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7945" windowHeight="11925" tabRatio="818" activeTab="1"/>
  </bookViews>
  <sheets>
    <sheet name="77673" sheetId="23" r:id="rId1"/>
    <sheet name="77711" sheetId="26" r:id="rId2"/>
    <sheet name="77673包装MA" sheetId="24" r:id="rId3"/>
    <sheet name="77711包装MA" sheetId="30" r:id="rId4"/>
    <sheet name="77711半成品MA" sheetId="29" r:id="rId5"/>
    <sheet name="77673半成品MA" sheetId="18" r:id="rId6"/>
    <sheet name="取消单" sheetId="15" r:id="rId7"/>
    <sheet name="Sheet1" sheetId="31" r:id="rId8"/>
  </sheets>
  <externalReferences>
    <externalReference r:id="rId10"/>
  </externalReferences>
  <definedNames>
    <definedName name="_xlnm._FilterDatabase" localSheetId="0" hidden="1">'77673'!$1:$1583</definedName>
    <definedName name="_xlnm._FilterDatabase" localSheetId="1" hidden="1">'77711'!$A$1:$DI$2198</definedName>
    <definedName name="_xlnm._FilterDatabase" localSheetId="2" hidden="1">'77673包装MA'!$2:$192</definedName>
    <definedName name="_xlnm._FilterDatabase" localSheetId="3" hidden="1">'77711包装MA'!$A$2:$AV$445</definedName>
    <definedName name="_xlnm._FilterDatabase" localSheetId="5" hidden="1">'77673半成品MA'!$A$1:$AK$27</definedName>
    <definedName name="_xlnm._FilterDatabase" localSheetId="6" hidden="1">取消单!$A$1:$CX$134</definedName>
    <definedName name="_xlnm._FilterDatabase" localSheetId="7" hidden="1">Sheet1!#REF!</definedName>
    <definedName name="_xlnm._FilterDatabase" localSheetId="4" hidden="1">'77711半成品MA'!$A$6:$AT$88</definedName>
    <definedName name="_xlnm.Print_Area" localSheetId="0">'77673'!$A$1:$AJ$1539</definedName>
    <definedName name="_xlnm.Print_Titles" localSheetId="0">'77673'!$1:$1</definedName>
    <definedName name="_xlnm.Print_Area" localSheetId="1">'77711'!$A$1:$AJ$1429</definedName>
    <definedName name="_xlnm.Print_Titles" localSheetId="1">'77711'!$1:$1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RR</author>
    <author>Unknown User</author>
  </authors>
  <commentList>
    <comment ref="AL3" authorId="0">
      <text>
        <r>
          <rPr>
            <b/>
            <sz val="9"/>
            <rFont val="宋体"/>
            <charset val="134"/>
          </rPr>
          <t>Administrator:</t>
        </r>
        <r>
          <rPr>
            <sz val="9"/>
            <rFont val="宋体"/>
            <charset val="134"/>
          </rPr>
          <t xml:space="preserve">
5/29 收到UPc贴纸144pcs</t>
        </r>
      </text>
    </comment>
    <comment ref="AL7" authorId="0">
      <text>
        <r>
          <rPr>
            <b/>
            <sz val="9"/>
            <rFont val="宋体"/>
            <charset val="134"/>
          </rPr>
          <t>Administrator:</t>
        </r>
        <r>
          <rPr>
            <sz val="9"/>
            <rFont val="宋体"/>
            <charset val="134"/>
          </rPr>
          <t xml:space="preserve">
3/21 上客供RFID贴纸616pcs
4/11 上粉色艾利贴纸154pcs
</t>
        </r>
      </text>
    </comment>
    <comment ref="AI8" authorId="0">
      <text>
        <r>
          <rPr>
            <b/>
            <sz val="9"/>
            <rFont val="宋体"/>
            <charset val="134"/>
          </rPr>
          <t>Administrator:</t>
        </r>
        <r>
          <rPr>
            <sz val="9"/>
            <rFont val="宋体"/>
            <charset val="134"/>
          </rPr>
          <t xml:space="preserve">
0000680 4/28 720pcs
没登记</t>
        </r>
      </text>
    </comment>
    <comment ref="AI11" authorId="0">
      <text>
        <r>
          <rPr>
            <b/>
            <sz val="9"/>
            <rFont val="宋体"/>
            <charset val="134"/>
          </rPr>
          <t>Administrator:</t>
        </r>
        <r>
          <rPr>
            <sz val="9"/>
            <rFont val="宋体"/>
            <charset val="134"/>
          </rPr>
          <t xml:space="preserve">
0000680 4/28 4548pcs华3B16</t>
        </r>
      </text>
    </comment>
    <comment ref="AI12" authorId="0">
      <text>
        <r>
          <rPr>
            <b/>
            <sz val="9"/>
            <rFont val="宋体"/>
            <charset val="134"/>
          </rPr>
          <t>Administrator:</t>
        </r>
        <r>
          <rPr>
            <sz val="9"/>
            <rFont val="宋体"/>
            <charset val="134"/>
          </rPr>
          <t xml:space="preserve">
0000680 4/28 1800pcs
华3A16</t>
        </r>
      </text>
    </comment>
    <comment ref="AL12" authorId="0">
      <text>
        <r>
          <rPr>
            <b/>
            <sz val="9"/>
            <rFont val="宋体"/>
            <charset val="134"/>
          </rPr>
          <t>Administrator:</t>
        </r>
        <r>
          <rPr>
            <sz val="9"/>
            <rFont val="宋体"/>
            <charset val="134"/>
          </rPr>
          <t xml:space="preserve">
4/3 上小纽扣电池警告语贴纸1800pcs
大纽扣警告语贴纸3600pcs
</t>
        </r>
      </text>
    </comment>
    <comment ref="AI13" authorId="0">
      <text>
        <r>
          <rPr>
            <b/>
            <sz val="9"/>
            <rFont val="宋体"/>
            <charset val="134"/>
          </rPr>
          <t>Administrator:</t>
        </r>
        <r>
          <rPr>
            <sz val="9"/>
            <rFont val="宋体"/>
            <charset val="134"/>
          </rPr>
          <t xml:space="preserve">
0000662 5/6 3300pcs华一F11</t>
        </r>
      </text>
    </comment>
    <comment ref="AL13" authorId="0">
      <text>
        <r>
          <rPr>
            <b/>
            <sz val="9"/>
            <rFont val="宋体"/>
            <charset val="134"/>
          </rPr>
          <t>Administrator:</t>
        </r>
        <r>
          <rPr>
            <sz val="9"/>
            <rFont val="宋体"/>
            <charset val="134"/>
          </rPr>
          <t xml:space="preserve">
4/11 上说明书纽扣电池警告贴纸6600pcs
收缩膜纽扣电池警告语贴纸3300pcs
4/17 上KM外箱贴纸275pcs</t>
        </r>
      </text>
    </comment>
    <comment ref="AI14" authorId="0">
      <text>
        <r>
          <rPr>
            <b/>
            <sz val="9"/>
            <rFont val="宋体"/>
            <charset val="134"/>
          </rPr>
          <t>Administrator:</t>
        </r>
        <r>
          <rPr>
            <sz val="9"/>
            <rFont val="宋体"/>
            <charset val="134"/>
          </rPr>
          <t xml:space="preserve">
0000662 5/6 432pcs一F11</t>
        </r>
      </text>
    </comment>
    <comment ref="AL14" authorId="0">
      <text>
        <r>
          <rPr>
            <b/>
            <sz val="9"/>
            <rFont val="宋体"/>
            <charset val="134"/>
          </rPr>
          <t>Administrator:</t>
        </r>
        <r>
          <rPr>
            <sz val="9"/>
            <rFont val="宋体"/>
            <charset val="134"/>
          </rPr>
          <t xml:space="preserve">
4/11 上说明书纽扣电池警告贴纸864pcs
收缩膜纽扣电池警告语贴纸432pcs
4/17 上KM外箱贴纸36pcs
</t>
        </r>
      </text>
    </comment>
    <comment ref="AI15" authorId="0">
      <text>
        <r>
          <rPr>
            <b/>
            <sz val="9"/>
            <rFont val="宋体"/>
            <charset val="134"/>
          </rPr>
          <t>Administrator:</t>
        </r>
        <r>
          <rPr>
            <sz val="9"/>
            <rFont val="宋体"/>
            <charset val="134"/>
          </rPr>
          <t xml:space="preserve">
0000655 5/7 512pcs因托盘卡纸未上需帮忙返工装-东莞验货 华一F3</t>
        </r>
      </text>
    </comment>
    <comment ref="AL15" authorId="0">
      <text>
        <r>
          <rPr>
            <b/>
            <sz val="9"/>
            <rFont val="宋体"/>
            <charset val="134"/>
          </rPr>
          <t>Administrator:</t>
        </r>
        <r>
          <rPr>
            <sz val="9"/>
            <rFont val="宋体"/>
            <charset val="134"/>
          </rPr>
          <t xml:space="preserve">
4/15 上客供RFID贴纸512pcs
</t>
        </r>
      </text>
    </comment>
    <comment ref="AI16" authorId="0">
      <text>
        <r>
          <rPr>
            <b/>
            <sz val="9"/>
            <rFont val="宋体"/>
            <charset val="134"/>
          </rPr>
          <t>Administrator:</t>
        </r>
        <r>
          <rPr>
            <sz val="9"/>
            <rFont val="宋体"/>
            <charset val="134"/>
          </rPr>
          <t xml:space="preserve">
0000655 5/7 656pcs因托盘卡纸未上需帮忙返工装-东莞验货
华一F3</t>
        </r>
      </text>
    </comment>
    <comment ref="AL16" authorId="0">
      <text>
        <r>
          <rPr>
            <b/>
            <sz val="9"/>
            <rFont val="宋体"/>
            <charset val="134"/>
          </rPr>
          <t>Administrator:</t>
        </r>
        <r>
          <rPr>
            <sz val="9"/>
            <rFont val="宋体"/>
            <charset val="134"/>
          </rPr>
          <t xml:space="preserve">
4/15 上客供RFID贴纸656pcs
</t>
        </r>
      </text>
    </comment>
    <comment ref="AI17" authorId="0">
      <text>
        <r>
          <rPr>
            <b/>
            <sz val="9"/>
            <rFont val="宋体"/>
            <charset val="134"/>
          </rPr>
          <t>Administrator:</t>
        </r>
        <r>
          <rPr>
            <sz val="9"/>
            <rFont val="宋体"/>
            <charset val="134"/>
          </rPr>
          <t xml:space="preserve">
0000655 5/7 800pcs因托盘卡纸未上需帮忙返工装
华一F3</t>
        </r>
      </text>
    </comment>
    <comment ref="AL17" authorId="0">
      <text>
        <r>
          <rPr>
            <b/>
            <sz val="9"/>
            <rFont val="宋体"/>
            <charset val="134"/>
          </rPr>
          <t>Administrator:</t>
        </r>
        <r>
          <rPr>
            <sz val="9"/>
            <rFont val="宋体"/>
            <charset val="134"/>
          </rPr>
          <t xml:space="preserve">
4/3 上WEEE通用黑色书纸带电池800pcs
4/15 上多语折叠警告语贴纸800pcs
</t>
        </r>
      </text>
    </comment>
    <comment ref="AI18" authorId="0">
      <text>
        <r>
          <rPr>
            <b/>
            <sz val="9"/>
            <rFont val="宋体"/>
            <charset val="134"/>
          </rPr>
          <t>Administrator:</t>
        </r>
        <r>
          <rPr>
            <sz val="9"/>
            <rFont val="宋体"/>
            <charset val="134"/>
          </rPr>
          <t xml:space="preserve">
0001028 5/9 3008pcs华3B9</t>
        </r>
      </text>
    </comment>
    <comment ref="AL18" authorId="0">
      <text>
        <r>
          <rPr>
            <b/>
            <sz val="9"/>
            <rFont val="宋体"/>
            <charset val="134"/>
          </rPr>
          <t>Administrator:</t>
        </r>
        <r>
          <rPr>
            <sz val="9"/>
            <rFont val="宋体"/>
            <charset val="134"/>
          </rPr>
          <t xml:space="preserve">
4/30 上客版WEEE声明通用说明书(带电池)3008pcs</t>
        </r>
      </text>
    </comment>
    <comment ref="AL20" authorId="0">
      <text>
        <r>
          <rPr>
            <b/>
            <sz val="9"/>
            <rFont val="宋体"/>
            <charset val="134"/>
          </rPr>
          <t>Administrator:</t>
        </r>
        <r>
          <rPr>
            <sz val="9"/>
            <rFont val="宋体"/>
            <charset val="134"/>
          </rPr>
          <t xml:space="preserve">
4/21 上UPC贴纸15396pcs
</t>
        </r>
      </text>
    </comment>
    <comment ref="AI21" authorId="0">
      <text>
        <r>
          <rPr>
            <b/>
            <sz val="9"/>
            <rFont val="宋体"/>
            <charset val="134"/>
          </rPr>
          <t>Administrator:</t>
        </r>
        <r>
          <rPr>
            <sz val="9"/>
            <rFont val="宋体"/>
            <charset val="134"/>
          </rPr>
          <t xml:space="preserve">
0001023 5/13 760pcs莫4-B10</t>
        </r>
      </text>
    </comment>
    <comment ref="AL21" authorId="0">
      <text>
        <r>
          <rPr>
            <b/>
            <sz val="9"/>
            <rFont val="宋体"/>
            <charset val="134"/>
          </rPr>
          <t>Administrator:</t>
        </r>
        <r>
          <rPr>
            <sz val="9"/>
            <rFont val="宋体"/>
            <charset val="134"/>
          </rPr>
          <t xml:space="preserve">
4/15 上客供RFID贴纸760pcs
</t>
        </r>
      </text>
    </comment>
    <comment ref="AI22" authorId="0">
      <text>
        <r>
          <rPr>
            <b/>
            <sz val="9"/>
            <rFont val="宋体"/>
            <charset val="134"/>
          </rPr>
          <t>Administrator:</t>
        </r>
        <r>
          <rPr>
            <sz val="9"/>
            <rFont val="宋体"/>
            <charset val="134"/>
          </rPr>
          <t xml:space="preserve">
0001023 5/13 2768pcs
莫4-B10</t>
        </r>
      </text>
    </comment>
    <comment ref="AL22" authorId="0">
      <text>
        <r>
          <rPr>
            <b/>
            <sz val="9"/>
            <rFont val="宋体"/>
            <charset val="134"/>
          </rPr>
          <t>Administrator:</t>
        </r>
        <r>
          <rPr>
            <sz val="9"/>
            <rFont val="宋体"/>
            <charset val="134"/>
          </rPr>
          <t xml:space="preserve">
3/21 上客供RFID贴纸2768pcs
4/11 上粉色艾利贴纸692pcs
</t>
        </r>
      </text>
    </comment>
    <comment ref="AI23" authorId="0">
      <text>
        <r>
          <rPr>
            <b/>
            <sz val="9"/>
            <rFont val="宋体"/>
            <charset val="134"/>
          </rPr>
          <t>Administrator:</t>
        </r>
        <r>
          <rPr>
            <sz val="9"/>
            <rFont val="宋体"/>
            <charset val="134"/>
          </rPr>
          <t xml:space="preserve">
0001023 5/13 3560pcs
莫4-B10</t>
        </r>
      </text>
    </comment>
    <comment ref="AL23" authorId="0">
      <text>
        <r>
          <rPr>
            <b/>
            <sz val="9"/>
            <rFont val="宋体"/>
            <charset val="134"/>
          </rPr>
          <t>Administrator:</t>
        </r>
        <r>
          <rPr>
            <sz val="9"/>
            <rFont val="宋体"/>
            <charset val="134"/>
          </rPr>
          <t xml:space="preserve">
3/21 上客供RFID贴纸3560pcs
4/11 上粉色艾利贴纸890pcs
</t>
        </r>
      </text>
    </comment>
    <comment ref="AI24" authorId="0">
      <text>
        <r>
          <rPr>
            <b/>
            <sz val="9"/>
            <rFont val="宋体"/>
            <charset val="134"/>
          </rPr>
          <t>Administrator:</t>
        </r>
        <r>
          <rPr>
            <sz val="9"/>
            <rFont val="宋体"/>
            <charset val="134"/>
          </rPr>
          <t xml:space="preserve">
0001023 5/13 3344pcs
莫4-B10</t>
        </r>
      </text>
    </comment>
    <comment ref="AL24" authorId="0">
      <text>
        <r>
          <rPr>
            <b/>
            <sz val="9"/>
            <rFont val="宋体"/>
            <charset val="134"/>
          </rPr>
          <t>Administrator:</t>
        </r>
        <r>
          <rPr>
            <sz val="9"/>
            <rFont val="宋体"/>
            <charset val="134"/>
          </rPr>
          <t xml:space="preserve">
3/21 上客供RFID贴纸3344pcs
4/11 上粉色艾利贴纸836pcs
</t>
        </r>
      </text>
    </comment>
    <comment ref="AI25" authorId="0">
      <text>
        <r>
          <rPr>
            <b/>
            <sz val="9"/>
            <rFont val="宋体"/>
            <charset val="134"/>
          </rPr>
          <t>Administrator:</t>
        </r>
        <r>
          <rPr>
            <sz val="9"/>
            <rFont val="宋体"/>
            <charset val="134"/>
          </rPr>
          <t xml:space="preserve">
0001019 5/13 2444pcs华一F5</t>
        </r>
      </text>
    </comment>
    <comment ref="AL25" authorId="0">
      <text>
        <r>
          <rPr>
            <b/>
            <sz val="9"/>
            <rFont val="宋体"/>
            <charset val="134"/>
          </rPr>
          <t>Administrator:</t>
        </r>
        <r>
          <rPr>
            <sz val="9"/>
            <rFont val="宋体"/>
            <charset val="134"/>
          </rPr>
          <t xml:space="preserve">
4/30 多语警语折叠贴纸2444pcs
</t>
        </r>
      </text>
    </comment>
    <comment ref="AI26" authorId="0">
      <text>
        <r>
          <rPr>
            <b/>
            <sz val="9"/>
            <rFont val="宋体"/>
            <charset val="134"/>
          </rPr>
          <t>Administrator:</t>
        </r>
        <r>
          <rPr>
            <sz val="9"/>
            <rFont val="宋体"/>
            <charset val="134"/>
          </rPr>
          <t xml:space="preserve">
0001003 5/16 108pcsA1楼B5</t>
        </r>
      </text>
    </comment>
    <comment ref="AI27" authorId="0">
      <text>
        <r>
          <rPr>
            <b/>
            <sz val="9"/>
            <rFont val="宋体"/>
            <charset val="134"/>
          </rPr>
          <t>Administrator:</t>
        </r>
        <r>
          <rPr>
            <sz val="9"/>
            <rFont val="宋体"/>
            <charset val="134"/>
          </rPr>
          <t xml:space="preserve">
0001011 5/15 800pcs华3B12</t>
        </r>
      </text>
    </comment>
    <comment ref="AI28" authorId="0">
      <text>
        <r>
          <rPr>
            <b/>
            <sz val="9"/>
            <rFont val="宋体"/>
            <charset val="134"/>
          </rPr>
          <t>Administrator:</t>
        </r>
        <r>
          <rPr>
            <sz val="9"/>
            <rFont val="宋体"/>
            <charset val="134"/>
          </rPr>
          <t xml:space="preserve">
0001011 5/15 600pcs
华3B12</t>
        </r>
      </text>
    </comment>
    <comment ref="AI29" authorId="0">
      <text>
        <r>
          <rPr>
            <b/>
            <sz val="9"/>
            <rFont val="宋体"/>
            <charset val="134"/>
          </rPr>
          <t>Administrator:</t>
        </r>
        <r>
          <rPr>
            <sz val="9"/>
            <rFont val="宋体"/>
            <charset val="134"/>
          </rPr>
          <t xml:space="preserve">
0001002 5/16 608pcs莫4B4</t>
        </r>
      </text>
    </comment>
    <comment ref="AL29" authorId="0">
      <text>
        <r>
          <rPr>
            <b/>
            <sz val="9"/>
            <rFont val="宋体"/>
            <charset val="134"/>
          </rPr>
          <t>Administrator:</t>
        </r>
        <r>
          <rPr>
            <sz val="9"/>
            <rFont val="宋体"/>
            <charset val="134"/>
          </rPr>
          <t xml:space="preserve">
4/14 上客供警语贴纸632pcs
客供电池 警语贴纸630pcs
客供中文警告说明书630pcs
</t>
        </r>
      </text>
    </comment>
    <comment ref="AI30" authorId="0">
      <text>
        <r>
          <rPr>
            <b/>
            <sz val="9"/>
            <rFont val="宋体"/>
            <charset val="134"/>
          </rPr>
          <t>Administrator:</t>
        </r>
        <r>
          <rPr>
            <sz val="9"/>
            <rFont val="宋体"/>
            <charset val="134"/>
          </rPr>
          <t xml:space="preserve">
0001003 5/16 240pcs莫4B4</t>
        </r>
      </text>
    </comment>
    <comment ref="AL30" authorId="0">
      <text>
        <r>
          <rPr>
            <b/>
            <sz val="9"/>
            <rFont val="宋体"/>
            <charset val="134"/>
          </rPr>
          <t>Administrator:</t>
        </r>
        <r>
          <rPr>
            <sz val="9"/>
            <rFont val="宋体"/>
            <charset val="134"/>
          </rPr>
          <t xml:space="preserve">
4/14 上警语贴纸240pcs</t>
        </r>
      </text>
    </comment>
    <comment ref="AL31" authorId="0">
      <text>
        <r>
          <rPr>
            <b/>
            <sz val="9"/>
            <rFont val="宋体"/>
            <charset val="134"/>
          </rPr>
          <t>Administrator:</t>
        </r>
        <r>
          <rPr>
            <sz val="9"/>
            <rFont val="宋体"/>
            <charset val="134"/>
          </rPr>
          <t xml:space="preserve">
4/21 上进口商贴纸720pcs</t>
        </r>
      </text>
    </comment>
    <comment ref="AI32" authorId="0">
      <text>
        <r>
          <rPr>
            <b/>
            <sz val="9"/>
            <rFont val="宋体"/>
            <charset val="134"/>
          </rPr>
          <t>Administrator:</t>
        </r>
        <r>
          <rPr>
            <sz val="9"/>
            <rFont val="宋体"/>
            <charset val="134"/>
          </rPr>
          <t xml:space="preserve">
0001002 5/16 10pcs莫4B9</t>
        </r>
      </text>
    </comment>
    <comment ref="AL32" authorId="0">
      <text>
        <r>
          <rPr>
            <b/>
            <sz val="9"/>
            <rFont val="宋体"/>
            <charset val="134"/>
          </rPr>
          <t>Administrator:</t>
        </r>
        <r>
          <rPr>
            <sz val="9"/>
            <rFont val="宋体"/>
            <charset val="134"/>
          </rPr>
          <t xml:space="preserve">
4/10 上外箱黄色贴纸20pcs</t>
        </r>
      </text>
    </comment>
    <comment ref="AI33" authorId="0">
      <text>
        <r>
          <rPr>
            <b/>
            <sz val="9"/>
            <rFont val="宋体"/>
            <charset val="134"/>
          </rPr>
          <t>Administrator:</t>
        </r>
        <r>
          <rPr>
            <sz val="9"/>
            <rFont val="宋体"/>
            <charset val="134"/>
          </rPr>
          <t xml:space="preserve">
0001002 5/16 1968pcs
莫4B9
0001001 5/17 28pcs兴信</t>
        </r>
      </text>
    </comment>
    <comment ref="AI34" authorId="0">
      <text>
        <r>
          <rPr>
            <b/>
            <sz val="9"/>
            <rFont val="宋体"/>
            <charset val="134"/>
          </rPr>
          <t>Administrator:</t>
        </r>
        <r>
          <rPr>
            <sz val="9"/>
            <rFont val="宋体"/>
            <charset val="134"/>
          </rPr>
          <t xml:space="preserve">
0001002 5/16 912pcs莫4B4</t>
        </r>
      </text>
    </comment>
    <comment ref="AL34" authorId="0">
      <text>
        <r>
          <rPr>
            <b/>
            <sz val="9"/>
            <rFont val="宋体"/>
            <charset val="134"/>
          </rPr>
          <t>Administrator:</t>
        </r>
        <r>
          <rPr>
            <sz val="9"/>
            <rFont val="宋体"/>
            <charset val="134"/>
          </rPr>
          <t xml:space="preserve">
4/15 上客供RFID贴纸912pcs
</t>
        </r>
      </text>
    </comment>
    <comment ref="AI35" authorId="0">
      <text>
        <r>
          <rPr>
            <b/>
            <sz val="9"/>
            <rFont val="宋体"/>
            <charset val="134"/>
          </rPr>
          <t>Administrator:</t>
        </r>
        <r>
          <rPr>
            <sz val="9"/>
            <rFont val="宋体"/>
            <charset val="134"/>
          </rPr>
          <t xml:space="preserve">
0001003 5/16 240pcs莫4C4</t>
        </r>
      </text>
    </comment>
    <comment ref="AL35" authorId="0">
      <text>
        <r>
          <rPr>
            <b/>
            <sz val="9"/>
            <rFont val="宋体"/>
            <charset val="134"/>
          </rPr>
          <t>Administrator:</t>
        </r>
        <r>
          <rPr>
            <sz val="9"/>
            <rFont val="宋体"/>
            <charset val="134"/>
          </rPr>
          <t xml:space="preserve">
4/16 上警告语/客人进口商地址贴纸240pcs
4/21 WEEE__带电池走货北欧六
语通用黑白说明书240pcs</t>
        </r>
      </text>
    </comment>
    <comment ref="AI38" authorId="0">
      <text>
        <r>
          <rPr>
            <b/>
            <sz val="9"/>
            <rFont val="宋体"/>
            <charset val="134"/>
          </rPr>
          <t>Administrator:</t>
        </r>
        <r>
          <rPr>
            <sz val="9"/>
            <rFont val="宋体"/>
            <charset val="134"/>
          </rPr>
          <t xml:space="preserve">
0001084 5/21 3000pcs华3B15
0000922 5/21 8pcs华3B15</t>
        </r>
      </text>
    </comment>
    <comment ref="AL38" authorId="0">
      <text>
        <r>
          <rPr>
            <b/>
            <sz val="9"/>
            <rFont val="宋体"/>
            <charset val="134"/>
          </rPr>
          <t>Administrator:</t>
        </r>
        <r>
          <rPr>
            <sz val="9"/>
            <rFont val="宋体"/>
            <charset val="134"/>
          </rPr>
          <t xml:space="preserve">
4/15 上WEEE声明通用说明书带电池3008pcs</t>
        </r>
      </text>
    </comment>
    <comment ref="AI39" authorId="0">
      <text>
        <r>
          <rPr>
            <b/>
            <sz val="9"/>
            <rFont val="宋体"/>
            <charset val="134"/>
          </rPr>
          <t>Administrator:</t>
        </r>
        <r>
          <rPr>
            <sz val="9"/>
            <rFont val="宋体"/>
            <charset val="134"/>
          </rPr>
          <t xml:space="preserve">
0001084 5/21 1504pcs直走</t>
        </r>
      </text>
    </comment>
    <comment ref="AL39" authorId="0">
      <text>
        <r>
          <rPr>
            <b/>
            <sz val="9"/>
            <rFont val="宋体"/>
            <charset val="134"/>
          </rPr>
          <t>Administrator:</t>
        </r>
        <r>
          <rPr>
            <sz val="9"/>
            <rFont val="宋体"/>
            <charset val="134"/>
          </rPr>
          <t xml:space="preserve">
4/15 上WEEE声明通用说明书带电池1504pcs
</t>
        </r>
      </text>
    </comment>
    <comment ref="AI40" authorId="0">
      <text>
        <r>
          <rPr>
            <b/>
            <sz val="9"/>
            <rFont val="宋体"/>
            <charset val="134"/>
          </rPr>
          <t>Administrator:</t>
        </r>
        <r>
          <rPr>
            <sz val="9"/>
            <rFont val="宋体"/>
            <charset val="134"/>
          </rPr>
          <t xml:space="preserve">
0001001 5/17 1104pcs华3B14</t>
        </r>
      </text>
    </comment>
    <comment ref="AL40" authorId="0">
      <text>
        <r>
          <rPr>
            <b/>
            <sz val="9"/>
            <rFont val="宋体"/>
            <charset val="134"/>
          </rPr>
          <t>Administrator:</t>
        </r>
        <r>
          <rPr>
            <sz val="9"/>
            <rFont val="宋体"/>
            <charset val="134"/>
          </rPr>
          <t xml:space="preserve">
4/30 上UPC贴纸1104pcs</t>
        </r>
      </text>
    </comment>
    <comment ref="AL41" authorId="0">
      <text>
        <r>
          <rPr>
            <b/>
            <sz val="9"/>
            <rFont val="宋体"/>
            <charset val="134"/>
          </rPr>
          <t>Administrator:</t>
        </r>
        <r>
          <rPr>
            <sz val="9"/>
            <rFont val="宋体"/>
            <charset val="134"/>
          </rPr>
          <t xml:space="preserve">
3/21 上客供RFID贴纸4960pcs
4/11 上粉色艾利贴纸1240pcs
</t>
        </r>
      </text>
    </comment>
    <comment ref="AI42" authorId="0">
      <text>
        <r>
          <rPr>
            <b/>
            <sz val="9"/>
            <rFont val="宋体"/>
            <charset val="134"/>
          </rPr>
          <t>Administrator:</t>
        </r>
        <r>
          <rPr>
            <sz val="9"/>
            <rFont val="宋体"/>
            <charset val="134"/>
          </rPr>
          <t xml:space="preserve">
0001001 5/17 4112pcs华3A10</t>
        </r>
      </text>
    </comment>
    <comment ref="AL42" authorId="0">
      <text>
        <r>
          <rPr>
            <b/>
            <sz val="9"/>
            <rFont val="宋体"/>
            <charset val="134"/>
          </rPr>
          <t>Administrator:</t>
        </r>
        <r>
          <rPr>
            <sz val="9"/>
            <rFont val="宋体"/>
            <charset val="134"/>
          </rPr>
          <t xml:space="preserve">
3/21 上客供RFID贴纸4112pcs
4/11 上粉色艾利贴纸1028pcs
</t>
        </r>
      </text>
    </comment>
    <comment ref="AL43" authorId="0">
      <text>
        <r>
          <rPr>
            <b/>
            <sz val="9"/>
            <rFont val="宋体"/>
            <charset val="134"/>
          </rPr>
          <t>Administrator:</t>
        </r>
        <r>
          <rPr>
            <sz val="9"/>
            <rFont val="宋体"/>
            <charset val="134"/>
          </rPr>
          <t xml:space="preserve">
4/15 上大黄圆防盗贴纸2656pcs</t>
        </r>
      </text>
    </comment>
    <comment ref="AI44" authorId="0">
      <text>
        <r>
          <rPr>
            <b/>
            <sz val="9"/>
            <rFont val="宋体"/>
            <charset val="134"/>
          </rPr>
          <t>Administrator:</t>
        </r>
        <r>
          <rPr>
            <sz val="9"/>
            <rFont val="宋体"/>
            <charset val="134"/>
          </rPr>
          <t xml:space="preserve">
0000995 5/19 592pcs
0000993 6/20 16pcs华3B6</t>
        </r>
      </text>
    </comment>
    <comment ref="AL44" authorId="0">
      <text>
        <r>
          <rPr>
            <b/>
            <sz val="9"/>
            <rFont val="宋体"/>
            <charset val="134"/>
          </rPr>
          <t>Administrator:</t>
        </r>
        <r>
          <rPr>
            <sz val="9"/>
            <rFont val="宋体"/>
            <charset val="134"/>
          </rPr>
          <t xml:space="preserve">
4/15 上客供RFID贴纸608pcs
</t>
        </r>
      </text>
    </comment>
    <comment ref="AI45" authorId="0">
      <text>
        <r>
          <rPr>
            <b/>
            <sz val="9"/>
            <rFont val="宋体"/>
            <charset val="134"/>
          </rPr>
          <t>Administrator:</t>
        </r>
        <r>
          <rPr>
            <sz val="9"/>
            <rFont val="宋体"/>
            <charset val="134"/>
          </rPr>
          <t xml:space="preserve">
0000995 5/19 600pcs
0000993 6/20 8pcs
华3B6</t>
        </r>
      </text>
    </comment>
    <comment ref="AL45" authorId="0">
      <text>
        <r>
          <rPr>
            <b/>
            <sz val="9"/>
            <rFont val="宋体"/>
            <charset val="134"/>
          </rPr>
          <t>Administrator:</t>
        </r>
        <r>
          <rPr>
            <sz val="9"/>
            <rFont val="宋体"/>
            <charset val="134"/>
          </rPr>
          <t xml:space="preserve">
4/15 上客供RFID贴纸608pcs
</t>
        </r>
      </text>
    </comment>
    <comment ref="AI46" authorId="0">
      <text>
        <r>
          <rPr>
            <b/>
            <sz val="9"/>
            <rFont val="宋体"/>
            <charset val="134"/>
          </rPr>
          <t>Administrator:</t>
        </r>
        <r>
          <rPr>
            <sz val="9"/>
            <rFont val="宋体"/>
            <charset val="134"/>
          </rPr>
          <t xml:space="preserve">
0000995 5/19 608pcs
0000993 6/20 8pcs华3B5</t>
        </r>
      </text>
    </comment>
    <comment ref="AL46" authorId="0">
      <text>
        <r>
          <rPr>
            <b/>
            <sz val="9"/>
            <rFont val="宋体"/>
            <charset val="134"/>
          </rPr>
          <t>Administrator:</t>
        </r>
        <r>
          <rPr>
            <sz val="9"/>
            <rFont val="宋体"/>
            <charset val="134"/>
          </rPr>
          <t xml:space="preserve">
4/15 上客供RFID贴纸616pcs
</t>
        </r>
      </text>
    </comment>
    <comment ref="AI47" authorId="0">
      <text>
        <r>
          <rPr>
            <b/>
            <sz val="9"/>
            <rFont val="宋体"/>
            <charset val="134"/>
          </rPr>
          <t>Administrator:</t>
        </r>
        <r>
          <rPr>
            <sz val="9"/>
            <rFont val="宋体"/>
            <charset val="134"/>
          </rPr>
          <t xml:space="preserve">
0000995 5/19 792pcs
</t>
        </r>
      </text>
    </comment>
    <comment ref="AL47" authorId="0">
      <text>
        <r>
          <rPr>
            <b/>
            <sz val="9"/>
            <rFont val="宋体"/>
            <charset val="134"/>
          </rPr>
          <t>Administrator:</t>
        </r>
        <r>
          <rPr>
            <sz val="9"/>
            <rFont val="宋体"/>
            <charset val="134"/>
          </rPr>
          <t xml:space="preserve">
4/15 上客供RFID贴纸792pcs
</t>
        </r>
      </text>
    </comment>
    <comment ref="AI48" authorId="0">
      <text>
        <r>
          <rPr>
            <b/>
            <sz val="9"/>
            <rFont val="宋体"/>
            <charset val="134"/>
          </rPr>
          <t>Administrator:</t>
        </r>
        <r>
          <rPr>
            <sz val="9"/>
            <rFont val="宋体"/>
            <charset val="134"/>
          </rPr>
          <t xml:space="preserve">
0000995 5/19 740pcs
0000993 6/20 4pcs
华3B6</t>
        </r>
      </text>
    </comment>
    <comment ref="AL48" authorId="0">
      <text>
        <r>
          <rPr>
            <b/>
            <sz val="9"/>
            <rFont val="宋体"/>
            <charset val="134"/>
          </rPr>
          <t>Administrator:</t>
        </r>
        <r>
          <rPr>
            <sz val="9"/>
            <rFont val="宋体"/>
            <charset val="134"/>
          </rPr>
          <t xml:space="preserve">
4/15 上客供RFID贴纸744pcs
</t>
        </r>
      </text>
    </comment>
    <comment ref="AI49" authorId="0">
      <text>
        <r>
          <rPr>
            <b/>
            <sz val="9"/>
            <rFont val="宋体"/>
            <charset val="134"/>
          </rPr>
          <t>Administrator:</t>
        </r>
        <r>
          <rPr>
            <sz val="9"/>
            <rFont val="宋体"/>
            <charset val="134"/>
          </rPr>
          <t xml:space="preserve">
0001003 5/16 252pcs莫4C4</t>
        </r>
      </text>
    </comment>
    <comment ref="AL49" authorId="0">
      <text>
        <r>
          <rPr>
            <b/>
            <sz val="9"/>
            <rFont val="宋体"/>
            <charset val="134"/>
          </rPr>
          <t>Administrator:</t>
        </r>
        <r>
          <rPr>
            <sz val="9"/>
            <rFont val="宋体"/>
            <charset val="134"/>
          </rPr>
          <t xml:space="preserve">
4/28 上警示语贴纸252pcs
5/6 带纽扣电池走货北欧六语通用黑白电池说明书252pcs</t>
        </r>
      </text>
    </comment>
    <comment ref="AI50" authorId="0">
      <text>
        <r>
          <rPr>
            <b/>
            <sz val="9"/>
            <rFont val="宋体"/>
            <charset val="134"/>
          </rPr>
          <t>Administrator:</t>
        </r>
        <r>
          <rPr>
            <sz val="9"/>
            <rFont val="宋体"/>
            <charset val="134"/>
          </rPr>
          <t xml:space="preserve">
0000922 5/21 3352pcs华3A30</t>
        </r>
      </text>
    </comment>
    <comment ref="AL50" authorId="0">
      <text>
        <r>
          <rPr>
            <b/>
            <sz val="9"/>
            <rFont val="宋体"/>
            <charset val="134"/>
          </rPr>
          <t>Administrator:</t>
        </r>
        <r>
          <rPr>
            <sz val="9"/>
            <rFont val="宋体"/>
            <charset val="134"/>
          </rPr>
          <t xml:space="preserve">
4/25 WEEE电池垃圾桶的回收声明说明书3352pcs
4/30 多语警语折叠贴纸3352pcs</t>
        </r>
      </text>
    </comment>
    <comment ref="AI51" authorId="0">
      <text>
        <r>
          <rPr>
            <b/>
            <sz val="9"/>
            <rFont val="宋体"/>
            <charset val="134"/>
          </rPr>
          <t>Administrator:</t>
        </r>
        <r>
          <rPr>
            <sz val="9"/>
            <rFont val="宋体"/>
            <charset val="134"/>
          </rPr>
          <t xml:space="preserve">
0000922 5/21 2040pcs华3B16
0000915 5/22 24pcs</t>
        </r>
      </text>
    </comment>
    <comment ref="AI52" authorId="0">
      <text>
        <r>
          <rPr>
            <b/>
            <sz val="9"/>
            <rFont val="宋体"/>
            <charset val="134"/>
          </rPr>
          <t>Administrator:</t>
        </r>
        <r>
          <rPr>
            <sz val="9"/>
            <rFont val="宋体"/>
            <charset val="134"/>
          </rPr>
          <t xml:space="preserve">
0000922 5/21 2976pcs华3B16
0000915 5/22 32pcs</t>
        </r>
      </text>
    </comment>
    <comment ref="AL52" authorId="0">
      <text>
        <r>
          <rPr>
            <b/>
            <sz val="9"/>
            <rFont val="宋体"/>
            <charset val="134"/>
          </rPr>
          <t>Administrator:</t>
        </r>
        <r>
          <rPr>
            <sz val="9"/>
            <rFont val="宋体"/>
            <charset val="134"/>
          </rPr>
          <t xml:space="preserve">
4/25 上2国语言电池说明书3008pcs
5/9 上UPC条码贴纸3008pcs</t>
        </r>
      </text>
    </comment>
    <comment ref="AI53" authorId="0">
      <text>
        <r>
          <rPr>
            <b/>
            <sz val="9"/>
            <rFont val="宋体"/>
            <charset val="134"/>
          </rPr>
          <t>Administrator:</t>
        </r>
        <r>
          <rPr>
            <sz val="9"/>
            <rFont val="宋体"/>
            <charset val="134"/>
          </rPr>
          <t xml:space="preserve">
0001069 5/24 1608pcs华3B15</t>
        </r>
      </text>
    </comment>
    <comment ref="AL53" authorId="0">
      <text>
        <r>
          <rPr>
            <b/>
            <sz val="9"/>
            <rFont val="宋体"/>
            <charset val="134"/>
          </rPr>
          <t>Administrator:</t>
        </r>
        <r>
          <rPr>
            <sz val="9"/>
            <rFont val="宋体"/>
            <charset val="134"/>
          </rPr>
          <t xml:space="preserve">
4/30 上UPC贴纸1608pcs</t>
        </r>
      </text>
    </comment>
    <comment ref="AI54" authorId="0">
      <text>
        <r>
          <rPr>
            <b/>
            <sz val="9"/>
            <rFont val="宋体"/>
            <charset val="134"/>
          </rPr>
          <t>Administrator:</t>
        </r>
        <r>
          <rPr>
            <sz val="9"/>
            <rFont val="宋体"/>
            <charset val="134"/>
          </rPr>
          <t xml:space="preserve">
0001076 5/23 6000pcs华一F3</t>
        </r>
      </text>
    </comment>
    <comment ref="AI55" authorId="0">
      <text>
        <r>
          <rPr>
            <b/>
            <sz val="9"/>
            <rFont val="宋体"/>
            <charset val="134"/>
          </rPr>
          <t>Administrator:</t>
        </r>
        <r>
          <rPr>
            <sz val="9"/>
            <rFont val="宋体"/>
            <charset val="134"/>
          </rPr>
          <t xml:space="preserve">
0001076 5/23 1000pcs华3B14</t>
        </r>
      </text>
    </comment>
    <comment ref="AL55" authorId="0">
      <text>
        <r>
          <rPr>
            <b/>
            <sz val="9"/>
            <rFont val="宋体"/>
            <charset val="134"/>
          </rPr>
          <t>Administrator:</t>
        </r>
        <r>
          <rPr>
            <sz val="9"/>
            <rFont val="宋体"/>
            <charset val="134"/>
          </rPr>
          <t xml:space="preserve">
4/15 上WEEE声明通用说明书带电池1000pcs
</t>
        </r>
      </text>
    </comment>
    <comment ref="AI56" authorId="0">
      <text>
        <r>
          <rPr>
            <b/>
            <sz val="9"/>
            <rFont val="宋体"/>
            <charset val="134"/>
          </rPr>
          <t>Administrator:</t>
        </r>
        <r>
          <rPr>
            <sz val="9"/>
            <rFont val="宋体"/>
            <charset val="134"/>
          </rPr>
          <t xml:space="preserve">
0001070 5/24 360pcs华3B8</t>
        </r>
      </text>
    </comment>
    <comment ref="AL56" authorId="0">
      <text>
        <r>
          <rPr>
            <b/>
            <sz val="9"/>
            <rFont val="宋体"/>
            <charset val="134"/>
          </rPr>
          <t>Administrator:</t>
        </r>
        <r>
          <rPr>
            <sz val="9"/>
            <rFont val="宋体"/>
            <charset val="134"/>
          </rPr>
          <t xml:space="preserve">
4/25 上UPC条码贴纸360pcs
进口商贴纸360pcs
</t>
        </r>
      </text>
    </comment>
    <comment ref="AI57" authorId="0">
      <text>
        <r>
          <rPr>
            <b/>
            <sz val="9"/>
            <rFont val="宋体"/>
            <charset val="134"/>
          </rPr>
          <t>Administrator:</t>
        </r>
        <r>
          <rPr>
            <sz val="9"/>
            <rFont val="宋体"/>
            <charset val="134"/>
          </rPr>
          <t xml:space="preserve">
0001070 5/24 396pcs华3B8</t>
        </r>
      </text>
    </comment>
    <comment ref="AL57" authorId="0">
      <text>
        <r>
          <rPr>
            <b/>
            <sz val="9"/>
            <rFont val="宋体"/>
            <charset val="134"/>
          </rPr>
          <t>Administrator:</t>
        </r>
        <r>
          <rPr>
            <sz val="9"/>
            <rFont val="宋体"/>
            <charset val="134"/>
          </rPr>
          <t xml:space="preserve">
4/25 上UPC条码贴纸396pcs
进口商贴纸396pcs</t>
        </r>
      </text>
    </comment>
    <comment ref="AI58" authorId="0">
      <text>
        <r>
          <rPr>
            <b/>
            <sz val="9"/>
            <rFont val="宋体"/>
            <charset val="134"/>
          </rPr>
          <t>Administrator:</t>
        </r>
        <r>
          <rPr>
            <sz val="9"/>
            <rFont val="宋体"/>
            <charset val="134"/>
          </rPr>
          <t xml:space="preserve">
0001070 5/24 540pcs华3B14</t>
        </r>
      </text>
    </comment>
    <comment ref="AL58" authorId="0">
      <text>
        <r>
          <rPr>
            <b/>
            <sz val="9"/>
            <rFont val="宋体"/>
            <charset val="134"/>
          </rPr>
          <t>Administrator:</t>
        </r>
        <r>
          <rPr>
            <sz val="9"/>
            <rFont val="宋体"/>
            <charset val="134"/>
          </rPr>
          <t xml:space="preserve">
4/25 上UPC条码贴纸540pcs
进口商贴纸540pcs
</t>
        </r>
      </text>
    </comment>
    <comment ref="AI59" authorId="0">
      <text>
        <r>
          <rPr>
            <b/>
            <sz val="9"/>
            <rFont val="宋体"/>
            <charset val="134"/>
          </rPr>
          <t>Administrator:</t>
        </r>
        <r>
          <rPr>
            <sz val="9"/>
            <rFont val="宋体"/>
            <charset val="134"/>
          </rPr>
          <t xml:space="preserve">
0000915 5/22 640pcs</t>
        </r>
      </text>
    </comment>
    <comment ref="AI60" authorId="0">
      <text>
        <r>
          <rPr>
            <b/>
            <sz val="9"/>
            <rFont val="宋体"/>
            <charset val="134"/>
          </rPr>
          <t>Administrator:</t>
        </r>
        <r>
          <rPr>
            <sz val="9"/>
            <rFont val="宋体"/>
            <charset val="134"/>
          </rPr>
          <t xml:space="preserve">
0000915 5/22 1440pcs
</t>
        </r>
      </text>
    </comment>
    <comment ref="AI61" authorId="0">
      <text>
        <r>
          <rPr>
            <b/>
            <sz val="9"/>
            <rFont val="宋体"/>
            <charset val="134"/>
          </rPr>
          <t>Administrator:</t>
        </r>
        <r>
          <rPr>
            <sz val="9"/>
            <rFont val="宋体"/>
            <charset val="134"/>
          </rPr>
          <t xml:space="preserve">
2000722 5/27 3304pcs华3A24</t>
        </r>
      </text>
    </comment>
    <comment ref="AL61" authorId="0">
      <text>
        <r>
          <rPr>
            <b/>
            <sz val="9"/>
            <rFont val="宋体"/>
            <charset val="134"/>
          </rPr>
          <t>Administrator:</t>
        </r>
        <r>
          <rPr>
            <sz val="9"/>
            <rFont val="宋体"/>
            <charset val="134"/>
          </rPr>
          <t xml:space="preserve">
3/21 上客供RFID贴纸3304pcs
4/11 上粉色艾利贴纸826pcs</t>
        </r>
      </text>
    </comment>
    <comment ref="AI62" authorId="0">
      <text>
        <r>
          <rPr>
            <b/>
            <sz val="9"/>
            <rFont val="宋体"/>
            <charset val="134"/>
          </rPr>
          <t>Administrator:</t>
        </r>
        <r>
          <rPr>
            <sz val="9"/>
            <rFont val="宋体"/>
            <charset val="134"/>
          </rPr>
          <t xml:space="preserve">
2000722 5/27 3320pcs
华3A24</t>
        </r>
      </text>
    </comment>
    <comment ref="AL62" authorId="0">
      <text>
        <r>
          <rPr>
            <b/>
            <sz val="9"/>
            <rFont val="宋体"/>
            <charset val="134"/>
          </rPr>
          <t>Administrator:</t>
        </r>
        <r>
          <rPr>
            <sz val="9"/>
            <rFont val="宋体"/>
            <charset val="134"/>
          </rPr>
          <t xml:space="preserve">
3/21 上客供RFID贴纸3320pcs
4/11 上粉色艾利贴纸830pcs
</t>
        </r>
      </text>
    </comment>
    <comment ref="AI63" authorId="0">
      <text>
        <r>
          <rPr>
            <b/>
            <sz val="9"/>
            <rFont val="宋体"/>
            <charset val="134"/>
          </rPr>
          <t>Administrator:</t>
        </r>
        <r>
          <rPr>
            <sz val="9"/>
            <rFont val="宋体"/>
            <charset val="134"/>
          </rPr>
          <t xml:space="preserve">
2000713 5/28 912pcs华3B11</t>
        </r>
      </text>
    </comment>
    <comment ref="AL63" authorId="0">
      <text>
        <r>
          <rPr>
            <b/>
            <sz val="9"/>
            <rFont val="宋体"/>
            <charset val="134"/>
          </rPr>
          <t>Administrator:</t>
        </r>
        <r>
          <rPr>
            <sz val="9"/>
            <rFont val="宋体"/>
            <charset val="134"/>
          </rPr>
          <t xml:space="preserve">
4/15 上客供RFID贴纸912pcs
</t>
        </r>
      </text>
    </comment>
    <comment ref="AI64" authorId="0">
      <text>
        <r>
          <rPr>
            <b/>
            <sz val="9"/>
            <rFont val="宋体"/>
            <charset val="134"/>
          </rPr>
          <t>Administrator:</t>
        </r>
        <r>
          <rPr>
            <sz val="9"/>
            <rFont val="宋体"/>
            <charset val="134"/>
          </rPr>
          <t xml:space="preserve">
2000726 5/26 196pcs莫4B8
2000720 5/27 4pcs
兴信</t>
        </r>
      </text>
    </comment>
    <comment ref="AM64" authorId="0">
      <text>
        <r>
          <rPr>
            <b/>
            <sz val="9"/>
            <rFont val="宋体"/>
            <charset val="134"/>
          </rPr>
          <t>Administrator:</t>
        </r>
        <r>
          <rPr>
            <sz val="9"/>
            <rFont val="宋体"/>
            <charset val="134"/>
          </rPr>
          <t xml:space="preserve">
5/12 上挪威语警语贴纸200pcs
5/12 带纽扣电池走货北欧六语通用黑白电池说明书200pcs</t>
        </r>
      </text>
    </comment>
    <comment ref="AI65" authorId="0">
      <text>
        <r>
          <rPr>
            <b/>
            <sz val="9"/>
            <rFont val="宋体"/>
            <charset val="134"/>
          </rPr>
          <t>Administrator:</t>
        </r>
        <r>
          <rPr>
            <sz val="9"/>
            <rFont val="宋体"/>
            <charset val="134"/>
          </rPr>
          <t xml:space="preserve">
2000720 5/27 240pcs
华3B9</t>
        </r>
      </text>
    </comment>
    <comment ref="AL65" authorId="0">
      <text>
        <r>
          <rPr>
            <b/>
            <sz val="9"/>
            <rFont val="宋体"/>
            <charset val="134"/>
          </rPr>
          <t>Administrator:</t>
        </r>
        <r>
          <rPr>
            <sz val="9"/>
            <rFont val="宋体"/>
            <charset val="134"/>
          </rPr>
          <t xml:space="preserve">
4/21 带纽扣电池走货北欧六语通用黑白电池说明书240pcs
4/25 上警告语贴纸240pcs</t>
        </r>
      </text>
    </comment>
    <comment ref="AI66" authorId="0">
      <text>
        <r>
          <rPr>
            <b/>
            <sz val="9"/>
            <rFont val="宋体"/>
            <charset val="134"/>
          </rPr>
          <t>Administrator:</t>
        </r>
        <r>
          <rPr>
            <sz val="9"/>
            <rFont val="宋体"/>
            <charset val="134"/>
          </rPr>
          <t xml:space="preserve">
2000707 5/28 800pcs华一B2</t>
        </r>
      </text>
    </comment>
    <comment ref="AI67" authorId="0">
      <text>
        <r>
          <rPr>
            <b/>
            <sz val="9"/>
            <rFont val="宋体"/>
            <charset val="134"/>
          </rPr>
          <t>Administrator:</t>
        </r>
        <r>
          <rPr>
            <sz val="9"/>
            <rFont val="宋体"/>
            <charset val="134"/>
          </rPr>
          <t xml:space="preserve">
2000713 5/28 1200pcs直走</t>
        </r>
      </text>
    </comment>
    <comment ref="AL67" authorId="0">
      <text>
        <r>
          <rPr>
            <b/>
            <sz val="9"/>
            <rFont val="宋体"/>
            <charset val="134"/>
          </rPr>
          <t>Administrator:</t>
        </r>
        <r>
          <rPr>
            <sz val="9"/>
            <rFont val="宋体"/>
            <charset val="134"/>
          </rPr>
          <t xml:space="preserve">
5/6 上多语警语折叠贴纸1200pcs
5/12 30L WEEE带电池走货说明书1200pcs
5/14 5L（PL+HU+CZ+SK+RO )贴纸1200pcs
</t>
        </r>
      </text>
    </comment>
    <comment ref="AI68" authorId="0">
      <text>
        <r>
          <rPr>
            <b/>
            <sz val="9"/>
            <rFont val="宋体"/>
            <charset val="134"/>
          </rPr>
          <t>Administrator:</t>
        </r>
        <r>
          <rPr>
            <sz val="9"/>
            <rFont val="宋体"/>
            <charset val="134"/>
          </rPr>
          <t xml:space="preserve">
2000707 5/28 540pcs兴信</t>
        </r>
      </text>
    </comment>
    <comment ref="AL68" authorId="0">
      <text>
        <r>
          <rPr>
            <b/>
            <sz val="9"/>
            <rFont val="宋体"/>
            <charset val="134"/>
          </rPr>
          <t>Administrator:</t>
        </r>
        <r>
          <rPr>
            <sz val="9"/>
            <rFont val="宋体"/>
            <charset val="134"/>
          </rPr>
          <t xml:space="preserve">
5/7 WEEE 带电池走货 通用30L 说明书540pcs
德语警告语贴纸540pcs
 产品图片贴纸540pcs</t>
        </r>
      </text>
    </comment>
    <comment ref="AI69" authorId="0">
      <text>
        <r>
          <rPr>
            <b/>
            <sz val="9"/>
            <rFont val="宋体"/>
            <charset val="134"/>
          </rPr>
          <t>Administrator:</t>
        </r>
        <r>
          <rPr>
            <sz val="9"/>
            <rFont val="宋体"/>
            <charset val="134"/>
          </rPr>
          <t xml:space="preserve">
2000720 5/27 1104pcs华3A18</t>
        </r>
      </text>
    </comment>
    <comment ref="AL69" authorId="0">
      <text>
        <r>
          <rPr>
            <b/>
            <sz val="9"/>
            <rFont val="宋体"/>
            <charset val="134"/>
          </rPr>
          <t>Administrator:</t>
        </r>
        <r>
          <rPr>
            <sz val="9"/>
            <rFont val="宋体"/>
            <charset val="134"/>
          </rPr>
          <t xml:space="preserve">
4/15 上客供RFID贴纸1104pcs
</t>
        </r>
      </text>
    </comment>
    <comment ref="AI70" authorId="0">
      <text>
        <r>
          <rPr>
            <b/>
            <sz val="9"/>
            <rFont val="宋体"/>
            <charset val="134"/>
          </rPr>
          <t>Administrator:</t>
        </r>
        <r>
          <rPr>
            <sz val="9"/>
            <rFont val="宋体"/>
            <charset val="134"/>
          </rPr>
          <t xml:space="preserve">
2000682 5/26 240pcs华3B14</t>
        </r>
      </text>
    </comment>
    <comment ref="AL70" authorId="0">
      <text>
        <r>
          <rPr>
            <b/>
            <sz val="9"/>
            <rFont val="宋体"/>
            <charset val="134"/>
          </rPr>
          <t>Administrator:</t>
        </r>
        <r>
          <rPr>
            <sz val="9"/>
            <rFont val="宋体"/>
            <charset val="134"/>
          </rPr>
          <t xml:space="preserve">
4/21 上西班牙环保标/邮箱贴纸240pcs</t>
        </r>
      </text>
    </comment>
    <comment ref="AI71" authorId="0">
      <text>
        <r>
          <rPr>
            <b/>
            <sz val="9"/>
            <rFont val="宋体"/>
            <charset val="134"/>
          </rPr>
          <t>Administrator:</t>
        </r>
        <r>
          <rPr>
            <sz val="9"/>
            <rFont val="宋体"/>
            <charset val="134"/>
          </rPr>
          <t xml:space="preserve">
2000720 5/27 156pcs
华3B9</t>
        </r>
      </text>
    </comment>
    <comment ref="AL71" authorId="0">
      <text>
        <r>
          <rPr>
            <b/>
            <sz val="9"/>
            <rFont val="宋体"/>
            <charset val="134"/>
          </rPr>
          <t>Administrator:</t>
        </r>
        <r>
          <rPr>
            <sz val="9"/>
            <rFont val="宋体"/>
            <charset val="134"/>
          </rPr>
          <t xml:space="preserve">
5/7 上客人白色CALLABEL贴纸156pcs
</t>
        </r>
      </text>
    </comment>
    <comment ref="AI72" authorId="0">
      <text>
        <r>
          <rPr>
            <b/>
            <sz val="9"/>
            <rFont val="宋体"/>
            <charset val="134"/>
          </rPr>
          <t>Administrator:</t>
        </r>
        <r>
          <rPr>
            <sz val="9"/>
            <rFont val="宋体"/>
            <charset val="134"/>
          </rPr>
          <t xml:space="preserve">
2002571 6/2 320pcs华3B4</t>
        </r>
      </text>
    </comment>
    <comment ref="AL72" authorId="0">
      <text>
        <r>
          <rPr>
            <b/>
            <sz val="9"/>
            <rFont val="宋体"/>
            <charset val="134"/>
          </rPr>
          <t>Administrator:</t>
        </r>
        <r>
          <rPr>
            <sz val="9"/>
            <rFont val="宋体"/>
            <charset val="134"/>
          </rPr>
          <t xml:space="preserve">
5/14 上WEE
E电池垃圾桶的回收声明说明书320pcs
5/14 上警语贴纸320pcs</t>
        </r>
      </text>
    </comment>
    <comment ref="AI73" authorId="0">
      <text>
        <r>
          <rPr>
            <b/>
            <sz val="9"/>
            <rFont val="宋体"/>
            <charset val="134"/>
          </rPr>
          <t>Administrator:</t>
        </r>
        <r>
          <rPr>
            <sz val="9"/>
            <rFont val="宋体"/>
            <charset val="134"/>
          </rPr>
          <t xml:space="preserve">
2002440 6/2 12pcs华3B14</t>
        </r>
      </text>
    </comment>
    <comment ref="AI74" authorId="0">
      <text>
        <r>
          <rPr>
            <b/>
            <sz val="9"/>
            <rFont val="宋体"/>
            <charset val="134"/>
          </rPr>
          <t>Administrator:</t>
        </r>
        <r>
          <rPr>
            <sz val="9"/>
            <rFont val="宋体"/>
            <charset val="134"/>
          </rPr>
          <t xml:space="preserve">
2002440 6/2 300pcs华3A16
</t>
        </r>
      </text>
    </comment>
    <comment ref="AI75" authorId="0">
      <text>
        <r>
          <rPr>
            <b/>
            <sz val="9"/>
            <rFont val="宋体"/>
            <charset val="134"/>
          </rPr>
          <t>Administrator:</t>
        </r>
        <r>
          <rPr>
            <sz val="9"/>
            <rFont val="宋体"/>
            <charset val="134"/>
          </rPr>
          <t xml:space="preserve">
2002440 6/2 960pcs华3B11
</t>
        </r>
      </text>
    </comment>
    <comment ref="AL75" authorId="0">
      <text>
        <r>
          <rPr>
            <b/>
            <sz val="9"/>
            <rFont val="宋体"/>
            <charset val="134"/>
          </rPr>
          <t>Administrator:</t>
        </r>
        <r>
          <rPr>
            <sz val="9"/>
            <rFont val="宋体"/>
            <charset val="134"/>
          </rPr>
          <t xml:space="preserve">
5/16 警告语/进口商贴纸960pcs
带纽扣电池走货北欧六语通用黑白电池说
 明书960pcs</t>
        </r>
      </text>
    </comment>
    <comment ref="AI76" authorId="0">
      <text>
        <r>
          <rPr>
            <b/>
            <sz val="9"/>
            <rFont val="宋体"/>
            <charset val="134"/>
          </rPr>
          <t>Administrator:</t>
        </r>
        <r>
          <rPr>
            <sz val="9"/>
            <rFont val="宋体"/>
            <charset val="134"/>
          </rPr>
          <t xml:space="preserve">
2000720 5/27 504pcs
华3A26</t>
        </r>
      </text>
    </comment>
    <comment ref="AL76" authorId="0">
      <text>
        <r>
          <rPr>
            <b/>
            <sz val="9"/>
            <rFont val="宋体"/>
            <charset val="134"/>
          </rPr>
          <t>Administrator:</t>
        </r>
        <r>
          <rPr>
            <sz val="9"/>
            <rFont val="宋体"/>
            <charset val="134"/>
          </rPr>
          <t xml:space="preserve">
4/25 上包装电池警告语贴纸504pcs
包装+说明书电池警告语贴纸1008pcs</t>
        </r>
      </text>
    </comment>
    <comment ref="AI77" authorId="0">
      <text>
        <r>
          <rPr>
            <b/>
            <sz val="9"/>
            <rFont val="宋体"/>
            <charset val="134"/>
          </rPr>
          <t>Administrator:</t>
        </r>
        <r>
          <rPr>
            <sz val="9"/>
            <rFont val="宋体"/>
            <charset val="134"/>
          </rPr>
          <t xml:space="preserve">
0001069 5/24 1500pcs华3B16</t>
        </r>
      </text>
    </comment>
    <comment ref="AL77" authorId="0">
      <text>
        <r>
          <rPr>
            <b/>
            <sz val="9"/>
            <rFont val="宋体"/>
            <charset val="134"/>
          </rPr>
          <t>Administrator:</t>
        </r>
        <r>
          <rPr>
            <sz val="9"/>
            <rFont val="宋体"/>
            <charset val="134"/>
          </rPr>
          <t xml:space="preserve">
5/12 上说明书纽扣电池警告语贴纸1500pcs
收缩膜纽扣电池警告语贴纸1500pcs
白色防盗贴纸1500pcs
KM单外箱贴纸125pcs</t>
        </r>
      </text>
    </comment>
    <comment ref="AI78" authorId="0">
      <text>
        <r>
          <rPr>
            <b/>
            <sz val="9"/>
            <rFont val="宋体"/>
            <charset val="134"/>
          </rPr>
          <t>Administrator:</t>
        </r>
        <r>
          <rPr>
            <sz val="9"/>
            <rFont val="宋体"/>
            <charset val="134"/>
          </rPr>
          <t xml:space="preserve">
2002555 6/4 168pcs兴信</t>
        </r>
      </text>
    </comment>
    <comment ref="AI79" authorId="0">
      <text>
        <r>
          <rPr>
            <b/>
            <sz val="9"/>
            <rFont val="宋体"/>
            <charset val="134"/>
          </rPr>
          <t>Administrator:</t>
        </r>
        <r>
          <rPr>
            <sz val="9"/>
            <rFont val="宋体"/>
            <charset val="134"/>
          </rPr>
          <t xml:space="preserve">
2002555 6/4 20 王付健
2002552 6/4 6680pcs王1-B1</t>
        </r>
      </text>
    </comment>
    <comment ref="AL79" authorId="0">
      <text>
        <r>
          <rPr>
            <b/>
            <sz val="9"/>
            <rFont val="宋体"/>
            <charset val="134"/>
          </rPr>
          <t>Administrator:</t>
        </r>
        <r>
          <rPr>
            <sz val="9"/>
            <rFont val="宋体"/>
            <charset val="134"/>
          </rPr>
          <t xml:space="preserve">
5/14 WEEE电池垃圾桶的回收声明说明书6700pcs
5/26 上可折叠语贴纸6700pcs
</t>
        </r>
      </text>
    </comment>
    <comment ref="AI80" authorId="0">
      <text>
        <r>
          <rPr>
            <b/>
            <sz val="9"/>
            <rFont val="宋体"/>
            <charset val="134"/>
          </rPr>
          <t>Administrator:</t>
        </r>
        <r>
          <rPr>
            <sz val="9"/>
            <rFont val="宋体"/>
            <charset val="134"/>
          </rPr>
          <t xml:space="preserve">
2002571 6/2 1600pcs华3B12</t>
        </r>
      </text>
    </comment>
    <comment ref="AL80" authorId="0">
      <text>
        <r>
          <rPr>
            <b/>
            <sz val="9"/>
            <rFont val="宋体"/>
            <charset val="134"/>
          </rPr>
          <t>Administrator:</t>
        </r>
        <r>
          <rPr>
            <sz val="9"/>
            <rFont val="宋体"/>
            <charset val="134"/>
          </rPr>
          <t xml:space="preserve">
5/14 上进口含意大利环保贴纸3040pcs
5/14 上展示架条码贴纸180pcs
5/27 收到展示架条码贴纸220pcs</t>
        </r>
      </text>
    </comment>
    <comment ref="AI81" authorId="0">
      <text>
        <r>
          <rPr>
            <b/>
            <sz val="9"/>
            <rFont val="宋体"/>
            <charset val="134"/>
          </rPr>
          <t>Administrator:</t>
        </r>
        <r>
          <rPr>
            <sz val="9"/>
            <rFont val="宋体"/>
            <charset val="134"/>
          </rPr>
          <t xml:space="preserve">
2002392 6/5 480pcs 王 1-A5</t>
        </r>
      </text>
    </comment>
    <comment ref="AL81" authorId="0">
      <text>
        <r>
          <rPr>
            <b/>
            <sz val="9"/>
            <rFont val="宋体"/>
            <charset val="134"/>
          </rPr>
          <t>Administrator:</t>
        </r>
        <r>
          <rPr>
            <sz val="9"/>
            <rFont val="宋体"/>
            <charset val="134"/>
          </rPr>
          <t xml:space="preserve">
5/20 上PDQ进口商贴纸160pcs</t>
        </r>
      </text>
    </comment>
    <comment ref="AI82" authorId="0">
      <text>
        <r>
          <rPr>
            <b/>
            <sz val="9"/>
            <rFont val="宋体"/>
            <charset val="134"/>
          </rPr>
          <t>Administrator:</t>
        </r>
        <r>
          <rPr>
            <sz val="9"/>
            <rFont val="宋体"/>
            <charset val="134"/>
          </rPr>
          <t xml:space="preserve">
2002369 6/5 1800pcs
王 1-A4</t>
        </r>
      </text>
    </comment>
    <comment ref="AL82" authorId="0">
      <text>
        <r>
          <rPr>
            <b/>
            <sz val="9"/>
            <rFont val="宋体"/>
            <charset val="134"/>
          </rPr>
          <t>Administrator:</t>
        </r>
        <r>
          <rPr>
            <sz val="9"/>
            <rFont val="宋体"/>
            <charset val="134"/>
          </rPr>
          <t xml:space="preserve">
5/14 上进口商贴纸1800pcs</t>
        </r>
      </text>
    </comment>
    <comment ref="AI83" authorId="0">
      <text>
        <r>
          <rPr>
            <b/>
            <sz val="9"/>
            <rFont val="宋体"/>
            <charset val="134"/>
          </rPr>
          <t>Administrator:</t>
        </r>
        <r>
          <rPr>
            <sz val="9"/>
            <rFont val="宋体"/>
            <charset val="134"/>
          </rPr>
          <t xml:space="preserve">
2002530 6/6 504PCS
 WANG 1-A8</t>
        </r>
      </text>
    </comment>
    <comment ref="AL83" authorId="0">
      <text>
        <r>
          <rPr>
            <b/>
            <sz val="9"/>
            <rFont val="宋体"/>
            <charset val="134"/>
          </rPr>
          <t>Administrator:</t>
        </r>
        <r>
          <rPr>
            <sz val="9"/>
            <rFont val="宋体"/>
            <charset val="134"/>
          </rPr>
          <t xml:space="preserve">
5/19 上亚马逊外箱贴纸42pcs
5/20 上UPC贴纸504pcs
5/26 上可折叠语贴纸504pcs
</t>
        </r>
      </text>
    </comment>
    <comment ref="AI84" authorId="0">
      <text>
        <r>
          <rPr>
            <b/>
            <sz val="9"/>
            <rFont val="宋体"/>
            <charset val="134"/>
          </rPr>
          <t>Administrator:</t>
        </r>
        <r>
          <rPr>
            <sz val="9"/>
            <rFont val="宋体"/>
            <charset val="134"/>
          </rPr>
          <t xml:space="preserve">
2002510 6/7 504pcs华 3B16</t>
        </r>
      </text>
    </comment>
    <comment ref="AL84" authorId="0">
      <text>
        <r>
          <rPr>
            <b/>
            <sz val="9"/>
            <rFont val="宋体"/>
            <charset val="134"/>
          </rPr>
          <t>Administrator:</t>
        </r>
        <r>
          <rPr>
            <sz val="9"/>
            <rFont val="宋体"/>
            <charset val="134"/>
          </rPr>
          <t xml:space="preserve">
5/14 WEEE带电池 走货欧洲30L通用黑白说明书504pcs</t>
        </r>
      </text>
    </comment>
    <comment ref="AI85" authorId="0">
      <text>
        <r>
          <rPr>
            <b/>
            <sz val="9"/>
            <rFont val="宋体"/>
            <charset val="134"/>
          </rPr>
          <t>Administrator:</t>
        </r>
        <r>
          <rPr>
            <sz val="9"/>
            <rFont val="宋体"/>
            <charset val="134"/>
          </rPr>
          <t xml:space="preserve">
2002496 6/14 48pcs</t>
        </r>
      </text>
    </comment>
    <comment ref="AI86" authorId="0">
      <text>
        <r>
          <rPr>
            <b/>
            <sz val="9"/>
            <rFont val="宋体"/>
            <charset val="134"/>
          </rPr>
          <t>Administrator:</t>
        </r>
        <r>
          <rPr>
            <sz val="9"/>
            <rFont val="宋体"/>
            <charset val="134"/>
          </rPr>
          <t xml:space="preserve">
2002297 6/9 728pcs莫
2002262 6/11 4pcsa</t>
        </r>
      </text>
    </comment>
    <comment ref="AL86" authorId="0">
      <text>
        <r>
          <rPr>
            <b/>
            <sz val="9"/>
            <rFont val="宋体"/>
            <charset val="134"/>
          </rPr>
          <t>Administrator:</t>
        </r>
        <r>
          <rPr>
            <sz val="9"/>
            <rFont val="宋体"/>
            <charset val="134"/>
          </rPr>
          <t xml:space="preserve">
5/12 上客供RFID 贴纸732pcs</t>
        </r>
      </text>
    </comment>
    <comment ref="AI87" authorId="0">
      <text>
        <r>
          <rPr>
            <b/>
            <sz val="9"/>
            <rFont val="宋体"/>
            <charset val="134"/>
          </rPr>
          <t>Administrator:</t>
        </r>
        <r>
          <rPr>
            <sz val="9"/>
            <rFont val="宋体"/>
            <charset val="134"/>
          </rPr>
          <t xml:space="preserve">
2002297 6/9 740pcs莫</t>
        </r>
      </text>
    </comment>
    <comment ref="AL87" authorId="0">
      <text>
        <r>
          <rPr>
            <b/>
            <sz val="9"/>
            <rFont val="宋体"/>
            <charset val="134"/>
          </rPr>
          <t>Administrator:</t>
        </r>
        <r>
          <rPr>
            <sz val="9"/>
            <rFont val="宋体"/>
            <charset val="134"/>
          </rPr>
          <t xml:space="preserve">
5/12 上客供RFID贴纸740pcs
</t>
        </r>
      </text>
    </comment>
    <comment ref="AI88" authorId="0">
      <text>
        <r>
          <rPr>
            <b/>
            <sz val="9"/>
            <rFont val="宋体"/>
            <charset val="134"/>
          </rPr>
          <t>Administrator:</t>
        </r>
        <r>
          <rPr>
            <sz val="9"/>
            <rFont val="宋体"/>
            <charset val="134"/>
          </rPr>
          <t xml:space="preserve">
2002297 6/9 652pcs莫
2002262 6/11 4pcs</t>
        </r>
      </text>
    </comment>
    <comment ref="AL88" authorId="0">
      <text>
        <r>
          <rPr>
            <b/>
            <sz val="9"/>
            <rFont val="宋体"/>
            <charset val="134"/>
          </rPr>
          <t>Administrator:</t>
        </r>
        <r>
          <rPr>
            <sz val="9"/>
            <rFont val="宋体"/>
            <charset val="134"/>
          </rPr>
          <t xml:space="preserve">
5/12 上客供RFID贴纸656pcs
</t>
        </r>
      </text>
    </comment>
    <comment ref="AI89" authorId="0">
      <text>
        <r>
          <rPr>
            <b/>
            <sz val="9"/>
            <rFont val="宋体"/>
            <charset val="134"/>
          </rPr>
          <t>Administrator:</t>
        </r>
        <r>
          <rPr>
            <sz val="9"/>
            <rFont val="宋体"/>
            <charset val="134"/>
          </rPr>
          <t xml:space="preserve">
2002297 6/9 836pcs莫
2002262 6/11 12pcs</t>
        </r>
      </text>
    </comment>
    <comment ref="AL89" authorId="0">
      <text>
        <r>
          <rPr>
            <b/>
            <sz val="9"/>
            <rFont val="宋体"/>
            <charset val="134"/>
          </rPr>
          <t>Administrator:</t>
        </r>
        <r>
          <rPr>
            <sz val="9"/>
            <rFont val="宋体"/>
            <charset val="134"/>
          </rPr>
          <t xml:space="preserve">
5/12 上客供RFID贴纸848pcs</t>
        </r>
      </text>
    </comment>
    <comment ref="AI90" authorId="0">
      <text>
        <r>
          <rPr>
            <b/>
            <sz val="9"/>
            <rFont val="宋体"/>
            <charset val="134"/>
          </rPr>
          <t>Administrator:</t>
        </r>
        <r>
          <rPr>
            <sz val="9"/>
            <rFont val="宋体"/>
            <charset val="134"/>
          </rPr>
          <t xml:space="preserve">
2002297 6/9 792pcs莫
2002262 6/11 4pcs</t>
        </r>
      </text>
    </comment>
    <comment ref="AL90" authorId="0">
      <text>
        <r>
          <rPr>
            <b/>
            <sz val="9"/>
            <rFont val="宋体"/>
            <charset val="134"/>
          </rPr>
          <t>Administrator:</t>
        </r>
        <r>
          <rPr>
            <sz val="9"/>
            <rFont val="宋体"/>
            <charset val="134"/>
          </rPr>
          <t xml:space="preserve">
5/12 上客供RFID贴纸796pcs</t>
        </r>
      </text>
    </comment>
    <comment ref="AI91" authorId="0">
      <text>
        <r>
          <rPr>
            <b/>
            <sz val="9"/>
            <rFont val="宋体"/>
            <charset val="134"/>
          </rPr>
          <t>Administrator:</t>
        </r>
        <r>
          <rPr>
            <sz val="9"/>
            <rFont val="宋体"/>
            <charset val="134"/>
          </rPr>
          <t xml:space="preserve">
2002308 6/7 512pcs直走</t>
        </r>
      </text>
    </comment>
    <comment ref="AL91" authorId="0">
      <text>
        <r>
          <rPr>
            <b/>
            <sz val="9"/>
            <rFont val="宋体"/>
            <charset val="134"/>
          </rPr>
          <t>Administrator:</t>
        </r>
        <r>
          <rPr>
            <sz val="9"/>
            <rFont val="宋体"/>
            <charset val="134"/>
          </rPr>
          <t xml:space="preserve">
5/14 WEEE电池垃圾桶的回收声明说明书512pcs
</t>
        </r>
      </text>
    </comment>
    <comment ref="AI92" authorId="0">
      <text>
        <r>
          <rPr>
            <b/>
            <sz val="9"/>
            <rFont val="宋体"/>
            <charset val="134"/>
          </rPr>
          <t>Administrator:</t>
        </r>
        <r>
          <rPr>
            <sz val="9"/>
            <rFont val="宋体"/>
            <charset val="134"/>
          </rPr>
          <t xml:space="preserve">
2002523 6/6 480pcs 王1-A9</t>
        </r>
      </text>
    </comment>
    <comment ref="AL92" authorId="0">
      <text>
        <r>
          <rPr>
            <b/>
            <sz val="9"/>
            <rFont val="宋体"/>
            <charset val="134"/>
          </rPr>
          <t>Administrator:</t>
        </r>
        <r>
          <rPr>
            <sz val="9"/>
            <rFont val="宋体"/>
            <charset val="134"/>
          </rPr>
          <t xml:space="preserve">
5/9 上彩盒+收缩膜进口商贴纸600pcs
5/19 上说明书480pcs
5/21 上彩盒+收缩膜进口商贴纸480pcs补订
</t>
        </r>
      </text>
    </comment>
    <comment ref="AI93" authorId="0">
      <text>
        <r>
          <rPr>
            <b/>
            <sz val="9"/>
            <rFont val="宋体"/>
            <charset val="134"/>
          </rPr>
          <t>Administrator:</t>
        </r>
        <r>
          <rPr>
            <sz val="9"/>
            <rFont val="宋体"/>
            <charset val="134"/>
          </rPr>
          <t xml:space="preserve">
2002541 6/5 540pcs</t>
        </r>
      </text>
    </comment>
    <comment ref="AL93" authorId="0">
      <text>
        <r>
          <rPr>
            <b/>
            <sz val="9"/>
            <rFont val="宋体"/>
            <charset val="134"/>
          </rPr>
          <t>Administrator:</t>
        </r>
        <r>
          <rPr>
            <sz val="9"/>
            <rFont val="宋体"/>
            <charset val="134"/>
          </rPr>
          <t xml:space="preserve">
5/9 上意大利环保标通用地址贴纸540pcs
6/10 上30LWEEE说明书540pcs</t>
        </r>
      </text>
    </comment>
    <comment ref="AL95" authorId="0">
      <text>
        <r>
          <rPr>
            <b/>
            <sz val="9"/>
            <rFont val="宋体"/>
            <charset val="134"/>
          </rPr>
          <t>Administrator:</t>
        </r>
        <r>
          <rPr>
            <sz val="9"/>
            <rFont val="宋体"/>
            <charset val="134"/>
          </rPr>
          <t xml:space="preserve">
4/14 上客供警语贴纸1240pcs
客供电池 警语贴纸1242pcs
客供中文警告说明书630pcs</t>
        </r>
      </text>
    </comment>
    <comment ref="AI96" authorId="0">
      <text>
        <r>
          <rPr>
            <b/>
            <sz val="9"/>
            <rFont val="宋体"/>
            <charset val="134"/>
          </rPr>
          <t>Administrator:</t>
        </r>
        <r>
          <rPr>
            <sz val="9"/>
            <rFont val="宋体"/>
            <charset val="134"/>
          </rPr>
          <t xml:space="preserve">
2002280 6/9 1800pcs直走</t>
        </r>
      </text>
    </comment>
    <comment ref="AL96" authorId="0">
      <text>
        <r>
          <rPr>
            <b/>
            <sz val="9"/>
            <rFont val="宋体"/>
            <charset val="134"/>
          </rPr>
          <t>Administrator:</t>
        </r>
        <r>
          <rPr>
            <sz val="9"/>
            <rFont val="宋体"/>
            <charset val="134"/>
          </rPr>
          <t xml:space="preserve">
5/21 上保证书1800pcs
6/29 上外箱贴纸150pcs
进口商贴纸1800pcs
产品贴纸1800pcs
UPC贴纸1800pcs
说明书1800pcs</t>
        </r>
      </text>
    </comment>
    <comment ref="AI98" authorId="0">
      <text>
        <r>
          <rPr>
            <b/>
            <sz val="9"/>
            <rFont val="宋体"/>
            <charset val="134"/>
          </rPr>
          <t>Administrator:</t>
        </r>
        <r>
          <rPr>
            <sz val="9"/>
            <rFont val="宋体"/>
            <charset val="134"/>
          </rPr>
          <t xml:space="preserve">
2000727 5/26 1440pcs送回半成品东莞混装</t>
        </r>
      </text>
    </comment>
    <comment ref="AI99" authorId="0">
      <text>
        <r>
          <rPr>
            <b/>
            <sz val="9"/>
            <rFont val="宋体"/>
            <charset val="134"/>
          </rPr>
          <t>Administrator:</t>
        </r>
        <r>
          <rPr>
            <sz val="9"/>
            <rFont val="宋体"/>
            <charset val="134"/>
          </rPr>
          <t xml:space="preserve">
2002276 6/9 976pcs罗3B8
2002267 6/10 24pcs
华3B8</t>
        </r>
      </text>
    </comment>
    <comment ref="AL99" authorId="0">
      <text>
        <r>
          <rPr>
            <b/>
            <sz val="9"/>
            <rFont val="宋体"/>
            <charset val="134"/>
          </rPr>
          <t>Administrator:</t>
        </r>
        <r>
          <rPr>
            <sz val="9"/>
            <rFont val="宋体"/>
            <charset val="134"/>
          </rPr>
          <t xml:space="preserve">
5/14 WEEE电池垃圾桶的回收声明说明书1000pcs</t>
        </r>
      </text>
    </comment>
    <comment ref="AI100" authorId="0">
      <text>
        <r>
          <rPr>
            <b/>
            <sz val="9"/>
            <rFont val="宋体"/>
            <charset val="134"/>
          </rPr>
          <t>Administrator:</t>
        </r>
        <r>
          <rPr>
            <sz val="9"/>
            <rFont val="宋体"/>
            <charset val="134"/>
          </rPr>
          <t xml:space="preserve">
2002287 6/10 480pcs华3B12
2002262 6/11 12pcs华3B12</t>
        </r>
      </text>
    </comment>
    <comment ref="AL100" authorId="0">
      <text>
        <r>
          <rPr>
            <b/>
            <sz val="9"/>
            <rFont val="宋体"/>
            <charset val="134"/>
          </rPr>
          <t>Administrator:</t>
        </r>
        <r>
          <rPr>
            <sz val="9"/>
            <rFont val="宋体"/>
            <charset val="134"/>
          </rPr>
          <t xml:space="preserve">
5/12 亚马逊外箱贴纸41pcs
5/26 上可折叠语贴纸492pcs
5/12 上UPc贴纸492pcs</t>
        </r>
      </text>
    </comment>
    <comment ref="AI101" authorId="0">
      <text>
        <r>
          <rPr>
            <b/>
            <sz val="9"/>
            <rFont val="宋体"/>
            <charset val="134"/>
          </rPr>
          <t>Administrator:</t>
        </r>
        <r>
          <rPr>
            <sz val="9"/>
            <rFont val="宋体"/>
            <charset val="134"/>
          </rPr>
          <t xml:space="preserve">
2002287 6/10 480pcs华3B12
2002262 6/11 12pcs华3B12</t>
        </r>
      </text>
    </comment>
    <comment ref="AL101" authorId="0">
      <text>
        <r>
          <rPr>
            <b/>
            <sz val="9"/>
            <rFont val="宋体"/>
            <charset val="134"/>
          </rPr>
          <t>Administrator:</t>
        </r>
        <r>
          <rPr>
            <sz val="9"/>
            <rFont val="宋体"/>
            <charset val="134"/>
          </rPr>
          <t xml:space="preserve">
5/12 亚马逊外箱贴纸41pcs
5/26 上可折叠语贴纸492pcs
5/12 上UPc贴纸492pcs
</t>
        </r>
      </text>
    </comment>
    <comment ref="AI102" authorId="0">
      <text>
        <r>
          <rPr>
            <b/>
            <sz val="9"/>
            <rFont val="宋体"/>
            <charset val="134"/>
          </rPr>
          <t>Administrator:</t>
        </r>
        <r>
          <rPr>
            <sz val="9"/>
            <rFont val="宋体"/>
            <charset val="134"/>
          </rPr>
          <t xml:space="preserve">
2002287 6/10 1380pcs华3A23</t>
        </r>
      </text>
    </comment>
    <comment ref="AL102" authorId="0">
      <text>
        <r>
          <rPr>
            <b/>
            <sz val="9"/>
            <rFont val="宋体"/>
            <charset val="134"/>
          </rPr>
          <t>Administrator:</t>
        </r>
        <r>
          <rPr>
            <sz val="9"/>
            <rFont val="宋体"/>
            <charset val="134"/>
          </rPr>
          <t xml:space="preserve">
5/19 上亚马逊外箱贴纸115pcs
5/26 上可折叠语贴纸1380pcs
5/12 上UPc贴纸1380pcs</t>
        </r>
      </text>
    </comment>
    <comment ref="AI103" authorId="0">
      <text>
        <r>
          <rPr>
            <b/>
            <sz val="9"/>
            <rFont val="宋体"/>
            <charset val="134"/>
          </rPr>
          <t>Administrator:</t>
        </r>
        <r>
          <rPr>
            <sz val="9"/>
            <rFont val="宋体"/>
            <charset val="134"/>
          </rPr>
          <t xml:space="preserve">
2002287 6/10 756pcs华3B14</t>
        </r>
      </text>
    </comment>
    <comment ref="AL103" authorId="0">
      <text>
        <r>
          <rPr>
            <b/>
            <sz val="9"/>
            <rFont val="宋体"/>
            <charset val="134"/>
          </rPr>
          <t>Administrator:</t>
        </r>
        <r>
          <rPr>
            <sz val="9"/>
            <rFont val="宋体"/>
            <charset val="134"/>
          </rPr>
          <t xml:space="preserve">
5/19 上亚马逊外箱贴纸115pcs
5/26 上可折叠语贴纸756pcs
5/12 上UPc贴纸756pcs</t>
        </r>
      </text>
    </comment>
    <comment ref="AI104" authorId="0">
      <text>
        <r>
          <rPr>
            <b/>
            <sz val="9"/>
            <rFont val="宋体"/>
            <charset val="134"/>
          </rPr>
          <t>Administrator:</t>
        </r>
        <r>
          <rPr>
            <sz val="9"/>
            <rFont val="宋体"/>
            <charset val="134"/>
          </rPr>
          <t xml:space="preserve">
2002287 6/10 492pcs华3B12</t>
        </r>
      </text>
    </comment>
    <comment ref="AL104" authorId="0">
      <text>
        <r>
          <rPr>
            <b/>
            <sz val="9"/>
            <rFont val="宋体"/>
            <charset val="134"/>
          </rPr>
          <t>Administrator:</t>
        </r>
        <r>
          <rPr>
            <sz val="9"/>
            <rFont val="宋体"/>
            <charset val="134"/>
          </rPr>
          <t xml:space="preserve">
5/19 上亚马逊外箱贴纸115pcs
5/26 上可折叠语贴纸492pcs
5/12 上UPc贴纸292pcs</t>
        </r>
      </text>
    </comment>
    <comment ref="AI105" authorId="0">
      <text>
        <r>
          <rPr>
            <b/>
            <sz val="9"/>
            <rFont val="宋体"/>
            <charset val="134"/>
          </rPr>
          <t>Administrator:</t>
        </r>
        <r>
          <rPr>
            <sz val="9"/>
            <rFont val="宋体"/>
            <charset val="134"/>
          </rPr>
          <t xml:space="preserve">
2002465 5/29 504pcs莫4B9 送回半成品车间混凝</t>
        </r>
      </text>
    </comment>
    <comment ref="AL105" authorId="0">
      <text>
        <r>
          <rPr>
            <b/>
            <sz val="9"/>
            <rFont val="宋体"/>
            <charset val="134"/>
          </rPr>
          <t>Administrator:</t>
        </r>
        <r>
          <rPr>
            <sz val="9"/>
            <rFont val="宋体"/>
            <charset val="134"/>
          </rPr>
          <t xml:space="preserve">
5/19 上UPC贴纸504pcs</t>
        </r>
      </text>
    </comment>
    <comment ref="AI106" authorId="0">
      <text>
        <r>
          <rPr>
            <b/>
            <sz val="9"/>
            <rFont val="宋体"/>
            <charset val="134"/>
          </rPr>
          <t>Administrator:</t>
        </r>
        <r>
          <rPr>
            <sz val="9"/>
            <rFont val="宋体"/>
            <charset val="134"/>
          </rPr>
          <t xml:space="preserve">
2002267 6/10 240pcs
华3B14</t>
        </r>
      </text>
    </comment>
    <comment ref="AL106" authorId="0">
      <text>
        <r>
          <rPr>
            <b/>
            <sz val="9"/>
            <rFont val="宋体"/>
            <charset val="134"/>
          </rPr>
          <t>Administrator:</t>
        </r>
        <r>
          <rPr>
            <sz val="9"/>
            <rFont val="宋体"/>
            <charset val="134"/>
          </rPr>
          <t xml:space="preserve">
5/26 上可折叠语贴纸240pcs</t>
        </r>
      </text>
    </comment>
    <comment ref="AI107" authorId="0">
      <text>
        <r>
          <rPr>
            <b/>
            <sz val="9"/>
            <rFont val="宋体"/>
            <charset val="134"/>
          </rPr>
          <t>Administrator:</t>
        </r>
        <r>
          <rPr>
            <sz val="9"/>
            <rFont val="宋体"/>
            <charset val="134"/>
          </rPr>
          <t xml:space="preserve">
2002500 6/10 1200pcs华一B2</t>
        </r>
      </text>
    </comment>
    <comment ref="AL107" authorId="0">
      <text>
        <r>
          <rPr>
            <b/>
            <sz val="9"/>
            <rFont val="宋体"/>
            <charset val="134"/>
          </rPr>
          <t>Administrator:</t>
        </r>
        <r>
          <rPr>
            <sz val="9"/>
            <rFont val="宋体"/>
            <charset val="134"/>
          </rPr>
          <t xml:space="preserve">
5/21 上进口商贴纸1200pcs</t>
        </r>
      </text>
    </comment>
    <comment ref="AI110" authorId="0">
      <text>
        <r>
          <rPr>
            <b/>
            <sz val="9"/>
            <rFont val="宋体"/>
            <charset val="134"/>
          </rPr>
          <t>Administrator:</t>
        </r>
        <r>
          <rPr>
            <sz val="9"/>
            <rFont val="宋体"/>
            <charset val="134"/>
          </rPr>
          <t xml:space="preserve">
2002516 6/9 792pcs
罗 3B15</t>
        </r>
      </text>
    </comment>
    <comment ref="AL110" authorId="0">
      <text>
        <r>
          <rPr>
            <b/>
            <sz val="9"/>
            <rFont val="宋体"/>
            <charset val="134"/>
          </rPr>
          <t>Administrator:</t>
        </r>
        <r>
          <rPr>
            <sz val="9"/>
            <rFont val="宋体"/>
            <charset val="134"/>
          </rPr>
          <t xml:space="preserve">
5/27 上进口商贴纸792pcs</t>
        </r>
      </text>
    </comment>
    <comment ref="AI111" authorId="0">
      <text>
        <r>
          <rPr>
            <b/>
            <sz val="9"/>
            <rFont val="宋体"/>
            <charset val="134"/>
          </rPr>
          <t>Administrator:</t>
        </r>
        <r>
          <rPr>
            <sz val="9"/>
            <rFont val="宋体"/>
            <charset val="134"/>
          </rPr>
          <t xml:space="preserve">
2002487 6/12 48pcs华3B14</t>
        </r>
      </text>
    </comment>
    <comment ref="AI112" authorId="0">
      <text>
        <r>
          <rPr>
            <b/>
            <sz val="9"/>
            <rFont val="宋体"/>
            <charset val="134"/>
          </rPr>
          <t>Administrator:</t>
        </r>
        <r>
          <rPr>
            <sz val="9"/>
            <rFont val="宋体"/>
            <charset val="134"/>
          </rPr>
          <t xml:space="preserve">
2002487 6/12 16pcs
华3B14</t>
        </r>
      </text>
    </comment>
    <comment ref="AI113" authorId="0">
      <text>
        <r>
          <rPr>
            <b/>
            <sz val="9"/>
            <rFont val="宋体"/>
            <charset val="134"/>
          </rPr>
          <t>Administrator:</t>
        </r>
        <r>
          <rPr>
            <sz val="9"/>
            <rFont val="宋体"/>
            <charset val="134"/>
          </rPr>
          <t xml:space="preserve">
2002487 6/12 128pcs
华3B14</t>
        </r>
      </text>
    </comment>
    <comment ref="AI114" authorId="0">
      <text>
        <r>
          <rPr>
            <b/>
            <sz val="9"/>
            <rFont val="宋体"/>
            <charset val="134"/>
          </rPr>
          <t>Administrator:</t>
        </r>
        <r>
          <rPr>
            <sz val="9"/>
            <rFont val="宋体"/>
            <charset val="134"/>
          </rPr>
          <t xml:space="preserve">
2002489 6/1184pcs
w华3B4</t>
        </r>
      </text>
    </comment>
    <comment ref="AI116" authorId="0">
      <text>
        <r>
          <rPr>
            <b/>
            <sz val="9"/>
            <rFont val="宋体"/>
            <charset val="134"/>
          </rPr>
          <t>Administrator:</t>
        </r>
        <r>
          <rPr>
            <sz val="9"/>
            <rFont val="宋体"/>
            <charset val="134"/>
          </rPr>
          <t xml:space="preserve">
2002489 6/12 1644pcs华3B2</t>
        </r>
      </text>
    </comment>
    <comment ref="AL116" authorId="0">
      <text>
        <r>
          <rPr>
            <b/>
            <sz val="9"/>
            <rFont val="宋体"/>
            <charset val="134"/>
          </rPr>
          <t>Administrator:</t>
        </r>
        <r>
          <rPr>
            <sz val="9"/>
            <rFont val="宋体"/>
            <charset val="134"/>
          </rPr>
          <t xml:space="preserve">
5/19 上进口商贴纸1644pcs</t>
        </r>
      </text>
    </comment>
    <comment ref="AI117" authorId="0">
      <text>
        <r>
          <rPr>
            <b/>
            <sz val="9"/>
            <rFont val="宋体"/>
            <charset val="134"/>
          </rPr>
          <t>Administrator:</t>
        </r>
        <r>
          <rPr>
            <sz val="9"/>
            <rFont val="宋体"/>
            <charset val="134"/>
          </rPr>
          <t xml:space="preserve">
2002507 6/11 1184pcs华3A10</t>
        </r>
      </text>
    </comment>
    <comment ref="AL117" authorId="0">
      <text>
        <r>
          <rPr>
            <b/>
            <sz val="9"/>
            <rFont val="宋体"/>
            <charset val="134"/>
          </rPr>
          <t>Administrator:</t>
        </r>
        <r>
          <rPr>
            <sz val="9"/>
            <rFont val="宋体"/>
            <charset val="134"/>
          </rPr>
          <t xml:space="preserve">
5/12 上客供RFID贴纸1184pcs</t>
        </r>
      </text>
    </comment>
    <comment ref="AI118" authorId="0">
      <text>
        <r>
          <rPr>
            <b/>
            <sz val="9"/>
            <rFont val="宋体"/>
            <charset val="134"/>
          </rPr>
          <t>Administrator:</t>
        </r>
        <r>
          <rPr>
            <sz val="9"/>
            <rFont val="宋体"/>
            <charset val="134"/>
          </rPr>
          <t xml:space="preserve">
2002507 6/11 980pcs华3A12</t>
        </r>
      </text>
    </comment>
    <comment ref="AL118" authorId="0">
      <text>
        <r>
          <rPr>
            <b/>
            <sz val="9"/>
            <rFont val="宋体"/>
            <charset val="134"/>
          </rPr>
          <t>Administrator:</t>
        </r>
        <r>
          <rPr>
            <sz val="9"/>
            <rFont val="宋体"/>
            <charset val="134"/>
          </rPr>
          <t xml:space="preserve">
5/12 上客供RFID贴纸980pcs</t>
        </r>
      </text>
    </comment>
    <comment ref="AI119" authorId="0">
      <text>
        <r>
          <rPr>
            <b/>
            <sz val="9"/>
            <rFont val="宋体"/>
            <charset val="134"/>
          </rPr>
          <t>Administrator:</t>
        </r>
        <r>
          <rPr>
            <sz val="9"/>
            <rFont val="宋体"/>
            <charset val="134"/>
          </rPr>
          <t xml:space="preserve">
2002500 6/10 1880pcs 华一B2</t>
        </r>
      </text>
    </comment>
    <comment ref="AL119" authorId="0">
      <text>
        <r>
          <rPr>
            <b/>
            <sz val="9"/>
            <rFont val="宋体"/>
            <charset val="134"/>
          </rPr>
          <t>Administrator:</t>
        </r>
        <r>
          <rPr>
            <sz val="9"/>
            <rFont val="宋体"/>
            <charset val="134"/>
          </rPr>
          <t xml:space="preserve">
5/26 上多语警语折叠贴纸2000pcs
5/27 上WEEE电池垃圾桶的回收声明说明书2000pcs</t>
        </r>
      </text>
    </comment>
    <comment ref="AI120" authorId="0">
      <text>
        <r>
          <rPr>
            <b/>
            <sz val="9"/>
            <rFont val="宋体"/>
            <charset val="134"/>
          </rPr>
          <t>Administrator:</t>
        </r>
        <r>
          <rPr>
            <sz val="9"/>
            <rFont val="宋体"/>
            <charset val="134"/>
          </rPr>
          <t xml:space="preserve">
2002507 6/11 1996pcs华3A14</t>
        </r>
      </text>
    </comment>
    <comment ref="AL120" authorId="0">
      <text>
        <r>
          <rPr>
            <b/>
            <sz val="9"/>
            <rFont val="宋体"/>
            <charset val="134"/>
          </rPr>
          <t>Administrator:</t>
        </r>
        <r>
          <rPr>
            <sz val="9"/>
            <rFont val="宋体"/>
            <charset val="134"/>
          </rPr>
          <t xml:space="preserve">
5/26 上UPC贴纸1996pcs</t>
        </r>
      </text>
    </comment>
    <comment ref="AI121" authorId="0">
      <text>
        <r>
          <rPr>
            <b/>
            <sz val="9"/>
            <rFont val="宋体"/>
            <charset val="134"/>
          </rPr>
          <t>Administrator:</t>
        </r>
        <r>
          <rPr>
            <sz val="9"/>
            <rFont val="宋体"/>
            <charset val="134"/>
          </rPr>
          <t xml:space="preserve">
2002500 6/10 3000pcs华一B1</t>
        </r>
      </text>
    </comment>
    <comment ref="AL121" authorId="0">
      <text>
        <r>
          <rPr>
            <b/>
            <sz val="9"/>
            <rFont val="宋体"/>
            <charset val="134"/>
          </rPr>
          <t>Administrator:</t>
        </r>
        <r>
          <rPr>
            <sz val="9"/>
            <rFont val="宋体"/>
            <charset val="134"/>
          </rPr>
          <t xml:space="preserve">
5/26 WEEE电池通用30L说明书（带电池）3000pcs</t>
        </r>
      </text>
    </comment>
    <comment ref="AI122" authorId="0">
      <text>
        <r>
          <rPr>
            <b/>
            <sz val="9"/>
            <rFont val="宋体"/>
            <charset val="134"/>
          </rPr>
          <t>Administrator:</t>
        </r>
        <r>
          <rPr>
            <sz val="9"/>
            <rFont val="宋体"/>
            <charset val="134"/>
          </rPr>
          <t xml:space="preserve">
2002507 6/11 504pcs华3A15</t>
        </r>
      </text>
    </comment>
    <comment ref="AL122" authorId="0">
      <text>
        <r>
          <rPr>
            <b/>
            <sz val="9"/>
            <rFont val="宋体"/>
            <charset val="134"/>
          </rPr>
          <t>Administrator:</t>
        </r>
        <r>
          <rPr>
            <sz val="9"/>
            <rFont val="宋体"/>
            <charset val="134"/>
          </rPr>
          <t xml:space="preserve">
5/7 上WEEE带电池走货-说明书504pcs
客人款号EAN条码贴纸504pcs</t>
        </r>
      </text>
    </comment>
    <comment ref="AI123" authorId="0">
      <text>
        <r>
          <rPr>
            <b/>
            <sz val="9"/>
            <rFont val="宋体"/>
            <charset val="134"/>
          </rPr>
          <t>Administrator:</t>
        </r>
        <r>
          <rPr>
            <sz val="9"/>
            <rFont val="宋体"/>
            <charset val="134"/>
          </rPr>
          <t xml:space="preserve">
2002487 6/12 640pcs
华3B16</t>
        </r>
      </text>
    </comment>
    <comment ref="AL123" authorId="0">
      <text>
        <r>
          <rPr>
            <b/>
            <sz val="9"/>
            <rFont val="宋体"/>
            <charset val="134"/>
          </rPr>
          <t>Administrator:</t>
        </r>
        <r>
          <rPr>
            <sz val="9"/>
            <rFont val="宋体"/>
            <charset val="134"/>
          </rPr>
          <t xml:space="preserve">
5/24 上进口商贴纸640pcs
说明书贴纸640pcs</t>
        </r>
      </text>
    </comment>
    <comment ref="AI124" authorId="0">
      <text>
        <r>
          <rPr>
            <b/>
            <sz val="9"/>
            <rFont val="宋体"/>
            <charset val="134"/>
          </rPr>
          <t>Administrator:</t>
        </r>
        <r>
          <rPr>
            <sz val="9"/>
            <rFont val="宋体"/>
            <charset val="134"/>
          </rPr>
          <t xml:space="preserve">
2002155 6/17 26pcs张全 一楼
</t>
        </r>
      </text>
    </comment>
    <comment ref="AI125" authorId="0">
      <text>
        <r>
          <rPr>
            <b/>
            <sz val="9"/>
            <rFont val="宋体"/>
            <charset val="134"/>
          </rPr>
          <t>Administrator:</t>
        </r>
        <r>
          <rPr>
            <sz val="9"/>
            <rFont val="宋体"/>
            <charset val="134"/>
          </rPr>
          <t xml:space="preserve">
2002475 6/16 240pcs华3B2</t>
        </r>
      </text>
    </comment>
    <comment ref="AI126" authorId="0">
      <text>
        <r>
          <rPr>
            <b/>
            <sz val="9"/>
            <rFont val="宋体"/>
            <charset val="134"/>
          </rPr>
          <t>Administrator:</t>
        </r>
        <r>
          <rPr>
            <sz val="9"/>
            <rFont val="宋体"/>
            <charset val="134"/>
          </rPr>
          <t xml:space="preserve">
2002475 6/16 432pcs
华3B4</t>
        </r>
      </text>
    </comment>
    <comment ref="AI127" authorId="0">
      <text>
        <r>
          <rPr>
            <b/>
            <sz val="9"/>
            <rFont val="宋体"/>
            <charset val="134"/>
          </rPr>
          <t>Administrator:</t>
        </r>
        <r>
          <rPr>
            <sz val="9"/>
            <rFont val="宋体"/>
            <charset val="134"/>
          </rPr>
          <t xml:space="preserve">
20024852 6/17 512pcs华3B10</t>
        </r>
      </text>
    </comment>
    <comment ref="AI128" authorId="0">
      <text>
        <r>
          <rPr>
            <b/>
            <sz val="9"/>
            <rFont val="宋体"/>
            <charset val="134"/>
          </rPr>
          <t>Administrator:</t>
        </r>
        <r>
          <rPr>
            <sz val="9"/>
            <rFont val="宋体"/>
            <charset val="134"/>
          </rPr>
          <t xml:space="preserve">
2000830 6/18 840pcs莫4B4</t>
        </r>
      </text>
    </comment>
    <comment ref="AI129" authorId="0">
      <text>
        <r>
          <rPr>
            <b/>
            <sz val="9"/>
            <rFont val="宋体"/>
            <charset val="134"/>
          </rPr>
          <t>Administrator:</t>
        </r>
        <r>
          <rPr>
            <sz val="9"/>
            <rFont val="宋体"/>
            <charset val="134"/>
          </rPr>
          <t xml:space="preserve">
2002183 6/19 8pcs
直走
2002139 6/19 2964pcs直走</t>
        </r>
      </text>
    </comment>
    <comment ref="AL129" authorId="0">
      <text>
        <r>
          <rPr>
            <b/>
            <sz val="9"/>
            <rFont val="宋体"/>
            <charset val="134"/>
          </rPr>
          <t>Administrator:</t>
        </r>
        <r>
          <rPr>
            <sz val="9"/>
            <rFont val="宋体"/>
            <charset val="134"/>
          </rPr>
          <t xml:space="preserve">
5/30 上客供外箱条码贴纸750pcs
</t>
        </r>
      </text>
    </comment>
    <comment ref="AI130" authorId="0">
      <text>
        <r>
          <rPr>
            <b/>
            <sz val="9"/>
            <rFont val="宋体"/>
            <charset val="134"/>
          </rPr>
          <t>Administrator:</t>
        </r>
        <r>
          <rPr>
            <sz val="9"/>
            <rFont val="宋体"/>
            <charset val="134"/>
          </rPr>
          <t xml:space="preserve">
2002475 6/16 2160pcs
华一B3</t>
        </r>
      </text>
    </comment>
    <comment ref="AL130" authorId="0">
      <text>
        <r>
          <rPr>
            <b/>
            <sz val="9"/>
            <rFont val="宋体"/>
            <charset val="134"/>
          </rPr>
          <t>Administrator:</t>
        </r>
        <r>
          <rPr>
            <sz val="9"/>
            <rFont val="宋体"/>
            <charset val="134"/>
          </rPr>
          <t xml:space="preserve">
5/30 上客供外箱条码贴纸545pcs
</t>
        </r>
      </text>
    </comment>
    <comment ref="AI131" authorId="0">
      <text>
        <r>
          <rPr>
            <b/>
            <sz val="9"/>
            <rFont val="宋体"/>
            <charset val="134"/>
          </rPr>
          <t>Administrator:</t>
        </r>
        <r>
          <rPr>
            <sz val="9"/>
            <rFont val="宋体"/>
            <charset val="134"/>
          </rPr>
          <t xml:space="preserve">
2002482 6/17 1000pcs华3A23</t>
        </r>
      </text>
    </comment>
    <comment ref="AL131" authorId="0">
      <text>
        <r>
          <rPr>
            <b/>
            <sz val="9"/>
            <rFont val="宋体"/>
            <charset val="134"/>
          </rPr>
          <t>Administrator:</t>
        </r>
        <r>
          <rPr>
            <sz val="9"/>
            <rFont val="宋体"/>
            <charset val="134"/>
          </rPr>
          <t xml:space="preserve">
5/6 上多语警语折叠贴纸1000pcs
5/12 上多语版WEEE电池垃圾桶的回收声明说明书1000pcs
6/14 上多语折叠警告语贴纸1000pcs因贴纸有问题重订</t>
        </r>
      </text>
    </comment>
    <comment ref="AI132" authorId="0">
      <text>
        <r>
          <rPr>
            <b/>
            <sz val="9"/>
            <rFont val="宋体"/>
            <charset val="134"/>
          </rPr>
          <t>Administrator:</t>
        </r>
        <r>
          <rPr>
            <sz val="9"/>
            <rFont val="宋体"/>
            <charset val="134"/>
          </rPr>
          <t xml:space="preserve">
2002183 6/19 16pcs
华3A29
2002144 6/19 2996pcs华3A29</t>
        </r>
      </text>
    </comment>
    <comment ref="AL132" authorId="0">
      <text>
        <r>
          <rPr>
            <b/>
            <sz val="9"/>
            <rFont val="宋体"/>
            <charset val="134"/>
          </rPr>
          <t>Administrator:</t>
        </r>
        <r>
          <rPr>
            <sz val="9"/>
            <rFont val="宋体"/>
            <charset val="134"/>
          </rPr>
          <t xml:space="preserve">
5/30 上客供外箱条码贴纸761pcs</t>
        </r>
      </text>
    </comment>
    <comment ref="AI133" authorId="0">
      <text>
        <r>
          <rPr>
            <b/>
            <sz val="9"/>
            <rFont val="宋体"/>
            <charset val="134"/>
          </rPr>
          <t>Administrator:</t>
        </r>
        <r>
          <rPr>
            <sz val="9"/>
            <rFont val="宋体"/>
            <charset val="134"/>
          </rPr>
          <t xml:space="preserve">
2000836 6/21 3180pcs王1-A8-B8</t>
        </r>
      </text>
    </comment>
    <comment ref="AL133" authorId="0">
      <text>
        <r>
          <rPr>
            <b/>
            <sz val="9"/>
            <rFont val="宋体"/>
            <charset val="134"/>
          </rPr>
          <t>Administrator:</t>
        </r>
        <r>
          <rPr>
            <sz val="9"/>
            <rFont val="宋体"/>
            <charset val="134"/>
          </rPr>
          <t xml:space="preserve">
6/11 上多语折叠贴纸3180pcs</t>
        </r>
      </text>
    </comment>
    <comment ref="AI134" authorId="0">
      <text>
        <r>
          <rPr>
            <b/>
            <sz val="9"/>
            <rFont val="宋体"/>
            <charset val="134"/>
          </rPr>
          <t>Administrator:</t>
        </r>
        <r>
          <rPr>
            <sz val="9"/>
            <rFont val="宋体"/>
            <charset val="134"/>
          </rPr>
          <t xml:space="preserve">
2002500 6/10 600pcs华一B3</t>
        </r>
      </text>
    </comment>
    <comment ref="AL134" authorId="0">
      <text>
        <r>
          <rPr>
            <b/>
            <sz val="9"/>
            <rFont val="宋体"/>
            <charset val="134"/>
          </rPr>
          <t>Administrator:</t>
        </r>
        <r>
          <rPr>
            <sz val="9"/>
            <rFont val="宋体"/>
            <charset val="134"/>
          </rPr>
          <t xml:space="preserve">
5/21 上警告语/信息翻译贴纸600pcs
带纽扣电池走货北欧六语通用黑白电池说明书600pcs
1 袋子警告语贴纸1800pcs
1 袋子警告语贴纸600pcs</t>
        </r>
      </text>
    </comment>
    <comment ref="AI135" authorId="0">
      <text>
        <r>
          <rPr>
            <b/>
            <sz val="9"/>
            <rFont val="宋体"/>
            <charset val="134"/>
          </rPr>
          <t>Administrator:</t>
        </r>
        <r>
          <rPr>
            <sz val="9"/>
            <rFont val="宋体"/>
            <charset val="134"/>
          </rPr>
          <t xml:space="preserve">
2000845 6/20 788pcs华3A25</t>
        </r>
      </text>
    </comment>
    <comment ref="AL135" authorId="0">
      <text>
        <r>
          <rPr>
            <b/>
            <sz val="9"/>
            <rFont val="宋体"/>
            <charset val="134"/>
          </rPr>
          <t>Administrator:</t>
        </r>
        <r>
          <rPr>
            <sz val="9"/>
            <rFont val="宋体"/>
            <charset val="134"/>
          </rPr>
          <t xml:space="preserve">
5/12 上客供RFID贴纸788pcs</t>
        </r>
      </text>
    </comment>
    <comment ref="AI136" authorId="0">
      <text>
        <r>
          <rPr>
            <b/>
            <sz val="9"/>
            <rFont val="宋体"/>
            <charset val="134"/>
          </rPr>
          <t>Administrator:</t>
        </r>
        <r>
          <rPr>
            <sz val="9"/>
            <rFont val="宋体"/>
            <charset val="134"/>
          </rPr>
          <t xml:space="preserve">
2000845 6/20 788pcs华3A25
</t>
        </r>
      </text>
    </comment>
    <comment ref="AL136" authorId="0">
      <text>
        <r>
          <rPr>
            <b/>
            <sz val="9"/>
            <rFont val="宋体"/>
            <charset val="134"/>
          </rPr>
          <t>Administrator:</t>
        </r>
        <r>
          <rPr>
            <sz val="9"/>
            <rFont val="宋体"/>
            <charset val="134"/>
          </rPr>
          <t xml:space="preserve">
5/12 上客供RFID贴纸788pcs</t>
        </r>
      </text>
    </comment>
    <comment ref="AI137" authorId="0">
      <text>
        <r>
          <rPr>
            <b/>
            <sz val="9"/>
            <rFont val="宋体"/>
            <charset val="134"/>
          </rPr>
          <t>Administrator:</t>
        </r>
        <r>
          <rPr>
            <sz val="9"/>
            <rFont val="宋体"/>
            <charset val="134"/>
          </rPr>
          <t xml:space="preserve">
2000845 6/20 948pcs华3A25
</t>
        </r>
      </text>
    </comment>
    <comment ref="AL137" authorId="0">
      <text>
        <r>
          <rPr>
            <b/>
            <sz val="9"/>
            <rFont val="宋体"/>
            <charset val="134"/>
          </rPr>
          <t>Administrator:</t>
        </r>
        <r>
          <rPr>
            <sz val="9"/>
            <rFont val="宋体"/>
            <charset val="134"/>
          </rPr>
          <t xml:space="preserve">
5/12 上客供RFID贴纸948pcs</t>
        </r>
      </text>
    </comment>
    <comment ref="AI138" authorId="0">
      <text>
        <r>
          <rPr>
            <b/>
            <sz val="9"/>
            <rFont val="宋体"/>
            <charset val="134"/>
          </rPr>
          <t>Administrator:</t>
        </r>
        <r>
          <rPr>
            <sz val="9"/>
            <rFont val="宋体"/>
            <charset val="134"/>
          </rPr>
          <t xml:space="preserve">
2000845 6/20 1144pcs华3A25
</t>
        </r>
      </text>
    </comment>
    <comment ref="AL138" authorId="0">
      <text>
        <r>
          <rPr>
            <b/>
            <sz val="9"/>
            <rFont val="宋体"/>
            <charset val="134"/>
          </rPr>
          <t>Administrator:</t>
        </r>
        <r>
          <rPr>
            <sz val="9"/>
            <rFont val="宋体"/>
            <charset val="134"/>
          </rPr>
          <t xml:space="preserve">
5/12 上客供RFID贴纸1144pcs</t>
        </r>
      </text>
    </comment>
    <comment ref="AI139" authorId="0">
      <text>
        <r>
          <rPr>
            <b/>
            <sz val="9"/>
            <rFont val="宋体"/>
            <charset val="134"/>
          </rPr>
          <t>Administrator:</t>
        </r>
        <r>
          <rPr>
            <sz val="9"/>
            <rFont val="宋体"/>
            <charset val="134"/>
          </rPr>
          <t xml:space="preserve">
2000832 6/19 1220pcs华3A17</t>
        </r>
      </text>
    </comment>
    <comment ref="AL139" authorId="0">
      <text>
        <r>
          <rPr>
            <b/>
            <sz val="9"/>
            <rFont val="宋体"/>
            <charset val="134"/>
          </rPr>
          <t>Administrator:</t>
        </r>
        <r>
          <rPr>
            <sz val="9"/>
            <rFont val="宋体"/>
            <charset val="134"/>
          </rPr>
          <t xml:space="preserve">
5/12 上客供RFID贴纸1220pcs</t>
        </r>
      </text>
    </comment>
    <comment ref="AI140" authorId="0">
      <text>
        <r>
          <rPr>
            <b/>
            <sz val="9"/>
            <rFont val="宋体"/>
            <charset val="134"/>
          </rPr>
          <t>Administrator:</t>
        </r>
        <r>
          <rPr>
            <sz val="9"/>
            <rFont val="宋体"/>
            <charset val="134"/>
          </rPr>
          <t xml:space="preserve">
2000836 6/21 540pcs王1-A4</t>
        </r>
      </text>
    </comment>
    <comment ref="AL140" authorId="0">
      <text>
        <r>
          <rPr>
            <b/>
            <sz val="9"/>
            <rFont val="宋体"/>
            <charset val="134"/>
          </rPr>
          <t>Administrator:</t>
        </r>
        <r>
          <rPr>
            <sz val="9"/>
            <rFont val="宋体"/>
            <charset val="134"/>
          </rPr>
          <t xml:space="preserve">
5/26 上德语警告语贴纸540pcs
WEEE 带电池走货540pcs
5/30 上客供价格贴纸540pcs
6/13 Kinderherz 2025 Logo贴纸540pcs</t>
        </r>
      </text>
    </comment>
    <comment ref="AI141" authorId="0">
      <text>
        <r>
          <rPr>
            <b/>
            <sz val="9"/>
            <rFont val="宋体"/>
            <charset val="134"/>
          </rPr>
          <t>Administrator:</t>
        </r>
        <r>
          <rPr>
            <sz val="9"/>
            <rFont val="宋体"/>
            <charset val="134"/>
          </rPr>
          <t xml:space="preserve">
20000836 6/21 640pcs王1-A3</t>
        </r>
      </text>
    </comment>
    <comment ref="AL141" authorId="0">
      <text>
        <r>
          <rPr>
            <b/>
            <sz val="9"/>
            <rFont val="宋体"/>
            <charset val="134"/>
          </rPr>
          <t>Administrator:</t>
        </r>
        <r>
          <rPr>
            <sz val="9"/>
            <rFont val="宋体"/>
            <charset val="134"/>
          </rPr>
          <t xml:space="preserve">
5/30 上警语/进口商贴纸640pcs
</t>
        </r>
      </text>
    </comment>
    <comment ref="AI142" authorId="0">
      <text>
        <r>
          <rPr>
            <b/>
            <sz val="9"/>
            <rFont val="宋体"/>
            <charset val="134"/>
          </rPr>
          <t>Administrator:</t>
        </r>
        <r>
          <rPr>
            <sz val="9"/>
            <rFont val="宋体"/>
            <charset val="134"/>
          </rPr>
          <t xml:space="preserve">
2000845 6/20 656pcs直走</t>
        </r>
      </text>
    </comment>
    <comment ref="AL142" authorId="0">
      <text>
        <r>
          <rPr>
            <b/>
            <sz val="9"/>
            <rFont val="宋体"/>
            <charset val="134"/>
          </rPr>
          <t>Administrator:</t>
        </r>
        <r>
          <rPr>
            <sz val="9"/>
            <rFont val="宋体"/>
            <charset val="134"/>
          </rPr>
          <t xml:space="preserve">
5/29 上进口商贴纸656pcs</t>
        </r>
      </text>
    </comment>
    <comment ref="AI143" authorId="0">
      <text>
        <r>
          <rPr>
            <b/>
            <sz val="9"/>
            <rFont val="宋体"/>
            <charset val="134"/>
          </rPr>
          <t>Administrator:</t>
        </r>
        <r>
          <rPr>
            <sz val="9"/>
            <rFont val="宋体"/>
            <charset val="134"/>
          </rPr>
          <t xml:space="preserve">
2002189 6/19 4704pcs华3A7
2002061 6/20 32pcs</t>
        </r>
      </text>
    </comment>
    <comment ref="AI144" authorId="0">
      <text>
        <r>
          <rPr>
            <b/>
            <sz val="9"/>
            <rFont val="宋体"/>
            <charset val="134"/>
          </rPr>
          <t>Administrator:</t>
        </r>
        <r>
          <rPr>
            <sz val="9"/>
            <rFont val="宋体"/>
            <charset val="134"/>
          </rPr>
          <t xml:space="preserve">
2002189 6/19 4544pcs
华3A7
2002061 6/20 192pcs华3A7</t>
        </r>
      </text>
    </comment>
    <comment ref="AI145" authorId="0">
      <text>
        <r>
          <rPr>
            <b/>
            <sz val="9"/>
            <rFont val="宋体"/>
            <charset val="134"/>
          </rPr>
          <t>Administrator:</t>
        </r>
        <r>
          <rPr>
            <sz val="9"/>
            <rFont val="宋体"/>
            <charset val="134"/>
          </rPr>
          <t xml:space="preserve">
2000836 6/21 420pcs王1-A4</t>
        </r>
      </text>
    </comment>
    <comment ref="AL145" authorId="0">
      <text>
        <r>
          <rPr>
            <b/>
            <sz val="9"/>
            <rFont val="宋体"/>
            <charset val="134"/>
          </rPr>
          <t>Administrator:</t>
        </r>
        <r>
          <rPr>
            <sz val="9"/>
            <rFont val="宋体"/>
            <charset val="134"/>
          </rPr>
          <t xml:space="preserve">
6/10 上进口商贴纸420pcs
UPC贴纸420pcs</t>
        </r>
      </text>
    </comment>
    <comment ref="AI146" authorId="0">
      <text>
        <r>
          <rPr>
            <b/>
            <sz val="9"/>
            <rFont val="宋体"/>
            <charset val="134"/>
          </rPr>
          <t>Administrator:</t>
        </r>
        <r>
          <rPr>
            <sz val="9"/>
            <rFont val="宋体"/>
            <charset val="134"/>
          </rPr>
          <t xml:space="preserve">
2001675 6/24 1602pcs王3-C6</t>
        </r>
      </text>
    </comment>
    <comment ref="AL146" authorId="0">
      <text>
        <r>
          <rPr>
            <b/>
            <sz val="9"/>
            <rFont val="宋体"/>
            <charset val="134"/>
          </rPr>
          <t>Administrator:</t>
        </r>
        <r>
          <rPr>
            <sz val="9"/>
            <rFont val="宋体"/>
            <charset val="134"/>
          </rPr>
          <t xml:space="preserve">
6/11 上3C贴纸2100pcs三个同PO共用</t>
        </r>
      </text>
    </comment>
    <comment ref="AI147" authorId="0">
      <text>
        <r>
          <rPr>
            <b/>
            <sz val="9"/>
            <rFont val="宋体"/>
            <charset val="134"/>
          </rPr>
          <t>Administrator:</t>
        </r>
        <r>
          <rPr>
            <sz val="9"/>
            <rFont val="宋体"/>
            <charset val="134"/>
          </rPr>
          <t xml:space="preserve">
2001675 6/24 96pcs
王3-C6</t>
        </r>
      </text>
    </comment>
    <comment ref="AI148" authorId="0">
      <text>
        <r>
          <rPr>
            <b/>
            <sz val="9"/>
            <rFont val="宋体"/>
            <charset val="134"/>
          </rPr>
          <t>Administrator:</t>
        </r>
        <r>
          <rPr>
            <sz val="9"/>
            <rFont val="宋体"/>
            <charset val="134"/>
          </rPr>
          <t xml:space="preserve">
3001817 6/26 1828pcs
3001777 6/27 24pcs华3A21</t>
        </r>
      </text>
    </comment>
    <comment ref="AL148" authorId="0">
      <text>
        <r>
          <rPr>
            <b/>
            <sz val="9"/>
            <rFont val="宋体"/>
            <charset val="134"/>
          </rPr>
          <t>Administrator:</t>
        </r>
        <r>
          <rPr>
            <sz val="9"/>
            <rFont val="宋体"/>
            <charset val="134"/>
          </rPr>
          <t xml:space="preserve">
5/26 上多语警语折叠贴纸1852pcs
5/27 上WEEE电池垃圾桶的回收声明说明书1852pcs
</t>
        </r>
      </text>
    </comment>
    <comment ref="AI149" authorId="0">
      <text>
        <r>
          <rPr>
            <b/>
            <sz val="9"/>
            <rFont val="宋体"/>
            <charset val="134"/>
          </rPr>
          <t>Administrator:</t>
        </r>
        <r>
          <rPr>
            <sz val="9"/>
            <rFont val="宋体"/>
            <charset val="134"/>
          </rPr>
          <t xml:space="preserve">
2001647 6/28 504pcs莫3B8</t>
        </r>
      </text>
    </comment>
    <comment ref="AL149" authorId="0">
      <text>
        <r>
          <rPr>
            <b/>
            <sz val="9"/>
            <rFont val="宋体"/>
            <charset val="134"/>
          </rPr>
          <t>Administrator:</t>
        </r>
        <r>
          <rPr>
            <sz val="9"/>
            <rFont val="宋体"/>
            <charset val="134"/>
          </rPr>
          <t xml:space="preserve">
6/13 上进口商贴纸504pcs
UPC贴纸504pcs</t>
        </r>
      </text>
    </comment>
    <comment ref="AI150" authorId="0">
      <text>
        <r>
          <rPr>
            <b/>
            <sz val="9"/>
            <rFont val="宋体"/>
            <charset val="134"/>
          </rPr>
          <t>Administrator:</t>
        </r>
        <r>
          <rPr>
            <sz val="9"/>
            <rFont val="宋体"/>
            <charset val="134"/>
          </rPr>
          <t xml:space="preserve">
2001643 6/27 1000pcs华3B15</t>
        </r>
      </text>
    </comment>
    <comment ref="AL150" authorId="0">
      <text>
        <r>
          <rPr>
            <b/>
            <sz val="9"/>
            <rFont val="宋体"/>
            <charset val="134"/>
          </rPr>
          <t>Administrator:</t>
        </r>
        <r>
          <rPr>
            <sz val="9"/>
            <rFont val="宋体"/>
            <charset val="134"/>
          </rPr>
          <t xml:space="preserve">
6/10 上4国警告贴纸1000pcs</t>
        </r>
      </text>
    </comment>
    <comment ref="AI151" authorId="0">
      <text>
        <r>
          <rPr>
            <b/>
            <sz val="9"/>
            <rFont val="宋体"/>
            <charset val="134"/>
          </rPr>
          <t>Administrator:</t>
        </r>
        <r>
          <rPr>
            <sz val="9"/>
            <rFont val="宋体"/>
            <charset val="134"/>
          </rPr>
          <t xml:space="preserve">
2001658 6/25 828pcs王1-A9</t>
        </r>
      </text>
    </comment>
    <comment ref="AL151" authorId="0">
      <text>
        <r>
          <rPr>
            <b/>
            <sz val="9"/>
            <rFont val="宋体"/>
            <charset val="134"/>
          </rPr>
          <t>Administrator:</t>
        </r>
        <r>
          <rPr>
            <sz val="9"/>
            <rFont val="宋体"/>
            <charset val="134"/>
          </rPr>
          <t xml:space="preserve">
5/30 上UPC贴纸828pcs</t>
        </r>
      </text>
    </comment>
    <comment ref="AI152" authorId="0">
      <text>
        <r>
          <rPr>
            <b/>
            <sz val="9"/>
            <rFont val="宋体"/>
            <charset val="134"/>
          </rPr>
          <t>Administrator:</t>
        </r>
        <r>
          <rPr>
            <sz val="9"/>
            <rFont val="宋体"/>
            <charset val="134"/>
          </rPr>
          <t xml:space="preserve">
2001658 6/25 3384pcs
王1-B</t>
        </r>
      </text>
    </comment>
    <comment ref="AL152" authorId="0">
      <text>
        <r>
          <rPr>
            <b/>
            <sz val="9"/>
            <rFont val="宋体"/>
            <charset val="134"/>
          </rPr>
          <t>Administrator:</t>
        </r>
        <r>
          <rPr>
            <sz val="9"/>
            <rFont val="宋体"/>
            <charset val="134"/>
          </rPr>
          <t xml:space="preserve">
6/3 上UPC贴纸3384pcs</t>
        </r>
      </text>
    </comment>
    <comment ref="AI153" authorId="0">
      <text>
        <r>
          <rPr>
            <b/>
            <sz val="9"/>
            <rFont val="宋体"/>
            <charset val="134"/>
          </rPr>
          <t>Administrator:</t>
        </r>
        <r>
          <rPr>
            <sz val="9"/>
            <rFont val="宋体"/>
            <charset val="134"/>
          </rPr>
          <t xml:space="preserve">
2001647 6/28 120pcs华3A24</t>
        </r>
      </text>
    </comment>
    <comment ref="AL153" authorId="0">
      <text>
        <r>
          <rPr>
            <b/>
            <sz val="9"/>
            <rFont val="宋体"/>
            <charset val="134"/>
          </rPr>
          <t>Administrator:</t>
        </r>
        <r>
          <rPr>
            <sz val="9"/>
            <rFont val="宋体"/>
            <charset val="134"/>
          </rPr>
          <t xml:space="preserve">
6/13 上UPC贴纸120pcs</t>
        </r>
      </text>
    </comment>
    <comment ref="AI154" authorId="0">
      <text>
        <r>
          <rPr>
            <b/>
            <sz val="9"/>
            <rFont val="宋体"/>
            <charset val="134"/>
          </rPr>
          <t>Administrator:</t>
        </r>
        <r>
          <rPr>
            <sz val="9"/>
            <rFont val="宋体"/>
            <charset val="134"/>
          </rPr>
          <t xml:space="preserve">
3001839 6/25 560pcs
华3B12
3001809 6/26 48pcs</t>
        </r>
      </text>
    </comment>
    <comment ref="AI155" authorId="0">
      <text>
        <r>
          <rPr>
            <b/>
            <sz val="9"/>
            <rFont val="宋体"/>
            <charset val="134"/>
          </rPr>
          <t>Administrator:</t>
        </r>
        <r>
          <rPr>
            <sz val="9"/>
            <rFont val="宋体"/>
            <charset val="134"/>
          </rPr>
          <t xml:space="preserve">
3001786 6/26 1404pcs华3B9</t>
        </r>
      </text>
    </comment>
    <comment ref="AL155" authorId="0">
      <text>
        <r>
          <rPr>
            <b/>
            <sz val="9"/>
            <rFont val="宋体"/>
            <charset val="134"/>
          </rPr>
          <t>Administrator:</t>
        </r>
        <r>
          <rPr>
            <sz val="9"/>
            <rFont val="宋体"/>
            <charset val="134"/>
          </rPr>
          <t xml:space="preserve">
5/12 上客供RFID贴纸1408pcs</t>
        </r>
      </text>
    </comment>
    <comment ref="AI156" authorId="0">
      <text>
        <r>
          <rPr>
            <b/>
            <sz val="9"/>
            <rFont val="宋体"/>
            <charset val="134"/>
          </rPr>
          <t>Administrator:</t>
        </r>
        <r>
          <rPr>
            <sz val="9"/>
            <rFont val="宋体"/>
            <charset val="134"/>
          </rPr>
          <t xml:space="preserve">
3001839 6/25 344pcs华3A27
3001777 6/27 4pcs华3A27</t>
        </r>
      </text>
    </comment>
    <comment ref="AL156" authorId="0">
      <text>
        <r>
          <rPr>
            <b/>
            <sz val="9"/>
            <rFont val="宋体"/>
            <charset val="134"/>
          </rPr>
          <t>Administrator:</t>
        </r>
        <r>
          <rPr>
            <sz val="9"/>
            <rFont val="宋体"/>
            <charset val="134"/>
          </rPr>
          <t xml:space="preserve">
6/4 上欧洲通用30L WEEE_带电池走货声明书348pcs</t>
        </r>
      </text>
    </comment>
    <comment ref="AI157" authorId="0">
      <text>
        <r>
          <rPr>
            <b/>
            <sz val="9"/>
            <rFont val="宋体"/>
            <charset val="134"/>
          </rPr>
          <t>Administrator:</t>
        </r>
        <r>
          <rPr>
            <sz val="9"/>
            <rFont val="宋体"/>
            <charset val="134"/>
          </rPr>
          <t xml:space="preserve">
3001839 6/25 168pcs
兴信</t>
        </r>
      </text>
    </comment>
    <comment ref="AI158" authorId="0">
      <text>
        <r>
          <rPr>
            <b/>
            <sz val="9"/>
            <rFont val="宋体"/>
            <charset val="134"/>
          </rPr>
          <t>Administrator:</t>
        </r>
        <r>
          <rPr>
            <sz val="9"/>
            <rFont val="宋体"/>
            <charset val="134"/>
          </rPr>
          <t xml:space="preserve">
3001839 6/25 512pcs
华3B13
3001809 6/26 48pcs
</t>
        </r>
      </text>
    </comment>
    <comment ref="AI159" authorId="0">
      <text>
        <r>
          <rPr>
            <b/>
            <sz val="9"/>
            <rFont val="宋体"/>
            <charset val="134"/>
          </rPr>
          <t>Administrator:</t>
        </r>
        <r>
          <rPr>
            <sz val="9"/>
            <rFont val="宋体"/>
            <charset val="134"/>
          </rPr>
          <t xml:space="preserve">
3001839 6/25 800pcs
华3B11</t>
        </r>
      </text>
    </comment>
    <comment ref="AL159" authorId="0">
      <text>
        <r>
          <rPr>
            <b/>
            <sz val="9"/>
            <rFont val="宋体"/>
            <charset val="134"/>
          </rPr>
          <t>Administrator:</t>
        </r>
        <r>
          <rPr>
            <sz val="9"/>
            <rFont val="宋体"/>
            <charset val="134"/>
          </rPr>
          <t xml:space="preserve">
6/10 上进口商贴纸800pcs</t>
        </r>
      </text>
    </comment>
    <comment ref="AI160" authorId="0">
      <text>
        <r>
          <rPr>
            <b/>
            <sz val="9"/>
            <rFont val="宋体"/>
            <charset val="134"/>
          </rPr>
          <t>Administrator:</t>
        </r>
        <r>
          <rPr>
            <sz val="9"/>
            <rFont val="宋体"/>
            <charset val="134"/>
          </rPr>
          <t xml:space="preserve">
3001817 6/26 100pcs</t>
        </r>
      </text>
    </comment>
    <comment ref="AI161" authorId="0">
      <text>
        <r>
          <rPr>
            <b/>
            <sz val="9"/>
            <rFont val="宋体"/>
            <charset val="134"/>
          </rPr>
          <t>Administrator:</t>
        </r>
        <r>
          <rPr>
            <sz val="9"/>
            <rFont val="宋体"/>
            <charset val="134"/>
          </rPr>
          <t xml:space="preserve">
3001817 6/26 80pcs
</t>
        </r>
      </text>
    </comment>
    <comment ref="AI163" authorId="0">
      <text>
        <r>
          <rPr>
            <b/>
            <sz val="9"/>
            <rFont val="宋体"/>
            <charset val="134"/>
          </rPr>
          <t>Administrator:</t>
        </r>
        <r>
          <rPr>
            <sz val="9"/>
            <rFont val="宋体"/>
            <charset val="134"/>
          </rPr>
          <t xml:space="preserve">
2002516 6/9 3600pcs
东莞混装</t>
        </r>
      </text>
    </comment>
    <comment ref="AL163" authorId="0">
      <text>
        <r>
          <rPr>
            <b/>
            <sz val="9"/>
            <rFont val="宋体"/>
            <charset val="134"/>
          </rPr>
          <t>Administrator:</t>
        </r>
        <r>
          <rPr>
            <sz val="9"/>
            <rFont val="宋体"/>
            <charset val="134"/>
          </rPr>
          <t xml:space="preserve">
5/6 上多语警语折叠贴纸3600pcs
多语版WEEE电池垃圾桶的回收声明说明书3600pcs
6/14 收到多语折叠警告语贴纸3600pcs留车间返工</t>
        </r>
      </text>
    </comment>
    <comment ref="AL166" authorId="0">
      <text>
        <r>
          <rPr>
            <b/>
            <sz val="9"/>
            <rFont val="宋体"/>
            <charset val="134"/>
          </rPr>
          <t>Administrator:</t>
        </r>
        <r>
          <rPr>
            <sz val="9"/>
            <rFont val="宋体"/>
            <charset val="134"/>
          </rPr>
          <t xml:space="preserve">
6/4 上欧洲通用30L WEEE_带电池走货声明书1002pcs
6/10 上德语意大利警告语贴纸1002pcs</t>
        </r>
      </text>
    </comment>
    <comment ref="AI168" authorId="0">
      <text>
        <r>
          <rPr>
            <b/>
            <sz val="9"/>
            <rFont val="宋体"/>
            <charset val="134"/>
          </rPr>
          <t>Administrator:</t>
        </r>
        <r>
          <rPr>
            <sz val="9"/>
            <rFont val="宋体"/>
            <charset val="134"/>
          </rPr>
          <t xml:space="preserve">
3001915 7/3 600pcs华3B2</t>
        </r>
      </text>
    </comment>
    <comment ref="AL168" authorId="0">
      <text>
        <r>
          <rPr>
            <b/>
            <sz val="9"/>
            <rFont val="宋体"/>
            <charset val="134"/>
          </rPr>
          <t>Administrator:</t>
        </r>
        <r>
          <rPr>
            <sz val="9"/>
            <rFont val="宋体"/>
            <charset val="134"/>
          </rPr>
          <t xml:space="preserve">
6/21 上进口商贴纸600pcs</t>
        </r>
      </text>
    </comment>
    <comment ref="AI169" authorId="0">
      <text>
        <r>
          <rPr>
            <b/>
            <sz val="9"/>
            <rFont val="宋体"/>
            <charset val="134"/>
          </rPr>
          <t>Administrator:</t>
        </r>
        <r>
          <rPr>
            <sz val="9"/>
            <rFont val="宋体"/>
            <charset val="134"/>
          </rPr>
          <t xml:space="preserve">
3001565 7/2 1676pcs
莫4A1
3001915 7/3 24pcs兴信</t>
        </r>
      </text>
    </comment>
    <comment ref="AL169" authorId="0">
      <text>
        <r>
          <rPr>
            <b/>
            <sz val="9"/>
            <rFont val="宋体"/>
            <charset val="134"/>
          </rPr>
          <t>Administrator:</t>
        </r>
        <r>
          <rPr>
            <sz val="9"/>
            <rFont val="宋体"/>
            <charset val="134"/>
          </rPr>
          <t xml:space="preserve">
5/12 上客供RFID贴纸1700pcs</t>
        </r>
      </text>
    </comment>
    <comment ref="AI170" authorId="0">
      <text>
        <r>
          <rPr>
            <b/>
            <sz val="9"/>
            <rFont val="宋体"/>
            <charset val="134"/>
          </rPr>
          <t>Administrator:</t>
        </r>
        <r>
          <rPr>
            <sz val="9"/>
            <rFont val="宋体"/>
            <charset val="134"/>
          </rPr>
          <t xml:space="preserve">
3001366 6/28 4000pcs华3A26</t>
        </r>
      </text>
    </comment>
    <comment ref="AL170" authorId="0">
      <text>
        <r>
          <rPr>
            <b/>
            <sz val="9"/>
            <rFont val="宋体"/>
            <charset val="134"/>
          </rPr>
          <t>Administrator:</t>
        </r>
        <r>
          <rPr>
            <sz val="9"/>
            <rFont val="宋体"/>
            <charset val="134"/>
          </rPr>
          <t xml:space="preserve">
6/4 上欧洲通用30L WEEE_带电池走货声明书4000pcs
</t>
        </r>
      </text>
    </comment>
    <comment ref="AI171" authorId="0">
      <text>
        <r>
          <rPr>
            <b/>
            <sz val="9"/>
            <rFont val="宋体"/>
            <charset val="134"/>
          </rPr>
          <t>Administrator:</t>
        </r>
        <r>
          <rPr>
            <sz val="9"/>
            <rFont val="宋体"/>
            <charset val="134"/>
          </rPr>
          <t xml:space="preserve">
3001592 6/30 3480pcs华3A26
3001915 7/3 24pcs华3A26</t>
        </r>
      </text>
    </comment>
    <comment ref="AL171" authorId="0">
      <text>
        <r>
          <rPr>
            <b/>
            <sz val="9"/>
            <rFont val="宋体"/>
            <charset val="134"/>
          </rPr>
          <t>Administrator:</t>
        </r>
        <r>
          <rPr>
            <sz val="9"/>
            <rFont val="宋体"/>
            <charset val="134"/>
          </rPr>
          <t xml:space="preserve">
5/30 上WEEE说明书3504pcs
6/13 上2025LOGO贴纸3504pcs</t>
        </r>
      </text>
    </comment>
    <comment ref="AI172" authorId="0">
      <text>
        <r>
          <rPr>
            <b/>
            <sz val="9"/>
            <rFont val="宋体"/>
            <charset val="134"/>
          </rPr>
          <t>Administrator:</t>
        </r>
        <r>
          <rPr>
            <sz val="9"/>
            <rFont val="宋体"/>
            <charset val="134"/>
          </rPr>
          <t xml:space="preserve">
3001366 6/28 1716pcs华3B15</t>
        </r>
      </text>
    </comment>
    <comment ref="AI173" authorId="0">
      <text>
        <r>
          <rPr>
            <b/>
            <sz val="9"/>
            <rFont val="宋体"/>
            <charset val="134"/>
          </rPr>
          <t>Administrator:</t>
        </r>
        <r>
          <rPr>
            <sz val="9"/>
            <rFont val="宋体"/>
            <charset val="134"/>
          </rPr>
          <t xml:space="preserve">
3001565 7/2 692pcs
莫4B8</t>
        </r>
      </text>
    </comment>
    <comment ref="AI174" authorId="0">
      <text>
        <r>
          <rPr>
            <b/>
            <sz val="9"/>
            <rFont val="宋体"/>
            <charset val="134"/>
          </rPr>
          <t>Administrator:</t>
        </r>
        <r>
          <rPr>
            <sz val="9"/>
            <rFont val="宋体"/>
            <charset val="134"/>
          </rPr>
          <t xml:space="preserve">
2002523 6/6 1200pcs王1-A9</t>
        </r>
      </text>
    </comment>
    <comment ref="AL174" authorId="0">
      <text>
        <r>
          <rPr>
            <b/>
            <sz val="9"/>
            <rFont val="宋体"/>
            <charset val="134"/>
          </rPr>
          <t>Administrator:</t>
        </r>
        <r>
          <rPr>
            <sz val="9"/>
            <rFont val="宋体"/>
            <charset val="134"/>
          </rPr>
          <t xml:space="preserve">
5/9 上彩盒+收缩膜进口商贴纸1500pcs
5/19 说明书1200pcs
5/21 上彩盒+收缩膜进口商贴纸1200pcs补订
5/22 上2-PDQ 彩色贴纸540pcs
收藏指南彩色贴纸540pcs
5/26 上收藏指南彩色贴纸1560pcs（62472/62474）共用</t>
        </r>
      </text>
    </comment>
    <comment ref="AI175" authorId="0">
      <text>
        <r>
          <rPr>
            <b/>
            <sz val="9"/>
            <rFont val="宋体"/>
            <charset val="134"/>
          </rPr>
          <t>Administrator:</t>
        </r>
        <r>
          <rPr>
            <sz val="9"/>
            <rFont val="宋体"/>
            <charset val="134"/>
          </rPr>
          <t xml:space="preserve">
2002523 6/6 480pcs王1-A9</t>
        </r>
      </text>
    </comment>
    <comment ref="AL175" authorId="0">
      <text>
        <r>
          <rPr>
            <b/>
            <sz val="9"/>
            <rFont val="宋体"/>
            <charset val="134"/>
          </rPr>
          <t>Administrator:</t>
        </r>
        <r>
          <rPr>
            <sz val="9"/>
            <rFont val="宋体"/>
            <charset val="134"/>
          </rPr>
          <t xml:space="preserve">
5/9 上彩盒+收缩膜进口商贴纸600pcs
5/19 说明书480pcs
5/21 上彩盒+收缩膜进口商贴纸480pcs补订
</t>
        </r>
      </text>
    </comment>
    <comment ref="AL176" authorId="0">
      <text>
        <r>
          <rPr>
            <b/>
            <sz val="9"/>
            <rFont val="宋体"/>
            <charset val="134"/>
          </rPr>
          <t>Administrator:</t>
        </r>
        <r>
          <rPr>
            <sz val="9"/>
            <rFont val="宋体"/>
            <charset val="134"/>
          </rPr>
          <t xml:space="preserve">
6/4 上欧洲通用30L WEEE_带电池走货声明书240pcs
</t>
        </r>
      </text>
    </comment>
    <comment ref="AI177" authorId="0">
      <text>
        <r>
          <rPr>
            <b/>
            <sz val="9"/>
            <rFont val="宋体"/>
            <charset val="134"/>
          </rPr>
          <t>Administrator:</t>
        </r>
        <r>
          <rPr>
            <sz val="9"/>
            <rFont val="宋体"/>
            <charset val="134"/>
          </rPr>
          <t xml:space="preserve">
3001727 7/7 504pcs
B栋4A1</t>
        </r>
      </text>
    </comment>
    <comment ref="AL177" authorId="0">
      <text>
        <r>
          <rPr>
            <b/>
            <sz val="9"/>
            <rFont val="宋体"/>
            <charset val="134"/>
          </rPr>
          <t>Administrator:</t>
        </r>
        <r>
          <rPr>
            <sz val="9"/>
            <rFont val="宋体"/>
            <charset val="134"/>
          </rPr>
          <t xml:space="preserve">
6/5 上警语贴纸504pcs
6/4 上欧洲通用30L WEEE_带电池走货声明书504pcs
</t>
        </r>
      </text>
    </comment>
    <comment ref="AI180" authorId="0">
      <text>
        <r>
          <rPr>
            <b/>
            <sz val="9"/>
            <rFont val="宋体"/>
            <charset val="134"/>
          </rPr>
          <t>Administrator:</t>
        </r>
        <r>
          <rPr>
            <sz val="9"/>
            <rFont val="宋体"/>
            <charset val="134"/>
          </rPr>
          <t xml:space="preserve">
3001727 7/7 200pcs
B栋4A7</t>
        </r>
      </text>
    </comment>
    <comment ref="AI181" authorId="0">
      <text>
        <r>
          <rPr>
            <b/>
            <sz val="9"/>
            <rFont val="宋体"/>
            <charset val="134"/>
          </rPr>
          <t>Administrator:</t>
        </r>
        <r>
          <rPr>
            <sz val="9"/>
            <rFont val="宋体"/>
            <charset val="134"/>
          </rPr>
          <t xml:space="preserve">
2001752 7/18 1512pcs
华1A4
2001732 7/19 7188pcs
直走</t>
        </r>
      </text>
    </comment>
    <comment ref="AL181" authorId="0">
      <text>
        <r>
          <rPr>
            <b/>
            <sz val="9"/>
            <rFont val="宋体"/>
            <charset val="134"/>
          </rPr>
          <t>Administrator:</t>
        </r>
        <r>
          <rPr>
            <sz val="9"/>
            <rFont val="宋体"/>
            <charset val="134"/>
          </rPr>
          <t xml:space="preserve">
6/25 上空白贴纸17400pcs
两个同PO共用</t>
        </r>
      </text>
    </comment>
    <comment ref="AI182" authorId="0">
      <text>
        <r>
          <rPr>
            <b/>
            <sz val="9"/>
            <rFont val="宋体"/>
            <charset val="134"/>
          </rPr>
          <t>Administrator:</t>
        </r>
        <r>
          <rPr>
            <sz val="9"/>
            <rFont val="宋体"/>
            <charset val="134"/>
          </rPr>
          <t xml:space="preserve">
3001727 7/7 504pcs B栋4B9
</t>
        </r>
      </text>
    </comment>
    <comment ref="AL182" authorId="0">
      <text>
        <r>
          <rPr>
            <b/>
            <sz val="9"/>
            <rFont val="宋体"/>
            <charset val="134"/>
          </rPr>
          <t>Administrator:</t>
        </r>
        <r>
          <rPr>
            <sz val="9"/>
            <rFont val="宋体"/>
            <charset val="134"/>
          </rPr>
          <t xml:space="preserve">
6/14 WEEE带电池走货欧洲30语通用黑白说明书 504pcs
 6/13 上邮包盒贴纸504pcs
6/26 上邮包盒贴纸462pcs</t>
        </r>
      </text>
    </comment>
    <comment ref="AI183" authorId="0">
      <text>
        <r>
          <rPr>
            <b/>
            <sz val="9"/>
            <rFont val="宋体"/>
            <charset val="134"/>
          </rPr>
          <t>Administrator:</t>
        </r>
        <r>
          <rPr>
            <sz val="9"/>
            <rFont val="宋体"/>
            <charset val="134"/>
          </rPr>
          <t xml:space="preserve">
2001590 7/5 180pcs
B栋4A5</t>
        </r>
      </text>
    </comment>
    <comment ref="AL183" authorId="0">
      <text>
        <r>
          <rPr>
            <b/>
            <sz val="9"/>
            <rFont val="宋体"/>
            <charset val="134"/>
          </rPr>
          <t>Administrator:</t>
        </r>
        <r>
          <rPr>
            <sz val="9"/>
            <rFont val="宋体"/>
            <charset val="134"/>
          </rPr>
          <t xml:space="preserve">
6/17 UPC贴纸180pcs
</t>
        </r>
      </text>
    </comment>
    <comment ref="AI184" authorId="0">
      <text>
        <r>
          <rPr>
            <b/>
            <sz val="9"/>
            <rFont val="宋体"/>
            <charset val="134"/>
          </rPr>
          <t>Administrator:</t>
        </r>
        <r>
          <rPr>
            <sz val="9"/>
            <rFont val="宋体"/>
            <charset val="134"/>
          </rPr>
          <t xml:space="preserve">
2001566 7/9 600pcs
</t>
        </r>
      </text>
    </comment>
    <comment ref="AL184" authorId="0">
      <text>
        <r>
          <rPr>
            <b/>
            <sz val="9"/>
            <rFont val="宋体"/>
            <charset val="134"/>
          </rPr>
          <t>Administrator:</t>
        </r>
        <r>
          <rPr>
            <sz val="9"/>
            <rFont val="宋体"/>
            <charset val="134"/>
          </rPr>
          <t xml:space="preserve">
6/13 上WEEE带电池走货欧洲 30 语通用黑白说明书600pcs</t>
        </r>
      </text>
    </comment>
    <comment ref="AI185" authorId="0">
      <text>
        <r>
          <rPr>
            <b/>
            <sz val="9"/>
            <rFont val="宋体"/>
            <charset val="134"/>
          </rPr>
          <t>Administrator:</t>
        </r>
        <r>
          <rPr>
            <sz val="9"/>
            <rFont val="宋体"/>
            <charset val="134"/>
          </rPr>
          <t xml:space="preserve">
2001590 7/5 240pcs
B栋4B7</t>
        </r>
      </text>
    </comment>
    <comment ref="AL185" authorId="0">
      <text>
        <r>
          <rPr>
            <b/>
            <sz val="9"/>
            <rFont val="宋体"/>
            <charset val="134"/>
          </rPr>
          <t>Administrator:</t>
        </r>
        <r>
          <rPr>
            <sz val="9"/>
            <rFont val="宋体"/>
            <charset val="134"/>
          </rPr>
          <t xml:space="preserve">
6/17 UPC贴纸240pcs</t>
        </r>
      </text>
    </comment>
    <comment ref="AI186" authorId="0">
      <text>
        <r>
          <rPr>
            <b/>
            <sz val="9"/>
            <rFont val="宋体"/>
            <charset val="134"/>
          </rPr>
          <t>Administrator:</t>
        </r>
        <r>
          <rPr>
            <sz val="9"/>
            <rFont val="宋体"/>
            <charset val="134"/>
          </rPr>
          <t xml:space="preserve">
2001590 7/5 120pcs
B栋4B7</t>
        </r>
      </text>
    </comment>
    <comment ref="AL186" authorId="0">
      <text>
        <r>
          <rPr>
            <b/>
            <sz val="9"/>
            <rFont val="宋体"/>
            <charset val="134"/>
          </rPr>
          <t>Administrator:</t>
        </r>
        <r>
          <rPr>
            <sz val="9"/>
            <rFont val="宋体"/>
            <charset val="134"/>
          </rPr>
          <t xml:space="preserve">
6/17 UPC贴纸120pcs
</t>
        </r>
      </text>
    </comment>
    <comment ref="AI189" authorId="0">
      <text>
        <r>
          <rPr>
            <b/>
            <sz val="9"/>
            <rFont val="宋体"/>
            <charset val="134"/>
          </rPr>
          <t>Administrator:</t>
        </r>
        <r>
          <rPr>
            <sz val="9"/>
            <rFont val="宋体"/>
            <charset val="134"/>
          </rPr>
          <t xml:space="preserve">
2001566 7/9 1504pcs</t>
        </r>
      </text>
    </comment>
    <comment ref="AL189" authorId="0">
      <text>
        <r>
          <rPr>
            <b/>
            <sz val="9"/>
            <rFont val="宋体"/>
            <charset val="134"/>
          </rPr>
          <t>Administrator:</t>
        </r>
        <r>
          <rPr>
            <sz val="9"/>
            <rFont val="宋体"/>
            <charset val="134"/>
          </rPr>
          <t xml:space="preserve">
5/12 上客供RFID贴纸1504pcs</t>
        </r>
      </text>
    </comment>
    <comment ref="AI190" authorId="0">
      <text>
        <r>
          <rPr>
            <b/>
            <sz val="9"/>
            <rFont val="宋体"/>
            <charset val="134"/>
          </rPr>
          <t>Administrator:</t>
        </r>
        <r>
          <rPr>
            <sz val="9"/>
            <rFont val="宋体"/>
            <charset val="134"/>
          </rPr>
          <t xml:space="preserve">
2001566 7/9 2328pcs
</t>
        </r>
      </text>
    </comment>
    <comment ref="AI191" authorId="0">
      <text>
        <r>
          <rPr>
            <b/>
            <sz val="9"/>
            <rFont val="宋体"/>
            <charset val="134"/>
          </rPr>
          <t>Administrator:</t>
        </r>
        <r>
          <rPr>
            <sz val="9"/>
            <rFont val="宋体"/>
            <charset val="134"/>
          </rPr>
          <t xml:space="preserve">
2001590 7/5 492pcs B栋4B9</t>
        </r>
      </text>
    </comment>
    <comment ref="AL191" authorId="0">
      <text>
        <r>
          <rPr>
            <b/>
            <sz val="9"/>
            <rFont val="宋体"/>
            <charset val="134"/>
          </rPr>
          <t>Administrator:</t>
        </r>
        <r>
          <rPr>
            <sz val="9"/>
            <rFont val="宋体"/>
            <charset val="134"/>
          </rPr>
          <t xml:space="preserve">
5/30 上多语折叠贴492pcs
6/14 上UPC贴纸492pcs
6/10 上亚马逊外箱贴纸41pcs</t>
        </r>
      </text>
    </comment>
    <comment ref="AI192" authorId="0">
      <text>
        <r>
          <rPr>
            <b/>
            <sz val="9"/>
            <rFont val="宋体"/>
            <charset val="134"/>
          </rPr>
          <t>Administrator:</t>
        </r>
        <r>
          <rPr>
            <sz val="9"/>
            <rFont val="宋体"/>
            <charset val="134"/>
          </rPr>
          <t xml:space="preserve">
2001563 7/8 252pcs 华1B2</t>
        </r>
      </text>
    </comment>
    <comment ref="AL192" authorId="0">
      <text>
        <r>
          <rPr>
            <b/>
            <sz val="9"/>
            <rFont val="宋体"/>
            <charset val="134"/>
          </rPr>
          <t>Administrator:</t>
        </r>
        <r>
          <rPr>
            <sz val="9"/>
            <rFont val="宋体"/>
            <charset val="134"/>
          </rPr>
          <t xml:space="preserve">
5/7 上客人白色CALLABEL贴纸252pcs
7/3 上带电池走货说明书252pcs</t>
        </r>
      </text>
    </comment>
    <comment ref="AI193" authorId="0">
      <text>
        <r>
          <rPr>
            <b/>
            <sz val="9"/>
            <rFont val="宋体"/>
            <charset val="134"/>
          </rPr>
          <t>Administrator:</t>
        </r>
        <r>
          <rPr>
            <sz val="9"/>
            <rFont val="宋体"/>
            <charset val="134"/>
          </rPr>
          <t xml:space="preserve">
2001563 7/8 636pcs 华1B2
</t>
        </r>
      </text>
    </comment>
    <comment ref="AI194" authorId="0">
      <text>
        <r>
          <rPr>
            <b/>
            <sz val="9"/>
            <rFont val="宋体"/>
            <charset val="134"/>
          </rPr>
          <t>Administrator:</t>
        </r>
        <r>
          <rPr>
            <sz val="9"/>
            <rFont val="宋体"/>
            <charset val="134"/>
          </rPr>
          <t xml:space="preserve">
2001611 7/3 516pcs莫4A6</t>
        </r>
      </text>
    </comment>
    <comment ref="AL194" authorId="0">
      <text>
        <r>
          <rPr>
            <b/>
            <sz val="9"/>
            <rFont val="宋体"/>
            <charset val="134"/>
          </rPr>
          <t>Administrator:</t>
        </r>
        <r>
          <rPr>
            <sz val="9"/>
            <rFont val="宋体"/>
            <charset val="134"/>
          </rPr>
          <t xml:space="preserve">
6/23 上纸袋希腊警语贴纸1032pcs
WEEE30L带电走货电池说明书516pcs
客人警语贴纸516pcs</t>
        </r>
      </text>
    </comment>
    <comment ref="AI195" authorId="0">
      <text>
        <r>
          <rPr>
            <b/>
            <sz val="9"/>
            <rFont val="宋体"/>
            <charset val="134"/>
          </rPr>
          <t>Administrator:</t>
        </r>
        <r>
          <rPr>
            <sz val="9"/>
            <rFont val="宋体"/>
            <charset val="134"/>
          </rPr>
          <t xml:space="preserve">
3001641 7/9 108pcs
3001534 7/11 12pcs
</t>
        </r>
      </text>
    </comment>
    <comment ref="AL195" authorId="0">
      <text>
        <r>
          <rPr>
            <b/>
            <sz val="9"/>
            <rFont val="宋体"/>
            <charset val="134"/>
          </rPr>
          <t>Administrator:</t>
        </r>
        <r>
          <rPr>
            <sz val="9"/>
            <rFont val="宋体"/>
            <charset val="134"/>
          </rPr>
          <t xml:space="preserve">
6/17 WEEE带电池走货欧洲30语通用黑白说明书120pcs
</t>
        </r>
      </text>
    </comment>
    <comment ref="AI196" authorId="0">
      <text>
        <r>
          <rPr>
            <b/>
            <sz val="9"/>
            <rFont val="宋体"/>
            <charset val="134"/>
          </rPr>
          <t>Administrator:</t>
        </r>
        <r>
          <rPr>
            <sz val="9"/>
            <rFont val="宋体"/>
            <charset val="134"/>
          </rPr>
          <t xml:space="preserve">
3001698 7/8 1140pcs 华3A7</t>
        </r>
      </text>
    </comment>
    <comment ref="AL196" authorId="0">
      <text>
        <r>
          <rPr>
            <b/>
            <sz val="9"/>
            <rFont val="宋体"/>
            <charset val="134"/>
          </rPr>
          <t>Administrator:</t>
        </r>
        <r>
          <rPr>
            <sz val="9"/>
            <rFont val="宋体"/>
            <charset val="134"/>
          </rPr>
          <t xml:space="preserve">
6/11 上客供RFID贴纸1140pcs</t>
        </r>
      </text>
    </comment>
    <comment ref="AI197" authorId="0">
      <text>
        <r>
          <rPr>
            <b/>
            <sz val="9"/>
            <rFont val="宋体"/>
            <charset val="134"/>
          </rPr>
          <t>Administrator:</t>
        </r>
        <r>
          <rPr>
            <sz val="9"/>
            <rFont val="宋体"/>
            <charset val="134"/>
          </rPr>
          <t xml:space="preserve">
3001698 7/8 1248pcs
华3A8</t>
        </r>
      </text>
    </comment>
    <comment ref="AL197" authorId="0">
      <text>
        <r>
          <rPr>
            <b/>
            <sz val="9"/>
            <rFont val="宋体"/>
            <charset val="134"/>
          </rPr>
          <t>Administrator:</t>
        </r>
        <r>
          <rPr>
            <sz val="9"/>
            <rFont val="宋体"/>
            <charset val="134"/>
          </rPr>
          <t xml:space="preserve">
6/11 上客供RFID贴纸1248pcs
</t>
        </r>
      </text>
    </comment>
    <comment ref="AI198" authorId="0">
      <text>
        <r>
          <rPr>
            <b/>
            <sz val="9"/>
            <rFont val="宋体"/>
            <charset val="134"/>
          </rPr>
          <t>Administrator:</t>
        </r>
        <r>
          <rPr>
            <sz val="9"/>
            <rFont val="宋体"/>
            <charset val="134"/>
          </rPr>
          <t xml:space="preserve">
3001698 7/8 1608pcs
华3A10</t>
        </r>
      </text>
    </comment>
    <comment ref="AL198" authorId="0">
      <text>
        <r>
          <rPr>
            <b/>
            <sz val="9"/>
            <rFont val="宋体"/>
            <charset val="134"/>
          </rPr>
          <t>Administrator:</t>
        </r>
        <r>
          <rPr>
            <sz val="9"/>
            <rFont val="宋体"/>
            <charset val="134"/>
          </rPr>
          <t xml:space="preserve">
6/11 上客供RFID贴纸1608pcs
</t>
        </r>
      </text>
    </comment>
    <comment ref="AI199" authorId="0">
      <text>
        <r>
          <rPr>
            <b/>
            <sz val="9"/>
            <rFont val="宋体"/>
            <charset val="134"/>
          </rPr>
          <t>Administrator:</t>
        </r>
        <r>
          <rPr>
            <sz val="9"/>
            <rFont val="宋体"/>
            <charset val="134"/>
          </rPr>
          <t xml:space="preserve">
3001698 7/8 1132pcs
华3A9</t>
        </r>
      </text>
    </comment>
    <comment ref="AL199" authorId="0">
      <text>
        <r>
          <rPr>
            <b/>
            <sz val="9"/>
            <rFont val="宋体"/>
            <charset val="134"/>
          </rPr>
          <t>Administrator:</t>
        </r>
        <r>
          <rPr>
            <sz val="9"/>
            <rFont val="宋体"/>
            <charset val="134"/>
          </rPr>
          <t xml:space="preserve">
6/11 上客供RFID贴纸1132pcs
</t>
        </r>
      </text>
    </comment>
    <comment ref="AI200" authorId="0">
      <text>
        <r>
          <rPr>
            <b/>
            <sz val="9"/>
            <rFont val="宋体"/>
            <charset val="134"/>
          </rPr>
          <t>Administrator:</t>
        </r>
        <r>
          <rPr>
            <sz val="9"/>
            <rFont val="宋体"/>
            <charset val="134"/>
          </rPr>
          <t xml:space="preserve">
2001611 7/3 500pcs莫4B9</t>
        </r>
      </text>
    </comment>
    <comment ref="AI201" authorId="0">
      <text>
        <r>
          <rPr>
            <b/>
            <sz val="9"/>
            <rFont val="宋体"/>
            <charset val="134"/>
          </rPr>
          <t>Administrator:</t>
        </r>
        <r>
          <rPr>
            <sz val="9"/>
            <rFont val="宋体"/>
            <charset val="134"/>
          </rPr>
          <t xml:space="preserve">
3001675 7/9 996pcs</t>
        </r>
      </text>
    </comment>
    <comment ref="AL206" authorId="0">
      <text>
        <r>
          <rPr>
            <b/>
            <sz val="9"/>
            <rFont val="宋体"/>
            <charset val="134"/>
          </rPr>
          <t>Administrator:</t>
        </r>
        <r>
          <rPr>
            <sz val="9"/>
            <rFont val="宋体"/>
            <charset val="134"/>
          </rPr>
          <t xml:space="preserve">
6/14 WEEE带电池走货欧洲30语通用黑白说明书 360pcs</t>
        </r>
      </text>
    </comment>
    <comment ref="AI207" authorId="0">
      <text>
        <r>
          <rPr>
            <b/>
            <sz val="9"/>
            <rFont val="宋体"/>
            <charset val="134"/>
          </rPr>
          <t>Administrator:</t>
        </r>
        <r>
          <rPr>
            <sz val="9"/>
            <rFont val="宋体"/>
            <charset val="134"/>
          </rPr>
          <t xml:space="preserve">
3001527 7/11 360pcs</t>
        </r>
      </text>
    </comment>
    <comment ref="AL207" authorId="0">
      <text>
        <r>
          <rPr>
            <b/>
            <sz val="9"/>
            <rFont val="宋体"/>
            <charset val="134"/>
          </rPr>
          <t>Administrator:</t>
        </r>
        <r>
          <rPr>
            <sz val="9"/>
            <rFont val="宋体"/>
            <charset val="134"/>
          </rPr>
          <t xml:space="preserve">
6/17 WEEE带电池走货欧洲30语通用黑白说明书360pcs
6/18 上西班牙环保标/邮箱贴纸360pcs</t>
        </r>
      </text>
    </comment>
    <comment ref="AL208" authorId="0">
      <text>
        <r>
          <rPr>
            <b/>
            <sz val="9"/>
            <rFont val="宋体"/>
            <charset val="134"/>
          </rPr>
          <t>Administrator:</t>
        </r>
        <r>
          <rPr>
            <sz val="9"/>
            <rFont val="宋体"/>
            <charset val="134"/>
          </rPr>
          <t xml:space="preserve">
6/17 WEEE带电池走货欧洲30语通用黑白说明书300pcs
</t>
        </r>
      </text>
    </comment>
    <comment ref="AL209" authorId="0">
      <text>
        <r>
          <rPr>
            <b/>
            <sz val="9"/>
            <rFont val="宋体"/>
            <charset val="134"/>
          </rPr>
          <t>Administrator:</t>
        </r>
        <r>
          <rPr>
            <sz val="9"/>
            <rFont val="宋体"/>
            <charset val="134"/>
          </rPr>
          <t xml:space="preserve">
6/17 WEEE带电池走货欧洲30语通用黑白说明书120pcs</t>
        </r>
      </text>
    </comment>
    <comment ref="AL210" authorId="0">
      <text>
        <r>
          <rPr>
            <b/>
            <sz val="9"/>
            <rFont val="宋体"/>
            <charset val="134"/>
          </rPr>
          <t>Administrator:</t>
        </r>
        <r>
          <rPr>
            <sz val="9"/>
            <rFont val="宋体"/>
            <charset val="134"/>
          </rPr>
          <t xml:space="preserve">
6/13 上WEEE带电池走货欧洲30语通用黑白说明书42pcs</t>
        </r>
      </text>
    </comment>
    <comment ref="AI211" authorId="0">
      <text>
        <r>
          <rPr>
            <b/>
            <sz val="9"/>
            <rFont val="宋体"/>
            <charset val="134"/>
          </rPr>
          <t>Administrator:</t>
        </r>
        <r>
          <rPr>
            <sz val="9"/>
            <rFont val="宋体"/>
            <charset val="134"/>
          </rPr>
          <t xml:space="preserve">
3001473 7/14 4pcs
华3A7
3001545 7/12 1868pcs华3A7</t>
        </r>
      </text>
    </comment>
    <comment ref="AI212" authorId="0">
      <text>
        <r>
          <rPr>
            <b/>
            <sz val="9"/>
            <rFont val="宋体"/>
            <charset val="134"/>
          </rPr>
          <t>Administrator:</t>
        </r>
        <r>
          <rPr>
            <sz val="9"/>
            <rFont val="宋体"/>
            <charset val="134"/>
          </rPr>
          <t xml:space="preserve">
3001488 7/12 700pcs
华3A10
3001545 7/12 2108pcs华3A9
</t>
        </r>
      </text>
    </comment>
    <comment ref="AI213" authorId="0">
      <text>
        <r>
          <rPr>
            <b/>
            <sz val="9"/>
            <rFont val="宋体"/>
            <charset val="134"/>
          </rPr>
          <t>Administrator:</t>
        </r>
        <r>
          <rPr>
            <sz val="9"/>
            <rFont val="宋体"/>
            <charset val="134"/>
          </rPr>
          <t xml:space="preserve">
3001624 7/10 496pcs
华3A18
3001534 7/11 16pcs
</t>
        </r>
      </text>
    </comment>
    <comment ref="AL213" authorId="0">
      <text>
        <r>
          <rPr>
            <b/>
            <sz val="9"/>
            <rFont val="宋体"/>
            <charset val="134"/>
          </rPr>
          <t>Administrator:</t>
        </r>
        <r>
          <rPr>
            <sz val="9"/>
            <rFont val="宋体"/>
            <charset val="134"/>
          </rPr>
          <t xml:space="preserve">
6/13 上WEEE带电池走货欧洲30语通用黑白说明书2656pcs</t>
        </r>
      </text>
    </comment>
    <comment ref="AI214" authorId="0">
      <text>
        <r>
          <rPr>
            <b/>
            <sz val="9"/>
            <rFont val="宋体"/>
            <charset val="134"/>
          </rPr>
          <t>Administrator:</t>
        </r>
        <r>
          <rPr>
            <sz val="9"/>
            <rFont val="宋体"/>
            <charset val="134"/>
          </rPr>
          <t xml:space="preserve">
3001624 7/10 248pcs
华3B2</t>
        </r>
      </text>
    </comment>
    <comment ref="AL214" authorId="0">
      <text>
        <r>
          <rPr>
            <b/>
            <sz val="9"/>
            <rFont val="宋体"/>
            <charset val="134"/>
          </rPr>
          <t>Administrator:</t>
        </r>
        <r>
          <rPr>
            <sz val="9"/>
            <rFont val="宋体"/>
            <charset val="134"/>
          </rPr>
          <t xml:space="preserve">
6/19 上客供RFID贴纸248pcs</t>
        </r>
      </text>
    </comment>
    <comment ref="AI215" authorId="0">
      <text>
        <r>
          <rPr>
            <b/>
            <sz val="9"/>
            <rFont val="宋体"/>
            <charset val="134"/>
          </rPr>
          <t>Administrator:</t>
        </r>
        <r>
          <rPr>
            <sz val="9"/>
            <rFont val="宋体"/>
            <charset val="134"/>
          </rPr>
          <t xml:space="preserve">
3001534 7/11 588pcs
3001488 7/12 12pcs</t>
        </r>
      </text>
    </comment>
    <comment ref="AL215" authorId="0">
      <text>
        <r>
          <rPr>
            <b/>
            <sz val="9"/>
            <rFont val="宋体"/>
            <charset val="134"/>
          </rPr>
          <t>Administrator:</t>
        </r>
        <r>
          <rPr>
            <sz val="9"/>
            <rFont val="宋体"/>
            <charset val="134"/>
          </rPr>
          <t xml:space="preserve">
6/23 1张30L WEEE带电池走货说明书600pcs</t>
        </r>
      </text>
    </comment>
    <comment ref="AI218" authorId="0">
      <text>
        <r>
          <rPr>
            <b/>
            <sz val="9"/>
            <rFont val="宋体"/>
            <charset val="134"/>
          </rPr>
          <t>Administrator:</t>
        </r>
        <r>
          <rPr>
            <sz val="9"/>
            <rFont val="宋体"/>
            <charset val="134"/>
          </rPr>
          <t xml:space="preserve">
2001799 7/13 1488pcs华3B3</t>
        </r>
      </text>
    </comment>
    <comment ref="AL218" authorId="0">
      <text>
        <r>
          <rPr>
            <b/>
            <sz val="9"/>
            <rFont val="宋体"/>
            <charset val="134"/>
          </rPr>
          <t>Administrator:</t>
        </r>
        <r>
          <rPr>
            <sz val="9"/>
            <rFont val="宋体"/>
            <charset val="134"/>
          </rPr>
          <t xml:space="preserve">
6/24 上客供RFID贴纸1488pcs</t>
        </r>
      </text>
    </comment>
    <comment ref="AI219" authorId="0">
      <text>
        <r>
          <rPr>
            <b/>
            <sz val="9"/>
            <rFont val="宋体"/>
            <charset val="134"/>
          </rPr>
          <t>Administrator:</t>
        </r>
        <r>
          <rPr>
            <sz val="9"/>
            <rFont val="宋体"/>
            <charset val="134"/>
          </rPr>
          <t xml:space="preserve">
2001799 7/13 1696pcs
华3A5</t>
        </r>
      </text>
    </comment>
    <comment ref="AL219" authorId="0">
      <text>
        <r>
          <rPr>
            <b/>
            <sz val="9"/>
            <rFont val="宋体"/>
            <charset val="134"/>
          </rPr>
          <t>Administrator:</t>
        </r>
        <r>
          <rPr>
            <sz val="9"/>
            <rFont val="宋体"/>
            <charset val="134"/>
          </rPr>
          <t xml:space="preserve">
6/24 上客供RFID贴纸1696pcs
</t>
        </r>
      </text>
    </comment>
    <comment ref="AI220" authorId="0">
      <text>
        <r>
          <rPr>
            <b/>
            <sz val="9"/>
            <rFont val="宋体"/>
            <charset val="134"/>
          </rPr>
          <t>Administrator:</t>
        </r>
        <r>
          <rPr>
            <sz val="9"/>
            <rFont val="宋体"/>
            <charset val="134"/>
          </rPr>
          <t xml:space="preserve">
2001800 7/12 1808pcs华3B3</t>
        </r>
      </text>
    </comment>
    <comment ref="AL220" authorId="0">
      <text>
        <r>
          <rPr>
            <b/>
            <sz val="9"/>
            <rFont val="宋体"/>
            <charset val="134"/>
          </rPr>
          <t>Administrator:</t>
        </r>
        <r>
          <rPr>
            <sz val="9"/>
            <rFont val="宋体"/>
            <charset val="134"/>
          </rPr>
          <t xml:space="preserve">
6/24 上客供RFID贴纸1808pcs
</t>
        </r>
      </text>
    </comment>
    <comment ref="AI221" authorId="0">
      <text>
        <r>
          <rPr>
            <b/>
            <sz val="9"/>
            <rFont val="宋体"/>
            <charset val="134"/>
          </rPr>
          <t>Administrator:</t>
        </r>
        <r>
          <rPr>
            <sz val="9"/>
            <rFont val="宋体"/>
            <charset val="134"/>
          </rPr>
          <t xml:space="preserve">
2001799 7/13 1408pcs
华3B3</t>
        </r>
      </text>
    </comment>
    <comment ref="AL221" authorId="0">
      <text>
        <r>
          <rPr>
            <b/>
            <sz val="9"/>
            <rFont val="宋体"/>
            <charset val="134"/>
          </rPr>
          <t>Administrator:</t>
        </r>
        <r>
          <rPr>
            <sz val="9"/>
            <rFont val="宋体"/>
            <charset val="134"/>
          </rPr>
          <t xml:space="preserve">
6/24 上客供RFID贴纸1408pcs
</t>
        </r>
      </text>
    </comment>
    <comment ref="AI222" authorId="0">
      <text>
        <r>
          <rPr>
            <b/>
            <sz val="9"/>
            <rFont val="宋体"/>
            <charset val="134"/>
          </rPr>
          <t>Administrator:</t>
        </r>
        <r>
          <rPr>
            <sz val="9"/>
            <rFont val="宋体"/>
            <charset val="134"/>
          </rPr>
          <t xml:space="preserve">
2001805 7/12 1496pcs华1B1</t>
        </r>
      </text>
    </comment>
    <comment ref="AL222" authorId="0">
      <text>
        <r>
          <rPr>
            <b/>
            <sz val="9"/>
            <rFont val="宋体"/>
            <charset val="134"/>
          </rPr>
          <t>Administrator:</t>
        </r>
        <r>
          <rPr>
            <sz val="9"/>
            <rFont val="宋体"/>
            <charset val="134"/>
          </rPr>
          <t xml:space="preserve">
6/24 上客供RFID贴纸1496pcs
</t>
        </r>
      </text>
    </comment>
    <comment ref="AI223" authorId="0">
      <text>
        <r>
          <rPr>
            <b/>
            <sz val="9"/>
            <rFont val="宋体"/>
            <charset val="134"/>
          </rPr>
          <t>Administrator:</t>
        </r>
        <r>
          <rPr>
            <sz val="9"/>
            <rFont val="宋体"/>
            <charset val="134"/>
          </rPr>
          <t xml:space="preserve">
2001805 7/12 1344pcs华1B1
</t>
        </r>
      </text>
    </comment>
    <comment ref="AL223" authorId="0">
      <text>
        <r>
          <rPr>
            <b/>
            <sz val="9"/>
            <rFont val="宋体"/>
            <charset val="134"/>
          </rPr>
          <t>Administrator:</t>
        </r>
        <r>
          <rPr>
            <sz val="9"/>
            <rFont val="宋体"/>
            <charset val="134"/>
          </rPr>
          <t xml:space="preserve">
6/19 上大黄圆防盗贴纸1344pcs
6/26 上WEEE带电池走货30L说明书1344pcs
</t>
        </r>
      </text>
    </comment>
    <comment ref="AI224" authorId="0">
      <text>
        <r>
          <rPr>
            <b/>
            <sz val="9"/>
            <rFont val="宋体"/>
            <charset val="134"/>
          </rPr>
          <t>Administrator:</t>
        </r>
        <r>
          <rPr>
            <sz val="9"/>
            <rFont val="宋体"/>
            <charset val="134"/>
          </rPr>
          <t xml:space="preserve">
2001809 7/10 4800pcs</t>
        </r>
      </text>
    </comment>
    <comment ref="AI226" authorId="0">
      <text>
        <r>
          <rPr>
            <b/>
            <sz val="9"/>
            <rFont val="宋体"/>
            <charset val="134"/>
          </rPr>
          <t>Administrator:</t>
        </r>
        <r>
          <rPr>
            <sz val="9"/>
            <rFont val="宋体"/>
            <charset val="134"/>
          </rPr>
          <t xml:space="preserve">
3001488 7/12 2560pcs直走</t>
        </r>
      </text>
    </comment>
    <comment ref="AI227" authorId="0">
      <text>
        <r>
          <rPr>
            <b/>
            <sz val="9"/>
            <rFont val="宋体"/>
            <charset val="134"/>
          </rPr>
          <t>Administrator:</t>
        </r>
        <r>
          <rPr>
            <sz val="9"/>
            <rFont val="宋体"/>
            <charset val="134"/>
          </rPr>
          <t xml:space="preserve">
2001807 7/12 5400pcs</t>
        </r>
      </text>
    </comment>
    <comment ref="AI229" authorId="0">
      <text>
        <r>
          <rPr>
            <b/>
            <sz val="9"/>
            <rFont val="宋体"/>
            <charset val="134"/>
          </rPr>
          <t>Administrator:</t>
        </r>
        <r>
          <rPr>
            <sz val="9"/>
            <rFont val="宋体"/>
            <charset val="134"/>
          </rPr>
          <t xml:space="preserve">
2001787 7/15 2652pcs 华3A24</t>
        </r>
      </text>
    </comment>
    <comment ref="AL229" authorId="0">
      <text>
        <r>
          <rPr>
            <b/>
            <sz val="9"/>
            <rFont val="宋体"/>
            <charset val="134"/>
          </rPr>
          <t>Administrator:</t>
        </r>
        <r>
          <rPr>
            <sz val="9"/>
            <rFont val="宋体"/>
            <charset val="134"/>
          </rPr>
          <t xml:space="preserve">
6/13 上进口商贴纸含客户条码11000pcs
6/10 上进口商贴纸/客户条码2652pcs</t>
        </r>
      </text>
    </comment>
    <comment ref="AI230" authorId="0">
      <text>
        <r>
          <rPr>
            <b/>
            <sz val="9"/>
            <rFont val="宋体"/>
            <charset val="134"/>
          </rPr>
          <t>Administrator:</t>
        </r>
        <r>
          <rPr>
            <sz val="9"/>
            <rFont val="宋体"/>
            <charset val="134"/>
          </rPr>
          <t xml:space="preserve">
2001610 7/3 360pcs</t>
        </r>
      </text>
    </comment>
    <comment ref="AL230" authorId="0">
      <text>
        <r>
          <rPr>
            <b/>
            <sz val="9"/>
            <rFont val="宋体"/>
            <charset val="134"/>
          </rPr>
          <t>Administrator:</t>
        </r>
        <r>
          <rPr>
            <sz val="9"/>
            <rFont val="宋体"/>
            <charset val="134"/>
          </rPr>
          <t xml:space="preserve">
6/17 WEEE带电池走货欧洲30语通用黑白说明书360pcs
6/25 上意大利sorting logO含进口商贴纸360pcs</t>
        </r>
      </text>
    </comment>
    <comment ref="AI232" authorId="0">
      <text>
        <r>
          <rPr>
            <b/>
            <sz val="9"/>
            <rFont val="宋体"/>
            <charset val="134"/>
          </rPr>
          <t>Administrator:</t>
        </r>
        <r>
          <rPr>
            <sz val="9"/>
            <rFont val="宋体"/>
            <charset val="134"/>
          </rPr>
          <t xml:space="preserve">
2001736 7/19 72pcs</t>
        </r>
      </text>
    </comment>
    <comment ref="AI233" authorId="0">
      <text>
        <r>
          <rPr>
            <b/>
            <sz val="9"/>
            <rFont val="宋体"/>
            <charset val="134"/>
          </rPr>
          <t>Administrator:</t>
        </r>
        <r>
          <rPr>
            <sz val="9"/>
            <rFont val="宋体"/>
            <charset val="134"/>
          </rPr>
          <t xml:space="preserve">
2001736 7/19 1596pcs莫4B4</t>
        </r>
      </text>
    </comment>
    <comment ref="AL233" authorId="0">
      <text>
        <r>
          <rPr>
            <b/>
            <sz val="9"/>
            <rFont val="宋体"/>
            <charset val="134"/>
          </rPr>
          <t>Administrator:</t>
        </r>
        <r>
          <rPr>
            <sz val="9"/>
            <rFont val="宋体"/>
            <charset val="134"/>
          </rPr>
          <t xml:space="preserve">
6/23 上UPC贴纸1596pcs</t>
        </r>
      </text>
    </comment>
    <comment ref="AI234" authorId="0">
      <text>
        <r>
          <rPr>
            <b/>
            <sz val="9"/>
            <rFont val="宋体"/>
            <charset val="134"/>
          </rPr>
          <t>Administrator:</t>
        </r>
        <r>
          <rPr>
            <sz val="9"/>
            <rFont val="宋体"/>
            <charset val="134"/>
          </rPr>
          <t xml:space="preserve">
2001741 7/21 352pcs华3B8</t>
        </r>
      </text>
    </comment>
    <comment ref="AL234" authorId="0">
      <text>
        <r>
          <rPr>
            <b/>
            <sz val="9"/>
            <rFont val="宋体"/>
            <charset val="134"/>
          </rPr>
          <t>Administrator:</t>
        </r>
        <r>
          <rPr>
            <sz val="9"/>
            <rFont val="宋体"/>
            <charset val="134"/>
          </rPr>
          <t xml:space="preserve">
6/19 上客供RFID贴纸352pcs
</t>
        </r>
      </text>
    </comment>
    <comment ref="AI235" authorId="0">
      <text>
        <r>
          <rPr>
            <b/>
            <sz val="9"/>
            <rFont val="宋体"/>
            <charset val="134"/>
          </rPr>
          <t>Administrator:</t>
        </r>
        <r>
          <rPr>
            <sz val="9"/>
            <rFont val="宋体"/>
            <charset val="134"/>
          </rPr>
          <t xml:space="preserve">
2001741 7/21 120pcs
华3B8</t>
        </r>
      </text>
    </comment>
    <comment ref="AL235" authorId="0">
      <text>
        <r>
          <rPr>
            <b/>
            <sz val="9"/>
            <rFont val="宋体"/>
            <charset val="134"/>
          </rPr>
          <t>Administrator:</t>
        </r>
        <r>
          <rPr>
            <sz val="9"/>
            <rFont val="宋体"/>
            <charset val="134"/>
          </rPr>
          <t xml:space="preserve">
6/19 上客供RFID贴纸120pcs
</t>
        </r>
      </text>
    </comment>
    <comment ref="AI236" authorId="0">
      <text>
        <r>
          <rPr>
            <b/>
            <sz val="9"/>
            <rFont val="宋体"/>
            <charset val="134"/>
          </rPr>
          <t>Administrator:</t>
        </r>
        <r>
          <rPr>
            <sz val="9"/>
            <rFont val="宋体"/>
            <charset val="134"/>
          </rPr>
          <t xml:space="preserve">
2001741 7/21 100pcs
华3B7</t>
        </r>
      </text>
    </comment>
    <comment ref="AL236" authorId="0">
      <text>
        <r>
          <rPr>
            <b/>
            <sz val="9"/>
            <rFont val="宋体"/>
            <charset val="134"/>
          </rPr>
          <t>Administrator:</t>
        </r>
        <r>
          <rPr>
            <sz val="9"/>
            <rFont val="宋体"/>
            <charset val="134"/>
          </rPr>
          <t xml:space="preserve">
6/19 上客供RFID贴纸100pcs
</t>
        </r>
      </text>
    </comment>
    <comment ref="AI237" authorId="0">
      <text>
        <r>
          <rPr>
            <b/>
            <sz val="9"/>
            <rFont val="宋体"/>
            <charset val="134"/>
          </rPr>
          <t>Administrator:</t>
        </r>
        <r>
          <rPr>
            <sz val="9"/>
            <rFont val="宋体"/>
            <charset val="134"/>
          </rPr>
          <t xml:space="preserve">
2001736 7/19 2328pcs莫4B7</t>
        </r>
      </text>
    </comment>
    <comment ref="AI238" authorId="0">
      <text>
        <r>
          <rPr>
            <b/>
            <sz val="9"/>
            <rFont val="宋体"/>
            <charset val="134"/>
          </rPr>
          <t>Administrator:</t>
        </r>
        <r>
          <rPr>
            <sz val="9"/>
            <rFont val="宋体"/>
            <charset val="134"/>
          </rPr>
          <t xml:space="preserve">
2001780 7/17 1896pcs 新仓库3-A2</t>
        </r>
      </text>
    </comment>
    <comment ref="AI239" authorId="0">
      <text>
        <r>
          <rPr>
            <b/>
            <sz val="9"/>
            <rFont val="宋体"/>
            <charset val="134"/>
          </rPr>
          <t>Administrator:</t>
        </r>
        <r>
          <rPr>
            <sz val="9"/>
            <rFont val="宋体"/>
            <charset val="134"/>
          </rPr>
          <t xml:space="preserve">
2001773 7/16 1608pcs 新仓库9楼B7</t>
        </r>
      </text>
    </comment>
    <comment ref="AL239" authorId="0">
      <text>
        <r>
          <rPr>
            <b/>
            <sz val="9"/>
            <rFont val="宋体"/>
            <charset val="134"/>
          </rPr>
          <t>Administrator:</t>
        </r>
        <r>
          <rPr>
            <sz val="9"/>
            <rFont val="宋体"/>
            <charset val="134"/>
          </rPr>
          <t xml:space="preserve">
6/4 上欧洲通用30L WEEE_带电池走货声明书1608pcs
</t>
        </r>
      </text>
    </comment>
    <comment ref="AI240" authorId="0">
      <text>
        <r>
          <rPr>
            <b/>
            <sz val="9"/>
            <rFont val="宋体"/>
            <charset val="134"/>
          </rPr>
          <t>Administrator:</t>
        </r>
        <r>
          <rPr>
            <sz val="9"/>
            <rFont val="宋体"/>
            <charset val="134"/>
          </rPr>
          <t xml:space="preserve">
2001784 7/14 120pcs
华3A32</t>
        </r>
      </text>
    </comment>
    <comment ref="AL240" authorId="0">
      <text>
        <r>
          <rPr>
            <b/>
            <sz val="9"/>
            <rFont val="宋体"/>
            <charset val="134"/>
          </rPr>
          <t>Administrator:</t>
        </r>
        <r>
          <rPr>
            <sz val="9"/>
            <rFont val="宋体"/>
            <charset val="134"/>
          </rPr>
          <t xml:space="preserve">
6/23 上UPC贴纸132pcs</t>
        </r>
      </text>
    </comment>
    <comment ref="AI242" authorId="0">
      <text>
        <r>
          <rPr>
            <b/>
            <sz val="9"/>
            <rFont val="宋体"/>
            <charset val="134"/>
          </rPr>
          <t>Administrator:</t>
        </r>
        <r>
          <rPr>
            <sz val="9"/>
            <rFont val="宋体"/>
            <charset val="134"/>
          </rPr>
          <t xml:space="preserve">
2001784 7/14 504pcs
华3B14</t>
        </r>
      </text>
    </comment>
    <comment ref="AL242" authorId="0">
      <text>
        <r>
          <rPr>
            <b/>
            <sz val="9"/>
            <rFont val="宋体"/>
            <charset val="134"/>
          </rPr>
          <t>Administrator:</t>
        </r>
        <r>
          <rPr>
            <sz val="9"/>
            <rFont val="宋体"/>
            <charset val="134"/>
          </rPr>
          <t xml:space="preserve">
6/11 上多语折叠贴纸504pcs
6/17 WEEE带电池走货欧洲30语通用黑白说明书504pcs
</t>
        </r>
      </text>
    </comment>
    <comment ref="AI243" authorId="0">
      <text>
        <r>
          <rPr>
            <b/>
            <sz val="9"/>
            <rFont val="宋体"/>
            <charset val="134"/>
          </rPr>
          <t>Administrator:</t>
        </r>
        <r>
          <rPr>
            <sz val="9"/>
            <rFont val="宋体"/>
            <charset val="134"/>
          </rPr>
          <t xml:space="preserve">
2001752 7/18 2808pcs华1A2</t>
        </r>
      </text>
    </comment>
    <comment ref="AI244" authorId="0">
      <text>
        <r>
          <rPr>
            <b/>
            <sz val="9"/>
            <rFont val="宋体"/>
            <charset val="134"/>
          </rPr>
          <t>Administrator:</t>
        </r>
        <r>
          <rPr>
            <sz val="9"/>
            <rFont val="宋体"/>
            <charset val="134"/>
          </rPr>
          <t xml:space="preserve">
2001726 7/23 1564pcs
华3A9
2001705 7/23 4pcs华3A9</t>
        </r>
      </text>
    </comment>
    <comment ref="AI245" authorId="0">
      <text>
        <r>
          <rPr>
            <b/>
            <sz val="9"/>
            <rFont val="宋体"/>
            <charset val="134"/>
          </rPr>
          <t>Administrator:</t>
        </r>
        <r>
          <rPr>
            <sz val="9"/>
            <rFont val="宋体"/>
            <charset val="134"/>
          </rPr>
          <t xml:space="preserve">
2001726 7/23 2012pcs
华3A9
2001705 7/23 4pcs
华3A9</t>
        </r>
      </text>
    </comment>
    <comment ref="AI246" authorId="0">
      <text>
        <r>
          <rPr>
            <b/>
            <sz val="9"/>
            <rFont val="宋体"/>
            <charset val="134"/>
          </rPr>
          <t>Administrator:</t>
        </r>
        <r>
          <rPr>
            <sz val="9"/>
            <rFont val="宋体"/>
            <charset val="134"/>
          </rPr>
          <t xml:space="preserve">
2001726 7/23 2520pcs
华3A6</t>
        </r>
      </text>
    </comment>
    <comment ref="AL246" authorId="0">
      <text>
        <r>
          <rPr>
            <b/>
            <sz val="9"/>
            <rFont val="宋体"/>
            <charset val="134"/>
          </rPr>
          <t>Administrator:</t>
        </r>
        <r>
          <rPr>
            <sz val="9"/>
            <rFont val="宋体"/>
            <charset val="134"/>
          </rPr>
          <t xml:space="preserve">
6/24 上客供RFID贴纸2520pcs
</t>
        </r>
      </text>
    </comment>
    <comment ref="AI247" authorId="0">
      <text>
        <r>
          <rPr>
            <b/>
            <sz val="9"/>
            <rFont val="宋体"/>
            <charset val="134"/>
          </rPr>
          <t>Administrator:</t>
        </r>
        <r>
          <rPr>
            <sz val="9"/>
            <rFont val="宋体"/>
            <charset val="134"/>
          </rPr>
          <t xml:space="preserve">
2001726 7/23 2080pcs
华3A7
2001705 7/23 8pcs
华3A9</t>
        </r>
      </text>
    </comment>
    <comment ref="AL247" authorId="0">
      <text>
        <r>
          <rPr>
            <b/>
            <sz val="9"/>
            <rFont val="宋体"/>
            <charset val="134"/>
          </rPr>
          <t>Administrator:</t>
        </r>
        <r>
          <rPr>
            <sz val="9"/>
            <rFont val="宋体"/>
            <charset val="134"/>
          </rPr>
          <t xml:space="preserve">
6/24 上客供RFID贴纸2088pcs
</t>
        </r>
      </text>
    </comment>
    <comment ref="AI248" authorId="0">
      <text>
        <r>
          <rPr>
            <b/>
            <sz val="9"/>
            <rFont val="宋体"/>
            <charset val="134"/>
          </rPr>
          <t>Administrator:</t>
        </r>
        <r>
          <rPr>
            <sz val="9"/>
            <rFont val="宋体"/>
            <charset val="134"/>
          </rPr>
          <t xml:space="preserve">
2001726 7/23 1896pcs
华3A9</t>
        </r>
      </text>
    </comment>
    <comment ref="AI249" authorId="0">
      <text>
        <r>
          <rPr>
            <b/>
            <sz val="9"/>
            <rFont val="宋体"/>
            <charset val="134"/>
          </rPr>
          <t>Administrator:</t>
        </r>
        <r>
          <rPr>
            <sz val="9"/>
            <rFont val="宋体"/>
            <charset val="134"/>
          </rPr>
          <t xml:space="preserve">
2001726 7/23 1876pcs
华3B4
2001705 7/23 4pcs
华3B4</t>
        </r>
      </text>
    </comment>
    <comment ref="AI250" authorId="0">
      <text>
        <r>
          <rPr>
            <b/>
            <sz val="9"/>
            <rFont val="宋体"/>
            <charset val="134"/>
          </rPr>
          <t>Administrator:</t>
        </r>
        <r>
          <rPr>
            <sz val="9"/>
            <rFont val="宋体"/>
            <charset val="134"/>
          </rPr>
          <t xml:space="preserve">
2001784 7/14 1880pcs华3B3</t>
        </r>
      </text>
    </comment>
    <comment ref="AI251" authorId="0">
      <text>
        <r>
          <rPr>
            <b/>
            <sz val="9"/>
            <rFont val="宋体"/>
            <charset val="134"/>
          </rPr>
          <t>Administrator:</t>
        </r>
        <r>
          <rPr>
            <sz val="9"/>
            <rFont val="宋体"/>
            <charset val="134"/>
          </rPr>
          <t xml:space="preserve">
2001784 7/14 1872pcs
华3B3</t>
        </r>
      </text>
    </comment>
    <comment ref="AI252" authorId="0">
      <text>
        <r>
          <rPr>
            <b/>
            <sz val="9"/>
            <rFont val="宋体"/>
            <charset val="134"/>
          </rPr>
          <t>Administrator:</t>
        </r>
        <r>
          <rPr>
            <sz val="9"/>
            <rFont val="宋体"/>
            <charset val="134"/>
          </rPr>
          <t xml:space="preserve">
3001513 7/14 1400pcs
华3A13
3001509 7/14 456pcs华3A13</t>
        </r>
      </text>
    </comment>
    <comment ref="AL252" authorId="0">
      <text>
        <r>
          <rPr>
            <b/>
            <sz val="9"/>
            <rFont val="宋体"/>
            <charset val="134"/>
          </rPr>
          <t>Administrator:</t>
        </r>
        <r>
          <rPr>
            <sz val="9"/>
            <rFont val="宋体"/>
            <charset val="134"/>
          </rPr>
          <t xml:space="preserve">
6/11 上客供RFID贴纸1856pcs
</t>
        </r>
      </text>
    </comment>
    <comment ref="AI253" authorId="0">
      <text>
        <r>
          <rPr>
            <b/>
            <sz val="9"/>
            <rFont val="宋体"/>
            <charset val="134"/>
          </rPr>
          <t>Administrator:</t>
        </r>
        <r>
          <rPr>
            <sz val="9"/>
            <rFont val="宋体"/>
            <charset val="134"/>
          </rPr>
          <t xml:space="preserve">
3001473 7/14 4pcs
3001509 7/14 2228pcs华3A10</t>
        </r>
      </text>
    </comment>
    <comment ref="AL253" authorId="0">
      <text>
        <r>
          <rPr>
            <b/>
            <sz val="9"/>
            <rFont val="宋体"/>
            <charset val="134"/>
          </rPr>
          <t>Administrator:</t>
        </r>
        <r>
          <rPr>
            <sz val="9"/>
            <rFont val="宋体"/>
            <charset val="134"/>
          </rPr>
          <t xml:space="preserve">
6/11 上客供RFID贴纸2232pcs
</t>
        </r>
      </text>
    </comment>
    <comment ref="AI254" authorId="0">
      <text>
        <r>
          <rPr>
            <b/>
            <sz val="9"/>
            <rFont val="宋体"/>
            <charset val="134"/>
          </rPr>
          <t>Administrator:</t>
        </r>
        <r>
          <rPr>
            <sz val="9"/>
            <rFont val="宋体"/>
            <charset val="134"/>
          </rPr>
          <t xml:space="preserve">
3001446 7/15 1564pcs 华3A6
3001415 7/17  4pcs </t>
        </r>
      </text>
    </comment>
    <comment ref="AI255" authorId="0">
      <text>
        <r>
          <rPr>
            <b/>
            <sz val="9"/>
            <rFont val="宋体"/>
            <charset val="134"/>
          </rPr>
          <t>Administrator:</t>
        </r>
        <r>
          <rPr>
            <sz val="9"/>
            <rFont val="宋体"/>
            <charset val="134"/>
          </rPr>
          <t xml:space="preserve">
3001446 7/15 2016pcs 华3A8</t>
        </r>
      </text>
    </comment>
    <comment ref="AI256" authorId="0">
      <text>
        <r>
          <rPr>
            <b/>
            <sz val="9"/>
            <rFont val="宋体"/>
            <charset val="134"/>
          </rPr>
          <t>Administrator:</t>
        </r>
        <r>
          <rPr>
            <sz val="9"/>
            <rFont val="宋体"/>
            <charset val="134"/>
          </rPr>
          <t xml:space="preserve">
2001741 7/21 852pcs
华3B11 
备品 12pcs 补查货</t>
        </r>
      </text>
    </comment>
    <comment ref="AL256" authorId="0">
      <text>
        <r>
          <rPr>
            <b/>
            <sz val="9"/>
            <rFont val="宋体"/>
            <charset val="134"/>
          </rPr>
          <t>Administrator:</t>
        </r>
        <r>
          <rPr>
            <sz val="9"/>
            <rFont val="宋体"/>
            <charset val="134"/>
          </rPr>
          <t xml:space="preserve">
7/1 上红色LOGO贴纸852pcs
包装贴纸852pcs
保证书852pcs
产品电池盖贴纸852pcs
说明书贴纸852pcS
7/21 收到UPC贴纸852pcs</t>
        </r>
      </text>
    </comment>
    <comment ref="AI257" authorId="0">
      <text>
        <r>
          <rPr>
            <b/>
            <sz val="9"/>
            <rFont val="宋体"/>
            <charset val="134"/>
          </rPr>
          <t>Administrator:</t>
        </r>
        <r>
          <rPr>
            <sz val="9"/>
            <rFont val="宋体"/>
            <charset val="134"/>
          </rPr>
          <t xml:space="preserve">
2001807 7/12 1500pcs
2001782 7/14 600pcs
2001786 7/15 900pcs
2001731 7/19 2400pcs</t>
        </r>
      </text>
    </comment>
    <comment ref="AI259" authorId="0">
      <text>
        <r>
          <rPr>
            <b/>
            <sz val="9"/>
            <rFont val="宋体"/>
            <charset val="134"/>
          </rPr>
          <t>Administrator:</t>
        </r>
        <r>
          <rPr>
            <sz val="9"/>
            <rFont val="宋体"/>
            <charset val="134"/>
          </rPr>
          <t xml:space="preserve">
2001701 7/28 2508pcs华1F7</t>
        </r>
      </text>
    </comment>
    <comment ref="AL259" authorId="0">
      <text>
        <r>
          <rPr>
            <b/>
            <sz val="9"/>
            <rFont val="宋体"/>
            <charset val="134"/>
          </rPr>
          <t>Administrator:</t>
        </r>
        <r>
          <rPr>
            <sz val="9"/>
            <rFont val="宋体"/>
            <charset val="134"/>
          </rPr>
          <t xml:space="preserve">
6/24 上客供外箱条码贴纸633pcs
</t>
        </r>
      </text>
    </comment>
    <comment ref="AI260" authorId="0">
      <text>
        <r>
          <rPr>
            <b/>
            <sz val="9"/>
            <rFont val="宋体"/>
            <charset val="134"/>
          </rPr>
          <t>Administrator:</t>
        </r>
        <r>
          <rPr>
            <sz val="9"/>
            <rFont val="宋体"/>
            <charset val="134"/>
          </rPr>
          <t xml:space="preserve">
2001714 7/24 1800pcs</t>
        </r>
      </text>
    </comment>
    <comment ref="AL260" authorId="0">
      <text>
        <r>
          <rPr>
            <b/>
            <sz val="9"/>
            <rFont val="宋体"/>
            <charset val="134"/>
          </rPr>
          <t>Administrator:</t>
        </r>
        <r>
          <rPr>
            <sz val="9"/>
            <rFont val="宋体"/>
            <charset val="134"/>
          </rPr>
          <t xml:space="preserve">
7/5 上UPC条码贴纸1800pcs
说明书贴纸1800pcs
进口商贴纸1800pcs</t>
        </r>
      </text>
    </comment>
    <comment ref="AL261" authorId="0">
      <text>
        <r>
          <rPr>
            <b/>
            <sz val="9"/>
            <rFont val="宋体"/>
            <charset val="134"/>
          </rPr>
          <t>Administrator:</t>
        </r>
        <r>
          <rPr>
            <sz val="9"/>
            <rFont val="宋体"/>
            <charset val="134"/>
          </rPr>
          <t xml:space="preserve">
6/23  WEEE带电池走货欧洲30语通用黑白说明书240pcs</t>
        </r>
      </text>
    </comment>
    <comment ref="AI262" authorId="0">
      <text>
        <r>
          <rPr>
            <b/>
            <sz val="9"/>
            <rFont val="宋体"/>
            <charset val="134"/>
          </rPr>
          <t>Administrator:</t>
        </r>
        <r>
          <rPr>
            <sz val="9"/>
            <rFont val="宋体"/>
            <charset val="134"/>
          </rPr>
          <t xml:space="preserve">
2001714 7/24 240pcs
</t>
        </r>
      </text>
    </comment>
    <comment ref="AL262" authorId="0">
      <text>
        <r>
          <rPr>
            <b/>
            <sz val="9"/>
            <rFont val="宋体"/>
            <charset val="134"/>
          </rPr>
          <t>Administrator:</t>
        </r>
        <r>
          <rPr>
            <sz val="9"/>
            <rFont val="宋体"/>
            <charset val="134"/>
          </rPr>
          <t xml:space="preserve">
7/3 上带电池走货说明书240pcs
警告语/进口商贴纸240pcs</t>
        </r>
      </text>
    </comment>
    <comment ref="AI263" authorId="0">
      <text>
        <r>
          <rPr>
            <b/>
            <sz val="9"/>
            <rFont val="宋体"/>
            <charset val="134"/>
          </rPr>
          <t>Administrator:</t>
        </r>
        <r>
          <rPr>
            <sz val="9"/>
            <rFont val="宋体"/>
            <charset val="134"/>
          </rPr>
          <t xml:space="preserve">
2001714 7/24 108pcs
</t>
        </r>
      </text>
    </comment>
    <comment ref="AL263" authorId="0">
      <text>
        <r>
          <rPr>
            <b/>
            <sz val="9"/>
            <rFont val="宋体"/>
            <charset val="134"/>
          </rPr>
          <t>Administrator:</t>
        </r>
        <r>
          <rPr>
            <sz val="9"/>
            <rFont val="宋体"/>
            <charset val="134"/>
          </rPr>
          <t xml:space="preserve">
6/30 上UPC贴纸108pcs</t>
        </r>
      </text>
    </comment>
    <comment ref="AI264" authorId="0">
      <text>
        <r>
          <rPr>
            <b/>
            <sz val="9"/>
            <rFont val="宋体"/>
            <charset val="134"/>
          </rPr>
          <t>Administrator:</t>
        </r>
        <r>
          <rPr>
            <sz val="9"/>
            <rFont val="宋体"/>
            <charset val="134"/>
          </rPr>
          <t xml:space="preserve">
2001701 7/28 520pcs华3B14</t>
        </r>
      </text>
    </comment>
    <comment ref="AL264" authorId="0">
      <text>
        <r>
          <rPr>
            <b/>
            <sz val="9"/>
            <rFont val="宋体"/>
            <charset val="134"/>
          </rPr>
          <t>Administrator:</t>
        </r>
        <r>
          <rPr>
            <sz val="9"/>
            <rFont val="宋体"/>
            <charset val="134"/>
          </rPr>
          <t xml:space="preserve">
6/17 WEEE带电池走货欧洲30语通用黑白说明书520pcs
6/18 上德语包装警告语贴纸520pcs
客人款号贴纸520pcs
Kinderherz 2025 logo 520pcs
6/23 WEEE带电池走货说明书520pcs</t>
        </r>
      </text>
    </comment>
    <comment ref="AI265" authorId="0">
      <text>
        <r>
          <rPr>
            <b/>
            <sz val="9"/>
            <rFont val="宋体"/>
            <charset val="134"/>
          </rPr>
          <t>Administrator:</t>
        </r>
        <r>
          <rPr>
            <sz val="9"/>
            <rFont val="宋体"/>
            <charset val="134"/>
          </rPr>
          <t xml:space="preserve">
2001708 7/24 2832pcs</t>
        </r>
      </text>
    </comment>
    <comment ref="AL265" authorId="0">
      <text>
        <r>
          <rPr>
            <b/>
            <sz val="9"/>
            <rFont val="宋体"/>
            <charset val="134"/>
          </rPr>
          <t>Administrator:</t>
        </r>
        <r>
          <rPr>
            <sz val="9"/>
            <rFont val="宋体"/>
            <charset val="134"/>
          </rPr>
          <t xml:space="preserve">
7/19 上WEEE 30L带电池走货说明书2832pcs</t>
        </r>
      </text>
    </comment>
    <comment ref="AI266" authorId="0">
      <text>
        <r>
          <rPr>
            <b/>
            <sz val="9"/>
            <rFont val="宋体"/>
            <charset val="134"/>
          </rPr>
          <t>Administrator:</t>
        </r>
        <r>
          <rPr>
            <sz val="9"/>
            <rFont val="宋体"/>
            <charset val="134"/>
          </rPr>
          <t xml:space="preserve">
2001700 7/26 420pcs华3B10</t>
        </r>
      </text>
    </comment>
    <comment ref="AL266" authorId="0">
      <text>
        <r>
          <rPr>
            <b/>
            <sz val="9"/>
            <rFont val="宋体"/>
            <charset val="134"/>
          </rPr>
          <t>Administrator:</t>
        </r>
        <r>
          <rPr>
            <sz val="9"/>
            <rFont val="宋体"/>
            <charset val="134"/>
          </rPr>
          <t xml:space="preserve">
6/30 上进口商贴纸420pcs
UPC条码贴纸420pcs</t>
        </r>
      </text>
    </comment>
    <comment ref="AI267" authorId="0">
      <text>
        <r>
          <rPr>
            <b/>
            <sz val="9"/>
            <rFont val="宋体"/>
            <charset val="134"/>
          </rPr>
          <t>Administrator:</t>
        </r>
        <r>
          <rPr>
            <sz val="9"/>
            <rFont val="宋体"/>
            <charset val="134"/>
          </rPr>
          <t xml:space="preserve">
2001700 7/26 120pcs
华3B8</t>
        </r>
      </text>
    </comment>
    <comment ref="AI268" authorId="0">
      <text>
        <r>
          <rPr>
            <b/>
            <sz val="9"/>
            <rFont val="宋体"/>
            <charset val="134"/>
          </rPr>
          <t>Administrator:</t>
        </r>
        <r>
          <rPr>
            <sz val="9"/>
            <rFont val="宋体"/>
            <charset val="134"/>
          </rPr>
          <t xml:space="preserve">
2001701 7/28 3780pcs华1F9</t>
        </r>
      </text>
    </comment>
    <comment ref="AL268" authorId="0">
      <text>
        <r>
          <rPr>
            <b/>
            <sz val="9"/>
            <rFont val="宋体"/>
            <charset val="134"/>
          </rPr>
          <t>Administrator:</t>
        </r>
        <r>
          <rPr>
            <sz val="9"/>
            <rFont val="宋体"/>
            <charset val="134"/>
          </rPr>
          <t xml:space="preserve">
6/24 上客供RFID贴纸3780pcs
</t>
        </r>
      </text>
    </comment>
    <comment ref="AI269" authorId="0">
      <text>
        <r>
          <rPr>
            <b/>
            <sz val="9"/>
            <rFont val="宋体"/>
            <charset val="134"/>
          </rPr>
          <t>Administrator:</t>
        </r>
        <r>
          <rPr>
            <sz val="9"/>
            <rFont val="宋体"/>
            <charset val="134"/>
          </rPr>
          <t xml:space="preserve">
2001701 7/28 1360pcs华3A28</t>
        </r>
      </text>
    </comment>
    <comment ref="AI270" authorId="0">
      <text>
        <r>
          <rPr>
            <b/>
            <sz val="9"/>
            <rFont val="宋体"/>
            <charset val="134"/>
          </rPr>
          <t>Administrator:</t>
        </r>
        <r>
          <rPr>
            <sz val="9"/>
            <rFont val="宋体"/>
            <charset val="134"/>
          </rPr>
          <t xml:space="preserve">
2001837 7/30 1504pcs华3A9</t>
        </r>
      </text>
    </comment>
    <comment ref="AL270" authorId="0">
      <text>
        <r>
          <rPr>
            <b/>
            <sz val="9"/>
            <rFont val="宋体"/>
            <charset val="134"/>
          </rPr>
          <t>Administrator:</t>
        </r>
        <r>
          <rPr>
            <sz val="9"/>
            <rFont val="宋体"/>
            <charset val="134"/>
          </rPr>
          <t xml:space="preserve">
5/30 上WEEE说明书1504pcs
6/13 上2025LOGO贴纸1504pcs</t>
        </r>
      </text>
    </comment>
    <comment ref="AI271" authorId="0">
      <text>
        <r>
          <rPr>
            <b/>
            <sz val="9"/>
            <rFont val="宋体"/>
            <charset val="134"/>
          </rPr>
          <t>Administrator:</t>
        </r>
        <r>
          <rPr>
            <sz val="9"/>
            <rFont val="宋体"/>
            <charset val="134"/>
          </rPr>
          <t xml:space="preserve">
2001727 7/23 828pcs华3B10</t>
        </r>
      </text>
    </comment>
    <comment ref="AL271" authorId="0">
      <text>
        <r>
          <rPr>
            <b/>
            <sz val="9"/>
            <rFont val="宋体"/>
            <charset val="134"/>
          </rPr>
          <t>Administrator:</t>
        </r>
        <r>
          <rPr>
            <sz val="9"/>
            <rFont val="宋体"/>
            <charset val="134"/>
          </rPr>
          <t xml:space="preserve">
7/3 上UPC贴纸828pcs</t>
        </r>
      </text>
    </comment>
    <comment ref="AI272" authorId="0">
      <text>
        <r>
          <rPr>
            <b/>
            <sz val="9"/>
            <rFont val="宋体"/>
            <charset val="134"/>
          </rPr>
          <t>Administrator:</t>
        </r>
        <r>
          <rPr>
            <sz val="9"/>
            <rFont val="宋体"/>
            <charset val="134"/>
          </rPr>
          <t xml:space="preserve">
3002259 8/6 1200pcs华3B15</t>
        </r>
      </text>
    </comment>
    <comment ref="AL272" authorId="0">
      <text>
        <r>
          <rPr>
            <b/>
            <sz val="9"/>
            <rFont val="宋体"/>
            <charset val="134"/>
          </rPr>
          <t>Administrator:</t>
        </r>
        <r>
          <rPr>
            <sz val="9"/>
            <rFont val="宋体"/>
            <charset val="134"/>
          </rPr>
          <t xml:space="preserve">
6/23 上价格贴纸1200pcs
7/26 上客供外箱条码贴纸300pcs</t>
        </r>
      </text>
    </comment>
    <comment ref="AI273" authorId="0">
      <text>
        <r>
          <rPr>
            <b/>
            <sz val="9"/>
            <rFont val="宋体"/>
            <charset val="134"/>
          </rPr>
          <t>Administrator:</t>
        </r>
        <r>
          <rPr>
            <sz val="9"/>
            <rFont val="宋体"/>
            <charset val="134"/>
          </rPr>
          <t xml:space="preserve">
3002064 7/31 3000pcs新仓1-A7</t>
        </r>
      </text>
    </comment>
    <comment ref="AL273" authorId="0">
      <text>
        <r>
          <rPr>
            <b/>
            <sz val="9"/>
            <rFont val="宋体"/>
            <charset val="134"/>
          </rPr>
          <t>Administrator:</t>
        </r>
        <r>
          <rPr>
            <sz val="9"/>
            <rFont val="宋体"/>
            <charset val="134"/>
          </rPr>
          <t xml:space="preserve">
7/18 上客供价格贴纸3000pcs
</t>
        </r>
      </text>
    </comment>
    <comment ref="AI274" authorId="0">
      <text>
        <r>
          <rPr>
            <b/>
            <sz val="9"/>
            <rFont val="宋体"/>
            <charset val="134"/>
          </rPr>
          <t>Administrator:</t>
        </r>
        <r>
          <rPr>
            <sz val="9"/>
            <rFont val="宋体"/>
            <charset val="134"/>
          </rPr>
          <t xml:space="preserve">
3002064 7/31 240pcs新仓1-A7</t>
        </r>
      </text>
    </comment>
    <comment ref="AL274" authorId="0">
      <text>
        <r>
          <rPr>
            <b/>
            <sz val="9"/>
            <rFont val="宋体"/>
            <charset val="134"/>
          </rPr>
          <t>Administrator:</t>
        </r>
        <r>
          <rPr>
            <sz val="9"/>
            <rFont val="宋体"/>
            <charset val="134"/>
          </rPr>
          <t xml:space="preserve">
7/10 上客供价标贴纸256pcs
</t>
        </r>
      </text>
    </comment>
    <comment ref="AI275" authorId="0">
      <text>
        <r>
          <rPr>
            <b/>
            <sz val="9"/>
            <rFont val="宋体"/>
            <charset val="134"/>
          </rPr>
          <t>Administrator:</t>
        </r>
        <r>
          <rPr>
            <sz val="9"/>
            <rFont val="宋体"/>
            <charset val="134"/>
          </rPr>
          <t xml:space="preserve">
3002370 8/4 1688pcs莫A栋一楼B8</t>
        </r>
      </text>
    </comment>
    <comment ref="AL275" authorId="0">
      <text>
        <r>
          <rPr>
            <b/>
            <sz val="9"/>
            <rFont val="宋体"/>
            <charset val="134"/>
          </rPr>
          <t>Administrator:</t>
        </r>
        <r>
          <rPr>
            <sz val="9"/>
            <rFont val="宋体"/>
            <charset val="134"/>
          </rPr>
          <t xml:space="preserve">
6/24 上客供RFID贴纸1688pcs
</t>
        </r>
      </text>
    </comment>
    <comment ref="AI276" authorId="0">
      <text>
        <r>
          <rPr>
            <b/>
            <sz val="9"/>
            <rFont val="宋体"/>
            <charset val="134"/>
          </rPr>
          <t>Administrator:</t>
        </r>
        <r>
          <rPr>
            <sz val="9"/>
            <rFont val="宋体"/>
            <charset val="134"/>
          </rPr>
          <t xml:space="preserve">
3002370 8/4 1580pcs
A一楼B9</t>
        </r>
      </text>
    </comment>
    <comment ref="AL276" authorId="0">
      <text>
        <r>
          <rPr>
            <b/>
            <sz val="9"/>
            <rFont val="宋体"/>
            <charset val="134"/>
          </rPr>
          <t>Administrator:</t>
        </r>
        <r>
          <rPr>
            <sz val="9"/>
            <rFont val="宋体"/>
            <charset val="134"/>
          </rPr>
          <t xml:space="preserve">
6/24 上客供RFID贴纸1580pcs
</t>
        </r>
      </text>
    </comment>
    <comment ref="AI277" authorId="0">
      <text>
        <r>
          <rPr>
            <b/>
            <sz val="9"/>
            <rFont val="宋体"/>
            <charset val="134"/>
          </rPr>
          <t>Administrator:</t>
        </r>
        <r>
          <rPr>
            <sz val="9"/>
            <rFont val="宋体"/>
            <charset val="134"/>
          </rPr>
          <t xml:space="preserve">
3002370 8/4 1680pcs
A一楼A16-10</t>
        </r>
      </text>
    </comment>
    <comment ref="AL277" authorId="0">
      <text>
        <r>
          <rPr>
            <b/>
            <sz val="9"/>
            <rFont val="宋体"/>
            <charset val="134"/>
          </rPr>
          <t>Administrator:</t>
        </r>
        <r>
          <rPr>
            <sz val="9"/>
            <rFont val="宋体"/>
            <charset val="134"/>
          </rPr>
          <t xml:space="preserve">
6/24 上客供RFID贴纸1680pcs
</t>
        </r>
      </text>
    </comment>
    <comment ref="AI278" authorId="0">
      <text>
        <r>
          <rPr>
            <b/>
            <sz val="9"/>
            <rFont val="宋体"/>
            <charset val="134"/>
          </rPr>
          <t>Administrator:</t>
        </r>
        <r>
          <rPr>
            <sz val="9"/>
            <rFont val="宋体"/>
            <charset val="134"/>
          </rPr>
          <t xml:space="preserve">
3002370 8/4 1232pcs
A一楼A18-B8</t>
        </r>
      </text>
    </comment>
    <comment ref="AL278" authorId="0">
      <text>
        <r>
          <rPr>
            <b/>
            <sz val="9"/>
            <rFont val="宋体"/>
            <charset val="134"/>
          </rPr>
          <t>Administrator:</t>
        </r>
        <r>
          <rPr>
            <sz val="9"/>
            <rFont val="宋体"/>
            <charset val="134"/>
          </rPr>
          <t xml:space="preserve">
6/24 上客供RFID贴纸1232pcs
</t>
        </r>
      </text>
    </comment>
    <comment ref="AI281" authorId="0">
      <text>
        <r>
          <rPr>
            <b/>
            <sz val="9"/>
            <rFont val="宋体"/>
            <charset val="134"/>
          </rPr>
          <t>Administrator:</t>
        </r>
        <r>
          <rPr>
            <sz val="9"/>
            <rFont val="宋体"/>
            <charset val="134"/>
          </rPr>
          <t xml:space="preserve">
2001859 8/2 300pcs</t>
        </r>
      </text>
    </comment>
    <comment ref="AL281" authorId="0">
      <text>
        <r>
          <rPr>
            <b/>
            <sz val="9"/>
            <rFont val="宋体"/>
            <charset val="134"/>
          </rPr>
          <t>Administrator:</t>
        </r>
        <r>
          <rPr>
            <sz val="9"/>
            <rFont val="宋体"/>
            <charset val="134"/>
          </rPr>
          <t xml:space="preserve">
+WEEE带电池走货说明书北欧B版300pcs
7/11 上客人白色CATLABEL贴纸300pcs</t>
        </r>
      </text>
    </comment>
    <comment ref="AI282" authorId="0">
      <text>
        <r>
          <rPr>
            <b/>
            <sz val="9"/>
            <rFont val="宋体"/>
            <charset val="134"/>
          </rPr>
          <t>Administrator:</t>
        </r>
        <r>
          <rPr>
            <sz val="9"/>
            <rFont val="宋体"/>
            <charset val="134"/>
          </rPr>
          <t xml:space="preserve">
2001868 8/2 616pcs莫A1楼B6</t>
        </r>
      </text>
    </comment>
    <comment ref="AL282" authorId="0">
      <text>
        <r>
          <rPr>
            <b/>
            <sz val="9"/>
            <rFont val="宋体"/>
            <charset val="134"/>
          </rPr>
          <t>Administrator:</t>
        </r>
        <r>
          <rPr>
            <sz val="9"/>
            <rFont val="宋体"/>
            <charset val="134"/>
          </rPr>
          <t xml:space="preserve">
7/7 上进口商贴纸616pcs
UPC 贴纸616pcs</t>
        </r>
      </text>
    </comment>
    <comment ref="AI283" authorId="0">
      <text>
        <r>
          <rPr>
            <b/>
            <sz val="9"/>
            <rFont val="宋体"/>
            <charset val="134"/>
          </rPr>
          <t>Administrator:</t>
        </r>
        <r>
          <rPr>
            <sz val="9"/>
            <rFont val="宋体"/>
            <charset val="134"/>
          </rPr>
          <t xml:space="preserve">
2001853 8/1 996pcs新仓1-B6</t>
        </r>
      </text>
    </comment>
    <comment ref="AL283" authorId="0">
      <text>
        <r>
          <rPr>
            <b/>
            <sz val="9"/>
            <rFont val="宋体"/>
            <charset val="134"/>
          </rPr>
          <t>Administrator:</t>
        </r>
        <r>
          <rPr>
            <sz val="9"/>
            <rFont val="宋体"/>
            <charset val="134"/>
          </rPr>
          <t xml:space="preserve">
7/12 上产品贴纸996pcs
7/11 上进口商贴纸996pcs</t>
        </r>
      </text>
    </comment>
    <comment ref="AI284" authorId="0">
      <text>
        <r>
          <rPr>
            <b/>
            <sz val="9"/>
            <rFont val="宋体"/>
            <charset val="134"/>
          </rPr>
          <t>Administrator:</t>
        </r>
        <r>
          <rPr>
            <sz val="9"/>
            <rFont val="宋体"/>
            <charset val="134"/>
          </rPr>
          <t xml:space="preserve">
3002177 8/4 312pcs莫4B10</t>
        </r>
      </text>
    </comment>
    <comment ref="AL284" authorId="0">
      <text>
        <r>
          <rPr>
            <b/>
            <sz val="9"/>
            <rFont val="宋体"/>
            <charset val="134"/>
          </rPr>
          <t>Administrator:</t>
        </r>
        <r>
          <rPr>
            <sz val="9"/>
            <rFont val="宋体"/>
            <charset val="134"/>
          </rPr>
          <t xml:space="preserve">
7/21 上UPC条码贴纸312pcs
进口商贴纸312pcs
保证书312pcs
</t>
        </r>
      </text>
    </comment>
    <comment ref="AI285" authorId="0">
      <text>
        <r>
          <rPr>
            <b/>
            <sz val="9"/>
            <rFont val="宋体"/>
            <charset val="134"/>
          </rPr>
          <t>Administrator:</t>
        </r>
        <r>
          <rPr>
            <sz val="9"/>
            <rFont val="宋体"/>
            <charset val="134"/>
          </rPr>
          <t xml:space="preserve">
3002177 8/4 504pCS莫4B10</t>
        </r>
      </text>
    </comment>
    <comment ref="AL285" authorId="0">
      <text>
        <r>
          <rPr>
            <b/>
            <sz val="9"/>
            <rFont val="宋体"/>
            <charset val="134"/>
          </rPr>
          <t>Administrator:</t>
        </r>
        <r>
          <rPr>
            <sz val="9"/>
            <rFont val="宋体"/>
            <charset val="134"/>
          </rPr>
          <t xml:space="preserve">
7/5 上进口商贴纸504pcs</t>
        </r>
      </text>
    </comment>
    <comment ref="AI286" authorId="0">
      <text>
        <r>
          <rPr>
            <b/>
            <sz val="9"/>
            <rFont val="宋体"/>
            <charset val="134"/>
          </rPr>
          <t>Administrator:</t>
        </r>
        <r>
          <rPr>
            <sz val="9"/>
            <rFont val="宋体"/>
            <charset val="134"/>
          </rPr>
          <t xml:space="preserve">
2001859 8/2 600pcs
</t>
        </r>
      </text>
    </comment>
    <comment ref="AL286" authorId="0">
      <text>
        <r>
          <rPr>
            <b/>
            <sz val="9"/>
            <rFont val="宋体"/>
            <charset val="134"/>
          </rPr>
          <t>Administrator:</t>
        </r>
        <r>
          <rPr>
            <sz val="9"/>
            <rFont val="宋体"/>
            <charset val="134"/>
          </rPr>
          <t xml:space="preserve">
7/22 上UPC贴纸600pcs</t>
        </r>
      </text>
    </comment>
    <comment ref="AI287" authorId="0">
      <text>
        <r>
          <rPr>
            <b/>
            <sz val="9"/>
            <rFont val="宋体"/>
            <charset val="134"/>
          </rPr>
          <t>Administrator:</t>
        </r>
        <r>
          <rPr>
            <sz val="9"/>
            <rFont val="宋体"/>
            <charset val="134"/>
          </rPr>
          <t xml:space="preserve">
3002172 8/4 816pcs廖平1F4</t>
        </r>
      </text>
    </comment>
    <comment ref="AL287" authorId="0">
      <text>
        <r>
          <rPr>
            <b/>
            <sz val="9"/>
            <rFont val="宋体"/>
            <charset val="134"/>
          </rPr>
          <t>Administrator:</t>
        </r>
        <r>
          <rPr>
            <sz val="9"/>
            <rFont val="宋体"/>
            <charset val="134"/>
          </rPr>
          <t xml:space="preserve">
7/23 上日语警语贴纸2004pcs
说明书贴纸2004pcs
两个同PO共用</t>
        </r>
      </text>
    </comment>
    <comment ref="AI288" authorId="0">
      <text>
        <r>
          <rPr>
            <b/>
            <sz val="9"/>
            <rFont val="宋体"/>
            <charset val="134"/>
          </rPr>
          <t>Administrator:</t>
        </r>
        <r>
          <rPr>
            <sz val="9"/>
            <rFont val="宋体"/>
            <charset val="134"/>
          </rPr>
          <t xml:space="preserve">
3002172 8/4 1188pcs
廖平1F4</t>
        </r>
      </text>
    </comment>
    <comment ref="AI289" authorId="0">
      <text>
        <r>
          <rPr>
            <b/>
            <sz val="9"/>
            <rFont val="宋体"/>
            <charset val="134"/>
          </rPr>
          <t>Administrator:</t>
        </r>
        <r>
          <rPr>
            <sz val="9"/>
            <rFont val="宋体"/>
            <charset val="134"/>
          </rPr>
          <t xml:space="preserve">
3002246 8/8 644pcs
莫4C7</t>
        </r>
      </text>
    </comment>
    <comment ref="AI290" authorId="0">
      <text>
        <r>
          <rPr>
            <b/>
            <sz val="9"/>
            <rFont val="宋体"/>
            <charset val="134"/>
          </rPr>
          <t>Administrator:</t>
        </r>
        <r>
          <rPr>
            <sz val="9"/>
            <rFont val="宋体"/>
            <charset val="134"/>
          </rPr>
          <t xml:space="preserve">
3002246 8/8 692pcs
莫4A6</t>
        </r>
      </text>
    </comment>
    <comment ref="AI291" authorId="0">
      <text>
        <r>
          <rPr>
            <b/>
            <sz val="9"/>
            <rFont val="宋体"/>
            <charset val="134"/>
          </rPr>
          <t>Administrator:</t>
        </r>
        <r>
          <rPr>
            <sz val="9"/>
            <rFont val="宋体"/>
            <charset val="134"/>
          </rPr>
          <t xml:space="preserve">
3002246 8/8 116pcs
莫4B4</t>
        </r>
      </text>
    </comment>
    <comment ref="AI292" authorId="0">
      <text>
        <r>
          <rPr>
            <b/>
            <sz val="9"/>
            <rFont val="宋体"/>
            <charset val="134"/>
          </rPr>
          <t>Administrator:</t>
        </r>
        <r>
          <rPr>
            <sz val="9"/>
            <rFont val="宋体"/>
            <charset val="134"/>
          </rPr>
          <t xml:space="preserve">
3002172 8/4 192pcs
A栋一楼</t>
        </r>
      </text>
    </comment>
    <comment ref="AI293" authorId="0">
      <text>
        <r>
          <rPr>
            <b/>
            <sz val="9"/>
            <rFont val="宋体"/>
            <charset val="134"/>
          </rPr>
          <t>Administrator:</t>
        </r>
        <r>
          <rPr>
            <sz val="9"/>
            <rFont val="宋体"/>
            <charset val="134"/>
          </rPr>
          <t xml:space="preserve">
3002259 8/6 196pcs华3A28</t>
        </r>
      </text>
    </comment>
    <comment ref="AL293" authorId="0">
      <text>
        <r>
          <rPr>
            <b/>
            <sz val="9"/>
            <rFont val="宋体"/>
            <charset val="134"/>
          </rPr>
          <t>Administrator:</t>
        </r>
        <r>
          <rPr>
            <sz val="9"/>
            <rFont val="宋体"/>
            <charset val="134"/>
          </rPr>
          <t xml:space="preserve">
6/21 上UPC贴纸196pcs
7/26 上客供外箱条码贴纸49pcs</t>
        </r>
      </text>
    </comment>
    <comment ref="AI294" authorId="0">
      <text>
        <r>
          <rPr>
            <b/>
            <sz val="9"/>
            <rFont val="宋体"/>
            <charset val="134"/>
          </rPr>
          <t>Administrator:</t>
        </r>
        <r>
          <rPr>
            <sz val="9"/>
            <rFont val="宋体"/>
            <charset val="134"/>
          </rPr>
          <t xml:space="preserve">
3002172 8/4 744pcs
廖平1F4</t>
        </r>
      </text>
    </comment>
    <comment ref="AI295" authorId="0">
      <text>
        <r>
          <rPr>
            <b/>
            <sz val="9"/>
            <rFont val="宋体"/>
            <charset val="134"/>
          </rPr>
          <t>Administrator:</t>
        </r>
        <r>
          <rPr>
            <sz val="9"/>
            <rFont val="宋体"/>
            <charset val="134"/>
          </rPr>
          <t xml:space="preserve">
3002180 8/5 2400pcs
A一楼C10
</t>
        </r>
      </text>
    </comment>
    <comment ref="AL295" authorId="0">
      <text>
        <r>
          <rPr>
            <b/>
            <sz val="9"/>
            <rFont val="宋体"/>
            <charset val="134"/>
          </rPr>
          <t>Administrator:</t>
        </r>
        <r>
          <rPr>
            <sz val="9"/>
            <rFont val="宋体"/>
            <charset val="134"/>
          </rPr>
          <t xml:space="preserve">
7/5 上小纽扣电池警告语贴纸1800pcs
7/5 上大纽扣电池警告语贴纸3600pcs
8/2 上小纽扣电池警告语贴纸600pcs
大纽扣电池警告语贴纸1200pcs</t>
        </r>
      </text>
    </comment>
    <comment ref="AI296" authorId="0">
      <text>
        <r>
          <rPr>
            <b/>
            <sz val="9"/>
            <rFont val="宋体"/>
            <charset val="134"/>
          </rPr>
          <t>Administrator:</t>
        </r>
        <r>
          <rPr>
            <sz val="9"/>
            <rFont val="宋体"/>
            <charset val="134"/>
          </rPr>
          <t xml:space="preserve">
2001862 8/2 1800pcs</t>
        </r>
      </text>
    </comment>
    <comment ref="AI297" authorId="0">
      <text>
        <r>
          <rPr>
            <b/>
            <sz val="9"/>
            <rFont val="宋体"/>
            <charset val="134"/>
          </rPr>
          <t>Administrator:</t>
        </r>
        <r>
          <rPr>
            <sz val="9"/>
            <rFont val="宋体"/>
            <charset val="134"/>
          </rPr>
          <t xml:space="preserve">
2001878 8/9 492pcs直走</t>
        </r>
      </text>
    </comment>
    <comment ref="AL297" authorId="0">
      <text>
        <r>
          <rPr>
            <b/>
            <sz val="9"/>
            <rFont val="宋体"/>
            <charset val="134"/>
          </rPr>
          <t>Administrator:</t>
        </r>
        <r>
          <rPr>
            <sz val="9"/>
            <rFont val="宋体"/>
            <charset val="134"/>
          </rPr>
          <t xml:space="preserve">
7/3 上多语折叠警语贴纸1476pcs
三个同PO共用
7/5 上UPC贴纸1476pcs
四个同PO共用
7/11 上亚马逊外箱贴纸41pcs
8/2 上电池产品说明书492pcs</t>
        </r>
      </text>
    </comment>
    <comment ref="AI298" authorId="0">
      <text>
        <r>
          <rPr>
            <b/>
            <sz val="9"/>
            <rFont val="宋体"/>
            <charset val="134"/>
          </rPr>
          <t>Administrator:</t>
        </r>
        <r>
          <rPr>
            <sz val="9"/>
            <rFont val="宋体"/>
            <charset val="134"/>
          </rPr>
          <t xml:space="preserve">
2001878 8/9 492pcs
华3A27</t>
        </r>
      </text>
    </comment>
    <comment ref="AL298" authorId="0">
      <text>
        <r>
          <rPr>
            <b/>
            <sz val="9"/>
            <rFont val="宋体"/>
            <charset val="134"/>
          </rPr>
          <t>Administrator:</t>
        </r>
        <r>
          <rPr>
            <sz val="9"/>
            <rFont val="宋体"/>
            <charset val="134"/>
          </rPr>
          <t xml:space="preserve">
7/11 上亚马逊外箱贴纸41pcs
8/2 上电池产品说明书492pcs
8/7 上德国贴纸1476pcs</t>
        </r>
      </text>
    </comment>
    <comment ref="AI299" authorId="0">
      <text>
        <r>
          <rPr>
            <b/>
            <sz val="9"/>
            <rFont val="宋体"/>
            <charset val="134"/>
          </rPr>
          <t>Administrator:</t>
        </r>
        <r>
          <rPr>
            <sz val="9"/>
            <rFont val="宋体"/>
            <charset val="134"/>
          </rPr>
          <t xml:space="preserve">
2001878 8/9 492pcs
华3A27</t>
        </r>
      </text>
    </comment>
    <comment ref="AL299" authorId="0">
      <text>
        <r>
          <rPr>
            <b/>
            <sz val="9"/>
            <rFont val="宋体"/>
            <charset val="134"/>
          </rPr>
          <t>Administrator:</t>
        </r>
        <r>
          <rPr>
            <sz val="9"/>
            <rFont val="宋体"/>
            <charset val="134"/>
          </rPr>
          <t xml:space="preserve">
7/11 上亚马逊外箱贴纸41pcs
8/2 上电池产品说明书492pcs
</t>
        </r>
      </text>
    </comment>
    <comment ref="AI300" authorId="0">
      <text>
        <r>
          <rPr>
            <b/>
            <sz val="9"/>
            <rFont val="宋体"/>
            <charset val="134"/>
          </rPr>
          <t>Administrator:</t>
        </r>
        <r>
          <rPr>
            <sz val="9"/>
            <rFont val="宋体"/>
            <charset val="134"/>
          </rPr>
          <t xml:space="preserve">
3002180 8/5 1824pcsA一楼B9</t>
        </r>
      </text>
    </comment>
    <comment ref="AL300" authorId="0">
      <text>
        <r>
          <rPr>
            <b/>
            <sz val="9"/>
            <rFont val="宋体"/>
            <charset val="134"/>
          </rPr>
          <t>Administrator:</t>
        </r>
        <r>
          <rPr>
            <sz val="9"/>
            <rFont val="宋体"/>
            <charset val="134"/>
          </rPr>
          <t xml:space="preserve">
7/3 上客供RFID贴纸1824pcs</t>
        </r>
      </text>
    </comment>
    <comment ref="AI301" authorId="0">
      <text>
        <r>
          <rPr>
            <b/>
            <sz val="9"/>
            <rFont val="宋体"/>
            <charset val="134"/>
          </rPr>
          <t>Administrator:</t>
        </r>
        <r>
          <rPr>
            <sz val="9"/>
            <rFont val="宋体"/>
            <charset val="134"/>
          </rPr>
          <t xml:space="preserve">
3002180 8/5 2204pcs
A一楼B9
</t>
        </r>
      </text>
    </comment>
    <comment ref="AL301" authorId="0">
      <text>
        <r>
          <rPr>
            <b/>
            <sz val="9"/>
            <rFont val="宋体"/>
            <charset val="134"/>
          </rPr>
          <t>Administrator:</t>
        </r>
        <r>
          <rPr>
            <sz val="9"/>
            <rFont val="宋体"/>
            <charset val="134"/>
          </rPr>
          <t xml:space="preserve">
7/3 上客供RFID贴纸2204pcs
</t>
        </r>
      </text>
    </comment>
    <comment ref="AI302" authorId="0">
      <text>
        <r>
          <rPr>
            <b/>
            <sz val="9"/>
            <rFont val="宋体"/>
            <charset val="134"/>
          </rPr>
          <t>Administrator:</t>
        </r>
        <r>
          <rPr>
            <sz val="9"/>
            <rFont val="宋体"/>
            <charset val="134"/>
          </rPr>
          <t xml:space="preserve">
3002246 8/8 504pcs莫4B9</t>
        </r>
      </text>
    </comment>
    <comment ref="AL302" authorId="0">
      <text>
        <r>
          <rPr>
            <b/>
            <sz val="9"/>
            <rFont val="宋体"/>
            <charset val="134"/>
          </rPr>
          <t>Administrator:</t>
        </r>
        <r>
          <rPr>
            <sz val="9"/>
            <rFont val="宋体"/>
            <charset val="134"/>
          </rPr>
          <t xml:space="preserve">
7/15 上警语贴纸504pcs
WEEE说明书欧洲EN+30L-B版"504pcs</t>
        </r>
      </text>
    </comment>
    <comment ref="AI303" authorId="0">
      <text>
        <r>
          <rPr>
            <b/>
            <sz val="9"/>
            <rFont val="宋体"/>
            <charset val="134"/>
          </rPr>
          <t>Administrator:</t>
        </r>
        <r>
          <rPr>
            <sz val="9"/>
            <rFont val="宋体"/>
            <charset val="134"/>
          </rPr>
          <t xml:space="preserve">
300222 8/8 2388pcs莫4C1</t>
        </r>
      </text>
    </comment>
    <comment ref="AL303" authorId="0">
      <text>
        <r>
          <rPr>
            <b/>
            <sz val="9"/>
            <rFont val="宋体"/>
            <charset val="134"/>
          </rPr>
          <t>Administrator:</t>
        </r>
        <r>
          <rPr>
            <sz val="9"/>
            <rFont val="宋体"/>
            <charset val="134"/>
          </rPr>
          <t xml:space="preserve">
7/21 上UPC贴纸2388pcs</t>
        </r>
      </text>
    </comment>
    <comment ref="AI304" authorId="0">
      <text>
        <r>
          <rPr>
            <b/>
            <sz val="9"/>
            <rFont val="宋体"/>
            <charset val="134"/>
          </rPr>
          <t>Administrator:</t>
        </r>
        <r>
          <rPr>
            <sz val="9"/>
            <rFont val="宋体"/>
            <charset val="134"/>
          </rPr>
          <t xml:space="preserve">
3002180 8/5 300pcs
A一楼B9</t>
        </r>
      </text>
    </comment>
    <comment ref="AL304" authorId="0">
      <text>
        <r>
          <rPr>
            <b/>
            <sz val="9"/>
            <rFont val="宋体"/>
            <charset val="134"/>
          </rPr>
          <t>Administrator:</t>
        </r>
        <r>
          <rPr>
            <sz val="9"/>
            <rFont val="宋体"/>
            <charset val="134"/>
          </rPr>
          <t xml:space="preserve">
7/18 上保证书300pcs
UPC条码贴纸300pcs
进口商贴纸300pcs</t>
        </r>
      </text>
    </comment>
    <comment ref="AI305" authorId="0">
      <text>
        <r>
          <rPr>
            <b/>
            <sz val="9"/>
            <rFont val="宋体"/>
            <charset val="134"/>
          </rPr>
          <t>Administrator:</t>
        </r>
        <r>
          <rPr>
            <sz val="9"/>
            <rFont val="宋体"/>
            <charset val="134"/>
          </rPr>
          <t xml:space="preserve">
3002246 8/8 1172pcs
莫4B3</t>
        </r>
      </text>
    </comment>
    <comment ref="AI306" authorId="0">
      <text>
        <r>
          <rPr>
            <b/>
            <sz val="9"/>
            <rFont val="宋体"/>
            <charset val="134"/>
          </rPr>
          <t>Administrator:</t>
        </r>
        <r>
          <rPr>
            <sz val="9"/>
            <rFont val="宋体"/>
            <charset val="134"/>
          </rPr>
          <t xml:space="preserve">
3002246 8/8 1172pcs
莫4B3</t>
        </r>
      </text>
    </comment>
    <comment ref="AI307" authorId="0">
      <text>
        <r>
          <rPr>
            <b/>
            <sz val="9"/>
            <rFont val="宋体"/>
            <charset val="134"/>
          </rPr>
          <t>Administrator:</t>
        </r>
        <r>
          <rPr>
            <sz val="9"/>
            <rFont val="宋体"/>
            <charset val="134"/>
          </rPr>
          <t xml:space="preserve">
2001873 8/9 1952pcs华3B16</t>
        </r>
      </text>
    </comment>
    <comment ref="AI308" authorId="0">
      <text>
        <r>
          <rPr>
            <b/>
            <sz val="9"/>
            <rFont val="宋体"/>
            <charset val="134"/>
          </rPr>
          <t>Administrator:</t>
        </r>
        <r>
          <rPr>
            <sz val="9"/>
            <rFont val="宋体"/>
            <charset val="134"/>
          </rPr>
          <t xml:space="preserve">
2001873 8/9 11052pcs
华</t>
        </r>
      </text>
    </comment>
    <comment ref="AI309" authorId="0">
      <text>
        <r>
          <rPr>
            <b/>
            <sz val="9"/>
            <rFont val="宋体"/>
            <charset val="134"/>
          </rPr>
          <t>Administrator:</t>
        </r>
        <r>
          <rPr>
            <sz val="9"/>
            <rFont val="宋体"/>
            <charset val="134"/>
          </rPr>
          <t xml:space="preserve">
3002081 7/29 1480pcs华3A16</t>
        </r>
      </text>
    </comment>
    <comment ref="AL309" authorId="0">
      <text>
        <r>
          <rPr>
            <b/>
            <sz val="9"/>
            <rFont val="宋体"/>
            <charset val="134"/>
          </rPr>
          <t>Administrator:</t>
        </r>
        <r>
          <rPr>
            <sz val="9"/>
            <rFont val="宋体"/>
            <charset val="134"/>
          </rPr>
          <t xml:space="preserve">
6/24 上客供RFID贴纸1484pcs
</t>
        </r>
      </text>
    </comment>
    <comment ref="AL311" authorId="0">
      <text>
        <r>
          <rPr>
            <b/>
            <sz val="9"/>
            <rFont val="宋体"/>
            <charset val="134"/>
          </rPr>
          <t>Administrator:</t>
        </r>
        <r>
          <rPr>
            <sz val="9"/>
            <rFont val="宋体"/>
            <charset val="134"/>
          </rPr>
          <t xml:space="preserve">
8/8 上多语WEEE黑白说明书100pcs</t>
        </r>
      </text>
    </comment>
    <comment ref="AI312" authorId="0">
      <text>
        <r>
          <rPr>
            <b/>
            <sz val="9"/>
            <rFont val="宋体"/>
            <charset val="134"/>
          </rPr>
          <t>Administrator:</t>
        </r>
        <r>
          <rPr>
            <sz val="9"/>
            <rFont val="宋体"/>
            <charset val="134"/>
          </rPr>
          <t xml:space="preserve">
2001905 8/12 120pcs新仓1-B6</t>
        </r>
      </text>
    </comment>
    <comment ref="AL312" authorId="0">
      <text>
        <r>
          <rPr>
            <b/>
            <sz val="9"/>
            <rFont val="宋体"/>
            <charset val="134"/>
          </rPr>
          <t>Administrator:</t>
        </r>
        <r>
          <rPr>
            <sz val="9"/>
            <rFont val="宋体"/>
            <charset val="134"/>
          </rPr>
          <t xml:space="preserve">
7/25 上UPC贴纸120pcs
</t>
        </r>
      </text>
    </comment>
    <comment ref="AI313" authorId="0">
      <text>
        <r>
          <rPr>
            <b/>
            <sz val="9"/>
            <rFont val="宋体"/>
            <charset val="134"/>
          </rPr>
          <t>Administrator:</t>
        </r>
        <r>
          <rPr>
            <sz val="9"/>
            <rFont val="宋体"/>
            <charset val="134"/>
          </rPr>
          <t xml:space="preserve">
3002231 8/9 368pcs华3B13</t>
        </r>
      </text>
    </comment>
    <comment ref="AL313" authorId="0">
      <text>
        <r>
          <rPr>
            <b/>
            <sz val="9"/>
            <rFont val="宋体"/>
            <charset val="134"/>
          </rPr>
          <t>Administrator:</t>
        </r>
        <r>
          <rPr>
            <sz val="9"/>
            <rFont val="宋体"/>
            <charset val="134"/>
          </rPr>
          <t xml:space="preserve">
7/10 上客供警语贴纸376pcs
客供电池警告语贴纸376pcs
客供中文警告语说明书376pcs</t>
        </r>
      </text>
    </comment>
    <comment ref="AI314" authorId="0">
      <text>
        <r>
          <rPr>
            <b/>
            <sz val="9"/>
            <rFont val="宋体"/>
            <charset val="134"/>
          </rPr>
          <t>Administrator:</t>
        </r>
        <r>
          <rPr>
            <sz val="9"/>
            <rFont val="宋体"/>
            <charset val="134"/>
          </rPr>
          <t xml:space="preserve">
2001873 8/9 692pcs
华</t>
        </r>
      </text>
    </comment>
    <comment ref="AI315" authorId="0">
      <text>
        <r>
          <rPr>
            <b/>
            <sz val="9"/>
            <rFont val="宋体"/>
            <charset val="134"/>
          </rPr>
          <t>Administrator:</t>
        </r>
        <r>
          <rPr>
            <sz val="9"/>
            <rFont val="宋体"/>
            <charset val="134"/>
          </rPr>
          <t xml:space="preserve">
2001873 8/9 1468pcs
华</t>
        </r>
      </text>
    </comment>
    <comment ref="AL315" authorId="0">
      <text>
        <r>
          <rPr>
            <b/>
            <sz val="9"/>
            <rFont val="宋体"/>
            <charset val="134"/>
          </rPr>
          <t>Administrator:</t>
        </r>
        <r>
          <rPr>
            <sz val="9"/>
            <rFont val="宋体"/>
            <charset val="134"/>
          </rPr>
          <t xml:space="preserve">
7/3 上客供RFID贴纸1468pcs
</t>
        </r>
      </text>
    </comment>
    <comment ref="AI316" authorId="0">
      <text>
        <r>
          <rPr>
            <b/>
            <sz val="9"/>
            <rFont val="宋体"/>
            <charset val="134"/>
          </rPr>
          <t>Administrator:</t>
        </r>
        <r>
          <rPr>
            <sz val="9"/>
            <rFont val="宋体"/>
            <charset val="134"/>
          </rPr>
          <t xml:space="preserve">
2001873 8/9 1476pcs
华</t>
        </r>
      </text>
    </comment>
    <comment ref="AL316" authorId="0">
      <text>
        <r>
          <rPr>
            <b/>
            <sz val="9"/>
            <rFont val="宋体"/>
            <charset val="134"/>
          </rPr>
          <t>Administrator:</t>
        </r>
        <r>
          <rPr>
            <sz val="9"/>
            <rFont val="宋体"/>
            <charset val="134"/>
          </rPr>
          <t xml:space="preserve">
7/3 上客供RFID贴纸1476pcs</t>
        </r>
      </text>
    </comment>
    <comment ref="AI317" authorId="0">
      <text>
        <r>
          <rPr>
            <b/>
            <sz val="9"/>
            <rFont val="宋体"/>
            <charset val="134"/>
          </rPr>
          <t>Administrator:</t>
        </r>
        <r>
          <rPr>
            <sz val="9"/>
            <rFont val="宋体"/>
            <charset val="134"/>
          </rPr>
          <t xml:space="preserve">
2001873 8/9 922pcs
华</t>
        </r>
      </text>
    </comment>
    <comment ref="AL317" authorId="0">
      <text>
        <r>
          <rPr>
            <b/>
            <sz val="9"/>
            <rFont val="宋体"/>
            <charset val="134"/>
          </rPr>
          <t>Administrator:</t>
        </r>
        <r>
          <rPr>
            <sz val="9"/>
            <rFont val="宋体"/>
            <charset val="134"/>
          </rPr>
          <t xml:space="preserve">
7/3 上客供RFID贴纸992pcs</t>
        </r>
      </text>
    </comment>
    <comment ref="AI318" authorId="0">
      <text>
        <r>
          <rPr>
            <b/>
            <sz val="9"/>
            <rFont val="宋体"/>
            <charset val="134"/>
          </rPr>
          <t>Administrator:</t>
        </r>
        <r>
          <rPr>
            <sz val="9"/>
            <rFont val="宋体"/>
            <charset val="134"/>
          </rPr>
          <t xml:space="preserve">
2001875 8/9 1276pcs华3A32</t>
        </r>
      </text>
    </comment>
    <comment ref="AL318" authorId="0">
      <text>
        <r>
          <rPr>
            <b/>
            <sz val="9"/>
            <rFont val="宋体"/>
            <charset val="134"/>
          </rPr>
          <t>Administrator:</t>
        </r>
        <r>
          <rPr>
            <sz val="9"/>
            <rFont val="宋体"/>
            <charset val="134"/>
          </rPr>
          <t xml:space="preserve">
7/3 上客供RFID贴纸1276pcs</t>
        </r>
      </text>
    </comment>
    <comment ref="AI319" authorId="0">
      <text>
        <r>
          <rPr>
            <b/>
            <sz val="9"/>
            <rFont val="宋体"/>
            <charset val="134"/>
          </rPr>
          <t>Administrator:</t>
        </r>
        <r>
          <rPr>
            <sz val="9"/>
            <rFont val="宋体"/>
            <charset val="134"/>
          </rPr>
          <t xml:space="preserve">
2001875 8/9 1200pcs
华3A32</t>
        </r>
      </text>
    </comment>
    <comment ref="AL319" authorId="0">
      <text>
        <r>
          <rPr>
            <b/>
            <sz val="9"/>
            <rFont val="宋体"/>
            <charset val="134"/>
          </rPr>
          <t>Administrator:</t>
        </r>
        <r>
          <rPr>
            <sz val="9"/>
            <rFont val="宋体"/>
            <charset val="134"/>
          </rPr>
          <t xml:space="preserve">
7/3 上客供RFID贴纸1200pcs</t>
        </r>
      </text>
    </comment>
    <comment ref="AI320" authorId="0">
      <text>
        <r>
          <rPr>
            <b/>
            <sz val="9"/>
            <rFont val="宋体"/>
            <charset val="134"/>
          </rPr>
          <t>Administrator:</t>
        </r>
        <r>
          <rPr>
            <sz val="9"/>
            <rFont val="宋体"/>
            <charset val="134"/>
          </rPr>
          <t xml:space="preserve">
2001905 8/12 1264pcs新仓1-A10</t>
        </r>
      </text>
    </comment>
    <comment ref="AL320" authorId="0">
      <text>
        <r>
          <rPr>
            <b/>
            <sz val="9"/>
            <rFont val="宋体"/>
            <charset val="134"/>
          </rPr>
          <t>Administrator:</t>
        </r>
        <r>
          <rPr>
            <sz val="9"/>
            <rFont val="宋体"/>
            <charset val="134"/>
          </rPr>
          <t xml:space="preserve">
7/28 上客供外箱条码贴纸319pcs
</t>
        </r>
      </text>
    </comment>
    <comment ref="AI321" authorId="0">
      <text>
        <r>
          <rPr>
            <b/>
            <sz val="9"/>
            <rFont val="宋体"/>
            <charset val="134"/>
          </rPr>
          <t>Administrator:</t>
        </r>
        <r>
          <rPr>
            <sz val="9"/>
            <rFont val="宋体"/>
            <charset val="134"/>
          </rPr>
          <t xml:space="preserve">
2001905 8/12 1692pcs新仓1-A10</t>
        </r>
      </text>
    </comment>
    <comment ref="AL321" authorId="0">
      <text>
        <r>
          <rPr>
            <b/>
            <sz val="9"/>
            <rFont val="宋体"/>
            <charset val="134"/>
          </rPr>
          <t>Administrator:</t>
        </r>
        <r>
          <rPr>
            <sz val="9"/>
            <rFont val="宋体"/>
            <charset val="134"/>
          </rPr>
          <t xml:space="preserve">
7/28 上客供外箱条码贴纸427pcs
</t>
        </r>
      </text>
    </comment>
    <comment ref="AI322" authorId="0">
      <text>
        <r>
          <rPr>
            <b/>
            <sz val="9"/>
            <rFont val="宋体"/>
            <charset val="134"/>
          </rPr>
          <t>Administrator:</t>
        </r>
        <r>
          <rPr>
            <sz val="9"/>
            <rFont val="宋体"/>
            <charset val="134"/>
          </rPr>
          <t xml:space="preserve">
4000541 8/15 3864pcs华一F9
4000566 8/18 36pcs华一F9</t>
        </r>
      </text>
    </comment>
    <comment ref="AL322" authorId="0">
      <text>
        <r>
          <rPr>
            <b/>
            <sz val="9"/>
            <rFont val="宋体"/>
            <charset val="134"/>
          </rPr>
          <t>Administrator:</t>
        </r>
        <r>
          <rPr>
            <sz val="9"/>
            <rFont val="宋体"/>
            <charset val="134"/>
          </rPr>
          <t xml:space="preserve">
8/3 上UPC贴纸3900pcs
保证书3900pcs
产品贴纸3900pcs
包装贴纸3900pcs</t>
        </r>
      </text>
    </comment>
    <comment ref="AI323" authorId="0">
      <text>
        <r>
          <rPr>
            <b/>
            <sz val="9"/>
            <rFont val="宋体"/>
            <charset val="134"/>
          </rPr>
          <t>Administrator:</t>
        </r>
        <r>
          <rPr>
            <sz val="9"/>
            <rFont val="宋体"/>
            <charset val="134"/>
          </rPr>
          <t xml:space="preserve">
3002222 8/8 144pcs
张泉</t>
        </r>
      </text>
    </comment>
    <comment ref="AL323" authorId="0">
      <text>
        <r>
          <rPr>
            <b/>
            <sz val="9"/>
            <rFont val="宋体"/>
            <charset val="134"/>
          </rPr>
          <t>Administrator:</t>
        </r>
        <r>
          <rPr>
            <sz val="9"/>
            <rFont val="宋体"/>
            <charset val="134"/>
          </rPr>
          <t xml:space="preserve">
8/1 上欧洲通用说明书EA+30L带电池走货144pcs
8/1 上客人警告语贴纸144pcs
SKU号码贴纸144pcs
</t>
        </r>
      </text>
    </comment>
    <comment ref="AI325" authorId="0">
      <text>
        <r>
          <rPr>
            <b/>
            <sz val="9"/>
            <rFont val="宋体"/>
            <charset val="134"/>
          </rPr>
          <t>Administrator:</t>
        </r>
        <r>
          <rPr>
            <sz val="9"/>
            <rFont val="宋体"/>
            <charset val="134"/>
          </rPr>
          <t xml:space="preserve">
3002222 8/8 540pcs张泉</t>
        </r>
      </text>
    </comment>
    <comment ref="AL325" authorId="0">
      <text>
        <r>
          <rPr>
            <b/>
            <sz val="9"/>
            <rFont val="宋体"/>
            <charset val="134"/>
          </rPr>
          <t>Administrator:</t>
        </r>
        <r>
          <rPr>
            <sz val="9"/>
            <rFont val="宋体"/>
            <charset val="134"/>
          </rPr>
          <t xml:space="preserve">
8/1 上欧洲通用说明书EA+30L带电池走货540pcs
8/1 上客人警告语贴纸540pcs
SKU号码贴纸540pcs
</t>
        </r>
      </text>
    </comment>
    <comment ref="AI327" authorId="0">
      <text>
        <r>
          <rPr>
            <b/>
            <sz val="9"/>
            <rFont val="宋体"/>
            <charset val="134"/>
          </rPr>
          <t>Administrator:</t>
        </r>
        <r>
          <rPr>
            <sz val="9"/>
            <rFont val="宋体"/>
            <charset val="134"/>
          </rPr>
          <t xml:space="preserve">
3000509 8/18 192pcs
华3A27</t>
        </r>
      </text>
    </comment>
    <comment ref="AL327" authorId="0">
      <text>
        <r>
          <rPr>
            <b/>
            <sz val="9"/>
            <rFont val="宋体"/>
            <charset val="134"/>
          </rPr>
          <t>Administrator:</t>
        </r>
        <r>
          <rPr>
            <sz val="9"/>
            <rFont val="宋体"/>
            <charset val="134"/>
          </rPr>
          <t xml:space="preserve">
7/25 上包装+说明书电池警告语贴纸384pcs
UPC贴纸192pcs
8/11 上条码贴纸192pcs贴纸条码错需重新订购
8/15 上小警告语贴纸192pcs
</t>
        </r>
      </text>
    </comment>
    <comment ref="AI328" authorId="0">
      <text>
        <r>
          <rPr>
            <b/>
            <sz val="9"/>
            <rFont val="宋体"/>
            <charset val="134"/>
          </rPr>
          <t>Administrator:</t>
        </r>
        <r>
          <rPr>
            <sz val="9"/>
            <rFont val="宋体"/>
            <charset val="134"/>
          </rPr>
          <t xml:space="preserve">
3002250 8/5 640pcs
2001908 8/12 1960pcs张泉3-C
2001911 8/12 2800pcs张泉</t>
        </r>
      </text>
    </comment>
    <comment ref="AI330" authorId="0">
      <text>
        <r>
          <rPr>
            <b/>
            <sz val="9"/>
            <rFont val="宋体"/>
            <charset val="134"/>
          </rPr>
          <t>Administrator:</t>
        </r>
        <r>
          <rPr>
            <sz val="9"/>
            <rFont val="宋体"/>
            <charset val="134"/>
          </rPr>
          <t xml:space="preserve">
2001756 8/16 1736pcs华3A14</t>
        </r>
      </text>
    </comment>
    <comment ref="AL330" authorId="0">
      <text>
        <r>
          <rPr>
            <b/>
            <sz val="9"/>
            <rFont val="宋体"/>
            <charset val="134"/>
          </rPr>
          <t>Administrator:</t>
        </r>
        <r>
          <rPr>
            <sz val="9"/>
            <rFont val="宋体"/>
            <charset val="134"/>
          </rPr>
          <t xml:space="preserve">
8/18 上客供外箱条码贴纸438pcs</t>
        </r>
      </text>
    </comment>
    <comment ref="AI331" authorId="0">
      <text>
        <r>
          <rPr>
            <b/>
            <sz val="9"/>
            <rFont val="宋体"/>
            <charset val="134"/>
          </rPr>
          <t>Administrator:</t>
        </r>
        <r>
          <rPr>
            <sz val="9"/>
            <rFont val="宋体"/>
            <charset val="134"/>
          </rPr>
          <t xml:space="preserve">
4000640 8/20 84pcs
4000621 8/20 24276pcs</t>
        </r>
      </text>
    </comment>
    <comment ref="AL331" authorId="0">
      <text>
        <r>
          <rPr>
            <b/>
            <sz val="9"/>
            <rFont val="宋体"/>
            <charset val="134"/>
          </rPr>
          <t>Administrator:</t>
        </r>
        <r>
          <rPr>
            <sz val="9"/>
            <rFont val="宋体"/>
            <charset val="134"/>
          </rPr>
          <t xml:space="preserve">
8/2 上客供亚马逊外箱贴纸2030pcs
</t>
        </r>
      </text>
    </comment>
    <comment ref="AI332" authorId="0">
      <text>
        <r>
          <rPr>
            <b/>
            <sz val="9"/>
            <rFont val="宋体"/>
            <charset val="134"/>
          </rPr>
          <t>Administrator:</t>
        </r>
        <r>
          <rPr>
            <sz val="9"/>
            <rFont val="宋体"/>
            <charset val="134"/>
          </rPr>
          <t xml:space="preserve">
3000509 8/18 1300pcs
华3B10</t>
        </r>
      </text>
    </comment>
    <comment ref="AL332" authorId="0">
      <text>
        <r>
          <rPr>
            <b/>
            <sz val="9"/>
            <rFont val="宋体"/>
            <charset val="134"/>
          </rPr>
          <t>Administrator:</t>
        </r>
        <r>
          <rPr>
            <sz val="9"/>
            <rFont val="宋体"/>
            <charset val="134"/>
          </rPr>
          <t xml:space="preserve">
7/24 上UPC条码贴纸1300pcs</t>
        </r>
      </text>
    </comment>
    <comment ref="AI333" authorId="0">
      <text>
        <r>
          <rPr>
            <b/>
            <sz val="9"/>
            <rFont val="宋体"/>
            <charset val="134"/>
          </rPr>
          <t>Administrator:</t>
        </r>
        <r>
          <rPr>
            <sz val="9"/>
            <rFont val="宋体"/>
            <charset val="134"/>
          </rPr>
          <t xml:space="preserve">
3000509 8/18 1780pcs华一F7</t>
        </r>
      </text>
    </comment>
    <comment ref="AL333" authorId="0">
      <text>
        <r>
          <rPr>
            <b/>
            <sz val="9"/>
            <rFont val="宋体"/>
            <charset val="134"/>
          </rPr>
          <t>Administrator:</t>
        </r>
        <r>
          <rPr>
            <sz val="9"/>
            <rFont val="宋体"/>
            <charset val="134"/>
          </rPr>
          <t xml:space="preserve">
6/24 上客供RFID贴纸1780pcs
</t>
        </r>
      </text>
    </comment>
    <comment ref="AI334" authorId="0">
      <text>
        <r>
          <rPr>
            <b/>
            <sz val="9"/>
            <rFont val="宋体"/>
            <charset val="134"/>
          </rPr>
          <t>Administrator:</t>
        </r>
        <r>
          <rPr>
            <sz val="9"/>
            <rFont val="宋体"/>
            <charset val="134"/>
          </rPr>
          <t xml:space="preserve">
3000517 8/19 1472pcs华3B8</t>
        </r>
      </text>
    </comment>
    <comment ref="AL334" authorId="0">
      <text>
        <r>
          <rPr>
            <b/>
            <sz val="9"/>
            <rFont val="宋体"/>
            <charset val="134"/>
          </rPr>
          <t>Administrator:</t>
        </r>
        <r>
          <rPr>
            <sz val="9"/>
            <rFont val="宋体"/>
            <charset val="134"/>
          </rPr>
          <t xml:space="preserve">
6/24 上客供RFID贴纸1472pcs
</t>
        </r>
      </text>
    </comment>
    <comment ref="AI335" authorId="0">
      <text>
        <r>
          <rPr>
            <b/>
            <sz val="9"/>
            <rFont val="宋体"/>
            <charset val="134"/>
          </rPr>
          <t>Administrator:</t>
        </r>
        <r>
          <rPr>
            <sz val="9"/>
            <rFont val="宋体"/>
            <charset val="134"/>
          </rPr>
          <t xml:space="preserve">
2001757 8/16 108pcs华3B13</t>
        </r>
      </text>
    </comment>
    <comment ref="AL335" authorId="0">
      <text>
        <r>
          <rPr>
            <b/>
            <sz val="9"/>
            <rFont val="宋体"/>
            <charset val="134"/>
          </rPr>
          <t>Administrator:</t>
        </r>
        <r>
          <rPr>
            <sz val="9"/>
            <rFont val="宋体"/>
            <charset val="134"/>
          </rPr>
          <t xml:space="preserve">
7/11 上客人白色CATLABEL贴纸108pcs
+WEEE带电池走货说明书北欧B版108pcs</t>
        </r>
      </text>
    </comment>
    <comment ref="AI336" authorId="0">
      <text>
        <r>
          <rPr>
            <b/>
            <sz val="9"/>
            <rFont val="宋体"/>
            <charset val="134"/>
          </rPr>
          <t>Administrator:</t>
        </r>
        <r>
          <rPr>
            <sz val="9"/>
            <rFont val="宋体"/>
            <charset val="134"/>
          </rPr>
          <t xml:space="preserve">
2001756 8/16 4320pcs华3A23
2001757 8/16 2112pcs华3A23</t>
        </r>
      </text>
    </comment>
    <comment ref="AL336" authorId="0">
      <text>
        <r>
          <rPr>
            <b/>
            <sz val="9"/>
            <rFont val="宋体"/>
            <charset val="134"/>
          </rPr>
          <t>Administrator:</t>
        </r>
        <r>
          <rPr>
            <sz val="9"/>
            <rFont val="宋体"/>
            <charset val="134"/>
          </rPr>
          <t xml:space="preserve">
 8/14 上客供外箱条码贴纸1624pcs
</t>
        </r>
      </text>
    </comment>
    <comment ref="AI337" authorId="0">
      <text>
        <r>
          <rPr>
            <b/>
            <sz val="9"/>
            <rFont val="宋体"/>
            <charset val="134"/>
          </rPr>
          <t>Administrator:</t>
        </r>
        <r>
          <rPr>
            <sz val="9"/>
            <rFont val="宋体"/>
            <charset val="134"/>
          </rPr>
          <t xml:space="preserve">
2001758 8/16 1350pcs华一F5</t>
        </r>
      </text>
    </comment>
    <comment ref="AI338" authorId="0">
      <text>
        <r>
          <rPr>
            <b/>
            <sz val="9"/>
            <rFont val="宋体"/>
            <charset val="134"/>
          </rPr>
          <t>Administrator:</t>
        </r>
        <r>
          <rPr>
            <sz val="9"/>
            <rFont val="宋体"/>
            <charset val="134"/>
          </rPr>
          <t xml:space="preserve">
2001758 8/16 1350pcs华一F5
</t>
        </r>
      </text>
    </comment>
    <comment ref="AI339" authorId="0">
      <text>
        <r>
          <rPr>
            <b/>
            <sz val="9"/>
            <rFont val="宋体"/>
            <charset val="134"/>
          </rPr>
          <t>Administrator:</t>
        </r>
        <r>
          <rPr>
            <sz val="9"/>
            <rFont val="宋体"/>
            <charset val="134"/>
          </rPr>
          <t xml:space="preserve">
2001758 8/16 150pcs华3B14
</t>
        </r>
      </text>
    </comment>
    <comment ref="AI340" authorId="0">
      <text>
        <r>
          <rPr>
            <b/>
            <sz val="9"/>
            <rFont val="宋体"/>
            <charset val="134"/>
          </rPr>
          <t>Administrator:</t>
        </r>
        <r>
          <rPr>
            <sz val="9"/>
            <rFont val="宋体"/>
            <charset val="134"/>
          </rPr>
          <t xml:space="preserve">
2001758 8/16 150pcs华3B14</t>
        </r>
      </text>
    </comment>
    <comment ref="AI341" authorId="0">
      <text>
        <r>
          <rPr>
            <b/>
            <sz val="9"/>
            <rFont val="宋体"/>
            <charset val="134"/>
          </rPr>
          <t>Administrator:</t>
        </r>
        <r>
          <rPr>
            <sz val="9"/>
            <rFont val="宋体"/>
            <charset val="134"/>
          </rPr>
          <t xml:space="preserve">
2001944 8/15 1032pcs华一F4</t>
        </r>
      </text>
    </comment>
    <comment ref="AL341" authorId="0">
      <text>
        <r>
          <rPr>
            <b/>
            <sz val="9"/>
            <rFont val="宋体"/>
            <charset val="134"/>
          </rPr>
          <t>Administrator:</t>
        </r>
        <r>
          <rPr>
            <sz val="9"/>
            <rFont val="宋体"/>
            <charset val="134"/>
          </rPr>
          <t xml:space="preserve">
7/30 上说明书1032pcs</t>
        </r>
      </text>
    </comment>
    <comment ref="AI342" authorId="0">
      <text>
        <r>
          <rPr>
            <b/>
            <sz val="9"/>
            <rFont val="宋体"/>
            <charset val="134"/>
          </rPr>
          <t>Administrator:</t>
        </r>
        <r>
          <rPr>
            <sz val="9"/>
            <rFont val="宋体"/>
            <charset val="134"/>
          </rPr>
          <t xml:space="preserve">
3000507 8/21 2104pcs新仓1-A10</t>
        </r>
      </text>
    </comment>
    <comment ref="AL342" authorId="0">
      <text>
        <r>
          <rPr>
            <b/>
            <sz val="9"/>
            <rFont val="宋体"/>
            <charset val="134"/>
          </rPr>
          <t>Administrator:</t>
        </r>
        <r>
          <rPr>
            <sz val="9"/>
            <rFont val="宋体"/>
            <charset val="134"/>
          </rPr>
          <t xml:space="preserve">
7/26 上WEEE声明带电池走货欧洲 30 语通用黑白说明书B版2104pcs</t>
        </r>
      </text>
    </comment>
    <comment ref="AI343" authorId="0">
      <text>
        <r>
          <rPr>
            <b/>
            <sz val="9"/>
            <rFont val="宋体"/>
            <charset val="134"/>
          </rPr>
          <t>Administrator:</t>
        </r>
        <r>
          <rPr>
            <sz val="9"/>
            <rFont val="宋体"/>
            <charset val="134"/>
          </rPr>
          <t xml:space="preserve">
3000509 8/18 608pcs
华3B13</t>
        </r>
      </text>
    </comment>
    <comment ref="AL343" authorId="0">
      <text>
        <r>
          <rPr>
            <b/>
            <sz val="9"/>
            <rFont val="宋体"/>
            <charset val="134"/>
          </rPr>
          <t>Administrator:</t>
        </r>
        <r>
          <rPr>
            <sz val="9"/>
            <rFont val="宋体"/>
            <charset val="134"/>
          </rPr>
          <t xml:space="preserve">
7/25 上包装+说明书电池警告语贴纸1216pcs
UPC贴纸608pcs
8/11 上条码贴纸608pcs贴纸条码错需重新订购
8/15 上小警告语贴纸608pcs</t>
        </r>
      </text>
    </comment>
    <comment ref="AI344" authorId="0">
      <text>
        <r>
          <rPr>
            <b/>
            <sz val="9"/>
            <rFont val="宋体"/>
            <charset val="134"/>
          </rPr>
          <t>Administrator:</t>
        </r>
        <r>
          <rPr>
            <sz val="9"/>
            <rFont val="宋体"/>
            <charset val="134"/>
          </rPr>
          <t xml:space="preserve">
2001305 8/21 2000pcs华3B12</t>
        </r>
      </text>
    </comment>
    <comment ref="AL344" authorId="0">
      <text>
        <r>
          <rPr>
            <b/>
            <sz val="9"/>
            <rFont val="宋体"/>
            <charset val="134"/>
          </rPr>
          <t>Administrator:</t>
        </r>
        <r>
          <rPr>
            <sz val="9"/>
            <rFont val="宋体"/>
            <charset val="134"/>
          </rPr>
          <t xml:space="preserve">
7/26 上WEEE声明带电池走货欧洲 30 语通用黑白说明书B版2000pcs
</t>
        </r>
      </text>
    </comment>
    <comment ref="AI345" authorId="0">
      <text>
        <r>
          <rPr>
            <b/>
            <sz val="9"/>
            <rFont val="宋体"/>
            <charset val="134"/>
          </rPr>
          <t>Administrator:</t>
        </r>
        <r>
          <rPr>
            <sz val="9"/>
            <rFont val="宋体"/>
            <charset val="134"/>
          </rPr>
          <t xml:space="preserve">
300501 8/20 1184pcs莫 A1 B7</t>
        </r>
      </text>
    </comment>
    <comment ref="AL345" authorId="0">
      <text>
        <r>
          <rPr>
            <b/>
            <sz val="9"/>
            <rFont val="宋体"/>
            <charset val="134"/>
          </rPr>
          <t>Administrator:</t>
        </r>
        <r>
          <rPr>
            <sz val="9"/>
            <rFont val="宋体"/>
            <charset val="134"/>
          </rPr>
          <t xml:space="preserve">
6/24 上客供RFID贴纸1184pcs
</t>
        </r>
      </text>
    </comment>
    <comment ref="AI346" authorId="0">
      <text>
        <r>
          <rPr>
            <b/>
            <sz val="9"/>
            <rFont val="宋体"/>
            <charset val="134"/>
          </rPr>
          <t>Administrator:</t>
        </r>
        <r>
          <rPr>
            <sz val="9"/>
            <rFont val="宋体"/>
            <charset val="134"/>
          </rPr>
          <t xml:space="preserve">
300501 8/20 1192pcs
莫 A1 B7
</t>
        </r>
      </text>
    </comment>
    <comment ref="AL346" authorId="0">
      <text>
        <r>
          <rPr>
            <b/>
            <sz val="9"/>
            <rFont val="宋体"/>
            <charset val="134"/>
          </rPr>
          <t>Administrator:</t>
        </r>
        <r>
          <rPr>
            <sz val="9"/>
            <rFont val="宋体"/>
            <charset val="134"/>
          </rPr>
          <t xml:space="preserve">
6/24 上客供RFID贴纸1192pcs
</t>
        </r>
      </text>
    </comment>
    <comment ref="AI347" authorId="0">
      <text>
        <r>
          <rPr>
            <b/>
            <sz val="9"/>
            <rFont val="宋体"/>
            <charset val="134"/>
          </rPr>
          <t>Administrator:</t>
        </r>
        <r>
          <rPr>
            <sz val="9"/>
            <rFont val="宋体"/>
            <charset val="134"/>
          </rPr>
          <t xml:space="preserve">
300501 8/20 500pcs
莫 A1 B7
</t>
        </r>
      </text>
    </comment>
    <comment ref="AL347" authorId="0">
      <text>
        <r>
          <rPr>
            <b/>
            <sz val="9"/>
            <rFont val="宋体"/>
            <charset val="134"/>
          </rPr>
          <t>Administrator:</t>
        </r>
        <r>
          <rPr>
            <sz val="9"/>
            <rFont val="宋体"/>
            <charset val="134"/>
          </rPr>
          <t xml:space="preserve">
6/24 上客供RFID贴纸500pcs
</t>
        </r>
      </text>
    </comment>
    <comment ref="AI348" authorId="0">
      <text>
        <r>
          <rPr>
            <b/>
            <sz val="9"/>
            <rFont val="宋体"/>
            <charset val="134"/>
          </rPr>
          <t>Administrator:</t>
        </r>
        <r>
          <rPr>
            <sz val="9"/>
            <rFont val="宋体"/>
            <charset val="134"/>
          </rPr>
          <t xml:space="preserve">
300501 8/20 500pcs莫 A1 B7
</t>
        </r>
      </text>
    </comment>
    <comment ref="AL348" authorId="0">
      <text>
        <r>
          <rPr>
            <b/>
            <sz val="9"/>
            <rFont val="宋体"/>
            <charset val="134"/>
          </rPr>
          <t>Administrator:</t>
        </r>
        <r>
          <rPr>
            <sz val="9"/>
            <rFont val="宋体"/>
            <charset val="134"/>
          </rPr>
          <t xml:space="preserve">
6/24 上客供RFID贴纸500pcs
</t>
        </r>
      </text>
    </comment>
    <comment ref="AI349" authorId="0">
      <text>
        <r>
          <rPr>
            <b/>
            <sz val="9"/>
            <rFont val="宋体"/>
            <charset val="134"/>
          </rPr>
          <t>Administrator:</t>
        </r>
        <r>
          <rPr>
            <sz val="9"/>
            <rFont val="宋体"/>
            <charset val="134"/>
          </rPr>
          <t xml:space="preserve">
300501 8/20 500pcs莫 A1 B7
</t>
        </r>
      </text>
    </comment>
    <comment ref="AL349" authorId="0">
      <text>
        <r>
          <rPr>
            <b/>
            <sz val="9"/>
            <rFont val="宋体"/>
            <charset val="134"/>
          </rPr>
          <t>Administrator:</t>
        </r>
        <r>
          <rPr>
            <sz val="9"/>
            <rFont val="宋体"/>
            <charset val="134"/>
          </rPr>
          <t xml:space="preserve">
6/24 上客供RFID贴纸500pcs
</t>
        </r>
      </text>
    </comment>
    <comment ref="AI350" authorId="0">
      <text>
        <r>
          <rPr>
            <b/>
            <sz val="9"/>
            <rFont val="宋体"/>
            <charset val="134"/>
          </rPr>
          <t>Administrator:</t>
        </r>
        <r>
          <rPr>
            <sz val="9"/>
            <rFont val="宋体"/>
            <charset val="134"/>
          </rPr>
          <t xml:space="preserve">
2001305 8/21 1440pcs
华3A19
2001310 8/22 1928pcs华3A8</t>
        </r>
      </text>
    </comment>
    <comment ref="AL350" authorId="0">
      <text>
        <r>
          <rPr>
            <b/>
            <sz val="9"/>
            <rFont val="宋体"/>
            <charset val="134"/>
          </rPr>
          <t>Administrator:</t>
        </r>
        <r>
          <rPr>
            <sz val="9"/>
            <rFont val="宋体"/>
            <charset val="134"/>
          </rPr>
          <t xml:space="preserve">
7/28 上客供外箱条码贴纸850pcs</t>
        </r>
      </text>
    </comment>
    <comment ref="AI351" authorId="0">
      <text>
        <r>
          <rPr>
            <b/>
            <sz val="9"/>
            <rFont val="宋体"/>
            <charset val="134"/>
          </rPr>
          <t>Administrator:</t>
        </r>
        <r>
          <rPr>
            <sz val="9"/>
            <rFont val="宋体"/>
            <charset val="134"/>
          </rPr>
          <t xml:space="preserve">
3000506 8/21 1350pcs新仓1 -A3</t>
        </r>
      </text>
    </comment>
    <comment ref="AL351" authorId="0">
      <text>
        <r>
          <rPr>
            <b/>
            <sz val="9"/>
            <rFont val="宋体"/>
            <charset val="134"/>
          </rPr>
          <t>Administrator:</t>
        </r>
        <r>
          <rPr>
            <sz val="9"/>
            <rFont val="宋体"/>
            <charset val="134"/>
          </rPr>
          <t xml:space="preserve">
8/5 上UPC条码贴纸1350pcs
</t>
        </r>
      </text>
    </comment>
    <comment ref="AL352" authorId="0">
      <text>
        <r>
          <rPr>
            <b/>
            <sz val="9"/>
            <rFont val="宋体"/>
            <charset val="134"/>
          </rPr>
          <t>Administrator:</t>
        </r>
        <r>
          <rPr>
            <sz val="9"/>
            <rFont val="宋体"/>
            <charset val="134"/>
          </rPr>
          <t xml:space="preserve">
8/5 上UPC条码贴纸150pcs</t>
        </r>
      </text>
    </comment>
    <comment ref="AI353" authorId="0">
      <text>
        <r>
          <rPr>
            <b/>
            <sz val="9"/>
            <rFont val="宋体"/>
            <charset val="134"/>
          </rPr>
          <t>Administrator:</t>
        </r>
        <r>
          <rPr>
            <sz val="9"/>
            <rFont val="宋体"/>
            <charset val="134"/>
          </rPr>
          <t xml:space="preserve">
3000510 8/18 2840pcs
2001761 8/16 2560pcs张泉</t>
        </r>
      </text>
    </comment>
    <comment ref="AI355" authorId="0">
      <text>
        <r>
          <rPr>
            <b/>
            <sz val="9"/>
            <rFont val="宋体"/>
            <charset val="134"/>
          </rPr>
          <t>Administrator:</t>
        </r>
        <r>
          <rPr>
            <sz val="9"/>
            <rFont val="宋体"/>
            <charset val="134"/>
          </rPr>
          <t xml:space="preserve">
3002257 1200pcs
张泉
3002225 8/8 150pcs张泉</t>
        </r>
      </text>
    </comment>
    <comment ref="AI357" authorId="0">
      <text>
        <r>
          <rPr>
            <b/>
            <sz val="9"/>
            <rFont val="宋体"/>
            <charset val="134"/>
          </rPr>
          <t>Administrator:</t>
        </r>
        <r>
          <rPr>
            <sz val="9"/>
            <rFont val="宋体"/>
            <charset val="134"/>
          </rPr>
          <t xml:space="preserve">
3000503 8/20 1920pcs
3000497 8/20 3160pcs
2001302 8/21 320pcs</t>
        </r>
      </text>
    </comment>
    <comment ref="AI359" authorId="0">
      <text>
        <r>
          <rPr>
            <b/>
            <sz val="9"/>
            <rFont val="宋体"/>
            <charset val="134"/>
          </rPr>
          <t>Administrator:</t>
        </r>
        <r>
          <rPr>
            <sz val="9"/>
            <rFont val="宋体"/>
            <charset val="134"/>
          </rPr>
          <t xml:space="preserve">
3000083 8/23 1280pcs
3000079 8/23 2240pcs
3000087 8/25 1740pcs
4001016 8/26 140ｐｃｓ</t>
        </r>
      </text>
    </comment>
    <comment ref="AI361" authorId="0">
      <text>
        <r>
          <rPr>
            <b/>
            <sz val="9"/>
            <rFont val="宋体"/>
            <charset val="134"/>
          </rPr>
          <t>Administrator:</t>
        </r>
        <r>
          <rPr>
            <sz val="9"/>
            <rFont val="宋体"/>
            <charset val="134"/>
          </rPr>
          <t xml:space="preserve">
3000083 8/23 2280pcs
3000079 8/23 3120pcs</t>
        </r>
      </text>
    </comment>
    <comment ref="AI363" authorId="0">
      <text>
        <r>
          <rPr>
            <b/>
            <sz val="9"/>
            <rFont val="宋体"/>
            <charset val="134"/>
          </rPr>
          <t>Administrator:</t>
        </r>
        <r>
          <rPr>
            <sz val="9"/>
            <rFont val="宋体"/>
            <charset val="134"/>
          </rPr>
          <t xml:space="preserve">
2001302 8/21 3200pcs
2001309 8/22 2200pcs张泉</t>
        </r>
      </text>
    </comment>
    <comment ref="AI365" authorId="0">
      <text>
        <r>
          <rPr>
            <b/>
            <sz val="9"/>
            <rFont val="宋体"/>
            <charset val="134"/>
          </rPr>
          <t>Administrator:</t>
        </r>
        <r>
          <rPr>
            <sz val="9"/>
            <rFont val="宋体"/>
            <charset val="134"/>
          </rPr>
          <t xml:space="preserve">
4000051 9/3 560pcs
4000388 9/5 32pcs
华一F4
3002580 9/5 16pcs华一F5</t>
        </r>
      </text>
    </comment>
    <comment ref="AL365" authorId="0">
      <text>
        <r>
          <rPr>
            <b/>
            <sz val="9"/>
            <rFont val="宋体"/>
            <charset val="134"/>
          </rPr>
          <t>Administrator:</t>
        </r>
        <r>
          <rPr>
            <sz val="9"/>
            <rFont val="宋体"/>
            <charset val="134"/>
          </rPr>
          <t xml:space="preserve">
7/26 上电池警告语贴纸1216pcs
UPC贴纸608pcs
8/11 上条码贴纸608pcs贴纸条码错需重新订购
8/26 上小警告语贴纸608pcs</t>
        </r>
      </text>
    </comment>
    <comment ref="AI366" authorId="0">
      <text>
        <r>
          <rPr>
            <b/>
            <sz val="9"/>
            <rFont val="宋体"/>
            <charset val="134"/>
          </rPr>
          <t>Administrator:</t>
        </r>
        <r>
          <rPr>
            <sz val="9"/>
            <rFont val="宋体"/>
            <charset val="134"/>
          </rPr>
          <t xml:space="preserve">
4000050 9/2 176PCS华3B1
4000388 9/5 16pcs
华3B1</t>
        </r>
      </text>
    </comment>
    <comment ref="AL366" authorId="0">
      <text>
        <r>
          <rPr>
            <b/>
            <sz val="9"/>
            <rFont val="宋体"/>
            <charset val="134"/>
          </rPr>
          <t>Administrator:</t>
        </r>
        <r>
          <rPr>
            <sz val="9"/>
            <rFont val="宋体"/>
            <charset val="134"/>
          </rPr>
          <t xml:space="preserve">
7/26 上电池警告语贴纸384pcs
UPC贴纸192pcs
8/11 上条码贴纸192pcs贴纸条码错需重新订购
8/26 上小警告语贴纸192pcs
</t>
        </r>
      </text>
    </comment>
    <comment ref="AI367" authorId="0">
      <text>
        <r>
          <rPr>
            <b/>
            <sz val="9"/>
            <rFont val="宋体"/>
            <charset val="134"/>
          </rPr>
          <t>Administrator:</t>
        </r>
        <r>
          <rPr>
            <sz val="9"/>
            <rFont val="宋体"/>
            <charset val="134"/>
          </rPr>
          <t xml:space="preserve">
4000064 9/1 1400PCS
华1F5
4000065 9/1 4200PCS
华1F5
4000112 9/1 4376PCS
华1F5
4000388 9/5 24pcs
华一F5</t>
        </r>
      </text>
    </comment>
    <comment ref="AL367" authorId="0">
      <text>
        <r>
          <rPr>
            <b/>
            <sz val="9"/>
            <rFont val="宋体"/>
            <charset val="134"/>
          </rPr>
          <t>Administrator:</t>
        </r>
        <r>
          <rPr>
            <sz val="9"/>
            <rFont val="宋体"/>
            <charset val="134"/>
          </rPr>
          <t xml:space="preserve">
8/3 上Event label贴纸2500pcs
8/26 上客供外箱条码贴纸2050pcs
</t>
        </r>
      </text>
    </comment>
    <comment ref="BF367" authorId="1">
      <text>
        <r>
          <rPr>
            <b/>
            <sz val="9"/>
            <rFont val="宋体"/>
            <charset val="134"/>
          </rPr>
          <t>RR:</t>
        </r>
        <r>
          <rPr>
            <sz val="9"/>
            <rFont val="宋体"/>
            <charset val="134"/>
          </rPr>
          <t xml:space="preserve">
新客版资料</t>
        </r>
      </text>
    </comment>
    <comment ref="AI368" authorId="0">
      <text>
        <r>
          <rPr>
            <b/>
            <sz val="9"/>
            <rFont val="宋体"/>
            <charset val="134"/>
          </rPr>
          <t>Administrator:</t>
        </r>
        <r>
          <rPr>
            <sz val="9"/>
            <rFont val="宋体"/>
            <charset val="134"/>
          </rPr>
          <t xml:space="preserve">
2000343 9/1 500PCS 华3B7</t>
        </r>
      </text>
    </comment>
    <comment ref="AL368" authorId="0">
      <text>
        <r>
          <rPr>
            <b/>
            <sz val="9"/>
            <rFont val="宋体"/>
            <charset val="134"/>
          </rPr>
          <t>Administrator:</t>
        </r>
        <r>
          <rPr>
            <sz val="9"/>
            <rFont val="宋体"/>
            <charset val="134"/>
          </rPr>
          <t xml:space="preserve">
8/7 上客供RFID贴纸500pcs</t>
        </r>
      </text>
    </comment>
    <comment ref="AI369" authorId="0">
      <text>
        <r>
          <rPr>
            <b/>
            <sz val="9"/>
            <rFont val="宋体"/>
            <charset val="134"/>
          </rPr>
          <t>Administrator:</t>
        </r>
        <r>
          <rPr>
            <sz val="9"/>
            <rFont val="宋体"/>
            <charset val="134"/>
          </rPr>
          <t xml:space="preserve">
4000112 9/1 500pcs</t>
        </r>
      </text>
    </comment>
    <comment ref="AL369" authorId="0">
      <text>
        <r>
          <rPr>
            <b/>
            <sz val="9"/>
            <rFont val="宋体"/>
            <charset val="134"/>
          </rPr>
          <t>Administrator:</t>
        </r>
        <r>
          <rPr>
            <sz val="9"/>
            <rFont val="宋体"/>
            <charset val="134"/>
          </rPr>
          <t xml:space="preserve">
8/7 上客供RFID贴纸500pcs
</t>
        </r>
      </text>
    </comment>
    <comment ref="AI370" authorId="0">
      <text>
        <r>
          <rPr>
            <b/>
            <sz val="9"/>
            <rFont val="宋体"/>
            <charset val="134"/>
          </rPr>
          <t>Administrator:</t>
        </r>
        <r>
          <rPr>
            <sz val="9"/>
            <rFont val="宋体"/>
            <charset val="134"/>
          </rPr>
          <t xml:space="preserve">
4000113 9/1 4976PCS 华3A23
4000388 9/5 24pcs
华3A23</t>
        </r>
      </text>
    </comment>
    <comment ref="AL370" authorId="0">
      <text>
        <r>
          <rPr>
            <b/>
            <sz val="9"/>
            <rFont val="宋体"/>
            <charset val="134"/>
          </rPr>
          <t>Administrator:</t>
        </r>
        <r>
          <rPr>
            <sz val="9"/>
            <rFont val="宋体"/>
            <charset val="134"/>
          </rPr>
          <t xml:space="preserve">
8/5 上WEEE电池通用30L说明书B版（带电池）
5000pcs原PO登记备注是74478
8/11 上WEEE电池通用30L说明书B版带电池走货说明书5000pcs</t>
        </r>
      </text>
    </comment>
    <comment ref="AI371" authorId="0">
      <text>
        <r>
          <rPr>
            <b/>
            <sz val="9"/>
            <rFont val="宋体"/>
            <charset val="134"/>
          </rPr>
          <t>Administrator:</t>
        </r>
        <r>
          <rPr>
            <sz val="9"/>
            <rFont val="宋体"/>
            <charset val="134"/>
          </rPr>
          <t xml:space="preserve">
4000112 9/1 6048PCS 华3A19
4000113 9/1 944PCS 华3A19
4000388 9/5 192pcs
华3A19
3002580 9/5 16pcs华3A19</t>
        </r>
      </text>
    </comment>
    <comment ref="AL371" authorId="0">
      <text>
        <r>
          <rPr>
            <b/>
            <sz val="9"/>
            <rFont val="宋体"/>
            <charset val="134"/>
          </rPr>
          <t>Administrator:</t>
        </r>
        <r>
          <rPr>
            <sz val="9"/>
            <rFont val="宋体"/>
            <charset val="134"/>
          </rPr>
          <t xml:space="preserve">
7/15 WEEE说明书欧洲EN+30L-B版"7200pcs</t>
        </r>
      </text>
    </comment>
    <comment ref="AI372" authorId="0">
      <text>
        <r>
          <rPr>
            <b/>
            <sz val="9"/>
            <rFont val="宋体"/>
            <charset val="134"/>
          </rPr>
          <t>Administrator:</t>
        </r>
        <r>
          <rPr>
            <sz val="9"/>
            <rFont val="宋体"/>
            <charset val="134"/>
          </rPr>
          <t xml:space="preserve">
4000112 9/1 840PCS 华3B13</t>
        </r>
      </text>
    </comment>
    <comment ref="AL372" authorId="0">
      <text>
        <r>
          <rPr>
            <b/>
            <sz val="9"/>
            <rFont val="宋体"/>
            <charset val="134"/>
          </rPr>
          <t>Administrator:</t>
        </r>
        <r>
          <rPr>
            <sz val="9"/>
            <rFont val="宋体"/>
            <charset val="134"/>
          </rPr>
          <t xml:space="preserve">
8/3 上进口商贴纸840pcs</t>
        </r>
      </text>
    </comment>
    <comment ref="AI373" authorId="0">
      <text>
        <r>
          <rPr>
            <b/>
            <sz val="9"/>
            <rFont val="宋体"/>
            <charset val="134"/>
          </rPr>
          <t>Administrator:</t>
        </r>
        <r>
          <rPr>
            <sz val="9"/>
            <rFont val="宋体"/>
            <charset val="134"/>
          </rPr>
          <t xml:space="preserve">
2000346 9/3 234pcs
</t>
        </r>
      </text>
    </comment>
    <comment ref="AL373" authorId="0">
      <text>
        <r>
          <rPr>
            <b/>
            <sz val="9"/>
            <rFont val="宋体"/>
            <charset val="134"/>
          </rPr>
          <t>Administrator:</t>
        </r>
        <r>
          <rPr>
            <sz val="9"/>
            <rFont val="宋体"/>
            <charset val="134"/>
          </rPr>
          <t xml:space="preserve">
8/22 上KM单外箱贴纸39pcs
</t>
        </r>
      </text>
    </comment>
    <comment ref="AI374" authorId="0">
      <text>
        <r>
          <rPr>
            <b/>
            <sz val="9"/>
            <rFont val="宋体"/>
            <charset val="134"/>
          </rPr>
          <t>Administrator:</t>
        </r>
        <r>
          <rPr>
            <sz val="9"/>
            <rFont val="宋体"/>
            <charset val="134"/>
          </rPr>
          <t xml:space="preserve">
2000346 9/3 2166pcs
</t>
        </r>
      </text>
    </comment>
    <comment ref="AL374" authorId="0">
      <text>
        <r>
          <rPr>
            <b/>
            <sz val="9"/>
            <rFont val="宋体"/>
            <charset val="134"/>
          </rPr>
          <t>Administrator:</t>
        </r>
        <r>
          <rPr>
            <sz val="9"/>
            <rFont val="宋体"/>
            <charset val="134"/>
          </rPr>
          <t xml:space="preserve">
8/22 上KM单外箱贴纸361pcs</t>
        </r>
      </text>
    </comment>
    <comment ref="AI375" authorId="0">
      <text>
        <r>
          <rPr>
            <b/>
            <sz val="9"/>
            <rFont val="宋体"/>
            <charset val="134"/>
          </rPr>
          <t>Administrator:</t>
        </r>
        <r>
          <rPr>
            <sz val="9"/>
            <rFont val="宋体"/>
            <charset val="134"/>
          </rPr>
          <t xml:space="preserve">
4000017 9/3 1944pcs
4000388 9/5 48pcs华1F4</t>
        </r>
      </text>
    </comment>
    <comment ref="AI376" authorId="0">
      <text>
        <r>
          <rPr>
            <b/>
            <sz val="9"/>
            <rFont val="宋体"/>
            <charset val="134"/>
          </rPr>
          <t>Administrator:</t>
        </r>
        <r>
          <rPr>
            <sz val="9"/>
            <rFont val="宋体"/>
            <charset val="134"/>
          </rPr>
          <t xml:space="preserve">
4000051 9/3 560pcs</t>
        </r>
      </text>
    </comment>
    <comment ref="AL376" authorId="0">
      <text>
        <r>
          <rPr>
            <b/>
            <sz val="9"/>
            <rFont val="宋体"/>
            <charset val="134"/>
          </rPr>
          <t>Administrator:</t>
        </r>
        <r>
          <rPr>
            <sz val="9"/>
            <rFont val="宋体"/>
            <charset val="134"/>
          </rPr>
          <t xml:space="preserve">
8/13 上进口商贴纸560pcs</t>
        </r>
      </text>
    </comment>
    <comment ref="AI377" authorId="0">
      <text>
        <r>
          <rPr>
            <b/>
            <sz val="9"/>
            <rFont val="宋体"/>
            <charset val="134"/>
          </rPr>
          <t>Administrator:</t>
        </r>
        <r>
          <rPr>
            <sz val="9"/>
            <rFont val="宋体"/>
            <charset val="134"/>
          </rPr>
          <t xml:space="preserve">
4001040 8/28 3520PCS
张泉
4001083 8/29 1880PCS
张泉</t>
        </r>
      </text>
    </comment>
    <comment ref="AI379" authorId="0">
      <text>
        <r>
          <rPr>
            <b/>
            <sz val="9"/>
            <rFont val="宋体"/>
            <charset val="134"/>
          </rPr>
          <t>Administrator:</t>
        </r>
        <r>
          <rPr>
            <sz val="9"/>
            <rFont val="宋体"/>
            <charset val="134"/>
          </rPr>
          <t xml:space="preserve">
4001038 8/29 1920PCS
张泉
4001061 8/30 3480pcs张泉</t>
        </r>
      </text>
    </comment>
    <comment ref="AI381" authorId="0">
      <text>
        <r>
          <rPr>
            <b/>
            <sz val="9"/>
            <rFont val="宋体"/>
            <charset val="134"/>
          </rPr>
          <t>Administrator:</t>
        </r>
        <r>
          <rPr>
            <sz val="9"/>
            <rFont val="宋体"/>
            <charset val="134"/>
          </rPr>
          <t xml:space="preserve">
4001061 8/30 2880pcs张泉
4001063 9/1 2520PCS</t>
        </r>
      </text>
    </comment>
    <comment ref="AI383" authorId="0">
      <text>
        <r>
          <rPr>
            <b/>
            <sz val="9"/>
            <rFont val="宋体"/>
            <charset val="134"/>
          </rPr>
          <t>Administrator:</t>
        </r>
        <r>
          <rPr>
            <sz val="9"/>
            <rFont val="宋体"/>
            <charset val="134"/>
          </rPr>
          <t xml:space="preserve">
4000050 9/2 2940PCS华一F5
4000388 9/5 4pcs
华一F4</t>
        </r>
      </text>
    </comment>
    <comment ref="AL383" authorId="0">
      <text>
        <r>
          <rPr>
            <b/>
            <sz val="9"/>
            <rFont val="宋体"/>
            <charset val="134"/>
          </rPr>
          <t>Administrator:</t>
        </r>
        <r>
          <rPr>
            <sz val="9"/>
            <rFont val="宋体"/>
            <charset val="134"/>
          </rPr>
          <t xml:space="preserve">
8/18 上客供外箱条码贴纸743pcs
</t>
        </r>
      </text>
    </comment>
    <comment ref="BF383" authorId="1">
      <text>
        <r>
          <rPr>
            <b/>
            <sz val="9"/>
            <rFont val="宋体"/>
            <charset val="134"/>
          </rPr>
          <t>RR:</t>
        </r>
        <r>
          <rPr>
            <sz val="9"/>
            <rFont val="宋体"/>
            <charset val="134"/>
          </rPr>
          <t xml:space="preserve">
新客版资料</t>
        </r>
      </text>
    </comment>
    <comment ref="AI384" authorId="0">
      <text>
        <r>
          <rPr>
            <b/>
            <sz val="9"/>
            <rFont val="宋体"/>
            <charset val="134"/>
          </rPr>
          <t>Administrator:</t>
        </r>
        <r>
          <rPr>
            <sz val="9"/>
            <rFont val="宋体"/>
            <charset val="134"/>
          </rPr>
          <t xml:space="preserve">
4000050 9/2 4608PCS
华一F5
4000388 9/5 24pcs
华一F5</t>
        </r>
      </text>
    </comment>
    <comment ref="AL384" authorId="0">
      <text>
        <r>
          <rPr>
            <b/>
            <sz val="9"/>
            <rFont val="宋体"/>
            <charset val="134"/>
          </rPr>
          <t>Administrator:</t>
        </r>
        <r>
          <rPr>
            <sz val="9"/>
            <rFont val="宋体"/>
            <charset val="134"/>
          </rPr>
          <t xml:space="preserve">
8/26 上客供外箱条码贴纸1170pcs
</t>
        </r>
      </text>
    </comment>
    <comment ref="BF384" authorId="1">
      <text>
        <r>
          <rPr>
            <b/>
            <sz val="9"/>
            <rFont val="宋体"/>
            <charset val="134"/>
          </rPr>
          <t>RR:</t>
        </r>
        <r>
          <rPr>
            <sz val="9"/>
            <rFont val="宋体"/>
            <charset val="134"/>
          </rPr>
          <t xml:space="preserve">
新客版资料</t>
        </r>
      </text>
    </comment>
    <comment ref="AI385" authorId="0">
      <text>
        <r>
          <rPr>
            <b/>
            <sz val="9"/>
            <rFont val="宋体"/>
            <charset val="134"/>
          </rPr>
          <t>Administrator:</t>
        </r>
        <r>
          <rPr>
            <sz val="9"/>
            <rFont val="宋体"/>
            <charset val="134"/>
          </rPr>
          <t xml:space="preserve">
4000112 9/1 500PCS
华3B13</t>
        </r>
      </text>
    </comment>
    <comment ref="AL385" authorId="0">
      <text>
        <r>
          <rPr>
            <b/>
            <sz val="9"/>
            <rFont val="宋体"/>
            <charset val="134"/>
          </rPr>
          <t>Administrator:</t>
        </r>
        <r>
          <rPr>
            <sz val="9"/>
            <rFont val="宋体"/>
            <charset val="134"/>
          </rPr>
          <t xml:space="preserve">
8/7 上客供RFID贴纸500pcs
</t>
        </r>
      </text>
    </comment>
    <comment ref="AI386" authorId="0">
      <text>
        <r>
          <rPr>
            <b/>
            <sz val="9"/>
            <rFont val="宋体"/>
            <charset val="134"/>
          </rPr>
          <t>Administrator:</t>
        </r>
        <r>
          <rPr>
            <sz val="9"/>
            <rFont val="宋体"/>
            <charset val="134"/>
          </rPr>
          <t xml:space="preserve">
2000346 9/3 500pcs</t>
        </r>
      </text>
    </comment>
    <comment ref="AL386" authorId="0">
      <text>
        <r>
          <rPr>
            <b/>
            <sz val="9"/>
            <rFont val="宋体"/>
            <charset val="134"/>
          </rPr>
          <t>Administrator:</t>
        </r>
        <r>
          <rPr>
            <sz val="9"/>
            <rFont val="宋体"/>
            <charset val="134"/>
          </rPr>
          <t xml:space="preserve">
8/7 上客供RFID贴纸500pcs
</t>
        </r>
      </text>
    </comment>
    <comment ref="AI387" authorId="0">
      <text>
        <r>
          <rPr>
            <b/>
            <sz val="9"/>
            <rFont val="宋体"/>
            <charset val="134"/>
          </rPr>
          <t>Administrator:</t>
        </r>
        <r>
          <rPr>
            <sz val="9"/>
            <rFont val="宋体"/>
            <charset val="134"/>
          </rPr>
          <t xml:space="preserve">
4000450 9/11 792pcs
华1F3
4000449 9/11 1284pcs华1F3
4000391 9/12 24pcs
华1F3</t>
        </r>
      </text>
    </comment>
    <comment ref="AL387" authorId="0">
      <text>
        <r>
          <rPr>
            <b/>
            <sz val="9"/>
            <rFont val="宋体"/>
            <charset val="134"/>
          </rPr>
          <t>Administrator:</t>
        </r>
        <r>
          <rPr>
            <sz val="9"/>
            <rFont val="宋体"/>
            <charset val="134"/>
          </rPr>
          <t xml:space="preserve">
8/13 上价格贴纸3000pcs
两个同PO共用
8/21 上NJ客供外箱贴纸175pcs
NV 通用客供外箱贴纸175pcs</t>
        </r>
      </text>
    </comment>
    <comment ref="AI388" authorId="0">
      <text>
        <r>
          <rPr>
            <b/>
            <sz val="9"/>
            <rFont val="宋体"/>
            <charset val="134"/>
          </rPr>
          <t>Administrator:</t>
        </r>
        <r>
          <rPr>
            <sz val="9"/>
            <rFont val="宋体"/>
            <charset val="134"/>
          </rPr>
          <t xml:space="preserve">
4000449 9/11 900pcs
华1F3</t>
        </r>
      </text>
    </comment>
    <comment ref="AL388" authorId="0">
      <text>
        <r>
          <rPr>
            <b/>
            <sz val="9"/>
            <rFont val="宋体"/>
            <charset val="134"/>
          </rPr>
          <t>Administrator:</t>
        </r>
        <r>
          <rPr>
            <sz val="9"/>
            <rFont val="宋体"/>
            <charset val="134"/>
          </rPr>
          <t xml:space="preserve">
8/21 上NJ客供外箱贴纸75pcs
NV 通用客供外箱贴纸75pcs
</t>
        </r>
      </text>
    </comment>
    <comment ref="AI389" authorId="0">
      <text>
        <r>
          <rPr>
            <b/>
            <sz val="9"/>
            <rFont val="宋体"/>
            <charset val="134"/>
          </rPr>
          <t>Administrator:</t>
        </r>
        <r>
          <rPr>
            <sz val="9"/>
            <rFont val="宋体"/>
            <charset val="134"/>
          </rPr>
          <t xml:space="preserve">
4000450 9/11 168pcs
华华3B14
4000391 9/12 24pcs
华兴</t>
        </r>
      </text>
    </comment>
    <comment ref="AL389" authorId="0">
      <text>
        <r>
          <rPr>
            <b/>
            <sz val="9"/>
            <rFont val="宋体"/>
            <charset val="134"/>
          </rPr>
          <t>Administrator:</t>
        </r>
        <r>
          <rPr>
            <sz val="9"/>
            <rFont val="宋体"/>
            <charset val="134"/>
          </rPr>
          <t xml:space="preserve">
8/18 上进口商贴纸180
UPC 贴纸180pcs
保证书180pcs
f</t>
        </r>
      </text>
    </comment>
    <comment ref="AI390" authorId="0">
      <text>
        <r>
          <rPr>
            <b/>
            <sz val="9"/>
            <rFont val="宋体"/>
            <charset val="134"/>
          </rPr>
          <t>Administrator:</t>
        </r>
        <r>
          <rPr>
            <sz val="9"/>
            <rFont val="宋体"/>
            <charset val="134"/>
          </rPr>
          <t xml:space="preserve">
3000099 9/6 1560pcs</t>
        </r>
      </text>
    </comment>
    <comment ref="AI392" authorId="0">
      <text>
        <r>
          <rPr>
            <b/>
            <sz val="9"/>
            <rFont val="宋体"/>
            <charset val="134"/>
          </rPr>
          <t>Administrator:</t>
        </r>
        <r>
          <rPr>
            <sz val="9"/>
            <rFont val="宋体"/>
            <charset val="134"/>
          </rPr>
          <t xml:space="preserve">
3000083 8/23 1200pcs
3000087 8/25 2720pcs
4001016 8/26 1480pcs</t>
        </r>
      </text>
    </comment>
    <comment ref="AI394" authorId="0">
      <text>
        <r>
          <rPr>
            <b/>
            <sz val="9"/>
            <rFont val="宋体"/>
            <charset val="134"/>
          </rPr>
          <t>Administrator:</t>
        </r>
        <r>
          <rPr>
            <sz val="9"/>
            <rFont val="宋体"/>
            <charset val="134"/>
          </rPr>
          <t xml:space="preserve">
4000051 9/3 504pcs
</t>
        </r>
      </text>
    </comment>
    <comment ref="AL394" authorId="0">
      <text>
        <r>
          <rPr>
            <b/>
            <sz val="9"/>
            <rFont val="宋体"/>
            <charset val="134"/>
          </rPr>
          <t>Administrator:</t>
        </r>
        <r>
          <rPr>
            <sz val="9"/>
            <rFont val="宋体"/>
            <charset val="134"/>
          </rPr>
          <t xml:space="preserve">
8/13 上进口商贴纸504pcs
UPC贴纸504pcs</t>
        </r>
      </text>
    </comment>
    <comment ref="AI395" authorId="0">
      <text>
        <r>
          <rPr>
            <b/>
            <sz val="9"/>
            <rFont val="宋体"/>
            <charset val="134"/>
          </rPr>
          <t>Administrator:</t>
        </r>
        <r>
          <rPr>
            <sz val="9"/>
            <rFont val="宋体"/>
            <charset val="134"/>
          </rPr>
          <t xml:space="preserve">
2000389 9/10 7000pcs华1F5</t>
        </r>
      </text>
    </comment>
    <comment ref="AL395" authorId="0">
      <text>
        <r>
          <rPr>
            <b/>
            <sz val="9"/>
            <rFont val="宋体"/>
            <charset val="134"/>
          </rPr>
          <t>Administrator:</t>
        </r>
        <r>
          <rPr>
            <sz val="9"/>
            <rFont val="宋体"/>
            <charset val="134"/>
          </rPr>
          <t xml:space="preserve">
8/26 上客供外箱条码贴纸1768pcs
</t>
        </r>
      </text>
    </comment>
    <comment ref="BF395" authorId="1">
      <text>
        <r>
          <rPr>
            <b/>
            <sz val="9"/>
            <rFont val="宋体"/>
            <charset val="134"/>
          </rPr>
          <t>RR:</t>
        </r>
        <r>
          <rPr>
            <sz val="9"/>
            <rFont val="宋体"/>
            <charset val="134"/>
          </rPr>
          <t xml:space="preserve">
新客版资料</t>
        </r>
      </text>
    </comment>
    <comment ref="AI396" authorId="0">
      <text>
        <r>
          <rPr>
            <b/>
            <sz val="9"/>
            <rFont val="宋体"/>
            <charset val="134"/>
          </rPr>
          <t>Administrator:</t>
        </r>
        <r>
          <rPr>
            <sz val="9"/>
            <rFont val="宋体"/>
            <charset val="134"/>
          </rPr>
          <t xml:space="preserve">
2000372 9/11 402pcs莫4B4</t>
        </r>
      </text>
    </comment>
    <comment ref="AL396" authorId="0">
      <text>
        <r>
          <rPr>
            <b/>
            <sz val="9"/>
            <rFont val="宋体"/>
            <charset val="134"/>
          </rPr>
          <t>Administrator:</t>
        </r>
        <r>
          <rPr>
            <sz val="9"/>
            <rFont val="宋体"/>
            <charset val="134"/>
          </rPr>
          <t xml:space="preserve">
9/3 上3C贴纸402pcs</t>
        </r>
      </text>
    </comment>
    <comment ref="AI397" authorId="0">
      <text>
        <r>
          <rPr>
            <b/>
            <sz val="9"/>
            <rFont val="宋体"/>
            <charset val="134"/>
          </rPr>
          <t>Administrator:</t>
        </r>
        <r>
          <rPr>
            <sz val="9"/>
            <rFont val="宋体"/>
            <charset val="134"/>
          </rPr>
          <t xml:space="preserve">
3000100 9/8 1320pcs
3000099 9/6 4080pcs</t>
        </r>
      </text>
    </comment>
    <comment ref="AI399" authorId="0">
      <text>
        <r>
          <rPr>
            <b/>
            <sz val="9"/>
            <rFont val="宋体"/>
            <charset val="134"/>
          </rPr>
          <t>Administrator:</t>
        </r>
        <r>
          <rPr>
            <sz val="9"/>
            <rFont val="宋体"/>
            <charset val="134"/>
          </rPr>
          <t xml:space="preserve">
3000100 9/8 5400pcs</t>
        </r>
      </text>
    </comment>
    <comment ref="AI401" authorId="0">
      <text>
        <r>
          <rPr>
            <b/>
            <sz val="9"/>
            <rFont val="宋体"/>
            <charset val="134"/>
          </rPr>
          <t>Administrator:</t>
        </r>
        <r>
          <rPr>
            <sz val="9"/>
            <rFont val="宋体"/>
            <charset val="134"/>
          </rPr>
          <t xml:space="preserve">
3000103 9/8 960pcs
2000373 9/11 2970pcs
2000375 9/12 1470pcs</t>
        </r>
      </text>
    </comment>
    <comment ref="AI403" authorId="0">
      <text>
        <r>
          <rPr>
            <b/>
            <sz val="9"/>
            <rFont val="宋体"/>
            <charset val="134"/>
          </rPr>
          <t>Administrator:</t>
        </r>
        <r>
          <rPr>
            <sz val="9"/>
            <rFont val="宋体"/>
            <charset val="134"/>
          </rPr>
          <t xml:space="preserve">
2000375 9/12 5100pcs
2000377 9/13 300pcs</t>
        </r>
      </text>
    </comment>
    <comment ref="AI405" authorId="0">
      <text>
        <r>
          <rPr>
            <b/>
            <sz val="9"/>
            <rFont val="宋体"/>
            <charset val="134"/>
          </rPr>
          <t>Administrator:</t>
        </r>
        <r>
          <rPr>
            <sz val="9"/>
            <rFont val="宋体"/>
            <charset val="134"/>
          </rPr>
          <t xml:space="preserve">
4000450 9/11 4976pcs
华1F11
4000391 9/12 24pcs
华1F11</t>
        </r>
      </text>
    </comment>
    <comment ref="AL405" authorId="0">
      <text>
        <r>
          <rPr>
            <b/>
            <sz val="9"/>
            <rFont val="宋体"/>
            <charset val="134"/>
          </rPr>
          <t>Administrator:</t>
        </r>
        <r>
          <rPr>
            <sz val="9"/>
            <rFont val="宋体"/>
            <charset val="134"/>
          </rPr>
          <t xml:space="preserve">
9/2 客供外箱条码贴纸 1263pcs
</t>
        </r>
      </text>
    </comment>
    <comment ref="BF405" authorId="1">
      <text>
        <r>
          <rPr>
            <b/>
            <sz val="9"/>
            <rFont val="宋体"/>
            <charset val="134"/>
          </rPr>
          <t>RR:</t>
        </r>
        <r>
          <rPr>
            <sz val="9"/>
            <rFont val="宋体"/>
            <charset val="134"/>
          </rPr>
          <t xml:space="preserve">
新客版资料</t>
        </r>
      </text>
    </comment>
    <comment ref="AI406" authorId="0">
      <text>
        <r>
          <rPr>
            <b/>
            <sz val="9"/>
            <rFont val="宋体"/>
            <charset val="134"/>
          </rPr>
          <t>Administrator:</t>
        </r>
        <r>
          <rPr>
            <sz val="9"/>
            <rFont val="宋体"/>
            <charset val="134"/>
          </rPr>
          <t xml:space="preserve">
4000423 9/11 880pcs莫4A6
4000391 9/12 32pcs
莫4A6</t>
        </r>
      </text>
    </comment>
    <comment ref="AL406" authorId="0">
      <text>
        <r>
          <rPr>
            <b/>
            <sz val="9"/>
            <rFont val="宋体"/>
            <charset val="134"/>
          </rPr>
          <t>Administrator:</t>
        </r>
        <r>
          <rPr>
            <sz val="9"/>
            <rFont val="宋体"/>
            <charset val="134"/>
          </rPr>
          <t xml:space="preserve">
8/27 客版可移动价格贴纸 912pcs</t>
        </r>
      </text>
    </comment>
    <comment ref="AI407" authorId="0">
      <text>
        <r>
          <rPr>
            <b/>
            <sz val="9"/>
            <rFont val="宋体"/>
            <charset val="134"/>
          </rPr>
          <t>Administrator:</t>
        </r>
        <r>
          <rPr>
            <sz val="9"/>
            <rFont val="宋体"/>
            <charset val="134"/>
          </rPr>
          <t xml:space="preserve">
4000450 9/11 2520pcs
华1F11
4000423 9/11 1448pcs华F11
4000391 9/12 32pcs
华1F11</t>
        </r>
      </text>
    </comment>
    <comment ref="AL407" authorId="0">
      <text>
        <r>
          <rPr>
            <b/>
            <sz val="9"/>
            <rFont val="宋体"/>
            <charset val="134"/>
          </rPr>
          <t>Administrator:</t>
        </r>
        <r>
          <rPr>
            <sz val="9"/>
            <rFont val="宋体"/>
            <charset val="134"/>
          </rPr>
          <t xml:space="preserve">
</t>
        </r>
      </text>
    </comment>
    <comment ref="AI408" authorId="0">
      <text>
        <r>
          <rPr>
            <b/>
            <sz val="9"/>
            <rFont val="宋体"/>
            <charset val="134"/>
          </rPr>
          <t>Administrator:</t>
        </r>
        <r>
          <rPr>
            <sz val="9"/>
            <rFont val="宋体"/>
            <charset val="134"/>
          </rPr>
          <t xml:space="preserve">
4000423 9/11 1328pcs莫4C8
4000391 9/12 24pcs莫4C8</t>
        </r>
      </text>
    </comment>
    <comment ref="AL408" authorId="0">
      <text>
        <r>
          <rPr>
            <b/>
            <sz val="9"/>
            <rFont val="宋体"/>
            <charset val="134"/>
          </rPr>
          <t>Administrator:</t>
        </r>
        <r>
          <rPr>
            <sz val="9"/>
            <rFont val="宋体"/>
            <charset val="134"/>
          </rPr>
          <t xml:space="preserve">
8/18 上Kinderherz 2025 Logo贴纸1352pcs
WEEE带电池走货欧洲 30 语通用黑白说明书1352pcs
</t>
        </r>
      </text>
    </comment>
    <comment ref="AI409" authorId="0">
      <text>
        <r>
          <rPr>
            <b/>
            <sz val="9"/>
            <rFont val="宋体"/>
            <charset val="134"/>
          </rPr>
          <t>Administrator:</t>
        </r>
        <r>
          <rPr>
            <sz val="9"/>
            <rFont val="宋体"/>
            <charset val="134"/>
          </rPr>
          <t xml:space="preserve">
4000423 9/11 576pcs莫4B8
4000391 9/12 32pcs
莫4B8</t>
        </r>
      </text>
    </comment>
    <comment ref="AL409" authorId="0">
      <text>
        <r>
          <rPr>
            <b/>
            <sz val="9"/>
            <rFont val="宋体"/>
            <charset val="134"/>
          </rPr>
          <t>Administrator:</t>
        </r>
        <r>
          <rPr>
            <sz val="9"/>
            <rFont val="宋体"/>
            <charset val="134"/>
          </rPr>
          <t xml:space="preserve">
8/5 上UPC贴纸800pcs两个同PO共用
9/8 上小电池警告语贴纸800pcs
包装说明书电池警告语贴纸1600pcs
两个同PO共用</t>
        </r>
      </text>
    </comment>
    <comment ref="AI410" authorId="0">
      <text>
        <r>
          <rPr>
            <b/>
            <sz val="9"/>
            <rFont val="宋体"/>
            <charset val="134"/>
          </rPr>
          <t>Administrator:</t>
        </r>
        <r>
          <rPr>
            <sz val="9"/>
            <rFont val="宋体"/>
            <charset val="134"/>
          </rPr>
          <t xml:space="preserve">
4000423 9/11 176pcs莫4C7
4000391 9/12 16pcs
莫4C7</t>
        </r>
      </text>
    </comment>
    <comment ref="AI411" authorId="0">
      <text>
        <r>
          <rPr>
            <b/>
            <sz val="9"/>
            <rFont val="宋体"/>
            <charset val="134"/>
          </rPr>
          <t>Administrator:</t>
        </r>
        <r>
          <rPr>
            <sz val="9"/>
            <rFont val="宋体"/>
            <charset val="134"/>
          </rPr>
          <t xml:space="preserve">
4000391 9/12 4pcs华1F4
4000424 9/12 496pcs
华1F4</t>
        </r>
      </text>
    </comment>
    <comment ref="AL411" authorId="0">
      <text>
        <r>
          <rPr>
            <b/>
            <sz val="9"/>
            <rFont val="宋体"/>
            <charset val="134"/>
          </rPr>
          <t>Administrator:</t>
        </r>
        <r>
          <rPr>
            <sz val="9"/>
            <rFont val="宋体"/>
            <charset val="134"/>
          </rPr>
          <t xml:space="preserve">
8/18 上客供RFID贴纸500pcs
</t>
        </r>
      </text>
    </comment>
    <comment ref="AI412" authorId="0">
      <text>
        <r>
          <rPr>
            <b/>
            <sz val="9"/>
            <rFont val="宋体"/>
            <charset val="134"/>
          </rPr>
          <t>Administrator:</t>
        </r>
        <r>
          <rPr>
            <sz val="9"/>
            <rFont val="宋体"/>
            <charset val="134"/>
          </rPr>
          <t xml:space="preserve">
4000391 9/12 12pcs华1F4
4000424 9/12 488pcs
华1F4</t>
        </r>
      </text>
    </comment>
    <comment ref="AL412" authorId="0">
      <text>
        <r>
          <rPr>
            <b/>
            <sz val="9"/>
            <rFont val="宋体"/>
            <charset val="134"/>
          </rPr>
          <t>Administrator:</t>
        </r>
        <r>
          <rPr>
            <sz val="9"/>
            <rFont val="宋体"/>
            <charset val="134"/>
          </rPr>
          <t xml:space="preserve">
8/18 上客供RFID贴纸500pcs</t>
        </r>
      </text>
    </comment>
    <comment ref="AI413" authorId="0">
      <text>
        <r>
          <rPr>
            <b/>
            <sz val="9"/>
            <rFont val="宋体"/>
            <charset val="134"/>
          </rPr>
          <t>Administrator:</t>
        </r>
        <r>
          <rPr>
            <sz val="9"/>
            <rFont val="宋体"/>
            <charset val="134"/>
          </rPr>
          <t xml:space="preserve">
4000391 9/12 8pcs
华1F4
4000424 9/12 492pcs
华1F4</t>
        </r>
      </text>
    </comment>
    <comment ref="AL413" authorId="0">
      <text>
        <r>
          <rPr>
            <b/>
            <sz val="9"/>
            <rFont val="宋体"/>
            <charset val="134"/>
          </rPr>
          <t>Administrator:</t>
        </r>
        <r>
          <rPr>
            <sz val="9"/>
            <rFont val="宋体"/>
            <charset val="134"/>
          </rPr>
          <t xml:space="preserve">
8/18 上客供RFID贴纸500pcs</t>
        </r>
      </text>
    </comment>
    <comment ref="AI414" authorId="0">
      <text>
        <r>
          <rPr>
            <b/>
            <sz val="9"/>
            <rFont val="宋体"/>
            <charset val="134"/>
          </rPr>
          <t>Administrator:</t>
        </r>
        <r>
          <rPr>
            <sz val="9"/>
            <rFont val="宋体"/>
            <charset val="134"/>
          </rPr>
          <t xml:space="preserve">
4000914 9/18 4320pcs华1F12
4000923 9/20 24pcs
华一F12
4000920 9/19 5656pcs华一F12</t>
        </r>
      </text>
    </comment>
    <comment ref="AL414" authorId="0">
      <text>
        <r>
          <rPr>
            <b/>
            <sz val="9"/>
            <rFont val="宋体"/>
            <charset val="134"/>
          </rPr>
          <t>Administrator:</t>
        </r>
        <r>
          <rPr>
            <sz val="9"/>
            <rFont val="宋体"/>
            <charset val="134"/>
          </rPr>
          <t xml:space="preserve">
9/2 客供外箱条码贴纸 2525pcs
</t>
        </r>
      </text>
    </comment>
    <comment ref="BF414" authorId="1">
      <text>
        <r>
          <rPr>
            <b/>
            <sz val="9"/>
            <rFont val="宋体"/>
            <charset val="134"/>
          </rPr>
          <t>RR:</t>
        </r>
        <r>
          <rPr>
            <sz val="9"/>
            <rFont val="宋体"/>
            <charset val="134"/>
          </rPr>
          <t xml:space="preserve">
新客版资料</t>
        </r>
      </text>
    </comment>
    <comment ref="AI415" authorId="0">
      <text>
        <r>
          <rPr>
            <b/>
            <sz val="9"/>
            <rFont val="宋体"/>
            <charset val="134"/>
          </rPr>
          <t>Administrator:</t>
        </r>
        <r>
          <rPr>
            <sz val="9"/>
            <rFont val="宋体"/>
            <charset val="134"/>
          </rPr>
          <t xml:space="preserve">
4000910 9/17 6000pcs华1F5</t>
        </r>
      </text>
    </comment>
    <comment ref="AI416" authorId="0">
      <text>
        <r>
          <rPr>
            <b/>
            <sz val="9"/>
            <rFont val="宋体"/>
            <charset val="134"/>
          </rPr>
          <t>Administrator:</t>
        </r>
        <r>
          <rPr>
            <sz val="9"/>
            <rFont val="宋体"/>
            <charset val="134"/>
          </rPr>
          <t xml:space="preserve">
4000908 9/17 8000pcs华一F5</t>
        </r>
      </text>
    </comment>
    <comment ref="AI417" authorId="0">
      <text>
        <r>
          <rPr>
            <b/>
            <sz val="9"/>
            <rFont val="宋体"/>
            <charset val="134"/>
          </rPr>
          <t>Administrator:</t>
        </r>
        <r>
          <rPr>
            <sz val="9"/>
            <rFont val="宋体"/>
            <charset val="134"/>
          </rPr>
          <t xml:space="preserve">
4000910 9/17 1648pcs
华3B8</t>
        </r>
      </text>
    </comment>
    <comment ref="AL417" authorId="0">
      <text>
        <r>
          <rPr>
            <b/>
            <sz val="9"/>
            <rFont val="宋体"/>
            <charset val="134"/>
          </rPr>
          <t>Administrator:</t>
        </r>
        <r>
          <rPr>
            <sz val="9"/>
            <rFont val="宋体"/>
            <charset val="134"/>
          </rPr>
          <t xml:space="preserve">
8/18 上Kinderherz 2025 Logo贴纸1648pcs
WEEE带电池走货欧洲 30 语通用黑白说明书1648pcs</t>
        </r>
      </text>
    </comment>
    <comment ref="AI418" authorId="0">
      <text>
        <r>
          <rPr>
            <b/>
            <sz val="9"/>
            <rFont val="宋体"/>
            <charset val="134"/>
          </rPr>
          <t>Administrator:</t>
        </r>
        <r>
          <rPr>
            <sz val="9"/>
            <rFont val="宋体"/>
            <charset val="134"/>
          </rPr>
          <t xml:space="preserve">
4000918 9/18 960pcs华1F5</t>
        </r>
      </text>
    </comment>
    <comment ref="AL418" authorId="0">
      <text>
        <r>
          <rPr>
            <b/>
            <sz val="9"/>
            <rFont val="宋体"/>
            <charset val="134"/>
          </rPr>
          <t>Administrator:</t>
        </r>
        <r>
          <rPr>
            <sz val="9"/>
            <rFont val="宋体"/>
            <charset val="134"/>
          </rPr>
          <t xml:space="preserve">
8/28 进口商贴纸 1120pcs
WEEE带电池走货欧洲30语通用黑白说明书
1380pcs</t>
        </r>
      </text>
    </comment>
    <comment ref="AI419" authorId="0">
      <text>
        <r>
          <rPr>
            <b/>
            <sz val="9"/>
            <rFont val="宋体"/>
            <charset val="134"/>
          </rPr>
          <t>Administrator:</t>
        </r>
        <r>
          <rPr>
            <sz val="9"/>
            <rFont val="宋体"/>
            <charset val="134"/>
          </rPr>
          <t xml:space="preserve">
4000923 9/20 420pcs
华3B14</t>
        </r>
      </text>
    </comment>
    <comment ref="AL419" authorId="0">
      <text>
        <r>
          <rPr>
            <b/>
            <sz val="9"/>
            <rFont val="宋体"/>
            <charset val="134"/>
          </rPr>
          <t>Administrator:</t>
        </r>
        <r>
          <rPr>
            <sz val="9"/>
            <rFont val="宋体"/>
            <charset val="134"/>
          </rPr>
          <t xml:space="preserve">
8/28 空白贴纸 420pcs</t>
        </r>
      </text>
    </comment>
    <comment ref="AI420" authorId="0">
      <text>
        <r>
          <rPr>
            <b/>
            <sz val="9"/>
            <rFont val="宋体"/>
            <charset val="134"/>
          </rPr>
          <t>Administrator:</t>
        </r>
        <r>
          <rPr>
            <sz val="9"/>
            <rFont val="宋体"/>
            <charset val="134"/>
          </rPr>
          <t xml:space="preserve">
4000918 9/18 304pcs华1F3</t>
        </r>
      </text>
    </comment>
    <comment ref="AI421" authorId="0">
      <text>
        <r>
          <rPr>
            <b/>
            <sz val="9"/>
            <rFont val="宋体"/>
            <charset val="134"/>
          </rPr>
          <t>Administrator:</t>
        </r>
        <r>
          <rPr>
            <sz val="9"/>
            <rFont val="宋体"/>
            <charset val="134"/>
          </rPr>
          <t xml:space="preserve">
4000918 9/18 304pcs华1F4
</t>
        </r>
      </text>
    </comment>
    <comment ref="AI422" authorId="0">
      <text>
        <r>
          <rPr>
            <b/>
            <sz val="9"/>
            <rFont val="宋体"/>
            <charset val="134"/>
          </rPr>
          <t>Administrator:</t>
        </r>
        <r>
          <rPr>
            <sz val="9"/>
            <rFont val="宋体"/>
            <charset val="134"/>
          </rPr>
          <t xml:space="preserve">
4000923 9/20 1808pcs华一F3</t>
        </r>
      </text>
    </comment>
    <comment ref="AI423" authorId="0">
      <text>
        <r>
          <rPr>
            <b/>
            <sz val="9"/>
            <rFont val="宋体"/>
            <charset val="134"/>
          </rPr>
          <t>Administrator:</t>
        </r>
        <r>
          <rPr>
            <sz val="9"/>
            <rFont val="宋体"/>
            <charset val="134"/>
          </rPr>
          <t xml:space="preserve">
4000910 9/17 1400pcs
华3A29</t>
        </r>
      </text>
    </comment>
    <comment ref="AI424" authorId="0">
      <text>
        <r>
          <rPr>
            <b/>
            <sz val="9"/>
            <rFont val="宋体"/>
            <charset val="134"/>
          </rPr>
          <t>Administrator:</t>
        </r>
        <r>
          <rPr>
            <sz val="9"/>
            <rFont val="宋体"/>
            <charset val="134"/>
          </rPr>
          <t xml:space="preserve">
4000303 9/20 9360pcs华一A5
5000301 9/19 10640pcs华一A5</t>
        </r>
      </text>
    </comment>
    <comment ref="AL424" authorId="0">
      <text>
        <r>
          <rPr>
            <b/>
            <sz val="9"/>
            <rFont val="宋体"/>
            <charset val="134"/>
          </rPr>
          <t>Administrator:</t>
        </r>
        <r>
          <rPr>
            <sz val="9"/>
            <rFont val="宋体"/>
            <charset val="134"/>
          </rPr>
          <t xml:space="preserve">
9/2 客供外箱条码贴纸 5050pcs
</t>
        </r>
      </text>
    </comment>
    <comment ref="BF424" authorId="1">
      <text>
        <r>
          <rPr>
            <b/>
            <sz val="9"/>
            <rFont val="宋体"/>
            <charset val="134"/>
          </rPr>
          <t>RR:</t>
        </r>
        <r>
          <rPr>
            <sz val="9"/>
            <rFont val="宋体"/>
            <charset val="134"/>
          </rPr>
          <t xml:space="preserve">
新客版资料</t>
        </r>
      </text>
    </comment>
    <comment ref="AI425" authorId="0">
      <text>
        <r>
          <rPr>
            <b/>
            <sz val="9"/>
            <rFont val="宋体"/>
            <charset val="134"/>
          </rPr>
          <t>Administrator:</t>
        </r>
        <r>
          <rPr>
            <sz val="9"/>
            <rFont val="宋体"/>
            <charset val="134"/>
          </rPr>
          <t xml:space="preserve">
4000923 9/20 282pcs
华3B8
4000930 9/22 18pcs华兴3B8</t>
        </r>
      </text>
    </comment>
    <comment ref="AL425" authorId="0">
      <text>
        <r>
          <rPr>
            <b/>
            <sz val="9"/>
            <rFont val="宋体"/>
            <charset val="134"/>
          </rPr>
          <t>Administrator:</t>
        </r>
        <r>
          <rPr>
            <sz val="9"/>
            <rFont val="宋体"/>
            <charset val="134"/>
          </rPr>
          <t xml:space="preserve">
8/8 上客供电池警告语贴纸624
客供中文警告语贴纸624pcs</t>
        </r>
      </text>
    </comment>
    <comment ref="AI426" authorId="0">
      <text>
        <r>
          <rPr>
            <b/>
            <sz val="9"/>
            <rFont val="宋体"/>
            <charset val="134"/>
          </rPr>
          <t>Administrator:</t>
        </r>
        <r>
          <rPr>
            <sz val="9"/>
            <rFont val="宋体"/>
            <charset val="134"/>
          </rPr>
          <t xml:space="preserve">
4000923 9/20 2576pcs华3A23
4000921 9/19 5760pcs华3A23</t>
        </r>
      </text>
    </comment>
    <comment ref="AL426" authorId="0">
      <text>
        <r>
          <rPr>
            <b/>
            <sz val="9"/>
            <rFont val="宋体"/>
            <charset val="134"/>
          </rPr>
          <t>Administrator:</t>
        </r>
        <r>
          <rPr>
            <sz val="9"/>
            <rFont val="宋体"/>
            <charset val="134"/>
          </rPr>
          <t xml:space="preserve">
7/26 上WEEE声明带电池走货欧洲 30 语通用黑白说明书B版8336pcs
7/26 上进口商贴纸8336pcs</t>
        </r>
      </text>
    </comment>
    <comment ref="AI427" authorId="0">
      <text>
        <r>
          <rPr>
            <b/>
            <sz val="9"/>
            <rFont val="宋体"/>
            <charset val="134"/>
          </rPr>
          <t>Administrator:</t>
        </r>
        <r>
          <rPr>
            <sz val="9"/>
            <rFont val="宋体"/>
            <charset val="134"/>
          </rPr>
          <t xml:space="preserve">
4000933 9/24 1368pcs
华一F5</t>
        </r>
      </text>
    </comment>
    <comment ref="AL427" authorId="0">
      <text>
        <r>
          <rPr>
            <b/>
            <sz val="9"/>
            <rFont val="宋体"/>
            <charset val="134"/>
          </rPr>
          <t>Administrator:</t>
        </r>
        <r>
          <rPr>
            <sz val="9"/>
            <rFont val="宋体"/>
            <charset val="134"/>
          </rPr>
          <t xml:space="preserve">
8/5 上3C贴纸1608pcs
两个同PO共用
9/18 上3C贴纸1368pcs</t>
        </r>
      </text>
    </comment>
    <comment ref="AI428" authorId="0">
      <text>
        <r>
          <rPr>
            <b/>
            <sz val="9"/>
            <rFont val="宋体"/>
            <charset val="134"/>
          </rPr>
          <t>Administrator:</t>
        </r>
        <r>
          <rPr>
            <sz val="9"/>
            <rFont val="宋体"/>
            <charset val="134"/>
          </rPr>
          <t xml:space="preserve">
4000933 9/24 240pcs
华一F5</t>
        </r>
      </text>
    </comment>
    <comment ref="AL428" authorId="0">
      <text>
        <r>
          <rPr>
            <b/>
            <sz val="9"/>
            <rFont val="宋体"/>
            <charset val="134"/>
          </rPr>
          <t>Administrator:</t>
        </r>
        <r>
          <rPr>
            <sz val="9"/>
            <rFont val="宋体"/>
            <charset val="134"/>
          </rPr>
          <t xml:space="preserve">
9/18 上3C贴纸240pcs
</t>
        </r>
      </text>
    </comment>
    <comment ref="AI429" authorId="0">
      <text>
        <r>
          <rPr>
            <b/>
            <sz val="9"/>
            <rFont val="宋体"/>
            <charset val="134"/>
          </rPr>
          <t>Administrator:</t>
        </r>
        <r>
          <rPr>
            <sz val="9"/>
            <rFont val="宋体"/>
            <charset val="134"/>
          </rPr>
          <t xml:space="preserve">
5000327 9/24 544pcs华3A14</t>
        </r>
      </text>
    </comment>
    <comment ref="AL429" authorId="0">
      <text>
        <r>
          <rPr>
            <b/>
            <sz val="9"/>
            <rFont val="宋体"/>
            <charset val="134"/>
          </rPr>
          <t>Administrator:</t>
        </r>
        <r>
          <rPr>
            <sz val="9"/>
            <rFont val="宋体"/>
            <charset val="134"/>
          </rPr>
          <t xml:space="preserve">
8/18 上客供RFID贴纸544pcs</t>
        </r>
      </text>
    </comment>
    <comment ref="AI430" authorId="0">
      <text>
        <r>
          <rPr>
            <b/>
            <sz val="9"/>
            <rFont val="宋体"/>
            <charset val="134"/>
          </rPr>
          <t>Administrator:</t>
        </r>
        <r>
          <rPr>
            <sz val="9"/>
            <rFont val="宋体"/>
            <charset val="134"/>
          </rPr>
          <t xml:space="preserve">
5000327 9/24 760pcs
华3A14</t>
        </r>
      </text>
    </comment>
    <comment ref="AL430" authorId="0">
      <text>
        <r>
          <rPr>
            <b/>
            <sz val="9"/>
            <rFont val="宋体"/>
            <charset val="134"/>
          </rPr>
          <t>Administrator:</t>
        </r>
        <r>
          <rPr>
            <sz val="9"/>
            <rFont val="宋体"/>
            <charset val="134"/>
          </rPr>
          <t xml:space="preserve">
8/18 上客供RFID贴纸760pcs</t>
        </r>
      </text>
    </comment>
    <comment ref="AI431" authorId="0">
      <text>
        <r>
          <rPr>
            <b/>
            <sz val="9"/>
            <rFont val="宋体"/>
            <charset val="134"/>
          </rPr>
          <t>Administrator:</t>
        </r>
        <r>
          <rPr>
            <sz val="9"/>
            <rFont val="宋体"/>
            <charset val="134"/>
          </rPr>
          <t xml:space="preserve">
4000933 9/24 3000pcs
华一F5</t>
        </r>
      </text>
    </comment>
    <comment ref="AL431" authorId="0">
      <text>
        <r>
          <rPr>
            <b/>
            <sz val="9"/>
            <rFont val="宋体"/>
            <charset val="134"/>
          </rPr>
          <t>Administrator:</t>
        </r>
        <r>
          <rPr>
            <sz val="9"/>
            <rFont val="宋体"/>
            <charset val="134"/>
          </rPr>
          <t xml:space="preserve">
9/5 客供外箱条码贴纸 758pcs</t>
        </r>
      </text>
    </comment>
    <comment ref="AI432" authorId="0">
      <text>
        <r>
          <rPr>
            <b/>
            <sz val="9"/>
            <rFont val="宋体"/>
            <charset val="134"/>
          </rPr>
          <t>Administrator:</t>
        </r>
        <r>
          <rPr>
            <sz val="9"/>
            <rFont val="宋体"/>
            <charset val="134"/>
          </rPr>
          <t xml:space="preserve">
5000354 9/25 5856pcs
华一F11
5000370 9/26 128pcs
华一F11</t>
        </r>
      </text>
    </comment>
    <comment ref="AL432" authorId="0">
      <text>
        <r>
          <rPr>
            <b/>
            <sz val="9"/>
            <rFont val="宋体"/>
            <charset val="134"/>
          </rPr>
          <t>Administrator:</t>
        </r>
        <r>
          <rPr>
            <sz val="9"/>
            <rFont val="宋体"/>
            <charset val="134"/>
          </rPr>
          <t xml:space="preserve">
8/27 2025logo贴纸 7480pcs</t>
        </r>
      </text>
    </comment>
    <comment ref="AI433" authorId="0">
      <text>
        <r>
          <rPr>
            <b/>
            <sz val="9"/>
            <rFont val="宋体"/>
            <charset val="134"/>
          </rPr>
          <t>Administrator:</t>
        </r>
        <r>
          <rPr>
            <sz val="9"/>
            <rFont val="宋体"/>
            <charset val="134"/>
          </rPr>
          <t xml:space="preserve">
5000354 9/25 1772pcs华3B6</t>
        </r>
      </text>
    </comment>
    <comment ref="AL433" authorId="0">
      <text>
        <r>
          <rPr>
            <b/>
            <sz val="9"/>
            <rFont val="宋体"/>
            <charset val="134"/>
          </rPr>
          <t>Administrator:</t>
        </r>
        <r>
          <rPr>
            <sz val="9"/>
            <rFont val="宋体"/>
            <charset val="134"/>
          </rPr>
          <t xml:space="preserve">
8/29 客供RFID贴 1772pcs</t>
        </r>
      </text>
    </comment>
    <comment ref="AI434" authorId="0">
      <text>
        <r>
          <rPr>
            <b/>
            <sz val="9"/>
            <rFont val="宋体"/>
            <charset val="134"/>
          </rPr>
          <t>Administrator:</t>
        </r>
        <r>
          <rPr>
            <sz val="9"/>
            <rFont val="宋体"/>
            <charset val="134"/>
          </rPr>
          <t xml:space="preserve">
5000354 9/25 1184pcs
华3B16</t>
        </r>
      </text>
    </comment>
    <comment ref="AL434" authorId="0">
      <text>
        <r>
          <rPr>
            <b/>
            <sz val="9"/>
            <rFont val="宋体"/>
            <charset val="134"/>
          </rPr>
          <t>Administrator:</t>
        </r>
        <r>
          <rPr>
            <sz val="9"/>
            <rFont val="宋体"/>
            <charset val="134"/>
          </rPr>
          <t xml:space="preserve">
8/29 客供RFID贴 1184pcs
</t>
        </r>
      </text>
    </comment>
    <comment ref="AI435" authorId="0">
      <text>
        <r>
          <rPr>
            <b/>
            <sz val="9"/>
            <rFont val="宋体"/>
            <charset val="134"/>
          </rPr>
          <t>Administrator:</t>
        </r>
        <r>
          <rPr>
            <sz val="9"/>
            <rFont val="宋体"/>
            <charset val="134"/>
          </rPr>
          <t xml:space="preserve">
4000936 9/25 10000pcs华</t>
        </r>
      </text>
    </comment>
    <comment ref="AL435" authorId="0">
      <text>
        <r>
          <rPr>
            <b/>
            <sz val="9"/>
            <rFont val="宋体"/>
            <charset val="134"/>
          </rPr>
          <t>Administrator:</t>
        </r>
        <r>
          <rPr>
            <sz val="9"/>
            <rFont val="宋体"/>
            <charset val="134"/>
          </rPr>
          <t xml:space="preserve">
9/5 客供外箱条码贴纸 2525pcs</t>
        </r>
      </text>
    </comment>
    <comment ref="AI436" authorId="0">
      <text>
        <r>
          <rPr>
            <b/>
            <sz val="9"/>
            <rFont val="宋体"/>
            <charset val="134"/>
          </rPr>
          <t>Administrator:</t>
        </r>
        <r>
          <rPr>
            <sz val="9"/>
            <rFont val="宋体"/>
            <charset val="134"/>
          </rPr>
          <t xml:space="preserve">
5000354 9/25 6512pcs
华3A29</t>
        </r>
      </text>
    </comment>
    <comment ref="AL436" authorId="0">
      <text>
        <r>
          <rPr>
            <b/>
            <sz val="9"/>
            <rFont val="宋体"/>
            <charset val="134"/>
          </rPr>
          <t>Administrator:</t>
        </r>
        <r>
          <rPr>
            <sz val="9"/>
            <rFont val="宋体"/>
            <charset val="134"/>
          </rPr>
          <t xml:space="preserve">
9/9 上客供RFID贴纸6512pcs
</t>
        </r>
      </text>
    </comment>
    <comment ref="AI437" authorId="0">
      <text>
        <r>
          <rPr>
            <b/>
            <sz val="9"/>
            <rFont val="宋体"/>
            <charset val="134"/>
          </rPr>
          <t>Administrator:</t>
        </r>
        <r>
          <rPr>
            <sz val="9"/>
            <rFont val="宋体"/>
            <charset val="134"/>
          </rPr>
          <t xml:space="preserve">
4000930 9/22 600pcs莫4B4</t>
        </r>
      </text>
    </comment>
    <comment ref="AL437" authorId="0">
      <text>
        <r>
          <rPr>
            <b/>
            <sz val="9"/>
            <rFont val="宋体"/>
            <charset val="134"/>
          </rPr>
          <t>Administrator:</t>
        </r>
        <r>
          <rPr>
            <sz val="9"/>
            <rFont val="宋体"/>
            <charset val="134"/>
          </rPr>
          <t xml:space="preserve">
9/11 进口商贴纸600pcs
UPC贴纸600pcs
</t>
        </r>
      </text>
    </comment>
    <comment ref="AI438" authorId="0">
      <text>
        <r>
          <rPr>
            <b/>
            <sz val="9"/>
            <rFont val="宋体"/>
            <charset val="134"/>
          </rPr>
          <t>Administrator:</t>
        </r>
        <r>
          <rPr>
            <sz val="9"/>
            <rFont val="宋体"/>
            <charset val="134"/>
          </rPr>
          <t xml:space="preserve">
5000327 9/24 500pcs
华3A14</t>
        </r>
      </text>
    </comment>
    <comment ref="AL438" authorId="0">
      <text>
        <r>
          <rPr>
            <b/>
            <sz val="9"/>
            <rFont val="宋体"/>
            <charset val="134"/>
          </rPr>
          <t>Administrator:</t>
        </r>
        <r>
          <rPr>
            <sz val="9"/>
            <rFont val="宋体"/>
            <charset val="134"/>
          </rPr>
          <t xml:space="preserve">
8/18 上客供RFID贴纸500pcs</t>
        </r>
      </text>
    </comment>
    <comment ref="AI439" authorId="0">
      <text>
        <r>
          <rPr>
            <b/>
            <sz val="9"/>
            <rFont val="宋体"/>
            <charset val="134"/>
          </rPr>
          <t>Administrator:</t>
        </r>
        <r>
          <rPr>
            <sz val="9"/>
            <rFont val="宋体"/>
            <charset val="134"/>
          </rPr>
          <t xml:space="preserve">
4000933 9/24 368pcs
华一F4</t>
        </r>
      </text>
    </comment>
    <comment ref="AL439" authorId="0">
      <text>
        <r>
          <rPr>
            <b/>
            <sz val="9"/>
            <rFont val="宋体"/>
            <charset val="134"/>
          </rPr>
          <t>Administrator:</t>
        </r>
        <r>
          <rPr>
            <sz val="9"/>
            <rFont val="宋体"/>
            <charset val="134"/>
          </rPr>
          <t xml:space="preserve">
7/16 上客供警语贴纸       384pcs
     上客供电池警语贴纸   384pcs
     上客供中文警告说明书  384pcs</t>
        </r>
      </text>
    </comment>
    <comment ref="AI440" authorId="0">
      <text>
        <r>
          <rPr>
            <b/>
            <sz val="9"/>
            <rFont val="宋体"/>
            <charset val="134"/>
          </rPr>
          <t>Administrator:</t>
        </r>
        <r>
          <rPr>
            <sz val="9"/>
            <rFont val="宋体"/>
            <charset val="134"/>
          </rPr>
          <t xml:space="preserve">
4000933 9/24 150pcs
华一F5</t>
        </r>
      </text>
    </comment>
    <comment ref="AI441" authorId="0">
      <text>
        <r>
          <rPr>
            <b/>
            <sz val="9"/>
            <rFont val="宋体"/>
            <charset val="134"/>
          </rPr>
          <t>Administrator:</t>
        </r>
        <r>
          <rPr>
            <sz val="9"/>
            <rFont val="宋体"/>
            <charset val="134"/>
          </rPr>
          <t xml:space="preserve">
4000933 9/24 1350pcs华一F5</t>
        </r>
      </text>
    </comment>
    <comment ref="AI442" authorId="0">
      <text>
        <r>
          <rPr>
            <b/>
            <sz val="9"/>
            <rFont val="宋体"/>
            <charset val="134"/>
          </rPr>
          <t>Administrator:</t>
        </r>
        <r>
          <rPr>
            <sz val="9"/>
            <rFont val="宋体"/>
            <charset val="134"/>
          </rPr>
          <t xml:space="preserve">
4000944 9/26 528pcs直走</t>
        </r>
      </text>
    </comment>
    <comment ref="AL442" authorId="0">
      <text>
        <r>
          <rPr>
            <b/>
            <sz val="9"/>
            <rFont val="宋体"/>
            <charset val="134"/>
          </rPr>
          <t>Administrator:</t>
        </r>
        <r>
          <rPr>
            <sz val="9"/>
            <rFont val="宋体"/>
            <charset val="134"/>
          </rPr>
          <t xml:space="preserve">
9/5 UPC贴纸528pcs
9/8 进口商贴纸 528pcs</t>
        </r>
      </text>
    </comment>
    <comment ref="AI443" authorId="0">
      <text>
        <r>
          <rPr>
            <b/>
            <sz val="9"/>
            <rFont val="宋体"/>
            <charset val="134"/>
          </rPr>
          <t>Administrator:</t>
        </r>
        <r>
          <rPr>
            <sz val="9"/>
            <rFont val="宋体"/>
            <charset val="134"/>
          </rPr>
          <t xml:space="preserve">
5000370 9/26 3360pcs
华一F5
5000385 9/26 1416pcs华一F5
500030 9/26 24pcs华一F5</t>
        </r>
      </text>
    </comment>
    <comment ref="AL443" authorId="0">
      <text>
        <r>
          <rPr>
            <b/>
            <sz val="9"/>
            <rFont val="宋体"/>
            <charset val="134"/>
          </rPr>
          <t>Administrator:</t>
        </r>
        <r>
          <rPr>
            <sz val="9"/>
            <rFont val="宋体"/>
            <charset val="134"/>
          </rPr>
          <t xml:space="preserve">
9/8 进口商贴纸 4800pcs
9/8 产品贴纸 4800pcs
9/8 说明书 4800pcs
9/8 UPC贴纸 4800pcs
9/9 保证书4800pcs
9/13 外箱贴纸400pcs
</t>
        </r>
      </text>
    </comment>
    <comment ref="AI444" authorId="0">
      <text>
        <r>
          <rPr>
            <b/>
            <sz val="9"/>
            <rFont val="宋体"/>
            <charset val="134"/>
          </rPr>
          <t>Administrator:</t>
        </r>
        <r>
          <rPr>
            <sz val="9"/>
            <rFont val="宋体"/>
            <charset val="134"/>
          </rPr>
          <t xml:space="preserve">
500030 9/26 4056pcs华一F11
</t>
        </r>
      </text>
    </comment>
    <comment ref="AL444" authorId="0">
      <text>
        <r>
          <rPr>
            <b/>
            <sz val="9"/>
            <rFont val="宋体"/>
            <charset val="134"/>
          </rPr>
          <t>Administrator:</t>
        </r>
        <r>
          <rPr>
            <sz val="9"/>
            <rFont val="宋体"/>
            <charset val="134"/>
          </rPr>
          <t xml:space="preserve">
9/5 客供外箱条码贴纸 1024pcs</t>
        </r>
      </text>
    </comment>
    <comment ref="AI445" authorId="0">
      <text>
        <r>
          <rPr>
            <b/>
            <sz val="9"/>
            <rFont val="宋体"/>
            <charset val="134"/>
          </rPr>
          <t>Administrator:</t>
        </r>
        <r>
          <rPr>
            <sz val="9"/>
            <rFont val="宋体"/>
            <charset val="134"/>
          </rPr>
          <t xml:space="preserve">
4000949 9/27 732pcs</t>
        </r>
      </text>
    </comment>
    <comment ref="AL445" authorId="0">
      <text>
        <r>
          <rPr>
            <b/>
            <sz val="9"/>
            <rFont val="宋体"/>
            <charset val="134"/>
          </rPr>
          <t>Administrator:</t>
        </r>
        <r>
          <rPr>
            <sz val="9"/>
            <rFont val="宋体"/>
            <charset val="134"/>
          </rPr>
          <t xml:space="preserve">
9/2 WEEE电子产品说明书30L 732PCS
9/3 上亚马逊外箱贴纸122pcs
</t>
        </r>
      </text>
    </comment>
    <comment ref="AI446" authorId="0">
      <text>
        <r>
          <rPr>
            <b/>
            <sz val="9"/>
            <rFont val="宋体"/>
            <charset val="134"/>
          </rPr>
          <t>Administrator:</t>
        </r>
        <r>
          <rPr>
            <sz val="9"/>
            <rFont val="宋体"/>
            <charset val="134"/>
          </rPr>
          <t xml:space="preserve">
4000949 9/27 504pcs
</t>
        </r>
      </text>
    </comment>
    <comment ref="AL446" authorId="0">
      <text>
        <r>
          <rPr>
            <b/>
            <sz val="9"/>
            <rFont val="宋体"/>
            <charset val="134"/>
          </rPr>
          <t>Administrator:</t>
        </r>
        <r>
          <rPr>
            <sz val="9"/>
            <rFont val="宋体"/>
            <charset val="134"/>
          </rPr>
          <t xml:space="preserve">
9/2 WEEE电子产品说明书30L 504PCS
9/3 上亚马逊外箱贴纸84pcs
</t>
        </r>
      </text>
    </comment>
    <comment ref="AI447" authorId="0">
      <text>
        <r>
          <rPr>
            <b/>
            <sz val="9"/>
            <rFont val="宋体"/>
            <charset val="134"/>
          </rPr>
          <t>Administrator:</t>
        </r>
        <r>
          <rPr>
            <sz val="9"/>
            <rFont val="宋体"/>
            <charset val="134"/>
          </rPr>
          <t xml:space="preserve">
4000949 9/27 504pcs</t>
        </r>
      </text>
    </comment>
    <comment ref="AL447" authorId="0">
      <text>
        <r>
          <rPr>
            <b/>
            <sz val="9"/>
            <rFont val="宋体"/>
            <charset val="134"/>
          </rPr>
          <t>Administrator:</t>
        </r>
        <r>
          <rPr>
            <sz val="9"/>
            <rFont val="宋体"/>
            <charset val="134"/>
          </rPr>
          <t xml:space="preserve">
9/2 WEEE电子产品说明书30L 504PCS
9/3 上亚马逊外箱贴纸84pcs
</t>
        </r>
      </text>
    </comment>
    <comment ref="AI448" authorId="0">
      <text>
        <r>
          <rPr>
            <b/>
            <sz val="9"/>
            <rFont val="宋体"/>
            <charset val="134"/>
          </rPr>
          <t>Administrator:</t>
        </r>
        <r>
          <rPr>
            <sz val="9"/>
            <rFont val="宋体"/>
            <charset val="134"/>
          </rPr>
          <t xml:space="preserve">
4000949 9/27 1056pcs</t>
        </r>
      </text>
    </comment>
    <comment ref="AL448" authorId="0">
      <text>
        <r>
          <rPr>
            <b/>
            <sz val="9"/>
            <rFont val="宋体"/>
            <charset val="134"/>
          </rPr>
          <t>Administrator:</t>
        </r>
        <r>
          <rPr>
            <sz val="9"/>
            <rFont val="宋体"/>
            <charset val="134"/>
          </rPr>
          <t xml:space="preserve">
9/2 WEEE电子产品说明书30L 1056PCS
9/3 上亚马逊外箱贴纸176pcs
</t>
        </r>
      </text>
    </comment>
    <comment ref="AI449" authorId="0">
      <text>
        <r>
          <rPr>
            <b/>
            <sz val="9"/>
            <rFont val="宋体"/>
            <charset val="134"/>
          </rPr>
          <t>Administrator:</t>
        </r>
        <r>
          <rPr>
            <sz val="9"/>
            <rFont val="宋体"/>
            <charset val="134"/>
          </rPr>
          <t xml:space="preserve">
4000949 9/27 516pcs</t>
        </r>
      </text>
    </comment>
    <comment ref="AL449" authorId="0">
      <text>
        <r>
          <rPr>
            <b/>
            <sz val="9"/>
            <rFont val="宋体"/>
            <charset val="134"/>
          </rPr>
          <t>Administrator:</t>
        </r>
        <r>
          <rPr>
            <sz val="9"/>
            <rFont val="宋体"/>
            <charset val="134"/>
          </rPr>
          <t xml:space="preserve">
9/2 WEEE电子产品说明书30L 516PCS
9/3 上亚马逊外箱贴纸86pcs
9/23 上Kinderherz 贴纸516pcs
</t>
        </r>
      </text>
    </comment>
    <comment ref="AI450" authorId="0">
      <text>
        <r>
          <rPr>
            <b/>
            <sz val="9"/>
            <rFont val="宋体"/>
            <charset val="134"/>
          </rPr>
          <t>Administrator:</t>
        </r>
        <r>
          <rPr>
            <sz val="9"/>
            <rFont val="宋体"/>
            <charset val="134"/>
          </rPr>
          <t xml:space="preserve">
4000949 9/27 816pcs</t>
        </r>
      </text>
    </comment>
    <comment ref="AL450" authorId="0">
      <text>
        <r>
          <rPr>
            <b/>
            <sz val="9"/>
            <rFont val="宋体"/>
            <charset val="134"/>
          </rPr>
          <t>Administrator:</t>
        </r>
        <r>
          <rPr>
            <sz val="9"/>
            <rFont val="宋体"/>
            <charset val="134"/>
          </rPr>
          <t xml:space="preserve">
9/2 UPC贴纸 816pcs
9/2 获奖贴纸 816pcs
9/2 WEEE电子产品说明书30L 816PCS
9/3 上亚马逊外箱贴纸68pcs
9/9 上获奖贴纸600pcs补订
9/23 上Kinderherz 贴纸516pcs
</t>
        </r>
      </text>
    </comment>
    <comment ref="AI451" authorId="0">
      <text>
        <r>
          <rPr>
            <b/>
            <sz val="9"/>
            <rFont val="宋体"/>
            <charset val="134"/>
          </rPr>
          <t>Administrator:</t>
        </r>
        <r>
          <rPr>
            <sz val="9"/>
            <rFont val="宋体"/>
            <charset val="134"/>
          </rPr>
          <t xml:space="preserve">
4000949 9/27 432pcs</t>
        </r>
      </text>
    </comment>
    <comment ref="AL451" authorId="0">
      <text>
        <r>
          <rPr>
            <b/>
            <sz val="9"/>
            <rFont val="宋体"/>
            <charset val="134"/>
          </rPr>
          <t>Administrator:</t>
        </r>
        <r>
          <rPr>
            <sz val="9"/>
            <rFont val="宋体"/>
            <charset val="134"/>
          </rPr>
          <t xml:space="preserve">
9/2 UPC贴纸 516pcs
9/2 WEEE电子产品说明书30L 516PCS
9/3 上亚马逊外箱贴纸43pcs
</t>
        </r>
      </text>
    </comment>
    <comment ref="AI452" authorId="0">
      <text>
        <r>
          <rPr>
            <b/>
            <sz val="9"/>
            <rFont val="宋体"/>
            <charset val="134"/>
          </rPr>
          <t>Administrator:</t>
        </r>
        <r>
          <rPr>
            <sz val="9"/>
            <rFont val="宋体"/>
            <charset val="134"/>
          </rPr>
          <t xml:space="preserve">
5000385 9/26 4000pcs莫4C6</t>
        </r>
      </text>
    </comment>
    <comment ref="AL452" authorId="0">
      <text>
        <r>
          <rPr>
            <b/>
            <sz val="9"/>
            <rFont val="宋体"/>
            <charset val="134"/>
          </rPr>
          <t>Administrator:</t>
        </r>
        <r>
          <rPr>
            <sz val="9"/>
            <rFont val="宋体"/>
            <charset val="134"/>
          </rPr>
          <t xml:space="preserve">
9/5 客户EAN 条码贴纸4000pcs
9/5 ZURU带电池版本30语WEEE 4000pcs
9/5 PDO数量贴纸 1000pcs
9/20 上PDQ数量贴纸1000pcs</t>
        </r>
      </text>
    </comment>
    <comment ref="AI453" authorId="0">
      <text>
        <r>
          <rPr>
            <b/>
            <sz val="9"/>
            <rFont val="宋体"/>
            <charset val="134"/>
          </rPr>
          <t>Administrator:</t>
        </r>
        <r>
          <rPr>
            <sz val="9"/>
            <rFont val="宋体"/>
            <charset val="134"/>
          </rPr>
          <t xml:space="preserve">
4000944 9/26 432pcs
华3B13</t>
        </r>
      </text>
    </comment>
    <comment ref="AL453" authorId="0">
      <text>
        <r>
          <rPr>
            <b/>
            <sz val="9"/>
            <rFont val="宋体"/>
            <charset val="134"/>
          </rPr>
          <t>Administrator:</t>
        </r>
        <r>
          <rPr>
            <sz val="9"/>
            <rFont val="宋体"/>
            <charset val="134"/>
          </rPr>
          <t xml:space="preserve">
9/5 客户警语贴纸 432pcs
9/5 ZURU带电池版本30语WEEE 432pcs</t>
        </r>
      </text>
    </comment>
    <comment ref="AI454" authorId="0">
      <text>
        <r>
          <rPr>
            <b/>
            <sz val="9"/>
            <rFont val="宋体"/>
            <charset val="134"/>
          </rPr>
          <t>Administrator:</t>
        </r>
        <r>
          <rPr>
            <sz val="9"/>
            <rFont val="宋体"/>
            <charset val="134"/>
          </rPr>
          <t xml:space="preserve">
4000946 9/26 3920pcs
华3B12
4000944 9/26 7920pcs
华3B12</t>
        </r>
      </text>
    </comment>
    <comment ref="AL454" authorId="0">
      <text>
        <r>
          <rPr>
            <b/>
            <sz val="9"/>
            <rFont val="宋体"/>
            <charset val="134"/>
          </rPr>
          <t>Administrator:</t>
        </r>
        <r>
          <rPr>
            <sz val="9"/>
            <rFont val="宋体"/>
            <charset val="134"/>
          </rPr>
          <t xml:space="preserve">
9/9 上客供RFID贴纸11840pcs
</t>
        </r>
      </text>
    </comment>
    <comment ref="AI455" authorId="0">
      <text>
        <r>
          <rPr>
            <b/>
            <sz val="9"/>
            <rFont val="宋体"/>
            <charset val="134"/>
          </rPr>
          <t>Administrator:</t>
        </r>
        <r>
          <rPr>
            <sz val="9"/>
            <rFont val="宋体"/>
            <charset val="134"/>
          </rPr>
          <t xml:space="preserve">
4000946 9/26 1440pcs华3B7
2000554 9/27 1440pcs
4000950 9/29 5144pcs华一F7
4000953 9/29 720pcs华一F7</t>
        </r>
      </text>
    </comment>
    <comment ref="AL455" authorId="0">
      <text>
        <r>
          <rPr>
            <b/>
            <sz val="9"/>
            <rFont val="宋体"/>
            <charset val="134"/>
          </rPr>
          <t>Administrator:</t>
        </r>
        <r>
          <rPr>
            <sz val="9"/>
            <rFont val="宋体"/>
            <charset val="134"/>
          </rPr>
          <t xml:space="preserve">
9/9 上客供RFID贴纸8744pcs
</t>
        </r>
      </text>
    </comment>
    <comment ref="AI456" authorId="0">
      <text>
        <r>
          <rPr>
            <b/>
            <sz val="9"/>
            <rFont val="宋体"/>
            <charset val="134"/>
          </rPr>
          <t>Administrator:</t>
        </r>
        <r>
          <rPr>
            <sz val="9"/>
            <rFont val="宋体"/>
            <charset val="134"/>
          </rPr>
          <t xml:space="preserve">
5000460 9/30 2400pcs
</t>
        </r>
      </text>
    </comment>
    <comment ref="AL456" authorId="0">
      <text>
        <r>
          <rPr>
            <b/>
            <sz val="9"/>
            <rFont val="宋体"/>
            <charset val="134"/>
          </rPr>
          <t>Administrator:</t>
        </r>
        <r>
          <rPr>
            <sz val="9"/>
            <rFont val="宋体"/>
            <charset val="134"/>
          </rPr>
          <t xml:space="preserve">
9/2 b版WEEE通用电池走货说 2400pcs
9/9 上获奖贴纸2400pcs
</t>
        </r>
      </text>
    </comment>
    <comment ref="AI457" authorId="0">
      <text>
        <r>
          <rPr>
            <b/>
            <sz val="9"/>
            <rFont val="宋体"/>
            <charset val="134"/>
          </rPr>
          <t>Administrator:</t>
        </r>
        <r>
          <rPr>
            <sz val="9"/>
            <rFont val="宋体"/>
            <charset val="134"/>
          </rPr>
          <t xml:space="preserve">
5000460 9/30 800pcs
</t>
        </r>
      </text>
    </comment>
    <comment ref="AL457" authorId="0">
      <text>
        <r>
          <rPr>
            <b/>
            <sz val="9"/>
            <rFont val="宋体"/>
            <charset val="134"/>
          </rPr>
          <t>Administrator:</t>
        </r>
        <r>
          <rPr>
            <sz val="9"/>
            <rFont val="宋体"/>
            <charset val="134"/>
          </rPr>
          <t xml:space="preserve">
9/2 b版WEEE通用电池走货说 800pcs
</t>
        </r>
      </text>
    </comment>
    <comment ref="AI458" authorId="0">
      <text>
        <r>
          <rPr>
            <b/>
            <sz val="9"/>
            <rFont val="宋体"/>
            <charset val="134"/>
          </rPr>
          <t>Administrator:</t>
        </r>
        <r>
          <rPr>
            <sz val="9"/>
            <rFont val="宋体"/>
            <charset val="134"/>
          </rPr>
          <t xml:space="preserve">
4000953 9/29 5040pcs华一F5
4000955 9/30 4960pcs</t>
        </r>
      </text>
    </comment>
    <comment ref="AL458" authorId="0">
      <text>
        <r>
          <rPr>
            <b/>
            <sz val="9"/>
            <rFont val="宋体"/>
            <charset val="134"/>
          </rPr>
          <t>Administrator:</t>
        </r>
        <r>
          <rPr>
            <sz val="9"/>
            <rFont val="宋体"/>
            <charset val="134"/>
          </rPr>
          <t xml:space="preserve">
9/5 客供外箱条码贴纸 2525pcs
</t>
        </r>
      </text>
    </comment>
    <comment ref="BF458" authorId="1">
      <text>
        <r>
          <rPr>
            <b/>
            <sz val="9"/>
            <rFont val="宋体"/>
            <charset val="134"/>
          </rPr>
          <t>RR:</t>
        </r>
        <r>
          <rPr>
            <sz val="9"/>
            <rFont val="宋体"/>
            <charset val="134"/>
          </rPr>
          <t xml:space="preserve">
新客版资料</t>
        </r>
      </text>
    </comment>
    <comment ref="AI459" authorId="0">
      <text>
        <r>
          <rPr>
            <b/>
            <sz val="9"/>
            <rFont val="宋体"/>
            <charset val="134"/>
          </rPr>
          <t>Administrator:</t>
        </r>
        <r>
          <rPr>
            <sz val="9"/>
            <rFont val="宋体"/>
            <charset val="134"/>
          </rPr>
          <t xml:space="preserve">
4000958 10/8 512pcs
</t>
        </r>
      </text>
    </comment>
    <comment ref="AI460" authorId="0">
      <text>
        <r>
          <rPr>
            <b/>
            <sz val="9"/>
            <rFont val="宋体"/>
            <charset val="134"/>
          </rPr>
          <t>Administrator:</t>
        </r>
        <r>
          <rPr>
            <sz val="9"/>
            <rFont val="宋体"/>
            <charset val="134"/>
          </rPr>
          <t xml:space="preserve">
4000958 10/8 492pcs
</t>
        </r>
      </text>
    </comment>
    <comment ref="AL460" authorId="0">
      <text>
        <r>
          <rPr>
            <b/>
            <sz val="9"/>
            <rFont val="宋体"/>
            <charset val="134"/>
          </rPr>
          <t>Administrator:</t>
        </r>
        <r>
          <rPr>
            <sz val="9"/>
            <rFont val="宋体"/>
            <charset val="134"/>
          </rPr>
          <t xml:space="preserve">
9/9 上获奖贴纸492pcs
9/9 上UPC贴纸492PCS
WEEE电子产品说明书30L(带电池走货B版)492pcs
9/11 上多语折叠警告语贴纸492pcs
9/16 上亚马逊外箱贴纸41ｐｃｓ</t>
        </r>
      </text>
    </comment>
    <comment ref="AI461" authorId="0">
      <text>
        <r>
          <rPr>
            <b/>
            <sz val="9"/>
            <rFont val="宋体"/>
            <charset val="134"/>
          </rPr>
          <t>Administrator:</t>
        </r>
        <r>
          <rPr>
            <sz val="9"/>
            <rFont val="宋体"/>
            <charset val="134"/>
          </rPr>
          <t xml:space="preserve">
5000494 10/10 2000pcs华一F7</t>
        </r>
      </text>
    </comment>
    <comment ref="AL461" authorId="0">
      <text>
        <r>
          <rPr>
            <b/>
            <sz val="9"/>
            <rFont val="宋体"/>
            <charset val="134"/>
          </rPr>
          <t>Administrator:</t>
        </r>
        <r>
          <rPr>
            <sz val="9"/>
            <rFont val="宋体"/>
            <charset val="134"/>
          </rPr>
          <t xml:space="preserve">
9/13 上警告语/进口商贴纸2000pcs
WEEE说明书贴纸2000pcs
1语警告语贴纸6000ｐｃｓ
2语警告语贴纸2000ｐｃｓ</t>
        </r>
      </text>
    </comment>
    <comment ref="AI462" authorId="0">
      <text>
        <r>
          <rPr>
            <b/>
            <sz val="9"/>
            <rFont val="宋体"/>
            <charset val="134"/>
          </rPr>
          <t>Administrator:</t>
        </r>
        <r>
          <rPr>
            <sz val="9"/>
            <rFont val="宋体"/>
            <charset val="134"/>
          </rPr>
          <t xml:space="preserve">
4000958 10/8 1240pcs
</t>
        </r>
      </text>
    </comment>
    <comment ref="AI463" authorId="0">
      <text>
        <r>
          <rPr>
            <b/>
            <sz val="9"/>
            <rFont val="宋体"/>
            <charset val="134"/>
          </rPr>
          <t>Administrator:</t>
        </r>
        <r>
          <rPr>
            <sz val="9"/>
            <rFont val="宋体"/>
            <charset val="134"/>
          </rPr>
          <t xml:space="preserve">
5000494 10/10 1968pcs华3B12
5000509 10/11 32pcs
华</t>
        </r>
      </text>
    </comment>
    <comment ref="AI464" authorId="0">
      <text>
        <r>
          <rPr>
            <b/>
            <sz val="9"/>
            <rFont val="宋体"/>
            <charset val="134"/>
          </rPr>
          <t>Administrator:</t>
        </r>
        <r>
          <rPr>
            <sz val="9"/>
            <rFont val="宋体"/>
            <charset val="134"/>
          </rPr>
          <t xml:space="preserve">
5000494 10/10 2396pcs华一F7
5000509 10/11 4pcs华</t>
        </r>
      </text>
    </comment>
    <comment ref="AL464" authorId="0">
      <text>
        <r>
          <rPr>
            <b/>
            <sz val="9"/>
            <rFont val="宋体"/>
            <charset val="134"/>
          </rPr>
          <t>Administrator:</t>
        </r>
        <r>
          <rPr>
            <sz val="9"/>
            <rFont val="宋体"/>
            <charset val="134"/>
          </rPr>
          <t xml:space="preserve">
9/16 上WEEE_带电池走货 _ 说明书欧洲EN+30L-B版 2400pcs
9/16 上WEEE_带电池走货 _ 说明书欧洲EN+30L-B版 8000pcs多订
Kinderherz 2025 logo 2400ｐｃｓ</t>
        </r>
      </text>
    </comment>
    <comment ref="AI465" authorId="0">
      <text>
        <r>
          <rPr>
            <b/>
            <sz val="9"/>
            <rFont val="宋体"/>
            <charset val="134"/>
          </rPr>
          <t>Administrator:</t>
        </r>
        <r>
          <rPr>
            <sz val="9"/>
            <rFont val="宋体"/>
            <charset val="134"/>
          </rPr>
          <t xml:space="preserve">
4000973 10/11 1504pcs
华一F4
</t>
        </r>
      </text>
    </comment>
    <comment ref="AL465" authorId="0">
      <text>
        <r>
          <rPr>
            <b/>
            <sz val="9"/>
            <rFont val="宋体"/>
            <charset val="134"/>
          </rPr>
          <t>Administrator:</t>
        </r>
        <r>
          <rPr>
            <sz val="9"/>
            <rFont val="宋体"/>
            <charset val="134"/>
          </rPr>
          <t xml:space="preserve">
9/16 上WEEE_带电池走货 _ 说明书欧洲EN+30L-B版 1504pcs
10/8 上带电池走货说明书4800pcs(77872/78223)三个PO共用 补订</t>
        </r>
      </text>
    </comment>
    <comment ref="AI466" authorId="0">
      <text>
        <r>
          <rPr>
            <b/>
            <sz val="9"/>
            <rFont val="宋体"/>
            <charset val="134"/>
          </rPr>
          <t>Administrator:</t>
        </r>
        <r>
          <rPr>
            <sz val="9"/>
            <rFont val="宋体"/>
            <charset val="134"/>
          </rPr>
          <t xml:space="preserve">
4000971 10/11 1888pcs华一F9
4000973 10/11 32pcs
华一F9</t>
        </r>
      </text>
    </comment>
    <comment ref="AI467" authorId="0">
      <text>
        <r>
          <rPr>
            <b/>
            <sz val="9"/>
            <rFont val="宋体"/>
            <charset val="134"/>
          </rPr>
          <t>Administrator:</t>
        </r>
        <r>
          <rPr>
            <sz val="9"/>
            <rFont val="宋体"/>
            <charset val="134"/>
          </rPr>
          <t xml:space="preserve">
4000971 10/11 1500pcs华3B17
</t>
        </r>
      </text>
    </comment>
    <comment ref="AL467" authorId="0">
      <text>
        <r>
          <rPr>
            <b/>
            <sz val="9"/>
            <rFont val="宋体"/>
            <charset val="134"/>
          </rPr>
          <t>Administrator:</t>
        </r>
        <r>
          <rPr>
            <sz val="9"/>
            <rFont val="宋体"/>
            <charset val="134"/>
          </rPr>
          <t xml:space="preserve">
9/11 进口商贴纸1500pcs</t>
        </r>
      </text>
    </comment>
    <comment ref="AI468" authorId="0">
      <text>
        <r>
          <rPr>
            <b/>
            <sz val="9"/>
            <rFont val="宋体"/>
            <charset val="134"/>
          </rPr>
          <t>Administrator:</t>
        </r>
        <r>
          <rPr>
            <sz val="9"/>
            <rFont val="宋体"/>
            <charset val="134"/>
          </rPr>
          <t xml:space="preserve">
4000971 10/11 3052pcs华一F5
4000964 10/10 4320pcs华一F11</t>
        </r>
      </text>
    </comment>
    <comment ref="AL468" authorId="0">
      <text>
        <r>
          <rPr>
            <b/>
            <sz val="9"/>
            <rFont val="宋体"/>
            <charset val="134"/>
          </rPr>
          <t>Administrator:</t>
        </r>
        <r>
          <rPr>
            <sz val="9"/>
            <rFont val="宋体"/>
            <charset val="134"/>
          </rPr>
          <t xml:space="preserve">
9/9 上客供RFID贴纸7372pcs
</t>
        </r>
      </text>
    </comment>
    <comment ref="AI469" authorId="0">
      <text>
        <r>
          <rPr>
            <b/>
            <sz val="9"/>
            <rFont val="宋体"/>
            <charset val="134"/>
          </rPr>
          <t>Administrator:</t>
        </r>
        <r>
          <rPr>
            <sz val="9"/>
            <rFont val="宋体"/>
            <charset val="134"/>
          </rPr>
          <t xml:space="preserve">
4000971 10/11 1248pcs华3B16
</t>
        </r>
      </text>
    </comment>
    <comment ref="AL469" authorId="0">
      <text>
        <r>
          <rPr>
            <b/>
            <sz val="9"/>
            <rFont val="宋体"/>
            <charset val="134"/>
          </rPr>
          <t>Administrator:</t>
        </r>
        <r>
          <rPr>
            <sz val="9"/>
            <rFont val="宋体"/>
            <charset val="134"/>
          </rPr>
          <t xml:space="preserve">
9/9 上UPC贴纸1248PCS
WEEE电子产品说明书30L(带电池走货B版)1248pcs
9/11 上多语折叠警告语贴纸1248pcs
9/18 上亚马逊外箱贴纸104pcs</t>
        </r>
      </text>
    </comment>
    <comment ref="AI470" authorId="0">
      <text>
        <r>
          <rPr>
            <b/>
            <sz val="9"/>
            <rFont val="宋体"/>
            <charset val="134"/>
          </rPr>
          <t>Administrator:</t>
        </r>
        <r>
          <rPr>
            <sz val="9"/>
            <rFont val="宋体"/>
            <charset val="134"/>
          </rPr>
          <t xml:space="preserve">
4000971 10/11 468pcs华3B14
4000973 10/11 24pcs华3B14</t>
        </r>
      </text>
    </comment>
    <comment ref="AL470" authorId="0">
      <text>
        <r>
          <rPr>
            <b/>
            <sz val="9"/>
            <rFont val="宋体"/>
            <charset val="134"/>
          </rPr>
          <t>Administrator:</t>
        </r>
        <r>
          <rPr>
            <sz val="9"/>
            <rFont val="宋体"/>
            <charset val="134"/>
          </rPr>
          <t xml:space="preserve">
9/9 上获奖贴纸492pcs
9/9 上UPC贴纸492PCS
WEEE电子产品说明书30L(带电池走货B版)492pcs
9/11 上多语折叠警告语贴纸492pcs
9/18 上亚马逊外箱贴纸41pcs
9/23 上Kinderherz 贴纸492pcs</t>
        </r>
      </text>
    </comment>
    <comment ref="AI471" authorId="0">
      <text>
        <r>
          <rPr>
            <b/>
            <sz val="9"/>
            <rFont val="宋体"/>
            <charset val="134"/>
          </rPr>
          <t>Administrator:</t>
        </r>
        <r>
          <rPr>
            <sz val="9"/>
            <rFont val="宋体"/>
            <charset val="134"/>
          </rPr>
          <t xml:space="preserve">
4000958 10/8 504pcs</t>
        </r>
      </text>
    </comment>
    <comment ref="AL471" authorId="0">
      <text>
        <r>
          <rPr>
            <b/>
            <sz val="9"/>
            <rFont val="宋体"/>
            <charset val="134"/>
          </rPr>
          <t>Administrator:</t>
        </r>
        <r>
          <rPr>
            <sz val="9"/>
            <rFont val="宋体"/>
            <charset val="134"/>
          </rPr>
          <t xml:space="preserve">
9/9 上UPC贴纸504PCS
WEEE电子产品说明书30L(带电池走货B版)504pcs
9/11 上多语折叠警告语贴纸504pcs
9/18 上亚马逊外箱贴纸41pcs
</t>
        </r>
      </text>
    </comment>
    <comment ref="AI472" authorId="0">
      <text>
        <r>
          <rPr>
            <b/>
            <sz val="9"/>
            <rFont val="宋体"/>
            <charset val="134"/>
          </rPr>
          <t>Administrator:</t>
        </r>
        <r>
          <rPr>
            <sz val="9"/>
            <rFont val="宋体"/>
            <charset val="134"/>
          </rPr>
          <t xml:space="preserve">
4000973 10/11 40pcs
4000962 10/10 4760pcsB栋三楼</t>
        </r>
      </text>
    </comment>
    <comment ref="AL472" authorId="0">
      <text>
        <r>
          <rPr>
            <b/>
            <sz val="9"/>
            <rFont val="宋体"/>
            <charset val="134"/>
          </rPr>
          <t>Administrator:</t>
        </r>
        <r>
          <rPr>
            <sz val="9"/>
            <rFont val="宋体"/>
            <charset val="134"/>
          </rPr>
          <t xml:space="preserve">
9/13 上保证书4800pcs
产品贴纸4800pcs
说明书贴纸4800pcs
包装贴纸4800pcs</t>
        </r>
      </text>
    </comment>
    <comment ref="AI474" authorId="0">
      <text>
        <r>
          <rPr>
            <b/>
            <sz val="9"/>
            <rFont val="宋体"/>
            <charset val="134"/>
          </rPr>
          <t>Administrator:</t>
        </r>
        <r>
          <rPr>
            <sz val="9"/>
            <rFont val="宋体"/>
            <charset val="134"/>
          </rPr>
          <t xml:space="preserve">
4000975 10/11 512pcs华一F4</t>
        </r>
      </text>
    </comment>
    <comment ref="AL474" authorId="0">
      <text>
        <r>
          <rPr>
            <b/>
            <sz val="9"/>
            <rFont val="宋体"/>
            <charset val="134"/>
          </rPr>
          <t>Administrator:</t>
        </r>
        <r>
          <rPr>
            <sz val="9"/>
            <rFont val="宋体"/>
            <charset val="134"/>
          </rPr>
          <t xml:space="preserve">
9/20 上进口商贴纸512pcs
</t>
        </r>
      </text>
    </comment>
    <comment ref="AI475" authorId="0">
      <text>
        <r>
          <rPr>
            <b/>
            <sz val="9"/>
            <rFont val="宋体"/>
            <charset val="134"/>
          </rPr>
          <t>Administrator:</t>
        </r>
        <r>
          <rPr>
            <sz val="9"/>
            <rFont val="宋体"/>
            <charset val="134"/>
          </rPr>
          <t xml:space="preserve">
用77606PO换单5000</t>
        </r>
      </text>
    </comment>
    <comment ref="AL475" authorId="0">
      <text>
        <r>
          <rPr>
            <b/>
            <sz val="9"/>
            <rFont val="宋体"/>
            <charset val="134"/>
          </rPr>
          <t>Administrator:</t>
        </r>
        <r>
          <rPr>
            <sz val="9"/>
            <rFont val="宋体"/>
            <charset val="134"/>
          </rPr>
          <t xml:space="preserve">
10/24 上UPC贴纸5000pcs</t>
        </r>
      </text>
    </comment>
    <comment ref="AI476" authorId="0">
      <text>
        <r>
          <rPr>
            <b/>
            <sz val="9"/>
            <rFont val="宋体"/>
            <charset val="134"/>
          </rPr>
          <t>Administrator:</t>
        </r>
        <r>
          <rPr>
            <sz val="9"/>
            <rFont val="宋体"/>
            <charset val="134"/>
          </rPr>
          <t xml:space="preserve">
4001004 10/20 1185pcs华3B12</t>
        </r>
      </text>
    </comment>
    <comment ref="AL476" authorId="0">
      <text>
        <r>
          <rPr>
            <b/>
            <sz val="9"/>
            <rFont val="宋体"/>
            <charset val="134"/>
          </rPr>
          <t>Administrator:</t>
        </r>
        <r>
          <rPr>
            <sz val="9"/>
            <rFont val="宋体"/>
            <charset val="134"/>
          </rPr>
          <t xml:space="preserve">
WEEE电子产品说明书30L(带电池走货B版)1182pcs
</t>
        </r>
      </text>
    </comment>
    <comment ref="AI477" authorId="0">
      <text>
        <r>
          <rPr>
            <b/>
            <sz val="9"/>
            <rFont val="宋体"/>
            <charset val="134"/>
          </rPr>
          <t>Administrator:</t>
        </r>
        <r>
          <rPr>
            <sz val="9"/>
            <rFont val="宋体"/>
            <charset val="134"/>
          </rPr>
          <t xml:space="preserve">
4001005 10/20 780pcs华3A20</t>
        </r>
      </text>
    </comment>
    <comment ref="AL477" authorId="0">
      <text>
        <r>
          <rPr>
            <b/>
            <sz val="9"/>
            <rFont val="宋体"/>
            <charset val="134"/>
          </rPr>
          <t>Administrator:</t>
        </r>
        <r>
          <rPr>
            <sz val="9"/>
            <rFont val="宋体"/>
            <charset val="134"/>
          </rPr>
          <t xml:space="preserve">
WEEE电子产品说明书30L(带电池走货B版)780pcs
9/23 上Kinderherz 贴纸780pcs
</t>
        </r>
      </text>
    </comment>
    <comment ref="AI478" authorId="0">
      <text>
        <r>
          <rPr>
            <b/>
            <sz val="9"/>
            <rFont val="宋体"/>
            <charset val="134"/>
          </rPr>
          <t>Administrator:</t>
        </r>
        <r>
          <rPr>
            <sz val="9"/>
            <rFont val="宋体"/>
            <charset val="134"/>
          </rPr>
          <t xml:space="preserve">
4001005 10/20 720pcs
华3A21</t>
        </r>
      </text>
    </comment>
    <comment ref="AL478" authorId="0">
      <text>
        <r>
          <rPr>
            <b/>
            <sz val="9"/>
            <rFont val="宋体"/>
            <charset val="134"/>
          </rPr>
          <t>Administrator:</t>
        </r>
        <r>
          <rPr>
            <sz val="9"/>
            <rFont val="宋体"/>
            <charset val="134"/>
          </rPr>
          <t xml:space="preserve">
WEEE电子产品说明书30L(带电池走货B版)720pcs
</t>
        </r>
      </text>
    </comment>
    <comment ref="AI479" authorId="0">
      <text>
        <r>
          <rPr>
            <b/>
            <sz val="9"/>
            <rFont val="宋体"/>
            <charset val="134"/>
          </rPr>
          <t>Administrator:</t>
        </r>
        <r>
          <rPr>
            <sz val="9"/>
            <rFont val="宋体"/>
            <charset val="134"/>
          </rPr>
          <t xml:space="preserve">
</t>
        </r>
        <r>
          <rPr>
            <sz val="12"/>
            <rFont val="宋体"/>
            <charset val="134"/>
          </rPr>
          <t>4000988 10/16 7920pcs
华一F4-5-12
4000991 10/16 10080pcs华一F4-5-12
4000995 10/17 4840pcs
4000993 10/17 19440pcs华一B3. 一A4
4000996 10/18 720pcs华一B3</t>
        </r>
      </text>
    </comment>
    <comment ref="AL479" authorId="0">
      <text>
        <r>
          <rPr>
            <b/>
            <sz val="9"/>
            <rFont val="宋体"/>
            <charset val="134"/>
          </rPr>
          <t>Administrator:</t>
        </r>
        <r>
          <rPr>
            <sz val="9"/>
            <rFont val="宋体"/>
            <charset val="134"/>
          </rPr>
          <t xml:space="preserve">
9/23 上客供外箱条码贴纸10858pcs
</t>
        </r>
      </text>
    </comment>
    <comment ref="AI480" authorId="0">
      <text>
        <r>
          <rPr>
            <b/>
            <sz val="9"/>
            <rFont val="宋体"/>
            <charset val="134"/>
          </rPr>
          <t>Administrator:</t>
        </r>
        <r>
          <rPr>
            <sz val="9"/>
            <rFont val="宋体"/>
            <charset val="134"/>
          </rPr>
          <t xml:space="preserve">
4001006 10/21 352pcs
华一F5</t>
        </r>
      </text>
    </comment>
    <comment ref="AI481" authorId="0">
      <text>
        <r>
          <rPr>
            <b/>
            <sz val="9"/>
            <rFont val="宋体"/>
            <charset val="134"/>
          </rPr>
          <t>Administrator:</t>
        </r>
        <r>
          <rPr>
            <sz val="9"/>
            <rFont val="宋体"/>
            <charset val="134"/>
          </rPr>
          <t xml:space="preserve">
4001006 10/21 1748pcs华一F5</t>
        </r>
      </text>
    </comment>
    <comment ref="AI482" authorId="0">
      <text>
        <r>
          <rPr>
            <b/>
            <sz val="9"/>
            <rFont val="宋体"/>
            <charset val="134"/>
          </rPr>
          <t>Administrator:</t>
        </r>
        <r>
          <rPr>
            <sz val="9"/>
            <rFont val="宋体"/>
            <charset val="134"/>
          </rPr>
          <t xml:space="preserve">
4001006 10/21 5000pcs
直走</t>
        </r>
      </text>
    </comment>
    <comment ref="AI483" authorId="0">
      <text>
        <r>
          <rPr>
            <b/>
            <sz val="9"/>
            <rFont val="宋体"/>
            <charset val="134"/>
          </rPr>
          <t>Administrator:</t>
        </r>
        <r>
          <rPr>
            <sz val="9"/>
            <rFont val="宋体"/>
            <charset val="134"/>
          </rPr>
          <t xml:space="preserve">
5000621 10/18 4176pcs华 一F12
5000131 10/22 328pcs
华一F12</t>
        </r>
      </text>
    </comment>
    <comment ref="AI484" authorId="0">
      <text>
        <r>
          <rPr>
            <b/>
            <sz val="9"/>
            <rFont val="宋体"/>
            <charset val="134"/>
          </rPr>
          <t>Administrator:</t>
        </r>
        <r>
          <rPr>
            <sz val="9"/>
            <rFont val="宋体"/>
            <charset val="134"/>
          </rPr>
          <t xml:space="preserve">
5000611 10/18 6812pcs华一F5</t>
        </r>
      </text>
    </comment>
    <comment ref="AL484" authorId="0">
      <text>
        <r>
          <rPr>
            <b/>
            <sz val="9"/>
            <rFont val="宋体"/>
            <charset val="134"/>
          </rPr>
          <t>Administrator:</t>
        </r>
        <r>
          <rPr>
            <sz val="9"/>
            <rFont val="宋体"/>
            <charset val="134"/>
          </rPr>
          <t xml:space="preserve">
9/9 上客供RFID贴纸6812pcs
</t>
        </r>
      </text>
    </comment>
    <comment ref="AI485" authorId="0">
      <text>
        <r>
          <rPr>
            <b/>
            <sz val="9"/>
            <rFont val="宋体"/>
            <charset val="134"/>
          </rPr>
          <t>Administrator:</t>
        </r>
        <r>
          <rPr>
            <sz val="9"/>
            <rFont val="宋体"/>
            <charset val="134"/>
          </rPr>
          <t xml:space="preserve">
5000616 10/18 5004pcs
华一F11
5000131 10/22 240pcs
一F11</t>
        </r>
      </text>
    </comment>
    <comment ref="AL485" authorId="0">
      <text>
        <r>
          <rPr>
            <b/>
            <sz val="9"/>
            <rFont val="宋体"/>
            <charset val="134"/>
          </rPr>
          <t>Administrator:</t>
        </r>
        <r>
          <rPr>
            <sz val="9"/>
            <rFont val="宋体"/>
            <charset val="134"/>
          </rPr>
          <t xml:space="preserve">
9/23 上警语贴纸5244pcs
客版贴纸5244pcs
Kinderherz 贴纸5244pcs
9/23 上WEEE30LB 带电池走货说明书5244pcs</t>
        </r>
      </text>
    </comment>
    <comment ref="AI486" authorId="0">
      <text>
        <r>
          <rPr>
            <b/>
            <sz val="9"/>
            <rFont val="宋体"/>
            <charset val="134"/>
          </rPr>
          <t>Administrator:</t>
        </r>
        <r>
          <rPr>
            <sz val="9"/>
            <rFont val="宋体"/>
            <charset val="134"/>
          </rPr>
          <t xml:space="preserve">
5000601 10/17 3980pcs华一F5
5000611 10/18 20pcs华一F5</t>
        </r>
      </text>
    </comment>
    <comment ref="AI487" authorId="0">
      <text>
        <r>
          <rPr>
            <b/>
            <sz val="9"/>
            <rFont val="宋体"/>
            <charset val="134"/>
          </rPr>
          <t>Administrator:</t>
        </r>
        <r>
          <rPr>
            <sz val="9"/>
            <rFont val="宋体"/>
            <charset val="134"/>
          </rPr>
          <t xml:space="preserve">
5000135 10/22 8740pcs
华一F7.F9
5000132 10/22 8260pcs华一F7.一F9
</t>
        </r>
      </text>
    </comment>
    <comment ref="AL487" authorId="0">
      <text>
        <r>
          <rPr>
            <b/>
            <sz val="9"/>
            <rFont val="宋体"/>
            <charset val="134"/>
          </rPr>
          <t>Administrator:</t>
        </r>
        <r>
          <rPr>
            <sz val="9"/>
            <rFont val="宋体"/>
            <charset val="134"/>
          </rPr>
          <t xml:space="preserve">
9/29 上客供外箱条码贴纸4293PCS</t>
        </r>
      </text>
    </comment>
    <comment ref="AI488" authorId="0">
      <text>
        <r>
          <rPr>
            <b/>
            <sz val="9"/>
            <rFont val="宋体"/>
            <charset val="134"/>
          </rPr>
          <t>Administrator:</t>
        </r>
        <r>
          <rPr>
            <sz val="9"/>
            <rFont val="宋体"/>
            <charset val="134"/>
          </rPr>
          <t xml:space="preserve">
5000150 10/23 1200pcs华3B12</t>
        </r>
      </text>
    </comment>
    <comment ref="AL488" authorId="0">
      <text>
        <r>
          <rPr>
            <b/>
            <sz val="9"/>
            <rFont val="宋体"/>
            <charset val="134"/>
          </rPr>
          <t>Administrator:</t>
        </r>
        <r>
          <rPr>
            <sz val="9"/>
            <rFont val="宋体"/>
            <charset val="134"/>
          </rPr>
          <t xml:space="preserve">
9/25 上进口商贴纸1200pcs</t>
        </r>
      </text>
    </comment>
    <comment ref="AI489" authorId="0">
      <text>
        <r>
          <rPr>
            <b/>
            <sz val="9"/>
            <rFont val="宋体"/>
            <charset val="134"/>
          </rPr>
          <t>Administrator:</t>
        </r>
        <r>
          <rPr>
            <sz val="9"/>
            <rFont val="宋体"/>
            <charset val="134"/>
          </rPr>
          <t xml:space="preserve">
5000178 10/24 2000pcs华3A31</t>
        </r>
      </text>
    </comment>
    <comment ref="AL489" authorId="0">
      <text>
        <r>
          <rPr>
            <b/>
            <sz val="9"/>
            <rFont val="宋体"/>
            <charset val="134"/>
          </rPr>
          <t>Administrator:</t>
        </r>
        <r>
          <rPr>
            <sz val="9"/>
            <rFont val="宋体"/>
            <charset val="134"/>
          </rPr>
          <t xml:space="preserve">
9/26 多语折叠警语贴纸3500pcs
两个同PO共用
9/29 上WEEE带电池走货说明书3500pcs
</t>
        </r>
      </text>
    </comment>
    <comment ref="AI490" authorId="0">
      <text>
        <r>
          <rPr>
            <b/>
            <sz val="9"/>
            <rFont val="宋体"/>
            <charset val="134"/>
          </rPr>
          <t>Administrator:</t>
        </r>
        <r>
          <rPr>
            <sz val="9"/>
            <rFont val="宋体"/>
            <charset val="134"/>
          </rPr>
          <t xml:space="preserve">
4001013 10/24 1500pcs华3B8</t>
        </r>
      </text>
    </comment>
    <comment ref="AI491" authorId="0">
      <text>
        <r>
          <rPr>
            <b/>
            <sz val="9"/>
            <rFont val="宋体"/>
            <charset val="134"/>
          </rPr>
          <t>Administrator:</t>
        </r>
        <r>
          <rPr>
            <sz val="9"/>
            <rFont val="宋体"/>
            <charset val="134"/>
          </rPr>
          <t xml:space="preserve">
4001009 10/22 1002pcs华一F5</t>
        </r>
      </text>
    </comment>
    <comment ref="AL491" authorId="0">
      <text>
        <r>
          <rPr>
            <b/>
            <sz val="9"/>
            <rFont val="宋体"/>
            <charset val="134"/>
          </rPr>
          <t>Administrator:</t>
        </r>
        <r>
          <rPr>
            <sz val="9"/>
            <rFont val="宋体"/>
            <charset val="134"/>
          </rPr>
          <t xml:space="preserve">
9/29 上进口商贴纸1002pcs
WEEE带电池走货说明书1002pcs</t>
        </r>
      </text>
    </comment>
    <comment ref="AI492" authorId="0">
      <text>
        <r>
          <rPr>
            <b/>
            <sz val="9"/>
            <rFont val="宋体"/>
            <charset val="134"/>
          </rPr>
          <t>Administrator:</t>
        </r>
        <r>
          <rPr>
            <sz val="9"/>
            <rFont val="宋体"/>
            <charset val="134"/>
          </rPr>
          <t xml:space="preserve">
4001009 10/22 6000pcs
华一F5</t>
        </r>
      </text>
    </comment>
    <comment ref="AI493" authorId="0">
      <text>
        <r>
          <rPr>
            <b/>
            <sz val="9"/>
            <rFont val="宋体"/>
            <charset val="134"/>
          </rPr>
          <t>Administrator:</t>
        </r>
        <r>
          <rPr>
            <sz val="9"/>
            <rFont val="宋体"/>
            <charset val="134"/>
          </rPr>
          <t xml:space="preserve">
4001043 10/28 8012pcs
华一F7
3000117 10/28 5040pcs华一F7</t>
        </r>
      </text>
    </comment>
    <comment ref="AL493" authorId="0">
      <text>
        <r>
          <rPr>
            <b/>
            <sz val="9"/>
            <rFont val="宋体"/>
            <charset val="134"/>
          </rPr>
          <t>Administrator:</t>
        </r>
        <r>
          <rPr>
            <sz val="9"/>
            <rFont val="宋体"/>
            <charset val="134"/>
          </rPr>
          <t xml:space="preserve">
9/9 上客供RFID贴纸13052pcs
</t>
        </r>
      </text>
    </comment>
    <comment ref="AI494" authorId="0">
      <text>
        <r>
          <rPr>
            <b/>
            <sz val="9"/>
            <rFont val="宋体"/>
            <charset val="134"/>
          </rPr>
          <t>Administrator:</t>
        </r>
        <r>
          <rPr>
            <sz val="9"/>
            <rFont val="宋体"/>
            <charset val="134"/>
          </rPr>
          <t xml:space="preserve">
3000117 10/28 10192pcs
华一F4</t>
        </r>
      </text>
    </comment>
    <comment ref="AL494" authorId="0">
      <text>
        <r>
          <rPr>
            <b/>
            <sz val="9"/>
            <rFont val="宋体"/>
            <charset val="134"/>
          </rPr>
          <t>Administrator:</t>
        </r>
        <r>
          <rPr>
            <sz val="9"/>
            <rFont val="宋体"/>
            <charset val="134"/>
          </rPr>
          <t xml:space="preserve">
9/9 上客供RFID贴纸10192pcs
</t>
        </r>
      </text>
    </comment>
    <comment ref="AI495" authorId="0">
      <text>
        <r>
          <rPr>
            <b/>
            <sz val="9"/>
            <rFont val="宋体"/>
            <charset val="134"/>
          </rPr>
          <t>Administrator:</t>
        </r>
        <r>
          <rPr>
            <sz val="9"/>
            <rFont val="宋体"/>
            <charset val="134"/>
          </rPr>
          <t xml:space="preserve">
4001043 10/28 3840pcs华一F12</t>
        </r>
      </text>
    </comment>
    <comment ref="AL495" authorId="0">
      <text>
        <r>
          <rPr>
            <b/>
            <sz val="9"/>
            <rFont val="宋体"/>
            <charset val="134"/>
          </rPr>
          <t>Administrator:</t>
        </r>
        <r>
          <rPr>
            <sz val="9"/>
            <rFont val="宋体"/>
            <charset val="134"/>
          </rPr>
          <t xml:space="preserve">
9/29 上客供RFID贴纸3840PCS
</t>
        </r>
      </text>
    </comment>
    <comment ref="AI496" authorId="0">
      <text>
        <r>
          <rPr>
            <b/>
            <sz val="9"/>
            <rFont val="宋体"/>
            <charset val="134"/>
          </rPr>
          <t>Administrator:</t>
        </r>
        <r>
          <rPr>
            <sz val="9"/>
            <rFont val="宋体"/>
            <charset val="134"/>
          </rPr>
          <t xml:space="preserve">
4001044 10/28 3200pcs华一F12</t>
        </r>
      </text>
    </comment>
    <comment ref="AL496" authorId="0">
      <text>
        <r>
          <rPr>
            <b/>
            <sz val="9"/>
            <rFont val="宋体"/>
            <charset val="134"/>
          </rPr>
          <t>Administrator:</t>
        </r>
        <r>
          <rPr>
            <sz val="9"/>
            <rFont val="宋体"/>
            <charset val="134"/>
          </rPr>
          <t xml:space="preserve">
9/29 上客供RFID贴纸3200PCS</t>
        </r>
      </text>
    </comment>
    <comment ref="AI497" authorId="0">
      <text>
        <r>
          <rPr>
            <b/>
            <sz val="9"/>
            <rFont val="宋体"/>
            <charset val="134"/>
          </rPr>
          <t>Administrator:</t>
        </r>
        <r>
          <rPr>
            <sz val="9"/>
            <rFont val="宋体"/>
            <charset val="134"/>
          </rPr>
          <t xml:space="preserve">
4001044 10/28 3520pcs
华一F11-12</t>
        </r>
      </text>
    </comment>
    <comment ref="AL497" authorId="0">
      <text>
        <r>
          <rPr>
            <b/>
            <sz val="9"/>
            <rFont val="宋体"/>
            <charset val="134"/>
          </rPr>
          <t>Administrator:</t>
        </r>
        <r>
          <rPr>
            <sz val="9"/>
            <rFont val="宋体"/>
            <charset val="134"/>
          </rPr>
          <t xml:space="preserve">
9/29 上客供RFID贴纸3520PCS</t>
        </r>
      </text>
    </comment>
    <comment ref="AI498" authorId="0">
      <text>
        <r>
          <rPr>
            <b/>
            <sz val="9"/>
            <rFont val="宋体"/>
            <charset val="134"/>
          </rPr>
          <t>Administrator:</t>
        </r>
        <r>
          <rPr>
            <sz val="9"/>
            <rFont val="宋体"/>
            <charset val="134"/>
          </rPr>
          <t xml:space="preserve">
4001043 10/28 2560pcs
华一F12</t>
        </r>
      </text>
    </comment>
    <comment ref="AL498" authorId="0">
      <text>
        <r>
          <rPr>
            <b/>
            <sz val="9"/>
            <rFont val="宋体"/>
            <charset val="134"/>
          </rPr>
          <t>Administrator:</t>
        </r>
        <r>
          <rPr>
            <sz val="9"/>
            <rFont val="宋体"/>
            <charset val="134"/>
          </rPr>
          <t xml:space="preserve">
9/29 上客供RFID贴纸2560PCS</t>
        </r>
      </text>
    </comment>
    <comment ref="AI499" authorId="0">
      <text>
        <r>
          <rPr>
            <b/>
            <sz val="9"/>
            <rFont val="宋体"/>
            <charset val="134"/>
          </rPr>
          <t>Administrator:</t>
        </r>
        <r>
          <rPr>
            <sz val="9"/>
            <rFont val="宋体"/>
            <charset val="134"/>
          </rPr>
          <t xml:space="preserve">
4001052 10/30 4980pcs
4001068 10/31 20pcs华3A28</t>
        </r>
      </text>
    </comment>
    <comment ref="AL499" authorId="0">
      <text>
        <r>
          <rPr>
            <b/>
            <sz val="9"/>
            <rFont val="宋体"/>
            <charset val="134"/>
          </rPr>
          <t>Administrator:</t>
        </r>
        <r>
          <rPr>
            <sz val="9"/>
            <rFont val="宋体"/>
            <charset val="134"/>
          </rPr>
          <t xml:space="preserve">
9/30 上UPC贴纸5000ｐｃｓ</t>
        </r>
      </text>
    </comment>
    <comment ref="AI500" authorId="0">
      <text>
        <r>
          <rPr>
            <b/>
            <sz val="9"/>
            <rFont val="宋体"/>
            <charset val="134"/>
          </rPr>
          <t>Administrator:</t>
        </r>
        <r>
          <rPr>
            <sz val="9"/>
            <rFont val="宋体"/>
            <charset val="134"/>
          </rPr>
          <t xml:space="preserve">
4001051 10/29 1504pcsB栋四楼4-B7</t>
        </r>
      </text>
    </comment>
    <comment ref="AL500" authorId="0">
      <text>
        <r>
          <rPr>
            <b/>
            <sz val="9"/>
            <rFont val="宋体"/>
            <charset val="134"/>
          </rPr>
          <t>Administrator:</t>
        </r>
        <r>
          <rPr>
            <sz val="9"/>
            <rFont val="宋体"/>
            <charset val="134"/>
          </rPr>
          <t xml:space="preserve">
9/30 上B版WEEE带电池走货说明书1504ｐｃｓ</t>
        </r>
      </text>
    </comment>
    <comment ref="AI501" authorId="0">
      <text>
        <r>
          <rPr>
            <b/>
            <sz val="9"/>
            <rFont val="宋体"/>
            <charset val="134"/>
          </rPr>
          <t>Administrator:</t>
        </r>
        <r>
          <rPr>
            <sz val="9"/>
            <rFont val="宋体"/>
            <charset val="134"/>
          </rPr>
          <t xml:space="preserve">
4001051 10/29 2880pcsB栋四楼4-A4
4001052 10/30 3120pcs
</t>
        </r>
      </text>
    </comment>
    <comment ref="AI502" authorId="0">
      <text>
        <r>
          <rPr>
            <b/>
            <sz val="9"/>
            <rFont val="宋体"/>
            <charset val="134"/>
          </rPr>
          <t>Administrator:</t>
        </r>
        <r>
          <rPr>
            <sz val="9"/>
            <rFont val="宋体"/>
            <charset val="134"/>
          </rPr>
          <t xml:space="preserve">
4001071 10/31 1572pcs华3B12
</t>
        </r>
      </text>
    </comment>
    <comment ref="AI503" authorId="0">
      <text>
        <r>
          <rPr>
            <b/>
            <sz val="9"/>
            <rFont val="宋体"/>
            <charset val="134"/>
          </rPr>
          <t>Administrator:</t>
        </r>
        <r>
          <rPr>
            <sz val="9"/>
            <rFont val="宋体"/>
            <charset val="134"/>
          </rPr>
          <t xml:space="preserve">
4001068 10/31 3520pcs华一F5</t>
        </r>
      </text>
    </comment>
    <comment ref="AL503" authorId="0">
      <text>
        <r>
          <rPr>
            <b/>
            <sz val="9"/>
            <rFont val="宋体"/>
            <charset val="134"/>
          </rPr>
          <t>Administrator:</t>
        </r>
        <r>
          <rPr>
            <sz val="9"/>
            <rFont val="宋体"/>
            <charset val="134"/>
          </rPr>
          <t xml:space="preserve">
9/29 上客供RFID贴纸3520PCS</t>
        </r>
      </text>
    </comment>
    <comment ref="AI504" authorId="0">
      <text>
        <r>
          <rPr>
            <b/>
            <sz val="9"/>
            <rFont val="宋体"/>
            <charset val="134"/>
          </rPr>
          <t>Administrator:</t>
        </r>
        <r>
          <rPr>
            <sz val="9"/>
            <rFont val="宋体"/>
            <charset val="134"/>
          </rPr>
          <t xml:space="preserve">
4001068 10/31 1920pcs华一F5
</t>
        </r>
      </text>
    </comment>
    <comment ref="AL504" authorId="0">
      <text>
        <r>
          <rPr>
            <b/>
            <sz val="9"/>
            <rFont val="宋体"/>
            <charset val="134"/>
          </rPr>
          <t>Administrator:</t>
        </r>
        <r>
          <rPr>
            <sz val="9"/>
            <rFont val="宋体"/>
            <charset val="134"/>
          </rPr>
          <t xml:space="preserve">
9/29 上客供RFID贴纸1920PCS</t>
        </r>
      </text>
    </comment>
    <comment ref="AI505" authorId="0">
      <text>
        <r>
          <rPr>
            <b/>
            <sz val="9"/>
            <rFont val="宋体"/>
            <charset val="134"/>
          </rPr>
          <t>Administrator:</t>
        </r>
        <r>
          <rPr>
            <sz val="9"/>
            <rFont val="宋体"/>
            <charset val="134"/>
          </rPr>
          <t xml:space="preserve">
4001076 10/31 3000华一F5
</t>
        </r>
      </text>
    </comment>
    <comment ref="AL505" authorId="0">
      <text>
        <r>
          <rPr>
            <b/>
            <sz val="9"/>
            <rFont val="宋体"/>
            <charset val="134"/>
          </rPr>
          <t>Administrator:</t>
        </r>
        <r>
          <rPr>
            <sz val="9"/>
            <rFont val="宋体"/>
            <charset val="134"/>
          </rPr>
          <t xml:space="preserve">
10/14 上小纽扣电池警告语贴纸3000pcs
大纽扣电池警告语贴纸6000pcs</t>
        </r>
      </text>
    </comment>
    <comment ref="AI506" authorId="0">
      <text>
        <r>
          <rPr>
            <b/>
            <sz val="9"/>
            <rFont val="宋体"/>
            <charset val="134"/>
          </rPr>
          <t>Administrator:</t>
        </r>
        <r>
          <rPr>
            <sz val="9"/>
            <rFont val="宋体"/>
            <charset val="134"/>
          </rPr>
          <t xml:space="preserve">
4001081 11/1 504pcs</t>
        </r>
      </text>
    </comment>
    <comment ref="AL506" authorId="0">
      <text>
        <r>
          <rPr>
            <b/>
            <sz val="9"/>
            <rFont val="宋体"/>
            <charset val="134"/>
          </rPr>
          <t>Administrator:</t>
        </r>
        <r>
          <rPr>
            <sz val="9"/>
            <rFont val="宋体"/>
            <charset val="134"/>
          </rPr>
          <t xml:space="preserve">
10/14 上WEEE电子产品说明书30L(带电池走货B版504
UPC贴纸504pcs
获奖贴纸504pcs
10/16 上多语折叠警告语贴纸504pcs
10/28 上亚马逊外箱贴纸42ｐｃｓ</t>
        </r>
      </text>
    </comment>
    <comment ref="AI507" authorId="0">
      <text>
        <r>
          <rPr>
            <b/>
            <sz val="9"/>
            <rFont val="宋体"/>
            <charset val="134"/>
          </rPr>
          <t>Administrator:</t>
        </r>
        <r>
          <rPr>
            <sz val="9"/>
            <rFont val="宋体"/>
            <charset val="134"/>
          </rPr>
          <t xml:space="preserve">
4001086 11/04 1888pcs华3B12</t>
        </r>
      </text>
    </comment>
    <comment ref="AL507" authorId="0">
      <text>
        <r>
          <rPr>
            <b/>
            <sz val="9"/>
            <rFont val="宋体"/>
            <charset val="134"/>
          </rPr>
          <t>Administrator:</t>
        </r>
        <r>
          <rPr>
            <sz val="9"/>
            <rFont val="宋体"/>
            <charset val="134"/>
          </rPr>
          <t xml:space="preserve">
9/20 上进口商贴纸1888pcs</t>
        </r>
      </text>
    </comment>
    <comment ref="AI508" authorId="0">
      <text>
        <r>
          <rPr>
            <b/>
            <sz val="9"/>
            <rFont val="宋体"/>
            <charset val="134"/>
          </rPr>
          <t>Administrator:</t>
        </r>
        <r>
          <rPr>
            <sz val="9"/>
            <rFont val="宋体"/>
            <charset val="134"/>
          </rPr>
          <t xml:space="preserve">
4001081 11/1 504pcs
</t>
        </r>
      </text>
    </comment>
    <comment ref="AI509" authorId="0">
      <text>
        <r>
          <rPr>
            <b/>
            <sz val="9"/>
            <rFont val="宋体"/>
            <charset val="134"/>
          </rPr>
          <t>Administrator:</t>
        </r>
        <r>
          <rPr>
            <sz val="9"/>
            <rFont val="宋体"/>
            <charset val="134"/>
          </rPr>
          <t xml:space="preserve">
4001091 11/5 14688pcs华一F4</t>
        </r>
      </text>
    </comment>
    <comment ref="AL509" authorId="0">
      <text>
        <r>
          <rPr>
            <b/>
            <sz val="9"/>
            <rFont val="宋体"/>
            <charset val="134"/>
          </rPr>
          <t>Administrator:</t>
        </r>
        <r>
          <rPr>
            <sz val="9"/>
            <rFont val="宋体"/>
            <charset val="134"/>
          </rPr>
          <t xml:space="preserve">
10/22 WEEE_带电池走货 _ 说明书欧洲EN+30L-B版14688pcs</t>
        </r>
      </text>
    </comment>
    <comment ref="AI510" authorId="0">
      <text>
        <r>
          <rPr>
            <b/>
            <sz val="9"/>
            <rFont val="宋体"/>
            <charset val="134"/>
          </rPr>
          <t>Administrator:</t>
        </r>
        <r>
          <rPr>
            <sz val="9"/>
            <rFont val="宋体"/>
            <charset val="134"/>
          </rPr>
          <t xml:space="preserve">
4001091 11/5 1200pcs华一F9
4001094 11/7 2052pcs
华一F9</t>
        </r>
      </text>
    </comment>
    <comment ref="AI511" authorId="0">
      <text>
        <r>
          <rPr>
            <b/>
            <sz val="9"/>
            <rFont val="宋体"/>
            <charset val="134"/>
          </rPr>
          <t>Administrator:</t>
        </r>
        <r>
          <rPr>
            <sz val="9"/>
            <rFont val="宋体"/>
            <charset val="134"/>
          </rPr>
          <t xml:space="preserve">
4001094 11/7 1752pcs华一F3</t>
        </r>
      </text>
    </comment>
    <comment ref="AI512" authorId="0">
      <text>
        <r>
          <rPr>
            <b/>
            <sz val="9"/>
            <rFont val="宋体"/>
            <charset val="134"/>
          </rPr>
          <t>Administrator:</t>
        </r>
        <r>
          <rPr>
            <sz val="9"/>
            <rFont val="宋体"/>
            <charset val="134"/>
          </rPr>
          <t xml:space="preserve">
4001091 11/5 368pcs华一F3
</t>
        </r>
      </text>
    </comment>
    <comment ref="AL512" authorId="0">
      <text>
        <r>
          <rPr>
            <b/>
            <sz val="9"/>
            <rFont val="宋体"/>
            <charset val="134"/>
          </rPr>
          <t>Administrator:</t>
        </r>
        <r>
          <rPr>
            <sz val="9"/>
            <rFont val="宋体"/>
            <charset val="134"/>
          </rPr>
          <t xml:space="preserve">
9/26 上客供警语贴纸384pcs
客供电池警告语贴纸384pcs
客供中文警告语贴纸384pcs</t>
        </r>
      </text>
    </comment>
    <comment ref="AI514" authorId="0">
      <text>
        <r>
          <rPr>
            <b/>
            <sz val="9"/>
            <rFont val="宋体"/>
            <charset val="134"/>
          </rPr>
          <t>Administrator:</t>
        </r>
        <r>
          <rPr>
            <sz val="9"/>
            <rFont val="宋体"/>
            <charset val="134"/>
          </rPr>
          <t xml:space="preserve">
4000950 9/29 60pcs
兴信</t>
        </r>
      </text>
    </comment>
    <comment ref="AI515" authorId="0">
      <text>
        <r>
          <rPr>
            <b/>
            <sz val="9"/>
            <rFont val="宋体"/>
            <charset val="134"/>
          </rPr>
          <t>Administrator:</t>
        </r>
        <r>
          <rPr>
            <sz val="9"/>
            <rFont val="宋体"/>
            <charset val="134"/>
          </rPr>
          <t xml:space="preserve">
4001005 10/20 192pcs
兴信</t>
        </r>
      </text>
    </comment>
    <comment ref="AI516" authorId="0">
      <text>
        <r>
          <rPr>
            <b/>
            <sz val="9"/>
            <rFont val="宋体"/>
            <charset val="134"/>
          </rPr>
          <t>Administrator:</t>
        </r>
        <r>
          <rPr>
            <sz val="9"/>
            <rFont val="宋体"/>
            <charset val="134"/>
          </rPr>
          <t xml:space="preserve">
4001107 11/12 720pcs华3B8</t>
        </r>
      </text>
    </comment>
    <comment ref="AL516" authorId="0">
      <text>
        <r>
          <rPr>
            <b/>
            <sz val="9"/>
            <rFont val="宋体"/>
            <charset val="134"/>
          </rPr>
          <t>Administrator:</t>
        </r>
        <r>
          <rPr>
            <sz val="9"/>
            <rFont val="宋体"/>
            <charset val="134"/>
          </rPr>
          <t xml:space="preserve">
9/26 上客供警语贴纸1488pcs
客供电池警告语贴纸1488pcs
客供中文警告语贴纸750pcs
</t>
        </r>
      </text>
    </comment>
    <comment ref="AI517" authorId="0">
      <text>
        <r>
          <rPr>
            <b/>
            <sz val="9"/>
            <rFont val="宋体"/>
            <charset val="134"/>
          </rPr>
          <t>Administrator:</t>
        </r>
        <r>
          <rPr>
            <sz val="9"/>
            <rFont val="宋体"/>
            <charset val="134"/>
          </rPr>
          <t xml:space="preserve">
4001106 11/11 3120pcs华1A4
4001105 11/11 3600pcs华1A4</t>
        </r>
      </text>
    </comment>
    <comment ref="AL517" authorId="0">
      <text>
        <r>
          <rPr>
            <b/>
            <sz val="9"/>
            <rFont val="宋体"/>
            <charset val="134"/>
          </rPr>
          <t>Administrator:</t>
        </r>
        <r>
          <rPr>
            <sz val="9"/>
            <rFont val="宋体"/>
            <charset val="134"/>
          </rPr>
          <t xml:space="preserve">
10/17 上客供RFID贴纸6720pcs</t>
        </r>
      </text>
    </comment>
    <comment ref="AI518" authorId="0">
      <text>
        <r>
          <rPr>
            <b/>
            <sz val="9"/>
            <rFont val="宋体"/>
            <charset val="134"/>
          </rPr>
          <t>Administrator:</t>
        </r>
        <r>
          <rPr>
            <sz val="9"/>
            <rFont val="宋体"/>
            <charset val="134"/>
          </rPr>
          <t xml:space="preserve">
4001106 11/11 5760pcs
华1A4
</t>
        </r>
      </text>
    </comment>
    <comment ref="AL518" authorId="0">
      <text>
        <r>
          <rPr>
            <b/>
            <sz val="9"/>
            <rFont val="宋体"/>
            <charset val="134"/>
          </rPr>
          <t>Administrator:</t>
        </r>
        <r>
          <rPr>
            <sz val="9"/>
            <rFont val="宋体"/>
            <charset val="134"/>
          </rPr>
          <t xml:space="preserve">
10/17 上客供RFID贴纸5760pcs
</t>
        </r>
      </text>
    </comment>
    <comment ref="AI519" authorId="0">
      <text>
        <r>
          <rPr>
            <b/>
            <sz val="9"/>
            <rFont val="宋体"/>
            <charset val="134"/>
          </rPr>
          <t>Administrator:</t>
        </r>
        <r>
          <rPr>
            <sz val="9"/>
            <rFont val="宋体"/>
            <charset val="134"/>
          </rPr>
          <t xml:space="preserve">
4001106 11/11 4800pcs
华1A4
</t>
        </r>
      </text>
    </comment>
    <comment ref="AL519" authorId="0">
      <text>
        <r>
          <rPr>
            <b/>
            <sz val="9"/>
            <rFont val="宋体"/>
            <charset val="134"/>
          </rPr>
          <t>Administrator:</t>
        </r>
        <r>
          <rPr>
            <sz val="9"/>
            <rFont val="宋体"/>
            <charset val="134"/>
          </rPr>
          <t xml:space="preserve">
10/17 上客供RFID贴纸4800pcs
</t>
        </r>
      </text>
    </comment>
    <comment ref="AI520" authorId="0">
      <text>
        <r>
          <rPr>
            <b/>
            <sz val="9"/>
            <rFont val="宋体"/>
            <charset val="134"/>
          </rPr>
          <t>Administrator:</t>
        </r>
        <r>
          <rPr>
            <sz val="9"/>
            <rFont val="宋体"/>
            <charset val="134"/>
          </rPr>
          <t xml:space="preserve">
4001107 11/12 4480pcs华一F5
</t>
        </r>
      </text>
    </comment>
    <comment ref="AL520" authorId="0">
      <text>
        <r>
          <rPr>
            <b/>
            <sz val="9"/>
            <rFont val="宋体"/>
            <charset val="134"/>
          </rPr>
          <t>Administrator:</t>
        </r>
        <r>
          <rPr>
            <sz val="9"/>
            <rFont val="宋体"/>
            <charset val="134"/>
          </rPr>
          <t xml:space="preserve">
10/17 上客供RFID贴纸4480pcs
</t>
        </r>
      </text>
    </comment>
    <comment ref="AI521" authorId="0">
      <text>
        <r>
          <rPr>
            <b/>
            <sz val="9"/>
            <rFont val="宋体"/>
            <charset val="134"/>
          </rPr>
          <t>Administrator:</t>
        </r>
        <r>
          <rPr>
            <sz val="9"/>
            <rFont val="宋体"/>
            <charset val="134"/>
          </rPr>
          <t xml:space="preserve">
4001107 11/12 3520pcs华一F5
</t>
        </r>
      </text>
    </comment>
    <comment ref="AL521" authorId="0">
      <text>
        <r>
          <rPr>
            <b/>
            <sz val="9"/>
            <rFont val="宋体"/>
            <charset val="134"/>
          </rPr>
          <t>Administrator:</t>
        </r>
        <r>
          <rPr>
            <sz val="9"/>
            <rFont val="宋体"/>
            <charset val="134"/>
          </rPr>
          <t xml:space="preserve">
10/17 上客供RFID贴纸3520pcs
</t>
        </r>
      </text>
    </comment>
    <comment ref="AI522" authorId="0">
      <text>
        <r>
          <rPr>
            <b/>
            <sz val="9"/>
            <rFont val="宋体"/>
            <charset val="134"/>
          </rPr>
          <t>Administrator:</t>
        </r>
        <r>
          <rPr>
            <sz val="9"/>
            <rFont val="宋体"/>
            <charset val="134"/>
          </rPr>
          <t xml:space="preserve">
4001106 11/11 3600pcs
华1A4
4001107 11/12 560pcs华一F4
</t>
        </r>
      </text>
    </comment>
    <comment ref="AL522" authorId="0">
      <text>
        <r>
          <rPr>
            <b/>
            <sz val="9"/>
            <rFont val="宋体"/>
            <charset val="134"/>
          </rPr>
          <t>Administrator:</t>
        </r>
        <r>
          <rPr>
            <sz val="9"/>
            <rFont val="宋体"/>
            <charset val="134"/>
          </rPr>
          <t xml:space="preserve">
10/17 上客供RFID贴纸4160pcs
</t>
        </r>
      </text>
    </comment>
    <comment ref="AI523" authorId="0">
      <text>
        <r>
          <rPr>
            <b/>
            <sz val="9"/>
            <rFont val="宋体"/>
            <charset val="134"/>
          </rPr>
          <t>Administrator:</t>
        </r>
        <r>
          <rPr>
            <sz val="9"/>
            <rFont val="宋体"/>
            <charset val="134"/>
          </rPr>
          <t xml:space="preserve">
4001107 11/12 5440pcs华一F4
</t>
        </r>
      </text>
    </comment>
    <comment ref="AL523" authorId="0">
      <text>
        <r>
          <rPr>
            <b/>
            <sz val="9"/>
            <rFont val="宋体"/>
            <charset val="134"/>
          </rPr>
          <t>Administrator:</t>
        </r>
        <r>
          <rPr>
            <sz val="9"/>
            <rFont val="宋体"/>
            <charset val="134"/>
          </rPr>
          <t xml:space="preserve">
10/17 上客供RFID贴纸5440pcs
</t>
        </r>
      </text>
    </comment>
    <comment ref="AI524" authorId="0">
      <text>
        <r>
          <rPr>
            <b/>
            <sz val="9"/>
            <rFont val="宋体"/>
            <charset val="134"/>
          </rPr>
          <t>Administrator:</t>
        </r>
        <r>
          <rPr>
            <sz val="9"/>
            <rFont val="宋体"/>
            <charset val="134"/>
          </rPr>
          <t xml:space="preserve">
4001071 10/31 512pcs华3B14</t>
        </r>
      </text>
    </comment>
    <comment ref="AL524" authorId="0">
      <text>
        <r>
          <rPr>
            <b/>
            <sz val="9"/>
            <rFont val="宋体"/>
            <charset val="134"/>
          </rPr>
          <t>Administrator:</t>
        </r>
        <r>
          <rPr>
            <sz val="9"/>
            <rFont val="宋体"/>
            <charset val="134"/>
          </rPr>
          <t xml:space="preserve">
10/14 上WEEE带电池走货欧洲30语通用黑白说明书512pcs</t>
        </r>
      </text>
    </comment>
    <comment ref="AI525" authorId="0">
      <text>
        <r>
          <rPr>
            <b/>
            <sz val="9"/>
            <rFont val="宋体"/>
            <charset val="134"/>
          </rPr>
          <t>Administrator:</t>
        </r>
        <r>
          <rPr>
            <sz val="9"/>
            <rFont val="宋体"/>
            <charset val="134"/>
          </rPr>
          <t xml:space="preserve">
4001102 11/07 504ｐｃｓB栋 4-B9</t>
        </r>
      </text>
    </comment>
    <comment ref="AL525" authorId="0">
      <text>
        <r>
          <rPr>
            <b/>
            <sz val="9"/>
            <rFont val="宋体"/>
            <charset val="134"/>
          </rPr>
          <t>Administrator:</t>
        </r>
        <r>
          <rPr>
            <sz val="9"/>
            <rFont val="宋体"/>
            <charset val="134"/>
          </rPr>
          <t xml:space="preserve">
10/28 上客人白色CATLABEL贴纸504ｐｃｓ
B版通用30L WEEE带电池走货说明书５０４ｐｃｓ</t>
        </r>
      </text>
    </comment>
    <comment ref="AI526" authorId="0">
      <text>
        <r>
          <rPr>
            <b/>
            <sz val="9"/>
            <rFont val="宋体"/>
            <charset val="134"/>
          </rPr>
          <t>Administrator:</t>
        </r>
        <r>
          <rPr>
            <sz val="9"/>
            <rFont val="宋体"/>
            <charset val="134"/>
          </rPr>
          <t xml:space="preserve">
4001105 11/11 1952pcs华1A3
</t>
        </r>
      </text>
    </comment>
    <comment ref="AI527" authorId="0">
      <text>
        <r>
          <rPr>
            <b/>
            <sz val="9"/>
            <rFont val="宋体"/>
            <charset val="134"/>
          </rPr>
          <t>Administrator:</t>
        </r>
        <r>
          <rPr>
            <sz val="9"/>
            <rFont val="宋体"/>
            <charset val="134"/>
          </rPr>
          <t xml:space="preserve">
4001105 11/11 1048pcs华1A3</t>
        </r>
      </text>
    </comment>
    <comment ref="AI528" authorId="0">
      <text>
        <r>
          <rPr>
            <b/>
            <sz val="9"/>
            <rFont val="宋体"/>
            <charset val="134"/>
          </rPr>
          <t>Administrator:</t>
        </r>
        <r>
          <rPr>
            <sz val="9"/>
            <rFont val="宋体"/>
            <charset val="134"/>
          </rPr>
          <t xml:space="preserve">
4001107 11/12 1008pcs华3B13
</t>
        </r>
      </text>
    </comment>
    <comment ref="AL528" authorId="0">
      <text>
        <r>
          <rPr>
            <b/>
            <sz val="9"/>
            <rFont val="宋体"/>
            <charset val="134"/>
          </rPr>
          <t>Administrator:</t>
        </r>
        <r>
          <rPr>
            <sz val="9"/>
            <rFont val="宋体"/>
            <charset val="134"/>
          </rPr>
          <t xml:space="preserve">
10/13 上进口商贴纸1812pcs
两个同PO共用</t>
        </r>
      </text>
    </comment>
    <comment ref="AI529" authorId="0">
      <text>
        <r>
          <rPr>
            <b/>
            <sz val="9"/>
            <rFont val="宋体"/>
            <charset val="134"/>
          </rPr>
          <t>Administrator:</t>
        </r>
        <r>
          <rPr>
            <sz val="9"/>
            <rFont val="宋体"/>
            <charset val="134"/>
          </rPr>
          <t xml:space="preserve">
4001107 11/12 804pcs华3B14
</t>
        </r>
      </text>
    </comment>
    <comment ref="AI530" authorId="0">
      <text>
        <r>
          <rPr>
            <b/>
            <sz val="9"/>
            <rFont val="宋体"/>
            <charset val="134"/>
          </rPr>
          <t>Administrator:</t>
        </r>
        <r>
          <rPr>
            <sz val="9"/>
            <rFont val="宋体"/>
            <charset val="134"/>
          </rPr>
          <t xml:space="preserve">
4001102 11/07 5004ｐｃｓB械四楼-B7</t>
        </r>
      </text>
    </comment>
    <comment ref="AL530" authorId="0">
      <text>
        <r>
          <rPr>
            <b/>
            <sz val="9"/>
            <rFont val="宋体"/>
            <charset val="134"/>
          </rPr>
          <t>Administrator:</t>
        </r>
        <r>
          <rPr>
            <sz val="9"/>
            <rFont val="宋体"/>
            <charset val="134"/>
          </rPr>
          <t xml:space="preserve">
10/22 上进口商贴纸5004pcs
10/22 WEEE_带电池走货 _ 说明书欧洲EN+30L-B版5004pcs
11/10 上进口商贴纸200ｐｃＳ补80297PO共用</t>
        </r>
      </text>
    </comment>
    <comment ref="AI531" authorId="0">
      <text>
        <r>
          <rPr>
            <b/>
            <sz val="9"/>
            <rFont val="宋体"/>
            <charset val="134"/>
          </rPr>
          <t>Administrator:</t>
        </r>
        <r>
          <rPr>
            <sz val="9"/>
            <rFont val="宋体"/>
            <charset val="134"/>
          </rPr>
          <t xml:space="preserve">
4001121 11/18 2080PCS华一F11</t>
        </r>
      </text>
    </comment>
    <comment ref="AI532" authorId="0">
      <text>
        <r>
          <rPr>
            <b/>
            <sz val="9"/>
            <rFont val="宋体"/>
            <charset val="134"/>
          </rPr>
          <t>Administrator:</t>
        </r>
        <r>
          <rPr>
            <sz val="9"/>
            <rFont val="宋体"/>
            <charset val="134"/>
          </rPr>
          <t xml:space="preserve">
4001110 11/13 2240pcs一F9</t>
        </r>
      </text>
    </comment>
    <comment ref="AL532" authorId="0">
      <text>
        <r>
          <rPr>
            <b/>
            <sz val="9"/>
            <rFont val="宋体"/>
            <charset val="134"/>
          </rPr>
          <t>Administrator:</t>
        </r>
        <r>
          <rPr>
            <sz val="9"/>
            <rFont val="宋体"/>
            <charset val="134"/>
          </rPr>
          <t xml:space="preserve">
10/17 上客供RFID贴纸2240pcs
</t>
        </r>
      </text>
    </comment>
    <comment ref="AI533" authorId="0">
      <text>
        <r>
          <rPr>
            <b/>
            <sz val="9"/>
            <rFont val="宋体"/>
            <charset val="134"/>
          </rPr>
          <t>Administrator:</t>
        </r>
        <r>
          <rPr>
            <sz val="9"/>
            <rFont val="宋体"/>
            <charset val="134"/>
          </rPr>
          <t xml:space="preserve">
4001110 11/13 2880pcs一F9
</t>
        </r>
      </text>
    </comment>
    <comment ref="AL533" authorId="0">
      <text>
        <r>
          <rPr>
            <b/>
            <sz val="9"/>
            <rFont val="宋体"/>
            <charset val="134"/>
          </rPr>
          <t>Administrator:</t>
        </r>
        <r>
          <rPr>
            <sz val="9"/>
            <rFont val="宋体"/>
            <charset val="134"/>
          </rPr>
          <t xml:space="preserve">
10/17 上客供RFID贴纸2880pcs
</t>
        </r>
      </text>
    </comment>
    <comment ref="AI534" authorId="0">
      <text>
        <r>
          <rPr>
            <b/>
            <sz val="9"/>
            <rFont val="宋体"/>
            <charset val="134"/>
          </rPr>
          <t>Administrator:</t>
        </r>
        <r>
          <rPr>
            <sz val="9"/>
            <rFont val="宋体"/>
            <charset val="134"/>
          </rPr>
          <t xml:space="preserve">
4001110 11/13 2560pcs一F9
</t>
        </r>
      </text>
    </comment>
    <comment ref="AL534" authorId="0">
      <text>
        <r>
          <rPr>
            <b/>
            <sz val="9"/>
            <rFont val="宋体"/>
            <charset val="134"/>
          </rPr>
          <t>Administrator:</t>
        </r>
        <r>
          <rPr>
            <sz val="9"/>
            <rFont val="宋体"/>
            <charset val="134"/>
          </rPr>
          <t xml:space="preserve">
10/17 上客供RFID贴纸2560pcs
</t>
        </r>
      </text>
    </comment>
    <comment ref="AI535" authorId="0">
      <text>
        <r>
          <rPr>
            <b/>
            <sz val="9"/>
            <rFont val="宋体"/>
            <charset val="134"/>
          </rPr>
          <t>Administrator:</t>
        </r>
        <r>
          <rPr>
            <sz val="9"/>
            <rFont val="宋体"/>
            <charset val="134"/>
          </rPr>
          <t xml:space="preserve">
4001107 11/12 3000pcs华3B8
</t>
        </r>
      </text>
    </comment>
    <comment ref="AI536" authorId="0">
      <text>
        <r>
          <rPr>
            <b/>
            <sz val="9"/>
            <rFont val="宋体"/>
            <charset val="134"/>
          </rPr>
          <t>Administrator:</t>
        </r>
        <r>
          <rPr>
            <sz val="9"/>
            <rFont val="宋体"/>
            <charset val="134"/>
          </rPr>
          <t xml:space="preserve">
4001121 11/18 3200PCS华一F11
</t>
        </r>
      </text>
    </comment>
    <comment ref="AL536" authorId="0">
      <text>
        <r>
          <rPr>
            <b/>
            <sz val="9"/>
            <rFont val="宋体"/>
            <charset val="134"/>
          </rPr>
          <t>Administrator:</t>
        </r>
        <r>
          <rPr>
            <sz val="9"/>
            <rFont val="宋体"/>
            <charset val="134"/>
          </rPr>
          <t xml:space="preserve">
11/10 上客户EAN条码贴纸3200pcs
ZURU带电池走货30语WEEE说明书3200PCS
PDQ数量贴纸3200PCS</t>
        </r>
      </text>
    </comment>
    <comment ref="AI537" authorId="0">
      <text>
        <r>
          <rPr>
            <b/>
            <sz val="9"/>
            <rFont val="宋体"/>
            <charset val="134"/>
          </rPr>
          <t>Administrator:</t>
        </r>
        <r>
          <rPr>
            <sz val="9"/>
            <rFont val="宋体"/>
            <charset val="134"/>
          </rPr>
          <t xml:space="preserve">
4001121 11/18 960PCS华一F11
</t>
        </r>
      </text>
    </comment>
    <comment ref="AL537" authorId="0">
      <text>
        <r>
          <rPr>
            <b/>
            <sz val="9"/>
            <rFont val="宋体"/>
            <charset val="134"/>
          </rPr>
          <t>Administrator:</t>
        </r>
        <r>
          <rPr>
            <sz val="9"/>
            <rFont val="宋体"/>
            <charset val="134"/>
          </rPr>
          <t xml:space="preserve">
9/26 上客供警语贴纸960pcs
客供电池警告语贴纸960pcs
客供中文警告语贴纸960pcs
</t>
        </r>
      </text>
    </comment>
    <comment ref="AI538" authorId="0">
      <text>
        <r>
          <rPr>
            <b/>
            <sz val="9"/>
            <rFont val="宋体"/>
            <charset val="134"/>
          </rPr>
          <t>Administrator:</t>
        </r>
        <r>
          <rPr>
            <sz val="9"/>
            <rFont val="宋体"/>
            <charset val="134"/>
          </rPr>
          <t xml:space="preserve">
4001128 11/24 600pcs
直走</t>
        </r>
      </text>
    </comment>
    <comment ref="AL538" authorId="0">
      <text>
        <r>
          <rPr>
            <b/>
            <sz val="9"/>
            <rFont val="宋体"/>
            <charset val="134"/>
          </rPr>
          <t>Administrator:</t>
        </r>
        <r>
          <rPr>
            <sz val="9"/>
            <rFont val="宋体"/>
            <charset val="134"/>
          </rPr>
          <t xml:space="preserve">
12/21 上收缩膜日语警语贴纸2004pcs
说明书日语警告语贴纸2004pcs
两个同PO共用</t>
        </r>
      </text>
    </comment>
    <comment ref="AI539" authorId="0">
      <text>
        <r>
          <rPr>
            <b/>
            <sz val="9"/>
            <rFont val="宋体"/>
            <charset val="134"/>
          </rPr>
          <t>Administrator:</t>
        </r>
        <r>
          <rPr>
            <sz val="9"/>
            <rFont val="宋体"/>
            <charset val="134"/>
          </rPr>
          <t xml:space="preserve">
4001128 11/24 1404pcs
直走</t>
        </r>
      </text>
    </comment>
    <comment ref="AI540" authorId="0">
      <text>
        <r>
          <rPr>
            <b/>
            <sz val="9"/>
            <rFont val="宋体"/>
            <charset val="134"/>
          </rPr>
          <t>Administrator:</t>
        </r>
        <r>
          <rPr>
            <sz val="9"/>
            <rFont val="宋体"/>
            <charset val="134"/>
          </rPr>
          <t xml:space="preserve">
4001127 11/19 504pcs华一F4</t>
        </r>
      </text>
    </comment>
    <comment ref="AL540" authorId="0">
      <text>
        <r>
          <rPr>
            <b/>
            <sz val="9"/>
            <rFont val="宋体"/>
            <charset val="134"/>
          </rPr>
          <t>Administrator:</t>
        </r>
        <r>
          <rPr>
            <sz val="9"/>
            <rFont val="宋体"/>
            <charset val="134"/>
          </rPr>
          <t xml:space="preserve">
10/17 上客供防窜码贴纸8184pcs 只限77673货号</t>
        </r>
      </text>
    </comment>
    <comment ref="AI541" authorId="0">
      <text>
        <r>
          <rPr>
            <b/>
            <sz val="9"/>
            <rFont val="宋体"/>
            <charset val="134"/>
          </rPr>
          <t>Administrator:</t>
        </r>
        <r>
          <rPr>
            <sz val="9"/>
            <rFont val="宋体"/>
            <charset val="134"/>
          </rPr>
          <t xml:space="preserve">
4001127 11/19 1680pcs
华一F5</t>
        </r>
      </text>
    </comment>
    <comment ref="AI542" authorId="0">
      <text>
        <r>
          <rPr>
            <b/>
            <sz val="9"/>
            <rFont val="宋体"/>
            <charset val="134"/>
          </rPr>
          <t>Administrator:</t>
        </r>
        <r>
          <rPr>
            <sz val="9"/>
            <rFont val="宋体"/>
            <charset val="134"/>
          </rPr>
          <t xml:space="preserve">
4001133 11/25 10008pcs华一F4</t>
        </r>
      </text>
    </comment>
    <comment ref="AL542" authorId="0">
      <text>
        <r>
          <rPr>
            <b/>
            <sz val="9"/>
            <rFont val="宋体"/>
            <charset val="134"/>
          </rPr>
          <t>Administrator:</t>
        </r>
        <r>
          <rPr>
            <sz val="9"/>
            <rFont val="宋体"/>
            <charset val="134"/>
          </rPr>
          <t xml:space="preserve">
10/23 上进口商贴纸10008
UPC贴纸10008pcs</t>
        </r>
      </text>
    </comment>
    <comment ref="AI543" authorId="0">
      <text>
        <r>
          <rPr>
            <b/>
            <sz val="9"/>
            <rFont val="宋体"/>
            <charset val="134"/>
          </rPr>
          <t>Administrator:</t>
        </r>
        <r>
          <rPr>
            <sz val="9"/>
            <rFont val="宋体"/>
            <charset val="134"/>
          </rPr>
          <t xml:space="preserve">
4001119 11/17 13440pcs华3A5
4001120 11/17 4560PCS华3A4</t>
        </r>
      </text>
    </comment>
    <comment ref="AL543" authorId="0">
      <text>
        <r>
          <rPr>
            <b/>
            <sz val="9"/>
            <rFont val="宋体"/>
            <charset val="134"/>
          </rPr>
          <t>Administrator:</t>
        </r>
        <r>
          <rPr>
            <sz val="9"/>
            <rFont val="宋体"/>
            <charset val="134"/>
          </rPr>
          <t xml:space="preserve">
11/6 上UPC贴纸18000pcs</t>
        </r>
      </text>
    </comment>
    <comment ref="AI544" authorId="0">
      <text>
        <r>
          <rPr>
            <b/>
            <sz val="9"/>
            <rFont val="宋体"/>
            <charset val="134"/>
          </rPr>
          <t>Administrator:</t>
        </r>
        <r>
          <rPr>
            <sz val="9"/>
            <rFont val="宋体"/>
            <charset val="134"/>
          </rPr>
          <t xml:space="preserve">
4001127 11/19 2000pcs
华一F5</t>
        </r>
      </text>
    </comment>
    <comment ref="AL544" authorId="0">
      <text>
        <r>
          <rPr>
            <b/>
            <sz val="9"/>
            <rFont val="宋体"/>
            <charset val="134"/>
          </rPr>
          <t>Administrator:</t>
        </r>
        <r>
          <rPr>
            <sz val="9"/>
            <rFont val="宋体"/>
            <charset val="134"/>
          </rPr>
          <t xml:space="preserve">
11/4 WEEE声明(带电池)走货欧洲通用30L-B版说明书2000ｐｃｓ
Kinderherz 2025 Logo贴纸2000ｐｃｓ</t>
        </r>
      </text>
    </comment>
    <comment ref="AI545" authorId="0">
      <text>
        <r>
          <rPr>
            <b/>
            <sz val="9"/>
            <rFont val="宋体"/>
            <charset val="134"/>
          </rPr>
          <t>Administrator:</t>
        </r>
        <r>
          <rPr>
            <sz val="9"/>
            <rFont val="宋体"/>
            <charset val="134"/>
          </rPr>
          <t xml:space="preserve">
1200480 11/20 4400pcsB栋四楼B7</t>
        </r>
      </text>
    </comment>
    <comment ref="AL545" authorId="0">
      <text>
        <r>
          <rPr>
            <b/>
            <sz val="9"/>
            <rFont val="宋体"/>
            <charset val="134"/>
          </rPr>
          <t>Administrator:</t>
        </r>
        <r>
          <rPr>
            <sz val="9"/>
            <rFont val="宋体"/>
            <charset val="134"/>
          </rPr>
          <t xml:space="preserve">
10/22 WEEE_带电池走货 _ 说明书欧洲EN+30L-B版4400pcs
10/23 上多语折叠贴纸4400pcs</t>
        </r>
      </text>
    </comment>
    <comment ref="AI546" authorId="0">
      <text>
        <r>
          <rPr>
            <b/>
            <sz val="9"/>
            <rFont val="宋体"/>
            <charset val="134"/>
          </rPr>
          <t>Administrator:</t>
        </r>
        <r>
          <rPr>
            <sz val="9"/>
            <rFont val="宋体"/>
            <charset val="134"/>
          </rPr>
          <t xml:space="preserve">
4001139 11/26 5472pcs
华3A17-18
4001139 11/26 4536pcs
华3A17-18</t>
        </r>
      </text>
    </comment>
    <comment ref="AL546" authorId="0">
      <text>
        <r>
          <rPr>
            <b/>
            <sz val="9"/>
            <rFont val="宋体"/>
            <charset val="134"/>
          </rPr>
          <t>Administrator:</t>
        </r>
        <r>
          <rPr>
            <sz val="9"/>
            <rFont val="宋体"/>
            <charset val="134"/>
          </rPr>
          <t xml:space="preserve">
9/25 上3C贴纸50664pcs 共用
11/18 上空白贴纸33600pcs</t>
        </r>
      </text>
    </comment>
    <comment ref="AI547" authorId="0">
      <text>
        <r>
          <rPr>
            <b/>
            <sz val="9"/>
            <rFont val="宋体"/>
            <charset val="134"/>
          </rPr>
          <t>Administrator:</t>
        </r>
        <r>
          <rPr>
            <sz val="9"/>
            <rFont val="宋体"/>
            <charset val="134"/>
          </rPr>
          <t xml:space="preserve">
4001139 11/26 660pcs
华一F3</t>
        </r>
      </text>
    </comment>
    <comment ref="AI548" authorId="0">
      <text>
        <r>
          <rPr>
            <b/>
            <sz val="9"/>
            <rFont val="宋体"/>
            <charset val="134"/>
          </rPr>
          <t>Administrator:</t>
        </r>
        <r>
          <rPr>
            <sz val="9"/>
            <rFont val="宋体"/>
            <charset val="134"/>
          </rPr>
          <t xml:space="preserve">
4001132 11/24 1440pcs华1A4
4001134 11/25 2720pcs华一A4</t>
        </r>
      </text>
    </comment>
    <comment ref="AL548" authorId="0">
      <text>
        <r>
          <rPr>
            <b/>
            <sz val="9"/>
            <rFont val="宋体"/>
            <charset val="134"/>
          </rPr>
          <t>Administrator:</t>
        </r>
        <r>
          <rPr>
            <sz val="9"/>
            <rFont val="宋体"/>
            <charset val="134"/>
          </rPr>
          <t xml:space="preserve">
10/31 上客供RFID贴纸4160ｐｃｓ</t>
        </r>
      </text>
    </comment>
    <comment ref="AI549" authorId="0">
      <text>
        <r>
          <rPr>
            <b/>
            <sz val="9"/>
            <rFont val="宋体"/>
            <charset val="134"/>
          </rPr>
          <t>Administrator:</t>
        </r>
        <r>
          <rPr>
            <sz val="9"/>
            <rFont val="宋体"/>
            <charset val="134"/>
          </rPr>
          <t xml:space="preserve">
4001128 11/24 5760pcs华一F7</t>
        </r>
      </text>
    </comment>
    <comment ref="AL549" authorId="0">
      <text>
        <r>
          <rPr>
            <b/>
            <sz val="9"/>
            <rFont val="宋体"/>
            <charset val="134"/>
          </rPr>
          <t>Administrator:</t>
        </r>
        <r>
          <rPr>
            <sz val="9"/>
            <rFont val="宋体"/>
            <charset val="134"/>
          </rPr>
          <t xml:space="preserve">
10/31 上客供RFID贴纸5760ｐｃｓ
</t>
        </r>
      </text>
    </comment>
    <comment ref="AI550" authorId="0">
      <text>
        <r>
          <rPr>
            <b/>
            <sz val="9"/>
            <rFont val="宋体"/>
            <charset val="134"/>
          </rPr>
          <t>Administrator:</t>
        </r>
        <r>
          <rPr>
            <sz val="9"/>
            <rFont val="宋体"/>
            <charset val="134"/>
          </rPr>
          <t xml:space="preserve">
4001128 11/24 5760pcs华一F5.F7</t>
        </r>
      </text>
    </comment>
    <comment ref="AL550" authorId="0">
      <text>
        <r>
          <rPr>
            <b/>
            <sz val="9"/>
            <rFont val="宋体"/>
            <charset val="134"/>
          </rPr>
          <t>Administrator:</t>
        </r>
        <r>
          <rPr>
            <sz val="9"/>
            <rFont val="宋体"/>
            <charset val="134"/>
          </rPr>
          <t xml:space="preserve">
10/31 上客供RFID贴纸5760ｐｃｓ
</t>
        </r>
      </text>
    </comment>
    <comment ref="AI551" authorId="0">
      <text>
        <r>
          <rPr>
            <b/>
            <sz val="9"/>
            <rFont val="宋体"/>
            <charset val="134"/>
          </rPr>
          <t>Administrator:</t>
        </r>
        <r>
          <rPr>
            <sz val="9"/>
            <rFont val="宋体"/>
            <charset val="134"/>
          </rPr>
          <t xml:space="preserve">
4001134 11/25 4480pcs
华一F12</t>
        </r>
      </text>
    </comment>
    <comment ref="AL551" authorId="0">
      <text>
        <r>
          <rPr>
            <b/>
            <sz val="9"/>
            <rFont val="宋体"/>
            <charset val="134"/>
          </rPr>
          <t>Administrator:</t>
        </r>
        <r>
          <rPr>
            <sz val="9"/>
            <rFont val="宋体"/>
            <charset val="134"/>
          </rPr>
          <t xml:space="preserve">
10/31 上客供RFID贴纸4480ｐｃｓ
</t>
        </r>
      </text>
    </comment>
    <comment ref="AI552" authorId="0">
      <text>
        <r>
          <rPr>
            <b/>
            <sz val="9"/>
            <rFont val="宋体"/>
            <charset val="134"/>
          </rPr>
          <t>Administrator:</t>
        </r>
        <r>
          <rPr>
            <sz val="9"/>
            <rFont val="宋体"/>
            <charset val="134"/>
          </rPr>
          <t xml:space="preserve">
4001134 11/25 4160pcs
华一F11</t>
        </r>
      </text>
    </comment>
    <comment ref="AL552" authorId="0">
      <text>
        <r>
          <rPr>
            <b/>
            <sz val="9"/>
            <rFont val="宋体"/>
            <charset val="134"/>
          </rPr>
          <t>Administrator:</t>
        </r>
        <r>
          <rPr>
            <sz val="9"/>
            <rFont val="宋体"/>
            <charset val="134"/>
          </rPr>
          <t xml:space="preserve">
10/31 上客供RFID贴纸4160ｐｃｓ
</t>
        </r>
      </text>
    </comment>
    <comment ref="AI553" authorId="0">
      <text>
        <r>
          <rPr>
            <b/>
            <sz val="9"/>
            <rFont val="宋体"/>
            <charset val="134"/>
          </rPr>
          <t>Administrator:</t>
        </r>
        <r>
          <rPr>
            <sz val="9"/>
            <rFont val="宋体"/>
            <charset val="134"/>
          </rPr>
          <t xml:space="preserve">
4001137 11/25 1440pcs
华一F3
4001134 11/25 1760pcs
华一F3</t>
        </r>
      </text>
    </comment>
    <comment ref="AL553" authorId="0">
      <text>
        <r>
          <rPr>
            <b/>
            <sz val="9"/>
            <rFont val="宋体"/>
            <charset val="134"/>
          </rPr>
          <t>Administrator:</t>
        </r>
        <r>
          <rPr>
            <sz val="9"/>
            <rFont val="宋体"/>
            <charset val="134"/>
          </rPr>
          <t xml:space="preserve">
10/31 上客供RFID贴纸3200ｐｃｓ
</t>
        </r>
      </text>
    </comment>
    <comment ref="AI554" authorId="0">
      <text>
        <r>
          <rPr>
            <b/>
            <sz val="9"/>
            <rFont val="宋体"/>
            <charset val="134"/>
          </rPr>
          <t>Administrator:</t>
        </r>
        <r>
          <rPr>
            <sz val="9"/>
            <rFont val="宋体"/>
            <charset val="134"/>
          </rPr>
          <t xml:space="preserve">
4001134 11/25 3520pcs
华一F5</t>
        </r>
      </text>
    </comment>
    <comment ref="AL554" authorId="0">
      <text>
        <r>
          <rPr>
            <b/>
            <sz val="9"/>
            <rFont val="宋体"/>
            <charset val="134"/>
          </rPr>
          <t>Administrator:</t>
        </r>
        <r>
          <rPr>
            <sz val="9"/>
            <rFont val="宋体"/>
            <charset val="134"/>
          </rPr>
          <t xml:space="preserve">
10/31 上客供RFID贴纸3520ｐｃｓ
</t>
        </r>
      </text>
    </comment>
    <comment ref="AI555" authorId="0">
      <text>
        <r>
          <rPr>
            <b/>
            <sz val="9"/>
            <rFont val="宋体"/>
            <charset val="134"/>
          </rPr>
          <t>Administrator:</t>
        </r>
        <r>
          <rPr>
            <sz val="9"/>
            <rFont val="宋体"/>
            <charset val="134"/>
          </rPr>
          <t xml:space="preserve">
4001143 11/27 720pcs
华一F9
4001143 11/28 2480pcs
华1f9</t>
        </r>
      </text>
    </comment>
    <comment ref="AI556" authorId="0">
      <text>
        <r>
          <rPr>
            <b/>
            <sz val="9"/>
            <rFont val="宋体"/>
            <charset val="134"/>
          </rPr>
          <t>Administrator:</t>
        </r>
        <r>
          <rPr>
            <sz val="9"/>
            <rFont val="宋体"/>
            <charset val="134"/>
          </rPr>
          <t xml:space="preserve">
4001146 11/28 4200pcs
王4b9</t>
        </r>
      </text>
    </comment>
    <comment ref="AL556" authorId="0">
      <text>
        <r>
          <rPr>
            <b/>
            <sz val="9"/>
            <rFont val="宋体"/>
            <charset val="134"/>
          </rPr>
          <t>Administrator:</t>
        </r>
        <r>
          <rPr>
            <sz val="9"/>
            <rFont val="宋体"/>
            <charset val="134"/>
          </rPr>
          <t xml:space="preserve">
11/10 上说明书纽扣电池警告语贴纸8400pcs
收缩膜纽扣电池警告语贴纸4200pcs
11/14 上KM单外箱贴纸350pcs
11/22 上白色防盗贴纸4200pcs</t>
        </r>
      </text>
    </comment>
    <comment ref="AI557" authorId="0">
      <text>
        <r>
          <rPr>
            <b/>
            <sz val="9"/>
            <rFont val="宋体"/>
            <charset val="134"/>
          </rPr>
          <t>Administrator:</t>
        </r>
        <r>
          <rPr>
            <sz val="9"/>
            <rFont val="宋体"/>
            <charset val="134"/>
          </rPr>
          <t xml:space="preserve">
4001146 11/28 420pcs
王4b9</t>
        </r>
      </text>
    </comment>
    <comment ref="AL557" authorId="0">
      <text>
        <r>
          <rPr>
            <b/>
            <sz val="9"/>
            <rFont val="宋体"/>
            <charset val="134"/>
          </rPr>
          <t>Administrator:</t>
        </r>
        <r>
          <rPr>
            <sz val="9"/>
            <rFont val="宋体"/>
            <charset val="134"/>
          </rPr>
          <t xml:space="preserve">
11/10 上说明书纽扣电池警告语贴纸840pcs
收缩膜纽扣电池警告语贴纸420pcs
11/14 上KM单外箱贴纸35pcs
11/22 上白色防盗贴纸420pcs
</t>
        </r>
      </text>
    </comment>
    <comment ref="AI558" authorId="0">
      <text>
        <r>
          <rPr>
            <b/>
            <sz val="9"/>
            <rFont val="宋体"/>
            <charset val="134"/>
          </rPr>
          <t>Administrator:</t>
        </r>
        <r>
          <rPr>
            <sz val="9"/>
            <rFont val="宋体"/>
            <charset val="134"/>
          </rPr>
          <t xml:space="preserve">
4001137 11/25 1440pcs
华一F11
4001139 11/26 9706pcs
</t>
        </r>
      </text>
    </comment>
    <comment ref="AL558" authorId="0">
      <text>
        <r>
          <rPr>
            <b/>
            <sz val="9"/>
            <rFont val="宋体"/>
            <charset val="134"/>
          </rPr>
          <t>Administrator:</t>
        </r>
        <r>
          <rPr>
            <sz val="9"/>
            <rFont val="宋体"/>
            <charset val="134"/>
          </rPr>
          <t xml:space="preserve">
11/6 上客供外箱条码贴纸2655pcs
</t>
        </r>
      </text>
    </comment>
    <comment ref="AI559" authorId="0">
      <text>
        <r>
          <rPr>
            <b/>
            <sz val="9"/>
            <rFont val="宋体"/>
            <charset val="134"/>
          </rPr>
          <t>Administrator:</t>
        </r>
        <r>
          <rPr>
            <sz val="9"/>
            <rFont val="宋体"/>
            <charset val="134"/>
          </rPr>
          <t xml:space="preserve">
4001144 11/28 360pcs
华1b2</t>
        </r>
      </text>
    </comment>
    <comment ref="AL559" authorId="0">
      <text>
        <r>
          <rPr>
            <b/>
            <sz val="9"/>
            <rFont val="宋体"/>
            <charset val="134"/>
          </rPr>
          <t>Administrator:</t>
        </r>
        <r>
          <rPr>
            <sz val="9"/>
            <rFont val="宋体"/>
            <charset val="134"/>
          </rPr>
          <t xml:space="preserve">
10/25 上瑞典警告语贴纸360pcs
内袋贴纸1 1440pcs
内袋贴纸2 4320pcs
WEEE 带电B版30L 说明书360pcs</t>
        </r>
      </text>
    </comment>
    <comment ref="AI560" authorId="0">
      <text>
        <r>
          <rPr>
            <b/>
            <sz val="9"/>
            <rFont val="宋体"/>
            <charset val="134"/>
          </rPr>
          <t>Administrator:</t>
        </r>
        <r>
          <rPr>
            <sz val="9"/>
            <rFont val="宋体"/>
            <charset val="134"/>
          </rPr>
          <t xml:space="preserve">
4001143 11/27 1068pcs
华3B17</t>
        </r>
      </text>
    </comment>
    <comment ref="AL560" authorId="0">
      <text>
        <r>
          <rPr>
            <b/>
            <sz val="9"/>
            <rFont val="宋体"/>
            <charset val="134"/>
          </rPr>
          <t>Administrator:</t>
        </r>
        <r>
          <rPr>
            <sz val="9"/>
            <rFont val="宋体"/>
            <charset val="134"/>
          </rPr>
          <t xml:space="preserve">
11/11 上亚马逊外箱贴纸89pcs
11/13 上UPC贴纸1068pcs
+WEEE电子产品说明书30L(带电池走货B版1068pcs
获奖贴纸1068pcs
多语可折叠警告语贴纸1068pcs</t>
        </r>
      </text>
    </comment>
    <comment ref="AI561" authorId="0">
      <text>
        <r>
          <rPr>
            <b/>
            <sz val="9"/>
            <rFont val="宋体"/>
            <charset val="134"/>
          </rPr>
          <t>Administrator:</t>
        </r>
        <r>
          <rPr>
            <sz val="9"/>
            <rFont val="宋体"/>
            <charset val="134"/>
          </rPr>
          <t xml:space="preserve">
4001146 11/28 534pcs
华1楼
4001144 11/28 9450pcs 华1a4
4001158 11/28 18pcs</t>
        </r>
      </text>
    </comment>
    <comment ref="AI562" authorId="0">
      <text>
        <r>
          <rPr>
            <b/>
            <sz val="9"/>
            <rFont val="宋体"/>
            <charset val="134"/>
          </rPr>
          <t>Administrator:</t>
        </r>
        <r>
          <rPr>
            <sz val="9"/>
            <rFont val="宋体"/>
            <charset val="134"/>
          </rPr>
          <t xml:space="preserve">
4001143 11/27 408pcs
华3B7</t>
        </r>
      </text>
    </comment>
    <comment ref="AL562" authorId="0">
      <text>
        <r>
          <rPr>
            <b/>
            <sz val="9"/>
            <rFont val="宋体"/>
            <charset val="134"/>
          </rPr>
          <t>Administrator:</t>
        </r>
        <r>
          <rPr>
            <sz val="9"/>
            <rFont val="宋体"/>
            <charset val="134"/>
          </rPr>
          <t xml:space="preserve">
11/18 上进口商贴纸408pcs
UPC 贴纸408pcs</t>
        </r>
      </text>
    </comment>
    <comment ref="AI563" authorId="0">
      <text>
        <r>
          <rPr>
            <b/>
            <sz val="9"/>
            <rFont val="宋体"/>
            <charset val="134"/>
          </rPr>
          <t>Administrator:</t>
        </r>
        <r>
          <rPr>
            <sz val="9"/>
            <rFont val="宋体"/>
            <charset val="134"/>
          </rPr>
          <t xml:space="preserve">
4001146 11/28 576pcs
王4b9</t>
        </r>
      </text>
    </comment>
    <comment ref="AL563" authorId="0">
      <text>
        <r>
          <rPr>
            <b/>
            <sz val="9"/>
            <rFont val="宋体"/>
            <charset val="134"/>
          </rPr>
          <t>Administrator:</t>
        </r>
        <r>
          <rPr>
            <sz val="9"/>
            <rFont val="宋体"/>
            <charset val="134"/>
          </rPr>
          <t xml:space="preserve">
11/22 客供中文警告说明书600pcs
上客供警语贴纸600pcs
客供电池警告语贴纸600pcs</t>
        </r>
      </text>
    </comment>
    <comment ref="AI564" authorId="0">
      <text>
        <r>
          <rPr>
            <b/>
            <sz val="9"/>
            <rFont val="宋体"/>
            <charset val="134"/>
          </rPr>
          <t>Administrator:</t>
        </r>
        <r>
          <rPr>
            <sz val="9"/>
            <rFont val="宋体"/>
            <charset val="134"/>
          </rPr>
          <t xml:space="preserve">
3000521 12/4 300pcs华3b15
</t>
        </r>
      </text>
    </comment>
    <comment ref="AL564" authorId="0">
      <text>
        <r>
          <rPr>
            <b/>
            <sz val="9"/>
            <rFont val="宋体"/>
            <charset val="134"/>
          </rPr>
          <t>Administrator:</t>
        </r>
        <r>
          <rPr>
            <sz val="9"/>
            <rFont val="宋体"/>
            <charset val="134"/>
          </rPr>
          <t xml:space="preserve">
11/22 上客供中文警告说明书贴纸318pcs</t>
        </r>
      </text>
    </comment>
    <comment ref="AI565" authorId="0">
      <text>
        <r>
          <rPr>
            <b/>
            <sz val="9"/>
            <rFont val="宋体"/>
            <charset val="134"/>
          </rPr>
          <t>Administrator:</t>
        </r>
        <r>
          <rPr>
            <sz val="9"/>
            <rFont val="宋体"/>
            <charset val="134"/>
          </rPr>
          <t xml:space="preserve">
3000523 12/4 3520pcs华1f9</t>
        </r>
      </text>
    </comment>
    <comment ref="AL565" authorId="0">
      <text>
        <r>
          <rPr>
            <b/>
            <sz val="9"/>
            <rFont val="宋体"/>
            <charset val="134"/>
          </rPr>
          <t>Administrator:</t>
        </r>
        <r>
          <rPr>
            <sz val="9"/>
            <rFont val="宋体"/>
            <charset val="134"/>
          </rPr>
          <t xml:space="preserve">
11/22上客供RFID贴纸3520pcs
</t>
        </r>
      </text>
    </comment>
    <comment ref="AI566" authorId="0">
      <text>
        <r>
          <rPr>
            <b/>
            <sz val="9"/>
            <rFont val="宋体"/>
            <charset val="134"/>
          </rPr>
          <t>Administrator:</t>
        </r>
        <r>
          <rPr>
            <sz val="9"/>
            <rFont val="宋体"/>
            <charset val="134"/>
          </rPr>
          <t xml:space="preserve">
3000524 12/5 720pcs 华3a20
3000528 12/6 3120pcs华3a20</t>
        </r>
      </text>
    </comment>
    <comment ref="AL566" authorId="0">
      <text>
        <r>
          <rPr>
            <b/>
            <sz val="9"/>
            <rFont val="宋体"/>
            <charset val="134"/>
          </rPr>
          <t>Administrator:</t>
        </r>
        <r>
          <rPr>
            <sz val="9"/>
            <rFont val="宋体"/>
            <charset val="134"/>
          </rPr>
          <t xml:space="preserve">
11/22上客供RFID贴纸3840pcs</t>
        </r>
      </text>
    </comment>
    <comment ref="AI567" authorId="0">
      <text>
        <r>
          <rPr>
            <b/>
            <sz val="9"/>
            <rFont val="宋体"/>
            <charset val="134"/>
          </rPr>
          <t>Administrator:</t>
        </r>
        <r>
          <rPr>
            <sz val="9"/>
            <rFont val="宋体"/>
            <charset val="134"/>
          </rPr>
          <t xml:space="preserve">
3000523 12/4 4160pcs
华1f93000523 12/4 4160pcs
华1f9
</t>
        </r>
      </text>
    </comment>
    <comment ref="AL567" authorId="0">
      <text>
        <r>
          <rPr>
            <b/>
            <sz val="9"/>
            <rFont val="宋体"/>
            <charset val="134"/>
          </rPr>
          <t>Administrator:</t>
        </r>
        <r>
          <rPr>
            <sz val="9"/>
            <rFont val="宋体"/>
            <charset val="134"/>
          </rPr>
          <t xml:space="preserve">
11/22上客供RFID贴纸4160pcs</t>
        </r>
      </text>
    </comment>
    <comment ref="AI568" authorId="0">
      <text>
        <r>
          <rPr>
            <b/>
            <sz val="9"/>
            <rFont val="宋体"/>
            <charset val="134"/>
          </rPr>
          <t>Administrator:</t>
        </r>
        <r>
          <rPr>
            <sz val="9"/>
            <rFont val="宋体"/>
            <charset val="134"/>
          </rPr>
          <t xml:space="preserve">
3000524 12/5 5760pcs
华3a22</t>
        </r>
      </text>
    </comment>
    <comment ref="AL568" authorId="0">
      <text>
        <r>
          <rPr>
            <b/>
            <sz val="9"/>
            <rFont val="宋体"/>
            <charset val="134"/>
          </rPr>
          <t>Administrator:</t>
        </r>
        <r>
          <rPr>
            <sz val="9"/>
            <rFont val="宋体"/>
            <charset val="134"/>
          </rPr>
          <t xml:space="preserve">
11/22上客供RFID贴纸5760pcs</t>
        </r>
      </text>
    </comment>
    <comment ref="AI569" authorId="0">
      <text>
        <r>
          <rPr>
            <b/>
            <sz val="9"/>
            <rFont val="宋体"/>
            <charset val="134"/>
          </rPr>
          <t>Administrator:</t>
        </r>
        <r>
          <rPr>
            <sz val="9"/>
            <rFont val="宋体"/>
            <charset val="134"/>
          </rPr>
          <t xml:space="preserve">
3000529 12/6 6000pcs华1f12
3000528 12/6 720pcs华1f12</t>
        </r>
      </text>
    </comment>
    <comment ref="AL569" authorId="0">
      <text>
        <r>
          <rPr>
            <b/>
            <sz val="9"/>
            <rFont val="宋体"/>
            <charset val="134"/>
          </rPr>
          <t>Administrator:</t>
        </r>
        <r>
          <rPr>
            <sz val="9"/>
            <rFont val="宋体"/>
            <charset val="134"/>
          </rPr>
          <t xml:space="preserve">
11/22上客供RFID贴纸6720pcs</t>
        </r>
      </text>
    </comment>
    <comment ref="AI570" authorId="0">
      <text>
        <r>
          <rPr>
            <b/>
            <sz val="9"/>
            <rFont val="宋体"/>
            <charset val="134"/>
          </rPr>
          <t>Administrator:</t>
        </r>
        <r>
          <rPr>
            <sz val="9"/>
            <rFont val="宋体"/>
            <charset val="134"/>
          </rPr>
          <t xml:space="preserve">
3000521 12/4 120pcs华3b14</t>
        </r>
      </text>
    </comment>
    <comment ref="AL570" authorId="0">
      <text>
        <r>
          <rPr>
            <b/>
            <sz val="9"/>
            <rFont val="宋体"/>
            <charset val="134"/>
          </rPr>
          <t>Administrator:</t>
        </r>
        <r>
          <rPr>
            <sz val="9"/>
            <rFont val="宋体"/>
            <charset val="134"/>
          </rPr>
          <t xml:space="preserve">
12/21 上KM单外箱贴纸10pcs
11/22 上白色防盗贴纸120pcs
</t>
        </r>
      </text>
    </comment>
    <comment ref="AI571" authorId="0">
      <text>
        <r>
          <rPr>
            <b/>
            <sz val="9"/>
            <rFont val="宋体"/>
            <charset val="134"/>
          </rPr>
          <t>Administrator:</t>
        </r>
        <r>
          <rPr>
            <sz val="9"/>
            <rFont val="宋体"/>
            <charset val="134"/>
          </rPr>
          <t xml:space="preserve">
3000521 12/4 1380pcs华3b14</t>
        </r>
      </text>
    </comment>
    <comment ref="AL571" authorId="0">
      <text>
        <r>
          <rPr>
            <b/>
            <sz val="9"/>
            <rFont val="宋体"/>
            <charset val="134"/>
          </rPr>
          <t>Administrator:</t>
        </r>
        <r>
          <rPr>
            <sz val="9"/>
            <rFont val="宋体"/>
            <charset val="134"/>
          </rPr>
          <t xml:space="preserve">
11/18 上说明书纽扣电池警告语贴纸1380pcs
收藏膜纽扣电池警告语贴纸1380pcs
12/21 上KM单外箱贴纸115pcs
11/22 上白色防盗贴纸1380pcs
</t>
        </r>
      </text>
    </comment>
    <comment ref="AI572" authorId="0">
      <text>
        <r>
          <rPr>
            <b/>
            <sz val="9"/>
            <rFont val="宋体"/>
            <charset val="134"/>
          </rPr>
          <t>Administrator:</t>
        </r>
        <r>
          <rPr>
            <sz val="9"/>
            <rFont val="宋体"/>
            <charset val="134"/>
          </rPr>
          <t xml:space="preserve">
3000524 12/5 208pcs华3b9</t>
        </r>
      </text>
    </comment>
    <comment ref="AI573" authorId="0">
      <text>
        <r>
          <rPr>
            <b/>
            <sz val="9"/>
            <rFont val="宋体"/>
            <charset val="134"/>
          </rPr>
          <t>Administrator:</t>
        </r>
        <r>
          <rPr>
            <sz val="9"/>
            <rFont val="宋体"/>
            <charset val="134"/>
          </rPr>
          <t xml:space="preserve">
3000524 12/5 324pcs
华3b9
</t>
        </r>
      </text>
    </comment>
    <comment ref="AL573" authorId="0">
      <text>
        <r>
          <rPr>
            <b/>
            <sz val="9"/>
            <rFont val="宋体"/>
            <charset val="134"/>
          </rPr>
          <t>Administrator:</t>
        </r>
        <r>
          <rPr>
            <sz val="9"/>
            <rFont val="宋体"/>
            <charset val="134"/>
          </rPr>
          <t xml:space="preserve">
11/22 上客供UCC贴纸81pcs</t>
        </r>
      </text>
    </comment>
    <comment ref="AI574" authorId="0">
      <text>
        <r>
          <rPr>
            <b/>
            <sz val="9"/>
            <rFont val="宋体"/>
            <charset val="134"/>
          </rPr>
          <t>Administrator:</t>
        </r>
        <r>
          <rPr>
            <sz val="9"/>
            <rFont val="宋体"/>
            <charset val="134"/>
          </rPr>
          <t xml:space="preserve">
3000524 12/5 244pcs
华3b9
</t>
        </r>
      </text>
    </comment>
    <comment ref="AL574" authorId="0">
      <text>
        <r>
          <rPr>
            <b/>
            <sz val="9"/>
            <rFont val="宋体"/>
            <charset val="134"/>
          </rPr>
          <t>Administrator:</t>
        </r>
        <r>
          <rPr>
            <sz val="9"/>
            <rFont val="宋体"/>
            <charset val="134"/>
          </rPr>
          <t xml:space="preserve">
11/22 上客供UCC贴纸61pcs
</t>
        </r>
      </text>
    </comment>
    <comment ref="AI575" authorId="0">
      <text>
        <r>
          <rPr>
            <b/>
            <sz val="9"/>
            <rFont val="宋体"/>
            <charset val="134"/>
          </rPr>
          <t>Administrator:</t>
        </r>
        <r>
          <rPr>
            <sz val="9"/>
            <rFont val="宋体"/>
            <charset val="134"/>
          </rPr>
          <t xml:space="preserve">
3000524 12/5 204pcs
华3b9
</t>
        </r>
      </text>
    </comment>
    <comment ref="AL575" authorId="0">
      <text>
        <r>
          <rPr>
            <b/>
            <sz val="9"/>
            <rFont val="宋体"/>
            <charset val="134"/>
          </rPr>
          <t>Administrator:</t>
        </r>
        <r>
          <rPr>
            <sz val="9"/>
            <rFont val="宋体"/>
            <charset val="134"/>
          </rPr>
          <t xml:space="preserve">
11/22 上客供UCC贴纸51pcs
</t>
        </r>
      </text>
    </comment>
    <comment ref="AI576" authorId="0">
      <text>
        <r>
          <rPr>
            <b/>
            <sz val="9"/>
            <rFont val="宋体"/>
            <charset val="134"/>
          </rPr>
          <t>Administrator:</t>
        </r>
        <r>
          <rPr>
            <sz val="9"/>
            <rFont val="宋体"/>
            <charset val="134"/>
          </rPr>
          <t xml:space="preserve">
3000524 12/5 220pcs
华3b9
</t>
        </r>
      </text>
    </comment>
    <comment ref="AI577" authorId="0">
      <text>
        <r>
          <rPr>
            <b/>
            <sz val="9"/>
            <rFont val="宋体"/>
            <charset val="134"/>
          </rPr>
          <t>Administrator:</t>
        </r>
        <r>
          <rPr>
            <sz val="9"/>
            <rFont val="宋体"/>
            <charset val="134"/>
          </rPr>
          <t xml:space="preserve">
3000523 12/4 720pcs
华1f5
3000524 12/5 1284pcs华1f5</t>
        </r>
      </text>
    </comment>
    <comment ref="AL577" authorId="0">
      <text>
        <r>
          <rPr>
            <b/>
            <sz val="9"/>
            <rFont val="宋体"/>
            <charset val="134"/>
          </rPr>
          <t>Administrator:</t>
        </r>
        <r>
          <rPr>
            <sz val="9"/>
            <rFont val="宋体"/>
            <charset val="134"/>
          </rPr>
          <t xml:space="preserve">
10/22 上进口商贴纸0004pcs
10/22 WEEE_带电池走货 _ 说明书欧洲EN+30L-B版2004pcs
</t>
        </r>
      </text>
    </comment>
    <comment ref="AI578" authorId="0">
      <text>
        <r>
          <rPr>
            <b/>
            <sz val="9"/>
            <rFont val="宋体"/>
            <charset val="134"/>
          </rPr>
          <t>Administrator:</t>
        </r>
        <r>
          <rPr>
            <sz val="9"/>
            <rFont val="宋体"/>
            <charset val="134"/>
          </rPr>
          <t xml:space="preserve">
3000521 12/4 356pcs华3b14
</t>
        </r>
      </text>
    </comment>
    <comment ref="AI579" authorId="0">
      <text>
        <r>
          <rPr>
            <b/>
            <sz val="9"/>
            <rFont val="宋体"/>
            <charset val="134"/>
          </rPr>
          <t>Administrator:</t>
        </r>
        <r>
          <rPr>
            <sz val="9"/>
            <rFont val="宋体"/>
            <charset val="134"/>
          </rPr>
          <t xml:space="preserve">
3000523 12/4 1200pcs
华1f9
3000521 12/4 3600pcs华1f9</t>
        </r>
      </text>
    </comment>
    <comment ref="AL579" authorId="0">
      <text>
        <r>
          <rPr>
            <b/>
            <sz val="9"/>
            <rFont val="宋体"/>
            <charset val="134"/>
          </rPr>
          <t>Administrator:</t>
        </r>
        <r>
          <rPr>
            <sz val="9"/>
            <rFont val="宋体"/>
            <charset val="134"/>
          </rPr>
          <t xml:space="preserve">
11/22上客供RFID贴纸4800pcs
</t>
        </r>
      </text>
    </comment>
    <comment ref="AI580" authorId="0">
      <text>
        <r>
          <rPr>
            <b/>
            <sz val="9"/>
            <rFont val="宋体"/>
            <charset val="134"/>
          </rPr>
          <t>Administrator:</t>
        </r>
        <r>
          <rPr>
            <sz val="9"/>
            <rFont val="宋体"/>
            <charset val="134"/>
          </rPr>
          <t xml:space="preserve">
3000521 12/4 6400pcs刘1f5</t>
        </r>
      </text>
    </comment>
    <comment ref="AL580" authorId="0">
      <text>
        <r>
          <rPr>
            <b/>
            <sz val="9"/>
            <rFont val="宋体"/>
            <charset val="134"/>
          </rPr>
          <t>Administrator:</t>
        </r>
        <r>
          <rPr>
            <sz val="9"/>
            <rFont val="宋体"/>
            <charset val="134"/>
          </rPr>
          <t xml:space="preserve">
11/22上客供RFID贴纸6400pcs
</t>
        </r>
      </text>
    </comment>
    <comment ref="AI581" authorId="0">
      <text>
        <r>
          <rPr>
            <b/>
            <sz val="9"/>
            <rFont val="宋体"/>
            <charset val="134"/>
          </rPr>
          <t>Administrator:</t>
        </r>
        <r>
          <rPr>
            <sz val="9"/>
            <rFont val="宋体"/>
            <charset val="134"/>
          </rPr>
          <t xml:space="preserve">
3000545 12/11 10002pcs华3a31、32
</t>
        </r>
      </text>
    </comment>
    <comment ref="AI582" authorId="0">
      <text>
        <r>
          <rPr>
            <b/>
            <sz val="9"/>
            <rFont val="宋体"/>
            <charset val="134"/>
          </rPr>
          <t>Administrator:</t>
        </r>
        <r>
          <rPr>
            <sz val="9"/>
            <rFont val="宋体"/>
            <charset val="134"/>
          </rPr>
          <t xml:space="preserve">
12/10 3000541 5124pcs
华1f7
12/10 3000539 9360pcs华1f7</t>
        </r>
      </text>
    </comment>
    <comment ref="AL582" authorId="0">
      <text>
        <r>
          <rPr>
            <b/>
            <sz val="9"/>
            <rFont val="宋体"/>
            <charset val="134"/>
          </rPr>
          <t>Administrator:</t>
        </r>
        <r>
          <rPr>
            <sz val="9"/>
            <rFont val="宋体"/>
            <charset val="134"/>
          </rPr>
          <t xml:space="preserve">
11/6 上客供外箱条码贴纸3621pcs
</t>
        </r>
      </text>
    </comment>
    <comment ref="AI583" authorId="0">
      <text>
        <r>
          <rPr>
            <b/>
            <sz val="9"/>
            <rFont val="宋体"/>
            <charset val="134"/>
          </rPr>
          <t>Administrator:</t>
        </r>
        <r>
          <rPr>
            <sz val="9"/>
            <rFont val="宋体"/>
            <charset val="134"/>
          </rPr>
          <t xml:space="preserve">
3000541 12/10 3600pcs华1f5
3000546 12/12 1400pcs王4b4</t>
        </r>
      </text>
    </comment>
    <comment ref="AL583" authorId="0">
      <text>
        <r>
          <rPr>
            <b/>
            <sz val="9"/>
            <rFont val="宋体"/>
            <charset val="134"/>
          </rPr>
          <t>Administrator:</t>
        </r>
        <r>
          <rPr>
            <sz val="9"/>
            <rFont val="宋体"/>
            <charset val="134"/>
          </rPr>
          <t xml:space="preserve">
11/22 客供外箱条码贴纸1263pcs</t>
        </r>
      </text>
    </comment>
    <comment ref="AI585" authorId="0">
      <text>
        <r>
          <rPr>
            <b/>
            <sz val="9"/>
            <rFont val="宋体"/>
            <charset val="134"/>
          </rPr>
          <t>Administrator:</t>
        </r>
        <r>
          <rPr>
            <sz val="9"/>
            <rFont val="宋体"/>
            <charset val="134"/>
          </rPr>
          <t xml:space="preserve">
3000534 12/6 192pcs王4a8</t>
        </r>
      </text>
    </comment>
    <comment ref="AI586" authorId="0">
      <text>
        <r>
          <rPr>
            <b/>
            <sz val="9"/>
            <rFont val="宋体"/>
            <charset val="134"/>
          </rPr>
          <t>Administrator:</t>
        </r>
        <r>
          <rPr>
            <sz val="9"/>
            <rFont val="宋体"/>
            <charset val="134"/>
          </rPr>
          <t xml:space="preserve">
3000546 12/8 1980PCS华3b11</t>
        </r>
      </text>
    </comment>
    <comment ref="AL586" authorId="0">
      <text>
        <r>
          <rPr>
            <b/>
            <sz val="9"/>
            <rFont val="宋体"/>
            <charset val="134"/>
          </rPr>
          <t>Administrator:</t>
        </r>
        <r>
          <rPr>
            <sz val="9"/>
            <rFont val="宋体"/>
            <charset val="134"/>
          </rPr>
          <t xml:space="preserve">
11/6 上UPC贴纸1980pcs
保证书1980pcs
产品贴纸1980pcs
包装贴纸1980pcs
说明书贴纸1980pcs</t>
        </r>
      </text>
    </comment>
    <comment ref="AI587" authorId="0">
      <text>
        <r>
          <rPr>
            <b/>
            <sz val="9"/>
            <rFont val="宋体"/>
            <charset val="134"/>
          </rPr>
          <t>Administrator:</t>
        </r>
        <r>
          <rPr>
            <sz val="9"/>
            <rFont val="宋体"/>
            <charset val="134"/>
          </rPr>
          <t xml:space="preserve">
3000567 12/16 432pcs
王4b1</t>
        </r>
      </text>
    </comment>
    <comment ref="AL587" authorId="0">
      <text>
        <r>
          <rPr>
            <b/>
            <sz val="9"/>
            <rFont val="宋体"/>
            <charset val="134"/>
          </rPr>
          <t>Administrator:</t>
        </r>
        <r>
          <rPr>
            <sz val="9"/>
            <rFont val="宋体"/>
            <charset val="134"/>
          </rPr>
          <t xml:space="preserve">
12/1 客供价格贴纸 456pcs
12/8 保证书105*138mm 432pcs
包装贴纸42*31mmm 432pcs
说明书贴纸42*34mm 432pcs
UPC贴纸41*25mm 432pcs
12/11 保证书 432pcs</t>
        </r>
      </text>
    </comment>
    <comment ref="AI588" authorId="0">
      <text>
        <r>
          <rPr>
            <b/>
            <sz val="9"/>
            <rFont val="宋体"/>
            <charset val="134"/>
          </rPr>
          <t>Administrator:</t>
        </r>
        <r>
          <rPr>
            <sz val="9"/>
            <rFont val="宋体"/>
            <charset val="134"/>
          </rPr>
          <t xml:space="preserve">
3000567 12/16 1200pcs 王b栋雨棚</t>
        </r>
      </text>
    </comment>
    <comment ref="AL588" authorId="0">
      <text>
        <r>
          <rPr>
            <b/>
            <sz val="9"/>
            <rFont val="宋体"/>
            <charset val="134"/>
          </rPr>
          <t>Administrator:</t>
        </r>
        <r>
          <rPr>
            <sz val="9"/>
            <rFont val="宋体"/>
            <charset val="134"/>
          </rPr>
          <t xml:space="preserve">
11/22 上客供警告语贴纸1240pcs
客供电池警语贴纸1239pcs
客供中文警告说明书1236pcs
</t>
        </r>
      </text>
    </comment>
    <comment ref="AI589" authorId="0">
      <text>
        <r>
          <rPr>
            <b/>
            <sz val="9"/>
            <rFont val="宋体"/>
            <charset val="134"/>
          </rPr>
          <t>Administrator:</t>
        </r>
        <r>
          <rPr>
            <sz val="9"/>
            <rFont val="宋体"/>
            <charset val="134"/>
          </rPr>
          <t xml:space="preserve">
3000567 12/16 576pcs
王b栋雨棚
</t>
        </r>
      </text>
    </comment>
    <comment ref="AI590" authorId="0">
      <text>
        <r>
          <rPr>
            <b/>
            <sz val="9"/>
            <rFont val="宋体"/>
            <charset val="134"/>
          </rPr>
          <t>Administrator:</t>
        </r>
        <r>
          <rPr>
            <sz val="9"/>
            <rFont val="宋体"/>
            <charset val="134"/>
          </rPr>
          <t xml:space="preserve">
3000538 12/9 4504pcs王4b6</t>
        </r>
      </text>
    </comment>
    <comment ref="AL590" authorId="0">
      <text>
        <r>
          <rPr>
            <b/>
            <sz val="9"/>
            <rFont val="宋体"/>
            <charset val="134"/>
          </rPr>
          <t>Administrator:</t>
        </r>
        <r>
          <rPr>
            <sz val="9"/>
            <rFont val="宋体"/>
            <charset val="134"/>
          </rPr>
          <t xml:space="preserve">
11/4 上+WEEE声明(带电池)走货欧洲通用30L-B版说明书4504pcs</t>
        </r>
      </text>
    </comment>
    <comment ref="AI591" authorId="0">
      <text>
        <r>
          <rPr>
            <b/>
            <sz val="9"/>
            <rFont val="宋体"/>
            <charset val="134"/>
          </rPr>
          <t>Administrator:</t>
        </r>
        <r>
          <rPr>
            <sz val="9"/>
            <rFont val="宋体"/>
            <charset val="134"/>
          </rPr>
          <t xml:space="preserve">
3000534 12/6 4000pcs
王4a8</t>
        </r>
      </text>
    </comment>
    <comment ref="AL591" authorId="0">
      <text>
        <r>
          <rPr>
            <b/>
            <sz val="9"/>
            <rFont val="宋体"/>
            <charset val="134"/>
          </rPr>
          <t>Administrator:</t>
        </r>
        <r>
          <rPr>
            <sz val="9"/>
            <rFont val="宋体"/>
            <charset val="134"/>
          </rPr>
          <t xml:space="preserve">
11/14 上客户EAN条码贴纸8160pcs
两个同PO共用
11/18 上数量贴纸2040pcs</t>
        </r>
      </text>
    </comment>
    <comment ref="AI592" authorId="0">
      <text>
        <r>
          <rPr>
            <b/>
            <sz val="9"/>
            <rFont val="宋体"/>
            <charset val="134"/>
          </rPr>
          <t>Administrator:</t>
        </r>
        <r>
          <rPr>
            <sz val="9"/>
            <rFont val="宋体"/>
            <charset val="134"/>
          </rPr>
          <t xml:space="preserve">
3000546 12/8 1380PCS 华1f4</t>
        </r>
      </text>
    </comment>
    <comment ref="AL592" authorId="0">
      <text>
        <r>
          <rPr>
            <b/>
            <sz val="9"/>
            <rFont val="宋体"/>
            <charset val="134"/>
          </rPr>
          <t>Administrator:</t>
        </r>
        <r>
          <rPr>
            <sz val="9"/>
            <rFont val="宋体"/>
            <charset val="134"/>
          </rPr>
          <t xml:space="preserve">
11/22 上白色防盗贴纸1380pcs
11/26 上 KM 单外箱贴纸115pcs
11/27 上说明书纽扣电池警告语贴纸1380pcs
收藏膜纽扣电池警告语贴纸1380pcs
12/5 缩膜纽扣电池警告语 115pcs</t>
        </r>
      </text>
    </comment>
    <comment ref="AI593" authorId="0">
      <text>
        <r>
          <rPr>
            <b/>
            <sz val="9"/>
            <rFont val="宋体"/>
            <charset val="134"/>
          </rPr>
          <t>Administrator:</t>
        </r>
        <r>
          <rPr>
            <sz val="9"/>
            <rFont val="宋体"/>
            <charset val="134"/>
          </rPr>
          <t xml:space="preserve">
3000546 12/8 120PCS华3b8</t>
        </r>
      </text>
    </comment>
    <comment ref="AL593" authorId="0">
      <text>
        <r>
          <rPr>
            <b/>
            <sz val="9"/>
            <rFont val="宋体"/>
            <charset val="134"/>
          </rPr>
          <t>Administrator:</t>
        </r>
        <r>
          <rPr>
            <sz val="9"/>
            <rFont val="宋体"/>
            <charset val="134"/>
          </rPr>
          <t xml:space="preserve">
11/22 上白色防盗贴纸120pcs
11/26 h KM 单外箱贴纸10pcs
11/27 上说明书纽扣电池警告语贴纸120pcs
收藏膜纽扣电池警告语贴纸120pcs
12/5 缩膜纽扣电池警告语 </t>
        </r>
      </text>
    </comment>
    <comment ref="AI594" authorId="0">
      <text>
        <r>
          <rPr>
            <b/>
            <sz val="9"/>
            <rFont val="宋体"/>
            <charset val="134"/>
          </rPr>
          <t>Administrator:</t>
        </r>
        <r>
          <rPr>
            <sz val="9"/>
            <rFont val="宋体"/>
            <charset val="134"/>
          </rPr>
          <t xml:space="preserve">
3000546 12/8 1008PCS华1f3</t>
        </r>
      </text>
    </comment>
    <comment ref="AL594" authorId="0">
      <text>
        <r>
          <rPr>
            <b/>
            <sz val="9"/>
            <rFont val="宋体"/>
            <charset val="134"/>
          </rPr>
          <t>Administrator:</t>
        </r>
        <r>
          <rPr>
            <sz val="9"/>
            <rFont val="宋体"/>
            <charset val="134"/>
          </rPr>
          <t xml:space="preserve">
12/21 上进口商贴纸1008pcs</t>
        </r>
      </text>
    </comment>
    <comment ref="AI595" authorId="0">
      <text>
        <r>
          <rPr>
            <b/>
            <sz val="9"/>
            <rFont val="宋体"/>
            <charset val="134"/>
          </rPr>
          <t>Administrator:</t>
        </r>
        <r>
          <rPr>
            <sz val="9"/>
            <rFont val="宋体"/>
            <charset val="134"/>
          </rPr>
          <t xml:space="preserve">
</t>
        </r>
        <r>
          <rPr>
            <sz val="12"/>
            <rFont val="宋体"/>
            <charset val="134"/>
          </rPr>
          <t>3000555 12/13 8000pcs华1b3</t>
        </r>
      </text>
    </comment>
    <comment ref="AL595" authorId="0">
      <text>
        <r>
          <rPr>
            <b/>
            <sz val="9"/>
            <rFont val="宋体"/>
            <charset val="134"/>
          </rPr>
          <t>Administrator:</t>
        </r>
        <r>
          <rPr>
            <sz val="9"/>
            <rFont val="宋体"/>
            <charset val="134"/>
          </rPr>
          <t xml:space="preserve">
11/22上客供RFID贴纸8000pcs</t>
        </r>
      </text>
    </comment>
    <comment ref="AI596" authorId="0">
      <text>
        <r>
          <rPr>
            <b/>
            <sz val="9"/>
            <rFont val="宋体"/>
            <charset val="134"/>
          </rPr>
          <t>Administrator:</t>
        </r>
        <r>
          <rPr>
            <sz val="9"/>
            <rFont val="宋体"/>
            <charset val="134"/>
          </rPr>
          <t xml:space="preserve">
</t>
        </r>
        <r>
          <rPr>
            <sz val="12"/>
            <rFont val="宋体"/>
            <charset val="134"/>
          </rPr>
          <t>3000557 12/13 6720pcs 华1a4</t>
        </r>
      </text>
    </comment>
    <comment ref="AL596" authorId="0">
      <text>
        <r>
          <rPr>
            <b/>
            <sz val="9"/>
            <rFont val="宋体"/>
            <charset val="134"/>
          </rPr>
          <t>Administrator:</t>
        </r>
        <r>
          <rPr>
            <sz val="9"/>
            <rFont val="宋体"/>
            <charset val="134"/>
          </rPr>
          <t xml:space="preserve">
11/22上客供RFID贴纸6720pcs
</t>
        </r>
      </text>
    </comment>
    <comment ref="AI597" authorId="0">
      <text>
        <r>
          <rPr>
            <b/>
            <sz val="9"/>
            <rFont val="宋体"/>
            <charset val="134"/>
          </rPr>
          <t>Administrator:</t>
        </r>
        <r>
          <rPr>
            <sz val="9"/>
            <rFont val="宋体"/>
            <charset val="134"/>
          </rPr>
          <t xml:space="preserve">
3000588 12/13 1440pcs </t>
        </r>
        <r>
          <rPr>
            <sz val="12"/>
            <rFont val="宋体"/>
            <charset val="134"/>
          </rPr>
          <t xml:space="preserve">华1f12
</t>
        </r>
        <r>
          <rPr>
            <sz val="9"/>
            <rFont val="宋体"/>
            <charset val="134"/>
          </rPr>
          <t>3000560 12/15 4000pcs</t>
        </r>
        <r>
          <rPr>
            <sz val="12"/>
            <rFont val="宋体"/>
            <charset val="134"/>
          </rPr>
          <t>华1f12</t>
        </r>
      </text>
    </comment>
    <comment ref="AL597" authorId="0">
      <text>
        <r>
          <rPr>
            <b/>
            <sz val="9"/>
            <rFont val="宋体"/>
            <charset val="134"/>
          </rPr>
          <t>Administrator:</t>
        </r>
        <r>
          <rPr>
            <sz val="9"/>
            <rFont val="宋体"/>
            <charset val="134"/>
          </rPr>
          <t xml:space="preserve">
11/22上客供RFID贴纸5440pcs
</t>
        </r>
      </text>
    </comment>
    <comment ref="AI598" authorId="0">
      <text>
        <r>
          <rPr>
            <b/>
            <sz val="9"/>
            <rFont val="宋体"/>
            <charset val="134"/>
          </rPr>
          <t>Administrator:</t>
        </r>
        <r>
          <rPr>
            <sz val="9"/>
            <rFont val="宋体"/>
            <charset val="134"/>
          </rPr>
          <t xml:space="preserve">
3000557 12/13 5440pcs hua1b3</t>
        </r>
      </text>
    </comment>
    <comment ref="AL598" authorId="0">
      <text>
        <r>
          <rPr>
            <b/>
            <sz val="9"/>
            <rFont val="宋体"/>
            <charset val="134"/>
          </rPr>
          <t>Administrator:</t>
        </r>
        <r>
          <rPr>
            <sz val="9"/>
            <rFont val="宋体"/>
            <charset val="134"/>
          </rPr>
          <t xml:space="preserve">
11/22上客供RFID贴纸5440pcs
</t>
        </r>
      </text>
    </comment>
    <comment ref="AI599" authorId="0">
      <text>
        <r>
          <rPr>
            <b/>
            <sz val="9"/>
            <rFont val="宋体"/>
            <charset val="134"/>
          </rPr>
          <t>Administrator:</t>
        </r>
        <r>
          <rPr>
            <sz val="9"/>
            <rFont val="宋体"/>
            <charset val="134"/>
          </rPr>
          <t xml:space="preserve">
3000560 12/15 2880pcs
华1f53000563 12/15 1280pcs 华1f5</t>
        </r>
      </text>
    </comment>
    <comment ref="AL599" authorId="0">
      <text>
        <r>
          <rPr>
            <b/>
            <sz val="9"/>
            <rFont val="宋体"/>
            <charset val="134"/>
          </rPr>
          <t>Administrator:</t>
        </r>
        <r>
          <rPr>
            <sz val="9"/>
            <rFont val="宋体"/>
            <charset val="134"/>
          </rPr>
          <t xml:space="preserve">
11/22上客供RFID贴纸4160pcs
</t>
        </r>
      </text>
    </comment>
    <comment ref="AI600" authorId="0">
      <text>
        <r>
          <rPr>
            <b/>
            <sz val="9"/>
            <rFont val="宋体"/>
            <charset val="134"/>
          </rPr>
          <t>Administrator:</t>
        </r>
        <r>
          <rPr>
            <sz val="9"/>
            <rFont val="宋体"/>
            <charset val="134"/>
          </rPr>
          <t xml:space="preserve">
3000564 12/15 7040pcs华1f9\11</t>
        </r>
      </text>
    </comment>
    <comment ref="AL600" authorId="0">
      <text>
        <r>
          <rPr>
            <b/>
            <sz val="9"/>
            <rFont val="宋体"/>
            <charset val="134"/>
          </rPr>
          <t>Administrator:</t>
        </r>
        <r>
          <rPr>
            <sz val="9"/>
            <rFont val="宋体"/>
            <charset val="134"/>
          </rPr>
          <t xml:space="preserve">
11/22上客供RFID贴纸7040pcs
</t>
        </r>
      </text>
    </comment>
    <comment ref="AI601" authorId="0">
      <text>
        <r>
          <rPr>
            <b/>
            <sz val="9"/>
            <rFont val="宋体"/>
            <charset val="134"/>
          </rPr>
          <t>Administrator:</t>
        </r>
        <r>
          <rPr>
            <sz val="9"/>
            <rFont val="宋体"/>
            <charset val="134"/>
          </rPr>
          <t xml:space="preserve">
3000560 12/15 4800pcs华3a21</t>
        </r>
      </text>
    </comment>
    <comment ref="AL601" authorId="0">
      <text>
        <r>
          <rPr>
            <b/>
            <sz val="9"/>
            <rFont val="宋体"/>
            <charset val="134"/>
          </rPr>
          <t>Administrator:</t>
        </r>
        <r>
          <rPr>
            <sz val="9"/>
            <rFont val="宋体"/>
            <charset val="134"/>
          </rPr>
          <t xml:space="preserve">
11/22上客供RFID贴纸4800pcs
</t>
        </r>
      </text>
    </comment>
    <comment ref="AI602" authorId="0">
      <text>
        <r>
          <rPr>
            <b/>
            <sz val="9"/>
            <rFont val="宋体"/>
            <charset val="134"/>
          </rPr>
          <t>Administrator:</t>
        </r>
        <r>
          <rPr>
            <sz val="9"/>
            <rFont val="宋体"/>
            <charset val="134"/>
          </rPr>
          <t xml:space="preserve">
3000552 12/13 4536pcs
华3a213000558 12/13 3888pcs 华3a25
3000557 12/13 1296pcs hua3a25
3000564 12/15 276pcs
华3a25</t>
        </r>
      </text>
    </comment>
    <comment ref="AI603" authorId="0">
      <text>
        <r>
          <rPr>
            <b/>
            <sz val="9"/>
            <rFont val="宋体"/>
            <charset val="134"/>
          </rPr>
          <t>Administrator:</t>
        </r>
        <r>
          <rPr>
            <sz val="9"/>
            <rFont val="宋体"/>
            <charset val="134"/>
          </rPr>
          <t xml:space="preserve">
3000570 12/16 192pcs
王4b7</t>
        </r>
      </text>
    </comment>
    <comment ref="AI604" authorId="0">
      <text>
        <r>
          <rPr>
            <b/>
            <sz val="9"/>
            <rFont val="宋体"/>
            <charset val="134"/>
          </rPr>
          <t>Administrator:</t>
        </r>
        <r>
          <rPr>
            <sz val="9"/>
            <rFont val="宋体"/>
            <charset val="134"/>
          </rPr>
          <t xml:space="preserve">
3000570 12/16 600pcs
王4a7</t>
        </r>
      </text>
    </comment>
    <comment ref="AL604" authorId="0">
      <text>
        <r>
          <rPr>
            <b/>
            <sz val="9"/>
            <rFont val="宋体"/>
            <charset val="134"/>
          </rPr>
          <t>Administrator:</t>
        </r>
        <r>
          <rPr>
            <sz val="9"/>
            <rFont val="宋体"/>
            <charset val="134"/>
          </rPr>
          <t xml:space="preserve">
11/10 上UPC贴纸600ｐｃｓ</t>
        </r>
      </text>
    </comment>
    <comment ref="AI605" authorId="0">
      <text>
        <r>
          <rPr>
            <b/>
            <sz val="9"/>
            <rFont val="宋体"/>
            <charset val="134"/>
          </rPr>
          <t>Administrator:</t>
        </r>
        <r>
          <rPr>
            <sz val="9"/>
            <rFont val="宋体"/>
            <charset val="134"/>
          </rPr>
          <t xml:space="preserve">
3000570 12/16 576pcs
王4b6</t>
        </r>
      </text>
    </comment>
    <comment ref="AL605" authorId="0">
      <text>
        <r>
          <rPr>
            <b/>
            <sz val="9"/>
            <rFont val="宋体"/>
            <charset val="134"/>
          </rPr>
          <t>Administrator:</t>
        </r>
        <r>
          <rPr>
            <sz val="9"/>
            <rFont val="宋体"/>
            <charset val="134"/>
          </rPr>
          <t xml:space="preserve">
11/26 上亚马逊外箱贴纸48pcs
12/3 UPC贴纸41*25mm 576pcs</t>
        </r>
      </text>
    </comment>
    <comment ref="AI606" authorId="0">
      <text>
        <r>
          <rPr>
            <b/>
            <sz val="9"/>
            <rFont val="宋体"/>
            <charset val="134"/>
          </rPr>
          <t>Administrator:</t>
        </r>
        <r>
          <rPr>
            <sz val="9"/>
            <rFont val="宋体"/>
            <charset val="134"/>
          </rPr>
          <t xml:space="preserve">
3000570 12/16 480pcs
王4a8</t>
        </r>
      </text>
    </comment>
    <comment ref="AL606" authorId="0">
      <text>
        <r>
          <rPr>
            <b/>
            <sz val="9"/>
            <rFont val="宋体"/>
            <charset val="134"/>
          </rPr>
          <t>Administrator:</t>
        </r>
        <r>
          <rPr>
            <sz val="9"/>
            <rFont val="宋体"/>
            <charset val="134"/>
          </rPr>
          <t xml:space="preserve">
11/4 上+WEEE声明(带电池)走货欧洲通用30L-B版说明书480pcs
上警语贴纸480pcs</t>
        </r>
      </text>
    </comment>
    <comment ref="AI607" authorId="0">
      <text>
        <r>
          <rPr>
            <b/>
            <sz val="9"/>
            <rFont val="宋体"/>
            <charset val="134"/>
          </rPr>
          <t>Administrator:</t>
        </r>
        <r>
          <rPr>
            <sz val="9"/>
            <rFont val="宋体"/>
            <charset val="134"/>
          </rPr>
          <t xml:space="preserve">
3000571 12/16 3000pcs
华3a26</t>
        </r>
      </text>
    </comment>
    <comment ref="AI608" authorId="0">
      <text>
        <r>
          <rPr>
            <b/>
            <sz val="9"/>
            <rFont val="宋体"/>
            <charset val="134"/>
          </rPr>
          <t>Administrator:</t>
        </r>
        <r>
          <rPr>
            <sz val="9"/>
            <rFont val="宋体"/>
            <charset val="134"/>
          </rPr>
          <t xml:space="preserve">
3000563 12/15 240pcs华1f3</t>
        </r>
      </text>
    </comment>
    <comment ref="AL608" authorId="0">
      <text>
        <r>
          <rPr>
            <b/>
            <sz val="9"/>
            <rFont val="宋体"/>
            <charset val="134"/>
          </rPr>
          <t>Administrator:</t>
        </r>
        <r>
          <rPr>
            <sz val="9"/>
            <rFont val="宋体"/>
            <charset val="134"/>
          </rPr>
          <t xml:space="preserve">
12/4 客供外箱贴纸 60pcs
12/5 产品UPC 贴纸 240pcs</t>
        </r>
      </text>
    </comment>
    <comment ref="AI609" authorId="0">
      <text>
        <r>
          <rPr>
            <b/>
            <sz val="9"/>
            <rFont val="宋体"/>
            <charset val="134"/>
          </rPr>
          <t>Administrator:</t>
        </r>
        <r>
          <rPr>
            <sz val="9"/>
            <rFont val="宋体"/>
            <charset val="134"/>
          </rPr>
          <t xml:space="preserve">
3000570 12/16 348pcs王4a3</t>
        </r>
      </text>
    </comment>
    <comment ref="AL609" authorId="0">
      <text>
        <r>
          <rPr>
            <b/>
            <sz val="9"/>
            <rFont val="宋体"/>
            <charset val="134"/>
          </rPr>
          <t>Administrator:</t>
        </r>
        <r>
          <rPr>
            <sz val="9"/>
            <rFont val="宋体"/>
            <charset val="134"/>
          </rPr>
          <t xml:space="preserve">
12/8 保证书121*81mmmn 348pcs
UPC条码贴证 348pcs
口商贴纸4648mm 348pcs</t>
        </r>
      </text>
    </comment>
    <comment ref="AI610" authorId="0">
      <text>
        <r>
          <rPr>
            <b/>
            <sz val="9"/>
            <rFont val="宋体"/>
            <charset val="134"/>
          </rPr>
          <t>Administrator:</t>
        </r>
        <r>
          <rPr>
            <sz val="9"/>
            <rFont val="宋体"/>
            <charset val="134"/>
          </rPr>
          <t xml:space="preserve">
3000567 12/16 252pcs
王4a8</t>
        </r>
      </text>
    </comment>
    <comment ref="AL610" authorId="0">
      <text>
        <r>
          <rPr>
            <b/>
            <sz val="9"/>
            <rFont val="宋体"/>
            <charset val="134"/>
          </rPr>
          <t>Administrator:</t>
        </r>
        <r>
          <rPr>
            <sz val="9"/>
            <rFont val="宋体"/>
            <charset val="134"/>
          </rPr>
          <t xml:space="preserve">
11/29 上UPC贴纸252pcs
进口商贴纸252pcs
</t>
        </r>
      </text>
    </comment>
    <comment ref="AI611" authorId="0">
      <text>
        <r>
          <rPr>
            <b/>
            <sz val="9"/>
            <rFont val="宋体"/>
            <charset val="134"/>
          </rPr>
          <t>Administrator:</t>
        </r>
        <r>
          <rPr>
            <sz val="9"/>
            <rFont val="宋体"/>
            <charset val="134"/>
          </rPr>
          <t xml:space="preserve">
3000571 12/16 1380pcs 华3a32</t>
        </r>
      </text>
    </comment>
    <comment ref="AL611" authorId="0">
      <text>
        <r>
          <rPr>
            <b/>
            <sz val="9"/>
            <rFont val="宋体"/>
            <charset val="134"/>
          </rPr>
          <t>Administrator:</t>
        </r>
        <r>
          <rPr>
            <sz val="9"/>
            <rFont val="宋体"/>
            <charset val="134"/>
          </rPr>
          <t xml:space="preserve">
11/22 上白色防盗贴纸1380pcs
11/27 上说明书纽扣电池警告语贴纸1380pcs
收藏膜纽扣电池警告语贴纸1380pcs
12/5 Kmart外箱贴纸4*4
Kmart外箱贴纸4*4 115pcs
12/5 缩膜纽扣电池警告语</t>
        </r>
        <r>
          <rPr>
            <b/>
            <sz val="9"/>
            <rFont val="宋体"/>
            <charset val="134"/>
          </rPr>
          <t xml:space="preserve"> </t>
        </r>
        <r>
          <rPr>
            <sz val="9"/>
            <rFont val="宋体"/>
            <charset val="134"/>
          </rPr>
          <t xml:space="preserve">
</t>
        </r>
      </text>
    </comment>
    <comment ref="AI612" authorId="0">
      <text>
        <r>
          <rPr>
            <b/>
            <sz val="9"/>
            <rFont val="宋体"/>
            <charset val="134"/>
          </rPr>
          <t>Administrator:</t>
        </r>
        <r>
          <rPr>
            <sz val="9"/>
            <rFont val="宋体"/>
            <charset val="134"/>
          </rPr>
          <t xml:space="preserve">
3000571 12/16 120pcs 华3b17</t>
        </r>
      </text>
    </comment>
    <comment ref="AL612" authorId="0">
      <text>
        <r>
          <rPr>
            <b/>
            <sz val="9"/>
            <rFont val="宋体"/>
            <charset val="134"/>
          </rPr>
          <t>Administrator:</t>
        </r>
        <r>
          <rPr>
            <sz val="9"/>
            <rFont val="宋体"/>
            <charset val="134"/>
          </rPr>
          <t xml:space="preserve">
11/22 上白色防盗贴纸120pcs
12/5 Kmart外箱贴纸4*4 10pcs</t>
        </r>
      </text>
    </comment>
    <comment ref="AI613" authorId="0">
      <text>
        <r>
          <rPr>
            <b/>
            <sz val="9"/>
            <rFont val="宋体"/>
            <charset val="134"/>
          </rPr>
          <t>Administrator:</t>
        </r>
        <r>
          <rPr>
            <sz val="9"/>
            <rFont val="宋体"/>
            <charset val="134"/>
          </rPr>
          <t xml:space="preserve">
3000567 12/16 360pcs
王4a5</t>
        </r>
      </text>
    </comment>
    <comment ref="AL613" authorId="0">
      <text>
        <r>
          <rPr>
            <b/>
            <sz val="9"/>
            <rFont val="宋体"/>
            <charset val="134"/>
          </rPr>
          <t>Administrator:</t>
        </r>
        <r>
          <rPr>
            <sz val="9"/>
            <rFont val="宋体"/>
            <charset val="134"/>
          </rPr>
          <t xml:space="preserve">
11/18 上UPC贴纸360pcs
进口商贴纸360pcs</t>
        </r>
      </text>
    </comment>
    <comment ref="AI614" authorId="0">
      <text>
        <r>
          <rPr>
            <b/>
            <sz val="9"/>
            <rFont val="宋体"/>
            <charset val="134"/>
          </rPr>
          <t>Administrator:</t>
        </r>
        <r>
          <rPr>
            <sz val="9"/>
            <rFont val="宋体"/>
            <charset val="134"/>
          </rPr>
          <t xml:space="preserve">
3000567 12/16 300pcs
王4a8</t>
        </r>
      </text>
    </comment>
    <comment ref="AL614" authorId="0">
      <text>
        <r>
          <rPr>
            <b/>
            <sz val="9"/>
            <rFont val="宋体"/>
            <charset val="134"/>
          </rPr>
          <t>Administrator:</t>
        </r>
        <r>
          <rPr>
            <sz val="9"/>
            <rFont val="宋体"/>
            <charset val="134"/>
          </rPr>
          <t xml:space="preserve">
11/29 上UPC贴纸300pcs
进口商贴纸300pcs</t>
        </r>
      </text>
    </comment>
    <comment ref="AI615" authorId="0">
      <text>
        <r>
          <rPr>
            <b/>
            <sz val="9"/>
            <rFont val="宋体"/>
            <charset val="134"/>
          </rPr>
          <t>Administrator:</t>
        </r>
        <r>
          <rPr>
            <sz val="9"/>
            <rFont val="宋体"/>
            <charset val="134"/>
          </rPr>
          <t xml:space="preserve">
3000570 12/16 1440pcs 王4b6
3000571 12/16 2720pcs 华3a24</t>
        </r>
      </text>
    </comment>
    <comment ref="AI616" authorId="0">
      <text>
        <r>
          <rPr>
            <b/>
            <sz val="9"/>
            <rFont val="宋体"/>
            <charset val="134"/>
          </rPr>
          <t>Administrator:</t>
        </r>
        <r>
          <rPr>
            <sz val="9"/>
            <rFont val="宋体"/>
            <charset val="134"/>
          </rPr>
          <t xml:space="preserve">
3000571 12/16 1808pcs 华3</t>
        </r>
      </text>
    </comment>
    <comment ref="AL616" authorId="0">
      <text>
        <r>
          <rPr>
            <b/>
            <sz val="9"/>
            <rFont val="宋体"/>
            <charset val="134"/>
          </rPr>
          <t>Administrator:</t>
        </r>
        <r>
          <rPr>
            <sz val="9"/>
            <rFont val="宋体"/>
            <charset val="134"/>
          </rPr>
          <t xml:space="preserve">
12/1 收藏指南彩色贴纸 1800pcs
12/1 进口商贴纸 1800pcs
12/1 说明书105*140mm 1800pcs
12/11 1彩色贴纸 1808pcs
2彩色贴纸 1808pcs
</t>
        </r>
      </text>
    </comment>
    <comment ref="AI617" authorId="0">
      <text>
        <r>
          <rPr>
            <b/>
            <sz val="9"/>
            <rFont val="宋体"/>
            <charset val="134"/>
          </rPr>
          <t>Administrator:</t>
        </r>
        <r>
          <rPr>
            <sz val="9"/>
            <rFont val="宋体"/>
            <charset val="134"/>
          </rPr>
          <t xml:space="preserve">
3000571 12/16 2800pcs
华3b10</t>
        </r>
      </text>
    </comment>
    <comment ref="AL617" authorId="0">
      <text>
        <r>
          <rPr>
            <b/>
            <sz val="9"/>
            <rFont val="宋体"/>
            <charset val="134"/>
          </rPr>
          <t>Administrator:</t>
        </r>
        <r>
          <rPr>
            <sz val="9"/>
            <rFont val="宋体"/>
            <charset val="134"/>
          </rPr>
          <t xml:space="preserve">
12/1 收藏指南彩色贴纸 2800pcs
12/1 进口商贴纸 2800pcs
12/1 说明书105*140mm 2800pcs
12/11 1彩色贴纸 2800pcs
2彩色贴纸 2800pcs</t>
        </r>
      </text>
    </comment>
    <comment ref="AI618" authorId="0">
      <text>
        <r>
          <rPr>
            <b/>
            <sz val="9"/>
            <rFont val="宋体"/>
            <charset val="134"/>
          </rPr>
          <t>Administrator:</t>
        </r>
        <r>
          <rPr>
            <sz val="9"/>
            <rFont val="宋体"/>
            <charset val="134"/>
          </rPr>
          <t xml:space="preserve">
3000571 12/16 1808pcs
华3b11</t>
        </r>
      </text>
    </comment>
    <comment ref="AL618" authorId="0">
      <text>
        <r>
          <rPr>
            <b/>
            <sz val="9"/>
            <rFont val="宋体"/>
            <charset val="134"/>
          </rPr>
          <t>Administrator:</t>
        </r>
        <r>
          <rPr>
            <sz val="9"/>
            <rFont val="宋体"/>
            <charset val="134"/>
          </rPr>
          <t xml:space="preserve">
12/1 收藏指南彩色贴纸 18098pcs
12/1 进口商贴纸 1808pcs
12/1 说明书105*140mm 1808pcs
12/11 1彩色贴纸 18080pcs
2彩色贴纸 1808pcs
</t>
        </r>
      </text>
    </comment>
    <comment ref="AI619" authorId="0">
      <text>
        <r>
          <rPr>
            <b/>
            <sz val="9"/>
            <rFont val="宋体"/>
            <charset val="134"/>
          </rPr>
          <t>Administrator:</t>
        </r>
        <r>
          <rPr>
            <sz val="9"/>
            <rFont val="宋体"/>
            <charset val="134"/>
          </rPr>
          <t xml:space="preserve">
3000570 12/16 600pcs
王4b8</t>
        </r>
      </text>
    </comment>
    <comment ref="AL619" authorId="0">
      <text>
        <r>
          <rPr>
            <b/>
            <sz val="9"/>
            <rFont val="宋体"/>
            <charset val="134"/>
          </rPr>
          <t>Administrator:</t>
        </r>
        <r>
          <rPr>
            <sz val="9"/>
            <rFont val="宋体"/>
            <charset val="134"/>
          </rPr>
          <t xml:space="preserve">
11/3 上客户款号EAN条码贴纸600pcs
德语警告语贴纸600pcs
WEEE带电池走货说明书600pcs
Kinderherz 2025 Logo贴纸600pcs</t>
        </r>
      </text>
    </comment>
    <comment ref="AI620" authorId="0">
      <text>
        <r>
          <rPr>
            <b/>
            <sz val="9"/>
            <rFont val="宋体"/>
            <charset val="134"/>
          </rPr>
          <t>Administrator:</t>
        </r>
        <r>
          <rPr>
            <sz val="9"/>
            <rFont val="宋体"/>
            <charset val="134"/>
          </rPr>
          <t xml:space="preserve">
3000576 12/18 708pcs 华3b8</t>
        </r>
      </text>
    </comment>
    <comment ref="AL620" authorId="0">
      <text>
        <r>
          <rPr>
            <b/>
            <sz val="9"/>
            <rFont val="宋体"/>
            <charset val="134"/>
          </rPr>
          <t>Administrator:</t>
        </r>
        <r>
          <rPr>
            <sz val="9"/>
            <rFont val="宋体"/>
            <charset val="134"/>
          </rPr>
          <t xml:space="preserve">
11/10 客人白色Cat.label 720PCS
B版通用30L WEEE带电池走货说明书720PCS</t>
        </r>
      </text>
    </comment>
    <comment ref="AI621" authorId="0">
      <text>
        <r>
          <rPr>
            <b/>
            <sz val="9"/>
            <rFont val="宋体"/>
            <charset val="134"/>
          </rPr>
          <t>Administrator:</t>
        </r>
        <r>
          <rPr>
            <sz val="9"/>
            <rFont val="宋体"/>
            <charset val="134"/>
          </rPr>
          <t xml:space="preserve">
3000593 12/23 直走
</t>
        </r>
      </text>
    </comment>
    <comment ref="AL621" authorId="0">
      <text>
        <r>
          <rPr>
            <b/>
            <sz val="9"/>
            <rFont val="宋体"/>
            <charset val="134"/>
          </rPr>
          <t>Administrator:</t>
        </r>
        <r>
          <rPr>
            <sz val="9"/>
            <rFont val="宋体"/>
            <charset val="134"/>
          </rPr>
          <t xml:space="preserve">
12/4 客供外箱贴纸 300pcs
12/5 价格贴纸41*25mm 1200pcs</t>
        </r>
      </text>
    </comment>
    <comment ref="AI622" authorId="0">
      <text>
        <r>
          <rPr>
            <b/>
            <sz val="9"/>
            <rFont val="宋体"/>
            <charset val="134"/>
          </rPr>
          <t>Administrator:</t>
        </r>
        <r>
          <rPr>
            <sz val="9"/>
            <rFont val="宋体"/>
            <charset val="134"/>
          </rPr>
          <t xml:space="preserve">
3000593 12/23 480pcs 华3b8</t>
        </r>
      </text>
    </comment>
    <comment ref="AL622" authorId="0">
      <text>
        <r>
          <rPr>
            <b/>
            <sz val="9"/>
            <rFont val="宋体"/>
            <charset val="134"/>
          </rPr>
          <t>Administrator:</t>
        </r>
        <r>
          <rPr>
            <sz val="9"/>
            <rFont val="宋体"/>
            <charset val="134"/>
          </rPr>
          <t xml:space="preserve">
12/5 Kinderherz 2025  480pcs
德语警告语贴纸 480pcs</t>
        </r>
      </text>
    </comment>
    <comment ref="AI623" authorId="0">
      <text>
        <r>
          <rPr>
            <b/>
            <sz val="9"/>
            <rFont val="宋体"/>
            <charset val="134"/>
          </rPr>
          <t>Administrator:</t>
        </r>
        <r>
          <rPr>
            <sz val="9"/>
            <rFont val="宋体"/>
            <charset val="134"/>
          </rPr>
          <t xml:space="preserve">
3000593 12/23 1520pcs</t>
        </r>
      </text>
    </comment>
    <comment ref="AI624" authorId="0">
      <text>
        <r>
          <rPr>
            <b/>
            <sz val="9"/>
            <rFont val="宋体"/>
            <charset val="134"/>
          </rPr>
          <t>Administrator:</t>
        </r>
        <r>
          <rPr>
            <sz val="9"/>
            <rFont val="宋体"/>
            <charset val="134"/>
          </rPr>
          <t xml:space="preserve">
3000597 12/23 1140pcs华3a26
3000596 12/23 2880pcs 华3a20</t>
        </r>
      </text>
    </comment>
    <comment ref="AL624" authorId="0">
      <text>
        <r>
          <rPr>
            <b/>
            <sz val="9"/>
            <rFont val="宋体"/>
            <charset val="134"/>
          </rPr>
          <t>Administrator:</t>
        </r>
        <r>
          <rPr>
            <sz val="9"/>
            <rFont val="宋体"/>
            <charset val="134"/>
          </rPr>
          <t xml:space="preserve">
12/9 保证书 4320pcs
产品贴纸 4320pcs
包装贴纸 4320pcs
UPC贴纸 4230pcs
说明书贴纸 4320pcs
12/10 外箱贴纸 360pcs</t>
        </r>
      </text>
    </comment>
    <comment ref="AI625" authorId="0">
      <text>
        <r>
          <rPr>
            <b/>
            <sz val="9"/>
            <rFont val="宋体"/>
            <charset val="134"/>
          </rPr>
          <t>Administrator:</t>
        </r>
        <r>
          <rPr>
            <sz val="9"/>
            <rFont val="宋体"/>
            <charset val="134"/>
          </rPr>
          <t xml:space="preserve">
3000601 12/24 9520pcs 华3a29</t>
        </r>
      </text>
    </comment>
    <comment ref="AI626" authorId="0">
      <text>
        <r>
          <rPr>
            <b/>
            <sz val="9"/>
            <rFont val="宋体"/>
            <charset val="134"/>
          </rPr>
          <t>Administrator:</t>
        </r>
        <r>
          <rPr>
            <sz val="9"/>
            <rFont val="宋体"/>
            <charset val="134"/>
          </rPr>
          <t xml:space="preserve">
3000604 12/24 9488pcs 华1f9
3000605 12/25 32pcs王1f9</t>
        </r>
      </text>
    </comment>
    <comment ref="AI627" authorId="0">
      <text>
        <r>
          <rPr>
            <b/>
            <sz val="9"/>
            <rFont val="宋体"/>
            <charset val="134"/>
          </rPr>
          <t>Administrator:</t>
        </r>
        <r>
          <rPr>
            <sz val="9"/>
            <rFont val="宋体"/>
            <charset val="134"/>
          </rPr>
          <t xml:space="preserve">
3000605 12/25 560pcs王4a2</t>
        </r>
      </text>
    </comment>
    <comment ref="AI628" authorId="0">
      <text>
        <r>
          <rPr>
            <b/>
            <sz val="9"/>
            <rFont val="宋体"/>
            <charset val="134"/>
          </rPr>
          <t>Administrator:</t>
        </r>
        <r>
          <rPr>
            <sz val="9"/>
            <rFont val="宋体"/>
            <charset val="134"/>
          </rPr>
          <t xml:space="preserve">
3000598 12/24 3888pcs 华3a19
3000599 12/24 5136pcs 华3a19
3000616 12/26 972pcs
王3a19</t>
        </r>
      </text>
    </comment>
    <comment ref="AI629" authorId="0">
      <text>
        <r>
          <rPr>
            <b/>
            <sz val="9"/>
            <rFont val="宋体"/>
            <charset val="134"/>
          </rPr>
          <t xml:space="preserve">Administrator:
</t>
        </r>
        <r>
          <rPr>
            <sz val="9"/>
            <rFont val="宋体"/>
            <charset val="134"/>
          </rPr>
          <t>3000593 12/23 6000pcs华1f11</t>
        </r>
      </text>
    </comment>
    <comment ref="AL629" authorId="0">
      <text>
        <r>
          <rPr>
            <b/>
            <sz val="9"/>
            <rFont val="宋体"/>
            <charset val="134"/>
          </rPr>
          <t>Administrator:</t>
        </r>
        <r>
          <rPr>
            <sz val="9"/>
            <rFont val="宋体"/>
            <charset val="134"/>
          </rPr>
          <t xml:space="preserve">
10/17 上3C贴纸6000pcs</t>
        </r>
      </text>
    </comment>
    <comment ref="AI630" authorId="0">
      <text>
        <r>
          <rPr>
            <b/>
            <sz val="9"/>
            <rFont val="宋体"/>
            <charset val="134"/>
          </rPr>
          <t>Administrator:</t>
        </r>
        <r>
          <rPr>
            <sz val="9"/>
            <rFont val="宋体"/>
            <charset val="134"/>
          </rPr>
          <t xml:space="preserve">
3000605 12/25 32pcs
王直走
</t>
        </r>
      </text>
    </comment>
    <comment ref="AL630" authorId="0">
      <text>
        <r>
          <rPr>
            <b/>
            <sz val="9"/>
            <rFont val="宋体"/>
            <charset val="134"/>
          </rPr>
          <t>Administrator:</t>
        </r>
        <r>
          <rPr>
            <sz val="9"/>
            <rFont val="宋体"/>
            <charset val="134"/>
          </rPr>
          <t xml:space="preserve">
10/16 上3C贴纸2004pcs</t>
        </r>
      </text>
    </comment>
    <comment ref="AI631" authorId="0">
      <text>
        <r>
          <rPr>
            <b/>
            <sz val="9"/>
            <rFont val="宋体"/>
            <charset val="134"/>
          </rPr>
          <t>Administrator:</t>
        </r>
        <r>
          <rPr>
            <sz val="9"/>
            <rFont val="宋体"/>
            <charset val="134"/>
          </rPr>
          <t xml:space="preserve">
3000597 12/23 1168pcs华3b15
3000599 12/24 32pcs 华3b15</t>
        </r>
      </text>
    </comment>
    <comment ref="AL631" authorId="0">
      <text>
        <r>
          <rPr>
            <b/>
            <sz val="9"/>
            <rFont val="宋体"/>
            <charset val="134"/>
          </rPr>
          <t>Administrator:</t>
        </r>
        <r>
          <rPr>
            <sz val="9"/>
            <rFont val="宋体"/>
            <charset val="134"/>
          </rPr>
          <t xml:space="preserve">
12/5 Kinderherz 2025 1200pcs
德语警告语贴纸 1200pcs</t>
        </r>
      </text>
    </comment>
    <comment ref="AI632" authorId="0">
      <text>
        <r>
          <rPr>
            <b/>
            <sz val="9"/>
            <rFont val="宋体"/>
            <charset val="134"/>
          </rPr>
          <t>Administrator:</t>
        </r>
        <r>
          <rPr>
            <sz val="9"/>
            <rFont val="宋体"/>
            <charset val="134"/>
          </rPr>
          <t xml:space="preserve">
东莞完成</t>
        </r>
      </text>
    </comment>
    <comment ref="AL632" authorId="0">
      <text>
        <r>
          <rPr>
            <b/>
            <sz val="9"/>
            <rFont val="宋体"/>
            <charset val="134"/>
          </rPr>
          <t>Administrator:</t>
        </r>
        <r>
          <rPr>
            <sz val="9"/>
            <rFont val="宋体"/>
            <charset val="134"/>
          </rPr>
          <t xml:space="preserve">
12/12 客户贴纸 30pcs</t>
        </r>
      </text>
    </comment>
    <comment ref="AI633" authorId="0">
      <text>
        <r>
          <rPr>
            <b/>
            <sz val="9"/>
            <rFont val="宋体"/>
            <charset val="134"/>
          </rPr>
          <t>Administrator:</t>
        </r>
        <r>
          <rPr>
            <sz val="9"/>
            <rFont val="宋体"/>
            <charset val="134"/>
          </rPr>
          <t xml:space="preserve">
3000612 12/26 600pcs王4b9</t>
        </r>
      </text>
    </comment>
    <comment ref="AI634" authorId="0">
      <text>
        <r>
          <rPr>
            <b/>
            <sz val="9"/>
            <rFont val="宋体"/>
            <charset val="134"/>
          </rPr>
          <t>Administrator:</t>
        </r>
        <r>
          <rPr>
            <sz val="9"/>
            <rFont val="宋体"/>
            <charset val="134"/>
          </rPr>
          <t xml:space="preserve">
3000621 12/27 5004pcs 王4a4</t>
        </r>
      </text>
    </comment>
    <comment ref="AL634" authorId="0">
      <text>
        <r>
          <rPr>
            <b/>
            <sz val="9"/>
            <rFont val="宋体"/>
            <charset val="134"/>
          </rPr>
          <t>Administrator:</t>
        </r>
        <r>
          <rPr>
            <sz val="9"/>
            <rFont val="宋体"/>
            <charset val="134"/>
          </rPr>
          <t xml:space="preserve">
11/18 上进口商贴纸5004pcs
UPC 贴纸5004pcs
补查货 UPC贴 纸 50pcs 进口商贴纸 50pcs</t>
        </r>
      </text>
    </comment>
    <comment ref="AI635" authorId="0">
      <text>
        <r>
          <rPr>
            <b/>
            <sz val="9"/>
            <rFont val="宋体"/>
            <charset val="134"/>
          </rPr>
          <t>Administrator:</t>
        </r>
        <r>
          <rPr>
            <sz val="9"/>
            <rFont val="宋体"/>
            <charset val="134"/>
          </rPr>
          <t xml:space="preserve">
3000631 12/31 9464pcs</t>
        </r>
      </text>
    </comment>
    <comment ref="AI636" authorId="0">
      <text>
        <r>
          <rPr>
            <b/>
            <sz val="9"/>
            <rFont val="宋体"/>
            <charset val="134"/>
          </rPr>
          <t>Administrator:</t>
        </r>
        <r>
          <rPr>
            <sz val="9"/>
            <rFont val="宋体"/>
            <charset val="134"/>
          </rPr>
          <t xml:space="preserve">
3000593 12/23 156pcs 转</t>
        </r>
      </text>
    </comment>
    <comment ref="AI637" authorId="0">
      <text>
        <r>
          <rPr>
            <b/>
            <sz val="9"/>
            <rFont val="宋体"/>
            <charset val="134"/>
          </rPr>
          <t>Administrator:</t>
        </r>
        <r>
          <rPr>
            <sz val="9"/>
            <rFont val="宋体"/>
            <charset val="134"/>
          </rPr>
          <t xml:space="preserve">
1600090 12/26 708pcs王4a7</t>
        </r>
      </text>
    </comment>
    <comment ref="AI638" authorId="0">
      <text>
        <r>
          <rPr>
            <b/>
            <sz val="9"/>
            <rFont val="宋体"/>
            <charset val="134"/>
          </rPr>
          <t>Administrator:</t>
        </r>
        <r>
          <rPr>
            <sz val="9"/>
            <rFont val="宋体"/>
            <charset val="134"/>
          </rPr>
          <t xml:space="preserve">
1600080 12/26 108
pcs
王4b11600090 12/26 12pcs王4b1</t>
        </r>
      </text>
    </comment>
    <comment ref="AL638" authorId="0">
      <text>
        <r>
          <rPr>
            <b/>
            <sz val="9"/>
            <rFont val="宋体"/>
            <charset val="134"/>
          </rPr>
          <t>Administrator:</t>
        </r>
        <r>
          <rPr>
            <sz val="9"/>
            <rFont val="宋体"/>
            <charset val="134"/>
          </rPr>
          <t xml:space="preserve">
12/10 小警语贴纸 120pcs
大纽扣电池警语贴纸 120pcs
12/11 Kmart外箱贴纸 10pcs
12/15 白色防盗贴纸 120pcs</t>
        </r>
      </text>
    </comment>
    <comment ref="AI639" authorId="0">
      <text>
        <r>
          <rPr>
            <b/>
            <sz val="9"/>
            <rFont val="宋体"/>
            <charset val="134"/>
          </rPr>
          <t>Administrator:</t>
        </r>
        <r>
          <rPr>
            <sz val="9"/>
            <rFont val="宋体"/>
            <charset val="134"/>
          </rPr>
          <t xml:space="preserve">
1600080 12/26 1344pcs
王4b21600090 12/26 36pcs王4</t>
        </r>
      </text>
    </comment>
    <comment ref="AL639" authorId="0">
      <text>
        <r>
          <rPr>
            <b/>
            <sz val="9"/>
            <rFont val="宋体"/>
            <charset val="134"/>
          </rPr>
          <t>Administrator:</t>
        </r>
        <r>
          <rPr>
            <sz val="9"/>
            <rFont val="宋体"/>
            <charset val="134"/>
          </rPr>
          <t xml:space="preserve">
12/10 小警语贴纸 1380pcs
大纽扣电池警语贴纸 1380pcs
12/11 Kmart外箱贴纸 115pcs
12/15 白色防盗贴纸 1380pcs</t>
        </r>
      </text>
    </comment>
    <comment ref="AI640" authorId="0">
      <text>
        <r>
          <rPr>
            <b/>
            <sz val="9"/>
            <rFont val="宋体"/>
            <charset val="134"/>
          </rPr>
          <t>Administrator:</t>
        </r>
        <r>
          <rPr>
            <sz val="9"/>
            <rFont val="宋体"/>
            <charset val="134"/>
          </rPr>
          <t xml:space="preserve">
1600951 1/2 3000pcs
庞fa5区</t>
        </r>
      </text>
    </comment>
    <comment ref="AL640" authorId="0">
      <text>
        <r>
          <rPr>
            <b/>
            <sz val="9"/>
            <rFont val="宋体"/>
            <charset val="134"/>
          </rPr>
          <t>Administrator:</t>
        </r>
        <r>
          <rPr>
            <sz val="9"/>
            <rFont val="宋体"/>
            <charset val="134"/>
          </rPr>
          <t xml:space="preserve">
12/9 进口商贴纸 3000pcs</t>
        </r>
      </text>
    </comment>
    <comment ref="AI641" authorId="0">
      <text>
        <r>
          <rPr>
            <b/>
            <sz val="9"/>
            <rFont val="宋体"/>
            <charset val="134"/>
          </rPr>
          <t>Administrator:</t>
        </r>
        <r>
          <rPr>
            <sz val="9"/>
            <rFont val="宋体"/>
            <charset val="134"/>
          </rPr>
          <t xml:space="preserve">
1600080 12/26 416
pcs
王4b91600090 12/26 16pcs王4b9</t>
        </r>
      </text>
    </comment>
    <comment ref="AI642" authorId="0">
      <text>
        <r>
          <rPr>
            <b/>
            <sz val="9"/>
            <rFont val="宋体"/>
            <charset val="134"/>
          </rPr>
          <t>Administrator:</t>
        </r>
        <r>
          <rPr>
            <sz val="9"/>
            <rFont val="宋体"/>
            <charset val="134"/>
          </rPr>
          <t xml:space="preserve">
1600124 12/24 4480pcs华1f5</t>
        </r>
      </text>
    </comment>
    <comment ref="AL642" authorId="0">
      <text>
        <r>
          <rPr>
            <b/>
            <sz val="9"/>
            <rFont val="宋体"/>
            <charset val="134"/>
          </rPr>
          <t>Administrator:</t>
        </r>
        <r>
          <rPr>
            <sz val="9"/>
            <rFont val="宋体"/>
            <charset val="134"/>
          </rPr>
          <t xml:space="preserve">
11/22上客供RFID贴纸4480pcs</t>
        </r>
      </text>
    </comment>
    <comment ref="AI643" authorId="0">
      <text>
        <r>
          <rPr>
            <b/>
            <sz val="9"/>
            <rFont val="宋体"/>
            <charset val="134"/>
          </rPr>
          <t>Administrator:</t>
        </r>
        <r>
          <rPr>
            <sz val="9"/>
            <rFont val="宋体"/>
            <charset val="134"/>
          </rPr>
          <t xml:space="preserve">
1600124 12/24 2240pcs
华3a28</t>
        </r>
      </text>
    </comment>
    <comment ref="AL643" authorId="0">
      <text>
        <r>
          <rPr>
            <b/>
            <sz val="9"/>
            <rFont val="宋体"/>
            <charset val="134"/>
          </rPr>
          <t>Administrator:</t>
        </r>
        <r>
          <rPr>
            <sz val="9"/>
            <rFont val="宋体"/>
            <charset val="134"/>
          </rPr>
          <t xml:space="preserve">
11/22上客供RFID贴纸2240pcs</t>
        </r>
      </text>
    </comment>
    <comment ref="AI644" authorId="0">
      <text>
        <r>
          <rPr>
            <b/>
            <sz val="9"/>
            <rFont val="宋体"/>
            <charset val="134"/>
          </rPr>
          <t>Administrator:</t>
        </r>
        <r>
          <rPr>
            <sz val="9"/>
            <rFont val="宋体"/>
            <charset val="134"/>
          </rPr>
          <t xml:space="preserve">
3000617 12/27 1920pcs
华1f12
</t>
        </r>
      </text>
    </comment>
    <comment ref="AL644" authorId="0">
      <text>
        <r>
          <rPr>
            <b/>
            <sz val="9"/>
            <rFont val="宋体"/>
            <charset val="134"/>
          </rPr>
          <t>Administrator:</t>
        </r>
        <r>
          <rPr>
            <sz val="9"/>
            <rFont val="宋体"/>
            <charset val="134"/>
          </rPr>
          <t xml:space="preserve">
11/22上客供RFID贴纸1920pcs</t>
        </r>
      </text>
    </comment>
    <comment ref="AI645" authorId="0">
      <text>
        <r>
          <rPr>
            <b/>
            <sz val="9"/>
            <rFont val="宋体"/>
            <charset val="134"/>
          </rPr>
          <t>Administrator:</t>
        </r>
        <r>
          <rPr>
            <sz val="9"/>
            <rFont val="宋体"/>
            <charset val="134"/>
          </rPr>
          <t xml:space="preserve">
1600112 12/27 756pcs王4a7
1600090 12/27 1680pcs 王4a7
1600124 12/27 24pcs 王4a7
 </t>
        </r>
      </text>
    </comment>
    <comment ref="AL645" authorId="0">
      <text>
        <r>
          <rPr>
            <b/>
            <sz val="9"/>
            <rFont val="宋体"/>
            <charset val="134"/>
          </rPr>
          <t>Administrator:</t>
        </r>
        <r>
          <rPr>
            <sz val="9"/>
            <rFont val="宋体"/>
            <charset val="134"/>
          </rPr>
          <t xml:space="preserve">
12/1 亚马逊外箱贴纸4*6 205pcs
12/5 UPC贴纸41*25mm 2460pcs</t>
        </r>
      </text>
    </comment>
    <comment ref="AI646" authorId="0">
      <text>
        <r>
          <rPr>
            <b/>
            <sz val="9"/>
            <rFont val="宋体"/>
            <charset val="134"/>
          </rPr>
          <t>Administrator:</t>
        </r>
        <r>
          <rPr>
            <sz val="9"/>
            <rFont val="宋体"/>
            <charset val="134"/>
          </rPr>
          <t xml:space="preserve">
1600951 1/2 3600pcs 庞fa5区
</t>
        </r>
      </text>
    </comment>
    <comment ref="AL646" authorId="0">
      <text>
        <r>
          <rPr>
            <b/>
            <sz val="9"/>
            <rFont val="宋体"/>
            <charset val="134"/>
          </rPr>
          <t>Administrator:</t>
        </r>
        <r>
          <rPr>
            <sz val="9"/>
            <rFont val="宋体"/>
            <charset val="134"/>
          </rPr>
          <t xml:space="preserve">
12/16 进口商贴纸 3600pcs</t>
        </r>
      </text>
    </comment>
    <comment ref="AI647" authorId="0">
      <text>
        <r>
          <rPr>
            <b/>
            <sz val="9"/>
            <rFont val="宋体"/>
            <charset val="134"/>
          </rPr>
          <t>Administrator:</t>
        </r>
        <r>
          <rPr>
            <sz val="9"/>
            <rFont val="宋体"/>
            <charset val="134"/>
          </rPr>
          <t xml:space="preserve">
1600112 12/27 1782pcs 王4b8
1600124 12/27 18pcs王4b8
 </t>
        </r>
      </text>
    </comment>
    <comment ref="AL647" authorId="0">
      <text>
        <r>
          <rPr>
            <b/>
            <sz val="9"/>
            <rFont val="宋体"/>
            <charset val="134"/>
          </rPr>
          <t>Administrator:</t>
        </r>
        <r>
          <rPr>
            <sz val="9"/>
            <rFont val="宋体"/>
            <charset val="134"/>
          </rPr>
          <t xml:space="preserve">
12/8 进口商贴纸55*60mmm 1200pcs
</t>
        </r>
      </text>
    </comment>
    <comment ref="AI648" authorId="0">
      <text>
        <r>
          <rPr>
            <b/>
            <sz val="9"/>
            <rFont val="宋体"/>
            <charset val="134"/>
          </rPr>
          <t>Administrator:</t>
        </r>
        <r>
          <rPr>
            <sz val="9"/>
            <rFont val="宋体"/>
            <charset val="134"/>
          </rPr>
          <t xml:space="preserve">
1600124 12/24 4280pcs
华3</t>
        </r>
      </text>
    </comment>
    <comment ref="AL648" authorId="0">
      <text>
        <r>
          <rPr>
            <b/>
            <sz val="9"/>
            <rFont val="宋体"/>
            <charset val="134"/>
          </rPr>
          <t>Administrator:</t>
        </r>
        <r>
          <rPr>
            <sz val="9"/>
            <rFont val="宋体"/>
            <charset val="134"/>
          </rPr>
          <t xml:space="preserve">
11/22上客供RFID贴纸1280pcs</t>
        </r>
      </text>
    </comment>
    <comment ref="AI649" authorId="0">
      <text>
        <r>
          <rPr>
            <b/>
            <sz val="9"/>
            <rFont val="宋体"/>
            <charset val="134"/>
          </rPr>
          <t>Administrator:</t>
        </r>
        <r>
          <rPr>
            <sz val="9"/>
            <rFont val="宋体"/>
            <charset val="134"/>
          </rPr>
          <t xml:space="preserve">
1600127 12/27 960pcs 王4b7</t>
        </r>
      </text>
    </comment>
    <comment ref="AL649" authorId="0">
      <text>
        <r>
          <rPr>
            <b/>
            <sz val="9"/>
            <rFont val="宋体"/>
            <charset val="134"/>
          </rPr>
          <t>Administrator:</t>
        </r>
        <r>
          <rPr>
            <sz val="9"/>
            <rFont val="宋体"/>
            <charset val="134"/>
          </rPr>
          <t xml:space="preserve">
12/8 进口商贴纸55*60mmm 960pcs</t>
        </r>
      </text>
    </comment>
    <comment ref="AI650" authorId="0">
      <text>
        <r>
          <rPr>
            <b/>
            <sz val="9"/>
            <rFont val="宋体"/>
            <charset val="134"/>
          </rPr>
          <t>Administrator:</t>
        </r>
        <r>
          <rPr>
            <sz val="9"/>
            <rFont val="宋体"/>
            <charset val="134"/>
          </rPr>
          <t xml:space="preserve">
3000617 12/27 640pcs华1f12</t>
        </r>
      </text>
    </comment>
    <comment ref="AL650" authorId="0">
      <text>
        <r>
          <rPr>
            <b/>
            <sz val="9"/>
            <rFont val="宋体"/>
            <charset val="134"/>
          </rPr>
          <t>Administrator:</t>
        </r>
        <r>
          <rPr>
            <sz val="9"/>
            <rFont val="宋体"/>
            <charset val="134"/>
          </rPr>
          <t xml:space="preserve">
10/17 上客供RFID贴纸640pcs
10/29 客供RFID贴纸 640pcs</t>
        </r>
      </text>
    </comment>
    <comment ref="AI651" authorId="0">
      <text>
        <r>
          <rPr>
            <b/>
            <sz val="9"/>
            <rFont val="宋体"/>
            <charset val="134"/>
          </rPr>
          <t>Administrator:</t>
        </r>
        <r>
          <rPr>
            <sz val="9"/>
            <rFont val="宋体"/>
            <charset val="134"/>
          </rPr>
          <t xml:space="preserve">
1600124 12/24 1920pcs
华3b14</t>
        </r>
      </text>
    </comment>
    <comment ref="AL651" authorId="0">
      <text>
        <r>
          <rPr>
            <b/>
            <sz val="9"/>
            <rFont val="宋体"/>
            <charset val="134"/>
          </rPr>
          <t>Administrator:</t>
        </r>
        <r>
          <rPr>
            <sz val="9"/>
            <rFont val="宋体"/>
            <charset val="134"/>
          </rPr>
          <t xml:space="preserve">
10/29 客供RFID贴纸 1920pcs
</t>
        </r>
      </text>
    </comment>
    <comment ref="AI652" authorId="0">
      <text>
        <r>
          <rPr>
            <b/>
            <sz val="9"/>
            <rFont val="宋体"/>
            <charset val="134"/>
          </rPr>
          <t>Administrator:</t>
        </r>
        <r>
          <rPr>
            <sz val="9"/>
            <rFont val="宋体"/>
            <charset val="134"/>
          </rPr>
          <t xml:space="preserve">
3000617 12/27 960pcs
华1f12
</t>
        </r>
      </text>
    </comment>
    <comment ref="AL652" authorId="0">
      <text>
        <r>
          <rPr>
            <b/>
            <sz val="9"/>
            <rFont val="宋体"/>
            <charset val="134"/>
          </rPr>
          <t>Administrator:</t>
        </r>
        <r>
          <rPr>
            <sz val="9"/>
            <rFont val="宋体"/>
            <charset val="134"/>
          </rPr>
          <t xml:space="preserve">
10/29 客供RFID贴纸 960pcs
</t>
        </r>
      </text>
    </comment>
    <comment ref="AI653" authorId="0">
      <text>
        <r>
          <rPr>
            <b/>
            <sz val="9"/>
            <rFont val="宋体"/>
            <charset val="134"/>
          </rPr>
          <t>Administrator:</t>
        </r>
        <r>
          <rPr>
            <sz val="9"/>
            <rFont val="宋体"/>
            <charset val="134"/>
          </rPr>
          <t xml:space="preserve">
3000625 12/29 1200pcs 华1f11</t>
        </r>
      </text>
    </comment>
    <comment ref="AI654" authorId="0">
      <text>
        <r>
          <rPr>
            <b/>
            <sz val="9"/>
            <rFont val="宋体"/>
            <charset val="134"/>
          </rPr>
          <t>Administrator:</t>
        </r>
        <r>
          <rPr>
            <sz val="9"/>
            <rFont val="宋体"/>
            <charset val="134"/>
          </rPr>
          <t xml:space="preserve">
3000625 12/29 4472pcs
华1f11
3000628 12/30 32pcs
华1f11</t>
        </r>
      </text>
    </comment>
    <comment ref="AI655" authorId="0">
      <text>
        <r>
          <rPr>
            <b/>
            <sz val="9"/>
            <rFont val="宋体"/>
            <charset val="134"/>
          </rPr>
          <t>Administrator:</t>
        </r>
        <r>
          <rPr>
            <sz val="9"/>
            <rFont val="宋体"/>
            <charset val="134"/>
          </rPr>
          <t xml:space="preserve">
3000635 1/4 888pcs 潘3b16</t>
        </r>
      </text>
    </comment>
    <comment ref="AL655" authorId="0">
      <text>
        <r>
          <rPr>
            <b/>
            <sz val="9"/>
            <rFont val="宋体"/>
            <charset val="134"/>
          </rPr>
          <t>Administrator:</t>
        </r>
        <r>
          <rPr>
            <sz val="9"/>
            <rFont val="宋体"/>
            <charset val="134"/>
          </rPr>
          <t xml:space="preserve">
12/18 DC运输贴纸 888pcs
12/22 UPC贴纸 888pcs
12/24 PDQ标识贴 111pcs</t>
        </r>
      </text>
    </comment>
    <comment ref="AI656" authorId="0">
      <text>
        <r>
          <rPr>
            <b/>
            <sz val="9"/>
            <rFont val="宋体"/>
            <charset val="134"/>
          </rPr>
          <t>Administrator:</t>
        </r>
        <r>
          <rPr>
            <sz val="9"/>
            <rFont val="宋体"/>
            <charset val="134"/>
          </rPr>
          <t xml:space="preserve">
3000635 1/4 408pcs
庞3b15</t>
        </r>
      </text>
    </comment>
    <comment ref="AL656" authorId="0">
      <text>
        <r>
          <rPr>
            <b/>
            <sz val="9"/>
            <rFont val="宋体"/>
            <charset val="134"/>
          </rPr>
          <t xml:space="preserve">Administrator
</t>
        </r>
        <r>
          <rPr>
            <sz val="9"/>
            <rFont val="宋体"/>
            <charset val="134"/>
          </rPr>
          <t>12/18 DC运输贴纸 408pcs
12/22 UPC贴纸 
12/24 PDQ标识贴 51pcs</t>
        </r>
      </text>
    </comment>
    <comment ref="AI657" authorId="0">
      <text>
        <r>
          <rPr>
            <b/>
            <sz val="9"/>
            <rFont val="宋体"/>
            <charset val="134"/>
          </rPr>
          <t>Administrator:</t>
        </r>
        <r>
          <rPr>
            <sz val="9"/>
            <rFont val="宋体"/>
            <charset val="134"/>
          </rPr>
          <t xml:space="preserve">
3000635 1/4 752pcs
庞3a31</t>
        </r>
      </text>
    </comment>
    <comment ref="AL657" authorId="0">
      <text>
        <r>
          <rPr>
            <b/>
            <sz val="9"/>
            <rFont val="宋体"/>
            <charset val="134"/>
          </rPr>
          <t>Administrator:</t>
        </r>
        <r>
          <rPr>
            <sz val="9"/>
            <rFont val="宋体"/>
            <charset val="134"/>
          </rPr>
          <t xml:space="preserve">
12/18 DC运输贴纸 752pcs
12/22 UPC贴纸 752pcs
12/24 PDQ标识贴 94pcs</t>
        </r>
      </text>
    </comment>
    <comment ref="AI658" authorId="0">
      <text>
        <r>
          <rPr>
            <b/>
            <sz val="9"/>
            <rFont val="宋体"/>
            <charset val="134"/>
          </rPr>
          <t>Administrator:</t>
        </r>
        <r>
          <rPr>
            <sz val="9"/>
            <rFont val="宋体"/>
            <charset val="134"/>
          </rPr>
          <t xml:space="preserve">
3000630 12/30 2400pcs 华1f7</t>
        </r>
      </text>
    </comment>
    <comment ref="AL658" authorId="0">
      <text>
        <r>
          <rPr>
            <b/>
            <sz val="9"/>
            <rFont val="宋体"/>
            <charset val="134"/>
          </rPr>
          <t>Administrator:</t>
        </r>
        <r>
          <rPr>
            <sz val="9"/>
            <rFont val="宋体"/>
            <charset val="134"/>
          </rPr>
          <t xml:space="preserve">
12/3 款号条码贴纸 2400pcs</t>
        </r>
      </text>
    </comment>
    <comment ref="AI659" authorId="0">
      <text>
        <r>
          <rPr>
            <b/>
            <sz val="9"/>
            <rFont val="宋体"/>
            <charset val="134"/>
          </rPr>
          <t>Administrator:</t>
        </r>
        <r>
          <rPr>
            <sz val="9"/>
            <rFont val="宋体"/>
            <charset val="134"/>
          </rPr>
          <t xml:space="preserve">
3000630 12/30 804pcs
华1f7</t>
        </r>
      </text>
    </comment>
    <comment ref="AL659" authorId="0">
      <text>
        <r>
          <rPr>
            <b/>
            <sz val="9"/>
            <rFont val="宋体"/>
            <charset val="134"/>
          </rPr>
          <t>Administrator:</t>
        </r>
        <r>
          <rPr>
            <sz val="9"/>
            <rFont val="宋体"/>
            <charset val="134"/>
          </rPr>
          <t xml:space="preserve">
12/18 进口商贴纸 804pcs</t>
        </r>
      </text>
    </comment>
    <comment ref="AI660" authorId="0">
      <text>
        <r>
          <rPr>
            <b/>
            <sz val="9"/>
            <rFont val="宋体"/>
            <charset val="134"/>
          </rPr>
          <t>Administrator:</t>
        </r>
        <r>
          <rPr>
            <sz val="9"/>
            <rFont val="宋体"/>
            <charset val="134"/>
          </rPr>
          <t xml:space="preserve">
3000630 12/30 4000pcs 华3f12</t>
        </r>
      </text>
    </comment>
    <comment ref="AL660" authorId="0">
      <text>
        <r>
          <rPr>
            <b/>
            <sz val="9"/>
            <rFont val="宋体"/>
            <charset val="134"/>
          </rPr>
          <t>Administrator:</t>
        </r>
        <r>
          <rPr>
            <sz val="9"/>
            <rFont val="宋体"/>
            <charset val="134"/>
          </rPr>
          <t xml:space="preserve">
12/6 客户EAN 条码贴纸 4000pcs
PDQ数量贴纸 1000pcs</t>
        </r>
      </text>
    </comment>
    <comment ref="AI661" authorId="0">
      <text>
        <r>
          <rPr>
            <b/>
            <sz val="9"/>
            <rFont val="宋体"/>
            <charset val="134"/>
          </rPr>
          <t>Administrator:</t>
        </r>
        <r>
          <rPr>
            <sz val="9"/>
            <rFont val="宋体"/>
            <charset val="134"/>
          </rPr>
          <t xml:space="preserve">
4001697 1/6 3400pcs 庞走货</t>
        </r>
      </text>
    </comment>
    <comment ref="AL661" authorId="0">
      <text>
        <r>
          <rPr>
            <b/>
            <sz val="9"/>
            <rFont val="宋体"/>
            <charset val="134"/>
          </rPr>
          <t>Administrator:</t>
        </r>
        <r>
          <rPr>
            <sz val="9"/>
            <rFont val="宋体"/>
            <charset val="134"/>
          </rPr>
          <t xml:space="preserve">
12/30 可折鋈警语贴纸 3400pcs</t>
        </r>
      </text>
    </comment>
    <comment ref="AI663" authorId="0">
      <text>
        <r>
          <rPr>
            <b/>
            <sz val="9"/>
            <rFont val="宋体"/>
            <charset val="134"/>
          </rPr>
          <t>Administrator:</t>
        </r>
        <r>
          <rPr>
            <sz val="9"/>
            <rFont val="宋体"/>
            <charset val="134"/>
          </rPr>
          <t xml:space="preserve">
4001908 2/3 600pcs庞直走</t>
        </r>
      </text>
    </comment>
    <comment ref="AI665" authorId="0">
      <text>
        <r>
          <rPr>
            <b/>
            <sz val="9"/>
            <rFont val="宋体"/>
            <charset val="134"/>
          </rPr>
          <t>Administrator:</t>
        </r>
        <r>
          <rPr>
            <sz val="9"/>
            <rFont val="宋体"/>
            <charset val="134"/>
          </rPr>
          <t xml:space="preserve">
4001717 1/8 4320pcs 庞1f5
4001712 1/9 680pcs
庞1f11</t>
        </r>
      </text>
    </comment>
    <comment ref="AI666" authorId="0">
      <text>
        <r>
          <rPr>
            <b/>
            <sz val="9"/>
            <rFont val="宋体"/>
            <charset val="134"/>
          </rPr>
          <t>Administrator:</t>
        </r>
        <r>
          <rPr>
            <sz val="9"/>
            <rFont val="宋体"/>
            <charset val="134"/>
          </rPr>
          <t xml:space="preserve">
3000625 12/29 1008pcs 华1f12
4001705 1/12 2988pcs庞1f12</t>
        </r>
      </text>
    </comment>
    <comment ref="AL666" authorId="0">
      <text>
        <r>
          <rPr>
            <b/>
            <sz val="9"/>
            <rFont val="宋体"/>
            <charset val="134"/>
          </rPr>
          <t>Administrator:</t>
        </r>
        <r>
          <rPr>
            <sz val="9"/>
            <rFont val="宋体"/>
            <charset val="134"/>
          </rPr>
          <t xml:space="preserve">
12/16 客版产品条码贴纸 3996pcs</t>
        </r>
      </text>
    </comment>
    <comment ref="AI667" authorId="0">
      <text>
        <r>
          <rPr>
            <b/>
            <sz val="9"/>
            <rFont val="宋体"/>
            <charset val="134"/>
          </rPr>
          <t>Administrator:</t>
        </r>
        <r>
          <rPr>
            <sz val="9"/>
            <rFont val="宋体"/>
            <charset val="134"/>
          </rPr>
          <t xml:space="preserve">
4001703 1/8 1808pcs华3b10</t>
        </r>
      </text>
    </comment>
    <comment ref="AL667" authorId="0">
      <text>
        <r>
          <rPr>
            <b/>
            <sz val="9"/>
            <rFont val="宋体"/>
            <charset val="134"/>
          </rPr>
          <t>Administrator:</t>
        </r>
        <r>
          <rPr>
            <sz val="9"/>
            <rFont val="宋体"/>
            <charset val="134"/>
          </rPr>
          <t xml:space="preserve">
12/8 客供警语贴纸 1866cs
客供电池警告贴纸 1866cs
客供中文警告说明书 1866pcs
</t>
        </r>
      </text>
    </comment>
    <comment ref="AI668" authorId="0">
      <text>
        <r>
          <rPr>
            <b/>
            <sz val="9"/>
            <rFont val="宋体"/>
            <charset val="134"/>
          </rPr>
          <t>Administrator:</t>
        </r>
        <r>
          <rPr>
            <sz val="9"/>
            <rFont val="宋体"/>
            <charset val="134"/>
          </rPr>
          <t xml:space="preserve">
4001728 1/10 720pcs直走</t>
        </r>
      </text>
    </comment>
    <comment ref="AL668" authorId="0">
      <text>
        <r>
          <rPr>
            <b/>
            <sz val="9"/>
            <rFont val="宋体"/>
            <charset val="134"/>
          </rPr>
          <t>Administrator:</t>
        </r>
        <r>
          <rPr>
            <sz val="9"/>
            <rFont val="宋体"/>
            <charset val="134"/>
          </rPr>
          <t xml:space="preserve">
</t>
        </r>
        <r>
          <rPr>
            <sz val="12"/>
            <rFont val="宋体"/>
            <charset val="134"/>
          </rPr>
          <t xml:space="preserve">12/8 客供电池警语贴纸 1488pcs
客供警语贴 1490pcs
客供中文警告说明书 250pcs
</t>
        </r>
      </text>
    </comment>
    <comment ref="AI669" authorId="0">
      <text>
        <r>
          <rPr>
            <b/>
            <sz val="9"/>
            <rFont val="宋体"/>
            <charset val="134"/>
          </rPr>
          <t>Administrator:</t>
        </r>
        <r>
          <rPr>
            <sz val="9"/>
            <rFont val="宋体"/>
            <charset val="134"/>
          </rPr>
          <t xml:space="preserve">
1601083 1/10 10400pcs 王4c7</t>
        </r>
      </text>
    </comment>
    <comment ref="AI670" authorId="0">
      <text>
        <r>
          <rPr>
            <b/>
            <sz val="9"/>
            <rFont val="宋体"/>
            <charset val="134"/>
          </rPr>
          <t>Administrator:</t>
        </r>
        <r>
          <rPr>
            <sz val="9"/>
            <rFont val="宋体"/>
            <charset val="134"/>
          </rPr>
          <t xml:space="preserve">
4001722 1/9 492pcs 王4c5
4001725 1/9 12pcs
庞b栋</t>
        </r>
      </text>
    </comment>
    <comment ref="AI671" authorId="0">
      <text>
        <r>
          <rPr>
            <b/>
            <sz val="9"/>
            <rFont val="宋体"/>
            <charset val="134"/>
          </rPr>
          <t>Administrator:</t>
        </r>
        <r>
          <rPr>
            <sz val="9"/>
            <rFont val="宋体"/>
            <charset val="134"/>
          </rPr>
          <t xml:space="preserve">
3000635 1/4 1128pcs
庞1f3</t>
        </r>
      </text>
    </comment>
    <comment ref="AL671" authorId="0">
      <text>
        <r>
          <rPr>
            <b/>
            <sz val="9"/>
            <rFont val="宋体"/>
            <charset val="134"/>
          </rPr>
          <t>Administrator:</t>
        </r>
        <r>
          <rPr>
            <sz val="9"/>
            <rFont val="宋体"/>
            <charset val="134"/>
          </rPr>
          <t xml:space="preserve">
11/22 上客供NJ外箱贴纸94pcs
通用客供外箱贴纸94pcs
12/25 价格贴纸 1128pcs</t>
        </r>
      </text>
    </comment>
    <comment ref="AI672" authorId="0">
      <text>
        <r>
          <rPr>
            <b/>
            <sz val="9"/>
            <rFont val="宋体"/>
            <charset val="134"/>
          </rPr>
          <t>Administrator:</t>
        </r>
        <r>
          <rPr>
            <sz val="9"/>
            <rFont val="宋体"/>
            <charset val="134"/>
          </rPr>
          <t xml:space="preserve">
3000635 1/4 384pcs
庞1f3
</t>
        </r>
      </text>
    </comment>
    <comment ref="AL672" authorId="0">
      <text>
        <r>
          <rPr>
            <b/>
            <sz val="9"/>
            <rFont val="宋体"/>
            <charset val="134"/>
          </rPr>
          <t>Administrator:</t>
        </r>
        <r>
          <rPr>
            <sz val="9"/>
            <rFont val="宋体"/>
            <charset val="134"/>
          </rPr>
          <t xml:space="preserve">
11/22 上客供NV外箱贴纸32pcs
通用客供外箱贴纸32pcs
12/25 价格贴纸 384pcs
</t>
        </r>
      </text>
    </comment>
    <comment ref="AI673" authorId="0">
      <text>
        <r>
          <rPr>
            <b/>
            <sz val="9"/>
            <rFont val="宋体"/>
            <charset val="134"/>
          </rPr>
          <t>Administrator:</t>
        </r>
        <r>
          <rPr>
            <sz val="9"/>
            <rFont val="宋体"/>
            <charset val="134"/>
          </rPr>
          <t xml:space="preserve">
4001722 1/9 132pcs王4a9</t>
        </r>
      </text>
    </comment>
    <comment ref="AL673" authorId="0">
      <text>
        <r>
          <rPr>
            <b/>
            <sz val="9"/>
            <rFont val="宋体"/>
            <charset val="134"/>
          </rPr>
          <t>Administrator:</t>
        </r>
        <r>
          <rPr>
            <sz val="9"/>
            <rFont val="宋体"/>
            <charset val="134"/>
          </rPr>
          <t xml:space="preserve">
12/23 客供价格贴纸 746pcs
</t>
        </r>
      </text>
    </comment>
    <comment ref="AI674" authorId="0">
      <text>
        <r>
          <rPr>
            <b/>
            <sz val="9"/>
            <rFont val="宋体"/>
            <charset val="134"/>
          </rPr>
          <t>Administrator:</t>
        </r>
        <r>
          <rPr>
            <sz val="9"/>
            <rFont val="宋体"/>
            <charset val="134"/>
          </rPr>
          <t xml:space="preserve">
4001722 1/9 132pcs
王4b9</t>
        </r>
      </text>
    </comment>
    <comment ref="AL674" authorId="0">
      <text>
        <r>
          <rPr>
            <b/>
            <sz val="9"/>
            <rFont val="宋体"/>
            <charset val="134"/>
          </rPr>
          <t>Administrator:</t>
        </r>
        <r>
          <rPr>
            <sz val="9"/>
            <rFont val="宋体"/>
            <charset val="134"/>
          </rPr>
          <t xml:space="preserve">
12/23 客供价格贴纸 746pcs</t>
        </r>
      </text>
    </comment>
    <comment ref="AI675" authorId="0">
      <text>
        <r>
          <rPr>
            <b/>
            <sz val="9"/>
            <rFont val="宋体"/>
            <charset val="134"/>
          </rPr>
          <t>Administrator:</t>
        </r>
        <r>
          <rPr>
            <sz val="9"/>
            <rFont val="宋体"/>
            <charset val="134"/>
          </rPr>
          <t xml:space="preserve">
4001722 1/9 720pcs
王4b4</t>
        </r>
      </text>
    </comment>
    <comment ref="AI676" authorId="0">
      <text>
        <r>
          <rPr>
            <b/>
            <sz val="9"/>
            <rFont val="宋体"/>
            <charset val="134"/>
          </rPr>
          <t>Administrator:</t>
        </r>
        <r>
          <rPr>
            <sz val="9"/>
            <rFont val="宋体"/>
            <charset val="134"/>
          </rPr>
          <t xml:space="preserve">
4001722 1/9 180pcs
王4c5</t>
        </r>
      </text>
    </comment>
    <comment ref="AI677" authorId="0">
      <text>
        <r>
          <rPr>
            <b/>
            <sz val="9"/>
            <rFont val="宋体"/>
            <charset val="134"/>
          </rPr>
          <t>Administrator:</t>
        </r>
        <r>
          <rPr>
            <sz val="9"/>
            <rFont val="宋体"/>
            <charset val="134"/>
          </rPr>
          <t xml:space="preserve">
4001722 1/9 708pcs王4b4
4001725 1/9 12pcs
庞b栋</t>
        </r>
      </text>
    </comment>
    <comment ref="AI678" authorId="0">
      <text>
        <r>
          <rPr>
            <b/>
            <sz val="9"/>
            <rFont val="宋体"/>
            <charset val="134"/>
          </rPr>
          <t>Administrator:</t>
        </r>
        <r>
          <rPr>
            <sz val="9"/>
            <rFont val="宋体"/>
            <charset val="134"/>
          </rPr>
          <t xml:space="preserve">
4001722 1/9 180pcs王4b9</t>
        </r>
      </text>
    </comment>
    <comment ref="AI679" authorId="0">
      <text>
        <r>
          <rPr>
            <b/>
            <sz val="9"/>
            <rFont val="宋体"/>
            <charset val="134"/>
          </rPr>
          <t>Administrator:</t>
        </r>
        <r>
          <rPr>
            <sz val="9"/>
            <rFont val="宋体"/>
            <charset val="134"/>
          </rPr>
          <t xml:space="preserve">
4001694 1/5 1560pcs庞1a9</t>
        </r>
      </text>
    </comment>
    <comment ref="AL679" authorId="0">
      <text>
        <r>
          <rPr>
            <b/>
            <sz val="9"/>
            <rFont val="宋体"/>
            <charset val="134"/>
          </rPr>
          <t>Administrator:</t>
        </r>
        <r>
          <rPr>
            <sz val="9"/>
            <rFont val="宋体"/>
            <charset val="134"/>
          </rPr>
          <t xml:space="preserve">
12/15 进口商贴纸 1560pcs
12/15 UPC贴纸 1560pcs</t>
        </r>
      </text>
    </comment>
    <comment ref="AI680" authorId="0">
      <text>
        <r>
          <rPr>
            <b/>
            <sz val="9"/>
            <rFont val="宋体"/>
            <charset val="134"/>
          </rPr>
          <t>Administrator:</t>
        </r>
        <r>
          <rPr>
            <sz val="9"/>
            <rFont val="宋体"/>
            <charset val="134"/>
          </rPr>
          <t xml:space="preserve">
3000631 12/31 336
pcs
庞3a31</t>
        </r>
      </text>
    </comment>
    <comment ref="AL680" authorId="0">
      <text>
        <r>
          <rPr>
            <b/>
            <sz val="9"/>
            <rFont val="宋体"/>
            <charset val="134"/>
          </rPr>
          <t>Administrator:</t>
        </r>
        <r>
          <rPr>
            <sz val="9"/>
            <rFont val="宋体"/>
            <charset val="134"/>
          </rPr>
          <t xml:space="preserve">
12/5 警语贴纸4.5*7mm 336pcs</t>
        </r>
      </text>
    </comment>
    <comment ref="AI681" authorId="0">
      <text>
        <r>
          <rPr>
            <b/>
            <sz val="9"/>
            <rFont val="宋体"/>
            <charset val="134"/>
          </rPr>
          <t>Administrator:</t>
        </r>
        <r>
          <rPr>
            <sz val="9"/>
            <rFont val="宋体"/>
            <charset val="134"/>
          </rPr>
          <t xml:space="preserve">
4001725 1/9 2160pcs庞1f3
4001704 1/12 240pcs庞1f3</t>
        </r>
      </text>
    </comment>
    <comment ref="AL681" authorId="0">
      <text>
        <r>
          <rPr>
            <b/>
            <sz val="9"/>
            <rFont val="宋体"/>
            <charset val="134"/>
          </rPr>
          <t>Administrator:</t>
        </r>
        <r>
          <rPr>
            <sz val="9"/>
            <rFont val="宋体"/>
            <charset val="134"/>
          </rPr>
          <t xml:space="preserve">
12/25 获奖贴纸 2400pcs
12/30 可折叠警语贴纸 2400pcs</t>
        </r>
      </text>
    </comment>
    <comment ref="AI682" authorId="0">
      <text>
        <r>
          <rPr>
            <b/>
            <sz val="9"/>
            <rFont val="宋体"/>
            <charset val="134"/>
          </rPr>
          <t>Administrator:</t>
        </r>
        <r>
          <rPr>
            <sz val="9"/>
            <rFont val="宋体"/>
            <charset val="134"/>
          </rPr>
          <t xml:space="preserve">
3000625 12/29 2000pcs 华1f9</t>
        </r>
      </text>
    </comment>
    <comment ref="AI683" authorId="0">
      <text>
        <r>
          <rPr>
            <b/>
            <sz val="9"/>
            <rFont val="宋体"/>
            <charset val="134"/>
          </rPr>
          <t>Administrator:</t>
        </r>
        <r>
          <rPr>
            <sz val="9"/>
            <rFont val="宋体"/>
            <charset val="134"/>
          </rPr>
          <t xml:space="preserve">
3000625 12/29 504pcs
华1f12</t>
        </r>
      </text>
    </comment>
    <comment ref="AI684" authorId="0">
      <text>
        <r>
          <rPr>
            <b/>
            <sz val="9"/>
            <rFont val="宋体"/>
            <charset val="134"/>
          </rPr>
          <t>Administrator:</t>
        </r>
        <r>
          <rPr>
            <sz val="9"/>
            <rFont val="宋体"/>
            <charset val="134"/>
          </rPr>
          <t xml:space="preserve">
4001704 1/12 3000pcs王4c6</t>
        </r>
      </text>
    </comment>
    <comment ref="AL684" authorId="0">
      <text>
        <r>
          <rPr>
            <b/>
            <sz val="9"/>
            <rFont val="宋体"/>
            <charset val="134"/>
          </rPr>
          <t>Administrator:</t>
        </r>
        <r>
          <rPr>
            <sz val="9"/>
            <rFont val="宋体"/>
            <charset val="134"/>
          </rPr>
          <t xml:space="preserve">
12/15 客供价格贴纸 3150pcs</t>
        </r>
      </text>
    </comment>
    <comment ref="AI685" authorId="0">
      <text>
        <r>
          <rPr>
            <b/>
            <sz val="9"/>
            <rFont val="宋体"/>
            <charset val="134"/>
          </rPr>
          <t>Administrator:</t>
        </r>
        <r>
          <rPr>
            <sz val="9"/>
            <rFont val="宋体"/>
            <charset val="134"/>
          </rPr>
          <t xml:space="preserve">
4001704 1/12 1600pcs
王4c6
</t>
        </r>
      </text>
    </comment>
    <comment ref="AL685" authorId="0">
      <text>
        <r>
          <rPr>
            <b/>
            <sz val="9"/>
            <rFont val="宋体"/>
            <charset val="134"/>
          </rPr>
          <t>Administrator:</t>
        </r>
        <r>
          <rPr>
            <sz val="9"/>
            <rFont val="宋体"/>
            <charset val="134"/>
          </rPr>
          <t xml:space="preserve">
12/15 客供价格贴纸 1680pcs
</t>
        </r>
      </text>
    </comment>
    <comment ref="AI686" authorId="0">
      <text>
        <r>
          <rPr>
            <b/>
            <sz val="9"/>
            <rFont val="宋体"/>
            <charset val="134"/>
          </rPr>
          <t>Administrator:</t>
        </r>
        <r>
          <rPr>
            <sz val="9"/>
            <rFont val="宋体"/>
            <charset val="134"/>
          </rPr>
          <t xml:space="preserve">
1601083 1/10 7280pcs
王4b6
1601071 1/10 2000pcs王4b6
	</t>
        </r>
      </text>
    </comment>
    <comment ref="AL686" authorId="0">
      <text>
        <r>
          <rPr>
            <b/>
            <sz val="9"/>
            <rFont val="宋体"/>
            <charset val="134"/>
          </rPr>
          <t>Administrator:</t>
        </r>
        <r>
          <rPr>
            <sz val="9"/>
            <rFont val="宋体"/>
            <charset val="134"/>
          </rPr>
          <t xml:space="preserve">
12/16 客供RFID贴纸 9280pcs</t>
        </r>
      </text>
    </comment>
    <comment ref="AI687" authorId="0">
      <text>
        <r>
          <rPr>
            <b/>
            <sz val="9"/>
            <rFont val="宋体"/>
            <charset val="134"/>
          </rPr>
          <t>Administrator:</t>
        </r>
        <r>
          <rPr>
            <sz val="9"/>
            <rFont val="宋体"/>
            <charset val="134"/>
          </rPr>
          <t xml:space="preserve">
1601078 1/12 4160pcs庞1f9</t>
        </r>
      </text>
    </comment>
    <comment ref="AL687" authorId="0">
      <text>
        <r>
          <rPr>
            <b/>
            <sz val="9"/>
            <rFont val="宋体"/>
            <charset val="134"/>
          </rPr>
          <t>Administrator:</t>
        </r>
        <r>
          <rPr>
            <sz val="9"/>
            <rFont val="宋体"/>
            <charset val="134"/>
          </rPr>
          <t xml:space="preserve">
12/16 客供RFID贴纸 94160pcs
</t>
        </r>
      </text>
    </comment>
    <comment ref="AI688" authorId="0">
      <text>
        <r>
          <rPr>
            <b/>
            <sz val="9"/>
            <rFont val="宋体"/>
            <charset val="134"/>
          </rPr>
          <t>Administrator:</t>
        </r>
        <r>
          <rPr>
            <sz val="9"/>
            <rFont val="宋体"/>
            <charset val="134"/>
          </rPr>
          <t xml:space="preserve">
1601078 1/12 5760pcs
庞1f7</t>
        </r>
      </text>
    </comment>
    <comment ref="AL688" authorId="0">
      <text>
        <r>
          <rPr>
            <b/>
            <sz val="9"/>
            <rFont val="宋体"/>
            <charset val="134"/>
          </rPr>
          <t>Administrator:</t>
        </r>
        <r>
          <rPr>
            <sz val="9"/>
            <rFont val="宋体"/>
            <charset val="134"/>
          </rPr>
          <t xml:space="preserve">
12/16 客供RFID贴纸 5760pcs
</t>
        </r>
      </text>
    </comment>
    <comment ref="AI689" authorId="0">
      <text>
        <r>
          <rPr>
            <b/>
            <sz val="9"/>
            <rFont val="宋体"/>
            <charset val="134"/>
          </rPr>
          <t>Administrator:</t>
        </r>
        <r>
          <rPr>
            <sz val="9"/>
            <rFont val="宋体"/>
            <charset val="134"/>
          </rPr>
          <t xml:space="preserve">
4001725 1/9 10240pcs庞3a22</t>
        </r>
      </text>
    </comment>
    <comment ref="AL689" authorId="0">
      <text>
        <r>
          <rPr>
            <b/>
            <sz val="9"/>
            <rFont val="宋体"/>
            <charset val="134"/>
          </rPr>
          <t>Administrator:</t>
        </r>
        <r>
          <rPr>
            <sz val="9"/>
            <rFont val="宋体"/>
            <charset val="134"/>
          </rPr>
          <t xml:space="preserve">
12/16 客供RFID贴纸 10240pcs
</t>
        </r>
      </text>
    </comment>
    <comment ref="AI690" authorId="0">
      <text>
        <r>
          <rPr>
            <b/>
            <sz val="9"/>
            <rFont val="宋体"/>
            <charset val="134"/>
          </rPr>
          <t>Administrator:</t>
        </r>
        <r>
          <rPr>
            <sz val="9"/>
            <rFont val="宋体"/>
            <charset val="134"/>
          </rPr>
          <t xml:space="preserve">
4001725 1/9 3200pcs
庞3f9</t>
        </r>
      </text>
    </comment>
    <comment ref="AL690" authorId="0">
      <text>
        <r>
          <rPr>
            <b/>
            <sz val="9"/>
            <rFont val="宋体"/>
            <charset val="134"/>
          </rPr>
          <t>Administrator:</t>
        </r>
        <r>
          <rPr>
            <sz val="9"/>
            <rFont val="宋体"/>
            <charset val="134"/>
          </rPr>
          <t xml:space="preserve">
12/16 客供RFID贴纸 3200pcs
</t>
        </r>
      </text>
    </comment>
    <comment ref="AI691" authorId="0">
      <text>
        <r>
          <rPr>
            <b/>
            <sz val="9"/>
            <rFont val="宋体"/>
            <charset val="134"/>
          </rPr>
          <t>Administrator:</t>
        </r>
        <r>
          <rPr>
            <sz val="9"/>
            <rFont val="宋体"/>
            <charset val="134"/>
          </rPr>
          <t xml:space="preserve">
4001694 1/5 208pcs 庞3a31</t>
        </r>
      </text>
    </comment>
    <comment ref="AI692" authorId="0">
      <text>
        <r>
          <rPr>
            <b/>
            <sz val="9"/>
            <rFont val="宋体"/>
            <charset val="134"/>
          </rPr>
          <t>Administrator:</t>
        </r>
        <r>
          <rPr>
            <sz val="9"/>
            <rFont val="宋体"/>
            <charset val="134"/>
          </rPr>
          <t xml:space="preserve">
3000596 12/23 320pcs 华3b13</t>
        </r>
      </text>
    </comment>
    <comment ref="AI693" authorId="0">
      <text>
        <r>
          <rPr>
            <b/>
            <sz val="9"/>
            <rFont val="宋体"/>
            <charset val="134"/>
          </rPr>
          <t>Administrator:</t>
        </r>
        <r>
          <rPr>
            <sz val="9"/>
            <rFont val="宋体"/>
            <charset val="134"/>
          </rPr>
          <t xml:space="preserve">
4001717 1/8 2880pcs庞3a24
4001712 1/9 6120pcs
庞3a24</t>
        </r>
      </text>
    </comment>
    <comment ref="AI694" authorId="0">
      <text>
        <r>
          <rPr>
            <b/>
            <sz val="9"/>
            <rFont val="宋体"/>
            <charset val="134"/>
          </rPr>
          <t>Administrator:</t>
        </r>
        <r>
          <rPr>
            <sz val="9"/>
            <rFont val="宋体"/>
            <charset val="134"/>
          </rPr>
          <t xml:space="preserve">
4001703 1/8 1256pcs华3b16</t>
        </r>
      </text>
    </comment>
    <comment ref="AI695" authorId="0">
      <text>
        <r>
          <rPr>
            <b/>
            <sz val="9"/>
            <rFont val="宋体"/>
            <charset val="134"/>
          </rPr>
          <t>Administrator:</t>
        </r>
        <r>
          <rPr>
            <sz val="9"/>
            <rFont val="宋体"/>
            <charset val="134"/>
          </rPr>
          <t xml:space="preserve">
4001712 1/9 1200pcs庞3b10</t>
        </r>
      </text>
    </comment>
    <comment ref="AL695" authorId="0">
      <text>
        <r>
          <rPr>
            <b/>
            <sz val="9"/>
            <rFont val="宋体"/>
            <charset val="134"/>
          </rPr>
          <t>Administrator:</t>
        </r>
        <r>
          <rPr>
            <sz val="9"/>
            <rFont val="宋体"/>
            <charset val="134"/>
          </rPr>
          <t xml:space="preserve">
12/30 可折叠警语贴纸 12000pcs</t>
        </r>
      </text>
    </comment>
    <comment ref="AI696" authorId="0">
      <text>
        <r>
          <rPr>
            <b/>
            <sz val="9"/>
            <rFont val="宋体"/>
            <charset val="134"/>
          </rPr>
          <t>Administrator:</t>
        </r>
        <r>
          <rPr>
            <sz val="9"/>
            <rFont val="宋体"/>
            <charset val="134"/>
          </rPr>
          <t xml:space="preserve">
4001716 1/14 660pcs直走
</t>
        </r>
      </text>
    </comment>
    <comment ref="AI697" authorId="0">
      <text>
        <r>
          <rPr>
            <b/>
            <sz val="9"/>
            <rFont val="宋体"/>
            <charset val="134"/>
          </rPr>
          <t>Administrator:</t>
        </r>
        <r>
          <rPr>
            <sz val="9"/>
            <rFont val="宋体"/>
            <charset val="134"/>
          </rPr>
          <t xml:space="preserve">
4001716 1/14 96pcs
直走</t>
        </r>
      </text>
    </comment>
    <comment ref="AL697" authorId="0">
      <text>
        <r>
          <rPr>
            <b/>
            <sz val="9"/>
            <rFont val="宋体"/>
            <charset val="134"/>
          </rPr>
          <t>Administrator:</t>
        </r>
        <r>
          <rPr>
            <sz val="9"/>
            <rFont val="宋体"/>
            <charset val="134"/>
          </rPr>
          <t xml:space="preserve">
11/4 上3C贴纸960ｐｃｓ
11/18 上客供防窜码贴纸960pcs1拖6
</t>
        </r>
      </text>
    </comment>
    <comment ref="AI698" authorId="0">
      <text>
        <r>
          <rPr>
            <b/>
            <sz val="9"/>
            <rFont val="宋体"/>
            <charset val="134"/>
          </rPr>
          <t>Administrator:</t>
        </r>
        <r>
          <rPr>
            <sz val="9"/>
            <rFont val="宋体"/>
            <charset val="134"/>
          </rPr>
          <t xml:space="preserve">
4001716 1/14 3660pcs
直走
</t>
        </r>
      </text>
    </comment>
    <comment ref="AL698" authorId="0">
      <text>
        <r>
          <rPr>
            <b/>
            <sz val="9"/>
            <rFont val="宋体"/>
            <charset val="134"/>
          </rPr>
          <t>Administrator:</t>
        </r>
        <r>
          <rPr>
            <sz val="9"/>
            <rFont val="宋体"/>
            <charset val="134"/>
          </rPr>
          <t xml:space="preserve">
11/4 上3C贴纸3600ｐｃｓ
11/18 上客供防窜码贴纸3600pcs1拖6</t>
        </r>
      </text>
    </comment>
    <comment ref="AI699" authorId="0">
      <text>
        <r>
          <rPr>
            <b/>
            <sz val="9"/>
            <rFont val="宋体"/>
            <charset val="134"/>
          </rPr>
          <t>Administrator:</t>
        </r>
        <r>
          <rPr>
            <sz val="9"/>
            <rFont val="宋体"/>
            <charset val="134"/>
          </rPr>
          <t xml:space="preserve">
4001721 1/9 1092pcs庞3b10</t>
        </r>
      </text>
    </comment>
    <comment ref="AL699" authorId="0">
      <text>
        <r>
          <rPr>
            <b/>
            <sz val="9"/>
            <rFont val="宋体"/>
            <charset val="134"/>
          </rPr>
          <t>Administrator:</t>
        </r>
        <r>
          <rPr>
            <sz val="9"/>
            <rFont val="宋体"/>
            <charset val="134"/>
          </rPr>
          <t xml:space="preserve">
12/6 EAN条码贴纸 1092pcs
12/8 进口商贴纸77*52mm 1092pcs
12/16 EAN条码贴纸 1092pcs</t>
        </r>
      </text>
    </comment>
    <comment ref="AI700" authorId="0">
      <text>
        <r>
          <rPr>
            <b/>
            <sz val="9"/>
            <rFont val="宋体"/>
            <charset val="134"/>
          </rPr>
          <t>Administrator:</t>
        </r>
        <r>
          <rPr>
            <sz val="9"/>
            <rFont val="宋体"/>
            <charset val="134"/>
          </rPr>
          <t xml:space="preserve">
4001716 1/14 1860pcs
直走
</t>
        </r>
      </text>
    </comment>
    <comment ref="AI701" authorId="0">
      <text>
        <r>
          <rPr>
            <b/>
            <sz val="9"/>
            <rFont val="宋体"/>
            <charset val="134"/>
          </rPr>
          <t>Administrator:</t>
        </r>
        <r>
          <rPr>
            <sz val="9"/>
            <rFont val="宋体"/>
            <charset val="134"/>
          </rPr>
          <t xml:space="preserve">
4001694 1/5 608pcs 庞1f9</t>
        </r>
      </text>
    </comment>
    <comment ref="AL701" authorId="0">
      <text>
        <r>
          <rPr>
            <b/>
            <sz val="9"/>
            <rFont val="宋体"/>
            <charset val="134"/>
          </rPr>
          <t>Administrator:</t>
        </r>
        <r>
          <rPr>
            <sz val="9"/>
            <rFont val="宋体"/>
            <charset val="134"/>
          </rPr>
          <t xml:space="preserve">
12/26 进口商贴纸 608pcs</t>
        </r>
      </text>
    </comment>
    <comment ref="AI702" authorId="0">
      <text>
        <r>
          <rPr>
            <b/>
            <sz val="9"/>
            <rFont val="宋体"/>
            <charset val="134"/>
          </rPr>
          <t>Administrator:</t>
        </r>
        <r>
          <rPr>
            <sz val="9"/>
            <rFont val="宋体"/>
            <charset val="134"/>
          </rPr>
          <t xml:space="preserve">
4001716 1/14 1200pcs
直走
</t>
        </r>
      </text>
    </comment>
    <comment ref="AI703" authorId="0">
      <text>
        <r>
          <rPr>
            <b/>
            <sz val="9"/>
            <rFont val="宋体"/>
            <charset val="134"/>
          </rPr>
          <t>Administrator:</t>
        </r>
        <r>
          <rPr>
            <sz val="9"/>
            <rFont val="宋体"/>
            <charset val="134"/>
          </rPr>
          <t xml:space="preserve">
4001694 1/5 960pcs 庞1f9
</t>
        </r>
      </text>
    </comment>
    <comment ref="AL703" authorId="0">
      <text>
        <r>
          <rPr>
            <b/>
            <sz val="9"/>
            <rFont val="宋体"/>
            <charset val="134"/>
          </rPr>
          <t>Administrator:</t>
        </r>
        <r>
          <rPr>
            <sz val="9"/>
            <rFont val="宋体"/>
            <charset val="134"/>
          </rPr>
          <t xml:space="preserve">
12/18 UPC条码贴纸 960pcs
进口商贴纸 960pcs
</t>
        </r>
      </text>
    </comment>
    <comment ref="AI704" authorId="0">
      <text>
        <r>
          <rPr>
            <b/>
            <sz val="9"/>
            <rFont val="宋体"/>
            <charset val="134"/>
          </rPr>
          <t>Administrator:</t>
        </r>
        <r>
          <rPr>
            <sz val="9"/>
            <rFont val="宋体"/>
            <charset val="134"/>
          </rPr>
          <t xml:space="preserve">
4001694 1/5 720pcs 庞1f9
</t>
        </r>
      </text>
    </comment>
    <comment ref="AL704" authorId="0">
      <text>
        <r>
          <rPr>
            <b/>
            <sz val="9"/>
            <rFont val="宋体"/>
            <charset val="134"/>
          </rPr>
          <t>Administrator:</t>
        </r>
        <r>
          <rPr>
            <sz val="9"/>
            <rFont val="宋体"/>
            <charset val="134"/>
          </rPr>
          <t xml:space="preserve">
12/10 UPC贴纸 720pcs
</t>
        </r>
      </text>
    </comment>
    <comment ref="AI705" authorId="0">
      <text>
        <r>
          <rPr>
            <b/>
            <sz val="9"/>
            <rFont val="宋体"/>
            <charset val="134"/>
          </rPr>
          <t>Administrator:</t>
        </r>
        <r>
          <rPr>
            <sz val="9"/>
            <rFont val="宋体"/>
            <charset val="134"/>
          </rPr>
          <t xml:space="preserve">
4001703 1/8 10080pcs华1f12
4001717 1/8 4320pcs庞1f7
4001712 1/9 600pcs
庞1f9</t>
        </r>
      </text>
    </comment>
    <comment ref="AI706" authorId="0">
      <text>
        <r>
          <rPr>
            <b/>
            <sz val="9"/>
            <rFont val="宋体"/>
            <charset val="134"/>
          </rPr>
          <t>Administrator:</t>
        </r>
        <r>
          <rPr>
            <sz val="9"/>
            <rFont val="宋体"/>
            <charset val="134"/>
          </rPr>
          <t xml:space="preserve">
4001719 1/9 960pcs王4b5</t>
        </r>
      </text>
    </comment>
    <comment ref="AI707" authorId="0">
      <text>
        <r>
          <rPr>
            <b/>
            <sz val="9"/>
            <rFont val="宋体"/>
            <charset val="134"/>
          </rPr>
          <t>Administrator:</t>
        </r>
        <r>
          <rPr>
            <sz val="9"/>
            <rFont val="宋体"/>
            <charset val="134"/>
          </rPr>
          <t xml:space="preserve">
4001716 1/14 360pcs王4a9</t>
        </r>
      </text>
    </comment>
    <comment ref="AI708" authorId="0">
      <text>
        <r>
          <rPr>
            <b/>
            <sz val="9"/>
            <rFont val="宋体"/>
            <charset val="134"/>
          </rPr>
          <t>Administrator:</t>
        </r>
        <r>
          <rPr>
            <sz val="9"/>
            <rFont val="宋体"/>
            <charset val="134"/>
          </rPr>
          <t xml:space="preserve">
4001758 1/14 1200pcs
庞1f9</t>
        </r>
      </text>
    </comment>
    <comment ref="AL708" authorId="0">
      <text>
        <r>
          <rPr>
            <b/>
            <sz val="9"/>
            <rFont val="宋体"/>
            <charset val="134"/>
          </rPr>
          <t xml:space="preserve">Administ
</t>
        </r>
        <r>
          <rPr>
            <sz val="9"/>
            <rFont val="宋体"/>
            <charset val="134"/>
          </rPr>
          <t xml:space="preserve">12/15 客供价格贴纸 1260pcs
</t>
        </r>
      </text>
    </comment>
    <comment ref="AI709" authorId="0">
      <text>
        <r>
          <rPr>
            <b/>
            <sz val="9"/>
            <rFont val="宋体"/>
            <charset val="134"/>
          </rPr>
          <t>Administrator:</t>
        </r>
        <r>
          <rPr>
            <sz val="9"/>
            <rFont val="宋体"/>
            <charset val="134"/>
          </rPr>
          <t xml:space="preserve">
4001758 1/14 2160pcs庞1f5
4001761 1/15 15840pcs 庞1f5
4001764 1/16 2000pcs庞3b14</t>
        </r>
      </text>
    </comment>
    <comment ref="AI710" authorId="0">
      <text>
        <r>
          <rPr>
            <b/>
            <sz val="9"/>
            <rFont val="宋体"/>
            <charset val="134"/>
          </rPr>
          <t>Administrator:</t>
        </r>
        <r>
          <rPr>
            <sz val="9"/>
            <rFont val="宋体"/>
            <charset val="134"/>
          </rPr>
          <t xml:space="preserve">
4001712 1/9 504pcs
庞3b17</t>
        </r>
      </text>
    </comment>
    <comment ref="AL710" authorId="0">
      <text>
        <r>
          <rPr>
            <b/>
            <sz val="9"/>
            <rFont val="宋体"/>
            <charset val="134"/>
          </rPr>
          <t>Administrator:</t>
        </r>
        <r>
          <rPr>
            <sz val="9"/>
            <rFont val="宋体"/>
            <charset val="134"/>
          </rPr>
          <t xml:space="preserve">
12/25 警语贴纸 504pcs</t>
        </r>
      </text>
    </comment>
    <comment ref="AI712" authorId="0">
      <text>
        <r>
          <rPr>
            <b/>
            <sz val="9"/>
            <rFont val="宋体"/>
            <charset val="134"/>
          </rPr>
          <t>Administrator:</t>
        </r>
        <r>
          <rPr>
            <sz val="9"/>
            <rFont val="宋体"/>
            <charset val="134"/>
          </rPr>
          <t xml:space="preserve">
4001713 1/13 2880pcs
庞1</t>
        </r>
      </text>
    </comment>
    <comment ref="AI713" authorId="0">
      <text>
        <r>
          <rPr>
            <b/>
            <sz val="9"/>
            <rFont val="宋体"/>
            <charset val="134"/>
          </rPr>
          <t>Administrator:</t>
        </r>
        <r>
          <rPr>
            <sz val="9"/>
            <rFont val="宋体"/>
            <charset val="134"/>
          </rPr>
          <t xml:space="preserve">
4001713 1/13 1440pcs庞1f3</t>
        </r>
      </text>
    </comment>
    <comment ref="AI714" authorId="0">
      <text>
        <r>
          <rPr>
            <b/>
            <sz val="9"/>
            <rFont val="宋体"/>
            <charset val="134"/>
          </rPr>
          <t>Administrator:</t>
        </r>
        <r>
          <rPr>
            <sz val="9"/>
            <rFont val="宋体"/>
            <charset val="134"/>
          </rPr>
          <t xml:space="preserve">
4001713 1/13 300pcs庞1f9</t>
        </r>
      </text>
    </comment>
    <comment ref="AI715" authorId="0">
      <text>
        <r>
          <rPr>
            <b/>
            <sz val="9"/>
            <rFont val="宋体"/>
            <charset val="134"/>
          </rPr>
          <t>Administrator:</t>
        </r>
        <r>
          <rPr>
            <sz val="9"/>
            <rFont val="宋体"/>
            <charset val="134"/>
          </rPr>
          <t xml:space="preserve">
4001713 1/13 1504cs庞1f11</t>
        </r>
      </text>
    </comment>
    <comment ref="AI716" authorId="0">
      <text>
        <r>
          <rPr>
            <b/>
            <sz val="9"/>
            <rFont val="宋体"/>
            <charset val="134"/>
          </rPr>
          <t>Administrator:</t>
        </r>
        <r>
          <rPr>
            <sz val="9"/>
            <rFont val="宋体"/>
            <charset val="134"/>
          </rPr>
          <t xml:space="preserve">
4001764 1/16 392pcs</t>
        </r>
      </text>
    </comment>
    <comment ref="AL716" authorId="0">
      <text>
        <r>
          <rPr>
            <b/>
            <sz val="9"/>
            <rFont val="宋体"/>
            <charset val="134"/>
          </rPr>
          <t>Administrator:</t>
        </r>
        <r>
          <rPr>
            <sz val="9"/>
            <rFont val="宋体"/>
            <charset val="134"/>
          </rPr>
          <t xml:space="preserve">
12/18 DC运输贴纸 392cs
12/22 UPC贴纸 392pcs
12/24 PDQ标识贴 49pcs</t>
        </r>
      </text>
    </comment>
    <comment ref="AI717" authorId="0">
      <text>
        <r>
          <rPr>
            <b/>
            <sz val="9"/>
            <rFont val="宋体"/>
            <charset val="134"/>
          </rPr>
          <t>Administrator:</t>
        </r>
        <r>
          <rPr>
            <sz val="9"/>
            <rFont val="宋体"/>
            <charset val="134"/>
          </rPr>
          <t xml:space="preserve">
4001769 1/17 600pcs庞3a15</t>
        </r>
      </text>
    </comment>
    <comment ref="AL717" authorId="0">
      <text>
        <r>
          <rPr>
            <b/>
            <sz val="9"/>
            <rFont val="宋体"/>
            <charset val="134"/>
          </rPr>
          <t>Administrator:</t>
        </r>
        <r>
          <rPr>
            <sz val="9"/>
            <rFont val="宋体"/>
            <charset val="134"/>
          </rPr>
          <t xml:space="preserve">
12/30 可折鲞警语贴纸 600pcs</t>
        </r>
      </text>
    </comment>
    <comment ref="AI718" authorId="0">
      <text>
        <r>
          <rPr>
            <b/>
            <sz val="9"/>
            <rFont val="宋体"/>
            <charset val="134"/>
          </rPr>
          <t>Administrator:</t>
        </r>
        <r>
          <rPr>
            <sz val="9"/>
            <rFont val="宋体"/>
            <charset val="134"/>
          </rPr>
          <t xml:space="preserve">
1601188 1/17 712pcs 庞3a22
庞3a221601190 1/19 3288cs庞3a21</t>
        </r>
      </text>
    </comment>
    <comment ref="AL718" authorId="0">
      <text>
        <r>
          <rPr>
            <b/>
            <sz val="9"/>
            <rFont val="宋体"/>
            <charset val="134"/>
          </rPr>
          <t>Administrator:</t>
        </r>
        <r>
          <rPr>
            <sz val="9"/>
            <rFont val="宋体"/>
            <charset val="134"/>
          </rPr>
          <t xml:space="preserve">
12/27 Kinderherz 2025 4000pcs
1/12 LOGO贴纸 1000pcsbu
1/13 LOGO 贴纸 4000pcs</t>
        </r>
      </text>
    </comment>
    <comment ref="AI719" authorId="0">
      <text>
        <r>
          <rPr>
            <b/>
            <sz val="9"/>
            <rFont val="宋体"/>
            <charset val="134"/>
          </rPr>
          <t>Administrator:</t>
        </r>
        <r>
          <rPr>
            <sz val="9"/>
            <rFont val="宋体"/>
            <charset val="134"/>
          </rPr>
          <t xml:space="preserve">
1601188 1/14 1000pcs庞3a17</t>
        </r>
      </text>
    </comment>
    <comment ref="AI720" authorId="0">
      <text>
        <r>
          <rPr>
            <b/>
            <sz val="9"/>
            <rFont val="宋体"/>
            <charset val="134"/>
          </rPr>
          <t>Administrator:</t>
        </r>
        <r>
          <rPr>
            <sz val="9"/>
            <rFont val="宋体"/>
            <charset val="134"/>
          </rPr>
          <t xml:space="preserve">
1601188 1/17 720pcs 庞3a17
1601190 1/19 1280pcs
庞3a17</t>
        </r>
      </text>
    </comment>
    <comment ref="AI721" authorId="0">
      <text>
        <r>
          <rPr>
            <b/>
            <sz val="9"/>
            <rFont val="宋体"/>
            <charset val="134"/>
          </rPr>
          <t>Administrator:</t>
        </r>
        <r>
          <rPr>
            <sz val="9"/>
            <rFont val="宋体"/>
            <charset val="134"/>
          </rPr>
          <t xml:space="preserve">
4001771 1/19 60pcs
庞1f4
</t>
        </r>
      </text>
    </comment>
    <comment ref="AL721" authorId="0">
      <text>
        <r>
          <rPr>
            <b/>
            <sz val="9"/>
            <rFont val="宋体"/>
            <charset val="134"/>
          </rPr>
          <t xml:space="preserve">Administrator:
</t>
        </r>
        <r>
          <rPr>
            <sz val="9"/>
            <rFont val="宋体"/>
            <charset val="134"/>
          </rPr>
          <t>12/25 UPC贴纸 600pcs</t>
        </r>
      </text>
    </comment>
    <comment ref="AL722" authorId="0">
      <text>
        <r>
          <rPr>
            <b/>
            <sz val="9"/>
            <rFont val="宋体"/>
            <charset val="134"/>
          </rPr>
          <t>Administrator:</t>
        </r>
        <r>
          <rPr>
            <sz val="9"/>
            <rFont val="宋体"/>
            <charset val="134"/>
          </rPr>
          <t xml:space="preserve">
12/15 亚马逊贴 纸 84pcs
12/22 获奖贴纸 504pcs</t>
        </r>
      </text>
    </comment>
    <comment ref="AI723" authorId="0">
      <text>
        <r>
          <rPr>
            <b/>
            <sz val="9"/>
            <rFont val="宋体"/>
            <charset val="134"/>
          </rPr>
          <t>Administrator:</t>
        </r>
        <r>
          <rPr>
            <sz val="9"/>
            <rFont val="宋体"/>
            <charset val="134"/>
          </rPr>
          <t xml:space="preserve">
4001769 1/17 1504pcs庞3a16</t>
        </r>
      </text>
    </comment>
    <comment ref="AI724" authorId="0">
      <text>
        <r>
          <rPr>
            <b/>
            <sz val="9"/>
            <rFont val="宋体"/>
            <charset val="134"/>
          </rPr>
          <t>Administrator:</t>
        </r>
        <r>
          <rPr>
            <sz val="9"/>
            <rFont val="宋体"/>
            <charset val="134"/>
          </rPr>
          <t xml:space="preserve">
4001771 1/19 640pcs庞1f4
</t>
        </r>
      </text>
    </comment>
    <comment ref="AL724" authorId="0">
      <text>
        <r>
          <rPr>
            <b/>
            <sz val="9"/>
            <rFont val="宋体"/>
            <charset val="134"/>
          </rPr>
          <t>Administrator:</t>
        </r>
        <r>
          <rPr>
            <sz val="9"/>
            <rFont val="宋体"/>
            <charset val="134"/>
          </rPr>
          <t xml:space="preserve">
1/7 警语贴纸 640pcs
1/13 客供价格贴纸 640pcs
 </t>
        </r>
      </text>
    </comment>
    <comment ref="AI725" authorId="0">
      <text>
        <r>
          <rPr>
            <b/>
            <sz val="9"/>
            <rFont val="宋体"/>
            <charset val="134"/>
          </rPr>
          <t>Administrator:</t>
        </r>
        <r>
          <rPr>
            <sz val="9"/>
            <rFont val="宋体"/>
            <charset val="134"/>
          </rPr>
          <t xml:space="preserve">
4001771 1/19 580pcs
庞1f4
</t>
        </r>
      </text>
    </comment>
    <comment ref="AI726" authorId="0">
      <text>
        <r>
          <rPr>
            <b/>
            <sz val="9"/>
            <rFont val="宋体"/>
            <charset val="134"/>
          </rPr>
          <t>Administrator:</t>
        </r>
        <r>
          <rPr>
            <sz val="9"/>
            <rFont val="宋体"/>
            <charset val="134"/>
          </rPr>
          <t xml:space="preserve">
1601188 1/17 8pcs
庞1f12
160163 1/23 2760pcs
庞1f12
1201268 1/24 9260pcs庞3a31
1601300 1/24 1412pcs
 庞3a31</t>
        </r>
      </text>
    </comment>
    <comment ref="AI727" authorId="0">
      <text>
        <r>
          <rPr>
            <b/>
            <sz val="9"/>
            <rFont val="宋体"/>
            <charset val="134"/>
          </rPr>
          <t>Administrator:</t>
        </r>
        <r>
          <rPr>
            <sz val="9"/>
            <rFont val="宋体"/>
            <charset val="134"/>
          </rPr>
          <t xml:space="preserve">
1601188 1/17 8pcs庞1f12
1601300 1/24 2148pcs 庞1f5
1601271 1/24 7124pcs 庞1f5</t>
        </r>
      </text>
    </comment>
    <comment ref="AI728" authorId="0">
      <text>
        <r>
          <rPr>
            <b/>
            <sz val="9"/>
            <rFont val="宋体"/>
            <charset val="134"/>
          </rPr>
          <t>Administrator:</t>
        </r>
        <r>
          <rPr>
            <sz val="9"/>
            <rFont val="宋体"/>
            <charset val="134"/>
          </rPr>
          <t xml:space="preserve">
4001774 1/20 804pcs</t>
        </r>
        <r>
          <rPr>
            <sz val="16"/>
            <rFont val="宋体"/>
            <charset val="134"/>
          </rPr>
          <t>庞1f3</t>
        </r>
      </text>
    </comment>
    <comment ref="AL728" authorId="0">
      <text>
        <r>
          <rPr>
            <b/>
            <sz val="9"/>
            <rFont val="宋体"/>
            <charset val="134"/>
          </rPr>
          <t>Administrator:</t>
        </r>
        <r>
          <rPr>
            <sz val="9"/>
            <rFont val="宋体"/>
            <charset val="134"/>
          </rPr>
          <t xml:space="preserve">
12/27 进口商贴纸 804pcs
UPC贴纸 804pcs</t>
        </r>
      </text>
    </comment>
    <comment ref="AI729" authorId="0">
      <text>
        <r>
          <rPr>
            <b/>
            <sz val="9"/>
            <rFont val="宋体"/>
            <charset val="134"/>
          </rPr>
          <t>Administrator:</t>
        </r>
        <r>
          <rPr>
            <sz val="9"/>
            <rFont val="宋体"/>
            <charset val="134"/>
          </rPr>
          <t xml:space="preserve">
4001764 1/16 492pcs
庞3a31</t>
        </r>
      </text>
    </comment>
    <comment ref="AL729" authorId="0">
      <text>
        <r>
          <rPr>
            <b/>
            <sz val="9"/>
            <rFont val="宋体"/>
            <charset val="134"/>
          </rPr>
          <t>Administrator:</t>
        </r>
        <r>
          <rPr>
            <sz val="9"/>
            <rFont val="宋体"/>
            <charset val="134"/>
          </rPr>
          <t xml:space="preserve">
1/12 可折查警语贴纸 2136pcs </t>
        </r>
      </text>
    </comment>
    <comment ref="AI730" authorId="0">
      <text>
        <r>
          <rPr>
            <b/>
            <sz val="9"/>
            <rFont val="宋体"/>
            <charset val="134"/>
          </rPr>
          <t>Administrator:</t>
        </r>
        <r>
          <rPr>
            <sz val="9"/>
            <rFont val="宋体"/>
            <charset val="134"/>
          </rPr>
          <t xml:space="preserve">
4001787 1/22 2000pcs庞1f9</t>
        </r>
      </text>
    </comment>
    <comment ref="AL730" authorId="0">
      <text>
        <r>
          <rPr>
            <b/>
            <sz val="9"/>
            <rFont val="宋体"/>
            <charset val="134"/>
          </rPr>
          <t>Administrator:</t>
        </r>
        <r>
          <rPr>
            <sz val="9"/>
            <rFont val="宋体"/>
            <charset val="134"/>
          </rPr>
          <t xml:space="preserve">
12/15 客供价格贴纸 2100pcs
</t>
        </r>
      </text>
    </comment>
    <comment ref="AI731" authorId="0">
      <text>
        <r>
          <rPr>
            <b/>
            <sz val="9"/>
            <rFont val="宋体"/>
            <charset val="134"/>
          </rPr>
          <t>Administrator:</t>
        </r>
        <r>
          <rPr>
            <sz val="9"/>
            <rFont val="宋体"/>
            <charset val="134"/>
          </rPr>
          <t xml:space="preserve">
4001713 1/13 800pcs庞1f3</t>
        </r>
      </text>
    </comment>
    <comment ref="AI732" authorId="0">
      <text>
        <r>
          <rPr>
            <b/>
            <sz val="9"/>
            <rFont val="宋体"/>
            <charset val="134"/>
          </rPr>
          <t>Administrator:</t>
        </r>
        <r>
          <rPr>
            <sz val="9"/>
            <rFont val="宋体"/>
            <charset val="134"/>
          </rPr>
          <t xml:space="preserve">
4001787 1/22 1440pcs庞1f7
4001790 1/23 15120pcs庞华1f5
4001792 1/23  5192pcs庞1f5</t>
        </r>
      </text>
    </comment>
    <comment ref="AL732" authorId="0">
      <text>
        <r>
          <rPr>
            <b/>
            <sz val="9"/>
            <rFont val="宋体"/>
            <charset val="134"/>
          </rPr>
          <t>Administrator:</t>
        </r>
        <r>
          <rPr>
            <sz val="9"/>
            <rFont val="宋体"/>
            <charset val="134"/>
          </rPr>
          <t xml:space="preserve">
1/5 客供外箱亲码贴纸 5438pcs</t>
        </r>
      </text>
    </comment>
    <comment ref="AI733" authorId="0">
      <text>
        <r>
          <rPr>
            <b/>
            <sz val="9"/>
            <rFont val="宋体"/>
            <charset val="134"/>
          </rPr>
          <t>Administrator:</t>
        </r>
        <r>
          <rPr>
            <sz val="9"/>
            <rFont val="宋体"/>
            <charset val="134"/>
          </rPr>
          <t xml:space="preserve">
4001780 1/21 1440pcs王1f3</t>
        </r>
      </text>
    </comment>
    <comment ref="AL733" authorId="0">
      <text>
        <r>
          <rPr>
            <b/>
            <sz val="9"/>
            <rFont val="宋体"/>
            <charset val="134"/>
          </rPr>
          <t>Administrator:</t>
        </r>
        <r>
          <rPr>
            <sz val="9"/>
            <rFont val="宋体"/>
            <charset val="134"/>
          </rPr>
          <t xml:space="preserve">
12/15 进口商贴纸 1440pcs</t>
        </r>
      </text>
    </comment>
    <comment ref="AI734" authorId="0">
      <text>
        <r>
          <rPr>
            <b/>
            <sz val="9"/>
            <rFont val="宋体"/>
            <charset val="134"/>
          </rPr>
          <t>Administrator:</t>
        </r>
        <r>
          <rPr>
            <sz val="9"/>
            <rFont val="宋体"/>
            <charset val="134"/>
          </rPr>
          <t xml:space="preserve">
4001784 1/22 4220pcs
4001785 1/22 1180pcs</t>
        </r>
      </text>
    </comment>
    <comment ref="AI735" authorId="0">
      <text>
        <r>
          <rPr>
            <b/>
            <sz val="9"/>
            <rFont val="宋体"/>
            <charset val="134"/>
          </rPr>
          <t>Administrator:</t>
        </r>
        <r>
          <rPr>
            <sz val="9"/>
            <rFont val="宋体"/>
            <charset val="134"/>
          </rPr>
          <t xml:space="preserve">
5000259 1/27 648pcs
庞1f9</t>
        </r>
      </text>
    </comment>
    <comment ref="AL735" authorId="0">
      <text>
        <r>
          <rPr>
            <b/>
            <sz val="9"/>
            <rFont val="宋体"/>
            <charset val="134"/>
          </rPr>
          <t>Administrator:</t>
        </r>
        <r>
          <rPr>
            <sz val="9"/>
            <rFont val="宋体"/>
            <charset val="134"/>
          </rPr>
          <t xml:space="preserve">
12/22 亚马逊外箱贴纸 127pcs</t>
        </r>
      </text>
    </comment>
    <comment ref="AI736" authorId="0">
      <text>
        <r>
          <rPr>
            <b/>
            <sz val="9"/>
            <rFont val="宋体"/>
            <charset val="134"/>
          </rPr>
          <t>Administrator:</t>
        </r>
        <r>
          <rPr>
            <sz val="9"/>
            <rFont val="宋体"/>
            <charset val="134"/>
          </rPr>
          <t xml:space="preserve">
4001815 1/27 324pcs</t>
        </r>
      </text>
    </comment>
    <comment ref="AL736" authorId="0">
      <text>
        <r>
          <rPr>
            <b/>
            <sz val="9"/>
            <rFont val="宋体"/>
            <charset val="134"/>
          </rPr>
          <t>Administrator:</t>
        </r>
        <r>
          <rPr>
            <sz val="9"/>
            <rFont val="宋体"/>
            <charset val="134"/>
          </rPr>
          <t xml:space="preserve">
12/22 亚马逊外箱贴纸 84pcs
1/28 洗涤说明贴纸 504pcs</t>
        </r>
      </text>
    </comment>
    <comment ref="AI737" authorId="0">
      <text>
        <r>
          <rPr>
            <b/>
            <sz val="9"/>
            <rFont val="宋体"/>
            <charset val="134"/>
          </rPr>
          <t>Administrator:</t>
        </r>
        <r>
          <rPr>
            <sz val="9"/>
            <rFont val="宋体"/>
            <charset val="134"/>
          </rPr>
          <t xml:space="preserve">
4001799 1/24 1644pcs
庞3b12</t>
        </r>
      </text>
    </comment>
    <comment ref="AL737" authorId="0">
      <text>
        <r>
          <rPr>
            <b/>
            <sz val="9"/>
            <rFont val="宋体"/>
            <charset val="134"/>
          </rPr>
          <t>Administrator:</t>
        </r>
        <r>
          <rPr>
            <sz val="9"/>
            <rFont val="宋体"/>
            <charset val="134"/>
          </rPr>
          <t xml:space="preserve">
12/22 亚马议外角贴纸 137pcs
1/4 UPC贴纸 1644pcs</t>
        </r>
      </text>
    </comment>
    <comment ref="AI738" authorId="0">
      <text>
        <r>
          <rPr>
            <b/>
            <sz val="9"/>
            <rFont val="宋体"/>
            <charset val="134"/>
          </rPr>
          <t>Administrator:</t>
        </r>
        <r>
          <rPr>
            <sz val="9"/>
            <rFont val="宋体"/>
            <charset val="134"/>
          </rPr>
          <t xml:space="preserve">
4001799 1/24 420pcs
</t>
        </r>
      </text>
    </comment>
    <comment ref="AL738" authorId="0">
      <text>
        <r>
          <rPr>
            <b/>
            <sz val="9"/>
            <rFont val="宋体"/>
            <charset val="134"/>
          </rPr>
          <t>Administrator:</t>
        </r>
        <r>
          <rPr>
            <sz val="9"/>
            <rFont val="宋体"/>
            <charset val="134"/>
          </rPr>
          <t xml:space="preserve">
12/15 白色防盗贴纸 420pcs
12/31 大纽扣电池警告 840pcs
小扣电池警告语 420pcs
1/12 Kmart外箱贴纸 35pcs </t>
        </r>
      </text>
    </comment>
    <comment ref="AI739" authorId="0">
      <text>
        <r>
          <rPr>
            <b/>
            <sz val="9"/>
            <rFont val="宋体"/>
            <charset val="134"/>
          </rPr>
          <t>Administrator:</t>
        </r>
        <r>
          <rPr>
            <sz val="9"/>
            <rFont val="宋体"/>
            <charset val="134"/>
          </rPr>
          <t xml:space="preserve">
4001799 1/24 4200pcs
庞1f11</t>
        </r>
      </text>
    </comment>
    <comment ref="AL739" authorId="0">
      <text>
        <r>
          <rPr>
            <b/>
            <sz val="9"/>
            <rFont val="宋体"/>
            <charset val="134"/>
          </rPr>
          <t>Administrator:</t>
        </r>
        <r>
          <rPr>
            <sz val="9"/>
            <rFont val="宋体"/>
            <charset val="134"/>
          </rPr>
          <t xml:space="preserve">
12/31 大纽扣电池警告 840pcs
小扣电池警告语 4200pcs
1/15 白色防盗贴纸 4200pcs
1/12 Kmart外箱贴纸 350pcs</t>
        </r>
      </text>
    </comment>
    <comment ref="AI740" authorId="0">
      <text>
        <r>
          <rPr>
            <b/>
            <sz val="9"/>
            <rFont val="宋体"/>
            <charset val="134"/>
          </rPr>
          <t>Administrator:</t>
        </r>
        <r>
          <rPr>
            <sz val="9"/>
            <rFont val="宋体"/>
            <charset val="134"/>
          </rPr>
          <t xml:space="preserve">
1201268 1/24 4068pcs庞3a31
1601271 1/24 720pcs
庞3a30
5000248 1/27 12pcs</t>
        </r>
      </text>
    </comment>
    <comment ref="AI741" authorId="0">
      <text>
        <r>
          <rPr>
            <b/>
            <sz val="9"/>
            <rFont val="宋体"/>
            <charset val="134"/>
          </rPr>
          <t>Administrator:</t>
        </r>
        <r>
          <rPr>
            <sz val="9"/>
            <rFont val="宋体"/>
            <charset val="134"/>
          </rPr>
          <t xml:space="preserve">
4001793 1/23 5040pcs庞3a21
4001796 1/24 360pcs庞3a21
1/30 4001933 40pcs庞3a22</t>
        </r>
      </text>
    </comment>
    <comment ref="AI742" authorId="0">
      <text>
        <r>
          <rPr>
            <b/>
            <sz val="9"/>
            <rFont val="宋体"/>
            <charset val="134"/>
          </rPr>
          <t>Administrator:</t>
        </r>
        <r>
          <rPr>
            <sz val="9"/>
            <rFont val="宋体"/>
            <charset val="134"/>
          </rPr>
          <t xml:space="preserve">
4001793 1/23 4320pcs
庞1f11
4001796 1/24 3040pcs 庞1f11</t>
        </r>
      </text>
    </comment>
    <comment ref="AI743" authorId="0">
      <text>
        <r>
          <rPr>
            <b/>
            <sz val="9"/>
            <rFont val="宋体"/>
            <charset val="134"/>
          </rPr>
          <t>Administrator:</t>
        </r>
        <r>
          <rPr>
            <sz val="9"/>
            <rFont val="宋体"/>
            <charset val="134"/>
          </rPr>
          <t xml:space="preserve">
4001796 1/24 4480pcs
庞1f3</t>
        </r>
      </text>
    </comment>
    <comment ref="AI744" authorId="0">
      <text>
        <r>
          <rPr>
            <b/>
            <sz val="9"/>
            <rFont val="宋体"/>
            <charset val="134"/>
          </rPr>
          <t>Administrator:</t>
        </r>
        <r>
          <rPr>
            <sz val="9"/>
            <rFont val="宋体"/>
            <charset val="134"/>
          </rPr>
          <t xml:space="preserve">
4001796 1/24 1440pcs 庞3a27
4001799 1/24 2160pcs
庞3a27
4001803 1/24 2160pcs庞3a27</t>
        </r>
      </text>
    </comment>
    <comment ref="AI745" authorId="0">
      <text>
        <r>
          <rPr>
            <b/>
            <sz val="9"/>
            <rFont val="宋体"/>
            <charset val="134"/>
          </rPr>
          <t>Administrator:</t>
        </r>
        <r>
          <rPr>
            <sz val="9"/>
            <rFont val="宋体"/>
            <charset val="134"/>
          </rPr>
          <t xml:space="preserve">
4001793 1/23 1440pcs庞3a25
4001792 1/23 4320pcs庞3a25
4001796 1/24 320pcs
庞3a25</t>
        </r>
      </text>
    </comment>
    <comment ref="AI746" authorId="0">
      <text>
        <r>
          <rPr>
            <b/>
            <sz val="9"/>
            <rFont val="宋体"/>
            <charset val="134"/>
          </rPr>
          <t>Administrator:</t>
        </r>
        <r>
          <rPr>
            <sz val="9"/>
            <rFont val="宋体"/>
            <charset val="134"/>
          </rPr>
          <t xml:space="preserve">
4001796 1/24 560pcs 庞3a25
4001792 1/23 3600pcs庞3a25</t>
        </r>
      </text>
    </comment>
    <comment ref="AL746" authorId="0">
      <text>
        <r>
          <rPr>
            <b/>
            <sz val="9"/>
            <rFont val="宋体"/>
            <charset val="134"/>
          </rPr>
          <t>Administrator:</t>
        </r>
        <r>
          <rPr>
            <sz val="9"/>
            <rFont val="宋体"/>
            <charset val="134"/>
          </rPr>
          <t xml:space="preserve">
12/16 客供RFID贴纸 4160
pcs
</t>
        </r>
      </text>
    </comment>
    <comment ref="AI747" authorId="0">
      <text>
        <r>
          <rPr>
            <b/>
            <sz val="9"/>
            <rFont val="宋体"/>
            <charset val="134"/>
          </rPr>
          <t>Administrator:</t>
        </r>
        <r>
          <rPr>
            <sz val="9"/>
            <rFont val="宋体"/>
            <charset val="134"/>
          </rPr>
          <t xml:space="preserve">
4001783 1/22 616pcs庞3b14</t>
        </r>
      </text>
    </comment>
    <comment ref="AL747" authorId="0">
      <text>
        <r>
          <rPr>
            <b/>
            <sz val="9"/>
            <rFont val="宋体"/>
            <charset val="134"/>
          </rPr>
          <t>Administrator:</t>
        </r>
        <r>
          <rPr>
            <sz val="9"/>
            <rFont val="宋体"/>
            <charset val="134"/>
          </rPr>
          <t xml:space="preserve">
12/18 DC运输贴纸 616pcs
12/22 UPC贴纸 616pcs
12/24 PDQ标识贴 77pcs</t>
        </r>
      </text>
    </comment>
    <comment ref="AI748" authorId="0">
      <text>
        <r>
          <rPr>
            <b/>
            <sz val="9"/>
            <rFont val="宋体"/>
            <charset val="134"/>
          </rPr>
          <t>Administrator:</t>
        </r>
        <r>
          <rPr>
            <sz val="9"/>
            <rFont val="宋体"/>
            <charset val="134"/>
          </rPr>
          <t xml:space="preserve">
4001783 1/22 296pcs
庞3b14
</t>
        </r>
      </text>
    </comment>
    <comment ref="AL748" authorId="0">
      <text>
        <r>
          <rPr>
            <b/>
            <sz val="9"/>
            <rFont val="宋体"/>
            <charset val="134"/>
          </rPr>
          <t>Administrator:</t>
        </r>
        <r>
          <rPr>
            <sz val="9"/>
            <rFont val="宋体"/>
            <charset val="134"/>
          </rPr>
          <t xml:space="preserve">
12/18 DC运输贴纸 296pcs
12/22 UPC贴纸 296pcs
12/24 PDQ标识贴 37pcs</t>
        </r>
      </text>
    </comment>
    <comment ref="AI749" authorId="0">
      <text>
        <r>
          <rPr>
            <b/>
            <sz val="9"/>
            <rFont val="宋体"/>
            <charset val="134"/>
          </rPr>
          <t>Administrator:</t>
        </r>
        <r>
          <rPr>
            <sz val="9"/>
            <rFont val="宋体"/>
            <charset val="134"/>
          </rPr>
          <t xml:space="preserve">
4001783 1/22 648pcs
庞3b14</t>
        </r>
      </text>
    </comment>
    <comment ref="AL749" authorId="0">
      <text>
        <r>
          <rPr>
            <b/>
            <sz val="9"/>
            <rFont val="宋体"/>
            <charset val="134"/>
          </rPr>
          <t>Administrator:</t>
        </r>
        <r>
          <rPr>
            <sz val="9"/>
            <rFont val="宋体"/>
            <charset val="134"/>
          </rPr>
          <t xml:space="preserve">
12/18 DC运输贴纸 648pcs
12/22 UPC贴纸 648
pcs
12/24 PDQ标识贴 81pcs</t>
        </r>
      </text>
    </comment>
    <comment ref="AI750" authorId="0">
      <text>
        <r>
          <rPr>
            <b/>
            <sz val="9"/>
            <rFont val="宋体"/>
            <charset val="134"/>
          </rPr>
          <t>Administrator:</t>
        </r>
        <r>
          <rPr>
            <sz val="9"/>
            <rFont val="宋体"/>
            <charset val="134"/>
          </rPr>
          <t xml:space="preserve">
4001808 1/26 512pcs
庞1f2</t>
        </r>
      </text>
    </comment>
    <comment ref="AL750" authorId="0">
      <text>
        <r>
          <rPr>
            <b/>
            <sz val="9"/>
            <rFont val="宋体"/>
            <charset val="134"/>
          </rPr>
          <t>Administrator:</t>
        </r>
        <r>
          <rPr>
            <sz val="9"/>
            <rFont val="宋体"/>
            <charset val="134"/>
          </rPr>
          <t xml:space="preserve">
1/9 进口商贴 512pcs</t>
        </r>
      </text>
    </comment>
    <comment ref="AI751" authorId="0">
      <text>
        <r>
          <rPr>
            <b/>
            <sz val="9"/>
            <rFont val="宋体"/>
            <charset val="134"/>
          </rPr>
          <t>Administrator:</t>
        </r>
        <r>
          <rPr>
            <sz val="9"/>
            <rFont val="宋体"/>
            <charset val="134"/>
          </rPr>
          <t xml:space="preserve">
4001799 1/24 1200pcs
庞3a16</t>
        </r>
      </text>
    </comment>
    <comment ref="AL751" authorId="0">
      <text>
        <r>
          <rPr>
            <b/>
            <sz val="9"/>
            <rFont val="宋体"/>
            <charset val="134"/>
          </rPr>
          <t>Administrator:</t>
        </r>
        <r>
          <rPr>
            <sz val="9"/>
            <rFont val="宋体"/>
            <charset val="134"/>
          </rPr>
          <t xml:space="preserve">
1/5 UPC/进口商贴纸</t>
        </r>
        <r>
          <rPr>
            <b/>
            <sz val="9"/>
            <rFont val="宋体"/>
            <charset val="134"/>
          </rPr>
          <t xml:space="preserve"> 1200pcs</t>
        </r>
      </text>
    </comment>
    <comment ref="AI752" authorId="0">
      <text>
        <r>
          <rPr>
            <b/>
            <sz val="9"/>
            <rFont val="宋体"/>
            <charset val="134"/>
          </rPr>
          <t>Administrator:</t>
        </r>
        <r>
          <rPr>
            <sz val="9"/>
            <rFont val="宋体"/>
            <charset val="134"/>
          </rPr>
          <t xml:space="preserve">
4001811 1/27 1500pcs
王4a3</t>
        </r>
      </text>
    </comment>
    <comment ref="AL752" authorId="0">
      <text>
        <r>
          <rPr>
            <b/>
            <sz val="9"/>
            <rFont val="宋体"/>
            <charset val="134"/>
          </rPr>
          <t>Administrator:</t>
        </r>
        <r>
          <rPr>
            <sz val="9"/>
            <rFont val="宋体"/>
            <charset val="134"/>
          </rPr>
          <t xml:space="preserve">
1/9 进口商贴 1500pcs
UPC条码 1500pcs</t>
        </r>
      </text>
    </comment>
    <comment ref="AI753" authorId="0">
      <text>
        <r>
          <rPr>
            <b/>
            <sz val="9"/>
            <rFont val="宋体"/>
            <charset val="134"/>
          </rPr>
          <t>Administrator:</t>
        </r>
        <r>
          <rPr>
            <sz val="9"/>
            <rFont val="宋体"/>
            <charset val="134"/>
          </rPr>
          <t xml:space="preserve">
4001808 1/26 360pcs
庞1f3</t>
        </r>
      </text>
    </comment>
    <comment ref="AL753" authorId="0">
      <text>
        <r>
          <rPr>
            <b/>
            <sz val="9"/>
            <rFont val="宋体"/>
            <charset val="134"/>
          </rPr>
          <t>Administrator:</t>
        </r>
        <r>
          <rPr>
            <sz val="9"/>
            <rFont val="宋体"/>
            <charset val="134"/>
          </rPr>
          <t xml:space="preserve">
1/14 进口商贴纸 360pcs
条码贴纸 360pcs</t>
        </r>
      </text>
    </comment>
    <comment ref="AI754" authorId="0">
      <text>
        <r>
          <rPr>
            <b/>
            <sz val="9"/>
            <rFont val="宋体"/>
            <charset val="134"/>
          </rPr>
          <t>Administrator:</t>
        </r>
        <r>
          <rPr>
            <sz val="9"/>
            <rFont val="宋体"/>
            <charset val="134"/>
          </rPr>
          <t xml:space="preserve">
4001782 1/22 240pcs
庞1f3</t>
        </r>
      </text>
    </comment>
    <comment ref="AI755" authorId="0">
      <text>
        <r>
          <rPr>
            <b/>
            <sz val="9"/>
            <rFont val="宋体"/>
            <charset val="134"/>
          </rPr>
          <t>Administrator:</t>
        </r>
        <r>
          <rPr>
            <sz val="9"/>
            <rFont val="宋体"/>
            <charset val="134"/>
          </rPr>
          <t xml:space="preserve">
4001782 1/22 960pcs
庞1f3</t>
        </r>
      </text>
    </comment>
    <comment ref="AI756" authorId="0">
      <text>
        <r>
          <rPr>
            <b/>
            <sz val="9"/>
            <rFont val="宋体"/>
            <charset val="134"/>
          </rPr>
          <t>Administrator:</t>
        </r>
        <r>
          <rPr>
            <sz val="9"/>
            <rFont val="宋体"/>
            <charset val="134"/>
          </rPr>
          <t xml:space="preserve">
4001782 1/22 600pcs
庞1f3
</t>
        </r>
      </text>
    </comment>
    <comment ref="AL756" authorId="0">
      <text>
        <r>
          <rPr>
            <b/>
            <sz val="9"/>
            <rFont val="宋体"/>
            <charset val="134"/>
          </rPr>
          <t xml:space="preserve">Administrator:
1/9 UPC贴纸 600pcs
</t>
        </r>
      </text>
    </comment>
    <comment ref="AI757" authorId="0">
      <text>
        <r>
          <rPr>
            <b/>
            <sz val="9"/>
            <rFont val="宋体"/>
            <charset val="134"/>
          </rPr>
          <t>Administrator:</t>
        </r>
        <r>
          <rPr>
            <sz val="9"/>
            <rFont val="宋体"/>
            <charset val="134"/>
          </rPr>
          <t xml:space="preserve">
4001782 1/22 1200pcs
庞1f3</t>
        </r>
      </text>
    </comment>
    <comment ref="AL757" authorId="0">
      <text>
        <r>
          <rPr>
            <b/>
            <sz val="9"/>
            <rFont val="宋体"/>
            <charset val="134"/>
          </rPr>
          <t>Administrator:</t>
        </r>
        <r>
          <rPr>
            <sz val="9"/>
            <rFont val="宋体"/>
            <charset val="134"/>
          </rPr>
          <t xml:space="preserve">
1/9 UPC贴纸 1200pcs</t>
        </r>
      </text>
    </comment>
    <comment ref="AI758" authorId="0">
      <text>
        <r>
          <rPr>
            <b/>
            <sz val="9"/>
            <rFont val="宋体"/>
            <charset val="134"/>
          </rPr>
          <t>Administrator:</t>
        </r>
        <r>
          <rPr>
            <sz val="9"/>
            <rFont val="宋体"/>
            <charset val="134"/>
          </rPr>
          <t xml:space="preserve">
4001803 1/24 600pcs
庞1f3</t>
        </r>
      </text>
    </comment>
    <comment ref="AL758" authorId="0">
      <text>
        <r>
          <rPr>
            <b/>
            <sz val="9"/>
            <rFont val="宋体"/>
            <charset val="134"/>
          </rPr>
          <t>Administrator:</t>
        </r>
        <r>
          <rPr>
            <sz val="9"/>
            <rFont val="宋体"/>
            <charset val="134"/>
          </rPr>
          <t xml:space="preserve">
12/16 进口商贴纸 600pcs</t>
        </r>
      </text>
    </comment>
    <comment ref="AI759" authorId="0">
      <text>
        <r>
          <rPr>
            <b/>
            <sz val="9"/>
            <rFont val="宋体"/>
            <charset val="134"/>
          </rPr>
          <t>Administrator:</t>
        </r>
        <r>
          <rPr>
            <sz val="9"/>
            <rFont val="宋体"/>
            <charset val="134"/>
          </rPr>
          <t xml:space="preserve">
4001803 1/24 3240pcs庞3a28
4001808 1/26 864pcs庞3a28
</t>
        </r>
      </text>
    </comment>
    <comment ref="AI760" authorId="0">
      <text>
        <r>
          <rPr>
            <b/>
            <sz val="9"/>
            <rFont val="宋体"/>
            <charset val="134"/>
          </rPr>
          <t>Administrator:</t>
        </r>
        <r>
          <rPr>
            <sz val="9"/>
            <rFont val="宋体"/>
            <charset val="134"/>
          </rPr>
          <t xml:space="preserve">
4001803 1/24 1200pcs
庞1f12</t>
        </r>
      </text>
    </comment>
    <comment ref="AL760" authorId="0">
      <text>
        <r>
          <rPr>
            <b/>
            <sz val="9"/>
            <rFont val="宋体"/>
            <charset val="134"/>
          </rPr>
          <t>Administrator:</t>
        </r>
        <r>
          <rPr>
            <sz val="9"/>
            <rFont val="宋体"/>
            <charset val="134"/>
          </rPr>
          <t xml:space="preserve">
12/25 进口商贴纸 1200pcs</t>
        </r>
      </text>
    </comment>
    <comment ref="AI761" authorId="0">
      <text>
        <r>
          <rPr>
            <b/>
            <sz val="9"/>
            <rFont val="宋体"/>
            <charset val="134"/>
          </rPr>
          <t>Administrator:</t>
        </r>
        <r>
          <rPr>
            <sz val="9"/>
            <rFont val="宋体"/>
            <charset val="134"/>
          </rPr>
          <t xml:space="preserve">
4001782 1/22 816pcs 庞1F4
</t>
        </r>
      </text>
    </comment>
    <comment ref="AL761" authorId="0">
      <text>
        <r>
          <rPr>
            <b/>
            <sz val="9"/>
            <rFont val="宋体"/>
            <charset val="134"/>
          </rPr>
          <t>Administrator:</t>
        </r>
        <r>
          <rPr>
            <sz val="9"/>
            <rFont val="宋体"/>
            <charset val="134"/>
          </rPr>
          <t xml:space="preserve">
1/9 UPC贴纸 816pcs
</t>
        </r>
      </text>
    </comment>
    <comment ref="AI762" authorId="0">
      <text>
        <r>
          <rPr>
            <b/>
            <sz val="9"/>
            <rFont val="宋体"/>
            <charset val="134"/>
          </rPr>
          <t>Administrator:</t>
        </r>
        <r>
          <rPr>
            <sz val="9"/>
            <rFont val="宋体"/>
            <charset val="134"/>
          </rPr>
          <t xml:space="preserve">
4001782 1/22 240pcs
庞3b14</t>
        </r>
      </text>
    </comment>
    <comment ref="AL762" authorId="0">
      <text>
        <r>
          <rPr>
            <b/>
            <sz val="9"/>
            <rFont val="宋体"/>
            <charset val="134"/>
          </rPr>
          <t>Administrator:</t>
        </r>
        <r>
          <rPr>
            <sz val="9"/>
            <rFont val="宋体"/>
            <charset val="134"/>
          </rPr>
          <t xml:space="preserve">
1/9 UPC贴纸 240pcs</t>
        </r>
      </text>
    </comment>
    <comment ref="AI763" authorId="0">
      <text>
        <r>
          <rPr>
            <b/>
            <sz val="9"/>
            <rFont val="宋体"/>
            <charset val="134"/>
          </rPr>
          <t>Administrator:</t>
        </r>
        <r>
          <rPr>
            <sz val="9"/>
            <rFont val="宋体"/>
            <charset val="134"/>
          </rPr>
          <t xml:space="preserve">
4001811 1/27 2000pcs
</t>
        </r>
      </text>
    </comment>
    <comment ref="AL763" authorId="0">
      <text>
        <r>
          <rPr>
            <b/>
            <sz val="9"/>
            <rFont val="宋体"/>
            <charset val="134"/>
          </rPr>
          <t>Administrator:</t>
        </r>
        <r>
          <rPr>
            <sz val="9"/>
            <rFont val="宋体"/>
            <charset val="134"/>
          </rPr>
          <t xml:space="preserve">
1/9 Kinderhe 2000pcs</t>
        </r>
      </text>
    </comment>
    <comment ref="AI764" authorId="0">
      <text>
        <r>
          <rPr>
            <b/>
            <sz val="9"/>
            <rFont val="宋体"/>
            <charset val="134"/>
          </rPr>
          <t>Administrator:</t>
        </r>
        <r>
          <rPr>
            <sz val="9"/>
            <rFont val="宋体"/>
            <charset val="134"/>
          </rPr>
          <t xml:space="preserve">
4001811 1/27 1440pcs
</t>
        </r>
      </text>
    </comment>
    <comment ref="AL764" authorId="0">
      <text>
        <r>
          <rPr>
            <b/>
            <sz val="9"/>
            <rFont val="宋体"/>
            <charset val="134"/>
          </rPr>
          <t>Administrator:</t>
        </r>
        <r>
          <rPr>
            <sz val="9"/>
            <rFont val="宋体"/>
            <charset val="134"/>
          </rPr>
          <t xml:space="preserve">
12/25 客供电池警语贴纸 1488pcs
客供警语贴 1490pcs</t>
        </r>
      </text>
    </comment>
    <comment ref="AI765" authorId="0">
      <text>
        <r>
          <rPr>
            <b/>
            <sz val="9"/>
            <rFont val="宋体"/>
            <charset val="134"/>
          </rPr>
          <t>Administrator:</t>
        </r>
        <r>
          <rPr>
            <sz val="9"/>
            <rFont val="宋体"/>
            <charset val="134"/>
          </rPr>
          <t xml:space="preserve">
4001811 1/27 960pcs
</t>
        </r>
      </text>
    </comment>
    <comment ref="AL765" authorId="0">
      <text>
        <r>
          <rPr>
            <b/>
            <sz val="9"/>
            <rFont val="宋体"/>
            <charset val="134"/>
          </rPr>
          <t>Administrator:</t>
        </r>
        <r>
          <rPr>
            <sz val="9"/>
            <rFont val="宋体"/>
            <charset val="134"/>
          </rPr>
          <t xml:space="preserve">
12/9 进口商贴纸 400pcs
1/7 进口商贴纸 960pcs</t>
        </r>
      </text>
    </comment>
    <comment ref="AI766" authorId="0">
      <text>
        <r>
          <rPr>
            <b/>
            <sz val="9"/>
            <rFont val="宋体"/>
            <charset val="134"/>
          </rPr>
          <t>Administrator:</t>
        </r>
        <r>
          <rPr>
            <sz val="9"/>
            <rFont val="宋体"/>
            <charset val="134"/>
          </rPr>
          <t xml:space="preserve">
</t>
        </r>
      </text>
    </comment>
    <comment ref="AI767" authorId="0">
      <text>
        <r>
          <rPr>
            <b/>
            <sz val="9"/>
            <rFont val="宋体"/>
            <charset val="134"/>
          </rPr>
          <t>Administrator:</t>
        </r>
        <r>
          <rPr>
            <sz val="9"/>
            <rFont val="宋体"/>
            <charset val="134"/>
          </rPr>
          <t xml:space="preserve">
4001808 1/26 864pcs庞3a283
4001811 1/27 744pcs王</t>
        </r>
      </text>
    </comment>
    <comment ref="AI768" authorId="0">
      <text>
        <r>
          <rPr>
            <b/>
            <sz val="9"/>
            <rFont val="宋体"/>
            <charset val="134"/>
          </rPr>
          <t>Administrator:</t>
        </r>
        <r>
          <rPr>
            <sz val="9"/>
            <rFont val="宋体"/>
            <charset val="134"/>
          </rPr>
          <t xml:space="preserve">
4001811 1/27 132pcs
王4a3</t>
        </r>
      </text>
    </comment>
    <comment ref="AI769" authorId="0">
      <text>
        <r>
          <rPr>
            <b/>
            <sz val="9"/>
            <rFont val="宋体"/>
            <charset val="134"/>
          </rPr>
          <t>Administrator:</t>
        </r>
        <r>
          <rPr>
            <sz val="9"/>
            <rFont val="宋体"/>
            <charset val="134"/>
          </rPr>
          <t xml:space="preserve">
4001803 1/24 480pcs
庞3a15</t>
        </r>
      </text>
    </comment>
    <comment ref="AL769" authorId="0">
      <text>
        <r>
          <rPr>
            <b/>
            <sz val="9"/>
            <rFont val="宋体"/>
            <charset val="134"/>
          </rPr>
          <t>Administrator:</t>
        </r>
        <r>
          <rPr>
            <sz val="9"/>
            <rFont val="宋体"/>
            <charset val="134"/>
          </rPr>
          <t xml:space="preserve">
1/12 进口商内容贴纸 480pcs</t>
        </r>
      </text>
    </comment>
    <comment ref="AI770" authorId="0">
      <text>
        <r>
          <rPr>
            <b/>
            <sz val="9"/>
            <rFont val="宋体"/>
            <charset val="134"/>
          </rPr>
          <t>Administrator:</t>
        </r>
        <r>
          <rPr>
            <sz val="9"/>
            <rFont val="宋体"/>
            <charset val="134"/>
          </rPr>
          <t xml:space="preserve">
4001803 1/24 120pcs
庞3a15
</t>
        </r>
      </text>
    </comment>
    <comment ref="AL770" authorId="0">
      <text>
        <r>
          <rPr>
            <b/>
            <sz val="9"/>
            <rFont val="宋体"/>
            <charset val="134"/>
          </rPr>
          <t>Administrator:</t>
        </r>
        <r>
          <rPr>
            <sz val="9"/>
            <rFont val="宋体"/>
            <charset val="134"/>
          </rPr>
          <t xml:space="preserve">
1/5 进口商贴纸 120pcs
1/14 UPC贴纸 120pcs</t>
        </r>
      </text>
    </comment>
    <comment ref="AI771" authorId="0">
      <text>
        <r>
          <rPr>
            <b/>
            <sz val="9"/>
            <rFont val="宋体"/>
            <charset val="134"/>
          </rPr>
          <t>Administrator:</t>
        </r>
        <r>
          <rPr>
            <sz val="9"/>
            <rFont val="宋体"/>
            <charset val="134"/>
          </rPr>
          <t xml:space="preserve">
4001764 1/16 862pcs
4001771 1/19 38pcs 文本云</t>
        </r>
      </text>
    </comment>
    <comment ref="AI772" authorId="0">
      <text>
        <r>
          <rPr>
            <b/>
            <sz val="9"/>
            <rFont val="宋体"/>
            <charset val="134"/>
          </rPr>
          <t>Administrator:</t>
        </r>
        <r>
          <rPr>
            <sz val="9"/>
            <rFont val="宋体"/>
            <charset val="134"/>
          </rPr>
          <t xml:space="preserve">
4001820 1/29 4320pcs
庞1f4
4001934 1/31 10680pcs庞1f5</t>
        </r>
      </text>
    </comment>
    <comment ref="AL772" authorId="0">
      <text>
        <r>
          <rPr>
            <b/>
            <sz val="9"/>
            <rFont val="宋体"/>
            <charset val="134"/>
          </rPr>
          <t>Administrator:</t>
        </r>
        <r>
          <rPr>
            <sz val="9"/>
            <rFont val="宋体"/>
            <charset val="134"/>
          </rPr>
          <t xml:space="preserve">
12/31 外箱贴纸 2500pcs
价格贴纸 15000pcs</t>
        </r>
      </text>
    </comment>
    <comment ref="AI773" authorId="0">
      <text>
        <r>
          <rPr>
            <b/>
            <sz val="9"/>
            <rFont val="宋体"/>
            <charset val="134"/>
          </rPr>
          <t>Administrator:</t>
        </r>
        <r>
          <rPr>
            <sz val="9"/>
            <rFont val="宋体"/>
            <charset val="134"/>
          </rPr>
          <t xml:space="preserve">
</t>
        </r>
      </text>
    </comment>
    <comment ref="AL774" authorId="0">
      <text>
        <r>
          <rPr>
            <b/>
            <sz val="9"/>
            <rFont val="宋体"/>
            <charset val="134"/>
          </rPr>
          <t>Administrator:</t>
        </r>
        <r>
          <rPr>
            <sz val="9"/>
            <rFont val="宋体"/>
            <charset val="134"/>
          </rPr>
          <t xml:space="preserve">
12/25 客供中文警告说明书 744pcs</t>
        </r>
      </text>
    </comment>
    <comment ref="AI776" authorId="0">
      <text>
        <r>
          <rPr>
            <b/>
            <sz val="9"/>
            <rFont val="宋体"/>
            <charset val="134"/>
          </rPr>
          <t>Administrator:</t>
        </r>
        <r>
          <rPr>
            <sz val="9"/>
            <rFont val="宋体"/>
            <charset val="134"/>
          </rPr>
          <t xml:space="preserve">
1405666 2/3 8164pcs庞登一楼
1405641 2/3 1320pcs
庞登一楼
1405611 2/4 516pcs庞登一楼
</t>
        </r>
      </text>
    </comment>
    <comment ref="AL776" authorId="0">
      <text>
        <r>
          <rPr>
            <b/>
            <sz val="9"/>
            <rFont val="宋体"/>
            <charset val="134"/>
          </rPr>
          <t>Administrator:</t>
        </r>
        <r>
          <rPr>
            <sz val="9"/>
            <rFont val="宋体"/>
            <charset val="134"/>
          </rPr>
          <t xml:space="preserve">
1/15 客供外箱条码贴纸 2525pcs
</t>
        </r>
      </text>
    </comment>
    <comment ref="AI777" authorId="0">
      <text>
        <r>
          <rPr>
            <b/>
            <sz val="9"/>
            <rFont val="宋体"/>
            <charset val="134"/>
          </rPr>
          <t>Administrator:</t>
        </r>
        <r>
          <rPr>
            <sz val="9"/>
            <rFont val="宋体"/>
            <charset val="134"/>
          </rPr>
          <t xml:space="preserve">
1405685 1/30 2880pcs
庞登1楼
1405692 1/30 1116pcs
庞登1楼
1405650 2/2 4pcs登1楼</t>
        </r>
      </text>
    </comment>
    <comment ref="AL777" authorId="0">
      <text>
        <r>
          <rPr>
            <b/>
            <sz val="9"/>
            <rFont val="宋体"/>
            <charset val="134"/>
          </rPr>
          <t>Administrator:</t>
        </r>
        <r>
          <rPr>
            <sz val="9"/>
            <rFont val="宋体"/>
            <charset val="134"/>
          </rPr>
          <t xml:space="preserve">
1/15 客供外箱条码贴纸 1010pcs
</t>
        </r>
      </text>
    </comment>
    <comment ref="AI778" authorId="0">
      <text>
        <r>
          <rPr>
            <b/>
            <sz val="9"/>
            <rFont val="宋体"/>
            <charset val="134"/>
          </rPr>
          <t>Administrator:</t>
        </r>
        <r>
          <rPr>
            <sz val="9"/>
            <rFont val="宋体"/>
            <charset val="134"/>
          </rPr>
          <t xml:space="preserve">
4001901 2/2 660pcs 直走</t>
        </r>
      </text>
    </comment>
    <comment ref="AL778" authorId="0">
      <text>
        <r>
          <rPr>
            <b/>
            <sz val="9"/>
            <rFont val="宋体"/>
            <charset val="134"/>
          </rPr>
          <t>Administrator:</t>
        </r>
        <r>
          <rPr>
            <sz val="9"/>
            <rFont val="宋体"/>
            <charset val="134"/>
          </rPr>
          <t xml:space="preserve">
1/28 客供防窜码贴纸1拖6 660pcs</t>
        </r>
      </text>
    </comment>
    <comment ref="AL779" authorId="0">
      <text>
        <r>
          <rPr>
            <b/>
            <sz val="9"/>
            <rFont val="宋体"/>
            <charset val="134"/>
          </rPr>
          <t>Administrator:</t>
        </r>
        <r>
          <rPr>
            <sz val="9"/>
            <rFont val="宋体"/>
            <charset val="134"/>
          </rPr>
          <t xml:space="preserve">
12/29 颜色贴纸 1200pcs
空白贴纸 1200pcs
3c贴纸 1860pcs
空白贴纸 2400pcs
1/5 窖供芯片码贴纸 1200pcs
</t>
        </r>
      </text>
    </comment>
    <comment ref="AL780" authorId="0">
      <text>
        <r>
          <rPr>
            <b/>
            <sz val="9"/>
            <rFont val="宋体"/>
            <charset val="134"/>
          </rPr>
          <t>Administrator:</t>
        </r>
        <r>
          <rPr>
            <sz val="9"/>
            <rFont val="宋体"/>
            <charset val="134"/>
          </rPr>
          <t xml:space="preserve">
1/5 窖供芯片码贴纸 3000pcs
1/7 3c贴纸 3000pcs</t>
        </r>
      </text>
    </comment>
    <comment ref="AL781" authorId="0">
      <text>
        <r>
          <rPr>
            <b/>
            <sz val="9"/>
            <rFont val="宋体"/>
            <charset val="134"/>
          </rPr>
          <t>Administrator:</t>
        </r>
        <r>
          <rPr>
            <sz val="9"/>
            <rFont val="宋体"/>
            <charset val="134"/>
          </rPr>
          <t xml:space="preserve">
1/5 窖供芯片码贴纸 7800pcs
1/7 3c贴纸 7800pcs
</t>
        </r>
      </text>
    </comment>
    <comment ref="AI782" authorId="0">
      <text>
        <r>
          <rPr>
            <b/>
            <sz val="9"/>
            <rFont val="宋体"/>
            <charset val="134"/>
          </rPr>
          <t>Administrator:</t>
        </r>
        <r>
          <rPr>
            <sz val="9"/>
            <rFont val="宋体"/>
            <charset val="134"/>
          </rPr>
          <t xml:space="preserve">
</t>
        </r>
      </text>
    </comment>
    <comment ref="AL782" authorId="0">
      <text>
        <r>
          <rPr>
            <b/>
            <sz val="9"/>
            <rFont val="宋体"/>
            <charset val="134"/>
          </rPr>
          <t>Administrator:</t>
        </r>
        <r>
          <rPr>
            <sz val="9"/>
            <rFont val="宋体"/>
            <charset val="134"/>
          </rPr>
          <t xml:space="preserve">
1/5 窖供芯片码贴纸 7200pcs
1/7 3c贴纸 7200pcs
</t>
        </r>
      </text>
    </comment>
    <comment ref="AI783" authorId="0">
      <text>
        <r>
          <rPr>
            <b/>
            <sz val="9"/>
            <rFont val="宋体"/>
            <charset val="134"/>
          </rPr>
          <t>Administrator:</t>
        </r>
        <r>
          <rPr>
            <sz val="9"/>
            <rFont val="宋体"/>
            <charset val="134"/>
          </rPr>
          <t xml:space="preserve">
1405611 2/4 2304pcs庞1f9</t>
        </r>
      </text>
    </comment>
    <comment ref="AL783" authorId="0">
      <text>
        <r>
          <rPr>
            <b/>
            <sz val="9"/>
            <rFont val="宋体"/>
            <charset val="134"/>
          </rPr>
          <t>Administrator:</t>
        </r>
        <r>
          <rPr>
            <sz val="9"/>
            <rFont val="宋体"/>
            <charset val="134"/>
          </rPr>
          <t xml:space="preserve">
1/12 进口商贴纸 2304pcs
UPC条码贴纸 2304pcs
保证书 2304pcs</t>
        </r>
      </text>
    </comment>
    <comment ref="AI784" authorId="0">
      <text>
        <r>
          <rPr>
            <b/>
            <sz val="9"/>
            <rFont val="宋体"/>
            <charset val="134"/>
          </rPr>
          <t>Administrator:</t>
        </r>
        <r>
          <rPr>
            <sz val="9"/>
            <rFont val="宋体"/>
            <charset val="134"/>
          </rPr>
          <t xml:space="preserve">
1/31 4001935 1800pcs</t>
        </r>
      </text>
    </comment>
    <comment ref="AI785" authorId="0">
      <text>
        <r>
          <rPr>
            <b/>
            <sz val="9"/>
            <rFont val="宋体"/>
            <charset val="134"/>
          </rPr>
          <t>Administrator:</t>
        </r>
        <r>
          <rPr>
            <sz val="9"/>
            <rFont val="宋体"/>
            <charset val="134"/>
          </rPr>
          <t xml:space="preserve">
1405692 1/30 480pcs
庞登1楼
</t>
        </r>
      </text>
    </comment>
    <comment ref="AI786" authorId="0">
      <text>
        <r>
          <rPr>
            <b/>
            <sz val="9"/>
            <rFont val="宋体"/>
            <charset val="134"/>
          </rPr>
          <t>Administrator:</t>
        </r>
        <r>
          <rPr>
            <sz val="9"/>
            <rFont val="宋体"/>
            <charset val="134"/>
          </rPr>
          <t xml:space="preserve">
1405685 1/30 8760pcs
庞登1楼
1405650 2/2 4pcs
登1楼
</t>
        </r>
      </text>
    </comment>
    <comment ref="AL786" authorId="0">
      <text>
        <r>
          <rPr>
            <b/>
            <sz val="9"/>
            <rFont val="宋体"/>
            <charset val="134"/>
          </rPr>
          <t>Administrator:</t>
        </r>
        <r>
          <rPr>
            <sz val="9"/>
            <rFont val="宋体"/>
            <charset val="134"/>
          </rPr>
          <t xml:space="preserve">
1/15 客供外箱条码贴纸 2273pcs
</t>
        </r>
      </text>
    </comment>
    <comment ref="AI787" authorId="0">
      <text>
        <r>
          <rPr>
            <b/>
            <sz val="9"/>
            <rFont val="宋体"/>
            <charset val="134"/>
          </rPr>
          <t>Administrator:</t>
        </r>
        <r>
          <rPr>
            <sz val="9"/>
            <rFont val="宋体"/>
            <charset val="134"/>
          </rPr>
          <t xml:space="preserve">
1405641 2/3 504pcs庞1f3</t>
        </r>
      </text>
    </comment>
    <comment ref="AL787" authorId="0">
      <text>
        <r>
          <rPr>
            <b/>
            <sz val="9"/>
            <rFont val="宋体"/>
            <charset val="134"/>
          </rPr>
          <t>Administrator:</t>
        </r>
        <r>
          <rPr>
            <sz val="9"/>
            <rFont val="宋体"/>
            <charset val="134"/>
          </rPr>
          <t xml:space="preserve">
1/19 大电池警告语贴纸 1008pcs
小电池警告语贴纸 504pcs</t>
        </r>
      </text>
    </comment>
    <comment ref="AI788" authorId="0">
      <text>
        <r>
          <rPr>
            <b/>
            <sz val="9"/>
            <rFont val="宋体"/>
            <charset val="134"/>
          </rPr>
          <t>Administrator:</t>
        </r>
        <r>
          <rPr>
            <sz val="9"/>
            <rFont val="宋体"/>
            <charset val="134"/>
          </rPr>
          <t xml:space="preserve">
1405611 2/4 4800pcs
庞1f11</t>
        </r>
      </text>
    </comment>
    <comment ref="AL788" authorId="0">
      <text>
        <r>
          <rPr>
            <b/>
            <sz val="9"/>
            <rFont val="宋体"/>
            <charset val="134"/>
          </rPr>
          <t>Administrator:</t>
        </r>
        <r>
          <rPr>
            <sz val="9"/>
            <rFont val="宋体"/>
            <charset val="134"/>
          </rPr>
          <t xml:space="preserve">
1/21 PDQ+Kind  6000pcs
1/23 多语折疊警语贴纸 4800pcs
</t>
        </r>
      </text>
    </comment>
    <comment ref="AI789" authorId="0">
      <text>
        <r>
          <rPr>
            <b/>
            <sz val="9"/>
            <rFont val="宋体"/>
            <charset val="134"/>
          </rPr>
          <t>Administrator:</t>
        </r>
        <r>
          <rPr>
            <sz val="9"/>
            <rFont val="宋体"/>
            <charset val="134"/>
          </rPr>
          <t xml:space="preserve">
1405579 2/5 3520pcs王4b6</t>
        </r>
      </text>
    </comment>
    <comment ref="AL789" authorId="0">
      <text>
        <r>
          <rPr>
            <b/>
            <sz val="9"/>
            <rFont val="宋体"/>
            <charset val="134"/>
          </rPr>
          <t>Administrator:</t>
        </r>
        <r>
          <rPr>
            <sz val="9"/>
            <rFont val="宋体"/>
            <charset val="134"/>
          </rPr>
          <t xml:space="preserve">
1/19 客户EAN条码贴纸 3520pcs 
PDQ数量贴纸 2972pcs</t>
        </r>
      </text>
    </comment>
    <comment ref="AL790" authorId="0">
      <text>
        <r>
          <rPr>
            <b/>
            <sz val="9"/>
            <rFont val="宋体"/>
            <charset val="134"/>
          </rPr>
          <t>Administrator:</t>
        </r>
        <r>
          <rPr>
            <sz val="9"/>
            <rFont val="宋体"/>
            <charset val="134"/>
          </rPr>
          <t xml:space="preserve">
1/5 客供价格貼紙 1200pcs</t>
        </r>
      </text>
    </comment>
    <comment ref="AI791" authorId="0">
      <text>
        <r>
          <rPr>
            <b/>
            <sz val="9"/>
            <rFont val="宋体"/>
            <charset val="134"/>
          </rPr>
          <t>Administrator:</t>
        </r>
        <r>
          <rPr>
            <sz val="9"/>
            <rFont val="宋体"/>
            <charset val="134"/>
          </rPr>
          <t xml:space="preserve">
4001891 2/6 3840pcs王4c8</t>
        </r>
      </text>
    </comment>
    <comment ref="AL791" authorId="0">
      <text>
        <r>
          <rPr>
            <b/>
            <sz val="9"/>
            <rFont val="宋体"/>
            <charset val="134"/>
          </rPr>
          <t>Administrator:</t>
        </r>
        <r>
          <rPr>
            <sz val="9"/>
            <rFont val="宋体"/>
            <charset val="134"/>
          </rPr>
          <t xml:space="preserve">
1/5 客供邸ID贴纸  3840pcs</t>
        </r>
      </text>
    </comment>
    <comment ref="AI792" authorId="0">
      <text>
        <r>
          <rPr>
            <b/>
            <sz val="9"/>
            <rFont val="宋体"/>
            <charset val="134"/>
          </rPr>
          <t>Administrator:</t>
        </r>
        <r>
          <rPr>
            <sz val="9"/>
            <rFont val="宋体"/>
            <charset val="134"/>
          </rPr>
          <t xml:space="preserve">
4001892 2/6 4160pcs庞登1楼</t>
        </r>
      </text>
    </comment>
    <comment ref="AL792" authorId="0">
      <text>
        <r>
          <rPr>
            <b/>
            <sz val="9"/>
            <rFont val="宋体"/>
            <charset val="134"/>
          </rPr>
          <t>Administrator:</t>
        </r>
        <r>
          <rPr>
            <sz val="9"/>
            <rFont val="宋体"/>
            <charset val="134"/>
          </rPr>
          <t xml:space="preserve">
1/5 客供邸ID贴纸  4160pcs
</t>
        </r>
      </text>
    </comment>
    <comment ref="AI793" authorId="0">
      <text>
        <r>
          <rPr>
            <b/>
            <sz val="9"/>
            <rFont val="宋体"/>
            <charset val="134"/>
          </rPr>
          <t>Administrator:</t>
        </r>
        <r>
          <rPr>
            <sz val="9"/>
            <rFont val="宋体"/>
            <charset val="134"/>
          </rPr>
          <t xml:space="preserve">
4001892 2/6 6460pcs
庞登1楼
</t>
        </r>
      </text>
    </comment>
    <comment ref="AL793" authorId="0">
      <text>
        <r>
          <rPr>
            <b/>
            <sz val="9"/>
            <rFont val="宋体"/>
            <charset val="134"/>
          </rPr>
          <t>Administrator:</t>
        </r>
        <r>
          <rPr>
            <sz val="9"/>
            <rFont val="宋体"/>
            <charset val="134"/>
          </rPr>
          <t xml:space="preserve">
1/5 客供邸ID贴纸  6400pcs
</t>
        </r>
      </text>
    </comment>
    <comment ref="AI794" authorId="0">
      <text>
        <r>
          <rPr>
            <b/>
            <sz val="9"/>
            <rFont val="宋体"/>
            <charset val="134"/>
          </rPr>
          <t>Administrator:</t>
        </r>
        <r>
          <rPr>
            <sz val="9"/>
            <rFont val="宋体"/>
            <charset val="134"/>
          </rPr>
          <t xml:space="preserve">
4001891 2/6 5120pcs
王4c8
</t>
        </r>
      </text>
    </comment>
    <comment ref="AL794" authorId="0">
      <text>
        <r>
          <rPr>
            <b/>
            <sz val="9"/>
            <rFont val="宋体"/>
            <charset val="134"/>
          </rPr>
          <t>Administrator:</t>
        </r>
        <r>
          <rPr>
            <sz val="9"/>
            <rFont val="宋体"/>
            <charset val="134"/>
          </rPr>
          <t xml:space="preserve">
1/5 客供邸ID贴纸  5120pcs
</t>
        </r>
      </text>
    </comment>
    <comment ref="AI795" authorId="0">
      <text>
        <r>
          <rPr>
            <b/>
            <sz val="9"/>
            <rFont val="宋体"/>
            <charset val="134"/>
          </rPr>
          <t>Administrator:</t>
        </r>
        <r>
          <rPr>
            <sz val="9"/>
            <rFont val="宋体"/>
            <charset val="134"/>
          </rPr>
          <t xml:space="preserve">
4001892 2/6 6080pcs
庞登1楼
</t>
        </r>
      </text>
    </comment>
    <comment ref="AL795" authorId="0">
      <text>
        <r>
          <rPr>
            <b/>
            <sz val="9"/>
            <rFont val="宋体"/>
            <charset val="134"/>
          </rPr>
          <t>Administrator:</t>
        </r>
        <r>
          <rPr>
            <sz val="9"/>
            <rFont val="宋体"/>
            <charset val="134"/>
          </rPr>
          <t xml:space="preserve">
1/5 客供邸ID贴纸 6080pcs
</t>
        </r>
      </text>
    </comment>
    <comment ref="AI796" authorId="0">
      <text>
        <r>
          <rPr>
            <b/>
            <sz val="9"/>
            <rFont val="宋体"/>
            <charset val="134"/>
          </rPr>
          <t>Administrator:</t>
        </r>
        <r>
          <rPr>
            <sz val="9"/>
            <rFont val="宋体"/>
            <charset val="134"/>
          </rPr>
          <t xml:space="preserve">
4001892 2/6 2880pcs
庞1f5
4001893 2/6 2560pcs
庞1f5</t>
        </r>
      </text>
    </comment>
    <comment ref="AL796" authorId="0">
      <text>
        <r>
          <rPr>
            <b/>
            <sz val="9"/>
            <rFont val="宋体"/>
            <charset val="134"/>
          </rPr>
          <t>Administrator:</t>
        </r>
        <r>
          <rPr>
            <sz val="9"/>
            <rFont val="宋体"/>
            <charset val="134"/>
          </rPr>
          <t xml:space="preserve">
1/5 客供邸ID贴纸  5440pcs
</t>
        </r>
      </text>
    </comment>
    <comment ref="AI797" authorId="0">
      <text>
        <r>
          <rPr>
            <b/>
            <sz val="9"/>
            <rFont val="宋体"/>
            <charset val="134"/>
          </rPr>
          <t>Administrator:</t>
        </r>
        <r>
          <rPr>
            <sz val="9"/>
            <rFont val="宋体"/>
            <charset val="134"/>
          </rPr>
          <t xml:space="preserve">
4001891 2/6 3840pcs
王4c8
</t>
        </r>
      </text>
    </comment>
    <comment ref="AL797" authorId="0">
      <text>
        <r>
          <rPr>
            <b/>
            <sz val="9"/>
            <rFont val="宋体"/>
            <charset val="134"/>
          </rPr>
          <t>Administrator:</t>
        </r>
        <r>
          <rPr>
            <sz val="9"/>
            <rFont val="宋体"/>
            <charset val="134"/>
          </rPr>
          <t xml:space="preserve">
1/5 客供邸ID贴纸  3840pcs
</t>
        </r>
      </text>
    </comment>
    <comment ref="AI798" authorId="0">
      <text>
        <r>
          <rPr>
            <b/>
            <sz val="9"/>
            <rFont val="宋体"/>
            <charset val="134"/>
          </rPr>
          <t>Administrator:</t>
        </r>
        <r>
          <rPr>
            <sz val="9"/>
            <rFont val="宋体"/>
            <charset val="134"/>
          </rPr>
          <t xml:space="preserve">
4001892 2/6 708pcs
庞3b15</t>
        </r>
      </text>
    </comment>
    <comment ref="AL798" authorId="0">
      <text>
        <r>
          <rPr>
            <b/>
            <sz val="9"/>
            <rFont val="宋体"/>
            <charset val="134"/>
          </rPr>
          <t>Administrator:</t>
        </r>
        <r>
          <rPr>
            <sz val="9"/>
            <rFont val="宋体"/>
            <charset val="134"/>
          </rPr>
          <t xml:space="preserve">
1/19 客人白色Cat.label 708pcs</t>
        </r>
      </text>
    </comment>
    <comment ref="AI802" authorId="0">
      <text>
        <r>
          <rPr>
            <b/>
            <sz val="9"/>
            <rFont val="宋体"/>
            <charset val="134"/>
          </rPr>
          <t>Administrator:</t>
        </r>
        <r>
          <rPr>
            <sz val="9"/>
            <rFont val="宋体"/>
            <charset val="134"/>
          </rPr>
          <t xml:space="preserve">
4001877 2/7 390pcs庞登1楼</t>
        </r>
      </text>
    </comment>
    <comment ref="AL802" authorId="0">
      <text>
        <r>
          <rPr>
            <b/>
            <sz val="9"/>
            <rFont val="宋体"/>
            <charset val="134"/>
          </rPr>
          <t>Administrator:</t>
        </r>
        <r>
          <rPr>
            <sz val="9"/>
            <rFont val="宋体"/>
            <charset val="134"/>
          </rPr>
          <t xml:space="preserve">
1/13 客供防窜码贴纸1拖6 390pcs
1/12 3C中文贴纸</t>
        </r>
        <r>
          <rPr>
            <b/>
            <sz val="9"/>
            <rFont val="宋体"/>
            <charset val="134"/>
          </rPr>
          <t xml:space="preserve"> 390pcs</t>
        </r>
      </text>
    </comment>
    <comment ref="AI803" authorId="0">
      <text>
        <r>
          <rPr>
            <b/>
            <sz val="9"/>
            <rFont val="宋体"/>
            <charset val="134"/>
          </rPr>
          <t>Administrator:</t>
        </r>
        <r>
          <rPr>
            <sz val="9"/>
            <rFont val="宋体"/>
            <charset val="134"/>
          </rPr>
          <t xml:space="preserve">
4001877 2/7 3600pcs
庞登1楼
</t>
        </r>
      </text>
    </comment>
    <comment ref="AL803" authorId="0">
      <text>
        <r>
          <rPr>
            <b/>
            <sz val="9"/>
            <rFont val="宋体"/>
            <charset val="134"/>
          </rPr>
          <t>Administrator:</t>
        </r>
        <r>
          <rPr>
            <sz val="9"/>
            <rFont val="宋体"/>
            <charset val="134"/>
          </rPr>
          <t xml:space="preserve">
1/13 客供防窜码贴纸1拖6 3600pcs
1/12 3C中文贴纸 3600pcs
</t>
        </r>
      </text>
    </comment>
    <comment ref="AI804" authorId="0">
      <text>
        <r>
          <rPr>
            <b/>
            <sz val="9"/>
            <rFont val="宋体"/>
            <charset val="134"/>
          </rPr>
          <t>Administrator:</t>
        </r>
        <r>
          <rPr>
            <sz val="9"/>
            <rFont val="宋体"/>
            <charset val="134"/>
          </rPr>
          <t xml:space="preserve">
4001891 2/6 1320PCS
王4b8</t>
        </r>
      </text>
    </comment>
    <comment ref="AL804" authorId="0">
      <text>
        <r>
          <rPr>
            <b/>
            <sz val="9"/>
            <rFont val="宋体"/>
            <charset val="134"/>
          </rPr>
          <t>Administrator:</t>
        </r>
        <r>
          <rPr>
            <sz val="9"/>
            <rFont val="宋体"/>
            <charset val="134"/>
          </rPr>
          <t xml:space="preserve">
1/23 进口商贴纸 13220pcs</t>
        </r>
      </text>
    </comment>
    <comment ref="AI807" authorId="0">
      <text>
        <r>
          <rPr>
            <b/>
            <sz val="9"/>
            <rFont val="宋体"/>
            <charset val="134"/>
          </rPr>
          <t>Administrator:</t>
        </r>
        <r>
          <rPr>
            <sz val="9"/>
            <rFont val="宋体"/>
            <charset val="134"/>
          </rPr>
          <t xml:space="preserve">
4001877 2/7 600pcs
庞登1楼
</t>
        </r>
      </text>
    </comment>
    <comment ref="AL807" authorId="0">
      <text>
        <r>
          <rPr>
            <b/>
            <sz val="9"/>
            <rFont val="宋体"/>
            <charset val="134"/>
          </rPr>
          <t>Administrator:</t>
        </r>
        <r>
          <rPr>
            <sz val="9"/>
            <rFont val="宋体"/>
            <charset val="134"/>
          </rPr>
          <t xml:space="preserve">
1/21 进口商贴纸 600pcs
说明书贴纸 600pcs
价标贴纸 600pcs
2/3 客供mu贴纸(条码贴 50pcs
客供ASN贴纸 50pcs</t>
        </r>
      </text>
    </comment>
    <comment ref="AI808" authorId="0">
      <text>
        <r>
          <rPr>
            <b/>
            <sz val="9"/>
            <rFont val="宋体"/>
            <charset val="134"/>
          </rPr>
          <t>Administrator:</t>
        </r>
        <r>
          <rPr>
            <sz val="9"/>
            <rFont val="宋体"/>
            <charset val="134"/>
          </rPr>
          <t xml:space="preserve">
4001893 2/6 2040pcs
庞1f9
4001897 2/7 324pcs庞1f9</t>
        </r>
      </text>
    </comment>
    <comment ref="AL808" authorId="0">
      <text>
        <r>
          <rPr>
            <b/>
            <sz val="9"/>
            <rFont val="宋体"/>
            <charset val="134"/>
          </rPr>
          <t>Administrator:</t>
        </r>
        <r>
          <rPr>
            <sz val="9"/>
            <rFont val="宋体"/>
            <charset val="134"/>
          </rPr>
          <t xml:space="preserve">
1/23 多语折稥警语贴纸 2364pcs</t>
        </r>
      </text>
    </comment>
    <comment ref="AI809" authorId="0">
      <text>
        <r>
          <rPr>
            <b/>
            <sz val="9"/>
            <rFont val="宋体"/>
            <charset val="134"/>
          </rPr>
          <t>Administrator:</t>
        </r>
        <r>
          <rPr>
            <sz val="9"/>
            <rFont val="宋体"/>
            <charset val="134"/>
          </rPr>
          <t xml:space="preserve">
4001897 2/7 2976pcs
王4a9
4001874 2/7 32pcs 庞4a9</t>
        </r>
      </text>
    </comment>
    <comment ref="AL809" authorId="0">
      <text>
        <r>
          <rPr>
            <b/>
            <sz val="9"/>
            <rFont val="宋体"/>
            <charset val="134"/>
          </rPr>
          <t>Administrator:</t>
        </r>
        <r>
          <rPr>
            <sz val="9"/>
            <rFont val="宋体"/>
            <charset val="134"/>
          </rPr>
          <t xml:space="preserve">
1/19 客户EAN条码贴纸3008pcs 
</t>
        </r>
      </text>
    </comment>
    <comment ref="AI810" authorId="0">
      <text>
        <r>
          <rPr>
            <b/>
            <sz val="9"/>
            <rFont val="宋体"/>
            <charset val="134"/>
          </rPr>
          <t>Administrator:</t>
        </r>
        <r>
          <rPr>
            <sz val="9"/>
            <rFont val="宋体"/>
            <charset val="134"/>
          </rPr>
          <t xml:space="preserve">
4001897 2/7 2000pcs
王4a4</t>
        </r>
      </text>
    </comment>
    <comment ref="AL810" authorId="0">
      <text>
        <r>
          <rPr>
            <b/>
            <sz val="9"/>
            <rFont val="宋体"/>
            <charset val="134"/>
          </rPr>
          <t>Administrator:</t>
        </r>
        <r>
          <rPr>
            <sz val="9"/>
            <rFont val="宋体"/>
            <charset val="134"/>
          </rPr>
          <t xml:space="preserve">
1/19 客户EAN条码贴纸2000pcs 
</t>
        </r>
      </text>
    </comment>
    <comment ref="AI811" authorId="0">
      <text>
        <r>
          <rPr>
            <b/>
            <sz val="9"/>
            <rFont val="宋体"/>
            <charset val="134"/>
          </rPr>
          <t>Administrator:</t>
        </r>
        <r>
          <rPr>
            <sz val="9"/>
            <rFont val="宋体"/>
            <charset val="134"/>
          </rPr>
          <t xml:space="preserve">
4001897 2/7 3360pcs
王4a3</t>
        </r>
      </text>
    </comment>
    <comment ref="AL811" authorId="0">
      <text>
        <r>
          <rPr>
            <b/>
            <sz val="9"/>
            <rFont val="宋体"/>
            <charset val="134"/>
          </rPr>
          <t>Administrator:</t>
        </r>
        <r>
          <rPr>
            <sz val="9"/>
            <rFont val="宋体"/>
            <charset val="134"/>
          </rPr>
          <t xml:space="preserve">
1/19 客户EAN条码贴纸 336pcs 
</t>
        </r>
      </text>
    </comment>
    <comment ref="AI812" authorId="0">
      <text>
        <r>
          <rPr>
            <b/>
            <sz val="9"/>
            <rFont val="宋体"/>
            <charset val="134"/>
          </rPr>
          <t>Administrator:</t>
        </r>
        <r>
          <rPr>
            <sz val="9"/>
            <rFont val="宋体"/>
            <charset val="134"/>
          </rPr>
          <t xml:space="preserve">
4001897 2/7 900pcs
王4a2</t>
        </r>
      </text>
    </comment>
    <comment ref="AI813" authorId="0">
      <text>
        <r>
          <rPr>
            <b/>
            <sz val="9"/>
            <rFont val="宋体"/>
            <charset val="134"/>
          </rPr>
          <t>Administrator:</t>
        </r>
        <r>
          <rPr>
            <sz val="9"/>
            <rFont val="宋体"/>
            <charset val="134"/>
          </rPr>
          <t xml:space="preserve">
4001889 2/5 1200pcs王4a3</t>
        </r>
      </text>
    </comment>
    <comment ref="AL813" authorId="0">
      <text>
        <r>
          <rPr>
            <b/>
            <sz val="9"/>
            <rFont val="宋体"/>
            <charset val="134"/>
          </rPr>
          <t>Administrator:</t>
        </r>
        <r>
          <rPr>
            <sz val="9"/>
            <rFont val="宋体"/>
            <charset val="134"/>
          </rPr>
          <t xml:space="preserve">
1/19 客户警语贴纸 1200pcs</t>
        </r>
      </text>
    </comment>
    <comment ref="AI814" authorId="0">
      <text>
        <r>
          <rPr>
            <b/>
            <sz val="9"/>
            <rFont val="宋体"/>
            <charset val="134"/>
          </rPr>
          <t>Administrator:</t>
        </r>
        <r>
          <rPr>
            <sz val="9"/>
            <rFont val="宋体"/>
            <charset val="134"/>
          </rPr>
          <t xml:space="preserve">
1505509 2/28 576pcs庞3b12</t>
        </r>
      </text>
    </comment>
    <comment ref="AL814" authorId="0">
      <text>
        <r>
          <rPr>
            <b/>
            <sz val="9"/>
            <rFont val="宋体"/>
            <charset val="134"/>
          </rPr>
          <t>Administrator:</t>
        </r>
        <r>
          <rPr>
            <sz val="9"/>
            <rFont val="宋体"/>
            <charset val="134"/>
          </rPr>
          <t xml:space="preserve">
1/22 警示语贴纸 576pcs</t>
        </r>
      </text>
    </comment>
    <comment ref="AI815" authorId="0">
      <text>
        <r>
          <rPr>
            <b/>
            <sz val="9"/>
            <rFont val="宋体"/>
            <charset val="134"/>
          </rPr>
          <t>Administrator:</t>
        </r>
        <r>
          <rPr>
            <sz val="9"/>
            <rFont val="宋体"/>
            <charset val="134"/>
          </rPr>
          <t xml:space="preserve">
1405503 2/27 12600pcs 王4a5
</t>
        </r>
      </text>
    </comment>
    <comment ref="AL815" authorId="0">
      <text>
        <r>
          <rPr>
            <b/>
            <sz val="9"/>
            <rFont val="宋体"/>
            <charset val="134"/>
          </rPr>
          <t>Administrator:</t>
        </r>
        <r>
          <rPr>
            <sz val="9"/>
            <rFont val="宋体"/>
            <charset val="134"/>
          </rPr>
          <t xml:space="preserve">
1/22 进口商贴纸 12600pcs</t>
        </r>
      </text>
    </comment>
    <comment ref="AI816" authorId="0">
      <text>
        <r>
          <rPr>
            <b/>
            <sz val="9"/>
            <rFont val="宋体"/>
            <charset val="134"/>
          </rPr>
          <t>Administrator:</t>
        </r>
        <r>
          <rPr>
            <sz val="9"/>
            <rFont val="宋体"/>
            <charset val="134"/>
          </rPr>
          <t xml:space="preserve">
4001885 2/27 3600pcs庞1f11
4001860 2/27 11520PCS 庞1f11
4001866 2/28 11132pcs 庞1f9</t>
        </r>
      </text>
    </comment>
    <comment ref="AL816" authorId="0">
      <text>
        <r>
          <rPr>
            <b/>
            <sz val="9"/>
            <rFont val="宋体"/>
            <charset val="134"/>
          </rPr>
          <t>Administrator:</t>
        </r>
        <r>
          <rPr>
            <sz val="9"/>
            <rFont val="宋体"/>
            <charset val="134"/>
          </rPr>
          <t xml:space="preserve">
1/15 客供外箱条码贴纸 6629pcs</t>
        </r>
      </text>
    </comment>
    <comment ref="AI817" authorId="0">
      <text>
        <r>
          <rPr>
            <b/>
            <sz val="9"/>
            <rFont val="宋体"/>
            <charset val="134"/>
          </rPr>
          <t>Administrator:</t>
        </r>
        <r>
          <rPr>
            <sz val="9"/>
            <rFont val="宋体"/>
            <charset val="134"/>
          </rPr>
          <t xml:space="preserve">
1505509 2/28 1184pcs
庞3b14
1405491 3/3 16pcs
庞3b14
</t>
        </r>
      </text>
    </comment>
    <comment ref="AI818" authorId="0">
      <text>
        <r>
          <rPr>
            <b/>
            <sz val="9"/>
            <rFont val="宋体"/>
            <charset val="134"/>
          </rPr>
          <t>Administrator:</t>
        </r>
        <r>
          <rPr>
            <sz val="9"/>
            <rFont val="宋体"/>
            <charset val="134"/>
          </rPr>
          <t xml:space="preserve">
1405498 3/5 720pcs
王4a9</t>
        </r>
      </text>
    </comment>
    <comment ref="AL818" authorId="0">
      <text>
        <r>
          <rPr>
            <b/>
            <sz val="9"/>
            <rFont val="宋体"/>
            <charset val="134"/>
          </rPr>
          <t>Administrator:</t>
        </r>
        <r>
          <rPr>
            <sz val="9"/>
            <rFont val="宋体"/>
            <charset val="134"/>
          </rPr>
          <t xml:space="preserve">
3/2 UPC贴纸 720pcs
</t>
        </r>
      </text>
    </comment>
    <comment ref="AI819" authorId="0">
      <text>
        <r>
          <rPr>
            <b/>
            <sz val="9"/>
            <rFont val="宋体"/>
            <charset val="134"/>
          </rPr>
          <t>Administrator:</t>
        </r>
        <r>
          <rPr>
            <sz val="9"/>
            <rFont val="宋体"/>
            <charset val="134"/>
          </rPr>
          <t xml:space="preserve">
4001877 2/7 4400pcs
庞登1楼
</t>
        </r>
      </text>
    </comment>
    <comment ref="AI820" authorId="0">
      <text>
        <r>
          <rPr>
            <b/>
            <sz val="9"/>
            <rFont val="宋体"/>
            <charset val="134"/>
          </rPr>
          <t>Administrator:</t>
        </r>
        <r>
          <rPr>
            <sz val="9"/>
            <rFont val="宋体"/>
            <charset val="134"/>
          </rPr>
          <t xml:space="preserve">
1405491 3/3 2848pcs
庞3b11
1405498 3/5 12pcs庞3b11
</t>
        </r>
      </text>
    </comment>
    <comment ref="AL820" authorId="0">
      <text>
        <r>
          <rPr>
            <b/>
            <sz val="9"/>
            <rFont val="宋体"/>
            <charset val="134"/>
          </rPr>
          <t>Administrator:</t>
        </r>
        <r>
          <rPr>
            <sz val="9"/>
            <rFont val="宋体"/>
            <charset val="134"/>
          </rPr>
          <t xml:space="preserve">
1/26 PDQUPC 条码贴纸 715pcs</t>
        </r>
      </text>
    </comment>
    <comment ref="AI821" authorId="0">
      <text>
        <r>
          <rPr>
            <b/>
            <sz val="9"/>
            <rFont val="宋体"/>
            <charset val="134"/>
          </rPr>
          <t>Administrator:</t>
        </r>
        <r>
          <rPr>
            <sz val="9"/>
            <rFont val="宋体"/>
            <charset val="134"/>
          </rPr>
          <t xml:space="preserve">
1405491 3/3 2336pcs
庞3b10
1405498 3/5 40pcs庞3b10</t>
        </r>
      </text>
    </comment>
    <comment ref="AL821" authorId="0">
      <text>
        <r>
          <rPr>
            <b/>
            <sz val="9"/>
            <rFont val="宋体"/>
            <charset val="134"/>
          </rPr>
          <t>Administrator:</t>
        </r>
        <r>
          <rPr>
            <sz val="9"/>
            <rFont val="宋体"/>
            <charset val="134"/>
          </rPr>
          <t xml:space="preserve">
2/3 PDQUPC 条码贴纸 585pcs</t>
        </r>
      </text>
    </comment>
    <comment ref="AI822" authorId="0">
      <text>
        <r>
          <rPr>
            <b/>
            <sz val="9"/>
            <rFont val="宋体"/>
            <charset val="134"/>
          </rPr>
          <t>Administrator:</t>
        </r>
        <r>
          <rPr>
            <sz val="9"/>
            <rFont val="宋体"/>
            <charset val="134"/>
          </rPr>
          <t xml:space="preserve">
1406390 3/3 10800pcs庞登1楼
1406391 3/3 5200pcs庞登1楼</t>
        </r>
      </text>
    </comment>
    <comment ref="AL822" authorId="0">
      <text>
        <r>
          <rPr>
            <b/>
            <sz val="9"/>
            <rFont val="宋体"/>
            <charset val="134"/>
          </rPr>
          <t>Administrator:</t>
        </r>
        <r>
          <rPr>
            <sz val="9"/>
            <rFont val="宋体"/>
            <charset val="134"/>
          </rPr>
          <t xml:space="preserve">
1/30 客供外箱条码贴纸 4000pcs</t>
        </r>
      </text>
    </comment>
    <comment ref="AI823" authorId="0">
      <text>
        <r>
          <rPr>
            <b/>
            <sz val="9"/>
            <rFont val="宋体"/>
            <charset val="134"/>
          </rPr>
          <t>Administrator:</t>
        </r>
        <r>
          <rPr>
            <sz val="9"/>
            <rFont val="宋体"/>
            <charset val="134"/>
          </rPr>
          <t xml:space="preserve">
1406389 3/3 420opcs庞登1楼
</t>
        </r>
      </text>
    </comment>
    <comment ref="AL823" authorId="0">
      <text>
        <r>
          <rPr>
            <b/>
            <sz val="9"/>
            <rFont val="宋体"/>
            <charset val="134"/>
          </rPr>
          <t>Administrator:</t>
        </r>
        <r>
          <rPr>
            <sz val="9"/>
            <rFont val="宋体"/>
            <charset val="134"/>
          </rPr>
          <t xml:space="preserve">
1/29 进口商贴纸 420pcs
UPC条码贴纸 420pcs
保证书 420pcs</t>
        </r>
      </text>
    </comment>
    <comment ref="AI824" authorId="0">
      <text>
        <r>
          <rPr>
            <b/>
            <sz val="9"/>
            <rFont val="宋体"/>
            <charset val="134"/>
          </rPr>
          <t>Administrator:</t>
        </r>
        <r>
          <rPr>
            <sz val="9"/>
            <rFont val="宋体"/>
            <charset val="134"/>
          </rPr>
          <t xml:space="preserve">
1406389 3/3 1008pcs
庞3a21</t>
        </r>
      </text>
    </comment>
    <comment ref="AL824" authorId="0">
      <text>
        <r>
          <rPr>
            <b/>
            <sz val="9"/>
            <rFont val="宋体"/>
            <charset val="134"/>
          </rPr>
          <t>Administrator:</t>
        </r>
        <r>
          <rPr>
            <sz val="9"/>
            <rFont val="宋体"/>
            <charset val="134"/>
          </rPr>
          <t xml:space="preserve">
2/3 进口商贴纸 1008pcs
UPC贴纸 1008pcs</t>
        </r>
      </text>
    </comment>
    <comment ref="AI825" authorId="0">
      <text>
        <r>
          <rPr>
            <b/>
            <sz val="9"/>
            <rFont val="宋体"/>
            <charset val="134"/>
          </rPr>
          <t>Administrator:</t>
        </r>
        <r>
          <rPr>
            <sz val="9"/>
            <rFont val="宋体"/>
            <charset val="134"/>
          </rPr>
          <t xml:space="preserve">
4001866 2/28 648pcs庞1f3</t>
        </r>
      </text>
    </comment>
    <comment ref="AL825" authorId="0">
      <text>
        <r>
          <rPr>
            <b/>
            <sz val="9"/>
            <rFont val="宋体"/>
            <charset val="134"/>
          </rPr>
          <t>Administrator:</t>
        </r>
        <r>
          <rPr>
            <sz val="9"/>
            <rFont val="宋体"/>
            <charset val="134"/>
          </rPr>
          <t xml:space="preserve">
2/5 大警语贴纸 648pcs
小警语贴纸 648pcs</t>
        </r>
      </text>
    </comment>
    <comment ref="AI826" authorId="0">
      <text>
        <r>
          <rPr>
            <b/>
            <sz val="9"/>
            <rFont val="宋体"/>
            <charset val="134"/>
          </rPr>
          <t>Administrator:</t>
        </r>
        <r>
          <rPr>
            <sz val="9"/>
            <rFont val="宋体"/>
            <charset val="134"/>
          </rPr>
          <t xml:space="preserve">
4001866 2/28 348pcs
庞1f3
</t>
        </r>
      </text>
    </comment>
    <comment ref="AL826" authorId="0">
      <text>
        <r>
          <rPr>
            <b/>
            <sz val="9"/>
            <rFont val="宋体"/>
            <charset val="134"/>
          </rPr>
          <t>Administrator:</t>
        </r>
        <r>
          <rPr>
            <sz val="9"/>
            <rFont val="宋体"/>
            <charset val="134"/>
          </rPr>
          <t xml:space="preserve">
2/5 大警语贴纸 348pcs
小警语贴纸 348pcs
</t>
        </r>
      </text>
    </comment>
    <comment ref="AI830" authorId="0">
      <text>
        <r>
          <rPr>
            <b/>
            <sz val="9"/>
            <rFont val="宋体"/>
            <charset val="134"/>
          </rPr>
          <t>Administrator:</t>
        </r>
        <r>
          <rPr>
            <sz val="9"/>
            <rFont val="宋体"/>
            <charset val="134"/>
          </rPr>
          <t xml:space="preserve">
1406367 3/10 1790PCS
1406368 3/11 10pcs</t>
        </r>
      </text>
    </comment>
    <comment ref="AI833" authorId="0">
      <text>
        <r>
          <rPr>
            <b/>
            <sz val="9"/>
            <rFont val="宋体"/>
            <charset val="134"/>
          </rPr>
          <t>Administrator:</t>
        </r>
        <r>
          <rPr>
            <sz val="9"/>
            <rFont val="宋体"/>
            <charset val="134"/>
          </rPr>
          <t xml:space="preserve">
1406374 3/5 2820pcs王4b10</t>
        </r>
      </text>
    </comment>
    <comment ref="AL833" authorId="0">
      <text>
        <r>
          <rPr>
            <b/>
            <sz val="9"/>
            <rFont val="宋体"/>
            <charset val="134"/>
          </rPr>
          <t>Administrator:</t>
        </r>
        <r>
          <rPr>
            <sz val="9"/>
            <rFont val="宋体"/>
            <charset val="134"/>
          </rPr>
          <t xml:space="preserve">
1/26 NJ 客供外箱贴纸 235pcs
NJ 通用客供外箱贴纸 235pcs
1/26 价格贴纸 2820pcs</t>
        </r>
      </text>
    </comment>
    <comment ref="AI834" authorId="0">
      <text>
        <r>
          <rPr>
            <b/>
            <sz val="9"/>
            <rFont val="宋体"/>
            <charset val="134"/>
          </rPr>
          <t>Administrator:</t>
        </r>
        <r>
          <rPr>
            <sz val="9"/>
            <rFont val="宋体"/>
            <charset val="134"/>
          </rPr>
          <t xml:space="preserve">
1406374 3/5 936pcs
王4b9</t>
        </r>
      </text>
    </comment>
    <comment ref="AL834" authorId="0">
      <text>
        <r>
          <rPr>
            <b/>
            <sz val="9"/>
            <rFont val="宋体"/>
            <charset val="134"/>
          </rPr>
          <t>Administrator:</t>
        </r>
        <r>
          <rPr>
            <sz val="9"/>
            <rFont val="宋体"/>
            <charset val="134"/>
          </rPr>
          <t xml:space="preserve">
1/26 NJ 客供外箱贴纸 78pcs
NJ 通用客供外箱贴纸 78pcs
1/26 价格贴纸 2936pcs
</t>
        </r>
      </text>
    </comment>
    <comment ref="AI835" authorId="0">
      <text>
        <r>
          <rPr>
            <b/>
            <sz val="9"/>
            <rFont val="宋体"/>
            <charset val="134"/>
          </rPr>
          <t>Administrator:</t>
        </r>
        <r>
          <rPr>
            <sz val="9"/>
            <rFont val="宋体"/>
            <charset val="134"/>
          </rPr>
          <t xml:space="preserve">
1405466 3/12 1500pcs
庞1f4</t>
        </r>
      </text>
    </comment>
    <comment ref="AL835" authorId="0">
      <text>
        <r>
          <rPr>
            <b/>
            <sz val="9"/>
            <rFont val="宋体"/>
            <charset val="134"/>
          </rPr>
          <t>Administrator:</t>
        </r>
        <r>
          <rPr>
            <sz val="9"/>
            <rFont val="宋体"/>
            <charset val="134"/>
          </rPr>
          <t xml:space="preserve">
1/26 大警语贴纸贴 3000pcs
小警语贴纸贴 1500pcs
2/4 Kmart外箱贴纸 125pcs 
3/3 大警语贴纸贴纸 3000pcs
小警语贴纸贴纸 1500pcs
3/3 白色防盗贴纸 1500pcs
</t>
        </r>
      </text>
    </comment>
    <comment ref="AI836" authorId="0">
      <text>
        <r>
          <rPr>
            <b/>
            <sz val="9"/>
            <rFont val="宋体"/>
            <charset val="134"/>
          </rPr>
          <t>Administrator:</t>
        </r>
        <r>
          <rPr>
            <sz val="9"/>
            <rFont val="宋体"/>
            <charset val="134"/>
          </rPr>
          <t xml:space="preserve">
1406370 3/11 1008pcs王4a2</t>
        </r>
      </text>
    </comment>
    <comment ref="AL836" authorId="0">
      <text>
        <r>
          <rPr>
            <b/>
            <sz val="9"/>
            <rFont val="宋体"/>
            <charset val="134"/>
          </rPr>
          <t>Administrator:</t>
        </r>
        <r>
          <rPr>
            <sz val="9"/>
            <rFont val="宋体"/>
            <charset val="134"/>
          </rPr>
          <t xml:space="preserve">
3/3 UPC贴纸 1008pcs
进口商贴纸 1008pcs</t>
        </r>
      </text>
    </comment>
    <comment ref="AL837" authorId="0">
      <text>
        <r>
          <rPr>
            <b/>
            <sz val="9"/>
            <rFont val="宋体"/>
            <charset val="134"/>
          </rPr>
          <t>Administrator:</t>
        </r>
        <r>
          <rPr>
            <sz val="9"/>
            <rFont val="宋体"/>
            <charset val="134"/>
          </rPr>
          <t xml:space="preserve">
1/16 客供价格贴纸 630pcs
</t>
        </r>
      </text>
    </comment>
    <comment ref="AI838" authorId="0">
      <text>
        <r>
          <rPr>
            <b/>
            <sz val="9"/>
            <rFont val="宋体"/>
            <charset val="134"/>
          </rPr>
          <t>Administrator:</t>
        </r>
        <r>
          <rPr>
            <sz val="9"/>
            <rFont val="宋体"/>
            <charset val="134"/>
          </rPr>
          <t xml:space="preserve">
1405468 3/12 12600pcs
庞1f11
1405466 3/12 9240pcs
庞1f9
1405473 3/12 6960pcs
庞1f9
1405322 3/12 1200pcs庞1f11</t>
        </r>
      </text>
    </comment>
    <comment ref="AL838" authorId="0">
      <text>
        <r>
          <rPr>
            <b/>
            <sz val="9"/>
            <rFont val="宋体"/>
            <charset val="134"/>
          </rPr>
          <t>Administrator:</t>
        </r>
        <r>
          <rPr>
            <sz val="9"/>
            <rFont val="宋体"/>
            <charset val="134"/>
          </rPr>
          <t xml:space="preserve">
2/26 客供外箱条码贴纸 7575pcs
</t>
        </r>
      </text>
    </comment>
    <comment ref="AI839" authorId="0">
      <text>
        <r>
          <rPr>
            <b/>
            <sz val="9"/>
            <rFont val="宋体"/>
            <charset val="134"/>
          </rPr>
          <t>Administrator:</t>
        </r>
        <r>
          <rPr>
            <sz val="9"/>
            <rFont val="宋体"/>
            <charset val="134"/>
          </rPr>
          <t xml:space="preserve">
1406339 3/14 624pcs王4a9</t>
        </r>
      </text>
    </comment>
    <comment ref="AL839" authorId="0">
      <text>
        <r>
          <rPr>
            <b/>
            <sz val="9"/>
            <rFont val="宋体"/>
            <charset val="134"/>
          </rPr>
          <t>Administrator:</t>
        </r>
        <r>
          <rPr>
            <sz val="9"/>
            <rFont val="宋体"/>
            <charset val="134"/>
          </rPr>
          <t xml:space="preserve">
3/10 客供亚马逊外箱贴纸 52pcs</t>
        </r>
      </text>
    </comment>
    <comment ref="AI840" authorId="0">
      <text>
        <r>
          <rPr>
            <b/>
            <sz val="9"/>
            <rFont val="宋体"/>
            <charset val="134"/>
          </rPr>
          <t>Administrator:</t>
        </r>
        <r>
          <rPr>
            <sz val="9"/>
            <rFont val="宋体"/>
            <charset val="134"/>
          </rPr>
          <t xml:space="preserve">
1406341 3/14 276pcs王4b9</t>
        </r>
      </text>
    </comment>
    <comment ref="AL840" authorId="0">
      <text>
        <r>
          <rPr>
            <b/>
            <sz val="9"/>
            <rFont val="宋体"/>
            <charset val="134"/>
          </rPr>
          <t>Administrator:</t>
        </r>
        <r>
          <rPr>
            <sz val="9"/>
            <rFont val="宋体"/>
            <charset val="134"/>
          </rPr>
          <t xml:space="preserve">
3/10 客供亚马逊外箱贴纸 23pcs
</t>
        </r>
      </text>
    </comment>
    <comment ref="AI841" authorId="0">
      <text>
        <r>
          <rPr>
            <b/>
            <sz val="9"/>
            <rFont val="宋体"/>
            <charset val="134"/>
          </rPr>
          <t>Administrator:</t>
        </r>
        <r>
          <rPr>
            <sz val="9"/>
            <rFont val="宋体"/>
            <charset val="134"/>
          </rPr>
          <t xml:space="preserve">
1406334 3/12 600pcs</t>
        </r>
      </text>
    </comment>
    <comment ref="AL841" authorId="0">
      <text>
        <r>
          <rPr>
            <b/>
            <sz val="9"/>
            <rFont val="宋体"/>
            <charset val="134"/>
          </rPr>
          <t>Administrator:</t>
        </r>
        <r>
          <rPr>
            <sz val="9"/>
            <rFont val="宋体"/>
            <charset val="134"/>
          </rPr>
          <t xml:space="preserve">
2/5 进口商贴纸 600pcs
UPC贴纸 600pcs</t>
        </r>
      </text>
    </comment>
    <comment ref="AI842" authorId="0">
      <text>
        <r>
          <rPr>
            <b/>
            <sz val="9"/>
            <rFont val="宋体"/>
            <charset val="134"/>
          </rPr>
          <t>Administrator:</t>
        </r>
        <r>
          <rPr>
            <sz val="9"/>
            <rFont val="宋体"/>
            <charset val="134"/>
          </rPr>
          <t xml:space="preserve">
1406339 3/14 180pcs
王4b1</t>
        </r>
      </text>
    </comment>
    <comment ref="AL842" authorId="0">
      <text>
        <r>
          <rPr>
            <b/>
            <sz val="9"/>
            <rFont val="宋体"/>
            <charset val="134"/>
          </rPr>
          <t>Administrator:</t>
        </r>
        <r>
          <rPr>
            <sz val="9"/>
            <rFont val="宋体"/>
            <charset val="134"/>
          </rPr>
          <t xml:space="preserve">
3/10  客供亚马逊外箱贴纸 15PCS </t>
        </r>
      </text>
    </comment>
    <comment ref="AI843" authorId="0">
      <text>
        <r>
          <rPr>
            <b/>
            <sz val="9"/>
            <rFont val="宋体"/>
            <charset val="134"/>
          </rPr>
          <t>Administrator:</t>
        </r>
        <r>
          <rPr>
            <sz val="9"/>
            <rFont val="宋体"/>
            <charset val="134"/>
          </rPr>
          <t xml:space="preserve">
1406339 3/14 900pcs
王4b10</t>
        </r>
      </text>
    </comment>
    <comment ref="AL843" authorId="0">
      <text>
        <r>
          <rPr>
            <b/>
            <sz val="9"/>
            <rFont val="宋体"/>
            <charset val="134"/>
          </rPr>
          <t>Administrator:</t>
        </r>
        <r>
          <rPr>
            <sz val="9"/>
            <rFont val="宋体"/>
            <charset val="134"/>
          </rPr>
          <t xml:space="preserve">
3/10 客供亚马逊外箱贴纸 75pcs
</t>
        </r>
      </text>
    </comment>
    <comment ref="AI844" authorId="0">
      <text>
        <r>
          <rPr>
            <b/>
            <sz val="9"/>
            <rFont val="宋体"/>
            <charset val="134"/>
          </rPr>
          <t>Administrator:</t>
        </r>
        <r>
          <rPr>
            <sz val="9"/>
            <rFont val="宋体"/>
            <charset val="134"/>
          </rPr>
          <t xml:space="preserve">
1406335 3/12 960pcs王4a9</t>
        </r>
      </text>
    </comment>
    <comment ref="AL844" authorId="0">
      <text>
        <r>
          <rPr>
            <b/>
            <sz val="9"/>
            <rFont val="宋体"/>
            <charset val="134"/>
          </rPr>
          <t>Administrator:</t>
        </r>
        <r>
          <rPr>
            <sz val="9"/>
            <rFont val="宋体"/>
            <charset val="134"/>
          </rPr>
          <t xml:space="preserve">
3/10 客供亚马逊外箱贴纸 80pcs
</t>
        </r>
      </text>
    </comment>
    <comment ref="AI845" authorId="0">
      <text>
        <r>
          <rPr>
            <b/>
            <sz val="9"/>
            <rFont val="宋体"/>
            <charset val="134"/>
          </rPr>
          <t>Administrator:</t>
        </r>
        <r>
          <rPr>
            <sz val="9"/>
            <rFont val="宋体"/>
            <charset val="134"/>
          </rPr>
          <t xml:space="preserve">
1406341 3/14 252pcs
王4c10</t>
        </r>
      </text>
    </comment>
    <comment ref="AI846" authorId="0">
      <text>
        <r>
          <rPr>
            <b/>
            <sz val="9"/>
            <rFont val="宋体"/>
            <charset val="134"/>
          </rPr>
          <t>Administrator:</t>
        </r>
        <r>
          <rPr>
            <sz val="9"/>
            <rFont val="宋体"/>
            <charset val="134"/>
          </rPr>
          <t xml:space="preserve">
1406334 3/12 168pcs</t>
        </r>
      </text>
    </comment>
    <comment ref="AI848" authorId="0">
      <text>
        <r>
          <rPr>
            <b/>
            <sz val="9"/>
            <rFont val="宋体"/>
            <charset val="134"/>
          </rPr>
          <t>Administrator:</t>
        </r>
        <r>
          <rPr>
            <sz val="9"/>
            <rFont val="宋体"/>
            <charset val="134"/>
          </rPr>
          <t xml:space="preserve">
1405285 3/16 3360pcs王4c7
1405291 3/17 7560pcs王4c7
1405270 3/17 6840pcs王4c7
1405272 3/18 2240pcs王4c7
1405233 3/23 600pcs庞b栋
1405234 3/23 4400pcs直走
</t>
        </r>
      </text>
    </comment>
    <comment ref="AL848" authorId="0">
      <text>
        <r>
          <rPr>
            <b/>
            <sz val="9"/>
            <rFont val="宋体"/>
            <charset val="134"/>
          </rPr>
          <t>Administrator:</t>
        </r>
        <r>
          <rPr>
            <sz val="9"/>
            <rFont val="宋体"/>
            <charset val="134"/>
          </rPr>
          <t xml:space="preserve">
2/5 客供外箱条码贴纸 6313pcs </t>
        </r>
      </text>
    </comment>
    <comment ref="AI852" authorId="0">
      <text>
        <r>
          <rPr>
            <b/>
            <sz val="9"/>
            <rFont val="宋体"/>
            <charset val="134"/>
          </rPr>
          <t>Administrator:</t>
        </r>
        <r>
          <rPr>
            <sz val="9"/>
            <rFont val="宋体"/>
            <charset val="134"/>
          </rPr>
          <t xml:space="preserve">
1405238 3/24 4992pcs庞3b15</t>
        </r>
      </text>
    </comment>
    <comment ref="AL852" authorId="0">
      <text>
        <r>
          <rPr>
            <b/>
            <sz val="9"/>
            <rFont val="宋体"/>
            <charset val="134"/>
          </rPr>
          <t>Administrator:</t>
        </r>
        <r>
          <rPr>
            <sz val="9"/>
            <rFont val="宋体"/>
            <charset val="134"/>
          </rPr>
          <t xml:space="preserve">
3/13 客供亚马逊外箱贴纸 416pcs</t>
        </r>
      </text>
    </comment>
    <comment ref="AI853" authorId="0">
      <text>
        <r>
          <rPr>
            <b/>
            <sz val="9"/>
            <rFont val="宋体"/>
            <charset val="134"/>
          </rPr>
          <t>Administrator:</t>
        </r>
        <r>
          <rPr>
            <sz val="9"/>
            <rFont val="宋体"/>
            <charset val="134"/>
          </rPr>
          <t xml:space="preserve">
1406350 3/17 48pcs王4a9</t>
        </r>
      </text>
    </comment>
    <comment ref="AL853" authorId="0">
      <text>
        <r>
          <rPr>
            <b/>
            <sz val="9"/>
            <rFont val="宋体"/>
            <charset val="134"/>
          </rPr>
          <t>Administrator:</t>
        </r>
        <r>
          <rPr>
            <sz val="9"/>
            <rFont val="宋体"/>
            <charset val="134"/>
          </rPr>
          <t xml:space="preserve">
3/2 进口商贴纸 48pcs</t>
        </r>
      </text>
    </comment>
    <comment ref="AI854" authorId="0">
      <text>
        <r>
          <rPr>
            <b/>
            <sz val="9"/>
            <rFont val="宋体"/>
            <charset val="134"/>
          </rPr>
          <t>Administrator:</t>
        </r>
        <r>
          <rPr>
            <sz val="9"/>
            <rFont val="宋体"/>
            <charset val="134"/>
          </rPr>
          <t xml:space="preserve">
1406350 3/17 24pcs
4a9
</t>
        </r>
      </text>
    </comment>
    <comment ref="AL854" authorId="0">
      <text>
        <r>
          <rPr>
            <b/>
            <sz val="9"/>
            <rFont val="宋体"/>
            <charset val="134"/>
          </rPr>
          <t>Administrator:</t>
        </r>
        <r>
          <rPr>
            <sz val="9"/>
            <rFont val="宋体"/>
            <charset val="134"/>
          </rPr>
          <t xml:space="preserve">
3/2 进口商贴纸 24pcs
</t>
        </r>
      </text>
    </comment>
    <comment ref="AI855" authorId="0">
      <text>
        <r>
          <rPr>
            <b/>
            <sz val="9"/>
            <rFont val="宋体"/>
            <charset val="134"/>
          </rPr>
          <t>Administrator:</t>
        </r>
        <r>
          <rPr>
            <sz val="9"/>
            <rFont val="宋体"/>
            <charset val="134"/>
          </rPr>
          <t xml:space="preserve">
1406350 3/17 24pcs
4a9
</t>
        </r>
      </text>
    </comment>
    <comment ref="AL855" authorId="0">
      <text>
        <r>
          <rPr>
            <b/>
            <sz val="9"/>
            <rFont val="宋体"/>
            <charset val="134"/>
          </rPr>
          <t>Administrator:</t>
        </r>
        <r>
          <rPr>
            <sz val="9"/>
            <rFont val="宋体"/>
            <charset val="134"/>
          </rPr>
          <t xml:space="preserve">
3/2 进口商贴纸 24pcs
 </t>
        </r>
      </text>
    </comment>
    <comment ref="AI856" authorId="0">
      <text>
        <r>
          <rPr>
            <b/>
            <sz val="9"/>
            <rFont val="宋体"/>
            <charset val="134"/>
          </rPr>
          <t>Administrator:</t>
        </r>
        <r>
          <rPr>
            <sz val="9"/>
            <rFont val="宋体"/>
            <charset val="134"/>
          </rPr>
          <t xml:space="preserve">
1406350 3/17 24pcs
4a9
</t>
        </r>
      </text>
    </comment>
    <comment ref="AL856" authorId="0">
      <text>
        <r>
          <rPr>
            <b/>
            <sz val="9"/>
            <rFont val="宋体"/>
            <charset val="134"/>
          </rPr>
          <t>Administrator:</t>
        </r>
        <r>
          <rPr>
            <sz val="9"/>
            <rFont val="宋体"/>
            <charset val="134"/>
          </rPr>
          <t xml:space="preserve">
3/2 进口商贴纸 24pcs
</t>
        </r>
      </text>
    </comment>
    <comment ref="AL857" authorId="0">
      <text>
        <r>
          <rPr>
            <b/>
            <sz val="9"/>
            <rFont val="宋体"/>
            <charset val="134"/>
          </rPr>
          <t>Administrator:</t>
        </r>
        <r>
          <rPr>
            <sz val="9"/>
            <rFont val="宋体"/>
            <charset val="134"/>
          </rPr>
          <t xml:space="preserve">
1/16 客供价格贴纸 1680pcs
</t>
        </r>
      </text>
    </comment>
    <comment ref="AI858" authorId="0">
      <text>
        <r>
          <rPr>
            <b/>
            <sz val="9"/>
            <rFont val="宋体"/>
            <charset val="134"/>
          </rPr>
          <t>Administrator:</t>
        </r>
        <r>
          <rPr>
            <sz val="9"/>
            <rFont val="宋体"/>
            <charset val="134"/>
          </rPr>
          <t xml:space="preserve">
1406352 3/19 1824pcs庞走货</t>
        </r>
      </text>
    </comment>
    <comment ref="AL858" authorId="0">
      <text>
        <r>
          <rPr>
            <b/>
            <sz val="9"/>
            <rFont val="宋体"/>
            <charset val="134"/>
          </rPr>
          <t>Administrator:</t>
        </r>
        <r>
          <rPr>
            <sz val="9"/>
            <rFont val="宋体"/>
            <charset val="134"/>
          </rPr>
          <t xml:space="preserve">
3/2 进口商贴纸 1824pcs
UPC贴纸 1824pcs
产品电池门贴纸 1824pcs
说明书 1824pcs
</t>
        </r>
      </text>
    </comment>
    <comment ref="AI862" authorId="0">
      <text>
        <r>
          <rPr>
            <b/>
            <sz val="9"/>
            <rFont val="宋体"/>
            <charset val="134"/>
          </rPr>
          <t>Administrator:</t>
        </r>
        <r>
          <rPr>
            <sz val="9"/>
            <rFont val="宋体"/>
            <charset val="134"/>
          </rPr>
          <t xml:space="preserve">
1405234 3/23 1008pcs庞3b15
1405238 3/24 12pcs庞3b17
1405238 3/24 1656pcs
庞3b15</t>
        </r>
      </text>
    </comment>
    <comment ref="AL862" authorId="0">
      <text>
        <r>
          <rPr>
            <b/>
            <sz val="9"/>
            <rFont val="宋体"/>
            <charset val="134"/>
          </rPr>
          <t>Administrator:</t>
        </r>
        <r>
          <rPr>
            <sz val="9"/>
            <rFont val="宋体"/>
            <charset val="134"/>
          </rPr>
          <t xml:space="preserve">
2/2 亚马逊外箱贴纸 223pcs 
2/5 UPC贴纸 2676pcs
2/5 PDO Kinderherz 2025 Logo共上391pcs
Kinderherz 2025 Logo贴纸 共上3684pcs</t>
        </r>
      </text>
    </comment>
    <comment ref="AI863" authorId="0">
      <text>
        <r>
          <rPr>
            <b/>
            <sz val="9"/>
            <rFont val="宋体"/>
            <charset val="134"/>
          </rPr>
          <t>Administrator:</t>
        </r>
        <r>
          <rPr>
            <sz val="9"/>
            <rFont val="宋体"/>
            <charset val="134"/>
          </rPr>
          <t xml:space="preserve">
1405233 3/23 1248pcs
庞3b17
</t>
        </r>
      </text>
    </comment>
    <comment ref="AL863" authorId="0">
      <text>
        <r>
          <rPr>
            <b/>
            <sz val="9"/>
            <rFont val="宋体"/>
            <charset val="134"/>
          </rPr>
          <t>Administrator:</t>
        </r>
        <r>
          <rPr>
            <sz val="9"/>
            <rFont val="宋体"/>
            <charset val="134"/>
          </rPr>
          <t xml:space="preserve">
2/2 亚马逊外箱贴纸 104pcs 
2/5 UPC贴纸 1248pcs
</t>
        </r>
      </text>
    </comment>
    <comment ref="AI864" authorId="0">
      <text>
        <r>
          <rPr>
            <b/>
            <sz val="9"/>
            <rFont val="宋体"/>
            <charset val="134"/>
          </rPr>
          <t>Administrator:</t>
        </r>
        <r>
          <rPr>
            <sz val="9"/>
            <rFont val="宋体"/>
            <charset val="134"/>
          </rPr>
          <t xml:space="preserve">
1405233 3/23 996pcs庞3b17
1405238 3/24 120pcs庞3b17</t>
        </r>
      </text>
    </comment>
    <comment ref="AL864" authorId="0">
      <text>
        <r>
          <rPr>
            <b/>
            <sz val="9"/>
            <rFont val="宋体"/>
            <charset val="134"/>
          </rPr>
          <t>Administrator:</t>
        </r>
        <r>
          <rPr>
            <sz val="9"/>
            <rFont val="宋体"/>
            <charset val="134"/>
          </rPr>
          <t xml:space="preserve">
2/2 亚马逊外箱贴纸 184pcs 
2/5 UPC贴纸 1008pcs
</t>
        </r>
      </text>
    </comment>
    <comment ref="AI865" authorId="0">
      <text>
        <r>
          <rPr>
            <b/>
            <sz val="9"/>
            <rFont val="宋体"/>
            <charset val="134"/>
          </rPr>
          <t>Administrator:</t>
        </r>
        <r>
          <rPr>
            <sz val="9"/>
            <rFont val="宋体"/>
            <charset val="134"/>
          </rPr>
          <t xml:space="preserve">
1406352 3/19 720pcs
庞登一楼</t>
        </r>
      </text>
    </comment>
    <comment ref="AL866" authorId="0">
      <text>
        <r>
          <rPr>
            <b/>
            <sz val="9"/>
            <rFont val="宋体"/>
            <charset val="134"/>
          </rPr>
          <t>Administrator:</t>
        </r>
        <r>
          <rPr>
            <sz val="9"/>
            <rFont val="宋体"/>
            <charset val="134"/>
          </rPr>
          <t xml:space="preserve">
3/4 客供芯片码贴纸 5004pcs</t>
        </r>
      </text>
    </comment>
    <comment ref="AI867" authorId="0">
      <text>
        <r>
          <rPr>
            <b/>
            <sz val="9"/>
            <rFont val="宋体"/>
            <charset val="134"/>
          </rPr>
          <t>Administrator:</t>
        </r>
        <r>
          <rPr>
            <sz val="9"/>
            <rFont val="宋体"/>
            <charset val="134"/>
          </rPr>
          <t xml:space="preserve">
1406321 3/21 640pcs
庞3b12</t>
        </r>
      </text>
    </comment>
    <comment ref="AL867" authorId="0">
      <text>
        <r>
          <rPr>
            <b/>
            <sz val="9"/>
            <rFont val="宋体"/>
            <charset val="134"/>
          </rPr>
          <t>Administrator:</t>
        </r>
        <r>
          <rPr>
            <sz val="9"/>
            <rFont val="宋体"/>
            <charset val="134"/>
          </rPr>
          <t xml:space="preserve">
3/2 进口商贴纸 1504pcs
3/17 UPC贴纸 640pcs</t>
        </r>
      </text>
    </comment>
    <comment ref="AL868" authorId="0">
      <text>
        <r>
          <rPr>
            <b/>
            <sz val="9"/>
            <rFont val="宋体"/>
            <charset val="134"/>
          </rPr>
          <t>Administrator:</t>
        </r>
        <r>
          <rPr>
            <sz val="9"/>
            <rFont val="宋体"/>
            <charset val="134"/>
          </rPr>
          <t xml:space="preserve">
3/3 客供警语贴 994pcs
客供电池警语贴纸 993pcs
客供中文警告说明书 504pcs
3/4 空白贴纸 960pcs</t>
        </r>
      </text>
    </comment>
    <comment ref="AI869" authorId="0">
      <text>
        <r>
          <rPr>
            <b/>
            <sz val="9"/>
            <rFont val="宋体"/>
            <charset val="134"/>
          </rPr>
          <t>Administrator:</t>
        </r>
        <r>
          <rPr>
            <sz val="9"/>
            <rFont val="宋体"/>
            <charset val="134"/>
          </rPr>
          <t xml:space="preserve">
1405262 3/20 12600pcs
庞1a4
1405263 3/21 4400pcs庞1a4</t>
        </r>
      </text>
    </comment>
    <comment ref="AL869" authorId="0">
      <text>
        <r>
          <rPr>
            <b/>
            <sz val="9"/>
            <rFont val="宋体"/>
            <charset val="134"/>
          </rPr>
          <t>Administrator:</t>
        </r>
        <r>
          <rPr>
            <sz val="9"/>
            <rFont val="宋体"/>
            <charset val="134"/>
          </rPr>
          <t xml:space="preserve">
2/26 客供外箱条码贴纸 4293pcs
</t>
        </r>
      </text>
    </comment>
    <comment ref="AI870" authorId="0">
      <text>
        <r>
          <rPr>
            <b/>
            <sz val="9"/>
            <rFont val="宋体"/>
            <charset val="134"/>
          </rPr>
          <t>Administrator:</t>
        </r>
        <r>
          <rPr>
            <sz val="9"/>
            <rFont val="宋体"/>
            <charset val="134"/>
          </rPr>
          <t xml:space="preserve">
1405250 3/20 2340pcs王4c6</t>
        </r>
      </text>
    </comment>
    <comment ref="AI872" authorId="0">
      <text>
        <r>
          <rPr>
            <b/>
            <sz val="9"/>
            <rFont val="宋体"/>
            <charset val="134"/>
          </rPr>
          <t>Administrator:</t>
        </r>
        <r>
          <rPr>
            <sz val="9"/>
            <rFont val="宋体"/>
            <charset val="134"/>
          </rPr>
          <t xml:space="preserve">
1406322 3/21 2268pcs华兴</t>
        </r>
      </text>
    </comment>
    <comment ref="AI873" authorId="0">
      <text>
        <r>
          <rPr>
            <b/>
            <sz val="9"/>
            <rFont val="宋体"/>
            <charset val="134"/>
          </rPr>
          <t>Administrator:</t>
        </r>
        <r>
          <rPr>
            <sz val="9"/>
            <rFont val="宋体"/>
            <charset val="134"/>
          </rPr>
          <t xml:space="preserve">
1406352 3/19 704pcs
庞登一楼
</t>
        </r>
      </text>
    </comment>
    <comment ref="AI874" authorId="0">
      <text>
        <r>
          <rPr>
            <b/>
            <sz val="9"/>
            <rFont val="宋体"/>
            <charset val="134"/>
          </rPr>
          <t>Administrator:</t>
        </r>
        <r>
          <rPr>
            <sz val="9"/>
            <rFont val="宋体"/>
            <charset val="134"/>
          </rPr>
          <t xml:space="preserve">
1406352 3/19 296pcs
庞登一楼
</t>
        </r>
      </text>
    </comment>
    <comment ref="AI875" authorId="0">
      <text>
        <r>
          <rPr>
            <b/>
            <sz val="9"/>
            <rFont val="宋体"/>
            <charset val="134"/>
          </rPr>
          <t>Administrator:
1406323 3/23 3948pcs王4c1</t>
        </r>
      </text>
    </comment>
    <comment ref="AL875" authorId="0">
      <text>
        <r>
          <rPr>
            <b/>
            <sz val="9"/>
            <rFont val="宋体"/>
            <charset val="134"/>
          </rPr>
          <t>Administrator:</t>
        </r>
        <r>
          <rPr>
            <sz val="9"/>
            <rFont val="宋体"/>
            <charset val="134"/>
          </rPr>
          <t xml:space="preserve">
2/5 I 客供外箱贴纸 329pcs
NI 通用客供外箱贴纸 329pcs
3/2 价格贴纸 3948pcs</t>
        </r>
      </text>
    </comment>
    <comment ref="AI876" authorId="0">
      <text>
        <r>
          <rPr>
            <b/>
            <sz val="9"/>
            <rFont val="宋体"/>
            <charset val="134"/>
          </rPr>
          <t>Administrator:</t>
        </r>
        <r>
          <rPr>
            <sz val="9"/>
            <rFont val="宋体"/>
            <charset val="134"/>
          </rPr>
          <t xml:space="preserve">
1406323 3/23 1692pcs
4c1
</t>
        </r>
      </text>
    </comment>
    <comment ref="AL876" authorId="0">
      <text>
        <r>
          <rPr>
            <b/>
            <sz val="9"/>
            <rFont val="宋体"/>
            <charset val="134"/>
          </rPr>
          <t>Administrator:</t>
        </r>
        <r>
          <rPr>
            <sz val="9"/>
            <rFont val="宋体"/>
            <charset val="134"/>
          </rPr>
          <t xml:space="preserve">
2/5 I 客供外箱贴纸 141pcs
NI 通用客供外箱贴纸 141pcs
3/2 价格贴纸  1692pcs
</t>
        </r>
      </text>
    </comment>
    <comment ref="AI877" authorId="0">
      <text>
        <r>
          <rPr>
            <b/>
            <sz val="9"/>
            <rFont val="宋体"/>
            <charset val="134"/>
          </rPr>
          <t>Administrator:</t>
        </r>
        <r>
          <rPr>
            <sz val="9"/>
            <rFont val="宋体"/>
            <charset val="134"/>
          </rPr>
          <t xml:space="preserve">
1405238 3/24 3360pcs庞3b16
1405218 3/25 10320pcs
庞3a3
1405223 3/25 1320pcs庞3a4</t>
        </r>
      </text>
    </comment>
    <comment ref="AL877" authorId="0">
      <text>
        <r>
          <rPr>
            <b/>
            <sz val="9"/>
            <rFont val="宋体"/>
            <charset val="134"/>
          </rPr>
          <t>Administrator:</t>
        </r>
        <r>
          <rPr>
            <sz val="9"/>
            <rFont val="宋体"/>
            <charset val="134"/>
          </rPr>
          <t xml:space="preserve">
2/5 客供外箱条码贴纸 3788pcs 
</t>
        </r>
      </text>
    </comment>
    <comment ref="AI878" authorId="0">
      <text>
        <r>
          <rPr>
            <b/>
            <sz val="9"/>
            <rFont val="宋体"/>
            <charset val="134"/>
          </rPr>
          <t>Administrator:</t>
        </r>
        <r>
          <rPr>
            <sz val="9"/>
            <rFont val="宋体"/>
            <charset val="134"/>
          </rPr>
          <t xml:space="preserve">
1405207 3/27 300pcs
王4b9</t>
        </r>
      </text>
    </comment>
    <comment ref="AL878" authorId="0">
      <text>
        <r>
          <rPr>
            <b/>
            <sz val="9"/>
            <rFont val="宋体"/>
            <charset val="134"/>
          </rPr>
          <t>Administrator:</t>
        </r>
        <r>
          <rPr>
            <sz val="9"/>
            <rFont val="宋体"/>
            <charset val="134"/>
          </rPr>
          <t xml:space="preserve">
3/9 大语警告语贴 300PCS
小语警告语贴 2100PCS
丹麦瑞典芬兰挪威警告语 300PCS
</t>
        </r>
      </text>
    </comment>
    <comment ref="AI879" authorId="0">
      <text>
        <r>
          <rPr>
            <b/>
            <sz val="9"/>
            <rFont val="宋体"/>
            <charset val="134"/>
          </rPr>
          <t>Administrator:</t>
        </r>
        <r>
          <rPr>
            <sz val="9"/>
            <rFont val="宋体"/>
            <charset val="134"/>
          </rPr>
          <t xml:space="preserve">
1405207 3/27 3600pcs
王4a8</t>
        </r>
      </text>
    </comment>
    <comment ref="AL879" authorId="0">
      <text>
        <r>
          <rPr>
            <b/>
            <sz val="9"/>
            <rFont val="宋体"/>
            <charset val="134"/>
          </rPr>
          <t>Administrator:</t>
        </r>
        <r>
          <rPr>
            <sz val="9"/>
            <rFont val="宋体"/>
            <charset val="134"/>
          </rPr>
          <t xml:space="preserve">
3/4 客供防窜码贴纸1拖6 630pcs
3/6 3C中文贴纸 3600pcs</t>
        </r>
      </text>
    </comment>
    <comment ref="AI880" authorId="0">
      <text>
        <r>
          <rPr>
            <b/>
            <sz val="9"/>
            <rFont val="宋体"/>
            <charset val="134"/>
          </rPr>
          <t>Administrator:</t>
        </r>
        <r>
          <rPr>
            <sz val="9"/>
            <rFont val="宋体"/>
            <charset val="134"/>
          </rPr>
          <t xml:space="preserve">
1405207 3/27 792pcs
王4b10
1405445 3/30 12pcs庞b栋</t>
        </r>
      </text>
    </comment>
    <comment ref="AL880" authorId="0">
      <text>
        <r>
          <rPr>
            <b/>
            <sz val="9"/>
            <rFont val="宋体"/>
            <charset val="134"/>
          </rPr>
          <t>Administrator:</t>
        </r>
        <r>
          <rPr>
            <sz val="9"/>
            <rFont val="宋体"/>
            <charset val="134"/>
          </rPr>
          <t xml:space="preserve">
3/10 客供价格贴纸 885pcs
</t>
        </r>
      </text>
    </comment>
    <comment ref="AI881" authorId="0">
      <text>
        <r>
          <rPr>
            <b/>
            <sz val="9"/>
            <rFont val="宋体"/>
            <charset val="134"/>
          </rPr>
          <t>Administrator:</t>
        </r>
        <r>
          <rPr>
            <sz val="9"/>
            <rFont val="宋体"/>
            <charset val="134"/>
          </rPr>
          <t xml:space="preserve">
1405207 3/27 996pcs
王4b10</t>
        </r>
      </text>
    </comment>
    <comment ref="AL881" authorId="0">
      <text>
        <r>
          <rPr>
            <b/>
            <sz val="9"/>
            <rFont val="宋体"/>
            <charset val="134"/>
          </rPr>
          <t>Administrator:</t>
        </r>
        <r>
          <rPr>
            <sz val="9"/>
            <rFont val="宋体"/>
            <charset val="134"/>
          </rPr>
          <t xml:space="preserve">
3/10 客供价格贴纸 11096pcs
</t>
        </r>
      </text>
    </comment>
    <comment ref="AL882" authorId="0">
      <text>
        <r>
          <rPr>
            <b/>
            <sz val="9"/>
            <rFont val="宋体"/>
            <charset val="134"/>
          </rPr>
          <t>Administrator:</t>
        </r>
        <r>
          <rPr>
            <sz val="9"/>
            <rFont val="宋体"/>
            <charset val="134"/>
          </rPr>
          <t xml:space="preserve">
3/4 客供芯片码贴纸 1200pcs</t>
        </r>
      </text>
    </comment>
    <comment ref="AL883" authorId="0">
      <text>
        <r>
          <rPr>
            <b/>
            <sz val="9"/>
            <rFont val="宋体"/>
            <charset val="134"/>
          </rPr>
          <t>Administrator:</t>
        </r>
        <r>
          <rPr>
            <sz val="9"/>
            <rFont val="宋体"/>
            <charset val="134"/>
          </rPr>
          <t xml:space="preserve">
3/4 客供芯片码贴纸 3000pcs
</t>
        </r>
      </text>
    </comment>
    <comment ref="AI884" authorId="0">
      <text>
        <r>
          <rPr>
            <b/>
            <sz val="9"/>
            <rFont val="宋体"/>
            <charset val="134"/>
          </rPr>
          <t>Administrator:</t>
        </r>
        <r>
          <rPr>
            <sz val="9"/>
            <rFont val="宋体"/>
            <charset val="134"/>
          </rPr>
          <t xml:space="preserve">
1406250 3/31 200pcs
</t>
        </r>
      </text>
    </comment>
    <comment ref="AL885" authorId="0">
      <text>
        <r>
          <rPr>
            <b/>
            <sz val="9"/>
            <rFont val="宋体"/>
            <charset val="134"/>
          </rPr>
          <t>Administrator:</t>
        </r>
        <r>
          <rPr>
            <sz val="9"/>
            <rFont val="宋体"/>
            <charset val="134"/>
          </rPr>
          <t xml:space="preserve">
3/4 客供芯片码贴纸 13860pcs
</t>
        </r>
      </text>
    </comment>
    <comment ref="AL886" authorId="0">
      <text>
        <r>
          <rPr>
            <b/>
            <sz val="9"/>
            <rFont val="宋体"/>
            <charset val="134"/>
          </rPr>
          <t>Administrator:</t>
        </r>
        <r>
          <rPr>
            <sz val="9"/>
            <rFont val="宋体"/>
            <charset val="134"/>
          </rPr>
          <t xml:space="preserve">
3/4 客供芯片码贴纸 800pcs
</t>
        </r>
      </text>
    </comment>
    <comment ref="AI887" authorId="0">
      <text>
        <r>
          <rPr>
            <b/>
            <sz val="9"/>
            <rFont val="宋体"/>
            <charset val="134"/>
          </rPr>
          <t>Administrator:</t>
        </r>
        <r>
          <rPr>
            <sz val="9"/>
            <rFont val="宋体"/>
            <charset val="134"/>
          </rPr>
          <t xml:space="preserve">
1406374 3/5 2000pcs
王4b10</t>
        </r>
      </text>
    </comment>
    <comment ref="AL887" authorId="0">
      <text>
        <r>
          <rPr>
            <b/>
            <sz val="9"/>
            <rFont val="宋体"/>
            <charset val="134"/>
          </rPr>
          <t>Administrator:</t>
        </r>
        <r>
          <rPr>
            <sz val="9"/>
            <rFont val="宋体"/>
            <charset val="134"/>
          </rPr>
          <t xml:space="preserve">
2/2 PDQ条码贴纸 500pcs
 </t>
        </r>
      </text>
    </comment>
    <comment ref="AI888" authorId="0">
      <text>
        <r>
          <rPr>
            <b/>
            <sz val="9"/>
            <rFont val="宋体"/>
            <charset val="134"/>
          </rPr>
          <t>Administrator:</t>
        </r>
        <r>
          <rPr>
            <sz val="9"/>
            <rFont val="宋体"/>
            <charset val="134"/>
          </rPr>
          <t xml:space="preserve">
1406250 3/31 2280pcs新b3
1406293 4/1 500pcs
1406253 4/1 500pcs张b3</t>
        </r>
      </text>
    </comment>
    <comment ref="AL888" authorId="0">
      <text>
        <r>
          <rPr>
            <b/>
            <sz val="9"/>
            <rFont val="宋体"/>
            <charset val="134"/>
          </rPr>
          <t>Administrator:</t>
        </r>
        <r>
          <rPr>
            <sz val="9"/>
            <rFont val="宋体"/>
            <charset val="134"/>
          </rPr>
          <t xml:space="preserve">
3/23 客供外箱条码贴纸 854pcs</t>
        </r>
      </text>
    </comment>
    <comment ref="AI889" authorId="0">
      <text>
        <r>
          <rPr>
            <b/>
            <sz val="9"/>
            <rFont val="宋体"/>
            <charset val="134"/>
          </rPr>
          <t>Administrator:</t>
        </r>
        <r>
          <rPr>
            <sz val="9"/>
            <rFont val="宋体"/>
            <charset val="134"/>
          </rPr>
          <t xml:space="preserve">
1405398 4/2 1400pcs
新仓a4</t>
        </r>
      </text>
    </comment>
    <comment ref="AL889" authorId="0">
      <text>
        <r>
          <rPr>
            <b/>
            <sz val="9"/>
            <rFont val="宋体"/>
            <charset val="134"/>
          </rPr>
          <t>Administrator:</t>
        </r>
        <r>
          <rPr>
            <sz val="9"/>
            <rFont val="宋体"/>
            <charset val="134"/>
          </rPr>
          <t xml:space="preserve">
3/23 UPC贴纸 1400pcs</t>
        </r>
      </text>
    </comment>
    <comment ref="AI890" authorId="0">
      <text>
        <r>
          <rPr>
            <b/>
            <sz val="9"/>
            <rFont val="宋体"/>
            <charset val="134"/>
          </rPr>
          <t>Administrator:</t>
        </r>
        <r>
          <rPr>
            <sz val="9"/>
            <rFont val="宋体"/>
            <charset val="134"/>
          </rPr>
          <t xml:space="preserve">
1405398 4/2 960pcs
新仓b2
</t>
        </r>
      </text>
    </comment>
    <comment ref="AL890" authorId="0">
      <text>
        <r>
          <rPr>
            <b/>
            <sz val="9"/>
            <rFont val="宋体"/>
            <charset val="134"/>
          </rPr>
          <t>Administrator:</t>
        </r>
        <r>
          <rPr>
            <sz val="9"/>
            <rFont val="宋体"/>
            <charset val="134"/>
          </rPr>
          <t xml:space="preserve">
3/16 客供价格贴纸 160pcs
3/23 外箱贴纸 960pcs</t>
        </r>
      </text>
    </comment>
    <comment ref="AI891" authorId="0">
      <text>
        <r>
          <rPr>
            <b/>
            <sz val="9"/>
            <rFont val="宋体"/>
            <charset val="134"/>
          </rPr>
          <t>Administrator:</t>
        </r>
        <r>
          <rPr>
            <sz val="9"/>
            <rFont val="宋体"/>
            <charset val="134"/>
          </rPr>
          <t xml:space="preserve">
1405398 4/2 960pcs
新仓b2</t>
        </r>
      </text>
    </comment>
    <comment ref="AL891" authorId="0">
      <text>
        <r>
          <rPr>
            <b/>
            <sz val="9"/>
            <rFont val="宋体"/>
            <charset val="134"/>
          </rPr>
          <t>Administrator:</t>
        </r>
        <r>
          <rPr>
            <sz val="9"/>
            <rFont val="宋体"/>
            <charset val="134"/>
          </rPr>
          <t xml:space="preserve">
3/16 客供价格贴纸 160pcs
3/23 外箱贴纸 960pcs
</t>
        </r>
      </text>
    </comment>
    <comment ref="AI892" authorId="0">
      <text>
        <r>
          <rPr>
            <b/>
            <sz val="9"/>
            <rFont val="宋体"/>
            <charset val="134"/>
          </rPr>
          <t>Administrator:</t>
        </r>
        <r>
          <rPr>
            <sz val="9"/>
            <rFont val="宋体"/>
            <charset val="134"/>
          </rPr>
          <t xml:space="preserve">
1405398 4/2 120pcs张新仓a3</t>
        </r>
      </text>
    </comment>
    <comment ref="AL892" authorId="0">
      <text>
        <r>
          <rPr>
            <b/>
            <sz val="9"/>
            <rFont val="宋体"/>
            <charset val="134"/>
          </rPr>
          <t>Administrator:</t>
        </r>
        <r>
          <rPr>
            <sz val="9"/>
            <rFont val="宋体"/>
            <charset val="134"/>
          </rPr>
          <t xml:space="preserve">
3/20 UPC贴纸 120opcs</t>
        </r>
      </text>
    </comment>
    <comment ref="AI895" authorId="0">
      <text>
        <r>
          <rPr>
            <b/>
            <sz val="9"/>
            <rFont val="宋体"/>
            <charset val="134"/>
          </rPr>
          <t>Administrator:</t>
        </r>
        <r>
          <rPr>
            <sz val="9"/>
            <rFont val="宋体"/>
            <charset val="134"/>
          </rPr>
          <t xml:space="preserve">
1405378 4/7 1200pcs
庞登1楼</t>
        </r>
      </text>
    </comment>
    <comment ref="AL895" authorId="0">
      <text>
        <r>
          <rPr>
            <b/>
            <sz val="9"/>
            <rFont val="宋体"/>
            <charset val="134"/>
          </rPr>
          <t>Administrator:</t>
        </r>
        <r>
          <rPr>
            <sz val="9"/>
            <rFont val="宋体"/>
            <charset val="134"/>
          </rPr>
          <t xml:space="preserve">
3/23 进口商贴纸 1200pcs
空白贴纸 1200pcs</t>
        </r>
      </text>
    </comment>
    <comment ref="AI896" authorId="0">
      <text>
        <r>
          <rPr>
            <b/>
            <sz val="9"/>
            <rFont val="宋体"/>
            <charset val="134"/>
          </rPr>
          <t>Administrator:</t>
        </r>
        <r>
          <rPr>
            <sz val="9"/>
            <rFont val="宋体"/>
            <charset val="134"/>
          </rPr>
          <t xml:space="preserve">
1406262 4/2 480pcs 张新a2
张a21406269 4/3 32pcs</t>
        </r>
      </text>
    </comment>
    <comment ref="AI897" authorId="0">
      <text>
        <r>
          <rPr>
            <b/>
            <sz val="9"/>
            <rFont val="宋体"/>
            <charset val="134"/>
          </rPr>
          <t>Administrator:</t>
        </r>
        <r>
          <rPr>
            <sz val="9"/>
            <rFont val="宋体"/>
            <charset val="134"/>
          </rPr>
          <t xml:space="preserve">
1406276 4/7 288pcs庞登1楼
</t>
        </r>
      </text>
    </comment>
    <comment ref="AL897" authorId="0">
      <text>
        <r>
          <rPr>
            <b/>
            <sz val="9"/>
            <rFont val="宋体"/>
            <charset val="134"/>
          </rPr>
          <t>Administrator:</t>
        </r>
        <r>
          <rPr>
            <sz val="9"/>
            <rFont val="宋体"/>
            <charset val="134"/>
          </rPr>
          <t xml:space="preserve">
3/18 警语贴纸 288pcs</t>
        </r>
      </text>
    </comment>
    <comment ref="AI898" authorId="0">
      <text>
        <r>
          <rPr>
            <b/>
            <sz val="9"/>
            <rFont val="宋体"/>
            <charset val="134"/>
          </rPr>
          <t>Administrator:</t>
        </r>
        <r>
          <rPr>
            <sz val="9"/>
            <rFont val="宋体"/>
            <charset val="134"/>
          </rPr>
          <t xml:space="preserve">
1406262 4/2 996pcs
张b2</t>
        </r>
      </text>
    </comment>
    <comment ref="AL898" authorId="0">
      <text>
        <r>
          <rPr>
            <b/>
            <sz val="9"/>
            <rFont val="宋体"/>
            <charset val="134"/>
          </rPr>
          <t>Administrator:</t>
        </r>
        <r>
          <rPr>
            <sz val="9"/>
            <rFont val="宋体"/>
            <charset val="134"/>
          </rPr>
          <t xml:space="preserve">
3/10 客供价格贴纸 1096pcs
</t>
        </r>
      </text>
    </comment>
    <comment ref="AI899" authorId="0">
      <text>
        <r>
          <rPr>
            <b/>
            <sz val="9"/>
            <rFont val="宋体"/>
            <charset val="134"/>
          </rPr>
          <t>Administrator:</t>
        </r>
        <r>
          <rPr>
            <sz val="9"/>
            <rFont val="宋体"/>
            <charset val="134"/>
          </rPr>
          <t xml:space="preserve">
1406262 4/2 1200pcs张a3</t>
        </r>
      </text>
    </comment>
    <comment ref="AL899" authorId="0">
      <text>
        <r>
          <rPr>
            <b/>
            <sz val="9"/>
            <rFont val="宋体"/>
            <charset val="134"/>
          </rPr>
          <t>Administrator:</t>
        </r>
        <r>
          <rPr>
            <sz val="9"/>
            <rFont val="宋体"/>
            <charset val="134"/>
          </rPr>
          <t xml:space="preserve">
3/10 客供价格贴纸 1320pcs
</t>
        </r>
      </text>
    </comment>
    <comment ref="AI900" authorId="0">
      <text>
        <r>
          <rPr>
            <b/>
            <sz val="9"/>
            <rFont val="宋体"/>
            <charset val="134"/>
          </rPr>
          <t>Administrator:</t>
        </r>
        <r>
          <rPr>
            <sz val="9"/>
            <rFont val="宋体"/>
            <charset val="134"/>
          </rPr>
          <t xml:space="preserve">
1406262 4/2 60pcs张b2</t>
        </r>
      </text>
    </comment>
    <comment ref="AL900" authorId="0">
      <text>
        <r>
          <rPr>
            <b/>
            <sz val="9"/>
            <rFont val="宋体"/>
            <charset val="134"/>
          </rPr>
          <t>Administrator:</t>
        </r>
        <r>
          <rPr>
            <sz val="9"/>
            <rFont val="宋体"/>
            <charset val="134"/>
          </rPr>
          <t xml:space="preserve">
3/16 同po共上768pcsUPC贴纸
3/18 客供亚马逊外箱贴纸 5pcs</t>
        </r>
      </text>
    </comment>
    <comment ref="AI901" authorId="0">
      <text>
        <r>
          <rPr>
            <b/>
            <sz val="9"/>
            <rFont val="宋体"/>
            <charset val="134"/>
          </rPr>
          <t>Administrator:</t>
        </r>
        <r>
          <rPr>
            <sz val="9"/>
            <rFont val="宋体"/>
            <charset val="134"/>
          </rPr>
          <t xml:space="preserve">
1406263 4/2 48pcs张b2</t>
        </r>
      </text>
    </comment>
    <comment ref="AL901" authorId="0">
      <text>
        <r>
          <rPr>
            <b/>
            <sz val="9"/>
            <rFont val="宋体"/>
            <charset val="134"/>
          </rPr>
          <t>Administrator:</t>
        </r>
        <r>
          <rPr>
            <sz val="9"/>
            <rFont val="宋体"/>
            <charset val="134"/>
          </rPr>
          <t xml:space="preserve">
3/18 客供亚马逊外箱贴纸 4pcs
</t>
        </r>
      </text>
    </comment>
    <comment ref="AI902" authorId="0">
      <text>
        <r>
          <rPr>
            <b/>
            <sz val="9"/>
            <rFont val="宋体"/>
            <charset val="134"/>
          </rPr>
          <t>Administrator:</t>
        </r>
        <r>
          <rPr>
            <sz val="9"/>
            <rFont val="宋体"/>
            <charset val="134"/>
          </rPr>
          <t xml:space="preserve">
1406262 4/2 216pcs
张b2</t>
        </r>
      </text>
    </comment>
    <comment ref="AL902" authorId="0">
      <text>
        <r>
          <rPr>
            <b/>
            <sz val="9"/>
            <rFont val="宋体"/>
            <charset val="134"/>
          </rPr>
          <t>Administrator:</t>
        </r>
        <r>
          <rPr>
            <sz val="9"/>
            <rFont val="宋体"/>
            <charset val="134"/>
          </rPr>
          <t xml:space="preserve">
3/18 客供亚马逊外箱贴纸 18pcs
</t>
        </r>
      </text>
    </comment>
    <comment ref="AI903" authorId="0">
      <text>
        <r>
          <rPr>
            <b/>
            <sz val="9"/>
            <rFont val="宋体"/>
            <charset val="134"/>
          </rPr>
          <t>Administrator:</t>
        </r>
        <r>
          <rPr>
            <sz val="9"/>
            <rFont val="宋体"/>
            <charset val="134"/>
          </rPr>
          <t xml:space="preserve">
1406262 4/2 48pcs
张b2
</t>
        </r>
      </text>
    </comment>
    <comment ref="AL903" authorId="0">
      <text>
        <r>
          <rPr>
            <b/>
            <sz val="9"/>
            <rFont val="宋体"/>
            <charset val="134"/>
          </rPr>
          <t>Administrator:</t>
        </r>
        <r>
          <rPr>
            <sz val="9"/>
            <rFont val="宋体"/>
            <charset val="134"/>
          </rPr>
          <t xml:space="preserve">
3/18 客供亚马逊外箱贴纸 4pcs
</t>
        </r>
      </text>
    </comment>
    <comment ref="AI904" authorId="0">
      <text>
        <r>
          <rPr>
            <b/>
            <sz val="9"/>
            <rFont val="宋体"/>
            <charset val="134"/>
          </rPr>
          <t>Administrator:</t>
        </r>
        <r>
          <rPr>
            <sz val="9"/>
            <rFont val="宋体"/>
            <charset val="134"/>
          </rPr>
          <t xml:space="preserve">
1406263 4/2 72pcs
张b2
</t>
        </r>
      </text>
    </comment>
    <comment ref="AL904" authorId="0">
      <text>
        <r>
          <rPr>
            <b/>
            <sz val="9"/>
            <rFont val="宋体"/>
            <charset val="134"/>
          </rPr>
          <t>Administrator:</t>
        </r>
        <r>
          <rPr>
            <sz val="9"/>
            <rFont val="宋体"/>
            <charset val="134"/>
          </rPr>
          <t xml:space="preserve">
3/18 客供亚马逊外箱贴纸 6pcs
</t>
        </r>
      </text>
    </comment>
    <comment ref="AI905" authorId="0">
      <text>
        <r>
          <rPr>
            <b/>
            <sz val="9"/>
            <rFont val="宋体"/>
            <charset val="134"/>
          </rPr>
          <t>Administrator:</t>
        </r>
        <r>
          <rPr>
            <sz val="9"/>
            <rFont val="宋体"/>
            <charset val="134"/>
          </rPr>
          <t xml:space="preserve">
1406263 4/2 60pcs
张b2
</t>
        </r>
      </text>
    </comment>
    <comment ref="AL905" authorId="0">
      <text>
        <r>
          <rPr>
            <b/>
            <sz val="9"/>
            <rFont val="宋体"/>
            <charset val="134"/>
          </rPr>
          <t>Administrator:</t>
        </r>
        <r>
          <rPr>
            <sz val="9"/>
            <rFont val="宋体"/>
            <charset val="134"/>
          </rPr>
          <t xml:space="preserve">
3/18 客供亚马逊外箱贴纸 5pcs
</t>
        </r>
      </text>
    </comment>
    <comment ref="AI906" authorId="0">
      <text>
        <r>
          <rPr>
            <b/>
            <sz val="9"/>
            <rFont val="宋体"/>
            <charset val="134"/>
          </rPr>
          <t>Administrator:</t>
        </r>
        <r>
          <rPr>
            <sz val="9"/>
            <rFont val="宋体"/>
            <charset val="134"/>
          </rPr>
          <t xml:space="preserve">
1406263 4/2 84pcs
张b2
</t>
        </r>
      </text>
    </comment>
    <comment ref="AL906" authorId="0">
      <text>
        <r>
          <rPr>
            <b/>
            <sz val="9"/>
            <rFont val="宋体"/>
            <charset val="134"/>
          </rPr>
          <t>Administrator:</t>
        </r>
        <r>
          <rPr>
            <sz val="9"/>
            <rFont val="宋体"/>
            <charset val="134"/>
          </rPr>
          <t xml:space="preserve">
3/18 客供亚马逊外箱贴纸 7pcs
</t>
        </r>
      </text>
    </comment>
    <comment ref="AI907" authorId="0">
      <text>
        <r>
          <rPr>
            <b/>
            <sz val="9"/>
            <rFont val="宋体"/>
            <charset val="134"/>
          </rPr>
          <t>Administrator:</t>
        </r>
        <r>
          <rPr>
            <sz val="9"/>
            <rFont val="宋体"/>
            <charset val="134"/>
          </rPr>
          <t xml:space="preserve">
1406263 4/2 60pcs
张b2
</t>
        </r>
      </text>
    </comment>
    <comment ref="AL907" authorId="0">
      <text>
        <r>
          <rPr>
            <b/>
            <sz val="9"/>
            <rFont val="宋体"/>
            <charset val="134"/>
          </rPr>
          <t>Administrator:</t>
        </r>
        <r>
          <rPr>
            <sz val="9"/>
            <rFont val="宋体"/>
            <charset val="134"/>
          </rPr>
          <t xml:space="preserve">
3/18 客供亚马逊外箱贴纸 5pcs
</t>
        </r>
      </text>
    </comment>
    <comment ref="AI908" authorId="0">
      <text>
        <r>
          <rPr>
            <b/>
            <sz val="9"/>
            <rFont val="宋体"/>
            <charset val="134"/>
          </rPr>
          <t>Administrator:</t>
        </r>
        <r>
          <rPr>
            <sz val="9"/>
            <rFont val="宋体"/>
            <charset val="134"/>
          </rPr>
          <t xml:space="preserve">
1406263 4/2 120pcs
张b2
</t>
        </r>
      </text>
    </comment>
    <comment ref="AL908" authorId="0">
      <text>
        <r>
          <rPr>
            <b/>
            <sz val="9"/>
            <rFont val="宋体"/>
            <charset val="134"/>
          </rPr>
          <t>Administrator:</t>
        </r>
        <r>
          <rPr>
            <sz val="9"/>
            <rFont val="宋体"/>
            <charset val="134"/>
          </rPr>
          <t xml:space="preserve">
3/18 客供亚马逊外箱贴纸 10pcs
</t>
        </r>
      </text>
    </comment>
    <comment ref="AI909" authorId="0">
      <text>
        <r>
          <rPr>
            <b/>
            <sz val="9"/>
            <rFont val="宋体"/>
            <charset val="134"/>
          </rPr>
          <t>Administrator:</t>
        </r>
        <r>
          <rPr>
            <sz val="9"/>
            <rFont val="宋体"/>
            <charset val="134"/>
          </rPr>
          <t xml:space="preserve">
1405378 4/7 2364pcs庞登1楼
1405413 4/8 36pcs 庞登1楼
</t>
        </r>
      </text>
    </comment>
    <comment ref="AL909" authorId="0">
      <text>
        <r>
          <rPr>
            <b/>
            <sz val="9"/>
            <rFont val="宋体"/>
            <charset val="134"/>
          </rPr>
          <t>Administrator:</t>
        </r>
        <r>
          <rPr>
            <sz val="9"/>
            <rFont val="宋体"/>
            <charset val="134"/>
          </rPr>
          <t xml:space="preserve">
3/24 多语折叠警告语贴纸 2400pcs
3/27 Kinderherz 2025 2400pcs
地址贴纸 2400pcs</t>
        </r>
      </text>
    </comment>
    <comment ref="AI910" authorId="0">
      <text>
        <r>
          <rPr>
            <b/>
            <sz val="9"/>
            <rFont val="宋体"/>
            <charset val="134"/>
          </rPr>
          <t>Administrator:</t>
        </r>
        <r>
          <rPr>
            <sz val="9"/>
            <rFont val="宋体"/>
            <charset val="134"/>
          </rPr>
          <t xml:space="preserve">
1405386 4/3 1500pcs张b6</t>
        </r>
      </text>
    </comment>
    <comment ref="AL910" authorId="0">
      <text>
        <r>
          <rPr>
            <b/>
            <sz val="9"/>
            <rFont val="宋体"/>
            <charset val="134"/>
          </rPr>
          <t>Administrator:</t>
        </r>
        <r>
          <rPr>
            <sz val="9"/>
            <rFont val="宋体"/>
            <charset val="134"/>
          </rPr>
          <t xml:space="preserve">
3/25 賽人自色Cat.label 1500pcs</t>
        </r>
      </text>
    </comment>
    <comment ref="AI911" authorId="0">
      <text>
        <r>
          <rPr>
            <b/>
            <sz val="9"/>
            <rFont val="宋体"/>
            <charset val="134"/>
          </rPr>
          <t>Administrator:</t>
        </r>
        <r>
          <rPr>
            <sz val="9"/>
            <rFont val="宋体"/>
            <charset val="134"/>
          </rPr>
          <t xml:space="preserve">
1405342 4/10 1000pcs
庞3b8</t>
        </r>
      </text>
    </comment>
    <comment ref="AL911" authorId="0">
      <text>
        <r>
          <rPr>
            <b/>
            <sz val="9"/>
            <rFont val="宋体"/>
            <charset val="134"/>
          </rPr>
          <t>Administrator:</t>
        </r>
        <r>
          <rPr>
            <sz val="9"/>
            <rFont val="宋体"/>
            <charset val="134"/>
          </rPr>
          <t xml:space="preserve">
3/9 Kinderherz 2025 Logo 1000PCS
</t>
        </r>
      </text>
    </comment>
    <comment ref="BN912" authorId="1">
      <text>
        <r>
          <rPr>
            <b/>
            <sz val="9"/>
            <rFont val="宋体"/>
            <charset val="134"/>
          </rPr>
          <t>RR:</t>
        </r>
        <r>
          <rPr>
            <sz val="9"/>
            <rFont val="宋体"/>
            <charset val="134"/>
          </rPr>
          <t xml:space="preserve">
新客版资料</t>
        </r>
      </text>
    </comment>
    <comment ref="AI913" authorId="0">
      <text>
        <r>
          <rPr>
            <b/>
            <sz val="9"/>
            <rFont val="宋体"/>
            <charset val="134"/>
          </rPr>
          <t>Administrator:</t>
        </r>
        <r>
          <rPr>
            <sz val="9"/>
            <rFont val="宋体"/>
            <charset val="134"/>
          </rPr>
          <t xml:space="preserve">
1405973 4/10 5004pcs
</t>
        </r>
      </text>
    </comment>
    <comment ref="AL913" authorId="0">
      <text>
        <r>
          <rPr>
            <b/>
            <sz val="9"/>
            <rFont val="宋体"/>
            <charset val="134"/>
          </rPr>
          <t>Administrator:</t>
        </r>
        <r>
          <rPr>
            <sz val="9"/>
            <rFont val="宋体"/>
            <charset val="134"/>
          </rPr>
          <t xml:space="preserve">
3/20 包装贴纸 5004pcs
说明书贴 5004pcs
UPC贴纸 5004pcs
3/28 保证书 5004pcs 
3/30 客供价标贴纸 5035pcs</t>
        </r>
      </text>
    </comment>
    <comment ref="AI915" authorId="0">
      <text>
        <r>
          <rPr>
            <b/>
            <sz val="9"/>
            <rFont val="宋体"/>
            <charset val="134"/>
          </rPr>
          <t>Administrator:</t>
        </r>
        <r>
          <rPr>
            <sz val="9"/>
            <rFont val="宋体"/>
            <charset val="134"/>
          </rPr>
          <t xml:space="preserve">
1405413 4/8 4920pcs庞3a8
1405421 4/8 8560pcs庞3b28
1405421 4/8 8560pcs 庞3a28</t>
        </r>
      </text>
    </comment>
    <comment ref="AL915" authorId="0">
      <text>
        <r>
          <rPr>
            <b/>
            <sz val="9"/>
            <rFont val="宋体"/>
            <charset val="134"/>
          </rPr>
          <t>Administrator:</t>
        </r>
        <r>
          <rPr>
            <sz val="9"/>
            <rFont val="宋体"/>
            <charset val="134"/>
          </rPr>
          <t xml:space="preserve">
3/28 客供外箱条码贴纸 5555pcs</t>
        </r>
      </text>
    </comment>
    <comment ref="AI918" authorId="0">
      <text>
        <r>
          <rPr>
            <b/>
            <sz val="9"/>
            <rFont val="宋体"/>
            <charset val="134"/>
          </rPr>
          <t>Administrator:</t>
        </r>
        <r>
          <rPr>
            <sz val="9"/>
            <rFont val="宋体"/>
            <charset val="134"/>
          </rPr>
          <t xml:space="preserve">
1405935 4/14 1152pcs
张a4</t>
        </r>
      </text>
    </comment>
    <comment ref="AL918" authorId="0">
      <text>
        <r>
          <rPr>
            <b/>
            <sz val="9"/>
            <rFont val="宋体"/>
            <charset val="134"/>
          </rPr>
          <t>Administrator:</t>
        </r>
        <r>
          <rPr>
            <sz val="9"/>
            <rFont val="宋体"/>
            <charset val="134"/>
          </rPr>
          <t xml:space="preserve">
3/18 客户进口商内容 1152pcs</t>
        </r>
      </text>
    </comment>
    <comment ref="AI919" authorId="0">
      <text>
        <r>
          <rPr>
            <b/>
            <sz val="9"/>
            <rFont val="宋体"/>
            <charset val="134"/>
          </rPr>
          <t>Administrator:</t>
        </r>
        <r>
          <rPr>
            <sz val="9"/>
            <rFont val="宋体"/>
            <charset val="134"/>
          </rPr>
          <t xml:space="preserve">
1405935 4/14 1980pcs
张b21405903 4/14 24pcs
张新b2
</t>
        </r>
      </text>
    </comment>
    <comment ref="AL919" authorId="0">
      <text>
        <r>
          <rPr>
            <b/>
            <sz val="9"/>
            <rFont val="宋体"/>
            <charset val="134"/>
          </rPr>
          <t>Administrator:</t>
        </r>
        <r>
          <rPr>
            <sz val="9"/>
            <rFont val="宋体"/>
            <charset val="134"/>
          </rPr>
          <t xml:space="preserve">
3/27 空白贴纸 2004pcs
3/28 进口商贴纸 14004pcs
</t>
        </r>
      </text>
    </comment>
    <comment ref="AI920" authorId="0">
      <text>
        <r>
          <rPr>
            <b/>
            <sz val="9"/>
            <rFont val="宋体"/>
            <charset val="134"/>
          </rPr>
          <t>Administrator:</t>
        </r>
        <r>
          <rPr>
            <sz val="9"/>
            <rFont val="宋体"/>
            <charset val="134"/>
          </rPr>
          <t xml:space="preserve">
1405935 4/14 11988pcs
张86
1405903 4/14 12pcs张新b6
</t>
        </r>
      </text>
    </comment>
    <comment ref="AI921" authorId="0">
      <text>
        <r>
          <rPr>
            <b/>
            <sz val="9"/>
            <rFont val="宋体"/>
            <charset val="134"/>
          </rPr>
          <t>Administrator:</t>
        </r>
        <r>
          <rPr>
            <sz val="9"/>
            <rFont val="宋体"/>
            <charset val="134"/>
          </rPr>
          <t xml:space="preserve">
1405947 4/11 2352pcs
1405903 4/14 48pcs张新b2</t>
        </r>
      </text>
    </comment>
    <comment ref="AL921" authorId="0">
      <text>
        <r>
          <rPr>
            <b/>
            <sz val="9"/>
            <rFont val="宋体"/>
            <charset val="134"/>
          </rPr>
          <t>Administrator:</t>
        </r>
        <r>
          <rPr>
            <sz val="9"/>
            <rFont val="宋体"/>
            <charset val="134"/>
          </rPr>
          <t xml:space="preserve">
3/21 UPC贴纸 2400pcs</t>
        </r>
      </text>
    </comment>
    <comment ref="AL922" authorId="0">
      <text>
        <r>
          <rPr>
            <b/>
            <sz val="9"/>
            <rFont val="宋体"/>
            <charset val="134"/>
          </rPr>
          <t>Administrator:</t>
        </r>
        <r>
          <rPr>
            <sz val="9"/>
            <rFont val="宋体"/>
            <charset val="134"/>
          </rPr>
          <t xml:space="preserve">
3/4 客供芯片码贴纸 1200pcs
</t>
        </r>
      </text>
    </comment>
    <comment ref="AL925" authorId="0">
      <text>
        <r>
          <rPr>
            <b/>
            <sz val="9"/>
            <rFont val="宋体"/>
            <charset val="134"/>
          </rPr>
          <t>Administrator:</t>
        </r>
        <r>
          <rPr>
            <sz val="9"/>
            <rFont val="宋体"/>
            <charset val="134"/>
          </rPr>
          <t xml:space="preserve">
3/18 德语意大利警告
2196pcs </t>
        </r>
      </text>
    </comment>
    <comment ref="AI926" authorId="0">
      <text>
        <r>
          <rPr>
            <b/>
            <sz val="9"/>
            <rFont val="宋体"/>
            <charset val="134"/>
          </rPr>
          <t>Administrator:</t>
        </r>
        <r>
          <rPr>
            <sz val="9"/>
            <rFont val="宋体"/>
            <charset val="134"/>
          </rPr>
          <t xml:space="preserve">
1405859 4/17 13440pcs
1405861 4/17 19320pcs
1405862 4/17 17240pcs</t>
        </r>
      </text>
    </comment>
    <comment ref="AL926" authorId="0">
      <text>
        <r>
          <rPr>
            <b/>
            <sz val="9"/>
            <rFont val="宋体"/>
            <charset val="134"/>
          </rPr>
          <t>Administrator:</t>
        </r>
        <r>
          <rPr>
            <sz val="9"/>
            <rFont val="宋体"/>
            <charset val="134"/>
          </rPr>
          <t xml:space="preserve">
3/27 客供外箱条码贴纸 12625pcs
4/20 客供外箱贴纸 1000pcs</t>
        </r>
      </text>
    </comment>
    <comment ref="AI927" authorId="0">
      <text>
        <r>
          <rPr>
            <b/>
            <sz val="9"/>
            <rFont val="宋体"/>
            <charset val="134"/>
          </rPr>
          <t>Administrator:</t>
        </r>
        <r>
          <rPr>
            <sz val="9"/>
            <rFont val="宋体"/>
            <charset val="134"/>
          </rPr>
          <t xml:space="preserve">
1405870 4/18 1200pcs
庞登1楼</t>
        </r>
      </text>
    </comment>
    <comment ref="AL927" authorId="0">
      <text>
        <r>
          <rPr>
            <b/>
            <sz val="9"/>
            <rFont val="宋体"/>
            <charset val="134"/>
          </rPr>
          <t>Administrator:</t>
        </r>
        <r>
          <rPr>
            <sz val="9"/>
            <rFont val="宋体"/>
            <charset val="134"/>
          </rPr>
          <t xml:space="preserve">
3/12 价格贴纸 1200pcs
4/14 客供外箱贴纸 3000pcs</t>
        </r>
      </text>
    </comment>
    <comment ref="AI928" authorId="0">
      <text>
        <r>
          <rPr>
            <b/>
            <sz val="9"/>
            <rFont val="宋体"/>
            <charset val="134"/>
          </rPr>
          <t>Administrator:</t>
        </r>
        <r>
          <rPr>
            <sz val="9"/>
            <rFont val="宋体"/>
            <charset val="134"/>
          </rPr>
          <t xml:space="preserve">
1403782 4/18 360pcs
庞3a27</t>
        </r>
      </text>
    </comment>
    <comment ref="AL928" authorId="0">
      <text>
        <r>
          <rPr>
            <b/>
            <sz val="9"/>
            <rFont val="宋体"/>
            <charset val="134"/>
          </rPr>
          <t>Administrator:</t>
        </r>
        <r>
          <rPr>
            <sz val="9"/>
            <rFont val="宋体"/>
            <charset val="134"/>
          </rPr>
          <t xml:space="preserve">
3/16 丹麦瑞典芬兰挪威警 360pcs
大语警告语贴 360pcs
小语警告语贴 2520pcs</t>
        </r>
      </text>
    </comment>
    <comment ref="AI929" authorId="0">
      <text>
        <r>
          <rPr>
            <b/>
            <sz val="9"/>
            <rFont val="宋体"/>
            <charset val="134"/>
          </rPr>
          <t>Administrator:</t>
        </r>
        <r>
          <rPr>
            <sz val="9"/>
            <rFont val="宋体"/>
            <charset val="134"/>
          </rPr>
          <t xml:space="preserve">
1403817 4/20 1200pcs 
王4b1</t>
        </r>
      </text>
    </comment>
    <comment ref="AI930" authorId="0">
      <text>
        <r>
          <rPr>
            <b/>
            <sz val="9"/>
            <rFont val="宋体"/>
            <charset val="134"/>
          </rPr>
          <t>Administrator:</t>
        </r>
        <r>
          <rPr>
            <sz val="9"/>
            <rFont val="宋体"/>
            <charset val="134"/>
          </rPr>
          <t xml:space="preserve">
1403782 4/18 3420pcs
庞3b16</t>
        </r>
      </text>
    </comment>
    <comment ref="AL930" authorId="0">
      <text>
        <r>
          <rPr>
            <b/>
            <sz val="9"/>
            <rFont val="宋体"/>
            <charset val="134"/>
          </rPr>
          <t>Administrator:</t>
        </r>
        <r>
          <rPr>
            <sz val="9"/>
            <rFont val="宋体"/>
            <charset val="134"/>
          </rPr>
          <t xml:space="preserve">
4/8 包装进口商贴纸 6840cs 
产品进口商贴纸 6840pcs
UPC贴纸 6840pcs
外箱籍贴纸 570pcs
4/10 保证书1 6840pcs
4/21  包装进口商贴纸 6840pcs
产品进口商贴纸 6840pcs
UPC贴纸 6840pcs
4/24 保证书1 6840pcs</t>
        </r>
      </text>
    </comment>
    <comment ref="AI931" authorId="0">
      <text>
        <r>
          <rPr>
            <b/>
            <sz val="9"/>
            <rFont val="宋体"/>
            <charset val="134"/>
          </rPr>
          <t>Administrator:</t>
        </r>
        <r>
          <rPr>
            <sz val="9"/>
            <rFont val="宋体"/>
            <charset val="134"/>
          </rPr>
          <t xml:space="preserve">
1403808 4/21 1820pcs
张b2</t>
        </r>
      </text>
    </comment>
    <comment ref="AI932" authorId="0">
      <text>
        <r>
          <rPr>
            <b/>
            <sz val="9"/>
            <rFont val="宋体"/>
            <charset val="134"/>
          </rPr>
          <t>Administrator:</t>
        </r>
        <r>
          <rPr>
            <sz val="9"/>
            <rFont val="宋体"/>
            <charset val="134"/>
          </rPr>
          <t xml:space="preserve">
1403808 4/21 1064pcs
张b2
</t>
        </r>
      </text>
    </comment>
    <comment ref="AI935" authorId="0">
      <text>
        <r>
          <rPr>
            <b/>
            <sz val="9"/>
            <rFont val="宋体"/>
            <charset val="134"/>
          </rPr>
          <t>Administrator:</t>
        </r>
        <r>
          <rPr>
            <sz val="9"/>
            <rFont val="宋体"/>
            <charset val="134"/>
          </rPr>
          <t xml:space="preserve">
1403848 4/22 208pcs
张b2</t>
        </r>
      </text>
    </comment>
    <comment ref="AI936" authorId="0">
      <text>
        <r>
          <rPr>
            <b/>
            <sz val="9"/>
            <rFont val="宋体"/>
            <charset val="134"/>
          </rPr>
          <t>Administrator:</t>
        </r>
        <r>
          <rPr>
            <sz val="9"/>
            <rFont val="宋体"/>
            <charset val="134"/>
          </rPr>
          <t xml:space="preserve">
1403722 4/25 180pcs张c1</t>
        </r>
      </text>
    </comment>
    <comment ref="AL936" authorId="0">
      <text>
        <r>
          <rPr>
            <b/>
            <sz val="9"/>
            <rFont val="宋体"/>
            <charset val="134"/>
          </rPr>
          <t>Administrator:</t>
        </r>
        <r>
          <rPr>
            <sz val="9"/>
            <rFont val="宋体"/>
            <charset val="134"/>
          </rPr>
          <t xml:space="preserve">
4/15 进口商贴纸 180pcs
条码贴纸 180pcs
</t>
        </r>
      </text>
    </comment>
    <comment ref="AI940" authorId="0">
      <text>
        <r>
          <rPr>
            <b/>
            <sz val="9"/>
            <rFont val="宋体"/>
            <charset val="134"/>
          </rPr>
          <t>Administrator:</t>
        </r>
        <r>
          <rPr>
            <sz val="9"/>
            <rFont val="宋体"/>
            <charset val="134"/>
          </rPr>
          <t xml:space="preserve">
1403806 4/21 504pcs 王4b1</t>
        </r>
      </text>
    </comment>
    <comment ref="AL940" authorId="0">
      <text>
        <r>
          <rPr>
            <b/>
            <sz val="9"/>
            <rFont val="宋体"/>
            <charset val="134"/>
          </rPr>
          <t>Administrator:</t>
        </r>
        <r>
          <rPr>
            <sz val="9"/>
            <rFont val="宋体"/>
            <charset val="134"/>
          </rPr>
          <t xml:space="preserve">
3/23 进口商贴纸 504pcs</t>
        </r>
      </text>
    </comment>
    <comment ref="AI941" authorId="0">
      <text>
        <r>
          <rPr>
            <b/>
            <sz val="9"/>
            <rFont val="宋体"/>
            <charset val="134"/>
          </rPr>
          <t>Administrator:</t>
        </r>
        <r>
          <rPr>
            <sz val="9"/>
            <rFont val="宋体"/>
            <charset val="134"/>
          </rPr>
          <t xml:space="preserve">
1403848 4/22 180pcs
张a1</t>
        </r>
      </text>
    </comment>
    <comment ref="AI944" authorId="0">
      <text>
        <r>
          <rPr>
            <b/>
            <sz val="9"/>
            <rFont val="宋体"/>
            <charset val="134"/>
          </rPr>
          <t>Administrator:</t>
        </r>
        <r>
          <rPr>
            <sz val="9"/>
            <rFont val="宋体"/>
            <charset val="134"/>
          </rPr>
          <t xml:space="preserve">
1403885 4/25 4660pcs
张c4
</t>
        </r>
      </text>
    </comment>
    <comment ref="AL944" authorId="0">
      <text>
        <r>
          <rPr>
            <b/>
            <sz val="9"/>
            <rFont val="宋体"/>
            <charset val="134"/>
          </rPr>
          <t>Administrator:</t>
        </r>
        <r>
          <rPr>
            <sz val="9"/>
            <rFont val="宋体"/>
            <charset val="134"/>
          </rPr>
          <t xml:space="preserve">
3/30 客供外箱条码贴纸 1177pcs</t>
        </r>
      </text>
    </comment>
    <comment ref="AI945" authorId="0">
      <text>
        <r>
          <rPr>
            <b/>
            <sz val="9"/>
            <rFont val="宋体"/>
            <charset val="134"/>
          </rPr>
          <t>Administrator:</t>
        </r>
        <r>
          <rPr>
            <sz val="9"/>
            <rFont val="宋体"/>
            <charset val="134"/>
          </rPr>
          <t xml:space="preserve">
1403868 4/24 4992pcs庞3a21</t>
        </r>
      </text>
    </comment>
    <comment ref="AI946" authorId="0">
      <text>
        <r>
          <rPr>
            <b/>
            <sz val="9"/>
            <rFont val="宋体"/>
            <charset val="134"/>
          </rPr>
          <t>Administrator:</t>
        </r>
        <r>
          <rPr>
            <sz val="9"/>
            <rFont val="宋体"/>
            <charset val="134"/>
          </rPr>
          <t xml:space="preserve">
1403857 4/25 720pcs
庞3b14</t>
        </r>
      </text>
    </comment>
    <comment ref="AL946" authorId="0">
      <text>
        <r>
          <rPr>
            <b/>
            <sz val="9"/>
            <rFont val="宋体"/>
            <charset val="134"/>
          </rPr>
          <t>Administrator:</t>
        </r>
        <r>
          <rPr>
            <sz val="9"/>
            <rFont val="宋体"/>
            <charset val="134"/>
          </rPr>
          <t xml:space="preserve">
4/8 进口商贴纸 720pcs
UPC贴纸 720pcs</t>
        </r>
      </text>
    </comment>
    <comment ref="AI947" authorId="0">
      <text>
        <r>
          <rPr>
            <b/>
            <sz val="9"/>
            <rFont val="宋体"/>
            <charset val="134"/>
          </rPr>
          <t>Administrator:</t>
        </r>
        <r>
          <rPr>
            <sz val="9"/>
            <rFont val="宋体"/>
            <charset val="134"/>
          </rPr>
          <t xml:space="preserve">
1403857 4/25 600pcs
庞3v14</t>
        </r>
      </text>
    </comment>
    <comment ref="AL947" authorId="0">
      <text>
        <r>
          <rPr>
            <b/>
            <sz val="9"/>
            <rFont val="宋体"/>
            <charset val="134"/>
          </rPr>
          <t>Administrator:</t>
        </r>
        <r>
          <rPr>
            <sz val="9"/>
            <rFont val="宋体"/>
            <charset val="134"/>
          </rPr>
          <t xml:space="preserve">
4/8 进口商贴纸 600pcs
UPC贴纸 60pcs
</t>
        </r>
      </text>
    </comment>
    <comment ref="AI948" authorId="0">
      <text>
        <r>
          <rPr>
            <b/>
            <sz val="9"/>
            <rFont val="宋体"/>
            <charset val="134"/>
          </rPr>
          <t>Administrator:</t>
        </r>
        <r>
          <rPr>
            <sz val="9"/>
            <rFont val="宋体"/>
            <charset val="134"/>
          </rPr>
          <t xml:space="preserve">
1403892 4/23 3096pcs
1403900 4/23 1704pcs</t>
        </r>
      </text>
    </comment>
    <comment ref="AL948" authorId="0">
      <text>
        <r>
          <rPr>
            <b/>
            <sz val="9"/>
            <rFont val="宋体"/>
            <charset val="134"/>
          </rPr>
          <t>Administrator:</t>
        </r>
        <r>
          <rPr>
            <sz val="9"/>
            <rFont val="宋体"/>
            <charset val="134"/>
          </rPr>
          <t xml:space="preserve">
4/8 UPC/进口商贴纸 4800pcs
4/21 UPC进口商贴纸 4800pcs</t>
        </r>
      </text>
    </comment>
    <comment ref="AI949" authorId="0">
      <text>
        <r>
          <rPr>
            <b/>
            <sz val="9"/>
            <rFont val="宋体"/>
            <charset val="134"/>
          </rPr>
          <t>Administrator:</t>
        </r>
        <r>
          <rPr>
            <sz val="9"/>
            <rFont val="宋体"/>
            <charset val="134"/>
          </rPr>
          <t xml:space="preserve">
1403892 4/23 2474pcs
1403900 4/23 26pcs
</t>
        </r>
      </text>
    </comment>
    <comment ref="AL949" authorId="0">
      <text>
        <r>
          <rPr>
            <b/>
            <sz val="9"/>
            <rFont val="宋体"/>
            <charset val="134"/>
          </rPr>
          <t>Administrator:</t>
        </r>
        <r>
          <rPr>
            <sz val="9"/>
            <rFont val="宋体"/>
            <charset val="134"/>
          </rPr>
          <t xml:space="preserve">
3/27 UPC贴纸 2500pcs
4/23 UPC贴纸 2500pcs</t>
        </r>
      </text>
    </comment>
    <comment ref="AI951" authorId="0">
      <text>
        <r>
          <rPr>
            <b/>
            <sz val="9"/>
            <rFont val="宋体"/>
            <charset val="134"/>
          </rPr>
          <t>Administrator:</t>
        </r>
        <r>
          <rPr>
            <sz val="9"/>
            <rFont val="宋体"/>
            <charset val="134"/>
          </rPr>
          <t xml:space="preserve">
1403857 4/25 864pcs
庞3b12</t>
        </r>
      </text>
    </comment>
    <comment ref="AL951" authorId="0">
      <text>
        <r>
          <rPr>
            <b/>
            <sz val="9"/>
            <rFont val="宋体"/>
            <charset val="134"/>
          </rPr>
          <t>Administrator:</t>
        </r>
        <r>
          <rPr>
            <sz val="9"/>
            <rFont val="宋体"/>
            <charset val="134"/>
          </rPr>
          <t xml:space="preserve">
3/27 UPC贴纸 864pcs
4/1 可折叠警语贴纸 864pcs
4/21 UPC贴纸 864pcs
可折叠警语贴纸 864pcs</t>
        </r>
      </text>
    </comment>
    <comment ref="AI952" authorId="0">
      <text>
        <r>
          <rPr>
            <b/>
            <sz val="9"/>
            <rFont val="宋体"/>
            <charset val="134"/>
          </rPr>
          <t>Administrator:</t>
        </r>
        <r>
          <rPr>
            <sz val="9"/>
            <rFont val="宋体"/>
            <charset val="134"/>
          </rPr>
          <t xml:space="preserve">
1403885 4/25 2112pcs张c5</t>
        </r>
      </text>
    </comment>
    <comment ref="AL952" authorId="0">
      <text>
        <r>
          <rPr>
            <b/>
            <sz val="9"/>
            <rFont val="宋体"/>
            <charset val="134"/>
          </rPr>
          <t>Administrator:</t>
        </r>
        <r>
          <rPr>
            <sz val="9"/>
            <rFont val="宋体"/>
            <charset val="134"/>
          </rPr>
          <t xml:space="preserve">
4/14 客供亚马逊外箱贴纸 176pcs
</t>
        </r>
      </text>
    </comment>
    <comment ref="AI953" authorId="0">
      <text>
        <r>
          <rPr>
            <b/>
            <sz val="9"/>
            <rFont val="宋体"/>
            <charset val="134"/>
          </rPr>
          <t>Administrator:</t>
        </r>
        <r>
          <rPr>
            <sz val="9"/>
            <rFont val="宋体"/>
            <charset val="134"/>
          </rPr>
          <t xml:space="preserve">
1403885 4/25 2652pcs
张c5
</t>
        </r>
      </text>
    </comment>
    <comment ref="AL953" authorId="0">
      <text>
        <r>
          <rPr>
            <b/>
            <sz val="9"/>
            <rFont val="宋体"/>
            <charset val="134"/>
          </rPr>
          <t>Administrator:</t>
        </r>
        <r>
          <rPr>
            <sz val="9"/>
            <rFont val="宋体"/>
            <charset val="134"/>
          </rPr>
          <t xml:space="preserve">
4/14 客供亚马逊外箱贴纸 221pcs</t>
        </r>
      </text>
    </comment>
    <comment ref="AI954" authorId="0">
      <text>
        <r>
          <rPr>
            <b/>
            <sz val="9"/>
            <rFont val="宋体"/>
            <charset val="134"/>
          </rPr>
          <t>Administrator:</t>
        </r>
        <r>
          <rPr>
            <sz val="9"/>
            <rFont val="宋体"/>
            <charset val="134"/>
          </rPr>
          <t xml:space="preserve">
1403900 4/23 1896pcs</t>
        </r>
      </text>
    </comment>
    <comment ref="AL954" authorId="0">
      <text>
        <r>
          <rPr>
            <b/>
            <sz val="9"/>
            <rFont val="宋体"/>
            <charset val="134"/>
          </rPr>
          <t>Administrator:</t>
        </r>
        <r>
          <rPr>
            <sz val="9"/>
            <rFont val="宋体"/>
            <charset val="134"/>
          </rPr>
          <t xml:space="preserve">
4/14 客供亚马逊外箱贴纸 158pcs
</t>
        </r>
      </text>
    </comment>
    <comment ref="AI955" authorId="0">
      <text>
        <r>
          <rPr>
            <b/>
            <sz val="9"/>
            <rFont val="宋体"/>
            <charset val="134"/>
          </rPr>
          <t>Administrator:</t>
        </r>
        <r>
          <rPr>
            <sz val="9"/>
            <rFont val="宋体"/>
            <charset val="134"/>
          </rPr>
          <t xml:space="preserve">
1403900 4/23 2640pcs</t>
        </r>
      </text>
    </comment>
    <comment ref="AL955" authorId="0">
      <text>
        <r>
          <rPr>
            <b/>
            <sz val="9"/>
            <rFont val="宋体"/>
            <charset val="134"/>
          </rPr>
          <t>Administrator:</t>
        </r>
        <r>
          <rPr>
            <sz val="9"/>
            <rFont val="宋体"/>
            <charset val="134"/>
          </rPr>
          <t xml:space="preserve">
4/14 客供亚马逊外箱贴纸 220pcs
</t>
        </r>
      </text>
    </comment>
    <comment ref="AI956" authorId="0">
      <text>
        <r>
          <rPr>
            <b/>
            <sz val="9"/>
            <rFont val="宋体"/>
            <charset val="134"/>
          </rPr>
          <t>Administrator:</t>
        </r>
        <r>
          <rPr>
            <sz val="9"/>
            <rFont val="宋体"/>
            <charset val="134"/>
          </rPr>
          <t xml:space="preserve">
1403885 4/25 1464pcs
张c5
</t>
        </r>
      </text>
    </comment>
    <comment ref="AL956" authorId="0">
      <text>
        <r>
          <rPr>
            <b/>
            <sz val="9"/>
            <rFont val="宋体"/>
            <charset val="134"/>
          </rPr>
          <t xml:space="preserve">Administrator:
4/14 </t>
        </r>
        <r>
          <rPr>
            <sz val="9"/>
            <rFont val="宋体"/>
            <charset val="134"/>
          </rPr>
          <t>客供亚马逊外箱贴纸 121pcs</t>
        </r>
      </text>
    </comment>
    <comment ref="AI957" authorId="0">
      <text>
        <r>
          <rPr>
            <b/>
            <sz val="9"/>
            <rFont val="宋体"/>
            <charset val="134"/>
          </rPr>
          <t>Administrator:</t>
        </r>
        <r>
          <rPr>
            <sz val="9"/>
            <rFont val="宋体"/>
            <charset val="134"/>
          </rPr>
          <t xml:space="preserve">
1403885 4/25 2184pcs
张c5
</t>
        </r>
      </text>
    </comment>
    <comment ref="AL957" authorId="0">
      <text>
        <r>
          <rPr>
            <b/>
            <sz val="9"/>
            <rFont val="宋体"/>
            <charset val="134"/>
          </rPr>
          <t>Administrator:</t>
        </r>
        <r>
          <rPr>
            <sz val="9"/>
            <rFont val="宋体"/>
            <charset val="134"/>
          </rPr>
          <t xml:space="preserve">
4/14 客供亚马逊外箱贴纸 182pcs
</t>
        </r>
      </text>
    </comment>
    <comment ref="AI960" authorId="0">
      <text>
        <r>
          <rPr>
            <b/>
            <sz val="9"/>
            <rFont val="宋体"/>
            <charset val="134"/>
          </rPr>
          <t>Administrator:</t>
        </r>
        <r>
          <rPr>
            <sz val="9"/>
            <rFont val="宋体"/>
            <charset val="134"/>
          </rPr>
          <t xml:space="preserve">
1403857 4/25 996pcs庞3b6</t>
        </r>
      </text>
    </comment>
    <comment ref="AL960" authorId="0">
      <text>
        <r>
          <rPr>
            <b/>
            <sz val="9"/>
            <rFont val="宋体"/>
            <charset val="134"/>
          </rPr>
          <t>Administrator:</t>
        </r>
        <r>
          <rPr>
            <sz val="9"/>
            <rFont val="宋体"/>
            <charset val="134"/>
          </rPr>
          <t xml:space="preserve">
3/18 客供价格贴纸 1096pcs</t>
        </r>
      </text>
    </comment>
    <comment ref="AI961" authorId="0">
      <text>
        <r>
          <rPr>
            <b/>
            <sz val="9"/>
            <rFont val="宋体"/>
            <charset val="134"/>
          </rPr>
          <t>Administrator:</t>
        </r>
        <r>
          <rPr>
            <sz val="9"/>
            <rFont val="宋体"/>
            <charset val="134"/>
          </rPr>
          <t xml:space="preserve">
1403857 4/25 1200pcs直走</t>
        </r>
      </text>
    </comment>
    <comment ref="AL961" authorId="0">
      <text>
        <r>
          <rPr>
            <b/>
            <sz val="9"/>
            <rFont val="宋体"/>
            <charset val="134"/>
          </rPr>
          <t>Administrator:</t>
        </r>
        <r>
          <rPr>
            <sz val="9"/>
            <rFont val="宋体"/>
            <charset val="134"/>
          </rPr>
          <t xml:space="preserve">
3/18 客供价格贴纸 1320pcs
</t>
        </r>
      </text>
    </comment>
    <comment ref="AI962" authorId="0">
      <text>
        <r>
          <rPr>
            <b/>
            <sz val="9"/>
            <rFont val="宋体"/>
            <charset val="134"/>
          </rPr>
          <t>Administrator:</t>
        </r>
        <r>
          <rPr>
            <sz val="9"/>
            <rFont val="宋体"/>
            <charset val="134"/>
          </rPr>
          <t xml:space="preserve">
1403852 4/25 4992pcs张c2</t>
        </r>
      </text>
    </comment>
    <comment ref="AI965" authorId="0">
      <text>
        <r>
          <rPr>
            <b/>
            <sz val="9"/>
            <rFont val="宋体"/>
            <charset val="134"/>
          </rPr>
          <t>Administrator:</t>
        </r>
        <r>
          <rPr>
            <sz val="9"/>
            <rFont val="宋体"/>
            <charset val="134"/>
          </rPr>
          <t xml:space="preserve">
1403670 4/28 4800pcs
直走</t>
        </r>
      </text>
    </comment>
    <comment ref="AL965" authorId="0">
      <text>
        <r>
          <rPr>
            <b/>
            <sz val="9"/>
            <rFont val="宋体"/>
            <charset val="134"/>
          </rPr>
          <t>Administrator:</t>
        </r>
        <r>
          <rPr>
            <sz val="9"/>
            <rFont val="宋体"/>
            <charset val="134"/>
          </rPr>
          <t xml:space="preserve">
4/8 多语警语折叠贴纸 4800pcs
</t>
        </r>
      </text>
    </comment>
    <comment ref="AI967" authorId="0">
      <text>
        <r>
          <rPr>
            <b/>
            <sz val="9"/>
            <rFont val="宋体"/>
            <charset val="134"/>
          </rPr>
          <t>Administrator:</t>
        </r>
        <r>
          <rPr>
            <sz val="9"/>
            <rFont val="宋体"/>
            <charset val="134"/>
          </rPr>
          <t xml:space="preserve">
1403688 4/29 张c3</t>
        </r>
      </text>
    </comment>
    <comment ref="AI968" authorId="0">
      <text>
        <r>
          <rPr>
            <b/>
            <sz val="9"/>
            <rFont val="宋体"/>
            <charset val="134"/>
          </rPr>
          <t>Administrator:</t>
        </r>
        <r>
          <rPr>
            <sz val="9"/>
            <rFont val="宋体"/>
            <charset val="134"/>
          </rPr>
          <t xml:space="preserve">
1403660 4/28 624pcs张c2</t>
        </r>
      </text>
    </comment>
    <comment ref="AL968" authorId="0">
      <text>
        <r>
          <rPr>
            <b/>
            <sz val="9"/>
            <rFont val="宋体"/>
            <charset val="134"/>
          </rPr>
          <t>Administrator:</t>
        </r>
        <r>
          <rPr>
            <sz val="9"/>
            <rFont val="宋体"/>
            <charset val="134"/>
          </rPr>
          <t xml:space="preserve">
3/30 大语警告语贴 624pcs
小语警告语贴 4368pcs
丹麦瑞典芬兰挪威警告语 624psc</t>
        </r>
      </text>
    </comment>
    <comment ref="AI969" authorId="0">
      <text>
        <r>
          <rPr>
            <b/>
            <sz val="9"/>
            <rFont val="宋体"/>
            <charset val="134"/>
          </rPr>
          <t>Administrator:</t>
        </r>
        <r>
          <rPr>
            <sz val="9"/>
            <rFont val="宋体"/>
            <charset val="134"/>
          </rPr>
          <t xml:space="preserve">
1403646 4/25 648pcs
张a6</t>
        </r>
      </text>
    </comment>
    <comment ref="AL969" authorId="0">
      <text>
        <r>
          <rPr>
            <b/>
            <sz val="9"/>
            <rFont val="宋体"/>
            <charset val="134"/>
          </rPr>
          <t>Administrator:</t>
        </r>
        <r>
          <rPr>
            <sz val="9"/>
            <rFont val="宋体"/>
            <charset val="134"/>
          </rPr>
          <t xml:space="preserve">
3/30 产品贴纸 648pcs 
weee说明书纸 648pcs 
4/15 进口商贴纸 648pcs</t>
        </r>
      </text>
    </comment>
    <comment ref="AI970" authorId="0">
      <text>
        <r>
          <rPr>
            <b/>
            <sz val="9"/>
            <rFont val="宋体"/>
            <charset val="134"/>
          </rPr>
          <t>Administrator:</t>
        </r>
        <r>
          <rPr>
            <sz val="9"/>
            <rFont val="宋体"/>
            <charset val="134"/>
          </rPr>
          <t xml:space="preserve">
1403660 4/28 600pcs
张c2
</t>
        </r>
      </text>
    </comment>
    <comment ref="AL970" authorId="0">
      <text>
        <r>
          <rPr>
            <b/>
            <sz val="9"/>
            <rFont val="宋体"/>
            <charset val="134"/>
          </rPr>
          <t>Administrator:</t>
        </r>
        <r>
          <rPr>
            <sz val="9"/>
            <rFont val="宋体"/>
            <charset val="134"/>
          </rPr>
          <t xml:space="preserve">
4/8 多语警语折叠贴纸 4600pcs</t>
        </r>
      </text>
    </comment>
    <comment ref="AI972" authorId="0">
      <text>
        <r>
          <rPr>
            <b/>
            <sz val="9"/>
            <rFont val="宋体"/>
            <charset val="134"/>
          </rPr>
          <t>Administrator:</t>
        </r>
        <r>
          <rPr>
            <sz val="9"/>
            <rFont val="宋体"/>
            <charset val="134"/>
          </rPr>
          <t xml:space="preserve">
1403695 4/30 5032pcs
张b14</t>
        </r>
      </text>
    </comment>
    <comment ref="AL972" authorId="0">
      <text>
        <r>
          <rPr>
            <b/>
            <sz val="9"/>
            <rFont val="宋体"/>
            <charset val="134"/>
          </rPr>
          <t>Administrator:</t>
        </r>
        <r>
          <rPr>
            <sz val="9"/>
            <rFont val="宋体"/>
            <charset val="134"/>
          </rPr>
          <t xml:space="preserve">
4/14 客供外箱条码贴纸 1271pcs</t>
        </r>
      </text>
    </comment>
    <comment ref="AI974" authorId="0">
      <text>
        <r>
          <rPr>
            <b/>
            <sz val="9"/>
            <rFont val="宋体"/>
            <charset val="134"/>
          </rPr>
          <t>Administrator:</t>
        </r>
        <r>
          <rPr>
            <sz val="9"/>
            <rFont val="宋体"/>
            <charset val="134"/>
          </rPr>
          <t xml:space="preserve">
1403681 4/29 976pcs
张b1</t>
        </r>
      </text>
    </comment>
    <comment ref="AI975" authorId="0">
      <text>
        <r>
          <rPr>
            <b/>
            <sz val="9"/>
            <rFont val="宋体"/>
            <charset val="134"/>
          </rPr>
          <t>Administrator:</t>
        </r>
        <r>
          <rPr>
            <sz val="9"/>
            <rFont val="宋体"/>
            <charset val="134"/>
          </rPr>
          <t xml:space="preserve">
1403681 4/29 528pcs
张b1
</t>
        </r>
      </text>
    </comment>
    <comment ref="AI976" authorId="0">
      <text>
        <r>
          <rPr>
            <b/>
            <sz val="9"/>
            <rFont val="宋体"/>
            <charset val="134"/>
          </rPr>
          <t>Administrator:</t>
        </r>
        <r>
          <rPr>
            <sz val="9"/>
            <rFont val="宋体"/>
            <charset val="134"/>
          </rPr>
          <t xml:space="preserve">
1403877 4/25 5004pcs张c1</t>
        </r>
      </text>
    </comment>
    <comment ref="AI977" authorId="0">
      <text>
        <r>
          <rPr>
            <b/>
            <sz val="9"/>
            <rFont val="宋体"/>
            <charset val="134"/>
          </rPr>
          <t>Administrator:</t>
        </r>
        <r>
          <rPr>
            <sz val="9"/>
            <rFont val="宋体"/>
            <charset val="134"/>
          </rPr>
          <t xml:space="preserve">
1403660 4/28 800pcs
张b2</t>
        </r>
      </text>
    </comment>
    <comment ref="AL977" authorId="0">
      <text>
        <r>
          <rPr>
            <b/>
            <sz val="9"/>
            <rFont val="宋体"/>
            <charset val="134"/>
          </rPr>
          <t>Administrator:</t>
        </r>
        <r>
          <rPr>
            <sz val="9"/>
            <rFont val="宋体"/>
            <charset val="134"/>
          </rPr>
          <t xml:space="preserve">
4/8 进口商贴纸 800pcs</t>
        </r>
      </text>
    </comment>
    <comment ref="AI978" authorId="0">
      <text>
        <r>
          <rPr>
            <b/>
            <sz val="9"/>
            <rFont val="宋体"/>
            <charset val="134"/>
          </rPr>
          <t>Administrator:</t>
        </r>
        <r>
          <rPr>
            <sz val="9"/>
            <rFont val="宋体"/>
            <charset val="134"/>
          </rPr>
          <t xml:space="preserve">
1403703 5/2 2004pcs
张b2</t>
        </r>
      </text>
    </comment>
    <comment ref="AL978" authorId="0">
      <text>
        <r>
          <rPr>
            <b/>
            <sz val="9"/>
            <rFont val="宋体"/>
            <charset val="134"/>
          </rPr>
          <t>Administrator:</t>
        </r>
        <r>
          <rPr>
            <sz val="9"/>
            <rFont val="宋体"/>
            <charset val="134"/>
          </rPr>
          <t xml:space="preserve">
4/13 进口商贴纸 2004pcs 
产品贴纸3 2000pcs
黑白weee说明书 2000pcs</t>
        </r>
      </text>
    </comment>
    <comment ref="AI979" authorId="0">
      <text>
        <r>
          <rPr>
            <b/>
            <sz val="9"/>
            <rFont val="宋体"/>
            <charset val="134"/>
          </rPr>
          <t>Administrator:</t>
        </r>
        <r>
          <rPr>
            <sz val="9"/>
            <rFont val="宋体"/>
            <charset val="134"/>
          </rPr>
          <t xml:space="preserve">
1403382 5/4 804pcs
张b1
</t>
        </r>
      </text>
    </comment>
    <comment ref="AL979" authorId="0">
      <text>
        <r>
          <rPr>
            <b/>
            <sz val="9"/>
            <rFont val="宋体"/>
            <charset val="134"/>
          </rPr>
          <t>Administrator:</t>
        </r>
        <r>
          <rPr>
            <sz val="9"/>
            <rFont val="宋体"/>
            <charset val="134"/>
          </rPr>
          <t xml:space="preserve">
4/14 保证书 804pcs
进口商贴纸 804pcs
UPC条码贴纸 804pcs</t>
        </r>
      </text>
    </comment>
    <comment ref="AI980" authorId="0">
      <text>
        <r>
          <rPr>
            <b/>
            <sz val="9"/>
            <rFont val="宋体"/>
            <charset val="134"/>
          </rPr>
          <t>Administrator:</t>
        </r>
        <r>
          <rPr>
            <sz val="9"/>
            <rFont val="宋体"/>
            <charset val="134"/>
          </rPr>
          <t xml:space="preserve">
1403758 5/5  16660pcs
张a7
1403750 5/6 11336pcs站b5/a7</t>
        </r>
      </text>
    </comment>
    <comment ref="AL980" authorId="0">
      <text>
        <r>
          <rPr>
            <b/>
            <sz val="9"/>
            <rFont val="宋体"/>
            <charset val="134"/>
          </rPr>
          <t>Administrator:</t>
        </r>
        <r>
          <rPr>
            <sz val="9"/>
            <rFont val="宋体"/>
            <charset val="134"/>
          </rPr>
          <t xml:space="preserve">
4/20 客供外箱条码贴纸! 7070pcs</t>
        </r>
      </text>
    </comment>
    <comment ref="AI981" authorId="0">
      <text>
        <r>
          <rPr>
            <b/>
            <sz val="9"/>
            <rFont val="宋体"/>
            <charset val="134"/>
          </rPr>
          <t>Administrator:</t>
        </r>
        <r>
          <rPr>
            <sz val="9"/>
            <rFont val="宋体"/>
            <charset val="134"/>
          </rPr>
          <t xml:space="preserve">
1403396 5/6 800pcs王ab5</t>
        </r>
      </text>
    </comment>
    <comment ref="AL981" authorId="0">
      <text>
        <r>
          <rPr>
            <b/>
            <sz val="9"/>
            <rFont val="宋体"/>
            <charset val="134"/>
          </rPr>
          <t>Administrator:</t>
        </r>
        <r>
          <rPr>
            <sz val="9"/>
            <rFont val="宋体"/>
            <charset val="134"/>
          </rPr>
          <t xml:space="preserve">
4/10 进口商贴纸 800pcs</t>
        </r>
      </text>
    </comment>
    <comment ref="AI983" authorId="0">
      <text>
        <r>
          <rPr>
            <b/>
            <sz val="9"/>
            <rFont val="宋体"/>
            <charset val="134"/>
          </rPr>
          <t>Administrator:</t>
        </r>
        <r>
          <rPr>
            <sz val="9"/>
            <rFont val="宋体"/>
            <charset val="134"/>
          </rPr>
          <t xml:space="preserve">
1403653 4/27 504pcs
张b4
1403391 5/5 3096pcs张b14</t>
        </r>
      </text>
    </comment>
    <comment ref="AL983" authorId="0">
      <text>
        <r>
          <rPr>
            <b/>
            <sz val="9"/>
            <rFont val="宋体"/>
            <charset val="134"/>
          </rPr>
          <t>Administrator:</t>
        </r>
        <r>
          <rPr>
            <sz val="9"/>
            <rFont val="宋体"/>
            <charset val="134"/>
          </rPr>
          <t xml:space="preserve">
4/8 客供RFID贴纸 3600pcs</t>
        </r>
      </text>
    </comment>
    <comment ref="AI985" authorId="0">
      <text>
        <r>
          <rPr>
            <b/>
            <sz val="9"/>
            <rFont val="宋体"/>
            <charset val="134"/>
          </rPr>
          <t>Administrator:</t>
        </r>
        <r>
          <rPr>
            <sz val="9"/>
            <rFont val="宋体"/>
            <charset val="134"/>
          </rPr>
          <t xml:space="preserve">
1403417 5/8 1232pcs
张b11</t>
        </r>
      </text>
    </comment>
    <comment ref="AL985" authorId="0">
      <text>
        <r>
          <rPr>
            <b/>
            <sz val="9"/>
            <rFont val="宋体"/>
            <charset val="134"/>
          </rPr>
          <t>Administrator:</t>
        </r>
        <r>
          <rPr>
            <sz val="9"/>
            <rFont val="宋体"/>
            <charset val="134"/>
          </rPr>
          <t xml:space="preserve">
4/8 DC运输贴纸  154pcs
4/9 UPC贴纸 1232pcs
4/13 PDQ标识贴纸 154pcs
</t>
        </r>
      </text>
    </comment>
    <comment ref="AI986" authorId="0">
      <text>
        <r>
          <rPr>
            <b/>
            <sz val="9"/>
            <rFont val="宋体"/>
            <charset val="134"/>
          </rPr>
          <t>Administrator:</t>
        </r>
        <r>
          <rPr>
            <sz val="9"/>
            <rFont val="宋体"/>
            <charset val="134"/>
          </rPr>
          <t xml:space="preserve">
1403417 5/8 1856pcs张a11</t>
        </r>
      </text>
    </comment>
    <comment ref="AL986" authorId="0">
      <text>
        <r>
          <rPr>
            <b/>
            <sz val="9"/>
            <rFont val="宋体"/>
            <charset val="134"/>
          </rPr>
          <t>Administrator:</t>
        </r>
        <r>
          <rPr>
            <sz val="9"/>
            <rFont val="宋体"/>
            <charset val="134"/>
          </rPr>
          <t xml:space="preserve">
4/8 DC运输贴纸  232pcs
4/9 UPC贴纸 1856pcs
4/13 PDQ标识贴纸 232pcs</t>
        </r>
      </text>
    </comment>
    <comment ref="AI987" authorId="0">
      <text>
        <r>
          <rPr>
            <b/>
            <sz val="9"/>
            <rFont val="宋体"/>
            <charset val="134"/>
          </rPr>
          <t>Administrator:</t>
        </r>
        <r>
          <rPr>
            <sz val="9"/>
            <rFont val="宋体"/>
            <charset val="134"/>
          </rPr>
          <t xml:space="preserve">
1403417 5/8 1728pcs
张a5</t>
        </r>
      </text>
    </comment>
    <comment ref="AL987" authorId="0">
      <text>
        <r>
          <rPr>
            <b/>
            <sz val="9"/>
            <rFont val="宋体"/>
            <charset val="134"/>
          </rPr>
          <t>Administrator:</t>
        </r>
        <r>
          <rPr>
            <sz val="9"/>
            <rFont val="宋体"/>
            <charset val="134"/>
          </rPr>
          <t xml:space="preserve">
4/8 DC运输贴纸  216pcs
4/9 UPC贴纸 1728pcs
4/13 PDQ标识贴纸 216pcs
</t>
        </r>
      </text>
    </comment>
    <comment ref="AI988" authorId="0">
      <text>
        <r>
          <rPr>
            <b/>
            <sz val="9"/>
            <rFont val="宋体"/>
            <charset val="134"/>
          </rPr>
          <t>Administrator:</t>
        </r>
        <r>
          <rPr>
            <sz val="9"/>
            <rFont val="宋体"/>
            <charset val="134"/>
          </rPr>
          <t xml:space="preserve">
1403448 5/9 600pcs直走</t>
        </r>
      </text>
    </comment>
    <comment ref="AL988" authorId="0">
      <text>
        <r>
          <rPr>
            <b/>
            <sz val="9"/>
            <rFont val="宋体"/>
            <charset val="134"/>
          </rPr>
          <t>Administrator:</t>
        </r>
        <r>
          <rPr>
            <sz val="9"/>
            <rFont val="宋体"/>
            <charset val="134"/>
          </rPr>
          <t xml:space="preserve">
4/8 收缩膜日语警语贴纸 600pcs
说明书日语警语贴纸 600pcs
5/11 收缩膜日语警告语贴纸 50pcs
说明书日语警告语贴纸 50pcs</t>
        </r>
      </text>
    </comment>
    <comment ref="AI989" authorId="0">
      <text>
        <r>
          <rPr>
            <b/>
            <sz val="9"/>
            <rFont val="宋体"/>
            <charset val="134"/>
          </rPr>
          <t>Administrator:</t>
        </r>
        <r>
          <rPr>
            <sz val="9"/>
            <rFont val="宋体"/>
            <charset val="134"/>
          </rPr>
          <t xml:space="preserve">
1403436 5/9 1404pcs张3c3</t>
        </r>
      </text>
    </comment>
    <comment ref="AL989" authorId="0">
      <text>
        <r>
          <rPr>
            <b/>
            <sz val="9"/>
            <rFont val="宋体"/>
            <charset val="134"/>
          </rPr>
          <t>Administrator:</t>
        </r>
        <r>
          <rPr>
            <sz val="9"/>
            <rFont val="宋体"/>
            <charset val="134"/>
          </rPr>
          <t xml:space="preserve">
4/8 收缩膜日语警语贴纸 1404pcs
说明书日语警语贴纸 1404pcs</t>
        </r>
      </text>
    </comment>
    <comment ref="AI991" authorId="0">
      <text>
        <r>
          <rPr>
            <b/>
            <sz val="9"/>
            <rFont val="宋体"/>
            <charset val="134"/>
          </rPr>
          <t>Administrator:</t>
        </r>
        <r>
          <rPr>
            <sz val="9"/>
            <rFont val="宋体"/>
            <charset val="134"/>
          </rPr>
          <t xml:space="preserve">
1403405 5/7 13440psc王4b7
1403408 5/7 720pcs
王4b7
1403415 5/8 840pcs五车间</t>
        </r>
      </text>
    </comment>
    <comment ref="AL991" authorId="0">
      <text>
        <r>
          <rPr>
            <b/>
            <sz val="9"/>
            <rFont val="宋体"/>
            <charset val="134"/>
          </rPr>
          <t>Administrator:</t>
        </r>
        <r>
          <rPr>
            <sz val="9"/>
            <rFont val="宋体"/>
            <charset val="134"/>
          </rPr>
          <t xml:space="preserve">
4/13 空白贴纸 15000pcs
4/14 进口商贴纸 15000pcs</t>
        </r>
      </text>
    </comment>
    <comment ref="AI992" authorId="0">
      <text>
        <r>
          <rPr>
            <b/>
            <sz val="9"/>
            <rFont val="宋体"/>
            <charset val="134"/>
          </rPr>
          <t>Administrator:</t>
        </r>
        <r>
          <rPr>
            <sz val="9"/>
            <rFont val="宋体"/>
            <charset val="134"/>
          </rPr>
          <t xml:space="preserve">
1403402 5/7 12600pcs张b14
1403405 5/7 2352psc张b14
1403408 5/7 48pcs张b14</t>
        </r>
      </text>
    </comment>
    <comment ref="AI993" authorId="0">
      <text>
        <r>
          <rPr>
            <b/>
            <sz val="9"/>
            <rFont val="宋体"/>
            <charset val="134"/>
          </rPr>
          <t>Administrator:</t>
        </r>
        <r>
          <rPr>
            <sz val="9"/>
            <rFont val="宋体"/>
            <charset val="134"/>
          </rPr>
          <t xml:space="preserve">
1403448 5/9 3712pcs
王4b8
1403453 5/9 3220pcs王4b8</t>
        </r>
      </text>
    </comment>
    <comment ref="AL993" authorId="0">
      <text>
        <r>
          <rPr>
            <b/>
            <sz val="9"/>
            <rFont val="宋体"/>
            <charset val="134"/>
          </rPr>
          <t>Administrator:</t>
        </r>
        <r>
          <rPr>
            <sz val="9"/>
            <rFont val="宋体"/>
            <charset val="134"/>
          </rPr>
          <t xml:space="preserve">
4/25 客供外箱条码贴纸 1750pcs</t>
        </r>
      </text>
    </comment>
    <comment ref="AI994" authorId="0">
      <text>
        <r>
          <rPr>
            <b/>
            <sz val="9"/>
            <rFont val="宋体"/>
            <charset val="134"/>
          </rPr>
          <t>Administrator:</t>
        </r>
        <r>
          <rPr>
            <sz val="9"/>
            <rFont val="宋体"/>
            <charset val="134"/>
          </rPr>
          <t xml:space="preserve">
1403524 5/12 2364pcs张3a3</t>
        </r>
      </text>
    </comment>
    <comment ref="AL994" authorId="0">
      <text>
        <r>
          <rPr>
            <b/>
            <sz val="9"/>
            <rFont val="宋体"/>
            <charset val="134"/>
          </rPr>
          <t>Administrator:</t>
        </r>
        <r>
          <rPr>
            <sz val="9"/>
            <rFont val="宋体"/>
            <charset val="134"/>
          </rPr>
          <t xml:space="preserve">
4/24 进口商贴纸 2364pcs
4/29 UPC贴纸 2364pcs</t>
        </r>
      </text>
    </comment>
    <comment ref="AI995" authorId="0">
      <text>
        <r>
          <rPr>
            <b/>
            <sz val="9"/>
            <rFont val="宋体"/>
            <charset val="134"/>
          </rPr>
          <t>Administrator:</t>
        </r>
        <r>
          <rPr>
            <sz val="9"/>
            <rFont val="宋体"/>
            <charset val="134"/>
          </rPr>
          <t xml:space="preserve">
1403495 5/12 张3a1张3a1</t>
        </r>
      </text>
    </comment>
    <comment ref="AL995" authorId="0">
      <text>
        <r>
          <rPr>
            <b/>
            <sz val="9"/>
            <rFont val="宋体"/>
            <charset val="134"/>
          </rPr>
          <t>Administrator:</t>
        </r>
        <r>
          <rPr>
            <sz val="9"/>
            <rFont val="宋体"/>
            <charset val="134"/>
          </rPr>
          <t xml:space="preserve">
4/23 挪威语警语贴纸 480pcs
</t>
        </r>
      </text>
    </comment>
    <comment ref="AI997" authorId="0">
      <text>
        <r>
          <rPr>
            <b/>
            <sz val="9"/>
            <rFont val="宋体"/>
            <charset val="134"/>
          </rPr>
          <t>Administrator:</t>
        </r>
        <r>
          <rPr>
            <sz val="9"/>
            <rFont val="宋体"/>
            <charset val="134"/>
          </rPr>
          <t xml:space="preserve">
1406175 5/9 3456pcs4b7
1406176 5/9 1548pcs 王b7</t>
        </r>
      </text>
    </comment>
    <comment ref="AI998" authorId="0">
      <text>
        <r>
          <rPr>
            <b/>
            <sz val="9"/>
            <rFont val="宋体"/>
            <charset val="134"/>
          </rPr>
          <t>Administrator:</t>
        </r>
        <r>
          <rPr>
            <sz val="9"/>
            <rFont val="宋体"/>
            <charset val="134"/>
          </rPr>
          <t xml:space="preserve">
1403483 5/13 852pcs 张b14</t>
        </r>
      </text>
    </comment>
    <comment ref="AL998" authorId="0">
      <text>
        <r>
          <rPr>
            <b/>
            <sz val="9"/>
            <rFont val="宋体"/>
            <charset val="134"/>
          </rPr>
          <t>Administrator:</t>
        </r>
        <r>
          <rPr>
            <sz val="9"/>
            <rFont val="宋体"/>
            <charset val="134"/>
          </rPr>
          <t xml:space="preserve">
4/13 UPC贴纸 852pcs
4/18 可折叠警语贴纸 852pcs
4/23 亚马逊外箱贴纸 71pcs
</t>
        </r>
      </text>
    </comment>
    <comment ref="AI999" authorId="0">
      <text>
        <r>
          <rPr>
            <b/>
            <sz val="9"/>
            <rFont val="宋体"/>
            <charset val="134"/>
          </rPr>
          <t>Administrator:</t>
        </r>
        <r>
          <rPr>
            <sz val="9"/>
            <rFont val="宋体"/>
            <charset val="134"/>
          </rPr>
          <t xml:space="preserve">
1403483 5/13 852pcs 张b14
</t>
        </r>
      </text>
    </comment>
    <comment ref="AL999" authorId="0">
      <text>
        <r>
          <rPr>
            <b/>
            <sz val="9"/>
            <rFont val="宋体"/>
            <charset val="134"/>
          </rPr>
          <t>Administrator:</t>
        </r>
        <r>
          <rPr>
            <sz val="9"/>
            <rFont val="宋体"/>
            <charset val="134"/>
          </rPr>
          <t xml:space="preserve">
4/13 UPC贴纸 852pcs
4/18 可折叠警语贴纸852pcs
4/28 亚马逊外箱贴纸 71pcs</t>
        </r>
      </text>
    </comment>
    <comment ref="AI1002" authorId="0">
      <text>
        <r>
          <rPr>
            <b/>
            <sz val="9"/>
            <rFont val="宋体"/>
            <charset val="134"/>
          </rPr>
          <t>Administrator:</t>
        </r>
        <r>
          <rPr>
            <sz val="9"/>
            <rFont val="宋体"/>
            <charset val="134"/>
          </rPr>
          <t xml:space="preserve">
1403546 5/15 8000pcs张b1</t>
        </r>
      </text>
    </comment>
    <comment ref="AI1003" authorId="0">
      <text>
        <r>
          <rPr>
            <b/>
            <sz val="9"/>
            <rFont val="宋体"/>
            <charset val="134"/>
          </rPr>
          <t>Administrator:</t>
        </r>
        <r>
          <rPr>
            <sz val="9"/>
            <rFont val="宋体"/>
            <charset val="134"/>
          </rPr>
          <t xml:space="preserve">
1403546 5/15 4000pcs
张b1
</t>
        </r>
      </text>
    </comment>
    <comment ref="AI1004" authorId="0">
      <text>
        <r>
          <rPr>
            <b/>
            <sz val="9"/>
            <rFont val="宋体"/>
            <charset val="134"/>
          </rPr>
          <t>Administrator:</t>
        </r>
        <r>
          <rPr>
            <sz val="9"/>
            <rFont val="宋体"/>
            <charset val="134"/>
          </rPr>
          <t xml:space="preserve">
1403580 5/15 1956pcs张a9</t>
        </r>
      </text>
    </comment>
    <comment ref="AL1004" authorId="0">
      <text>
        <r>
          <rPr>
            <b/>
            <sz val="9"/>
            <rFont val="宋体"/>
            <charset val="134"/>
          </rPr>
          <t>Administrator:</t>
        </r>
        <r>
          <rPr>
            <sz val="9"/>
            <rFont val="宋体"/>
            <charset val="134"/>
          </rPr>
          <t xml:space="preserve">
4/18 可折叠警语贴纸 1956pcs 
4/23 UPC贴纸 1956pcs
获奖贴纸 1956pc]s
4/23 亚马逊外箱贴纸 163pcs</t>
        </r>
      </text>
    </comment>
    <comment ref="AI1005" authorId="0">
      <text>
        <r>
          <rPr>
            <b/>
            <sz val="9"/>
            <rFont val="宋体"/>
            <charset val="134"/>
          </rPr>
          <t>Administrator:</t>
        </r>
        <r>
          <rPr>
            <sz val="9"/>
            <rFont val="宋体"/>
            <charset val="134"/>
          </rPr>
          <t xml:space="preserve">
1405882 5/14 16pcs
1403538 5/14 1984pcs王b9
</t>
        </r>
      </text>
    </comment>
    <comment ref="AL1005" authorId="0">
      <text>
        <r>
          <rPr>
            <b/>
            <sz val="9"/>
            <rFont val="宋体"/>
            <charset val="134"/>
          </rPr>
          <t>Administrator:</t>
        </r>
        <r>
          <rPr>
            <sz val="9"/>
            <rFont val="宋体"/>
            <charset val="134"/>
          </rPr>
          <t xml:space="preserve">
4/8 客供RFID贴纸 2000pcs
</t>
        </r>
      </text>
    </comment>
    <comment ref="AI1006" authorId="0">
      <text>
        <r>
          <rPr>
            <b/>
            <sz val="9"/>
            <rFont val="宋体"/>
            <charset val="134"/>
          </rPr>
          <t>Administrator:</t>
        </r>
        <r>
          <rPr>
            <sz val="9"/>
            <rFont val="宋体"/>
            <charset val="134"/>
          </rPr>
          <t xml:space="preserve">
1405882 5/14 20pcs
1403538 5/14 3580pcs
王b10</t>
        </r>
      </text>
    </comment>
    <comment ref="AL1006" authorId="0">
      <text>
        <r>
          <rPr>
            <b/>
            <sz val="9"/>
            <rFont val="宋体"/>
            <charset val="134"/>
          </rPr>
          <t>Administrator:</t>
        </r>
        <r>
          <rPr>
            <sz val="9"/>
            <rFont val="宋体"/>
            <charset val="134"/>
          </rPr>
          <t xml:space="preserve">
4/8 客供RFID贴纸 3600pcs
</t>
        </r>
      </text>
    </comment>
    <comment ref="AI1008" authorId="0">
      <text>
        <r>
          <rPr>
            <b/>
            <sz val="9"/>
            <rFont val="宋体"/>
            <charset val="134"/>
          </rPr>
          <t>Administrator:</t>
        </r>
        <r>
          <rPr>
            <sz val="9"/>
            <rFont val="宋体"/>
            <charset val="134"/>
          </rPr>
          <t xml:space="preserve">
1406145 5/15 5000pcs张b13</t>
        </r>
      </text>
    </comment>
    <comment ref="AI1009" authorId="0">
      <text>
        <r>
          <rPr>
            <b/>
            <sz val="9"/>
            <rFont val="宋体"/>
            <charset val="134"/>
          </rPr>
          <t>Administrator:</t>
        </r>
        <r>
          <rPr>
            <sz val="9"/>
            <rFont val="宋体"/>
            <charset val="134"/>
          </rPr>
          <t xml:space="preserve">
1406124 5/19 1072pcs
张b1</t>
        </r>
      </text>
    </comment>
    <comment ref="AL1009" authorId="0">
      <text>
        <r>
          <rPr>
            <b/>
            <sz val="9"/>
            <rFont val="宋体"/>
            <charset val="134"/>
          </rPr>
          <t>Administrator:</t>
        </r>
        <r>
          <rPr>
            <sz val="9"/>
            <rFont val="宋体"/>
            <charset val="134"/>
          </rPr>
          <t xml:space="preserve">
4/8 DC运输贴纸  134pcs
4/9 UPC贴纸 1072pcs
4/13 PDQ标识贴纸 134pcs
</t>
        </r>
      </text>
    </comment>
    <comment ref="AI1010" authorId="0">
      <text>
        <r>
          <rPr>
            <b/>
            <sz val="9"/>
            <rFont val="宋体"/>
            <charset val="134"/>
          </rPr>
          <t>Administrator:</t>
        </r>
        <r>
          <rPr>
            <sz val="9"/>
            <rFont val="宋体"/>
            <charset val="134"/>
          </rPr>
          <t xml:space="preserve">
1406148 5/16 1332pcs
新b14
</t>
        </r>
      </text>
    </comment>
    <comment ref="AL1010" authorId="0">
      <text>
        <r>
          <rPr>
            <b/>
            <sz val="9"/>
            <rFont val="宋体"/>
            <charset val="134"/>
          </rPr>
          <t>Administrator:</t>
        </r>
        <r>
          <rPr>
            <sz val="9"/>
            <rFont val="宋体"/>
            <charset val="134"/>
          </rPr>
          <t xml:space="preserve">
5/7 客供亚马逊外箱贴纸 111pcs
</t>
        </r>
      </text>
    </comment>
    <comment ref="AI1011" authorId="0">
      <text>
        <r>
          <rPr>
            <b/>
            <sz val="9"/>
            <rFont val="宋体"/>
            <charset val="134"/>
          </rPr>
          <t>Administrator:</t>
        </r>
        <r>
          <rPr>
            <sz val="9"/>
            <rFont val="宋体"/>
            <charset val="134"/>
          </rPr>
          <t xml:space="preserve">
1406148 5/16 204pcs
新b2
</t>
        </r>
      </text>
    </comment>
    <comment ref="AL1011" authorId="0">
      <text>
        <r>
          <rPr>
            <b/>
            <sz val="9"/>
            <rFont val="宋体"/>
            <charset val="134"/>
          </rPr>
          <t>Administrator:</t>
        </r>
        <r>
          <rPr>
            <sz val="9"/>
            <rFont val="宋体"/>
            <charset val="134"/>
          </rPr>
          <t xml:space="preserve">
4/28 警语贴纸 204pcs
黑白荷兰语说明贴纸 204pcs
1-内袋警语贴纸 204pcs
2-内袋警语贴纸 204pcs</t>
        </r>
      </text>
    </comment>
    <comment ref="AI1012" authorId="0">
      <text>
        <r>
          <rPr>
            <b/>
            <sz val="9"/>
            <rFont val="宋体"/>
            <charset val="134"/>
          </rPr>
          <t>Administrator:</t>
        </r>
        <r>
          <rPr>
            <sz val="9"/>
            <rFont val="宋体"/>
            <charset val="134"/>
          </rPr>
          <t xml:space="preserve">
1406148 5/16 900pcs
新b2
</t>
        </r>
      </text>
    </comment>
    <comment ref="AL1012" authorId="0">
      <text>
        <r>
          <rPr>
            <b/>
            <sz val="9"/>
            <rFont val="宋体"/>
            <charset val="134"/>
          </rPr>
          <t>Administrator:</t>
        </r>
        <r>
          <rPr>
            <sz val="9"/>
            <rFont val="宋体"/>
            <charset val="134"/>
          </rPr>
          <t xml:space="preserve">
4/28 警语贴纸 900pcs
黑白荷兰语说明贴纸 900pcs
1-内袋警语贴纸 900pcs
2-内袋警语贴纸 900pcs
</t>
        </r>
      </text>
    </comment>
    <comment ref="AI1013" authorId="0">
      <text>
        <r>
          <rPr>
            <b/>
            <sz val="9"/>
            <rFont val="宋体"/>
            <charset val="134"/>
          </rPr>
          <t>Administrator:</t>
        </r>
        <r>
          <rPr>
            <sz val="9"/>
            <rFont val="宋体"/>
            <charset val="134"/>
          </rPr>
          <t xml:space="preserve">
1403584 5/16 2604pcs王4b9</t>
        </r>
      </text>
    </comment>
    <comment ref="AL1013" authorId="0">
      <text>
        <r>
          <rPr>
            <b/>
            <sz val="9"/>
            <rFont val="宋体"/>
            <charset val="134"/>
          </rPr>
          <t>Administrator:</t>
        </r>
        <r>
          <rPr>
            <sz val="9"/>
            <rFont val="宋体"/>
            <charset val="134"/>
          </rPr>
          <t xml:space="preserve">
4/28 警语贴纸 2604pcs
黑白荷兰语说明贴纸 2604pcs
1-内袋警语贴纸 2604pcs
2-内袋警语贴纸 2604pcs
</t>
        </r>
      </text>
    </comment>
    <comment ref="AI1014" authorId="0">
      <text>
        <r>
          <rPr>
            <b/>
            <sz val="9"/>
            <rFont val="宋体"/>
            <charset val="134"/>
          </rPr>
          <t>Administrator:</t>
        </r>
        <r>
          <rPr>
            <sz val="9"/>
            <rFont val="宋体"/>
            <charset val="134"/>
          </rPr>
          <t xml:space="preserve">
1403584 5/16 10008pcs
王4a10</t>
        </r>
      </text>
    </comment>
    <comment ref="AL1014" authorId="0">
      <text>
        <r>
          <rPr>
            <b/>
            <sz val="9"/>
            <rFont val="宋体"/>
            <charset val="134"/>
          </rPr>
          <t>Administrator:</t>
        </r>
        <r>
          <rPr>
            <sz val="9"/>
            <rFont val="宋体"/>
            <charset val="134"/>
          </rPr>
          <t xml:space="preserve">
4/28 警语贴纸 10008pcs
黑白荷兰语说明贴纸 10008pcs
1-内袋警语贴纸 10008pcs
2-内袋警语贴纸 10008pcs</t>
        </r>
      </text>
    </comment>
    <comment ref="AI1015" authorId="0">
      <text>
        <r>
          <rPr>
            <b/>
            <sz val="9"/>
            <rFont val="宋体"/>
            <charset val="134"/>
          </rPr>
          <t>Administrator:</t>
        </r>
        <r>
          <rPr>
            <sz val="9"/>
            <rFont val="宋体"/>
            <charset val="134"/>
          </rPr>
          <t xml:space="preserve">
1403615 5/17 1008pcs
新a5</t>
        </r>
      </text>
    </comment>
    <comment ref="AL1015" authorId="0">
      <text>
        <r>
          <rPr>
            <b/>
            <sz val="9"/>
            <rFont val="宋体"/>
            <charset val="134"/>
          </rPr>
          <t>Administrator:</t>
        </r>
        <r>
          <rPr>
            <sz val="9"/>
            <rFont val="宋体"/>
            <charset val="134"/>
          </rPr>
          <t xml:space="preserve">
4/28 警语贴纸 1008pcs
黑白荷兰语说明贴纸1008pcs
1-内袋警语贴纸 1008pcs
2-内袋警语贴纸 1008pcs</t>
        </r>
      </text>
    </comment>
    <comment ref="AI1017" authorId="0">
      <text>
        <r>
          <rPr>
            <b/>
            <sz val="9"/>
            <rFont val="宋体"/>
            <charset val="134"/>
          </rPr>
          <t>Administrator:</t>
        </r>
        <r>
          <rPr>
            <sz val="9"/>
            <rFont val="宋体"/>
            <charset val="134"/>
          </rPr>
          <t xml:space="preserve">
1406148 5/16 720pcs
新b2</t>
        </r>
      </text>
    </comment>
    <comment ref="AL1017" authorId="0">
      <text>
        <r>
          <rPr>
            <b/>
            <sz val="9"/>
            <rFont val="宋体"/>
            <charset val="134"/>
          </rPr>
          <t>Administrator:</t>
        </r>
        <r>
          <rPr>
            <sz val="9"/>
            <rFont val="宋体"/>
            <charset val="134"/>
          </rPr>
          <t xml:space="preserve">
5/13 收缩膜贴纸 720pcs
1-纸袋子贴纸 720pcs
2-纸袋子贴纸 2160pcs</t>
        </r>
      </text>
    </comment>
    <comment ref="AI1018" authorId="0">
      <text>
        <r>
          <rPr>
            <b/>
            <sz val="9"/>
            <rFont val="宋体"/>
            <charset val="134"/>
          </rPr>
          <t>Administrator:</t>
        </r>
        <r>
          <rPr>
            <sz val="9"/>
            <rFont val="宋体"/>
            <charset val="134"/>
          </rPr>
          <t xml:space="preserve">
1406148 5/16 2400pcs新b14</t>
        </r>
      </text>
    </comment>
    <comment ref="AL1018" authorId="0">
      <text>
        <r>
          <rPr>
            <b/>
            <sz val="9"/>
            <rFont val="宋体"/>
            <charset val="134"/>
          </rPr>
          <t>Administrator:</t>
        </r>
        <r>
          <rPr>
            <sz val="9"/>
            <rFont val="宋体"/>
            <charset val="134"/>
          </rPr>
          <t xml:space="preserve">
5/4 进口商贴纸 2400pcs
UPC贴纸 2400pcs</t>
        </r>
      </text>
    </comment>
    <comment ref="AI1019" authorId="0">
      <text>
        <r>
          <rPr>
            <b/>
            <sz val="9"/>
            <rFont val="宋体"/>
            <charset val="134"/>
          </rPr>
          <t>Administrator:</t>
        </r>
        <r>
          <rPr>
            <sz val="9"/>
            <rFont val="宋体"/>
            <charset val="134"/>
          </rPr>
          <t xml:space="preserve">
1406148 5/16 3588pcs
张3c11403604 5/19 12pcs张3c1</t>
        </r>
      </text>
    </comment>
    <comment ref="AI1020" authorId="0">
      <text>
        <r>
          <rPr>
            <b/>
            <sz val="9"/>
            <rFont val="宋体"/>
            <charset val="134"/>
          </rPr>
          <t>Administrator:</t>
        </r>
        <r>
          <rPr>
            <sz val="9"/>
            <rFont val="宋体"/>
            <charset val="134"/>
          </rPr>
          <t xml:space="preserve">
1403640 5/20 1992pc张a9s
1403640 5/20 12pcs
杨a91403321 5/24 12pcs
</t>
        </r>
      </text>
    </comment>
    <comment ref="AL1020" authorId="0">
      <text>
        <r>
          <rPr>
            <b/>
            <sz val="9"/>
            <rFont val="宋体"/>
            <charset val="134"/>
          </rPr>
          <t>Administrator:</t>
        </r>
        <r>
          <rPr>
            <sz val="9"/>
            <rFont val="宋体"/>
            <charset val="134"/>
          </rPr>
          <t xml:space="preserve">
5/8 进口商贴纸 2004pcs
UPC贴纸 2004pcs</t>
        </r>
      </text>
    </comment>
    <comment ref="AI1021" authorId="0">
      <text>
        <r>
          <rPr>
            <b/>
            <sz val="9"/>
            <rFont val="宋体"/>
            <charset val="134"/>
          </rPr>
          <t>Administrator:</t>
        </r>
        <r>
          <rPr>
            <sz val="9"/>
            <rFont val="宋体"/>
            <charset val="134"/>
          </rPr>
          <t xml:space="preserve">
1406124 5/19 996pcs
张b1</t>
        </r>
      </text>
    </comment>
    <comment ref="AL1021" authorId="0">
      <text>
        <r>
          <rPr>
            <b/>
            <sz val="9"/>
            <rFont val="宋体"/>
            <charset val="134"/>
          </rPr>
          <t>Administrator:</t>
        </r>
        <r>
          <rPr>
            <sz val="9"/>
            <rFont val="宋体"/>
            <charset val="134"/>
          </rPr>
          <t xml:space="preserve">
4/20 客供价格贴纸 1096pcs</t>
        </r>
      </text>
    </comment>
    <comment ref="AI1022" authorId="0">
      <text>
        <r>
          <rPr>
            <b/>
            <sz val="9"/>
            <rFont val="宋体"/>
            <charset val="134"/>
          </rPr>
          <t>Administrator:</t>
        </r>
        <r>
          <rPr>
            <sz val="9"/>
            <rFont val="宋体"/>
            <charset val="134"/>
          </rPr>
          <t xml:space="preserve">
1406124 5/19 1200pcs
张a6
</t>
        </r>
      </text>
    </comment>
    <comment ref="AL1022" authorId="0">
      <text>
        <r>
          <rPr>
            <b/>
            <sz val="9"/>
            <rFont val="宋体"/>
            <charset val="134"/>
          </rPr>
          <t>Administrator:</t>
        </r>
        <r>
          <rPr>
            <sz val="9"/>
            <rFont val="宋体"/>
            <charset val="134"/>
          </rPr>
          <t xml:space="preserve">
4/20 客供价格贴纸13206pcs
</t>
        </r>
      </text>
    </comment>
    <comment ref="AI1023" authorId="0">
      <text>
        <r>
          <rPr>
            <b/>
            <sz val="9"/>
            <rFont val="宋体"/>
            <charset val="134"/>
          </rPr>
          <t>Administrator:</t>
        </r>
        <r>
          <rPr>
            <sz val="9"/>
            <rFont val="宋体"/>
            <charset val="134"/>
          </rPr>
          <t xml:space="preserve">
1403604 5/19 9240pcs张3c2\c1
1403632 5/19 4200pcs王3a1
1403635 5/20 1560pcs张3c1</t>
        </r>
      </text>
    </comment>
    <comment ref="AL1023" authorId="0">
      <text>
        <r>
          <rPr>
            <b/>
            <sz val="9"/>
            <rFont val="宋体"/>
            <charset val="134"/>
          </rPr>
          <t>Administrator:</t>
        </r>
        <r>
          <rPr>
            <sz val="9"/>
            <rFont val="宋体"/>
            <charset val="134"/>
          </rPr>
          <t xml:space="preserve">
4/28 空白贴纸 15000
5/5 进口商贴纸 15000pcs</t>
        </r>
      </text>
    </comment>
    <comment ref="AI1024" authorId="0">
      <text>
        <r>
          <rPr>
            <b/>
            <sz val="9"/>
            <rFont val="宋体"/>
            <charset val="134"/>
          </rPr>
          <t>Administrator:</t>
        </r>
        <r>
          <rPr>
            <sz val="9"/>
            <rFont val="宋体"/>
            <charset val="134"/>
          </rPr>
          <t xml:space="preserve">
1403640 5/20 2094 pcs 张b14
1403307 5/22 744pcs新b14
</t>
        </r>
      </text>
    </comment>
    <comment ref="AL1024" authorId="0">
      <text>
        <r>
          <rPr>
            <b/>
            <sz val="9"/>
            <rFont val="宋体"/>
            <charset val="134"/>
          </rPr>
          <t>Administrator:</t>
        </r>
        <r>
          <rPr>
            <sz val="9"/>
            <rFont val="宋体"/>
            <charset val="134"/>
          </rPr>
          <t xml:space="preserve">
5/11 进口商贴纸 2100pcs</t>
        </r>
      </text>
    </comment>
    <comment ref="AI1025" authorId="0">
      <text>
        <r>
          <rPr>
            <b/>
            <sz val="9"/>
            <rFont val="宋体"/>
            <charset val="134"/>
          </rPr>
          <t xml:space="preserve">Administrator:
</t>
        </r>
        <r>
          <rPr>
            <sz val="9"/>
            <rFont val="宋体"/>
            <charset val="134"/>
          </rPr>
          <t>1403584 5/16 840pcs王b9
 1403604 5/19 12pcs</t>
        </r>
      </text>
    </comment>
    <comment ref="AL1025" authorId="0">
      <text>
        <r>
          <rPr>
            <b/>
            <sz val="9"/>
            <rFont val="宋体"/>
            <charset val="134"/>
          </rPr>
          <t>Administrator:</t>
        </r>
        <r>
          <rPr>
            <sz val="9"/>
            <rFont val="宋体"/>
            <charset val="134"/>
          </rPr>
          <t xml:space="preserve">
5/7 亚马逊外箱贴纸71pcs
4/24 可折叠警语贴纸 852pcs
4/25 UPC贴纸 852pcs</t>
        </r>
      </text>
    </comment>
    <comment ref="AI1026" authorId="0">
      <text>
        <r>
          <rPr>
            <b/>
            <sz val="9"/>
            <rFont val="宋体"/>
            <charset val="134"/>
          </rPr>
          <t>Administrator:</t>
        </r>
        <r>
          <rPr>
            <sz val="9"/>
            <rFont val="宋体"/>
            <charset val="134"/>
          </rPr>
          <t xml:space="preserve">
1406148 5/16 624pcs
新b2
</t>
        </r>
      </text>
    </comment>
    <comment ref="AL1026" authorId="0">
      <text>
        <r>
          <rPr>
            <b/>
            <sz val="9"/>
            <rFont val="宋体"/>
            <charset val="134"/>
          </rPr>
          <t>Administrator:</t>
        </r>
        <r>
          <rPr>
            <sz val="9"/>
            <rFont val="宋体"/>
            <charset val="134"/>
          </rPr>
          <t xml:space="preserve">
4/24 可折叠警语贴纸 624pcs
4/25 UPC贴纸 624pcs/
4/23 亚马逊外箱贴纸 52pcs</t>
        </r>
      </text>
    </comment>
    <comment ref="AI1027" authorId="0">
      <text>
        <r>
          <rPr>
            <b/>
            <sz val="9"/>
            <rFont val="宋体"/>
            <charset val="134"/>
          </rPr>
          <t>Administrator:</t>
        </r>
        <r>
          <rPr>
            <sz val="9"/>
            <rFont val="宋体"/>
            <charset val="134"/>
          </rPr>
          <t xml:space="preserve">
1403315 5/22 600pcs
新b3
1403321 5/24 12pcs
杨b3</t>
        </r>
      </text>
    </comment>
    <comment ref="AL1027" authorId="0">
      <text>
        <r>
          <rPr>
            <b/>
            <sz val="9"/>
            <rFont val="宋体"/>
            <charset val="134"/>
          </rPr>
          <t>Administrator:</t>
        </r>
        <r>
          <rPr>
            <sz val="9"/>
            <rFont val="宋体"/>
            <charset val="134"/>
          </rPr>
          <t xml:space="preserve">
5/8 客户款号EAN条码贴纸 600pcs
Kinderherz 2025 Logo3 600pcs
德语警告语贴纸 600pcs
地址上贴纸 600pcs</t>
        </r>
      </text>
    </comment>
    <comment ref="AI1028" authorId="0">
      <text>
        <r>
          <rPr>
            <b/>
            <sz val="9"/>
            <rFont val="宋体"/>
            <charset val="134"/>
          </rPr>
          <t>Administrator:</t>
        </r>
        <r>
          <rPr>
            <sz val="9"/>
            <rFont val="宋体"/>
            <charset val="134"/>
          </rPr>
          <t xml:space="preserve">
1403319 5/24 1400pcs
杨b14
1403321 5/24 1604pcs
杨b14
1403353 5/25 188pcs杨应b14</t>
        </r>
      </text>
    </comment>
    <comment ref="AL1028" authorId="0">
      <text>
        <r>
          <rPr>
            <b/>
            <sz val="9"/>
            <rFont val="宋体"/>
            <charset val="134"/>
          </rPr>
          <t>Administrator:</t>
        </r>
        <r>
          <rPr>
            <sz val="9"/>
            <rFont val="宋体"/>
            <charset val="134"/>
          </rPr>
          <t xml:space="preserve">
5/11 大语警告语贴 3192pcs
小语警告语贴 22344pcs
5/18 多语折叠警语贴纸 3192pcs</t>
        </r>
      </text>
    </comment>
    <comment ref="AI1029" authorId="0">
      <text>
        <r>
          <rPr>
            <b/>
            <sz val="9"/>
            <rFont val="宋体"/>
            <charset val="134"/>
          </rPr>
          <t>Administrator:</t>
        </r>
        <r>
          <rPr>
            <sz val="9"/>
            <rFont val="宋体"/>
            <charset val="134"/>
          </rPr>
          <t xml:space="preserve">
1403307 5/22 744pcs新a6</t>
        </r>
      </text>
    </comment>
    <comment ref="AL1029" authorId="0">
      <text>
        <r>
          <rPr>
            <b/>
            <sz val="9"/>
            <rFont val="宋体"/>
            <charset val="134"/>
          </rPr>
          <t>Administrator:</t>
        </r>
        <r>
          <rPr>
            <sz val="9"/>
            <rFont val="宋体"/>
            <charset val="134"/>
          </rPr>
          <t xml:space="preserve">
5/7 客供亚马逊外箱贴纸 62pcs</t>
        </r>
      </text>
    </comment>
    <comment ref="AI1030" authorId="0">
      <text>
        <r>
          <rPr>
            <b/>
            <sz val="9"/>
            <rFont val="宋体"/>
            <charset val="134"/>
          </rPr>
          <t>Administrator:</t>
        </r>
        <r>
          <rPr>
            <sz val="9"/>
            <rFont val="宋体"/>
            <charset val="134"/>
          </rPr>
          <t xml:space="preserve">
1403311 5/22 1356pcs新b14</t>
        </r>
      </text>
    </comment>
    <comment ref="AL1030" authorId="0">
      <text>
        <r>
          <rPr>
            <b/>
            <sz val="9"/>
            <rFont val="宋体"/>
            <charset val="134"/>
          </rPr>
          <t>Administrator:</t>
        </r>
        <r>
          <rPr>
            <sz val="9"/>
            <rFont val="宋体"/>
            <charset val="134"/>
          </rPr>
          <t xml:space="preserve">
5/7 客供亚马逊外箱贴纸 113pcs
</t>
        </r>
      </text>
    </comment>
    <comment ref="AI1031" authorId="0">
      <text>
        <r>
          <rPr>
            <b/>
            <sz val="9"/>
            <rFont val="宋体"/>
            <charset val="134"/>
          </rPr>
          <t>Administrator:</t>
        </r>
        <r>
          <rPr>
            <sz val="9"/>
            <rFont val="宋体"/>
            <charset val="134"/>
          </rPr>
          <t xml:space="preserve">
1403307 5/22 1300pcs 新b1</t>
        </r>
      </text>
    </comment>
    <comment ref="AL1031" authorId="0">
      <text>
        <r>
          <rPr>
            <b/>
            <sz val="9"/>
            <rFont val="宋体"/>
            <charset val="134"/>
          </rPr>
          <t>Administrator:</t>
        </r>
        <r>
          <rPr>
            <sz val="9"/>
            <rFont val="宋体"/>
            <charset val="134"/>
          </rPr>
          <t xml:space="preserve">
5/8 4国警告语贴纸 1300pcs</t>
        </r>
      </text>
    </comment>
    <comment ref="AI1032" authorId="0">
      <text>
        <r>
          <rPr>
            <b/>
            <sz val="9"/>
            <rFont val="宋体"/>
            <charset val="134"/>
          </rPr>
          <t>Administrator:</t>
        </r>
        <r>
          <rPr>
            <sz val="9"/>
            <rFont val="宋体"/>
            <charset val="134"/>
          </rPr>
          <t xml:space="preserve">
1403311 5/22 2172pcs新a6</t>
        </r>
      </text>
    </comment>
    <comment ref="AL1032" authorId="0">
      <text>
        <r>
          <rPr>
            <b/>
            <sz val="9"/>
            <rFont val="宋体"/>
            <charset val="134"/>
          </rPr>
          <t>Administrator:</t>
        </r>
        <r>
          <rPr>
            <sz val="9"/>
            <rFont val="宋体"/>
            <charset val="134"/>
          </rPr>
          <t xml:space="preserve">
5/7 客供亚马逊外箱贴纸 181pcs
</t>
        </r>
      </text>
    </comment>
    <comment ref="AI1033" authorId="0">
      <text>
        <r>
          <rPr>
            <b/>
            <sz val="9"/>
            <rFont val="宋体"/>
            <charset val="134"/>
          </rPr>
          <t>Administrator:</t>
        </r>
        <r>
          <rPr>
            <sz val="9"/>
            <rFont val="宋体"/>
            <charset val="134"/>
          </rPr>
          <t xml:space="preserve">
1403351 5/25 8pcs
52800012 5/27 792pcs</t>
        </r>
      </text>
    </comment>
    <comment ref="AL1033" authorId="0">
      <text>
        <r>
          <rPr>
            <b/>
            <sz val="9"/>
            <rFont val="宋体"/>
            <charset val="134"/>
          </rPr>
          <t>Administrator:</t>
        </r>
        <r>
          <rPr>
            <sz val="9"/>
            <rFont val="宋体"/>
            <charset val="134"/>
          </rPr>
          <t xml:space="preserve">
4/25 客供RFID贴纸 800pcs</t>
        </r>
      </text>
    </comment>
    <comment ref="AI1034" authorId="0">
      <text>
        <r>
          <rPr>
            <b/>
            <sz val="9"/>
            <rFont val="宋体"/>
            <charset val="134"/>
          </rPr>
          <t>Administrator:</t>
        </r>
        <r>
          <rPr>
            <sz val="9"/>
            <rFont val="宋体"/>
            <charset val="134"/>
          </rPr>
          <t xml:space="preserve">
1403351 5/25 8pcs
52800012 5/27 4392pcs
</t>
        </r>
      </text>
    </comment>
    <comment ref="AL1034" authorId="0">
      <text>
        <r>
          <rPr>
            <b/>
            <sz val="9"/>
            <rFont val="宋体"/>
            <charset val="134"/>
          </rPr>
          <t>Administrator:</t>
        </r>
        <r>
          <rPr>
            <sz val="9"/>
            <rFont val="宋体"/>
            <charset val="134"/>
          </rPr>
          <t xml:space="preserve">
4/25 客供FID贴纸 4400pcs</t>
        </r>
      </text>
    </comment>
    <comment ref="AI1035" authorId="0">
      <text>
        <r>
          <rPr>
            <b/>
            <sz val="9"/>
            <rFont val="宋体"/>
            <charset val="134"/>
          </rPr>
          <t>Administrator:</t>
        </r>
        <r>
          <rPr>
            <sz val="9"/>
            <rFont val="宋体"/>
            <charset val="134"/>
          </rPr>
          <t xml:space="preserve">
1403351 5/25 8pcs
52800012 5/27 3192pcs
</t>
        </r>
      </text>
    </comment>
    <comment ref="AL1035" authorId="0">
      <text>
        <r>
          <rPr>
            <b/>
            <sz val="9"/>
            <rFont val="宋体"/>
            <charset val="134"/>
          </rPr>
          <t>Administrator:</t>
        </r>
        <r>
          <rPr>
            <sz val="9"/>
            <rFont val="宋体"/>
            <charset val="134"/>
          </rPr>
          <t xml:space="preserve">
4/25 客供FID贴纸 3200pcs
</t>
        </r>
      </text>
    </comment>
    <comment ref="AI1036" authorId="0">
      <text>
        <r>
          <rPr>
            <b/>
            <sz val="9"/>
            <rFont val="宋体"/>
            <charset val="134"/>
          </rPr>
          <t>Administrator:</t>
        </r>
        <r>
          <rPr>
            <sz val="9"/>
            <rFont val="宋体"/>
            <charset val="134"/>
          </rPr>
          <t xml:space="preserve">
1403351 5/25 8pcs
52800012 5/27 792pcs
</t>
        </r>
      </text>
    </comment>
    <comment ref="AL1036" authorId="0">
      <text>
        <r>
          <rPr>
            <b/>
            <sz val="9"/>
            <rFont val="宋体"/>
            <charset val="134"/>
          </rPr>
          <t>Administrator:</t>
        </r>
        <r>
          <rPr>
            <sz val="9"/>
            <rFont val="宋体"/>
            <charset val="134"/>
          </rPr>
          <t xml:space="preserve">
4/25 客供FID贴纸800pcs
</t>
        </r>
      </text>
    </comment>
    <comment ref="AI1037" authorId="0">
      <text>
        <r>
          <rPr>
            <b/>
            <sz val="9"/>
            <rFont val="宋体"/>
            <charset val="134"/>
          </rPr>
          <t>Administrator:</t>
        </r>
        <r>
          <rPr>
            <sz val="9"/>
            <rFont val="宋体"/>
            <charset val="134"/>
          </rPr>
          <t xml:space="preserve">
1403351 5/25 8pcs
52800012 5/27 4392pcs
</t>
        </r>
      </text>
    </comment>
    <comment ref="AL1037" authorId="0">
      <text>
        <r>
          <rPr>
            <b/>
            <sz val="9"/>
            <rFont val="宋体"/>
            <charset val="134"/>
          </rPr>
          <t>Administrator:</t>
        </r>
        <r>
          <rPr>
            <sz val="9"/>
            <rFont val="宋体"/>
            <charset val="134"/>
          </rPr>
          <t xml:space="preserve">
4/25 客供FID贴纸 4400pcs
</t>
        </r>
      </text>
    </comment>
    <comment ref="AI1038" authorId="0">
      <text>
        <r>
          <rPr>
            <b/>
            <sz val="9"/>
            <rFont val="宋体"/>
            <charset val="134"/>
          </rPr>
          <t>Administrator:</t>
        </r>
        <r>
          <rPr>
            <sz val="9"/>
            <rFont val="宋体"/>
            <charset val="134"/>
          </rPr>
          <t xml:space="preserve">
1403311 5/22 3228pcs
新a6
</t>
        </r>
      </text>
    </comment>
    <comment ref="AL1038" authorId="0">
      <text>
        <r>
          <rPr>
            <b/>
            <sz val="9"/>
            <rFont val="宋体"/>
            <charset val="134"/>
          </rPr>
          <t>Administrator:</t>
        </r>
        <r>
          <rPr>
            <sz val="9"/>
            <rFont val="宋体"/>
            <charset val="134"/>
          </rPr>
          <t xml:space="preserve">
5/7 客供亚马逊外箱贴纸 269pcs
</t>
        </r>
      </text>
    </comment>
    <comment ref="AI1039" authorId="0">
      <text>
        <r>
          <rPr>
            <b/>
            <sz val="9"/>
            <rFont val="宋体"/>
            <charset val="134"/>
          </rPr>
          <t>Administrator:</t>
        </r>
        <r>
          <rPr>
            <sz val="9"/>
            <rFont val="宋体"/>
            <charset val="134"/>
          </rPr>
          <t xml:space="preserve">
1403307 5/22 1200pcs新b6</t>
        </r>
      </text>
    </comment>
    <comment ref="AL1039" authorId="0">
      <text>
        <r>
          <rPr>
            <b/>
            <sz val="9"/>
            <rFont val="宋体"/>
            <charset val="134"/>
          </rPr>
          <t>Administrator:</t>
        </r>
        <r>
          <rPr>
            <sz val="9"/>
            <rFont val="宋体"/>
            <charset val="134"/>
          </rPr>
          <t xml:space="preserve">
5/4 客户进口商贴纸 1200pcs</t>
        </r>
      </text>
    </comment>
    <comment ref="AI1040" authorId="0">
      <text>
        <r>
          <rPr>
            <b/>
            <sz val="9"/>
            <rFont val="宋体"/>
            <charset val="134"/>
          </rPr>
          <t>Administrator:</t>
        </r>
        <r>
          <rPr>
            <sz val="9"/>
            <rFont val="宋体"/>
            <charset val="134"/>
          </rPr>
          <t xml:space="preserve">
1403311 5/22 1500pcs
新b14</t>
        </r>
      </text>
    </comment>
    <comment ref="AL1040" authorId="0">
      <text>
        <r>
          <rPr>
            <b/>
            <sz val="9"/>
            <rFont val="宋体"/>
            <charset val="134"/>
          </rPr>
          <t>Administrator:</t>
        </r>
        <r>
          <rPr>
            <sz val="9"/>
            <rFont val="宋体"/>
            <charset val="134"/>
          </rPr>
          <t xml:space="preserve">
5/5 cat label 1500pcs</t>
        </r>
      </text>
    </comment>
    <comment ref="AI1041" authorId="0">
      <text>
        <r>
          <rPr>
            <b/>
            <sz val="9"/>
            <rFont val="宋体"/>
            <charset val="134"/>
          </rPr>
          <t>Administrator:</t>
        </r>
        <r>
          <rPr>
            <sz val="9"/>
            <rFont val="宋体"/>
            <charset val="134"/>
          </rPr>
          <t xml:space="preserve">
1403311 5/22 1500pcs
</t>
        </r>
      </text>
    </comment>
    <comment ref="AL1041" authorId="0">
      <text>
        <r>
          <rPr>
            <b/>
            <sz val="9"/>
            <rFont val="宋体"/>
            <charset val="134"/>
          </rPr>
          <t>Administrator:</t>
        </r>
        <r>
          <rPr>
            <sz val="9"/>
            <rFont val="宋体"/>
            <charset val="134"/>
          </rPr>
          <t xml:space="preserve">
5/7 客供亚马逊外箱贴纸 125pcs
</t>
        </r>
      </text>
    </comment>
    <comment ref="AI1042" authorId="0">
      <text>
        <r>
          <rPr>
            <b/>
            <sz val="9"/>
            <rFont val="宋体"/>
            <charset val="134"/>
          </rPr>
          <t>Administrator:</t>
        </r>
        <r>
          <rPr>
            <sz val="9"/>
            <rFont val="宋体"/>
            <charset val="134"/>
          </rPr>
          <t xml:space="preserve">
1403293 5/21 1760pcs王4b5</t>
        </r>
      </text>
    </comment>
    <comment ref="AL1042" authorId="0">
      <text>
        <r>
          <rPr>
            <b/>
            <sz val="9"/>
            <rFont val="宋体"/>
            <charset val="134"/>
          </rPr>
          <t>Administrator:</t>
        </r>
        <r>
          <rPr>
            <sz val="9"/>
            <rFont val="宋体"/>
            <charset val="134"/>
          </rPr>
          <t xml:space="preserve">
4/8 DC运输贴纸 220pcs
4/9 UPC贴纸 1760pcs
4/13 PDQ标识贴纸 220pcs
5/18 DC运输贴纸 80pcs</t>
        </r>
      </text>
    </comment>
    <comment ref="AI1043" authorId="0">
      <text>
        <r>
          <rPr>
            <b/>
            <sz val="9"/>
            <rFont val="宋体"/>
            <charset val="134"/>
          </rPr>
          <t>Administrator:</t>
        </r>
        <r>
          <rPr>
            <sz val="9"/>
            <rFont val="宋体"/>
            <charset val="134"/>
          </rPr>
          <t xml:space="preserve">
1403293 5/21 976pcs王4a2</t>
        </r>
      </text>
    </comment>
    <comment ref="AL1043" authorId="0">
      <text>
        <r>
          <rPr>
            <b/>
            <sz val="9"/>
            <rFont val="宋体"/>
            <charset val="134"/>
          </rPr>
          <t>Administrator:</t>
        </r>
        <r>
          <rPr>
            <sz val="9"/>
            <rFont val="宋体"/>
            <charset val="134"/>
          </rPr>
          <t xml:space="preserve">
4/8 DC运输贴纸  222pcs
4/9 UPC贴纸 976pcs
4/13 PDQ标识贴纸 122pcs
</t>
        </r>
      </text>
    </comment>
    <comment ref="AI1046" authorId="0">
      <text>
        <r>
          <rPr>
            <b/>
            <sz val="9"/>
            <rFont val="宋体"/>
            <charset val="134"/>
          </rPr>
          <t>Administrator:</t>
        </r>
        <r>
          <rPr>
            <sz val="9"/>
            <rFont val="宋体"/>
            <charset val="134"/>
          </rPr>
          <t xml:space="preserve">
1403321 5/23 1600pcs杨3a3</t>
        </r>
      </text>
    </comment>
    <comment ref="AI1047" authorId="0">
      <text>
        <r>
          <rPr>
            <b/>
            <sz val="9"/>
            <rFont val="宋体"/>
            <charset val="134"/>
          </rPr>
          <t>Administrator:</t>
        </r>
        <r>
          <rPr>
            <sz val="9"/>
            <rFont val="宋体"/>
            <charset val="134"/>
          </rPr>
          <t xml:space="preserve">
1403374 5/26 1600pcs
</t>
        </r>
      </text>
    </comment>
    <comment ref="AI1048" authorId="0">
      <text>
        <r>
          <rPr>
            <b/>
            <sz val="9"/>
            <rFont val="宋体"/>
            <charset val="134"/>
          </rPr>
          <t>Administrator:</t>
        </r>
        <r>
          <rPr>
            <sz val="9"/>
            <rFont val="宋体"/>
            <charset val="134"/>
          </rPr>
          <t xml:space="preserve">
1406114 5/24 500pc张顶b1</t>
        </r>
      </text>
    </comment>
    <comment ref="AL1048" authorId="0">
      <text>
        <r>
          <rPr>
            <b/>
            <sz val="9"/>
            <rFont val="宋体"/>
            <charset val="134"/>
          </rPr>
          <t>Administrator:</t>
        </r>
        <r>
          <rPr>
            <sz val="9"/>
            <rFont val="宋体"/>
            <charset val="134"/>
          </rPr>
          <t xml:space="preserve">
5/13 大语警告语贴 500pcs
小语警告语贴 3500pcs
丹麦瑞典芬兰挪威警告语贴纸 500pcs</t>
        </r>
      </text>
    </comment>
    <comment ref="AI1049" authorId="0">
      <text>
        <r>
          <rPr>
            <b/>
            <sz val="9"/>
            <rFont val="宋体"/>
            <charset val="134"/>
          </rPr>
          <t>Administrator:</t>
        </r>
        <r>
          <rPr>
            <sz val="9"/>
            <rFont val="宋体"/>
            <charset val="134"/>
          </rPr>
          <t xml:space="preserve">
1406121 5/25 1188pcs
张顶b4</t>
        </r>
      </text>
    </comment>
    <comment ref="AL1049" authorId="0">
      <text>
        <r>
          <rPr>
            <b/>
            <sz val="9"/>
            <rFont val="宋体"/>
            <charset val="134"/>
          </rPr>
          <t>Administrator:</t>
        </r>
        <r>
          <rPr>
            <sz val="9"/>
            <rFont val="宋体"/>
            <charset val="134"/>
          </rPr>
          <t xml:space="preserve">
5/18 警告保修卡 1188pcs</t>
        </r>
      </text>
    </comment>
    <comment ref="AI1050" authorId="0">
      <text>
        <r>
          <rPr>
            <b/>
            <sz val="9"/>
            <rFont val="宋体"/>
            <charset val="134"/>
          </rPr>
          <t>Administrator:</t>
        </r>
        <r>
          <rPr>
            <sz val="9"/>
            <rFont val="宋体"/>
            <charset val="134"/>
          </rPr>
          <t xml:space="preserve">
1406121 5/25 336pcs
张顶b5</t>
        </r>
      </text>
    </comment>
    <comment ref="AL1050" authorId="0">
      <text>
        <r>
          <rPr>
            <b/>
            <sz val="9"/>
            <rFont val="宋体"/>
            <charset val="134"/>
          </rPr>
          <t>Administrator:</t>
        </r>
        <r>
          <rPr>
            <sz val="9"/>
            <rFont val="宋体"/>
            <charset val="134"/>
          </rPr>
          <t xml:space="preserve">
5/18 警告保修卡 336pcs
</t>
        </r>
      </text>
    </comment>
    <comment ref="AI1051" authorId="0">
      <text>
        <r>
          <rPr>
            <b/>
            <sz val="9"/>
            <rFont val="宋体"/>
            <charset val="134"/>
          </rPr>
          <t>Administrator:</t>
        </r>
        <r>
          <rPr>
            <sz val="9"/>
            <rFont val="宋体"/>
            <charset val="134"/>
          </rPr>
          <t xml:space="preserve">
1406121 5/25 276pcs
张顶b5
</t>
        </r>
      </text>
    </comment>
    <comment ref="AL1051" authorId="0">
      <text>
        <r>
          <rPr>
            <b/>
            <sz val="9"/>
            <rFont val="宋体"/>
            <charset val="134"/>
          </rPr>
          <t>Administrator:</t>
        </r>
        <r>
          <rPr>
            <sz val="9"/>
            <rFont val="宋体"/>
            <charset val="134"/>
          </rPr>
          <t xml:space="preserve">
5/18 警告保修卡 276pcs
</t>
        </r>
      </text>
    </comment>
    <comment ref="AI1052" authorId="0">
      <text>
        <r>
          <rPr>
            <b/>
            <sz val="9"/>
            <rFont val="宋体"/>
            <charset val="134"/>
          </rPr>
          <t>Administrator:</t>
        </r>
        <r>
          <rPr>
            <sz val="9"/>
            <rFont val="宋体"/>
            <charset val="134"/>
          </rPr>
          <t xml:space="preserve">
1406117 5/24 840pcs张b3订</t>
        </r>
      </text>
    </comment>
    <comment ref="AL1052" authorId="0">
      <text>
        <r>
          <rPr>
            <b/>
            <sz val="9"/>
            <rFont val="宋体"/>
            <charset val="134"/>
          </rPr>
          <t>Administrator:</t>
        </r>
        <r>
          <rPr>
            <sz val="9"/>
            <rFont val="宋体"/>
            <charset val="134"/>
          </rPr>
          <t xml:space="preserve">
5/18 警告保修卡 840pcs
</t>
        </r>
      </text>
    </comment>
    <comment ref="AI1053" authorId="0">
      <text>
        <r>
          <rPr>
            <b/>
            <sz val="9"/>
            <rFont val="宋体"/>
            <charset val="134"/>
          </rPr>
          <t>Administrator:</t>
        </r>
        <r>
          <rPr>
            <sz val="9"/>
            <rFont val="宋体"/>
            <charset val="134"/>
          </rPr>
          <t xml:space="preserve">
4001838 5/27 600pcs
</t>
        </r>
      </text>
    </comment>
    <comment ref="AL1053" authorId="0">
      <text>
        <r>
          <rPr>
            <b/>
            <sz val="9"/>
            <rFont val="宋体"/>
            <charset val="134"/>
          </rPr>
          <t>Administrator:</t>
        </r>
        <r>
          <rPr>
            <sz val="9"/>
            <rFont val="宋体"/>
            <charset val="134"/>
          </rPr>
          <t xml:space="preserve">
5/16 地址贴纸 504pcs</t>
        </r>
      </text>
    </comment>
    <comment ref="AI1056" authorId="0">
      <text>
        <r>
          <rPr>
            <sz val="9"/>
            <rFont val="宋体"/>
            <charset val="0"/>
          </rPr>
          <t xml:space="preserve">Administrator:
4001838 5/27 2592pcs
</t>
        </r>
        <r>
          <rPr>
            <b/>
            <sz val="9"/>
            <rFont val="宋体"/>
            <charset val="0"/>
          </rPr>
          <t xml:space="preserve">
石玉珍:</t>
        </r>
        <r>
          <rPr>
            <sz val="9"/>
            <rFont val="宋体"/>
            <charset val="0"/>
          </rPr>
          <t xml:space="preserve">
4001844  5/28 3636pcs应兴a7</t>
        </r>
      </text>
    </comment>
    <comment ref="AL1056" authorId="0">
      <text>
        <r>
          <rPr>
            <b/>
            <sz val="9"/>
            <rFont val="宋体"/>
            <charset val="134"/>
          </rPr>
          <t>Administrator:</t>
        </r>
        <r>
          <rPr>
            <sz val="9"/>
            <rFont val="宋体"/>
            <charset val="134"/>
          </rPr>
          <t xml:space="preserve">
4/24 可折叠警语贴 6228pcs
4/25 UPC贴纸 6228pcs
 5/11 亚马逊外箱贴纸 519pcs</t>
        </r>
      </text>
    </comment>
    <comment ref="AI1057" authorId="0">
      <text>
        <r>
          <rPr>
            <b/>
            <sz val="9"/>
            <rFont val="宋体"/>
            <charset val="134"/>
          </rPr>
          <t>Administrator:</t>
        </r>
        <r>
          <rPr>
            <sz val="9"/>
            <rFont val="宋体"/>
            <charset val="134"/>
          </rPr>
          <t xml:space="preserve">
4001838 5/27 1284pcs
</t>
        </r>
      </text>
    </comment>
    <comment ref="AL1057" authorId="0">
      <text>
        <r>
          <rPr>
            <b/>
            <sz val="9"/>
            <rFont val="宋体"/>
            <charset val="134"/>
          </rPr>
          <t>Administrator:</t>
        </r>
        <r>
          <rPr>
            <sz val="9"/>
            <rFont val="宋体"/>
            <charset val="134"/>
          </rPr>
          <t xml:space="preserve">
4/24 可折叠警语贴纸 8284pcs
4/25 UPC贴纸 1284pcs
5/5 亚马逊外箱贴纸4 107pcs</t>
        </r>
      </text>
    </comment>
    <comment ref="AI1058" authorId="0">
      <text>
        <r>
          <rPr>
            <b/>
            <sz val="9"/>
            <rFont val="宋体"/>
            <charset val="134"/>
          </rPr>
          <t>Administrator:</t>
        </r>
        <r>
          <rPr>
            <sz val="9"/>
            <rFont val="宋体"/>
            <charset val="134"/>
          </rPr>
          <t xml:space="preserve">
4001838 5/27 600pcs
</t>
        </r>
      </text>
    </comment>
    <comment ref="AI1059" authorId="0">
      <text>
        <r>
          <rPr>
            <b/>
            <sz val="9"/>
            <rFont val="宋体"/>
            <charset val="134"/>
          </rPr>
          <t>Administrator:</t>
        </r>
        <r>
          <rPr>
            <sz val="9"/>
            <rFont val="宋体"/>
            <charset val="134"/>
          </rPr>
          <t xml:space="preserve">
4001838 5/27 1528pcs</t>
        </r>
      </text>
    </comment>
    <comment ref="AL1059" authorId="0">
      <text>
        <r>
          <rPr>
            <b/>
            <sz val="9"/>
            <rFont val="宋体"/>
            <charset val="134"/>
          </rPr>
          <t>Administrator:</t>
        </r>
        <r>
          <rPr>
            <sz val="9"/>
            <rFont val="宋体"/>
            <charset val="134"/>
          </rPr>
          <t xml:space="preserve">
4/8 DC运输贴纸 191pcs
4/9 UPC贴纸 1528pcs
4/13 PDQ标识贴纸 191pcs
</t>
        </r>
      </text>
    </comment>
    <comment ref="AI1060" authorId="0">
      <text>
        <r>
          <rPr>
            <b/>
            <sz val="9"/>
            <rFont val="宋体"/>
            <charset val="134"/>
          </rPr>
          <t>Administrator:</t>
        </r>
        <r>
          <rPr>
            <sz val="9"/>
            <rFont val="宋体"/>
            <charset val="134"/>
          </rPr>
          <t xml:space="preserve">
2800019 5/27 1524pcs</t>
        </r>
      </text>
    </comment>
    <comment ref="AL1060" authorId="0">
      <text>
        <r>
          <rPr>
            <b/>
            <sz val="9"/>
            <rFont val="宋体"/>
            <charset val="134"/>
          </rPr>
          <t>Administrator:</t>
        </r>
        <r>
          <rPr>
            <sz val="9"/>
            <rFont val="宋体"/>
            <charset val="134"/>
          </rPr>
          <t xml:space="preserve">
4/24 可折叠警语贴纸 1524pcs
4/25 UPC贴纸 1524pcs
5/5 亚马逊外箱贴纸 127pcs</t>
        </r>
      </text>
    </comment>
    <comment ref="AL1061" authorId="0">
      <text>
        <r>
          <rPr>
            <b/>
            <sz val="9"/>
            <rFont val="宋体"/>
            <charset val="134"/>
          </rPr>
          <t>Administrator:</t>
        </r>
        <r>
          <rPr>
            <sz val="9"/>
            <rFont val="宋体"/>
            <charset val="134"/>
          </rPr>
          <t xml:space="preserve">
4/24 可折叠警语贴纸 1260pcs
4/25 UPC贴纸 1260pcs
4/28 亚马逊外箱贴纸 105pcs</t>
        </r>
      </text>
    </comment>
    <comment ref="AI1062" authorId="0">
      <text>
        <r>
          <rPr>
            <b/>
            <sz val="9"/>
            <rFont val="宋体"/>
            <charset val="134"/>
          </rPr>
          <t>Administrator:</t>
        </r>
        <r>
          <rPr>
            <sz val="9"/>
            <rFont val="宋体"/>
            <charset val="134"/>
          </rPr>
          <t xml:space="preserve">
1403338 5/26 840pcs
</t>
        </r>
      </text>
    </comment>
    <comment ref="AL1062" authorId="0">
      <text>
        <r>
          <rPr>
            <b/>
            <sz val="9"/>
            <rFont val="宋体"/>
            <charset val="134"/>
          </rPr>
          <t>Administrator:</t>
        </r>
        <r>
          <rPr>
            <sz val="9"/>
            <rFont val="宋体"/>
            <charset val="134"/>
          </rPr>
          <t xml:space="preserve">
5/14 大语警告语贴纸 840pcs
丹麦瑞典贴纸 840pcs</t>
        </r>
      </text>
    </comment>
    <comment ref="AI1063" authorId="0">
      <text>
        <r>
          <rPr>
            <b/>
            <sz val="9"/>
            <rFont val="宋体"/>
            <charset val="134"/>
          </rPr>
          <t>Administrator:</t>
        </r>
        <r>
          <rPr>
            <sz val="9"/>
            <rFont val="宋体"/>
            <charset val="134"/>
          </rPr>
          <t xml:space="preserve">
1403338 5/26 996pcs
</t>
        </r>
      </text>
    </comment>
    <comment ref="AL1063" authorId="0">
      <text>
        <r>
          <rPr>
            <b/>
            <sz val="9"/>
            <rFont val="宋体"/>
            <charset val="134"/>
          </rPr>
          <t>Administrator:</t>
        </r>
        <r>
          <rPr>
            <sz val="9"/>
            <rFont val="宋体"/>
            <charset val="134"/>
          </rPr>
          <t xml:space="preserve">
4/20 客供价格贴纸 1096pcs
</t>
        </r>
      </text>
    </comment>
    <comment ref="AI1064" authorId="0">
      <text>
        <r>
          <rPr>
            <b/>
            <sz val="9"/>
            <rFont val="宋体"/>
            <charset val="134"/>
          </rPr>
          <t>Administrator:</t>
        </r>
        <r>
          <rPr>
            <sz val="9"/>
            <rFont val="宋体"/>
            <charset val="134"/>
          </rPr>
          <t xml:space="preserve">
1403338 5/26 1200pcs
</t>
        </r>
      </text>
    </comment>
    <comment ref="AL1064" authorId="0">
      <text>
        <r>
          <rPr>
            <b/>
            <sz val="9"/>
            <rFont val="宋体"/>
            <charset val="134"/>
          </rPr>
          <t>Administrator:</t>
        </r>
        <r>
          <rPr>
            <sz val="9"/>
            <rFont val="宋体"/>
            <charset val="134"/>
          </rPr>
          <t xml:space="preserve">
4/20 客供价格贴纸 1320pcs
</t>
        </r>
      </text>
    </comment>
    <comment ref="AI1065" authorId="0">
      <text>
        <r>
          <rPr>
            <sz val="9"/>
            <rFont val="宋体"/>
            <charset val="134"/>
          </rPr>
          <t>Administrator:
1403338 5/27 4488pcs</t>
        </r>
        <r>
          <rPr>
            <b/>
            <sz val="9"/>
            <rFont val="宋体"/>
            <charset val="134"/>
          </rPr>
          <t xml:space="preserve">
石玉珍:</t>
        </r>
        <r>
          <rPr>
            <sz val="9"/>
            <rFont val="宋体"/>
            <charset val="134"/>
          </rPr>
          <t xml:space="preserve">
2800045 5/28 12pcs</t>
        </r>
      </text>
    </comment>
    <comment ref="AL1065" authorId="0">
      <text>
        <r>
          <rPr>
            <b/>
            <sz val="9"/>
            <rFont val="宋体"/>
            <charset val="134"/>
          </rPr>
          <t>Administrator:</t>
        </r>
        <r>
          <rPr>
            <sz val="9"/>
            <rFont val="宋体"/>
            <charset val="134"/>
          </rPr>
          <t xml:space="preserve">
5/13 客人logo贴纸 4500pcs
客户进口商贴纸 4500pcs</t>
        </r>
      </text>
    </comment>
    <comment ref="AI1066" authorId="2">
      <text>
        <r>
          <rPr>
            <b/>
            <sz val="9"/>
            <rFont val="宋体"/>
            <charset val="0"/>
          </rPr>
          <t>石玉珍:</t>
        </r>
        <r>
          <rPr>
            <sz val="9"/>
            <rFont val="宋体"/>
            <charset val="0"/>
          </rPr>
          <t xml:space="preserve">
2800045 5/28 48pcs</t>
        </r>
        <r>
          <rPr>
            <b/>
            <sz val="9"/>
            <rFont val="宋体"/>
            <charset val="0"/>
          </rPr>
          <t xml:space="preserve">
石玉珍:</t>
        </r>
        <r>
          <rPr>
            <sz val="9"/>
            <rFont val="宋体"/>
            <charset val="0"/>
          </rPr>
          <t xml:space="preserve">
应兴b14</t>
        </r>
      </text>
    </comment>
    <comment ref="AI1067" authorId="2">
      <text>
        <r>
          <rPr>
            <b/>
            <sz val="9"/>
            <rFont val="宋体"/>
            <charset val="0"/>
          </rPr>
          <t>石玉珍:</t>
        </r>
        <r>
          <rPr>
            <sz val="9"/>
            <rFont val="宋体"/>
            <charset val="0"/>
          </rPr>
          <t xml:space="preserve">
2800045 5/28 1264pcs</t>
        </r>
        <r>
          <rPr>
            <b/>
            <sz val="9"/>
            <rFont val="宋体"/>
            <charset val="0"/>
          </rPr>
          <t xml:space="preserve">
石玉珍:</t>
        </r>
        <r>
          <rPr>
            <sz val="9"/>
            <rFont val="宋体"/>
            <charset val="0"/>
          </rPr>
          <t xml:space="preserve">
应兴b3</t>
        </r>
      </text>
    </comment>
    <comment ref="AI1068" authorId="2">
      <text>
        <r>
          <rPr>
            <b/>
            <sz val="9"/>
            <rFont val="宋体"/>
            <charset val="0"/>
          </rPr>
          <t>石玉珍:</t>
        </r>
        <r>
          <rPr>
            <sz val="9"/>
            <rFont val="宋体"/>
            <charset val="0"/>
          </rPr>
          <t xml:space="preserve">
2800045 5/28 80pcs</t>
        </r>
        <r>
          <rPr>
            <b/>
            <sz val="9"/>
            <rFont val="宋体"/>
            <charset val="0"/>
          </rPr>
          <t xml:space="preserve">
石玉珍:</t>
        </r>
        <r>
          <rPr>
            <sz val="9"/>
            <rFont val="宋体"/>
            <charset val="0"/>
          </rPr>
          <t xml:space="preserve">
应兴b14</t>
        </r>
      </text>
    </comment>
    <comment ref="AI1069" authorId="2">
      <text>
        <r>
          <rPr>
            <b/>
            <sz val="9"/>
            <rFont val="宋体"/>
            <charset val="0"/>
          </rPr>
          <t>石玉珍:</t>
        </r>
        <r>
          <rPr>
            <sz val="9"/>
            <rFont val="宋体"/>
            <charset val="0"/>
          </rPr>
          <t xml:space="preserve">
2800045 5/28 1952pcs</t>
        </r>
        <r>
          <rPr>
            <b/>
            <sz val="9"/>
            <rFont val="宋体"/>
            <charset val="0"/>
          </rPr>
          <t xml:space="preserve">
石玉珍:</t>
        </r>
        <r>
          <rPr>
            <sz val="9"/>
            <rFont val="宋体"/>
            <charset val="0"/>
          </rPr>
          <t xml:space="preserve">
应兴b1</t>
        </r>
      </text>
    </comment>
    <comment ref="AI1070" authorId="2">
      <text>
        <r>
          <rPr>
            <b/>
            <sz val="9"/>
            <rFont val="宋体"/>
            <charset val="0"/>
          </rPr>
          <t>石玉珍:</t>
        </r>
        <r>
          <rPr>
            <sz val="9"/>
            <rFont val="宋体"/>
            <charset val="0"/>
          </rPr>
          <t xml:space="preserve">
2800045 5/28 32pcs</t>
        </r>
        <r>
          <rPr>
            <b/>
            <sz val="9"/>
            <rFont val="宋体"/>
            <charset val="0"/>
          </rPr>
          <t xml:space="preserve">
石玉珍:</t>
        </r>
        <r>
          <rPr>
            <sz val="9"/>
            <rFont val="宋体"/>
            <charset val="0"/>
          </rPr>
          <t xml:space="preserve">
应兴b14</t>
        </r>
      </text>
    </comment>
    <comment ref="AI1075" authorId="2">
      <text>
        <r>
          <rPr>
            <b/>
            <sz val="9"/>
            <rFont val="宋体"/>
            <charset val="0"/>
          </rPr>
          <t>石玉珍:</t>
        </r>
        <r>
          <rPr>
            <sz val="9"/>
            <rFont val="宋体"/>
            <charset val="0"/>
          </rPr>
          <t xml:space="preserve">
2800081 5/30 11640pcs张顶b5</t>
        </r>
        <r>
          <rPr>
            <b/>
            <sz val="9"/>
            <rFont val="宋体"/>
            <charset val="0"/>
          </rPr>
          <t xml:space="preserve">
石玉珍:</t>
        </r>
        <r>
          <rPr>
            <sz val="9"/>
            <rFont val="宋体"/>
            <charset val="0"/>
          </rPr>
          <t xml:space="preserve">
2800087 5/30 3600pcs张顶b5</t>
        </r>
      </text>
    </comment>
    <comment ref="AL1075" authorId="0">
      <text>
        <r>
          <rPr>
            <b/>
            <sz val="9"/>
            <rFont val="宋体"/>
            <charset val="134"/>
          </rPr>
          <t>Administrator:</t>
        </r>
        <r>
          <rPr>
            <sz val="9"/>
            <rFont val="宋体"/>
            <charset val="134"/>
          </rPr>
          <t xml:space="preserve">
5/11 保证书 12000pcs
包装贴纸 12000pcs
兑明书贴纸 12000pcs
JPC贴纸 12000pcs
5/18 客供价格贴纸 12265pcs
 </t>
        </r>
      </text>
    </comment>
    <comment ref="AI1077" authorId="2">
      <text>
        <r>
          <rPr>
            <b/>
            <sz val="9"/>
            <rFont val="宋体"/>
            <charset val="134"/>
          </rPr>
          <t>石玉珍:</t>
        </r>
        <r>
          <rPr>
            <sz val="9"/>
            <rFont val="宋体"/>
            <charset val="134"/>
          </rPr>
          <t xml:space="preserve">
4001823 5/29 160pcs</t>
        </r>
        <r>
          <rPr>
            <b/>
            <sz val="9"/>
            <rFont val="宋体"/>
            <charset val="134"/>
          </rPr>
          <t xml:space="preserve">
石玉珍:</t>
        </r>
        <r>
          <rPr>
            <sz val="9"/>
            <rFont val="宋体"/>
            <charset val="134"/>
          </rPr>
          <t xml:space="preserve">
杨b3</t>
        </r>
      </text>
    </comment>
    <comment ref="AI1078" authorId="2">
      <text>
        <r>
          <rPr>
            <b/>
            <sz val="9"/>
            <rFont val="宋体"/>
            <charset val="134"/>
          </rPr>
          <t>石玉珍:</t>
        </r>
        <r>
          <rPr>
            <sz val="9"/>
            <rFont val="宋体"/>
            <charset val="134"/>
          </rPr>
          <t xml:space="preserve">
4001823 5/29 512pcs</t>
        </r>
        <r>
          <rPr>
            <b/>
            <sz val="9"/>
            <rFont val="宋体"/>
            <charset val="134"/>
          </rPr>
          <t xml:space="preserve">
石玉珍:</t>
        </r>
        <r>
          <rPr>
            <sz val="9"/>
            <rFont val="宋体"/>
            <charset val="134"/>
          </rPr>
          <t xml:space="preserve">
杨a2</t>
        </r>
      </text>
    </comment>
    <comment ref="AI1082" authorId="2">
      <text>
        <r>
          <rPr>
            <b/>
            <sz val="9"/>
            <rFont val="宋体"/>
            <charset val="0"/>
          </rPr>
          <t>石玉珍:</t>
        </r>
        <r>
          <rPr>
            <sz val="9"/>
            <rFont val="宋体"/>
            <charset val="0"/>
          </rPr>
          <t xml:space="preserve">
2800113 6/2 2400pcs</t>
        </r>
        <r>
          <rPr>
            <b/>
            <sz val="9"/>
            <rFont val="宋体"/>
            <charset val="0"/>
          </rPr>
          <t xml:space="preserve">
石玉珍:</t>
        </r>
        <r>
          <rPr>
            <sz val="9"/>
            <rFont val="宋体"/>
            <charset val="0"/>
          </rPr>
          <t xml:space="preserve">
新泰b1</t>
        </r>
      </text>
    </comment>
    <comment ref="AL1082" authorId="0">
      <text>
        <r>
          <rPr>
            <b/>
            <sz val="9"/>
            <rFont val="宋体"/>
            <charset val="134"/>
          </rPr>
          <t>Administrator:</t>
        </r>
        <r>
          <rPr>
            <sz val="9"/>
            <rFont val="宋体"/>
            <charset val="134"/>
          </rPr>
          <t xml:space="preserve">
5/18 说明书 2400pcs
PDQ+收缩膜进口商贴纸 2400pcs
收藏指南彩色贴纸 2400pcs
1-PDQ彩色贴纸 150pcs
2-PDQ彩色贴纸 150pcs</t>
        </r>
      </text>
    </comment>
    <comment ref="AI1083" authorId="2">
      <text>
        <r>
          <rPr>
            <b/>
            <sz val="9"/>
            <rFont val="宋体"/>
            <charset val="0"/>
          </rPr>
          <t>石玉珍:</t>
        </r>
        <r>
          <rPr>
            <sz val="9"/>
            <rFont val="宋体"/>
            <charset val="0"/>
          </rPr>
          <t xml:space="preserve">
2800113 6/2 1600pcs</t>
        </r>
        <r>
          <rPr>
            <b/>
            <sz val="9"/>
            <rFont val="宋体"/>
            <charset val="0"/>
          </rPr>
          <t xml:space="preserve">
石玉珍:</t>
        </r>
        <r>
          <rPr>
            <sz val="9"/>
            <rFont val="宋体"/>
            <charset val="0"/>
          </rPr>
          <t xml:space="preserve">
新泰b1</t>
        </r>
      </text>
    </comment>
    <comment ref="AL1083" authorId="0">
      <text>
        <r>
          <rPr>
            <b/>
            <sz val="9"/>
            <rFont val="宋体"/>
            <charset val="134"/>
          </rPr>
          <t>Administrator:</t>
        </r>
        <r>
          <rPr>
            <sz val="9"/>
            <rFont val="宋体"/>
            <charset val="134"/>
          </rPr>
          <t xml:space="preserve">
5/18 说明书 1600pcs
PDQ+收缩膜进口商贴纸 1600pcs
收藏指南彩色贴纸 1600pcs
1-PDQ彩色贴纸 100pcs
2-PDQ彩色贴纸 100pcs
</t>
        </r>
      </text>
    </comment>
    <comment ref="AI1086" authorId="2">
      <text>
        <r>
          <rPr>
            <b/>
            <sz val="9"/>
            <rFont val="宋体"/>
            <charset val="134"/>
          </rPr>
          <t>石玉珍:</t>
        </r>
        <r>
          <rPr>
            <sz val="9"/>
            <rFont val="宋体"/>
            <charset val="134"/>
          </rPr>
          <t xml:space="preserve">
4001829 5/30 240pcs</t>
        </r>
      </text>
    </comment>
    <comment ref="AI1090" authorId="2">
      <text>
        <r>
          <rPr>
            <b/>
            <sz val="9"/>
            <rFont val="宋体"/>
            <charset val="134"/>
          </rPr>
          <t>石玉珍:</t>
        </r>
        <r>
          <rPr>
            <sz val="9"/>
            <rFont val="宋体"/>
            <charset val="134"/>
          </rPr>
          <t xml:space="preserve">
2800067 5/29 996pcs</t>
        </r>
        <r>
          <rPr>
            <b/>
            <sz val="9"/>
            <rFont val="宋体"/>
            <charset val="134"/>
          </rPr>
          <t xml:space="preserve">
石玉珍:</t>
        </r>
        <r>
          <rPr>
            <sz val="9"/>
            <rFont val="宋体"/>
            <charset val="134"/>
          </rPr>
          <t xml:space="preserve">
杨b14</t>
        </r>
      </text>
    </comment>
    <comment ref="AL1090" authorId="0">
      <text>
        <r>
          <rPr>
            <b/>
            <sz val="9"/>
            <rFont val="宋体"/>
            <charset val="134"/>
          </rPr>
          <t>Administrator:</t>
        </r>
        <r>
          <rPr>
            <sz val="9"/>
            <rFont val="宋体"/>
            <charset val="134"/>
          </rPr>
          <t xml:space="preserve">
5/18 客供价格贴纸 996pcs
 </t>
        </r>
      </text>
    </comment>
    <comment ref="AI1091" authorId="2">
      <text>
        <r>
          <rPr>
            <b/>
            <sz val="9"/>
            <rFont val="宋体"/>
            <charset val="134"/>
          </rPr>
          <t>石玉珍:</t>
        </r>
        <r>
          <rPr>
            <sz val="9"/>
            <rFont val="宋体"/>
            <charset val="134"/>
          </rPr>
          <t xml:space="preserve">
2800067 5/29 1200pcs</t>
        </r>
        <r>
          <rPr>
            <b/>
            <sz val="9"/>
            <rFont val="宋体"/>
            <charset val="134"/>
          </rPr>
          <t xml:space="preserve">
石玉珍:</t>
        </r>
        <r>
          <rPr>
            <sz val="9"/>
            <rFont val="宋体"/>
            <charset val="134"/>
          </rPr>
          <t xml:space="preserve">
杨b14</t>
        </r>
      </text>
    </comment>
    <comment ref="AL1091" authorId="0">
      <text>
        <r>
          <rPr>
            <b/>
            <sz val="9"/>
            <rFont val="宋体"/>
            <charset val="134"/>
          </rPr>
          <t>Administrator:</t>
        </r>
        <r>
          <rPr>
            <sz val="9"/>
            <rFont val="宋体"/>
            <charset val="134"/>
          </rPr>
          <t xml:space="preserve">
5/18 客供价格贴纸 1200pcs
</t>
        </r>
      </text>
    </comment>
    <comment ref="AI1092" authorId="2">
      <text>
        <r>
          <rPr>
            <b/>
            <sz val="9"/>
            <rFont val="宋体"/>
            <charset val="134"/>
          </rPr>
          <t>石玉珍:</t>
        </r>
        <r>
          <rPr>
            <sz val="9"/>
            <rFont val="宋体"/>
            <charset val="134"/>
          </rPr>
          <t xml:space="preserve">
2800067 5/29 500pcs杨b14</t>
        </r>
      </text>
    </comment>
    <comment ref="AL1092" authorId="0">
      <text>
        <r>
          <rPr>
            <b/>
            <sz val="9"/>
            <rFont val="宋体"/>
            <charset val="134"/>
          </rPr>
          <t>Administrator:</t>
        </r>
        <r>
          <rPr>
            <sz val="9"/>
            <rFont val="宋体"/>
            <charset val="134"/>
          </rPr>
          <t xml:space="preserve">
5/19 大语警告语贴 500pcs
小语警告语贴 1500pcs
丹麦瑞典芬兰挪威警告语贴 500pcs</t>
        </r>
      </text>
    </comment>
    <comment ref="AI1093" authorId="2">
      <text>
        <r>
          <rPr>
            <b/>
            <sz val="9"/>
            <rFont val="宋体"/>
            <charset val="134"/>
          </rPr>
          <t>石玉珍:</t>
        </r>
        <r>
          <rPr>
            <sz val="9"/>
            <rFont val="宋体"/>
            <charset val="134"/>
          </rPr>
          <t xml:space="preserve">
2800067 5/29 324pcs杨b1</t>
        </r>
      </text>
    </comment>
    <comment ref="AL1093" authorId="0">
      <text>
        <r>
          <rPr>
            <b/>
            <sz val="9"/>
            <rFont val="宋体"/>
            <charset val="134"/>
          </rPr>
          <t>Administrator:</t>
        </r>
        <r>
          <rPr>
            <sz val="9"/>
            <rFont val="宋体"/>
            <charset val="134"/>
          </rPr>
          <t xml:space="preserve">
5/21 进口商贴纸 324pcs
带纽扣电池走货北欧 324pcs</t>
        </r>
      </text>
    </comment>
    <comment ref="AI1094"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4" authorId="0">
      <text>
        <r>
          <rPr>
            <b/>
            <sz val="9"/>
            <rFont val="宋体"/>
            <charset val="134"/>
          </rPr>
          <t>Administrator:</t>
        </r>
        <r>
          <rPr>
            <sz val="9"/>
            <rFont val="宋体"/>
            <charset val="134"/>
          </rPr>
          <t xml:space="preserve">
5/21 UPC贴纸 24pcs
5/22 客供亚马逊外箱贴 2pcs</t>
        </r>
      </text>
    </comment>
    <comment ref="AI1095"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5" authorId="0">
      <text>
        <r>
          <rPr>
            <b/>
            <sz val="9"/>
            <rFont val="宋体"/>
            <charset val="134"/>
          </rPr>
          <t>Administrator:</t>
        </r>
        <r>
          <rPr>
            <sz val="9"/>
            <rFont val="宋体"/>
            <charset val="134"/>
          </rPr>
          <t xml:space="preserve">
5/21 UPC贴纸 24pcs
5/22 客供亚马逊外箱贴 2pcs
</t>
        </r>
      </text>
    </comment>
    <comment ref="AI1096"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6" authorId="0">
      <text>
        <r>
          <rPr>
            <b/>
            <sz val="9"/>
            <rFont val="宋体"/>
            <charset val="134"/>
          </rPr>
          <t>Administrator:</t>
        </r>
        <r>
          <rPr>
            <sz val="9"/>
            <rFont val="宋体"/>
            <charset val="134"/>
          </rPr>
          <t xml:space="preserve">
5/21 UPC贴纸 24pcs
5/22 客供亚马逊外箱贴 2pcs
</t>
        </r>
      </text>
    </comment>
    <comment ref="AI1097"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7" authorId="0">
      <text>
        <r>
          <rPr>
            <b/>
            <sz val="9"/>
            <rFont val="宋体"/>
            <charset val="134"/>
          </rPr>
          <t>Administrator:</t>
        </r>
        <r>
          <rPr>
            <sz val="9"/>
            <rFont val="宋体"/>
            <charset val="134"/>
          </rPr>
          <t xml:space="preserve">
5/21 UPC贴纸 24pcs
5/22 客供亚马逊外箱贴 2pcs
</t>
        </r>
      </text>
    </comment>
    <comment ref="AI1098"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8" authorId="0">
      <text>
        <r>
          <rPr>
            <b/>
            <sz val="9"/>
            <rFont val="宋体"/>
            <charset val="134"/>
          </rPr>
          <t>Administrator:</t>
        </r>
        <r>
          <rPr>
            <sz val="9"/>
            <rFont val="宋体"/>
            <charset val="134"/>
          </rPr>
          <t xml:space="preserve">
5/21 UPC贴纸 24pcs
5/22 客供亚马逊外箱贴 2pcs
</t>
        </r>
      </text>
    </comment>
    <comment ref="AI1099"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099" authorId="0">
      <text>
        <r>
          <rPr>
            <b/>
            <sz val="9"/>
            <rFont val="宋体"/>
            <charset val="134"/>
          </rPr>
          <t>Administrator:</t>
        </r>
        <r>
          <rPr>
            <sz val="9"/>
            <rFont val="宋体"/>
            <charset val="134"/>
          </rPr>
          <t xml:space="preserve">
5/21 UPC贴纸 24pcs
5/22 客供亚马逊外箱贴 2pcs
</t>
        </r>
      </text>
    </comment>
    <comment ref="AI1100" authorId="2">
      <text>
        <r>
          <rPr>
            <b/>
            <sz val="9"/>
            <rFont val="宋体"/>
            <charset val="134"/>
          </rPr>
          <t>石玉珍:</t>
        </r>
        <r>
          <rPr>
            <sz val="9"/>
            <rFont val="宋体"/>
            <charset val="134"/>
          </rPr>
          <t xml:space="preserve">
2800068 5/29 24pcs</t>
        </r>
        <r>
          <rPr>
            <b/>
            <sz val="9"/>
            <rFont val="宋体"/>
            <charset val="134"/>
          </rPr>
          <t xml:space="preserve">
石玉珍:</t>
        </r>
        <r>
          <rPr>
            <sz val="9"/>
            <rFont val="宋体"/>
            <charset val="134"/>
          </rPr>
          <t xml:space="preserve">
杨b1</t>
        </r>
      </text>
    </comment>
    <comment ref="AL1100" authorId="0">
      <text>
        <r>
          <rPr>
            <b/>
            <sz val="9"/>
            <rFont val="宋体"/>
            <charset val="134"/>
          </rPr>
          <t>Administrator:</t>
        </r>
        <r>
          <rPr>
            <sz val="9"/>
            <rFont val="宋体"/>
            <charset val="134"/>
          </rPr>
          <t xml:space="preserve">
5/21 UPC贴纸 24pcs
5/22 客供亚马逊外箱贴 2pcs
</t>
        </r>
      </text>
    </comment>
    <comment ref="AI1101" authorId="2">
      <text>
        <r>
          <rPr>
            <b/>
            <sz val="9"/>
            <rFont val="宋体"/>
            <charset val="0"/>
          </rPr>
          <t>石玉珍:</t>
        </r>
        <r>
          <rPr>
            <sz val="9"/>
            <rFont val="宋体"/>
            <charset val="0"/>
          </rPr>
          <t xml:space="preserve">
2800113 6/2 312pcs</t>
        </r>
        <r>
          <rPr>
            <b/>
            <sz val="9"/>
            <rFont val="宋体"/>
            <charset val="0"/>
          </rPr>
          <t xml:space="preserve">
石玉珍:</t>
        </r>
        <r>
          <rPr>
            <sz val="9"/>
            <rFont val="宋体"/>
            <charset val="0"/>
          </rPr>
          <t xml:space="preserve">
新泰b1</t>
        </r>
      </text>
    </comment>
    <comment ref="AL1101" authorId="0">
      <text>
        <r>
          <rPr>
            <sz val="9"/>
            <rFont val="宋体"/>
            <charset val="134"/>
          </rPr>
          <t>Administrator:
5/19  德意语包装警语贴纸 312pcs
客人款号贴纸 312pcs
Kinderherz 2025 logo 390pcs</t>
        </r>
        <r>
          <rPr>
            <b/>
            <sz val="9"/>
            <rFont val="宋体"/>
            <charset val="134"/>
          </rPr>
          <t xml:space="preserve">
石玉珍:</t>
        </r>
        <r>
          <rPr>
            <sz val="9"/>
            <rFont val="宋体"/>
            <charset val="134"/>
          </rPr>
          <t xml:space="preserve">
5/28 地址贴纸 312pcs</t>
        </r>
      </text>
    </comment>
    <comment ref="AI1102" authorId="2">
      <text>
        <r>
          <rPr>
            <b/>
            <sz val="9"/>
            <rFont val="宋体"/>
            <charset val="0"/>
          </rPr>
          <t>石玉珍:</t>
        </r>
        <r>
          <rPr>
            <sz val="9"/>
            <rFont val="宋体"/>
            <charset val="0"/>
          </rPr>
          <t xml:space="preserve">
2800113 6/2 12pcs</t>
        </r>
        <r>
          <rPr>
            <b/>
            <sz val="9"/>
            <rFont val="宋体"/>
            <charset val="0"/>
          </rPr>
          <t xml:space="preserve">
石玉珍:</t>
        </r>
        <r>
          <rPr>
            <sz val="9"/>
            <rFont val="宋体"/>
            <charset val="0"/>
          </rPr>
          <t xml:space="preserve">
新泰b1</t>
        </r>
      </text>
    </comment>
    <comment ref="AI1103" authorId="2">
      <text>
        <r>
          <rPr>
            <b/>
            <sz val="9"/>
            <rFont val="宋体"/>
            <charset val="0"/>
          </rPr>
          <t>石玉珍:</t>
        </r>
        <r>
          <rPr>
            <sz val="9"/>
            <rFont val="宋体"/>
            <charset val="0"/>
          </rPr>
          <t xml:space="preserve">
2800107 6/1 600pcs</t>
        </r>
        <r>
          <rPr>
            <b/>
            <sz val="9"/>
            <rFont val="宋体"/>
            <charset val="0"/>
          </rPr>
          <t xml:space="preserve">
石玉珍:</t>
        </r>
        <r>
          <rPr>
            <sz val="9"/>
            <rFont val="宋体"/>
            <charset val="0"/>
          </rPr>
          <t xml:space="preserve">
张顶b8</t>
        </r>
      </text>
    </comment>
    <comment ref="AL1103" authorId="0">
      <text>
        <r>
          <rPr>
            <b/>
            <sz val="9"/>
            <rFont val="宋体"/>
            <charset val="134"/>
          </rPr>
          <t>Administrator:</t>
        </r>
        <r>
          <rPr>
            <sz val="9"/>
            <rFont val="宋体"/>
            <charset val="134"/>
          </rPr>
          <t xml:space="preserve">
5/18 SNI label 40*50mm 600pcs</t>
        </r>
      </text>
    </comment>
    <comment ref="AI1104" authorId="2">
      <text>
        <r>
          <rPr>
            <b/>
            <sz val="9"/>
            <rFont val="宋体"/>
            <charset val="0"/>
          </rPr>
          <t>石玉珍:</t>
        </r>
        <r>
          <rPr>
            <sz val="9"/>
            <rFont val="宋体"/>
            <charset val="0"/>
          </rPr>
          <t xml:space="preserve">
2801070 6/3 1188pcs</t>
        </r>
        <r>
          <rPr>
            <b/>
            <sz val="9"/>
            <rFont val="宋体"/>
            <charset val="0"/>
          </rPr>
          <t xml:space="preserve">
石玉珍:</t>
        </r>
        <r>
          <rPr>
            <sz val="9"/>
            <rFont val="宋体"/>
            <charset val="0"/>
          </rPr>
          <t xml:space="preserve">
2801074 6/4 12pcs</t>
        </r>
        <r>
          <rPr>
            <b/>
            <sz val="9"/>
            <rFont val="宋体"/>
            <charset val="0"/>
          </rPr>
          <t xml:space="preserve">
石玉珍:</t>
        </r>
        <r>
          <rPr>
            <sz val="9"/>
            <rFont val="宋体"/>
            <charset val="0"/>
          </rPr>
          <t xml:space="preserve">
新泰b3</t>
        </r>
      </text>
    </comment>
    <comment ref="AL1104" authorId="0">
      <text>
        <r>
          <rPr>
            <b/>
            <sz val="9"/>
            <rFont val="宋体"/>
            <charset val="134"/>
          </rPr>
          <t>Administrator:</t>
        </r>
        <r>
          <rPr>
            <sz val="9"/>
            <rFont val="宋体"/>
            <charset val="134"/>
          </rPr>
          <t xml:space="preserve">
5/5 UPC/进口商贴纸 1200pcs</t>
        </r>
      </text>
    </comment>
    <comment ref="AI1105" authorId="2">
      <text>
        <r>
          <rPr>
            <b/>
            <sz val="9"/>
            <rFont val="宋体"/>
            <charset val="0"/>
          </rPr>
          <t>石玉珍:</t>
        </r>
        <r>
          <rPr>
            <sz val="9"/>
            <rFont val="宋体"/>
            <charset val="0"/>
          </rPr>
          <t xml:space="preserve">
2801070 6/3 52pcs</t>
        </r>
      </text>
    </comment>
    <comment ref="AI1106" authorId="2">
      <text>
        <r>
          <rPr>
            <b/>
            <sz val="9"/>
            <rFont val="宋体"/>
            <charset val="0"/>
          </rPr>
          <t>石玉珍:</t>
        </r>
        <r>
          <rPr>
            <sz val="9"/>
            <rFont val="宋体"/>
            <charset val="0"/>
          </rPr>
          <t xml:space="preserve">
2801070 6/3 240pcs</t>
        </r>
        <r>
          <rPr>
            <b/>
            <sz val="9"/>
            <rFont val="宋体"/>
            <charset val="0"/>
          </rPr>
          <t xml:space="preserve">
石玉珍:</t>
        </r>
        <r>
          <rPr>
            <sz val="9"/>
            <rFont val="宋体"/>
            <charset val="0"/>
          </rPr>
          <t xml:space="preserve">
新泰b3</t>
        </r>
      </text>
    </comment>
    <comment ref="AI1108" authorId="2">
      <text>
        <r>
          <rPr>
            <b/>
            <sz val="9"/>
            <rFont val="宋体"/>
            <charset val="0"/>
          </rPr>
          <t>石玉珍:</t>
        </r>
        <r>
          <rPr>
            <sz val="9"/>
            <rFont val="宋体"/>
            <charset val="0"/>
          </rPr>
          <t xml:space="preserve">
2801058 6/3 1200pcs新泰b3</t>
        </r>
      </text>
    </comment>
    <comment ref="AL1108" authorId="0">
      <text>
        <r>
          <rPr>
            <b/>
            <sz val="9"/>
            <rFont val="宋体"/>
            <charset val="134"/>
          </rPr>
          <t>Administrator:</t>
        </r>
        <r>
          <rPr>
            <sz val="9"/>
            <rFont val="宋体"/>
            <charset val="134"/>
          </rPr>
          <t xml:space="preserve">
5/15 进口商贴纸 1200派出所</t>
        </r>
      </text>
    </comment>
    <comment ref="AI1109" authorId="2">
      <text>
        <r>
          <rPr>
            <b/>
            <sz val="9"/>
            <rFont val="宋体"/>
            <charset val="0"/>
          </rPr>
          <t>石玉珍:</t>
        </r>
        <r>
          <rPr>
            <sz val="9"/>
            <rFont val="宋体"/>
            <charset val="0"/>
          </rPr>
          <t xml:space="preserve">
2801078 6/4 1104pcs</t>
        </r>
        <r>
          <rPr>
            <b/>
            <sz val="9"/>
            <rFont val="宋体"/>
            <charset val="0"/>
          </rPr>
          <t xml:space="preserve">
石玉珍:</t>
        </r>
        <r>
          <rPr>
            <sz val="9"/>
            <rFont val="宋体"/>
            <charset val="0"/>
          </rPr>
          <t xml:space="preserve">
新泰b4</t>
        </r>
      </text>
    </comment>
    <comment ref="AL1109" authorId="0">
      <text>
        <r>
          <rPr>
            <b/>
            <sz val="9"/>
            <rFont val="宋体"/>
            <charset val="134"/>
          </rPr>
          <t>Administrator:</t>
        </r>
        <r>
          <rPr>
            <sz val="9"/>
            <rFont val="宋体"/>
            <charset val="134"/>
          </rPr>
          <t xml:space="preserve">
5/22 进口商贴纸 1104pcs
UPC贴纸 1104pcs</t>
        </r>
      </text>
    </comment>
    <comment ref="AI1110" authorId="2">
      <text>
        <r>
          <rPr>
            <b/>
            <sz val="9"/>
            <rFont val="宋体"/>
            <charset val="0"/>
          </rPr>
          <t>石玉珍:</t>
        </r>
        <r>
          <rPr>
            <sz val="9"/>
            <rFont val="宋体"/>
            <charset val="0"/>
          </rPr>
          <t xml:space="preserve">
2801078 6/4 1020pcs</t>
        </r>
        <r>
          <rPr>
            <b/>
            <sz val="9"/>
            <rFont val="宋体"/>
            <charset val="0"/>
          </rPr>
          <t xml:space="preserve">
石玉珍:</t>
        </r>
        <r>
          <rPr>
            <sz val="9"/>
            <rFont val="宋体"/>
            <charset val="0"/>
          </rPr>
          <t xml:space="preserve">
新泰b4</t>
        </r>
      </text>
    </comment>
    <comment ref="AL1110" authorId="0">
      <text>
        <r>
          <rPr>
            <b/>
            <sz val="9"/>
            <rFont val="宋体"/>
            <charset val="134"/>
          </rPr>
          <t>Administrator:</t>
        </r>
        <r>
          <rPr>
            <sz val="9"/>
            <rFont val="宋体"/>
            <charset val="134"/>
          </rPr>
          <t xml:space="preserve">
5/22 进口商贴纸5 1536pcs+
UPC贴纸 1536pcs</t>
        </r>
      </text>
    </comment>
    <comment ref="AI1111" authorId="2">
      <text>
        <r>
          <rPr>
            <b/>
            <sz val="9"/>
            <rFont val="宋体"/>
            <charset val="0"/>
          </rPr>
          <t>石玉珍:</t>
        </r>
        <r>
          <rPr>
            <sz val="9"/>
            <rFont val="宋体"/>
            <charset val="0"/>
          </rPr>
          <t xml:space="preserve">
2801078 6/4 2508pcs</t>
        </r>
        <r>
          <rPr>
            <b/>
            <sz val="9"/>
            <rFont val="宋体"/>
            <charset val="0"/>
          </rPr>
          <t xml:space="preserve">
石玉珍:</t>
        </r>
        <r>
          <rPr>
            <sz val="9"/>
            <rFont val="宋体"/>
            <charset val="0"/>
          </rPr>
          <t xml:space="preserve">
新泰b4</t>
        </r>
      </text>
    </comment>
    <comment ref="AL1111" authorId="0">
      <text>
        <r>
          <rPr>
            <b/>
            <sz val="9"/>
            <rFont val="宋体"/>
            <charset val="134"/>
          </rPr>
          <t>Administrator:</t>
        </r>
        <r>
          <rPr>
            <sz val="9"/>
            <rFont val="宋体"/>
            <charset val="134"/>
          </rPr>
          <t xml:space="preserve">
5/22 进口商贴纸5 2508pcs+
UPC贴纸 2508pcs
</t>
        </r>
      </text>
    </comment>
    <comment ref="AI1112" authorId="2">
      <text>
        <r>
          <rPr>
            <b/>
            <sz val="9"/>
            <rFont val="宋体"/>
            <charset val="0"/>
          </rPr>
          <t>石玉珍:</t>
        </r>
        <r>
          <rPr>
            <sz val="9"/>
            <rFont val="宋体"/>
            <charset val="0"/>
          </rPr>
          <t xml:space="preserve">
2801078 6/4 516pcs</t>
        </r>
      </text>
    </comment>
    <comment ref="AI1113" authorId="2">
      <text>
        <r>
          <rPr>
            <b/>
            <sz val="9"/>
            <rFont val="宋体"/>
            <charset val="0"/>
          </rPr>
          <t>石玉珍:</t>
        </r>
        <r>
          <rPr>
            <sz val="9"/>
            <rFont val="宋体"/>
            <charset val="0"/>
          </rPr>
          <t xml:space="preserve">
2801117 6/6 3200pcs</t>
        </r>
      </text>
    </comment>
    <comment ref="AL1113" authorId="0">
      <text>
        <r>
          <rPr>
            <b/>
            <sz val="9"/>
            <rFont val="宋体"/>
            <charset val="134"/>
          </rPr>
          <t>Administrator:</t>
        </r>
        <r>
          <rPr>
            <sz val="9"/>
            <rFont val="宋体"/>
            <charset val="134"/>
          </rPr>
          <t xml:space="preserve">
5/14 客供RID贴纸 3200pcs</t>
        </r>
      </text>
    </comment>
    <comment ref="AI1114" authorId="2">
      <text>
        <r>
          <rPr>
            <b/>
            <sz val="9"/>
            <rFont val="宋体"/>
            <charset val="0"/>
          </rPr>
          <t>石玉珍:</t>
        </r>
        <r>
          <rPr>
            <sz val="9"/>
            <rFont val="宋体"/>
            <charset val="0"/>
          </rPr>
          <t xml:space="preserve">
2801118 6/6 1600pcs</t>
        </r>
      </text>
    </comment>
    <comment ref="AL1114" authorId="0">
      <text>
        <r>
          <rPr>
            <b/>
            <sz val="9"/>
            <rFont val="宋体"/>
            <charset val="134"/>
          </rPr>
          <t>Administrator:</t>
        </r>
        <r>
          <rPr>
            <sz val="9"/>
            <rFont val="宋体"/>
            <charset val="134"/>
          </rPr>
          <t xml:space="preserve">
5/14 客供RID贴纸 1600pcs</t>
        </r>
      </text>
    </comment>
    <comment ref="AI1115" authorId="2">
      <text>
        <r>
          <rPr>
            <b/>
            <sz val="9"/>
            <rFont val="宋体"/>
            <charset val="0"/>
          </rPr>
          <t>石玉珍:</t>
        </r>
        <r>
          <rPr>
            <sz val="9"/>
            <rFont val="宋体"/>
            <charset val="0"/>
          </rPr>
          <t xml:space="preserve">
2801118 6/6 3520pcs</t>
        </r>
      </text>
    </comment>
    <comment ref="AL1115" authorId="0">
      <text>
        <r>
          <rPr>
            <b/>
            <sz val="9"/>
            <rFont val="宋体"/>
            <charset val="134"/>
          </rPr>
          <t>Administrator:</t>
        </r>
        <r>
          <rPr>
            <sz val="9"/>
            <rFont val="宋体"/>
            <charset val="134"/>
          </rPr>
          <t xml:space="preserve">
5/14 客供RID贴纸 3520pcs</t>
        </r>
      </text>
    </comment>
    <comment ref="AI1116" authorId="2">
      <text>
        <r>
          <rPr>
            <b/>
            <sz val="9"/>
            <rFont val="宋体"/>
            <charset val="0"/>
          </rPr>
          <t>石玉珍:</t>
        </r>
        <r>
          <rPr>
            <sz val="9"/>
            <rFont val="宋体"/>
            <charset val="0"/>
          </rPr>
          <t xml:space="preserve">
2801117 6/6 2560pcs</t>
        </r>
      </text>
    </comment>
    <comment ref="AL1116" authorId="0">
      <text>
        <r>
          <rPr>
            <b/>
            <sz val="9"/>
            <rFont val="宋体"/>
            <charset val="134"/>
          </rPr>
          <t>Administrator:</t>
        </r>
        <r>
          <rPr>
            <sz val="9"/>
            <rFont val="宋体"/>
            <charset val="134"/>
          </rPr>
          <t xml:space="preserve">
5/14 客供RID贴纸 2560pcs</t>
        </r>
      </text>
    </comment>
    <comment ref="AI1117" authorId="2">
      <text>
        <r>
          <rPr>
            <b/>
            <sz val="9"/>
            <rFont val="宋体"/>
            <charset val="0"/>
          </rPr>
          <t>石玉珍:</t>
        </r>
        <r>
          <rPr>
            <sz val="9"/>
            <rFont val="宋体"/>
            <charset val="0"/>
          </rPr>
          <t xml:space="preserve">
2801117 6/6 4160pcs</t>
        </r>
      </text>
    </comment>
    <comment ref="AL1117" authorId="0">
      <text>
        <r>
          <rPr>
            <b/>
            <sz val="9"/>
            <rFont val="宋体"/>
            <charset val="134"/>
          </rPr>
          <t>Administrator:</t>
        </r>
        <r>
          <rPr>
            <sz val="9"/>
            <rFont val="宋体"/>
            <charset val="134"/>
          </rPr>
          <t xml:space="preserve">
5/14 客供RID贴纸 4160pcs</t>
        </r>
      </text>
    </comment>
    <comment ref="AI1118" authorId="2">
      <text>
        <r>
          <rPr>
            <b/>
            <sz val="9"/>
            <rFont val="宋体"/>
            <charset val="0"/>
          </rPr>
          <t>石玉珍:</t>
        </r>
        <r>
          <rPr>
            <sz val="9"/>
            <rFont val="宋体"/>
            <charset val="0"/>
          </rPr>
          <t xml:space="preserve">
2801118 6/6 12960pcs</t>
        </r>
        <r>
          <rPr>
            <b/>
            <sz val="9"/>
            <rFont val="宋体"/>
            <charset val="0"/>
          </rPr>
          <t xml:space="preserve">
石玉珍:</t>
        </r>
        <r>
          <rPr>
            <sz val="9"/>
            <rFont val="宋体"/>
            <charset val="0"/>
          </rPr>
          <t xml:space="preserve">
2801124 6/6 17004pcs</t>
        </r>
        <r>
          <rPr>
            <b/>
            <sz val="9"/>
            <rFont val="宋体"/>
            <charset val="0"/>
          </rPr>
          <t xml:space="preserve">
石玉珍:</t>
        </r>
        <r>
          <rPr>
            <sz val="9"/>
            <rFont val="宋体"/>
            <charset val="0"/>
          </rPr>
          <t xml:space="preserve">
2801127 6/6 36pcs</t>
        </r>
      </text>
    </comment>
    <comment ref="AI1119" authorId="2">
      <text>
        <r>
          <rPr>
            <b/>
            <sz val="9"/>
            <rFont val="宋体"/>
            <charset val="0"/>
          </rPr>
          <t>石玉珍:</t>
        </r>
        <r>
          <rPr>
            <sz val="9"/>
            <rFont val="宋体"/>
            <charset val="0"/>
          </rPr>
          <t xml:space="preserve">
3000650 6/5 500pcs</t>
        </r>
        <r>
          <rPr>
            <b/>
            <sz val="9"/>
            <rFont val="宋体"/>
            <charset val="0"/>
          </rPr>
          <t xml:space="preserve">
石玉珍:</t>
        </r>
        <r>
          <rPr>
            <sz val="9"/>
            <rFont val="宋体"/>
            <charset val="0"/>
          </rPr>
          <t xml:space="preserve">
张顶a15</t>
        </r>
      </text>
    </comment>
    <comment ref="AL1119" authorId="0">
      <text>
        <r>
          <rPr>
            <b/>
            <sz val="9"/>
            <rFont val="宋体"/>
            <charset val="134"/>
          </rPr>
          <t>Administrator:</t>
        </r>
        <r>
          <rPr>
            <sz val="9"/>
            <rFont val="宋体"/>
            <charset val="134"/>
          </rPr>
          <t xml:space="preserve">
5/22 大语警告语贴 500pcs
小语警告语贴 1500pcs
丹麦瑞典芬兰挪威警告 500pcs</t>
        </r>
      </text>
    </comment>
    <comment ref="AI1120" authorId="2">
      <text>
        <r>
          <rPr>
            <b/>
            <sz val="9"/>
            <rFont val="宋体"/>
            <charset val="0"/>
          </rPr>
          <t>石玉珍:</t>
        </r>
        <r>
          <rPr>
            <sz val="9"/>
            <rFont val="宋体"/>
            <charset val="0"/>
          </rPr>
          <t xml:space="preserve">
2801429 6/8 1320ps</t>
        </r>
      </text>
    </comment>
    <comment ref="AL1120" authorId="2">
      <text>
        <r>
          <rPr>
            <b/>
            <sz val="9"/>
            <rFont val="宋体"/>
            <charset val="134"/>
          </rPr>
          <t>石玉珍:</t>
        </r>
        <r>
          <rPr>
            <sz val="9"/>
            <rFont val="宋体"/>
            <charset val="134"/>
          </rPr>
          <t xml:space="preserve">
5/29 进口商贴纸 1320pcs
UPC贴纸 1320pcs</t>
        </r>
      </text>
    </comment>
    <comment ref="AI1121" authorId="2">
      <text>
        <r>
          <rPr>
            <b/>
            <sz val="9"/>
            <rFont val="宋体"/>
            <charset val="0"/>
          </rPr>
          <t>石玉珍:</t>
        </r>
        <r>
          <rPr>
            <sz val="9"/>
            <rFont val="宋体"/>
            <charset val="0"/>
          </rPr>
          <t xml:space="preserve">
2801439 6/9 1524pcs</t>
        </r>
      </text>
    </comment>
    <comment ref="AL1121" authorId="0">
      <text>
        <r>
          <rPr>
            <b/>
            <sz val="9"/>
            <rFont val="宋体"/>
            <charset val="134"/>
          </rPr>
          <t>Administrator:</t>
        </r>
        <r>
          <rPr>
            <sz val="9"/>
            <rFont val="宋体"/>
            <charset val="134"/>
          </rPr>
          <t xml:space="preserve">
4/24 可折叠警语贴纸 1524pcs
4/25 UPC贴纸 1524pcs
5/15 亚马逊外箱贴纸 127pcs</t>
        </r>
      </text>
    </comment>
    <comment ref="AI1123" authorId="2">
      <text>
        <r>
          <rPr>
            <b/>
            <sz val="9"/>
            <rFont val="宋体"/>
            <charset val="0"/>
          </rPr>
          <t>石玉珍:</t>
        </r>
        <r>
          <rPr>
            <sz val="9"/>
            <rFont val="宋体"/>
            <charset val="0"/>
          </rPr>
          <t xml:space="preserve">
2801184 6/10 1560pcs</t>
        </r>
      </text>
    </comment>
    <comment ref="AL1123" authorId="0">
      <text>
        <r>
          <rPr>
            <b/>
            <sz val="9"/>
            <rFont val="宋体"/>
            <charset val="134"/>
          </rPr>
          <t>Administrator:</t>
        </r>
        <r>
          <rPr>
            <sz val="9"/>
            <rFont val="宋体"/>
            <charset val="134"/>
          </rPr>
          <t xml:space="preserve">
5/13 多语折叠警告语贴纸 1560pcs</t>
        </r>
      </text>
    </comment>
    <comment ref="AI1124" authorId="2">
      <text>
        <r>
          <rPr>
            <b/>
            <sz val="9"/>
            <rFont val="宋体"/>
            <charset val="0"/>
          </rPr>
          <t>石玉珍:</t>
        </r>
        <r>
          <rPr>
            <sz val="9"/>
            <rFont val="宋体"/>
            <charset val="0"/>
          </rPr>
          <t xml:space="preserve">
2801184 6/10 6000pcs</t>
        </r>
      </text>
    </comment>
    <comment ref="AL1124" authorId="0">
      <text>
        <r>
          <rPr>
            <sz val="9"/>
            <rFont val="宋体"/>
            <charset val="0"/>
          </rPr>
          <t xml:space="preserve">Administrator:
5/25 Kinderherz 2025 Logo 6000pcs
地址贴纸 6000pcs
5/27 多语警语折叠贴纸 6000pcs
</t>
        </r>
        <r>
          <rPr>
            <b/>
            <sz val="9"/>
            <rFont val="宋体"/>
            <charset val="0"/>
          </rPr>
          <t xml:space="preserve">
石玉珍:</t>
        </r>
        <r>
          <rPr>
            <sz val="9"/>
            <rFont val="宋体"/>
            <charset val="0"/>
          </rPr>
          <t xml:space="preserve">
6/2  logo贴纸 6000pcs </t>
        </r>
      </text>
    </comment>
    <comment ref="AI1128" authorId="2">
      <text>
        <r>
          <rPr>
            <b/>
            <sz val="9"/>
            <rFont val="宋体"/>
            <charset val="0"/>
          </rPr>
          <t>石玉珍:</t>
        </r>
        <r>
          <rPr>
            <sz val="9"/>
            <rFont val="宋体"/>
            <charset val="0"/>
          </rPr>
          <t xml:space="preserve">
2801464 6/13 11632pcs</t>
        </r>
        <r>
          <rPr>
            <b/>
            <sz val="9"/>
            <rFont val="宋体"/>
            <charset val="0"/>
          </rPr>
          <t xml:space="preserve">
石玉珍:</t>
        </r>
        <r>
          <rPr>
            <sz val="9"/>
            <rFont val="宋体"/>
            <charset val="0"/>
          </rPr>
          <t xml:space="preserve">
2801468 6/13 368pcs</t>
        </r>
      </text>
    </comment>
    <comment ref="AL1128" authorId="2">
      <text>
        <r>
          <rPr>
            <b/>
            <sz val="9"/>
            <rFont val="宋体"/>
            <charset val="0"/>
          </rPr>
          <t>石玉珍:</t>
        </r>
        <r>
          <rPr>
            <sz val="9"/>
            <rFont val="宋体"/>
            <charset val="0"/>
          </rPr>
          <t xml:space="preserve">
6/5 进口商贴纸(含客户条码) 12000pcs</t>
        </r>
      </text>
    </comment>
    <comment ref="AI1129" authorId="2">
      <text>
        <r>
          <rPr>
            <b/>
            <sz val="9"/>
            <rFont val="宋体"/>
            <charset val="0"/>
          </rPr>
          <t>石玉珍:</t>
        </r>
        <r>
          <rPr>
            <sz val="9"/>
            <rFont val="宋体"/>
            <charset val="0"/>
          </rPr>
          <t xml:space="preserve">
2801452 6/10 5400pcs</t>
        </r>
      </text>
    </comment>
    <comment ref="AL1129" authorId="0">
      <text>
        <r>
          <rPr>
            <sz val="9"/>
            <rFont val="宋体"/>
            <charset val="0"/>
          </rPr>
          <t>Administra3tor:
5/20 3C中文贴纸 5400pcs</t>
        </r>
        <r>
          <rPr>
            <b/>
            <sz val="9"/>
            <rFont val="宋体"/>
            <charset val="0"/>
          </rPr>
          <t xml:space="preserve">
石玉珍:</t>
        </r>
        <r>
          <rPr>
            <sz val="9"/>
            <rFont val="宋体"/>
            <charset val="0"/>
          </rPr>
          <t xml:space="preserve">
6/8 客供防窜码贴纸1拖6 210pcs</t>
        </r>
      </text>
    </comment>
    <comment ref="AI1130" authorId="2">
      <text>
        <r>
          <rPr>
            <b/>
            <sz val="9"/>
            <rFont val="宋体"/>
            <charset val="0"/>
          </rPr>
          <t>石玉珍:</t>
        </r>
        <r>
          <rPr>
            <sz val="9"/>
            <rFont val="宋体"/>
            <charset val="0"/>
          </rPr>
          <t xml:space="preserve">
2800116 6/2 5716pcs新泰a4</t>
        </r>
        <r>
          <rPr>
            <b/>
            <sz val="9"/>
            <rFont val="宋体"/>
            <charset val="0"/>
          </rPr>
          <t xml:space="preserve">
石玉珍:</t>
        </r>
        <r>
          <rPr>
            <sz val="9"/>
            <rFont val="宋体"/>
            <charset val="0"/>
          </rPr>
          <t xml:space="preserve">
2801074 6/4 8pcs</t>
        </r>
      </text>
    </comment>
    <comment ref="AL1130" authorId="0">
      <text>
        <r>
          <rPr>
            <b/>
            <sz val="9"/>
            <rFont val="宋体"/>
            <charset val="134"/>
          </rPr>
          <t>Administrator:</t>
        </r>
        <r>
          <rPr>
            <sz val="9"/>
            <rFont val="宋体"/>
            <charset val="134"/>
          </rPr>
          <t xml:space="preserve">
5/27 多语警语折叠贴纸 5716pcs</t>
        </r>
      </text>
    </comment>
    <comment ref="AI1131" authorId="2">
      <text>
        <r>
          <rPr>
            <b/>
            <sz val="9"/>
            <rFont val="宋体"/>
            <charset val="0"/>
          </rPr>
          <t>石玉珍:</t>
        </r>
        <r>
          <rPr>
            <sz val="9"/>
            <rFont val="宋体"/>
            <charset val="0"/>
          </rPr>
          <t xml:space="preserve">
2801058 6/3 3600pcs</t>
        </r>
        <r>
          <rPr>
            <b/>
            <sz val="9"/>
            <rFont val="宋体"/>
            <charset val="0"/>
          </rPr>
          <t xml:space="preserve">
石玉珍:</t>
        </r>
        <r>
          <rPr>
            <sz val="9"/>
            <rFont val="宋体"/>
            <charset val="0"/>
          </rPr>
          <t xml:space="preserve">
新泰a3</t>
        </r>
      </text>
    </comment>
    <comment ref="AL1131" authorId="0">
      <text>
        <r>
          <rPr>
            <b/>
            <sz val="9"/>
            <rFont val="宋体"/>
            <charset val="134"/>
          </rPr>
          <t>Administrator:</t>
        </r>
        <r>
          <rPr>
            <sz val="9"/>
            <rFont val="宋体"/>
            <charset val="134"/>
          </rPr>
          <t xml:space="preserve">
5/14 客供价格贴纸 3780pcs
</t>
        </r>
      </text>
    </comment>
    <comment ref="AI1132" authorId="2">
      <text>
        <r>
          <rPr>
            <b/>
            <sz val="9"/>
            <rFont val="宋体"/>
            <charset val="0"/>
          </rPr>
          <t>石玉珍:</t>
        </r>
        <r>
          <rPr>
            <sz val="9"/>
            <rFont val="宋体"/>
            <charset val="0"/>
          </rPr>
          <t xml:space="preserve">
2801268 6/15 804pcs</t>
        </r>
      </text>
    </comment>
    <comment ref="AL1132" authorId="0">
      <text>
        <r>
          <rPr>
            <b/>
            <sz val="9"/>
            <rFont val="宋体"/>
            <charset val="134"/>
          </rPr>
          <t>Administrator:</t>
        </r>
        <r>
          <rPr>
            <sz val="9"/>
            <rFont val="宋体"/>
            <charset val="134"/>
          </rPr>
          <t xml:space="preserve">
5/25 进口商贴纸 840pcs
条码贴纸 840pcs</t>
        </r>
      </text>
    </comment>
    <comment ref="AI1133" authorId="2">
      <text>
        <r>
          <rPr>
            <b/>
            <sz val="9"/>
            <rFont val="宋体"/>
            <charset val="0"/>
          </rPr>
          <t>石玉珍:</t>
        </r>
        <r>
          <rPr>
            <sz val="9"/>
            <rFont val="宋体"/>
            <charset val="0"/>
          </rPr>
          <t xml:space="preserve">
2801250 6/13 1560pcs</t>
        </r>
      </text>
    </comment>
    <comment ref="AL1133" authorId="0">
      <text>
        <r>
          <rPr>
            <b/>
            <sz val="9"/>
            <rFont val="宋体"/>
            <charset val="134"/>
          </rPr>
          <t>Administrator:</t>
        </r>
        <r>
          <rPr>
            <sz val="9"/>
            <rFont val="宋体"/>
            <charset val="134"/>
          </rPr>
          <t xml:space="preserve">
5/21 多语警语折叠贴纸 1560pcs
5/22 地址贴纸 1560pcs</t>
        </r>
      </text>
    </comment>
    <comment ref="AI1134" authorId="0">
      <text>
        <r>
          <rPr>
            <sz val="9"/>
            <rFont val="宋体"/>
            <charset val="0"/>
          </rPr>
          <t>Administrator:
5/27 2025 logo贴纸 504pcs</t>
        </r>
        <r>
          <rPr>
            <b/>
            <sz val="9"/>
            <rFont val="宋体"/>
            <charset val="0"/>
          </rPr>
          <t xml:space="preserve">
石玉珍:</t>
        </r>
        <r>
          <rPr>
            <sz val="9"/>
            <rFont val="宋体"/>
            <charset val="0"/>
          </rPr>
          <t xml:space="preserve">
登记错误</t>
        </r>
        <r>
          <rPr>
            <b/>
            <sz val="9"/>
            <rFont val="宋体"/>
            <charset val="0"/>
          </rPr>
          <t xml:space="preserve">
石玉珍:</t>
        </r>
        <r>
          <rPr>
            <sz val="9"/>
            <rFont val="宋体"/>
            <charset val="0"/>
          </rPr>
          <t xml:space="preserve">
6/25 2201166 504pcs</t>
        </r>
      </text>
    </comment>
    <comment ref="AL1134" authorId="2">
      <text>
        <r>
          <rPr>
            <b/>
            <sz val="9"/>
            <rFont val="宋体"/>
            <charset val="134"/>
          </rPr>
          <t>石玉珍:</t>
        </r>
        <r>
          <rPr>
            <sz val="9"/>
            <rFont val="宋体"/>
            <charset val="134"/>
          </rPr>
          <t xml:space="preserve">
5//28 德语警告语贴纸 504pcs</t>
        </r>
        <r>
          <rPr>
            <b/>
            <sz val="9"/>
            <rFont val="宋体"/>
            <charset val="134"/>
          </rPr>
          <t xml:space="preserve">
石玉珍:</t>
        </r>
        <r>
          <rPr>
            <sz val="9"/>
            <rFont val="宋体"/>
            <charset val="134"/>
          </rPr>
          <t xml:space="preserve">
5/27 2025 logo贴纸 504pcs</t>
        </r>
      </text>
    </comment>
    <comment ref="AI1135" authorId="2">
      <text>
        <r>
          <rPr>
            <b/>
            <sz val="9"/>
            <rFont val="宋体"/>
            <charset val="0"/>
          </rPr>
          <t>石玉珍:</t>
        </r>
        <r>
          <rPr>
            <sz val="9"/>
            <rFont val="宋体"/>
            <charset val="0"/>
          </rPr>
          <t xml:space="preserve">
6/16 2801272 996pcs</t>
        </r>
      </text>
    </comment>
    <comment ref="AL1135" authorId="0">
      <text>
        <r>
          <rPr>
            <b/>
            <sz val="9"/>
            <rFont val="宋体"/>
            <charset val="134"/>
          </rPr>
          <t>Administrator:</t>
        </r>
        <r>
          <rPr>
            <sz val="9"/>
            <rFont val="宋体"/>
            <charset val="134"/>
          </rPr>
          <t xml:space="preserve">
5/18 客供价格贴纸 996pcs
</t>
        </r>
      </text>
    </comment>
    <comment ref="AI1136" authorId="2">
      <text>
        <r>
          <rPr>
            <b/>
            <sz val="9"/>
            <rFont val="宋体"/>
            <charset val="0"/>
          </rPr>
          <t>石玉珍:</t>
        </r>
        <r>
          <rPr>
            <sz val="9"/>
            <rFont val="宋体"/>
            <charset val="0"/>
          </rPr>
          <t xml:space="preserve">
2801252 6/17 996pcs</t>
        </r>
      </text>
    </comment>
    <comment ref="AL1136" authorId="0">
      <text>
        <r>
          <rPr>
            <b/>
            <sz val="9"/>
            <rFont val="宋体"/>
            <charset val="134"/>
          </rPr>
          <t>Administrator:</t>
        </r>
        <r>
          <rPr>
            <sz val="9"/>
            <rFont val="宋体"/>
            <charset val="134"/>
          </rPr>
          <t xml:space="preserve">
5/18 客供价格贴纸 996pcs
</t>
        </r>
      </text>
    </comment>
    <comment ref="AI1137" authorId="2">
      <text>
        <r>
          <rPr>
            <b/>
            <sz val="9"/>
            <rFont val="宋体"/>
            <charset val="0"/>
          </rPr>
          <t>石玉珍:</t>
        </r>
        <r>
          <rPr>
            <sz val="9"/>
            <rFont val="宋体"/>
            <charset val="0"/>
          </rPr>
          <t xml:space="preserve">
6/16 2801272 600pcs</t>
        </r>
      </text>
    </comment>
    <comment ref="AL1137" authorId="0">
      <text>
        <r>
          <rPr>
            <b/>
            <sz val="9"/>
            <rFont val="宋体"/>
            <charset val="134"/>
          </rPr>
          <t>Administrator:</t>
        </r>
        <r>
          <rPr>
            <sz val="9"/>
            <rFont val="宋体"/>
            <charset val="134"/>
          </rPr>
          <t xml:space="preserve">
5/18 客供价格贴纸 600pcs
</t>
        </r>
      </text>
    </comment>
    <comment ref="AI1138" authorId="2">
      <text>
        <r>
          <rPr>
            <b/>
            <sz val="9"/>
            <rFont val="宋体"/>
            <charset val="0"/>
          </rPr>
          <t>石玉珍:</t>
        </r>
        <r>
          <rPr>
            <sz val="9"/>
            <rFont val="宋体"/>
            <charset val="0"/>
          </rPr>
          <t xml:space="preserve">
2801268 6/15 1200pcs</t>
        </r>
      </text>
    </comment>
    <comment ref="AL1138" authorId="0">
      <text>
        <r>
          <rPr>
            <b/>
            <sz val="9"/>
            <rFont val="宋体"/>
            <charset val="134"/>
          </rPr>
          <t>Administrator:</t>
        </r>
        <r>
          <rPr>
            <sz val="9"/>
            <rFont val="宋体"/>
            <charset val="134"/>
          </rPr>
          <t xml:space="preserve">
5/18 客供价格贴纸 1200pcs
</t>
        </r>
      </text>
    </comment>
    <comment ref="AI1139" authorId="2">
      <text>
        <r>
          <rPr>
            <b/>
            <sz val="9"/>
            <rFont val="宋体"/>
            <charset val="0"/>
          </rPr>
          <t>石玉珍:</t>
        </r>
        <r>
          <rPr>
            <sz val="9"/>
            <rFont val="宋体"/>
            <charset val="0"/>
          </rPr>
          <t xml:space="preserve">
6/16 2801272 1200pcs
</t>
        </r>
      </text>
    </comment>
    <comment ref="AL1139" authorId="0">
      <text>
        <r>
          <rPr>
            <b/>
            <sz val="9"/>
            <rFont val="宋体"/>
            <charset val="134"/>
          </rPr>
          <t>Administrator:</t>
        </r>
        <r>
          <rPr>
            <sz val="9"/>
            <rFont val="宋体"/>
            <charset val="134"/>
          </rPr>
          <t xml:space="preserve">
5/18 客供价格贴纸 1200pcs
</t>
        </r>
      </text>
    </comment>
    <comment ref="AI1140" authorId="2">
      <text>
        <r>
          <rPr>
            <b/>
            <sz val="9"/>
            <rFont val="宋体"/>
            <charset val="0"/>
          </rPr>
          <t>石玉珍:</t>
        </r>
        <r>
          <rPr>
            <sz val="9"/>
            <rFont val="宋体"/>
            <charset val="0"/>
          </rPr>
          <t xml:space="preserve">
2801268 6/15 804pcs</t>
        </r>
      </text>
    </comment>
    <comment ref="AL1140" authorId="0">
      <text>
        <r>
          <rPr>
            <b/>
            <sz val="9"/>
            <rFont val="宋体"/>
            <charset val="134"/>
          </rPr>
          <t>Administrator:</t>
        </r>
        <r>
          <rPr>
            <sz val="9"/>
            <rFont val="宋体"/>
            <charset val="134"/>
          </rPr>
          <t xml:space="preserve">
5/18 客供价格贴纸 804pcs
</t>
        </r>
      </text>
    </comment>
    <comment ref="AI1141" authorId="2">
      <text>
        <r>
          <rPr>
            <b/>
            <sz val="9"/>
            <rFont val="宋体"/>
            <charset val="0"/>
          </rPr>
          <t>石玉珍:</t>
        </r>
        <r>
          <rPr>
            <sz val="9"/>
            <rFont val="宋体"/>
            <charset val="0"/>
          </rPr>
          <t xml:space="preserve">
2801252 6/17 1200pcs</t>
        </r>
      </text>
    </comment>
    <comment ref="AL1141" authorId="0">
      <text>
        <r>
          <rPr>
            <b/>
            <sz val="9"/>
            <rFont val="宋体"/>
            <charset val="134"/>
          </rPr>
          <t>Administrator:</t>
        </r>
        <r>
          <rPr>
            <sz val="9"/>
            <rFont val="宋体"/>
            <charset val="134"/>
          </rPr>
          <t xml:space="preserve">
5/20 Kinderherz 2025 Logo贴纸 1500pcs</t>
        </r>
      </text>
    </comment>
    <comment ref="AI1142" authorId="2">
      <text>
        <r>
          <rPr>
            <b/>
            <sz val="9"/>
            <rFont val="宋体"/>
            <charset val="0"/>
          </rPr>
          <t>石玉珍:</t>
        </r>
        <r>
          <rPr>
            <sz val="9"/>
            <rFont val="宋体"/>
            <charset val="0"/>
          </rPr>
          <t xml:space="preserve">
2801252 6/17 960pcs</t>
        </r>
      </text>
    </comment>
    <comment ref="AL1142" authorId="0">
      <text>
        <r>
          <rPr>
            <sz val="9"/>
            <rFont val="宋体"/>
            <charset val="134"/>
          </rPr>
          <t xml:space="preserve">Administrator:
5/22 客供亚马逊外箱贴 60pcs
</t>
        </r>
        <r>
          <rPr>
            <b/>
            <sz val="9"/>
            <rFont val="宋体"/>
            <charset val="134"/>
          </rPr>
          <t xml:space="preserve">
石玉珍:</t>
        </r>
        <r>
          <rPr>
            <sz val="9"/>
            <rFont val="宋体"/>
            <charset val="134"/>
          </rPr>
          <t xml:space="preserve">
5/28 警语贴纸  960pcs</t>
        </r>
      </text>
    </comment>
    <comment ref="AI1143" authorId="2">
      <text>
        <r>
          <rPr>
            <b/>
            <sz val="9"/>
            <rFont val="宋体"/>
            <charset val="0"/>
          </rPr>
          <t>石玉珍:</t>
        </r>
        <r>
          <rPr>
            <sz val="9"/>
            <rFont val="宋体"/>
            <charset val="0"/>
          </rPr>
          <t xml:space="preserve">
2801250 6/13 360pcs</t>
        </r>
      </text>
    </comment>
    <comment ref="AL1143" authorId="2">
      <text>
        <r>
          <rPr>
            <b/>
            <sz val="9"/>
            <rFont val="宋体"/>
            <charset val="134"/>
          </rPr>
          <t>石玉珍:</t>
        </r>
        <r>
          <rPr>
            <sz val="9"/>
            <rFont val="宋体"/>
            <charset val="134"/>
          </rPr>
          <t xml:space="preserve">
5/28 丹麦瑞典芬兰挪威警告语贴纸 360pcs</t>
        </r>
        <r>
          <rPr>
            <b/>
            <sz val="9"/>
            <rFont val="宋体"/>
            <charset val="134"/>
          </rPr>
          <t xml:space="preserve">
石玉珍:</t>
        </r>
        <r>
          <rPr>
            <sz val="9"/>
            <rFont val="宋体"/>
            <charset val="134"/>
          </rPr>
          <t xml:space="preserve">
大语警告语贴 360pcs
小语警告语贴 1080pcs</t>
        </r>
      </text>
    </comment>
    <comment ref="AI1144" authorId="2">
      <text>
        <r>
          <rPr>
            <b/>
            <sz val="9"/>
            <rFont val="宋体"/>
            <charset val="0"/>
          </rPr>
          <t>石玉珍:</t>
        </r>
        <r>
          <rPr>
            <sz val="9"/>
            <rFont val="宋体"/>
            <charset val="0"/>
          </rPr>
          <t xml:space="preserve">
2801272 6/16 1504pcs</t>
        </r>
      </text>
    </comment>
    <comment ref="AL1144" authorId="2">
      <text>
        <r>
          <rPr>
            <b/>
            <sz val="9"/>
            <rFont val="宋体"/>
            <charset val="134"/>
          </rPr>
          <t>石玉珍:</t>
        </r>
        <r>
          <rPr>
            <sz val="9"/>
            <rFont val="宋体"/>
            <charset val="134"/>
          </rPr>
          <t xml:space="preserve">
5/28 进口商贴纸 1504pcs</t>
        </r>
      </text>
    </comment>
    <comment ref="AI1145" authorId="2">
      <text>
        <r>
          <rPr>
            <b/>
            <sz val="9"/>
            <rFont val="宋体"/>
            <charset val="0"/>
          </rPr>
          <t>石玉珍:</t>
        </r>
        <r>
          <rPr>
            <sz val="9"/>
            <rFont val="宋体"/>
            <charset val="0"/>
          </rPr>
          <t xml:space="preserve">
2801486 6/17 2560pcs</t>
        </r>
      </text>
    </comment>
    <comment ref="AL1145" authorId="0">
      <text>
        <r>
          <rPr>
            <b/>
            <sz val="9"/>
            <rFont val="宋体"/>
            <charset val="134"/>
          </rPr>
          <t>Administrator:</t>
        </r>
        <r>
          <rPr>
            <sz val="9"/>
            <rFont val="宋体"/>
            <charset val="134"/>
          </rPr>
          <t xml:space="preserve">
5/25 客供RFID贴纸25600pc
</t>
        </r>
      </text>
    </comment>
    <comment ref="AI1146" authorId="2">
      <text>
        <r>
          <rPr>
            <b/>
            <sz val="9"/>
            <rFont val="宋体"/>
            <charset val="0"/>
          </rPr>
          <t>石玉珍:</t>
        </r>
        <r>
          <rPr>
            <sz val="9"/>
            <rFont val="宋体"/>
            <charset val="0"/>
          </rPr>
          <t xml:space="preserve">
2801483 6/17 2160pcs</t>
        </r>
        <r>
          <rPr>
            <b/>
            <sz val="9"/>
            <rFont val="宋体"/>
            <charset val="0"/>
          </rPr>
          <t xml:space="preserve">
石玉珍:</t>
        </r>
        <r>
          <rPr>
            <sz val="9"/>
            <rFont val="宋体"/>
            <charset val="0"/>
          </rPr>
          <t xml:space="preserve">
2801485 6/17 5200pcs</t>
        </r>
      </text>
    </comment>
    <comment ref="AL1146" authorId="0">
      <text>
        <r>
          <rPr>
            <b/>
            <sz val="9"/>
            <rFont val="宋体"/>
            <charset val="134"/>
          </rPr>
          <t>Administrator:</t>
        </r>
        <r>
          <rPr>
            <sz val="9"/>
            <rFont val="宋体"/>
            <charset val="134"/>
          </rPr>
          <t xml:space="preserve">
5/25 客供RFID贴纸 7360pc
</t>
        </r>
      </text>
    </comment>
    <comment ref="AI1147" authorId="2">
      <text>
        <r>
          <rPr>
            <b/>
            <sz val="9"/>
            <rFont val="宋体"/>
            <charset val="0"/>
          </rPr>
          <t>石玉珍:</t>
        </r>
        <r>
          <rPr>
            <sz val="9"/>
            <rFont val="宋体"/>
            <charset val="0"/>
          </rPr>
          <t xml:space="preserve">
2801485 5120pcs</t>
        </r>
      </text>
    </comment>
    <comment ref="AL1147" authorId="0">
      <text>
        <r>
          <rPr>
            <b/>
            <sz val="9"/>
            <rFont val="宋体"/>
            <charset val="134"/>
          </rPr>
          <t>Administrator:</t>
        </r>
        <r>
          <rPr>
            <sz val="9"/>
            <rFont val="宋体"/>
            <charset val="134"/>
          </rPr>
          <t xml:space="preserve">
5/25 客供RFID贴纸 5120pc
</t>
        </r>
      </text>
    </comment>
    <comment ref="AI1148" authorId="2">
      <text>
        <r>
          <rPr>
            <b/>
            <sz val="9"/>
            <rFont val="宋体"/>
            <charset val="0"/>
          </rPr>
          <t>石玉珍:</t>
        </r>
        <r>
          <rPr>
            <sz val="9"/>
            <rFont val="宋体"/>
            <charset val="0"/>
          </rPr>
          <t xml:space="preserve">
2801485  6/17 4800pcs</t>
        </r>
      </text>
    </comment>
    <comment ref="AL1148" authorId="0">
      <text>
        <r>
          <rPr>
            <b/>
            <sz val="9"/>
            <rFont val="宋体"/>
            <charset val="134"/>
          </rPr>
          <t>Administrator:</t>
        </r>
        <r>
          <rPr>
            <sz val="9"/>
            <rFont val="宋体"/>
            <charset val="134"/>
          </rPr>
          <t xml:space="preserve">
5/25 客供RFID贴纸 4800pc
</t>
        </r>
      </text>
    </comment>
    <comment ref="AI1150" authorId="2">
      <text>
        <r>
          <rPr>
            <b/>
            <sz val="9"/>
            <rFont val="宋体"/>
            <charset val="0"/>
          </rPr>
          <t>石玉珍:</t>
        </r>
        <r>
          <rPr>
            <sz val="9"/>
            <rFont val="宋体"/>
            <charset val="0"/>
          </rPr>
          <t xml:space="preserve">
2201061 6/18 708pcs</t>
        </r>
        <r>
          <rPr>
            <b/>
            <sz val="9"/>
            <rFont val="宋体"/>
            <charset val="0"/>
          </rPr>
          <t xml:space="preserve">
石玉珍:</t>
        </r>
        <r>
          <rPr>
            <sz val="9"/>
            <rFont val="宋体"/>
            <charset val="0"/>
          </rPr>
          <t xml:space="preserve">
2201095 6/20 12pcs</t>
        </r>
      </text>
    </comment>
    <comment ref="AL1150" authorId="0">
      <text>
        <r>
          <rPr>
            <b/>
            <sz val="9"/>
            <rFont val="宋体"/>
            <charset val="134"/>
          </rPr>
          <t>Administrator:</t>
        </r>
        <r>
          <rPr>
            <sz val="9"/>
            <rFont val="宋体"/>
            <charset val="134"/>
          </rPr>
          <t xml:space="preserve">
5/25 进口商贴纸 720pcs
UPC贴纸 720pcs</t>
        </r>
      </text>
    </comment>
    <comment ref="AI1151" authorId="2">
      <text>
        <r>
          <rPr>
            <b/>
            <sz val="9"/>
            <rFont val="宋体"/>
            <charset val="0"/>
          </rPr>
          <t>石玉珍:</t>
        </r>
        <r>
          <rPr>
            <sz val="9"/>
            <rFont val="宋体"/>
            <charset val="0"/>
          </rPr>
          <t xml:space="preserve">
2801516 6/20 2004pcs</t>
        </r>
      </text>
    </comment>
    <comment ref="AL1151" authorId="2">
      <text>
        <r>
          <rPr>
            <b/>
            <sz val="9"/>
            <rFont val="宋体"/>
            <charset val="0"/>
          </rPr>
          <t>石玉珍:</t>
        </r>
        <r>
          <rPr>
            <sz val="9"/>
            <rFont val="宋体"/>
            <charset val="0"/>
          </rPr>
          <t xml:space="preserve">
6/5 UPC贴纸 2004pcs</t>
        </r>
        <r>
          <rPr>
            <b/>
            <sz val="9"/>
            <rFont val="宋体"/>
            <charset val="0"/>
          </rPr>
          <t xml:space="preserve">
石玉珍:</t>
        </r>
        <r>
          <rPr>
            <sz val="9"/>
            <rFont val="宋体"/>
            <charset val="0"/>
          </rPr>
          <t xml:space="preserve">
6/8 进口商贴纸 2004pcs</t>
        </r>
      </text>
    </comment>
    <comment ref="AL1152" authorId="2">
      <text>
        <r>
          <rPr>
            <b/>
            <sz val="9"/>
            <rFont val="宋体"/>
            <charset val="134"/>
          </rPr>
          <t>石玉珍:</t>
        </r>
        <r>
          <rPr>
            <sz val="9"/>
            <rFont val="宋体"/>
            <charset val="134"/>
          </rPr>
          <t xml:space="preserve">
5/30 亚马逊外箱贴纸 93pcs </t>
        </r>
      </text>
    </comment>
    <comment ref="AI1154" authorId="2">
      <text>
        <r>
          <rPr>
            <b/>
            <sz val="9"/>
            <rFont val="宋体"/>
            <charset val="0"/>
          </rPr>
          <t>石玉珍:</t>
        </r>
        <r>
          <rPr>
            <sz val="9"/>
            <rFont val="宋体"/>
            <charset val="0"/>
          </rPr>
          <t xml:space="preserve">
2201064 6/18 2000pcs</t>
        </r>
      </text>
    </comment>
    <comment ref="AL1154" authorId="2">
      <text>
        <r>
          <rPr>
            <b/>
            <sz val="9"/>
            <rFont val="宋体"/>
            <charset val="134"/>
          </rPr>
          <t>石玉珍:</t>
        </r>
        <r>
          <rPr>
            <sz val="9"/>
            <rFont val="宋体"/>
            <charset val="134"/>
          </rPr>
          <t xml:space="preserve">
5/28 客人警语贴纸 4000pcs</t>
        </r>
        <r>
          <rPr>
            <b/>
            <sz val="9"/>
            <rFont val="宋体"/>
            <charset val="134"/>
          </rPr>
          <t xml:space="preserve">
石玉珍:</t>
        </r>
        <r>
          <rPr>
            <sz val="9"/>
            <rFont val="宋体"/>
            <charset val="134"/>
          </rPr>
          <t xml:space="preserve">
纸袋希腊警语贴纸 8000pcs</t>
        </r>
      </text>
    </comment>
    <comment ref="AI1155" authorId="2">
      <text>
        <r>
          <rPr>
            <b/>
            <sz val="9"/>
            <rFont val="宋体"/>
            <charset val="0"/>
          </rPr>
          <t>石玉珍:</t>
        </r>
        <r>
          <rPr>
            <sz val="9"/>
            <rFont val="宋体"/>
            <charset val="0"/>
          </rPr>
          <t xml:space="preserve">
2801516 6/20 544pcs
</t>
        </r>
      </text>
    </comment>
    <comment ref="AL1155" authorId="2">
      <text>
        <r>
          <rPr>
            <b/>
            <sz val="9"/>
            <rFont val="宋体"/>
            <charset val="0"/>
          </rPr>
          <t>石玉珍:</t>
        </r>
        <r>
          <rPr>
            <sz val="9"/>
            <rFont val="宋体"/>
            <charset val="0"/>
          </rPr>
          <t xml:space="preserve">
6/1 客户贴纸 544pcs
额外收藏指南贴纸 544pcs
警告语贴纸 544pcs</t>
        </r>
        <r>
          <rPr>
            <b/>
            <sz val="9"/>
            <rFont val="宋体"/>
            <charset val="0"/>
          </rPr>
          <t xml:space="preserve">
石玉珍:</t>
        </r>
        <r>
          <rPr>
            <sz val="9"/>
            <rFont val="宋体"/>
            <charset val="0"/>
          </rPr>
          <t xml:space="preserve">
6/8 果冻贴纸 544pcs</t>
        </r>
        <r>
          <rPr>
            <b/>
            <sz val="9"/>
            <rFont val="宋体"/>
            <charset val="0"/>
          </rPr>
          <t xml:space="preserve">
石玉珍:</t>
        </r>
        <r>
          <rPr>
            <sz val="9"/>
            <rFont val="宋体"/>
            <charset val="0"/>
          </rPr>
          <t xml:space="preserve">
6/10 家乐福外箱贴纸 136pcs</t>
        </r>
      </text>
    </comment>
    <comment ref="AI1156" authorId="2">
      <text>
        <r>
          <rPr>
            <b/>
            <sz val="9"/>
            <rFont val="宋体"/>
            <charset val="0"/>
          </rPr>
          <t>石玉珍:</t>
        </r>
        <r>
          <rPr>
            <sz val="9"/>
            <rFont val="宋体"/>
            <charset val="0"/>
          </rPr>
          <t xml:space="preserve">
1601943 6/17 12740pcs</t>
        </r>
      </text>
    </comment>
    <comment ref="AL1156" authorId="2">
      <text>
        <r>
          <rPr>
            <b/>
            <sz val="9"/>
            <rFont val="宋体"/>
            <charset val="0"/>
          </rPr>
          <t>石玉珍:</t>
        </r>
        <r>
          <rPr>
            <sz val="9"/>
            <rFont val="宋体"/>
            <charset val="0"/>
          </rPr>
          <t xml:space="preserve">
6/16 客供外箱条码贴纸 3209pcs</t>
        </r>
      </text>
    </comment>
    <comment ref="AI1157" authorId="2">
      <text>
        <r>
          <rPr>
            <b/>
            <sz val="9"/>
            <rFont val="宋体"/>
            <charset val="0"/>
          </rPr>
          <t>石玉珍:</t>
        </r>
        <r>
          <rPr>
            <sz val="9"/>
            <rFont val="宋体"/>
            <charset val="0"/>
          </rPr>
          <t xml:space="preserve">
2801511 6/18 1000pcs</t>
        </r>
      </text>
    </comment>
    <comment ref="AI1158" authorId="2">
      <text>
        <r>
          <rPr>
            <b/>
            <sz val="9"/>
            <rFont val="宋体"/>
            <charset val="0"/>
          </rPr>
          <t>石玉珍:</t>
        </r>
        <r>
          <rPr>
            <sz val="9"/>
            <rFont val="宋体"/>
            <charset val="0"/>
          </rPr>
          <t xml:space="preserve">
2801516 6/20 160pcs</t>
        </r>
      </text>
    </comment>
    <comment ref="AL1158" authorId="2">
      <text>
        <r>
          <rPr>
            <b/>
            <sz val="9"/>
            <rFont val="宋体"/>
            <charset val="0"/>
          </rPr>
          <t>石玉珍:</t>
        </r>
        <r>
          <rPr>
            <sz val="9"/>
            <rFont val="宋体"/>
            <charset val="0"/>
          </rPr>
          <t xml:space="preserve">
6/8 果冻贴纸 160pcs</t>
        </r>
        <r>
          <rPr>
            <b/>
            <sz val="9"/>
            <rFont val="宋体"/>
            <charset val="0"/>
          </rPr>
          <t xml:space="preserve">
石玉珍:</t>
        </r>
        <r>
          <rPr>
            <sz val="9"/>
            <rFont val="宋体"/>
            <charset val="0"/>
          </rPr>
          <t xml:space="preserve">
6/8 客户贴纸 160pcs</t>
        </r>
        <r>
          <rPr>
            <b/>
            <sz val="9"/>
            <rFont val="宋体"/>
            <charset val="0"/>
          </rPr>
          <t xml:space="preserve">
石玉珍:</t>
        </r>
        <r>
          <rPr>
            <sz val="9"/>
            <rFont val="宋体"/>
            <charset val="0"/>
          </rPr>
          <t xml:space="preserve">
额外收藏指南贴纸 160pcs</t>
        </r>
        <r>
          <rPr>
            <b/>
            <sz val="9"/>
            <rFont val="宋体"/>
            <charset val="0"/>
          </rPr>
          <t xml:space="preserve">
石玉珍:</t>
        </r>
        <r>
          <rPr>
            <sz val="9"/>
            <rFont val="宋体"/>
            <charset val="0"/>
          </rPr>
          <t xml:space="preserve">
警告语贴纸</t>
        </r>
        <r>
          <rPr>
            <b/>
            <sz val="9"/>
            <rFont val="宋体"/>
            <charset val="0"/>
          </rPr>
          <t xml:space="preserve">
石玉珍:</t>
        </r>
        <r>
          <rPr>
            <sz val="9"/>
            <rFont val="宋体"/>
            <charset val="0"/>
          </rPr>
          <t xml:space="preserve">
6/10 家乐福外箱贴纸 40pcs</t>
        </r>
      </text>
    </comment>
    <comment ref="AI1159" authorId="2">
      <text>
        <r>
          <rPr>
            <b/>
            <sz val="9"/>
            <rFont val="宋体"/>
            <charset val="0"/>
          </rPr>
          <t>石玉珍:</t>
        </r>
        <r>
          <rPr>
            <sz val="9"/>
            <rFont val="宋体"/>
            <charset val="0"/>
          </rPr>
          <t xml:space="preserve">
2801486 6/17 2880pcs</t>
        </r>
      </text>
    </comment>
    <comment ref="AL1159" authorId="0">
      <text>
        <r>
          <rPr>
            <b/>
            <sz val="9"/>
            <rFont val="宋体"/>
            <charset val="134"/>
          </rPr>
          <t>Administrator:</t>
        </r>
        <r>
          <rPr>
            <sz val="9"/>
            <rFont val="宋体"/>
            <charset val="134"/>
          </rPr>
          <t xml:space="preserve">
5/25 客供RFID贴纸 2880pc</t>
        </r>
      </text>
    </comment>
    <comment ref="AI1160" authorId="2">
      <text>
        <r>
          <rPr>
            <b/>
            <sz val="9"/>
            <rFont val="宋体"/>
            <charset val="0"/>
          </rPr>
          <t>石玉珍:</t>
        </r>
        <r>
          <rPr>
            <sz val="9"/>
            <rFont val="宋体"/>
            <charset val="0"/>
          </rPr>
          <t xml:space="preserve">
2201108 6/22 996pcs</t>
        </r>
      </text>
    </comment>
    <comment ref="AL1160" authorId="2">
      <text>
        <r>
          <rPr>
            <b/>
            <sz val="9"/>
            <rFont val="宋体"/>
            <charset val="0"/>
          </rPr>
          <t>石玉珍:</t>
        </r>
        <r>
          <rPr>
            <sz val="9"/>
            <rFont val="宋体"/>
            <charset val="0"/>
          </rPr>
          <t xml:space="preserve">
6/8 进口商贴纸 996pcs
客户款号的EAN条码贴纸 996pcs
</t>
        </r>
      </text>
    </comment>
    <comment ref="AI1161" authorId="2">
      <text>
        <r>
          <rPr>
            <b/>
            <sz val="9"/>
            <rFont val="宋体"/>
            <charset val="0"/>
          </rPr>
          <t>石玉珍:</t>
        </r>
        <r>
          <rPr>
            <sz val="9"/>
            <rFont val="宋体"/>
            <charset val="0"/>
          </rPr>
          <t xml:space="preserve">
2801524 6/22 512pcs</t>
        </r>
      </text>
    </comment>
    <comment ref="AL1161" authorId="0">
      <text>
        <r>
          <rPr>
            <sz val="9"/>
            <rFont val="宋体"/>
            <charset val="0"/>
          </rPr>
          <t>Administrator:
5/21 客供防盗贴纸 512pcs</t>
        </r>
        <r>
          <rPr>
            <b/>
            <sz val="9"/>
            <rFont val="宋体"/>
            <charset val="0"/>
          </rPr>
          <t xml:space="preserve">
石玉珍:</t>
        </r>
        <r>
          <rPr>
            <sz val="9"/>
            <rFont val="宋体"/>
            <charset val="0"/>
          </rPr>
          <t xml:space="preserve">
6/9 易撕价格贴纸 512pcs</t>
        </r>
      </text>
    </comment>
    <comment ref="AI1162" authorId="2">
      <text>
        <r>
          <rPr>
            <b/>
            <sz val="9"/>
            <rFont val="宋体"/>
            <charset val="0"/>
          </rPr>
          <t>石玉珍:</t>
        </r>
        <r>
          <rPr>
            <sz val="9"/>
            <rFont val="宋体"/>
            <charset val="0"/>
          </rPr>
          <t xml:space="preserve">
2801516 6/20 120pcs</t>
        </r>
      </text>
    </comment>
    <comment ref="AL1162" authorId="2">
      <text>
        <r>
          <rPr>
            <b/>
            <sz val="9"/>
            <rFont val="宋体"/>
            <charset val="0"/>
          </rPr>
          <t>石玉珍:</t>
        </r>
        <r>
          <rPr>
            <sz val="9"/>
            <rFont val="宋体"/>
            <charset val="0"/>
          </rPr>
          <t xml:space="preserve">
6/9 UPC贴纸 120psc</t>
        </r>
      </text>
    </comment>
    <comment ref="AI1163" authorId="2">
      <text>
        <r>
          <rPr>
            <b/>
            <sz val="9"/>
            <rFont val="宋体"/>
            <charset val="0"/>
          </rPr>
          <t>石玉珍:</t>
        </r>
        <r>
          <rPr>
            <sz val="9"/>
            <rFont val="宋体"/>
            <charset val="0"/>
          </rPr>
          <t xml:space="preserve">
2801520 6/22 4000pcs</t>
        </r>
      </text>
    </comment>
    <comment ref="AI1164" authorId="2">
      <text>
        <r>
          <rPr>
            <b/>
            <sz val="9"/>
            <rFont val="宋体"/>
            <charset val="0"/>
          </rPr>
          <t>石玉珍:</t>
        </r>
        <r>
          <rPr>
            <sz val="9"/>
            <rFont val="宋体"/>
            <charset val="0"/>
          </rPr>
          <t xml:space="preserve">
2801520 6/22 4000pcs</t>
        </r>
      </text>
    </comment>
    <comment ref="AI1165" authorId="2">
      <text>
        <r>
          <rPr>
            <b/>
            <sz val="9"/>
            <rFont val="宋体"/>
            <charset val="0"/>
          </rPr>
          <t>石玉珍:</t>
        </r>
        <r>
          <rPr>
            <sz val="9"/>
            <rFont val="宋体"/>
            <charset val="0"/>
          </rPr>
          <t xml:space="preserve">
2801524 6/22 300pcs</t>
        </r>
      </text>
    </comment>
    <comment ref="AL1165" authorId="2">
      <text>
        <r>
          <rPr>
            <b/>
            <sz val="9"/>
            <rFont val="宋体"/>
            <charset val="134"/>
          </rPr>
          <t>石玉珍:</t>
        </r>
        <r>
          <rPr>
            <sz val="9"/>
            <rFont val="宋体"/>
            <charset val="134"/>
          </rPr>
          <t xml:space="preserve">
5/29 挪威语警语贴纸 300pcs</t>
        </r>
      </text>
    </comment>
    <comment ref="AI1167" authorId="2">
      <text>
        <r>
          <rPr>
            <b/>
            <sz val="9"/>
            <rFont val="宋体"/>
            <charset val="0"/>
          </rPr>
          <t>石玉珍:</t>
        </r>
        <r>
          <rPr>
            <sz val="9"/>
            <rFont val="宋体"/>
            <charset val="0"/>
          </rPr>
          <t xml:space="preserve">
2801520 6/22 3570pcs</t>
        </r>
        <r>
          <rPr>
            <b/>
            <sz val="9"/>
            <rFont val="宋体"/>
            <charset val="0"/>
          </rPr>
          <t xml:space="preserve">
石玉珍:</t>
        </r>
        <r>
          <rPr>
            <sz val="9"/>
            <rFont val="宋体"/>
            <charset val="0"/>
          </rPr>
          <t xml:space="preserve">
2801524 6/22 30pcs</t>
        </r>
      </text>
    </comment>
    <comment ref="AL1167" authorId="2">
      <text>
        <r>
          <rPr>
            <b/>
            <sz val="9"/>
            <rFont val="宋体"/>
            <charset val="0"/>
          </rPr>
          <t>石玉珍:</t>
        </r>
        <r>
          <rPr>
            <sz val="9"/>
            <rFont val="宋体"/>
            <charset val="0"/>
          </rPr>
          <t xml:space="preserve">
5/28 3C中文贴纸  3600pcs
5/29 防窜码贴纸 1800pcs
5/28 防窜码贴纸 3600pcs</t>
        </r>
        <r>
          <rPr>
            <b/>
            <sz val="9"/>
            <rFont val="宋体"/>
            <charset val="0"/>
          </rPr>
          <t xml:space="preserve">
石玉珍:</t>
        </r>
        <r>
          <rPr>
            <sz val="9"/>
            <rFont val="宋体"/>
            <charset val="0"/>
          </rPr>
          <t xml:space="preserve">
挪用到68503这个单 5400pcs</t>
        </r>
      </text>
    </comment>
    <comment ref="AI1168" authorId="2">
      <text>
        <r>
          <rPr>
            <b/>
            <sz val="9"/>
            <rFont val="宋体"/>
            <charset val="0"/>
          </rPr>
          <t>石玉珍:</t>
        </r>
        <r>
          <rPr>
            <sz val="9"/>
            <rFont val="宋体"/>
            <charset val="0"/>
          </rPr>
          <t xml:space="preserve">
2801533 6/23 512pcs</t>
        </r>
      </text>
    </comment>
    <comment ref="AL1168" authorId="2">
      <text>
        <r>
          <rPr>
            <b/>
            <sz val="9"/>
            <rFont val="宋体"/>
            <charset val="134"/>
          </rPr>
          <t>石玉珍:</t>
        </r>
        <r>
          <rPr>
            <sz val="9"/>
            <rFont val="宋体"/>
            <charset val="134"/>
          </rPr>
          <t xml:space="preserve">
6/1 警语贴纸 512pcs</t>
        </r>
      </text>
    </comment>
    <comment ref="AI1169" authorId="2">
      <text>
        <r>
          <rPr>
            <b/>
            <sz val="9"/>
            <rFont val="宋体"/>
            <charset val="0"/>
          </rPr>
          <t>石玉珍:</t>
        </r>
        <r>
          <rPr>
            <sz val="9"/>
            <rFont val="宋体"/>
            <charset val="0"/>
          </rPr>
          <t xml:space="preserve">
2801533 6/23 960pcs</t>
        </r>
      </text>
    </comment>
    <comment ref="AL1169" authorId="2">
      <text>
        <r>
          <rPr>
            <b/>
            <sz val="9"/>
            <rFont val="宋体"/>
            <charset val="0"/>
          </rPr>
          <t>石玉珍:</t>
        </r>
        <r>
          <rPr>
            <sz val="9"/>
            <rFont val="宋体"/>
            <charset val="0"/>
          </rPr>
          <t xml:space="preserve">
6/9 UPC贴纸 960psc</t>
        </r>
      </text>
    </comment>
    <comment ref="AI1171" authorId="2">
      <text>
        <r>
          <rPr>
            <b/>
            <sz val="9"/>
            <rFont val="宋体"/>
            <charset val="0"/>
          </rPr>
          <t>石玉珍:</t>
        </r>
        <r>
          <rPr>
            <sz val="9"/>
            <rFont val="宋体"/>
            <charset val="0"/>
          </rPr>
          <t xml:space="preserve">
2802543 6/25 15680pcs</t>
        </r>
        <r>
          <rPr>
            <b/>
            <sz val="9"/>
            <rFont val="宋体"/>
            <charset val="0"/>
          </rPr>
          <t xml:space="preserve">
石玉珍:</t>
        </r>
        <r>
          <rPr>
            <sz val="9"/>
            <rFont val="宋体"/>
            <charset val="0"/>
          </rPr>
          <t xml:space="preserve">
2802544 6/25 7420pcs</t>
        </r>
        <r>
          <rPr>
            <b/>
            <sz val="9"/>
            <rFont val="宋体"/>
            <charset val="0"/>
          </rPr>
          <t xml:space="preserve">
石玉珍:</t>
        </r>
        <r>
          <rPr>
            <sz val="9"/>
            <rFont val="宋体"/>
            <charset val="0"/>
          </rPr>
          <t xml:space="preserve">
2802567 6/25 5040pcs</t>
        </r>
        <r>
          <rPr>
            <b/>
            <sz val="9"/>
            <rFont val="宋体"/>
            <charset val="0"/>
          </rPr>
          <t xml:space="preserve">
石玉珍:</t>
        </r>
        <r>
          <rPr>
            <sz val="9"/>
            <rFont val="宋体"/>
            <charset val="0"/>
          </rPr>
          <t xml:space="preserve">
2802568 6/26 12160pcs</t>
        </r>
        <r>
          <rPr>
            <b/>
            <sz val="9"/>
            <rFont val="宋体"/>
            <charset val="0"/>
          </rPr>
          <t xml:space="preserve">
石玉珍:</t>
        </r>
        <r>
          <rPr>
            <sz val="9"/>
            <rFont val="宋体"/>
            <charset val="0"/>
          </rPr>
          <t xml:space="preserve">
2802571 6/26 14700pcs</t>
        </r>
      </text>
    </comment>
    <comment ref="AL1171" authorId="2">
      <text>
        <r>
          <rPr>
            <b/>
            <sz val="9"/>
            <rFont val="宋体"/>
            <charset val="0"/>
          </rPr>
          <t>石玉珍:</t>
        </r>
        <r>
          <rPr>
            <sz val="9"/>
            <rFont val="宋体"/>
            <charset val="0"/>
          </rPr>
          <t xml:space="preserve">
6/8 客供外箱条码贴纸 13750pcs</t>
        </r>
      </text>
    </comment>
    <comment ref="AI1172" authorId="2">
      <text>
        <r>
          <rPr>
            <b/>
            <sz val="9"/>
            <rFont val="宋体"/>
            <charset val="0"/>
          </rPr>
          <t>石玉珍:</t>
        </r>
        <r>
          <rPr>
            <sz val="9"/>
            <rFont val="宋体"/>
            <charset val="0"/>
          </rPr>
          <t xml:space="preserve">
2802572 6/26 5760pcs</t>
        </r>
        <r>
          <rPr>
            <b/>
            <sz val="9"/>
            <rFont val="宋体"/>
            <charset val="0"/>
          </rPr>
          <t xml:space="preserve">
石玉珍:</t>
        </r>
        <r>
          <rPr>
            <sz val="9"/>
            <rFont val="宋体"/>
            <charset val="0"/>
          </rPr>
          <t xml:space="preserve">
2802576 6/26 10080pcs</t>
        </r>
        <r>
          <rPr>
            <b/>
            <sz val="9"/>
            <rFont val="宋体"/>
            <charset val="0"/>
          </rPr>
          <t xml:space="preserve">
石玉珍:</t>
        </r>
        <r>
          <rPr>
            <sz val="9"/>
            <rFont val="宋体"/>
            <charset val="0"/>
          </rPr>
          <t xml:space="preserve">
2802585 6/27 6040pcs</t>
        </r>
        <r>
          <rPr>
            <b/>
            <sz val="9"/>
            <rFont val="宋体"/>
            <charset val="0"/>
          </rPr>
          <t xml:space="preserve">
石玉珍:</t>
        </r>
        <r>
          <rPr>
            <sz val="9"/>
            <rFont val="宋体"/>
            <charset val="0"/>
          </rPr>
          <t xml:space="preserve">
2802582 6/27 16560pcs</t>
        </r>
        <r>
          <rPr>
            <b/>
            <sz val="9"/>
            <rFont val="宋体"/>
            <charset val="0"/>
          </rPr>
          <t xml:space="preserve">
石玉珍:</t>
        </r>
        <r>
          <rPr>
            <sz val="9"/>
            <rFont val="宋体"/>
            <charset val="0"/>
          </rPr>
          <t xml:space="preserve">
2802580 6/27 16560 pcs</t>
        </r>
      </text>
    </comment>
    <comment ref="AL1172" authorId="2">
      <text>
        <r>
          <rPr>
            <b/>
            <sz val="9"/>
            <rFont val="宋体"/>
            <charset val="0"/>
          </rPr>
          <t>石玉珍:</t>
        </r>
        <r>
          <rPr>
            <sz val="9"/>
            <rFont val="宋体"/>
            <charset val="0"/>
          </rPr>
          <t xml:space="preserve">
6/8 客供外箱条码贴纸  13750pcs</t>
        </r>
      </text>
    </comment>
    <comment ref="AI1173" authorId="2">
      <text>
        <r>
          <rPr>
            <b/>
            <sz val="9"/>
            <rFont val="宋体"/>
            <charset val="0"/>
          </rPr>
          <t>石玉珍:</t>
        </r>
        <r>
          <rPr>
            <sz val="9"/>
            <rFont val="宋体"/>
            <charset val="0"/>
          </rPr>
          <t xml:space="preserve">
2801544 6/26 4608pcs</t>
        </r>
      </text>
    </comment>
    <comment ref="AL1173" authorId="2">
      <text>
        <r>
          <rPr>
            <b/>
            <sz val="9"/>
            <rFont val="宋体"/>
            <charset val="0"/>
          </rPr>
          <t>石玉珍:</t>
        </r>
        <r>
          <rPr>
            <sz val="9"/>
            <rFont val="宋体"/>
            <charset val="0"/>
          </rPr>
          <t xml:space="preserve">
5/29 UPC贴纸 4608pcs</t>
        </r>
        <r>
          <rPr>
            <b/>
            <sz val="9"/>
            <rFont val="宋体"/>
            <charset val="0"/>
          </rPr>
          <t xml:space="preserve">
石玉珍:</t>
        </r>
        <r>
          <rPr>
            <sz val="9"/>
            <rFont val="宋体"/>
            <charset val="0"/>
          </rPr>
          <t xml:space="preserve">
6/4 多语可折叠警告语贴纸 4608pcs</t>
        </r>
      </text>
    </comment>
    <comment ref="AI1174" authorId="2">
      <text>
        <r>
          <rPr>
            <b/>
            <sz val="9"/>
            <rFont val="宋体"/>
            <charset val="0"/>
          </rPr>
          <t>石玉珍:</t>
        </r>
        <r>
          <rPr>
            <sz val="9"/>
            <rFont val="宋体"/>
            <charset val="0"/>
          </rPr>
          <t xml:space="preserve">
2801544 6/26 816pcs</t>
        </r>
      </text>
    </comment>
    <comment ref="AL1174" authorId="2">
      <text>
        <r>
          <rPr>
            <b/>
            <sz val="9"/>
            <rFont val="宋体"/>
            <charset val="0"/>
          </rPr>
          <t>石玉珍:</t>
        </r>
        <r>
          <rPr>
            <sz val="9"/>
            <rFont val="宋体"/>
            <charset val="0"/>
          </rPr>
          <t xml:space="preserve">
5/29 UPC贴纸 816pcs</t>
        </r>
        <r>
          <rPr>
            <b/>
            <sz val="9"/>
            <rFont val="宋体"/>
            <charset val="0"/>
          </rPr>
          <t xml:space="preserve">
石玉珍:</t>
        </r>
        <r>
          <rPr>
            <sz val="9"/>
            <rFont val="宋体"/>
            <charset val="0"/>
          </rPr>
          <t xml:space="preserve">
5/30 亚马逊外箱贴纸 68pcs</t>
        </r>
        <r>
          <rPr>
            <b/>
            <sz val="9"/>
            <rFont val="宋体"/>
            <charset val="0"/>
          </rPr>
          <t xml:space="preserve">
石玉珍:</t>
        </r>
        <r>
          <rPr>
            <sz val="9"/>
            <rFont val="宋体"/>
            <charset val="0"/>
          </rPr>
          <t xml:space="preserve">
6/4 多语可折叠警告语贴纸 816pcs</t>
        </r>
      </text>
    </comment>
    <comment ref="AI1175" authorId="2">
      <text>
        <r>
          <rPr>
            <b/>
            <sz val="9"/>
            <rFont val="宋体"/>
            <charset val="0"/>
          </rPr>
          <t>石玉珍:</t>
        </r>
        <r>
          <rPr>
            <sz val="9"/>
            <rFont val="宋体"/>
            <charset val="0"/>
          </rPr>
          <t xml:space="preserve">
2801548 6/27 1608pcs</t>
        </r>
      </text>
    </comment>
    <comment ref="AL1175" authorId="2">
      <text>
        <r>
          <rPr>
            <b/>
            <sz val="9"/>
            <rFont val="宋体"/>
            <charset val="134"/>
          </rPr>
          <t>石玉珍:</t>
        </r>
        <r>
          <rPr>
            <sz val="9"/>
            <rFont val="宋体"/>
            <charset val="134"/>
          </rPr>
          <t xml:space="preserve">
5/30 进口商贴纸 1608pcs</t>
        </r>
        <r>
          <rPr>
            <b/>
            <sz val="9"/>
            <rFont val="宋体"/>
            <charset val="134"/>
          </rPr>
          <t xml:space="preserve">
石玉珍:</t>
        </r>
        <r>
          <rPr>
            <sz val="9"/>
            <rFont val="宋体"/>
            <charset val="134"/>
          </rPr>
          <t xml:space="preserve">
UPC贴纸 1608pcs</t>
        </r>
      </text>
    </comment>
    <comment ref="AI1176" authorId="2">
      <text>
        <r>
          <rPr>
            <b/>
            <sz val="9"/>
            <rFont val="宋体"/>
            <charset val="0"/>
          </rPr>
          <t>石玉珍:</t>
        </r>
        <r>
          <rPr>
            <sz val="9"/>
            <rFont val="宋体"/>
            <charset val="0"/>
          </rPr>
          <t xml:space="preserve">
2801548 6/27 1500pcs</t>
        </r>
      </text>
    </comment>
    <comment ref="AL1176" authorId="2">
      <text>
        <r>
          <rPr>
            <b/>
            <sz val="9"/>
            <rFont val="宋体"/>
            <charset val="0"/>
          </rPr>
          <t>石玉珍:</t>
        </r>
        <r>
          <rPr>
            <sz val="9"/>
            <rFont val="宋体"/>
            <charset val="0"/>
          </rPr>
          <t xml:space="preserve">
6/3 大语警告语贴 1500pcs
小语警告语贴 6000pcs
 丹麦瑞典芬兰挪威警告语贴纸 1500pcs</t>
        </r>
      </text>
    </comment>
    <comment ref="AI1177" authorId="2">
      <text>
        <r>
          <rPr>
            <b/>
            <sz val="9"/>
            <rFont val="宋体"/>
            <charset val="0"/>
          </rPr>
          <t>石玉珍:</t>
        </r>
        <r>
          <rPr>
            <sz val="9"/>
            <rFont val="宋体"/>
            <charset val="0"/>
          </rPr>
          <t xml:space="preserve">
2801541 6/25 3240pcs</t>
        </r>
      </text>
    </comment>
    <comment ref="AL1177" authorId="2">
      <text>
        <r>
          <rPr>
            <b/>
            <sz val="9"/>
            <rFont val="宋体"/>
            <charset val="0"/>
          </rPr>
          <t>石玉珍:</t>
        </r>
        <r>
          <rPr>
            <sz val="9"/>
            <rFont val="宋体"/>
            <charset val="0"/>
          </rPr>
          <t xml:space="preserve">
6/13 外箱贴纸 270pcs</t>
        </r>
        <r>
          <rPr>
            <b/>
            <sz val="9"/>
            <rFont val="宋体"/>
            <charset val="0"/>
          </rPr>
          <t xml:space="preserve">
石玉珍:</t>
        </r>
        <r>
          <rPr>
            <sz val="9"/>
            <rFont val="宋体"/>
            <charset val="0"/>
          </rPr>
          <t xml:space="preserve">
6/15 保证书 3240pcs</t>
        </r>
      </text>
    </comment>
    <comment ref="AL1179" authorId="2">
      <text>
        <r>
          <rPr>
            <b/>
            <sz val="9"/>
            <rFont val="宋体"/>
            <charset val="0"/>
          </rPr>
          <t>石玉珍:</t>
        </r>
        <r>
          <rPr>
            <sz val="9"/>
            <rFont val="宋体"/>
            <charset val="0"/>
          </rPr>
          <t xml:space="preserve">
6/12 UPC贴纸 3240pcs </t>
        </r>
      </text>
    </comment>
    <comment ref="AI1180" authorId="2">
      <text>
        <r>
          <rPr>
            <b/>
            <sz val="9"/>
            <rFont val="宋体"/>
            <charset val="0"/>
          </rPr>
          <t>石玉珍:</t>
        </r>
        <r>
          <rPr>
            <sz val="9"/>
            <rFont val="宋体"/>
            <charset val="0"/>
          </rPr>
          <t xml:space="preserve">
2801552 6/27 36pcs</t>
        </r>
      </text>
    </comment>
    <comment ref="AI1181" authorId="2">
      <text>
        <r>
          <rPr>
            <b/>
            <sz val="9"/>
            <rFont val="宋体"/>
            <charset val="0"/>
          </rPr>
          <t>石玉珍:</t>
        </r>
        <r>
          <rPr>
            <sz val="9"/>
            <rFont val="宋体"/>
            <charset val="0"/>
          </rPr>
          <t xml:space="preserve">
 2201007 6/30 300pcs</t>
        </r>
      </text>
    </comment>
    <comment ref="AL1181" authorId="2">
      <text>
        <r>
          <rPr>
            <b/>
            <sz val="9"/>
            <rFont val="宋体"/>
            <charset val="0"/>
          </rPr>
          <t>石玉珍:</t>
        </r>
        <r>
          <rPr>
            <sz val="9"/>
            <rFont val="宋体"/>
            <charset val="0"/>
          </rPr>
          <t xml:space="preserve">
6/2 进口商贴纸  300pcs</t>
        </r>
        <r>
          <rPr>
            <b/>
            <sz val="9"/>
            <rFont val="宋体"/>
            <charset val="0"/>
          </rPr>
          <t xml:space="preserve">
石玉珍:</t>
        </r>
        <r>
          <rPr>
            <sz val="9"/>
            <rFont val="宋体"/>
            <charset val="0"/>
          </rPr>
          <t xml:space="preserve">
产品贴纸 300pcs</t>
        </r>
        <r>
          <rPr>
            <b/>
            <sz val="9"/>
            <rFont val="宋体"/>
            <charset val="0"/>
          </rPr>
          <t xml:space="preserve">
石玉珍:</t>
        </r>
        <r>
          <rPr>
            <sz val="9"/>
            <rFont val="宋体"/>
            <charset val="0"/>
          </rPr>
          <t xml:space="preserve">
黑白weee说明书纸 300pcs</t>
        </r>
      </text>
    </comment>
    <comment ref="AI1182" authorId="2">
      <text>
        <r>
          <rPr>
            <b/>
            <sz val="9"/>
            <rFont val="宋体"/>
            <charset val="0"/>
          </rPr>
          <t>石玉珍:</t>
        </r>
        <r>
          <rPr>
            <sz val="9"/>
            <rFont val="宋体"/>
            <charset val="0"/>
          </rPr>
          <t xml:space="preserve">
2200961 6/27 3588pcs</t>
        </r>
        <r>
          <rPr>
            <b/>
            <sz val="9"/>
            <rFont val="宋体"/>
            <charset val="0"/>
          </rPr>
          <t xml:space="preserve">
石玉珍:</t>
        </r>
        <r>
          <rPr>
            <sz val="9"/>
            <rFont val="宋体"/>
            <charset val="0"/>
          </rPr>
          <t xml:space="preserve">
2200975 6/29 12pcs</t>
        </r>
      </text>
    </comment>
    <comment ref="AL1182" authorId="0">
      <text>
        <r>
          <rPr>
            <b/>
            <sz val="9"/>
            <rFont val="宋体"/>
            <charset val="134"/>
          </rPr>
          <t>Administrator:</t>
        </r>
        <r>
          <rPr>
            <sz val="9"/>
            <rFont val="宋体"/>
            <charset val="134"/>
          </rPr>
          <t xml:space="preserve">
5/14 客供价格贴纸 3780pcs</t>
        </r>
      </text>
    </comment>
    <comment ref="AI1183" authorId="2">
      <text>
        <r>
          <rPr>
            <b/>
            <sz val="9"/>
            <rFont val="宋体"/>
            <charset val="0"/>
          </rPr>
          <t>石玉珍:</t>
        </r>
        <r>
          <rPr>
            <sz val="9"/>
            <rFont val="宋体"/>
            <charset val="0"/>
          </rPr>
          <t xml:space="preserve">
2200961 6/27 504pcs</t>
        </r>
      </text>
    </comment>
    <comment ref="AI1184" authorId="2">
      <text>
        <r>
          <rPr>
            <b/>
            <sz val="9"/>
            <rFont val="宋体"/>
            <charset val="0"/>
          </rPr>
          <t>石玉珍:</t>
        </r>
        <r>
          <rPr>
            <sz val="9"/>
            <rFont val="宋体"/>
            <charset val="0"/>
          </rPr>
          <t xml:space="preserve">
 2201007 6/30 300pcs</t>
        </r>
      </text>
    </comment>
    <comment ref="AL1184" authorId="2">
      <text>
        <r>
          <rPr>
            <b/>
            <sz val="9"/>
            <rFont val="宋体"/>
            <charset val="0"/>
          </rPr>
          <t>石玉珍:</t>
        </r>
        <r>
          <rPr>
            <sz val="9"/>
            <rFont val="宋体"/>
            <charset val="0"/>
          </rPr>
          <t xml:space="preserve">
6/10 警告语贴纸4 300pcs
大语警告语贴5 300pcs
小语警告语贴 900pcs</t>
        </r>
      </text>
    </comment>
    <comment ref="AI1185" authorId="2">
      <text>
        <r>
          <rPr>
            <b/>
            <sz val="9"/>
            <rFont val="宋体"/>
            <charset val="0"/>
          </rPr>
          <t>石玉珍:</t>
        </r>
        <r>
          <rPr>
            <sz val="9"/>
            <rFont val="宋体"/>
            <charset val="0"/>
          </rPr>
          <t xml:space="preserve">
2200978 6/29 4480pcs</t>
        </r>
      </text>
    </comment>
    <comment ref="AL1185" authorId="0">
      <text>
        <r>
          <rPr>
            <b/>
            <sz val="9"/>
            <rFont val="宋体"/>
            <charset val="134"/>
          </rPr>
          <t>Administrator:</t>
        </r>
        <r>
          <rPr>
            <sz val="9"/>
            <rFont val="宋体"/>
            <charset val="134"/>
          </rPr>
          <t xml:space="preserve">
5/25 客供RFID贴纸 34800pcs
</t>
        </r>
      </text>
    </comment>
    <comment ref="AI1186" authorId="2">
      <text>
        <r>
          <rPr>
            <b/>
            <sz val="9"/>
            <rFont val="宋体"/>
            <charset val="0"/>
          </rPr>
          <t>石玉珍:</t>
        </r>
        <r>
          <rPr>
            <sz val="9"/>
            <rFont val="宋体"/>
            <charset val="0"/>
          </rPr>
          <t xml:space="preserve">
2200961 6/27 480pcs</t>
        </r>
        <r>
          <rPr>
            <b/>
            <sz val="9"/>
            <rFont val="宋体"/>
            <charset val="0"/>
          </rPr>
          <t xml:space="preserve">
石玉珍:</t>
        </r>
        <r>
          <rPr>
            <sz val="9"/>
            <rFont val="宋体"/>
            <charset val="0"/>
          </rPr>
          <t xml:space="preserve">
2201021 7/1 12pcs</t>
        </r>
      </text>
    </comment>
    <comment ref="AI1187" authorId="2">
      <text>
        <r>
          <rPr>
            <b/>
            <sz val="9"/>
            <rFont val="宋体"/>
            <charset val="0"/>
          </rPr>
          <t>石玉珍:</t>
        </r>
        <r>
          <rPr>
            <sz val="9"/>
            <rFont val="宋体"/>
            <charset val="0"/>
          </rPr>
          <t xml:space="preserve">
2200968 6/27 1398pcs</t>
        </r>
        <r>
          <rPr>
            <b/>
            <sz val="9"/>
            <rFont val="宋体"/>
            <charset val="0"/>
          </rPr>
          <t xml:space="preserve">
石玉珍:</t>
        </r>
        <r>
          <rPr>
            <sz val="9"/>
            <rFont val="宋体"/>
            <charset val="0"/>
          </rPr>
          <t xml:space="preserve">
2201021 7/1 6pcs</t>
        </r>
      </text>
    </comment>
    <comment ref="AI1188" authorId="2">
      <text>
        <r>
          <rPr>
            <b/>
            <sz val="9"/>
            <rFont val="宋体"/>
            <charset val="0"/>
          </rPr>
          <t>石玉珍:</t>
        </r>
        <r>
          <rPr>
            <sz val="9"/>
            <rFont val="宋体"/>
            <charset val="0"/>
          </rPr>
          <t xml:space="preserve">
2200968 6/27 996pcs</t>
        </r>
        <r>
          <rPr>
            <b/>
            <sz val="9"/>
            <rFont val="宋体"/>
            <charset val="0"/>
          </rPr>
          <t xml:space="preserve">
石玉珍:</t>
        </r>
        <r>
          <rPr>
            <sz val="9"/>
            <rFont val="宋体"/>
            <charset val="0"/>
          </rPr>
          <t xml:space="preserve">
2201021 7/1 12pcs</t>
        </r>
      </text>
    </comment>
    <comment ref="AL1188" authorId="0">
      <text>
        <r>
          <rPr>
            <b/>
            <sz val="9"/>
            <rFont val="宋体"/>
            <charset val="134"/>
          </rPr>
          <t>Administrator:</t>
        </r>
        <r>
          <rPr>
            <sz val="9"/>
            <rFont val="宋体"/>
            <charset val="134"/>
          </rPr>
          <t xml:space="preserve">
5/18 客供价格贴纸 996pcs
</t>
        </r>
      </text>
    </comment>
    <comment ref="AI1189" authorId="2">
      <text>
        <r>
          <rPr>
            <b/>
            <sz val="9"/>
            <rFont val="宋体"/>
            <charset val="0"/>
          </rPr>
          <t>石玉珍:</t>
        </r>
        <r>
          <rPr>
            <sz val="9"/>
            <rFont val="宋体"/>
            <charset val="0"/>
          </rPr>
          <t xml:space="preserve">
2200968 6/27 1188pcs</t>
        </r>
        <r>
          <rPr>
            <b/>
            <sz val="9"/>
            <rFont val="宋体"/>
            <charset val="0"/>
          </rPr>
          <t xml:space="preserve">
石玉珍:</t>
        </r>
        <r>
          <rPr>
            <sz val="9"/>
            <rFont val="宋体"/>
            <charset val="0"/>
          </rPr>
          <t xml:space="preserve">
2201021 7/1 12pcs</t>
        </r>
      </text>
    </comment>
    <comment ref="AL1189" authorId="0">
      <text>
        <r>
          <rPr>
            <b/>
            <sz val="9"/>
            <rFont val="宋体"/>
            <charset val="134"/>
          </rPr>
          <t>Administrator:</t>
        </r>
        <r>
          <rPr>
            <sz val="9"/>
            <rFont val="宋体"/>
            <charset val="134"/>
          </rPr>
          <t xml:space="preserve">
5/18 客供价格贴纸 1200pcs
</t>
        </r>
      </text>
    </comment>
    <comment ref="AI1190" authorId="2">
      <text>
        <r>
          <rPr>
            <b/>
            <sz val="9"/>
            <rFont val="宋体"/>
            <charset val="0"/>
          </rPr>
          <t>石玉珍:</t>
        </r>
        <r>
          <rPr>
            <sz val="9"/>
            <rFont val="宋体"/>
            <charset val="0"/>
          </rPr>
          <t xml:space="preserve">
2200961 6/27 688pcs</t>
        </r>
        <r>
          <rPr>
            <b/>
            <sz val="9"/>
            <rFont val="宋体"/>
            <charset val="0"/>
          </rPr>
          <t xml:space="preserve">
石玉珍:</t>
        </r>
        <r>
          <rPr>
            <sz val="9"/>
            <rFont val="宋体"/>
            <charset val="0"/>
          </rPr>
          <t xml:space="preserve">
2201021 7/1 16pcs</t>
        </r>
      </text>
    </comment>
    <comment ref="AL1190" authorId="0">
      <text>
        <r>
          <rPr>
            <b/>
            <sz val="9"/>
            <rFont val="宋体"/>
            <charset val="134"/>
          </rPr>
          <t>Administrator:</t>
        </r>
        <r>
          <rPr>
            <sz val="9"/>
            <rFont val="宋体"/>
            <charset val="134"/>
          </rPr>
          <t xml:space="preserve">
5/22 客供亚马逊外箱贴 44pcs
</t>
        </r>
      </text>
    </comment>
    <comment ref="AI1191" authorId="2">
      <text>
        <r>
          <rPr>
            <b/>
            <sz val="9"/>
            <rFont val="宋体"/>
            <charset val="0"/>
          </rPr>
          <t>石玉珍:</t>
        </r>
        <r>
          <rPr>
            <sz val="9"/>
            <rFont val="宋体"/>
            <charset val="0"/>
          </rPr>
          <t xml:space="preserve">
2200961 6/27 656pcs</t>
        </r>
      </text>
    </comment>
    <comment ref="AL1191" authorId="0">
      <text>
        <r>
          <rPr>
            <b/>
            <sz val="9"/>
            <rFont val="宋体"/>
            <charset val="134"/>
          </rPr>
          <t>Administrator:</t>
        </r>
        <r>
          <rPr>
            <sz val="9"/>
            <rFont val="宋体"/>
            <charset val="134"/>
          </rPr>
          <t xml:space="preserve">
5/22 客供亚马逊外箱贴 41pcs</t>
        </r>
      </text>
    </comment>
    <comment ref="AI1193" authorId="2">
      <text>
        <r>
          <rPr>
            <b/>
            <sz val="9"/>
            <rFont val="宋体"/>
            <charset val="0"/>
          </rPr>
          <t>石玉珍:</t>
        </r>
        <r>
          <rPr>
            <sz val="9"/>
            <rFont val="宋体"/>
            <charset val="0"/>
          </rPr>
          <t xml:space="preserve">
1600561 6/2 4000pcs</t>
        </r>
      </text>
    </comment>
    <comment ref="AI1194" authorId="2">
      <text>
        <r>
          <rPr>
            <b/>
            <sz val="9"/>
            <rFont val="宋体"/>
            <charset val="0"/>
          </rPr>
          <t>石玉珍:</t>
        </r>
        <r>
          <rPr>
            <sz val="9"/>
            <rFont val="宋体"/>
            <charset val="0"/>
          </rPr>
          <t xml:space="preserve">
 2201007 6/30 320pcs</t>
        </r>
      </text>
    </comment>
    <comment ref="AL1194" authorId="2">
      <text>
        <r>
          <rPr>
            <b/>
            <sz val="9"/>
            <rFont val="宋体"/>
            <charset val="0"/>
          </rPr>
          <t>石玉珍:</t>
        </r>
        <r>
          <rPr>
            <sz val="9"/>
            <rFont val="宋体"/>
            <charset val="0"/>
          </rPr>
          <t xml:space="preserve">
6/5 UPC贴纸 320pcs</t>
        </r>
      </text>
    </comment>
    <comment ref="AI1195" authorId="2">
      <text>
        <r>
          <rPr>
            <b/>
            <sz val="9"/>
            <rFont val="宋体"/>
            <charset val="0"/>
          </rPr>
          <t>石玉珍:</t>
        </r>
        <r>
          <rPr>
            <sz val="9"/>
            <rFont val="宋体"/>
            <charset val="0"/>
          </rPr>
          <t xml:space="preserve">
2201021 7/1 720pcs</t>
        </r>
        <r>
          <rPr>
            <b/>
            <sz val="9"/>
            <rFont val="宋体"/>
            <charset val="0"/>
          </rPr>
          <t xml:space="preserve">
石玉珍:</t>
        </r>
        <r>
          <rPr>
            <sz val="9"/>
            <rFont val="宋体"/>
            <charset val="0"/>
          </rPr>
          <t xml:space="preserve">
2201028 7/1 784pcs</t>
        </r>
      </text>
    </comment>
    <comment ref="AI1196" authorId="2">
      <text>
        <r>
          <rPr>
            <b/>
            <sz val="9"/>
            <rFont val="宋体"/>
            <charset val="0"/>
          </rPr>
          <t>石玉珍:</t>
        </r>
        <r>
          <rPr>
            <sz val="9"/>
            <rFont val="宋体"/>
            <charset val="0"/>
          </rPr>
          <t xml:space="preserve">
2200982 6/29 720pcs</t>
        </r>
      </text>
    </comment>
    <comment ref="AI1198" authorId="2">
      <text>
        <r>
          <rPr>
            <b/>
            <sz val="9"/>
            <rFont val="宋体"/>
            <charset val="0"/>
          </rPr>
          <t>石玉珍:</t>
        </r>
        <r>
          <rPr>
            <sz val="9"/>
            <rFont val="宋体"/>
            <charset val="0"/>
          </rPr>
          <t xml:space="preserve">
2201028 7/1 996pcs</t>
        </r>
        <r>
          <rPr>
            <b/>
            <sz val="9"/>
            <rFont val="宋体"/>
            <charset val="0"/>
          </rPr>
          <t xml:space="preserve">
石玉珍:</t>
        </r>
        <r>
          <rPr>
            <sz val="9"/>
            <rFont val="宋体"/>
            <charset val="0"/>
          </rPr>
          <t xml:space="preserve">
2201202 7/3 12pcs</t>
        </r>
      </text>
    </comment>
    <comment ref="AL1198" authorId="2">
      <text>
        <r>
          <rPr>
            <b/>
            <sz val="9"/>
            <rFont val="宋体"/>
            <charset val="0"/>
          </rPr>
          <t>石玉珍:</t>
        </r>
        <r>
          <rPr>
            <sz val="9"/>
            <rFont val="宋体"/>
            <charset val="0"/>
          </rPr>
          <t xml:space="preserve">
6/8 进口商贴纸 996pcs
客户款号的EAN条码贴纸 996pcs</t>
        </r>
      </text>
    </comment>
    <comment ref="AI1202" authorId="2">
      <text>
        <r>
          <rPr>
            <b/>
            <sz val="9"/>
            <rFont val="宋体"/>
            <charset val="0"/>
          </rPr>
          <t>石玉珍:</t>
        </r>
        <r>
          <rPr>
            <sz val="9"/>
            <rFont val="宋体"/>
            <charset val="0"/>
          </rPr>
          <t xml:space="preserve">
2201002 6/30 1280pcs</t>
        </r>
      </text>
    </comment>
    <comment ref="AL1202" authorId="0">
      <text>
        <r>
          <rPr>
            <b/>
            <sz val="9"/>
            <rFont val="宋体"/>
            <charset val="134"/>
          </rPr>
          <t>Administrator:</t>
        </r>
        <r>
          <rPr>
            <sz val="9"/>
            <rFont val="宋体"/>
            <charset val="134"/>
          </rPr>
          <t xml:space="preserve">
5/22 客供亚马逊外箱贴 80pcs</t>
        </r>
      </text>
    </comment>
    <comment ref="AI1203" authorId="2">
      <text>
        <r>
          <rPr>
            <b/>
            <sz val="9"/>
            <rFont val="宋体"/>
            <charset val="0"/>
          </rPr>
          <t>石玉珍:</t>
        </r>
        <r>
          <rPr>
            <sz val="9"/>
            <rFont val="宋体"/>
            <charset val="0"/>
          </rPr>
          <t xml:space="preserve">
2201002 6/30 768pcs</t>
        </r>
        <r>
          <rPr>
            <b/>
            <sz val="9"/>
            <rFont val="宋体"/>
            <charset val="0"/>
          </rPr>
          <t xml:space="preserve">
石玉珍:</t>
        </r>
        <r>
          <rPr>
            <sz val="9"/>
            <rFont val="宋体"/>
            <charset val="0"/>
          </rPr>
          <t xml:space="preserve">
2201202 7/3 16pcs</t>
        </r>
      </text>
    </comment>
    <comment ref="AL1203" authorId="0">
      <text>
        <r>
          <rPr>
            <b/>
            <sz val="9"/>
            <rFont val="宋体"/>
            <charset val="134"/>
          </rPr>
          <t>Administrator:</t>
        </r>
        <r>
          <rPr>
            <sz val="9"/>
            <rFont val="宋体"/>
            <charset val="134"/>
          </rPr>
          <t xml:space="preserve">
5/22 客供亚马逊外箱贴 49pcs</t>
        </r>
      </text>
    </comment>
    <comment ref="AI1204" authorId="2">
      <text>
        <r>
          <rPr>
            <b/>
            <sz val="9"/>
            <rFont val="宋体"/>
            <charset val="0"/>
          </rPr>
          <t>石玉珍:</t>
        </r>
        <r>
          <rPr>
            <sz val="9"/>
            <rFont val="宋体"/>
            <charset val="0"/>
          </rPr>
          <t xml:space="preserve">
2201002 6/30 168pcs</t>
        </r>
      </text>
    </comment>
    <comment ref="AL1204" authorId="2">
      <text>
        <r>
          <rPr>
            <b/>
            <sz val="9"/>
            <rFont val="宋体"/>
            <charset val="0"/>
          </rPr>
          <t>石玉珍:</t>
        </r>
        <r>
          <rPr>
            <sz val="9"/>
            <rFont val="宋体"/>
            <charset val="0"/>
          </rPr>
          <t xml:space="preserve">
6/17 N客供外箱贴纸 14pcs</t>
        </r>
      </text>
    </comment>
    <comment ref="AI1205" authorId="2">
      <text>
        <r>
          <rPr>
            <b/>
            <sz val="9"/>
            <rFont val="宋体"/>
            <charset val="0"/>
          </rPr>
          <t>石玉珍:</t>
        </r>
        <r>
          <rPr>
            <sz val="9"/>
            <rFont val="宋体"/>
            <charset val="0"/>
          </rPr>
          <t xml:space="preserve">
2201002 6/30 72pcs</t>
        </r>
      </text>
    </comment>
    <comment ref="AL1205" authorId="2">
      <text>
        <r>
          <rPr>
            <b/>
            <sz val="9"/>
            <rFont val="宋体"/>
            <charset val="0"/>
          </rPr>
          <t>石玉珍:</t>
        </r>
        <r>
          <rPr>
            <sz val="9"/>
            <rFont val="宋体"/>
            <charset val="0"/>
          </rPr>
          <t xml:space="preserve">
6/17 N客供外箱贴纸 6pcs</t>
        </r>
      </text>
    </comment>
    <comment ref="AI1206" authorId="2">
      <text>
        <r>
          <rPr>
            <b/>
            <sz val="9"/>
            <rFont val="宋体"/>
            <charset val="0"/>
          </rPr>
          <t>石玉珍:</t>
        </r>
        <r>
          <rPr>
            <sz val="9"/>
            <rFont val="宋体"/>
            <charset val="0"/>
          </rPr>
          <t xml:space="preserve">
2201002 6/30 496pcs</t>
        </r>
        <r>
          <rPr>
            <b/>
            <sz val="9"/>
            <rFont val="宋体"/>
            <charset val="0"/>
          </rPr>
          <t xml:space="preserve">
石玉珍:</t>
        </r>
        <r>
          <rPr>
            <sz val="9"/>
            <rFont val="宋体"/>
            <charset val="0"/>
          </rPr>
          <t xml:space="preserve">
2201021 7/1 16pcs</t>
        </r>
      </text>
    </comment>
    <comment ref="AL1206" authorId="2">
      <text>
        <r>
          <rPr>
            <b/>
            <sz val="9"/>
            <rFont val="宋体"/>
            <charset val="0"/>
          </rPr>
          <t>石玉珍:</t>
        </r>
        <r>
          <rPr>
            <sz val="9"/>
            <rFont val="宋体"/>
            <charset val="0"/>
          </rPr>
          <t xml:space="preserve">
6/17 德语警告语贴纸 512pcs
PDQ+Kinder herz 2025 640pcs</t>
        </r>
        <r>
          <rPr>
            <b/>
            <sz val="9"/>
            <rFont val="宋体"/>
            <charset val="0"/>
          </rPr>
          <t xml:space="preserve">
石玉珍:</t>
        </r>
        <r>
          <rPr>
            <sz val="9"/>
            <rFont val="宋体"/>
            <charset val="0"/>
          </rPr>
          <t xml:space="preserve">
地址贴纸3 512pcs</t>
        </r>
        <r>
          <rPr>
            <b/>
            <sz val="9"/>
            <rFont val="宋体"/>
            <charset val="0"/>
          </rPr>
          <t xml:space="preserve">
石玉珍:</t>
        </r>
        <r>
          <rPr>
            <sz val="9"/>
            <rFont val="宋体"/>
            <charset val="0"/>
          </rPr>
          <t xml:space="preserve">
PDQ条码贴纸 128pcs</t>
        </r>
      </text>
    </comment>
    <comment ref="AI1207" authorId="2">
      <text>
        <r>
          <rPr>
            <b/>
            <sz val="9"/>
            <rFont val="宋体"/>
            <charset val="0"/>
          </rPr>
          <t>石玉珍:</t>
        </r>
        <r>
          <rPr>
            <sz val="9"/>
            <rFont val="宋体"/>
            <charset val="0"/>
          </rPr>
          <t xml:space="preserve">
1600580 7/1 1500pcs</t>
        </r>
      </text>
    </comment>
    <comment ref="AL1207" authorId="2">
      <text>
        <r>
          <rPr>
            <b/>
            <sz val="9"/>
            <rFont val="宋体"/>
            <charset val="0"/>
          </rPr>
          <t>石玉珍:</t>
        </r>
        <r>
          <rPr>
            <sz val="9"/>
            <rFont val="宋体"/>
            <charset val="0"/>
          </rPr>
          <t xml:space="preserve">
6/2 多语警语折叠贴纸 1500pcs</t>
        </r>
      </text>
    </comment>
    <comment ref="AI1208" authorId="2">
      <text>
        <r>
          <rPr>
            <b/>
            <sz val="9"/>
            <rFont val="宋体"/>
            <charset val="0"/>
          </rPr>
          <t>石玉珍:</t>
        </r>
        <r>
          <rPr>
            <sz val="9"/>
            <rFont val="宋体"/>
            <charset val="0"/>
          </rPr>
          <t xml:space="preserve">
2201184 7/2 1400pcs</t>
        </r>
      </text>
    </comment>
    <comment ref="AI1212" authorId="2">
      <text>
        <r>
          <rPr>
            <b/>
            <sz val="9"/>
            <rFont val="宋体"/>
            <charset val="0"/>
          </rPr>
          <t>石玉珍:</t>
        </r>
        <r>
          <rPr>
            <sz val="9"/>
            <rFont val="宋体"/>
            <charset val="0"/>
          </rPr>
          <t xml:space="preserve">
2201283 7/9 804pcs</t>
        </r>
      </text>
    </comment>
    <comment ref="AL1212" authorId="2">
      <text>
        <r>
          <rPr>
            <b/>
            <sz val="9"/>
            <rFont val="宋体"/>
            <charset val="0"/>
          </rPr>
          <t>石玉珍:</t>
        </r>
        <r>
          <rPr>
            <sz val="9"/>
            <rFont val="宋体"/>
            <charset val="0"/>
          </rPr>
          <t xml:space="preserve">
5/29 保证书1 804pcs
包装贴纸 804pcs
说明书贴纸 804pcs
UPC贴纸 804pcs</t>
        </r>
        <r>
          <rPr>
            <b/>
            <sz val="9"/>
            <rFont val="宋体"/>
            <charset val="0"/>
          </rPr>
          <t xml:space="preserve">
石玉珍:</t>
        </r>
        <r>
          <rPr>
            <sz val="9"/>
            <rFont val="宋体"/>
            <charset val="0"/>
          </rPr>
          <t xml:space="preserve">
6/22 客供价格贴纸 804pcs</t>
        </r>
      </text>
    </comment>
    <comment ref="AI1213" authorId="2">
      <text>
        <r>
          <rPr>
            <b/>
            <sz val="9"/>
            <rFont val="宋体"/>
            <charset val="0"/>
          </rPr>
          <t>石玉珍:</t>
        </r>
        <r>
          <rPr>
            <sz val="9"/>
            <rFont val="宋体"/>
            <charset val="0"/>
          </rPr>
          <t xml:space="preserve">
2201202 7/3 512pcs</t>
        </r>
      </text>
    </comment>
    <comment ref="AL1213" authorId="2">
      <text>
        <r>
          <rPr>
            <b/>
            <sz val="9"/>
            <rFont val="宋体"/>
            <charset val="0"/>
          </rPr>
          <t>石玉珍:</t>
        </r>
        <r>
          <rPr>
            <sz val="9"/>
            <rFont val="宋体"/>
            <charset val="0"/>
          </rPr>
          <t xml:space="preserve">
6/23 德语警告语贴纸 512pcs
Kinderherz 2025 logo纸  512pcs
地址贴纸  512pcs</t>
        </r>
      </text>
    </comment>
    <comment ref="AI1214" authorId="2">
      <text>
        <r>
          <rPr>
            <b/>
            <sz val="9"/>
            <rFont val="宋体"/>
            <charset val="0"/>
          </rPr>
          <t>石玉珍:</t>
        </r>
        <r>
          <rPr>
            <sz val="9"/>
            <rFont val="宋体"/>
            <charset val="0"/>
          </rPr>
          <t xml:space="preserve">
2201202 7/3 512pcs</t>
        </r>
      </text>
    </comment>
    <comment ref="AL1214" authorId="2">
      <text>
        <r>
          <rPr>
            <b/>
            <sz val="9"/>
            <rFont val="宋体"/>
            <charset val="0"/>
          </rPr>
          <t>石玉珍:</t>
        </r>
        <r>
          <rPr>
            <sz val="9"/>
            <rFont val="宋体"/>
            <charset val="0"/>
          </rPr>
          <t xml:space="preserve">
6/26 进口商贴纸 512pcs</t>
        </r>
      </text>
    </comment>
    <comment ref="AI1215" authorId="2">
      <text>
        <r>
          <rPr>
            <b/>
            <sz val="9"/>
            <rFont val="宋体"/>
            <charset val="0"/>
          </rPr>
          <t>石玉珍:</t>
        </r>
        <r>
          <rPr>
            <sz val="9"/>
            <rFont val="宋体"/>
            <charset val="0"/>
          </rPr>
          <t xml:space="preserve">
2201202 7/3 5100pcs</t>
        </r>
      </text>
    </comment>
    <comment ref="AL1215" authorId="2">
      <text>
        <r>
          <rPr>
            <b/>
            <sz val="9"/>
            <rFont val="宋体"/>
            <charset val="0"/>
          </rPr>
          <t>石玉珍:</t>
        </r>
        <r>
          <rPr>
            <sz val="9"/>
            <rFont val="宋体"/>
            <charset val="0"/>
          </rPr>
          <t xml:space="preserve">
6/23 价格贴纸 5100pcs </t>
        </r>
        <r>
          <rPr>
            <b/>
            <sz val="9"/>
            <rFont val="宋体"/>
            <charset val="0"/>
          </rPr>
          <t xml:space="preserve">
石玉珍:</t>
        </r>
        <r>
          <rPr>
            <sz val="9"/>
            <rFont val="宋体"/>
            <charset val="0"/>
          </rPr>
          <t xml:space="preserve">
外箱条码贴纸 850pcs</t>
        </r>
      </text>
    </comment>
    <comment ref="AI1216" authorId="2">
      <text>
        <r>
          <rPr>
            <b/>
            <sz val="9"/>
            <rFont val="宋体"/>
            <charset val="0"/>
          </rPr>
          <t>石玉珍:</t>
        </r>
        <r>
          <rPr>
            <sz val="9"/>
            <rFont val="宋体"/>
            <charset val="0"/>
          </rPr>
          <t xml:space="preserve">
2201218 7/6 624pcs</t>
        </r>
      </text>
    </comment>
    <comment ref="AL1216" authorId="0">
      <text>
        <r>
          <rPr>
            <b/>
            <sz val="9"/>
            <rFont val="宋体"/>
            <charset val="134"/>
          </rPr>
          <t>Administrator:</t>
        </r>
        <r>
          <rPr>
            <sz val="9"/>
            <rFont val="宋体"/>
            <charset val="134"/>
          </rPr>
          <t xml:space="preserve">
5/22 客供亚马逊外箱贴 39pcs</t>
        </r>
      </text>
    </comment>
    <comment ref="AI1217" authorId="2">
      <text>
        <r>
          <rPr>
            <b/>
            <sz val="9"/>
            <rFont val="宋体"/>
            <charset val="0"/>
          </rPr>
          <t>石玉珍:</t>
        </r>
        <r>
          <rPr>
            <sz val="9"/>
            <rFont val="宋体"/>
            <charset val="0"/>
          </rPr>
          <t xml:space="preserve">
2201210 7/3 304pcs</t>
        </r>
      </text>
    </comment>
    <comment ref="AL1217" authorId="0">
      <text>
        <r>
          <rPr>
            <sz val="9"/>
            <rFont val="宋体"/>
            <charset val="0"/>
          </rPr>
          <t>Administrator:
5/22 客供亚马逊外箱贴 19pcs</t>
        </r>
        <r>
          <rPr>
            <b/>
            <sz val="9"/>
            <rFont val="宋体"/>
            <charset val="0"/>
          </rPr>
          <t xml:space="preserve">
石玉珍:</t>
        </r>
        <r>
          <rPr>
            <sz val="9"/>
            <rFont val="宋体"/>
            <charset val="0"/>
          </rPr>
          <t xml:space="preserve">
6/24 进口商贴纸 304pcs</t>
        </r>
      </text>
    </comment>
    <comment ref="AI1218" authorId="2">
      <text>
        <r>
          <rPr>
            <b/>
            <sz val="9"/>
            <rFont val="宋体"/>
            <charset val="0"/>
          </rPr>
          <t>石玉珍:</t>
        </r>
        <r>
          <rPr>
            <sz val="9"/>
            <rFont val="宋体"/>
            <charset val="0"/>
          </rPr>
          <t xml:space="preserve">
2201218 7/6 320pcs</t>
        </r>
      </text>
    </comment>
    <comment ref="AL1218" authorId="0">
      <text>
        <r>
          <rPr>
            <b/>
            <sz val="9"/>
            <rFont val="宋体"/>
            <charset val="134"/>
          </rPr>
          <t>Administrator:</t>
        </r>
        <r>
          <rPr>
            <sz val="9"/>
            <rFont val="宋体"/>
            <charset val="134"/>
          </rPr>
          <t xml:space="preserve">
5/22 客供亚马逊外箱贴 20pcs</t>
        </r>
      </text>
    </comment>
    <comment ref="AI1219" authorId="2">
      <text>
        <r>
          <rPr>
            <b/>
            <sz val="9"/>
            <rFont val="宋体"/>
            <charset val="0"/>
          </rPr>
          <t>石玉珍:</t>
        </r>
        <r>
          <rPr>
            <sz val="9"/>
            <rFont val="宋体"/>
            <charset val="0"/>
          </rPr>
          <t xml:space="preserve">
2201216 7/4 1200pcs</t>
        </r>
      </text>
    </comment>
    <comment ref="AL1219" authorId="2">
      <text>
        <r>
          <rPr>
            <b/>
            <sz val="9"/>
            <rFont val="宋体"/>
            <charset val="0"/>
          </rPr>
          <t>石玉珍:</t>
        </r>
        <r>
          <rPr>
            <sz val="9"/>
            <rFont val="宋体"/>
            <charset val="0"/>
          </rPr>
          <t xml:space="preserve">
6/18</t>
        </r>
      </text>
    </comment>
    <comment ref="AI1220" authorId="2">
      <text>
        <r>
          <rPr>
            <b/>
            <sz val="9"/>
            <rFont val="宋体"/>
            <charset val="0"/>
          </rPr>
          <t>石玉珍:</t>
        </r>
        <r>
          <rPr>
            <sz val="9"/>
            <rFont val="宋体"/>
            <charset val="0"/>
          </rPr>
          <t xml:space="preserve">
2201230 7/6 448pcs</t>
        </r>
      </text>
    </comment>
    <comment ref="AL1220" authorId="0">
      <text>
        <r>
          <rPr>
            <b/>
            <sz val="9"/>
            <rFont val="宋体"/>
            <charset val="134"/>
          </rPr>
          <t>Administrator:</t>
        </r>
        <r>
          <rPr>
            <sz val="9"/>
            <rFont val="宋体"/>
            <charset val="134"/>
          </rPr>
          <t xml:space="preserve">
5/22 客供亚马逊外箱贴 28pcs</t>
        </r>
      </text>
    </comment>
    <comment ref="AI1221" authorId="2">
      <text>
        <r>
          <rPr>
            <b/>
            <sz val="9"/>
            <rFont val="宋体"/>
            <charset val="0"/>
          </rPr>
          <t>石玉珍:</t>
        </r>
        <r>
          <rPr>
            <sz val="9"/>
            <rFont val="宋体"/>
            <charset val="0"/>
          </rPr>
          <t xml:space="preserve">
2201218 7/6 3472pcs</t>
        </r>
        <r>
          <rPr>
            <b/>
            <sz val="9"/>
            <rFont val="宋体"/>
            <charset val="0"/>
          </rPr>
          <t xml:space="preserve">
石玉珍:</t>
        </r>
        <r>
          <rPr>
            <sz val="9"/>
            <rFont val="宋体"/>
            <charset val="0"/>
          </rPr>
          <t xml:space="preserve">
 2201273 7/9 16pcs</t>
        </r>
      </text>
    </comment>
    <comment ref="AL1221" authorId="2">
      <text>
        <r>
          <rPr>
            <b/>
            <sz val="9"/>
            <rFont val="宋体"/>
            <charset val="0"/>
          </rPr>
          <t>石玉珍:</t>
        </r>
        <r>
          <rPr>
            <sz val="9"/>
            <rFont val="宋体"/>
            <charset val="0"/>
          </rPr>
          <t xml:space="preserve">
6/27 PDQ数量贴纸 872pcs</t>
        </r>
      </text>
    </comment>
    <comment ref="AI1222" authorId="2">
      <text>
        <r>
          <rPr>
            <b/>
            <sz val="9"/>
            <rFont val="宋体"/>
            <charset val="0"/>
          </rPr>
          <t>石玉珍:</t>
        </r>
        <r>
          <rPr>
            <sz val="9"/>
            <rFont val="宋体"/>
            <charset val="0"/>
          </rPr>
          <t xml:space="preserve">
2201178 7/2 72pcs</t>
        </r>
      </text>
    </comment>
    <comment ref="AL1222" authorId="2">
      <text>
        <r>
          <rPr>
            <b/>
            <sz val="9"/>
            <rFont val="宋体"/>
            <charset val="0"/>
          </rPr>
          <t>石玉珍:</t>
        </r>
        <r>
          <rPr>
            <sz val="9"/>
            <rFont val="宋体"/>
            <charset val="0"/>
          </rPr>
          <t xml:space="preserve">
6/5 UPC贴纸 72pcs</t>
        </r>
        <r>
          <rPr>
            <b/>
            <sz val="9"/>
            <rFont val="宋体"/>
            <charset val="0"/>
          </rPr>
          <t xml:space="preserve">
石玉珍:</t>
        </r>
        <r>
          <rPr>
            <sz val="9"/>
            <rFont val="宋体"/>
            <charset val="0"/>
          </rPr>
          <t xml:space="preserve">
6/24 客供亚马逊外箱贴纸 6pcs</t>
        </r>
      </text>
    </comment>
    <comment ref="AI1223" authorId="2">
      <text>
        <r>
          <rPr>
            <b/>
            <sz val="9"/>
            <rFont val="宋体"/>
            <charset val="0"/>
          </rPr>
          <t>石玉珍:</t>
        </r>
        <r>
          <rPr>
            <sz val="9"/>
            <rFont val="宋体"/>
            <charset val="0"/>
          </rPr>
          <t xml:space="preserve">
2201178 7/2 168pcs</t>
        </r>
      </text>
    </comment>
    <comment ref="AL1223" authorId="2">
      <text>
        <r>
          <rPr>
            <b/>
            <sz val="9"/>
            <rFont val="宋体"/>
            <charset val="0"/>
          </rPr>
          <t>石玉珍:</t>
        </r>
        <r>
          <rPr>
            <sz val="9"/>
            <rFont val="宋体"/>
            <charset val="0"/>
          </rPr>
          <t xml:space="preserve">
6/5 UPC贴纸 168pcs</t>
        </r>
        <r>
          <rPr>
            <b/>
            <sz val="9"/>
            <rFont val="宋体"/>
            <charset val="0"/>
          </rPr>
          <t xml:space="preserve">
石玉珍:</t>
        </r>
        <r>
          <rPr>
            <sz val="9"/>
            <rFont val="宋体"/>
            <charset val="0"/>
          </rPr>
          <t xml:space="preserve">
6/24 客供亚马逊外箱贴纸 14pcs</t>
        </r>
      </text>
    </comment>
    <comment ref="AI1224" authorId="2">
      <text>
        <r>
          <rPr>
            <b/>
            <sz val="9"/>
            <rFont val="宋体"/>
            <charset val="0"/>
          </rPr>
          <t>石玉珍:</t>
        </r>
        <r>
          <rPr>
            <sz val="9"/>
            <rFont val="宋体"/>
            <charset val="0"/>
          </rPr>
          <t xml:space="preserve">
2201178 7/2 36pcs</t>
        </r>
      </text>
    </comment>
    <comment ref="AL1224" authorId="2">
      <text>
        <r>
          <rPr>
            <b/>
            <sz val="9"/>
            <rFont val="宋体"/>
            <charset val="0"/>
          </rPr>
          <t>石玉珍:</t>
        </r>
        <r>
          <rPr>
            <sz val="9"/>
            <rFont val="宋体"/>
            <charset val="0"/>
          </rPr>
          <t xml:space="preserve">
6/5 UPC贴纸 36pcs</t>
        </r>
        <r>
          <rPr>
            <b/>
            <sz val="9"/>
            <rFont val="宋体"/>
            <charset val="0"/>
          </rPr>
          <t xml:space="preserve">
石玉珍:</t>
        </r>
        <r>
          <rPr>
            <sz val="9"/>
            <rFont val="宋体"/>
            <charset val="0"/>
          </rPr>
          <t xml:space="preserve">
6/24 客供亚马逊外箱贴纸 3pcs</t>
        </r>
      </text>
    </comment>
    <comment ref="AI1225" authorId="2">
      <text>
        <r>
          <rPr>
            <b/>
            <sz val="9"/>
            <rFont val="宋体"/>
            <charset val="0"/>
          </rPr>
          <t>石玉珍:</t>
        </r>
        <r>
          <rPr>
            <sz val="9"/>
            <rFont val="宋体"/>
            <charset val="0"/>
          </rPr>
          <t xml:space="preserve">
2201178 7/2 36pcs</t>
        </r>
      </text>
    </comment>
    <comment ref="AL1225" authorId="2">
      <text>
        <r>
          <rPr>
            <b/>
            <sz val="9"/>
            <rFont val="宋体"/>
            <charset val="0"/>
          </rPr>
          <t>石玉珍:</t>
        </r>
        <r>
          <rPr>
            <sz val="9"/>
            <rFont val="宋体"/>
            <charset val="0"/>
          </rPr>
          <t xml:space="preserve">
6/5 UPC贴纸 36pcs</t>
        </r>
        <r>
          <rPr>
            <b/>
            <sz val="9"/>
            <rFont val="宋体"/>
            <charset val="0"/>
          </rPr>
          <t xml:space="preserve">
石玉珍:</t>
        </r>
        <r>
          <rPr>
            <sz val="9"/>
            <rFont val="宋体"/>
            <charset val="0"/>
          </rPr>
          <t xml:space="preserve">
6/24 客供亚马逊外箱贴纸 3pcs</t>
        </r>
      </text>
    </comment>
    <comment ref="AI1226" authorId="2">
      <text>
        <r>
          <rPr>
            <b/>
            <sz val="9"/>
            <rFont val="宋体"/>
            <charset val="0"/>
          </rPr>
          <t>石玉珍:</t>
        </r>
        <r>
          <rPr>
            <sz val="9"/>
            <rFont val="宋体"/>
            <charset val="0"/>
          </rPr>
          <t xml:space="preserve">
2201178 7/2 120pcs</t>
        </r>
      </text>
    </comment>
    <comment ref="AL1226" authorId="2">
      <text>
        <r>
          <rPr>
            <b/>
            <sz val="9"/>
            <rFont val="宋体"/>
            <charset val="0"/>
          </rPr>
          <t>石玉珍:</t>
        </r>
        <r>
          <rPr>
            <sz val="9"/>
            <rFont val="宋体"/>
            <charset val="0"/>
          </rPr>
          <t xml:space="preserve">
6/5 UPC贴纸 120pcs</t>
        </r>
        <r>
          <rPr>
            <b/>
            <sz val="9"/>
            <rFont val="宋体"/>
            <charset val="0"/>
          </rPr>
          <t xml:space="preserve">
石玉珍:</t>
        </r>
        <r>
          <rPr>
            <sz val="9"/>
            <rFont val="宋体"/>
            <charset val="0"/>
          </rPr>
          <t xml:space="preserve">
6/24 客供亚马逊外箱贴纸 10pcs</t>
        </r>
      </text>
    </comment>
    <comment ref="AI1227" authorId="2">
      <text>
        <r>
          <rPr>
            <b/>
            <sz val="9"/>
            <rFont val="宋体"/>
            <charset val="0"/>
          </rPr>
          <t>石玉珍:</t>
        </r>
        <r>
          <rPr>
            <sz val="9"/>
            <rFont val="宋体"/>
            <charset val="0"/>
          </rPr>
          <t xml:space="preserve">
2201178 7/2 24pcs</t>
        </r>
      </text>
    </comment>
    <comment ref="AL1227" authorId="2">
      <text>
        <r>
          <rPr>
            <b/>
            <sz val="9"/>
            <rFont val="宋体"/>
            <charset val="0"/>
          </rPr>
          <t>石玉珍:</t>
        </r>
        <r>
          <rPr>
            <sz val="9"/>
            <rFont val="宋体"/>
            <charset val="0"/>
          </rPr>
          <t xml:space="preserve">
6/5 UPC贴纸 24pcs</t>
        </r>
        <r>
          <rPr>
            <b/>
            <sz val="9"/>
            <rFont val="宋体"/>
            <charset val="0"/>
          </rPr>
          <t xml:space="preserve">
石玉珍:</t>
        </r>
        <r>
          <rPr>
            <sz val="9"/>
            <rFont val="宋体"/>
            <charset val="0"/>
          </rPr>
          <t xml:space="preserve">
6/24 客供亚马逊外箱贴纸 2pcs</t>
        </r>
      </text>
    </comment>
    <comment ref="AI1228" authorId="2">
      <text>
        <r>
          <rPr>
            <b/>
            <sz val="9"/>
            <rFont val="宋体"/>
            <charset val="0"/>
          </rPr>
          <t>石玉珍:</t>
        </r>
        <r>
          <rPr>
            <sz val="9"/>
            <rFont val="宋体"/>
            <charset val="0"/>
          </rPr>
          <t xml:space="preserve">
2201178 7/2 36pcs</t>
        </r>
      </text>
    </comment>
    <comment ref="AL1228" authorId="2">
      <text>
        <r>
          <rPr>
            <b/>
            <sz val="9"/>
            <rFont val="宋体"/>
            <charset val="0"/>
          </rPr>
          <t>石玉珍:</t>
        </r>
        <r>
          <rPr>
            <sz val="9"/>
            <rFont val="宋体"/>
            <charset val="0"/>
          </rPr>
          <t xml:space="preserve">
6/5 UPC贴纸 36pcs</t>
        </r>
        <r>
          <rPr>
            <b/>
            <sz val="9"/>
            <rFont val="宋体"/>
            <charset val="0"/>
          </rPr>
          <t xml:space="preserve">
石玉珍:</t>
        </r>
        <r>
          <rPr>
            <sz val="9"/>
            <rFont val="宋体"/>
            <charset val="0"/>
          </rPr>
          <t xml:space="preserve">
6/24 客供亚马逊外箱贴纸 3pcs</t>
        </r>
      </text>
    </comment>
    <comment ref="AI1229" authorId="2">
      <text>
        <r>
          <rPr>
            <b/>
            <sz val="9"/>
            <rFont val="宋体"/>
            <charset val="0"/>
          </rPr>
          <t>石玉珍:</t>
        </r>
        <r>
          <rPr>
            <sz val="9"/>
            <rFont val="宋体"/>
            <charset val="0"/>
          </rPr>
          <t xml:space="preserve">
2201178 7/2 24pcs</t>
        </r>
      </text>
    </comment>
    <comment ref="AL1229" authorId="2">
      <text>
        <r>
          <rPr>
            <b/>
            <sz val="9"/>
            <rFont val="宋体"/>
            <charset val="0"/>
          </rPr>
          <t>石玉珍:</t>
        </r>
        <r>
          <rPr>
            <sz val="9"/>
            <rFont val="宋体"/>
            <charset val="0"/>
          </rPr>
          <t xml:space="preserve">
6/5 UPC贴纸 24pcs</t>
        </r>
        <r>
          <rPr>
            <b/>
            <sz val="9"/>
            <rFont val="宋体"/>
            <charset val="0"/>
          </rPr>
          <t xml:space="preserve">
石玉珍:</t>
        </r>
        <r>
          <rPr>
            <sz val="9"/>
            <rFont val="宋体"/>
            <charset val="0"/>
          </rPr>
          <t xml:space="preserve">
6/24 客供亚马逊外箱贴纸26pcs</t>
        </r>
      </text>
    </comment>
    <comment ref="AI1230" authorId="2">
      <text>
        <r>
          <rPr>
            <b/>
            <sz val="9"/>
            <rFont val="宋体"/>
            <charset val="0"/>
          </rPr>
          <t>石玉珍:</t>
        </r>
        <r>
          <rPr>
            <sz val="9"/>
            <rFont val="宋体"/>
            <charset val="0"/>
          </rPr>
          <t xml:space="preserve">
2201178 7/2 24pcs</t>
        </r>
      </text>
    </comment>
    <comment ref="AL1230" authorId="2">
      <text>
        <r>
          <rPr>
            <b/>
            <sz val="9"/>
            <rFont val="宋体"/>
            <charset val="0"/>
          </rPr>
          <t>石玉珍:</t>
        </r>
        <r>
          <rPr>
            <sz val="9"/>
            <rFont val="宋体"/>
            <charset val="0"/>
          </rPr>
          <t xml:space="preserve">
6/5 UPC贴纸 24pcs</t>
        </r>
        <r>
          <rPr>
            <b/>
            <sz val="9"/>
            <rFont val="宋体"/>
            <charset val="0"/>
          </rPr>
          <t xml:space="preserve">
石玉珍:</t>
        </r>
        <r>
          <rPr>
            <sz val="9"/>
            <rFont val="宋体"/>
            <charset val="0"/>
          </rPr>
          <t xml:space="preserve">
6/24 客供亚马逊外箱贴纸 2pcs</t>
        </r>
      </text>
    </comment>
    <comment ref="AI1231" authorId="2">
      <text>
        <r>
          <rPr>
            <b/>
            <sz val="9"/>
            <rFont val="宋体"/>
            <charset val="0"/>
          </rPr>
          <t>石玉珍:</t>
        </r>
        <r>
          <rPr>
            <sz val="9"/>
            <rFont val="宋体"/>
            <charset val="0"/>
          </rPr>
          <t xml:space="preserve">
2201178 7/2 24pcs</t>
        </r>
      </text>
    </comment>
    <comment ref="AL1231" authorId="2">
      <text>
        <r>
          <rPr>
            <b/>
            <sz val="9"/>
            <rFont val="宋体"/>
            <charset val="0"/>
          </rPr>
          <t>石玉珍:</t>
        </r>
        <r>
          <rPr>
            <sz val="9"/>
            <rFont val="宋体"/>
            <charset val="0"/>
          </rPr>
          <t xml:space="preserve">
6/5 UPC贴纸 24pcs</t>
        </r>
        <r>
          <rPr>
            <b/>
            <sz val="9"/>
            <rFont val="宋体"/>
            <charset val="0"/>
          </rPr>
          <t xml:space="preserve">
石玉珍:</t>
        </r>
        <r>
          <rPr>
            <sz val="9"/>
            <rFont val="宋体"/>
            <charset val="0"/>
          </rPr>
          <t xml:space="preserve">
6/24 客供亚马逊外箱贴纸 2pcs</t>
        </r>
      </text>
    </comment>
    <comment ref="AI1232" authorId="2">
      <text>
        <r>
          <rPr>
            <b/>
            <sz val="9"/>
            <rFont val="宋体"/>
            <charset val="0"/>
          </rPr>
          <t>石玉珍:</t>
        </r>
        <r>
          <rPr>
            <sz val="9"/>
            <rFont val="宋体"/>
            <charset val="0"/>
          </rPr>
          <t xml:space="preserve">
2201178 7/2 48pcs</t>
        </r>
      </text>
    </comment>
    <comment ref="AL1232" authorId="2">
      <text>
        <r>
          <rPr>
            <b/>
            <sz val="9"/>
            <rFont val="宋体"/>
            <charset val="0"/>
          </rPr>
          <t>石玉珍:</t>
        </r>
        <r>
          <rPr>
            <sz val="9"/>
            <rFont val="宋体"/>
            <charset val="0"/>
          </rPr>
          <t xml:space="preserve">
6/5 UPC贴纸 48pcs</t>
        </r>
        <r>
          <rPr>
            <b/>
            <sz val="9"/>
            <rFont val="宋体"/>
            <charset val="0"/>
          </rPr>
          <t xml:space="preserve">
石玉珍:</t>
        </r>
        <r>
          <rPr>
            <sz val="9"/>
            <rFont val="宋体"/>
            <charset val="0"/>
          </rPr>
          <t xml:space="preserve">
6/24 客供亚马逊外箱贴纸 4pcs</t>
        </r>
      </text>
    </comment>
    <comment ref="AI1233" authorId="2">
      <text>
        <r>
          <rPr>
            <b/>
            <sz val="9"/>
            <rFont val="宋体"/>
            <charset val="0"/>
          </rPr>
          <t>石玉珍:</t>
        </r>
        <r>
          <rPr>
            <sz val="9"/>
            <rFont val="宋体"/>
            <charset val="0"/>
          </rPr>
          <t xml:space="preserve">
2201178 7/2 24pcs</t>
        </r>
      </text>
    </comment>
    <comment ref="AL1233" authorId="2">
      <text>
        <r>
          <rPr>
            <b/>
            <sz val="9"/>
            <rFont val="宋体"/>
            <charset val="0"/>
          </rPr>
          <t>石玉珍:</t>
        </r>
        <r>
          <rPr>
            <sz val="9"/>
            <rFont val="宋体"/>
            <charset val="0"/>
          </rPr>
          <t xml:space="preserve">
6/5 UPC贴纸 24pcs</t>
        </r>
        <r>
          <rPr>
            <b/>
            <sz val="9"/>
            <rFont val="宋体"/>
            <charset val="0"/>
          </rPr>
          <t xml:space="preserve">
石玉珍:</t>
        </r>
        <r>
          <rPr>
            <sz val="9"/>
            <rFont val="宋体"/>
            <charset val="0"/>
          </rPr>
          <t xml:space="preserve">
6/24 客供亚马逊外箱贴纸 2pcs</t>
        </r>
      </text>
    </comment>
    <comment ref="AI1237" authorId="2">
      <text>
        <r>
          <rPr>
            <b/>
            <sz val="9"/>
            <rFont val="宋体"/>
            <charset val="0"/>
          </rPr>
          <t>石玉珍:</t>
        </r>
        <r>
          <rPr>
            <sz val="9"/>
            <rFont val="宋体"/>
            <charset val="0"/>
          </rPr>
          <t xml:space="preserve">
2201202 7/3 1008pcs</t>
        </r>
      </text>
    </comment>
    <comment ref="AL1237" authorId="2">
      <text>
        <r>
          <rPr>
            <b/>
            <sz val="9"/>
            <rFont val="宋体"/>
            <charset val="0"/>
          </rPr>
          <t>石玉珍:</t>
        </r>
        <r>
          <rPr>
            <sz val="9"/>
            <rFont val="宋体"/>
            <charset val="0"/>
          </rPr>
          <t xml:space="preserve">
6/23 德语警告语贴纸 1008pcs
Kinderherz 2025 logo纸  1008pcs
地址贴纸  1008pcs</t>
        </r>
      </text>
    </comment>
    <comment ref="AI1238" authorId="2">
      <text>
        <r>
          <rPr>
            <b/>
            <sz val="9"/>
            <rFont val="宋体"/>
            <charset val="0"/>
          </rPr>
          <t>石玉珍:</t>
        </r>
        <r>
          <rPr>
            <sz val="9"/>
            <rFont val="宋体"/>
            <charset val="0"/>
          </rPr>
          <t xml:space="preserve">
1001915 7/15 2088pcs</t>
        </r>
      </text>
    </comment>
    <comment ref="AL1238" authorId="2">
      <text>
        <r>
          <rPr>
            <b/>
            <sz val="9"/>
            <rFont val="宋体"/>
            <charset val="0"/>
          </rPr>
          <t>石玉珍:</t>
        </r>
        <r>
          <rPr>
            <sz val="9"/>
            <rFont val="宋体"/>
            <charset val="0"/>
          </rPr>
          <t xml:space="preserve">
6/15 UPC贴纸 2088pcs</t>
        </r>
      </text>
    </comment>
    <comment ref="AI1241" authorId="2">
      <text>
        <r>
          <rPr>
            <b/>
            <sz val="9"/>
            <rFont val="宋体"/>
            <charset val="0"/>
          </rPr>
          <t>石玉珍:</t>
        </r>
        <r>
          <rPr>
            <sz val="9"/>
            <rFont val="宋体"/>
            <charset val="0"/>
          </rPr>
          <t xml:space="preserve">
1001915 7/15 144pcs</t>
        </r>
      </text>
    </comment>
    <comment ref="AL1241" authorId="2">
      <text>
        <r>
          <rPr>
            <b/>
            <sz val="9"/>
            <rFont val="宋体"/>
            <charset val="0"/>
          </rPr>
          <t>石玉珍:</t>
        </r>
        <r>
          <rPr>
            <sz val="9"/>
            <rFont val="宋体"/>
            <charset val="0"/>
          </rPr>
          <t xml:space="preserve">
7/1 进口商贴纸 144pcs
UPC贴纸 144pcs</t>
        </r>
      </text>
    </comment>
    <comment ref="AI1242" authorId="2">
      <text>
        <r>
          <rPr>
            <b/>
            <sz val="9"/>
            <rFont val="宋体"/>
            <charset val="0"/>
          </rPr>
          <t>石玉珍:</t>
        </r>
        <r>
          <rPr>
            <sz val="9"/>
            <rFont val="宋体"/>
            <charset val="0"/>
          </rPr>
          <t xml:space="preserve">
1001915 7/15 348pcs</t>
        </r>
      </text>
    </comment>
    <comment ref="AL1242" authorId="2">
      <text>
        <r>
          <rPr>
            <b/>
            <sz val="9"/>
            <rFont val="宋体"/>
            <charset val="0"/>
          </rPr>
          <t>石玉珍:</t>
        </r>
        <r>
          <rPr>
            <sz val="9"/>
            <rFont val="宋体"/>
            <charset val="0"/>
          </rPr>
          <t xml:space="preserve">
6/15 UPC贴纸 348pcs</t>
        </r>
      </text>
    </comment>
    <comment ref="AI1243" authorId="2">
      <text>
        <r>
          <rPr>
            <b/>
            <sz val="9"/>
            <rFont val="宋体"/>
            <charset val="0"/>
          </rPr>
          <t>石玉珍:</t>
        </r>
        <r>
          <rPr>
            <sz val="9"/>
            <rFont val="宋体"/>
            <charset val="0"/>
          </rPr>
          <t xml:space="preserve">
2201283 7/9 132pcs</t>
        </r>
      </text>
    </comment>
    <comment ref="AI1244" authorId="2">
      <text>
        <r>
          <rPr>
            <b/>
            <sz val="9"/>
            <rFont val="宋体"/>
            <charset val="0"/>
          </rPr>
          <t>石玉珍:</t>
        </r>
        <r>
          <rPr>
            <sz val="9"/>
            <rFont val="宋体"/>
            <charset val="0"/>
          </rPr>
          <t xml:space="preserve">
1001915 7/15 3428pcs</t>
        </r>
      </text>
    </comment>
    <comment ref="AL1244" authorId="2">
      <text>
        <r>
          <rPr>
            <b/>
            <sz val="9"/>
            <rFont val="宋体"/>
            <charset val="0"/>
          </rPr>
          <t>石玉珍:</t>
        </r>
        <r>
          <rPr>
            <sz val="9"/>
            <rFont val="宋体"/>
            <charset val="0"/>
          </rPr>
          <t xml:space="preserve">
6/16 客供防伪帖纸 3428pcs</t>
        </r>
      </text>
    </comment>
    <comment ref="AI1245" authorId="2">
      <text>
        <r>
          <rPr>
            <b/>
            <sz val="9"/>
            <rFont val="宋体"/>
            <charset val="0"/>
          </rPr>
          <t>石玉珍:</t>
        </r>
        <r>
          <rPr>
            <sz val="9"/>
            <rFont val="宋体"/>
            <charset val="0"/>
          </rPr>
          <t xml:space="preserve">
2201283 7/9 480pcs</t>
        </r>
      </text>
    </comment>
    <comment ref="AL1245" authorId="2">
      <text>
        <r>
          <rPr>
            <b/>
            <sz val="9"/>
            <rFont val="宋体"/>
            <charset val="0"/>
          </rPr>
          <t>石玉珍:</t>
        </r>
        <r>
          <rPr>
            <sz val="9"/>
            <rFont val="宋体"/>
            <charset val="0"/>
          </rPr>
          <t xml:space="preserve">
6/23 进口商贴纸 480pcs</t>
        </r>
      </text>
    </comment>
    <comment ref="AI1246" authorId="2">
      <text>
        <r>
          <rPr>
            <b/>
            <sz val="9"/>
            <rFont val="宋体"/>
            <charset val="0"/>
          </rPr>
          <t>石玉珍:</t>
        </r>
        <r>
          <rPr>
            <sz val="9"/>
            <rFont val="宋体"/>
            <charset val="0"/>
          </rPr>
          <t xml:space="preserve">
2801290 7/11 832pcs</t>
        </r>
      </text>
    </comment>
    <comment ref="AI1247" authorId="2">
      <text>
        <r>
          <rPr>
            <b/>
            <sz val="9"/>
            <rFont val="宋体"/>
            <charset val="0"/>
          </rPr>
          <t>石玉珍:</t>
        </r>
        <r>
          <rPr>
            <sz val="9"/>
            <rFont val="宋体"/>
            <charset val="0"/>
          </rPr>
          <t xml:space="preserve">
2801290 7/11 448pcs</t>
        </r>
      </text>
    </comment>
    <comment ref="AI1248" authorId="2">
      <text>
        <r>
          <rPr>
            <b/>
            <sz val="9"/>
            <rFont val="宋体"/>
            <charset val="0"/>
          </rPr>
          <t>石玉珍:</t>
        </r>
        <r>
          <rPr>
            <sz val="9"/>
            <rFont val="宋体"/>
            <charset val="0"/>
          </rPr>
          <t xml:space="preserve">
2801290 7/11 444pcs</t>
        </r>
        <r>
          <rPr>
            <b/>
            <sz val="9"/>
            <rFont val="宋体"/>
            <charset val="0"/>
          </rPr>
          <t xml:space="preserve">
石玉珍:</t>
        </r>
        <r>
          <rPr>
            <sz val="9"/>
            <rFont val="宋体"/>
            <charset val="0"/>
          </rPr>
          <t xml:space="preserve">
2200135 7/13 4PCS</t>
        </r>
      </text>
    </comment>
    <comment ref="AI1249" authorId="2">
      <text>
        <r>
          <rPr>
            <b/>
            <sz val="9"/>
            <rFont val="宋体"/>
            <charset val="0"/>
          </rPr>
          <t>石玉珍:</t>
        </r>
        <r>
          <rPr>
            <sz val="9"/>
            <rFont val="宋体"/>
            <charset val="0"/>
          </rPr>
          <t xml:space="preserve">
2801290 7/11 240pcs</t>
        </r>
      </text>
    </comment>
    <comment ref="AI1250" authorId="2">
      <text>
        <r>
          <rPr>
            <b/>
            <sz val="9"/>
            <rFont val="宋体"/>
            <charset val="0"/>
          </rPr>
          <t>石玉珍:</t>
        </r>
        <r>
          <rPr>
            <sz val="9"/>
            <rFont val="宋体"/>
            <charset val="0"/>
          </rPr>
          <t xml:space="preserve">
1001749 7/22 3000pcs</t>
        </r>
      </text>
    </comment>
    <comment ref="AL1250" authorId="2">
      <text>
        <r>
          <rPr>
            <b/>
            <sz val="9"/>
            <rFont val="宋体"/>
            <charset val="0"/>
          </rPr>
          <t>石玉珍:</t>
        </r>
        <r>
          <rPr>
            <sz val="9"/>
            <rFont val="宋体"/>
            <charset val="0"/>
          </rPr>
          <t xml:space="preserve">
6/22 客供价格贴纸 3000pcs</t>
        </r>
        <r>
          <rPr>
            <b/>
            <sz val="9"/>
            <rFont val="宋体"/>
            <charset val="0"/>
          </rPr>
          <t xml:space="preserve">
石玉珍:</t>
        </r>
        <r>
          <rPr>
            <sz val="9"/>
            <rFont val="宋体"/>
            <charset val="0"/>
          </rPr>
          <t xml:space="preserve">
7/1 保证书/包装贴纸/说明书贴纸/UPC贴纸 3000pcs</t>
        </r>
      </text>
    </comment>
    <comment ref="AI1251" authorId="2">
      <text>
        <r>
          <rPr>
            <b/>
            <sz val="9"/>
            <rFont val="宋体"/>
            <charset val="0"/>
          </rPr>
          <t>石玉珍:</t>
        </r>
        <r>
          <rPr>
            <sz val="9"/>
            <rFont val="宋体"/>
            <charset val="0"/>
          </rPr>
          <t xml:space="preserve">
2201288 7/10 1992pcs</t>
        </r>
      </text>
    </comment>
    <comment ref="AI1252" authorId="2">
      <text>
        <r>
          <rPr>
            <b/>
            <sz val="9"/>
            <rFont val="宋体"/>
            <charset val="0"/>
          </rPr>
          <t>石玉珍:</t>
        </r>
        <r>
          <rPr>
            <sz val="9"/>
            <rFont val="宋体"/>
            <charset val="0"/>
          </rPr>
          <t xml:space="preserve">
2200135 7/13 2880PCS</t>
        </r>
      </text>
    </comment>
    <comment ref="AL1252" authorId="0">
      <text>
        <r>
          <rPr>
            <b/>
            <sz val="9"/>
            <rFont val="宋体"/>
            <charset val="134"/>
          </rPr>
          <t>Administrator:</t>
        </r>
        <r>
          <rPr>
            <sz val="9"/>
            <rFont val="宋体"/>
            <charset val="134"/>
          </rPr>
          <t xml:space="preserve">
5/25 客供RFID贴纸 2880pcs
</t>
        </r>
      </text>
    </comment>
    <comment ref="AI1253" authorId="2">
      <text>
        <r>
          <rPr>
            <b/>
            <sz val="9"/>
            <rFont val="宋体"/>
            <charset val="0"/>
          </rPr>
          <t>石玉珍:</t>
        </r>
        <r>
          <rPr>
            <sz val="9"/>
            <rFont val="宋体"/>
            <charset val="0"/>
          </rPr>
          <t xml:space="preserve">
2201288 7/10 1008pcs</t>
        </r>
      </text>
    </comment>
    <comment ref="AL1253" authorId="2">
      <text>
        <r>
          <rPr>
            <b/>
            <sz val="9"/>
            <rFont val="宋体"/>
            <charset val="0"/>
          </rPr>
          <t>石玉珍:</t>
        </r>
        <r>
          <rPr>
            <sz val="9"/>
            <rFont val="宋体"/>
            <charset val="0"/>
          </rPr>
          <t xml:space="preserve">
6/2 多语警语折叠贴纸 1008pcs</t>
        </r>
        <r>
          <rPr>
            <b/>
            <sz val="9"/>
            <rFont val="宋体"/>
            <charset val="0"/>
          </rPr>
          <t xml:space="preserve">
石玉珍:</t>
        </r>
        <r>
          <rPr>
            <sz val="9"/>
            <rFont val="宋体"/>
            <charset val="0"/>
          </rPr>
          <t xml:space="preserve">
6/8 UPC贴纸 1008pcs</t>
        </r>
        <r>
          <rPr>
            <b/>
            <sz val="9"/>
            <rFont val="宋体"/>
            <charset val="0"/>
          </rPr>
          <t xml:space="preserve">
石玉珍:</t>
        </r>
        <r>
          <rPr>
            <sz val="9"/>
            <rFont val="宋体"/>
            <charset val="0"/>
          </rPr>
          <t xml:space="preserve">
6/29 亚马逊外箱贴纸 84pcs</t>
        </r>
      </text>
    </comment>
    <comment ref="AI1254" authorId="2">
      <text>
        <r>
          <rPr>
            <b/>
            <sz val="9"/>
            <rFont val="宋体"/>
            <charset val="0"/>
          </rPr>
          <t>石玉珍:</t>
        </r>
        <r>
          <rPr>
            <sz val="9"/>
            <rFont val="宋体"/>
            <charset val="0"/>
          </rPr>
          <t xml:space="preserve">
2201297 7/10 2832pcs</t>
        </r>
      </text>
    </comment>
    <comment ref="AL1254" authorId="2">
      <text>
        <r>
          <rPr>
            <b/>
            <sz val="9"/>
            <rFont val="宋体"/>
            <charset val="0"/>
          </rPr>
          <t>石玉珍:</t>
        </r>
        <r>
          <rPr>
            <sz val="9"/>
            <rFont val="宋体"/>
            <charset val="0"/>
          </rPr>
          <t xml:space="preserve">
6/24 客供亚马逊外箱贴纸 236pcs</t>
        </r>
      </text>
    </comment>
    <comment ref="AI1255" authorId="2">
      <text>
        <r>
          <rPr>
            <b/>
            <sz val="9"/>
            <rFont val="宋体"/>
            <charset val="0"/>
          </rPr>
          <t>石玉珍:</t>
        </r>
        <r>
          <rPr>
            <sz val="9"/>
            <rFont val="宋体"/>
            <charset val="0"/>
          </rPr>
          <t xml:space="preserve">
2201297 7/10 2964pcs</t>
        </r>
      </text>
    </comment>
    <comment ref="AL1255" authorId="2">
      <text>
        <r>
          <rPr>
            <b/>
            <sz val="9"/>
            <rFont val="宋体"/>
            <charset val="0"/>
          </rPr>
          <t>石玉珍:</t>
        </r>
        <r>
          <rPr>
            <sz val="9"/>
            <rFont val="宋体"/>
            <charset val="0"/>
          </rPr>
          <t xml:space="preserve">
6/24 客供亚马逊外箱贴纸 247pcs</t>
        </r>
      </text>
    </comment>
    <comment ref="AI1256" authorId="2">
      <text>
        <r>
          <rPr>
            <b/>
            <sz val="9"/>
            <rFont val="宋体"/>
            <charset val="0"/>
          </rPr>
          <t>石玉珍:</t>
        </r>
        <r>
          <rPr>
            <sz val="9"/>
            <rFont val="宋体"/>
            <charset val="0"/>
          </rPr>
          <t xml:space="preserve">
2200143 7/13 2700pcs</t>
        </r>
      </text>
    </comment>
    <comment ref="AL1256" authorId="0">
      <text>
        <r>
          <rPr>
            <sz val="9"/>
            <rFont val="宋体"/>
            <charset val="0"/>
          </rPr>
          <t>Administrator:
5/5 保证书 2700pcs</t>
        </r>
        <r>
          <rPr>
            <b/>
            <sz val="9"/>
            <rFont val="宋体"/>
            <charset val="0"/>
          </rPr>
          <t xml:space="preserve">
石玉珍:</t>
        </r>
        <r>
          <rPr>
            <sz val="9"/>
            <rFont val="宋体"/>
            <charset val="0"/>
          </rPr>
          <t xml:space="preserve">
6/29 产品贴纸 2700pcs</t>
        </r>
        <r>
          <rPr>
            <b/>
            <sz val="9"/>
            <rFont val="宋体"/>
            <charset val="0"/>
          </rPr>
          <t xml:space="preserve">
石玉珍:</t>
        </r>
        <r>
          <rPr>
            <sz val="9"/>
            <rFont val="宋体"/>
            <charset val="0"/>
          </rPr>
          <t xml:space="preserve">
包装贴纸/说明书贴纸 /UPC条码贴纸 2700pcs</t>
        </r>
      </text>
    </comment>
    <comment ref="AI1257" authorId="2">
      <text>
        <r>
          <rPr>
            <b/>
            <sz val="9"/>
            <rFont val="宋体"/>
            <charset val="0"/>
          </rPr>
          <t>石玉珍:</t>
        </r>
        <r>
          <rPr>
            <sz val="9"/>
            <rFont val="宋体"/>
            <charset val="0"/>
          </rPr>
          <t xml:space="preserve">
1001912 7/15 1600pcs</t>
        </r>
      </text>
    </comment>
    <comment ref="AL1257" authorId="2">
      <text>
        <r>
          <rPr>
            <b/>
            <sz val="9"/>
            <rFont val="宋体"/>
            <charset val="0"/>
          </rPr>
          <t>石玉珍:</t>
        </r>
        <r>
          <rPr>
            <sz val="9"/>
            <rFont val="宋体"/>
            <charset val="0"/>
          </rPr>
          <t xml:space="preserve">
客供RID贴纸 7/7 1600pcs</t>
        </r>
      </text>
    </comment>
    <comment ref="BA1258" authorId="2">
      <text>
        <r>
          <rPr>
            <b/>
            <sz val="9"/>
            <rFont val="宋体"/>
            <charset val="0"/>
          </rPr>
          <t>陈炎:</t>
        </r>
        <r>
          <rPr>
            <sz val="9"/>
            <rFont val="宋体"/>
            <charset val="0"/>
          </rPr>
          <t xml:space="preserve">
新客版</t>
        </r>
      </text>
    </comment>
    <comment ref="BB1258" authorId="2">
      <text>
        <r>
          <rPr>
            <b/>
            <sz val="9"/>
            <rFont val="宋体"/>
            <charset val="0"/>
          </rPr>
          <t>陈炎:</t>
        </r>
        <r>
          <rPr>
            <sz val="9"/>
            <rFont val="宋体"/>
            <charset val="0"/>
          </rPr>
          <t xml:space="preserve">
新客版</t>
        </r>
      </text>
    </comment>
    <comment ref="BC1258" authorId="2">
      <text>
        <r>
          <rPr>
            <b/>
            <sz val="9"/>
            <rFont val="宋体"/>
            <charset val="0"/>
          </rPr>
          <t>陈炎:</t>
        </r>
        <r>
          <rPr>
            <sz val="9"/>
            <rFont val="宋体"/>
            <charset val="0"/>
          </rPr>
          <t xml:space="preserve">
新客版</t>
        </r>
      </text>
    </comment>
    <comment ref="BK1258" authorId="2">
      <text>
        <r>
          <rPr>
            <b/>
            <sz val="9"/>
            <rFont val="宋体"/>
            <charset val="0"/>
          </rPr>
          <t>陈炎:</t>
        </r>
        <r>
          <rPr>
            <sz val="9"/>
            <rFont val="宋体"/>
            <charset val="0"/>
          </rPr>
          <t xml:space="preserve">
新客版</t>
        </r>
      </text>
    </comment>
    <comment ref="BL1258" authorId="2">
      <text>
        <r>
          <rPr>
            <b/>
            <sz val="9"/>
            <rFont val="宋体"/>
            <charset val="0"/>
          </rPr>
          <t>陈炎:</t>
        </r>
        <r>
          <rPr>
            <sz val="9"/>
            <rFont val="宋体"/>
            <charset val="0"/>
          </rPr>
          <t xml:space="preserve">
新客版</t>
        </r>
      </text>
    </comment>
    <comment ref="AI1259" authorId="2">
      <text>
        <r>
          <rPr>
            <b/>
            <sz val="9"/>
            <rFont val="宋体"/>
            <charset val="0"/>
          </rPr>
          <t>石玉珍:</t>
        </r>
        <r>
          <rPr>
            <sz val="9"/>
            <rFont val="宋体"/>
            <charset val="0"/>
          </rPr>
          <t xml:space="preserve">
1001912 7/15 780pcs</t>
        </r>
      </text>
    </comment>
    <comment ref="AI1260" authorId="2">
      <text>
        <r>
          <rPr>
            <b/>
            <sz val="9"/>
            <rFont val="宋体"/>
            <charset val="0"/>
          </rPr>
          <t>石玉珍:</t>
        </r>
        <r>
          <rPr>
            <sz val="9"/>
            <rFont val="宋体"/>
            <charset val="0"/>
          </rPr>
          <t xml:space="preserve">
1001912 7/15 420pcs</t>
        </r>
      </text>
    </comment>
    <comment ref="AI1261" authorId="2">
      <text>
        <r>
          <rPr>
            <b/>
            <sz val="9"/>
            <rFont val="宋体"/>
            <charset val="0"/>
          </rPr>
          <t>石玉珍:</t>
        </r>
        <r>
          <rPr>
            <sz val="9"/>
            <rFont val="宋体"/>
            <charset val="0"/>
          </rPr>
          <t xml:space="preserve">
1001902 7/16 3520pcs</t>
        </r>
      </text>
    </comment>
    <comment ref="AL1261" authorId="0">
      <text>
        <r>
          <rPr>
            <b/>
            <sz val="9"/>
            <rFont val="宋体"/>
            <charset val="134"/>
          </rPr>
          <t>Administrator:</t>
        </r>
        <r>
          <rPr>
            <sz val="9"/>
            <rFont val="宋体"/>
            <charset val="134"/>
          </rPr>
          <t xml:space="preserve">
5/25 客供RFID贴纸 3520pcs
</t>
        </r>
      </text>
    </comment>
    <comment ref="AI1262" authorId="2">
      <text>
        <r>
          <rPr>
            <b/>
            <sz val="9"/>
            <rFont val="宋体"/>
            <charset val="0"/>
          </rPr>
          <t>石玉珍:</t>
        </r>
        <r>
          <rPr>
            <sz val="9"/>
            <rFont val="宋体"/>
            <charset val="0"/>
          </rPr>
          <t xml:space="preserve">
1001902 7/16 640pcs</t>
        </r>
      </text>
    </comment>
    <comment ref="AL1262" authorId="2">
      <text>
        <r>
          <rPr>
            <b/>
            <sz val="9"/>
            <rFont val="宋体"/>
            <charset val="0"/>
          </rPr>
          <t>石玉珍:</t>
        </r>
        <r>
          <rPr>
            <sz val="9"/>
            <rFont val="宋体"/>
            <charset val="0"/>
          </rPr>
          <t xml:space="preserve">
客供RID贴纸 7/7 640pcs</t>
        </r>
      </text>
    </comment>
    <comment ref="AI1263" authorId="2">
      <text>
        <r>
          <rPr>
            <b/>
            <sz val="9"/>
            <rFont val="宋体"/>
            <charset val="0"/>
          </rPr>
          <t>石玉珍:</t>
        </r>
        <r>
          <rPr>
            <sz val="9"/>
            <rFont val="宋体"/>
            <charset val="0"/>
          </rPr>
          <t xml:space="preserve">
1001902 7/16 2880pcs</t>
        </r>
      </text>
    </comment>
    <comment ref="AL1263" authorId="2">
      <text>
        <r>
          <rPr>
            <b/>
            <sz val="9"/>
            <rFont val="宋体"/>
            <charset val="0"/>
          </rPr>
          <t>石玉珍:</t>
        </r>
        <r>
          <rPr>
            <sz val="9"/>
            <rFont val="宋体"/>
            <charset val="0"/>
          </rPr>
          <t xml:space="preserve">
客供RID贴纸 7/7 2880pcs</t>
        </r>
      </text>
    </comment>
    <comment ref="AI1264" authorId="2">
      <text>
        <r>
          <rPr>
            <b/>
            <sz val="9"/>
            <rFont val="宋体"/>
            <charset val="0"/>
          </rPr>
          <t>石玉珍:</t>
        </r>
        <r>
          <rPr>
            <sz val="9"/>
            <rFont val="宋体"/>
            <charset val="0"/>
          </rPr>
          <t xml:space="preserve">
1001873 7/17 2880pcs</t>
        </r>
      </text>
    </comment>
    <comment ref="AL1264" authorId="2">
      <text>
        <r>
          <rPr>
            <b/>
            <sz val="9"/>
            <rFont val="宋体"/>
            <charset val="0"/>
          </rPr>
          <t>石玉珍:</t>
        </r>
        <r>
          <rPr>
            <sz val="9"/>
            <rFont val="宋体"/>
            <charset val="0"/>
          </rPr>
          <t xml:space="preserve">
客供RID贴纸 7/7 2880pcs</t>
        </r>
      </text>
    </comment>
    <comment ref="AI1265" authorId="2">
      <text>
        <r>
          <rPr>
            <b/>
            <sz val="9"/>
            <rFont val="宋体"/>
            <charset val="0"/>
          </rPr>
          <t>石玉珍:</t>
        </r>
        <r>
          <rPr>
            <sz val="9"/>
            <rFont val="宋体"/>
            <charset val="0"/>
          </rPr>
          <t xml:space="preserve">
1001902 7/16 3840pcs</t>
        </r>
      </text>
    </comment>
    <comment ref="AL1265" authorId="0">
      <text>
        <r>
          <rPr>
            <b/>
            <sz val="9"/>
            <rFont val="宋体"/>
            <charset val="134"/>
          </rPr>
          <t>Administrator:</t>
        </r>
        <r>
          <rPr>
            <sz val="9"/>
            <rFont val="宋体"/>
            <charset val="134"/>
          </rPr>
          <t xml:space="preserve">
5/25 客供RFID贴纸 3840pcs</t>
        </r>
      </text>
    </comment>
    <comment ref="AI1266" authorId="2">
      <text>
        <r>
          <rPr>
            <b/>
            <sz val="9"/>
            <rFont val="宋体"/>
            <charset val="0"/>
          </rPr>
          <t>石玉珍:</t>
        </r>
        <r>
          <rPr>
            <sz val="9"/>
            <rFont val="宋体"/>
            <charset val="0"/>
          </rPr>
          <t xml:space="preserve">
2200135 7/13 1280PCS</t>
        </r>
      </text>
    </comment>
    <comment ref="AL1266" authorId="2">
      <text>
        <r>
          <rPr>
            <b/>
            <sz val="9"/>
            <rFont val="宋体"/>
            <charset val="0"/>
          </rPr>
          <t>石玉珍:</t>
        </r>
        <r>
          <rPr>
            <sz val="9"/>
            <rFont val="宋体"/>
            <charset val="0"/>
          </rPr>
          <t xml:space="preserve">
客供RID贴纸 7/7 1280pcs</t>
        </r>
      </text>
    </comment>
    <comment ref="AI1267" authorId="2">
      <text>
        <r>
          <rPr>
            <b/>
            <sz val="9"/>
            <rFont val="宋体"/>
            <charset val="0"/>
          </rPr>
          <t>石玉珍:</t>
        </r>
        <r>
          <rPr>
            <sz val="9"/>
            <rFont val="宋体"/>
            <charset val="0"/>
          </rPr>
          <t xml:space="preserve">
1001886 7/16 2560pcs</t>
        </r>
      </text>
    </comment>
    <comment ref="AL1267" authorId="0">
      <text>
        <r>
          <rPr>
            <b/>
            <sz val="9"/>
            <rFont val="宋体"/>
            <charset val="134"/>
          </rPr>
          <t>Administrator:</t>
        </r>
        <r>
          <rPr>
            <sz val="9"/>
            <rFont val="宋体"/>
            <charset val="134"/>
          </rPr>
          <t xml:space="preserve">
5/25 客供RFID贴纸2560pcs
</t>
        </r>
      </text>
    </comment>
    <comment ref="AI1269" authorId="2">
      <text>
        <r>
          <rPr>
            <b/>
            <sz val="9"/>
            <rFont val="宋体"/>
            <charset val="0"/>
          </rPr>
          <t>石玉珍:</t>
        </r>
        <r>
          <rPr>
            <sz val="9"/>
            <rFont val="宋体"/>
            <charset val="0"/>
          </rPr>
          <t xml:space="preserve">
1001719 7/20 216pcs</t>
        </r>
      </text>
    </comment>
    <comment ref="AL1269" authorId="2">
      <text>
        <r>
          <rPr>
            <b/>
            <sz val="9"/>
            <rFont val="宋体"/>
            <charset val="0"/>
          </rPr>
          <t>石玉珍:</t>
        </r>
        <r>
          <rPr>
            <sz val="9"/>
            <rFont val="宋体"/>
            <charset val="0"/>
          </rPr>
          <t xml:space="preserve">
7/7 UPC条码贴纸 216pcs</t>
        </r>
      </text>
    </comment>
    <comment ref="AI1270" authorId="2">
      <text>
        <r>
          <rPr>
            <b/>
            <sz val="9"/>
            <rFont val="宋体"/>
            <charset val="0"/>
          </rPr>
          <t>石玉珍:</t>
        </r>
        <r>
          <rPr>
            <sz val="9"/>
            <rFont val="宋体"/>
            <charset val="0"/>
          </rPr>
          <t xml:space="preserve">
1001719 7/20 1200pcs</t>
        </r>
      </text>
    </comment>
    <comment ref="AL1270" authorId="2">
      <text>
        <r>
          <rPr>
            <b/>
            <sz val="9"/>
            <rFont val="宋体"/>
            <charset val="0"/>
          </rPr>
          <t>石玉珍:</t>
        </r>
        <r>
          <rPr>
            <sz val="9"/>
            <rFont val="宋体"/>
            <charset val="0"/>
          </rPr>
          <t xml:space="preserve">
7/6 CONCENTRA客人logo贴纸 1200pcs</t>
        </r>
        <r>
          <rPr>
            <b/>
            <sz val="9"/>
            <rFont val="宋体"/>
            <charset val="0"/>
          </rPr>
          <t xml:space="preserve">
石玉珍:</t>
        </r>
        <r>
          <rPr>
            <sz val="9"/>
            <rFont val="宋体"/>
            <charset val="0"/>
          </rPr>
          <t xml:space="preserve">
客户进口商EAN条码贴纸 1200pcs</t>
        </r>
      </text>
    </comment>
    <comment ref="AI1271" authorId="2">
      <text>
        <r>
          <rPr>
            <b/>
            <sz val="9"/>
            <rFont val="宋体"/>
            <charset val="0"/>
          </rPr>
          <t>石玉珍:</t>
        </r>
        <r>
          <rPr>
            <sz val="9"/>
            <rFont val="宋体"/>
            <charset val="0"/>
          </rPr>
          <t xml:space="preserve">
1001719 7/20 1200pcs</t>
        </r>
      </text>
    </comment>
    <comment ref="AL1271" authorId="2">
      <text>
        <r>
          <rPr>
            <b/>
            <sz val="9"/>
            <rFont val="宋体"/>
            <charset val="0"/>
          </rPr>
          <t>石玉珍:</t>
        </r>
        <r>
          <rPr>
            <sz val="9"/>
            <rFont val="宋体"/>
            <charset val="0"/>
          </rPr>
          <t xml:space="preserve">
7/8 进口商贴纸 1200pcs</t>
        </r>
      </text>
    </comment>
    <comment ref="AI1272" authorId="2">
      <text>
        <r>
          <rPr>
            <b/>
            <sz val="9"/>
            <rFont val="宋体"/>
            <charset val="0"/>
          </rPr>
          <t>石玉珍:</t>
        </r>
        <r>
          <rPr>
            <sz val="9"/>
            <rFont val="宋体"/>
            <charset val="0"/>
          </rPr>
          <t xml:space="preserve">
1001836 7/20 500pcs</t>
        </r>
      </text>
    </comment>
    <comment ref="AL1272" authorId="2">
      <text>
        <r>
          <rPr>
            <b/>
            <sz val="9"/>
            <rFont val="宋体"/>
            <charset val="0"/>
          </rPr>
          <t>石玉珍:</t>
        </r>
        <r>
          <rPr>
            <sz val="9"/>
            <rFont val="宋体"/>
            <charset val="0"/>
          </rPr>
          <t xml:space="preserve">
7/8 进口商贴纸 500pcs</t>
        </r>
      </text>
    </comment>
    <comment ref="AI1273" authorId="2">
      <text>
        <r>
          <rPr>
            <b/>
            <sz val="9"/>
            <rFont val="宋体"/>
            <charset val="0"/>
          </rPr>
          <t>石玉珍:</t>
        </r>
        <r>
          <rPr>
            <sz val="9"/>
            <rFont val="宋体"/>
            <charset val="0"/>
          </rPr>
          <t xml:space="preserve">
1001866 7/18 180pcs</t>
        </r>
      </text>
    </comment>
    <comment ref="AI1274" authorId="2">
      <text>
        <r>
          <rPr>
            <b/>
            <sz val="9"/>
            <rFont val="宋体"/>
            <charset val="0"/>
          </rPr>
          <t>石玉珍:</t>
        </r>
        <r>
          <rPr>
            <sz val="9"/>
            <rFont val="宋体"/>
            <charset val="0"/>
          </rPr>
          <t xml:space="preserve">
1001719 7/20 1008pcs</t>
        </r>
      </text>
    </comment>
    <comment ref="AL1274" authorId="2">
      <text>
        <r>
          <rPr>
            <b/>
            <sz val="9"/>
            <rFont val="宋体"/>
            <charset val="0"/>
          </rPr>
          <t>石玉珍:</t>
        </r>
        <r>
          <rPr>
            <sz val="9"/>
            <rFont val="宋体"/>
            <charset val="0"/>
          </rPr>
          <t xml:space="preserve">
7/9 Kinderherz 2025 logo贴纸 1008pcs
地址贴纸 1008pcs</t>
        </r>
      </text>
    </comment>
    <comment ref="AI1275" authorId="2">
      <text>
        <r>
          <rPr>
            <b/>
            <sz val="9"/>
            <rFont val="宋体"/>
            <charset val="0"/>
          </rPr>
          <t>石玉珍:</t>
        </r>
        <r>
          <rPr>
            <sz val="9"/>
            <rFont val="宋体"/>
            <charset val="0"/>
          </rPr>
          <t xml:space="preserve">
1001866 7/18 720pcs</t>
        </r>
      </text>
    </comment>
    <comment ref="AL1275" authorId="2">
      <text>
        <r>
          <rPr>
            <b/>
            <sz val="9"/>
            <rFont val="宋体"/>
            <charset val="0"/>
          </rPr>
          <t>石玉珍:</t>
        </r>
        <r>
          <rPr>
            <sz val="9"/>
            <rFont val="宋体"/>
            <charset val="0"/>
          </rPr>
          <t xml:space="preserve">
7/10 保证书 720pcs</t>
        </r>
        <r>
          <rPr>
            <b/>
            <sz val="9"/>
            <rFont val="宋体"/>
            <charset val="0"/>
          </rPr>
          <t xml:space="preserve">
石玉珍:</t>
        </r>
        <r>
          <rPr>
            <sz val="9"/>
            <rFont val="宋体"/>
            <charset val="0"/>
          </rPr>
          <t xml:space="preserve">
7/11 UPC贴纸 720pcs
进口商贴纸 720pcs</t>
        </r>
      </text>
    </comment>
    <comment ref="AI1276" authorId="2">
      <text>
        <r>
          <rPr>
            <b/>
            <sz val="9"/>
            <rFont val="宋体"/>
            <charset val="0"/>
          </rPr>
          <t>石玉珍:</t>
        </r>
        <r>
          <rPr>
            <sz val="9"/>
            <rFont val="宋体"/>
            <charset val="0"/>
          </rPr>
          <t xml:space="preserve">
1001873 7/17 1504pcs</t>
        </r>
      </text>
    </comment>
    <comment ref="AL1276" authorId="2">
      <text>
        <r>
          <rPr>
            <b/>
            <sz val="9"/>
            <rFont val="宋体"/>
            <charset val="0"/>
          </rPr>
          <t>石玉珍:</t>
        </r>
        <r>
          <rPr>
            <sz val="9"/>
            <rFont val="宋体"/>
            <charset val="0"/>
          </rPr>
          <t xml:space="preserve">
7/10 地址贴纸 1504pcs</t>
        </r>
        <r>
          <rPr>
            <b/>
            <sz val="9"/>
            <rFont val="宋体"/>
            <charset val="0"/>
          </rPr>
          <t xml:space="preserve">
石玉珍:</t>
        </r>
        <r>
          <rPr>
            <sz val="9"/>
            <rFont val="宋体"/>
            <charset val="0"/>
          </rPr>
          <t xml:space="preserve">
7/10 收缩膜+PDQ Kinderherz 1504pcs</t>
        </r>
      </text>
    </comment>
    <comment ref="AI1277" authorId="2">
      <text>
        <r>
          <rPr>
            <b/>
            <sz val="9"/>
            <rFont val="宋体"/>
            <charset val="0"/>
          </rPr>
          <t>石玉珍:</t>
        </r>
        <r>
          <rPr>
            <sz val="9"/>
            <rFont val="宋体"/>
            <charset val="0"/>
          </rPr>
          <t xml:space="preserve">
1001876 7/17 3000pcs</t>
        </r>
      </text>
    </comment>
    <comment ref="AL1277" authorId="2">
      <text>
        <r>
          <rPr>
            <b/>
            <sz val="9"/>
            <rFont val="宋体"/>
            <charset val="0"/>
          </rPr>
          <t>石玉珍:</t>
        </r>
        <r>
          <rPr>
            <sz val="9"/>
            <rFont val="宋体"/>
            <charset val="0"/>
          </rPr>
          <t xml:space="preserve">
7/6 进口商贴纸 3000pcs
UPC贴纸 3000pcs</t>
        </r>
      </text>
    </comment>
    <comment ref="AI1278" authorId="2">
      <text>
        <r>
          <rPr>
            <b/>
            <sz val="9"/>
            <rFont val="宋体"/>
            <charset val="0"/>
          </rPr>
          <t>石玉珍:</t>
        </r>
        <r>
          <rPr>
            <sz val="9"/>
            <rFont val="宋体"/>
            <charset val="0"/>
          </rPr>
          <t xml:space="preserve">
1001873 7/17 960pcs</t>
        </r>
      </text>
    </comment>
    <comment ref="AL1278" authorId="2">
      <text>
        <r>
          <rPr>
            <b/>
            <sz val="9"/>
            <rFont val="宋体"/>
            <charset val="0"/>
          </rPr>
          <t>石玉珍:</t>
        </r>
        <r>
          <rPr>
            <sz val="9"/>
            <rFont val="宋体"/>
            <charset val="0"/>
          </rPr>
          <t xml:space="preserve">
7/8 进口商贴纸 960pcs
条码贴纸 960pcs</t>
        </r>
      </text>
    </comment>
    <comment ref="AI1279" authorId="2">
      <text>
        <r>
          <rPr>
            <b/>
            <sz val="9"/>
            <rFont val="宋体"/>
            <charset val="0"/>
          </rPr>
          <t>石玉珍:</t>
        </r>
        <r>
          <rPr>
            <sz val="9"/>
            <rFont val="宋体"/>
            <charset val="0"/>
          </rPr>
          <t xml:space="preserve">
1001873 7/17 504pcs</t>
        </r>
      </text>
    </comment>
    <comment ref="AL1279" authorId="2">
      <text>
        <r>
          <rPr>
            <b/>
            <sz val="9"/>
            <rFont val="宋体"/>
            <charset val="0"/>
          </rPr>
          <t>石玉珍:</t>
        </r>
        <r>
          <rPr>
            <sz val="9"/>
            <rFont val="宋体"/>
            <charset val="0"/>
          </rPr>
          <t xml:space="preserve">
7/7 进口商贴纸 504pcs
UPC条码贴纸 504pcs</t>
        </r>
      </text>
    </comment>
    <comment ref="AI1281" authorId="2">
      <text>
        <r>
          <rPr>
            <b/>
            <sz val="9"/>
            <rFont val="宋体"/>
            <charset val="0"/>
          </rPr>
          <t>石玉珍:</t>
        </r>
        <r>
          <rPr>
            <sz val="9"/>
            <rFont val="宋体"/>
            <charset val="0"/>
          </rPr>
          <t xml:space="preserve">
1001882 7/18 24pcs</t>
        </r>
        <r>
          <rPr>
            <b/>
            <sz val="9"/>
            <rFont val="宋体"/>
            <charset val="0"/>
          </rPr>
          <t xml:space="preserve">
石玉珍:</t>
        </r>
        <r>
          <rPr>
            <sz val="9"/>
            <rFont val="宋体"/>
            <charset val="0"/>
          </rPr>
          <t xml:space="preserve">
1001836 7/20 3960pcs</t>
        </r>
        <r>
          <rPr>
            <b/>
            <sz val="9"/>
            <rFont val="宋体"/>
            <charset val="0"/>
          </rPr>
          <t xml:space="preserve">
石玉珍:</t>
        </r>
        <r>
          <rPr>
            <sz val="9"/>
            <rFont val="宋体"/>
            <charset val="0"/>
          </rPr>
          <t xml:space="preserve">
1001749 7/22 24pcs</t>
        </r>
      </text>
    </comment>
    <comment ref="AL1281" authorId="2">
      <text>
        <r>
          <rPr>
            <b/>
            <sz val="9"/>
            <rFont val="宋体"/>
            <charset val="0"/>
          </rPr>
          <t>石玉珍:</t>
        </r>
        <r>
          <rPr>
            <sz val="9"/>
            <rFont val="宋体"/>
            <charset val="0"/>
          </rPr>
          <t xml:space="preserve">
7/6 客版价格贴纸 4008pcs
SSCC label 外箱贴 334pcs</t>
        </r>
      </text>
    </comment>
    <comment ref="AI1283" authorId="2">
      <text>
        <r>
          <rPr>
            <b/>
            <sz val="9"/>
            <rFont val="宋体"/>
            <charset val="0"/>
          </rPr>
          <t>石玉珍:</t>
        </r>
        <r>
          <rPr>
            <sz val="9"/>
            <rFont val="宋体"/>
            <charset val="0"/>
          </rPr>
          <t xml:space="preserve">
1001852 7/23 500pcs</t>
        </r>
      </text>
    </comment>
    <comment ref="AI1284" authorId="2">
      <text>
        <r>
          <rPr>
            <b/>
            <sz val="9"/>
            <rFont val="宋体"/>
            <charset val="0"/>
          </rPr>
          <t>石玉珍:</t>
        </r>
        <r>
          <rPr>
            <sz val="9"/>
            <rFont val="宋体"/>
            <charset val="0"/>
          </rPr>
          <t xml:space="preserve">
1001836 7/20 128pcs</t>
        </r>
      </text>
    </comment>
    <comment ref="AI1288" authorId="2">
      <text>
        <r>
          <rPr>
            <b/>
            <sz val="9"/>
            <rFont val="宋体"/>
            <charset val="0"/>
          </rPr>
          <t>石玉珍:</t>
        </r>
        <r>
          <rPr>
            <sz val="9"/>
            <rFont val="宋体"/>
            <charset val="0"/>
          </rPr>
          <t xml:space="preserve">
1001852 7/23 1896pcs</t>
        </r>
      </text>
    </comment>
    <comment ref="AI1289" authorId="2">
      <text>
        <r>
          <rPr>
            <b/>
            <sz val="9"/>
            <rFont val="宋体"/>
            <charset val="0"/>
          </rPr>
          <t>石玉珍:</t>
        </r>
        <r>
          <rPr>
            <sz val="9"/>
            <rFont val="宋体"/>
            <charset val="0"/>
          </rPr>
          <t xml:space="preserve">
1001848 7/23 2700pcs</t>
        </r>
        <r>
          <rPr>
            <b/>
            <sz val="9"/>
            <rFont val="宋体"/>
            <charset val="0"/>
          </rPr>
          <t xml:space="preserve">
石玉珍:</t>
        </r>
        <r>
          <rPr>
            <sz val="9"/>
            <rFont val="宋体"/>
            <charset val="0"/>
          </rPr>
          <t xml:space="preserve">
1001766 7/23 15360pcs</t>
        </r>
      </text>
    </comment>
    <comment ref="AL1289" authorId="2">
      <text>
        <r>
          <rPr>
            <b/>
            <sz val="9"/>
            <rFont val="宋体"/>
            <charset val="0"/>
          </rPr>
          <t>石玉珍:</t>
        </r>
        <r>
          <rPr>
            <sz val="9"/>
            <rFont val="宋体"/>
            <charset val="0"/>
          </rPr>
          <t xml:space="preserve">
7/11 价格贴纸 18060pcs
外箱条码贴纸  3010pcs</t>
        </r>
      </text>
    </comment>
    <comment ref="AI1290" authorId="2">
      <text>
        <r>
          <rPr>
            <b/>
            <sz val="9"/>
            <rFont val="宋体"/>
            <charset val="0"/>
          </rPr>
          <t>石玉珍:</t>
        </r>
        <r>
          <rPr>
            <sz val="9"/>
            <rFont val="宋体"/>
            <charset val="0"/>
          </rPr>
          <t xml:space="preserve">
1001873 7/17 600pcs</t>
        </r>
      </text>
    </comment>
    <comment ref="AL1290" authorId="2">
      <text>
        <r>
          <rPr>
            <b/>
            <sz val="9"/>
            <rFont val="宋体"/>
            <charset val="0"/>
          </rPr>
          <t>石玉珍:</t>
        </r>
        <r>
          <rPr>
            <sz val="9"/>
            <rFont val="宋体"/>
            <charset val="0"/>
          </rPr>
          <t xml:space="preserve">
7/9 UPC贴纸 600pcs
进口商贴纸 1200pcs</t>
        </r>
      </text>
    </comment>
    <comment ref="AI1291" authorId="2">
      <text>
        <r>
          <rPr>
            <b/>
            <sz val="9"/>
            <rFont val="宋体"/>
            <charset val="0"/>
          </rPr>
          <t>石玉珍:</t>
        </r>
        <r>
          <rPr>
            <sz val="9"/>
            <rFont val="宋体"/>
            <charset val="0"/>
          </rPr>
          <t xml:space="preserve">
1001873 7/17 528pcs</t>
        </r>
        <r>
          <rPr>
            <b/>
            <sz val="9"/>
            <rFont val="宋体"/>
            <charset val="0"/>
          </rPr>
          <t xml:space="preserve">
石玉珍:</t>
        </r>
        <r>
          <rPr>
            <sz val="9"/>
            <rFont val="宋体"/>
            <charset val="0"/>
          </rPr>
          <t xml:space="preserve">
1001719 7/20 16pcs</t>
        </r>
      </text>
    </comment>
    <comment ref="AL1291" authorId="2">
      <text>
        <r>
          <rPr>
            <b/>
            <sz val="9"/>
            <rFont val="宋体"/>
            <charset val="0"/>
          </rPr>
          <t>石玉珍:</t>
        </r>
        <r>
          <rPr>
            <sz val="9"/>
            <rFont val="宋体"/>
            <charset val="0"/>
          </rPr>
          <t xml:space="preserve">
6/17 价格贴纸 528pcs</t>
        </r>
        <r>
          <rPr>
            <b/>
            <sz val="9"/>
            <rFont val="宋体"/>
            <charset val="0"/>
          </rPr>
          <t xml:space="preserve">
石玉珍:</t>
        </r>
        <r>
          <rPr>
            <sz val="9"/>
            <rFont val="宋体"/>
            <charset val="0"/>
          </rPr>
          <t xml:space="preserve">
6/26 客供外箱条码贴纸 33pcs</t>
        </r>
      </text>
    </comment>
    <comment ref="AI1292" authorId="2">
      <text>
        <r>
          <rPr>
            <b/>
            <sz val="9"/>
            <rFont val="宋体"/>
            <charset val="0"/>
          </rPr>
          <t>石玉珍:</t>
        </r>
        <r>
          <rPr>
            <sz val="9"/>
            <rFont val="宋体"/>
            <charset val="0"/>
          </rPr>
          <t xml:space="preserve">
1001873 7/17 1500pcs</t>
        </r>
      </text>
    </comment>
    <comment ref="AL1292" authorId="2">
      <text>
        <r>
          <rPr>
            <b/>
            <sz val="9"/>
            <rFont val="宋体"/>
            <charset val="0"/>
          </rPr>
          <t>石玉珍:</t>
        </r>
        <r>
          <rPr>
            <sz val="9"/>
            <rFont val="宋体"/>
            <charset val="0"/>
          </rPr>
          <t xml:space="preserve">
7/7 进口商贴纸 1500pcs
UPC条码贴纸 1500pcs</t>
        </r>
      </text>
    </comment>
    <comment ref="AI1293" authorId="2">
      <text>
        <r>
          <rPr>
            <b/>
            <sz val="9"/>
            <rFont val="宋体"/>
            <charset val="0"/>
          </rPr>
          <t>石玉珍:</t>
        </r>
        <r>
          <rPr>
            <sz val="9"/>
            <rFont val="宋体"/>
            <charset val="0"/>
          </rPr>
          <t xml:space="preserve">
1001696 7/27 7000pcs</t>
        </r>
      </text>
    </comment>
    <comment ref="AI1294" authorId="2">
      <text>
        <r>
          <rPr>
            <b/>
            <sz val="9"/>
            <rFont val="宋体"/>
            <charset val="0"/>
          </rPr>
          <t>石玉珍:</t>
        </r>
        <r>
          <rPr>
            <sz val="9"/>
            <rFont val="宋体"/>
            <charset val="0"/>
          </rPr>
          <t xml:space="preserve">
1001804 7/24 240pcs</t>
        </r>
      </text>
    </comment>
    <comment ref="AL1294" authorId="2">
      <text>
        <r>
          <rPr>
            <b/>
            <sz val="9"/>
            <rFont val="宋体"/>
            <charset val="0"/>
          </rPr>
          <t>石玉珍:</t>
        </r>
        <r>
          <rPr>
            <sz val="9"/>
            <rFont val="宋体"/>
            <charset val="0"/>
          </rPr>
          <t xml:space="preserve">
7/15 通用进口商贴纸 240pcs</t>
        </r>
      </text>
    </comment>
    <comment ref="AI1295" authorId="2">
      <text>
        <r>
          <rPr>
            <b/>
            <sz val="9"/>
            <rFont val="宋体"/>
            <charset val="0"/>
          </rPr>
          <t>石玉珍:</t>
        </r>
        <r>
          <rPr>
            <sz val="9"/>
            <rFont val="宋体"/>
            <charset val="0"/>
          </rPr>
          <t xml:space="preserve">
1001811 7/24 600pcs</t>
        </r>
      </text>
    </comment>
    <comment ref="AL1295" authorId="2">
      <text>
        <r>
          <rPr>
            <b/>
            <sz val="9"/>
            <rFont val="宋体"/>
            <charset val="0"/>
          </rPr>
          <t>石玉珍:</t>
        </r>
        <r>
          <rPr>
            <sz val="9"/>
            <rFont val="宋体"/>
            <charset val="0"/>
          </rPr>
          <t xml:space="preserve">
6/25 客供ASN贴纸 50pcs</t>
        </r>
        <r>
          <rPr>
            <b/>
            <sz val="9"/>
            <rFont val="宋体"/>
            <charset val="0"/>
          </rPr>
          <t xml:space="preserve">
石玉珍:</t>
        </r>
        <r>
          <rPr>
            <sz val="9"/>
            <rFont val="宋体"/>
            <charset val="0"/>
          </rPr>
          <t xml:space="preserve">
客供H条码贴纸 50pcs</t>
        </r>
        <r>
          <rPr>
            <b/>
            <sz val="9"/>
            <rFont val="宋体"/>
            <charset val="0"/>
          </rPr>
          <t xml:space="preserve">
石玉珍:</t>
        </r>
        <r>
          <rPr>
            <sz val="9"/>
            <rFont val="宋体"/>
            <charset val="0"/>
          </rPr>
          <t xml:space="preserve">
客供HU’S(条形码)贴纸 50pcs</t>
        </r>
        <r>
          <rPr>
            <b/>
            <sz val="9"/>
            <rFont val="宋体"/>
            <charset val="0"/>
          </rPr>
          <t xml:space="preserve">
石玉珍:</t>
        </r>
        <r>
          <rPr>
            <sz val="9"/>
            <rFont val="宋体"/>
            <charset val="0"/>
          </rPr>
          <t xml:space="preserve">
7/10 价格贴纸 600pcs</t>
        </r>
        <r>
          <rPr>
            <b/>
            <sz val="9"/>
            <rFont val="宋体"/>
            <charset val="0"/>
          </rPr>
          <t xml:space="preserve">
石玉珍:</t>
        </r>
        <r>
          <rPr>
            <sz val="9"/>
            <rFont val="宋体"/>
            <charset val="0"/>
          </rPr>
          <t xml:space="preserve">
7/11 说明书贴纸 600pcs</t>
        </r>
        <r>
          <rPr>
            <b/>
            <sz val="9"/>
            <rFont val="宋体"/>
            <charset val="0"/>
          </rPr>
          <t xml:space="preserve">
石玉珍:</t>
        </r>
        <r>
          <rPr>
            <sz val="9"/>
            <rFont val="宋体"/>
            <charset val="0"/>
          </rPr>
          <t xml:space="preserve">
7/11 进口商贴纸 600pcs</t>
        </r>
      </text>
    </comment>
    <comment ref="AI1296" authorId="2">
      <text>
        <r>
          <rPr>
            <b/>
            <sz val="9"/>
            <rFont val="宋体"/>
            <charset val="0"/>
          </rPr>
          <t>石玉珍:</t>
        </r>
        <r>
          <rPr>
            <sz val="9"/>
            <rFont val="宋体"/>
            <charset val="0"/>
          </rPr>
          <t xml:space="preserve">
2801358 7/25 204pcs</t>
        </r>
      </text>
    </comment>
    <comment ref="AI1299" authorId="2">
      <text>
        <r>
          <rPr>
            <b/>
            <sz val="9"/>
            <rFont val="宋体"/>
            <charset val="0"/>
          </rPr>
          <t>石玉珍:</t>
        </r>
        <r>
          <rPr>
            <sz val="9"/>
            <rFont val="宋体"/>
            <charset val="0"/>
          </rPr>
          <t xml:space="preserve">
1001851 7/23 24pcs</t>
        </r>
      </text>
    </comment>
    <comment ref="AL1299"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
</t>
        </r>
      </text>
    </comment>
    <comment ref="AI1300" authorId="2">
      <text>
        <r>
          <rPr>
            <b/>
            <sz val="9"/>
            <rFont val="宋体"/>
            <charset val="0"/>
          </rPr>
          <t>石玉珍:</t>
        </r>
        <r>
          <rPr>
            <sz val="9"/>
            <rFont val="宋体"/>
            <charset val="0"/>
          </rPr>
          <t xml:space="preserve">
1001851 7/23 24pcs</t>
        </r>
      </text>
    </comment>
    <comment ref="AL1300"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1" authorId="2">
      <text>
        <r>
          <rPr>
            <b/>
            <sz val="9"/>
            <rFont val="宋体"/>
            <charset val="0"/>
          </rPr>
          <t>石玉珍:</t>
        </r>
        <r>
          <rPr>
            <sz val="9"/>
            <rFont val="宋体"/>
            <charset val="0"/>
          </rPr>
          <t xml:space="preserve">
1001851 7/23 24pcs</t>
        </r>
      </text>
    </comment>
    <comment ref="AL1301"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2" authorId="2">
      <text>
        <r>
          <rPr>
            <b/>
            <sz val="9"/>
            <rFont val="宋体"/>
            <charset val="0"/>
          </rPr>
          <t>石玉珍:</t>
        </r>
        <r>
          <rPr>
            <sz val="9"/>
            <rFont val="宋体"/>
            <charset val="0"/>
          </rPr>
          <t xml:space="preserve">
1001851 7/23 24pcs</t>
        </r>
      </text>
    </comment>
    <comment ref="AL1302"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3" authorId="2">
      <text>
        <r>
          <rPr>
            <b/>
            <sz val="9"/>
            <rFont val="宋体"/>
            <charset val="0"/>
          </rPr>
          <t>石玉珍:</t>
        </r>
        <r>
          <rPr>
            <sz val="9"/>
            <rFont val="宋体"/>
            <charset val="0"/>
          </rPr>
          <t xml:space="preserve">
1001851 7/23 36pcs</t>
        </r>
      </text>
    </comment>
    <comment ref="AL1303" authorId="2">
      <text>
        <r>
          <rPr>
            <b/>
            <sz val="9"/>
            <rFont val="宋体"/>
            <charset val="0"/>
          </rPr>
          <t>石玉珍:</t>
        </r>
        <r>
          <rPr>
            <sz val="9"/>
            <rFont val="宋体"/>
            <charset val="0"/>
          </rPr>
          <t xml:space="preserve">
7/8 UPC贴纸 36pcs</t>
        </r>
        <r>
          <rPr>
            <b/>
            <sz val="9"/>
            <rFont val="宋体"/>
            <charset val="0"/>
          </rPr>
          <t xml:space="preserve">
石玉珍:</t>
        </r>
        <r>
          <rPr>
            <sz val="9"/>
            <rFont val="宋体"/>
            <charset val="0"/>
          </rPr>
          <t xml:space="preserve">
7/10 客供亚马逊外箱贴纸 3pcs</t>
        </r>
      </text>
    </comment>
    <comment ref="AI1304" authorId="2">
      <text>
        <r>
          <rPr>
            <b/>
            <sz val="9"/>
            <rFont val="宋体"/>
            <charset val="0"/>
          </rPr>
          <t>石玉珍:</t>
        </r>
        <r>
          <rPr>
            <sz val="9"/>
            <rFont val="宋体"/>
            <charset val="0"/>
          </rPr>
          <t xml:space="preserve">
1001851 7/23 48pcs</t>
        </r>
      </text>
    </comment>
    <comment ref="AL1304" authorId="2">
      <text>
        <r>
          <rPr>
            <b/>
            <sz val="9"/>
            <rFont val="宋体"/>
            <charset val="0"/>
          </rPr>
          <t>石玉珍:</t>
        </r>
        <r>
          <rPr>
            <sz val="9"/>
            <rFont val="宋体"/>
            <charset val="0"/>
          </rPr>
          <t xml:space="preserve">
7/8 UPC贴纸 48pcs</t>
        </r>
        <r>
          <rPr>
            <b/>
            <sz val="9"/>
            <rFont val="宋体"/>
            <charset val="0"/>
          </rPr>
          <t xml:space="preserve">
石玉珍:</t>
        </r>
        <r>
          <rPr>
            <sz val="9"/>
            <rFont val="宋体"/>
            <charset val="0"/>
          </rPr>
          <t xml:space="preserve">
7/10 客供亚马逊外箱贴纸 4pcs</t>
        </r>
      </text>
    </comment>
    <comment ref="AI1305" authorId="2">
      <text>
        <r>
          <rPr>
            <b/>
            <sz val="9"/>
            <rFont val="宋体"/>
            <charset val="0"/>
          </rPr>
          <t>石玉珍:</t>
        </r>
        <r>
          <rPr>
            <sz val="9"/>
            <rFont val="宋体"/>
            <charset val="0"/>
          </rPr>
          <t xml:space="preserve">
1001851 7/23 24pcs</t>
        </r>
      </text>
    </comment>
    <comment ref="AL1305"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6" authorId="2">
      <text>
        <r>
          <rPr>
            <b/>
            <sz val="9"/>
            <rFont val="宋体"/>
            <charset val="0"/>
          </rPr>
          <t>石玉珍:</t>
        </r>
        <r>
          <rPr>
            <sz val="9"/>
            <rFont val="宋体"/>
            <charset val="0"/>
          </rPr>
          <t xml:space="preserve">
1001851 7/23 24pcs</t>
        </r>
      </text>
    </comment>
    <comment ref="AL1306"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7" authorId="2">
      <text>
        <r>
          <rPr>
            <b/>
            <sz val="9"/>
            <rFont val="宋体"/>
            <charset val="0"/>
          </rPr>
          <t>石玉珍:</t>
        </r>
        <r>
          <rPr>
            <sz val="9"/>
            <rFont val="宋体"/>
            <charset val="0"/>
          </rPr>
          <t xml:space="preserve">
1001851 7/23 24pcs</t>
        </r>
      </text>
    </comment>
    <comment ref="AL1307" authorId="2">
      <text>
        <r>
          <rPr>
            <b/>
            <sz val="9"/>
            <rFont val="宋体"/>
            <charset val="0"/>
          </rPr>
          <t>石玉珍:</t>
        </r>
        <r>
          <rPr>
            <sz val="9"/>
            <rFont val="宋体"/>
            <charset val="0"/>
          </rPr>
          <t xml:space="preserve">
7/8 UPC贴纸 24pcs</t>
        </r>
        <r>
          <rPr>
            <b/>
            <sz val="9"/>
            <rFont val="宋体"/>
            <charset val="0"/>
          </rPr>
          <t xml:space="preserve">
石玉珍:</t>
        </r>
        <r>
          <rPr>
            <sz val="9"/>
            <rFont val="宋体"/>
            <charset val="0"/>
          </rPr>
          <t xml:space="preserve">
7/10 客供亚马逊外箱贴纸 2pcs</t>
        </r>
      </text>
    </comment>
    <comment ref="AI1308" authorId="2">
      <text>
        <r>
          <rPr>
            <b/>
            <sz val="9"/>
            <rFont val="宋体"/>
            <charset val="0"/>
          </rPr>
          <t>石玉珍:</t>
        </r>
        <r>
          <rPr>
            <sz val="9"/>
            <rFont val="宋体"/>
            <charset val="0"/>
          </rPr>
          <t xml:space="preserve">
1001851 7/23 36pcs</t>
        </r>
      </text>
    </comment>
    <comment ref="AL1308" authorId="2">
      <text>
        <r>
          <rPr>
            <b/>
            <sz val="9"/>
            <rFont val="宋体"/>
            <charset val="0"/>
          </rPr>
          <t>石玉珍:</t>
        </r>
        <r>
          <rPr>
            <sz val="9"/>
            <rFont val="宋体"/>
            <charset val="0"/>
          </rPr>
          <t xml:space="preserve">
7/8 UPC贴纸 36pcs</t>
        </r>
      </text>
    </comment>
    <comment ref="AI1309" authorId="2">
      <text>
        <r>
          <rPr>
            <b/>
            <sz val="9"/>
            <rFont val="宋体"/>
            <charset val="0"/>
          </rPr>
          <t>石玉珍:</t>
        </r>
        <r>
          <rPr>
            <sz val="9"/>
            <rFont val="宋体"/>
            <charset val="0"/>
          </rPr>
          <t xml:space="preserve">
1001851 7/23 36pcs</t>
        </r>
      </text>
    </comment>
    <comment ref="AL1309" authorId="2">
      <text>
        <r>
          <rPr>
            <b/>
            <sz val="9"/>
            <rFont val="宋体"/>
            <charset val="0"/>
          </rPr>
          <t>石玉珍:</t>
        </r>
        <r>
          <rPr>
            <sz val="9"/>
            <rFont val="宋体"/>
            <charset val="0"/>
          </rPr>
          <t xml:space="preserve">
7/8 UPC贴纸 36pcs</t>
        </r>
      </text>
    </comment>
    <comment ref="AI1310" authorId="2">
      <text>
        <r>
          <rPr>
            <b/>
            <sz val="9"/>
            <rFont val="宋体"/>
            <charset val="0"/>
          </rPr>
          <t>石玉珍:</t>
        </r>
        <r>
          <rPr>
            <sz val="9"/>
            <rFont val="宋体"/>
            <charset val="0"/>
          </rPr>
          <t xml:space="preserve">
1001851 7/23 36pcs</t>
        </r>
      </text>
    </comment>
    <comment ref="AL1310" authorId="2">
      <text>
        <r>
          <rPr>
            <b/>
            <sz val="9"/>
            <rFont val="宋体"/>
            <charset val="0"/>
          </rPr>
          <t>石玉珍:</t>
        </r>
        <r>
          <rPr>
            <sz val="9"/>
            <rFont val="宋体"/>
            <charset val="0"/>
          </rPr>
          <t xml:space="preserve">
7/8 UPC贴纸 36pcs</t>
        </r>
      </text>
    </comment>
    <comment ref="AI1311" authorId="2">
      <text>
        <r>
          <rPr>
            <b/>
            <sz val="9"/>
            <rFont val="宋体"/>
            <charset val="0"/>
          </rPr>
          <t>石玉珍:</t>
        </r>
        <r>
          <rPr>
            <sz val="9"/>
            <rFont val="宋体"/>
            <charset val="0"/>
          </rPr>
          <t xml:space="preserve">
1001851 7/23 24pcs</t>
        </r>
      </text>
    </comment>
    <comment ref="AL1311" authorId="2">
      <text>
        <r>
          <rPr>
            <b/>
            <sz val="9"/>
            <rFont val="宋体"/>
            <charset val="0"/>
          </rPr>
          <t>石玉珍:</t>
        </r>
        <r>
          <rPr>
            <sz val="9"/>
            <rFont val="宋体"/>
            <charset val="0"/>
          </rPr>
          <t xml:space="preserve">
7/8 UPC贴纸 24pcs</t>
        </r>
      </text>
    </comment>
    <comment ref="AI1312" authorId="2">
      <text>
        <r>
          <rPr>
            <b/>
            <sz val="9"/>
            <rFont val="宋体"/>
            <charset val="0"/>
          </rPr>
          <t>石玉珍:</t>
        </r>
        <r>
          <rPr>
            <sz val="9"/>
            <rFont val="宋体"/>
            <charset val="0"/>
          </rPr>
          <t xml:space="preserve">
1001716 7/27 1200PCS</t>
        </r>
      </text>
    </comment>
    <comment ref="AL1312" authorId="2">
      <text>
        <r>
          <rPr>
            <b/>
            <sz val="9"/>
            <rFont val="宋体"/>
            <charset val="0"/>
          </rPr>
          <t>石玉珍:</t>
        </r>
        <r>
          <rPr>
            <sz val="9"/>
            <rFont val="宋体"/>
            <charset val="0"/>
          </rPr>
          <t xml:space="preserve">
7/15 UPC贴纸 1200pcs</t>
        </r>
        <r>
          <rPr>
            <b/>
            <sz val="9"/>
            <rFont val="宋体"/>
            <charset val="0"/>
          </rPr>
          <t xml:space="preserve">
石玉珍:</t>
        </r>
        <r>
          <rPr>
            <sz val="9"/>
            <rFont val="宋体"/>
            <charset val="0"/>
          </rPr>
          <t xml:space="preserve">
7/16 进口商贴纸 1200pcs</t>
        </r>
      </text>
    </comment>
    <comment ref="AI1313" authorId="2">
      <text>
        <r>
          <rPr>
            <b/>
            <sz val="9"/>
            <rFont val="宋体"/>
            <charset val="0"/>
          </rPr>
          <t>石玉珍:</t>
        </r>
        <r>
          <rPr>
            <sz val="9"/>
            <rFont val="宋体"/>
            <charset val="0"/>
          </rPr>
          <t xml:space="preserve">
1001716 7/27 1000pcs</t>
        </r>
      </text>
    </comment>
    <comment ref="AL1313" authorId="2">
      <text>
        <r>
          <rPr>
            <b/>
            <sz val="9"/>
            <rFont val="宋体"/>
            <charset val="0"/>
          </rPr>
          <t>石玉珍:</t>
        </r>
        <r>
          <rPr>
            <sz val="9"/>
            <rFont val="宋体"/>
            <charset val="0"/>
          </rPr>
          <t xml:space="preserve">
7/13 大语警告语贴 1000pcs
小语警告语贴 3000pcs
丹麦瑞典芬兰挪威警告语贴纸 1000pcs</t>
        </r>
      </text>
    </comment>
    <comment ref="AI1314" authorId="2">
      <text>
        <r>
          <rPr>
            <b/>
            <sz val="9"/>
            <rFont val="宋体"/>
            <charset val="0"/>
          </rPr>
          <t>石玉珍:</t>
        </r>
        <r>
          <rPr>
            <sz val="9"/>
            <rFont val="宋体"/>
            <charset val="0"/>
          </rPr>
          <t xml:space="preserve">
1001716 7/27 2000PCS</t>
        </r>
      </text>
    </comment>
    <comment ref="AL1314" authorId="2">
      <text>
        <r>
          <rPr>
            <b/>
            <sz val="9"/>
            <rFont val="宋体"/>
            <charset val="0"/>
          </rPr>
          <t>石玉珍:</t>
        </r>
        <r>
          <rPr>
            <sz val="9"/>
            <rFont val="宋体"/>
            <charset val="0"/>
          </rPr>
          <t xml:space="preserve">
7/18 LOGO 2000pcs</t>
        </r>
        <r>
          <rPr>
            <b/>
            <sz val="9"/>
            <rFont val="宋体"/>
            <charset val="0"/>
          </rPr>
          <t xml:space="preserve">
石玉珍:</t>
        </r>
        <r>
          <rPr>
            <sz val="9"/>
            <rFont val="宋体"/>
            <charset val="0"/>
          </rPr>
          <t xml:space="preserve">
7/18 地址贴纸 2000pcs</t>
        </r>
      </text>
    </comment>
    <comment ref="AI1315" authorId="2">
      <text>
        <r>
          <rPr>
            <b/>
            <sz val="9"/>
            <rFont val="宋体"/>
            <charset val="0"/>
          </rPr>
          <t>石玉珍:</t>
        </r>
        <r>
          <rPr>
            <sz val="9"/>
            <rFont val="宋体"/>
            <charset val="0"/>
          </rPr>
          <t xml:space="preserve">
1001716 7/27 480pcs</t>
        </r>
      </text>
    </comment>
    <comment ref="AL1315" authorId="2">
      <text>
        <r>
          <rPr>
            <b/>
            <sz val="9"/>
            <rFont val="宋体"/>
            <charset val="0"/>
          </rPr>
          <t>石玉珍:</t>
        </r>
        <r>
          <rPr>
            <sz val="9"/>
            <rFont val="宋体"/>
            <charset val="0"/>
          </rPr>
          <t xml:space="preserve">
7/13 大电池警告语贴纸 960pcs
小电池警告语贴纸 480pcs</t>
        </r>
      </text>
    </comment>
    <comment ref="AI1316" authorId="2">
      <text>
        <r>
          <rPr>
            <b/>
            <sz val="9"/>
            <rFont val="宋体"/>
            <charset val="0"/>
          </rPr>
          <t>石玉珍:</t>
        </r>
        <r>
          <rPr>
            <sz val="9"/>
            <rFont val="宋体"/>
            <charset val="0"/>
          </rPr>
          <t xml:space="preserve">
1001716 7/27 3040PCS</t>
        </r>
      </text>
    </comment>
    <comment ref="AL1316" authorId="2">
      <text>
        <r>
          <rPr>
            <b/>
            <sz val="9"/>
            <rFont val="宋体"/>
            <charset val="0"/>
          </rPr>
          <t>石玉珍:</t>
        </r>
        <r>
          <rPr>
            <sz val="9"/>
            <rFont val="宋体"/>
            <charset val="0"/>
          </rPr>
          <t xml:space="preserve">
7/3  客供RFID贴纸  3040pcs</t>
        </r>
      </text>
    </comment>
    <comment ref="AI1317" authorId="2">
      <text>
        <r>
          <rPr>
            <b/>
            <sz val="9"/>
            <rFont val="宋体"/>
            <charset val="0"/>
          </rPr>
          <t>石玉珍:</t>
        </r>
        <r>
          <rPr>
            <sz val="9"/>
            <rFont val="宋体"/>
            <charset val="0"/>
          </rPr>
          <t xml:space="preserve">
1001716 7/27 1280PCS</t>
        </r>
      </text>
    </comment>
    <comment ref="AL1317" authorId="2">
      <text>
        <r>
          <rPr>
            <b/>
            <sz val="9"/>
            <rFont val="宋体"/>
            <charset val="0"/>
          </rPr>
          <t>石玉珍:</t>
        </r>
        <r>
          <rPr>
            <sz val="9"/>
            <rFont val="宋体"/>
            <charset val="0"/>
          </rPr>
          <t xml:space="preserve">
7/3  客供RFID贴纸  1280pcs</t>
        </r>
      </text>
    </comment>
    <comment ref="AI1318" authorId="2">
      <text>
        <r>
          <rPr>
            <b/>
            <sz val="9"/>
            <rFont val="宋体"/>
            <charset val="0"/>
          </rPr>
          <t>石玉珍:</t>
        </r>
        <r>
          <rPr>
            <sz val="9"/>
            <rFont val="宋体"/>
            <charset val="0"/>
          </rPr>
          <t xml:space="preserve">
1001828 7/26 1760pcs</t>
        </r>
      </text>
    </comment>
    <comment ref="AL1318" authorId="2">
      <text>
        <r>
          <rPr>
            <b/>
            <sz val="9"/>
            <rFont val="宋体"/>
            <charset val="0"/>
          </rPr>
          <t>石玉珍:</t>
        </r>
        <r>
          <rPr>
            <sz val="9"/>
            <rFont val="宋体"/>
            <charset val="0"/>
          </rPr>
          <t xml:space="preserve">
7/3  客供RFID贴纸  1760pcs</t>
        </r>
      </text>
    </comment>
    <comment ref="AI1319" authorId="2">
      <text>
        <r>
          <rPr>
            <b/>
            <sz val="9"/>
            <rFont val="宋体"/>
            <charset val="0"/>
          </rPr>
          <t>石玉珍:</t>
        </r>
        <r>
          <rPr>
            <sz val="9"/>
            <rFont val="宋体"/>
            <charset val="0"/>
          </rPr>
          <t xml:space="preserve">
1001716 7/27 2880PCS</t>
        </r>
      </text>
    </comment>
    <comment ref="AL1319" authorId="2">
      <text>
        <r>
          <rPr>
            <b/>
            <sz val="9"/>
            <rFont val="宋体"/>
            <charset val="0"/>
          </rPr>
          <t>石玉珍:</t>
        </r>
        <r>
          <rPr>
            <sz val="9"/>
            <rFont val="宋体"/>
            <charset val="0"/>
          </rPr>
          <t xml:space="preserve">
7/3  客供RFID贴纸  2880pcs</t>
        </r>
      </text>
    </comment>
    <comment ref="AI1320" authorId="2">
      <text>
        <r>
          <rPr>
            <b/>
            <sz val="9"/>
            <rFont val="宋体"/>
            <charset val="0"/>
          </rPr>
          <t>石玉珍:</t>
        </r>
        <r>
          <rPr>
            <sz val="9"/>
            <rFont val="宋体"/>
            <charset val="0"/>
          </rPr>
          <t xml:space="preserve">
1001828 7/265 1920pcs</t>
        </r>
      </text>
    </comment>
    <comment ref="AL1320" authorId="2">
      <text>
        <r>
          <rPr>
            <b/>
            <sz val="9"/>
            <rFont val="宋体"/>
            <charset val="0"/>
          </rPr>
          <t>石玉珍:</t>
        </r>
        <r>
          <rPr>
            <sz val="9"/>
            <rFont val="宋体"/>
            <charset val="0"/>
          </rPr>
          <t xml:space="preserve">
7/3  客供RFID贴纸  1920pcs</t>
        </r>
      </text>
    </comment>
    <comment ref="AI1321" authorId="2">
      <text>
        <r>
          <rPr>
            <b/>
            <sz val="9"/>
            <rFont val="宋体"/>
            <charset val="0"/>
          </rPr>
          <t>石玉珍:</t>
        </r>
        <r>
          <rPr>
            <sz val="9"/>
            <rFont val="宋体"/>
            <charset val="0"/>
          </rPr>
          <t xml:space="preserve">
1001696 7/27 1760pcs</t>
        </r>
      </text>
    </comment>
    <comment ref="AL1321" authorId="2">
      <text>
        <r>
          <rPr>
            <b/>
            <sz val="9"/>
            <rFont val="宋体"/>
            <charset val="0"/>
          </rPr>
          <t>石玉珍:</t>
        </r>
        <r>
          <rPr>
            <sz val="9"/>
            <rFont val="宋体"/>
            <charset val="0"/>
          </rPr>
          <t xml:space="preserve">
7/3  客供RFID贴纸  1760pcs</t>
        </r>
      </text>
    </comment>
    <comment ref="AI1322" authorId="2">
      <text>
        <r>
          <rPr>
            <b/>
            <sz val="9"/>
            <rFont val="宋体"/>
            <charset val="0"/>
          </rPr>
          <t>石玉珍:</t>
        </r>
        <r>
          <rPr>
            <sz val="9"/>
            <rFont val="宋体"/>
            <charset val="0"/>
          </rPr>
          <t xml:space="preserve">
1001828 7/265 3036pcs</t>
        </r>
        <r>
          <rPr>
            <b/>
            <sz val="9"/>
            <rFont val="宋体"/>
            <charset val="0"/>
          </rPr>
          <t xml:space="preserve">
石玉珍:</t>
        </r>
        <r>
          <rPr>
            <sz val="9"/>
            <rFont val="宋体"/>
            <charset val="0"/>
          </rPr>
          <t xml:space="preserve">
1001716 7/27 4pcs</t>
        </r>
      </text>
    </comment>
    <comment ref="AL1322" authorId="2">
      <text>
        <r>
          <rPr>
            <b/>
            <sz val="9"/>
            <rFont val="宋体"/>
            <charset val="0"/>
          </rPr>
          <t>石玉珍:</t>
        </r>
        <r>
          <rPr>
            <sz val="9"/>
            <rFont val="宋体"/>
            <charset val="0"/>
          </rPr>
          <t xml:space="preserve">
7/3  客供RFID贴纸  3040pcs</t>
        </r>
      </text>
    </comment>
    <comment ref="AI1323" authorId="2">
      <text>
        <r>
          <rPr>
            <b/>
            <sz val="9"/>
            <rFont val="宋体"/>
            <charset val="0"/>
          </rPr>
          <t>石玉珍:</t>
        </r>
        <r>
          <rPr>
            <sz val="9"/>
            <rFont val="宋体"/>
            <charset val="0"/>
          </rPr>
          <t xml:space="preserve">
1001716 7/27 2240PCS</t>
        </r>
      </text>
    </comment>
    <comment ref="AL1323" authorId="2">
      <text>
        <r>
          <rPr>
            <b/>
            <sz val="9"/>
            <rFont val="宋体"/>
            <charset val="0"/>
          </rPr>
          <t>石玉珍:</t>
        </r>
        <r>
          <rPr>
            <sz val="9"/>
            <rFont val="宋体"/>
            <charset val="0"/>
          </rPr>
          <t xml:space="preserve">
7/3  客供RFID贴纸  2240pcs</t>
        </r>
      </text>
    </comment>
    <comment ref="AI1325" authorId="2">
      <text>
        <r>
          <rPr>
            <b/>
            <sz val="9"/>
            <rFont val="宋体"/>
            <charset val="0"/>
          </rPr>
          <t>石玉珍:</t>
        </r>
        <r>
          <rPr>
            <sz val="9"/>
            <rFont val="宋体"/>
            <charset val="0"/>
          </rPr>
          <t xml:space="preserve">
1001672 7/28 4200pcs</t>
        </r>
      </text>
    </comment>
    <comment ref="AL1325" authorId="2">
      <text>
        <r>
          <rPr>
            <b/>
            <sz val="9"/>
            <rFont val="宋体"/>
            <charset val="0"/>
          </rPr>
          <t>石玉珍:</t>
        </r>
        <r>
          <rPr>
            <sz val="9"/>
            <rFont val="宋体"/>
            <charset val="0"/>
          </rPr>
          <t xml:space="preserve">
7/10 Kmart外箱贴纸 350pcs</t>
        </r>
        <r>
          <rPr>
            <b/>
            <sz val="9"/>
            <rFont val="宋体"/>
            <charset val="0"/>
          </rPr>
          <t xml:space="preserve">
石玉珍:</t>
        </r>
        <r>
          <rPr>
            <sz val="9"/>
            <rFont val="宋体"/>
            <charset val="0"/>
          </rPr>
          <t xml:space="preserve">
7/13 说明书+收缩膜纽扣电池警告 9240pcs
缩膜纽扣电池警告语贴纸</t>
        </r>
        <r>
          <rPr>
            <b/>
            <sz val="9"/>
            <rFont val="宋体"/>
            <charset val="0"/>
          </rPr>
          <t xml:space="preserve">
石玉珍:</t>
        </r>
        <r>
          <rPr>
            <sz val="9"/>
            <rFont val="宋体"/>
            <charset val="0"/>
          </rPr>
          <t xml:space="preserve">
7/15 白色防盗贴纸 4200pcs</t>
        </r>
      </text>
    </comment>
    <comment ref="AI1326" authorId="2">
      <text>
        <r>
          <rPr>
            <b/>
            <sz val="9"/>
            <rFont val="宋体"/>
            <charset val="0"/>
          </rPr>
          <t>石玉珍:</t>
        </r>
        <r>
          <rPr>
            <sz val="9"/>
            <rFont val="宋体"/>
            <charset val="0"/>
          </rPr>
          <t xml:space="preserve">
1001648 7/29 420pcs</t>
        </r>
      </text>
    </comment>
    <comment ref="AL1326" authorId="2">
      <text>
        <r>
          <rPr>
            <b/>
            <sz val="9"/>
            <rFont val="宋体"/>
            <charset val="0"/>
          </rPr>
          <t>石玉珍:</t>
        </r>
        <r>
          <rPr>
            <sz val="9"/>
            <rFont val="宋体"/>
            <charset val="0"/>
          </rPr>
          <t xml:space="preserve">
7/10 Kmart外箱贴纸 35pcs</t>
        </r>
        <r>
          <rPr>
            <b/>
            <sz val="9"/>
            <rFont val="宋体"/>
            <charset val="0"/>
          </rPr>
          <t xml:space="preserve">
石玉珍:</t>
        </r>
        <r>
          <rPr>
            <sz val="9"/>
            <rFont val="宋体"/>
            <charset val="0"/>
          </rPr>
          <t xml:space="preserve">
7/15 白色防盗贴纸 420pcs</t>
        </r>
        <r>
          <rPr>
            <b/>
            <sz val="9"/>
            <rFont val="宋体"/>
            <charset val="0"/>
          </rPr>
          <t xml:space="preserve">
石玉珍:</t>
        </r>
        <r>
          <rPr>
            <sz val="9"/>
            <rFont val="宋体"/>
            <charset val="0"/>
          </rPr>
          <t xml:space="preserve">
7/10 说明书+收缩膜纽扣电池警告语贴纸  9240pcs
缩膜纽扣电池警告语贴纸 4620pcs</t>
        </r>
      </text>
    </comment>
    <comment ref="AI1328" authorId="2">
      <text>
        <r>
          <rPr>
            <b/>
            <sz val="9"/>
            <rFont val="宋体"/>
            <charset val="0"/>
          </rPr>
          <t>石玉珍:</t>
        </r>
        <r>
          <rPr>
            <sz val="9"/>
            <rFont val="宋体"/>
            <charset val="0"/>
          </rPr>
          <t xml:space="preserve">
1001701 7/27 600pcs</t>
        </r>
      </text>
    </comment>
    <comment ref="AL1328" authorId="2">
      <text>
        <r>
          <rPr>
            <b/>
            <sz val="9"/>
            <rFont val="宋体"/>
            <charset val="0"/>
          </rPr>
          <t>石玉珍:</t>
        </r>
        <r>
          <rPr>
            <sz val="9"/>
            <rFont val="宋体"/>
            <charset val="0"/>
          </rPr>
          <t xml:space="preserve">
7/16 3C中文贴纸 600pcs</t>
        </r>
        <r>
          <rPr>
            <b/>
            <sz val="9"/>
            <rFont val="宋体"/>
            <charset val="0"/>
          </rPr>
          <t xml:space="preserve">
石玉珍:</t>
        </r>
        <r>
          <rPr>
            <sz val="9"/>
            <rFont val="宋体"/>
            <charset val="0"/>
          </rPr>
          <t xml:space="preserve">
7/18 客供防窜码贴纸1拖6 100pcs</t>
        </r>
      </text>
    </comment>
    <comment ref="AI1329" authorId="2">
      <text>
        <r>
          <rPr>
            <b/>
            <sz val="9"/>
            <rFont val="宋体"/>
            <charset val="0"/>
          </rPr>
          <t>石玉珍:</t>
        </r>
        <r>
          <rPr>
            <sz val="9"/>
            <rFont val="宋体"/>
            <charset val="0"/>
          </rPr>
          <t xml:space="preserve">
1001701 7/27 3900pcs</t>
        </r>
      </text>
    </comment>
    <comment ref="AL1329" authorId="2">
      <text>
        <r>
          <rPr>
            <b/>
            <sz val="9"/>
            <rFont val="宋体"/>
            <charset val="0"/>
          </rPr>
          <t>石玉珍:</t>
        </r>
        <r>
          <rPr>
            <sz val="9"/>
            <rFont val="宋体"/>
            <charset val="0"/>
          </rPr>
          <t xml:space="preserve">
7/16 3C中文贴纸 3900pcs</t>
        </r>
        <r>
          <rPr>
            <b/>
            <sz val="9"/>
            <rFont val="宋体"/>
            <charset val="0"/>
          </rPr>
          <t xml:space="preserve">
石玉珍:</t>
        </r>
        <r>
          <rPr>
            <sz val="9"/>
            <rFont val="宋体"/>
            <charset val="0"/>
          </rPr>
          <t xml:space="preserve">
7/18 客供防窜码贴纸1拖6 650pcs</t>
        </r>
      </text>
    </comment>
    <comment ref="AI1330" authorId="2">
      <text>
        <r>
          <rPr>
            <b/>
            <sz val="9"/>
            <rFont val="宋体"/>
            <charset val="0"/>
          </rPr>
          <t>石玉珍:</t>
        </r>
        <r>
          <rPr>
            <sz val="9"/>
            <rFont val="宋体"/>
            <charset val="0"/>
          </rPr>
          <t xml:space="preserve">
1001681 7/28 1568pcs</t>
        </r>
        <r>
          <rPr>
            <b/>
            <sz val="9"/>
            <rFont val="宋体"/>
            <charset val="0"/>
          </rPr>
          <t xml:space="preserve">
石玉珍:</t>
        </r>
        <r>
          <rPr>
            <sz val="9"/>
            <rFont val="宋体"/>
            <charset val="0"/>
          </rPr>
          <t xml:space="preserve">
1001641 7/29 1736pcs</t>
        </r>
      </text>
    </comment>
    <comment ref="AI1332" authorId="2">
      <text>
        <r>
          <rPr>
            <b/>
            <sz val="9"/>
            <rFont val="宋体"/>
            <charset val="0"/>
          </rPr>
          <t>石玉珍:</t>
        </r>
        <r>
          <rPr>
            <sz val="9"/>
            <rFont val="宋体"/>
            <charset val="0"/>
          </rPr>
          <t xml:space="preserve">
1001641 7/29 1500pcs</t>
        </r>
      </text>
    </comment>
    <comment ref="AL1332" authorId="2">
      <text>
        <r>
          <rPr>
            <b/>
            <sz val="9"/>
            <rFont val="宋体"/>
            <charset val="0"/>
          </rPr>
          <t>石玉珍:</t>
        </r>
        <r>
          <rPr>
            <sz val="9"/>
            <rFont val="宋体"/>
            <charset val="0"/>
          </rPr>
          <t xml:space="preserve">
7/13 进口商贴纸 1500pcs</t>
        </r>
      </text>
    </comment>
    <comment ref="AI1334" authorId="2">
      <text>
        <r>
          <rPr>
            <b/>
            <sz val="9"/>
            <rFont val="宋体"/>
            <charset val="0"/>
          </rPr>
          <t>石玉珍:</t>
        </r>
        <r>
          <rPr>
            <sz val="9"/>
            <rFont val="宋体"/>
            <charset val="0"/>
          </rPr>
          <t xml:space="preserve">
1001664 7/30 300pcs</t>
        </r>
      </text>
    </comment>
    <comment ref="AL1334" authorId="2">
      <text>
        <r>
          <rPr>
            <b/>
            <sz val="9"/>
            <rFont val="宋体"/>
            <charset val="0"/>
          </rPr>
          <t>石玉珍:</t>
        </r>
        <r>
          <rPr>
            <sz val="9"/>
            <rFont val="宋体"/>
            <charset val="0"/>
          </rPr>
          <t xml:space="preserve">
7/18 进口商贴纸 300pcs</t>
        </r>
      </text>
    </comment>
    <comment ref="AI1335" authorId="2">
      <text>
        <r>
          <rPr>
            <b/>
            <sz val="9"/>
            <rFont val="宋体"/>
            <charset val="0"/>
          </rPr>
          <t>石玉珍:</t>
        </r>
        <r>
          <rPr>
            <sz val="9"/>
            <rFont val="宋体"/>
            <charset val="0"/>
          </rPr>
          <t xml:space="preserve">
1001662 7/30 480pcs </t>
        </r>
      </text>
    </comment>
    <comment ref="AL1335" authorId="2">
      <text>
        <r>
          <rPr>
            <b/>
            <sz val="9"/>
            <rFont val="宋体"/>
            <charset val="0"/>
          </rPr>
          <t>石玉珍:</t>
        </r>
        <r>
          <rPr>
            <sz val="9"/>
            <rFont val="宋体"/>
            <charset val="0"/>
          </rPr>
          <t xml:space="preserve">
7/18 UPC贴纸 480pcs</t>
        </r>
      </text>
    </comment>
    <comment ref="AI1336" authorId="2">
      <text>
        <r>
          <rPr>
            <b/>
            <sz val="9"/>
            <rFont val="宋体"/>
            <charset val="0"/>
          </rPr>
          <t>石玉珍:</t>
        </r>
        <r>
          <rPr>
            <sz val="9"/>
            <rFont val="宋体"/>
            <charset val="0"/>
          </rPr>
          <t xml:space="preserve">
1001662 7/30 600pcs</t>
        </r>
      </text>
    </comment>
    <comment ref="AL1336" authorId="2">
      <text>
        <r>
          <rPr>
            <b/>
            <sz val="9"/>
            <rFont val="宋体"/>
            <charset val="0"/>
          </rPr>
          <t>石玉珍:</t>
        </r>
        <r>
          <rPr>
            <sz val="9"/>
            <rFont val="宋体"/>
            <charset val="0"/>
          </rPr>
          <t xml:space="preserve">
7/21 警示语贴纸 600pcs</t>
        </r>
      </text>
    </comment>
    <comment ref="AI1338" authorId="2">
      <text>
        <r>
          <rPr>
            <b/>
            <sz val="9"/>
            <rFont val="宋体"/>
            <charset val="0"/>
          </rPr>
          <t>石玉珍:</t>
        </r>
        <r>
          <rPr>
            <sz val="9"/>
            <rFont val="宋体"/>
            <charset val="0"/>
          </rPr>
          <t xml:space="preserve">
1001618 7/31 640pcs</t>
        </r>
      </text>
    </comment>
    <comment ref="AI1340" authorId="2">
      <text>
        <r>
          <rPr>
            <b/>
            <sz val="9"/>
            <rFont val="宋体"/>
            <charset val="0"/>
          </rPr>
          <t>石玉珍:</t>
        </r>
        <r>
          <rPr>
            <sz val="9"/>
            <rFont val="宋体"/>
            <charset val="0"/>
          </rPr>
          <t xml:space="preserve">
1001609 8/1 4516pcs</t>
        </r>
      </text>
    </comment>
    <comment ref="AL1340" authorId="2">
      <text>
        <r>
          <rPr>
            <b/>
            <sz val="9"/>
            <rFont val="宋体"/>
            <charset val="0"/>
          </rPr>
          <t>石玉珍:</t>
        </r>
        <r>
          <rPr>
            <sz val="9"/>
            <rFont val="宋体"/>
            <charset val="0"/>
          </rPr>
          <t xml:space="preserve">
7/17 UPC条码贴纸 4516pcs</t>
        </r>
      </text>
    </comment>
    <comment ref="AI1341" authorId="2">
      <text>
        <r>
          <rPr>
            <b/>
            <sz val="9"/>
            <rFont val="宋体"/>
            <charset val="0"/>
          </rPr>
          <t>石玉珍:</t>
        </r>
        <r>
          <rPr>
            <sz val="9"/>
            <rFont val="宋体"/>
            <charset val="0"/>
          </rPr>
          <t xml:space="preserve">
2800363 7/31 1440pcs</t>
        </r>
        <r>
          <rPr>
            <b/>
            <sz val="9"/>
            <rFont val="宋体"/>
            <charset val="0"/>
          </rPr>
          <t xml:space="preserve">
石玉珍:</t>
        </r>
        <r>
          <rPr>
            <sz val="9"/>
            <rFont val="宋体"/>
            <charset val="0"/>
          </rPr>
          <t xml:space="preserve">
2800368 8/1 4544pcs</t>
        </r>
      </text>
    </comment>
    <comment ref="AL1341" authorId="2">
      <text>
        <r>
          <rPr>
            <b/>
            <sz val="9"/>
            <rFont val="宋体"/>
            <charset val="0"/>
          </rPr>
          <t>石玉珍:</t>
        </r>
        <r>
          <rPr>
            <sz val="9"/>
            <rFont val="宋体"/>
            <charset val="0"/>
          </rPr>
          <t xml:space="preserve">
7/17 UPC条码贴纸 5984pcs</t>
        </r>
      </text>
    </comment>
    <comment ref="AI1342" authorId="2">
      <text>
        <r>
          <rPr>
            <b/>
            <sz val="9"/>
            <rFont val="宋体"/>
            <charset val="0"/>
          </rPr>
          <t>石玉珍:</t>
        </r>
        <r>
          <rPr>
            <sz val="9"/>
            <rFont val="宋体"/>
            <charset val="0"/>
          </rPr>
          <t xml:space="preserve">
1001551 8/4 2004pcs</t>
        </r>
      </text>
    </comment>
    <comment ref="AL1342" authorId="2">
      <text>
        <r>
          <rPr>
            <b/>
            <sz val="9"/>
            <rFont val="宋体"/>
            <charset val="0"/>
          </rPr>
          <t>石玉珍:</t>
        </r>
        <r>
          <rPr>
            <sz val="9"/>
            <rFont val="宋体"/>
            <charset val="0"/>
          </rPr>
          <t xml:space="preserve">
7/17 UPC贴纸 2004pcs</t>
        </r>
      </text>
    </comment>
    <comment ref="AI1343" authorId="2">
      <text>
        <r>
          <rPr>
            <b/>
            <sz val="9"/>
            <rFont val="宋体"/>
            <charset val="0"/>
          </rPr>
          <t>石玉珍:</t>
        </r>
        <r>
          <rPr>
            <sz val="9"/>
            <rFont val="宋体"/>
            <charset val="0"/>
          </rPr>
          <t xml:space="preserve">
1001566 8/5 1280pcs</t>
        </r>
      </text>
    </comment>
    <comment ref="AL1343" authorId="2">
      <text>
        <r>
          <rPr>
            <b/>
            <sz val="9"/>
            <rFont val="宋体"/>
            <charset val="0"/>
          </rPr>
          <t>石玉珍:</t>
        </r>
        <r>
          <rPr>
            <sz val="9"/>
            <rFont val="宋体"/>
            <charset val="0"/>
          </rPr>
          <t xml:space="preserve">
客供RID贴纸 7/7 1280pcs</t>
        </r>
      </text>
    </comment>
    <comment ref="AI1344" authorId="2">
      <text>
        <r>
          <rPr>
            <b/>
            <sz val="9"/>
            <rFont val="宋体"/>
            <charset val="0"/>
          </rPr>
          <t>石玉珍:</t>
        </r>
        <r>
          <rPr>
            <sz val="9"/>
            <rFont val="宋体"/>
            <charset val="0"/>
          </rPr>
          <t xml:space="preserve">
1001585 8/4 960pcs</t>
        </r>
      </text>
    </comment>
    <comment ref="AL1344" authorId="2">
      <text>
        <r>
          <rPr>
            <b/>
            <sz val="9"/>
            <rFont val="宋体"/>
            <charset val="0"/>
          </rPr>
          <t>石玉珍:</t>
        </r>
        <r>
          <rPr>
            <sz val="9"/>
            <rFont val="宋体"/>
            <charset val="0"/>
          </rPr>
          <t xml:space="preserve">
客供RID贴纸 7/7 960pcs</t>
        </r>
      </text>
    </comment>
    <comment ref="AI1345" authorId="2">
      <text>
        <r>
          <rPr>
            <b/>
            <sz val="9"/>
            <rFont val="宋体"/>
            <charset val="0"/>
          </rPr>
          <t>石玉珍:</t>
        </r>
        <r>
          <rPr>
            <sz val="9"/>
            <rFont val="宋体"/>
            <charset val="0"/>
          </rPr>
          <t xml:space="preserve">
1001585 8/4 3360pcs</t>
        </r>
      </text>
    </comment>
    <comment ref="AL1345" authorId="2">
      <text>
        <r>
          <rPr>
            <b/>
            <sz val="9"/>
            <rFont val="宋体"/>
            <charset val="0"/>
          </rPr>
          <t>石玉珍:</t>
        </r>
        <r>
          <rPr>
            <sz val="9"/>
            <rFont val="宋体"/>
            <charset val="0"/>
          </rPr>
          <t xml:space="preserve">
7/13 客供RFID贴纸 3360pcs
</t>
        </r>
      </text>
    </comment>
    <comment ref="AI1346" authorId="2">
      <text>
        <r>
          <rPr>
            <b/>
            <sz val="9"/>
            <rFont val="宋体"/>
            <charset val="0"/>
          </rPr>
          <t>石玉珍:</t>
        </r>
        <r>
          <rPr>
            <sz val="9"/>
            <rFont val="宋体"/>
            <charset val="0"/>
          </rPr>
          <t xml:space="preserve">
1001566 8/5 1600pcs</t>
        </r>
      </text>
    </comment>
    <comment ref="AL1346" authorId="2">
      <text>
        <r>
          <rPr>
            <b/>
            <sz val="9"/>
            <rFont val="宋体"/>
            <charset val="0"/>
          </rPr>
          <t>石玉珍:</t>
        </r>
        <r>
          <rPr>
            <sz val="9"/>
            <rFont val="宋体"/>
            <charset val="0"/>
          </rPr>
          <t xml:space="preserve">
7/13 客供RFID贴纸 1600pcs</t>
        </r>
      </text>
    </comment>
    <comment ref="AI1347" authorId="2">
      <text>
        <r>
          <rPr>
            <b/>
            <sz val="9"/>
            <rFont val="宋体"/>
            <charset val="0"/>
          </rPr>
          <t>石玉珍:</t>
        </r>
        <r>
          <rPr>
            <sz val="9"/>
            <rFont val="宋体"/>
            <charset val="0"/>
          </rPr>
          <t xml:space="preserve">
1001551 8/4 5120pcs</t>
        </r>
      </text>
    </comment>
    <comment ref="AL1347" authorId="2">
      <text>
        <r>
          <rPr>
            <b/>
            <sz val="9"/>
            <rFont val="宋体"/>
            <charset val="0"/>
          </rPr>
          <t>石玉珍:</t>
        </r>
        <r>
          <rPr>
            <sz val="9"/>
            <rFont val="宋体"/>
            <charset val="0"/>
          </rPr>
          <t xml:space="preserve">
7/13 客供RFID贴纸 5120pcs</t>
        </r>
      </text>
    </comment>
    <comment ref="AI1348" authorId="2">
      <text>
        <r>
          <rPr>
            <b/>
            <sz val="9"/>
            <rFont val="宋体"/>
            <charset val="0"/>
          </rPr>
          <t>石玉珍:</t>
        </r>
        <r>
          <rPr>
            <sz val="9"/>
            <rFont val="宋体"/>
            <charset val="0"/>
          </rPr>
          <t xml:space="preserve">
1001566 8/5 1280pcs</t>
        </r>
      </text>
    </comment>
    <comment ref="AL1348" authorId="2">
      <text>
        <r>
          <rPr>
            <b/>
            <sz val="9"/>
            <rFont val="宋体"/>
            <charset val="0"/>
          </rPr>
          <t>石玉珍:</t>
        </r>
        <r>
          <rPr>
            <sz val="9"/>
            <rFont val="宋体"/>
            <charset val="0"/>
          </rPr>
          <t xml:space="preserve">
7/13 客供RFID贴纸 1280pcs</t>
        </r>
      </text>
    </comment>
    <comment ref="AI1349" authorId="2">
      <text>
        <r>
          <rPr>
            <b/>
            <sz val="9"/>
            <rFont val="宋体"/>
            <charset val="0"/>
          </rPr>
          <t>石玉珍:</t>
        </r>
        <r>
          <rPr>
            <sz val="9"/>
            <rFont val="宋体"/>
            <charset val="0"/>
          </rPr>
          <t xml:space="preserve">
1001566 8/5 1760pcs</t>
        </r>
      </text>
    </comment>
    <comment ref="AL1349" authorId="2">
      <text>
        <r>
          <rPr>
            <b/>
            <sz val="9"/>
            <rFont val="宋体"/>
            <charset val="0"/>
          </rPr>
          <t>石玉珍:</t>
        </r>
        <r>
          <rPr>
            <sz val="9"/>
            <rFont val="宋体"/>
            <charset val="0"/>
          </rPr>
          <t xml:space="preserve">
7/13 客供RFID贴纸 1760pcs</t>
        </r>
      </text>
    </comment>
    <comment ref="AI1350" authorId="2">
      <text>
        <r>
          <rPr>
            <b/>
            <sz val="9"/>
            <rFont val="宋体"/>
            <charset val="0"/>
          </rPr>
          <t>石玉珍:</t>
        </r>
        <r>
          <rPr>
            <sz val="9"/>
            <rFont val="宋体"/>
            <charset val="0"/>
          </rPr>
          <t xml:space="preserve">
1001585 8/4 2560pcs</t>
        </r>
      </text>
    </comment>
    <comment ref="AL1350" authorId="2">
      <text>
        <r>
          <rPr>
            <b/>
            <sz val="9"/>
            <rFont val="宋体"/>
            <charset val="0"/>
          </rPr>
          <t>石玉珍:</t>
        </r>
        <r>
          <rPr>
            <sz val="9"/>
            <rFont val="宋体"/>
            <charset val="0"/>
          </rPr>
          <t xml:space="preserve">
7/13 客供RFID贴纸 2560pcs</t>
        </r>
      </text>
    </comment>
    <comment ref="AI1351" authorId="2">
      <text>
        <r>
          <rPr>
            <b/>
            <sz val="9"/>
            <rFont val="宋体"/>
            <charset val="0"/>
          </rPr>
          <t>石玉珍:</t>
        </r>
        <r>
          <rPr>
            <sz val="9"/>
            <rFont val="宋体"/>
            <charset val="0"/>
          </rPr>
          <t xml:space="preserve">
2800386 8/5 1480pcs </t>
        </r>
        <r>
          <rPr>
            <b/>
            <sz val="9"/>
            <rFont val="宋体"/>
            <charset val="0"/>
          </rPr>
          <t xml:space="preserve">
石玉珍:</t>
        </r>
        <r>
          <rPr>
            <sz val="9"/>
            <rFont val="宋体"/>
            <charset val="0"/>
          </rPr>
          <t xml:space="preserve">
2800415 8/8 1400pcs</t>
        </r>
      </text>
    </comment>
    <comment ref="AL1351" authorId="2">
      <text>
        <r>
          <rPr>
            <b/>
            <sz val="9"/>
            <rFont val="宋体"/>
            <charset val="0"/>
          </rPr>
          <t>石玉珍:</t>
        </r>
        <r>
          <rPr>
            <sz val="9"/>
            <rFont val="宋体"/>
            <charset val="0"/>
          </rPr>
          <t xml:space="preserve">
客供RID贴纸 7/7 2880pcs</t>
        </r>
      </text>
    </comment>
    <comment ref="AI1355" authorId="2">
      <text>
        <r>
          <rPr>
            <b/>
            <sz val="9"/>
            <rFont val="宋体"/>
            <charset val="0"/>
          </rPr>
          <t>石玉珍:</t>
        </r>
        <r>
          <rPr>
            <sz val="9"/>
            <rFont val="宋体"/>
            <charset val="0"/>
          </rPr>
          <t xml:space="preserve">
1001851 7/23 60pcs</t>
        </r>
      </text>
    </comment>
    <comment ref="AL1355" authorId="2">
      <text>
        <r>
          <rPr>
            <b/>
            <sz val="9"/>
            <rFont val="宋体"/>
            <charset val="0"/>
          </rPr>
          <t>石玉珍:</t>
        </r>
        <r>
          <rPr>
            <sz val="9"/>
            <rFont val="宋体"/>
            <charset val="0"/>
          </rPr>
          <t xml:space="preserve">
7/1 客供亚马逊外箱贴纸 5pcs</t>
        </r>
        <r>
          <rPr>
            <b/>
            <sz val="9"/>
            <rFont val="宋体"/>
            <charset val="0"/>
          </rPr>
          <t xml:space="preserve">
石玉珍:</t>
        </r>
        <r>
          <rPr>
            <sz val="9"/>
            <rFont val="宋体"/>
            <charset val="0"/>
          </rPr>
          <t xml:space="preserve">
7/8 UPC贴纸 60pcs</t>
        </r>
      </text>
    </comment>
    <comment ref="AS1357" authorId="2">
      <text>
        <r>
          <rPr>
            <b/>
            <sz val="9"/>
            <rFont val="宋体"/>
            <charset val="0"/>
          </rPr>
          <t>陈炎:</t>
        </r>
        <r>
          <rPr>
            <sz val="9"/>
            <rFont val="宋体"/>
            <charset val="0"/>
          </rPr>
          <t xml:space="preserve">
新客版收缩膜</t>
        </r>
      </text>
    </comment>
    <comment ref="BN1357" authorId="2">
      <text>
        <r>
          <rPr>
            <b/>
            <sz val="9"/>
            <rFont val="宋体"/>
            <charset val="0"/>
          </rPr>
          <t>陈炎:</t>
        </r>
        <r>
          <rPr>
            <sz val="9"/>
            <rFont val="宋体"/>
            <charset val="0"/>
          </rPr>
          <t xml:space="preserve">
新客版彩盒</t>
        </r>
      </text>
    </comment>
    <comment ref="AI1358" authorId="2">
      <text>
        <r>
          <rPr>
            <b/>
            <sz val="9"/>
            <rFont val="宋体"/>
            <charset val="0"/>
          </rPr>
          <t>石玉珍:</t>
        </r>
        <r>
          <rPr>
            <sz val="9"/>
            <rFont val="宋体"/>
            <charset val="0"/>
          </rPr>
          <t xml:space="preserve">
1001305 8/7 400pcs</t>
        </r>
      </text>
    </comment>
    <comment ref="AL1358" authorId="2">
      <text>
        <r>
          <rPr>
            <b/>
            <sz val="9"/>
            <rFont val="宋体"/>
            <charset val="0"/>
          </rPr>
          <t>石玉珍:</t>
        </r>
        <r>
          <rPr>
            <sz val="9"/>
            <rFont val="宋体"/>
            <charset val="0"/>
          </rPr>
          <t xml:space="preserve">
7/17 警语贴纸(含意大利环保标 400pcs</t>
        </r>
      </text>
    </comment>
    <comment ref="AI1361" authorId="2">
      <text>
        <r>
          <rPr>
            <b/>
            <sz val="9"/>
            <rFont val="宋体"/>
            <charset val="0"/>
          </rPr>
          <t>石玉珍:</t>
        </r>
        <r>
          <rPr>
            <sz val="9"/>
            <rFont val="宋体"/>
            <charset val="0"/>
          </rPr>
          <t xml:space="preserve">
1001305 8/7 1920pcs</t>
        </r>
      </text>
    </comment>
    <comment ref="AL1361" authorId="2">
      <text>
        <r>
          <rPr>
            <b/>
            <sz val="9"/>
            <rFont val="宋体"/>
            <charset val="0"/>
          </rPr>
          <t>石玉珍:</t>
        </r>
        <r>
          <rPr>
            <sz val="9"/>
            <rFont val="宋体"/>
            <charset val="0"/>
          </rPr>
          <t xml:space="preserve">
客供RID贴纸 7/7 1920pcs</t>
        </r>
      </text>
    </comment>
    <comment ref="AI1362" authorId="2">
      <text>
        <r>
          <rPr>
            <b/>
            <sz val="9"/>
            <rFont val="宋体"/>
            <charset val="0"/>
          </rPr>
          <t>石玉珍:</t>
        </r>
        <r>
          <rPr>
            <sz val="9"/>
            <rFont val="宋体"/>
            <charset val="0"/>
          </rPr>
          <t xml:space="preserve">
1001305 8/7 1600pcs</t>
        </r>
      </text>
    </comment>
    <comment ref="AL1362" authorId="2">
      <text>
        <r>
          <rPr>
            <b/>
            <sz val="9"/>
            <rFont val="宋体"/>
            <charset val="0"/>
          </rPr>
          <t>石玉珍:</t>
        </r>
        <r>
          <rPr>
            <sz val="9"/>
            <rFont val="宋体"/>
            <charset val="0"/>
          </rPr>
          <t xml:space="preserve">
客供RID贴纸 7/7 1600pcs</t>
        </r>
      </text>
    </comment>
    <comment ref="AI1363" authorId="2">
      <text>
        <r>
          <rPr>
            <b/>
            <sz val="9"/>
            <rFont val="宋体"/>
            <charset val="0"/>
          </rPr>
          <t>石玉珍:</t>
        </r>
        <r>
          <rPr>
            <sz val="9"/>
            <rFont val="宋体"/>
            <charset val="0"/>
          </rPr>
          <t xml:space="preserve">
1001531 8/8 1164pcs</t>
        </r>
      </text>
    </comment>
    <comment ref="AL1363" authorId="2">
      <text>
        <r>
          <rPr>
            <b/>
            <sz val="9"/>
            <rFont val="宋体"/>
            <charset val="0"/>
          </rPr>
          <t>石玉珍:</t>
        </r>
        <r>
          <rPr>
            <sz val="9"/>
            <rFont val="宋体"/>
            <charset val="0"/>
          </rPr>
          <t xml:space="preserve">
7/20 红色logo贴纸 1164pcs
UPC贴纸/产品进口商贴纸 /包装进口商贴纸 /说明书进口商贴纸 1164pcs</t>
        </r>
      </text>
    </comment>
    <comment ref="AI1364" authorId="2">
      <text>
        <r>
          <rPr>
            <b/>
            <sz val="9"/>
            <rFont val="宋体"/>
            <charset val="0"/>
          </rPr>
          <t>石玉珍:</t>
        </r>
        <r>
          <rPr>
            <sz val="9"/>
            <rFont val="宋体"/>
            <charset val="0"/>
          </rPr>
          <t xml:space="preserve">
2800415 8/8 900pcs</t>
        </r>
      </text>
    </comment>
    <comment ref="AL1364" authorId="2">
      <text>
        <r>
          <rPr>
            <b/>
            <sz val="9"/>
            <rFont val="宋体"/>
            <charset val="0"/>
          </rPr>
          <t>石玉珍:</t>
        </r>
        <r>
          <rPr>
            <sz val="9"/>
            <rFont val="宋体"/>
            <charset val="0"/>
          </rPr>
          <t xml:space="preserve">
7/23 UPC贴纸 900pcs</t>
        </r>
        <r>
          <rPr>
            <b/>
            <sz val="9"/>
            <rFont val="宋体"/>
            <charset val="0"/>
          </rPr>
          <t xml:space="preserve">
石玉珍:</t>
        </r>
        <r>
          <rPr>
            <sz val="9"/>
            <rFont val="宋体"/>
            <charset val="0"/>
          </rPr>
          <t xml:space="preserve">
进口商贴纸 900pcs</t>
        </r>
      </text>
    </comment>
    <comment ref="AI1365" authorId="2">
      <text>
        <r>
          <rPr>
            <b/>
            <sz val="9"/>
            <rFont val="宋体"/>
            <charset val="0"/>
          </rPr>
          <t>石玉珍:</t>
        </r>
        <r>
          <rPr>
            <sz val="9"/>
            <rFont val="宋体"/>
            <charset val="0"/>
          </rPr>
          <t xml:space="preserve">
1001459 8/11 1200pcs</t>
        </r>
      </text>
    </comment>
    <comment ref="AL1365" authorId="2">
      <text>
        <r>
          <rPr>
            <b/>
            <sz val="9"/>
            <rFont val="宋体"/>
            <charset val="0"/>
          </rPr>
          <t>石玉珍:</t>
        </r>
        <r>
          <rPr>
            <sz val="9"/>
            <rFont val="宋体"/>
            <charset val="0"/>
          </rPr>
          <t xml:space="preserve">
7/23 进口商贴纸 1200pcs</t>
        </r>
        <r>
          <rPr>
            <b/>
            <sz val="9"/>
            <rFont val="宋体"/>
            <charset val="0"/>
          </rPr>
          <t xml:space="preserve">
石玉珍:</t>
        </r>
        <r>
          <rPr>
            <sz val="9"/>
            <rFont val="宋体"/>
            <charset val="0"/>
          </rPr>
          <t xml:space="preserve">
客户条码贴纸 1200pcs</t>
        </r>
      </text>
    </comment>
    <comment ref="AI1366" authorId="2">
      <text>
        <r>
          <rPr>
            <b/>
            <sz val="9"/>
            <rFont val="宋体"/>
            <charset val="0"/>
          </rPr>
          <t>石玉珍:</t>
        </r>
        <r>
          <rPr>
            <sz val="9"/>
            <rFont val="宋体"/>
            <charset val="0"/>
          </rPr>
          <t xml:space="preserve">
1001305 8/7 4160pcs</t>
        </r>
      </text>
    </comment>
    <comment ref="AL1366" authorId="2">
      <text>
        <r>
          <rPr>
            <b/>
            <sz val="9"/>
            <rFont val="宋体"/>
            <charset val="0"/>
          </rPr>
          <t>石玉珍:</t>
        </r>
        <r>
          <rPr>
            <sz val="9"/>
            <rFont val="宋体"/>
            <charset val="0"/>
          </rPr>
          <t xml:space="preserve">
7/20 客供RFID贴纸 4160pcs</t>
        </r>
      </text>
    </comment>
    <comment ref="AI1367" authorId="2">
      <text>
        <r>
          <rPr>
            <b/>
            <sz val="9"/>
            <rFont val="宋体"/>
            <charset val="0"/>
          </rPr>
          <t>石玉珍:</t>
        </r>
        <r>
          <rPr>
            <sz val="9"/>
            <rFont val="宋体"/>
            <charset val="0"/>
          </rPr>
          <t xml:space="preserve">
1001305 8/7 1920pcs</t>
        </r>
      </text>
    </comment>
    <comment ref="AL1367" authorId="2">
      <text>
        <r>
          <rPr>
            <b/>
            <sz val="9"/>
            <rFont val="宋体"/>
            <charset val="0"/>
          </rPr>
          <t>石玉珍:</t>
        </r>
        <r>
          <rPr>
            <sz val="9"/>
            <rFont val="宋体"/>
            <charset val="0"/>
          </rPr>
          <t xml:space="preserve">
客供RID贴纸 7/7 1920pcs</t>
        </r>
      </text>
    </comment>
    <comment ref="AI1369" authorId="2">
      <text>
        <r>
          <rPr>
            <b/>
            <sz val="9"/>
            <rFont val="宋体"/>
            <charset val="0"/>
          </rPr>
          <t>石玉珍:</t>
        </r>
        <r>
          <rPr>
            <sz val="9"/>
            <rFont val="宋体"/>
            <charset val="0"/>
          </rPr>
          <t xml:space="preserve">
1001651 7/29 612pcs湖南补数</t>
        </r>
        <r>
          <rPr>
            <b/>
            <sz val="9"/>
            <rFont val="宋体"/>
            <charset val="0"/>
          </rPr>
          <t xml:space="preserve">
石玉珍:</t>
        </r>
        <r>
          <rPr>
            <sz val="9"/>
            <rFont val="宋体"/>
            <charset val="0"/>
          </rPr>
          <t xml:space="preserve">
消耗取消单</t>
        </r>
      </text>
    </comment>
    <comment ref="AL1369" authorId="2">
      <text>
        <r>
          <rPr>
            <b/>
            <sz val="9"/>
            <rFont val="宋体"/>
            <charset val="0"/>
          </rPr>
          <t>石玉珍:</t>
        </r>
        <r>
          <rPr>
            <sz val="9"/>
            <rFont val="宋体"/>
            <charset val="0"/>
          </rPr>
          <t xml:space="preserve">
7/9 亚马逊外箱贴纸 84pcs</t>
        </r>
        <r>
          <rPr>
            <b/>
            <sz val="9"/>
            <rFont val="宋体"/>
            <charset val="0"/>
          </rPr>
          <t xml:space="preserve">
石玉珍:</t>
        </r>
        <r>
          <rPr>
            <sz val="9"/>
            <rFont val="宋体"/>
            <charset val="0"/>
          </rPr>
          <t xml:space="preserve">
7/14 可折叠警语贴纸 1008pcs</t>
        </r>
        <r>
          <rPr>
            <b/>
            <sz val="9"/>
            <rFont val="宋体"/>
            <charset val="0"/>
          </rPr>
          <t xml:space="preserve">
石玉珍:</t>
        </r>
        <r>
          <rPr>
            <sz val="9"/>
            <rFont val="宋体"/>
            <charset val="0"/>
          </rPr>
          <t xml:space="preserve">
7/15 UPC贴纸 1008pcs</t>
        </r>
      </text>
    </comment>
    <comment ref="AI1370" authorId="2">
      <text>
        <r>
          <rPr>
            <b/>
            <sz val="9"/>
            <rFont val="宋体"/>
            <charset val="0"/>
          </rPr>
          <t>石玉珍:</t>
        </r>
        <r>
          <rPr>
            <sz val="9"/>
            <rFont val="宋体"/>
            <charset val="0"/>
          </rPr>
          <t xml:space="preserve">
1001651 7/29 3660pcs</t>
        </r>
      </text>
    </comment>
    <comment ref="AL1370" authorId="2">
      <text>
        <r>
          <rPr>
            <b/>
            <sz val="9"/>
            <rFont val="宋体"/>
            <charset val="0"/>
          </rPr>
          <t>石玉珍:</t>
        </r>
        <r>
          <rPr>
            <sz val="9"/>
            <rFont val="宋体"/>
            <charset val="0"/>
          </rPr>
          <t xml:space="preserve">
7/15 客供亚马逊外箱贴纸 305pcs</t>
        </r>
      </text>
    </comment>
    <comment ref="AI1371" authorId="2">
      <text>
        <r>
          <rPr>
            <b/>
            <sz val="9"/>
            <rFont val="宋体"/>
            <charset val="0"/>
          </rPr>
          <t>石玉珍:</t>
        </r>
        <r>
          <rPr>
            <sz val="9"/>
            <rFont val="宋体"/>
            <charset val="0"/>
          </rPr>
          <t xml:space="preserve">
消耗取消单</t>
        </r>
      </text>
    </comment>
    <comment ref="AI1373" authorId="2">
      <text>
        <r>
          <rPr>
            <b/>
            <sz val="9"/>
            <rFont val="宋体"/>
            <charset val="0"/>
          </rPr>
          <t>石玉珍:</t>
        </r>
        <r>
          <rPr>
            <sz val="9"/>
            <rFont val="宋体"/>
            <charset val="0"/>
          </rPr>
          <t xml:space="preserve">
1001450 8/12 1368pcs</t>
        </r>
      </text>
    </comment>
    <comment ref="AL1373" authorId="0">
      <text>
        <r>
          <rPr>
            <sz val="9"/>
            <rFont val="宋体"/>
            <charset val="0"/>
          </rPr>
          <t>Administrator:
5/27 白色防盗贴纸 1368pcs</t>
        </r>
        <r>
          <rPr>
            <b/>
            <sz val="9"/>
            <rFont val="宋体"/>
            <charset val="0"/>
          </rPr>
          <t xml:space="preserve">
石玉珍:</t>
        </r>
        <r>
          <rPr>
            <sz val="9"/>
            <rFont val="宋体"/>
            <charset val="0"/>
          </rPr>
          <t xml:space="preserve">
5/28 说明书+收缩膜纽扣电池警告语贴纸 1368pcs</t>
        </r>
        <r>
          <rPr>
            <b/>
            <sz val="9"/>
            <rFont val="宋体"/>
            <charset val="0"/>
          </rPr>
          <t xml:space="preserve">
石玉珍:</t>
        </r>
        <r>
          <rPr>
            <sz val="9"/>
            <rFont val="宋体"/>
            <charset val="0"/>
          </rPr>
          <t xml:space="preserve">
缩膜纽扣电池警告语贴纸 1368pcs</t>
        </r>
        <r>
          <rPr>
            <b/>
            <sz val="9"/>
            <rFont val="宋体"/>
            <charset val="0"/>
          </rPr>
          <t xml:space="preserve">
石玉珍:</t>
        </r>
        <r>
          <rPr>
            <sz val="9"/>
            <rFont val="宋体"/>
            <charset val="0"/>
          </rPr>
          <t xml:space="preserve">
7/25 Kmart外箱贴纸 1368pcs</t>
        </r>
      </text>
    </comment>
    <comment ref="AI1374" authorId="2">
      <text>
        <r>
          <rPr>
            <b/>
            <sz val="9"/>
            <rFont val="宋体"/>
            <charset val="0"/>
          </rPr>
          <t>石玉珍:</t>
        </r>
        <r>
          <rPr>
            <sz val="9"/>
            <rFont val="宋体"/>
            <charset val="0"/>
          </rPr>
          <t xml:space="preserve">
1001450 8/12 132pcs</t>
        </r>
      </text>
    </comment>
    <comment ref="AL1374" authorId="0">
      <text>
        <r>
          <rPr>
            <sz val="9"/>
            <rFont val="宋体"/>
            <charset val="0"/>
          </rPr>
          <t xml:space="preserve">Administrator:
5/27 白色防盗贴纸 132pcs
</t>
        </r>
        <r>
          <rPr>
            <b/>
            <sz val="9"/>
            <rFont val="宋体"/>
            <charset val="0"/>
          </rPr>
          <t xml:space="preserve">
石玉珍:</t>
        </r>
        <r>
          <rPr>
            <sz val="9"/>
            <rFont val="宋体"/>
            <charset val="0"/>
          </rPr>
          <t xml:space="preserve">
5/28 说明书+收缩膜纽扣电池警告语贴纸 132pcs</t>
        </r>
        <r>
          <rPr>
            <b/>
            <sz val="9"/>
            <rFont val="宋体"/>
            <charset val="0"/>
          </rPr>
          <t xml:space="preserve">
石玉珍:</t>
        </r>
        <r>
          <rPr>
            <sz val="9"/>
            <rFont val="宋体"/>
            <charset val="0"/>
          </rPr>
          <t xml:space="preserve">
缩膜纽扣电池警告语贴纸 132pcs</t>
        </r>
        <r>
          <rPr>
            <b/>
            <sz val="9"/>
            <rFont val="宋体"/>
            <charset val="0"/>
          </rPr>
          <t xml:space="preserve">
石玉珍:</t>
        </r>
        <r>
          <rPr>
            <sz val="9"/>
            <rFont val="宋体"/>
            <charset val="0"/>
          </rPr>
          <t xml:space="preserve">
7/25 Kmart外箱贴纸 11pcs</t>
        </r>
      </text>
    </comment>
    <comment ref="AI1375" authorId="2">
      <text>
        <r>
          <rPr>
            <b/>
            <sz val="9"/>
            <rFont val="宋体"/>
            <charset val="0"/>
          </rPr>
          <t>石玉珍:</t>
        </r>
        <r>
          <rPr>
            <sz val="9"/>
            <rFont val="宋体"/>
            <charset val="0"/>
          </rPr>
          <t xml:space="preserve">
1001445 8/12 800pcs</t>
        </r>
      </text>
    </comment>
    <comment ref="AL1375" authorId="2">
      <text>
        <r>
          <rPr>
            <b/>
            <sz val="9"/>
            <rFont val="宋体"/>
            <charset val="0"/>
          </rPr>
          <t>石玉珍:</t>
        </r>
        <r>
          <rPr>
            <sz val="9"/>
            <rFont val="宋体"/>
            <charset val="0"/>
          </rPr>
          <t xml:space="preserve">
7/14 多语折叠警语贴纸 800pcs</t>
        </r>
      </text>
    </comment>
    <comment ref="AI1377" authorId="2">
      <text>
        <r>
          <rPr>
            <b/>
            <sz val="9"/>
            <rFont val="宋体"/>
            <charset val="0"/>
          </rPr>
          <t>石玉珍:</t>
        </r>
        <r>
          <rPr>
            <sz val="9"/>
            <rFont val="宋体"/>
            <charset val="0"/>
          </rPr>
          <t xml:space="preserve">
2800443 8/12 1568pcs</t>
        </r>
        <r>
          <rPr>
            <b/>
            <sz val="9"/>
            <rFont val="宋体"/>
            <charset val="0"/>
          </rPr>
          <t xml:space="preserve">
石玉珍:</t>
        </r>
        <r>
          <rPr>
            <sz val="9"/>
            <rFont val="宋体"/>
            <charset val="0"/>
          </rPr>
          <t xml:space="preserve">
2800448 8/13 3424pcs</t>
        </r>
      </text>
    </comment>
    <comment ref="AL1377" authorId="2">
      <text>
        <r>
          <rPr>
            <b/>
            <sz val="9"/>
            <rFont val="宋体"/>
            <charset val="0"/>
          </rPr>
          <t>石玉珍:</t>
        </r>
        <r>
          <rPr>
            <sz val="9"/>
            <rFont val="宋体"/>
            <charset val="0"/>
          </rPr>
          <t xml:space="preserve">
7/23 PDQ地址贴纸 5000pcs</t>
        </r>
      </text>
    </comment>
    <comment ref="AI1378" authorId="2">
      <text>
        <r>
          <rPr>
            <b/>
            <sz val="9"/>
            <rFont val="宋体"/>
            <charset val="0"/>
          </rPr>
          <t>石玉珍:</t>
        </r>
        <r>
          <rPr>
            <sz val="9"/>
            <rFont val="宋体"/>
            <charset val="0"/>
          </rPr>
          <t xml:space="preserve">
1001425 8/13 1280PCS </t>
        </r>
      </text>
    </comment>
    <comment ref="AL1378" authorId="2">
      <text>
        <r>
          <rPr>
            <b/>
            <sz val="9"/>
            <rFont val="宋体"/>
            <charset val="0"/>
          </rPr>
          <t>石玉珍:</t>
        </r>
        <r>
          <rPr>
            <sz val="9"/>
            <rFont val="宋体"/>
            <charset val="0"/>
          </rPr>
          <t xml:space="preserve">
7/20 客供RFID贴纸 1280pcs</t>
        </r>
      </text>
    </comment>
    <comment ref="AI1379" authorId="2">
      <text>
        <r>
          <rPr>
            <b/>
            <sz val="9"/>
            <rFont val="宋体"/>
            <charset val="0"/>
          </rPr>
          <t>石玉珍:</t>
        </r>
        <r>
          <rPr>
            <sz val="9"/>
            <rFont val="宋体"/>
            <charset val="0"/>
          </rPr>
          <t xml:space="preserve">
1001425 8/13 2100PCS </t>
        </r>
        <r>
          <rPr>
            <b/>
            <sz val="9"/>
            <rFont val="宋体"/>
            <charset val="0"/>
          </rPr>
          <t xml:space="preserve">
石玉珍:</t>
        </r>
        <r>
          <rPr>
            <sz val="9"/>
            <rFont val="宋体"/>
            <charset val="0"/>
          </rPr>
          <t xml:space="preserve">
1001407 8/14 1500pcs</t>
        </r>
      </text>
    </comment>
    <comment ref="AL1379" authorId="2">
      <text>
        <r>
          <rPr>
            <b/>
            <sz val="9"/>
            <rFont val="宋体"/>
            <charset val="0"/>
          </rPr>
          <t>石玉珍:</t>
        </r>
        <r>
          <rPr>
            <sz val="9"/>
            <rFont val="宋体"/>
            <charset val="0"/>
          </rPr>
          <t xml:space="preserve">
7/20 客供RFID贴纸 3600pcs</t>
        </r>
      </text>
    </comment>
    <comment ref="AI1380" authorId="2">
      <text>
        <r>
          <rPr>
            <b/>
            <sz val="9"/>
            <rFont val="宋体"/>
            <charset val="0"/>
          </rPr>
          <t>石玉珍:</t>
        </r>
        <r>
          <rPr>
            <sz val="9"/>
            <rFont val="宋体"/>
            <charset val="0"/>
          </rPr>
          <t xml:space="preserve">
1001425 8/13 2800PCS </t>
        </r>
        <r>
          <rPr>
            <b/>
            <sz val="9"/>
            <rFont val="宋体"/>
            <charset val="0"/>
          </rPr>
          <t xml:space="preserve">
石玉珍:</t>
        </r>
        <r>
          <rPr>
            <sz val="9"/>
            <rFont val="宋体"/>
            <charset val="0"/>
          </rPr>
          <t xml:space="preserve">
1001407 8/14 400pcs</t>
        </r>
      </text>
    </comment>
    <comment ref="AL1380" authorId="2">
      <text>
        <r>
          <rPr>
            <b/>
            <sz val="9"/>
            <rFont val="宋体"/>
            <charset val="0"/>
          </rPr>
          <t>石玉珍:</t>
        </r>
        <r>
          <rPr>
            <sz val="9"/>
            <rFont val="宋体"/>
            <charset val="0"/>
          </rPr>
          <t xml:space="preserve">
7/20 客供RFID贴纸 3200pcs</t>
        </r>
      </text>
    </comment>
    <comment ref="AI1381" authorId="2">
      <text>
        <r>
          <rPr>
            <b/>
            <sz val="9"/>
            <rFont val="宋体"/>
            <charset val="0"/>
          </rPr>
          <t>石玉珍:</t>
        </r>
        <r>
          <rPr>
            <sz val="9"/>
            <rFont val="宋体"/>
            <charset val="0"/>
          </rPr>
          <t xml:space="preserve">
1001419 8/13 500pcs</t>
        </r>
      </text>
    </comment>
    <comment ref="AL1381" authorId="2">
      <text>
        <r>
          <rPr>
            <b/>
            <sz val="9"/>
            <rFont val="宋体"/>
            <charset val="0"/>
          </rPr>
          <t>石玉珍:</t>
        </r>
        <r>
          <rPr>
            <sz val="9"/>
            <rFont val="宋体"/>
            <charset val="0"/>
          </rPr>
          <t xml:space="preserve">
7/24 UPC贴纸 500pcs</t>
        </r>
      </text>
    </comment>
    <comment ref="AI1382" authorId="2">
      <text>
        <r>
          <rPr>
            <b/>
            <sz val="9"/>
            <rFont val="宋体"/>
            <charset val="0"/>
          </rPr>
          <t>石玉珍:</t>
        </r>
        <r>
          <rPr>
            <sz val="9"/>
            <rFont val="宋体"/>
            <charset val="0"/>
          </rPr>
          <t xml:space="preserve">
1001395 8/14 1920pcs</t>
        </r>
      </text>
    </comment>
    <comment ref="AL1382" authorId="2">
      <text>
        <r>
          <rPr>
            <b/>
            <sz val="9"/>
            <rFont val="宋体"/>
            <charset val="0"/>
          </rPr>
          <t>石玉珍:</t>
        </r>
        <r>
          <rPr>
            <sz val="9"/>
            <rFont val="宋体"/>
            <charset val="0"/>
          </rPr>
          <t xml:space="preserve">
客供RID贴纸 7/7 1920pcs</t>
        </r>
      </text>
    </comment>
    <comment ref="AL1383" authorId="2">
      <text>
        <r>
          <rPr>
            <b/>
            <sz val="9"/>
            <rFont val="宋体"/>
            <charset val="0"/>
          </rPr>
          <t>石玉珍:</t>
        </r>
        <r>
          <rPr>
            <sz val="9"/>
            <rFont val="宋体"/>
            <charset val="0"/>
          </rPr>
          <t xml:space="preserve">
8/14 电池门进口商贴纸 504pcs</t>
        </r>
        <r>
          <rPr>
            <b/>
            <sz val="9"/>
            <rFont val="宋体"/>
            <charset val="0"/>
          </rPr>
          <t xml:space="preserve">
石玉珍:</t>
        </r>
        <r>
          <rPr>
            <sz val="9"/>
            <rFont val="宋体"/>
            <charset val="0"/>
          </rPr>
          <t xml:space="preserve">
包装贴进口商贴纸 504pcs</t>
        </r>
        <r>
          <rPr>
            <b/>
            <sz val="9"/>
            <rFont val="宋体"/>
            <charset val="0"/>
          </rPr>
          <t xml:space="preserve">
石玉珍:</t>
        </r>
        <r>
          <rPr>
            <sz val="9"/>
            <rFont val="宋体"/>
            <charset val="0"/>
          </rPr>
          <t xml:space="preserve">
保证书 504pcs</t>
        </r>
        <r>
          <rPr>
            <b/>
            <sz val="9"/>
            <rFont val="宋体"/>
            <charset val="0"/>
          </rPr>
          <t xml:space="preserve">
石玉珍:</t>
        </r>
        <r>
          <rPr>
            <sz val="9"/>
            <rFont val="宋体"/>
            <charset val="0"/>
          </rPr>
          <t xml:space="preserve">
UPC贴纸 504pcs</t>
        </r>
      </text>
    </comment>
    <comment ref="AI1384" authorId="2">
      <text>
        <r>
          <rPr>
            <b/>
            <sz val="9"/>
            <rFont val="宋体"/>
            <charset val="0"/>
          </rPr>
          <t>石玉珍:</t>
        </r>
        <r>
          <rPr>
            <sz val="9"/>
            <rFont val="宋体"/>
            <charset val="0"/>
          </rPr>
          <t xml:space="preserve">
1001531 8/8 2124pcs</t>
        </r>
      </text>
    </comment>
    <comment ref="AL1384" authorId="2">
      <text>
        <r>
          <rPr>
            <b/>
            <sz val="9"/>
            <rFont val="宋体"/>
            <charset val="0"/>
          </rPr>
          <t>石玉珍:</t>
        </r>
        <r>
          <rPr>
            <sz val="9"/>
            <rFont val="宋体"/>
            <charset val="0"/>
          </rPr>
          <t xml:space="preserve">
7/15 客供亚马逊外箱贴纸 177pcs</t>
        </r>
      </text>
    </comment>
    <comment ref="AL1385" authorId="2">
      <text>
        <r>
          <rPr>
            <b/>
            <sz val="9"/>
            <rFont val="宋体"/>
            <charset val="0"/>
          </rPr>
          <t>石玉珍:</t>
        </r>
        <r>
          <rPr>
            <sz val="9"/>
            <rFont val="宋体"/>
            <charset val="0"/>
          </rPr>
          <t xml:space="preserve">
7/18 产品贴纸 912pcs</t>
        </r>
        <r>
          <rPr>
            <b/>
            <sz val="9"/>
            <rFont val="宋体"/>
            <charset val="0"/>
          </rPr>
          <t xml:space="preserve">
石玉珍:</t>
        </r>
        <r>
          <rPr>
            <sz val="9"/>
            <rFont val="宋体"/>
            <charset val="0"/>
          </rPr>
          <t xml:space="preserve">
7/20 进口商贴纸 912pcs</t>
        </r>
        <r>
          <rPr>
            <b/>
            <sz val="9"/>
            <rFont val="宋体"/>
            <charset val="0"/>
          </rPr>
          <t xml:space="preserve">
石玉珍:</t>
        </r>
        <r>
          <rPr>
            <sz val="9"/>
            <rFont val="宋体"/>
            <charset val="0"/>
          </rPr>
          <t xml:space="preserve">
7/16 说明书纸</t>
        </r>
      </text>
    </comment>
    <comment ref="AI1386" authorId="2">
      <text>
        <r>
          <rPr>
            <b/>
            <sz val="9"/>
            <rFont val="宋体"/>
            <charset val="0"/>
          </rPr>
          <t>石玉珍:</t>
        </r>
        <r>
          <rPr>
            <sz val="9"/>
            <rFont val="宋体"/>
            <charset val="0"/>
          </rPr>
          <t xml:space="preserve">
消耗取消单</t>
        </r>
      </text>
    </comment>
    <comment ref="AL1386" authorId="2">
      <text>
        <r>
          <rPr>
            <b/>
            <sz val="9"/>
            <rFont val="宋体"/>
            <charset val="0"/>
          </rPr>
          <t>石玉珍:</t>
        </r>
        <r>
          <rPr>
            <sz val="9"/>
            <rFont val="宋体"/>
            <charset val="0"/>
          </rPr>
          <t xml:space="preserve">
7/18 通用进口商贴纸 400pcs</t>
        </r>
      </text>
    </comment>
    <comment ref="AI1387" authorId="2">
      <text>
        <r>
          <rPr>
            <b/>
            <sz val="9"/>
            <rFont val="宋体"/>
            <charset val="0"/>
          </rPr>
          <t>石玉珍:</t>
        </r>
        <r>
          <rPr>
            <sz val="9"/>
            <rFont val="宋体"/>
            <charset val="0"/>
          </rPr>
          <t xml:space="preserve">
1001387 8/15 1500pcs</t>
        </r>
      </text>
    </comment>
    <comment ref="AL1387" authorId="2">
      <text>
        <r>
          <rPr>
            <b/>
            <sz val="9"/>
            <rFont val="宋体"/>
            <charset val="0"/>
          </rPr>
          <t>石玉珍:</t>
        </r>
        <r>
          <rPr>
            <sz val="9"/>
            <rFont val="宋体"/>
            <charset val="0"/>
          </rPr>
          <t xml:space="preserve">
7/23 UPC贴纸 1500pcs</t>
        </r>
        <r>
          <rPr>
            <b/>
            <sz val="9"/>
            <rFont val="宋体"/>
            <charset val="0"/>
          </rPr>
          <t xml:space="preserve">
石玉珍:</t>
        </r>
        <r>
          <rPr>
            <sz val="9"/>
            <rFont val="宋体"/>
            <charset val="0"/>
          </rPr>
          <t xml:space="preserve">
包装进口商贴纸 1500pcs</t>
        </r>
        <r>
          <rPr>
            <b/>
            <sz val="9"/>
            <rFont val="宋体"/>
            <charset val="0"/>
          </rPr>
          <t xml:space="preserve">
石玉珍:</t>
        </r>
        <r>
          <rPr>
            <sz val="9"/>
            <rFont val="宋体"/>
            <charset val="0"/>
          </rPr>
          <t xml:space="preserve">
保证书 1500pcs</t>
        </r>
        <r>
          <rPr>
            <b/>
            <sz val="9"/>
            <rFont val="宋体"/>
            <charset val="0"/>
          </rPr>
          <t xml:space="preserve">
石玉珍:</t>
        </r>
        <r>
          <rPr>
            <sz val="9"/>
            <rFont val="宋体"/>
            <charset val="0"/>
          </rPr>
          <t xml:space="preserve">
7/27 包装进口商贴纸 1500pcs</t>
        </r>
        <r>
          <rPr>
            <b/>
            <sz val="9"/>
            <rFont val="宋体"/>
            <charset val="0"/>
          </rPr>
          <t xml:space="preserve">
石玉珍:</t>
        </r>
        <r>
          <rPr>
            <sz val="9"/>
            <rFont val="宋体"/>
            <charset val="0"/>
          </rPr>
          <t xml:space="preserve">
电池门进口商贴纸 1500pcs</t>
        </r>
      </text>
    </comment>
    <comment ref="AI1388" authorId="2">
      <text>
        <r>
          <rPr>
            <b/>
            <sz val="9"/>
            <rFont val="宋体"/>
            <charset val="0"/>
          </rPr>
          <t>石玉珍:</t>
        </r>
        <r>
          <rPr>
            <sz val="9"/>
            <rFont val="宋体"/>
            <charset val="0"/>
          </rPr>
          <t xml:space="preserve">
1001390 8/17 4000pcs</t>
        </r>
      </text>
    </comment>
    <comment ref="AI1389" authorId="2">
      <text>
        <r>
          <rPr>
            <b/>
            <sz val="9"/>
            <rFont val="宋体"/>
            <charset val="0"/>
          </rPr>
          <t>石玉珍:</t>
        </r>
        <r>
          <rPr>
            <sz val="9"/>
            <rFont val="宋体"/>
            <charset val="0"/>
          </rPr>
          <t xml:space="preserve">
1001387 8/15 3264pcs</t>
        </r>
        <r>
          <rPr>
            <b/>
            <sz val="9"/>
            <rFont val="宋体"/>
            <charset val="0"/>
          </rPr>
          <t xml:space="preserve">
石玉珍:</t>
        </r>
        <r>
          <rPr>
            <sz val="9"/>
            <rFont val="宋体"/>
            <charset val="0"/>
          </rPr>
          <t xml:space="preserve">
1001390 8/17 736pcs</t>
        </r>
      </text>
    </comment>
    <comment ref="AI1392" authorId="2">
      <text>
        <r>
          <rPr>
            <b/>
            <sz val="9"/>
            <rFont val="宋体"/>
            <charset val="0"/>
          </rPr>
          <t>石玉珍:</t>
        </r>
        <r>
          <rPr>
            <sz val="9"/>
            <rFont val="宋体"/>
            <charset val="0"/>
          </rPr>
          <t xml:space="preserve">
1001585 8/4 1600pcs</t>
        </r>
      </text>
    </comment>
    <comment ref="AL1392" authorId="2">
      <text>
        <r>
          <rPr>
            <b/>
            <sz val="9"/>
            <rFont val="宋体"/>
            <charset val="0"/>
          </rPr>
          <t>石玉珍:</t>
        </r>
        <r>
          <rPr>
            <sz val="9"/>
            <rFont val="宋体"/>
            <charset val="0"/>
          </rPr>
          <t xml:space="preserve">
7/13 客供RFID贴纸 1600pcs</t>
        </r>
      </text>
    </comment>
    <comment ref="AI1393" authorId="2">
      <text>
        <r>
          <rPr>
            <b/>
            <sz val="9"/>
            <rFont val="宋体"/>
            <charset val="0"/>
          </rPr>
          <t>石玉珍:</t>
        </r>
        <r>
          <rPr>
            <sz val="9"/>
            <rFont val="宋体"/>
            <charset val="0"/>
          </rPr>
          <t xml:space="preserve">
1001416 8/14 2600pcs</t>
        </r>
      </text>
    </comment>
    <comment ref="AL1393" authorId="2">
      <text>
        <r>
          <rPr>
            <b/>
            <sz val="9"/>
            <rFont val="宋体"/>
            <charset val="0"/>
          </rPr>
          <t>石玉珍:</t>
        </r>
        <r>
          <rPr>
            <sz val="9"/>
            <rFont val="宋体"/>
            <charset val="0"/>
          </rPr>
          <t xml:space="preserve">
7/23 PDQ地址贴纸 2600pcs</t>
        </r>
      </text>
    </comment>
    <comment ref="AI1394" authorId="2">
      <text>
        <r>
          <rPr>
            <b/>
            <sz val="9"/>
            <rFont val="宋体"/>
            <charset val="0"/>
          </rPr>
          <t>石玉珍:</t>
        </r>
        <r>
          <rPr>
            <sz val="9"/>
            <rFont val="宋体"/>
            <charset val="0"/>
          </rPr>
          <t xml:space="preserve">
1001376 8/17 2080pcs</t>
        </r>
      </text>
    </comment>
    <comment ref="AI1395" authorId="2">
      <text>
        <r>
          <rPr>
            <b/>
            <sz val="9"/>
            <rFont val="宋体"/>
            <charset val="0"/>
          </rPr>
          <t>石玉珍:</t>
        </r>
        <r>
          <rPr>
            <sz val="9"/>
            <rFont val="宋体"/>
            <charset val="0"/>
          </rPr>
          <t xml:space="preserve">
1001376 8/17 1120pcs</t>
        </r>
      </text>
    </comment>
    <comment ref="AI1399" authorId="2">
      <text>
        <r>
          <rPr>
            <b/>
            <sz val="9"/>
            <rFont val="宋体"/>
            <charset val="0"/>
          </rPr>
          <t>石玉珍:</t>
        </r>
        <r>
          <rPr>
            <sz val="9"/>
            <rFont val="宋体"/>
            <charset val="0"/>
          </rPr>
          <t xml:space="preserve">
1001425 8/13 3200PCS</t>
        </r>
      </text>
    </comment>
    <comment ref="AL1399" authorId="2">
      <text>
        <r>
          <rPr>
            <b/>
            <sz val="9"/>
            <rFont val="宋体"/>
            <charset val="0"/>
          </rPr>
          <t>石玉珍:</t>
        </r>
        <r>
          <rPr>
            <sz val="9"/>
            <rFont val="宋体"/>
            <charset val="0"/>
          </rPr>
          <t xml:space="preserve">
7/3 客供RFID贴纸 3200pcs</t>
        </r>
      </text>
    </comment>
    <comment ref="AI1400" authorId="2">
      <text>
        <r>
          <rPr>
            <b/>
            <sz val="9"/>
            <rFont val="宋体"/>
            <charset val="0"/>
          </rPr>
          <t>石玉珍:</t>
        </r>
        <r>
          <rPr>
            <sz val="9"/>
            <rFont val="宋体"/>
            <charset val="0"/>
          </rPr>
          <t xml:space="preserve">
1001376 8/17 1808pcs</t>
        </r>
      </text>
    </comment>
    <comment ref="AL1400" authorId="2">
      <text>
        <r>
          <rPr>
            <b/>
            <sz val="9"/>
            <rFont val="宋体"/>
            <charset val="0"/>
          </rPr>
          <t>石玉珍:</t>
        </r>
        <r>
          <rPr>
            <sz val="9"/>
            <rFont val="宋体"/>
            <charset val="0"/>
          </rPr>
          <t xml:space="preserve">
7/25 PDQ+收缩膜进口商贴纸 1808pcs</t>
        </r>
        <r>
          <rPr>
            <b/>
            <sz val="9"/>
            <rFont val="宋体"/>
            <charset val="0"/>
          </rPr>
          <t xml:space="preserve">
石玉珍:</t>
        </r>
        <r>
          <rPr>
            <sz val="9"/>
            <rFont val="宋体"/>
            <charset val="0"/>
          </rPr>
          <t xml:space="preserve">
7/28 1-PDQ彩色贴纸 1808pcs
2-PDQ彩色贴纸 1808pcs
收藏指南彩色贴纸 113*2pcs</t>
        </r>
      </text>
    </comment>
    <comment ref="AI1401" authorId="2">
      <text>
        <r>
          <rPr>
            <b/>
            <sz val="9"/>
            <rFont val="宋体"/>
            <charset val="0"/>
          </rPr>
          <t>石玉珍:</t>
        </r>
        <r>
          <rPr>
            <sz val="9"/>
            <rFont val="宋体"/>
            <charset val="0"/>
          </rPr>
          <t xml:space="preserve">
1001390 8/17 1808pcs</t>
        </r>
      </text>
    </comment>
    <comment ref="AL1401" authorId="2">
      <text>
        <r>
          <rPr>
            <b/>
            <sz val="9"/>
            <rFont val="宋体"/>
            <charset val="0"/>
          </rPr>
          <t>石玉珍:</t>
        </r>
        <r>
          <rPr>
            <sz val="9"/>
            <rFont val="宋体"/>
            <charset val="0"/>
          </rPr>
          <t xml:space="preserve">
7/25 PDQ+收缩膜进口商贴纸 1808pcs</t>
        </r>
        <r>
          <rPr>
            <b/>
            <sz val="9"/>
            <rFont val="宋体"/>
            <charset val="0"/>
          </rPr>
          <t xml:space="preserve">
石玉珍:</t>
        </r>
        <r>
          <rPr>
            <sz val="9"/>
            <rFont val="宋体"/>
            <charset val="0"/>
          </rPr>
          <t xml:space="preserve">
7/28 1-PDQ彩色贴纸 1808pcs
2-PDQ彩色贴纸 1808pcs
收藏指南彩色贴纸 113*2pcs</t>
        </r>
      </text>
    </comment>
    <comment ref="AI1402" authorId="2">
      <text>
        <r>
          <rPr>
            <b/>
            <sz val="9"/>
            <rFont val="宋体"/>
            <charset val="0"/>
          </rPr>
          <t>石玉珍:</t>
        </r>
        <r>
          <rPr>
            <sz val="9"/>
            <rFont val="宋体"/>
            <charset val="0"/>
          </rPr>
          <t xml:space="preserve">
1001376 8/17 1200pcs</t>
        </r>
      </text>
    </comment>
    <comment ref="AL1402" authorId="2">
      <text>
        <r>
          <rPr>
            <b/>
            <sz val="9"/>
            <rFont val="宋体"/>
            <charset val="0"/>
          </rPr>
          <t>石玉珍:</t>
        </r>
        <r>
          <rPr>
            <sz val="9"/>
            <rFont val="宋体"/>
            <charset val="0"/>
          </rPr>
          <t xml:space="preserve">
7/25 PDQ+收缩膜进口商贴纸 1200pcs</t>
        </r>
        <r>
          <rPr>
            <b/>
            <sz val="9"/>
            <rFont val="宋体"/>
            <charset val="0"/>
          </rPr>
          <t xml:space="preserve">
石玉珍:</t>
        </r>
        <r>
          <rPr>
            <sz val="9"/>
            <rFont val="宋体"/>
            <charset val="0"/>
          </rPr>
          <t xml:space="preserve">
7/28 1-PDQ彩色贴纸 1200pcs
2-PDQ彩色贴纸 1200pcs
收藏指南彩色贴纸 75*2pcs</t>
        </r>
      </text>
    </comment>
    <comment ref="AI1403" authorId="2">
      <text>
        <r>
          <rPr>
            <b/>
            <sz val="9"/>
            <rFont val="宋体"/>
            <charset val="0"/>
          </rPr>
          <t>石玉珍:</t>
        </r>
        <r>
          <rPr>
            <sz val="9"/>
            <rFont val="宋体"/>
            <charset val="0"/>
          </rPr>
          <t xml:space="preserve">
1001416 8/14 240pcs</t>
        </r>
      </text>
    </comment>
    <comment ref="AL1403" authorId="2">
      <text>
        <r>
          <rPr>
            <b/>
            <sz val="9"/>
            <rFont val="宋体"/>
            <charset val="0"/>
          </rPr>
          <t>石玉珍:</t>
        </r>
        <r>
          <rPr>
            <sz val="9"/>
            <rFont val="宋体"/>
            <charset val="0"/>
          </rPr>
          <t xml:space="preserve">
7/28 客户进口商内容贴纸 240pcs</t>
        </r>
      </text>
    </comment>
    <comment ref="AI1406" authorId="2">
      <text>
        <r>
          <rPr>
            <b/>
            <sz val="9"/>
            <rFont val="宋体"/>
            <charset val="0"/>
          </rPr>
          <t>石玉珍:</t>
        </r>
        <r>
          <rPr>
            <sz val="9"/>
            <rFont val="宋体"/>
            <charset val="0"/>
          </rPr>
          <t xml:space="preserve">
1001407 8/14 2800pcs</t>
        </r>
      </text>
    </comment>
    <comment ref="AI1407" authorId="2">
      <text>
        <r>
          <rPr>
            <b/>
            <sz val="9"/>
            <rFont val="宋体"/>
            <charset val="0"/>
          </rPr>
          <t>石玉珍:</t>
        </r>
        <r>
          <rPr>
            <sz val="9"/>
            <rFont val="宋体"/>
            <charset val="0"/>
          </rPr>
          <t xml:space="preserve">
1001380 8/15 804pcs</t>
        </r>
      </text>
    </comment>
    <comment ref="AL1407" authorId="2">
      <text>
        <r>
          <rPr>
            <b/>
            <sz val="9"/>
            <rFont val="宋体"/>
            <charset val="0"/>
          </rPr>
          <t>石玉珍:</t>
        </r>
        <r>
          <rPr>
            <sz val="9"/>
            <rFont val="宋体"/>
            <charset val="0"/>
          </rPr>
          <t xml:space="preserve">
8/1 UPC贴纸 804pcs
进口商贴纸 804pcs
保证书 804pcs</t>
        </r>
      </text>
    </comment>
    <comment ref="AI1408" authorId="2">
      <text>
        <r>
          <rPr>
            <b/>
            <sz val="9"/>
            <rFont val="宋体"/>
            <charset val="0"/>
          </rPr>
          <t>石玉珍:</t>
        </r>
        <r>
          <rPr>
            <sz val="9"/>
            <rFont val="宋体"/>
            <charset val="0"/>
          </rPr>
          <t xml:space="preserve">
1001380 8/15 936pcs</t>
        </r>
      </text>
    </comment>
    <comment ref="AL1408" authorId="2">
      <text>
        <r>
          <rPr>
            <b/>
            <sz val="9"/>
            <rFont val="宋体"/>
            <charset val="0"/>
          </rPr>
          <t>石玉珍:</t>
        </r>
        <r>
          <rPr>
            <sz val="9"/>
            <rFont val="宋体"/>
            <charset val="0"/>
          </rPr>
          <t xml:space="preserve">
8/1 UPC贴纸 936pcs
进口商贴纸 936pcs
保证书 936pcs</t>
        </r>
      </text>
    </comment>
    <comment ref="AI1409" authorId="2">
      <text>
        <r>
          <rPr>
            <b/>
            <sz val="9"/>
            <rFont val="宋体"/>
            <charset val="0"/>
          </rPr>
          <t>石玉珍:</t>
        </r>
        <r>
          <rPr>
            <sz val="9"/>
            <rFont val="宋体"/>
            <charset val="0"/>
          </rPr>
          <t xml:space="preserve">
1001379 8/15 612pcs</t>
        </r>
      </text>
    </comment>
    <comment ref="AL1409" authorId="2">
      <text>
        <r>
          <rPr>
            <b/>
            <sz val="9"/>
            <rFont val="宋体"/>
            <charset val="0"/>
          </rPr>
          <t>石玉珍:</t>
        </r>
        <r>
          <rPr>
            <sz val="9"/>
            <rFont val="宋体"/>
            <charset val="0"/>
          </rPr>
          <t xml:space="preserve">
8/1 UPC贴纸 612pcs
进口商贴纸 612pcs
保证书 612pcs</t>
        </r>
      </text>
    </comment>
    <comment ref="AI1410" authorId="2">
      <text>
        <r>
          <rPr>
            <b/>
            <sz val="9"/>
            <rFont val="宋体"/>
            <charset val="0"/>
          </rPr>
          <t>石玉珍:</t>
        </r>
        <r>
          <rPr>
            <sz val="9"/>
            <rFont val="宋体"/>
            <charset val="0"/>
          </rPr>
          <t xml:space="preserve">
1001380 8/15 1200pcs</t>
        </r>
        <r>
          <rPr>
            <b/>
            <sz val="9"/>
            <rFont val="宋体"/>
            <charset val="0"/>
          </rPr>
          <t xml:space="preserve">
石玉珍:</t>
        </r>
        <r>
          <rPr>
            <sz val="9"/>
            <rFont val="宋体"/>
            <charset val="0"/>
          </rPr>
          <t xml:space="preserve">
 8/17 1001390 12pcs</t>
        </r>
      </text>
    </comment>
    <comment ref="AL1410" authorId="2">
      <text>
        <r>
          <rPr>
            <b/>
            <sz val="9"/>
            <rFont val="宋体"/>
            <charset val="0"/>
          </rPr>
          <t>石玉珍:</t>
        </r>
        <r>
          <rPr>
            <sz val="9"/>
            <rFont val="宋体"/>
            <charset val="0"/>
          </rPr>
          <t xml:space="preserve">
8/1 UPC贴纸 1200pcs
进口商贴纸 1200pcs
保证书 1200pcs</t>
        </r>
      </text>
    </comment>
    <comment ref="AI1411" authorId="2">
      <text>
        <r>
          <rPr>
            <b/>
            <sz val="9"/>
            <rFont val="宋体"/>
            <charset val="0"/>
          </rPr>
          <t>石玉珍:</t>
        </r>
        <r>
          <rPr>
            <sz val="9"/>
            <rFont val="宋体"/>
            <charset val="0"/>
          </rPr>
          <t xml:space="preserve">
1001416 8/14 600pcs</t>
        </r>
      </text>
    </comment>
    <comment ref="AL1411" authorId="2">
      <text>
        <r>
          <rPr>
            <b/>
            <sz val="9"/>
            <rFont val="宋体"/>
            <charset val="0"/>
          </rPr>
          <t>石玉珍:</t>
        </r>
        <r>
          <rPr>
            <sz val="9"/>
            <rFont val="宋体"/>
            <charset val="0"/>
          </rPr>
          <t xml:space="preserve">
7/23 UPC贴纸 600pcs</t>
        </r>
      </text>
    </comment>
    <comment ref="AI1412" authorId="2">
      <text>
        <r>
          <rPr>
            <b/>
            <sz val="9"/>
            <rFont val="宋体"/>
            <charset val="0"/>
          </rPr>
          <t>石玉珍:</t>
        </r>
        <r>
          <rPr>
            <sz val="9"/>
            <rFont val="宋体"/>
            <charset val="0"/>
          </rPr>
          <t xml:space="preserve">
1001380 8/15 1472pcs</t>
        </r>
      </text>
    </comment>
    <comment ref="AI1413" authorId="2">
      <text>
        <r>
          <rPr>
            <b/>
            <sz val="9"/>
            <rFont val="宋体"/>
            <charset val="0"/>
          </rPr>
          <t>石玉珍:</t>
        </r>
        <r>
          <rPr>
            <sz val="9"/>
            <rFont val="宋体"/>
            <charset val="0"/>
          </rPr>
          <t xml:space="preserve">
1001380 8/15 124pcs</t>
        </r>
        <r>
          <rPr>
            <b/>
            <sz val="9"/>
            <rFont val="宋体"/>
            <charset val="0"/>
          </rPr>
          <t xml:space="preserve">
石玉珍:</t>
        </r>
        <r>
          <rPr>
            <sz val="9"/>
            <rFont val="宋体"/>
            <charset val="0"/>
          </rPr>
          <t xml:space="preserve">
1001390 8/17 4pcs</t>
        </r>
      </text>
    </comment>
    <comment ref="AI1414" authorId="2">
      <text>
        <r>
          <rPr>
            <b/>
            <sz val="9"/>
            <rFont val="宋体"/>
            <charset val="0"/>
          </rPr>
          <t>石玉珍:</t>
        </r>
        <r>
          <rPr>
            <sz val="9"/>
            <rFont val="宋体"/>
            <charset val="0"/>
          </rPr>
          <t xml:space="preserve">
1001395 8/14 608pcs</t>
        </r>
      </text>
    </comment>
    <comment ref="AL1414" authorId="2">
      <text>
        <r>
          <rPr>
            <b/>
            <sz val="9"/>
            <rFont val="宋体"/>
            <charset val="0"/>
          </rPr>
          <t>石玉珍:</t>
        </r>
        <r>
          <rPr>
            <sz val="9"/>
            <rFont val="宋体"/>
            <charset val="0"/>
          </rPr>
          <t xml:space="preserve">
7/23 UPC贴纸 608pcs</t>
        </r>
      </text>
    </comment>
    <comment ref="AL1415" authorId="2">
      <text>
        <r>
          <rPr>
            <b/>
            <sz val="9"/>
            <rFont val="宋体"/>
            <charset val="0"/>
          </rPr>
          <t>石玉珍:</t>
        </r>
        <r>
          <rPr>
            <sz val="9"/>
            <rFont val="宋体"/>
            <charset val="0"/>
          </rPr>
          <t xml:space="preserve">
7/24 进口商贴纸 1008pcs</t>
        </r>
      </text>
    </comment>
    <comment ref="AI1418" authorId="2">
      <text>
        <r>
          <rPr>
            <b/>
            <sz val="9"/>
            <rFont val="宋体"/>
            <charset val="0"/>
          </rPr>
          <t>石玉珍:</t>
        </r>
        <r>
          <rPr>
            <sz val="9"/>
            <rFont val="宋体"/>
            <charset val="0"/>
          </rPr>
          <t xml:space="preserve">
1001416 8/14 4040pcs</t>
        </r>
      </text>
    </comment>
    <comment ref="AL1418" authorId="2">
      <text>
        <r>
          <rPr>
            <b/>
            <sz val="9"/>
            <rFont val="宋体"/>
            <charset val="0"/>
          </rPr>
          <t>石玉珍:</t>
        </r>
        <r>
          <rPr>
            <sz val="9"/>
            <rFont val="宋体"/>
            <charset val="0"/>
          </rPr>
          <t xml:space="preserve">
7/23 UPC贴纸 4040pcs</t>
        </r>
      </text>
    </comment>
    <comment ref="AI1424" authorId="2">
      <text>
        <r>
          <rPr>
            <b/>
            <sz val="9"/>
            <rFont val="宋体"/>
            <charset val="0"/>
          </rPr>
          <t>石玉珍:</t>
        </r>
        <r>
          <rPr>
            <sz val="9"/>
            <rFont val="宋体"/>
            <charset val="0"/>
          </rPr>
          <t xml:space="preserve">
1001407 8/14 360pcs</t>
        </r>
      </text>
    </comment>
    <comment ref="AL1424" authorId="2">
      <text>
        <r>
          <rPr>
            <b/>
            <sz val="9"/>
            <rFont val="宋体"/>
            <charset val="0"/>
          </rPr>
          <t>石玉珍:</t>
        </r>
        <r>
          <rPr>
            <sz val="9"/>
            <rFont val="宋体"/>
            <charset val="0"/>
          </rPr>
          <t xml:space="preserve">
7/25 进口商贴纸  360pcs</t>
        </r>
      </text>
    </comment>
    <comment ref="AL1425" authorId="2">
      <text>
        <r>
          <rPr>
            <b/>
            <sz val="9"/>
            <rFont val="宋体"/>
            <charset val="0"/>
          </rPr>
          <t>石玉珍:</t>
        </r>
        <r>
          <rPr>
            <sz val="9"/>
            <rFont val="宋体"/>
            <charset val="0"/>
          </rPr>
          <t xml:space="preserve">
客版价格贴纸 7/25 5004pcs</t>
        </r>
        <r>
          <rPr>
            <b/>
            <sz val="9"/>
            <rFont val="宋体"/>
            <charset val="0"/>
          </rPr>
          <t xml:space="preserve">
石玉珍:</t>
        </r>
        <r>
          <rPr>
            <sz val="9"/>
            <rFont val="宋体"/>
            <charset val="0"/>
          </rPr>
          <t xml:space="preserve">
8/5 SSCC外箱贴纸 147pcs</t>
        </r>
      </text>
    </comment>
    <comment ref="AI1426" authorId="2">
      <text>
        <r>
          <rPr>
            <b/>
            <sz val="9"/>
            <rFont val="宋体"/>
            <charset val="0"/>
          </rPr>
          <t>石玉珍:</t>
        </r>
        <r>
          <rPr>
            <sz val="9"/>
            <rFont val="宋体"/>
            <charset val="0"/>
          </rPr>
          <t xml:space="preserve">
1001416 8/14 4000pcs</t>
        </r>
      </text>
    </comment>
    <comment ref="AL1428" authorId="2">
      <text>
        <r>
          <rPr>
            <b/>
            <sz val="9"/>
            <rFont val="宋体"/>
            <charset val="0"/>
          </rPr>
          <t>石玉珍:</t>
        </r>
        <r>
          <rPr>
            <sz val="9"/>
            <rFont val="宋体"/>
            <charset val="0"/>
          </rPr>
          <t xml:space="preserve">
PDQ+收缩膜进口商贴纸 7/29 816pcs</t>
        </r>
      </text>
    </comment>
    <comment ref="AL1429" authorId="2">
      <text>
        <r>
          <rPr>
            <b/>
            <sz val="9"/>
            <rFont val="宋体"/>
            <charset val="0"/>
          </rPr>
          <t>石玉珍:</t>
        </r>
        <r>
          <rPr>
            <sz val="9"/>
            <rFont val="宋体"/>
            <charset val="0"/>
          </rPr>
          <t xml:space="preserve">
PDQ+包装进口商贴纸 7/29 752pcs</t>
        </r>
      </text>
    </comment>
    <comment ref="AL1430" authorId="2">
      <text>
        <r>
          <rPr>
            <b/>
            <sz val="9"/>
            <rFont val="宋体"/>
            <charset val="0"/>
          </rPr>
          <t>石玉珍:</t>
        </r>
        <r>
          <rPr>
            <sz val="9"/>
            <rFont val="宋体"/>
            <charset val="0"/>
          </rPr>
          <t xml:space="preserve">
7/25 客供RFID贴纸 1600pcs</t>
        </r>
      </text>
    </comment>
    <comment ref="BN1431" authorId="2">
      <text>
        <r>
          <rPr>
            <b/>
            <sz val="9"/>
            <rFont val="宋体"/>
            <charset val="0"/>
          </rPr>
          <t>陈炎:</t>
        </r>
        <r>
          <rPr>
            <sz val="9"/>
            <rFont val="宋体"/>
            <charset val="0"/>
          </rPr>
          <t xml:space="preserve">
新客版彩盒</t>
        </r>
      </text>
    </comment>
    <comment ref="AL1437" authorId="2">
      <text>
        <r>
          <rPr>
            <b/>
            <sz val="9"/>
            <rFont val="宋体"/>
            <charset val="0"/>
          </rPr>
          <t>石玉珍:</t>
        </r>
        <r>
          <rPr>
            <sz val="9"/>
            <rFont val="宋体"/>
            <charset val="0"/>
          </rPr>
          <t xml:space="preserve">
7/30 通用进口商贴纸 288pcs</t>
        </r>
      </text>
    </comment>
    <comment ref="AL1438" authorId="2">
      <text>
        <r>
          <rPr>
            <b/>
            <sz val="9"/>
            <rFont val="宋体"/>
            <charset val="0"/>
          </rPr>
          <t>石玉珍:</t>
        </r>
        <r>
          <rPr>
            <sz val="9"/>
            <rFont val="宋体"/>
            <charset val="0"/>
          </rPr>
          <t xml:space="preserve">
7/29 进口商贴纸(含波兰语警 504pcs
波兰语收藏指南贴纸 504pcs</t>
        </r>
      </text>
    </comment>
    <comment ref="AL1444" authorId="2">
      <text>
        <r>
          <rPr>
            <b/>
            <sz val="9"/>
            <rFont val="宋体"/>
            <charset val="0"/>
          </rPr>
          <t>石玉珍:</t>
        </r>
        <r>
          <rPr>
            <sz val="9"/>
            <rFont val="宋体"/>
            <charset val="0"/>
          </rPr>
          <t xml:space="preserve">
7/9 客供价格贴纸 996pcs</t>
        </r>
      </text>
    </comment>
    <comment ref="AL1445" authorId="2">
      <text>
        <r>
          <rPr>
            <b/>
            <sz val="9"/>
            <rFont val="宋体"/>
            <charset val="0"/>
          </rPr>
          <t>石玉珍:</t>
        </r>
        <r>
          <rPr>
            <sz val="9"/>
            <rFont val="宋体"/>
            <charset val="0"/>
          </rPr>
          <t xml:space="preserve">
7/11 客供价格贴纸 1200pcs.</t>
        </r>
      </text>
    </comment>
    <comment ref="AL1447" authorId="2">
      <text>
        <r>
          <rPr>
            <b/>
            <sz val="9"/>
            <rFont val="宋体"/>
            <charset val="0"/>
          </rPr>
          <t>石玉珍:</t>
        </r>
        <r>
          <rPr>
            <sz val="9"/>
            <rFont val="宋体"/>
            <charset val="0"/>
          </rPr>
          <t xml:space="preserve">
8/3 价格贴纸 3000pcs
外箱条码贴纸 500pcs</t>
        </r>
      </text>
    </comment>
    <comment ref="AL1453" authorId="2">
      <text>
        <r>
          <rPr>
            <b/>
            <sz val="9"/>
            <rFont val="宋体"/>
            <charset val="0"/>
          </rPr>
          <t>石玉珍:</t>
        </r>
        <r>
          <rPr>
            <sz val="9"/>
            <rFont val="宋体"/>
            <charset val="0"/>
          </rPr>
          <t xml:space="preserve">
8/5 UPC贴纸 3796pcs</t>
        </r>
      </text>
    </comment>
    <comment ref="BN1458" authorId="2">
      <text>
        <r>
          <rPr>
            <b/>
            <sz val="9"/>
            <rFont val="宋体"/>
            <charset val="0"/>
          </rPr>
          <t>陈炎:</t>
        </r>
        <r>
          <rPr>
            <sz val="9"/>
            <rFont val="宋体"/>
            <charset val="0"/>
          </rPr>
          <t xml:space="preserve">
新客版彩盒</t>
        </r>
      </text>
    </comment>
    <comment ref="AL1461" authorId="2">
      <text>
        <r>
          <rPr>
            <b/>
            <sz val="9"/>
            <rFont val="宋体"/>
            <charset val="0"/>
          </rPr>
          <t>石玉珍:</t>
        </r>
        <r>
          <rPr>
            <sz val="9"/>
            <rFont val="宋体"/>
            <charset val="0"/>
          </rPr>
          <t xml:space="preserve">
8/1 UPC贴纸 1000pcs</t>
        </r>
      </text>
    </comment>
    <comment ref="AL1464" authorId="2">
      <text>
        <r>
          <rPr>
            <b/>
            <sz val="9"/>
            <rFont val="宋体"/>
            <charset val="0"/>
          </rPr>
          <t>石玉珍:</t>
        </r>
        <r>
          <rPr>
            <sz val="9"/>
            <rFont val="宋体"/>
            <charset val="0"/>
          </rPr>
          <t xml:space="preserve">
8/3 地址贴纸 512pcs</t>
        </r>
        <r>
          <rPr>
            <b/>
            <sz val="9"/>
            <rFont val="宋体"/>
            <charset val="0"/>
          </rPr>
          <t xml:space="preserve">
石玉珍:</t>
        </r>
        <r>
          <rPr>
            <sz val="9"/>
            <rFont val="宋体"/>
            <charset val="0"/>
          </rPr>
          <t xml:space="preserve">
8/3 PDQ条码贴纸 128pcs
ZURU地址_PDQ通用贴纸 128pcs
德语警告语贴纸 512pcs
DQ+Kinder herz 2025 logo贴 640pcs
</t>
        </r>
      </text>
    </comment>
    <comment ref="AL1465" authorId="2">
      <text>
        <r>
          <rPr>
            <b/>
            <sz val="9"/>
            <rFont val="宋体"/>
            <charset val="0"/>
          </rPr>
          <t>石玉珍:</t>
        </r>
        <r>
          <rPr>
            <sz val="9"/>
            <rFont val="宋体"/>
            <charset val="0"/>
          </rPr>
          <t xml:space="preserve">
7/25 客供RID贴纸 5500pcs</t>
        </r>
        <r>
          <rPr>
            <b/>
            <sz val="9"/>
            <rFont val="宋体"/>
            <charset val="0"/>
          </rPr>
          <t xml:space="preserve">
石玉珍:</t>
        </r>
        <r>
          <rPr>
            <sz val="9"/>
            <rFont val="宋体"/>
            <charset val="0"/>
          </rPr>
          <t xml:space="preserve">
客供RFID贴纸 8/10 5500pcs</t>
        </r>
      </text>
    </comment>
    <comment ref="AL1466" authorId="2">
      <text>
        <r>
          <rPr>
            <b/>
            <sz val="9"/>
            <rFont val="宋体"/>
            <charset val="0"/>
          </rPr>
          <t>石玉珍:</t>
        </r>
        <r>
          <rPr>
            <sz val="9"/>
            <rFont val="宋体"/>
            <charset val="0"/>
          </rPr>
          <t xml:space="preserve">
7/25 客供RID贴纸 3536pcs</t>
        </r>
        <r>
          <rPr>
            <b/>
            <sz val="9"/>
            <rFont val="宋体"/>
            <charset val="0"/>
          </rPr>
          <t xml:space="preserve">
石玉珍:</t>
        </r>
        <r>
          <rPr>
            <sz val="9"/>
            <rFont val="宋体"/>
            <charset val="0"/>
          </rPr>
          <t xml:space="preserve">
客供RFID贴纸 8/10 3536pcs</t>
        </r>
      </text>
    </comment>
    <comment ref="AL1467" authorId="2">
      <text>
        <r>
          <rPr>
            <b/>
            <sz val="9"/>
            <rFont val="宋体"/>
            <charset val="0"/>
          </rPr>
          <t>石玉珍:</t>
        </r>
        <r>
          <rPr>
            <sz val="9"/>
            <rFont val="宋体"/>
            <charset val="0"/>
          </rPr>
          <t xml:space="preserve">
7/25 客供RID贴纸 7076pcs</t>
        </r>
        <r>
          <rPr>
            <b/>
            <sz val="9"/>
            <rFont val="宋体"/>
            <charset val="0"/>
          </rPr>
          <t xml:space="preserve">
石玉珍:</t>
        </r>
        <r>
          <rPr>
            <sz val="9"/>
            <rFont val="宋体"/>
            <charset val="0"/>
          </rPr>
          <t xml:space="preserve">
客供RFID贴纸 8/10 7076pcs</t>
        </r>
      </text>
    </comment>
    <comment ref="AL1468" authorId="2">
      <text>
        <r>
          <rPr>
            <b/>
            <sz val="9"/>
            <rFont val="宋体"/>
            <charset val="0"/>
          </rPr>
          <t>石玉珍:</t>
        </r>
        <r>
          <rPr>
            <sz val="9"/>
            <rFont val="宋体"/>
            <charset val="0"/>
          </rPr>
          <t xml:space="preserve">
7/25 客供RID贴纸 2080pcs</t>
        </r>
        <r>
          <rPr>
            <b/>
            <sz val="9"/>
            <rFont val="宋体"/>
            <charset val="0"/>
          </rPr>
          <t xml:space="preserve">
石玉珍:</t>
        </r>
        <r>
          <rPr>
            <sz val="9"/>
            <rFont val="宋体"/>
            <charset val="0"/>
          </rPr>
          <t xml:space="preserve">
客供RFID贴纸 8/10 2080pcs</t>
        </r>
      </text>
    </comment>
    <comment ref="AL1469" authorId="2">
      <text>
        <r>
          <rPr>
            <b/>
            <sz val="9"/>
            <rFont val="宋体"/>
            <charset val="0"/>
          </rPr>
          <t>石玉珍:</t>
        </r>
        <r>
          <rPr>
            <sz val="9"/>
            <rFont val="宋体"/>
            <charset val="0"/>
          </rPr>
          <t xml:space="preserve">
客供RFID贴纸 8/10 7040pcs</t>
        </r>
      </text>
    </comment>
    <comment ref="AL1473" authorId="2">
      <text>
        <r>
          <rPr>
            <b/>
            <sz val="9"/>
            <rFont val="宋体"/>
            <charset val="0"/>
          </rPr>
          <t>石玉珍:</t>
        </r>
        <r>
          <rPr>
            <sz val="9"/>
            <rFont val="宋体"/>
            <charset val="0"/>
          </rPr>
          <t xml:space="preserve">
7/25 客供RID贴纸 2080pcs</t>
        </r>
        <r>
          <rPr>
            <b/>
            <sz val="9"/>
            <rFont val="宋体"/>
            <charset val="0"/>
          </rPr>
          <t xml:space="preserve">
石玉珍:</t>
        </r>
        <r>
          <rPr>
            <sz val="9"/>
            <rFont val="宋体"/>
            <charset val="0"/>
          </rPr>
          <t xml:space="preserve">
客供RFID贴纸 8/10 2080pcs</t>
        </r>
      </text>
    </comment>
    <comment ref="AL1474" authorId="2">
      <text>
        <r>
          <rPr>
            <b/>
            <sz val="9"/>
            <rFont val="宋体"/>
            <charset val="0"/>
          </rPr>
          <t>石玉珍:</t>
        </r>
        <r>
          <rPr>
            <sz val="9"/>
            <rFont val="宋体"/>
            <charset val="0"/>
          </rPr>
          <t xml:space="preserve">
8/3 UPC条码贴纸 5328pcs</t>
        </r>
        <r>
          <rPr>
            <b/>
            <sz val="9"/>
            <rFont val="宋体"/>
            <charset val="0"/>
          </rPr>
          <t xml:space="preserve">
石玉珍:</t>
        </r>
        <r>
          <rPr>
            <sz val="9"/>
            <rFont val="宋体"/>
            <charset val="0"/>
          </rPr>
          <t xml:space="preserve">
8/5 保证书 5328pcs</t>
        </r>
      </text>
    </comment>
    <comment ref="AL1475" authorId="2">
      <text>
        <r>
          <rPr>
            <b/>
            <sz val="9"/>
            <rFont val="宋体"/>
            <charset val="0"/>
          </rPr>
          <t>石玉珍:</t>
        </r>
        <r>
          <rPr>
            <sz val="9"/>
            <rFont val="宋体"/>
            <charset val="0"/>
          </rPr>
          <t xml:space="preserve">
UPC 贴纸 8/13 900pcs</t>
        </r>
        <r>
          <rPr>
            <b/>
            <sz val="9"/>
            <rFont val="宋体"/>
            <charset val="0"/>
          </rPr>
          <t xml:space="preserve">
石玉珍:</t>
        </r>
        <r>
          <rPr>
            <sz val="9"/>
            <rFont val="宋体"/>
            <charset val="0"/>
          </rPr>
          <t xml:space="preserve">
进口商贴纸 900pcs</t>
        </r>
        <r>
          <rPr>
            <b/>
            <sz val="9"/>
            <rFont val="宋体"/>
            <charset val="0"/>
          </rPr>
          <t xml:space="preserve">
石玉珍:</t>
        </r>
        <r>
          <rPr>
            <sz val="9"/>
            <rFont val="宋体"/>
            <charset val="0"/>
          </rPr>
          <t xml:space="preserve">
保证书 8/15 900pcs</t>
        </r>
      </text>
    </comment>
    <comment ref="AL1477" authorId="2">
      <text>
        <r>
          <rPr>
            <b/>
            <sz val="9"/>
            <rFont val="宋体"/>
            <charset val="0"/>
          </rPr>
          <t>石玉珍:</t>
        </r>
        <r>
          <rPr>
            <sz val="9"/>
            <rFont val="宋体"/>
            <charset val="0"/>
          </rPr>
          <t xml:space="preserve">
通用进口商贴纸 8/11 272pcs</t>
        </r>
      </text>
    </comment>
    <comment ref="AL1479" authorId="2">
      <text>
        <r>
          <rPr>
            <b/>
            <sz val="9"/>
            <rFont val="宋体"/>
            <charset val="0"/>
          </rPr>
          <t>石玉珍:</t>
        </r>
        <r>
          <rPr>
            <sz val="9"/>
            <rFont val="宋体"/>
            <charset val="0"/>
          </rPr>
          <t xml:space="preserve">
客供RFID贴纸 8/10 7620pcs</t>
        </r>
      </text>
    </comment>
    <comment ref="AL1480" authorId="2">
      <text>
        <r>
          <rPr>
            <b/>
            <sz val="9"/>
            <rFont val="宋体"/>
            <charset val="0"/>
          </rPr>
          <t>石玉珍:</t>
        </r>
        <r>
          <rPr>
            <sz val="9"/>
            <rFont val="宋体"/>
            <charset val="0"/>
          </rPr>
          <t xml:space="preserve">
客供RID贴纸 7/7 2880pcs</t>
        </r>
      </text>
    </comment>
    <comment ref="AL1485" authorId="2">
      <text>
        <r>
          <rPr>
            <b/>
            <sz val="9"/>
            <rFont val="宋体"/>
            <charset val="0"/>
          </rPr>
          <t>石玉珍:</t>
        </r>
        <r>
          <rPr>
            <sz val="9"/>
            <rFont val="宋体"/>
            <charset val="0"/>
          </rPr>
          <t xml:space="preserve">
客供RFID贴纸 8/10 7728pcs</t>
        </r>
      </text>
    </comment>
    <comment ref="AL1486" authorId="2">
      <text>
        <r>
          <rPr>
            <b/>
            <sz val="9"/>
            <rFont val="宋体"/>
            <charset val="0"/>
          </rPr>
          <t>石玉珍:</t>
        </r>
        <r>
          <rPr>
            <sz val="9"/>
            <rFont val="宋体"/>
            <charset val="0"/>
          </rPr>
          <t xml:space="preserve">
客供RFID贴纸 8/10 3536pcs</t>
        </r>
      </text>
    </comment>
    <comment ref="AL1487" authorId="2">
      <text>
        <r>
          <rPr>
            <b/>
            <sz val="9"/>
            <rFont val="宋体"/>
            <charset val="0"/>
          </rPr>
          <t>石玉珍:</t>
        </r>
        <r>
          <rPr>
            <sz val="9"/>
            <rFont val="宋体"/>
            <charset val="0"/>
          </rPr>
          <t xml:space="preserve">
客供RFID贴纸 8/10 5500pcs</t>
        </r>
      </text>
    </comment>
    <comment ref="AL1488" authorId="2">
      <text>
        <r>
          <rPr>
            <b/>
            <sz val="9"/>
            <rFont val="宋体"/>
            <charset val="0"/>
          </rPr>
          <t>石玉珍:</t>
        </r>
        <r>
          <rPr>
            <sz val="9"/>
            <rFont val="宋体"/>
            <charset val="0"/>
          </rPr>
          <t xml:space="preserve">
Kinderherz 2025Logo 8/6 6880pcs</t>
        </r>
        <r>
          <rPr>
            <b/>
            <sz val="9"/>
            <rFont val="宋体"/>
            <charset val="0"/>
          </rPr>
          <t xml:space="preserve">
石玉珍:</t>
        </r>
        <r>
          <rPr>
            <sz val="9"/>
            <rFont val="宋体"/>
            <charset val="0"/>
          </rPr>
          <t xml:space="preserve">
zuru地址贴纸 8/6 1376pcs</t>
        </r>
        <r>
          <rPr>
            <b/>
            <sz val="9"/>
            <rFont val="宋体"/>
            <charset val="0"/>
          </rPr>
          <t xml:space="preserve">
石玉珍:</t>
        </r>
        <r>
          <rPr>
            <sz val="9"/>
            <rFont val="宋体"/>
            <charset val="0"/>
          </rPr>
          <t xml:space="preserve">
地址贴纸 5504pcs</t>
        </r>
      </text>
    </comment>
    <comment ref="AL1489" authorId="2">
      <text>
        <r>
          <rPr>
            <b/>
            <sz val="9"/>
            <rFont val="宋体"/>
            <charset val="0"/>
          </rPr>
          <t>石玉珍:</t>
        </r>
        <r>
          <rPr>
            <sz val="9"/>
            <rFont val="宋体"/>
            <charset val="0"/>
          </rPr>
          <t xml:space="preserve">
小纽扣电池警告语贴纸 8/14 960pcs
大纽扣电池警告语贴纸 1920pcs</t>
        </r>
      </text>
    </comment>
    <comment ref="AL1490" authorId="2">
      <text>
        <r>
          <rPr>
            <b/>
            <sz val="9"/>
            <rFont val="宋体"/>
            <charset val="0"/>
          </rPr>
          <t>石玉珍:</t>
        </r>
        <r>
          <rPr>
            <sz val="9"/>
            <rFont val="宋体"/>
            <charset val="0"/>
          </rPr>
          <t xml:space="preserve">
客供RFID贴纸 8/10 7040pcs</t>
        </r>
      </text>
    </comment>
    <comment ref="AL1493" authorId="2">
      <text>
        <r>
          <rPr>
            <b/>
            <sz val="9"/>
            <rFont val="宋体"/>
            <charset val="0"/>
          </rPr>
          <t>石玉珍:</t>
        </r>
        <r>
          <rPr>
            <sz val="9"/>
            <rFont val="宋体"/>
            <charset val="0"/>
          </rPr>
          <t xml:space="preserve">
8/17 进口商内容贴纸 960pcs</t>
        </r>
      </text>
    </comment>
    <comment ref="AL1501" authorId="2">
      <text>
        <r>
          <rPr>
            <b/>
            <sz val="9"/>
            <rFont val="宋体"/>
            <charset val="0"/>
          </rPr>
          <t>石玉珍:</t>
        </r>
        <r>
          <rPr>
            <sz val="9"/>
            <rFont val="宋体"/>
            <charset val="0"/>
          </rPr>
          <t xml:space="preserve">
客供RFID贴纸 8/17 7076pcs</t>
        </r>
      </text>
    </comment>
    <comment ref="AL1502" authorId="2">
      <text>
        <r>
          <rPr>
            <b/>
            <sz val="9"/>
            <rFont val="宋体"/>
            <charset val="0"/>
          </rPr>
          <t>石玉珍:</t>
        </r>
        <r>
          <rPr>
            <sz val="9"/>
            <rFont val="宋体"/>
            <charset val="0"/>
          </rPr>
          <t xml:space="preserve">
客供RFID贴纸 8/17 7620pcs</t>
        </r>
      </text>
    </comment>
    <comment ref="AL1511" authorId="2">
      <text>
        <r>
          <rPr>
            <b/>
            <sz val="9"/>
            <rFont val="宋体"/>
            <charset val="0"/>
          </rPr>
          <t>石玉珍:</t>
        </r>
        <r>
          <rPr>
            <sz val="9"/>
            <rFont val="宋体"/>
            <charset val="0"/>
          </rPr>
          <t xml:space="preserve">
8/13 客供价格贴纸 2400pcs</t>
        </r>
      </text>
    </comment>
    <comment ref="AL1512" authorId="2">
      <text>
        <r>
          <rPr>
            <b/>
            <sz val="9"/>
            <rFont val="宋体"/>
            <charset val="0"/>
          </rPr>
          <t>石玉珍:</t>
        </r>
        <r>
          <rPr>
            <sz val="9"/>
            <rFont val="宋体"/>
            <charset val="0"/>
          </rPr>
          <t xml:space="preserve">
客供RFID贴纸 8/17 2240pcs</t>
        </r>
      </text>
    </comment>
    <comment ref="AL1519" authorId="2">
      <text>
        <r>
          <rPr>
            <b/>
            <sz val="9"/>
            <rFont val="宋体"/>
            <charset val="0"/>
          </rPr>
          <t>石玉珍:</t>
        </r>
        <r>
          <rPr>
            <sz val="9"/>
            <rFont val="宋体"/>
            <charset val="0"/>
          </rPr>
          <t xml:space="preserve">
客供RFID贴纸 8/17 1556pcs</t>
        </r>
      </text>
    </comment>
    <comment ref="AL1536" authorId="2">
      <text>
        <r>
          <rPr>
            <b/>
            <sz val="9"/>
            <rFont val="宋体"/>
            <charset val="0"/>
          </rPr>
          <t>石玉珍:</t>
        </r>
        <r>
          <rPr>
            <sz val="9"/>
            <rFont val="宋体"/>
            <charset val="0"/>
          </rPr>
          <t xml:space="preserve">
7/22 白色防盗贴纸 132pcs</t>
        </r>
        <r>
          <rPr>
            <b/>
            <sz val="9"/>
            <rFont val="宋体"/>
            <charset val="0"/>
          </rPr>
          <t xml:space="preserve">
石玉珍:</t>
        </r>
        <r>
          <rPr>
            <sz val="9"/>
            <rFont val="宋体"/>
            <charset val="0"/>
          </rPr>
          <t xml:space="preserve">
7/31 说明书纽扣电池警告语贴纸/132pcs</t>
        </r>
        <r>
          <rPr>
            <b/>
            <sz val="9"/>
            <rFont val="宋体"/>
            <charset val="0"/>
          </rPr>
          <t xml:space="preserve">
石玉珍:</t>
        </r>
        <r>
          <rPr>
            <sz val="9"/>
            <rFont val="宋体"/>
            <charset val="0"/>
          </rPr>
          <t xml:space="preserve">
缩膜纽扣电池警告语贴纸 132pcs</t>
        </r>
        <r>
          <rPr>
            <b/>
            <sz val="9"/>
            <rFont val="宋体"/>
            <charset val="0"/>
          </rPr>
          <t xml:space="preserve">
石玉珍:</t>
        </r>
        <r>
          <rPr>
            <sz val="9"/>
            <rFont val="宋体"/>
            <charset val="0"/>
          </rPr>
          <t xml:space="preserve">
8/10 Kmart外箱贴纸 11pcs</t>
        </r>
      </text>
    </comment>
    <comment ref="AL1537" authorId="2">
      <text>
        <r>
          <rPr>
            <b/>
            <sz val="9"/>
            <rFont val="宋体"/>
            <charset val="0"/>
          </rPr>
          <t>石玉珍:</t>
        </r>
        <r>
          <rPr>
            <sz val="9"/>
            <rFont val="宋体"/>
            <charset val="0"/>
          </rPr>
          <t xml:space="preserve">
7/22 白色防盗贴纸 1368pcs</t>
        </r>
        <r>
          <rPr>
            <b/>
            <sz val="9"/>
            <rFont val="宋体"/>
            <charset val="0"/>
          </rPr>
          <t xml:space="preserve">
石玉珍:</t>
        </r>
        <r>
          <rPr>
            <sz val="9"/>
            <rFont val="宋体"/>
            <charset val="0"/>
          </rPr>
          <t xml:space="preserve">
7/31 说明书纽扣电池警告语贴纸 /缩膜纽扣电池警告语贴纸 1500pcs</t>
        </r>
        <r>
          <rPr>
            <b/>
            <sz val="9"/>
            <rFont val="宋体"/>
            <charset val="0"/>
          </rPr>
          <t xml:space="preserve">
石玉珍:</t>
        </r>
        <r>
          <rPr>
            <sz val="9"/>
            <rFont val="宋体"/>
            <charset val="0"/>
          </rPr>
          <t xml:space="preserve">
8/10 Kmart外箱贴纸 114pcs</t>
        </r>
      </text>
    </comment>
  </commentList>
</comments>
</file>

<file path=xl/comments2.xml><?xml version="1.0" encoding="utf-8"?>
<comments xmlns="http://schemas.openxmlformats.org/spreadsheetml/2006/main">
  <authors>
    <author>Administrator</author>
    <author>RR</author>
    <author>Unknown User</author>
    <author>RR-sales</author>
  </authors>
  <commentList>
    <comment ref="AL16" authorId="0">
      <text>
        <r>
          <rPr>
            <b/>
            <sz val="9"/>
            <rFont val="宋体"/>
            <charset val="134"/>
          </rPr>
          <t>Administrator:</t>
        </r>
        <r>
          <rPr>
            <sz val="9"/>
            <rFont val="宋体"/>
            <charset val="134"/>
          </rPr>
          <t xml:space="preserve">
5/29 收到UPC贴纸200pcs</t>
        </r>
      </text>
    </comment>
    <comment ref="AI17" authorId="0">
      <text>
        <r>
          <rPr>
            <b/>
            <sz val="9"/>
            <rFont val="宋体"/>
            <charset val="134"/>
          </rPr>
          <t>Administrator:</t>
        </r>
        <r>
          <rPr>
            <sz val="9"/>
            <rFont val="宋体"/>
            <charset val="134"/>
          </rPr>
          <t xml:space="preserve">
2000861 5/19 1584pcs兴信</t>
        </r>
      </text>
    </comment>
    <comment ref="AI18" authorId="0">
      <text>
        <r>
          <rPr>
            <b/>
            <sz val="9"/>
            <rFont val="宋体"/>
            <charset val="134"/>
          </rPr>
          <t>Administrator:</t>
        </r>
        <r>
          <rPr>
            <sz val="9"/>
            <rFont val="宋体"/>
            <charset val="134"/>
          </rPr>
          <t xml:space="preserve">
0000750 4/14 20套散件莫A1C4</t>
        </r>
      </text>
    </comment>
    <comment ref="AI19" authorId="0">
      <text>
        <r>
          <rPr>
            <b/>
            <sz val="9"/>
            <rFont val="宋体"/>
            <charset val="134"/>
          </rPr>
          <t>Administrator:</t>
        </r>
        <r>
          <rPr>
            <sz val="9"/>
            <rFont val="宋体"/>
            <charset val="134"/>
          </rPr>
          <t xml:space="preserve">
0000750 4/14 1100套散件 莫A1C4</t>
        </r>
      </text>
    </comment>
    <comment ref="AI22" authorId="0">
      <text>
        <r>
          <rPr>
            <b/>
            <sz val="9"/>
            <rFont val="宋体"/>
            <charset val="134"/>
          </rPr>
          <t>Administrator:</t>
        </r>
        <r>
          <rPr>
            <sz val="9"/>
            <rFont val="宋体"/>
            <charset val="134"/>
          </rPr>
          <t xml:space="preserve">
0001540 4/21 600pcs</t>
        </r>
      </text>
    </comment>
    <comment ref="AI23" authorId="0">
      <text>
        <r>
          <rPr>
            <b/>
            <sz val="9"/>
            <rFont val="宋体"/>
            <charset val="134"/>
          </rPr>
          <t>Administrator:</t>
        </r>
        <r>
          <rPr>
            <sz val="9"/>
            <rFont val="宋体"/>
            <charset val="134"/>
          </rPr>
          <t xml:space="preserve">
0001541 4/21 30散件</t>
        </r>
      </text>
    </comment>
    <comment ref="AI24" authorId="0">
      <text>
        <r>
          <rPr>
            <b/>
            <sz val="9"/>
            <rFont val="宋体"/>
            <charset val="134"/>
          </rPr>
          <t>Administrator:</t>
        </r>
        <r>
          <rPr>
            <sz val="9"/>
            <rFont val="宋体"/>
            <charset val="134"/>
          </rPr>
          <t xml:space="preserve">
2001082 5/8 400pcs兴信</t>
        </r>
      </text>
    </comment>
    <comment ref="AI25" authorId="0">
      <text>
        <r>
          <rPr>
            <b/>
            <sz val="9"/>
            <rFont val="宋体"/>
            <charset val="134"/>
          </rPr>
          <t>Administrator:</t>
        </r>
        <r>
          <rPr>
            <sz val="9"/>
            <rFont val="宋体"/>
            <charset val="134"/>
          </rPr>
          <t xml:space="preserve">
0001541 4/21 30散件
</t>
        </r>
      </text>
    </comment>
    <comment ref="AI26" authorId="0">
      <text>
        <r>
          <rPr>
            <b/>
            <sz val="9"/>
            <rFont val="宋体"/>
            <charset val="134"/>
          </rPr>
          <t>Administrator:</t>
        </r>
        <r>
          <rPr>
            <sz val="9"/>
            <rFont val="宋体"/>
            <charset val="134"/>
          </rPr>
          <t xml:space="preserve">
0001626 4/22 504pcs回抽办数半成品球给东莞混装（因展示窗吸塑上得晚）
2001082 5/7 2632pcs华3B5</t>
        </r>
      </text>
    </comment>
    <comment ref="AL26" authorId="0">
      <text>
        <r>
          <rPr>
            <b/>
            <sz val="9"/>
            <rFont val="宋体"/>
            <charset val="134"/>
          </rPr>
          <t>Administrator:</t>
        </r>
        <r>
          <rPr>
            <sz val="9"/>
            <rFont val="宋体"/>
            <charset val="134"/>
          </rPr>
          <t xml:space="preserve">
3/21 上客供RFID贴纸3136pcs
4/11 上粉色艾利贴纸196pcs
</t>
        </r>
      </text>
    </comment>
    <comment ref="AI27" authorId="0">
      <text>
        <r>
          <rPr>
            <b/>
            <sz val="9"/>
            <rFont val="宋体"/>
            <charset val="134"/>
          </rPr>
          <t>Administrator:</t>
        </r>
        <r>
          <rPr>
            <sz val="9"/>
            <rFont val="宋体"/>
            <charset val="134"/>
          </rPr>
          <t xml:space="preserve">
0001769 4/28 816pcsA栋一楼</t>
        </r>
      </text>
    </comment>
    <comment ref="AI28" authorId="0">
      <text>
        <r>
          <rPr>
            <b/>
            <sz val="9"/>
            <rFont val="宋体"/>
            <charset val="134"/>
          </rPr>
          <t>Administrator:</t>
        </r>
        <r>
          <rPr>
            <sz val="9"/>
            <rFont val="宋体"/>
            <charset val="134"/>
          </rPr>
          <t xml:space="preserve">
0001769 4/28 504pcs
A栋一楼</t>
        </r>
      </text>
    </comment>
    <comment ref="AI29" authorId="0">
      <text>
        <r>
          <rPr>
            <b/>
            <sz val="9"/>
            <rFont val="宋体"/>
            <charset val="134"/>
          </rPr>
          <t>Administrator:</t>
        </r>
        <r>
          <rPr>
            <sz val="9"/>
            <rFont val="宋体"/>
            <charset val="134"/>
          </rPr>
          <t xml:space="preserve">
0001712 5/5 9000pcs直走</t>
        </r>
      </text>
    </comment>
    <comment ref="AL29"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I30" authorId="0">
      <text>
        <r>
          <rPr>
            <b/>
            <sz val="9"/>
            <rFont val="宋体"/>
            <charset val="134"/>
          </rPr>
          <t>Administrator:</t>
        </r>
        <r>
          <rPr>
            <sz val="9"/>
            <rFont val="宋体"/>
            <charset val="134"/>
          </rPr>
          <t xml:space="preserve">
0001796 4/25 3000pcs华3B11</t>
        </r>
      </text>
    </comment>
    <comment ref="AL30"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
</t>
        </r>
      </text>
    </comment>
    <comment ref="AI31" authorId="0">
      <text>
        <r>
          <rPr>
            <b/>
            <sz val="9"/>
            <rFont val="宋体"/>
            <charset val="134"/>
          </rPr>
          <t>Administrator:</t>
        </r>
        <r>
          <rPr>
            <sz val="9"/>
            <rFont val="宋体"/>
            <charset val="134"/>
          </rPr>
          <t xml:space="preserve">
0001626 4/22 2280pcs送回半成品球给东莞混装（因展示窗吸塑上得晚）
</t>
        </r>
      </text>
    </comment>
    <comment ref="AL31" authorId="0">
      <text>
        <r>
          <rPr>
            <b/>
            <sz val="9"/>
            <rFont val="宋体"/>
            <charset val="134"/>
          </rPr>
          <t>Administrator:</t>
        </r>
        <r>
          <rPr>
            <sz val="9"/>
            <rFont val="宋体"/>
            <charset val="134"/>
          </rPr>
          <t xml:space="preserve">
3/25 上UPC贴纸608pcs
4/15 上UPC贴纸1672pcs
</t>
        </r>
      </text>
    </comment>
    <comment ref="AI32" authorId="0">
      <text>
        <r>
          <rPr>
            <b/>
            <sz val="9"/>
            <rFont val="宋体"/>
            <charset val="134"/>
          </rPr>
          <t>Administrator:</t>
        </r>
        <r>
          <rPr>
            <sz val="9"/>
            <rFont val="宋体"/>
            <charset val="134"/>
          </rPr>
          <t xml:space="preserve">
0001626 4/22 2280pcs送回半成品球给东莞混装（因展示窗吸塑上得晚）</t>
        </r>
      </text>
    </comment>
    <comment ref="AL32" authorId="0">
      <text>
        <r>
          <rPr>
            <b/>
            <sz val="9"/>
            <rFont val="宋体"/>
            <charset val="134"/>
          </rPr>
          <t>Administrator:</t>
        </r>
        <r>
          <rPr>
            <sz val="9"/>
            <rFont val="宋体"/>
            <charset val="134"/>
          </rPr>
          <t xml:space="preserve">
4/15 上UPC贴纸720pcs</t>
        </r>
      </text>
    </comment>
    <comment ref="AI33" authorId="0">
      <text>
        <r>
          <rPr>
            <b/>
            <sz val="9"/>
            <rFont val="宋体"/>
            <charset val="134"/>
          </rPr>
          <t>Administrator:</t>
        </r>
        <r>
          <rPr>
            <sz val="9"/>
            <rFont val="宋体"/>
            <charset val="134"/>
          </rPr>
          <t xml:space="preserve">
0001789 4/28 10075pcs华3B12</t>
        </r>
      </text>
    </comment>
    <comment ref="AI34" authorId="0">
      <text>
        <r>
          <rPr>
            <b/>
            <sz val="9"/>
            <rFont val="宋体"/>
            <charset val="134"/>
          </rPr>
          <t>Administrator:</t>
        </r>
        <r>
          <rPr>
            <sz val="9"/>
            <rFont val="宋体"/>
            <charset val="134"/>
          </rPr>
          <t xml:space="preserve">
0001763 4/29 1300pcs华3B8</t>
        </r>
      </text>
    </comment>
    <comment ref="AL34" authorId="0">
      <text>
        <r>
          <rPr>
            <b/>
            <sz val="9"/>
            <rFont val="宋体"/>
            <charset val="134"/>
          </rPr>
          <t>Administrator:</t>
        </r>
        <r>
          <rPr>
            <sz val="9"/>
            <rFont val="宋体"/>
            <charset val="134"/>
          </rPr>
          <t xml:space="preserve">
4/14 上可移动材质的价格贴纸1300pcs
UPC贴纸1300pcs</t>
        </r>
      </text>
    </comment>
    <comment ref="AI35" authorId="0">
      <text>
        <r>
          <rPr>
            <b/>
            <sz val="9"/>
            <rFont val="宋体"/>
            <charset val="134"/>
          </rPr>
          <t>Administrator:</t>
        </r>
        <r>
          <rPr>
            <sz val="9"/>
            <rFont val="宋体"/>
            <charset val="134"/>
          </rPr>
          <t xml:space="preserve">
0001736 5/3 1146pcs华3A32</t>
        </r>
      </text>
    </comment>
    <comment ref="AL35" authorId="0">
      <text>
        <r>
          <rPr>
            <b/>
            <sz val="9"/>
            <rFont val="宋体"/>
            <charset val="134"/>
          </rPr>
          <t>Administrator:</t>
        </r>
        <r>
          <rPr>
            <sz val="9"/>
            <rFont val="宋体"/>
            <charset val="134"/>
          </rPr>
          <t xml:space="preserve">
4/30 上UPC条码贴纸4548pcs 本PO已挪用其它订单的来用
三个PO共用
5/7 上UPC贴纸4584pcs</t>
        </r>
      </text>
    </comment>
    <comment ref="AI36" authorId="0">
      <text>
        <r>
          <rPr>
            <b/>
            <sz val="9"/>
            <rFont val="宋体"/>
            <charset val="134"/>
          </rPr>
          <t>Administrator:</t>
        </r>
        <r>
          <rPr>
            <sz val="9"/>
            <rFont val="宋体"/>
            <charset val="134"/>
          </rPr>
          <t xml:space="preserve">
0001736 5/3 2292pcs华3A32
</t>
        </r>
      </text>
    </comment>
    <comment ref="AI37" authorId="0">
      <text>
        <r>
          <rPr>
            <b/>
            <sz val="9"/>
            <rFont val="宋体"/>
            <charset val="134"/>
          </rPr>
          <t>Administrator:</t>
        </r>
        <r>
          <rPr>
            <sz val="9"/>
            <rFont val="宋体"/>
            <charset val="134"/>
          </rPr>
          <t xml:space="preserve">
0001736 5/3 1146pcs华3A32
</t>
        </r>
      </text>
    </comment>
    <comment ref="AI38" authorId="0">
      <text>
        <r>
          <rPr>
            <b/>
            <sz val="9"/>
            <rFont val="宋体"/>
            <charset val="134"/>
          </rPr>
          <t>Administrator:</t>
        </r>
        <r>
          <rPr>
            <sz val="9"/>
            <rFont val="宋体"/>
            <charset val="134"/>
          </rPr>
          <t xml:space="preserve">
0001763 4/29 5000pcs直走</t>
        </r>
      </text>
    </comment>
    <comment ref="AL38" authorId="0">
      <text>
        <r>
          <rPr>
            <b/>
            <sz val="9"/>
            <rFont val="宋体"/>
            <charset val="134"/>
          </rPr>
          <t>Administrator:</t>
        </r>
        <r>
          <rPr>
            <sz val="9"/>
            <rFont val="宋体"/>
            <charset val="134"/>
          </rPr>
          <t xml:space="preserve">
4/14 上客人通用进口商贴纸12200pcs
4/30 上UPC条码贴纸8600pcs</t>
        </r>
      </text>
    </comment>
    <comment ref="AI39" authorId="0">
      <text>
        <r>
          <rPr>
            <b/>
            <sz val="9"/>
            <rFont val="宋体"/>
            <charset val="134"/>
          </rPr>
          <t>Administrator:</t>
        </r>
        <r>
          <rPr>
            <sz val="9"/>
            <rFont val="宋体"/>
            <charset val="134"/>
          </rPr>
          <t xml:space="preserve">
0001763 4/29 3600pcs
直走</t>
        </r>
      </text>
    </comment>
    <comment ref="AI40" authorId="0">
      <text>
        <r>
          <rPr>
            <b/>
            <sz val="9"/>
            <rFont val="宋体"/>
            <charset val="134"/>
          </rPr>
          <t>Administrator:</t>
        </r>
        <r>
          <rPr>
            <sz val="9"/>
            <rFont val="宋体"/>
            <charset val="134"/>
          </rPr>
          <t xml:space="preserve">
0001723 5/6 10413pcs华一F11</t>
        </r>
      </text>
    </comment>
    <comment ref="AL40" authorId="0">
      <text>
        <r>
          <rPr>
            <b/>
            <sz val="9"/>
            <rFont val="宋体"/>
            <charset val="134"/>
          </rPr>
          <t>Administrator:</t>
        </r>
        <r>
          <rPr>
            <sz val="9"/>
            <rFont val="宋体"/>
            <charset val="134"/>
          </rPr>
          <t xml:space="preserve">
3/31 上白色防盗贴10413pcs
4/11 上UPC条码贴纸10413pcs
4/17 上KM外箱贴纸801pcs
</t>
        </r>
      </text>
    </comment>
    <comment ref="AI41" authorId="0">
      <text>
        <r>
          <rPr>
            <b/>
            <sz val="9"/>
            <rFont val="宋体"/>
            <charset val="134"/>
          </rPr>
          <t>Administrator:</t>
        </r>
        <r>
          <rPr>
            <sz val="9"/>
            <rFont val="宋体"/>
            <charset val="134"/>
          </rPr>
          <t xml:space="preserve">
0001723 5/6 1352pcs华3B14</t>
        </r>
      </text>
    </comment>
    <comment ref="AL41" authorId="0">
      <text>
        <r>
          <rPr>
            <b/>
            <sz val="9"/>
            <rFont val="宋体"/>
            <charset val="134"/>
          </rPr>
          <t>Administrator:</t>
        </r>
        <r>
          <rPr>
            <sz val="9"/>
            <rFont val="宋体"/>
            <charset val="134"/>
          </rPr>
          <t xml:space="preserve">
3/31 上白色防盗贴纸1352pcs
4/11 上UPC条码贴纸1352pcs
4/17 上KM外箱贴纸104pcs
</t>
        </r>
      </text>
    </comment>
    <comment ref="AI42" authorId="0">
      <text>
        <r>
          <rPr>
            <b/>
            <sz val="9"/>
            <rFont val="宋体"/>
            <charset val="134"/>
          </rPr>
          <t>Administrator:</t>
        </r>
        <r>
          <rPr>
            <sz val="9"/>
            <rFont val="宋体"/>
            <charset val="134"/>
          </rPr>
          <t xml:space="preserve">
2001082 5/7 2600pcs华3A16</t>
        </r>
      </text>
    </comment>
    <comment ref="AL42" authorId="0">
      <text>
        <r>
          <rPr>
            <b/>
            <sz val="9"/>
            <rFont val="宋体"/>
            <charset val="134"/>
          </rPr>
          <t>Administrator:</t>
        </r>
        <r>
          <rPr>
            <sz val="9"/>
            <rFont val="宋体"/>
            <charset val="134"/>
          </rPr>
          <t xml:space="preserve">
4/15 上多语折叠警告语贴纸2600pcs
</t>
        </r>
      </text>
    </comment>
    <comment ref="AI43" authorId="0">
      <text>
        <r>
          <rPr>
            <b/>
            <sz val="9"/>
            <rFont val="宋体"/>
            <charset val="134"/>
          </rPr>
          <t>Administrator:</t>
        </r>
        <r>
          <rPr>
            <sz val="9"/>
            <rFont val="宋体"/>
            <charset val="134"/>
          </rPr>
          <t xml:space="preserve">
2001112 5/9 6924pcs华3A26
2001116 5/10 2400pcs
华3A26
2001146 5/12 24pcs华3A26</t>
        </r>
      </text>
    </comment>
    <comment ref="AL43" authorId="0">
      <text>
        <r>
          <rPr>
            <b/>
            <sz val="9"/>
            <rFont val="宋体"/>
            <charset val="134"/>
          </rPr>
          <t>Administrator:</t>
        </r>
        <r>
          <rPr>
            <sz val="9"/>
            <rFont val="宋体"/>
            <charset val="134"/>
          </rPr>
          <t xml:space="preserve">
4/24 上空白贴纸18696pcs</t>
        </r>
      </text>
    </comment>
    <comment ref="AI44" authorId="0">
      <text>
        <r>
          <rPr>
            <b/>
            <sz val="9"/>
            <rFont val="宋体"/>
            <charset val="134"/>
          </rPr>
          <t>Administrator:</t>
        </r>
        <r>
          <rPr>
            <sz val="9"/>
            <rFont val="宋体"/>
            <charset val="134"/>
          </rPr>
          <t xml:space="preserve">
2001116 5/10 5850pcs华3B16</t>
        </r>
      </text>
    </comment>
    <comment ref="AL44" authorId="0">
      <text>
        <r>
          <rPr>
            <b/>
            <sz val="9"/>
            <rFont val="宋体"/>
            <charset val="134"/>
          </rPr>
          <t>Administrator:</t>
        </r>
        <r>
          <rPr>
            <sz val="9"/>
            <rFont val="宋体"/>
            <charset val="134"/>
          </rPr>
          <t xml:space="preserve">
4/30 上UPC条码贴纸23400pcs
四个同PO共用
5/7 上UPC条码贴纸23400pcs</t>
        </r>
      </text>
    </comment>
    <comment ref="AI45" authorId="0">
      <text>
        <r>
          <rPr>
            <b/>
            <sz val="9"/>
            <rFont val="宋体"/>
            <charset val="134"/>
          </rPr>
          <t>Administrator:</t>
        </r>
        <r>
          <rPr>
            <sz val="9"/>
            <rFont val="宋体"/>
            <charset val="134"/>
          </rPr>
          <t xml:space="preserve">
2001116 5/10 5850pcs
华3B16</t>
        </r>
      </text>
    </comment>
    <comment ref="AI46" authorId="0">
      <text>
        <r>
          <rPr>
            <b/>
            <sz val="9"/>
            <rFont val="宋体"/>
            <charset val="134"/>
          </rPr>
          <t>Administrator:</t>
        </r>
        <r>
          <rPr>
            <sz val="9"/>
            <rFont val="宋体"/>
            <charset val="134"/>
          </rPr>
          <t xml:space="preserve">
2001118 5/10 5200pcs直走</t>
        </r>
      </text>
    </comment>
    <comment ref="AL46" authorId="0">
      <text>
        <r>
          <rPr>
            <b/>
            <sz val="9"/>
            <rFont val="宋体"/>
            <charset val="134"/>
          </rPr>
          <t>Administrator:</t>
        </r>
        <r>
          <rPr>
            <sz val="9"/>
            <rFont val="宋体"/>
            <charset val="134"/>
          </rPr>
          <t xml:space="preserve">
4/1 上UPC条码贴纸5200pcs</t>
        </r>
      </text>
    </comment>
    <comment ref="AI47" authorId="0">
      <text>
        <r>
          <rPr>
            <b/>
            <sz val="9"/>
            <rFont val="宋体"/>
            <charset val="134"/>
          </rPr>
          <t>Administrator:</t>
        </r>
        <r>
          <rPr>
            <sz val="9"/>
            <rFont val="宋体"/>
            <charset val="134"/>
          </rPr>
          <t xml:space="preserve">
2001076 5/8 2624pcs华3B3</t>
        </r>
      </text>
    </comment>
    <comment ref="AL47" authorId="0">
      <text>
        <r>
          <rPr>
            <b/>
            <sz val="9"/>
            <rFont val="宋体"/>
            <charset val="134"/>
          </rPr>
          <t>Administrator:</t>
        </r>
        <r>
          <rPr>
            <sz val="9"/>
            <rFont val="宋体"/>
            <charset val="134"/>
          </rPr>
          <t xml:space="preserve">
4/15 上客供RFID贴纸2624pcs
</t>
        </r>
      </text>
    </comment>
    <comment ref="AI48" authorId="0">
      <text>
        <r>
          <rPr>
            <b/>
            <sz val="9"/>
            <rFont val="宋体"/>
            <charset val="134"/>
          </rPr>
          <t>Administrator:</t>
        </r>
        <r>
          <rPr>
            <sz val="9"/>
            <rFont val="宋体"/>
            <charset val="134"/>
          </rPr>
          <t xml:space="preserve">
2001082 5/8 3520pcs华3B3</t>
        </r>
      </text>
    </comment>
    <comment ref="AL48" authorId="0">
      <text>
        <r>
          <rPr>
            <b/>
            <sz val="9"/>
            <rFont val="宋体"/>
            <charset val="134"/>
          </rPr>
          <t>Administrator:</t>
        </r>
        <r>
          <rPr>
            <sz val="9"/>
            <rFont val="宋体"/>
            <charset val="134"/>
          </rPr>
          <t xml:space="preserve">
4/15 上客供RFID贴纸3520pcs
</t>
        </r>
      </text>
    </comment>
    <comment ref="AI49" authorId="0">
      <text>
        <r>
          <rPr>
            <b/>
            <sz val="9"/>
            <rFont val="宋体"/>
            <charset val="134"/>
          </rPr>
          <t>Administrator:</t>
        </r>
        <r>
          <rPr>
            <sz val="9"/>
            <rFont val="宋体"/>
            <charset val="134"/>
          </rPr>
          <t xml:space="preserve">
2001076 5/8 3500pcs华3B3</t>
        </r>
      </text>
    </comment>
    <comment ref="AL49" authorId="0">
      <text>
        <r>
          <rPr>
            <b/>
            <sz val="9"/>
            <rFont val="宋体"/>
            <charset val="134"/>
          </rPr>
          <t>Administrator:</t>
        </r>
        <r>
          <rPr>
            <sz val="9"/>
            <rFont val="宋体"/>
            <charset val="134"/>
          </rPr>
          <t xml:space="preserve">
4/21 上冰棒款-说明书荷兰语贴纸
蛋糕款-说明书荷兰语贴纸
布丁款-说明书荷兰语贴纸
以上三款贴纸各上5166pcs与56860pcs共用</t>
        </r>
      </text>
    </comment>
    <comment ref="AI50" authorId="0">
      <text>
        <r>
          <rPr>
            <b/>
            <sz val="9"/>
            <rFont val="宋体"/>
            <charset val="134"/>
          </rPr>
          <t>Administrator:</t>
        </r>
        <r>
          <rPr>
            <sz val="9"/>
            <rFont val="宋体"/>
            <charset val="134"/>
          </rPr>
          <t xml:space="preserve">
2001076 5/8 7950pcs华3B6
2001131 5/10 50pcs华3A7</t>
        </r>
      </text>
    </comment>
    <comment ref="AL50" authorId="0">
      <text>
        <r>
          <rPr>
            <b/>
            <sz val="9"/>
            <rFont val="宋体"/>
            <charset val="134"/>
          </rPr>
          <t>Administrator:</t>
        </r>
        <r>
          <rPr>
            <sz val="9"/>
            <rFont val="宋体"/>
            <charset val="134"/>
          </rPr>
          <t xml:space="preserve">
3/31 上冰棒款-说明书荷兰语贴纸2670pcs
蛋糕款-说明书荷兰语贴纸2670pcs
布丁款-说明书荷兰语贴纸2670pcs</t>
        </r>
      </text>
    </comment>
    <comment ref="AI51" authorId="0">
      <text>
        <r>
          <rPr>
            <b/>
            <sz val="9"/>
            <rFont val="宋体"/>
            <charset val="134"/>
          </rPr>
          <t>Administrator:</t>
        </r>
        <r>
          <rPr>
            <sz val="9"/>
            <rFont val="宋体"/>
            <charset val="134"/>
          </rPr>
          <t xml:space="preserve">
2001082 5/8 5200pcs直走</t>
        </r>
      </text>
    </comment>
    <comment ref="AL51" authorId="0">
      <text>
        <r>
          <rPr>
            <b/>
            <sz val="9"/>
            <rFont val="宋体"/>
            <charset val="134"/>
          </rPr>
          <t>Administrator:</t>
        </r>
        <r>
          <rPr>
            <sz val="9"/>
            <rFont val="宋体"/>
            <charset val="134"/>
          </rPr>
          <t xml:space="preserve">
4/15 上多语折叠警告语贴纸5200pcs
</t>
        </r>
      </text>
    </comment>
    <comment ref="AI52" authorId="0">
      <text>
        <r>
          <rPr>
            <b/>
            <sz val="9"/>
            <rFont val="宋体"/>
            <charset val="134"/>
          </rPr>
          <t>Administrator:</t>
        </r>
        <r>
          <rPr>
            <sz val="9"/>
            <rFont val="宋体"/>
            <charset val="134"/>
          </rPr>
          <t xml:space="preserve">
2001133 5/10 1300pcs华3B4</t>
        </r>
      </text>
    </comment>
    <comment ref="AL52" authorId="0">
      <text>
        <r>
          <rPr>
            <b/>
            <sz val="9"/>
            <rFont val="宋体"/>
            <charset val="134"/>
          </rPr>
          <t>Administrator:</t>
        </r>
        <r>
          <rPr>
            <sz val="9"/>
            <rFont val="宋体"/>
            <charset val="134"/>
          </rPr>
          <t xml:space="preserve">
4/14 上UPC条码贴纸1300pcs
警语贴纸1300pcs</t>
        </r>
      </text>
    </comment>
    <comment ref="AI53" authorId="0">
      <text>
        <r>
          <rPr>
            <b/>
            <sz val="9"/>
            <rFont val="宋体"/>
            <charset val="134"/>
          </rPr>
          <t>Administrator:</t>
        </r>
        <r>
          <rPr>
            <sz val="9"/>
            <rFont val="宋体"/>
            <charset val="134"/>
          </rPr>
          <t xml:space="preserve">
2001149 5/12 21900pcs华3A13</t>
        </r>
      </text>
    </comment>
    <comment ref="AL53" authorId="0">
      <text>
        <r>
          <rPr>
            <b/>
            <sz val="9"/>
            <rFont val="宋体"/>
            <charset val="134"/>
          </rPr>
          <t>Administrator:</t>
        </r>
        <r>
          <rPr>
            <sz val="9"/>
            <rFont val="宋体"/>
            <charset val="134"/>
          </rPr>
          <t xml:space="preserve">
4/3 上客供外箱条码贴纸885pcs
</t>
        </r>
      </text>
    </comment>
    <comment ref="AI54" authorId="0">
      <text>
        <r>
          <rPr>
            <b/>
            <sz val="9"/>
            <rFont val="宋体"/>
            <charset val="134"/>
          </rPr>
          <t>Administrator:</t>
        </r>
        <r>
          <rPr>
            <sz val="9"/>
            <rFont val="宋体"/>
            <charset val="134"/>
          </rPr>
          <t xml:space="preserve">
2001149 5/12 20000pcs华3A13</t>
        </r>
      </text>
    </comment>
    <comment ref="AL54" authorId="0">
      <text>
        <r>
          <rPr>
            <b/>
            <sz val="9"/>
            <rFont val="宋体"/>
            <charset val="134"/>
          </rPr>
          <t>Administrator:</t>
        </r>
        <r>
          <rPr>
            <sz val="9"/>
            <rFont val="宋体"/>
            <charset val="134"/>
          </rPr>
          <t xml:space="preserve">
4/3 上客供外箱条码贴纸808pcs
</t>
        </r>
      </text>
    </comment>
    <comment ref="AI55" authorId="0">
      <text>
        <r>
          <rPr>
            <b/>
            <sz val="9"/>
            <rFont val="宋体"/>
            <charset val="134"/>
          </rPr>
          <t>Administrator:</t>
        </r>
        <r>
          <rPr>
            <sz val="9"/>
            <rFont val="宋体"/>
            <charset val="134"/>
          </rPr>
          <t xml:space="preserve">
0001022 5/13 10650pcs莫4-C8
0001011 5/15 19500pcs华3A23</t>
        </r>
      </text>
    </comment>
    <comment ref="AL55" authorId="0">
      <text>
        <r>
          <rPr>
            <b/>
            <sz val="9"/>
            <rFont val="宋体"/>
            <charset val="134"/>
          </rPr>
          <t>Administrator:</t>
        </r>
        <r>
          <rPr>
            <sz val="9"/>
            <rFont val="宋体"/>
            <charset val="134"/>
          </rPr>
          <t xml:space="preserve">
4/3 上客供外箱条码贴纸1218pcs</t>
        </r>
      </text>
    </comment>
    <comment ref="AI56" authorId="0">
      <text>
        <r>
          <rPr>
            <b/>
            <sz val="9"/>
            <rFont val="宋体"/>
            <charset val="134"/>
          </rPr>
          <t>Administrator:</t>
        </r>
        <r>
          <rPr>
            <sz val="9"/>
            <rFont val="宋体"/>
            <charset val="134"/>
          </rPr>
          <t xml:space="preserve">
2001213 5/14 16120pcs华3A24
2001228 5/15 13pcs华3楼</t>
        </r>
      </text>
    </comment>
    <comment ref="AI57" authorId="0">
      <text>
        <r>
          <rPr>
            <b/>
            <sz val="9"/>
            <rFont val="宋体"/>
            <charset val="134"/>
          </rPr>
          <t>Administrator:</t>
        </r>
        <r>
          <rPr>
            <sz val="9"/>
            <rFont val="宋体"/>
            <charset val="134"/>
          </rPr>
          <t xml:space="preserve">
2001182 5/13 12736pcsB栋四楼</t>
        </r>
      </text>
    </comment>
    <comment ref="AL57" authorId="0">
      <text>
        <r>
          <rPr>
            <b/>
            <sz val="9"/>
            <rFont val="宋体"/>
            <charset val="134"/>
          </rPr>
          <t>Administrator:</t>
        </r>
        <r>
          <rPr>
            <sz val="9"/>
            <rFont val="宋体"/>
            <charset val="134"/>
          </rPr>
          <t xml:space="preserve">
3/21 上客供RFID贴纸12736pcs
4/11 上粉色艾利贴纸796pcs
</t>
        </r>
      </text>
    </comment>
    <comment ref="AI58" authorId="0">
      <text>
        <r>
          <rPr>
            <b/>
            <sz val="9"/>
            <rFont val="宋体"/>
            <charset val="134"/>
          </rPr>
          <t>Administrator:</t>
        </r>
        <r>
          <rPr>
            <sz val="9"/>
            <rFont val="宋体"/>
            <charset val="134"/>
          </rPr>
          <t xml:space="preserve">
2001182 5/13 16960pcs
B栋四楼</t>
        </r>
      </text>
    </comment>
    <comment ref="AL58" authorId="0">
      <text>
        <r>
          <rPr>
            <b/>
            <sz val="9"/>
            <rFont val="宋体"/>
            <charset val="134"/>
          </rPr>
          <t>Administrator:</t>
        </r>
        <r>
          <rPr>
            <sz val="9"/>
            <rFont val="宋体"/>
            <charset val="134"/>
          </rPr>
          <t xml:space="preserve">
3/21 上客供RFID贴纸16960pcs
4/11 上粉色艾利贴纸1060pcs
</t>
        </r>
      </text>
    </comment>
    <comment ref="AI59" authorId="0">
      <text>
        <r>
          <rPr>
            <b/>
            <sz val="9"/>
            <rFont val="宋体"/>
            <charset val="134"/>
          </rPr>
          <t>Administrator:</t>
        </r>
        <r>
          <rPr>
            <sz val="9"/>
            <rFont val="宋体"/>
            <charset val="134"/>
          </rPr>
          <t xml:space="preserve">
2001182 5/13 15104pcs
B栋四楼</t>
        </r>
      </text>
    </comment>
    <comment ref="AL59" authorId="0">
      <text>
        <r>
          <rPr>
            <b/>
            <sz val="9"/>
            <rFont val="宋体"/>
            <charset val="134"/>
          </rPr>
          <t>Administrator:</t>
        </r>
        <r>
          <rPr>
            <sz val="9"/>
            <rFont val="宋体"/>
            <charset val="134"/>
          </rPr>
          <t xml:space="preserve">
3/21 上客供RFID贴纸15104pcs
4/11 上粉色艾利贴纸944pcs
</t>
        </r>
      </text>
    </comment>
    <comment ref="AI60" authorId="0">
      <text>
        <r>
          <rPr>
            <b/>
            <sz val="9"/>
            <rFont val="宋体"/>
            <charset val="134"/>
          </rPr>
          <t>Administrator:</t>
        </r>
        <r>
          <rPr>
            <sz val="9"/>
            <rFont val="宋体"/>
            <charset val="134"/>
          </rPr>
          <t xml:space="preserve">
2001154 5/13 4032pcs华3B5</t>
        </r>
      </text>
    </comment>
    <comment ref="AL60" authorId="0">
      <text>
        <r>
          <rPr>
            <b/>
            <sz val="9"/>
            <rFont val="宋体"/>
            <charset val="134"/>
          </rPr>
          <t>Administrator:</t>
        </r>
        <r>
          <rPr>
            <sz val="9"/>
            <rFont val="宋体"/>
            <charset val="134"/>
          </rPr>
          <t xml:space="preserve">
4/15 上客供RFID贴纸4032pcs
</t>
        </r>
      </text>
    </comment>
    <comment ref="AI61" authorId="0">
      <text>
        <r>
          <rPr>
            <b/>
            <sz val="9"/>
            <rFont val="宋体"/>
            <charset val="134"/>
          </rPr>
          <t>Administrator:</t>
        </r>
        <r>
          <rPr>
            <sz val="9"/>
            <rFont val="宋体"/>
            <charset val="134"/>
          </rPr>
          <t xml:space="preserve">
2001186 5/14 2000pcs华3B14</t>
        </r>
      </text>
    </comment>
    <comment ref="AL61" authorId="0">
      <text>
        <r>
          <rPr>
            <b/>
            <sz val="9"/>
            <rFont val="宋体"/>
            <charset val="134"/>
          </rPr>
          <t>Administrator:</t>
        </r>
        <r>
          <rPr>
            <sz val="9"/>
            <rFont val="宋体"/>
            <charset val="134"/>
          </rPr>
          <t xml:space="preserve">
4/28 上进口商贴纸5000pcs
两个同PO共用</t>
        </r>
      </text>
    </comment>
    <comment ref="AI62" authorId="0">
      <text>
        <r>
          <rPr>
            <b/>
            <sz val="9"/>
            <rFont val="宋体"/>
            <charset val="134"/>
          </rPr>
          <t>Administrator:</t>
        </r>
        <r>
          <rPr>
            <sz val="9"/>
            <rFont val="宋体"/>
            <charset val="134"/>
          </rPr>
          <t xml:space="preserve">
2001154 5/13 6604pcs华3B16</t>
        </r>
      </text>
    </comment>
    <comment ref="AL62" authorId="0">
      <text>
        <r>
          <rPr>
            <b/>
            <sz val="9"/>
            <rFont val="宋体"/>
            <charset val="134"/>
          </rPr>
          <t>Administrator:</t>
        </r>
        <r>
          <rPr>
            <sz val="9"/>
            <rFont val="宋体"/>
            <charset val="134"/>
          </rPr>
          <t xml:space="preserve">
4/30 多语警语折叠贴纸6604pcs
</t>
        </r>
      </text>
    </comment>
    <comment ref="AI63" authorId="0">
      <text>
        <r>
          <rPr>
            <b/>
            <sz val="9"/>
            <rFont val="宋体"/>
            <charset val="134"/>
          </rPr>
          <t>Administrator:</t>
        </r>
        <r>
          <rPr>
            <sz val="9"/>
            <rFont val="宋体"/>
            <charset val="134"/>
          </rPr>
          <t xml:space="preserve">
2001159 5/13 3016pcs
华3A14</t>
        </r>
      </text>
    </comment>
    <comment ref="AL63" authorId="0">
      <text>
        <r>
          <rPr>
            <b/>
            <sz val="9"/>
            <rFont val="宋体"/>
            <charset val="134"/>
          </rPr>
          <t>Administrator:</t>
        </r>
        <r>
          <rPr>
            <sz val="9"/>
            <rFont val="宋体"/>
            <charset val="134"/>
          </rPr>
          <t xml:space="preserve">
4/14 上客供警语贴纸底部3112pcs
客供警语贴纸说明书上3110pcs
客供警语贴纸收藏指南31102pcs
4/14 上UPC条码贴纸3016pcs</t>
        </r>
      </text>
    </comment>
    <comment ref="AI64" authorId="0">
      <text>
        <r>
          <rPr>
            <b/>
            <sz val="9"/>
            <rFont val="宋体"/>
            <charset val="134"/>
          </rPr>
          <t>Administrator:</t>
        </r>
        <r>
          <rPr>
            <sz val="9"/>
            <rFont val="宋体"/>
            <charset val="134"/>
          </rPr>
          <t xml:space="preserve">
2001228 5/15 2080pcs华3B14</t>
        </r>
      </text>
    </comment>
    <comment ref="AL64" authorId="0">
      <text>
        <r>
          <rPr>
            <b/>
            <sz val="9"/>
            <rFont val="宋体"/>
            <charset val="134"/>
          </rPr>
          <t>Administrator:</t>
        </r>
        <r>
          <rPr>
            <sz val="9"/>
            <rFont val="宋体"/>
            <charset val="134"/>
          </rPr>
          <t xml:space="preserve">
4/21 上进口商贴纸2080pcs
UPC贴纸2080pcs</t>
        </r>
      </text>
    </comment>
    <comment ref="AI65" authorId="0">
      <text>
        <r>
          <rPr>
            <b/>
            <sz val="9"/>
            <rFont val="宋体"/>
            <charset val="134"/>
          </rPr>
          <t>Administrator:</t>
        </r>
        <r>
          <rPr>
            <sz val="9"/>
            <rFont val="宋体"/>
            <charset val="134"/>
          </rPr>
          <t xml:space="preserve">
2001213 5/14 50pcs华3B14</t>
        </r>
      </text>
    </comment>
    <comment ref="AL65" authorId="0">
      <text>
        <r>
          <rPr>
            <b/>
            <sz val="9"/>
            <rFont val="宋体"/>
            <charset val="134"/>
          </rPr>
          <t>Administrator:</t>
        </r>
        <r>
          <rPr>
            <sz val="9"/>
            <rFont val="宋体"/>
            <charset val="134"/>
          </rPr>
          <t xml:space="preserve">
4/10 上外箱黄色贴纸8pcs</t>
        </r>
      </text>
    </comment>
    <comment ref="AI66" authorId="0">
      <text>
        <r>
          <rPr>
            <b/>
            <sz val="9"/>
            <rFont val="宋体"/>
            <charset val="134"/>
          </rPr>
          <t>Administrator:</t>
        </r>
        <r>
          <rPr>
            <sz val="9"/>
            <rFont val="宋体"/>
            <charset val="134"/>
          </rPr>
          <t xml:space="preserve">
2001186 5/14 10075pcs
华3B9</t>
        </r>
      </text>
    </comment>
    <comment ref="AI67" authorId="0">
      <text>
        <r>
          <rPr>
            <b/>
            <sz val="9"/>
            <rFont val="宋体"/>
            <charset val="134"/>
          </rPr>
          <t>Administrator:</t>
        </r>
        <r>
          <rPr>
            <sz val="9"/>
            <rFont val="宋体"/>
            <charset val="134"/>
          </rPr>
          <t xml:space="preserve">
2001186 5/14 5000pcs
华3B15</t>
        </r>
      </text>
    </comment>
    <comment ref="AI68" authorId="0">
      <text>
        <r>
          <rPr>
            <b/>
            <sz val="9"/>
            <rFont val="宋体"/>
            <charset val="134"/>
          </rPr>
          <t>Administrator:</t>
        </r>
        <r>
          <rPr>
            <sz val="9"/>
            <rFont val="宋体"/>
            <charset val="134"/>
          </rPr>
          <t xml:space="preserve">
2001159 5/13 4672pcs华3A10</t>
        </r>
      </text>
    </comment>
    <comment ref="AL68" authorId="0">
      <text>
        <r>
          <rPr>
            <b/>
            <sz val="9"/>
            <rFont val="宋体"/>
            <charset val="134"/>
          </rPr>
          <t>Administrator:</t>
        </r>
        <r>
          <rPr>
            <sz val="9"/>
            <rFont val="宋体"/>
            <charset val="134"/>
          </rPr>
          <t xml:space="preserve">
4/15 上客供RFID贴纸4672pcs
</t>
        </r>
      </text>
    </comment>
    <comment ref="AI69" authorId="0">
      <text>
        <r>
          <rPr>
            <b/>
            <sz val="9"/>
            <rFont val="宋体"/>
            <charset val="134"/>
          </rPr>
          <t>Administrator:</t>
        </r>
        <r>
          <rPr>
            <sz val="9"/>
            <rFont val="宋体"/>
            <charset val="134"/>
          </rPr>
          <t xml:space="preserve">
2001159 5/13 5850pcs
华3B11</t>
        </r>
      </text>
    </comment>
    <comment ref="AI70" authorId="0">
      <text>
        <r>
          <rPr>
            <b/>
            <sz val="9"/>
            <rFont val="宋体"/>
            <charset val="134"/>
          </rPr>
          <t>Administrator:</t>
        </r>
        <r>
          <rPr>
            <sz val="9"/>
            <rFont val="宋体"/>
            <charset val="134"/>
          </rPr>
          <t xml:space="preserve">
2001159 5/13 5850pcs
华3B11</t>
        </r>
      </text>
    </comment>
    <comment ref="AI71" authorId="0">
      <text>
        <r>
          <rPr>
            <b/>
            <sz val="9"/>
            <rFont val="宋体"/>
            <charset val="134"/>
          </rPr>
          <t>Administrator:</t>
        </r>
        <r>
          <rPr>
            <sz val="9"/>
            <rFont val="宋体"/>
            <charset val="134"/>
          </rPr>
          <t xml:space="preserve">
2001213 5/14 2106pcs华3B13</t>
        </r>
      </text>
    </comment>
    <comment ref="AL71" authorId="0">
      <text>
        <r>
          <rPr>
            <b/>
            <sz val="9"/>
            <rFont val="宋体"/>
            <charset val="134"/>
          </rPr>
          <t>Administrator:</t>
        </r>
        <r>
          <rPr>
            <sz val="9"/>
            <rFont val="宋体"/>
            <charset val="134"/>
          </rPr>
          <t xml:space="preserve">
4/25 上白色防盗贴纸2106pcs
5/8 上KM单外箱贴纸162pcs
5/14 上UPC贴纸2106pcs此单贴纸已挪用其它订单来用</t>
        </r>
      </text>
    </comment>
    <comment ref="AI72" authorId="0">
      <text>
        <r>
          <rPr>
            <b/>
            <sz val="9"/>
            <rFont val="宋体"/>
            <charset val="134"/>
          </rPr>
          <t>Administrator:</t>
        </r>
        <r>
          <rPr>
            <sz val="9"/>
            <rFont val="宋体"/>
            <charset val="134"/>
          </rPr>
          <t xml:space="preserve">
2001133 5/10 260pcs华3B4</t>
        </r>
      </text>
    </comment>
    <comment ref="AL72" authorId="0">
      <text>
        <r>
          <rPr>
            <b/>
            <sz val="9"/>
            <rFont val="宋体"/>
            <charset val="134"/>
          </rPr>
          <t>Administrator:</t>
        </r>
        <r>
          <rPr>
            <sz val="9"/>
            <rFont val="宋体"/>
            <charset val="134"/>
          </rPr>
          <t xml:space="preserve">
4/30 多语警语折叠贴纸260pcs
</t>
        </r>
      </text>
    </comment>
    <comment ref="AI73" authorId="0">
      <text>
        <r>
          <rPr>
            <b/>
            <sz val="9"/>
            <rFont val="宋体"/>
            <charset val="134"/>
          </rPr>
          <t>Administrator:</t>
        </r>
        <r>
          <rPr>
            <sz val="9"/>
            <rFont val="宋体"/>
            <charset val="134"/>
          </rPr>
          <t xml:space="preserve">
2001159 5/13 3296pcs华3A10</t>
        </r>
      </text>
    </comment>
    <comment ref="AL73" authorId="0">
      <text>
        <r>
          <rPr>
            <b/>
            <sz val="9"/>
            <rFont val="宋体"/>
            <charset val="134"/>
          </rPr>
          <t>Administrator:</t>
        </r>
        <r>
          <rPr>
            <sz val="9"/>
            <rFont val="宋体"/>
            <charset val="134"/>
          </rPr>
          <t xml:space="preserve">
4/15 上客供RFID贴纸3296pcs</t>
        </r>
      </text>
    </comment>
    <comment ref="AI74" authorId="0">
      <text>
        <r>
          <rPr>
            <b/>
            <sz val="9"/>
            <rFont val="宋体"/>
            <charset val="134"/>
          </rPr>
          <t>Administrator:</t>
        </r>
        <r>
          <rPr>
            <sz val="9"/>
            <rFont val="宋体"/>
            <charset val="134"/>
          </rPr>
          <t xml:space="preserve">
2001159 5/13 3184pcs
华3A10</t>
        </r>
      </text>
    </comment>
    <comment ref="AL74" authorId="0">
      <text>
        <r>
          <rPr>
            <b/>
            <sz val="9"/>
            <rFont val="宋体"/>
            <charset val="134"/>
          </rPr>
          <t>Administrator:</t>
        </r>
        <r>
          <rPr>
            <sz val="9"/>
            <rFont val="宋体"/>
            <charset val="134"/>
          </rPr>
          <t xml:space="preserve">
4/15 上客供RFID贴纸3184pcs
</t>
        </r>
      </text>
    </comment>
    <comment ref="AI75" authorId="0">
      <text>
        <r>
          <rPr>
            <b/>
            <sz val="9"/>
            <rFont val="宋体"/>
            <charset val="134"/>
          </rPr>
          <t>Administrator:</t>
        </r>
        <r>
          <rPr>
            <sz val="9"/>
            <rFont val="宋体"/>
            <charset val="134"/>
          </rPr>
          <t xml:space="preserve">
2001159 5/13 4240pcs
华3A10</t>
        </r>
      </text>
    </comment>
    <comment ref="AL75" authorId="0">
      <text>
        <r>
          <rPr>
            <b/>
            <sz val="9"/>
            <rFont val="宋体"/>
            <charset val="134"/>
          </rPr>
          <t>Administrator:</t>
        </r>
        <r>
          <rPr>
            <sz val="9"/>
            <rFont val="宋体"/>
            <charset val="134"/>
          </rPr>
          <t xml:space="preserve">
4/15 上客供RFID贴纸4240pcs
</t>
        </r>
      </text>
    </comment>
    <comment ref="AI76" authorId="0">
      <text>
        <r>
          <rPr>
            <b/>
            <sz val="9"/>
            <rFont val="宋体"/>
            <charset val="134"/>
          </rPr>
          <t>Administrator:</t>
        </r>
        <r>
          <rPr>
            <sz val="9"/>
            <rFont val="宋体"/>
            <charset val="134"/>
          </rPr>
          <t xml:space="preserve">
2000982 5/17 475pcs莫4A7</t>
        </r>
      </text>
    </comment>
    <comment ref="AL76" authorId="0">
      <text>
        <r>
          <rPr>
            <b/>
            <sz val="9"/>
            <rFont val="宋体"/>
            <charset val="134"/>
          </rPr>
          <t>Administrator:</t>
        </r>
        <r>
          <rPr>
            <sz val="9"/>
            <rFont val="宋体"/>
            <charset val="134"/>
          </rPr>
          <t xml:space="preserve">
4/28 上警示语贴纸475pcs</t>
        </r>
      </text>
    </comment>
    <comment ref="AI77" authorId="0">
      <text>
        <r>
          <rPr>
            <b/>
            <sz val="9"/>
            <rFont val="宋体"/>
            <charset val="134"/>
          </rPr>
          <t>Administrator:</t>
        </r>
        <r>
          <rPr>
            <sz val="9"/>
            <rFont val="宋体"/>
            <charset val="134"/>
          </rPr>
          <t xml:space="preserve">
2001213 5/14 3000pcs华3B11</t>
        </r>
      </text>
    </comment>
    <comment ref="AI78" authorId="0">
      <text>
        <r>
          <rPr>
            <b/>
            <sz val="9"/>
            <rFont val="宋体"/>
            <charset val="134"/>
          </rPr>
          <t>Administrator:</t>
        </r>
        <r>
          <rPr>
            <sz val="9"/>
            <rFont val="宋体"/>
            <charset val="134"/>
          </rPr>
          <t xml:space="preserve">
2000861 5/19 1140pcs华3B11</t>
        </r>
      </text>
    </comment>
    <comment ref="AL78" authorId="0">
      <text>
        <r>
          <rPr>
            <b/>
            <sz val="9"/>
            <rFont val="宋体"/>
            <charset val="134"/>
          </rPr>
          <t>Administrator:</t>
        </r>
        <r>
          <rPr>
            <sz val="9"/>
            <rFont val="宋体"/>
            <charset val="134"/>
          </rPr>
          <t xml:space="preserve">
4/16 上UPC贴纸1140pcs
</t>
        </r>
      </text>
    </comment>
    <comment ref="AI79" authorId="0">
      <text>
        <r>
          <rPr>
            <b/>
            <sz val="9"/>
            <rFont val="宋体"/>
            <charset val="134"/>
          </rPr>
          <t>Administrator:</t>
        </r>
        <r>
          <rPr>
            <sz val="9"/>
            <rFont val="宋体"/>
            <charset val="134"/>
          </rPr>
          <t xml:space="preserve">
2000861 5/19 360pcs华3B11</t>
        </r>
      </text>
    </comment>
    <comment ref="AL79" authorId="0">
      <text>
        <r>
          <rPr>
            <b/>
            <sz val="9"/>
            <rFont val="宋体"/>
            <charset val="134"/>
          </rPr>
          <t>Administrator:</t>
        </r>
        <r>
          <rPr>
            <sz val="9"/>
            <rFont val="宋体"/>
            <charset val="134"/>
          </rPr>
          <t xml:space="preserve">
4/16 上UPC贴纸360pcs</t>
        </r>
      </text>
    </comment>
    <comment ref="AI80" authorId="0">
      <text>
        <r>
          <rPr>
            <b/>
            <sz val="9"/>
            <rFont val="宋体"/>
            <charset val="134"/>
          </rPr>
          <t>Administrator:</t>
        </r>
        <r>
          <rPr>
            <sz val="9"/>
            <rFont val="宋体"/>
            <charset val="134"/>
          </rPr>
          <t xml:space="preserve">
20010011 5/20 1512pcs直走</t>
        </r>
      </text>
    </comment>
    <comment ref="AL80" authorId="0">
      <text>
        <r>
          <rPr>
            <b/>
            <sz val="9"/>
            <rFont val="宋体"/>
            <charset val="134"/>
          </rPr>
          <t>Administrator:</t>
        </r>
        <r>
          <rPr>
            <sz val="9"/>
            <rFont val="宋体"/>
            <charset val="134"/>
          </rPr>
          <t xml:space="preserve">
4/24 上外箱贴纸63pcs
上客供价格贴纸1589pcs</t>
        </r>
      </text>
    </comment>
    <comment ref="AI81" authorId="0">
      <text>
        <r>
          <rPr>
            <b/>
            <sz val="9"/>
            <rFont val="宋体"/>
            <charset val="134"/>
          </rPr>
          <t>Administrator:</t>
        </r>
        <r>
          <rPr>
            <sz val="9"/>
            <rFont val="宋体"/>
            <charset val="134"/>
          </rPr>
          <t xml:space="preserve">
2000861 5/19 2200pcs华3B13</t>
        </r>
      </text>
    </comment>
    <comment ref="AI82" authorId="0">
      <text>
        <r>
          <rPr>
            <b/>
            <sz val="9"/>
            <rFont val="宋体"/>
            <charset val="134"/>
          </rPr>
          <t>Administrator:</t>
        </r>
        <r>
          <rPr>
            <sz val="9"/>
            <rFont val="宋体"/>
            <charset val="134"/>
          </rPr>
          <t xml:space="preserve">
2001021 5/20 22656pcs华3A11</t>
        </r>
      </text>
    </comment>
    <comment ref="AL82" authorId="0">
      <text>
        <r>
          <rPr>
            <b/>
            <sz val="9"/>
            <rFont val="宋体"/>
            <charset val="134"/>
          </rPr>
          <t>Administrator:</t>
        </r>
        <r>
          <rPr>
            <sz val="9"/>
            <rFont val="宋体"/>
            <charset val="134"/>
          </rPr>
          <t xml:space="preserve">
3/21 上客供RFID贴纸22656pcs
4/11 上粉色艾利贴纸1416pcs</t>
        </r>
      </text>
    </comment>
    <comment ref="AI83" authorId="0">
      <text>
        <r>
          <rPr>
            <b/>
            <sz val="9"/>
            <rFont val="宋体"/>
            <charset val="134"/>
          </rPr>
          <t>Administrator:</t>
        </r>
        <r>
          <rPr>
            <sz val="9"/>
            <rFont val="宋体"/>
            <charset val="134"/>
          </rPr>
          <t xml:space="preserve">
2001021 5/20 19552pcs
华3A9</t>
        </r>
      </text>
    </comment>
    <comment ref="AL83" authorId="0">
      <text>
        <r>
          <rPr>
            <b/>
            <sz val="9"/>
            <rFont val="宋体"/>
            <charset val="134"/>
          </rPr>
          <t>Administrator:</t>
        </r>
        <r>
          <rPr>
            <sz val="9"/>
            <rFont val="宋体"/>
            <charset val="134"/>
          </rPr>
          <t xml:space="preserve">
3/21 上客供RFID贴纸19552pcs
4/11 上粉色艾利贴纸1222pcs</t>
        </r>
      </text>
    </comment>
    <comment ref="AI84" authorId="0">
      <text>
        <r>
          <rPr>
            <b/>
            <sz val="9"/>
            <rFont val="宋体"/>
            <charset val="134"/>
          </rPr>
          <t>Administrator:</t>
        </r>
        <r>
          <rPr>
            <sz val="9"/>
            <rFont val="宋体"/>
            <charset val="134"/>
          </rPr>
          <t xml:space="preserve">
2001021 5/20 3168pcs
华3A12</t>
        </r>
      </text>
    </comment>
    <comment ref="AL84" authorId="0">
      <text>
        <r>
          <rPr>
            <b/>
            <sz val="9"/>
            <rFont val="宋体"/>
            <charset val="134"/>
          </rPr>
          <t>Administrator:</t>
        </r>
        <r>
          <rPr>
            <sz val="9"/>
            <rFont val="宋体"/>
            <charset val="134"/>
          </rPr>
          <t xml:space="preserve">
4/15 上客供RFID贴纸3168pcs
</t>
        </r>
      </text>
    </comment>
    <comment ref="AI85" authorId="0">
      <text>
        <r>
          <rPr>
            <b/>
            <sz val="9"/>
            <rFont val="宋体"/>
            <charset val="134"/>
          </rPr>
          <t>Administrator:</t>
        </r>
        <r>
          <rPr>
            <sz val="9"/>
            <rFont val="宋体"/>
            <charset val="134"/>
          </rPr>
          <t xml:space="preserve">
2001021 5/20 3760pcs
华3A9</t>
        </r>
      </text>
    </comment>
    <comment ref="AL85" authorId="0">
      <text>
        <r>
          <rPr>
            <b/>
            <sz val="9"/>
            <rFont val="宋体"/>
            <charset val="134"/>
          </rPr>
          <t>Administrator:</t>
        </r>
        <r>
          <rPr>
            <sz val="9"/>
            <rFont val="宋体"/>
            <charset val="134"/>
          </rPr>
          <t xml:space="preserve">
4/15 上客供RFID贴纸3760pcs
</t>
        </r>
      </text>
    </comment>
    <comment ref="AI86" authorId="0">
      <text>
        <r>
          <rPr>
            <b/>
            <sz val="9"/>
            <rFont val="宋体"/>
            <charset val="134"/>
          </rPr>
          <t>Administrator:</t>
        </r>
        <r>
          <rPr>
            <sz val="9"/>
            <rFont val="宋体"/>
            <charset val="134"/>
          </rPr>
          <t xml:space="preserve">
20000881 5/20 11100pcs华一F4</t>
        </r>
      </text>
    </comment>
    <comment ref="AL86" authorId="0">
      <text>
        <r>
          <rPr>
            <b/>
            <sz val="9"/>
            <rFont val="宋体"/>
            <charset val="134"/>
          </rPr>
          <t>Administrator:</t>
        </r>
        <r>
          <rPr>
            <sz val="9"/>
            <rFont val="宋体"/>
            <charset val="134"/>
          </rPr>
          <t xml:space="preserve">
4/30 上UPC条码贴纸17000pcs
进口商贴纸17000pcs</t>
        </r>
      </text>
    </comment>
    <comment ref="AI87" authorId="0">
      <text>
        <r>
          <rPr>
            <b/>
            <sz val="9"/>
            <rFont val="宋体"/>
            <charset val="134"/>
          </rPr>
          <t>Administrator:</t>
        </r>
        <r>
          <rPr>
            <sz val="9"/>
            <rFont val="宋体"/>
            <charset val="134"/>
          </rPr>
          <t xml:space="preserve">
2000861 5/19 4888pcs华3B9</t>
        </r>
      </text>
    </comment>
    <comment ref="AL87" authorId="0">
      <text>
        <r>
          <rPr>
            <b/>
            <sz val="9"/>
            <rFont val="宋体"/>
            <charset val="134"/>
          </rPr>
          <t>Administrator:</t>
        </r>
        <r>
          <rPr>
            <sz val="9"/>
            <rFont val="宋体"/>
            <charset val="134"/>
          </rPr>
          <t xml:space="preserve">
4/30 多语警语折叠贴纸4888pcs
</t>
        </r>
      </text>
    </comment>
    <comment ref="AI88" authorId="0">
      <text>
        <r>
          <rPr>
            <b/>
            <sz val="9"/>
            <rFont val="宋体"/>
            <charset val="134"/>
          </rPr>
          <t>Administrator:</t>
        </r>
        <r>
          <rPr>
            <sz val="9"/>
            <rFont val="宋体"/>
            <charset val="134"/>
          </rPr>
          <t xml:space="preserve">
2000861 5/19 5460pcs华3B9
2000900 5/22 52pcs</t>
        </r>
      </text>
    </comment>
    <comment ref="AL88" authorId="0">
      <text>
        <r>
          <rPr>
            <b/>
            <sz val="9"/>
            <rFont val="宋体"/>
            <charset val="134"/>
          </rPr>
          <t>Administrator:</t>
        </r>
        <r>
          <rPr>
            <sz val="9"/>
            <rFont val="宋体"/>
            <charset val="134"/>
          </rPr>
          <t xml:space="preserve">
5/9 上UPC条码贴纸5512pcs</t>
        </r>
      </text>
    </comment>
    <comment ref="AI89" authorId="0">
      <text>
        <r>
          <rPr>
            <b/>
            <sz val="9"/>
            <rFont val="宋体"/>
            <charset val="134"/>
          </rPr>
          <t>Administrator:</t>
        </r>
        <r>
          <rPr>
            <sz val="9"/>
            <rFont val="宋体"/>
            <charset val="134"/>
          </rPr>
          <t xml:space="preserve">
2001007 5/19 5200pcs华3B16</t>
        </r>
      </text>
    </comment>
    <comment ref="AI90" authorId="0">
      <text>
        <r>
          <rPr>
            <b/>
            <sz val="9"/>
            <rFont val="宋体"/>
            <charset val="134"/>
          </rPr>
          <t>Administrator:</t>
        </r>
        <r>
          <rPr>
            <sz val="9"/>
            <rFont val="宋体"/>
            <charset val="134"/>
          </rPr>
          <t xml:space="preserve">
2001007 5/19 2600pcs华3B16</t>
        </r>
      </text>
    </comment>
    <comment ref="AI91" authorId="0">
      <text>
        <r>
          <rPr>
            <b/>
            <sz val="9"/>
            <rFont val="宋体"/>
            <charset val="134"/>
          </rPr>
          <t>Administrator:</t>
        </r>
        <r>
          <rPr>
            <sz val="9"/>
            <rFont val="宋体"/>
            <charset val="134"/>
          </rPr>
          <t xml:space="preserve">
2000896 5/23 4150pcs直走</t>
        </r>
      </text>
    </comment>
    <comment ref="AI92" authorId="0">
      <text>
        <r>
          <rPr>
            <b/>
            <sz val="9"/>
            <rFont val="宋体"/>
            <charset val="134"/>
          </rPr>
          <t>Administrator:</t>
        </r>
        <r>
          <rPr>
            <sz val="9"/>
            <rFont val="宋体"/>
            <charset val="134"/>
          </rPr>
          <t xml:space="preserve">
2000895 5/22 26pcs
2000906 5/22 2993pcs
2000803 5/24 13pcs因回货点数少数</t>
        </r>
      </text>
    </comment>
    <comment ref="AL92" authorId="0">
      <text>
        <r>
          <rPr>
            <b/>
            <sz val="9"/>
            <rFont val="宋体"/>
            <charset val="134"/>
          </rPr>
          <t>Administrator:</t>
        </r>
        <r>
          <rPr>
            <sz val="9"/>
            <rFont val="宋体"/>
            <charset val="134"/>
          </rPr>
          <t xml:space="preserve">
4/30 上UPC贴纸6019pcs
</t>
        </r>
      </text>
    </comment>
    <comment ref="AI93" authorId="0">
      <text>
        <r>
          <rPr>
            <b/>
            <sz val="9"/>
            <rFont val="宋体"/>
            <charset val="134"/>
          </rPr>
          <t>Administrator:</t>
        </r>
        <r>
          <rPr>
            <sz val="9"/>
            <rFont val="宋体"/>
            <charset val="134"/>
          </rPr>
          <t xml:space="preserve">
2000788 5/23 15904pcs
华3A10</t>
        </r>
      </text>
    </comment>
    <comment ref="AL93" authorId="0">
      <text>
        <r>
          <rPr>
            <b/>
            <sz val="9"/>
            <rFont val="宋体"/>
            <charset val="134"/>
          </rPr>
          <t>Administrator:</t>
        </r>
        <r>
          <rPr>
            <sz val="9"/>
            <rFont val="宋体"/>
            <charset val="134"/>
          </rPr>
          <t xml:space="preserve">
3/21 上客供RFID贴纸15904pcs
4/11 上粉色艾利贴纸994pcs
</t>
        </r>
      </text>
    </comment>
    <comment ref="AI94" authorId="0">
      <text>
        <r>
          <rPr>
            <b/>
            <sz val="9"/>
            <rFont val="宋体"/>
            <charset val="134"/>
          </rPr>
          <t>Administrator:</t>
        </r>
        <r>
          <rPr>
            <sz val="9"/>
            <rFont val="宋体"/>
            <charset val="134"/>
          </rPr>
          <t xml:space="preserve">
2000788 5/23 15296pcs
华3A8</t>
        </r>
      </text>
    </comment>
    <comment ref="AL94" authorId="0">
      <text>
        <r>
          <rPr>
            <b/>
            <sz val="9"/>
            <rFont val="宋体"/>
            <charset val="134"/>
          </rPr>
          <t>Administrator:</t>
        </r>
        <r>
          <rPr>
            <sz val="9"/>
            <rFont val="宋体"/>
            <charset val="134"/>
          </rPr>
          <t xml:space="preserve">
3/21 上客供RFID贴纸15296pcs
4/11 上粉色艾利贴纸956pcs
</t>
        </r>
      </text>
    </comment>
    <comment ref="AI95" authorId="0">
      <text>
        <r>
          <rPr>
            <b/>
            <sz val="9"/>
            <rFont val="宋体"/>
            <charset val="134"/>
          </rPr>
          <t>Administrator:</t>
        </r>
        <r>
          <rPr>
            <sz val="9"/>
            <rFont val="宋体"/>
            <charset val="134"/>
          </rPr>
          <t xml:space="preserve">
2000897 5/23 4880pcs华3A12</t>
        </r>
      </text>
    </comment>
    <comment ref="AL95" authorId="0">
      <text>
        <r>
          <rPr>
            <b/>
            <sz val="9"/>
            <rFont val="宋体"/>
            <charset val="134"/>
          </rPr>
          <t>Administrator:</t>
        </r>
        <r>
          <rPr>
            <sz val="9"/>
            <rFont val="宋体"/>
            <charset val="134"/>
          </rPr>
          <t xml:space="preserve">
4/15 上客供RFID贴纸4880pcs
</t>
        </r>
      </text>
    </comment>
    <comment ref="AI96" authorId="0">
      <text>
        <r>
          <rPr>
            <b/>
            <sz val="9"/>
            <rFont val="宋体"/>
            <charset val="134"/>
          </rPr>
          <t>Administrator:</t>
        </r>
        <r>
          <rPr>
            <sz val="9"/>
            <rFont val="宋体"/>
            <charset val="134"/>
          </rPr>
          <t xml:space="preserve">
2000788 5/23 6250pcs华3B11</t>
        </r>
      </text>
    </comment>
    <comment ref="AL96" authorId="0">
      <text>
        <r>
          <rPr>
            <b/>
            <sz val="9"/>
            <rFont val="宋体"/>
            <charset val="134"/>
          </rPr>
          <t>Administrator:</t>
        </r>
        <r>
          <rPr>
            <sz val="9"/>
            <rFont val="宋体"/>
            <charset val="134"/>
          </rPr>
          <t xml:space="preserve">
5/9 上挪威语警语贴纸6250pcs</t>
        </r>
      </text>
    </comment>
    <comment ref="AI97" authorId="0">
      <text>
        <r>
          <rPr>
            <b/>
            <sz val="9"/>
            <rFont val="宋体"/>
            <charset val="134"/>
          </rPr>
          <t>Administrator:</t>
        </r>
        <r>
          <rPr>
            <sz val="9"/>
            <rFont val="宋体"/>
            <charset val="134"/>
          </rPr>
          <t xml:space="preserve">
2000788 5/23 4500pcs
华3A30</t>
        </r>
      </text>
    </comment>
    <comment ref="AI98" authorId="0">
      <text>
        <r>
          <rPr>
            <b/>
            <sz val="9"/>
            <rFont val="宋体"/>
            <charset val="134"/>
          </rPr>
          <t>Administrator:</t>
        </r>
        <r>
          <rPr>
            <sz val="9"/>
            <rFont val="宋体"/>
            <charset val="134"/>
          </rPr>
          <t xml:space="preserve">
2000788 5/23 9000pcs
华3A30</t>
        </r>
      </text>
    </comment>
    <comment ref="AI99" authorId="0">
      <text>
        <r>
          <rPr>
            <b/>
            <sz val="9"/>
            <rFont val="宋体"/>
            <charset val="134"/>
          </rPr>
          <t>Administrator:</t>
        </r>
        <r>
          <rPr>
            <sz val="9"/>
            <rFont val="宋体"/>
            <charset val="134"/>
          </rPr>
          <t xml:space="preserve">
2000782 5/24 3950pcs华3A16
</t>
        </r>
      </text>
    </comment>
    <comment ref="AL99" authorId="0">
      <text>
        <r>
          <rPr>
            <b/>
            <sz val="9"/>
            <rFont val="宋体"/>
            <charset val="134"/>
          </rPr>
          <t>Administrator:</t>
        </r>
        <r>
          <rPr>
            <sz val="9"/>
            <rFont val="宋体"/>
            <charset val="134"/>
          </rPr>
          <t xml:space="preserve">
4/25 上进口商贴纸3950pcs
</t>
        </r>
      </text>
    </comment>
    <comment ref="AI100" authorId="0">
      <text>
        <r>
          <rPr>
            <b/>
            <sz val="9"/>
            <rFont val="宋体"/>
            <charset val="134"/>
          </rPr>
          <t>Administrator:</t>
        </r>
        <r>
          <rPr>
            <sz val="9"/>
            <rFont val="宋体"/>
            <charset val="134"/>
          </rPr>
          <t xml:space="preserve">
2000782 5/24 7150pcs
华3A25</t>
        </r>
      </text>
    </comment>
    <comment ref="AL100" authorId="0">
      <text>
        <r>
          <rPr>
            <b/>
            <sz val="9"/>
            <rFont val="宋体"/>
            <charset val="134"/>
          </rPr>
          <t>Administrator:</t>
        </r>
        <r>
          <rPr>
            <sz val="9"/>
            <rFont val="宋体"/>
            <charset val="134"/>
          </rPr>
          <t xml:space="preserve">
4/25 上进口商贴纸7150pcs</t>
        </r>
      </text>
    </comment>
    <comment ref="AI101" authorId="0">
      <text>
        <r>
          <rPr>
            <b/>
            <sz val="9"/>
            <rFont val="宋体"/>
            <charset val="134"/>
          </rPr>
          <t>Administrator:</t>
        </r>
        <r>
          <rPr>
            <sz val="9"/>
            <rFont val="宋体"/>
            <charset val="134"/>
          </rPr>
          <t xml:space="preserve">
2000782 5/24 4350pcs
华3A29
2000758 5/24 6450pcs华3A29</t>
        </r>
      </text>
    </comment>
    <comment ref="AL101" authorId="0">
      <text>
        <r>
          <rPr>
            <b/>
            <sz val="9"/>
            <rFont val="宋体"/>
            <charset val="134"/>
          </rPr>
          <t>Administrator:</t>
        </r>
        <r>
          <rPr>
            <sz val="9"/>
            <rFont val="宋体"/>
            <charset val="134"/>
          </rPr>
          <t xml:space="preserve">
4/25 上进口商贴纸10800pcs
</t>
        </r>
      </text>
    </comment>
    <comment ref="AI102" authorId="0">
      <text>
        <r>
          <rPr>
            <b/>
            <sz val="9"/>
            <rFont val="宋体"/>
            <charset val="134"/>
          </rPr>
          <t>Administrator:</t>
        </r>
        <r>
          <rPr>
            <sz val="9"/>
            <rFont val="宋体"/>
            <charset val="134"/>
          </rPr>
          <t xml:space="preserve">
2000897 5/23 400pcs华3B7</t>
        </r>
      </text>
    </comment>
    <comment ref="AL102" authorId="0">
      <text>
        <r>
          <rPr>
            <b/>
            <sz val="9"/>
            <rFont val="宋体"/>
            <charset val="134"/>
          </rPr>
          <t>Administrator:</t>
        </r>
        <r>
          <rPr>
            <sz val="9"/>
            <rFont val="宋体"/>
            <charset val="134"/>
          </rPr>
          <t xml:space="preserve">
4/25 上警告语贴纸400pcs</t>
        </r>
      </text>
    </comment>
    <comment ref="AI103" authorId="0">
      <text>
        <r>
          <rPr>
            <b/>
            <sz val="9"/>
            <rFont val="宋体"/>
            <charset val="134"/>
          </rPr>
          <t>Administrator:</t>
        </r>
        <r>
          <rPr>
            <sz val="9"/>
            <rFont val="宋体"/>
            <charset val="134"/>
          </rPr>
          <t xml:space="preserve">
2000758 5/24 1508pcs华3B15</t>
        </r>
      </text>
    </comment>
    <comment ref="AL103" authorId="0">
      <text>
        <r>
          <rPr>
            <b/>
            <sz val="9"/>
            <rFont val="宋体"/>
            <charset val="134"/>
          </rPr>
          <t>Administrator:</t>
        </r>
        <r>
          <rPr>
            <sz val="9"/>
            <rFont val="宋体"/>
            <charset val="134"/>
          </rPr>
          <t xml:space="preserve">
5/12 上KM单外箱贴纸116pcs
 白色防盗贴纸1508pcs
5/23 上UPC条码贴纸1508pcs</t>
        </r>
      </text>
    </comment>
    <comment ref="AI104" authorId="0">
      <text>
        <r>
          <rPr>
            <b/>
            <sz val="9"/>
            <rFont val="宋体"/>
            <charset val="134"/>
          </rPr>
          <t>Administrator:</t>
        </r>
        <r>
          <rPr>
            <sz val="9"/>
            <rFont val="宋体"/>
            <charset val="134"/>
          </rPr>
          <t xml:space="preserve">
2000774 5/23 1950pcs华3B4
2000758 5/24 50pcs华3B4</t>
        </r>
      </text>
    </comment>
    <comment ref="AI105" authorId="0">
      <text>
        <r>
          <rPr>
            <b/>
            <sz val="9"/>
            <rFont val="宋体"/>
            <charset val="134"/>
          </rPr>
          <t>Administrator:</t>
        </r>
        <r>
          <rPr>
            <sz val="9"/>
            <rFont val="宋体"/>
            <charset val="134"/>
          </rPr>
          <t xml:space="preserve">
2000659 5/27 2873pcs
直走</t>
        </r>
      </text>
    </comment>
    <comment ref="AL105" authorId="0">
      <text>
        <r>
          <rPr>
            <b/>
            <sz val="9"/>
            <rFont val="宋体"/>
            <charset val="134"/>
          </rPr>
          <t>Administrator:</t>
        </r>
        <r>
          <rPr>
            <sz val="9"/>
            <rFont val="宋体"/>
            <charset val="134"/>
          </rPr>
          <t xml:space="preserve">
5/15 多语警语折叠贴纸2873pcs</t>
        </r>
      </text>
    </comment>
    <comment ref="AI106" authorId="0">
      <text>
        <r>
          <rPr>
            <b/>
            <sz val="9"/>
            <rFont val="宋体"/>
            <charset val="134"/>
          </rPr>
          <t>Administrator:</t>
        </r>
        <r>
          <rPr>
            <sz val="9"/>
            <rFont val="宋体"/>
            <charset val="134"/>
          </rPr>
          <t xml:space="preserve">
2001053 5/28 1495pcs华3B4</t>
        </r>
      </text>
    </comment>
    <comment ref="AL106" authorId="0">
      <text>
        <r>
          <rPr>
            <b/>
            <sz val="9"/>
            <rFont val="宋体"/>
            <charset val="134"/>
          </rPr>
          <t>Administrator:</t>
        </r>
        <r>
          <rPr>
            <sz val="9"/>
            <rFont val="宋体"/>
            <charset val="134"/>
          </rPr>
          <t xml:space="preserve">
5/7 德语警告语贴纸1495pcs
  产品图片贴纸480pcs</t>
        </r>
      </text>
    </comment>
    <comment ref="AI107" authorId="0">
      <text>
        <r>
          <rPr>
            <b/>
            <sz val="9"/>
            <rFont val="宋体"/>
            <charset val="134"/>
          </rPr>
          <t>Administrator:</t>
        </r>
        <r>
          <rPr>
            <sz val="9"/>
            <rFont val="宋体"/>
            <charset val="134"/>
          </rPr>
          <t xml:space="preserve">
2002464 5/29 5664pcs莫4B7</t>
        </r>
      </text>
    </comment>
    <comment ref="AL107" authorId="0">
      <text>
        <r>
          <rPr>
            <b/>
            <sz val="9"/>
            <rFont val="宋体"/>
            <charset val="134"/>
          </rPr>
          <t>Administrator:</t>
        </r>
        <r>
          <rPr>
            <sz val="9"/>
            <rFont val="宋体"/>
            <charset val="134"/>
          </rPr>
          <t xml:space="preserve">
4/15 上客供RFID贴纸5664pcs
</t>
        </r>
      </text>
    </comment>
    <comment ref="AI108" authorId="0">
      <text>
        <r>
          <rPr>
            <b/>
            <sz val="9"/>
            <rFont val="宋体"/>
            <charset val="134"/>
          </rPr>
          <t>Administrator:</t>
        </r>
        <r>
          <rPr>
            <sz val="9"/>
            <rFont val="宋体"/>
            <charset val="134"/>
          </rPr>
          <t xml:space="preserve">
2000682 5/26 450pcs华3B13</t>
        </r>
      </text>
    </comment>
    <comment ref="AL108" authorId="0">
      <text>
        <r>
          <rPr>
            <b/>
            <sz val="9"/>
            <rFont val="宋体"/>
            <charset val="134"/>
          </rPr>
          <t>Administrator:</t>
        </r>
        <r>
          <rPr>
            <sz val="9"/>
            <rFont val="宋体"/>
            <charset val="134"/>
          </rPr>
          <t xml:space="preserve">
4/21 上西班牙环保标/邮箱贴纸450pcs
</t>
        </r>
      </text>
    </comment>
    <comment ref="AI109" authorId="0">
      <text>
        <r>
          <rPr>
            <b/>
            <sz val="9"/>
            <rFont val="宋体"/>
            <charset val="134"/>
          </rPr>
          <t>Administrator:</t>
        </r>
        <r>
          <rPr>
            <sz val="9"/>
            <rFont val="宋体"/>
            <charset val="134"/>
          </rPr>
          <t xml:space="preserve">
20001242 5/28 120pcs华3B14</t>
        </r>
      </text>
    </comment>
    <comment ref="AL109" authorId="0">
      <text>
        <r>
          <rPr>
            <b/>
            <sz val="9"/>
            <rFont val="宋体"/>
            <charset val="134"/>
          </rPr>
          <t>Administrator:</t>
        </r>
        <r>
          <rPr>
            <sz val="9"/>
            <rFont val="宋体"/>
            <charset val="134"/>
          </rPr>
          <t xml:space="preserve">
5/7 上客人白色CALLABEL贴纸120pcs
</t>
        </r>
      </text>
    </comment>
    <comment ref="AI110" authorId="0">
      <text>
        <r>
          <rPr>
            <b/>
            <sz val="9"/>
            <rFont val="宋体"/>
            <charset val="134"/>
          </rPr>
          <t>Administrator:</t>
        </r>
        <r>
          <rPr>
            <sz val="9"/>
            <rFont val="宋体"/>
            <charset val="134"/>
          </rPr>
          <t xml:space="preserve">
2001242 5/28 225pcs华3B14</t>
        </r>
      </text>
    </comment>
    <comment ref="AI111" authorId="0">
      <text>
        <r>
          <rPr>
            <b/>
            <sz val="9"/>
            <rFont val="宋体"/>
            <charset val="134"/>
          </rPr>
          <t>Administrator:</t>
        </r>
        <r>
          <rPr>
            <sz val="9"/>
            <rFont val="宋体"/>
            <charset val="134"/>
          </rPr>
          <t xml:space="preserve">
2001242 5/28 210pcs华3B14</t>
        </r>
      </text>
    </comment>
    <comment ref="AI112" authorId="0">
      <text>
        <r>
          <rPr>
            <b/>
            <sz val="9"/>
            <rFont val="宋体"/>
            <charset val="134"/>
          </rPr>
          <t>Administrator:</t>
        </r>
        <r>
          <rPr>
            <sz val="9"/>
            <rFont val="宋体"/>
            <charset val="134"/>
          </rPr>
          <t xml:space="preserve">
2002469 5/30 3984pcs华3A13</t>
        </r>
      </text>
    </comment>
    <comment ref="AL112" authorId="0">
      <text>
        <r>
          <rPr>
            <b/>
            <sz val="9"/>
            <rFont val="宋体"/>
            <charset val="134"/>
          </rPr>
          <t>Administrator:</t>
        </r>
        <r>
          <rPr>
            <sz val="9"/>
            <rFont val="宋体"/>
            <charset val="134"/>
          </rPr>
          <t xml:space="preserve">
5/12 上客供RFID贴纸3984pcs</t>
        </r>
      </text>
    </comment>
    <comment ref="AI113" authorId="0">
      <text>
        <r>
          <rPr>
            <b/>
            <sz val="9"/>
            <rFont val="宋体"/>
            <charset val="134"/>
          </rPr>
          <t>Administrator:</t>
        </r>
        <r>
          <rPr>
            <sz val="9"/>
            <rFont val="宋体"/>
            <charset val="134"/>
          </rPr>
          <t xml:space="preserve">
2002469 5/30 3824pcs华3A13
</t>
        </r>
      </text>
    </comment>
    <comment ref="AL113" authorId="0">
      <text>
        <r>
          <rPr>
            <b/>
            <sz val="9"/>
            <rFont val="宋体"/>
            <charset val="134"/>
          </rPr>
          <t>Administrator:</t>
        </r>
        <r>
          <rPr>
            <sz val="9"/>
            <rFont val="宋体"/>
            <charset val="134"/>
          </rPr>
          <t xml:space="preserve">
5/12 上客供RFID贴纸3824pcs</t>
        </r>
      </text>
    </comment>
    <comment ref="AI114" authorId="0">
      <text>
        <r>
          <rPr>
            <b/>
            <sz val="9"/>
            <rFont val="宋体"/>
            <charset val="134"/>
          </rPr>
          <t>Administrator:</t>
        </r>
        <r>
          <rPr>
            <sz val="9"/>
            <rFont val="宋体"/>
            <charset val="134"/>
          </rPr>
          <t xml:space="preserve">
2002469 5/30 3408pcs华3A13
</t>
        </r>
      </text>
    </comment>
    <comment ref="AL114" authorId="0">
      <text>
        <r>
          <rPr>
            <b/>
            <sz val="9"/>
            <rFont val="宋体"/>
            <charset val="134"/>
          </rPr>
          <t>Administrator:</t>
        </r>
        <r>
          <rPr>
            <sz val="9"/>
            <rFont val="宋体"/>
            <charset val="134"/>
          </rPr>
          <t xml:space="preserve">
5/12 上客供RFID贴纸3408pcs</t>
        </r>
      </text>
    </comment>
    <comment ref="AI115" authorId="0">
      <text>
        <r>
          <rPr>
            <b/>
            <sz val="9"/>
            <rFont val="宋体"/>
            <charset val="134"/>
          </rPr>
          <t>Administrator:</t>
        </r>
        <r>
          <rPr>
            <sz val="9"/>
            <rFont val="宋体"/>
            <charset val="134"/>
          </rPr>
          <t xml:space="preserve">
2002469 5/30 4544pcs华3A13
</t>
        </r>
      </text>
    </comment>
    <comment ref="AL115" authorId="0">
      <text>
        <r>
          <rPr>
            <b/>
            <sz val="9"/>
            <rFont val="宋体"/>
            <charset val="134"/>
          </rPr>
          <t>Administrator:</t>
        </r>
        <r>
          <rPr>
            <sz val="9"/>
            <rFont val="宋体"/>
            <charset val="134"/>
          </rPr>
          <t xml:space="preserve">
5/12 上客供RFID贴纸4544pcs</t>
        </r>
      </text>
    </comment>
    <comment ref="AI116" authorId="0">
      <text>
        <r>
          <rPr>
            <b/>
            <sz val="9"/>
            <rFont val="宋体"/>
            <charset val="134"/>
          </rPr>
          <t>Administrator:</t>
        </r>
        <r>
          <rPr>
            <sz val="9"/>
            <rFont val="宋体"/>
            <charset val="134"/>
          </rPr>
          <t xml:space="preserve">
2002469 5/30 4048pcs华3A13
</t>
        </r>
      </text>
    </comment>
    <comment ref="AL116" authorId="0">
      <text>
        <r>
          <rPr>
            <b/>
            <sz val="9"/>
            <rFont val="宋体"/>
            <charset val="134"/>
          </rPr>
          <t>Administrator:</t>
        </r>
        <r>
          <rPr>
            <sz val="9"/>
            <rFont val="宋体"/>
            <charset val="134"/>
          </rPr>
          <t xml:space="preserve">
5/12 上客供RFID贴纸4048pcs</t>
        </r>
      </text>
    </comment>
    <comment ref="AI117" authorId="0">
      <text>
        <r>
          <rPr>
            <b/>
            <sz val="9"/>
            <rFont val="宋体"/>
            <charset val="134"/>
          </rPr>
          <t>Administrator:</t>
        </r>
        <r>
          <rPr>
            <sz val="9"/>
            <rFont val="宋体"/>
            <charset val="134"/>
          </rPr>
          <t xml:space="preserve">
2002464 5/29 1000pcs莫4B7</t>
        </r>
      </text>
    </comment>
    <comment ref="AL117" authorId="0">
      <text>
        <r>
          <rPr>
            <b/>
            <sz val="9"/>
            <rFont val="宋体"/>
            <charset val="134"/>
          </rPr>
          <t>Administrator:</t>
        </r>
        <r>
          <rPr>
            <sz val="9"/>
            <rFont val="宋体"/>
            <charset val="134"/>
          </rPr>
          <t xml:space="preserve">
5/19 上UPC贴纸1000pcs</t>
        </r>
      </text>
    </comment>
    <comment ref="AI118" authorId="0">
      <text>
        <r>
          <rPr>
            <b/>
            <sz val="9"/>
            <rFont val="宋体"/>
            <charset val="134"/>
          </rPr>
          <t>Administrator:</t>
        </r>
        <r>
          <rPr>
            <sz val="9"/>
            <rFont val="宋体"/>
            <charset val="134"/>
          </rPr>
          <t xml:space="preserve">
2000659 5/27 3075pcs华3B9</t>
        </r>
      </text>
    </comment>
    <comment ref="AI119" authorId="0">
      <text>
        <r>
          <rPr>
            <b/>
            <sz val="9"/>
            <rFont val="宋体"/>
            <charset val="134"/>
          </rPr>
          <t>Administrator:</t>
        </r>
        <r>
          <rPr>
            <sz val="9"/>
            <rFont val="宋体"/>
            <charset val="134"/>
          </rPr>
          <t xml:space="preserve">
2000656 5/27 700pcs华3B17</t>
        </r>
      </text>
    </comment>
    <comment ref="AI120" authorId="0">
      <text>
        <r>
          <rPr>
            <b/>
            <sz val="9"/>
            <rFont val="宋体"/>
            <charset val="134"/>
          </rPr>
          <t>Administrator:</t>
        </r>
        <r>
          <rPr>
            <sz val="9"/>
            <rFont val="宋体"/>
            <charset val="134"/>
          </rPr>
          <t xml:space="preserve">
2000659 5/27 775pcs
华3B12</t>
        </r>
      </text>
    </comment>
    <comment ref="AI121" authorId="0">
      <text>
        <r>
          <rPr>
            <b/>
            <sz val="9"/>
            <rFont val="宋体"/>
            <charset val="134"/>
          </rPr>
          <t>Administrator:</t>
        </r>
        <r>
          <rPr>
            <sz val="9"/>
            <rFont val="宋体"/>
            <charset val="134"/>
          </rPr>
          <t xml:space="preserve">
2002580 5/29 1500pcs华3B13</t>
        </r>
      </text>
    </comment>
    <comment ref="AL121" authorId="0">
      <text>
        <r>
          <rPr>
            <b/>
            <sz val="9"/>
            <rFont val="宋体"/>
            <charset val="134"/>
          </rPr>
          <t>Administrator:</t>
        </r>
        <r>
          <rPr>
            <sz val="9"/>
            <rFont val="宋体"/>
            <charset val="134"/>
          </rPr>
          <t xml:space="preserve">
5/23 上UPC条码贴纸1500pcs</t>
        </r>
      </text>
    </comment>
    <comment ref="AI122" authorId="0">
      <text>
        <r>
          <rPr>
            <b/>
            <sz val="9"/>
            <rFont val="宋体"/>
            <charset val="134"/>
          </rPr>
          <t>Administrator:</t>
        </r>
        <r>
          <rPr>
            <sz val="9"/>
            <rFont val="宋体"/>
            <charset val="134"/>
          </rPr>
          <t xml:space="preserve">
20002541 6/5 2160pcs
王1-A5
2002545 6/6 3240pcs王1-A5
</t>
        </r>
      </text>
    </comment>
    <comment ref="AL122" authorId="0">
      <text>
        <r>
          <rPr>
            <b/>
            <sz val="9"/>
            <rFont val="宋体"/>
            <charset val="134"/>
          </rPr>
          <t>Administrator:</t>
        </r>
        <r>
          <rPr>
            <sz val="9"/>
            <rFont val="宋体"/>
            <charset val="134"/>
          </rPr>
          <t xml:space="preserve">
5/14 上条码贴纸5400pcs
进口商贴纸5400pcs
产品贴纸5400pcs
WEEE说明书纸5400pcs
</t>
        </r>
      </text>
    </comment>
    <comment ref="AI123" authorId="0">
      <text>
        <r>
          <rPr>
            <b/>
            <sz val="9"/>
            <rFont val="宋体"/>
            <charset val="134"/>
          </rPr>
          <t>Administrator:</t>
        </r>
        <r>
          <rPr>
            <sz val="9"/>
            <rFont val="宋体"/>
            <charset val="134"/>
          </rPr>
          <t xml:space="preserve">
2002541 6/5 3024pcs
王 1-A6
2002523 6/6 390pcs 王1-A6</t>
        </r>
      </text>
    </comment>
    <comment ref="AL123" authorId="0">
      <text>
        <r>
          <rPr>
            <b/>
            <sz val="9"/>
            <rFont val="宋体"/>
            <charset val="134"/>
          </rPr>
          <t>Administrator:</t>
        </r>
        <r>
          <rPr>
            <sz val="9"/>
            <rFont val="宋体"/>
            <charset val="134"/>
          </rPr>
          <t xml:space="preserve">
5/14 上条码贴纸3414pcs
进口商贴纸3414pcs
产品贴纸3414pcs
WEEE说明书纸3414pcs</t>
        </r>
      </text>
    </comment>
    <comment ref="AI124" authorId="0">
      <text>
        <r>
          <rPr>
            <b/>
            <sz val="9"/>
            <rFont val="宋体"/>
            <charset val="134"/>
          </rPr>
          <t>Administrator:</t>
        </r>
        <r>
          <rPr>
            <sz val="9"/>
            <rFont val="宋体"/>
            <charset val="134"/>
          </rPr>
          <t xml:space="preserve">
2002416 6/4 9750pcs王1-A3</t>
        </r>
      </text>
    </comment>
    <comment ref="AL124" authorId="0">
      <text>
        <r>
          <rPr>
            <b/>
            <sz val="9"/>
            <rFont val="宋体"/>
            <charset val="134"/>
          </rPr>
          <t>Administrator:</t>
        </r>
        <r>
          <rPr>
            <sz val="9"/>
            <rFont val="宋体"/>
            <charset val="134"/>
          </rPr>
          <t xml:space="preserve">
5/26 上多语警语折叠贴纸9800pcs
</t>
        </r>
      </text>
    </comment>
    <comment ref="AI125" authorId="0">
      <text>
        <r>
          <rPr>
            <b/>
            <sz val="9"/>
            <rFont val="宋体"/>
            <charset val="134"/>
          </rPr>
          <t>Administrator:</t>
        </r>
        <r>
          <rPr>
            <sz val="9"/>
            <rFont val="宋体"/>
            <charset val="134"/>
          </rPr>
          <t xml:space="preserve">
2002453 6/2 2500pcs华3B14</t>
        </r>
      </text>
    </comment>
    <comment ref="AL125" authorId="0">
      <text>
        <r>
          <rPr>
            <b/>
            <sz val="9"/>
            <rFont val="宋体"/>
            <charset val="134"/>
          </rPr>
          <t>Administrator:</t>
        </r>
        <r>
          <rPr>
            <sz val="9"/>
            <rFont val="宋体"/>
            <charset val="134"/>
          </rPr>
          <t xml:space="preserve">
5/14 上进口含意大利环保贴纸2500pcs
</t>
        </r>
      </text>
    </comment>
    <comment ref="AI126" authorId="0">
      <text>
        <r>
          <rPr>
            <b/>
            <sz val="9"/>
            <rFont val="宋体"/>
            <charset val="134"/>
          </rPr>
          <t>Administrator:</t>
        </r>
        <r>
          <rPr>
            <sz val="9"/>
            <rFont val="宋体"/>
            <charset val="134"/>
          </rPr>
          <t xml:space="preserve">
2002394 6/4 750pcs王1-A2</t>
        </r>
      </text>
    </comment>
    <comment ref="AL126" authorId="0">
      <text>
        <r>
          <rPr>
            <b/>
            <sz val="9"/>
            <rFont val="宋体"/>
            <charset val="134"/>
          </rPr>
          <t>Administrator:</t>
        </r>
        <r>
          <rPr>
            <sz val="9"/>
            <rFont val="宋体"/>
            <charset val="134"/>
          </rPr>
          <t xml:space="preserve">
5/14 意大利环保贴纸750pcs</t>
        </r>
      </text>
    </comment>
    <comment ref="AI127" authorId="0">
      <text>
        <r>
          <rPr>
            <b/>
            <sz val="9"/>
            <rFont val="宋体"/>
            <charset val="134"/>
          </rPr>
          <t>Administrator:</t>
        </r>
        <r>
          <rPr>
            <sz val="9"/>
            <rFont val="宋体"/>
            <charset val="134"/>
          </rPr>
          <t xml:space="preserve">
2002453 6/2 3000pcs华3B5</t>
        </r>
      </text>
    </comment>
    <comment ref="AL127" authorId="0">
      <text>
        <r>
          <rPr>
            <b/>
            <sz val="9"/>
            <rFont val="宋体"/>
            <charset val="134"/>
          </rPr>
          <t>Administrator:</t>
        </r>
        <r>
          <rPr>
            <sz val="9"/>
            <rFont val="宋体"/>
            <charset val="134"/>
          </rPr>
          <t xml:space="preserve">
5/16 上警告语/进口商贴纸3990pcs
5/29 上警语进口商贴纸1008pcs补订</t>
        </r>
      </text>
    </comment>
    <comment ref="AI128" authorId="0">
      <text>
        <r>
          <rPr>
            <b/>
            <sz val="9"/>
            <rFont val="宋体"/>
            <charset val="134"/>
          </rPr>
          <t>Administrator:</t>
        </r>
        <r>
          <rPr>
            <sz val="9"/>
            <rFont val="宋体"/>
            <charset val="134"/>
          </rPr>
          <t xml:space="preserve">
2002453 6/2 990pcs华3B4</t>
        </r>
      </text>
    </comment>
    <comment ref="AL128" authorId="0">
      <text>
        <r>
          <rPr>
            <b/>
            <sz val="9"/>
            <rFont val="宋体"/>
            <charset val="134"/>
          </rPr>
          <t>Administrator:</t>
        </r>
        <r>
          <rPr>
            <sz val="9"/>
            <rFont val="宋体"/>
            <charset val="134"/>
          </rPr>
          <t xml:space="preserve">
5/16 上EAN贴纸990pcs</t>
        </r>
      </text>
    </comment>
    <comment ref="AI129" authorId="0">
      <text>
        <r>
          <rPr>
            <b/>
            <sz val="9"/>
            <rFont val="宋体"/>
            <charset val="134"/>
          </rPr>
          <t>Administrator:</t>
        </r>
        <r>
          <rPr>
            <sz val="9"/>
            <rFont val="宋体"/>
            <charset val="134"/>
          </rPr>
          <t xml:space="preserve">
2002394 6/4 1456pcs王1-A2</t>
        </r>
      </text>
    </comment>
    <comment ref="AI130" authorId="0">
      <text>
        <r>
          <rPr>
            <b/>
            <sz val="9"/>
            <rFont val="宋体"/>
            <charset val="134"/>
          </rPr>
          <t>Administrator:</t>
        </r>
        <r>
          <rPr>
            <sz val="9"/>
            <rFont val="宋体"/>
            <charset val="134"/>
          </rPr>
          <t xml:space="preserve">
2002354 6/6 1560pcs罗1F4</t>
        </r>
      </text>
    </comment>
    <comment ref="AL130" authorId="0">
      <text>
        <r>
          <rPr>
            <b/>
            <sz val="9"/>
            <rFont val="宋体"/>
            <charset val="134"/>
          </rPr>
          <t>Administrator:</t>
        </r>
        <r>
          <rPr>
            <sz val="9"/>
            <rFont val="宋体"/>
            <charset val="134"/>
          </rPr>
          <t xml:space="preserve">
5/21 上进口商贴纸1560pcs
UPC贴纸1560pcs</t>
        </r>
      </text>
    </comment>
    <comment ref="AI131" authorId="0">
      <text>
        <r>
          <rPr>
            <b/>
            <sz val="9"/>
            <rFont val="宋体"/>
            <charset val="134"/>
          </rPr>
          <t>Administrator:</t>
        </r>
        <r>
          <rPr>
            <sz val="9"/>
            <rFont val="宋体"/>
            <charset val="134"/>
          </rPr>
          <t xml:space="preserve">
2002369 6/5 5000pcs 王 1-B4</t>
        </r>
      </text>
    </comment>
    <comment ref="AL131" authorId="0">
      <text>
        <r>
          <rPr>
            <b/>
            <sz val="9"/>
            <rFont val="宋体"/>
            <charset val="134"/>
          </rPr>
          <t>Administrator:</t>
        </r>
        <r>
          <rPr>
            <sz val="9"/>
            <rFont val="宋体"/>
            <charset val="134"/>
          </rPr>
          <t xml:space="preserve">
5/14 上进口商贴纸5000pcs</t>
        </r>
      </text>
    </comment>
    <comment ref="AI132" authorId="0">
      <text>
        <r>
          <rPr>
            <b/>
            <sz val="9"/>
            <rFont val="宋体"/>
            <charset val="134"/>
          </rPr>
          <t>Administrator:</t>
        </r>
        <r>
          <rPr>
            <sz val="9"/>
            <rFont val="宋体"/>
            <charset val="134"/>
          </rPr>
          <t xml:space="preserve">
2002496 6/14 48pcsA1楼</t>
        </r>
      </text>
    </comment>
    <comment ref="AI133" authorId="0">
      <text>
        <r>
          <rPr>
            <b/>
            <sz val="9"/>
            <rFont val="宋体"/>
            <charset val="134"/>
          </rPr>
          <t>Administrator:</t>
        </r>
        <r>
          <rPr>
            <sz val="9"/>
            <rFont val="宋体"/>
            <charset val="134"/>
          </rPr>
          <t xml:space="preserve">
2002530 6/6 600pcs王1-A8
</t>
        </r>
      </text>
    </comment>
    <comment ref="AL133" authorId="0">
      <text>
        <r>
          <rPr>
            <b/>
            <sz val="9"/>
            <rFont val="宋体"/>
            <charset val="134"/>
          </rPr>
          <t>Administrator:</t>
        </r>
        <r>
          <rPr>
            <sz val="9"/>
            <rFont val="宋体"/>
            <charset val="134"/>
          </rPr>
          <t xml:space="preserve">
4/14 上客供警语贴纸底部1240pcs
客供警语贴纸说明书上1240pcs
客供警语贴纸收藏指南1242pcs
5/7 上空白贴纸1200pcs</t>
        </r>
      </text>
    </comment>
    <comment ref="AI134" authorId="0">
      <text>
        <r>
          <rPr>
            <b/>
            <sz val="9"/>
            <rFont val="宋体"/>
            <charset val="134"/>
          </rPr>
          <t>Administrator:</t>
        </r>
        <r>
          <rPr>
            <sz val="9"/>
            <rFont val="宋体"/>
            <charset val="134"/>
          </rPr>
          <t xml:space="preserve">
2002314 6/7 528pcs华3B8</t>
        </r>
      </text>
    </comment>
    <comment ref="AL134" authorId="0">
      <text>
        <r>
          <rPr>
            <b/>
            <sz val="9"/>
            <rFont val="宋体"/>
            <charset val="134"/>
          </rPr>
          <t>Administrator:</t>
        </r>
        <r>
          <rPr>
            <sz val="9"/>
            <rFont val="宋体"/>
            <charset val="134"/>
          </rPr>
          <t xml:space="preserve">
5/12 亚马逊外箱贴纸44pcs
5/12 上空白贴纸2088pcs
两上同PO共用
 环保标贴纸1044pcs
两个同PO共用</t>
        </r>
      </text>
    </comment>
    <comment ref="AI135" authorId="0">
      <text>
        <r>
          <rPr>
            <b/>
            <sz val="9"/>
            <rFont val="宋体"/>
            <charset val="134"/>
          </rPr>
          <t>Administrator:</t>
        </r>
        <r>
          <rPr>
            <sz val="9"/>
            <rFont val="宋体"/>
            <charset val="134"/>
          </rPr>
          <t xml:space="preserve">
2002314 6/7 516pcs华3B16
</t>
        </r>
      </text>
    </comment>
    <comment ref="AL135" authorId="0">
      <text>
        <r>
          <rPr>
            <b/>
            <sz val="9"/>
            <rFont val="宋体"/>
            <charset val="134"/>
          </rPr>
          <t>Administrator:</t>
        </r>
        <r>
          <rPr>
            <sz val="9"/>
            <rFont val="宋体"/>
            <charset val="134"/>
          </rPr>
          <t xml:space="preserve">
5/12 亚马逊外箱贴纸43pcs</t>
        </r>
      </text>
    </comment>
    <comment ref="AI136" authorId="0">
      <text>
        <r>
          <rPr>
            <b/>
            <sz val="9"/>
            <rFont val="宋体"/>
            <charset val="134"/>
          </rPr>
          <t>Administrator:</t>
        </r>
        <r>
          <rPr>
            <sz val="9"/>
            <rFont val="宋体"/>
            <charset val="134"/>
          </rPr>
          <t xml:space="preserve">
2002304 6/7 2928pcs华3B10</t>
        </r>
      </text>
    </comment>
    <comment ref="AL136" authorId="0">
      <text>
        <r>
          <rPr>
            <b/>
            <sz val="9"/>
            <rFont val="宋体"/>
            <charset val="134"/>
          </rPr>
          <t>Administrator:</t>
        </r>
        <r>
          <rPr>
            <sz val="9"/>
            <rFont val="宋体"/>
            <charset val="134"/>
          </rPr>
          <t xml:space="preserve">
5/12 上空白贴纸10512pcs
三个同PO共用
上环保标贴纸5256pcs
两个同PO共用
5/19 上亚马逊外箱贴纸244pcs
</t>
        </r>
      </text>
    </comment>
    <comment ref="AI137" authorId="0">
      <text>
        <r>
          <rPr>
            <b/>
            <sz val="9"/>
            <rFont val="宋体"/>
            <charset val="134"/>
          </rPr>
          <t>Administrator:</t>
        </r>
        <r>
          <rPr>
            <sz val="9"/>
            <rFont val="宋体"/>
            <charset val="134"/>
          </rPr>
          <t xml:space="preserve">
2002314 6/7 1548pcs华3A16</t>
        </r>
      </text>
    </comment>
    <comment ref="AL137" authorId="0">
      <text>
        <r>
          <rPr>
            <b/>
            <sz val="9"/>
            <rFont val="宋体"/>
            <charset val="134"/>
          </rPr>
          <t>Administrator:</t>
        </r>
        <r>
          <rPr>
            <sz val="9"/>
            <rFont val="宋体"/>
            <charset val="134"/>
          </rPr>
          <t xml:space="preserve">
5/19 上亚马逊外箱贴纸129pcs</t>
        </r>
      </text>
    </comment>
    <comment ref="AI138" authorId="0">
      <text>
        <r>
          <rPr>
            <b/>
            <sz val="9"/>
            <rFont val="宋体"/>
            <charset val="134"/>
          </rPr>
          <t>Administrator:</t>
        </r>
        <r>
          <rPr>
            <sz val="9"/>
            <rFont val="宋体"/>
            <charset val="134"/>
          </rPr>
          <t xml:space="preserve">
2002304 6/7 780pcs华3B14
</t>
        </r>
      </text>
    </comment>
    <comment ref="AL138" authorId="0">
      <text>
        <r>
          <rPr>
            <b/>
            <sz val="9"/>
            <rFont val="宋体"/>
            <charset val="134"/>
          </rPr>
          <t>Administrator:</t>
        </r>
        <r>
          <rPr>
            <sz val="9"/>
            <rFont val="宋体"/>
            <charset val="134"/>
          </rPr>
          <t xml:space="preserve">
5/19 上亚马逊外箱贴纸65pcs</t>
        </r>
      </text>
    </comment>
    <comment ref="AI139" authorId="0">
      <text>
        <r>
          <rPr>
            <b/>
            <sz val="9"/>
            <rFont val="宋体"/>
            <charset val="134"/>
          </rPr>
          <t>Administrator:</t>
        </r>
        <r>
          <rPr>
            <sz val="9"/>
            <rFont val="宋体"/>
            <charset val="134"/>
          </rPr>
          <t xml:space="preserve">
2002343 6/6 5500pcs王1-A7</t>
        </r>
      </text>
    </comment>
    <comment ref="AL139" authorId="0">
      <text>
        <r>
          <rPr>
            <b/>
            <sz val="9"/>
            <rFont val="宋体"/>
            <charset val="134"/>
          </rPr>
          <t>Administrator:</t>
        </r>
        <r>
          <rPr>
            <sz val="9"/>
            <rFont val="宋体"/>
            <charset val="134"/>
          </rPr>
          <t xml:space="preserve">
5/29 上外箱贴纸110pcs
5/29 上进口商贴纸5500pcs
UPC贴纸5500pcs</t>
        </r>
      </text>
    </comment>
    <comment ref="AI140" authorId="0">
      <text>
        <r>
          <rPr>
            <b/>
            <sz val="9"/>
            <rFont val="宋体"/>
            <charset val="134"/>
          </rPr>
          <t>Administrator:</t>
        </r>
        <r>
          <rPr>
            <sz val="9"/>
            <rFont val="宋体"/>
            <charset val="134"/>
          </rPr>
          <t xml:space="preserve">
2002304 6/7 504pcs华3B14
</t>
        </r>
      </text>
    </comment>
    <comment ref="AL140" authorId="0">
      <text>
        <r>
          <rPr>
            <b/>
            <sz val="9"/>
            <rFont val="宋体"/>
            <charset val="134"/>
          </rPr>
          <t>Administrator:</t>
        </r>
        <r>
          <rPr>
            <sz val="9"/>
            <rFont val="宋体"/>
            <charset val="134"/>
          </rPr>
          <t xml:space="preserve">
5/19 上亚马逊外箱贴纸42pcs
5/20 上空白贴纸2016pcs
环保标贴纸1008pcs</t>
        </r>
      </text>
    </comment>
    <comment ref="AI141" authorId="0">
      <text>
        <r>
          <rPr>
            <b/>
            <sz val="9"/>
            <rFont val="宋体"/>
            <charset val="134"/>
          </rPr>
          <t>Administrator:</t>
        </r>
        <r>
          <rPr>
            <sz val="9"/>
            <rFont val="宋体"/>
            <charset val="134"/>
          </rPr>
          <t xml:space="preserve">
2002304 6/7 504pcs华3B14</t>
        </r>
      </text>
    </comment>
    <comment ref="AL141" authorId="0">
      <text>
        <r>
          <rPr>
            <b/>
            <sz val="9"/>
            <rFont val="宋体"/>
            <charset val="134"/>
          </rPr>
          <t>Administrator:</t>
        </r>
        <r>
          <rPr>
            <sz val="9"/>
            <rFont val="宋体"/>
            <charset val="134"/>
          </rPr>
          <t xml:space="preserve">
5/19 上亚马逊外箱贴纸42pcs
</t>
        </r>
      </text>
    </comment>
    <comment ref="AI142" authorId="0">
      <text>
        <r>
          <rPr>
            <b/>
            <sz val="9"/>
            <rFont val="宋体"/>
            <charset val="134"/>
          </rPr>
          <t>Administrator:</t>
        </r>
        <r>
          <rPr>
            <sz val="9"/>
            <rFont val="宋体"/>
            <charset val="134"/>
          </rPr>
          <t xml:space="preserve">
2002280 6/9 50pcs罗
2002349 6/6 4950pcs王 1-A4</t>
        </r>
      </text>
    </comment>
    <comment ref="AI143" authorId="0">
      <text>
        <r>
          <rPr>
            <b/>
            <sz val="9"/>
            <rFont val="宋体"/>
            <charset val="134"/>
          </rPr>
          <t>Administrator:</t>
        </r>
        <r>
          <rPr>
            <sz val="9"/>
            <rFont val="宋体"/>
            <charset val="134"/>
          </rPr>
          <t xml:space="preserve">
2002354 6/6 504pcs罗1-F4</t>
        </r>
      </text>
    </comment>
    <comment ref="AL143" authorId="0">
      <text>
        <r>
          <rPr>
            <b/>
            <sz val="9"/>
            <rFont val="宋体"/>
            <charset val="134"/>
          </rPr>
          <t>Administrator:</t>
        </r>
        <r>
          <rPr>
            <sz val="9"/>
            <rFont val="宋体"/>
            <charset val="134"/>
          </rPr>
          <t xml:space="preserve">
冰棒款说明书荷兰语贴纸168pcs
蛋糕款说明书荷兰语贴纸168pcs
布丁款说明书荷兰语贴纸168pcs
</t>
        </r>
      </text>
    </comment>
    <comment ref="AI144" authorId="0">
      <text>
        <r>
          <rPr>
            <b/>
            <sz val="9"/>
            <rFont val="宋体"/>
            <charset val="134"/>
          </rPr>
          <t>Administrator:</t>
        </r>
        <r>
          <rPr>
            <sz val="9"/>
            <rFont val="宋体"/>
            <charset val="134"/>
          </rPr>
          <t xml:space="preserve">
2002362 6/6 1000pcs莫4B9</t>
        </r>
      </text>
    </comment>
    <comment ref="AL144" authorId="0">
      <text>
        <r>
          <rPr>
            <b/>
            <sz val="9"/>
            <rFont val="宋体"/>
            <charset val="134"/>
          </rPr>
          <t>Administrator:</t>
        </r>
        <r>
          <rPr>
            <sz val="9"/>
            <rFont val="宋体"/>
            <charset val="134"/>
          </rPr>
          <t xml:space="preserve">
5/21 上UPC条码贴纸1000pcs</t>
        </r>
      </text>
    </comment>
    <comment ref="AI145" authorId="0">
      <text>
        <r>
          <rPr>
            <b/>
            <sz val="9"/>
            <rFont val="宋体"/>
            <charset val="134"/>
          </rPr>
          <t>Administrator:</t>
        </r>
        <r>
          <rPr>
            <sz val="9"/>
            <rFont val="宋体"/>
            <charset val="134"/>
          </rPr>
          <t xml:space="preserve">
2002352 6/7 725pcs王1-B10</t>
        </r>
      </text>
    </comment>
    <comment ref="AI146" authorId="0">
      <text>
        <r>
          <rPr>
            <b/>
            <sz val="9"/>
            <rFont val="宋体"/>
            <charset val="134"/>
          </rPr>
          <t>Administrator:</t>
        </r>
        <r>
          <rPr>
            <sz val="9"/>
            <rFont val="宋体"/>
            <charset val="134"/>
          </rPr>
          <t xml:space="preserve">
2002352 6/7 750pcs王1-B10</t>
        </r>
      </text>
    </comment>
    <comment ref="AI147" authorId="0">
      <text>
        <r>
          <rPr>
            <b/>
            <sz val="9"/>
            <rFont val="宋体"/>
            <charset val="134"/>
          </rPr>
          <t>Administrator:</t>
        </r>
        <r>
          <rPr>
            <sz val="9"/>
            <rFont val="宋体"/>
            <charset val="134"/>
          </rPr>
          <t xml:space="preserve">
2002352 6/7 1000pcs王1-B10
</t>
        </r>
      </text>
    </comment>
    <comment ref="AI148" authorId="0">
      <text>
        <r>
          <rPr>
            <b/>
            <sz val="9"/>
            <rFont val="宋体"/>
            <charset val="134"/>
          </rPr>
          <t>Administrator:</t>
        </r>
        <r>
          <rPr>
            <sz val="9"/>
            <rFont val="宋体"/>
            <charset val="134"/>
          </rPr>
          <t xml:space="preserve">
2002352 6/7 550pcs王1-B10
</t>
        </r>
      </text>
    </comment>
    <comment ref="AI149" authorId="0">
      <text>
        <r>
          <rPr>
            <b/>
            <sz val="9"/>
            <rFont val="宋体"/>
            <charset val="134"/>
          </rPr>
          <t>Administrator:</t>
        </r>
        <r>
          <rPr>
            <sz val="9"/>
            <rFont val="宋体"/>
            <charset val="134"/>
          </rPr>
          <t xml:space="preserve">
2002297 6/9 2483pcs莫5-A7</t>
        </r>
      </text>
    </comment>
    <comment ref="AL149" authorId="0">
      <text>
        <r>
          <rPr>
            <b/>
            <sz val="9"/>
            <rFont val="宋体"/>
            <charset val="134"/>
          </rPr>
          <t>Administrator:</t>
        </r>
        <r>
          <rPr>
            <sz val="9"/>
            <rFont val="宋体"/>
            <charset val="134"/>
          </rPr>
          <t xml:space="preserve">
5/12 上白色防盗贴纸2483pcs
5/24 上UPC条码贴纸2483pcs
KM外箱贴纸191pcs</t>
        </r>
      </text>
    </comment>
    <comment ref="AI150" authorId="0">
      <text>
        <r>
          <rPr>
            <b/>
            <sz val="9"/>
            <rFont val="宋体"/>
            <charset val="134"/>
          </rPr>
          <t>Administrator:</t>
        </r>
        <r>
          <rPr>
            <sz val="9"/>
            <rFont val="宋体"/>
            <charset val="134"/>
          </rPr>
          <t xml:space="preserve">
2002510 6/7 1002pcs直走</t>
        </r>
      </text>
    </comment>
    <comment ref="AL150" authorId="0">
      <text>
        <r>
          <rPr>
            <b/>
            <sz val="9"/>
            <rFont val="宋体"/>
            <charset val="134"/>
          </rPr>
          <t>Administrator:</t>
        </r>
        <r>
          <rPr>
            <sz val="9"/>
            <rFont val="宋体"/>
            <charset val="134"/>
          </rPr>
          <t xml:space="preserve">
5/19 WEEE带电池走货欧洲30语通用黑白说明书1002pcs
EAN条码贴纸1002pcs
进口商贴纸1002pcs
6/5 上进口商贴纸1002pcs补订</t>
        </r>
      </text>
    </comment>
    <comment ref="AI151" authorId="0">
      <text>
        <r>
          <rPr>
            <b/>
            <sz val="9"/>
            <rFont val="宋体"/>
            <charset val="134"/>
          </rPr>
          <t>Administrator:</t>
        </r>
        <r>
          <rPr>
            <sz val="9"/>
            <rFont val="宋体"/>
            <charset val="134"/>
          </rPr>
          <t xml:space="preserve">
2002243 6/12 1008pcs
</t>
        </r>
      </text>
    </comment>
    <comment ref="AI152" authorId="0">
      <text>
        <r>
          <rPr>
            <b/>
            <sz val="9"/>
            <rFont val="宋体"/>
            <charset val="134"/>
          </rPr>
          <t>Administrator:</t>
        </r>
        <r>
          <rPr>
            <sz val="9"/>
            <rFont val="宋体"/>
            <charset val="134"/>
          </rPr>
          <t xml:space="preserve">
2002243 6/12 1008pcs</t>
        </r>
      </text>
    </comment>
    <comment ref="AI153" authorId="0">
      <text>
        <r>
          <rPr>
            <b/>
            <sz val="9"/>
            <rFont val="宋体"/>
            <charset val="134"/>
          </rPr>
          <t>Administrator:</t>
        </r>
        <r>
          <rPr>
            <sz val="9"/>
            <rFont val="宋体"/>
            <charset val="134"/>
          </rPr>
          <t xml:space="preserve">
2002276 6/9 800pcs罗3B8</t>
        </r>
      </text>
    </comment>
    <comment ref="AL153" authorId="0">
      <text>
        <r>
          <rPr>
            <b/>
            <sz val="9"/>
            <rFont val="宋体"/>
            <charset val="134"/>
          </rPr>
          <t>Administrator:</t>
        </r>
        <r>
          <rPr>
            <sz val="9"/>
            <rFont val="宋体"/>
            <charset val="134"/>
          </rPr>
          <t xml:space="preserve">
5/14 上进口商贴纸800pcs
5/24 上价标贴纸800pcs
5/26 上客供HU贴纸16pcs
客供AS贴纸16pcs</t>
        </r>
      </text>
    </comment>
    <comment ref="AI154" authorId="0">
      <text>
        <r>
          <rPr>
            <b/>
            <sz val="9"/>
            <rFont val="宋体"/>
            <charset val="134"/>
          </rPr>
          <t>Administrator:</t>
        </r>
        <r>
          <rPr>
            <sz val="9"/>
            <rFont val="宋体"/>
            <charset val="134"/>
          </rPr>
          <t xml:space="preserve">
2000801 5/24 7200pcs</t>
        </r>
      </text>
    </comment>
    <comment ref="AL154" authorId="0">
      <text>
        <r>
          <rPr>
            <b/>
            <sz val="9"/>
            <rFont val="宋体"/>
            <charset val="134"/>
          </rPr>
          <t>Administrator:</t>
        </r>
        <r>
          <rPr>
            <sz val="9"/>
            <rFont val="宋体"/>
            <charset val="134"/>
          </rPr>
          <t xml:space="preserve">
5/14 上进口含意大利环保贴纸7200pcs
5/14 展示架条码贴纸80pcs
展示架条码贴纸130pcs</t>
        </r>
      </text>
    </comment>
    <comment ref="AI155" authorId="0">
      <text>
        <r>
          <rPr>
            <b/>
            <sz val="9"/>
            <rFont val="宋体"/>
            <charset val="134"/>
          </rPr>
          <t>Administrator:</t>
        </r>
        <r>
          <rPr>
            <sz val="9"/>
            <rFont val="宋体"/>
            <charset val="134"/>
          </rPr>
          <t xml:space="preserve">
2002465 5/29 2520pcs莫4B9送回半成品车间混装</t>
        </r>
      </text>
    </comment>
    <comment ref="AI156" authorId="0">
      <text>
        <r>
          <rPr>
            <b/>
            <sz val="9"/>
            <rFont val="宋体"/>
            <charset val="134"/>
          </rPr>
          <t>Administrator:</t>
        </r>
        <r>
          <rPr>
            <sz val="9"/>
            <rFont val="宋体"/>
            <charset val="134"/>
          </rPr>
          <t xml:space="preserve">
2002267 6/10 1248pcs
华3B8</t>
        </r>
      </text>
    </comment>
    <comment ref="AL156" authorId="0">
      <text>
        <r>
          <rPr>
            <b/>
            <sz val="9"/>
            <rFont val="宋体"/>
            <charset val="134"/>
          </rPr>
          <t>Administrator:</t>
        </r>
        <r>
          <rPr>
            <sz val="9"/>
            <rFont val="宋体"/>
            <charset val="134"/>
          </rPr>
          <t xml:space="preserve">
5/12 上空白贴纸1248pcs
EAN条码贴纸1248pcs
警告语贴纸pcs</t>
        </r>
      </text>
    </comment>
    <comment ref="AI157" authorId="0">
      <text>
        <r>
          <rPr>
            <b/>
            <sz val="9"/>
            <rFont val="宋体"/>
            <charset val="134"/>
          </rPr>
          <t>Administrator:</t>
        </r>
        <r>
          <rPr>
            <sz val="9"/>
            <rFont val="宋体"/>
            <charset val="134"/>
          </rPr>
          <t xml:space="preserve">
2000785 5/24 2700pcs东莞混装送回半成品球</t>
        </r>
      </text>
    </comment>
    <comment ref="AL157" authorId="0">
      <text>
        <r>
          <rPr>
            <b/>
            <sz val="9"/>
            <rFont val="宋体"/>
            <charset val="134"/>
          </rPr>
          <t>Administrator:</t>
        </r>
        <r>
          <rPr>
            <sz val="9"/>
            <rFont val="宋体"/>
            <charset val="134"/>
          </rPr>
          <t xml:space="preserve">
5/9 上意大利环保标通用地址贴纸2700pcs</t>
        </r>
      </text>
    </comment>
    <comment ref="AI158" authorId="0">
      <text>
        <r>
          <rPr>
            <b/>
            <sz val="9"/>
            <rFont val="宋体"/>
            <charset val="134"/>
          </rPr>
          <t>Administrator:</t>
        </r>
        <r>
          <rPr>
            <sz val="9"/>
            <rFont val="宋体"/>
            <charset val="134"/>
          </rPr>
          <t xml:space="preserve">
2002318 6/7 20016pcs莫4B8</t>
        </r>
      </text>
    </comment>
    <comment ref="AI159" authorId="0">
      <text>
        <r>
          <rPr>
            <b/>
            <sz val="9"/>
            <rFont val="宋体"/>
            <charset val="134"/>
          </rPr>
          <t>Administrator:</t>
        </r>
        <r>
          <rPr>
            <sz val="9"/>
            <rFont val="宋体"/>
            <charset val="134"/>
          </rPr>
          <t xml:space="preserve">
2002303 6/7 3840pcs
2002318 6/7 20016pcs莫4A5
</t>
        </r>
      </text>
    </comment>
    <comment ref="AI160" authorId="0">
      <text>
        <r>
          <rPr>
            <b/>
            <sz val="9"/>
            <rFont val="宋体"/>
            <charset val="134"/>
          </rPr>
          <t>Administrator:</t>
        </r>
        <r>
          <rPr>
            <sz val="9"/>
            <rFont val="宋体"/>
            <charset val="134"/>
          </rPr>
          <t xml:space="preserve">
 2002353 6/7 19200pcs莫B栋 C7</t>
        </r>
      </text>
    </comment>
    <comment ref="AI161" authorId="0">
      <text>
        <r>
          <rPr>
            <b/>
            <sz val="9"/>
            <rFont val="宋体"/>
            <charset val="134"/>
          </rPr>
          <t>Administrator:</t>
        </r>
        <r>
          <rPr>
            <sz val="9"/>
            <rFont val="宋体"/>
            <charset val="134"/>
          </rPr>
          <t xml:space="preserve">
2002297 6/9 6576pcs莫4-B9</t>
        </r>
      </text>
    </comment>
    <comment ref="AI162" authorId="0">
      <text>
        <r>
          <rPr>
            <b/>
            <sz val="9"/>
            <rFont val="宋体"/>
            <charset val="134"/>
          </rPr>
          <t>Administrator:</t>
        </r>
        <r>
          <rPr>
            <sz val="9"/>
            <rFont val="宋体"/>
            <charset val="134"/>
          </rPr>
          <t xml:space="preserve">
2002318 6/7 20784pcs莫4A5
</t>
        </r>
      </text>
    </comment>
    <comment ref="AI163" authorId="0">
      <text>
        <r>
          <rPr>
            <b/>
            <sz val="9"/>
            <rFont val="宋体"/>
            <charset val="134"/>
          </rPr>
          <t>Administrator:</t>
        </r>
        <r>
          <rPr>
            <sz val="9"/>
            <rFont val="宋体"/>
            <charset val="134"/>
          </rPr>
          <t xml:space="preserve">
2002303 6/7 38400pcs莫4C5</t>
        </r>
      </text>
    </comment>
    <comment ref="AI164" authorId="0">
      <text>
        <r>
          <rPr>
            <b/>
            <sz val="9"/>
            <rFont val="宋体"/>
            <charset val="134"/>
          </rPr>
          <t>Administrator:</t>
        </r>
        <r>
          <rPr>
            <sz val="9"/>
            <rFont val="宋体"/>
            <charset val="134"/>
          </rPr>
          <t xml:space="preserve">
2002267 6/10 1200pcs
华3B8</t>
        </r>
      </text>
    </comment>
    <comment ref="AL164" authorId="0">
      <text>
        <r>
          <rPr>
            <b/>
            <sz val="9"/>
            <rFont val="宋体"/>
            <charset val="134"/>
          </rPr>
          <t>Administrator:</t>
        </r>
        <r>
          <rPr>
            <sz val="9"/>
            <rFont val="宋体"/>
            <charset val="134"/>
          </rPr>
          <t xml:space="preserve">
5/21 上警告语/信息翻译贴纸600pcs
1 袋子警告语贴纸1800pcs
1 袋子警告语贴纸600pcs
说明书警告语贴纸1200pcs
6/3 上袋子警告语贴纸3600pcs</t>
        </r>
      </text>
    </comment>
    <comment ref="AI165" authorId="0">
      <text>
        <r>
          <rPr>
            <b/>
            <sz val="9"/>
            <rFont val="宋体"/>
            <charset val="134"/>
          </rPr>
          <t>Administrator:</t>
        </r>
        <r>
          <rPr>
            <sz val="9"/>
            <rFont val="宋体"/>
            <charset val="134"/>
          </rPr>
          <t xml:space="preserve">
3002287 6/10 3000pcs直走</t>
        </r>
      </text>
    </comment>
    <comment ref="AL165" authorId="0">
      <text>
        <r>
          <rPr>
            <b/>
            <sz val="9"/>
            <rFont val="宋体"/>
            <charset val="134"/>
          </rPr>
          <t>Administrator:</t>
        </r>
        <r>
          <rPr>
            <sz val="9"/>
            <rFont val="宋体"/>
            <charset val="134"/>
          </rPr>
          <t xml:space="preserve">
5/27 上进口商贴纸3000pcs
UPC贴纸3000pcs</t>
        </r>
      </text>
    </comment>
    <comment ref="AI166" authorId="0">
      <text>
        <r>
          <rPr>
            <b/>
            <sz val="9"/>
            <rFont val="宋体"/>
            <charset val="134"/>
          </rPr>
          <t>Administrator:</t>
        </r>
        <r>
          <rPr>
            <sz val="9"/>
            <rFont val="宋体"/>
            <charset val="134"/>
          </rPr>
          <t xml:space="preserve">
2002243 6/12 1200pcs华3B14</t>
        </r>
      </text>
    </comment>
    <comment ref="AI167" authorId="0">
      <text>
        <r>
          <rPr>
            <b/>
            <sz val="9"/>
            <rFont val="宋体"/>
            <charset val="134"/>
          </rPr>
          <t>Administrator:</t>
        </r>
        <r>
          <rPr>
            <sz val="9"/>
            <rFont val="宋体"/>
            <charset val="134"/>
          </rPr>
          <t xml:space="preserve">
2002236 6/12 5044pcs
华3B9</t>
        </r>
      </text>
    </comment>
    <comment ref="AL167" authorId="0">
      <text>
        <r>
          <rPr>
            <b/>
            <sz val="9"/>
            <rFont val="宋体"/>
            <charset val="134"/>
          </rPr>
          <t>Administrator:</t>
        </r>
        <r>
          <rPr>
            <sz val="9"/>
            <rFont val="宋体"/>
            <charset val="134"/>
          </rPr>
          <t xml:space="preserve">
5/19 上进口商贴纸5344pcs
UPC贴纸5344pcs
以上两个同PO共用</t>
        </r>
      </text>
    </comment>
    <comment ref="AI168" authorId="0">
      <text>
        <r>
          <rPr>
            <b/>
            <sz val="9"/>
            <rFont val="宋体"/>
            <charset val="134"/>
          </rPr>
          <t>Administrator:</t>
        </r>
        <r>
          <rPr>
            <sz val="9"/>
            <rFont val="宋体"/>
            <charset val="134"/>
          </rPr>
          <t xml:space="preserve">
2002236 6/12 300pcs
华3</t>
        </r>
      </text>
    </comment>
    <comment ref="AI169" authorId="0">
      <text>
        <r>
          <rPr>
            <b/>
            <sz val="9"/>
            <rFont val="宋体"/>
            <charset val="134"/>
          </rPr>
          <t>Administrator:</t>
        </r>
        <r>
          <rPr>
            <sz val="9"/>
            <rFont val="宋体"/>
            <charset val="134"/>
          </rPr>
          <t xml:space="preserve">
2002260 6/11 6064pcs华3A12</t>
        </r>
      </text>
    </comment>
    <comment ref="AL169" authorId="0">
      <text>
        <r>
          <rPr>
            <b/>
            <sz val="9"/>
            <rFont val="宋体"/>
            <charset val="134"/>
          </rPr>
          <t>Administrator:</t>
        </r>
        <r>
          <rPr>
            <sz val="9"/>
            <rFont val="宋体"/>
            <charset val="134"/>
          </rPr>
          <t xml:space="preserve">
5/12 上客供RFID贴纸6064pcs</t>
        </r>
      </text>
    </comment>
    <comment ref="AI170" authorId="0">
      <text>
        <r>
          <rPr>
            <b/>
            <sz val="9"/>
            <rFont val="宋体"/>
            <charset val="134"/>
          </rPr>
          <t>Administrator:</t>
        </r>
        <r>
          <rPr>
            <sz val="9"/>
            <rFont val="宋体"/>
            <charset val="134"/>
          </rPr>
          <t xml:space="preserve">
2002237 6/11 5232pcs华3A10</t>
        </r>
      </text>
    </comment>
    <comment ref="AL170" authorId="0">
      <text>
        <r>
          <rPr>
            <b/>
            <sz val="9"/>
            <rFont val="宋体"/>
            <charset val="134"/>
          </rPr>
          <t>Administrator:</t>
        </r>
        <r>
          <rPr>
            <sz val="9"/>
            <rFont val="宋体"/>
            <charset val="134"/>
          </rPr>
          <t xml:space="preserve">
5/12 上客供RFID贴纸5232pcs</t>
        </r>
      </text>
    </comment>
    <comment ref="AI171" authorId="0">
      <text>
        <r>
          <rPr>
            <b/>
            <sz val="9"/>
            <rFont val="宋体"/>
            <charset val="134"/>
          </rPr>
          <t>Administrator:</t>
        </r>
        <r>
          <rPr>
            <sz val="9"/>
            <rFont val="宋体"/>
            <charset val="134"/>
          </rPr>
          <t xml:space="preserve">
2002237 6/11 2600pcs华3A28</t>
        </r>
      </text>
    </comment>
    <comment ref="AL171" authorId="0">
      <text>
        <r>
          <rPr>
            <b/>
            <sz val="9"/>
            <rFont val="宋体"/>
            <charset val="134"/>
          </rPr>
          <t>Administrator:</t>
        </r>
        <r>
          <rPr>
            <sz val="9"/>
            <rFont val="宋体"/>
            <charset val="134"/>
          </rPr>
          <t xml:space="preserve">
5/15 上多语警语折叠贴纸25100pcs
三个同PO共用</t>
        </r>
      </text>
    </comment>
    <comment ref="AI172" authorId="0">
      <text>
        <r>
          <rPr>
            <b/>
            <sz val="9"/>
            <rFont val="宋体"/>
            <charset val="134"/>
          </rPr>
          <t>Administrator:</t>
        </r>
        <r>
          <rPr>
            <sz val="9"/>
            <rFont val="宋体"/>
            <charset val="134"/>
          </rPr>
          <t xml:space="preserve">
2002237 6/11 4500pcs华3
B3</t>
        </r>
      </text>
    </comment>
    <comment ref="AI173" authorId="0">
      <text>
        <r>
          <rPr>
            <b/>
            <sz val="9"/>
            <rFont val="宋体"/>
            <charset val="134"/>
          </rPr>
          <t>Administrator:</t>
        </r>
        <r>
          <rPr>
            <sz val="9"/>
            <rFont val="宋体"/>
            <charset val="134"/>
          </rPr>
          <t xml:space="preserve">
2002354 6/6 2700pcs罗 1-F4</t>
        </r>
      </text>
    </comment>
    <comment ref="AL174" authorId="0">
      <text>
        <r>
          <rPr>
            <b/>
            <sz val="9"/>
            <rFont val="宋体"/>
            <charset val="134"/>
          </rPr>
          <t>Administrator:</t>
        </r>
        <r>
          <rPr>
            <sz val="9"/>
            <rFont val="宋体"/>
            <charset val="134"/>
          </rPr>
          <t xml:space="preserve">
5/26 上多语警语折叠贴纸7300pcs
以上三个同PO共用
5/27 上EAN条码贴纸7344pcs
三个同PO共用
5/30 上多语折叠贴纸4560pcs</t>
        </r>
      </text>
    </comment>
    <comment ref="AI175" authorId="0">
      <text>
        <r>
          <rPr>
            <b/>
            <sz val="9"/>
            <rFont val="宋体"/>
            <charset val="134"/>
          </rPr>
          <t>Administrator:</t>
        </r>
        <r>
          <rPr>
            <sz val="9"/>
            <rFont val="宋体"/>
            <charset val="134"/>
          </rPr>
          <t xml:space="preserve">
2002236 6/12 12425pcs
华3A23
2002212 6/13 200pcs华3A23</t>
        </r>
      </text>
    </comment>
    <comment ref="AL175" authorId="0">
      <text>
        <r>
          <rPr>
            <b/>
            <sz val="9"/>
            <rFont val="宋体"/>
            <charset val="134"/>
          </rPr>
          <t>Administrator:</t>
        </r>
        <r>
          <rPr>
            <sz val="9"/>
            <rFont val="宋体"/>
            <charset val="134"/>
          </rPr>
          <t xml:space="preserve">
5/30 上客供外箱条码贴纸510pcs
</t>
        </r>
      </text>
    </comment>
    <comment ref="AI176" authorId="0">
      <text>
        <r>
          <rPr>
            <b/>
            <sz val="9"/>
            <rFont val="宋体"/>
            <charset val="134"/>
          </rPr>
          <t>Administrator:</t>
        </r>
        <r>
          <rPr>
            <sz val="9"/>
            <rFont val="宋体"/>
            <charset val="134"/>
          </rPr>
          <t xml:space="preserve">
2002199 6/13 9893pcs华3A10</t>
        </r>
      </text>
    </comment>
    <comment ref="AL176" authorId="0">
      <text>
        <r>
          <rPr>
            <b/>
            <sz val="9"/>
            <rFont val="宋体"/>
            <charset val="134"/>
          </rPr>
          <t>Administrator:</t>
        </r>
        <r>
          <rPr>
            <sz val="9"/>
            <rFont val="宋体"/>
            <charset val="134"/>
          </rPr>
          <t xml:space="preserve">
5/30 上多语折叠贴纸9893pcs
</t>
        </r>
      </text>
    </comment>
    <comment ref="AI177" authorId="0">
      <text>
        <r>
          <rPr>
            <b/>
            <sz val="9"/>
            <rFont val="宋体"/>
            <charset val="134"/>
          </rPr>
          <t>Administrator:</t>
        </r>
        <r>
          <rPr>
            <sz val="9"/>
            <rFont val="宋体"/>
            <charset val="134"/>
          </rPr>
          <t xml:space="preserve">
2002236 6/12 2327pcs华3A16</t>
        </r>
      </text>
    </comment>
    <comment ref="AL177" authorId="0">
      <text>
        <r>
          <rPr>
            <b/>
            <sz val="9"/>
            <rFont val="宋体"/>
            <charset val="134"/>
          </rPr>
          <t>Administrator:</t>
        </r>
        <r>
          <rPr>
            <sz val="9"/>
            <rFont val="宋体"/>
            <charset val="134"/>
          </rPr>
          <t xml:space="preserve">
5/14 进口商贴纸2327pcs</t>
        </r>
      </text>
    </comment>
    <comment ref="AI178" authorId="0">
      <text>
        <r>
          <rPr>
            <b/>
            <sz val="9"/>
            <rFont val="宋体"/>
            <charset val="134"/>
          </rPr>
          <t>Administrator:</t>
        </r>
        <r>
          <rPr>
            <sz val="9"/>
            <rFont val="宋体"/>
            <charset val="134"/>
          </rPr>
          <t xml:space="preserve">
2002212 6/13 12375pcs华3A20
2002216 6/13 2775pcs华3A20</t>
        </r>
      </text>
    </comment>
    <comment ref="AL178" authorId="0">
      <text>
        <r>
          <rPr>
            <b/>
            <sz val="9"/>
            <rFont val="宋体"/>
            <charset val="134"/>
          </rPr>
          <t>Administrator:</t>
        </r>
        <r>
          <rPr>
            <sz val="9"/>
            <rFont val="宋体"/>
            <charset val="134"/>
          </rPr>
          <t xml:space="preserve">
5/30 上客供外箱条码贴纸612pcs
</t>
        </r>
      </text>
    </comment>
    <comment ref="AI179" authorId="0">
      <text>
        <r>
          <rPr>
            <b/>
            <sz val="9"/>
            <rFont val="宋体"/>
            <charset val="134"/>
          </rPr>
          <t>Administrator:</t>
        </r>
        <r>
          <rPr>
            <sz val="9"/>
            <rFont val="宋体"/>
            <charset val="134"/>
          </rPr>
          <t xml:space="preserve">
2002212 6/13 20850pcs华3A21
2002205 6/14 25pcs华3A21</t>
        </r>
      </text>
    </comment>
    <comment ref="AL179" authorId="0">
      <text>
        <r>
          <rPr>
            <b/>
            <sz val="9"/>
            <rFont val="宋体"/>
            <charset val="134"/>
          </rPr>
          <t>Administrator:</t>
        </r>
        <r>
          <rPr>
            <sz val="9"/>
            <rFont val="宋体"/>
            <charset val="134"/>
          </rPr>
          <t xml:space="preserve">
5/30 上客供外箱条码贴纸843pcs
</t>
        </r>
      </text>
    </comment>
    <comment ref="AI180" authorId="0">
      <text>
        <r>
          <rPr>
            <b/>
            <sz val="9"/>
            <rFont val="宋体"/>
            <charset val="134"/>
          </rPr>
          <t>Administrator:</t>
        </r>
        <r>
          <rPr>
            <sz val="9"/>
            <rFont val="宋体"/>
            <charset val="134"/>
          </rPr>
          <t xml:space="preserve">
2002216 6/13 17400pcs华3A21</t>
        </r>
      </text>
    </comment>
    <comment ref="AI181" authorId="0">
      <text>
        <r>
          <rPr>
            <b/>
            <sz val="9"/>
            <rFont val="宋体"/>
            <charset val="134"/>
          </rPr>
          <t>Administrator:</t>
        </r>
        <r>
          <rPr>
            <sz val="9"/>
            <rFont val="宋体"/>
            <charset val="134"/>
          </rPr>
          <t xml:space="preserve">
2002155 6/17 26pcs张全 一楼</t>
        </r>
      </text>
    </comment>
    <comment ref="AI183" authorId="0">
      <text>
        <r>
          <rPr>
            <b/>
            <sz val="9"/>
            <rFont val="宋体"/>
            <charset val="134"/>
          </rPr>
          <t>Administrator:</t>
        </r>
        <r>
          <rPr>
            <sz val="9"/>
            <rFont val="宋体"/>
            <charset val="134"/>
          </rPr>
          <t xml:space="preserve">
2002129 6/18 8450pcs华3A18</t>
        </r>
      </text>
    </comment>
    <comment ref="AI184" authorId="0">
      <text>
        <r>
          <rPr>
            <b/>
            <sz val="9"/>
            <rFont val="宋体"/>
            <charset val="134"/>
          </rPr>
          <t>Administrator:</t>
        </r>
        <r>
          <rPr>
            <sz val="9"/>
            <rFont val="宋体"/>
            <charset val="134"/>
          </rPr>
          <t xml:space="preserve">
2002082 6/18 50pcs
华3A23
2002164 6/18 6200pcs华3A23</t>
        </r>
      </text>
    </comment>
    <comment ref="AL184" authorId="0">
      <text>
        <r>
          <rPr>
            <b/>
            <sz val="9"/>
            <rFont val="宋体"/>
            <charset val="134"/>
          </rPr>
          <t>Administrator:</t>
        </r>
        <r>
          <rPr>
            <sz val="9"/>
            <rFont val="宋体"/>
            <charset val="134"/>
          </rPr>
          <t xml:space="preserve">
5/7 上客人款号EAN条码贴纸6250pcs
冰棒款说明书荷兰语贴纸2084pcs
蛋糕款说明书荷兰语贴纸2084pcs
布丁款说明书荷兰语贴纸2084pcs</t>
        </r>
      </text>
    </comment>
    <comment ref="AI185" authorId="0">
      <text>
        <r>
          <rPr>
            <b/>
            <sz val="9"/>
            <rFont val="宋体"/>
            <charset val="134"/>
          </rPr>
          <t>Administrator:</t>
        </r>
        <r>
          <rPr>
            <sz val="9"/>
            <rFont val="宋体"/>
            <charset val="134"/>
          </rPr>
          <t xml:space="preserve">
2002199 6/13 3328pcs华3B6</t>
        </r>
      </text>
    </comment>
    <comment ref="AL185" authorId="0">
      <text>
        <r>
          <rPr>
            <b/>
            <sz val="9"/>
            <rFont val="宋体"/>
            <charset val="134"/>
          </rPr>
          <t>Administrator:</t>
        </r>
        <r>
          <rPr>
            <sz val="9"/>
            <rFont val="宋体"/>
            <charset val="134"/>
          </rPr>
          <t xml:space="preserve">
5/24 上进口商贴纸3328pcs
说明书贴纸3328pcs
</t>
        </r>
      </text>
    </comment>
    <comment ref="AI186" authorId="0">
      <text>
        <r>
          <rPr>
            <b/>
            <sz val="9"/>
            <rFont val="宋体"/>
            <charset val="134"/>
          </rPr>
          <t>Administrator:</t>
        </r>
        <r>
          <rPr>
            <sz val="9"/>
            <rFont val="宋体"/>
            <charset val="134"/>
          </rPr>
          <t xml:space="preserve">
2002152 6/16 1508pcs
华3A27</t>
        </r>
      </text>
    </comment>
    <comment ref="AL186" authorId="0">
      <text>
        <r>
          <rPr>
            <b/>
            <sz val="9"/>
            <rFont val="宋体"/>
            <charset val="134"/>
          </rPr>
          <t>Administrator:</t>
        </r>
        <r>
          <rPr>
            <sz val="9"/>
            <rFont val="宋体"/>
            <charset val="134"/>
          </rPr>
          <t xml:space="preserve">
5/20 上白色防盗贴纸1508pcs
5/23 上UPC条码贴纸1508pcs
6/5 KM单116pcs</t>
        </r>
      </text>
    </comment>
    <comment ref="AI187" authorId="0">
      <text>
        <r>
          <rPr>
            <b/>
            <sz val="9"/>
            <rFont val="宋体"/>
            <charset val="134"/>
          </rPr>
          <t>Administrator:</t>
        </r>
        <r>
          <rPr>
            <sz val="9"/>
            <rFont val="宋体"/>
            <charset val="134"/>
          </rPr>
          <t xml:space="preserve">
3001792 6/27 3400pcs直走</t>
        </r>
      </text>
    </comment>
    <comment ref="AI188" authorId="0">
      <text>
        <r>
          <rPr>
            <b/>
            <sz val="9"/>
            <rFont val="宋体"/>
            <charset val="134"/>
          </rPr>
          <t>Administrator:</t>
        </r>
        <r>
          <rPr>
            <sz val="9"/>
            <rFont val="宋体"/>
            <charset val="134"/>
          </rPr>
          <t xml:space="preserve">
2002129 6800pcs华一F3</t>
        </r>
      </text>
    </comment>
    <comment ref="AI189" authorId="0">
      <text>
        <r>
          <rPr>
            <b/>
            <sz val="9"/>
            <rFont val="宋体"/>
            <charset val="134"/>
          </rPr>
          <t>Administrator:</t>
        </r>
        <r>
          <rPr>
            <sz val="9"/>
            <rFont val="宋体"/>
            <charset val="134"/>
          </rPr>
          <t xml:space="preserve">
2002128 6/18 4256pcs
华3A13</t>
        </r>
      </text>
    </comment>
    <comment ref="AL189" authorId="0">
      <text>
        <r>
          <rPr>
            <b/>
            <sz val="9"/>
            <rFont val="宋体"/>
            <charset val="134"/>
          </rPr>
          <t>Administrator:</t>
        </r>
        <r>
          <rPr>
            <sz val="9"/>
            <rFont val="宋体"/>
            <charset val="134"/>
          </rPr>
          <t xml:space="preserve">
5/12 上客供RFID贴纸4256pcs</t>
        </r>
      </text>
    </comment>
    <comment ref="AI190" authorId="0">
      <text>
        <r>
          <rPr>
            <b/>
            <sz val="9"/>
            <rFont val="宋体"/>
            <charset val="134"/>
          </rPr>
          <t>Administrator:</t>
        </r>
        <r>
          <rPr>
            <sz val="9"/>
            <rFont val="宋体"/>
            <charset val="134"/>
          </rPr>
          <t xml:space="preserve">
2002128 6/18 4096pcs华3A13</t>
        </r>
      </text>
    </comment>
    <comment ref="AL190" authorId="0">
      <text>
        <r>
          <rPr>
            <b/>
            <sz val="9"/>
            <rFont val="宋体"/>
            <charset val="134"/>
          </rPr>
          <t>Administrator:</t>
        </r>
        <r>
          <rPr>
            <sz val="9"/>
            <rFont val="宋体"/>
            <charset val="134"/>
          </rPr>
          <t xml:space="preserve">
5/12 上客供RFID贴纸4096pcs</t>
        </r>
      </text>
    </comment>
    <comment ref="AI191" authorId="0">
      <text>
        <r>
          <rPr>
            <b/>
            <sz val="9"/>
            <rFont val="宋体"/>
            <charset val="134"/>
          </rPr>
          <t>Administrator:</t>
        </r>
        <r>
          <rPr>
            <sz val="9"/>
            <rFont val="宋体"/>
            <charset val="134"/>
          </rPr>
          <t xml:space="preserve">
2002128 6/18 6544pcs
华3A10</t>
        </r>
      </text>
    </comment>
    <comment ref="AL191" authorId="0">
      <text>
        <r>
          <rPr>
            <b/>
            <sz val="9"/>
            <rFont val="宋体"/>
            <charset val="134"/>
          </rPr>
          <t>Administrator:</t>
        </r>
        <r>
          <rPr>
            <sz val="9"/>
            <rFont val="宋体"/>
            <charset val="134"/>
          </rPr>
          <t xml:space="preserve">
5/12 上客供RFID贴纸6544pcs</t>
        </r>
      </text>
    </comment>
    <comment ref="AI192" authorId="0">
      <text>
        <r>
          <rPr>
            <b/>
            <sz val="9"/>
            <rFont val="宋体"/>
            <charset val="134"/>
          </rPr>
          <t>Administrator:</t>
        </r>
        <r>
          <rPr>
            <sz val="9"/>
            <rFont val="宋体"/>
            <charset val="134"/>
          </rPr>
          <t xml:space="preserve">
2002128 6/18 4896pcs
华3A13</t>
        </r>
      </text>
    </comment>
    <comment ref="AL192" authorId="0">
      <text>
        <r>
          <rPr>
            <b/>
            <sz val="9"/>
            <rFont val="宋体"/>
            <charset val="134"/>
          </rPr>
          <t>Administrator:</t>
        </r>
        <r>
          <rPr>
            <sz val="9"/>
            <rFont val="宋体"/>
            <charset val="134"/>
          </rPr>
          <t xml:space="preserve">
5/12 上客供RFID贴纸4896pcs</t>
        </r>
      </text>
    </comment>
    <comment ref="AI193" authorId="0">
      <text>
        <r>
          <rPr>
            <b/>
            <sz val="9"/>
            <rFont val="宋体"/>
            <charset val="134"/>
          </rPr>
          <t>Administrator:</t>
        </r>
        <r>
          <rPr>
            <sz val="9"/>
            <rFont val="宋体"/>
            <charset val="134"/>
          </rPr>
          <t xml:space="preserve">
2002128 6/18 5808pcs
华3A13</t>
        </r>
      </text>
    </comment>
    <comment ref="AL193" authorId="0">
      <text>
        <r>
          <rPr>
            <b/>
            <sz val="9"/>
            <rFont val="宋体"/>
            <charset val="134"/>
          </rPr>
          <t>Administrator:</t>
        </r>
        <r>
          <rPr>
            <sz val="9"/>
            <rFont val="宋体"/>
            <charset val="134"/>
          </rPr>
          <t xml:space="preserve">
5/12 上客供RFID贴纸5808pcs</t>
        </r>
      </text>
    </comment>
    <comment ref="AI194" authorId="0">
      <text>
        <r>
          <rPr>
            <b/>
            <sz val="9"/>
            <rFont val="宋体"/>
            <charset val="134"/>
          </rPr>
          <t>Administrator:</t>
        </r>
        <r>
          <rPr>
            <sz val="9"/>
            <rFont val="宋体"/>
            <charset val="134"/>
          </rPr>
          <t xml:space="preserve">
2002152 6/16 1755pcs
华3A28</t>
        </r>
      </text>
    </comment>
    <comment ref="AI195" authorId="0">
      <text>
        <r>
          <rPr>
            <b/>
            <sz val="9"/>
            <rFont val="宋体"/>
            <charset val="134"/>
          </rPr>
          <t>Administrator:</t>
        </r>
        <r>
          <rPr>
            <sz val="9"/>
            <rFont val="宋体"/>
            <charset val="134"/>
          </rPr>
          <t xml:space="preserve">
2002152 6/16 3250pcs直走</t>
        </r>
      </text>
    </comment>
    <comment ref="AI196" authorId="0">
      <text>
        <r>
          <rPr>
            <b/>
            <sz val="9"/>
            <rFont val="宋体"/>
            <charset val="134"/>
          </rPr>
          <t>Administrator:</t>
        </r>
        <r>
          <rPr>
            <sz val="9"/>
            <rFont val="宋体"/>
            <charset val="134"/>
          </rPr>
          <t xml:space="preserve">
2002123 6/18 5625pcs华3A32</t>
        </r>
      </text>
    </comment>
    <comment ref="AI197" authorId="0">
      <text>
        <r>
          <rPr>
            <b/>
            <sz val="9"/>
            <rFont val="宋体"/>
            <charset val="134"/>
          </rPr>
          <t>Administrator:</t>
        </r>
        <r>
          <rPr>
            <sz val="9"/>
            <rFont val="宋体"/>
            <charset val="134"/>
          </rPr>
          <t xml:space="preserve">
2002126 6/18 6625pcs华3A20</t>
        </r>
      </text>
    </comment>
    <comment ref="AL197" authorId="0">
      <text>
        <r>
          <rPr>
            <b/>
            <sz val="9"/>
            <rFont val="宋体"/>
            <charset val="134"/>
          </rPr>
          <t>Administrator:</t>
        </r>
        <r>
          <rPr>
            <sz val="9"/>
            <rFont val="宋体"/>
            <charset val="134"/>
          </rPr>
          <t xml:space="preserve">
5/30 上UPC贴纸490pcs</t>
        </r>
      </text>
    </comment>
    <comment ref="AI198" authorId="0">
      <text>
        <r>
          <rPr>
            <b/>
            <sz val="9"/>
            <rFont val="宋体"/>
            <charset val="134"/>
          </rPr>
          <t>Administrator:</t>
        </r>
        <r>
          <rPr>
            <sz val="9"/>
            <rFont val="宋体"/>
            <charset val="134"/>
          </rPr>
          <t xml:space="preserve">
2001981 6/23 950pcs
王3-C1
3001799 6/25 50pcs直走</t>
        </r>
      </text>
    </comment>
    <comment ref="AL198" authorId="0">
      <text>
        <r>
          <rPr>
            <b/>
            <sz val="9"/>
            <rFont val="宋体"/>
            <charset val="134"/>
          </rPr>
          <t>Administrator:</t>
        </r>
        <r>
          <rPr>
            <sz val="9"/>
            <rFont val="宋体"/>
            <charset val="134"/>
          </rPr>
          <t xml:space="preserve">
5/30 上UPC条码贴纸1000pcs</t>
        </r>
      </text>
    </comment>
    <comment ref="AI199" authorId="0">
      <text>
        <r>
          <rPr>
            <b/>
            <sz val="9"/>
            <rFont val="宋体"/>
            <charset val="134"/>
          </rPr>
          <t>Administrator:</t>
        </r>
        <r>
          <rPr>
            <sz val="9"/>
            <rFont val="宋体"/>
            <charset val="134"/>
          </rPr>
          <t xml:space="preserve">
2000845 6/20 60pcs华3A25
2000830 6/18 840pcs莫4B4</t>
        </r>
      </text>
    </comment>
    <comment ref="AI201" authorId="0">
      <text>
        <r>
          <rPr>
            <b/>
            <sz val="9"/>
            <rFont val="宋体"/>
            <charset val="134"/>
          </rPr>
          <t>Administrator:</t>
        </r>
        <r>
          <rPr>
            <sz val="9"/>
            <rFont val="宋体"/>
            <charset val="134"/>
          </rPr>
          <t xml:space="preserve">
2002129 6/18 6700pcs华3A18</t>
        </r>
      </text>
    </comment>
    <comment ref="AL201" authorId="0">
      <text>
        <r>
          <rPr>
            <b/>
            <sz val="9"/>
            <rFont val="宋体"/>
            <charset val="134"/>
          </rPr>
          <t>Administrator:</t>
        </r>
        <r>
          <rPr>
            <sz val="9"/>
            <rFont val="宋体"/>
            <charset val="134"/>
          </rPr>
          <t xml:space="preserve">
5/27 上进口商贴纸6700pcs
UPC贴纸6700pcs</t>
        </r>
      </text>
    </comment>
    <comment ref="AI202" authorId="0">
      <text>
        <r>
          <rPr>
            <b/>
            <sz val="9"/>
            <rFont val="宋体"/>
            <charset val="134"/>
          </rPr>
          <t>Administrator:</t>
        </r>
        <r>
          <rPr>
            <sz val="9"/>
            <rFont val="宋体"/>
            <charset val="134"/>
          </rPr>
          <t xml:space="preserve">
2002186 6/19 1248pcs华3A15</t>
        </r>
      </text>
    </comment>
    <comment ref="AI203" authorId="0">
      <text>
        <r>
          <rPr>
            <b/>
            <sz val="9"/>
            <rFont val="宋体"/>
            <charset val="134"/>
          </rPr>
          <t>Administrator:</t>
        </r>
        <r>
          <rPr>
            <sz val="9"/>
            <rFont val="宋体"/>
            <charset val="134"/>
          </rPr>
          <t xml:space="preserve">
25002186 6/19 720pcs华3A15</t>
        </r>
      </text>
    </comment>
    <comment ref="AI204" authorId="0">
      <text>
        <r>
          <rPr>
            <b/>
            <sz val="9"/>
            <rFont val="宋体"/>
            <charset val="134"/>
          </rPr>
          <t>Administrator:</t>
        </r>
        <r>
          <rPr>
            <sz val="9"/>
            <rFont val="宋体"/>
            <charset val="134"/>
          </rPr>
          <t xml:space="preserve">
2002046 6/21 1000pcs王1-B10</t>
        </r>
      </text>
    </comment>
    <comment ref="AL204" authorId="0">
      <text>
        <r>
          <rPr>
            <b/>
            <sz val="9"/>
            <rFont val="宋体"/>
            <charset val="134"/>
          </rPr>
          <t>Administrator:</t>
        </r>
        <r>
          <rPr>
            <sz val="9"/>
            <rFont val="宋体"/>
            <charset val="134"/>
          </rPr>
          <t xml:space="preserve">
5/27 上UPC贴纸1000pcs</t>
        </r>
      </text>
    </comment>
    <comment ref="AI205" authorId="0">
      <text>
        <r>
          <rPr>
            <b/>
            <sz val="9"/>
            <rFont val="宋体"/>
            <charset val="134"/>
          </rPr>
          <t>Administrator:</t>
        </r>
        <r>
          <rPr>
            <sz val="9"/>
            <rFont val="宋体"/>
            <charset val="134"/>
          </rPr>
          <t xml:space="preserve">
2002046 6/21 2940pcs王1-B10
2002050 6/21 60pcs 王</t>
        </r>
      </text>
    </comment>
    <comment ref="AL205" authorId="0">
      <text>
        <r>
          <rPr>
            <b/>
            <sz val="9"/>
            <rFont val="宋体"/>
            <charset val="134"/>
          </rPr>
          <t>Administrator:</t>
        </r>
        <r>
          <rPr>
            <sz val="9"/>
            <rFont val="宋体"/>
            <charset val="134"/>
          </rPr>
          <t xml:space="preserve">
5/30 上警语/进口商贴纸3000pcs</t>
        </r>
      </text>
    </comment>
    <comment ref="AI206" authorId="0">
      <text>
        <r>
          <rPr>
            <b/>
            <sz val="9"/>
            <rFont val="宋体"/>
            <charset val="134"/>
          </rPr>
          <t>Administrator:</t>
        </r>
        <r>
          <rPr>
            <sz val="9"/>
            <rFont val="宋体"/>
            <charset val="134"/>
          </rPr>
          <t xml:space="preserve">
20002062 6/20 16000pcs兴信</t>
        </r>
      </text>
    </comment>
    <comment ref="AL206" authorId="0">
      <text>
        <r>
          <rPr>
            <b/>
            <sz val="9"/>
            <rFont val="宋体"/>
            <charset val="134"/>
          </rPr>
          <t>Administrator:</t>
        </r>
        <r>
          <rPr>
            <sz val="9"/>
            <rFont val="宋体"/>
            <charset val="134"/>
          </rPr>
          <t xml:space="preserve">
5/20 上UPC贴纸16000pcs
进口商贴纸16000pcs</t>
        </r>
      </text>
    </comment>
    <comment ref="AI207" authorId="0">
      <text>
        <r>
          <rPr>
            <b/>
            <sz val="9"/>
            <rFont val="宋体"/>
            <charset val="134"/>
          </rPr>
          <t>Administrator:</t>
        </r>
        <r>
          <rPr>
            <sz val="9"/>
            <rFont val="宋体"/>
            <charset val="134"/>
          </rPr>
          <t xml:space="preserve">
2002187 6/19 2050pcs直走</t>
        </r>
      </text>
    </comment>
    <comment ref="AL207" authorId="0">
      <text>
        <r>
          <rPr>
            <b/>
            <sz val="9"/>
            <rFont val="宋体"/>
            <charset val="134"/>
          </rPr>
          <t>Administrator:</t>
        </r>
        <r>
          <rPr>
            <sz val="9"/>
            <rFont val="宋体"/>
            <charset val="134"/>
          </rPr>
          <t xml:space="preserve">
5/29 上进口商贴纸2050pcs
UPC贴纸2050pcs
</t>
        </r>
      </text>
    </comment>
    <comment ref="AI208" authorId="0">
      <text>
        <r>
          <rPr>
            <b/>
            <sz val="9"/>
            <rFont val="宋体"/>
            <charset val="134"/>
          </rPr>
          <t>Administrator:</t>
        </r>
        <r>
          <rPr>
            <sz val="9"/>
            <rFont val="宋体"/>
            <charset val="134"/>
          </rPr>
          <t xml:space="preserve">
2002515 6/7 600pcs送回半成品球东莞混装莫4A1
2002495 6/14 1860pcs送回半成品混装
2000834 6/21 2428pcs送回半成品混装</t>
        </r>
      </text>
    </comment>
    <comment ref="AI210" authorId="0">
      <text>
        <r>
          <rPr>
            <b/>
            <sz val="9"/>
            <rFont val="宋体"/>
            <charset val="134"/>
          </rPr>
          <t>Administrator:</t>
        </r>
        <r>
          <rPr>
            <sz val="9"/>
            <rFont val="宋体"/>
            <charset val="134"/>
          </rPr>
          <t xml:space="preserve">
2002187 6/19 4368pcs
华3A21</t>
        </r>
      </text>
    </comment>
    <comment ref="AL210" authorId="0">
      <text>
        <r>
          <rPr>
            <b/>
            <sz val="9"/>
            <rFont val="宋体"/>
            <charset val="134"/>
          </rPr>
          <t>Administrator:</t>
        </r>
        <r>
          <rPr>
            <sz val="9"/>
            <rFont val="宋体"/>
            <charset val="134"/>
          </rPr>
          <t xml:space="preserve">
5/26 上德语警告语贴纸4368pcs
5/30 上客供价格贴纸4368pcs</t>
        </r>
      </text>
    </comment>
    <comment ref="AI211" authorId="0">
      <text>
        <r>
          <rPr>
            <b/>
            <sz val="9"/>
            <rFont val="宋体"/>
            <charset val="134"/>
          </rPr>
          <t>Administrator:</t>
        </r>
        <r>
          <rPr>
            <sz val="9"/>
            <rFont val="宋体"/>
            <charset val="134"/>
          </rPr>
          <t xml:space="preserve">
2001992 6/23 10000pcs王 3-C7</t>
        </r>
      </text>
    </comment>
    <comment ref="AL211" authorId="0">
      <text>
        <r>
          <rPr>
            <b/>
            <sz val="9"/>
            <rFont val="宋体"/>
            <charset val="134"/>
          </rPr>
          <t>Administrator:</t>
        </r>
        <r>
          <rPr>
            <sz val="9"/>
            <rFont val="宋体"/>
            <charset val="134"/>
          </rPr>
          <t xml:space="preserve">
6/13 上进口商贴纸10000pcsUPC UPC贴纸10000pcs</t>
        </r>
      </text>
    </comment>
    <comment ref="AI212" authorId="0">
      <text>
        <r>
          <rPr>
            <b/>
            <sz val="9"/>
            <rFont val="宋体"/>
            <charset val="134"/>
          </rPr>
          <t>Administrator:</t>
        </r>
        <r>
          <rPr>
            <sz val="9"/>
            <rFont val="宋体"/>
            <charset val="134"/>
          </rPr>
          <t xml:space="preserve">
2001989 6/24 550pcs王B-10</t>
        </r>
      </text>
    </comment>
    <comment ref="AL212" authorId="0">
      <text>
        <r>
          <rPr>
            <b/>
            <sz val="9"/>
            <rFont val="宋体"/>
            <charset val="134"/>
          </rPr>
          <t>Administrator:</t>
        </r>
        <r>
          <rPr>
            <sz val="9"/>
            <rFont val="宋体"/>
            <charset val="134"/>
          </rPr>
          <t xml:space="preserve">
6/13 上SNIperLABEL贴纸550pcs
UPC条码贴纸550pcs
收藏指南贴纸550pcs</t>
        </r>
      </text>
    </comment>
    <comment ref="AI213" authorId="0">
      <text>
        <r>
          <rPr>
            <b/>
            <sz val="9"/>
            <rFont val="宋体"/>
            <charset val="134"/>
          </rPr>
          <t>Administrator:</t>
        </r>
        <r>
          <rPr>
            <sz val="9"/>
            <rFont val="宋体"/>
            <charset val="134"/>
          </rPr>
          <t xml:space="preserve">
2001981 6/23 400pcs
王3-C1</t>
        </r>
      </text>
    </comment>
    <comment ref="AI214" authorId="0">
      <text>
        <r>
          <rPr>
            <b/>
            <sz val="9"/>
            <rFont val="宋体"/>
            <charset val="134"/>
          </rPr>
          <t>Administrator:</t>
        </r>
        <r>
          <rPr>
            <sz val="9"/>
            <rFont val="宋体"/>
            <charset val="134"/>
          </rPr>
          <t xml:space="preserve">
2001981 6/23 1989pcs王1-B10</t>
        </r>
      </text>
    </comment>
    <comment ref="AI215" authorId="0">
      <text>
        <r>
          <rPr>
            <b/>
            <sz val="9"/>
            <rFont val="宋体"/>
            <charset val="134"/>
          </rPr>
          <t>Administrator:</t>
        </r>
        <r>
          <rPr>
            <sz val="9"/>
            <rFont val="宋体"/>
            <charset val="134"/>
          </rPr>
          <t xml:space="preserve">
2002046 6/21 1625pcs王1-小房间
2001989 6/24 25pcs王1-1-01</t>
        </r>
      </text>
    </comment>
    <comment ref="AI216" authorId="0">
      <text>
        <r>
          <rPr>
            <b/>
            <sz val="9"/>
            <rFont val="宋体"/>
            <charset val="134"/>
          </rPr>
          <t>Administrator:</t>
        </r>
        <r>
          <rPr>
            <sz val="9"/>
            <rFont val="宋体"/>
            <charset val="134"/>
          </rPr>
          <t xml:space="preserve">
2002186 6/19 7600pcs
华3A10</t>
        </r>
      </text>
    </comment>
    <comment ref="AI217" authorId="0">
      <text>
        <r>
          <rPr>
            <b/>
            <sz val="9"/>
            <rFont val="宋体"/>
            <charset val="134"/>
          </rPr>
          <t>Administrator:</t>
        </r>
        <r>
          <rPr>
            <sz val="9"/>
            <rFont val="宋体"/>
            <charset val="134"/>
          </rPr>
          <t xml:space="preserve">
2002186 6/19 9008pcs
华3A7</t>
        </r>
      </text>
    </comment>
    <comment ref="AI218" authorId="0">
      <text>
        <r>
          <rPr>
            <b/>
            <sz val="9"/>
            <rFont val="宋体"/>
            <charset val="134"/>
          </rPr>
          <t>Administrator:</t>
        </r>
        <r>
          <rPr>
            <sz val="9"/>
            <rFont val="宋体"/>
            <charset val="134"/>
          </rPr>
          <t xml:space="preserve">
2001981 6/23 4000pcs王3-C11</t>
        </r>
      </text>
    </comment>
    <comment ref="AI219" authorId="0">
      <text>
        <r>
          <rPr>
            <b/>
            <sz val="9"/>
            <rFont val="宋体"/>
            <charset val="134"/>
          </rPr>
          <t>Administrator:</t>
        </r>
        <r>
          <rPr>
            <sz val="9"/>
            <rFont val="宋体"/>
            <charset val="134"/>
          </rPr>
          <t xml:space="preserve">
2002186 6/19 13520pcs
华3A8</t>
        </r>
      </text>
    </comment>
    <comment ref="AL219" authorId="0">
      <text>
        <r>
          <rPr>
            <b/>
            <sz val="9"/>
            <rFont val="宋体"/>
            <charset val="134"/>
          </rPr>
          <t>Administrator:</t>
        </r>
        <r>
          <rPr>
            <sz val="9"/>
            <rFont val="宋体"/>
            <charset val="134"/>
          </rPr>
          <t xml:space="preserve">
5/26 上客供RFID贴纸13520pcs
</t>
        </r>
      </text>
    </comment>
    <comment ref="AI220" authorId="0">
      <text>
        <r>
          <rPr>
            <b/>
            <sz val="9"/>
            <rFont val="宋体"/>
            <charset val="134"/>
          </rPr>
          <t>Administrator:</t>
        </r>
        <r>
          <rPr>
            <sz val="9"/>
            <rFont val="宋体"/>
            <charset val="134"/>
          </rPr>
          <t xml:space="preserve">
2002187 6/19 11664pcs
华3A17</t>
        </r>
      </text>
    </comment>
    <comment ref="AI221" authorId="0">
      <text>
        <r>
          <rPr>
            <b/>
            <sz val="9"/>
            <rFont val="宋体"/>
            <charset val="134"/>
          </rPr>
          <t>Administrator:</t>
        </r>
        <r>
          <rPr>
            <sz val="9"/>
            <rFont val="宋体"/>
            <charset val="134"/>
          </rPr>
          <t xml:space="preserve">
2002196 6/20 9488pcs华3B2</t>
        </r>
      </text>
    </comment>
    <comment ref="AI222" authorId="0">
      <text>
        <r>
          <rPr>
            <b/>
            <sz val="9"/>
            <rFont val="宋体"/>
            <charset val="134"/>
          </rPr>
          <t>Administrator:</t>
        </r>
        <r>
          <rPr>
            <sz val="9"/>
            <rFont val="宋体"/>
            <charset val="134"/>
          </rPr>
          <t xml:space="preserve">
2002196 6/20 9120pcs华3B2
</t>
        </r>
      </text>
    </comment>
    <comment ref="AL222" authorId="0">
      <text>
        <r>
          <rPr>
            <b/>
            <sz val="9"/>
            <rFont val="宋体"/>
            <charset val="134"/>
          </rPr>
          <t>Administrator:</t>
        </r>
        <r>
          <rPr>
            <sz val="9"/>
            <rFont val="宋体"/>
            <charset val="134"/>
          </rPr>
          <t xml:space="preserve">
5/26 上客供RFID贴纸9120pcs</t>
        </r>
      </text>
    </comment>
    <comment ref="AI223" authorId="0">
      <text>
        <r>
          <rPr>
            <b/>
            <sz val="9"/>
            <rFont val="宋体"/>
            <charset val="134"/>
          </rPr>
          <t>Administrator:</t>
        </r>
        <r>
          <rPr>
            <sz val="9"/>
            <rFont val="宋体"/>
            <charset val="134"/>
          </rPr>
          <t xml:space="preserve">
2001981 6/23 300pcs
王1-B10</t>
        </r>
      </text>
    </comment>
    <comment ref="AI224" authorId="0">
      <text>
        <r>
          <rPr>
            <b/>
            <sz val="9"/>
            <rFont val="宋体"/>
            <charset val="134"/>
          </rPr>
          <t>Administrator:</t>
        </r>
        <r>
          <rPr>
            <sz val="9"/>
            <rFont val="宋体"/>
            <charset val="134"/>
          </rPr>
          <t xml:space="preserve">
3001793 6/24 3000pcs王3-B10</t>
        </r>
      </text>
    </comment>
    <comment ref="AI225" authorId="0">
      <text>
        <r>
          <rPr>
            <b/>
            <sz val="9"/>
            <rFont val="宋体"/>
            <charset val="134"/>
          </rPr>
          <t>Administrator:</t>
        </r>
        <r>
          <rPr>
            <sz val="9"/>
            <rFont val="宋体"/>
            <charset val="134"/>
          </rPr>
          <t xml:space="preserve">
2002186 6/19 10112pcs华3A8</t>
        </r>
      </text>
    </comment>
    <comment ref="AI226" authorId="0">
      <text>
        <r>
          <rPr>
            <b/>
            <sz val="9"/>
            <rFont val="宋体"/>
            <charset val="134"/>
          </rPr>
          <t>Administrator:</t>
        </r>
        <r>
          <rPr>
            <sz val="9"/>
            <rFont val="宋体"/>
            <charset val="134"/>
          </rPr>
          <t xml:space="preserve">
2002252 6/11 18000pcs莫B栋5楼B4</t>
        </r>
      </text>
    </comment>
    <comment ref="AI227" authorId="0">
      <text>
        <r>
          <rPr>
            <b/>
            <sz val="9"/>
            <rFont val="宋体"/>
            <charset val="134"/>
          </rPr>
          <t>Administrator:</t>
        </r>
        <r>
          <rPr>
            <sz val="9"/>
            <rFont val="宋体"/>
            <charset val="134"/>
          </rPr>
          <t xml:space="preserve">
2002050 6/21 1800pcs华3B8</t>
        </r>
      </text>
    </comment>
    <comment ref="AI228" authorId="0">
      <text>
        <r>
          <rPr>
            <b/>
            <sz val="9"/>
            <rFont val="宋体"/>
            <charset val="134"/>
          </rPr>
          <t>Administrator:</t>
        </r>
        <r>
          <rPr>
            <sz val="9"/>
            <rFont val="宋体"/>
            <charset val="134"/>
          </rPr>
          <t xml:space="preserve">
3001838 6/25 1053pcs
华3A27</t>
        </r>
      </text>
    </comment>
    <comment ref="AL228" authorId="0">
      <text>
        <r>
          <rPr>
            <b/>
            <sz val="9"/>
            <rFont val="宋体"/>
            <charset val="134"/>
          </rPr>
          <t>Administrator:</t>
        </r>
        <r>
          <rPr>
            <sz val="9"/>
            <rFont val="宋体"/>
            <charset val="134"/>
          </rPr>
          <t xml:space="preserve">
6/5 上法国回收LOGO贴纸1053pcs</t>
        </r>
      </text>
    </comment>
    <comment ref="AI229" authorId="0">
      <text>
        <r>
          <rPr>
            <b/>
            <sz val="9"/>
            <rFont val="宋体"/>
            <charset val="134"/>
          </rPr>
          <t>Administrator:</t>
        </r>
        <r>
          <rPr>
            <sz val="9"/>
            <rFont val="宋体"/>
            <charset val="134"/>
          </rPr>
          <t xml:space="preserve">
3001816 6/26 7536pcs</t>
        </r>
      </text>
    </comment>
    <comment ref="AL229" authorId="0">
      <text>
        <r>
          <rPr>
            <b/>
            <sz val="9"/>
            <rFont val="宋体"/>
            <charset val="134"/>
          </rPr>
          <t>Administrator:</t>
        </r>
        <r>
          <rPr>
            <sz val="9"/>
            <rFont val="宋体"/>
            <charset val="134"/>
          </rPr>
          <t xml:space="preserve">
5/12 上客供RFID贴纸7536pcs</t>
        </r>
      </text>
    </comment>
    <comment ref="AI230" authorId="0">
      <text>
        <r>
          <rPr>
            <b/>
            <sz val="9"/>
            <rFont val="宋体"/>
            <charset val="134"/>
          </rPr>
          <t>Administrator:</t>
        </r>
        <r>
          <rPr>
            <sz val="9"/>
            <rFont val="宋体"/>
            <charset val="134"/>
          </rPr>
          <t xml:space="preserve">
3001838 6/25 1200pcs
华3B13</t>
        </r>
      </text>
    </comment>
    <comment ref="AI231" authorId="0">
      <text>
        <r>
          <rPr>
            <b/>
            <sz val="9"/>
            <rFont val="宋体"/>
            <charset val="134"/>
          </rPr>
          <t>Administrator:</t>
        </r>
        <r>
          <rPr>
            <sz val="9"/>
            <rFont val="宋体"/>
            <charset val="134"/>
          </rPr>
          <t xml:space="preserve">
3001838 6/25 2124pcs
华3B12</t>
        </r>
      </text>
    </comment>
    <comment ref="AL231" authorId="0">
      <text>
        <r>
          <rPr>
            <b/>
            <sz val="9"/>
            <rFont val="宋体"/>
            <charset val="134"/>
          </rPr>
          <t>Administrator:</t>
        </r>
        <r>
          <rPr>
            <sz val="9"/>
            <rFont val="宋体"/>
            <charset val="134"/>
          </rPr>
          <t xml:space="preserve">
6/3 上空白贴纸4248pcs
环保标贴纸2124pcs
6/23 上亚马逊外箱贴纸2pcs</t>
        </r>
      </text>
    </comment>
    <comment ref="AI232" authorId="0">
      <text>
        <r>
          <rPr>
            <b/>
            <sz val="9"/>
            <rFont val="宋体"/>
            <charset val="134"/>
          </rPr>
          <t>Administrator:</t>
        </r>
        <r>
          <rPr>
            <sz val="9"/>
            <rFont val="宋体"/>
            <charset val="134"/>
          </rPr>
          <t xml:space="preserve">
3001838 6/25 504pcs
华3B13</t>
        </r>
      </text>
    </comment>
    <comment ref="AL232" authorId="0">
      <text>
        <r>
          <rPr>
            <b/>
            <sz val="9"/>
            <rFont val="宋体"/>
            <charset val="134"/>
          </rPr>
          <t>Administrator:</t>
        </r>
        <r>
          <rPr>
            <sz val="9"/>
            <rFont val="宋体"/>
            <charset val="134"/>
          </rPr>
          <t xml:space="preserve">
6/14 上空白贴纸1008pcs
环保标贴纸1008pcs</t>
        </r>
      </text>
    </comment>
    <comment ref="AI233" authorId="0">
      <text>
        <r>
          <rPr>
            <b/>
            <sz val="9"/>
            <rFont val="宋体"/>
            <charset val="134"/>
          </rPr>
          <t>Administrator:</t>
        </r>
        <r>
          <rPr>
            <sz val="9"/>
            <rFont val="宋体"/>
            <charset val="134"/>
          </rPr>
          <t xml:space="preserve">
3001838 6/25 8216pcs华3B15</t>
        </r>
      </text>
    </comment>
    <comment ref="AI234" authorId="0">
      <text>
        <r>
          <rPr>
            <b/>
            <sz val="9"/>
            <rFont val="宋体"/>
            <charset val="134"/>
          </rPr>
          <t>Administrator:</t>
        </r>
        <r>
          <rPr>
            <sz val="9"/>
            <rFont val="宋体"/>
            <charset val="134"/>
          </rPr>
          <t xml:space="preserve">
3001838 6/25 195pcs
华3B14</t>
        </r>
      </text>
    </comment>
    <comment ref="AI235" authorId="0">
      <text>
        <r>
          <rPr>
            <b/>
            <sz val="9"/>
            <rFont val="宋体"/>
            <charset val="134"/>
          </rPr>
          <t>Administrator:</t>
        </r>
        <r>
          <rPr>
            <sz val="9"/>
            <rFont val="宋体"/>
            <charset val="134"/>
          </rPr>
          <t xml:space="preserve">
3001838 6/25 130pcs
华3B14</t>
        </r>
      </text>
    </comment>
    <comment ref="AI236" authorId="0">
      <text>
        <r>
          <rPr>
            <b/>
            <sz val="9"/>
            <rFont val="宋体"/>
            <charset val="134"/>
          </rPr>
          <t>Administrator:</t>
        </r>
        <r>
          <rPr>
            <sz val="9"/>
            <rFont val="宋体"/>
            <charset val="134"/>
          </rPr>
          <t xml:space="preserve">
3001816 6/26 8480pcs
</t>
        </r>
      </text>
    </comment>
    <comment ref="AL236" authorId="0">
      <text>
        <r>
          <rPr>
            <b/>
            <sz val="9"/>
            <rFont val="宋体"/>
            <charset val="134"/>
          </rPr>
          <t>Administrator:</t>
        </r>
        <r>
          <rPr>
            <sz val="9"/>
            <rFont val="宋体"/>
            <charset val="134"/>
          </rPr>
          <t xml:space="preserve">
7/16 上客供RFID贴纸 8480pcs
</t>
        </r>
      </text>
    </comment>
    <comment ref="AI237" authorId="0">
      <text>
        <r>
          <rPr>
            <b/>
            <sz val="9"/>
            <rFont val="宋体"/>
            <charset val="134"/>
          </rPr>
          <t>Administrator:</t>
        </r>
        <r>
          <rPr>
            <sz val="9"/>
            <rFont val="宋体"/>
            <charset val="134"/>
          </rPr>
          <t xml:space="preserve">
3001816 6/26 6352pcs
</t>
        </r>
      </text>
    </comment>
    <comment ref="AI238" authorId="0">
      <text>
        <r>
          <rPr>
            <b/>
            <sz val="9"/>
            <rFont val="宋体"/>
            <charset val="134"/>
          </rPr>
          <t>Administrator:</t>
        </r>
        <r>
          <rPr>
            <sz val="9"/>
            <rFont val="宋体"/>
            <charset val="134"/>
          </rPr>
          <t xml:space="preserve">
3001816 6/26 7352pcs
3001758 6/27 16pcs华3A12</t>
        </r>
      </text>
    </comment>
    <comment ref="AI239" authorId="0">
      <text>
        <r>
          <rPr>
            <b/>
            <sz val="9"/>
            <rFont val="宋体"/>
            <charset val="134"/>
          </rPr>
          <t>Administrator:</t>
        </r>
        <r>
          <rPr>
            <sz val="9"/>
            <rFont val="宋体"/>
            <charset val="134"/>
          </rPr>
          <t xml:space="preserve">
3001744 6/28 5825pcs莫4A4</t>
        </r>
      </text>
    </comment>
    <comment ref="AI240" authorId="0">
      <text>
        <r>
          <rPr>
            <b/>
            <sz val="9"/>
            <rFont val="宋体"/>
            <charset val="134"/>
          </rPr>
          <t>Administrator:</t>
        </r>
        <r>
          <rPr>
            <sz val="9"/>
            <rFont val="宋体"/>
            <charset val="134"/>
          </rPr>
          <t xml:space="preserve">
2001643 6/27 1620pcs华3B15</t>
        </r>
      </text>
    </comment>
    <comment ref="AL240" authorId="0">
      <text>
        <r>
          <rPr>
            <b/>
            <sz val="9"/>
            <rFont val="宋体"/>
            <charset val="134"/>
          </rPr>
          <t>Administrator:</t>
        </r>
        <r>
          <rPr>
            <sz val="9"/>
            <rFont val="宋体"/>
            <charset val="134"/>
          </rPr>
          <t xml:space="preserve">
6/5 上WEEE电池说明书3240pcs</t>
        </r>
      </text>
    </comment>
    <comment ref="AI241" authorId="0">
      <text>
        <r>
          <rPr>
            <b/>
            <sz val="9"/>
            <rFont val="宋体"/>
            <charset val="134"/>
          </rPr>
          <t>Administrator:</t>
        </r>
        <r>
          <rPr>
            <sz val="9"/>
            <rFont val="宋体"/>
            <charset val="134"/>
          </rPr>
          <t xml:space="preserve">
3001763 6/27 6500pcs张泉
3001744 6/28 50pcs张</t>
        </r>
      </text>
    </comment>
    <comment ref="AI242" authorId="0">
      <text>
        <r>
          <rPr>
            <b/>
            <sz val="9"/>
            <rFont val="宋体"/>
            <charset val="134"/>
          </rPr>
          <t>Administrator:</t>
        </r>
        <r>
          <rPr>
            <sz val="9"/>
            <rFont val="宋体"/>
            <charset val="134"/>
          </rPr>
          <t xml:space="preserve">
3001971 7/1 4500pcs
华3A20
3001955 7/1 1500pcs华3A20</t>
        </r>
      </text>
    </comment>
    <comment ref="AL242" authorId="0">
      <text>
        <r>
          <rPr>
            <b/>
            <sz val="9"/>
            <rFont val="宋体"/>
            <charset val="134"/>
          </rPr>
          <t>Administrator:</t>
        </r>
        <r>
          <rPr>
            <sz val="9"/>
            <rFont val="宋体"/>
            <charset val="134"/>
          </rPr>
          <t xml:space="preserve">
3/31 上冰棒款-说明书荷兰语贴纸6000pcs
蛋糕款-说明书荷兰语贴纸6000pcs
布丁款-说明书荷兰语贴纸6000pcs
</t>
        </r>
      </text>
    </comment>
    <comment ref="AI243" authorId="0">
      <text>
        <r>
          <rPr>
            <b/>
            <sz val="9"/>
            <rFont val="宋体"/>
            <charset val="134"/>
          </rPr>
          <t>Administrator:</t>
        </r>
        <r>
          <rPr>
            <sz val="9"/>
            <rFont val="宋体"/>
            <charset val="134"/>
          </rPr>
          <t xml:space="preserve">
2001624 7/1 1002pcs华3B15</t>
        </r>
      </text>
    </comment>
    <comment ref="AI244" authorId="0">
      <text>
        <r>
          <rPr>
            <b/>
            <sz val="9"/>
            <rFont val="宋体"/>
            <charset val="134"/>
          </rPr>
          <t>Administrator:</t>
        </r>
        <r>
          <rPr>
            <sz val="9"/>
            <rFont val="宋体"/>
            <charset val="134"/>
          </rPr>
          <t xml:space="preserve">
3001820 6/26 14560pcs
3001808 6/26 1040pcs</t>
        </r>
      </text>
    </comment>
    <comment ref="AL244" authorId="0">
      <text>
        <r>
          <rPr>
            <b/>
            <sz val="9"/>
            <rFont val="宋体"/>
            <charset val="134"/>
          </rPr>
          <t>Administrator:</t>
        </r>
        <r>
          <rPr>
            <sz val="9"/>
            <rFont val="宋体"/>
            <charset val="134"/>
          </rPr>
          <t xml:space="preserve">
5/30 上UPC条码贴纸15600pcs
</t>
        </r>
      </text>
    </comment>
    <comment ref="AI245" authorId="0">
      <text>
        <r>
          <rPr>
            <b/>
            <sz val="9"/>
            <rFont val="宋体"/>
            <charset val="134"/>
          </rPr>
          <t>Administrator:</t>
        </r>
        <r>
          <rPr>
            <sz val="9"/>
            <rFont val="宋体"/>
            <charset val="134"/>
          </rPr>
          <t xml:space="preserve">
3001983 7/2 1521pcs华3B11</t>
        </r>
      </text>
    </comment>
    <comment ref="AL245" authorId="0">
      <text>
        <r>
          <rPr>
            <b/>
            <sz val="9"/>
            <rFont val="宋体"/>
            <charset val="134"/>
          </rPr>
          <t>Administrator:</t>
        </r>
        <r>
          <rPr>
            <sz val="9"/>
            <rFont val="宋体"/>
            <charset val="134"/>
          </rPr>
          <t xml:space="preserve">
6/14 上UPC贴纸2509pcs
6/11 上KM单外箱贴纸193pcs
6/19 上白色防盗贴纸2509pcs
</t>
        </r>
      </text>
    </comment>
    <comment ref="AI246" authorId="0">
      <text>
        <r>
          <rPr>
            <b/>
            <sz val="9"/>
            <rFont val="宋体"/>
            <charset val="134"/>
          </rPr>
          <t>Administrator:</t>
        </r>
        <r>
          <rPr>
            <sz val="9"/>
            <rFont val="宋体"/>
            <charset val="134"/>
          </rPr>
          <t xml:space="preserve">
3001983 7/2 988pcs
华3B11</t>
        </r>
      </text>
    </comment>
    <comment ref="AI247" authorId="0">
      <text>
        <r>
          <rPr>
            <b/>
            <sz val="9"/>
            <rFont val="宋体"/>
            <charset val="134"/>
          </rPr>
          <t>Administrator:</t>
        </r>
        <r>
          <rPr>
            <sz val="9"/>
            <rFont val="宋体"/>
            <charset val="134"/>
          </rPr>
          <t xml:space="preserve">
3001592 6/30 8720pcs华3A9</t>
        </r>
      </text>
    </comment>
    <comment ref="AL247" authorId="0">
      <text>
        <r>
          <rPr>
            <b/>
            <sz val="9"/>
            <rFont val="宋体"/>
            <charset val="134"/>
          </rPr>
          <t>Administrator:</t>
        </r>
        <r>
          <rPr>
            <sz val="9"/>
            <rFont val="宋体"/>
            <charset val="134"/>
          </rPr>
          <t xml:space="preserve">
5/12 上客供RFID贴纸8720pcs</t>
        </r>
      </text>
    </comment>
    <comment ref="AI248" authorId="0">
      <text>
        <r>
          <rPr>
            <b/>
            <sz val="9"/>
            <rFont val="宋体"/>
            <charset val="134"/>
          </rPr>
          <t>Administrator:</t>
        </r>
        <r>
          <rPr>
            <sz val="9"/>
            <rFont val="宋体"/>
            <charset val="134"/>
          </rPr>
          <t xml:space="preserve">
3001565 7/2 7600pcs莫4C7</t>
        </r>
      </text>
    </comment>
    <comment ref="AI249" authorId="0">
      <text>
        <r>
          <rPr>
            <b/>
            <sz val="9"/>
            <rFont val="宋体"/>
            <charset val="134"/>
          </rPr>
          <t>Administrator:</t>
        </r>
        <r>
          <rPr>
            <sz val="9"/>
            <rFont val="宋体"/>
            <charset val="134"/>
          </rPr>
          <t xml:space="preserve">
3001997 7/2 9008pcs莫4B7</t>
        </r>
      </text>
    </comment>
    <comment ref="AI250" authorId="0">
      <text>
        <r>
          <rPr>
            <b/>
            <sz val="9"/>
            <rFont val="宋体"/>
            <charset val="134"/>
          </rPr>
          <t>Administrator:</t>
        </r>
        <r>
          <rPr>
            <sz val="9"/>
            <rFont val="宋体"/>
            <charset val="134"/>
          </rPr>
          <t xml:space="preserve">
3001971 7/1 13520pcs华3A17</t>
        </r>
      </text>
    </comment>
    <comment ref="AI251" authorId="0">
      <text>
        <r>
          <rPr>
            <b/>
            <sz val="9"/>
            <rFont val="宋体"/>
            <charset val="134"/>
          </rPr>
          <t>Administrator:</t>
        </r>
        <r>
          <rPr>
            <sz val="9"/>
            <rFont val="宋体"/>
            <charset val="134"/>
          </rPr>
          <t xml:space="preserve">
3001997 7/2 11664pcs
莫4A4</t>
        </r>
      </text>
    </comment>
    <comment ref="AI252" authorId="0">
      <text>
        <r>
          <rPr>
            <b/>
            <sz val="9"/>
            <rFont val="宋体"/>
            <charset val="134"/>
          </rPr>
          <t>Administrator:</t>
        </r>
        <r>
          <rPr>
            <sz val="9"/>
            <rFont val="宋体"/>
            <charset val="134"/>
          </rPr>
          <t xml:space="preserve">
3001744 6/28 9472pcs莫4A5
3001366 6/28 16pcs莫4A5</t>
        </r>
      </text>
    </comment>
    <comment ref="AI253" authorId="0">
      <text>
        <r>
          <rPr>
            <b/>
            <sz val="9"/>
            <rFont val="宋体"/>
            <charset val="134"/>
          </rPr>
          <t>Administrator:</t>
        </r>
        <r>
          <rPr>
            <sz val="9"/>
            <rFont val="宋体"/>
            <charset val="134"/>
          </rPr>
          <t xml:space="preserve">
3001997 7/2 10112pcs
莫4C7</t>
        </r>
      </text>
    </comment>
    <comment ref="AI254" authorId="0">
      <text>
        <r>
          <rPr>
            <b/>
            <sz val="9"/>
            <rFont val="宋体"/>
            <charset val="134"/>
          </rPr>
          <t>Administrator:</t>
        </r>
        <r>
          <rPr>
            <sz val="9"/>
            <rFont val="宋体"/>
            <charset val="134"/>
          </rPr>
          <t xml:space="preserve">
3001997 7/2 9120pcs
莫4C6</t>
        </r>
      </text>
    </comment>
    <comment ref="AI255" authorId="0">
      <text>
        <r>
          <rPr>
            <b/>
            <sz val="9"/>
            <rFont val="宋体"/>
            <charset val="134"/>
          </rPr>
          <t>Administrator:</t>
        </r>
        <r>
          <rPr>
            <sz val="9"/>
            <rFont val="宋体"/>
            <charset val="134"/>
          </rPr>
          <t xml:space="preserve">
3001997 7/2 7648pcs莫4C6
</t>
        </r>
      </text>
    </comment>
    <comment ref="AL255" authorId="0">
      <text>
        <r>
          <rPr>
            <b/>
            <sz val="9"/>
            <rFont val="宋体"/>
            <charset val="134"/>
          </rPr>
          <t>Administrator:</t>
        </r>
        <r>
          <rPr>
            <sz val="9"/>
            <rFont val="宋体"/>
            <charset val="134"/>
          </rPr>
          <t xml:space="preserve">
5/12 上客供RFID贴纸7648pcs</t>
        </r>
      </text>
    </comment>
    <comment ref="AI256" authorId="0">
      <text>
        <r>
          <rPr>
            <b/>
            <sz val="9"/>
            <rFont val="宋体"/>
            <charset val="134"/>
          </rPr>
          <t>Administrator:</t>
        </r>
        <r>
          <rPr>
            <sz val="9"/>
            <rFont val="宋体"/>
            <charset val="134"/>
          </rPr>
          <t xml:space="preserve">
3001565 7/2 1650pcs
莫4B7</t>
        </r>
      </text>
    </comment>
    <comment ref="AI257" authorId="0">
      <text>
        <r>
          <rPr>
            <b/>
            <sz val="9"/>
            <rFont val="宋体"/>
            <charset val="134"/>
          </rPr>
          <t>Administrator:</t>
        </r>
        <r>
          <rPr>
            <sz val="9"/>
            <rFont val="宋体"/>
            <charset val="134"/>
          </rPr>
          <t xml:space="preserve">
3001971 7/1 1612pcs兴信</t>
        </r>
      </text>
    </comment>
    <comment ref="AI258" authorId="0">
      <text>
        <r>
          <rPr>
            <b/>
            <sz val="9"/>
            <rFont val="宋体"/>
            <charset val="134"/>
          </rPr>
          <t>Administrator:</t>
        </r>
        <r>
          <rPr>
            <sz val="9"/>
            <rFont val="宋体"/>
            <charset val="134"/>
          </rPr>
          <t xml:space="preserve">
3001565 7/2 975pcs
莫4A4</t>
        </r>
      </text>
    </comment>
    <comment ref="AI259" authorId="0">
      <text>
        <r>
          <rPr>
            <b/>
            <sz val="9"/>
            <rFont val="宋体"/>
            <charset val="134"/>
          </rPr>
          <t>Administrator:</t>
        </r>
        <r>
          <rPr>
            <sz val="9"/>
            <rFont val="宋体"/>
            <charset val="134"/>
          </rPr>
          <t xml:space="preserve">
3001655 7/9 1050pcs</t>
        </r>
      </text>
    </comment>
    <comment ref="AL259" authorId="0">
      <text>
        <r>
          <rPr>
            <b/>
            <sz val="9"/>
            <rFont val="宋体"/>
            <charset val="134"/>
          </rPr>
          <t>Administrator:</t>
        </r>
        <r>
          <rPr>
            <sz val="9"/>
            <rFont val="宋体"/>
            <charset val="134"/>
          </rPr>
          <t xml:space="preserve">
5/29 上UPc贴纸3150pcs
两个同PO共用
6/26 上PDq进口商贴纸146pcs
6/26 上PDq进口商贴纸42pcs
</t>
        </r>
      </text>
    </comment>
    <comment ref="AI260" authorId="0">
      <text>
        <r>
          <rPr>
            <b/>
            <sz val="9"/>
            <rFont val="宋体"/>
            <charset val="134"/>
          </rPr>
          <t>Administrator:</t>
        </r>
        <r>
          <rPr>
            <sz val="9"/>
            <rFont val="宋体"/>
            <charset val="134"/>
          </rPr>
          <t xml:space="preserve">
3001700 7/8 1264pcs 华3B10</t>
        </r>
      </text>
    </comment>
    <comment ref="AL260" authorId="0">
      <text>
        <r>
          <rPr>
            <b/>
            <sz val="9"/>
            <rFont val="宋体"/>
            <charset val="134"/>
          </rPr>
          <t>Administrator:</t>
        </r>
        <r>
          <rPr>
            <sz val="9"/>
            <rFont val="宋体"/>
            <charset val="134"/>
          </rPr>
          <t xml:space="preserve">
6/5 上进口商贴纸6050pcs
两个同PO共用
5/29 上UPC贴纸6050pcs
两个同PO共用
6/26 上PDq进口商贴纸146pcs
</t>
        </r>
      </text>
    </comment>
    <comment ref="AI261" authorId="0">
      <text>
        <r>
          <rPr>
            <b/>
            <sz val="9"/>
            <rFont val="宋体"/>
            <charset val="134"/>
          </rPr>
          <t>Administrator:</t>
        </r>
        <r>
          <rPr>
            <sz val="9"/>
            <rFont val="宋体"/>
            <charset val="134"/>
          </rPr>
          <t xml:space="preserve">
3001877 7/5 2400pcs 华3A29</t>
        </r>
      </text>
    </comment>
    <comment ref="AL261" authorId="0">
      <text>
        <r>
          <rPr>
            <b/>
            <sz val="9"/>
            <rFont val="宋体"/>
            <charset val="134"/>
          </rPr>
          <t>Administrator:</t>
        </r>
        <r>
          <rPr>
            <sz val="9"/>
            <rFont val="宋体"/>
            <charset val="134"/>
          </rPr>
          <t xml:space="preserve">
6/26 上展示架进口商贴纸80pcs</t>
        </r>
      </text>
    </comment>
    <comment ref="AI262" authorId="0">
      <text>
        <r>
          <rPr>
            <b/>
            <sz val="9"/>
            <rFont val="宋体"/>
            <charset val="134"/>
          </rPr>
          <t>Administrator:</t>
        </r>
        <r>
          <rPr>
            <sz val="9"/>
            <rFont val="宋体"/>
            <charset val="134"/>
          </rPr>
          <t xml:space="preserve">
3001877 7/2 2100pcs 华3B11
</t>
        </r>
      </text>
    </comment>
    <comment ref="AL262" authorId="0">
      <text>
        <r>
          <rPr>
            <b/>
            <sz val="9"/>
            <rFont val="宋体"/>
            <charset val="134"/>
          </rPr>
          <t>Administrator:</t>
        </r>
        <r>
          <rPr>
            <sz val="9"/>
            <rFont val="宋体"/>
            <charset val="134"/>
          </rPr>
          <t xml:space="preserve">
6/26 上展示架进口商贴纸70pcs</t>
        </r>
      </text>
    </comment>
    <comment ref="AI265" authorId="0">
      <text>
        <r>
          <rPr>
            <b/>
            <sz val="9"/>
            <rFont val="宋体"/>
            <charset val="134"/>
          </rPr>
          <t>Administrator:</t>
        </r>
        <r>
          <rPr>
            <sz val="9"/>
            <rFont val="宋体"/>
            <charset val="134"/>
          </rPr>
          <t xml:space="preserve">
2001606 7/2 240pcs华3B13</t>
        </r>
      </text>
    </comment>
    <comment ref="AL265" authorId="0">
      <text>
        <r>
          <rPr>
            <b/>
            <sz val="9"/>
            <rFont val="宋体"/>
            <charset val="134"/>
          </rPr>
          <t>Administrator:</t>
        </r>
        <r>
          <rPr>
            <sz val="9"/>
            <rFont val="宋体"/>
            <charset val="134"/>
          </rPr>
          <t xml:space="preserve">
7/5 上空白贴纸480pcs</t>
        </r>
      </text>
    </comment>
    <comment ref="AI266" authorId="0">
      <text>
        <r>
          <rPr>
            <b/>
            <sz val="9"/>
            <rFont val="宋体"/>
            <charset val="134"/>
          </rPr>
          <t>Administrator:</t>
        </r>
        <r>
          <rPr>
            <sz val="9"/>
            <rFont val="宋体"/>
            <charset val="134"/>
          </rPr>
          <t xml:space="preserve">
2001636 6/30 4080pcs</t>
        </r>
      </text>
    </comment>
    <comment ref="AI268" authorId="0">
      <text>
        <r>
          <rPr>
            <b/>
            <sz val="9"/>
            <rFont val="宋体"/>
            <charset val="134"/>
          </rPr>
          <t>Administrator:</t>
        </r>
        <r>
          <rPr>
            <sz val="9"/>
            <rFont val="宋体"/>
            <charset val="134"/>
          </rPr>
          <t xml:space="preserve">
3001676 7/7 1000pcs
华3S14
</t>
        </r>
      </text>
    </comment>
    <comment ref="AL268" authorId="0">
      <text>
        <r>
          <rPr>
            <b/>
            <sz val="9"/>
            <rFont val="宋体"/>
            <charset val="134"/>
          </rPr>
          <t>Administrator:</t>
        </r>
        <r>
          <rPr>
            <sz val="9"/>
            <rFont val="宋体"/>
            <charset val="134"/>
          </rPr>
          <t xml:space="preserve">
6/5 上冰棒-说明书荷兰语贴纸1000pcs
蛋糕款-荷兰语贴纸1000pcs
布丁款-荷兰语贴纸1000pcs</t>
        </r>
      </text>
    </comment>
    <comment ref="AI269" authorId="0">
      <text>
        <r>
          <rPr>
            <b/>
            <sz val="9"/>
            <rFont val="宋体"/>
            <charset val="134"/>
          </rPr>
          <t>Administrator:</t>
        </r>
        <r>
          <rPr>
            <sz val="9"/>
            <rFont val="宋体"/>
            <charset val="134"/>
          </rPr>
          <t xml:space="preserve">
3001915 7/3 156pcs华3B27</t>
        </r>
      </text>
    </comment>
    <comment ref="AL269" authorId="0">
      <text>
        <r>
          <rPr>
            <b/>
            <sz val="9"/>
            <rFont val="宋体"/>
            <charset val="134"/>
          </rPr>
          <t>Administrator:</t>
        </r>
        <r>
          <rPr>
            <sz val="9"/>
            <rFont val="宋体"/>
            <charset val="134"/>
          </rPr>
          <t xml:space="preserve">
6/14 上UPC贴纸156pcs
6/11 上KM单外箱贴纸12pcs
6/19 上白色防盗贴纸156pcs</t>
        </r>
      </text>
    </comment>
    <comment ref="AI270" authorId="0">
      <text>
        <r>
          <rPr>
            <b/>
            <sz val="9"/>
            <rFont val="宋体"/>
            <charset val="134"/>
          </rPr>
          <t>Administrator:</t>
        </r>
        <r>
          <rPr>
            <sz val="9"/>
            <rFont val="宋体"/>
            <charset val="134"/>
          </rPr>
          <t xml:space="preserve">
3001905 7/4 2002pcs
直走</t>
        </r>
      </text>
    </comment>
    <comment ref="AL270" authorId="0">
      <text>
        <r>
          <rPr>
            <b/>
            <sz val="9"/>
            <rFont val="宋体"/>
            <charset val="134"/>
          </rPr>
          <t>Administrator:</t>
        </r>
        <r>
          <rPr>
            <sz val="9"/>
            <rFont val="宋体"/>
            <charset val="134"/>
          </rPr>
          <t xml:space="preserve">
5/30 上多语折叠贴纸2002pcs
</t>
        </r>
      </text>
    </comment>
    <comment ref="AI271" authorId="0">
      <text>
        <r>
          <rPr>
            <b/>
            <sz val="9"/>
            <rFont val="宋体"/>
            <charset val="134"/>
          </rPr>
          <t>Administrator:</t>
        </r>
        <r>
          <rPr>
            <sz val="9"/>
            <rFont val="宋体"/>
            <charset val="134"/>
          </rPr>
          <t xml:space="preserve">
3001641 7/9 492pcs
3001534 7/11 12pcs</t>
        </r>
      </text>
    </comment>
    <comment ref="AL271" authorId="0">
      <text>
        <r>
          <rPr>
            <b/>
            <sz val="9"/>
            <rFont val="宋体"/>
            <charset val="134"/>
          </rPr>
          <t>Administrator:</t>
        </r>
        <r>
          <rPr>
            <sz val="9"/>
            <rFont val="宋体"/>
            <charset val="134"/>
          </rPr>
          <t xml:space="preserve">
6/14 上空白贴纸1008pcs
环保标贴纸1008pcs
</t>
        </r>
      </text>
    </comment>
    <comment ref="AI272" authorId="0">
      <text>
        <r>
          <rPr>
            <b/>
            <sz val="9"/>
            <rFont val="宋体"/>
            <charset val="134"/>
          </rPr>
          <t>Administrator:</t>
        </r>
        <r>
          <rPr>
            <sz val="9"/>
            <rFont val="宋体"/>
            <charset val="134"/>
          </rPr>
          <t xml:space="preserve">
3001904 7/4 700pcs华3B1</t>
        </r>
      </text>
    </comment>
    <comment ref="AI273" authorId="0">
      <text>
        <r>
          <rPr>
            <b/>
            <sz val="9"/>
            <rFont val="宋体"/>
            <charset val="134"/>
          </rPr>
          <t>Administrator:</t>
        </r>
        <r>
          <rPr>
            <sz val="9"/>
            <rFont val="宋体"/>
            <charset val="134"/>
          </rPr>
          <t xml:space="preserve">
2001575 7/7 5400psc 华1A4
2001583 7/8 3300pcs 直走</t>
        </r>
      </text>
    </comment>
    <comment ref="AL273" authorId="0">
      <text>
        <r>
          <rPr>
            <b/>
            <sz val="9"/>
            <rFont val="宋体"/>
            <charset val="134"/>
          </rPr>
          <t>Administrator:</t>
        </r>
        <r>
          <rPr>
            <sz val="9"/>
            <rFont val="宋体"/>
            <charset val="134"/>
          </rPr>
          <t xml:space="preserve">
6/5 上条码贴纸34800pcs
两个同PO共用
6/25 上空白贴纸34800pcs
两个同PO共用</t>
        </r>
      </text>
    </comment>
    <comment ref="AI274" authorId="0">
      <text>
        <r>
          <rPr>
            <b/>
            <sz val="9"/>
            <rFont val="宋体"/>
            <charset val="134"/>
          </rPr>
          <t>Administrator:</t>
        </r>
        <r>
          <rPr>
            <sz val="9"/>
            <rFont val="宋体"/>
            <charset val="134"/>
          </rPr>
          <t xml:space="preserve">
3001904 7/4 500pcs
华3B1</t>
        </r>
      </text>
    </comment>
    <comment ref="AI275" authorId="0">
      <text>
        <r>
          <rPr>
            <b/>
            <sz val="9"/>
            <rFont val="宋体"/>
            <charset val="134"/>
          </rPr>
          <t>Administrator:</t>
        </r>
        <r>
          <rPr>
            <sz val="9"/>
            <rFont val="宋体"/>
            <charset val="134"/>
          </rPr>
          <t xml:space="preserve">
3001641 7/9 2400pcs
</t>
        </r>
      </text>
    </comment>
    <comment ref="AL275" authorId="0">
      <text>
        <r>
          <rPr>
            <b/>
            <sz val="9"/>
            <rFont val="宋体"/>
            <charset val="134"/>
          </rPr>
          <t>Administrator:</t>
        </r>
        <r>
          <rPr>
            <sz val="9"/>
            <rFont val="宋体"/>
            <charset val="134"/>
          </rPr>
          <t xml:space="preserve">
6/13 上冰棒款-说明书荷兰语贴纸2400pcs
蛋糕款-说明书荷兰语贴纸2400pcs
布丁款-说明书荷兰语贴纸2400pcs
</t>
        </r>
      </text>
    </comment>
    <comment ref="AI276" authorId="0">
      <text>
        <r>
          <rPr>
            <b/>
            <sz val="9"/>
            <rFont val="宋体"/>
            <charset val="134"/>
          </rPr>
          <t>Administrator:</t>
        </r>
        <r>
          <rPr>
            <sz val="9"/>
            <rFont val="宋体"/>
            <charset val="134"/>
          </rPr>
          <t xml:space="preserve">
3001904 7/4 500pcs
华3B1</t>
        </r>
      </text>
    </comment>
    <comment ref="AI277" authorId="0">
      <text>
        <r>
          <rPr>
            <b/>
            <sz val="9"/>
            <rFont val="宋体"/>
            <charset val="134"/>
          </rPr>
          <t>Administrator:</t>
        </r>
        <r>
          <rPr>
            <sz val="9"/>
            <rFont val="宋体"/>
            <charset val="134"/>
          </rPr>
          <t xml:space="preserve">
3001905 7/4 1664pcs
直走</t>
        </r>
      </text>
    </comment>
    <comment ref="AL277" authorId="0">
      <text>
        <r>
          <rPr>
            <b/>
            <sz val="9"/>
            <rFont val="宋体"/>
            <charset val="134"/>
          </rPr>
          <t>Administrator:</t>
        </r>
        <r>
          <rPr>
            <sz val="9"/>
            <rFont val="宋体"/>
            <charset val="134"/>
          </rPr>
          <t xml:space="preserve">
6/23 上纸袋希腊警语贴纸1664pcs
WEEE30L带电走货电池说明书1664pcs
客人警语贴纸1664pcs
6/30 上纸袋警告贴纸8320pcs</t>
        </r>
      </text>
    </comment>
    <comment ref="AI278" authorId="0">
      <text>
        <r>
          <rPr>
            <b/>
            <sz val="9"/>
            <rFont val="宋体"/>
            <charset val="134"/>
          </rPr>
          <t>Administrator:</t>
        </r>
        <r>
          <rPr>
            <sz val="9"/>
            <rFont val="宋体"/>
            <charset val="134"/>
          </rPr>
          <t xml:space="preserve">
3001905 7/4 120pcs
华3B1</t>
        </r>
      </text>
    </comment>
    <comment ref="AL278" authorId="0">
      <text>
        <r>
          <rPr>
            <b/>
            <sz val="9"/>
            <rFont val="宋体"/>
            <charset val="134"/>
          </rPr>
          <t>Administrator:</t>
        </r>
        <r>
          <rPr>
            <sz val="9"/>
            <rFont val="宋体"/>
            <charset val="134"/>
          </rPr>
          <t xml:space="preserve">
5/7 上客人白色CALLABEL贴纸120pcs
</t>
        </r>
      </text>
    </comment>
    <comment ref="AI279" authorId="0">
      <text>
        <r>
          <rPr>
            <b/>
            <sz val="9"/>
            <rFont val="宋体"/>
            <charset val="134"/>
          </rPr>
          <t>Administrator:</t>
        </r>
        <r>
          <rPr>
            <sz val="9"/>
            <rFont val="宋体"/>
            <charset val="134"/>
          </rPr>
          <t xml:space="preserve">
3001877 7/5 300pcs 华3A24</t>
        </r>
      </text>
    </comment>
    <comment ref="AI280" authorId="0">
      <text>
        <r>
          <rPr>
            <b/>
            <sz val="9"/>
            <rFont val="宋体"/>
            <charset val="134"/>
          </rPr>
          <t>Administrator:</t>
        </r>
        <r>
          <rPr>
            <sz val="9"/>
            <rFont val="宋体"/>
            <charset val="134"/>
          </rPr>
          <t xml:space="preserve">
3001905 7/4 1450pcs B栋4楼</t>
        </r>
      </text>
    </comment>
    <comment ref="AL280" authorId="0">
      <text>
        <r>
          <rPr>
            <b/>
            <sz val="9"/>
            <rFont val="宋体"/>
            <charset val="134"/>
          </rPr>
          <t>Administrator:</t>
        </r>
        <r>
          <rPr>
            <sz val="9"/>
            <rFont val="宋体"/>
            <charset val="134"/>
          </rPr>
          <t xml:space="preserve">
5/29 上UPC贴纸2500pcs
两个同PO共用
6/17 上进口商贴纸2500pcs
两个同PO共用
6/26 上PDq进口商贴纸58pcs
</t>
        </r>
      </text>
    </comment>
    <comment ref="AI281" authorId="0">
      <text>
        <r>
          <rPr>
            <b/>
            <sz val="9"/>
            <rFont val="宋体"/>
            <charset val="134"/>
          </rPr>
          <t>Administrator:</t>
        </r>
        <r>
          <rPr>
            <sz val="9"/>
            <rFont val="宋体"/>
            <charset val="134"/>
          </rPr>
          <t xml:space="preserve">
3001877 7/5 1050pcs 兴信</t>
        </r>
      </text>
    </comment>
    <comment ref="AL281" authorId="0">
      <text>
        <r>
          <rPr>
            <b/>
            <sz val="9"/>
            <rFont val="宋体"/>
            <charset val="134"/>
          </rPr>
          <t>Administrator:</t>
        </r>
        <r>
          <rPr>
            <sz val="9"/>
            <rFont val="宋体"/>
            <charset val="134"/>
          </rPr>
          <t xml:space="preserve">
6/26 上展示架进口商贴纸35pcs</t>
        </r>
      </text>
    </comment>
    <comment ref="AI282" authorId="0">
      <text>
        <r>
          <rPr>
            <b/>
            <sz val="9"/>
            <rFont val="宋体"/>
            <charset val="134"/>
          </rPr>
          <t>Administrator:</t>
        </r>
        <r>
          <rPr>
            <sz val="9"/>
            <rFont val="宋体"/>
            <charset val="134"/>
          </rPr>
          <t xml:space="preserve">
3001736 7/5 1000psc 华3B15</t>
        </r>
      </text>
    </comment>
    <comment ref="AL282" authorId="0">
      <text>
        <r>
          <rPr>
            <b/>
            <sz val="9"/>
            <rFont val="宋体"/>
            <charset val="134"/>
          </rPr>
          <t>Administrator:</t>
        </r>
        <r>
          <rPr>
            <sz val="9"/>
            <rFont val="宋体"/>
            <charset val="134"/>
          </rPr>
          <t xml:space="preserve">
6/21 上进口商贴纸1000pcs
UPC/价标贴纸1000pcs</t>
        </r>
      </text>
    </comment>
    <comment ref="AI283" authorId="0">
      <text>
        <r>
          <rPr>
            <b/>
            <sz val="9"/>
            <rFont val="宋体"/>
            <charset val="134"/>
          </rPr>
          <t>Administrator:</t>
        </r>
        <r>
          <rPr>
            <sz val="9"/>
            <rFont val="宋体"/>
            <charset val="134"/>
          </rPr>
          <t xml:space="preserve">
3001877 7/5 2400pcs 华3A24</t>
        </r>
      </text>
    </comment>
    <comment ref="AL283" authorId="0">
      <text>
        <r>
          <rPr>
            <b/>
            <sz val="9"/>
            <rFont val="宋体"/>
            <charset val="134"/>
          </rPr>
          <t>Administrator:</t>
        </r>
        <r>
          <rPr>
            <sz val="9"/>
            <rFont val="宋体"/>
            <charset val="134"/>
          </rPr>
          <t xml:space="preserve">
6/11 上多语折叠贴纸2400pcs
6/21 上多语警语折叠贴纸26400pcs数量自行分配</t>
        </r>
      </text>
    </comment>
    <comment ref="AI284" authorId="0">
      <text>
        <r>
          <rPr>
            <b/>
            <sz val="9"/>
            <rFont val="宋体"/>
            <charset val="134"/>
          </rPr>
          <t>Administrator:</t>
        </r>
        <r>
          <rPr>
            <sz val="9"/>
            <rFont val="宋体"/>
            <charset val="134"/>
          </rPr>
          <t xml:space="preserve">
3001733 7/5 6128pcs
B栋4A4</t>
        </r>
      </text>
    </comment>
    <comment ref="AL284" authorId="0">
      <text>
        <r>
          <rPr>
            <b/>
            <sz val="9"/>
            <rFont val="宋体"/>
            <charset val="134"/>
          </rPr>
          <t>Administrator:</t>
        </r>
        <r>
          <rPr>
            <sz val="9"/>
            <rFont val="宋体"/>
            <charset val="134"/>
          </rPr>
          <t xml:space="preserve">
6/11 上客供RFID贴纸6128pcs
</t>
        </r>
      </text>
    </comment>
    <comment ref="AI285" authorId="0">
      <text>
        <r>
          <rPr>
            <b/>
            <sz val="9"/>
            <rFont val="宋体"/>
            <charset val="134"/>
          </rPr>
          <t>Administrator:</t>
        </r>
        <r>
          <rPr>
            <sz val="9"/>
            <rFont val="宋体"/>
            <charset val="134"/>
          </rPr>
          <t xml:space="preserve">
3001733 7/5 8576pcs
B栋4C7</t>
        </r>
      </text>
    </comment>
    <comment ref="AL285" authorId="0">
      <text>
        <r>
          <rPr>
            <b/>
            <sz val="9"/>
            <rFont val="宋体"/>
            <charset val="134"/>
          </rPr>
          <t>Administrator:</t>
        </r>
        <r>
          <rPr>
            <sz val="9"/>
            <rFont val="宋体"/>
            <charset val="134"/>
          </rPr>
          <t xml:space="preserve">
6/11 上客供RFID贴纸8576pcs
</t>
        </r>
      </text>
    </comment>
    <comment ref="AI286" authorId="0">
      <text>
        <r>
          <rPr>
            <b/>
            <sz val="9"/>
            <rFont val="宋体"/>
            <charset val="134"/>
          </rPr>
          <t>Administrator:</t>
        </r>
        <r>
          <rPr>
            <sz val="9"/>
            <rFont val="宋体"/>
            <charset val="134"/>
          </rPr>
          <t xml:space="preserve">
3001733 7/5 6464pcs
B栋4A4</t>
        </r>
      </text>
    </comment>
    <comment ref="AL286" authorId="0">
      <text>
        <r>
          <rPr>
            <b/>
            <sz val="9"/>
            <rFont val="宋体"/>
            <charset val="134"/>
          </rPr>
          <t>Administrator:</t>
        </r>
        <r>
          <rPr>
            <sz val="9"/>
            <rFont val="宋体"/>
            <charset val="134"/>
          </rPr>
          <t xml:space="preserve">
6/11 上客供RFID贴纸6464pcs
</t>
        </r>
      </text>
    </comment>
    <comment ref="AI287" authorId="0">
      <text>
        <r>
          <rPr>
            <b/>
            <sz val="9"/>
            <rFont val="宋体"/>
            <charset val="134"/>
          </rPr>
          <t>Administrator:</t>
        </r>
        <r>
          <rPr>
            <sz val="9"/>
            <rFont val="宋体"/>
            <charset val="134"/>
          </rPr>
          <t xml:space="preserve">
3001733 7/5 5888pcs
B栋4A4</t>
        </r>
      </text>
    </comment>
    <comment ref="AL287" authorId="0">
      <text>
        <r>
          <rPr>
            <b/>
            <sz val="9"/>
            <rFont val="宋体"/>
            <charset val="134"/>
          </rPr>
          <t>Administrator:</t>
        </r>
        <r>
          <rPr>
            <sz val="9"/>
            <rFont val="宋体"/>
            <charset val="134"/>
          </rPr>
          <t xml:space="preserve">
6/11 上客供RFID贴纸5888pcs
</t>
        </r>
      </text>
    </comment>
    <comment ref="AI288" authorId="0">
      <text>
        <r>
          <rPr>
            <b/>
            <sz val="9"/>
            <rFont val="宋体"/>
            <charset val="134"/>
          </rPr>
          <t>Administrator:</t>
        </r>
        <r>
          <rPr>
            <sz val="9"/>
            <rFont val="宋体"/>
            <charset val="134"/>
          </rPr>
          <t xml:space="preserve">
3001700 7/8 1264PCS 华3B14</t>
        </r>
      </text>
    </comment>
    <comment ref="AL288" authorId="0">
      <text>
        <r>
          <rPr>
            <b/>
            <sz val="9"/>
            <rFont val="宋体"/>
            <charset val="134"/>
          </rPr>
          <t>Administrator:</t>
        </r>
        <r>
          <rPr>
            <sz val="9"/>
            <rFont val="宋体"/>
            <charset val="134"/>
          </rPr>
          <t xml:space="preserve">
6/19 上客供RFID贴纸1264pcs
</t>
        </r>
      </text>
    </comment>
    <comment ref="AI289" authorId="0">
      <text>
        <r>
          <rPr>
            <b/>
            <sz val="9"/>
            <rFont val="宋体"/>
            <charset val="134"/>
          </rPr>
          <t>Administrator:</t>
        </r>
        <r>
          <rPr>
            <sz val="9"/>
            <rFont val="宋体"/>
            <charset val="134"/>
          </rPr>
          <t xml:space="preserve">
3001700 7/8 1792PCS 华3B14
</t>
        </r>
      </text>
    </comment>
    <comment ref="AL289" authorId="0">
      <text>
        <r>
          <rPr>
            <b/>
            <sz val="9"/>
            <rFont val="宋体"/>
            <charset val="134"/>
          </rPr>
          <t>Administrator:</t>
        </r>
        <r>
          <rPr>
            <sz val="9"/>
            <rFont val="宋体"/>
            <charset val="134"/>
          </rPr>
          <t xml:space="preserve">
6/19 上客供RFID贴纸1792pcs
</t>
        </r>
      </text>
    </comment>
    <comment ref="AI290" authorId="0">
      <text>
        <r>
          <rPr>
            <b/>
            <sz val="9"/>
            <rFont val="宋体"/>
            <charset val="134"/>
          </rPr>
          <t>Administrator:</t>
        </r>
        <r>
          <rPr>
            <sz val="9"/>
            <rFont val="宋体"/>
            <charset val="134"/>
          </rPr>
          <t xml:space="preserve">
3001700 7/8 608PCS 华3B13
</t>
        </r>
      </text>
    </comment>
    <comment ref="AL290" authorId="0">
      <text>
        <r>
          <rPr>
            <b/>
            <sz val="9"/>
            <rFont val="宋体"/>
            <charset val="134"/>
          </rPr>
          <t>Administrator:</t>
        </r>
        <r>
          <rPr>
            <sz val="9"/>
            <rFont val="宋体"/>
            <charset val="134"/>
          </rPr>
          <t xml:space="preserve">
6/19 上客供RFID贴纸608pcs
</t>
        </r>
      </text>
    </comment>
    <comment ref="AI291" authorId="0">
      <text>
        <r>
          <rPr>
            <b/>
            <sz val="9"/>
            <rFont val="宋体"/>
            <charset val="134"/>
          </rPr>
          <t>Administrator:</t>
        </r>
        <r>
          <rPr>
            <sz val="9"/>
            <rFont val="宋体"/>
            <charset val="134"/>
          </rPr>
          <t xml:space="preserve">
3001700 7/8 512PCS 华3B13
</t>
        </r>
      </text>
    </comment>
    <comment ref="AL291" authorId="0">
      <text>
        <r>
          <rPr>
            <b/>
            <sz val="9"/>
            <rFont val="宋体"/>
            <charset val="134"/>
          </rPr>
          <t>Administrator:</t>
        </r>
        <r>
          <rPr>
            <sz val="9"/>
            <rFont val="宋体"/>
            <charset val="134"/>
          </rPr>
          <t xml:space="preserve">
6/19 上客供RFID贴纸512pcs
</t>
        </r>
      </text>
    </comment>
    <comment ref="AI292" authorId="0">
      <text>
        <r>
          <rPr>
            <b/>
            <sz val="9"/>
            <rFont val="宋体"/>
            <charset val="134"/>
          </rPr>
          <t>Administrator:</t>
        </r>
        <r>
          <rPr>
            <sz val="9"/>
            <rFont val="宋体"/>
            <charset val="134"/>
          </rPr>
          <t xml:space="preserve">
3001676 7/7 750pcs
华3B13
</t>
        </r>
      </text>
    </comment>
    <comment ref="AL292" authorId="0">
      <text>
        <r>
          <rPr>
            <b/>
            <sz val="9"/>
            <rFont val="宋体"/>
            <charset val="134"/>
          </rPr>
          <t>Administrator:</t>
        </r>
        <r>
          <rPr>
            <sz val="9"/>
            <rFont val="宋体"/>
            <charset val="134"/>
          </rPr>
          <t xml:space="preserve">
6/13 上UPC贴纸750pcs</t>
        </r>
      </text>
    </comment>
    <comment ref="AI293" authorId="0">
      <text>
        <r>
          <rPr>
            <b/>
            <sz val="9"/>
            <rFont val="宋体"/>
            <charset val="134"/>
          </rPr>
          <t>Administrator:</t>
        </r>
        <r>
          <rPr>
            <sz val="9"/>
            <rFont val="宋体"/>
            <charset val="134"/>
          </rPr>
          <t xml:space="preserve">
3001618 7/10 4680pcs华3A29</t>
        </r>
      </text>
    </comment>
    <comment ref="AL293" authorId="0">
      <text>
        <r>
          <rPr>
            <b/>
            <sz val="9"/>
            <rFont val="宋体"/>
            <charset val="134"/>
          </rPr>
          <t>Administrator:</t>
        </r>
        <r>
          <rPr>
            <sz val="9"/>
            <rFont val="宋体"/>
            <charset val="134"/>
          </rPr>
          <t xml:space="preserve">
6/23 上UPC条码贴纸4680pcs</t>
        </r>
      </text>
    </comment>
    <comment ref="AI294" authorId="0">
      <text>
        <r>
          <rPr>
            <b/>
            <sz val="9"/>
            <rFont val="宋体"/>
            <charset val="134"/>
          </rPr>
          <t>Administrator:</t>
        </r>
        <r>
          <rPr>
            <sz val="9"/>
            <rFont val="宋体"/>
            <charset val="134"/>
          </rPr>
          <t xml:space="preserve">
3001700 7/8 3864pcs 华3A31</t>
        </r>
      </text>
    </comment>
    <comment ref="AL294" authorId="0">
      <text>
        <r>
          <rPr>
            <b/>
            <sz val="9"/>
            <rFont val="宋体"/>
            <charset val="134"/>
          </rPr>
          <t>Administrator:</t>
        </r>
        <r>
          <rPr>
            <sz val="9"/>
            <rFont val="宋体"/>
            <charset val="134"/>
          </rPr>
          <t xml:space="preserve">
6/24 上客供亚马逊外箱贴纸322pcs
</t>
        </r>
      </text>
    </comment>
    <comment ref="AI295" authorId="0">
      <text>
        <r>
          <rPr>
            <b/>
            <sz val="9"/>
            <rFont val="宋体"/>
            <charset val="134"/>
          </rPr>
          <t>Administrator:</t>
        </r>
        <r>
          <rPr>
            <sz val="9"/>
            <rFont val="宋体"/>
            <charset val="134"/>
          </rPr>
          <t xml:space="preserve">
3001700 7/8 4332pcs 华3A31
</t>
        </r>
      </text>
    </comment>
    <comment ref="AL295" authorId="0">
      <text>
        <r>
          <rPr>
            <b/>
            <sz val="9"/>
            <rFont val="宋体"/>
            <charset val="134"/>
          </rPr>
          <t>Administrator:</t>
        </r>
        <r>
          <rPr>
            <sz val="9"/>
            <rFont val="宋体"/>
            <charset val="134"/>
          </rPr>
          <t xml:space="preserve">
6/24 上客供亚马逊外箱贴纸361pcs
</t>
        </r>
      </text>
    </comment>
    <comment ref="AI296" authorId="0">
      <text>
        <r>
          <rPr>
            <b/>
            <sz val="9"/>
            <rFont val="宋体"/>
            <charset val="134"/>
          </rPr>
          <t>Administrator:</t>
        </r>
        <r>
          <rPr>
            <sz val="9"/>
            <rFont val="宋体"/>
            <charset val="134"/>
          </rPr>
          <t xml:space="preserve">
3001733 7/5 11312pcs  
B栋4A4</t>
        </r>
      </text>
    </comment>
    <comment ref="AL296" authorId="0">
      <text>
        <r>
          <rPr>
            <b/>
            <sz val="9"/>
            <rFont val="宋体"/>
            <charset val="134"/>
          </rPr>
          <t>Administrator:</t>
        </r>
        <r>
          <rPr>
            <sz val="9"/>
            <rFont val="宋体"/>
            <charset val="134"/>
          </rPr>
          <t xml:space="preserve">
6/11 上客供RFID贴纸11312pcs
</t>
        </r>
      </text>
    </comment>
    <comment ref="AI297" authorId="0">
      <text>
        <r>
          <rPr>
            <b/>
            <sz val="9"/>
            <rFont val="宋体"/>
            <charset val="134"/>
          </rPr>
          <t>Administrator:</t>
        </r>
        <r>
          <rPr>
            <sz val="9"/>
            <rFont val="宋体"/>
            <charset val="134"/>
          </rPr>
          <t xml:space="preserve">
3001715 7/5 9776pcs 华3A10</t>
        </r>
      </text>
    </comment>
    <comment ref="AL297" authorId="0">
      <text>
        <r>
          <rPr>
            <b/>
            <sz val="9"/>
            <rFont val="宋体"/>
            <charset val="134"/>
          </rPr>
          <t>Administrator:</t>
        </r>
        <r>
          <rPr>
            <sz val="9"/>
            <rFont val="宋体"/>
            <charset val="134"/>
          </rPr>
          <t xml:space="preserve">
6/11 上客供RFID贴纸9776pcs
</t>
        </r>
      </text>
    </comment>
    <comment ref="AI298" authorId="0">
      <text>
        <r>
          <rPr>
            <b/>
            <sz val="9"/>
            <rFont val="宋体"/>
            <charset val="134"/>
          </rPr>
          <t>Administrator:</t>
        </r>
        <r>
          <rPr>
            <sz val="9"/>
            <rFont val="宋体"/>
            <charset val="134"/>
          </rPr>
          <t xml:space="preserve">
3001685 7/8 9888pcs B栋4C6</t>
        </r>
      </text>
    </comment>
    <comment ref="AL298" authorId="0">
      <text>
        <r>
          <rPr>
            <b/>
            <sz val="9"/>
            <rFont val="宋体"/>
            <charset val="134"/>
          </rPr>
          <t>Administrator:</t>
        </r>
        <r>
          <rPr>
            <sz val="9"/>
            <rFont val="宋体"/>
            <charset val="134"/>
          </rPr>
          <t xml:space="preserve">
6/11 上客供RFID贴纸9888pcs
</t>
        </r>
      </text>
    </comment>
    <comment ref="AI299" authorId="0">
      <text>
        <r>
          <rPr>
            <b/>
            <sz val="9"/>
            <rFont val="宋体"/>
            <charset val="134"/>
          </rPr>
          <t>Administrator:</t>
        </r>
        <r>
          <rPr>
            <sz val="9"/>
            <rFont val="宋体"/>
            <charset val="134"/>
          </rPr>
          <t xml:space="preserve">
3001641 7/9 11488pcs
</t>
        </r>
      </text>
    </comment>
    <comment ref="AL299" authorId="0">
      <text>
        <r>
          <rPr>
            <b/>
            <sz val="9"/>
            <rFont val="宋体"/>
            <charset val="134"/>
          </rPr>
          <t>Administrator:</t>
        </r>
        <r>
          <rPr>
            <sz val="9"/>
            <rFont val="宋体"/>
            <charset val="134"/>
          </rPr>
          <t xml:space="preserve">
6/11 上客供RFID贴纸11488pcs
</t>
        </r>
      </text>
    </comment>
    <comment ref="AI300" authorId="0">
      <text>
        <r>
          <rPr>
            <b/>
            <sz val="9"/>
            <rFont val="宋体"/>
            <charset val="134"/>
          </rPr>
          <t>Administrator:</t>
        </r>
        <r>
          <rPr>
            <sz val="9"/>
            <rFont val="宋体"/>
            <charset val="134"/>
          </rPr>
          <t xml:space="preserve">
3001641 7/9 6750pcs
3001615 7/9 2625pcs
华3A19
3001618 7/10 10925pcs华3B8</t>
        </r>
      </text>
    </comment>
    <comment ref="AL300" authorId="0">
      <text>
        <r>
          <rPr>
            <b/>
            <sz val="9"/>
            <rFont val="宋体"/>
            <charset val="134"/>
          </rPr>
          <t>Administrator:</t>
        </r>
        <r>
          <rPr>
            <sz val="9"/>
            <rFont val="宋体"/>
            <charset val="134"/>
          </rPr>
          <t xml:space="preserve">
6/24 上客供外箱条码贴纸820pcs
</t>
        </r>
      </text>
    </comment>
    <comment ref="AI301" authorId="0">
      <text>
        <r>
          <rPr>
            <b/>
            <sz val="9"/>
            <rFont val="宋体"/>
            <charset val="134"/>
          </rPr>
          <t>Administrator:</t>
        </r>
        <r>
          <rPr>
            <sz val="9"/>
            <rFont val="宋体"/>
            <charset val="134"/>
          </rPr>
          <t xml:space="preserve">
3001641 7/9 299pcs
</t>
        </r>
      </text>
    </comment>
    <comment ref="AL301" authorId="0">
      <text>
        <r>
          <rPr>
            <b/>
            <sz val="9"/>
            <rFont val="宋体"/>
            <charset val="134"/>
          </rPr>
          <t>Administrator:</t>
        </r>
        <r>
          <rPr>
            <sz val="9"/>
            <rFont val="宋体"/>
            <charset val="134"/>
          </rPr>
          <t xml:space="preserve">
6/19 上白色防盗贴299pcs
</t>
        </r>
      </text>
    </comment>
    <comment ref="AI302" authorId="0">
      <text>
        <r>
          <rPr>
            <b/>
            <sz val="9"/>
            <rFont val="宋体"/>
            <charset val="134"/>
          </rPr>
          <t>Administrator:</t>
        </r>
        <r>
          <rPr>
            <sz val="9"/>
            <rFont val="宋体"/>
            <charset val="134"/>
          </rPr>
          <t xml:space="preserve">
3001618 7/10 2899pcs华3A32</t>
        </r>
      </text>
    </comment>
    <comment ref="AL302" authorId="0">
      <text>
        <r>
          <rPr>
            <b/>
            <sz val="9"/>
            <rFont val="宋体"/>
            <charset val="134"/>
          </rPr>
          <t>Administrator:</t>
        </r>
        <r>
          <rPr>
            <sz val="9"/>
            <rFont val="宋体"/>
            <charset val="134"/>
          </rPr>
          <t xml:space="preserve">
6/19 上白色防盗贴纸2899pcs
6/26 上UPC条码贴纸3198pcs</t>
        </r>
      </text>
    </comment>
    <comment ref="AI303" authorId="0">
      <text>
        <r>
          <rPr>
            <b/>
            <sz val="9"/>
            <rFont val="宋体"/>
            <charset val="134"/>
          </rPr>
          <t>Administrator:</t>
        </r>
        <r>
          <rPr>
            <sz val="9"/>
            <rFont val="宋体"/>
            <charset val="134"/>
          </rPr>
          <t xml:space="preserve">
2002515 6/7 600pcs送回半成品球东莞混装莫4A1
2002495 6/14 1250pcs送回半成品东莞混装
2001690 6/24 3550pcs送回半成品</t>
        </r>
      </text>
    </comment>
    <comment ref="AI305" authorId="0">
      <text>
        <r>
          <rPr>
            <b/>
            <sz val="9"/>
            <rFont val="宋体"/>
            <charset val="134"/>
          </rPr>
          <t>Administrator:</t>
        </r>
        <r>
          <rPr>
            <sz val="9"/>
            <rFont val="宋体"/>
            <charset val="134"/>
          </rPr>
          <t xml:space="preserve">
2001818 7/10 360pcs华3A24</t>
        </r>
      </text>
    </comment>
    <comment ref="AL305" authorId="0">
      <text>
        <r>
          <rPr>
            <b/>
            <sz val="9"/>
            <rFont val="宋体"/>
            <charset val="134"/>
          </rPr>
          <t>Administrator:</t>
        </r>
        <r>
          <rPr>
            <sz val="9"/>
            <rFont val="宋体"/>
            <charset val="134"/>
          </rPr>
          <t xml:space="preserve">
6/13 上客户进口商贴纸720pcs
EAN条码贴纸720pcs
7/5 上空白贴纸720pcs
</t>
        </r>
      </text>
    </comment>
    <comment ref="AI306" authorId="0">
      <text>
        <r>
          <rPr>
            <b/>
            <sz val="9"/>
            <rFont val="宋体"/>
            <charset val="134"/>
          </rPr>
          <t>Administrator:</t>
        </r>
        <r>
          <rPr>
            <sz val="9"/>
            <rFont val="宋体"/>
            <charset val="134"/>
          </rPr>
          <t xml:space="preserve">
3001905 7/4 1008pcs</t>
        </r>
      </text>
    </comment>
    <comment ref="AI307" authorId="0">
      <text>
        <r>
          <rPr>
            <b/>
            <sz val="9"/>
            <rFont val="宋体"/>
            <charset val="134"/>
          </rPr>
          <t>Administrator:</t>
        </r>
        <r>
          <rPr>
            <sz val="9"/>
            <rFont val="宋体"/>
            <charset val="134"/>
          </rPr>
          <t xml:space="preserve">
3001904 7/4 150pcs
华3B1</t>
        </r>
      </text>
    </comment>
    <comment ref="AI308" authorId="0">
      <text>
        <r>
          <rPr>
            <b/>
            <sz val="9"/>
            <rFont val="宋体"/>
            <charset val="134"/>
          </rPr>
          <t>Administrator:</t>
        </r>
        <r>
          <rPr>
            <sz val="9"/>
            <rFont val="宋体"/>
            <charset val="134"/>
          </rPr>
          <t xml:space="preserve">
2002495 6/14 800pcs送回半成品东莞混装
2001600 7/2 4005pcs 送回半成品东莞混装
2001610 7/3 595pcs送回半成品东莞混装</t>
        </r>
      </text>
    </comment>
    <comment ref="AI310" authorId="0">
      <text>
        <r>
          <rPr>
            <b/>
            <sz val="9"/>
            <rFont val="宋体"/>
            <charset val="134"/>
          </rPr>
          <t>Administrator:</t>
        </r>
        <r>
          <rPr>
            <sz val="9"/>
            <rFont val="宋体"/>
            <charset val="134"/>
          </rPr>
          <t xml:space="preserve">
3001904 7/4 500pcs华3B1</t>
        </r>
      </text>
    </comment>
    <comment ref="AI311" authorId="0">
      <text>
        <r>
          <rPr>
            <b/>
            <sz val="9"/>
            <rFont val="宋体"/>
            <charset val="134"/>
          </rPr>
          <t>Administrator:</t>
        </r>
        <r>
          <rPr>
            <sz val="9"/>
            <rFont val="宋体"/>
            <charset val="134"/>
          </rPr>
          <t xml:space="preserve">
3001904 7/4 350pcs华3B1</t>
        </r>
      </text>
    </comment>
    <comment ref="AI312" authorId="0">
      <text>
        <r>
          <rPr>
            <b/>
            <sz val="9"/>
            <rFont val="宋体"/>
            <charset val="134"/>
          </rPr>
          <t>Administrator:</t>
        </r>
        <r>
          <rPr>
            <sz val="9"/>
            <rFont val="宋体"/>
            <charset val="134"/>
          </rPr>
          <t xml:space="preserve">
3001676 7/7 500pcs 华
3A23</t>
        </r>
      </text>
    </comment>
    <comment ref="AL312" authorId="0">
      <text>
        <r>
          <rPr>
            <b/>
            <sz val="9"/>
            <rFont val="宋体"/>
            <charset val="134"/>
          </rPr>
          <t>Administrator:</t>
        </r>
        <r>
          <rPr>
            <sz val="9"/>
            <rFont val="宋体"/>
            <charset val="134"/>
          </rPr>
          <t xml:space="preserve">
6/18 上西班牙环保标/邮箱贴纸500pcs
</t>
        </r>
      </text>
    </comment>
    <comment ref="AI313" authorId="0">
      <text>
        <r>
          <rPr>
            <b/>
            <sz val="9"/>
            <rFont val="宋体"/>
            <charset val="134"/>
          </rPr>
          <t>Administrator:</t>
        </r>
        <r>
          <rPr>
            <sz val="9"/>
            <rFont val="宋体"/>
            <charset val="134"/>
          </rPr>
          <t xml:space="preserve">
2001818 7/10 300pcs华3B14</t>
        </r>
      </text>
    </comment>
    <comment ref="AL313" authorId="0">
      <text>
        <r>
          <rPr>
            <b/>
            <sz val="9"/>
            <rFont val="宋体"/>
            <charset val="134"/>
          </rPr>
          <t>Administrator:</t>
        </r>
        <r>
          <rPr>
            <sz val="9"/>
            <rFont val="宋体"/>
            <charset val="134"/>
          </rPr>
          <t xml:space="preserve">
6/18 上EAN贴纸600pcs
7/5 上空白贴纸600pcs
</t>
        </r>
      </text>
    </comment>
    <comment ref="AI314" authorId="0">
      <text>
        <r>
          <rPr>
            <b/>
            <sz val="9"/>
            <rFont val="宋体"/>
            <charset val="134"/>
          </rPr>
          <t>Administrator:</t>
        </r>
        <r>
          <rPr>
            <sz val="9"/>
            <rFont val="宋体"/>
            <charset val="134"/>
          </rPr>
          <t xml:space="preserve">
2001818 7/10 120pcs华3A6</t>
        </r>
      </text>
    </comment>
    <comment ref="AL314" authorId="0">
      <text>
        <r>
          <rPr>
            <b/>
            <sz val="9"/>
            <rFont val="宋体"/>
            <charset val="134"/>
          </rPr>
          <t>Administrator:</t>
        </r>
        <r>
          <rPr>
            <sz val="9"/>
            <rFont val="宋体"/>
            <charset val="134"/>
          </rPr>
          <t xml:space="preserve">
7/5 上空白贴纸240pcs
</t>
        </r>
      </text>
    </comment>
    <comment ref="AI315" authorId="0">
      <text>
        <r>
          <rPr>
            <b/>
            <sz val="9"/>
            <rFont val="宋体"/>
            <charset val="134"/>
          </rPr>
          <t>Administrator:</t>
        </r>
        <r>
          <rPr>
            <sz val="9"/>
            <rFont val="宋体"/>
            <charset val="134"/>
          </rPr>
          <t xml:space="preserve">
2001818 7/10 42pcs华3A6</t>
        </r>
      </text>
    </comment>
    <comment ref="AL315" authorId="0">
      <text>
        <r>
          <rPr>
            <b/>
            <sz val="9"/>
            <rFont val="宋体"/>
            <charset val="134"/>
          </rPr>
          <t>Administrator:</t>
        </r>
        <r>
          <rPr>
            <sz val="9"/>
            <rFont val="宋体"/>
            <charset val="134"/>
          </rPr>
          <t xml:space="preserve">
6/13 上EAN条码贴纸84pcs
7/5 上空白贴纸84pcs
</t>
        </r>
      </text>
    </comment>
    <comment ref="AI316" authorId="0">
      <text>
        <r>
          <rPr>
            <b/>
            <sz val="9"/>
            <rFont val="宋体"/>
            <charset val="134"/>
          </rPr>
          <t>Administrator:</t>
        </r>
        <r>
          <rPr>
            <sz val="9"/>
            <rFont val="宋体"/>
            <charset val="134"/>
          </rPr>
          <t xml:space="preserve">
3001633 7/11 1300pcs</t>
        </r>
      </text>
    </comment>
    <comment ref="AL316" authorId="0">
      <text>
        <r>
          <rPr>
            <b/>
            <sz val="9"/>
            <rFont val="宋体"/>
            <charset val="134"/>
          </rPr>
          <t>Administrator:</t>
        </r>
        <r>
          <rPr>
            <sz val="9"/>
            <rFont val="宋体"/>
            <charset val="134"/>
          </rPr>
          <t xml:space="preserve">
6/21 上UPC贴纸1300pcs
上进口商贴纸1300pcs</t>
        </r>
      </text>
    </comment>
    <comment ref="AI317" authorId="0">
      <text>
        <r>
          <rPr>
            <b/>
            <sz val="9"/>
            <rFont val="宋体"/>
            <charset val="134"/>
          </rPr>
          <t>Administrator:</t>
        </r>
        <r>
          <rPr>
            <sz val="9"/>
            <rFont val="宋体"/>
            <charset val="134"/>
          </rPr>
          <t xml:space="preserve">
3001549 7/11 1800pcs</t>
        </r>
      </text>
    </comment>
    <comment ref="AI318" authorId="0">
      <text>
        <r>
          <rPr>
            <b/>
            <sz val="9"/>
            <rFont val="宋体"/>
            <charset val="134"/>
          </rPr>
          <t>Administrator:</t>
        </r>
        <r>
          <rPr>
            <sz val="9"/>
            <rFont val="宋体"/>
            <charset val="134"/>
          </rPr>
          <t xml:space="preserve">
3001549 7/11 14725pcs</t>
        </r>
      </text>
    </comment>
    <comment ref="AL318" authorId="0">
      <text>
        <r>
          <rPr>
            <b/>
            <sz val="9"/>
            <rFont val="宋体"/>
            <charset val="134"/>
          </rPr>
          <t>Administrator:</t>
        </r>
        <r>
          <rPr>
            <sz val="9"/>
            <rFont val="宋体"/>
            <charset val="134"/>
          </rPr>
          <t xml:space="preserve">
6/24 上客供外箱条码贴纸595pcs
</t>
        </r>
      </text>
    </comment>
    <comment ref="AI319" authorId="0">
      <text>
        <r>
          <rPr>
            <b/>
            <sz val="9"/>
            <rFont val="宋体"/>
            <charset val="134"/>
          </rPr>
          <t>Administrator:</t>
        </r>
        <r>
          <rPr>
            <sz val="9"/>
            <rFont val="宋体"/>
            <charset val="134"/>
          </rPr>
          <t xml:space="preserve">
3001633 7/11 600pcs</t>
        </r>
      </text>
    </comment>
    <comment ref="AI320" authorId="0">
      <text>
        <r>
          <rPr>
            <b/>
            <sz val="9"/>
            <rFont val="宋体"/>
            <charset val="134"/>
          </rPr>
          <t>Administrator:</t>
        </r>
        <r>
          <rPr>
            <sz val="9"/>
            <rFont val="宋体"/>
            <charset val="134"/>
          </rPr>
          <t xml:space="preserve">
3001549 7/11 6775pCS 华3A26</t>
        </r>
      </text>
    </comment>
    <comment ref="AI321" authorId="0">
      <text>
        <r>
          <rPr>
            <b/>
            <sz val="9"/>
            <rFont val="宋体"/>
            <charset val="134"/>
          </rPr>
          <t>Administrator:</t>
        </r>
        <r>
          <rPr>
            <sz val="9"/>
            <rFont val="宋体"/>
            <charset val="134"/>
          </rPr>
          <t xml:space="preserve">
3001624 7/10 7888pcs
华3A3
3001633 7/11 48pcs</t>
        </r>
      </text>
    </comment>
    <comment ref="AL321" authorId="0">
      <text>
        <r>
          <rPr>
            <b/>
            <sz val="9"/>
            <rFont val="宋体"/>
            <charset val="134"/>
          </rPr>
          <t>Administrator:</t>
        </r>
        <r>
          <rPr>
            <sz val="9"/>
            <rFont val="宋体"/>
            <charset val="134"/>
          </rPr>
          <t xml:space="preserve">
6/11 上客供RFID贴纸7936pcs
</t>
        </r>
      </text>
    </comment>
    <comment ref="AI322" authorId="0">
      <text>
        <r>
          <rPr>
            <b/>
            <sz val="9"/>
            <rFont val="宋体"/>
            <charset val="134"/>
          </rPr>
          <t>Administrator:</t>
        </r>
        <r>
          <rPr>
            <sz val="9"/>
            <rFont val="宋体"/>
            <charset val="134"/>
          </rPr>
          <t xml:space="preserve">
3001624 7/10 7632pcs华3B2</t>
        </r>
      </text>
    </comment>
    <comment ref="AL322" authorId="0">
      <text>
        <r>
          <rPr>
            <b/>
            <sz val="9"/>
            <rFont val="宋体"/>
            <charset val="134"/>
          </rPr>
          <t>Administrator:</t>
        </r>
        <r>
          <rPr>
            <sz val="9"/>
            <rFont val="宋体"/>
            <charset val="134"/>
          </rPr>
          <t xml:space="preserve">
6/11 上客供RFID贴纸7632pcs
</t>
        </r>
      </text>
    </comment>
    <comment ref="AI323" authorId="0">
      <text>
        <r>
          <rPr>
            <b/>
            <sz val="9"/>
            <rFont val="宋体"/>
            <charset val="134"/>
          </rPr>
          <t>Administrator:</t>
        </r>
        <r>
          <rPr>
            <sz val="9"/>
            <rFont val="宋体"/>
            <charset val="134"/>
          </rPr>
          <t xml:space="preserve">
3001624 7/10 5120pcs华3A3</t>
        </r>
      </text>
    </comment>
    <comment ref="AL323" authorId="0">
      <text>
        <r>
          <rPr>
            <b/>
            <sz val="9"/>
            <rFont val="宋体"/>
            <charset val="134"/>
          </rPr>
          <t>Administrator:</t>
        </r>
        <r>
          <rPr>
            <sz val="9"/>
            <rFont val="宋体"/>
            <charset val="134"/>
          </rPr>
          <t xml:space="preserve">
6/11 上客供RFID贴纸5120pcs
</t>
        </r>
      </text>
    </comment>
    <comment ref="AI324" authorId="0">
      <text>
        <r>
          <rPr>
            <b/>
            <sz val="9"/>
            <rFont val="宋体"/>
            <charset val="134"/>
          </rPr>
          <t>Administrator:</t>
        </r>
        <r>
          <rPr>
            <sz val="9"/>
            <rFont val="宋体"/>
            <charset val="134"/>
          </rPr>
          <t xml:space="preserve">
2001819 7/10 2400pcs莫5楼B3</t>
        </r>
      </text>
    </comment>
    <comment ref="AI326" authorId="0">
      <text>
        <r>
          <rPr>
            <b/>
            <sz val="9"/>
            <rFont val="宋体"/>
            <charset val="134"/>
          </rPr>
          <t>Administrator:</t>
        </r>
        <r>
          <rPr>
            <sz val="9"/>
            <rFont val="宋体"/>
            <charset val="134"/>
          </rPr>
          <t xml:space="preserve">
3001535 7/11 3988pcs
3001509 7/14 96pcs</t>
        </r>
      </text>
    </comment>
    <comment ref="AI327" authorId="0">
      <text>
        <r>
          <rPr>
            <b/>
            <sz val="9"/>
            <rFont val="宋体"/>
            <charset val="134"/>
          </rPr>
          <t>Administrator:</t>
        </r>
        <r>
          <rPr>
            <sz val="9"/>
            <rFont val="宋体"/>
            <charset val="134"/>
          </rPr>
          <t xml:space="preserve">
2001809 7/10 4800pcs莫B5B9</t>
        </r>
      </text>
    </comment>
    <comment ref="AI329" authorId="0">
      <text>
        <r>
          <rPr>
            <b/>
            <sz val="9"/>
            <rFont val="宋体"/>
            <charset val="134"/>
          </rPr>
          <t>Administrator:</t>
        </r>
        <r>
          <rPr>
            <sz val="9"/>
            <rFont val="宋体"/>
            <charset val="134"/>
          </rPr>
          <t xml:space="preserve">
3001472 7/14 4384pcs
华3A133001514 7/14 4224pcs华3A13</t>
        </r>
      </text>
    </comment>
    <comment ref="AL329" authorId="0">
      <text>
        <r>
          <rPr>
            <b/>
            <sz val="9"/>
            <rFont val="宋体"/>
            <charset val="134"/>
          </rPr>
          <t>Administrator:</t>
        </r>
        <r>
          <rPr>
            <sz val="9"/>
            <rFont val="宋体"/>
            <charset val="134"/>
          </rPr>
          <t xml:space="preserve">
6/24 上客供RFID贴纸8608pcs
</t>
        </r>
      </text>
    </comment>
    <comment ref="AI330" authorId="0">
      <text>
        <r>
          <rPr>
            <b/>
            <sz val="9"/>
            <rFont val="宋体"/>
            <charset val="134"/>
          </rPr>
          <t>Administrator:</t>
        </r>
        <r>
          <rPr>
            <sz val="9"/>
            <rFont val="宋体"/>
            <charset val="134"/>
          </rPr>
          <t xml:space="preserve">
3001472 7/14 9664pcs
华3A13</t>
        </r>
      </text>
    </comment>
    <comment ref="AL330" authorId="0">
      <text>
        <r>
          <rPr>
            <b/>
            <sz val="9"/>
            <rFont val="宋体"/>
            <charset val="134"/>
          </rPr>
          <t>Administrator:</t>
        </r>
        <r>
          <rPr>
            <sz val="9"/>
            <rFont val="宋体"/>
            <charset val="134"/>
          </rPr>
          <t xml:space="preserve">
6/24 上客供RFID贴纸9664pcs
</t>
        </r>
      </text>
    </comment>
    <comment ref="AI331" authorId="0">
      <text>
        <r>
          <rPr>
            <b/>
            <sz val="9"/>
            <rFont val="宋体"/>
            <charset val="134"/>
          </rPr>
          <t>Administrator:</t>
        </r>
        <r>
          <rPr>
            <sz val="9"/>
            <rFont val="宋体"/>
            <charset val="134"/>
          </rPr>
          <t xml:space="preserve">
3001514 7/14 8064pcs华3A16</t>
        </r>
      </text>
    </comment>
    <comment ref="AL331" authorId="0">
      <text>
        <r>
          <rPr>
            <b/>
            <sz val="9"/>
            <rFont val="宋体"/>
            <charset val="134"/>
          </rPr>
          <t>Administrator:</t>
        </r>
        <r>
          <rPr>
            <sz val="9"/>
            <rFont val="宋体"/>
            <charset val="134"/>
          </rPr>
          <t xml:space="preserve">
6/24 上客供RFID贴纸8064pcs
</t>
        </r>
      </text>
    </comment>
    <comment ref="AI332" authorId="0">
      <text>
        <r>
          <rPr>
            <b/>
            <sz val="9"/>
            <rFont val="宋体"/>
            <charset val="134"/>
          </rPr>
          <t>Administrator:</t>
        </r>
        <r>
          <rPr>
            <sz val="9"/>
            <rFont val="宋体"/>
            <charset val="134"/>
          </rPr>
          <t xml:space="preserve">
3001472 7/14 7264pcs
华3A12</t>
        </r>
      </text>
    </comment>
    <comment ref="AL332" authorId="0">
      <text>
        <r>
          <rPr>
            <b/>
            <sz val="9"/>
            <rFont val="宋体"/>
            <charset val="134"/>
          </rPr>
          <t>Administrator:</t>
        </r>
        <r>
          <rPr>
            <sz val="9"/>
            <rFont val="宋体"/>
            <charset val="134"/>
          </rPr>
          <t xml:space="preserve">
6/24 上客供RFID贴纸7264pcs
</t>
        </r>
      </text>
    </comment>
    <comment ref="AI333" authorId="0">
      <text>
        <r>
          <rPr>
            <b/>
            <sz val="9"/>
            <rFont val="宋体"/>
            <charset val="134"/>
          </rPr>
          <t>Administrator:</t>
        </r>
        <r>
          <rPr>
            <sz val="9"/>
            <rFont val="宋体"/>
            <charset val="134"/>
          </rPr>
          <t xml:space="preserve">
3001472 7/14 7744pcs
华3B7</t>
        </r>
      </text>
    </comment>
    <comment ref="AL333" authorId="0">
      <text>
        <r>
          <rPr>
            <b/>
            <sz val="9"/>
            <rFont val="宋体"/>
            <charset val="134"/>
          </rPr>
          <t>Administrator:</t>
        </r>
        <r>
          <rPr>
            <sz val="9"/>
            <rFont val="宋体"/>
            <charset val="134"/>
          </rPr>
          <t xml:space="preserve">
6/24 上客供RFID贴纸7744pcs
</t>
        </r>
      </text>
    </comment>
    <comment ref="AI336" authorId="0">
      <text>
        <r>
          <rPr>
            <b/>
            <sz val="9"/>
            <rFont val="宋体"/>
            <charset val="134"/>
          </rPr>
          <t>Administrator:</t>
        </r>
        <r>
          <rPr>
            <sz val="9"/>
            <rFont val="宋体"/>
            <charset val="134"/>
          </rPr>
          <t xml:space="preserve">
3002626 7/18 1950pcs华3A32</t>
        </r>
      </text>
    </comment>
    <comment ref="AI337" authorId="0">
      <text>
        <r>
          <rPr>
            <b/>
            <sz val="9"/>
            <rFont val="宋体"/>
            <charset val="134"/>
          </rPr>
          <t>Administrator:</t>
        </r>
        <r>
          <rPr>
            <sz val="9"/>
            <rFont val="宋体"/>
            <charset val="134"/>
          </rPr>
          <t xml:space="preserve">
3002626 7/18 800pcs华3B15</t>
        </r>
      </text>
    </comment>
    <comment ref="AL337" authorId="0">
      <text>
        <r>
          <rPr>
            <b/>
            <sz val="9"/>
            <rFont val="宋体"/>
            <charset val="134"/>
          </rPr>
          <t>Administrator:</t>
        </r>
        <r>
          <rPr>
            <sz val="9"/>
            <rFont val="宋体"/>
            <charset val="134"/>
          </rPr>
          <t xml:space="preserve">
6/23 上进口商贴纸800pcs
</t>
        </r>
      </text>
    </comment>
    <comment ref="AI338" authorId="0">
      <text>
        <r>
          <rPr>
            <b/>
            <sz val="9"/>
            <rFont val="宋体"/>
            <charset val="134"/>
          </rPr>
          <t>Administrator:</t>
        </r>
        <r>
          <rPr>
            <sz val="9"/>
            <rFont val="宋体"/>
            <charset val="134"/>
          </rPr>
          <t xml:space="preserve">
3001915 7/3 50pcs
华3B15
2002031 7/3 10950pcs华3B15</t>
        </r>
      </text>
    </comment>
    <comment ref="AI339" authorId="0">
      <text>
        <r>
          <rPr>
            <b/>
            <sz val="9"/>
            <rFont val="宋体"/>
            <charset val="134"/>
          </rPr>
          <t>Administrator:</t>
        </r>
        <r>
          <rPr>
            <sz val="9"/>
            <rFont val="宋体"/>
            <charset val="134"/>
          </rPr>
          <t xml:space="preserve">
3002608 7/18 2808pcs莫4B8</t>
        </r>
      </text>
    </comment>
    <comment ref="AL339" authorId="0">
      <text>
        <r>
          <rPr>
            <b/>
            <sz val="9"/>
            <rFont val="宋体"/>
            <charset val="134"/>
          </rPr>
          <t>Administrator:</t>
        </r>
        <r>
          <rPr>
            <sz val="9"/>
            <rFont val="宋体"/>
            <charset val="134"/>
          </rPr>
          <t xml:space="preserve">
6/26 上UPC条码贴纸2808pcs</t>
        </r>
      </text>
    </comment>
    <comment ref="AI340" authorId="0">
      <text>
        <r>
          <rPr>
            <b/>
            <sz val="9"/>
            <rFont val="宋体"/>
            <charset val="134"/>
          </rPr>
          <t>Administrator:</t>
        </r>
        <r>
          <rPr>
            <sz val="9"/>
            <rFont val="宋体"/>
            <charset val="134"/>
          </rPr>
          <t xml:space="preserve">
0001752 7/18 1512pcs
0001732 7/19 7188pcs</t>
        </r>
      </text>
    </comment>
    <comment ref="AI341" authorId="0">
      <text>
        <r>
          <rPr>
            <b/>
            <sz val="9"/>
            <rFont val="宋体"/>
            <charset val="134"/>
          </rPr>
          <t>Administrator:</t>
        </r>
        <r>
          <rPr>
            <sz val="9"/>
            <rFont val="宋体"/>
            <charset val="134"/>
          </rPr>
          <t xml:space="preserve">
3002616 7/19 3550pcs华3</t>
        </r>
      </text>
    </comment>
    <comment ref="AL341" authorId="0">
      <text>
        <r>
          <rPr>
            <b/>
            <sz val="9"/>
            <rFont val="宋体"/>
            <charset val="134"/>
          </rPr>
          <t>Administrator:</t>
        </r>
        <r>
          <rPr>
            <sz val="9"/>
            <rFont val="宋体"/>
            <charset val="134"/>
          </rPr>
          <t xml:space="preserve">
7/1 上UPC条码贴纸3550pcs
红色LOGO贴纸3550pcs
进口商贴纸3550pcs</t>
        </r>
      </text>
    </comment>
    <comment ref="AI342" authorId="0">
      <text>
        <r>
          <rPr>
            <b/>
            <sz val="9"/>
            <rFont val="宋体"/>
            <charset val="134"/>
          </rPr>
          <t>Administrator:</t>
        </r>
        <r>
          <rPr>
            <sz val="9"/>
            <rFont val="宋体"/>
            <charset val="134"/>
          </rPr>
          <t xml:space="preserve">
3002644 7/18 1200pcs莫4A1</t>
        </r>
      </text>
    </comment>
    <comment ref="AL342" authorId="0">
      <text>
        <r>
          <rPr>
            <b/>
            <sz val="9"/>
            <rFont val="宋体"/>
            <charset val="134"/>
          </rPr>
          <t>Administrator:</t>
        </r>
        <r>
          <rPr>
            <sz val="9"/>
            <rFont val="宋体"/>
            <charset val="134"/>
          </rPr>
          <t xml:space="preserve">
6/28 上进口商贴纸1200pcs</t>
        </r>
      </text>
    </comment>
    <comment ref="AI343" authorId="0">
      <text>
        <r>
          <rPr>
            <b/>
            <sz val="9"/>
            <rFont val="宋体"/>
            <charset val="134"/>
          </rPr>
          <t>Administrator:</t>
        </r>
        <r>
          <rPr>
            <sz val="9"/>
            <rFont val="宋体"/>
            <charset val="134"/>
          </rPr>
          <t xml:space="preserve">
3001418 7/16 6848pcs 新仓库3楼C3</t>
        </r>
      </text>
    </comment>
    <comment ref="AI344" authorId="0">
      <text>
        <r>
          <rPr>
            <b/>
            <sz val="9"/>
            <rFont val="宋体"/>
            <charset val="134"/>
          </rPr>
          <t>Administrator:</t>
        </r>
        <r>
          <rPr>
            <sz val="9"/>
            <rFont val="宋体"/>
            <charset val="134"/>
          </rPr>
          <t xml:space="preserve">
3001418 7/16 6064pcs 新仓库3楼C3         3001398 7/17 16pcs   新仓库</t>
        </r>
      </text>
    </comment>
    <comment ref="AI345" authorId="0">
      <text>
        <r>
          <rPr>
            <b/>
            <sz val="9"/>
            <rFont val="宋体"/>
            <charset val="134"/>
          </rPr>
          <t>Administrator:</t>
        </r>
        <r>
          <rPr>
            <sz val="9"/>
            <rFont val="宋体"/>
            <charset val="134"/>
          </rPr>
          <t xml:space="preserve">
3002616 7/19 648pcs
华3A23</t>
        </r>
      </text>
    </comment>
    <comment ref="AL345" authorId="0">
      <text>
        <r>
          <rPr>
            <b/>
            <sz val="9"/>
            <rFont val="宋体"/>
            <charset val="134"/>
          </rPr>
          <t>Administrator:</t>
        </r>
        <r>
          <rPr>
            <sz val="9"/>
            <rFont val="宋体"/>
            <charset val="134"/>
          </rPr>
          <t xml:space="preserve">
6/30 上进口商贴纸696pcs
条码贴纸696pcs
两个同PO共用
7/10 上客供亚马逊外箱贴纸54pcs</t>
        </r>
      </text>
    </comment>
    <comment ref="AI346" authorId="0">
      <text>
        <r>
          <rPr>
            <b/>
            <sz val="9"/>
            <rFont val="宋体"/>
            <charset val="134"/>
          </rPr>
          <t>Administrator:</t>
        </r>
        <r>
          <rPr>
            <sz val="9"/>
            <rFont val="宋体"/>
            <charset val="134"/>
          </rPr>
          <t xml:space="preserve">
3002616 7/19 48pcs
华3B15</t>
        </r>
      </text>
    </comment>
    <comment ref="AL346" authorId="0">
      <text>
        <r>
          <rPr>
            <b/>
            <sz val="9"/>
            <rFont val="宋体"/>
            <charset val="134"/>
          </rPr>
          <t>Administrator:</t>
        </r>
        <r>
          <rPr>
            <sz val="9"/>
            <rFont val="宋体"/>
            <charset val="134"/>
          </rPr>
          <t xml:space="preserve">
7/10 上客供亚马逊外箱贴纸4pcs
</t>
        </r>
      </text>
    </comment>
    <comment ref="AI347" authorId="0">
      <text>
        <r>
          <rPr>
            <b/>
            <sz val="9"/>
            <rFont val="宋体"/>
            <charset val="134"/>
          </rPr>
          <t>Administrator:</t>
        </r>
        <r>
          <rPr>
            <sz val="9"/>
            <rFont val="宋体"/>
            <charset val="134"/>
          </rPr>
          <t xml:space="preserve">
3001406 7/17 806pcs 华3B12</t>
        </r>
      </text>
    </comment>
    <comment ref="AI348" authorId="0">
      <text>
        <r>
          <rPr>
            <b/>
            <sz val="9"/>
            <rFont val="宋体"/>
            <charset val="134"/>
          </rPr>
          <t>Administrator:</t>
        </r>
        <r>
          <rPr>
            <sz val="9"/>
            <rFont val="宋体"/>
            <charset val="134"/>
          </rPr>
          <t xml:space="preserve">
3002639 7/18 2450pcs华3B12
3002616 7/19 50pcs</t>
        </r>
      </text>
    </comment>
    <comment ref="AI349" authorId="0">
      <text>
        <r>
          <rPr>
            <b/>
            <sz val="9"/>
            <rFont val="宋体"/>
            <charset val="134"/>
          </rPr>
          <t>Administrator:</t>
        </r>
        <r>
          <rPr>
            <sz val="9"/>
            <rFont val="宋体"/>
            <charset val="134"/>
          </rPr>
          <t xml:space="preserve">
3001406 7/17 250pcs 华3B12</t>
        </r>
      </text>
    </comment>
    <comment ref="AI350" authorId="0">
      <text>
        <r>
          <rPr>
            <b/>
            <sz val="9"/>
            <rFont val="宋体"/>
            <charset val="134"/>
          </rPr>
          <t>Administrator:</t>
        </r>
        <r>
          <rPr>
            <sz val="9"/>
            <rFont val="宋体"/>
            <charset val="134"/>
          </rPr>
          <t xml:space="preserve">
3001406 7/17 750pcs  华3B12</t>
        </r>
      </text>
    </comment>
    <comment ref="AI351" authorId="0">
      <text>
        <r>
          <rPr>
            <b/>
            <sz val="9"/>
            <rFont val="宋体"/>
            <charset val="134"/>
          </rPr>
          <t>Administrator:</t>
        </r>
        <r>
          <rPr>
            <sz val="9"/>
            <rFont val="宋体"/>
            <charset val="134"/>
          </rPr>
          <t xml:space="preserve">
3002497 7/23 2400pcs华3A28</t>
        </r>
      </text>
    </comment>
    <comment ref="AL351" authorId="0">
      <text>
        <r>
          <rPr>
            <b/>
            <sz val="9"/>
            <rFont val="宋体"/>
            <charset val="134"/>
          </rPr>
          <t>Administrator:</t>
        </r>
        <r>
          <rPr>
            <sz val="9"/>
            <rFont val="宋体"/>
            <charset val="134"/>
          </rPr>
          <t xml:space="preserve">
7/5 上进口商贴纸2400pcs
UPC条码贴纸2400pcs</t>
        </r>
      </text>
    </comment>
    <comment ref="AI352" authorId="0">
      <text>
        <r>
          <rPr>
            <b/>
            <sz val="9"/>
            <rFont val="宋体"/>
            <charset val="134"/>
          </rPr>
          <t>Administrator:</t>
        </r>
        <r>
          <rPr>
            <sz val="9"/>
            <rFont val="宋体"/>
            <charset val="134"/>
          </rPr>
          <t xml:space="preserve">
3001418 7/16 11168pcs 新仓库3楼C2</t>
        </r>
      </text>
    </comment>
    <comment ref="AL352" authorId="0">
      <text>
        <r>
          <rPr>
            <b/>
            <sz val="9"/>
            <rFont val="宋体"/>
            <charset val="134"/>
          </rPr>
          <t>Administrator:</t>
        </r>
        <r>
          <rPr>
            <sz val="9"/>
            <rFont val="宋体"/>
            <charset val="134"/>
          </rPr>
          <t xml:space="preserve">
6/24 上客供RFID贴纸11168pcs
</t>
        </r>
      </text>
    </comment>
    <comment ref="AI353" authorId="0">
      <text>
        <r>
          <rPr>
            <b/>
            <sz val="9"/>
            <rFont val="宋体"/>
            <charset val="134"/>
          </rPr>
          <t>Administrator:</t>
        </r>
        <r>
          <rPr>
            <sz val="9"/>
            <rFont val="宋体"/>
            <charset val="134"/>
          </rPr>
          <t xml:space="preserve">
3001418 7/16 12928pcs 新仓库3楼C2
</t>
        </r>
      </text>
    </comment>
    <comment ref="AI354" authorId="0">
      <text>
        <r>
          <rPr>
            <b/>
            <sz val="9"/>
            <rFont val="宋体"/>
            <charset val="134"/>
          </rPr>
          <t>Administrator:</t>
        </r>
        <r>
          <rPr>
            <sz val="9"/>
            <rFont val="宋体"/>
            <charset val="134"/>
          </rPr>
          <t xml:space="preserve">
3002644 7/18 1150pcs莫4A1</t>
        </r>
      </text>
    </comment>
    <comment ref="AL354" authorId="0">
      <text>
        <r>
          <rPr>
            <b/>
            <sz val="9"/>
            <rFont val="宋体"/>
            <charset val="134"/>
          </rPr>
          <t>Administrator:</t>
        </r>
        <r>
          <rPr>
            <sz val="9"/>
            <rFont val="宋体"/>
            <charset val="134"/>
          </rPr>
          <t xml:space="preserve">
6/24 上客供RFID贴纸12928pcs
</t>
        </r>
      </text>
    </comment>
    <comment ref="AI355" authorId="0">
      <text>
        <r>
          <rPr>
            <b/>
            <sz val="9"/>
            <rFont val="宋体"/>
            <charset val="134"/>
          </rPr>
          <t>Administrator:</t>
        </r>
        <r>
          <rPr>
            <sz val="9"/>
            <rFont val="宋体"/>
            <charset val="134"/>
          </rPr>
          <t xml:space="preserve">
3002644 7/18 400pcs莫4A1</t>
        </r>
      </text>
    </comment>
    <comment ref="AM355" authorId="0">
      <text>
        <r>
          <rPr>
            <b/>
            <sz val="9"/>
            <rFont val="宋体"/>
            <charset val="134"/>
          </rPr>
          <t>Administrator:</t>
        </r>
        <r>
          <rPr>
            <sz val="9"/>
            <rFont val="宋体"/>
            <charset val="134"/>
          </rPr>
          <t xml:space="preserve">
7/3 上UPC贴纸400pcs
</t>
        </r>
      </text>
    </comment>
    <comment ref="AI356" authorId="0">
      <text>
        <r>
          <rPr>
            <b/>
            <sz val="9"/>
            <rFont val="宋体"/>
            <charset val="134"/>
          </rPr>
          <t>Administrator:</t>
        </r>
        <r>
          <rPr>
            <sz val="9"/>
            <rFont val="宋体"/>
            <charset val="134"/>
          </rPr>
          <t xml:space="preserve">
3002626 7/18 1650pcs华3A23</t>
        </r>
      </text>
    </comment>
    <comment ref="AI357" authorId="0">
      <text>
        <r>
          <rPr>
            <b/>
            <sz val="9"/>
            <rFont val="宋体"/>
            <charset val="134"/>
          </rPr>
          <t>Administrator:</t>
        </r>
        <r>
          <rPr>
            <sz val="9"/>
            <rFont val="宋体"/>
            <charset val="134"/>
          </rPr>
          <t xml:space="preserve">
3002626 7/18 725pcs华3A32</t>
        </r>
      </text>
    </comment>
    <comment ref="AL357" authorId="0">
      <text>
        <r>
          <rPr>
            <b/>
            <sz val="9"/>
            <rFont val="宋体"/>
            <charset val="134"/>
          </rPr>
          <t>Administrator:</t>
        </r>
        <r>
          <rPr>
            <sz val="9"/>
            <rFont val="宋体"/>
            <charset val="134"/>
          </rPr>
          <t xml:space="preserve">
警告语/进口商贴纸725pcs
</t>
        </r>
      </text>
    </comment>
    <comment ref="AI358" authorId="0">
      <text>
        <r>
          <rPr>
            <b/>
            <sz val="9"/>
            <rFont val="宋体"/>
            <charset val="134"/>
          </rPr>
          <t>Administrator:</t>
        </r>
        <r>
          <rPr>
            <sz val="9"/>
            <rFont val="宋体"/>
            <charset val="134"/>
          </rPr>
          <t xml:space="preserve">
3002644 7/18 520pcs莫4A1</t>
        </r>
      </text>
    </comment>
    <comment ref="AL358" authorId="0">
      <text>
        <r>
          <rPr>
            <b/>
            <sz val="9"/>
            <rFont val="宋体"/>
            <charset val="134"/>
          </rPr>
          <t>Administrator:</t>
        </r>
        <r>
          <rPr>
            <sz val="9"/>
            <rFont val="宋体"/>
            <charset val="134"/>
          </rPr>
          <t xml:space="preserve">
6/18 上德语包装警告语贴纸520pcs
客人款号贴纸520pcs
Kinderherz 2025 logo 520pcs
</t>
        </r>
      </text>
    </comment>
    <comment ref="AI359" authorId="0">
      <text>
        <r>
          <rPr>
            <b/>
            <sz val="9"/>
            <rFont val="宋体"/>
            <charset val="134"/>
          </rPr>
          <t>Administrator:</t>
        </r>
        <r>
          <rPr>
            <sz val="9"/>
            <rFont val="宋体"/>
            <charset val="134"/>
          </rPr>
          <t xml:space="preserve">
3002434 7/24 4100pcs
</t>
        </r>
      </text>
    </comment>
    <comment ref="AL359" authorId="0">
      <text>
        <r>
          <rPr>
            <b/>
            <sz val="9"/>
            <rFont val="宋体"/>
            <charset val="134"/>
          </rPr>
          <t>Administrator:</t>
        </r>
        <r>
          <rPr>
            <sz val="9"/>
            <rFont val="宋体"/>
            <charset val="134"/>
          </rPr>
          <t xml:space="preserve">
7/7 上进口商贴纸1896pcs
产品贴纸1896pcs
环保标贴纸4100pcs</t>
        </r>
      </text>
    </comment>
    <comment ref="AI360" authorId="0">
      <text>
        <r>
          <rPr>
            <b/>
            <sz val="9"/>
            <rFont val="宋体"/>
            <charset val="134"/>
          </rPr>
          <t>Administrator:</t>
        </r>
        <r>
          <rPr>
            <sz val="9"/>
            <rFont val="宋体"/>
            <charset val="134"/>
          </rPr>
          <t xml:space="preserve">
3002537 7/22 972pcs华3B11</t>
        </r>
      </text>
    </comment>
    <comment ref="AL360" authorId="0">
      <text>
        <r>
          <rPr>
            <b/>
            <sz val="9"/>
            <rFont val="宋体"/>
            <charset val="134"/>
          </rPr>
          <t>Administrator:</t>
        </r>
        <r>
          <rPr>
            <sz val="9"/>
            <rFont val="宋体"/>
            <charset val="134"/>
          </rPr>
          <t xml:space="preserve">
7/3 上环保标贴纸972pcs
7/3 上空白贴纸1944pcs</t>
        </r>
      </text>
    </comment>
    <comment ref="AI361" authorId="0">
      <text>
        <r>
          <rPr>
            <b/>
            <sz val="9"/>
            <rFont val="宋体"/>
            <charset val="134"/>
          </rPr>
          <t>Administrator:</t>
        </r>
        <r>
          <rPr>
            <sz val="9"/>
            <rFont val="宋体"/>
            <charset val="134"/>
          </rPr>
          <t xml:space="preserve">
3002537 7/22 972pcs
华3B12</t>
        </r>
      </text>
    </comment>
    <comment ref="AL361" authorId="0">
      <text>
        <r>
          <rPr>
            <b/>
            <sz val="9"/>
            <rFont val="宋体"/>
            <charset val="134"/>
          </rPr>
          <t>Administrator:</t>
        </r>
        <r>
          <rPr>
            <sz val="9"/>
            <rFont val="宋体"/>
            <charset val="134"/>
          </rPr>
          <t xml:space="preserve">
7/3 上环保标贴纸516pcs
7/3 上空白贴纸1032pcs
</t>
        </r>
      </text>
    </comment>
    <comment ref="AI362" authorId="0">
      <text>
        <r>
          <rPr>
            <b/>
            <sz val="9"/>
            <rFont val="宋体"/>
            <charset val="134"/>
          </rPr>
          <t>Administrator:</t>
        </r>
        <r>
          <rPr>
            <sz val="9"/>
            <rFont val="宋体"/>
            <charset val="134"/>
          </rPr>
          <t xml:space="preserve">
3002536 7/22 520pcs
华3B8</t>
        </r>
      </text>
    </comment>
    <comment ref="AI363" authorId="0">
      <text>
        <r>
          <rPr>
            <b/>
            <sz val="9"/>
            <rFont val="宋体"/>
            <charset val="134"/>
          </rPr>
          <t>Administrator:</t>
        </r>
        <r>
          <rPr>
            <sz val="9"/>
            <rFont val="宋体"/>
            <charset val="134"/>
          </rPr>
          <t xml:space="preserve">
3002608 7/19 756pcs
莫4B3</t>
        </r>
      </text>
    </comment>
    <comment ref="AM363" authorId="0">
      <text>
        <r>
          <rPr>
            <b/>
            <sz val="9"/>
            <rFont val="宋体"/>
            <charset val="134"/>
          </rPr>
          <t>Administrator:</t>
        </r>
        <r>
          <rPr>
            <sz val="9"/>
            <rFont val="宋体"/>
            <charset val="134"/>
          </rPr>
          <t xml:space="preserve">
6/23 上UPC贴纸3000pcs
三个同PO共用</t>
        </r>
      </text>
    </comment>
    <comment ref="AI364" authorId="0">
      <text>
        <r>
          <rPr>
            <b/>
            <sz val="9"/>
            <rFont val="宋体"/>
            <charset val="134"/>
          </rPr>
          <t>Administrator:</t>
        </r>
        <r>
          <rPr>
            <sz val="9"/>
            <rFont val="宋体"/>
            <charset val="134"/>
          </rPr>
          <t xml:space="preserve">
3002608 7/19 1488pcs莫4B3</t>
        </r>
      </text>
    </comment>
    <comment ref="AI365" authorId="0">
      <text>
        <r>
          <rPr>
            <b/>
            <sz val="9"/>
            <rFont val="宋体"/>
            <charset val="134"/>
          </rPr>
          <t>Administrator:</t>
        </r>
        <r>
          <rPr>
            <sz val="9"/>
            <rFont val="宋体"/>
            <charset val="134"/>
          </rPr>
          <t xml:space="preserve">
3002608 7/19 756pcs莫4B3</t>
        </r>
      </text>
    </comment>
    <comment ref="AI366" authorId="0">
      <text>
        <r>
          <rPr>
            <b/>
            <sz val="9"/>
            <rFont val="宋体"/>
            <charset val="134"/>
          </rPr>
          <t>Administrator:</t>
        </r>
        <r>
          <rPr>
            <sz val="9"/>
            <rFont val="宋体"/>
            <charset val="134"/>
          </rPr>
          <t xml:space="preserve">
3002434 7/24 4950pcs
3002457 7/26 50pcs华3B15</t>
        </r>
      </text>
    </comment>
    <comment ref="AL366" authorId="0">
      <text>
        <r>
          <rPr>
            <b/>
            <sz val="9"/>
            <rFont val="宋体"/>
            <charset val="134"/>
          </rPr>
          <t>Administrator:</t>
        </r>
        <r>
          <rPr>
            <sz val="9"/>
            <rFont val="宋体"/>
            <charset val="134"/>
          </rPr>
          <t xml:space="preserve">
3/31 上冰棒款-说明书荷兰语贴纸5000pcs
蛋糕款-说明书荷兰语贴纸5000pcs
布丁款-说明书荷兰语贴纸5000pcs
</t>
        </r>
      </text>
    </comment>
    <comment ref="AI367" authorId="0">
      <text>
        <r>
          <rPr>
            <b/>
            <sz val="9"/>
            <rFont val="宋体"/>
            <charset val="134"/>
          </rPr>
          <t>Administrator:</t>
        </r>
        <r>
          <rPr>
            <sz val="9"/>
            <rFont val="宋体"/>
            <charset val="134"/>
          </rPr>
          <t xml:space="preserve">
3002497 7/23 1800pcs
华3A6</t>
        </r>
      </text>
    </comment>
    <comment ref="AL367" authorId="0">
      <text>
        <r>
          <rPr>
            <b/>
            <sz val="9"/>
            <rFont val="宋体"/>
            <charset val="134"/>
          </rPr>
          <t>Administrator:</t>
        </r>
        <r>
          <rPr>
            <sz val="9"/>
            <rFont val="宋体"/>
            <charset val="134"/>
          </rPr>
          <t xml:space="preserve">
6/30 上进口商贴纸1800pcs
UPC条码贴纸1800pcs
</t>
        </r>
      </text>
    </comment>
    <comment ref="AI368" authorId="0">
      <text>
        <r>
          <rPr>
            <b/>
            <sz val="9"/>
            <rFont val="宋体"/>
            <charset val="134"/>
          </rPr>
          <t>Administrator:</t>
        </r>
        <r>
          <rPr>
            <sz val="9"/>
            <rFont val="宋体"/>
            <charset val="134"/>
          </rPr>
          <t xml:space="preserve">
3002608 7/19 350pcs莫4B1</t>
        </r>
      </text>
    </comment>
    <comment ref="AI369" authorId="0">
      <text>
        <r>
          <rPr>
            <b/>
            <sz val="9"/>
            <rFont val="宋体"/>
            <charset val="134"/>
          </rPr>
          <t>Administrator:</t>
        </r>
        <r>
          <rPr>
            <sz val="9"/>
            <rFont val="宋体"/>
            <charset val="134"/>
          </rPr>
          <t xml:space="preserve">
2001727 7/23 240pcs直走</t>
        </r>
      </text>
    </comment>
    <comment ref="AL369" authorId="0">
      <text>
        <r>
          <rPr>
            <b/>
            <sz val="9"/>
            <rFont val="宋体"/>
            <charset val="134"/>
          </rPr>
          <t>Administrator:</t>
        </r>
        <r>
          <rPr>
            <sz val="9"/>
            <rFont val="宋体"/>
            <charset val="134"/>
          </rPr>
          <t xml:space="preserve">
6/23 上进口商贴纸480pcs
EAN条码贴纸480pcs
7/5 上空白贴纸480pcs
</t>
        </r>
      </text>
    </comment>
    <comment ref="AI370" authorId="0">
      <text>
        <r>
          <rPr>
            <b/>
            <sz val="9"/>
            <rFont val="宋体"/>
            <charset val="134"/>
          </rPr>
          <t>Administrator:</t>
        </r>
        <r>
          <rPr>
            <sz val="9"/>
            <rFont val="宋体"/>
            <charset val="134"/>
          </rPr>
          <t xml:space="preserve">
3002536 7/22 6416pcs华3B6</t>
        </r>
      </text>
    </comment>
    <comment ref="AL370" authorId="0">
      <text>
        <r>
          <rPr>
            <b/>
            <sz val="9"/>
            <rFont val="宋体"/>
            <charset val="134"/>
          </rPr>
          <t>Administrator:</t>
        </r>
        <r>
          <rPr>
            <sz val="9"/>
            <rFont val="宋体"/>
            <charset val="134"/>
          </rPr>
          <t xml:space="preserve">
6/24 上客供RFID贴纸6416pcs
</t>
        </r>
      </text>
    </comment>
    <comment ref="AI371" authorId="0">
      <text>
        <r>
          <rPr>
            <b/>
            <sz val="9"/>
            <rFont val="宋体"/>
            <charset val="134"/>
          </rPr>
          <t>Administrator:</t>
        </r>
        <r>
          <rPr>
            <sz val="9"/>
            <rFont val="宋体"/>
            <charset val="134"/>
          </rPr>
          <t xml:space="preserve">
3002536 7/22 6160pcs
华3A13</t>
        </r>
      </text>
    </comment>
    <comment ref="AL371" authorId="0">
      <text>
        <r>
          <rPr>
            <b/>
            <sz val="9"/>
            <rFont val="宋体"/>
            <charset val="134"/>
          </rPr>
          <t>Administrator:</t>
        </r>
        <r>
          <rPr>
            <sz val="9"/>
            <rFont val="宋体"/>
            <charset val="134"/>
          </rPr>
          <t xml:space="preserve">
6/24 上客供RFID贴纸6160pcs
</t>
        </r>
      </text>
    </comment>
    <comment ref="AI372" authorId="0">
      <text>
        <r>
          <rPr>
            <b/>
            <sz val="9"/>
            <rFont val="宋体"/>
            <charset val="134"/>
          </rPr>
          <t>Administrator:</t>
        </r>
        <r>
          <rPr>
            <sz val="9"/>
            <rFont val="宋体"/>
            <charset val="134"/>
          </rPr>
          <t xml:space="preserve">
3002536 7/22 7888pcs
华3B2</t>
        </r>
      </text>
    </comment>
    <comment ref="AL372" authorId="0">
      <text>
        <r>
          <rPr>
            <b/>
            <sz val="9"/>
            <rFont val="宋体"/>
            <charset val="134"/>
          </rPr>
          <t>Administrator:</t>
        </r>
        <r>
          <rPr>
            <sz val="9"/>
            <rFont val="宋体"/>
            <charset val="134"/>
          </rPr>
          <t xml:space="preserve">
6/24 上客供RFID贴纸7888pcs
</t>
        </r>
      </text>
    </comment>
    <comment ref="AI373" authorId="0">
      <text>
        <r>
          <rPr>
            <b/>
            <sz val="9"/>
            <rFont val="宋体"/>
            <charset val="134"/>
          </rPr>
          <t>Administrator:</t>
        </r>
        <r>
          <rPr>
            <sz val="9"/>
            <rFont val="宋体"/>
            <charset val="134"/>
          </rPr>
          <t xml:space="preserve">
3002536 7/22 9120pcs
华3A14</t>
        </r>
      </text>
    </comment>
    <comment ref="AL373" authorId="0">
      <text>
        <r>
          <rPr>
            <b/>
            <sz val="9"/>
            <rFont val="宋体"/>
            <charset val="134"/>
          </rPr>
          <t>Administrator:</t>
        </r>
        <r>
          <rPr>
            <sz val="9"/>
            <rFont val="宋体"/>
            <charset val="134"/>
          </rPr>
          <t xml:space="preserve">
6/24 上客供RFID贴纸9120pcs
</t>
        </r>
      </text>
    </comment>
    <comment ref="AI374" authorId="0">
      <text>
        <r>
          <rPr>
            <b/>
            <sz val="9"/>
            <rFont val="宋体"/>
            <charset val="134"/>
          </rPr>
          <t>Administrator:</t>
        </r>
        <r>
          <rPr>
            <sz val="9"/>
            <rFont val="宋体"/>
            <charset val="134"/>
          </rPr>
          <t xml:space="preserve">
3002556 7/21 1360pcs华3B6</t>
        </r>
      </text>
    </comment>
    <comment ref="AL374" authorId="0">
      <text>
        <r>
          <rPr>
            <b/>
            <sz val="9"/>
            <rFont val="宋体"/>
            <charset val="134"/>
          </rPr>
          <t>Administrator:</t>
        </r>
        <r>
          <rPr>
            <sz val="9"/>
            <rFont val="宋体"/>
            <charset val="134"/>
          </rPr>
          <t xml:space="preserve">
6/24 上客供RFID贴纸1360pcs
</t>
        </r>
      </text>
    </comment>
    <comment ref="AI375" authorId="0">
      <text>
        <r>
          <rPr>
            <b/>
            <sz val="9"/>
            <rFont val="宋体"/>
            <charset val="134"/>
          </rPr>
          <t>Administrator:</t>
        </r>
        <r>
          <rPr>
            <sz val="9"/>
            <rFont val="宋体"/>
            <charset val="134"/>
          </rPr>
          <t xml:space="preserve">
3002556 7/21 1616pcs
华3A10</t>
        </r>
      </text>
    </comment>
    <comment ref="AL375" authorId="0">
      <text>
        <r>
          <rPr>
            <b/>
            <sz val="9"/>
            <rFont val="宋体"/>
            <charset val="134"/>
          </rPr>
          <t>Administrator:</t>
        </r>
        <r>
          <rPr>
            <sz val="9"/>
            <rFont val="宋体"/>
            <charset val="134"/>
          </rPr>
          <t xml:space="preserve">
6/24 上客供RFID贴纸1616pcs
</t>
        </r>
      </text>
    </comment>
    <comment ref="AI376" authorId="0">
      <text>
        <r>
          <rPr>
            <b/>
            <sz val="9"/>
            <rFont val="宋体"/>
            <charset val="134"/>
          </rPr>
          <t>Administrator:</t>
        </r>
        <r>
          <rPr>
            <sz val="9"/>
            <rFont val="宋体"/>
            <charset val="134"/>
          </rPr>
          <t xml:space="preserve">
3002556 7/21 1808pcs
华3B6</t>
        </r>
      </text>
    </comment>
    <comment ref="AL376" authorId="0">
      <text>
        <r>
          <rPr>
            <b/>
            <sz val="9"/>
            <rFont val="宋体"/>
            <charset val="134"/>
          </rPr>
          <t>Administrator:</t>
        </r>
        <r>
          <rPr>
            <sz val="9"/>
            <rFont val="宋体"/>
            <charset val="134"/>
          </rPr>
          <t xml:space="preserve">
6/24 上客供RFID贴纸1808pcs
</t>
        </r>
      </text>
    </comment>
    <comment ref="AI377" authorId="0">
      <text>
        <r>
          <rPr>
            <b/>
            <sz val="9"/>
            <rFont val="宋体"/>
            <charset val="134"/>
          </rPr>
          <t>Administrator:</t>
        </r>
        <r>
          <rPr>
            <sz val="9"/>
            <rFont val="宋体"/>
            <charset val="134"/>
          </rPr>
          <t xml:space="preserve">
3002536 7/22 1000pcs
华3B10</t>
        </r>
      </text>
    </comment>
    <comment ref="AL377" authorId="0">
      <text>
        <r>
          <rPr>
            <b/>
            <sz val="9"/>
            <rFont val="宋体"/>
            <charset val="134"/>
          </rPr>
          <t>Administrator:</t>
        </r>
        <r>
          <rPr>
            <sz val="9"/>
            <rFont val="宋体"/>
            <charset val="134"/>
          </rPr>
          <t xml:space="preserve">
6/28 上UPC贴纸1000pcs</t>
        </r>
      </text>
    </comment>
    <comment ref="AI378" authorId="0">
      <text>
        <r>
          <rPr>
            <b/>
            <sz val="9"/>
            <rFont val="宋体"/>
            <charset val="134"/>
          </rPr>
          <t>Administrator:</t>
        </r>
        <r>
          <rPr>
            <sz val="9"/>
            <rFont val="宋体"/>
            <charset val="134"/>
          </rPr>
          <t xml:space="preserve">
3002537 7/22 3132pcs
华3A20</t>
        </r>
      </text>
    </comment>
    <comment ref="AL378" authorId="0">
      <text>
        <r>
          <rPr>
            <b/>
            <sz val="9"/>
            <rFont val="宋体"/>
            <charset val="134"/>
          </rPr>
          <t>Administrator:</t>
        </r>
        <r>
          <rPr>
            <sz val="9"/>
            <rFont val="宋体"/>
            <charset val="134"/>
          </rPr>
          <t xml:space="preserve">
7/12 上亚马逊外箱贴纸261pcs
</t>
        </r>
      </text>
    </comment>
    <comment ref="AI379" authorId="0">
      <text>
        <r>
          <rPr>
            <b/>
            <sz val="9"/>
            <rFont val="宋体"/>
            <charset val="134"/>
          </rPr>
          <t>Administrator:</t>
        </r>
        <r>
          <rPr>
            <sz val="9"/>
            <rFont val="宋体"/>
            <charset val="134"/>
          </rPr>
          <t xml:space="preserve">
3002537 7/22 900pcs
华3B10</t>
        </r>
      </text>
    </comment>
    <comment ref="AL379" authorId="0">
      <text>
        <r>
          <rPr>
            <b/>
            <sz val="9"/>
            <rFont val="宋体"/>
            <charset val="134"/>
          </rPr>
          <t>Administrator:</t>
        </r>
        <r>
          <rPr>
            <sz val="9"/>
            <rFont val="宋体"/>
            <charset val="134"/>
          </rPr>
          <t xml:space="preserve">
7/12 上亚马逊外箱贴纸75pcs</t>
        </r>
      </text>
    </comment>
    <comment ref="AI380" authorId="0">
      <text>
        <r>
          <rPr>
            <b/>
            <sz val="9"/>
            <rFont val="宋体"/>
            <charset val="134"/>
          </rPr>
          <t>Administrator:</t>
        </r>
        <r>
          <rPr>
            <sz val="9"/>
            <rFont val="宋体"/>
            <charset val="134"/>
          </rPr>
          <t xml:space="preserve">
3002537 7/22 4200pcs
华3B11</t>
        </r>
      </text>
    </comment>
    <comment ref="AL380" authorId="0">
      <text>
        <r>
          <rPr>
            <b/>
            <sz val="9"/>
            <rFont val="宋体"/>
            <charset val="134"/>
          </rPr>
          <t>Administrator:</t>
        </r>
        <r>
          <rPr>
            <sz val="9"/>
            <rFont val="宋体"/>
            <charset val="134"/>
          </rPr>
          <t xml:space="preserve">
7/12 上亚马逊外箱贴纸350pcs
</t>
        </r>
      </text>
    </comment>
    <comment ref="AI381" authorId="0">
      <text>
        <r>
          <rPr>
            <b/>
            <sz val="9"/>
            <rFont val="宋体"/>
            <charset val="134"/>
          </rPr>
          <t>Administrator:</t>
        </r>
        <r>
          <rPr>
            <sz val="9"/>
            <rFont val="宋体"/>
            <charset val="134"/>
          </rPr>
          <t xml:space="preserve">
3002537 7/22 2004pcs
华3B11
3002538 7/22 972pcs华3B11</t>
        </r>
      </text>
    </comment>
    <comment ref="AL381" authorId="0">
      <text>
        <r>
          <rPr>
            <b/>
            <sz val="9"/>
            <rFont val="宋体"/>
            <charset val="134"/>
          </rPr>
          <t>Administrator:</t>
        </r>
        <r>
          <rPr>
            <sz val="9"/>
            <rFont val="宋体"/>
            <charset val="134"/>
          </rPr>
          <t xml:space="preserve">
7/12 上亚马逊外箱贴纸248pcs
</t>
        </r>
      </text>
    </comment>
    <comment ref="AI382" authorId="0">
      <text>
        <r>
          <rPr>
            <b/>
            <sz val="9"/>
            <rFont val="宋体"/>
            <charset val="134"/>
          </rPr>
          <t>Administrator:</t>
        </r>
        <r>
          <rPr>
            <sz val="9"/>
            <rFont val="宋体"/>
            <charset val="134"/>
          </rPr>
          <t xml:space="preserve">
3002537 7/22 3912pcs
华3A19</t>
        </r>
      </text>
    </comment>
    <comment ref="AL382" authorId="0">
      <text>
        <r>
          <rPr>
            <b/>
            <sz val="9"/>
            <rFont val="宋体"/>
            <charset val="134"/>
          </rPr>
          <t>Administrator:</t>
        </r>
        <r>
          <rPr>
            <sz val="9"/>
            <rFont val="宋体"/>
            <charset val="134"/>
          </rPr>
          <t xml:space="preserve">
7/12 上亚马逊外箱贴纸326pcs
</t>
        </r>
      </text>
    </comment>
    <comment ref="AI383" authorId="0">
      <text>
        <r>
          <rPr>
            <b/>
            <sz val="9"/>
            <rFont val="宋体"/>
            <charset val="134"/>
          </rPr>
          <t>Administrator:</t>
        </r>
        <r>
          <rPr>
            <sz val="9"/>
            <rFont val="宋体"/>
            <charset val="134"/>
          </rPr>
          <t xml:space="preserve">
3002538 7/22 5064pcs华3B12</t>
        </r>
      </text>
    </comment>
    <comment ref="AL383" authorId="0">
      <text>
        <r>
          <rPr>
            <b/>
            <sz val="9"/>
            <rFont val="宋体"/>
            <charset val="134"/>
          </rPr>
          <t>Administrator:</t>
        </r>
        <r>
          <rPr>
            <sz val="9"/>
            <rFont val="宋体"/>
            <charset val="134"/>
          </rPr>
          <t xml:space="preserve">
7/12 上亚马逊外箱贴纸422pcs
</t>
        </r>
      </text>
    </comment>
    <comment ref="AI384" authorId="0">
      <text>
        <r>
          <rPr>
            <b/>
            <sz val="9"/>
            <rFont val="宋体"/>
            <charset val="134"/>
          </rPr>
          <t>Administrator:</t>
        </r>
        <r>
          <rPr>
            <sz val="9"/>
            <rFont val="宋体"/>
            <charset val="134"/>
          </rPr>
          <t xml:space="preserve">
3002434 7/24 299pcs</t>
        </r>
      </text>
    </comment>
    <comment ref="AL384" authorId="0">
      <text>
        <r>
          <rPr>
            <b/>
            <sz val="9"/>
            <rFont val="宋体"/>
            <charset val="134"/>
          </rPr>
          <t>Administrator:</t>
        </r>
        <r>
          <rPr>
            <sz val="9"/>
            <rFont val="宋体"/>
            <charset val="134"/>
          </rPr>
          <t xml:space="preserve">
6/19 上白色防盗贴纸299pcs
7/5 上UPC条码贴纸299pcs
7/9 上KM外箱贴纸 23pcs</t>
        </r>
      </text>
    </comment>
    <comment ref="AI385" authorId="0">
      <text>
        <r>
          <rPr>
            <b/>
            <sz val="9"/>
            <rFont val="宋体"/>
            <charset val="134"/>
          </rPr>
          <t>Administrator:</t>
        </r>
        <r>
          <rPr>
            <sz val="9"/>
            <rFont val="宋体"/>
            <charset val="134"/>
          </rPr>
          <t xml:space="preserve">
3002434 7/24 3536pcs
</t>
        </r>
      </text>
    </comment>
    <comment ref="AL385" authorId="0">
      <text>
        <r>
          <rPr>
            <b/>
            <sz val="9"/>
            <rFont val="宋体"/>
            <charset val="134"/>
          </rPr>
          <t>Administrator:</t>
        </r>
        <r>
          <rPr>
            <sz val="9"/>
            <rFont val="宋体"/>
            <charset val="134"/>
          </rPr>
          <t xml:space="preserve">
6/19 上白色防盗贴纸3536pcs
7/5 上UPC条码贴纸3536pcs
7/9 KM外箱贴纸 272pcs
</t>
        </r>
      </text>
    </comment>
    <comment ref="AI386" authorId="0">
      <text>
        <r>
          <rPr>
            <b/>
            <sz val="9"/>
            <rFont val="宋体"/>
            <charset val="134"/>
          </rPr>
          <t>Administrator:</t>
        </r>
        <r>
          <rPr>
            <sz val="9"/>
            <rFont val="宋体"/>
            <charset val="134"/>
          </rPr>
          <t xml:space="preserve">
3002422 7/25 8736pcs莫4C5</t>
        </r>
      </text>
    </comment>
    <comment ref="AI387" authorId="0">
      <text>
        <r>
          <rPr>
            <b/>
            <sz val="9"/>
            <rFont val="宋体"/>
            <charset val="134"/>
          </rPr>
          <t>Administrator:</t>
        </r>
        <r>
          <rPr>
            <sz val="9"/>
            <rFont val="宋体"/>
            <charset val="134"/>
          </rPr>
          <t xml:space="preserve">
3002422 7/25 9088pcs莫4C5
</t>
        </r>
      </text>
    </comment>
    <comment ref="AI388" authorId="0">
      <text>
        <r>
          <rPr>
            <b/>
            <sz val="9"/>
            <rFont val="宋体"/>
            <charset val="134"/>
          </rPr>
          <t>Administrator:</t>
        </r>
        <r>
          <rPr>
            <sz val="9"/>
            <rFont val="宋体"/>
            <charset val="134"/>
          </rPr>
          <t xml:space="preserve">
3002448 7/24 5000pcs华3B6</t>
        </r>
      </text>
    </comment>
    <comment ref="AL388" authorId="0">
      <text>
        <r>
          <rPr>
            <b/>
            <sz val="9"/>
            <rFont val="宋体"/>
            <charset val="134"/>
          </rPr>
          <t>Administrator:</t>
        </r>
        <r>
          <rPr>
            <sz val="9"/>
            <rFont val="宋体"/>
            <charset val="134"/>
          </rPr>
          <t xml:space="preserve">
7/5 上通用UPC条码贴纸5000pcs
客人通用进口商贴纸5000pcs</t>
        </r>
      </text>
    </comment>
    <comment ref="AI389" authorId="0">
      <text>
        <r>
          <rPr>
            <b/>
            <sz val="9"/>
            <rFont val="宋体"/>
            <charset val="134"/>
          </rPr>
          <t>Administrator:</t>
        </r>
        <r>
          <rPr>
            <sz val="9"/>
            <rFont val="宋体"/>
            <charset val="134"/>
          </rPr>
          <t xml:space="preserve">
3002490 7/23 20套散件</t>
        </r>
      </text>
    </comment>
    <comment ref="AI390" authorId="0">
      <text>
        <r>
          <rPr>
            <b/>
            <sz val="9"/>
            <rFont val="宋体"/>
            <charset val="134"/>
          </rPr>
          <t>Administrator:</t>
        </r>
        <r>
          <rPr>
            <sz val="9"/>
            <rFont val="宋体"/>
            <charset val="134"/>
          </rPr>
          <t xml:space="preserve">
3001378 7/17 15pcs 兴信</t>
        </r>
      </text>
    </comment>
    <comment ref="AI391" authorId="0">
      <text>
        <r>
          <rPr>
            <b/>
            <sz val="9"/>
            <rFont val="宋体"/>
            <charset val="134"/>
          </rPr>
          <t>Administrator:</t>
        </r>
        <r>
          <rPr>
            <sz val="9"/>
            <rFont val="宋体"/>
            <charset val="134"/>
          </rPr>
          <t xml:space="preserve">
3001406 7/17 507pcs 华3B12
3002626 7/18 13pcs华3B12</t>
        </r>
      </text>
    </comment>
    <comment ref="AL391" authorId="0">
      <text>
        <r>
          <rPr>
            <b/>
            <sz val="9"/>
            <rFont val="宋体"/>
            <charset val="134"/>
          </rPr>
          <t>Administrator:</t>
        </r>
        <r>
          <rPr>
            <sz val="9"/>
            <rFont val="宋体"/>
            <charset val="134"/>
          </rPr>
          <t xml:space="preserve">
6/11 上多语折叠贴纸520pcs
</t>
        </r>
      </text>
    </comment>
    <comment ref="AI392" authorId="0">
      <text>
        <r>
          <rPr>
            <b/>
            <sz val="9"/>
            <rFont val="宋体"/>
            <charset val="134"/>
          </rPr>
          <t>Administrator:</t>
        </r>
        <r>
          <rPr>
            <sz val="9"/>
            <rFont val="宋体"/>
            <charset val="134"/>
          </rPr>
          <t xml:space="preserve">
3001677 7/7 1800pcs</t>
        </r>
      </text>
    </comment>
    <comment ref="AL392" authorId="0">
      <text>
        <r>
          <rPr>
            <b/>
            <sz val="9"/>
            <rFont val="宋体"/>
            <charset val="134"/>
          </rPr>
          <t>Administrator:</t>
        </r>
        <r>
          <rPr>
            <sz val="9"/>
            <rFont val="宋体"/>
            <charset val="134"/>
          </rPr>
          <t xml:space="preserve">
6/25 上意大利sorting logO含进口商贴纸1800pcs
7/19 上进口商贴纸1800pcs</t>
        </r>
      </text>
    </comment>
    <comment ref="AI393" authorId="0">
      <text>
        <r>
          <rPr>
            <b/>
            <sz val="9"/>
            <rFont val="宋体"/>
            <charset val="134"/>
          </rPr>
          <t>Administrator:</t>
        </r>
        <r>
          <rPr>
            <sz val="9"/>
            <rFont val="宋体"/>
            <charset val="134"/>
          </rPr>
          <t xml:space="preserve">
3001544 7/12 3000pcs因展示架漏订送回半成品东莞帮混装</t>
        </r>
      </text>
    </comment>
    <comment ref="AI396" authorId="0">
      <text>
        <r>
          <rPr>
            <b/>
            <sz val="9"/>
            <rFont val="宋体"/>
            <charset val="134"/>
          </rPr>
          <t>Administrator:</t>
        </r>
        <r>
          <rPr>
            <sz val="9"/>
            <rFont val="宋体"/>
            <charset val="134"/>
          </rPr>
          <t xml:space="preserve">
3002109 7/26 19200pcs莫4C7
3002081 7/29 15792pcs
莫4C8</t>
        </r>
      </text>
    </comment>
    <comment ref="AI397" authorId="0">
      <text>
        <r>
          <rPr>
            <b/>
            <sz val="9"/>
            <rFont val="宋体"/>
            <charset val="134"/>
          </rPr>
          <t>Administrator:</t>
        </r>
        <r>
          <rPr>
            <sz val="9"/>
            <rFont val="宋体"/>
            <charset val="134"/>
          </rPr>
          <t xml:space="preserve">
2002217 6/13 3900pcs莫5楼B9
3002127 7/26 3900pcs因返工重送华3B5</t>
        </r>
      </text>
    </comment>
    <comment ref="AI398" authorId="0">
      <text>
        <r>
          <rPr>
            <b/>
            <sz val="9"/>
            <rFont val="宋体"/>
            <charset val="134"/>
          </rPr>
          <t>Administrator:</t>
        </r>
        <r>
          <rPr>
            <sz val="9"/>
            <rFont val="宋体"/>
            <charset val="134"/>
          </rPr>
          <t xml:space="preserve">
3002104 7/28 5275pcs华3B8</t>
        </r>
      </text>
    </comment>
    <comment ref="AI399" authorId="0">
      <text>
        <r>
          <rPr>
            <b/>
            <sz val="9"/>
            <rFont val="宋体"/>
            <charset val="134"/>
          </rPr>
          <t>Administrator:</t>
        </r>
        <r>
          <rPr>
            <sz val="9"/>
            <rFont val="宋体"/>
            <charset val="134"/>
          </rPr>
          <t xml:space="preserve">
3002104 7/28 4602pcs华1F3</t>
        </r>
      </text>
    </comment>
    <comment ref="AL399" authorId="0">
      <text>
        <r>
          <rPr>
            <b/>
            <sz val="9"/>
            <rFont val="宋体"/>
            <charset val="134"/>
          </rPr>
          <t>Administrator:</t>
        </r>
        <r>
          <rPr>
            <sz val="9"/>
            <rFont val="宋体"/>
            <charset val="134"/>
          </rPr>
          <t xml:space="preserve">
7/16 上UPC贴纸 4602pcs
</t>
        </r>
      </text>
    </comment>
    <comment ref="AI400" authorId="0">
      <text>
        <r>
          <rPr>
            <b/>
            <sz val="9"/>
            <rFont val="宋体"/>
            <charset val="134"/>
          </rPr>
          <t>Administrator:</t>
        </r>
        <r>
          <rPr>
            <sz val="9"/>
            <rFont val="宋体"/>
            <charset val="134"/>
          </rPr>
          <t xml:space="preserve">
3002048 7/30 91pcs
华3A32</t>
        </r>
      </text>
    </comment>
    <comment ref="AL400" authorId="0">
      <text>
        <r>
          <rPr>
            <b/>
            <sz val="9"/>
            <rFont val="宋体"/>
            <charset val="134"/>
          </rPr>
          <t>Administrator:</t>
        </r>
        <r>
          <rPr>
            <sz val="9"/>
            <rFont val="宋体"/>
            <charset val="134"/>
          </rPr>
          <t xml:space="preserve">
7/16 上白色防盗贴纸 91pcs
7/16 上Kmart外箱贴纸 7pcs
</t>
        </r>
      </text>
    </comment>
    <comment ref="AI401" authorId="0">
      <text>
        <r>
          <rPr>
            <b/>
            <sz val="9"/>
            <rFont val="宋体"/>
            <charset val="134"/>
          </rPr>
          <t>Administrator:</t>
        </r>
        <r>
          <rPr>
            <sz val="9"/>
            <rFont val="宋体"/>
            <charset val="134"/>
          </rPr>
          <t xml:space="preserve">
3002048 7/30 1599pcs华3A28
</t>
        </r>
      </text>
    </comment>
    <comment ref="AL401" authorId="0">
      <text>
        <r>
          <rPr>
            <b/>
            <sz val="9"/>
            <rFont val="宋体"/>
            <charset val="134"/>
          </rPr>
          <t>Administrator:</t>
        </r>
        <r>
          <rPr>
            <sz val="9"/>
            <rFont val="宋体"/>
            <charset val="134"/>
          </rPr>
          <t xml:space="preserve">
7/16 上白色防盗贴纸 1599pcs
7/16 上Kmart外箱贴纸 123pcs</t>
        </r>
      </text>
    </comment>
    <comment ref="AI402" authorId="0">
      <text>
        <r>
          <rPr>
            <b/>
            <sz val="9"/>
            <rFont val="宋体"/>
            <charset val="134"/>
          </rPr>
          <t>Administrator:</t>
        </r>
        <r>
          <rPr>
            <sz val="9"/>
            <rFont val="宋体"/>
            <charset val="134"/>
          </rPr>
          <t xml:space="preserve">
3002032 7/30 611pcs
华3A6</t>
        </r>
      </text>
    </comment>
    <comment ref="AL402" authorId="0">
      <text>
        <r>
          <rPr>
            <b/>
            <sz val="9"/>
            <rFont val="宋体"/>
            <charset val="134"/>
          </rPr>
          <t>Administrator:</t>
        </r>
        <r>
          <rPr>
            <sz val="9"/>
            <rFont val="宋体"/>
            <charset val="134"/>
          </rPr>
          <t xml:space="preserve">
7/15 上PDQ贴纸47pcs
进口商西班牙环保标贴纸611pcs</t>
        </r>
      </text>
    </comment>
    <comment ref="AI403" authorId="0">
      <text>
        <r>
          <rPr>
            <b/>
            <sz val="9"/>
            <rFont val="宋体"/>
            <charset val="134"/>
          </rPr>
          <t>Administrator:</t>
        </r>
        <r>
          <rPr>
            <sz val="9"/>
            <rFont val="宋体"/>
            <charset val="134"/>
          </rPr>
          <t xml:space="preserve">
3002041 7/30 4025pcs
华3B12</t>
        </r>
      </text>
    </comment>
    <comment ref="AI404" authorId="0">
      <text>
        <r>
          <rPr>
            <b/>
            <sz val="9"/>
            <rFont val="宋体"/>
            <charset val="134"/>
          </rPr>
          <t>Administrator:</t>
        </r>
        <r>
          <rPr>
            <sz val="9"/>
            <rFont val="宋体"/>
            <charset val="134"/>
          </rPr>
          <t xml:space="preserve">
3002041 7/30 4325pcs华3B12</t>
        </r>
      </text>
    </comment>
    <comment ref="AI405" authorId="0">
      <text>
        <r>
          <rPr>
            <b/>
            <sz val="9"/>
            <rFont val="宋体"/>
            <charset val="134"/>
          </rPr>
          <t>Administrator:</t>
        </r>
        <r>
          <rPr>
            <sz val="9"/>
            <rFont val="宋体"/>
            <charset val="134"/>
          </rPr>
          <t xml:space="preserve">
3002041 7/30 725pcs华3B12
</t>
        </r>
      </text>
    </comment>
    <comment ref="AI406" authorId="0">
      <text>
        <r>
          <rPr>
            <b/>
            <sz val="9"/>
            <rFont val="宋体"/>
            <charset val="134"/>
          </rPr>
          <t>Administrator:</t>
        </r>
        <r>
          <rPr>
            <sz val="9"/>
            <rFont val="宋体"/>
            <charset val="134"/>
          </rPr>
          <t xml:space="preserve">
3002067 7/29 2096pcs华3B8</t>
        </r>
      </text>
    </comment>
    <comment ref="AL406" authorId="0">
      <text>
        <r>
          <rPr>
            <b/>
            <sz val="9"/>
            <rFont val="宋体"/>
            <charset val="134"/>
          </rPr>
          <t>Administrator:</t>
        </r>
        <r>
          <rPr>
            <sz val="9"/>
            <rFont val="宋体"/>
            <charset val="134"/>
          </rPr>
          <t xml:space="preserve">
7/3 上客供RFID贴纸2096pcs
</t>
        </r>
      </text>
    </comment>
    <comment ref="AI407" authorId="0">
      <text>
        <r>
          <rPr>
            <b/>
            <sz val="9"/>
            <rFont val="宋体"/>
            <charset val="134"/>
          </rPr>
          <t>Administrator:</t>
        </r>
        <r>
          <rPr>
            <sz val="9"/>
            <rFont val="宋体"/>
            <charset val="134"/>
          </rPr>
          <t xml:space="preserve">
3002041 7/30 1632pcs华3B6</t>
        </r>
      </text>
    </comment>
    <comment ref="AL407" authorId="0">
      <text>
        <r>
          <rPr>
            <b/>
            <sz val="9"/>
            <rFont val="宋体"/>
            <charset val="134"/>
          </rPr>
          <t>Administrator:</t>
        </r>
        <r>
          <rPr>
            <sz val="9"/>
            <rFont val="宋体"/>
            <charset val="134"/>
          </rPr>
          <t xml:space="preserve">
7/3 上客供RFID贴纸1632pcs
</t>
        </r>
      </text>
    </comment>
    <comment ref="AI408" authorId="0">
      <text>
        <r>
          <rPr>
            <b/>
            <sz val="9"/>
            <rFont val="宋体"/>
            <charset val="134"/>
          </rPr>
          <t>Administrator:</t>
        </r>
        <r>
          <rPr>
            <sz val="9"/>
            <rFont val="宋体"/>
            <charset val="134"/>
          </rPr>
          <t xml:space="preserve">
3002041 7/30 2432pcs
华3B6</t>
        </r>
      </text>
    </comment>
    <comment ref="AL408" authorId="0">
      <text>
        <r>
          <rPr>
            <b/>
            <sz val="9"/>
            <rFont val="宋体"/>
            <charset val="134"/>
          </rPr>
          <t>Administrator:</t>
        </r>
        <r>
          <rPr>
            <sz val="9"/>
            <rFont val="宋体"/>
            <charset val="134"/>
          </rPr>
          <t xml:space="preserve">
7/3 上客供RFID贴纸2432pcs
</t>
        </r>
      </text>
    </comment>
    <comment ref="AI409" authorId="0">
      <text>
        <r>
          <rPr>
            <b/>
            <sz val="9"/>
            <rFont val="宋体"/>
            <charset val="134"/>
          </rPr>
          <t>Administrator:</t>
        </r>
        <r>
          <rPr>
            <sz val="9"/>
            <rFont val="宋体"/>
            <charset val="134"/>
          </rPr>
          <t xml:space="preserve">
3002041 7/30 1696pcs
华3B3</t>
        </r>
      </text>
    </comment>
    <comment ref="AL409" authorId="0">
      <text>
        <r>
          <rPr>
            <b/>
            <sz val="9"/>
            <rFont val="宋体"/>
            <charset val="134"/>
          </rPr>
          <t>Administrator:</t>
        </r>
        <r>
          <rPr>
            <sz val="9"/>
            <rFont val="宋体"/>
            <charset val="134"/>
          </rPr>
          <t xml:space="preserve">
7/3 上客供RFID贴纸1696pcs
</t>
        </r>
      </text>
    </comment>
    <comment ref="AI410" authorId="0">
      <text>
        <r>
          <rPr>
            <b/>
            <sz val="9"/>
            <rFont val="宋体"/>
            <charset val="134"/>
          </rPr>
          <t>Administrator:</t>
        </r>
        <r>
          <rPr>
            <sz val="9"/>
            <rFont val="宋体"/>
            <charset val="134"/>
          </rPr>
          <t xml:space="preserve">
3002032 7/30 5000pcs华3B3</t>
        </r>
      </text>
    </comment>
    <comment ref="AL410" authorId="0">
      <text>
        <r>
          <rPr>
            <b/>
            <sz val="9"/>
            <rFont val="宋体"/>
            <charset val="134"/>
          </rPr>
          <t>Administrator:</t>
        </r>
        <r>
          <rPr>
            <sz val="9"/>
            <rFont val="宋体"/>
            <charset val="134"/>
          </rPr>
          <t xml:space="preserve">
7/18 上客供价格贴纸5035pcs
</t>
        </r>
      </text>
    </comment>
    <comment ref="AI411" authorId="0">
      <text>
        <r>
          <rPr>
            <b/>
            <sz val="9"/>
            <rFont val="宋体"/>
            <charset val="134"/>
          </rPr>
          <t>Administrator:</t>
        </r>
        <r>
          <rPr>
            <sz val="9"/>
            <rFont val="宋体"/>
            <charset val="134"/>
          </rPr>
          <t xml:space="preserve">
3002048 7/30 700pcs华3A27</t>
        </r>
      </text>
    </comment>
    <comment ref="AL411" authorId="0">
      <text>
        <r>
          <rPr>
            <b/>
            <sz val="9"/>
            <rFont val="宋体"/>
            <charset val="134"/>
          </rPr>
          <t>Administrator:</t>
        </r>
        <r>
          <rPr>
            <sz val="9"/>
            <rFont val="宋体"/>
            <charset val="134"/>
          </rPr>
          <t xml:space="preserve">
7/10 上客供价标贴纸731pcs
</t>
        </r>
      </text>
    </comment>
    <comment ref="AI412" authorId="0">
      <text>
        <r>
          <rPr>
            <b/>
            <sz val="9"/>
            <rFont val="宋体"/>
            <charset val="134"/>
          </rPr>
          <t>Administrator:</t>
        </r>
        <r>
          <rPr>
            <sz val="9"/>
            <rFont val="宋体"/>
            <charset val="134"/>
          </rPr>
          <t xml:space="preserve">
3002067 7/29 17925pcs华3A23</t>
        </r>
      </text>
    </comment>
    <comment ref="AL412" authorId="0">
      <text>
        <r>
          <rPr>
            <b/>
            <sz val="9"/>
            <rFont val="宋体"/>
            <charset val="134"/>
          </rPr>
          <t>Administrator:</t>
        </r>
        <r>
          <rPr>
            <sz val="9"/>
            <rFont val="宋体"/>
            <charset val="134"/>
          </rPr>
          <t xml:space="preserve">
7/12 上客供外箱条码贴纸724pcs</t>
        </r>
      </text>
    </comment>
    <comment ref="AI413" authorId="0">
      <text>
        <r>
          <rPr>
            <b/>
            <sz val="9"/>
            <rFont val="宋体"/>
            <charset val="134"/>
          </rPr>
          <t>Administrator:</t>
        </r>
        <r>
          <rPr>
            <sz val="9"/>
            <rFont val="宋体"/>
            <charset val="134"/>
          </rPr>
          <t xml:space="preserve">
3002042 7/30 650pcs华3B8</t>
        </r>
      </text>
    </comment>
    <comment ref="AL413" authorId="0">
      <text>
        <r>
          <rPr>
            <b/>
            <sz val="9"/>
            <rFont val="宋体"/>
            <charset val="134"/>
          </rPr>
          <t>Administrator:</t>
        </r>
        <r>
          <rPr>
            <sz val="9"/>
            <rFont val="宋体"/>
            <charset val="134"/>
          </rPr>
          <t xml:space="preserve">
7/21 上UPC条码贴纸650pcs
进口商贴纸650pcs
</t>
        </r>
      </text>
    </comment>
    <comment ref="AI414" authorId="0">
      <text>
        <r>
          <rPr>
            <b/>
            <sz val="9"/>
            <rFont val="宋体"/>
            <charset val="134"/>
          </rPr>
          <t>Administrator:</t>
        </r>
        <r>
          <rPr>
            <sz val="9"/>
            <rFont val="宋体"/>
            <charset val="134"/>
          </rPr>
          <t xml:space="preserve">
3002048 7/30 216pcs
华3A32</t>
        </r>
      </text>
    </comment>
    <comment ref="AL414" authorId="0">
      <text>
        <r>
          <rPr>
            <b/>
            <sz val="9"/>
            <rFont val="宋体"/>
            <charset val="134"/>
          </rPr>
          <t>Administrator:</t>
        </r>
        <r>
          <rPr>
            <sz val="9"/>
            <rFont val="宋体"/>
            <charset val="134"/>
          </rPr>
          <t xml:space="preserve">
7/11 上客人白色CATLABEL贴纸216pcs</t>
        </r>
      </text>
    </comment>
    <comment ref="AI415" authorId="0">
      <text>
        <r>
          <rPr>
            <b/>
            <sz val="9"/>
            <rFont val="宋体"/>
            <charset val="134"/>
          </rPr>
          <t>Administrator:</t>
        </r>
        <r>
          <rPr>
            <sz val="9"/>
            <rFont val="宋体"/>
            <charset val="134"/>
          </rPr>
          <t xml:space="preserve">
3002127 7/26 350pcs华3B7</t>
        </r>
      </text>
    </comment>
    <comment ref="AL415" authorId="0">
      <text>
        <r>
          <rPr>
            <b/>
            <sz val="9"/>
            <rFont val="宋体"/>
            <charset val="134"/>
          </rPr>
          <t>Administrator:</t>
        </r>
        <r>
          <rPr>
            <sz val="9"/>
            <rFont val="宋体"/>
            <charset val="134"/>
          </rPr>
          <t xml:space="preserve">
7/5 上进口商贴纸含法国回收350pcs</t>
        </r>
      </text>
    </comment>
    <comment ref="AI416" authorId="0">
      <text>
        <r>
          <rPr>
            <b/>
            <sz val="9"/>
            <rFont val="宋体"/>
            <charset val="134"/>
          </rPr>
          <t>Administrator:</t>
        </r>
        <r>
          <rPr>
            <sz val="9"/>
            <rFont val="宋体"/>
            <charset val="134"/>
          </rPr>
          <t xml:space="preserve">
3002187 8/2 1500pcs华3B14</t>
        </r>
      </text>
    </comment>
    <comment ref="AL416" authorId="0">
      <text>
        <r>
          <rPr>
            <b/>
            <sz val="9"/>
            <rFont val="宋体"/>
            <charset val="134"/>
          </rPr>
          <t>Administrator:</t>
        </r>
        <r>
          <rPr>
            <sz val="9"/>
            <rFont val="宋体"/>
            <charset val="134"/>
          </rPr>
          <t xml:space="preserve">
7/5 上UPC条码贴纸1500pcs
进口商贴纸1500pcs
7/15 上正面收藏指南贴纸1500pcs
背面收藏指南贴纸1500pcs</t>
        </r>
      </text>
    </comment>
    <comment ref="AI417" authorId="0">
      <text>
        <r>
          <rPr>
            <b/>
            <sz val="9"/>
            <rFont val="宋体"/>
            <charset val="134"/>
          </rPr>
          <t>Administrator:</t>
        </r>
        <r>
          <rPr>
            <sz val="9"/>
            <rFont val="宋体"/>
            <charset val="134"/>
          </rPr>
          <t xml:space="preserve">
2001856 8/1 354pcs新仓3-C10
</t>
        </r>
      </text>
    </comment>
    <comment ref="AL417" authorId="0">
      <text>
        <r>
          <rPr>
            <b/>
            <sz val="9"/>
            <rFont val="宋体"/>
            <charset val="134"/>
          </rPr>
          <t>Administrator:</t>
        </r>
        <r>
          <rPr>
            <sz val="9"/>
            <rFont val="宋体"/>
            <charset val="134"/>
          </rPr>
          <t xml:space="preserve">
7/9 上KMart外箱贴纸 59pcs
7/30 上空白贴纸708pcs</t>
        </r>
      </text>
    </comment>
    <comment ref="AI418" authorId="0">
      <text>
        <r>
          <rPr>
            <b/>
            <sz val="9"/>
            <rFont val="宋体"/>
            <charset val="134"/>
          </rPr>
          <t>Administrator:</t>
        </r>
        <r>
          <rPr>
            <sz val="9"/>
            <rFont val="宋体"/>
            <charset val="134"/>
          </rPr>
          <t xml:space="preserve">
2001856 8/1 3246pcs新仓3-C10</t>
        </r>
      </text>
    </comment>
    <comment ref="AL418" authorId="0">
      <text>
        <r>
          <rPr>
            <b/>
            <sz val="9"/>
            <rFont val="宋体"/>
            <charset val="134"/>
          </rPr>
          <t>Administrator:</t>
        </r>
        <r>
          <rPr>
            <sz val="9"/>
            <rFont val="宋体"/>
            <charset val="134"/>
          </rPr>
          <t xml:space="preserve">
7/9 上KM外箱贴纸 541pcs
7/30 上空白贴纸6492pcs
</t>
        </r>
      </text>
    </comment>
    <comment ref="AI419" authorId="0">
      <text>
        <r>
          <rPr>
            <b/>
            <sz val="9"/>
            <rFont val="宋体"/>
            <charset val="134"/>
          </rPr>
          <t>Administrator:</t>
        </r>
        <r>
          <rPr>
            <sz val="9"/>
            <rFont val="宋体"/>
            <charset val="134"/>
          </rPr>
          <t xml:space="preserve">
3002187 8/2 1300pcs
华3B4</t>
        </r>
      </text>
    </comment>
    <comment ref="AI420" authorId="0">
      <text>
        <r>
          <rPr>
            <b/>
            <sz val="9"/>
            <rFont val="宋体"/>
            <charset val="134"/>
          </rPr>
          <t>Administrator:</t>
        </r>
        <r>
          <rPr>
            <sz val="9"/>
            <rFont val="宋体"/>
            <charset val="134"/>
          </rPr>
          <t xml:space="preserve">
3002187 8/2 500pcs
华3B7</t>
        </r>
      </text>
    </comment>
    <comment ref="AI421" authorId="0">
      <text>
        <r>
          <rPr>
            <b/>
            <sz val="9"/>
            <rFont val="宋体"/>
            <charset val="134"/>
          </rPr>
          <t>Administrator:</t>
        </r>
        <r>
          <rPr>
            <sz val="9"/>
            <rFont val="宋体"/>
            <charset val="134"/>
          </rPr>
          <t xml:space="preserve">
3002143 8/2 637pcs
华</t>
        </r>
      </text>
    </comment>
    <comment ref="AI422" authorId="0">
      <text>
        <r>
          <rPr>
            <b/>
            <sz val="9"/>
            <rFont val="宋体"/>
            <charset val="134"/>
          </rPr>
          <t>Administrator:</t>
        </r>
        <r>
          <rPr>
            <sz val="9"/>
            <rFont val="宋体"/>
            <charset val="134"/>
          </rPr>
          <t xml:space="preserve">
3002143 8/2 7800pcs华3A9</t>
        </r>
      </text>
    </comment>
    <comment ref="AI423" authorId="0">
      <text>
        <r>
          <rPr>
            <b/>
            <sz val="9"/>
            <rFont val="宋体"/>
            <charset val="134"/>
          </rPr>
          <t>Administrator:</t>
        </r>
        <r>
          <rPr>
            <sz val="9"/>
            <rFont val="宋体"/>
            <charset val="134"/>
          </rPr>
          <t xml:space="preserve">
3002143 8/2 3159pcs
华3B4</t>
        </r>
      </text>
    </comment>
    <comment ref="AI424" authorId="0">
      <text>
        <r>
          <rPr>
            <b/>
            <sz val="9"/>
            <rFont val="宋体"/>
            <charset val="134"/>
          </rPr>
          <t>Administrator:</t>
        </r>
        <r>
          <rPr>
            <sz val="9"/>
            <rFont val="宋体"/>
            <charset val="134"/>
          </rPr>
          <t xml:space="preserve">
3002193 8/2 5850pcs华1F3</t>
        </r>
      </text>
    </comment>
    <comment ref="AI425" authorId="0">
      <text>
        <r>
          <rPr>
            <b/>
            <sz val="9"/>
            <rFont val="宋体"/>
            <charset val="134"/>
          </rPr>
          <t>Administrator:</t>
        </r>
        <r>
          <rPr>
            <sz val="9"/>
            <rFont val="宋体"/>
            <charset val="134"/>
          </rPr>
          <t xml:space="preserve">
3002187 8/2 300pcs
wxf3B7</t>
        </r>
      </text>
    </comment>
    <comment ref="AI426" authorId="0">
      <text>
        <r>
          <rPr>
            <b/>
            <sz val="9"/>
            <rFont val="宋体"/>
            <charset val="134"/>
          </rPr>
          <t>Administrator:</t>
        </r>
        <r>
          <rPr>
            <sz val="9"/>
            <rFont val="宋体"/>
            <charset val="134"/>
          </rPr>
          <t xml:space="preserve">
3002330 8/6 3900pcs华3A20</t>
        </r>
      </text>
    </comment>
    <comment ref="AL426" authorId="0">
      <text>
        <r>
          <rPr>
            <b/>
            <sz val="9"/>
            <rFont val="宋体"/>
            <charset val="134"/>
          </rPr>
          <t>Administrator:</t>
        </r>
        <r>
          <rPr>
            <sz val="9"/>
            <rFont val="宋体"/>
            <charset val="134"/>
          </rPr>
          <t xml:space="preserve">
6/23 上价格贴纸3900pcs
7/26 上客供外箱条码贴纸300pcs
</t>
        </r>
      </text>
    </comment>
    <comment ref="AI427" authorId="0">
      <text>
        <r>
          <rPr>
            <b/>
            <sz val="9"/>
            <rFont val="宋体"/>
            <charset val="134"/>
          </rPr>
          <t>Administrator:</t>
        </r>
        <r>
          <rPr>
            <sz val="9"/>
            <rFont val="宋体"/>
            <charset val="134"/>
          </rPr>
          <t xml:space="preserve">
3002193 8/2 1056pcs
华3B3</t>
        </r>
      </text>
    </comment>
    <comment ref="AL427" authorId="0">
      <text>
        <r>
          <rPr>
            <b/>
            <sz val="9"/>
            <rFont val="宋体"/>
            <charset val="134"/>
          </rPr>
          <t>Administrator:</t>
        </r>
        <r>
          <rPr>
            <sz val="9"/>
            <rFont val="宋体"/>
            <charset val="134"/>
          </rPr>
          <t xml:space="preserve">
7/3 上环保标贴纸1056pcs
7/3 上空白贴纸2112pcs
7/11 上亚马逊外箱贴纸88pcs</t>
        </r>
      </text>
    </comment>
    <comment ref="AI428" authorId="0">
      <text>
        <r>
          <rPr>
            <b/>
            <sz val="9"/>
            <rFont val="宋体"/>
            <charset val="134"/>
          </rPr>
          <t>Administrator:</t>
        </r>
        <r>
          <rPr>
            <sz val="9"/>
            <rFont val="宋体"/>
            <charset val="134"/>
          </rPr>
          <t xml:space="preserve">
3002193 8/2 492pcs
华3B3</t>
        </r>
      </text>
    </comment>
    <comment ref="AL428" authorId="0">
      <text>
        <r>
          <rPr>
            <b/>
            <sz val="9"/>
            <rFont val="宋体"/>
            <charset val="134"/>
          </rPr>
          <t>Administrator:</t>
        </r>
        <r>
          <rPr>
            <sz val="9"/>
            <rFont val="宋体"/>
            <charset val="134"/>
          </rPr>
          <t xml:space="preserve">
7/3 上环保标贴纸492pcs
7/3 上空白贴纸984pcs
7/11 上亚马逊外箱贴纸41pcs
</t>
        </r>
      </text>
    </comment>
    <comment ref="AI429" authorId="0">
      <text>
        <r>
          <rPr>
            <b/>
            <sz val="9"/>
            <rFont val="宋体"/>
            <charset val="134"/>
          </rPr>
          <t>Administrator:</t>
        </r>
        <r>
          <rPr>
            <sz val="9"/>
            <rFont val="宋体"/>
            <charset val="134"/>
          </rPr>
          <t xml:space="preserve">
3002193 8/2 492pcs
华3B4</t>
        </r>
      </text>
    </comment>
    <comment ref="AL429" authorId="0">
      <text>
        <r>
          <rPr>
            <b/>
            <sz val="9"/>
            <rFont val="宋体"/>
            <charset val="134"/>
          </rPr>
          <t>Administrator:</t>
        </r>
        <r>
          <rPr>
            <sz val="9"/>
            <rFont val="宋体"/>
            <charset val="134"/>
          </rPr>
          <t xml:space="preserve">
7/3 上环保标贴纸492pcs
7/3 上空白贴纸984pcs
7/11 上亚马逊外箱贴纸41pcs
</t>
        </r>
      </text>
    </comment>
    <comment ref="AI430" authorId="0">
      <text>
        <r>
          <rPr>
            <b/>
            <sz val="9"/>
            <rFont val="宋体"/>
            <charset val="134"/>
          </rPr>
          <t>Administrator:</t>
        </r>
        <r>
          <rPr>
            <sz val="9"/>
            <rFont val="宋体"/>
            <charset val="134"/>
          </rPr>
          <t xml:space="preserve">
3002165 8/2 2500pcs</t>
        </r>
      </text>
    </comment>
    <comment ref="AL430" authorId="0">
      <text>
        <r>
          <rPr>
            <b/>
            <sz val="9"/>
            <rFont val="宋体"/>
            <charset val="134"/>
          </rPr>
          <t>Administrator:</t>
        </r>
        <r>
          <rPr>
            <sz val="9"/>
            <rFont val="宋体"/>
            <charset val="134"/>
          </rPr>
          <t xml:space="preserve">
7/16 上冰棒款-说明书荷兰语贴纸 2500pcs
     上蛋糕款-说明书荷兰语贴纸 2500pcs
     上布丁款-说明书荷兰语贴纸 2500pcs</t>
        </r>
      </text>
    </comment>
    <comment ref="AI431" authorId="0">
      <text>
        <r>
          <rPr>
            <b/>
            <sz val="9"/>
            <rFont val="宋体"/>
            <charset val="134"/>
          </rPr>
          <t>Administrator:</t>
        </r>
        <r>
          <rPr>
            <sz val="9"/>
            <rFont val="宋体"/>
            <charset val="134"/>
          </rPr>
          <t xml:space="preserve">
3002020 8/1 3500pcs新仓3-B11</t>
        </r>
      </text>
    </comment>
    <comment ref="AL431" authorId="0">
      <text>
        <r>
          <rPr>
            <b/>
            <sz val="9"/>
            <rFont val="宋体"/>
            <charset val="134"/>
          </rPr>
          <t>Administrator:</t>
        </r>
        <r>
          <rPr>
            <sz val="9"/>
            <rFont val="宋体"/>
            <charset val="134"/>
          </rPr>
          <t xml:space="preserve">
7/16 上进口商贴纸   3500pcs
      上UPC条码贴纸 3500pcs</t>
        </r>
      </text>
    </comment>
    <comment ref="AI432" authorId="0">
      <text>
        <r>
          <rPr>
            <b/>
            <sz val="9"/>
            <rFont val="宋体"/>
            <charset val="134"/>
          </rPr>
          <t>Administrator:</t>
        </r>
        <r>
          <rPr>
            <sz val="9"/>
            <rFont val="宋体"/>
            <charset val="134"/>
          </rPr>
          <t xml:space="preserve">
3002020 8/1 500pcs新仓3-B11
</t>
        </r>
      </text>
    </comment>
    <comment ref="AI437" authorId="0">
      <text>
        <r>
          <rPr>
            <b/>
            <sz val="9"/>
            <rFont val="宋体"/>
            <charset val="134"/>
          </rPr>
          <t>Administrator:</t>
        </r>
        <r>
          <rPr>
            <sz val="9"/>
            <rFont val="宋体"/>
            <charset val="134"/>
          </rPr>
          <t xml:space="preserve">
3002193 8/2 492pcs
华3B2</t>
        </r>
      </text>
    </comment>
    <comment ref="AL437" authorId="0">
      <text>
        <r>
          <rPr>
            <b/>
            <sz val="9"/>
            <rFont val="宋体"/>
            <charset val="134"/>
          </rPr>
          <t>Administrator:</t>
        </r>
        <r>
          <rPr>
            <sz val="9"/>
            <rFont val="宋体"/>
            <charset val="134"/>
          </rPr>
          <t xml:space="preserve">
7/21 上空白贴纸984pcs
7/21 上环保标贴纸492pcs
7/21 上亚马逊外箱贴纸41pcs</t>
        </r>
      </text>
    </comment>
    <comment ref="AI438" authorId="0">
      <text>
        <r>
          <rPr>
            <b/>
            <sz val="9"/>
            <rFont val="宋体"/>
            <charset val="134"/>
          </rPr>
          <t>Administrator:</t>
        </r>
        <r>
          <rPr>
            <sz val="9"/>
            <rFont val="宋体"/>
            <charset val="134"/>
          </rPr>
          <t xml:space="preserve">
3002380 8/5 3375pcs
华3B8</t>
        </r>
      </text>
    </comment>
    <comment ref="AI439" authorId="0">
      <text>
        <r>
          <rPr>
            <b/>
            <sz val="9"/>
            <rFont val="宋体"/>
            <charset val="134"/>
          </rPr>
          <t>Administrator:</t>
        </r>
        <r>
          <rPr>
            <sz val="9"/>
            <rFont val="宋体"/>
            <charset val="134"/>
          </rPr>
          <t xml:space="preserve">
3002193 8/2 1500pcs华3B6</t>
        </r>
      </text>
    </comment>
    <comment ref="AL439" authorId="0">
      <text>
        <r>
          <rPr>
            <b/>
            <sz val="9"/>
            <rFont val="宋体"/>
            <charset val="134"/>
          </rPr>
          <t>Administrator:</t>
        </r>
        <r>
          <rPr>
            <sz val="9"/>
            <rFont val="宋体"/>
            <charset val="134"/>
          </rPr>
          <t xml:space="preserve">
UPC条码贴纸1500pcs
进口商贴纸1500pcs
</t>
        </r>
      </text>
    </comment>
    <comment ref="AI440" authorId="0">
      <text>
        <r>
          <rPr>
            <b/>
            <sz val="9"/>
            <rFont val="宋体"/>
            <charset val="134"/>
          </rPr>
          <t>Administrator:</t>
        </r>
        <r>
          <rPr>
            <sz val="9"/>
            <rFont val="宋体"/>
            <charset val="134"/>
          </rPr>
          <t xml:space="preserve">
3002038 7/31 897pcs华3A14</t>
        </r>
      </text>
    </comment>
    <comment ref="AI441" authorId="0">
      <text>
        <r>
          <rPr>
            <b/>
            <sz val="9"/>
            <rFont val="宋体"/>
            <charset val="134"/>
          </rPr>
          <t>Administrator:</t>
        </r>
        <r>
          <rPr>
            <sz val="9"/>
            <rFont val="宋体"/>
            <charset val="134"/>
          </rPr>
          <t xml:space="preserve">
3002038 7/31 286pcs
华3B7</t>
        </r>
      </text>
    </comment>
    <comment ref="AI442" authorId="0">
      <text>
        <r>
          <rPr>
            <b/>
            <sz val="9"/>
            <rFont val="宋体"/>
            <charset val="134"/>
          </rPr>
          <t>Administrator:</t>
        </r>
        <r>
          <rPr>
            <sz val="9"/>
            <rFont val="宋体"/>
            <charset val="134"/>
          </rPr>
          <t xml:space="preserve">
3002038 7/31 1092pcs
华3A13</t>
        </r>
      </text>
    </comment>
    <comment ref="AI443" authorId="0">
      <text>
        <r>
          <rPr>
            <b/>
            <sz val="9"/>
            <rFont val="宋体"/>
            <charset val="134"/>
          </rPr>
          <t>Administrator:</t>
        </r>
        <r>
          <rPr>
            <sz val="9"/>
            <rFont val="宋体"/>
            <charset val="134"/>
          </rPr>
          <t xml:space="preserve">
3002038 7/31 390pcs华3B7
</t>
        </r>
      </text>
    </comment>
    <comment ref="AI444" authorId="0">
      <text>
        <r>
          <rPr>
            <b/>
            <sz val="9"/>
            <rFont val="宋体"/>
            <charset val="134"/>
          </rPr>
          <t>Administrator:</t>
        </r>
        <r>
          <rPr>
            <sz val="9"/>
            <rFont val="宋体"/>
            <charset val="134"/>
          </rPr>
          <t xml:space="preserve">
3002038 7/31 390pcs华3B7
</t>
        </r>
      </text>
    </comment>
    <comment ref="AI445" authorId="0">
      <text>
        <r>
          <rPr>
            <b/>
            <sz val="9"/>
            <rFont val="宋体"/>
            <charset val="134"/>
          </rPr>
          <t>Administrator:</t>
        </r>
        <r>
          <rPr>
            <sz val="9"/>
            <rFont val="宋体"/>
            <charset val="134"/>
          </rPr>
          <t xml:space="preserve">
3002038 7/31 143pcs华3B6
</t>
        </r>
      </text>
    </comment>
    <comment ref="AI446" authorId="0">
      <text>
        <r>
          <rPr>
            <b/>
            <sz val="9"/>
            <rFont val="宋体"/>
            <charset val="134"/>
          </rPr>
          <t>Administrator:</t>
        </r>
        <r>
          <rPr>
            <sz val="9"/>
            <rFont val="宋体"/>
            <charset val="134"/>
          </rPr>
          <t xml:space="preserve">
3002038 7/31 182pcs华3B6
</t>
        </r>
      </text>
    </comment>
    <comment ref="AI447" authorId="0">
      <text>
        <r>
          <rPr>
            <b/>
            <sz val="9"/>
            <rFont val="宋体"/>
            <charset val="134"/>
          </rPr>
          <t>Administrator:</t>
        </r>
        <r>
          <rPr>
            <sz val="9"/>
            <rFont val="宋体"/>
            <charset val="134"/>
          </rPr>
          <t xml:space="preserve">
3002038 7/31 130pcs
华3B7</t>
        </r>
      </text>
    </comment>
    <comment ref="AI449" authorId="0">
      <text>
        <r>
          <rPr>
            <b/>
            <sz val="9"/>
            <rFont val="宋体"/>
            <charset val="134"/>
          </rPr>
          <t>Administrator:</t>
        </r>
        <r>
          <rPr>
            <sz val="9"/>
            <rFont val="宋体"/>
            <charset val="134"/>
          </rPr>
          <t xml:space="preserve">
300232 8/5 312pcs莫4B8</t>
        </r>
      </text>
    </comment>
    <comment ref="AL449" authorId="0">
      <text>
        <r>
          <rPr>
            <b/>
            <sz val="9"/>
            <rFont val="宋体"/>
            <charset val="134"/>
          </rPr>
          <t>Administrator:</t>
        </r>
        <r>
          <rPr>
            <sz val="9"/>
            <rFont val="宋体"/>
            <charset val="134"/>
          </rPr>
          <t xml:space="preserve">
7/26 上客供外箱条码贴纸24pcs
</t>
        </r>
      </text>
    </comment>
    <comment ref="AI450" authorId="0">
      <text>
        <r>
          <rPr>
            <b/>
            <sz val="9"/>
            <rFont val="宋体"/>
            <charset val="134"/>
          </rPr>
          <t>Administrator:</t>
        </r>
        <r>
          <rPr>
            <sz val="9"/>
            <rFont val="宋体"/>
            <charset val="134"/>
          </rPr>
          <t xml:space="preserve">
3002339 8/6 3924pcs走走</t>
        </r>
      </text>
    </comment>
    <comment ref="AL450" authorId="0">
      <text>
        <r>
          <rPr>
            <b/>
            <sz val="9"/>
            <rFont val="宋体"/>
            <charset val="134"/>
          </rPr>
          <t>Administrator:</t>
        </r>
        <r>
          <rPr>
            <sz val="9"/>
            <rFont val="宋体"/>
            <charset val="134"/>
          </rPr>
          <t xml:space="preserve">
7/23 上客供亚马逊外箱贴纸327pcs</t>
        </r>
      </text>
    </comment>
    <comment ref="AI451" authorId="0">
      <text>
        <r>
          <rPr>
            <b/>
            <sz val="9"/>
            <rFont val="宋体"/>
            <charset val="134"/>
          </rPr>
          <t>Administrator:</t>
        </r>
        <r>
          <rPr>
            <sz val="9"/>
            <rFont val="宋体"/>
            <charset val="134"/>
          </rPr>
          <t xml:space="preserve">
3002339 8/6  4272pcs华1F4</t>
        </r>
      </text>
    </comment>
    <comment ref="AL451" authorId="0">
      <text>
        <r>
          <rPr>
            <b/>
            <sz val="9"/>
            <rFont val="宋体"/>
            <charset val="134"/>
          </rPr>
          <t>Administrator:</t>
        </r>
        <r>
          <rPr>
            <sz val="9"/>
            <rFont val="宋体"/>
            <charset val="134"/>
          </rPr>
          <t xml:space="preserve">
7/23 上客供亚马逊外箱贴纸356pcs
</t>
        </r>
      </text>
    </comment>
    <comment ref="AI452" authorId="0">
      <text>
        <r>
          <rPr>
            <b/>
            <sz val="9"/>
            <rFont val="宋体"/>
            <charset val="134"/>
          </rPr>
          <t>Administrator:</t>
        </r>
        <r>
          <rPr>
            <sz val="9"/>
            <rFont val="宋体"/>
            <charset val="134"/>
          </rPr>
          <t xml:space="preserve">
3002318 8/7 1600pcs莫A一楼A6
</t>
        </r>
      </text>
    </comment>
    <comment ref="AI453" authorId="0">
      <text>
        <r>
          <rPr>
            <b/>
            <sz val="9"/>
            <rFont val="宋体"/>
            <charset val="134"/>
          </rPr>
          <t>Administrator:</t>
        </r>
        <r>
          <rPr>
            <sz val="9"/>
            <rFont val="宋体"/>
            <charset val="134"/>
          </rPr>
          <t xml:space="preserve">
3002330 8/6 1300pcs华3B14</t>
        </r>
      </text>
    </comment>
    <comment ref="AL453" authorId="0">
      <text>
        <r>
          <rPr>
            <b/>
            <sz val="9"/>
            <rFont val="宋体"/>
            <charset val="134"/>
          </rPr>
          <t>Administrator:</t>
        </r>
        <r>
          <rPr>
            <sz val="9"/>
            <rFont val="宋体"/>
            <charset val="134"/>
          </rPr>
          <t xml:space="preserve">
7/15 上意大利环保标贴纸1300pcs</t>
        </r>
      </text>
    </comment>
    <comment ref="AI454" authorId="0">
      <text>
        <r>
          <rPr>
            <b/>
            <sz val="9"/>
            <rFont val="宋体"/>
            <charset val="134"/>
          </rPr>
          <t>Administrator:</t>
        </r>
        <r>
          <rPr>
            <sz val="9"/>
            <rFont val="宋体"/>
            <charset val="134"/>
          </rPr>
          <t xml:space="preserve">
3002380 8/5 5500pcs华3A30</t>
        </r>
      </text>
    </comment>
    <comment ref="AI455" authorId="0">
      <text>
        <r>
          <rPr>
            <b/>
            <sz val="9"/>
            <rFont val="宋体"/>
            <charset val="134"/>
          </rPr>
          <t>Administrator:</t>
        </r>
        <r>
          <rPr>
            <sz val="9"/>
            <rFont val="宋体"/>
            <charset val="134"/>
          </rPr>
          <t xml:space="preserve">
3002380 8/5 5000pcs
华3A24</t>
        </r>
      </text>
    </comment>
    <comment ref="AI456" authorId="0">
      <text>
        <r>
          <rPr>
            <b/>
            <sz val="9"/>
            <rFont val="宋体"/>
            <charset val="134"/>
          </rPr>
          <t>Administrator:</t>
        </r>
        <r>
          <rPr>
            <sz val="9"/>
            <rFont val="宋体"/>
            <charset val="134"/>
          </rPr>
          <t xml:space="preserve">
3002380 8/5 2200pcs
华3A30</t>
        </r>
      </text>
    </comment>
    <comment ref="AI457" authorId="0">
      <text>
        <r>
          <rPr>
            <b/>
            <sz val="9"/>
            <rFont val="宋体"/>
            <charset val="134"/>
          </rPr>
          <t>Administrator:</t>
        </r>
        <r>
          <rPr>
            <sz val="9"/>
            <rFont val="宋体"/>
            <charset val="134"/>
          </rPr>
          <t xml:space="preserve">
3002380 8/5 7000pcs
华3A24</t>
        </r>
      </text>
    </comment>
    <comment ref="AI458" authorId="0">
      <text>
        <r>
          <rPr>
            <b/>
            <sz val="9"/>
            <rFont val="宋体"/>
            <charset val="134"/>
          </rPr>
          <t>Administrator:</t>
        </r>
        <r>
          <rPr>
            <sz val="9"/>
            <rFont val="宋体"/>
            <charset val="134"/>
          </rPr>
          <t xml:space="preserve">
3002318 8/7 16825pcs莫A一楼A6</t>
        </r>
      </text>
    </comment>
    <comment ref="AL458" authorId="0">
      <text>
        <r>
          <rPr>
            <b/>
            <sz val="9"/>
            <rFont val="宋体"/>
            <charset val="134"/>
          </rPr>
          <t>Administrator:</t>
        </r>
        <r>
          <rPr>
            <sz val="9"/>
            <rFont val="宋体"/>
            <charset val="134"/>
          </rPr>
          <t xml:space="preserve">
7/16 上客供外箱条码贴纸680pcs</t>
        </r>
      </text>
    </comment>
    <comment ref="AI459" authorId="0">
      <text>
        <r>
          <rPr>
            <b/>
            <sz val="9"/>
            <rFont val="宋体"/>
            <charset val="134"/>
          </rPr>
          <t>Administrator:</t>
        </r>
        <r>
          <rPr>
            <sz val="9"/>
            <rFont val="宋体"/>
            <charset val="134"/>
          </rPr>
          <t xml:space="preserve">
3002312 8/8 169pcs华3B8</t>
        </r>
      </text>
    </comment>
    <comment ref="AL459" authorId="0">
      <text>
        <r>
          <rPr>
            <b/>
            <sz val="9"/>
            <rFont val="宋体"/>
            <charset val="134"/>
          </rPr>
          <t>Administrator:</t>
        </r>
        <r>
          <rPr>
            <sz val="9"/>
            <rFont val="宋体"/>
            <charset val="134"/>
          </rPr>
          <t xml:space="preserve">
7/16 上白色防盗贴纸 169pcs
7/23 上UPC条码贴纸169pcs
</t>
        </r>
      </text>
    </comment>
    <comment ref="AI460" authorId="0">
      <text>
        <r>
          <rPr>
            <b/>
            <sz val="9"/>
            <rFont val="宋体"/>
            <charset val="134"/>
          </rPr>
          <t>Administrator:</t>
        </r>
        <r>
          <rPr>
            <sz val="9"/>
            <rFont val="宋体"/>
            <charset val="134"/>
          </rPr>
          <t xml:space="preserve">
3002312 8/8 1339pcs
华3B8</t>
        </r>
      </text>
    </comment>
    <comment ref="AL460" authorId="0">
      <text>
        <r>
          <rPr>
            <b/>
            <sz val="9"/>
            <rFont val="宋体"/>
            <charset val="134"/>
          </rPr>
          <t>Administrator:</t>
        </r>
        <r>
          <rPr>
            <sz val="9"/>
            <rFont val="宋体"/>
            <charset val="134"/>
          </rPr>
          <t xml:space="preserve">
7/16 上白色防盗贴纸 1339pcs
7/23 上UPC条码贴纸1339pcs</t>
        </r>
      </text>
    </comment>
    <comment ref="AI461" authorId="0">
      <text>
        <r>
          <rPr>
            <b/>
            <sz val="9"/>
            <rFont val="宋体"/>
            <charset val="134"/>
          </rPr>
          <t>Administrator:</t>
        </r>
        <r>
          <rPr>
            <sz val="9"/>
            <rFont val="宋体"/>
            <charset val="134"/>
          </rPr>
          <t xml:space="preserve">
3002380 8/5 6000pcs
华3A24</t>
        </r>
      </text>
    </comment>
    <comment ref="AI462" authorId="0">
      <text>
        <r>
          <rPr>
            <b/>
            <sz val="9"/>
            <rFont val="宋体"/>
            <charset val="134"/>
          </rPr>
          <t>Administrator:</t>
        </r>
        <r>
          <rPr>
            <sz val="9"/>
            <rFont val="宋体"/>
            <charset val="134"/>
          </rPr>
          <t xml:space="preserve">
400330 8/12 2844pcs
新仓1-B2
</t>
        </r>
      </text>
    </comment>
    <comment ref="AL462" authorId="0">
      <text>
        <r>
          <rPr>
            <b/>
            <sz val="9"/>
            <rFont val="宋体"/>
            <charset val="134"/>
          </rPr>
          <t>Administrator:</t>
        </r>
        <r>
          <rPr>
            <sz val="9"/>
            <rFont val="宋体"/>
            <charset val="134"/>
          </rPr>
          <t xml:space="preserve">
7/23 上客供亚马逊外箱贴纸237pcs</t>
        </r>
      </text>
    </comment>
    <comment ref="AI463" authorId="0">
      <text>
        <r>
          <rPr>
            <b/>
            <sz val="9"/>
            <rFont val="宋体"/>
            <charset val="134"/>
          </rPr>
          <t>Administrator:</t>
        </r>
        <r>
          <rPr>
            <sz val="9"/>
            <rFont val="宋体"/>
            <charset val="134"/>
          </rPr>
          <t xml:space="preserve">
4000300 8/9 2832pcs
华3B9</t>
        </r>
      </text>
    </comment>
    <comment ref="AL463" authorId="0">
      <text>
        <r>
          <rPr>
            <b/>
            <sz val="9"/>
            <rFont val="宋体"/>
            <charset val="134"/>
          </rPr>
          <t>Administrator:</t>
        </r>
        <r>
          <rPr>
            <sz val="9"/>
            <rFont val="宋体"/>
            <charset val="134"/>
          </rPr>
          <t xml:space="preserve">
7/3 上客供RFID贴纸2832pcs
</t>
        </r>
      </text>
    </comment>
    <comment ref="AI464" authorId="0">
      <text>
        <r>
          <rPr>
            <b/>
            <sz val="9"/>
            <rFont val="宋体"/>
            <charset val="134"/>
          </rPr>
          <t>Administrator:</t>
        </r>
        <r>
          <rPr>
            <sz val="9"/>
            <rFont val="宋体"/>
            <charset val="134"/>
          </rPr>
          <t xml:space="preserve">
4000300 8/9 4048pcs
华3B9</t>
        </r>
      </text>
    </comment>
    <comment ref="AL464" authorId="0">
      <text>
        <r>
          <rPr>
            <b/>
            <sz val="9"/>
            <rFont val="宋体"/>
            <charset val="134"/>
          </rPr>
          <t>Administrator:</t>
        </r>
        <r>
          <rPr>
            <sz val="9"/>
            <rFont val="宋体"/>
            <charset val="134"/>
          </rPr>
          <t xml:space="preserve">
7/3 上客供RFID贴纸4048pcs
</t>
        </r>
      </text>
    </comment>
    <comment ref="AI465" authorId="0">
      <text>
        <r>
          <rPr>
            <b/>
            <sz val="9"/>
            <rFont val="宋体"/>
            <charset val="134"/>
          </rPr>
          <t>Administrator:</t>
        </r>
        <r>
          <rPr>
            <sz val="9"/>
            <rFont val="宋体"/>
            <charset val="134"/>
          </rPr>
          <t xml:space="preserve">
4000300 8/9 2736pcs
华3B8</t>
        </r>
      </text>
    </comment>
    <comment ref="AL465" authorId="0">
      <text>
        <r>
          <rPr>
            <b/>
            <sz val="9"/>
            <rFont val="宋体"/>
            <charset val="134"/>
          </rPr>
          <t>Administrator:</t>
        </r>
        <r>
          <rPr>
            <sz val="9"/>
            <rFont val="宋体"/>
            <charset val="134"/>
          </rPr>
          <t xml:space="preserve">
7/3 上客供RFID贴纸2736pcs
</t>
        </r>
      </text>
    </comment>
    <comment ref="AI466" authorId="0">
      <text>
        <r>
          <rPr>
            <b/>
            <sz val="9"/>
            <rFont val="宋体"/>
            <charset val="134"/>
          </rPr>
          <t>Administrator:</t>
        </r>
        <r>
          <rPr>
            <sz val="9"/>
            <rFont val="宋体"/>
            <charset val="134"/>
          </rPr>
          <t xml:space="preserve">
4000300 8/9 3024pcs
华3B8</t>
        </r>
      </text>
    </comment>
    <comment ref="AL466" authorId="0">
      <text>
        <r>
          <rPr>
            <b/>
            <sz val="9"/>
            <rFont val="宋体"/>
            <charset val="134"/>
          </rPr>
          <t>Administrator:</t>
        </r>
        <r>
          <rPr>
            <sz val="9"/>
            <rFont val="宋体"/>
            <charset val="134"/>
          </rPr>
          <t xml:space="preserve">
7/3 上客供RFID贴纸3024pcs
</t>
        </r>
      </text>
    </comment>
    <comment ref="AI467" authorId="0">
      <text>
        <r>
          <rPr>
            <b/>
            <sz val="9"/>
            <rFont val="宋体"/>
            <charset val="134"/>
          </rPr>
          <t>Administrator:</t>
        </r>
        <r>
          <rPr>
            <sz val="9"/>
            <rFont val="宋体"/>
            <charset val="134"/>
          </rPr>
          <t xml:space="preserve">
4000300 8/9 3488pcs
华3B9</t>
        </r>
      </text>
    </comment>
    <comment ref="AI468" authorId="0">
      <text>
        <r>
          <rPr>
            <b/>
            <sz val="9"/>
            <rFont val="宋体"/>
            <charset val="134"/>
          </rPr>
          <t>Administrator:</t>
        </r>
        <r>
          <rPr>
            <sz val="9"/>
            <rFont val="宋体"/>
            <charset val="134"/>
          </rPr>
          <t xml:space="preserve">
4000300 8/9 2688pcs
华3B9</t>
        </r>
      </text>
    </comment>
    <comment ref="AI469" authorId="0">
      <text>
        <r>
          <rPr>
            <b/>
            <sz val="9"/>
            <rFont val="宋体"/>
            <charset val="134"/>
          </rPr>
          <t>Administrator:</t>
        </r>
        <r>
          <rPr>
            <sz val="9"/>
            <rFont val="宋体"/>
            <charset val="134"/>
          </rPr>
          <t xml:space="preserve">
4000300 8/9 2256pcs
华3B9
4000352 8/13 16pcs华3B9</t>
        </r>
      </text>
    </comment>
    <comment ref="AI470" authorId="0">
      <text>
        <r>
          <rPr>
            <b/>
            <sz val="9"/>
            <rFont val="宋体"/>
            <charset val="134"/>
          </rPr>
          <t>Administrator:</t>
        </r>
        <r>
          <rPr>
            <sz val="9"/>
            <rFont val="宋体"/>
            <charset val="134"/>
          </rPr>
          <t xml:space="preserve">
3002330 8/6 1612pcs华3A27</t>
        </r>
      </text>
    </comment>
    <comment ref="AI471" authorId="0">
      <text>
        <r>
          <rPr>
            <b/>
            <sz val="9"/>
            <rFont val="宋体"/>
            <charset val="134"/>
          </rPr>
          <t>Administrator:</t>
        </r>
        <r>
          <rPr>
            <sz val="9"/>
            <rFont val="宋体"/>
            <charset val="134"/>
          </rPr>
          <t xml:space="preserve">
3002287 8/8 12168pcs莫A一楼B7</t>
        </r>
      </text>
    </comment>
    <comment ref="AL471" authorId="0">
      <text>
        <r>
          <rPr>
            <b/>
            <sz val="9"/>
            <rFont val="宋体"/>
            <charset val="134"/>
          </rPr>
          <t>Administrator:</t>
        </r>
        <r>
          <rPr>
            <sz val="9"/>
            <rFont val="宋体"/>
            <charset val="134"/>
          </rPr>
          <t xml:space="preserve">
8/26 上客户EAN贴纸12168pcs
PDQ数量贴纸12168pcs
</t>
        </r>
      </text>
    </comment>
    <comment ref="AI472" authorId="0">
      <text>
        <r>
          <rPr>
            <b/>
            <sz val="9"/>
            <rFont val="宋体"/>
            <charset val="134"/>
          </rPr>
          <t>Administrator:</t>
        </r>
        <r>
          <rPr>
            <sz val="9"/>
            <rFont val="宋体"/>
            <charset val="134"/>
          </rPr>
          <t xml:space="preserve">
4000300 8/9 1040pcs
华3B13</t>
        </r>
      </text>
    </comment>
    <comment ref="AL472" authorId="0">
      <text>
        <r>
          <rPr>
            <b/>
            <sz val="9"/>
            <rFont val="宋体"/>
            <charset val="134"/>
          </rPr>
          <t>Administrator:</t>
        </r>
        <r>
          <rPr>
            <sz val="9"/>
            <rFont val="宋体"/>
            <charset val="134"/>
          </rPr>
          <t xml:space="preserve">
7/16 上客供警语贴纸贴球底部   1076pcs
     上客供警语贴纸贴收藏指南 1076pcs
     上客供警语贴纸贴说明书上 1076pcs
  7/24 上UPC条码贴纸1040pcs</t>
        </r>
      </text>
    </comment>
    <comment ref="AI473" authorId="0">
      <text>
        <r>
          <rPr>
            <b/>
            <sz val="9"/>
            <rFont val="宋体"/>
            <charset val="134"/>
          </rPr>
          <t>Administrator:</t>
        </r>
        <r>
          <rPr>
            <sz val="9"/>
            <rFont val="宋体"/>
            <charset val="134"/>
          </rPr>
          <t xml:space="preserve">
3002380 8/5 3300pcs
华3A23</t>
        </r>
      </text>
    </comment>
    <comment ref="AI474" authorId="0">
      <text>
        <r>
          <rPr>
            <b/>
            <sz val="9"/>
            <rFont val="宋体"/>
            <charset val="134"/>
          </rPr>
          <t>Administrator:</t>
        </r>
        <r>
          <rPr>
            <sz val="9"/>
            <rFont val="宋体"/>
            <charset val="134"/>
          </rPr>
          <t xml:space="preserve">
400330 8/12 5772pcs
新仓1-A4</t>
        </r>
      </text>
    </comment>
    <comment ref="AL474" authorId="0">
      <text>
        <r>
          <rPr>
            <b/>
            <sz val="9"/>
            <rFont val="宋体"/>
            <charset val="134"/>
          </rPr>
          <t>Administrator:</t>
        </r>
        <r>
          <rPr>
            <sz val="9"/>
            <rFont val="宋体"/>
            <charset val="134"/>
          </rPr>
          <t xml:space="preserve">
7/23 上客供亚马逊外箱贴纸481pcs</t>
        </r>
      </text>
    </comment>
    <comment ref="AI475" authorId="0">
      <text>
        <r>
          <rPr>
            <b/>
            <sz val="9"/>
            <rFont val="宋体"/>
            <charset val="134"/>
          </rPr>
          <t>Administrator:</t>
        </r>
        <r>
          <rPr>
            <sz val="9"/>
            <rFont val="宋体"/>
            <charset val="134"/>
          </rPr>
          <t xml:space="preserve">
400330 8/12 936pcs
新仓1-B4</t>
        </r>
      </text>
    </comment>
    <comment ref="AL475" authorId="0">
      <text>
        <r>
          <rPr>
            <b/>
            <sz val="9"/>
            <rFont val="宋体"/>
            <charset val="134"/>
          </rPr>
          <t>Administrator:</t>
        </r>
        <r>
          <rPr>
            <sz val="9"/>
            <rFont val="宋体"/>
            <charset val="134"/>
          </rPr>
          <t xml:space="preserve">
7/23 上客供亚马逊外箱贴纸78pcs</t>
        </r>
      </text>
    </comment>
    <comment ref="AI476" authorId="0">
      <text>
        <r>
          <rPr>
            <b/>
            <sz val="9"/>
            <rFont val="宋体"/>
            <charset val="134"/>
          </rPr>
          <t>Administrator:</t>
        </r>
        <r>
          <rPr>
            <sz val="9"/>
            <rFont val="宋体"/>
            <charset val="134"/>
          </rPr>
          <t xml:space="preserve">
4000307 8/11 24675pcs莫4B8</t>
        </r>
      </text>
    </comment>
    <comment ref="AL476" authorId="0">
      <text>
        <r>
          <rPr>
            <b/>
            <sz val="9"/>
            <rFont val="宋体"/>
            <charset val="134"/>
          </rPr>
          <t>Administrator:</t>
        </r>
        <r>
          <rPr>
            <sz val="9"/>
            <rFont val="宋体"/>
            <charset val="134"/>
          </rPr>
          <t xml:space="preserve">
7/28 上客供外箱条码贴纸997pcs
</t>
        </r>
      </text>
    </comment>
    <comment ref="AI477" authorId="0">
      <text>
        <r>
          <rPr>
            <b/>
            <sz val="9"/>
            <rFont val="宋体"/>
            <charset val="134"/>
          </rPr>
          <t>Administrator:</t>
        </r>
        <r>
          <rPr>
            <sz val="9"/>
            <rFont val="宋体"/>
            <charset val="134"/>
          </rPr>
          <t xml:space="preserve">
4000300 8/9 300pcs华3B13</t>
        </r>
      </text>
    </comment>
    <comment ref="AL477" authorId="0">
      <text>
        <r>
          <rPr>
            <b/>
            <sz val="9"/>
            <rFont val="宋体"/>
            <charset val="134"/>
          </rPr>
          <t>Administrator:</t>
        </r>
        <r>
          <rPr>
            <sz val="9"/>
            <rFont val="宋体"/>
            <charset val="134"/>
          </rPr>
          <t xml:space="preserve">
7/22 上警告语/进口商贴纸300pcs</t>
        </r>
      </text>
    </comment>
    <comment ref="AI478" authorId="0">
      <text>
        <r>
          <rPr>
            <b/>
            <sz val="9"/>
            <rFont val="宋体"/>
            <charset val="134"/>
          </rPr>
          <t>Administrator:</t>
        </r>
        <r>
          <rPr>
            <sz val="9"/>
            <rFont val="宋体"/>
            <charset val="134"/>
          </rPr>
          <t xml:space="preserve">
400330 8/12 1440pcs新仓1-B</t>
        </r>
      </text>
    </comment>
    <comment ref="AL478" authorId="0">
      <text>
        <r>
          <rPr>
            <b/>
            <sz val="9"/>
            <rFont val="宋体"/>
            <charset val="134"/>
          </rPr>
          <t>Administrator:</t>
        </r>
        <r>
          <rPr>
            <sz val="9"/>
            <rFont val="宋体"/>
            <charset val="134"/>
          </rPr>
          <t xml:space="preserve">
8/1 上客人警告语贴纸1440pcs
SKU号码贴纸1440pcs
8/1 上客人警语贴纸1440pcs
条码贴纸1440pcs
</t>
        </r>
      </text>
    </comment>
    <comment ref="AI479" authorId="0">
      <text>
        <r>
          <rPr>
            <b/>
            <sz val="9"/>
            <rFont val="宋体"/>
            <charset val="134"/>
          </rPr>
          <t>Administrator:</t>
        </r>
        <r>
          <rPr>
            <sz val="9"/>
            <rFont val="宋体"/>
            <charset val="134"/>
          </rPr>
          <t xml:space="preserve">
400330 8/12 960pcs新仓1-B3</t>
        </r>
      </text>
    </comment>
    <comment ref="AL479" authorId="0">
      <text>
        <r>
          <rPr>
            <b/>
            <sz val="9"/>
            <rFont val="宋体"/>
            <charset val="134"/>
          </rPr>
          <t>Administrator:</t>
        </r>
        <r>
          <rPr>
            <sz val="9"/>
            <rFont val="宋体"/>
            <charset val="134"/>
          </rPr>
          <t xml:space="preserve">
8/1 上客人警告语贴纸960pcs
SKU号码贴纸960pcs
</t>
        </r>
      </text>
    </comment>
    <comment ref="AI480" authorId="0">
      <text>
        <r>
          <rPr>
            <b/>
            <sz val="9"/>
            <rFont val="宋体"/>
            <charset val="134"/>
          </rPr>
          <t>Administrator:</t>
        </r>
        <r>
          <rPr>
            <sz val="9"/>
            <rFont val="宋体"/>
            <charset val="134"/>
          </rPr>
          <t xml:space="preserve">
4000266 8/8 504pcs新仓3-B8</t>
        </r>
      </text>
    </comment>
    <comment ref="AL480" authorId="0">
      <text>
        <r>
          <rPr>
            <b/>
            <sz val="9"/>
            <rFont val="宋体"/>
            <charset val="134"/>
          </rPr>
          <t>Administrator:</t>
        </r>
        <r>
          <rPr>
            <sz val="9"/>
            <rFont val="宋体"/>
            <charset val="134"/>
          </rPr>
          <t xml:space="preserve">
7/21 上EAN条码贴纸1008pcs
空白贴纸1008pcs
7/21 上多语折叠贴纸504pcs</t>
        </r>
      </text>
    </comment>
    <comment ref="AI481" authorId="0">
      <text>
        <r>
          <rPr>
            <b/>
            <sz val="9"/>
            <rFont val="宋体"/>
            <charset val="134"/>
          </rPr>
          <t>Administrator:</t>
        </r>
        <r>
          <rPr>
            <sz val="9"/>
            <rFont val="宋体"/>
            <charset val="134"/>
          </rPr>
          <t xml:space="preserve">
3002312 8/8 1950pcs
华3B14</t>
        </r>
      </text>
    </comment>
    <comment ref="AL481" authorId="0">
      <text>
        <r>
          <rPr>
            <b/>
            <sz val="9"/>
            <rFont val="宋体"/>
            <charset val="134"/>
          </rPr>
          <t>Administrator:</t>
        </r>
        <r>
          <rPr>
            <sz val="9"/>
            <rFont val="宋体"/>
            <charset val="134"/>
          </rPr>
          <t xml:space="preserve">
7/16 上白色防盗贴纸 1950pcs
7/25 上UPC贴纸1950pcs
7/31 上KM单外箱贴纸150pcs</t>
        </r>
      </text>
    </comment>
    <comment ref="AI482" authorId="0">
      <text>
        <r>
          <rPr>
            <b/>
            <sz val="9"/>
            <rFont val="宋体"/>
            <charset val="134"/>
          </rPr>
          <t>Administrator:</t>
        </r>
        <r>
          <rPr>
            <sz val="9"/>
            <rFont val="宋体"/>
            <charset val="134"/>
          </rPr>
          <t xml:space="preserve">
3002312 8/8 143pcs
华3B8</t>
        </r>
      </text>
    </comment>
    <comment ref="AL482" authorId="0">
      <text>
        <r>
          <rPr>
            <b/>
            <sz val="9"/>
            <rFont val="宋体"/>
            <charset val="134"/>
          </rPr>
          <t>Administrator:</t>
        </r>
        <r>
          <rPr>
            <sz val="9"/>
            <rFont val="宋体"/>
            <charset val="134"/>
          </rPr>
          <t xml:space="preserve">
7/16 上白色防盗贴纸 143pcs
7/25 上UPC贴纸143pcs
7/31 上KM单外箱贴纸11pcs</t>
        </r>
      </text>
    </comment>
    <comment ref="AI485" authorId="0">
      <text>
        <r>
          <rPr>
            <b/>
            <sz val="9"/>
            <rFont val="宋体"/>
            <charset val="134"/>
          </rPr>
          <t>Administrator:</t>
        </r>
        <r>
          <rPr>
            <sz val="9"/>
            <rFont val="宋体"/>
            <charset val="134"/>
          </rPr>
          <t xml:space="preserve">
4000269 8/8 720pcs张泉</t>
        </r>
      </text>
    </comment>
    <comment ref="AL485" authorId="0">
      <text>
        <r>
          <rPr>
            <b/>
            <sz val="9"/>
            <rFont val="宋体"/>
            <charset val="134"/>
          </rPr>
          <t>Administrator:</t>
        </r>
        <r>
          <rPr>
            <sz val="9"/>
            <rFont val="宋体"/>
            <charset val="134"/>
          </rPr>
          <t xml:space="preserve">
8/1 上客人警语贴纸720pcs
条码贴纸720pcs
</t>
        </r>
      </text>
    </comment>
    <comment ref="AI486" authorId="0">
      <text>
        <r>
          <rPr>
            <b/>
            <sz val="9"/>
            <rFont val="宋体"/>
            <charset val="134"/>
          </rPr>
          <t>Administrator:</t>
        </r>
        <r>
          <rPr>
            <sz val="9"/>
            <rFont val="宋体"/>
            <charset val="134"/>
          </rPr>
          <t xml:space="preserve">
3002276 8/13 15pcs 一楼</t>
        </r>
      </text>
    </comment>
    <comment ref="AI487" authorId="0">
      <text>
        <r>
          <rPr>
            <b/>
            <sz val="9"/>
            <rFont val="宋体"/>
            <charset val="134"/>
          </rPr>
          <t>Administrator:</t>
        </r>
        <r>
          <rPr>
            <sz val="9"/>
            <rFont val="宋体"/>
            <charset val="134"/>
          </rPr>
          <t xml:space="preserve">
3002276 8/13 15pcs 一楼
</t>
        </r>
      </text>
    </comment>
    <comment ref="AI488" authorId="0">
      <text>
        <r>
          <rPr>
            <b/>
            <sz val="9"/>
            <rFont val="宋体"/>
            <charset val="134"/>
          </rPr>
          <t>Administrator:</t>
        </r>
        <r>
          <rPr>
            <sz val="9"/>
            <rFont val="宋体"/>
            <charset val="134"/>
          </rPr>
          <t xml:space="preserve">
4000269 8/8 2700pcs张泉</t>
        </r>
      </text>
    </comment>
    <comment ref="AL488" authorId="0">
      <text>
        <r>
          <rPr>
            <b/>
            <sz val="9"/>
            <rFont val="宋体"/>
            <charset val="134"/>
          </rPr>
          <t>Administrator:</t>
        </r>
        <r>
          <rPr>
            <sz val="9"/>
            <rFont val="宋体"/>
            <charset val="134"/>
          </rPr>
          <t xml:space="preserve">
8/1 上客人警语贴纸2700pcs
条码贴纸2700pcs</t>
        </r>
      </text>
    </comment>
    <comment ref="AI491" authorId="0">
      <text>
        <r>
          <rPr>
            <b/>
            <sz val="9"/>
            <rFont val="宋体"/>
            <charset val="134"/>
          </rPr>
          <t>Administrator:</t>
        </r>
        <r>
          <rPr>
            <sz val="9"/>
            <rFont val="宋体"/>
            <charset val="134"/>
          </rPr>
          <t xml:space="preserve">
4000593 8/18 3975pcs
华一F3
4000607 8/19 25pcsB 34区</t>
        </r>
      </text>
    </comment>
    <comment ref="AL491" authorId="0">
      <text>
        <r>
          <rPr>
            <b/>
            <sz val="9"/>
            <rFont val="宋体"/>
            <charset val="134"/>
          </rPr>
          <t>Administrator:</t>
        </r>
        <r>
          <rPr>
            <sz val="9"/>
            <rFont val="宋体"/>
            <charset val="134"/>
          </rPr>
          <t xml:space="preserve">
7/29 上冰棒款说明书荷兰语贴纸4000pcs
蛋糕款说明书荷兰语贴纸4000pcs
布丁款说明书荷兰语贴纸4000pcs</t>
        </r>
      </text>
    </comment>
    <comment ref="AI492" authorId="0">
      <text>
        <r>
          <rPr>
            <b/>
            <sz val="9"/>
            <rFont val="宋体"/>
            <charset val="134"/>
          </rPr>
          <t>Administrator:</t>
        </r>
        <r>
          <rPr>
            <sz val="9"/>
            <rFont val="宋体"/>
            <charset val="134"/>
          </rPr>
          <t xml:space="preserve">
4000607 8/19 23175pcs莫4B3</t>
        </r>
      </text>
    </comment>
    <comment ref="AL492" authorId="0">
      <text>
        <r>
          <rPr>
            <b/>
            <sz val="9"/>
            <rFont val="宋体"/>
            <charset val="134"/>
          </rPr>
          <t>Administrator:</t>
        </r>
        <r>
          <rPr>
            <sz val="9"/>
            <rFont val="宋体"/>
            <charset val="134"/>
          </rPr>
          <t xml:space="preserve">
7/28 上客供外箱条码贴纸936pcs
</t>
        </r>
      </text>
    </comment>
    <comment ref="AL493" authorId="0">
      <text>
        <r>
          <rPr>
            <b/>
            <sz val="9"/>
            <rFont val="宋体"/>
            <charset val="134"/>
          </rPr>
          <t>Administrator:</t>
        </r>
        <r>
          <rPr>
            <sz val="9"/>
            <rFont val="宋体"/>
            <charset val="134"/>
          </rPr>
          <t xml:space="preserve">
7/31 KM单外箱贴纸550pcs两个同PO共用</t>
        </r>
      </text>
    </comment>
    <comment ref="AL495" authorId="0">
      <text>
        <r>
          <rPr>
            <b/>
            <sz val="9"/>
            <rFont val="宋体"/>
            <charset val="134"/>
          </rPr>
          <t>Administrator:</t>
        </r>
        <r>
          <rPr>
            <sz val="9"/>
            <rFont val="宋体"/>
            <charset val="134"/>
          </rPr>
          <t xml:space="preserve">
7/31 上KM单外箱贴纸50pcs</t>
        </r>
      </text>
    </comment>
    <comment ref="AI497" authorId="0">
      <text>
        <r>
          <rPr>
            <b/>
            <sz val="9"/>
            <rFont val="宋体"/>
            <charset val="134"/>
          </rPr>
          <t>Administrator:</t>
        </r>
        <r>
          <rPr>
            <sz val="9"/>
            <rFont val="宋体"/>
            <charset val="134"/>
          </rPr>
          <t xml:space="preserve">
4000248 8/21 14975pcs新仓1 -A5</t>
        </r>
      </text>
    </comment>
    <comment ref="AL497" authorId="0">
      <text>
        <r>
          <rPr>
            <b/>
            <sz val="9"/>
            <rFont val="宋体"/>
            <charset val="134"/>
          </rPr>
          <t>Administrator:</t>
        </r>
        <r>
          <rPr>
            <sz val="9"/>
            <rFont val="宋体"/>
            <charset val="134"/>
          </rPr>
          <t xml:space="preserve">
7/28 上客供外箱条码贴纸605pcs
</t>
        </r>
      </text>
    </comment>
    <comment ref="AI498" authorId="0">
      <text>
        <r>
          <rPr>
            <b/>
            <sz val="9"/>
            <rFont val="宋体"/>
            <charset val="134"/>
          </rPr>
          <t>Administrator:</t>
        </r>
        <r>
          <rPr>
            <sz val="9"/>
            <rFont val="宋体"/>
            <charset val="134"/>
          </rPr>
          <t xml:space="preserve">
4000244 8/22 1560pcs
莫4B4
4000242 8/22 3600pcs
莫4B4</t>
        </r>
      </text>
    </comment>
    <comment ref="AL498" authorId="0">
      <text>
        <r>
          <rPr>
            <b/>
            <sz val="9"/>
            <rFont val="宋体"/>
            <charset val="134"/>
          </rPr>
          <t>Administrator:</t>
        </r>
        <r>
          <rPr>
            <sz val="9"/>
            <rFont val="宋体"/>
            <charset val="134"/>
          </rPr>
          <t xml:space="preserve">
8/2 上客供亚马逊外箱贴纸430pcs</t>
        </r>
      </text>
    </comment>
    <comment ref="AI499" authorId="0">
      <text>
        <r>
          <rPr>
            <b/>
            <sz val="9"/>
            <rFont val="宋体"/>
            <charset val="134"/>
          </rPr>
          <t>Administrator:</t>
        </r>
        <r>
          <rPr>
            <sz val="9"/>
            <rFont val="宋体"/>
            <charset val="134"/>
          </rPr>
          <t xml:space="preserve">
4000242 8/22 1209pcs莫4B4</t>
        </r>
      </text>
    </comment>
    <comment ref="AL499" authorId="0">
      <text>
        <r>
          <rPr>
            <b/>
            <sz val="9"/>
            <rFont val="宋体"/>
            <charset val="134"/>
          </rPr>
          <t>Administrator:</t>
        </r>
        <r>
          <rPr>
            <sz val="9"/>
            <rFont val="宋体"/>
            <charset val="134"/>
          </rPr>
          <t xml:space="preserve">
7/21 上多语折叠贴纸1209pcs
</t>
        </r>
      </text>
    </comment>
    <comment ref="AI500" authorId="0">
      <text>
        <r>
          <rPr>
            <b/>
            <sz val="9"/>
            <rFont val="宋体"/>
            <charset val="134"/>
          </rPr>
          <t>Administrator:</t>
        </r>
        <r>
          <rPr>
            <sz val="9"/>
            <rFont val="宋体"/>
            <charset val="134"/>
          </rPr>
          <t xml:space="preserve">
4000230 8/22 24960pcs
莫4B4</t>
        </r>
      </text>
    </comment>
    <comment ref="AI501" authorId="0">
      <text>
        <r>
          <rPr>
            <b/>
            <sz val="9"/>
            <rFont val="宋体"/>
            <charset val="134"/>
          </rPr>
          <t>Administrator:</t>
        </r>
        <r>
          <rPr>
            <sz val="9"/>
            <rFont val="宋体"/>
            <charset val="134"/>
          </rPr>
          <t xml:space="preserve">
2002217 6/13 3900pcs莫5楼B9
3002330 8/6 3900pcs因为生产以为此单是东莞混装误送回半成品球车回来返工 华3B9</t>
        </r>
      </text>
    </comment>
    <comment ref="AI502" authorId="0">
      <text>
        <r>
          <rPr>
            <b/>
            <sz val="9"/>
            <rFont val="宋体"/>
            <charset val="134"/>
          </rPr>
          <t>Administrator:</t>
        </r>
        <r>
          <rPr>
            <sz val="9"/>
            <rFont val="宋体"/>
            <charset val="134"/>
          </rPr>
          <t xml:space="preserve">
4000244 8/22 130pcs莫4B4</t>
        </r>
      </text>
    </comment>
    <comment ref="AL502" authorId="0">
      <text>
        <r>
          <rPr>
            <b/>
            <sz val="9"/>
            <rFont val="宋体"/>
            <charset val="134"/>
          </rPr>
          <t>Administrator:</t>
        </r>
        <r>
          <rPr>
            <sz val="9"/>
            <rFont val="宋体"/>
            <charset val="134"/>
          </rPr>
          <t xml:space="preserve">
7/29 上UPC条码贴纸130pcs
8/7 上KM单外箱贴纸10pcs
8/21 上白色防盗贴纸130pcs</t>
        </r>
      </text>
    </comment>
    <comment ref="AI503" authorId="0">
      <text>
        <r>
          <rPr>
            <b/>
            <sz val="9"/>
            <rFont val="宋体"/>
            <charset val="134"/>
          </rPr>
          <t>Administrator:</t>
        </r>
        <r>
          <rPr>
            <sz val="9"/>
            <rFont val="宋体"/>
            <charset val="134"/>
          </rPr>
          <t xml:space="preserve">
4000244 8/22 1404pcs莫4B4
4000214 8/23 13pcs莫4 B4</t>
        </r>
      </text>
    </comment>
    <comment ref="AL503" authorId="0">
      <text>
        <r>
          <rPr>
            <b/>
            <sz val="9"/>
            <rFont val="宋体"/>
            <charset val="134"/>
          </rPr>
          <t>Administrator:</t>
        </r>
        <r>
          <rPr>
            <sz val="9"/>
            <rFont val="宋体"/>
            <charset val="134"/>
          </rPr>
          <t xml:space="preserve">
7/29 上UPC条码贴纸1404pcs
8/7 上KM单外箱贴纸108pcs
8/21 上白色防盗贴纸1404pcs
</t>
        </r>
      </text>
    </comment>
    <comment ref="AI504" authorId="0">
      <text>
        <r>
          <rPr>
            <b/>
            <sz val="9"/>
            <rFont val="宋体"/>
            <charset val="134"/>
          </rPr>
          <t>Administrator:</t>
        </r>
        <r>
          <rPr>
            <sz val="9"/>
            <rFont val="宋体"/>
            <charset val="134"/>
          </rPr>
          <t xml:space="preserve">
3000506 8/21 1350pcs新仓1-A3</t>
        </r>
      </text>
    </comment>
    <comment ref="AL504" authorId="0">
      <text>
        <r>
          <rPr>
            <b/>
            <sz val="9"/>
            <rFont val="宋体"/>
            <charset val="134"/>
          </rPr>
          <t>Administrator:</t>
        </r>
        <r>
          <rPr>
            <sz val="9"/>
            <rFont val="宋体"/>
            <charset val="134"/>
          </rPr>
          <t xml:space="preserve">
7/26 上收缩膜 +说明书纽扣电池警告语贴纸3000pcs
8/7上收缩膜 +说明书纽扣电池警告语贴纸1350pcs
8/14 上KM单外箱贴纸225pcs
</t>
        </r>
      </text>
    </comment>
    <comment ref="AI507" authorId="0">
      <text>
        <r>
          <rPr>
            <b/>
            <sz val="9"/>
            <rFont val="宋体"/>
            <charset val="134"/>
          </rPr>
          <t>Administrator:</t>
        </r>
        <r>
          <rPr>
            <sz val="9"/>
            <rFont val="宋体"/>
            <charset val="134"/>
          </rPr>
          <t xml:space="preserve">
4000230 8/22 120pcs莫4B9</t>
        </r>
      </text>
    </comment>
    <comment ref="AL507" authorId="0">
      <text>
        <r>
          <rPr>
            <b/>
            <sz val="9"/>
            <rFont val="宋体"/>
            <charset val="134"/>
          </rPr>
          <t>Administrator:</t>
        </r>
        <r>
          <rPr>
            <sz val="9"/>
            <rFont val="宋体"/>
            <charset val="134"/>
          </rPr>
          <t xml:space="preserve">
7/11 上客人白色CATLABEL贴纸120pcs</t>
        </r>
      </text>
    </comment>
    <comment ref="AI508" authorId="0">
      <text>
        <r>
          <rPr>
            <b/>
            <sz val="9"/>
            <rFont val="宋体"/>
            <charset val="134"/>
          </rPr>
          <t>Administrator:</t>
        </r>
        <r>
          <rPr>
            <sz val="9"/>
            <rFont val="宋体"/>
            <charset val="134"/>
          </rPr>
          <t xml:space="preserve">
4000154 8/27 1677PCS华3B14 
4000084 8/29 15PCS华3B14</t>
        </r>
      </text>
    </comment>
    <comment ref="AL508" authorId="0">
      <text>
        <r>
          <rPr>
            <b/>
            <sz val="9"/>
            <rFont val="宋体"/>
            <charset val="134"/>
          </rPr>
          <t>Administrator:</t>
        </r>
        <r>
          <rPr>
            <sz val="9"/>
            <rFont val="宋体"/>
            <charset val="134"/>
          </rPr>
          <t xml:space="preserve">
8/5 上UPC条码贴纸1690pcs
8/14 上KM单外箱贴纸130pcs
8/21 上白色防盗贴纸1690pcs
</t>
        </r>
      </text>
    </comment>
    <comment ref="AI509" authorId="0">
      <text>
        <r>
          <rPr>
            <b/>
            <sz val="9"/>
            <rFont val="宋体"/>
            <charset val="134"/>
          </rPr>
          <t>Administrator:</t>
        </r>
        <r>
          <rPr>
            <sz val="9"/>
            <rFont val="宋体"/>
            <charset val="134"/>
          </rPr>
          <t xml:space="preserve">
4000154 8/27 3250PCS
华3a27</t>
        </r>
      </text>
    </comment>
    <comment ref="AL509" authorId="0">
      <text>
        <r>
          <rPr>
            <b/>
            <sz val="9"/>
            <rFont val="宋体"/>
            <charset val="134"/>
          </rPr>
          <t>Administrator:</t>
        </r>
        <r>
          <rPr>
            <sz val="9"/>
            <rFont val="宋体"/>
            <charset val="134"/>
          </rPr>
          <t xml:space="preserve">
7/30 上价格贴纸3250pcs
8/18 上客供外箱条码贴纸250pcs
</t>
        </r>
      </text>
    </comment>
    <comment ref="AI510" authorId="0">
      <text>
        <r>
          <rPr>
            <b/>
            <sz val="9"/>
            <rFont val="宋体"/>
            <charset val="134"/>
          </rPr>
          <t>Administrator:</t>
        </r>
        <r>
          <rPr>
            <sz val="9"/>
            <rFont val="宋体"/>
            <charset val="134"/>
          </rPr>
          <t xml:space="preserve">
4000083 8/29 5000PCS新仓1-A7</t>
        </r>
      </text>
    </comment>
    <comment ref="AL510" authorId="0">
      <text>
        <r>
          <rPr>
            <b/>
            <sz val="9"/>
            <rFont val="宋体"/>
            <charset val="134"/>
          </rPr>
          <t>Administrator:</t>
        </r>
        <r>
          <rPr>
            <sz val="9"/>
            <rFont val="宋体"/>
            <charset val="134"/>
          </rPr>
          <t xml:space="preserve">
8/8 上冰棒 说明书荷兰语贴纸5000pcs
蛋糕款说明书荷兰语贴纸5000pcs
布丁款说明书荷兰语贴纸5000pcs</t>
        </r>
      </text>
    </comment>
    <comment ref="AI511" authorId="0">
      <text>
        <r>
          <rPr>
            <b/>
            <sz val="9"/>
            <rFont val="宋体"/>
            <charset val="134"/>
          </rPr>
          <t>Administrator:</t>
        </r>
        <r>
          <rPr>
            <sz val="9"/>
            <rFont val="宋体"/>
            <charset val="134"/>
          </rPr>
          <t xml:space="preserve">
2002495 6/14 135pcs送回半成品加东莞混装抽办10%数量全部转到64547PO </t>
        </r>
      </text>
    </comment>
    <comment ref="AI519" authorId="0">
      <text>
        <r>
          <rPr>
            <b/>
            <sz val="9"/>
            <rFont val="宋体"/>
            <charset val="134"/>
          </rPr>
          <t>Administrator:</t>
        </r>
        <r>
          <rPr>
            <sz val="9"/>
            <rFont val="宋体"/>
            <charset val="134"/>
          </rPr>
          <t xml:space="preserve">
4000155 8/27 972PCS 华3b14
</t>
        </r>
      </text>
    </comment>
    <comment ref="AL519" authorId="0">
      <text>
        <r>
          <rPr>
            <b/>
            <sz val="9"/>
            <rFont val="宋体"/>
            <charset val="134"/>
          </rPr>
          <t>Administrator:</t>
        </r>
        <r>
          <rPr>
            <sz val="9"/>
            <rFont val="宋体"/>
            <charset val="134"/>
          </rPr>
          <t xml:space="preserve">
7/26 上空白贴纸2976pcs
两个同PO共用
环保标贴纸1488pcs
两个同PO共用
7/31 上亚马逊外箱贴纸124pcs两个同PO共用</t>
        </r>
      </text>
    </comment>
    <comment ref="AI520" authorId="0">
      <text>
        <r>
          <rPr>
            <b/>
            <sz val="9"/>
            <rFont val="宋体"/>
            <charset val="134"/>
          </rPr>
          <t>Administrator:</t>
        </r>
        <r>
          <rPr>
            <sz val="9"/>
            <rFont val="宋体"/>
            <charset val="134"/>
          </rPr>
          <t xml:space="preserve">
 4000155 8/27 516PCS
X华3B14</t>
        </r>
      </text>
    </comment>
    <comment ref="AI521" authorId="0">
      <text>
        <r>
          <rPr>
            <b/>
            <sz val="9"/>
            <rFont val="宋体"/>
            <charset val="134"/>
          </rPr>
          <t>Administrator:</t>
        </r>
        <r>
          <rPr>
            <sz val="9"/>
            <rFont val="宋体"/>
            <charset val="134"/>
          </rPr>
          <t xml:space="preserve">
 4000155 8/27 804PCS
华3B15</t>
        </r>
      </text>
    </comment>
    <comment ref="AL521" authorId="0">
      <text>
        <r>
          <rPr>
            <b/>
            <sz val="9"/>
            <rFont val="宋体"/>
            <charset val="134"/>
          </rPr>
          <t>Administrator:</t>
        </r>
        <r>
          <rPr>
            <sz val="9"/>
            <rFont val="宋体"/>
            <charset val="134"/>
          </rPr>
          <t xml:space="preserve">
7/29 上空白贴纸5208pcs
环保标贴纸2604pcs
以上四个同PO共用
7/31 上亚马逊外箱贴纸217pcs四个同PO共用</t>
        </r>
      </text>
    </comment>
    <comment ref="AI522" authorId="0">
      <text>
        <r>
          <rPr>
            <b/>
            <sz val="9"/>
            <rFont val="宋体"/>
            <charset val="134"/>
          </rPr>
          <t>Administrator:</t>
        </r>
        <r>
          <rPr>
            <sz val="9"/>
            <rFont val="宋体"/>
            <charset val="134"/>
          </rPr>
          <t xml:space="preserve">
 4000155 8/27 516PCS
华3B14</t>
        </r>
      </text>
    </comment>
    <comment ref="AI523" authorId="0">
      <text>
        <r>
          <rPr>
            <b/>
            <sz val="9"/>
            <rFont val="宋体"/>
            <charset val="134"/>
          </rPr>
          <t>Administrator:</t>
        </r>
        <r>
          <rPr>
            <sz val="9"/>
            <rFont val="宋体"/>
            <charset val="134"/>
          </rPr>
          <t xml:space="preserve">
 4000155 8/27 792PCS
华3B14</t>
        </r>
      </text>
    </comment>
    <comment ref="AI524" authorId="0">
      <text>
        <r>
          <rPr>
            <b/>
            <sz val="9"/>
            <rFont val="宋体"/>
            <charset val="134"/>
          </rPr>
          <t>Administrator:</t>
        </r>
        <r>
          <rPr>
            <sz val="9"/>
            <rFont val="宋体"/>
            <charset val="134"/>
          </rPr>
          <t xml:space="preserve">
 4000155 8/27 492PCS
华3B4</t>
        </r>
      </text>
    </comment>
    <comment ref="AI525" authorId="0">
      <text>
        <r>
          <rPr>
            <b/>
            <sz val="9"/>
            <rFont val="宋体"/>
            <charset val="134"/>
          </rPr>
          <t>Administrator:</t>
        </r>
        <r>
          <rPr>
            <sz val="9"/>
            <rFont val="宋体"/>
            <charset val="134"/>
          </rPr>
          <t xml:space="preserve">
4000138 8/28 5500PCS新仓1A6
4000140 8/28 44500PCS新仓1-A6</t>
        </r>
      </text>
    </comment>
    <comment ref="AL525" authorId="0">
      <text>
        <r>
          <rPr>
            <b/>
            <sz val="9"/>
            <rFont val="宋体"/>
            <charset val="134"/>
          </rPr>
          <t>Administrator:</t>
        </r>
        <r>
          <rPr>
            <sz val="9"/>
            <rFont val="宋体"/>
            <charset val="134"/>
          </rPr>
          <t xml:space="preserve">
8/18 上客供外箱条码贴纸2020pcs
</t>
        </r>
      </text>
    </comment>
    <comment ref="AI526" authorId="0">
      <text>
        <r>
          <rPr>
            <b/>
            <sz val="9"/>
            <rFont val="宋体"/>
            <charset val="134"/>
          </rPr>
          <t>Administrator:</t>
        </r>
        <r>
          <rPr>
            <sz val="9"/>
            <rFont val="宋体"/>
            <charset val="134"/>
          </rPr>
          <t xml:space="preserve">
3000506 8/21 1350pcs新仓1-A3
</t>
        </r>
      </text>
    </comment>
    <comment ref="AL526" authorId="0">
      <text>
        <r>
          <rPr>
            <b/>
            <sz val="9"/>
            <rFont val="宋体"/>
            <charset val="134"/>
          </rPr>
          <t>Administrator:</t>
        </r>
        <r>
          <rPr>
            <sz val="9"/>
            <rFont val="宋体"/>
            <charset val="134"/>
          </rPr>
          <t xml:space="preserve">
8/1 上收缩膜 +说明书 纽扣电池警告语贴纸3000pcs
两个同PO共用
8/7上收缩膜 +说明书纽扣电池警告语贴纸150pcs
8/14 上KM单外箱贴纸25pcs
</t>
        </r>
      </text>
    </comment>
    <comment ref="AI527" authorId="0">
      <text>
        <r>
          <rPr>
            <b/>
            <sz val="9"/>
            <rFont val="宋体"/>
            <charset val="134"/>
          </rPr>
          <t>Administrator:</t>
        </r>
        <r>
          <rPr>
            <sz val="9"/>
            <rFont val="宋体"/>
            <charset val="134"/>
          </rPr>
          <t xml:space="preserve">
4000154 8/27 234PCS
华3b14</t>
        </r>
      </text>
    </comment>
    <comment ref="AL527" authorId="0">
      <text>
        <r>
          <rPr>
            <b/>
            <sz val="9"/>
            <rFont val="宋体"/>
            <charset val="134"/>
          </rPr>
          <t>Administrator:</t>
        </r>
        <r>
          <rPr>
            <sz val="9"/>
            <rFont val="宋体"/>
            <charset val="134"/>
          </rPr>
          <t xml:space="preserve">
8/5 上UPC条码贴纸234pcs
8/14 上KM单外箱贴纸13pcs
8/21 上白色防盗贴纸234pcs
</t>
        </r>
      </text>
    </comment>
    <comment ref="AI528" authorId="0">
      <text>
        <r>
          <rPr>
            <b/>
            <sz val="12"/>
            <rFont val="宋体"/>
            <charset val="134"/>
          </rPr>
          <t>4000083 8/29 8000PCS新仓1-B6</t>
        </r>
      </text>
    </comment>
    <comment ref="AL528" authorId="0">
      <text>
        <r>
          <rPr>
            <b/>
            <sz val="9"/>
            <rFont val="宋体"/>
            <charset val="134"/>
          </rPr>
          <t>Administrator:</t>
        </r>
        <r>
          <rPr>
            <sz val="9"/>
            <rFont val="宋体"/>
            <charset val="134"/>
          </rPr>
          <t xml:space="preserve">
7/30 上冰棒说明书荷兰语贴纸8000pcs
蛋糕款说明书荷兰语贴纸8000pcs
布丁款说明书荷兰语贴纸8000pcs</t>
        </r>
      </text>
    </comment>
    <comment ref="AI529" authorId="0">
      <text>
        <r>
          <rPr>
            <b/>
            <sz val="9"/>
            <rFont val="宋体"/>
            <charset val="134"/>
          </rPr>
          <t>Administrator:</t>
        </r>
        <r>
          <rPr>
            <sz val="9"/>
            <rFont val="宋体"/>
            <charset val="134"/>
          </rPr>
          <t xml:space="preserve">
4000083 8/29 8000PCS
新仓1-B6</t>
        </r>
      </text>
    </comment>
    <comment ref="AL529" authorId="0">
      <text>
        <r>
          <rPr>
            <b/>
            <sz val="9"/>
            <rFont val="宋体"/>
            <charset val="134"/>
          </rPr>
          <t>Administrator:</t>
        </r>
        <r>
          <rPr>
            <sz val="9"/>
            <rFont val="宋体"/>
            <charset val="134"/>
          </rPr>
          <t xml:space="preserve">
7/30 上冰棒说明书荷兰语贴纸8000pcs
蛋糕款说明书荷兰语贴纸8000pcs
布丁款说明书荷兰语贴纸8000pcs
</t>
        </r>
      </text>
    </comment>
    <comment ref="AI530" authorId="0">
      <text>
        <r>
          <rPr>
            <b/>
            <sz val="9"/>
            <rFont val="宋体"/>
            <charset val="134"/>
          </rPr>
          <t>Administrator:</t>
        </r>
        <r>
          <rPr>
            <sz val="9"/>
            <rFont val="宋体"/>
            <charset val="134"/>
          </rPr>
          <t xml:space="preserve">
4000154 8/27 2300PCS
华3b15</t>
        </r>
      </text>
    </comment>
    <comment ref="AL530" authorId="0">
      <text>
        <r>
          <rPr>
            <b/>
            <sz val="9"/>
            <rFont val="宋体"/>
            <charset val="134"/>
          </rPr>
          <t>Administrator:</t>
        </r>
        <r>
          <rPr>
            <sz val="9"/>
            <rFont val="宋体"/>
            <charset val="134"/>
          </rPr>
          <t xml:space="preserve">
8/3 上UPC贴纸3050pcs
两个同PO共用
8/22 上UPC贴纸2050pcs
两个同PO共用</t>
        </r>
      </text>
    </comment>
    <comment ref="AI531" authorId="0">
      <text>
        <r>
          <rPr>
            <b/>
            <sz val="9"/>
            <rFont val="宋体"/>
            <charset val="134"/>
          </rPr>
          <t>Administrator:</t>
        </r>
        <r>
          <rPr>
            <sz val="9"/>
            <rFont val="宋体"/>
            <charset val="134"/>
          </rPr>
          <t xml:space="preserve">
4000154 8/27 700PCS
华3b14
4000083 8/29 50PCS
华</t>
        </r>
      </text>
    </comment>
    <comment ref="AI536" authorId="0">
      <text>
        <r>
          <rPr>
            <b/>
            <sz val="9"/>
            <rFont val="宋体"/>
            <charset val="134"/>
          </rPr>
          <t>Administrator:</t>
        </r>
        <r>
          <rPr>
            <sz val="9"/>
            <rFont val="宋体"/>
            <charset val="134"/>
          </rPr>
          <t xml:space="preserve">
400103 9/1 50000PCS华3A19.20</t>
        </r>
      </text>
    </comment>
    <comment ref="AL536" authorId="0">
      <text>
        <r>
          <rPr>
            <b/>
            <sz val="9"/>
            <rFont val="宋体"/>
            <charset val="134"/>
          </rPr>
          <t>Administrator:</t>
        </r>
        <r>
          <rPr>
            <sz val="9"/>
            <rFont val="宋体"/>
            <charset val="134"/>
          </rPr>
          <t xml:space="preserve">
8/26 上客供外箱条码贴纸2050pcs</t>
        </r>
      </text>
    </comment>
    <comment ref="AI537" authorId="0">
      <text>
        <r>
          <rPr>
            <b/>
            <sz val="9"/>
            <rFont val="宋体"/>
            <charset val="134"/>
          </rPr>
          <t>Administrator:</t>
        </r>
        <r>
          <rPr>
            <sz val="9"/>
            <rFont val="宋体"/>
            <charset val="134"/>
          </rPr>
          <t xml:space="preserve">
4000112 9/1 2548PCS
华3B8
4000501 9/8 52pcs华3B8</t>
        </r>
      </text>
    </comment>
    <comment ref="AL537" authorId="0">
      <text>
        <r>
          <rPr>
            <b/>
            <sz val="9"/>
            <rFont val="宋体"/>
            <charset val="134"/>
          </rPr>
          <t>Administrator:</t>
        </r>
        <r>
          <rPr>
            <sz val="9"/>
            <rFont val="宋体"/>
            <charset val="134"/>
          </rPr>
          <t xml:space="preserve">
8/3 上进口商贴纸2600pcs
8/18 上UPC贴纸2600pcs
8/26 上UPC贴纸2600PCS</t>
        </r>
      </text>
    </comment>
    <comment ref="AP537" authorId="1">
      <text>
        <r>
          <rPr>
            <b/>
            <sz val="9"/>
            <rFont val="宋体"/>
            <charset val="134"/>
          </rPr>
          <t>RR:</t>
        </r>
        <r>
          <rPr>
            <sz val="9"/>
            <rFont val="宋体"/>
            <charset val="134"/>
          </rPr>
          <t xml:space="preserve">
客人接受1L收缩膜</t>
        </r>
      </text>
    </comment>
    <comment ref="AI538" authorId="0">
      <text>
        <r>
          <rPr>
            <b/>
            <sz val="9"/>
            <rFont val="宋体"/>
            <charset val="134"/>
          </rPr>
          <t>Administrator:</t>
        </r>
        <r>
          <rPr>
            <sz val="9"/>
            <rFont val="宋体"/>
            <charset val="134"/>
          </rPr>
          <t xml:space="preserve">
4000013 9/4 2600pcs华3B8</t>
        </r>
      </text>
    </comment>
    <comment ref="AI539" authorId="0">
      <text>
        <r>
          <rPr>
            <b/>
            <sz val="9"/>
            <rFont val="宋体"/>
            <charset val="134"/>
          </rPr>
          <t>Administrator:</t>
        </r>
        <r>
          <rPr>
            <sz val="9"/>
            <rFont val="宋体"/>
            <charset val="134"/>
          </rPr>
          <t xml:space="preserve">
4000013 9/4 4225pcs
s华3B8
</t>
        </r>
      </text>
    </comment>
    <comment ref="AI540" authorId="0">
      <text>
        <r>
          <rPr>
            <b/>
            <sz val="9"/>
            <rFont val="宋体"/>
            <charset val="134"/>
          </rPr>
          <t>Administrator:</t>
        </r>
        <r>
          <rPr>
            <sz val="9"/>
            <rFont val="宋体"/>
            <charset val="134"/>
          </rPr>
          <t xml:space="preserve">
4000013 9/4 8450pcs
s华3B8
</t>
        </r>
      </text>
    </comment>
    <comment ref="AI541" authorId="0">
      <text>
        <r>
          <rPr>
            <b/>
            <sz val="9"/>
            <rFont val="宋体"/>
            <charset val="134"/>
          </rPr>
          <t>Administrator:</t>
        </r>
        <r>
          <rPr>
            <sz val="9"/>
            <rFont val="宋体"/>
            <charset val="134"/>
          </rPr>
          <t xml:space="preserve">
4000074 9/2 3375pcs
华3B10</t>
        </r>
      </text>
    </comment>
    <comment ref="AI542" authorId="0">
      <text>
        <r>
          <rPr>
            <b/>
            <sz val="9"/>
            <rFont val="宋体"/>
            <charset val="134"/>
          </rPr>
          <t>Administrator:</t>
        </r>
        <r>
          <rPr>
            <sz val="9"/>
            <rFont val="宋体"/>
            <charset val="134"/>
          </rPr>
          <t xml:space="preserve">
4000063 9/1 24500PCS
华3A18</t>
        </r>
      </text>
    </comment>
    <comment ref="AL542" authorId="0">
      <text>
        <r>
          <rPr>
            <b/>
            <sz val="9"/>
            <rFont val="宋体"/>
            <charset val="134"/>
          </rPr>
          <t>Administrator:</t>
        </r>
        <r>
          <rPr>
            <sz val="9"/>
            <rFont val="宋体"/>
            <charset val="134"/>
          </rPr>
          <t xml:space="preserve">
8/22 上UPC条码贴纸24500pcs</t>
        </r>
      </text>
    </comment>
    <comment ref="AI543" authorId="0">
      <text>
        <r>
          <rPr>
            <b/>
            <sz val="9"/>
            <rFont val="宋体"/>
            <charset val="134"/>
          </rPr>
          <t>Administrator:</t>
        </r>
        <r>
          <rPr>
            <sz val="9"/>
            <rFont val="宋体"/>
            <charset val="134"/>
          </rPr>
          <t xml:space="preserve">
4000074 9/2 5200pcs华3B7</t>
        </r>
      </text>
    </comment>
    <comment ref="AL543" authorId="0">
      <text>
        <r>
          <rPr>
            <b/>
            <sz val="9"/>
            <rFont val="宋体"/>
            <charset val="134"/>
          </rPr>
          <t>Administrator:</t>
        </r>
        <r>
          <rPr>
            <sz val="9"/>
            <rFont val="宋体"/>
            <charset val="134"/>
          </rPr>
          <t xml:space="preserve">
8/11 上多语警钟长鸣语折叠贴纸5200pcs</t>
        </r>
      </text>
    </comment>
    <comment ref="AI544" authorId="0">
      <text>
        <r>
          <rPr>
            <b/>
            <sz val="9"/>
            <rFont val="宋体"/>
            <charset val="134"/>
          </rPr>
          <t>Administrator:</t>
        </r>
        <r>
          <rPr>
            <sz val="9"/>
            <rFont val="宋体"/>
            <charset val="134"/>
          </rPr>
          <t xml:space="preserve">
4000013 9/4 2600pcs
s华3B8
</t>
        </r>
      </text>
    </comment>
    <comment ref="AI545" authorId="0">
      <text>
        <r>
          <rPr>
            <b/>
            <sz val="9"/>
            <rFont val="宋体"/>
            <charset val="134"/>
          </rPr>
          <t>Administrator:</t>
        </r>
        <r>
          <rPr>
            <sz val="9"/>
            <rFont val="宋体"/>
            <charset val="134"/>
          </rPr>
          <t xml:space="preserve">
4000013 9/4 260pcs
s华3B8
</t>
        </r>
      </text>
    </comment>
    <comment ref="AL546" authorId="0">
      <text>
        <r>
          <rPr>
            <b/>
            <sz val="9"/>
            <rFont val="宋体"/>
            <charset val="134"/>
          </rPr>
          <t>Administrator:</t>
        </r>
        <r>
          <rPr>
            <sz val="9"/>
            <rFont val="宋体"/>
            <charset val="134"/>
          </rPr>
          <t xml:space="preserve">
8/1 上收缩膜 +说明书 纽扣电池警告语贴纸468pcs
</t>
        </r>
      </text>
    </comment>
    <comment ref="AL547" authorId="0">
      <text>
        <r>
          <rPr>
            <b/>
            <sz val="9"/>
            <rFont val="宋体"/>
            <charset val="134"/>
          </rPr>
          <t>Administrator:</t>
        </r>
        <r>
          <rPr>
            <sz val="9"/>
            <rFont val="宋体"/>
            <charset val="134"/>
          </rPr>
          <t xml:space="preserve">
8/1 上收缩膜 +说明书 纽扣电池警告语贴纸4332pcs
8/1 上收缩膜 +说明书 纽扣电池警告语贴纸4332pcs
</t>
        </r>
      </text>
    </comment>
    <comment ref="AI548" authorId="0">
      <text>
        <r>
          <rPr>
            <b/>
            <sz val="9"/>
            <rFont val="宋体"/>
            <charset val="134"/>
          </rPr>
          <t>Administrator:</t>
        </r>
        <r>
          <rPr>
            <sz val="9"/>
            <rFont val="宋体"/>
            <charset val="134"/>
          </rPr>
          <t xml:space="preserve">
4000022 9/3 350pcs</t>
        </r>
      </text>
    </comment>
    <comment ref="AL548" authorId="0">
      <text>
        <r>
          <rPr>
            <b/>
            <sz val="9"/>
            <rFont val="宋体"/>
            <charset val="134"/>
          </rPr>
          <t>Administrator:</t>
        </r>
        <r>
          <rPr>
            <sz val="9"/>
            <rFont val="宋体"/>
            <charset val="134"/>
          </rPr>
          <t xml:space="preserve">
8/13 上进口商贴纸350pcs
UPC条码贴纸350pcs</t>
        </r>
      </text>
    </comment>
    <comment ref="AI549" authorId="0">
      <text>
        <r>
          <rPr>
            <b/>
            <sz val="9"/>
            <rFont val="宋体"/>
            <charset val="134"/>
          </rPr>
          <t>Administrator:</t>
        </r>
        <r>
          <rPr>
            <sz val="9"/>
            <rFont val="宋体"/>
            <charset val="134"/>
          </rPr>
          <t xml:space="preserve">
4000022 9/3 117pcs
</t>
        </r>
      </text>
    </comment>
    <comment ref="AL549" authorId="0">
      <text>
        <r>
          <rPr>
            <b/>
            <sz val="9"/>
            <rFont val="宋体"/>
            <charset val="134"/>
          </rPr>
          <t>Administrator:</t>
        </r>
        <r>
          <rPr>
            <sz val="9"/>
            <rFont val="宋体"/>
            <charset val="134"/>
          </rPr>
          <t xml:space="preserve">
8/13 上UPC条码贴纸334pcs
两个同PO共用
8/21 上白色防盗贴纸117pcs
8/22 上KM单外箱贴纸9pcs
</t>
        </r>
      </text>
    </comment>
    <comment ref="AI550" authorId="0">
      <text>
        <r>
          <rPr>
            <b/>
            <sz val="9"/>
            <rFont val="宋体"/>
            <charset val="134"/>
          </rPr>
          <t>Administrator:</t>
        </r>
        <r>
          <rPr>
            <sz val="9"/>
            <rFont val="宋体"/>
            <charset val="134"/>
          </rPr>
          <t xml:space="preserve">
4000022 9/3 117pcs
</t>
        </r>
      </text>
    </comment>
    <comment ref="AL550" authorId="0">
      <text>
        <r>
          <rPr>
            <b/>
            <sz val="9"/>
            <rFont val="宋体"/>
            <charset val="134"/>
          </rPr>
          <t>Administrator:</t>
        </r>
        <r>
          <rPr>
            <sz val="9"/>
            <rFont val="宋体"/>
            <charset val="134"/>
          </rPr>
          <t xml:space="preserve">
8/21 上白色防盗贴117pcs
8/22 上KM单外箱贴纸9pcs
</t>
        </r>
      </text>
    </comment>
    <comment ref="AI551" authorId="0">
      <text>
        <r>
          <rPr>
            <b/>
            <sz val="9"/>
            <rFont val="宋体"/>
            <charset val="134"/>
          </rPr>
          <t>Administrator:</t>
        </r>
        <r>
          <rPr>
            <sz val="9"/>
            <rFont val="宋体"/>
            <charset val="134"/>
          </rPr>
          <t xml:space="preserve">
4000022 9/3 1534pcs
</t>
        </r>
      </text>
    </comment>
    <comment ref="AL551" authorId="0">
      <text>
        <r>
          <rPr>
            <b/>
            <sz val="9"/>
            <rFont val="宋体"/>
            <charset val="134"/>
          </rPr>
          <t>Administrator:</t>
        </r>
        <r>
          <rPr>
            <sz val="9"/>
            <rFont val="宋体"/>
            <charset val="134"/>
          </rPr>
          <t xml:space="preserve">
8/13 上UPC条码贴纸3146pcs
两个同PO共用
8/21 上白色防盗贴纸1534pcs
8/22 上KM单外箱贴纸118pcs</t>
        </r>
      </text>
    </comment>
    <comment ref="AI552" authorId="0">
      <text>
        <r>
          <rPr>
            <b/>
            <sz val="9"/>
            <rFont val="宋体"/>
            <charset val="134"/>
          </rPr>
          <t>Administrator:</t>
        </r>
        <r>
          <rPr>
            <sz val="9"/>
            <rFont val="宋体"/>
            <charset val="134"/>
          </rPr>
          <t xml:space="preserve">
4000022 9/3 1612pcs
</t>
        </r>
      </text>
    </comment>
    <comment ref="AL552" authorId="0">
      <text>
        <r>
          <rPr>
            <b/>
            <sz val="9"/>
            <rFont val="宋体"/>
            <charset val="134"/>
          </rPr>
          <t>Administrator:</t>
        </r>
        <r>
          <rPr>
            <sz val="9"/>
            <rFont val="宋体"/>
            <charset val="134"/>
          </rPr>
          <t xml:space="preserve">
8/21 上白色防盗贴纸1612pcs
8/22 上KM单外箱贴纸124pcs
</t>
        </r>
      </text>
    </comment>
    <comment ref="AI553" authorId="0">
      <text>
        <r>
          <rPr>
            <b/>
            <sz val="9"/>
            <rFont val="宋体"/>
            <charset val="134"/>
          </rPr>
          <t>Administrator:</t>
        </r>
        <r>
          <rPr>
            <sz val="9"/>
            <rFont val="宋体"/>
            <charset val="134"/>
          </rPr>
          <t xml:space="preserve">
4000004 9/4 1550pcs华3B14
</t>
        </r>
      </text>
    </comment>
    <comment ref="AL553" authorId="0">
      <text>
        <r>
          <rPr>
            <b/>
            <sz val="9"/>
            <rFont val="宋体"/>
            <charset val="134"/>
          </rPr>
          <t>Administrator:</t>
        </r>
        <r>
          <rPr>
            <sz val="9"/>
            <rFont val="宋体"/>
            <charset val="134"/>
          </rPr>
          <t xml:space="preserve">
8/13 上进口商贴纸1550pcs</t>
        </r>
      </text>
    </comment>
    <comment ref="AI554" authorId="0">
      <text>
        <r>
          <rPr>
            <b/>
            <sz val="9"/>
            <rFont val="宋体"/>
            <charset val="134"/>
          </rPr>
          <t>Administrator:</t>
        </r>
        <r>
          <rPr>
            <sz val="9"/>
            <rFont val="宋体"/>
            <charset val="134"/>
          </rPr>
          <t xml:space="preserve">
4000004 9/4 750pcs华3B11</t>
        </r>
      </text>
    </comment>
    <comment ref="AI555" authorId="0">
      <text>
        <r>
          <rPr>
            <b/>
            <sz val="9"/>
            <rFont val="宋体"/>
            <charset val="134"/>
          </rPr>
          <t>Administrator:</t>
        </r>
        <r>
          <rPr>
            <sz val="9"/>
            <rFont val="宋体"/>
            <charset val="134"/>
          </rPr>
          <t xml:space="preserve">
4000004 9/4 750pcs华3B11
</t>
        </r>
      </text>
    </comment>
    <comment ref="AI556" authorId="0">
      <text>
        <r>
          <rPr>
            <b/>
            <sz val="9"/>
            <rFont val="宋体"/>
            <charset val="134"/>
          </rPr>
          <t>Administrator:</t>
        </r>
        <r>
          <rPr>
            <sz val="9"/>
            <rFont val="宋体"/>
            <charset val="134"/>
          </rPr>
          <t xml:space="preserve">
4000004 9/4 1500pcs华3B11
</t>
        </r>
      </text>
    </comment>
    <comment ref="AI557" authorId="0">
      <text>
        <r>
          <rPr>
            <b/>
            <sz val="9"/>
            <rFont val="宋体"/>
            <charset val="134"/>
          </rPr>
          <t>Administrator:</t>
        </r>
        <r>
          <rPr>
            <sz val="9"/>
            <rFont val="宋体"/>
            <charset val="134"/>
          </rPr>
          <t xml:space="preserve">
4000074 9/2 3300pcs
华3B10</t>
        </r>
      </text>
    </comment>
    <comment ref="AI564" authorId="0">
      <text>
        <r>
          <rPr>
            <b/>
            <sz val="9"/>
            <rFont val="宋体"/>
            <charset val="134"/>
          </rPr>
          <t>Administrator:</t>
        </r>
        <r>
          <rPr>
            <sz val="9"/>
            <rFont val="宋体"/>
            <charset val="134"/>
          </rPr>
          <t xml:space="preserve">
3001354 9/6 3588pcs莫4A6
3001945 9/6 13pcs莫</t>
        </r>
      </text>
    </comment>
    <comment ref="AL564" authorId="0">
      <text>
        <r>
          <rPr>
            <b/>
            <sz val="9"/>
            <rFont val="宋体"/>
            <charset val="134"/>
          </rPr>
          <t>Administrator:</t>
        </r>
        <r>
          <rPr>
            <sz val="9"/>
            <rFont val="宋体"/>
            <charset val="134"/>
          </rPr>
          <t xml:space="preserve">
8/11 上多语警钟长鸣语折叠贴纸3601pcs
</t>
        </r>
      </text>
    </comment>
    <comment ref="AI565" authorId="0">
      <text>
        <r>
          <rPr>
            <b/>
            <sz val="9"/>
            <rFont val="宋体"/>
            <charset val="134"/>
          </rPr>
          <t>Administrator:</t>
        </r>
        <r>
          <rPr>
            <sz val="9"/>
            <rFont val="宋体"/>
            <charset val="134"/>
          </rPr>
          <t xml:space="preserve">
30001354 9/6 5000pcs莫4B3</t>
        </r>
      </text>
    </comment>
    <comment ref="AL565" authorId="0">
      <text>
        <r>
          <rPr>
            <b/>
            <sz val="9"/>
            <rFont val="宋体"/>
            <charset val="134"/>
          </rPr>
          <t>Administrator:</t>
        </r>
        <r>
          <rPr>
            <sz val="9"/>
            <rFont val="宋体"/>
            <charset val="134"/>
          </rPr>
          <t xml:space="preserve">
8/18 上冰棒款说明书荷兰语贴纸10000pcs
蛋糕款说明书荷兰语贴纸10000pcs
布丁款说明书荷兰语贴纸10000pcs
</t>
        </r>
      </text>
    </comment>
    <comment ref="AI566" authorId="0">
      <text>
        <r>
          <rPr>
            <b/>
            <sz val="9"/>
            <rFont val="宋体"/>
            <charset val="134"/>
          </rPr>
          <t>Administrator:</t>
        </r>
        <r>
          <rPr>
            <sz val="9"/>
            <rFont val="宋体"/>
            <charset val="134"/>
          </rPr>
          <t xml:space="preserve">
3001354 9/6 5000pcs 莫</t>
        </r>
      </text>
    </comment>
    <comment ref="AI567" authorId="0">
      <text>
        <r>
          <rPr>
            <b/>
            <sz val="9"/>
            <rFont val="宋体"/>
            <charset val="134"/>
          </rPr>
          <t>Administrator:</t>
        </r>
        <r>
          <rPr>
            <sz val="9"/>
            <rFont val="宋体"/>
            <charset val="134"/>
          </rPr>
          <t xml:space="preserve">
4000501 9/8 1200pcs华1F5</t>
        </r>
      </text>
    </comment>
    <comment ref="AI568" authorId="0">
      <text>
        <r>
          <rPr>
            <b/>
            <sz val="9"/>
            <rFont val="宋体"/>
            <charset val="134"/>
          </rPr>
          <t>Administrator:</t>
        </r>
        <r>
          <rPr>
            <sz val="9"/>
            <rFont val="宋体"/>
            <charset val="134"/>
          </rPr>
          <t xml:space="preserve">
4000501 9/8 1300pcs
华1F5</t>
        </r>
      </text>
    </comment>
    <comment ref="AI569" authorId="0">
      <text>
        <r>
          <rPr>
            <b/>
            <sz val="9"/>
            <rFont val="宋体"/>
            <charset val="134"/>
          </rPr>
          <t>Administrator:</t>
        </r>
        <r>
          <rPr>
            <sz val="9"/>
            <rFont val="宋体"/>
            <charset val="134"/>
          </rPr>
          <t xml:space="preserve">
3001946 9/6 180pcs华3B14
</t>
        </r>
      </text>
    </comment>
    <comment ref="AL569" authorId="0">
      <text>
        <r>
          <rPr>
            <b/>
            <sz val="9"/>
            <rFont val="宋体"/>
            <charset val="134"/>
          </rPr>
          <t>Administrator:</t>
        </r>
        <r>
          <rPr>
            <sz val="9"/>
            <rFont val="宋体"/>
            <charset val="134"/>
          </rPr>
          <t xml:space="preserve">
8/18 上进口商贴纸180pcs
空白贴纸360pcs</t>
        </r>
      </text>
    </comment>
    <comment ref="AI570" authorId="0">
      <text>
        <r>
          <rPr>
            <b/>
            <sz val="9"/>
            <rFont val="宋体"/>
            <charset val="134"/>
          </rPr>
          <t>Administrator:</t>
        </r>
        <r>
          <rPr>
            <sz val="9"/>
            <rFont val="宋体"/>
            <charset val="134"/>
          </rPr>
          <t xml:space="preserve">
4000484 9/9 8775pcs华一F5</t>
        </r>
      </text>
    </comment>
    <comment ref="AI571" authorId="0">
      <text>
        <r>
          <rPr>
            <b/>
            <sz val="9"/>
            <rFont val="宋体"/>
            <charset val="134"/>
          </rPr>
          <t>Administrator:</t>
        </r>
        <r>
          <rPr>
            <sz val="9"/>
            <rFont val="宋体"/>
            <charset val="134"/>
          </rPr>
          <t xml:space="preserve">
4000484 9/9 3900pcs
华一F5</t>
        </r>
      </text>
    </comment>
    <comment ref="AI572" authorId="0">
      <text>
        <r>
          <rPr>
            <b/>
            <sz val="9"/>
            <rFont val="宋体"/>
            <charset val="134"/>
          </rPr>
          <t>Administrator:</t>
        </r>
        <r>
          <rPr>
            <sz val="9"/>
            <rFont val="宋体"/>
            <charset val="134"/>
          </rPr>
          <t xml:space="preserve">
</t>
        </r>
        <r>
          <rPr>
            <sz val="11"/>
            <rFont val="宋体"/>
            <charset val="134"/>
          </rPr>
          <t>4000503 9/9 117pcs华3B15</t>
        </r>
      </text>
    </comment>
    <comment ref="AL572" authorId="0">
      <text>
        <r>
          <rPr>
            <b/>
            <sz val="9"/>
            <rFont val="宋体"/>
            <charset val="134"/>
          </rPr>
          <t>Administrator:</t>
        </r>
        <r>
          <rPr>
            <sz val="9"/>
            <rFont val="宋体"/>
            <charset val="134"/>
          </rPr>
          <t xml:space="preserve">
8/18 上UPC条码贴纸117pcs
8/21 上白色防盗贴纸117pcs
8/29 KMART外箱贴纸 9pcs
8/29 KMART外箱贴纸 10pcs
</t>
        </r>
      </text>
    </comment>
    <comment ref="AI573" authorId="0">
      <text>
        <r>
          <rPr>
            <b/>
            <sz val="9"/>
            <rFont val="宋体"/>
            <charset val="134"/>
          </rPr>
          <t>Administrator:</t>
        </r>
        <r>
          <rPr>
            <sz val="9"/>
            <rFont val="宋体"/>
            <charset val="134"/>
          </rPr>
          <t xml:space="preserve">
4000503 9/9 143pcs
华3B15</t>
        </r>
      </text>
    </comment>
    <comment ref="AL573" authorId="0">
      <text>
        <r>
          <rPr>
            <b/>
            <sz val="9"/>
            <rFont val="宋体"/>
            <charset val="134"/>
          </rPr>
          <t>Administrator:</t>
        </r>
        <r>
          <rPr>
            <sz val="9"/>
            <rFont val="宋体"/>
            <charset val="134"/>
          </rPr>
          <t xml:space="preserve">
8/18 上UPC条码贴纸143pcs
8/21 上白色防盗贴纸143pcs
8/29 KMART外箱贴纸 11pcs
</t>
        </r>
      </text>
    </comment>
    <comment ref="AI574" authorId="0">
      <text>
        <r>
          <rPr>
            <b/>
            <sz val="9"/>
            <rFont val="宋体"/>
            <charset val="134"/>
          </rPr>
          <t>Administrator:</t>
        </r>
        <r>
          <rPr>
            <sz val="9"/>
            <rFont val="宋体"/>
            <charset val="134"/>
          </rPr>
          <t xml:space="preserve">
4000503 9/9 2275pcs
华3B14</t>
        </r>
      </text>
    </comment>
    <comment ref="AL574" authorId="0">
      <text>
        <r>
          <rPr>
            <b/>
            <sz val="9"/>
            <rFont val="宋体"/>
            <charset val="134"/>
          </rPr>
          <t>Administrator:</t>
        </r>
        <r>
          <rPr>
            <sz val="9"/>
            <rFont val="宋体"/>
            <charset val="134"/>
          </rPr>
          <t xml:space="preserve">
8/18 上UPC条码贴纸2275pcs
8/21 上白色防盗贴纸2275pcs
8/29 KMART外箱贴纸 175pcs
8/29 KMART外箱贴纸 116pcs
</t>
        </r>
      </text>
    </comment>
    <comment ref="AI575" authorId="0">
      <text>
        <r>
          <rPr>
            <b/>
            <sz val="9"/>
            <rFont val="宋体"/>
            <charset val="134"/>
          </rPr>
          <t>Administrator:</t>
        </r>
        <r>
          <rPr>
            <sz val="9"/>
            <rFont val="宋体"/>
            <charset val="134"/>
          </rPr>
          <t xml:space="preserve">
4000503 9/9 1989pcs
华3B8</t>
        </r>
      </text>
    </comment>
    <comment ref="AL575" authorId="0">
      <text>
        <r>
          <rPr>
            <b/>
            <sz val="9"/>
            <rFont val="宋体"/>
            <charset val="134"/>
          </rPr>
          <t>Administrator:</t>
        </r>
        <r>
          <rPr>
            <sz val="9"/>
            <rFont val="宋体"/>
            <charset val="134"/>
          </rPr>
          <t xml:space="preserve">
8/18 上UPC条码贴纸1989pcs
8/21 上白色防盗贴纸1989pcs
8/29 KMART外箱贴纸 153pcs
8/29 KMART外箱贴纸 238pcs
</t>
        </r>
      </text>
    </comment>
    <comment ref="AI576" authorId="0">
      <text>
        <r>
          <rPr>
            <b/>
            <sz val="9"/>
            <rFont val="宋体"/>
            <charset val="134"/>
          </rPr>
          <t>Administrator:</t>
        </r>
        <r>
          <rPr>
            <sz val="9"/>
            <rFont val="宋体"/>
            <charset val="134"/>
          </rPr>
          <t xml:space="preserve">
4000483 9/9 15000pcs华3A25</t>
        </r>
      </text>
    </comment>
    <comment ref="AL576" authorId="0">
      <text>
        <r>
          <rPr>
            <b/>
            <sz val="9"/>
            <rFont val="宋体"/>
            <charset val="134"/>
          </rPr>
          <t>Administrator:</t>
        </r>
        <r>
          <rPr>
            <sz val="9"/>
            <rFont val="宋体"/>
            <charset val="134"/>
          </rPr>
          <t xml:space="preserve">
8/26 上客供外箱条码贴纸606pcs（消耗取消单73996PO）
</t>
        </r>
      </text>
    </comment>
    <comment ref="AI577" authorId="0">
      <text>
        <r>
          <rPr>
            <b/>
            <sz val="9"/>
            <rFont val="宋体"/>
            <charset val="134"/>
          </rPr>
          <t>Administrator:</t>
        </r>
        <r>
          <rPr>
            <sz val="9"/>
            <rFont val="宋体"/>
            <charset val="134"/>
          </rPr>
          <t xml:space="preserve">
2000373 9/11 2970pcs</t>
        </r>
      </text>
    </comment>
    <comment ref="AI583" authorId="0">
      <text>
        <r>
          <rPr>
            <b/>
            <sz val="9"/>
            <rFont val="宋体"/>
            <charset val="134"/>
          </rPr>
          <t>Administrator:</t>
        </r>
        <r>
          <rPr>
            <sz val="9"/>
            <rFont val="宋体"/>
            <charset val="134"/>
          </rPr>
          <t xml:space="preserve">
3001946 9/6 2100pcs华3B14</t>
        </r>
      </text>
    </comment>
    <comment ref="AL583" authorId="0">
      <text>
        <r>
          <rPr>
            <b/>
            <sz val="9"/>
            <rFont val="宋体"/>
            <charset val="134"/>
          </rPr>
          <t>Administrator:</t>
        </r>
        <r>
          <rPr>
            <sz val="9"/>
            <rFont val="宋体"/>
            <charset val="134"/>
          </rPr>
          <t xml:space="preserve">
8/13 上价格贴纸3000空白UPC贴纸6000pcs
以上两个同PO共用
8/21 上NJ客供外箱贴纸175pcs
NV 通用客供外箱贴纸175pcs
8/28 空白贴纸 30000pcs</t>
        </r>
      </text>
    </comment>
    <comment ref="AI584" authorId="0">
      <text>
        <r>
          <rPr>
            <b/>
            <sz val="9"/>
            <rFont val="宋体"/>
            <charset val="134"/>
          </rPr>
          <t>Administrator:</t>
        </r>
        <r>
          <rPr>
            <sz val="9"/>
            <rFont val="宋体"/>
            <charset val="134"/>
          </rPr>
          <t xml:space="preserve">
3001946 9/6 900pcs华3B14
</t>
        </r>
      </text>
    </comment>
    <comment ref="AL584" authorId="0">
      <text>
        <r>
          <rPr>
            <b/>
            <sz val="9"/>
            <rFont val="宋体"/>
            <charset val="134"/>
          </rPr>
          <t>Administrator:</t>
        </r>
        <r>
          <rPr>
            <sz val="9"/>
            <rFont val="宋体"/>
            <charset val="134"/>
          </rPr>
          <t xml:space="preserve">
8/21 上NJ客供外箱贴纸75pcs
NV 通用客供外箱贴纸75pcs
</t>
        </r>
      </text>
    </comment>
    <comment ref="AI587" authorId="0">
      <text>
        <r>
          <rPr>
            <b/>
            <sz val="9"/>
            <rFont val="宋体"/>
            <charset val="134"/>
          </rPr>
          <t>Administrator:</t>
        </r>
        <r>
          <rPr>
            <sz val="9"/>
            <rFont val="宋体"/>
            <charset val="134"/>
          </rPr>
          <t xml:space="preserve">
400038 9/15 1008pcsA栋</t>
        </r>
      </text>
    </comment>
    <comment ref="AI588" authorId="0">
      <text>
        <r>
          <rPr>
            <b/>
            <sz val="9"/>
            <rFont val="宋体"/>
            <charset val="134"/>
          </rPr>
          <t>Administrator:</t>
        </r>
        <r>
          <rPr>
            <sz val="9"/>
            <rFont val="宋体"/>
            <charset val="134"/>
          </rPr>
          <t xml:space="preserve">
400038 9/15 984pcs
A栋
5000101 9/16 24pcs兴信</t>
        </r>
      </text>
    </comment>
    <comment ref="AI589" authorId="0">
      <text>
        <r>
          <rPr>
            <b/>
            <sz val="11"/>
            <rFont val="宋体"/>
            <charset val="134"/>
          </rPr>
          <t>Administrator:</t>
        </r>
        <r>
          <rPr>
            <sz val="11"/>
            <rFont val="宋体"/>
            <charset val="134"/>
          </rPr>
          <t xml:space="preserve">
4000423 9/11 11952pcs莫4A5
4000424 9/12 7968pcs莫4A5
4000406 9/13 48pcs莫4A6</t>
        </r>
      </text>
    </comment>
    <comment ref="AI590" authorId="0">
      <text>
        <r>
          <rPr>
            <b/>
            <sz val="9"/>
            <rFont val="宋体"/>
            <charset val="134"/>
          </rPr>
          <t>Administrator:</t>
        </r>
        <r>
          <rPr>
            <sz val="9"/>
            <rFont val="宋体"/>
            <charset val="134"/>
          </rPr>
          <t xml:space="preserve">
4000424 9/12 2236pcs
华3A27</t>
        </r>
      </text>
    </comment>
    <comment ref="AL590" authorId="0">
      <text>
        <r>
          <rPr>
            <b/>
            <sz val="9"/>
            <rFont val="宋体"/>
            <charset val="134"/>
          </rPr>
          <t>Administrator:</t>
        </r>
        <r>
          <rPr>
            <sz val="9"/>
            <rFont val="宋体"/>
            <charset val="134"/>
          </rPr>
          <t xml:space="preserve">
8/27 客版可移动价格贴纸 2236pcs</t>
        </r>
      </text>
    </comment>
    <comment ref="AI591" authorId="0">
      <text>
        <r>
          <rPr>
            <b/>
            <sz val="9"/>
            <rFont val="宋体"/>
            <charset val="134"/>
          </rPr>
          <t>Administrator:</t>
        </r>
        <r>
          <rPr>
            <sz val="9"/>
            <rFont val="宋体"/>
            <charset val="134"/>
          </rPr>
          <t xml:space="preserve">
4000441 9/15 4800pcs
华3B5</t>
        </r>
      </text>
    </comment>
    <comment ref="AI592" authorId="0">
      <text>
        <r>
          <rPr>
            <b/>
            <sz val="9"/>
            <rFont val="宋体"/>
            <charset val="134"/>
          </rPr>
          <t>Administrator:</t>
        </r>
        <r>
          <rPr>
            <sz val="9"/>
            <rFont val="宋体"/>
            <charset val="134"/>
          </rPr>
          <t xml:space="preserve">
4000441 9/15 2500pcs华3B4</t>
        </r>
      </text>
    </comment>
    <comment ref="AL592" authorId="0">
      <text>
        <r>
          <rPr>
            <b/>
            <sz val="9"/>
            <rFont val="宋体"/>
            <charset val="134"/>
          </rPr>
          <t>Administrator:</t>
        </r>
        <r>
          <rPr>
            <sz val="9"/>
            <rFont val="宋体"/>
            <charset val="134"/>
          </rPr>
          <t xml:space="preserve">
8/27 冰棒款-说明书荷兰语贴纸 12000pcs
8/27 蛋糕款-说明书荷兰语贴纸 12000pcs
8/27 布丁款-说明书荷兰语贴纸 12000pcs</t>
        </r>
      </text>
    </comment>
    <comment ref="AI593" authorId="0">
      <text>
        <r>
          <rPr>
            <b/>
            <sz val="9"/>
            <rFont val="宋体"/>
            <charset val="134"/>
          </rPr>
          <t>Administrator:</t>
        </r>
        <r>
          <rPr>
            <sz val="9"/>
            <rFont val="宋体"/>
            <charset val="134"/>
          </rPr>
          <t xml:space="preserve">
4000441 9/15 1209pcs
华3B14</t>
        </r>
      </text>
    </comment>
    <comment ref="AI594" authorId="0">
      <text>
        <r>
          <rPr>
            <b/>
            <sz val="9"/>
            <rFont val="宋体"/>
            <charset val="134"/>
          </rPr>
          <t>Administrator:</t>
        </r>
        <r>
          <rPr>
            <sz val="9"/>
            <rFont val="宋体"/>
            <charset val="134"/>
          </rPr>
          <t xml:space="preserve">
5000100 9/16 4199pcs华3B10</t>
        </r>
      </text>
    </comment>
    <comment ref="AL594" authorId="0">
      <text>
        <r>
          <rPr>
            <b/>
            <sz val="9"/>
            <rFont val="宋体"/>
            <charset val="134"/>
          </rPr>
          <t>Administrator:</t>
        </r>
        <r>
          <rPr>
            <sz val="9"/>
            <rFont val="宋体"/>
            <charset val="134"/>
          </rPr>
          <t xml:space="preserve">
8/28 PDQ贴纸 323pcs</t>
        </r>
      </text>
    </comment>
    <comment ref="AL595" authorId="0">
      <text>
        <r>
          <rPr>
            <b/>
            <sz val="9"/>
            <rFont val="宋体"/>
            <charset val="134"/>
          </rPr>
          <t>Administrator:</t>
        </r>
        <r>
          <rPr>
            <sz val="9"/>
            <rFont val="宋体"/>
            <charset val="134"/>
          </rPr>
          <t xml:space="preserve">
8/28 EAN条码贴纸 420pcs
客户进口商贴纸 420pcs
空白贴纸84pcs</t>
        </r>
      </text>
    </comment>
    <comment ref="AI596" authorId="0">
      <text>
        <r>
          <rPr>
            <b/>
            <sz val="9"/>
            <rFont val="宋体"/>
            <charset val="134"/>
          </rPr>
          <t>Administrator:</t>
        </r>
        <r>
          <rPr>
            <sz val="9"/>
            <rFont val="宋体"/>
            <charset val="134"/>
          </rPr>
          <t xml:space="preserve">
400038 9/15 2500pcs
莫4A1</t>
        </r>
      </text>
    </comment>
    <comment ref="AI597" authorId="0">
      <text>
        <r>
          <rPr>
            <b/>
            <sz val="9"/>
            <rFont val="宋体"/>
            <charset val="134"/>
          </rPr>
          <t>Administrator:</t>
        </r>
        <r>
          <rPr>
            <sz val="9"/>
            <rFont val="宋体"/>
            <charset val="134"/>
          </rPr>
          <t xml:space="preserve">
5000100 9/16 4680pcs
华3B14</t>
        </r>
      </text>
    </comment>
    <comment ref="AL597" authorId="0">
      <text>
        <r>
          <rPr>
            <b/>
            <sz val="9"/>
            <rFont val="宋体"/>
            <charset val="134"/>
          </rPr>
          <t>Administrator:</t>
        </r>
        <r>
          <rPr>
            <sz val="9"/>
            <rFont val="宋体"/>
            <charset val="134"/>
          </rPr>
          <t xml:space="preserve">
8/26 上客户EAN贴纸4680pcs
PDQ数量贴纸4680pcs</t>
        </r>
      </text>
    </comment>
    <comment ref="AI598" authorId="0">
      <text>
        <r>
          <rPr>
            <b/>
            <sz val="9"/>
            <rFont val="宋体"/>
            <charset val="134"/>
          </rPr>
          <t>Administrator:</t>
        </r>
        <r>
          <rPr>
            <sz val="9"/>
            <rFont val="宋体"/>
            <charset val="134"/>
          </rPr>
          <t xml:space="preserve">
4000441 9/15 1500pcs
华3A12-B12</t>
        </r>
      </text>
    </comment>
    <comment ref="AL598" authorId="0">
      <text>
        <r>
          <rPr>
            <b/>
            <sz val="9"/>
            <rFont val="宋体"/>
            <charset val="134"/>
          </rPr>
          <t>Administrator:</t>
        </r>
        <r>
          <rPr>
            <sz val="9"/>
            <rFont val="宋体"/>
            <charset val="134"/>
          </rPr>
          <t xml:space="preserve">
9/5 UPC贴纸 1500pcs</t>
        </r>
      </text>
    </comment>
    <comment ref="AI599" authorId="0">
      <text>
        <r>
          <rPr>
            <b/>
            <sz val="9"/>
            <rFont val="宋体"/>
            <charset val="134"/>
          </rPr>
          <t>Administrator:</t>
        </r>
        <r>
          <rPr>
            <sz val="9"/>
            <rFont val="宋体"/>
            <charset val="134"/>
          </rPr>
          <t xml:space="preserve">
4000441 9/15 750pcs
华3A12-B12
</t>
        </r>
      </text>
    </comment>
    <comment ref="AL599" authorId="0">
      <text>
        <r>
          <rPr>
            <b/>
            <sz val="9"/>
            <rFont val="宋体"/>
            <charset val="134"/>
          </rPr>
          <t>Administrator:</t>
        </r>
        <r>
          <rPr>
            <sz val="9"/>
            <rFont val="宋体"/>
            <charset val="134"/>
          </rPr>
          <t xml:space="preserve">
9/5 UPC贴纸 750pcs
</t>
        </r>
      </text>
    </comment>
    <comment ref="AI600" authorId="0">
      <text>
        <r>
          <rPr>
            <b/>
            <sz val="9"/>
            <rFont val="宋体"/>
            <charset val="134"/>
          </rPr>
          <t>Administrator:</t>
        </r>
        <r>
          <rPr>
            <sz val="9"/>
            <rFont val="宋体"/>
            <charset val="134"/>
          </rPr>
          <t xml:space="preserve">
4000441 9/15 750pcs华3A12-B12
</t>
        </r>
      </text>
    </comment>
    <comment ref="AL600" authorId="0">
      <text>
        <r>
          <rPr>
            <b/>
            <sz val="9"/>
            <rFont val="宋体"/>
            <charset val="134"/>
          </rPr>
          <t>Administrator:</t>
        </r>
        <r>
          <rPr>
            <sz val="9"/>
            <rFont val="宋体"/>
            <charset val="134"/>
          </rPr>
          <t xml:space="preserve">
9/5 UPC贴纸 750pcs
</t>
        </r>
      </text>
    </comment>
    <comment ref="AI601" authorId="0">
      <text>
        <r>
          <rPr>
            <b/>
            <sz val="9"/>
            <rFont val="宋体"/>
            <charset val="134"/>
          </rPr>
          <t>Administrator:</t>
        </r>
        <r>
          <rPr>
            <sz val="9"/>
            <rFont val="宋体"/>
            <charset val="134"/>
          </rPr>
          <t xml:space="preserve">
5000533 9/17 16pcS
莫海军
5000109 9/17 10512pcs
华3B3</t>
        </r>
      </text>
    </comment>
    <comment ref="AL601" authorId="0">
      <text>
        <r>
          <rPr>
            <b/>
            <sz val="9"/>
            <rFont val="宋体"/>
            <charset val="134"/>
          </rPr>
          <t>Administrator:</t>
        </r>
        <r>
          <rPr>
            <sz val="9"/>
            <rFont val="宋体"/>
            <charset val="134"/>
          </rPr>
          <t xml:space="preserve">
9/9 上客供RFID贴纸10528pcs
</t>
        </r>
      </text>
    </comment>
    <comment ref="AI602" authorId="0">
      <text>
        <r>
          <rPr>
            <b/>
            <sz val="9"/>
            <rFont val="宋体"/>
            <charset val="134"/>
          </rPr>
          <t>Administrator:</t>
        </r>
        <r>
          <rPr>
            <sz val="9"/>
            <rFont val="宋体"/>
            <charset val="134"/>
          </rPr>
          <t xml:space="preserve">
5000100 9/16 3640pcs
华3B15</t>
        </r>
      </text>
    </comment>
    <comment ref="AI603" authorId="0">
      <text>
        <r>
          <rPr>
            <b/>
            <sz val="9"/>
            <rFont val="宋体"/>
            <charset val="134"/>
          </rPr>
          <t>Administrator:</t>
        </r>
        <r>
          <rPr>
            <sz val="9"/>
            <rFont val="宋体"/>
            <charset val="134"/>
          </rPr>
          <t xml:space="preserve">
5000100 9/16 975pcs
华3B13
5000288 9/20 25pcs华兴</t>
        </r>
      </text>
    </comment>
    <comment ref="AI604" authorId="0">
      <text>
        <r>
          <rPr>
            <b/>
            <sz val="9"/>
            <rFont val="宋体"/>
            <charset val="134"/>
          </rPr>
          <t>Administrator:</t>
        </r>
        <r>
          <rPr>
            <sz val="9"/>
            <rFont val="宋体"/>
            <charset val="134"/>
          </rPr>
          <t xml:space="preserve">
5000101 9/16 82500pcs
华3A18-19-20
5000128 9/16 17500pcs华3A20</t>
        </r>
      </text>
    </comment>
    <comment ref="AL604" authorId="0">
      <text>
        <r>
          <rPr>
            <b/>
            <sz val="9"/>
            <rFont val="宋体"/>
            <charset val="134"/>
          </rPr>
          <t>Administrator:</t>
        </r>
        <r>
          <rPr>
            <sz val="9"/>
            <rFont val="宋体"/>
            <charset val="134"/>
          </rPr>
          <t xml:space="preserve">
9/5 客供外箱条码贴纸 4040pcs
</t>
        </r>
      </text>
    </comment>
    <comment ref="AI605" authorId="0">
      <text>
        <r>
          <rPr>
            <b/>
            <sz val="9"/>
            <rFont val="宋体"/>
            <charset val="134"/>
          </rPr>
          <t>Administrator:</t>
        </r>
        <r>
          <rPr>
            <sz val="9"/>
            <rFont val="宋体"/>
            <charset val="134"/>
          </rPr>
          <t xml:space="preserve">
5000109 9/17 2900pcs华一F4</t>
        </r>
      </text>
    </comment>
    <comment ref="AL605" authorId="0">
      <text>
        <r>
          <rPr>
            <b/>
            <sz val="9"/>
            <rFont val="宋体"/>
            <charset val="134"/>
          </rPr>
          <t>Administrator:</t>
        </r>
        <r>
          <rPr>
            <sz val="9"/>
            <rFont val="宋体"/>
            <charset val="134"/>
          </rPr>
          <t xml:space="preserve">
9/5 UPC贴纸2900pcs
9/8 进口商贴纸 2900票 pcs</t>
        </r>
      </text>
    </comment>
    <comment ref="AI606" authorId="0">
      <text>
        <r>
          <rPr>
            <b/>
            <sz val="9"/>
            <rFont val="宋体"/>
            <charset val="134"/>
          </rPr>
          <t>Administrator:</t>
        </r>
        <r>
          <rPr>
            <sz val="9"/>
            <rFont val="宋体"/>
            <charset val="134"/>
          </rPr>
          <t xml:space="preserve">
5000128 9/16 3250pcs华3A32</t>
        </r>
      </text>
    </comment>
    <comment ref="AI607" authorId="0">
      <text>
        <r>
          <rPr>
            <b/>
            <sz val="9"/>
            <rFont val="宋体"/>
            <charset val="134"/>
          </rPr>
          <t>Administrator:</t>
        </r>
        <r>
          <rPr>
            <sz val="9"/>
            <rFont val="宋体"/>
            <charset val="134"/>
          </rPr>
          <t xml:space="preserve">
5000128 9/16 1755pcs
华3A32</t>
        </r>
      </text>
    </comment>
    <comment ref="AI608" authorId="0">
      <text>
        <r>
          <rPr>
            <b/>
            <sz val="9"/>
            <rFont val="宋体"/>
            <charset val="134"/>
          </rPr>
          <t>Administrator:</t>
        </r>
        <r>
          <rPr>
            <sz val="9"/>
            <rFont val="宋体"/>
            <charset val="134"/>
          </rPr>
          <t xml:space="preserve">
5000288 9/20 1000pcs莫4A1</t>
        </r>
      </text>
    </comment>
    <comment ref="AL608" authorId="0">
      <text>
        <r>
          <rPr>
            <b/>
            <sz val="9"/>
            <rFont val="宋体"/>
            <charset val="134"/>
          </rPr>
          <t>Administrator:</t>
        </r>
        <r>
          <rPr>
            <sz val="9"/>
            <rFont val="宋体"/>
            <charset val="134"/>
          </rPr>
          <t xml:space="preserve">
9/11 进口商贴纸1000pcs
UPC贴纸1000pcs
</t>
        </r>
      </text>
    </comment>
    <comment ref="AL609" authorId="0">
      <text>
        <r>
          <rPr>
            <b/>
            <sz val="9"/>
            <rFont val="宋体"/>
            <charset val="134"/>
          </rPr>
          <t>Administrator:</t>
        </r>
        <r>
          <rPr>
            <sz val="9"/>
            <rFont val="宋体"/>
            <charset val="134"/>
          </rPr>
          <t xml:space="preserve">
8/8 上客供警语贴纸收藏指南624pcs
客供警语贴纸贴球底部624pcs
客供中文警告语说明书624pcs
9/8 上空白贴纸600pcs
8/8 上客供警语贴纸收藏指南504pcs
客供警语贴纸贴球底部50pcs
客供中文警告语说明书50pcs
</t>
        </r>
      </text>
    </comment>
    <comment ref="AI610" authorId="0">
      <text>
        <r>
          <rPr>
            <b/>
            <sz val="9"/>
            <rFont val="宋体"/>
            <charset val="134"/>
          </rPr>
          <t>Administrator:</t>
        </r>
        <r>
          <rPr>
            <sz val="9"/>
            <rFont val="宋体"/>
            <charset val="134"/>
          </rPr>
          <t xml:space="preserve">
5000279 9/22 1750pcs
莫4A1</t>
        </r>
      </text>
    </comment>
    <comment ref="AI611" authorId="0">
      <text>
        <r>
          <rPr>
            <b/>
            <sz val="9"/>
            <rFont val="宋体"/>
            <charset val="134"/>
          </rPr>
          <t>Administrator:</t>
        </r>
        <r>
          <rPr>
            <sz val="9"/>
            <rFont val="宋体"/>
            <charset val="134"/>
          </rPr>
          <t xml:space="preserve">
5000329 9/22 13050pcs
莫4A2</t>
        </r>
      </text>
    </comment>
    <comment ref="AL611" authorId="0">
      <text>
        <r>
          <rPr>
            <b/>
            <sz val="9"/>
            <rFont val="宋体"/>
            <charset val="134"/>
          </rPr>
          <t>Administrator:</t>
        </r>
        <r>
          <rPr>
            <sz val="9"/>
            <rFont val="宋体"/>
            <charset val="134"/>
          </rPr>
          <t xml:space="preserve">
9/5 客供外箱条码贴纸 527pcs
</t>
        </r>
      </text>
    </comment>
    <comment ref="AI612" authorId="0">
      <text>
        <r>
          <rPr>
            <b/>
            <sz val="9"/>
            <rFont val="宋体"/>
            <charset val="134"/>
          </rPr>
          <t>Administrator:</t>
        </r>
        <r>
          <rPr>
            <sz val="9"/>
            <rFont val="宋体"/>
            <charset val="134"/>
          </rPr>
          <t xml:space="preserve">
5000332 9/22 6750pcs莫4B3
5000336 9/23 13900pcs莫4B2</t>
        </r>
      </text>
    </comment>
    <comment ref="AL612" authorId="0">
      <text>
        <r>
          <rPr>
            <b/>
            <sz val="9"/>
            <rFont val="宋体"/>
            <charset val="134"/>
          </rPr>
          <t>Administrator:</t>
        </r>
        <r>
          <rPr>
            <sz val="9"/>
            <rFont val="宋体"/>
            <charset val="134"/>
          </rPr>
          <t xml:space="preserve">
9/5 客供外箱条码贴纸834pcs
</t>
        </r>
      </text>
    </comment>
    <comment ref="AI613" authorId="0">
      <text>
        <r>
          <rPr>
            <b/>
            <sz val="9"/>
            <rFont val="宋体"/>
            <charset val="134"/>
          </rPr>
          <t>Administrator:</t>
        </r>
        <r>
          <rPr>
            <sz val="9"/>
            <rFont val="宋体"/>
            <charset val="134"/>
          </rPr>
          <t xml:space="preserve">
5000336 9/23 2300pcs莫4B4</t>
        </r>
      </text>
    </comment>
    <comment ref="AL613" authorId="0">
      <text>
        <r>
          <rPr>
            <b/>
            <sz val="9"/>
            <rFont val="宋体"/>
            <charset val="134"/>
          </rPr>
          <t>Administrator:</t>
        </r>
        <r>
          <rPr>
            <sz val="9"/>
            <rFont val="宋体"/>
            <charset val="134"/>
          </rPr>
          <t xml:space="preserve">
9/2 UPC贴纸 2300pcs
</t>
        </r>
      </text>
    </comment>
    <comment ref="AI614" authorId="0">
      <text>
        <r>
          <rPr>
            <b/>
            <sz val="9"/>
            <rFont val="宋体"/>
            <charset val="134"/>
          </rPr>
          <t>Administrator:</t>
        </r>
        <r>
          <rPr>
            <sz val="9"/>
            <rFont val="宋体"/>
            <charset val="134"/>
          </rPr>
          <t xml:space="preserve">
5000329 9/22 750pcs莫4B1</t>
        </r>
      </text>
    </comment>
    <comment ref="AL614" authorId="0">
      <text>
        <r>
          <rPr>
            <b/>
            <sz val="9"/>
            <rFont val="宋体"/>
            <charset val="134"/>
          </rPr>
          <t>Administrator:</t>
        </r>
        <r>
          <rPr>
            <sz val="9"/>
            <rFont val="宋体"/>
            <charset val="134"/>
          </rPr>
          <t xml:space="preserve">
9/2 UPC贴纸 750pcs</t>
        </r>
      </text>
    </comment>
    <comment ref="AI615" authorId="0">
      <text>
        <r>
          <rPr>
            <b/>
            <sz val="9"/>
            <rFont val="宋体"/>
            <charset val="134"/>
          </rPr>
          <t>Administrator:</t>
        </r>
        <r>
          <rPr>
            <sz val="9"/>
            <rFont val="宋体"/>
            <charset val="134"/>
          </rPr>
          <t xml:space="preserve">
5000340 9/24 7000pcs莫4B4</t>
        </r>
      </text>
    </comment>
    <comment ref="AL615" authorId="0">
      <text>
        <r>
          <rPr>
            <b/>
            <sz val="9"/>
            <rFont val="宋体"/>
            <charset val="134"/>
          </rPr>
          <t>Administrator:</t>
        </r>
        <r>
          <rPr>
            <sz val="9"/>
            <rFont val="宋体"/>
            <charset val="134"/>
          </rPr>
          <t xml:space="preserve">
9/8 冰棒款-说明书荷兰语贴纸 7000pcs
9/8 蛋糕款-说明书荷兰语贴纸 7000pcs
9/8 丁款-说明书荷兰语贴纸 7000pcs</t>
        </r>
      </text>
    </comment>
    <comment ref="AI616" authorId="0">
      <text>
        <r>
          <rPr>
            <b/>
            <sz val="9"/>
            <rFont val="宋体"/>
            <charset val="134"/>
          </rPr>
          <t>Administrator:</t>
        </r>
        <r>
          <rPr>
            <sz val="9"/>
            <rFont val="宋体"/>
            <charset val="134"/>
          </rPr>
          <t xml:space="preserve">
5000340 9/24 10000pcs莫4B4</t>
        </r>
      </text>
    </comment>
    <comment ref="AL616" authorId="0">
      <text>
        <r>
          <rPr>
            <b/>
            <sz val="9"/>
            <rFont val="宋体"/>
            <charset val="134"/>
          </rPr>
          <t>Administrator:</t>
        </r>
        <r>
          <rPr>
            <sz val="9"/>
            <rFont val="宋体"/>
            <charset val="134"/>
          </rPr>
          <t xml:space="preserve">
Administrator:
9/8 冰棒款-说明书荷兰语贴纸 10000pcs
9/8 蛋糕款-说明书荷兰语贴纸 10000pcs
9/8 丁款-说明书荷兰语贴纸 10000pcs
</t>
        </r>
      </text>
    </comment>
    <comment ref="AI617" authorId="0">
      <text>
        <r>
          <rPr>
            <b/>
            <sz val="9"/>
            <rFont val="宋体"/>
            <charset val="134"/>
          </rPr>
          <t>Administrator:</t>
        </r>
        <r>
          <rPr>
            <sz val="9"/>
            <rFont val="宋体"/>
            <charset val="134"/>
          </rPr>
          <t xml:space="preserve">
5000329 9/22 14000pcs
莫4A1</t>
        </r>
      </text>
    </comment>
    <comment ref="AL617" authorId="0">
      <text>
        <r>
          <rPr>
            <b/>
            <sz val="9"/>
            <rFont val="宋体"/>
            <charset val="134"/>
          </rPr>
          <t>Administrator:</t>
        </r>
        <r>
          <rPr>
            <sz val="9"/>
            <rFont val="宋体"/>
            <charset val="134"/>
          </rPr>
          <t xml:space="preserve">
9/8 进口商贴纸 14000pcs
9/8 UPC贴纸 14000pcs
9/13 外箱贴纸280pcs</t>
        </r>
      </text>
    </comment>
    <comment ref="AL618" authorId="0">
      <text>
        <r>
          <rPr>
            <b/>
            <sz val="9"/>
            <rFont val="宋体"/>
            <charset val="134"/>
          </rPr>
          <t>Administrator:</t>
        </r>
        <r>
          <rPr>
            <sz val="9"/>
            <rFont val="宋体"/>
            <charset val="134"/>
          </rPr>
          <t xml:space="preserve">
8/1 上收缩膜 +说明书 纽扣电池警告语贴纸300pcs
8/1 上收缩膜 +说明书 纽扣电池警告语贴纸300pcs
9/18 上KM单外箱贴纸25pcs
</t>
        </r>
      </text>
    </comment>
    <comment ref="AL619" authorId="0">
      <text>
        <r>
          <rPr>
            <b/>
            <sz val="9"/>
            <rFont val="宋体"/>
            <charset val="134"/>
          </rPr>
          <t>Administrator:</t>
        </r>
        <r>
          <rPr>
            <sz val="9"/>
            <rFont val="宋体"/>
            <charset val="134"/>
          </rPr>
          <t xml:space="preserve">
8/1 上收缩膜 +说明书 纽扣电池警告语贴纸2700pcs
8/1 上收缩膜 +说明书 纽扣电池警告语贴纸2700pcs
9/18 上KM单外箱贴纸225pcs
</t>
        </r>
      </text>
    </comment>
    <comment ref="AI620" authorId="0">
      <text>
        <r>
          <rPr>
            <b/>
            <sz val="9"/>
            <rFont val="宋体"/>
            <charset val="134"/>
          </rPr>
          <t>Administrator:</t>
        </r>
        <r>
          <rPr>
            <sz val="9"/>
            <rFont val="宋体"/>
            <charset val="134"/>
          </rPr>
          <t xml:space="preserve">
5000340 9/24 2236pcs莫4C4</t>
        </r>
      </text>
    </comment>
    <comment ref="AL620" authorId="0">
      <text>
        <r>
          <rPr>
            <b/>
            <sz val="9"/>
            <rFont val="宋体"/>
            <charset val="134"/>
          </rPr>
          <t>Administrator:</t>
        </r>
        <r>
          <rPr>
            <sz val="9"/>
            <rFont val="宋体"/>
            <charset val="134"/>
          </rPr>
          <t xml:space="preserve">
9/2 UPC条码贴 2353pcs
9/8 上白色防盗贴纸2236pcs
9/18 上KM单外箱贴纸172pcs</t>
        </r>
      </text>
    </comment>
    <comment ref="AI621" authorId="0">
      <text>
        <r>
          <rPr>
            <b/>
            <sz val="9"/>
            <rFont val="宋体"/>
            <charset val="134"/>
          </rPr>
          <t>Administrator:</t>
        </r>
        <r>
          <rPr>
            <sz val="9"/>
            <rFont val="宋体"/>
            <charset val="134"/>
          </rPr>
          <t xml:space="preserve">
5000340 9/24 117pcs莫4C4</t>
        </r>
      </text>
    </comment>
    <comment ref="AL621" authorId="0">
      <text>
        <r>
          <rPr>
            <b/>
            <sz val="9"/>
            <rFont val="宋体"/>
            <charset val="134"/>
          </rPr>
          <t>Administrator:</t>
        </r>
        <r>
          <rPr>
            <sz val="9"/>
            <rFont val="宋体"/>
            <charset val="134"/>
          </rPr>
          <t xml:space="preserve">
9/8 上白色防盗贴纸117pcs
9/18 上KM单外箱贴纸9pcs
</t>
        </r>
      </text>
    </comment>
    <comment ref="AI622" authorId="0">
      <text>
        <r>
          <rPr>
            <b/>
            <sz val="9"/>
            <rFont val="宋体"/>
            <charset val="134"/>
          </rPr>
          <t>Administrator:</t>
        </r>
        <r>
          <rPr>
            <sz val="9"/>
            <rFont val="宋体"/>
            <charset val="134"/>
          </rPr>
          <t xml:space="preserve">
5000329 9/22 5460pcs
莫4B3
5000332 9/22 4680pcs莫4B3</t>
        </r>
      </text>
    </comment>
    <comment ref="AL622" authorId="0">
      <text>
        <r>
          <rPr>
            <b/>
            <sz val="9"/>
            <rFont val="宋体"/>
            <charset val="134"/>
          </rPr>
          <t>Administrator:</t>
        </r>
        <r>
          <rPr>
            <sz val="9"/>
            <rFont val="宋体"/>
            <charset val="134"/>
          </rPr>
          <t xml:space="preserve">
9/5 客人EAN条码贴纸 10140pcs
9/20 上PDQ数量贴纸2535pcs</t>
        </r>
      </text>
    </comment>
    <comment ref="AI623" authorId="0">
      <text>
        <r>
          <rPr>
            <b/>
            <sz val="9"/>
            <rFont val="宋体"/>
            <charset val="134"/>
          </rPr>
          <t>Administrator:</t>
        </r>
        <r>
          <rPr>
            <sz val="9"/>
            <rFont val="宋体"/>
            <charset val="134"/>
          </rPr>
          <t xml:space="preserve">
5000279 9/22 2250pcs莫4B1</t>
        </r>
      </text>
    </comment>
    <comment ref="AL623" authorId="0">
      <text>
        <r>
          <rPr>
            <b/>
            <sz val="9"/>
            <rFont val="宋体"/>
            <charset val="134"/>
          </rPr>
          <t>Administrator:</t>
        </r>
        <r>
          <rPr>
            <sz val="9"/>
            <rFont val="宋体"/>
            <charset val="134"/>
          </rPr>
          <t xml:space="preserve">
9/5 客户警语贴纸2250pcs</t>
        </r>
      </text>
    </comment>
    <comment ref="AI624" authorId="0">
      <text>
        <r>
          <rPr>
            <b/>
            <sz val="9"/>
            <rFont val="宋体"/>
            <charset val="134"/>
          </rPr>
          <t>Administrator:</t>
        </r>
        <r>
          <rPr>
            <sz val="9"/>
            <rFont val="宋体"/>
            <charset val="134"/>
          </rPr>
          <t xml:space="preserve">
5000319 9/23 25648pcs
华3A11
5000317 9/23 8960pcs华3A11</t>
        </r>
      </text>
    </comment>
    <comment ref="AL624" authorId="0">
      <text>
        <r>
          <rPr>
            <b/>
            <sz val="9"/>
            <rFont val="宋体"/>
            <charset val="134"/>
          </rPr>
          <t>Administrator:</t>
        </r>
        <r>
          <rPr>
            <sz val="9"/>
            <rFont val="宋体"/>
            <charset val="134"/>
          </rPr>
          <t xml:space="preserve">
9/9 上客供RFID贴纸34608pcs
</t>
        </r>
      </text>
    </comment>
    <comment ref="AI625" authorId="0">
      <text>
        <r>
          <rPr>
            <b/>
            <sz val="9"/>
            <rFont val="宋体"/>
            <charset val="134"/>
          </rPr>
          <t>Administrator:</t>
        </r>
        <r>
          <rPr>
            <sz val="9"/>
            <rFont val="宋体"/>
            <charset val="134"/>
          </rPr>
          <t xml:space="preserve">
5000317 9/23 14992pcs华3B11</t>
        </r>
      </text>
    </comment>
    <comment ref="AL625" authorId="0">
      <text>
        <r>
          <rPr>
            <b/>
            <sz val="9"/>
            <rFont val="宋体"/>
            <charset val="134"/>
          </rPr>
          <t>Administrator:</t>
        </r>
        <r>
          <rPr>
            <sz val="9"/>
            <rFont val="宋体"/>
            <charset val="134"/>
          </rPr>
          <t xml:space="preserve">
9/9 上客供RFID贴纸14992pcs
</t>
        </r>
      </text>
    </comment>
    <comment ref="AI626" authorId="0">
      <text>
        <r>
          <rPr>
            <b/>
            <sz val="9"/>
            <rFont val="宋体"/>
            <charset val="134"/>
          </rPr>
          <t>Administrator:</t>
        </r>
        <r>
          <rPr>
            <sz val="9"/>
            <rFont val="宋体"/>
            <charset val="134"/>
          </rPr>
          <t xml:space="preserve">
5000317 9/23 15824pcs
华3A20</t>
        </r>
      </text>
    </comment>
    <comment ref="AL626" authorId="0">
      <text>
        <r>
          <rPr>
            <b/>
            <sz val="9"/>
            <rFont val="宋体"/>
            <charset val="134"/>
          </rPr>
          <t>Administrator:</t>
        </r>
        <r>
          <rPr>
            <sz val="9"/>
            <rFont val="宋体"/>
            <charset val="134"/>
          </rPr>
          <t xml:space="preserve">
9/9 上客供RFID贴纸15824pcs
</t>
        </r>
      </text>
    </comment>
    <comment ref="AI627" authorId="0">
      <text>
        <r>
          <rPr>
            <b/>
            <sz val="9"/>
            <rFont val="宋体"/>
            <charset val="134"/>
          </rPr>
          <t>Administrator:</t>
        </r>
        <r>
          <rPr>
            <sz val="9"/>
            <rFont val="宋体"/>
            <charset val="134"/>
          </rPr>
          <t xml:space="preserve">
5000319 9/23 22144pcs华3A9-B4</t>
        </r>
      </text>
    </comment>
    <comment ref="AL627" authorId="0">
      <text>
        <r>
          <rPr>
            <b/>
            <sz val="9"/>
            <rFont val="宋体"/>
            <charset val="134"/>
          </rPr>
          <t>Administrator:</t>
        </r>
        <r>
          <rPr>
            <sz val="9"/>
            <rFont val="宋体"/>
            <charset val="134"/>
          </rPr>
          <t xml:space="preserve">
9/9 上客供RFID贴纸22144pcs
</t>
        </r>
      </text>
    </comment>
    <comment ref="AI628" authorId="0">
      <text>
        <r>
          <rPr>
            <b/>
            <sz val="9"/>
            <rFont val="宋体"/>
            <charset val="134"/>
          </rPr>
          <t>Administrator:</t>
        </r>
        <r>
          <rPr>
            <sz val="9"/>
            <rFont val="宋体"/>
            <charset val="134"/>
          </rPr>
          <t xml:space="preserve">
5000317 9/23 31744pcs华3B</t>
        </r>
      </text>
    </comment>
    <comment ref="AL628" authorId="0">
      <text>
        <r>
          <rPr>
            <b/>
            <sz val="9"/>
            <rFont val="宋体"/>
            <charset val="134"/>
          </rPr>
          <t>Administrator:</t>
        </r>
        <r>
          <rPr>
            <sz val="9"/>
            <rFont val="宋体"/>
            <charset val="134"/>
          </rPr>
          <t xml:space="preserve">
9/9 上客供RFID贴纸31744pcs
</t>
        </r>
      </text>
    </comment>
    <comment ref="AI634" authorId="0">
      <text>
        <r>
          <rPr>
            <b/>
            <sz val="9"/>
            <rFont val="宋体"/>
            <charset val="134"/>
          </rPr>
          <t>Administrator:</t>
        </r>
        <r>
          <rPr>
            <sz val="9"/>
            <rFont val="宋体"/>
            <charset val="134"/>
          </rPr>
          <t xml:space="preserve">
1200354 11/10 5000pcs
直走</t>
        </r>
      </text>
    </comment>
    <comment ref="AL634" authorId="0">
      <text>
        <r>
          <rPr>
            <b/>
            <sz val="9"/>
            <rFont val="宋体"/>
            <charset val="134"/>
          </rPr>
          <t>Administrator:</t>
        </r>
        <r>
          <rPr>
            <sz val="9"/>
            <rFont val="宋体"/>
            <charset val="134"/>
          </rPr>
          <t xml:space="preserve">
9/20 上冰棒说明书荷兰语贴纸5000pcs
蛋糕说明书荷兰语贴纸5000pcs
布丁说明书荷兰语贴纸5000pcs</t>
        </r>
      </text>
    </comment>
    <comment ref="AI637" authorId="0">
      <text>
        <r>
          <rPr>
            <b/>
            <sz val="9"/>
            <rFont val="宋体"/>
            <charset val="134"/>
          </rPr>
          <t>Administrator:</t>
        </r>
        <r>
          <rPr>
            <sz val="9"/>
            <rFont val="宋体"/>
            <charset val="134"/>
          </rPr>
          <t xml:space="preserve">
5000458 9/30 1248pcs</t>
        </r>
      </text>
    </comment>
    <comment ref="AL637" authorId="0">
      <text>
        <r>
          <rPr>
            <b/>
            <sz val="9"/>
            <rFont val="宋体"/>
            <charset val="134"/>
          </rPr>
          <t>Administrator:</t>
        </r>
        <r>
          <rPr>
            <sz val="9"/>
            <rFont val="宋体"/>
            <charset val="134"/>
          </rPr>
          <t xml:space="preserve">
9/13 上UVGLUE LABLE贴纸2496pcs</t>
        </r>
      </text>
    </comment>
    <comment ref="AL638" authorId="0">
      <text>
        <r>
          <rPr>
            <b/>
            <sz val="9"/>
            <rFont val="宋体"/>
            <charset val="134"/>
          </rPr>
          <t>Administrator:</t>
        </r>
        <r>
          <rPr>
            <sz val="9"/>
            <rFont val="宋体"/>
            <charset val="134"/>
          </rPr>
          <t xml:space="preserve">
9/11 上进口商贴纸1800pcs
UPC贴纸1800pcs
下面收藏指南贴纸1800pcs
背面收藏指南贴纸1800pcs</t>
        </r>
      </text>
    </comment>
    <comment ref="AI639" authorId="0">
      <text>
        <r>
          <rPr>
            <b/>
            <sz val="9"/>
            <rFont val="宋体"/>
            <charset val="134"/>
          </rPr>
          <t>Administrator:</t>
        </r>
        <r>
          <rPr>
            <sz val="9"/>
            <rFont val="宋体"/>
            <charset val="134"/>
          </rPr>
          <t xml:space="preserve">
5000360 9/25 39375pcs
华3A31
5000370 9/26 15625pcs华3A29</t>
        </r>
      </text>
    </comment>
    <comment ref="AI640" authorId="0">
      <text>
        <r>
          <rPr>
            <b/>
            <sz val="9"/>
            <rFont val="宋体"/>
            <charset val="134"/>
          </rPr>
          <t>Administrator:</t>
        </r>
        <r>
          <rPr>
            <sz val="9"/>
            <rFont val="宋体"/>
            <charset val="134"/>
          </rPr>
          <t xml:space="preserve">
5000354 9/25 16500pcs
华3A28
5000360 9/25 1475pcs华3A28</t>
        </r>
      </text>
    </comment>
    <comment ref="AL640" authorId="0">
      <text>
        <r>
          <rPr>
            <b/>
            <sz val="9"/>
            <rFont val="宋体"/>
            <charset val="134"/>
          </rPr>
          <t>Administrator:</t>
        </r>
        <r>
          <rPr>
            <sz val="9"/>
            <rFont val="宋体"/>
            <charset val="134"/>
          </rPr>
          <t xml:space="preserve">
9/12 上客供外箱条码贴纸726pcs</t>
        </r>
      </text>
    </comment>
    <comment ref="AI641" authorId="0">
      <text>
        <r>
          <rPr>
            <b/>
            <sz val="9"/>
            <rFont val="宋体"/>
            <charset val="134"/>
          </rPr>
          <t>Administrator:</t>
        </r>
        <r>
          <rPr>
            <sz val="9"/>
            <rFont val="宋体"/>
            <charset val="134"/>
          </rPr>
          <t xml:space="preserve">
5000340 9/24 10608pcs
华
5000322 9/24 12096pcs
华3A10
5000319 9/23 10304pcs华3A10</t>
        </r>
      </text>
    </comment>
    <comment ref="AL641" authorId="0">
      <text>
        <r>
          <rPr>
            <b/>
            <sz val="9"/>
            <rFont val="宋体"/>
            <charset val="134"/>
          </rPr>
          <t>Administrator:</t>
        </r>
        <r>
          <rPr>
            <sz val="9"/>
            <rFont val="宋体"/>
            <charset val="134"/>
          </rPr>
          <t xml:space="preserve">
9/9 上客供RFID贴纸33008pcs
</t>
        </r>
      </text>
    </comment>
    <comment ref="AI642" authorId="0">
      <text>
        <r>
          <rPr>
            <b/>
            <sz val="9"/>
            <rFont val="宋体"/>
            <charset val="134"/>
          </rPr>
          <t>Administrator:</t>
        </r>
        <r>
          <rPr>
            <sz val="9"/>
            <rFont val="宋体"/>
            <charset val="134"/>
          </rPr>
          <t xml:space="preserve">
5000458 9/30 2000pcs</t>
        </r>
      </text>
    </comment>
    <comment ref="AL642" authorId="0">
      <text>
        <r>
          <rPr>
            <b/>
            <sz val="9"/>
            <rFont val="宋体"/>
            <charset val="134"/>
          </rPr>
          <t>Administrator:</t>
        </r>
        <r>
          <rPr>
            <sz val="9"/>
            <rFont val="宋体"/>
            <charset val="134"/>
          </rPr>
          <t xml:space="preserve">
9/13 上警告语/进口商贴纸2000pcs
1语警告语贴纸6000ｐｃｓ
2语警告语贴纸2000ｐｃｓ
9/23 上警告语贴纸15000pcs与78665PO一起共用</t>
        </r>
      </text>
    </comment>
    <comment ref="AI643" authorId="0">
      <text>
        <r>
          <rPr>
            <b/>
            <sz val="9"/>
            <rFont val="宋体"/>
            <charset val="134"/>
          </rPr>
          <t>Administrator:</t>
        </r>
        <r>
          <rPr>
            <sz val="9"/>
            <rFont val="宋体"/>
            <charset val="134"/>
          </rPr>
          <t xml:space="preserve">
5000458 9/30 5975pcs
5000452 10/8 25pcs
</t>
        </r>
      </text>
    </comment>
    <comment ref="AI644" authorId="0">
      <text>
        <r>
          <rPr>
            <b/>
            <sz val="9"/>
            <rFont val="宋体"/>
            <charset val="134"/>
          </rPr>
          <t>Administrator:</t>
        </r>
        <r>
          <rPr>
            <sz val="9"/>
            <rFont val="宋体"/>
            <charset val="134"/>
          </rPr>
          <t xml:space="preserve">
5000458 9/30 156pcs</t>
        </r>
      </text>
    </comment>
    <comment ref="AL644" authorId="0">
      <text>
        <r>
          <rPr>
            <b/>
            <sz val="9"/>
            <rFont val="宋体"/>
            <charset val="134"/>
          </rPr>
          <t>Administrator:</t>
        </r>
        <r>
          <rPr>
            <sz val="9"/>
            <rFont val="宋体"/>
            <charset val="134"/>
          </rPr>
          <t xml:space="preserve">
9/8 上白色防盗贴纸156pcs
9/16 上UPC条码贴纸156ｐｃｓ
9/26 上KM单外箱贴纸12pcs
</t>
        </r>
      </text>
    </comment>
    <comment ref="AI645" authorId="0">
      <text>
        <r>
          <rPr>
            <b/>
            <sz val="9"/>
            <rFont val="宋体"/>
            <charset val="134"/>
          </rPr>
          <t>Administrator:</t>
        </r>
        <r>
          <rPr>
            <sz val="9"/>
            <rFont val="宋体"/>
            <charset val="134"/>
          </rPr>
          <t xml:space="preserve">
5000448 9/30 6916pcs
莫4B7</t>
        </r>
      </text>
    </comment>
    <comment ref="AL645" authorId="0">
      <text>
        <r>
          <rPr>
            <b/>
            <sz val="9"/>
            <rFont val="宋体"/>
            <charset val="134"/>
          </rPr>
          <t>Administrator:</t>
        </r>
        <r>
          <rPr>
            <sz val="9"/>
            <rFont val="宋体"/>
            <charset val="134"/>
          </rPr>
          <t xml:space="preserve">
9/8 上白色防盗贴纸6916pcs
9/16 上UPC条码贴纸6916ｐｃｓ
9/26 上KM单外箱贴纸532pcs</t>
        </r>
      </text>
    </comment>
    <comment ref="AI646" authorId="0">
      <text>
        <r>
          <rPr>
            <b/>
            <sz val="9"/>
            <rFont val="宋体"/>
            <charset val="134"/>
          </rPr>
          <t>Administrator:</t>
        </r>
        <r>
          <rPr>
            <sz val="9"/>
            <rFont val="宋体"/>
            <charset val="134"/>
          </rPr>
          <t xml:space="preserve">
5000448 9/30 8788pcs莫4B4
5000452 10/8 13pcs
</t>
        </r>
      </text>
    </comment>
    <comment ref="AI647" authorId="0">
      <text>
        <r>
          <rPr>
            <b/>
            <sz val="9"/>
            <rFont val="宋体"/>
            <charset val="134"/>
          </rPr>
          <t>Administrator:</t>
        </r>
        <r>
          <rPr>
            <sz val="9"/>
            <rFont val="宋体"/>
            <charset val="134"/>
          </rPr>
          <t xml:space="preserve">
5000435 9/30 500pcs</t>
        </r>
      </text>
    </comment>
    <comment ref="AL647" authorId="0">
      <text>
        <r>
          <rPr>
            <b/>
            <sz val="9"/>
            <rFont val="宋体"/>
            <charset val="134"/>
          </rPr>
          <t>Administrator:</t>
        </r>
        <r>
          <rPr>
            <sz val="9"/>
            <rFont val="宋体"/>
            <charset val="134"/>
          </rPr>
          <t xml:space="preserve">
9/11 进口商贴纸500pcs
</t>
        </r>
      </text>
    </comment>
    <comment ref="AI648" authorId="0">
      <text>
        <r>
          <rPr>
            <b/>
            <sz val="9"/>
            <rFont val="宋体"/>
            <charset val="134"/>
          </rPr>
          <t>Administrator:</t>
        </r>
        <r>
          <rPr>
            <sz val="9"/>
            <rFont val="宋体"/>
            <charset val="134"/>
          </rPr>
          <t xml:space="preserve">
5000458 9/30 1800pcs
5000448 10/7 1175pcs华兴3A15
5000452 10/8 25pcs</t>
        </r>
      </text>
    </comment>
    <comment ref="AL648" authorId="0">
      <text>
        <r>
          <rPr>
            <b/>
            <sz val="9"/>
            <rFont val="宋体"/>
            <charset val="134"/>
          </rPr>
          <t>Administrator:</t>
        </r>
        <r>
          <rPr>
            <sz val="9"/>
            <rFont val="宋体"/>
            <charset val="134"/>
          </rPr>
          <t xml:space="preserve">
9/16 上客人通用进口商贴纸3000ｐｃｓ
通用UPC条码贴纸3000ｐｃｓ</t>
        </r>
      </text>
    </comment>
    <comment ref="AI649" authorId="0">
      <text>
        <r>
          <rPr>
            <b/>
            <sz val="9"/>
            <rFont val="宋体"/>
            <charset val="134"/>
          </rPr>
          <t>Administrator:</t>
        </r>
        <r>
          <rPr>
            <sz val="9"/>
            <rFont val="宋体"/>
            <charset val="134"/>
          </rPr>
          <t xml:space="preserve">
5000487 10/10 160pcs华3B16
</t>
        </r>
      </text>
    </comment>
    <comment ref="AL649" authorId="0">
      <text>
        <r>
          <rPr>
            <b/>
            <sz val="9"/>
            <rFont val="宋体"/>
            <charset val="134"/>
          </rPr>
          <t>Administrator:</t>
        </r>
        <r>
          <rPr>
            <sz val="9"/>
            <rFont val="宋体"/>
            <charset val="134"/>
          </rPr>
          <t xml:space="preserve">
9/16 上UPC贴纸3000ｐｃｓ
三个同PO共用</t>
        </r>
      </text>
    </comment>
    <comment ref="AI650" authorId="0">
      <text>
        <r>
          <rPr>
            <b/>
            <sz val="9"/>
            <rFont val="宋体"/>
            <charset val="134"/>
          </rPr>
          <t>Administrator:</t>
        </r>
        <r>
          <rPr>
            <sz val="9"/>
            <rFont val="宋体"/>
            <charset val="134"/>
          </rPr>
          <t xml:space="preserve">
5000487 10/10 1200pcs华3B16</t>
        </r>
      </text>
    </comment>
    <comment ref="AI651" authorId="0">
      <text>
        <r>
          <rPr>
            <b/>
            <sz val="9"/>
            <rFont val="宋体"/>
            <charset val="134"/>
          </rPr>
          <t>Administrator:</t>
        </r>
        <r>
          <rPr>
            <sz val="9"/>
            <rFont val="宋体"/>
            <charset val="134"/>
          </rPr>
          <t xml:space="preserve">
5000487 10/10 1200pcs华3B16</t>
        </r>
      </text>
    </comment>
    <comment ref="AI652" authorId="0">
      <text>
        <r>
          <rPr>
            <b/>
            <sz val="9"/>
            <rFont val="宋体"/>
            <charset val="134"/>
          </rPr>
          <t>Administrator:</t>
        </r>
        <r>
          <rPr>
            <sz val="9"/>
            <rFont val="宋体"/>
            <charset val="134"/>
          </rPr>
          <t xml:space="preserve">
5000487 10/10 1000pcs华3B145</t>
        </r>
      </text>
    </comment>
    <comment ref="AL652" authorId="0">
      <text>
        <r>
          <rPr>
            <b/>
            <sz val="9"/>
            <rFont val="宋体"/>
            <charset val="134"/>
          </rPr>
          <t>Administrator:</t>
        </r>
        <r>
          <rPr>
            <sz val="9"/>
            <rFont val="宋体"/>
            <charset val="134"/>
          </rPr>
          <t xml:space="preserve">
9/13 上警告语/进口商贴纸1000pcs
1语警告语贴纸2000ｐｃｓ
2语警告语贴纸1000ｐｃｓ
9/23 上警告语贴纸15000pcs与78665PO一起共用
</t>
        </r>
      </text>
    </comment>
    <comment ref="AI653" authorId="0">
      <text>
        <r>
          <rPr>
            <b/>
            <sz val="9"/>
            <rFont val="宋体"/>
            <charset val="134"/>
          </rPr>
          <t>Administrator:</t>
        </r>
        <r>
          <rPr>
            <sz val="9"/>
            <rFont val="宋体"/>
            <charset val="134"/>
          </rPr>
          <t xml:space="preserve">
5000487 10/10 4030pcs华3B15</t>
        </r>
      </text>
    </comment>
    <comment ref="AI654" authorId="0">
      <text>
        <r>
          <rPr>
            <b/>
            <sz val="9"/>
            <rFont val="宋体"/>
            <charset val="134"/>
          </rPr>
          <t>Administrator:</t>
        </r>
        <r>
          <rPr>
            <sz val="9"/>
            <rFont val="宋体"/>
            <charset val="134"/>
          </rPr>
          <t xml:space="preserve">
40009612 10/10 4760pcs
4000973 10/11 40pcs</t>
        </r>
      </text>
    </comment>
    <comment ref="AI656" authorId="0">
      <text>
        <r>
          <rPr>
            <b/>
            <sz val="9"/>
            <rFont val="宋体"/>
            <charset val="134"/>
          </rPr>
          <t>Administrator:</t>
        </r>
        <r>
          <rPr>
            <sz val="9"/>
            <rFont val="宋体"/>
            <charset val="134"/>
          </rPr>
          <t xml:space="preserve">
5000520 10/13 10450pcs华 一F5</t>
        </r>
      </text>
    </comment>
    <comment ref="AL656" authorId="0">
      <text>
        <r>
          <rPr>
            <b/>
            <sz val="9"/>
            <rFont val="宋体"/>
            <charset val="134"/>
          </rPr>
          <t>Administrator:</t>
        </r>
        <r>
          <rPr>
            <sz val="9"/>
            <rFont val="宋体"/>
            <charset val="134"/>
          </rPr>
          <t xml:space="preserve">
9/16 上PDQUPC条码贴纸418pcs</t>
        </r>
      </text>
    </comment>
    <comment ref="AI657" authorId="0">
      <text>
        <r>
          <rPr>
            <b/>
            <sz val="9"/>
            <rFont val="宋体"/>
            <charset val="134"/>
          </rPr>
          <t>Administrator:</t>
        </r>
        <r>
          <rPr>
            <sz val="9"/>
            <rFont val="宋体"/>
            <charset val="134"/>
          </rPr>
          <t xml:space="preserve">
5000008 10/13 12800pcs华一F4</t>
        </r>
      </text>
    </comment>
    <comment ref="AL657" authorId="0">
      <text>
        <r>
          <rPr>
            <b/>
            <sz val="9"/>
            <rFont val="宋体"/>
            <charset val="134"/>
          </rPr>
          <t>Administrator:</t>
        </r>
        <r>
          <rPr>
            <sz val="9"/>
            <rFont val="宋体"/>
            <charset val="134"/>
          </rPr>
          <t xml:space="preserve">
9/16 上PDQUPC条码贴纸512pcs
</t>
        </r>
      </text>
    </comment>
    <comment ref="AI658" authorId="0">
      <text>
        <r>
          <rPr>
            <b/>
            <sz val="9"/>
            <rFont val="宋体"/>
            <charset val="134"/>
          </rPr>
          <t>Administrator:</t>
        </r>
        <r>
          <rPr>
            <sz val="9"/>
            <rFont val="宋体"/>
            <charset val="134"/>
          </rPr>
          <t xml:space="preserve">
5000582 10/16 4810pcs华3B15</t>
        </r>
      </text>
    </comment>
    <comment ref="AL658" authorId="0">
      <text>
        <r>
          <rPr>
            <b/>
            <sz val="9"/>
            <rFont val="宋体"/>
            <charset val="134"/>
          </rPr>
          <t>Administrator:</t>
        </r>
        <r>
          <rPr>
            <sz val="9"/>
            <rFont val="宋体"/>
            <charset val="134"/>
          </rPr>
          <t xml:space="preserve">
9/29 上PDQ贴纸370pcs
进口商西班牙环保标贴纸4810pcs
</t>
        </r>
      </text>
    </comment>
    <comment ref="AI659" authorId="0">
      <text>
        <r>
          <rPr>
            <b/>
            <sz val="9"/>
            <rFont val="宋体"/>
            <charset val="134"/>
          </rPr>
          <t>Administrator:</t>
        </r>
        <r>
          <rPr>
            <sz val="9"/>
            <rFont val="宋体"/>
            <charset val="134"/>
          </rPr>
          <t xml:space="preserve">
用77616拆单数量15000pcs -600件</t>
        </r>
      </text>
    </comment>
    <comment ref="AI660" authorId="0">
      <text>
        <r>
          <rPr>
            <b/>
            <sz val="9"/>
            <rFont val="宋体"/>
            <charset val="134"/>
          </rPr>
          <t>Administrator:</t>
        </r>
        <r>
          <rPr>
            <sz val="9"/>
            <rFont val="宋体"/>
            <charset val="134"/>
          </rPr>
          <t xml:space="preserve">
5000604 10/17 25000pcs华3A25</t>
        </r>
      </text>
    </comment>
    <comment ref="AI661" authorId="0">
      <text>
        <r>
          <rPr>
            <b/>
            <sz val="9"/>
            <rFont val="宋体"/>
            <charset val="134"/>
          </rPr>
          <t>Administrator:</t>
        </r>
        <r>
          <rPr>
            <sz val="9"/>
            <rFont val="宋体"/>
            <charset val="134"/>
          </rPr>
          <t xml:space="preserve">
5000642 10/21 5000pcs
华3B8</t>
        </r>
      </text>
    </comment>
    <comment ref="AL661" authorId="0">
      <text>
        <r>
          <rPr>
            <b/>
            <sz val="9"/>
            <rFont val="宋体"/>
            <charset val="134"/>
          </rPr>
          <t>Administrator:</t>
        </r>
        <r>
          <rPr>
            <sz val="9"/>
            <rFont val="宋体"/>
            <charset val="134"/>
          </rPr>
          <t xml:space="preserve">
9/30 上冰棒-说明书贴纸5000ｐｃｓ
布丁-说明书贴纸5000ｐｃｓ
蛋糕-说明书贴纸5000ｐｃｓ</t>
        </r>
      </text>
    </comment>
    <comment ref="AI662" authorId="0">
      <text>
        <r>
          <rPr>
            <b/>
            <sz val="9"/>
            <rFont val="宋体"/>
            <charset val="134"/>
          </rPr>
          <t>Administrator:</t>
        </r>
        <r>
          <rPr>
            <sz val="9"/>
            <rFont val="宋体"/>
            <charset val="134"/>
          </rPr>
          <t xml:space="preserve">
5000616 10/18 504pcs
华3A32</t>
        </r>
      </text>
    </comment>
    <comment ref="AL662" authorId="0">
      <text>
        <r>
          <rPr>
            <b/>
            <sz val="9"/>
            <rFont val="宋体"/>
            <charset val="134"/>
          </rPr>
          <t>Administrator:</t>
        </r>
        <r>
          <rPr>
            <sz val="9"/>
            <rFont val="宋体"/>
            <charset val="134"/>
          </rPr>
          <t xml:space="preserve">
9/23 上客人白色贴纸504pcs</t>
        </r>
      </text>
    </comment>
    <comment ref="AI663" authorId="0">
      <text>
        <r>
          <rPr>
            <b/>
            <sz val="9"/>
            <rFont val="宋体"/>
            <charset val="134"/>
          </rPr>
          <t>Administrator:</t>
        </r>
        <r>
          <rPr>
            <sz val="9"/>
            <rFont val="宋体"/>
            <charset val="134"/>
          </rPr>
          <t xml:space="preserve">
5000616 10/18 832pcs
华3A27</t>
        </r>
      </text>
    </comment>
    <comment ref="AI664" authorId="0">
      <text>
        <r>
          <rPr>
            <b/>
            <sz val="9"/>
            <rFont val="宋体"/>
            <charset val="134"/>
          </rPr>
          <t>Administrator:</t>
        </r>
        <r>
          <rPr>
            <sz val="9"/>
            <rFont val="宋体"/>
            <charset val="134"/>
          </rPr>
          <t xml:space="preserve">
4000074 9/2 50pcs
A栋一楼</t>
        </r>
      </text>
    </comment>
    <comment ref="AI665" authorId="0">
      <text>
        <r>
          <rPr>
            <b/>
            <sz val="9"/>
            <rFont val="宋体"/>
            <charset val="134"/>
          </rPr>
          <t>Administrator:</t>
        </r>
        <r>
          <rPr>
            <sz val="9"/>
            <rFont val="宋体"/>
            <charset val="134"/>
          </rPr>
          <t xml:space="preserve">
4000074 9/2 50pcsA栋一楼</t>
        </r>
      </text>
    </comment>
    <comment ref="AI666" authorId="0">
      <text>
        <r>
          <rPr>
            <b/>
            <sz val="9"/>
            <rFont val="宋体"/>
            <charset val="134"/>
          </rPr>
          <t>Administrator:</t>
        </r>
        <r>
          <rPr>
            <sz val="9"/>
            <rFont val="宋体"/>
            <charset val="134"/>
          </rPr>
          <t xml:space="preserve">
4000475 9/10 50pcs</t>
        </r>
      </text>
    </comment>
    <comment ref="AI668" authorId="0">
      <text>
        <r>
          <rPr>
            <b/>
            <sz val="9"/>
            <rFont val="宋体"/>
            <charset val="134"/>
          </rPr>
          <t>Administrator:</t>
        </r>
        <r>
          <rPr>
            <sz val="9"/>
            <rFont val="宋体"/>
            <charset val="134"/>
          </rPr>
          <t xml:space="preserve">
5000493 10/10 50pcs兴信</t>
        </r>
      </text>
    </comment>
    <comment ref="AI669" authorId="0">
      <text>
        <r>
          <rPr>
            <b/>
            <sz val="9"/>
            <rFont val="宋体"/>
            <charset val="134"/>
          </rPr>
          <t>Administrator:</t>
        </r>
        <r>
          <rPr>
            <sz val="9"/>
            <rFont val="宋体"/>
            <charset val="134"/>
          </rPr>
          <t xml:space="preserve">
5000131 10/22 4758pcs华一F7</t>
        </r>
      </text>
    </comment>
    <comment ref="AL669" authorId="0">
      <text>
        <r>
          <rPr>
            <b/>
            <sz val="9"/>
            <rFont val="宋体"/>
            <charset val="134"/>
          </rPr>
          <t>Administrator:</t>
        </r>
        <r>
          <rPr>
            <sz val="9"/>
            <rFont val="宋体"/>
            <charset val="134"/>
          </rPr>
          <t xml:space="preserve">
8/26 上客户EAN贴纸7488pcs
PDQ数量贴纸7488pcs
两个同PO共用</t>
        </r>
      </text>
    </comment>
    <comment ref="AI670" authorId="0">
      <text>
        <r>
          <rPr>
            <b/>
            <sz val="9"/>
            <rFont val="宋体"/>
            <charset val="134"/>
          </rPr>
          <t>Administrator:</t>
        </r>
        <r>
          <rPr>
            <sz val="9"/>
            <rFont val="宋体"/>
            <charset val="134"/>
          </rPr>
          <t xml:space="preserve">
5000131 10/22 2730pcs
华一F7</t>
        </r>
      </text>
    </comment>
    <comment ref="AI671" authorId="0">
      <text>
        <r>
          <rPr>
            <b/>
            <sz val="9"/>
            <rFont val="宋体"/>
            <charset val="134"/>
          </rPr>
          <t>Administrator:</t>
        </r>
        <r>
          <rPr>
            <sz val="9"/>
            <rFont val="宋体"/>
            <charset val="134"/>
          </rPr>
          <t xml:space="preserve">
5000135 10/22 65pcs华3B13</t>
        </r>
      </text>
    </comment>
    <comment ref="AL671" authorId="0">
      <text>
        <r>
          <rPr>
            <b/>
            <sz val="9"/>
            <rFont val="宋体"/>
            <charset val="134"/>
          </rPr>
          <t>Administrator:</t>
        </r>
        <r>
          <rPr>
            <sz val="9"/>
            <rFont val="宋体"/>
            <charset val="134"/>
          </rPr>
          <t xml:space="preserve">
9/30 上UPC条码贴纸65pcs
10/8 上白色防盗贴纸65pcs
10/13 上KM单外箱贴纸5pcs
</t>
        </r>
      </text>
    </comment>
    <comment ref="AI672" authorId="0">
      <text>
        <r>
          <rPr>
            <b/>
            <sz val="9"/>
            <rFont val="宋体"/>
            <charset val="134"/>
          </rPr>
          <t>Administrator:</t>
        </r>
        <r>
          <rPr>
            <sz val="9"/>
            <rFont val="宋体"/>
            <charset val="134"/>
          </rPr>
          <t xml:space="preserve">
5000135 10/22 403pcs
华3B13</t>
        </r>
      </text>
    </comment>
    <comment ref="AL672" authorId="0">
      <text>
        <r>
          <rPr>
            <b/>
            <sz val="9"/>
            <rFont val="宋体"/>
            <charset val="134"/>
          </rPr>
          <t>Administrator:</t>
        </r>
        <r>
          <rPr>
            <sz val="9"/>
            <rFont val="宋体"/>
            <charset val="134"/>
          </rPr>
          <t xml:space="preserve">
9/30 上UPC条码贴纸403pcs
10/8 上白色防盗贴纸403pcs
10/13 上KM单外箱贴纸31pcs
</t>
        </r>
      </text>
    </comment>
    <comment ref="AI673" authorId="0">
      <text>
        <r>
          <rPr>
            <b/>
            <sz val="9"/>
            <rFont val="宋体"/>
            <charset val="134"/>
          </rPr>
          <t>Administrator:</t>
        </r>
        <r>
          <rPr>
            <sz val="9"/>
            <rFont val="宋体"/>
            <charset val="134"/>
          </rPr>
          <t xml:space="preserve">
5000135 10/22 1443pcs
华3B13</t>
        </r>
      </text>
    </comment>
    <comment ref="AL673" authorId="0">
      <text>
        <r>
          <rPr>
            <b/>
            <sz val="9"/>
            <rFont val="宋体"/>
            <charset val="134"/>
          </rPr>
          <t>Administrator:</t>
        </r>
        <r>
          <rPr>
            <sz val="9"/>
            <rFont val="宋体"/>
            <charset val="134"/>
          </rPr>
          <t xml:space="preserve">
9/30 上UPC条码贴纸1443pcs
10/8 上白色防盗贴纸1443pcs
10/13 上KM单外箱贴纸111pcs</t>
        </r>
      </text>
    </comment>
    <comment ref="AI674" authorId="0">
      <text>
        <r>
          <rPr>
            <b/>
            <sz val="9"/>
            <rFont val="宋体"/>
            <charset val="134"/>
          </rPr>
          <t>Administrator:</t>
        </r>
        <r>
          <rPr>
            <sz val="9"/>
            <rFont val="宋体"/>
            <charset val="134"/>
          </rPr>
          <t xml:space="preserve">
5000135 10/22 5408pcs
华3B13</t>
        </r>
      </text>
    </comment>
    <comment ref="AL674" authorId="0">
      <text>
        <r>
          <rPr>
            <b/>
            <sz val="9"/>
            <rFont val="宋体"/>
            <charset val="134"/>
          </rPr>
          <t>Administrator:</t>
        </r>
        <r>
          <rPr>
            <sz val="9"/>
            <rFont val="宋体"/>
            <charset val="134"/>
          </rPr>
          <t xml:space="preserve">
9/30 上UPC条码贴纸5408pcs
10/8 上白色防盗贴纸5408pcs
10/13 上KM单外箱贴纸416pcs
</t>
        </r>
      </text>
    </comment>
    <comment ref="AI675" authorId="0">
      <text>
        <r>
          <rPr>
            <b/>
            <sz val="9"/>
            <rFont val="宋体"/>
            <charset val="134"/>
          </rPr>
          <t>Administrator:</t>
        </r>
        <r>
          <rPr>
            <sz val="9"/>
            <rFont val="宋体"/>
            <charset val="134"/>
          </rPr>
          <t xml:space="preserve">
5000132 10/22 13572pcs华3B6</t>
        </r>
      </text>
    </comment>
    <comment ref="AI676" authorId="0">
      <text>
        <r>
          <rPr>
            <b/>
            <sz val="9"/>
            <rFont val="宋体"/>
            <charset val="134"/>
          </rPr>
          <t>Administrator:</t>
        </r>
        <r>
          <rPr>
            <sz val="9"/>
            <rFont val="宋体"/>
            <charset val="134"/>
          </rPr>
          <t xml:space="preserve">
5000487 10/10 160pcs莫4A5
5000497 10/9 10560pcs莫4A5
</t>
        </r>
      </text>
    </comment>
    <comment ref="AL676" authorId="0">
      <text>
        <r>
          <rPr>
            <b/>
            <sz val="9"/>
            <rFont val="宋体"/>
            <charset val="134"/>
          </rPr>
          <t>Administrator:</t>
        </r>
        <r>
          <rPr>
            <sz val="9"/>
            <rFont val="宋体"/>
            <charset val="134"/>
          </rPr>
          <t xml:space="preserve">
9/29 上客供RFID贴纸115360ｐｃｓ
</t>
        </r>
      </text>
    </comment>
    <comment ref="AI677" authorId="0">
      <text>
        <r>
          <rPr>
            <b/>
            <sz val="9"/>
            <rFont val="宋体"/>
            <charset val="134"/>
          </rPr>
          <t>Administrator:</t>
        </r>
        <r>
          <rPr>
            <sz val="9"/>
            <rFont val="宋体"/>
            <charset val="134"/>
          </rPr>
          <t xml:space="preserve">
5000496 10/9 13440pcs华3B11
</t>
        </r>
      </text>
    </comment>
    <comment ref="AL677" authorId="0">
      <text>
        <r>
          <rPr>
            <b/>
            <sz val="9"/>
            <rFont val="宋体"/>
            <charset val="134"/>
          </rPr>
          <t>Administrator:</t>
        </r>
        <r>
          <rPr>
            <sz val="9"/>
            <rFont val="宋体"/>
            <charset val="134"/>
          </rPr>
          <t xml:space="preserve">
9/29 上客供RFID贴纸13440ｐｃｓ
</t>
        </r>
      </text>
    </comment>
    <comment ref="AI678" authorId="0">
      <text>
        <r>
          <rPr>
            <b/>
            <sz val="9"/>
            <rFont val="宋体"/>
            <charset val="134"/>
          </rPr>
          <t>Administrator:</t>
        </r>
        <r>
          <rPr>
            <sz val="9"/>
            <rFont val="宋体"/>
            <charset val="134"/>
          </rPr>
          <t xml:space="preserve">
5000496 10/9 24000pcs华3A17
</t>
        </r>
      </text>
    </comment>
    <comment ref="AL678" authorId="0">
      <text>
        <r>
          <rPr>
            <b/>
            <sz val="9"/>
            <rFont val="宋体"/>
            <charset val="134"/>
          </rPr>
          <t>Administrator:</t>
        </r>
        <r>
          <rPr>
            <sz val="9"/>
            <rFont val="宋体"/>
            <charset val="134"/>
          </rPr>
          <t xml:space="preserve">
9/29 上客供RFID贴纸24000ｐｃｓ
</t>
        </r>
      </text>
    </comment>
    <comment ref="AI679" authorId="0">
      <text>
        <r>
          <rPr>
            <b/>
            <sz val="9"/>
            <rFont val="宋体"/>
            <charset val="134"/>
          </rPr>
          <t>Administrator:</t>
        </r>
        <r>
          <rPr>
            <sz val="9"/>
            <rFont val="宋体"/>
            <charset val="134"/>
          </rPr>
          <t xml:space="preserve">
5000497 10/9 10560pcs莫4B3</t>
        </r>
      </text>
    </comment>
    <comment ref="AL679" authorId="0">
      <text>
        <r>
          <rPr>
            <b/>
            <sz val="9"/>
            <rFont val="宋体"/>
            <charset val="134"/>
          </rPr>
          <t>Administrator:</t>
        </r>
        <r>
          <rPr>
            <sz val="9"/>
            <rFont val="宋体"/>
            <charset val="134"/>
          </rPr>
          <t xml:space="preserve">
9/29 上客供RFID贴纸10560ｐｃｓ
</t>
        </r>
      </text>
    </comment>
    <comment ref="AI680" authorId="0">
      <text>
        <r>
          <rPr>
            <b/>
            <sz val="9"/>
            <rFont val="宋体"/>
            <charset val="134"/>
          </rPr>
          <t>Administrator:</t>
        </r>
        <r>
          <rPr>
            <sz val="9"/>
            <rFont val="宋体"/>
            <charset val="134"/>
          </rPr>
          <t xml:space="preserve">
10/20 1182</t>
        </r>
      </text>
    </comment>
    <comment ref="AL680" authorId="0">
      <text>
        <r>
          <rPr>
            <b/>
            <sz val="9"/>
            <rFont val="宋体"/>
            <charset val="134"/>
          </rPr>
          <t>Administrator:</t>
        </r>
        <r>
          <rPr>
            <sz val="9"/>
            <rFont val="宋体"/>
            <charset val="134"/>
          </rPr>
          <t xml:space="preserve">
9/18 上亚马逊外箱贴纸197pcs
</t>
        </r>
      </text>
    </comment>
    <comment ref="AI681" authorId="0">
      <text>
        <r>
          <rPr>
            <b/>
            <sz val="9"/>
            <rFont val="宋体"/>
            <charset val="134"/>
          </rPr>
          <t>Administrator:</t>
        </r>
        <r>
          <rPr>
            <sz val="9"/>
            <rFont val="宋体"/>
            <charset val="134"/>
          </rPr>
          <t xml:space="preserve">
4001005 10/20 10/20 780华3A20
</t>
        </r>
      </text>
    </comment>
    <comment ref="AL681" authorId="0">
      <text>
        <r>
          <rPr>
            <b/>
            <sz val="9"/>
            <rFont val="宋体"/>
            <charset val="134"/>
          </rPr>
          <t>Administrator:</t>
        </r>
        <r>
          <rPr>
            <sz val="9"/>
            <rFont val="宋体"/>
            <charset val="134"/>
          </rPr>
          <t xml:space="preserve">
9/18 上亚马逊外箱贴纸130pcs</t>
        </r>
      </text>
    </comment>
    <comment ref="AI682" authorId="0">
      <text>
        <r>
          <rPr>
            <b/>
            <sz val="9"/>
            <rFont val="宋体"/>
            <charset val="134"/>
          </rPr>
          <t>Administrator:</t>
        </r>
        <r>
          <rPr>
            <sz val="9"/>
            <rFont val="宋体"/>
            <charset val="134"/>
          </rPr>
          <t xml:space="preserve">
10/20 720
</t>
        </r>
      </text>
    </comment>
    <comment ref="AL682" authorId="0">
      <text>
        <r>
          <rPr>
            <b/>
            <sz val="9"/>
            <rFont val="宋体"/>
            <charset val="134"/>
          </rPr>
          <t>Administrator:</t>
        </r>
        <r>
          <rPr>
            <sz val="9"/>
            <rFont val="宋体"/>
            <charset val="134"/>
          </rPr>
          <t xml:space="preserve">
9/18 上KM单外箱贴纸120pcs
</t>
        </r>
      </text>
    </comment>
    <comment ref="AI683" authorId="0">
      <text>
        <r>
          <rPr>
            <b/>
            <sz val="9"/>
            <rFont val="宋体"/>
            <charset val="134"/>
          </rPr>
          <t>Administrator:</t>
        </r>
        <r>
          <rPr>
            <sz val="9"/>
            <rFont val="宋体"/>
            <charset val="134"/>
          </rPr>
          <t xml:space="preserve">
5000487 10/10 2704pcs华3B13
5000472 10/11 104pcs华3B12</t>
        </r>
      </text>
    </comment>
    <comment ref="AL683" authorId="0">
      <text>
        <r>
          <rPr>
            <b/>
            <sz val="9"/>
            <rFont val="宋体"/>
            <charset val="134"/>
          </rPr>
          <t>Administrator:</t>
        </r>
        <r>
          <rPr>
            <sz val="9"/>
            <rFont val="宋体"/>
            <charset val="134"/>
          </rPr>
          <t xml:space="preserve">
9/23 上UPC条码贴纸2808pcs</t>
        </r>
      </text>
    </comment>
    <comment ref="AI684" authorId="0">
      <text>
        <r>
          <rPr>
            <b/>
            <sz val="9"/>
            <rFont val="宋体"/>
            <charset val="134"/>
          </rPr>
          <t>Administrator:</t>
        </r>
        <r>
          <rPr>
            <sz val="9"/>
            <rFont val="宋体"/>
            <charset val="134"/>
          </rPr>
          <t xml:space="preserve">
5000008 10/13 22700pcs
华一F9
5000543 10/14 12075pcs华一F9
5000568 10/15 50pcs华一F9</t>
        </r>
      </text>
    </comment>
    <comment ref="AL684" authorId="0">
      <text>
        <r>
          <rPr>
            <b/>
            <sz val="9"/>
            <rFont val="宋体"/>
            <charset val="134"/>
          </rPr>
          <t>Administrator:</t>
        </r>
        <r>
          <rPr>
            <sz val="9"/>
            <rFont val="宋体"/>
            <charset val="134"/>
          </rPr>
          <t xml:space="preserve">
9/23 上客供外箱条码贴纸1407pcs</t>
        </r>
      </text>
    </comment>
    <comment ref="AI685" authorId="0">
      <text>
        <r>
          <rPr>
            <b/>
            <sz val="9"/>
            <rFont val="宋体"/>
            <charset val="134"/>
          </rPr>
          <t>Administrator:</t>
        </r>
        <r>
          <rPr>
            <sz val="9"/>
            <rFont val="宋体"/>
            <charset val="134"/>
          </rPr>
          <t xml:space="preserve">
5000578 10/15 500pcs莫4-B8</t>
        </r>
      </text>
    </comment>
    <comment ref="AI686" authorId="0">
      <text>
        <r>
          <rPr>
            <b/>
            <sz val="9"/>
            <rFont val="宋体"/>
            <charset val="134"/>
          </rPr>
          <t>Administrator:</t>
        </r>
        <r>
          <rPr>
            <sz val="9"/>
            <rFont val="宋体"/>
            <charset val="134"/>
          </rPr>
          <t xml:space="preserve">
5000578 10/15 2900pcs
莫4-B1
5000611 10/18 100pcs王付键
</t>
        </r>
      </text>
    </comment>
    <comment ref="AL686" authorId="0">
      <text>
        <r>
          <rPr>
            <b/>
            <sz val="9"/>
            <rFont val="宋体"/>
            <charset val="134"/>
          </rPr>
          <t>Administrator:</t>
        </r>
        <r>
          <rPr>
            <sz val="9"/>
            <rFont val="宋体"/>
            <charset val="134"/>
          </rPr>
          <t xml:space="preserve">
9/20 上进口商贴纸3000pcs
9/29 上？UPC条码贴纸3000PCS
10/9 上条码贴纸3000pcs
</t>
        </r>
      </text>
    </comment>
    <comment ref="AI687" authorId="0">
      <text>
        <r>
          <rPr>
            <b/>
            <sz val="9"/>
            <rFont val="宋体"/>
            <charset val="134"/>
          </rPr>
          <t>Administrator:</t>
        </r>
        <r>
          <rPr>
            <sz val="9"/>
            <rFont val="宋体"/>
            <charset val="134"/>
          </rPr>
          <t xml:space="preserve">
5000556 10/15 450pcs华3B14
5000568 10/15 50pcs华3B14</t>
        </r>
      </text>
    </comment>
    <comment ref="AL687" authorId="0">
      <text>
        <r>
          <rPr>
            <b/>
            <sz val="9"/>
            <rFont val="宋体"/>
            <charset val="134"/>
          </rPr>
          <t>Administrator:</t>
        </r>
        <r>
          <rPr>
            <sz val="9"/>
            <rFont val="宋体"/>
            <charset val="134"/>
          </rPr>
          <t xml:space="preserve">
9/23 上UPC贴纸500pcs</t>
        </r>
      </text>
    </comment>
    <comment ref="AI688" authorId="0">
      <text>
        <r>
          <rPr>
            <b/>
            <sz val="9"/>
            <rFont val="宋体"/>
            <charset val="134"/>
          </rPr>
          <t>Administrator:</t>
        </r>
        <r>
          <rPr>
            <sz val="9"/>
            <rFont val="宋体"/>
            <charset val="134"/>
          </rPr>
          <t xml:space="preserve">
5000543 10/14 4000pcs莫4B4</t>
        </r>
      </text>
    </comment>
    <comment ref="AI689" authorId="0">
      <text>
        <r>
          <rPr>
            <b/>
            <sz val="9"/>
            <rFont val="宋体"/>
            <charset val="134"/>
          </rPr>
          <t>Administrator:</t>
        </r>
        <r>
          <rPr>
            <sz val="9"/>
            <rFont val="宋体"/>
            <charset val="134"/>
          </rPr>
          <t xml:space="preserve">
5000543 10/14 117pcs莫4B4</t>
        </r>
      </text>
    </comment>
    <comment ref="AL689" authorId="0">
      <text>
        <r>
          <rPr>
            <b/>
            <sz val="9"/>
            <rFont val="宋体"/>
            <charset val="134"/>
          </rPr>
          <t>Administrator:</t>
        </r>
        <r>
          <rPr>
            <sz val="9"/>
            <rFont val="宋体"/>
            <charset val="134"/>
          </rPr>
          <t xml:space="preserve">
9/8 上白色防盗贴纸117pcs
9/16 上UPC条码贴纸117ｐｃｓ
10/9 上KM单外箱贴纸9pcs
</t>
        </r>
      </text>
    </comment>
    <comment ref="AI690" authorId="0">
      <text>
        <r>
          <rPr>
            <b/>
            <sz val="9"/>
            <rFont val="宋体"/>
            <charset val="134"/>
          </rPr>
          <t>Administrator:</t>
        </r>
        <r>
          <rPr>
            <sz val="9"/>
            <rFont val="宋体"/>
            <charset val="134"/>
          </rPr>
          <t xml:space="preserve">
5000543 10/14 2080pcs莫4B4
</t>
        </r>
      </text>
    </comment>
    <comment ref="AL690" authorId="0">
      <text>
        <r>
          <rPr>
            <b/>
            <sz val="9"/>
            <rFont val="宋体"/>
            <charset val="134"/>
          </rPr>
          <t>Administrator:</t>
        </r>
        <r>
          <rPr>
            <sz val="9"/>
            <rFont val="宋体"/>
            <charset val="134"/>
          </rPr>
          <t xml:space="preserve">
9/8 上白色防盗贴纸2080pcs
9/16 上UPC条码贴纸2080ｐｃｓ
10/9 上KM单外箱贴纸160pcs</t>
        </r>
      </text>
    </comment>
    <comment ref="AI691" authorId="0">
      <text>
        <r>
          <rPr>
            <b/>
            <sz val="9"/>
            <rFont val="宋体"/>
            <charset val="134"/>
          </rPr>
          <t>Administrator:</t>
        </r>
        <r>
          <rPr>
            <sz val="9"/>
            <rFont val="宋体"/>
            <charset val="134"/>
          </rPr>
          <t xml:space="preserve">
5000616 10/18 1000pcs华3A27
</t>
        </r>
      </text>
    </comment>
    <comment ref="AI692" authorId="0">
      <text>
        <r>
          <rPr>
            <b/>
            <sz val="9"/>
            <rFont val="宋体"/>
            <charset val="134"/>
          </rPr>
          <t>Administrator:</t>
        </r>
        <r>
          <rPr>
            <sz val="9"/>
            <rFont val="宋体"/>
            <charset val="134"/>
          </rPr>
          <t xml:space="preserve">
5000496 10/9 19200pcs华3A17</t>
        </r>
      </text>
    </comment>
    <comment ref="AL692" authorId="0">
      <text>
        <r>
          <rPr>
            <b/>
            <sz val="9"/>
            <rFont val="宋体"/>
            <charset val="134"/>
          </rPr>
          <t>Administrator:</t>
        </r>
        <r>
          <rPr>
            <sz val="9"/>
            <rFont val="宋体"/>
            <charset val="134"/>
          </rPr>
          <t xml:space="preserve">
9/29 上客供RFID贴纸19200ｐｃｓ</t>
        </r>
      </text>
    </comment>
    <comment ref="AI693" authorId="0">
      <text>
        <r>
          <rPr>
            <b/>
            <sz val="9"/>
            <rFont val="宋体"/>
            <charset val="134"/>
          </rPr>
          <t>Administrator:</t>
        </r>
        <r>
          <rPr>
            <sz val="9"/>
            <rFont val="宋体"/>
            <charset val="134"/>
          </rPr>
          <t xml:space="preserve">
5000496 10/9 2112pcsa莫4A5
5000497 10/9 11328pcs莫4A6
</t>
        </r>
      </text>
    </comment>
    <comment ref="AL693" authorId="0">
      <text>
        <r>
          <rPr>
            <b/>
            <sz val="9"/>
            <rFont val="宋体"/>
            <charset val="134"/>
          </rPr>
          <t>Administrator:</t>
        </r>
        <r>
          <rPr>
            <sz val="9"/>
            <rFont val="宋体"/>
            <charset val="134"/>
          </rPr>
          <t xml:space="preserve">
9/29 上客供RFID贴纸1３４４０ｐｃｓ
</t>
        </r>
      </text>
    </comment>
    <comment ref="AI694" authorId="0">
      <text>
        <r>
          <rPr>
            <b/>
            <sz val="9"/>
            <rFont val="宋体"/>
            <charset val="134"/>
          </rPr>
          <t>Administrator:</t>
        </r>
        <r>
          <rPr>
            <sz val="9"/>
            <rFont val="宋体"/>
            <charset val="134"/>
          </rPr>
          <t xml:space="preserve">
5000496 10/9 10560pcs华3B10
</t>
        </r>
      </text>
    </comment>
    <comment ref="AL694" authorId="0">
      <text>
        <r>
          <rPr>
            <b/>
            <sz val="9"/>
            <rFont val="宋体"/>
            <charset val="134"/>
          </rPr>
          <t>Administrator:</t>
        </r>
        <r>
          <rPr>
            <sz val="9"/>
            <rFont val="宋体"/>
            <charset val="134"/>
          </rPr>
          <t xml:space="preserve">
9/29 上客供RFID贴纸10560ｐｃｓ
</t>
        </r>
      </text>
    </comment>
    <comment ref="AI695" authorId="0">
      <text>
        <r>
          <rPr>
            <b/>
            <sz val="9"/>
            <rFont val="宋体"/>
            <charset val="134"/>
          </rPr>
          <t>Administrator:</t>
        </r>
        <r>
          <rPr>
            <sz val="9"/>
            <rFont val="宋体"/>
            <charset val="134"/>
          </rPr>
          <t xml:space="preserve">
5000637 10/20 10208pcs
华3A12
5000628 10/20 32pcs华一楼7区
5000642 10/21 10880pcs直走</t>
        </r>
      </text>
    </comment>
    <comment ref="AL695" authorId="0">
      <text>
        <r>
          <rPr>
            <b/>
            <sz val="9"/>
            <rFont val="宋体"/>
            <charset val="134"/>
          </rPr>
          <t>Administrator:</t>
        </r>
        <r>
          <rPr>
            <sz val="9"/>
            <rFont val="宋体"/>
            <charset val="134"/>
          </rPr>
          <t xml:space="preserve">
10/8 上客供RFID贴纸34560pcs</t>
        </r>
      </text>
    </comment>
    <comment ref="AI696" authorId="0">
      <text>
        <r>
          <rPr>
            <b/>
            <sz val="9"/>
            <rFont val="宋体"/>
            <charset val="134"/>
          </rPr>
          <t>Administrator:</t>
        </r>
        <r>
          <rPr>
            <sz val="9"/>
            <rFont val="宋体"/>
            <charset val="134"/>
          </rPr>
          <t xml:space="preserve">
5000628 10/20 32pcs
华一楼7区
5000642 10/21 5728pcs
直走</t>
        </r>
      </text>
    </comment>
    <comment ref="AL696" authorId="0">
      <text>
        <r>
          <rPr>
            <b/>
            <sz val="9"/>
            <rFont val="宋体"/>
            <charset val="134"/>
          </rPr>
          <t>Administrator:</t>
        </r>
        <r>
          <rPr>
            <sz val="9"/>
            <rFont val="宋体"/>
            <charset val="134"/>
          </rPr>
          <t xml:space="preserve">
10/8 上客供RFID贴纸16320pcs
</t>
        </r>
      </text>
    </comment>
    <comment ref="AI697" authorId="0">
      <text>
        <r>
          <rPr>
            <b/>
            <sz val="9"/>
            <rFont val="宋体"/>
            <charset val="134"/>
          </rPr>
          <t>Administrator:</t>
        </r>
        <r>
          <rPr>
            <sz val="9"/>
            <rFont val="宋体"/>
            <charset val="134"/>
          </rPr>
          <t xml:space="preserve">
5000178 10/24 3000pcs
华3B14</t>
        </r>
      </text>
    </comment>
    <comment ref="AL697" authorId="0">
      <text>
        <r>
          <rPr>
            <b/>
            <sz val="9"/>
            <rFont val="宋体"/>
            <charset val="134"/>
          </rPr>
          <t>Administrator:</t>
        </r>
        <r>
          <rPr>
            <sz val="9"/>
            <rFont val="宋体"/>
            <charset val="134"/>
          </rPr>
          <t xml:space="preserve">
9/26 多语折叠警语贴纸13540pcs
三个同PO共用</t>
        </r>
      </text>
    </comment>
    <comment ref="AI698" authorId="0">
      <text>
        <r>
          <rPr>
            <b/>
            <sz val="9"/>
            <rFont val="宋体"/>
            <charset val="134"/>
          </rPr>
          <t>Administrator:</t>
        </r>
        <r>
          <rPr>
            <sz val="9"/>
            <rFont val="宋体"/>
            <charset val="134"/>
          </rPr>
          <t xml:space="preserve">
5000178 10/24 7540pcs
华3B8</t>
        </r>
      </text>
    </comment>
    <comment ref="AI699" authorId="0">
      <text>
        <r>
          <rPr>
            <b/>
            <sz val="9"/>
            <rFont val="宋体"/>
            <charset val="134"/>
          </rPr>
          <t>Administrator:</t>
        </r>
        <r>
          <rPr>
            <sz val="9"/>
            <rFont val="宋体"/>
            <charset val="134"/>
          </rPr>
          <t xml:space="preserve">
4001013 10/24 1500pcs华3A30</t>
        </r>
      </text>
    </comment>
    <comment ref="AL699" authorId="0">
      <text>
        <r>
          <rPr>
            <b/>
            <sz val="9"/>
            <rFont val="宋体"/>
            <charset val="134"/>
          </rPr>
          <t>Administrator:</t>
        </r>
        <r>
          <rPr>
            <sz val="9"/>
            <rFont val="宋体"/>
            <charset val="134"/>
          </rPr>
          <t xml:space="preserve">
9/29 上EAN条码贴纸1500PCS</t>
        </r>
      </text>
    </comment>
    <comment ref="AI700" authorId="0">
      <text>
        <r>
          <rPr>
            <b/>
            <sz val="9"/>
            <rFont val="宋体"/>
            <charset val="134"/>
          </rPr>
          <t>Administrator:</t>
        </r>
        <r>
          <rPr>
            <sz val="9"/>
            <rFont val="宋体"/>
            <charset val="134"/>
          </rPr>
          <t xml:space="preserve">
5000229 10/27 5000pcs
华一F4</t>
        </r>
      </text>
    </comment>
    <comment ref="AL700" authorId="0">
      <text>
        <r>
          <rPr>
            <b/>
            <sz val="9"/>
            <rFont val="宋体"/>
            <charset val="134"/>
          </rPr>
          <t>Administrator:</t>
        </r>
        <r>
          <rPr>
            <sz val="9"/>
            <rFont val="宋体"/>
            <charset val="134"/>
          </rPr>
          <t xml:space="preserve">
9/29 上进口商贴纸5000ｐｃｓ
10/20 上EAN条码贴纸5000pcs</t>
        </r>
      </text>
    </comment>
    <comment ref="AI701" authorId="0">
      <text>
        <r>
          <rPr>
            <b/>
            <sz val="9"/>
            <rFont val="宋体"/>
            <charset val="134"/>
          </rPr>
          <t>Administrator:</t>
        </r>
        <r>
          <rPr>
            <sz val="9"/>
            <rFont val="宋体"/>
            <charset val="134"/>
          </rPr>
          <t xml:space="preserve">
5000158 10/23 32624pcs华1B3
5000164 10/24 16pcs华1A3</t>
        </r>
      </text>
    </comment>
    <comment ref="AL701" authorId="0">
      <text>
        <r>
          <rPr>
            <b/>
            <sz val="9"/>
            <rFont val="宋体"/>
            <charset val="134"/>
          </rPr>
          <t>Administrator:</t>
        </r>
        <r>
          <rPr>
            <sz val="9"/>
            <rFont val="宋体"/>
            <charset val="134"/>
          </rPr>
          <t xml:space="preserve">
10/8 上客供RFID贴纸46080pcs
</t>
        </r>
      </text>
    </comment>
    <comment ref="AI702" authorId="0">
      <text>
        <r>
          <rPr>
            <b/>
            <sz val="9"/>
            <rFont val="宋体"/>
            <charset val="134"/>
          </rPr>
          <t>Administrator:</t>
        </r>
        <r>
          <rPr>
            <sz val="9"/>
            <rFont val="宋体"/>
            <charset val="134"/>
          </rPr>
          <t xml:space="preserve">
5000164 10/24 24752pcs
华3A5
5000163 10/24 30912pcs华3A5
5000229 10/27 16pcs
华3A4</t>
        </r>
      </text>
    </comment>
    <comment ref="AL702" authorId="0">
      <text>
        <r>
          <rPr>
            <b/>
            <sz val="9"/>
            <rFont val="宋体"/>
            <charset val="134"/>
          </rPr>
          <t>Administrator:</t>
        </r>
        <r>
          <rPr>
            <sz val="9"/>
            <rFont val="宋体"/>
            <charset val="134"/>
          </rPr>
          <t xml:space="preserve">
10/8 上客供RFID贴绝纸79680pcs
</t>
        </r>
      </text>
    </comment>
    <comment ref="AI703" authorId="0">
      <text>
        <r>
          <rPr>
            <b/>
            <sz val="9"/>
            <rFont val="宋体"/>
            <charset val="134"/>
          </rPr>
          <t>Administrator:</t>
        </r>
        <r>
          <rPr>
            <sz val="9"/>
            <rFont val="宋体"/>
            <charset val="134"/>
          </rPr>
          <t xml:space="preserve">
5000225 10/27 19648pcs
华3A12
5000229 10/27 6272pcs
华3A12</t>
        </r>
      </text>
    </comment>
    <comment ref="AL703" authorId="0">
      <text>
        <r>
          <rPr>
            <b/>
            <sz val="9"/>
            <rFont val="宋体"/>
            <charset val="134"/>
          </rPr>
          <t>Administrator:</t>
        </r>
        <r>
          <rPr>
            <sz val="9"/>
            <rFont val="宋体"/>
            <charset val="134"/>
          </rPr>
          <t xml:space="preserve">
10/8 上客供RFID贴纸36480pcs
</t>
        </r>
      </text>
    </comment>
    <comment ref="AI704" authorId="0">
      <text>
        <r>
          <rPr>
            <b/>
            <sz val="9"/>
            <rFont val="宋体"/>
            <charset val="134"/>
          </rPr>
          <t>Administrator:</t>
        </r>
        <r>
          <rPr>
            <sz val="9"/>
            <rFont val="宋体"/>
            <charset val="134"/>
          </rPr>
          <t xml:space="preserve">
5000172 10/24 9600pcs华一B3</t>
        </r>
      </text>
    </comment>
    <comment ref="AL704" authorId="0">
      <text>
        <r>
          <rPr>
            <b/>
            <sz val="9"/>
            <rFont val="宋体"/>
            <charset val="134"/>
          </rPr>
          <t>Administrator:</t>
        </r>
        <r>
          <rPr>
            <sz val="9"/>
            <rFont val="宋体"/>
            <charset val="134"/>
          </rPr>
          <t xml:space="preserve">
10/8 上客供RFID贴纸28800pcs
</t>
        </r>
      </text>
    </comment>
    <comment ref="AI705" authorId="0">
      <text>
        <r>
          <rPr>
            <b/>
            <sz val="9"/>
            <rFont val="宋体"/>
            <charset val="134"/>
          </rPr>
          <t>Administrator:</t>
        </r>
        <r>
          <rPr>
            <sz val="9"/>
            <rFont val="宋体"/>
            <charset val="134"/>
          </rPr>
          <t xml:space="preserve">
5000225 10/27 160pcs
华3A3
5000229 10/27 22720pcs
华3A3
5000230 10/24 20320pcs华3A3</t>
        </r>
      </text>
    </comment>
    <comment ref="AL705" authorId="0">
      <text>
        <r>
          <rPr>
            <b/>
            <sz val="9"/>
            <rFont val="宋体"/>
            <charset val="134"/>
          </rPr>
          <t>Administrator:</t>
        </r>
        <r>
          <rPr>
            <sz val="9"/>
            <rFont val="宋体"/>
            <charset val="134"/>
          </rPr>
          <t xml:space="preserve">
10/8 上客供RFID贴纸58560pcs
</t>
        </r>
      </text>
    </comment>
    <comment ref="AI706" authorId="0">
      <text>
        <r>
          <rPr>
            <b/>
            <sz val="9"/>
            <rFont val="宋体"/>
            <charset val="134"/>
          </rPr>
          <t>Administrator:</t>
        </r>
        <r>
          <rPr>
            <sz val="9"/>
            <rFont val="宋体"/>
            <charset val="134"/>
          </rPr>
          <t xml:space="preserve">
5000198 10/27 8000pcs华3A31</t>
        </r>
      </text>
    </comment>
    <comment ref="AL706" authorId="0">
      <text>
        <r>
          <rPr>
            <b/>
            <sz val="9"/>
            <rFont val="宋体"/>
            <charset val="134"/>
          </rPr>
          <t>Administrator:</t>
        </r>
        <r>
          <rPr>
            <sz val="9"/>
            <rFont val="宋体"/>
            <charset val="134"/>
          </rPr>
          <t xml:space="preserve">
10/13 上冰棒款说明书荷兰语贴纸8000pcs
蛋糕款说明书荷兰语贴纸8000pcs
布丁款说明书荷兰语贴纸8000pcs</t>
        </r>
      </text>
    </comment>
    <comment ref="AI707" authorId="0">
      <text>
        <r>
          <rPr>
            <b/>
            <sz val="9"/>
            <rFont val="宋体"/>
            <charset val="134"/>
          </rPr>
          <t>Administrator:</t>
        </r>
        <r>
          <rPr>
            <sz val="9"/>
            <rFont val="宋体"/>
            <charset val="134"/>
          </rPr>
          <t xml:space="preserve">
5000244 10/29 5000pcsB四楼4-B7</t>
        </r>
      </text>
    </comment>
    <comment ref="AI708" authorId="0">
      <text>
        <r>
          <rPr>
            <b/>
            <sz val="9"/>
            <rFont val="宋体"/>
            <charset val="134"/>
          </rPr>
          <t>Administrator:</t>
        </r>
        <r>
          <rPr>
            <sz val="9"/>
            <rFont val="宋体"/>
            <charset val="134"/>
          </rPr>
          <t xml:space="preserve">
5000244 10/29 31500pcs
B四楼4-B4
5000245 10/30 16500pcs</t>
        </r>
      </text>
    </comment>
    <comment ref="AL708" authorId="0">
      <text>
        <r>
          <rPr>
            <b/>
            <sz val="9"/>
            <rFont val="宋体"/>
            <charset val="134"/>
          </rPr>
          <t>Administrator:</t>
        </r>
        <r>
          <rPr>
            <sz val="9"/>
            <rFont val="宋体"/>
            <charset val="134"/>
          </rPr>
          <t xml:space="preserve">
客供外箱贴纸1939pcs</t>
        </r>
      </text>
    </comment>
    <comment ref="AI709" authorId="0">
      <text>
        <r>
          <rPr>
            <b/>
            <sz val="9"/>
            <rFont val="宋体"/>
            <charset val="134"/>
          </rPr>
          <t>Administrator:</t>
        </r>
        <r>
          <rPr>
            <sz val="9"/>
            <rFont val="宋体"/>
            <charset val="134"/>
          </rPr>
          <t xml:space="preserve">
5000245 10/30 10000pcs
</t>
        </r>
      </text>
    </comment>
    <comment ref="AL709" authorId="0">
      <text>
        <r>
          <rPr>
            <b/>
            <sz val="9"/>
            <rFont val="宋体"/>
            <charset val="134"/>
          </rPr>
          <t>Administrator:</t>
        </r>
        <r>
          <rPr>
            <sz val="9"/>
            <rFont val="宋体"/>
            <charset val="134"/>
          </rPr>
          <t xml:space="preserve">
9/30 上冰棒-说明书贴纸10000ｐｃｓ
布丁-说明书贴纸10000ｐｃｓ
蛋糕-说明书贴纸10000ｐｃｓ
</t>
        </r>
      </text>
    </comment>
    <comment ref="AI710" authorId="0">
      <text>
        <r>
          <rPr>
            <b/>
            <sz val="9"/>
            <rFont val="宋体"/>
            <charset val="134"/>
          </rPr>
          <t>Administrator:</t>
        </r>
        <r>
          <rPr>
            <sz val="9"/>
            <rFont val="宋体"/>
            <charset val="134"/>
          </rPr>
          <t xml:space="preserve">
1200294 11/3 1040pcs
华 3B32</t>
        </r>
      </text>
    </comment>
    <comment ref="AL710" authorId="0">
      <text>
        <r>
          <rPr>
            <b/>
            <sz val="9"/>
            <rFont val="宋体"/>
            <charset val="134"/>
          </rPr>
          <t>Administrator:</t>
        </r>
        <r>
          <rPr>
            <sz val="9"/>
            <rFont val="宋体"/>
            <charset val="134"/>
          </rPr>
          <t xml:space="preserve">
9/26 上客供警语贴纸球底部1080pcs
客供警语贴纸收藏指南1080pcs
客供警语贴纸贴说明书上1080pcs
10/6 上UPC条码贴纸1040pcs</t>
        </r>
      </text>
    </comment>
    <comment ref="AI711" authorId="0">
      <text>
        <r>
          <rPr>
            <b/>
            <sz val="9"/>
            <rFont val="宋体"/>
            <charset val="134"/>
          </rPr>
          <t>Administrator:</t>
        </r>
        <r>
          <rPr>
            <sz val="9"/>
            <rFont val="宋体"/>
            <charset val="134"/>
          </rPr>
          <t xml:space="preserve">
1200267 11/1 260pcs</t>
        </r>
      </text>
    </comment>
    <comment ref="AL711" authorId="0">
      <text>
        <r>
          <rPr>
            <b/>
            <sz val="9"/>
            <rFont val="宋体"/>
            <charset val="134"/>
          </rPr>
          <t>Administrator:</t>
        </r>
        <r>
          <rPr>
            <sz val="9"/>
            <rFont val="宋体"/>
            <charset val="134"/>
          </rPr>
          <t xml:space="preserve">
10/8 上白色防盗贴纸260pcs
10/13 上UPC条码贴纸260pcs
10/15 上KM单外箱贴纸20pcs</t>
        </r>
      </text>
    </comment>
    <comment ref="AI712" authorId="0">
      <text>
        <r>
          <rPr>
            <b/>
            <sz val="9"/>
            <rFont val="宋体"/>
            <charset val="134"/>
          </rPr>
          <t>Administrator:</t>
        </r>
        <r>
          <rPr>
            <sz val="9"/>
            <rFont val="宋体"/>
            <charset val="134"/>
          </rPr>
          <t xml:space="preserve">
1200267 11/1 1248pcs
</t>
        </r>
      </text>
    </comment>
    <comment ref="AL712" authorId="0">
      <text>
        <r>
          <rPr>
            <b/>
            <sz val="9"/>
            <rFont val="宋体"/>
            <charset val="134"/>
          </rPr>
          <t>Administrator:</t>
        </r>
        <r>
          <rPr>
            <sz val="9"/>
            <rFont val="宋体"/>
            <charset val="134"/>
          </rPr>
          <t xml:space="preserve">
10/8 上白色防盗贴纸1248pcs
10/13 上UPC条码贴纸1248pcs
10/15 上KM单外箱贴纸96pcs
</t>
        </r>
      </text>
    </comment>
    <comment ref="AI713" authorId="0">
      <text>
        <r>
          <rPr>
            <b/>
            <sz val="9"/>
            <rFont val="宋体"/>
            <charset val="134"/>
          </rPr>
          <t>Administrator:</t>
        </r>
        <r>
          <rPr>
            <sz val="9"/>
            <rFont val="宋体"/>
            <charset val="134"/>
          </rPr>
          <t xml:space="preserve">
5000211 10/28 6720pcs华3A15</t>
        </r>
      </text>
    </comment>
    <comment ref="AL713" authorId="0">
      <text>
        <r>
          <rPr>
            <b/>
            <sz val="9"/>
            <rFont val="宋体"/>
            <charset val="134"/>
          </rPr>
          <t>Administrator:</t>
        </r>
        <r>
          <rPr>
            <sz val="9"/>
            <rFont val="宋体"/>
            <charset val="134"/>
          </rPr>
          <t xml:space="preserve">
10/13 上客供RFID贴纸6720pcs</t>
        </r>
      </text>
    </comment>
    <comment ref="AI714" authorId="0">
      <text>
        <r>
          <rPr>
            <b/>
            <sz val="9"/>
            <rFont val="宋体"/>
            <charset val="134"/>
          </rPr>
          <t>Administrator:</t>
        </r>
        <r>
          <rPr>
            <sz val="9"/>
            <rFont val="宋体"/>
            <charset val="134"/>
          </rPr>
          <t xml:space="preserve">
5000211 10/28 1920pcs
华3B8</t>
        </r>
      </text>
    </comment>
    <comment ref="AL714" authorId="0">
      <text>
        <r>
          <rPr>
            <b/>
            <sz val="9"/>
            <rFont val="宋体"/>
            <charset val="134"/>
          </rPr>
          <t>Administrator:</t>
        </r>
        <r>
          <rPr>
            <sz val="9"/>
            <rFont val="宋体"/>
            <charset val="134"/>
          </rPr>
          <t xml:space="preserve">
10/8 上客供RFID贴纸3920pcs
</t>
        </r>
      </text>
    </comment>
    <comment ref="AI715" authorId="0">
      <text>
        <r>
          <rPr>
            <b/>
            <sz val="9"/>
            <rFont val="宋体"/>
            <charset val="134"/>
          </rPr>
          <t>Administrator:</t>
        </r>
        <r>
          <rPr>
            <sz val="9"/>
            <rFont val="宋体"/>
            <charset val="134"/>
          </rPr>
          <t xml:space="preserve">
5000211 10/28 3840pcs
华3A17</t>
        </r>
      </text>
    </comment>
    <comment ref="AL715" authorId="0">
      <text>
        <r>
          <rPr>
            <b/>
            <sz val="9"/>
            <rFont val="宋体"/>
            <charset val="134"/>
          </rPr>
          <t>Administrator:</t>
        </r>
        <r>
          <rPr>
            <sz val="9"/>
            <rFont val="宋体"/>
            <charset val="134"/>
          </rPr>
          <t xml:space="preserve">
10/8 上客供RFID贴纸3840pcs
</t>
        </r>
      </text>
    </comment>
    <comment ref="AI716" authorId="0">
      <text>
        <r>
          <rPr>
            <b/>
            <sz val="9"/>
            <rFont val="宋体"/>
            <charset val="134"/>
          </rPr>
          <t>Administrator:</t>
        </r>
        <r>
          <rPr>
            <sz val="9"/>
            <rFont val="宋体"/>
            <charset val="134"/>
          </rPr>
          <t xml:space="preserve">
5000211 10/28 2880pcs
华3A16</t>
        </r>
      </text>
    </comment>
    <comment ref="AL716" authorId="0">
      <text>
        <r>
          <rPr>
            <b/>
            <sz val="9"/>
            <rFont val="宋体"/>
            <charset val="134"/>
          </rPr>
          <t>Administrator:</t>
        </r>
        <r>
          <rPr>
            <sz val="9"/>
            <rFont val="宋体"/>
            <charset val="134"/>
          </rPr>
          <t xml:space="preserve">
10/13 上客供RFID贴纸2880pcs
</t>
        </r>
      </text>
    </comment>
    <comment ref="AI717" authorId="0">
      <text>
        <r>
          <rPr>
            <b/>
            <sz val="9"/>
            <rFont val="宋体"/>
            <charset val="134"/>
          </rPr>
          <t>Administrator:</t>
        </r>
        <r>
          <rPr>
            <sz val="9"/>
            <rFont val="宋体"/>
            <charset val="134"/>
          </rPr>
          <t xml:space="preserve">
5000211 10/28 8640pcs
华3A21</t>
        </r>
      </text>
    </comment>
    <comment ref="AL717" authorId="0">
      <text>
        <r>
          <rPr>
            <b/>
            <sz val="9"/>
            <rFont val="宋体"/>
            <charset val="134"/>
          </rPr>
          <t>Administrator:</t>
        </r>
        <r>
          <rPr>
            <sz val="9"/>
            <rFont val="宋体"/>
            <charset val="134"/>
          </rPr>
          <t xml:space="preserve">
10/13 上客供RFID贴纸8640pcs
</t>
        </r>
      </text>
    </comment>
    <comment ref="AI718" authorId="0">
      <text>
        <r>
          <rPr>
            <b/>
            <sz val="9"/>
            <rFont val="宋体"/>
            <charset val="134"/>
          </rPr>
          <t>Administrator:</t>
        </r>
        <r>
          <rPr>
            <sz val="9"/>
            <rFont val="宋体"/>
            <charset val="134"/>
          </rPr>
          <t xml:space="preserve">
5000211 10/28 2880pcs
华3A16</t>
        </r>
      </text>
    </comment>
    <comment ref="AL718" authorId="0">
      <text>
        <r>
          <rPr>
            <b/>
            <sz val="9"/>
            <rFont val="宋体"/>
            <charset val="134"/>
          </rPr>
          <t>Administrator:</t>
        </r>
        <r>
          <rPr>
            <sz val="9"/>
            <rFont val="宋体"/>
            <charset val="134"/>
          </rPr>
          <t xml:space="preserve">
10/13 上客供RFID贴纸2880pcs
</t>
        </r>
      </text>
    </comment>
    <comment ref="AI719" authorId="0">
      <text>
        <r>
          <rPr>
            <b/>
            <sz val="9"/>
            <rFont val="宋体"/>
            <charset val="134"/>
          </rPr>
          <t>Administrator:</t>
        </r>
        <r>
          <rPr>
            <sz val="9"/>
            <rFont val="宋体"/>
            <charset val="134"/>
          </rPr>
          <t xml:space="preserve">
1200294 11/3 312pcs
华3B17</t>
        </r>
      </text>
    </comment>
    <comment ref="AL719" authorId="0">
      <text>
        <r>
          <rPr>
            <b/>
            <sz val="9"/>
            <rFont val="宋体"/>
            <charset val="134"/>
          </rPr>
          <t>Administrator:</t>
        </r>
        <r>
          <rPr>
            <sz val="9"/>
            <rFont val="宋体"/>
            <charset val="134"/>
          </rPr>
          <t xml:space="preserve">
9/25 上警告语贴纸312
1袋子警告语贴纸312
2 袋子警告语贴纸312pcs
10/14 上1 袋子警告语贴纸1560pcs</t>
        </r>
      </text>
    </comment>
    <comment ref="AI720" authorId="0">
      <text>
        <r>
          <rPr>
            <b/>
            <sz val="9"/>
            <rFont val="宋体"/>
            <charset val="134"/>
          </rPr>
          <t>Administrator:</t>
        </r>
        <r>
          <rPr>
            <sz val="9"/>
            <rFont val="宋体"/>
            <charset val="134"/>
          </rPr>
          <t xml:space="preserve">
1200294 11/3 5000pcs华3B14</t>
        </r>
      </text>
    </comment>
    <comment ref="AL720" authorId="0">
      <text>
        <r>
          <rPr>
            <b/>
            <sz val="9"/>
            <rFont val="宋体"/>
            <charset val="134"/>
          </rPr>
          <t>Administrator:</t>
        </r>
        <r>
          <rPr>
            <sz val="9"/>
            <rFont val="宋体"/>
            <charset val="134"/>
          </rPr>
          <t xml:space="preserve">
10/13 款号条码贴纸5000pcs
10/16 上多语警语折叠贴纸5000pcS</t>
        </r>
      </text>
    </comment>
    <comment ref="AI721" authorId="0">
      <text>
        <r>
          <rPr>
            <b/>
            <sz val="9"/>
            <rFont val="宋体"/>
            <charset val="134"/>
          </rPr>
          <t>Administrator:</t>
        </r>
        <r>
          <rPr>
            <sz val="9"/>
            <rFont val="宋体"/>
            <charset val="134"/>
          </rPr>
          <t xml:space="preserve">
1200294 11/3 1500pcs
华3B14</t>
        </r>
      </text>
    </comment>
    <comment ref="AL721" authorId="0">
      <text>
        <r>
          <rPr>
            <b/>
            <sz val="9"/>
            <rFont val="宋体"/>
            <charset val="134"/>
          </rPr>
          <t>Administrator:</t>
        </r>
        <r>
          <rPr>
            <sz val="9"/>
            <rFont val="宋体"/>
            <charset val="134"/>
          </rPr>
          <t xml:space="preserve">
10/14 上UPC贴纸1500pcs</t>
        </r>
      </text>
    </comment>
    <comment ref="AI722" authorId="0">
      <text>
        <r>
          <rPr>
            <b/>
            <sz val="9"/>
            <rFont val="宋体"/>
            <charset val="134"/>
          </rPr>
          <t>Administrator:</t>
        </r>
        <r>
          <rPr>
            <sz val="9"/>
            <rFont val="宋体"/>
            <charset val="134"/>
          </rPr>
          <t xml:space="preserve">
1200294 11/3 8000pcs
</t>
        </r>
      </text>
    </comment>
    <comment ref="AL722" authorId="0">
      <text>
        <r>
          <rPr>
            <b/>
            <sz val="9"/>
            <rFont val="宋体"/>
            <charset val="134"/>
          </rPr>
          <t>Administrator:</t>
        </r>
        <r>
          <rPr>
            <sz val="9"/>
            <rFont val="宋体"/>
            <charset val="134"/>
          </rPr>
          <t xml:space="preserve">
10/22 上西班牙环保标贴纸/客户进口商贴纸8000pcs</t>
        </r>
      </text>
    </comment>
    <comment ref="AI723" authorId="0">
      <text>
        <r>
          <rPr>
            <b/>
            <sz val="9"/>
            <rFont val="宋体"/>
            <charset val="134"/>
          </rPr>
          <t>Administrator:</t>
        </r>
        <r>
          <rPr>
            <sz val="9"/>
            <rFont val="宋体"/>
            <charset val="134"/>
          </rPr>
          <t xml:space="preserve">
1200314 11/5 2912pcs华3B10
1200316 11/6 52pcs华3B10</t>
        </r>
      </text>
    </comment>
    <comment ref="AI724" authorId="0">
      <text>
        <r>
          <rPr>
            <b/>
            <sz val="9"/>
            <rFont val="宋体"/>
            <charset val="134"/>
          </rPr>
          <t>Administrator:</t>
        </r>
        <r>
          <rPr>
            <sz val="9"/>
            <rFont val="宋体"/>
            <charset val="134"/>
          </rPr>
          <t xml:space="preserve">
1200279 11/7 1560pcs华3B8
</t>
        </r>
      </text>
    </comment>
    <comment ref="AL724" authorId="0">
      <text>
        <r>
          <rPr>
            <b/>
            <sz val="9"/>
            <rFont val="宋体"/>
            <charset val="134"/>
          </rPr>
          <t>Administrator:</t>
        </r>
        <r>
          <rPr>
            <sz val="9"/>
            <rFont val="宋体"/>
            <charset val="134"/>
          </rPr>
          <t xml:space="preserve">
10/17 上客供防窜码贴纸7969pcs 只限77673货号
</t>
        </r>
      </text>
    </comment>
    <comment ref="AI725" authorId="0">
      <text>
        <r>
          <rPr>
            <b/>
            <sz val="9"/>
            <rFont val="宋体"/>
            <charset val="134"/>
          </rPr>
          <t>Administrator:</t>
        </r>
        <r>
          <rPr>
            <sz val="9"/>
            <rFont val="宋体"/>
            <charset val="134"/>
          </rPr>
          <t xml:space="preserve">
1200279 11/7 2483pcs华3B8
1200303 11/5 26pcs华3B8</t>
        </r>
      </text>
    </comment>
    <comment ref="AI726" authorId="0">
      <text>
        <r>
          <rPr>
            <b/>
            <sz val="9"/>
            <rFont val="宋体"/>
            <charset val="134"/>
          </rPr>
          <t>Administrator:</t>
        </r>
        <r>
          <rPr>
            <sz val="9"/>
            <rFont val="宋体"/>
            <charset val="134"/>
          </rPr>
          <t xml:space="preserve">
1200279 11/7 7200pcs华3B16</t>
        </r>
      </text>
    </comment>
    <comment ref="AL726" authorId="0">
      <text>
        <r>
          <rPr>
            <b/>
            <sz val="9"/>
            <rFont val="宋体"/>
            <charset val="134"/>
          </rPr>
          <t>Administrator:</t>
        </r>
        <r>
          <rPr>
            <sz val="9"/>
            <rFont val="宋体"/>
            <charset val="134"/>
          </rPr>
          <t xml:space="preserve">
10/14 上UPC贴纸7200pcs
客人通用贴纸7200pcs</t>
        </r>
      </text>
    </comment>
    <comment ref="AI727" authorId="0">
      <text>
        <r>
          <rPr>
            <b/>
            <sz val="9"/>
            <rFont val="宋体"/>
            <charset val="134"/>
          </rPr>
          <t>Administrator:</t>
        </r>
        <r>
          <rPr>
            <sz val="9"/>
            <rFont val="宋体"/>
            <charset val="134"/>
          </rPr>
          <t xml:space="preserve">
1200316 11/6 1800pcs
华3A29</t>
        </r>
      </text>
    </comment>
    <comment ref="AL727" authorId="0">
      <text>
        <r>
          <rPr>
            <b/>
            <sz val="9"/>
            <rFont val="宋体"/>
            <charset val="134"/>
          </rPr>
          <t>Administrator:</t>
        </r>
        <r>
          <rPr>
            <sz val="9"/>
            <rFont val="宋体"/>
            <charset val="134"/>
          </rPr>
          <t xml:space="preserve">
10/14 上空白贴纸3600pcs
环保标贴纸1800pcs
10/28 上亚马逊外箱贴纸150ｐｃｓ
</t>
        </r>
      </text>
    </comment>
    <comment ref="AI728" authorId="0">
      <text>
        <r>
          <rPr>
            <b/>
            <sz val="9"/>
            <rFont val="宋体"/>
            <charset val="134"/>
          </rPr>
          <t>Administrator:</t>
        </r>
        <r>
          <rPr>
            <sz val="9"/>
            <rFont val="宋体"/>
            <charset val="134"/>
          </rPr>
          <t xml:space="preserve">
1200316 11/6 3408pcs
3B17</t>
        </r>
      </text>
    </comment>
    <comment ref="AL728" authorId="0">
      <text>
        <r>
          <rPr>
            <b/>
            <sz val="9"/>
            <rFont val="宋体"/>
            <charset val="134"/>
          </rPr>
          <t>Administrator:</t>
        </r>
        <r>
          <rPr>
            <sz val="9"/>
            <rFont val="宋体"/>
            <charset val="134"/>
          </rPr>
          <t xml:space="preserve">
10/14 上空白贴纸3408pcs
环保标贴纸3408pcs
10/28 上亚马逊外箱贴纸284ｐｃｓ
</t>
        </r>
      </text>
    </comment>
    <comment ref="AI729" authorId="0">
      <text>
        <r>
          <rPr>
            <b/>
            <sz val="9"/>
            <rFont val="宋体"/>
            <charset val="134"/>
          </rPr>
          <t>Administrator:</t>
        </r>
        <r>
          <rPr>
            <sz val="9"/>
            <rFont val="宋体"/>
            <charset val="134"/>
          </rPr>
          <t xml:space="preserve">
1200314 11/5 492pcs华3B10</t>
        </r>
      </text>
    </comment>
    <comment ref="AL729" authorId="0">
      <text>
        <r>
          <rPr>
            <b/>
            <sz val="9"/>
            <rFont val="宋体"/>
            <charset val="134"/>
          </rPr>
          <t>Administrator:</t>
        </r>
        <r>
          <rPr>
            <sz val="9"/>
            <rFont val="宋体"/>
            <charset val="134"/>
          </rPr>
          <t xml:space="preserve">
10/14 上空白贴纸492pcs
环保标贴纸492pcs
10/28 上亚马逊外箱贴纸41ｐｃｓ
</t>
        </r>
      </text>
    </comment>
    <comment ref="AI730" authorId="0">
      <text>
        <r>
          <rPr>
            <b/>
            <sz val="9"/>
            <rFont val="宋体"/>
            <charset val="134"/>
          </rPr>
          <t>Administrator:</t>
        </r>
        <r>
          <rPr>
            <sz val="9"/>
            <rFont val="宋体"/>
            <charset val="134"/>
          </rPr>
          <t xml:space="preserve">
1200314 11/5 3240pcs华3B11
</t>
        </r>
      </text>
    </comment>
    <comment ref="AL730" authorId="0">
      <text>
        <r>
          <rPr>
            <b/>
            <sz val="9"/>
            <rFont val="宋体"/>
            <charset val="134"/>
          </rPr>
          <t>Administrator:</t>
        </r>
        <r>
          <rPr>
            <sz val="9"/>
            <rFont val="宋体"/>
            <charset val="134"/>
          </rPr>
          <t xml:space="preserve">
10/14 上空白贴纸3240pcs
环保标贴纸3240pcs
10/17 上亚马逊外箱贴纸270pcs</t>
        </r>
      </text>
    </comment>
    <comment ref="AI731" authorId="0">
      <text>
        <r>
          <rPr>
            <b/>
            <sz val="9"/>
            <rFont val="宋体"/>
            <charset val="134"/>
          </rPr>
          <t>Administrator:</t>
        </r>
        <r>
          <rPr>
            <sz val="9"/>
            <rFont val="宋体"/>
            <charset val="134"/>
          </rPr>
          <t xml:space="preserve">
1200316 11/6 1212pcs
华3B14</t>
        </r>
      </text>
    </comment>
    <comment ref="AL731" authorId="0">
      <text>
        <r>
          <rPr>
            <b/>
            <sz val="9"/>
            <rFont val="宋体"/>
            <charset val="134"/>
          </rPr>
          <t>Administrator:</t>
        </r>
        <r>
          <rPr>
            <sz val="9"/>
            <rFont val="宋体"/>
            <charset val="134"/>
          </rPr>
          <t xml:space="preserve">
10/16 上空白贴纸2424pcs
环保标贴纸1212pcs
10/28 上亚马逊外箱贴纸101ｐｃｓ
</t>
        </r>
      </text>
    </comment>
    <comment ref="AI732" authorId="0">
      <text>
        <r>
          <rPr>
            <b/>
            <sz val="9"/>
            <rFont val="宋体"/>
            <charset val="134"/>
          </rPr>
          <t>Administrator:</t>
        </r>
        <r>
          <rPr>
            <sz val="9"/>
            <rFont val="宋体"/>
            <charset val="134"/>
          </rPr>
          <t xml:space="preserve">
1200294 11/3 6240pcs
华3B16</t>
        </r>
      </text>
    </comment>
    <comment ref="AL732" authorId="0">
      <text>
        <r>
          <rPr>
            <b/>
            <sz val="9"/>
            <rFont val="宋体"/>
            <charset val="134"/>
          </rPr>
          <t>Administrator:</t>
        </r>
        <r>
          <rPr>
            <sz val="9"/>
            <rFont val="宋体"/>
            <charset val="134"/>
          </rPr>
          <t xml:space="preserve">
10/17 上客供价格贴纸6240pcs
10/21 上德语贴纸6240pcs</t>
        </r>
      </text>
    </comment>
    <comment ref="AI733" authorId="0">
      <text>
        <r>
          <rPr>
            <b/>
            <sz val="9"/>
            <rFont val="宋体"/>
            <charset val="134"/>
          </rPr>
          <t>Administrator:</t>
        </r>
        <r>
          <rPr>
            <sz val="9"/>
            <rFont val="宋体"/>
            <charset val="134"/>
          </rPr>
          <t xml:space="preserve">
1200317 11/6 1000pcs华3A27</t>
        </r>
      </text>
    </comment>
    <comment ref="AL733" authorId="0">
      <text>
        <r>
          <rPr>
            <b/>
            <sz val="9"/>
            <rFont val="宋体"/>
            <charset val="134"/>
          </rPr>
          <t>Administrator:</t>
        </r>
        <r>
          <rPr>
            <sz val="9"/>
            <rFont val="宋体"/>
            <charset val="134"/>
          </rPr>
          <t xml:space="preserve">
10/21 上日语警语贴纸1000pcs</t>
        </r>
      </text>
    </comment>
    <comment ref="AI734" authorId="0">
      <text>
        <r>
          <rPr>
            <b/>
            <sz val="9"/>
            <rFont val="宋体"/>
            <charset val="134"/>
          </rPr>
          <t>Administrator:</t>
        </r>
        <r>
          <rPr>
            <sz val="9"/>
            <rFont val="宋体"/>
            <charset val="134"/>
          </rPr>
          <t xml:space="preserve">
1200317 11/6 3950pcs
华3B14
1200333 11/8 50ｐｃｓ华3B14</t>
        </r>
      </text>
    </comment>
    <comment ref="AL734" authorId="0">
      <text>
        <r>
          <rPr>
            <b/>
            <sz val="9"/>
            <rFont val="宋体"/>
            <charset val="134"/>
          </rPr>
          <t>Administrator:</t>
        </r>
        <r>
          <rPr>
            <sz val="9"/>
            <rFont val="宋体"/>
            <charset val="134"/>
          </rPr>
          <t xml:space="preserve">
10/21 上日语警语贴纸4000pcs
</t>
        </r>
      </text>
    </comment>
    <comment ref="AI735" authorId="0">
      <text>
        <r>
          <rPr>
            <b/>
            <sz val="9"/>
            <rFont val="宋体"/>
            <charset val="134"/>
          </rPr>
          <t>Administrator:</t>
        </r>
        <r>
          <rPr>
            <sz val="9"/>
            <rFont val="宋体"/>
            <charset val="134"/>
          </rPr>
          <t xml:space="preserve">
1200317 11/6 12636pcs
华3A28</t>
        </r>
      </text>
    </comment>
    <comment ref="AL735" authorId="0">
      <text>
        <r>
          <rPr>
            <b/>
            <sz val="9"/>
            <rFont val="宋体"/>
            <charset val="134"/>
          </rPr>
          <t>Administrator:</t>
        </r>
        <r>
          <rPr>
            <sz val="9"/>
            <rFont val="宋体"/>
            <charset val="134"/>
          </rPr>
          <t xml:space="preserve">
10/8 上白色防盗贴纸12636pcs
10/22 上KM单外箱贴纸972pcs
10/21 上UPC条码贴纸12636pcs</t>
        </r>
      </text>
    </comment>
    <comment ref="AI736" authorId="0">
      <text>
        <r>
          <rPr>
            <b/>
            <sz val="9"/>
            <rFont val="宋体"/>
            <charset val="134"/>
          </rPr>
          <t>Administrator:</t>
        </r>
        <r>
          <rPr>
            <sz val="9"/>
            <rFont val="宋体"/>
            <charset val="134"/>
          </rPr>
          <t xml:space="preserve">
1200317 11/6 1404pcs
华3A27</t>
        </r>
      </text>
    </comment>
    <comment ref="AL736" authorId="0">
      <text>
        <r>
          <rPr>
            <b/>
            <sz val="9"/>
            <rFont val="宋体"/>
            <charset val="134"/>
          </rPr>
          <t>Administrator:</t>
        </r>
        <r>
          <rPr>
            <sz val="9"/>
            <rFont val="宋体"/>
            <charset val="134"/>
          </rPr>
          <t xml:space="preserve">
10/8 上白色防盗贴纸1404pcs
10/22 上KM单外箱贴纸108pcs
10/21 上UPC条码贴纸1404pcs
</t>
        </r>
      </text>
    </comment>
    <comment ref="AI737" authorId="0">
      <text>
        <r>
          <rPr>
            <b/>
            <sz val="9"/>
            <rFont val="宋体"/>
            <charset val="134"/>
          </rPr>
          <t>Administrator:</t>
        </r>
        <r>
          <rPr>
            <sz val="9"/>
            <rFont val="宋体"/>
            <charset val="134"/>
          </rPr>
          <t xml:space="preserve">
1200345 11/8 9750pcs华3B15</t>
        </r>
      </text>
    </comment>
    <comment ref="AI738" authorId="0">
      <text>
        <r>
          <rPr>
            <b/>
            <sz val="9"/>
            <rFont val="宋体"/>
            <charset val="134"/>
          </rPr>
          <t>Administrator:</t>
        </r>
        <r>
          <rPr>
            <sz val="9"/>
            <rFont val="宋体"/>
            <charset val="134"/>
          </rPr>
          <t xml:space="preserve">
1200345 11/8 2975pcs华3A37
1200368 11/11 25pcs华3A27
</t>
        </r>
      </text>
    </comment>
    <comment ref="AL738" authorId="0">
      <text>
        <r>
          <rPr>
            <b/>
            <sz val="9"/>
            <rFont val="宋体"/>
            <charset val="134"/>
          </rPr>
          <t>Administrator:</t>
        </r>
        <r>
          <rPr>
            <sz val="9"/>
            <rFont val="宋体"/>
            <charset val="134"/>
          </rPr>
          <t xml:space="preserve">
10/21 上UPC条码贴纸3000pcs
</t>
        </r>
      </text>
    </comment>
    <comment ref="AI739" authorId="0">
      <text>
        <r>
          <rPr>
            <b/>
            <sz val="9"/>
            <rFont val="宋体"/>
            <charset val="134"/>
          </rPr>
          <t>Administrator:</t>
        </r>
        <r>
          <rPr>
            <sz val="9"/>
            <rFont val="宋体"/>
            <charset val="134"/>
          </rPr>
          <t xml:space="preserve">
1200345 11/8 5252pcs
华3B14</t>
        </r>
      </text>
    </comment>
    <comment ref="AI740" authorId="0">
      <text>
        <r>
          <rPr>
            <b/>
            <sz val="9"/>
            <rFont val="宋体"/>
            <charset val="134"/>
          </rPr>
          <t>Administrator:</t>
        </r>
        <r>
          <rPr>
            <sz val="9"/>
            <rFont val="宋体"/>
            <charset val="134"/>
          </rPr>
          <t xml:space="preserve">
1200345 11/8 9893pcs
转上兴信</t>
        </r>
      </text>
    </comment>
    <comment ref="AI741" authorId="0">
      <text>
        <r>
          <rPr>
            <b/>
            <sz val="9"/>
            <rFont val="宋体"/>
            <charset val="134"/>
          </rPr>
          <t>Administrator:</t>
        </r>
        <r>
          <rPr>
            <sz val="9"/>
            <rFont val="宋体"/>
            <charset val="134"/>
          </rPr>
          <t xml:space="preserve">
1200334 11/8 5760pcs华3A14</t>
        </r>
      </text>
    </comment>
    <comment ref="AL741" authorId="0">
      <text>
        <r>
          <rPr>
            <b/>
            <sz val="9"/>
            <rFont val="宋体"/>
            <charset val="134"/>
          </rPr>
          <t>Administrator:</t>
        </r>
        <r>
          <rPr>
            <sz val="9"/>
            <rFont val="宋体"/>
            <charset val="134"/>
          </rPr>
          <t xml:space="preserve">
10/29 客供RFID贴纸5760pcs</t>
        </r>
      </text>
    </comment>
    <comment ref="AI742" authorId="0">
      <text>
        <r>
          <rPr>
            <b/>
            <sz val="9"/>
            <rFont val="宋体"/>
            <charset val="134"/>
          </rPr>
          <t>Administrator:</t>
        </r>
        <r>
          <rPr>
            <sz val="9"/>
            <rFont val="宋体"/>
            <charset val="134"/>
          </rPr>
          <t xml:space="preserve">
1200334 11/8 3840pcs华3B6</t>
        </r>
      </text>
    </comment>
    <comment ref="AL742" authorId="0">
      <text>
        <r>
          <rPr>
            <b/>
            <sz val="9"/>
            <rFont val="宋体"/>
            <charset val="134"/>
          </rPr>
          <t>Administrator:</t>
        </r>
        <r>
          <rPr>
            <sz val="9"/>
            <rFont val="宋体"/>
            <charset val="134"/>
          </rPr>
          <t xml:space="preserve">
10/29 客供RFID贴纸3840pcs
</t>
        </r>
      </text>
    </comment>
    <comment ref="AI743" authorId="0">
      <text>
        <r>
          <rPr>
            <b/>
            <sz val="9"/>
            <rFont val="宋体"/>
            <charset val="134"/>
          </rPr>
          <t>Administrator:</t>
        </r>
        <r>
          <rPr>
            <sz val="9"/>
            <rFont val="宋体"/>
            <charset val="134"/>
          </rPr>
          <t xml:space="preserve">
1200333 11/8 3861PCS直走
1200334 11/8 39pcs
直走</t>
        </r>
      </text>
    </comment>
    <comment ref="AI744" authorId="0">
      <text>
        <r>
          <rPr>
            <b/>
            <sz val="9"/>
            <rFont val="宋体"/>
            <charset val="134"/>
          </rPr>
          <t>Administrator:</t>
        </r>
        <r>
          <rPr>
            <sz val="9"/>
            <rFont val="宋体"/>
            <charset val="134"/>
          </rPr>
          <t xml:space="preserve">
1200345 11/8 4030pcs
华3B14
</t>
        </r>
      </text>
    </comment>
    <comment ref="AI745" authorId="0">
      <text>
        <r>
          <rPr>
            <b/>
            <sz val="9"/>
            <rFont val="宋体"/>
            <charset val="134"/>
          </rPr>
          <t>Administrator:</t>
        </r>
        <r>
          <rPr>
            <sz val="9"/>
            <rFont val="宋体"/>
            <charset val="134"/>
          </rPr>
          <t xml:space="preserve">
1200345 11/8 2574pcs华3B17
</t>
        </r>
      </text>
    </comment>
    <comment ref="AI746" authorId="0">
      <text>
        <r>
          <rPr>
            <b/>
            <sz val="9"/>
            <rFont val="宋体"/>
            <charset val="134"/>
          </rPr>
          <t>Administrator:</t>
        </r>
        <r>
          <rPr>
            <sz val="9"/>
            <rFont val="宋体"/>
            <charset val="134"/>
          </rPr>
          <t xml:space="preserve">
1200354 11/10 1066pcs
华3A32
1200345 11/8 2340pcs
华3A32
</t>
        </r>
      </text>
    </comment>
    <comment ref="AI747" authorId="0">
      <text>
        <r>
          <rPr>
            <b/>
            <sz val="9"/>
            <rFont val="宋体"/>
            <charset val="134"/>
          </rPr>
          <t>Administrator:</t>
        </r>
        <r>
          <rPr>
            <sz val="9"/>
            <rFont val="宋体"/>
            <charset val="134"/>
          </rPr>
          <t xml:space="preserve">
1200294 11/3 1000pcs
华3B14</t>
        </r>
      </text>
    </comment>
    <comment ref="AL747" authorId="0">
      <text>
        <r>
          <rPr>
            <b/>
            <sz val="9"/>
            <rFont val="宋体"/>
            <charset val="134"/>
          </rPr>
          <t>Administrator:</t>
        </r>
        <r>
          <rPr>
            <sz val="9"/>
            <rFont val="宋体"/>
            <charset val="134"/>
          </rPr>
          <t xml:space="preserve">
10/14 上UPC贴纸1000pcs</t>
        </r>
      </text>
    </comment>
    <comment ref="AI748" authorId="0">
      <text>
        <r>
          <rPr>
            <b/>
            <sz val="9"/>
            <rFont val="宋体"/>
            <charset val="134"/>
          </rPr>
          <t>Administrator:</t>
        </r>
        <r>
          <rPr>
            <sz val="9"/>
            <rFont val="宋体"/>
            <charset val="134"/>
          </rPr>
          <t xml:space="preserve">
货已回</t>
        </r>
      </text>
    </comment>
    <comment ref="AI749" authorId="0">
      <text>
        <r>
          <rPr>
            <b/>
            <sz val="9"/>
            <rFont val="宋体"/>
            <charset val="134"/>
          </rPr>
          <t>Administrator:</t>
        </r>
        <r>
          <rPr>
            <sz val="9"/>
            <rFont val="宋体"/>
            <charset val="134"/>
          </rPr>
          <t xml:space="preserve">
1200285 11/4 20pcs前面一楼</t>
        </r>
      </text>
    </comment>
    <comment ref="AI750" authorId="0">
      <text>
        <r>
          <rPr>
            <b/>
            <sz val="9"/>
            <rFont val="宋体"/>
            <charset val="134"/>
          </rPr>
          <t>Administrator:</t>
        </r>
        <r>
          <rPr>
            <sz val="9"/>
            <rFont val="宋体"/>
            <charset val="134"/>
          </rPr>
          <t xml:space="preserve">
1200345 11/8 1050pcs
华3B15</t>
        </r>
      </text>
    </comment>
    <comment ref="AL750" authorId="0">
      <text>
        <r>
          <rPr>
            <b/>
            <sz val="9"/>
            <rFont val="宋体"/>
            <charset val="134"/>
          </rPr>
          <t>Administrator:</t>
        </r>
        <r>
          <rPr>
            <sz val="9"/>
            <rFont val="宋体"/>
            <charset val="134"/>
          </rPr>
          <t xml:space="preserve">
11/4 上条码贴纸2100ｐｃｓ</t>
        </r>
      </text>
    </comment>
    <comment ref="AI751" authorId="0">
      <text>
        <r>
          <rPr>
            <b/>
            <sz val="9"/>
            <rFont val="宋体"/>
            <charset val="134"/>
          </rPr>
          <t>Administrator:</t>
        </r>
        <r>
          <rPr>
            <sz val="9"/>
            <rFont val="宋体"/>
            <charset val="134"/>
          </rPr>
          <t xml:space="preserve">
5000213 10/28 23040pcs华3A25</t>
        </r>
      </text>
    </comment>
    <comment ref="AL751" authorId="0">
      <text>
        <r>
          <rPr>
            <b/>
            <sz val="9"/>
            <rFont val="宋体"/>
            <charset val="134"/>
          </rPr>
          <t>Administrator:</t>
        </r>
        <r>
          <rPr>
            <sz val="9"/>
            <rFont val="宋体"/>
            <charset val="134"/>
          </rPr>
          <t xml:space="preserve">
10/17 上客供RFID贴纸23040pcs
</t>
        </r>
      </text>
    </comment>
    <comment ref="AI752" authorId="0">
      <text>
        <r>
          <rPr>
            <b/>
            <sz val="9"/>
            <rFont val="宋体"/>
            <charset val="134"/>
          </rPr>
          <t>Administrator:</t>
        </r>
        <r>
          <rPr>
            <sz val="9"/>
            <rFont val="宋体"/>
            <charset val="134"/>
          </rPr>
          <t xml:space="preserve">
5000213 10/28 2688pcs
华3A20
5000211 10/28 19392pcs
华3A20</t>
        </r>
      </text>
    </comment>
    <comment ref="AL752" authorId="0">
      <text>
        <r>
          <rPr>
            <b/>
            <sz val="9"/>
            <rFont val="宋体"/>
            <charset val="134"/>
          </rPr>
          <t>Administrator:</t>
        </r>
        <r>
          <rPr>
            <sz val="9"/>
            <rFont val="宋体"/>
            <charset val="134"/>
          </rPr>
          <t xml:space="preserve">
10/17 上客供RFID贴纸22080pcs
</t>
        </r>
      </text>
    </comment>
    <comment ref="AI753" authorId="0">
      <text>
        <r>
          <rPr>
            <b/>
            <sz val="9"/>
            <rFont val="宋体"/>
            <charset val="134"/>
          </rPr>
          <t>Administrator:</t>
        </r>
        <r>
          <rPr>
            <sz val="9"/>
            <rFont val="宋体"/>
            <charset val="134"/>
          </rPr>
          <t xml:space="preserve">
</t>
        </r>
        <r>
          <rPr>
            <sz val="14"/>
            <rFont val="宋体"/>
            <charset val="134"/>
          </rPr>
          <t>11/12回货</t>
        </r>
      </text>
    </comment>
    <comment ref="AL753" authorId="0">
      <text>
        <r>
          <rPr>
            <b/>
            <sz val="9"/>
            <rFont val="宋体"/>
            <charset val="134"/>
          </rPr>
          <t>Administrator:</t>
        </r>
        <r>
          <rPr>
            <sz val="9"/>
            <rFont val="宋体"/>
            <charset val="134"/>
          </rPr>
          <t xml:space="preserve">
9/26 上客供警语贴纸球底部1488pcs
客供警语贴纸收藏指南1488pcs
客供警语贴纸贴说明书上1490pcs
10/21 上空白贴纸1440pcs</t>
        </r>
      </text>
    </comment>
    <comment ref="AI754" authorId="0">
      <text>
        <r>
          <rPr>
            <b/>
            <sz val="9"/>
            <rFont val="宋体"/>
            <charset val="134"/>
          </rPr>
          <t>Administrator:</t>
        </r>
        <r>
          <rPr>
            <sz val="9"/>
            <rFont val="宋体"/>
            <charset val="134"/>
          </rPr>
          <t xml:space="preserve">
1200361  11/12 7000pcs华3A23</t>
        </r>
      </text>
    </comment>
    <comment ref="AI755" authorId="0">
      <text>
        <r>
          <rPr>
            <b/>
            <sz val="9"/>
            <rFont val="宋体"/>
            <charset val="134"/>
          </rPr>
          <t>Administrator:</t>
        </r>
        <r>
          <rPr>
            <sz val="9"/>
            <rFont val="宋体"/>
            <charset val="134"/>
          </rPr>
          <t xml:space="preserve">
1200361  11/12 4251pcs华3B15
</t>
        </r>
      </text>
    </comment>
    <comment ref="AL755" authorId="0">
      <text>
        <r>
          <rPr>
            <b/>
            <sz val="9"/>
            <rFont val="宋体"/>
            <charset val="134"/>
          </rPr>
          <t>Administrator:</t>
        </r>
        <r>
          <rPr>
            <sz val="9"/>
            <rFont val="宋体"/>
            <charset val="134"/>
          </rPr>
          <t xml:space="preserve">
10/24 上价格贴纸4251pcs
外箱贴纸1308pcs</t>
        </r>
      </text>
    </comment>
    <comment ref="AI756" authorId="0">
      <text>
        <r>
          <rPr>
            <b/>
            <sz val="9"/>
            <rFont val="宋体"/>
            <charset val="134"/>
          </rPr>
          <t>Administrator:</t>
        </r>
        <r>
          <rPr>
            <sz val="9"/>
            <rFont val="宋体"/>
            <charset val="134"/>
          </rPr>
          <t xml:space="preserve">
1200430 11/18 5005pcs
直走</t>
        </r>
      </text>
    </comment>
    <comment ref="AI757" authorId="0">
      <text>
        <r>
          <rPr>
            <b/>
            <sz val="9"/>
            <rFont val="宋体"/>
            <charset val="134"/>
          </rPr>
          <t>Administrator:</t>
        </r>
        <r>
          <rPr>
            <sz val="9"/>
            <rFont val="宋体"/>
            <charset val="134"/>
          </rPr>
          <t xml:space="preserve">
1200412 11/15 4563pcs华3B15</t>
        </r>
      </text>
    </comment>
    <comment ref="AL757" authorId="0">
      <text>
        <r>
          <rPr>
            <b/>
            <sz val="9"/>
            <rFont val="宋体"/>
            <charset val="134"/>
          </rPr>
          <t>Administrator:</t>
        </r>
        <r>
          <rPr>
            <sz val="9"/>
            <rFont val="宋体"/>
            <charset val="134"/>
          </rPr>
          <t xml:space="preserve">
10/30 上多语警语折叠贴纸4563pcs</t>
        </r>
      </text>
    </comment>
    <comment ref="AI758" authorId="0">
      <text>
        <r>
          <rPr>
            <b/>
            <sz val="9"/>
            <rFont val="宋体"/>
            <charset val="134"/>
          </rPr>
          <t>Administrator:</t>
        </r>
        <r>
          <rPr>
            <sz val="9"/>
            <rFont val="宋体"/>
            <charset val="134"/>
          </rPr>
          <t xml:space="preserve">
1200403 11/14 37440pcs</t>
        </r>
      </text>
    </comment>
    <comment ref="AL758" authorId="0">
      <text>
        <r>
          <rPr>
            <b/>
            <sz val="9"/>
            <rFont val="宋体"/>
            <charset val="134"/>
          </rPr>
          <t>Administrator:</t>
        </r>
        <r>
          <rPr>
            <sz val="9"/>
            <rFont val="宋体"/>
            <charset val="134"/>
          </rPr>
          <t xml:space="preserve">
11/5 上客供RFID贴纸37440pcs</t>
        </r>
      </text>
    </comment>
    <comment ref="AI759" authorId="0">
      <text>
        <r>
          <rPr>
            <b/>
            <sz val="9"/>
            <rFont val="宋体"/>
            <charset val="134"/>
          </rPr>
          <t>Administrator:</t>
        </r>
        <r>
          <rPr>
            <sz val="9"/>
            <rFont val="宋体"/>
            <charset val="134"/>
          </rPr>
          <t xml:space="preserve">
1200443 11/19 29760pcs华3A19</t>
        </r>
      </text>
    </comment>
    <comment ref="AL759" authorId="0">
      <text>
        <r>
          <rPr>
            <b/>
            <sz val="9"/>
            <rFont val="宋体"/>
            <charset val="134"/>
          </rPr>
          <t>Administrator:</t>
        </r>
        <r>
          <rPr>
            <sz val="9"/>
            <rFont val="宋体"/>
            <charset val="134"/>
          </rPr>
          <t xml:space="preserve">
11/5 上客供RFID贴纸29760pcs
</t>
        </r>
      </text>
    </comment>
    <comment ref="AI760" authorId="0">
      <text>
        <r>
          <rPr>
            <b/>
            <sz val="9"/>
            <rFont val="宋体"/>
            <charset val="134"/>
          </rPr>
          <t>Administrator:</t>
        </r>
        <r>
          <rPr>
            <sz val="9"/>
            <rFont val="宋体"/>
            <charset val="134"/>
          </rPr>
          <t xml:space="preserve">
1200436 11/18 728PCS华3B12
1200467 11/20 52pcs华3B12</t>
        </r>
      </text>
    </comment>
    <comment ref="AL760" authorId="0">
      <text>
        <r>
          <rPr>
            <b/>
            <sz val="9"/>
            <rFont val="宋体"/>
            <charset val="134"/>
          </rPr>
          <t>Administrator:</t>
        </r>
        <r>
          <rPr>
            <sz val="9"/>
            <rFont val="宋体"/>
            <charset val="134"/>
          </rPr>
          <t xml:space="preserve">
10/13 上PDQ条码贴纸40pcs
德语警语贴纸520pcs
11/14 上德语警告语贴纸260pcs加单260</t>
        </r>
      </text>
    </comment>
    <comment ref="AI761" authorId="0">
      <text>
        <r>
          <rPr>
            <b/>
            <sz val="9"/>
            <rFont val="宋体"/>
            <charset val="134"/>
          </rPr>
          <t>Administrator:</t>
        </r>
        <r>
          <rPr>
            <sz val="9"/>
            <rFont val="宋体"/>
            <charset val="134"/>
          </rPr>
          <t xml:space="preserve">
1200430 11/18 4810pcs
华3B14</t>
        </r>
      </text>
    </comment>
    <comment ref="AL761" authorId="0">
      <text>
        <r>
          <rPr>
            <b/>
            <sz val="9"/>
            <rFont val="宋体"/>
            <charset val="134"/>
          </rPr>
          <t>Administrator:</t>
        </r>
        <r>
          <rPr>
            <sz val="9"/>
            <rFont val="宋体"/>
            <charset val="134"/>
          </rPr>
          <t xml:space="preserve">
11/7 上多语可折叠贴纸4810pcs
</t>
        </r>
      </text>
    </comment>
    <comment ref="AI762" authorId="0">
      <text>
        <r>
          <rPr>
            <b/>
            <sz val="9"/>
            <rFont val="宋体"/>
            <charset val="134"/>
          </rPr>
          <t>Administrator:</t>
        </r>
        <r>
          <rPr>
            <sz val="9"/>
            <rFont val="宋体"/>
            <charset val="134"/>
          </rPr>
          <t xml:space="preserve">
4001139 11/26 5472pcs
华3A17-18
4001139 11/26 4536pcs华3A17-18</t>
        </r>
      </text>
    </comment>
    <comment ref="AL762" authorId="0">
      <text>
        <r>
          <rPr>
            <b/>
            <sz val="9"/>
            <rFont val="宋体"/>
            <charset val="134"/>
          </rPr>
          <t>Administrator:</t>
        </r>
        <r>
          <rPr>
            <sz val="9"/>
            <rFont val="宋体"/>
            <charset val="134"/>
          </rPr>
          <t xml:space="preserve">
9/23 上客供芯片贴纸10008pcs
9/25 上3C贴纸50664pcs
11/10 上空白贴纸110256ｐｃｓ</t>
        </r>
      </text>
    </comment>
    <comment ref="AI763" authorId="0">
      <text>
        <r>
          <rPr>
            <b/>
            <sz val="9"/>
            <rFont val="宋体"/>
            <charset val="134"/>
          </rPr>
          <t>Administrator:</t>
        </r>
        <r>
          <rPr>
            <sz val="9"/>
            <rFont val="宋体"/>
            <charset val="134"/>
          </rPr>
          <t xml:space="preserve">
4001139 11/26 660pcs
华一F3
</t>
        </r>
      </text>
    </comment>
    <comment ref="AL763" authorId="0">
      <text>
        <r>
          <rPr>
            <b/>
            <sz val="9"/>
            <rFont val="宋体"/>
            <charset val="134"/>
          </rPr>
          <t>Administrator:</t>
        </r>
        <r>
          <rPr>
            <sz val="9"/>
            <rFont val="宋体"/>
            <charset val="134"/>
          </rPr>
          <t xml:space="preserve">
9/23 上客供芯片贴纸660pcs
</t>
        </r>
      </text>
    </comment>
    <comment ref="AI764" authorId="0">
      <text>
        <r>
          <rPr>
            <b/>
            <sz val="9"/>
            <rFont val="宋体"/>
            <charset val="134"/>
          </rPr>
          <t>Administrator:</t>
        </r>
        <r>
          <rPr>
            <sz val="9"/>
            <rFont val="宋体"/>
            <charset val="134"/>
          </rPr>
          <t xml:space="preserve">
12/8 1200213 3280PCS华3b10 
12/8 1200209 6720PCS 华3b10</t>
        </r>
      </text>
    </comment>
    <comment ref="AL764" authorId="0">
      <text>
        <r>
          <rPr>
            <b/>
            <sz val="9"/>
            <rFont val="宋体"/>
            <charset val="134"/>
          </rPr>
          <t>Administrator:</t>
        </r>
        <r>
          <rPr>
            <sz val="9"/>
            <rFont val="宋体"/>
            <charset val="134"/>
          </rPr>
          <t xml:space="preserve">
10/23 上进口商贴纸10000pcs
UPC贴纸10000pcs
</t>
        </r>
      </text>
    </comment>
    <comment ref="AI765" authorId="0">
      <text>
        <r>
          <rPr>
            <b/>
            <sz val="9"/>
            <rFont val="宋体"/>
            <charset val="134"/>
          </rPr>
          <t>Administrator:</t>
        </r>
        <r>
          <rPr>
            <sz val="9"/>
            <rFont val="宋体"/>
            <charset val="134"/>
          </rPr>
          <t xml:space="preserve">
1200426 11/17 1488PCS华B13
1200430 11/18 24pcs华3B13</t>
        </r>
      </text>
    </comment>
    <comment ref="AL765" authorId="0">
      <text>
        <r>
          <rPr>
            <b/>
            <sz val="9"/>
            <rFont val="宋体"/>
            <charset val="134"/>
          </rPr>
          <t>Administrator:</t>
        </r>
        <r>
          <rPr>
            <sz val="9"/>
            <rFont val="宋体"/>
            <charset val="134"/>
          </rPr>
          <t xml:space="preserve">
11/1 上客人白色CATLABEL贴纸1512pcs</t>
        </r>
      </text>
    </comment>
    <comment ref="AI766" authorId="0">
      <text>
        <r>
          <rPr>
            <b/>
            <sz val="9"/>
            <rFont val="宋体"/>
            <charset val="134"/>
          </rPr>
          <t>Administrator:</t>
        </r>
        <r>
          <rPr>
            <sz val="9"/>
            <rFont val="宋体"/>
            <charset val="134"/>
          </rPr>
          <t xml:space="preserve">
1200481 11/22 1248pcs华3B14</t>
        </r>
      </text>
    </comment>
    <comment ref="AI767" authorId="0">
      <text>
        <r>
          <rPr>
            <b/>
            <sz val="9"/>
            <rFont val="宋体"/>
            <charset val="134"/>
          </rPr>
          <t>Administrator:</t>
        </r>
        <r>
          <rPr>
            <sz val="9"/>
            <rFont val="宋体"/>
            <charset val="134"/>
          </rPr>
          <t xml:space="preserve">
1200505 11/25 10010pcs华3B16</t>
        </r>
      </text>
    </comment>
    <comment ref="AL767" authorId="0">
      <text>
        <r>
          <rPr>
            <b/>
            <sz val="9"/>
            <rFont val="宋体"/>
            <charset val="134"/>
          </rPr>
          <t>Administrator:</t>
        </r>
        <r>
          <rPr>
            <sz val="9"/>
            <rFont val="宋体"/>
            <charset val="134"/>
          </rPr>
          <t xml:space="preserve">
10/23 上多语折叠贴纸13610pcs
同PO共用</t>
        </r>
      </text>
    </comment>
    <comment ref="AI768" authorId="0">
      <text>
        <r>
          <rPr>
            <b/>
            <sz val="9"/>
            <rFont val="宋体"/>
            <charset val="134"/>
          </rPr>
          <t>Administrator:</t>
        </r>
        <r>
          <rPr>
            <sz val="9"/>
            <rFont val="宋体"/>
            <charset val="134"/>
          </rPr>
          <t xml:space="preserve">
1200463 11/20 3600pcsB栋4-A8</t>
        </r>
      </text>
    </comment>
    <comment ref="AI769" authorId="0">
      <text>
        <r>
          <rPr>
            <b/>
            <sz val="9"/>
            <rFont val="宋体"/>
            <charset val="134"/>
          </rPr>
          <t>Administrator:</t>
        </r>
        <r>
          <rPr>
            <sz val="9"/>
            <rFont val="宋体"/>
            <charset val="134"/>
          </rPr>
          <t xml:space="preserve">
1200426 11/17 8281PCS华3A24
</t>
        </r>
      </text>
    </comment>
    <comment ref="AI770" authorId="0">
      <text>
        <r>
          <rPr>
            <b/>
            <sz val="9"/>
            <rFont val="宋体"/>
            <charset val="134"/>
          </rPr>
          <t>Administrator:</t>
        </r>
        <r>
          <rPr>
            <sz val="9"/>
            <rFont val="宋体"/>
            <charset val="134"/>
          </rPr>
          <t xml:space="preserve">
1200426 11/17 4446PCS华3B9
</t>
        </r>
      </text>
    </comment>
    <comment ref="AI771" authorId="0">
      <text>
        <r>
          <rPr>
            <b/>
            <sz val="9"/>
            <rFont val="宋体"/>
            <charset val="134"/>
          </rPr>
          <t>Administrator:</t>
        </r>
        <r>
          <rPr>
            <sz val="9"/>
            <rFont val="宋体"/>
            <charset val="134"/>
          </rPr>
          <t xml:space="preserve">
4001130 11/24 50880pcs华1B3</t>
        </r>
      </text>
    </comment>
    <comment ref="AL771" authorId="0">
      <text>
        <r>
          <rPr>
            <b/>
            <sz val="9"/>
            <rFont val="宋体"/>
            <charset val="134"/>
          </rPr>
          <t>Administrator:</t>
        </r>
        <r>
          <rPr>
            <sz val="9"/>
            <rFont val="宋体"/>
            <charset val="134"/>
          </rPr>
          <t xml:space="preserve">
11/5 上客供RFID贴纸50880pcs
</t>
        </r>
      </text>
    </comment>
    <comment ref="AI772" authorId="0">
      <text>
        <r>
          <rPr>
            <b/>
            <sz val="9"/>
            <rFont val="宋体"/>
            <charset val="134"/>
          </rPr>
          <t>Administrator:</t>
        </r>
        <r>
          <rPr>
            <sz val="9"/>
            <rFont val="宋体"/>
            <charset val="134"/>
          </rPr>
          <t xml:space="preserve">
1200426 11/17 2600PCS华3A27
</t>
        </r>
      </text>
    </comment>
    <comment ref="AL772" authorId="0">
      <text>
        <r>
          <rPr>
            <b/>
            <sz val="9"/>
            <rFont val="宋体"/>
            <charset val="134"/>
          </rPr>
          <t>Administrator:</t>
        </r>
        <r>
          <rPr>
            <sz val="9"/>
            <rFont val="宋体"/>
            <charset val="134"/>
          </rPr>
          <t xml:space="preserve">
10/27 上多语警语折叠贴纸2600pcs</t>
        </r>
      </text>
    </comment>
    <comment ref="AI773" authorId="0">
      <text>
        <r>
          <rPr>
            <b/>
            <sz val="9"/>
            <rFont val="宋体"/>
            <charset val="134"/>
          </rPr>
          <t>Administrator:</t>
        </r>
        <r>
          <rPr>
            <sz val="9"/>
            <rFont val="宋体"/>
            <charset val="134"/>
          </rPr>
          <t xml:space="preserve">
5000213 10/28 2688pcs
华3A20
5000211 10/28 19392pcs
华3A20</t>
        </r>
      </text>
    </comment>
    <comment ref="AL773" authorId="0">
      <text>
        <r>
          <rPr>
            <b/>
            <sz val="9"/>
            <rFont val="宋体"/>
            <charset val="134"/>
          </rPr>
          <t>Administrator:</t>
        </r>
        <r>
          <rPr>
            <sz val="9"/>
            <rFont val="宋体"/>
            <charset val="134"/>
          </rPr>
          <t xml:space="preserve">
10/17 上客供RFID贴纸22080pcs
</t>
        </r>
      </text>
    </comment>
    <comment ref="AI774" authorId="0">
      <text>
        <r>
          <rPr>
            <b/>
            <sz val="9"/>
            <rFont val="宋体"/>
            <charset val="134"/>
          </rPr>
          <t>Administrator:</t>
        </r>
        <r>
          <rPr>
            <sz val="9"/>
            <rFont val="宋体"/>
            <charset val="134"/>
          </rPr>
          <t xml:space="preserve">
1200426 11/17 1400PCS华3B14
1200430 11/18 50pcs华3B14</t>
        </r>
      </text>
    </comment>
    <comment ref="AL774" authorId="0">
      <text>
        <r>
          <rPr>
            <b/>
            <sz val="9"/>
            <rFont val="宋体"/>
            <charset val="134"/>
          </rPr>
          <t>Administrator:</t>
        </r>
        <r>
          <rPr>
            <sz val="9"/>
            <rFont val="宋体"/>
            <charset val="134"/>
          </rPr>
          <t xml:space="preserve">
10/21 上进口商贴纸1450pcs
UPC贴纸1450pcs
10/29 收縮膜条码贴纸 1450pcs
</t>
        </r>
      </text>
    </comment>
    <comment ref="AI775" authorId="0">
      <text>
        <r>
          <rPr>
            <b/>
            <sz val="9"/>
            <rFont val="宋体"/>
            <charset val="134"/>
          </rPr>
          <t>Administrator:</t>
        </r>
        <r>
          <rPr>
            <sz val="9"/>
            <rFont val="宋体"/>
            <charset val="134"/>
          </rPr>
          <t xml:space="preserve">
1200421 11/17 1050ｐｃｓ华3B13</t>
        </r>
      </text>
    </comment>
    <comment ref="AL775" authorId="0">
      <text>
        <r>
          <rPr>
            <b/>
            <sz val="9"/>
            <rFont val="宋体"/>
            <charset val="134"/>
          </rPr>
          <t>Administrator:</t>
        </r>
        <r>
          <rPr>
            <sz val="9"/>
            <rFont val="宋体"/>
            <charset val="134"/>
          </rPr>
          <t xml:space="preserve">
10/21 上进口商贴纸1050pcs
UPC贴纸1050pcs
10/29 收縮膜条码贴纸 1050pcs
</t>
        </r>
      </text>
    </comment>
    <comment ref="AI776" authorId="0">
      <text>
        <r>
          <rPr>
            <b/>
            <sz val="9"/>
            <rFont val="宋体"/>
            <charset val="134"/>
          </rPr>
          <t>Administrator:</t>
        </r>
        <r>
          <rPr>
            <sz val="9"/>
            <rFont val="宋体"/>
            <charset val="134"/>
          </rPr>
          <t xml:space="preserve">
5000245 10/30 7875pcs
5000216 10/30 8125pcs</t>
        </r>
      </text>
    </comment>
    <comment ref="AI777" authorId="0">
      <text>
        <r>
          <rPr>
            <b/>
            <sz val="9"/>
            <rFont val="宋体"/>
            <charset val="134"/>
          </rPr>
          <t>Administrator:</t>
        </r>
        <r>
          <rPr>
            <sz val="9"/>
            <rFont val="宋体"/>
            <charset val="134"/>
          </rPr>
          <t xml:space="preserve">
1200333 11/8 37536ｐｃｓ
直走
1200334 11/8 12468pcs直走</t>
        </r>
      </text>
    </comment>
    <comment ref="AL777" authorId="0">
      <text>
        <r>
          <rPr>
            <b/>
            <sz val="9"/>
            <rFont val="宋体"/>
            <charset val="134"/>
          </rPr>
          <t>Administrator:</t>
        </r>
        <r>
          <rPr>
            <sz val="9"/>
            <rFont val="宋体"/>
            <charset val="134"/>
          </rPr>
          <t xml:space="preserve">
11/1 UPC条码贴纸50004pcs
进口商贴纸50004pcs</t>
        </r>
      </text>
    </comment>
    <comment ref="AI778" authorId="0">
      <text>
        <r>
          <rPr>
            <b/>
            <sz val="9"/>
            <rFont val="宋体"/>
            <charset val="134"/>
          </rPr>
          <t>Administrator:</t>
        </r>
        <r>
          <rPr>
            <sz val="9"/>
            <rFont val="宋体"/>
            <charset val="134"/>
          </rPr>
          <t xml:space="preserve">
1200263 10/31 1200pcs华3B14</t>
        </r>
      </text>
    </comment>
    <comment ref="AL778" authorId="0">
      <text>
        <r>
          <rPr>
            <b/>
            <sz val="9"/>
            <rFont val="宋体"/>
            <charset val="134"/>
          </rPr>
          <t>Administrator:</t>
        </r>
        <r>
          <rPr>
            <sz val="9"/>
            <rFont val="宋体"/>
            <charset val="134"/>
          </rPr>
          <t xml:space="preserve">
10/13 上正面收藏指南贴纸2500pcs
背面收藏指南贴纸2500pcs
两个同PO共用
10/13 上进口商贴纸2500pcs
上UPC条码贴纸2500pcs
两个同PO共用</t>
        </r>
      </text>
    </comment>
    <comment ref="AI779" authorId="0">
      <text>
        <r>
          <rPr>
            <b/>
            <sz val="9"/>
            <rFont val="宋体"/>
            <charset val="134"/>
          </rPr>
          <t>Administrator:</t>
        </r>
        <r>
          <rPr>
            <sz val="9"/>
            <rFont val="宋体"/>
            <charset val="134"/>
          </rPr>
          <t xml:space="preserve">
1200263 10/31 1300pcs华3B14</t>
        </r>
      </text>
    </comment>
    <comment ref="AI780" authorId="0">
      <text>
        <r>
          <rPr>
            <b/>
            <sz val="9"/>
            <rFont val="宋体"/>
            <charset val="134"/>
          </rPr>
          <t>Administrator:</t>
        </r>
        <r>
          <rPr>
            <sz val="9"/>
            <rFont val="宋体"/>
            <charset val="134"/>
          </rPr>
          <t xml:space="preserve">
1200520 11/26 624pcs
华3B8</t>
        </r>
      </text>
    </comment>
    <comment ref="AL780" authorId="0">
      <text>
        <r>
          <rPr>
            <b/>
            <sz val="9"/>
            <rFont val="宋体"/>
            <charset val="134"/>
          </rPr>
          <t>Administrator:</t>
        </r>
        <r>
          <rPr>
            <sz val="9"/>
            <rFont val="宋体"/>
            <charset val="134"/>
          </rPr>
          <t xml:space="preserve">
11/3 上UPC条码贴纸624pcs
11/22 上客供警语贴纸贴说明书650pcs
客供警语贴纸贴收藏指南648pcs
客供警语贴纸贴球底部648pcs</t>
        </r>
      </text>
    </comment>
    <comment ref="AL781" authorId="0">
      <text>
        <r>
          <rPr>
            <b/>
            <sz val="9"/>
            <rFont val="宋体"/>
            <charset val="134"/>
          </rPr>
          <t>Administrator:</t>
        </r>
        <r>
          <rPr>
            <sz val="9"/>
            <rFont val="宋体"/>
            <charset val="134"/>
          </rPr>
          <t xml:space="preserve">
10/21 上进口商贴纸4800pcs
UPC贴纸4800pcs
10/29 收縮膜条码贴纸 4800pcs</t>
        </r>
      </text>
    </comment>
    <comment ref="AI782" authorId="0">
      <text>
        <r>
          <rPr>
            <b/>
            <sz val="9"/>
            <rFont val="宋体"/>
            <charset val="134"/>
          </rPr>
          <t>Administrator:</t>
        </r>
        <r>
          <rPr>
            <sz val="9"/>
            <rFont val="宋体"/>
            <charset val="134"/>
          </rPr>
          <t xml:space="preserve">
1200421 11/17 1770ｐｃｓ华3B13
1200426 11/17 30PCS华3B13</t>
        </r>
      </text>
    </comment>
    <comment ref="AL782" authorId="0">
      <text>
        <r>
          <rPr>
            <b/>
            <sz val="9"/>
            <rFont val="宋体"/>
            <charset val="134"/>
          </rPr>
          <t>Administrator:</t>
        </r>
        <r>
          <rPr>
            <sz val="9"/>
            <rFont val="宋体"/>
            <charset val="134"/>
          </rPr>
          <t xml:space="preserve">
10/21 上进口商贴纸1800pcs
UPC贴纸1800pcs
10/29 收縮膜条码贴纸 1800pcs
</t>
        </r>
      </text>
    </comment>
    <comment ref="AI783" authorId="0">
      <text>
        <r>
          <rPr>
            <b/>
            <sz val="9"/>
            <rFont val="宋体"/>
            <charset val="134"/>
          </rPr>
          <t>Administrator:</t>
        </r>
        <r>
          <rPr>
            <sz val="9"/>
            <rFont val="宋体"/>
            <charset val="134"/>
          </rPr>
          <t xml:space="preserve">
4001143 11/27 32640pcs华3A7.18
4001143 11/28 15360pcs华1f9</t>
        </r>
      </text>
    </comment>
    <comment ref="AL783" authorId="0">
      <text>
        <r>
          <rPr>
            <b/>
            <sz val="9"/>
            <rFont val="宋体"/>
            <charset val="134"/>
          </rPr>
          <t>Administrator:</t>
        </r>
        <r>
          <rPr>
            <sz val="9"/>
            <rFont val="宋体"/>
            <charset val="134"/>
          </rPr>
          <t xml:space="preserve">
11/5 上客供RFID贴纸48000pcs
</t>
        </r>
      </text>
    </comment>
    <comment ref="AI784" authorId="0">
      <text>
        <r>
          <rPr>
            <b/>
            <sz val="9"/>
            <rFont val="宋体"/>
            <charset val="134"/>
          </rPr>
          <t>Administrator:</t>
        </r>
        <r>
          <rPr>
            <sz val="9"/>
            <rFont val="宋体"/>
            <charset val="134"/>
          </rPr>
          <t xml:space="preserve">
1200534 11/27 221pcs华3B13</t>
        </r>
      </text>
    </comment>
    <comment ref="AI785" authorId="0">
      <text>
        <r>
          <rPr>
            <b/>
            <sz val="9"/>
            <rFont val="宋体"/>
            <charset val="134"/>
          </rPr>
          <t>Administrator:</t>
        </r>
        <r>
          <rPr>
            <sz val="9"/>
            <rFont val="宋体"/>
            <charset val="134"/>
          </rPr>
          <t xml:space="preserve">
1200179 11/29 1508pcs 华3b17</t>
        </r>
      </text>
    </comment>
    <comment ref="AL785" authorId="0">
      <text>
        <r>
          <rPr>
            <b/>
            <sz val="9"/>
            <rFont val="宋体"/>
            <charset val="134"/>
          </rPr>
          <t>Administrator:</t>
        </r>
        <r>
          <rPr>
            <sz val="9"/>
            <rFont val="宋体"/>
            <charset val="134"/>
          </rPr>
          <t xml:space="preserve">
11/14 上KM单外箱贴纸116pcs
11/22 上白色防盗贴纸1508pcs
</t>
        </r>
      </text>
    </comment>
    <comment ref="AI786" authorId="0">
      <text>
        <r>
          <rPr>
            <b/>
            <sz val="9"/>
            <rFont val="宋体"/>
            <charset val="134"/>
          </rPr>
          <t>Administrator:</t>
        </r>
        <r>
          <rPr>
            <sz val="9"/>
            <rFont val="宋体"/>
            <charset val="134"/>
          </rPr>
          <t xml:space="preserve">
1200530 11/26 7501pcs
华3A16</t>
        </r>
      </text>
    </comment>
    <comment ref="AL786" authorId="0">
      <text>
        <r>
          <rPr>
            <b/>
            <sz val="9"/>
            <rFont val="宋体"/>
            <charset val="134"/>
          </rPr>
          <t>Administrator:</t>
        </r>
        <r>
          <rPr>
            <sz val="9"/>
            <rFont val="宋体"/>
            <charset val="134"/>
          </rPr>
          <t xml:space="preserve">
11/7 上多语可折叠贴纸7501pcs</t>
        </r>
      </text>
    </comment>
    <comment ref="AI787" authorId="0">
      <text>
        <r>
          <rPr>
            <b/>
            <sz val="9"/>
            <rFont val="宋体"/>
            <charset val="134"/>
          </rPr>
          <t>Administrator:</t>
        </r>
        <r>
          <rPr>
            <sz val="9"/>
            <rFont val="宋体"/>
            <charset val="134"/>
          </rPr>
          <t xml:space="preserve">
1200530 11/26 23350pcs
华3A23
1200524 11/26 3150pcs华3A23</t>
        </r>
      </text>
    </comment>
    <comment ref="AL787" authorId="0">
      <text>
        <r>
          <rPr>
            <b/>
            <sz val="9"/>
            <rFont val="宋体"/>
            <charset val="134"/>
          </rPr>
          <t>Administrator:</t>
        </r>
        <r>
          <rPr>
            <sz val="9"/>
            <rFont val="宋体"/>
            <charset val="134"/>
          </rPr>
          <t xml:space="preserve">
11/6 上客供外箱条码贴纸1071pcs
</t>
        </r>
      </text>
    </comment>
    <comment ref="AI788" authorId="0">
      <text>
        <r>
          <rPr>
            <b/>
            <sz val="9"/>
            <rFont val="宋体"/>
            <charset val="134"/>
          </rPr>
          <t>Administrator:</t>
        </r>
        <r>
          <rPr>
            <sz val="9"/>
            <rFont val="宋体"/>
            <charset val="134"/>
          </rPr>
          <t xml:space="preserve">
1200549 11/27 14400pcs
华3A11
1200551 11/27 11592pcs
华3A11</t>
        </r>
      </text>
    </comment>
    <comment ref="AI789" authorId="0">
      <text>
        <r>
          <rPr>
            <b/>
            <sz val="9"/>
            <rFont val="宋体"/>
            <charset val="134"/>
          </rPr>
          <t>Administrator:</t>
        </r>
        <r>
          <rPr>
            <sz val="9"/>
            <rFont val="宋体"/>
            <charset val="134"/>
          </rPr>
          <t xml:space="preserve">
1200179 11/29 611pcs华3a17</t>
        </r>
      </text>
    </comment>
    <comment ref="AL789" authorId="0">
      <text>
        <r>
          <rPr>
            <b/>
            <sz val="9"/>
            <rFont val="宋体"/>
            <charset val="134"/>
          </rPr>
          <t>Administrator:</t>
        </r>
        <r>
          <rPr>
            <sz val="9"/>
            <rFont val="宋体"/>
            <charset val="134"/>
          </rPr>
          <t xml:space="preserve">
10/25 上瑞典警告语贴纸611pcs
内袋贴纸1 1833pcs
内袋贴纸2 3666pcs</t>
        </r>
      </text>
    </comment>
    <comment ref="AI790" authorId="0">
      <text>
        <r>
          <rPr>
            <b/>
            <sz val="9"/>
            <rFont val="宋体"/>
            <charset val="134"/>
          </rPr>
          <t>Administrator:</t>
        </r>
        <r>
          <rPr>
            <sz val="9"/>
            <rFont val="宋体"/>
            <charset val="134"/>
          </rPr>
          <t xml:space="preserve">
1200549 11/27 3900pcs华3B8</t>
        </r>
      </text>
    </comment>
    <comment ref="AL790" authorId="0">
      <text>
        <r>
          <rPr>
            <b/>
            <sz val="9"/>
            <rFont val="宋体"/>
            <charset val="134"/>
          </rPr>
          <t>Administrator:</t>
        </r>
        <r>
          <rPr>
            <sz val="9"/>
            <rFont val="宋体"/>
            <charset val="134"/>
          </rPr>
          <t xml:space="preserve">
11/18 上客供防窜码贴纸3900pcs1拖1</t>
        </r>
      </text>
    </comment>
    <comment ref="AI791" authorId="0">
      <text>
        <r>
          <rPr>
            <b/>
            <sz val="9"/>
            <rFont val="宋体"/>
            <charset val="134"/>
          </rPr>
          <t>Administrator:</t>
        </r>
        <r>
          <rPr>
            <sz val="9"/>
            <rFont val="宋体"/>
            <charset val="134"/>
          </rPr>
          <t xml:space="preserve">
1200520 11/26 13650pcs华3A22
1200551 11/27 3211pcs
华3A22
1200534 11/27 39pcs
华3A22</t>
        </r>
      </text>
    </comment>
    <comment ref="AL791" authorId="0">
      <text>
        <r>
          <rPr>
            <b/>
            <sz val="9"/>
            <rFont val="宋体"/>
            <charset val="134"/>
          </rPr>
          <t>Administrator:</t>
        </r>
        <r>
          <rPr>
            <sz val="9"/>
            <rFont val="宋体"/>
            <charset val="134"/>
          </rPr>
          <t xml:space="preserve">
11/18 上客供防窜码贴纸16900pcs1拖13
</t>
        </r>
      </text>
    </comment>
    <comment ref="AI792" authorId="0">
      <text>
        <r>
          <rPr>
            <b/>
            <sz val="9"/>
            <rFont val="宋体"/>
            <charset val="134"/>
          </rPr>
          <t>Administrator:</t>
        </r>
        <r>
          <rPr>
            <sz val="9"/>
            <rFont val="宋体"/>
            <charset val="134"/>
          </rPr>
          <t xml:space="preserve">
4001137 11/25 40320pcs华3A12
4001139 11/26 20160pcs华3A12</t>
        </r>
      </text>
    </comment>
    <comment ref="AL792" authorId="0">
      <text>
        <r>
          <rPr>
            <b/>
            <sz val="9"/>
            <rFont val="宋体"/>
            <charset val="134"/>
          </rPr>
          <t>Administrator:</t>
        </r>
        <r>
          <rPr>
            <sz val="9"/>
            <rFont val="宋体"/>
            <charset val="134"/>
          </rPr>
          <t xml:space="preserve">
12/24 上客供RFID贴纸60480pcs</t>
        </r>
      </text>
    </comment>
    <comment ref="AI793" authorId="0">
      <text>
        <r>
          <rPr>
            <b/>
            <sz val="9"/>
            <rFont val="宋体"/>
            <charset val="134"/>
          </rPr>
          <t>Administrator:</t>
        </r>
        <r>
          <rPr>
            <sz val="9"/>
            <rFont val="宋体"/>
            <charset val="134"/>
          </rPr>
          <t xml:space="preserve">
4001158 11/28 32640pcs 华3a12</t>
        </r>
      </text>
    </comment>
    <comment ref="AL793" authorId="0">
      <text>
        <r>
          <rPr>
            <b/>
            <sz val="9"/>
            <rFont val="宋体"/>
            <charset val="134"/>
          </rPr>
          <t>Administrator:</t>
        </r>
        <r>
          <rPr>
            <sz val="9"/>
            <rFont val="宋体"/>
            <charset val="134"/>
          </rPr>
          <t xml:space="preserve">
12/24 上客供RFID贴纸32640pcs
</t>
        </r>
      </text>
    </comment>
    <comment ref="AI794" authorId="0">
      <text>
        <r>
          <rPr>
            <b/>
            <sz val="9"/>
            <rFont val="宋体"/>
            <charset val="134"/>
          </rPr>
          <t>Administrator:</t>
        </r>
        <r>
          <rPr>
            <sz val="9"/>
            <rFont val="宋体"/>
            <charset val="134"/>
          </rPr>
          <t xml:space="preserve">
4001166 12/2 6448pcs华直走
4001165 12/2 28112pcs华1f9直走</t>
        </r>
      </text>
    </comment>
    <comment ref="AL794" authorId="0">
      <text>
        <r>
          <rPr>
            <b/>
            <sz val="9"/>
            <rFont val="宋体"/>
            <charset val="134"/>
          </rPr>
          <t>Administrator:</t>
        </r>
        <r>
          <rPr>
            <sz val="9"/>
            <rFont val="宋体"/>
            <charset val="134"/>
          </rPr>
          <t xml:space="preserve">
12/24 上客供RFID贴纸34560pcs
</t>
        </r>
      </text>
    </comment>
    <comment ref="AI795" authorId="0">
      <text>
        <r>
          <rPr>
            <b/>
            <sz val="9"/>
            <rFont val="宋体"/>
            <charset val="134"/>
          </rPr>
          <t>Administrator:</t>
        </r>
        <r>
          <rPr>
            <sz val="9"/>
            <rFont val="宋体"/>
            <charset val="134"/>
          </rPr>
          <t xml:space="preserve">
1200202 12/6 1056pcs王4b1</t>
        </r>
      </text>
    </comment>
    <comment ref="AL795" authorId="0">
      <text>
        <r>
          <rPr>
            <b/>
            <sz val="9"/>
            <rFont val="宋体"/>
            <charset val="134"/>
          </rPr>
          <t>Administrator:</t>
        </r>
        <r>
          <rPr>
            <sz val="9"/>
            <rFont val="宋体"/>
            <charset val="134"/>
          </rPr>
          <t xml:space="preserve">
11/10 上空白贴纸3024PCS
价格贴纸1512PCS
两个同PO共用
11/22 客供NJ外箱贴纸88pcs
通用客供外箱贴纸88pcs
</t>
        </r>
      </text>
    </comment>
    <comment ref="AI796" authorId="0">
      <text>
        <r>
          <rPr>
            <b/>
            <sz val="9"/>
            <rFont val="宋体"/>
            <charset val="134"/>
          </rPr>
          <t>Administrator:</t>
        </r>
        <r>
          <rPr>
            <sz val="9"/>
            <rFont val="宋体"/>
            <charset val="134"/>
          </rPr>
          <t xml:space="preserve">
1200202 12/6 456pcs王4b1
</t>
        </r>
      </text>
    </comment>
    <comment ref="AL796" authorId="0">
      <text>
        <r>
          <rPr>
            <b/>
            <sz val="9"/>
            <rFont val="宋体"/>
            <charset val="134"/>
          </rPr>
          <t>Administrator:</t>
        </r>
        <r>
          <rPr>
            <sz val="9"/>
            <rFont val="宋体"/>
            <charset val="134"/>
          </rPr>
          <t xml:space="preserve">
11/22 客供NV外箱贴纸38pcs
通用客供外箱贴纸38pcs
</t>
        </r>
      </text>
    </comment>
    <comment ref="AI797" authorId="0">
      <text>
        <r>
          <rPr>
            <b/>
            <sz val="9"/>
            <rFont val="宋体"/>
            <charset val="134"/>
          </rPr>
          <t>Administrator:</t>
        </r>
        <r>
          <rPr>
            <sz val="9"/>
            <rFont val="宋体"/>
            <charset val="134"/>
          </rPr>
          <t xml:space="preserve">
1200179 11/29 5200pcs华1f4</t>
        </r>
      </text>
    </comment>
    <comment ref="AL797" authorId="0">
      <text>
        <r>
          <rPr>
            <b/>
            <sz val="9"/>
            <rFont val="宋体"/>
            <charset val="134"/>
          </rPr>
          <t>Administrator:</t>
        </r>
        <r>
          <rPr>
            <sz val="9"/>
            <rFont val="宋体"/>
            <charset val="134"/>
          </rPr>
          <t xml:space="preserve">
11/13 上进口商贴纸5200pcs
UPC条码贴纸5200pcs</t>
        </r>
      </text>
    </comment>
    <comment ref="AI798" authorId="0">
      <text>
        <r>
          <rPr>
            <b/>
            <sz val="9"/>
            <rFont val="宋体"/>
            <charset val="134"/>
          </rPr>
          <t>Administrator:</t>
        </r>
        <r>
          <rPr>
            <sz val="9"/>
            <rFont val="宋体"/>
            <charset val="134"/>
          </rPr>
          <t xml:space="preserve">
1200591 12/2 17992pcs 华1f5
1200593 12/2 25pcs 华1f5</t>
        </r>
      </text>
    </comment>
    <comment ref="AL798" authorId="0">
      <text>
        <r>
          <rPr>
            <b/>
            <sz val="9"/>
            <rFont val="宋体"/>
            <charset val="134"/>
          </rPr>
          <t>Administrator:</t>
        </r>
        <r>
          <rPr>
            <sz val="9"/>
            <rFont val="宋体"/>
            <charset val="134"/>
          </rPr>
          <t xml:space="preserve">
11/10 上客户EAN条码贴纸18044PCS
PDQ数量贴纸4511PCS</t>
        </r>
      </text>
    </comment>
    <comment ref="AI799" authorId="0">
      <text>
        <r>
          <rPr>
            <b/>
            <sz val="9"/>
            <rFont val="宋体"/>
            <charset val="134"/>
          </rPr>
          <t>Administrator:</t>
        </r>
        <r>
          <rPr>
            <sz val="9"/>
            <rFont val="宋体"/>
            <charset val="134"/>
          </rPr>
          <t xml:space="preserve">
4001146 11/28 534pcs
4001144 11/28 9450pcs
4001158 11/28 18pcs </t>
        </r>
      </text>
    </comment>
    <comment ref="AL799" authorId="0">
      <text>
        <r>
          <rPr>
            <b/>
            <sz val="9"/>
            <rFont val="宋体"/>
            <charset val="134"/>
          </rPr>
          <t>Administrator:</t>
        </r>
        <r>
          <rPr>
            <sz val="9"/>
            <rFont val="宋体"/>
            <charset val="134"/>
          </rPr>
          <t xml:space="preserve">
9/23 上客供芯片贴纸10002pcs
11/4 上空白贴纸106656ｐｃｓ
条码贴纸20800ｐｃｓ</t>
        </r>
      </text>
    </comment>
    <comment ref="AI800" authorId="0">
      <text>
        <r>
          <rPr>
            <b/>
            <sz val="9"/>
            <rFont val="宋体"/>
            <charset val="134"/>
          </rPr>
          <t>Administrator:</t>
        </r>
        <r>
          <rPr>
            <sz val="9"/>
            <rFont val="宋体"/>
            <charset val="134"/>
          </rPr>
          <t xml:space="preserve">
1200192 12/5 250pcs华3b14
</t>
        </r>
      </text>
    </comment>
    <comment ref="AL800" authorId="0">
      <text>
        <r>
          <rPr>
            <b/>
            <sz val="9"/>
            <rFont val="宋体"/>
            <charset val="134"/>
          </rPr>
          <t>Administrator:</t>
        </r>
        <r>
          <rPr>
            <sz val="9"/>
            <rFont val="宋体"/>
            <charset val="134"/>
          </rPr>
          <t xml:space="preserve">
10/29 进口商贴纸50*42mm 250pcs
11/1 上UPC贴纸500pcs</t>
        </r>
      </text>
    </comment>
    <comment ref="AI801" authorId="0">
      <text>
        <r>
          <rPr>
            <b/>
            <sz val="9"/>
            <rFont val="宋体"/>
            <charset val="134"/>
          </rPr>
          <t>Administrator:</t>
        </r>
        <r>
          <rPr>
            <sz val="9"/>
            <rFont val="宋体"/>
            <charset val="134"/>
          </rPr>
          <t xml:space="preserve">
1200192 12/5 500pcs
华3b14</t>
        </r>
      </text>
    </comment>
    <comment ref="AL801" authorId="0">
      <text>
        <r>
          <rPr>
            <b/>
            <sz val="9"/>
            <rFont val="宋体"/>
            <charset val="134"/>
          </rPr>
          <t>Administrator:</t>
        </r>
        <r>
          <rPr>
            <sz val="9"/>
            <rFont val="宋体"/>
            <charset val="134"/>
          </rPr>
          <t xml:space="preserve">
11/18 上进口商贴纸500pcs
UPC 贴纸500pcs</t>
        </r>
      </text>
    </comment>
    <comment ref="AL802" authorId="0">
      <text>
        <r>
          <rPr>
            <b/>
            <sz val="9"/>
            <rFont val="宋体"/>
            <charset val="134"/>
          </rPr>
          <t>Administrator:</t>
        </r>
        <r>
          <rPr>
            <sz val="9"/>
            <rFont val="宋体"/>
            <charset val="134"/>
          </rPr>
          <t xml:space="preserve">
11/3 上空白贴纸600pcs
11/22 上客供警语贴纸624pcs 77785
客供警语贴纸贴说明书上624pcs 77711
客供警语贴纸收藏指南624pcs 77711
客供警语贴纸贴球底部624pcs 77711</t>
        </r>
      </text>
    </comment>
    <comment ref="AI803" authorId="0">
      <text>
        <r>
          <rPr>
            <b/>
            <sz val="9"/>
            <rFont val="宋体"/>
            <charset val="134"/>
          </rPr>
          <t>Administrator:</t>
        </r>
        <r>
          <rPr>
            <sz val="9"/>
            <rFont val="宋体"/>
            <charset val="134"/>
          </rPr>
          <t xml:space="preserve">
</t>
        </r>
        <r>
          <rPr>
            <sz val="12"/>
            <rFont val="宋体"/>
            <charset val="134"/>
          </rPr>
          <t xml:space="preserve">1200592 12/2 32664pcs
华3a25
</t>
        </r>
        <r>
          <rPr>
            <sz val="14"/>
            <rFont val="宋体"/>
            <charset val="134"/>
          </rPr>
          <t>1200591 12/2 41496pcs 华3a26
1200600 12/3 1368pcs华3a27</t>
        </r>
      </text>
    </comment>
    <comment ref="AL803" authorId="0">
      <text>
        <r>
          <rPr>
            <b/>
            <sz val="9"/>
            <rFont val="宋体"/>
            <charset val="134"/>
          </rPr>
          <t>Administrator:</t>
        </r>
        <r>
          <rPr>
            <sz val="9"/>
            <rFont val="宋体"/>
            <charset val="134"/>
          </rPr>
          <t xml:space="preserve">
11/6 上客供白色防盗贴纸75528pcs
11/10 产品彩色贴纸25176PCS</t>
        </r>
      </text>
    </comment>
    <comment ref="AI804" authorId="0">
      <text>
        <r>
          <rPr>
            <b/>
            <sz val="9"/>
            <rFont val="宋体"/>
            <charset val="134"/>
          </rPr>
          <t>Administrator:</t>
        </r>
        <r>
          <rPr>
            <sz val="9"/>
            <rFont val="宋体"/>
            <charset val="134"/>
          </rPr>
          <t xml:space="preserve">
1200585 12/2 1125pcs 华3b8</t>
        </r>
      </text>
    </comment>
    <comment ref="AL804" authorId="0">
      <text>
        <r>
          <rPr>
            <b/>
            <sz val="9"/>
            <rFont val="宋体"/>
            <charset val="134"/>
          </rPr>
          <t>Administrator:</t>
        </r>
        <r>
          <rPr>
            <sz val="9"/>
            <rFont val="宋体"/>
            <charset val="134"/>
          </rPr>
          <t xml:space="preserve">
11/18 上警告语贴纸1125pcs</t>
        </r>
      </text>
    </comment>
    <comment ref="AI805" authorId="0">
      <text>
        <r>
          <rPr>
            <b/>
            <sz val="9"/>
            <rFont val="宋体"/>
            <charset val="134"/>
          </rPr>
          <t>Administrator:</t>
        </r>
        <r>
          <rPr>
            <sz val="9"/>
            <rFont val="宋体"/>
            <charset val="134"/>
          </rPr>
          <t xml:space="preserve">
1200202 12/6 996pcs王4b12</t>
        </r>
      </text>
    </comment>
    <comment ref="AL805" authorId="0">
      <text>
        <r>
          <rPr>
            <b/>
            <sz val="9"/>
            <rFont val="宋体"/>
            <charset val="134"/>
          </rPr>
          <t>Administrator:</t>
        </r>
        <r>
          <rPr>
            <sz val="9"/>
            <rFont val="宋体"/>
            <charset val="134"/>
          </rPr>
          <t xml:space="preserve">
11/18 上空白贴纸1992pcs
12/24 上客供价格贴纸1096pcs
</t>
        </r>
      </text>
    </comment>
    <comment ref="AI806" authorId="0">
      <text>
        <r>
          <rPr>
            <b/>
            <sz val="9"/>
            <rFont val="宋体"/>
            <charset val="134"/>
          </rPr>
          <t>Administrator:</t>
        </r>
        <r>
          <rPr>
            <sz val="9"/>
            <rFont val="宋体"/>
            <charset val="134"/>
          </rPr>
          <t xml:space="preserve">
1200202 12/6 1200pcs王4b2
</t>
        </r>
      </text>
    </comment>
    <comment ref="AL806" authorId="0">
      <text>
        <r>
          <rPr>
            <b/>
            <sz val="9"/>
            <rFont val="宋体"/>
            <charset val="134"/>
          </rPr>
          <t>Administrator:</t>
        </r>
        <r>
          <rPr>
            <sz val="9"/>
            <rFont val="宋体"/>
            <charset val="134"/>
          </rPr>
          <t xml:space="preserve">
11/18 上空白贴纸2400pcs
12/24 上客供价格贴纸1320pcs
</t>
        </r>
      </text>
    </comment>
    <comment ref="AI807" authorId="0">
      <text>
        <r>
          <rPr>
            <b/>
            <sz val="9"/>
            <rFont val="宋体"/>
            <charset val="134"/>
          </rPr>
          <t>Administrator:</t>
        </r>
        <r>
          <rPr>
            <sz val="9"/>
            <rFont val="宋体"/>
            <charset val="134"/>
          </rPr>
          <t xml:space="preserve">
1200229 12/9 2004pcs华3a16</t>
        </r>
      </text>
    </comment>
    <comment ref="AL807" authorId="0">
      <text>
        <r>
          <rPr>
            <b/>
            <sz val="9"/>
            <rFont val="宋体"/>
            <charset val="134"/>
          </rPr>
          <t>Administrator:</t>
        </r>
        <r>
          <rPr>
            <sz val="9"/>
            <rFont val="宋体"/>
            <charset val="134"/>
          </rPr>
          <t xml:space="preserve">
11/22 上客供价格贴纸2100pcs
</t>
        </r>
      </text>
    </comment>
    <comment ref="AI808" authorId="0">
      <text>
        <r>
          <rPr>
            <b/>
            <sz val="9"/>
            <rFont val="宋体"/>
            <charset val="134"/>
          </rPr>
          <t>Administrator:</t>
        </r>
        <r>
          <rPr>
            <sz val="9"/>
            <rFont val="宋体"/>
            <charset val="134"/>
          </rPr>
          <t xml:space="preserve">
11/29 1200565 5850pcs 华3b12</t>
        </r>
      </text>
    </comment>
    <comment ref="AI809" authorId="0">
      <text>
        <r>
          <rPr>
            <b/>
            <sz val="9"/>
            <rFont val="宋体"/>
            <charset val="134"/>
          </rPr>
          <t>Administrator:</t>
        </r>
        <r>
          <rPr>
            <sz val="9"/>
            <rFont val="宋体"/>
            <charset val="134"/>
          </rPr>
          <t xml:space="preserve">
11/29 1200565 132pcs 华3b7</t>
        </r>
      </text>
    </comment>
    <comment ref="AL809" authorId="0">
      <text>
        <r>
          <rPr>
            <b/>
            <sz val="9"/>
            <rFont val="宋体"/>
            <charset val="134"/>
          </rPr>
          <t>Administrator:</t>
        </r>
        <r>
          <rPr>
            <sz val="9"/>
            <rFont val="宋体"/>
            <charset val="134"/>
          </rPr>
          <t xml:space="preserve">
11/22 上客供价格贴纸146pcs</t>
        </r>
      </text>
    </comment>
    <comment ref="AI810" authorId="0">
      <text>
        <r>
          <rPr>
            <b/>
            <sz val="9"/>
            <rFont val="宋体"/>
            <charset val="134"/>
          </rPr>
          <t>Administrator:</t>
        </r>
        <r>
          <rPr>
            <sz val="9"/>
            <rFont val="宋体"/>
            <charset val="134"/>
          </rPr>
          <t xml:space="preserve">
11/29 1200565 708pcs华3a27
1200582 12/1 12pcs华3a27</t>
        </r>
      </text>
    </comment>
    <comment ref="AL810" authorId="0">
      <text>
        <r>
          <rPr>
            <b/>
            <sz val="9"/>
            <rFont val="宋体"/>
            <charset val="134"/>
          </rPr>
          <t>Administrator:</t>
        </r>
        <r>
          <rPr>
            <sz val="9"/>
            <rFont val="宋体"/>
            <charset val="134"/>
          </rPr>
          <t xml:space="preserve">
11/22 上客供价格贴纸792pcs</t>
        </r>
      </text>
    </comment>
    <comment ref="AI811" authorId="0">
      <text>
        <r>
          <rPr>
            <b/>
            <sz val="9"/>
            <rFont val="宋体"/>
            <charset val="134"/>
          </rPr>
          <t>Administrator:</t>
        </r>
        <r>
          <rPr>
            <sz val="9"/>
            <rFont val="宋体"/>
            <charset val="134"/>
          </rPr>
          <t xml:space="preserve">
11/29 1200565 180pcs 华3b7</t>
        </r>
      </text>
    </comment>
    <comment ref="AL811" authorId="0">
      <text>
        <r>
          <rPr>
            <b/>
            <sz val="9"/>
            <rFont val="宋体"/>
            <charset val="134"/>
          </rPr>
          <t>Administrator:</t>
        </r>
        <r>
          <rPr>
            <sz val="9"/>
            <rFont val="宋体"/>
            <charset val="134"/>
          </rPr>
          <t xml:space="preserve">
11/22 上客供价格贴纸198pcs
</t>
        </r>
      </text>
    </comment>
    <comment ref="AI812" authorId="0">
      <text>
        <r>
          <rPr>
            <b/>
            <sz val="9"/>
            <rFont val="宋体"/>
            <charset val="134"/>
          </rPr>
          <t>Administrator:</t>
        </r>
        <r>
          <rPr>
            <sz val="9"/>
            <rFont val="宋体"/>
            <charset val="134"/>
          </rPr>
          <t xml:space="preserve">
12002352 12/10 403pcs王4b9
</t>
        </r>
      </text>
    </comment>
    <comment ref="AI813" authorId="0">
      <text>
        <r>
          <rPr>
            <b/>
            <sz val="9"/>
            <rFont val="宋体"/>
            <charset val="134"/>
          </rPr>
          <t>Administrator:</t>
        </r>
        <r>
          <rPr>
            <sz val="9"/>
            <rFont val="宋体"/>
            <charset val="134"/>
          </rPr>
          <t xml:space="preserve">
12002352 12/10 598pcs
王4a8</t>
        </r>
      </text>
    </comment>
    <comment ref="AL813" authorId="0">
      <text>
        <r>
          <rPr>
            <b/>
            <sz val="9"/>
            <rFont val="宋体"/>
            <charset val="134"/>
          </rPr>
          <t>Administrator:</t>
        </r>
        <r>
          <rPr>
            <sz val="9"/>
            <rFont val="宋体"/>
            <charset val="134"/>
          </rPr>
          <t xml:space="preserve">
11/22 上客供UCC贴纸46pcs
</t>
        </r>
      </text>
    </comment>
    <comment ref="AI814" authorId="0">
      <text>
        <r>
          <rPr>
            <b/>
            <sz val="9"/>
            <rFont val="宋体"/>
            <charset val="134"/>
          </rPr>
          <t>Administrator:</t>
        </r>
        <r>
          <rPr>
            <sz val="9"/>
            <rFont val="宋体"/>
            <charset val="134"/>
          </rPr>
          <t xml:space="preserve">
12002352 12/10 468pcs
王4b9
</t>
        </r>
      </text>
    </comment>
    <comment ref="AL814" authorId="0">
      <text>
        <r>
          <rPr>
            <b/>
            <sz val="9"/>
            <rFont val="宋体"/>
            <charset val="134"/>
          </rPr>
          <t>Administrator:</t>
        </r>
        <r>
          <rPr>
            <sz val="9"/>
            <rFont val="宋体"/>
            <charset val="134"/>
          </rPr>
          <t xml:space="preserve">
11/22 上客供UCC贴纸36pcs
</t>
        </r>
      </text>
    </comment>
    <comment ref="AI815" authorId="0">
      <text>
        <r>
          <rPr>
            <b/>
            <sz val="9"/>
            <rFont val="宋体"/>
            <charset val="134"/>
          </rPr>
          <t>Administrator:</t>
        </r>
        <r>
          <rPr>
            <sz val="9"/>
            <rFont val="宋体"/>
            <charset val="134"/>
          </rPr>
          <t xml:space="preserve">
12002352 12/10 338pcs
王4a9</t>
        </r>
      </text>
    </comment>
    <comment ref="AL815" authorId="0">
      <text>
        <r>
          <rPr>
            <b/>
            <sz val="9"/>
            <rFont val="宋体"/>
            <charset val="134"/>
          </rPr>
          <t>Administrator:</t>
        </r>
        <r>
          <rPr>
            <sz val="9"/>
            <rFont val="宋体"/>
            <charset val="134"/>
          </rPr>
          <t xml:space="preserve">
11/22 上客供UCC贴纸26pcs
</t>
        </r>
      </text>
    </comment>
    <comment ref="AI816" authorId="0">
      <text>
        <r>
          <rPr>
            <b/>
            <sz val="9"/>
            <rFont val="宋体"/>
            <charset val="134"/>
          </rPr>
          <t>Administrator:</t>
        </r>
        <r>
          <rPr>
            <sz val="9"/>
            <rFont val="宋体"/>
            <charset val="134"/>
          </rPr>
          <t xml:space="preserve">
12002352 12/10 403
pcs
王4b9</t>
        </r>
      </text>
    </comment>
    <comment ref="AI817" authorId="0">
      <text>
        <r>
          <rPr>
            <b/>
            <sz val="9"/>
            <rFont val="宋体"/>
            <charset val="134"/>
          </rPr>
          <t>Administrator:</t>
        </r>
        <r>
          <rPr>
            <sz val="9"/>
            <rFont val="宋体"/>
            <charset val="134"/>
          </rPr>
          <t xml:space="preserve">
1200209 12/8 1248PCS 华3b13</t>
        </r>
      </text>
    </comment>
    <comment ref="AL817" authorId="0">
      <text>
        <r>
          <rPr>
            <b/>
            <sz val="9"/>
            <rFont val="宋体"/>
            <charset val="134"/>
          </rPr>
          <t>Administrator:</t>
        </r>
        <r>
          <rPr>
            <sz val="9"/>
            <rFont val="宋体"/>
            <charset val="134"/>
          </rPr>
          <t xml:space="preserve">
11/22 上客供警告语贴纸贴收藏指南1288pcs
客供警语贴纸贴说明书1290pcs
客供警告语贴纸贴球底部1288pcs
12/1 UPC 条码贴纸 1248pcs</t>
        </r>
      </text>
    </comment>
    <comment ref="AI818" authorId="0">
      <text>
        <r>
          <rPr>
            <b/>
            <sz val="9"/>
            <rFont val="宋体"/>
            <charset val="134"/>
          </rPr>
          <t>Administrator:</t>
        </r>
        <r>
          <rPr>
            <sz val="9"/>
            <rFont val="宋体"/>
            <charset val="134"/>
          </rPr>
          <t xml:space="preserve">
3000522 12/4 5040pcs华3a8</t>
        </r>
      </text>
    </comment>
    <comment ref="AI819" authorId="0">
      <text>
        <r>
          <rPr>
            <b/>
            <sz val="9"/>
            <rFont val="宋体"/>
            <charset val="134"/>
          </rPr>
          <t>Administrator:</t>
        </r>
        <r>
          <rPr>
            <sz val="9"/>
            <rFont val="宋体"/>
            <charset val="134"/>
          </rPr>
          <t xml:space="preserve">
3000522 12/4 1440pcs
华3a8
</t>
        </r>
      </text>
    </comment>
    <comment ref="AI820" authorId="0">
      <text>
        <r>
          <rPr>
            <b/>
            <sz val="9"/>
            <rFont val="宋体"/>
            <charset val="134"/>
          </rPr>
          <t>Administrator:</t>
        </r>
        <r>
          <rPr>
            <sz val="9"/>
            <rFont val="宋体"/>
            <charset val="134"/>
          </rPr>
          <t xml:space="preserve">
3000522 12/4 9360pcs
华3a8
</t>
        </r>
      </text>
    </comment>
    <comment ref="AI821" authorId="0">
      <text>
        <r>
          <rPr>
            <b/>
            <sz val="9"/>
            <rFont val="宋体"/>
            <charset val="134"/>
          </rPr>
          <t>Administrator:</t>
        </r>
        <r>
          <rPr>
            <sz val="9"/>
            <rFont val="宋体"/>
            <charset val="134"/>
          </rPr>
          <t xml:space="preserve">
3000522 12/4 7200pcs
华3a8
</t>
        </r>
      </text>
    </comment>
    <comment ref="AI822" authorId="0">
      <text>
        <r>
          <rPr>
            <b/>
            <sz val="9"/>
            <rFont val="宋体"/>
            <charset val="134"/>
          </rPr>
          <t>Administrator:</t>
        </r>
        <r>
          <rPr>
            <sz val="9"/>
            <rFont val="宋体"/>
            <charset val="134"/>
          </rPr>
          <t xml:space="preserve">
3000522 12/4 4320pcs
华3a8
</t>
        </r>
      </text>
    </comment>
    <comment ref="AI823" authorId="0">
      <text>
        <r>
          <rPr>
            <b/>
            <sz val="9"/>
            <rFont val="宋体"/>
            <charset val="134"/>
          </rPr>
          <t>Administrator:</t>
        </r>
        <r>
          <rPr>
            <sz val="9"/>
            <rFont val="宋体"/>
            <charset val="134"/>
          </rPr>
          <t xml:space="preserve">
3000522 12/4 2376pcs华3a8
1200629 12/5 3024pcs】</t>
        </r>
      </text>
    </comment>
    <comment ref="AI824" authorId="0">
      <text>
        <r>
          <rPr>
            <b/>
            <sz val="9"/>
            <rFont val="宋体"/>
            <charset val="134"/>
          </rPr>
          <t>Administrator:</t>
        </r>
        <r>
          <rPr>
            <sz val="9"/>
            <rFont val="宋体"/>
            <charset val="134"/>
          </rPr>
          <t xml:space="preserve">
1200649 12/4 4320pcs华3a8</t>
        </r>
      </text>
    </comment>
    <comment ref="AI825" authorId="0">
      <text>
        <r>
          <rPr>
            <b/>
            <sz val="9"/>
            <rFont val="宋体"/>
            <charset val="134"/>
          </rPr>
          <t>Administrator:</t>
        </r>
        <r>
          <rPr>
            <sz val="9"/>
            <rFont val="宋体"/>
            <charset val="134"/>
          </rPr>
          <t xml:space="preserve">
1200629 12/5 2160pcs华3b1.2.3.</t>
        </r>
      </text>
    </comment>
    <comment ref="AI826" authorId="0">
      <text>
        <r>
          <rPr>
            <b/>
            <sz val="9"/>
            <rFont val="宋体"/>
            <charset val="134"/>
          </rPr>
          <t>Administrator:</t>
        </r>
        <r>
          <rPr>
            <sz val="9"/>
            <rFont val="宋体"/>
            <charset val="134"/>
          </rPr>
          <t xml:space="preserve">
1200629 12/5 5760pcs
华3a3</t>
        </r>
      </text>
    </comment>
    <comment ref="AI827" authorId="0">
      <text>
        <r>
          <rPr>
            <b/>
            <sz val="9"/>
            <rFont val="宋体"/>
            <charset val="134"/>
          </rPr>
          <t>Administrator:</t>
        </r>
        <r>
          <rPr>
            <sz val="9"/>
            <rFont val="宋体"/>
            <charset val="134"/>
          </rPr>
          <t xml:space="preserve">
1200629 12/5 2880pcs
华3b1.2.3.</t>
        </r>
      </text>
    </comment>
    <comment ref="AI828" authorId="0">
      <text>
        <r>
          <rPr>
            <b/>
            <sz val="9"/>
            <rFont val="宋体"/>
            <charset val="134"/>
          </rPr>
          <t>Administrator:</t>
        </r>
        <r>
          <rPr>
            <sz val="9"/>
            <rFont val="宋体"/>
            <charset val="134"/>
          </rPr>
          <t xml:space="preserve">
1200629 12/5 5040pcs
华3b1.2.3.</t>
        </r>
      </text>
    </comment>
    <comment ref="AI829" authorId="0">
      <text>
        <r>
          <rPr>
            <b/>
            <sz val="9"/>
            <rFont val="宋体"/>
            <charset val="134"/>
          </rPr>
          <t>Administrator:</t>
        </r>
        <r>
          <rPr>
            <sz val="9"/>
            <rFont val="宋体"/>
            <charset val="134"/>
          </rPr>
          <t xml:space="preserve">
1200629 12/5 2160pcs
华3b1.2.3.</t>
        </r>
      </text>
    </comment>
    <comment ref="AI830" authorId="0">
      <text>
        <r>
          <rPr>
            <b/>
            <sz val="9"/>
            <rFont val="宋体"/>
            <charset val="134"/>
          </rPr>
          <t>Administrator:</t>
        </r>
        <r>
          <rPr>
            <sz val="9"/>
            <rFont val="宋体"/>
            <charset val="134"/>
          </rPr>
          <t xml:space="preserve">
1200629 12/5 576pcs
华3b1.2.3.</t>
        </r>
      </text>
    </comment>
    <comment ref="AI831" authorId="0">
      <text>
        <r>
          <rPr>
            <b/>
            <sz val="9"/>
            <rFont val="宋体"/>
            <charset val="134"/>
          </rPr>
          <t>Administrator:</t>
        </r>
        <r>
          <rPr>
            <sz val="9"/>
            <rFont val="宋体"/>
            <charset val="134"/>
          </rPr>
          <t xml:space="preserve">
1200629 12/5 576pcs
华3b1.2.3.</t>
        </r>
      </text>
    </comment>
    <comment ref="AI832" authorId="0">
      <text>
        <r>
          <rPr>
            <b/>
            <sz val="9"/>
            <rFont val="宋体"/>
            <charset val="134"/>
          </rPr>
          <t>Administrator:</t>
        </r>
        <r>
          <rPr>
            <sz val="9"/>
            <rFont val="宋体"/>
            <charset val="134"/>
          </rPr>
          <t xml:space="preserve">
1200630 12/5 576pcs
华3b1.2.3.</t>
        </r>
      </text>
    </comment>
    <comment ref="AI833" authorId="0">
      <text>
        <r>
          <rPr>
            <b/>
            <sz val="9"/>
            <rFont val="宋体"/>
            <charset val="134"/>
          </rPr>
          <t>Administrator:</t>
        </r>
        <r>
          <rPr>
            <sz val="9"/>
            <rFont val="宋体"/>
            <charset val="134"/>
          </rPr>
          <t xml:space="preserve">
1200630 12/5 3600cs华3a3
</t>
        </r>
      </text>
    </comment>
    <comment ref="AI834" authorId="0">
      <text>
        <r>
          <rPr>
            <b/>
            <sz val="9"/>
            <rFont val="宋体"/>
            <charset val="134"/>
          </rPr>
          <t>Administrator:</t>
        </r>
        <r>
          <rPr>
            <sz val="9"/>
            <rFont val="宋体"/>
            <charset val="134"/>
          </rPr>
          <t xml:space="preserve">
1200630 12/5 5040pcs华3a3
</t>
        </r>
      </text>
    </comment>
    <comment ref="AI835" authorId="0">
      <text>
        <r>
          <rPr>
            <b/>
            <sz val="9"/>
            <rFont val="宋体"/>
            <charset val="134"/>
          </rPr>
          <t>Administrator:</t>
        </r>
        <r>
          <rPr>
            <sz val="9"/>
            <rFont val="宋体"/>
            <charset val="134"/>
          </rPr>
          <t xml:space="preserve">
1200630 12/5 4320pcs华3a3
</t>
        </r>
      </text>
    </comment>
    <comment ref="AI836" authorId="0">
      <text>
        <r>
          <rPr>
            <b/>
            <sz val="9"/>
            <rFont val="宋体"/>
            <charset val="134"/>
          </rPr>
          <t>Administrator:</t>
        </r>
        <r>
          <rPr>
            <sz val="9"/>
            <rFont val="宋体"/>
            <charset val="134"/>
          </rPr>
          <t xml:space="preserve">
1200630 12/5 3600pcs华3a3
</t>
        </r>
      </text>
    </comment>
    <comment ref="AI837" authorId="0">
      <text>
        <r>
          <rPr>
            <b/>
            <sz val="9"/>
            <rFont val="宋体"/>
            <charset val="134"/>
          </rPr>
          <t>Administrator:</t>
        </r>
        <r>
          <rPr>
            <sz val="9"/>
            <rFont val="宋体"/>
            <charset val="134"/>
          </rPr>
          <t xml:space="preserve">
1200630 12/5 5760pcs华3a3
</t>
        </r>
      </text>
    </comment>
    <comment ref="AI838" authorId="0">
      <text>
        <r>
          <rPr>
            <b/>
            <sz val="9"/>
            <rFont val="宋体"/>
            <charset val="134"/>
          </rPr>
          <t>Administrator:</t>
        </r>
        <r>
          <rPr>
            <sz val="9"/>
            <rFont val="宋体"/>
            <charset val="134"/>
          </rPr>
          <t xml:space="preserve">
1200630 12/5 1968pcs华3a3
1200192 12/5 192pcs华3a8</t>
        </r>
      </text>
    </comment>
    <comment ref="AI839" authorId="0">
      <text>
        <r>
          <rPr>
            <b/>
            <sz val="9"/>
            <rFont val="宋体"/>
            <charset val="134"/>
          </rPr>
          <t>Administrator:</t>
        </r>
        <r>
          <rPr>
            <sz val="9"/>
            <rFont val="宋体"/>
            <charset val="134"/>
          </rPr>
          <t xml:space="preserve">
1200231 12/10 975pcs华3b13</t>
        </r>
      </text>
    </comment>
    <comment ref="AL839" authorId="0">
      <text>
        <r>
          <rPr>
            <b/>
            <sz val="9"/>
            <rFont val="宋体"/>
            <charset val="134"/>
          </rPr>
          <t>Administrator:</t>
        </r>
        <r>
          <rPr>
            <sz val="9"/>
            <rFont val="宋体"/>
            <charset val="134"/>
          </rPr>
          <t xml:space="preserve">
11/6 上可移动材质价格贴纸975pcs
11/4 上UPC贴纸975PCS
12/4 UPC贴纸 975pcs
12/12 可移动材质的价格贴纸 975pcs</t>
        </r>
      </text>
    </comment>
    <comment ref="AI840" authorId="0">
      <text>
        <r>
          <rPr>
            <b/>
            <sz val="9"/>
            <rFont val="宋体"/>
            <charset val="134"/>
          </rPr>
          <t>Administrator:</t>
        </r>
        <r>
          <rPr>
            <sz val="9"/>
            <rFont val="宋体"/>
            <charset val="134"/>
          </rPr>
          <t xml:space="preserve">
3000538 12/9 7300pcs王4a5</t>
        </r>
      </text>
    </comment>
    <comment ref="AL840" authorId="0">
      <text>
        <r>
          <rPr>
            <b/>
            <sz val="9"/>
            <rFont val="宋体"/>
            <charset val="134"/>
          </rPr>
          <t>Administrator:</t>
        </r>
        <r>
          <rPr>
            <sz val="9"/>
            <rFont val="宋体"/>
            <charset val="134"/>
          </rPr>
          <t xml:space="preserve">
11/21 上进口商贴纸7300pcs
EAN条码贴纸7300pcs</t>
        </r>
      </text>
    </comment>
    <comment ref="AI841" authorId="0">
      <text>
        <r>
          <rPr>
            <b/>
            <sz val="9"/>
            <rFont val="宋体"/>
            <charset val="134"/>
          </rPr>
          <t>Administrator:</t>
        </r>
        <r>
          <rPr>
            <sz val="9"/>
            <rFont val="宋体"/>
            <charset val="134"/>
          </rPr>
          <t xml:space="preserve">
3000541 12/10 24000pcs华3b7</t>
        </r>
      </text>
    </comment>
    <comment ref="AL841" authorId="0">
      <text>
        <r>
          <rPr>
            <b/>
            <sz val="9"/>
            <rFont val="宋体"/>
            <charset val="134"/>
          </rPr>
          <t>Administrator:</t>
        </r>
        <r>
          <rPr>
            <sz val="9"/>
            <rFont val="宋体"/>
            <charset val="134"/>
          </rPr>
          <t xml:space="preserve">
12/24 上客供RFID贴纸24000pcs
</t>
        </r>
      </text>
    </comment>
    <comment ref="AI842" authorId="0">
      <text>
        <r>
          <rPr>
            <b/>
            <sz val="9"/>
            <rFont val="宋体"/>
            <charset val="134"/>
          </rPr>
          <t>Administrator:</t>
        </r>
        <r>
          <rPr>
            <sz val="9"/>
            <rFont val="宋体"/>
            <charset val="134"/>
          </rPr>
          <t xml:space="preserve">
3000538 12/9 39360pcs王4a7</t>
        </r>
      </text>
    </comment>
    <comment ref="AL842" authorId="0">
      <text>
        <r>
          <rPr>
            <b/>
            <sz val="9"/>
            <rFont val="宋体"/>
            <charset val="134"/>
          </rPr>
          <t>Administrator:</t>
        </r>
        <r>
          <rPr>
            <sz val="9"/>
            <rFont val="宋体"/>
            <charset val="134"/>
          </rPr>
          <t xml:space="preserve">
12/24 上客供RFID贴纸39360pcs
</t>
        </r>
      </text>
    </comment>
    <comment ref="AI843" authorId="0">
      <text>
        <r>
          <rPr>
            <b/>
            <sz val="9"/>
            <rFont val="宋体"/>
            <charset val="134"/>
          </rPr>
          <t>Administrator:</t>
        </r>
        <r>
          <rPr>
            <sz val="9"/>
            <rFont val="宋体"/>
            <charset val="134"/>
          </rPr>
          <t xml:space="preserve">
1200213 12/8 27840PCS 华3a22</t>
        </r>
      </text>
    </comment>
    <comment ref="AL843" authorId="0">
      <text>
        <r>
          <rPr>
            <b/>
            <sz val="9"/>
            <rFont val="宋体"/>
            <charset val="134"/>
          </rPr>
          <t>Administrator:</t>
        </r>
        <r>
          <rPr>
            <sz val="9"/>
            <rFont val="宋体"/>
            <charset val="134"/>
          </rPr>
          <t xml:space="preserve">
12/24 上客供RFID贴纸27840pcs
</t>
        </r>
      </text>
    </comment>
    <comment ref="AI844" authorId="0">
      <text>
        <r>
          <rPr>
            <b/>
            <sz val="9"/>
            <rFont val="宋体"/>
            <charset val="134"/>
          </rPr>
          <t>Administrator:</t>
        </r>
        <r>
          <rPr>
            <sz val="9"/>
            <rFont val="宋体"/>
            <charset val="134"/>
          </rPr>
          <t xml:space="preserve">
1200193 12/5 2340pcs华3a31</t>
        </r>
      </text>
    </comment>
    <comment ref="AL844" authorId="0">
      <text>
        <r>
          <rPr>
            <b/>
            <sz val="9"/>
            <rFont val="宋体"/>
            <charset val="134"/>
          </rPr>
          <t>Administrator:</t>
        </r>
        <r>
          <rPr>
            <sz val="9"/>
            <rFont val="宋体"/>
            <charset val="134"/>
          </rPr>
          <t xml:space="preserve">
11/10 上WIC贴纸10026PCS
7个同PO共用
PDQ折页1671PCS</t>
        </r>
      </text>
    </comment>
    <comment ref="AI845" authorId="0">
      <text>
        <r>
          <rPr>
            <b/>
            <sz val="9"/>
            <rFont val="宋体"/>
            <charset val="134"/>
          </rPr>
          <t>Administrator:</t>
        </r>
        <r>
          <rPr>
            <sz val="9"/>
            <rFont val="宋体"/>
            <charset val="134"/>
          </rPr>
          <t xml:space="preserve">
1200193 12/5 1632pcs
华3a31
</t>
        </r>
      </text>
    </comment>
    <comment ref="AI846" authorId="0">
      <text>
        <r>
          <rPr>
            <b/>
            <sz val="9"/>
            <rFont val="宋体"/>
            <charset val="134"/>
          </rPr>
          <t>Administrator:</t>
        </r>
        <r>
          <rPr>
            <sz val="9"/>
            <rFont val="宋体"/>
            <charset val="134"/>
          </rPr>
          <t xml:space="preserve">
1200193 12/5 1308pcs
华3a31
</t>
        </r>
      </text>
    </comment>
    <comment ref="AI847" authorId="0">
      <text>
        <r>
          <rPr>
            <b/>
            <sz val="9"/>
            <rFont val="宋体"/>
            <charset val="134"/>
          </rPr>
          <t>Administrator:</t>
        </r>
        <r>
          <rPr>
            <sz val="9"/>
            <rFont val="宋体"/>
            <charset val="134"/>
          </rPr>
          <t xml:space="preserve">
1200193 12/5 1416pcs
华3a31
</t>
        </r>
      </text>
    </comment>
    <comment ref="AI848" authorId="0">
      <text>
        <r>
          <rPr>
            <b/>
            <sz val="9"/>
            <rFont val="宋体"/>
            <charset val="134"/>
          </rPr>
          <t>Administrator:</t>
        </r>
        <r>
          <rPr>
            <sz val="9"/>
            <rFont val="宋体"/>
            <charset val="134"/>
          </rPr>
          <t xml:space="preserve">
1200193 12/5 1038pcs
华3a31
</t>
        </r>
      </text>
    </comment>
    <comment ref="AI849" authorId="0">
      <text>
        <r>
          <rPr>
            <b/>
            <sz val="9"/>
            <rFont val="宋体"/>
            <charset val="134"/>
          </rPr>
          <t>Administrator:</t>
        </r>
        <r>
          <rPr>
            <sz val="9"/>
            <rFont val="宋体"/>
            <charset val="134"/>
          </rPr>
          <t xml:space="preserve">
1200193 12/5 1146pcs
华3a31
</t>
        </r>
      </text>
    </comment>
    <comment ref="AI850" authorId="0">
      <text>
        <r>
          <rPr>
            <b/>
            <sz val="9"/>
            <rFont val="宋体"/>
            <charset val="134"/>
          </rPr>
          <t>Administrator:</t>
        </r>
        <r>
          <rPr>
            <sz val="9"/>
            <rFont val="宋体"/>
            <charset val="134"/>
          </rPr>
          <t xml:space="preserve">
1200193 12/5 1140pcs华3a31
1200202 12/6 6pcs
王3a31
</t>
        </r>
      </text>
    </comment>
    <comment ref="AI851" authorId="0">
      <text>
        <r>
          <rPr>
            <b/>
            <sz val="9"/>
            <rFont val="宋体"/>
            <charset val="134"/>
          </rPr>
          <t>Administrator:</t>
        </r>
        <r>
          <rPr>
            <sz val="9"/>
            <rFont val="宋体"/>
            <charset val="134"/>
          </rPr>
          <t xml:space="preserve">
1200231 12/10 32448pcs
华3a81200229 12/9 29952pcs华3a8</t>
        </r>
      </text>
    </comment>
    <comment ref="AI852" authorId="0">
      <text>
        <r>
          <rPr>
            <b/>
            <sz val="9"/>
            <rFont val="宋体"/>
            <charset val="134"/>
          </rPr>
          <t>Administrator:</t>
        </r>
        <r>
          <rPr>
            <sz val="9"/>
            <rFont val="宋体"/>
            <charset val="134"/>
          </rPr>
          <t xml:space="preserve">
3000545 12/11 10002pcs</t>
        </r>
      </text>
    </comment>
    <comment ref="AL852" authorId="0">
      <text>
        <r>
          <rPr>
            <b/>
            <sz val="9"/>
            <rFont val="宋体"/>
            <charset val="134"/>
          </rPr>
          <t>Administrator:</t>
        </r>
        <r>
          <rPr>
            <sz val="9"/>
            <rFont val="宋体"/>
            <charset val="134"/>
          </rPr>
          <t xml:space="preserve">
</t>
        </r>
        <r>
          <rPr>
            <sz val="12"/>
            <rFont val="宋体"/>
            <charset val="134"/>
          </rPr>
          <t>9/23 上客供芯片贴纸10002pcs
12/10 颜色贴纸 10002pcs</t>
        </r>
      </text>
    </comment>
    <comment ref="AI853" authorId="0">
      <text>
        <r>
          <rPr>
            <b/>
            <sz val="9"/>
            <rFont val="宋体"/>
            <charset val="134"/>
          </rPr>
          <t>Administrator:</t>
        </r>
        <r>
          <rPr>
            <sz val="9"/>
            <rFont val="宋体"/>
            <charset val="134"/>
          </rPr>
          <t xml:space="preserve">
1200253 12/11 5250pcs
王4c3
1200256 12/11 31250pcs王4c3</t>
        </r>
      </text>
    </comment>
    <comment ref="AL853" authorId="0">
      <text>
        <r>
          <rPr>
            <b/>
            <sz val="9"/>
            <rFont val="宋体"/>
            <charset val="134"/>
          </rPr>
          <t>Administrator:</t>
        </r>
        <r>
          <rPr>
            <sz val="9"/>
            <rFont val="宋体"/>
            <charset val="134"/>
          </rPr>
          <t xml:space="preserve">
11/6 上客供外箱条码贴纸1475pcs</t>
        </r>
      </text>
    </comment>
    <comment ref="AI854" authorId="0">
      <text>
        <r>
          <rPr>
            <b/>
            <sz val="9"/>
            <rFont val="宋体"/>
            <charset val="134"/>
          </rPr>
          <t>Administrator:</t>
        </r>
        <r>
          <rPr>
            <sz val="9"/>
            <rFont val="宋体"/>
            <charset val="134"/>
          </rPr>
          <t xml:space="preserve">
1200785 12/13 1200pcs
华3b14</t>
        </r>
      </text>
    </comment>
    <comment ref="AL854" authorId="0">
      <text>
        <r>
          <rPr>
            <b/>
            <sz val="9"/>
            <rFont val="宋体"/>
            <charset val="134"/>
          </rPr>
          <t>Administrator:</t>
        </r>
        <r>
          <rPr>
            <sz val="9"/>
            <rFont val="宋体"/>
            <charset val="134"/>
          </rPr>
          <t xml:space="preserve">
11/22 上大语警告贴纸2400pcs
小警告语贴纸16800pcs
两个同PO共用</t>
        </r>
      </text>
    </comment>
    <comment ref="AI855" authorId="0">
      <text>
        <r>
          <rPr>
            <b/>
            <sz val="9"/>
            <rFont val="宋体"/>
            <charset val="134"/>
          </rPr>
          <t>Administrator:</t>
        </r>
        <r>
          <rPr>
            <sz val="9"/>
            <rFont val="宋体"/>
            <charset val="134"/>
          </rPr>
          <t xml:space="preserve">
1200785 12/13 1200pcs
华3b14
</t>
        </r>
      </text>
    </comment>
    <comment ref="AI856" authorId="0">
      <text>
        <r>
          <rPr>
            <b/>
            <sz val="9"/>
            <rFont val="宋体"/>
            <charset val="134"/>
          </rPr>
          <t>Administrator:</t>
        </r>
        <r>
          <rPr>
            <sz val="9"/>
            <rFont val="宋体"/>
            <charset val="134"/>
          </rPr>
          <t xml:space="preserve">
3000549 12/12 516pcs
王4a4</t>
        </r>
      </text>
    </comment>
    <comment ref="AL856" authorId="0">
      <text>
        <r>
          <rPr>
            <b/>
            <sz val="9"/>
            <rFont val="宋体"/>
            <charset val="134"/>
          </rPr>
          <t>Administrator:</t>
        </r>
        <r>
          <rPr>
            <sz val="9"/>
            <rFont val="宋体"/>
            <charset val="134"/>
          </rPr>
          <t xml:space="preserve">
11/18 上空白贴纸3048pcs
环保贴纸1524pcs
三个同PO共用
11/21 上亚马逊外箱贴纸43pcs
</t>
        </r>
      </text>
    </comment>
    <comment ref="AI857" authorId="0">
      <text>
        <r>
          <rPr>
            <b/>
            <sz val="9"/>
            <rFont val="宋体"/>
            <charset val="134"/>
          </rPr>
          <t>Administrator:</t>
        </r>
        <r>
          <rPr>
            <sz val="9"/>
            <rFont val="宋体"/>
            <charset val="134"/>
          </rPr>
          <t xml:space="preserve">
3000549 12/12 516pcs
王4a4
</t>
        </r>
      </text>
    </comment>
    <comment ref="AL857" authorId="0">
      <text>
        <r>
          <rPr>
            <b/>
            <sz val="9"/>
            <rFont val="宋体"/>
            <charset val="134"/>
          </rPr>
          <t>Administrator:</t>
        </r>
        <r>
          <rPr>
            <sz val="9"/>
            <rFont val="宋体"/>
            <charset val="134"/>
          </rPr>
          <t xml:space="preserve">
11/21 上亚马逊外箱贴纸43pcs</t>
        </r>
      </text>
    </comment>
    <comment ref="AI858" authorId="0">
      <text>
        <r>
          <rPr>
            <b/>
            <sz val="9"/>
            <rFont val="宋体"/>
            <charset val="134"/>
          </rPr>
          <t>Administrator:</t>
        </r>
        <r>
          <rPr>
            <sz val="9"/>
            <rFont val="宋体"/>
            <charset val="134"/>
          </rPr>
          <t xml:space="preserve">
3000549 12/12 492pcs
王4a4
</t>
        </r>
      </text>
    </comment>
    <comment ref="AL858" authorId="0">
      <text>
        <r>
          <rPr>
            <b/>
            <sz val="9"/>
            <rFont val="宋体"/>
            <charset val="134"/>
          </rPr>
          <t>Administrator:</t>
        </r>
        <r>
          <rPr>
            <sz val="9"/>
            <rFont val="宋体"/>
            <charset val="134"/>
          </rPr>
          <t xml:space="preserve">
11/21 上亚马逊外箱贴纸41pcs</t>
        </r>
      </text>
    </comment>
    <comment ref="AI859" authorId="0">
      <text>
        <r>
          <rPr>
            <b/>
            <sz val="9"/>
            <rFont val="宋体"/>
            <charset val="134"/>
          </rPr>
          <t>Administrator:</t>
        </r>
        <r>
          <rPr>
            <sz val="9"/>
            <rFont val="宋体"/>
            <charset val="134"/>
          </rPr>
          <t xml:space="preserve">
3000549 12/12 6096pcs王4b4</t>
        </r>
      </text>
    </comment>
    <comment ref="AL859" authorId="0">
      <text>
        <r>
          <rPr>
            <b/>
            <sz val="9"/>
            <rFont val="宋体"/>
            <charset val="134"/>
          </rPr>
          <t>Administrator:</t>
        </r>
        <r>
          <rPr>
            <sz val="9"/>
            <rFont val="宋体"/>
            <charset val="134"/>
          </rPr>
          <t xml:space="preserve">
11/22 上客供亚马逊外箱贴纸508pcs
</t>
        </r>
      </text>
    </comment>
    <comment ref="AI860" authorId="0">
      <text>
        <r>
          <rPr>
            <b/>
            <sz val="9"/>
            <rFont val="宋体"/>
            <charset val="134"/>
          </rPr>
          <t>Administrator:</t>
        </r>
        <r>
          <rPr>
            <sz val="9"/>
            <rFont val="宋体"/>
            <charset val="134"/>
          </rPr>
          <t xml:space="preserve">
3000549 12/12 7752pcs
王4a4</t>
        </r>
      </text>
    </comment>
    <comment ref="AL860" authorId="0">
      <text>
        <r>
          <rPr>
            <b/>
            <sz val="9"/>
            <rFont val="宋体"/>
            <charset val="134"/>
          </rPr>
          <t>Administrator:</t>
        </r>
        <r>
          <rPr>
            <sz val="9"/>
            <rFont val="宋体"/>
            <charset val="134"/>
          </rPr>
          <t xml:space="preserve">
11/22 上客供亚马逊外箱贴纸646pcs</t>
        </r>
      </text>
    </comment>
    <comment ref="AI861" authorId="0">
      <text>
        <r>
          <rPr>
            <b/>
            <sz val="9"/>
            <rFont val="宋体"/>
            <charset val="134"/>
          </rPr>
          <t>Administrator:</t>
        </r>
        <r>
          <rPr>
            <sz val="9"/>
            <rFont val="宋体"/>
            <charset val="134"/>
          </rPr>
          <t xml:space="preserve">
1200785 12/13 2704pcs 华3a27</t>
        </r>
      </text>
    </comment>
    <comment ref="AL861" authorId="0">
      <text>
        <r>
          <rPr>
            <b/>
            <sz val="9"/>
            <rFont val="宋体"/>
            <charset val="134"/>
          </rPr>
          <t>Administrator:</t>
        </r>
        <r>
          <rPr>
            <sz val="9"/>
            <rFont val="宋体"/>
            <charset val="134"/>
          </rPr>
          <t xml:space="preserve">
12/5 UPC条码贴纸 2704pcs</t>
        </r>
      </text>
    </comment>
    <comment ref="AI862" authorId="0">
      <text>
        <r>
          <rPr>
            <b/>
            <sz val="9"/>
            <rFont val="宋体"/>
            <charset val="134"/>
          </rPr>
          <t>Administrator:</t>
        </r>
        <r>
          <rPr>
            <sz val="9"/>
            <rFont val="宋体"/>
            <charset val="134"/>
          </rPr>
          <t xml:space="preserve">
1200757 12/11 1248pcs 华3a27</t>
        </r>
      </text>
    </comment>
    <comment ref="AL862" authorId="0">
      <text>
        <r>
          <rPr>
            <b/>
            <sz val="9"/>
            <rFont val="宋体"/>
            <charset val="134"/>
          </rPr>
          <t>Administrator:</t>
        </r>
        <r>
          <rPr>
            <sz val="9"/>
            <rFont val="宋体"/>
            <charset val="134"/>
          </rPr>
          <t xml:space="preserve">
12/5 进口商贴纸56*52mm 1248pcs
UPC条码贴纸 1248pcs</t>
        </r>
      </text>
    </comment>
    <comment ref="AI863" authorId="0">
      <text>
        <r>
          <rPr>
            <b/>
            <sz val="9"/>
            <rFont val="宋体"/>
            <charset val="134"/>
          </rPr>
          <t>Administrator:</t>
        </r>
        <r>
          <rPr>
            <sz val="9"/>
            <rFont val="宋体"/>
            <charset val="134"/>
          </rPr>
          <t xml:space="preserve">
1200958 12/16 948pcs华3b14</t>
        </r>
      </text>
    </comment>
    <comment ref="AL863" authorId="0">
      <text>
        <r>
          <rPr>
            <b/>
            <sz val="9"/>
            <rFont val="宋体"/>
            <charset val="134"/>
          </rPr>
          <t>Administrator:</t>
        </r>
        <r>
          <rPr>
            <sz val="9"/>
            <rFont val="宋体"/>
            <charset val="134"/>
          </rPr>
          <t xml:space="preserve">
11/21 上亚马逊外箱贴纸82pcs
11/22 上空白贴纸1968pcs
上环保标贴纸984pcs
12/9 亚马逊外箱贴纸 82pcs</t>
        </r>
      </text>
    </comment>
    <comment ref="AI864" authorId="0">
      <text>
        <r>
          <rPr>
            <b/>
            <sz val="9"/>
            <rFont val="宋体"/>
            <charset val="134"/>
          </rPr>
          <t>Administrator:</t>
        </r>
        <r>
          <rPr>
            <sz val="9"/>
            <rFont val="宋体"/>
            <charset val="134"/>
          </rPr>
          <t xml:space="preserve">
1200954 12/16 1200pcs 王4a9</t>
        </r>
      </text>
    </comment>
    <comment ref="AL864" authorId="0">
      <text>
        <r>
          <rPr>
            <b/>
            <sz val="9"/>
            <rFont val="宋体"/>
            <charset val="134"/>
          </rPr>
          <t>Administrator:</t>
        </r>
        <r>
          <rPr>
            <sz val="9"/>
            <rFont val="宋体"/>
            <charset val="134"/>
          </rPr>
          <t xml:space="preserve">
12/1 客供价格贴纸 1235pcs
12/8 进口商贴纸 1200pcs</t>
        </r>
      </text>
    </comment>
    <comment ref="AI865" authorId="0">
      <text>
        <r>
          <rPr>
            <b/>
            <sz val="9"/>
            <rFont val="宋体"/>
            <charset val="134"/>
          </rPr>
          <t>Administrator:</t>
        </r>
        <r>
          <rPr>
            <sz val="9"/>
            <rFont val="宋体"/>
            <charset val="134"/>
          </rPr>
          <t xml:space="preserve">
1200672 12/12 10000pcs王4b8</t>
        </r>
      </text>
    </comment>
    <comment ref="AL865" authorId="0">
      <text>
        <r>
          <rPr>
            <b/>
            <sz val="9"/>
            <rFont val="宋体"/>
            <charset val="134"/>
          </rPr>
          <t>Administrator:</t>
        </r>
        <r>
          <rPr>
            <sz val="9"/>
            <rFont val="宋体"/>
            <charset val="134"/>
          </rPr>
          <t xml:space="preserve">
11/6 上UPC条码贴纸10000pcs
进口商贴纸10000pcs</t>
        </r>
      </text>
    </comment>
    <comment ref="AI866" authorId="0">
      <text>
        <r>
          <rPr>
            <b/>
            <sz val="9"/>
            <rFont val="宋体"/>
            <charset val="134"/>
          </rPr>
          <t>Administrator:</t>
        </r>
        <r>
          <rPr>
            <sz val="9"/>
            <rFont val="宋体"/>
            <charset val="134"/>
          </rPr>
          <t xml:space="preserve">
4001139 11/26 150pcs
</t>
        </r>
      </text>
    </comment>
    <comment ref="AI867" authorId="0">
      <text>
        <r>
          <rPr>
            <b/>
            <sz val="9"/>
            <rFont val="宋体"/>
            <charset val="134"/>
          </rPr>
          <t>Administrator:</t>
        </r>
        <r>
          <rPr>
            <sz val="9"/>
            <rFont val="宋体"/>
            <charset val="134"/>
          </rPr>
          <t xml:space="preserve">
1200379 11/11 回货15PCS</t>
        </r>
      </text>
    </comment>
    <comment ref="AI868" authorId="0">
      <text>
        <r>
          <rPr>
            <b/>
            <sz val="9"/>
            <rFont val="宋体"/>
            <charset val="134"/>
          </rPr>
          <t>Administrator:</t>
        </r>
        <r>
          <rPr>
            <sz val="9"/>
            <rFont val="宋体"/>
            <charset val="134"/>
          </rPr>
          <t xml:space="preserve">
1200202 12/6 1008pcs王a1</t>
        </r>
      </text>
    </comment>
    <comment ref="AI869" authorId="0">
      <text>
        <r>
          <rPr>
            <b/>
            <sz val="9"/>
            <rFont val="宋体"/>
            <charset val="134"/>
          </rPr>
          <t>Administrator:</t>
        </r>
        <r>
          <rPr>
            <sz val="9"/>
            <rFont val="宋体"/>
            <charset val="134"/>
          </rPr>
          <t xml:space="preserve">
1200202 12/6 1008pcs
王a栋1
</t>
        </r>
      </text>
    </comment>
    <comment ref="AI870" authorId="0">
      <text>
        <r>
          <rPr>
            <b/>
            <sz val="9"/>
            <rFont val="宋体"/>
            <charset val="134"/>
          </rPr>
          <t>Administrator:</t>
        </r>
        <r>
          <rPr>
            <sz val="9"/>
            <rFont val="宋体"/>
            <charset val="134"/>
          </rPr>
          <t xml:space="preserve">
3000549 12/12 7000pcs
王4c4</t>
        </r>
      </text>
    </comment>
    <comment ref="AL870" authorId="0">
      <text>
        <r>
          <rPr>
            <b/>
            <sz val="9"/>
            <rFont val="宋体"/>
            <charset val="134"/>
          </rPr>
          <t>Administrator:</t>
        </r>
        <r>
          <rPr>
            <sz val="9"/>
            <rFont val="宋体"/>
            <charset val="134"/>
          </rPr>
          <t xml:space="preserve">
11/4 上法国回收标贴纸7000pcs</t>
        </r>
      </text>
    </comment>
    <comment ref="AI871" authorId="0">
      <text>
        <r>
          <rPr>
            <b/>
            <sz val="9"/>
            <rFont val="宋体"/>
            <charset val="134"/>
          </rPr>
          <t>Administrator:</t>
        </r>
        <r>
          <rPr>
            <sz val="9"/>
            <rFont val="宋体"/>
            <charset val="134"/>
          </rPr>
          <t xml:space="preserve">
3000564 12/15  19760pcs华3a32</t>
        </r>
      </text>
    </comment>
    <comment ref="AL871" authorId="0">
      <text>
        <r>
          <rPr>
            <b/>
            <sz val="9"/>
            <rFont val="宋体"/>
            <charset val="134"/>
          </rPr>
          <t>Administrator:</t>
        </r>
        <r>
          <rPr>
            <sz val="9"/>
            <rFont val="宋体"/>
            <charset val="134"/>
          </rPr>
          <t xml:space="preserve">
11/18 上客户EAN条码贴纸33280pcs
PDQ数量贴纸8320pcs
两个同PO共用</t>
        </r>
      </text>
    </comment>
    <comment ref="AI872" authorId="0">
      <text>
        <r>
          <rPr>
            <b/>
            <sz val="9"/>
            <rFont val="宋体"/>
            <charset val="134"/>
          </rPr>
          <t>Administrator:</t>
        </r>
        <r>
          <rPr>
            <sz val="9"/>
            <rFont val="宋体"/>
            <charset val="134"/>
          </rPr>
          <t xml:space="preserve">
3000564 12/15  13520pcs
华3b16</t>
        </r>
      </text>
    </comment>
    <comment ref="AI873" authorId="0">
      <text>
        <r>
          <rPr>
            <b/>
            <sz val="9"/>
            <rFont val="宋体"/>
            <charset val="134"/>
          </rPr>
          <t>Administrator:</t>
        </r>
        <r>
          <rPr>
            <sz val="9"/>
            <rFont val="宋体"/>
            <charset val="134"/>
          </rPr>
          <t xml:space="preserve">
1200954 12/16 1968pcs
王4c7
</t>
        </r>
      </text>
    </comment>
    <comment ref="AL873" authorId="0">
      <text>
        <r>
          <rPr>
            <b/>
            <sz val="9"/>
            <rFont val="宋体"/>
            <charset val="134"/>
          </rPr>
          <t>Administrator:</t>
        </r>
        <r>
          <rPr>
            <sz val="9"/>
            <rFont val="宋体"/>
            <charset val="134"/>
          </rPr>
          <t xml:space="preserve">
12/9 UPC贴纸 1968pcs</t>
        </r>
      </text>
    </comment>
    <comment ref="AI874" authorId="0">
      <text>
        <r>
          <rPr>
            <b/>
            <sz val="9"/>
            <rFont val="宋体"/>
            <charset val="134"/>
          </rPr>
          <t>Administrator:</t>
        </r>
        <r>
          <rPr>
            <sz val="9"/>
            <rFont val="宋体"/>
            <charset val="134"/>
          </rPr>
          <t xml:space="preserve">
1200954 12/16 1722pcs王4c7
1600039 12/23 6pcs</t>
        </r>
      </text>
    </comment>
    <comment ref="AL874" authorId="0">
      <text>
        <r>
          <rPr>
            <b/>
            <sz val="9"/>
            <rFont val="宋体"/>
            <charset val="134"/>
          </rPr>
          <t>Administrator:</t>
        </r>
        <r>
          <rPr>
            <sz val="9"/>
            <rFont val="宋体"/>
            <charset val="134"/>
          </rPr>
          <t xml:space="preserve">
12/9 UPC贴纸 1728pcs
</t>
        </r>
      </text>
    </comment>
    <comment ref="AI875" authorId="0">
      <text>
        <r>
          <rPr>
            <b/>
            <sz val="9"/>
            <rFont val="宋体"/>
            <charset val="134"/>
          </rPr>
          <t>Administrator:</t>
        </r>
        <r>
          <rPr>
            <sz val="9"/>
            <rFont val="宋体"/>
            <charset val="134"/>
          </rPr>
          <t xml:space="preserve">
1200954 12/16 1968pcs王4c7
</t>
        </r>
      </text>
    </comment>
    <comment ref="AL875" authorId="0">
      <text>
        <r>
          <rPr>
            <b/>
            <sz val="9"/>
            <rFont val="宋体"/>
            <charset val="134"/>
          </rPr>
          <t>Administrator:</t>
        </r>
        <r>
          <rPr>
            <sz val="9"/>
            <rFont val="宋体"/>
            <charset val="134"/>
          </rPr>
          <t xml:space="preserve">
12/9 UPC贴纸 1968pcs
</t>
        </r>
      </text>
    </comment>
    <comment ref="AI876" authorId="0">
      <text>
        <r>
          <rPr>
            <b/>
            <sz val="9"/>
            <rFont val="宋体"/>
            <charset val="134"/>
          </rPr>
          <t>Administrator:</t>
        </r>
        <r>
          <rPr>
            <sz val="9"/>
            <rFont val="宋体"/>
            <charset val="134"/>
          </rPr>
          <t xml:space="preserve">
1200945 12/16 1000pcs 王4a8</t>
        </r>
      </text>
    </comment>
    <comment ref="AL876" authorId="0">
      <text>
        <r>
          <rPr>
            <b/>
            <sz val="9"/>
            <rFont val="宋体"/>
            <charset val="134"/>
          </rPr>
          <t>Administrator:</t>
        </r>
        <r>
          <rPr>
            <sz val="9"/>
            <rFont val="宋体"/>
            <charset val="134"/>
          </rPr>
          <t xml:space="preserve">
12/1 UPC贴纸32*17mm 1000pcs
进口商贴纸 1500pcs</t>
        </r>
      </text>
    </comment>
    <comment ref="AI877" authorId="0">
      <text>
        <r>
          <rPr>
            <b/>
            <sz val="9"/>
            <rFont val="宋体"/>
            <charset val="134"/>
          </rPr>
          <t>Administrator:</t>
        </r>
        <r>
          <rPr>
            <sz val="9"/>
            <rFont val="宋体"/>
            <charset val="134"/>
          </rPr>
          <t xml:space="preserve">
1200937 12/16 23040pcs 华3a19</t>
        </r>
      </text>
    </comment>
    <comment ref="AI878" authorId="0">
      <text>
        <r>
          <rPr>
            <b/>
            <sz val="9"/>
            <rFont val="宋体"/>
            <charset val="134"/>
          </rPr>
          <t>Administrator:</t>
        </r>
        <r>
          <rPr>
            <sz val="9"/>
            <rFont val="宋体"/>
            <charset val="134"/>
          </rPr>
          <t xml:space="preserve">
1200961 12/16 15360pcs华3a12</t>
        </r>
      </text>
    </comment>
    <comment ref="AI879" authorId="0">
      <text>
        <r>
          <rPr>
            <b/>
            <sz val="9"/>
            <rFont val="宋体"/>
            <charset val="134"/>
          </rPr>
          <t>Administrator:</t>
        </r>
        <r>
          <rPr>
            <sz val="9"/>
            <rFont val="宋体"/>
            <charset val="134"/>
          </rPr>
          <t xml:space="preserve">
1200958 12/16 22960pcs
华3a241200961 12/16 25040pcs
华3a24</t>
        </r>
      </text>
    </comment>
    <comment ref="AI880" authorId="0">
      <text>
        <r>
          <rPr>
            <b/>
            <sz val="9"/>
            <rFont val="宋体"/>
            <charset val="134"/>
          </rPr>
          <t>Administrator:</t>
        </r>
        <r>
          <rPr>
            <sz val="9"/>
            <rFont val="宋体"/>
            <charset val="134"/>
          </rPr>
          <t xml:space="preserve">
1200961 12/16 8064pcs
华3a21
1200937 12/16 10176pcs
华3a21</t>
        </r>
      </text>
    </comment>
    <comment ref="AI881" authorId="0">
      <text>
        <r>
          <rPr>
            <b/>
            <sz val="9"/>
            <rFont val="宋体"/>
            <charset val="134"/>
          </rPr>
          <t>Administrator:</t>
        </r>
        <r>
          <rPr>
            <sz val="9"/>
            <rFont val="宋体"/>
            <charset val="134"/>
          </rPr>
          <t xml:space="preserve">
1200961 12/16 25920
pcs
华3a14</t>
        </r>
      </text>
    </comment>
    <comment ref="AI882" authorId="0">
      <text>
        <r>
          <rPr>
            <b/>
            <sz val="9"/>
            <rFont val="宋体"/>
            <charset val="134"/>
          </rPr>
          <t>Administrator:</t>
        </r>
        <r>
          <rPr>
            <sz val="9"/>
            <rFont val="宋体"/>
            <charset val="134"/>
          </rPr>
          <t xml:space="preserve">
1200937 12/16 2250pcs
华3b14</t>
        </r>
      </text>
    </comment>
    <comment ref="AL882" authorId="0">
      <text>
        <r>
          <rPr>
            <b/>
            <sz val="9"/>
            <rFont val="宋体"/>
            <charset val="134"/>
          </rPr>
          <t>Administrator:</t>
        </r>
        <r>
          <rPr>
            <sz val="9"/>
            <rFont val="宋体"/>
            <charset val="134"/>
          </rPr>
          <t xml:space="preserve">
12/1 客供价格贴纸 2306pcs
12/8 UPC贴纸34*18mm1200pcs 
进口商贴纸 3450pcs</t>
        </r>
      </text>
    </comment>
    <comment ref="AI883" authorId="0">
      <text>
        <r>
          <rPr>
            <b/>
            <sz val="9"/>
            <rFont val="宋体"/>
            <charset val="134"/>
          </rPr>
          <t>Administrator:</t>
        </r>
        <r>
          <rPr>
            <sz val="9"/>
            <rFont val="宋体"/>
            <charset val="134"/>
          </rPr>
          <t xml:space="preserve">
1200769 12/12 3750pcs王4b1</t>
        </r>
      </text>
    </comment>
    <comment ref="AI884" authorId="0">
      <text>
        <r>
          <rPr>
            <b/>
            <sz val="9"/>
            <rFont val="宋体"/>
            <charset val="134"/>
          </rPr>
          <t>Administrator:</t>
        </r>
        <r>
          <rPr>
            <sz val="9"/>
            <rFont val="宋体"/>
            <charset val="134"/>
          </rPr>
          <t xml:space="preserve">
1200945 12/16 728pcs 王4a9
1200930 12/16 832pcs 直走</t>
        </r>
      </text>
    </comment>
    <comment ref="AL884" authorId="0">
      <text>
        <r>
          <rPr>
            <b/>
            <sz val="9"/>
            <rFont val="宋体"/>
            <charset val="134"/>
          </rPr>
          <t>Administrator:</t>
        </r>
        <r>
          <rPr>
            <sz val="9"/>
            <rFont val="宋体"/>
            <charset val="134"/>
          </rPr>
          <t xml:space="preserve">
11/22 上客供警告语贴纸贴收藏指南1610pcs
客供警语贴纸贴说明书1610pcs
客供警告语贴纸贴球底部1610pcs
12/1 UPC 条码贴纸 1560pcs</t>
        </r>
      </text>
    </comment>
    <comment ref="AI885" authorId="0">
      <text>
        <r>
          <rPr>
            <b/>
            <sz val="9"/>
            <rFont val="宋体"/>
            <charset val="134"/>
          </rPr>
          <t>Administrator:</t>
        </r>
        <r>
          <rPr>
            <sz val="9"/>
            <rFont val="宋体"/>
            <charset val="134"/>
          </rPr>
          <t xml:space="preserve">
12/16 3000567 576pcs</t>
        </r>
      </text>
    </comment>
    <comment ref="AL885" authorId="0">
      <text>
        <r>
          <rPr>
            <b/>
            <sz val="9"/>
            <rFont val="宋体"/>
            <charset val="134"/>
          </rPr>
          <t>Administrator:</t>
        </r>
        <r>
          <rPr>
            <sz val="9"/>
            <rFont val="宋体"/>
            <charset val="134"/>
          </rPr>
          <t xml:space="preserve">
11/22 上客供警告语贴纸贴收藏指南1192pcs
客供警贴纸1192pcs
客供警语贴纸贴说明书1192pcs
客供电池警告语贴纸1191pcs
客供警告语贴纸贴球底部1192pcs
客供中文警告说明书600pcs
12/1 空白贴纸34*18mm 1152pcs</t>
        </r>
      </text>
    </comment>
    <comment ref="AI886" authorId="0">
      <text>
        <r>
          <rPr>
            <b/>
            <sz val="9"/>
            <rFont val="宋体"/>
            <charset val="134"/>
          </rPr>
          <t>Administrator:</t>
        </r>
        <r>
          <rPr>
            <sz val="9"/>
            <rFont val="宋体"/>
            <charset val="134"/>
          </rPr>
          <t xml:space="preserve">
1201000 12/18 1050pcs
华3b15</t>
        </r>
      </text>
    </comment>
    <comment ref="AL886" authorId="0">
      <text>
        <r>
          <rPr>
            <b/>
            <sz val="9"/>
            <rFont val="宋体"/>
            <charset val="134"/>
          </rPr>
          <t>Administrator:</t>
        </r>
        <r>
          <rPr>
            <sz val="9"/>
            <rFont val="宋体"/>
            <charset val="134"/>
          </rPr>
          <t xml:space="preserve">
11/29 上UPC贴纸1050pcs
进口商贴纸1050pcs
</t>
        </r>
      </text>
    </comment>
    <comment ref="AI887" authorId="0">
      <text>
        <r>
          <rPr>
            <b/>
            <sz val="9"/>
            <rFont val="宋体"/>
            <charset val="134"/>
          </rPr>
          <t>Administrator:</t>
        </r>
        <r>
          <rPr>
            <sz val="9"/>
            <rFont val="宋体"/>
            <charset val="134"/>
          </rPr>
          <t xml:space="preserve">
1201000 12/18 504pcs华1f11</t>
        </r>
      </text>
    </comment>
    <comment ref="AL887" authorId="0">
      <text>
        <r>
          <rPr>
            <b/>
            <sz val="9"/>
            <rFont val="宋体"/>
            <charset val="134"/>
          </rPr>
          <t>Administrator:</t>
        </r>
        <r>
          <rPr>
            <sz val="9"/>
            <rFont val="宋体"/>
            <charset val="134"/>
          </rPr>
          <t xml:space="preserve">
11/3 上客户款号EAN条码贴纸1008pcs
空白贴纸1008pcs
德语警告语贴纸1008pcs</t>
        </r>
      </text>
    </comment>
    <comment ref="AI888" authorId="0">
      <text>
        <r>
          <rPr>
            <b/>
            <sz val="9"/>
            <rFont val="宋体"/>
            <charset val="134"/>
          </rPr>
          <t>Administrator:</t>
        </r>
        <r>
          <rPr>
            <sz val="9"/>
            <rFont val="宋体"/>
            <charset val="134"/>
          </rPr>
          <t xml:space="preserve">
1200945 12/16 
1008pcs 直走</t>
        </r>
      </text>
    </comment>
    <comment ref="AL888" authorId="0">
      <text>
        <r>
          <rPr>
            <b/>
            <sz val="9"/>
            <rFont val="宋体"/>
            <charset val="134"/>
          </rPr>
          <t>Administrator:</t>
        </r>
        <r>
          <rPr>
            <sz val="9"/>
            <rFont val="宋体"/>
            <charset val="134"/>
          </rPr>
          <t xml:space="preserve">
12/3 冰棒款-说明书荷兰语 1008pcs
蛋糕款-说明书荷兰语 1008pcs
布丁款-说明书荷兰语 1008pcs</t>
        </r>
      </text>
    </comment>
    <comment ref="AI889" authorId="0">
      <text>
        <r>
          <rPr>
            <b/>
            <sz val="9"/>
            <rFont val="宋体"/>
            <charset val="134"/>
          </rPr>
          <t>Administrator:</t>
        </r>
        <r>
          <rPr>
            <sz val="9"/>
            <rFont val="宋体"/>
            <charset val="134"/>
          </rPr>
          <t xml:space="preserve">
1200994 12/18 1200pcs 华3a32</t>
        </r>
      </text>
    </comment>
    <comment ref="AL889" authorId="0">
      <text>
        <r>
          <rPr>
            <b/>
            <sz val="9"/>
            <rFont val="宋体"/>
            <charset val="134"/>
          </rPr>
          <t>Administrator:</t>
        </r>
        <r>
          <rPr>
            <sz val="9"/>
            <rFont val="宋体"/>
            <charset val="134"/>
          </rPr>
          <t xml:space="preserve">
11/18 上空白贴纸2400pcs
12/24 上客供价格贴纸1320pcs
</t>
        </r>
      </text>
    </comment>
    <comment ref="AI890" authorId="0">
      <text>
        <r>
          <rPr>
            <b/>
            <sz val="9"/>
            <rFont val="宋体"/>
            <charset val="134"/>
          </rPr>
          <t>Administrator:</t>
        </r>
        <r>
          <rPr>
            <sz val="9"/>
            <rFont val="宋体"/>
            <charset val="134"/>
          </rPr>
          <t xml:space="preserve">
1200994 12/18 996pcs
华3b17</t>
        </r>
      </text>
    </comment>
    <comment ref="AL890" authorId="0">
      <text>
        <r>
          <rPr>
            <b/>
            <sz val="9"/>
            <rFont val="宋体"/>
            <charset val="134"/>
          </rPr>
          <t>Administrator:</t>
        </r>
        <r>
          <rPr>
            <sz val="9"/>
            <rFont val="宋体"/>
            <charset val="134"/>
          </rPr>
          <t xml:space="preserve">
11/18 上空白贴纸1992pcs
12/24 上客供价格贴纸1096pcs
</t>
        </r>
      </text>
    </comment>
    <comment ref="AI891" authorId="0">
      <text>
        <r>
          <rPr>
            <b/>
            <sz val="9"/>
            <rFont val="宋体"/>
            <charset val="134"/>
          </rPr>
          <t>Administrator:</t>
        </r>
        <r>
          <rPr>
            <sz val="9"/>
            <rFont val="宋体"/>
            <charset val="134"/>
          </rPr>
          <t xml:space="preserve">
1201000 12/18 1500pcs
华3b15</t>
        </r>
      </text>
    </comment>
    <comment ref="AL891" authorId="0">
      <text>
        <r>
          <rPr>
            <b/>
            <sz val="9"/>
            <rFont val="宋体"/>
            <charset val="134"/>
          </rPr>
          <t>Administrator:</t>
        </r>
        <r>
          <rPr>
            <sz val="9"/>
            <rFont val="宋体"/>
            <charset val="134"/>
          </rPr>
          <t xml:space="preserve">
11/18 上进口商贴纸1500pcs</t>
        </r>
      </text>
    </comment>
    <comment ref="AI892" authorId="0">
      <text>
        <r>
          <rPr>
            <b/>
            <sz val="9"/>
            <rFont val="宋体"/>
            <charset val="134"/>
          </rPr>
          <t>Administrator:</t>
        </r>
        <r>
          <rPr>
            <sz val="9"/>
            <rFont val="宋体"/>
            <charset val="134"/>
          </rPr>
          <t xml:space="preserve">
1201000 12/18 1250pcs
华3b15</t>
        </r>
      </text>
    </comment>
    <comment ref="AL892" authorId="0">
      <text>
        <r>
          <rPr>
            <b/>
            <sz val="9"/>
            <rFont val="宋体"/>
            <charset val="134"/>
          </rPr>
          <t>Administrator:</t>
        </r>
        <r>
          <rPr>
            <sz val="9"/>
            <rFont val="宋体"/>
            <charset val="134"/>
          </rPr>
          <t xml:space="preserve">
11/29 上UPC贴纸1250pcs
进口商贴纸1250pcs
</t>
        </r>
      </text>
    </comment>
    <comment ref="AL893" authorId="0">
      <text>
        <r>
          <rPr>
            <b/>
            <sz val="9"/>
            <rFont val="宋体"/>
            <charset val="134"/>
          </rPr>
          <t>Administrator:</t>
        </r>
        <r>
          <rPr>
            <sz val="9"/>
            <rFont val="宋体"/>
            <charset val="134"/>
          </rPr>
          <t xml:space="preserve">
9/23 上客供芯片贴纸9996pcs
12/10 颜色贴纸 9996pcs
</t>
        </r>
      </text>
    </comment>
    <comment ref="AI894" authorId="0">
      <text>
        <r>
          <rPr>
            <b/>
            <sz val="9"/>
            <rFont val="宋体"/>
            <charset val="134"/>
          </rPr>
          <t>Administrator:</t>
        </r>
        <r>
          <rPr>
            <sz val="9"/>
            <rFont val="宋体"/>
            <charset val="134"/>
          </rPr>
          <t xml:space="preserve">
1200994 12/18 2004pcs
华3b15</t>
        </r>
      </text>
    </comment>
    <comment ref="AL894" authorId="0">
      <text>
        <r>
          <rPr>
            <b/>
            <sz val="9"/>
            <rFont val="宋体"/>
            <charset val="134"/>
          </rPr>
          <t>Administrator:</t>
        </r>
        <r>
          <rPr>
            <sz val="9"/>
            <rFont val="宋体"/>
            <charset val="134"/>
          </rPr>
          <t xml:space="preserve">
12/1 客供价格贴纸 2100pcs</t>
        </r>
      </text>
    </comment>
    <comment ref="AI895" authorId="0">
      <text>
        <r>
          <rPr>
            <b/>
            <sz val="9"/>
            <rFont val="宋体"/>
            <charset val="134"/>
          </rPr>
          <t>Administrator:</t>
        </r>
        <r>
          <rPr>
            <sz val="9"/>
            <rFont val="宋体"/>
            <charset val="134"/>
          </rPr>
          <t xml:space="preserve">
3000552 12/13 12100pcs
华3b14</t>
        </r>
      </text>
    </comment>
    <comment ref="AL895" authorId="0">
      <text>
        <r>
          <rPr>
            <b/>
            <sz val="9"/>
            <rFont val="宋体"/>
            <charset val="134"/>
          </rPr>
          <t>Administrator:</t>
        </r>
        <r>
          <rPr>
            <sz val="9"/>
            <rFont val="宋体"/>
            <charset val="134"/>
          </rPr>
          <t xml:space="preserve">
12/8 UPC条码贴纸 1200pcs
进口商贴纸41*35mm 1200pcs</t>
        </r>
      </text>
    </comment>
    <comment ref="AI896" authorId="0">
      <text>
        <r>
          <rPr>
            <b/>
            <sz val="9"/>
            <rFont val="宋体"/>
            <charset val="134"/>
          </rPr>
          <t>Administrator:</t>
        </r>
        <r>
          <rPr>
            <sz val="9"/>
            <rFont val="宋体"/>
            <charset val="134"/>
          </rPr>
          <t xml:space="preserve">
1200937 12/16 1768pcs
 华1f3
1201000 12/18 104pcs 华1f3</t>
        </r>
      </text>
    </comment>
    <comment ref="AL896" authorId="0">
      <text>
        <r>
          <rPr>
            <b/>
            <sz val="9"/>
            <rFont val="宋体"/>
            <charset val="134"/>
          </rPr>
          <t>Administrator:</t>
        </r>
        <r>
          <rPr>
            <sz val="9"/>
            <rFont val="宋体"/>
            <charset val="134"/>
          </rPr>
          <t xml:space="preserve">
12/5 UPC条码贴纸 1872pcs</t>
        </r>
      </text>
    </comment>
    <comment ref="AI897" authorId="0">
      <text>
        <r>
          <rPr>
            <b/>
            <sz val="9"/>
            <rFont val="宋体"/>
            <charset val="134"/>
          </rPr>
          <t>Administrator:</t>
        </r>
        <r>
          <rPr>
            <sz val="9"/>
            <rFont val="宋体"/>
            <charset val="134"/>
          </rPr>
          <t xml:space="preserve">
1200921 12/15 7008pcs王4a8</t>
        </r>
      </text>
    </comment>
    <comment ref="AL897" authorId="0">
      <text>
        <r>
          <rPr>
            <b/>
            <sz val="9"/>
            <rFont val="宋体"/>
            <charset val="134"/>
          </rPr>
          <t>Administrator:</t>
        </r>
        <r>
          <rPr>
            <sz val="9"/>
            <rFont val="宋体"/>
            <charset val="134"/>
          </rPr>
          <t xml:space="preserve">
12/3 WIC贴贴纸41*19mm 7008pcs
12/17 WIC贴纸 补订495pcs</t>
        </r>
      </text>
    </comment>
    <comment ref="AI898" authorId="0">
      <text>
        <r>
          <rPr>
            <b/>
            <sz val="9"/>
            <rFont val="宋体"/>
            <charset val="134"/>
          </rPr>
          <t>Administrator:</t>
        </r>
        <r>
          <rPr>
            <sz val="9"/>
            <rFont val="宋体"/>
            <charset val="134"/>
          </rPr>
          <t xml:space="preserve">
1201037 12/22 750pcs王4c5</t>
        </r>
      </text>
    </comment>
    <comment ref="AL898" authorId="0">
      <text>
        <r>
          <rPr>
            <b/>
            <sz val="9"/>
            <rFont val="宋体"/>
            <charset val="134"/>
          </rPr>
          <t>Administrator:</t>
        </r>
        <r>
          <rPr>
            <sz val="9"/>
            <rFont val="宋体"/>
            <charset val="134"/>
          </rPr>
          <t xml:space="preserve">
11/4 上警语贴纸750pcs</t>
        </r>
      </text>
    </comment>
    <comment ref="AI899" authorId="0">
      <text>
        <r>
          <rPr>
            <b/>
            <sz val="9"/>
            <rFont val="宋体"/>
            <charset val="134"/>
          </rPr>
          <t>Administrator:</t>
        </r>
        <r>
          <rPr>
            <sz val="9"/>
            <rFont val="宋体"/>
            <charset val="134"/>
          </rPr>
          <t xml:space="preserve">
1600019 12/22 3025pcs 王4c5</t>
        </r>
      </text>
    </comment>
    <comment ref="AL899" authorId="0">
      <text>
        <r>
          <rPr>
            <b/>
            <sz val="9"/>
            <rFont val="宋体"/>
            <charset val="134"/>
          </rPr>
          <t>Administrator:</t>
        </r>
        <r>
          <rPr>
            <sz val="9"/>
            <rFont val="宋体"/>
            <charset val="134"/>
          </rPr>
          <t xml:space="preserve">
12/3 法国回收标贴纸 3025pcs</t>
        </r>
      </text>
    </comment>
    <comment ref="AI900" authorId="0">
      <text>
        <r>
          <rPr>
            <b/>
            <sz val="9"/>
            <rFont val="宋体"/>
            <charset val="134"/>
          </rPr>
          <t>Administrator:</t>
        </r>
        <r>
          <rPr>
            <sz val="9"/>
            <rFont val="宋体"/>
            <charset val="134"/>
          </rPr>
          <t xml:space="preserve">
3000576 12/18 234pcs
华3b17</t>
        </r>
      </text>
    </comment>
    <comment ref="AL900" authorId="0">
      <text>
        <r>
          <rPr>
            <b/>
            <sz val="9"/>
            <rFont val="宋体"/>
            <charset val="134"/>
          </rPr>
          <t>Administrator:</t>
        </r>
        <r>
          <rPr>
            <sz val="9"/>
            <rFont val="宋体"/>
            <charset val="134"/>
          </rPr>
          <t xml:space="preserve">
12/4 客供外箱贴纸 18pcs
</t>
        </r>
      </text>
    </comment>
    <comment ref="AI901" authorId="0">
      <text>
        <r>
          <rPr>
            <b/>
            <sz val="9"/>
            <rFont val="宋体"/>
            <charset val="134"/>
          </rPr>
          <t>Administrator:</t>
        </r>
        <r>
          <rPr>
            <sz val="9"/>
            <rFont val="宋体"/>
            <charset val="134"/>
          </rPr>
          <t xml:space="preserve">
3000576 12/18 1456pcs
华3a26</t>
        </r>
      </text>
    </comment>
    <comment ref="AL901" authorId="0">
      <text>
        <r>
          <rPr>
            <b/>
            <sz val="9"/>
            <rFont val="宋体"/>
            <charset val="134"/>
          </rPr>
          <t>Administrator:</t>
        </r>
        <r>
          <rPr>
            <sz val="9"/>
            <rFont val="宋体"/>
            <charset val="134"/>
          </rPr>
          <t xml:space="preserve">
12/4 客供外箱贴纸 112pcs
12/5 价格贴纸41*30mm 1456pcs</t>
        </r>
      </text>
    </comment>
    <comment ref="AI902" authorId="0">
      <text>
        <r>
          <rPr>
            <b/>
            <sz val="9"/>
            <rFont val="宋体"/>
            <charset val="134"/>
          </rPr>
          <t>Administrator:</t>
        </r>
        <r>
          <rPr>
            <sz val="9"/>
            <rFont val="宋体"/>
            <charset val="134"/>
          </rPr>
          <t xml:space="preserve">
</t>
        </r>
        <r>
          <rPr>
            <sz val="10"/>
            <rFont val="宋体"/>
            <charset val="134"/>
          </rPr>
          <t>1201000 12/18 18432pcs
华3a22
1200981 12/18 13216pcs 华3a22
1200917 12/19 32PCS 华3a22</t>
        </r>
      </text>
    </comment>
    <comment ref="AI903" authorId="0">
      <text>
        <r>
          <rPr>
            <b/>
            <sz val="9"/>
            <rFont val="宋体"/>
            <charset val="134"/>
          </rPr>
          <t>Administrator:</t>
        </r>
        <r>
          <rPr>
            <sz val="9"/>
            <rFont val="宋体"/>
            <charset val="134"/>
          </rPr>
          <t xml:space="preserve">
1201007 12/19 35000PCS 华3a21</t>
        </r>
      </text>
    </comment>
    <comment ref="AL903" authorId="0">
      <text>
        <r>
          <rPr>
            <b/>
            <sz val="9"/>
            <rFont val="宋体"/>
            <charset val="134"/>
          </rPr>
          <t>Administrator:</t>
        </r>
        <r>
          <rPr>
            <sz val="9"/>
            <rFont val="宋体"/>
            <charset val="134"/>
          </rPr>
          <t xml:space="preserve">
12/27 上客供外箱条码贴纸1414pcs</t>
        </r>
      </text>
    </comment>
    <comment ref="AI904" authorId="0">
      <text>
        <r>
          <rPr>
            <b/>
            <sz val="9"/>
            <rFont val="宋体"/>
            <charset val="134"/>
          </rPr>
          <t>Administrator:</t>
        </r>
        <r>
          <rPr>
            <sz val="9"/>
            <rFont val="宋体"/>
            <charset val="134"/>
          </rPr>
          <t xml:space="preserve">
1200162 12/19 12116PCS 王4b3</t>
        </r>
      </text>
    </comment>
    <comment ref="AL904" authorId="0">
      <text>
        <r>
          <rPr>
            <b/>
            <sz val="9"/>
            <rFont val="宋体"/>
            <charset val="134"/>
          </rPr>
          <t>Administrator:</t>
        </r>
        <r>
          <rPr>
            <sz val="9"/>
            <rFont val="宋体"/>
            <charset val="134"/>
          </rPr>
          <t xml:space="preserve">
12/9 进口商贴纸 12116pcs
12/10 UPC 条码贴纸 12116pcs </t>
        </r>
      </text>
    </comment>
    <comment ref="AP904" authorId="1">
      <text>
        <r>
          <rPr>
            <b/>
            <sz val="9"/>
            <rFont val="宋体"/>
            <charset val="134"/>
          </rPr>
          <t>RR:</t>
        </r>
        <r>
          <rPr>
            <sz val="9"/>
            <rFont val="宋体"/>
            <charset val="134"/>
          </rPr>
          <t xml:space="preserve">
客人接受1L收缩膜</t>
        </r>
      </text>
    </comment>
    <comment ref="AI905" authorId="0">
      <text>
        <r>
          <rPr>
            <b/>
            <sz val="9"/>
            <rFont val="宋体"/>
            <charset val="134"/>
          </rPr>
          <t>Administrator:</t>
        </r>
        <r>
          <rPr>
            <sz val="9"/>
            <rFont val="宋体"/>
            <charset val="134"/>
          </rPr>
          <t xml:space="preserve">
1201037 12/22 492pcs王4c5</t>
        </r>
      </text>
    </comment>
    <comment ref="AL905" authorId="0">
      <text>
        <r>
          <rPr>
            <b/>
            <sz val="9"/>
            <rFont val="宋体"/>
            <charset val="134"/>
          </rPr>
          <t>Administrator:</t>
        </r>
        <r>
          <rPr>
            <sz val="9"/>
            <rFont val="宋体"/>
            <charset val="134"/>
          </rPr>
          <t xml:space="preserve">
12/5 空白贴纸34*18mm 984pcs
EAN贴纸25*20mm 492pcs
警告语贴纸28*25mm 492pcs
12/9 EAN贴纸 492pcs
警告语贴纸 492pcs
空白贴纸 492pcs</t>
        </r>
      </text>
    </comment>
    <comment ref="AI906" authorId="0">
      <text>
        <r>
          <rPr>
            <b/>
            <sz val="9"/>
            <rFont val="宋体"/>
            <charset val="134"/>
          </rPr>
          <t>Administrator:</t>
        </r>
        <r>
          <rPr>
            <sz val="9"/>
            <rFont val="宋体"/>
            <charset val="134"/>
          </rPr>
          <t xml:space="preserve">
1600063 12/25 770pcs 文本云</t>
        </r>
      </text>
    </comment>
    <comment ref="AP906" authorId="1">
      <text>
        <r>
          <rPr>
            <b/>
            <sz val="9"/>
            <rFont val="宋体"/>
            <charset val="134"/>
          </rPr>
          <t>RR:</t>
        </r>
        <r>
          <rPr>
            <sz val="9"/>
            <rFont val="宋体"/>
            <charset val="134"/>
          </rPr>
          <t xml:space="preserve">
客人接受1L收缩膜</t>
        </r>
      </text>
    </comment>
    <comment ref="AI907" authorId="0">
      <text>
        <r>
          <rPr>
            <b/>
            <sz val="9"/>
            <rFont val="宋体"/>
            <charset val="134"/>
          </rPr>
          <t>Administrator:</t>
        </r>
        <r>
          <rPr>
            <sz val="9"/>
            <rFont val="宋体"/>
            <charset val="134"/>
          </rPr>
          <t xml:space="preserve">
1600019 12/22 11500pcs王4a6</t>
        </r>
      </text>
    </comment>
    <comment ref="AL907" authorId="0">
      <text>
        <r>
          <rPr>
            <b/>
            <sz val="9"/>
            <rFont val="宋体"/>
            <charset val="134"/>
          </rPr>
          <t>Administrator:</t>
        </r>
        <r>
          <rPr>
            <sz val="9"/>
            <rFont val="宋体"/>
            <charset val="134"/>
          </rPr>
          <t xml:space="preserve">
12/9 进口商贴纸 11500pcs
UPC贴纸 11500pcs
12/9 外箱贴纸 460pcs</t>
        </r>
      </text>
    </comment>
    <comment ref="AI908" authorId="0">
      <text>
        <r>
          <rPr>
            <b/>
            <sz val="9"/>
            <rFont val="宋体"/>
            <charset val="134"/>
          </rPr>
          <t>Administrator:</t>
        </r>
        <r>
          <rPr>
            <sz val="9"/>
            <rFont val="宋体"/>
            <charset val="134"/>
          </rPr>
          <t xml:space="preserve">
1900062 12/25 600pcs
华3b13</t>
        </r>
      </text>
    </comment>
    <comment ref="AI909" authorId="0">
      <text>
        <r>
          <rPr>
            <b/>
            <sz val="9"/>
            <rFont val="宋体"/>
            <charset val="134"/>
          </rPr>
          <t>Administrator:</t>
        </r>
        <r>
          <rPr>
            <sz val="9"/>
            <rFont val="宋体"/>
            <charset val="134"/>
          </rPr>
          <t xml:space="preserve">
1600023 12/22 4950pcs 王1f3
1600040 12/23 50pcs 王1f3   </t>
        </r>
      </text>
    </comment>
    <comment ref="AL909" authorId="0">
      <text>
        <r>
          <rPr>
            <b/>
            <sz val="9"/>
            <rFont val="宋体"/>
            <charset val="134"/>
          </rPr>
          <t>Administrator:</t>
        </r>
        <r>
          <rPr>
            <sz val="9"/>
            <rFont val="宋体"/>
            <charset val="134"/>
          </rPr>
          <t xml:space="preserve">
11/18 上UPC贴纸5000pcs
进口商贴纸5000pcs
</t>
        </r>
      </text>
    </comment>
    <comment ref="AI910" authorId="0">
      <text>
        <r>
          <rPr>
            <b/>
            <sz val="9"/>
            <rFont val="宋体"/>
            <charset val="134"/>
          </rPr>
          <t>Administrator:</t>
        </r>
        <r>
          <rPr>
            <sz val="9"/>
            <rFont val="宋体"/>
            <charset val="134"/>
          </rPr>
          <t xml:space="preserve">
1600019 12/22 7650pcs
王4b41201031 12/20 9900pcs 王4b1</t>
        </r>
      </text>
    </comment>
    <comment ref="AL910" authorId="0">
      <text>
        <r>
          <rPr>
            <b/>
            <sz val="9"/>
            <rFont val="宋体"/>
            <charset val="134"/>
          </rPr>
          <t>Administrator:</t>
        </r>
        <r>
          <rPr>
            <sz val="9"/>
            <rFont val="宋体"/>
            <charset val="134"/>
          </rPr>
          <t xml:space="preserve">
12/9 UPC 条码贴纸 17550pcs</t>
        </r>
      </text>
    </comment>
    <comment ref="AI911" authorId="0">
      <text>
        <r>
          <rPr>
            <b/>
            <sz val="9"/>
            <rFont val="宋体"/>
            <charset val="134"/>
          </rPr>
          <t>Administrator:</t>
        </r>
        <r>
          <rPr>
            <sz val="9"/>
            <rFont val="宋体"/>
            <charset val="134"/>
          </rPr>
          <t xml:space="preserve">
1600019 12/22 17550pcs
王4b6</t>
        </r>
      </text>
    </comment>
    <comment ref="AL911" authorId="0">
      <text>
        <r>
          <rPr>
            <b/>
            <sz val="9"/>
            <rFont val="宋体"/>
            <charset val="134"/>
          </rPr>
          <t>Administrator:</t>
        </r>
        <r>
          <rPr>
            <sz val="9"/>
            <rFont val="宋体"/>
            <charset val="134"/>
          </rPr>
          <t xml:space="preserve">
12/9 UPC 条码贴纸 17550pcs
</t>
        </r>
      </text>
    </comment>
    <comment ref="AI912" authorId="0">
      <text>
        <r>
          <rPr>
            <b/>
            <sz val="9"/>
            <rFont val="宋体"/>
            <charset val="134"/>
          </rPr>
          <t>Administrator:</t>
        </r>
        <r>
          <rPr>
            <sz val="9"/>
            <rFont val="宋体"/>
            <charset val="134"/>
          </rPr>
          <t xml:space="preserve">
1600068 12/23 1976pcs 华3b14</t>
        </r>
      </text>
    </comment>
    <comment ref="AL912" authorId="0">
      <text>
        <r>
          <rPr>
            <b/>
            <sz val="9"/>
            <rFont val="宋体"/>
            <charset val="134"/>
          </rPr>
          <t>Administrator:</t>
        </r>
        <r>
          <rPr>
            <sz val="9"/>
            <rFont val="宋体"/>
            <charset val="134"/>
          </rPr>
          <t xml:space="preserve">
12/5 德语警吿语贴紙 1976pcs</t>
        </r>
      </text>
    </comment>
    <comment ref="AL913" authorId="0">
      <text>
        <r>
          <rPr>
            <b/>
            <sz val="9"/>
            <rFont val="宋体"/>
            <charset val="134"/>
          </rPr>
          <t>Administrator:</t>
        </r>
        <r>
          <rPr>
            <sz val="9"/>
            <rFont val="宋体"/>
            <charset val="134"/>
          </rPr>
          <t xml:space="preserve">
9/23 上客供芯片贴纸9996pcs
12/10 颜色贴纸 9996pcs</t>
        </r>
      </text>
    </comment>
    <comment ref="AI914" authorId="0">
      <text>
        <r>
          <rPr>
            <b/>
            <sz val="9"/>
            <rFont val="宋体"/>
            <charset val="134"/>
          </rPr>
          <t>Administrator:</t>
        </r>
        <r>
          <rPr>
            <sz val="9"/>
            <rFont val="宋体"/>
            <charset val="134"/>
          </rPr>
          <t xml:space="preserve">
1200168 12/2 3975pcs王4b1
1600039 12/23 25pcs 王4b1</t>
        </r>
      </text>
    </comment>
    <comment ref="AL914" authorId="0">
      <text>
        <r>
          <rPr>
            <b/>
            <sz val="9"/>
            <rFont val="宋体"/>
            <charset val="134"/>
          </rPr>
          <t>Administrator:</t>
        </r>
        <r>
          <rPr>
            <sz val="9"/>
            <rFont val="宋体"/>
            <charset val="134"/>
          </rPr>
          <t xml:space="preserve">
12/10 法国sorting label贴纸 4000pcs</t>
        </r>
      </text>
    </comment>
    <comment ref="AL915" authorId="0">
      <text>
        <r>
          <rPr>
            <b/>
            <sz val="9"/>
            <rFont val="宋体"/>
            <charset val="134"/>
          </rPr>
          <t>Administrator:</t>
        </r>
        <r>
          <rPr>
            <sz val="9"/>
            <rFont val="宋体"/>
            <charset val="134"/>
          </rPr>
          <t xml:space="preserve">
10/23 上芯片贴纸2004pcs1
2/10 颜色贴纸 2004pcs
空白贴纸 2400pcs</t>
        </r>
      </text>
    </comment>
    <comment ref="AI916" authorId="0">
      <text>
        <r>
          <rPr>
            <b/>
            <sz val="9"/>
            <rFont val="宋体"/>
            <charset val="134"/>
          </rPr>
          <t>Administrator:</t>
        </r>
        <r>
          <rPr>
            <sz val="9"/>
            <rFont val="宋体"/>
            <charset val="134"/>
          </rPr>
          <t xml:space="preserve">
1600039 12/23 9971pcs 王4c9
1600068 12/23 39pcs 兴信</t>
        </r>
      </text>
    </comment>
    <comment ref="AL916" authorId="0">
      <text>
        <r>
          <rPr>
            <b/>
            <sz val="9"/>
            <rFont val="宋体"/>
            <charset val="134"/>
          </rPr>
          <t>Administrator:</t>
        </r>
        <r>
          <rPr>
            <sz val="9"/>
            <rFont val="宋体"/>
            <charset val="134"/>
          </rPr>
          <t xml:space="preserve">
12/8 客供防窜码贴纸1拖13 10010pcs
12/9 条码贴纸 10010pcs</t>
        </r>
      </text>
    </comment>
    <comment ref="AI917" authorId="0">
      <text>
        <r>
          <rPr>
            <b/>
            <sz val="9"/>
            <rFont val="宋体"/>
            <charset val="134"/>
          </rPr>
          <t>Administrator:</t>
        </r>
        <r>
          <rPr>
            <sz val="9"/>
            <rFont val="宋体"/>
            <charset val="134"/>
          </rPr>
          <t xml:space="preserve">
1600068 12/23 3600pcs 华3b12
</t>
        </r>
      </text>
    </comment>
    <comment ref="AL917" authorId="0">
      <text>
        <r>
          <rPr>
            <b/>
            <sz val="9"/>
            <rFont val="宋体"/>
            <charset val="134"/>
          </rPr>
          <t xml:space="preserve">Administrator:
</t>
        </r>
        <r>
          <rPr>
            <sz val="9"/>
            <rFont val="宋体"/>
            <charset val="134"/>
          </rPr>
          <t>12/4 客供外箱贴纸3780pcs
12/9 UCC外箱贴纸 600pcs</t>
        </r>
      </text>
    </comment>
    <comment ref="AI918" authorId="0">
      <text>
        <r>
          <rPr>
            <b/>
            <sz val="9"/>
            <rFont val="宋体"/>
            <charset val="134"/>
          </rPr>
          <t>Administrator:</t>
        </r>
        <r>
          <rPr>
            <sz val="9"/>
            <rFont val="宋体"/>
            <charset val="134"/>
          </rPr>
          <t xml:space="preserve">
1600068 12/23 1800pcs
华3b12</t>
        </r>
      </text>
    </comment>
    <comment ref="AL918" authorId="0">
      <text>
        <r>
          <rPr>
            <b/>
            <sz val="9"/>
            <rFont val="宋体"/>
            <charset val="134"/>
          </rPr>
          <t>Administrator:</t>
        </r>
        <r>
          <rPr>
            <sz val="9"/>
            <rFont val="宋体"/>
            <charset val="134"/>
          </rPr>
          <t xml:space="preserve">
12/4 客供外箱贴纸 1890pcs
12/9 UCC外箱贴纸 300pcs
</t>
        </r>
      </text>
    </comment>
    <comment ref="AI919" authorId="0">
      <text>
        <r>
          <rPr>
            <b/>
            <sz val="9"/>
            <rFont val="宋体"/>
            <charset val="134"/>
          </rPr>
          <t>Administrator:</t>
        </r>
        <r>
          <rPr>
            <sz val="9"/>
            <rFont val="宋体"/>
            <charset val="134"/>
          </rPr>
          <t xml:space="preserve">
1600099 12/26 5776pcs 王4b7</t>
        </r>
      </text>
    </comment>
    <comment ref="AI920" authorId="0">
      <text>
        <r>
          <rPr>
            <b/>
            <sz val="9"/>
            <rFont val="宋体"/>
            <charset val="134"/>
          </rPr>
          <t>Administrator:</t>
        </r>
        <r>
          <rPr>
            <sz val="9"/>
            <rFont val="宋体"/>
            <charset val="134"/>
          </rPr>
          <t xml:space="preserve">
1200963 12/16 36192pcs 华1f12</t>
        </r>
      </text>
    </comment>
    <comment ref="AI921" authorId="0">
      <text>
        <r>
          <rPr>
            <b/>
            <sz val="9"/>
            <rFont val="宋体"/>
            <charset val="134"/>
          </rPr>
          <t>Administrator:</t>
        </r>
        <r>
          <rPr>
            <sz val="9"/>
            <rFont val="宋体"/>
            <charset val="134"/>
          </rPr>
          <t xml:space="preserve">
1600080 12/26 4000pcs 王直走</t>
        </r>
      </text>
    </comment>
    <comment ref="AI922" authorId="0">
      <text>
        <r>
          <rPr>
            <b/>
            <sz val="9"/>
            <rFont val="宋体"/>
            <charset val="134"/>
          </rPr>
          <t>Administrator:</t>
        </r>
        <r>
          <rPr>
            <sz val="9"/>
            <rFont val="宋体"/>
            <charset val="134"/>
          </rPr>
          <t xml:space="preserve">
1600039 12/23 25032pcs 王4b2</t>
        </r>
      </text>
    </comment>
    <comment ref="AL922" authorId="0">
      <text>
        <r>
          <rPr>
            <b/>
            <sz val="9"/>
            <rFont val="宋体"/>
            <charset val="134"/>
          </rPr>
          <t>Administrator:</t>
        </r>
        <r>
          <rPr>
            <sz val="9"/>
            <rFont val="宋体"/>
            <charset val="134"/>
          </rPr>
          <t xml:space="preserve">
12/3 WIC贴贴纸41*19mm 25032pcs</t>
        </r>
      </text>
    </comment>
    <comment ref="AI923" authorId="0">
      <text>
        <r>
          <rPr>
            <b/>
            <sz val="9"/>
            <rFont val="宋体"/>
            <charset val="134"/>
          </rPr>
          <t>Administrator:</t>
        </r>
        <r>
          <rPr>
            <sz val="9"/>
            <rFont val="宋体"/>
            <charset val="134"/>
          </rPr>
          <t xml:space="preserve">
3000631 12/31 9464pcs 庞3a25</t>
        </r>
      </text>
    </comment>
    <comment ref="AI924" authorId="0">
      <text>
        <r>
          <rPr>
            <b/>
            <sz val="9"/>
            <rFont val="宋体"/>
            <charset val="134"/>
          </rPr>
          <t>Administrator:</t>
        </r>
        <r>
          <rPr>
            <sz val="9"/>
            <rFont val="宋体"/>
            <charset val="134"/>
          </rPr>
          <t xml:space="preserve">
1600099 12/26 300pcs王直走</t>
        </r>
      </text>
    </comment>
    <comment ref="AI925" authorId="0">
      <text>
        <r>
          <rPr>
            <b/>
            <sz val="9"/>
            <rFont val="宋体"/>
            <charset val="134"/>
          </rPr>
          <t>Administrator:</t>
        </r>
        <r>
          <rPr>
            <sz val="9"/>
            <rFont val="宋体"/>
            <charset val="134"/>
          </rPr>
          <t xml:space="preserve">
1900063 12/25 156pcs
文本云</t>
        </r>
      </text>
    </comment>
    <comment ref="AI926" authorId="0">
      <text>
        <r>
          <rPr>
            <b/>
            <sz val="9"/>
            <rFont val="宋体"/>
            <charset val="134"/>
          </rPr>
          <t>Administrator:</t>
        </r>
        <r>
          <rPr>
            <sz val="9"/>
            <rFont val="宋体"/>
            <charset val="134"/>
          </rPr>
          <t xml:space="preserve">
1900063 12/25 78pcs
文本云</t>
        </r>
      </text>
    </comment>
    <comment ref="AI927" authorId="0">
      <text>
        <r>
          <rPr>
            <b/>
            <sz val="9"/>
            <rFont val="宋体"/>
            <charset val="134"/>
          </rPr>
          <t>Administrator:</t>
        </r>
        <r>
          <rPr>
            <sz val="9"/>
            <rFont val="宋体"/>
            <charset val="134"/>
          </rPr>
          <t xml:space="preserve">
1600144 12/29 120pcs
华3b8
1600951 1/2 2800pcs 庞3b8
</t>
        </r>
      </text>
    </comment>
    <comment ref="AL927" authorId="0">
      <text>
        <r>
          <rPr>
            <b/>
            <sz val="9"/>
            <rFont val="宋体"/>
            <charset val="134"/>
          </rPr>
          <t>Administrator:</t>
        </r>
        <r>
          <rPr>
            <sz val="9"/>
            <rFont val="宋体"/>
            <charset val="134"/>
          </rPr>
          <t xml:space="preserve">
12/6 PDQ贴纸含EAN条码 160cs
西班牙环保标/容户进 4000pcs</t>
        </r>
      </text>
    </comment>
    <comment ref="AI928" authorId="0">
      <text>
        <r>
          <rPr>
            <b/>
            <sz val="9"/>
            <rFont val="宋体"/>
            <charset val="134"/>
          </rPr>
          <t>Administrator:</t>
        </r>
        <r>
          <rPr>
            <sz val="9"/>
            <rFont val="宋体"/>
            <charset val="134"/>
          </rPr>
          <t xml:space="preserve">
1601038 1/6 9000pcs王4a9</t>
        </r>
      </text>
    </comment>
    <comment ref="AL928" authorId="0">
      <text>
        <r>
          <rPr>
            <b/>
            <sz val="9"/>
            <rFont val="宋体"/>
            <charset val="134"/>
          </rPr>
          <t>Administrator:</t>
        </r>
        <r>
          <rPr>
            <sz val="9"/>
            <rFont val="宋体"/>
            <charset val="134"/>
          </rPr>
          <t xml:space="preserve">
12/6 PDQ贴纸含EAN条码 30pcs
12/8 西班牙环保标/客户进 900pcs</t>
        </r>
      </text>
    </comment>
    <comment ref="AI929" authorId="0">
      <text>
        <r>
          <rPr>
            <b/>
            <sz val="9"/>
            <rFont val="宋体"/>
            <charset val="134"/>
          </rPr>
          <t>Administrator:</t>
        </r>
        <r>
          <rPr>
            <sz val="9"/>
            <rFont val="宋体"/>
            <charset val="134"/>
          </rPr>
          <t xml:space="preserve">
1600951 1/2 3601pcs
庞3a16</t>
        </r>
      </text>
    </comment>
    <comment ref="AL929" authorId="0">
      <text>
        <r>
          <rPr>
            <b/>
            <sz val="9"/>
            <rFont val="宋体"/>
            <charset val="134"/>
          </rPr>
          <t>Administrator:</t>
        </r>
        <r>
          <rPr>
            <sz val="9"/>
            <rFont val="宋体"/>
            <charset val="134"/>
          </rPr>
          <t xml:space="preserve">
12/6 PDQ贴纸含EAN条码 277pcs
12/8 西班牙环保标/套户进口 3601pcs</t>
        </r>
      </text>
    </comment>
    <comment ref="AI930" authorId="0">
      <text>
        <r>
          <rPr>
            <b/>
            <sz val="9"/>
            <rFont val="宋体"/>
            <charset val="134"/>
          </rPr>
          <t>Administrator:</t>
        </r>
        <r>
          <rPr>
            <sz val="9"/>
            <rFont val="宋体"/>
            <charset val="134"/>
          </rPr>
          <t xml:space="preserve">
1601038 1/6 12000pcs王b4
1601026 1/7 2400pcs 华1f4</t>
        </r>
      </text>
    </comment>
    <comment ref="AL930" authorId="0">
      <text>
        <r>
          <rPr>
            <b/>
            <sz val="9"/>
            <rFont val="宋体"/>
            <charset val="134"/>
          </rPr>
          <t>Administrator:</t>
        </r>
        <r>
          <rPr>
            <sz val="9"/>
            <rFont val="宋体"/>
            <charset val="134"/>
          </rPr>
          <t xml:space="preserve">
12/6 PDQ贴纸含EAN条码 120pcs
12/8 西班牙环保标/客户进 3600pcs</t>
        </r>
      </text>
    </comment>
    <comment ref="AI931" authorId="0">
      <text>
        <r>
          <rPr>
            <b/>
            <sz val="9"/>
            <rFont val="宋体"/>
            <charset val="134"/>
          </rPr>
          <t>Administrator:</t>
        </r>
        <r>
          <rPr>
            <sz val="9"/>
            <rFont val="宋体"/>
            <charset val="134"/>
          </rPr>
          <t xml:space="preserve">
1600124 12/27 4950pcs
华3b17
1600134 12/29 50pcs 华3b17</t>
        </r>
      </text>
    </comment>
    <comment ref="AL931" authorId="0">
      <text>
        <r>
          <rPr>
            <b/>
            <sz val="9"/>
            <rFont val="宋体"/>
            <charset val="134"/>
          </rPr>
          <t>Administrator:</t>
        </r>
        <r>
          <rPr>
            <sz val="9"/>
            <rFont val="宋体"/>
            <charset val="134"/>
          </rPr>
          <t xml:space="preserve">
12/16 进口商贴纸 5000pcs</t>
        </r>
      </text>
    </comment>
    <comment ref="AI932" authorId="0">
      <text>
        <r>
          <rPr>
            <b/>
            <sz val="9"/>
            <rFont val="宋体"/>
            <charset val="134"/>
          </rPr>
          <t>Administrator:</t>
        </r>
        <r>
          <rPr>
            <sz val="9"/>
            <rFont val="宋体"/>
            <charset val="134"/>
          </rPr>
          <t xml:space="preserve">
1600950 12/31 46080pcs王4b2</t>
        </r>
      </text>
    </comment>
    <comment ref="AI933" authorId="0">
      <text>
        <r>
          <rPr>
            <b/>
            <sz val="9"/>
            <rFont val="宋体"/>
            <charset val="134"/>
          </rPr>
          <t>Administrator:</t>
        </r>
        <r>
          <rPr>
            <sz val="9"/>
            <rFont val="宋体"/>
            <charset val="134"/>
          </rPr>
          <t xml:space="preserve">
1600063 12/25 55套 文本云</t>
        </r>
      </text>
    </comment>
    <comment ref="AI934" authorId="0">
      <text>
        <r>
          <rPr>
            <b/>
            <sz val="9"/>
            <rFont val="宋体"/>
            <charset val="134"/>
          </rPr>
          <t>Administrator:</t>
        </r>
        <r>
          <rPr>
            <sz val="9"/>
            <rFont val="宋体"/>
            <charset val="134"/>
          </rPr>
          <t xml:space="preserve">
1900063 12/25 606pcs
文本云</t>
        </r>
      </text>
    </comment>
    <comment ref="AI935" authorId="0">
      <text>
        <r>
          <rPr>
            <b/>
            <sz val="9"/>
            <rFont val="宋体"/>
            <charset val="134"/>
          </rPr>
          <t>Administrator:</t>
        </r>
        <r>
          <rPr>
            <sz val="9"/>
            <rFont val="宋体"/>
            <charset val="134"/>
          </rPr>
          <t xml:space="preserve">
1600118 12/27 74250pcs
王5b81600119 12/27 30250pcs
王5b6
1600127 12/27 23500pcs王5b6
1600114 12/27 22000pcs王4c2</t>
        </r>
      </text>
    </comment>
    <comment ref="AL935" authorId="0">
      <text>
        <r>
          <rPr>
            <b/>
            <sz val="9"/>
            <rFont val="宋体"/>
            <charset val="134"/>
          </rPr>
          <t>Administrator:</t>
        </r>
        <r>
          <rPr>
            <sz val="9"/>
            <rFont val="宋体"/>
            <charset val="134"/>
          </rPr>
          <t xml:space="preserve">
12/15 客供外箱条码贴纸 6060pcs</t>
        </r>
      </text>
    </comment>
    <comment ref="AI936" authorId="0">
      <text>
        <r>
          <rPr>
            <b/>
            <sz val="9"/>
            <rFont val="宋体"/>
            <charset val="134"/>
          </rPr>
          <t>Administrator:</t>
        </r>
        <r>
          <rPr>
            <sz val="9"/>
            <rFont val="宋体"/>
            <charset val="134"/>
          </rPr>
          <t xml:space="preserve">
1600018 12/22 996pcs王4c5</t>
        </r>
      </text>
    </comment>
    <comment ref="AL936" authorId="0">
      <text>
        <r>
          <rPr>
            <b/>
            <sz val="9"/>
            <rFont val="宋体"/>
            <charset val="134"/>
          </rPr>
          <t>Administrator:</t>
        </r>
        <r>
          <rPr>
            <sz val="9"/>
            <rFont val="宋体"/>
            <charset val="134"/>
          </rPr>
          <t xml:space="preserve">
11/18 上空白贴纸1992pcs
12/15 客供价格贴纸 1096pcs</t>
        </r>
      </text>
    </comment>
    <comment ref="AI937" authorId="0">
      <text>
        <r>
          <rPr>
            <b/>
            <sz val="9"/>
            <rFont val="宋体"/>
            <charset val="134"/>
          </rPr>
          <t>Administrator:</t>
        </r>
        <r>
          <rPr>
            <sz val="9"/>
            <rFont val="宋体"/>
            <charset val="134"/>
          </rPr>
          <t xml:space="preserve">
1600018 12/22 996pcs
王4a4</t>
        </r>
      </text>
    </comment>
    <comment ref="AL937" authorId="0">
      <text>
        <r>
          <rPr>
            <b/>
            <sz val="9"/>
            <rFont val="宋体"/>
            <charset val="134"/>
          </rPr>
          <t>Administrator:</t>
        </r>
        <r>
          <rPr>
            <sz val="9"/>
            <rFont val="宋体"/>
            <charset val="134"/>
          </rPr>
          <t xml:space="preserve">
11/18 上空白贴纸1992pcs
12/15 客供价格贴纸 996pcs</t>
        </r>
      </text>
    </comment>
    <comment ref="AI938" authorId="0">
      <text>
        <r>
          <rPr>
            <b/>
            <sz val="9"/>
            <rFont val="宋体"/>
            <charset val="134"/>
          </rPr>
          <t>Administrator:</t>
        </r>
        <r>
          <rPr>
            <sz val="9"/>
            <rFont val="宋体"/>
            <charset val="134"/>
          </rPr>
          <t xml:space="preserve">
1600018 12/22 1200pcs
王4a4</t>
        </r>
      </text>
    </comment>
    <comment ref="AL938" authorId="0">
      <text>
        <r>
          <rPr>
            <b/>
            <sz val="9"/>
            <rFont val="宋体"/>
            <charset val="134"/>
          </rPr>
          <t>Administrator:</t>
        </r>
        <r>
          <rPr>
            <sz val="9"/>
            <rFont val="宋体"/>
            <charset val="134"/>
          </rPr>
          <t xml:space="preserve">
11/18 上空白贴纸2400pcs
12/15 客供价格贴纸 1320pcs
</t>
        </r>
      </text>
    </comment>
    <comment ref="AI939" authorId="0">
      <text>
        <r>
          <rPr>
            <b/>
            <sz val="9"/>
            <rFont val="宋体"/>
            <charset val="134"/>
          </rPr>
          <t>Administrator:</t>
        </r>
        <r>
          <rPr>
            <sz val="9"/>
            <rFont val="宋体"/>
            <charset val="134"/>
          </rPr>
          <t xml:space="preserve">
1600018 12/22 1200pcs
王4b4</t>
        </r>
      </text>
    </comment>
    <comment ref="AL939" authorId="0">
      <text>
        <r>
          <rPr>
            <b/>
            <sz val="9"/>
            <rFont val="宋体"/>
            <charset val="134"/>
          </rPr>
          <t>Administrator:</t>
        </r>
        <r>
          <rPr>
            <sz val="9"/>
            <rFont val="宋体"/>
            <charset val="134"/>
          </rPr>
          <t xml:space="preserve">
11/18 上空白贴纸2400pcs
12/15 客供价格贴纸 1320pcs</t>
        </r>
      </text>
    </comment>
    <comment ref="AI940" authorId="0">
      <text>
        <r>
          <rPr>
            <b/>
            <sz val="9"/>
            <rFont val="宋体"/>
            <charset val="134"/>
          </rPr>
          <t>Administrator:</t>
        </r>
        <r>
          <rPr>
            <sz val="9"/>
            <rFont val="宋体"/>
            <charset val="134"/>
          </rPr>
          <t xml:space="preserve">
1201031 12/20 507pcs 王4b1</t>
        </r>
      </text>
    </comment>
    <comment ref="AL940" authorId="0">
      <text>
        <r>
          <rPr>
            <b/>
            <sz val="9"/>
            <rFont val="宋体"/>
            <charset val="134"/>
          </rPr>
          <t>Administrator:</t>
        </r>
        <r>
          <rPr>
            <sz val="9"/>
            <rFont val="宋体"/>
            <charset val="134"/>
          </rPr>
          <t xml:space="preserve">
12/10 款号贴纸 507pcs
警语贴纸 507pcs</t>
        </r>
      </text>
    </comment>
    <comment ref="AI941" authorId="0">
      <text>
        <r>
          <rPr>
            <b/>
            <sz val="9"/>
            <rFont val="宋体"/>
            <charset val="134"/>
          </rPr>
          <t>Administrator:</t>
        </r>
        <r>
          <rPr>
            <sz val="9"/>
            <rFont val="宋体"/>
            <charset val="134"/>
          </rPr>
          <t xml:space="preserve">
1600068 12/23 2004pcs 华3b14
</t>
        </r>
      </text>
    </comment>
    <comment ref="AL941" authorId="0">
      <text>
        <r>
          <rPr>
            <b/>
            <sz val="9"/>
            <rFont val="宋体"/>
            <charset val="134"/>
          </rPr>
          <t>Administrator:</t>
        </r>
        <r>
          <rPr>
            <sz val="9"/>
            <rFont val="宋体"/>
            <charset val="134"/>
          </rPr>
          <t xml:space="preserve">
12/15 客供价格贴纸 2100pcs</t>
        </r>
      </text>
    </comment>
    <comment ref="AI942" authorId="0">
      <text>
        <r>
          <rPr>
            <b/>
            <sz val="9"/>
            <rFont val="宋体"/>
            <charset val="134"/>
          </rPr>
          <t>Administrator:</t>
        </r>
        <r>
          <rPr>
            <sz val="9"/>
            <rFont val="宋体"/>
            <charset val="134"/>
          </rPr>
          <t xml:space="preserve">
1600151 12/30 2775pcs
华3b14</t>
        </r>
      </text>
    </comment>
    <comment ref="AL942" authorId="0">
      <text>
        <r>
          <rPr>
            <b/>
            <sz val="9"/>
            <rFont val="宋体"/>
            <charset val="134"/>
          </rPr>
          <t>Administrator:</t>
        </r>
        <r>
          <rPr>
            <sz val="9"/>
            <rFont val="宋体"/>
            <charset val="134"/>
          </rPr>
          <t xml:space="preserve">
12/18 DC运输贴纸 2775pcs
12/24 PDQ标识贴 111pcs</t>
        </r>
      </text>
    </comment>
    <comment ref="AI943" authorId="0">
      <text>
        <r>
          <rPr>
            <b/>
            <sz val="9"/>
            <rFont val="宋体"/>
            <charset val="134"/>
          </rPr>
          <t>Administrator:</t>
        </r>
        <r>
          <rPr>
            <sz val="9"/>
            <rFont val="宋体"/>
            <charset val="134"/>
          </rPr>
          <t xml:space="preserve">
1600966 1/4 1200pcs 庞3a10</t>
        </r>
      </text>
    </comment>
    <comment ref="AI944" authorId="0">
      <text>
        <r>
          <rPr>
            <b/>
            <sz val="9"/>
            <rFont val="宋体"/>
            <charset val="134"/>
          </rPr>
          <t>Administrator:</t>
        </r>
        <r>
          <rPr>
            <sz val="9"/>
            <rFont val="宋体"/>
            <charset val="134"/>
          </rPr>
          <t xml:space="preserve">
1600144 12/29 36720pcs
华3a101600151 12/30 10800pcs华3a10
1600966 1/4 6672pcs
庞3a10
</t>
        </r>
      </text>
    </comment>
    <comment ref="AI945" authorId="0">
      <text>
        <r>
          <rPr>
            <b/>
            <sz val="9"/>
            <rFont val="宋体"/>
            <charset val="134"/>
          </rPr>
          <t>Administrator:</t>
        </r>
        <r>
          <rPr>
            <sz val="9"/>
            <rFont val="宋体"/>
            <charset val="134"/>
          </rPr>
          <t xml:space="preserve">
1600992 1/5 1500pcs王4c5</t>
        </r>
      </text>
    </comment>
    <comment ref="AL945" authorId="0">
      <text>
        <r>
          <rPr>
            <b/>
            <sz val="9"/>
            <rFont val="宋体"/>
            <charset val="134"/>
          </rPr>
          <t>Administrator:</t>
        </r>
        <r>
          <rPr>
            <sz val="9"/>
            <rFont val="宋体"/>
            <charset val="134"/>
          </rPr>
          <t xml:space="preserve">
12/12 进口商贴纸 1500pcs
UPC 条码贴纸 1200pcs</t>
        </r>
      </text>
    </comment>
    <comment ref="AI946" authorId="0">
      <text>
        <r>
          <rPr>
            <b/>
            <sz val="9"/>
            <rFont val="宋体"/>
            <charset val="134"/>
          </rPr>
          <t>Administrator:</t>
        </r>
        <r>
          <rPr>
            <sz val="9"/>
            <rFont val="宋体"/>
            <charset val="134"/>
          </rPr>
          <t xml:space="preserve">
1600151 12/30 1250pcs
华3b14
1600952 1/2  25pcs庞3b14</t>
        </r>
      </text>
    </comment>
    <comment ref="AL946" authorId="0">
      <text>
        <r>
          <rPr>
            <b/>
            <sz val="9"/>
            <rFont val="宋体"/>
            <charset val="134"/>
          </rPr>
          <t>Administrator:</t>
        </r>
        <r>
          <rPr>
            <sz val="9"/>
            <rFont val="宋体"/>
            <charset val="134"/>
          </rPr>
          <t xml:space="preserve">
12/18 DC运输贴纸 2275pcs
12/24 PDQ标识贴 51pcs</t>
        </r>
      </text>
    </comment>
    <comment ref="AI947" authorId="0">
      <text>
        <r>
          <rPr>
            <b/>
            <sz val="9"/>
            <rFont val="宋体"/>
            <charset val="134"/>
          </rPr>
          <t>Administrator:</t>
        </r>
        <r>
          <rPr>
            <sz val="9"/>
            <rFont val="宋体"/>
            <charset val="134"/>
          </rPr>
          <t xml:space="preserve">
1600151 12/30 2350pcs
华3b14</t>
        </r>
      </text>
    </comment>
    <comment ref="AL947" authorId="0">
      <text>
        <r>
          <rPr>
            <b/>
            <sz val="9"/>
            <rFont val="宋体"/>
            <charset val="134"/>
          </rPr>
          <t>Administrator:</t>
        </r>
        <r>
          <rPr>
            <sz val="9"/>
            <rFont val="宋体"/>
            <charset val="134"/>
          </rPr>
          <t xml:space="preserve">
12/18 DC运输贴纸 22350pcs
12/24 PDQ标识贴 94pcs</t>
        </r>
      </text>
    </comment>
    <comment ref="AI949" authorId="0">
      <text>
        <r>
          <rPr>
            <b/>
            <sz val="9"/>
            <rFont val="宋体"/>
            <charset val="134"/>
          </rPr>
          <t>Administrator:</t>
        </r>
        <r>
          <rPr>
            <sz val="9"/>
            <rFont val="宋体"/>
            <charset val="134"/>
          </rPr>
          <t xml:space="preserve">
</t>
        </r>
        <r>
          <rPr>
            <sz val="12"/>
            <rFont val="宋体"/>
            <charset val="134"/>
          </rPr>
          <t xml:space="preserve">1600099 12/26 611pcs 王4c5 </t>
        </r>
      </text>
    </comment>
    <comment ref="AL949" authorId="0">
      <text>
        <r>
          <rPr>
            <b/>
            <sz val="9"/>
            <rFont val="宋体"/>
            <charset val="134"/>
          </rPr>
          <t>Administrator:</t>
        </r>
        <r>
          <rPr>
            <sz val="9"/>
            <rFont val="宋体"/>
            <charset val="134"/>
          </rPr>
          <t xml:space="preserve">
12/17 多语警语折叠贴纸 611pcs</t>
        </r>
      </text>
    </comment>
    <comment ref="AI950" authorId="0">
      <text>
        <r>
          <rPr>
            <b/>
            <sz val="9"/>
            <rFont val="宋体"/>
            <charset val="134"/>
          </rPr>
          <t>Administrator:</t>
        </r>
        <r>
          <rPr>
            <sz val="9"/>
            <rFont val="宋体"/>
            <charset val="134"/>
          </rPr>
          <t xml:space="preserve">
3000627 12/30 5400pcs 文本云</t>
        </r>
      </text>
    </comment>
    <comment ref="AI951" authorId="0">
      <text>
        <r>
          <rPr>
            <b/>
            <sz val="9"/>
            <rFont val="宋体"/>
            <charset val="134"/>
          </rPr>
          <t>Administrator:</t>
        </r>
        <r>
          <rPr>
            <sz val="9"/>
            <rFont val="宋体"/>
            <charset val="134"/>
          </rPr>
          <t xml:space="preserve">
1600151 12/30 1872pcs
华3b15</t>
        </r>
      </text>
    </comment>
    <comment ref="AL951" authorId="0">
      <text>
        <r>
          <rPr>
            <b/>
            <sz val="9"/>
            <rFont val="宋体"/>
            <charset val="134"/>
          </rPr>
          <t>Administrator:</t>
        </r>
        <r>
          <rPr>
            <sz val="9"/>
            <rFont val="宋体"/>
            <charset val="134"/>
          </rPr>
          <t xml:space="preserve">
12/18 进口商贴纸 1872pcs
UPC条码贴纸 1872pcs</t>
        </r>
      </text>
    </comment>
    <comment ref="AI952" authorId="0">
      <text>
        <r>
          <rPr>
            <b/>
            <sz val="9"/>
            <rFont val="宋体"/>
            <charset val="134"/>
          </rPr>
          <t>Administrator:</t>
        </r>
        <r>
          <rPr>
            <sz val="9"/>
            <rFont val="宋体"/>
            <charset val="134"/>
          </rPr>
          <t xml:space="preserve">
1600951 1/2 10400pcs
庞3b8</t>
        </r>
      </text>
    </comment>
    <comment ref="AL952" authorId="0">
      <text>
        <r>
          <rPr>
            <b/>
            <sz val="9"/>
            <rFont val="宋体"/>
            <charset val="134"/>
          </rPr>
          <t>Administrator:</t>
        </r>
        <r>
          <rPr>
            <sz val="9"/>
            <rFont val="宋体"/>
            <charset val="134"/>
          </rPr>
          <t xml:space="preserve">
12/22 客户EAN贴纸 10400
PDQ数量贴纸 2600pcs</t>
        </r>
      </text>
    </comment>
    <comment ref="AI953" authorId="0">
      <text>
        <r>
          <rPr>
            <b/>
            <sz val="9"/>
            <rFont val="宋体"/>
            <charset val="134"/>
          </rPr>
          <t>Administrator:</t>
        </r>
        <r>
          <rPr>
            <sz val="9"/>
            <rFont val="宋体"/>
            <charset val="134"/>
          </rPr>
          <t xml:space="preserve">
1600952 1/2  1188pcs庞3a15
1600966 1/3 12pcs 庞3a15</t>
        </r>
      </text>
    </comment>
    <comment ref="AL953" authorId="0">
      <text>
        <r>
          <rPr>
            <b/>
            <sz val="9"/>
            <rFont val="宋体"/>
            <charset val="134"/>
          </rPr>
          <t>Administrator:</t>
        </r>
        <r>
          <rPr>
            <sz val="9"/>
            <rFont val="宋体"/>
            <charset val="134"/>
          </rPr>
          <t xml:space="preserve">
12/15 客供价格贴纸 1320pcs
</t>
        </r>
      </text>
    </comment>
    <comment ref="AI954" authorId="0">
      <text>
        <r>
          <rPr>
            <b/>
            <sz val="9"/>
            <rFont val="宋体"/>
            <charset val="134"/>
          </rPr>
          <t>Administrator:</t>
        </r>
        <r>
          <rPr>
            <sz val="9"/>
            <rFont val="宋体"/>
            <charset val="134"/>
          </rPr>
          <t xml:space="preserve">
1600952 1/2  996pcs 庞3b15</t>
        </r>
      </text>
    </comment>
    <comment ref="AL954" authorId="0">
      <text>
        <r>
          <rPr>
            <b/>
            <sz val="9"/>
            <rFont val="宋体"/>
            <charset val="134"/>
          </rPr>
          <t>Administrator:</t>
        </r>
        <r>
          <rPr>
            <sz val="9"/>
            <rFont val="宋体"/>
            <charset val="134"/>
          </rPr>
          <t xml:space="preserve">
12/15 客供价格贴纸 1096pcs
</t>
        </r>
      </text>
    </comment>
    <comment ref="AI955" authorId="0">
      <text>
        <r>
          <rPr>
            <b/>
            <sz val="9"/>
            <rFont val="宋体"/>
            <charset val="134"/>
          </rPr>
          <t>Administrator:</t>
        </r>
        <r>
          <rPr>
            <sz val="9"/>
            <rFont val="宋体"/>
            <charset val="134"/>
          </rPr>
          <t xml:space="preserve">
1600952 1/2  1200pcs 庞3b15</t>
        </r>
      </text>
    </comment>
    <comment ref="AL955" authorId="0">
      <text>
        <r>
          <rPr>
            <b/>
            <sz val="9"/>
            <rFont val="宋体"/>
            <charset val="134"/>
          </rPr>
          <t>Administrator:</t>
        </r>
        <r>
          <rPr>
            <sz val="9"/>
            <rFont val="宋体"/>
            <charset val="134"/>
          </rPr>
          <t xml:space="preserve">
12/15 客供价格贴纸 1320pcs
</t>
        </r>
      </text>
    </comment>
    <comment ref="AI956" authorId="0">
      <text>
        <r>
          <rPr>
            <b/>
            <sz val="9"/>
            <rFont val="宋体"/>
            <charset val="134"/>
          </rPr>
          <t>Administrator:</t>
        </r>
        <r>
          <rPr>
            <sz val="9"/>
            <rFont val="宋体"/>
            <charset val="134"/>
          </rPr>
          <t xml:space="preserve">
1600956</t>
        </r>
        <r>
          <rPr>
            <sz val="10"/>
            <rFont val="宋体"/>
            <charset val="134"/>
          </rPr>
          <t xml:space="preserve"> 1/3 996pcs庞3b15</t>
        </r>
      </text>
    </comment>
    <comment ref="AL956" authorId="0">
      <text>
        <r>
          <rPr>
            <b/>
            <sz val="9"/>
            <rFont val="宋体"/>
            <charset val="134"/>
          </rPr>
          <t>Administrator:</t>
        </r>
        <r>
          <rPr>
            <sz val="9"/>
            <rFont val="宋体"/>
            <charset val="134"/>
          </rPr>
          <t xml:space="preserve">
12/15 客供价格贴纸 1096pcs
</t>
        </r>
      </text>
    </comment>
    <comment ref="AI957" authorId="0">
      <text>
        <r>
          <rPr>
            <b/>
            <sz val="9"/>
            <rFont val="宋体"/>
            <charset val="134"/>
          </rPr>
          <t>Administrator:</t>
        </r>
        <r>
          <rPr>
            <sz val="9"/>
            <rFont val="宋体"/>
            <charset val="134"/>
          </rPr>
          <t xml:space="preserve">
1600951 1/2 2220pcs
庞3b8</t>
        </r>
      </text>
    </comment>
    <comment ref="AL957" authorId="0">
      <text>
        <r>
          <rPr>
            <b/>
            <sz val="9"/>
            <rFont val="宋体"/>
            <charset val="134"/>
          </rPr>
          <t>Administrator:</t>
        </r>
        <r>
          <rPr>
            <sz val="9"/>
            <rFont val="宋体"/>
            <charset val="134"/>
          </rPr>
          <t xml:space="preserve">
12/18 UPC条码贴纸 2220pcs
进口商贴纸 2220pcs</t>
        </r>
      </text>
    </comment>
    <comment ref="AI958" authorId="0">
      <text>
        <r>
          <rPr>
            <b/>
            <sz val="9"/>
            <rFont val="宋体"/>
            <charset val="134"/>
          </rPr>
          <t>Administrator:</t>
        </r>
        <r>
          <rPr>
            <sz val="9"/>
            <rFont val="宋体"/>
            <charset val="134"/>
          </rPr>
          <t xml:space="preserve">
1600144 12/29 1320pcs 华3b12
1600966 1/3 3672pcs庞3b11
</t>
        </r>
      </text>
    </comment>
    <comment ref="AL958" authorId="0">
      <text>
        <r>
          <rPr>
            <b/>
            <sz val="9"/>
            <rFont val="宋体"/>
            <charset val="134"/>
          </rPr>
          <t>Administrator:</t>
        </r>
        <r>
          <rPr>
            <sz val="9"/>
            <rFont val="宋体"/>
            <charset val="134"/>
          </rPr>
          <t xml:space="preserve">
12/16 客版产品条码贴纸 4992pcs</t>
        </r>
      </text>
    </comment>
    <comment ref="AI959" authorId="0">
      <text>
        <r>
          <rPr>
            <b/>
            <sz val="9"/>
            <rFont val="宋体"/>
            <charset val="134"/>
          </rPr>
          <t>Administrator:</t>
        </r>
        <r>
          <rPr>
            <sz val="9"/>
            <rFont val="宋体"/>
            <charset val="134"/>
          </rPr>
          <t xml:space="preserve">
1600951 1/2 1248pcs 庞3b8
</t>
        </r>
      </text>
    </comment>
    <comment ref="AL959" authorId="0">
      <text>
        <r>
          <rPr>
            <b/>
            <sz val="9"/>
            <rFont val="宋体"/>
            <charset val="134"/>
          </rPr>
          <t>Administrator:</t>
        </r>
        <r>
          <rPr>
            <sz val="9"/>
            <rFont val="宋体"/>
            <charset val="134"/>
          </rPr>
          <t xml:space="preserve">
12/8 客供警语贴纸贴球底部1288pcs
客供警语贴纸贴收藏指甫1290pcs
客供警语贴纸贴说明书上1290pcs
12/25 空白贴纸 1248pcs
UPC 条码贴纸 1248pcs</t>
        </r>
      </text>
    </comment>
    <comment ref="AI960" authorId="0">
      <text>
        <r>
          <rPr>
            <b/>
            <sz val="9"/>
            <rFont val="宋体"/>
            <charset val="134"/>
          </rPr>
          <t>Administrator:</t>
        </r>
        <r>
          <rPr>
            <sz val="9"/>
            <rFont val="宋体"/>
            <charset val="134"/>
          </rPr>
          <t xml:space="preserve">
4001728 1/10 720pcs
</t>
        </r>
      </text>
    </comment>
    <comment ref="AL960" authorId="0">
      <text>
        <r>
          <rPr>
            <b/>
            <sz val="9"/>
            <rFont val="宋体"/>
            <charset val="134"/>
          </rPr>
          <t>Administrator:</t>
        </r>
        <r>
          <rPr>
            <sz val="9"/>
            <rFont val="宋体"/>
            <charset val="134"/>
          </rPr>
          <t xml:space="preserve">
12/8 客供警语贴纸贴说明书上 1488pcs
客供电池警语贴纸 1488pcs
客供警语贴纸贴收藏指南 1488pcs
12/25 空白贴纸 720pcs</t>
        </r>
      </text>
    </comment>
    <comment ref="AI961" authorId="0">
      <text>
        <r>
          <rPr>
            <b/>
            <sz val="9"/>
            <rFont val="宋体"/>
            <charset val="134"/>
          </rPr>
          <t>Administrator:</t>
        </r>
        <r>
          <rPr>
            <sz val="9"/>
            <rFont val="宋体"/>
            <charset val="134"/>
          </rPr>
          <t xml:space="preserve">
1600952 1/2  2475pcs 庞3b8
1600966 1/3 25pcs
庞3b8</t>
        </r>
      </text>
    </comment>
    <comment ref="AL961" authorId="0">
      <text>
        <r>
          <rPr>
            <b/>
            <sz val="9"/>
            <rFont val="宋体"/>
            <charset val="134"/>
          </rPr>
          <t>Administrator:</t>
        </r>
        <r>
          <rPr>
            <sz val="9"/>
            <rFont val="宋体"/>
            <charset val="134"/>
          </rPr>
          <t xml:space="preserve">
12/25 法国回收标贴纸 2500pcs</t>
        </r>
      </text>
    </comment>
    <comment ref="AI962" authorId="0">
      <text>
        <r>
          <rPr>
            <b/>
            <sz val="9"/>
            <rFont val="宋体"/>
            <charset val="134"/>
          </rPr>
          <t>Administrator:</t>
        </r>
        <r>
          <rPr>
            <sz val="9"/>
            <rFont val="宋体"/>
            <charset val="134"/>
          </rPr>
          <t xml:space="preserve">
1600962 1/3 46000pcs庞3a22</t>
        </r>
      </text>
    </comment>
    <comment ref="AL963" authorId="0">
      <text>
        <r>
          <rPr>
            <b/>
            <sz val="9"/>
            <rFont val="宋体"/>
            <charset val="134"/>
          </rPr>
          <t>Administrator:</t>
        </r>
        <r>
          <rPr>
            <sz val="9"/>
            <rFont val="宋体"/>
            <charset val="134"/>
          </rPr>
          <t xml:space="preserve">
12/9 亚马逊外箱贴纸 84pcs</t>
        </r>
      </text>
    </comment>
    <comment ref="AI965" authorId="0">
      <text>
        <r>
          <rPr>
            <b/>
            <sz val="9"/>
            <rFont val="宋体"/>
            <charset val="134"/>
          </rPr>
          <t>Administrator:</t>
        </r>
        <r>
          <rPr>
            <sz val="9"/>
            <rFont val="宋体"/>
            <charset val="134"/>
          </rPr>
          <t xml:space="preserve">
1600992 1/5 132pcs
王4b1</t>
        </r>
      </text>
    </comment>
    <comment ref="AL965" authorId="0">
      <text>
        <r>
          <rPr>
            <b/>
            <sz val="9"/>
            <rFont val="宋体"/>
            <charset val="134"/>
          </rPr>
          <t>Administrator:</t>
        </r>
        <r>
          <rPr>
            <sz val="9"/>
            <rFont val="宋体"/>
            <charset val="134"/>
          </rPr>
          <t xml:space="preserve">
12/23 客供价格贴纸 746pcs</t>
        </r>
      </text>
    </comment>
    <comment ref="AL967" authorId="0">
      <text>
        <r>
          <rPr>
            <b/>
            <sz val="9"/>
            <rFont val="宋体"/>
            <charset val="134"/>
          </rPr>
          <t>Administrator:</t>
        </r>
        <r>
          <rPr>
            <sz val="9"/>
            <rFont val="宋体"/>
            <charset val="134"/>
          </rPr>
          <t xml:space="preserve">
12/23 客供价格贴纸 798pcs</t>
        </r>
      </text>
    </comment>
    <comment ref="AI968" authorId="0">
      <text>
        <r>
          <rPr>
            <b/>
            <sz val="9"/>
            <rFont val="宋体"/>
            <charset val="134"/>
          </rPr>
          <t>Administrator:</t>
        </r>
        <r>
          <rPr>
            <sz val="9"/>
            <rFont val="宋体"/>
            <charset val="134"/>
          </rPr>
          <t xml:space="preserve">
1600992 1/5 720pcs
王4b1
</t>
        </r>
      </text>
    </comment>
    <comment ref="AL968" authorId="0">
      <text>
        <r>
          <rPr>
            <b/>
            <sz val="9"/>
            <rFont val="宋体"/>
            <charset val="134"/>
          </rPr>
          <t>Administrator:</t>
        </r>
        <r>
          <rPr>
            <sz val="9"/>
            <rFont val="宋体"/>
            <charset val="134"/>
          </rPr>
          <t xml:space="preserve">
12/23 客供价格贴纸 792pcs</t>
        </r>
      </text>
    </comment>
    <comment ref="AL969" authorId="0">
      <text>
        <r>
          <rPr>
            <b/>
            <sz val="9"/>
            <rFont val="宋体"/>
            <charset val="134"/>
          </rPr>
          <t>Administrator:</t>
        </r>
        <r>
          <rPr>
            <sz val="9"/>
            <rFont val="宋体"/>
            <charset val="134"/>
          </rPr>
          <t xml:space="preserve">
12/23 客供价格贴纸 198pcs
</t>
        </r>
      </text>
    </comment>
    <comment ref="AI970" authorId="0">
      <text>
        <r>
          <rPr>
            <b/>
            <sz val="9"/>
            <rFont val="宋体"/>
            <charset val="134"/>
          </rPr>
          <t>Administrator:</t>
        </r>
        <r>
          <rPr>
            <sz val="9"/>
            <rFont val="宋体"/>
            <charset val="134"/>
          </rPr>
          <t xml:space="preserve">
1600992 1/5 180pcs
王4b1</t>
        </r>
      </text>
    </comment>
    <comment ref="AL970" authorId="0">
      <text>
        <r>
          <rPr>
            <b/>
            <sz val="9"/>
            <rFont val="宋体"/>
            <charset val="134"/>
          </rPr>
          <t>Administrator:</t>
        </r>
        <r>
          <rPr>
            <sz val="9"/>
            <rFont val="宋体"/>
            <charset val="134"/>
          </rPr>
          <t xml:space="preserve">
12/23 客供价格贴纸 198pcs
</t>
        </r>
      </text>
    </comment>
    <comment ref="AL971" authorId="0">
      <text>
        <r>
          <rPr>
            <b/>
            <sz val="9"/>
            <rFont val="宋体"/>
            <charset val="134"/>
          </rPr>
          <t>Administrator:</t>
        </r>
        <r>
          <rPr>
            <sz val="9"/>
            <rFont val="宋体"/>
            <charset val="134"/>
          </rPr>
          <t xml:space="preserve">
12/23 客供价格贴纸 792pcs
</t>
        </r>
      </text>
    </comment>
    <comment ref="AL972" authorId="0">
      <text>
        <r>
          <rPr>
            <b/>
            <sz val="9"/>
            <rFont val="宋体"/>
            <charset val="134"/>
          </rPr>
          <t>Administrator:</t>
        </r>
        <r>
          <rPr>
            <sz val="9"/>
            <rFont val="宋体"/>
            <charset val="134"/>
          </rPr>
          <t xml:space="preserve">
12/23 客供价格贴纸 198pcs
</t>
        </r>
      </text>
    </comment>
    <comment ref="AI973" authorId="0">
      <text>
        <r>
          <rPr>
            <b/>
            <sz val="9"/>
            <rFont val="宋体"/>
            <charset val="134"/>
          </rPr>
          <t>Administrator:</t>
        </r>
        <r>
          <rPr>
            <sz val="9"/>
            <rFont val="宋体"/>
            <charset val="134"/>
          </rPr>
          <t xml:space="preserve">
1600952 1/2 3600pcs 庞3b8
1601043 1/8 100pcs庞3b8
</t>
        </r>
      </text>
    </comment>
    <comment ref="AL973" authorId="0">
      <text>
        <r>
          <rPr>
            <b/>
            <sz val="9"/>
            <rFont val="宋体"/>
            <charset val="134"/>
          </rPr>
          <t>Administrator:</t>
        </r>
        <r>
          <rPr>
            <sz val="9"/>
            <rFont val="宋体"/>
            <charset val="134"/>
          </rPr>
          <t xml:space="preserve">
12/15 进口商贴纸 3600pcs</t>
        </r>
      </text>
    </comment>
    <comment ref="AI974" authorId="0">
      <text>
        <r>
          <rPr>
            <b/>
            <sz val="9"/>
            <rFont val="宋体"/>
            <charset val="134"/>
          </rPr>
          <t>Administrator:</t>
        </r>
        <r>
          <rPr>
            <sz val="9"/>
            <rFont val="宋体"/>
            <charset val="134"/>
          </rPr>
          <t xml:space="preserve">
1601013 1/6 912PCS 华3b11</t>
        </r>
      </text>
    </comment>
    <comment ref="AL974" authorId="0">
      <text>
        <r>
          <rPr>
            <b/>
            <sz val="9"/>
            <rFont val="宋体"/>
            <charset val="134"/>
          </rPr>
          <t>Administrator:</t>
        </r>
        <r>
          <rPr>
            <sz val="9"/>
            <rFont val="宋体"/>
            <charset val="134"/>
          </rPr>
          <t xml:space="preserve">
12/9 亚马逊外箱贴纸 76pcs
12/25 空白贴纸 1824pcs
环保标贴纸 912pcs</t>
        </r>
      </text>
    </comment>
    <comment ref="AI975" authorId="0">
      <text>
        <r>
          <rPr>
            <b/>
            <sz val="9"/>
            <rFont val="宋体"/>
            <charset val="134"/>
          </rPr>
          <t>Administrator:</t>
        </r>
        <r>
          <rPr>
            <sz val="9"/>
            <rFont val="宋体"/>
            <charset val="134"/>
          </rPr>
          <t xml:space="preserve">
1601028 1/6 1080PCS 华3a29 
1601013 1/6 5220PCS华3a29
</t>
        </r>
      </text>
    </comment>
    <comment ref="AL975" authorId="0">
      <text>
        <r>
          <rPr>
            <b/>
            <sz val="9"/>
            <rFont val="宋体"/>
            <charset val="134"/>
          </rPr>
          <t>Administrator:</t>
        </r>
        <r>
          <rPr>
            <sz val="9"/>
            <rFont val="宋体"/>
            <charset val="134"/>
          </rPr>
          <t xml:space="preserve">
12/9 亚马逊外箱贴纸 525pcs
12/25 空白贴纸 12600pcs
环保标贴纸 6300pcs</t>
        </r>
      </text>
    </comment>
    <comment ref="AI976" authorId="0">
      <text>
        <r>
          <rPr>
            <b/>
            <sz val="9"/>
            <rFont val="宋体"/>
            <charset val="134"/>
          </rPr>
          <t>Administrator:</t>
        </r>
        <r>
          <rPr>
            <sz val="9"/>
            <rFont val="宋体"/>
            <charset val="134"/>
          </rPr>
          <t xml:space="preserve">
1601038 1/6 2600pcs王4b5</t>
        </r>
      </text>
    </comment>
    <comment ref="AL976" authorId="0">
      <text>
        <r>
          <rPr>
            <b/>
            <sz val="9"/>
            <rFont val="宋体"/>
            <charset val="134"/>
          </rPr>
          <t>Administrator:</t>
        </r>
        <r>
          <rPr>
            <sz val="9"/>
            <rFont val="宋体"/>
            <charset val="134"/>
          </rPr>
          <t xml:space="preserve">
12/24 客供防窜码贴纸1拖13 200pcs
12/30 条码贴纸 2600pcs</t>
        </r>
      </text>
    </comment>
    <comment ref="AI977" authorId="0">
      <text>
        <r>
          <rPr>
            <b/>
            <sz val="9"/>
            <rFont val="宋体"/>
            <charset val="134"/>
          </rPr>
          <t xml:space="preserve">Administrat
1601028 </t>
        </r>
        <r>
          <rPr>
            <sz val="9"/>
            <rFont val="宋体"/>
            <charset val="134"/>
          </rPr>
          <t xml:space="preserve"> 1/6 8000PCS
华3a21</t>
        </r>
      </text>
    </comment>
    <comment ref="AI980" authorId="0">
      <text>
        <r>
          <rPr>
            <b/>
            <sz val="9"/>
            <rFont val="宋体"/>
            <charset val="134"/>
          </rPr>
          <t>Administrator:</t>
        </r>
        <r>
          <rPr>
            <sz val="9"/>
            <rFont val="宋体"/>
            <charset val="134"/>
          </rPr>
          <t xml:space="preserve">
1601032 1/6 50000pcs晚饭4a7</t>
        </r>
      </text>
    </comment>
    <comment ref="AI981" authorId="0">
      <text>
        <r>
          <rPr>
            <b/>
            <sz val="9"/>
            <rFont val="宋体"/>
            <charset val="134"/>
          </rPr>
          <t>Administrator:</t>
        </r>
        <r>
          <rPr>
            <sz val="9"/>
            <rFont val="宋体"/>
            <charset val="134"/>
          </rPr>
          <t xml:space="preserve">
1601038 1/6 12000pcs王4c4</t>
        </r>
      </text>
    </comment>
    <comment ref="AL981" authorId="0">
      <text>
        <r>
          <rPr>
            <b/>
            <sz val="9"/>
            <rFont val="宋体"/>
            <charset val="134"/>
          </rPr>
          <t>Administrator:</t>
        </r>
        <r>
          <rPr>
            <sz val="9"/>
            <rFont val="宋体"/>
            <charset val="134"/>
          </rPr>
          <t xml:space="preserve">
12/25 法国回收标贴纸 12000pcs</t>
        </r>
      </text>
    </comment>
    <comment ref="AI982" authorId="0">
      <text>
        <r>
          <rPr>
            <b/>
            <sz val="9"/>
            <rFont val="宋体"/>
            <charset val="134"/>
          </rPr>
          <t>Administrator:</t>
        </r>
        <r>
          <rPr>
            <sz val="9"/>
            <rFont val="宋体"/>
            <charset val="134"/>
          </rPr>
          <t xml:space="preserve">
1601028  1/6 2925PCS华3b21</t>
        </r>
      </text>
    </comment>
    <comment ref="AI983" authorId="0">
      <text>
        <r>
          <rPr>
            <b/>
            <sz val="9"/>
            <rFont val="宋体"/>
            <charset val="134"/>
          </rPr>
          <t xml:space="preserve">Administra
</t>
        </r>
        <r>
          <rPr>
            <sz val="9"/>
            <rFont val="宋体"/>
            <charset val="134"/>
          </rPr>
          <t>1601038 1/6 520pcs王4b9</t>
        </r>
      </text>
    </comment>
    <comment ref="AI984" authorId="0">
      <text>
        <r>
          <rPr>
            <b/>
            <sz val="9"/>
            <rFont val="宋体"/>
            <charset val="134"/>
          </rPr>
          <t>Administrator:</t>
        </r>
        <r>
          <rPr>
            <sz val="9"/>
            <rFont val="宋体"/>
            <charset val="134"/>
          </rPr>
          <t xml:space="preserve">
1403750 5/6 750pcs新a1c7</t>
        </r>
      </text>
    </comment>
    <comment ref="AI985" authorId="0">
      <text>
        <r>
          <rPr>
            <b/>
            <sz val="9"/>
            <rFont val="宋体"/>
            <charset val="134"/>
          </rPr>
          <t>Administrator:</t>
        </r>
        <r>
          <rPr>
            <sz val="9"/>
            <rFont val="宋体"/>
            <charset val="134"/>
          </rPr>
          <t xml:space="preserve">
1601043 1/8 9893pcs 晚饭4c4</t>
        </r>
      </text>
    </comment>
    <comment ref="AL986" authorId="0">
      <text>
        <r>
          <rPr>
            <b/>
            <sz val="9"/>
            <rFont val="宋体"/>
            <charset val="134"/>
          </rPr>
          <t>Administrator:</t>
        </r>
        <r>
          <rPr>
            <sz val="9"/>
            <rFont val="宋体"/>
            <charset val="134"/>
          </rPr>
          <t xml:space="preserve">
11/22 上客供芯片贴纸660pcs
12/10 颜色贴纸 660pcs</t>
        </r>
      </text>
    </comment>
    <comment ref="AL987" authorId="0">
      <text>
        <r>
          <rPr>
            <b/>
            <sz val="9"/>
            <rFont val="宋体"/>
            <charset val="134"/>
          </rPr>
          <t>Administrator:</t>
        </r>
        <r>
          <rPr>
            <sz val="9"/>
            <rFont val="宋体"/>
            <charset val="134"/>
          </rPr>
          <t xml:space="preserve">
11/22 上客供芯片贴纸1800pcs
12/10 颜色贴纸 1800pcs</t>
        </r>
      </text>
    </comment>
    <comment ref="AL988" authorId="0">
      <text>
        <r>
          <rPr>
            <b/>
            <sz val="9"/>
            <rFont val="宋体"/>
            <charset val="134"/>
          </rPr>
          <t>Administrator:</t>
        </r>
        <r>
          <rPr>
            <sz val="9"/>
            <rFont val="宋体"/>
            <charset val="134"/>
          </rPr>
          <t xml:space="preserve">
12/9 3c贴纸 1200pcs
12/25 上客供芯片码贴纸1200pcs
12/10 颜色贴纸 1200pcs
空白贴纸 1200pcs</t>
        </r>
      </text>
    </comment>
    <comment ref="AI989" authorId="0">
      <text>
        <r>
          <rPr>
            <b/>
            <sz val="9"/>
            <rFont val="宋体"/>
            <charset val="134"/>
          </rPr>
          <t>Administrator:</t>
        </r>
        <r>
          <rPr>
            <sz val="9"/>
            <rFont val="宋体"/>
            <charset val="134"/>
          </rPr>
          <t xml:space="preserve">
1601184 1/17 624pcs
庞3b8</t>
        </r>
      </text>
    </comment>
    <comment ref="AL989" authorId="0">
      <text>
        <r>
          <rPr>
            <b/>
            <sz val="9"/>
            <rFont val="宋体"/>
            <charset val="134"/>
          </rPr>
          <t>Administrator:</t>
        </r>
        <r>
          <rPr>
            <sz val="9"/>
            <rFont val="宋体"/>
            <charset val="134"/>
          </rPr>
          <t xml:space="preserve">
1/5 客供亚马逊外箱贴纸 52pcs
</t>
        </r>
      </text>
    </comment>
    <comment ref="AI990" authorId="0">
      <text>
        <r>
          <rPr>
            <b/>
            <sz val="9"/>
            <rFont val="宋体"/>
            <charset val="134"/>
          </rPr>
          <t>Administrator:</t>
        </r>
        <r>
          <rPr>
            <sz val="9"/>
            <rFont val="宋体"/>
            <charset val="134"/>
          </rPr>
          <t xml:space="preserve">
1601184 1/17 4572pcs
庞1f7</t>
        </r>
      </text>
    </comment>
    <comment ref="AL990" authorId="0">
      <text>
        <r>
          <rPr>
            <b/>
            <sz val="9"/>
            <rFont val="宋体"/>
            <charset val="134"/>
          </rPr>
          <t>Administrator:</t>
        </r>
        <r>
          <rPr>
            <sz val="9"/>
            <rFont val="宋体"/>
            <charset val="134"/>
          </rPr>
          <t xml:space="preserve">
1/5 客供亚马逊外箱贴纸 381pcs</t>
        </r>
      </text>
    </comment>
    <comment ref="AI991" authorId="0">
      <text>
        <r>
          <rPr>
            <b/>
            <sz val="9"/>
            <rFont val="宋体"/>
            <charset val="134"/>
          </rPr>
          <t>Administrator:</t>
        </r>
        <r>
          <rPr>
            <sz val="9"/>
            <rFont val="宋体"/>
            <charset val="134"/>
          </rPr>
          <t xml:space="preserve">
1601184 1/17 408pcs
庞3a16</t>
        </r>
      </text>
    </comment>
    <comment ref="AL991" authorId="0">
      <text>
        <r>
          <rPr>
            <b/>
            <sz val="9"/>
            <rFont val="宋体"/>
            <charset val="134"/>
          </rPr>
          <t>Administrator:</t>
        </r>
        <r>
          <rPr>
            <sz val="9"/>
            <rFont val="宋体"/>
            <charset val="134"/>
          </rPr>
          <t xml:space="preserve">
1/5 客供亚马逊外箱贴纸 34pcs
</t>
        </r>
      </text>
    </comment>
    <comment ref="AI992" authorId="0">
      <text>
        <r>
          <rPr>
            <b/>
            <sz val="9"/>
            <rFont val="宋体"/>
            <charset val="134"/>
          </rPr>
          <t>Administrator:</t>
        </r>
        <r>
          <rPr>
            <sz val="9"/>
            <rFont val="宋体"/>
            <charset val="134"/>
          </rPr>
          <t xml:space="preserve">
1601182 1/17 10464pcs 庞登1楼</t>
        </r>
      </text>
    </comment>
    <comment ref="AL992" authorId="0">
      <text>
        <r>
          <rPr>
            <b/>
            <sz val="9"/>
            <rFont val="宋体"/>
            <charset val="134"/>
          </rPr>
          <t>Administrator:</t>
        </r>
        <r>
          <rPr>
            <sz val="9"/>
            <rFont val="宋体"/>
            <charset val="134"/>
          </rPr>
          <t xml:space="preserve">
1/5 客供亚马逊外箱贴纸 872pcs
</t>
        </r>
      </text>
    </comment>
    <comment ref="AI993" authorId="0">
      <text>
        <r>
          <rPr>
            <b/>
            <sz val="9"/>
            <rFont val="宋体"/>
            <charset val="134"/>
          </rPr>
          <t>Administrator:</t>
        </r>
        <r>
          <rPr>
            <sz val="9"/>
            <rFont val="宋体"/>
            <charset val="134"/>
          </rPr>
          <t xml:space="preserve">
1601184 1/17 2664pcs
庞3a16</t>
        </r>
      </text>
    </comment>
    <comment ref="AL993" authorId="0">
      <text>
        <r>
          <rPr>
            <b/>
            <sz val="9"/>
            <rFont val="宋体"/>
            <charset val="134"/>
          </rPr>
          <t>Administrator:</t>
        </r>
        <r>
          <rPr>
            <sz val="9"/>
            <rFont val="宋体"/>
            <charset val="134"/>
          </rPr>
          <t xml:space="preserve">
1/5 客供亚马逊外箱贴纸 222pcs
</t>
        </r>
      </text>
    </comment>
    <comment ref="AI994" authorId="0">
      <text>
        <r>
          <rPr>
            <b/>
            <sz val="9"/>
            <rFont val="宋体"/>
            <charset val="134"/>
          </rPr>
          <t>Administrator:</t>
        </r>
        <r>
          <rPr>
            <sz val="9"/>
            <rFont val="宋体"/>
            <charset val="134"/>
          </rPr>
          <t xml:space="preserve">
1601182 1/17 96pcs
庞登1楼
</t>
        </r>
      </text>
    </comment>
    <comment ref="AL994" authorId="0">
      <text>
        <r>
          <rPr>
            <b/>
            <sz val="9"/>
            <rFont val="宋体"/>
            <charset val="134"/>
          </rPr>
          <t>Administrator:</t>
        </r>
        <r>
          <rPr>
            <sz val="9"/>
            <rFont val="宋体"/>
            <charset val="134"/>
          </rPr>
          <t xml:space="preserve">
1/5 客供亚马逊外箱贴纸 8pcs
</t>
        </r>
      </text>
    </comment>
    <comment ref="AI995" authorId="0">
      <text>
        <r>
          <rPr>
            <b/>
            <sz val="9"/>
            <rFont val="宋体"/>
            <charset val="134"/>
          </rPr>
          <t>Administrator:</t>
        </r>
        <r>
          <rPr>
            <sz val="9"/>
            <rFont val="宋体"/>
            <charset val="134"/>
          </rPr>
          <t xml:space="preserve">
1601057 1/9 1500pcs庞3a27</t>
        </r>
      </text>
    </comment>
    <comment ref="AI996" authorId="0">
      <text>
        <r>
          <rPr>
            <b/>
            <sz val="9"/>
            <rFont val="宋体"/>
            <charset val="134"/>
          </rPr>
          <t>Administrator:</t>
        </r>
        <r>
          <rPr>
            <sz val="9"/>
            <rFont val="宋体"/>
            <charset val="134"/>
          </rPr>
          <t xml:space="preserve">
1601065 1/9 4576pcs华3a27</t>
        </r>
      </text>
    </comment>
    <comment ref="AI997" authorId="0">
      <text>
        <r>
          <rPr>
            <b/>
            <sz val="9"/>
            <rFont val="宋体"/>
            <charset val="134"/>
          </rPr>
          <t>Administrator:</t>
        </r>
        <r>
          <rPr>
            <sz val="9"/>
            <rFont val="宋体"/>
            <charset val="134"/>
          </rPr>
          <t xml:space="preserve">
1601168 1/15 720pcs庞3b8</t>
        </r>
      </text>
    </comment>
    <comment ref="AL997" authorId="0">
      <text>
        <r>
          <rPr>
            <b/>
            <sz val="9"/>
            <rFont val="宋体"/>
            <charset val="134"/>
          </rPr>
          <t>Administrator:</t>
        </r>
        <r>
          <rPr>
            <sz val="9"/>
            <rFont val="宋体"/>
            <charset val="134"/>
          </rPr>
          <t xml:space="preserve">
11/22 客供NJ外箱贴纸88pcs
通用客供外箱贴纸60pcs
12/25 价格贴纸 1440pcs</t>
        </r>
      </text>
    </comment>
    <comment ref="AI998" authorId="0">
      <text>
        <r>
          <rPr>
            <b/>
            <sz val="9"/>
            <rFont val="宋体"/>
            <charset val="134"/>
          </rPr>
          <t>Administrator:</t>
        </r>
        <r>
          <rPr>
            <sz val="9"/>
            <rFont val="宋体"/>
            <charset val="134"/>
          </rPr>
          <t xml:space="preserve">
1601168 1/15 312pcs
庞3b8</t>
        </r>
      </text>
    </comment>
    <comment ref="AL998" authorId="0">
      <text>
        <r>
          <rPr>
            <b/>
            <sz val="9"/>
            <rFont val="宋体"/>
            <charset val="134"/>
          </rPr>
          <t>Administrator:</t>
        </r>
        <r>
          <rPr>
            <sz val="9"/>
            <rFont val="宋体"/>
            <charset val="134"/>
          </rPr>
          <t xml:space="preserve">
11/22 客供NV外箱贴纸26pcs
通用客供外箱贴纸26pcs
12/25 价格贴纸 312pcs</t>
        </r>
      </text>
    </comment>
    <comment ref="AI999" authorId="0">
      <text>
        <r>
          <rPr>
            <b/>
            <sz val="9"/>
            <rFont val="宋体"/>
            <charset val="134"/>
          </rPr>
          <t>Administrator:</t>
        </r>
        <r>
          <rPr>
            <sz val="9"/>
            <rFont val="宋体"/>
            <charset val="134"/>
          </rPr>
          <t xml:space="preserve">
1601116 1/13 4000pcs庞3b8</t>
        </r>
      </text>
    </comment>
    <comment ref="AL999" authorId="0">
      <text>
        <r>
          <rPr>
            <b/>
            <sz val="9"/>
            <rFont val="宋体"/>
            <charset val="134"/>
          </rPr>
          <t>Administrator:</t>
        </r>
        <r>
          <rPr>
            <sz val="9"/>
            <rFont val="宋体"/>
            <charset val="134"/>
          </rPr>
          <t xml:space="preserve">
12/25 西班牙环保标贴纸 4000pcs</t>
        </r>
      </text>
    </comment>
    <comment ref="AL1000" authorId="0">
      <text>
        <r>
          <rPr>
            <b/>
            <sz val="9"/>
            <rFont val="宋体"/>
            <charset val="134"/>
          </rPr>
          <t>Administrator:</t>
        </r>
        <r>
          <rPr>
            <sz val="9"/>
            <rFont val="宋体"/>
            <charset val="134"/>
          </rPr>
          <t xml:space="preserve">
12/25 EAN贴纸 360pcs
空白贴纸 360pcs</t>
        </r>
      </text>
    </comment>
    <comment ref="AI1001" authorId="0">
      <text>
        <r>
          <rPr>
            <b/>
            <sz val="9"/>
            <rFont val="宋体"/>
            <charset val="134"/>
          </rPr>
          <t>Administrator:</t>
        </r>
        <r>
          <rPr>
            <sz val="9"/>
            <rFont val="宋体"/>
            <charset val="134"/>
          </rPr>
          <t xml:space="preserve">
4001758 1/14 1200pcs</t>
        </r>
      </text>
    </comment>
    <comment ref="AI1002" authorId="0">
      <text>
        <r>
          <rPr>
            <b/>
            <sz val="9"/>
            <rFont val="宋体"/>
            <charset val="134"/>
          </rPr>
          <t>Administrator:</t>
        </r>
        <r>
          <rPr>
            <sz val="9"/>
            <rFont val="宋体"/>
            <charset val="134"/>
          </rPr>
          <t xml:space="preserve">
1601184 1/17 1104pcs庞3a16</t>
        </r>
      </text>
    </comment>
    <comment ref="AL1002" authorId="0">
      <text>
        <r>
          <rPr>
            <b/>
            <sz val="9"/>
            <rFont val="宋体"/>
            <charset val="134"/>
          </rPr>
          <t>Administrator:</t>
        </r>
        <r>
          <rPr>
            <sz val="9"/>
            <rFont val="宋体"/>
            <charset val="134"/>
          </rPr>
          <t xml:space="preserve">
12/15 客供价格贴纸 1155pcs</t>
        </r>
      </text>
    </comment>
    <comment ref="AI1003" authorId="0">
      <text>
        <r>
          <rPr>
            <b/>
            <sz val="9"/>
            <rFont val="宋体"/>
            <charset val="134"/>
          </rPr>
          <t>Administrator:</t>
        </r>
        <r>
          <rPr>
            <sz val="9"/>
            <rFont val="宋体"/>
            <charset val="134"/>
          </rPr>
          <t xml:space="preserve">
1601116 1/13 18100pcs 庞3a13</t>
        </r>
      </text>
    </comment>
    <comment ref="AL1003" authorId="0">
      <text>
        <r>
          <rPr>
            <b/>
            <sz val="9"/>
            <rFont val="宋体"/>
            <charset val="134"/>
          </rPr>
          <t>Administrator:</t>
        </r>
        <r>
          <rPr>
            <sz val="9"/>
            <rFont val="宋体"/>
            <charset val="134"/>
          </rPr>
          <t xml:space="preserve">
12/29 西班牙环保标贴纸 18100pcs</t>
        </r>
      </text>
    </comment>
    <comment ref="AI1004" authorId="0">
      <text>
        <r>
          <rPr>
            <b/>
            <sz val="9"/>
            <rFont val="宋体"/>
            <charset val="134"/>
          </rPr>
          <t>Administrator:</t>
        </r>
        <r>
          <rPr>
            <sz val="9"/>
            <rFont val="宋体"/>
            <charset val="134"/>
          </rPr>
          <t xml:space="preserve">
1601065 1/9 468pcs
华3b12</t>
        </r>
      </text>
    </comment>
    <comment ref="AL1004" authorId="0">
      <text>
        <r>
          <rPr>
            <b/>
            <sz val="9"/>
            <rFont val="宋体"/>
            <charset val="134"/>
          </rPr>
          <t>Administrator:</t>
        </r>
        <r>
          <rPr>
            <sz val="9"/>
            <rFont val="宋体"/>
            <charset val="134"/>
          </rPr>
          <t xml:space="preserve">
12/25 警语贴纸 468pcs</t>
        </r>
      </text>
    </comment>
    <comment ref="AI1005" authorId="0">
      <text>
        <r>
          <rPr>
            <b/>
            <sz val="9"/>
            <rFont val="宋体"/>
            <charset val="134"/>
          </rPr>
          <t>Administrator:</t>
        </r>
        <r>
          <rPr>
            <sz val="9"/>
            <rFont val="宋体"/>
            <charset val="134"/>
          </rPr>
          <t xml:space="preserve">
4001728 1/10 2520pcs
文本云
4001712 1/13 2880pcs
4001713 1/13 600pcs</t>
        </r>
      </text>
    </comment>
    <comment ref="AI1006" authorId="0">
      <text>
        <r>
          <rPr>
            <b/>
            <sz val="9"/>
            <rFont val="宋体"/>
            <charset val="134"/>
          </rPr>
          <t>Administrator:</t>
        </r>
        <r>
          <rPr>
            <sz val="9"/>
            <rFont val="宋体"/>
            <charset val="134"/>
          </rPr>
          <t xml:space="preserve">
1601187 1/17 1225pcs庞3a16</t>
        </r>
      </text>
    </comment>
    <comment ref="AL1006" authorId="0">
      <text>
        <r>
          <rPr>
            <b/>
            <sz val="9"/>
            <rFont val="宋体"/>
            <charset val="134"/>
          </rPr>
          <t>Administrator:</t>
        </r>
        <r>
          <rPr>
            <sz val="9"/>
            <rFont val="宋体"/>
            <charset val="134"/>
          </rPr>
          <t xml:space="preserve">
12/18 DC运输贴纸 21225pcs
12/24 PDQ标识贴 49pcs</t>
        </r>
      </text>
    </comment>
    <comment ref="AI1007" authorId="0">
      <text>
        <r>
          <rPr>
            <b/>
            <sz val="9"/>
            <rFont val="宋体"/>
            <charset val="134"/>
          </rPr>
          <t>Administrator:</t>
        </r>
        <r>
          <rPr>
            <sz val="9"/>
            <rFont val="宋体"/>
            <charset val="134"/>
          </rPr>
          <t xml:space="preserve">
1601188 1/17 18876pcs
庞1f11
1601190 1/19 4680pcs庞1f11
1601228 1/19 2444pcs
庞1f11</t>
        </r>
      </text>
    </comment>
    <comment ref="AL1007" authorId="0">
      <text>
        <r>
          <rPr>
            <b/>
            <sz val="9"/>
            <rFont val="宋体"/>
            <charset val="134"/>
          </rPr>
          <t>Administrator:</t>
        </r>
        <r>
          <rPr>
            <sz val="9"/>
            <rFont val="宋体"/>
            <charset val="134"/>
          </rPr>
          <t xml:space="preserve">
12/24 客供防窜码贴纸1拖13 2000pcs12/30 条码贴纸 26000pcs
</t>
        </r>
      </text>
    </comment>
    <comment ref="AI1008" authorId="0">
      <text>
        <r>
          <rPr>
            <b/>
            <sz val="9"/>
            <rFont val="宋体"/>
            <charset val="134"/>
          </rPr>
          <t xml:space="preserve">Administrator
</t>
        </r>
        <r>
          <rPr>
            <sz val="9"/>
            <rFont val="宋体"/>
            <charset val="134"/>
          </rPr>
          <t>1601193 1/19 13260pcs 庞3a20
1601228 1/19 12740pcs 庞1f7</t>
        </r>
      </text>
    </comment>
    <comment ref="AL1008" authorId="0">
      <text>
        <r>
          <rPr>
            <b/>
            <sz val="9"/>
            <rFont val="宋体"/>
            <charset val="134"/>
          </rPr>
          <t>Administrator:</t>
        </r>
        <r>
          <rPr>
            <sz val="9"/>
            <rFont val="宋体"/>
            <charset val="134"/>
          </rPr>
          <t xml:space="preserve">
12/24 客供防窜码贴纸1拖13 2000pcs
12/30 条码贴纸 26000pcs</t>
        </r>
      </text>
    </comment>
    <comment ref="AI1009" authorId="0">
      <text>
        <r>
          <rPr>
            <b/>
            <sz val="9"/>
            <rFont val="宋体"/>
            <charset val="134"/>
          </rPr>
          <t>Administrator:</t>
        </r>
        <r>
          <rPr>
            <sz val="9"/>
            <rFont val="宋体"/>
            <charset val="134"/>
          </rPr>
          <t xml:space="preserve">
1601190 1/19 7280cs
庞3a17</t>
        </r>
      </text>
    </comment>
    <comment ref="AL1009" authorId="0">
      <text>
        <r>
          <rPr>
            <b/>
            <sz val="9"/>
            <rFont val="宋体"/>
            <charset val="134"/>
          </rPr>
          <t>Administrator:</t>
        </r>
        <r>
          <rPr>
            <sz val="9"/>
            <rFont val="宋体"/>
            <charset val="134"/>
          </rPr>
          <t xml:space="preserve">
12/24 客供防窜码贴纸1拖13 560pcs
12/30 条码贴纸 7280pcs
</t>
        </r>
      </text>
    </comment>
    <comment ref="AI1010" authorId="0">
      <text>
        <r>
          <rPr>
            <b/>
            <sz val="9"/>
            <rFont val="宋体"/>
            <charset val="134"/>
          </rPr>
          <t>Administrator:</t>
        </r>
        <r>
          <rPr>
            <sz val="9"/>
            <rFont val="宋体"/>
            <charset val="134"/>
          </rPr>
          <t xml:space="preserve">
1601187 1/17 3000pcs
庞3b10</t>
        </r>
      </text>
    </comment>
    <comment ref="AL1010" authorId="0">
      <text>
        <r>
          <rPr>
            <b/>
            <sz val="9"/>
            <rFont val="宋体"/>
            <charset val="134"/>
          </rPr>
          <t>Administrator:</t>
        </r>
        <r>
          <rPr>
            <sz val="9"/>
            <rFont val="宋体"/>
            <charset val="134"/>
          </rPr>
          <t xml:space="preserve">
12/27 进口商贴纸 3000pcs
UPC贴纸 3000pcs</t>
        </r>
      </text>
    </comment>
    <comment ref="AI1011" authorId="0">
      <text>
        <r>
          <rPr>
            <b/>
            <sz val="9"/>
            <rFont val="宋体"/>
            <charset val="134"/>
          </rPr>
          <t>Administrator:</t>
        </r>
        <r>
          <rPr>
            <sz val="9"/>
            <rFont val="宋体"/>
            <charset val="134"/>
          </rPr>
          <t xml:space="preserve">
1601182 1/17 25pcs
庞3a22
1601175 1/17 6475pcs庞3a22</t>
        </r>
      </text>
    </comment>
    <comment ref="AL1011" authorId="0">
      <text>
        <r>
          <rPr>
            <b/>
            <sz val="9"/>
            <rFont val="宋体"/>
            <charset val="134"/>
          </rPr>
          <t>Administrator:</t>
        </r>
        <r>
          <rPr>
            <sz val="9"/>
            <rFont val="宋体"/>
            <charset val="134"/>
          </rPr>
          <t xml:space="preserve">
12/27 法国sorting label贴纸 6500pcs</t>
        </r>
      </text>
    </comment>
    <comment ref="AI1012" authorId="0">
      <text>
        <r>
          <rPr>
            <b/>
            <sz val="9"/>
            <rFont val="宋体"/>
            <charset val="134"/>
          </rPr>
          <t>Administrator:</t>
        </r>
        <r>
          <rPr>
            <sz val="9"/>
            <rFont val="宋体"/>
            <charset val="134"/>
          </rPr>
          <t xml:space="preserve">
1601228 1/19 5980pcs
庞3b17</t>
        </r>
      </text>
    </comment>
    <comment ref="AL1012" authorId="0">
      <text>
        <r>
          <rPr>
            <b/>
            <sz val="9"/>
            <rFont val="宋体"/>
            <charset val="134"/>
          </rPr>
          <t>Administrator:</t>
        </r>
        <r>
          <rPr>
            <sz val="9"/>
            <rFont val="宋体"/>
            <charset val="134"/>
          </rPr>
          <t xml:space="preserve">
12/22 UPC 条码贴纸 5980pcs
韩语贴纸(正面 5980pcs
韩语贴纸(球底) 5980pcs</t>
        </r>
      </text>
    </comment>
    <comment ref="AI1013" authorId="0">
      <text>
        <r>
          <rPr>
            <b/>
            <sz val="9"/>
            <rFont val="宋体"/>
            <charset val="134"/>
          </rPr>
          <t>Administrator:</t>
        </r>
        <r>
          <rPr>
            <sz val="9"/>
            <rFont val="宋体"/>
            <charset val="134"/>
          </rPr>
          <t xml:space="preserve">
1601182 1/17 9000pcs
庞登1楼</t>
        </r>
      </text>
    </comment>
    <comment ref="AI1014" authorId="0">
      <text>
        <r>
          <rPr>
            <b/>
            <sz val="9"/>
            <rFont val="宋体"/>
            <charset val="134"/>
          </rPr>
          <t>Administrator:</t>
        </r>
        <r>
          <rPr>
            <sz val="9"/>
            <rFont val="宋体"/>
            <charset val="134"/>
          </rPr>
          <t xml:space="preserve">
4001773 1/20 504pcs 庞3b13</t>
        </r>
      </text>
    </comment>
    <comment ref="AI1015" authorId="0">
      <text>
        <r>
          <rPr>
            <b/>
            <sz val="9"/>
            <rFont val="宋体"/>
            <charset val="134"/>
          </rPr>
          <t>Administrator:</t>
        </r>
        <r>
          <rPr>
            <sz val="9"/>
            <rFont val="宋体"/>
            <charset val="134"/>
          </rPr>
          <t xml:space="preserve">
1601187 1/17 1512pcs
庞3b8</t>
        </r>
      </text>
    </comment>
    <comment ref="AL1015" authorId="0">
      <text>
        <r>
          <rPr>
            <b/>
            <sz val="9"/>
            <rFont val="宋体"/>
            <charset val="134"/>
          </rPr>
          <t>Administrator:</t>
        </r>
        <r>
          <rPr>
            <sz val="9"/>
            <rFont val="宋体"/>
            <charset val="134"/>
          </rPr>
          <t xml:space="preserve">
12/16 客人白色Cat.label 1512pcs</t>
        </r>
      </text>
    </comment>
    <comment ref="AI1016" authorId="0">
      <text>
        <r>
          <rPr>
            <b/>
            <sz val="9"/>
            <rFont val="宋体"/>
            <charset val="134"/>
          </rPr>
          <t>Administrator:</t>
        </r>
        <r>
          <rPr>
            <sz val="9"/>
            <rFont val="宋体"/>
            <charset val="134"/>
          </rPr>
          <t xml:space="preserve">
1601121 1/13 40040pcs王4b8</t>
        </r>
      </text>
    </comment>
    <comment ref="AL1016" authorId="0">
      <text>
        <r>
          <rPr>
            <b/>
            <sz val="9"/>
            <rFont val="宋体"/>
            <charset val="134"/>
          </rPr>
          <t>Administrator:</t>
        </r>
        <r>
          <rPr>
            <sz val="9"/>
            <rFont val="宋体"/>
            <charset val="134"/>
          </rPr>
          <t xml:space="preserve">
12/31 外箱贴纸 770pcs
价格贴纸 40040pcs</t>
        </r>
      </text>
    </comment>
    <comment ref="AI1017" authorId="0">
      <text>
        <r>
          <rPr>
            <b/>
            <sz val="9"/>
            <rFont val="宋体"/>
            <charset val="134"/>
          </rPr>
          <t>Administrator:</t>
        </r>
        <r>
          <rPr>
            <sz val="9"/>
            <rFont val="宋体"/>
            <charset val="134"/>
          </rPr>
          <t xml:space="preserve">
1601228 1/19 1500pcs
庞3b7</t>
        </r>
      </text>
    </comment>
    <comment ref="AL1017" authorId="0">
      <text>
        <r>
          <rPr>
            <b/>
            <sz val="9"/>
            <rFont val="宋体"/>
            <charset val="134"/>
          </rPr>
          <t>Administrator:</t>
        </r>
        <r>
          <rPr>
            <sz val="9"/>
            <rFont val="宋体"/>
            <charset val="134"/>
          </rPr>
          <t xml:space="preserve">
1/13 UPC贴纸 1500pcs</t>
        </r>
      </text>
    </comment>
    <comment ref="AI1018" authorId="0">
      <text>
        <r>
          <rPr>
            <b/>
            <sz val="9"/>
            <rFont val="宋体"/>
            <charset val="134"/>
          </rPr>
          <t>Administrator:</t>
        </r>
        <r>
          <rPr>
            <sz val="9"/>
            <rFont val="宋体"/>
            <charset val="134"/>
          </rPr>
          <t xml:space="preserve">
1601187 1/17 780pcs
庞3b8</t>
        </r>
      </text>
    </comment>
    <comment ref="AI1019" authorId="0">
      <text>
        <r>
          <rPr>
            <b/>
            <sz val="9"/>
            <rFont val="宋体"/>
            <charset val="134"/>
          </rPr>
          <t>Administrator:</t>
        </r>
        <r>
          <rPr>
            <sz val="9"/>
            <rFont val="宋体"/>
            <charset val="134"/>
          </rPr>
          <t xml:space="preserve">
1601208 1/22 21180pcs庞3a27</t>
        </r>
      </text>
    </comment>
    <comment ref="AL1019" authorId="0">
      <text>
        <r>
          <rPr>
            <b/>
            <sz val="9"/>
            <rFont val="宋体"/>
            <charset val="134"/>
          </rPr>
          <t>Administrator:</t>
        </r>
        <r>
          <rPr>
            <sz val="9"/>
            <rFont val="宋体"/>
            <charset val="134"/>
          </rPr>
          <t xml:space="preserve">
12/27 上产品彩色贴纸7060pcs
12/8 客供白色防盗贴纸</t>
        </r>
        <r>
          <rPr>
            <b/>
            <sz val="9"/>
            <rFont val="宋体"/>
            <charset val="134"/>
          </rPr>
          <t xml:space="preserve"> 22000pcs</t>
        </r>
        <r>
          <rPr>
            <sz val="9"/>
            <rFont val="宋体"/>
            <charset val="134"/>
          </rPr>
          <t xml:space="preserve">
 </t>
        </r>
      </text>
    </comment>
    <comment ref="AI1020" authorId="0">
      <text>
        <r>
          <rPr>
            <b/>
            <sz val="9"/>
            <rFont val="宋体"/>
            <charset val="134"/>
          </rPr>
          <t>Administrator:</t>
        </r>
        <r>
          <rPr>
            <sz val="9"/>
            <rFont val="宋体"/>
            <charset val="134"/>
          </rPr>
          <t xml:space="preserve">
1601263 1/23 3500pcs庞3b8</t>
        </r>
      </text>
    </comment>
    <comment ref="AL1020" authorId="0">
      <text>
        <r>
          <rPr>
            <b/>
            <sz val="9"/>
            <rFont val="宋体"/>
            <charset val="134"/>
          </rPr>
          <t>Administrator:</t>
        </r>
        <r>
          <rPr>
            <sz val="9"/>
            <rFont val="宋体"/>
            <charset val="134"/>
          </rPr>
          <t xml:space="preserve">
1/9 进口商贴 3500pcs
UPC条码 3500pcs</t>
        </r>
      </text>
    </comment>
    <comment ref="AI1021" authorId="0">
      <text>
        <r>
          <rPr>
            <b/>
            <sz val="9"/>
            <rFont val="宋体"/>
            <charset val="134"/>
          </rPr>
          <t>Administrator:</t>
        </r>
        <r>
          <rPr>
            <sz val="9"/>
            <rFont val="宋体"/>
            <charset val="134"/>
          </rPr>
          <t xml:space="preserve">
1201268 1/24 2000pcs庞3b14</t>
        </r>
      </text>
    </comment>
    <comment ref="AL1021" authorId="0">
      <text>
        <r>
          <rPr>
            <b/>
            <sz val="9"/>
            <rFont val="宋体"/>
            <charset val="134"/>
          </rPr>
          <t>Administrator:</t>
        </r>
        <r>
          <rPr>
            <sz val="9"/>
            <rFont val="宋体"/>
            <charset val="134"/>
          </rPr>
          <t xml:space="preserve">
12/15 客供价格贴纸 2100pcs</t>
        </r>
      </text>
    </comment>
    <comment ref="AI1023" authorId="0">
      <text>
        <r>
          <rPr>
            <b/>
            <sz val="9"/>
            <rFont val="宋体"/>
            <charset val="134"/>
          </rPr>
          <t>Administrator:</t>
        </r>
        <r>
          <rPr>
            <sz val="9"/>
            <rFont val="宋体"/>
            <charset val="134"/>
          </rPr>
          <t xml:space="preserve">
1601216 1/20 7025pcs庞1f3</t>
        </r>
      </text>
    </comment>
    <comment ref="AL1023" authorId="0">
      <text>
        <r>
          <rPr>
            <b/>
            <sz val="9"/>
            <rFont val="宋体"/>
            <charset val="134"/>
          </rPr>
          <t>Administrator:</t>
        </r>
        <r>
          <rPr>
            <sz val="9"/>
            <rFont val="宋体"/>
            <charset val="134"/>
          </rPr>
          <t xml:space="preserve">
12/25 PDQUPC 条码贴纸 281pcs</t>
        </r>
      </text>
    </comment>
    <comment ref="AI1024" authorId="0">
      <text>
        <r>
          <rPr>
            <b/>
            <sz val="9"/>
            <rFont val="宋体"/>
            <charset val="134"/>
          </rPr>
          <t>Administrator:</t>
        </r>
        <r>
          <rPr>
            <sz val="9"/>
            <rFont val="宋体"/>
            <charset val="134"/>
          </rPr>
          <t xml:space="preserve">
1601216 1/20 5725pcs
庞3a26</t>
        </r>
      </text>
    </comment>
    <comment ref="AL1024" authorId="0">
      <text>
        <r>
          <rPr>
            <b/>
            <sz val="9"/>
            <rFont val="宋体"/>
            <charset val="134"/>
          </rPr>
          <t>Administrator:</t>
        </r>
        <r>
          <rPr>
            <sz val="9"/>
            <rFont val="宋体"/>
            <charset val="134"/>
          </rPr>
          <t xml:space="preserve">
12/25 PDQUPC 条码贴纸 229pcs</t>
        </r>
      </text>
    </comment>
    <comment ref="AI1025" authorId="0">
      <text>
        <r>
          <rPr>
            <b/>
            <sz val="9"/>
            <rFont val="宋体"/>
            <charset val="134"/>
          </rPr>
          <t>Administrator:</t>
        </r>
        <r>
          <rPr>
            <sz val="9"/>
            <rFont val="宋体"/>
            <charset val="134"/>
          </rPr>
          <t xml:space="preserve">
1601254 1/23 3800pcs
庞3b17</t>
        </r>
      </text>
    </comment>
    <comment ref="AI1027" authorId="0">
      <text>
        <r>
          <rPr>
            <b/>
            <sz val="9"/>
            <rFont val="宋体"/>
            <charset val="134"/>
          </rPr>
          <t>Administrator:</t>
        </r>
        <r>
          <rPr>
            <sz val="9"/>
            <rFont val="宋体"/>
            <charset val="134"/>
          </rPr>
          <t xml:space="preserve">
4001816 1/27 648pcs庞1f9
4001818 1/29 114pcs庞1f9</t>
        </r>
      </text>
    </comment>
    <comment ref="AI1028" authorId="0">
      <text>
        <r>
          <rPr>
            <b/>
            <sz val="9"/>
            <rFont val="宋体"/>
            <charset val="134"/>
          </rPr>
          <t>Administrator:</t>
        </r>
        <r>
          <rPr>
            <sz val="9"/>
            <rFont val="宋体"/>
            <charset val="134"/>
          </rPr>
          <t xml:space="preserve">
4001815 1/27 324pcs王4b
44001818 1/29 180pcs庞B栋
</t>
        </r>
      </text>
    </comment>
    <comment ref="AI1029" authorId="0">
      <text>
        <r>
          <rPr>
            <b/>
            <sz val="9"/>
            <rFont val="宋体"/>
            <charset val="134"/>
          </rPr>
          <t>Administrator:</t>
        </r>
        <r>
          <rPr>
            <sz val="9"/>
            <rFont val="宋体"/>
            <charset val="134"/>
          </rPr>
          <t xml:space="preserve">
1601271 1/24 984pcs
庞3a17</t>
        </r>
      </text>
    </comment>
    <comment ref="AL1029" authorId="0">
      <text>
        <r>
          <rPr>
            <b/>
            <sz val="9"/>
            <rFont val="宋体"/>
            <charset val="134"/>
          </rPr>
          <t>Administrator:</t>
        </r>
        <r>
          <rPr>
            <sz val="9"/>
            <rFont val="宋体"/>
            <charset val="134"/>
          </rPr>
          <t xml:space="preserve">
12/22 亚马逊外箱贴纸 82pcs
1/4 空白贴纸 1968pcs
环保标贴纸 984pcs</t>
        </r>
      </text>
    </comment>
    <comment ref="AI1030" authorId="0">
      <text>
        <r>
          <rPr>
            <b/>
            <sz val="9"/>
            <rFont val="宋体"/>
            <charset val="134"/>
          </rPr>
          <t>Administrator:</t>
        </r>
        <r>
          <rPr>
            <sz val="9"/>
            <rFont val="宋体"/>
            <charset val="134"/>
          </rPr>
          <t xml:space="preserve">
1601273 1/24 3965pcs
庞3b10</t>
        </r>
      </text>
    </comment>
    <comment ref="AL1030" authorId="0">
      <text>
        <r>
          <rPr>
            <b/>
            <sz val="9"/>
            <rFont val="宋体"/>
            <charset val="134"/>
          </rPr>
          <t>Administrator:</t>
        </r>
        <r>
          <rPr>
            <sz val="9"/>
            <rFont val="宋体"/>
            <charset val="134"/>
          </rPr>
          <t xml:space="preserve">
12/31 UPC条码贴纸 3965pcs
1/12 Kmart外箱贴纸 305pcs </t>
        </r>
      </text>
    </comment>
    <comment ref="AI1031" authorId="0">
      <text>
        <r>
          <rPr>
            <b/>
            <sz val="9"/>
            <rFont val="宋体"/>
            <charset val="134"/>
          </rPr>
          <t>Administrator:</t>
        </r>
        <r>
          <rPr>
            <sz val="9"/>
            <rFont val="宋体"/>
            <charset val="134"/>
          </rPr>
          <t xml:space="preserve">
1601187 1/17 1925pcs
庞3a16</t>
        </r>
      </text>
    </comment>
    <comment ref="AL1031" authorId="0">
      <text>
        <r>
          <rPr>
            <b/>
            <sz val="9"/>
            <rFont val="宋体"/>
            <charset val="134"/>
          </rPr>
          <t>Administrator:</t>
        </r>
        <r>
          <rPr>
            <sz val="9"/>
            <rFont val="宋体"/>
            <charset val="134"/>
          </rPr>
          <t xml:space="preserve">
12/18 DC运输贴纸 1925pcs
12/24 PDQ标识贴 77pcs</t>
        </r>
      </text>
    </comment>
    <comment ref="AI1032" authorId="0">
      <text>
        <r>
          <rPr>
            <b/>
            <sz val="9"/>
            <rFont val="宋体"/>
            <charset val="134"/>
          </rPr>
          <t>Administrator:</t>
        </r>
        <r>
          <rPr>
            <sz val="9"/>
            <rFont val="宋体"/>
            <charset val="134"/>
          </rPr>
          <t xml:space="preserve">
1601187 1/17 925pcs
庞3a17</t>
        </r>
      </text>
    </comment>
    <comment ref="AL1032" authorId="0">
      <text>
        <r>
          <rPr>
            <b/>
            <sz val="9"/>
            <rFont val="宋体"/>
            <charset val="134"/>
          </rPr>
          <t>Administrator:</t>
        </r>
        <r>
          <rPr>
            <sz val="9"/>
            <rFont val="宋体"/>
            <charset val="134"/>
          </rPr>
          <t xml:space="preserve">
12/18 DC运输贴纸 925pcs
12/24 PDQ标识贴 37pcs</t>
        </r>
      </text>
    </comment>
    <comment ref="AI1033" authorId="0">
      <text>
        <r>
          <rPr>
            <b/>
            <sz val="9"/>
            <rFont val="宋体"/>
            <charset val="134"/>
          </rPr>
          <t>Administrator:</t>
        </r>
        <r>
          <rPr>
            <sz val="9"/>
            <rFont val="宋体"/>
            <charset val="134"/>
          </rPr>
          <t xml:space="preserve">
1601187 1/17 2025pcs
庞3b8</t>
        </r>
      </text>
    </comment>
    <comment ref="AL1033" authorId="0">
      <text>
        <r>
          <rPr>
            <b/>
            <sz val="9"/>
            <rFont val="宋体"/>
            <charset val="134"/>
          </rPr>
          <t>Administrator:</t>
        </r>
        <r>
          <rPr>
            <sz val="9"/>
            <rFont val="宋体"/>
            <charset val="134"/>
          </rPr>
          <t xml:space="preserve">
12/18 DC运输贴纸 2025pcs
12/24 PDQ标识贴 81pcs</t>
        </r>
      </text>
    </comment>
    <comment ref="AI1034" authorId="0">
      <text>
        <r>
          <rPr>
            <b/>
            <sz val="9"/>
            <rFont val="宋体"/>
            <charset val="134"/>
          </rPr>
          <t>Administrator:</t>
        </r>
        <r>
          <rPr>
            <sz val="9"/>
            <rFont val="宋体"/>
            <charset val="134"/>
          </rPr>
          <t xml:space="preserve">
1601272 1/24 4407pcs庞3b13</t>
        </r>
      </text>
    </comment>
    <comment ref="AL1034" authorId="0">
      <text>
        <r>
          <rPr>
            <b/>
            <sz val="9"/>
            <rFont val="宋体"/>
            <charset val="134"/>
          </rPr>
          <t>Administrator:</t>
        </r>
        <r>
          <rPr>
            <sz val="9"/>
            <rFont val="宋体"/>
            <charset val="134"/>
          </rPr>
          <t xml:space="preserve">
1/4 UPC条码贴 4407pcs
1/12 Kmart外箱贴纸 339pcs</t>
        </r>
      </text>
    </comment>
    <comment ref="AI1035" authorId="0">
      <text>
        <r>
          <rPr>
            <b/>
            <sz val="9"/>
            <rFont val="宋体"/>
            <charset val="134"/>
          </rPr>
          <t>Administrator:</t>
        </r>
        <r>
          <rPr>
            <sz val="9"/>
            <rFont val="宋体"/>
            <charset val="134"/>
          </rPr>
          <t xml:space="preserve">
1601273 1/24 52pcs
庞3b11</t>
        </r>
      </text>
    </comment>
    <comment ref="AL1035" authorId="0">
      <text>
        <r>
          <rPr>
            <b/>
            <sz val="9"/>
            <rFont val="宋体"/>
            <charset val="134"/>
          </rPr>
          <t>Administrator:</t>
        </r>
        <r>
          <rPr>
            <sz val="9"/>
            <rFont val="宋体"/>
            <charset val="134"/>
          </rPr>
          <t xml:space="preserve">
1/4 UPC条码贴 52pcs
1/12 Kmart外箱贴纸 4pcs </t>
        </r>
      </text>
    </comment>
    <comment ref="AI1036" authorId="0">
      <text>
        <r>
          <rPr>
            <b/>
            <sz val="9"/>
            <rFont val="宋体"/>
            <charset val="134"/>
          </rPr>
          <t>Administrator:</t>
        </r>
        <r>
          <rPr>
            <sz val="9"/>
            <rFont val="宋体"/>
            <charset val="134"/>
          </rPr>
          <t xml:space="preserve">
1405685 1/30 2080pcs 庞登1楼</t>
        </r>
      </text>
    </comment>
    <comment ref="AL1036" authorId="0">
      <text>
        <r>
          <rPr>
            <b/>
            <sz val="9"/>
            <rFont val="宋体"/>
            <charset val="134"/>
          </rPr>
          <t>Administrator:</t>
        </r>
        <r>
          <rPr>
            <sz val="9"/>
            <rFont val="宋体"/>
            <charset val="134"/>
          </rPr>
          <t xml:space="preserve">
1/7 警语贴纸 2080pcs
1/13 客供价格贴纸 2080pcs</t>
        </r>
      </text>
    </comment>
    <comment ref="AI1037" authorId="0">
      <text>
        <r>
          <rPr>
            <b/>
            <sz val="9"/>
            <rFont val="宋体"/>
            <charset val="134"/>
          </rPr>
          <t>Administrator:</t>
        </r>
        <r>
          <rPr>
            <sz val="9"/>
            <rFont val="宋体"/>
            <charset val="134"/>
          </rPr>
          <t xml:space="preserve">
1601208 1/22 5161pcs庞3b14
1601263 1/23 39opcs庞3b14</t>
        </r>
      </text>
    </comment>
    <comment ref="AL1037" authorId="0">
      <text>
        <r>
          <rPr>
            <b/>
            <sz val="9"/>
            <rFont val="宋体"/>
            <charset val="134"/>
          </rPr>
          <t>Administrator:</t>
        </r>
        <r>
          <rPr>
            <sz val="9"/>
            <rFont val="宋体"/>
            <charset val="134"/>
          </rPr>
          <t xml:space="preserve">
12/30 条码贴纸 5200pcs
1/15 客供防車码贴纸1拖13 400pcs</t>
        </r>
      </text>
    </comment>
    <comment ref="AI1038" authorId="0">
      <text>
        <r>
          <rPr>
            <b/>
            <sz val="9"/>
            <rFont val="宋体"/>
            <charset val="134"/>
          </rPr>
          <t>Administrator:</t>
        </r>
        <r>
          <rPr>
            <sz val="9"/>
            <rFont val="宋体"/>
            <charset val="134"/>
          </rPr>
          <t xml:space="preserve">
1601271 1/24  252pcs
庞3b8</t>
        </r>
      </text>
    </comment>
    <comment ref="AL1038" authorId="0">
      <text>
        <r>
          <rPr>
            <b/>
            <sz val="9"/>
            <rFont val="宋体"/>
            <charset val="134"/>
          </rPr>
          <t>Administrator:</t>
        </r>
        <r>
          <rPr>
            <sz val="9"/>
            <rFont val="宋体"/>
            <charset val="134"/>
          </rPr>
          <t xml:space="preserve">
1/5 空白贴纸 504pcs
1/13 客供亚马逊外箱贴纸 21pcs
1/19 进口商贴纸 252pcs</t>
        </r>
      </text>
    </comment>
    <comment ref="AI1039" authorId="0">
      <text>
        <r>
          <rPr>
            <b/>
            <sz val="9"/>
            <rFont val="宋体"/>
            <charset val="134"/>
          </rPr>
          <t>Administrator:</t>
        </r>
        <r>
          <rPr>
            <sz val="9"/>
            <rFont val="宋体"/>
            <charset val="134"/>
          </rPr>
          <t xml:space="preserve">
1601271 1/24 1044pcs
庞3a16</t>
        </r>
      </text>
    </comment>
    <comment ref="AL1039" authorId="0">
      <text>
        <r>
          <rPr>
            <b/>
            <sz val="9"/>
            <rFont val="宋体"/>
            <charset val="134"/>
          </rPr>
          <t>Administrator:</t>
        </r>
        <r>
          <rPr>
            <sz val="9"/>
            <rFont val="宋体"/>
            <charset val="134"/>
          </rPr>
          <t xml:space="preserve">
1/5 空白贴纸 2088pcs
1/13 客供亚马逊外箱贴纸 87pcs
1/19 进口商贴纸 1044pcs
</t>
        </r>
      </text>
    </comment>
    <comment ref="AI1040" authorId="0">
      <text>
        <r>
          <rPr>
            <b/>
            <sz val="9"/>
            <rFont val="宋体"/>
            <charset val="134"/>
          </rPr>
          <t>Administrator:</t>
        </r>
        <r>
          <rPr>
            <sz val="9"/>
            <rFont val="宋体"/>
            <charset val="134"/>
          </rPr>
          <t xml:space="preserve">
5000259 1/27 2400pcs庞3a23</t>
        </r>
      </text>
    </comment>
    <comment ref="AL1040" authorId="0">
      <text>
        <r>
          <rPr>
            <b/>
            <sz val="9"/>
            <rFont val="宋体"/>
            <charset val="134"/>
          </rPr>
          <t>Administrator:</t>
        </r>
        <r>
          <rPr>
            <sz val="9"/>
            <rFont val="宋体"/>
            <charset val="134"/>
          </rPr>
          <t xml:space="preserve">
1/5 进口商贴纸 2400pcs</t>
        </r>
      </text>
    </comment>
    <comment ref="AI1041" authorId="0">
      <text>
        <r>
          <rPr>
            <b/>
            <sz val="9"/>
            <rFont val="宋体"/>
            <charset val="134"/>
          </rPr>
          <t>Administrator:</t>
        </r>
        <r>
          <rPr>
            <sz val="9"/>
            <rFont val="宋体"/>
            <charset val="134"/>
          </rPr>
          <t xml:space="preserve">
5000259 1/27 800pcs
庞3b14</t>
        </r>
      </text>
    </comment>
    <comment ref="AL1041" authorId="0">
      <text>
        <r>
          <rPr>
            <b/>
            <sz val="9"/>
            <rFont val="宋体"/>
            <charset val="134"/>
          </rPr>
          <t>Administrator:</t>
        </r>
        <r>
          <rPr>
            <sz val="9"/>
            <rFont val="宋体"/>
            <charset val="134"/>
          </rPr>
          <t xml:space="preserve">
1/14 进口商贴纸 800pcs
条码贴纸 800pcs</t>
        </r>
      </text>
    </comment>
    <comment ref="AI1042" authorId="0">
      <text>
        <r>
          <rPr>
            <b/>
            <sz val="9"/>
            <rFont val="宋体"/>
            <charset val="134"/>
          </rPr>
          <t>Administrator:</t>
        </r>
        <r>
          <rPr>
            <sz val="9"/>
            <rFont val="宋体"/>
            <charset val="134"/>
          </rPr>
          <t xml:space="preserve">
1601220 1/21 1200pcs庞登一楼</t>
        </r>
      </text>
    </comment>
    <comment ref="AL1042" authorId="0">
      <text>
        <r>
          <rPr>
            <b/>
            <sz val="9"/>
            <rFont val="宋体"/>
            <charset val="134"/>
          </rPr>
          <t>Administrator:</t>
        </r>
        <r>
          <rPr>
            <sz val="9"/>
            <rFont val="宋体"/>
            <charset val="134"/>
          </rPr>
          <t xml:space="preserve">
12/31 西班牙环保标贴 1200pcs</t>
        </r>
      </text>
    </comment>
    <comment ref="AI1043" authorId="0">
      <text>
        <r>
          <rPr>
            <b/>
            <sz val="9"/>
            <rFont val="宋体"/>
            <charset val="134"/>
          </rPr>
          <t>Administrator:</t>
        </r>
        <r>
          <rPr>
            <sz val="9"/>
            <rFont val="宋体"/>
            <charset val="134"/>
          </rPr>
          <t xml:space="preserve">
1601220 1/21 1200pcs庞登一楼
</t>
        </r>
      </text>
    </comment>
    <comment ref="AL1043" authorId="0">
      <text>
        <r>
          <rPr>
            <b/>
            <sz val="9"/>
            <rFont val="宋体"/>
            <charset val="134"/>
          </rPr>
          <t>Administrator:</t>
        </r>
        <r>
          <rPr>
            <sz val="9"/>
            <rFont val="宋体"/>
            <charset val="134"/>
          </rPr>
          <t xml:space="preserve">
12/16 进口商贴纸 1200pcs</t>
        </r>
      </text>
    </comment>
    <comment ref="AI1044" authorId="0">
      <text>
        <r>
          <rPr>
            <b/>
            <sz val="9"/>
            <rFont val="宋体"/>
            <charset val="134"/>
          </rPr>
          <t>Administrator:</t>
        </r>
        <r>
          <rPr>
            <sz val="9"/>
            <rFont val="宋体"/>
            <charset val="134"/>
          </rPr>
          <t xml:space="preserve">
1601254 1/23 2400pcs
庞3b17
</t>
        </r>
      </text>
    </comment>
    <comment ref="AI1045" authorId="0">
      <text>
        <r>
          <rPr>
            <b/>
            <sz val="9"/>
            <rFont val="宋体"/>
            <charset val="134"/>
          </rPr>
          <t>Administrator:</t>
        </r>
        <r>
          <rPr>
            <sz val="9"/>
            <rFont val="宋体"/>
            <charset val="134"/>
          </rPr>
          <t xml:space="preserve">
1601254 1/23 2000pcs庞3b17
</t>
        </r>
      </text>
    </comment>
    <comment ref="AI1046" authorId="0">
      <text>
        <r>
          <rPr>
            <b/>
            <sz val="9"/>
            <rFont val="宋体"/>
            <charset val="134"/>
          </rPr>
          <t>Administrator:</t>
        </r>
        <r>
          <rPr>
            <sz val="9"/>
            <rFont val="宋体"/>
            <charset val="134"/>
          </rPr>
          <t xml:space="preserve">
1601254 1/23 4500pcs
庞3b17
</t>
        </r>
      </text>
    </comment>
    <comment ref="AI1047" authorId="0">
      <text>
        <r>
          <rPr>
            <b/>
            <sz val="9"/>
            <rFont val="宋体"/>
            <charset val="134"/>
          </rPr>
          <t>Administrator:</t>
        </r>
        <r>
          <rPr>
            <sz val="9"/>
            <rFont val="宋体"/>
            <charset val="134"/>
          </rPr>
          <t xml:space="preserve">
1601254 1/23 700pcs
庞3b17
</t>
        </r>
      </text>
    </comment>
    <comment ref="AI1048" authorId="0">
      <text>
        <r>
          <rPr>
            <b/>
            <sz val="9"/>
            <rFont val="宋体"/>
            <charset val="134"/>
          </rPr>
          <t>Administrator:</t>
        </r>
        <r>
          <rPr>
            <sz val="9"/>
            <rFont val="宋体"/>
            <charset val="134"/>
          </rPr>
          <t xml:space="preserve">
4001808 1/26 5400pcs车间</t>
        </r>
      </text>
    </comment>
    <comment ref="AI1049" authorId="0">
      <text>
        <r>
          <rPr>
            <b/>
            <sz val="9"/>
            <rFont val="宋体"/>
            <charset val="134"/>
          </rPr>
          <t>Administrator:</t>
        </r>
        <r>
          <rPr>
            <sz val="9"/>
            <rFont val="宋体"/>
            <charset val="134"/>
          </rPr>
          <t xml:space="preserve">
1601294 1/26 4500pcs庞3a3</t>
        </r>
      </text>
    </comment>
    <comment ref="AL1049" authorId="0">
      <text>
        <r>
          <rPr>
            <b/>
            <sz val="9"/>
            <rFont val="宋体"/>
            <charset val="134"/>
          </rPr>
          <t>Administrator:</t>
        </r>
        <r>
          <rPr>
            <sz val="9"/>
            <rFont val="宋体"/>
            <charset val="134"/>
          </rPr>
          <t xml:space="preserve">
1/14 UPC贴纸 4800pcs</t>
        </r>
      </text>
    </comment>
    <comment ref="AI1050" authorId="0">
      <text>
        <r>
          <rPr>
            <b/>
            <sz val="9"/>
            <rFont val="宋体"/>
            <charset val="134"/>
          </rPr>
          <t>Administrator:</t>
        </r>
        <r>
          <rPr>
            <sz val="9"/>
            <rFont val="宋体"/>
            <charset val="134"/>
          </rPr>
          <t xml:space="preserve">
1201037 12/22 780pcs王4c5
1601208 1/22 780pcs庞3b14</t>
        </r>
      </text>
    </comment>
    <comment ref="AL1050" authorId="0">
      <text>
        <r>
          <rPr>
            <b/>
            <sz val="9"/>
            <rFont val="宋体"/>
            <charset val="134"/>
          </rPr>
          <t>Administrator:</t>
        </r>
        <r>
          <rPr>
            <sz val="9"/>
            <rFont val="宋体"/>
            <charset val="134"/>
          </rPr>
          <t xml:space="preserve">
12/9 进口商贴纸 780pcs
UPC 条码贴纸 780pcs
1/7 进口商贴纸 1560pcs
UPC 条码贴纸 1560pcs</t>
        </r>
      </text>
    </comment>
    <comment ref="AI1051" authorId="0">
      <text>
        <r>
          <rPr>
            <b/>
            <sz val="9"/>
            <rFont val="宋体"/>
            <charset val="134"/>
          </rPr>
          <t>Administrator:</t>
        </r>
        <r>
          <rPr>
            <sz val="9"/>
            <rFont val="宋体"/>
            <charset val="134"/>
          </rPr>
          <t xml:space="preserve">
5000248 1/27 1250pcs
王4c5</t>
        </r>
      </text>
    </comment>
    <comment ref="AL1051" authorId="0">
      <text>
        <r>
          <rPr>
            <b/>
            <sz val="9"/>
            <rFont val="宋体"/>
            <charset val="134"/>
          </rPr>
          <t>Administrator:</t>
        </r>
        <r>
          <rPr>
            <sz val="9"/>
            <rFont val="宋体"/>
            <charset val="134"/>
          </rPr>
          <t xml:space="preserve">
10/24 上红色LOGO贴纸2500pcs
10/23 上进口商贴纸2500pcs
UPC贴纸2500pcs
</t>
        </r>
      </text>
    </comment>
    <comment ref="AI1052" authorId="0">
      <text>
        <r>
          <rPr>
            <b/>
            <sz val="9"/>
            <rFont val="宋体"/>
            <charset val="134"/>
          </rPr>
          <t>Administrator:</t>
        </r>
        <r>
          <rPr>
            <sz val="9"/>
            <rFont val="宋体"/>
            <charset val="134"/>
          </rPr>
          <t xml:space="preserve">
5000248 1/27 300pcs
王4b5</t>
        </r>
      </text>
    </comment>
    <comment ref="AI1053" authorId="0">
      <text>
        <r>
          <rPr>
            <b/>
            <sz val="9"/>
            <rFont val="宋体"/>
            <charset val="134"/>
          </rPr>
          <t>Administrator:</t>
        </r>
        <r>
          <rPr>
            <sz val="9"/>
            <rFont val="宋体"/>
            <charset val="134"/>
          </rPr>
          <t xml:space="preserve">
5000248 1/27 950pcs
王4a9</t>
        </r>
      </text>
    </comment>
    <comment ref="AI1054" authorId="0">
      <text>
        <r>
          <rPr>
            <b/>
            <sz val="9"/>
            <rFont val="宋体"/>
            <charset val="134"/>
          </rPr>
          <t>Administrator:</t>
        </r>
        <r>
          <rPr>
            <sz val="9"/>
            <rFont val="宋体"/>
            <charset val="134"/>
          </rPr>
          <t xml:space="preserve">
5000248 1/27 1300pcs
王4b9</t>
        </r>
      </text>
    </comment>
    <comment ref="AL1054" authorId="0">
      <text>
        <r>
          <rPr>
            <b/>
            <sz val="9"/>
            <rFont val="宋体"/>
            <charset val="134"/>
          </rPr>
          <t>Administrator:</t>
        </r>
        <r>
          <rPr>
            <sz val="9"/>
            <rFont val="宋体"/>
            <charset val="134"/>
          </rPr>
          <t xml:space="preserve">
1/5 进口商贴纸 1300pcs</t>
        </r>
      </text>
    </comment>
    <comment ref="AI1055" authorId="0">
      <text>
        <r>
          <rPr>
            <b/>
            <sz val="9"/>
            <rFont val="宋体"/>
            <charset val="134"/>
          </rPr>
          <t>Administrator:</t>
        </r>
        <r>
          <rPr>
            <sz val="9"/>
            <rFont val="宋体"/>
            <charset val="134"/>
          </rPr>
          <t xml:space="preserve">
5000259 1/27 10000pcs
庞1f9</t>
        </r>
      </text>
    </comment>
    <comment ref="AL1055" authorId="0">
      <text>
        <r>
          <rPr>
            <b/>
            <sz val="9"/>
            <rFont val="宋体"/>
            <charset val="134"/>
          </rPr>
          <t>Administrator:</t>
        </r>
        <r>
          <rPr>
            <sz val="9"/>
            <rFont val="宋体"/>
            <charset val="134"/>
          </rPr>
          <t xml:space="preserve">
1/12 法国sorting label 10000pcs</t>
        </r>
      </text>
    </comment>
    <comment ref="AI1056" authorId="0">
      <text>
        <r>
          <rPr>
            <b/>
            <sz val="9"/>
            <rFont val="宋体"/>
            <charset val="134"/>
          </rPr>
          <t>Administrator:</t>
        </r>
        <r>
          <rPr>
            <sz val="9"/>
            <rFont val="宋体"/>
            <charset val="134"/>
          </rPr>
          <t xml:space="preserve">
5000259 1/27 4000pcs
庞3a24</t>
        </r>
      </text>
    </comment>
    <comment ref="AL1056" authorId="0">
      <text>
        <r>
          <rPr>
            <b/>
            <sz val="9"/>
            <rFont val="宋体"/>
            <charset val="134"/>
          </rPr>
          <t>Administrator:</t>
        </r>
        <r>
          <rPr>
            <sz val="9"/>
            <rFont val="宋体"/>
            <charset val="134"/>
          </rPr>
          <t xml:space="preserve">
1/12 法国sorting label 4000pcs</t>
        </r>
      </text>
    </comment>
    <comment ref="AI1057" authorId="0">
      <text>
        <r>
          <rPr>
            <b/>
            <sz val="9"/>
            <rFont val="宋体"/>
            <charset val="134"/>
          </rPr>
          <t>Administrator:</t>
        </r>
        <r>
          <rPr>
            <sz val="9"/>
            <rFont val="宋体"/>
            <charset val="134"/>
          </rPr>
          <t xml:space="preserve">
1601217 1/20 4500pcs文本云</t>
        </r>
      </text>
    </comment>
    <comment ref="AI1058" authorId="0">
      <text>
        <r>
          <rPr>
            <b/>
            <sz val="9"/>
            <rFont val="宋体"/>
            <charset val="134"/>
          </rPr>
          <t>Administrator:</t>
        </r>
        <r>
          <rPr>
            <sz val="9"/>
            <rFont val="宋体"/>
            <charset val="134"/>
          </rPr>
          <t xml:space="preserve">
4001820 1/29 2268cs
庞1f5
4001930 2/30 264pcs 庞1f5</t>
        </r>
      </text>
    </comment>
    <comment ref="AL1058" authorId="0">
      <text>
        <r>
          <rPr>
            <b/>
            <sz val="9"/>
            <rFont val="宋体"/>
            <charset val="134"/>
          </rPr>
          <t>Administrator:</t>
        </r>
        <r>
          <rPr>
            <sz val="9"/>
            <rFont val="宋体"/>
            <charset val="134"/>
          </rPr>
          <t xml:space="preserve">
12/29 EAN条码贴纸 2532pcs
空白贴纸 5064pcs</t>
        </r>
      </text>
    </comment>
    <comment ref="AI1059" authorId="0">
      <text>
        <r>
          <rPr>
            <b/>
            <sz val="9"/>
            <rFont val="宋体"/>
            <charset val="134"/>
          </rPr>
          <t>Administrator:</t>
        </r>
        <r>
          <rPr>
            <sz val="9"/>
            <rFont val="宋体"/>
            <charset val="134"/>
          </rPr>
          <t xml:space="preserve">
1601220 1/21 1250pcs
庞登一楼
</t>
        </r>
      </text>
    </comment>
    <comment ref="AL1059" authorId="0">
      <text>
        <r>
          <rPr>
            <b/>
            <sz val="9"/>
            <rFont val="宋体"/>
            <charset val="134"/>
          </rPr>
          <t>Administrator:</t>
        </r>
        <r>
          <rPr>
            <sz val="9"/>
            <rFont val="宋体"/>
            <charset val="134"/>
          </rPr>
          <t xml:space="preserve">
1/22 UPC贴纸 1250pcs</t>
        </r>
      </text>
    </comment>
    <comment ref="AI1060" authorId="0">
      <text>
        <r>
          <rPr>
            <b/>
            <sz val="9"/>
            <rFont val="宋体"/>
            <charset val="134"/>
          </rPr>
          <t>Administrator:</t>
        </r>
        <r>
          <rPr>
            <sz val="9"/>
            <rFont val="宋体"/>
            <charset val="134"/>
          </rPr>
          <t xml:space="preserve">
1405708 1/28 3000pcs庞3a26</t>
        </r>
      </text>
    </comment>
    <comment ref="AL1060" authorId="0">
      <text>
        <r>
          <rPr>
            <b/>
            <sz val="9"/>
            <rFont val="宋体"/>
            <charset val="134"/>
          </rPr>
          <t>Administrator:</t>
        </r>
        <r>
          <rPr>
            <sz val="9"/>
            <rFont val="宋体"/>
            <charset val="134"/>
          </rPr>
          <t xml:space="preserve">
12/25 进口商贴纸 3000pcs
UPC条码贴纸 3000pcs
正面收藏指南贴纸 3000pcs
背面收藏指南贴纸 3000pcs
</t>
        </r>
      </text>
    </comment>
    <comment ref="AI1061" authorId="0">
      <text>
        <r>
          <rPr>
            <b/>
            <sz val="9"/>
            <rFont val="宋体"/>
            <charset val="134"/>
          </rPr>
          <t>Administrator:</t>
        </r>
        <r>
          <rPr>
            <sz val="9"/>
            <rFont val="宋体"/>
            <charset val="134"/>
          </rPr>
          <t xml:space="preserve">
1405692 1/30 2080pcs
庞b4</t>
        </r>
      </text>
    </comment>
    <comment ref="AL1061" authorId="0">
      <text>
        <r>
          <rPr>
            <b/>
            <sz val="9"/>
            <rFont val="宋体"/>
            <charset val="134"/>
          </rPr>
          <t>Administrator:</t>
        </r>
        <r>
          <rPr>
            <sz val="9"/>
            <rFont val="宋体"/>
            <charset val="134"/>
          </rPr>
          <t xml:space="preserve">
12/25 客供警语贴纸贴球底部 2150pcs
供警语贴纸贴收藏指ī 2150pcs
供警语贴纸贴说明书 2150pcs
1/7 UPC 条码贴纸 2080pcs</t>
        </r>
      </text>
    </comment>
    <comment ref="AI1062" authorId="0">
      <text>
        <r>
          <rPr>
            <b/>
            <sz val="9"/>
            <rFont val="宋体"/>
            <charset val="134"/>
          </rPr>
          <t>Administrator:</t>
        </r>
        <r>
          <rPr>
            <sz val="9"/>
            <rFont val="宋体"/>
            <charset val="134"/>
          </rPr>
          <t xml:space="preserve">
4001929 1/30 720pcs王4a2</t>
        </r>
      </text>
    </comment>
    <comment ref="AL1062" authorId="0">
      <text>
        <r>
          <rPr>
            <b/>
            <sz val="9"/>
            <rFont val="宋体"/>
            <charset val="134"/>
          </rPr>
          <t>Administrator:</t>
        </r>
        <r>
          <rPr>
            <sz val="9"/>
            <rFont val="宋体"/>
            <charset val="134"/>
          </rPr>
          <t xml:space="preserve">
12/25 供警语贴纸贴说明书 1490pcs
客供电池警语贴纸 1488pcs
供警语贴纸贴收藏指內 1488pcs
1/7 空白帖纸 720pcs
</t>
        </r>
      </text>
    </comment>
    <comment ref="AI1063" authorId="0">
      <text>
        <r>
          <rPr>
            <b/>
            <sz val="9"/>
            <rFont val="宋体"/>
            <charset val="134"/>
          </rPr>
          <t>Administrator:</t>
        </r>
        <r>
          <rPr>
            <sz val="9"/>
            <rFont val="宋体"/>
            <charset val="134"/>
          </rPr>
          <t xml:space="preserve">
1405692 1/30 32pcs 庞b4
1405650 2/2 8720PCS
王4a1</t>
        </r>
      </text>
    </comment>
    <comment ref="AI1064" authorId="0">
      <text>
        <r>
          <rPr>
            <b/>
            <sz val="9"/>
            <rFont val="宋体"/>
            <charset val="134"/>
          </rPr>
          <t>Administrator:</t>
        </r>
        <r>
          <rPr>
            <sz val="9"/>
            <rFont val="宋体"/>
            <charset val="134"/>
          </rPr>
          <t xml:space="preserve">
1405713 1/28 3900pcs王4b4</t>
        </r>
      </text>
    </comment>
    <comment ref="AL1064" authorId="0">
      <text>
        <r>
          <rPr>
            <b/>
            <sz val="9"/>
            <rFont val="宋体"/>
            <charset val="134"/>
          </rPr>
          <t>Administrator:</t>
        </r>
        <r>
          <rPr>
            <sz val="9"/>
            <rFont val="宋体"/>
            <charset val="134"/>
          </rPr>
          <t xml:space="preserve">
1/15 客供防車码贴纸1拖13 1300pcs
1/12 条码贴纸 3900pcs</t>
        </r>
      </text>
    </comment>
    <comment ref="AI1065" authorId="0">
      <text>
        <r>
          <rPr>
            <b/>
            <sz val="9"/>
            <rFont val="宋体"/>
            <charset val="134"/>
          </rPr>
          <t>Administrator:</t>
        </r>
        <r>
          <rPr>
            <sz val="9"/>
            <rFont val="宋体"/>
            <charset val="134"/>
          </rPr>
          <t xml:space="preserve">
1405696 1/29 9100pcs 直走</t>
        </r>
      </text>
    </comment>
    <comment ref="AL1065" authorId="0">
      <text>
        <r>
          <rPr>
            <b/>
            <sz val="9"/>
            <rFont val="宋体"/>
            <charset val="134"/>
          </rPr>
          <t>Administrator:</t>
        </r>
        <r>
          <rPr>
            <sz val="9"/>
            <rFont val="宋体"/>
            <charset val="134"/>
          </rPr>
          <t xml:space="preserve">
1/15 客供防車码贴纸1拖13 1300pcs
1/12 条码贴纸 9100pcs
</t>
        </r>
      </text>
    </comment>
    <comment ref="AI1066" authorId="0">
      <text>
        <r>
          <rPr>
            <b/>
            <sz val="9"/>
            <rFont val="宋体"/>
            <charset val="134"/>
          </rPr>
          <t>Administrator:</t>
        </r>
        <r>
          <rPr>
            <sz val="9"/>
            <rFont val="宋体"/>
            <charset val="134"/>
          </rPr>
          <t xml:space="preserve">
1405696 1/29 6500pcs
直走</t>
        </r>
      </text>
    </comment>
    <comment ref="AL1066" authorId="0">
      <text>
        <r>
          <rPr>
            <b/>
            <sz val="9"/>
            <rFont val="宋体"/>
            <charset val="134"/>
          </rPr>
          <t>Administrator:</t>
        </r>
        <r>
          <rPr>
            <sz val="9"/>
            <rFont val="宋体"/>
            <charset val="134"/>
          </rPr>
          <t xml:space="preserve">
1/12 条码贴纸 6500pcs
</t>
        </r>
      </text>
    </comment>
    <comment ref="AI1067" authorId="0">
      <text>
        <r>
          <rPr>
            <b/>
            <sz val="9"/>
            <rFont val="宋体"/>
            <charset val="134"/>
          </rPr>
          <t>Administrator:</t>
        </r>
        <r>
          <rPr>
            <sz val="9"/>
            <rFont val="宋体"/>
            <charset val="134"/>
          </rPr>
          <t xml:space="preserve">
1405696 1/29 13000pcs
直走</t>
        </r>
      </text>
    </comment>
    <comment ref="AL1067" authorId="0">
      <text>
        <r>
          <rPr>
            <b/>
            <sz val="9"/>
            <rFont val="宋体"/>
            <charset val="134"/>
          </rPr>
          <t>Administrator:</t>
        </r>
        <r>
          <rPr>
            <sz val="9"/>
            <rFont val="宋体"/>
            <charset val="134"/>
          </rPr>
          <t xml:space="preserve">
1/12 条码贴纸 13000pcs
</t>
        </r>
      </text>
    </comment>
    <comment ref="AI1068" authorId="0">
      <text>
        <r>
          <rPr>
            <b/>
            <sz val="9"/>
            <rFont val="宋体"/>
            <charset val="134"/>
          </rPr>
          <t>Administrator:</t>
        </r>
        <r>
          <rPr>
            <sz val="9"/>
            <rFont val="宋体"/>
            <charset val="134"/>
          </rPr>
          <t xml:space="preserve">
1405696 1/29 3900pcs
王4c10</t>
        </r>
      </text>
    </comment>
    <comment ref="AI1069" authorId="0">
      <text>
        <r>
          <rPr>
            <b/>
            <sz val="9"/>
            <rFont val="宋体"/>
            <charset val="134"/>
          </rPr>
          <t>Administrator:</t>
        </r>
        <r>
          <rPr>
            <sz val="9"/>
            <rFont val="宋体"/>
            <charset val="134"/>
          </rPr>
          <t xml:space="preserve">
4001930 2/30 24pcs
庞1f5
</t>
        </r>
      </text>
    </comment>
    <comment ref="AI1070" authorId="0">
      <text>
        <r>
          <rPr>
            <b/>
            <sz val="9"/>
            <rFont val="宋体"/>
            <charset val="134"/>
          </rPr>
          <t>Administrator:</t>
        </r>
        <r>
          <rPr>
            <sz val="9"/>
            <rFont val="宋体"/>
            <charset val="134"/>
          </rPr>
          <t xml:space="preserve">
1405659 2/2 1020pcs
庞3b15</t>
        </r>
      </text>
    </comment>
    <comment ref="AL1070" authorId="0">
      <text>
        <r>
          <rPr>
            <b/>
            <sz val="9"/>
            <rFont val="宋体"/>
            <charset val="134"/>
          </rPr>
          <t>Administrator:</t>
        </r>
        <r>
          <rPr>
            <sz val="9"/>
            <rFont val="宋体"/>
            <charset val="134"/>
          </rPr>
          <t xml:space="preserve">
1/12 进口商/西班牙环1020pcs </t>
        </r>
      </text>
    </comment>
    <comment ref="AI1071" authorId="0">
      <text>
        <r>
          <rPr>
            <b/>
            <sz val="9"/>
            <rFont val="宋体"/>
            <charset val="134"/>
          </rPr>
          <t>Administrator:</t>
        </r>
        <r>
          <rPr>
            <sz val="9"/>
            <rFont val="宋体"/>
            <charset val="134"/>
          </rPr>
          <t xml:space="preserve">
1405622 2/4 1200pcs
华3b14</t>
        </r>
      </text>
    </comment>
    <comment ref="AI1072" authorId="0">
      <text>
        <r>
          <rPr>
            <b/>
            <sz val="9"/>
            <rFont val="宋体"/>
            <charset val="134"/>
          </rPr>
          <t>Administrator:</t>
        </r>
        <r>
          <rPr>
            <sz val="9"/>
            <rFont val="宋体"/>
            <charset val="134"/>
          </rPr>
          <t xml:space="preserve">
1405622 2/4 96pcs
华3b14
</t>
        </r>
      </text>
    </comment>
    <comment ref="AI1073" authorId="0">
      <text>
        <r>
          <rPr>
            <b/>
            <sz val="9"/>
            <rFont val="宋体"/>
            <charset val="134"/>
          </rPr>
          <t>Administrator:</t>
        </r>
        <r>
          <rPr>
            <sz val="9"/>
            <rFont val="宋体"/>
            <charset val="134"/>
          </rPr>
          <t xml:space="preserve">
1405622 2/4 2004pcs华3b8</t>
        </r>
      </text>
    </comment>
    <comment ref="AL1073" authorId="0">
      <text>
        <r>
          <rPr>
            <b/>
            <sz val="9"/>
            <rFont val="宋体"/>
            <charset val="134"/>
          </rPr>
          <t>Administrator:</t>
        </r>
        <r>
          <rPr>
            <sz val="9"/>
            <rFont val="宋体"/>
            <charset val="134"/>
          </rPr>
          <t xml:space="preserve">
1/5 客供价格贴纸 2100pcs</t>
        </r>
      </text>
    </comment>
    <comment ref="AI1074" authorId="0">
      <text>
        <r>
          <rPr>
            <b/>
            <sz val="9"/>
            <rFont val="宋体"/>
            <charset val="134"/>
          </rPr>
          <t>Administrator:</t>
        </r>
        <r>
          <rPr>
            <sz val="9"/>
            <rFont val="宋体"/>
            <charset val="134"/>
          </rPr>
          <t xml:space="preserve">
1405696 1/29 4329pcs
王4b6</t>
        </r>
      </text>
    </comment>
    <comment ref="AI1075" authorId="0">
      <text>
        <r>
          <rPr>
            <b/>
            <sz val="9"/>
            <rFont val="宋体"/>
            <charset val="134"/>
          </rPr>
          <t>Administrator:</t>
        </r>
        <r>
          <rPr>
            <sz val="9"/>
            <rFont val="宋体"/>
            <charset val="134"/>
          </rPr>
          <t xml:space="preserve">
1405696 1/29 2015pcs
王4b7</t>
        </r>
      </text>
    </comment>
    <comment ref="AI1076" authorId="0">
      <text>
        <r>
          <rPr>
            <b/>
            <sz val="9"/>
            <rFont val="宋体"/>
            <charset val="134"/>
          </rPr>
          <t>Administrator:</t>
        </r>
        <r>
          <rPr>
            <sz val="9"/>
            <rFont val="宋体"/>
            <charset val="134"/>
          </rPr>
          <t xml:space="preserve">
4001820 1/29 1200pcs庞3a31</t>
        </r>
      </text>
    </comment>
    <comment ref="AL1076" authorId="0">
      <text>
        <r>
          <rPr>
            <b/>
            <sz val="9"/>
            <rFont val="宋体"/>
            <charset val="134"/>
          </rPr>
          <t>Administrator:</t>
        </r>
        <r>
          <rPr>
            <sz val="9"/>
            <rFont val="宋体"/>
            <charset val="134"/>
          </rPr>
          <t xml:space="preserve">
12/29 3c贴纸 1200pcs</t>
        </r>
      </text>
    </comment>
    <comment ref="AI1077" authorId="0">
      <text>
        <r>
          <rPr>
            <b/>
            <sz val="9"/>
            <rFont val="宋体"/>
            <charset val="134"/>
          </rPr>
          <t>Administrator:</t>
        </r>
        <r>
          <rPr>
            <sz val="9"/>
            <rFont val="宋体"/>
            <charset val="134"/>
          </rPr>
          <t xml:space="preserve">
4001820 1/29 3000pcs
庞1f11
</t>
        </r>
      </text>
    </comment>
    <comment ref="AL1077" authorId="0">
      <text>
        <r>
          <rPr>
            <b/>
            <sz val="9"/>
            <rFont val="宋体"/>
            <charset val="134"/>
          </rPr>
          <t>Administrator:</t>
        </r>
        <r>
          <rPr>
            <sz val="9"/>
            <rFont val="宋体"/>
            <charset val="134"/>
          </rPr>
          <t xml:space="preserve">
1/5 颜色贴纸 3000pcs
空白贴纸 3000pcs
空白贴纸 6000pcs</t>
        </r>
      </text>
    </comment>
    <comment ref="AI1078" authorId="0">
      <text>
        <r>
          <rPr>
            <b/>
            <sz val="9"/>
            <rFont val="宋体"/>
            <charset val="134"/>
          </rPr>
          <t>Administrator:</t>
        </r>
        <r>
          <rPr>
            <sz val="9"/>
            <rFont val="宋体"/>
            <charset val="134"/>
          </rPr>
          <t xml:space="preserve">
4001818 1/29 7800cs
庞登1楼</t>
        </r>
      </text>
    </comment>
    <comment ref="AL1078" authorId="0">
      <text>
        <r>
          <rPr>
            <b/>
            <sz val="9"/>
            <rFont val="宋体"/>
            <charset val="134"/>
          </rPr>
          <t>Administrator:</t>
        </r>
        <r>
          <rPr>
            <sz val="9"/>
            <rFont val="宋体"/>
            <charset val="134"/>
          </rPr>
          <t xml:space="preserve">
1/5 颜色贴纸 7800pcs
空白贴纸 3000pcs
空白贴纸 15600pcs
</t>
        </r>
      </text>
    </comment>
    <comment ref="AI1079" authorId="0">
      <text>
        <r>
          <rPr>
            <b/>
            <sz val="9"/>
            <rFont val="宋体"/>
            <charset val="134"/>
          </rPr>
          <t>Administrator:</t>
        </r>
        <r>
          <rPr>
            <sz val="9"/>
            <rFont val="宋体"/>
            <charset val="134"/>
          </rPr>
          <t xml:space="preserve">
4001932 1/30 6972pcs 王4c1
4001934 1/31 228pcs 庞4c1</t>
        </r>
      </text>
    </comment>
    <comment ref="AL1079" authorId="0">
      <text>
        <r>
          <rPr>
            <b/>
            <sz val="9"/>
            <rFont val="宋体"/>
            <charset val="134"/>
          </rPr>
          <t>Administrator:</t>
        </r>
        <r>
          <rPr>
            <sz val="9"/>
            <rFont val="宋体"/>
            <charset val="134"/>
          </rPr>
          <t xml:space="preserve">
1/5 颜色贴纸 3000pcs
空白贴纸 7200pcs
空白贴纸 14400pcs
</t>
        </r>
      </text>
    </comment>
    <comment ref="AI1080" authorId="0">
      <text>
        <r>
          <rPr>
            <b/>
            <sz val="9"/>
            <rFont val="宋体"/>
            <charset val="134"/>
          </rPr>
          <t>Administrator:</t>
        </r>
        <r>
          <rPr>
            <sz val="9"/>
            <rFont val="宋体"/>
            <charset val="134"/>
          </rPr>
          <t xml:space="preserve">
1405696 1/29 5000pcs
王军4c8</t>
        </r>
      </text>
    </comment>
    <comment ref="AL1080" authorId="0">
      <text>
        <r>
          <rPr>
            <b/>
            <sz val="9"/>
            <rFont val="宋体"/>
            <charset val="134"/>
          </rPr>
          <t>Administrator:</t>
        </r>
        <r>
          <rPr>
            <sz val="9"/>
            <rFont val="宋体"/>
            <charset val="134"/>
          </rPr>
          <t xml:space="preserve">
1/12 进口商贴纸 5000pcs
UPC条码贴纸 5000pcs</t>
        </r>
      </text>
    </comment>
    <comment ref="AI1081" authorId="0">
      <text>
        <r>
          <rPr>
            <b/>
            <sz val="9"/>
            <rFont val="宋体"/>
            <charset val="134"/>
          </rPr>
          <t>Administrator:</t>
        </r>
        <r>
          <rPr>
            <sz val="9"/>
            <rFont val="宋体"/>
            <charset val="134"/>
          </rPr>
          <t xml:space="preserve">
4001935 1/31 1800pcs</t>
        </r>
      </text>
    </comment>
    <comment ref="AI1082" authorId="0">
      <text>
        <r>
          <rPr>
            <b/>
            <sz val="9"/>
            <rFont val="宋体"/>
            <charset val="134"/>
          </rPr>
          <t>Administrator:</t>
        </r>
        <r>
          <rPr>
            <sz val="9"/>
            <rFont val="宋体"/>
            <charset val="134"/>
          </rPr>
          <t xml:space="preserve">
1405660 2/2 1200pcs庞3a36</t>
        </r>
      </text>
    </comment>
    <comment ref="AL1082" authorId="0">
      <text>
        <r>
          <rPr>
            <b/>
            <sz val="9"/>
            <rFont val="宋体"/>
            <charset val="134"/>
          </rPr>
          <t>Administrator:</t>
        </r>
        <r>
          <rPr>
            <sz val="9"/>
            <rFont val="宋体"/>
            <charset val="134"/>
          </rPr>
          <t xml:space="preserve">
1/15 客供价格贴纸 1320pcs
1/19 空白贴纸 240pcs
</t>
        </r>
      </text>
    </comment>
    <comment ref="AI1083" authorId="0">
      <text>
        <r>
          <rPr>
            <b/>
            <sz val="9"/>
            <rFont val="宋体"/>
            <charset val="134"/>
          </rPr>
          <t>Administrator:</t>
        </r>
        <r>
          <rPr>
            <sz val="9"/>
            <rFont val="宋体"/>
            <charset val="134"/>
          </rPr>
          <t xml:space="preserve">
1405660 2/2 996pcs庞3a36
</t>
        </r>
      </text>
    </comment>
    <comment ref="AL1083" authorId="0">
      <text>
        <r>
          <rPr>
            <b/>
            <sz val="9"/>
            <rFont val="宋体"/>
            <charset val="134"/>
          </rPr>
          <t>Administrator:</t>
        </r>
        <r>
          <rPr>
            <sz val="9"/>
            <rFont val="宋体"/>
            <charset val="134"/>
          </rPr>
          <t xml:space="preserve">
1/15 客供价格贴纸 1096pcs
1/19 空白贴纸 1992pcs</t>
        </r>
      </text>
    </comment>
    <comment ref="AI1084" authorId="0">
      <text>
        <r>
          <rPr>
            <b/>
            <sz val="9"/>
            <rFont val="宋体"/>
            <charset val="134"/>
          </rPr>
          <t>Administrator:</t>
        </r>
        <r>
          <rPr>
            <sz val="9"/>
            <rFont val="宋体"/>
            <charset val="134"/>
          </rPr>
          <t xml:space="preserve">
1405659 2/2 8000pcs庞1f3</t>
        </r>
      </text>
    </comment>
    <comment ref="AL1084" authorId="0">
      <text>
        <r>
          <rPr>
            <b/>
            <sz val="9"/>
            <rFont val="宋体"/>
            <charset val="134"/>
          </rPr>
          <t>Administrator:</t>
        </r>
        <r>
          <rPr>
            <sz val="9"/>
            <rFont val="宋体"/>
            <charset val="134"/>
          </rPr>
          <t xml:space="preserve">
1/19 进口商贴纸 8000pcs
UPC贴纸 8000pcs</t>
        </r>
      </text>
    </comment>
    <comment ref="AI1085" authorId="0">
      <text>
        <r>
          <rPr>
            <b/>
            <sz val="9"/>
            <rFont val="宋体"/>
            <charset val="134"/>
          </rPr>
          <t>Administrator4001910 4001910 2/4 1200pcs王4a8</t>
        </r>
      </text>
    </comment>
    <comment ref="AI1086" authorId="0">
      <text>
        <r>
          <rPr>
            <b/>
            <sz val="9"/>
            <rFont val="宋体"/>
            <charset val="134"/>
          </rPr>
          <t>Administrator:</t>
        </r>
        <r>
          <rPr>
            <sz val="9"/>
            <rFont val="宋体"/>
            <charset val="134"/>
          </rPr>
          <t xml:space="preserve">
1405666 2/3 1500pcs庞登一楼</t>
        </r>
      </text>
    </comment>
    <comment ref="AL1086" authorId="0">
      <text>
        <r>
          <rPr>
            <b/>
            <sz val="9"/>
            <rFont val="宋体"/>
            <charset val="134"/>
          </rPr>
          <t>Administrator:</t>
        </r>
        <r>
          <rPr>
            <sz val="9"/>
            <rFont val="宋体"/>
            <charset val="134"/>
          </rPr>
          <t xml:space="preserve">
1/19 挪威语警语贴纸 1500pcs</t>
        </r>
      </text>
    </comment>
    <comment ref="AI1087" authorId="0">
      <text>
        <r>
          <rPr>
            <b/>
            <sz val="9"/>
            <rFont val="宋体"/>
            <charset val="134"/>
          </rPr>
          <t>Administrator:</t>
        </r>
        <r>
          <rPr>
            <sz val="9"/>
            <rFont val="宋体"/>
            <charset val="134"/>
          </rPr>
          <t xml:space="preserve">
1405659 2/2 750pcs
庞3b9</t>
        </r>
      </text>
    </comment>
    <comment ref="AL1087" authorId="0">
      <text>
        <r>
          <rPr>
            <b/>
            <sz val="9"/>
            <rFont val="宋体"/>
            <charset val="134"/>
          </rPr>
          <t>Administrator:</t>
        </r>
        <r>
          <rPr>
            <sz val="9"/>
            <rFont val="宋体"/>
            <charset val="134"/>
          </rPr>
          <t xml:space="preserve">
1/19 UPC贴纸 750pcs</t>
        </r>
      </text>
    </comment>
    <comment ref="AI1088" authorId="0">
      <text>
        <r>
          <rPr>
            <b/>
            <sz val="9"/>
            <rFont val="宋体"/>
            <charset val="134"/>
          </rPr>
          <t>Administrator:</t>
        </r>
        <r>
          <rPr>
            <sz val="9"/>
            <rFont val="宋体"/>
            <charset val="134"/>
          </rPr>
          <t xml:space="preserve">
1405659 2/2 750pcs庞3b9
</t>
        </r>
      </text>
    </comment>
    <comment ref="AL1088" authorId="0">
      <text>
        <r>
          <rPr>
            <b/>
            <sz val="9"/>
            <rFont val="宋体"/>
            <charset val="134"/>
          </rPr>
          <t>Administrator:</t>
        </r>
        <r>
          <rPr>
            <sz val="9"/>
            <rFont val="宋体"/>
            <charset val="134"/>
          </rPr>
          <t xml:space="preserve">
1/19 UPC贴纸 750pcs
</t>
        </r>
      </text>
    </comment>
    <comment ref="AI1089" authorId="0">
      <text>
        <r>
          <rPr>
            <b/>
            <sz val="9"/>
            <rFont val="宋体"/>
            <charset val="134"/>
          </rPr>
          <t>Administrator:</t>
        </r>
        <r>
          <rPr>
            <sz val="9"/>
            <rFont val="宋体"/>
            <charset val="134"/>
          </rPr>
          <t xml:space="preserve">
1405659 2/2 1500pcs庞3b9
</t>
        </r>
      </text>
    </comment>
    <comment ref="AL1089" authorId="0">
      <text>
        <r>
          <rPr>
            <b/>
            <sz val="9"/>
            <rFont val="宋体"/>
            <charset val="134"/>
          </rPr>
          <t>Administrator:</t>
        </r>
        <r>
          <rPr>
            <sz val="9"/>
            <rFont val="宋体"/>
            <charset val="134"/>
          </rPr>
          <t xml:space="preserve">
1/19 UPC贴纸 1500pcs
</t>
        </r>
      </text>
    </comment>
    <comment ref="AI1090" authorId="0">
      <text>
        <r>
          <rPr>
            <b/>
            <sz val="9"/>
            <rFont val="宋体"/>
            <charset val="134"/>
          </rPr>
          <t>Administrator:</t>
        </r>
        <r>
          <rPr>
            <sz val="9"/>
            <rFont val="宋体"/>
            <charset val="134"/>
          </rPr>
          <t xml:space="preserve">
1405660 2/2 2004pcs庞3a23</t>
        </r>
      </text>
    </comment>
    <comment ref="AL1090" authorId="0">
      <text>
        <r>
          <rPr>
            <b/>
            <sz val="9"/>
            <rFont val="宋体"/>
            <charset val="134"/>
          </rPr>
          <t>Administrator:</t>
        </r>
        <r>
          <rPr>
            <sz val="9"/>
            <rFont val="宋体"/>
            <charset val="134"/>
          </rPr>
          <t xml:space="preserve">
1/15 客供价格贴纸 2100pcs</t>
        </r>
      </text>
    </comment>
    <comment ref="AI1091" authorId="0">
      <text>
        <r>
          <rPr>
            <b/>
            <sz val="9"/>
            <rFont val="宋体"/>
            <charset val="134"/>
          </rPr>
          <t>Administrator:</t>
        </r>
        <r>
          <rPr>
            <sz val="9"/>
            <rFont val="宋体"/>
            <charset val="134"/>
          </rPr>
          <t xml:space="preserve">
4001889 2/5 3000pcs
王4a3</t>
        </r>
      </text>
    </comment>
    <comment ref="AL1091" authorId="0">
      <text>
        <r>
          <rPr>
            <b/>
            <sz val="9"/>
            <rFont val="宋体"/>
            <charset val="134"/>
          </rPr>
          <t>Administrator:</t>
        </r>
        <r>
          <rPr>
            <sz val="9"/>
            <rFont val="宋体"/>
            <charset val="134"/>
          </rPr>
          <t xml:space="preserve">
1/15 客供价格贴纸 3150pcs
</t>
        </r>
      </text>
    </comment>
    <comment ref="AI1092" authorId="0">
      <text>
        <r>
          <rPr>
            <b/>
            <sz val="9"/>
            <rFont val="宋体"/>
            <charset val="134"/>
          </rPr>
          <t>Administrator:</t>
        </r>
        <r>
          <rPr>
            <sz val="9"/>
            <rFont val="宋体"/>
            <charset val="134"/>
          </rPr>
          <t xml:space="preserve">
1405660 2/2 804pcs
庞3b14</t>
        </r>
      </text>
    </comment>
    <comment ref="AL1092" authorId="0">
      <text>
        <r>
          <rPr>
            <b/>
            <sz val="9"/>
            <rFont val="宋体"/>
            <charset val="134"/>
          </rPr>
          <t>Administrator:</t>
        </r>
        <r>
          <rPr>
            <sz val="9"/>
            <rFont val="宋体"/>
            <charset val="134"/>
          </rPr>
          <t xml:space="preserve">
1/13 客供价格贴纸 840pc</t>
        </r>
      </text>
    </comment>
    <comment ref="AI1093" authorId="0">
      <text>
        <r>
          <rPr>
            <b/>
            <sz val="9"/>
            <rFont val="宋体"/>
            <charset val="134"/>
          </rPr>
          <t>Administrator:</t>
        </r>
        <r>
          <rPr>
            <sz val="9"/>
            <rFont val="宋体"/>
            <charset val="134"/>
          </rPr>
          <t xml:space="preserve">
1405555 2/7 1040pcs王4a2</t>
        </r>
      </text>
    </comment>
    <comment ref="AI1094" authorId="0">
      <text>
        <r>
          <rPr>
            <b/>
            <sz val="9"/>
            <rFont val="宋体"/>
            <charset val="134"/>
          </rPr>
          <t>Administrator:</t>
        </r>
        <r>
          <rPr>
            <sz val="9"/>
            <rFont val="宋体"/>
            <charset val="134"/>
          </rPr>
          <t xml:space="preserve">
1405666 2/3 1228pcs
庞登一楼
</t>
        </r>
      </text>
    </comment>
    <comment ref="AL1094" authorId="0">
      <text>
        <r>
          <rPr>
            <b/>
            <sz val="9"/>
            <rFont val="宋体"/>
            <charset val="134"/>
          </rPr>
          <t>Administrator:</t>
        </r>
        <r>
          <rPr>
            <sz val="9"/>
            <rFont val="宋体"/>
            <charset val="134"/>
          </rPr>
          <t xml:space="preserve">
1/19 客人自色Cat.label 1008pcs</t>
        </r>
      </text>
    </comment>
    <comment ref="AI1095" authorId="0">
      <text>
        <r>
          <rPr>
            <b/>
            <sz val="9"/>
            <rFont val="宋体"/>
            <charset val="134"/>
          </rPr>
          <t>Administrator:</t>
        </r>
        <r>
          <rPr>
            <sz val="9"/>
            <rFont val="宋体"/>
            <charset val="134"/>
          </rPr>
          <t xml:space="preserve">
1405628 2/4 4800pcs庞3b6</t>
        </r>
      </text>
    </comment>
    <comment ref="AL1095" authorId="0">
      <text>
        <r>
          <rPr>
            <b/>
            <sz val="9"/>
            <rFont val="宋体"/>
            <charset val="134"/>
          </rPr>
          <t>Administrator:</t>
        </r>
        <r>
          <rPr>
            <sz val="9"/>
            <rFont val="宋体"/>
            <charset val="134"/>
          </rPr>
          <t xml:space="preserve">
1/5 客供邸ID贴纸 4800pcs
 </t>
        </r>
      </text>
    </comment>
    <comment ref="AI1096" authorId="0">
      <text>
        <r>
          <rPr>
            <b/>
            <sz val="9"/>
            <rFont val="宋体"/>
            <charset val="134"/>
          </rPr>
          <t>Administrator:</t>
        </r>
        <r>
          <rPr>
            <sz val="9"/>
            <rFont val="宋体"/>
            <charset val="134"/>
          </rPr>
          <t xml:space="preserve">
1405628 2/4 42240pcs
1405628 2/4 8448pcs庞3a24
1405629 2/4 19008pcs王4b6
1405608 2/4 14784pcs王4b6
</t>
        </r>
      </text>
    </comment>
    <comment ref="AL1096" authorId="0">
      <text>
        <r>
          <rPr>
            <b/>
            <sz val="9"/>
            <rFont val="宋体"/>
            <charset val="134"/>
          </rPr>
          <t>Administrator:</t>
        </r>
        <r>
          <rPr>
            <sz val="9"/>
            <rFont val="宋体"/>
            <charset val="134"/>
          </rPr>
          <t xml:space="preserve">
1/5 客供邸ID贴纸  42240pcs
</t>
        </r>
      </text>
    </comment>
    <comment ref="AI1097" authorId="0">
      <text>
        <r>
          <rPr>
            <b/>
            <sz val="9"/>
            <rFont val="宋体"/>
            <charset val="134"/>
          </rPr>
          <t xml:space="preserve">Administra
</t>
        </r>
        <r>
          <rPr>
            <sz val="9"/>
            <rFont val="宋体"/>
            <charset val="134"/>
          </rPr>
          <t>1405628 2/4 50880pcs庞3a17</t>
        </r>
      </text>
    </comment>
    <comment ref="AL1097" authorId="0">
      <text>
        <r>
          <rPr>
            <b/>
            <sz val="9"/>
            <rFont val="宋体"/>
            <charset val="134"/>
          </rPr>
          <t>Administrator:</t>
        </r>
        <r>
          <rPr>
            <sz val="9"/>
            <rFont val="宋体"/>
            <charset val="134"/>
          </rPr>
          <t xml:space="preserve">
1/5 客供邸ID贴纸  50880pcs
</t>
        </r>
      </text>
    </comment>
    <comment ref="AI1098" authorId="0">
      <text>
        <r>
          <rPr>
            <b/>
            <sz val="9"/>
            <rFont val="宋体"/>
            <charset val="134"/>
          </rPr>
          <t>Administrator:</t>
        </r>
        <r>
          <rPr>
            <sz val="9"/>
            <rFont val="宋体"/>
            <charset val="134"/>
          </rPr>
          <t xml:space="preserve">
4001874 2/7 504pcs
庞3b12</t>
        </r>
      </text>
    </comment>
    <comment ref="AL1098" authorId="0">
      <text>
        <r>
          <rPr>
            <b/>
            <sz val="9"/>
            <rFont val="宋体"/>
            <charset val="134"/>
          </rPr>
          <t>Administrator:</t>
        </r>
        <r>
          <rPr>
            <sz val="9"/>
            <rFont val="宋体"/>
            <charset val="134"/>
          </rPr>
          <t xml:space="preserve">
1/23 亚马逊外箱贴纸 84pcs</t>
        </r>
      </text>
    </comment>
    <comment ref="AI1099" authorId="0">
      <text>
        <r>
          <rPr>
            <b/>
            <sz val="9"/>
            <rFont val="宋体"/>
            <charset val="134"/>
          </rPr>
          <t>Administrator:</t>
        </r>
        <r>
          <rPr>
            <sz val="9"/>
            <rFont val="宋体"/>
            <charset val="134"/>
          </rPr>
          <t xml:space="preserve">
4001897 2/7 1296pcs王4a4
4001874 2/7 1134pcs庞3a24</t>
        </r>
      </text>
    </comment>
    <comment ref="AL1099" authorId="0">
      <text>
        <r>
          <rPr>
            <b/>
            <sz val="9"/>
            <rFont val="宋体"/>
            <charset val="134"/>
          </rPr>
          <t>Administrator:</t>
        </r>
        <r>
          <rPr>
            <sz val="9"/>
            <rFont val="宋体"/>
            <charset val="134"/>
          </rPr>
          <t xml:space="preserve">
1/21 Kinderherz 2430pcs
1/23 亚马逊外箱贴纸 405pcs
 </t>
        </r>
      </text>
    </comment>
    <comment ref="AI1100" authorId="0">
      <text>
        <r>
          <rPr>
            <b/>
            <sz val="9"/>
            <rFont val="宋体"/>
            <charset val="134"/>
          </rPr>
          <t>Administrator:</t>
        </r>
        <r>
          <rPr>
            <sz val="9"/>
            <rFont val="宋体"/>
            <charset val="134"/>
          </rPr>
          <t xml:space="preserve">
5000812 2/7 6648pcs
王4b4</t>
        </r>
      </text>
    </comment>
    <comment ref="AL1100" authorId="0">
      <text>
        <r>
          <rPr>
            <b/>
            <sz val="9"/>
            <rFont val="宋体"/>
            <charset val="134"/>
          </rPr>
          <t>Administrator:</t>
        </r>
        <r>
          <rPr>
            <sz val="9"/>
            <rFont val="宋体"/>
            <charset val="134"/>
          </rPr>
          <t xml:space="preserve">
12/31 环保标贴纸 6648pcs
空白贴纸 13296pcs
1/23 亚马逊外箱贴纸 554pcs
1/29 洗涤说明贴纸 6648pcs</t>
        </r>
      </text>
    </comment>
    <comment ref="AI1101" authorId="0">
      <text>
        <r>
          <rPr>
            <b/>
            <sz val="9"/>
            <rFont val="宋体"/>
            <charset val="134"/>
          </rPr>
          <t>Administrator:</t>
        </r>
        <r>
          <rPr>
            <sz val="9"/>
            <rFont val="宋体"/>
            <charset val="134"/>
          </rPr>
          <t xml:space="preserve">
5000812 2/7 1992pcs
王4a2</t>
        </r>
      </text>
    </comment>
    <comment ref="AL1101" authorId="0">
      <text>
        <r>
          <rPr>
            <b/>
            <sz val="9"/>
            <rFont val="宋体"/>
            <charset val="134"/>
          </rPr>
          <t>Administrator:</t>
        </r>
        <r>
          <rPr>
            <sz val="9"/>
            <rFont val="宋体"/>
            <charset val="134"/>
          </rPr>
          <t xml:space="preserve">
12/31 环保标贴纸 1992pcs
空白贴纸 2764pcs
1/23 亚马逊外箱贴纸 166pcs
</t>
        </r>
      </text>
    </comment>
    <comment ref="AI1102" authorId="0">
      <text>
        <r>
          <rPr>
            <b/>
            <sz val="9"/>
            <rFont val="宋体"/>
            <charset val="134"/>
          </rPr>
          <t>Administrator:</t>
        </r>
        <r>
          <rPr>
            <sz val="9"/>
            <rFont val="宋体"/>
            <charset val="134"/>
          </rPr>
          <t xml:space="preserve">
1405555 2/7 2405pcs王4a9</t>
        </r>
      </text>
    </comment>
    <comment ref="AL1102" authorId="0">
      <text>
        <r>
          <rPr>
            <b/>
            <sz val="9"/>
            <rFont val="宋体"/>
            <charset val="134"/>
          </rPr>
          <t>Administrator:</t>
        </r>
        <r>
          <rPr>
            <sz val="9"/>
            <rFont val="宋体"/>
            <charset val="134"/>
          </rPr>
          <t xml:space="preserve">
1/21 PDQ贴纸 185pcs
1/23 西班牙环保标/客户进口商 2405pcs</t>
        </r>
      </text>
    </comment>
    <comment ref="AI1103" authorId="0">
      <text>
        <r>
          <rPr>
            <b/>
            <sz val="9"/>
            <rFont val="宋体"/>
            <charset val="134"/>
          </rPr>
          <t>Administrator:</t>
        </r>
        <r>
          <rPr>
            <sz val="9"/>
            <rFont val="宋体"/>
            <charset val="134"/>
          </rPr>
          <t xml:space="preserve">
1405555 2/7 2790pcs
王4b4</t>
        </r>
      </text>
    </comment>
    <comment ref="AL1103" authorId="0">
      <text>
        <r>
          <rPr>
            <b/>
            <sz val="9"/>
            <rFont val="宋体"/>
            <charset val="134"/>
          </rPr>
          <t>Administrator:</t>
        </r>
        <r>
          <rPr>
            <sz val="9"/>
            <rFont val="宋体"/>
            <charset val="134"/>
          </rPr>
          <t xml:space="preserve">
1/21 PDQ贴纸 93pcs
1/23 西班牙环保标/客户进口商 2790pcs
</t>
        </r>
      </text>
    </comment>
    <comment ref="AI1104" authorId="0">
      <text>
        <r>
          <rPr>
            <b/>
            <sz val="9"/>
            <rFont val="宋体"/>
            <charset val="134"/>
          </rPr>
          <t>Administrator:</t>
        </r>
        <r>
          <rPr>
            <sz val="9"/>
            <rFont val="宋体"/>
            <charset val="134"/>
          </rPr>
          <t xml:space="preserve">
1405696 1/29 2500pcs
王4c10
</t>
        </r>
      </text>
    </comment>
    <comment ref="AL1104" authorId="0">
      <text>
        <r>
          <rPr>
            <b/>
            <sz val="9"/>
            <rFont val="宋体"/>
            <charset val="134"/>
          </rPr>
          <t>Administrator:</t>
        </r>
        <r>
          <rPr>
            <sz val="9"/>
            <rFont val="宋体"/>
            <charset val="134"/>
          </rPr>
          <t xml:space="preserve">
1/19 进口商贴纸 2500pcs
UPC贴纸 2500pcs</t>
        </r>
      </text>
    </comment>
    <comment ref="AI1105" authorId="0">
      <text>
        <r>
          <rPr>
            <b/>
            <sz val="9"/>
            <rFont val="宋体"/>
            <charset val="134"/>
          </rPr>
          <t>Administrator:</t>
        </r>
        <r>
          <rPr>
            <sz val="9"/>
            <rFont val="宋体"/>
            <charset val="134"/>
          </rPr>
          <t xml:space="preserve">
4001903 2/2 5400pcs</t>
        </r>
      </text>
    </comment>
    <comment ref="AI1106" authorId="0">
      <text>
        <r>
          <rPr>
            <b/>
            <sz val="9"/>
            <rFont val="宋体"/>
            <charset val="134"/>
          </rPr>
          <t>Administrator:</t>
        </r>
        <r>
          <rPr>
            <sz val="9"/>
            <rFont val="宋体"/>
            <charset val="134"/>
          </rPr>
          <t xml:space="preserve">
4001903 2/2 760pcs
4001905 2/3 3960pcs
4001909 2/4 680pcs</t>
        </r>
      </text>
    </comment>
    <comment ref="AI1107" authorId="0">
      <text>
        <r>
          <rPr>
            <b/>
            <sz val="9"/>
            <rFont val="宋体"/>
            <charset val="134"/>
          </rPr>
          <t>Administrator:</t>
        </r>
        <r>
          <rPr>
            <sz val="9"/>
            <rFont val="宋体"/>
            <charset val="134"/>
          </rPr>
          <t xml:space="preserve">
1405563 2/7 3000pcs庞1f3</t>
        </r>
      </text>
    </comment>
    <comment ref="AL1107" authorId="0">
      <text>
        <r>
          <rPr>
            <b/>
            <sz val="9"/>
            <rFont val="宋体"/>
            <charset val="134"/>
          </rPr>
          <t>Administrator:</t>
        </r>
        <r>
          <rPr>
            <sz val="9"/>
            <rFont val="宋体"/>
            <charset val="134"/>
          </rPr>
          <t xml:space="preserve">
1/21 进口商贴纸 3000pcs
价标贴纸 3000pcs
2/3 客供mu贴纸(条码贴 60pcs
客供ASN贴纸 60pcs
</t>
        </r>
      </text>
    </comment>
    <comment ref="AI1108" authorId="0">
      <text>
        <r>
          <rPr>
            <b/>
            <sz val="9"/>
            <rFont val="宋体"/>
            <charset val="134"/>
          </rPr>
          <t>Administrator:</t>
        </r>
        <r>
          <rPr>
            <sz val="9"/>
            <rFont val="宋体"/>
            <charset val="134"/>
          </rPr>
          <t xml:space="preserve">
1405513 2/24 1875pcs庞3a16</t>
        </r>
      </text>
    </comment>
    <comment ref="AI1109" authorId="0">
      <text>
        <r>
          <rPr>
            <b/>
            <sz val="9"/>
            <rFont val="宋体"/>
            <charset val="134"/>
          </rPr>
          <t>Administrator:</t>
        </r>
        <r>
          <rPr>
            <sz val="9"/>
            <rFont val="宋体"/>
            <charset val="134"/>
          </rPr>
          <t xml:space="preserve">
1405522 2/26 1000pcs</t>
        </r>
      </text>
    </comment>
    <comment ref="AL1109" authorId="0">
      <text>
        <r>
          <rPr>
            <b/>
            <sz val="9"/>
            <rFont val="宋体"/>
            <charset val="134"/>
          </rPr>
          <t>Administrator:</t>
        </r>
        <r>
          <rPr>
            <sz val="9"/>
            <rFont val="宋体"/>
            <charset val="134"/>
          </rPr>
          <t xml:space="preserve">
1/22 警示语贴纸 1000pcs</t>
        </r>
      </text>
    </comment>
    <comment ref="AI1110" authorId="0">
      <text>
        <r>
          <rPr>
            <b/>
            <sz val="9"/>
            <rFont val="宋体"/>
            <charset val="134"/>
          </rPr>
          <t>Administrator:</t>
        </r>
        <r>
          <rPr>
            <sz val="9"/>
            <rFont val="宋体"/>
            <charset val="134"/>
          </rPr>
          <t xml:space="preserve">
1405521 2/26 15184pcs
王4b41405503 2/27 5616pcs 王4b4</t>
        </r>
      </text>
    </comment>
    <comment ref="AL1110" authorId="0">
      <text>
        <r>
          <rPr>
            <b/>
            <sz val="9"/>
            <rFont val="宋体"/>
            <charset val="134"/>
          </rPr>
          <t>Administrator:</t>
        </r>
        <r>
          <rPr>
            <sz val="9"/>
            <rFont val="宋体"/>
            <charset val="134"/>
          </rPr>
          <t xml:space="preserve">
1/22 进口商贴纸 20800pcs
UPC条码贴纸 20800pcs</t>
        </r>
      </text>
    </comment>
    <comment ref="AI1111" authorId="0">
      <text>
        <r>
          <rPr>
            <b/>
            <sz val="9"/>
            <rFont val="宋体"/>
            <charset val="134"/>
          </rPr>
          <t>Administrator:</t>
        </r>
        <r>
          <rPr>
            <sz val="9"/>
            <rFont val="宋体"/>
            <charset val="134"/>
          </rPr>
          <t xml:space="preserve">
1405513 2/24 63000pcs
庞3a22</t>
        </r>
      </text>
    </comment>
    <comment ref="AL1111" authorId="0">
      <text>
        <r>
          <rPr>
            <b/>
            <sz val="9"/>
            <rFont val="宋体"/>
            <charset val="134"/>
          </rPr>
          <t>Administrator:</t>
        </r>
        <r>
          <rPr>
            <sz val="9"/>
            <rFont val="宋体"/>
            <charset val="134"/>
          </rPr>
          <t xml:space="preserve">
1/15 客供外箱条码贴纸 2545pcs
+</t>
        </r>
      </text>
    </comment>
    <comment ref="AI1112" authorId="0">
      <text>
        <r>
          <rPr>
            <b/>
            <sz val="9"/>
            <rFont val="宋体"/>
            <charset val="134"/>
          </rPr>
          <t>Administrator:</t>
        </r>
        <r>
          <rPr>
            <sz val="9"/>
            <rFont val="宋体"/>
            <charset val="134"/>
          </rPr>
          <t xml:space="preserve">
1405521 2/26 2509pcs王4b9</t>
        </r>
      </text>
    </comment>
    <comment ref="AL1112" authorId="0">
      <text>
        <r>
          <rPr>
            <b/>
            <sz val="9"/>
            <rFont val="宋体"/>
            <charset val="134"/>
          </rPr>
          <t>Administrator:</t>
        </r>
        <r>
          <rPr>
            <sz val="9"/>
            <rFont val="宋体"/>
            <charset val="134"/>
          </rPr>
          <t xml:space="preserve">
1/23 多语折稥警语贴纸 2509pcs
</t>
        </r>
      </text>
    </comment>
    <comment ref="AI1113" authorId="0">
      <text>
        <r>
          <rPr>
            <b/>
            <sz val="9"/>
            <rFont val="宋体"/>
            <charset val="134"/>
          </rPr>
          <t>Administrator:</t>
        </r>
        <r>
          <rPr>
            <sz val="9"/>
            <rFont val="宋体"/>
            <charset val="134"/>
          </rPr>
          <t xml:space="preserve">
1405521 2/26 2500pcs
王4b5</t>
        </r>
      </text>
    </comment>
    <comment ref="AL1113" authorId="0">
      <text>
        <r>
          <rPr>
            <b/>
            <sz val="9"/>
            <rFont val="宋体"/>
            <charset val="134"/>
          </rPr>
          <t>Administrator:</t>
        </r>
        <r>
          <rPr>
            <sz val="9"/>
            <rFont val="宋体"/>
            <charset val="134"/>
          </rPr>
          <t xml:space="preserve">
1/26 UPC贴纸 2500pcs</t>
        </r>
      </text>
    </comment>
    <comment ref="AI1114" authorId="0">
      <text>
        <r>
          <rPr>
            <b/>
            <sz val="9"/>
            <rFont val="宋体"/>
            <charset val="134"/>
          </rPr>
          <t>Administrator:</t>
        </r>
        <r>
          <rPr>
            <sz val="9"/>
            <rFont val="宋体"/>
            <charset val="134"/>
          </rPr>
          <t xml:space="preserve">
1405521 2/26 4675pcs王4a3</t>
        </r>
      </text>
    </comment>
    <comment ref="AL1114" authorId="0">
      <text>
        <r>
          <rPr>
            <b/>
            <sz val="9"/>
            <rFont val="宋体"/>
            <charset val="134"/>
          </rPr>
          <t>Administrator:</t>
        </r>
        <r>
          <rPr>
            <sz val="9"/>
            <rFont val="宋体"/>
            <charset val="134"/>
          </rPr>
          <t xml:space="preserve">
1/26 PDQUPC 条码贴纸 4675pcs</t>
        </r>
      </text>
    </comment>
    <comment ref="AI1115" authorId="0">
      <text>
        <r>
          <rPr>
            <b/>
            <sz val="9"/>
            <rFont val="宋体"/>
            <charset val="134"/>
          </rPr>
          <t>Administrator:</t>
        </r>
        <r>
          <rPr>
            <sz val="9"/>
            <rFont val="宋体"/>
            <charset val="134"/>
          </rPr>
          <t xml:space="preserve">
1405521 2/26 3825pcs
王4a3
</t>
        </r>
      </text>
    </comment>
    <comment ref="AL1115" authorId="0">
      <text>
        <r>
          <rPr>
            <b/>
            <sz val="9"/>
            <rFont val="宋体"/>
            <charset val="134"/>
          </rPr>
          <t>Administrator:</t>
        </r>
        <r>
          <rPr>
            <sz val="9"/>
            <rFont val="宋体"/>
            <charset val="134"/>
          </rPr>
          <t xml:space="preserve">
2/3 PDQUPC 条码贴纸 153pcs </t>
        </r>
      </text>
    </comment>
    <comment ref="AI1116" authorId="0">
      <text>
        <r>
          <rPr>
            <b/>
            <sz val="9"/>
            <rFont val="宋体"/>
            <charset val="134"/>
          </rPr>
          <t>Administrator:</t>
        </r>
        <r>
          <rPr>
            <sz val="9"/>
            <rFont val="宋体"/>
            <charset val="134"/>
          </rPr>
          <t xml:space="preserve">
1405522 2/26 2004pcs 王4b10
</t>
        </r>
      </text>
    </comment>
    <comment ref="AL1116" authorId="0">
      <text>
        <r>
          <rPr>
            <b/>
            <sz val="9"/>
            <rFont val="宋体"/>
            <charset val="134"/>
          </rPr>
          <t>Administrator:</t>
        </r>
        <r>
          <rPr>
            <sz val="9"/>
            <rFont val="宋体"/>
            <charset val="134"/>
          </rPr>
          <t xml:space="preserve">
1/16 客供价格贴纸 2100pcs</t>
        </r>
      </text>
    </comment>
    <comment ref="AI1117" authorId="0">
      <text>
        <r>
          <rPr>
            <b/>
            <sz val="9"/>
            <rFont val="宋体"/>
            <charset val="134"/>
          </rPr>
          <t>Administrator:</t>
        </r>
        <r>
          <rPr>
            <sz val="9"/>
            <rFont val="宋体"/>
            <charset val="134"/>
          </rPr>
          <t xml:space="preserve">
1405659 2/2 9030pcs庞1f12</t>
        </r>
      </text>
    </comment>
    <comment ref="AI1118" authorId="0">
      <text>
        <r>
          <rPr>
            <b/>
            <sz val="9"/>
            <rFont val="宋体"/>
            <charset val="134"/>
          </rPr>
          <t>Administrator:</t>
        </r>
        <r>
          <rPr>
            <sz val="9"/>
            <rFont val="宋体"/>
            <charset val="134"/>
          </rPr>
          <t xml:space="preserve">
1405498 3/5 2444pcs直走</t>
        </r>
      </text>
    </comment>
    <comment ref="AL1118" authorId="0">
      <text>
        <r>
          <rPr>
            <b/>
            <sz val="9"/>
            <rFont val="宋体"/>
            <charset val="134"/>
          </rPr>
          <t>Administrator:</t>
        </r>
        <r>
          <rPr>
            <sz val="9"/>
            <rFont val="宋体"/>
            <charset val="134"/>
          </rPr>
          <t xml:space="preserve">
1/19 客户婺语贴纸(含环保标 ) 2444pcs</t>
        </r>
      </text>
    </comment>
    <comment ref="AI1119" authorId="0">
      <text>
        <r>
          <rPr>
            <b/>
            <sz val="9"/>
            <rFont val="宋体"/>
            <charset val="134"/>
          </rPr>
          <t>Administrator:</t>
        </r>
        <r>
          <rPr>
            <sz val="9"/>
            <rFont val="宋体"/>
            <charset val="134"/>
          </rPr>
          <t xml:space="preserve">
1405487 3/2 455pcs庞3a32</t>
        </r>
      </text>
    </comment>
    <comment ref="AL1119" authorId="0">
      <text>
        <r>
          <rPr>
            <b/>
            <sz val="9"/>
            <rFont val="宋体"/>
            <charset val="134"/>
          </rPr>
          <t>Administrator:</t>
        </r>
        <r>
          <rPr>
            <sz val="9"/>
            <rFont val="宋体"/>
            <charset val="134"/>
          </rPr>
          <t xml:space="preserve">
1/22 UPC条码贴 455pcs
1/23 Kmart外箱贴纸 35pcs 
1/30 白色防盗贴纸 445pcs</t>
        </r>
      </text>
    </comment>
    <comment ref="AI1120" authorId="0">
      <text>
        <r>
          <rPr>
            <b/>
            <sz val="9"/>
            <rFont val="宋体"/>
            <charset val="134"/>
          </rPr>
          <t>Administrator:</t>
        </r>
        <r>
          <rPr>
            <sz val="9"/>
            <rFont val="宋体"/>
            <charset val="134"/>
          </rPr>
          <t xml:space="preserve">
1405487 3/2 3939pcs庞3b17</t>
        </r>
      </text>
    </comment>
    <comment ref="AL1120" authorId="0">
      <text>
        <r>
          <rPr>
            <b/>
            <sz val="9"/>
            <rFont val="宋体"/>
            <charset val="134"/>
          </rPr>
          <t>Administrator:</t>
        </r>
        <r>
          <rPr>
            <sz val="9"/>
            <rFont val="宋体"/>
            <charset val="134"/>
          </rPr>
          <t xml:space="preserve">
1/22 UPC条码贴 3939pcs
1/23 Kmart外箱贴纸 303pcs
1/30 白色防盗贴纸 3939pcs
</t>
        </r>
      </text>
    </comment>
    <comment ref="AI1121" authorId="0">
      <text>
        <r>
          <rPr>
            <b/>
            <sz val="9"/>
            <rFont val="宋体"/>
            <charset val="134"/>
          </rPr>
          <t>Administrator:</t>
        </r>
        <r>
          <rPr>
            <sz val="9"/>
            <rFont val="宋体"/>
            <charset val="134"/>
          </rPr>
          <t xml:space="preserve">
1405503 2/27 13750
pcs王4c1</t>
        </r>
      </text>
    </comment>
    <comment ref="AI1122" authorId="0">
      <text>
        <r>
          <rPr>
            <b/>
            <sz val="9"/>
            <rFont val="宋体"/>
            <charset val="134"/>
          </rPr>
          <t>Administrator:</t>
        </r>
        <r>
          <rPr>
            <sz val="9"/>
            <rFont val="宋体"/>
            <charset val="134"/>
          </rPr>
          <t xml:space="preserve">
1405491 3/3 4485pcs庞3a32</t>
        </r>
      </text>
    </comment>
    <comment ref="AL1122" authorId="0">
      <text>
        <r>
          <rPr>
            <b/>
            <sz val="9"/>
            <rFont val="宋体"/>
            <charset val="134"/>
          </rPr>
          <t>Administrator:</t>
        </r>
        <r>
          <rPr>
            <sz val="9"/>
            <rFont val="宋体"/>
            <charset val="134"/>
          </rPr>
          <t xml:space="preserve">
1/26 UPC条码贴纸 4485pcs
1/29 Kmart外箱贴纸 345pcs
1/30 白色防盗贴纸 4485pcs
</t>
        </r>
      </text>
    </comment>
    <comment ref="AI1123" authorId="0">
      <text>
        <r>
          <rPr>
            <b/>
            <sz val="9"/>
            <rFont val="宋体"/>
            <charset val="134"/>
          </rPr>
          <t>Administrator:</t>
        </r>
        <r>
          <rPr>
            <sz val="9"/>
            <rFont val="宋体"/>
            <charset val="134"/>
          </rPr>
          <t xml:space="preserve">
1405487 3/2 455pcs
庞3b17</t>
        </r>
      </text>
    </comment>
    <comment ref="AL1123" authorId="0">
      <text>
        <r>
          <rPr>
            <b/>
            <sz val="9"/>
            <rFont val="宋体"/>
            <charset val="134"/>
          </rPr>
          <t>Administrator:</t>
        </r>
        <r>
          <rPr>
            <sz val="9"/>
            <rFont val="宋体"/>
            <charset val="134"/>
          </rPr>
          <t xml:space="preserve">
1/26 UPC条码贴纸 445pcs
1/29 Kmart外箱贴纸 35pcs
1/30 白色防盗贴纸 445pcs
</t>
        </r>
      </text>
    </comment>
    <comment ref="AI1124" authorId="0">
      <text>
        <r>
          <rPr>
            <b/>
            <sz val="9"/>
            <rFont val="宋体"/>
            <charset val="134"/>
          </rPr>
          <t>Administrator:</t>
        </r>
        <r>
          <rPr>
            <sz val="9"/>
            <rFont val="宋体"/>
            <charset val="134"/>
          </rPr>
          <t xml:space="preserve">
3/10 4001606 55套文本云
</t>
        </r>
      </text>
    </comment>
    <comment ref="AI1125" authorId="0">
      <text>
        <r>
          <rPr>
            <b/>
            <sz val="9"/>
            <rFont val="宋体"/>
            <charset val="134"/>
          </rPr>
          <t>Administrator:</t>
        </r>
        <r>
          <rPr>
            <sz val="9"/>
            <rFont val="宋体"/>
            <charset val="134"/>
          </rPr>
          <t xml:space="preserve">
3/10 4001606 55套文本云</t>
        </r>
      </text>
    </comment>
    <comment ref="AI1126" authorId="0">
      <text>
        <r>
          <rPr>
            <b/>
            <sz val="9"/>
            <rFont val="宋体"/>
            <charset val="134"/>
          </rPr>
          <t>Administrator:</t>
        </r>
        <r>
          <rPr>
            <sz val="9"/>
            <rFont val="宋体"/>
            <charset val="134"/>
          </rPr>
          <t xml:space="preserve">
4001862 2/28 5400pcs</t>
        </r>
      </text>
    </comment>
    <comment ref="AI1127" authorId="0">
      <text>
        <r>
          <rPr>
            <b/>
            <sz val="9"/>
            <rFont val="宋体"/>
            <charset val="134"/>
          </rPr>
          <t>Administrator:</t>
        </r>
        <r>
          <rPr>
            <sz val="9"/>
            <rFont val="宋体"/>
            <charset val="134"/>
          </rPr>
          <t xml:space="preserve">
4001862 2/28 2700pcs
4001865 2/28 2700pcs</t>
        </r>
      </text>
    </comment>
    <comment ref="AI1128" authorId="0">
      <text>
        <r>
          <rPr>
            <b/>
            <sz val="9"/>
            <rFont val="宋体"/>
            <charset val="134"/>
          </rPr>
          <t>Administrator:</t>
        </r>
        <r>
          <rPr>
            <sz val="9"/>
            <rFont val="宋体"/>
            <charset val="134"/>
          </rPr>
          <t xml:space="preserve">
1406364 3/10 1904PCS 王b栋1 雨棚
1406366 3/11 96pcs王b栋1 雨棚</t>
        </r>
      </text>
    </comment>
    <comment ref="AL1128" authorId="0">
      <text>
        <r>
          <rPr>
            <b/>
            <sz val="9"/>
            <rFont val="宋体"/>
            <charset val="134"/>
          </rPr>
          <t>Administrator:</t>
        </r>
        <r>
          <rPr>
            <sz val="9"/>
            <rFont val="宋体"/>
            <charset val="134"/>
          </rPr>
          <t xml:space="preserve">
1/16 客供价格贴纸 2100pcs
</t>
        </r>
      </text>
    </comment>
    <comment ref="AI1129" authorId="0">
      <text>
        <r>
          <rPr>
            <b/>
            <sz val="9"/>
            <rFont val="宋体"/>
            <charset val="134"/>
          </rPr>
          <t>Administrator:</t>
        </r>
        <r>
          <rPr>
            <sz val="9"/>
            <rFont val="宋体"/>
            <charset val="134"/>
          </rPr>
          <t xml:space="preserve">
文本云
</t>
        </r>
      </text>
    </comment>
    <comment ref="AI1130" authorId="0">
      <text>
        <r>
          <rPr>
            <b/>
            <sz val="9"/>
            <rFont val="宋体"/>
            <charset val="134"/>
          </rPr>
          <t>Administrator:</t>
        </r>
        <r>
          <rPr>
            <sz val="9"/>
            <rFont val="宋体"/>
            <charset val="134"/>
          </rPr>
          <t xml:space="preserve">
140637 3/5 4080pcs
1406377 3/6 1320pcs
</t>
        </r>
      </text>
    </comment>
    <comment ref="AI1131" authorId="0">
      <text>
        <r>
          <rPr>
            <b/>
            <sz val="9"/>
            <rFont val="宋体"/>
            <charset val="134"/>
          </rPr>
          <t>Administrator:</t>
        </r>
        <r>
          <rPr>
            <sz val="9"/>
            <rFont val="宋体"/>
            <charset val="134"/>
          </rPr>
          <t xml:space="preserve">
1406377 3/6 5400pcs</t>
        </r>
      </text>
    </comment>
    <comment ref="AI1132" authorId="0">
      <text>
        <r>
          <rPr>
            <b/>
            <sz val="9"/>
            <rFont val="宋体"/>
            <charset val="134"/>
          </rPr>
          <t>Administrator:</t>
        </r>
        <r>
          <rPr>
            <sz val="9"/>
            <rFont val="宋体"/>
            <charset val="134"/>
          </rPr>
          <t xml:space="preserve">
1405466 3/12 2500pcs 庞1f3</t>
        </r>
      </text>
    </comment>
    <comment ref="AL1132" authorId="0">
      <text>
        <r>
          <rPr>
            <b/>
            <sz val="9"/>
            <rFont val="宋体"/>
            <charset val="134"/>
          </rPr>
          <t>Administrator:</t>
        </r>
        <r>
          <rPr>
            <sz val="9"/>
            <rFont val="宋体"/>
            <charset val="134"/>
          </rPr>
          <t xml:space="preserve">
2/3 进口商贴纸 2500pcs
UPC贴纸 2500pcs</t>
        </r>
      </text>
    </comment>
    <comment ref="AI1133" authorId="0">
      <text>
        <r>
          <rPr>
            <b/>
            <sz val="9"/>
            <rFont val="宋体"/>
            <charset val="134"/>
          </rPr>
          <t>Administrator:</t>
        </r>
        <r>
          <rPr>
            <sz val="9"/>
            <rFont val="宋体"/>
            <charset val="134"/>
          </rPr>
          <t xml:space="preserve">
1405322 3/12 3150pcs
庞3a32</t>
        </r>
      </text>
    </comment>
    <comment ref="AL1133" authorId="0">
      <text>
        <r>
          <rPr>
            <b/>
            <sz val="9"/>
            <rFont val="宋体"/>
            <charset val="134"/>
          </rPr>
          <t>Administrator:</t>
        </r>
        <r>
          <rPr>
            <sz val="9"/>
            <rFont val="宋体"/>
            <charset val="134"/>
          </rPr>
          <t xml:space="preserve">
2/5 UPC贴纸 3150pcs</t>
        </r>
      </text>
    </comment>
    <comment ref="AI1134" authorId="0">
      <text>
        <r>
          <rPr>
            <b/>
            <sz val="9"/>
            <rFont val="宋体"/>
            <charset val="134"/>
          </rPr>
          <t>Administrator:</t>
        </r>
        <r>
          <rPr>
            <sz val="9"/>
            <rFont val="宋体"/>
            <charset val="134"/>
          </rPr>
          <t xml:space="preserve">
1405322 3/12 1850pcs
庞3b16</t>
        </r>
      </text>
    </comment>
    <comment ref="AL1134" authorId="0">
      <text>
        <r>
          <rPr>
            <b/>
            <sz val="9"/>
            <rFont val="宋体"/>
            <charset val="134"/>
          </rPr>
          <t>Administrator:</t>
        </r>
        <r>
          <rPr>
            <sz val="9"/>
            <rFont val="宋体"/>
            <charset val="134"/>
          </rPr>
          <t xml:space="preserve">
2/5 UPC贴纸 1850pcs
</t>
        </r>
      </text>
    </comment>
    <comment ref="AI1135" authorId="0">
      <text>
        <r>
          <rPr>
            <b/>
            <sz val="9"/>
            <rFont val="宋体"/>
            <charset val="134"/>
          </rPr>
          <t>Administrator:</t>
        </r>
        <r>
          <rPr>
            <sz val="9"/>
            <rFont val="宋体"/>
            <charset val="134"/>
          </rPr>
          <t xml:space="preserve">
1405322 3/12 4485pcs
庞3a31</t>
        </r>
      </text>
    </comment>
    <comment ref="AL1135" authorId="0">
      <text>
        <r>
          <rPr>
            <b/>
            <sz val="9"/>
            <rFont val="宋体"/>
            <charset val="134"/>
          </rPr>
          <t>Administrator:</t>
        </r>
        <r>
          <rPr>
            <sz val="9"/>
            <rFont val="宋体"/>
            <charset val="134"/>
          </rPr>
          <t xml:space="preserve">
1/26 UPC条码贴纸 4485pcs
2/4 Kmart外箱贴纸 345pcs 
3/3 白色防盗贴纸 4485pcs</t>
        </r>
      </text>
    </comment>
    <comment ref="AI1136" authorId="0">
      <text>
        <r>
          <rPr>
            <b/>
            <sz val="9"/>
            <rFont val="宋体"/>
            <charset val="134"/>
          </rPr>
          <t>Administrator:</t>
        </r>
        <r>
          <rPr>
            <sz val="9"/>
            <rFont val="宋体"/>
            <charset val="134"/>
          </rPr>
          <t xml:space="preserve">
1405322 3/12 455pcs
庞3b12</t>
        </r>
      </text>
    </comment>
    <comment ref="AL1136" authorId="0">
      <text>
        <r>
          <rPr>
            <b/>
            <sz val="9"/>
            <rFont val="宋体"/>
            <charset val="134"/>
          </rPr>
          <t>Administrator:</t>
        </r>
        <r>
          <rPr>
            <sz val="9"/>
            <rFont val="宋体"/>
            <charset val="134"/>
          </rPr>
          <t xml:space="preserve">
1/26 UPC条码贴纸 455pcs
1/30 白色防盗贴纸 445pcs
2/4 Kmart外箱贴纸 35pcs 
</t>
        </r>
      </text>
    </comment>
    <comment ref="AI1137" authorId="0">
      <text>
        <r>
          <rPr>
            <b/>
            <sz val="9"/>
            <rFont val="宋体"/>
            <charset val="134"/>
          </rPr>
          <t>Administrator:</t>
        </r>
        <r>
          <rPr>
            <sz val="9"/>
            <rFont val="宋体"/>
            <charset val="134"/>
          </rPr>
          <t xml:space="preserve">
1406334 3/12 24pcs
庞3a32
1406332 3/12 576pcs庞3a32</t>
        </r>
      </text>
    </comment>
    <comment ref="AL1137" authorId="0">
      <text>
        <r>
          <rPr>
            <b/>
            <sz val="9"/>
            <rFont val="宋体"/>
            <charset val="134"/>
          </rPr>
          <t>Administrator:</t>
        </r>
        <r>
          <rPr>
            <sz val="9"/>
            <rFont val="宋体"/>
            <charset val="134"/>
          </rPr>
          <t xml:space="preserve">
1/16 客供价格贴纸 630pcs
 </t>
        </r>
      </text>
    </comment>
    <comment ref="AI1138" authorId="0">
      <text>
        <r>
          <rPr>
            <b/>
            <sz val="9"/>
            <rFont val="宋体"/>
            <charset val="134"/>
          </rPr>
          <t>Administrator:</t>
        </r>
        <r>
          <rPr>
            <sz val="9"/>
            <rFont val="宋体"/>
            <charset val="134"/>
          </rPr>
          <t xml:space="preserve">
1405466 3/12 1092pcs
庞3b14
1405328 3/13 12pcs庞3b14</t>
        </r>
      </text>
    </comment>
    <comment ref="AL1138" authorId="0">
      <text>
        <r>
          <rPr>
            <b/>
            <sz val="9"/>
            <rFont val="宋体"/>
            <charset val="134"/>
          </rPr>
          <t>Administrator:</t>
        </r>
        <r>
          <rPr>
            <sz val="9"/>
            <rFont val="宋体"/>
            <charset val="134"/>
          </rPr>
          <t xml:space="preserve">
1/16 客供价格贴纸 1155pcs</t>
        </r>
      </text>
    </comment>
    <comment ref="AI1139" authorId="0">
      <text>
        <r>
          <rPr>
            <b/>
            <sz val="9"/>
            <rFont val="宋体"/>
            <charset val="134"/>
          </rPr>
          <t>Administrator:</t>
        </r>
        <r>
          <rPr>
            <sz val="9"/>
            <rFont val="宋体"/>
            <charset val="134"/>
          </rPr>
          <t xml:space="preserve">
1405303 3/16 1836pcs王4b10</t>
        </r>
      </text>
    </comment>
    <comment ref="AL1139" authorId="0">
      <text>
        <r>
          <rPr>
            <b/>
            <sz val="9"/>
            <rFont val="宋体"/>
            <charset val="134"/>
          </rPr>
          <t>Administrator:</t>
        </r>
        <r>
          <rPr>
            <sz val="9"/>
            <rFont val="宋体"/>
            <charset val="134"/>
          </rPr>
          <t xml:space="preserve">
3/10  客供亚马逊外箱贴纸 153PCS 
</t>
        </r>
      </text>
    </comment>
    <comment ref="AI1140" authorId="0">
      <text>
        <r>
          <rPr>
            <b/>
            <sz val="9"/>
            <rFont val="宋体"/>
            <charset val="134"/>
          </rPr>
          <t>Administrator:</t>
        </r>
        <r>
          <rPr>
            <sz val="9"/>
            <rFont val="宋体"/>
            <charset val="134"/>
          </rPr>
          <t xml:space="preserve">
1405303 3/16 24pcs
王4b7</t>
        </r>
      </text>
    </comment>
    <comment ref="AL1140" authorId="0">
      <text>
        <r>
          <rPr>
            <b/>
            <sz val="9"/>
            <rFont val="宋体"/>
            <charset val="134"/>
          </rPr>
          <t>Administrator:</t>
        </r>
        <r>
          <rPr>
            <sz val="9"/>
            <rFont val="宋体"/>
            <charset val="134"/>
          </rPr>
          <t xml:space="preserve">
3/10  客供亚马逊外箱贴纸 2PCS 
</t>
        </r>
      </text>
    </comment>
    <comment ref="AI1141" authorId="0">
      <text>
        <r>
          <rPr>
            <b/>
            <sz val="9"/>
            <rFont val="宋体"/>
            <charset val="134"/>
          </rPr>
          <t>Administrator:</t>
        </r>
        <r>
          <rPr>
            <sz val="9"/>
            <rFont val="宋体"/>
            <charset val="134"/>
          </rPr>
          <t xml:space="preserve">
1405303 3/16 36pcs
王4b7
</t>
        </r>
      </text>
    </comment>
    <comment ref="AL1141" authorId="0">
      <text>
        <r>
          <rPr>
            <b/>
            <sz val="9"/>
            <rFont val="宋体"/>
            <charset val="134"/>
          </rPr>
          <t>Administrator:</t>
        </r>
        <r>
          <rPr>
            <sz val="9"/>
            <rFont val="宋体"/>
            <charset val="134"/>
          </rPr>
          <t xml:space="preserve">
3/10  客供亚马逊外箱贴纸 3PCS 
</t>
        </r>
      </text>
    </comment>
    <comment ref="AI1142" authorId="0">
      <text>
        <r>
          <rPr>
            <b/>
            <sz val="9"/>
            <rFont val="宋体"/>
            <charset val="134"/>
          </rPr>
          <t>Administrator:</t>
        </r>
        <r>
          <rPr>
            <sz val="9"/>
            <rFont val="宋体"/>
            <charset val="134"/>
          </rPr>
          <t xml:space="preserve">
1405303 3/16 96pcs
王4b10</t>
        </r>
      </text>
    </comment>
    <comment ref="AL1142" authorId="0">
      <text>
        <r>
          <rPr>
            <b/>
            <sz val="9"/>
            <rFont val="宋体"/>
            <charset val="134"/>
          </rPr>
          <t>Administrator:</t>
        </r>
        <r>
          <rPr>
            <sz val="9"/>
            <rFont val="宋体"/>
            <charset val="134"/>
          </rPr>
          <t xml:space="preserve">
3/10  客供亚马逊外箱贴纸 8PCS 
</t>
        </r>
      </text>
    </comment>
    <comment ref="AI1143" authorId="0">
      <text>
        <r>
          <rPr>
            <b/>
            <sz val="9"/>
            <rFont val="宋体"/>
            <charset val="134"/>
          </rPr>
          <t>Administrator:</t>
        </r>
        <r>
          <rPr>
            <sz val="9"/>
            <rFont val="宋体"/>
            <charset val="134"/>
          </rPr>
          <t xml:space="preserve">
1405473 3/12 504pcs
庞3a27</t>
        </r>
      </text>
    </comment>
    <comment ref="AL1143" authorId="0">
      <text>
        <r>
          <rPr>
            <b/>
            <sz val="9"/>
            <rFont val="宋体"/>
            <charset val="134"/>
          </rPr>
          <t>Administrator:</t>
        </r>
        <r>
          <rPr>
            <sz val="9"/>
            <rFont val="宋体"/>
            <charset val="134"/>
          </rPr>
          <t xml:space="preserve">
2/9 德语警语贴纸 504pcs</t>
        </r>
      </text>
    </comment>
    <comment ref="AI1144" authorId="0">
      <text>
        <r>
          <rPr>
            <b/>
            <sz val="9"/>
            <rFont val="宋体"/>
            <charset val="134"/>
          </rPr>
          <t>Administrator:</t>
        </r>
        <r>
          <rPr>
            <sz val="9"/>
            <rFont val="宋体"/>
            <charset val="134"/>
          </rPr>
          <t xml:space="preserve">
1405304 3/16 38275pcs
王4a3
1405285 3/16 11725pcs王4a3</t>
        </r>
      </text>
    </comment>
    <comment ref="AL1144" authorId="0">
      <text>
        <r>
          <rPr>
            <b/>
            <sz val="9"/>
            <rFont val="宋体"/>
            <charset val="134"/>
          </rPr>
          <t>Administrator:</t>
        </r>
        <r>
          <rPr>
            <sz val="9"/>
            <rFont val="宋体"/>
            <charset val="134"/>
          </rPr>
          <t xml:space="preserve">
2/26 客供外箱条码贴纸 2000pcs
</t>
        </r>
      </text>
    </comment>
    <comment ref="AI1145" authorId="0">
      <text>
        <r>
          <rPr>
            <b/>
            <sz val="9"/>
            <rFont val="宋体"/>
            <charset val="134"/>
          </rPr>
          <t>Administrator:</t>
        </r>
        <r>
          <rPr>
            <sz val="9"/>
            <rFont val="宋体"/>
            <charset val="134"/>
          </rPr>
          <t xml:space="preserve">
1405326 3/12 4797pcs
庞3b17
1405328 3/13 13pcs庞3b17 </t>
        </r>
      </text>
    </comment>
    <comment ref="AL1145" authorId="0">
      <text>
        <r>
          <rPr>
            <b/>
            <sz val="9"/>
            <rFont val="宋体"/>
            <charset val="134"/>
          </rPr>
          <t>Administrator:</t>
        </r>
        <r>
          <rPr>
            <sz val="9"/>
            <rFont val="宋体"/>
            <charset val="134"/>
          </rPr>
          <t xml:space="preserve">
2/2 多语折疊警语贴纸 4810pcs </t>
        </r>
      </text>
    </comment>
    <comment ref="AI1146" authorId="0">
      <text>
        <r>
          <rPr>
            <b/>
            <sz val="9"/>
            <rFont val="宋体"/>
            <charset val="134"/>
          </rPr>
          <t>Administrator:</t>
        </r>
        <r>
          <rPr>
            <sz val="9"/>
            <rFont val="宋体"/>
            <charset val="134"/>
          </rPr>
          <t xml:space="preserve">
1405473 3/12 5400pcs庞3a28</t>
        </r>
      </text>
    </comment>
    <comment ref="AL1146" authorId="0">
      <text>
        <r>
          <rPr>
            <b/>
            <sz val="9"/>
            <rFont val="宋体"/>
            <charset val="134"/>
          </rPr>
          <t>Administrator:</t>
        </r>
        <r>
          <rPr>
            <sz val="9"/>
            <rFont val="宋体"/>
            <charset val="134"/>
          </rPr>
          <t xml:space="preserve">
1/29 进口商贴纸 5004pcs
空白条码贴纸 10008pcs</t>
        </r>
      </text>
    </comment>
    <comment ref="AI1147" authorId="0">
      <text>
        <r>
          <rPr>
            <b/>
            <sz val="9"/>
            <rFont val="宋体"/>
            <charset val="134"/>
          </rPr>
          <t>Administrator:</t>
        </r>
        <r>
          <rPr>
            <sz val="9"/>
            <rFont val="宋体"/>
            <charset val="134"/>
          </rPr>
          <t xml:space="preserve">
1405285 3/16 1950pcs
王4b9</t>
        </r>
      </text>
    </comment>
    <comment ref="AL1147" authorId="0">
      <text>
        <r>
          <rPr>
            <b/>
            <sz val="9"/>
            <rFont val="宋体"/>
            <charset val="134"/>
          </rPr>
          <t>Administrator:</t>
        </r>
        <r>
          <rPr>
            <sz val="9"/>
            <rFont val="宋体"/>
            <charset val="134"/>
          </rPr>
          <t xml:space="preserve">
2/5 进口商贴纸 1950pcs
UPC贴纸 1950pcs</t>
        </r>
      </text>
    </comment>
    <comment ref="AI1148" authorId="0">
      <text>
        <r>
          <rPr>
            <b/>
            <sz val="9"/>
            <rFont val="宋体"/>
            <charset val="134"/>
          </rPr>
          <t>Administrator:</t>
        </r>
        <r>
          <rPr>
            <sz val="9"/>
            <rFont val="宋体"/>
            <charset val="134"/>
          </rPr>
          <t xml:space="preserve">
1406334 3/12 90pcs
庞3a32</t>
        </r>
      </text>
    </comment>
    <comment ref="AI1149" authorId="0">
      <text>
        <r>
          <rPr>
            <b/>
            <sz val="9"/>
            <rFont val="宋体"/>
            <charset val="134"/>
          </rPr>
          <t>Administrator:</t>
        </r>
        <r>
          <rPr>
            <sz val="9"/>
            <rFont val="宋体"/>
            <charset val="134"/>
          </rPr>
          <t xml:space="preserve">
1405304 3/16 350pcs
王4b5</t>
        </r>
      </text>
    </comment>
    <comment ref="AL1149" authorId="0">
      <text>
        <r>
          <rPr>
            <b/>
            <sz val="9"/>
            <rFont val="宋体"/>
            <charset val="134"/>
          </rPr>
          <t>Administrator:</t>
        </r>
        <r>
          <rPr>
            <sz val="9"/>
            <rFont val="宋体"/>
            <charset val="134"/>
          </rPr>
          <t xml:space="preserve">
3/2 进口商贴纸 350pcs</t>
        </r>
      </text>
    </comment>
    <comment ref="AI1150" authorId="0">
      <text>
        <r>
          <rPr>
            <b/>
            <sz val="9"/>
            <rFont val="宋体"/>
            <charset val="134"/>
          </rPr>
          <t>Administrator:</t>
        </r>
        <r>
          <rPr>
            <sz val="9"/>
            <rFont val="宋体"/>
            <charset val="134"/>
          </rPr>
          <t xml:space="preserve">
1405304 3/16 200pcs王4b5</t>
        </r>
      </text>
    </comment>
    <comment ref="AL1150" authorId="0">
      <text>
        <r>
          <rPr>
            <b/>
            <sz val="9"/>
            <rFont val="宋体"/>
            <charset val="134"/>
          </rPr>
          <t>Administrator:</t>
        </r>
        <r>
          <rPr>
            <sz val="9"/>
            <rFont val="宋体"/>
            <charset val="134"/>
          </rPr>
          <t xml:space="preserve">
3/2 进口商贴纸 200pcs
</t>
        </r>
      </text>
    </comment>
    <comment ref="AI1151" authorId="0">
      <text>
        <r>
          <rPr>
            <b/>
            <sz val="9"/>
            <rFont val="宋体"/>
            <charset val="134"/>
          </rPr>
          <t>Administrator:</t>
        </r>
        <r>
          <rPr>
            <sz val="9"/>
            <rFont val="宋体"/>
            <charset val="134"/>
          </rPr>
          <t xml:space="preserve">
1405304 3/16 100pcs王4b5
</t>
        </r>
      </text>
    </comment>
    <comment ref="AL1151" authorId="0">
      <text>
        <r>
          <rPr>
            <b/>
            <sz val="9"/>
            <rFont val="宋体"/>
            <charset val="134"/>
          </rPr>
          <t>Administrator:</t>
        </r>
        <r>
          <rPr>
            <sz val="9"/>
            <rFont val="宋体"/>
            <charset val="134"/>
          </rPr>
          <t xml:space="preserve">
3/2 进口商贴纸 100pcs
</t>
        </r>
      </text>
    </comment>
    <comment ref="AI1152" authorId="0">
      <text>
        <r>
          <rPr>
            <b/>
            <sz val="9"/>
            <rFont val="宋体"/>
            <charset val="134"/>
          </rPr>
          <t>Administrator:</t>
        </r>
        <r>
          <rPr>
            <sz val="9"/>
            <rFont val="宋体"/>
            <charset val="134"/>
          </rPr>
          <t xml:space="preserve">
1405304 3/16 100pcs王4b5
</t>
        </r>
      </text>
    </comment>
    <comment ref="AL1152" authorId="0">
      <text>
        <r>
          <rPr>
            <b/>
            <sz val="9"/>
            <rFont val="宋体"/>
            <charset val="134"/>
          </rPr>
          <t>Administrator:</t>
        </r>
        <r>
          <rPr>
            <sz val="9"/>
            <rFont val="宋体"/>
            <charset val="134"/>
          </rPr>
          <t xml:space="preserve">
3/2 进口商贴纸 100pcs
</t>
        </r>
      </text>
    </comment>
    <comment ref="AI1153" authorId="0">
      <text>
        <r>
          <rPr>
            <b/>
            <sz val="9"/>
            <rFont val="宋体"/>
            <charset val="134"/>
          </rPr>
          <t>Administrator:</t>
        </r>
        <r>
          <rPr>
            <sz val="9"/>
            <rFont val="宋体"/>
            <charset val="134"/>
          </rPr>
          <t xml:space="preserve">
1405328 3/13 2004pcs王4b10</t>
        </r>
      </text>
    </comment>
    <comment ref="AL1153" authorId="0">
      <text>
        <r>
          <rPr>
            <b/>
            <sz val="9"/>
            <rFont val="宋体"/>
            <charset val="134"/>
          </rPr>
          <t>Administrator:</t>
        </r>
        <r>
          <rPr>
            <sz val="9"/>
            <rFont val="宋体"/>
            <charset val="134"/>
          </rPr>
          <t xml:space="preserve">
1/16 客供价格贴纸 2100pcs</t>
        </r>
      </text>
    </comment>
    <comment ref="AI1154" authorId="0">
      <text>
        <r>
          <rPr>
            <b/>
            <sz val="9"/>
            <rFont val="宋体"/>
            <charset val="134"/>
          </rPr>
          <t>Administrator:</t>
        </r>
        <r>
          <rPr>
            <sz val="9"/>
            <rFont val="宋体"/>
            <charset val="134"/>
          </rPr>
          <t xml:space="preserve">
1406334 3/12 1592pcs庞3a24
1406338 3/13 8pcs 庞3a24</t>
        </r>
      </text>
    </comment>
    <comment ref="AL1154" authorId="0">
      <text>
        <r>
          <rPr>
            <b/>
            <sz val="9"/>
            <rFont val="宋体"/>
            <charset val="134"/>
          </rPr>
          <t>Administrator:</t>
        </r>
        <r>
          <rPr>
            <sz val="9"/>
            <rFont val="宋体"/>
            <charset val="134"/>
          </rPr>
          <t xml:space="preserve">
1/16 客供价格贴纸 1680pcs</t>
        </r>
      </text>
    </comment>
    <comment ref="AI1155" authorId="0">
      <text>
        <r>
          <rPr>
            <b/>
            <sz val="9"/>
            <rFont val="宋体"/>
            <charset val="134"/>
          </rPr>
          <t>Administrator:</t>
        </r>
        <r>
          <rPr>
            <sz val="9"/>
            <rFont val="宋体"/>
            <charset val="134"/>
          </rPr>
          <t xml:space="preserve">
1406325 3/25 5058pcs庞3a26</t>
        </r>
      </text>
    </comment>
    <comment ref="AL1155" authorId="0">
      <text>
        <r>
          <rPr>
            <b/>
            <sz val="9"/>
            <rFont val="宋体"/>
            <charset val="134"/>
          </rPr>
          <t>Administrator:</t>
        </r>
        <r>
          <rPr>
            <sz val="9"/>
            <rFont val="宋体"/>
            <charset val="134"/>
          </rPr>
          <t xml:space="preserve">
2/2 亚马逊外箱贴纸 84pcs 
</t>
        </r>
      </text>
    </comment>
    <comment ref="BZ1155" authorId="1">
      <text>
        <r>
          <rPr>
            <b/>
            <sz val="9"/>
            <rFont val="宋体"/>
            <charset val="134"/>
          </rPr>
          <t>RR:</t>
        </r>
        <r>
          <rPr>
            <sz val="9"/>
            <rFont val="宋体"/>
            <charset val="134"/>
          </rPr>
          <t xml:space="preserve">
新客版资料</t>
        </r>
      </text>
    </comment>
    <comment ref="AI1156" authorId="0">
      <text>
        <r>
          <rPr>
            <b/>
            <sz val="9"/>
            <rFont val="宋体"/>
            <charset val="134"/>
          </rPr>
          <t>Administrator:</t>
        </r>
        <r>
          <rPr>
            <sz val="9"/>
            <rFont val="宋体"/>
            <charset val="134"/>
          </rPr>
          <t xml:space="preserve">
1405233 3/23 600pcs
庞3b14</t>
        </r>
      </text>
    </comment>
    <comment ref="AI1157" authorId="0">
      <text>
        <r>
          <rPr>
            <b/>
            <sz val="9"/>
            <rFont val="宋体"/>
            <charset val="134"/>
          </rPr>
          <t>Administrator:</t>
        </r>
        <r>
          <rPr>
            <sz val="9"/>
            <rFont val="宋体"/>
            <charset val="134"/>
          </rPr>
          <t xml:space="preserve">
1405243 3/19 2500pcs王4b7</t>
        </r>
      </text>
    </comment>
    <comment ref="AL1157" authorId="0">
      <text>
        <r>
          <rPr>
            <b/>
            <sz val="9"/>
            <rFont val="宋体"/>
            <charset val="134"/>
          </rPr>
          <t>Administrator:</t>
        </r>
        <r>
          <rPr>
            <sz val="9"/>
            <rFont val="宋体"/>
            <charset val="134"/>
          </rPr>
          <t xml:space="preserve">
3/2 进口商贴纸 2500pcs
3/3 UPC条码贴纸 2500pcs</t>
        </r>
      </text>
    </comment>
    <comment ref="AI1158" authorId="0">
      <text>
        <r>
          <rPr>
            <b/>
            <sz val="9"/>
            <rFont val="宋体"/>
            <charset val="134"/>
          </rPr>
          <t>Administrator:</t>
        </r>
        <r>
          <rPr>
            <sz val="9"/>
            <rFont val="宋体"/>
            <charset val="134"/>
          </rPr>
          <t xml:space="preserve">
1406343 3/14 4560pcs
1406344 3/16 840pcs
</t>
        </r>
      </text>
    </comment>
    <comment ref="AI1159" authorId="0">
      <text>
        <r>
          <rPr>
            <b/>
            <sz val="9"/>
            <rFont val="宋体"/>
            <charset val="134"/>
          </rPr>
          <t>Administrator:</t>
        </r>
        <r>
          <rPr>
            <sz val="9"/>
            <rFont val="宋体"/>
            <charset val="134"/>
          </rPr>
          <t xml:space="preserve">
1406344 3/16 2520pcs
1406349 3/17 2880pcs</t>
        </r>
      </text>
    </comment>
    <comment ref="AI1160" authorId="0">
      <text>
        <r>
          <rPr>
            <b/>
            <sz val="9"/>
            <rFont val="宋体"/>
            <charset val="134"/>
          </rPr>
          <t>Administrator:</t>
        </r>
        <r>
          <rPr>
            <sz val="9"/>
            <rFont val="宋体"/>
            <charset val="134"/>
          </rPr>
          <t xml:space="preserve">
1405243 3/19 13750pcs 王4b8
14065244 3/19 36250pcs
王4b8</t>
        </r>
      </text>
    </comment>
    <comment ref="AL1160" authorId="0">
      <text>
        <r>
          <rPr>
            <b/>
            <sz val="9"/>
            <rFont val="宋体"/>
            <charset val="134"/>
          </rPr>
          <t>Administrator:</t>
        </r>
        <r>
          <rPr>
            <sz val="9"/>
            <rFont val="宋体"/>
            <charset val="134"/>
          </rPr>
          <t xml:space="preserve">
2/26 客供外箱条码贴纸 2020pcs</t>
        </r>
      </text>
    </comment>
    <comment ref="AI1161" authorId="0">
      <text>
        <r>
          <rPr>
            <b/>
            <sz val="9"/>
            <rFont val="宋体"/>
            <charset val="134"/>
          </rPr>
          <t>Administrator:</t>
        </r>
        <r>
          <rPr>
            <sz val="9"/>
            <rFont val="宋体"/>
            <charset val="134"/>
          </rPr>
          <t xml:space="preserve">
1406325 3/25 1008pcs
庞3a26</t>
        </r>
      </text>
    </comment>
    <comment ref="AL1161" authorId="0">
      <text>
        <r>
          <rPr>
            <b/>
            <sz val="9"/>
            <rFont val="宋体"/>
            <charset val="134"/>
          </rPr>
          <t>Administrator:</t>
        </r>
        <r>
          <rPr>
            <sz val="9"/>
            <rFont val="宋体"/>
            <charset val="134"/>
          </rPr>
          <t xml:space="preserve">
2/2 亚马逊外箱贴纸 84pcs 
</t>
        </r>
      </text>
    </comment>
    <comment ref="BZ1161" authorId="1">
      <text>
        <r>
          <rPr>
            <b/>
            <sz val="9"/>
            <rFont val="宋体"/>
            <charset val="134"/>
          </rPr>
          <t>RR:</t>
        </r>
        <r>
          <rPr>
            <sz val="9"/>
            <rFont val="宋体"/>
            <charset val="134"/>
          </rPr>
          <t xml:space="preserve">
新客版资料</t>
        </r>
      </text>
    </comment>
    <comment ref="AI1162" authorId="0">
      <text>
        <r>
          <rPr>
            <b/>
            <sz val="9"/>
            <rFont val="宋体"/>
            <charset val="134"/>
          </rPr>
          <t>Administrator:</t>
        </r>
        <r>
          <rPr>
            <sz val="9"/>
            <rFont val="宋体"/>
            <charset val="134"/>
          </rPr>
          <t xml:space="preserve">
1406325 3/25 504pcs
庞3a32</t>
        </r>
      </text>
    </comment>
    <comment ref="AL1162" authorId="0">
      <text>
        <r>
          <rPr>
            <b/>
            <sz val="9"/>
            <rFont val="宋体"/>
            <charset val="134"/>
          </rPr>
          <t>Administrator:</t>
        </r>
        <r>
          <rPr>
            <sz val="9"/>
            <rFont val="宋体"/>
            <charset val="134"/>
          </rPr>
          <t xml:space="preserve">
2/2 亚马逊外箱贴纸 84pcs 
</t>
        </r>
      </text>
    </comment>
    <comment ref="BZ1162" authorId="1">
      <text>
        <r>
          <rPr>
            <b/>
            <sz val="9"/>
            <rFont val="宋体"/>
            <charset val="134"/>
          </rPr>
          <t>RR:</t>
        </r>
        <r>
          <rPr>
            <sz val="9"/>
            <rFont val="宋体"/>
            <charset val="134"/>
          </rPr>
          <t xml:space="preserve">
新客版资料</t>
        </r>
      </text>
    </comment>
    <comment ref="AI1163" authorId="0">
      <text>
        <r>
          <rPr>
            <b/>
            <sz val="9"/>
            <rFont val="宋体"/>
            <charset val="134"/>
          </rPr>
          <t>Administrator:</t>
        </r>
        <r>
          <rPr>
            <sz val="9"/>
            <rFont val="宋体"/>
            <charset val="134"/>
          </rPr>
          <t xml:space="preserve">
1405013 3/25 5018pcs庞直走</t>
        </r>
      </text>
    </comment>
    <comment ref="AL1163" authorId="0">
      <text>
        <r>
          <rPr>
            <b/>
            <sz val="9"/>
            <rFont val="宋体"/>
            <charset val="134"/>
          </rPr>
          <t>Administrator:</t>
        </r>
        <r>
          <rPr>
            <sz val="9"/>
            <rFont val="宋体"/>
            <charset val="134"/>
          </rPr>
          <t xml:space="preserve">
3/4 客供防窜码贴纸1拖13 386pcs
3/6 条码贴纸 5018pcs</t>
        </r>
      </text>
    </comment>
    <comment ref="AI1164" authorId="0">
      <text>
        <r>
          <rPr>
            <b/>
            <sz val="9"/>
            <rFont val="宋体"/>
            <charset val="134"/>
          </rPr>
          <t>Administrator:</t>
        </r>
        <r>
          <rPr>
            <sz val="9"/>
            <rFont val="宋体"/>
            <charset val="134"/>
          </rPr>
          <t xml:space="preserve">
1406322 3/21 5004pcs庞3a30</t>
        </r>
      </text>
    </comment>
    <comment ref="AL1164" authorId="0">
      <text>
        <r>
          <rPr>
            <b/>
            <sz val="9"/>
            <rFont val="宋体"/>
            <charset val="134"/>
          </rPr>
          <t>Administrator:</t>
        </r>
        <r>
          <rPr>
            <sz val="9"/>
            <rFont val="宋体"/>
            <charset val="134"/>
          </rPr>
          <t xml:space="preserve">
3/6 空白贴纸 804pcs
空白贴纸 1608pcs
3/9 3c贴纸 5004PCS
颜色贴纸 5004PCS 
3/12 空白贴纸 痛po共上50128pcs
 </t>
        </r>
      </text>
    </comment>
    <comment ref="AI1165" authorId="0">
      <text>
        <r>
          <rPr>
            <b/>
            <sz val="9"/>
            <rFont val="宋体"/>
            <charset val="134"/>
          </rPr>
          <t>Administrator:</t>
        </r>
        <r>
          <rPr>
            <sz val="9"/>
            <rFont val="宋体"/>
            <charset val="134"/>
          </rPr>
          <t xml:space="preserve">
1406324 3/24 468pcs王4a3
1406325 3/25 12pcs
b栋
</t>
        </r>
      </text>
    </comment>
    <comment ref="AL1165" authorId="0">
      <text>
        <r>
          <rPr>
            <b/>
            <sz val="9"/>
            <rFont val="宋体"/>
            <charset val="134"/>
          </rPr>
          <t>Administrator:</t>
        </r>
        <r>
          <rPr>
            <sz val="9"/>
            <rFont val="宋体"/>
            <charset val="134"/>
          </rPr>
          <t xml:space="preserve">
3/3 客供警语贴纸球㡳部赙 994pcs
藏指南客供警语贴织 994pcs
说明书客供警语贴纸 994pcs</t>
        </r>
      </text>
    </comment>
    <comment ref="AI1166" authorId="0">
      <text>
        <r>
          <rPr>
            <b/>
            <sz val="9"/>
            <rFont val="宋体"/>
            <charset val="134"/>
          </rPr>
          <t>Administrator:</t>
        </r>
        <r>
          <rPr>
            <sz val="9"/>
            <rFont val="宋体"/>
            <charset val="134"/>
          </rPr>
          <t xml:space="preserve">
1405250 3/19 2340pcs王4c6
1405253 3/20 2145pcs
</t>
        </r>
      </text>
    </comment>
    <comment ref="AL1166" authorId="0">
      <text>
        <r>
          <rPr>
            <b/>
            <sz val="9"/>
            <rFont val="宋体"/>
            <charset val="134"/>
          </rPr>
          <t>Administrator:</t>
        </r>
        <r>
          <rPr>
            <sz val="9"/>
            <rFont val="宋体"/>
            <charset val="134"/>
          </rPr>
          <t xml:space="preserve">
3/2 UPC条码贴 4940pcs
3/3 白色防盗贴纸 4485pcs
3/14 Kmant外箱贴纸 345pcs</t>
        </r>
      </text>
    </comment>
    <comment ref="AI1167" authorId="0">
      <text>
        <r>
          <rPr>
            <b/>
            <sz val="9"/>
            <rFont val="宋体"/>
            <charset val="134"/>
          </rPr>
          <t>Administrator:</t>
        </r>
        <r>
          <rPr>
            <sz val="9"/>
            <rFont val="宋体"/>
            <charset val="134"/>
          </rPr>
          <t xml:space="preserve">
1405253 3/20 455pcs王4a2</t>
        </r>
      </text>
    </comment>
    <comment ref="AL1167" authorId="0">
      <text>
        <r>
          <rPr>
            <b/>
            <sz val="9"/>
            <rFont val="宋体"/>
            <charset val="134"/>
          </rPr>
          <t>Administrator:</t>
        </r>
        <r>
          <rPr>
            <sz val="9"/>
            <rFont val="宋体"/>
            <charset val="134"/>
          </rPr>
          <t xml:space="preserve">
3/3 白色防盗贴纸 455pcs
3/14 Kmant外箱贴纸 35pcs
</t>
        </r>
      </text>
    </comment>
    <comment ref="AI1168" authorId="0">
      <text>
        <r>
          <rPr>
            <b/>
            <sz val="9"/>
            <rFont val="宋体"/>
            <charset val="134"/>
          </rPr>
          <t>Administrator:</t>
        </r>
        <r>
          <rPr>
            <sz val="9"/>
            <rFont val="宋体"/>
            <charset val="134"/>
          </rPr>
          <t xml:space="preserve">
1406321 3/21 4536pcs
庞3a311406322 3/21 12pcs
庞3b16</t>
        </r>
      </text>
    </comment>
    <comment ref="AL1168" authorId="0">
      <text>
        <r>
          <rPr>
            <b/>
            <sz val="9"/>
            <rFont val="宋体"/>
            <charset val="134"/>
          </rPr>
          <t>Administrator:</t>
        </r>
        <r>
          <rPr>
            <sz val="9"/>
            <rFont val="宋体"/>
            <charset val="134"/>
          </rPr>
          <t xml:space="preserve">
3/2 纽扣电池警告语贴纸 10008pcs
空白贴纸 10008pcs
3/14 Kmant外箱贴纸 758pcs</t>
        </r>
      </text>
    </comment>
    <comment ref="AI1169" authorId="0">
      <text>
        <r>
          <rPr>
            <b/>
            <sz val="9"/>
            <rFont val="宋体"/>
            <charset val="134"/>
          </rPr>
          <t>Administrator:</t>
        </r>
        <r>
          <rPr>
            <sz val="9"/>
            <rFont val="宋体"/>
            <charset val="134"/>
          </rPr>
          <t xml:space="preserve">
1406321 3/21 456pcs
庞3b11</t>
        </r>
      </text>
    </comment>
    <comment ref="AL1169" authorId="0">
      <text>
        <r>
          <rPr>
            <b/>
            <sz val="9"/>
            <rFont val="宋体"/>
            <charset val="134"/>
          </rPr>
          <t>Administrator:</t>
        </r>
        <r>
          <rPr>
            <sz val="9"/>
            <rFont val="宋体"/>
            <charset val="134"/>
          </rPr>
          <t xml:space="preserve">
3/14 Kmant外箱贴纸 456pcs</t>
        </r>
      </text>
    </comment>
    <comment ref="AI1170" authorId="0">
      <text>
        <r>
          <rPr>
            <b/>
            <sz val="9"/>
            <rFont val="宋体"/>
            <charset val="134"/>
          </rPr>
          <t>Administrator:</t>
        </r>
        <r>
          <rPr>
            <sz val="9"/>
            <rFont val="宋体"/>
            <charset val="134"/>
          </rPr>
          <t xml:space="preserve">
1406323 3/23 1422pcs
庞3a30</t>
        </r>
      </text>
    </comment>
    <comment ref="AL1170" authorId="0">
      <text>
        <r>
          <rPr>
            <b/>
            <sz val="9"/>
            <rFont val="宋体"/>
            <charset val="134"/>
          </rPr>
          <t>Administrator:</t>
        </r>
        <r>
          <rPr>
            <sz val="9"/>
            <rFont val="宋体"/>
            <charset val="134"/>
          </rPr>
          <t xml:space="preserve">
3/2 条码贴纸 3690pcs
进口商贴纸 3690pcs
产品贴纸 3690pcs
WEEE说明书纸 3690pcs
3/3 空白贴纸 7380pcs
3/6 产品贴纸 3690pcs
3/17 产品贴纸 3690pcs</t>
        </r>
      </text>
    </comment>
    <comment ref="AI1171" authorId="0">
      <text>
        <r>
          <rPr>
            <b/>
            <sz val="9"/>
            <rFont val="宋体"/>
            <charset val="134"/>
          </rPr>
          <t>Administrator:</t>
        </r>
        <r>
          <rPr>
            <sz val="9"/>
            <rFont val="宋体"/>
            <charset val="134"/>
          </rPr>
          <t xml:space="preserve">
1405235 3/24 40000pcs
庞3a28、3b15
1405238 3/24 20000pcs
庞3a29</t>
        </r>
      </text>
    </comment>
    <comment ref="AL1171" authorId="0">
      <text>
        <r>
          <rPr>
            <b/>
            <sz val="9"/>
            <rFont val="宋体"/>
            <charset val="134"/>
          </rPr>
          <t>Administrator:</t>
        </r>
        <r>
          <rPr>
            <sz val="9"/>
            <rFont val="宋体"/>
            <charset val="134"/>
          </rPr>
          <t xml:space="preserve">
2/26 客供外箱条码贴纸 2400pcs
</t>
        </r>
      </text>
    </comment>
    <comment ref="AI1172" authorId="0">
      <text>
        <r>
          <rPr>
            <b/>
            <sz val="9"/>
            <rFont val="宋体"/>
            <charset val="134"/>
          </rPr>
          <t>Administrator:</t>
        </r>
        <r>
          <rPr>
            <sz val="9"/>
            <rFont val="宋体"/>
            <charset val="134"/>
          </rPr>
          <t xml:space="preserve">
1405227 3/21 1400pcs庞1b1</t>
        </r>
      </text>
    </comment>
    <comment ref="AL1172" authorId="0">
      <text>
        <r>
          <rPr>
            <b/>
            <sz val="9"/>
            <rFont val="宋体"/>
            <charset val="134"/>
          </rPr>
          <t>Administrator:</t>
        </r>
        <r>
          <rPr>
            <sz val="9"/>
            <rFont val="宋体"/>
            <charset val="134"/>
          </rPr>
          <t xml:space="preserve">
3/2 法国sorting label贴纸 1400pcs</t>
        </r>
      </text>
    </comment>
    <comment ref="AI1173" authorId="0">
      <text>
        <r>
          <rPr>
            <b/>
            <sz val="9"/>
            <rFont val="宋体"/>
            <charset val="134"/>
          </rPr>
          <t>Administrator:</t>
        </r>
        <r>
          <rPr>
            <sz val="9"/>
            <rFont val="宋体"/>
            <charset val="134"/>
          </rPr>
          <t xml:space="preserve">
1405227 3/21 600pcs
庞1b1
</t>
        </r>
      </text>
    </comment>
    <comment ref="AL1173" authorId="0">
      <text>
        <r>
          <rPr>
            <b/>
            <sz val="9"/>
            <rFont val="宋体"/>
            <charset val="134"/>
          </rPr>
          <t>Administrator:</t>
        </r>
        <r>
          <rPr>
            <sz val="9"/>
            <rFont val="宋体"/>
            <charset val="134"/>
          </rPr>
          <t xml:space="preserve">
3/2 法国sorting label贴纸 600pcs
</t>
        </r>
      </text>
    </comment>
    <comment ref="AI1174" authorId="0">
      <text>
        <r>
          <rPr>
            <b/>
            <sz val="9"/>
            <rFont val="宋体"/>
            <charset val="134"/>
          </rPr>
          <t>Administrator:</t>
        </r>
        <r>
          <rPr>
            <sz val="9"/>
            <rFont val="宋体"/>
            <charset val="134"/>
          </rPr>
          <t xml:space="preserve">
1405328 3/13 3984pcs王4b7</t>
        </r>
      </text>
    </comment>
    <comment ref="AL1174" authorId="0">
      <text>
        <r>
          <rPr>
            <b/>
            <sz val="9"/>
            <rFont val="宋体"/>
            <charset val="134"/>
          </rPr>
          <t>Administrator:</t>
        </r>
        <r>
          <rPr>
            <sz val="9"/>
            <rFont val="宋体"/>
            <charset val="134"/>
          </rPr>
          <t xml:space="preserve">
2/5 NJ 客供外箱贴纸 332pcs
NJ 通用客供外箱贴纸 332pcs
3/2 空白条码贴纸 7968pcs
价格贴纸 3984pcs</t>
        </r>
      </text>
    </comment>
    <comment ref="AI1175" authorId="0">
      <text>
        <r>
          <rPr>
            <b/>
            <sz val="9"/>
            <rFont val="宋体"/>
            <charset val="134"/>
          </rPr>
          <t>Administrator:</t>
        </r>
        <r>
          <rPr>
            <sz val="9"/>
            <rFont val="宋体"/>
            <charset val="134"/>
          </rPr>
          <t xml:space="preserve">
1405328 3/13 17156pcs王4a9
</t>
        </r>
      </text>
    </comment>
    <comment ref="AL1175" authorId="0">
      <text>
        <r>
          <rPr>
            <b/>
            <sz val="9"/>
            <rFont val="宋体"/>
            <charset val="134"/>
          </rPr>
          <t>Administrator:</t>
        </r>
        <r>
          <rPr>
            <sz val="9"/>
            <rFont val="宋体"/>
            <charset val="134"/>
          </rPr>
          <t xml:space="preserve">
2/5 NJ 客供外箱贴纸 332pcs
NJ 通用客供外箱贴纸143pcs
3/2 空白条码贴纸 2432pcs
价格贴纸 1716pcs</t>
        </r>
      </text>
    </comment>
    <comment ref="AI1176" authorId="0">
      <text>
        <r>
          <rPr>
            <b/>
            <sz val="9"/>
            <rFont val="宋体"/>
            <charset val="134"/>
          </rPr>
          <t>Administrator:</t>
        </r>
        <r>
          <rPr>
            <sz val="9"/>
            <rFont val="宋体"/>
            <charset val="134"/>
          </rPr>
          <t xml:space="preserve">
1405294 3/14 2015pcs王4b5</t>
        </r>
      </text>
    </comment>
    <comment ref="AI1177" authorId="0">
      <text>
        <r>
          <rPr>
            <b/>
            <sz val="9"/>
            <rFont val="宋体"/>
            <charset val="134"/>
          </rPr>
          <t>Administrator:</t>
        </r>
        <r>
          <rPr>
            <sz val="9"/>
            <rFont val="宋体"/>
            <charset val="134"/>
          </rPr>
          <t xml:space="preserve">
1405238 3/24 17920pcs
庞3a17
1405239 3/24 15680pcs 庞3a17</t>
        </r>
      </text>
    </comment>
    <comment ref="AL1177" authorId="0">
      <text>
        <r>
          <rPr>
            <b/>
            <sz val="9"/>
            <rFont val="宋体"/>
            <charset val="134"/>
          </rPr>
          <t>Administrator:</t>
        </r>
        <r>
          <rPr>
            <sz val="9"/>
            <rFont val="宋体"/>
            <charset val="134"/>
          </rPr>
          <t xml:space="preserve">
3/10 客供RFID贴纸 33600pcs</t>
        </r>
      </text>
    </comment>
    <comment ref="AI1178" authorId="0">
      <text>
        <r>
          <rPr>
            <b/>
            <sz val="9"/>
            <rFont val="宋体"/>
            <charset val="134"/>
          </rPr>
          <t>Administrator:</t>
        </r>
        <r>
          <rPr>
            <sz val="9"/>
            <rFont val="宋体"/>
            <charset val="134"/>
          </rPr>
          <t xml:space="preserve">
1405238 3/24 5760pcs庞3b14</t>
        </r>
      </text>
    </comment>
    <comment ref="AL1178" authorId="0">
      <text>
        <r>
          <rPr>
            <b/>
            <sz val="9"/>
            <rFont val="宋体"/>
            <charset val="134"/>
          </rPr>
          <t>Administrator:</t>
        </r>
        <r>
          <rPr>
            <sz val="9"/>
            <rFont val="宋体"/>
            <charset val="134"/>
          </rPr>
          <t xml:space="preserve">
3/10 客供RFID贴纸 5760pcs
</t>
        </r>
      </text>
    </comment>
    <comment ref="AI1179" authorId="0">
      <text>
        <r>
          <rPr>
            <b/>
            <sz val="9"/>
            <rFont val="宋体"/>
            <charset val="134"/>
          </rPr>
          <t>Administrator:</t>
        </r>
        <r>
          <rPr>
            <sz val="9"/>
            <rFont val="宋体"/>
            <charset val="134"/>
          </rPr>
          <t xml:space="preserve">
1405243 3/19 2500pcs
王4b7
</t>
        </r>
      </text>
    </comment>
    <comment ref="AL1179" authorId="0">
      <text>
        <r>
          <rPr>
            <b/>
            <sz val="9"/>
            <rFont val="宋体"/>
            <charset val="134"/>
          </rPr>
          <t>Administrator:</t>
        </r>
        <r>
          <rPr>
            <sz val="9"/>
            <rFont val="宋体"/>
            <charset val="134"/>
          </rPr>
          <t xml:space="preserve">
3/3 UPC条码贴纸 2500pcs
进口商贴纸 2500pcs</t>
        </r>
      </text>
    </comment>
    <comment ref="AI1180" authorId="0">
      <text>
        <r>
          <rPr>
            <b/>
            <sz val="9"/>
            <rFont val="宋体"/>
            <charset val="134"/>
          </rPr>
          <t>Administrator:</t>
        </r>
        <r>
          <rPr>
            <sz val="9"/>
            <rFont val="宋体"/>
            <charset val="134"/>
          </rPr>
          <t xml:space="preserve">
1405207 3/27 2004pcs
王4c5</t>
        </r>
      </text>
    </comment>
    <comment ref="AL1180" authorId="0">
      <text>
        <r>
          <rPr>
            <b/>
            <sz val="9"/>
            <rFont val="宋体"/>
            <charset val="134"/>
          </rPr>
          <t>Administrator:</t>
        </r>
        <r>
          <rPr>
            <sz val="9"/>
            <rFont val="宋体"/>
            <charset val="134"/>
          </rPr>
          <t xml:space="preserve">
3/10 客供价格贴纸 2100pcs
</t>
        </r>
      </text>
    </comment>
    <comment ref="AI1181" authorId="0">
      <text>
        <r>
          <rPr>
            <b/>
            <sz val="9"/>
            <rFont val="宋体"/>
            <charset val="134"/>
          </rPr>
          <t>Administrator:</t>
        </r>
        <r>
          <rPr>
            <sz val="9"/>
            <rFont val="宋体"/>
            <charset val="134"/>
          </rPr>
          <t xml:space="preserve">
1405223 3/25 10500pcs 庞3a30
1405205 3/26 10625pcs庞3a30</t>
        </r>
      </text>
    </comment>
    <comment ref="AL1181" authorId="0">
      <text>
        <r>
          <rPr>
            <b/>
            <sz val="9"/>
            <rFont val="宋体"/>
            <charset val="134"/>
          </rPr>
          <t>Administrator:</t>
        </r>
        <r>
          <rPr>
            <sz val="9"/>
            <rFont val="宋体"/>
            <charset val="134"/>
          </rPr>
          <t xml:space="preserve">
3/23 客供外箱条码贴纸 854pcs
</t>
        </r>
      </text>
    </comment>
    <comment ref="AI1182" authorId="0">
      <text>
        <r>
          <rPr>
            <b/>
            <sz val="9"/>
            <rFont val="宋体"/>
            <charset val="134"/>
          </rPr>
          <t>Administrator:</t>
        </r>
        <r>
          <rPr>
            <sz val="9"/>
            <rFont val="宋体"/>
            <charset val="134"/>
          </rPr>
          <t xml:space="preserve">
1405207 3/27 1000pcs
王4a8</t>
        </r>
      </text>
    </comment>
    <comment ref="AL1182" authorId="0">
      <text>
        <r>
          <rPr>
            <b/>
            <sz val="9"/>
            <rFont val="宋体"/>
            <charset val="134"/>
          </rPr>
          <t>Administrator:</t>
        </r>
        <r>
          <rPr>
            <sz val="9"/>
            <rFont val="宋体"/>
            <charset val="134"/>
          </rPr>
          <t xml:space="preserve">
3/16 进口商贴纸 1000pcs
UPC条码贴纸 1000pcs</t>
        </r>
      </text>
    </comment>
    <comment ref="AI1183" authorId="0">
      <text>
        <r>
          <rPr>
            <b/>
            <sz val="9"/>
            <rFont val="宋体"/>
            <charset val="134"/>
          </rPr>
          <t>Administrator:</t>
        </r>
        <r>
          <rPr>
            <sz val="9"/>
            <rFont val="宋体"/>
            <charset val="134"/>
          </rPr>
          <t xml:space="preserve">
1405210 3/28 5400pcs庞3b12</t>
        </r>
      </text>
    </comment>
    <comment ref="AL1183" authorId="0">
      <text>
        <r>
          <rPr>
            <b/>
            <sz val="9"/>
            <rFont val="宋体"/>
            <charset val="134"/>
          </rPr>
          <t>Administrator:</t>
        </r>
        <r>
          <rPr>
            <sz val="9"/>
            <rFont val="宋体"/>
            <charset val="134"/>
          </rPr>
          <t xml:space="preserve">
3/4 客供防窜码贴纸1拖13 386pcs
3/6 条码贴纸 5018pcs</t>
        </r>
      </text>
    </comment>
    <comment ref="AI1184" authorId="0">
      <text>
        <r>
          <rPr>
            <b/>
            <sz val="9"/>
            <rFont val="宋体"/>
            <charset val="134"/>
          </rPr>
          <t>Administrator:</t>
        </r>
        <r>
          <rPr>
            <sz val="9"/>
            <rFont val="宋体"/>
            <charset val="134"/>
          </rPr>
          <t xml:space="preserve">
1406331 3/27 1200pcs庞登一楼</t>
        </r>
      </text>
    </comment>
    <comment ref="AL1184" authorId="0">
      <text>
        <r>
          <rPr>
            <b/>
            <sz val="9"/>
            <rFont val="宋体"/>
            <charset val="134"/>
          </rPr>
          <t>Administrator:</t>
        </r>
        <r>
          <rPr>
            <sz val="9"/>
            <rFont val="宋体"/>
            <charset val="134"/>
          </rPr>
          <t xml:space="preserve">
3/6 空白贴纸 804pcs
空白贴纸 1608pcs
3/9 3c贴纸 1200PCS
颜色贴纸 1200PCS  </t>
        </r>
      </text>
    </comment>
    <comment ref="AI1185" authorId="0">
      <text>
        <r>
          <rPr>
            <b/>
            <sz val="9"/>
            <rFont val="宋体"/>
            <charset val="134"/>
          </rPr>
          <t>Administrator:</t>
        </r>
        <r>
          <rPr>
            <sz val="9"/>
            <rFont val="宋体"/>
            <charset val="134"/>
          </rPr>
          <t xml:space="preserve">
1405210 3/28 2990pcs
庞3b12</t>
        </r>
      </text>
    </comment>
    <comment ref="AL1185" authorId="0">
      <text>
        <r>
          <rPr>
            <b/>
            <sz val="9"/>
            <rFont val="宋体"/>
            <charset val="134"/>
          </rPr>
          <t>Administrator:</t>
        </r>
        <r>
          <rPr>
            <sz val="9"/>
            <rFont val="宋体"/>
            <charset val="134"/>
          </rPr>
          <t xml:space="preserve">
3/4 客供防窜码贴纸1拖13 386pcs
3/6 条码贴纸 5018pcs</t>
        </r>
      </text>
    </comment>
    <comment ref="AI1186" authorId="0">
      <text>
        <r>
          <rPr>
            <b/>
            <sz val="9"/>
            <rFont val="宋体"/>
            <charset val="134"/>
          </rPr>
          <t>Administrator:</t>
        </r>
        <r>
          <rPr>
            <sz val="9"/>
            <rFont val="宋体"/>
            <charset val="134"/>
          </rPr>
          <t xml:space="preserve">
1406331 3/27 3000pcs
庞登一楼</t>
        </r>
      </text>
    </comment>
    <comment ref="AL1186" authorId="0">
      <text>
        <r>
          <rPr>
            <b/>
            <sz val="9"/>
            <rFont val="宋体"/>
            <charset val="134"/>
          </rPr>
          <t>Administrator:</t>
        </r>
        <r>
          <rPr>
            <sz val="9"/>
            <rFont val="宋体"/>
            <charset val="134"/>
          </rPr>
          <t xml:space="preserve">
3/6 空白贴纸 804pcs
空白贴纸 1608pcs
3/9 3c贴纸 3000PCS 
颜色贴纸 3000PCS </t>
        </r>
      </text>
    </comment>
    <comment ref="AI1187" authorId="0">
      <text>
        <r>
          <rPr>
            <b/>
            <sz val="9"/>
            <rFont val="宋体"/>
            <charset val="134"/>
          </rPr>
          <t>Administrator:</t>
        </r>
        <r>
          <rPr>
            <sz val="9"/>
            <rFont val="宋体"/>
            <charset val="134"/>
          </rPr>
          <t xml:space="preserve">
1406344 3/16 2520pcs
1406349 3/17 580pcs
1406353 3/19 2300pcs</t>
        </r>
      </text>
    </comment>
    <comment ref="AI1188" authorId="0">
      <text>
        <r>
          <rPr>
            <b/>
            <sz val="9"/>
            <rFont val="宋体"/>
            <charset val="134"/>
          </rPr>
          <t>Administrator:</t>
        </r>
        <r>
          <rPr>
            <sz val="9"/>
            <rFont val="宋体"/>
            <charset val="134"/>
          </rPr>
          <t xml:space="preserve">
1405436 3/28 6000pcs庞3b17</t>
        </r>
      </text>
    </comment>
    <comment ref="AL1188" authorId="0">
      <text>
        <r>
          <rPr>
            <b/>
            <sz val="9"/>
            <rFont val="宋体"/>
            <charset val="134"/>
          </rPr>
          <t>Administrator:</t>
        </r>
        <r>
          <rPr>
            <sz val="9"/>
            <rFont val="宋体"/>
            <charset val="134"/>
          </rPr>
          <t xml:space="preserve">
3/23 进口商贴纸 6000pcs
空白贴纸 6000pcs</t>
        </r>
      </text>
    </comment>
    <comment ref="AI1189" authorId="0">
      <text>
        <r>
          <rPr>
            <b/>
            <sz val="9"/>
            <rFont val="宋体"/>
            <charset val="134"/>
          </rPr>
          <t>Administrator:</t>
        </r>
        <r>
          <rPr>
            <sz val="9"/>
            <rFont val="宋体"/>
            <charset val="134"/>
          </rPr>
          <t xml:space="preserve">
1405436 3/28 1000pcs
庞3b13</t>
        </r>
      </text>
    </comment>
    <comment ref="AL1189" authorId="0">
      <text>
        <r>
          <rPr>
            <b/>
            <sz val="9"/>
            <rFont val="宋体"/>
            <charset val="134"/>
          </rPr>
          <t>Administrator:</t>
        </r>
        <r>
          <rPr>
            <sz val="9"/>
            <rFont val="宋体"/>
            <charset val="134"/>
          </rPr>
          <t xml:space="preserve">
3/9 大语警告语贴共1510PCS
小语警告语贴 10570PCS
丹麦瑞典芬兰挪威警告语 1510CS
3/17 小语警告语贴纸 4650pcs</t>
        </r>
      </text>
    </comment>
    <comment ref="AI1190" authorId="0">
      <text>
        <r>
          <rPr>
            <b/>
            <sz val="9"/>
            <rFont val="宋体"/>
            <charset val="134"/>
          </rPr>
          <t>Administrator:</t>
        </r>
        <r>
          <rPr>
            <sz val="9"/>
            <rFont val="宋体"/>
            <charset val="134"/>
          </rPr>
          <t xml:space="preserve">
1405436 3/28 510pcs
庞3b14</t>
        </r>
      </text>
    </comment>
    <comment ref="AI1191" authorId="0">
      <text>
        <r>
          <rPr>
            <b/>
            <sz val="9"/>
            <rFont val="宋体"/>
            <charset val="134"/>
          </rPr>
          <t>Administrator:</t>
        </r>
        <r>
          <rPr>
            <sz val="9"/>
            <rFont val="宋体"/>
            <charset val="134"/>
          </rPr>
          <t xml:space="preserve">
1406250 3/31 2000pcs新b3</t>
        </r>
      </text>
    </comment>
    <comment ref="AL1191" authorId="0">
      <text>
        <r>
          <rPr>
            <b/>
            <sz val="9"/>
            <rFont val="宋体"/>
            <charset val="134"/>
          </rPr>
          <t>Administrator:</t>
        </r>
        <r>
          <rPr>
            <sz val="9"/>
            <rFont val="宋体"/>
            <charset val="134"/>
          </rPr>
          <t xml:space="preserve">
3/10 客供价格贴纸 2100pcs
</t>
        </r>
      </text>
    </comment>
    <comment ref="AI1192" authorId="0">
      <text>
        <r>
          <rPr>
            <b/>
            <sz val="9"/>
            <rFont val="宋体"/>
            <charset val="134"/>
          </rPr>
          <t>Administrator:</t>
        </r>
        <r>
          <rPr>
            <sz val="9"/>
            <rFont val="宋体"/>
            <charset val="134"/>
          </rPr>
          <t xml:space="preserve">
1406245 3/30 10080pcs
庞1a41406247 3/30 3780pcs庞1a4</t>
        </r>
      </text>
    </comment>
    <comment ref="AL1192" authorId="0">
      <text>
        <r>
          <rPr>
            <b/>
            <sz val="9"/>
            <rFont val="宋体"/>
            <charset val="134"/>
          </rPr>
          <t>Administrator:</t>
        </r>
        <r>
          <rPr>
            <sz val="9"/>
            <rFont val="宋体"/>
            <charset val="134"/>
          </rPr>
          <t xml:space="preserve">
3/6 空白贴纸 804pcs
空白贴纸 1608pcs
3/9 3c贴纸 13860PCS颜色贴纸 13860PCS </t>
        </r>
      </text>
    </comment>
    <comment ref="AI1193" authorId="0">
      <text>
        <r>
          <rPr>
            <b/>
            <sz val="9"/>
            <rFont val="宋体"/>
            <charset val="134"/>
          </rPr>
          <t>Administrator:</t>
        </r>
        <r>
          <rPr>
            <sz val="9"/>
            <rFont val="宋体"/>
            <charset val="134"/>
          </rPr>
          <t xml:space="preserve">
1405445 3/30 5200pcs庞3a31
1405446 3/30 24115pcs庞3a31
4/1 1405424 65pcs</t>
        </r>
      </text>
    </comment>
    <comment ref="AL1193" authorId="0">
      <text>
        <r>
          <rPr>
            <b/>
            <sz val="9"/>
            <rFont val="宋体"/>
            <charset val="134"/>
          </rPr>
          <t>Administrator:</t>
        </r>
        <r>
          <rPr>
            <sz val="9"/>
            <rFont val="宋体"/>
            <charset val="134"/>
          </rPr>
          <t xml:space="preserve">
3/4 客供防窜码贴纸1拖13 386pcs
3/6 条码贴纸 5018pcs</t>
        </r>
      </text>
    </comment>
    <comment ref="AI1194" authorId="0">
      <text>
        <r>
          <rPr>
            <b/>
            <sz val="9"/>
            <rFont val="宋体"/>
            <charset val="134"/>
          </rPr>
          <t>Administrator:</t>
        </r>
        <r>
          <rPr>
            <sz val="9"/>
            <rFont val="宋体"/>
            <charset val="134"/>
          </rPr>
          <t xml:space="preserve">
1406245 3/30 804pcs庞1a4</t>
        </r>
      </text>
    </comment>
    <comment ref="AL1194" authorId="0">
      <text>
        <r>
          <rPr>
            <b/>
            <sz val="9"/>
            <rFont val="宋体"/>
            <charset val="134"/>
          </rPr>
          <t>Administrator:</t>
        </r>
        <r>
          <rPr>
            <sz val="9"/>
            <rFont val="宋体"/>
            <charset val="134"/>
          </rPr>
          <t xml:space="preserve">
3/6 空白贴纸 804pcs
空白贴纸 1608pcs
3/9 3c贴纸 804PCS
颜色贴纸 804PCS </t>
        </r>
      </text>
    </comment>
    <comment ref="AI1195" authorId="0">
      <text>
        <r>
          <rPr>
            <b/>
            <sz val="9"/>
            <rFont val="宋体"/>
            <charset val="134"/>
          </rPr>
          <t>Administrator:</t>
        </r>
        <r>
          <rPr>
            <sz val="9"/>
            <rFont val="宋体"/>
            <charset val="134"/>
          </rPr>
          <t xml:space="preserve">
1405445 3/30 19994pcs
庞3a25</t>
        </r>
      </text>
    </comment>
    <comment ref="AL1195" authorId="0">
      <text>
        <r>
          <rPr>
            <b/>
            <sz val="9"/>
            <rFont val="宋体"/>
            <charset val="134"/>
          </rPr>
          <t>Administrator:</t>
        </r>
        <r>
          <rPr>
            <sz val="9"/>
            <rFont val="宋体"/>
            <charset val="134"/>
          </rPr>
          <t xml:space="preserve">
3/4 客供防窜码贴纸1拖13 386pcs
3/6 条码贴纸 5018pcs</t>
        </r>
      </text>
    </comment>
    <comment ref="AI1196" authorId="0">
      <text>
        <r>
          <rPr>
            <b/>
            <sz val="9"/>
            <rFont val="宋体"/>
            <charset val="134"/>
          </rPr>
          <t>Administrator:
1405446 3/30 6006pcs庞3a30</t>
        </r>
      </text>
    </comment>
    <comment ref="AL1196" authorId="0">
      <text>
        <r>
          <rPr>
            <b/>
            <sz val="9"/>
            <rFont val="宋体"/>
            <charset val="134"/>
          </rPr>
          <t>Administrator:</t>
        </r>
        <r>
          <rPr>
            <sz val="9"/>
            <rFont val="宋体"/>
            <charset val="134"/>
          </rPr>
          <t xml:space="preserve">
3/9 UPC 条码贴纸 6006pcs
3/14 1-韩语贴纸 6006pcs
2-韩语贴纸 6006pcs</t>
        </r>
      </text>
    </comment>
    <comment ref="AI1197" authorId="0">
      <text>
        <r>
          <rPr>
            <b/>
            <sz val="9"/>
            <rFont val="宋体"/>
            <charset val="134"/>
          </rPr>
          <t>Administrator:</t>
        </r>
        <r>
          <rPr>
            <sz val="9"/>
            <rFont val="宋体"/>
            <charset val="134"/>
          </rPr>
          <t xml:space="preserve">
1405521 2/26 3750pcs
王4b8</t>
        </r>
      </text>
    </comment>
    <comment ref="AL1197" authorId="0">
      <text>
        <r>
          <rPr>
            <b/>
            <sz val="9"/>
            <rFont val="宋体"/>
            <charset val="134"/>
          </rPr>
          <t>Administrator:</t>
        </r>
        <r>
          <rPr>
            <sz val="9"/>
            <rFont val="宋体"/>
            <charset val="134"/>
          </rPr>
          <t xml:space="preserve">
1/23 UPC 条码贴纸 3750pcs
2/2 PDQ条码贴纸 1875pcs</t>
        </r>
      </text>
    </comment>
    <comment ref="AI1198" authorId="0">
      <text>
        <r>
          <rPr>
            <b/>
            <sz val="9"/>
            <rFont val="宋体"/>
            <charset val="134"/>
          </rPr>
          <t>Administrator:</t>
        </r>
        <r>
          <rPr>
            <sz val="9"/>
            <rFont val="宋体"/>
            <charset val="134"/>
          </rPr>
          <t xml:space="preserve">
1405429 4/1 5604pcs张a4</t>
        </r>
      </text>
    </comment>
    <comment ref="AL1198" authorId="0">
      <text>
        <r>
          <rPr>
            <b/>
            <sz val="9"/>
            <rFont val="宋体"/>
            <charset val="134"/>
          </rPr>
          <t>Administrator:</t>
        </r>
        <r>
          <rPr>
            <sz val="9"/>
            <rFont val="宋体"/>
            <charset val="134"/>
          </rPr>
          <t xml:space="preserve">
3/9 空白贴纸 5604pcs
3/10 客供价格贴纸 6165pcs
</t>
        </r>
      </text>
    </comment>
    <comment ref="AI1199" authorId="0">
      <text>
        <r>
          <rPr>
            <b/>
            <sz val="9"/>
            <rFont val="宋体"/>
            <charset val="134"/>
          </rPr>
          <t>Administrator:</t>
        </r>
        <r>
          <rPr>
            <sz val="9"/>
            <rFont val="宋体"/>
            <charset val="134"/>
          </rPr>
          <t xml:space="preserve">
1405429 4/1 1980pcs 张a3
1405430 4/1 4404pcs张a3
1405399 4/2 12pcs
张a4
</t>
        </r>
      </text>
    </comment>
    <comment ref="AL1199" authorId="0">
      <text>
        <r>
          <rPr>
            <b/>
            <sz val="9"/>
            <rFont val="宋体"/>
            <charset val="134"/>
          </rPr>
          <t>Administrator:</t>
        </r>
        <r>
          <rPr>
            <sz val="9"/>
            <rFont val="宋体"/>
            <charset val="134"/>
          </rPr>
          <t xml:space="preserve">
3/9 空白贴纸 6396pcs
3/10 客供价格贴纸 7036pcs
</t>
        </r>
      </text>
    </comment>
    <comment ref="AI1200" authorId="0">
      <text>
        <r>
          <rPr>
            <b/>
            <sz val="9"/>
            <rFont val="宋体"/>
            <charset val="134"/>
          </rPr>
          <t>Administrator:</t>
        </r>
        <r>
          <rPr>
            <sz val="9"/>
            <rFont val="宋体"/>
            <charset val="134"/>
          </rPr>
          <t xml:space="preserve">
1405429 4/1 9192pcs
张a4
1405366 4/7 12pcs</t>
        </r>
      </text>
    </comment>
    <comment ref="AL1200" authorId="0">
      <text>
        <r>
          <rPr>
            <b/>
            <sz val="9"/>
            <rFont val="宋体"/>
            <charset val="134"/>
          </rPr>
          <t>Administrator:</t>
        </r>
        <r>
          <rPr>
            <sz val="9"/>
            <rFont val="宋体"/>
            <charset val="134"/>
          </rPr>
          <t xml:space="preserve">
3/9 空白贴纸 3204pcs
3/10 客供价格贴纸 3525pcs
</t>
        </r>
      </text>
    </comment>
    <comment ref="AI1201" authorId="0">
      <text>
        <r>
          <rPr>
            <b/>
            <sz val="9"/>
            <rFont val="宋体"/>
            <charset val="134"/>
          </rPr>
          <t>Administrator:</t>
        </r>
        <r>
          <rPr>
            <sz val="9"/>
            <rFont val="宋体"/>
            <charset val="134"/>
          </rPr>
          <t xml:space="preserve">
1405430 4/1 3600pcs张a3</t>
        </r>
      </text>
    </comment>
    <comment ref="AL1201" authorId="0">
      <text>
        <r>
          <rPr>
            <b/>
            <sz val="9"/>
            <rFont val="宋体"/>
            <charset val="134"/>
          </rPr>
          <t>Administrator:</t>
        </r>
        <r>
          <rPr>
            <sz val="9"/>
            <rFont val="宋体"/>
            <charset val="134"/>
          </rPr>
          <t xml:space="preserve">
3/9 空白贴纸 3600pcs
3/10 客供价格贴纸 3960pcs
</t>
        </r>
      </text>
    </comment>
    <comment ref="AI1202" authorId="0">
      <text>
        <r>
          <rPr>
            <b/>
            <sz val="9"/>
            <rFont val="宋体"/>
            <charset val="134"/>
          </rPr>
          <t>Administrator:</t>
        </r>
        <r>
          <rPr>
            <sz val="9"/>
            <rFont val="宋体"/>
            <charset val="134"/>
          </rPr>
          <t xml:space="preserve">
1405399 4/2 240pcs张a3</t>
        </r>
      </text>
    </comment>
    <comment ref="AI1203" authorId="0">
      <text>
        <r>
          <rPr>
            <b/>
            <sz val="9"/>
            <rFont val="宋体"/>
            <charset val="134"/>
          </rPr>
          <t>Administrator:</t>
        </r>
        <r>
          <rPr>
            <sz val="9"/>
            <rFont val="宋体"/>
            <charset val="134"/>
          </rPr>
          <t xml:space="preserve">
1405399 4/2 4000pcs
张b3</t>
        </r>
      </text>
    </comment>
    <comment ref="AL1203" authorId="0">
      <text>
        <r>
          <rPr>
            <b/>
            <sz val="9"/>
            <rFont val="宋体"/>
            <charset val="134"/>
          </rPr>
          <t>Administrator:</t>
        </r>
        <r>
          <rPr>
            <sz val="9"/>
            <rFont val="宋体"/>
            <charset val="134"/>
          </rPr>
          <t xml:space="preserve">
3/9 冰棒款-说明书荷兰语贴 4000pcs
蛋糕款-说明书荷兰语贴 4000pcs
布丁款-说明书荷兰语贴 4000pcs
3/16 德语callout/德意荷警 4000pcs</t>
        </r>
      </text>
    </comment>
    <comment ref="AI1204" authorId="0">
      <text>
        <r>
          <rPr>
            <b/>
            <sz val="9"/>
            <rFont val="宋体"/>
            <charset val="134"/>
          </rPr>
          <t>Administrator:</t>
        </r>
        <r>
          <rPr>
            <sz val="9"/>
            <rFont val="宋体"/>
            <charset val="134"/>
          </rPr>
          <t xml:space="preserve">
1405424 4/4 50000pcs张a5</t>
        </r>
      </text>
    </comment>
    <comment ref="AL1204" authorId="0">
      <text>
        <r>
          <rPr>
            <b/>
            <sz val="9"/>
            <rFont val="宋体"/>
            <charset val="134"/>
          </rPr>
          <t>Administrator:</t>
        </r>
        <r>
          <rPr>
            <sz val="9"/>
            <rFont val="宋体"/>
            <charset val="134"/>
          </rPr>
          <t xml:space="preserve">
3/23 客供外箱条码贴纸。 2020pcs</t>
        </r>
      </text>
    </comment>
    <comment ref="AI1205" authorId="0">
      <text>
        <r>
          <rPr>
            <b/>
            <sz val="9"/>
            <rFont val="宋体"/>
            <charset val="134"/>
          </rPr>
          <t>Administrator:</t>
        </r>
        <r>
          <rPr>
            <sz val="9"/>
            <rFont val="宋体"/>
            <charset val="134"/>
          </rPr>
          <t xml:space="preserve">
1405394 4/3 3840pcs张新b2</t>
        </r>
      </text>
    </comment>
    <comment ref="AL1205" authorId="0">
      <text>
        <r>
          <rPr>
            <b/>
            <sz val="9"/>
            <rFont val="宋体"/>
            <charset val="134"/>
          </rPr>
          <t>Administrator:</t>
        </r>
        <r>
          <rPr>
            <sz val="9"/>
            <rFont val="宋体"/>
            <charset val="134"/>
          </rPr>
          <t xml:space="preserve">
3/28 客供咫FID贴纸 3840pcs</t>
        </r>
      </text>
    </comment>
    <comment ref="AI1206" authorId="0">
      <text>
        <r>
          <rPr>
            <b/>
            <sz val="9"/>
            <rFont val="宋体"/>
            <charset val="134"/>
          </rPr>
          <t>Administrator:</t>
        </r>
        <r>
          <rPr>
            <sz val="9"/>
            <rFont val="宋体"/>
            <charset val="134"/>
          </rPr>
          <t xml:space="preserve">
1405386 4/3 4224pcs张新b2
1405394 4/3 2112pcs张b2
1405366 4/7 8064pcs张b2</t>
        </r>
      </text>
    </comment>
    <comment ref="AL1206" authorId="0">
      <text>
        <r>
          <rPr>
            <b/>
            <sz val="9"/>
            <rFont val="宋体"/>
            <charset val="134"/>
          </rPr>
          <t>Administrator:</t>
        </r>
        <r>
          <rPr>
            <sz val="9"/>
            <rFont val="宋体"/>
            <charset val="134"/>
          </rPr>
          <t xml:space="preserve">
3/28 客供咫FID贴纸 14400pcs</t>
        </r>
      </text>
    </comment>
    <comment ref="AI1207" authorId="0">
      <text>
        <r>
          <rPr>
            <b/>
            <sz val="9"/>
            <rFont val="宋体"/>
            <charset val="134"/>
          </rPr>
          <t>Administrator:</t>
        </r>
        <r>
          <rPr>
            <sz val="9"/>
            <rFont val="宋体"/>
            <charset val="134"/>
          </rPr>
          <t xml:space="preserve">
1406329 3/26 1680pcs王1ac7
1406241 3/27 3720pcs</t>
        </r>
      </text>
    </comment>
    <comment ref="AI1208" authorId="0">
      <text>
        <r>
          <rPr>
            <b/>
            <sz val="9"/>
            <rFont val="宋体"/>
            <charset val="134"/>
          </rPr>
          <t>Administrator:</t>
        </r>
        <r>
          <rPr>
            <sz val="9"/>
            <rFont val="宋体"/>
            <charset val="134"/>
          </rPr>
          <t xml:space="preserve">
1406241 3/27 280pcs
1406242 3/27 2720pcs
1406244 3/28 2400pcs</t>
        </r>
      </text>
    </comment>
    <comment ref="AI1209" authorId="0">
      <text>
        <r>
          <rPr>
            <b/>
            <sz val="9"/>
            <rFont val="宋体"/>
            <charset val="134"/>
          </rPr>
          <t>Administrator:</t>
        </r>
        <r>
          <rPr>
            <sz val="9"/>
            <rFont val="宋体"/>
            <charset val="134"/>
          </rPr>
          <t xml:space="preserve">
1405386 4/3 1500pcs
张b6
</t>
        </r>
      </text>
    </comment>
    <comment ref="AL1209" authorId="0">
      <text>
        <r>
          <rPr>
            <b/>
            <sz val="9"/>
            <rFont val="宋体"/>
            <charset val="134"/>
          </rPr>
          <t>Administrator:</t>
        </r>
        <r>
          <rPr>
            <sz val="9"/>
            <rFont val="宋体"/>
            <charset val="134"/>
          </rPr>
          <t xml:space="preserve">
1/26 NJ 客供外箱贴纸 125pcs
3/21 空白条码贴纸 3000pcs</t>
        </r>
      </text>
    </comment>
    <comment ref="AI1210" authorId="0">
      <text>
        <r>
          <rPr>
            <b/>
            <sz val="9"/>
            <rFont val="宋体"/>
            <charset val="134"/>
          </rPr>
          <t>Administrator:</t>
        </r>
        <r>
          <rPr>
            <sz val="9"/>
            <rFont val="宋体"/>
            <charset val="134"/>
          </rPr>
          <t xml:space="preserve">
1405386 4/3 504pcs
张b6
</t>
        </r>
      </text>
    </comment>
    <comment ref="AL1210" authorId="0">
      <text>
        <r>
          <rPr>
            <b/>
            <sz val="9"/>
            <rFont val="宋体"/>
            <charset val="134"/>
          </rPr>
          <t>Administrator:</t>
        </r>
        <r>
          <rPr>
            <sz val="9"/>
            <rFont val="宋体"/>
            <charset val="134"/>
          </rPr>
          <t xml:space="preserve">
1/26 NJ 客供外箱贴纸42pcs
3/21 空白条码贴纸 1008pcs</t>
        </r>
      </text>
    </comment>
    <comment ref="AI1211" authorId="0">
      <text>
        <r>
          <rPr>
            <b/>
            <sz val="9"/>
            <rFont val="宋体"/>
            <charset val="134"/>
          </rPr>
          <t>Administrator:</t>
        </r>
        <r>
          <rPr>
            <sz val="9"/>
            <rFont val="宋体"/>
            <charset val="134"/>
          </rPr>
          <t xml:space="preserve">
1405381 4/9 25pcs庞3b17
1405416 4/8 3825pcs 庞3b17</t>
        </r>
      </text>
    </comment>
    <comment ref="AI1212" authorId="0">
      <text>
        <r>
          <rPr>
            <b/>
            <sz val="9"/>
            <rFont val="宋体"/>
            <charset val="134"/>
          </rPr>
          <t>Administrator:</t>
        </r>
        <r>
          <rPr>
            <sz val="9"/>
            <rFont val="宋体"/>
            <charset val="134"/>
          </rPr>
          <t xml:space="preserve">
1405378 4/7 1000pcs庞登1楼
</t>
        </r>
      </text>
    </comment>
    <comment ref="AL1212" authorId="0">
      <text>
        <r>
          <rPr>
            <b/>
            <sz val="9"/>
            <rFont val="宋体"/>
            <charset val="134"/>
          </rPr>
          <t>Administrator:</t>
        </r>
        <r>
          <rPr>
            <sz val="9"/>
            <rFont val="宋体"/>
            <charset val="134"/>
          </rPr>
          <t xml:space="preserve">
3/21 UPC条码贴纸 1000pcs</t>
        </r>
      </text>
    </comment>
    <comment ref="AI1213" authorId="0">
      <text>
        <r>
          <rPr>
            <b/>
            <sz val="9"/>
            <rFont val="宋体"/>
            <charset val="134"/>
          </rPr>
          <t>Administrator:</t>
        </r>
        <r>
          <rPr>
            <sz val="9"/>
            <rFont val="宋体"/>
            <charset val="134"/>
          </rPr>
          <t xml:space="preserve">
4/9 1405381 1768pcs庞3b14</t>
        </r>
      </text>
    </comment>
    <comment ref="AL1213" authorId="0">
      <text>
        <r>
          <rPr>
            <b/>
            <sz val="9"/>
            <rFont val="宋体"/>
            <charset val="134"/>
          </rPr>
          <t>Administrator:</t>
        </r>
        <r>
          <rPr>
            <sz val="9"/>
            <rFont val="宋体"/>
            <charset val="134"/>
          </rPr>
          <t xml:space="preserve">
3/18 客户进口商贴纸 1768pcs</t>
        </r>
      </text>
    </comment>
    <comment ref="AI1214" authorId="0">
      <text>
        <r>
          <rPr>
            <b/>
            <sz val="9"/>
            <rFont val="宋体"/>
            <charset val="134"/>
          </rPr>
          <t>Administrator:</t>
        </r>
        <r>
          <rPr>
            <sz val="9"/>
            <rFont val="宋体"/>
            <charset val="134"/>
          </rPr>
          <t xml:space="preserve">
1405350 4/8 180pcs
庞3b15
1405356 4/8 12pcs
庞3b15</t>
        </r>
      </text>
    </comment>
    <comment ref="AI1215" authorId="0">
      <text>
        <r>
          <rPr>
            <b/>
            <sz val="9"/>
            <rFont val="宋体"/>
            <charset val="134"/>
          </rPr>
          <t>Administrator:</t>
        </r>
        <r>
          <rPr>
            <sz val="9"/>
            <rFont val="宋体"/>
            <charset val="134"/>
          </rPr>
          <t xml:space="preserve">
1405973 4/10 6500pcs</t>
        </r>
      </text>
    </comment>
    <comment ref="AL1215" authorId="0">
      <text>
        <r>
          <rPr>
            <b/>
            <sz val="9"/>
            <rFont val="宋体"/>
            <charset val="134"/>
          </rPr>
          <t>Administrator:</t>
        </r>
        <r>
          <rPr>
            <sz val="9"/>
            <rFont val="宋体"/>
            <charset val="134"/>
          </rPr>
          <t xml:space="preserve">
3/25 进口腐贴纸 6500pcs
UPC贴 6500pcs
3/30 客供价标贴纸 6510pcs</t>
        </r>
      </text>
    </comment>
    <comment ref="AI1216" authorId="0">
      <text>
        <r>
          <rPr>
            <b/>
            <sz val="9"/>
            <rFont val="宋体"/>
            <charset val="134"/>
          </rPr>
          <t>Administrator:</t>
        </r>
        <r>
          <rPr>
            <sz val="9"/>
            <rFont val="宋体"/>
            <charset val="134"/>
          </rPr>
          <t xml:space="preserve">
1406260 4/2 2016pcs
1406264 4/2 2688pcs
1405259 4/3 3936pcs 
1406270 4/3 7392pcs
1406271 4/6 1224pcs
1406275 4/7 24pcs</t>
        </r>
      </text>
    </comment>
    <comment ref="AL1216" authorId="0">
      <text>
        <r>
          <rPr>
            <b/>
            <sz val="9"/>
            <rFont val="宋体"/>
            <charset val="134"/>
          </rPr>
          <t>Administrator:</t>
        </r>
        <r>
          <rPr>
            <sz val="9"/>
            <rFont val="宋体"/>
            <charset val="134"/>
          </rPr>
          <t xml:space="preserve">
3/21 保证书 17280pcs
产品贴纸 17280pcs
3/23 空白贴纸 34560pcs
3/30 空白贴纸 34560pcs</t>
        </r>
      </text>
    </comment>
    <comment ref="BZ1216" authorId="1">
      <text>
        <r>
          <rPr>
            <b/>
            <sz val="9"/>
            <rFont val="宋体"/>
            <charset val="134"/>
          </rPr>
          <t>RR:</t>
        </r>
        <r>
          <rPr>
            <sz val="9"/>
            <rFont val="宋体"/>
            <charset val="134"/>
          </rPr>
          <t xml:space="preserve">
新客版资料</t>
        </r>
      </text>
    </comment>
    <comment ref="AI1217" authorId="0">
      <text>
        <r>
          <rPr>
            <b/>
            <sz val="9"/>
            <rFont val="宋体"/>
            <charset val="134"/>
          </rPr>
          <t>Administrator:</t>
        </r>
        <r>
          <rPr>
            <sz val="9"/>
            <rFont val="宋体"/>
            <charset val="134"/>
          </rPr>
          <t xml:space="preserve">
1406246 3/30 1200pcs
1406248 3/30 840pcs
1406255 4/1 3360pcs
</t>
        </r>
      </text>
    </comment>
    <comment ref="AI1218" authorId="0">
      <text>
        <r>
          <rPr>
            <b/>
            <sz val="9"/>
            <rFont val="宋体"/>
            <charset val="134"/>
          </rPr>
          <t>Administrator:</t>
        </r>
        <r>
          <rPr>
            <sz val="9"/>
            <rFont val="宋体"/>
            <charset val="134"/>
          </rPr>
          <t xml:space="preserve">
1405350 4/8 792pcs
庞3b15
1405356 4/8 12pcs
</t>
        </r>
      </text>
    </comment>
    <comment ref="AL1218" authorId="0">
      <text>
        <r>
          <rPr>
            <b/>
            <sz val="9"/>
            <rFont val="宋体"/>
            <charset val="134"/>
          </rPr>
          <t>Administrator:</t>
        </r>
        <r>
          <rPr>
            <sz val="9"/>
            <rFont val="宋体"/>
            <charset val="134"/>
          </rPr>
          <t xml:space="preserve">
3/10 客供价格贴纸 840pcs
</t>
        </r>
      </text>
    </comment>
    <comment ref="AI1219" authorId="0">
      <text>
        <r>
          <rPr>
            <b/>
            <sz val="9"/>
            <rFont val="宋体"/>
            <charset val="134"/>
          </rPr>
          <t>Administrator:</t>
        </r>
        <r>
          <rPr>
            <sz val="9"/>
            <rFont val="宋体"/>
            <charset val="134"/>
          </rPr>
          <t xml:space="preserve">
1405350 4/8 3200pcs庞3b12</t>
        </r>
      </text>
    </comment>
    <comment ref="AI1220" authorId="0">
      <text>
        <r>
          <rPr>
            <b/>
            <sz val="9"/>
            <rFont val="宋体"/>
            <charset val="134"/>
          </rPr>
          <t>Administrator:</t>
        </r>
        <r>
          <rPr>
            <sz val="9"/>
            <rFont val="宋体"/>
            <charset val="134"/>
          </rPr>
          <t xml:space="preserve">
1406248 3/30 1680pcs
1406251 3/31 2240pcs
406255 4/1 1480pcs</t>
        </r>
      </text>
    </comment>
    <comment ref="AI1221" authorId="0">
      <text>
        <r>
          <rPr>
            <b/>
            <sz val="9"/>
            <rFont val="宋体"/>
            <charset val="134"/>
          </rPr>
          <t>Administrator:</t>
        </r>
        <r>
          <rPr>
            <sz val="9"/>
            <rFont val="宋体"/>
            <charset val="134"/>
          </rPr>
          <t xml:space="preserve">
1405342 4/10 1200pcs
庞3b11</t>
        </r>
      </text>
    </comment>
    <comment ref="AL1221" authorId="0">
      <text>
        <r>
          <rPr>
            <b/>
            <sz val="9"/>
            <rFont val="宋体"/>
            <charset val="134"/>
          </rPr>
          <t>Administrator:</t>
        </r>
        <r>
          <rPr>
            <sz val="9"/>
            <rFont val="宋体"/>
            <charset val="134"/>
          </rPr>
          <t xml:space="preserve">
3/16 客供价格贴纸 200pcs
3/23 外箱贴纸 200pcs</t>
        </r>
      </text>
    </comment>
    <comment ref="AI1222" authorId="0">
      <text>
        <r>
          <rPr>
            <b/>
            <sz val="9"/>
            <rFont val="宋体"/>
            <charset val="134"/>
          </rPr>
          <t>Administrator:</t>
        </r>
        <r>
          <rPr>
            <sz val="9"/>
            <rFont val="宋体"/>
            <charset val="134"/>
          </rPr>
          <t xml:space="preserve">
1405342 4/10 1200pcs
庞3b11
</t>
        </r>
      </text>
    </comment>
    <comment ref="AL1222" authorId="0">
      <text>
        <r>
          <rPr>
            <b/>
            <sz val="9"/>
            <rFont val="宋体"/>
            <charset val="134"/>
          </rPr>
          <t>Administrator:</t>
        </r>
        <r>
          <rPr>
            <sz val="9"/>
            <rFont val="宋体"/>
            <charset val="134"/>
          </rPr>
          <t xml:space="preserve">
3/16 客供价格贴纸200pcs
3/23 外箱贴纸 200pcs
</t>
        </r>
      </text>
    </comment>
    <comment ref="AI1223" authorId="0">
      <text>
        <r>
          <rPr>
            <b/>
            <sz val="9"/>
            <rFont val="宋体"/>
            <charset val="134"/>
          </rPr>
          <t>Administrator:</t>
        </r>
        <r>
          <rPr>
            <sz val="9"/>
            <rFont val="宋体"/>
            <charset val="134"/>
          </rPr>
          <t xml:space="preserve">
1405413 4/8 728pcs
庞3b14
1405421 4/8 52pcs庞3b14</t>
        </r>
      </text>
    </comment>
    <comment ref="AL1223" authorId="0">
      <text>
        <r>
          <rPr>
            <b/>
            <sz val="9"/>
            <rFont val="宋体"/>
            <charset val="134"/>
          </rPr>
          <t>Administrator:</t>
        </r>
        <r>
          <rPr>
            <sz val="9"/>
            <rFont val="宋体"/>
            <charset val="134"/>
          </rPr>
          <t xml:space="preserve">
3/18 警语贴纸 780pcs
UPC条码贴纸 780pcs</t>
        </r>
      </text>
    </comment>
    <comment ref="AI1224" authorId="0">
      <text>
        <r>
          <rPr>
            <b/>
            <sz val="9"/>
            <rFont val="宋体"/>
            <charset val="134"/>
          </rPr>
          <t>Administrator:</t>
        </r>
        <r>
          <rPr>
            <sz val="9"/>
            <rFont val="宋体"/>
            <charset val="134"/>
          </rPr>
          <t xml:space="preserve">
4/9 1405381 500pcs
庞3b14
</t>
        </r>
      </text>
    </comment>
    <comment ref="AL1224" authorId="0">
      <text>
        <r>
          <rPr>
            <b/>
            <sz val="9"/>
            <rFont val="宋体"/>
            <charset val="134"/>
          </rPr>
          <t>Administrator:</t>
        </r>
        <r>
          <rPr>
            <sz val="9"/>
            <rFont val="宋体"/>
            <charset val="134"/>
          </rPr>
          <t xml:space="preserve">
3/20 UPC贴纸 500pcs</t>
        </r>
      </text>
    </comment>
    <comment ref="AI1225" authorId="0">
      <text>
        <r>
          <rPr>
            <b/>
            <sz val="9"/>
            <rFont val="宋体"/>
            <charset val="134"/>
          </rPr>
          <t>Administrator:</t>
        </r>
        <r>
          <rPr>
            <sz val="9"/>
            <rFont val="宋体"/>
            <charset val="134"/>
          </rPr>
          <t xml:space="preserve">
1405356 4/8 60000pcs庞登一楼</t>
        </r>
      </text>
    </comment>
    <comment ref="AL1225" authorId="0">
      <text>
        <r>
          <rPr>
            <b/>
            <sz val="9"/>
            <rFont val="宋体"/>
            <charset val="134"/>
          </rPr>
          <t>Administrator:</t>
        </r>
        <r>
          <rPr>
            <sz val="9"/>
            <rFont val="宋体"/>
            <charset val="134"/>
          </rPr>
          <t xml:space="preserve">
3/13 客供亚马逊外箱贴纸 2400pcs
</t>
        </r>
      </text>
    </comment>
    <comment ref="AI1226" authorId="0">
      <text>
        <r>
          <rPr>
            <b/>
            <sz val="9"/>
            <rFont val="宋体"/>
            <charset val="134"/>
          </rPr>
          <t>Administrator:</t>
        </r>
        <r>
          <rPr>
            <sz val="9"/>
            <rFont val="宋体"/>
            <charset val="134"/>
          </rPr>
          <t xml:space="preserve">
1406280 4/8 60pcs</t>
        </r>
      </text>
    </comment>
    <comment ref="AI1227" authorId="0">
      <text>
        <r>
          <rPr>
            <b/>
            <sz val="9"/>
            <rFont val="宋体"/>
            <charset val="134"/>
          </rPr>
          <t>Administrator:</t>
        </r>
        <r>
          <rPr>
            <sz val="9"/>
            <rFont val="宋体"/>
            <charset val="134"/>
          </rPr>
          <t xml:space="preserve">
1405937 4/14 520psc
张b3</t>
        </r>
      </text>
    </comment>
    <comment ref="AL1227" authorId="0">
      <text>
        <r>
          <rPr>
            <b/>
            <sz val="9"/>
            <rFont val="宋体"/>
            <charset val="134"/>
          </rPr>
          <t>Administrator:</t>
        </r>
        <r>
          <rPr>
            <sz val="9"/>
            <rFont val="宋体"/>
            <charset val="134"/>
          </rPr>
          <t xml:space="preserve">
3/16 白色防盗贴纸 520pcs
3/21 UPC条码贴纸 520pcs
3/27 Kmart外箱贴纸402pcs
</t>
        </r>
      </text>
    </comment>
    <comment ref="AI1228" authorId="0">
      <text>
        <r>
          <rPr>
            <b/>
            <sz val="9"/>
            <rFont val="宋体"/>
            <charset val="134"/>
          </rPr>
          <t>Administrator:</t>
        </r>
        <r>
          <rPr>
            <sz val="9"/>
            <rFont val="宋体"/>
            <charset val="134"/>
          </rPr>
          <t xml:space="preserve">
1405937 4/14 5096psc张a4
1405939 4/14 4680pcs</t>
        </r>
      </text>
    </comment>
    <comment ref="AL1228" authorId="0">
      <text>
        <r>
          <rPr>
            <b/>
            <sz val="9"/>
            <rFont val="宋体"/>
            <charset val="134"/>
          </rPr>
          <t>Administrator:</t>
        </r>
        <r>
          <rPr>
            <sz val="9"/>
            <rFont val="宋体"/>
            <charset val="134"/>
          </rPr>
          <t xml:space="preserve">
3/16 白色防盗贴纸 9776pcs
3/21 UPC条码贴纸 9776pcs
3/27 Kmart外箱贴纸 752pcs</t>
        </r>
      </text>
    </comment>
    <comment ref="AI1229" authorId="0">
      <text>
        <r>
          <rPr>
            <b/>
            <sz val="9"/>
            <rFont val="宋体"/>
            <charset val="134"/>
          </rPr>
          <t>Administrator:</t>
        </r>
        <r>
          <rPr>
            <sz val="9"/>
            <rFont val="宋体"/>
            <charset val="134"/>
          </rPr>
          <t xml:space="preserve">
1405978 4/11 6500pcs</t>
        </r>
      </text>
    </comment>
    <comment ref="AI1230" authorId="0">
      <text>
        <r>
          <rPr>
            <b/>
            <sz val="9"/>
            <rFont val="宋体"/>
            <charset val="134"/>
          </rPr>
          <t>Administrator:</t>
        </r>
        <r>
          <rPr>
            <sz val="9"/>
            <rFont val="宋体"/>
            <charset val="134"/>
          </rPr>
          <t xml:space="preserve">
1405937 4/13 507psc
张b6</t>
        </r>
      </text>
    </comment>
    <comment ref="AL1230" authorId="0">
      <text>
        <r>
          <rPr>
            <b/>
            <sz val="9"/>
            <rFont val="宋体"/>
            <charset val="134"/>
          </rPr>
          <t>Administrator:</t>
        </r>
        <r>
          <rPr>
            <sz val="9"/>
            <rFont val="宋体"/>
            <charset val="134"/>
          </rPr>
          <t xml:space="preserve">
3/21 德意警语贴纸 507pcs</t>
        </r>
      </text>
    </comment>
    <comment ref="AI1231" authorId="0">
      <text>
        <r>
          <rPr>
            <b/>
            <sz val="9"/>
            <rFont val="宋体"/>
            <charset val="134"/>
          </rPr>
          <t>Administrator:</t>
        </r>
        <r>
          <rPr>
            <sz val="9"/>
            <rFont val="宋体"/>
            <charset val="134"/>
          </rPr>
          <t xml:space="preserve">
1602180 4/45 1000pcs
张新b1
</t>
        </r>
      </text>
    </comment>
    <comment ref="AL1231" authorId="0">
      <text>
        <r>
          <rPr>
            <b/>
            <sz val="9"/>
            <rFont val="宋体"/>
            <charset val="134"/>
          </rPr>
          <t>Administrator:</t>
        </r>
        <r>
          <rPr>
            <sz val="9"/>
            <rFont val="宋体"/>
            <charset val="134"/>
          </rPr>
          <t xml:space="preserve">
3/27 空白贴纸 10000pcs
3/28 进口商贴纸 390000pcs
4/11 2000pcs进口商贴纸</t>
        </r>
      </text>
    </comment>
    <comment ref="AI1232" authorId="0">
      <text>
        <r>
          <rPr>
            <b/>
            <sz val="9"/>
            <rFont val="宋体"/>
            <charset val="134"/>
          </rPr>
          <t>Administrator:</t>
        </r>
        <r>
          <rPr>
            <sz val="9"/>
            <rFont val="宋体"/>
            <charset val="134"/>
          </rPr>
          <t xml:space="preserve">
1405906 4/15 19450pcs
1405892 4/15 9550pcs</t>
        </r>
      </text>
    </comment>
    <comment ref="AI1233" authorId="0">
      <text>
        <r>
          <rPr>
            <b/>
            <sz val="9"/>
            <rFont val="宋体"/>
            <charset val="134"/>
          </rPr>
          <t>Administrator:</t>
        </r>
        <r>
          <rPr>
            <sz val="9"/>
            <rFont val="宋体"/>
            <charset val="134"/>
          </rPr>
          <t xml:space="preserve">
1405958 4/11 2405pcs张a1</t>
        </r>
      </text>
    </comment>
    <comment ref="AI1234" authorId="0">
      <text>
        <r>
          <rPr>
            <b/>
            <sz val="9"/>
            <rFont val="宋体"/>
            <charset val="134"/>
          </rPr>
          <t>Administrator:</t>
        </r>
        <r>
          <rPr>
            <sz val="9"/>
            <rFont val="宋体"/>
            <charset val="134"/>
          </rPr>
          <t xml:space="preserve">
1405937 4/14 3000sc
张b6</t>
        </r>
      </text>
    </comment>
    <comment ref="AL1234" authorId="0">
      <text>
        <r>
          <rPr>
            <b/>
            <sz val="9"/>
            <rFont val="宋体"/>
            <charset val="134"/>
          </rPr>
          <t>Administrator:</t>
        </r>
        <r>
          <rPr>
            <sz val="9"/>
            <rFont val="宋体"/>
            <charset val="134"/>
          </rPr>
          <t xml:space="preserve">
3/23 PDQUPC条码贴纸 120pcs </t>
        </r>
      </text>
    </comment>
    <comment ref="AI1235" authorId="0">
      <text>
        <r>
          <rPr>
            <b/>
            <sz val="9"/>
            <rFont val="宋体"/>
            <charset val="134"/>
          </rPr>
          <t>Administrator:</t>
        </r>
        <r>
          <rPr>
            <sz val="9"/>
            <rFont val="宋体"/>
            <charset val="134"/>
          </rPr>
          <t xml:space="preserve">
1406293 4/11 1200pcs</t>
        </r>
      </text>
    </comment>
    <comment ref="AL1235" authorId="0">
      <text>
        <r>
          <rPr>
            <b/>
            <sz val="9"/>
            <rFont val="宋体"/>
            <charset val="134"/>
          </rPr>
          <t>Administrator:</t>
        </r>
        <r>
          <rPr>
            <sz val="9"/>
            <rFont val="宋体"/>
            <charset val="134"/>
          </rPr>
          <t xml:space="preserve">
3/6 空白贴纸 1200pcs
空白贴纸 2400pcs
3/9 3c贴纸 1200PCS
颜色贴纸 1200PCS </t>
        </r>
      </text>
    </comment>
    <comment ref="AI1236" authorId="0">
      <text>
        <r>
          <rPr>
            <b/>
            <sz val="9"/>
            <rFont val="宋体"/>
            <charset val="134"/>
          </rPr>
          <t>Administrator:</t>
        </r>
        <r>
          <rPr>
            <sz val="9"/>
            <rFont val="宋体"/>
            <charset val="134"/>
          </rPr>
          <t xml:space="preserve">
1405958 4/11 7800pcs
张a1
</t>
        </r>
      </text>
    </comment>
    <comment ref="AL1236" authorId="0">
      <text>
        <r>
          <rPr>
            <b/>
            <sz val="9"/>
            <rFont val="宋体"/>
            <charset val="134"/>
          </rPr>
          <t>Administrator:</t>
        </r>
        <r>
          <rPr>
            <sz val="9"/>
            <rFont val="宋体"/>
            <charset val="134"/>
          </rPr>
          <t xml:space="preserve">
3/13 客供防窜码贴纸1拖13 600pcs
客供芯片码贴纸 1200pcs
3/23 客供防窜码贴纸1拖13 386pcs
4/8 客供防窜码贴纸1拖13 1924pcs 补订</t>
        </r>
      </text>
    </comment>
    <comment ref="AI1237" authorId="0">
      <text>
        <r>
          <rPr>
            <b/>
            <sz val="9"/>
            <rFont val="宋体"/>
            <charset val="134"/>
          </rPr>
          <t>Administrator:</t>
        </r>
        <r>
          <rPr>
            <sz val="9"/>
            <rFont val="宋体"/>
            <charset val="134"/>
          </rPr>
          <t xml:space="preserve">
1405342 4/10 4280pcs
1406294 4/11 1120pcs
</t>
        </r>
      </text>
    </comment>
    <comment ref="AI1238" authorId="0">
      <text>
        <r>
          <rPr>
            <b/>
            <sz val="9"/>
            <rFont val="宋体"/>
            <charset val="134"/>
          </rPr>
          <t>Administrator:</t>
        </r>
        <r>
          <rPr>
            <sz val="9"/>
            <rFont val="宋体"/>
            <charset val="134"/>
          </rPr>
          <t xml:space="preserve">
1405958 4/11 2196pcs张b3
</t>
        </r>
      </text>
    </comment>
    <comment ref="AL1238" authorId="0">
      <text>
        <r>
          <rPr>
            <b/>
            <sz val="9"/>
            <rFont val="宋体"/>
            <charset val="134"/>
          </rPr>
          <t>Administrator:</t>
        </r>
        <r>
          <rPr>
            <sz val="9"/>
            <rFont val="宋体"/>
            <charset val="134"/>
          </rPr>
          <t xml:space="preserve">
3/10 客供价格贴纸 2416pcs
3/23 空白贴纸 2196pcs</t>
        </r>
      </text>
    </comment>
    <comment ref="AI1239" authorId="0">
      <text>
        <r>
          <rPr>
            <b/>
            <sz val="9"/>
            <rFont val="宋体"/>
            <charset val="134"/>
          </rPr>
          <t>Administrator:</t>
        </r>
        <r>
          <rPr>
            <sz val="9"/>
            <rFont val="宋体"/>
            <charset val="134"/>
          </rPr>
          <t xml:space="preserve">
1405958 4/11 2400pcs
张b1</t>
        </r>
      </text>
    </comment>
    <comment ref="AL1239" authorId="0">
      <text>
        <r>
          <rPr>
            <b/>
            <sz val="9"/>
            <rFont val="宋体"/>
            <charset val="134"/>
          </rPr>
          <t>Administrator:</t>
        </r>
        <r>
          <rPr>
            <sz val="9"/>
            <rFont val="宋体"/>
            <charset val="134"/>
          </rPr>
          <t xml:space="preserve">
3/10 客供价格贴纸 2640pcs
3/23 空白贴纸 2400pcs
</t>
        </r>
      </text>
    </comment>
    <comment ref="AI1240" authorId="0">
      <text>
        <r>
          <rPr>
            <b/>
            <sz val="9"/>
            <rFont val="宋体"/>
            <charset val="134"/>
          </rPr>
          <t>Administrator:</t>
        </r>
        <r>
          <rPr>
            <sz val="9"/>
            <rFont val="宋体"/>
            <charset val="134"/>
          </rPr>
          <t xml:space="preserve">
1406255 560pcs
1406252 3440pcs
1406248 1400pcs</t>
        </r>
      </text>
    </comment>
    <comment ref="AI1241" authorId="0">
      <text>
        <r>
          <rPr>
            <b/>
            <sz val="9"/>
            <rFont val="宋体"/>
            <charset val="134"/>
          </rPr>
          <t>Administrator:</t>
        </r>
        <r>
          <rPr>
            <sz val="9"/>
            <rFont val="宋体"/>
            <charset val="134"/>
          </rPr>
          <t xml:space="preserve">
1403781 4/18 10815pcs
1405870 4/18 4500pcs</t>
        </r>
      </text>
    </comment>
    <comment ref="AL1241" authorId="0">
      <text>
        <r>
          <rPr>
            <b/>
            <sz val="9"/>
            <rFont val="宋体"/>
            <charset val="134"/>
          </rPr>
          <t>Administrator:</t>
        </r>
        <r>
          <rPr>
            <sz val="9"/>
            <rFont val="宋体"/>
            <charset val="134"/>
          </rPr>
          <t xml:space="preserve">
3/27 UPC贴纸 15315pcs</t>
        </r>
      </text>
    </comment>
    <comment ref="AI1242" authorId="0">
      <text>
        <r>
          <rPr>
            <b/>
            <sz val="9"/>
            <rFont val="宋体"/>
            <charset val="134"/>
          </rPr>
          <t>Administrator:</t>
        </r>
        <r>
          <rPr>
            <sz val="9"/>
            <rFont val="宋体"/>
            <charset val="134"/>
          </rPr>
          <t xml:space="preserve">
1403781 4/18 2745pcs
</t>
        </r>
      </text>
    </comment>
    <comment ref="AL1242" authorId="0">
      <text>
        <r>
          <rPr>
            <b/>
            <sz val="9"/>
            <rFont val="宋体"/>
            <charset val="134"/>
          </rPr>
          <t>Administrator:</t>
        </r>
        <r>
          <rPr>
            <sz val="9"/>
            <rFont val="宋体"/>
            <charset val="134"/>
          </rPr>
          <t xml:space="preserve">
3/27 UPC贴纸 2745pcs
</t>
        </r>
      </text>
    </comment>
    <comment ref="AI1243" authorId="0">
      <text>
        <r>
          <rPr>
            <b/>
            <sz val="9"/>
            <rFont val="宋体"/>
            <charset val="134"/>
          </rPr>
          <t>Administrator:</t>
        </r>
        <r>
          <rPr>
            <sz val="9"/>
            <rFont val="宋体"/>
            <charset val="134"/>
          </rPr>
          <t xml:space="preserve">
1405870 4/18 1196pcs
庞3b11</t>
        </r>
      </text>
    </comment>
    <comment ref="AL1243" authorId="0">
      <text>
        <r>
          <rPr>
            <b/>
            <sz val="9"/>
            <rFont val="宋体"/>
            <charset val="134"/>
          </rPr>
          <t>Administrator:</t>
        </r>
        <r>
          <rPr>
            <sz val="9"/>
            <rFont val="宋体"/>
            <charset val="134"/>
          </rPr>
          <t xml:space="preserve">
3/12 价格贴纸 1196pcs
4/14 客供外箱贴纸 92pcs
</t>
        </r>
      </text>
    </comment>
    <comment ref="AI1244" authorId="0">
      <text>
        <r>
          <rPr>
            <b/>
            <sz val="9"/>
            <rFont val="宋体"/>
            <charset val="134"/>
          </rPr>
          <t>Administrator:</t>
        </r>
        <r>
          <rPr>
            <sz val="9"/>
            <rFont val="宋体"/>
            <charset val="134"/>
          </rPr>
          <t xml:space="preserve">
1405876 4/18 600pcs
张b1</t>
        </r>
      </text>
    </comment>
    <comment ref="AL1244" authorId="0">
      <text>
        <r>
          <rPr>
            <b/>
            <sz val="9"/>
            <rFont val="宋体"/>
            <charset val="134"/>
          </rPr>
          <t>Administrator:</t>
        </r>
        <r>
          <rPr>
            <sz val="9"/>
            <rFont val="宋体"/>
            <charset val="134"/>
          </rPr>
          <t xml:space="preserve">
3/16 丹麦瑞典芬兰挪威警 600pcs
大语警告语贴 600pcs
小语警告语贴 4200pcs</t>
        </r>
      </text>
    </comment>
    <comment ref="AI1245" authorId="0">
      <text>
        <r>
          <rPr>
            <b/>
            <sz val="9"/>
            <rFont val="宋体"/>
            <charset val="134"/>
          </rPr>
          <t>Administrator:</t>
        </r>
        <r>
          <rPr>
            <sz val="9"/>
            <rFont val="宋体"/>
            <charset val="134"/>
          </rPr>
          <t xml:space="preserve">
1405901 4/46 14904pcs
405870 4/18 96pcs
庞3b16</t>
        </r>
      </text>
    </comment>
    <comment ref="AL1245" authorId="0">
      <text>
        <r>
          <rPr>
            <b/>
            <sz val="9"/>
            <rFont val="宋体"/>
            <charset val="134"/>
          </rPr>
          <t>Administrator:</t>
        </r>
        <r>
          <rPr>
            <sz val="9"/>
            <rFont val="宋体"/>
            <charset val="134"/>
          </rPr>
          <t xml:space="preserve">
3/25 賽人自色Cat.label 15000pcs
4/8 UPC条码贴纸 12000pcs
4/9 UPC条码贴纸15000pcs</t>
        </r>
      </text>
    </comment>
    <comment ref="AI1246" authorId="0">
      <text>
        <r>
          <rPr>
            <b/>
            <sz val="9"/>
            <rFont val="宋体"/>
            <charset val="134"/>
          </rPr>
          <t>Administrator:</t>
        </r>
        <r>
          <rPr>
            <sz val="9"/>
            <rFont val="宋体"/>
            <charset val="134"/>
          </rPr>
          <t xml:space="preserve">
1405876 4/18 988pcs张b3
1403782 4/18 52pcs
张b2</t>
        </r>
      </text>
    </comment>
    <comment ref="AL1246" authorId="0">
      <text>
        <r>
          <rPr>
            <b/>
            <sz val="9"/>
            <rFont val="宋体"/>
            <charset val="134"/>
          </rPr>
          <t>Administrator:</t>
        </r>
        <r>
          <rPr>
            <sz val="9"/>
            <rFont val="宋体"/>
            <charset val="134"/>
          </rPr>
          <t xml:space="preserve">
3/27 UPC贴纸 1040pcs
4/3 客供警语贴纸贴球底部 1080pcs
客供警语贴纸贴说明书 1080pcs
客供警语贴纸贴收藏指南 1080pcs
4/14 条码贴纸 32500pcs</t>
        </r>
      </text>
    </comment>
    <comment ref="AI1247" authorId="0">
      <text>
        <r>
          <rPr>
            <b/>
            <sz val="9"/>
            <rFont val="宋体"/>
            <charset val="134"/>
          </rPr>
          <t>Administrator:</t>
        </r>
        <r>
          <rPr>
            <sz val="9"/>
            <rFont val="宋体"/>
            <charset val="134"/>
          </rPr>
          <t xml:space="preserve">
1405876 4/18 1475pcs张b1
1403782 4/18 25pcs
</t>
        </r>
      </text>
    </comment>
    <comment ref="AL1247" authorId="0">
      <text>
        <r>
          <rPr>
            <b/>
            <sz val="9"/>
            <rFont val="宋体"/>
            <charset val="134"/>
          </rPr>
          <t>Administrator:</t>
        </r>
        <r>
          <rPr>
            <sz val="9"/>
            <rFont val="宋体"/>
            <charset val="134"/>
          </rPr>
          <t xml:space="preserve">
3/27 挪威语警语贴纸 1500pcs</t>
        </r>
      </text>
    </comment>
    <comment ref="AI1248" authorId="0">
      <text>
        <r>
          <rPr>
            <b/>
            <sz val="9"/>
            <rFont val="宋体"/>
            <charset val="134"/>
          </rPr>
          <t>Administrator:</t>
        </r>
        <r>
          <rPr>
            <sz val="9"/>
            <rFont val="宋体"/>
            <charset val="134"/>
          </rPr>
          <t xml:space="preserve">
1405853 4/17 15000pcs 张a6</t>
        </r>
      </text>
    </comment>
    <comment ref="AL1248" authorId="0">
      <text>
        <r>
          <rPr>
            <b/>
            <sz val="9"/>
            <rFont val="宋体"/>
            <charset val="134"/>
          </rPr>
          <t>Administrator:</t>
        </r>
        <r>
          <rPr>
            <sz val="9"/>
            <rFont val="宋体"/>
            <charset val="134"/>
          </rPr>
          <t xml:space="preserve">
4/7 UPC条码贴纸 15000pcs</t>
        </r>
      </text>
    </comment>
    <comment ref="AI1249" authorId="0">
      <text>
        <r>
          <rPr>
            <b/>
            <sz val="9"/>
            <rFont val="宋体"/>
            <charset val="134"/>
          </rPr>
          <t>Administrator:</t>
        </r>
        <r>
          <rPr>
            <sz val="9"/>
            <rFont val="宋体"/>
            <charset val="134"/>
          </rPr>
          <t xml:space="preserve">
1405853 4/17 14975pcs
张a6
1405859 4/17 25pcs</t>
        </r>
      </text>
    </comment>
    <comment ref="AL1249" authorId="0">
      <text>
        <r>
          <rPr>
            <b/>
            <sz val="9"/>
            <rFont val="宋体"/>
            <charset val="134"/>
          </rPr>
          <t>Administrator:</t>
        </r>
        <r>
          <rPr>
            <sz val="9"/>
            <rFont val="宋体"/>
            <charset val="134"/>
          </rPr>
          <t xml:space="preserve">
4/7 UPC条码贴纸 15000pcs
</t>
        </r>
      </text>
    </comment>
    <comment ref="AI1250" authorId="0">
      <text>
        <r>
          <rPr>
            <b/>
            <sz val="9"/>
            <rFont val="宋体"/>
            <charset val="134"/>
          </rPr>
          <t>Administrator:</t>
        </r>
        <r>
          <rPr>
            <sz val="9"/>
            <rFont val="宋体"/>
            <charset val="134"/>
          </rPr>
          <t xml:space="preserve">
1403782 4/18 4004pcs
庞3b17</t>
        </r>
      </text>
    </comment>
    <comment ref="AL1250" authorId="0">
      <text>
        <r>
          <rPr>
            <b/>
            <sz val="9"/>
            <rFont val="宋体"/>
            <charset val="134"/>
          </rPr>
          <t>Administrator:</t>
        </r>
        <r>
          <rPr>
            <sz val="9"/>
            <rFont val="宋体"/>
            <charset val="134"/>
          </rPr>
          <t xml:space="preserve">
3/30 PDQ贴纸含EAN条码贴纸 308pcs
4/3 进口商贴纸(含西班牙环保 4004pcs</t>
        </r>
      </text>
    </comment>
    <comment ref="AI1251" authorId="0">
      <text>
        <r>
          <rPr>
            <b/>
            <sz val="9"/>
            <rFont val="宋体"/>
            <charset val="134"/>
          </rPr>
          <t>Administrator:</t>
        </r>
        <r>
          <rPr>
            <sz val="9"/>
            <rFont val="宋体"/>
            <charset val="134"/>
          </rPr>
          <t xml:space="preserve">
1403790 4/20 2100pcs张a4</t>
        </r>
      </text>
    </comment>
    <comment ref="AL1251" authorId="0">
      <text>
        <r>
          <rPr>
            <b/>
            <sz val="9"/>
            <rFont val="宋体"/>
            <charset val="134"/>
          </rPr>
          <t>Administrator:</t>
        </r>
        <r>
          <rPr>
            <sz val="9"/>
            <rFont val="宋体"/>
            <charset val="134"/>
          </rPr>
          <t xml:space="preserve">
3/30 架贴纸含EAN条码 70pcs
4/3 进口商贴纸(含西班牙环保 2100pcs
</t>
        </r>
      </text>
    </comment>
    <comment ref="AI1252" authorId="0">
      <text>
        <r>
          <rPr>
            <b/>
            <sz val="9"/>
            <rFont val="宋体"/>
            <charset val="134"/>
          </rPr>
          <t>Administrator:</t>
        </r>
        <r>
          <rPr>
            <sz val="9"/>
            <rFont val="宋体"/>
            <charset val="134"/>
          </rPr>
          <t xml:space="preserve">
1405901 4/16 15000pcs庞3a24</t>
        </r>
      </text>
    </comment>
    <comment ref="AL1252" authorId="0">
      <text>
        <r>
          <rPr>
            <b/>
            <sz val="9"/>
            <rFont val="宋体"/>
            <charset val="134"/>
          </rPr>
          <t>Administrator:</t>
        </r>
        <r>
          <rPr>
            <sz val="9"/>
            <rFont val="宋体"/>
            <charset val="134"/>
          </rPr>
          <t xml:space="preserve">
4/8 进口商贴纸 15000pcs
UPC贴纸 15000pcs
外箱贴纸 600pcs</t>
        </r>
      </text>
    </comment>
    <comment ref="AI1253" authorId="0">
      <text>
        <r>
          <rPr>
            <b/>
            <sz val="9"/>
            <rFont val="宋体"/>
            <charset val="134"/>
          </rPr>
          <t>Administrator:</t>
        </r>
        <r>
          <rPr>
            <sz val="9"/>
            <rFont val="宋体"/>
            <charset val="134"/>
          </rPr>
          <t xml:space="preserve">
1405901 4/16 29125pcs庞3a29</t>
        </r>
      </text>
    </comment>
    <comment ref="AL1253" authorId="0">
      <text>
        <r>
          <rPr>
            <b/>
            <sz val="9"/>
            <rFont val="宋体"/>
            <charset val="134"/>
          </rPr>
          <t>Administrator:</t>
        </r>
        <r>
          <rPr>
            <sz val="9"/>
            <rFont val="宋体"/>
            <charset val="134"/>
          </rPr>
          <t xml:space="preserve">
3/30 客供外箱条码贴纸 1165pcs</t>
        </r>
      </text>
    </comment>
    <comment ref="AI1254" authorId="0">
      <text>
        <r>
          <rPr>
            <b/>
            <sz val="9"/>
            <rFont val="宋体"/>
            <charset val="134"/>
          </rPr>
          <t>Administrator:</t>
        </r>
        <r>
          <rPr>
            <sz val="9"/>
            <rFont val="宋体"/>
            <charset val="134"/>
          </rPr>
          <t xml:space="preserve">
1403808 4/21 4000pcs
张b2
</t>
        </r>
      </text>
    </comment>
    <comment ref="AL1254" authorId="0">
      <text>
        <r>
          <rPr>
            <b/>
            <sz val="9"/>
            <rFont val="宋体"/>
            <charset val="134"/>
          </rPr>
          <t>Administrator:</t>
        </r>
        <r>
          <rPr>
            <sz val="9"/>
            <rFont val="宋体"/>
            <charset val="134"/>
          </rPr>
          <t xml:space="preserve">
3/23 UPC条码贴纸 4000pcs
正面收藏指南贴纸 4000pcs
背面收藏指南贴纸 4000pcs
3/23 进口商贴纸 4000pcs</t>
        </r>
      </text>
    </comment>
    <comment ref="AI1255" authorId="0">
      <text>
        <r>
          <rPr>
            <b/>
            <sz val="9"/>
            <rFont val="宋体"/>
            <charset val="134"/>
          </rPr>
          <t>Administrator:</t>
        </r>
        <r>
          <rPr>
            <sz val="9"/>
            <rFont val="宋体"/>
            <charset val="134"/>
          </rPr>
          <t xml:space="preserve">
1403782 4/18 2964pcs
庞3b17</t>
        </r>
      </text>
    </comment>
    <comment ref="AI1256" authorId="0">
      <text>
        <r>
          <rPr>
            <b/>
            <sz val="9"/>
            <rFont val="宋体"/>
            <charset val="134"/>
          </rPr>
          <t>Administrator:</t>
        </r>
        <r>
          <rPr>
            <sz val="9"/>
            <rFont val="宋体"/>
            <charset val="134"/>
          </rPr>
          <t xml:space="preserve">
1403782 4/18 1729pcs
庞3b17
</t>
        </r>
      </text>
    </comment>
    <comment ref="AI1257" authorId="0">
      <text>
        <r>
          <rPr>
            <b/>
            <sz val="9"/>
            <rFont val="宋体"/>
            <charset val="134"/>
          </rPr>
          <t>Administrator:</t>
        </r>
        <r>
          <rPr>
            <sz val="9"/>
            <rFont val="宋体"/>
            <charset val="134"/>
          </rPr>
          <t xml:space="preserve">
1406317 4/18 6048pcs
张b11406318 4/19 7452pcs</t>
        </r>
      </text>
    </comment>
    <comment ref="AL1257" authorId="0">
      <text>
        <r>
          <rPr>
            <b/>
            <sz val="9"/>
            <rFont val="宋体"/>
            <charset val="134"/>
          </rPr>
          <t>Administrator:</t>
        </r>
        <r>
          <rPr>
            <sz val="9"/>
            <rFont val="宋体"/>
            <charset val="134"/>
          </rPr>
          <t xml:space="preserve">
3/13 客供芯片码贴纸 13500pcs
3/30 颜色贴纸 同po贴纸共上 23700
空白贴纸 同po贴纸共上 23700pcs
空白贴纸 共上23700pcs
4/10 3c贴纸2 共上23700pcs</t>
        </r>
      </text>
    </comment>
    <comment ref="AI1258" authorId="0">
      <text>
        <r>
          <rPr>
            <b/>
            <sz val="9"/>
            <rFont val="宋体"/>
            <charset val="134"/>
          </rPr>
          <t>Administrator:</t>
        </r>
        <r>
          <rPr>
            <sz val="9"/>
            <rFont val="宋体"/>
            <charset val="134"/>
          </rPr>
          <t xml:space="preserve">
1406318 4/19 756pcs
1406229 4/18 1134pcs
1406231 4/18 1110pcs</t>
        </r>
      </text>
    </comment>
    <comment ref="AL1258" authorId="0">
      <text>
        <r>
          <rPr>
            <b/>
            <sz val="9"/>
            <rFont val="宋体"/>
            <charset val="134"/>
          </rPr>
          <t>Administrator:</t>
        </r>
        <r>
          <rPr>
            <sz val="9"/>
            <rFont val="宋体"/>
            <charset val="134"/>
          </rPr>
          <t xml:space="preserve">
3/13 客供芯片码贴纸 3000pcs
</t>
        </r>
      </text>
    </comment>
    <comment ref="AI1259" authorId="0">
      <text>
        <r>
          <rPr>
            <b/>
            <sz val="9"/>
            <rFont val="宋体"/>
            <charset val="134"/>
          </rPr>
          <t>Administrator:</t>
        </r>
        <r>
          <rPr>
            <sz val="9"/>
            <rFont val="宋体"/>
            <charset val="134"/>
          </rPr>
          <t xml:space="preserve">
1403808 4/21 5005pcs
张b5</t>
        </r>
      </text>
    </comment>
    <comment ref="AL1259" authorId="0">
      <text>
        <r>
          <rPr>
            <b/>
            <sz val="9"/>
            <rFont val="宋体"/>
            <charset val="134"/>
          </rPr>
          <t>Administrator:</t>
        </r>
        <r>
          <rPr>
            <sz val="9"/>
            <rFont val="宋体"/>
            <charset val="134"/>
          </rPr>
          <t xml:space="preserve">
3/13 客供防窜码贴纸1拖13 385pcs
3/30 条码贴纸 5005pcs
</t>
        </r>
      </text>
    </comment>
    <comment ref="AI1260" authorId="0">
      <text>
        <r>
          <rPr>
            <b/>
            <sz val="9"/>
            <rFont val="宋体"/>
            <charset val="134"/>
          </rPr>
          <t>Administrator:</t>
        </r>
        <r>
          <rPr>
            <sz val="9"/>
            <rFont val="宋体"/>
            <charset val="134"/>
          </rPr>
          <t xml:space="preserve">
1403826 4/21 492pcs张b1</t>
        </r>
      </text>
    </comment>
    <comment ref="AL1260" authorId="0">
      <text>
        <r>
          <rPr>
            <b/>
            <sz val="9"/>
            <rFont val="宋体"/>
            <charset val="134"/>
          </rPr>
          <t>Administrator:</t>
        </r>
        <r>
          <rPr>
            <sz val="9"/>
            <rFont val="宋体"/>
            <charset val="134"/>
          </rPr>
          <t xml:space="preserve">
3/27 空白贴纸 584pcs
环保标贴纸 492pcs
亚马逊外箱贴纸 41pcs
</t>
        </r>
      </text>
    </comment>
    <comment ref="AI1261" authorId="0">
      <text>
        <r>
          <rPr>
            <b/>
            <sz val="9"/>
            <rFont val="宋体"/>
            <charset val="134"/>
          </rPr>
          <t>Administrator:</t>
        </r>
        <r>
          <rPr>
            <sz val="9"/>
            <rFont val="宋体"/>
            <charset val="134"/>
          </rPr>
          <t xml:space="preserve">
1403828 4/22 3900pcs
</t>
        </r>
      </text>
    </comment>
    <comment ref="AL1261" authorId="0">
      <text>
        <r>
          <rPr>
            <b/>
            <sz val="9"/>
            <rFont val="宋体"/>
            <charset val="134"/>
          </rPr>
          <t>Administrator:</t>
        </r>
        <r>
          <rPr>
            <sz val="9"/>
            <rFont val="宋体"/>
            <charset val="134"/>
          </rPr>
          <t xml:space="preserve">
3/27 空白贴纸 0780pcs
环保标贴纸 3900pcs
</t>
        </r>
      </text>
    </comment>
    <comment ref="AI1262" authorId="0">
      <text>
        <r>
          <rPr>
            <b/>
            <sz val="9"/>
            <rFont val="宋体"/>
            <charset val="134"/>
          </rPr>
          <t>Administrator:</t>
        </r>
        <r>
          <rPr>
            <sz val="9"/>
            <rFont val="宋体"/>
            <charset val="134"/>
          </rPr>
          <t xml:space="preserve">
1403826 4/21 492pcs
张a2</t>
        </r>
      </text>
    </comment>
    <comment ref="AL1262" authorId="0">
      <text>
        <r>
          <rPr>
            <b/>
            <sz val="9"/>
            <rFont val="宋体"/>
            <charset val="134"/>
          </rPr>
          <t>Administrator:</t>
        </r>
        <r>
          <rPr>
            <sz val="9"/>
            <rFont val="宋体"/>
            <charset val="134"/>
          </rPr>
          <t xml:space="preserve">
3/27 空白贴纸 984pcs
环保标贴纸 492pcs
3/30 亚马逊外箱贴纸 41pcs
4/7 亚马逊外箱贴纸 
</t>
        </r>
      </text>
    </comment>
    <comment ref="AI1263" authorId="0">
      <text>
        <r>
          <rPr>
            <b/>
            <sz val="9"/>
            <rFont val="宋体"/>
            <charset val="134"/>
          </rPr>
          <t>Administrator:</t>
        </r>
        <r>
          <rPr>
            <sz val="9"/>
            <rFont val="宋体"/>
            <charset val="134"/>
          </rPr>
          <t xml:space="preserve">
1403828 4/22 4260pcs
</t>
        </r>
      </text>
    </comment>
    <comment ref="AL1263" authorId="0">
      <text>
        <r>
          <rPr>
            <b/>
            <sz val="9"/>
            <rFont val="宋体"/>
            <charset val="134"/>
          </rPr>
          <t>Administrator:</t>
        </r>
        <r>
          <rPr>
            <sz val="9"/>
            <rFont val="宋体"/>
            <charset val="134"/>
          </rPr>
          <t xml:space="preserve">
3/27 空白贴纸 4920pcs
环保标贴纸 4260pcs
4/7 亚马逊外箱贴纸 355pcs
</t>
        </r>
      </text>
    </comment>
    <comment ref="AI1264" authorId="0">
      <text>
        <r>
          <rPr>
            <b/>
            <sz val="9"/>
            <rFont val="宋体"/>
            <charset val="134"/>
          </rPr>
          <t>Administrator:</t>
        </r>
        <r>
          <rPr>
            <sz val="9"/>
            <rFont val="宋体"/>
            <charset val="134"/>
          </rPr>
          <t xml:space="preserve">
1403828 4/22 2004pcs
</t>
        </r>
      </text>
    </comment>
    <comment ref="AL1264" authorId="0">
      <text>
        <r>
          <rPr>
            <b/>
            <sz val="9"/>
            <rFont val="宋体"/>
            <charset val="134"/>
          </rPr>
          <t>Administrator:</t>
        </r>
        <r>
          <rPr>
            <sz val="9"/>
            <rFont val="宋体"/>
            <charset val="134"/>
          </rPr>
          <t xml:space="preserve">
3/10 客供价格贴纸 1100pcs
</t>
        </r>
      </text>
    </comment>
    <comment ref="AI1265" authorId="0">
      <text>
        <r>
          <rPr>
            <b/>
            <sz val="9"/>
            <rFont val="宋体"/>
            <charset val="134"/>
          </rPr>
          <t>Administrator:</t>
        </r>
        <r>
          <rPr>
            <sz val="9"/>
            <rFont val="宋体"/>
            <charset val="134"/>
          </rPr>
          <t xml:space="preserve">
1403808 4/21 9126pcs张b5
1403830 4/22 52pcsb栋雨棚
1403806 4/21 3822pcs  王b雨棚</t>
        </r>
      </text>
    </comment>
    <comment ref="AL1265" authorId="0">
      <text>
        <r>
          <rPr>
            <b/>
            <sz val="9"/>
            <rFont val="宋体"/>
            <charset val="134"/>
          </rPr>
          <t>Administrator:</t>
        </r>
        <r>
          <rPr>
            <sz val="9"/>
            <rFont val="宋体"/>
            <charset val="134"/>
          </rPr>
          <t xml:space="preserve">
3/30 条码贴纸 13000pcs
4/21 客供防窜码贴纸1拖13 1000pcs</t>
        </r>
      </text>
    </comment>
    <comment ref="AI1266" authorId="0">
      <text>
        <r>
          <rPr>
            <b/>
            <sz val="9"/>
            <rFont val="宋体"/>
            <charset val="134"/>
          </rPr>
          <t>Administrator:</t>
        </r>
        <r>
          <rPr>
            <sz val="9"/>
            <rFont val="宋体"/>
            <charset val="134"/>
          </rPr>
          <t xml:space="preserve">
1403828 4/22 7008
pcs
</t>
        </r>
      </text>
    </comment>
    <comment ref="AL1266" authorId="0">
      <text>
        <r>
          <rPr>
            <b/>
            <sz val="9"/>
            <rFont val="宋体"/>
            <charset val="134"/>
          </rPr>
          <t>Administrator:</t>
        </r>
        <r>
          <rPr>
            <sz val="9"/>
            <rFont val="宋体"/>
            <charset val="134"/>
          </rPr>
          <t xml:space="preserve">
3/18 客供价格贴纸 17350pcs
 </t>
        </r>
      </text>
    </comment>
    <comment ref="AI1267" authorId="0">
      <text>
        <r>
          <rPr>
            <b/>
            <sz val="9"/>
            <rFont val="宋体"/>
            <charset val="134"/>
          </rPr>
          <t>Administrator:</t>
        </r>
        <r>
          <rPr>
            <sz val="9"/>
            <rFont val="宋体"/>
            <charset val="134"/>
          </rPr>
          <t xml:space="preserve">
1406294 4/11 3640pcs
1406295 4/11 1760pcs</t>
        </r>
      </text>
    </comment>
    <comment ref="AI1268" authorId="0">
      <text>
        <r>
          <rPr>
            <b/>
            <sz val="9"/>
            <rFont val="宋体"/>
            <charset val="134"/>
          </rPr>
          <t>Administrator:</t>
        </r>
        <r>
          <rPr>
            <sz val="9"/>
            <rFont val="宋体"/>
            <charset val="134"/>
          </rPr>
          <t xml:space="preserve">
1406298 4/13 5400pcs</t>
        </r>
      </text>
    </comment>
    <comment ref="AI1269" authorId="0">
      <text>
        <r>
          <rPr>
            <b/>
            <sz val="9"/>
            <rFont val="宋体"/>
            <charset val="134"/>
          </rPr>
          <t>Administrator:</t>
        </r>
        <r>
          <rPr>
            <sz val="9"/>
            <rFont val="宋体"/>
            <charset val="134"/>
          </rPr>
          <t xml:space="preserve">
1406218 4/22 960pcs张b2</t>
        </r>
      </text>
    </comment>
    <comment ref="AL1269" authorId="0">
      <text>
        <r>
          <rPr>
            <b/>
            <sz val="9"/>
            <rFont val="宋体"/>
            <charset val="134"/>
          </rPr>
          <t xml:space="preserve">Administrator:
</t>
        </r>
        <r>
          <rPr>
            <sz val="9"/>
            <rFont val="宋体"/>
            <charset val="134"/>
          </rPr>
          <t>3/27 UPC贴纸 960pcs
空白贴纸 1920pcss
4/3 客供中文警告说明书 990pcs
客供警语贴纸贴球底部 1986pcs
客供警语贴纸贴说明书 1986pcs</t>
        </r>
      </text>
    </comment>
    <comment ref="AI1270" authorId="0">
      <text>
        <r>
          <rPr>
            <b/>
            <sz val="9"/>
            <rFont val="宋体"/>
            <charset val="134"/>
          </rPr>
          <t>Administrator:</t>
        </r>
        <r>
          <rPr>
            <sz val="9"/>
            <rFont val="宋体"/>
            <charset val="134"/>
          </rPr>
          <t xml:space="preserve">
1403841 4/22 12400pcs庞3b17</t>
        </r>
      </text>
    </comment>
    <comment ref="AL1270" authorId="0">
      <text>
        <r>
          <rPr>
            <b/>
            <sz val="9"/>
            <rFont val="宋体"/>
            <charset val="134"/>
          </rPr>
          <t>Administrator:</t>
        </r>
        <r>
          <rPr>
            <sz val="9"/>
            <rFont val="宋体"/>
            <charset val="134"/>
          </rPr>
          <t xml:space="preserve">
4/9 进口商贴纸 12400pcs
UPC贴纸 12400pcs</t>
        </r>
      </text>
    </comment>
    <comment ref="AI1271" authorId="0">
      <text>
        <r>
          <rPr>
            <b/>
            <sz val="9"/>
            <rFont val="宋体"/>
            <charset val="134"/>
          </rPr>
          <t>Administrator:</t>
        </r>
        <r>
          <rPr>
            <sz val="9"/>
            <rFont val="宋体"/>
            <charset val="134"/>
          </rPr>
          <t xml:space="preserve">
1403841 4/22 2015pcs直走</t>
        </r>
      </text>
    </comment>
    <comment ref="AI1272" authorId="0">
      <text>
        <r>
          <rPr>
            <b/>
            <sz val="9"/>
            <rFont val="宋体"/>
            <charset val="134"/>
          </rPr>
          <t>Administrator:</t>
        </r>
        <r>
          <rPr>
            <sz val="9"/>
            <rFont val="宋体"/>
            <charset val="134"/>
          </rPr>
          <t xml:space="preserve">
1403848 4/22 5500pcs
张a2</t>
        </r>
      </text>
    </comment>
    <comment ref="AI1273" authorId="0">
      <text>
        <r>
          <rPr>
            <b/>
            <sz val="9"/>
            <rFont val="宋体"/>
            <charset val="134"/>
          </rPr>
          <t>Administrator:</t>
        </r>
        <r>
          <rPr>
            <sz val="9"/>
            <rFont val="宋体"/>
            <charset val="134"/>
          </rPr>
          <t xml:space="preserve">
1406356 3/20 5400pcs</t>
        </r>
      </text>
    </comment>
    <comment ref="AI1274" authorId="0">
      <text>
        <r>
          <rPr>
            <b/>
            <sz val="9"/>
            <rFont val="宋体"/>
            <charset val="134"/>
          </rPr>
          <t>Administrator:</t>
        </r>
        <r>
          <rPr>
            <sz val="9"/>
            <rFont val="宋体"/>
            <charset val="134"/>
          </rPr>
          <t xml:space="preserve">
1406355 3/19 4200pcs
1406356 3/20 1200pcs</t>
        </r>
      </text>
    </comment>
    <comment ref="AI1275" authorId="0">
      <text>
        <r>
          <rPr>
            <b/>
            <sz val="9"/>
            <rFont val="宋体"/>
            <charset val="134"/>
          </rPr>
          <t>Administrator:</t>
        </r>
        <r>
          <rPr>
            <sz val="9"/>
            <rFont val="宋体"/>
            <charset val="134"/>
          </rPr>
          <t xml:space="preserve">
4001627 4/9 130pcvs</t>
        </r>
      </text>
    </comment>
    <comment ref="AI1276" authorId="0">
      <text>
        <r>
          <rPr>
            <b/>
            <sz val="9"/>
            <rFont val="宋体"/>
            <charset val="134"/>
          </rPr>
          <t>Administrator:</t>
        </r>
        <r>
          <rPr>
            <sz val="9"/>
            <rFont val="宋体"/>
            <charset val="134"/>
          </rPr>
          <t xml:space="preserve">
4001627 4/9 170pcvs
</t>
        </r>
      </text>
    </comment>
    <comment ref="AI1277" authorId="0">
      <text>
        <r>
          <rPr>
            <b/>
            <sz val="9"/>
            <rFont val="宋体"/>
            <charset val="134"/>
          </rPr>
          <t>Administrator:</t>
        </r>
        <r>
          <rPr>
            <sz val="9"/>
            <rFont val="宋体"/>
            <charset val="134"/>
          </rPr>
          <t xml:space="preserve">
1406306 4/15 2196pcs</t>
        </r>
      </text>
    </comment>
    <comment ref="AL1277" authorId="0">
      <text>
        <r>
          <rPr>
            <b/>
            <sz val="9"/>
            <rFont val="宋体"/>
            <charset val="134"/>
          </rPr>
          <t>Administrator:</t>
        </r>
        <r>
          <rPr>
            <sz val="9"/>
            <rFont val="宋体"/>
            <charset val="134"/>
          </rPr>
          <t xml:space="preserve">
3/18 价格贴纸 2344pcs
条码贴纸 4392pcs
空白贴纸: 4392pcs
德语意大利警告 2196pcs
4/8 德意荷警语贴纸 2196pcs</t>
        </r>
      </text>
    </comment>
    <comment ref="AI1278" authorId="0">
      <text>
        <r>
          <rPr>
            <b/>
            <sz val="9"/>
            <rFont val="宋体"/>
            <charset val="134"/>
          </rPr>
          <t>Administrator:</t>
        </r>
        <r>
          <rPr>
            <sz val="9"/>
            <rFont val="宋体"/>
            <charset val="134"/>
          </rPr>
          <t xml:space="preserve">
1403892 4/23 27986pcs
1403900 4/23 7020pcs</t>
        </r>
      </text>
    </comment>
    <comment ref="AL1278" authorId="0">
      <text>
        <r>
          <rPr>
            <b/>
            <sz val="9"/>
            <rFont val="宋体"/>
            <charset val="134"/>
          </rPr>
          <t>Administrator:</t>
        </r>
        <r>
          <rPr>
            <sz val="9"/>
            <rFont val="宋体"/>
            <charset val="134"/>
          </rPr>
          <t xml:space="preserve">
3/13 客供防窜码贴纸1拖13 2662pcs
3/30 条码贴纸34606pcs</t>
        </r>
      </text>
    </comment>
    <comment ref="AI1279" authorId="0">
      <text>
        <r>
          <rPr>
            <b/>
            <sz val="9"/>
            <rFont val="宋体"/>
            <charset val="134"/>
          </rPr>
          <t>Administrator:</t>
        </r>
        <r>
          <rPr>
            <sz val="9"/>
            <rFont val="宋体"/>
            <charset val="134"/>
          </rPr>
          <t xml:space="preserve">
1403852 4/25 1400pcs
张b3</t>
        </r>
      </text>
    </comment>
    <comment ref="AL1279" authorId="0">
      <text>
        <r>
          <rPr>
            <b/>
            <sz val="9"/>
            <rFont val="宋体"/>
            <charset val="134"/>
          </rPr>
          <t>Administrator:</t>
        </r>
        <r>
          <rPr>
            <sz val="9"/>
            <rFont val="宋体"/>
            <charset val="134"/>
          </rPr>
          <t xml:space="preserve">
4/8 进口商贴纸 1400pcs
UPC贴纸 1400pcs
</t>
        </r>
      </text>
    </comment>
    <comment ref="AI1280" authorId="0">
      <text>
        <r>
          <rPr>
            <b/>
            <sz val="9"/>
            <rFont val="宋体"/>
            <charset val="134"/>
          </rPr>
          <t>Administrator:</t>
        </r>
        <r>
          <rPr>
            <sz val="9"/>
            <rFont val="宋体"/>
            <charset val="134"/>
          </rPr>
          <t xml:space="preserve">
1403852 4/25 1150pcs张a3
1403857 4/25 50pcs
</t>
        </r>
      </text>
    </comment>
    <comment ref="AL1280" authorId="0">
      <text>
        <r>
          <rPr>
            <b/>
            <sz val="9"/>
            <rFont val="宋体"/>
            <charset val="134"/>
          </rPr>
          <t>Administrator:</t>
        </r>
        <r>
          <rPr>
            <sz val="9"/>
            <rFont val="宋体"/>
            <charset val="134"/>
          </rPr>
          <t xml:space="preserve">
4/8 进口商贴纸 1200pcs
UPC贴纸 2600pcs</t>
        </r>
      </text>
    </comment>
    <comment ref="AI1281" authorId="0">
      <text>
        <r>
          <rPr>
            <b/>
            <sz val="9"/>
            <rFont val="宋体"/>
            <charset val="134"/>
          </rPr>
          <t>Administrator:</t>
        </r>
        <r>
          <rPr>
            <sz val="9"/>
            <rFont val="宋体"/>
            <charset val="134"/>
          </rPr>
          <t xml:space="preserve">
2100202 4/28 10pcs</t>
        </r>
      </text>
    </comment>
    <comment ref="AI1282" authorId="0">
      <text>
        <r>
          <rPr>
            <b/>
            <sz val="9"/>
            <rFont val="宋体"/>
            <charset val="134"/>
          </rPr>
          <t>Administrator:</t>
        </r>
        <r>
          <rPr>
            <sz val="9"/>
            <rFont val="宋体"/>
            <charset val="134"/>
          </rPr>
          <t xml:space="preserve">
1406202 4/24 160pcs张c1
1406205 4/25 17920pcs庞3a23</t>
        </r>
      </text>
    </comment>
    <comment ref="AI1283" authorId="0">
      <text>
        <r>
          <rPr>
            <b/>
            <sz val="9"/>
            <rFont val="宋体"/>
            <charset val="134"/>
          </rPr>
          <t>Administrator:</t>
        </r>
        <r>
          <rPr>
            <sz val="9"/>
            <rFont val="宋体"/>
            <charset val="134"/>
          </rPr>
          <t xml:space="preserve">
4001644 4/24 30pcs
王军</t>
        </r>
      </text>
    </comment>
    <comment ref="AI1284" authorId="0">
      <text>
        <r>
          <rPr>
            <b/>
            <sz val="9"/>
            <rFont val="宋体"/>
            <charset val="134"/>
          </rPr>
          <t>Administrator:</t>
        </r>
        <r>
          <rPr>
            <sz val="9"/>
            <rFont val="宋体"/>
            <charset val="134"/>
          </rPr>
          <t xml:space="preserve">
1406192 4/27 504pcs张a3</t>
        </r>
      </text>
    </comment>
    <comment ref="AL1284" authorId="0">
      <text>
        <r>
          <rPr>
            <b/>
            <sz val="9"/>
            <rFont val="宋体"/>
            <charset val="134"/>
          </rPr>
          <t>Administrator:</t>
        </r>
        <r>
          <rPr>
            <sz val="9"/>
            <rFont val="宋体"/>
            <charset val="134"/>
          </rPr>
          <t xml:space="preserve">
3/27 空白贴纸 1008pcs
获奖贴纸 504pcs
3/30 亚马逊外箱贴纸 84pcs</t>
        </r>
      </text>
    </comment>
    <comment ref="AI1285" authorId="0">
      <text>
        <r>
          <rPr>
            <b/>
            <sz val="9"/>
            <rFont val="宋体"/>
            <charset val="134"/>
          </rPr>
          <t>Administrator:</t>
        </r>
        <r>
          <rPr>
            <sz val="9"/>
            <rFont val="宋体"/>
            <charset val="134"/>
          </rPr>
          <t xml:space="preserve">
</t>
        </r>
        <r>
          <rPr>
            <sz val="16"/>
            <rFont val="宋体"/>
            <charset val="134"/>
          </rPr>
          <t>1406239 4/21 560pcs
1406237 4/21 1400pcs
1406217 4/22 840pcs
1406220 4/22 2520pcs
1406227 4/24 80pcs</t>
        </r>
      </text>
    </comment>
    <comment ref="AI1286" authorId="0">
      <text>
        <r>
          <rPr>
            <b/>
            <sz val="9"/>
            <rFont val="宋体"/>
            <charset val="134"/>
          </rPr>
          <t>Administrator:</t>
        </r>
        <r>
          <rPr>
            <sz val="9"/>
            <rFont val="宋体"/>
            <charset val="134"/>
          </rPr>
          <t xml:space="preserve">
1406218 4/22 1600pcs
</t>
        </r>
      </text>
    </comment>
    <comment ref="AL1286" authorId="0">
      <text>
        <r>
          <rPr>
            <b/>
            <sz val="9"/>
            <rFont val="宋体"/>
            <charset val="134"/>
          </rPr>
          <t>Administrator:</t>
        </r>
        <r>
          <rPr>
            <sz val="9"/>
            <rFont val="宋体"/>
            <charset val="134"/>
          </rPr>
          <t xml:space="preserve">
3/10 客供价格贴纸 1680pcs
</t>
        </r>
      </text>
    </comment>
    <comment ref="AI1287" authorId="0">
      <text>
        <r>
          <rPr>
            <b/>
            <sz val="9"/>
            <rFont val="宋体"/>
            <charset val="134"/>
          </rPr>
          <t>Administrator:</t>
        </r>
        <r>
          <rPr>
            <sz val="9"/>
            <rFont val="宋体"/>
            <charset val="134"/>
          </rPr>
          <t xml:space="preserve">
1403666 4/28 15012pcs
王4a7
1403677 4/28 6168pcs
 张b14</t>
        </r>
      </text>
    </comment>
    <comment ref="AL1287" authorId="0">
      <text>
        <r>
          <rPr>
            <b/>
            <sz val="9"/>
            <rFont val="宋体"/>
            <charset val="134"/>
          </rPr>
          <t>Administrator:</t>
        </r>
        <r>
          <rPr>
            <sz val="9"/>
            <rFont val="宋体"/>
            <charset val="134"/>
          </rPr>
          <t xml:space="preserve">
3/3 客供白色防盗贴纸 21180pcs
3/30 彩色产品贴纸 7060pcs</t>
        </r>
      </text>
    </comment>
    <comment ref="AI1288" authorId="0">
      <text>
        <r>
          <rPr>
            <b/>
            <sz val="9"/>
            <rFont val="宋体"/>
            <charset val="134"/>
          </rPr>
          <t>Administrator:</t>
        </r>
        <r>
          <rPr>
            <sz val="9"/>
            <rFont val="宋体"/>
            <charset val="134"/>
          </rPr>
          <t xml:space="preserve">
1403852 4/25 1200pcs
张a3</t>
        </r>
      </text>
    </comment>
    <comment ref="AL1288" authorId="0">
      <text>
        <r>
          <rPr>
            <b/>
            <sz val="9"/>
            <rFont val="宋体"/>
            <charset val="134"/>
          </rPr>
          <t>Administrator:</t>
        </r>
        <r>
          <rPr>
            <sz val="9"/>
            <rFont val="宋体"/>
            <charset val="134"/>
          </rPr>
          <t xml:space="preserve">
3/30 客供价格贴纸: 1200pcs</t>
        </r>
      </text>
    </comment>
    <comment ref="AI1289" authorId="0">
      <text>
        <r>
          <rPr>
            <b/>
            <sz val="9"/>
            <rFont val="宋体"/>
            <charset val="134"/>
          </rPr>
          <t>Administrator:</t>
        </r>
        <r>
          <rPr>
            <sz val="9"/>
            <rFont val="宋体"/>
            <charset val="134"/>
          </rPr>
          <t xml:space="preserve">
1403852 4/25 324pcs
张a6</t>
        </r>
      </text>
    </comment>
    <comment ref="AL1289" authorId="0">
      <text>
        <r>
          <rPr>
            <b/>
            <sz val="9"/>
            <rFont val="宋体"/>
            <charset val="134"/>
          </rPr>
          <t>Administrator:</t>
        </r>
        <r>
          <rPr>
            <sz val="9"/>
            <rFont val="宋体"/>
            <charset val="134"/>
          </rPr>
          <t xml:space="preserve">
3/30 客供价格贴纸: 357pcs
</t>
        </r>
      </text>
    </comment>
    <comment ref="AI1290" authorId="0">
      <text>
        <r>
          <rPr>
            <b/>
            <sz val="9"/>
            <rFont val="宋体"/>
            <charset val="134"/>
          </rPr>
          <t>Administrator:</t>
        </r>
        <r>
          <rPr>
            <sz val="9"/>
            <rFont val="宋体"/>
            <charset val="134"/>
          </rPr>
          <t xml:space="preserve">
1403852 4/25 2500pcs
</t>
        </r>
      </text>
    </comment>
    <comment ref="AL1290" authorId="0">
      <text>
        <r>
          <rPr>
            <b/>
            <sz val="9"/>
            <rFont val="宋体"/>
            <charset val="134"/>
          </rPr>
          <t>Administrator:
3/30 收缩膜日语警语贴纸 2500
说明书日语警语贴纸 2500
4/10 条码贴纸 5000pcs</t>
        </r>
      </text>
    </comment>
    <comment ref="AI1291" authorId="0">
      <text>
        <r>
          <rPr>
            <b/>
            <sz val="9"/>
            <rFont val="宋体"/>
            <charset val="134"/>
          </rPr>
          <t>Administrator:</t>
        </r>
        <r>
          <rPr>
            <sz val="9"/>
            <rFont val="宋体"/>
            <charset val="134"/>
          </rPr>
          <t xml:space="preserve">
1403892 4/23 2600pcs
</t>
        </r>
      </text>
    </comment>
    <comment ref="AL1291" authorId="0">
      <text>
        <r>
          <rPr>
            <b/>
            <sz val="9"/>
            <rFont val="宋体"/>
            <charset val="134"/>
          </rPr>
          <t>Administrator:</t>
        </r>
        <r>
          <rPr>
            <sz val="9"/>
            <rFont val="宋体"/>
            <charset val="134"/>
          </rPr>
          <t xml:space="preserve">
3/30 条码贴纸 2600pcs
4/18 客供防窜码贴纸1拖13 200pcs
4/21 客供防窜码贴纸1拖13 200pcs
</t>
        </r>
      </text>
    </comment>
    <comment ref="AI1292" authorId="0">
      <text>
        <r>
          <rPr>
            <b/>
            <sz val="9"/>
            <rFont val="宋体"/>
            <charset val="134"/>
          </rPr>
          <t>Administrator:</t>
        </r>
        <r>
          <rPr>
            <sz val="9"/>
            <rFont val="宋体"/>
            <charset val="134"/>
          </rPr>
          <t xml:space="preserve">
1406202 4/24 1512pcs张c1
1406204 4/25 4488pcs张c1</t>
        </r>
      </text>
    </comment>
    <comment ref="AL1292" authorId="0">
      <text>
        <r>
          <rPr>
            <b/>
            <sz val="9"/>
            <rFont val="宋体"/>
            <charset val="134"/>
          </rPr>
          <t>Administrator:</t>
        </r>
        <r>
          <rPr>
            <sz val="9"/>
            <rFont val="宋体"/>
            <charset val="134"/>
          </rPr>
          <t xml:space="preserve">
3/13 客供芯片码贴纸 6000pcs
</t>
        </r>
      </text>
    </comment>
    <comment ref="AI1293" authorId="0">
      <text>
        <r>
          <rPr>
            <b/>
            <sz val="9"/>
            <rFont val="宋体"/>
            <charset val="134"/>
          </rPr>
          <t>Administrator:</t>
        </r>
        <r>
          <rPr>
            <sz val="9"/>
            <rFont val="宋体"/>
            <charset val="134"/>
          </rPr>
          <t xml:space="preserve">
1406202 4/24 1200pcs
张c1</t>
        </r>
      </text>
    </comment>
    <comment ref="AL1293" authorId="0">
      <text>
        <r>
          <rPr>
            <b/>
            <sz val="9"/>
            <rFont val="宋体"/>
            <charset val="134"/>
          </rPr>
          <t>Administrator:</t>
        </r>
        <r>
          <rPr>
            <sz val="9"/>
            <rFont val="宋体"/>
            <charset val="134"/>
          </rPr>
          <t xml:space="preserve">
3/13 客供芯片码贴纸 1200pcs
</t>
        </r>
      </text>
    </comment>
    <comment ref="AI1294" authorId="0">
      <text>
        <r>
          <rPr>
            <b/>
            <sz val="9"/>
            <rFont val="宋体"/>
            <charset val="134"/>
          </rPr>
          <t>Administrator:</t>
        </r>
        <r>
          <rPr>
            <sz val="9"/>
            <rFont val="宋体"/>
            <charset val="134"/>
          </rPr>
          <t xml:space="preserve">
1406197 4/27 6000pcs张b14</t>
        </r>
      </text>
    </comment>
    <comment ref="AL1294" authorId="0">
      <text>
        <r>
          <rPr>
            <b/>
            <sz val="9"/>
            <rFont val="宋体"/>
            <charset val="134"/>
          </rPr>
          <t>Administrator:</t>
        </r>
        <r>
          <rPr>
            <sz val="9"/>
            <rFont val="宋体"/>
            <charset val="134"/>
          </rPr>
          <t xml:space="preserve">
3/18 客供价格贴纸 6300pcs
</t>
        </r>
      </text>
    </comment>
    <comment ref="AI1295" authorId="0">
      <text>
        <r>
          <rPr>
            <b/>
            <sz val="9"/>
            <rFont val="宋体"/>
            <charset val="134"/>
          </rPr>
          <t>Administrator:</t>
        </r>
        <r>
          <rPr>
            <sz val="9"/>
            <rFont val="宋体"/>
            <charset val="134"/>
          </rPr>
          <t xml:space="preserve">
1403859 4/25 1500pcs庞3b15</t>
        </r>
      </text>
    </comment>
    <comment ref="AL1295" authorId="0">
      <text>
        <r>
          <rPr>
            <b/>
            <sz val="9"/>
            <rFont val="宋体"/>
            <charset val="134"/>
          </rPr>
          <t>Administrator:</t>
        </r>
        <r>
          <rPr>
            <sz val="9"/>
            <rFont val="宋体"/>
            <charset val="134"/>
          </rPr>
          <t xml:space="preserve">
3/30 丹麦瑞典芬兰挪威警告语 1500pcs
大语警告语贴 1500
小语警告语贴 10500
</t>
        </r>
      </text>
    </comment>
    <comment ref="AI1296" authorId="0">
      <text>
        <r>
          <rPr>
            <b/>
            <sz val="9"/>
            <rFont val="宋体"/>
            <charset val="134"/>
          </rPr>
          <t>Administrator:</t>
        </r>
        <r>
          <rPr>
            <sz val="9"/>
            <rFont val="宋体"/>
            <charset val="134"/>
          </rPr>
          <t xml:space="preserve">
1403859 4/25 1000pcs
庞3b14</t>
        </r>
      </text>
    </comment>
    <comment ref="AL1296" authorId="0">
      <text>
        <r>
          <rPr>
            <b/>
            <sz val="9"/>
            <rFont val="宋体"/>
            <charset val="134"/>
          </rPr>
          <t>Administrator:</t>
        </r>
        <r>
          <rPr>
            <sz val="9"/>
            <rFont val="宋体"/>
            <charset val="134"/>
          </rPr>
          <t xml:space="preserve">
4/14 球顶进口商贴纸 1000pcs
产品贴纸 1000pcs
4/15 球底进口商贴纸 1000pcs </t>
        </r>
      </text>
    </comment>
    <comment ref="AI1297" authorId="0">
      <text>
        <r>
          <rPr>
            <b/>
            <sz val="9"/>
            <rFont val="宋体"/>
            <charset val="134"/>
          </rPr>
          <t>Administrator:</t>
        </r>
        <r>
          <rPr>
            <sz val="9"/>
            <rFont val="宋体"/>
            <charset val="134"/>
          </rPr>
          <t xml:space="preserve">
1403859 4/25 5750pcs庞3b15</t>
        </r>
      </text>
    </comment>
    <comment ref="AI1298" authorId="0">
      <text>
        <r>
          <rPr>
            <b/>
            <sz val="9"/>
            <rFont val="宋体"/>
            <charset val="134"/>
          </rPr>
          <t>Administrator:</t>
        </r>
        <r>
          <rPr>
            <sz val="9"/>
            <rFont val="宋体"/>
            <charset val="134"/>
          </rPr>
          <t xml:space="preserve">
1403859 4/25 600pcs 庞3b14</t>
        </r>
      </text>
    </comment>
    <comment ref="AL1298" authorId="0">
      <text>
        <r>
          <rPr>
            <b/>
            <sz val="9"/>
            <rFont val="宋体"/>
            <charset val="134"/>
          </rPr>
          <t>Administrator:</t>
        </r>
        <r>
          <rPr>
            <sz val="9"/>
            <rFont val="宋体"/>
            <charset val="134"/>
          </rPr>
          <t xml:space="preserve">
4/9 空白贴纸 1200pcs
环保标贴纸 600pcs
4/11 亚马逊外箱贴纸 50pcs</t>
        </r>
      </text>
    </comment>
    <comment ref="AI1299" authorId="0">
      <text>
        <r>
          <rPr>
            <b/>
            <sz val="9"/>
            <rFont val="宋体"/>
            <charset val="134"/>
          </rPr>
          <t>Administrator:</t>
        </r>
        <r>
          <rPr>
            <sz val="9"/>
            <rFont val="宋体"/>
            <charset val="134"/>
          </rPr>
          <t xml:space="preserve">
1403858 4/25 2600pcs庞3b11</t>
        </r>
      </text>
    </comment>
    <comment ref="AL1299" authorId="0">
      <text>
        <r>
          <rPr>
            <b/>
            <sz val="9"/>
            <rFont val="宋体"/>
            <charset val="134"/>
          </rPr>
          <t>Administrator:</t>
        </r>
        <r>
          <rPr>
            <sz val="9"/>
            <rFont val="宋体"/>
            <charset val="134"/>
          </rPr>
          <t xml:space="preserve">
4/18 多语警语折叠贴纸 2600pcs</t>
        </r>
      </text>
    </comment>
    <comment ref="AI1301" authorId="0">
      <text>
        <r>
          <rPr>
            <b/>
            <sz val="9"/>
            <rFont val="宋体"/>
            <charset val="134"/>
          </rPr>
          <t>Administrator:</t>
        </r>
        <r>
          <rPr>
            <sz val="9"/>
            <rFont val="宋体"/>
            <charset val="134"/>
          </rPr>
          <t xml:space="preserve">
1403708 4/29 2400pcs张b3</t>
        </r>
      </text>
    </comment>
    <comment ref="AL1301" authorId="0">
      <text>
        <r>
          <rPr>
            <b/>
            <sz val="9"/>
            <rFont val="宋体"/>
            <charset val="134"/>
          </rPr>
          <t>Administrator:</t>
        </r>
        <r>
          <rPr>
            <sz val="9"/>
            <rFont val="宋体"/>
            <charset val="134"/>
          </rPr>
          <t xml:space="preserve">
3/18 客供价格贴纸 2640pcs
</t>
        </r>
      </text>
    </comment>
    <comment ref="AI1302" authorId="0">
      <text>
        <r>
          <rPr>
            <b/>
            <sz val="9"/>
            <rFont val="宋体"/>
            <charset val="134"/>
          </rPr>
          <t>Administrator:</t>
        </r>
        <r>
          <rPr>
            <sz val="9"/>
            <rFont val="宋体"/>
            <charset val="134"/>
          </rPr>
          <t xml:space="preserve">
1403681 4/29 2184pcs张a2
1403708 4/29 12pcs张b1</t>
        </r>
      </text>
    </comment>
    <comment ref="AL1302" authorId="0">
      <text>
        <r>
          <rPr>
            <b/>
            <sz val="9"/>
            <rFont val="宋体"/>
            <charset val="134"/>
          </rPr>
          <t>Administrator:</t>
        </r>
        <r>
          <rPr>
            <sz val="9"/>
            <rFont val="宋体"/>
            <charset val="134"/>
          </rPr>
          <t xml:space="preserve">
3/18 客供价格贴纸 2416pcs
</t>
        </r>
      </text>
    </comment>
    <comment ref="AI1303" authorId="0">
      <text>
        <r>
          <rPr>
            <b/>
            <sz val="9"/>
            <rFont val="宋体"/>
            <charset val="134"/>
          </rPr>
          <t>Administrator:</t>
        </r>
        <r>
          <rPr>
            <sz val="9"/>
            <rFont val="宋体"/>
            <charset val="134"/>
          </rPr>
          <t xml:space="preserve">
1403703 5/2 744pcs
张a2</t>
        </r>
      </text>
    </comment>
    <comment ref="AL1303" authorId="0">
      <text>
        <r>
          <rPr>
            <b/>
            <sz val="9"/>
            <rFont val="宋体"/>
            <charset val="134"/>
          </rPr>
          <t>Administrator:</t>
        </r>
        <r>
          <rPr>
            <sz val="9"/>
            <rFont val="宋体"/>
            <charset val="134"/>
          </rPr>
          <t xml:space="preserve">
4/3 客供价格贴纸 788pcs</t>
        </r>
      </text>
    </comment>
    <comment ref="AI1304" authorId="0">
      <text>
        <r>
          <rPr>
            <b/>
            <sz val="9"/>
            <rFont val="宋体"/>
            <charset val="134"/>
          </rPr>
          <t>Administrator:</t>
        </r>
        <r>
          <rPr>
            <sz val="9"/>
            <rFont val="宋体"/>
            <charset val="134"/>
          </rPr>
          <t xml:space="preserve">
1403703 5/2 120pcs
张a2</t>
        </r>
      </text>
    </comment>
    <comment ref="AL1304" authorId="0">
      <text>
        <r>
          <rPr>
            <b/>
            <sz val="9"/>
            <rFont val="宋体"/>
            <charset val="134"/>
          </rPr>
          <t>Administrator:</t>
        </r>
        <r>
          <rPr>
            <sz val="9"/>
            <rFont val="宋体"/>
            <charset val="134"/>
          </rPr>
          <t xml:space="preserve">
4/3 客供价格贴纸 126pcs
</t>
        </r>
      </text>
    </comment>
    <comment ref="AI1305" authorId="0">
      <text>
        <r>
          <rPr>
            <b/>
            <sz val="9"/>
            <rFont val="宋体"/>
            <charset val="134"/>
          </rPr>
          <t>Administrator:</t>
        </r>
        <r>
          <rPr>
            <sz val="9"/>
            <rFont val="宋体"/>
            <charset val="134"/>
          </rPr>
          <t xml:space="preserve">
1403703 5/2 456pcs
张a3</t>
        </r>
      </text>
    </comment>
    <comment ref="AL1305" authorId="0">
      <text>
        <r>
          <rPr>
            <b/>
            <sz val="9"/>
            <rFont val="宋体"/>
            <charset val="134"/>
          </rPr>
          <t>Administrator:</t>
        </r>
        <r>
          <rPr>
            <sz val="9"/>
            <rFont val="宋体"/>
            <charset val="134"/>
          </rPr>
          <t xml:space="preserve">
4/3 客供价格贴纸 479pcs
</t>
        </r>
      </text>
    </comment>
    <comment ref="AI1306" authorId="0">
      <text>
        <r>
          <rPr>
            <b/>
            <sz val="9"/>
            <rFont val="宋体"/>
            <charset val="134"/>
          </rPr>
          <t>Administrator:</t>
        </r>
        <r>
          <rPr>
            <sz val="9"/>
            <rFont val="宋体"/>
            <charset val="134"/>
          </rPr>
          <t xml:space="preserve">
1403681 4/29 400pcs
张a4</t>
        </r>
      </text>
    </comment>
    <comment ref="AL1306" authorId="0">
      <text>
        <r>
          <rPr>
            <b/>
            <sz val="9"/>
            <rFont val="宋体"/>
            <charset val="134"/>
          </rPr>
          <t>Administrator:</t>
        </r>
        <r>
          <rPr>
            <sz val="9"/>
            <rFont val="宋体"/>
            <charset val="134"/>
          </rPr>
          <t xml:space="preserve">
4/15 进口商贴纸 400pcs
条码贴纸 400pcs</t>
        </r>
      </text>
    </comment>
    <comment ref="AI1307" authorId="0">
      <text>
        <r>
          <rPr>
            <b/>
            <sz val="9"/>
            <rFont val="宋体"/>
            <charset val="134"/>
          </rPr>
          <t>Administrator:</t>
        </r>
        <r>
          <rPr>
            <sz val="9"/>
            <rFont val="宋体"/>
            <charset val="134"/>
          </rPr>
          <t xml:space="preserve">
1406200 4/28 4200pcs</t>
        </r>
      </text>
    </comment>
    <comment ref="AI1308" authorId="0">
      <text>
        <r>
          <rPr>
            <b/>
            <sz val="9"/>
            <rFont val="宋体"/>
            <charset val="134"/>
          </rPr>
          <t>Administrator:</t>
        </r>
        <r>
          <rPr>
            <sz val="9"/>
            <rFont val="宋体"/>
            <charset val="134"/>
          </rPr>
          <t xml:space="preserve">
1403677 /4828 10036pcs张b1</t>
        </r>
      </text>
    </comment>
    <comment ref="AI1309" authorId="0">
      <text>
        <r>
          <rPr>
            <b/>
            <sz val="9"/>
            <rFont val="宋体"/>
            <charset val="134"/>
          </rPr>
          <t>Administrator:</t>
        </r>
        <r>
          <rPr>
            <sz val="9"/>
            <rFont val="宋体"/>
            <charset val="134"/>
          </rPr>
          <t xml:space="preserve">
1403703 5/2 3250pcs
张b3</t>
        </r>
      </text>
    </comment>
    <comment ref="AI1310" authorId="0">
      <text>
        <r>
          <rPr>
            <b/>
            <sz val="9"/>
            <rFont val="宋体"/>
            <charset val="134"/>
          </rPr>
          <t>Administrator:</t>
        </r>
        <r>
          <rPr>
            <sz val="9"/>
            <rFont val="宋体"/>
            <charset val="134"/>
          </rPr>
          <t xml:space="preserve">
1403703 5/2 1755pcs
张a2</t>
        </r>
      </text>
    </comment>
    <comment ref="AI1311" authorId="0">
      <text>
        <r>
          <rPr>
            <b/>
            <sz val="9"/>
            <rFont val="宋体"/>
            <charset val="134"/>
          </rPr>
          <t>Administrator:</t>
        </r>
        <r>
          <rPr>
            <sz val="9"/>
            <rFont val="宋体"/>
            <charset val="134"/>
          </rPr>
          <t xml:space="preserve">
1403703 5/2 18550pcs
张b5
11403735 5/2 3150pcs张b5</t>
        </r>
      </text>
    </comment>
    <comment ref="AL1311" authorId="0">
      <text>
        <r>
          <rPr>
            <b/>
            <sz val="9"/>
            <rFont val="宋体"/>
            <charset val="134"/>
          </rPr>
          <t>Administrator:</t>
        </r>
        <r>
          <rPr>
            <sz val="9"/>
            <rFont val="宋体"/>
            <charset val="134"/>
          </rPr>
          <t xml:space="preserve">
4/13 空白贴纸 22000pcs
4/14 进口商贴纸 22000pcs</t>
        </r>
      </text>
    </comment>
    <comment ref="AI1312" authorId="0">
      <text>
        <r>
          <rPr>
            <b/>
            <sz val="9"/>
            <rFont val="宋体"/>
            <charset val="134"/>
          </rPr>
          <t>Administrator:</t>
        </r>
        <r>
          <rPr>
            <sz val="9"/>
            <rFont val="宋体"/>
            <charset val="134"/>
          </rPr>
          <t xml:space="preserve">
1403653 4/27 512pcs
张a3
11403735 5/2 2368pcs
张b14</t>
        </r>
      </text>
    </comment>
    <comment ref="AL1312" authorId="0">
      <text>
        <r>
          <rPr>
            <b/>
            <sz val="9"/>
            <rFont val="宋体"/>
            <charset val="134"/>
          </rPr>
          <t>Administrator:</t>
        </r>
        <r>
          <rPr>
            <sz val="9"/>
            <rFont val="宋体"/>
            <charset val="134"/>
          </rPr>
          <t xml:space="preserve">
4/9 客供FID贴纸  2880pcs</t>
        </r>
      </text>
    </comment>
    <comment ref="AI1313" authorId="0">
      <text>
        <r>
          <rPr>
            <b/>
            <sz val="9"/>
            <rFont val="宋体"/>
            <charset val="134"/>
          </rPr>
          <t>Administrator:</t>
        </r>
        <r>
          <rPr>
            <sz val="9"/>
            <rFont val="宋体"/>
            <charset val="134"/>
          </rPr>
          <t xml:space="preserve">
11403735 5/2 10560pcs
张b14</t>
        </r>
      </text>
    </comment>
    <comment ref="AL1313" authorId="0">
      <text>
        <r>
          <rPr>
            <b/>
            <sz val="9"/>
            <rFont val="宋体"/>
            <charset val="134"/>
          </rPr>
          <t>Administrator:</t>
        </r>
        <r>
          <rPr>
            <sz val="9"/>
            <rFont val="宋体"/>
            <charset val="134"/>
          </rPr>
          <t xml:space="preserve">
4/9 客供FID贴纸 10560pcs
</t>
        </r>
      </text>
    </comment>
    <comment ref="AI1314" authorId="0">
      <text>
        <r>
          <rPr>
            <b/>
            <sz val="9"/>
            <rFont val="宋体"/>
            <charset val="134"/>
          </rPr>
          <t>Administrator:</t>
        </r>
        <r>
          <rPr>
            <sz val="9"/>
            <rFont val="宋体"/>
            <charset val="134"/>
          </rPr>
          <t xml:space="preserve">
11403735 5/2 6720pcs
张a10</t>
        </r>
      </text>
    </comment>
    <comment ref="AL1314" authorId="0">
      <text>
        <r>
          <rPr>
            <b/>
            <sz val="9"/>
            <rFont val="宋体"/>
            <charset val="134"/>
          </rPr>
          <t>Administrator:</t>
        </r>
        <r>
          <rPr>
            <sz val="9"/>
            <rFont val="宋体"/>
            <charset val="134"/>
          </rPr>
          <t xml:space="preserve">
4/9 客供FID贴纸  6720pcs
</t>
        </r>
      </text>
    </comment>
    <comment ref="AI1315" authorId="0">
      <text>
        <r>
          <rPr>
            <b/>
            <sz val="9"/>
            <rFont val="宋体"/>
            <charset val="134"/>
          </rPr>
          <t>Administrator:</t>
        </r>
        <r>
          <rPr>
            <sz val="9"/>
            <rFont val="宋体"/>
            <charset val="134"/>
          </rPr>
          <t xml:space="preserve">
1403743 5/2 5760pcs
张b14</t>
        </r>
      </text>
    </comment>
    <comment ref="AL1315" authorId="0">
      <text>
        <r>
          <rPr>
            <b/>
            <sz val="9"/>
            <rFont val="宋体"/>
            <charset val="134"/>
          </rPr>
          <t>Administrator:</t>
        </r>
        <r>
          <rPr>
            <sz val="9"/>
            <rFont val="宋体"/>
            <charset val="134"/>
          </rPr>
          <t xml:space="preserve">
4/9 客供FID贴纸  5760pcs
</t>
        </r>
      </text>
    </comment>
    <comment ref="AI1316" authorId="0">
      <text>
        <r>
          <rPr>
            <b/>
            <sz val="9"/>
            <rFont val="宋体"/>
            <charset val="134"/>
          </rPr>
          <t>Administrator:</t>
        </r>
        <r>
          <rPr>
            <sz val="9"/>
            <rFont val="宋体"/>
            <charset val="134"/>
          </rPr>
          <t xml:space="preserve">
1403729 5/4 5000PCS 张a3</t>
        </r>
      </text>
    </comment>
    <comment ref="AL1316" authorId="0">
      <text>
        <r>
          <rPr>
            <b/>
            <sz val="9"/>
            <rFont val="宋体"/>
            <charset val="134"/>
          </rPr>
          <t>Administrator:</t>
        </r>
        <r>
          <rPr>
            <sz val="9"/>
            <rFont val="宋体"/>
            <charset val="134"/>
          </rPr>
          <t xml:space="preserve">
4/14 进口商贴纸 5000pcs
产品贴纸 5000pcs</t>
        </r>
      </text>
    </comment>
    <comment ref="AI1317" authorId="0">
      <text>
        <r>
          <rPr>
            <b/>
            <sz val="9"/>
            <rFont val="宋体"/>
            <charset val="134"/>
          </rPr>
          <t>Administrator:</t>
        </r>
        <r>
          <rPr>
            <sz val="9"/>
            <rFont val="宋体"/>
            <charset val="134"/>
          </rPr>
          <t xml:space="preserve">
1403729 5/4 780PCS张a5</t>
        </r>
      </text>
    </comment>
    <comment ref="AL1317" authorId="0">
      <text>
        <r>
          <rPr>
            <b/>
            <sz val="9"/>
            <rFont val="宋体"/>
            <charset val="134"/>
          </rPr>
          <t>Administrator:</t>
        </r>
        <r>
          <rPr>
            <sz val="9"/>
            <rFont val="宋体"/>
            <charset val="134"/>
          </rPr>
          <t xml:space="preserve">
4/8 进口商贴纸 780pcs
 UPC条码贴纸 780pcs</t>
        </r>
      </text>
    </comment>
    <comment ref="AI1318" authorId="0">
      <text>
        <r>
          <rPr>
            <b/>
            <sz val="9"/>
            <rFont val="宋体"/>
            <charset val="134"/>
          </rPr>
          <t>Administrator:</t>
        </r>
        <r>
          <rPr>
            <sz val="9"/>
            <rFont val="宋体"/>
            <charset val="134"/>
          </rPr>
          <t xml:space="preserve">
1403729 5/4 3425PCS张a3</t>
        </r>
      </text>
    </comment>
    <comment ref="AL1318" authorId="0">
      <text>
        <r>
          <rPr>
            <b/>
            <sz val="9"/>
            <rFont val="宋体"/>
            <charset val="134"/>
          </rPr>
          <t>Administrator:</t>
        </r>
        <r>
          <rPr>
            <sz val="9"/>
            <rFont val="宋体"/>
            <charset val="134"/>
          </rPr>
          <t xml:space="preserve">
4/8 DC运输貼纸 137pcs
4/13 PDQ标识贴纸 137pcs</t>
        </r>
      </text>
    </comment>
    <comment ref="AI1319" authorId="0">
      <text>
        <r>
          <rPr>
            <b/>
            <sz val="9"/>
            <rFont val="宋体"/>
            <charset val="134"/>
          </rPr>
          <t>Administrator:</t>
        </r>
        <r>
          <rPr>
            <sz val="9"/>
            <rFont val="宋体"/>
            <charset val="134"/>
          </rPr>
          <t xml:space="preserve">
1403382 5/4 3425pcs张a4</t>
        </r>
      </text>
    </comment>
    <comment ref="AL1319" authorId="0">
      <text>
        <r>
          <rPr>
            <b/>
            <sz val="9"/>
            <rFont val="宋体"/>
            <charset val="134"/>
          </rPr>
          <t>Administrator:</t>
        </r>
        <r>
          <rPr>
            <sz val="9"/>
            <rFont val="宋体"/>
            <charset val="134"/>
          </rPr>
          <t xml:space="preserve">
4/8 DC运输貼纸 137pcs
4/13 PDQ标识贴纸 137pcs
</t>
        </r>
      </text>
    </comment>
    <comment ref="AI1320" authorId="0">
      <text>
        <r>
          <rPr>
            <b/>
            <sz val="9"/>
            <rFont val="宋体"/>
            <charset val="134"/>
          </rPr>
          <t>Administrator:</t>
        </r>
        <r>
          <rPr>
            <sz val="9"/>
            <rFont val="宋体"/>
            <charset val="134"/>
          </rPr>
          <t xml:space="preserve">
1403729 5/4 2450PCS张a5</t>
        </r>
      </text>
    </comment>
    <comment ref="AL1320" authorId="0">
      <text>
        <r>
          <rPr>
            <b/>
            <sz val="9"/>
            <rFont val="宋体"/>
            <charset val="134"/>
          </rPr>
          <t>Administrator:</t>
        </r>
        <r>
          <rPr>
            <sz val="9"/>
            <rFont val="宋体"/>
            <charset val="134"/>
          </rPr>
          <t xml:space="preserve">
4/8 DC运输貼纸 98pcs
4/13 PDQ标识贴纸 98pcs
</t>
        </r>
      </text>
    </comment>
    <comment ref="AI1321" authorId="0">
      <text>
        <r>
          <rPr>
            <b/>
            <sz val="9"/>
            <rFont val="宋体"/>
            <charset val="134"/>
          </rPr>
          <t>Administrator:</t>
        </r>
        <r>
          <rPr>
            <sz val="9"/>
            <rFont val="宋体"/>
            <charset val="134"/>
          </rPr>
          <t xml:space="preserve">
1403729 5/4 1500PCS张a4</t>
        </r>
      </text>
    </comment>
    <comment ref="AL1321" authorId="0">
      <text>
        <r>
          <rPr>
            <b/>
            <sz val="9"/>
            <rFont val="宋体"/>
            <charset val="134"/>
          </rPr>
          <t>Administrator:</t>
        </r>
        <r>
          <rPr>
            <sz val="9"/>
            <rFont val="宋体"/>
            <charset val="134"/>
          </rPr>
          <t xml:space="preserve">
4/14 进口商贴纸 1500pcs
UPC条码贴纸 1500pcs
</t>
        </r>
      </text>
    </comment>
    <comment ref="AI1322" authorId="0">
      <text>
        <r>
          <rPr>
            <b/>
            <sz val="9"/>
            <rFont val="宋体"/>
            <charset val="134"/>
          </rPr>
          <t>Administrator:</t>
        </r>
        <r>
          <rPr>
            <sz val="9"/>
            <rFont val="宋体"/>
            <charset val="134"/>
          </rPr>
          <t xml:space="preserve">
1403382 5/4 2004pcs
张a5</t>
        </r>
      </text>
    </comment>
    <comment ref="AL1322" authorId="0">
      <text>
        <r>
          <rPr>
            <b/>
            <sz val="9"/>
            <rFont val="宋体"/>
            <charset val="134"/>
          </rPr>
          <t>Administrator:</t>
        </r>
        <r>
          <rPr>
            <sz val="9"/>
            <rFont val="宋体"/>
            <charset val="134"/>
          </rPr>
          <t xml:space="preserve">
4/14 客供价格贴纸 2100pcs</t>
        </r>
      </text>
    </comment>
    <comment ref="AI1323" authorId="0">
      <text>
        <r>
          <rPr>
            <b/>
            <sz val="9"/>
            <rFont val="宋体"/>
            <charset val="134"/>
          </rPr>
          <t>Administrator:</t>
        </r>
        <r>
          <rPr>
            <sz val="9"/>
            <rFont val="宋体"/>
            <charset val="134"/>
          </rPr>
          <t xml:space="preserve">
1402952 5/6 36750pcs张c4
1402955 5/6 3000pcs张c4</t>
        </r>
      </text>
    </comment>
    <comment ref="AL1323" authorId="0">
      <text>
        <r>
          <rPr>
            <b/>
            <sz val="9"/>
            <rFont val="宋体"/>
            <charset val="134"/>
          </rPr>
          <t>Administrator:</t>
        </r>
        <r>
          <rPr>
            <sz val="9"/>
            <rFont val="宋体"/>
            <charset val="134"/>
          </rPr>
          <t xml:space="preserve">
4/20 客供外箱条码贴纸 1606pcs</t>
        </r>
      </text>
    </comment>
    <comment ref="AI1324" authorId="0">
      <text>
        <r>
          <rPr>
            <b/>
            <sz val="14"/>
            <rFont val="宋体"/>
            <charset val="134"/>
          </rPr>
          <t>Administrator:</t>
        </r>
        <r>
          <rPr>
            <sz val="14"/>
            <rFont val="宋体"/>
            <charset val="134"/>
          </rPr>
          <t xml:space="preserve">
1403386 5/4 2028pcs张b1
1403767 5/5 52pcs张b1</t>
        </r>
      </text>
    </comment>
    <comment ref="AL1324" authorId="0">
      <text>
        <r>
          <rPr>
            <b/>
            <sz val="9"/>
            <rFont val="宋体"/>
            <charset val="134"/>
          </rPr>
          <t>Administrator:</t>
        </r>
        <r>
          <rPr>
            <sz val="9"/>
            <rFont val="宋体"/>
            <charset val="134"/>
          </rPr>
          <t xml:space="preserve">
4/10 进口商贴纸 2080pcs
说明书贴纸 2080pcs
文藏指南贴纸 2080pcs
4/23 说明书 2080pc
s</t>
        </r>
      </text>
    </comment>
    <comment ref="AI1325" authorId="0">
      <text>
        <r>
          <rPr>
            <b/>
            <sz val="9"/>
            <rFont val="宋体"/>
            <charset val="134"/>
          </rPr>
          <t>Administrator:</t>
        </r>
        <r>
          <rPr>
            <sz val="9"/>
            <rFont val="宋体"/>
            <charset val="134"/>
          </rPr>
          <t xml:space="preserve">
1403391 5/5 1212pcs张a1</t>
        </r>
      </text>
    </comment>
    <comment ref="AI1326" authorId="0">
      <text>
        <r>
          <rPr>
            <b/>
            <sz val="9"/>
            <rFont val="宋体"/>
            <charset val="134"/>
          </rPr>
          <t>Administrator:</t>
        </r>
        <r>
          <rPr>
            <sz val="9"/>
            <rFont val="宋体"/>
            <charset val="134"/>
          </rPr>
          <t xml:space="preserve">
1403391 5/5 120pcs
张a1
</t>
        </r>
      </text>
    </comment>
    <comment ref="AI1327" authorId="0">
      <text>
        <r>
          <rPr>
            <b/>
            <sz val="9"/>
            <rFont val="宋体"/>
            <charset val="134"/>
          </rPr>
          <t>Administrator:</t>
        </r>
        <r>
          <rPr>
            <sz val="9"/>
            <rFont val="宋体"/>
            <charset val="134"/>
          </rPr>
          <t xml:space="preserve">
1403391 5/5 1800pcs
张a1
</t>
        </r>
      </text>
    </comment>
    <comment ref="AL1327" authorId="0">
      <text>
        <r>
          <rPr>
            <b/>
            <sz val="9"/>
            <rFont val="宋体"/>
            <charset val="134"/>
          </rPr>
          <t>Administrator:</t>
        </r>
        <r>
          <rPr>
            <sz val="9"/>
            <rFont val="宋体"/>
            <charset val="134"/>
          </rPr>
          <t xml:space="preserve">
4/13 空白贴纸 3600pcs
IT环保标贴纸 1800pcs
4/28 亚马逊外箱贴纸 150pcs</t>
        </r>
      </text>
    </comment>
    <comment ref="AI1328" authorId="0">
      <text>
        <r>
          <rPr>
            <b/>
            <sz val="9"/>
            <rFont val="宋体"/>
            <charset val="134"/>
          </rPr>
          <t>Administrator:</t>
        </r>
        <r>
          <rPr>
            <sz val="9"/>
            <rFont val="宋体"/>
            <charset val="134"/>
          </rPr>
          <t xml:space="preserve">
1403386 5/4 7750pcs张a5
1403767 5/5 50pcs张a5</t>
        </r>
      </text>
    </comment>
    <comment ref="AL1328" authorId="0">
      <text>
        <r>
          <rPr>
            <b/>
            <sz val="9"/>
            <rFont val="宋体"/>
            <charset val="134"/>
          </rPr>
          <t>Administrator:</t>
        </r>
        <r>
          <rPr>
            <sz val="9"/>
            <rFont val="宋体"/>
            <charset val="134"/>
          </rPr>
          <t xml:space="preserve">
4/24 进口商贴纸 7800pcs</t>
        </r>
      </text>
    </comment>
    <comment ref="AI1329" authorId="0">
      <text>
        <r>
          <rPr>
            <b/>
            <sz val="9"/>
            <rFont val="宋体"/>
            <charset val="134"/>
          </rPr>
          <t>Administrator:</t>
        </r>
        <r>
          <rPr>
            <sz val="9"/>
            <rFont val="宋体"/>
            <charset val="134"/>
          </rPr>
          <t xml:space="preserve">
1406164 4/29 48pcs
1406155 5/6 1952pcs张a9</t>
        </r>
      </text>
    </comment>
    <comment ref="AL1329" authorId="0">
      <text>
        <r>
          <rPr>
            <b/>
            <sz val="9"/>
            <rFont val="宋体"/>
            <charset val="134"/>
          </rPr>
          <t>Administrator:</t>
        </r>
        <r>
          <rPr>
            <sz val="9"/>
            <rFont val="宋体"/>
            <charset val="134"/>
          </rPr>
          <t xml:space="preserve">
4/14 客供价格贴纸 2100pcs
</t>
        </r>
      </text>
    </comment>
    <comment ref="AI1330" authorId="0">
      <text>
        <r>
          <rPr>
            <b/>
            <sz val="9"/>
            <rFont val="宋体"/>
            <charset val="134"/>
          </rPr>
          <t>Administrator:</t>
        </r>
        <r>
          <rPr>
            <sz val="9"/>
            <rFont val="宋体"/>
            <charset val="134"/>
          </rPr>
          <t xml:space="preserve">
1403396 5/6 2300pcs
王ab5
</t>
        </r>
      </text>
    </comment>
    <comment ref="AI1331" authorId="0">
      <text>
        <r>
          <rPr>
            <b/>
            <sz val="9"/>
            <rFont val="宋体"/>
            <charset val="134"/>
          </rPr>
          <t>Administrator:</t>
        </r>
        <r>
          <rPr>
            <sz val="9"/>
            <rFont val="宋体"/>
            <charset val="134"/>
          </rPr>
          <t xml:space="preserve">
1403394 5/7 5136pcs
张a5</t>
        </r>
      </text>
    </comment>
    <comment ref="AI1332" authorId="0">
      <text>
        <r>
          <rPr>
            <b/>
            <sz val="9"/>
            <rFont val="宋体"/>
            <charset val="134"/>
          </rPr>
          <t>Administrator:</t>
        </r>
        <r>
          <rPr>
            <sz val="9"/>
            <rFont val="宋体"/>
            <charset val="134"/>
          </rPr>
          <t xml:space="preserve">
1406155 5/6 2592pcs
张a13
1406156 5/7 1728pcs张a13
1406160 5/8 680pcs张a13</t>
        </r>
      </text>
    </comment>
    <comment ref="AI1333" authorId="0">
      <text>
        <r>
          <rPr>
            <b/>
            <sz val="9"/>
            <rFont val="宋体"/>
            <charset val="134"/>
          </rPr>
          <t>Administrator:</t>
        </r>
        <r>
          <rPr>
            <sz val="9"/>
            <rFont val="宋体"/>
            <charset val="134"/>
          </rPr>
          <t xml:space="preserve">
1406183 5/11 570pcs张a1</t>
        </r>
      </text>
    </comment>
    <comment ref="AL1333" authorId="0">
      <text>
        <r>
          <rPr>
            <b/>
            <sz val="9"/>
            <rFont val="宋体"/>
            <charset val="134"/>
          </rPr>
          <t>Administrator:</t>
        </r>
        <r>
          <rPr>
            <sz val="9"/>
            <rFont val="宋体"/>
            <charset val="134"/>
          </rPr>
          <t xml:space="preserve">
5/5 亚马逊外箱贴纸 95pcs</t>
        </r>
      </text>
    </comment>
    <comment ref="AI1334" authorId="0">
      <text>
        <r>
          <rPr>
            <b/>
            <sz val="9"/>
            <rFont val="宋体"/>
            <charset val="134"/>
          </rPr>
          <t>Administrator:</t>
        </r>
        <r>
          <rPr>
            <sz val="9"/>
            <rFont val="宋体"/>
            <charset val="134"/>
          </rPr>
          <t xml:space="preserve">
1403417 5/8 8112pcs
张b3</t>
        </r>
      </text>
    </comment>
    <comment ref="AI1335" authorId="0">
      <text>
        <r>
          <rPr>
            <b/>
            <sz val="9"/>
            <rFont val="宋体"/>
            <charset val="134"/>
          </rPr>
          <t>Administrator:</t>
        </r>
        <r>
          <rPr>
            <sz val="9"/>
            <rFont val="宋体"/>
            <charset val="134"/>
          </rPr>
          <t xml:space="preserve">
1403417 5/8 3996pcs张a9
1403453 5/9 12pcs
新</t>
        </r>
      </text>
    </comment>
    <comment ref="AI1336" authorId="0">
      <text>
        <r>
          <rPr>
            <b/>
            <sz val="9"/>
            <rFont val="宋体"/>
            <charset val="134"/>
          </rPr>
          <t>Administrator:</t>
        </r>
        <r>
          <rPr>
            <sz val="9"/>
            <rFont val="宋体"/>
            <charset val="134"/>
          </rPr>
          <t xml:space="preserve">
1406185 5/11 2916ps张b6
1406186 5/12 7086pcs张b6</t>
        </r>
      </text>
    </comment>
    <comment ref="AL1336" authorId="0">
      <text>
        <r>
          <rPr>
            <b/>
            <sz val="9"/>
            <rFont val="宋体"/>
            <charset val="134"/>
          </rPr>
          <t>Administrator:</t>
        </r>
        <r>
          <rPr>
            <sz val="9"/>
            <rFont val="宋体"/>
            <charset val="134"/>
          </rPr>
          <t xml:space="preserve">
4/18 客供芯片码贴纸 10002pcs
4/24 颜色贴纸 10002pcs
空白贴纸 20004pcs
4/28 3c贴纸 32208pcs</t>
        </r>
      </text>
    </comment>
    <comment ref="AI1337" authorId="0">
      <text>
        <r>
          <rPr>
            <b/>
            <sz val="9"/>
            <rFont val="宋体"/>
            <charset val="134"/>
          </rPr>
          <t>Administrator:</t>
        </r>
        <r>
          <rPr>
            <sz val="9"/>
            <rFont val="宋体"/>
            <charset val="134"/>
          </rPr>
          <t xml:space="preserve">
1403453 5/9 950pcs
王4b1
1403483 5/13 50psc</t>
        </r>
      </text>
    </comment>
    <comment ref="AI1338" authorId="0">
      <text>
        <r>
          <rPr>
            <b/>
            <sz val="9"/>
            <rFont val="宋体"/>
            <charset val="134"/>
          </rPr>
          <t>Administrator:</t>
        </r>
        <r>
          <rPr>
            <sz val="9"/>
            <rFont val="宋体"/>
            <charset val="134"/>
          </rPr>
          <t xml:space="preserve">
1406181 5/9 864pcs王4a5
1406183 5/11 736pcs
王</t>
        </r>
      </text>
    </comment>
    <comment ref="AL1338" authorId="0">
      <text>
        <r>
          <rPr>
            <b/>
            <sz val="9"/>
            <rFont val="宋体"/>
            <charset val="134"/>
          </rPr>
          <t>Administrator:</t>
        </r>
        <r>
          <rPr>
            <sz val="9"/>
            <rFont val="宋体"/>
            <charset val="134"/>
          </rPr>
          <t xml:space="preserve">
4/14 客供价格贴纸 1680pcs
</t>
        </r>
      </text>
    </comment>
    <comment ref="AI1339" authorId="0">
      <text>
        <r>
          <rPr>
            <b/>
            <sz val="9"/>
            <rFont val="宋体"/>
            <charset val="134"/>
          </rPr>
          <t>Administrator:</t>
        </r>
        <r>
          <rPr>
            <sz val="9"/>
            <rFont val="宋体"/>
            <charset val="134"/>
          </rPr>
          <t xml:space="preserve">
1406183 5/11 3000pcs
张a10</t>
        </r>
      </text>
    </comment>
    <comment ref="AL1339" authorId="0">
      <text>
        <r>
          <rPr>
            <b/>
            <sz val="9"/>
            <rFont val="宋体"/>
            <charset val="134"/>
          </rPr>
          <t>Administrator:</t>
        </r>
        <r>
          <rPr>
            <sz val="9"/>
            <rFont val="宋体"/>
            <charset val="134"/>
          </rPr>
          <t xml:space="preserve">
4/14 客供价格贴纸 3150pcs </t>
        </r>
      </text>
    </comment>
    <comment ref="AI1340" authorId="0">
      <text>
        <r>
          <rPr>
            <b/>
            <sz val="9"/>
            <rFont val="宋体"/>
            <charset val="134"/>
          </rPr>
          <t>Administrator:</t>
        </r>
        <r>
          <rPr>
            <sz val="9"/>
            <rFont val="宋体"/>
            <charset val="134"/>
          </rPr>
          <t xml:space="preserve">
1403524 5/12 32305pcs
直走
1403532 5/12 2015pcs新
 </t>
        </r>
      </text>
    </comment>
    <comment ref="AL1340" authorId="0">
      <text>
        <r>
          <rPr>
            <b/>
            <sz val="9"/>
            <rFont val="宋体"/>
            <charset val="134"/>
          </rPr>
          <t>Administrator:</t>
        </r>
        <r>
          <rPr>
            <sz val="9"/>
            <rFont val="宋体"/>
            <charset val="134"/>
          </rPr>
          <t xml:space="preserve">
4/8 客供防窜码贴纸1拖13 2640pcs
4/24 条码贴纸 34320pcs</t>
        </r>
      </text>
    </comment>
    <comment ref="AI1341" authorId="0">
      <text>
        <r>
          <rPr>
            <b/>
            <sz val="9"/>
            <rFont val="宋体"/>
            <charset val="134"/>
          </rPr>
          <t>Administrator:</t>
        </r>
        <r>
          <rPr>
            <sz val="9"/>
            <rFont val="宋体"/>
            <charset val="134"/>
          </rPr>
          <t xml:space="preserve">
1403524 5/12 13888pcs
张3c3
1403526 5/12 12992pcs
张3a3</t>
        </r>
      </text>
    </comment>
    <comment ref="AL1341" authorId="0">
      <text>
        <r>
          <rPr>
            <b/>
            <sz val="9"/>
            <rFont val="宋体"/>
            <charset val="134"/>
          </rPr>
          <t xml:space="preserve">Administrator:
</t>
        </r>
        <r>
          <rPr>
            <sz val="9"/>
            <rFont val="宋体"/>
            <charset val="134"/>
          </rPr>
          <t xml:space="preserve"> 4/9 客供FID贴纸 26880pcs</t>
        </r>
      </text>
    </comment>
    <comment ref="AI1342" authorId="0">
      <text>
        <r>
          <rPr>
            <b/>
            <sz val="9"/>
            <rFont val="宋体"/>
            <charset val="134"/>
          </rPr>
          <t>Administrator:</t>
        </r>
        <r>
          <rPr>
            <sz val="9"/>
            <rFont val="宋体"/>
            <charset val="134"/>
          </rPr>
          <t xml:space="preserve">
1403524 5/12 18240pcs
张3a3</t>
        </r>
      </text>
    </comment>
    <comment ref="AL1342" authorId="0">
      <text>
        <r>
          <rPr>
            <b/>
            <sz val="9"/>
            <rFont val="宋体"/>
            <charset val="134"/>
          </rPr>
          <t>Administrator:</t>
        </r>
        <r>
          <rPr>
            <sz val="9"/>
            <rFont val="宋体"/>
            <charset val="134"/>
          </rPr>
          <t xml:space="preserve">
4/9 客供FID贴纸  18240pcs
</t>
        </r>
      </text>
    </comment>
    <comment ref="AI1343" authorId="0">
      <text>
        <r>
          <rPr>
            <b/>
            <sz val="9"/>
            <rFont val="宋体"/>
            <charset val="134"/>
          </rPr>
          <t>Administrator:</t>
        </r>
        <r>
          <rPr>
            <sz val="9"/>
            <rFont val="宋体"/>
            <charset val="134"/>
          </rPr>
          <t xml:space="preserve">
1403526 5/12 26880pcs张3c2</t>
        </r>
      </text>
    </comment>
    <comment ref="AL1343" authorId="0">
      <text>
        <r>
          <rPr>
            <b/>
            <sz val="9"/>
            <rFont val="宋体"/>
            <charset val="134"/>
          </rPr>
          <t>Administrator:</t>
        </r>
        <r>
          <rPr>
            <sz val="9"/>
            <rFont val="宋体"/>
            <charset val="134"/>
          </rPr>
          <t xml:space="preserve">
4/9 客供FID贴纸 26880pcs
</t>
        </r>
      </text>
    </comment>
    <comment ref="AI1344" authorId="0">
      <text>
        <r>
          <rPr>
            <b/>
            <sz val="9"/>
            <rFont val="宋体"/>
            <charset val="134"/>
          </rPr>
          <t>Administrator:</t>
        </r>
        <r>
          <rPr>
            <sz val="9"/>
            <rFont val="宋体"/>
            <charset val="134"/>
          </rPr>
          <t xml:space="preserve">
1403530 5/12 24192pcs
张3a2张3a21403532 5/12 14208pcs
王4a8</t>
        </r>
      </text>
    </comment>
    <comment ref="AL1344" authorId="0">
      <text>
        <r>
          <rPr>
            <b/>
            <sz val="9"/>
            <rFont val="宋体"/>
            <charset val="134"/>
          </rPr>
          <t>Administrator:</t>
        </r>
        <r>
          <rPr>
            <sz val="9"/>
            <rFont val="宋体"/>
            <charset val="134"/>
          </rPr>
          <t xml:space="preserve">
4/9 客供FID贴纸  38400pcs
</t>
        </r>
      </text>
    </comment>
    <comment ref="AI1345" authorId="0">
      <text>
        <r>
          <rPr>
            <b/>
            <sz val="9"/>
            <rFont val="宋体"/>
            <charset val="134"/>
          </rPr>
          <t>Administrator:</t>
        </r>
        <r>
          <rPr>
            <sz val="9"/>
            <rFont val="宋体"/>
            <charset val="134"/>
          </rPr>
          <t xml:space="preserve">
1403532 5/12 2275pcs王4b5</t>
        </r>
      </text>
    </comment>
    <comment ref="AI1346" authorId="0">
      <text>
        <r>
          <rPr>
            <b/>
            <sz val="9"/>
            <rFont val="宋体"/>
            <charset val="134"/>
          </rPr>
          <t>Administrator:</t>
        </r>
        <r>
          <rPr>
            <sz val="9"/>
            <rFont val="宋体"/>
            <charset val="134"/>
          </rPr>
          <t xml:space="preserve">
1403536 5/13 10010pcs</t>
        </r>
      </text>
    </comment>
    <comment ref="AI1347" authorId="0">
      <text>
        <r>
          <rPr>
            <b/>
            <sz val="9"/>
            <rFont val="宋体"/>
            <charset val="134"/>
          </rPr>
          <t>Administrator:</t>
        </r>
        <r>
          <rPr>
            <sz val="9"/>
            <rFont val="宋体"/>
            <charset val="134"/>
          </rPr>
          <t xml:space="preserve">
1403504 5/14 3792pcs张b6</t>
        </r>
      </text>
    </comment>
    <comment ref="AL1347" authorId="0">
      <text>
        <r>
          <rPr>
            <b/>
            <sz val="9"/>
            <rFont val="宋体"/>
            <charset val="134"/>
          </rPr>
          <t>Administrator:</t>
        </r>
        <r>
          <rPr>
            <sz val="9"/>
            <rFont val="宋体"/>
            <charset val="134"/>
          </rPr>
          <t xml:space="preserve">
5/7 客供亚马逊外箱贴纸 316pcs
</t>
        </r>
      </text>
    </comment>
    <comment ref="AI1348" authorId="0">
      <text>
        <r>
          <rPr>
            <b/>
            <sz val="9"/>
            <rFont val="宋体"/>
            <charset val="134"/>
          </rPr>
          <t>Administrator:</t>
        </r>
        <r>
          <rPr>
            <sz val="9"/>
            <rFont val="宋体"/>
            <charset val="134"/>
          </rPr>
          <t xml:space="preserve">
1403504 5/14 4896pcs
张a5</t>
        </r>
      </text>
    </comment>
    <comment ref="AL1348" authorId="0">
      <text>
        <r>
          <rPr>
            <b/>
            <sz val="9"/>
            <rFont val="宋体"/>
            <charset val="134"/>
          </rPr>
          <t>Administrator:</t>
        </r>
        <r>
          <rPr>
            <sz val="9"/>
            <rFont val="宋体"/>
            <charset val="134"/>
          </rPr>
          <t xml:space="preserve">
5/7 客供亚马逊外箱贴纸 408pcs
</t>
        </r>
      </text>
    </comment>
    <comment ref="AI1349" authorId="0">
      <text>
        <r>
          <rPr>
            <b/>
            <sz val="9"/>
            <rFont val="宋体"/>
            <charset val="134"/>
          </rPr>
          <t>Administrator:</t>
        </r>
        <r>
          <rPr>
            <sz val="9"/>
            <rFont val="宋体"/>
            <charset val="134"/>
          </rPr>
          <t xml:space="preserve">
1403501 5/14 3840pcs庞登一楼
1403504 5/14 3876pcs张b6</t>
        </r>
      </text>
    </comment>
    <comment ref="AL1349" authorId="0">
      <text>
        <r>
          <rPr>
            <b/>
            <sz val="9"/>
            <rFont val="宋体"/>
            <charset val="134"/>
          </rPr>
          <t>Administrator:</t>
        </r>
        <r>
          <rPr>
            <sz val="9"/>
            <rFont val="宋体"/>
            <charset val="134"/>
          </rPr>
          <t xml:space="preserve">
5/7 客供亚马逊外箱贴纸 643pcs
</t>
        </r>
      </text>
    </comment>
    <comment ref="AI1350" authorId="0">
      <text>
        <r>
          <rPr>
            <b/>
            <sz val="9"/>
            <rFont val="宋体"/>
            <charset val="134"/>
          </rPr>
          <t>Administrator:</t>
        </r>
        <r>
          <rPr>
            <sz val="9"/>
            <rFont val="宋体"/>
            <charset val="134"/>
          </rPr>
          <t xml:space="preserve">
1403504 5/14 960pcs
张b13
1403509 5/14 7416pcs 王4a2</t>
        </r>
      </text>
    </comment>
    <comment ref="AL1350" authorId="0">
      <text>
        <r>
          <rPr>
            <b/>
            <sz val="9"/>
            <rFont val="宋体"/>
            <charset val="134"/>
          </rPr>
          <t>Administrator:</t>
        </r>
        <r>
          <rPr>
            <sz val="9"/>
            <rFont val="宋体"/>
            <charset val="134"/>
          </rPr>
          <t xml:space="preserve">
5/7 客供亚马逊外箱贴纸 698pcs
</t>
        </r>
      </text>
    </comment>
    <comment ref="AI1351" authorId="0">
      <text>
        <r>
          <rPr>
            <b/>
            <sz val="9"/>
            <rFont val="宋体"/>
            <charset val="134"/>
          </rPr>
          <t>Administrator:</t>
        </r>
        <r>
          <rPr>
            <sz val="9"/>
            <rFont val="宋体"/>
            <charset val="134"/>
          </rPr>
          <t xml:space="preserve">
1403504 5/14 5700pcs
张a9
</t>
        </r>
      </text>
    </comment>
    <comment ref="AL1351" authorId="0">
      <text>
        <r>
          <rPr>
            <b/>
            <sz val="9"/>
            <rFont val="宋体"/>
            <charset val="134"/>
          </rPr>
          <t>Administrator:</t>
        </r>
        <r>
          <rPr>
            <sz val="9"/>
            <rFont val="宋体"/>
            <charset val="134"/>
          </rPr>
          <t xml:space="preserve">
5/7 客供亚马逊外箱贴纸 145pcs
</t>
        </r>
      </text>
    </comment>
    <comment ref="AI1352" authorId="0">
      <text>
        <r>
          <rPr>
            <b/>
            <sz val="9"/>
            <rFont val="宋体"/>
            <charset val="134"/>
          </rPr>
          <t>Administrator:</t>
        </r>
        <r>
          <rPr>
            <sz val="9"/>
            <rFont val="宋体"/>
            <charset val="134"/>
          </rPr>
          <t xml:space="preserve">
1403520 5/11 804pcs张b3
</t>
        </r>
      </text>
    </comment>
    <comment ref="AL1352" authorId="0">
      <text>
        <r>
          <rPr>
            <b/>
            <sz val="9"/>
            <rFont val="宋体"/>
            <charset val="134"/>
          </rPr>
          <t>Administrator:</t>
        </r>
        <r>
          <rPr>
            <sz val="9"/>
            <rFont val="宋体"/>
            <charset val="134"/>
          </rPr>
          <t xml:space="preserve">
4/14 客供价格贴纸 840pcs
</t>
        </r>
      </text>
    </comment>
    <comment ref="AI1353" authorId="0">
      <text>
        <r>
          <rPr>
            <b/>
            <sz val="9"/>
            <rFont val="宋体"/>
            <charset val="134"/>
          </rPr>
          <t>Administrator:</t>
        </r>
        <r>
          <rPr>
            <sz val="9"/>
            <rFont val="宋体"/>
            <charset val="134"/>
          </rPr>
          <t xml:space="preserve">
1403504 5/14 5856pcs
张b2</t>
        </r>
      </text>
    </comment>
    <comment ref="AL1353" authorId="0">
      <text>
        <r>
          <rPr>
            <b/>
            <sz val="9"/>
            <rFont val="宋体"/>
            <charset val="134"/>
          </rPr>
          <t>Administrator:</t>
        </r>
        <r>
          <rPr>
            <sz val="9"/>
            <rFont val="宋体"/>
            <charset val="134"/>
          </rPr>
          <t xml:space="preserve">
5/7 客供亚马逊外箱贴纸 488pcs
</t>
        </r>
      </text>
    </comment>
    <comment ref="AI1354" authorId="0">
      <text>
        <r>
          <rPr>
            <b/>
            <sz val="9"/>
            <rFont val="宋体"/>
            <charset val="134"/>
          </rPr>
          <t>Administrator:</t>
        </r>
        <r>
          <rPr>
            <sz val="9"/>
            <rFont val="宋体"/>
            <charset val="134"/>
          </rPr>
          <t xml:space="preserve">
1403504 5/14 1000pcs
张b6</t>
        </r>
      </text>
    </comment>
    <comment ref="AL1354" authorId="0">
      <text>
        <r>
          <rPr>
            <b/>
            <sz val="9"/>
            <rFont val="宋体"/>
            <charset val="134"/>
          </rPr>
          <t>Administrator:</t>
        </r>
        <r>
          <rPr>
            <sz val="9"/>
            <rFont val="宋体"/>
            <charset val="134"/>
          </rPr>
          <t xml:space="preserve">
4/28 进口商贴纸 100pcs
UPC贴纸 10000pcs</t>
        </r>
      </text>
    </comment>
    <comment ref="AI1355" authorId="0">
      <text>
        <r>
          <rPr>
            <b/>
            <sz val="9"/>
            <rFont val="宋体"/>
            <charset val="134"/>
          </rPr>
          <t>Administrator:</t>
        </r>
        <r>
          <rPr>
            <sz val="9"/>
            <rFont val="宋体"/>
            <charset val="134"/>
          </rPr>
          <t xml:space="preserve">
4001651 5/11 70套
</t>
        </r>
      </text>
    </comment>
    <comment ref="AI1356" authorId="0">
      <text>
        <r>
          <rPr>
            <b/>
            <sz val="9"/>
            <rFont val="宋体"/>
            <charset val="134"/>
          </rPr>
          <t>Administrator:</t>
        </r>
        <r>
          <rPr>
            <sz val="9"/>
            <rFont val="宋体"/>
            <charset val="134"/>
          </rPr>
          <t xml:space="preserve">
1403542 5/15 2736pcs
直走</t>
        </r>
      </text>
    </comment>
    <comment ref="AL1356" authorId="0">
      <text>
        <r>
          <rPr>
            <b/>
            <sz val="9"/>
            <rFont val="宋体"/>
            <charset val="134"/>
          </rPr>
          <t>Administrator:</t>
        </r>
        <r>
          <rPr>
            <sz val="9"/>
            <rFont val="宋体"/>
            <charset val="134"/>
          </rPr>
          <t xml:space="preserve">
4/28 PDQ折页 456pcs</t>
        </r>
      </text>
    </comment>
    <comment ref="AI1357" authorId="0">
      <text>
        <r>
          <rPr>
            <b/>
            <sz val="9"/>
            <rFont val="宋体"/>
            <charset val="134"/>
          </rPr>
          <t>Administrator:</t>
        </r>
        <r>
          <rPr>
            <sz val="9"/>
            <rFont val="宋体"/>
            <charset val="134"/>
          </rPr>
          <t xml:space="preserve">
1403542 5/15 2166pcs
直走</t>
        </r>
      </text>
    </comment>
    <comment ref="AL1357" authorId="0">
      <text>
        <r>
          <rPr>
            <b/>
            <sz val="9"/>
            <rFont val="宋体"/>
            <charset val="134"/>
          </rPr>
          <t>Administrator:</t>
        </r>
        <r>
          <rPr>
            <sz val="9"/>
            <rFont val="宋体"/>
            <charset val="134"/>
          </rPr>
          <t xml:space="preserve">
4/28 PDQ折页 361pcs
</t>
        </r>
      </text>
    </comment>
    <comment ref="AI1358" authorId="0">
      <text>
        <r>
          <rPr>
            <b/>
            <sz val="9"/>
            <rFont val="宋体"/>
            <charset val="134"/>
          </rPr>
          <t>Administrator:</t>
        </r>
        <r>
          <rPr>
            <sz val="9"/>
            <rFont val="宋体"/>
            <charset val="134"/>
          </rPr>
          <t xml:space="preserve">
1403610 5/19 900pc张b3</t>
        </r>
      </text>
    </comment>
    <comment ref="AL1358" authorId="0">
      <text>
        <r>
          <rPr>
            <b/>
            <sz val="9"/>
            <rFont val="宋体"/>
            <charset val="134"/>
          </rPr>
          <t>Administrator:</t>
        </r>
        <r>
          <rPr>
            <sz val="9"/>
            <rFont val="宋体"/>
            <charset val="134"/>
          </rPr>
          <t xml:space="preserve">
5/8 uPC贴纸 900pcs
5/8 进口商贴纸 900pcs</t>
        </r>
      </text>
    </comment>
    <comment ref="AI1359" authorId="0">
      <text>
        <r>
          <rPr>
            <b/>
            <sz val="9"/>
            <rFont val="宋体"/>
            <charset val="134"/>
          </rPr>
          <t>Administrator:</t>
        </r>
        <r>
          <rPr>
            <sz val="9"/>
            <rFont val="宋体"/>
            <charset val="134"/>
          </rPr>
          <t xml:space="preserve">
1403542 5/15 1800pcs张b2</t>
        </r>
      </text>
    </comment>
    <comment ref="AL1359" authorId="0">
      <text>
        <r>
          <rPr>
            <b/>
            <sz val="9"/>
            <rFont val="宋体"/>
            <charset val="134"/>
          </rPr>
          <t>Administrator:</t>
        </r>
        <r>
          <rPr>
            <sz val="9"/>
            <rFont val="宋体"/>
            <charset val="134"/>
          </rPr>
          <t xml:space="preserve">
5/4 客户进口商贴纸(含西班牙环保 3800pcs
</t>
        </r>
      </text>
    </comment>
    <comment ref="AI1360" authorId="0">
      <text>
        <r>
          <rPr>
            <b/>
            <sz val="9"/>
            <rFont val="宋体"/>
            <charset val="134"/>
          </rPr>
          <t>Administrator:</t>
        </r>
        <r>
          <rPr>
            <sz val="9"/>
            <rFont val="宋体"/>
            <charset val="134"/>
          </rPr>
          <t xml:space="preserve">
1403604 5/19 1404pcs张3a1
1403295 5/21 52pcs</t>
        </r>
      </text>
    </comment>
    <comment ref="AL1360" authorId="0">
      <text>
        <r>
          <rPr>
            <b/>
            <sz val="9"/>
            <rFont val="宋体"/>
            <charset val="134"/>
          </rPr>
          <t>Administrator:</t>
        </r>
        <r>
          <rPr>
            <sz val="9"/>
            <rFont val="宋体"/>
            <charset val="134"/>
          </rPr>
          <t xml:space="preserve">
4/14 客供警语贴纸贴球底部 1504pcs
客供警语贴纸贴说明书 1504pcs
客供警语贴纸贴收藏指南 1504pcs</t>
        </r>
      </text>
    </comment>
    <comment ref="AI1361" authorId="0">
      <text>
        <r>
          <rPr>
            <b/>
            <sz val="9"/>
            <rFont val="宋体"/>
            <charset val="134"/>
          </rPr>
          <t>Administrator:</t>
        </r>
        <r>
          <rPr>
            <sz val="9"/>
            <rFont val="宋体"/>
            <charset val="134"/>
          </rPr>
          <t xml:space="preserve">
1406124 5/19 480pcs张b3</t>
        </r>
      </text>
    </comment>
    <comment ref="AL1361" authorId="0">
      <text>
        <r>
          <rPr>
            <b/>
            <sz val="9"/>
            <rFont val="宋体"/>
            <charset val="134"/>
          </rPr>
          <t>Administrator:</t>
        </r>
        <r>
          <rPr>
            <sz val="9"/>
            <rFont val="宋体"/>
            <charset val="134"/>
          </rPr>
          <t xml:space="preserve">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t>
        </r>
      </text>
    </comment>
    <comment ref="AI1362" authorId="0">
      <text>
        <r>
          <rPr>
            <b/>
            <sz val="9"/>
            <rFont val="宋体"/>
            <charset val="134"/>
          </rPr>
          <t>Administrator:</t>
        </r>
        <r>
          <rPr>
            <sz val="9"/>
            <rFont val="宋体"/>
            <charset val="134"/>
          </rPr>
          <t xml:space="preserve">
1403538 5/14 1100pcs张a4</t>
        </r>
      </text>
    </comment>
    <comment ref="AL1362" authorId="0">
      <text>
        <r>
          <rPr>
            <b/>
            <sz val="9"/>
            <rFont val="宋体"/>
            <charset val="134"/>
          </rPr>
          <t>Administrator:</t>
        </r>
        <r>
          <rPr>
            <sz val="9"/>
            <rFont val="宋体"/>
            <charset val="134"/>
          </rPr>
          <t xml:space="preserve">
5/8 uPC贴纸 1000pcs
5/8 进口商贴纸 100pcs
 </t>
        </r>
      </text>
    </comment>
    <comment ref="AI1363" authorId="0">
      <text>
        <r>
          <rPr>
            <b/>
            <sz val="9"/>
            <rFont val="宋体"/>
            <charset val="134"/>
          </rPr>
          <t>Administrator:</t>
        </r>
        <r>
          <rPr>
            <sz val="9"/>
            <rFont val="宋体"/>
            <charset val="134"/>
          </rPr>
          <t xml:space="preserve">
1403542 5/15 200pcs
张a6</t>
        </r>
      </text>
    </comment>
    <comment ref="AL1363" authorId="0">
      <text>
        <r>
          <rPr>
            <b/>
            <sz val="9"/>
            <rFont val="宋体"/>
            <charset val="134"/>
          </rPr>
          <t>Administrator:</t>
        </r>
        <r>
          <rPr>
            <sz val="9"/>
            <rFont val="宋体"/>
            <charset val="134"/>
          </rPr>
          <t xml:space="preserve">
4/8 DC运输貼纸 80pcs
4/13 PDQ标识贴纸 80pcs</t>
        </r>
      </text>
    </comment>
    <comment ref="AI1364" authorId="0">
      <text>
        <r>
          <rPr>
            <b/>
            <sz val="9"/>
            <rFont val="宋体"/>
            <charset val="134"/>
          </rPr>
          <t>Administrator:</t>
        </r>
        <r>
          <rPr>
            <sz val="9"/>
            <rFont val="宋体"/>
            <charset val="134"/>
          </rPr>
          <t xml:space="preserve">
1403538 5/14 2688pcs
张a6</t>
        </r>
      </text>
    </comment>
    <comment ref="AL1364" authorId="0">
      <text>
        <r>
          <rPr>
            <b/>
            <sz val="9"/>
            <rFont val="宋体"/>
            <charset val="134"/>
          </rPr>
          <t>Administrator:</t>
        </r>
        <r>
          <rPr>
            <sz val="9"/>
            <rFont val="宋体"/>
            <charset val="134"/>
          </rPr>
          <t xml:space="preserve">
5/7 客供亚马逊外箱贴纸 224pcs
</t>
        </r>
      </text>
    </comment>
    <comment ref="AI1365" authorId="0">
      <text>
        <r>
          <rPr>
            <b/>
            <sz val="9"/>
            <rFont val="宋体"/>
            <charset val="134"/>
          </rPr>
          <t>Administrator:</t>
        </r>
        <r>
          <rPr>
            <sz val="9"/>
            <rFont val="宋体"/>
            <charset val="134"/>
          </rPr>
          <t xml:space="preserve">
1403542 5/15 3204pcs
张b2</t>
        </r>
      </text>
    </comment>
    <comment ref="AL1365" authorId="0">
      <text>
        <r>
          <rPr>
            <b/>
            <sz val="9"/>
            <rFont val="宋体"/>
            <charset val="134"/>
          </rPr>
          <t>Administrator:</t>
        </r>
        <r>
          <rPr>
            <sz val="9"/>
            <rFont val="宋体"/>
            <charset val="134"/>
          </rPr>
          <t xml:space="preserve">
4/20 客供价格贴纸3525pcs
4/28 空白贴纸 3204pcs</t>
        </r>
      </text>
    </comment>
    <comment ref="AI1366" authorId="0">
      <text>
        <r>
          <rPr>
            <b/>
            <sz val="9"/>
            <rFont val="宋体"/>
            <charset val="134"/>
          </rPr>
          <t>Administrator:</t>
        </r>
        <r>
          <rPr>
            <sz val="9"/>
            <rFont val="宋体"/>
            <charset val="134"/>
          </rPr>
          <t xml:space="preserve">
1403542 5/15 3600pcs
张b2</t>
        </r>
      </text>
    </comment>
    <comment ref="AL1366" authorId="0">
      <text>
        <r>
          <rPr>
            <b/>
            <sz val="9"/>
            <rFont val="宋体"/>
            <charset val="134"/>
          </rPr>
          <t>Administrator:</t>
        </r>
        <r>
          <rPr>
            <sz val="9"/>
            <rFont val="宋体"/>
            <charset val="134"/>
          </rPr>
          <t xml:space="preserve">
4/20 客供价格贴纸 2416pcs
4/28 空白贴纸 3600pcs
</t>
        </r>
      </text>
    </comment>
    <comment ref="AI1367" authorId="0">
      <text>
        <r>
          <rPr>
            <b/>
            <sz val="9"/>
            <rFont val="宋体"/>
            <charset val="134"/>
          </rPr>
          <t>Administrator:</t>
        </r>
        <r>
          <rPr>
            <sz val="9"/>
            <rFont val="宋体"/>
            <charset val="134"/>
          </rPr>
          <t xml:space="preserve">
1403624 5/18 34320pcs</t>
        </r>
      </text>
    </comment>
    <comment ref="AL1367" authorId="0">
      <text>
        <r>
          <rPr>
            <b/>
            <sz val="9"/>
            <rFont val="宋体"/>
            <charset val="134"/>
          </rPr>
          <t>Administrator:</t>
        </r>
        <r>
          <rPr>
            <sz val="9"/>
            <rFont val="宋体"/>
            <charset val="134"/>
          </rPr>
          <t xml:space="preserve">
4/8 客供防窜码贴纸1拖13 2640pcs
4/24 条码贴纸 34320pcs
</t>
        </r>
      </text>
    </comment>
    <comment ref="AI1368" authorId="0">
      <text>
        <r>
          <rPr>
            <b/>
            <sz val="9"/>
            <rFont val="宋体"/>
            <charset val="134"/>
          </rPr>
          <t>Administrator:</t>
        </r>
        <r>
          <rPr>
            <sz val="9"/>
            <rFont val="宋体"/>
            <charset val="134"/>
          </rPr>
          <t xml:space="preserve">
1406149 5/18 10002pcs</t>
        </r>
      </text>
    </comment>
    <comment ref="AL1368" authorId="0">
      <text>
        <r>
          <rPr>
            <b/>
            <sz val="9"/>
            <rFont val="宋体"/>
            <charset val="134"/>
          </rPr>
          <t>Administrator:</t>
        </r>
        <r>
          <rPr>
            <sz val="9"/>
            <rFont val="宋体"/>
            <charset val="134"/>
          </rPr>
          <t xml:space="preserve">
4/18 客供芯片码贴纸 10002pcs
4/24 颜色贴纸 10002pcs
空白贴纸 20004pcs
</t>
        </r>
      </text>
    </comment>
    <comment ref="AI1369" authorId="0">
      <text>
        <r>
          <rPr>
            <b/>
            <sz val="9"/>
            <rFont val="宋体"/>
            <charset val="134"/>
          </rPr>
          <t>Administrator:</t>
        </r>
        <r>
          <rPr>
            <sz val="9"/>
            <rFont val="宋体"/>
            <charset val="134"/>
          </rPr>
          <t xml:space="preserve">
1403601 5/16 260pcs</t>
        </r>
      </text>
    </comment>
    <comment ref="AL1369" authorId="0">
      <text>
        <r>
          <rPr>
            <b/>
            <sz val="9"/>
            <rFont val="宋体"/>
            <charset val="134"/>
          </rPr>
          <t>Administrator:</t>
        </r>
        <r>
          <rPr>
            <sz val="9"/>
            <rFont val="宋体"/>
            <charset val="134"/>
          </rPr>
          <t xml:space="preserve">
4/298 法国sorting logo贴纸 260pcs</t>
        </r>
      </text>
    </comment>
    <comment ref="AI1370" authorId="0">
      <text>
        <r>
          <rPr>
            <b/>
            <sz val="9"/>
            <rFont val="宋体"/>
            <charset val="134"/>
          </rPr>
          <t>Administrator:</t>
        </r>
        <r>
          <rPr>
            <sz val="9"/>
            <rFont val="宋体"/>
            <charset val="134"/>
          </rPr>
          <t xml:space="preserve">
1403538 5/14 2580pcs
张b6</t>
        </r>
      </text>
    </comment>
    <comment ref="AL1370" authorId="0">
      <text>
        <r>
          <rPr>
            <b/>
            <sz val="9"/>
            <rFont val="宋体"/>
            <charset val="134"/>
          </rPr>
          <t>Administrator:</t>
        </r>
        <r>
          <rPr>
            <sz val="9"/>
            <rFont val="宋体"/>
            <charset val="134"/>
          </rPr>
          <t xml:space="preserve">
5/7 客供亚马逊外箱贴纸 215pcs
</t>
        </r>
      </text>
    </comment>
    <comment ref="AI1371" authorId="0">
      <text>
        <r>
          <rPr>
            <b/>
            <sz val="9"/>
            <rFont val="宋体"/>
            <charset val="134"/>
          </rPr>
          <t>Administrator:</t>
        </r>
        <r>
          <rPr>
            <sz val="9"/>
            <rFont val="宋体"/>
            <charset val="134"/>
          </rPr>
          <t xml:space="preserve">
1403538 5/14 180pcs
张b1</t>
        </r>
      </text>
    </comment>
    <comment ref="AL1371" authorId="0">
      <text>
        <r>
          <rPr>
            <b/>
            <sz val="9"/>
            <rFont val="宋体"/>
            <charset val="134"/>
          </rPr>
          <t>Administrator:</t>
        </r>
        <r>
          <rPr>
            <sz val="9"/>
            <rFont val="宋体"/>
            <charset val="134"/>
          </rPr>
          <t xml:space="preserve">
5/7 客供亚马逊外箱贴纸 15pcs
</t>
        </r>
      </text>
    </comment>
    <comment ref="AI1372" authorId="0">
      <text>
        <r>
          <rPr>
            <b/>
            <sz val="9"/>
            <rFont val="宋体"/>
            <charset val="134"/>
          </rPr>
          <t>Administrator:</t>
        </r>
        <r>
          <rPr>
            <sz val="9"/>
            <rFont val="宋体"/>
            <charset val="134"/>
          </rPr>
          <t xml:space="preserve">
1403499 5/14 1800pcs张b14</t>
        </r>
      </text>
    </comment>
    <comment ref="AL1372" authorId="0">
      <text>
        <r>
          <rPr>
            <b/>
            <sz val="9"/>
            <rFont val="宋体"/>
            <charset val="134"/>
          </rPr>
          <t>Administrator:</t>
        </r>
        <r>
          <rPr>
            <sz val="9"/>
            <rFont val="宋体"/>
            <charset val="134"/>
          </rPr>
          <t xml:space="preserve">
5/5  亚马逊外箱贴纸 150pcs</t>
        </r>
      </text>
    </comment>
    <comment ref="AI1373" authorId="0">
      <text>
        <r>
          <rPr>
            <b/>
            <sz val="9"/>
            <rFont val="宋体"/>
            <charset val="134"/>
          </rPr>
          <t>Administrator:</t>
        </r>
        <r>
          <rPr>
            <sz val="9"/>
            <rFont val="宋体"/>
            <charset val="134"/>
          </rPr>
          <t xml:space="preserve">
1403325 5/24 9048pcs王b14</t>
        </r>
      </text>
    </comment>
    <comment ref="AL1373" authorId="0">
      <text>
        <r>
          <rPr>
            <b/>
            <sz val="9"/>
            <rFont val="宋体"/>
            <charset val="134"/>
          </rPr>
          <t>Administrator:</t>
        </r>
        <r>
          <rPr>
            <sz val="9"/>
            <rFont val="宋体"/>
            <charset val="134"/>
          </rPr>
          <t xml:space="preserve">
5/11 共上胶袋贴纸 1600pcs
5/13 警告语贴纸 9048pcs</t>
        </r>
      </text>
    </comment>
    <comment ref="AI1374" authorId="0">
      <text>
        <r>
          <rPr>
            <b/>
            <sz val="9"/>
            <rFont val="宋体"/>
            <charset val="134"/>
          </rPr>
          <t>Administrator:</t>
        </r>
        <r>
          <rPr>
            <sz val="9"/>
            <rFont val="宋体"/>
            <charset val="134"/>
          </rPr>
          <t xml:space="preserve">
</t>
        </r>
        <r>
          <rPr>
            <sz val="14"/>
            <rFont val="宋体"/>
            <charset val="134"/>
          </rPr>
          <t>1403325 5/24 28028pcs 杨b4</t>
        </r>
      </text>
    </comment>
    <comment ref="AL1374" authorId="0">
      <text>
        <r>
          <rPr>
            <b/>
            <sz val="9"/>
            <rFont val="宋体"/>
            <charset val="134"/>
          </rPr>
          <t>Administrator:</t>
        </r>
        <r>
          <rPr>
            <sz val="9"/>
            <rFont val="宋体"/>
            <charset val="134"/>
          </rPr>
          <t xml:space="preserve">
5/11 共上胶袋贴纸 1600pcs
5/13 警告语贴纸 28020pcs
</t>
        </r>
      </text>
    </comment>
    <comment ref="AI1375" authorId="0">
      <text>
        <r>
          <rPr>
            <b/>
            <sz val="9"/>
            <rFont val="宋体"/>
            <charset val="134"/>
          </rPr>
          <t>Administrator:</t>
        </r>
        <r>
          <rPr>
            <sz val="9"/>
            <rFont val="宋体"/>
            <charset val="134"/>
          </rPr>
          <t xml:space="preserve">
1403325 5/24 3016pcs
杨b3</t>
        </r>
      </text>
    </comment>
    <comment ref="AL1375" authorId="0">
      <text>
        <r>
          <rPr>
            <b/>
            <sz val="9"/>
            <rFont val="宋体"/>
            <charset val="134"/>
          </rPr>
          <t>Administrator:</t>
        </r>
        <r>
          <rPr>
            <sz val="9"/>
            <rFont val="宋体"/>
            <charset val="134"/>
          </rPr>
          <t xml:space="preserve">
5/11 共上胶袋贴纸 1600pcs
5/13 警告语贴纸 3016pcs
</t>
        </r>
      </text>
    </comment>
    <comment ref="AI1376" authorId="0">
      <text>
        <r>
          <rPr>
            <b/>
            <sz val="9"/>
            <rFont val="宋体"/>
            <charset val="134"/>
          </rPr>
          <t>Administrator:</t>
        </r>
        <r>
          <rPr>
            <sz val="9"/>
            <rFont val="宋体"/>
            <charset val="134"/>
          </rPr>
          <t xml:space="preserve">
1403325 5/24 416pcs
杨b14</t>
        </r>
      </text>
    </comment>
    <comment ref="AL1376" authorId="0">
      <text>
        <r>
          <rPr>
            <b/>
            <sz val="9"/>
            <rFont val="宋体"/>
            <charset val="134"/>
          </rPr>
          <t>Administrator:</t>
        </r>
        <r>
          <rPr>
            <sz val="9"/>
            <rFont val="宋体"/>
            <charset val="134"/>
          </rPr>
          <t xml:space="preserve">
4/7 警语贴纸 416pcs
5/11 胶袋贴纸共上 1672pcs</t>
        </r>
      </text>
    </comment>
    <comment ref="AI1377" authorId="0">
      <text>
        <r>
          <rPr>
            <b/>
            <sz val="9"/>
            <rFont val="宋体"/>
            <charset val="134"/>
          </rPr>
          <t>Administrator:</t>
        </r>
        <r>
          <rPr>
            <sz val="9"/>
            <rFont val="宋体"/>
            <charset val="134"/>
          </rPr>
          <t xml:space="preserve">
1403325 5/24 2028pcs
杨b8</t>
        </r>
      </text>
    </comment>
    <comment ref="AL1377" authorId="0">
      <text>
        <r>
          <rPr>
            <b/>
            <sz val="9"/>
            <rFont val="宋体"/>
            <charset val="134"/>
          </rPr>
          <t>Administrator:</t>
        </r>
        <r>
          <rPr>
            <sz val="9"/>
            <rFont val="宋体"/>
            <charset val="134"/>
          </rPr>
          <t xml:space="preserve">
4/7 警语贴纸 2028pcs
5/11 胶袋贴纸 共上1672pcs
</t>
        </r>
      </text>
    </comment>
    <comment ref="AI1378" authorId="0">
      <text>
        <r>
          <rPr>
            <b/>
            <sz val="9"/>
            <rFont val="宋体"/>
            <charset val="134"/>
          </rPr>
          <t>Administrator:</t>
        </r>
        <r>
          <rPr>
            <sz val="9"/>
            <rFont val="宋体"/>
            <charset val="134"/>
          </rPr>
          <t xml:space="preserve">
1403267 5/21 12300pcs新b2</t>
        </r>
      </text>
    </comment>
    <comment ref="AL1378" authorId="0">
      <text>
        <r>
          <rPr>
            <b/>
            <sz val="9"/>
            <rFont val="宋体"/>
            <charset val="134"/>
          </rPr>
          <t>Administrator:</t>
        </r>
        <r>
          <rPr>
            <sz val="9"/>
            <rFont val="宋体"/>
            <charset val="134"/>
          </rPr>
          <t xml:space="preserve">
4/7 UPC条码贴纸 12300pcs
</t>
        </r>
      </text>
    </comment>
    <comment ref="AI1379" authorId="0">
      <text>
        <r>
          <rPr>
            <b/>
            <sz val="9"/>
            <rFont val="宋体"/>
            <charset val="134"/>
          </rPr>
          <t>Administrator:</t>
        </r>
        <r>
          <rPr>
            <sz val="9"/>
            <rFont val="宋体"/>
            <charset val="134"/>
          </rPr>
          <t xml:space="preserve">
1403285 5/20 1250pcs张ca11</t>
        </r>
      </text>
    </comment>
    <comment ref="AL1379" authorId="0">
      <text>
        <r>
          <rPr>
            <b/>
            <sz val="9"/>
            <rFont val="宋体"/>
            <charset val="134"/>
          </rPr>
          <t>Administrator:</t>
        </r>
        <r>
          <rPr>
            <sz val="9"/>
            <rFont val="宋体"/>
            <charset val="134"/>
          </rPr>
          <t xml:space="preserve">
4/28 客人通用进口商贴纸 1250pcs
通用UPC条码贴纸 1250pcs</t>
        </r>
      </text>
    </comment>
    <comment ref="AI1380" authorId="0">
      <text>
        <r>
          <rPr>
            <b/>
            <sz val="9"/>
            <rFont val="宋体"/>
            <charset val="134"/>
          </rPr>
          <t>Administrator:</t>
        </r>
        <r>
          <rPr>
            <sz val="9"/>
            <rFont val="宋体"/>
            <charset val="134"/>
          </rPr>
          <t xml:space="preserve">
1403321 5/24 22000pcs
杨3c3</t>
        </r>
      </text>
    </comment>
    <comment ref="AL1380" authorId="0">
      <text>
        <r>
          <rPr>
            <b/>
            <sz val="9"/>
            <rFont val="宋体"/>
            <charset val="134"/>
          </rPr>
          <t>Administrator:</t>
        </r>
        <r>
          <rPr>
            <sz val="9"/>
            <rFont val="宋体"/>
            <charset val="134"/>
          </rPr>
          <t xml:space="preserve">
4/28 空白贴纸 22000pcs
5/5 进口商贴纸 22000pcs</t>
        </r>
      </text>
    </comment>
    <comment ref="AI1381" authorId="0">
      <text>
        <r>
          <rPr>
            <b/>
            <sz val="9"/>
            <rFont val="宋体"/>
            <charset val="134"/>
          </rPr>
          <t>Administrator:</t>
        </r>
        <r>
          <rPr>
            <sz val="9"/>
            <rFont val="宋体"/>
            <charset val="134"/>
          </rPr>
          <t xml:space="preserve">
1403285 5/20 500pcs
张a11</t>
        </r>
      </text>
    </comment>
    <comment ref="AI1382" authorId="0">
      <text>
        <r>
          <rPr>
            <b/>
            <sz val="9"/>
            <rFont val="宋体"/>
            <charset val="134"/>
          </rPr>
          <t>Administrator:</t>
        </r>
        <r>
          <rPr>
            <sz val="9"/>
            <rFont val="宋体"/>
            <charset val="134"/>
          </rPr>
          <t xml:space="preserve">
1403319 5/24 102pcs
杨b4</t>
        </r>
      </text>
    </comment>
    <comment ref="AL1382" authorId="0">
      <text>
        <r>
          <rPr>
            <b/>
            <sz val="9"/>
            <rFont val="宋体"/>
            <charset val="134"/>
          </rPr>
          <t>Administrator:</t>
        </r>
        <r>
          <rPr>
            <sz val="9"/>
            <rFont val="宋体"/>
            <charset val="134"/>
          </rPr>
          <t xml:space="preserve">
5/11 WIC 贴纸 102pcs
PDQ折页 17pcs</t>
        </r>
      </text>
    </comment>
    <comment ref="AI1383" authorId="0">
      <text>
        <r>
          <rPr>
            <b/>
            <sz val="9"/>
            <rFont val="宋体"/>
            <charset val="134"/>
          </rPr>
          <t>Administrator:</t>
        </r>
        <r>
          <rPr>
            <sz val="9"/>
            <rFont val="宋体"/>
            <charset val="134"/>
          </rPr>
          <t xml:space="preserve">
1403319 5/24 894pcs
杨b4
</t>
        </r>
      </text>
    </comment>
    <comment ref="AL1383" authorId="0">
      <text>
        <r>
          <rPr>
            <b/>
            <sz val="9"/>
            <rFont val="宋体"/>
            <charset val="134"/>
          </rPr>
          <t>Administrator:</t>
        </r>
        <r>
          <rPr>
            <sz val="9"/>
            <rFont val="宋体"/>
            <charset val="134"/>
          </rPr>
          <t xml:space="preserve">
5/11 WIC 贴纸 894pcs
PDQ折页 149pcs
</t>
        </r>
      </text>
    </comment>
    <comment ref="AI1384" authorId="0">
      <text>
        <r>
          <rPr>
            <b/>
            <sz val="9"/>
            <rFont val="宋体"/>
            <charset val="134"/>
          </rPr>
          <t>Administrator:</t>
        </r>
        <r>
          <rPr>
            <sz val="9"/>
            <rFont val="宋体"/>
            <charset val="134"/>
          </rPr>
          <t xml:space="preserve">
1403319 5/24 1110pcs
杨b4
</t>
        </r>
      </text>
    </comment>
    <comment ref="AL1384" authorId="0">
      <text>
        <r>
          <rPr>
            <b/>
            <sz val="9"/>
            <rFont val="宋体"/>
            <charset val="134"/>
          </rPr>
          <t>Administrator:</t>
        </r>
        <r>
          <rPr>
            <sz val="9"/>
            <rFont val="宋体"/>
            <charset val="134"/>
          </rPr>
          <t xml:space="preserve">
5/11 WIC 贴纸 1110pcs
PDQ折页 185pcs
</t>
        </r>
      </text>
    </comment>
    <comment ref="AI1385" authorId="0">
      <text>
        <r>
          <rPr>
            <b/>
            <sz val="9"/>
            <rFont val="宋体"/>
            <charset val="134"/>
          </rPr>
          <t>Administrator:</t>
        </r>
        <r>
          <rPr>
            <sz val="9"/>
            <rFont val="宋体"/>
            <charset val="134"/>
          </rPr>
          <t xml:space="preserve">
1403319 5/24 414pcs
杨b4
</t>
        </r>
      </text>
    </comment>
    <comment ref="AL1385" authorId="0">
      <text>
        <r>
          <rPr>
            <b/>
            <sz val="9"/>
            <rFont val="宋体"/>
            <charset val="134"/>
          </rPr>
          <t>Administrator:</t>
        </r>
        <r>
          <rPr>
            <sz val="9"/>
            <rFont val="宋体"/>
            <charset val="134"/>
          </rPr>
          <t xml:space="preserve">
5/11 WIC 贴纸 414pcs
PDQ折页 69pcs
</t>
        </r>
      </text>
    </comment>
    <comment ref="AI1386" authorId="0">
      <text>
        <r>
          <rPr>
            <b/>
            <sz val="9"/>
            <rFont val="宋体"/>
            <charset val="134"/>
          </rPr>
          <t>Administrator:</t>
        </r>
        <r>
          <rPr>
            <sz val="9"/>
            <rFont val="宋体"/>
            <charset val="134"/>
          </rPr>
          <t xml:space="preserve">
1403319 5/24 2454pcs
杨b4
</t>
        </r>
      </text>
    </comment>
    <comment ref="AL1386" authorId="0">
      <text>
        <r>
          <rPr>
            <b/>
            <sz val="9"/>
            <rFont val="宋体"/>
            <charset val="134"/>
          </rPr>
          <t>Administrator:</t>
        </r>
        <r>
          <rPr>
            <sz val="9"/>
            <rFont val="宋体"/>
            <charset val="134"/>
          </rPr>
          <t xml:space="preserve">
5/11 WIC 贴纸 2454pcs
PDQ折页 409pcs
</t>
        </r>
      </text>
    </comment>
    <comment ref="AI1387" authorId="0">
      <text>
        <r>
          <rPr>
            <b/>
            <sz val="9"/>
            <rFont val="宋体"/>
            <charset val="134"/>
          </rPr>
          <t>Administrator:</t>
        </r>
        <r>
          <rPr>
            <sz val="9"/>
            <rFont val="宋体"/>
            <charset val="134"/>
          </rPr>
          <t xml:space="preserve">
1403319 5/24 318pcs
杨b4
</t>
        </r>
      </text>
    </comment>
    <comment ref="AL1387" authorId="0">
      <text>
        <r>
          <rPr>
            <b/>
            <sz val="9"/>
            <rFont val="宋体"/>
            <charset val="134"/>
          </rPr>
          <t>Administrator:</t>
        </r>
        <r>
          <rPr>
            <sz val="9"/>
            <rFont val="宋体"/>
            <charset val="134"/>
          </rPr>
          <t xml:space="preserve">
5/11 WIC 贴纸 318pcs
PDQ折页 53pcs
</t>
        </r>
      </text>
    </comment>
    <comment ref="AI1388" authorId="0">
      <text>
        <r>
          <rPr>
            <b/>
            <sz val="9"/>
            <rFont val="宋体"/>
            <charset val="134"/>
          </rPr>
          <t>Administrator:</t>
        </r>
        <r>
          <rPr>
            <sz val="9"/>
            <rFont val="宋体"/>
            <charset val="134"/>
          </rPr>
          <t xml:space="preserve">
1403315 5/22 600pcs新b3</t>
        </r>
      </text>
    </comment>
    <comment ref="AL1388" authorId="0">
      <text>
        <r>
          <rPr>
            <b/>
            <sz val="9"/>
            <rFont val="宋体"/>
            <charset val="134"/>
          </rPr>
          <t>Administrator:</t>
        </r>
        <r>
          <rPr>
            <sz val="9"/>
            <rFont val="宋体"/>
            <charset val="134"/>
          </rPr>
          <t xml:space="preserve">
5/8 客户款号EAN条码贴纸 600pcs
空白贴纸 1200pcs
德语警告语贴纸 1200pcs</t>
        </r>
      </text>
    </comment>
    <comment ref="AI1389" authorId="0">
      <text>
        <r>
          <rPr>
            <b/>
            <sz val="9"/>
            <rFont val="宋体"/>
            <charset val="134"/>
          </rPr>
          <t>Administrator:</t>
        </r>
        <r>
          <rPr>
            <sz val="9"/>
            <rFont val="宋体"/>
            <charset val="134"/>
          </rPr>
          <t xml:space="preserve">
3001642 5/24 2004pcs
张顶b1</t>
        </r>
      </text>
    </comment>
    <comment ref="AL1389" authorId="0">
      <text>
        <r>
          <rPr>
            <b/>
            <sz val="9"/>
            <rFont val="宋体"/>
            <charset val="134"/>
          </rPr>
          <t>Administrator:</t>
        </r>
        <r>
          <rPr>
            <sz val="9"/>
            <rFont val="宋体"/>
            <charset val="134"/>
          </rPr>
          <t xml:space="preserve">
4/14 客供价格贴纸 2100pcs</t>
        </r>
      </text>
    </comment>
    <comment ref="AI1390" authorId="0">
      <text>
        <r>
          <rPr>
            <b/>
            <sz val="9"/>
            <rFont val="宋体"/>
            <charset val="134"/>
          </rPr>
          <t>Administrator:</t>
        </r>
        <r>
          <rPr>
            <sz val="9"/>
            <rFont val="宋体"/>
            <charset val="134"/>
          </rPr>
          <t xml:space="preserve">
1403319 5/24 3000pcs
杨b14</t>
        </r>
      </text>
    </comment>
    <comment ref="AL1390" authorId="0">
      <text>
        <r>
          <rPr>
            <b/>
            <sz val="9"/>
            <rFont val="宋体"/>
            <charset val="134"/>
          </rPr>
          <t>Administrator:</t>
        </r>
        <r>
          <rPr>
            <sz val="9"/>
            <rFont val="宋体"/>
            <charset val="134"/>
          </rPr>
          <t xml:space="preserve">
4/14 客供价格贴纸 3150pcs 
</t>
        </r>
      </text>
    </comment>
    <comment ref="AI1391" authorId="0">
      <text>
        <r>
          <rPr>
            <b/>
            <sz val="9"/>
            <rFont val="宋体"/>
            <charset val="134"/>
          </rPr>
          <t>Administrator:</t>
        </r>
        <r>
          <rPr>
            <sz val="9"/>
            <rFont val="宋体"/>
            <charset val="134"/>
          </rPr>
          <t xml:space="preserve">
1403285 5/20 2500pcs
张a6</t>
        </r>
      </text>
    </comment>
    <comment ref="AL1391" authorId="0">
      <text>
        <r>
          <rPr>
            <b/>
            <sz val="9"/>
            <rFont val="宋体"/>
            <charset val="134"/>
          </rPr>
          <t>Administrator:</t>
        </r>
        <r>
          <rPr>
            <sz val="9"/>
            <rFont val="宋体"/>
            <charset val="134"/>
          </rPr>
          <t xml:space="preserve">
4/21 挪威语警告语贴纸 2500pcs</t>
        </r>
      </text>
    </comment>
    <comment ref="AI1392" authorId="0">
      <text>
        <r>
          <rPr>
            <b/>
            <sz val="9"/>
            <rFont val="宋体"/>
            <charset val="134"/>
          </rPr>
          <t>Administrator:</t>
        </r>
        <r>
          <rPr>
            <sz val="9"/>
            <rFont val="宋体"/>
            <charset val="134"/>
          </rPr>
          <t xml:space="preserve">
2800031 5/27 7241pcs</t>
        </r>
      </text>
    </comment>
    <comment ref="AL1392" authorId="0">
      <text>
        <r>
          <rPr>
            <b/>
            <sz val="9"/>
            <rFont val="宋体"/>
            <charset val="134"/>
          </rPr>
          <t>Administrator:</t>
        </r>
        <r>
          <rPr>
            <sz val="9"/>
            <rFont val="宋体"/>
            <charset val="134"/>
          </rPr>
          <t xml:space="preserve">
5/8 PDQ贴纸 557pcs
5/11 进口商贴纸 7241pcs</t>
        </r>
      </text>
    </comment>
    <comment ref="AI1393" authorId="0">
      <text>
        <r>
          <rPr>
            <sz val="9"/>
            <rFont val="宋体"/>
            <charset val="134"/>
          </rPr>
          <t>Administrator:
2800001 5/27 1380pcs</t>
        </r>
        <r>
          <rPr>
            <b/>
            <sz val="9"/>
            <rFont val="宋体"/>
            <charset val="134"/>
          </rPr>
          <t xml:space="preserve">
石玉珍:</t>
        </r>
        <r>
          <rPr>
            <sz val="9"/>
            <rFont val="宋体"/>
            <charset val="134"/>
          </rPr>
          <t xml:space="preserve">
2800016 5/28 6840pcs</t>
        </r>
      </text>
    </comment>
    <comment ref="AL1393" authorId="0">
      <text>
        <r>
          <rPr>
            <b/>
            <sz val="9"/>
            <rFont val="宋体"/>
            <charset val="134"/>
          </rPr>
          <t>Administrator:</t>
        </r>
        <r>
          <rPr>
            <sz val="9"/>
            <rFont val="宋体"/>
            <charset val="134"/>
          </rPr>
          <t xml:space="preserve">
5/8 展示架贴纸 274pcs
5/13 进口商贴纸 8220pcs</t>
        </r>
      </text>
    </comment>
    <comment ref="AI1394" authorId="0">
      <text>
        <r>
          <rPr>
            <b/>
            <sz val="9"/>
            <rFont val="宋体"/>
            <charset val="134"/>
          </rPr>
          <t>Administrator:</t>
        </r>
        <r>
          <rPr>
            <sz val="9"/>
            <rFont val="宋体"/>
            <charset val="134"/>
          </rPr>
          <t xml:space="preserve">
1403338 5/26 2860pcs</t>
        </r>
      </text>
    </comment>
    <comment ref="AL1394" authorId="0">
      <text>
        <r>
          <rPr>
            <b/>
            <sz val="9"/>
            <rFont val="宋体"/>
            <charset val="134"/>
          </rPr>
          <t>Administrator:</t>
        </r>
        <r>
          <rPr>
            <sz val="9"/>
            <rFont val="宋体"/>
            <charset val="134"/>
          </rPr>
          <t xml:space="preserve">
5/11 大语警告语贴 4885pcs
小语警告语贴 34195pcs两单共上 
5/13 多语折叠警告语贴纸 2860pcs</t>
        </r>
      </text>
    </comment>
    <comment ref="AI1395" authorId="0">
      <text>
        <r>
          <rPr>
            <b/>
            <sz val="9"/>
            <rFont val="宋体"/>
            <charset val="134"/>
          </rPr>
          <t>Administrator:</t>
        </r>
        <r>
          <rPr>
            <sz val="9"/>
            <rFont val="宋体"/>
            <charset val="134"/>
          </rPr>
          <t xml:space="preserve">
1403338 5/26 2025pcs
</t>
        </r>
      </text>
    </comment>
    <comment ref="AL1395" authorId="0">
      <text>
        <r>
          <rPr>
            <b/>
            <sz val="9"/>
            <rFont val="宋体"/>
            <charset val="134"/>
          </rPr>
          <t>Administrator:</t>
        </r>
        <r>
          <rPr>
            <sz val="9"/>
            <rFont val="宋体"/>
            <charset val="134"/>
          </rPr>
          <t xml:space="preserve">
5/11 大语警告语贴 2025pcs
小语警告语贴 pcs
5/13 多语折叠警告语贴纸 2025pcs
</t>
        </r>
      </text>
    </comment>
    <comment ref="AI1396" authorId="0">
      <text>
        <r>
          <rPr>
            <b/>
            <sz val="9"/>
            <rFont val="宋体"/>
            <charset val="134"/>
          </rPr>
          <t>Administrator:</t>
        </r>
        <r>
          <rPr>
            <sz val="9"/>
            <rFont val="宋体"/>
            <charset val="134"/>
          </rPr>
          <t xml:space="preserve">
1403338 5/26 2600pcs
</t>
        </r>
      </text>
    </comment>
    <comment ref="AL1396" authorId="0">
      <text>
        <r>
          <rPr>
            <b/>
            <sz val="9"/>
            <rFont val="宋体"/>
            <charset val="134"/>
          </rPr>
          <t>Administrator:</t>
        </r>
        <r>
          <rPr>
            <sz val="9"/>
            <rFont val="宋体"/>
            <charset val="134"/>
          </rPr>
          <t xml:space="preserve">
5/8 四国警告语贴纸 2600pcs
UPC条码贴纸 2600pcs</t>
        </r>
      </text>
    </comment>
    <comment ref="AI1397" authorId="0">
      <text>
        <r>
          <rPr>
            <b/>
            <sz val="9"/>
            <rFont val="宋体"/>
            <charset val="134"/>
          </rPr>
          <t>Administrator:</t>
        </r>
        <r>
          <rPr>
            <sz val="9"/>
            <rFont val="宋体"/>
            <charset val="134"/>
          </rPr>
          <t xml:space="preserve">
1403338 5/26 7000pcs
</t>
        </r>
      </text>
    </comment>
    <comment ref="AL1397" authorId="0">
      <text>
        <r>
          <rPr>
            <b/>
            <sz val="9"/>
            <rFont val="宋体"/>
            <charset val="134"/>
          </rPr>
          <t>Administrator:</t>
        </r>
        <r>
          <rPr>
            <sz val="9"/>
            <rFont val="宋体"/>
            <charset val="134"/>
          </rPr>
          <t xml:space="preserve">
5/11 进口商贴纸 7000pcs
UPC贴纸 7000pcs
5/18 客供价格贴纸 7000pcs
</t>
        </r>
      </text>
    </comment>
    <comment ref="AI1398" authorId="0">
      <text>
        <r>
          <rPr>
            <b/>
            <sz val="9"/>
            <rFont val="宋体"/>
            <charset val="134"/>
          </rPr>
          <t>Administrator:</t>
        </r>
        <r>
          <rPr>
            <sz val="9"/>
            <rFont val="宋体"/>
            <charset val="134"/>
          </rPr>
          <t xml:space="preserve">
1403362 5/24 47508pcs张顶a3</t>
        </r>
      </text>
    </comment>
    <comment ref="AL1398" authorId="0">
      <text>
        <r>
          <rPr>
            <b/>
            <sz val="9"/>
            <rFont val="宋体"/>
            <charset val="134"/>
          </rPr>
          <t>Administrator:</t>
        </r>
        <r>
          <rPr>
            <sz val="9"/>
            <rFont val="宋体"/>
            <charset val="134"/>
          </rPr>
          <t xml:space="preserve">
4/23 彩色贴纸 14236pcs
5/19 彩色贴纸  1600pcs</t>
        </r>
      </text>
    </comment>
    <comment ref="AI1399" authorId="2">
      <text>
        <r>
          <rPr>
            <b/>
            <sz val="9"/>
            <rFont val="宋体"/>
            <charset val="0"/>
          </rPr>
          <t>石玉珍:</t>
        </r>
        <r>
          <rPr>
            <sz val="9"/>
            <rFont val="宋体"/>
            <charset val="0"/>
          </rPr>
          <t xml:space="preserve">
2800102 6/2 150pcs</t>
        </r>
      </text>
    </comment>
    <comment ref="AI1400" authorId="2">
      <text>
        <r>
          <rPr>
            <b/>
            <sz val="9"/>
            <rFont val="宋体"/>
            <charset val="0"/>
          </rPr>
          <t>石玉珍:</t>
        </r>
        <r>
          <rPr>
            <sz val="9"/>
            <rFont val="宋体"/>
            <charset val="0"/>
          </rPr>
          <t xml:space="preserve">
2800102 6/2 3100pcs</t>
        </r>
      </text>
    </comment>
    <comment ref="AI1401" authorId="2">
      <text>
        <r>
          <rPr>
            <b/>
            <sz val="9"/>
            <rFont val="宋体"/>
            <charset val="0"/>
          </rPr>
          <t>石玉珍:</t>
        </r>
        <r>
          <rPr>
            <sz val="9"/>
            <rFont val="宋体"/>
            <charset val="0"/>
          </rPr>
          <t xml:space="preserve">
2800102 6/2 300pcs</t>
        </r>
      </text>
    </comment>
    <comment ref="AI1402" authorId="2">
      <text>
        <r>
          <rPr>
            <b/>
            <sz val="9"/>
            <rFont val="宋体"/>
            <charset val="0"/>
          </rPr>
          <t>石玉珍:</t>
        </r>
        <r>
          <rPr>
            <sz val="9"/>
            <rFont val="宋体"/>
            <charset val="0"/>
          </rPr>
          <t xml:space="preserve">
2800102 6/2 50pcs</t>
        </r>
      </text>
    </comment>
    <comment ref="AI1403" authorId="2">
      <text>
        <r>
          <rPr>
            <b/>
            <sz val="9"/>
            <rFont val="宋体"/>
            <charset val="0"/>
          </rPr>
          <t>石玉珍:</t>
        </r>
        <r>
          <rPr>
            <sz val="9"/>
            <rFont val="宋体"/>
            <charset val="0"/>
          </rPr>
          <t xml:space="preserve">
2800102 6/2 5100pcs</t>
        </r>
      </text>
    </comment>
    <comment ref="AI1404" authorId="2">
      <text>
        <r>
          <rPr>
            <b/>
            <sz val="9"/>
            <rFont val="宋体"/>
            <charset val="0"/>
          </rPr>
          <t>石玉珍:</t>
        </r>
        <r>
          <rPr>
            <sz val="9"/>
            <rFont val="宋体"/>
            <charset val="0"/>
          </rPr>
          <t xml:space="preserve">
2800102 6/2 200pcs</t>
        </r>
      </text>
    </comment>
    <comment ref="AI1405" authorId="0">
      <text>
        <r>
          <rPr>
            <b/>
            <sz val="9"/>
            <rFont val="宋体"/>
            <charset val="134"/>
          </rPr>
          <t>Administrator:</t>
        </r>
        <r>
          <rPr>
            <sz val="9"/>
            <rFont val="宋体"/>
            <charset val="134"/>
          </rPr>
          <t xml:space="preserve">
1403319 5/24 1512pcs杨b14</t>
        </r>
      </text>
    </comment>
    <comment ref="AL1405" authorId="0">
      <text>
        <r>
          <rPr>
            <b/>
            <sz val="9"/>
            <rFont val="宋体"/>
            <charset val="134"/>
          </rPr>
          <t>Administrator:</t>
        </r>
        <r>
          <rPr>
            <sz val="9"/>
            <rFont val="宋体"/>
            <charset val="134"/>
          </rPr>
          <t xml:space="preserve">
5/5 cat label 1512pcs
UPC条码贴纸 1512pcs</t>
        </r>
      </text>
    </comment>
    <comment ref="AI1406" authorId="0">
      <text>
        <r>
          <rPr>
            <b/>
            <sz val="9"/>
            <rFont val="宋体"/>
            <charset val="134"/>
          </rPr>
          <t>Administrator:</t>
        </r>
        <r>
          <rPr>
            <sz val="9"/>
            <rFont val="宋体"/>
            <charset val="134"/>
          </rPr>
          <t xml:space="preserve">
3001642 5/24 3300pcs
张顶b4</t>
        </r>
      </text>
    </comment>
    <comment ref="AL1406" authorId="0">
      <text>
        <r>
          <rPr>
            <b/>
            <sz val="9"/>
            <rFont val="宋体"/>
            <charset val="134"/>
          </rPr>
          <t>Administrator:</t>
        </r>
        <r>
          <rPr>
            <sz val="9"/>
            <rFont val="宋体"/>
            <charset val="134"/>
          </rPr>
          <t xml:space="preserve">
4/8 DC运输貼纸 132pcs
4/13 PDQ标识贴纸 132pcs
</t>
        </r>
      </text>
    </comment>
    <comment ref="AI1407" authorId="0">
      <text>
        <r>
          <rPr>
            <b/>
            <sz val="9"/>
            <rFont val="宋体"/>
            <charset val="134"/>
          </rPr>
          <t>Administrator:</t>
        </r>
        <r>
          <rPr>
            <sz val="9"/>
            <rFont val="宋体"/>
            <charset val="134"/>
          </rPr>
          <t xml:space="preserve">
1403373 5/27 960pcs</t>
        </r>
      </text>
    </comment>
    <comment ref="AL1407" authorId="0">
      <text>
        <r>
          <rPr>
            <b/>
            <sz val="9"/>
            <rFont val="宋体"/>
            <charset val="134"/>
          </rPr>
          <t>Administrator:</t>
        </r>
        <r>
          <rPr>
            <sz val="9"/>
            <rFont val="宋体"/>
            <charset val="134"/>
          </rPr>
          <t xml:space="preserve">
4/20 客供RID贴纸 960pcs
</t>
        </r>
      </text>
    </comment>
    <comment ref="AI1408" authorId="0">
      <text>
        <r>
          <rPr>
            <b/>
            <sz val="9"/>
            <rFont val="宋体"/>
            <charset val="134"/>
          </rPr>
          <t>Administrator:</t>
        </r>
        <r>
          <rPr>
            <sz val="9"/>
            <rFont val="宋体"/>
            <charset val="134"/>
          </rPr>
          <t xml:space="preserve">
1403373 5/27 2880pcs
</t>
        </r>
      </text>
    </comment>
    <comment ref="AL1408" authorId="0">
      <text>
        <r>
          <rPr>
            <b/>
            <sz val="9"/>
            <rFont val="宋体"/>
            <charset val="134"/>
          </rPr>
          <t>Administrator:</t>
        </r>
        <r>
          <rPr>
            <sz val="9"/>
            <rFont val="宋体"/>
            <charset val="134"/>
          </rPr>
          <t xml:space="preserve">
4/20 客供RID贴纸 2880pcs
</t>
        </r>
      </text>
    </comment>
    <comment ref="AI1409" authorId="0">
      <text>
        <r>
          <rPr>
            <b/>
            <sz val="9"/>
            <rFont val="宋体"/>
            <charset val="134"/>
          </rPr>
          <t>Administrator:</t>
        </r>
        <r>
          <rPr>
            <sz val="9"/>
            <rFont val="宋体"/>
            <charset val="134"/>
          </rPr>
          <t xml:space="preserve">
1403373 5/27 5760pcs
</t>
        </r>
      </text>
    </comment>
    <comment ref="AL1409" authorId="0">
      <text>
        <r>
          <rPr>
            <b/>
            <sz val="9"/>
            <rFont val="宋体"/>
            <charset val="134"/>
          </rPr>
          <t>Administrator:</t>
        </r>
        <r>
          <rPr>
            <sz val="9"/>
            <rFont val="宋体"/>
            <charset val="134"/>
          </rPr>
          <t xml:space="preserve">
4/20 客供RID贴纸 5760pcs</t>
        </r>
      </text>
    </comment>
    <comment ref="AI1410" authorId="0">
      <text>
        <r>
          <rPr>
            <b/>
            <sz val="9"/>
            <rFont val="宋体"/>
            <charset val="134"/>
          </rPr>
          <t>Administrator:</t>
        </r>
        <r>
          <rPr>
            <sz val="9"/>
            <rFont val="宋体"/>
            <charset val="134"/>
          </rPr>
          <t xml:space="preserve">
1403373 5/27 9600pcs
</t>
        </r>
      </text>
    </comment>
    <comment ref="AL1410" authorId="0">
      <text>
        <r>
          <rPr>
            <b/>
            <sz val="9"/>
            <rFont val="宋体"/>
            <charset val="134"/>
          </rPr>
          <t>Administrator:</t>
        </r>
        <r>
          <rPr>
            <sz val="9"/>
            <rFont val="宋体"/>
            <charset val="134"/>
          </rPr>
          <t xml:space="preserve">
4/20 客供RID贴纸 9600pcs
</t>
        </r>
      </text>
    </comment>
    <comment ref="AI1411" authorId="0">
      <text>
        <r>
          <rPr>
            <b/>
            <sz val="9"/>
            <rFont val="宋体"/>
            <charset val="134"/>
          </rPr>
          <t>Administrator:</t>
        </r>
        <r>
          <rPr>
            <sz val="9"/>
            <rFont val="宋体"/>
            <charset val="134"/>
          </rPr>
          <t xml:space="preserve">
1403373 5/27 10560pcs
</t>
        </r>
      </text>
    </comment>
    <comment ref="AL1411" authorId="0">
      <text>
        <r>
          <rPr>
            <b/>
            <sz val="9"/>
            <rFont val="宋体"/>
            <charset val="134"/>
          </rPr>
          <t>Administrator:</t>
        </r>
        <r>
          <rPr>
            <sz val="9"/>
            <rFont val="宋体"/>
            <charset val="134"/>
          </rPr>
          <t xml:space="preserve">
4/20 客供RID贴纸10560pcs
</t>
        </r>
      </text>
    </comment>
    <comment ref="AI1412" authorId="0">
      <text>
        <r>
          <rPr>
            <b/>
            <sz val="9"/>
            <rFont val="宋体"/>
            <charset val="134"/>
          </rPr>
          <t>Administrator:</t>
        </r>
        <r>
          <rPr>
            <sz val="9"/>
            <rFont val="宋体"/>
            <charset val="134"/>
          </rPr>
          <t xml:space="preserve">
1403373 5/27 13440pcs
</t>
        </r>
      </text>
    </comment>
    <comment ref="AL1412" authorId="0">
      <text>
        <r>
          <rPr>
            <b/>
            <sz val="9"/>
            <rFont val="宋体"/>
            <charset val="134"/>
          </rPr>
          <t>Administrator:</t>
        </r>
        <r>
          <rPr>
            <sz val="9"/>
            <rFont val="宋体"/>
            <charset val="134"/>
          </rPr>
          <t xml:space="preserve">
4/20 客供RID贴纸134400pcs
</t>
        </r>
      </text>
    </comment>
    <comment ref="AI1413" authorId="0">
      <text>
        <r>
          <rPr>
            <b/>
            <sz val="9"/>
            <rFont val="宋体"/>
            <charset val="134"/>
          </rPr>
          <t>Administrator:</t>
        </r>
        <r>
          <rPr>
            <sz val="9"/>
            <rFont val="宋体"/>
            <charset val="134"/>
          </rPr>
          <t xml:space="preserve">
1406136 5/22 3186pcs新b13</t>
        </r>
      </text>
    </comment>
    <comment ref="AL1413" authorId="0">
      <text>
        <r>
          <rPr>
            <b/>
            <sz val="9"/>
            <rFont val="宋体"/>
            <charset val="134"/>
          </rPr>
          <t>Administrator:</t>
        </r>
        <r>
          <rPr>
            <sz val="9"/>
            <rFont val="宋体"/>
            <charset val="134"/>
          </rPr>
          <t xml:space="preserve">
5/11 Kmart外箱贴纸 531pcs 
收缩膜+说明书纽扣电池警告语贴纸 3186pcs</t>
        </r>
      </text>
    </comment>
    <comment ref="AI1414" authorId="0">
      <text>
        <r>
          <rPr>
            <b/>
            <sz val="9"/>
            <rFont val="宋体"/>
            <charset val="134"/>
          </rPr>
          <t>Administrator:</t>
        </r>
        <r>
          <rPr>
            <sz val="9"/>
            <rFont val="宋体"/>
            <charset val="134"/>
          </rPr>
          <t xml:space="preserve">
1406136 5/22 318pcs新b1</t>
        </r>
      </text>
    </comment>
    <comment ref="AL1414" authorId="0">
      <text>
        <r>
          <rPr>
            <b/>
            <sz val="9"/>
            <rFont val="宋体"/>
            <charset val="134"/>
          </rPr>
          <t>Administrator:</t>
        </r>
        <r>
          <rPr>
            <sz val="9"/>
            <rFont val="宋体"/>
            <charset val="134"/>
          </rPr>
          <t xml:space="preserve">
5/11 Kmart外箱贴纸 53pcs
收缩膜+说明书纽扣电池警告语贴纸 318pcs</t>
        </r>
      </text>
    </comment>
    <comment ref="AI1415" authorId="0">
      <text>
        <r>
          <rPr>
            <b/>
            <sz val="9"/>
            <rFont val="宋体"/>
            <charset val="134"/>
          </rPr>
          <t>Administrator:</t>
        </r>
        <r>
          <rPr>
            <sz val="9"/>
            <rFont val="宋体"/>
            <charset val="134"/>
          </rPr>
          <t xml:space="preserve">
1403351 5/25 32pcs
1403374 5/26 8352pcs</t>
        </r>
      </text>
    </comment>
    <comment ref="AI1416" authorId="0">
      <text>
        <r>
          <rPr>
            <b/>
            <sz val="9"/>
            <rFont val="宋体"/>
            <charset val="134"/>
          </rPr>
          <t>Administrator:</t>
        </r>
        <r>
          <rPr>
            <sz val="9"/>
            <rFont val="宋体"/>
            <charset val="134"/>
          </rPr>
          <t xml:space="preserve">
1406117 5/24 1200pcs
张顶a7</t>
        </r>
      </text>
    </comment>
    <comment ref="AL1416" authorId="0">
      <text>
        <r>
          <rPr>
            <b/>
            <sz val="9"/>
            <rFont val="宋体"/>
            <charset val="134"/>
          </rPr>
          <t>Administrator:</t>
        </r>
        <r>
          <rPr>
            <sz val="9"/>
            <rFont val="宋体"/>
            <charset val="134"/>
          </rPr>
          <t xml:space="preserve">
4/25 警告语贴纸 1200pcs 
4/29 客供价格贴纸 1260pcs</t>
        </r>
      </text>
    </comment>
    <comment ref="AI1417" authorId="0">
      <text>
        <r>
          <rPr>
            <b/>
            <sz val="9"/>
            <rFont val="宋体"/>
            <charset val="134"/>
          </rPr>
          <t>Administrator:</t>
        </r>
        <r>
          <rPr>
            <sz val="9"/>
            <rFont val="宋体"/>
            <charset val="134"/>
          </rPr>
          <t xml:space="preserve">
1403325 5/24 2028pcs杨a9</t>
        </r>
      </text>
    </comment>
    <comment ref="AL1417" authorId="0">
      <text>
        <r>
          <rPr>
            <b/>
            <sz val="9"/>
            <rFont val="宋体"/>
            <charset val="134"/>
          </rPr>
          <t>Administrator:</t>
        </r>
        <r>
          <rPr>
            <sz val="9"/>
            <rFont val="宋体"/>
            <charset val="134"/>
          </rPr>
          <t xml:space="preserve">
4/29 客供价格贴纸 2130pcs</t>
        </r>
      </text>
    </comment>
    <comment ref="AI1418" authorId="0">
      <text>
        <r>
          <rPr>
            <b/>
            <sz val="9"/>
            <rFont val="宋体"/>
            <charset val="134"/>
          </rPr>
          <t>Administrator:</t>
        </r>
        <r>
          <rPr>
            <sz val="9"/>
            <rFont val="宋体"/>
            <charset val="134"/>
          </rPr>
          <t xml:space="preserve">
1406117 5/24 2004pcs
张顶a8</t>
        </r>
      </text>
    </comment>
    <comment ref="AL1418" authorId="0">
      <text>
        <r>
          <rPr>
            <b/>
            <sz val="9"/>
            <rFont val="宋体"/>
            <charset val="134"/>
          </rPr>
          <t>Administrator:</t>
        </r>
        <r>
          <rPr>
            <sz val="9"/>
            <rFont val="宋体"/>
            <charset val="134"/>
          </rPr>
          <t xml:space="preserve">
4/29 客供价格贴纸 2105pcs
</t>
        </r>
      </text>
    </comment>
    <comment ref="AI1420" authorId="0">
      <text>
        <r>
          <rPr>
            <b/>
            <sz val="9"/>
            <rFont val="宋体"/>
            <charset val="134"/>
          </rPr>
          <t>Administrator:</t>
        </r>
        <r>
          <rPr>
            <sz val="9"/>
            <rFont val="宋体"/>
            <charset val="134"/>
          </rPr>
          <t xml:space="preserve">
2800029 5/27 1560pcs</t>
        </r>
      </text>
    </comment>
    <comment ref="AL1420" authorId="0">
      <text>
        <r>
          <rPr>
            <b/>
            <sz val="9"/>
            <rFont val="宋体"/>
            <charset val="134"/>
          </rPr>
          <t>Administrator:</t>
        </r>
        <r>
          <rPr>
            <sz val="9"/>
            <rFont val="宋体"/>
            <charset val="134"/>
          </rPr>
          <t xml:space="preserve">
4/29 客供警语贴纸贴球底部 1560pcs
客供警语贴纸贴收藏指南 1610pcs
客供警语贴纸贴说明书 1610pcs</t>
        </r>
      </text>
    </comment>
    <comment ref="AI1421" authorId="0">
      <text>
        <r>
          <rPr>
            <b/>
            <sz val="9"/>
            <rFont val="宋体"/>
            <charset val="134"/>
          </rPr>
          <t>Administrator:</t>
        </r>
        <r>
          <rPr>
            <sz val="9"/>
            <rFont val="宋体"/>
            <charset val="134"/>
          </rPr>
          <t xml:space="preserve">
2800029 5/27 1200pcs
</t>
        </r>
      </text>
    </comment>
    <comment ref="AL1421" authorId="0">
      <text>
        <r>
          <rPr>
            <b/>
            <sz val="9"/>
            <rFont val="宋体"/>
            <charset val="134"/>
          </rPr>
          <t>Administrator:</t>
        </r>
        <r>
          <rPr>
            <sz val="9"/>
            <rFont val="宋体"/>
            <charset val="134"/>
          </rPr>
          <t xml:space="preserve">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t>
        </r>
      </text>
    </comment>
    <comment ref="AI1422" authorId="2">
      <text>
        <r>
          <rPr>
            <b/>
            <sz val="9"/>
            <rFont val="宋体"/>
            <charset val="0"/>
          </rPr>
          <t>石玉珍:</t>
        </r>
        <r>
          <rPr>
            <sz val="9"/>
            <rFont val="宋体"/>
            <charset val="0"/>
          </rPr>
          <t xml:space="preserve">
4001823 5/29 2520pcs应兴a6</t>
        </r>
        <r>
          <rPr>
            <b/>
            <sz val="9"/>
            <rFont val="宋体"/>
            <charset val="0"/>
          </rPr>
          <t xml:space="preserve">
石玉珍:</t>
        </r>
        <r>
          <rPr>
            <sz val="9"/>
            <rFont val="宋体"/>
            <charset val="0"/>
          </rPr>
          <t xml:space="preserve">
4001823 5/29 36pcs 杨a6</t>
        </r>
      </text>
    </comment>
    <comment ref="AL1422" authorId="0">
      <text>
        <r>
          <rPr>
            <b/>
            <sz val="9"/>
            <rFont val="宋体"/>
            <charset val="134"/>
          </rPr>
          <t>Administrator:</t>
        </r>
        <r>
          <rPr>
            <sz val="9"/>
            <rFont val="宋体"/>
            <charset val="134"/>
          </rPr>
          <t xml:space="preserve">
5/11 条码贴纸 2520pcs
进口商贴纸 2520pcs
WEEE说明书纸 2520psc
产品贴纸 2520pcs
5/11 空白贴纸 5040pcs
5/16 进口商贴纸 2520pcs
5/20 条码贴纸 2520pcs
产品贴纸 2520pcs</t>
        </r>
      </text>
    </comment>
    <comment ref="AI1423" authorId="2">
      <text>
        <r>
          <rPr>
            <b/>
            <sz val="9"/>
            <rFont val="宋体"/>
            <charset val="134"/>
          </rPr>
          <t>石玉珍:</t>
        </r>
        <r>
          <rPr>
            <sz val="9"/>
            <rFont val="宋体"/>
            <charset val="134"/>
          </rPr>
          <t xml:space="preserve">
4001823 5/29 1404pcs</t>
        </r>
        <r>
          <rPr>
            <b/>
            <sz val="9"/>
            <rFont val="宋体"/>
            <charset val="134"/>
          </rPr>
          <t xml:space="preserve">
石玉珍:</t>
        </r>
        <r>
          <rPr>
            <sz val="9"/>
            <rFont val="宋体"/>
            <charset val="134"/>
          </rPr>
          <t xml:space="preserve">
杨a9</t>
        </r>
      </text>
    </comment>
    <comment ref="AL1423" authorId="0">
      <text>
        <r>
          <rPr>
            <sz val="9"/>
            <rFont val="宋体"/>
            <charset val="134"/>
          </rPr>
          <t xml:space="preserve">Administrator:
5/12 EAN条码贴纸  1404pcs
产品贴纸 1404pcs
WEEE说明书纸 1404pcs
5/13 进口商贴纸 1404pcs
5/14 EE说明书 1404pcs（补）
5/19 进口商贴纸 1404pcs
5/20 条码贴纸 1404pcs
产品贴纸 1404pcs
5/18 进口商贴纸 1404pcs </t>
        </r>
        <r>
          <rPr>
            <b/>
            <sz val="9"/>
            <rFont val="宋体"/>
            <charset val="134"/>
          </rPr>
          <t xml:space="preserve">
石玉珍:</t>
        </r>
        <r>
          <rPr>
            <sz val="9"/>
            <rFont val="宋体"/>
            <charset val="134"/>
          </rPr>
          <t xml:space="preserve">
5/29 空白贴纸 1404pcs</t>
        </r>
      </text>
    </comment>
    <comment ref="AI1424" authorId="0">
      <text>
        <r>
          <rPr>
            <b/>
            <sz val="9"/>
            <rFont val="宋体"/>
            <charset val="134"/>
          </rPr>
          <t>Administrator:</t>
        </r>
        <r>
          <rPr>
            <sz val="9"/>
            <rFont val="宋体"/>
            <charset val="134"/>
          </rPr>
          <t xml:space="preserve">
2800004 5/27 4004；pcs</t>
        </r>
      </text>
    </comment>
    <comment ref="AL1424" authorId="0">
      <text>
        <r>
          <rPr>
            <b/>
            <sz val="9"/>
            <rFont val="宋体"/>
            <charset val="134"/>
          </rPr>
          <t>Administrator:</t>
        </r>
        <r>
          <rPr>
            <sz val="9"/>
            <rFont val="宋体"/>
            <charset val="134"/>
          </rPr>
          <t xml:space="preserve">
4/29 白色防盗贴纸 4004pcs+
5/11 UPC条码贴 4524pcs</t>
        </r>
      </text>
    </comment>
    <comment ref="AI1425" authorId="0">
      <text>
        <r>
          <rPr>
            <b/>
            <sz val="9"/>
            <rFont val="宋体"/>
            <charset val="134"/>
          </rPr>
          <t>Administrator:</t>
        </r>
        <r>
          <rPr>
            <sz val="9"/>
            <rFont val="宋体"/>
            <charset val="134"/>
          </rPr>
          <t xml:space="preserve">
2800024 5/27 520pcs</t>
        </r>
      </text>
    </comment>
    <comment ref="AL1425" authorId="0">
      <text>
        <r>
          <rPr>
            <b/>
            <sz val="9"/>
            <rFont val="宋体"/>
            <charset val="134"/>
          </rPr>
          <t>Administrator:</t>
        </r>
        <r>
          <rPr>
            <sz val="9"/>
            <rFont val="宋体"/>
            <charset val="134"/>
          </rPr>
          <t xml:space="preserve">
4/29 白色防盗贴纸 520pcs
5/11 Kmart外箱贴纸 40pcs 
5/11 UPC条码贴 520pca </t>
        </r>
      </text>
    </comment>
    <comment ref="AI1426" authorId="2">
      <text>
        <r>
          <rPr>
            <b/>
            <sz val="9"/>
            <rFont val="宋体"/>
            <charset val="134"/>
          </rPr>
          <t>石玉珍:</t>
        </r>
        <r>
          <rPr>
            <sz val="9"/>
            <rFont val="宋体"/>
            <charset val="134"/>
          </rPr>
          <t xml:space="preserve">
4001821 5/28 360pcs</t>
        </r>
      </text>
    </comment>
    <comment ref="AL1426" authorId="0">
      <text>
        <r>
          <rPr>
            <sz val="9"/>
            <rFont val="宋体"/>
            <charset val="134"/>
          </rPr>
          <t>Administrator:
5/8 进口商贴纸 360pcs
空白贴纸 720pcs
5/16 进口商贴纸 360pcs</t>
        </r>
        <r>
          <rPr>
            <b/>
            <sz val="9"/>
            <rFont val="宋体"/>
            <charset val="134"/>
          </rPr>
          <t xml:space="preserve">
石玉珍:</t>
        </r>
        <r>
          <rPr>
            <sz val="9"/>
            <rFont val="宋体"/>
            <charset val="134"/>
          </rPr>
          <t xml:space="preserve">
5/28 进口商贴纸 360pcs</t>
        </r>
      </text>
    </comment>
    <comment ref="AI1427" authorId="2">
      <text>
        <r>
          <rPr>
            <b/>
            <sz val="9"/>
            <rFont val="宋体"/>
            <charset val="0"/>
          </rPr>
          <t>石玉珍:</t>
        </r>
        <r>
          <rPr>
            <sz val="9"/>
            <rFont val="宋体"/>
            <charset val="0"/>
          </rPr>
          <t xml:space="preserve">
2800055 5/28 5000pcs直走</t>
        </r>
      </text>
    </comment>
    <comment ref="AL1427" authorId="0">
      <text>
        <r>
          <rPr>
            <b/>
            <sz val="9"/>
            <rFont val="宋体"/>
            <charset val="134"/>
          </rPr>
          <t>Administrator:</t>
        </r>
        <r>
          <rPr>
            <sz val="9"/>
            <rFont val="宋体"/>
            <charset val="134"/>
          </rPr>
          <t xml:space="preserve">
5/4 进口商贴纸 5000pcs</t>
        </r>
      </text>
    </comment>
    <comment ref="AI1428" authorId="2">
      <text>
        <r>
          <rPr>
            <b/>
            <sz val="9"/>
            <rFont val="宋体"/>
            <charset val="134"/>
          </rPr>
          <t>石玉珍:</t>
        </r>
        <r>
          <rPr>
            <sz val="9"/>
            <rFont val="宋体"/>
            <charset val="134"/>
          </rPr>
          <t xml:space="preserve">
2800067 5/29 13750pcs杨b14</t>
        </r>
      </text>
    </comment>
    <comment ref="AL1428" authorId="0">
      <text>
        <r>
          <rPr>
            <b/>
            <sz val="9"/>
            <rFont val="宋体"/>
            <charset val="134"/>
          </rPr>
          <t>Administrator:</t>
        </r>
        <r>
          <rPr>
            <sz val="9"/>
            <rFont val="宋体"/>
            <charset val="134"/>
          </rPr>
          <t xml:space="preserve">
4/28 UPC条码贴纸 13750pcs 
进口商贴纸 13750pcs</t>
        </r>
      </text>
    </comment>
    <comment ref="AI1429" authorId="2">
      <text>
        <r>
          <rPr>
            <b/>
            <sz val="9"/>
            <rFont val="宋体"/>
            <charset val="0"/>
          </rPr>
          <t>石玉珍:</t>
        </r>
        <r>
          <rPr>
            <sz val="9"/>
            <rFont val="宋体"/>
            <charset val="0"/>
          </rPr>
          <t xml:space="preserve">
4001822 5/28 2418pcs杨b4</t>
        </r>
        <r>
          <rPr>
            <b/>
            <sz val="9"/>
            <rFont val="宋体"/>
            <charset val="0"/>
          </rPr>
          <t xml:space="preserve">
石玉珍:</t>
        </r>
        <r>
          <rPr>
            <sz val="9"/>
            <rFont val="宋体"/>
            <charset val="0"/>
          </rPr>
          <t xml:space="preserve">
4001829 5/30 12pcs</t>
        </r>
      </text>
    </comment>
    <comment ref="AL1429" authorId="0">
      <text>
        <r>
          <rPr>
            <b/>
            <sz val="9"/>
            <rFont val="宋体"/>
            <charset val="134"/>
          </rPr>
          <t>Administrator:</t>
        </r>
        <r>
          <rPr>
            <sz val="9"/>
            <rFont val="宋体"/>
            <charset val="134"/>
          </rPr>
          <t xml:space="preserve">
5/8 条码贴纸 2418pcs
进口商贴纸 2418pcs
产品贴纸 2418pcs
WEEE说明书纸 2418ps
5/8 空白贴纸 4686pcs
5/20 条码贴纸 2418pcs
产品贴纸 2418pcs
5/18 进口商贴纸 2418pcs
</t>
        </r>
      </text>
    </comment>
    <comment ref="AI1430" authorId="2">
      <text>
        <r>
          <rPr>
            <b/>
            <sz val="9"/>
            <rFont val="宋体"/>
            <charset val="0"/>
          </rPr>
          <t>石玉珍:</t>
        </r>
        <r>
          <rPr>
            <sz val="9"/>
            <rFont val="宋体"/>
            <charset val="0"/>
          </rPr>
          <t xml:space="preserve">
2800110 6/1 3600pcs张顶c4</t>
        </r>
      </text>
    </comment>
    <comment ref="AL1430" authorId="0">
      <text>
        <r>
          <rPr>
            <b/>
            <sz val="9"/>
            <rFont val="宋体"/>
            <charset val="134"/>
          </rPr>
          <t>Administrator:</t>
        </r>
        <r>
          <rPr>
            <sz val="9"/>
            <rFont val="宋体"/>
            <charset val="134"/>
          </rPr>
          <t xml:space="preserve">
5/4 客户进口商贴纸(含西班牙环保 3600pcs</t>
        </r>
      </text>
    </comment>
    <comment ref="AI1431" authorId="2">
      <text>
        <r>
          <rPr>
            <b/>
            <sz val="9"/>
            <rFont val="宋体"/>
            <charset val="134"/>
          </rPr>
          <t>石玉珍:</t>
        </r>
        <r>
          <rPr>
            <sz val="9"/>
            <rFont val="宋体"/>
            <charset val="134"/>
          </rPr>
          <t xml:space="preserve">
2800070 5/29 1825pcs直走</t>
        </r>
      </text>
    </comment>
    <comment ref="AL1431" authorId="0">
      <text>
        <r>
          <rPr>
            <b/>
            <sz val="9"/>
            <rFont val="宋体"/>
            <charset val="134"/>
          </rPr>
          <t>Administrator:</t>
        </r>
        <r>
          <rPr>
            <sz val="9"/>
            <rFont val="宋体"/>
            <charset val="134"/>
          </rPr>
          <t xml:space="preserve">
4/8 DC运输貼纸 73pcs
4/13 PDQ标识贴纸 73pcs
</t>
        </r>
      </text>
    </comment>
    <comment ref="AI1432" authorId="2">
      <text>
        <r>
          <rPr>
            <b/>
            <sz val="9"/>
            <rFont val="宋体"/>
            <charset val="134"/>
          </rPr>
          <t>石玉珍:</t>
        </r>
        <r>
          <rPr>
            <sz val="9"/>
            <rFont val="宋体"/>
            <charset val="134"/>
          </rPr>
          <t xml:space="preserve">
2800110 6/1 21180pcs</t>
        </r>
      </text>
    </comment>
    <comment ref="AL1432" authorId="0">
      <text>
        <r>
          <rPr>
            <b/>
            <sz val="9"/>
            <rFont val="宋体"/>
            <charset val="134"/>
          </rPr>
          <t>Administrator:</t>
        </r>
        <r>
          <rPr>
            <sz val="9"/>
            <rFont val="宋体"/>
            <charset val="134"/>
          </rPr>
          <t xml:space="preserve">
3/20 客供白色防盗贴纸 21180pcs
4/7 彩色贴纸 7060pcs</t>
        </r>
      </text>
    </comment>
    <comment ref="AI1433" authorId="2">
      <text>
        <r>
          <rPr>
            <b/>
            <sz val="9"/>
            <rFont val="宋体"/>
            <charset val="134"/>
          </rPr>
          <t>石玉珍:</t>
        </r>
        <r>
          <rPr>
            <sz val="9"/>
            <rFont val="宋体"/>
            <charset val="134"/>
          </rPr>
          <t xml:space="preserve">
2800070 5/29 1200pcs杨b6</t>
        </r>
      </text>
    </comment>
    <comment ref="AI1434" authorId="2">
      <text>
        <r>
          <rPr>
            <b/>
            <sz val="9"/>
            <rFont val="宋体"/>
            <charset val="134"/>
          </rPr>
          <t>石玉珍:</t>
        </r>
        <r>
          <rPr>
            <sz val="9"/>
            <rFont val="宋体"/>
            <charset val="134"/>
          </rPr>
          <t xml:space="preserve">
2800095 5/30 500pcs</t>
        </r>
      </text>
    </comment>
    <comment ref="AL1434" authorId="0">
      <text>
        <r>
          <rPr>
            <b/>
            <sz val="9"/>
            <rFont val="宋体"/>
            <charset val="134"/>
          </rPr>
          <t>Administrator:</t>
        </r>
        <r>
          <rPr>
            <sz val="9"/>
            <rFont val="宋体"/>
            <charset val="134"/>
          </rPr>
          <t xml:space="preserve">
5/13 大语警告语贴 500pcs
小语警告语贴 3500pcs
丹麦瑞典芬兰挪威警告语贴纸 500pcs</t>
        </r>
      </text>
    </comment>
    <comment ref="AI1435" authorId="2">
      <text>
        <r>
          <rPr>
            <b/>
            <sz val="9"/>
            <rFont val="宋体"/>
            <charset val="0"/>
          </rPr>
          <t>石玉珍:</t>
        </r>
        <r>
          <rPr>
            <sz val="9"/>
            <rFont val="宋体"/>
            <charset val="0"/>
          </rPr>
          <t xml:space="preserve">
2800107 6/1 5000pcs张顶b8</t>
        </r>
      </text>
    </comment>
    <comment ref="AL1435" authorId="0">
      <text>
        <r>
          <rPr>
            <b/>
            <sz val="9"/>
            <rFont val="宋体"/>
            <charset val="134"/>
          </rPr>
          <t>Administrator:</t>
        </r>
        <r>
          <rPr>
            <sz val="9"/>
            <rFont val="宋体"/>
            <charset val="134"/>
          </rPr>
          <t xml:space="preserve">
5/13 PDQ贴纸 200pcs
5/20 UPC贴纸 5000pcs</t>
        </r>
      </text>
    </comment>
    <comment ref="AI1436" authorId="2">
      <text>
        <r>
          <rPr>
            <b/>
            <sz val="9"/>
            <rFont val="宋体"/>
            <charset val="0"/>
          </rPr>
          <t>石玉珍:</t>
        </r>
        <r>
          <rPr>
            <sz val="9"/>
            <rFont val="宋体"/>
            <charset val="0"/>
          </rPr>
          <t xml:space="preserve">
2800107 6/1 2500pcs</t>
        </r>
        <r>
          <rPr>
            <b/>
            <sz val="9"/>
            <rFont val="宋体"/>
            <charset val="0"/>
          </rPr>
          <t xml:space="preserve">
石玉珍:</t>
        </r>
        <r>
          <rPr>
            <sz val="9"/>
            <rFont val="宋体"/>
            <charset val="0"/>
          </rPr>
          <t xml:space="preserve">
张顶b8</t>
        </r>
      </text>
    </comment>
    <comment ref="AL1436" authorId="0">
      <text>
        <r>
          <rPr>
            <b/>
            <sz val="9"/>
            <rFont val="宋体"/>
            <charset val="134"/>
          </rPr>
          <t>Administrator:</t>
        </r>
        <r>
          <rPr>
            <sz val="9"/>
            <rFont val="宋体"/>
            <charset val="134"/>
          </rPr>
          <t xml:space="preserve">
5/13 客人通用进口商贴纸 2500pcs
通用UPC条码贴纸 2500pcs</t>
        </r>
      </text>
    </comment>
    <comment ref="AI1437" authorId="2">
      <text>
        <r>
          <rPr>
            <b/>
            <sz val="9"/>
            <rFont val="宋体"/>
            <charset val="0"/>
          </rPr>
          <t>石玉珍:</t>
        </r>
        <r>
          <rPr>
            <sz val="9"/>
            <rFont val="宋体"/>
            <charset val="0"/>
          </rPr>
          <t xml:space="preserve">
2800107 6/1 5364pcs</t>
        </r>
        <r>
          <rPr>
            <b/>
            <sz val="9"/>
            <rFont val="宋体"/>
            <charset val="0"/>
          </rPr>
          <t xml:space="preserve">
石玉珍:</t>
        </r>
        <r>
          <rPr>
            <sz val="9"/>
            <rFont val="宋体"/>
            <charset val="0"/>
          </rPr>
          <t xml:space="preserve">
张顶b8</t>
        </r>
      </text>
    </comment>
    <comment ref="AL1437" authorId="0">
      <text>
        <r>
          <rPr>
            <b/>
            <sz val="9"/>
            <rFont val="宋体"/>
            <charset val="134"/>
          </rPr>
          <t>Administrator:</t>
        </r>
        <r>
          <rPr>
            <sz val="9"/>
            <rFont val="宋体"/>
            <charset val="134"/>
          </rPr>
          <t xml:space="preserve">
5/5  亚马逊外箱贴纸 447pcs</t>
        </r>
      </text>
    </comment>
    <comment ref="AI1438" authorId="2">
      <text>
        <r>
          <rPr>
            <b/>
            <sz val="9"/>
            <rFont val="宋体"/>
            <charset val="134"/>
          </rPr>
          <t>石玉珍:</t>
        </r>
        <r>
          <rPr>
            <sz val="9"/>
            <rFont val="宋体"/>
            <charset val="134"/>
          </rPr>
          <t xml:space="preserve">
4001823 5/29 1068pcs杨b6</t>
        </r>
        <r>
          <rPr>
            <b/>
            <sz val="9"/>
            <rFont val="宋体"/>
            <charset val="134"/>
          </rPr>
          <t xml:space="preserve">
石玉珍:</t>
        </r>
        <r>
          <rPr>
            <sz val="9"/>
            <rFont val="宋体"/>
            <charset val="134"/>
          </rPr>
          <t xml:space="preserve">
4001829 5/30 648pcs</t>
        </r>
      </text>
    </comment>
    <comment ref="AL1438" authorId="0">
      <text>
        <r>
          <rPr>
            <b/>
            <sz val="9"/>
            <rFont val="宋体"/>
            <charset val="134"/>
          </rPr>
          <t>Administrator:</t>
        </r>
        <r>
          <rPr>
            <sz val="9"/>
            <rFont val="宋体"/>
            <charset val="134"/>
          </rPr>
          <t xml:space="preserve">
4/25 空白贴纸 3432pcs
环保标贴纸 1716pcs
5/5 亚马逊外箱贴纸286pcs
5/21 彩盒警告语贴纸 1716pcs
</t>
        </r>
      </text>
    </comment>
    <comment ref="AI1439" authorId="2">
      <text>
        <r>
          <rPr>
            <b/>
            <sz val="9"/>
            <rFont val="宋体"/>
            <charset val="134"/>
          </rPr>
          <t>石玉珍:</t>
        </r>
        <r>
          <rPr>
            <sz val="9"/>
            <rFont val="宋体"/>
            <charset val="134"/>
          </rPr>
          <t xml:space="preserve">
2800055 5/28 2600pcs</t>
        </r>
      </text>
    </comment>
    <comment ref="AL1439" authorId="0">
      <text>
        <r>
          <rPr>
            <b/>
            <sz val="9"/>
            <rFont val="宋体"/>
            <charset val="134"/>
          </rPr>
          <t>Administrator:</t>
        </r>
        <r>
          <rPr>
            <sz val="9"/>
            <rFont val="宋体"/>
            <charset val="134"/>
          </rPr>
          <t xml:space="preserve">
4/8 客供防窜码贴纸1拖13 200pcs
4/24 条码贴纸 2600pcs
5/20 条码贴纸 同po共上44499pcs</t>
        </r>
      </text>
    </comment>
    <comment ref="AI1440" authorId="2">
      <text>
        <r>
          <rPr>
            <b/>
            <sz val="9"/>
            <rFont val="宋体"/>
            <charset val="134"/>
          </rPr>
          <t>石玉珍:</t>
        </r>
        <r>
          <rPr>
            <sz val="9"/>
            <rFont val="宋体"/>
            <charset val="134"/>
          </rPr>
          <t xml:space="preserve">
2800045 5/28 25012pcs</t>
        </r>
      </text>
    </comment>
    <comment ref="AL1440" authorId="0">
      <text>
        <r>
          <rPr>
            <b/>
            <sz val="9"/>
            <rFont val="宋体"/>
            <charset val="134"/>
          </rPr>
          <t>Administrator:</t>
        </r>
        <r>
          <rPr>
            <sz val="9"/>
            <rFont val="宋体"/>
            <charset val="134"/>
          </rPr>
          <t xml:space="preserve">
4/8 客供防窜码贴纸1拖13 1924pcs
4/24 条码贴纸 25012pcs
</t>
        </r>
      </text>
    </comment>
    <comment ref="AI1441" authorId="2">
      <text>
        <r>
          <rPr>
            <b/>
            <sz val="9"/>
            <rFont val="宋体"/>
            <charset val="134"/>
          </rPr>
          <t>石玉珍:</t>
        </r>
        <r>
          <rPr>
            <sz val="9"/>
            <rFont val="宋体"/>
            <charset val="134"/>
          </rPr>
          <t xml:space="preserve">
4001821 5/28 2400pcs</t>
        </r>
      </text>
    </comment>
    <comment ref="AL1441" authorId="0">
      <text>
        <r>
          <rPr>
            <b/>
            <sz val="9"/>
            <rFont val="宋体"/>
            <charset val="134"/>
          </rPr>
          <t>Administrator:</t>
        </r>
        <r>
          <rPr>
            <sz val="9"/>
            <rFont val="宋体"/>
            <charset val="134"/>
          </rPr>
          <t xml:space="preserve">
4/18 客供芯片码贴纸2400pcs
4/24 颜色贴纸 2400pcs
空白贴纸 4800pcs
</t>
        </r>
      </text>
    </comment>
    <comment ref="AI1442" authorId="2">
      <text>
        <r>
          <rPr>
            <b/>
            <sz val="9"/>
            <rFont val="宋体"/>
            <charset val="134"/>
          </rPr>
          <t>石玉珍:</t>
        </r>
        <r>
          <rPr>
            <sz val="9"/>
            <rFont val="宋体"/>
            <charset val="134"/>
          </rPr>
          <t xml:space="preserve">
4001821 5/28 3000pcs</t>
        </r>
      </text>
    </comment>
    <comment ref="AL1442" authorId="0">
      <text>
        <r>
          <rPr>
            <b/>
            <sz val="9"/>
            <rFont val="宋体"/>
            <charset val="134"/>
          </rPr>
          <t>Administrator:</t>
        </r>
        <r>
          <rPr>
            <sz val="9"/>
            <rFont val="宋体"/>
            <charset val="134"/>
          </rPr>
          <t xml:space="preserve">
4/18 客供芯片码贴纸3000pcs
4/24 颜色贴纸 3000pcs
空白贴纸 60004pcs
</t>
        </r>
      </text>
    </comment>
    <comment ref="AI1443" authorId="2">
      <text>
        <r>
          <rPr>
            <b/>
            <sz val="9"/>
            <rFont val="宋体"/>
            <charset val="0"/>
          </rPr>
          <t>石玉珍:</t>
        </r>
        <r>
          <rPr>
            <sz val="9"/>
            <rFont val="宋体"/>
            <charset val="0"/>
          </rPr>
          <t xml:space="preserve">
2800110 6/1 2800pcs张顶c4</t>
        </r>
      </text>
    </comment>
    <comment ref="AL1443" authorId="0">
      <text>
        <r>
          <rPr>
            <b/>
            <sz val="9"/>
            <rFont val="宋体"/>
            <charset val="134"/>
          </rPr>
          <t>Administrator:</t>
        </r>
        <r>
          <rPr>
            <sz val="9"/>
            <rFont val="宋体"/>
            <charset val="134"/>
          </rPr>
          <t xml:space="preserve">
4/8 DC运输貼纸 112pcs
4/13 PDQ标识贴纸 112pcs
</t>
        </r>
      </text>
    </comment>
    <comment ref="AI1444" authorId="2">
      <text>
        <r>
          <rPr>
            <b/>
            <sz val="9"/>
            <rFont val="宋体"/>
            <charset val="0"/>
          </rPr>
          <t>石玉珍:</t>
        </r>
        <r>
          <rPr>
            <sz val="9"/>
            <rFont val="宋体"/>
            <charset val="0"/>
          </rPr>
          <t xml:space="preserve">
4001829 5/30 120pcs</t>
        </r>
      </text>
    </comment>
    <comment ref="AI1445" authorId="2">
      <text>
        <r>
          <rPr>
            <b/>
            <sz val="9"/>
            <rFont val="宋体"/>
            <charset val="0"/>
          </rPr>
          <t>石玉珍:</t>
        </r>
        <r>
          <rPr>
            <sz val="9"/>
            <rFont val="宋体"/>
            <charset val="0"/>
          </rPr>
          <t xml:space="preserve">
2800067 5/29 2400pcs杨b14</t>
        </r>
      </text>
    </comment>
    <comment ref="AJ1445" authorId="2">
      <text>
        <r>
          <rPr>
            <b/>
            <sz val="9"/>
            <rFont val="宋体"/>
            <charset val="134"/>
          </rPr>
          <t>石玉珍:</t>
        </r>
        <r>
          <rPr>
            <sz val="9"/>
            <rFont val="宋体"/>
            <charset val="134"/>
          </rPr>
          <t xml:space="preserve">
2800067 5/29 2400pcs杨b14</t>
        </r>
      </text>
    </comment>
    <comment ref="AL1445" authorId="0">
      <text>
        <r>
          <rPr>
            <b/>
            <sz val="9"/>
            <rFont val="宋体"/>
            <charset val="134"/>
          </rPr>
          <t>Administrator:</t>
        </r>
        <r>
          <rPr>
            <sz val="9"/>
            <rFont val="宋体"/>
            <charset val="134"/>
          </rPr>
          <t xml:space="preserve">
5/15 法国回收标贴纸 2400pcs</t>
        </r>
      </text>
    </comment>
    <comment ref="AI1446" authorId="2">
      <text>
        <r>
          <rPr>
            <b/>
            <sz val="9"/>
            <rFont val="宋体"/>
            <charset val="0"/>
          </rPr>
          <t>石玉珍:</t>
        </r>
        <r>
          <rPr>
            <sz val="9"/>
            <rFont val="宋体"/>
            <charset val="0"/>
          </rPr>
          <t xml:space="preserve">
4001831 6/1 1200pcs</t>
        </r>
        <r>
          <rPr>
            <b/>
            <sz val="9"/>
            <rFont val="宋体"/>
            <charset val="0"/>
          </rPr>
          <t xml:space="preserve">
石玉珍:</t>
        </r>
        <r>
          <rPr>
            <sz val="9"/>
            <rFont val="宋体"/>
            <charset val="0"/>
          </rPr>
          <t xml:space="preserve">
直走</t>
        </r>
      </text>
    </comment>
    <comment ref="AL1446" authorId="0">
      <text>
        <r>
          <rPr>
            <b/>
            <sz val="9"/>
            <rFont val="宋体"/>
            <charset val="134"/>
          </rPr>
          <t>Administrator:</t>
        </r>
        <r>
          <rPr>
            <sz val="9"/>
            <rFont val="宋体"/>
            <charset val="134"/>
          </rPr>
          <t xml:space="preserve">
4/24 颜色贴纸 1200pcs
空白贴纸 4200pcs
4/25 客供芯片码贴纸 1200pcs</t>
        </r>
      </text>
    </comment>
    <comment ref="AI1447" authorId="2">
      <text>
        <r>
          <rPr>
            <b/>
            <sz val="9"/>
            <rFont val="宋体"/>
            <charset val="0"/>
          </rPr>
          <t>石玉珍:</t>
        </r>
        <r>
          <rPr>
            <sz val="9"/>
            <rFont val="宋体"/>
            <charset val="0"/>
          </rPr>
          <t xml:space="preserve">
4001831 6/1 5604pcs</t>
        </r>
        <r>
          <rPr>
            <b/>
            <sz val="9"/>
            <rFont val="宋体"/>
            <charset val="0"/>
          </rPr>
          <t xml:space="preserve">
石玉珍:</t>
        </r>
        <r>
          <rPr>
            <sz val="9"/>
            <rFont val="宋体"/>
            <charset val="0"/>
          </rPr>
          <t xml:space="preserve">
直走</t>
        </r>
      </text>
    </comment>
    <comment ref="AL1447" authorId="0">
      <text>
        <r>
          <rPr>
            <b/>
            <sz val="9"/>
            <rFont val="宋体"/>
            <charset val="134"/>
          </rPr>
          <t>Administrator:</t>
        </r>
        <r>
          <rPr>
            <sz val="9"/>
            <rFont val="宋体"/>
            <charset val="134"/>
          </rPr>
          <t xml:space="preserve">
4/24 颜色贴纸 5604pcs
空白贴纸 11208pcs
4/25 客供芯片码贴纸5604pcs
</t>
        </r>
      </text>
    </comment>
    <comment ref="AI1448" authorId="2">
      <text>
        <r>
          <rPr>
            <b/>
            <sz val="9"/>
            <rFont val="宋体"/>
            <charset val="0"/>
          </rPr>
          <t>石玉珍:</t>
        </r>
        <r>
          <rPr>
            <sz val="9"/>
            <rFont val="宋体"/>
            <charset val="0"/>
          </rPr>
          <t xml:space="preserve">
2800113 6/2 2196pcs</t>
        </r>
        <r>
          <rPr>
            <b/>
            <sz val="9"/>
            <rFont val="宋体"/>
            <charset val="0"/>
          </rPr>
          <t xml:space="preserve">
石玉珍:</t>
        </r>
        <r>
          <rPr>
            <sz val="9"/>
            <rFont val="宋体"/>
            <charset val="0"/>
          </rPr>
          <t xml:space="preserve">
新泰b2</t>
        </r>
      </text>
    </comment>
    <comment ref="AL1448" authorId="0">
      <text>
        <r>
          <rPr>
            <b/>
            <sz val="9"/>
            <rFont val="宋体"/>
            <charset val="134"/>
          </rPr>
          <t>Administrator:</t>
        </r>
        <r>
          <rPr>
            <sz val="9"/>
            <rFont val="宋体"/>
            <charset val="134"/>
          </rPr>
          <t xml:space="preserve">
4/20 客供价格贴纸 2416pcs
4/28 空白贴纸 2196pcs
</t>
        </r>
      </text>
    </comment>
    <comment ref="AI1449" authorId="2">
      <text>
        <r>
          <rPr>
            <b/>
            <sz val="9"/>
            <rFont val="宋体"/>
            <charset val="0"/>
          </rPr>
          <t>石玉珍:</t>
        </r>
        <r>
          <rPr>
            <sz val="9"/>
            <rFont val="宋体"/>
            <charset val="0"/>
          </rPr>
          <t xml:space="preserve">
2800113 6/2 2400pcs</t>
        </r>
        <r>
          <rPr>
            <b/>
            <sz val="9"/>
            <rFont val="宋体"/>
            <charset val="0"/>
          </rPr>
          <t xml:space="preserve">
石玉珍:</t>
        </r>
        <r>
          <rPr>
            <sz val="9"/>
            <rFont val="宋体"/>
            <charset val="0"/>
          </rPr>
          <t xml:space="preserve">
新泰b2</t>
        </r>
      </text>
    </comment>
    <comment ref="AL1449" authorId="0">
      <text>
        <r>
          <rPr>
            <b/>
            <sz val="9"/>
            <rFont val="宋体"/>
            <charset val="134"/>
          </rPr>
          <t>Administrator:</t>
        </r>
        <r>
          <rPr>
            <sz val="9"/>
            <rFont val="宋体"/>
            <charset val="134"/>
          </rPr>
          <t xml:space="preserve">
4/20 客供价格贴纸 2640pcs
4/28 空白贴纸 2400pcs
</t>
        </r>
      </text>
    </comment>
    <comment ref="AI1450" authorId="2">
      <text>
        <r>
          <rPr>
            <b/>
            <sz val="9"/>
            <rFont val="宋体"/>
            <charset val="0"/>
          </rPr>
          <t>石玉珍:</t>
        </r>
        <r>
          <rPr>
            <sz val="9"/>
            <rFont val="宋体"/>
            <charset val="0"/>
          </rPr>
          <t xml:space="preserve">
2800107 6/1 3900pcs</t>
        </r>
        <r>
          <rPr>
            <b/>
            <sz val="9"/>
            <rFont val="宋体"/>
            <charset val="0"/>
          </rPr>
          <t xml:space="preserve">
石玉珍:</t>
        </r>
        <r>
          <rPr>
            <sz val="9"/>
            <rFont val="宋体"/>
            <charset val="0"/>
          </rPr>
          <t xml:space="preserve">
直走</t>
        </r>
      </text>
    </comment>
    <comment ref="AL1450" authorId="0">
      <text>
        <r>
          <rPr>
            <b/>
            <sz val="9"/>
            <rFont val="宋体"/>
            <charset val="134"/>
          </rPr>
          <t>Administrator:</t>
        </r>
        <r>
          <rPr>
            <sz val="9"/>
            <rFont val="宋体"/>
            <charset val="134"/>
          </rPr>
          <t xml:space="preserve">
4/24 条码贴纸 3900pcs
5/23 客供防窜码贴纸1拖 3900pcs</t>
        </r>
      </text>
    </comment>
    <comment ref="AI1451" authorId="2">
      <text>
        <r>
          <rPr>
            <b/>
            <sz val="9"/>
            <rFont val="宋体"/>
            <charset val="0"/>
          </rPr>
          <t>石玉珍:</t>
        </r>
        <r>
          <rPr>
            <sz val="9"/>
            <rFont val="宋体"/>
            <charset val="0"/>
          </rPr>
          <t xml:space="preserve">
2800109 6/1 13000pcs</t>
        </r>
        <r>
          <rPr>
            <b/>
            <sz val="9"/>
            <rFont val="宋体"/>
            <charset val="0"/>
          </rPr>
          <t xml:space="preserve">
石玉珍:</t>
        </r>
        <r>
          <rPr>
            <sz val="9"/>
            <rFont val="宋体"/>
            <charset val="0"/>
          </rPr>
          <t xml:space="preserve">
直走</t>
        </r>
      </text>
    </comment>
    <comment ref="AL1451" authorId="0">
      <text>
        <r>
          <rPr>
            <b/>
            <sz val="9"/>
            <rFont val="宋体"/>
            <charset val="134"/>
          </rPr>
          <t>Administrator:</t>
        </r>
        <r>
          <rPr>
            <sz val="9"/>
            <rFont val="宋体"/>
            <charset val="134"/>
          </rPr>
          <t xml:space="preserve">
4/24 条码贴纸 13000pcs
5/23 客供防窜码贴纸1拖 13000pcs
</t>
        </r>
      </text>
    </comment>
    <comment ref="AI1452" authorId="2">
      <text>
        <r>
          <rPr>
            <b/>
            <sz val="9"/>
            <rFont val="宋体"/>
            <charset val="0"/>
          </rPr>
          <t>石玉珍:</t>
        </r>
        <r>
          <rPr>
            <sz val="9"/>
            <rFont val="宋体"/>
            <charset val="0"/>
          </rPr>
          <t xml:space="preserve">
2801058 6/3 6000pcs</t>
        </r>
        <r>
          <rPr>
            <b/>
            <sz val="9"/>
            <rFont val="宋体"/>
            <charset val="0"/>
          </rPr>
          <t xml:space="preserve">
石玉珍:</t>
        </r>
        <r>
          <rPr>
            <sz val="9"/>
            <rFont val="宋体"/>
            <charset val="0"/>
          </rPr>
          <t xml:space="preserve">
新泰b3</t>
        </r>
      </text>
    </comment>
    <comment ref="AL1452" authorId="0">
      <text>
        <r>
          <rPr>
            <b/>
            <sz val="9"/>
            <rFont val="宋体"/>
            <charset val="134"/>
          </rPr>
          <t>Administrator:</t>
        </r>
        <r>
          <rPr>
            <sz val="9"/>
            <rFont val="宋体"/>
            <charset val="134"/>
          </rPr>
          <t xml:space="preserve">
5/13 客人logo贴纸 6000psc
客户进口商贴纸5 6000pcs</t>
        </r>
      </text>
    </comment>
    <comment ref="AI1453" authorId="2">
      <text>
        <r>
          <rPr>
            <b/>
            <sz val="9"/>
            <rFont val="宋体"/>
            <charset val="0"/>
          </rPr>
          <t>石玉珍:</t>
        </r>
        <r>
          <rPr>
            <sz val="9"/>
            <rFont val="宋体"/>
            <charset val="0"/>
          </rPr>
          <t xml:space="preserve">
2800113 6/2 24999pcs</t>
        </r>
        <r>
          <rPr>
            <b/>
            <sz val="9"/>
            <rFont val="宋体"/>
            <charset val="0"/>
          </rPr>
          <t xml:space="preserve">
石玉珍:</t>
        </r>
        <r>
          <rPr>
            <sz val="9"/>
            <rFont val="宋体"/>
            <charset val="0"/>
          </rPr>
          <t xml:space="preserve">
新泰a2</t>
        </r>
      </text>
    </comment>
    <comment ref="AL1453" authorId="0">
      <text>
        <r>
          <rPr>
            <b/>
            <sz val="9"/>
            <rFont val="宋体"/>
            <charset val="134"/>
          </rPr>
          <t>Administrator:</t>
        </r>
        <r>
          <rPr>
            <sz val="9"/>
            <rFont val="宋体"/>
            <charset val="134"/>
          </rPr>
          <t xml:space="preserve">
5/23 客供防窜码贴纸1拖 24999pcs
</t>
        </r>
      </text>
    </comment>
    <comment ref="AI1454" authorId="2">
      <text>
        <r>
          <rPr>
            <b/>
            <sz val="9"/>
            <rFont val="宋体"/>
            <charset val="0"/>
          </rPr>
          <t>石玉珍:</t>
        </r>
        <r>
          <rPr>
            <sz val="9"/>
            <rFont val="宋体"/>
            <charset val="0"/>
          </rPr>
          <t xml:space="preserve">
2801045 6/2 2450pcs新泰b1</t>
        </r>
        <r>
          <rPr>
            <b/>
            <sz val="9"/>
            <rFont val="宋体"/>
            <charset val="0"/>
          </rPr>
          <t xml:space="preserve">
石玉珍:</t>
        </r>
        <r>
          <rPr>
            <sz val="9"/>
            <rFont val="宋体"/>
            <charset val="0"/>
          </rPr>
          <t xml:space="preserve">
2801086 6/5 50PCS</t>
        </r>
      </text>
    </comment>
    <comment ref="AL1454" authorId="0">
      <text>
        <r>
          <rPr>
            <b/>
            <sz val="9"/>
            <rFont val="宋体"/>
            <charset val="134"/>
          </rPr>
          <t>Administrator:</t>
        </r>
        <r>
          <rPr>
            <sz val="9"/>
            <rFont val="宋体"/>
            <charset val="134"/>
          </rPr>
          <t xml:space="preserve">
3/30 收缩膜日语警语贴纸 2500
说明书日语警语贴纸 2500
4/10 条码贴纸 5000pcs
</t>
        </r>
      </text>
    </comment>
    <comment ref="AI1455" authorId="2">
      <text>
        <r>
          <rPr>
            <b/>
            <sz val="9"/>
            <rFont val="宋体"/>
            <charset val="134"/>
          </rPr>
          <t>石玉珍:</t>
        </r>
        <r>
          <rPr>
            <sz val="9"/>
            <rFont val="宋体"/>
            <charset val="134"/>
          </rPr>
          <t xml:space="preserve">
2800067 5/29 15000pcs杨b14</t>
        </r>
      </text>
    </comment>
    <comment ref="AL1455" authorId="0">
      <text>
        <r>
          <rPr>
            <b/>
            <sz val="9"/>
            <rFont val="宋体"/>
            <charset val="134"/>
          </rPr>
          <t>Administrator:</t>
        </r>
        <r>
          <rPr>
            <sz val="9"/>
            <rFont val="宋体"/>
            <charset val="134"/>
          </rPr>
          <t xml:space="preserve">
5/11 法国回收标贴纸 15000pcs
</t>
        </r>
      </text>
    </comment>
    <comment ref="AI1456" authorId="2">
      <text>
        <r>
          <rPr>
            <b/>
            <sz val="9"/>
            <rFont val="宋体"/>
            <charset val="0"/>
          </rPr>
          <t>石玉珍:</t>
        </r>
        <r>
          <rPr>
            <sz val="9"/>
            <rFont val="宋体"/>
            <charset val="0"/>
          </rPr>
          <t xml:space="preserve">
2800107 6/1 2004pcs张顶a13</t>
        </r>
      </text>
    </comment>
    <comment ref="AJ1456" authorId="2">
      <text>
        <r>
          <rPr>
            <b/>
            <sz val="9"/>
            <rFont val="宋体"/>
            <charset val="0"/>
          </rPr>
          <t>石玉珍:</t>
        </r>
        <r>
          <rPr>
            <sz val="9"/>
            <rFont val="宋体"/>
            <charset val="0"/>
          </rPr>
          <t xml:space="preserve">
2800107 6/1 2004pcs</t>
        </r>
        <r>
          <rPr>
            <b/>
            <sz val="9"/>
            <rFont val="宋体"/>
            <charset val="0"/>
          </rPr>
          <t xml:space="preserve">
石玉珍:</t>
        </r>
        <r>
          <rPr>
            <sz val="9"/>
            <rFont val="宋体"/>
            <charset val="0"/>
          </rPr>
          <t xml:space="preserve">
2800107 6/1 2004pcs张顶a13</t>
        </r>
      </text>
    </comment>
    <comment ref="AL1456" authorId="0">
      <text>
        <r>
          <rPr>
            <b/>
            <sz val="9"/>
            <rFont val="宋体"/>
            <charset val="134"/>
          </rPr>
          <t>Administrator:</t>
        </r>
        <r>
          <rPr>
            <sz val="9"/>
            <rFont val="宋体"/>
            <charset val="134"/>
          </rPr>
          <t xml:space="preserve">
5/18 客供价格贴纸 2205pcs
5/22 空白贴纸 2004pcs</t>
        </r>
      </text>
    </comment>
    <comment ref="AI1457" authorId="2">
      <text>
        <r>
          <rPr>
            <b/>
            <sz val="9"/>
            <rFont val="宋体"/>
            <charset val="0"/>
          </rPr>
          <t>石玉珍:</t>
        </r>
        <r>
          <rPr>
            <sz val="9"/>
            <rFont val="宋体"/>
            <charset val="0"/>
          </rPr>
          <t xml:space="preserve">
2800107 6/1 2196pcs 张顶a13</t>
        </r>
      </text>
    </comment>
    <comment ref="AJ1457" authorId="2">
      <text>
        <r>
          <rPr>
            <b/>
            <sz val="9"/>
            <rFont val="宋体"/>
            <charset val="134"/>
          </rPr>
          <t>石玉珍:</t>
        </r>
        <r>
          <rPr>
            <sz val="9"/>
            <rFont val="宋体"/>
            <charset val="134"/>
          </rPr>
          <t xml:space="preserve">
2800107 6/1 2196pcs</t>
        </r>
      </text>
    </comment>
    <comment ref="AL1457" authorId="0">
      <text>
        <r>
          <rPr>
            <b/>
            <sz val="9"/>
            <rFont val="宋体"/>
            <charset val="134"/>
          </rPr>
          <t>Administrator:</t>
        </r>
        <r>
          <rPr>
            <sz val="9"/>
            <rFont val="宋体"/>
            <charset val="134"/>
          </rPr>
          <t xml:space="preserve">
5/18 客供价格贴纸 2196pcs
5/22 空白贴纸 2196*2pcs
 </t>
        </r>
      </text>
    </comment>
    <comment ref="AI1458" authorId="2">
      <text>
        <r>
          <rPr>
            <b/>
            <sz val="9"/>
            <rFont val="宋体"/>
            <charset val="0"/>
          </rPr>
          <t>石玉珍:</t>
        </r>
        <r>
          <rPr>
            <sz val="9"/>
            <rFont val="宋体"/>
            <charset val="0"/>
          </rPr>
          <t xml:space="preserve">
2800110 6/1 4684pcs 张顶d3</t>
        </r>
        <r>
          <rPr>
            <b/>
            <sz val="9"/>
            <rFont val="宋体"/>
            <charset val="0"/>
          </rPr>
          <t xml:space="preserve">
石玉珍:</t>
        </r>
        <r>
          <rPr>
            <sz val="9"/>
            <rFont val="宋体"/>
            <charset val="0"/>
          </rPr>
          <t xml:space="preserve">
2800113 6/2 14820pcs新泰a2</t>
        </r>
      </text>
    </comment>
    <comment ref="AL1458" authorId="0">
      <text>
        <r>
          <rPr>
            <b/>
            <sz val="9"/>
            <rFont val="宋体"/>
            <charset val="134"/>
          </rPr>
          <t>Administrator:</t>
        </r>
        <r>
          <rPr>
            <sz val="9"/>
            <rFont val="宋体"/>
            <charset val="134"/>
          </rPr>
          <t xml:space="preserve">
5/23 客供防窜码贴纸1拖 19500pcs
</t>
        </r>
      </text>
    </comment>
    <comment ref="AI1459" authorId="2">
      <text>
        <r>
          <rPr>
            <b/>
            <sz val="9"/>
            <rFont val="宋体"/>
            <charset val="0"/>
          </rPr>
          <t>石玉珍:</t>
        </r>
        <r>
          <rPr>
            <sz val="9"/>
            <rFont val="宋体"/>
            <charset val="0"/>
          </rPr>
          <t xml:space="preserve">
2801045 6/2 700pcs</t>
        </r>
        <r>
          <rPr>
            <b/>
            <sz val="9"/>
            <rFont val="宋体"/>
            <charset val="0"/>
          </rPr>
          <t xml:space="preserve">
石玉珍:</t>
        </r>
        <r>
          <rPr>
            <sz val="9"/>
            <rFont val="宋体"/>
            <charset val="0"/>
          </rPr>
          <t xml:space="preserve">
新泰b1</t>
        </r>
      </text>
    </comment>
    <comment ref="AL1459" authorId="0">
      <text>
        <r>
          <rPr>
            <b/>
            <sz val="9"/>
            <rFont val="宋体"/>
            <charset val="134"/>
          </rPr>
          <t>Administrator:</t>
        </r>
        <r>
          <rPr>
            <sz val="9"/>
            <rFont val="宋体"/>
            <charset val="134"/>
          </rPr>
          <t xml:space="preserve">
5/19 警告语贴纸 700pcs
1-袋子警告语贴纸。 4900pcs
2-袋子警告语贴纸 700pcs</t>
        </r>
      </text>
    </comment>
    <comment ref="AI1460" authorId="2">
      <text>
        <r>
          <rPr>
            <b/>
            <sz val="9"/>
            <rFont val="宋体"/>
            <charset val="0"/>
          </rPr>
          <t>石玉珍:</t>
        </r>
        <r>
          <rPr>
            <sz val="9"/>
            <rFont val="宋体"/>
            <charset val="0"/>
          </rPr>
          <t xml:space="preserve">
2801058 6/3 624pcs</t>
        </r>
        <r>
          <rPr>
            <b/>
            <sz val="9"/>
            <rFont val="宋体"/>
            <charset val="0"/>
          </rPr>
          <t xml:space="preserve">
石玉珍:</t>
        </r>
        <r>
          <rPr>
            <sz val="9"/>
            <rFont val="宋体"/>
            <charset val="0"/>
          </rPr>
          <t xml:space="preserve">
新泰b3</t>
        </r>
      </text>
    </comment>
    <comment ref="AL1460" authorId="0">
      <text>
        <r>
          <rPr>
            <b/>
            <sz val="9"/>
            <rFont val="宋体"/>
            <charset val="134"/>
          </rPr>
          <t>Administrator:</t>
        </r>
        <r>
          <rPr>
            <sz val="9"/>
            <rFont val="宋体"/>
            <charset val="134"/>
          </rPr>
          <t xml:space="preserve">
4/29 客供价格贴纸 656pcs</t>
        </r>
      </text>
    </comment>
    <comment ref="AI1461" authorId="2">
      <text>
        <r>
          <rPr>
            <b/>
            <sz val="9"/>
            <rFont val="宋体"/>
            <charset val="0"/>
          </rPr>
          <t>石玉珍:</t>
        </r>
        <r>
          <rPr>
            <sz val="9"/>
            <rFont val="宋体"/>
            <charset val="0"/>
          </rPr>
          <t xml:space="preserve">
2801058 6/3 2328pcs</t>
        </r>
        <r>
          <rPr>
            <b/>
            <sz val="9"/>
            <rFont val="宋体"/>
            <charset val="0"/>
          </rPr>
          <t xml:space="preserve">
石玉珍:</t>
        </r>
        <r>
          <rPr>
            <sz val="9"/>
            <rFont val="宋体"/>
            <charset val="0"/>
          </rPr>
          <t xml:space="preserve">
新泰a3</t>
        </r>
      </text>
    </comment>
    <comment ref="AL1461" authorId="0">
      <text>
        <r>
          <rPr>
            <b/>
            <sz val="9"/>
            <rFont val="宋体"/>
            <charset val="134"/>
          </rPr>
          <t>Administrator:</t>
        </r>
        <r>
          <rPr>
            <sz val="9"/>
            <rFont val="宋体"/>
            <charset val="134"/>
          </rPr>
          <t xml:space="preserve">
5/11 亚马逊外箱贴纸 194pcs
5/16 空白贴纸 4656pcs
环保标贴纸 2328pcs</t>
        </r>
      </text>
    </comment>
    <comment ref="AI1462" authorId="2">
      <text>
        <r>
          <rPr>
            <b/>
            <sz val="9"/>
            <rFont val="宋体"/>
            <charset val="0"/>
          </rPr>
          <t>石玉珍:</t>
        </r>
        <r>
          <rPr>
            <sz val="9"/>
            <rFont val="宋体"/>
            <charset val="0"/>
          </rPr>
          <t xml:space="preserve">
2801058 6/3 403pcs 新泰b4</t>
        </r>
      </text>
    </comment>
    <comment ref="AL1462" authorId="0">
      <text>
        <r>
          <rPr>
            <sz val="9"/>
            <rFont val="宋体"/>
            <charset val="134"/>
          </rPr>
          <t xml:space="preserve">Administrator:
5/19 款号贴纸 403pcs
警语贴纸 403pcs
</t>
        </r>
        <r>
          <rPr>
            <b/>
            <sz val="9"/>
            <rFont val="宋体"/>
            <charset val="134"/>
          </rPr>
          <t xml:space="preserve">
石玉珍:</t>
        </r>
        <r>
          <rPr>
            <sz val="9"/>
            <rFont val="宋体"/>
            <charset val="134"/>
          </rPr>
          <t xml:space="preserve">
5/28 地址贴纸  403pcs</t>
        </r>
      </text>
    </comment>
    <comment ref="AI1463" authorId="2">
      <text>
        <r>
          <rPr>
            <b/>
            <sz val="9"/>
            <rFont val="宋体"/>
            <charset val="0"/>
          </rPr>
          <t>石玉珍:</t>
        </r>
        <r>
          <rPr>
            <sz val="9"/>
            <rFont val="宋体"/>
            <charset val="0"/>
          </rPr>
          <t xml:space="preserve">
2801058 6/3 520pcs新泰b4</t>
        </r>
      </text>
    </comment>
    <comment ref="AL1463" authorId="0">
      <text>
        <r>
          <rPr>
            <b/>
            <sz val="9"/>
            <rFont val="宋体"/>
            <charset val="134"/>
          </rPr>
          <t>Administrator:</t>
        </r>
        <r>
          <rPr>
            <sz val="9"/>
            <rFont val="宋体"/>
            <charset val="134"/>
          </rPr>
          <t xml:space="preserve">
5/22 地址贴纸 520pcs
PDQ条码贴纸 520pcs 
德语警语贴纸 520pcs</t>
        </r>
      </text>
    </comment>
    <comment ref="AI1464" authorId="2">
      <text>
        <r>
          <rPr>
            <b/>
            <sz val="9"/>
            <rFont val="宋体"/>
            <charset val="0"/>
          </rPr>
          <t>石玉珍:</t>
        </r>
        <r>
          <rPr>
            <sz val="9"/>
            <rFont val="宋体"/>
            <charset val="0"/>
          </rPr>
          <t xml:space="preserve">
2801421 6/6 30pcs</t>
        </r>
      </text>
    </comment>
    <comment ref="AL1464" authorId="0">
      <text>
        <r>
          <rPr>
            <b/>
            <sz val="9"/>
            <rFont val="宋体"/>
            <charset val="134"/>
          </rPr>
          <t>Administrator:</t>
        </r>
        <r>
          <rPr>
            <sz val="9"/>
            <rFont val="宋体"/>
            <charset val="134"/>
          </rPr>
          <t xml:space="preserve">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t>
        </r>
      </text>
    </comment>
    <comment ref="AI1465" authorId="2">
      <text>
        <r>
          <rPr>
            <b/>
            <sz val="9"/>
            <rFont val="宋体"/>
            <charset val="0"/>
          </rPr>
          <t>石玉珍:</t>
        </r>
        <r>
          <rPr>
            <sz val="9"/>
            <rFont val="宋体"/>
            <charset val="0"/>
          </rPr>
          <t xml:space="preserve">
2801078 6/4 3000pcs</t>
        </r>
        <r>
          <rPr>
            <b/>
            <sz val="9"/>
            <rFont val="宋体"/>
            <charset val="0"/>
          </rPr>
          <t xml:space="preserve">
石玉珍:</t>
        </r>
        <r>
          <rPr>
            <sz val="9"/>
            <rFont val="宋体"/>
            <charset val="0"/>
          </rPr>
          <t xml:space="preserve">
直走</t>
        </r>
      </text>
    </comment>
    <comment ref="AL1465" authorId="0">
      <text>
        <r>
          <rPr>
            <b/>
            <sz val="9"/>
            <rFont val="宋体"/>
            <charset val="134"/>
          </rPr>
          <t>Administrator:</t>
        </r>
        <r>
          <rPr>
            <sz val="9"/>
            <rFont val="宋体"/>
            <charset val="134"/>
          </rPr>
          <t xml:space="preserve">
5/15 进口商贴纸 3000pcs
正面-收藏指南贴纸 3000pcs
背面-收藏指南贴纸 3000pcs
UPC条码贴纸 3000pcs
</t>
        </r>
      </text>
    </comment>
    <comment ref="AI1466" authorId="2">
      <text>
        <r>
          <rPr>
            <b/>
            <sz val="9"/>
            <rFont val="宋体"/>
            <charset val="0"/>
          </rPr>
          <t>石玉珍:</t>
        </r>
        <r>
          <rPr>
            <sz val="9"/>
            <rFont val="宋体"/>
            <charset val="0"/>
          </rPr>
          <t xml:space="preserve">
2801111 6/5 1550pcs</t>
        </r>
        <r>
          <rPr>
            <b/>
            <sz val="9"/>
            <rFont val="宋体"/>
            <charset val="0"/>
          </rPr>
          <t xml:space="preserve">
石玉珍:</t>
        </r>
        <r>
          <rPr>
            <sz val="9"/>
            <rFont val="宋体"/>
            <charset val="0"/>
          </rPr>
          <t xml:space="preserve">
张顶b3</t>
        </r>
      </text>
    </comment>
    <comment ref="AI1467" authorId="2">
      <text>
        <r>
          <rPr>
            <b/>
            <sz val="9"/>
            <rFont val="宋体"/>
            <charset val="0"/>
          </rPr>
          <t>石玉珍:</t>
        </r>
        <r>
          <rPr>
            <sz val="9"/>
            <rFont val="宋体"/>
            <charset val="0"/>
          </rPr>
          <t xml:space="preserve">
2801111 6/5 3800pcs</t>
        </r>
        <r>
          <rPr>
            <b/>
            <sz val="9"/>
            <rFont val="宋体"/>
            <charset val="0"/>
          </rPr>
          <t xml:space="preserve">
石玉珍:</t>
        </r>
        <r>
          <rPr>
            <sz val="9"/>
            <rFont val="宋体"/>
            <charset val="0"/>
          </rPr>
          <t xml:space="preserve">
张顶a13</t>
        </r>
      </text>
    </comment>
    <comment ref="AL1467" authorId="0">
      <text>
        <r>
          <rPr>
            <b/>
            <sz val="9"/>
            <rFont val="宋体"/>
            <charset val="134"/>
          </rPr>
          <t>Administrator:</t>
        </r>
        <r>
          <rPr>
            <sz val="9"/>
            <rFont val="宋体"/>
            <charset val="134"/>
          </rPr>
          <t xml:space="preserve">
5/22 进口商贴纸 3800pcs</t>
        </r>
      </text>
    </comment>
    <comment ref="AI1468" authorId="2">
      <text>
        <r>
          <rPr>
            <b/>
            <sz val="9"/>
            <rFont val="宋体"/>
            <charset val="0"/>
          </rPr>
          <t>石玉珍:</t>
        </r>
        <r>
          <rPr>
            <sz val="9"/>
            <rFont val="宋体"/>
            <charset val="0"/>
          </rPr>
          <t xml:space="preserve">
2801111 6/5 3500pcs</t>
        </r>
        <r>
          <rPr>
            <b/>
            <sz val="9"/>
            <rFont val="宋体"/>
            <charset val="0"/>
          </rPr>
          <t xml:space="preserve">
石玉珍:</t>
        </r>
        <r>
          <rPr>
            <sz val="9"/>
            <rFont val="宋体"/>
            <charset val="0"/>
          </rPr>
          <t xml:space="preserve">
张顶a7</t>
        </r>
      </text>
    </comment>
    <comment ref="AL1468" authorId="0">
      <text>
        <r>
          <rPr>
            <b/>
            <sz val="9"/>
            <rFont val="宋体"/>
            <charset val="134"/>
          </rPr>
          <t>Administrator:</t>
        </r>
        <r>
          <rPr>
            <sz val="9"/>
            <rFont val="宋体"/>
            <charset val="134"/>
          </rPr>
          <t xml:space="preserve">
5/22 进口商贴纸 5050pcs</t>
        </r>
      </text>
    </comment>
    <comment ref="AI1469" authorId="2">
      <text>
        <r>
          <rPr>
            <b/>
            <sz val="9"/>
            <rFont val="宋体"/>
            <charset val="0"/>
          </rPr>
          <t>石玉珍:</t>
        </r>
        <r>
          <rPr>
            <sz val="9"/>
            <rFont val="宋体"/>
            <charset val="0"/>
          </rPr>
          <t xml:space="preserve">
2801111 6/5 8550pcs</t>
        </r>
        <r>
          <rPr>
            <b/>
            <sz val="9"/>
            <rFont val="宋体"/>
            <charset val="0"/>
          </rPr>
          <t xml:space="preserve">
石玉珍:</t>
        </r>
        <r>
          <rPr>
            <sz val="9"/>
            <rFont val="宋体"/>
            <charset val="0"/>
          </rPr>
          <t xml:space="preserve">
张顶a7</t>
        </r>
      </text>
    </comment>
    <comment ref="AL1469" authorId="0">
      <text>
        <r>
          <rPr>
            <b/>
            <sz val="9"/>
            <rFont val="宋体"/>
            <charset val="134"/>
          </rPr>
          <t>Administrator:</t>
        </r>
        <r>
          <rPr>
            <sz val="9"/>
            <rFont val="宋体"/>
            <charset val="134"/>
          </rPr>
          <t xml:space="preserve">
5/22 进口商贴纸 8550pcs
</t>
        </r>
      </text>
    </comment>
    <comment ref="AI1470" authorId="2">
      <text>
        <r>
          <rPr>
            <b/>
            <sz val="9"/>
            <rFont val="宋体"/>
            <charset val="0"/>
          </rPr>
          <t>石玉珍:</t>
        </r>
        <r>
          <rPr>
            <sz val="9"/>
            <rFont val="宋体"/>
            <charset val="0"/>
          </rPr>
          <t xml:space="preserve">
2801111 6/5 2400pcs</t>
        </r>
        <r>
          <rPr>
            <b/>
            <sz val="9"/>
            <rFont val="宋体"/>
            <charset val="0"/>
          </rPr>
          <t xml:space="preserve">
石玉珍:</t>
        </r>
        <r>
          <rPr>
            <sz val="9"/>
            <rFont val="宋体"/>
            <charset val="0"/>
          </rPr>
          <t xml:space="preserve">
张顶b8</t>
        </r>
      </text>
    </comment>
    <comment ref="AL1470" authorId="0">
      <text>
        <r>
          <rPr>
            <b/>
            <sz val="9"/>
            <rFont val="宋体"/>
            <charset val="134"/>
          </rPr>
          <t>Administrator:</t>
        </r>
        <r>
          <rPr>
            <sz val="9"/>
            <rFont val="宋体"/>
            <charset val="134"/>
          </rPr>
          <t xml:space="preserve">
5/5 进口商贴纸 2400pcs</t>
        </r>
      </text>
    </comment>
    <comment ref="AI1472" authorId="2">
      <text>
        <r>
          <rPr>
            <b/>
            <sz val="9"/>
            <rFont val="宋体"/>
            <charset val="0"/>
          </rPr>
          <t>石玉珍:</t>
        </r>
        <r>
          <rPr>
            <sz val="9"/>
            <rFont val="宋体"/>
            <charset val="0"/>
          </rPr>
          <t xml:space="preserve">
2801154 6/9 2400pcs</t>
        </r>
      </text>
    </comment>
    <comment ref="AL1472" authorId="0">
      <text>
        <r>
          <rPr>
            <b/>
            <sz val="9"/>
            <rFont val="宋体"/>
            <charset val="134"/>
          </rPr>
          <t>Administrator:</t>
        </r>
        <r>
          <rPr>
            <sz val="9"/>
            <rFont val="宋体"/>
            <charset val="134"/>
          </rPr>
          <t xml:space="preserve">
5/18 进口商贴纸 2400pcs
UPC贴纸 2400pcs</t>
        </r>
      </text>
    </comment>
    <comment ref="AI1473" authorId="2">
      <text>
        <r>
          <rPr>
            <b/>
            <sz val="9"/>
            <rFont val="宋体"/>
            <charset val="0"/>
          </rPr>
          <t>石玉珍:</t>
        </r>
        <r>
          <rPr>
            <sz val="9"/>
            <rFont val="宋体"/>
            <charset val="0"/>
          </rPr>
          <t xml:space="preserve">
2801154 6/9 1850pcs</t>
        </r>
      </text>
    </comment>
    <comment ref="AL1473" authorId="0">
      <text>
        <r>
          <rPr>
            <b/>
            <sz val="9"/>
            <rFont val="宋体"/>
            <charset val="134"/>
          </rPr>
          <t>Administrator:</t>
        </r>
        <r>
          <rPr>
            <sz val="9"/>
            <rFont val="宋体"/>
            <charset val="134"/>
          </rPr>
          <t xml:space="preserve">
5/18 进口商贴纸 1850pcs
UPC贴纸 1850pcs</t>
        </r>
      </text>
    </comment>
    <comment ref="AI1474" authorId="2">
      <text>
        <r>
          <rPr>
            <b/>
            <sz val="9"/>
            <rFont val="宋体"/>
            <charset val="0"/>
          </rPr>
          <t>石玉珍:</t>
        </r>
        <r>
          <rPr>
            <sz val="9"/>
            <rFont val="宋体"/>
            <charset val="0"/>
          </rPr>
          <t xml:space="preserve">
2801154 6/9 1050pcs</t>
        </r>
      </text>
    </comment>
    <comment ref="AL1474" authorId="0">
      <text>
        <r>
          <rPr>
            <b/>
            <sz val="9"/>
            <rFont val="宋体"/>
            <charset val="134"/>
          </rPr>
          <t>Administrator:</t>
        </r>
        <r>
          <rPr>
            <sz val="9"/>
            <rFont val="宋体"/>
            <charset val="134"/>
          </rPr>
          <t xml:space="preserve">
5/25 UPC条码贴纸 1810pcs</t>
        </r>
      </text>
    </comment>
    <comment ref="AI1475" authorId="2">
      <text>
        <r>
          <rPr>
            <b/>
            <sz val="9"/>
            <rFont val="宋体"/>
            <charset val="0"/>
          </rPr>
          <t>石玉珍:</t>
        </r>
        <r>
          <rPr>
            <sz val="9"/>
            <rFont val="宋体"/>
            <charset val="0"/>
          </rPr>
          <t xml:space="preserve">
2801168 6/8 1248pcs</t>
        </r>
      </text>
    </comment>
    <comment ref="AL1475" authorId="0">
      <text>
        <r>
          <rPr>
            <b/>
            <sz val="9"/>
            <rFont val="宋体"/>
            <charset val="134"/>
          </rPr>
          <t>Administrator:</t>
        </r>
        <r>
          <rPr>
            <sz val="9"/>
            <rFont val="宋体"/>
            <charset val="134"/>
          </rPr>
          <t xml:space="preserve">
5/21 UPC条码贴纸 1248pcs
5/25 H客供警语贴纸贴球底部 1290pcs
H客供警语贴说明书 1290pcs
K客供警语贴收藏指南 1290pcs
</t>
        </r>
      </text>
    </comment>
    <comment ref="AI1476" authorId="2">
      <text>
        <r>
          <rPr>
            <b/>
            <sz val="9"/>
            <rFont val="宋体"/>
            <charset val="0"/>
          </rPr>
          <t>石玉珍:</t>
        </r>
        <r>
          <rPr>
            <sz val="9"/>
            <rFont val="宋体"/>
            <charset val="0"/>
          </rPr>
          <t xml:space="preserve">
2801184 6/10 1508pcs</t>
        </r>
      </text>
    </comment>
    <comment ref="AL1476" authorId="0">
      <text>
        <r>
          <rPr>
            <b/>
            <sz val="9"/>
            <rFont val="宋体"/>
            <charset val="134"/>
          </rPr>
          <t>Administrator:</t>
        </r>
        <r>
          <rPr>
            <sz val="9"/>
            <rFont val="宋体"/>
            <charset val="134"/>
          </rPr>
          <t xml:space="preserve">
5/19 大语警告语贴 1508pcs
小语警告语贴 10556pcs
丹麦瑞典芬兰挪威警告语贴 1508pcs
.</t>
        </r>
      </text>
    </comment>
    <comment ref="AI1477" authorId="2">
      <text>
        <r>
          <rPr>
            <b/>
            <sz val="9"/>
            <rFont val="宋体"/>
            <charset val="0"/>
          </rPr>
          <t>石玉珍:</t>
        </r>
        <r>
          <rPr>
            <sz val="9"/>
            <rFont val="宋体"/>
            <charset val="0"/>
          </rPr>
          <t xml:space="preserve">
2801154 6/9 1550pcs</t>
        </r>
      </text>
    </comment>
    <comment ref="AL1477" authorId="0">
      <text>
        <r>
          <rPr>
            <b/>
            <sz val="9"/>
            <rFont val="宋体"/>
            <charset val="134"/>
          </rPr>
          <t>Administrator:</t>
        </r>
        <r>
          <rPr>
            <sz val="9"/>
            <rFont val="宋体"/>
            <charset val="134"/>
          </rPr>
          <t xml:space="preserve">
5/18 进口商贴纸 1550pcs
</t>
        </r>
      </text>
    </comment>
    <comment ref="AI1478" authorId="2">
      <text>
        <r>
          <rPr>
            <b/>
            <sz val="9"/>
            <rFont val="宋体"/>
            <charset val="0"/>
          </rPr>
          <t>石玉珍:</t>
        </r>
        <r>
          <rPr>
            <sz val="9"/>
            <rFont val="宋体"/>
            <charset val="0"/>
          </rPr>
          <t xml:space="preserve">
2801154 6/9 960pcs</t>
        </r>
      </text>
    </comment>
    <comment ref="AL1478" authorId="0">
      <text>
        <r>
          <rPr>
            <b/>
            <sz val="9"/>
            <rFont val="宋体"/>
            <charset val="134"/>
          </rPr>
          <t>Administrator:</t>
        </r>
        <r>
          <rPr>
            <sz val="9"/>
            <rFont val="宋体"/>
            <charset val="134"/>
          </rPr>
          <t xml:space="preserve">
5/26 UPC条码贴纸 960pcs</t>
        </r>
      </text>
    </comment>
    <comment ref="AI1479" authorId="2">
      <text>
        <r>
          <rPr>
            <b/>
            <sz val="9"/>
            <rFont val="宋体"/>
            <charset val="0"/>
          </rPr>
          <t>石玉珍:</t>
        </r>
        <r>
          <rPr>
            <sz val="9"/>
            <rFont val="宋体"/>
            <charset val="0"/>
          </rPr>
          <t xml:space="preserve">
2801153 6/9 225pcs</t>
        </r>
      </text>
    </comment>
    <comment ref="AI1480" authorId="2">
      <text>
        <r>
          <rPr>
            <b/>
            <sz val="9"/>
            <rFont val="宋体"/>
            <charset val="0"/>
          </rPr>
          <t>石玉珍:</t>
        </r>
        <r>
          <rPr>
            <sz val="9"/>
            <rFont val="宋体"/>
            <charset val="0"/>
          </rPr>
          <t xml:space="preserve">
2801153 6/9 5500pcs</t>
        </r>
        <r>
          <rPr>
            <b/>
            <sz val="9"/>
            <rFont val="宋体"/>
            <charset val="0"/>
          </rPr>
          <t xml:space="preserve">
石玉珍:</t>
        </r>
        <r>
          <rPr>
            <sz val="9"/>
            <rFont val="宋体"/>
            <charset val="0"/>
          </rPr>
          <t xml:space="preserve">
2801198 6/11 2500pcs</t>
        </r>
      </text>
    </comment>
    <comment ref="AL1480" authorId="0">
      <text>
        <r>
          <rPr>
            <b/>
            <sz val="9"/>
            <rFont val="宋体"/>
            <charset val="134"/>
          </rPr>
          <t>Administrator:</t>
        </r>
        <r>
          <rPr>
            <sz val="9"/>
            <rFont val="宋体"/>
            <charset val="134"/>
          </rPr>
          <t xml:space="preserve">
5/20 冰棒款-说明书荷兰语贴纸 167pcs
蛋糕款-说明书荷兰语贴纸 279pcs
布丁款-说明书荷兰语贴纸 167pcs
</t>
        </r>
      </text>
    </comment>
    <comment ref="AI1481" authorId="2">
      <text>
        <r>
          <rPr>
            <b/>
            <sz val="9"/>
            <rFont val="宋体"/>
            <charset val="0"/>
          </rPr>
          <t>石玉珍:</t>
        </r>
        <r>
          <rPr>
            <sz val="9"/>
            <rFont val="宋体"/>
            <charset val="0"/>
          </rPr>
          <t xml:space="preserve">
2801153 6/9 5000pcs</t>
        </r>
      </text>
    </comment>
    <comment ref="AL1481" authorId="0">
      <text>
        <r>
          <rPr>
            <b/>
            <sz val="9"/>
            <rFont val="宋体"/>
            <charset val="134"/>
          </rPr>
          <t>Administrator:</t>
        </r>
        <r>
          <rPr>
            <sz val="9"/>
            <rFont val="宋体"/>
            <charset val="134"/>
          </rPr>
          <t xml:space="preserve">
5/20 法国回收标贴纸 5000pcs
</t>
        </r>
      </text>
    </comment>
    <comment ref="AI1482" authorId="2">
      <text>
        <r>
          <rPr>
            <b/>
            <sz val="9"/>
            <rFont val="宋体"/>
            <charset val="0"/>
          </rPr>
          <t>石玉珍:</t>
        </r>
        <r>
          <rPr>
            <sz val="9"/>
            <rFont val="宋体"/>
            <charset val="0"/>
          </rPr>
          <t xml:space="preserve">
2801139 6/8 19992pcs</t>
        </r>
      </text>
    </comment>
    <comment ref="AI1483" authorId="2">
      <text>
        <r>
          <rPr>
            <b/>
            <sz val="9"/>
            <rFont val="宋体"/>
            <charset val="0"/>
          </rPr>
          <t>石玉珍:</t>
        </r>
        <r>
          <rPr>
            <sz val="9"/>
            <rFont val="宋体"/>
            <charset val="0"/>
          </rPr>
          <t xml:space="preserve">
2801153 6/9 5408pcs</t>
        </r>
      </text>
    </comment>
    <comment ref="AI1484" authorId="2">
      <text>
        <r>
          <rPr>
            <b/>
            <sz val="9"/>
            <rFont val="宋体"/>
            <charset val="0"/>
          </rPr>
          <t>石玉珍:</t>
        </r>
        <r>
          <rPr>
            <sz val="9"/>
            <rFont val="宋体"/>
            <charset val="0"/>
          </rPr>
          <t xml:space="preserve">
2801153 6/9 6550pcs</t>
        </r>
      </text>
    </comment>
    <comment ref="AL1484" authorId="0">
      <text>
        <r>
          <rPr>
            <b/>
            <sz val="9"/>
            <rFont val="宋体"/>
            <charset val="134"/>
          </rPr>
          <t>Administrator:</t>
        </r>
        <r>
          <rPr>
            <sz val="9"/>
            <rFont val="宋体"/>
            <charset val="134"/>
          </rPr>
          <t xml:space="preserve">
5/22 家乐福外箱贴纸 262pcs
</t>
        </r>
      </text>
    </comment>
    <comment ref="AI1485" authorId="2">
      <text>
        <r>
          <rPr>
            <b/>
            <sz val="9"/>
            <rFont val="宋体"/>
            <charset val="0"/>
          </rPr>
          <t>石玉珍:</t>
        </r>
        <r>
          <rPr>
            <sz val="9"/>
            <rFont val="宋体"/>
            <charset val="0"/>
          </rPr>
          <t xml:space="preserve">
2801045  6/2 1950pcs新泰b2</t>
        </r>
        <r>
          <rPr>
            <b/>
            <sz val="9"/>
            <rFont val="宋体"/>
            <charset val="0"/>
          </rPr>
          <t xml:space="preserve">
石玉珍:</t>
        </r>
        <r>
          <rPr>
            <sz val="9"/>
            <rFont val="宋体"/>
            <charset val="0"/>
          </rPr>
          <t xml:space="preserve">
2801070 6/3 50pcs</t>
        </r>
      </text>
    </comment>
    <comment ref="AL1485" authorId="0">
      <text>
        <r>
          <rPr>
            <b/>
            <sz val="9"/>
            <rFont val="宋体"/>
            <charset val="134"/>
          </rPr>
          <t>Administrator:</t>
        </r>
        <r>
          <rPr>
            <sz val="9"/>
            <rFont val="宋体"/>
            <charset val="134"/>
          </rPr>
          <t xml:space="preserve">
5/18 SNI label 40*50mm 2000pcs
UPC条码贴纸3 2000pcs
空白贴纸 2000pcs
5/25 客供SNI label 1520pcs</t>
        </r>
      </text>
    </comment>
    <comment ref="AI1486" authorId="2">
      <text>
        <r>
          <rPr>
            <b/>
            <sz val="9"/>
            <rFont val="宋体"/>
            <charset val="0"/>
          </rPr>
          <t>石玉珍:</t>
        </r>
        <r>
          <rPr>
            <sz val="9"/>
            <rFont val="宋体"/>
            <charset val="0"/>
          </rPr>
          <t xml:space="preserve">
2801208 6/10 182pcs</t>
        </r>
      </text>
    </comment>
    <comment ref="AI1487" authorId="2">
      <text>
        <r>
          <rPr>
            <b/>
            <sz val="9"/>
            <rFont val="宋体"/>
            <charset val="0"/>
          </rPr>
          <t>石玉珍:</t>
        </r>
        <r>
          <rPr>
            <sz val="9"/>
            <rFont val="宋体"/>
            <charset val="0"/>
          </rPr>
          <t xml:space="preserve">
2801208 6/10 299pcs</t>
        </r>
      </text>
    </comment>
    <comment ref="AI1488" authorId="2">
      <text>
        <r>
          <rPr>
            <b/>
            <sz val="9"/>
            <rFont val="宋体"/>
            <charset val="0"/>
          </rPr>
          <t>石玉珍:</t>
        </r>
        <r>
          <rPr>
            <sz val="9"/>
            <rFont val="宋体"/>
            <charset val="0"/>
          </rPr>
          <t xml:space="preserve">
2801184 6/10 4992pcs</t>
        </r>
        <r>
          <rPr>
            <b/>
            <sz val="9"/>
            <rFont val="宋体"/>
            <charset val="0"/>
          </rPr>
          <t xml:space="preserve">
石玉珍:</t>
        </r>
        <r>
          <rPr>
            <sz val="9"/>
            <rFont val="宋体"/>
            <charset val="0"/>
          </rPr>
          <t xml:space="preserve">
0801189 6/10 12psc</t>
        </r>
      </text>
    </comment>
    <comment ref="AL1488" authorId="0">
      <text>
        <r>
          <rPr>
            <b/>
            <sz val="9"/>
            <rFont val="宋体"/>
            <charset val="134"/>
          </rPr>
          <t>Administrator:</t>
        </r>
        <r>
          <rPr>
            <sz val="9"/>
            <rFont val="宋体"/>
            <charset val="134"/>
          </rPr>
          <t xml:space="preserve">
5/14 客供价格贴纸 5250pcs
</t>
        </r>
      </text>
    </comment>
    <comment ref="AI1489" authorId="2">
      <text>
        <r>
          <rPr>
            <b/>
            <sz val="9"/>
            <rFont val="宋体"/>
            <charset val="0"/>
          </rPr>
          <t>石玉珍:</t>
        </r>
        <r>
          <rPr>
            <sz val="9"/>
            <rFont val="宋体"/>
            <charset val="0"/>
          </rPr>
          <t xml:space="preserve">
2801190 6/10 17280pcs</t>
        </r>
      </text>
    </comment>
    <comment ref="AL1489" authorId="0">
      <text>
        <r>
          <rPr>
            <b/>
            <sz val="9"/>
            <rFont val="宋体"/>
            <charset val="134"/>
          </rPr>
          <t>Administrator:</t>
        </r>
        <r>
          <rPr>
            <sz val="9"/>
            <rFont val="宋体"/>
            <charset val="134"/>
          </rPr>
          <t xml:space="preserve">
5/14 客供RID贴纸 17280pcs
</t>
        </r>
      </text>
    </comment>
    <comment ref="AI1490" authorId="2">
      <text>
        <r>
          <rPr>
            <b/>
            <sz val="9"/>
            <rFont val="宋体"/>
            <charset val="0"/>
          </rPr>
          <t>石玉珍:</t>
        </r>
        <r>
          <rPr>
            <sz val="9"/>
            <rFont val="宋体"/>
            <charset val="0"/>
          </rPr>
          <t xml:space="preserve">
2801213 6/11 24000pcs</t>
        </r>
      </text>
    </comment>
    <comment ref="AL1490" authorId="0">
      <text>
        <r>
          <rPr>
            <b/>
            <sz val="9"/>
            <rFont val="宋体"/>
            <charset val="134"/>
          </rPr>
          <t>Administrator:</t>
        </r>
        <r>
          <rPr>
            <sz val="9"/>
            <rFont val="宋体"/>
            <charset val="134"/>
          </rPr>
          <t xml:space="preserve">
5/14 客供RID贴纸 124000pcs</t>
        </r>
      </text>
    </comment>
    <comment ref="AI1491" authorId="2">
      <text>
        <r>
          <rPr>
            <b/>
            <sz val="9"/>
            <rFont val="宋体"/>
            <charset val="0"/>
          </rPr>
          <t>石玉珍:</t>
        </r>
        <r>
          <rPr>
            <sz val="9"/>
            <rFont val="宋体"/>
            <charset val="0"/>
          </rPr>
          <t xml:space="preserve">
2801195 6/10 15360pcs</t>
        </r>
      </text>
    </comment>
    <comment ref="AL1491" authorId="0">
      <text>
        <r>
          <rPr>
            <b/>
            <sz val="9"/>
            <rFont val="宋体"/>
            <charset val="134"/>
          </rPr>
          <t>Administrator:</t>
        </r>
        <r>
          <rPr>
            <sz val="9"/>
            <rFont val="宋体"/>
            <charset val="134"/>
          </rPr>
          <t xml:space="preserve">
5/14 客供RID贴纸 15360pcs</t>
        </r>
      </text>
    </comment>
    <comment ref="AI1492" authorId="2">
      <text>
        <r>
          <rPr>
            <b/>
            <sz val="9"/>
            <rFont val="宋体"/>
            <charset val="0"/>
          </rPr>
          <t>石玉珍:</t>
        </r>
        <r>
          <rPr>
            <sz val="9"/>
            <rFont val="宋体"/>
            <charset val="0"/>
          </rPr>
          <t xml:space="preserve">
2801190 6/10 12480pcs</t>
        </r>
      </text>
    </comment>
    <comment ref="AL1492" authorId="0">
      <text>
        <r>
          <rPr>
            <b/>
            <sz val="9"/>
            <rFont val="宋体"/>
            <charset val="134"/>
          </rPr>
          <t>Administrator:</t>
        </r>
        <r>
          <rPr>
            <sz val="9"/>
            <rFont val="宋体"/>
            <charset val="134"/>
          </rPr>
          <t xml:space="preserve">
5/14 客供RID贴纸 12480pcs</t>
        </r>
      </text>
    </comment>
    <comment ref="AI1493" authorId="2">
      <text>
        <r>
          <rPr>
            <b/>
            <sz val="9"/>
            <rFont val="宋体"/>
            <charset val="0"/>
          </rPr>
          <t>石玉珍:</t>
        </r>
        <r>
          <rPr>
            <sz val="9"/>
            <rFont val="宋体"/>
            <charset val="0"/>
          </rPr>
          <t xml:space="preserve">
2801213 6/11 14400pcs</t>
        </r>
      </text>
    </comment>
    <comment ref="AL1493" authorId="0">
      <text>
        <r>
          <rPr>
            <b/>
            <sz val="9"/>
            <rFont val="宋体"/>
            <charset val="134"/>
          </rPr>
          <t>Administrator:</t>
        </r>
        <r>
          <rPr>
            <sz val="9"/>
            <rFont val="宋体"/>
            <charset val="134"/>
          </rPr>
          <t xml:space="preserve">
5/14 客供RID贴纸 14400pcs</t>
        </r>
      </text>
    </comment>
    <comment ref="AI1494" authorId="2">
      <text>
        <r>
          <rPr>
            <b/>
            <sz val="9"/>
            <rFont val="宋体"/>
            <charset val="0"/>
          </rPr>
          <t>石玉珍:</t>
        </r>
        <r>
          <rPr>
            <sz val="9"/>
            <rFont val="宋体"/>
            <charset val="0"/>
          </rPr>
          <t xml:space="preserve">
2801195 6/10 11328pcs</t>
        </r>
        <r>
          <rPr>
            <b/>
            <sz val="9"/>
            <rFont val="宋体"/>
            <charset val="0"/>
          </rPr>
          <t xml:space="preserve">
石玉珍:</t>
        </r>
        <r>
          <rPr>
            <sz val="9"/>
            <rFont val="宋体"/>
            <charset val="0"/>
          </rPr>
          <t xml:space="preserve">
2801190 6/10 6912pcs</t>
        </r>
      </text>
    </comment>
    <comment ref="AL1494" authorId="0">
      <text>
        <r>
          <rPr>
            <b/>
            <sz val="9"/>
            <rFont val="宋体"/>
            <charset val="134"/>
          </rPr>
          <t>Administrator:</t>
        </r>
        <r>
          <rPr>
            <sz val="9"/>
            <rFont val="宋体"/>
            <charset val="134"/>
          </rPr>
          <t xml:space="preserve">
5/14 客供RID贴纸 18240pcs</t>
        </r>
      </text>
    </comment>
    <comment ref="AI1495" authorId="2">
      <text>
        <r>
          <rPr>
            <b/>
            <sz val="9"/>
            <rFont val="宋体"/>
            <charset val="0"/>
          </rPr>
          <t>石玉珍:</t>
        </r>
        <r>
          <rPr>
            <sz val="9"/>
            <rFont val="宋体"/>
            <charset val="0"/>
          </rPr>
          <t xml:space="preserve">
2801190 6/10 27840pcs</t>
        </r>
      </text>
    </comment>
    <comment ref="AL1495" authorId="0">
      <text>
        <r>
          <rPr>
            <b/>
            <sz val="9"/>
            <rFont val="宋体"/>
            <charset val="134"/>
          </rPr>
          <t>Administrator:</t>
        </r>
        <r>
          <rPr>
            <sz val="9"/>
            <rFont val="宋体"/>
            <charset val="134"/>
          </rPr>
          <t xml:space="preserve">
5/14 客供RID贴纸 27840pcs</t>
        </r>
      </text>
    </comment>
    <comment ref="AI1496" authorId="2">
      <text>
        <r>
          <rPr>
            <b/>
            <sz val="9"/>
            <rFont val="宋体"/>
            <charset val="0"/>
          </rPr>
          <t>石玉珍:</t>
        </r>
        <r>
          <rPr>
            <sz val="9"/>
            <rFont val="宋体"/>
            <charset val="0"/>
          </rPr>
          <t xml:space="preserve">
2801211 6/12 1287pcs</t>
        </r>
      </text>
    </comment>
    <comment ref="AL1496" authorId="0">
      <text>
        <r>
          <rPr>
            <b/>
            <sz val="9"/>
            <rFont val="宋体"/>
            <charset val="134"/>
          </rPr>
          <t>Administrator:</t>
        </r>
        <r>
          <rPr>
            <sz val="9"/>
            <rFont val="宋体"/>
            <charset val="134"/>
          </rPr>
          <t xml:space="preserve">
5/22 大语警告语贴 300pcs
小语警告语贴 9100pcs
丹麦瑞典芬兰挪威警告 13000pcs
</t>
        </r>
      </text>
    </comment>
    <comment ref="AI1497" authorId="2">
      <text>
        <r>
          <rPr>
            <b/>
            <sz val="9"/>
            <rFont val="宋体"/>
            <charset val="0"/>
          </rPr>
          <t>石玉珍:</t>
        </r>
        <r>
          <rPr>
            <sz val="9"/>
            <rFont val="宋体"/>
            <charset val="0"/>
          </rPr>
          <t xml:space="preserve">
2801440 6/9 2400pcs</t>
        </r>
      </text>
    </comment>
    <comment ref="AL1497" authorId="0">
      <text>
        <r>
          <rPr>
            <b/>
            <sz val="9"/>
            <rFont val="宋体"/>
            <charset val="134"/>
          </rPr>
          <t>Administrator:</t>
        </r>
        <r>
          <rPr>
            <sz val="9"/>
            <rFont val="宋体"/>
            <charset val="134"/>
          </rPr>
          <t xml:space="preserve">
5/20 颜色贴纸 2400pcs
空白贴纸 4800pcs</t>
        </r>
      </text>
    </comment>
    <comment ref="AI1498" authorId="2">
      <text>
        <r>
          <rPr>
            <b/>
            <sz val="9"/>
            <rFont val="宋体"/>
            <charset val="0"/>
          </rPr>
          <t>石玉珍:</t>
        </r>
        <r>
          <rPr>
            <sz val="9"/>
            <rFont val="宋体"/>
            <charset val="0"/>
          </rPr>
          <t xml:space="preserve">
2801217 6/16 4200pcs</t>
        </r>
      </text>
    </comment>
    <comment ref="AI1499" authorId="2">
      <text>
        <r>
          <rPr>
            <b/>
            <sz val="9"/>
            <rFont val="宋体"/>
            <charset val="0"/>
          </rPr>
          <t>石玉珍:</t>
        </r>
        <r>
          <rPr>
            <sz val="9"/>
            <rFont val="宋体"/>
            <charset val="0"/>
          </rPr>
          <t xml:space="preserve">
2500313 6/12 2520pcs</t>
        </r>
      </text>
    </comment>
    <comment ref="AI1501" authorId="2">
      <text>
        <r>
          <rPr>
            <b/>
            <sz val="9"/>
            <rFont val="宋体"/>
            <charset val="0"/>
          </rPr>
          <t>石玉珍:</t>
        </r>
        <r>
          <rPr>
            <sz val="9"/>
            <rFont val="宋体"/>
            <charset val="0"/>
          </rPr>
          <t xml:space="preserve">
2500313 6/12 1884pcs</t>
        </r>
      </text>
    </comment>
    <comment ref="AI1502" authorId="2">
      <text>
        <r>
          <rPr>
            <b/>
            <sz val="9"/>
            <rFont val="宋体"/>
            <charset val="0"/>
          </rPr>
          <t>石玉珍:</t>
        </r>
        <r>
          <rPr>
            <sz val="9"/>
            <rFont val="宋体"/>
            <charset val="0"/>
          </rPr>
          <t xml:space="preserve">
2801446 6/10 2004pcs</t>
        </r>
      </text>
    </comment>
    <comment ref="AL1502" authorId="0">
      <text>
        <r>
          <rPr>
            <b/>
            <sz val="9"/>
            <rFont val="宋体"/>
            <charset val="134"/>
          </rPr>
          <t>Administrator:</t>
        </r>
        <r>
          <rPr>
            <sz val="9"/>
            <rFont val="宋体"/>
            <charset val="134"/>
          </rPr>
          <t xml:space="preserve">
5/26 客供价格贴纸 2105pcs
</t>
        </r>
      </text>
    </comment>
    <comment ref="AI1503" authorId="2">
      <text>
        <r>
          <rPr>
            <b/>
            <sz val="9"/>
            <rFont val="宋体"/>
            <charset val="0"/>
          </rPr>
          <t>石玉珍:</t>
        </r>
        <r>
          <rPr>
            <sz val="9"/>
            <rFont val="宋体"/>
            <charset val="0"/>
          </rPr>
          <t xml:space="preserve">
2801446 6/10 2004pcs</t>
        </r>
      </text>
    </comment>
    <comment ref="AL1503" authorId="0">
      <text>
        <r>
          <rPr>
            <b/>
            <sz val="9"/>
            <rFont val="宋体"/>
            <charset val="134"/>
          </rPr>
          <t>Administrator:</t>
        </r>
        <r>
          <rPr>
            <sz val="9"/>
            <rFont val="宋体"/>
            <charset val="134"/>
          </rPr>
          <t xml:space="preserve">
5/26 客供价格贴纸 2105pcs
</t>
        </r>
      </text>
    </comment>
    <comment ref="AI1504" authorId="2">
      <text>
        <r>
          <rPr>
            <b/>
            <sz val="9"/>
            <rFont val="宋体"/>
            <charset val="0"/>
          </rPr>
          <t>石玉珍:</t>
        </r>
        <r>
          <rPr>
            <sz val="9"/>
            <rFont val="宋体"/>
            <charset val="0"/>
          </rPr>
          <t xml:space="preserve">
2801449 6/10 6204pcs</t>
        </r>
      </text>
    </comment>
    <comment ref="AL1504" authorId="0">
      <text>
        <r>
          <rPr>
            <sz val="9"/>
            <rFont val="宋体"/>
            <charset val="134"/>
          </rPr>
          <t>Administrator:
5/27 客供芯片码贴纸 6204pcs</t>
        </r>
        <r>
          <rPr>
            <b/>
            <sz val="9"/>
            <rFont val="宋体"/>
            <charset val="134"/>
          </rPr>
          <t xml:space="preserve">
石玉珍:</t>
        </r>
        <r>
          <rPr>
            <sz val="9"/>
            <rFont val="宋体"/>
            <charset val="134"/>
          </rPr>
          <t xml:space="preserve">
5/28 3c贴纸 6204pcs</t>
        </r>
        <r>
          <rPr>
            <b/>
            <sz val="9"/>
            <rFont val="宋体"/>
            <charset val="134"/>
          </rPr>
          <t xml:space="preserve">
石玉珍:</t>
        </r>
        <r>
          <rPr>
            <sz val="9"/>
            <rFont val="宋体"/>
            <charset val="134"/>
          </rPr>
          <t xml:space="preserve">
5/28 颜色贴纸 6204pcs</t>
        </r>
        <r>
          <rPr>
            <b/>
            <sz val="9"/>
            <rFont val="宋体"/>
            <charset val="134"/>
          </rPr>
          <t xml:space="preserve">
石玉珍:</t>
        </r>
        <r>
          <rPr>
            <sz val="9"/>
            <rFont val="宋体"/>
            <charset val="134"/>
          </rPr>
          <t xml:space="preserve">
空白贴纸 6204*2pcs</t>
        </r>
      </text>
    </comment>
    <comment ref="AI1505" authorId="2">
      <text>
        <r>
          <rPr>
            <b/>
            <sz val="9"/>
            <rFont val="宋体"/>
            <charset val="0"/>
          </rPr>
          <t>石玉珍:</t>
        </r>
        <r>
          <rPr>
            <sz val="9"/>
            <rFont val="宋体"/>
            <charset val="0"/>
          </rPr>
          <t xml:space="preserve">
2801260 6/15 19825pcs</t>
        </r>
      </text>
    </comment>
    <comment ref="AL1505" authorId="0">
      <text>
        <r>
          <rPr>
            <b/>
            <sz val="9"/>
            <rFont val="宋体"/>
            <charset val="134"/>
          </rPr>
          <t>Administrator:</t>
        </r>
        <r>
          <rPr>
            <sz val="9"/>
            <rFont val="宋体"/>
            <charset val="134"/>
          </rPr>
          <t xml:space="preserve">
5/27 多语警语折叠贴纸 19825pcs </t>
        </r>
      </text>
    </comment>
    <comment ref="AI1506" authorId="2">
      <text>
        <r>
          <rPr>
            <b/>
            <sz val="9"/>
            <rFont val="宋体"/>
            <charset val="0"/>
          </rPr>
          <t>石玉珍:</t>
        </r>
        <r>
          <rPr>
            <sz val="9"/>
            <rFont val="宋体"/>
            <charset val="0"/>
          </rPr>
          <t xml:space="preserve">
2801260 6/15 6500pcs</t>
        </r>
      </text>
    </comment>
    <comment ref="AL1506" authorId="0">
      <text>
        <r>
          <rPr>
            <b/>
            <sz val="9"/>
            <rFont val="宋体"/>
            <charset val="134"/>
          </rPr>
          <t>Administrator:</t>
        </r>
        <r>
          <rPr>
            <sz val="9"/>
            <rFont val="宋体"/>
            <charset val="134"/>
          </rPr>
          <t xml:space="preserve">
5/21 多语警语折叠贴纸 6500pcs
 </t>
        </r>
      </text>
    </comment>
    <comment ref="AI1507" authorId="2">
      <text>
        <r>
          <rPr>
            <b/>
            <sz val="9"/>
            <rFont val="宋体"/>
            <charset val="0"/>
          </rPr>
          <t>石玉珍:</t>
        </r>
        <r>
          <rPr>
            <sz val="9"/>
            <rFont val="宋体"/>
            <charset val="0"/>
          </rPr>
          <t xml:space="preserve">
2801235 6/12 1404pcs</t>
        </r>
      </text>
    </comment>
    <comment ref="AL1507" authorId="0">
      <text>
        <r>
          <rPr>
            <b/>
            <sz val="9"/>
            <rFont val="宋体"/>
            <charset val="134"/>
          </rPr>
          <t>Administrator:</t>
        </r>
        <r>
          <rPr>
            <sz val="9"/>
            <rFont val="宋体"/>
            <charset val="134"/>
          </rPr>
          <t xml:space="preserve">
5/18 客供价格贴纸 1404pcs
5/22 空白贴纸 1404pcs*2
</t>
        </r>
      </text>
    </comment>
    <comment ref="AI1508" authorId="2">
      <text>
        <r>
          <rPr>
            <b/>
            <sz val="9"/>
            <rFont val="宋体"/>
            <charset val="0"/>
          </rPr>
          <t>石玉珍:</t>
        </r>
        <r>
          <rPr>
            <sz val="9"/>
            <rFont val="宋体"/>
            <charset val="0"/>
          </rPr>
          <t xml:space="preserve">
2801235 6/12 1596pcs</t>
        </r>
      </text>
    </comment>
    <comment ref="AL1508" authorId="0">
      <text>
        <r>
          <rPr>
            <b/>
            <sz val="9"/>
            <rFont val="宋体"/>
            <charset val="134"/>
          </rPr>
          <t>Administrator:</t>
        </r>
        <r>
          <rPr>
            <sz val="9"/>
            <rFont val="宋体"/>
            <charset val="134"/>
          </rPr>
          <t xml:space="preserve">
5/18 客供价格贴纸 1596pcs
5/22 空白贴纸 1596*2pcs
</t>
        </r>
      </text>
    </comment>
    <comment ref="AI1509" authorId="2">
      <text>
        <r>
          <rPr>
            <b/>
            <sz val="9"/>
            <rFont val="宋体"/>
            <charset val="0"/>
          </rPr>
          <t>石玉珍:</t>
        </r>
        <r>
          <rPr>
            <sz val="9"/>
            <rFont val="宋体"/>
            <charset val="0"/>
          </rPr>
          <t xml:space="preserve">
2201052 6/17 1200pcs</t>
        </r>
      </text>
    </comment>
    <comment ref="AI1510" authorId="2">
      <text>
        <r>
          <rPr>
            <b/>
            <sz val="9"/>
            <rFont val="宋体"/>
            <charset val="0"/>
          </rPr>
          <t>石玉珍:</t>
        </r>
        <r>
          <rPr>
            <sz val="9"/>
            <rFont val="宋体"/>
            <charset val="0"/>
          </rPr>
          <t xml:space="preserve">
2201052 6/17 2220pcs</t>
        </r>
      </text>
    </comment>
    <comment ref="AL1510" authorId="2">
      <text>
        <r>
          <rPr>
            <b/>
            <sz val="9"/>
            <rFont val="宋体"/>
            <charset val="134"/>
          </rPr>
          <t>石玉珍:</t>
        </r>
        <r>
          <rPr>
            <sz val="9"/>
            <rFont val="宋体"/>
            <charset val="134"/>
          </rPr>
          <t xml:space="preserve">
5/29 进口商贴纸 2200pcs
UPC贴纸 </t>
        </r>
      </text>
    </comment>
    <comment ref="AI1511" authorId="2">
      <text>
        <r>
          <rPr>
            <b/>
            <sz val="9"/>
            <rFont val="宋体"/>
            <charset val="0"/>
          </rPr>
          <t>石玉珍:</t>
        </r>
        <r>
          <rPr>
            <sz val="9"/>
            <rFont val="宋体"/>
            <charset val="0"/>
          </rPr>
          <t xml:space="preserve">
2201045 6/16 4000pcs</t>
        </r>
      </text>
    </comment>
    <comment ref="AL1511" authorId="0">
      <text>
        <r>
          <rPr>
            <b/>
            <sz val="9"/>
            <rFont val="宋体"/>
            <charset val="134"/>
          </rPr>
          <t>Administrator:</t>
        </r>
        <r>
          <rPr>
            <sz val="9"/>
            <rFont val="宋体"/>
            <charset val="134"/>
          </rPr>
          <t xml:space="preserve">
5/20 法国回收标贴纸 4000pcs</t>
        </r>
      </text>
    </comment>
    <comment ref="AI1512" authorId="2">
      <text>
        <r>
          <rPr>
            <b/>
            <sz val="9"/>
            <rFont val="宋体"/>
            <charset val="0"/>
          </rPr>
          <t>石玉珍:</t>
        </r>
        <r>
          <rPr>
            <sz val="9"/>
            <rFont val="宋体"/>
            <charset val="0"/>
          </rPr>
          <t xml:space="preserve">
2201043 6/16 22080pcs</t>
        </r>
      </text>
    </comment>
    <comment ref="AL1512" authorId="0">
      <text>
        <r>
          <rPr>
            <b/>
            <sz val="9"/>
            <rFont val="宋体"/>
            <charset val="134"/>
          </rPr>
          <t>Administrator:</t>
        </r>
        <r>
          <rPr>
            <sz val="9"/>
            <rFont val="宋体"/>
            <charset val="134"/>
          </rPr>
          <t xml:space="preserve">
5/25 客供RFID贴纸 00280pc
</t>
        </r>
      </text>
    </comment>
    <comment ref="AI1513" authorId="2">
      <text>
        <r>
          <rPr>
            <b/>
            <sz val="9"/>
            <rFont val="宋体"/>
            <charset val="0"/>
          </rPr>
          <t>石玉珍:</t>
        </r>
        <r>
          <rPr>
            <sz val="9"/>
            <rFont val="宋体"/>
            <charset val="0"/>
          </rPr>
          <t xml:space="preserve">
2201045 6/16 2880pcs</t>
        </r>
      </text>
    </comment>
    <comment ref="AL1513" authorId="0">
      <text>
        <r>
          <rPr>
            <b/>
            <sz val="9"/>
            <rFont val="宋体"/>
            <charset val="134"/>
          </rPr>
          <t>Administrator:</t>
        </r>
        <r>
          <rPr>
            <sz val="9"/>
            <rFont val="宋体"/>
            <charset val="134"/>
          </rPr>
          <t xml:space="preserve">
5/25 客供RFID贴纸0880pc
</t>
        </r>
      </text>
    </comment>
    <comment ref="AI1514" authorId="2">
      <text>
        <r>
          <rPr>
            <b/>
            <sz val="9"/>
            <rFont val="宋体"/>
            <charset val="0"/>
          </rPr>
          <t>石玉珍:</t>
        </r>
        <r>
          <rPr>
            <sz val="9"/>
            <rFont val="宋体"/>
            <charset val="0"/>
          </rPr>
          <t xml:space="preserve">
2201043 6/16 6144pcs</t>
        </r>
        <r>
          <rPr>
            <b/>
            <sz val="9"/>
            <rFont val="宋体"/>
            <charset val="0"/>
          </rPr>
          <t xml:space="preserve">
石玉珍:</t>
        </r>
        <r>
          <rPr>
            <sz val="9"/>
            <rFont val="宋体"/>
            <charset val="0"/>
          </rPr>
          <t xml:space="preserve">
2201045 6/16 11136pcs</t>
        </r>
      </text>
    </comment>
    <comment ref="AL1514" authorId="0">
      <text>
        <r>
          <rPr>
            <b/>
            <sz val="9"/>
            <rFont val="宋体"/>
            <charset val="134"/>
          </rPr>
          <t>Administrator:</t>
        </r>
        <r>
          <rPr>
            <sz val="9"/>
            <rFont val="宋体"/>
            <charset val="134"/>
          </rPr>
          <t xml:space="preserve">
5/25 客供RFID贴纸 17280pc
</t>
        </r>
      </text>
    </comment>
    <comment ref="AI1515" authorId="2">
      <text>
        <r>
          <rPr>
            <b/>
            <sz val="9"/>
            <rFont val="宋体"/>
            <charset val="0"/>
          </rPr>
          <t>石玉珍:</t>
        </r>
        <r>
          <rPr>
            <sz val="9"/>
            <rFont val="宋体"/>
            <charset val="0"/>
          </rPr>
          <t xml:space="preserve">
2201043 6/16 30702pcs</t>
        </r>
        <r>
          <rPr>
            <b/>
            <sz val="9"/>
            <rFont val="宋体"/>
            <charset val="0"/>
          </rPr>
          <t xml:space="preserve">
石玉珍:</t>
        </r>
        <r>
          <rPr>
            <sz val="9"/>
            <rFont val="宋体"/>
            <charset val="0"/>
          </rPr>
          <t xml:space="preserve">
2201095 6/20 1920pcs</t>
        </r>
      </text>
    </comment>
    <comment ref="AL1515" authorId="0">
      <text>
        <r>
          <rPr>
            <b/>
            <sz val="9"/>
            <rFont val="宋体"/>
            <charset val="134"/>
          </rPr>
          <t>Administrator:</t>
        </r>
        <r>
          <rPr>
            <sz val="9"/>
            <rFont val="宋体"/>
            <charset val="134"/>
          </rPr>
          <t xml:space="preserve">
5/25 客供RFID贴纸 93640pc
</t>
        </r>
      </text>
    </comment>
    <comment ref="AI1516" authorId="2">
      <text>
        <r>
          <rPr>
            <b/>
            <sz val="9"/>
            <rFont val="宋体"/>
            <charset val="0"/>
          </rPr>
          <t>石玉珍:</t>
        </r>
        <r>
          <rPr>
            <sz val="9"/>
            <rFont val="宋体"/>
            <charset val="0"/>
          </rPr>
          <t xml:space="preserve">
2201045 6/16 22080pcs</t>
        </r>
      </text>
    </comment>
    <comment ref="AL1516" authorId="0">
      <text>
        <r>
          <rPr>
            <b/>
            <sz val="9"/>
            <rFont val="宋体"/>
            <charset val="134"/>
          </rPr>
          <t>Administrator:</t>
        </r>
        <r>
          <rPr>
            <sz val="9"/>
            <rFont val="宋体"/>
            <charset val="134"/>
          </rPr>
          <t xml:space="preserve">
5/25 客供RFID贴纸 22080pcs</t>
        </r>
      </text>
    </comment>
    <comment ref="AI1517" authorId="2">
      <text>
        <r>
          <rPr>
            <b/>
            <sz val="9"/>
            <rFont val="宋体"/>
            <charset val="0"/>
          </rPr>
          <t>石玉珍:</t>
        </r>
        <r>
          <rPr>
            <sz val="9"/>
            <rFont val="宋体"/>
            <charset val="0"/>
          </rPr>
          <t xml:space="preserve">
2201043 6/16 11520pcs</t>
        </r>
      </text>
    </comment>
    <comment ref="AL1517" authorId="0">
      <text>
        <r>
          <rPr>
            <b/>
            <sz val="9"/>
            <rFont val="宋体"/>
            <charset val="134"/>
          </rPr>
          <t>Administrator:</t>
        </r>
        <r>
          <rPr>
            <sz val="9"/>
            <rFont val="宋体"/>
            <charset val="134"/>
          </rPr>
          <t xml:space="preserve">
5/25 客供RFID贴纸 11520pc
</t>
        </r>
      </text>
    </comment>
    <comment ref="AI1518" authorId="2">
      <text>
        <r>
          <rPr>
            <b/>
            <sz val="9"/>
            <rFont val="宋体"/>
            <charset val="0"/>
          </rPr>
          <t>石玉珍:</t>
        </r>
        <r>
          <rPr>
            <sz val="9"/>
            <rFont val="宋体"/>
            <charset val="0"/>
          </rPr>
          <t xml:space="preserve">
2201052 6/17 1196pcs</t>
        </r>
      </text>
    </comment>
    <comment ref="AL1518" authorId="0">
      <text>
        <r>
          <rPr>
            <b/>
            <sz val="9"/>
            <rFont val="宋体"/>
            <charset val="134"/>
          </rPr>
          <t>Administrator:</t>
        </r>
        <r>
          <rPr>
            <sz val="9"/>
            <rFont val="宋体"/>
            <charset val="134"/>
          </rPr>
          <t xml:space="preserve">
5/25 客供价格贴纸 1256pcs
</t>
        </r>
      </text>
    </comment>
    <comment ref="AI1519" authorId="2">
      <text>
        <r>
          <rPr>
            <b/>
            <sz val="9"/>
            <rFont val="宋体"/>
            <charset val="0"/>
          </rPr>
          <t>石玉珍:</t>
        </r>
        <r>
          <rPr>
            <sz val="9"/>
            <rFont val="宋体"/>
            <charset val="0"/>
          </rPr>
          <t xml:space="preserve">
2201049 6/16 1248pcs</t>
        </r>
      </text>
    </comment>
    <comment ref="AL1519" authorId="0">
      <text>
        <r>
          <rPr>
            <b/>
            <sz val="9"/>
            <rFont val="宋体"/>
            <charset val="134"/>
          </rPr>
          <t>Administrator:</t>
        </r>
        <r>
          <rPr>
            <sz val="9"/>
            <rFont val="宋体"/>
            <charset val="134"/>
          </rPr>
          <t xml:space="preserve">
5/22 警告语贴 1248pcs
5/26 客供价格贴纸 1311pcs
</t>
        </r>
      </text>
    </comment>
    <comment ref="AI1520" authorId="2">
      <text>
        <r>
          <rPr>
            <b/>
            <sz val="9"/>
            <rFont val="宋体"/>
            <charset val="0"/>
          </rPr>
          <t>石玉珍:</t>
        </r>
        <r>
          <rPr>
            <sz val="9"/>
            <rFont val="宋体"/>
            <charset val="0"/>
          </rPr>
          <t xml:space="preserve">
2801538 6/26 1200pcs</t>
        </r>
      </text>
    </comment>
    <comment ref="AL1520" authorId="0">
      <text>
        <r>
          <rPr>
            <b/>
            <sz val="9"/>
            <rFont val="宋体"/>
            <charset val="134"/>
          </rPr>
          <t>Administrator:</t>
        </r>
        <r>
          <rPr>
            <sz val="9"/>
            <rFont val="宋体"/>
            <charset val="134"/>
          </rPr>
          <t xml:space="preserve">
5/22 警告语贴 1200pcs
5/26 客供价格贴纸 1200pcs
</t>
        </r>
      </text>
    </comment>
    <comment ref="AI1521" authorId="2">
      <text>
        <r>
          <rPr>
            <b/>
            <sz val="9"/>
            <rFont val="宋体"/>
            <charset val="0"/>
          </rPr>
          <t>石玉珍:</t>
        </r>
        <r>
          <rPr>
            <sz val="9"/>
            <rFont val="宋体"/>
            <charset val="0"/>
          </rPr>
          <t xml:space="preserve">
2201049 6/16 1209pcs</t>
        </r>
      </text>
    </comment>
    <comment ref="AL1521" authorId="0">
      <text>
        <r>
          <rPr>
            <b/>
            <sz val="9"/>
            <rFont val="宋体"/>
            <charset val="134"/>
          </rPr>
          <t>Administrator:</t>
        </r>
        <r>
          <rPr>
            <sz val="9"/>
            <rFont val="宋体"/>
            <charset val="134"/>
          </rPr>
          <t xml:space="preserve">
5/22 地址贴纸 1209pcs
5/27 多语警语折叠贴纸 1209pcs</t>
        </r>
      </text>
    </comment>
    <comment ref="AI1522" authorId="2">
      <text>
        <r>
          <rPr>
            <b/>
            <sz val="9"/>
            <rFont val="宋体"/>
            <charset val="0"/>
          </rPr>
          <t>石玉珍:</t>
        </r>
        <r>
          <rPr>
            <sz val="9"/>
            <rFont val="宋体"/>
            <charset val="0"/>
          </rPr>
          <t xml:space="preserve">
2201049 6/16 504pcs</t>
        </r>
      </text>
    </comment>
    <comment ref="AL1522" authorId="2">
      <text>
        <r>
          <rPr>
            <b/>
            <sz val="9"/>
            <rFont val="宋体"/>
            <charset val="134"/>
          </rPr>
          <t>石玉珍:</t>
        </r>
        <r>
          <rPr>
            <sz val="9"/>
            <rFont val="宋体"/>
            <charset val="134"/>
          </rPr>
          <t xml:space="preserve">
5/28 德语警告语贴纸 504pcs</t>
        </r>
      </text>
    </comment>
    <comment ref="AI1523" authorId="2">
      <text>
        <r>
          <rPr>
            <b/>
            <sz val="9"/>
            <rFont val="宋体"/>
            <charset val="0"/>
          </rPr>
          <t>石玉珍:</t>
        </r>
        <r>
          <rPr>
            <sz val="9"/>
            <rFont val="宋体"/>
            <charset val="0"/>
          </rPr>
          <t xml:space="preserve">
2201052 6/17 1675pcs</t>
        </r>
      </text>
    </comment>
    <comment ref="AL1523" authorId="0">
      <text>
        <r>
          <rPr>
            <b/>
            <sz val="9"/>
            <rFont val="宋体"/>
            <charset val="134"/>
          </rPr>
          <t>Administrator:</t>
        </r>
        <r>
          <rPr>
            <sz val="9"/>
            <rFont val="宋体"/>
            <charset val="134"/>
          </rPr>
          <t xml:space="preserve">
5/25 法国回收标贴纸 1675pcs</t>
        </r>
      </text>
    </comment>
    <comment ref="AI1524" authorId="2">
      <text>
        <r>
          <rPr>
            <b/>
            <sz val="9"/>
            <rFont val="宋体"/>
            <charset val="0"/>
          </rPr>
          <t>石玉珍:</t>
        </r>
        <r>
          <rPr>
            <sz val="9"/>
            <rFont val="宋体"/>
            <charset val="0"/>
          </rPr>
          <t xml:space="preserve">
2201049 6/16 725pcs</t>
        </r>
      </text>
    </comment>
    <comment ref="AL1524" authorId="0">
      <text>
        <r>
          <rPr>
            <b/>
            <sz val="9"/>
            <rFont val="宋体"/>
            <charset val="134"/>
          </rPr>
          <t>Administrator:</t>
        </r>
        <r>
          <rPr>
            <sz val="9"/>
            <rFont val="宋体"/>
            <charset val="134"/>
          </rPr>
          <t xml:space="preserve">
5/25 法国回收标贴纸 725pcs
</t>
        </r>
      </text>
    </comment>
    <comment ref="AI1525" authorId="2">
      <text>
        <r>
          <rPr>
            <b/>
            <sz val="9"/>
            <rFont val="宋体"/>
            <charset val="0"/>
          </rPr>
          <t>石玉珍:</t>
        </r>
        <r>
          <rPr>
            <sz val="9"/>
            <rFont val="宋体"/>
            <charset val="0"/>
          </rPr>
          <t xml:space="preserve">
2201052 6/17 5000pcs</t>
        </r>
      </text>
    </comment>
    <comment ref="AL1525" authorId="2">
      <text>
        <r>
          <rPr>
            <b/>
            <sz val="9"/>
            <rFont val="宋体"/>
            <charset val="0"/>
          </rPr>
          <t>石玉珍:</t>
        </r>
        <r>
          <rPr>
            <sz val="9"/>
            <rFont val="宋体"/>
            <charset val="0"/>
          </rPr>
          <t xml:space="preserve">
6/5 进口商贴纸 5000pcs</t>
        </r>
        <r>
          <rPr>
            <b/>
            <sz val="9"/>
            <rFont val="宋体"/>
            <charset val="0"/>
          </rPr>
          <t xml:space="preserve">
石玉珍:</t>
        </r>
        <r>
          <rPr>
            <sz val="9"/>
            <rFont val="宋体"/>
            <charset val="0"/>
          </rPr>
          <t xml:space="preserve">
6/8 进口商贴纸 5000pcsc</t>
        </r>
      </text>
    </comment>
    <comment ref="AI1526" authorId="2">
      <text>
        <r>
          <rPr>
            <b/>
            <sz val="9"/>
            <rFont val="宋体"/>
            <charset val="0"/>
          </rPr>
          <t>石玉珍:</t>
        </r>
        <r>
          <rPr>
            <sz val="9"/>
            <rFont val="宋体"/>
            <charset val="0"/>
          </rPr>
          <t xml:space="preserve">
2801511 6/18 558pcs</t>
        </r>
      </text>
    </comment>
    <comment ref="AL1526" authorId="0">
      <text>
        <r>
          <rPr>
            <b/>
            <sz val="9"/>
            <rFont val="宋体"/>
            <charset val="134"/>
          </rPr>
          <t>Administrator:</t>
        </r>
        <r>
          <rPr>
            <sz val="9"/>
            <rFont val="宋体"/>
            <charset val="134"/>
          </rPr>
          <t xml:space="preserve">
5/21 彩盒警告语贴纸 558pcs
</t>
        </r>
      </text>
    </comment>
    <comment ref="AI1527" authorId="2">
      <text>
        <r>
          <rPr>
            <b/>
            <sz val="9"/>
            <rFont val="宋体"/>
            <charset val="0"/>
          </rPr>
          <t>石玉珍:</t>
        </r>
        <r>
          <rPr>
            <sz val="9"/>
            <rFont val="宋体"/>
            <charset val="0"/>
          </rPr>
          <t xml:space="preserve">
2801490 6/17 504pcs</t>
        </r>
      </text>
    </comment>
    <comment ref="AL1527" authorId="0">
      <text>
        <r>
          <rPr>
            <sz val="9"/>
            <rFont val="宋体"/>
            <charset val="134"/>
          </rPr>
          <t xml:space="preserve">Administrator:
5/15 亚马逊外箱贴纸 84pcs
5/21 彩盒警告语贴纸 504pcs
</t>
        </r>
        <r>
          <rPr>
            <b/>
            <sz val="9"/>
            <rFont val="宋体"/>
            <charset val="134"/>
          </rPr>
          <t xml:space="preserve">
石玉珍:</t>
        </r>
        <r>
          <rPr>
            <sz val="9"/>
            <rFont val="宋体"/>
            <charset val="134"/>
          </rPr>
          <t xml:space="preserve">
5/28 地址贴纸 504pcs</t>
        </r>
      </text>
    </comment>
    <comment ref="AI1528" authorId="2">
      <text>
        <r>
          <rPr>
            <b/>
            <sz val="9"/>
            <rFont val="宋体"/>
            <charset val="0"/>
          </rPr>
          <t>石玉珍:</t>
        </r>
        <r>
          <rPr>
            <sz val="9"/>
            <rFont val="宋体"/>
            <charset val="0"/>
          </rPr>
          <t xml:space="preserve">
2201053 6/17 492pcs</t>
        </r>
      </text>
    </comment>
    <comment ref="AL1528" authorId="0">
      <text>
        <r>
          <rPr>
            <sz val="9"/>
            <rFont val="宋体"/>
            <charset val="134"/>
          </rPr>
          <t>Administrator:
5/15 亚马逊外箱贴纸 41pcs</t>
        </r>
        <r>
          <rPr>
            <b/>
            <sz val="9"/>
            <rFont val="宋体"/>
            <charset val="134"/>
          </rPr>
          <t xml:space="preserve">
石玉珍:</t>
        </r>
        <r>
          <rPr>
            <sz val="9"/>
            <rFont val="宋体"/>
            <charset val="134"/>
          </rPr>
          <t xml:space="preserve">
5/28 IT环保标贴纸 492pcs
 空白贴纸 948pcs</t>
        </r>
      </text>
    </comment>
    <comment ref="AI1529" authorId="2">
      <text>
        <r>
          <rPr>
            <b/>
            <sz val="9"/>
            <rFont val="宋体"/>
            <charset val="0"/>
          </rPr>
          <t>石玉珍:</t>
        </r>
        <r>
          <rPr>
            <sz val="9"/>
            <rFont val="宋体"/>
            <charset val="0"/>
          </rPr>
          <t xml:space="preserve">
2201049 6/16 600pcs</t>
        </r>
      </text>
    </comment>
    <comment ref="AL1529" authorId="0">
      <text>
        <r>
          <rPr>
            <b/>
            <sz val="9"/>
            <rFont val="宋体"/>
            <charset val="134"/>
          </rPr>
          <t>Administrator:</t>
        </r>
        <r>
          <rPr>
            <sz val="9"/>
            <rFont val="宋体"/>
            <charset val="134"/>
          </rPr>
          <t xml:space="preserve">
5/21 进口商贴纸 600pcs
UPC条码贴纸 600pcs</t>
        </r>
      </text>
    </comment>
    <comment ref="AI1530" authorId="2">
      <text>
        <r>
          <rPr>
            <b/>
            <sz val="9"/>
            <rFont val="宋体"/>
            <charset val="0"/>
          </rPr>
          <t>石玉珍:</t>
        </r>
        <r>
          <rPr>
            <sz val="9"/>
            <rFont val="宋体"/>
            <charset val="0"/>
          </rPr>
          <t xml:space="preserve">
2201053 6/17 2004pcs</t>
        </r>
      </text>
    </comment>
    <comment ref="AL1530" authorId="0">
      <text>
        <r>
          <rPr>
            <b/>
            <sz val="9"/>
            <rFont val="宋体"/>
            <charset val="134"/>
          </rPr>
          <t>Administrator:</t>
        </r>
        <r>
          <rPr>
            <sz val="9"/>
            <rFont val="宋体"/>
            <charset val="134"/>
          </rPr>
          <t xml:space="preserve">
5/18 客供价格贴纸 2004pcs
5/22 空白贴纸 2004*2pcs</t>
        </r>
      </text>
    </comment>
    <comment ref="AI1531" authorId="2">
      <text>
        <r>
          <rPr>
            <b/>
            <sz val="9"/>
            <rFont val="宋体"/>
            <charset val="0"/>
          </rPr>
          <t>石玉珍:</t>
        </r>
        <r>
          <rPr>
            <sz val="9"/>
            <rFont val="宋体"/>
            <charset val="0"/>
          </rPr>
          <t xml:space="preserve">
2201076 6/17 1800pcs</t>
        </r>
      </text>
    </comment>
    <comment ref="AL1531" authorId="0">
      <text>
        <r>
          <rPr>
            <b/>
            <sz val="9"/>
            <rFont val="宋体"/>
            <charset val="134"/>
          </rPr>
          <t>Administrator:</t>
        </r>
        <r>
          <rPr>
            <sz val="9"/>
            <rFont val="宋体"/>
            <charset val="134"/>
          </rPr>
          <t xml:space="preserve">
5/18 客供价格贴纸 1800pcs
5/22 空白贴纸 1800*2pcs</t>
        </r>
      </text>
    </comment>
    <comment ref="AI1532" authorId="2">
      <text>
        <r>
          <rPr>
            <b/>
            <sz val="9"/>
            <rFont val="宋体"/>
            <charset val="0"/>
          </rPr>
          <t>石玉珍:</t>
        </r>
        <r>
          <rPr>
            <sz val="9"/>
            <rFont val="宋体"/>
            <charset val="0"/>
          </rPr>
          <t xml:space="preserve">
2201053 6/17 2004pcs</t>
        </r>
      </text>
    </comment>
    <comment ref="AL1532" authorId="0">
      <text>
        <r>
          <rPr>
            <b/>
            <sz val="9"/>
            <rFont val="宋体"/>
            <charset val="134"/>
          </rPr>
          <t>Administrator:</t>
        </r>
        <r>
          <rPr>
            <sz val="9"/>
            <rFont val="宋体"/>
            <charset val="134"/>
          </rPr>
          <t xml:space="preserve">
5/18 客供价格贴纸 2004pcs
5/22 空白贴纸 200*42pcs
</t>
        </r>
      </text>
    </comment>
    <comment ref="AI1533" authorId="2">
      <text>
        <r>
          <rPr>
            <b/>
            <sz val="9"/>
            <rFont val="宋体"/>
            <charset val="0"/>
          </rPr>
          <t>石玉珍:</t>
        </r>
        <r>
          <rPr>
            <sz val="9"/>
            <rFont val="宋体"/>
            <charset val="0"/>
          </rPr>
          <t xml:space="preserve">
2201053 6/17 2196pcs</t>
        </r>
      </text>
    </comment>
    <comment ref="AL1533" authorId="0">
      <text>
        <r>
          <rPr>
            <b/>
            <sz val="9"/>
            <rFont val="宋体"/>
            <charset val="134"/>
          </rPr>
          <t>Administrator:</t>
        </r>
        <r>
          <rPr>
            <sz val="9"/>
            <rFont val="宋体"/>
            <charset val="134"/>
          </rPr>
          <t xml:space="preserve">
5/18 客供价格贴纸 2196pcs
5/22 空白贴纸 2186*2pcs
</t>
        </r>
      </text>
    </comment>
    <comment ref="AI1534" authorId="2">
      <text>
        <r>
          <rPr>
            <b/>
            <sz val="9"/>
            <rFont val="宋体"/>
            <charset val="0"/>
          </rPr>
          <t>石玉珍:</t>
        </r>
        <r>
          <rPr>
            <sz val="9"/>
            <rFont val="宋体"/>
            <charset val="0"/>
          </rPr>
          <t xml:space="preserve">
6</t>
        </r>
      </text>
    </comment>
    <comment ref="AL1534" authorId="0">
      <text>
        <r>
          <rPr>
            <b/>
            <sz val="9"/>
            <rFont val="宋体"/>
            <charset val="134"/>
          </rPr>
          <t>Administrator:</t>
        </r>
        <r>
          <rPr>
            <sz val="9"/>
            <rFont val="宋体"/>
            <charset val="134"/>
          </rPr>
          <t xml:space="preserve">
5/18 客供价格贴纸 2004pcs
5/22 空白贴纸 2004*2pcs
</t>
        </r>
      </text>
    </comment>
    <comment ref="AI1535" authorId="2">
      <text>
        <r>
          <rPr>
            <b/>
            <sz val="9"/>
            <rFont val="宋体"/>
            <charset val="0"/>
          </rPr>
          <t>石玉珍:</t>
        </r>
        <r>
          <rPr>
            <sz val="9"/>
            <rFont val="宋体"/>
            <charset val="0"/>
          </rPr>
          <t xml:space="preserve">
2201076 6/17 2196pcs</t>
        </r>
      </text>
    </comment>
    <comment ref="AL1535" authorId="0">
      <text>
        <r>
          <rPr>
            <b/>
            <sz val="9"/>
            <rFont val="宋体"/>
            <charset val="134"/>
          </rPr>
          <t>Administrator:</t>
        </r>
        <r>
          <rPr>
            <sz val="9"/>
            <rFont val="宋体"/>
            <charset val="134"/>
          </rPr>
          <t xml:space="preserve">
5/18 客供价格贴纸 2196pcs
5/22 空白贴纸 2192*2pcs
</t>
        </r>
      </text>
    </comment>
    <comment ref="AI1536" authorId="2">
      <text>
        <r>
          <rPr>
            <b/>
            <sz val="9"/>
            <rFont val="宋体"/>
            <charset val="0"/>
          </rPr>
          <t>石玉珍:</t>
        </r>
        <r>
          <rPr>
            <sz val="9"/>
            <rFont val="宋体"/>
            <charset val="0"/>
          </rPr>
          <t xml:space="preserve">
2201045 6/16 2500pcs</t>
        </r>
      </text>
    </comment>
    <comment ref="AI1537" authorId="2">
      <text>
        <r>
          <rPr>
            <b/>
            <sz val="9"/>
            <rFont val="宋体"/>
            <charset val="0"/>
          </rPr>
          <t>石玉珍:</t>
        </r>
        <r>
          <rPr>
            <sz val="9"/>
            <rFont val="宋体"/>
            <charset val="0"/>
          </rPr>
          <t xml:space="preserve">
2201045 6/16 871pcs</t>
        </r>
      </text>
    </comment>
    <comment ref="AL1537" authorId="0">
      <text>
        <r>
          <rPr>
            <sz val="9"/>
            <rFont val="宋体"/>
            <charset val="134"/>
          </rPr>
          <t xml:space="preserve">Administrator:
5/27 白色防盗贴纸 1871pcs
</t>
        </r>
        <r>
          <rPr>
            <b/>
            <sz val="9"/>
            <rFont val="宋体"/>
            <charset val="134"/>
          </rPr>
          <t xml:space="preserve">
石玉珍:</t>
        </r>
        <r>
          <rPr>
            <sz val="9"/>
            <rFont val="宋体"/>
            <charset val="134"/>
          </rPr>
          <t xml:space="preserve">
5/28 UPC条码贴纸 871pcs</t>
        </r>
      </text>
    </comment>
    <comment ref="AI1538" authorId="2">
      <text>
        <r>
          <rPr>
            <b/>
            <sz val="9"/>
            <rFont val="宋体"/>
            <charset val="0"/>
          </rPr>
          <t>石玉珍:</t>
        </r>
        <r>
          <rPr>
            <sz val="9"/>
            <rFont val="宋体"/>
            <charset val="0"/>
          </rPr>
          <t xml:space="preserve">
2201045 6/16 637pcs</t>
        </r>
      </text>
    </comment>
    <comment ref="AL1538" authorId="0">
      <text>
        <r>
          <rPr>
            <sz val="9"/>
            <rFont val="宋体"/>
            <charset val="134"/>
          </rPr>
          <t xml:space="preserve">Administrator:
5/27 白色防盗贴纸 637pcs
</t>
        </r>
        <r>
          <rPr>
            <b/>
            <sz val="9"/>
            <rFont val="宋体"/>
            <charset val="134"/>
          </rPr>
          <t xml:space="preserve">
石玉珍:</t>
        </r>
        <r>
          <rPr>
            <sz val="9"/>
            <rFont val="宋体"/>
            <charset val="134"/>
          </rPr>
          <t xml:space="preserve">
5/28 UPC条码贴纸 637pcs</t>
        </r>
      </text>
    </comment>
    <comment ref="AI1539" authorId="2">
      <text>
        <r>
          <rPr>
            <b/>
            <sz val="9"/>
            <rFont val="宋体"/>
            <charset val="0"/>
          </rPr>
          <t>石玉珍:</t>
        </r>
        <r>
          <rPr>
            <sz val="9"/>
            <rFont val="宋体"/>
            <charset val="0"/>
          </rPr>
          <t xml:space="preserve">
2201052 6/17 3225pcs</t>
        </r>
      </text>
    </comment>
    <comment ref="AL1539" authorId="2">
      <text>
        <r>
          <rPr>
            <b/>
            <sz val="9"/>
            <rFont val="宋体"/>
            <charset val="134"/>
          </rPr>
          <t>石玉珍:</t>
        </r>
        <r>
          <rPr>
            <sz val="9"/>
            <rFont val="宋体"/>
            <charset val="134"/>
          </rPr>
          <t xml:space="preserve">
5/29 法国回收标贴纸 3225pcs</t>
        </r>
      </text>
    </comment>
    <comment ref="AI1540" authorId="2">
      <text>
        <r>
          <rPr>
            <b/>
            <sz val="9"/>
            <rFont val="宋体"/>
            <charset val="0"/>
          </rPr>
          <t>石玉珍:</t>
        </r>
        <r>
          <rPr>
            <sz val="9"/>
            <rFont val="宋体"/>
            <charset val="0"/>
          </rPr>
          <t xml:space="preserve">
2201052 6/17 1375pcs</t>
        </r>
      </text>
    </comment>
    <comment ref="AL1540" authorId="2">
      <text>
        <r>
          <rPr>
            <b/>
            <sz val="9"/>
            <rFont val="宋体"/>
            <charset val="134"/>
          </rPr>
          <t>石玉珍:</t>
        </r>
        <r>
          <rPr>
            <sz val="9"/>
            <rFont val="宋体"/>
            <charset val="134"/>
          </rPr>
          <t xml:space="preserve">
5/29 法国回收标贴纸 1375pcs</t>
        </r>
      </text>
    </comment>
    <comment ref="AI1541" authorId="2">
      <text>
        <r>
          <rPr>
            <b/>
            <sz val="9"/>
            <rFont val="宋体"/>
            <charset val="0"/>
          </rPr>
          <t>石玉珍:</t>
        </r>
        <r>
          <rPr>
            <sz val="9"/>
            <rFont val="宋体"/>
            <charset val="0"/>
          </rPr>
          <t xml:space="preserve">
2201052 6/17 2500pcs</t>
        </r>
      </text>
    </comment>
    <comment ref="AL1541" authorId="2">
      <text>
        <r>
          <rPr>
            <b/>
            <sz val="9"/>
            <rFont val="宋体"/>
            <charset val="134"/>
          </rPr>
          <t>石玉珍:</t>
        </r>
        <r>
          <rPr>
            <sz val="9"/>
            <rFont val="宋体"/>
            <charset val="134"/>
          </rPr>
          <t xml:space="preserve">
 5/28 进口商贴纸 2500pcs  </t>
        </r>
        <r>
          <rPr>
            <b/>
            <sz val="9"/>
            <rFont val="宋体"/>
            <charset val="134"/>
          </rPr>
          <t xml:space="preserve">
石玉珍:</t>
        </r>
        <r>
          <rPr>
            <sz val="9"/>
            <rFont val="宋体"/>
            <charset val="134"/>
          </rPr>
          <t xml:space="preserve">
5/28 UPC条码贴纸 2500pcs</t>
        </r>
      </text>
    </comment>
    <comment ref="AI1542" authorId="2">
      <text>
        <r>
          <rPr>
            <b/>
            <sz val="9"/>
            <rFont val="宋体"/>
            <charset val="0"/>
          </rPr>
          <t>石玉珍:</t>
        </r>
        <r>
          <rPr>
            <sz val="9"/>
            <rFont val="宋体"/>
            <charset val="0"/>
          </rPr>
          <t xml:space="preserve">
2201069 6/17 4000pcs</t>
        </r>
      </text>
    </comment>
    <comment ref="AL1542" authorId="2">
      <text>
        <r>
          <rPr>
            <b/>
            <sz val="9"/>
            <rFont val="宋体"/>
            <charset val="0"/>
          </rPr>
          <t>石玉珍:</t>
        </r>
        <r>
          <rPr>
            <sz val="9"/>
            <rFont val="宋体"/>
            <charset val="0"/>
          </rPr>
          <t xml:space="preserve">
5/28 纸袋希腊警语贴纸 4000pcs
客人警语贴纸 2000ps</t>
        </r>
        <r>
          <rPr>
            <b/>
            <sz val="9"/>
            <rFont val="宋体"/>
            <charset val="0"/>
          </rPr>
          <t xml:space="preserve">
石玉珍:</t>
        </r>
        <r>
          <rPr>
            <sz val="9"/>
            <rFont val="宋体"/>
            <charset val="0"/>
          </rPr>
          <t xml:space="preserve">
6/2 纸袋希腊警语贴纸 4000pcs</t>
        </r>
        <r>
          <rPr>
            <b/>
            <sz val="9"/>
            <rFont val="宋体"/>
            <charset val="0"/>
          </rPr>
          <t xml:space="preserve">
石玉珍:</t>
        </r>
        <r>
          <rPr>
            <sz val="9"/>
            <rFont val="宋体"/>
            <charset val="0"/>
          </rPr>
          <t xml:space="preserve">
6/4 客人警告语贴纸 2000pcs</t>
        </r>
        <r>
          <rPr>
            <b/>
            <sz val="9"/>
            <rFont val="宋体"/>
            <charset val="0"/>
          </rPr>
          <t xml:space="preserve">
石玉珍:</t>
        </r>
        <r>
          <rPr>
            <sz val="9"/>
            <rFont val="宋体"/>
            <charset val="0"/>
          </rPr>
          <t xml:space="preserve">
6/9 纸袋希膜警语贴纸 20000PCS</t>
        </r>
      </text>
    </comment>
    <comment ref="AI1543" authorId="2">
      <text>
        <r>
          <rPr>
            <b/>
            <sz val="9"/>
            <rFont val="宋体"/>
            <charset val="0"/>
          </rPr>
          <t>石玉珍:</t>
        </r>
        <r>
          <rPr>
            <sz val="9"/>
            <rFont val="宋体"/>
            <charset val="0"/>
          </rPr>
          <t xml:space="preserve">
2201069 6/17 600pcs</t>
        </r>
      </text>
    </comment>
    <comment ref="AL1543" authorId="2">
      <text>
        <r>
          <rPr>
            <b/>
            <sz val="9"/>
            <rFont val="宋体"/>
            <charset val="134"/>
          </rPr>
          <t>石玉珍:</t>
        </r>
        <r>
          <rPr>
            <sz val="9"/>
            <rFont val="宋体"/>
            <charset val="134"/>
          </rPr>
          <t xml:space="preserve">
5/28 丹麦瑞典芬兰挪威警告语贴纸 600pcs
大语警告语贴 600pcs
小语警告语贴 4200pcs</t>
        </r>
      </text>
    </comment>
    <comment ref="AI1544" authorId="2">
      <text>
        <r>
          <rPr>
            <b/>
            <sz val="9"/>
            <rFont val="宋体"/>
            <charset val="0"/>
          </rPr>
          <t>石玉珍:</t>
        </r>
        <r>
          <rPr>
            <sz val="9"/>
            <rFont val="宋体"/>
            <charset val="0"/>
          </rPr>
          <t xml:space="preserve">
2201061 6/18 1800pcs</t>
        </r>
      </text>
    </comment>
    <comment ref="AL1544" authorId="0">
      <text>
        <r>
          <rPr>
            <b/>
            <sz val="9"/>
            <rFont val="宋体"/>
            <charset val="134"/>
          </rPr>
          <t>Administrator:</t>
        </r>
        <r>
          <rPr>
            <sz val="9"/>
            <rFont val="宋体"/>
            <charset val="134"/>
          </rPr>
          <t xml:space="preserve">
5/21 客供价格贴纸 1800pcs
</t>
        </r>
      </text>
    </comment>
    <comment ref="AI1545" authorId="2">
      <text>
        <r>
          <rPr>
            <b/>
            <sz val="9"/>
            <rFont val="宋体"/>
            <charset val="0"/>
          </rPr>
          <t>石玉珍:</t>
        </r>
        <r>
          <rPr>
            <sz val="9"/>
            <rFont val="宋体"/>
            <charset val="0"/>
          </rPr>
          <t xml:space="preserve">
2201069 6/17 28600pcs</t>
        </r>
      </text>
    </comment>
    <comment ref="AL1545" authorId="2">
      <text>
        <r>
          <rPr>
            <b/>
            <sz val="9"/>
            <rFont val="宋体"/>
            <charset val="134"/>
          </rPr>
          <t>石玉珍:</t>
        </r>
        <r>
          <rPr>
            <sz val="9"/>
            <rFont val="宋体"/>
            <charset val="134"/>
          </rPr>
          <t xml:space="preserve">
5/28 条码贴纸 28600pcs</t>
        </r>
      </text>
    </comment>
    <comment ref="AI1546" authorId="2">
      <text>
        <r>
          <rPr>
            <b/>
            <sz val="9"/>
            <rFont val="宋体"/>
            <charset val="0"/>
          </rPr>
          <t>石玉珍:</t>
        </r>
        <r>
          <rPr>
            <sz val="9"/>
            <rFont val="宋体"/>
            <charset val="0"/>
          </rPr>
          <t xml:space="preserve">
2201064 6/18 12625pcs</t>
        </r>
      </text>
    </comment>
    <comment ref="AL1546" authorId="0">
      <text>
        <r>
          <rPr>
            <b/>
            <sz val="9"/>
            <rFont val="宋体"/>
            <charset val="134"/>
          </rPr>
          <t>Administrator:</t>
        </r>
        <r>
          <rPr>
            <sz val="9"/>
            <rFont val="宋体"/>
            <charset val="134"/>
          </rPr>
          <t xml:space="preserve">
5/22 PDQUPC条码贴纸 918pcs
</t>
        </r>
      </text>
    </comment>
    <comment ref="AI1547" authorId="2">
      <text>
        <r>
          <rPr>
            <b/>
            <sz val="9"/>
            <rFont val="宋体"/>
            <charset val="0"/>
          </rPr>
          <t>石玉珍:</t>
        </r>
        <r>
          <rPr>
            <sz val="9"/>
            <rFont val="宋体"/>
            <charset val="0"/>
          </rPr>
          <t xml:space="preserve">
2201064 6/18 10325pcs</t>
        </r>
      </text>
    </comment>
    <comment ref="AI1548" authorId="2">
      <text>
        <r>
          <rPr>
            <b/>
            <sz val="9"/>
            <rFont val="宋体"/>
            <charset val="0"/>
          </rPr>
          <t>石玉珍:</t>
        </r>
        <r>
          <rPr>
            <sz val="9"/>
            <rFont val="宋体"/>
            <charset val="0"/>
          </rPr>
          <t xml:space="preserve">
2201108 6/22 2400pcs</t>
        </r>
      </text>
    </comment>
    <comment ref="AL1548" authorId="0">
      <text>
        <r>
          <rPr>
            <b/>
            <sz val="9"/>
            <rFont val="宋体"/>
            <charset val="134"/>
          </rPr>
          <t>Administrator:</t>
        </r>
        <r>
          <rPr>
            <sz val="9"/>
            <rFont val="宋体"/>
            <charset val="134"/>
          </rPr>
          <t xml:space="preserve">
5/25 进口商贴纸 2400pcs</t>
        </r>
      </text>
    </comment>
    <comment ref="AI1549" authorId="2">
      <text>
        <r>
          <rPr>
            <b/>
            <sz val="9"/>
            <rFont val="宋体"/>
            <charset val="0"/>
          </rPr>
          <t>石玉珍:</t>
        </r>
        <r>
          <rPr>
            <sz val="9"/>
            <rFont val="宋体"/>
            <charset val="0"/>
          </rPr>
          <t xml:space="preserve">
2201064 6/18 2400pcs</t>
        </r>
      </text>
    </comment>
    <comment ref="AL1549" authorId="0">
      <text>
        <r>
          <rPr>
            <b/>
            <sz val="9"/>
            <rFont val="宋体"/>
            <charset val="134"/>
          </rPr>
          <t>Administrator:</t>
        </r>
        <r>
          <rPr>
            <sz val="9"/>
            <rFont val="宋体"/>
            <charset val="134"/>
          </rPr>
          <t xml:space="preserve">
5/25 进口商贴纸  2400pcs
条码贴纸 2400pcs</t>
        </r>
      </text>
    </comment>
    <comment ref="AI1550" authorId="2">
      <text>
        <r>
          <rPr>
            <b/>
            <sz val="9"/>
            <rFont val="宋体"/>
            <charset val="0"/>
          </rPr>
          <t>石玉珍:</t>
        </r>
        <r>
          <rPr>
            <sz val="9"/>
            <rFont val="宋体"/>
            <charset val="0"/>
          </rPr>
          <t xml:space="preserve">
2201170 6/26 1925pcs</t>
        </r>
        <r>
          <rPr>
            <b/>
            <sz val="9"/>
            <rFont val="宋体"/>
            <charset val="0"/>
          </rPr>
          <t xml:space="preserve">
石玉珍:</t>
        </r>
        <r>
          <rPr>
            <sz val="9"/>
            <rFont val="宋体"/>
            <charset val="0"/>
          </rPr>
          <t xml:space="preserve">
2200961 6/27 75pcs</t>
        </r>
      </text>
    </comment>
    <comment ref="AL1550" authorId="2">
      <text>
        <r>
          <rPr>
            <b/>
            <sz val="9"/>
            <rFont val="宋体"/>
            <charset val="0"/>
          </rPr>
          <t>石玉珍:</t>
        </r>
        <r>
          <rPr>
            <sz val="9"/>
            <rFont val="宋体"/>
            <charset val="0"/>
          </rPr>
          <t xml:space="preserve">
6/8 进口商贴纸 2000pcs
客户款号的EAN条码贴纸 2000pcs</t>
        </r>
      </text>
    </comment>
    <comment ref="AI1551" authorId="2">
      <text>
        <r>
          <rPr>
            <b/>
            <sz val="9"/>
            <rFont val="宋体"/>
            <charset val="0"/>
          </rPr>
          <t>石玉珍:</t>
        </r>
        <r>
          <rPr>
            <sz val="9"/>
            <rFont val="宋体"/>
            <charset val="0"/>
          </rPr>
          <t xml:space="preserve">
2201108 6/22 500pcs</t>
        </r>
      </text>
    </comment>
    <comment ref="AI1552" authorId="2">
      <text>
        <r>
          <rPr>
            <b/>
            <sz val="9"/>
            <rFont val="宋体"/>
            <charset val="0"/>
          </rPr>
          <t>石玉珍:</t>
        </r>
        <r>
          <rPr>
            <sz val="9"/>
            <rFont val="宋体"/>
            <charset val="0"/>
          </rPr>
          <t xml:space="preserve">
2201089 6/20 500pcs</t>
        </r>
      </text>
    </comment>
    <comment ref="AI1553" authorId="2">
      <text>
        <r>
          <rPr>
            <b/>
            <sz val="9"/>
            <rFont val="宋体"/>
            <charset val="0"/>
          </rPr>
          <t>石玉珍:</t>
        </r>
        <r>
          <rPr>
            <sz val="9"/>
            <rFont val="宋体"/>
            <charset val="0"/>
          </rPr>
          <t xml:space="preserve">
2201121 6/22 520pcs</t>
        </r>
      </text>
    </comment>
    <comment ref="AL1553" authorId="2">
      <text>
        <r>
          <rPr>
            <b/>
            <sz val="9"/>
            <rFont val="宋体"/>
            <charset val="134"/>
          </rPr>
          <t>石玉珍:</t>
        </r>
        <r>
          <rPr>
            <sz val="9"/>
            <rFont val="宋体"/>
            <charset val="134"/>
          </rPr>
          <t xml:space="preserve">
6/1 意大利环保贴纸 520pcs</t>
        </r>
      </text>
    </comment>
    <comment ref="AI1554" authorId="2">
      <text>
        <r>
          <rPr>
            <b/>
            <sz val="9"/>
            <rFont val="宋体"/>
            <charset val="0"/>
          </rPr>
          <t>石玉珍:</t>
        </r>
        <r>
          <rPr>
            <sz val="9"/>
            <rFont val="宋体"/>
            <charset val="0"/>
          </rPr>
          <t xml:space="preserve">
2201126 6/23 5000pcs</t>
        </r>
      </text>
    </comment>
    <comment ref="AL1554" authorId="2">
      <text>
        <r>
          <rPr>
            <b/>
            <sz val="9"/>
            <rFont val="宋体"/>
            <charset val="0"/>
          </rPr>
          <t>石玉珍:</t>
        </r>
        <r>
          <rPr>
            <sz val="9"/>
            <rFont val="宋体"/>
            <charset val="0"/>
          </rPr>
          <t xml:space="preserve">
6/10 进口商贴纸 5000pcs</t>
        </r>
      </text>
    </comment>
    <comment ref="AI1555" authorId="2">
      <text>
        <r>
          <rPr>
            <b/>
            <sz val="9"/>
            <rFont val="宋体"/>
            <charset val="0"/>
          </rPr>
          <t>石玉珍:</t>
        </r>
        <r>
          <rPr>
            <sz val="9"/>
            <rFont val="宋体"/>
            <charset val="0"/>
          </rPr>
          <t xml:space="preserve">
2201113 6/22 11960pcs</t>
        </r>
      </text>
    </comment>
    <comment ref="AL1555" authorId="2">
      <text>
        <r>
          <rPr>
            <b/>
            <sz val="9"/>
            <rFont val="宋体"/>
            <charset val="134"/>
          </rPr>
          <t>石玉珍:</t>
        </r>
        <r>
          <rPr>
            <sz val="9"/>
            <rFont val="宋体"/>
            <charset val="134"/>
          </rPr>
          <t xml:space="preserve">
5/28 条码贴纸 11960pcs</t>
        </r>
      </text>
    </comment>
    <comment ref="AI1556" authorId="2">
      <text>
        <r>
          <rPr>
            <b/>
            <sz val="9"/>
            <rFont val="宋体"/>
            <charset val="0"/>
          </rPr>
          <t>石玉珍:</t>
        </r>
        <r>
          <rPr>
            <sz val="9"/>
            <rFont val="宋体"/>
            <charset val="0"/>
          </rPr>
          <t xml:space="preserve">
2201126 6/23 3991pcs</t>
        </r>
        <r>
          <rPr>
            <b/>
            <sz val="9"/>
            <rFont val="宋体"/>
            <charset val="0"/>
          </rPr>
          <t xml:space="preserve">
石玉珍:</t>
        </r>
        <r>
          <rPr>
            <sz val="9"/>
            <rFont val="宋体"/>
            <charset val="0"/>
          </rPr>
          <t xml:space="preserve">
2200942 6/26 13pcs</t>
        </r>
      </text>
    </comment>
    <comment ref="AL1556" authorId="2">
      <text>
        <r>
          <rPr>
            <b/>
            <sz val="9"/>
            <rFont val="宋体"/>
            <charset val="0"/>
          </rPr>
          <t>石玉珍:</t>
        </r>
        <r>
          <rPr>
            <sz val="9"/>
            <rFont val="宋体"/>
            <charset val="0"/>
          </rPr>
          <t xml:space="preserve">
6/3 大语警告语贴 4004pcs
小语警告语贴 28028pcs
 丹麦瑞典芬兰挪威警告语贴纸 4004pcs</t>
        </r>
      </text>
    </comment>
    <comment ref="AI1557" authorId="2">
      <text>
        <r>
          <rPr>
            <b/>
            <sz val="9"/>
            <rFont val="宋体"/>
            <charset val="0"/>
          </rPr>
          <t>石玉珍:</t>
        </r>
        <r>
          <rPr>
            <sz val="9"/>
            <rFont val="宋体"/>
            <charset val="0"/>
          </rPr>
          <t xml:space="preserve">
 2801521 6/22 1890pcs</t>
        </r>
        <r>
          <rPr>
            <b/>
            <sz val="9"/>
            <rFont val="宋体"/>
            <charset val="0"/>
          </rPr>
          <t xml:space="preserve">
石玉珍:</t>
        </r>
        <r>
          <rPr>
            <sz val="9"/>
            <rFont val="宋体"/>
            <charset val="0"/>
          </rPr>
          <t xml:space="preserve">
2801523 6/22 2610pcs</t>
        </r>
      </text>
    </comment>
    <comment ref="AL1557" authorId="0">
      <text>
        <r>
          <rPr>
            <sz val="9"/>
            <rFont val="宋体"/>
            <charset val="134"/>
          </rPr>
          <t xml:space="preserve">Administrator:
5/27 客供芯片码贴纸 4500pcs
</t>
        </r>
        <r>
          <rPr>
            <b/>
            <sz val="9"/>
            <rFont val="宋体"/>
            <charset val="134"/>
          </rPr>
          <t xml:space="preserve">
石玉珍:</t>
        </r>
        <r>
          <rPr>
            <sz val="9"/>
            <rFont val="宋体"/>
            <charset val="134"/>
          </rPr>
          <t xml:space="preserve">
5/28 颜色贴纸 4500pcs </t>
        </r>
        <r>
          <rPr>
            <b/>
            <sz val="9"/>
            <rFont val="宋体"/>
            <charset val="134"/>
          </rPr>
          <t xml:space="preserve">
石玉珍:</t>
        </r>
        <r>
          <rPr>
            <sz val="9"/>
            <rFont val="宋体"/>
            <charset val="134"/>
          </rPr>
          <t xml:space="preserve">
空白贴纸  4500*2pcs</t>
        </r>
      </text>
    </comment>
    <comment ref="AI1558" authorId="2">
      <text>
        <r>
          <rPr>
            <b/>
            <sz val="9"/>
            <rFont val="宋体"/>
            <charset val="0"/>
          </rPr>
          <t>石玉珍:</t>
        </r>
        <r>
          <rPr>
            <sz val="9"/>
            <rFont val="宋体"/>
            <charset val="0"/>
          </rPr>
          <t xml:space="preserve">
2201089 6/20 4238pcs</t>
        </r>
      </text>
    </comment>
    <comment ref="AL1558" authorId="2">
      <text>
        <r>
          <rPr>
            <b/>
            <sz val="9"/>
            <rFont val="宋体"/>
            <charset val="134"/>
          </rPr>
          <t>石玉珍:</t>
        </r>
        <r>
          <rPr>
            <sz val="9"/>
            <rFont val="宋体"/>
            <charset val="134"/>
          </rPr>
          <t xml:space="preserve">
5/29 价格贴纸  4238pcs</t>
        </r>
        <r>
          <rPr>
            <b/>
            <sz val="9"/>
            <rFont val="宋体"/>
            <charset val="134"/>
          </rPr>
          <t xml:space="preserve">
石玉珍:</t>
        </r>
        <r>
          <rPr>
            <sz val="9"/>
            <rFont val="宋体"/>
            <charset val="134"/>
          </rPr>
          <t xml:space="preserve">
5/29 shipping label 4*6in 1304pcs</t>
        </r>
      </text>
    </comment>
    <comment ref="AI1559" authorId="2">
      <text>
        <r>
          <rPr>
            <b/>
            <sz val="9"/>
            <rFont val="宋体"/>
            <charset val="0"/>
          </rPr>
          <t>石玉珍:</t>
        </r>
        <r>
          <rPr>
            <sz val="9"/>
            <rFont val="宋体"/>
            <charset val="0"/>
          </rPr>
          <t xml:space="preserve">
2201113 6/22 34600pcs</t>
        </r>
        <r>
          <rPr>
            <b/>
            <sz val="9"/>
            <rFont val="宋体"/>
            <charset val="0"/>
          </rPr>
          <t xml:space="preserve">
石玉珍:</t>
        </r>
        <r>
          <rPr>
            <sz val="9"/>
            <rFont val="宋体"/>
            <charset val="0"/>
          </rPr>
          <t xml:space="preserve">
2201152 6/24 1400pcs</t>
        </r>
      </text>
    </comment>
    <comment ref="AL1559" authorId="2">
      <text>
        <r>
          <rPr>
            <b/>
            <sz val="9"/>
            <rFont val="宋体"/>
            <charset val="0"/>
          </rPr>
          <t>石玉珍:</t>
        </r>
        <r>
          <rPr>
            <sz val="9"/>
            <rFont val="宋体"/>
            <charset val="0"/>
          </rPr>
          <t xml:space="preserve">
6/4  进口商贴纸(含客户条码  36000pcs</t>
        </r>
        <r>
          <rPr>
            <b/>
            <sz val="9"/>
            <rFont val="宋体"/>
            <charset val="0"/>
          </rPr>
          <t xml:space="preserve">
石玉珍:</t>
        </r>
        <r>
          <rPr>
            <sz val="9"/>
            <rFont val="宋体"/>
            <charset val="0"/>
          </rPr>
          <t xml:space="preserve">
6/10 进口商贴纸(含客户条码) 36000pcs补订gg2印成gq1</t>
        </r>
      </text>
    </comment>
    <comment ref="AI1560" authorId="2">
      <text>
        <r>
          <rPr>
            <b/>
            <sz val="9"/>
            <rFont val="宋体"/>
            <charset val="0"/>
          </rPr>
          <t>石玉珍:</t>
        </r>
        <r>
          <rPr>
            <sz val="9"/>
            <rFont val="宋体"/>
            <charset val="0"/>
          </rPr>
          <t xml:space="preserve">
2201095 6/20 520pcs</t>
        </r>
      </text>
    </comment>
    <comment ref="AI1561" authorId="2">
      <text>
        <r>
          <rPr>
            <b/>
            <sz val="9"/>
            <rFont val="宋体"/>
            <charset val="0"/>
          </rPr>
          <t>石玉珍:</t>
        </r>
        <r>
          <rPr>
            <sz val="9"/>
            <rFont val="宋体"/>
            <charset val="0"/>
          </rPr>
          <t xml:space="preserve">
2201152 6/24 2000pcs</t>
        </r>
      </text>
    </comment>
    <comment ref="AL1561" authorId="2">
      <text>
        <r>
          <rPr>
            <b/>
            <sz val="9"/>
            <rFont val="宋体"/>
            <charset val="0"/>
          </rPr>
          <t>石玉珍:</t>
        </r>
        <r>
          <rPr>
            <sz val="9"/>
            <rFont val="宋体"/>
            <charset val="0"/>
          </rPr>
          <t xml:space="preserve">
6/2 客户进口商贴纸(含西班牙环保 2000pcs</t>
        </r>
      </text>
    </comment>
    <comment ref="AI1562" authorId="2">
      <text>
        <r>
          <rPr>
            <b/>
            <sz val="9"/>
            <rFont val="宋体"/>
            <charset val="0"/>
          </rPr>
          <t>石玉珍:</t>
        </r>
        <r>
          <rPr>
            <sz val="9"/>
            <rFont val="宋体"/>
            <charset val="0"/>
          </rPr>
          <t xml:space="preserve">
2201152 6/24 1469pcs</t>
        </r>
      </text>
    </comment>
    <comment ref="AL1562" authorId="0">
      <text>
        <r>
          <rPr>
            <sz val="9"/>
            <rFont val="宋体"/>
            <charset val="0"/>
          </rPr>
          <t xml:space="preserve">Administrator:
5/27 白色防盗贴纸 11469pcs
</t>
        </r>
        <r>
          <rPr>
            <b/>
            <sz val="9"/>
            <rFont val="宋体"/>
            <charset val="0"/>
          </rPr>
          <t xml:space="preserve">
石玉珍:</t>
        </r>
        <r>
          <rPr>
            <sz val="9"/>
            <rFont val="宋体"/>
            <charset val="0"/>
          </rPr>
          <t xml:space="preserve">
5/28 UPC条码贴纸  1469pcs</t>
        </r>
        <r>
          <rPr>
            <b/>
            <sz val="9"/>
            <rFont val="宋体"/>
            <charset val="0"/>
          </rPr>
          <t xml:space="preserve">
石玉珍:</t>
        </r>
        <r>
          <rPr>
            <sz val="9"/>
            <rFont val="宋体"/>
            <charset val="0"/>
          </rPr>
          <t xml:space="preserve">
6/8 Kmart外箱贴纸 113pcs</t>
        </r>
      </text>
    </comment>
    <comment ref="AI1563" authorId="2">
      <text>
        <r>
          <rPr>
            <b/>
            <sz val="9"/>
            <rFont val="宋体"/>
            <charset val="0"/>
          </rPr>
          <t>石玉珍:</t>
        </r>
        <r>
          <rPr>
            <sz val="9"/>
            <rFont val="宋体"/>
            <charset val="0"/>
          </rPr>
          <t xml:space="preserve">
2201148 6/23 2938pcs</t>
        </r>
      </text>
    </comment>
    <comment ref="AL1563" authorId="0">
      <text>
        <r>
          <rPr>
            <sz val="9"/>
            <rFont val="宋体"/>
            <charset val="0"/>
          </rPr>
          <t xml:space="preserve">Administrator:
5/27 白色防盗贴纸 2938pcs
</t>
        </r>
        <r>
          <rPr>
            <b/>
            <sz val="9"/>
            <rFont val="宋体"/>
            <charset val="0"/>
          </rPr>
          <t xml:space="preserve">
石玉珍:</t>
        </r>
        <r>
          <rPr>
            <sz val="9"/>
            <rFont val="宋体"/>
            <charset val="0"/>
          </rPr>
          <t xml:space="preserve">
5/28 UPC条码贴纸 2938pcs</t>
        </r>
        <r>
          <rPr>
            <b/>
            <sz val="9"/>
            <rFont val="宋体"/>
            <charset val="0"/>
          </rPr>
          <t xml:space="preserve">
石玉珍:</t>
        </r>
        <r>
          <rPr>
            <sz val="9"/>
            <rFont val="宋体"/>
            <charset val="0"/>
          </rPr>
          <t xml:space="preserve">
6/8 Kmart外箱贴纸 226pcs</t>
        </r>
      </text>
    </comment>
    <comment ref="AI1564" authorId="2">
      <text>
        <r>
          <rPr>
            <b/>
            <sz val="9"/>
            <rFont val="宋体"/>
            <charset val="0"/>
          </rPr>
          <t>石玉珍:</t>
        </r>
        <r>
          <rPr>
            <sz val="9"/>
            <rFont val="宋体"/>
            <charset val="0"/>
          </rPr>
          <t xml:space="preserve">
2201152 6/24 1404pcs</t>
        </r>
      </text>
    </comment>
    <comment ref="AL1564" authorId="0">
      <text>
        <r>
          <rPr>
            <b/>
            <sz val="9"/>
            <rFont val="宋体"/>
            <charset val="134"/>
          </rPr>
          <t>Administrator:</t>
        </r>
        <r>
          <rPr>
            <sz val="9"/>
            <rFont val="宋体"/>
            <charset val="134"/>
          </rPr>
          <t xml:space="preserve">
5/18 客供价格贴纸 1404pcs
5/22 空白贴纸 1404*2pcs
</t>
        </r>
      </text>
    </comment>
    <comment ref="AI1565" authorId="2">
      <text>
        <r>
          <rPr>
            <b/>
            <sz val="9"/>
            <rFont val="宋体"/>
            <charset val="0"/>
          </rPr>
          <t>石玉珍:</t>
        </r>
        <r>
          <rPr>
            <sz val="9"/>
            <rFont val="宋体"/>
            <charset val="0"/>
          </rPr>
          <t xml:space="preserve">
2201152 6/24 1596pcs</t>
        </r>
      </text>
    </comment>
    <comment ref="AL1565" authorId="0">
      <text>
        <r>
          <rPr>
            <b/>
            <sz val="9"/>
            <rFont val="宋体"/>
            <charset val="134"/>
          </rPr>
          <t>Administrator:</t>
        </r>
        <r>
          <rPr>
            <sz val="9"/>
            <rFont val="宋体"/>
            <charset val="134"/>
          </rPr>
          <t xml:space="preserve">
5/18 客供价格贴纸 1596pcs
5/22 空白贴纸 订单数*2pcs
</t>
        </r>
      </text>
    </comment>
    <comment ref="AI1566" authorId="2">
      <text>
        <r>
          <rPr>
            <b/>
            <sz val="9"/>
            <rFont val="宋体"/>
            <charset val="0"/>
          </rPr>
          <t>石玉珍:</t>
        </r>
        <r>
          <rPr>
            <sz val="9"/>
            <rFont val="宋体"/>
            <charset val="0"/>
          </rPr>
          <t xml:space="preserve">
2201152 6/24 3016pcs</t>
        </r>
      </text>
    </comment>
    <comment ref="AL1566" authorId="2">
      <text>
        <r>
          <rPr>
            <b/>
            <sz val="9"/>
            <rFont val="宋体"/>
            <charset val="0"/>
          </rPr>
          <t>石玉珍:</t>
        </r>
        <r>
          <rPr>
            <sz val="9"/>
            <rFont val="宋体"/>
            <charset val="0"/>
          </rPr>
          <t xml:space="preserve">
6/12 警语贴纸 3016pcs</t>
        </r>
        <r>
          <rPr>
            <b/>
            <sz val="9"/>
            <rFont val="宋体"/>
            <charset val="0"/>
          </rPr>
          <t xml:space="preserve">
石玉珍:</t>
        </r>
        <r>
          <rPr>
            <sz val="9"/>
            <rFont val="宋体"/>
            <charset val="0"/>
          </rPr>
          <t xml:space="preserve">
6/13 客户价格贴纸 3248pcs</t>
        </r>
      </text>
    </comment>
    <comment ref="AI1567" authorId="2">
      <text>
        <r>
          <rPr>
            <b/>
            <sz val="9"/>
            <rFont val="宋体"/>
            <charset val="0"/>
          </rPr>
          <t>石玉珍:</t>
        </r>
        <r>
          <rPr>
            <sz val="9"/>
            <rFont val="宋体"/>
            <charset val="0"/>
          </rPr>
          <t xml:space="preserve">
2201152 6/24 825pcs</t>
        </r>
      </text>
    </comment>
    <comment ref="AL1567" authorId="2">
      <text>
        <r>
          <rPr>
            <b/>
            <sz val="9"/>
            <rFont val="宋体"/>
            <charset val="0"/>
          </rPr>
          <t>石玉珍:</t>
        </r>
        <r>
          <rPr>
            <sz val="9"/>
            <rFont val="宋体"/>
            <charset val="0"/>
          </rPr>
          <t xml:space="preserve">
6/10 警告语贴纸4 825pcs
大语警告语贴5 825pcs
小语警告语贴 5775pcs</t>
        </r>
      </text>
    </comment>
    <comment ref="AI1568" authorId="2">
      <text>
        <r>
          <rPr>
            <b/>
            <sz val="9"/>
            <rFont val="宋体"/>
            <charset val="0"/>
          </rPr>
          <t>石玉珍:</t>
        </r>
        <r>
          <rPr>
            <sz val="9"/>
            <rFont val="宋体"/>
            <charset val="0"/>
          </rPr>
          <t xml:space="preserve">
2801536 6/24 1752pcs</t>
        </r>
        <r>
          <rPr>
            <b/>
            <sz val="9"/>
            <rFont val="宋体"/>
            <charset val="0"/>
          </rPr>
          <t xml:space="preserve">
石玉珍:</t>
        </r>
        <r>
          <rPr>
            <sz val="9"/>
            <rFont val="宋体"/>
            <charset val="0"/>
          </rPr>
          <t xml:space="preserve">
2801538 6/24 48pcs</t>
        </r>
      </text>
    </comment>
    <comment ref="AL1568" authorId="0">
      <text>
        <r>
          <rPr>
            <b/>
            <sz val="9"/>
            <rFont val="宋体"/>
            <charset val="134"/>
          </rPr>
          <t>Administrator:</t>
        </r>
        <r>
          <rPr>
            <sz val="9"/>
            <rFont val="宋体"/>
            <charset val="134"/>
          </rPr>
          <t xml:space="preserve">
5/21 客供价格贴纸 1800pcs
</t>
        </r>
      </text>
    </comment>
    <comment ref="AI1569" authorId="2">
      <text>
        <r>
          <rPr>
            <b/>
            <sz val="9"/>
            <rFont val="宋体"/>
            <charset val="0"/>
          </rPr>
          <t>石玉珍:</t>
        </r>
        <r>
          <rPr>
            <sz val="9"/>
            <rFont val="宋体"/>
            <charset val="0"/>
          </rPr>
          <t xml:space="preserve">
2200934 6/25 2500pcs</t>
        </r>
      </text>
    </comment>
    <comment ref="AI1570" authorId="2">
      <text>
        <r>
          <rPr>
            <b/>
            <sz val="9"/>
            <rFont val="宋体"/>
            <charset val="0"/>
          </rPr>
          <t>石玉珍:</t>
        </r>
        <r>
          <rPr>
            <sz val="9"/>
            <rFont val="宋体"/>
            <charset val="0"/>
          </rPr>
          <t xml:space="preserve">
2200922 6/24 600pcs</t>
        </r>
      </text>
    </comment>
    <comment ref="AL1570" authorId="0">
      <text>
        <r>
          <rPr>
            <sz val="9"/>
            <rFont val="宋体"/>
            <charset val="0"/>
          </rPr>
          <t xml:space="preserve">Administrator:
5/21 客供防盗贴纸 60pcs
</t>
        </r>
        <r>
          <rPr>
            <b/>
            <sz val="9"/>
            <rFont val="宋体"/>
            <charset val="0"/>
          </rPr>
          <t xml:space="preserve">
石玉珍:</t>
        </r>
        <r>
          <rPr>
            <sz val="9"/>
            <rFont val="宋体"/>
            <charset val="0"/>
          </rPr>
          <t xml:space="preserve">
 6/9 易撕价格贴纸 600pcs </t>
        </r>
        <r>
          <rPr>
            <b/>
            <sz val="9"/>
            <rFont val="宋体"/>
            <charset val="0"/>
          </rPr>
          <t xml:space="preserve">
石玉珍:</t>
        </r>
        <r>
          <rPr>
            <sz val="9"/>
            <rFont val="宋体"/>
            <charset val="0"/>
          </rPr>
          <t xml:space="preserve">
UPC贴纸 600pcs</t>
        </r>
      </text>
    </comment>
    <comment ref="AI1571" authorId="2">
      <text>
        <r>
          <rPr>
            <b/>
            <sz val="9"/>
            <rFont val="宋体"/>
            <charset val="0"/>
          </rPr>
          <t>石玉珍:</t>
        </r>
        <r>
          <rPr>
            <sz val="9"/>
            <rFont val="宋体"/>
            <charset val="0"/>
          </rPr>
          <t xml:space="preserve">
2200922 6/24 14000pcs</t>
        </r>
      </text>
    </comment>
    <comment ref="AL1571" authorId="2">
      <text>
        <r>
          <rPr>
            <b/>
            <sz val="9"/>
            <rFont val="宋体"/>
            <charset val="0"/>
          </rPr>
          <t>石玉珍:</t>
        </r>
        <r>
          <rPr>
            <sz val="9"/>
            <rFont val="宋体"/>
            <charset val="0"/>
          </rPr>
          <t xml:space="preserve">
6/12 UPC贴纸 14000pcs</t>
        </r>
        <r>
          <rPr>
            <b/>
            <sz val="9"/>
            <rFont val="宋体"/>
            <charset val="0"/>
          </rPr>
          <t xml:space="preserve">
石玉珍:</t>
        </r>
        <r>
          <rPr>
            <sz val="9"/>
            <rFont val="宋体"/>
            <charset val="0"/>
          </rPr>
          <t xml:space="preserve">
进口商贴纸14000pcs</t>
        </r>
        <r>
          <rPr>
            <b/>
            <sz val="9"/>
            <rFont val="宋体"/>
            <charset val="0"/>
          </rPr>
          <t xml:space="preserve">
石玉珍:</t>
        </r>
        <r>
          <rPr>
            <sz val="9"/>
            <rFont val="宋体"/>
            <charset val="0"/>
          </rPr>
          <t xml:space="preserve">
6/13 外箱贴纸 560pcs</t>
        </r>
      </text>
    </comment>
    <comment ref="AI1572" authorId="2">
      <text>
        <r>
          <rPr>
            <b/>
            <sz val="9"/>
            <rFont val="宋体"/>
            <charset val="0"/>
          </rPr>
          <t>石玉珍:</t>
        </r>
        <r>
          <rPr>
            <sz val="9"/>
            <rFont val="宋体"/>
            <charset val="0"/>
          </rPr>
          <t xml:space="preserve">
2201153 6/24 3900pcs</t>
        </r>
        <r>
          <rPr>
            <b/>
            <sz val="9"/>
            <rFont val="宋体"/>
            <charset val="0"/>
          </rPr>
          <t xml:space="preserve">
石玉珍:</t>
        </r>
        <r>
          <rPr>
            <sz val="9"/>
            <rFont val="宋体"/>
            <charset val="0"/>
          </rPr>
          <t xml:space="preserve">
2200922 6/24 9425pcs</t>
        </r>
      </text>
    </comment>
    <comment ref="AI1573" authorId="2">
      <text>
        <r>
          <rPr>
            <b/>
            <sz val="9"/>
            <rFont val="宋体"/>
            <charset val="0"/>
          </rPr>
          <t>石玉珍:</t>
        </r>
        <r>
          <rPr>
            <sz val="9"/>
            <rFont val="宋体"/>
            <charset val="0"/>
          </rPr>
          <t xml:space="preserve">
2200926 6/24 12150pcs</t>
        </r>
        <r>
          <rPr>
            <b/>
            <sz val="9"/>
            <rFont val="宋体"/>
            <charset val="0"/>
          </rPr>
          <t xml:space="preserve">
石玉珍:</t>
        </r>
        <r>
          <rPr>
            <sz val="9"/>
            <rFont val="宋体"/>
            <charset val="0"/>
          </rPr>
          <t xml:space="preserve">
2201163 6/25 2850pcs</t>
        </r>
      </text>
    </comment>
    <comment ref="AL1573" authorId="2">
      <text>
        <r>
          <rPr>
            <b/>
            <sz val="9"/>
            <rFont val="宋体"/>
            <charset val="134"/>
          </rPr>
          <t>石玉珍:</t>
        </r>
        <r>
          <rPr>
            <sz val="9"/>
            <rFont val="宋体"/>
            <charset val="134"/>
          </rPr>
          <t xml:space="preserve">
5/30 法国回收标贴纸  15000pcs</t>
        </r>
      </text>
    </comment>
    <comment ref="AI1574" authorId="2">
      <text>
        <r>
          <rPr>
            <b/>
            <sz val="9"/>
            <rFont val="宋体"/>
            <charset val="0"/>
          </rPr>
          <t>石玉珍:</t>
        </r>
        <r>
          <rPr>
            <sz val="9"/>
            <rFont val="宋体"/>
            <charset val="0"/>
          </rPr>
          <t xml:space="preserve">
2200961 6/27 450pcs</t>
        </r>
      </text>
    </comment>
    <comment ref="AL1574" authorId="2">
      <text>
        <r>
          <rPr>
            <b/>
            <sz val="9"/>
            <rFont val="宋体"/>
            <charset val="0"/>
          </rPr>
          <t>石玉珍:</t>
        </r>
        <r>
          <rPr>
            <sz val="9"/>
            <rFont val="宋体"/>
            <charset val="0"/>
          </rPr>
          <t xml:space="preserve">
6/8</t>
        </r>
        <r>
          <rPr>
            <b/>
            <sz val="9"/>
            <rFont val="宋体"/>
            <charset val="0"/>
          </rPr>
          <t xml:space="preserve">
石玉珍:</t>
        </r>
        <r>
          <rPr>
            <sz val="9"/>
            <rFont val="宋体"/>
            <charset val="0"/>
          </rPr>
          <t xml:space="preserve">
6/10 家乐福外箱贴纸 36pcs</t>
        </r>
      </text>
    </comment>
    <comment ref="AI1575" authorId="2">
      <text>
        <r>
          <rPr>
            <b/>
            <sz val="9"/>
            <rFont val="宋体"/>
            <charset val="0"/>
          </rPr>
          <t>石玉珍:</t>
        </r>
        <r>
          <rPr>
            <sz val="9"/>
            <rFont val="宋体"/>
            <charset val="0"/>
          </rPr>
          <t xml:space="preserve">
2200961 6/27 1600pcs</t>
        </r>
      </text>
    </comment>
    <comment ref="AL1575" authorId="2">
      <text>
        <r>
          <rPr>
            <b/>
            <sz val="9"/>
            <rFont val="宋体"/>
            <charset val="0"/>
          </rPr>
          <t>石玉珍:</t>
        </r>
        <r>
          <rPr>
            <sz val="9"/>
            <rFont val="宋体"/>
            <charset val="0"/>
          </rPr>
          <t xml:space="preserve">
6/1 客户贴纸 1600pcs
额外玩法贴纸44*1 6400psc 
额外UV Glue 贴纸 1600pcs</t>
        </r>
        <r>
          <rPr>
            <b/>
            <sz val="9"/>
            <rFont val="宋体"/>
            <charset val="0"/>
          </rPr>
          <t xml:space="preserve">
石玉珍:</t>
        </r>
        <r>
          <rPr>
            <sz val="9"/>
            <rFont val="宋体"/>
            <charset val="0"/>
          </rPr>
          <t xml:space="preserve">
6/8  1-袋子贴纸 </t>
        </r>
        <r>
          <rPr>
            <b/>
            <sz val="9"/>
            <rFont val="宋体"/>
            <charset val="0"/>
          </rPr>
          <t xml:space="preserve">
石玉珍:</t>
        </r>
        <r>
          <rPr>
            <sz val="9"/>
            <rFont val="宋体"/>
            <charset val="0"/>
          </rPr>
          <t xml:space="preserve">
6/10 家乐福外箱贴纸 128pcs</t>
        </r>
      </text>
    </comment>
    <comment ref="AI1576" authorId="2">
      <text>
        <r>
          <rPr>
            <b/>
            <sz val="9"/>
            <rFont val="宋体"/>
            <charset val="0"/>
          </rPr>
          <t>石玉珍:</t>
        </r>
        <r>
          <rPr>
            <sz val="9"/>
            <rFont val="宋体"/>
            <charset val="0"/>
          </rPr>
          <t xml:space="preserve">
2200951 6/26 4452pcs</t>
        </r>
      </text>
    </comment>
    <comment ref="AL1576" authorId="2">
      <text>
        <r>
          <rPr>
            <b/>
            <sz val="9"/>
            <rFont val="宋体"/>
            <charset val="134"/>
          </rPr>
          <t>石玉珍:</t>
        </r>
        <r>
          <rPr>
            <sz val="9"/>
            <rFont val="宋体"/>
            <charset val="134"/>
          </rPr>
          <t xml:space="preserve">
5/29 环保标贴纸 4452pcs</t>
        </r>
      </text>
    </comment>
    <comment ref="AI1577" authorId="2">
      <text>
        <r>
          <rPr>
            <b/>
            <sz val="9"/>
            <rFont val="宋体"/>
            <charset val="0"/>
          </rPr>
          <t>石玉珍:</t>
        </r>
        <r>
          <rPr>
            <sz val="9"/>
            <rFont val="宋体"/>
            <charset val="0"/>
          </rPr>
          <t xml:space="preserve">
2801548 6/27 3468pcs</t>
        </r>
        <r>
          <rPr>
            <b/>
            <sz val="9"/>
            <rFont val="宋体"/>
            <charset val="0"/>
          </rPr>
          <t xml:space="preserve">
石玉珍:</t>
        </r>
        <r>
          <rPr>
            <sz val="9"/>
            <rFont val="宋体"/>
            <charset val="0"/>
          </rPr>
          <t xml:space="preserve">
2801552 6/27 36pcs</t>
        </r>
      </text>
    </comment>
    <comment ref="AL1577" authorId="2">
      <text>
        <r>
          <rPr>
            <b/>
            <sz val="9"/>
            <rFont val="宋体"/>
            <charset val="0"/>
          </rPr>
          <t>石玉珍:</t>
        </r>
        <r>
          <rPr>
            <sz val="9"/>
            <rFont val="宋体"/>
            <charset val="0"/>
          </rPr>
          <t xml:space="preserve">
6/16 进口商贴纸 3504pcs</t>
        </r>
        <r>
          <rPr>
            <b/>
            <sz val="9"/>
            <rFont val="宋体"/>
            <charset val="0"/>
          </rPr>
          <t xml:space="preserve">
石玉珍:</t>
        </r>
        <r>
          <rPr>
            <sz val="9"/>
            <rFont val="宋体"/>
            <charset val="0"/>
          </rPr>
          <t xml:space="preserve">
空白贴纸 7008pcs</t>
        </r>
        <r>
          <rPr>
            <b/>
            <sz val="9"/>
            <rFont val="宋体"/>
            <charset val="0"/>
          </rPr>
          <t xml:space="preserve">
石玉珍:</t>
        </r>
        <r>
          <rPr>
            <sz val="9"/>
            <rFont val="宋体"/>
            <charset val="0"/>
          </rPr>
          <t xml:space="preserve">
EAN 条码贴纸 3504pcs</t>
        </r>
      </text>
    </comment>
    <comment ref="AI1578" authorId="2">
      <text>
        <r>
          <rPr>
            <b/>
            <sz val="9"/>
            <rFont val="宋体"/>
            <charset val="0"/>
          </rPr>
          <t>石玉珍:</t>
        </r>
        <r>
          <rPr>
            <sz val="9"/>
            <rFont val="宋体"/>
            <charset val="0"/>
          </rPr>
          <t xml:space="preserve">
2801541 6/25 1800pcs</t>
        </r>
      </text>
    </comment>
    <comment ref="AL1578" authorId="2">
      <text>
        <r>
          <rPr>
            <b/>
            <sz val="9"/>
            <rFont val="宋体"/>
            <charset val="0"/>
          </rPr>
          <t>石玉珍:</t>
        </r>
        <r>
          <rPr>
            <sz val="9"/>
            <rFont val="宋体"/>
            <charset val="0"/>
          </rPr>
          <t xml:space="preserve">
6/12 包装贴纸 1800pcs</t>
        </r>
        <r>
          <rPr>
            <b/>
            <sz val="9"/>
            <rFont val="宋体"/>
            <charset val="0"/>
          </rPr>
          <t xml:space="preserve">
石玉珍:</t>
        </r>
        <r>
          <rPr>
            <sz val="9"/>
            <rFont val="宋体"/>
            <charset val="0"/>
          </rPr>
          <t xml:space="preserve">
产品贴纸1800pcs</t>
        </r>
        <r>
          <rPr>
            <b/>
            <sz val="9"/>
            <rFont val="宋体"/>
            <charset val="0"/>
          </rPr>
          <t xml:space="preserve">
石玉珍:</t>
        </r>
        <r>
          <rPr>
            <sz val="9"/>
            <rFont val="宋体"/>
            <charset val="0"/>
          </rPr>
          <t xml:space="preserve">
空白贴纸 3600pcs</t>
        </r>
        <r>
          <rPr>
            <b/>
            <sz val="9"/>
            <rFont val="宋体"/>
            <charset val="0"/>
          </rPr>
          <t xml:space="preserve">
石玉珍:</t>
        </r>
        <r>
          <rPr>
            <sz val="9"/>
            <rFont val="宋体"/>
            <charset val="0"/>
          </rPr>
          <t xml:space="preserve">
6/13 外箱贴纸 300pcs</t>
        </r>
      </text>
    </comment>
    <comment ref="AI1580" authorId="2">
      <text>
        <r>
          <rPr>
            <b/>
            <sz val="9"/>
            <rFont val="宋体"/>
            <charset val="0"/>
          </rPr>
          <t>石玉珍:</t>
        </r>
        <r>
          <rPr>
            <sz val="9"/>
            <rFont val="宋体"/>
            <charset val="0"/>
          </rPr>
          <t xml:space="preserve">
2201163 6/25 364pcs</t>
        </r>
      </text>
    </comment>
    <comment ref="AL1580" authorId="2">
      <text>
        <r>
          <rPr>
            <b/>
            <sz val="9"/>
            <rFont val="宋体"/>
            <charset val="134"/>
          </rPr>
          <t>石玉珍:</t>
        </r>
        <r>
          <rPr>
            <sz val="9"/>
            <rFont val="宋体"/>
            <charset val="134"/>
          </rPr>
          <t xml:space="preserve">
5/30 客供价格贴纸: 364pcs</t>
        </r>
      </text>
    </comment>
    <comment ref="AP1580" authorId="1">
      <text>
        <r>
          <rPr>
            <b/>
            <sz val="9"/>
            <rFont val="宋体"/>
            <charset val="134"/>
          </rPr>
          <t>RR:</t>
        </r>
        <r>
          <rPr>
            <sz val="9"/>
            <rFont val="宋体"/>
            <charset val="134"/>
          </rPr>
          <t xml:space="preserve">
首选1L，无1L可选多语</t>
        </r>
      </text>
    </comment>
    <comment ref="AI1581" authorId="2">
      <text>
        <r>
          <rPr>
            <b/>
            <sz val="9"/>
            <rFont val="宋体"/>
            <charset val="0"/>
          </rPr>
          <t>石玉珍:</t>
        </r>
        <r>
          <rPr>
            <sz val="9"/>
            <rFont val="宋体"/>
            <charset val="0"/>
          </rPr>
          <t xml:space="preserve">
2201163 6/25 468pcs</t>
        </r>
      </text>
    </comment>
    <comment ref="AL1581" authorId="2">
      <text>
        <r>
          <rPr>
            <b/>
            <sz val="9"/>
            <rFont val="宋体"/>
            <charset val="134"/>
          </rPr>
          <t>石玉珍:</t>
        </r>
        <r>
          <rPr>
            <sz val="9"/>
            <rFont val="宋体"/>
            <charset val="134"/>
          </rPr>
          <t xml:space="preserve">
5/30 客供价格贴纸: 468pcs</t>
        </r>
      </text>
    </comment>
    <comment ref="AP1581" authorId="1">
      <text>
        <r>
          <rPr>
            <b/>
            <sz val="9"/>
            <rFont val="宋体"/>
            <charset val="134"/>
          </rPr>
          <t>RR:</t>
        </r>
        <r>
          <rPr>
            <sz val="9"/>
            <rFont val="宋体"/>
            <charset val="134"/>
          </rPr>
          <t xml:space="preserve">
首选1L，无1L可选多语</t>
        </r>
      </text>
    </comment>
    <comment ref="AI1582" authorId="2">
      <text>
        <r>
          <rPr>
            <b/>
            <sz val="9"/>
            <rFont val="宋体"/>
            <charset val="0"/>
          </rPr>
          <t>石玉珍:</t>
        </r>
        <r>
          <rPr>
            <sz val="9"/>
            <rFont val="宋体"/>
            <charset val="0"/>
          </rPr>
          <t xml:space="preserve">
 2200953 6/27 6550pcs</t>
        </r>
      </text>
    </comment>
    <comment ref="AL1582" authorId="2">
      <text>
        <r>
          <rPr>
            <b/>
            <sz val="9"/>
            <rFont val="宋体"/>
            <charset val="0"/>
          </rPr>
          <t>石玉珍:</t>
        </r>
        <r>
          <rPr>
            <sz val="9"/>
            <rFont val="宋体"/>
            <charset val="0"/>
          </rPr>
          <t xml:space="preserve">
6/16 客供外箱条码贴纸 262pcs</t>
        </r>
      </text>
    </comment>
    <comment ref="AI1583" authorId="2">
      <text>
        <r>
          <rPr>
            <b/>
            <sz val="9"/>
            <rFont val="宋体"/>
            <charset val="0"/>
          </rPr>
          <t>石玉珍:</t>
        </r>
        <r>
          <rPr>
            <sz val="9"/>
            <rFont val="宋体"/>
            <charset val="0"/>
          </rPr>
          <t xml:space="preserve">
 2200951 6/26 35175pcs</t>
        </r>
        <r>
          <rPr>
            <b/>
            <sz val="9"/>
            <rFont val="宋体"/>
            <charset val="0"/>
          </rPr>
          <t xml:space="preserve">
石玉珍:</t>
        </r>
        <r>
          <rPr>
            <sz val="9"/>
            <rFont val="宋体"/>
            <charset val="0"/>
          </rPr>
          <t xml:space="preserve">
 2200953 6/27 59575pcs</t>
        </r>
        <r>
          <rPr>
            <b/>
            <sz val="9"/>
            <rFont val="宋体"/>
            <charset val="0"/>
          </rPr>
          <t xml:space="preserve">
石玉珍:</t>
        </r>
        <r>
          <rPr>
            <sz val="9"/>
            <rFont val="宋体"/>
            <charset val="0"/>
          </rPr>
          <t xml:space="preserve">
2802580 6/27 5250pcs</t>
        </r>
      </text>
    </comment>
    <comment ref="AL1583" authorId="2">
      <text>
        <r>
          <rPr>
            <b/>
            <sz val="9"/>
            <rFont val="宋体"/>
            <charset val="0"/>
          </rPr>
          <t>石玉珍:</t>
        </r>
        <r>
          <rPr>
            <sz val="9"/>
            <rFont val="宋体"/>
            <charset val="0"/>
          </rPr>
          <t xml:space="preserve">
6/16 客供外箱条码贴纸  4000pcs</t>
        </r>
      </text>
    </comment>
    <comment ref="AI1584" authorId="2">
      <text>
        <r>
          <rPr>
            <b/>
            <sz val="9"/>
            <rFont val="宋体"/>
            <charset val="0"/>
          </rPr>
          <t>石玉珍:</t>
        </r>
        <r>
          <rPr>
            <sz val="9"/>
            <rFont val="宋体"/>
            <charset val="0"/>
          </rPr>
          <t xml:space="preserve">
2201163 6/25 2950pcs</t>
        </r>
        <r>
          <rPr>
            <b/>
            <sz val="9"/>
            <rFont val="宋体"/>
            <charset val="0"/>
          </rPr>
          <t xml:space="preserve">
石玉珍:</t>
        </r>
        <r>
          <rPr>
            <sz val="9"/>
            <rFont val="宋体"/>
            <charset val="0"/>
          </rPr>
          <t xml:space="preserve">
 2200953 6/27 50pcs</t>
        </r>
      </text>
    </comment>
    <comment ref="AL1584" authorId="2">
      <text>
        <r>
          <rPr>
            <b/>
            <sz val="9"/>
            <rFont val="宋体"/>
            <charset val="0"/>
          </rPr>
          <t>石玉珍:</t>
        </r>
        <r>
          <rPr>
            <sz val="9"/>
            <rFont val="宋体"/>
            <charset val="0"/>
          </rPr>
          <t xml:space="preserve">
6/2 产品贴纸 3000pcs</t>
        </r>
        <r>
          <rPr>
            <b/>
            <sz val="9"/>
            <rFont val="宋体"/>
            <charset val="0"/>
          </rPr>
          <t xml:space="preserve">
石玉珍:</t>
        </r>
        <r>
          <rPr>
            <sz val="9"/>
            <rFont val="宋体"/>
            <charset val="0"/>
          </rPr>
          <t xml:space="preserve">
6/6 进口商贴纸 3000pcs</t>
        </r>
      </text>
    </comment>
    <comment ref="AI1585" authorId="2">
      <text>
        <r>
          <rPr>
            <b/>
            <sz val="9"/>
            <rFont val="宋体"/>
            <charset val="0"/>
          </rPr>
          <t>石玉珍:</t>
        </r>
        <r>
          <rPr>
            <sz val="9"/>
            <rFont val="宋体"/>
            <charset val="0"/>
          </rPr>
          <t xml:space="preserve">
2200972 6/27 7872pcs</t>
        </r>
        <r>
          <rPr>
            <b/>
            <sz val="9"/>
            <rFont val="宋体"/>
            <charset val="0"/>
          </rPr>
          <t xml:space="preserve">
石玉珍:</t>
        </r>
        <r>
          <rPr>
            <sz val="9"/>
            <rFont val="宋体"/>
            <charset val="0"/>
          </rPr>
          <t xml:space="preserve">
2200975 6/29 4608pcs</t>
        </r>
      </text>
    </comment>
    <comment ref="AL1585" authorId="0">
      <text>
        <r>
          <rPr>
            <b/>
            <sz val="9"/>
            <rFont val="宋体"/>
            <charset val="134"/>
          </rPr>
          <t>Administrator:</t>
        </r>
        <r>
          <rPr>
            <sz val="9"/>
            <rFont val="宋体"/>
            <charset val="134"/>
          </rPr>
          <t xml:space="preserve">
5/25 客供RFID贴纸12480pc
</t>
        </r>
      </text>
    </comment>
    <comment ref="AI1586" authorId="2">
      <text>
        <r>
          <rPr>
            <b/>
            <sz val="9"/>
            <rFont val="宋体"/>
            <charset val="0"/>
          </rPr>
          <t>石玉珍:</t>
        </r>
        <r>
          <rPr>
            <sz val="9"/>
            <rFont val="宋体"/>
            <charset val="0"/>
          </rPr>
          <t xml:space="preserve">
2200975 6/29 10560pcs</t>
        </r>
      </text>
    </comment>
    <comment ref="AL1586" authorId="0">
      <text>
        <r>
          <rPr>
            <b/>
            <sz val="9"/>
            <rFont val="宋体"/>
            <charset val="134"/>
          </rPr>
          <t>Administrator:</t>
        </r>
        <r>
          <rPr>
            <sz val="9"/>
            <rFont val="宋体"/>
            <charset val="134"/>
          </rPr>
          <t xml:space="preserve">
5/25 客供RFID贴纸 10560pc
</t>
        </r>
      </text>
    </comment>
    <comment ref="AI1587" authorId="2">
      <text>
        <r>
          <rPr>
            <b/>
            <sz val="9"/>
            <rFont val="宋体"/>
            <charset val="0"/>
          </rPr>
          <t>石玉珍:</t>
        </r>
        <r>
          <rPr>
            <sz val="9"/>
            <rFont val="宋体"/>
            <charset val="0"/>
          </rPr>
          <t xml:space="preserve">
2200978 6/29 10560pcs</t>
        </r>
      </text>
    </comment>
    <comment ref="AL1587" authorId="0">
      <text>
        <r>
          <rPr>
            <b/>
            <sz val="9"/>
            <rFont val="宋体"/>
            <charset val="134"/>
          </rPr>
          <t>Administrator:</t>
        </r>
        <r>
          <rPr>
            <sz val="9"/>
            <rFont val="宋体"/>
            <charset val="134"/>
          </rPr>
          <t xml:space="preserve">
5/25 客供RFID贴纸 10560pc
</t>
        </r>
      </text>
    </comment>
    <comment ref="AI1588" authorId="2">
      <text>
        <r>
          <rPr>
            <b/>
            <sz val="9"/>
            <rFont val="宋体"/>
            <charset val="0"/>
          </rPr>
          <t>石玉珍:</t>
        </r>
        <r>
          <rPr>
            <sz val="9"/>
            <rFont val="宋体"/>
            <charset val="0"/>
          </rPr>
          <t xml:space="preserve">
2200975 6/29 13440pcs</t>
        </r>
      </text>
    </comment>
    <comment ref="AL1588" authorId="0">
      <text>
        <r>
          <rPr>
            <b/>
            <sz val="9"/>
            <rFont val="宋体"/>
            <charset val="134"/>
          </rPr>
          <t>Administrator:</t>
        </r>
        <r>
          <rPr>
            <sz val="9"/>
            <rFont val="宋体"/>
            <charset val="134"/>
          </rPr>
          <t xml:space="preserve">
5/25 客供RFID贴纸 13440pc
</t>
        </r>
      </text>
    </comment>
    <comment ref="AI1589" authorId="2">
      <text>
        <r>
          <rPr>
            <b/>
            <sz val="9"/>
            <rFont val="宋体"/>
            <charset val="0"/>
          </rPr>
          <t>石玉珍:</t>
        </r>
        <r>
          <rPr>
            <sz val="9"/>
            <rFont val="宋体"/>
            <charset val="0"/>
          </rPr>
          <t xml:space="preserve">
2200975 6/29 17280pcs</t>
        </r>
      </text>
    </comment>
    <comment ref="AL1589" authorId="0">
      <text>
        <r>
          <rPr>
            <b/>
            <sz val="9"/>
            <rFont val="宋体"/>
            <charset val="134"/>
          </rPr>
          <t>Administrator:</t>
        </r>
        <r>
          <rPr>
            <sz val="9"/>
            <rFont val="宋体"/>
            <charset val="134"/>
          </rPr>
          <t xml:space="preserve">
5/25 客供RFID贴纸17280pc
</t>
        </r>
      </text>
    </comment>
    <comment ref="AI1590" authorId="2">
      <text>
        <r>
          <rPr>
            <b/>
            <sz val="9"/>
            <rFont val="宋体"/>
            <charset val="0"/>
          </rPr>
          <t>石玉珍:</t>
        </r>
        <r>
          <rPr>
            <sz val="9"/>
            <rFont val="宋体"/>
            <charset val="0"/>
          </rPr>
          <t xml:space="preserve">
2200975 6/29 4608pcs</t>
        </r>
        <r>
          <rPr>
            <b/>
            <sz val="9"/>
            <rFont val="宋体"/>
            <charset val="0"/>
          </rPr>
          <t xml:space="preserve">
石玉珍:</t>
        </r>
        <r>
          <rPr>
            <sz val="9"/>
            <rFont val="宋体"/>
            <charset val="0"/>
          </rPr>
          <t xml:space="preserve">
2200978 6/29 13632pcs</t>
        </r>
      </text>
    </comment>
    <comment ref="AL1590" authorId="0">
      <text>
        <r>
          <rPr>
            <b/>
            <sz val="9"/>
            <rFont val="宋体"/>
            <charset val="134"/>
          </rPr>
          <t>Administrator:</t>
        </r>
        <r>
          <rPr>
            <sz val="9"/>
            <rFont val="宋体"/>
            <charset val="134"/>
          </rPr>
          <t xml:space="preserve">
5/25 客供RFID贴纸182400pc
</t>
        </r>
      </text>
    </comment>
    <comment ref="AI1591" authorId="2">
      <text>
        <r>
          <rPr>
            <b/>
            <sz val="9"/>
            <rFont val="宋体"/>
            <charset val="0"/>
          </rPr>
          <t>石玉珍:</t>
        </r>
        <r>
          <rPr>
            <sz val="9"/>
            <rFont val="宋体"/>
            <charset val="0"/>
          </rPr>
          <t xml:space="preserve">
2200975 6/29 13440pcs</t>
        </r>
      </text>
    </comment>
    <comment ref="AL1591" authorId="0">
      <text>
        <r>
          <rPr>
            <b/>
            <sz val="9"/>
            <rFont val="宋体"/>
            <charset val="134"/>
          </rPr>
          <t>Administrator:</t>
        </r>
        <r>
          <rPr>
            <sz val="9"/>
            <rFont val="宋体"/>
            <charset val="134"/>
          </rPr>
          <t xml:space="preserve">
5/25 客供RFID贴纸 13440ppc
</t>
        </r>
      </text>
    </comment>
    <comment ref="AI1592" authorId="2">
      <text>
        <r>
          <rPr>
            <b/>
            <sz val="9"/>
            <rFont val="宋体"/>
            <charset val="0"/>
          </rPr>
          <t>石玉珍:</t>
        </r>
        <r>
          <rPr>
            <sz val="9"/>
            <rFont val="宋体"/>
            <charset val="0"/>
          </rPr>
          <t xml:space="preserve">
2200968 6/27 3500pcs</t>
        </r>
      </text>
    </comment>
    <comment ref="AL1592" authorId="2">
      <text>
        <r>
          <rPr>
            <b/>
            <sz val="9"/>
            <rFont val="宋体"/>
            <charset val="0"/>
          </rPr>
          <t>石玉珍:</t>
        </r>
        <r>
          <rPr>
            <sz val="9"/>
            <rFont val="宋体"/>
            <charset val="0"/>
          </rPr>
          <t xml:space="preserve">
6/15 西班牙环保标贴纸 3500pcs</t>
        </r>
      </text>
    </comment>
    <comment ref="AI1593" authorId="2">
      <text>
        <r>
          <rPr>
            <b/>
            <sz val="9"/>
            <rFont val="宋体"/>
            <charset val="0"/>
          </rPr>
          <t>石玉珍:</t>
        </r>
        <r>
          <rPr>
            <sz val="9"/>
            <rFont val="宋体"/>
            <charset val="0"/>
          </rPr>
          <t xml:space="preserve">
2201170 6/26 1975pcs</t>
        </r>
        <r>
          <rPr>
            <b/>
            <sz val="9"/>
            <rFont val="宋体"/>
            <charset val="0"/>
          </rPr>
          <t xml:space="preserve">
石玉珍:</t>
        </r>
        <r>
          <rPr>
            <sz val="9"/>
            <rFont val="宋体"/>
            <charset val="0"/>
          </rPr>
          <t xml:space="preserve">
2200942 6/26 25pcs</t>
        </r>
      </text>
    </comment>
    <comment ref="AL1593" authorId="2">
      <text>
        <r>
          <rPr>
            <b/>
            <sz val="9"/>
            <rFont val="宋体"/>
            <charset val="0"/>
          </rPr>
          <t>石玉珍:</t>
        </r>
        <r>
          <rPr>
            <sz val="9"/>
            <rFont val="宋体"/>
            <charset val="0"/>
          </rPr>
          <t xml:space="preserve">
6/8 进口商贴纸 5500pcs
客户款号的EAN条码贴纸 5500pcs</t>
        </r>
      </text>
    </comment>
    <comment ref="AI1594" authorId="2">
      <text>
        <r>
          <rPr>
            <b/>
            <sz val="9"/>
            <rFont val="宋体"/>
            <charset val="0"/>
          </rPr>
          <t>石玉珍:</t>
        </r>
        <r>
          <rPr>
            <sz val="9"/>
            <rFont val="宋体"/>
            <charset val="0"/>
          </rPr>
          <t xml:space="preserve">
2201170 6/26 120pcs</t>
        </r>
      </text>
    </comment>
    <comment ref="AL1594" authorId="2">
      <text>
        <r>
          <rPr>
            <b/>
            <sz val="9"/>
            <rFont val="宋体"/>
            <charset val="0"/>
          </rPr>
          <t>石玉珍:</t>
        </r>
        <r>
          <rPr>
            <sz val="9"/>
            <rFont val="宋体"/>
            <charset val="0"/>
          </rPr>
          <t xml:space="preserve">
6/10 客供价格贴纸 120pcs</t>
        </r>
      </text>
    </comment>
    <comment ref="AI1595" authorId="2">
      <text>
        <r>
          <rPr>
            <b/>
            <sz val="9"/>
            <rFont val="宋体"/>
            <charset val="0"/>
          </rPr>
          <t>石玉珍:</t>
        </r>
        <r>
          <rPr>
            <sz val="9"/>
            <rFont val="宋体"/>
            <charset val="0"/>
          </rPr>
          <t xml:space="preserve">
2201170 6/26 1536pcs</t>
        </r>
      </text>
    </comment>
    <comment ref="AL1595" authorId="2">
      <text>
        <r>
          <rPr>
            <b/>
            <sz val="9"/>
            <rFont val="宋体"/>
            <charset val="0"/>
          </rPr>
          <t>石玉珍:</t>
        </r>
        <r>
          <rPr>
            <sz val="9"/>
            <rFont val="宋体"/>
            <charset val="0"/>
          </rPr>
          <t xml:space="preserve">
6/10 客供价格贴纸 1536pcs</t>
        </r>
      </text>
    </comment>
    <comment ref="AI1596" authorId="2">
      <text>
        <r>
          <rPr>
            <b/>
            <sz val="9"/>
            <rFont val="宋体"/>
            <charset val="0"/>
          </rPr>
          <t>石玉珍:</t>
        </r>
        <r>
          <rPr>
            <sz val="9"/>
            <rFont val="宋体"/>
            <charset val="0"/>
          </rPr>
          <t xml:space="preserve">
2201170 6/26 744pcs</t>
        </r>
      </text>
    </comment>
    <comment ref="AL1596" authorId="2">
      <text>
        <r>
          <rPr>
            <b/>
            <sz val="9"/>
            <rFont val="宋体"/>
            <charset val="0"/>
          </rPr>
          <t>石玉珍:</t>
        </r>
        <r>
          <rPr>
            <sz val="9"/>
            <rFont val="宋体"/>
            <charset val="0"/>
          </rPr>
          <t xml:space="preserve">
6/10 客供价格贴纸 744pcs</t>
        </r>
      </text>
    </comment>
    <comment ref="AI1597" authorId="2">
      <text>
        <r>
          <rPr>
            <b/>
            <sz val="9"/>
            <rFont val="宋体"/>
            <charset val="0"/>
          </rPr>
          <t>石玉珍:</t>
        </r>
        <r>
          <rPr>
            <sz val="9"/>
            <rFont val="宋体"/>
            <charset val="0"/>
          </rPr>
          <t xml:space="preserve">
2801553 6/29 1644pcs</t>
        </r>
        <r>
          <rPr>
            <b/>
            <sz val="9"/>
            <rFont val="宋体"/>
            <charset val="0"/>
          </rPr>
          <t xml:space="preserve">
石玉珍:</t>
        </r>
        <r>
          <rPr>
            <sz val="9"/>
            <rFont val="宋体"/>
            <charset val="0"/>
          </rPr>
          <t xml:space="preserve">
1600579 7/1 36pcs</t>
        </r>
      </text>
    </comment>
    <comment ref="AL1597" authorId="2">
      <text>
        <r>
          <rPr>
            <b/>
            <sz val="9"/>
            <rFont val="宋体"/>
            <charset val="0"/>
          </rPr>
          <t>石玉珍:</t>
        </r>
        <r>
          <rPr>
            <sz val="9"/>
            <rFont val="宋体"/>
            <charset val="0"/>
          </rPr>
          <t xml:space="preserve">
6/5 进口商贴纸 1680pcs
产品贴纸 3360pcs
WEEE说明书纸 1680pcs</t>
        </r>
        <r>
          <rPr>
            <b/>
            <sz val="9"/>
            <rFont val="宋体"/>
            <charset val="0"/>
          </rPr>
          <t xml:space="preserve">
石玉珍:</t>
        </r>
        <r>
          <rPr>
            <sz val="9"/>
            <rFont val="宋体"/>
            <charset val="0"/>
          </rPr>
          <t xml:space="preserve">
6/5 空白贴纸 1680*2pcs</t>
        </r>
        <r>
          <rPr>
            <b/>
            <sz val="9"/>
            <rFont val="宋体"/>
            <charset val="0"/>
          </rPr>
          <t xml:space="preserve">
石玉珍:</t>
        </r>
        <r>
          <rPr>
            <sz val="9"/>
            <rFont val="宋体"/>
            <charset val="0"/>
          </rPr>
          <t xml:space="preserve">
6/17 产品贴纸 3360pcs补订</t>
        </r>
      </text>
    </comment>
    <comment ref="AI1598" authorId="2">
      <text>
        <r>
          <rPr>
            <b/>
            <sz val="9"/>
            <rFont val="宋体"/>
            <charset val="0"/>
          </rPr>
          <t>石玉珍:</t>
        </r>
        <r>
          <rPr>
            <sz val="9"/>
            <rFont val="宋体"/>
            <charset val="0"/>
          </rPr>
          <t xml:space="preserve">
1600579 7/1 240pcs</t>
        </r>
      </text>
    </comment>
    <comment ref="AL1598" authorId="2">
      <text>
        <r>
          <rPr>
            <b/>
            <sz val="9"/>
            <rFont val="宋体"/>
            <charset val="0"/>
          </rPr>
          <t>石玉珍:</t>
        </r>
        <r>
          <rPr>
            <sz val="9"/>
            <rFont val="宋体"/>
            <charset val="0"/>
          </rPr>
          <t xml:space="preserve">
6/5 进口商贴纸 240pcs</t>
        </r>
        <r>
          <rPr>
            <b/>
            <sz val="9"/>
            <rFont val="宋体"/>
            <charset val="0"/>
          </rPr>
          <t xml:space="preserve">
石玉珍:</t>
        </r>
        <r>
          <rPr>
            <sz val="9"/>
            <rFont val="宋体"/>
            <charset val="0"/>
          </rPr>
          <t xml:space="preserve">
6/10 进口商贴纸 480pcs</t>
        </r>
      </text>
    </comment>
    <comment ref="AI1599" authorId="2">
      <text>
        <r>
          <rPr>
            <b/>
            <sz val="9"/>
            <rFont val="宋体"/>
            <charset val="0"/>
          </rPr>
          <t>石玉珍:</t>
        </r>
        <r>
          <rPr>
            <sz val="9"/>
            <rFont val="宋体"/>
            <charset val="0"/>
          </rPr>
          <t xml:space="preserve">
1600573 6/30 300pcs</t>
        </r>
      </text>
    </comment>
    <comment ref="AL1599" authorId="2">
      <text>
        <r>
          <rPr>
            <b/>
            <sz val="9"/>
            <rFont val="宋体"/>
            <charset val="0"/>
          </rPr>
          <t>石玉珍:</t>
        </r>
        <r>
          <rPr>
            <sz val="9"/>
            <rFont val="宋体"/>
            <charset val="0"/>
          </rPr>
          <t xml:space="preserve">
6/15 EAN贴纸 300pcs</t>
        </r>
        <r>
          <rPr>
            <b/>
            <sz val="9"/>
            <rFont val="宋体"/>
            <charset val="0"/>
          </rPr>
          <t xml:space="preserve">
石玉珍:</t>
        </r>
        <r>
          <rPr>
            <sz val="9"/>
            <rFont val="宋体"/>
            <charset val="0"/>
          </rPr>
          <t xml:space="preserve">
6/15 空白贴纸 600pcs</t>
        </r>
      </text>
    </comment>
    <comment ref="AI1600" authorId="2">
      <text>
        <r>
          <rPr>
            <b/>
            <sz val="9"/>
            <rFont val="宋体"/>
            <charset val="0"/>
          </rPr>
          <t>石玉珍:</t>
        </r>
        <r>
          <rPr>
            <sz val="9"/>
            <rFont val="宋体"/>
            <charset val="0"/>
          </rPr>
          <t xml:space="preserve">
2201022 7/1 5005pcs</t>
        </r>
      </text>
    </comment>
    <comment ref="AL1600" authorId="2">
      <text>
        <r>
          <rPr>
            <b/>
            <sz val="9"/>
            <rFont val="宋体"/>
            <charset val="0"/>
          </rPr>
          <t>石玉珍:</t>
        </r>
        <r>
          <rPr>
            <sz val="9"/>
            <rFont val="宋体"/>
            <charset val="0"/>
          </rPr>
          <t xml:space="preserve">
6/15 多语警语折叠贴纸 5005pcs</t>
        </r>
      </text>
    </comment>
    <comment ref="AI1601" authorId="2">
      <text>
        <r>
          <rPr>
            <b/>
            <sz val="9"/>
            <rFont val="宋体"/>
            <charset val="0"/>
          </rPr>
          <t>石玉珍:</t>
        </r>
        <r>
          <rPr>
            <sz val="9"/>
            <rFont val="宋体"/>
            <charset val="0"/>
          </rPr>
          <t xml:space="preserve">
2801556 6/30 138pcs</t>
        </r>
      </text>
    </comment>
    <comment ref="AL1601" authorId="0">
      <text>
        <r>
          <rPr>
            <sz val="9"/>
            <rFont val="宋体"/>
            <charset val="0"/>
          </rPr>
          <t>Administrator:
5/20 收缩膜+说明书纽扣电池警 552pcs</t>
        </r>
        <r>
          <rPr>
            <b/>
            <sz val="9"/>
            <rFont val="宋体"/>
            <charset val="0"/>
          </rPr>
          <t xml:space="preserve">
石玉珍:</t>
        </r>
        <r>
          <rPr>
            <sz val="9"/>
            <rFont val="宋体"/>
            <charset val="0"/>
          </rPr>
          <t xml:space="preserve">
6/11 Kmart外箱贴纸 23pcs</t>
        </r>
      </text>
    </comment>
    <comment ref="AI1602" authorId="2">
      <text>
        <r>
          <rPr>
            <b/>
            <sz val="9"/>
            <rFont val="宋体"/>
            <charset val="0"/>
          </rPr>
          <t>石玉珍:</t>
        </r>
        <r>
          <rPr>
            <sz val="9"/>
            <rFont val="宋体"/>
            <charset val="0"/>
          </rPr>
          <t xml:space="preserve">
2801556 6/30 1362pcs</t>
        </r>
      </text>
    </comment>
    <comment ref="AL1602" authorId="2">
      <text>
        <r>
          <rPr>
            <b/>
            <sz val="9"/>
            <rFont val="宋体"/>
            <charset val="0"/>
          </rPr>
          <t>石玉珍:</t>
        </r>
        <r>
          <rPr>
            <sz val="9"/>
            <rFont val="宋体"/>
            <charset val="0"/>
          </rPr>
          <t xml:space="preserve">
5/29 收缩膜+说明书纽扣电池警告语 1362pcs</t>
        </r>
        <r>
          <rPr>
            <b/>
            <sz val="9"/>
            <rFont val="宋体"/>
            <charset val="0"/>
          </rPr>
          <t xml:space="preserve">
石玉珍:</t>
        </r>
        <r>
          <rPr>
            <sz val="9"/>
            <rFont val="宋体"/>
            <charset val="0"/>
          </rPr>
          <t xml:space="preserve">
6/11 Kmart外箱贴纸  227pcs</t>
        </r>
      </text>
    </comment>
    <comment ref="AI1603" authorId="2">
      <text>
        <r>
          <rPr>
            <b/>
            <sz val="9"/>
            <rFont val="宋体"/>
            <charset val="0"/>
          </rPr>
          <t>石玉珍:</t>
        </r>
        <r>
          <rPr>
            <sz val="9"/>
            <rFont val="宋体"/>
            <charset val="0"/>
          </rPr>
          <t xml:space="preserve">
2201022 7/1 9009pcs</t>
        </r>
      </text>
    </comment>
    <comment ref="AL1603" authorId="2">
      <text>
        <r>
          <rPr>
            <b/>
            <sz val="9"/>
            <rFont val="宋体"/>
            <charset val="0"/>
          </rPr>
          <t>石玉珍:</t>
        </r>
        <r>
          <rPr>
            <sz val="9"/>
            <rFont val="宋体"/>
            <charset val="0"/>
          </rPr>
          <t xml:space="preserve">
6/17 PDQ贴纸含EAN条码 693pcs</t>
        </r>
        <r>
          <rPr>
            <b/>
            <sz val="9"/>
            <rFont val="宋体"/>
            <charset val="0"/>
          </rPr>
          <t xml:space="preserve">
石玉珍:</t>
        </r>
        <r>
          <rPr>
            <sz val="9"/>
            <rFont val="宋体"/>
            <charset val="0"/>
          </rPr>
          <t xml:space="preserve">
6/18 进口商贴纸 9009pcs</t>
        </r>
      </text>
    </comment>
    <comment ref="AI1604" authorId="2">
      <text>
        <r>
          <rPr>
            <b/>
            <sz val="9"/>
            <rFont val="宋体"/>
            <charset val="0"/>
          </rPr>
          <t>石玉珍:</t>
        </r>
        <r>
          <rPr>
            <sz val="9"/>
            <rFont val="宋体"/>
            <charset val="0"/>
          </rPr>
          <t xml:space="preserve">
2201013 6/30 6000</t>
        </r>
      </text>
    </comment>
    <comment ref="AL1604" authorId="2">
      <text>
        <r>
          <rPr>
            <b/>
            <sz val="9"/>
            <rFont val="宋体"/>
            <charset val="0"/>
          </rPr>
          <t>石玉珍:</t>
        </r>
        <r>
          <rPr>
            <sz val="9"/>
            <rFont val="宋体"/>
            <charset val="0"/>
          </rPr>
          <t xml:space="preserve">
6/17 展示架贴纸含EAN条码 200pcs</t>
        </r>
        <r>
          <rPr>
            <b/>
            <sz val="9"/>
            <rFont val="宋体"/>
            <charset val="0"/>
          </rPr>
          <t xml:space="preserve">
石玉珍:</t>
        </r>
        <r>
          <rPr>
            <sz val="9"/>
            <rFont val="宋体"/>
            <charset val="0"/>
          </rPr>
          <t xml:space="preserve">
6/18 进口商贴纸 6000pcs</t>
        </r>
      </text>
    </comment>
    <comment ref="AI1605" authorId="2">
      <text>
        <r>
          <rPr>
            <b/>
            <sz val="9"/>
            <rFont val="宋体"/>
            <charset val="0"/>
          </rPr>
          <t>石玉珍:</t>
        </r>
        <r>
          <rPr>
            <sz val="9"/>
            <rFont val="宋体"/>
            <charset val="0"/>
          </rPr>
          <t xml:space="preserve">
2201029 7/1 2004pcs</t>
        </r>
      </text>
    </comment>
    <comment ref="AL1605" authorId="0">
      <text>
        <r>
          <rPr>
            <b/>
            <sz val="9"/>
            <rFont val="宋体"/>
            <charset val="134"/>
          </rPr>
          <t>Administrator:</t>
        </r>
        <r>
          <rPr>
            <sz val="9"/>
            <rFont val="宋体"/>
            <charset val="134"/>
          </rPr>
          <t xml:space="preserve">
5/18 客供价格贴纸 2004pcs
5/22 空白贴纸 订单数*2pcs
</t>
        </r>
      </text>
    </comment>
    <comment ref="AI1606" authorId="2">
      <text>
        <r>
          <rPr>
            <b/>
            <sz val="9"/>
            <rFont val="宋体"/>
            <charset val="0"/>
          </rPr>
          <t>石玉珍:</t>
        </r>
        <r>
          <rPr>
            <sz val="9"/>
            <rFont val="宋体"/>
            <charset val="0"/>
          </rPr>
          <t xml:space="preserve">
2201028 7/1 1425pcs</t>
        </r>
      </text>
    </comment>
    <comment ref="AL1606" authorId="0">
      <text>
        <r>
          <rPr>
            <b/>
            <sz val="9"/>
            <rFont val="宋体"/>
            <charset val="134"/>
          </rPr>
          <t>Administrator:</t>
        </r>
        <r>
          <rPr>
            <sz val="9"/>
            <rFont val="宋体"/>
            <charset val="134"/>
          </rPr>
          <t xml:space="preserve">
5/22 客供亚马逊外箱贴 57pcs
</t>
        </r>
      </text>
    </comment>
    <comment ref="AI1607" authorId="2">
      <text>
        <r>
          <rPr>
            <b/>
            <sz val="9"/>
            <rFont val="宋体"/>
            <charset val="0"/>
          </rPr>
          <t>石玉珍:</t>
        </r>
        <r>
          <rPr>
            <sz val="9"/>
            <rFont val="宋体"/>
            <charset val="0"/>
          </rPr>
          <t xml:space="preserve">
2201028 7/1 1375pcs</t>
        </r>
      </text>
    </comment>
    <comment ref="AL1607" authorId="0">
      <text>
        <r>
          <rPr>
            <b/>
            <sz val="9"/>
            <rFont val="宋体"/>
            <charset val="134"/>
          </rPr>
          <t>Administrator:</t>
        </r>
        <r>
          <rPr>
            <sz val="9"/>
            <rFont val="宋体"/>
            <charset val="134"/>
          </rPr>
          <t xml:space="preserve">
5/22 客供亚马逊外箱贴 55pcs
</t>
        </r>
      </text>
    </comment>
    <comment ref="AI1608" authorId="2">
      <text>
        <r>
          <rPr>
            <b/>
            <sz val="9"/>
            <rFont val="宋体"/>
            <charset val="0"/>
          </rPr>
          <t>石玉珍:</t>
        </r>
        <r>
          <rPr>
            <sz val="9"/>
            <rFont val="宋体"/>
            <charset val="0"/>
          </rPr>
          <t xml:space="preserve">
2201028 7/1 2675pcs</t>
        </r>
      </text>
    </comment>
    <comment ref="AL1608" authorId="0">
      <text>
        <r>
          <rPr>
            <b/>
            <sz val="9"/>
            <rFont val="宋体"/>
            <charset val="134"/>
          </rPr>
          <t>Administrator:</t>
        </r>
        <r>
          <rPr>
            <sz val="9"/>
            <rFont val="宋体"/>
            <charset val="134"/>
          </rPr>
          <t xml:space="preserve">
5/22 客供亚马逊外箱贴 107pcs
</t>
        </r>
      </text>
    </comment>
    <comment ref="AI1609" authorId="2">
      <text>
        <r>
          <rPr>
            <b/>
            <sz val="9"/>
            <rFont val="宋体"/>
            <charset val="0"/>
          </rPr>
          <t>石玉珍:</t>
        </r>
        <r>
          <rPr>
            <sz val="9"/>
            <rFont val="宋体"/>
            <charset val="0"/>
          </rPr>
          <t xml:space="preserve">
2201028 7/1 1000pcs</t>
        </r>
      </text>
    </comment>
    <comment ref="AL1609" authorId="0">
      <text>
        <r>
          <rPr>
            <b/>
            <sz val="9"/>
            <rFont val="宋体"/>
            <charset val="134"/>
          </rPr>
          <t>Administrator:</t>
        </r>
        <r>
          <rPr>
            <sz val="9"/>
            <rFont val="宋体"/>
            <charset val="134"/>
          </rPr>
          <t xml:space="preserve">
5/22 家乐福外箱贴纸 40pcs</t>
        </r>
      </text>
    </comment>
    <comment ref="AI1610" authorId="2">
      <text>
        <r>
          <rPr>
            <b/>
            <sz val="9"/>
            <rFont val="宋体"/>
            <charset val="0"/>
          </rPr>
          <t>石玉珍:</t>
        </r>
        <r>
          <rPr>
            <sz val="9"/>
            <rFont val="宋体"/>
            <charset val="0"/>
          </rPr>
          <t xml:space="preserve">
2201029 7/1 2196pcs</t>
        </r>
      </text>
    </comment>
    <comment ref="AL1610" authorId="0">
      <text>
        <r>
          <rPr>
            <b/>
            <sz val="9"/>
            <rFont val="宋体"/>
            <charset val="134"/>
          </rPr>
          <t>Administrator:</t>
        </r>
        <r>
          <rPr>
            <sz val="9"/>
            <rFont val="宋体"/>
            <charset val="134"/>
          </rPr>
          <t xml:space="preserve">
5/18 客供价格贴纸 2196pcs
5/22 空白贴纸 订单数*2pcs
</t>
        </r>
      </text>
    </comment>
    <comment ref="AI1611" authorId="2">
      <text>
        <r>
          <rPr>
            <b/>
            <sz val="9"/>
            <rFont val="宋体"/>
            <charset val="0"/>
          </rPr>
          <t>石玉珍:</t>
        </r>
        <r>
          <rPr>
            <sz val="9"/>
            <rFont val="宋体"/>
            <charset val="0"/>
          </rPr>
          <t xml:space="preserve">
2201029 7/1 2544pcs</t>
        </r>
      </text>
    </comment>
    <comment ref="AL1611" authorId="2">
      <text>
        <r>
          <rPr>
            <b/>
            <sz val="9"/>
            <rFont val="宋体"/>
            <charset val="0"/>
          </rPr>
          <t>石玉珍:</t>
        </r>
        <r>
          <rPr>
            <sz val="9"/>
            <rFont val="宋体"/>
            <charset val="0"/>
          </rPr>
          <t xml:space="preserve">
6/10 价格贴纸 2544pcs
空白条码贴纸 2544*2pcs</t>
        </r>
        <r>
          <rPr>
            <b/>
            <sz val="9"/>
            <rFont val="宋体"/>
            <charset val="0"/>
          </rPr>
          <t xml:space="preserve">
石玉珍:</t>
        </r>
        <r>
          <rPr>
            <sz val="9"/>
            <rFont val="宋体"/>
            <charset val="0"/>
          </rPr>
          <t xml:space="preserve">
6/17 NWV客供外箱贴纸 212pcs</t>
        </r>
        <r>
          <rPr>
            <b/>
            <sz val="9"/>
            <rFont val="宋体"/>
            <charset val="0"/>
          </rPr>
          <t xml:space="preserve">
石玉珍:</t>
        </r>
        <r>
          <rPr>
            <sz val="9"/>
            <rFont val="宋体"/>
            <charset val="0"/>
          </rPr>
          <t xml:space="preserve">
NJ通用客供外箱贴纸 212pcs</t>
        </r>
      </text>
    </comment>
    <comment ref="AI1612" authorId="2">
      <text>
        <r>
          <rPr>
            <b/>
            <sz val="9"/>
            <rFont val="宋体"/>
            <charset val="0"/>
          </rPr>
          <t>石玉珍:</t>
        </r>
        <r>
          <rPr>
            <sz val="9"/>
            <rFont val="宋体"/>
            <charset val="0"/>
          </rPr>
          <t xml:space="preserve">
2201029 7/1 1092pcs</t>
        </r>
      </text>
    </comment>
    <comment ref="AL1612" authorId="2">
      <text>
        <r>
          <rPr>
            <b/>
            <sz val="9"/>
            <rFont val="宋体"/>
            <charset val="0"/>
          </rPr>
          <t>石玉珍:</t>
        </r>
        <r>
          <rPr>
            <sz val="9"/>
            <rFont val="宋体"/>
            <charset val="0"/>
          </rPr>
          <t xml:space="preserve">
6/10 价格贴纸 1092pcs
空白条码贴纸 1092*2pcs</t>
        </r>
        <r>
          <rPr>
            <b/>
            <sz val="9"/>
            <rFont val="宋体"/>
            <charset val="0"/>
          </rPr>
          <t xml:space="preserve">
石玉珍:</t>
        </r>
        <r>
          <rPr>
            <sz val="9"/>
            <rFont val="宋体"/>
            <charset val="0"/>
          </rPr>
          <t xml:space="preserve">
6/17 NWV客供外箱贴纸 91pcs</t>
        </r>
        <r>
          <rPr>
            <b/>
            <sz val="9"/>
            <rFont val="宋体"/>
            <charset val="0"/>
          </rPr>
          <t xml:space="preserve">
石玉珍:</t>
        </r>
        <r>
          <rPr>
            <sz val="9"/>
            <rFont val="宋体"/>
            <charset val="0"/>
          </rPr>
          <t xml:space="preserve">
NJ通用客供外箱贴纸 91pcs</t>
        </r>
      </text>
    </comment>
    <comment ref="AI1613" authorId="2">
      <text>
        <r>
          <rPr>
            <b/>
            <sz val="9"/>
            <rFont val="宋体"/>
            <charset val="0"/>
          </rPr>
          <t>石玉珍:</t>
        </r>
        <r>
          <rPr>
            <sz val="9"/>
            <rFont val="宋体"/>
            <charset val="0"/>
          </rPr>
          <t xml:space="preserve">
2201013 6/30 9087pcs</t>
        </r>
      </text>
    </comment>
    <comment ref="AL1613" authorId="2">
      <text>
        <r>
          <rPr>
            <b/>
            <sz val="9"/>
            <rFont val="宋体"/>
            <charset val="0"/>
          </rPr>
          <t>石玉珍:</t>
        </r>
        <r>
          <rPr>
            <sz val="9"/>
            <rFont val="宋体"/>
            <charset val="0"/>
          </rPr>
          <t xml:space="preserve">
6/5 UPC贴纸 9087pcs</t>
        </r>
        <r>
          <rPr>
            <b/>
            <sz val="9"/>
            <rFont val="宋体"/>
            <charset val="0"/>
          </rPr>
          <t xml:space="preserve">
石玉珍:</t>
        </r>
        <r>
          <rPr>
            <sz val="9"/>
            <rFont val="宋体"/>
            <charset val="0"/>
          </rPr>
          <t xml:space="preserve">
6/10 白色防盗贴纸 9087pcs</t>
        </r>
        <r>
          <rPr>
            <b/>
            <sz val="9"/>
            <rFont val="宋体"/>
            <charset val="0"/>
          </rPr>
          <t xml:space="preserve">
石玉珍:</t>
        </r>
        <r>
          <rPr>
            <sz val="9"/>
            <rFont val="宋体"/>
            <charset val="0"/>
          </rPr>
          <t xml:space="preserve">
6/11 Kmart外箱贴纸 699pcs</t>
        </r>
      </text>
    </comment>
    <comment ref="AI1614" authorId="2">
      <text>
        <r>
          <rPr>
            <b/>
            <sz val="9"/>
            <rFont val="宋体"/>
            <charset val="0"/>
          </rPr>
          <t>石玉珍:</t>
        </r>
        <r>
          <rPr>
            <sz val="9"/>
            <rFont val="宋体"/>
            <charset val="0"/>
          </rPr>
          <t xml:space="preserve">
2201013 6/30 9295pcs</t>
        </r>
      </text>
    </comment>
    <comment ref="AL1614" authorId="2">
      <text>
        <r>
          <rPr>
            <b/>
            <sz val="9"/>
            <rFont val="宋体"/>
            <charset val="0"/>
          </rPr>
          <t>石玉珍:</t>
        </r>
        <r>
          <rPr>
            <sz val="9"/>
            <rFont val="宋体"/>
            <charset val="0"/>
          </rPr>
          <t xml:space="preserve">
6/5 UPC贴纸 9295pcs</t>
        </r>
        <r>
          <rPr>
            <b/>
            <sz val="9"/>
            <rFont val="宋体"/>
            <charset val="0"/>
          </rPr>
          <t xml:space="preserve">
石玉珍:</t>
        </r>
        <r>
          <rPr>
            <sz val="9"/>
            <rFont val="宋体"/>
            <charset val="0"/>
          </rPr>
          <t xml:space="preserve">
6/10 白色防盗贴纸 9295pcs</t>
        </r>
        <r>
          <rPr>
            <b/>
            <sz val="9"/>
            <rFont val="宋体"/>
            <charset val="0"/>
          </rPr>
          <t xml:space="preserve">
石玉珍:</t>
        </r>
        <r>
          <rPr>
            <sz val="9"/>
            <rFont val="宋体"/>
            <charset val="0"/>
          </rPr>
          <t xml:space="preserve">
6/11 Kmart外箱贴纸 715pcs</t>
        </r>
      </text>
    </comment>
    <comment ref="AI1615" authorId="2">
      <text>
        <r>
          <rPr>
            <b/>
            <sz val="9"/>
            <rFont val="宋体"/>
            <charset val="0"/>
          </rPr>
          <t>石玉珍:</t>
        </r>
        <r>
          <rPr>
            <sz val="9"/>
            <rFont val="宋体"/>
            <charset val="0"/>
          </rPr>
          <t xml:space="preserve">
2201013 6/30 689pcs</t>
        </r>
      </text>
    </comment>
    <comment ref="AL1615" authorId="2">
      <text>
        <r>
          <rPr>
            <b/>
            <sz val="9"/>
            <rFont val="宋体"/>
            <charset val="0"/>
          </rPr>
          <t>石玉珍:</t>
        </r>
        <r>
          <rPr>
            <sz val="9"/>
            <rFont val="宋体"/>
            <charset val="0"/>
          </rPr>
          <t xml:space="preserve">
6/5 UPC贴纸 689pcs</t>
        </r>
        <r>
          <rPr>
            <b/>
            <sz val="9"/>
            <rFont val="宋体"/>
            <charset val="0"/>
          </rPr>
          <t xml:space="preserve">
石玉珍:</t>
        </r>
        <r>
          <rPr>
            <sz val="9"/>
            <rFont val="宋体"/>
            <charset val="0"/>
          </rPr>
          <t xml:space="preserve">
6/11 白色防盗贴纸 689pcs</t>
        </r>
        <r>
          <rPr>
            <b/>
            <sz val="9"/>
            <rFont val="宋体"/>
            <charset val="0"/>
          </rPr>
          <t xml:space="preserve">
石玉珍:</t>
        </r>
        <r>
          <rPr>
            <sz val="9"/>
            <rFont val="宋体"/>
            <charset val="0"/>
          </rPr>
          <t xml:space="preserve">
6/11 Kmart外箱贴纸 52pcs</t>
        </r>
      </text>
    </comment>
    <comment ref="AI1616" authorId="2">
      <text>
        <r>
          <rPr>
            <b/>
            <sz val="9"/>
            <rFont val="宋体"/>
            <charset val="0"/>
          </rPr>
          <t>石玉珍:</t>
        </r>
        <r>
          <rPr>
            <sz val="9"/>
            <rFont val="宋体"/>
            <charset val="0"/>
          </rPr>
          <t xml:space="preserve">
 2201007 6/30 15000pcs</t>
        </r>
      </text>
    </comment>
    <comment ref="AL1616" authorId="0">
      <text>
        <r>
          <rPr>
            <b/>
            <sz val="9"/>
            <rFont val="宋体"/>
            <charset val="134"/>
          </rPr>
          <t>Administrator:</t>
        </r>
        <r>
          <rPr>
            <sz val="9"/>
            <rFont val="宋体"/>
            <charset val="134"/>
          </rPr>
          <t xml:space="preserve">
4/7 UPC条码贴纸 15000pcs</t>
        </r>
      </text>
    </comment>
    <comment ref="AI1617" authorId="2">
      <text>
        <r>
          <rPr>
            <b/>
            <sz val="9"/>
            <rFont val="宋体"/>
            <charset val="0"/>
          </rPr>
          <t>石玉珍:</t>
        </r>
        <r>
          <rPr>
            <sz val="9"/>
            <rFont val="宋体"/>
            <charset val="0"/>
          </rPr>
          <t xml:space="preserve">
2201022 7/1 3848pcs</t>
        </r>
      </text>
    </comment>
    <comment ref="AI1618" authorId="2">
      <text>
        <r>
          <rPr>
            <b/>
            <sz val="9"/>
            <rFont val="宋体"/>
            <charset val="0"/>
          </rPr>
          <t>石玉珍:</t>
        </r>
        <r>
          <rPr>
            <sz val="9"/>
            <rFont val="宋体"/>
            <charset val="0"/>
          </rPr>
          <t xml:space="preserve">
2201013 6/30 3750pcs</t>
        </r>
      </text>
    </comment>
    <comment ref="AL1618" authorId="2">
      <text>
        <r>
          <rPr>
            <b/>
            <sz val="9"/>
            <rFont val="宋体"/>
            <charset val="0"/>
          </rPr>
          <t>石玉珍:</t>
        </r>
        <r>
          <rPr>
            <sz val="9"/>
            <rFont val="宋体"/>
            <charset val="0"/>
          </rPr>
          <t xml:space="preserve">
6/16 产品条码贴纸 3750pcs</t>
        </r>
        <r>
          <rPr>
            <b/>
            <sz val="9"/>
            <rFont val="宋体"/>
            <charset val="0"/>
          </rPr>
          <t xml:space="preserve">
石玉珍:</t>
        </r>
        <r>
          <rPr>
            <sz val="9"/>
            <rFont val="宋体"/>
            <charset val="0"/>
          </rPr>
          <t xml:space="preserve">
6/22 PDQ 底部贴纸 150pcs</t>
        </r>
      </text>
    </comment>
    <comment ref="AI1619" authorId="2">
      <text>
        <r>
          <rPr>
            <b/>
            <sz val="9"/>
            <rFont val="宋体"/>
            <charset val="0"/>
          </rPr>
          <t>石玉珍:</t>
        </r>
        <r>
          <rPr>
            <sz val="9"/>
            <rFont val="宋体"/>
            <charset val="0"/>
          </rPr>
          <t xml:space="preserve">
2201029 7/1 5004pcs</t>
        </r>
      </text>
    </comment>
    <comment ref="AL1619" authorId="2">
      <text>
        <r>
          <rPr>
            <b/>
            <sz val="9"/>
            <rFont val="宋体"/>
            <charset val="0"/>
          </rPr>
          <t>石玉珍:</t>
        </r>
        <r>
          <rPr>
            <sz val="9"/>
            <rFont val="宋体"/>
            <charset val="0"/>
          </rPr>
          <t xml:space="preserve">
6/10 客供价格贴纸 500pcs</t>
        </r>
      </text>
    </comment>
    <comment ref="AI1620" authorId="2">
      <text>
        <r>
          <rPr>
            <b/>
            <sz val="9"/>
            <rFont val="宋体"/>
            <charset val="0"/>
          </rPr>
          <t>石玉珍:</t>
        </r>
        <r>
          <rPr>
            <sz val="9"/>
            <rFont val="宋体"/>
            <charset val="0"/>
          </rPr>
          <t xml:space="preserve">
2201218 7/6 16380pcs</t>
        </r>
        <r>
          <rPr>
            <b/>
            <sz val="9"/>
            <rFont val="宋体"/>
            <charset val="0"/>
          </rPr>
          <t xml:space="preserve">
石玉珍:</t>
        </r>
        <r>
          <rPr>
            <sz val="9"/>
            <rFont val="宋体"/>
            <charset val="0"/>
          </rPr>
          <t xml:space="preserve">
2201219 7/6 18980pcs</t>
        </r>
      </text>
    </comment>
    <comment ref="AL1620" authorId="2">
      <text>
        <r>
          <rPr>
            <b/>
            <sz val="9"/>
            <rFont val="宋体"/>
            <charset val="0"/>
          </rPr>
          <t>石玉珍:</t>
        </r>
        <r>
          <rPr>
            <sz val="9"/>
            <rFont val="宋体"/>
            <charset val="0"/>
          </rPr>
          <t xml:space="preserve">
6/23 价格贴纸  35360pcs</t>
        </r>
        <r>
          <rPr>
            <b/>
            <sz val="9"/>
            <rFont val="宋体"/>
            <charset val="0"/>
          </rPr>
          <t xml:space="preserve">
石玉珍:</t>
        </r>
        <r>
          <rPr>
            <sz val="9"/>
            <rFont val="宋体"/>
            <charset val="0"/>
          </rPr>
          <t xml:space="preserve">
外箱条码贴纸 1360pcs</t>
        </r>
      </text>
    </comment>
    <comment ref="AI1621" authorId="2">
      <text>
        <r>
          <rPr>
            <b/>
            <sz val="9"/>
            <rFont val="宋体"/>
            <charset val="0"/>
          </rPr>
          <t>石玉珍:</t>
        </r>
        <r>
          <rPr>
            <sz val="9"/>
            <rFont val="宋体"/>
            <charset val="0"/>
          </rPr>
          <t xml:space="preserve">
2201184 7/2 520pcs</t>
        </r>
      </text>
    </comment>
    <comment ref="AI1622" authorId="2">
      <text>
        <r>
          <rPr>
            <b/>
            <sz val="9"/>
            <rFont val="宋体"/>
            <charset val="0"/>
          </rPr>
          <t>石玉珍:</t>
        </r>
        <r>
          <rPr>
            <sz val="9"/>
            <rFont val="宋体"/>
            <charset val="0"/>
          </rPr>
          <t xml:space="preserve">
1600561 7/2 120pcs</t>
        </r>
      </text>
    </comment>
    <comment ref="AL1622" authorId="2">
      <text>
        <r>
          <rPr>
            <b/>
            <sz val="9"/>
            <rFont val="宋体"/>
            <charset val="0"/>
          </rPr>
          <t>石玉珍:</t>
        </r>
        <r>
          <rPr>
            <sz val="9"/>
            <rFont val="宋体"/>
            <charset val="0"/>
          </rPr>
          <t xml:space="preserve">
6/10 客供价格贴纸 120pcs</t>
        </r>
      </text>
    </comment>
    <comment ref="AI1623" authorId="2">
      <text>
        <r>
          <rPr>
            <b/>
            <sz val="9"/>
            <rFont val="宋体"/>
            <charset val="0"/>
          </rPr>
          <t>石玉珍:</t>
        </r>
        <r>
          <rPr>
            <sz val="9"/>
            <rFont val="宋体"/>
            <charset val="0"/>
          </rPr>
          <t xml:space="preserve">
1600561 7/2 1544pcs</t>
        </r>
      </text>
    </comment>
    <comment ref="AL1623" authorId="2">
      <text>
        <r>
          <rPr>
            <b/>
            <sz val="9"/>
            <rFont val="宋体"/>
            <charset val="0"/>
          </rPr>
          <t>石玉珍:</t>
        </r>
        <r>
          <rPr>
            <sz val="9"/>
            <rFont val="宋体"/>
            <charset val="0"/>
          </rPr>
          <t xml:space="preserve">
6/10 客供价格贴纸 1544pcs</t>
        </r>
      </text>
    </comment>
    <comment ref="AI1624" authorId="2">
      <text>
        <r>
          <rPr>
            <b/>
            <sz val="9"/>
            <rFont val="宋体"/>
            <charset val="0"/>
          </rPr>
          <t>石玉珍:</t>
        </r>
        <r>
          <rPr>
            <sz val="9"/>
            <rFont val="宋体"/>
            <charset val="0"/>
          </rPr>
          <t xml:space="preserve">
1600579 7/1 720pcs</t>
        </r>
        <r>
          <rPr>
            <b/>
            <sz val="9"/>
            <rFont val="宋体"/>
            <charset val="0"/>
          </rPr>
          <t xml:space="preserve">
石玉珍:</t>
        </r>
        <r>
          <rPr>
            <sz val="9"/>
            <rFont val="宋体"/>
            <charset val="0"/>
          </rPr>
          <t xml:space="preserve">
 1600581 7/2 16pcs</t>
        </r>
      </text>
    </comment>
    <comment ref="AL1624" authorId="2">
      <text>
        <r>
          <rPr>
            <b/>
            <sz val="9"/>
            <rFont val="宋体"/>
            <charset val="0"/>
          </rPr>
          <t>石玉珍:</t>
        </r>
        <r>
          <rPr>
            <sz val="9"/>
            <rFont val="宋体"/>
            <charset val="0"/>
          </rPr>
          <t xml:space="preserve">
6/10 客供价格贴纸 736pcs</t>
        </r>
      </text>
    </comment>
    <comment ref="AI1625" authorId="2">
      <text>
        <r>
          <rPr>
            <b/>
            <sz val="9"/>
            <rFont val="宋体"/>
            <charset val="0"/>
          </rPr>
          <t>石玉珍:</t>
        </r>
        <r>
          <rPr>
            <sz val="9"/>
            <rFont val="宋体"/>
            <charset val="0"/>
          </rPr>
          <t xml:space="preserve">
2201184 7/2 1560pcs</t>
        </r>
      </text>
    </comment>
    <comment ref="AL1625" authorId="2">
      <text>
        <r>
          <rPr>
            <b/>
            <sz val="9"/>
            <rFont val="宋体"/>
            <charset val="0"/>
          </rPr>
          <t>石玉珍:</t>
        </r>
        <r>
          <rPr>
            <sz val="9"/>
            <rFont val="宋体"/>
            <charset val="0"/>
          </rPr>
          <t xml:space="preserve">
6/11 UPC条码贴纸 1560pcs</t>
        </r>
      </text>
    </comment>
    <comment ref="AI1626" authorId="2">
      <text>
        <r>
          <rPr>
            <b/>
            <sz val="9"/>
            <rFont val="宋体"/>
            <charset val="0"/>
          </rPr>
          <t>石玉珍:</t>
        </r>
        <r>
          <rPr>
            <sz val="9"/>
            <rFont val="宋体"/>
            <charset val="0"/>
          </rPr>
          <t xml:space="preserve">
 2201201 7/3 200pcs</t>
        </r>
      </text>
    </comment>
    <comment ref="AI1627" authorId="2">
      <text>
        <r>
          <rPr>
            <b/>
            <sz val="9"/>
            <rFont val="宋体"/>
            <charset val="0"/>
          </rPr>
          <t>石玉珍:</t>
        </r>
        <r>
          <rPr>
            <sz val="9"/>
            <rFont val="宋体"/>
            <charset val="0"/>
          </rPr>
          <t xml:space="preserve">
2201230 7/6 1500pcs</t>
        </r>
      </text>
    </comment>
    <comment ref="AI1628" authorId="2">
      <text>
        <r>
          <rPr>
            <b/>
            <sz val="9"/>
            <rFont val="宋体"/>
            <charset val="0"/>
          </rPr>
          <t>石玉珍:</t>
        </r>
        <r>
          <rPr>
            <sz val="9"/>
            <rFont val="宋体"/>
            <charset val="0"/>
          </rPr>
          <t xml:space="preserve">
2201218 7/6 510pcs</t>
        </r>
      </text>
    </comment>
    <comment ref="AI1629" authorId="2">
      <text>
        <r>
          <rPr>
            <b/>
            <sz val="9"/>
            <rFont val="宋体"/>
            <charset val="0"/>
          </rPr>
          <t>石玉珍:</t>
        </r>
        <r>
          <rPr>
            <sz val="9"/>
            <rFont val="宋体"/>
            <charset val="0"/>
          </rPr>
          <t xml:space="preserve">
2201201 7/3 7848pcs</t>
        </r>
      </text>
    </comment>
    <comment ref="AL1629" authorId="2">
      <text>
        <r>
          <rPr>
            <b/>
            <sz val="9"/>
            <rFont val="宋体"/>
            <charset val="0"/>
          </rPr>
          <t>石玉珍:</t>
        </r>
        <r>
          <rPr>
            <sz val="9"/>
            <rFont val="宋体"/>
            <charset val="0"/>
          </rPr>
          <t xml:space="preserve">
6/16  客供防盗贴纸  7848pcs</t>
        </r>
        <r>
          <rPr>
            <b/>
            <sz val="9"/>
            <rFont val="宋体"/>
            <charset val="0"/>
          </rPr>
          <t xml:space="preserve">
石玉珍:</t>
        </r>
        <r>
          <rPr>
            <sz val="9"/>
            <rFont val="宋体"/>
            <charset val="0"/>
          </rPr>
          <t xml:space="preserve">
6/17 彩色产品贴纸 2616pcs</t>
        </r>
      </text>
    </comment>
    <comment ref="AI1630" authorId="2">
      <text>
        <r>
          <rPr>
            <b/>
            <sz val="9"/>
            <rFont val="宋体"/>
            <charset val="0"/>
          </rPr>
          <t>石玉珍:</t>
        </r>
        <r>
          <rPr>
            <sz val="9"/>
            <rFont val="宋体"/>
            <charset val="0"/>
          </rPr>
          <t xml:space="preserve">
2201226 7/6 728PCS</t>
        </r>
      </text>
    </comment>
    <comment ref="AL1630" authorId="2">
      <text>
        <r>
          <rPr>
            <b/>
            <sz val="9"/>
            <rFont val="宋体"/>
            <charset val="0"/>
          </rPr>
          <t>石玉珍:</t>
        </r>
        <r>
          <rPr>
            <sz val="9"/>
            <rFont val="宋体"/>
            <charset val="0"/>
          </rPr>
          <t xml:space="preserve">
6/23 德语警语贴纸 728pcs</t>
        </r>
      </text>
    </comment>
    <comment ref="AI1631" authorId="2">
      <text>
        <r>
          <rPr>
            <b/>
            <sz val="9"/>
            <rFont val="宋体"/>
            <charset val="0"/>
          </rPr>
          <t>石玉珍:</t>
        </r>
        <r>
          <rPr>
            <sz val="9"/>
            <rFont val="宋体"/>
            <charset val="0"/>
          </rPr>
          <t xml:space="preserve">
2201201 7/3 2000pcs</t>
        </r>
      </text>
    </comment>
    <comment ref="AL1631" authorId="2">
      <text>
        <r>
          <rPr>
            <b/>
            <sz val="9"/>
            <rFont val="宋体"/>
            <charset val="0"/>
          </rPr>
          <t>石玉珍:</t>
        </r>
        <r>
          <rPr>
            <sz val="9"/>
            <rFont val="宋体"/>
            <charset val="0"/>
          </rPr>
          <t xml:space="preserve">
6/17 挪威语警语贴纸 2000pcs</t>
        </r>
      </text>
    </comment>
    <comment ref="AI1632" authorId="2">
      <text>
        <r>
          <rPr>
            <b/>
            <sz val="9"/>
            <rFont val="宋体"/>
            <charset val="0"/>
          </rPr>
          <t>石玉珍:</t>
        </r>
        <r>
          <rPr>
            <sz val="9"/>
            <rFont val="宋体"/>
            <charset val="0"/>
          </rPr>
          <t xml:space="preserve">
 2201201 7/3 143pcs</t>
        </r>
      </text>
    </comment>
    <comment ref="AL1632" authorId="2">
      <text>
        <r>
          <rPr>
            <b/>
            <sz val="9"/>
            <rFont val="宋体"/>
            <charset val="0"/>
          </rPr>
          <t>石玉珍:</t>
        </r>
        <r>
          <rPr>
            <sz val="9"/>
            <rFont val="宋体"/>
            <charset val="0"/>
          </rPr>
          <t xml:space="preserve">
6/23 进口商贴纸 143pcs</t>
        </r>
      </text>
    </comment>
    <comment ref="AI1633" authorId="2">
      <text>
        <r>
          <rPr>
            <b/>
            <sz val="9"/>
            <rFont val="宋体"/>
            <charset val="0"/>
          </rPr>
          <t>石玉珍:</t>
        </r>
        <r>
          <rPr>
            <sz val="9"/>
            <rFont val="宋体"/>
            <charset val="0"/>
          </rPr>
          <t xml:space="preserve">
2201200 7/3 144pcs</t>
        </r>
      </text>
    </comment>
    <comment ref="AL1633" authorId="2">
      <text>
        <r>
          <rPr>
            <b/>
            <sz val="9"/>
            <rFont val="宋体"/>
            <charset val="0"/>
          </rPr>
          <t>石玉珍:</t>
        </r>
        <r>
          <rPr>
            <sz val="9"/>
            <rFont val="宋体"/>
            <charset val="0"/>
          </rPr>
          <t xml:space="preserve">
6/23 PDQ折页 24pcs
WIC 贴纸 144pcs</t>
        </r>
      </text>
    </comment>
    <comment ref="AI1634" authorId="2">
      <text>
        <r>
          <rPr>
            <b/>
            <sz val="9"/>
            <rFont val="宋体"/>
            <charset val="0"/>
          </rPr>
          <t>石玉珍:</t>
        </r>
        <r>
          <rPr>
            <sz val="9"/>
            <rFont val="宋体"/>
            <charset val="0"/>
          </rPr>
          <t xml:space="preserve">
2201200 7/3 210pcs</t>
        </r>
      </text>
    </comment>
    <comment ref="AL1634" authorId="2">
      <text>
        <r>
          <rPr>
            <b/>
            <sz val="9"/>
            <rFont val="宋体"/>
            <charset val="0"/>
          </rPr>
          <t>石玉珍:</t>
        </r>
        <r>
          <rPr>
            <sz val="9"/>
            <rFont val="宋体"/>
            <charset val="0"/>
          </rPr>
          <t xml:space="preserve">
6/23 PDQ折页 35pcs
WIC 贴纸 210pcs</t>
        </r>
      </text>
    </comment>
    <comment ref="AI1635" authorId="2">
      <text>
        <r>
          <rPr>
            <b/>
            <sz val="9"/>
            <rFont val="宋体"/>
            <charset val="0"/>
          </rPr>
          <t>石玉珍:</t>
        </r>
        <r>
          <rPr>
            <sz val="9"/>
            <rFont val="宋体"/>
            <charset val="0"/>
          </rPr>
          <t xml:space="preserve">
2201200 7/3 240pcs</t>
        </r>
      </text>
    </comment>
    <comment ref="AL1635" authorId="2">
      <text>
        <r>
          <rPr>
            <b/>
            <sz val="9"/>
            <rFont val="宋体"/>
            <charset val="0"/>
          </rPr>
          <t>石玉珍:</t>
        </r>
        <r>
          <rPr>
            <sz val="9"/>
            <rFont val="宋体"/>
            <charset val="0"/>
          </rPr>
          <t xml:space="preserve">
6/23 PDQ折页 40pcs
WIC 贴纸 240pcs</t>
        </r>
      </text>
    </comment>
    <comment ref="AI1636" authorId="2">
      <text>
        <r>
          <rPr>
            <b/>
            <sz val="9"/>
            <rFont val="宋体"/>
            <charset val="0"/>
          </rPr>
          <t>石玉珍:</t>
        </r>
        <r>
          <rPr>
            <sz val="9"/>
            <rFont val="宋体"/>
            <charset val="0"/>
          </rPr>
          <t xml:space="preserve">
2201200 7/3 540pcs</t>
        </r>
      </text>
    </comment>
    <comment ref="AL1636" authorId="2">
      <text>
        <r>
          <rPr>
            <b/>
            <sz val="9"/>
            <rFont val="宋体"/>
            <charset val="0"/>
          </rPr>
          <t>石玉珍:</t>
        </r>
        <r>
          <rPr>
            <sz val="9"/>
            <rFont val="宋体"/>
            <charset val="0"/>
          </rPr>
          <t xml:space="preserve">
6/23 PDQ折页 90pcs
WIC 贴纸 540pcs</t>
        </r>
      </text>
    </comment>
    <comment ref="AI1637" authorId="2">
      <text>
        <r>
          <rPr>
            <b/>
            <sz val="9"/>
            <rFont val="宋体"/>
            <charset val="0"/>
          </rPr>
          <t>石玉珍:</t>
        </r>
        <r>
          <rPr>
            <sz val="9"/>
            <rFont val="宋体"/>
            <charset val="0"/>
          </rPr>
          <t xml:space="preserve">
2201200 7/3 18pcs</t>
        </r>
      </text>
    </comment>
    <comment ref="AL1637" authorId="2">
      <text>
        <r>
          <rPr>
            <b/>
            <sz val="9"/>
            <rFont val="宋体"/>
            <charset val="0"/>
          </rPr>
          <t>石玉珍:</t>
        </r>
        <r>
          <rPr>
            <sz val="9"/>
            <rFont val="宋体"/>
            <charset val="0"/>
          </rPr>
          <t xml:space="preserve">
6/23 PDQ折页 3pcs
WIC 贴纸 18pcs</t>
        </r>
      </text>
    </comment>
    <comment ref="AI1638" authorId="2">
      <text>
        <r>
          <rPr>
            <b/>
            <sz val="9"/>
            <rFont val="宋体"/>
            <charset val="0"/>
          </rPr>
          <t>石玉珍:</t>
        </r>
        <r>
          <rPr>
            <sz val="9"/>
            <rFont val="宋体"/>
            <charset val="0"/>
          </rPr>
          <t xml:space="preserve">
2201200 7/3 408pcs</t>
        </r>
      </text>
    </comment>
    <comment ref="AL1638" authorId="2">
      <text>
        <r>
          <rPr>
            <b/>
            <sz val="9"/>
            <rFont val="宋体"/>
            <charset val="0"/>
          </rPr>
          <t>石玉珍:</t>
        </r>
        <r>
          <rPr>
            <sz val="9"/>
            <rFont val="宋体"/>
            <charset val="0"/>
          </rPr>
          <t xml:space="preserve">
6/23 PDQ折页 68pcs
WIC 贴纸 408pcs</t>
        </r>
      </text>
    </comment>
    <comment ref="AI1639" authorId="2">
      <text>
        <r>
          <rPr>
            <b/>
            <sz val="9"/>
            <rFont val="宋体"/>
            <charset val="0"/>
          </rPr>
          <t>石玉珍:</t>
        </r>
        <r>
          <rPr>
            <sz val="9"/>
            <rFont val="宋体"/>
            <charset val="0"/>
          </rPr>
          <t xml:space="preserve">
2201200 7/3 348pcs</t>
        </r>
      </text>
    </comment>
    <comment ref="AL1639" authorId="2">
      <text>
        <r>
          <rPr>
            <b/>
            <sz val="9"/>
            <rFont val="宋体"/>
            <charset val="0"/>
          </rPr>
          <t>石玉珍:</t>
        </r>
        <r>
          <rPr>
            <sz val="9"/>
            <rFont val="宋体"/>
            <charset val="0"/>
          </rPr>
          <t xml:space="preserve">
6/23 PDQ折页 58pcs
WIC 贴纸 348pcs</t>
        </r>
      </text>
    </comment>
    <comment ref="AI1640" authorId="2">
      <text>
        <r>
          <rPr>
            <b/>
            <sz val="9"/>
            <rFont val="宋体"/>
            <charset val="0"/>
          </rPr>
          <t>石玉珍:</t>
        </r>
        <r>
          <rPr>
            <sz val="9"/>
            <rFont val="宋体"/>
            <charset val="0"/>
          </rPr>
          <t xml:space="preserve">
2201200 7/3 126pcs</t>
        </r>
      </text>
    </comment>
    <comment ref="AL1640" authorId="2">
      <text>
        <r>
          <rPr>
            <b/>
            <sz val="9"/>
            <rFont val="宋体"/>
            <charset val="0"/>
          </rPr>
          <t>石玉珍:</t>
        </r>
        <r>
          <rPr>
            <sz val="9"/>
            <rFont val="宋体"/>
            <charset val="0"/>
          </rPr>
          <t xml:space="preserve">
6/23 PDQ折页 21pcs
WIC 贴纸 126pcs</t>
        </r>
      </text>
    </comment>
    <comment ref="AI1641" authorId="2">
      <text>
        <r>
          <rPr>
            <b/>
            <sz val="9"/>
            <rFont val="宋体"/>
            <charset val="0"/>
          </rPr>
          <t>石玉珍:</t>
        </r>
        <r>
          <rPr>
            <sz val="9"/>
            <rFont val="宋体"/>
            <charset val="0"/>
          </rPr>
          <t xml:space="preserve">
 2201201 7/3 2500pcs</t>
        </r>
      </text>
    </comment>
    <comment ref="AL1641" authorId="2">
      <text>
        <r>
          <rPr>
            <b/>
            <sz val="9"/>
            <rFont val="宋体"/>
            <charset val="0"/>
          </rPr>
          <t>石玉珍:</t>
        </r>
        <r>
          <rPr>
            <sz val="9"/>
            <rFont val="宋体"/>
            <charset val="0"/>
          </rPr>
          <t xml:space="preserve">
5/29 进口商贴纸 2500pcs
UPC贴纸 2500pcs</t>
        </r>
        <r>
          <rPr>
            <b/>
            <sz val="9"/>
            <rFont val="宋体"/>
            <charset val="0"/>
          </rPr>
          <t xml:space="preserve">
石玉珍:</t>
        </r>
        <r>
          <rPr>
            <sz val="9"/>
            <rFont val="宋体"/>
            <charset val="0"/>
          </rPr>
          <t xml:space="preserve">
6/22 客供价格贴纸 2500pcs</t>
        </r>
      </text>
    </comment>
    <comment ref="AI1642" authorId="2">
      <text>
        <r>
          <rPr>
            <b/>
            <sz val="9"/>
            <rFont val="宋体"/>
            <charset val="0"/>
          </rPr>
          <t>石玉珍:</t>
        </r>
        <r>
          <rPr>
            <sz val="9"/>
            <rFont val="宋体"/>
            <charset val="0"/>
          </rPr>
          <t xml:space="preserve">
2201187 7/2 2000pcs</t>
        </r>
      </text>
    </comment>
    <comment ref="AL1642" authorId="2">
      <text>
        <r>
          <rPr>
            <b/>
            <sz val="9"/>
            <rFont val="宋体"/>
            <charset val="0"/>
          </rPr>
          <t>石玉珍:</t>
        </r>
        <r>
          <rPr>
            <sz val="9"/>
            <rFont val="宋体"/>
            <charset val="0"/>
          </rPr>
          <t xml:space="preserve">
5/28 进口商贴纸 2000pcs
UPC贴纸 2000pcs</t>
        </r>
        <r>
          <rPr>
            <b/>
            <sz val="9"/>
            <rFont val="宋体"/>
            <charset val="0"/>
          </rPr>
          <t xml:space="preserve">
石玉珍:</t>
        </r>
        <r>
          <rPr>
            <sz val="9"/>
            <rFont val="宋体"/>
            <charset val="0"/>
          </rPr>
          <t xml:space="preserve">
6/22 客供价格贴纸 2000pcs</t>
        </r>
      </text>
    </comment>
    <comment ref="AI1643" authorId="2">
      <text>
        <r>
          <rPr>
            <b/>
            <sz val="9"/>
            <rFont val="宋体"/>
            <charset val="0"/>
          </rPr>
          <t>石玉珍:</t>
        </r>
        <r>
          <rPr>
            <sz val="9"/>
            <rFont val="宋体"/>
            <charset val="0"/>
          </rPr>
          <t xml:space="preserve">
2201210 7/3 12480pcs</t>
        </r>
      </text>
    </comment>
    <comment ref="AL1643" authorId="2">
      <text>
        <r>
          <rPr>
            <b/>
            <sz val="9"/>
            <rFont val="宋体"/>
            <charset val="0"/>
          </rPr>
          <t>石玉珍:</t>
        </r>
        <r>
          <rPr>
            <sz val="9"/>
            <rFont val="宋体"/>
            <charset val="0"/>
          </rPr>
          <t xml:space="preserve">
6/18 客供RFID贴纸 12480pcs</t>
        </r>
      </text>
    </comment>
    <comment ref="AI1644" authorId="2">
      <text>
        <r>
          <rPr>
            <b/>
            <sz val="9"/>
            <rFont val="宋体"/>
            <charset val="0"/>
          </rPr>
          <t>石玉珍:</t>
        </r>
        <r>
          <rPr>
            <sz val="9"/>
            <rFont val="宋体"/>
            <charset val="0"/>
          </rPr>
          <t xml:space="preserve">
2201210 7/3 6720pcs</t>
        </r>
      </text>
    </comment>
    <comment ref="AL1644" authorId="2">
      <text>
        <r>
          <rPr>
            <b/>
            <sz val="9"/>
            <rFont val="宋体"/>
            <charset val="0"/>
          </rPr>
          <t>石玉珍:</t>
        </r>
        <r>
          <rPr>
            <sz val="9"/>
            <rFont val="宋体"/>
            <charset val="0"/>
          </rPr>
          <t xml:space="preserve">
6/18 客供RFID贴纸 6720pcs</t>
        </r>
      </text>
    </comment>
    <comment ref="AI1645" authorId="2">
      <text>
        <r>
          <rPr>
            <b/>
            <sz val="9"/>
            <rFont val="宋体"/>
            <charset val="0"/>
          </rPr>
          <t>石玉珍:</t>
        </r>
        <r>
          <rPr>
            <sz val="9"/>
            <rFont val="宋体"/>
            <charset val="0"/>
          </rPr>
          <t xml:space="preserve">
 2201215 7/4 6720pcs</t>
        </r>
      </text>
    </comment>
    <comment ref="AL1645" authorId="2">
      <text>
        <r>
          <rPr>
            <b/>
            <sz val="9"/>
            <rFont val="宋体"/>
            <charset val="0"/>
          </rPr>
          <t>石玉珍:</t>
        </r>
        <r>
          <rPr>
            <sz val="9"/>
            <rFont val="宋体"/>
            <charset val="0"/>
          </rPr>
          <t xml:space="preserve">
6/18 客供RFID贴纸 6720pcs</t>
        </r>
      </text>
    </comment>
    <comment ref="AI1646" authorId="2">
      <text>
        <r>
          <rPr>
            <b/>
            <sz val="9"/>
            <rFont val="宋体"/>
            <charset val="0"/>
          </rPr>
          <t>石玉珍:</t>
        </r>
        <r>
          <rPr>
            <sz val="9"/>
            <rFont val="宋体"/>
            <charset val="0"/>
          </rPr>
          <t xml:space="preserve">
 2201215 7/4 8640pcs</t>
        </r>
      </text>
    </comment>
    <comment ref="AL1646" authorId="2">
      <text>
        <r>
          <rPr>
            <b/>
            <sz val="9"/>
            <rFont val="宋体"/>
            <charset val="0"/>
          </rPr>
          <t>石玉珍:</t>
        </r>
        <r>
          <rPr>
            <sz val="9"/>
            <rFont val="宋体"/>
            <charset val="0"/>
          </rPr>
          <t xml:space="preserve">
6/18 客供RFID贴纸 8640pcs</t>
        </r>
      </text>
    </comment>
    <comment ref="AI1647" authorId="2">
      <text>
        <r>
          <rPr>
            <b/>
            <sz val="9"/>
            <rFont val="宋体"/>
            <charset val="0"/>
          </rPr>
          <t>石玉珍:</t>
        </r>
        <r>
          <rPr>
            <sz val="9"/>
            <rFont val="宋体"/>
            <charset val="0"/>
          </rPr>
          <t xml:space="preserve">
 2201215 7/4 6720pcs</t>
        </r>
      </text>
    </comment>
    <comment ref="AL1647" authorId="2">
      <text>
        <r>
          <rPr>
            <b/>
            <sz val="9"/>
            <rFont val="宋体"/>
            <charset val="0"/>
          </rPr>
          <t>石玉珍:</t>
        </r>
        <r>
          <rPr>
            <sz val="9"/>
            <rFont val="宋体"/>
            <charset val="0"/>
          </rPr>
          <t xml:space="preserve">
6/18 客供RFID贴纸 6720pcs</t>
        </r>
      </text>
    </comment>
    <comment ref="AI1648" authorId="2">
      <text>
        <r>
          <rPr>
            <b/>
            <sz val="9"/>
            <rFont val="宋体"/>
            <charset val="0"/>
          </rPr>
          <t>石玉珍:</t>
        </r>
        <r>
          <rPr>
            <sz val="9"/>
            <rFont val="宋体"/>
            <charset val="0"/>
          </rPr>
          <t xml:space="preserve">
 2201215 7/4 6720pcs</t>
        </r>
      </text>
    </comment>
    <comment ref="AL1648" authorId="2">
      <text>
        <r>
          <rPr>
            <b/>
            <sz val="9"/>
            <rFont val="宋体"/>
            <charset val="0"/>
          </rPr>
          <t>石玉珍:</t>
        </r>
        <r>
          <rPr>
            <sz val="9"/>
            <rFont val="宋体"/>
            <charset val="0"/>
          </rPr>
          <t xml:space="preserve">
6/18 客供RFID贴纸 6720pcs</t>
        </r>
      </text>
    </comment>
    <comment ref="AI1649" authorId="2">
      <text>
        <r>
          <rPr>
            <b/>
            <sz val="9"/>
            <rFont val="宋体"/>
            <charset val="0"/>
          </rPr>
          <t>石玉珍:</t>
        </r>
        <r>
          <rPr>
            <sz val="9"/>
            <rFont val="宋体"/>
            <charset val="0"/>
          </rPr>
          <t xml:space="preserve">
 2201215 7/4 5760pcs</t>
        </r>
      </text>
    </comment>
    <comment ref="AL1649" authorId="2">
      <text>
        <r>
          <rPr>
            <b/>
            <sz val="9"/>
            <rFont val="宋体"/>
            <charset val="0"/>
          </rPr>
          <t>石玉珍:</t>
        </r>
        <r>
          <rPr>
            <sz val="9"/>
            <rFont val="宋体"/>
            <charset val="0"/>
          </rPr>
          <t xml:space="preserve">
6/18 客供RFID贴纸 5760pcs</t>
        </r>
      </text>
    </comment>
    <comment ref="AI1650" authorId="2">
      <text>
        <r>
          <rPr>
            <b/>
            <sz val="9"/>
            <rFont val="宋体"/>
            <charset val="0"/>
          </rPr>
          <t>石玉珍:</t>
        </r>
        <r>
          <rPr>
            <sz val="9"/>
            <rFont val="宋体"/>
            <charset val="0"/>
          </rPr>
          <t xml:space="preserve">
2201187 7/2 1476pcs</t>
        </r>
      </text>
    </comment>
    <comment ref="AL1650" authorId="2">
      <text>
        <r>
          <rPr>
            <b/>
            <sz val="9"/>
            <rFont val="宋体"/>
            <charset val="0"/>
          </rPr>
          <t>石玉珍:</t>
        </r>
        <r>
          <rPr>
            <sz val="9"/>
            <rFont val="宋体"/>
            <charset val="0"/>
          </rPr>
          <t xml:space="preserve">
6/15 价标贴纸 1476pcs</t>
        </r>
        <r>
          <rPr>
            <b/>
            <sz val="9"/>
            <rFont val="宋体"/>
            <charset val="0"/>
          </rPr>
          <t xml:space="preserve">
石玉珍:</t>
        </r>
        <r>
          <rPr>
            <sz val="9"/>
            <rFont val="宋体"/>
            <charset val="0"/>
          </rPr>
          <t xml:space="preserve">
7/15 空白贴纸 1476pcs</t>
        </r>
      </text>
    </comment>
    <comment ref="AI1651" authorId="2">
      <text>
        <r>
          <rPr>
            <b/>
            <sz val="9"/>
            <rFont val="宋体"/>
            <charset val="0"/>
          </rPr>
          <t>石玉珍:</t>
        </r>
        <r>
          <rPr>
            <sz val="9"/>
            <rFont val="宋体"/>
            <charset val="0"/>
          </rPr>
          <t xml:space="preserve">
2201201 7/3 420pcs</t>
        </r>
      </text>
    </comment>
    <comment ref="AL1651" authorId="2">
      <text>
        <r>
          <rPr>
            <b/>
            <sz val="9"/>
            <rFont val="宋体"/>
            <charset val="0"/>
          </rPr>
          <t>石玉珍:</t>
        </r>
        <r>
          <rPr>
            <sz val="9"/>
            <rFont val="宋体"/>
            <charset val="0"/>
          </rPr>
          <t xml:space="preserve">
6/15 价标贴纸 420pcs</t>
        </r>
        <r>
          <rPr>
            <b/>
            <sz val="9"/>
            <rFont val="宋体"/>
            <charset val="0"/>
          </rPr>
          <t xml:space="preserve">
石玉珍:</t>
        </r>
        <r>
          <rPr>
            <sz val="9"/>
            <rFont val="宋体"/>
            <charset val="0"/>
          </rPr>
          <t xml:space="preserve">
7/15 空白贴纸 420pcs</t>
        </r>
      </text>
    </comment>
    <comment ref="AI1652" authorId="2">
      <text>
        <r>
          <rPr>
            <b/>
            <sz val="9"/>
            <rFont val="宋体"/>
            <charset val="0"/>
          </rPr>
          <t>石玉珍:</t>
        </r>
        <r>
          <rPr>
            <sz val="9"/>
            <rFont val="宋体"/>
            <charset val="0"/>
          </rPr>
          <t xml:space="preserve">
2201226 7/6 27040PCS</t>
        </r>
      </text>
    </comment>
    <comment ref="AL1652" authorId="2">
      <text>
        <r>
          <rPr>
            <b/>
            <sz val="9"/>
            <rFont val="宋体"/>
            <charset val="0"/>
          </rPr>
          <t>石玉珍:</t>
        </r>
        <r>
          <rPr>
            <sz val="9"/>
            <rFont val="宋体"/>
            <charset val="0"/>
          </rPr>
          <t xml:space="preserve">
6/23 条码贴纸 27040pcs</t>
        </r>
        <r>
          <rPr>
            <b/>
            <sz val="9"/>
            <rFont val="宋体"/>
            <charset val="0"/>
          </rPr>
          <t xml:space="preserve">
石玉珍:</t>
        </r>
        <r>
          <rPr>
            <sz val="9"/>
            <rFont val="宋体"/>
            <charset val="0"/>
          </rPr>
          <t xml:space="preserve">
6/27 客供防窜码贴纸1拖13 2080pcs</t>
        </r>
      </text>
    </comment>
    <comment ref="AI1653" authorId="2">
      <text>
        <r>
          <rPr>
            <b/>
            <sz val="9"/>
            <rFont val="宋体"/>
            <charset val="0"/>
          </rPr>
          <t>石玉珍:</t>
        </r>
        <r>
          <rPr>
            <sz val="9"/>
            <rFont val="宋体"/>
            <charset val="0"/>
          </rPr>
          <t xml:space="preserve">
1600568 7/6 1200pcs</t>
        </r>
      </text>
    </comment>
    <comment ref="AL1653" authorId="2">
      <text>
        <r>
          <rPr>
            <b/>
            <sz val="9"/>
            <rFont val="宋体"/>
            <charset val="0"/>
          </rPr>
          <t>石玉珍:</t>
        </r>
        <r>
          <rPr>
            <sz val="9"/>
            <rFont val="宋体"/>
            <charset val="0"/>
          </rPr>
          <t xml:space="preserve">
6/23 颜色贴纸 1200pcs
空白贴纸 2400pcs</t>
        </r>
        <r>
          <rPr>
            <b/>
            <sz val="9"/>
            <rFont val="宋体"/>
            <charset val="0"/>
          </rPr>
          <t xml:space="preserve">
石玉珍:</t>
        </r>
        <r>
          <rPr>
            <sz val="9"/>
            <rFont val="宋体"/>
            <charset val="0"/>
          </rPr>
          <t xml:space="preserve">
6/24 3c贴纸 1200pcs</t>
        </r>
        <r>
          <rPr>
            <b/>
            <sz val="9"/>
            <rFont val="宋体"/>
            <charset val="0"/>
          </rPr>
          <t xml:space="preserve">
石玉珍:</t>
        </r>
        <r>
          <rPr>
            <sz val="9"/>
            <rFont val="宋体"/>
            <charset val="0"/>
          </rPr>
          <t xml:space="preserve">
7/14 客供芯片码贴纸 1200pcs</t>
        </r>
      </text>
    </comment>
    <comment ref="AI1654" authorId="2">
      <text>
        <r>
          <rPr>
            <b/>
            <sz val="9"/>
            <rFont val="宋体"/>
            <charset val="0"/>
          </rPr>
          <t>石玉珍:</t>
        </r>
        <r>
          <rPr>
            <sz val="9"/>
            <rFont val="宋体"/>
            <charset val="0"/>
          </rPr>
          <t xml:space="preserve">
2201230 7/6 1275pcs</t>
        </r>
      </text>
    </comment>
    <comment ref="AL1654" authorId="0">
      <text>
        <r>
          <rPr>
            <b/>
            <sz val="9"/>
            <rFont val="宋体"/>
            <charset val="134"/>
          </rPr>
          <t>Administrator:</t>
        </r>
        <r>
          <rPr>
            <sz val="9"/>
            <rFont val="宋体"/>
            <charset val="134"/>
          </rPr>
          <t xml:space="preserve">
5/22 客供亚马逊外箱贴 51pcs</t>
        </r>
      </text>
    </comment>
    <comment ref="AI1655" authorId="2">
      <text>
        <r>
          <rPr>
            <b/>
            <sz val="9"/>
            <rFont val="宋体"/>
            <charset val="0"/>
          </rPr>
          <t>石玉珍:</t>
        </r>
        <r>
          <rPr>
            <sz val="9"/>
            <rFont val="宋体"/>
            <charset val="0"/>
          </rPr>
          <t xml:space="preserve">
2201230 7/6 500pcs</t>
        </r>
      </text>
    </comment>
    <comment ref="AL1655" authorId="2">
      <text>
        <r>
          <rPr>
            <b/>
            <sz val="9"/>
            <rFont val="宋体"/>
            <charset val="0"/>
          </rPr>
          <t>石玉珍:</t>
        </r>
        <r>
          <rPr>
            <sz val="9"/>
            <rFont val="宋体"/>
            <charset val="0"/>
          </rPr>
          <t xml:space="preserve">
7/1 进口商贴纸 500pcs</t>
        </r>
        <r>
          <rPr>
            <b/>
            <sz val="9"/>
            <rFont val="宋体"/>
            <charset val="0"/>
          </rPr>
          <t xml:space="preserve">
石玉珍:</t>
        </r>
        <r>
          <rPr>
            <sz val="9"/>
            <rFont val="宋体"/>
            <charset val="0"/>
          </rPr>
          <t xml:space="preserve">
UPC贴纸 500pcs</t>
        </r>
      </text>
    </comment>
    <comment ref="AI1656" authorId="2">
      <text>
        <r>
          <rPr>
            <b/>
            <sz val="9"/>
            <rFont val="宋体"/>
            <charset val="0"/>
          </rPr>
          <t>石玉珍:</t>
        </r>
        <r>
          <rPr>
            <sz val="9"/>
            <rFont val="宋体"/>
            <charset val="0"/>
          </rPr>
          <t xml:space="preserve">
2201014 6/30 120pcs</t>
        </r>
      </text>
    </comment>
    <comment ref="AL1656" authorId="2">
      <text>
        <r>
          <rPr>
            <b/>
            <sz val="9"/>
            <rFont val="宋体"/>
            <charset val="0"/>
          </rPr>
          <t>石玉珍:</t>
        </r>
        <r>
          <rPr>
            <sz val="9"/>
            <rFont val="宋体"/>
            <charset val="0"/>
          </rPr>
          <t xml:space="preserve">
 6/24 客供亚马逊外箱贴纸 10pcs </t>
        </r>
      </text>
    </comment>
    <comment ref="AI1657" authorId="2">
      <text>
        <r>
          <rPr>
            <b/>
            <sz val="9"/>
            <rFont val="宋体"/>
            <charset val="0"/>
          </rPr>
          <t>石玉珍:</t>
        </r>
        <r>
          <rPr>
            <sz val="9"/>
            <rFont val="宋体"/>
            <charset val="0"/>
          </rPr>
          <t xml:space="preserve">
2201014 6/30 312pcs</t>
        </r>
      </text>
    </comment>
    <comment ref="AL1657" authorId="2">
      <text>
        <r>
          <rPr>
            <b/>
            <sz val="9"/>
            <rFont val="宋体"/>
            <charset val="0"/>
          </rPr>
          <t>石玉珍:</t>
        </r>
        <r>
          <rPr>
            <sz val="9"/>
            <rFont val="宋体"/>
            <charset val="0"/>
          </rPr>
          <t xml:space="preserve">
6/24 客供亚马逊外箱贴纸 26pcs</t>
        </r>
      </text>
    </comment>
    <comment ref="AI1658" authorId="2">
      <text>
        <r>
          <rPr>
            <b/>
            <sz val="9"/>
            <rFont val="宋体"/>
            <charset val="0"/>
          </rPr>
          <t>石玉珍:</t>
        </r>
        <r>
          <rPr>
            <sz val="9"/>
            <rFont val="宋体"/>
            <charset val="0"/>
          </rPr>
          <t xml:space="preserve">
2201014 6/30 648pcs</t>
        </r>
      </text>
    </comment>
    <comment ref="AL1658" authorId="2">
      <text>
        <r>
          <rPr>
            <b/>
            <sz val="9"/>
            <rFont val="宋体"/>
            <charset val="0"/>
          </rPr>
          <t>石玉珍:</t>
        </r>
        <r>
          <rPr>
            <sz val="9"/>
            <rFont val="宋体"/>
            <charset val="0"/>
          </rPr>
          <t xml:space="preserve">
6/24 客供亚马逊外箱贴纸 54pcs</t>
        </r>
      </text>
    </comment>
    <comment ref="AI1659" authorId="2">
      <text>
        <r>
          <rPr>
            <b/>
            <sz val="9"/>
            <rFont val="宋体"/>
            <charset val="0"/>
          </rPr>
          <t>石玉珍:</t>
        </r>
        <r>
          <rPr>
            <sz val="9"/>
            <rFont val="宋体"/>
            <charset val="0"/>
          </rPr>
          <t xml:space="preserve">
2201014 6/30 168pcs</t>
        </r>
      </text>
    </comment>
    <comment ref="AL1659" authorId="2">
      <text>
        <r>
          <rPr>
            <b/>
            <sz val="9"/>
            <rFont val="宋体"/>
            <charset val="0"/>
          </rPr>
          <t>石玉珍:</t>
        </r>
        <r>
          <rPr>
            <sz val="9"/>
            <rFont val="宋体"/>
            <charset val="0"/>
          </rPr>
          <t xml:space="preserve">
6/24 客供亚马逊外箱贴纸 14pcs</t>
        </r>
      </text>
    </comment>
    <comment ref="AI1660" authorId="2">
      <text>
        <r>
          <rPr>
            <b/>
            <sz val="9"/>
            <rFont val="宋体"/>
            <charset val="0"/>
          </rPr>
          <t>石玉珍:</t>
        </r>
        <r>
          <rPr>
            <sz val="9"/>
            <rFont val="宋体"/>
            <charset val="0"/>
          </rPr>
          <t xml:space="preserve">
2201014 6/30 264pcs</t>
        </r>
      </text>
    </comment>
    <comment ref="AL1660" authorId="2">
      <text>
        <r>
          <rPr>
            <b/>
            <sz val="9"/>
            <rFont val="宋体"/>
            <charset val="0"/>
          </rPr>
          <t>石玉珍:</t>
        </r>
        <r>
          <rPr>
            <sz val="9"/>
            <rFont val="宋体"/>
            <charset val="0"/>
          </rPr>
          <t xml:space="preserve">
6/24 客供亚马逊外箱贴纸 22pcs</t>
        </r>
      </text>
    </comment>
    <comment ref="AI1661" authorId="2">
      <text>
        <r>
          <rPr>
            <b/>
            <sz val="9"/>
            <rFont val="宋体"/>
            <charset val="0"/>
          </rPr>
          <t>石玉珍:</t>
        </r>
        <r>
          <rPr>
            <sz val="9"/>
            <rFont val="宋体"/>
            <charset val="0"/>
          </rPr>
          <t xml:space="preserve">
2201014 6/30 204pcs</t>
        </r>
      </text>
    </comment>
    <comment ref="AL1661" authorId="2">
      <text>
        <r>
          <rPr>
            <b/>
            <sz val="9"/>
            <rFont val="宋体"/>
            <charset val="0"/>
          </rPr>
          <t>石玉珍:</t>
        </r>
        <r>
          <rPr>
            <sz val="9"/>
            <rFont val="宋体"/>
            <charset val="0"/>
          </rPr>
          <t xml:space="preserve">
6/24 客供亚马逊外箱贴纸 17pcs</t>
        </r>
      </text>
    </comment>
    <comment ref="AI1662" authorId="2">
      <text>
        <r>
          <rPr>
            <b/>
            <sz val="9"/>
            <rFont val="宋体"/>
            <charset val="0"/>
          </rPr>
          <t>石玉珍:</t>
        </r>
        <r>
          <rPr>
            <sz val="9"/>
            <rFont val="宋体"/>
            <charset val="0"/>
          </rPr>
          <t xml:space="preserve">
2201014 6/30 228pcs</t>
        </r>
      </text>
    </comment>
    <comment ref="AL1662" authorId="2">
      <text>
        <r>
          <rPr>
            <b/>
            <sz val="9"/>
            <rFont val="宋体"/>
            <charset val="0"/>
          </rPr>
          <t>石玉珍:</t>
        </r>
        <r>
          <rPr>
            <sz val="9"/>
            <rFont val="宋体"/>
            <charset val="0"/>
          </rPr>
          <t xml:space="preserve">
6/24 客供亚马逊外箱贴纸 19pcs</t>
        </r>
      </text>
    </comment>
    <comment ref="AI1663" authorId="2">
      <text>
        <r>
          <rPr>
            <b/>
            <sz val="9"/>
            <rFont val="宋体"/>
            <charset val="0"/>
          </rPr>
          <t>石玉珍:</t>
        </r>
        <r>
          <rPr>
            <sz val="9"/>
            <rFont val="宋体"/>
            <charset val="0"/>
          </rPr>
          <t xml:space="preserve">
2201014 6/30 108pcs</t>
        </r>
      </text>
    </comment>
    <comment ref="AL1663" authorId="2">
      <text>
        <r>
          <rPr>
            <b/>
            <sz val="9"/>
            <rFont val="宋体"/>
            <charset val="0"/>
          </rPr>
          <t>石玉珍:</t>
        </r>
        <r>
          <rPr>
            <sz val="9"/>
            <rFont val="宋体"/>
            <charset val="0"/>
          </rPr>
          <t xml:space="preserve">
6/24 客供亚马逊外箱贴纸 9pcs</t>
        </r>
      </text>
    </comment>
    <comment ref="AI1664" authorId="2">
      <text>
        <r>
          <rPr>
            <b/>
            <sz val="9"/>
            <rFont val="宋体"/>
            <charset val="0"/>
          </rPr>
          <t>石玉珍:</t>
        </r>
        <r>
          <rPr>
            <sz val="9"/>
            <rFont val="宋体"/>
            <charset val="0"/>
          </rPr>
          <t xml:space="preserve">
2201014 6/30 312pcs</t>
        </r>
      </text>
    </comment>
    <comment ref="AL1664" authorId="2">
      <text>
        <r>
          <rPr>
            <b/>
            <sz val="9"/>
            <rFont val="宋体"/>
            <charset val="0"/>
          </rPr>
          <t>石玉珍:</t>
        </r>
        <r>
          <rPr>
            <sz val="9"/>
            <rFont val="宋体"/>
            <charset val="0"/>
          </rPr>
          <t xml:space="preserve">
6/24 客供亚马逊外箱贴纸 26pcs</t>
        </r>
      </text>
    </comment>
    <comment ref="AI1665" authorId="2">
      <text>
        <r>
          <rPr>
            <b/>
            <sz val="9"/>
            <rFont val="宋体"/>
            <charset val="0"/>
          </rPr>
          <t>石玉珍:</t>
        </r>
        <r>
          <rPr>
            <sz val="9"/>
            <rFont val="宋体"/>
            <charset val="0"/>
          </rPr>
          <t xml:space="preserve">
2201014 6/30 84pcs</t>
        </r>
      </text>
    </comment>
    <comment ref="AL1665" authorId="2">
      <text>
        <r>
          <rPr>
            <b/>
            <sz val="9"/>
            <rFont val="宋体"/>
            <charset val="0"/>
          </rPr>
          <t>石玉珍:</t>
        </r>
        <r>
          <rPr>
            <sz val="9"/>
            <rFont val="宋体"/>
            <charset val="0"/>
          </rPr>
          <t xml:space="preserve">
6/24 客供亚马逊外箱贴纸 7pcs</t>
        </r>
      </text>
    </comment>
    <comment ref="AI1666" authorId="2">
      <text>
        <r>
          <rPr>
            <b/>
            <sz val="9"/>
            <rFont val="宋体"/>
            <charset val="0"/>
          </rPr>
          <t>石玉珍:</t>
        </r>
        <r>
          <rPr>
            <sz val="9"/>
            <rFont val="宋体"/>
            <charset val="0"/>
          </rPr>
          <t xml:space="preserve">
2201014 6/30 12pcs</t>
        </r>
      </text>
    </comment>
    <comment ref="AI1667" authorId="2">
      <text>
        <r>
          <rPr>
            <b/>
            <sz val="9"/>
            <rFont val="宋体"/>
            <charset val="0"/>
          </rPr>
          <t>石玉珍:</t>
        </r>
        <r>
          <rPr>
            <sz val="9"/>
            <rFont val="宋体"/>
            <charset val="0"/>
          </rPr>
          <t xml:space="preserve">
1600571 7/7 3294pcs</t>
        </r>
        <r>
          <rPr>
            <b/>
            <sz val="9"/>
            <rFont val="宋体"/>
            <charset val="0"/>
          </rPr>
          <t xml:space="preserve">
石玉珍:</t>
        </r>
        <r>
          <rPr>
            <sz val="9"/>
            <rFont val="宋体"/>
            <charset val="0"/>
          </rPr>
          <t xml:space="preserve">
1600547 7/8 306pcs</t>
        </r>
      </text>
    </comment>
    <comment ref="AL1667" authorId="2">
      <text>
        <r>
          <rPr>
            <b/>
            <sz val="9"/>
            <rFont val="宋体"/>
            <charset val="0"/>
          </rPr>
          <t>石玉珍:</t>
        </r>
        <r>
          <rPr>
            <sz val="9"/>
            <rFont val="宋体"/>
            <charset val="0"/>
          </rPr>
          <t xml:space="preserve">
6/12 空白贴纸 7200pcs
条码贴纸 3600pcs
进口商贴纸 3600pcs
产品贴纸3 7200pcs
WEEE说明书纸 3600pcs</t>
        </r>
        <r>
          <rPr>
            <b/>
            <sz val="9"/>
            <rFont val="宋体"/>
            <charset val="0"/>
          </rPr>
          <t xml:space="preserve">
石玉珍:</t>
        </r>
        <r>
          <rPr>
            <sz val="9"/>
            <rFont val="宋体"/>
            <charset val="0"/>
          </rPr>
          <t xml:space="preserve">
6/17 补订产品贴纸 3600pcs</t>
        </r>
      </text>
    </comment>
    <comment ref="AI1668" authorId="2">
      <text>
        <r>
          <rPr>
            <b/>
            <sz val="9"/>
            <rFont val="宋体"/>
            <charset val="0"/>
          </rPr>
          <t>石玉珍:</t>
        </r>
        <r>
          <rPr>
            <sz val="9"/>
            <rFont val="宋体"/>
            <charset val="0"/>
          </rPr>
          <t xml:space="preserve">
2201267 7/9 5425pcs</t>
        </r>
        <r>
          <rPr>
            <b/>
            <sz val="9"/>
            <rFont val="宋体"/>
            <charset val="0"/>
          </rPr>
          <t xml:space="preserve">
石玉珍:</t>
        </r>
        <r>
          <rPr>
            <sz val="9"/>
            <rFont val="宋体"/>
            <charset val="0"/>
          </rPr>
          <t xml:space="preserve">
 2201273 7/9 1125pcs</t>
        </r>
      </text>
    </comment>
    <comment ref="AL1668" authorId="2">
      <text>
        <r>
          <rPr>
            <b/>
            <sz val="9"/>
            <rFont val="宋体"/>
            <charset val="0"/>
          </rPr>
          <t>石玉珍:</t>
        </r>
        <r>
          <rPr>
            <sz val="9"/>
            <rFont val="宋体"/>
            <charset val="0"/>
          </rPr>
          <t xml:space="preserve">
6/29 客供外箱条码贴纸 262pcs</t>
        </r>
      </text>
    </comment>
    <comment ref="AI1669" authorId="2">
      <text>
        <r>
          <rPr>
            <b/>
            <sz val="9"/>
            <rFont val="宋体"/>
            <charset val="0"/>
          </rPr>
          <t>石玉珍:</t>
        </r>
        <r>
          <rPr>
            <sz val="9"/>
            <rFont val="宋体"/>
            <charset val="0"/>
          </rPr>
          <t xml:space="preserve">
1600569 7/7 354pcs</t>
        </r>
        <r>
          <rPr>
            <b/>
            <sz val="9"/>
            <rFont val="宋体"/>
            <charset val="0"/>
          </rPr>
          <t xml:space="preserve">
石玉珍:</t>
        </r>
        <r>
          <rPr>
            <sz val="9"/>
            <rFont val="宋体"/>
            <charset val="0"/>
          </rPr>
          <t xml:space="preserve">
1600547 7/8 6pcs</t>
        </r>
      </text>
    </comment>
    <comment ref="AL1669" authorId="2">
      <text>
        <r>
          <rPr>
            <b/>
            <sz val="9"/>
            <rFont val="宋体"/>
            <charset val="0"/>
          </rPr>
          <t>石玉珍:</t>
        </r>
        <r>
          <rPr>
            <sz val="9"/>
            <rFont val="宋体"/>
            <charset val="0"/>
          </rPr>
          <t xml:space="preserve">
6/18  </t>
        </r>
        <r>
          <rPr>
            <b/>
            <sz val="9"/>
            <rFont val="宋体"/>
            <charset val="0"/>
          </rPr>
          <t xml:space="preserve">
石玉珍:</t>
        </r>
        <r>
          <rPr>
            <sz val="9"/>
            <rFont val="宋体"/>
            <charset val="0"/>
          </rPr>
          <t xml:space="preserve">
7/6 空白贴纸 720pcs</t>
        </r>
      </text>
    </comment>
    <comment ref="AI1670" authorId="2">
      <text>
        <r>
          <rPr>
            <b/>
            <sz val="9"/>
            <rFont val="宋体"/>
            <charset val="0"/>
          </rPr>
          <t>石玉珍:</t>
        </r>
        <r>
          <rPr>
            <sz val="9"/>
            <rFont val="宋体"/>
            <charset val="0"/>
          </rPr>
          <t xml:space="preserve">
2201280 7/9 504pcs</t>
        </r>
      </text>
    </comment>
    <comment ref="AL1670" authorId="2">
      <text>
        <r>
          <rPr>
            <b/>
            <sz val="9"/>
            <rFont val="宋体"/>
            <charset val="0"/>
          </rPr>
          <t>石玉珍:</t>
        </r>
        <r>
          <rPr>
            <sz val="9"/>
            <rFont val="宋体"/>
            <charset val="0"/>
          </rPr>
          <t xml:space="preserve">
6/23 德语警语贴纸 504pcs</t>
        </r>
      </text>
    </comment>
    <comment ref="AI1671" authorId="2">
      <text>
        <r>
          <rPr>
            <b/>
            <sz val="9"/>
            <rFont val="宋体"/>
            <charset val="0"/>
          </rPr>
          <t>石玉珍:</t>
        </r>
        <r>
          <rPr>
            <sz val="9"/>
            <rFont val="宋体"/>
            <charset val="0"/>
          </rPr>
          <t xml:space="preserve">
 2201273 7/9 2100pcs</t>
        </r>
      </text>
    </comment>
    <comment ref="AL1671" authorId="2">
      <text>
        <r>
          <rPr>
            <b/>
            <sz val="9"/>
            <rFont val="宋体"/>
            <charset val="0"/>
          </rPr>
          <t>石玉珍:</t>
        </r>
        <r>
          <rPr>
            <sz val="9"/>
            <rFont val="宋体"/>
            <charset val="0"/>
          </rPr>
          <t xml:space="preserve">
6/26 进口商贴纸 2100pcs</t>
        </r>
        <r>
          <rPr>
            <b/>
            <sz val="9"/>
            <rFont val="宋体"/>
            <charset val="0"/>
          </rPr>
          <t xml:space="preserve">
石玉珍:</t>
        </r>
        <r>
          <rPr>
            <sz val="9"/>
            <rFont val="宋体"/>
            <charset val="0"/>
          </rPr>
          <t xml:space="preserve">
7/4 UPC贴纸 2100pcs</t>
        </r>
      </text>
    </comment>
    <comment ref="AI1672" authorId="2">
      <text>
        <r>
          <rPr>
            <b/>
            <sz val="9"/>
            <rFont val="宋体"/>
            <charset val="0"/>
          </rPr>
          <t>石玉珍:</t>
        </r>
        <r>
          <rPr>
            <sz val="9"/>
            <rFont val="宋体"/>
            <charset val="0"/>
          </rPr>
          <t xml:space="preserve">
2201257 7/8 1404pcs</t>
        </r>
      </text>
    </comment>
    <comment ref="AL1672" authorId="0">
      <text>
        <r>
          <rPr>
            <b/>
            <sz val="9"/>
            <rFont val="宋体"/>
            <charset val="134"/>
          </rPr>
          <t>Administrator:</t>
        </r>
        <r>
          <rPr>
            <sz val="9"/>
            <rFont val="宋体"/>
            <charset val="134"/>
          </rPr>
          <t xml:space="preserve">
5/18 客供价格贴纸 1404pcs
5/22 空白贴纸 订单数*2pcs
</t>
        </r>
      </text>
    </comment>
    <comment ref="AL1673" authorId="0">
      <text>
        <r>
          <rPr>
            <b/>
            <sz val="9"/>
            <rFont val="宋体"/>
            <charset val="134"/>
          </rPr>
          <t>Administrator:</t>
        </r>
        <r>
          <rPr>
            <sz val="9"/>
            <rFont val="宋体"/>
            <charset val="134"/>
          </rPr>
          <t xml:space="preserve">
5/18 客供价格贴纸 1596pcs
5/22 空白贴纸 订单数*2pcs
</t>
        </r>
      </text>
    </comment>
    <comment ref="AI1674" authorId="2">
      <text>
        <r>
          <rPr>
            <b/>
            <sz val="9"/>
            <rFont val="宋体"/>
            <charset val="0"/>
          </rPr>
          <t>石玉珍:</t>
        </r>
        <r>
          <rPr>
            <sz val="9"/>
            <rFont val="宋体"/>
            <charset val="0"/>
          </rPr>
          <t xml:space="preserve">
1600553 7/9 2004pcs</t>
        </r>
      </text>
    </comment>
    <comment ref="AL1674" authorId="2">
      <text>
        <r>
          <rPr>
            <b/>
            <sz val="9"/>
            <rFont val="宋体"/>
            <charset val="0"/>
          </rPr>
          <t>石玉珍:</t>
        </r>
        <r>
          <rPr>
            <sz val="9"/>
            <rFont val="宋体"/>
            <charset val="0"/>
          </rPr>
          <t xml:space="preserve">
6/10 客供价格贴纸 2004pcs</t>
        </r>
      </text>
    </comment>
    <comment ref="AI1675" authorId="2">
      <text>
        <r>
          <rPr>
            <b/>
            <sz val="9"/>
            <rFont val="宋体"/>
            <charset val="0"/>
          </rPr>
          <t>石玉珍:</t>
        </r>
        <r>
          <rPr>
            <sz val="9"/>
            <rFont val="宋体"/>
            <charset val="0"/>
          </rPr>
          <t xml:space="preserve">
1600553 7/9 2004pcs</t>
        </r>
      </text>
    </comment>
    <comment ref="AL1675" authorId="2">
      <text>
        <r>
          <rPr>
            <b/>
            <sz val="9"/>
            <rFont val="宋体"/>
            <charset val="0"/>
          </rPr>
          <t>石玉珍:</t>
        </r>
        <r>
          <rPr>
            <sz val="9"/>
            <rFont val="宋体"/>
            <charset val="0"/>
          </rPr>
          <t xml:space="preserve">
6/10 客供价格贴纸 2004pcs</t>
        </r>
      </text>
    </comment>
    <comment ref="AI1676" authorId="2">
      <text>
        <r>
          <rPr>
            <b/>
            <sz val="9"/>
            <rFont val="宋体"/>
            <charset val="0"/>
          </rPr>
          <t>石玉珍:</t>
        </r>
        <r>
          <rPr>
            <sz val="9"/>
            <rFont val="宋体"/>
            <charset val="0"/>
          </rPr>
          <t xml:space="preserve">
2201280 7/9 600pcs</t>
        </r>
      </text>
    </comment>
    <comment ref="AL1676" authorId="2">
      <text>
        <r>
          <rPr>
            <b/>
            <sz val="9"/>
            <rFont val="宋体"/>
            <charset val="0"/>
          </rPr>
          <t>石玉珍:</t>
        </r>
        <r>
          <rPr>
            <sz val="9"/>
            <rFont val="宋体"/>
            <charset val="0"/>
          </rPr>
          <t xml:space="preserve">
6/11 丹麦瑞典芬兰挪威警告语贴纸 600pcs</t>
        </r>
        <r>
          <rPr>
            <b/>
            <sz val="9"/>
            <rFont val="宋体"/>
            <charset val="0"/>
          </rPr>
          <t xml:space="preserve">
石玉珍:</t>
        </r>
        <r>
          <rPr>
            <sz val="9"/>
            <rFont val="宋体"/>
            <charset val="0"/>
          </rPr>
          <t xml:space="preserve">
大语警告语贴5 600pcs</t>
        </r>
        <r>
          <rPr>
            <b/>
            <sz val="9"/>
            <rFont val="宋体"/>
            <charset val="0"/>
          </rPr>
          <t xml:space="preserve">
石玉珍:</t>
        </r>
        <r>
          <rPr>
            <sz val="9"/>
            <rFont val="宋体"/>
            <charset val="0"/>
          </rPr>
          <t xml:space="preserve">
小语警告语贴 4200pcs
</t>
        </r>
      </text>
    </comment>
    <comment ref="AI1677" authorId="2">
      <text>
        <r>
          <rPr>
            <b/>
            <sz val="9"/>
            <rFont val="宋体"/>
            <charset val="0"/>
          </rPr>
          <t>石玉珍:</t>
        </r>
        <r>
          <rPr>
            <sz val="9"/>
            <rFont val="宋体"/>
            <charset val="0"/>
          </rPr>
          <t xml:space="preserve">
2201280 7/9 650pcs</t>
        </r>
      </text>
    </comment>
    <comment ref="AL1677" authorId="0">
      <text>
        <r>
          <rPr>
            <b/>
            <sz val="9"/>
            <rFont val="宋体"/>
            <charset val="134"/>
          </rPr>
          <t>Administrator:</t>
        </r>
        <r>
          <rPr>
            <sz val="9"/>
            <rFont val="宋体"/>
            <charset val="134"/>
          </rPr>
          <t xml:space="preserve">
5/22 家乐福外箱贴纸 26pcs
</t>
        </r>
      </text>
    </comment>
    <comment ref="AI1678" authorId="2">
      <text>
        <r>
          <rPr>
            <b/>
            <sz val="9"/>
            <rFont val="宋体"/>
            <charset val="0"/>
          </rPr>
          <t>石玉珍:</t>
        </r>
        <r>
          <rPr>
            <sz val="9"/>
            <rFont val="宋体"/>
            <charset val="0"/>
          </rPr>
          <t xml:space="preserve">
2201280 7/9 950pcs</t>
        </r>
      </text>
    </comment>
    <comment ref="AL1678" authorId="0">
      <text>
        <r>
          <rPr>
            <b/>
            <sz val="9"/>
            <rFont val="宋体"/>
            <charset val="134"/>
          </rPr>
          <t>Administrator:</t>
        </r>
        <r>
          <rPr>
            <sz val="9"/>
            <rFont val="宋体"/>
            <charset val="134"/>
          </rPr>
          <t xml:space="preserve">
5/22 家乐福外箱贴纸 38pcs
</t>
        </r>
      </text>
    </comment>
    <comment ref="AI1679" authorId="2">
      <text>
        <r>
          <rPr>
            <b/>
            <sz val="9"/>
            <rFont val="宋体"/>
            <charset val="0"/>
          </rPr>
          <t>石玉珍:</t>
        </r>
        <r>
          <rPr>
            <sz val="9"/>
            <rFont val="宋体"/>
            <charset val="0"/>
          </rPr>
          <t xml:space="preserve">
2201280 7/9 7680pcs</t>
        </r>
      </text>
    </comment>
    <comment ref="AL1679" authorId="2">
      <text>
        <r>
          <rPr>
            <b/>
            <sz val="9"/>
            <rFont val="宋体"/>
            <charset val="0"/>
          </rPr>
          <t>石玉珍:</t>
        </r>
        <r>
          <rPr>
            <sz val="9"/>
            <rFont val="宋体"/>
            <charset val="0"/>
          </rPr>
          <t xml:space="preserve">
6/18 客供RFID贴纸 7680pcs</t>
        </r>
      </text>
    </comment>
    <comment ref="AI1680" authorId="2">
      <text>
        <r>
          <rPr>
            <b/>
            <sz val="9"/>
            <rFont val="宋体"/>
            <charset val="0"/>
          </rPr>
          <t>石玉珍:</t>
        </r>
        <r>
          <rPr>
            <sz val="9"/>
            <rFont val="宋体"/>
            <charset val="0"/>
          </rPr>
          <t xml:space="preserve">
2201280 7/9 5760pcs</t>
        </r>
      </text>
    </comment>
    <comment ref="AL1680" authorId="2">
      <text>
        <r>
          <rPr>
            <b/>
            <sz val="9"/>
            <rFont val="宋体"/>
            <charset val="0"/>
          </rPr>
          <t>石玉珍:</t>
        </r>
        <r>
          <rPr>
            <sz val="9"/>
            <rFont val="宋体"/>
            <charset val="0"/>
          </rPr>
          <t xml:space="preserve">
6/18 客供RFID贴纸 5760pcs</t>
        </r>
      </text>
    </comment>
    <comment ref="AI1681" authorId="2">
      <text>
        <r>
          <rPr>
            <b/>
            <sz val="9"/>
            <rFont val="宋体"/>
            <charset val="0"/>
          </rPr>
          <t>石玉珍:</t>
        </r>
        <r>
          <rPr>
            <sz val="9"/>
            <rFont val="宋体"/>
            <charset val="0"/>
          </rPr>
          <t xml:space="preserve">
2201288 7/10 2880pcs</t>
        </r>
      </text>
    </comment>
    <comment ref="AL1681" authorId="2">
      <text>
        <r>
          <rPr>
            <b/>
            <sz val="9"/>
            <rFont val="宋体"/>
            <charset val="0"/>
          </rPr>
          <t>石玉珍:</t>
        </r>
        <r>
          <rPr>
            <sz val="9"/>
            <rFont val="宋体"/>
            <charset val="0"/>
          </rPr>
          <t xml:space="preserve">
6/18 客供RFID贴纸 2880pcs</t>
        </r>
      </text>
    </comment>
    <comment ref="AI1682" authorId="2">
      <text>
        <r>
          <rPr>
            <b/>
            <sz val="9"/>
            <rFont val="宋体"/>
            <charset val="0"/>
          </rPr>
          <t>石玉珍:</t>
        </r>
        <r>
          <rPr>
            <sz val="9"/>
            <rFont val="宋体"/>
            <charset val="0"/>
          </rPr>
          <t xml:space="preserve">
2201288 7/10 5760pcs</t>
        </r>
      </text>
    </comment>
    <comment ref="AL1682" authorId="2">
      <text>
        <r>
          <rPr>
            <b/>
            <sz val="9"/>
            <rFont val="宋体"/>
            <charset val="0"/>
          </rPr>
          <t>石玉珍:</t>
        </r>
        <r>
          <rPr>
            <sz val="9"/>
            <rFont val="宋体"/>
            <charset val="0"/>
          </rPr>
          <t xml:space="preserve">
6/18 客供RFID贴纸 5760pcs</t>
        </r>
      </text>
    </comment>
    <comment ref="AI1683" authorId="2">
      <text>
        <r>
          <rPr>
            <b/>
            <sz val="9"/>
            <rFont val="宋体"/>
            <charset val="0"/>
          </rPr>
          <t>石玉珍:</t>
        </r>
        <r>
          <rPr>
            <sz val="9"/>
            <rFont val="宋体"/>
            <charset val="0"/>
          </rPr>
          <t xml:space="preserve">
2201280 7/9 51200pcs</t>
        </r>
        <r>
          <rPr>
            <b/>
            <sz val="9"/>
            <rFont val="宋体"/>
            <charset val="0"/>
          </rPr>
          <t xml:space="preserve">
石玉珍:</t>
        </r>
        <r>
          <rPr>
            <sz val="9"/>
            <rFont val="宋体"/>
            <charset val="0"/>
          </rPr>
          <t xml:space="preserve">
2201283 7/9 2560pcs</t>
        </r>
      </text>
    </comment>
    <comment ref="AL1683" authorId="2">
      <text>
        <r>
          <rPr>
            <b/>
            <sz val="9"/>
            <rFont val="宋体"/>
            <charset val="0"/>
          </rPr>
          <t>石玉珍:</t>
        </r>
        <r>
          <rPr>
            <sz val="9"/>
            <rFont val="宋体"/>
            <charset val="0"/>
          </rPr>
          <t xml:space="preserve">
6/18 客供RFID贴纸 7680pcs</t>
        </r>
      </text>
    </comment>
    <comment ref="AI1684" authorId="2">
      <text>
        <r>
          <rPr>
            <b/>
            <sz val="9"/>
            <rFont val="宋体"/>
            <charset val="0"/>
          </rPr>
          <t>石玉珍:</t>
        </r>
        <r>
          <rPr>
            <sz val="9"/>
            <rFont val="宋体"/>
            <charset val="0"/>
          </rPr>
          <t xml:space="preserve">
 2201273 7/9 10560pcs</t>
        </r>
      </text>
    </comment>
    <comment ref="AL1684" authorId="2">
      <text>
        <r>
          <rPr>
            <b/>
            <sz val="9"/>
            <rFont val="宋体"/>
            <charset val="0"/>
          </rPr>
          <t>石玉珍:</t>
        </r>
        <r>
          <rPr>
            <sz val="9"/>
            <rFont val="宋体"/>
            <charset val="0"/>
          </rPr>
          <t xml:space="preserve">
6/18 客供RFID贴纸 10560pcs</t>
        </r>
      </text>
    </comment>
    <comment ref="AI1685" authorId="2">
      <text>
        <r>
          <rPr>
            <b/>
            <sz val="9"/>
            <rFont val="宋体"/>
            <charset val="0"/>
          </rPr>
          <t>石玉珍:</t>
        </r>
        <r>
          <rPr>
            <sz val="9"/>
            <rFont val="宋体"/>
            <charset val="0"/>
          </rPr>
          <t xml:space="preserve">
2201280 7/9 5760pcs</t>
        </r>
      </text>
    </comment>
    <comment ref="AL1685" authorId="2">
      <text>
        <r>
          <rPr>
            <b/>
            <sz val="9"/>
            <rFont val="宋体"/>
            <charset val="0"/>
          </rPr>
          <t>石玉珍:</t>
        </r>
        <r>
          <rPr>
            <sz val="9"/>
            <rFont val="宋体"/>
            <charset val="0"/>
          </rPr>
          <t xml:space="preserve">
6/18 客供RFID贴纸 5760pcs</t>
        </r>
      </text>
    </comment>
    <comment ref="AI1686" authorId="2">
      <text>
        <r>
          <rPr>
            <b/>
            <sz val="9"/>
            <rFont val="宋体"/>
            <charset val="0"/>
          </rPr>
          <t>石玉珍:</t>
        </r>
        <r>
          <rPr>
            <sz val="9"/>
            <rFont val="宋体"/>
            <charset val="0"/>
          </rPr>
          <t xml:space="preserve">
 2201259 7/8 1260pcs</t>
        </r>
      </text>
    </comment>
    <comment ref="AL1686" authorId="2">
      <text>
        <r>
          <rPr>
            <b/>
            <sz val="9"/>
            <rFont val="宋体"/>
            <charset val="0"/>
          </rPr>
          <t>石玉珍:</t>
        </r>
        <r>
          <rPr>
            <sz val="9"/>
            <rFont val="宋体"/>
            <charset val="0"/>
          </rPr>
          <t xml:space="preserve">
6/15 进口商贴纸 1260pcs</t>
        </r>
        <r>
          <rPr>
            <b/>
            <sz val="9"/>
            <rFont val="宋体"/>
            <charset val="0"/>
          </rPr>
          <t xml:space="preserve">
石玉珍:</t>
        </r>
        <r>
          <rPr>
            <sz val="9"/>
            <rFont val="宋体"/>
            <charset val="0"/>
          </rPr>
          <t xml:space="preserve">
6/16 客供亚马逊外箱贴纸 105pcs</t>
        </r>
      </text>
    </comment>
    <comment ref="AI1687" authorId="2">
      <text>
        <r>
          <rPr>
            <b/>
            <sz val="9"/>
            <rFont val="宋体"/>
            <charset val="0"/>
          </rPr>
          <t>石玉珍:</t>
        </r>
        <r>
          <rPr>
            <sz val="9"/>
            <rFont val="宋体"/>
            <charset val="0"/>
          </rPr>
          <t xml:space="preserve">
 2201259 7/8 1956pcs</t>
        </r>
      </text>
    </comment>
    <comment ref="AL1687" authorId="2">
      <text>
        <r>
          <rPr>
            <b/>
            <sz val="9"/>
            <rFont val="宋体"/>
            <charset val="0"/>
          </rPr>
          <t>石玉珍:</t>
        </r>
        <r>
          <rPr>
            <sz val="9"/>
            <rFont val="宋体"/>
            <charset val="0"/>
          </rPr>
          <t xml:space="preserve">
6/15 进口商贴纸 1956pcs</t>
        </r>
        <r>
          <rPr>
            <b/>
            <sz val="9"/>
            <rFont val="宋体"/>
            <charset val="0"/>
          </rPr>
          <t xml:space="preserve">
石玉珍:</t>
        </r>
        <r>
          <rPr>
            <sz val="9"/>
            <rFont val="宋体"/>
            <charset val="0"/>
          </rPr>
          <t xml:space="preserve">
6/16 客供亚马逊外箱贴纸 163pcs</t>
        </r>
      </text>
    </comment>
    <comment ref="AI1688" authorId="2">
      <text>
        <r>
          <rPr>
            <b/>
            <sz val="9"/>
            <rFont val="宋体"/>
            <charset val="0"/>
          </rPr>
          <t>石玉珍:</t>
        </r>
        <r>
          <rPr>
            <sz val="9"/>
            <rFont val="宋体"/>
            <charset val="0"/>
          </rPr>
          <t xml:space="preserve">
1600554 7/9 29925pcs</t>
        </r>
        <r>
          <rPr>
            <b/>
            <sz val="9"/>
            <rFont val="宋体"/>
            <charset val="0"/>
          </rPr>
          <t xml:space="preserve">
石玉珍:</t>
        </r>
        <r>
          <rPr>
            <sz val="9"/>
            <rFont val="宋体"/>
            <charset val="0"/>
          </rPr>
          <t xml:space="preserve">
1600555 7/9 60075pcs</t>
        </r>
      </text>
    </comment>
    <comment ref="AL1688" authorId="2">
      <text>
        <r>
          <rPr>
            <b/>
            <sz val="9"/>
            <rFont val="宋体"/>
            <charset val="0"/>
          </rPr>
          <t>石玉珍:</t>
        </r>
        <r>
          <rPr>
            <sz val="9"/>
            <rFont val="宋体"/>
            <charset val="0"/>
          </rPr>
          <t xml:space="preserve">
7/1 客供外箱条码贴纸 3600pcs</t>
        </r>
      </text>
    </comment>
    <comment ref="AI1689" authorId="2">
      <text>
        <r>
          <rPr>
            <b/>
            <sz val="9"/>
            <rFont val="宋体"/>
            <charset val="0"/>
          </rPr>
          <t>石玉珍:</t>
        </r>
        <r>
          <rPr>
            <sz val="9"/>
            <rFont val="宋体"/>
            <charset val="0"/>
          </rPr>
          <t xml:space="preserve">
2200143 7/13 6480pcs</t>
        </r>
      </text>
    </comment>
    <comment ref="AL1689" authorId="2">
      <text>
        <r>
          <rPr>
            <b/>
            <sz val="9"/>
            <rFont val="宋体"/>
            <charset val="0"/>
          </rPr>
          <t>石玉珍:</t>
        </r>
        <r>
          <rPr>
            <sz val="9"/>
            <rFont val="宋体"/>
            <charset val="0"/>
          </rPr>
          <t xml:space="preserve">
6/16  客供防盗贴纸  6480pcs</t>
        </r>
        <r>
          <rPr>
            <b/>
            <sz val="9"/>
            <rFont val="宋体"/>
            <charset val="0"/>
          </rPr>
          <t xml:space="preserve">
石玉珍:</t>
        </r>
        <r>
          <rPr>
            <sz val="9"/>
            <rFont val="宋体"/>
            <charset val="0"/>
          </rPr>
          <t xml:space="preserve">
7/6 彩色贴纸 6480*2pcs</t>
        </r>
      </text>
    </comment>
    <comment ref="AI1690" authorId="2">
      <text>
        <r>
          <rPr>
            <b/>
            <sz val="9"/>
            <rFont val="宋体"/>
            <charset val="0"/>
          </rPr>
          <t>石玉珍:</t>
        </r>
        <r>
          <rPr>
            <sz val="9"/>
            <rFont val="宋体"/>
            <charset val="0"/>
          </rPr>
          <t xml:space="preserve">
2201297 7/10 20016pcs</t>
        </r>
      </text>
    </comment>
    <comment ref="BC1690" authorId="3">
      <text>
        <r>
          <rPr>
            <b/>
            <sz val="9"/>
            <rFont val="宋体"/>
            <charset val="134"/>
          </rPr>
          <t>RR-sales:</t>
        </r>
        <r>
          <rPr>
            <sz val="9"/>
            <rFont val="宋体"/>
            <charset val="134"/>
          </rPr>
          <t xml:space="preserve">
新客版资料4500209509</t>
        </r>
      </text>
    </comment>
    <comment ref="AI1691" authorId="2">
      <text>
        <r>
          <rPr>
            <b/>
            <sz val="9"/>
            <rFont val="宋体"/>
            <charset val="0"/>
          </rPr>
          <t>石玉珍:</t>
        </r>
        <r>
          <rPr>
            <sz val="9"/>
            <rFont val="宋体"/>
            <charset val="0"/>
          </rPr>
          <t xml:space="preserve">
2201297 7/10 6384pcs</t>
        </r>
        <r>
          <rPr>
            <b/>
            <sz val="9"/>
            <rFont val="宋体"/>
            <charset val="0"/>
          </rPr>
          <t xml:space="preserve">
石玉珍:</t>
        </r>
        <r>
          <rPr>
            <sz val="9"/>
            <rFont val="宋体"/>
            <charset val="0"/>
          </rPr>
          <t xml:space="preserve">
2801278 7/11 13632pcs</t>
        </r>
      </text>
    </comment>
    <comment ref="BC1691" authorId="3">
      <text>
        <r>
          <rPr>
            <b/>
            <sz val="9"/>
            <rFont val="宋体"/>
            <charset val="134"/>
          </rPr>
          <t>RR-sales:</t>
        </r>
        <r>
          <rPr>
            <sz val="9"/>
            <rFont val="宋体"/>
            <charset val="134"/>
          </rPr>
          <t xml:space="preserve">
新客版资料4500209509
</t>
        </r>
      </text>
    </comment>
    <comment ref="AI1692" authorId="2">
      <text>
        <r>
          <rPr>
            <b/>
            <sz val="9"/>
            <rFont val="宋体"/>
            <charset val="0"/>
          </rPr>
          <t>石玉珍:</t>
        </r>
        <r>
          <rPr>
            <sz val="9"/>
            <rFont val="宋体"/>
            <charset val="0"/>
          </rPr>
          <t xml:space="preserve">
2201288 7/10 4848pcs</t>
        </r>
      </text>
    </comment>
    <comment ref="AL1692" authorId="2">
      <text>
        <r>
          <rPr>
            <b/>
            <sz val="9"/>
            <rFont val="宋体"/>
            <charset val="0"/>
          </rPr>
          <t>石玉珍:</t>
        </r>
        <r>
          <rPr>
            <sz val="9"/>
            <rFont val="宋体"/>
            <charset val="0"/>
          </rPr>
          <t xml:space="preserve">
6/15 价标贴纸 14848pcs</t>
        </r>
        <r>
          <rPr>
            <b/>
            <sz val="9"/>
            <rFont val="宋体"/>
            <charset val="0"/>
          </rPr>
          <t xml:space="preserve">
石玉珍:</t>
        </r>
        <r>
          <rPr>
            <sz val="9"/>
            <rFont val="宋体"/>
            <charset val="0"/>
          </rPr>
          <t xml:space="preserve">
7/15 空白贴纸 4848*20pcs</t>
        </r>
      </text>
    </comment>
    <comment ref="AI1693" authorId="2">
      <text>
        <r>
          <rPr>
            <b/>
            <sz val="9"/>
            <rFont val="宋体"/>
            <charset val="0"/>
          </rPr>
          <t>石玉珍:</t>
        </r>
        <r>
          <rPr>
            <sz val="9"/>
            <rFont val="宋体"/>
            <charset val="0"/>
          </rPr>
          <t xml:space="preserve">
2201288 7/10 1272pcs</t>
        </r>
      </text>
    </comment>
    <comment ref="AL1693" authorId="2">
      <text>
        <r>
          <rPr>
            <b/>
            <sz val="9"/>
            <rFont val="宋体"/>
            <charset val="0"/>
          </rPr>
          <t>石玉珍:</t>
        </r>
        <r>
          <rPr>
            <sz val="9"/>
            <rFont val="宋体"/>
            <charset val="0"/>
          </rPr>
          <t xml:space="preserve">
6/15 价标贴纸 1272pcs</t>
        </r>
        <r>
          <rPr>
            <b/>
            <sz val="9"/>
            <rFont val="宋体"/>
            <charset val="0"/>
          </rPr>
          <t xml:space="preserve">
石玉珍:</t>
        </r>
        <r>
          <rPr>
            <sz val="9"/>
            <rFont val="宋体"/>
            <charset val="0"/>
          </rPr>
          <t xml:space="preserve">
7/15 空白贴纸 1272*2pcs</t>
        </r>
      </text>
    </comment>
    <comment ref="AI1694" authorId="2">
      <text>
        <r>
          <rPr>
            <b/>
            <sz val="9"/>
            <rFont val="宋体"/>
            <charset val="0"/>
          </rPr>
          <t>石玉珍:</t>
        </r>
        <r>
          <rPr>
            <sz val="9"/>
            <rFont val="宋体"/>
            <charset val="0"/>
          </rPr>
          <t xml:space="preserve">
2801282 7/11 2015pcs</t>
        </r>
      </text>
    </comment>
    <comment ref="AI1695" authorId="2">
      <text>
        <r>
          <rPr>
            <b/>
            <sz val="9"/>
            <rFont val="宋体"/>
            <charset val="0"/>
          </rPr>
          <t>石玉珍:</t>
        </r>
        <r>
          <rPr>
            <sz val="9"/>
            <rFont val="宋体"/>
            <charset val="0"/>
          </rPr>
          <t xml:space="preserve">
1001941 7/14  8350pcs</t>
        </r>
      </text>
    </comment>
    <comment ref="AI1696" authorId="2">
      <text>
        <r>
          <rPr>
            <b/>
            <sz val="9"/>
            <rFont val="宋体"/>
            <charset val="0"/>
          </rPr>
          <t>石玉珍:</t>
        </r>
        <r>
          <rPr>
            <sz val="9"/>
            <rFont val="宋体"/>
            <charset val="0"/>
          </rPr>
          <t xml:space="preserve">
1001944 7/14 1200pcs</t>
        </r>
      </text>
    </comment>
    <comment ref="AL1696" authorId="2">
      <text>
        <r>
          <rPr>
            <b/>
            <sz val="9"/>
            <rFont val="宋体"/>
            <charset val="0"/>
          </rPr>
          <t>石玉珍:</t>
        </r>
        <r>
          <rPr>
            <sz val="9"/>
            <rFont val="宋体"/>
            <charset val="0"/>
          </rPr>
          <t xml:space="preserve">
6/30 进口商贴纸 1200pcs</t>
        </r>
        <r>
          <rPr>
            <b/>
            <sz val="9"/>
            <rFont val="宋体"/>
            <charset val="0"/>
          </rPr>
          <t xml:space="preserve">
石玉珍:</t>
        </r>
        <r>
          <rPr>
            <sz val="9"/>
            <rFont val="宋体"/>
            <charset val="0"/>
          </rPr>
          <t xml:space="preserve">
UPC贴纸 1200pcs</t>
        </r>
      </text>
    </comment>
    <comment ref="BW1696" authorId="3">
      <text>
        <r>
          <rPr>
            <b/>
            <sz val="9"/>
            <rFont val="宋体"/>
            <charset val="134"/>
          </rPr>
          <t>RR-sales:</t>
        </r>
        <r>
          <rPr>
            <sz val="9"/>
            <rFont val="宋体"/>
            <charset val="134"/>
          </rPr>
          <t xml:space="preserve">
C版本去披萨收藏指南</t>
        </r>
      </text>
    </comment>
    <comment ref="AI1697" authorId="2">
      <text>
        <r>
          <rPr>
            <b/>
            <sz val="9"/>
            <rFont val="宋体"/>
            <charset val="0"/>
          </rPr>
          <t>石玉珍:</t>
        </r>
        <r>
          <rPr>
            <sz val="9"/>
            <rFont val="宋体"/>
            <charset val="0"/>
          </rPr>
          <t xml:space="preserve">
1001944 7/14 725pcs</t>
        </r>
        <r>
          <rPr>
            <b/>
            <sz val="9"/>
            <rFont val="宋体"/>
            <charset val="0"/>
          </rPr>
          <t xml:space="preserve">
石玉珍:</t>
        </r>
        <r>
          <rPr>
            <sz val="9"/>
            <rFont val="宋体"/>
            <charset val="0"/>
          </rPr>
          <t xml:space="preserve">
1001886 7/16 25pcs</t>
        </r>
      </text>
    </comment>
    <comment ref="AL1697" authorId="2">
      <text>
        <r>
          <rPr>
            <b/>
            <sz val="9"/>
            <rFont val="宋体"/>
            <charset val="0"/>
          </rPr>
          <t>石玉珍:</t>
        </r>
        <r>
          <rPr>
            <sz val="9"/>
            <rFont val="宋体"/>
            <charset val="0"/>
          </rPr>
          <t xml:space="preserve">
6/29 大语警告语贴 750pcs
小语警告语贴 5250pcs
丹麦瑞典芬兰挪威警告语贴纸 750pcs</t>
        </r>
      </text>
    </comment>
    <comment ref="AI1698" authorId="2">
      <text>
        <r>
          <rPr>
            <b/>
            <sz val="9"/>
            <rFont val="宋体"/>
            <charset val="0"/>
          </rPr>
          <t>石玉珍:</t>
        </r>
        <r>
          <rPr>
            <sz val="9"/>
            <rFont val="宋体"/>
            <charset val="0"/>
          </rPr>
          <t xml:space="preserve">
2801290 7/11 2256pcs</t>
        </r>
      </text>
    </comment>
    <comment ref="AL1698" authorId="2">
      <text>
        <r>
          <rPr>
            <b/>
            <sz val="9"/>
            <rFont val="宋体"/>
            <charset val="0"/>
          </rPr>
          <t>石玉珍:</t>
        </r>
        <r>
          <rPr>
            <sz val="9"/>
            <rFont val="宋体"/>
            <charset val="0"/>
          </rPr>
          <t xml:space="preserve">
6/27 亚马逊外箱贴纸 188pcs</t>
        </r>
        <r>
          <rPr>
            <b/>
            <sz val="9"/>
            <rFont val="宋体"/>
            <charset val="0"/>
          </rPr>
          <t xml:space="preserve">
石玉珍:</t>
        </r>
        <r>
          <rPr>
            <sz val="9"/>
            <rFont val="宋体"/>
            <charset val="0"/>
          </rPr>
          <t xml:space="preserve">
7/2   环保标贴纸 2256pcs</t>
        </r>
        <r>
          <rPr>
            <b/>
            <sz val="9"/>
            <rFont val="宋体"/>
            <charset val="0"/>
          </rPr>
          <t xml:space="preserve">
石玉珍:</t>
        </r>
        <r>
          <rPr>
            <sz val="9"/>
            <rFont val="宋体"/>
            <charset val="0"/>
          </rPr>
          <t xml:space="preserve">
空白贴纸 2256*2pcs</t>
        </r>
      </text>
    </comment>
    <comment ref="AI1699" authorId="2">
      <text>
        <r>
          <rPr>
            <b/>
            <sz val="9"/>
            <rFont val="宋体"/>
            <charset val="0"/>
          </rPr>
          <t>石玉珍:</t>
        </r>
        <r>
          <rPr>
            <sz val="9"/>
            <rFont val="宋体"/>
            <charset val="0"/>
          </rPr>
          <t xml:space="preserve">
2801290 7/11 984pcs</t>
        </r>
      </text>
    </comment>
    <comment ref="AL1699" authorId="2">
      <text>
        <r>
          <rPr>
            <b/>
            <sz val="9"/>
            <rFont val="宋体"/>
            <charset val="0"/>
          </rPr>
          <t>石玉珍:</t>
        </r>
        <r>
          <rPr>
            <sz val="9"/>
            <rFont val="宋体"/>
            <charset val="0"/>
          </rPr>
          <t xml:space="preserve">
6/27 亚马逊外箱贴纸 82pcs</t>
        </r>
        <r>
          <rPr>
            <b/>
            <sz val="9"/>
            <rFont val="宋体"/>
            <charset val="0"/>
          </rPr>
          <t xml:space="preserve">
石玉珍:</t>
        </r>
        <r>
          <rPr>
            <sz val="9"/>
            <rFont val="宋体"/>
            <charset val="0"/>
          </rPr>
          <t xml:space="preserve">
7/2   环保标贴纸 984pcs</t>
        </r>
        <r>
          <rPr>
            <b/>
            <sz val="9"/>
            <rFont val="宋体"/>
            <charset val="0"/>
          </rPr>
          <t xml:space="preserve">
石玉珍:</t>
        </r>
        <r>
          <rPr>
            <sz val="9"/>
            <rFont val="宋体"/>
            <charset val="0"/>
          </rPr>
          <t xml:space="preserve">
空白贴纸 984*2pcs</t>
        </r>
      </text>
    </comment>
    <comment ref="AI1700" authorId="2">
      <text>
        <r>
          <rPr>
            <b/>
            <sz val="9"/>
            <rFont val="宋体"/>
            <charset val="0"/>
          </rPr>
          <t>石玉珍:</t>
        </r>
        <r>
          <rPr>
            <sz val="9"/>
            <rFont val="宋体"/>
            <charset val="0"/>
          </rPr>
          <t xml:space="preserve">
2200143 7/13 624pcs</t>
        </r>
      </text>
    </comment>
    <comment ref="AL1700" authorId="2">
      <text>
        <r>
          <rPr>
            <b/>
            <sz val="9"/>
            <rFont val="宋体"/>
            <charset val="0"/>
          </rPr>
          <t>石玉珍:</t>
        </r>
        <r>
          <rPr>
            <sz val="9"/>
            <rFont val="宋体"/>
            <charset val="0"/>
          </rPr>
          <t xml:space="preserve">
6/10 客供价格贴纸 624pcs</t>
        </r>
        <r>
          <rPr>
            <b/>
            <sz val="9"/>
            <rFont val="宋体"/>
            <charset val="0"/>
          </rPr>
          <t xml:space="preserve">
石玉珍:</t>
        </r>
        <r>
          <rPr>
            <sz val="9"/>
            <rFont val="宋体"/>
            <charset val="0"/>
          </rPr>
          <t xml:space="preserve">
7/8 警告语贴纸 624pcs</t>
        </r>
      </text>
    </comment>
    <comment ref="AI1701" authorId="2">
      <text>
        <r>
          <rPr>
            <b/>
            <sz val="9"/>
            <rFont val="宋体"/>
            <charset val="0"/>
          </rPr>
          <t>石玉珍:</t>
        </r>
        <r>
          <rPr>
            <sz val="9"/>
            <rFont val="宋体"/>
            <charset val="0"/>
          </rPr>
          <t xml:space="preserve">
2801299 7/11 24pcs</t>
        </r>
      </text>
    </comment>
    <comment ref="AL1701" authorId="2">
      <text>
        <r>
          <rPr>
            <b/>
            <sz val="9"/>
            <rFont val="宋体"/>
            <charset val="0"/>
          </rPr>
          <t>石玉珍:</t>
        </r>
        <r>
          <rPr>
            <sz val="9"/>
            <rFont val="宋体"/>
            <charset val="0"/>
          </rPr>
          <t xml:space="preserve">
7/1 客供亚马逊外箱贴纸 2pcs</t>
        </r>
      </text>
    </comment>
    <comment ref="AI1702" authorId="2">
      <text>
        <r>
          <rPr>
            <b/>
            <sz val="9"/>
            <rFont val="宋体"/>
            <charset val="0"/>
          </rPr>
          <t>石玉珍:</t>
        </r>
        <r>
          <rPr>
            <sz val="9"/>
            <rFont val="宋体"/>
            <charset val="0"/>
          </rPr>
          <t xml:space="preserve">
1001944 7/14 1150pcs</t>
        </r>
      </text>
    </comment>
    <comment ref="AI1703" authorId="2">
      <text>
        <r>
          <rPr>
            <b/>
            <sz val="9"/>
            <rFont val="宋体"/>
            <charset val="0"/>
          </rPr>
          <t>石玉珍:</t>
        </r>
        <r>
          <rPr>
            <sz val="9"/>
            <rFont val="宋体"/>
            <charset val="0"/>
          </rPr>
          <t xml:space="preserve">
1001944 7/14 1400pcs</t>
        </r>
      </text>
    </comment>
    <comment ref="BF1704" authorId="2">
      <text>
        <r>
          <rPr>
            <b/>
            <sz val="9"/>
            <rFont val="宋体"/>
            <charset val="0"/>
          </rPr>
          <t>陈炎:</t>
        </r>
        <r>
          <rPr>
            <sz val="9"/>
            <rFont val="宋体"/>
            <charset val="0"/>
          </rPr>
          <t xml:space="preserve">
新客版</t>
        </r>
      </text>
    </comment>
    <comment ref="BH1704" authorId="2">
      <text>
        <r>
          <rPr>
            <b/>
            <sz val="9"/>
            <rFont val="宋体"/>
            <charset val="0"/>
          </rPr>
          <t>陈炎:</t>
        </r>
        <r>
          <rPr>
            <sz val="9"/>
            <rFont val="宋体"/>
            <charset val="0"/>
          </rPr>
          <t xml:space="preserve">
新客版</t>
        </r>
      </text>
    </comment>
    <comment ref="BI1704" authorId="2">
      <text>
        <r>
          <rPr>
            <b/>
            <sz val="9"/>
            <rFont val="宋体"/>
            <charset val="0"/>
          </rPr>
          <t>陈炎:</t>
        </r>
        <r>
          <rPr>
            <sz val="9"/>
            <rFont val="宋体"/>
            <charset val="0"/>
          </rPr>
          <t xml:space="preserve">
新客版</t>
        </r>
      </text>
    </comment>
    <comment ref="BJ1704" authorId="2">
      <text>
        <r>
          <rPr>
            <b/>
            <sz val="9"/>
            <rFont val="宋体"/>
            <charset val="0"/>
          </rPr>
          <t>陈炎:</t>
        </r>
        <r>
          <rPr>
            <sz val="9"/>
            <rFont val="宋体"/>
            <charset val="0"/>
          </rPr>
          <t xml:space="preserve">
新客版</t>
        </r>
      </text>
    </comment>
    <comment ref="AI1705" authorId="2">
      <text>
        <r>
          <rPr>
            <b/>
            <sz val="9"/>
            <rFont val="宋体"/>
            <charset val="0"/>
          </rPr>
          <t>石玉珍:</t>
        </r>
        <r>
          <rPr>
            <sz val="9"/>
            <rFont val="宋体"/>
            <charset val="0"/>
          </rPr>
          <t xml:space="preserve">
1001900 7/16 15028pcs</t>
        </r>
      </text>
    </comment>
    <comment ref="AL1705" authorId="2">
      <text>
        <r>
          <rPr>
            <b/>
            <sz val="9"/>
            <rFont val="宋体"/>
            <charset val="0"/>
          </rPr>
          <t>石玉珍:</t>
        </r>
        <r>
          <rPr>
            <sz val="9"/>
            <rFont val="宋体"/>
            <charset val="0"/>
          </rPr>
          <t xml:space="preserve">
7/6 进口商贴纸 15028pcs
UPC贴纸 15028pcs</t>
        </r>
      </text>
    </comment>
    <comment ref="AI1706" authorId="2">
      <text>
        <r>
          <rPr>
            <b/>
            <sz val="9"/>
            <rFont val="宋体"/>
            <charset val="0"/>
          </rPr>
          <t>石玉珍:</t>
        </r>
        <r>
          <rPr>
            <sz val="9"/>
            <rFont val="宋体"/>
            <charset val="0"/>
          </rPr>
          <t xml:space="preserve">
1001886 7/16 5000pcs</t>
        </r>
      </text>
    </comment>
    <comment ref="AL1706" authorId="2">
      <text>
        <r>
          <rPr>
            <b/>
            <sz val="9"/>
            <rFont val="宋体"/>
            <charset val="0"/>
          </rPr>
          <t>石玉珍:</t>
        </r>
        <r>
          <rPr>
            <sz val="9"/>
            <rFont val="宋体"/>
            <charset val="0"/>
          </rPr>
          <t xml:space="preserve">
7/10 冰棒款-说明书荷兰语贴纸 5000pcs
蛋糕款-说明书荷兰语贴纸 5000pcs
布丁款-说明书荷兰语贴纸 5000pcs</t>
        </r>
      </text>
    </comment>
    <comment ref="AI1707" authorId="2">
      <text>
        <r>
          <rPr>
            <b/>
            <sz val="9"/>
            <rFont val="宋体"/>
            <charset val="0"/>
          </rPr>
          <t>石玉珍:</t>
        </r>
        <r>
          <rPr>
            <sz val="9"/>
            <rFont val="宋体"/>
            <charset val="0"/>
          </rPr>
          <t xml:space="preserve">
1001912 7/15 59000pcs</t>
        </r>
      </text>
    </comment>
    <comment ref="AL1707" authorId="2">
      <text>
        <r>
          <rPr>
            <b/>
            <sz val="9"/>
            <rFont val="宋体"/>
            <charset val="0"/>
          </rPr>
          <t>石玉珍:</t>
        </r>
        <r>
          <rPr>
            <sz val="9"/>
            <rFont val="宋体"/>
            <charset val="0"/>
          </rPr>
          <t xml:space="preserve">
7/7 进口商贴纸 59000pcs
空白贴纸 11800pcs</t>
        </r>
      </text>
    </comment>
    <comment ref="AI1708" authorId="2">
      <text>
        <r>
          <rPr>
            <b/>
            <sz val="9"/>
            <rFont val="宋体"/>
            <charset val="0"/>
          </rPr>
          <t>石玉珍:</t>
        </r>
        <r>
          <rPr>
            <sz val="9"/>
            <rFont val="宋体"/>
            <charset val="0"/>
          </rPr>
          <t xml:space="preserve">
1001903 7/16 2700pcs</t>
        </r>
        <r>
          <rPr>
            <b/>
            <sz val="9"/>
            <rFont val="宋体"/>
            <charset val="0"/>
          </rPr>
          <t xml:space="preserve">
石玉珍:</t>
        </r>
        <r>
          <rPr>
            <sz val="9"/>
            <rFont val="宋体"/>
            <charset val="0"/>
          </rPr>
          <t xml:space="preserve">
1001886 7/16 3300pcs</t>
        </r>
      </text>
    </comment>
    <comment ref="AL1708" authorId="2">
      <text>
        <r>
          <rPr>
            <b/>
            <sz val="9"/>
            <rFont val="宋体"/>
            <charset val="0"/>
          </rPr>
          <t>石玉珍:</t>
        </r>
        <r>
          <rPr>
            <sz val="9"/>
            <rFont val="宋体"/>
            <charset val="0"/>
          </rPr>
          <t xml:space="preserve">
7/3 进口商贴纸 6000pcs</t>
        </r>
        <r>
          <rPr>
            <b/>
            <sz val="9"/>
            <rFont val="宋体"/>
            <charset val="0"/>
          </rPr>
          <t xml:space="preserve">
石玉珍:</t>
        </r>
        <r>
          <rPr>
            <sz val="9"/>
            <rFont val="宋体"/>
            <charset val="0"/>
          </rPr>
          <t xml:space="preserve">
UPC贴纸 6000pcs</t>
        </r>
        <r>
          <rPr>
            <b/>
            <sz val="9"/>
            <rFont val="宋体"/>
            <charset val="0"/>
          </rPr>
          <t xml:space="preserve">
石玉珍:</t>
        </r>
        <r>
          <rPr>
            <sz val="9"/>
            <rFont val="宋体"/>
            <charset val="0"/>
          </rPr>
          <t xml:space="preserve">
7/4 外箱贴纸 240pcs</t>
        </r>
      </text>
    </comment>
    <comment ref="AI1709" authorId="2">
      <text>
        <r>
          <rPr>
            <b/>
            <sz val="9"/>
            <rFont val="宋体"/>
            <charset val="0"/>
          </rPr>
          <t>石玉珍:</t>
        </r>
        <r>
          <rPr>
            <sz val="9"/>
            <rFont val="宋体"/>
            <charset val="0"/>
          </rPr>
          <t xml:space="preserve">
2201262 7/8 36pcs</t>
        </r>
      </text>
    </comment>
    <comment ref="AL1709" authorId="2">
      <text>
        <r>
          <rPr>
            <b/>
            <sz val="9"/>
            <rFont val="宋体"/>
            <charset val="0"/>
          </rPr>
          <t>石玉珍:</t>
        </r>
        <r>
          <rPr>
            <sz val="9"/>
            <rFont val="宋体"/>
            <charset val="0"/>
          </rPr>
          <t xml:space="preserve">
7/1 客供亚马逊外箱贴纸 3pcs</t>
        </r>
      </text>
    </comment>
    <comment ref="AI1710" authorId="2">
      <text>
        <r>
          <rPr>
            <b/>
            <sz val="9"/>
            <rFont val="宋体"/>
            <charset val="0"/>
          </rPr>
          <t>石玉珍:</t>
        </r>
        <r>
          <rPr>
            <sz val="9"/>
            <rFont val="宋体"/>
            <charset val="0"/>
          </rPr>
          <t xml:space="preserve">
2201262 7/8 24pcs</t>
        </r>
      </text>
    </comment>
    <comment ref="AL1710" authorId="2">
      <text>
        <r>
          <rPr>
            <b/>
            <sz val="9"/>
            <rFont val="宋体"/>
            <charset val="0"/>
          </rPr>
          <t>石玉珍:</t>
        </r>
        <r>
          <rPr>
            <sz val="9"/>
            <rFont val="宋体"/>
            <charset val="0"/>
          </rPr>
          <t xml:space="preserve">
7/1 客供亚马逊外箱贴纸 2pcs</t>
        </r>
      </text>
    </comment>
    <comment ref="AI1711" authorId="2">
      <text>
        <r>
          <rPr>
            <b/>
            <sz val="9"/>
            <rFont val="宋体"/>
            <charset val="0"/>
          </rPr>
          <t>石玉珍:</t>
        </r>
        <r>
          <rPr>
            <sz val="9"/>
            <rFont val="宋体"/>
            <charset val="0"/>
          </rPr>
          <t xml:space="preserve">
2201262 7/8 12pcs</t>
        </r>
      </text>
    </comment>
    <comment ref="AL1711" authorId="2">
      <text>
        <r>
          <rPr>
            <b/>
            <sz val="9"/>
            <rFont val="宋体"/>
            <charset val="0"/>
          </rPr>
          <t>石玉珍:</t>
        </r>
        <r>
          <rPr>
            <sz val="9"/>
            <rFont val="宋体"/>
            <charset val="0"/>
          </rPr>
          <t xml:space="preserve">
7/1 客供亚马逊外箱贴纸 1pcs</t>
        </r>
      </text>
    </comment>
    <comment ref="AI1712" authorId="2">
      <text>
        <r>
          <rPr>
            <b/>
            <sz val="9"/>
            <rFont val="宋体"/>
            <charset val="0"/>
          </rPr>
          <t>石玉珍:</t>
        </r>
        <r>
          <rPr>
            <sz val="9"/>
            <rFont val="宋体"/>
            <charset val="0"/>
          </rPr>
          <t xml:space="preserve">
2201262 7/8 36pcs</t>
        </r>
      </text>
    </comment>
    <comment ref="AL1712" authorId="2">
      <text>
        <r>
          <rPr>
            <b/>
            <sz val="9"/>
            <rFont val="宋体"/>
            <charset val="0"/>
          </rPr>
          <t>石玉珍:</t>
        </r>
        <r>
          <rPr>
            <sz val="9"/>
            <rFont val="宋体"/>
            <charset val="0"/>
          </rPr>
          <t xml:space="preserve">
7/1 客供亚马逊外箱贴纸 3pcs</t>
        </r>
      </text>
    </comment>
    <comment ref="AI1713" authorId="2">
      <text>
        <r>
          <rPr>
            <b/>
            <sz val="9"/>
            <rFont val="宋体"/>
            <charset val="0"/>
          </rPr>
          <t>石玉珍:</t>
        </r>
        <r>
          <rPr>
            <sz val="9"/>
            <rFont val="宋体"/>
            <charset val="0"/>
          </rPr>
          <t xml:space="preserve">
2201262 7/8 12pcs</t>
        </r>
      </text>
    </comment>
    <comment ref="AL1713" authorId="2">
      <text>
        <r>
          <rPr>
            <b/>
            <sz val="9"/>
            <rFont val="宋体"/>
            <charset val="0"/>
          </rPr>
          <t>石玉珍:</t>
        </r>
        <r>
          <rPr>
            <sz val="9"/>
            <rFont val="宋体"/>
            <charset val="0"/>
          </rPr>
          <t xml:space="preserve">
7/1 客供亚马逊外箱贴纸 1pcs</t>
        </r>
      </text>
    </comment>
    <comment ref="AI1714" authorId="2">
      <text>
        <r>
          <rPr>
            <b/>
            <sz val="9"/>
            <rFont val="宋体"/>
            <charset val="0"/>
          </rPr>
          <t>石玉珍:</t>
        </r>
        <r>
          <rPr>
            <sz val="9"/>
            <rFont val="宋体"/>
            <charset val="0"/>
          </rPr>
          <t xml:space="preserve">
2201262 7/8 48pcs</t>
        </r>
      </text>
    </comment>
    <comment ref="AL1714" authorId="2">
      <text>
        <r>
          <rPr>
            <b/>
            <sz val="9"/>
            <rFont val="宋体"/>
            <charset val="0"/>
          </rPr>
          <t>石玉珍:</t>
        </r>
        <r>
          <rPr>
            <sz val="9"/>
            <rFont val="宋体"/>
            <charset val="0"/>
          </rPr>
          <t xml:space="preserve">
7/1 客供亚马逊外箱贴纸 4pcs</t>
        </r>
      </text>
    </comment>
    <comment ref="AI1715" authorId="2">
      <text>
        <r>
          <rPr>
            <b/>
            <sz val="9"/>
            <rFont val="宋体"/>
            <charset val="0"/>
          </rPr>
          <t>石玉珍:</t>
        </r>
        <r>
          <rPr>
            <sz val="9"/>
            <rFont val="宋体"/>
            <charset val="0"/>
          </rPr>
          <t xml:space="preserve">
2201262 7/8 12pcs</t>
        </r>
      </text>
    </comment>
    <comment ref="AL1715" authorId="2">
      <text>
        <r>
          <rPr>
            <b/>
            <sz val="9"/>
            <rFont val="宋体"/>
            <charset val="0"/>
          </rPr>
          <t>石玉珍:</t>
        </r>
        <r>
          <rPr>
            <sz val="9"/>
            <rFont val="宋体"/>
            <charset val="0"/>
          </rPr>
          <t xml:space="preserve">
7/1 客供亚马逊外箱贴纸 1pcs</t>
        </r>
      </text>
    </comment>
    <comment ref="AI1716" authorId="2">
      <text>
        <r>
          <rPr>
            <b/>
            <sz val="9"/>
            <rFont val="宋体"/>
            <charset val="0"/>
          </rPr>
          <t>石玉珍:</t>
        </r>
        <r>
          <rPr>
            <sz val="9"/>
            <rFont val="宋体"/>
            <charset val="0"/>
          </rPr>
          <t xml:space="preserve">
2201262 7/8 216pcs</t>
        </r>
      </text>
    </comment>
    <comment ref="AL1716" authorId="2">
      <text>
        <r>
          <rPr>
            <b/>
            <sz val="9"/>
            <rFont val="宋体"/>
            <charset val="0"/>
          </rPr>
          <t>石玉珍:</t>
        </r>
        <r>
          <rPr>
            <sz val="9"/>
            <rFont val="宋体"/>
            <charset val="0"/>
          </rPr>
          <t xml:space="preserve">
7/1 客供亚马逊外箱贴纸 18pcs</t>
        </r>
      </text>
    </comment>
    <comment ref="AI1717" authorId="2">
      <text>
        <r>
          <rPr>
            <b/>
            <sz val="9"/>
            <rFont val="宋体"/>
            <charset val="0"/>
          </rPr>
          <t>石玉珍:</t>
        </r>
        <r>
          <rPr>
            <sz val="9"/>
            <rFont val="宋体"/>
            <charset val="0"/>
          </rPr>
          <t xml:space="preserve">
2201259 7/8 1248pcs</t>
        </r>
      </text>
    </comment>
    <comment ref="AL1717" authorId="2">
      <text>
        <r>
          <rPr>
            <b/>
            <sz val="9"/>
            <rFont val="宋体"/>
            <charset val="0"/>
          </rPr>
          <t>石玉珍:</t>
        </r>
        <r>
          <rPr>
            <sz val="9"/>
            <rFont val="宋体"/>
            <charset val="0"/>
          </rPr>
          <t xml:space="preserve">
7/3 客供亚马逊外箱贴纸 104pcs</t>
        </r>
      </text>
    </comment>
    <comment ref="AI1718" authorId="2">
      <text>
        <r>
          <rPr>
            <b/>
            <sz val="9"/>
            <rFont val="宋体"/>
            <charset val="0"/>
          </rPr>
          <t>石玉珍:</t>
        </r>
        <r>
          <rPr>
            <sz val="9"/>
            <rFont val="宋体"/>
            <charset val="0"/>
          </rPr>
          <t xml:space="preserve">
 2201259 7/8 504pcs</t>
        </r>
      </text>
    </comment>
    <comment ref="AL1718" authorId="2">
      <text>
        <r>
          <rPr>
            <b/>
            <sz val="9"/>
            <rFont val="宋体"/>
            <charset val="0"/>
          </rPr>
          <t>石玉珍:</t>
        </r>
        <r>
          <rPr>
            <sz val="9"/>
            <rFont val="宋体"/>
            <charset val="0"/>
          </rPr>
          <t xml:space="preserve">
7/3 客供亚马逊外箱贴纸 504pcs</t>
        </r>
      </text>
    </comment>
    <comment ref="AI1719" authorId="2">
      <text>
        <r>
          <rPr>
            <b/>
            <sz val="9"/>
            <rFont val="宋体"/>
            <charset val="0"/>
          </rPr>
          <t>石玉珍:</t>
        </r>
        <r>
          <rPr>
            <sz val="9"/>
            <rFont val="宋体"/>
            <charset val="0"/>
          </rPr>
          <t xml:space="preserve">
1001903 7/16 12200pcs</t>
        </r>
      </text>
    </comment>
    <comment ref="AL1719" authorId="0">
      <text>
        <r>
          <rPr>
            <b/>
            <sz val="9"/>
            <rFont val="宋体"/>
            <charset val="134"/>
          </rPr>
          <t>Administrator:</t>
        </r>
        <r>
          <rPr>
            <sz val="9"/>
            <rFont val="宋体"/>
            <charset val="134"/>
          </rPr>
          <t xml:space="preserve">
4/7 UPC条码贴纸 12200pcs
</t>
        </r>
      </text>
    </comment>
    <comment ref="AI1720" authorId="2">
      <text>
        <r>
          <rPr>
            <b/>
            <sz val="9"/>
            <rFont val="宋体"/>
            <charset val="0"/>
          </rPr>
          <t>石玉珍:</t>
        </r>
        <r>
          <rPr>
            <sz val="9"/>
            <rFont val="宋体"/>
            <charset val="0"/>
          </rPr>
          <t xml:space="preserve">
1001903 7/16 12200pcs</t>
        </r>
      </text>
    </comment>
    <comment ref="AL1720" authorId="0">
      <text>
        <r>
          <rPr>
            <b/>
            <sz val="9"/>
            <rFont val="宋体"/>
            <charset val="134"/>
          </rPr>
          <t>Administrator:</t>
        </r>
        <r>
          <rPr>
            <sz val="9"/>
            <rFont val="宋体"/>
            <charset val="134"/>
          </rPr>
          <t xml:space="preserve">
4/7 UPC条码贴纸 12200pcs</t>
        </r>
      </text>
    </comment>
    <comment ref="AI1721" authorId="2">
      <text>
        <r>
          <rPr>
            <b/>
            <sz val="9"/>
            <rFont val="宋体"/>
            <charset val="0"/>
          </rPr>
          <t>石玉珍:</t>
        </r>
        <r>
          <rPr>
            <sz val="9"/>
            <rFont val="宋体"/>
            <charset val="0"/>
          </rPr>
          <t xml:space="preserve">
1001903 7/16 6000pcs</t>
        </r>
      </text>
    </comment>
    <comment ref="AL1721" authorId="2">
      <text>
        <r>
          <rPr>
            <b/>
            <sz val="9"/>
            <rFont val="宋体"/>
            <charset val="0"/>
          </rPr>
          <t>石玉珍:</t>
        </r>
        <r>
          <rPr>
            <sz val="9"/>
            <rFont val="宋体"/>
            <charset val="0"/>
          </rPr>
          <t xml:space="preserve">
6/10 西班牙环保标贴纸 6000pcs</t>
        </r>
      </text>
    </comment>
    <comment ref="AI1722" authorId="2">
      <text>
        <r>
          <rPr>
            <b/>
            <sz val="9"/>
            <rFont val="宋体"/>
            <charset val="0"/>
          </rPr>
          <t>石玉珍:</t>
        </r>
        <r>
          <rPr>
            <sz val="9"/>
            <rFont val="宋体"/>
            <charset val="0"/>
          </rPr>
          <t xml:space="preserve">
1001903 7/16 200pcs</t>
        </r>
      </text>
    </comment>
    <comment ref="AL1722" authorId="2">
      <text>
        <r>
          <rPr>
            <b/>
            <sz val="9"/>
            <rFont val="宋体"/>
            <charset val="0"/>
          </rPr>
          <t>石玉珍:</t>
        </r>
        <r>
          <rPr>
            <sz val="9"/>
            <rFont val="宋体"/>
            <charset val="0"/>
          </rPr>
          <t xml:space="preserve">
7/6 法国回收logo贴纸 200pcs</t>
        </r>
      </text>
    </comment>
    <comment ref="AI1723" authorId="2">
      <text>
        <r>
          <rPr>
            <b/>
            <sz val="9"/>
            <rFont val="宋体"/>
            <charset val="0"/>
          </rPr>
          <t>石玉珍:</t>
        </r>
        <r>
          <rPr>
            <sz val="9"/>
            <rFont val="宋体"/>
            <charset val="0"/>
          </rPr>
          <t xml:space="preserve">
1001886 7/16 720pcs</t>
        </r>
      </text>
    </comment>
    <comment ref="AL1723" authorId="2">
      <text>
        <r>
          <rPr>
            <b/>
            <sz val="9"/>
            <rFont val="宋体"/>
            <charset val="0"/>
          </rPr>
          <t>石玉珍:</t>
        </r>
        <r>
          <rPr>
            <sz val="9"/>
            <rFont val="宋体"/>
            <charset val="0"/>
          </rPr>
          <t xml:space="preserve">
7/6 进口商内容贴纸/西班牙环保 720pcs</t>
        </r>
      </text>
    </comment>
    <comment ref="AI1724" authorId="2">
      <text>
        <r>
          <rPr>
            <b/>
            <sz val="9"/>
            <rFont val="宋体"/>
            <charset val="0"/>
          </rPr>
          <t>石玉珍:</t>
        </r>
        <r>
          <rPr>
            <sz val="9"/>
            <rFont val="宋体"/>
            <charset val="0"/>
          </rPr>
          <t xml:space="preserve">
1001900 7/16 3200pcs</t>
        </r>
      </text>
    </comment>
    <comment ref="AI1725" authorId="2">
      <text>
        <r>
          <rPr>
            <b/>
            <sz val="9"/>
            <rFont val="宋体"/>
            <charset val="0"/>
          </rPr>
          <t>石玉珍:</t>
        </r>
        <r>
          <rPr>
            <sz val="9"/>
            <rFont val="宋体"/>
            <charset val="0"/>
          </rPr>
          <t xml:space="preserve">
1001900 7/16 9750pcs</t>
        </r>
      </text>
    </comment>
    <comment ref="AI1726" authorId="2">
      <text>
        <r>
          <rPr>
            <b/>
            <sz val="9"/>
            <rFont val="宋体"/>
            <charset val="0"/>
          </rPr>
          <t>石玉珍:</t>
        </r>
        <r>
          <rPr>
            <sz val="9"/>
            <rFont val="宋体"/>
            <charset val="0"/>
          </rPr>
          <t xml:space="preserve">
1001900 7/16 5252pcs</t>
        </r>
      </text>
    </comment>
    <comment ref="AI1727" authorId="2">
      <text>
        <r>
          <rPr>
            <b/>
            <sz val="9"/>
            <rFont val="宋体"/>
            <charset val="0"/>
          </rPr>
          <t>石玉珍:</t>
        </r>
        <r>
          <rPr>
            <sz val="9"/>
            <rFont val="宋体"/>
            <charset val="0"/>
          </rPr>
          <t xml:space="preserve">
1001903 7/16 2400pcs</t>
        </r>
      </text>
    </comment>
    <comment ref="AL1727" authorId="2">
      <text>
        <r>
          <rPr>
            <b/>
            <sz val="9"/>
            <rFont val="宋体"/>
            <charset val="0"/>
          </rPr>
          <t>石玉珍:</t>
        </r>
        <r>
          <rPr>
            <sz val="9"/>
            <rFont val="宋体"/>
            <charset val="0"/>
          </rPr>
          <t xml:space="preserve">
7/8 进口商贴纸 2400pcs</t>
        </r>
      </text>
    </comment>
    <comment ref="AI1728" authorId="2">
      <text>
        <r>
          <rPr>
            <b/>
            <sz val="9"/>
            <rFont val="宋体"/>
            <charset val="0"/>
          </rPr>
          <t>石玉珍:</t>
        </r>
        <r>
          <rPr>
            <sz val="9"/>
            <rFont val="宋体"/>
            <charset val="0"/>
          </rPr>
          <t xml:space="preserve">
1001900 7/16 520pcs</t>
        </r>
      </text>
    </comment>
    <comment ref="AL1728" authorId="2">
      <text>
        <r>
          <rPr>
            <b/>
            <sz val="9"/>
            <rFont val="宋体"/>
            <charset val="0"/>
          </rPr>
          <t>石玉珍:</t>
        </r>
        <r>
          <rPr>
            <sz val="9"/>
            <rFont val="宋体"/>
            <charset val="0"/>
          </rPr>
          <t xml:space="preserve">
6/23 进口商贴纸 520pcs
UPC条码贴纸3 520pcs</t>
        </r>
      </text>
    </comment>
    <comment ref="AI1729" authorId="2">
      <text>
        <r>
          <rPr>
            <b/>
            <sz val="9"/>
            <rFont val="宋体"/>
            <charset val="0"/>
          </rPr>
          <t>石玉珍:</t>
        </r>
        <r>
          <rPr>
            <sz val="9"/>
            <rFont val="宋体"/>
            <charset val="0"/>
          </rPr>
          <t xml:space="preserve">
1001924 7/15 4575pcs</t>
        </r>
      </text>
    </comment>
    <comment ref="AI1730" authorId="2">
      <text>
        <r>
          <rPr>
            <b/>
            <sz val="9"/>
            <rFont val="宋体"/>
            <charset val="0"/>
          </rPr>
          <t>石玉珍:</t>
        </r>
        <r>
          <rPr>
            <sz val="9"/>
            <rFont val="宋体"/>
            <charset val="0"/>
          </rPr>
          <t xml:space="preserve">
1001924 7/15 2475pcs</t>
        </r>
      </text>
    </comment>
    <comment ref="AI1731" authorId="2">
      <text>
        <r>
          <rPr>
            <b/>
            <sz val="9"/>
            <rFont val="宋体"/>
            <charset val="0"/>
          </rPr>
          <t>石玉珍:</t>
        </r>
        <r>
          <rPr>
            <sz val="9"/>
            <rFont val="宋体"/>
            <charset val="0"/>
          </rPr>
          <t xml:space="preserve">
1001900 7/16 2475pcs</t>
        </r>
      </text>
    </comment>
    <comment ref="AI1732" authorId="2">
      <text>
        <r>
          <rPr>
            <b/>
            <sz val="9"/>
            <rFont val="宋体"/>
            <charset val="0"/>
          </rPr>
          <t>石玉珍:</t>
        </r>
        <r>
          <rPr>
            <sz val="9"/>
            <rFont val="宋体"/>
            <charset val="0"/>
          </rPr>
          <t xml:space="preserve">
1001900 7/16 1325pcs</t>
        </r>
      </text>
    </comment>
    <comment ref="AI1733" authorId="2">
      <text>
        <r>
          <rPr>
            <b/>
            <sz val="9"/>
            <rFont val="宋体"/>
            <charset val="0"/>
          </rPr>
          <t>石玉珍:</t>
        </r>
        <r>
          <rPr>
            <sz val="9"/>
            <rFont val="宋体"/>
            <charset val="0"/>
          </rPr>
          <t xml:space="preserve">
1001886 7/16 910pcs</t>
        </r>
      </text>
    </comment>
    <comment ref="AI1734" authorId="2">
      <text>
        <r>
          <rPr>
            <b/>
            <sz val="9"/>
            <rFont val="宋体"/>
            <charset val="0"/>
          </rPr>
          <t>石玉珍:</t>
        </r>
        <r>
          <rPr>
            <sz val="9"/>
            <rFont val="宋体"/>
            <charset val="0"/>
          </rPr>
          <t xml:space="preserve">
1001866 7/18 2100pcs</t>
        </r>
      </text>
    </comment>
    <comment ref="AL1734" authorId="2">
      <text>
        <r>
          <rPr>
            <b/>
            <sz val="9"/>
            <rFont val="宋体"/>
            <charset val="0"/>
          </rPr>
          <t>石玉珍:</t>
        </r>
        <r>
          <rPr>
            <sz val="9"/>
            <rFont val="宋体"/>
            <charset val="0"/>
          </rPr>
          <t xml:space="preserve">
7/8 条码贴纸 2100pcs</t>
        </r>
        <r>
          <rPr>
            <b/>
            <sz val="9"/>
            <rFont val="宋体"/>
            <charset val="0"/>
          </rPr>
          <t xml:space="preserve">
石玉珍:</t>
        </r>
        <r>
          <rPr>
            <sz val="9"/>
            <rFont val="宋体"/>
            <charset val="0"/>
          </rPr>
          <t xml:space="preserve">
进口商贴纸 2100pcs</t>
        </r>
      </text>
    </comment>
    <comment ref="BW1734" authorId="3">
      <text>
        <r>
          <rPr>
            <sz val="9"/>
            <rFont val="宋体"/>
            <charset val="134"/>
          </rPr>
          <t>C版本收藏指南</t>
        </r>
      </text>
    </comment>
    <comment ref="AI1735" authorId="2">
      <text>
        <r>
          <rPr>
            <b/>
            <sz val="9"/>
            <rFont val="宋体"/>
            <charset val="0"/>
          </rPr>
          <t>石玉珍:</t>
        </r>
        <r>
          <rPr>
            <sz val="9"/>
            <rFont val="宋体"/>
            <charset val="0"/>
          </rPr>
          <t xml:space="preserve">
2801317 7/18 3000pcs</t>
        </r>
      </text>
    </comment>
    <comment ref="AL1735" authorId="2">
      <text>
        <r>
          <rPr>
            <b/>
            <sz val="9"/>
            <rFont val="宋体"/>
            <charset val="0"/>
          </rPr>
          <t>石玉珍:</t>
        </r>
        <r>
          <rPr>
            <sz val="9"/>
            <rFont val="宋体"/>
            <charset val="0"/>
          </rPr>
          <t xml:space="preserve">
6/26 客供价格贴纸 3183pcs</t>
        </r>
        <r>
          <rPr>
            <b/>
            <sz val="9"/>
            <rFont val="宋体"/>
            <charset val="0"/>
          </rPr>
          <t xml:space="preserve">
石玉珍:</t>
        </r>
        <r>
          <rPr>
            <sz val="9"/>
            <rFont val="宋体"/>
            <charset val="0"/>
          </rPr>
          <t xml:space="preserve">
6/29 UCC外箱贴纸 375pcs</t>
        </r>
      </text>
    </comment>
    <comment ref="AI1736" authorId="2">
      <text>
        <r>
          <rPr>
            <b/>
            <sz val="9"/>
            <rFont val="宋体"/>
            <charset val="0"/>
          </rPr>
          <t>石玉珍:</t>
        </r>
        <r>
          <rPr>
            <sz val="9"/>
            <rFont val="宋体"/>
            <charset val="0"/>
          </rPr>
          <t xml:space="preserve">
1001866 7/18 1500pcs</t>
        </r>
      </text>
    </comment>
    <comment ref="AL1736" authorId="2">
      <text>
        <r>
          <rPr>
            <b/>
            <sz val="9"/>
            <rFont val="宋体"/>
            <charset val="0"/>
          </rPr>
          <t>石玉珍:</t>
        </r>
        <r>
          <rPr>
            <sz val="9"/>
            <rFont val="宋体"/>
            <charset val="0"/>
          </rPr>
          <t xml:space="preserve">
7/7 进口商贴纸 /UPC条码贴纸 1500pcs</t>
        </r>
      </text>
    </comment>
    <comment ref="AI1737" authorId="2">
      <text>
        <r>
          <rPr>
            <b/>
            <sz val="9"/>
            <rFont val="宋体"/>
            <charset val="0"/>
          </rPr>
          <t>石玉珍:</t>
        </r>
        <r>
          <rPr>
            <sz val="9"/>
            <rFont val="宋体"/>
            <charset val="0"/>
          </rPr>
          <t xml:space="preserve">
1001775 7/18 4000pcs</t>
        </r>
      </text>
    </comment>
    <comment ref="AL1737" authorId="2">
      <text>
        <r>
          <rPr>
            <b/>
            <sz val="9"/>
            <rFont val="宋体"/>
            <charset val="0"/>
          </rPr>
          <t>石玉珍:</t>
        </r>
        <r>
          <rPr>
            <sz val="9"/>
            <rFont val="宋体"/>
            <charset val="0"/>
          </rPr>
          <t xml:space="preserve">
7/6 CONCENTRA客人logo贴纸 4000pcs
客户进口商贴纸 4000pcs</t>
        </r>
      </text>
    </comment>
    <comment ref="AI1738" authorId="2">
      <text>
        <r>
          <rPr>
            <b/>
            <sz val="9"/>
            <rFont val="宋体"/>
            <charset val="0"/>
          </rPr>
          <t>石玉珍:</t>
        </r>
        <r>
          <rPr>
            <sz val="9"/>
            <rFont val="宋体"/>
            <charset val="0"/>
          </rPr>
          <t xml:space="preserve">
1001866 7/18 4277pcs</t>
        </r>
      </text>
    </comment>
    <comment ref="AL1738" authorId="2">
      <text>
        <r>
          <rPr>
            <b/>
            <sz val="9"/>
            <rFont val="宋体"/>
            <charset val="0"/>
          </rPr>
          <t>石玉珍:</t>
        </r>
        <r>
          <rPr>
            <sz val="9"/>
            <rFont val="宋体"/>
            <charset val="0"/>
          </rPr>
          <t xml:space="preserve">
6/16 客供防伪帖纸 4277pcs</t>
        </r>
      </text>
    </comment>
    <comment ref="AI1739" authorId="2">
      <text>
        <r>
          <rPr>
            <b/>
            <sz val="9"/>
            <rFont val="宋体"/>
            <charset val="0"/>
          </rPr>
          <t>石玉珍:</t>
        </r>
        <r>
          <rPr>
            <sz val="9"/>
            <rFont val="宋体"/>
            <charset val="0"/>
          </rPr>
          <t xml:space="preserve">
1001885 7/18 1300pcs</t>
        </r>
      </text>
    </comment>
    <comment ref="AL1739" authorId="2">
      <text>
        <r>
          <rPr>
            <b/>
            <sz val="9"/>
            <rFont val="宋体"/>
            <charset val="0"/>
          </rPr>
          <t>石玉珍:</t>
        </r>
        <r>
          <rPr>
            <sz val="9"/>
            <rFont val="宋体"/>
            <charset val="0"/>
          </rPr>
          <t xml:space="preserve">
6/26 客供外箱条码贴纸 26pcs</t>
        </r>
      </text>
    </comment>
    <comment ref="AI1740" authorId="2">
      <text>
        <r>
          <rPr>
            <b/>
            <sz val="9"/>
            <rFont val="宋体"/>
            <charset val="0"/>
          </rPr>
          <t>石玉珍:</t>
        </r>
        <r>
          <rPr>
            <sz val="9"/>
            <rFont val="宋体"/>
            <charset val="0"/>
          </rPr>
          <t xml:space="preserve">
1001866 7/18 1300pcs</t>
        </r>
      </text>
    </comment>
    <comment ref="AL1740" authorId="2">
      <text>
        <r>
          <rPr>
            <b/>
            <sz val="9"/>
            <rFont val="宋体"/>
            <charset val="0"/>
          </rPr>
          <t>石玉珍:</t>
        </r>
        <r>
          <rPr>
            <sz val="9"/>
            <rFont val="宋体"/>
            <charset val="0"/>
          </rPr>
          <t xml:space="preserve">
7/8 UPC条码贴纸 1300pcs</t>
        </r>
        <r>
          <rPr>
            <b/>
            <sz val="9"/>
            <rFont val="宋体"/>
            <charset val="0"/>
          </rPr>
          <t xml:space="preserve">
石玉珍:</t>
        </r>
        <r>
          <rPr>
            <sz val="9"/>
            <rFont val="宋体"/>
            <charset val="0"/>
          </rPr>
          <t xml:space="preserve">
进口商贴纸 1700pcs</t>
        </r>
      </text>
    </comment>
    <comment ref="AI1741" authorId="2">
      <text>
        <r>
          <rPr>
            <b/>
            <sz val="9"/>
            <rFont val="宋体"/>
            <charset val="0"/>
          </rPr>
          <t>石玉珍:</t>
        </r>
        <r>
          <rPr>
            <sz val="9"/>
            <rFont val="宋体"/>
            <charset val="0"/>
          </rPr>
          <t xml:space="preserve">
1001866 7/18 2400pcs</t>
        </r>
      </text>
    </comment>
    <comment ref="AL1741" authorId="2">
      <text>
        <r>
          <rPr>
            <b/>
            <sz val="9"/>
            <rFont val="宋体"/>
            <charset val="0"/>
          </rPr>
          <t>石玉珍:</t>
        </r>
        <r>
          <rPr>
            <sz val="9"/>
            <rFont val="宋体"/>
            <charset val="0"/>
          </rPr>
          <t xml:space="preserve">
7/8 UPC条码贴纸 2400pcs</t>
        </r>
        <r>
          <rPr>
            <b/>
            <sz val="9"/>
            <rFont val="宋体"/>
            <charset val="0"/>
          </rPr>
          <t xml:space="preserve">
石玉珍:</t>
        </r>
        <r>
          <rPr>
            <sz val="9"/>
            <rFont val="宋体"/>
            <charset val="0"/>
          </rPr>
          <t xml:space="preserve">
进口商贴纸 2400pcs</t>
        </r>
      </text>
    </comment>
    <comment ref="AI1742" authorId="2">
      <text>
        <r>
          <rPr>
            <b/>
            <sz val="9"/>
            <rFont val="宋体"/>
            <charset val="0"/>
          </rPr>
          <t>石玉珍:</t>
        </r>
        <r>
          <rPr>
            <sz val="9"/>
            <rFont val="宋体"/>
            <charset val="0"/>
          </rPr>
          <t xml:space="preserve">
1001866 7/18 1200pcs</t>
        </r>
      </text>
    </comment>
    <comment ref="AL1742" authorId="2">
      <text>
        <r>
          <rPr>
            <b/>
            <sz val="9"/>
            <rFont val="宋体"/>
            <charset val="0"/>
          </rPr>
          <t>石玉珍:</t>
        </r>
        <r>
          <rPr>
            <sz val="9"/>
            <rFont val="宋体"/>
            <charset val="0"/>
          </rPr>
          <t xml:space="preserve">
7/9 UPC贴纸 1200pcs</t>
        </r>
        <r>
          <rPr>
            <b/>
            <sz val="9"/>
            <rFont val="宋体"/>
            <charset val="0"/>
          </rPr>
          <t xml:space="preserve">
石玉珍:</t>
        </r>
        <r>
          <rPr>
            <sz val="9"/>
            <rFont val="宋体"/>
            <charset val="0"/>
          </rPr>
          <t xml:space="preserve">
进口商贴纸 1200pcs</t>
        </r>
      </text>
    </comment>
    <comment ref="AI1743" authorId="2">
      <text>
        <r>
          <rPr>
            <b/>
            <sz val="9"/>
            <rFont val="宋体"/>
            <charset val="0"/>
          </rPr>
          <t>石玉珍:</t>
        </r>
        <r>
          <rPr>
            <sz val="9"/>
            <rFont val="宋体"/>
            <charset val="0"/>
          </rPr>
          <t xml:space="preserve">
1001870 7/18 17280pcs</t>
        </r>
        <r>
          <rPr>
            <b/>
            <sz val="9"/>
            <rFont val="宋体"/>
            <charset val="0"/>
          </rPr>
          <t xml:space="preserve">
石玉珍:</t>
        </r>
        <r>
          <rPr>
            <sz val="9"/>
            <rFont val="宋体"/>
            <charset val="0"/>
          </rPr>
          <t xml:space="preserve">
1001871 7/18 26880pcs</t>
        </r>
      </text>
    </comment>
    <comment ref="AL1743" authorId="2">
      <text>
        <r>
          <rPr>
            <b/>
            <sz val="9"/>
            <rFont val="宋体"/>
            <charset val="0"/>
          </rPr>
          <t>石玉珍:</t>
        </r>
        <r>
          <rPr>
            <sz val="9"/>
            <rFont val="宋体"/>
            <charset val="0"/>
          </rPr>
          <t xml:space="preserve">
6/20 客供防盗贴纸 46000pcs</t>
        </r>
        <r>
          <rPr>
            <b/>
            <sz val="9"/>
            <rFont val="宋体"/>
            <charset val="0"/>
          </rPr>
          <t xml:space="preserve">
石玉珍:</t>
        </r>
        <r>
          <rPr>
            <sz val="9"/>
            <rFont val="宋体"/>
            <charset val="0"/>
          </rPr>
          <t xml:space="preserve">
6/26 白色防盗贴纸 10000pcs</t>
        </r>
        <r>
          <rPr>
            <b/>
            <sz val="9"/>
            <rFont val="宋体"/>
            <charset val="0"/>
          </rPr>
          <t xml:space="preserve">
石玉珍:</t>
        </r>
        <r>
          <rPr>
            <sz val="9"/>
            <rFont val="宋体"/>
            <charset val="0"/>
          </rPr>
          <t xml:space="preserve">
7/1 白色防盗贴纸 10000pcs</t>
        </r>
        <r>
          <rPr>
            <b/>
            <sz val="9"/>
            <rFont val="宋体"/>
            <charset val="0"/>
          </rPr>
          <t xml:space="preserve">
石玉珍:</t>
        </r>
        <r>
          <rPr>
            <sz val="9"/>
            <rFont val="宋体"/>
            <charset val="0"/>
          </rPr>
          <t xml:space="preserve">
7/6 彩色贴纸 7360*2pcs</t>
        </r>
      </text>
    </comment>
    <comment ref="AI1744" authorId="2">
      <text>
        <r>
          <rPr>
            <b/>
            <sz val="9"/>
            <rFont val="宋体"/>
            <charset val="0"/>
          </rPr>
          <t>石玉珍:</t>
        </r>
        <r>
          <rPr>
            <sz val="9"/>
            <rFont val="宋体"/>
            <charset val="0"/>
          </rPr>
          <t xml:space="preserve">
1600544 7/11 432pcs</t>
        </r>
      </text>
    </comment>
    <comment ref="AL1744" authorId="2">
      <text>
        <r>
          <rPr>
            <b/>
            <sz val="9"/>
            <rFont val="宋体"/>
            <charset val="0"/>
          </rPr>
          <t>石玉珍:</t>
        </r>
        <r>
          <rPr>
            <sz val="9"/>
            <rFont val="宋体"/>
            <charset val="0"/>
          </rPr>
          <t xml:space="preserve">
6/8 客供RID贴纸 432pcs</t>
        </r>
        <r>
          <rPr>
            <b/>
            <sz val="9"/>
            <rFont val="宋体"/>
            <charset val="0"/>
          </rPr>
          <t xml:space="preserve">
石玉珍:</t>
        </r>
        <r>
          <rPr>
            <sz val="9"/>
            <rFont val="宋体"/>
            <charset val="0"/>
          </rPr>
          <t xml:space="preserve">
7/20 彩色placard贴纸 18*2pcs</t>
        </r>
      </text>
    </comment>
    <comment ref="AI1745" authorId="2">
      <text>
        <r>
          <rPr>
            <b/>
            <sz val="9"/>
            <rFont val="宋体"/>
            <charset val="0"/>
          </rPr>
          <t>石玉珍:</t>
        </r>
        <r>
          <rPr>
            <sz val="9"/>
            <rFont val="宋体"/>
            <charset val="0"/>
          </rPr>
          <t xml:space="preserve">
2801331 7/21 1464pcs</t>
        </r>
        <r>
          <rPr>
            <b/>
            <sz val="9"/>
            <rFont val="宋体"/>
            <charset val="0"/>
          </rPr>
          <t xml:space="preserve">
石玉珍:</t>
        </r>
        <r>
          <rPr>
            <sz val="9"/>
            <rFont val="宋体"/>
            <charset val="0"/>
          </rPr>
          <t xml:space="preserve">
2801332 7/21 36pcs</t>
        </r>
      </text>
    </comment>
    <comment ref="AL1745" authorId="2">
      <text>
        <r>
          <rPr>
            <b/>
            <sz val="9"/>
            <rFont val="宋体"/>
            <charset val="0"/>
          </rPr>
          <t>石玉珍:</t>
        </r>
        <r>
          <rPr>
            <sz val="9"/>
            <rFont val="宋体"/>
            <charset val="0"/>
          </rPr>
          <t xml:space="preserve">
6/10 EAN贴纸 1500pcs</t>
        </r>
        <r>
          <rPr>
            <b/>
            <sz val="9"/>
            <rFont val="宋体"/>
            <charset val="0"/>
          </rPr>
          <t xml:space="preserve">
石玉珍:</t>
        </r>
        <r>
          <rPr>
            <sz val="9"/>
            <rFont val="宋体"/>
            <charset val="0"/>
          </rPr>
          <t xml:space="preserve">
6/10 空白贴纸 3000pcs</t>
        </r>
      </text>
    </comment>
    <comment ref="AI1746" authorId="2">
      <text>
        <r>
          <rPr>
            <b/>
            <sz val="9"/>
            <rFont val="宋体"/>
            <charset val="0"/>
          </rPr>
          <t>石玉珍:</t>
        </r>
        <r>
          <rPr>
            <sz val="9"/>
            <rFont val="宋体"/>
            <charset val="0"/>
          </rPr>
          <t xml:space="preserve">
2801331 7/21 186pcs</t>
        </r>
        <r>
          <rPr>
            <b/>
            <sz val="9"/>
            <rFont val="宋体"/>
            <charset val="0"/>
          </rPr>
          <t xml:space="preserve">
石玉珍:</t>
        </r>
        <r>
          <rPr>
            <sz val="9"/>
            <rFont val="宋体"/>
            <charset val="0"/>
          </rPr>
          <t xml:space="preserve">
2801332 7/21 30pcs</t>
        </r>
      </text>
    </comment>
    <comment ref="AL1746" authorId="2">
      <text>
        <r>
          <rPr>
            <b/>
            <sz val="9"/>
            <rFont val="宋体"/>
            <charset val="0"/>
          </rPr>
          <t>石玉珍:</t>
        </r>
        <r>
          <rPr>
            <sz val="9"/>
            <rFont val="宋体"/>
            <charset val="0"/>
          </rPr>
          <t xml:space="preserve">
7/6 进口商内容贴/条码贴纸 216pcs </t>
        </r>
        <r>
          <rPr>
            <b/>
            <sz val="9"/>
            <rFont val="宋体"/>
            <charset val="0"/>
          </rPr>
          <t xml:space="preserve">
石玉珍:</t>
        </r>
        <r>
          <rPr>
            <sz val="9"/>
            <rFont val="宋体"/>
            <charset val="0"/>
          </rPr>
          <t xml:space="preserve">
空白贴纸 432pcs</t>
        </r>
      </text>
    </comment>
    <comment ref="AI1747" authorId="2">
      <text>
        <r>
          <rPr>
            <b/>
            <sz val="9"/>
            <rFont val="宋体"/>
            <charset val="0"/>
          </rPr>
          <t>石玉珍:</t>
        </r>
        <r>
          <rPr>
            <sz val="9"/>
            <rFont val="宋体"/>
            <charset val="0"/>
          </rPr>
          <t xml:space="preserve">
1001852 7/23 204pcs</t>
        </r>
      </text>
    </comment>
    <comment ref="AL1747" authorId="2">
      <text>
        <r>
          <rPr>
            <b/>
            <sz val="9"/>
            <rFont val="宋体"/>
            <charset val="0"/>
          </rPr>
          <t>石玉珍:</t>
        </r>
        <r>
          <rPr>
            <sz val="9"/>
            <rFont val="宋体"/>
            <charset val="0"/>
          </rPr>
          <t xml:space="preserve">
6/12 空白贴纸 408pcs</t>
        </r>
      </text>
    </comment>
    <comment ref="AI1748" authorId="2">
      <text>
        <r>
          <rPr>
            <b/>
            <sz val="9"/>
            <rFont val="宋体"/>
            <charset val="0"/>
          </rPr>
          <t>石玉珍:</t>
        </r>
        <r>
          <rPr>
            <sz val="9"/>
            <rFont val="宋体"/>
            <charset val="0"/>
          </rPr>
          <t xml:space="preserve">
1001852 7/23 1404pcs</t>
        </r>
      </text>
    </comment>
    <comment ref="AL1748" authorId="2">
      <text>
        <r>
          <rPr>
            <b/>
            <sz val="9"/>
            <rFont val="宋体"/>
            <charset val="0"/>
          </rPr>
          <t>石玉珍:</t>
        </r>
        <r>
          <rPr>
            <sz val="9"/>
            <rFont val="宋体"/>
            <charset val="0"/>
          </rPr>
          <t xml:space="preserve">
6/12 空白贴纸 2808pcs</t>
        </r>
        <r>
          <rPr>
            <b/>
            <sz val="9"/>
            <rFont val="宋体"/>
            <charset val="0"/>
          </rPr>
          <t xml:space="preserve">
石玉珍:</t>
        </r>
        <r>
          <rPr>
            <sz val="9"/>
            <rFont val="宋体"/>
            <charset val="0"/>
          </rPr>
          <t xml:space="preserve">
6/16 客供价格贴纸 1404pcs</t>
        </r>
      </text>
    </comment>
    <comment ref="AI1749" authorId="2">
      <text>
        <r>
          <rPr>
            <b/>
            <sz val="9"/>
            <rFont val="宋体"/>
            <charset val="0"/>
          </rPr>
          <t>石玉珍:</t>
        </r>
        <r>
          <rPr>
            <sz val="9"/>
            <rFont val="宋体"/>
            <charset val="0"/>
          </rPr>
          <t xml:space="preserve">
1001749 7/22 7800pcs</t>
        </r>
      </text>
    </comment>
    <comment ref="AL1749" authorId="2">
      <text>
        <r>
          <rPr>
            <b/>
            <sz val="9"/>
            <rFont val="宋体"/>
            <charset val="0"/>
          </rPr>
          <t>石玉珍:</t>
        </r>
        <r>
          <rPr>
            <sz val="9"/>
            <rFont val="宋体"/>
            <charset val="0"/>
          </rPr>
          <t xml:space="preserve">
6/23 条码贴纸 7800pcs</t>
        </r>
        <r>
          <rPr>
            <b/>
            <sz val="9"/>
            <rFont val="宋体"/>
            <charset val="0"/>
          </rPr>
          <t xml:space="preserve">
石玉珍:</t>
        </r>
        <r>
          <rPr>
            <sz val="9"/>
            <rFont val="宋体"/>
            <charset val="0"/>
          </rPr>
          <t xml:space="preserve">
6/27 客供防窜码贴纸1拖13 600pcs</t>
        </r>
      </text>
    </comment>
    <comment ref="AI1750" authorId="2">
      <text>
        <r>
          <rPr>
            <b/>
            <sz val="9"/>
            <rFont val="宋体"/>
            <charset val="0"/>
          </rPr>
          <t>石玉珍:</t>
        </r>
        <r>
          <rPr>
            <sz val="9"/>
            <rFont val="宋体"/>
            <charset val="0"/>
          </rPr>
          <t xml:space="preserve">
2801331 7/21 378pcs</t>
        </r>
        <r>
          <rPr>
            <b/>
            <sz val="9"/>
            <rFont val="宋体"/>
            <charset val="0"/>
          </rPr>
          <t xml:space="preserve">
石玉珍:</t>
        </r>
        <r>
          <rPr>
            <sz val="9"/>
            <rFont val="宋体"/>
            <charset val="0"/>
          </rPr>
          <t xml:space="preserve">
2801332 7/21 6144pcs</t>
        </r>
      </text>
    </comment>
    <comment ref="AL1750" authorId="2">
      <text>
        <r>
          <rPr>
            <b/>
            <sz val="9"/>
            <rFont val="宋体"/>
            <charset val="0"/>
          </rPr>
          <t>石玉珍:</t>
        </r>
        <r>
          <rPr>
            <sz val="9"/>
            <rFont val="宋体"/>
            <charset val="0"/>
          </rPr>
          <t xml:space="preserve">
7/7 EAN贴纸 6522pcs</t>
        </r>
        <r>
          <rPr>
            <b/>
            <sz val="9"/>
            <rFont val="宋体"/>
            <charset val="0"/>
          </rPr>
          <t xml:space="preserve">
石玉珍:</t>
        </r>
        <r>
          <rPr>
            <sz val="9"/>
            <rFont val="宋体"/>
            <charset val="0"/>
          </rPr>
          <t xml:space="preserve">
7/7 空白贴纸   13044pcs</t>
        </r>
      </text>
    </comment>
    <comment ref="AI1751" authorId="2">
      <text>
        <r>
          <rPr>
            <b/>
            <sz val="9"/>
            <rFont val="宋体"/>
            <charset val="0"/>
          </rPr>
          <t>石玉珍:</t>
        </r>
        <r>
          <rPr>
            <sz val="9"/>
            <rFont val="宋体"/>
            <charset val="0"/>
          </rPr>
          <t xml:space="preserve">
2801355 7/24 1938pcs</t>
        </r>
      </text>
    </comment>
    <comment ref="AL1751" authorId="2">
      <text>
        <r>
          <rPr>
            <b/>
            <sz val="9"/>
            <rFont val="宋体"/>
            <charset val="0"/>
          </rPr>
          <t>石玉珍:</t>
        </r>
        <r>
          <rPr>
            <sz val="9"/>
            <rFont val="宋体"/>
            <charset val="0"/>
          </rPr>
          <t xml:space="preserve">
7/8 EAN条码贴纸 1938pcs
进口商贴纸3 1938pcs
产品贴纸 3876pcs
空白贴纸 3876pcs</t>
        </r>
        <r>
          <rPr>
            <b/>
            <sz val="9"/>
            <rFont val="宋体"/>
            <charset val="0"/>
          </rPr>
          <t xml:space="preserve">
石玉珍:</t>
        </r>
        <r>
          <rPr>
            <sz val="9"/>
            <rFont val="宋体"/>
            <charset val="0"/>
          </rPr>
          <t xml:space="preserve">
7/15 WEEE说明书贴纸 1938pcs</t>
        </r>
      </text>
    </comment>
    <comment ref="AI1752" authorId="2">
      <text>
        <r>
          <rPr>
            <b/>
            <sz val="9"/>
            <rFont val="宋体"/>
            <charset val="0"/>
          </rPr>
          <t>石玉珍:</t>
        </r>
        <r>
          <rPr>
            <sz val="9"/>
            <rFont val="宋体"/>
            <charset val="0"/>
          </rPr>
          <t xml:space="preserve">
1001848 7/23 19400pcs</t>
        </r>
      </text>
    </comment>
    <comment ref="AL1752" authorId="2">
      <text>
        <r>
          <rPr>
            <b/>
            <sz val="9"/>
            <rFont val="宋体"/>
            <charset val="0"/>
          </rPr>
          <t>石玉珍:</t>
        </r>
        <r>
          <rPr>
            <sz val="9"/>
            <rFont val="宋体"/>
            <charset val="0"/>
          </rPr>
          <t xml:space="preserve">
7/7 环保标贴纸 19400pcs</t>
        </r>
      </text>
    </comment>
    <comment ref="AI1753" authorId="2">
      <text>
        <r>
          <rPr>
            <b/>
            <sz val="9"/>
            <rFont val="宋体"/>
            <charset val="0"/>
          </rPr>
          <t>石玉珍:</t>
        </r>
        <r>
          <rPr>
            <sz val="9"/>
            <rFont val="宋体"/>
            <charset val="0"/>
          </rPr>
          <t xml:space="preserve">
1001725 7/20 72pcs</t>
        </r>
      </text>
    </comment>
    <comment ref="AI1754" authorId="2">
      <text>
        <r>
          <rPr>
            <b/>
            <sz val="9"/>
            <rFont val="宋体"/>
            <charset val="0"/>
          </rPr>
          <t>石玉珍:</t>
        </r>
        <r>
          <rPr>
            <sz val="9"/>
            <rFont val="宋体"/>
            <charset val="0"/>
          </rPr>
          <t xml:space="preserve">
1001725 7/20 144pcs</t>
        </r>
      </text>
    </comment>
    <comment ref="AI1755" authorId="2">
      <text>
        <r>
          <rPr>
            <b/>
            <sz val="9"/>
            <rFont val="宋体"/>
            <charset val="0"/>
          </rPr>
          <t>石玉珍:</t>
        </r>
        <r>
          <rPr>
            <sz val="9"/>
            <rFont val="宋体"/>
            <charset val="0"/>
          </rPr>
          <t xml:space="preserve">
1001725 7/20 528pcs</t>
        </r>
      </text>
    </comment>
    <comment ref="AI1756" authorId="2">
      <text>
        <r>
          <rPr>
            <b/>
            <sz val="9"/>
            <rFont val="宋体"/>
            <charset val="0"/>
          </rPr>
          <t>石玉珍:</t>
        </r>
        <r>
          <rPr>
            <sz val="9"/>
            <rFont val="宋体"/>
            <charset val="0"/>
          </rPr>
          <t xml:space="preserve">
1001725 7/20 96pcs</t>
        </r>
      </text>
    </comment>
    <comment ref="AI1757" authorId="2">
      <text>
        <r>
          <rPr>
            <b/>
            <sz val="9"/>
            <rFont val="宋体"/>
            <charset val="0"/>
          </rPr>
          <t>石玉珍:</t>
        </r>
        <r>
          <rPr>
            <sz val="9"/>
            <rFont val="宋体"/>
            <charset val="0"/>
          </rPr>
          <t xml:space="preserve">
1001725 7/20 168pcs</t>
        </r>
      </text>
    </comment>
    <comment ref="AI1758" authorId="2">
      <text>
        <r>
          <rPr>
            <b/>
            <sz val="9"/>
            <rFont val="宋体"/>
            <charset val="0"/>
          </rPr>
          <t>石玉珍:</t>
        </r>
        <r>
          <rPr>
            <sz val="9"/>
            <rFont val="宋体"/>
            <charset val="0"/>
          </rPr>
          <t xml:space="preserve">
1001725 7/20 48pcs</t>
        </r>
      </text>
    </comment>
    <comment ref="AI1759" authorId="2">
      <text>
        <r>
          <rPr>
            <b/>
            <sz val="9"/>
            <rFont val="宋体"/>
            <charset val="0"/>
          </rPr>
          <t>石玉珍:</t>
        </r>
        <r>
          <rPr>
            <sz val="9"/>
            <rFont val="宋体"/>
            <charset val="0"/>
          </rPr>
          <t xml:space="preserve">
1001725 7/20 60pcs</t>
        </r>
      </text>
    </comment>
    <comment ref="AI1760" authorId="2">
      <text>
        <r>
          <rPr>
            <b/>
            <sz val="9"/>
            <rFont val="宋体"/>
            <charset val="0"/>
          </rPr>
          <t>石玉珍:</t>
        </r>
        <r>
          <rPr>
            <sz val="9"/>
            <rFont val="宋体"/>
            <charset val="0"/>
          </rPr>
          <t xml:space="preserve">
1001725 7/20 36pcs</t>
        </r>
      </text>
    </comment>
    <comment ref="AI1761" authorId="2">
      <text>
        <r>
          <rPr>
            <b/>
            <sz val="9"/>
            <rFont val="宋体"/>
            <charset val="0"/>
          </rPr>
          <t>石玉珍:</t>
        </r>
        <r>
          <rPr>
            <sz val="9"/>
            <rFont val="宋体"/>
            <charset val="0"/>
          </rPr>
          <t xml:space="preserve">
1001725 7/20 60pcs</t>
        </r>
      </text>
    </comment>
    <comment ref="AI1762" authorId="2">
      <text>
        <r>
          <rPr>
            <b/>
            <sz val="9"/>
            <rFont val="宋体"/>
            <charset val="0"/>
          </rPr>
          <t>石玉珍:</t>
        </r>
        <r>
          <rPr>
            <sz val="9"/>
            <rFont val="宋体"/>
            <charset val="0"/>
          </rPr>
          <t xml:space="preserve">
1001725 7/20 408pcs</t>
        </r>
      </text>
    </comment>
    <comment ref="AI1763" authorId="2">
      <text>
        <r>
          <rPr>
            <b/>
            <sz val="9"/>
            <rFont val="宋体"/>
            <charset val="0"/>
          </rPr>
          <t>石玉珍:</t>
        </r>
        <r>
          <rPr>
            <sz val="9"/>
            <rFont val="宋体"/>
            <charset val="0"/>
          </rPr>
          <t xml:space="preserve">
1001852 7/23 1508pcs</t>
        </r>
      </text>
    </comment>
    <comment ref="AI1764" authorId="2">
      <text>
        <r>
          <rPr>
            <b/>
            <sz val="9"/>
            <rFont val="宋体"/>
            <charset val="0"/>
          </rPr>
          <t>石玉珍:</t>
        </r>
        <r>
          <rPr>
            <sz val="9"/>
            <rFont val="宋体"/>
            <charset val="0"/>
          </rPr>
          <t xml:space="preserve">
1001848 7/23 1250pcs</t>
        </r>
      </text>
    </comment>
    <comment ref="AL1764" authorId="2">
      <text>
        <r>
          <rPr>
            <b/>
            <sz val="9"/>
            <rFont val="宋体"/>
            <charset val="0"/>
          </rPr>
          <t>石玉珍:</t>
        </r>
        <r>
          <rPr>
            <sz val="9"/>
            <rFont val="宋体"/>
            <charset val="0"/>
          </rPr>
          <t xml:space="preserve">
7/11 UPC贴纸 1250pcs
进口商贴纸 1250pcs</t>
        </r>
      </text>
    </comment>
    <comment ref="AI1765" authorId="2">
      <text>
        <r>
          <rPr>
            <b/>
            <sz val="9"/>
            <rFont val="宋体"/>
            <charset val="0"/>
          </rPr>
          <t>石玉珍:</t>
        </r>
        <r>
          <rPr>
            <sz val="9"/>
            <rFont val="宋体"/>
            <charset val="0"/>
          </rPr>
          <t xml:space="preserve">
1001760 7/22 3500pcs</t>
        </r>
      </text>
    </comment>
    <comment ref="AL1765" authorId="2">
      <text>
        <r>
          <rPr>
            <b/>
            <sz val="9"/>
            <rFont val="宋体"/>
            <charset val="0"/>
          </rPr>
          <t>石玉珍:</t>
        </r>
        <r>
          <rPr>
            <sz val="9"/>
            <rFont val="宋体"/>
            <charset val="0"/>
          </rPr>
          <t xml:space="preserve">
7/7 进口商贴纸 3500pcs
UPC条码贴纸 3500pcs</t>
        </r>
      </text>
    </comment>
    <comment ref="AI1766" authorId="2">
      <text>
        <r>
          <rPr>
            <b/>
            <sz val="9"/>
            <rFont val="宋体"/>
            <charset val="0"/>
          </rPr>
          <t>石玉珍:</t>
        </r>
        <r>
          <rPr>
            <sz val="9"/>
            <rFont val="宋体"/>
            <charset val="0"/>
          </rPr>
          <t xml:space="preserve">
1001852 7/23 400pcs</t>
        </r>
      </text>
    </comment>
    <comment ref="AI1767" authorId="2">
      <text>
        <r>
          <rPr>
            <b/>
            <sz val="9"/>
            <rFont val="宋体"/>
            <charset val="0"/>
          </rPr>
          <t>石玉珍:</t>
        </r>
        <r>
          <rPr>
            <sz val="9"/>
            <rFont val="宋体"/>
            <charset val="0"/>
          </rPr>
          <t xml:space="preserve">
1001852 7/23 3000pcs</t>
        </r>
      </text>
    </comment>
    <comment ref="AL1767" authorId="2">
      <text>
        <r>
          <rPr>
            <b/>
            <sz val="9"/>
            <rFont val="宋体"/>
            <charset val="0"/>
          </rPr>
          <t>石玉珍:</t>
        </r>
        <r>
          <rPr>
            <sz val="9"/>
            <rFont val="宋体"/>
            <charset val="0"/>
          </rPr>
          <t xml:space="preserve">
7/16 进口商贴纸 3000pcs</t>
        </r>
      </text>
    </comment>
    <comment ref="BW1767" authorId="3">
      <text>
        <r>
          <rPr>
            <b/>
            <sz val="9"/>
            <rFont val="宋体"/>
            <charset val="134"/>
          </rPr>
          <t>RR-sales:</t>
        </r>
        <r>
          <rPr>
            <sz val="9"/>
            <rFont val="宋体"/>
            <charset val="134"/>
          </rPr>
          <t xml:space="preserve">
C版本收藏指南，去披萨</t>
        </r>
      </text>
    </comment>
    <comment ref="AI1768" authorId="2">
      <text>
        <r>
          <rPr>
            <b/>
            <sz val="9"/>
            <rFont val="宋体"/>
            <charset val="0"/>
          </rPr>
          <t>石玉珍:</t>
        </r>
        <r>
          <rPr>
            <sz val="9"/>
            <rFont val="宋体"/>
            <charset val="0"/>
          </rPr>
          <t xml:space="preserve">
1001760 7/22 468pcs</t>
        </r>
      </text>
    </comment>
    <comment ref="AL1768" authorId="2">
      <text>
        <r>
          <rPr>
            <b/>
            <sz val="9"/>
            <rFont val="宋体"/>
            <charset val="0"/>
          </rPr>
          <t>石玉珍:</t>
        </r>
        <r>
          <rPr>
            <sz val="9"/>
            <rFont val="宋体"/>
            <charset val="0"/>
          </rPr>
          <t xml:space="preserve">
7/1 法国回收logo贴纸 468pcs</t>
        </r>
      </text>
    </comment>
    <comment ref="AI1769" authorId="2">
      <text>
        <r>
          <rPr>
            <b/>
            <sz val="9"/>
            <rFont val="宋体"/>
            <charset val="0"/>
          </rPr>
          <t>石玉珍:</t>
        </r>
        <r>
          <rPr>
            <sz val="9"/>
            <rFont val="宋体"/>
            <charset val="0"/>
          </rPr>
          <t xml:space="preserve">
1001852 7/23 2000pcs</t>
        </r>
      </text>
    </comment>
    <comment ref="AL1769" authorId="2">
      <text>
        <r>
          <rPr>
            <b/>
            <sz val="9"/>
            <rFont val="宋体"/>
            <charset val="0"/>
          </rPr>
          <t>石玉珍:</t>
        </r>
        <r>
          <rPr>
            <sz val="9"/>
            <rFont val="宋体"/>
            <charset val="0"/>
          </rPr>
          <t xml:space="preserve">
7/16 进口商贴纸 2000pcs</t>
        </r>
      </text>
    </comment>
    <comment ref="AI1770" authorId="2">
      <text>
        <r>
          <rPr>
            <b/>
            <sz val="9"/>
            <rFont val="宋体"/>
            <charset val="0"/>
          </rPr>
          <t>石玉珍:</t>
        </r>
        <r>
          <rPr>
            <sz val="9"/>
            <rFont val="宋体"/>
            <charset val="0"/>
          </rPr>
          <t xml:space="preserve">
1001804 7/24 2000pcs</t>
        </r>
      </text>
    </comment>
    <comment ref="AL1770" authorId="2">
      <text>
        <r>
          <rPr>
            <b/>
            <sz val="9"/>
            <rFont val="宋体"/>
            <charset val="0"/>
          </rPr>
          <t>石玉珍:</t>
        </r>
        <r>
          <rPr>
            <sz val="9"/>
            <rFont val="宋体"/>
            <charset val="0"/>
          </rPr>
          <t xml:space="preserve">
6/15 进口商贴纸 2000pcs</t>
        </r>
        <r>
          <rPr>
            <b/>
            <sz val="9"/>
            <rFont val="宋体"/>
            <charset val="0"/>
          </rPr>
          <t xml:space="preserve">
石玉珍:</t>
        </r>
        <r>
          <rPr>
            <sz val="9"/>
            <rFont val="宋体"/>
            <charset val="0"/>
          </rPr>
          <t xml:space="preserve">
6/25 客供ASN贴纸 40pcs</t>
        </r>
        <r>
          <rPr>
            <b/>
            <sz val="9"/>
            <rFont val="宋体"/>
            <charset val="0"/>
          </rPr>
          <t xml:space="preserve">
石玉珍:</t>
        </r>
        <r>
          <rPr>
            <sz val="9"/>
            <rFont val="宋体"/>
            <charset val="0"/>
          </rPr>
          <t xml:space="preserve">
客供H条码贴纸 40pcs</t>
        </r>
        <r>
          <rPr>
            <b/>
            <sz val="9"/>
            <rFont val="宋体"/>
            <charset val="0"/>
          </rPr>
          <t xml:space="preserve">
石玉珍:</t>
        </r>
        <r>
          <rPr>
            <sz val="9"/>
            <rFont val="宋体"/>
            <charset val="0"/>
          </rPr>
          <t xml:space="preserve">
客供HU’S(条形码)贴纸 40pcs</t>
        </r>
        <r>
          <rPr>
            <b/>
            <sz val="9"/>
            <rFont val="宋体"/>
            <charset val="0"/>
          </rPr>
          <t xml:space="preserve">
石玉珍:</t>
        </r>
        <r>
          <rPr>
            <sz val="9"/>
            <rFont val="宋体"/>
            <charset val="0"/>
          </rPr>
          <t xml:space="preserve">
7/10 价格贴纸 2000pcs</t>
        </r>
      </text>
    </comment>
    <comment ref="AI1771" authorId="2">
      <text>
        <r>
          <rPr>
            <b/>
            <sz val="9"/>
            <rFont val="宋体"/>
            <charset val="0"/>
          </rPr>
          <t>石玉珍:</t>
        </r>
        <r>
          <rPr>
            <sz val="9"/>
            <rFont val="宋体"/>
            <charset val="0"/>
          </rPr>
          <t xml:space="preserve">
1001804 7/24 810pcs</t>
        </r>
      </text>
    </comment>
    <comment ref="AL1771" authorId="2">
      <text>
        <r>
          <rPr>
            <b/>
            <sz val="9"/>
            <rFont val="宋体"/>
            <charset val="0"/>
          </rPr>
          <t>石玉珍:</t>
        </r>
        <r>
          <rPr>
            <sz val="9"/>
            <rFont val="宋体"/>
            <charset val="0"/>
          </rPr>
          <t xml:space="preserve">
7/7 环保标贴纸 810pcs</t>
        </r>
      </text>
    </comment>
    <comment ref="AI1772" authorId="2">
      <text>
        <r>
          <rPr>
            <b/>
            <sz val="9"/>
            <rFont val="宋体"/>
            <charset val="0"/>
          </rPr>
          <t>石玉珍:</t>
        </r>
        <r>
          <rPr>
            <sz val="9"/>
            <rFont val="宋体"/>
            <charset val="0"/>
          </rPr>
          <t xml:space="preserve">
2800290 7/24 46725pcs</t>
        </r>
        <r>
          <rPr>
            <b/>
            <sz val="9"/>
            <rFont val="宋体"/>
            <charset val="0"/>
          </rPr>
          <t xml:space="preserve">
石玉珍:</t>
        </r>
        <r>
          <rPr>
            <sz val="9"/>
            <rFont val="宋体"/>
            <charset val="0"/>
          </rPr>
          <t xml:space="preserve">
2800316 7/25 14275pcs</t>
        </r>
      </text>
    </comment>
    <comment ref="AL1772" authorId="2">
      <text>
        <r>
          <rPr>
            <b/>
            <sz val="9"/>
            <rFont val="宋体"/>
            <charset val="0"/>
          </rPr>
          <t>石玉珍:</t>
        </r>
        <r>
          <rPr>
            <sz val="9"/>
            <rFont val="宋体"/>
            <charset val="0"/>
          </rPr>
          <t xml:space="preserve">
7/6 客供外箱条码贴纸 2440pcs</t>
        </r>
      </text>
    </comment>
    <comment ref="AI1773" authorId="2">
      <text>
        <r>
          <rPr>
            <b/>
            <sz val="9"/>
            <rFont val="宋体"/>
            <charset val="0"/>
          </rPr>
          <t>石玉珍:</t>
        </r>
        <r>
          <rPr>
            <sz val="9"/>
            <rFont val="宋体"/>
            <charset val="0"/>
          </rPr>
          <t xml:space="preserve">
1001804 7/24 6550pcs</t>
        </r>
      </text>
    </comment>
    <comment ref="AL1773" authorId="2">
      <text>
        <r>
          <rPr>
            <b/>
            <sz val="9"/>
            <rFont val="宋体"/>
            <charset val="0"/>
          </rPr>
          <t>石玉珍:</t>
        </r>
        <r>
          <rPr>
            <sz val="9"/>
            <rFont val="宋体"/>
            <charset val="0"/>
          </rPr>
          <t xml:space="preserve">
7/1 客供外箱条码贴纸 262pcs</t>
        </r>
      </text>
    </comment>
    <comment ref="AI1774" authorId="2">
      <text>
        <r>
          <rPr>
            <b/>
            <sz val="9"/>
            <rFont val="宋体"/>
            <charset val="0"/>
          </rPr>
          <t>石玉珍:</t>
        </r>
        <r>
          <rPr>
            <sz val="9"/>
            <rFont val="宋体"/>
            <charset val="0"/>
          </rPr>
          <t xml:space="preserve">
1001857 7/23 31500pcs</t>
        </r>
        <r>
          <rPr>
            <b/>
            <sz val="9"/>
            <rFont val="宋体"/>
            <charset val="0"/>
          </rPr>
          <t xml:space="preserve">
石玉珍:</t>
        </r>
        <r>
          <rPr>
            <sz val="9"/>
            <rFont val="宋体"/>
            <charset val="0"/>
          </rPr>
          <t xml:space="preserve">
1001798 7/24 57600pcs</t>
        </r>
        <r>
          <rPr>
            <b/>
            <sz val="9"/>
            <rFont val="宋体"/>
            <charset val="0"/>
          </rPr>
          <t xml:space="preserve">
石玉珍:</t>
        </r>
        <r>
          <rPr>
            <sz val="9"/>
            <rFont val="宋体"/>
            <charset val="0"/>
          </rPr>
          <t xml:space="preserve">
1001804 7/24 10900pcs</t>
        </r>
      </text>
    </comment>
    <comment ref="AL1774" authorId="2">
      <text>
        <r>
          <rPr>
            <b/>
            <sz val="9"/>
            <rFont val="宋体"/>
            <charset val="0"/>
          </rPr>
          <t>石玉珍:</t>
        </r>
        <r>
          <rPr>
            <sz val="9"/>
            <rFont val="宋体"/>
            <charset val="0"/>
          </rPr>
          <t xml:space="preserve">
7/6 客供外箱条码贴纸 4000pcs</t>
        </r>
      </text>
    </comment>
    <comment ref="AI1775" authorId="2">
      <text>
        <r>
          <rPr>
            <b/>
            <sz val="9"/>
            <rFont val="宋体"/>
            <charset val="0"/>
          </rPr>
          <t>石玉珍:</t>
        </r>
        <r>
          <rPr>
            <sz val="9"/>
            <rFont val="宋体"/>
            <charset val="0"/>
          </rPr>
          <t xml:space="preserve">
1001804 7/24 925pcs</t>
        </r>
      </text>
    </comment>
    <comment ref="AL1775" authorId="2">
      <text>
        <r>
          <rPr>
            <b/>
            <sz val="9"/>
            <rFont val="宋体"/>
            <charset val="0"/>
          </rPr>
          <t>石玉珍:</t>
        </r>
        <r>
          <rPr>
            <sz val="9"/>
            <rFont val="宋体"/>
            <charset val="0"/>
          </rPr>
          <t xml:space="preserve">
7/11 UPC贴纸 925pcs
进口商贴纸 925pcs</t>
        </r>
        <r>
          <rPr>
            <b/>
            <sz val="9"/>
            <rFont val="宋体"/>
            <charset val="0"/>
          </rPr>
          <t xml:space="preserve">
石玉珍:</t>
        </r>
        <r>
          <rPr>
            <sz val="9"/>
            <rFont val="宋体"/>
            <charset val="0"/>
          </rPr>
          <t xml:space="preserve">
7/13 红色logo贴纸 925pcs</t>
        </r>
      </text>
    </comment>
    <comment ref="AI1776" authorId="2">
      <text>
        <r>
          <rPr>
            <b/>
            <sz val="9"/>
            <rFont val="宋体"/>
            <charset val="0"/>
          </rPr>
          <t>石玉珍:</t>
        </r>
        <r>
          <rPr>
            <sz val="9"/>
            <rFont val="宋体"/>
            <charset val="0"/>
          </rPr>
          <t xml:space="preserve">
1001804 7/24 875pcs</t>
        </r>
      </text>
    </comment>
    <comment ref="AL1776" authorId="2">
      <text>
        <r>
          <rPr>
            <b/>
            <sz val="9"/>
            <rFont val="宋体"/>
            <charset val="0"/>
          </rPr>
          <t>石玉珍:</t>
        </r>
        <r>
          <rPr>
            <sz val="9"/>
            <rFont val="宋体"/>
            <charset val="0"/>
          </rPr>
          <t xml:space="preserve">
7/11 UPC贴纸 875pcs
进口商贴纸 875pcs</t>
        </r>
        <r>
          <rPr>
            <b/>
            <sz val="9"/>
            <rFont val="宋体"/>
            <charset val="0"/>
          </rPr>
          <t xml:space="preserve">
石玉珍:</t>
        </r>
        <r>
          <rPr>
            <sz val="9"/>
            <rFont val="宋体"/>
            <charset val="0"/>
          </rPr>
          <t xml:space="preserve">
7/13 红色logo贴纸 875pcs</t>
        </r>
      </text>
    </comment>
    <comment ref="AI1777" authorId="2">
      <text>
        <r>
          <rPr>
            <b/>
            <sz val="9"/>
            <rFont val="宋体"/>
            <charset val="0"/>
          </rPr>
          <t>石玉珍:</t>
        </r>
        <r>
          <rPr>
            <sz val="9"/>
            <rFont val="宋体"/>
            <charset val="0"/>
          </rPr>
          <t xml:space="preserve">
1001804 7/24 625pcs</t>
        </r>
      </text>
    </comment>
    <comment ref="AL1777" authorId="2">
      <text>
        <r>
          <rPr>
            <b/>
            <sz val="9"/>
            <rFont val="宋体"/>
            <charset val="0"/>
          </rPr>
          <t>石玉珍:</t>
        </r>
        <r>
          <rPr>
            <sz val="9"/>
            <rFont val="宋体"/>
            <charset val="0"/>
          </rPr>
          <t xml:space="preserve">
7/11 UPC贴纸 625pcs
进口商贴纸 625pcs</t>
        </r>
        <r>
          <rPr>
            <b/>
            <sz val="9"/>
            <rFont val="宋体"/>
            <charset val="0"/>
          </rPr>
          <t xml:space="preserve">
石玉珍:</t>
        </r>
        <r>
          <rPr>
            <sz val="9"/>
            <rFont val="宋体"/>
            <charset val="0"/>
          </rPr>
          <t xml:space="preserve">
7/13 红色logo贴纸 625pcs</t>
        </r>
      </text>
    </comment>
    <comment ref="AI1778" authorId="2">
      <text>
        <r>
          <rPr>
            <b/>
            <sz val="9"/>
            <rFont val="宋体"/>
            <charset val="0"/>
          </rPr>
          <t>石玉珍:</t>
        </r>
        <r>
          <rPr>
            <sz val="9"/>
            <rFont val="宋体"/>
            <charset val="0"/>
          </rPr>
          <t xml:space="preserve">
1001798 7/24 1200pcs</t>
        </r>
      </text>
    </comment>
    <comment ref="AI1779" authorId="2">
      <text>
        <r>
          <rPr>
            <b/>
            <sz val="9"/>
            <rFont val="宋体"/>
            <charset val="0"/>
          </rPr>
          <t>石玉珍:</t>
        </r>
        <r>
          <rPr>
            <sz val="9"/>
            <rFont val="宋体"/>
            <charset val="0"/>
          </rPr>
          <t xml:space="preserve">
1001828 7/26 1400pcs</t>
        </r>
      </text>
    </comment>
    <comment ref="AL1779" authorId="2">
      <text>
        <r>
          <rPr>
            <b/>
            <sz val="9"/>
            <rFont val="宋体"/>
            <charset val="0"/>
          </rPr>
          <t>石玉珍:</t>
        </r>
        <r>
          <rPr>
            <sz val="9"/>
            <rFont val="宋体"/>
            <charset val="0"/>
          </rPr>
          <t xml:space="preserve">
7/11 UPC贴纸 1400pcs
进口商贴纸 1400pcs</t>
        </r>
      </text>
    </comment>
    <comment ref="AI1780" authorId="2">
      <text>
        <r>
          <rPr>
            <b/>
            <sz val="9"/>
            <rFont val="宋体"/>
            <charset val="0"/>
          </rPr>
          <t>石玉珍:</t>
        </r>
        <r>
          <rPr>
            <sz val="9"/>
            <rFont val="宋体"/>
            <charset val="0"/>
          </rPr>
          <t xml:space="preserve">
2801358 7/25 1200pcs</t>
        </r>
      </text>
    </comment>
    <comment ref="AL1780" authorId="2">
      <text>
        <r>
          <rPr>
            <b/>
            <sz val="9"/>
            <rFont val="宋体"/>
            <charset val="0"/>
          </rPr>
          <t>石玉珍:</t>
        </r>
        <r>
          <rPr>
            <sz val="9"/>
            <rFont val="宋体"/>
            <charset val="0"/>
          </rPr>
          <t xml:space="preserve">
6/10 空白贴纸 1200*2pcs</t>
        </r>
        <r>
          <rPr>
            <b/>
            <sz val="9"/>
            <rFont val="宋体"/>
            <charset val="0"/>
          </rPr>
          <t xml:space="preserve">
石玉珍:</t>
        </r>
        <r>
          <rPr>
            <sz val="9"/>
            <rFont val="宋体"/>
            <charset val="0"/>
          </rPr>
          <t xml:space="preserve">
6/10 空白贴纸 1200pcs</t>
        </r>
      </text>
    </comment>
    <comment ref="AI1781" authorId="2">
      <text>
        <r>
          <rPr>
            <b/>
            <sz val="9"/>
            <rFont val="宋体"/>
            <charset val="0"/>
          </rPr>
          <t>石玉珍:</t>
        </r>
        <r>
          <rPr>
            <sz val="9"/>
            <rFont val="宋体"/>
            <charset val="0"/>
          </rPr>
          <t xml:space="preserve">
2801358 7/25 300pcs</t>
        </r>
      </text>
    </comment>
    <comment ref="AL1781" authorId="2">
      <text>
        <r>
          <rPr>
            <b/>
            <sz val="9"/>
            <rFont val="宋体"/>
            <charset val="0"/>
          </rPr>
          <t>石玉珍:</t>
        </r>
        <r>
          <rPr>
            <sz val="9"/>
            <rFont val="宋体"/>
            <charset val="0"/>
          </rPr>
          <t xml:space="preserve">
6/10 空白贴纸 300*2pcs</t>
        </r>
        <r>
          <rPr>
            <b/>
            <sz val="9"/>
            <rFont val="宋体"/>
            <charset val="0"/>
          </rPr>
          <t xml:space="preserve">
石玉珍:</t>
        </r>
        <r>
          <rPr>
            <sz val="9"/>
            <rFont val="宋体"/>
            <charset val="0"/>
          </rPr>
          <t xml:space="preserve">
6/10 空白贴纸 300pcs</t>
        </r>
      </text>
    </comment>
    <comment ref="AL1782" authorId="2">
      <text>
        <r>
          <rPr>
            <b/>
            <sz val="9"/>
            <rFont val="宋体"/>
            <charset val="0"/>
          </rPr>
          <t>石玉珍:</t>
        </r>
        <r>
          <rPr>
            <sz val="9"/>
            <rFont val="宋体"/>
            <charset val="0"/>
          </rPr>
          <t xml:space="preserve">
6/10 空白贴纸 204*2pcs</t>
        </r>
        <r>
          <rPr>
            <b/>
            <sz val="9"/>
            <rFont val="宋体"/>
            <charset val="0"/>
          </rPr>
          <t xml:space="preserve">
石玉珍:</t>
        </r>
        <r>
          <rPr>
            <sz val="9"/>
            <rFont val="宋体"/>
            <charset val="0"/>
          </rPr>
          <t xml:space="preserve">
6/10 空白贴纸 204pcs</t>
        </r>
      </text>
    </comment>
    <comment ref="AI1783" authorId="2">
      <text>
        <r>
          <rPr>
            <b/>
            <sz val="9"/>
            <rFont val="宋体"/>
            <charset val="0"/>
          </rPr>
          <t>石玉珍:</t>
        </r>
        <r>
          <rPr>
            <sz val="9"/>
            <rFont val="宋体"/>
            <charset val="0"/>
          </rPr>
          <t xml:space="preserve">
1001702 7/27 336pcs</t>
        </r>
      </text>
    </comment>
    <comment ref="AL1783" authorId="2">
      <text>
        <r>
          <rPr>
            <b/>
            <sz val="9"/>
            <rFont val="宋体"/>
            <charset val="0"/>
          </rPr>
          <t>石玉珍:</t>
        </r>
        <r>
          <rPr>
            <sz val="9"/>
            <rFont val="宋体"/>
            <charset val="0"/>
          </rPr>
          <t xml:space="preserve">
6/12 空白贴纸 672pcs</t>
        </r>
        <r>
          <rPr>
            <b/>
            <sz val="9"/>
            <rFont val="宋体"/>
            <charset val="0"/>
          </rPr>
          <t xml:space="preserve">
石玉珍:</t>
        </r>
        <r>
          <rPr>
            <sz val="9"/>
            <rFont val="宋体"/>
            <charset val="0"/>
          </rPr>
          <t xml:space="preserve">
6/16 客供价格贴纸 336pcs</t>
        </r>
      </text>
    </comment>
    <comment ref="AI1784" authorId="2">
      <text>
        <r>
          <rPr>
            <b/>
            <sz val="9"/>
            <rFont val="宋体"/>
            <charset val="0"/>
          </rPr>
          <t>石玉珍:</t>
        </r>
        <r>
          <rPr>
            <sz val="9"/>
            <rFont val="宋体"/>
            <charset val="0"/>
          </rPr>
          <t xml:space="preserve">
1001749 7/22 1476pcs</t>
        </r>
      </text>
    </comment>
    <comment ref="AL1784" authorId="2">
      <text>
        <r>
          <rPr>
            <b/>
            <sz val="9"/>
            <rFont val="宋体"/>
            <charset val="0"/>
          </rPr>
          <t>石玉珍:</t>
        </r>
        <r>
          <rPr>
            <sz val="9"/>
            <rFont val="宋体"/>
            <charset val="0"/>
          </rPr>
          <t xml:space="preserve">
7/15 客供亚马逊外箱贴纸 123pcs</t>
        </r>
      </text>
    </comment>
    <comment ref="AI1785" authorId="2">
      <text>
        <r>
          <rPr>
            <b/>
            <sz val="9"/>
            <rFont val="宋体"/>
            <charset val="0"/>
          </rPr>
          <t>石玉珍:</t>
        </r>
        <r>
          <rPr>
            <sz val="9"/>
            <rFont val="宋体"/>
            <charset val="0"/>
          </rPr>
          <t xml:space="preserve">
1001692 7/27 9295pcs</t>
        </r>
      </text>
    </comment>
    <comment ref="AL1785" authorId="2">
      <text>
        <r>
          <rPr>
            <b/>
            <sz val="9"/>
            <rFont val="宋体"/>
            <charset val="0"/>
          </rPr>
          <t>石玉珍:</t>
        </r>
        <r>
          <rPr>
            <sz val="9"/>
            <rFont val="宋体"/>
            <charset val="0"/>
          </rPr>
          <t xml:space="preserve">
7/10 Kmart外箱贴纸 715pcs</t>
        </r>
        <r>
          <rPr>
            <b/>
            <sz val="9"/>
            <rFont val="宋体"/>
            <charset val="0"/>
          </rPr>
          <t xml:space="preserve">
石玉珍:</t>
        </r>
        <r>
          <rPr>
            <sz val="9"/>
            <rFont val="宋体"/>
            <charset val="0"/>
          </rPr>
          <t xml:space="preserve">
7/13 UPC条码贴 9295pcs</t>
        </r>
      </text>
    </comment>
    <comment ref="AI1786" authorId="2">
      <text>
        <r>
          <rPr>
            <b/>
            <sz val="9"/>
            <rFont val="宋体"/>
            <charset val="0"/>
          </rPr>
          <t>石玉珍:</t>
        </r>
        <r>
          <rPr>
            <sz val="9"/>
            <rFont val="宋体"/>
            <charset val="0"/>
          </rPr>
          <t xml:space="preserve">
1001695 7/27 689pcs</t>
        </r>
      </text>
    </comment>
    <comment ref="AL1786" authorId="2">
      <text>
        <r>
          <rPr>
            <b/>
            <sz val="9"/>
            <rFont val="宋体"/>
            <charset val="0"/>
          </rPr>
          <t>石玉珍:</t>
        </r>
        <r>
          <rPr>
            <sz val="9"/>
            <rFont val="宋体"/>
            <charset val="0"/>
          </rPr>
          <t xml:space="preserve">
7/10 Kmart外箱贴纸 53pcs</t>
        </r>
      </text>
    </comment>
    <comment ref="AI1787" authorId="2">
      <text>
        <r>
          <rPr>
            <b/>
            <sz val="9"/>
            <rFont val="宋体"/>
            <charset val="0"/>
          </rPr>
          <t>石玉珍:</t>
        </r>
        <r>
          <rPr>
            <sz val="9"/>
            <rFont val="宋体"/>
            <charset val="0"/>
          </rPr>
          <t xml:space="preserve">
1001711 7/25 4800pcs</t>
        </r>
      </text>
    </comment>
    <comment ref="AL1787" authorId="2">
      <text>
        <r>
          <rPr>
            <b/>
            <sz val="9"/>
            <rFont val="宋体"/>
            <charset val="0"/>
          </rPr>
          <t>石玉珍:</t>
        </r>
        <r>
          <rPr>
            <sz val="9"/>
            <rFont val="宋体"/>
            <charset val="0"/>
          </rPr>
          <t xml:space="preserve">
6/18 客供RFID贴纸 4800pcs</t>
        </r>
      </text>
    </comment>
    <comment ref="AI1788" authorId="2">
      <text>
        <r>
          <rPr>
            <b/>
            <sz val="9"/>
            <rFont val="宋体"/>
            <charset val="0"/>
          </rPr>
          <t>石玉珍:</t>
        </r>
        <r>
          <rPr>
            <sz val="9"/>
            <rFont val="宋体"/>
            <charset val="0"/>
          </rPr>
          <t xml:space="preserve">
1001695 7/27 4800 pcs</t>
        </r>
      </text>
    </comment>
    <comment ref="AL1788" authorId="2">
      <text>
        <r>
          <rPr>
            <b/>
            <sz val="9"/>
            <rFont val="宋体"/>
            <charset val="0"/>
          </rPr>
          <t>石玉珍:</t>
        </r>
        <r>
          <rPr>
            <sz val="9"/>
            <rFont val="宋体"/>
            <charset val="0"/>
          </rPr>
          <t xml:space="preserve">
6/18 客供RFID贴纸 4800pcs</t>
        </r>
      </text>
    </comment>
    <comment ref="AI1789" authorId="2">
      <text>
        <r>
          <rPr>
            <b/>
            <sz val="9"/>
            <rFont val="宋体"/>
            <charset val="0"/>
          </rPr>
          <t>石玉珍:</t>
        </r>
        <r>
          <rPr>
            <sz val="9"/>
            <rFont val="宋体"/>
            <charset val="0"/>
          </rPr>
          <t xml:space="preserve">
1001831 7/26 4800pcs</t>
        </r>
      </text>
    </comment>
    <comment ref="AL1789" authorId="2">
      <text>
        <r>
          <rPr>
            <b/>
            <sz val="9"/>
            <rFont val="宋体"/>
            <charset val="0"/>
          </rPr>
          <t>石玉珍:</t>
        </r>
        <r>
          <rPr>
            <sz val="9"/>
            <rFont val="宋体"/>
            <charset val="0"/>
          </rPr>
          <t xml:space="preserve">
6/18 客供RFID贴纸 4800pcs</t>
        </r>
      </text>
    </comment>
    <comment ref="AI1790" authorId="2">
      <text>
        <r>
          <rPr>
            <b/>
            <sz val="9"/>
            <rFont val="宋体"/>
            <charset val="0"/>
          </rPr>
          <t>石玉珍:</t>
        </r>
        <r>
          <rPr>
            <sz val="9"/>
            <rFont val="宋体"/>
            <charset val="0"/>
          </rPr>
          <t xml:space="preserve">
1001695 7/27 960 pcs</t>
        </r>
      </text>
    </comment>
    <comment ref="AL1790" authorId="2">
      <text>
        <r>
          <rPr>
            <b/>
            <sz val="9"/>
            <rFont val="宋体"/>
            <charset val="0"/>
          </rPr>
          <t>石玉珍:</t>
        </r>
        <r>
          <rPr>
            <sz val="9"/>
            <rFont val="宋体"/>
            <charset val="0"/>
          </rPr>
          <t xml:space="preserve">
6/18 客供RFID贴纸 960pcs</t>
        </r>
      </text>
    </comment>
    <comment ref="AI1791" authorId="2">
      <text>
        <r>
          <rPr>
            <b/>
            <sz val="9"/>
            <rFont val="宋体"/>
            <charset val="0"/>
          </rPr>
          <t>石玉珍:</t>
        </r>
        <r>
          <rPr>
            <sz val="9"/>
            <rFont val="宋体"/>
            <charset val="0"/>
          </rPr>
          <t xml:space="preserve">
1001695 7/27 4800pcs</t>
        </r>
      </text>
    </comment>
    <comment ref="AI1792" authorId="2">
      <text>
        <r>
          <rPr>
            <b/>
            <sz val="9"/>
            <rFont val="宋体"/>
            <charset val="0"/>
          </rPr>
          <t>石玉珍:</t>
        </r>
        <r>
          <rPr>
            <sz val="9"/>
            <rFont val="宋体"/>
            <charset val="0"/>
          </rPr>
          <t xml:space="preserve">
1001711 7/25 5760pcs</t>
        </r>
      </text>
    </comment>
    <comment ref="AL1792" authorId="2">
      <text>
        <r>
          <rPr>
            <b/>
            <sz val="9"/>
            <rFont val="宋体"/>
            <charset val="0"/>
          </rPr>
          <t>石玉珍:</t>
        </r>
        <r>
          <rPr>
            <sz val="9"/>
            <rFont val="宋体"/>
            <charset val="0"/>
          </rPr>
          <t xml:space="preserve">
7/3  客供RFID贴纸  5760pcs</t>
        </r>
      </text>
    </comment>
    <comment ref="AI1793" authorId="2">
      <text>
        <r>
          <rPr>
            <b/>
            <sz val="9"/>
            <rFont val="宋体"/>
            <charset val="0"/>
          </rPr>
          <t>石玉珍:</t>
        </r>
        <r>
          <rPr>
            <sz val="9"/>
            <rFont val="宋体"/>
            <charset val="0"/>
          </rPr>
          <t xml:space="preserve">
1001711 7/25 4800pcs</t>
        </r>
      </text>
    </comment>
    <comment ref="AL1793" authorId="2">
      <text>
        <r>
          <rPr>
            <b/>
            <sz val="9"/>
            <rFont val="宋体"/>
            <charset val="0"/>
          </rPr>
          <t>石玉珍:</t>
        </r>
        <r>
          <rPr>
            <sz val="9"/>
            <rFont val="宋体"/>
            <charset val="0"/>
          </rPr>
          <t xml:space="preserve">
7/3  客供RFID贴纸  4800pcs</t>
        </r>
      </text>
    </comment>
    <comment ref="AI1794" authorId="2">
      <text>
        <r>
          <rPr>
            <b/>
            <sz val="9"/>
            <rFont val="宋体"/>
            <charset val="0"/>
          </rPr>
          <t>石玉珍:</t>
        </r>
        <r>
          <rPr>
            <sz val="9"/>
            <rFont val="宋体"/>
            <charset val="0"/>
          </rPr>
          <t xml:space="preserve">
1001711 7/25 1344pcs</t>
        </r>
        <r>
          <rPr>
            <b/>
            <sz val="9"/>
            <rFont val="宋体"/>
            <charset val="0"/>
          </rPr>
          <t xml:space="preserve">
石玉珍:</t>
        </r>
        <r>
          <rPr>
            <sz val="9"/>
            <rFont val="宋体"/>
            <charset val="0"/>
          </rPr>
          <t xml:space="preserve">
1001692 7/27 6336pcs</t>
        </r>
      </text>
    </comment>
    <comment ref="AL1794" authorId="2">
      <text>
        <r>
          <rPr>
            <b/>
            <sz val="9"/>
            <rFont val="宋体"/>
            <charset val="0"/>
          </rPr>
          <t>石玉珍:</t>
        </r>
        <r>
          <rPr>
            <sz val="9"/>
            <rFont val="宋体"/>
            <charset val="0"/>
          </rPr>
          <t xml:space="preserve">
7/3  客供RFID贴纸  7680pcs</t>
        </r>
      </text>
    </comment>
    <comment ref="AI1795" authorId="2">
      <text>
        <r>
          <rPr>
            <b/>
            <sz val="9"/>
            <rFont val="宋体"/>
            <charset val="0"/>
          </rPr>
          <t>石玉珍:</t>
        </r>
        <r>
          <rPr>
            <sz val="9"/>
            <rFont val="宋体"/>
            <charset val="0"/>
          </rPr>
          <t xml:space="preserve">
1001692 7/27 4800pcs</t>
        </r>
      </text>
    </comment>
    <comment ref="AL1795" authorId="2">
      <text>
        <r>
          <rPr>
            <b/>
            <sz val="9"/>
            <rFont val="宋体"/>
            <charset val="0"/>
          </rPr>
          <t>石玉珍:</t>
        </r>
        <r>
          <rPr>
            <sz val="9"/>
            <rFont val="宋体"/>
            <charset val="0"/>
          </rPr>
          <t xml:space="preserve">
7/3  客供RFID贴纸  4800pcs</t>
        </r>
      </text>
    </comment>
    <comment ref="AI1796" authorId="2">
      <text>
        <r>
          <rPr>
            <b/>
            <sz val="9"/>
            <rFont val="宋体"/>
            <charset val="0"/>
          </rPr>
          <t>石玉珍:</t>
        </r>
        <r>
          <rPr>
            <sz val="9"/>
            <rFont val="宋体"/>
            <charset val="0"/>
          </rPr>
          <t xml:space="preserve">
1001831 7/26 1440pcs</t>
        </r>
      </text>
    </comment>
    <comment ref="AL1796" authorId="2">
      <text>
        <r>
          <rPr>
            <b/>
            <sz val="9"/>
            <rFont val="宋体"/>
            <charset val="0"/>
          </rPr>
          <t>石玉珍:</t>
        </r>
        <r>
          <rPr>
            <sz val="9"/>
            <rFont val="宋体"/>
            <charset val="0"/>
          </rPr>
          <t xml:space="preserve">
7/3  客供RFID贴纸  1440pcs</t>
        </r>
      </text>
    </comment>
    <comment ref="AI1797" authorId="2">
      <text>
        <r>
          <rPr>
            <b/>
            <sz val="9"/>
            <rFont val="宋体"/>
            <charset val="0"/>
          </rPr>
          <t>石玉珍:</t>
        </r>
        <r>
          <rPr>
            <sz val="9"/>
            <rFont val="宋体"/>
            <charset val="0"/>
          </rPr>
          <t xml:space="preserve">
1001711 7/25 7200pcs</t>
        </r>
      </text>
    </comment>
    <comment ref="AL1797" authorId="2">
      <text>
        <r>
          <rPr>
            <b/>
            <sz val="9"/>
            <rFont val="宋体"/>
            <charset val="0"/>
          </rPr>
          <t>石玉珍:</t>
        </r>
        <r>
          <rPr>
            <sz val="9"/>
            <rFont val="宋体"/>
            <charset val="0"/>
          </rPr>
          <t xml:space="preserve">
7/3  客供RFID贴纸  7200pcs</t>
        </r>
      </text>
    </comment>
    <comment ref="AI1798" authorId="2">
      <text>
        <r>
          <rPr>
            <b/>
            <sz val="9"/>
            <rFont val="宋体"/>
            <charset val="0"/>
          </rPr>
          <t>石玉珍:</t>
        </r>
        <r>
          <rPr>
            <sz val="9"/>
            <rFont val="宋体"/>
            <charset val="0"/>
          </rPr>
          <t xml:space="preserve">
1001692 7/27 4320pcs</t>
        </r>
      </text>
    </comment>
    <comment ref="AL1798" authorId="2">
      <text>
        <r>
          <rPr>
            <b/>
            <sz val="9"/>
            <rFont val="宋体"/>
            <charset val="0"/>
          </rPr>
          <t>石玉珍:</t>
        </r>
        <r>
          <rPr>
            <sz val="9"/>
            <rFont val="宋体"/>
            <charset val="0"/>
          </rPr>
          <t xml:space="preserve">
7/3  客供RFID贴纸  4320pcs</t>
        </r>
      </text>
    </comment>
    <comment ref="AI1799" authorId="2">
      <text>
        <r>
          <rPr>
            <b/>
            <sz val="9"/>
            <rFont val="宋体"/>
            <charset val="0"/>
          </rPr>
          <t>石玉珍:</t>
        </r>
        <r>
          <rPr>
            <sz val="9"/>
            <rFont val="宋体"/>
            <charset val="0"/>
          </rPr>
          <t xml:space="preserve">
1001711 7/25 8384pcs</t>
        </r>
        <r>
          <rPr>
            <b/>
            <sz val="9"/>
            <rFont val="宋体"/>
            <charset val="0"/>
          </rPr>
          <t xml:space="preserve">
石玉珍:</t>
        </r>
        <r>
          <rPr>
            <sz val="9"/>
            <rFont val="宋体"/>
            <charset val="0"/>
          </rPr>
          <t xml:space="preserve">
1001692 7/27 16pcs</t>
        </r>
      </text>
    </comment>
    <comment ref="AL1799" authorId="2">
      <text>
        <r>
          <rPr>
            <b/>
            <sz val="9"/>
            <rFont val="宋体"/>
            <charset val="0"/>
          </rPr>
          <t>石玉珍:</t>
        </r>
        <r>
          <rPr>
            <sz val="9"/>
            <rFont val="宋体"/>
            <charset val="0"/>
          </rPr>
          <t xml:space="preserve">
7/3  客供RFID贴纸  8400pcs</t>
        </r>
      </text>
    </comment>
    <comment ref="AI1800" authorId="2">
      <text>
        <r>
          <rPr>
            <b/>
            <sz val="9"/>
            <rFont val="宋体"/>
            <charset val="0"/>
          </rPr>
          <t>石玉珍:</t>
        </r>
        <r>
          <rPr>
            <sz val="9"/>
            <rFont val="宋体"/>
            <charset val="0"/>
          </rPr>
          <t xml:space="preserve">
1001711 7/25 9600pcs</t>
        </r>
      </text>
    </comment>
    <comment ref="AL1800" authorId="2">
      <text>
        <r>
          <rPr>
            <b/>
            <sz val="9"/>
            <rFont val="宋体"/>
            <charset val="0"/>
          </rPr>
          <t>石玉珍:</t>
        </r>
        <r>
          <rPr>
            <sz val="9"/>
            <rFont val="宋体"/>
            <charset val="0"/>
          </rPr>
          <t xml:space="preserve">
7/3  客供RFID贴纸  9600pcs</t>
        </r>
      </text>
    </comment>
    <comment ref="AI1801" authorId="2">
      <text>
        <r>
          <rPr>
            <b/>
            <sz val="9"/>
            <rFont val="宋体"/>
            <charset val="0"/>
          </rPr>
          <t>石玉珍:</t>
        </r>
        <r>
          <rPr>
            <sz val="9"/>
            <rFont val="宋体"/>
            <charset val="0"/>
          </rPr>
          <t xml:space="preserve">
1001648 7/29 1300pcs</t>
        </r>
      </text>
    </comment>
    <comment ref="AL1801" authorId="2">
      <text>
        <r>
          <rPr>
            <b/>
            <sz val="9"/>
            <rFont val="宋体"/>
            <charset val="0"/>
          </rPr>
          <t>石玉珍:</t>
        </r>
        <r>
          <rPr>
            <sz val="9"/>
            <rFont val="宋体"/>
            <charset val="0"/>
          </rPr>
          <t xml:space="preserve">
7/13 客户进口商贴纸 1300pcs</t>
        </r>
      </text>
    </comment>
    <comment ref="AI1802" authorId="2">
      <text>
        <r>
          <rPr>
            <b/>
            <sz val="9"/>
            <rFont val="宋体"/>
            <charset val="0"/>
          </rPr>
          <t>石玉珍:</t>
        </r>
        <r>
          <rPr>
            <sz val="9"/>
            <rFont val="宋体"/>
            <charset val="0"/>
          </rPr>
          <t xml:space="preserve">
2801374 7/29 600pcs</t>
        </r>
      </text>
    </comment>
    <comment ref="AL1802" authorId="2">
      <text>
        <r>
          <rPr>
            <b/>
            <sz val="9"/>
            <rFont val="宋体"/>
            <charset val="0"/>
          </rPr>
          <t>石玉珍:</t>
        </r>
        <r>
          <rPr>
            <sz val="9"/>
            <rFont val="宋体"/>
            <charset val="0"/>
          </rPr>
          <t xml:space="preserve">
7/16 进口商贴纸 600pcs</t>
        </r>
        <r>
          <rPr>
            <b/>
            <sz val="9"/>
            <rFont val="宋体"/>
            <charset val="0"/>
          </rPr>
          <t xml:space="preserve">
石玉珍:</t>
        </r>
        <r>
          <rPr>
            <sz val="9"/>
            <rFont val="宋体"/>
            <charset val="0"/>
          </rPr>
          <t xml:space="preserve">
空白贴纸 1200pcs</t>
        </r>
      </text>
    </comment>
    <comment ref="AI1803" authorId="2">
      <text>
        <r>
          <rPr>
            <b/>
            <sz val="9"/>
            <rFont val="宋体"/>
            <charset val="0"/>
          </rPr>
          <t>石玉珍:</t>
        </r>
        <r>
          <rPr>
            <sz val="9"/>
            <rFont val="宋体"/>
            <charset val="0"/>
          </rPr>
          <t xml:space="preserve">
1001681 7/28 2509pcs</t>
        </r>
      </text>
    </comment>
    <comment ref="AL1803" authorId="2">
      <text>
        <r>
          <rPr>
            <b/>
            <sz val="9"/>
            <rFont val="宋体"/>
            <charset val="0"/>
          </rPr>
          <t>石玉珍:</t>
        </r>
        <r>
          <rPr>
            <sz val="9"/>
            <rFont val="宋体"/>
            <charset val="0"/>
          </rPr>
          <t xml:space="preserve">
7/13 大语警告语贴 2509pcs
小语警告语贴 17563pcs
丹麦瑞典芬兰挪威警告语贴纸 2509pcs</t>
        </r>
      </text>
    </comment>
    <comment ref="AI1804" authorId="2">
      <text>
        <r>
          <rPr>
            <b/>
            <sz val="9"/>
            <rFont val="宋体"/>
            <charset val="0"/>
          </rPr>
          <t>石玉珍:</t>
        </r>
        <r>
          <rPr>
            <sz val="9"/>
            <rFont val="宋体"/>
            <charset val="0"/>
          </rPr>
          <t xml:space="preserve">
2801374 7/29 800pcs</t>
        </r>
      </text>
    </comment>
    <comment ref="AI1805" authorId="2">
      <text>
        <r>
          <rPr>
            <b/>
            <sz val="9"/>
            <rFont val="宋体"/>
            <charset val="0"/>
          </rPr>
          <t>石玉珍:</t>
        </r>
        <r>
          <rPr>
            <sz val="9"/>
            <rFont val="宋体"/>
            <charset val="0"/>
          </rPr>
          <t xml:space="preserve">
1001695 7/27 2500pcs</t>
        </r>
      </text>
    </comment>
    <comment ref="AL1805" authorId="2">
      <text>
        <r>
          <rPr>
            <b/>
            <sz val="9"/>
            <rFont val="宋体"/>
            <charset val="0"/>
          </rPr>
          <t>石玉珍:</t>
        </r>
        <r>
          <rPr>
            <sz val="9"/>
            <rFont val="宋体"/>
            <charset val="0"/>
          </rPr>
          <t xml:space="preserve">
7/13 进口商贴纸 2500pcs
PDQ贴纸 100pcs</t>
        </r>
      </text>
    </comment>
    <comment ref="AI1806" authorId="2">
      <text>
        <r>
          <rPr>
            <b/>
            <sz val="9"/>
            <rFont val="宋体"/>
            <charset val="0"/>
          </rPr>
          <t>石玉珍:</t>
        </r>
        <r>
          <rPr>
            <sz val="9"/>
            <rFont val="宋体"/>
            <charset val="0"/>
          </rPr>
          <t xml:space="preserve">
1001641 7/29 1000pcs</t>
        </r>
      </text>
    </comment>
    <comment ref="AL1806" authorId="2">
      <text>
        <r>
          <rPr>
            <b/>
            <sz val="9"/>
            <rFont val="宋体"/>
            <charset val="0"/>
          </rPr>
          <t>石玉珍:</t>
        </r>
        <r>
          <rPr>
            <sz val="9"/>
            <rFont val="宋体"/>
            <charset val="0"/>
          </rPr>
          <t xml:space="preserve">
7/14 大语警告语贴 1000pcs
小语警告语贴 7000pcs
丹麦瑞典芬兰挪威警告语贴纸 1000pcs</t>
        </r>
      </text>
    </comment>
    <comment ref="AI1807" authorId="2">
      <text>
        <r>
          <rPr>
            <b/>
            <sz val="9"/>
            <rFont val="宋体"/>
            <charset val="0"/>
          </rPr>
          <t>石玉珍:</t>
        </r>
        <r>
          <rPr>
            <sz val="9"/>
            <rFont val="宋体"/>
            <charset val="0"/>
          </rPr>
          <t xml:space="preserve">
1001697 7/27 6000pcs</t>
        </r>
      </text>
    </comment>
    <comment ref="AL1807" authorId="2">
      <text>
        <r>
          <rPr>
            <b/>
            <sz val="9"/>
            <rFont val="宋体"/>
            <charset val="0"/>
          </rPr>
          <t>石玉珍:</t>
        </r>
        <r>
          <rPr>
            <sz val="9"/>
            <rFont val="宋体"/>
            <charset val="0"/>
          </rPr>
          <t xml:space="preserve">
7/9 客供价格贴纸 6000pcs</t>
        </r>
        <r>
          <rPr>
            <b/>
            <sz val="9"/>
            <rFont val="宋体"/>
            <charset val="0"/>
          </rPr>
          <t xml:space="preserve">
石玉珍:</t>
        </r>
        <r>
          <rPr>
            <sz val="9"/>
            <rFont val="宋体"/>
            <charset val="0"/>
          </rPr>
          <t xml:space="preserve">
7/16 空白贴纸 12000pcs</t>
        </r>
      </text>
    </comment>
    <comment ref="AI1808" authorId="2">
      <text>
        <r>
          <rPr>
            <b/>
            <sz val="9"/>
            <rFont val="宋体"/>
            <charset val="0"/>
          </rPr>
          <t>石玉珍:</t>
        </r>
        <r>
          <rPr>
            <sz val="9"/>
            <rFont val="宋体"/>
            <charset val="0"/>
          </rPr>
          <t xml:space="preserve">
1001641 7/29 6000pcs</t>
        </r>
      </text>
    </comment>
    <comment ref="AL1808" authorId="2">
      <text>
        <r>
          <rPr>
            <b/>
            <sz val="9"/>
            <rFont val="宋体"/>
            <charset val="0"/>
          </rPr>
          <t>石玉珍:</t>
        </r>
        <r>
          <rPr>
            <sz val="9"/>
            <rFont val="宋体"/>
            <charset val="0"/>
          </rPr>
          <t xml:space="preserve">
7/11 客供价格贴纸 6000pcs.</t>
        </r>
        <r>
          <rPr>
            <b/>
            <sz val="9"/>
            <rFont val="宋体"/>
            <charset val="0"/>
          </rPr>
          <t xml:space="preserve">
石玉珍:</t>
        </r>
        <r>
          <rPr>
            <sz val="9"/>
            <rFont val="宋体"/>
            <charset val="0"/>
          </rPr>
          <t xml:space="preserve">
7/16 空白贴纸 6000*2pcs</t>
        </r>
      </text>
    </comment>
    <comment ref="AI1809" authorId="2">
      <text>
        <r>
          <rPr>
            <b/>
            <sz val="9"/>
            <rFont val="宋体"/>
            <charset val="0"/>
          </rPr>
          <t>石玉珍:</t>
        </r>
        <r>
          <rPr>
            <sz val="9"/>
            <rFont val="宋体"/>
            <charset val="0"/>
          </rPr>
          <t xml:space="preserve">
1001695 7/27 4000pcs</t>
        </r>
      </text>
    </comment>
    <comment ref="AL1809" authorId="2">
      <text>
        <r>
          <rPr>
            <b/>
            <sz val="9"/>
            <rFont val="宋体"/>
            <charset val="0"/>
          </rPr>
          <t>石玉珍:</t>
        </r>
        <r>
          <rPr>
            <sz val="9"/>
            <rFont val="宋体"/>
            <charset val="0"/>
          </rPr>
          <t xml:space="preserve">
7/21 冰棒款-说明书荷/蛋糕款-说明书荷/布了款-说明书荷/德语callout/德意 4000pcs</t>
        </r>
      </text>
    </comment>
    <comment ref="AI1810" authorId="2">
      <text>
        <r>
          <rPr>
            <b/>
            <sz val="9"/>
            <rFont val="宋体"/>
            <charset val="0"/>
          </rPr>
          <t>石玉珍:</t>
        </r>
        <r>
          <rPr>
            <sz val="9"/>
            <rFont val="宋体"/>
            <charset val="0"/>
          </rPr>
          <t xml:space="preserve">
1001681 7/28 975pcs</t>
        </r>
      </text>
    </comment>
    <comment ref="AI1811" authorId="2">
      <text>
        <r>
          <rPr>
            <b/>
            <sz val="9"/>
            <rFont val="宋体"/>
            <charset val="0"/>
          </rPr>
          <t>石玉珍:</t>
        </r>
        <r>
          <rPr>
            <sz val="9"/>
            <rFont val="宋体"/>
            <charset val="0"/>
          </rPr>
          <t xml:space="preserve">
2801369 7/28 378pcs</t>
        </r>
        <r>
          <rPr>
            <b/>
            <sz val="9"/>
            <rFont val="宋体"/>
            <charset val="0"/>
          </rPr>
          <t xml:space="preserve">
石玉珍:</t>
        </r>
        <r>
          <rPr>
            <sz val="9"/>
            <rFont val="宋体"/>
            <charset val="0"/>
          </rPr>
          <t xml:space="preserve">
7/28 2801371 822pcs</t>
        </r>
      </text>
    </comment>
    <comment ref="AL1811" authorId="2">
      <text>
        <r>
          <rPr>
            <b/>
            <sz val="9"/>
            <rFont val="宋体"/>
            <charset val="0"/>
          </rPr>
          <t>石玉珍:</t>
        </r>
        <r>
          <rPr>
            <sz val="9"/>
            <rFont val="宋体"/>
            <charset val="0"/>
          </rPr>
          <t xml:space="preserve">
7/13 客户进口商贴纸 1200pcs
EAN贴纸 1200pcs
空白贴纸 2400pcs</t>
        </r>
      </text>
    </comment>
    <comment ref="AI1812" authorId="2">
      <text>
        <r>
          <rPr>
            <b/>
            <sz val="9"/>
            <rFont val="宋体"/>
            <charset val="0"/>
          </rPr>
          <t>石玉珍:</t>
        </r>
        <r>
          <rPr>
            <sz val="9"/>
            <rFont val="宋体"/>
            <charset val="0"/>
          </rPr>
          <t xml:space="preserve">
1001643 7/29 7800pcs</t>
        </r>
      </text>
    </comment>
    <comment ref="AL1812" authorId="2">
      <text>
        <r>
          <rPr>
            <b/>
            <sz val="9"/>
            <rFont val="宋体"/>
            <charset val="0"/>
          </rPr>
          <t>石玉珍:</t>
        </r>
        <r>
          <rPr>
            <sz val="9"/>
            <rFont val="宋体"/>
            <charset val="0"/>
          </rPr>
          <t xml:space="preserve">
7/14 客供防窜码贴纸1拖13 600pcs</t>
        </r>
        <r>
          <rPr>
            <b/>
            <sz val="9"/>
            <rFont val="宋体"/>
            <charset val="0"/>
          </rPr>
          <t xml:space="preserve">
石玉珍:</t>
        </r>
        <r>
          <rPr>
            <sz val="9"/>
            <rFont val="宋体"/>
            <charset val="0"/>
          </rPr>
          <t xml:space="preserve">
7/15 条码贴纸 7800pcs</t>
        </r>
      </text>
    </comment>
    <comment ref="AI1813" authorId="2">
      <text>
        <r>
          <rPr>
            <b/>
            <sz val="9"/>
            <rFont val="宋体"/>
            <charset val="0"/>
          </rPr>
          <t>石玉珍:</t>
        </r>
        <r>
          <rPr>
            <sz val="9"/>
            <rFont val="宋体"/>
            <charset val="0"/>
          </rPr>
          <t xml:space="preserve">
1001648 7/29 2600pcs</t>
        </r>
      </text>
    </comment>
    <comment ref="AL1813" authorId="2">
      <text>
        <r>
          <rPr>
            <b/>
            <sz val="9"/>
            <rFont val="宋体"/>
            <charset val="0"/>
          </rPr>
          <t>石玉珍:</t>
        </r>
        <r>
          <rPr>
            <sz val="9"/>
            <rFont val="宋体"/>
            <charset val="0"/>
          </rPr>
          <t xml:space="preserve">
7/14 客供防窜码贴纸1拖13 200pcs</t>
        </r>
        <r>
          <rPr>
            <b/>
            <sz val="9"/>
            <rFont val="宋体"/>
            <charset val="0"/>
          </rPr>
          <t xml:space="preserve">
石玉珍:</t>
        </r>
        <r>
          <rPr>
            <sz val="9"/>
            <rFont val="宋体"/>
            <charset val="0"/>
          </rPr>
          <t xml:space="preserve">
7/15 条码贴纸 2600pcs</t>
        </r>
      </text>
    </comment>
    <comment ref="AI1814" authorId="2">
      <text>
        <r>
          <rPr>
            <b/>
            <sz val="9"/>
            <rFont val="宋体"/>
            <charset val="0"/>
          </rPr>
          <t>石玉珍:</t>
        </r>
        <r>
          <rPr>
            <sz val="9"/>
            <rFont val="宋体"/>
            <charset val="0"/>
          </rPr>
          <t xml:space="preserve">
1001648 7/29 5200pcs</t>
        </r>
      </text>
    </comment>
    <comment ref="AL1814" authorId="2">
      <text>
        <r>
          <rPr>
            <b/>
            <sz val="9"/>
            <rFont val="宋体"/>
            <charset val="0"/>
          </rPr>
          <t>石玉珍:</t>
        </r>
        <r>
          <rPr>
            <sz val="9"/>
            <rFont val="宋体"/>
            <charset val="0"/>
          </rPr>
          <t xml:space="preserve">
7/14 客供防窜码贴纸1拖13 400pcs</t>
        </r>
        <r>
          <rPr>
            <b/>
            <sz val="9"/>
            <rFont val="宋体"/>
            <charset val="0"/>
          </rPr>
          <t xml:space="preserve">
石玉珍:</t>
        </r>
        <r>
          <rPr>
            <sz val="9"/>
            <rFont val="宋体"/>
            <charset val="0"/>
          </rPr>
          <t xml:space="preserve">
7/15 条码贴纸 5200pcs</t>
        </r>
      </text>
    </comment>
    <comment ref="AI1815" authorId="2">
      <text>
        <r>
          <rPr>
            <b/>
            <sz val="9"/>
            <rFont val="宋体"/>
            <charset val="0"/>
          </rPr>
          <t>石玉珍:</t>
        </r>
        <r>
          <rPr>
            <sz val="9"/>
            <rFont val="宋体"/>
            <charset val="0"/>
          </rPr>
          <t xml:space="preserve">
2800335 7/28 26000pcs</t>
        </r>
      </text>
    </comment>
    <comment ref="AL1815" authorId="2">
      <text>
        <r>
          <rPr>
            <b/>
            <sz val="9"/>
            <rFont val="宋体"/>
            <charset val="0"/>
          </rPr>
          <t>石玉珍:</t>
        </r>
        <r>
          <rPr>
            <sz val="9"/>
            <rFont val="宋体"/>
            <charset val="0"/>
          </rPr>
          <t xml:space="preserve">
7/14 客供防窜码贴纸1拖13 2000pcs</t>
        </r>
        <r>
          <rPr>
            <b/>
            <sz val="9"/>
            <rFont val="宋体"/>
            <charset val="0"/>
          </rPr>
          <t xml:space="preserve">
石玉珍:</t>
        </r>
        <r>
          <rPr>
            <sz val="9"/>
            <rFont val="宋体"/>
            <charset val="0"/>
          </rPr>
          <t xml:space="preserve">
7/15 条码贴纸 26000pcs</t>
        </r>
      </text>
    </comment>
    <comment ref="AI1816" authorId="2">
      <text>
        <r>
          <rPr>
            <b/>
            <sz val="9"/>
            <rFont val="宋体"/>
            <charset val="0"/>
          </rPr>
          <t>石玉珍:</t>
        </r>
        <r>
          <rPr>
            <sz val="9"/>
            <rFont val="宋体"/>
            <charset val="0"/>
          </rPr>
          <t xml:space="preserve">
2801369 7/28 6600pcs</t>
        </r>
      </text>
    </comment>
    <comment ref="AL1816" authorId="2">
      <text>
        <r>
          <rPr>
            <b/>
            <sz val="9"/>
            <rFont val="宋体"/>
            <charset val="0"/>
          </rPr>
          <t>石玉珍:</t>
        </r>
        <r>
          <rPr>
            <sz val="9"/>
            <rFont val="宋体"/>
            <charset val="0"/>
          </rPr>
          <t xml:space="preserve">
7/15 3c贴纸 6600pcs</t>
        </r>
        <r>
          <rPr>
            <b/>
            <sz val="9"/>
            <rFont val="宋体"/>
            <charset val="0"/>
          </rPr>
          <t xml:space="preserve">
石玉珍:</t>
        </r>
        <r>
          <rPr>
            <sz val="9"/>
            <rFont val="宋体"/>
            <charset val="0"/>
          </rPr>
          <t xml:space="preserve">
7/15 颜色贴纸 6600pcs</t>
        </r>
        <r>
          <rPr>
            <b/>
            <sz val="9"/>
            <rFont val="宋体"/>
            <charset val="0"/>
          </rPr>
          <t xml:space="preserve">
石玉珍:</t>
        </r>
        <r>
          <rPr>
            <sz val="9"/>
            <rFont val="宋体"/>
            <charset val="0"/>
          </rPr>
          <t xml:space="preserve">
7/16 空白贴纸 6600pcs*2</t>
        </r>
        <r>
          <rPr>
            <b/>
            <sz val="9"/>
            <rFont val="宋体"/>
            <charset val="0"/>
          </rPr>
          <t xml:space="preserve">
石玉珍:</t>
        </r>
        <r>
          <rPr>
            <sz val="9"/>
            <rFont val="宋体"/>
            <charset val="0"/>
          </rPr>
          <t xml:space="preserve">
7/16 客供芯片码贴纸 6600pcs</t>
        </r>
      </text>
    </comment>
    <comment ref="AI1817" authorId="2">
      <text>
        <r>
          <rPr>
            <b/>
            <sz val="9"/>
            <rFont val="宋体"/>
            <charset val="0"/>
          </rPr>
          <t>石玉珍:</t>
        </r>
        <r>
          <rPr>
            <sz val="9"/>
            <rFont val="宋体"/>
            <charset val="0"/>
          </rPr>
          <t xml:space="preserve">
1001664 7/30 900pcs</t>
        </r>
      </text>
    </comment>
    <comment ref="AL1817" authorId="2">
      <text>
        <r>
          <rPr>
            <b/>
            <sz val="9"/>
            <rFont val="宋体"/>
            <charset val="0"/>
          </rPr>
          <t>石玉珍:</t>
        </r>
        <r>
          <rPr>
            <sz val="9"/>
            <rFont val="宋体"/>
            <charset val="0"/>
          </rPr>
          <t xml:space="preserve">
7/18 进口商贴纸 900pcs</t>
        </r>
      </text>
    </comment>
    <comment ref="AI1818" authorId="2">
      <text>
        <r>
          <rPr>
            <b/>
            <sz val="9"/>
            <rFont val="宋体"/>
            <charset val="0"/>
          </rPr>
          <t>石玉珍:</t>
        </r>
        <r>
          <rPr>
            <sz val="9"/>
            <rFont val="宋体"/>
            <charset val="0"/>
          </rPr>
          <t xml:space="preserve">
1001664 7/30 455pcs</t>
        </r>
      </text>
    </comment>
    <comment ref="AL1818" authorId="2">
      <text>
        <r>
          <rPr>
            <b/>
            <sz val="9"/>
            <rFont val="宋体"/>
            <charset val="0"/>
          </rPr>
          <t>石玉珍:</t>
        </r>
        <r>
          <rPr>
            <sz val="9"/>
            <rFont val="宋体"/>
            <charset val="0"/>
          </rPr>
          <t xml:space="preserve">
7/15 进口商贴纸 455pcs</t>
        </r>
      </text>
    </comment>
    <comment ref="AI1819" authorId="2">
      <text>
        <r>
          <rPr>
            <b/>
            <sz val="9"/>
            <rFont val="宋体"/>
            <charset val="0"/>
          </rPr>
          <t>石玉珍:</t>
        </r>
        <r>
          <rPr>
            <sz val="9"/>
            <rFont val="宋体"/>
            <charset val="0"/>
          </rPr>
          <t xml:space="preserve">
1001662 7/30 5004pcs  </t>
        </r>
      </text>
    </comment>
    <comment ref="AL1819" authorId="2">
      <text>
        <r>
          <rPr>
            <b/>
            <sz val="9"/>
            <rFont val="宋体"/>
            <charset val="0"/>
          </rPr>
          <t>石玉珍:</t>
        </r>
        <r>
          <rPr>
            <sz val="9"/>
            <rFont val="宋体"/>
            <charset val="0"/>
          </rPr>
          <t xml:space="preserve">
6/10  客供价格贴纸 5004pcs</t>
        </r>
      </text>
    </comment>
    <comment ref="AI1820" authorId="2">
      <text>
        <r>
          <rPr>
            <b/>
            <sz val="9"/>
            <rFont val="宋体"/>
            <charset val="0"/>
          </rPr>
          <t>石玉珍:</t>
        </r>
        <r>
          <rPr>
            <sz val="9"/>
            <rFont val="宋体"/>
            <charset val="0"/>
          </rPr>
          <t xml:space="preserve">
1001664 7/30 3887pcs</t>
        </r>
        <r>
          <rPr>
            <b/>
            <sz val="9"/>
            <rFont val="宋体"/>
            <charset val="0"/>
          </rPr>
          <t xml:space="preserve">
石玉珍:</t>
        </r>
        <r>
          <rPr>
            <sz val="9"/>
            <rFont val="宋体"/>
            <charset val="0"/>
          </rPr>
          <t xml:space="preserve">
1001556 8/4 13pcs</t>
        </r>
      </text>
    </comment>
    <comment ref="AL1820" authorId="2">
      <text>
        <r>
          <rPr>
            <b/>
            <sz val="9"/>
            <rFont val="宋体"/>
            <charset val="0"/>
          </rPr>
          <t>石玉珍:</t>
        </r>
        <r>
          <rPr>
            <sz val="9"/>
            <rFont val="宋体"/>
            <charset val="0"/>
          </rPr>
          <t xml:space="preserve">
7/20 多语警语折叠贴纸 3900pcs</t>
        </r>
      </text>
    </comment>
    <comment ref="AI1821" authorId="2">
      <text>
        <r>
          <rPr>
            <b/>
            <sz val="9"/>
            <rFont val="宋体"/>
            <charset val="0"/>
          </rPr>
          <t>石玉珍:</t>
        </r>
        <r>
          <rPr>
            <sz val="9"/>
            <rFont val="宋体"/>
            <charset val="0"/>
          </rPr>
          <t xml:space="preserve">
1001662 7/30 1800pcs </t>
        </r>
      </text>
    </comment>
    <comment ref="AI1822" authorId="2">
      <text>
        <r>
          <rPr>
            <b/>
            <sz val="9"/>
            <rFont val="宋体"/>
            <charset val="0"/>
          </rPr>
          <t>石玉珍:</t>
        </r>
        <r>
          <rPr>
            <sz val="9"/>
            <rFont val="宋体"/>
            <charset val="0"/>
          </rPr>
          <t xml:space="preserve">
1001664 7/30 3367pcs</t>
        </r>
      </text>
    </comment>
    <comment ref="AL1822" authorId="2">
      <text>
        <r>
          <rPr>
            <b/>
            <sz val="9"/>
            <rFont val="宋体"/>
            <charset val="0"/>
          </rPr>
          <t>石玉珍:</t>
        </r>
        <r>
          <rPr>
            <sz val="9"/>
            <rFont val="宋体"/>
            <charset val="0"/>
          </rPr>
          <t xml:space="preserve">
7/15 白色防盗贴纸 3367pcs</t>
        </r>
        <r>
          <rPr>
            <b/>
            <sz val="9"/>
            <rFont val="宋体"/>
            <charset val="0"/>
          </rPr>
          <t xml:space="preserve">
石玉珍:</t>
        </r>
        <r>
          <rPr>
            <sz val="9"/>
            <rFont val="宋体"/>
            <charset val="0"/>
          </rPr>
          <t xml:space="preserve">
7/18 UPC条码贴纸 3367pcs</t>
        </r>
        <r>
          <rPr>
            <b/>
            <sz val="9"/>
            <rFont val="宋体"/>
            <charset val="0"/>
          </rPr>
          <t xml:space="preserve">
石玉珍:</t>
        </r>
        <r>
          <rPr>
            <sz val="9"/>
            <rFont val="宋体"/>
            <charset val="0"/>
          </rPr>
          <t xml:space="preserve">
7/21 Kmart外箱贴纸 259pcs</t>
        </r>
      </text>
    </comment>
    <comment ref="AI1823" authorId="2">
      <text>
        <r>
          <rPr>
            <b/>
            <sz val="9"/>
            <rFont val="宋体"/>
            <charset val="0"/>
          </rPr>
          <t>石玉珍:</t>
        </r>
        <r>
          <rPr>
            <sz val="9"/>
            <rFont val="宋体"/>
            <charset val="0"/>
          </rPr>
          <t xml:space="preserve">
1001664 7/30 7150pcs</t>
        </r>
      </text>
    </comment>
    <comment ref="AL1823" authorId="2">
      <text>
        <r>
          <rPr>
            <b/>
            <sz val="9"/>
            <rFont val="宋体"/>
            <charset val="0"/>
          </rPr>
          <t>石玉珍:</t>
        </r>
        <r>
          <rPr>
            <sz val="9"/>
            <rFont val="宋体"/>
            <charset val="0"/>
          </rPr>
          <t xml:space="preserve">
7/21 法国语贴纸 4150pcs</t>
        </r>
      </text>
    </comment>
    <comment ref="AI1824" authorId="2">
      <text>
        <r>
          <rPr>
            <b/>
            <sz val="9"/>
            <rFont val="宋体"/>
            <charset val="0"/>
          </rPr>
          <t>石玉珍:</t>
        </r>
        <r>
          <rPr>
            <sz val="9"/>
            <rFont val="宋体"/>
            <charset val="0"/>
          </rPr>
          <t xml:space="preserve">
1001664 7/30 2600pcs</t>
        </r>
      </text>
    </comment>
    <comment ref="AI1825" authorId="2">
      <text>
        <r>
          <rPr>
            <b/>
            <sz val="9"/>
            <rFont val="宋体"/>
            <charset val="0"/>
          </rPr>
          <t>石玉珍:</t>
        </r>
        <r>
          <rPr>
            <sz val="9"/>
            <rFont val="宋体"/>
            <charset val="0"/>
          </rPr>
          <t xml:space="preserve">
1001664 7/30 2700pcs</t>
        </r>
      </text>
    </comment>
    <comment ref="AI1826" authorId="2">
      <text>
        <r>
          <rPr>
            <b/>
            <sz val="9"/>
            <rFont val="宋体"/>
            <charset val="0"/>
          </rPr>
          <t>石玉珍:</t>
        </r>
        <r>
          <rPr>
            <sz val="9"/>
            <rFont val="宋体"/>
            <charset val="0"/>
          </rPr>
          <t xml:space="preserve">
1001600 7/31 1248pcs</t>
        </r>
      </text>
    </comment>
    <comment ref="AL1826" authorId="2">
      <text>
        <r>
          <rPr>
            <b/>
            <sz val="9"/>
            <rFont val="宋体"/>
            <charset val="0"/>
          </rPr>
          <t>石玉珍:</t>
        </r>
        <r>
          <rPr>
            <sz val="9"/>
            <rFont val="宋体"/>
            <charset val="0"/>
          </rPr>
          <t xml:space="preserve">
6/18 H客供警语贴纸贴收藏指南 1290pcs
H客供警语贴黑白说明书 1290pcs
</t>
        </r>
        <r>
          <rPr>
            <b/>
            <sz val="9"/>
            <rFont val="宋体"/>
            <charset val="0"/>
          </rPr>
          <t xml:space="preserve">
石玉珍:</t>
        </r>
        <r>
          <rPr>
            <sz val="9"/>
            <rFont val="宋体"/>
            <charset val="0"/>
          </rPr>
          <t xml:space="preserve">
H客供警语贴纸贴球底部 1290pcs</t>
        </r>
        <r>
          <rPr>
            <b/>
            <sz val="9"/>
            <rFont val="宋体"/>
            <charset val="0"/>
          </rPr>
          <t xml:space="preserve">
石玉珍:</t>
        </r>
        <r>
          <rPr>
            <sz val="9"/>
            <rFont val="宋体"/>
            <charset val="0"/>
          </rPr>
          <t xml:space="preserve">
7/15 UPC条码贴纸 1248pcs</t>
        </r>
        <r>
          <rPr>
            <b/>
            <sz val="9"/>
            <rFont val="宋体"/>
            <charset val="0"/>
          </rPr>
          <t xml:space="preserve">
石玉珍:</t>
        </r>
        <r>
          <rPr>
            <sz val="9"/>
            <rFont val="宋体"/>
            <charset val="0"/>
          </rPr>
          <t xml:space="preserve">
7/21 收藏指南贴纸  180pcs</t>
        </r>
      </text>
    </comment>
    <comment ref="AI1827" authorId="2">
      <text>
        <r>
          <rPr>
            <b/>
            <sz val="9"/>
            <rFont val="宋体"/>
            <charset val="0"/>
          </rPr>
          <t>石玉珍:</t>
        </r>
        <r>
          <rPr>
            <sz val="9"/>
            <rFont val="宋体"/>
            <charset val="0"/>
          </rPr>
          <t xml:space="preserve">
1000397 8/1 4032pcs </t>
        </r>
        <r>
          <rPr>
            <b/>
            <sz val="9"/>
            <rFont val="宋体"/>
            <charset val="0"/>
          </rPr>
          <t xml:space="preserve">
石玉珍:</t>
        </r>
        <r>
          <rPr>
            <sz val="9"/>
            <rFont val="宋体"/>
            <charset val="0"/>
          </rPr>
          <t xml:space="preserve">
1000398 8/3 1368pcs</t>
        </r>
      </text>
    </comment>
    <comment ref="AL1827" authorId="2">
      <text>
        <r>
          <rPr>
            <b/>
            <sz val="9"/>
            <rFont val="宋体"/>
            <charset val="0"/>
          </rPr>
          <t>石玉珍:</t>
        </r>
        <r>
          <rPr>
            <sz val="9"/>
            <rFont val="宋体"/>
            <charset val="0"/>
          </rPr>
          <t xml:space="preserve">
6/10 客供价格贴纸 5400pcs
 </t>
        </r>
      </text>
    </comment>
    <comment ref="AI1828" authorId="2">
      <text>
        <r>
          <rPr>
            <b/>
            <sz val="9"/>
            <rFont val="宋体"/>
            <charset val="0"/>
          </rPr>
          <t>石玉珍:</t>
        </r>
        <r>
          <rPr>
            <sz val="9"/>
            <rFont val="宋体"/>
            <charset val="0"/>
          </rPr>
          <t xml:space="preserve">
1001636 7/31 624pcs </t>
        </r>
      </text>
    </comment>
    <comment ref="AL1828" authorId="2">
      <text>
        <r>
          <rPr>
            <b/>
            <sz val="9"/>
            <rFont val="宋体"/>
            <charset val="0"/>
          </rPr>
          <t>石玉珍:</t>
        </r>
        <r>
          <rPr>
            <sz val="9"/>
            <rFont val="宋体"/>
            <charset val="0"/>
          </rPr>
          <t xml:space="preserve">
7/15 通用进口商贴纸 624pcs</t>
        </r>
        <r>
          <rPr>
            <b/>
            <sz val="9"/>
            <rFont val="宋体"/>
            <charset val="0"/>
          </rPr>
          <t xml:space="preserve">
石玉珍:</t>
        </r>
        <r>
          <rPr>
            <sz val="9"/>
            <rFont val="宋体"/>
            <charset val="0"/>
          </rPr>
          <t xml:space="preserve">
UPC贴纸 624pcs</t>
        </r>
      </text>
    </comment>
    <comment ref="AI1829" authorId="2">
      <text>
        <r>
          <rPr>
            <b/>
            <sz val="9"/>
            <rFont val="宋体"/>
            <charset val="0"/>
          </rPr>
          <t>石玉珍:</t>
        </r>
        <r>
          <rPr>
            <sz val="9"/>
            <rFont val="宋体"/>
            <charset val="0"/>
          </rPr>
          <t xml:space="preserve">
1000398 8/3 2704pcs</t>
        </r>
      </text>
    </comment>
    <comment ref="AL1829" authorId="2">
      <text>
        <r>
          <rPr>
            <b/>
            <sz val="9"/>
            <rFont val="宋体"/>
            <charset val="0"/>
          </rPr>
          <t>石玉珍:</t>
        </r>
        <r>
          <rPr>
            <sz val="9"/>
            <rFont val="宋体"/>
            <charset val="0"/>
          </rPr>
          <t xml:space="preserve">
6710 客供价格贴纸 2704pcs</t>
        </r>
      </text>
    </comment>
    <comment ref="AI1830" authorId="2">
      <text>
        <r>
          <rPr>
            <b/>
            <sz val="9"/>
            <rFont val="宋体"/>
            <charset val="0"/>
          </rPr>
          <t>石玉珍:</t>
        </r>
        <r>
          <rPr>
            <sz val="9"/>
            <rFont val="宋体"/>
            <charset val="0"/>
          </rPr>
          <t xml:space="preserve">
1001618 7/31 3996pcs</t>
        </r>
      </text>
    </comment>
    <comment ref="AL1830" authorId="2">
      <text>
        <r>
          <rPr>
            <b/>
            <sz val="9"/>
            <rFont val="宋体"/>
            <charset val="0"/>
          </rPr>
          <t>石玉珍:</t>
        </r>
        <r>
          <rPr>
            <sz val="9"/>
            <rFont val="宋体"/>
            <charset val="0"/>
          </rPr>
          <t xml:space="preserve">
7/9 客供价格贴纸 3996pcs</t>
        </r>
        <r>
          <rPr>
            <b/>
            <sz val="9"/>
            <rFont val="宋体"/>
            <charset val="0"/>
          </rPr>
          <t xml:space="preserve">
石玉珍:</t>
        </r>
        <r>
          <rPr>
            <sz val="9"/>
            <rFont val="宋体"/>
            <charset val="0"/>
          </rPr>
          <t xml:space="preserve">
7/16 空白贴纸 3996*2pcs</t>
        </r>
      </text>
    </comment>
    <comment ref="AI1831" authorId="2">
      <text>
        <r>
          <rPr>
            <b/>
            <sz val="9"/>
            <rFont val="宋体"/>
            <charset val="0"/>
          </rPr>
          <t>石玉珍:</t>
        </r>
        <r>
          <rPr>
            <sz val="9"/>
            <rFont val="宋体"/>
            <charset val="0"/>
          </rPr>
          <t xml:space="preserve">
1001636 7/31 3996pcs </t>
        </r>
      </text>
    </comment>
    <comment ref="AL1831" authorId="2">
      <text>
        <r>
          <rPr>
            <b/>
            <sz val="9"/>
            <rFont val="宋体"/>
            <charset val="0"/>
          </rPr>
          <t>石玉珍:</t>
        </r>
        <r>
          <rPr>
            <sz val="9"/>
            <rFont val="宋体"/>
            <charset val="0"/>
          </rPr>
          <t xml:space="preserve">
7/9 客供价格贴纸 3996pcs</t>
        </r>
        <r>
          <rPr>
            <b/>
            <sz val="9"/>
            <rFont val="宋体"/>
            <charset val="0"/>
          </rPr>
          <t xml:space="preserve">
石玉珍:</t>
        </r>
        <r>
          <rPr>
            <sz val="9"/>
            <rFont val="宋体"/>
            <charset val="0"/>
          </rPr>
          <t xml:space="preserve">
7/16 空白贴纸 3996*2pcs</t>
        </r>
      </text>
    </comment>
    <comment ref="AI1832" authorId="2">
      <text>
        <r>
          <rPr>
            <b/>
            <sz val="9"/>
            <rFont val="宋体"/>
            <charset val="0"/>
          </rPr>
          <t>石玉珍:</t>
        </r>
        <r>
          <rPr>
            <sz val="9"/>
            <rFont val="宋体"/>
            <charset val="0"/>
          </rPr>
          <t xml:space="preserve">
1001664 7/30 4008pcs</t>
        </r>
      </text>
    </comment>
    <comment ref="AL1832" authorId="2">
      <text>
        <r>
          <rPr>
            <b/>
            <sz val="9"/>
            <rFont val="宋体"/>
            <charset val="0"/>
          </rPr>
          <t>石玉珍:</t>
        </r>
        <r>
          <rPr>
            <sz val="9"/>
            <rFont val="宋体"/>
            <charset val="0"/>
          </rPr>
          <t xml:space="preserve">
7/11 客供价格贴纸 4008pcs.</t>
        </r>
        <r>
          <rPr>
            <b/>
            <sz val="9"/>
            <rFont val="宋体"/>
            <charset val="0"/>
          </rPr>
          <t xml:space="preserve">
石玉珍:</t>
        </r>
        <r>
          <rPr>
            <sz val="9"/>
            <rFont val="宋体"/>
            <charset val="0"/>
          </rPr>
          <t xml:space="preserve">
7/16 空白贴纸 4008*2pcs</t>
        </r>
      </text>
    </comment>
    <comment ref="AI1833" authorId="2">
      <text>
        <r>
          <rPr>
            <b/>
            <sz val="9"/>
            <rFont val="宋体"/>
            <charset val="0"/>
          </rPr>
          <t>石玉珍:</t>
        </r>
        <r>
          <rPr>
            <sz val="9"/>
            <rFont val="宋体"/>
            <charset val="0"/>
          </rPr>
          <t xml:space="preserve">
1001623 7/31 4008pcs</t>
        </r>
      </text>
    </comment>
    <comment ref="AL1833" authorId="2">
      <text>
        <r>
          <rPr>
            <b/>
            <sz val="9"/>
            <rFont val="宋体"/>
            <charset val="0"/>
          </rPr>
          <t>石玉珍:</t>
        </r>
        <r>
          <rPr>
            <sz val="9"/>
            <rFont val="宋体"/>
            <charset val="0"/>
          </rPr>
          <t xml:space="preserve">
7/11 客供价格贴纸 4008pcs.</t>
        </r>
        <r>
          <rPr>
            <b/>
            <sz val="9"/>
            <rFont val="宋体"/>
            <charset val="0"/>
          </rPr>
          <t xml:space="preserve">
石玉珍:</t>
        </r>
        <r>
          <rPr>
            <sz val="9"/>
            <rFont val="宋体"/>
            <charset val="0"/>
          </rPr>
          <t xml:space="preserve">
7/16 空白贴纸  4008*2pcs</t>
        </r>
      </text>
    </comment>
    <comment ref="AI1834" authorId="2">
      <text>
        <r>
          <rPr>
            <b/>
            <sz val="9"/>
            <rFont val="宋体"/>
            <charset val="0"/>
          </rPr>
          <t>石玉珍:</t>
        </r>
        <r>
          <rPr>
            <sz val="9"/>
            <rFont val="宋体"/>
            <charset val="0"/>
          </rPr>
          <t xml:space="preserve">
1001618 7/31 600pcs</t>
        </r>
      </text>
    </comment>
    <comment ref="AL1834" authorId="2">
      <text>
        <r>
          <rPr>
            <b/>
            <sz val="9"/>
            <rFont val="宋体"/>
            <charset val="0"/>
          </rPr>
          <t>石玉珍:</t>
        </r>
        <r>
          <rPr>
            <sz val="9"/>
            <rFont val="宋体"/>
            <charset val="0"/>
          </rPr>
          <t xml:space="preserve">
7/21 警示语贴纸 600pcs</t>
        </r>
      </text>
    </comment>
    <comment ref="AI1835" authorId="2">
      <text>
        <r>
          <rPr>
            <b/>
            <sz val="9"/>
            <rFont val="宋体"/>
            <charset val="0"/>
          </rPr>
          <t>石玉珍:</t>
        </r>
        <r>
          <rPr>
            <sz val="9"/>
            <rFont val="宋体"/>
            <charset val="0"/>
          </rPr>
          <t xml:space="preserve">
1001618 7/31 1404pcs
</t>
        </r>
      </text>
    </comment>
    <comment ref="AL1835" authorId="0">
      <text>
        <r>
          <rPr>
            <sz val="9"/>
            <rFont val="宋体"/>
            <charset val="0"/>
          </rPr>
          <t xml:space="preserve">Administrator:
5/22 空白贴纸 订单数*2pcs
</t>
        </r>
        <r>
          <rPr>
            <b/>
            <sz val="9"/>
            <rFont val="宋体"/>
            <charset val="0"/>
          </rPr>
          <t xml:space="preserve">
石玉珍:</t>
        </r>
        <r>
          <rPr>
            <sz val="9"/>
            <rFont val="宋体"/>
            <charset val="0"/>
          </rPr>
          <t xml:space="preserve">
7/9 客供价格贴纸 1404pcs</t>
        </r>
      </text>
    </comment>
    <comment ref="AI1836" authorId="2">
      <text>
        <r>
          <rPr>
            <b/>
            <sz val="9"/>
            <rFont val="宋体"/>
            <charset val="0"/>
          </rPr>
          <t>石玉珍:</t>
        </r>
        <r>
          <rPr>
            <sz val="9"/>
            <rFont val="宋体"/>
            <charset val="0"/>
          </rPr>
          <t xml:space="preserve">
1001588 8/1 1596pcs</t>
        </r>
      </text>
    </comment>
    <comment ref="AL1836" authorId="0">
      <text>
        <r>
          <rPr>
            <sz val="9"/>
            <rFont val="宋体"/>
            <charset val="0"/>
          </rPr>
          <t xml:space="preserve">Administrator:
5/22 空白贴纸 订单数*2pcs
</t>
        </r>
        <r>
          <rPr>
            <b/>
            <sz val="9"/>
            <rFont val="宋体"/>
            <charset val="0"/>
          </rPr>
          <t xml:space="preserve">
石玉珍:</t>
        </r>
        <r>
          <rPr>
            <sz val="9"/>
            <rFont val="宋体"/>
            <charset val="0"/>
          </rPr>
          <t xml:space="preserve">
7/11 客供价格贴纸 1596pcs.</t>
        </r>
      </text>
    </comment>
    <comment ref="AI1837" authorId="2">
      <text>
        <r>
          <rPr>
            <b/>
            <sz val="9"/>
            <rFont val="宋体"/>
            <charset val="0"/>
          </rPr>
          <t>石玉珍:</t>
        </r>
        <r>
          <rPr>
            <sz val="9"/>
            <rFont val="宋体"/>
            <charset val="0"/>
          </rPr>
          <t xml:space="preserve">
1001636 7/31 240pcs</t>
        </r>
      </text>
    </comment>
    <comment ref="AL1837" authorId="2">
      <text>
        <r>
          <rPr>
            <b/>
            <sz val="9"/>
            <rFont val="宋体"/>
            <charset val="0"/>
          </rPr>
          <t>石玉珍:</t>
        </r>
        <r>
          <rPr>
            <sz val="9"/>
            <rFont val="宋体"/>
            <charset val="0"/>
          </rPr>
          <t xml:space="preserve">
6/12 空白贴纸 480pcs</t>
        </r>
      </text>
    </comment>
    <comment ref="AI1838" authorId="2">
      <text>
        <r>
          <rPr>
            <b/>
            <sz val="9"/>
            <rFont val="宋体"/>
            <charset val="0"/>
          </rPr>
          <t>石玉珍:</t>
        </r>
        <r>
          <rPr>
            <sz val="9"/>
            <rFont val="宋体"/>
            <charset val="0"/>
          </rPr>
          <t xml:space="preserve">
1001636 7/31 204pcs</t>
        </r>
      </text>
    </comment>
    <comment ref="AL1838" authorId="2">
      <text>
        <r>
          <rPr>
            <b/>
            <sz val="9"/>
            <rFont val="宋体"/>
            <charset val="0"/>
          </rPr>
          <t>石玉珍:</t>
        </r>
        <r>
          <rPr>
            <sz val="9"/>
            <rFont val="宋体"/>
            <charset val="0"/>
          </rPr>
          <t xml:space="preserve">
6/12 空白贴纸 408pcs</t>
        </r>
      </text>
    </comment>
    <comment ref="AI1839" authorId="2">
      <text>
        <r>
          <rPr>
            <b/>
            <sz val="9"/>
            <rFont val="宋体"/>
            <charset val="0"/>
          </rPr>
          <t>石玉珍:</t>
        </r>
        <r>
          <rPr>
            <sz val="9"/>
            <rFont val="宋体"/>
            <charset val="0"/>
          </rPr>
          <t xml:space="preserve">
1001623 7/31 1404pcs</t>
        </r>
      </text>
    </comment>
    <comment ref="AL1839" authorId="2">
      <text>
        <r>
          <rPr>
            <b/>
            <sz val="9"/>
            <rFont val="宋体"/>
            <charset val="0"/>
          </rPr>
          <t>石玉珍:</t>
        </r>
        <r>
          <rPr>
            <sz val="9"/>
            <rFont val="宋体"/>
            <charset val="0"/>
          </rPr>
          <t xml:space="preserve">
6/12 空白贴纸 2808pcs</t>
        </r>
        <r>
          <rPr>
            <b/>
            <sz val="9"/>
            <rFont val="宋体"/>
            <charset val="0"/>
          </rPr>
          <t xml:space="preserve">
石玉珍:</t>
        </r>
        <r>
          <rPr>
            <sz val="9"/>
            <rFont val="宋体"/>
            <charset val="0"/>
          </rPr>
          <t xml:space="preserve">
6/16 客供价格贴纸 1404pcs</t>
        </r>
      </text>
    </comment>
    <comment ref="AI1840" authorId="2">
      <text>
        <r>
          <rPr>
            <b/>
            <sz val="9"/>
            <rFont val="宋体"/>
            <charset val="0"/>
          </rPr>
          <t>石玉珍:</t>
        </r>
        <r>
          <rPr>
            <sz val="9"/>
            <rFont val="宋体"/>
            <charset val="0"/>
          </rPr>
          <t xml:space="preserve">
1001618 7/31 1404pcs</t>
        </r>
      </text>
    </comment>
    <comment ref="AL1840" authorId="2">
      <text>
        <r>
          <rPr>
            <b/>
            <sz val="9"/>
            <rFont val="宋体"/>
            <charset val="0"/>
          </rPr>
          <t>石玉珍:</t>
        </r>
        <r>
          <rPr>
            <sz val="9"/>
            <rFont val="宋体"/>
            <charset val="0"/>
          </rPr>
          <t xml:space="preserve">
6/12 空白贴纸 672pcs</t>
        </r>
        <r>
          <rPr>
            <b/>
            <sz val="9"/>
            <rFont val="宋体"/>
            <charset val="0"/>
          </rPr>
          <t xml:space="preserve">
石玉珍:</t>
        </r>
        <r>
          <rPr>
            <sz val="9"/>
            <rFont val="宋体"/>
            <charset val="0"/>
          </rPr>
          <t xml:space="preserve">
6/16 客供价格贴纸 336pcs</t>
        </r>
      </text>
    </comment>
    <comment ref="AI1841" authorId="2">
      <text>
        <r>
          <rPr>
            <b/>
            <sz val="9"/>
            <rFont val="宋体"/>
            <charset val="0"/>
          </rPr>
          <t>石玉珍:</t>
        </r>
        <r>
          <rPr>
            <sz val="9"/>
            <rFont val="宋体"/>
            <charset val="0"/>
          </rPr>
          <t xml:space="preserve">
1001623 7/31 396pcs</t>
        </r>
      </text>
    </comment>
    <comment ref="AL1841" authorId="2">
      <text>
        <r>
          <rPr>
            <b/>
            <sz val="9"/>
            <rFont val="宋体"/>
            <charset val="0"/>
          </rPr>
          <t>石玉珍:</t>
        </r>
        <r>
          <rPr>
            <sz val="9"/>
            <rFont val="宋体"/>
            <charset val="0"/>
          </rPr>
          <t xml:space="preserve">
6/12 空白贴纸 792pcs</t>
        </r>
        <r>
          <rPr>
            <b/>
            <sz val="9"/>
            <rFont val="宋体"/>
            <charset val="0"/>
          </rPr>
          <t xml:space="preserve">
石玉珍:</t>
        </r>
        <r>
          <rPr>
            <sz val="9"/>
            <rFont val="宋体"/>
            <charset val="0"/>
          </rPr>
          <t xml:space="preserve">
6/16 客供价格贴纸 396pcs</t>
        </r>
      </text>
    </comment>
    <comment ref="AI1842" authorId="2">
      <text>
        <r>
          <rPr>
            <b/>
            <sz val="9"/>
            <rFont val="宋体"/>
            <charset val="0"/>
          </rPr>
          <t>石玉珍:</t>
        </r>
        <r>
          <rPr>
            <sz val="9"/>
            <rFont val="宋体"/>
            <charset val="0"/>
          </rPr>
          <t xml:space="preserve">
1001623 7/31 1596pcs</t>
        </r>
      </text>
    </comment>
    <comment ref="AL1842" authorId="2">
      <text>
        <r>
          <rPr>
            <b/>
            <sz val="9"/>
            <rFont val="宋体"/>
            <charset val="0"/>
          </rPr>
          <t>石玉珍:</t>
        </r>
        <r>
          <rPr>
            <sz val="9"/>
            <rFont val="宋体"/>
            <charset val="0"/>
          </rPr>
          <t xml:space="preserve">
6/12 空白贴纸 3192pcs</t>
        </r>
        <r>
          <rPr>
            <b/>
            <sz val="9"/>
            <rFont val="宋体"/>
            <charset val="0"/>
          </rPr>
          <t xml:space="preserve">
石玉珍:</t>
        </r>
        <r>
          <rPr>
            <sz val="9"/>
            <rFont val="宋体"/>
            <charset val="0"/>
          </rPr>
          <t xml:space="preserve">
6/16 客供价格贴纸 1596pcs</t>
        </r>
      </text>
    </comment>
    <comment ref="AI1843" authorId="2">
      <text>
        <r>
          <rPr>
            <b/>
            <sz val="9"/>
            <rFont val="宋体"/>
            <charset val="0"/>
          </rPr>
          <t>石玉珍:</t>
        </r>
        <r>
          <rPr>
            <sz val="9"/>
            <rFont val="宋体"/>
            <charset val="0"/>
          </rPr>
          <t xml:space="preserve">
1001636 7/31 6550pcs </t>
        </r>
      </text>
    </comment>
    <comment ref="AL1843" authorId="2">
      <text>
        <r>
          <rPr>
            <b/>
            <sz val="9"/>
            <rFont val="宋体"/>
            <charset val="0"/>
          </rPr>
          <t>石玉珍:</t>
        </r>
        <r>
          <rPr>
            <sz val="9"/>
            <rFont val="宋体"/>
            <charset val="0"/>
          </rPr>
          <t xml:space="preserve">
7/16 客供外箱贴纸 262pcs</t>
        </r>
      </text>
    </comment>
    <comment ref="AI1844" authorId="2">
      <text>
        <r>
          <rPr>
            <b/>
            <sz val="9"/>
            <rFont val="宋体"/>
            <charset val="0"/>
          </rPr>
          <t>石玉珍:</t>
        </r>
        <r>
          <rPr>
            <sz val="9"/>
            <rFont val="宋体"/>
            <charset val="0"/>
          </rPr>
          <t xml:space="preserve">
1001609 8/1 494pcs</t>
        </r>
        <r>
          <rPr>
            <b/>
            <sz val="9"/>
            <rFont val="宋体"/>
            <charset val="0"/>
          </rPr>
          <t xml:space="preserve">
石玉珍:</t>
        </r>
        <r>
          <rPr>
            <sz val="9"/>
            <rFont val="宋体"/>
            <charset val="0"/>
          </rPr>
          <t xml:space="preserve">
1001593 8/1 13pcs</t>
        </r>
      </text>
    </comment>
    <comment ref="AL1844" authorId="2">
      <text>
        <r>
          <rPr>
            <b/>
            <sz val="9"/>
            <rFont val="宋体"/>
            <charset val="0"/>
          </rPr>
          <t>石玉珍:</t>
        </r>
        <r>
          <rPr>
            <sz val="9"/>
            <rFont val="宋体"/>
            <charset val="0"/>
          </rPr>
          <t xml:space="preserve">
7/16 德意警语贴纸 507pcs</t>
        </r>
        <r>
          <rPr>
            <b/>
            <sz val="9"/>
            <rFont val="宋体"/>
            <charset val="0"/>
          </rPr>
          <t xml:space="preserve">
石玉珍:</t>
        </r>
        <r>
          <rPr>
            <sz val="9"/>
            <rFont val="宋体"/>
            <charset val="0"/>
          </rPr>
          <t xml:space="preserve">
7/20  PDQ/地址上贴纸  39pcs</t>
        </r>
      </text>
    </comment>
    <comment ref="AI1845" authorId="2">
      <text>
        <r>
          <rPr>
            <b/>
            <sz val="9"/>
            <rFont val="宋体"/>
            <charset val="0"/>
          </rPr>
          <t>石玉珍:</t>
        </r>
        <r>
          <rPr>
            <sz val="9"/>
            <rFont val="宋体"/>
            <charset val="0"/>
          </rPr>
          <t xml:space="preserve">
1001609 8/1 9600pcs</t>
        </r>
      </text>
    </comment>
    <comment ref="AL1845" authorId="2">
      <text>
        <r>
          <rPr>
            <b/>
            <sz val="9"/>
            <rFont val="宋体"/>
            <charset val="0"/>
          </rPr>
          <t>石玉珍:</t>
        </r>
        <r>
          <rPr>
            <sz val="9"/>
            <rFont val="宋体"/>
            <charset val="0"/>
          </rPr>
          <t xml:space="preserve">
7/30 进口商贴纸 9600pcs</t>
        </r>
      </text>
    </comment>
    <comment ref="AI1846" authorId="2">
      <text>
        <r>
          <rPr>
            <b/>
            <sz val="9"/>
            <rFont val="宋体"/>
            <charset val="0"/>
          </rPr>
          <t>石玉珍:</t>
        </r>
        <r>
          <rPr>
            <sz val="9"/>
            <rFont val="宋体"/>
            <charset val="0"/>
          </rPr>
          <t xml:space="preserve">
1001609 8/1 2769pcs</t>
        </r>
      </text>
    </comment>
    <comment ref="AL1846" authorId="2">
      <text>
        <r>
          <rPr>
            <b/>
            <sz val="9"/>
            <rFont val="宋体"/>
            <charset val="0"/>
          </rPr>
          <t>石玉珍:</t>
        </r>
        <r>
          <rPr>
            <sz val="9"/>
            <rFont val="宋体"/>
            <charset val="0"/>
          </rPr>
          <t xml:space="preserve">
7/17 意大利环保标贴纸 2769pcs</t>
        </r>
      </text>
    </comment>
    <comment ref="AI1847" authorId="2">
      <text>
        <r>
          <rPr>
            <b/>
            <sz val="9"/>
            <rFont val="宋体"/>
            <charset val="0"/>
          </rPr>
          <t>石玉珍:</t>
        </r>
        <r>
          <rPr>
            <sz val="9"/>
            <rFont val="宋体"/>
            <charset val="0"/>
          </rPr>
          <t xml:space="preserve">
2800381 8/5 47970pcs</t>
        </r>
      </text>
    </comment>
    <comment ref="AL1847" authorId="2">
      <text>
        <r>
          <rPr>
            <b/>
            <sz val="9"/>
            <rFont val="宋体"/>
            <charset val="0"/>
          </rPr>
          <t>石玉珍:</t>
        </r>
        <r>
          <rPr>
            <sz val="9"/>
            <rFont val="宋体"/>
            <charset val="0"/>
          </rPr>
          <t xml:space="preserve">
7/20  PDQ/地址上贴纸  1599pcs</t>
        </r>
        <r>
          <rPr>
            <b/>
            <sz val="9"/>
            <rFont val="宋体"/>
            <charset val="0"/>
          </rPr>
          <t xml:space="preserve">
石玉珍:</t>
        </r>
        <r>
          <rPr>
            <sz val="9"/>
            <rFont val="宋体"/>
            <charset val="0"/>
          </rPr>
          <t xml:space="preserve">
7/23 多语警语折叠贴 47970pcs</t>
        </r>
      </text>
    </comment>
    <comment ref="AT1847" authorId="2">
      <text>
        <r>
          <rPr>
            <b/>
            <sz val="9"/>
            <rFont val="宋体"/>
            <charset val="0"/>
          </rPr>
          <t>陈炎:</t>
        </r>
        <r>
          <rPr>
            <sz val="9"/>
            <rFont val="宋体"/>
            <charset val="0"/>
          </rPr>
          <t xml:space="preserve">
新客版资料</t>
        </r>
      </text>
    </comment>
    <comment ref="AI1848" authorId="2">
      <text>
        <r>
          <rPr>
            <b/>
            <sz val="9"/>
            <rFont val="宋体"/>
            <charset val="0"/>
          </rPr>
          <t>石玉珍:</t>
        </r>
        <r>
          <rPr>
            <sz val="9"/>
            <rFont val="宋体"/>
            <charset val="0"/>
          </rPr>
          <t xml:space="preserve">
2800381 8/5 23220pcs</t>
        </r>
      </text>
    </comment>
    <comment ref="AL1848" authorId="2">
      <text>
        <r>
          <rPr>
            <b/>
            <sz val="9"/>
            <rFont val="宋体"/>
            <charset val="0"/>
          </rPr>
          <t>石玉珍:</t>
        </r>
        <r>
          <rPr>
            <sz val="9"/>
            <rFont val="宋体"/>
            <charset val="0"/>
          </rPr>
          <t xml:space="preserve">
7/20  PDQ/地址上贴纸 774pcs</t>
        </r>
        <r>
          <rPr>
            <b/>
            <sz val="9"/>
            <rFont val="宋体"/>
            <charset val="0"/>
          </rPr>
          <t xml:space="preserve">
石玉珍:</t>
        </r>
        <r>
          <rPr>
            <sz val="9"/>
            <rFont val="宋体"/>
            <charset val="0"/>
          </rPr>
          <t xml:space="preserve">
7/23 多语警语折叠贴 23220pcs</t>
        </r>
      </text>
    </comment>
    <comment ref="AT1848" authorId="2">
      <text>
        <r>
          <rPr>
            <b/>
            <sz val="9"/>
            <rFont val="宋体"/>
            <charset val="0"/>
          </rPr>
          <t>陈炎:</t>
        </r>
        <r>
          <rPr>
            <sz val="9"/>
            <rFont val="宋体"/>
            <charset val="0"/>
          </rPr>
          <t xml:space="preserve">
新客版资料</t>
        </r>
      </text>
    </comment>
    <comment ref="AI1849" authorId="2">
      <text>
        <r>
          <rPr>
            <b/>
            <sz val="9"/>
            <rFont val="宋体"/>
            <charset val="0"/>
          </rPr>
          <t>石玉珍:</t>
        </r>
        <r>
          <rPr>
            <sz val="9"/>
            <rFont val="宋体"/>
            <charset val="0"/>
          </rPr>
          <t xml:space="preserve">
1001551 8/4 1700pcs</t>
        </r>
      </text>
    </comment>
    <comment ref="AL1849" authorId="2">
      <text>
        <r>
          <rPr>
            <b/>
            <sz val="9"/>
            <rFont val="宋体"/>
            <charset val="0"/>
          </rPr>
          <t>石玉珍:</t>
        </r>
        <r>
          <rPr>
            <sz val="9"/>
            <rFont val="宋体"/>
            <charset val="0"/>
          </rPr>
          <t xml:space="preserve">
7/18 进口商贴纸 1700pcs</t>
        </r>
        <r>
          <rPr>
            <b/>
            <sz val="9"/>
            <rFont val="宋体"/>
            <charset val="0"/>
          </rPr>
          <t xml:space="preserve">
石玉珍:</t>
        </r>
        <r>
          <rPr>
            <sz val="9"/>
            <rFont val="宋体"/>
            <charset val="0"/>
          </rPr>
          <t xml:space="preserve">
产品贴纸/(含意/希警语+意大利环保 1700pcs</t>
        </r>
      </text>
    </comment>
    <comment ref="AI1850" authorId="2">
      <text>
        <r>
          <rPr>
            <b/>
            <sz val="9"/>
            <rFont val="宋体"/>
            <charset val="0"/>
          </rPr>
          <t>石玉珍:</t>
        </r>
        <r>
          <rPr>
            <sz val="9"/>
            <rFont val="宋体"/>
            <charset val="0"/>
          </rPr>
          <t xml:space="preserve">
1001556 8/4 8730pcs</t>
        </r>
        <r>
          <rPr>
            <b/>
            <sz val="9"/>
            <rFont val="宋体"/>
            <charset val="0"/>
          </rPr>
          <t xml:space="preserve">
石玉珍:</t>
        </r>
        <r>
          <rPr>
            <sz val="9"/>
            <rFont val="宋体"/>
            <charset val="0"/>
          </rPr>
          <t xml:space="preserve">
1001537 8/6 60pcs</t>
        </r>
      </text>
    </comment>
    <comment ref="AL1850" authorId="2">
      <text>
        <r>
          <rPr>
            <b/>
            <sz val="9"/>
            <rFont val="宋体"/>
            <charset val="0"/>
          </rPr>
          <t>石玉珍:</t>
        </r>
        <r>
          <rPr>
            <sz val="9"/>
            <rFont val="宋体"/>
            <charset val="0"/>
          </rPr>
          <t xml:space="preserve">
7/20  PDQ/地址上贴纸  293pcs</t>
        </r>
        <r>
          <rPr>
            <b/>
            <sz val="9"/>
            <rFont val="宋体"/>
            <charset val="0"/>
          </rPr>
          <t xml:space="preserve">
石玉珍:</t>
        </r>
        <r>
          <rPr>
            <sz val="9"/>
            <rFont val="宋体"/>
            <charset val="0"/>
          </rPr>
          <t xml:space="preserve">
7/23 多语警语折叠贴 8790pcs</t>
        </r>
      </text>
    </comment>
    <comment ref="AT1850" authorId="2">
      <text>
        <r>
          <rPr>
            <b/>
            <sz val="9"/>
            <rFont val="宋体"/>
            <charset val="0"/>
          </rPr>
          <t>陈炎:</t>
        </r>
        <r>
          <rPr>
            <sz val="9"/>
            <rFont val="宋体"/>
            <charset val="0"/>
          </rPr>
          <t xml:space="preserve">
新客版资料</t>
        </r>
      </text>
    </comment>
    <comment ref="AI1851" authorId="2">
      <text>
        <r>
          <rPr>
            <b/>
            <sz val="9"/>
            <rFont val="宋体"/>
            <charset val="0"/>
          </rPr>
          <t>石玉珍:</t>
        </r>
        <r>
          <rPr>
            <sz val="9"/>
            <rFont val="宋体"/>
            <charset val="0"/>
          </rPr>
          <t xml:space="preserve">
1001598 8/1 780pcs</t>
        </r>
      </text>
    </comment>
    <comment ref="AL1851" authorId="2">
      <text>
        <r>
          <rPr>
            <b/>
            <sz val="9"/>
            <rFont val="宋体"/>
            <charset val="0"/>
          </rPr>
          <t>石玉珍:</t>
        </r>
        <r>
          <rPr>
            <sz val="9"/>
            <rFont val="宋体"/>
            <charset val="0"/>
          </rPr>
          <t xml:space="preserve">
7/18 UPC条码贴纸 780pcs
通用进口商贴纸 780pcs</t>
        </r>
      </text>
    </comment>
    <comment ref="AI1852" authorId="2">
      <text>
        <r>
          <rPr>
            <b/>
            <sz val="9"/>
            <rFont val="宋体"/>
            <charset val="0"/>
          </rPr>
          <t>石玉珍:</t>
        </r>
        <r>
          <rPr>
            <sz val="9"/>
            <rFont val="宋体"/>
            <charset val="0"/>
          </rPr>
          <t xml:space="preserve">
2800386 8/5 9120pcs</t>
        </r>
      </text>
    </comment>
    <comment ref="AL1852" authorId="2">
      <text>
        <r>
          <rPr>
            <b/>
            <sz val="9"/>
            <rFont val="宋体"/>
            <charset val="0"/>
          </rPr>
          <t>石玉珍:</t>
        </r>
        <r>
          <rPr>
            <sz val="9"/>
            <rFont val="宋体"/>
            <charset val="0"/>
          </rPr>
          <t xml:space="preserve">
7/13 客供RFID贴纸 9120pcs</t>
        </r>
      </text>
    </comment>
    <comment ref="AI1853" authorId="2">
      <text>
        <r>
          <rPr>
            <b/>
            <sz val="9"/>
            <rFont val="宋体"/>
            <charset val="0"/>
          </rPr>
          <t>石玉珍:</t>
        </r>
        <r>
          <rPr>
            <sz val="9"/>
            <rFont val="宋体"/>
            <charset val="0"/>
          </rPr>
          <t xml:space="preserve">
2800381 8/5 5760pcs</t>
        </r>
      </text>
    </comment>
    <comment ref="AL1853" authorId="2">
      <text>
        <r>
          <rPr>
            <b/>
            <sz val="9"/>
            <rFont val="宋体"/>
            <charset val="0"/>
          </rPr>
          <t>石玉珍:</t>
        </r>
        <r>
          <rPr>
            <sz val="9"/>
            <rFont val="宋体"/>
            <charset val="0"/>
          </rPr>
          <t xml:space="preserve">
7/13 客供RFID贴纸 5760pcs</t>
        </r>
      </text>
    </comment>
    <comment ref="AI1854" authorId="2">
      <text>
        <r>
          <rPr>
            <b/>
            <sz val="9"/>
            <rFont val="宋体"/>
            <charset val="0"/>
          </rPr>
          <t>石玉珍:</t>
        </r>
        <r>
          <rPr>
            <sz val="9"/>
            <rFont val="宋体"/>
            <charset val="0"/>
          </rPr>
          <t xml:space="preserve">
2800385 8/5 3840pcs</t>
        </r>
        <r>
          <rPr>
            <b/>
            <sz val="9"/>
            <rFont val="宋体"/>
            <charset val="0"/>
          </rPr>
          <t xml:space="preserve">
石玉珍:</t>
        </r>
        <r>
          <rPr>
            <sz val="9"/>
            <rFont val="宋体"/>
            <charset val="0"/>
          </rPr>
          <t xml:space="preserve">
2800386 8/5 8160pcs</t>
        </r>
      </text>
    </comment>
    <comment ref="AL1854" authorId="2">
      <text>
        <r>
          <rPr>
            <b/>
            <sz val="9"/>
            <rFont val="宋体"/>
            <charset val="0"/>
          </rPr>
          <t>石玉珍:</t>
        </r>
        <r>
          <rPr>
            <sz val="9"/>
            <rFont val="宋体"/>
            <charset val="0"/>
          </rPr>
          <t xml:space="preserve">
7/13 客供RFID贴纸 12000pcs</t>
        </r>
      </text>
    </comment>
    <comment ref="AI1855" authorId="2">
      <text>
        <r>
          <rPr>
            <b/>
            <sz val="9"/>
            <rFont val="宋体"/>
            <charset val="0"/>
          </rPr>
          <t>石玉珍:</t>
        </r>
        <r>
          <rPr>
            <sz val="9"/>
            <rFont val="宋体"/>
            <charset val="0"/>
          </rPr>
          <t xml:space="preserve">
2800381 8/5 4800pcs</t>
        </r>
      </text>
    </comment>
    <comment ref="AL1855" authorId="2">
      <text>
        <r>
          <rPr>
            <b/>
            <sz val="9"/>
            <rFont val="宋体"/>
            <charset val="0"/>
          </rPr>
          <t>石玉珍:</t>
        </r>
        <r>
          <rPr>
            <sz val="9"/>
            <rFont val="宋体"/>
            <charset val="0"/>
          </rPr>
          <t xml:space="preserve">
7/13 客供RFID贴纸 4800pcs</t>
        </r>
      </text>
    </comment>
    <comment ref="AI1856" authorId="2">
      <text>
        <r>
          <rPr>
            <b/>
            <sz val="9"/>
            <rFont val="宋体"/>
            <charset val="0"/>
          </rPr>
          <t>石玉珍:</t>
        </r>
        <r>
          <rPr>
            <sz val="9"/>
            <rFont val="宋体"/>
            <charset val="0"/>
          </rPr>
          <t xml:space="preserve">
2800385 8/5 12960pcs</t>
        </r>
      </text>
    </comment>
    <comment ref="AL1856" authorId="2">
      <text>
        <r>
          <rPr>
            <b/>
            <sz val="9"/>
            <rFont val="宋体"/>
            <charset val="0"/>
          </rPr>
          <t>石玉珍:</t>
        </r>
        <r>
          <rPr>
            <sz val="9"/>
            <rFont val="宋体"/>
            <charset val="0"/>
          </rPr>
          <t xml:space="preserve">
7/13 客供RFID贴纸 12960pcs</t>
        </r>
      </text>
    </comment>
    <comment ref="AI1857" authorId="2">
      <text>
        <r>
          <rPr>
            <b/>
            <sz val="9"/>
            <rFont val="宋体"/>
            <charset val="0"/>
          </rPr>
          <t>石玉珍:</t>
        </r>
        <r>
          <rPr>
            <sz val="9"/>
            <rFont val="宋体"/>
            <charset val="0"/>
          </rPr>
          <t xml:space="preserve">
2800386 8/5 13200pcs</t>
        </r>
      </text>
    </comment>
    <comment ref="AL1857" authorId="2">
      <text>
        <r>
          <rPr>
            <b/>
            <sz val="9"/>
            <rFont val="宋体"/>
            <charset val="0"/>
          </rPr>
          <t>石玉珍:</t>
        </r>
        <r>
          <rPr>
            <sz val="9"/>
            <rFont val="宋体"/>
            <charset val="0"/>
          </rPr>
          <t xml:space="preserve">
7/13 客供RFID贴纸 13200pcs</t>
        </r>
      </text>
    </comment>
    <comment ref="AI1858" authorId="2">
      <text>
        <r>
          <rPr>
            <b/>
            <sz val="9"/>
            <rFont val="宋体"/>
            <charset val="0"/>
          </rPr>
          <t>石玉珍:</t>
        </r>
        <r>
          <rPr>
            <sz val="9"/>
            <rFont val="宋体"/>
            <charset val="0"/>
          </rPr>
          <t xml:space="preserve">
1001582 8/4 5016pcs</t>
        </r>
      </text>
    </comment>
    <comment ref="AL1858" authorId="2">
      <text>
        <r>
          <rPr>
            <b/>
            <sz val="9"/>
            <rFont val="宋体"/>
            <charset val="0"/>
          </rPr>
          <t>石玉珍:</t>
        </r>
        <r>
          <rPr>
            <sz val="9"/>
            <rFont val="宋体"/>
            <charset val="0"/>
          </rPr>
          <t xml:space="preserve">
7/15 客版价格贴纸 5016pcs</t>
        </r>
        <r>
          <rPr>
            <b/>
            <sz val="9"/>
            <rFont val="宋体"/>
            <charset val="0"/>
          </rPr>
          <t xml:space="preserve">
石玉珍:</t>
        </r>
        <r>
          <rPr>
            <sz val="9"/>
            <rFont val="宋体"/>
            <charset val="0"/>
          </rPr>
          <t xml:space="preserve">
7/16 SSCC外箱贴纸 209pcs</t>
        </r>
      </text>
    </comment>
    <comment ref="AI1859" authorId="2">
      <text>
        <r>
          <rPr>
            <b/>
            <sz val="9"/>
            <rFont val="宋体"/>
            <charset val="0"/>
          </rPr>
          <t>石玉珍:</t>
        </r>
        <r>
          <rPr>
            <sz val="9"/>
            <rFont val="宋体"/>
            <charset val="0"/>
          </rPr>
          <t xml:space="preserve">
1001585 8/4 9750pcs</t>
        </r>
      </text>
    </comment>
    <comment ref="AI1860" authorId="2">
      <text>
        <r>
          <rPr>
            <b/>
            <sz val="9"/>
            <rFont val="宋体"/>
            <charset val="0"/>
          </rPr>
          <t>石玉珍:</t>
        </r>
        <r>
          <rPr>
            <sz val="9"/>
            <rFont val="宋体"/>
            <charset val="0"/>
          </rPr>
          <t xml:space="preserve">
1001585 8/4 2912pcs</t>
        </r>
        <r>
          <rPr>
            <b/>
            <sz val="9"/>
            <rFont val="宋体"/>
            <charset val="0"/>
          </rPr>
          <t xml:space="preserve">
石玉珍:</t>
        </r>
        <r>
          <rPr>
            <sz val="9"/>
            <rFont val="宋体"/>
            <charset val="0"/>
          </rPr>
          <t xml:space="preserve">
1001551 8/4 2340pcs</t>
        </r>
      </text>
    </comment>
    <comment ref="AI1861" authorId="2">
      <text>
        <r>
          <rPr>
            <b/>
            <sz val="9"/>
            <rFont val="宋体"/>
            <charset val="0"/>
          </rPr>
          <t>石玉珍:</t>
        </r>
        <r>
          <rPr>
            <sz val="9"/>
            <rFont val="宋体"/>
            <charset val="0"/>
          </rPr>
          <t xml:space="preserve">
2801411 8/5 240pcs</t>
        </r>
      </text>
    </comment>
    <comment ref="AL1861" authorId="2">
      <text>
        <r>
          <rPr>
            <b/>
            <sz val="9"/>
            <rFont val="宋体"/>
            <charset val="0"/>
          </rPr>
          <t>石玉珍:</t>
        </r>
        <r>
          <rPr>
            <sz val="9"/>
            <rFont val="宋体"/>
            <charset val="0"/>
          </rPr>
          <t xml:space="preserve">
6/10 空白贴纸 240pcs
6/10 空白贴纸 240*2pcs</t>
        </r>
      </text>
    </comment>
    <comment ref="AI1862" authorId="2">
      <text>
        <r>
          <rPr>
            <b/>
            <sz val="9"/>
            <rFont val="宋体"/>
            <charset val="0"/>
          </rPr>
          <t>石玉珍:</t>
        </r>
        <r>
          <rPr>
            <sz val="9"/>
            <rFont val="宋体"/>
            <charset val="0"/>
          </rPr>
          <t xml:space="preserve">
2801411 8/5 1500pcs</t>
        </r>
      </text>
    </comment>
    <comment ref="AL1862" authorId="2">
      <text>
        <r>
          <rPr>
            <b/>
            <sz val="9"/>
            <rFont val="宋体"/>
            <charset val="0"/>
          </rPr>
          <t>石玉珍:</t>
        </r>
        <r>
          <rPr>
            <sz val="9"/>
            <rFont val="宋体"/>
            <charset val="0"/>
          </rPr>
          <t xml:space="preserve">
6/10 空白贴纸 1500*2pcs</t>
        </r>
        <r>
          <rPr>
            <b/>
            <sz val="9"/>
            <rFont val="宋体"/>
            <charset val="0"/>
          </rPr>
          <t xml:space="preserve">
石玉珍:</t>
        </r>
        <r>
          <rPr>
            <sz val="9"/>
            <rFont val="宋体"/>
            <charset val="0"/>
          </rPr>
          <t xml:space="preserve">
6/10 空白贴纸 1500pcs</t>
        </r>
      </text>
    </comment>
    <comment ref="AI1863" authorId="2">
      <text>
        <r>
          <rPr>
            <b/>
            <sz val="9"/>
            <rFont val="宋体"/>
            <charset val="0"/>
          </rPr>
          <t>石玉珍:</t>
        </r>
        <r>
          <rPr>
            <sz val="9"/>
            <rFont val="宋体"/>
            <charset val="0"/>
          </rPr>
          <t xml:space="preserve">
2801411 8/5 342pcs</t>
        </r>
      </text>
    </comment>
    <comment ref="AL1863" authorId="2">
      <text>
        <r>
          <rPr>
            <b/>
            <sz val="9"/>
            <rFont val="宋体"/>
            <charset val="0"/>
          </rPr>
          <t>石玉珍:</t>
        </r>
        <r>
          <rPr>
            <sz val="9"/>
            <rFont val="宋体"/>
            <charset val="0"/>
          </rPr>
          <t xml:space="preserve">
6/10 空白贴纸 342*2pcs
6/10 空白贴纸 342pcs</t>
        </r>
      </text>
    </comment>
    <comment ref="AI1864" authorId="2">
      <text>
        <r>
          <rPr>
            <b/>
            <sz val="9"/>
            <rFont val="宋体"/>
            <charset val="0"/>
          </rPr>
          <t>石玉珍:</t>
        </r>
        <r>
          <rPr>
            <sz val="9"/>
            <rFont val="宋体"/>
            <charset val="0"/>
          </rPr>
          <t xml:space="preserve">
1001566 8/5 6000pcs</t>
        </r>
      </text>
    </comment>
    <comment ref="AL1864" authorId="2">
      <text>
        <r>
          <rPr>
            <b/>
            <sz val="9"/>
            <rFont val="宋体"/>
            <charset val="0"/>
          </rPr>
          <t>石玉珍:</t>
        </r>
        <r>
          <rPr>
            <sz val="9"/>
            <rFont val="宋体"/>
            <charset val="0"/>
          </rPr>
          <t xml:space="preserve">
7/23 UPC贴纸 6000pcs</t>
        </r>
        <r>
          <rPr>
            <b/>
            <sz val="9"/>
            <rFont val="宋体"/>
            <charset val="0"/>
          </rPr>
          <t xml:space="preserve">
石玉珍:</t>
        </r>
        <r>
          <rPr>
            <sz val="9"/>
            <rFont val="宋体"/>
            <charset val="0"/>
          </rPr>
          <t xml:space="preserve">
包装进口商贴纸 6000pcs</t>
        </r>
      </text>
    </comment>
    <comment ref="AI1865" authorId="2">
      <text>
        <r>
          <rPr>
            <b/>
            <sz val="9"/>
            <rFont val="宋体"/>
            <charset val="0"/>
          </rPr>
          <t>石玉珍:</t>
        </r>
        <r>
          <rPr>
            <sz val="9"/>
            <rFont val="宋体"/>
            <charset val="0"/>
          </rPr>
          <t xml:space="preserve">
1001540 8/6 684pcs</t>
        </r>
      </text>
    </comment>
    <comment ref="AL1865" authorId="2">
      <text>
        <r>
          <rPr>
            <b/>
            <sz val="9"/>
            <rFont val="宋体"/>
            <charset val="0"/>
          </rPr>
          <t>石玉珍:</t>
        </r>
        <r>
          <rPr>
            <sz val="9"/>
            <rFont val="宋体"/>
            <charset val="0"/>
          </rPr>
          <t xml:space="preserve">
7/15 WIC贴纸 684pcs</t>
        </r>
        <r>
          <rPr>
            <b/>
            <sz val="9"/>
            <rFont val="宋体"/>
            <charset val="0"/>
          </rPr>
          <t xml:space="preserve">
石玉珍:</t>
        </r>
        <r>
          <rPr>
            <sz val="9"/>
            <rFont val="宋体"/>
            <charset val="0"/>
          </rPr>
          <t xml:space="preserve">
7/21 PDQ折页 114pcs</t>
        </r>
      </text>
    </comment>
    <comment ref="AI1866" authorId="2">
      <text>
        <r>
          <rPr>
            <b/>
            <sz val="9"/>
            <rFont val="宋体"/>
            <charset val="0"/>
          </rPr>
          <t>石玉珍:</t>
        </r>
        <r>
          <rPr>
            <sz val="9"/>
            <rFont val="宋体"/>
            <charset val="0"/>
          </rPr>
          <t xml:space="preserve">
1001540 8/6 312pcs</t>
        </r>
      </text>
    </comment>
    <comment ref="AL1866" authorId="2">
      <text>
        <r>
          <rPr>
            <b/>
            <sz val="9"/>
            <rFont val="宋体"/>
            <charset val="0"/>
          </rPr>
          <t>石玉珍:</t>
        </r>
        <r>
          <rPr>
            <sz val="9"/>
            <rFont val="宋体"/>
            <charset val="0"/>
          </rPr>
          <t xml:space="preserve">
7/15 WIC贴纸 312pcs</t>
        </r>
        <r>
          <rPr>
            <b/>
            <sz val="9"/>
            <rFont val="宋体"/>
            <charset val="0"/>
          </rPr>
          <t xml:space="preserve">
石玉珍:</t>
        </r>
        <r>
          <rPr>
            <sz val="9"/>
            <rFont val="宋体"/>
            <charset val="0"/>
          </rPr>
          <t xml:space="preserve">
7/21 PDQ折页 52pcs</t>
        </r>
      </text>
    </comment>
    <comment ref="AI1867" authorId="2">
      <text>
        <r>
          <rPr>
            <b/>
            <sz val="9"/>
            <rFont val="宋体"/>
            <charset val="0"/>
          </rPr>
          <t>石玉珍:</t>
        </r>
        <r>
          <rPr>
            <sz val="9"/>
            <rFont val="宋体"/>
            <charset val="0"/>
          </rPr>
          <t xml:space="preserve">
1001540 8/6 654pcs</t>
        </r>
      </text>
    </comment>
    <comment ref="AL1867" authorId="2">
      <text>
        <r>
          <rPr>
            <b/>
            <sz val="9"/>
            <rFont val="宋体"/>
            <charset val="0"/>
          </rPr>
          <t>石玉珍:</t>
        </r>
        <r>
          <rPr>
            <sz val="9"/>
            <rFont val="宋体"/>
            <charset val="0"/>
          </rPr>
          <t xml:space="preserve">
7/15 WIC贴纸 654pcs</t>
        </r>
        <r>
          <rPr>
            <b/>
            <sz val="9"/>
            <rFont val="宋体"/>
            <charset val="0"/>
          </rPr>
          <t xml:space="preserve">
石玉珍:</t>
        </r>
        <r>
          <rPr>
            <sz val="9"/>
            <rFont val="宋体"/>
            <charset val="0"/>
          </rPr>
          <t xml:space="preserve">
7/21 PDQ折页 109pcs</t>
        </r>
      </text>
    </comment>
    <comment ref="AI1868" authorId="2">
      <text>
        <r>
          <rPr>
            <b/>
            <sz val="9"/>
            <rFont val="宋体"/>
            <charset val="0"/>
          </rPr>
          <t>石玉珍:</t>
        </r>
        <r>
          <rPr>
            <sz val="9"/>
            <rFont val="宋体"/>
            <charset val="0"/>
          </rPr>
          <t xml:space="preserve">
1001540 8/6 642pcs</t>
        </r>
      </text>
    </comment>
    <comment ref="AL1868" authorId="2">
      <text>
        <r>
          <rPr>
            <b/>
            <sz val="9"/>
            <rFont val="宋体"/>
            <charset val="0"/>
          </rPr>
          <t>石玉珍:</t>
        </r>
        <r>
          <rPr>
            <sz val="9"/>
            <rFont val="宋体"/>
            <charset val="0"/>
          </rPr>
          <t xml:space="preserve">
7/15 WIC贴纸 342pcs</t>
        </r>
        <r>
          <rPr>
            <b/>
            <sz val="9"/>
            <rFont val="宋体"/>
            <charset val="0"/>
          </rPr>
          <t xml:space="preserve">
石玉珍:</t>
        </r>
        <r>
          <rPr>
            <sz val="9"/>
            <rFont val="宋体"/>
            <charset val="0"/>
          </rPr>
          <t xml:space="preserve">
7/21 PDQ折页 57pcs</t>
        </r>
      </text>
    </comment>
    <comment ref="AI1869" authorId="2">
      <text>
        <r>
          <rPr>
            <b/>
            <sz val="9"/>
            <rFont val="宋体"/>
            <charset val="0"/>
          </rPr>
          <t>石玉珍:</t>
        </r>
        <r>
          <rPr>
            <sz val="9"/>
            <rFont val="宋体"/>
            <charset val="0"/>
          </rPr>
          <t xml:space="preserve">
1001540 8/6 1998pcs</t>
        </r>
      </text>
    </comment>
    <comment ref="AL1869" authorId="2">
      <text>
        <r>
          <rPr>
            <b/>
            <sz val="9"/>
            <rFont val="宋体"/>
            <charset val="0"/>
          </rPr>
          <t>石玉珍:</t>
        </r>
        <r>
          <rPr>
            <sz val="9"/>
            <rFont val="宋体"/>
            <charset val="0"/>
          </rPr>
          <t xml:space="preserve">
7/15 WIC贴纸 1998pcs</t>
        </r>
        <r>
          <rPr>
            <b/>
            <sz val="9"/>
            <rFont val="宋体"/>
            <charset val="0"/>
          </rPr>
          <t xml:space="preserve">
石玉珍:</t>
        </r>
        <r>
          <rPr>
            <sz val="9"/>
            <rFont val="宋体"/>
            <charset val="0"/>
          </rPr>
          <t xml:space="preserve">
7/21 PDQ折页 333pcs</t>
        </r>
      </text>
    </comment>
    <comment ref="AI1870" authorId="2">
      <text>
        <r>
          <rPr>
            <b/>
            <sz val="9"/>
            <rFont val="宋体"/>
            <charset val="0"/>
          </rPr>
          <t>石玉珍:</t>
        </r>
        <r>
          <rPr>
            <sz val="9"/>
            <rFont val="宋体"/>
            <charset val="0"/>
          </rPr>
          <t xml:space="preserve">
2801404 8/6 3000pcs</t>
        </r>
      </text>
    </comment>
    <comment ref="AL1870" authorId="2">
      <text>
        <r>
          <rPr>
            <b/>
            <sz val="9"/>
            <rFont val="宋体"/>
            <charset val="0"/>
          </rPr>
          <t>石玉珍:</t>
        </r>
        <r>
          <rPr>
            <sz val="9"/>
            <rFont val="宋体"/>
            <charset val="0"/>
          </rPr>
          <t xml:space="preserve">
7/14 客供价格贴纸 3000pcs</t>
        </r>
        <r>
          <rPr>
            <b/>
            <sz val="9"/>
            <rFont val="宋体"/>
            <charset val="0"/>
          </rPr>
          <t xml:space="preserve">
石玉珍:</t>
        </r>
        <r>
          <rPr>
            <sz val="9"/>
            <rFont val="宋体"/>
            <charset val="0"/>
          </rPr>
          <t xml:space="preserve">
7/23 包装进口商贴纸 3000pcs</t>
        </r>
        <r>
          <rPr>
            <b/>
            <sz val="9"/>
            <rFont val="宋体"/>
            <charset val="0"/>
          </rPr>
          <t xml:space="preserve">
石玉珍:</t>
        </r>
        <r>
          <rPr>
            <sz val="9"/>
            <rFont val="宋体"/>
            <charset val="0"/>
          </rPr>
          <t xml:space="preserve">
说明书进口商贴纸 3000pcs</t>
        </r>
      </text>
    </comment>
    <comment ref="AI1871" authorId="2">
      <text>
        <r>
          <rPr>
            <b/>
            <sz val="9"/>
            <rFont val="宋体"/>
            <charset val="0"/>
          </rPr>
          <t>石玉珍:</t>
        </r>
        <r>
          <rPr>
            <sz val="9"/>
            <rFont val="宋体"/>
            <charset val="0"/>
          </rPr>
          <t xml:space="preserve">
2801408 8/4 586pcs</t>
        </r>
        <r>
          <rPr>
            <b/>
            <sz val="9"/>
            <rFont val="宋体"/>
            <charset val="0"/>
          </rPr>
          <t xml:space="preserve">
石玉珍:</t>
        </r>
        <r>
          <rPr>
            <sz val="9"/>
            <rFont val="宋体"/>
            <charset val="0"/>
          </rPr>
          <t xml:space="preserve">
1000411 8/8 2114pcs</t>
        </r>
      </text>
    </comment>
    <comment ref="AQ1871" authorId="2">
      <text>
        <r>
          <rPr>
            <b/>
            <sz val="9"/>
            <rFont val="宋体"/>
            <charset val="0"/>
          </rPr>
          <t>陈炎:</t>
        </r>
        <r>
          <rPr>
            <sz val="9"/>
            <rFont val="宋体"/>
            <charset val="0"/>
          </rPr>
          <t xml:space="preserve">
新客版资料</t>
        </r>
      </text>
    </comment>
    <comment ref="AS1871" authorId="2">
      <text>
        <r>
          <rPr>
            <b/>
            <sz val="9"/>
            <rFont val="宋体"/>
            <charset val="0"/>
          </rPr>
          <t>陈炎:</t>
        </r>
        <r>
          <rPr>
            <sz val="9"/>
            <rFont val="宋体"/>
            <charset val="0"/>
          </rPr>
          <t xml:space="preserve">
新客版无条码收缩膜</t>
        </r>
      </text>
    </comment>
    <comment ref="CA1871" authorId="2">
      <text>
        <r>
          <rPr>
            <b/>
            <sz val="9"/>
            <rFont val="宋体"/>
            <charset val="0"/>
          </rPr>
          <t>陈炎:</t>
        </r>
        <r>
          <rPr>
            <sz val="9"/>
            <rFont val="宋体"/>
            <charset val="0"/>
          </rPr>
          <t xml:space="preserve">
新客版收缩膜</t>
        </r>
      </text>
    </comment>
    <comment ref="AI1872" authorId="2">
      <text>
        <r>
          <rPr>
            <b/>
            <sz val="9"/>
            <rFont val="宋体"/>
            <charset val="0"/>
          </rPr>
          <t>石玉珍:</t>
        </r>
        <r>
          <rPr>
            <sz val="9"/>
            <rFont val="宋体"/>
            <charset val="0"/>
          </rPr>
          <t xml:space="preserve">
1000424 8/10 864pcs</t>
        </r>
        <r>
          <rPr>
            <b/>
            <sz val="9"/>
            <rFont val="宋体"/>
            <charset val="0"/>
          </rPr>
          <t xml:space="preserve">
石玉珍:</t>
        </r>
        <r>
          <rPr>
            <sz val="9"/>
            <rFont val="宋体"/>
            <charset val="0"/>
          </rPr>
          <t xml:space="preserve">
1000457 8/11 4536pcs</t>
        </r>
      </text>
    </comment>
    <comment ref="AL1872" authorId="2">
      <text>
        <r>
          <rPr>
            <b/>
            <sz val="9"/>
            <rFont val="宋体"/>
            <charset val="0"/>
          </rPr>
          <t>石玉珍:</t>
        </r>
        <r>
          <rPr>
            <sz val="9"/>
            <rFont val="宋体"/>
            <charset val="0"/>
          </rPr>
          <t xml:space="preserve">
7/9 客供价格贴纸 5400pcs</t>
        </r>
      </text>
    </comment>
    <comment ref="AI1873" authorId="2">
      <text>
        <r>
          <rPr>
            <b/>
            <sz val="9"/>
            <rFont val="宋体"/>
            <charset val="0"/>
          </rPr>
          <t>石玉珍:</t>
        </r>
        <r>
          <rPr>
            <sz val="9"/>
            <rFont val="宋体"/>
            <charset val="0"/>
          </rPr>
          <t xml:space="preserve">
1000425 8/10 6000pcs</t>
        </r>
      </text>
    </comment>
    <comment ref="AL1873" authorId="2">
      <text>
        <r>
          <rPr>
            <b/>
            <sz val="9"/>
            <rFont val="宋体"/>
            <charset val="0"/>
          </rPr>
          <t>石玉珍:</t>
        </r>
        <r>
          <rPr>
            <sz val="9"/>
            <rFont val="宋体"/>
            <charset val="0"/>
          </rPr>
          <t xml:space="preserve">
7/3 客供价格贴纸 6000pcs</t>
        </r>
        <r>
          <rPr>
            <b/>
            <sz val="9"/>
            <rFont val="宋体"/>
            <charset val="0"/>
          </rPr>
          <t xml:space="preserve">
石玉珍:</t>
        </r>
        <r>
          <rPr>
            <sz val="9"/>
            <rFont val="宋体"/>
            <charset val="0"/>
          </rPr>
          <t xml:space="preserve">
7/18 地址贴纸 6000pcs</t>
        </r>
      </text>
    </comment>
    <comment ref="AI1874" authorId="2">
      <text>
        <r>
          <rPr>
            <b/>
            <sz val="9"/>
            <rFont val="宋体"/>
            <charset val="0"/>
          </rPr>
          <t>石玉珍:</t>
        </r>
        <r>
          <rPr>
            <sz val="9"/>
            <rFont val="宋体"/>
            <charset val="0"/>
          </rPr>
          <t xml:space="preserve">
1001309 8/7 1313pcs</t>
        </r>
      </text>
    </comment>
    <comment ref="AL1874" authorId="2">
      <text>
        <r>
          <rPr>
            <b/>
            <sz val="9"/>
            <rFont val="宋体"/>
            <charset val="0"/>
          </rPr>
          <t>石玉珍:</t>
        </r>
        <r>
          <rPr>
            <sz val="9"/>
            <rFont val="宋体"/>
            <charset val="0"/>
          </rPr>
          <t xml:space="preserve">
7/22 白色防盗贴纸 1313pcs</t>
        </r>
        <r>
          <rPr>
            <b/>
            <sz val="9"/>
            <rFont val="宋体"/>
            <charset val="0"/>
          </rPr>
          <t xml:space="preserve">
石玉珍:</t>
        </r>
        <r>
          <rPr>
            <sz val="9"/>
            <rFont val="宋体"/>
            <charset val="0"/>
          </rPr>
          <t xml:space="preserve">
7/25 Kmart外箱贴纸 101pcs</t>
        </r>
        <r>
          <rPr>
            <b/>
            <sz val="9"/>
            <rFont val="宋体"/>
            <charset val="0"/>
          </rPr>
          <t xml:space="preserve">
石玉珍:</t>
        </r>
        <r>
          <rPr>
            <sz val="9"/>
            <rFont val="宋体"/>
            <charset val="0"/>
          </rPr>
          <t xml:space="preserve">
UPC贴纸 7/28 1313pcs</t>
        </r>
      </text>
    </comment>
    <comment ref="AI1875" authorId="2">
      <text>
        <r>
          <rPr>
            <b/>
            <sz val="9"/>
            <rFont val="宋体"/>
            <charset val="0"/>
          </rPr>
          <t>石玉珍:</t>
        </r>
        <r>
          <rPr>
            <sz val="9"/>
            <rFont val="宋体"/>
            <charset val="0"/>
          </rPr>
          <t xml:space="preserve">
1001309 8/7 377pcs</t>
        </r>
      </text>
    </comment>
    <comment ref="AL1875" authorId="2">
      <text>
        <r>
          <rPr>
            <b/>
            <sz val="9"/>
            <rFont val="宋体"/>
            <charset val="0"/>
          </rPr>
          <t>石玉珍:</t>
        </r>
        <r>
          <rPr>
            <sz val="9"/>
            <rFont val="宋体"/>
            <charset val="0"/>
          </rPr>
          <t xml:space="preserve">
7/22 白色防盗贴纸 377pcs</t>
        </r>
        <r>
          <rPr>
            <b/>
            <sz val="9"/>
            <rFont val="宋体"/>
            <charset val="0"/>
          </rPr>
          <t xml:space="preserve">
石玉珍:</t>
        </r>
        <r>
          <rPr>
            <sz val="9"/>
            <rFont val="宋体"/>
            <charset val="0"/>
          </rPr>
          <t xml:space="preserve">
7/25 Kmart外箱贴纸 29pcs</t>
        </r>
        <r>
          <rPr>
            <b/>
            <sz val="9"/>
            <rFont val="宋体"/>
            <charset val="0"/>
          </rPr>
          <t xml:space="preserve">
石玉珍:</t>
        </r>
        <r>
          <rPr>
            <sz val="9"/>
            <rFont val="宋体"/>
            <charset val="0"/>
          </rPr>
          <t xml:space="preserve">
UPC贴纸 7/28 377pcs</t>
        </r>
      </text>
    </comment>
    <comment ref="AI1876" authorId="2">
      <text>
        <r>
          <rPr>
            <b/>
            <sz val="9"/>
            <rFont val="宋体"/>
            <charset val="0"/>
          </rPr>
          <t>石玉珍:</t>
        </r>
        <r>
          <rPr>
            <sz val="9"/>
            <rFont val="宋体"/>
            <charset val="0"/>
          </rPr>
          <t xml:space="preserve">
1001309 8/7 3757pcs</t>
        </r>
      </text>
    </comment>
    <comment ref="AI1877" authorId="2">
      <text>
        <r>
          <rPr>
            <b/>
            <sz val="9"/>
            <rFont val="宋体"/>
            <charset val="0"/>
          </rPr>
          <t>石玉珍:</t>
        </r>
        <r>
          <rPr>
            <sz val="9"/>
            <rFont val="宋体"/>
            <charset val="0"/>
          </rPr>
          <t xml:space="preserve">
1001458 8/11 2000pcs</t>
        </r>
      </text>
    </comment>
    <comment ref="AL1877" authorId="2">
      <text>
        <r>
          <rPr>
            <b/>
            <sz val="9"/>
            <rFont val="宋体"/>
            <charset val="0"/>
          </rPr>
          <t>石玉珍:</t>
        </r>
        <r>
          <rPr>
            <sz val="9"/>
            <rFont val="宋体"/>
            <charset val="0"/>
          </rPr>
          <t xml:space="preserve">
7/21 法国语贴纸 2000pcs</t>
        </r>
      </text>
    </comment>
    <comment ref="AI1878" authorId="2">
      <text>
        <r>
          <rPr>
            <b/>
            <sz val="9"/>
            <rFont val="宋体"/>
            <charset val="0"/>
          </rPr>
          <t>石玉珍:</t>
        </r>
        <r>
          <rPr>
            <sz val="9"/>
            <rFont val="宋体"/>
            <charset val="0"/>
          </rPr>
          <t xml:space="preserve">
1001309 8/7 1209pcs</t>
        </r>
      </text>
    </comment>
    <comment ref="AL1878" authorId="2">
      <text>
        <r>
          <rPr>
            <b/>
            <sz val="9"/>
            <rFont val="宋体"/>
            <charset val="0"/>
          </rPr>
          <t>石玉珍:</t>
        </r>
        <r>
          <rPr>
            <sz val="9"/>
            <rFont val="宋体"/>
            <charset val="0"/>
          </rPr>
          <t xml:space="preserve">
7/14 多语折叠警语贴纸 1209pcs</t>
        </r>
      </text>
    </comment>
    <comment ref="AI1879" authorId="2">
      <text>
        <r>
          <rPr>
            <b/>
            <sz val="9"/>
            <rFont val="宋体"/>
            <charset val="0"/>
          </rPr>
          <t>石玉珍:</t>
        </r>
        <r>
          <rPr>
            <sz val="9"/>
            <rFont val="宋体"/>
            <charset val="0"/>
          </rPr>
          <t xml:space="preserve">
1001524 8/7 4800pcs</t>
        </r>
      </text>
    </comment>
    <comment ref="AL1879" authorId="2">
      <text>
        <r>
          <rPr>
            <b/>
            <sz val="9"/>
            <rFont val="宋体"/>
            <charset val="0"/>
          </rPr>
          <t>石玉珍:</t>
        </r>
        <r>
          <rPr>
            <sz val="9"/>
            <rFont val="宋体"/>
            <charset val="0"/>
          </rPr>
          <t xml:space="preserve">
7/3  客供RFID贴纸  4000pcs</t>
        </r>
      </text>
    </comment>
    <comment ref="AI1880" authorId="2">
      <text>
        <r>
          <rPr>
            <b/>
            <sz val="9"/>
            <rFont val="宋体"/>
            <charset val="0"/>
          </rPr>
          <t>石玉珍:</t>
        </r>
        <r>
          <rPr>
            <sz val="9"/>
            <rFont val="宋体"/>
            <charset val="0"/>
          </rPr>
          <t xml:space="preserve">
1001309 8/7 3996pcs</t>
        </r>
      </text>
    </comment>
    <comment ref="AL1880" authorId="2">
      <text>
        <r>
          <rPr>
            <b/>
            <sz val="9"/>
            <rFont val="宋体"/>
            <charset val="0"/>
          </rPr>
          <t>石玉珍:</t>
        </r>
        <r>
          <rPr>
            <sz val="9"/>
            <rFont val="宋体"/>
            <charset val="0"/>
          </rPr>
          <t xml:space="preserve">
7/9 客供价格贴纸 3996pcs</t>
        </r>
        <r>
          <rPr>
            <b/>
            <sz val="9"/>
            <rFont val="宋体"/>
            <charset val="0"/>
          </rPr>
          <t xml:space="preserve">
石玉珍:</t>
        </r>
        <r>
          <rPr>
            <sz val="9"/>
            <rFont val="宋体"/>
            <charset val="0"/>
          </rPr>
          <t xml:space="preserve">
7/16 空白贴纸 3996*2pcs</t>
        </r>
      </text>
    </comment>
    <comment ref="AI1881" authorId="2">
      <text>
        <r>
          <rPr>
            <b/>
            <sz val="9"/>
            <rFont val="宋体"/>
            <charset val="0"/>
          </rPr>
          <t>石玉珍:</t>
        </r>
        <r>
          <rPr>
            <sz val="9"/>
            <rFont val="宋体"/>
            <charset val="0"/>
          </rPr>
          <t xml:space="preserve">
1001524 8/7 3996pcs</t>
        </r>
        <r>
          <rPr>
            <b/>
            <sz val="9"/>
            <rFont val="宋体"/>
            <charset val="0"/>
          </rPr>
          <t xml:space="preserve">
石玉珍:</t>
        </r>
        <r>
          <rPr>
            <sz val="9"/>
            <rFont val="宋体"/>
            <charset val="0"/>
          </rPr>
          <t xml:space="preserve">
1001419 8/13 12PCS</t>
        </r>
      </text>
    </comment>
    <comment ref="AL1881" authorId="2">
      <text>
        <r>
          <rPr>
            <b/>
            <sz val="9"/>
            <rFont val="宋体"/>
            <charset val="0"/>
          </rPr>
          <t>石玉珍:</t>
        </r>
        <r>
          <rPr>
            <sz val="9"/>
            <rFont val="宋体"/>
            <charset val="0"/>
          </rPr>
          <t xml:space="preserve">
7/11 客供价格贴纸 4008pcs.</t>
        </r>
        <r>
          <rPr>
            <b/>
            <sz val="9"/>
            <rFont val="宋体"/>
            <charset val="0"/>
          </rPr>
          <t xml:space="preserve">
石玉珍:</t>
        </r>
        <r>
          <rPr>
            <sz val="9"/>
            <rFont val="宋体"/>
            <charset val="0"/>
          </rPr>
          <t xml:space="preserve">
7/16 空白贴纸 4008*2pcs</t>
        </r>
      </text>
    </comment>
    <comment ref="AI1882" authorId="2">
      <text>
        <r>
          <rPr>
            <b/>
            <sz val="9"/>
            <rFont val="宋体"/>
            <charset val="0"/>
          </rPr>
          <t>石玉珍:</t>
        </r>
        <r>
          <rPr>
            <sz val="9"/>
            <rFont val="宋体"/>
            <charset val="0"/>
          </rPr>
          <t xml:space="preserve">
1001458 8/11 3000pcs</t>
        </r>
      </text>
    </comment>
    <comment ref="AL1882" authorId="2">
      <text>
        <r>
          <rPr>
            <b/>
            <sz val="9"/>
            <rFont val="宋体"/>
            <charset val="0"/>
          </rPr>
          <t>石玉珍:</t>
        </r>
        <r>
          <rPr>
            <sz val="9"/>
            <rFont val="宋体"/>
            <charset val="0"/>
          </rPr>
          <t xml:space="preserve">
进口商贴纸 7/29 3000pcs</t>
        </r>
        <r>
          <rPr>
            <b/>
            <sz val="9"/>
            <rFont val="宋体"/>
            <charset val="0"/>
          </rPr>
          <t xml:space="preserve">
石玉珍:</t>
        </r>
        <r>
          <rPr>
            <sz val="9"/>
            <rFont val="宋体"/>
            <charset val="0"/>
          </rPr>
          <t xml:space="preserve">
8/3 补进口商贴纸400pcs</t>
        </r>
      </text>
    </comment>
    <comment ref="AI1883" authorId="2">
      <text>
        <r>
          <rPr>
            <b/>
            <sz val="9"/>
            <rFont val="宋体"/>
            <charset val="0"/>
          </rPr>
          <t>石玉珍:</t>
        </r>
        <r>
          <rPr>
            <sz val="9"/>
            <rFont val="宋体"/>
            <charset val="0"/>
          </rPr>
          <t xml:space="preserve">
1001309 8/7 2004pcs</t>
        </r>
      </text>
    </comment>
    <comment ref="AL1883" authorId="0">
      <text>
        <r>
          <rPr>
            <sz val="9"/>
            <rFont val="宋体"/>
            <charset val="0"/>
          </rPr>
          <t xml:space="preserve">Administrator:
5/22 空白贴纸 订单数*2pcs
</t>
        </r>
        <r>
          <rPr>
            <b/>
            <sz val="9"/>
            <rFont val="宋体"/>
            <charset val="0"/>
          </rPr>
          <t xml:space="preserve">
石玉珍:</t>
        </r>
        <r>
          <rPr>
            <sz val="9"/>
            <rFont val="宋体"/>
            <charset val="0"/>
          </rPr>
          <t xml:space="preserve">
7/9 客供价格贴纸 2004pcs</t>
        </r>
      </text>
    </comment>
    <comment ref="AI1884" authorId="2">
      <text>
        <r>
          <rPr>
            <b/>
            <sz val="9"/>
            <rFont val="宋体"/>
            <charset val="0"/>
          </rPr>
          <t>石玉珍:</t>
        </r>
        <r>
          <rPr>
            <sz val="9"/>
            <rFont val="宋体"/>
            <charset val="0"/>
          </rPr>
          <t xml:space="preserve">
1001531 8/8 2600pcs</t>
        </r>
      </text>
    </comment>
    <comment ref="AL1884" authorId="2">
      <text>
        <r>
          <rPr>
            <b/>
            <sz val="9"/>
            <rFont val="宋体"/>
            <charset val="0"/>
          </rPr>
          <t>石玉珍:</t>
        </r>
        <r>
          <rPr>
            <sz val="9"/>
            <rFont val="宋体"/>
            <charset val="0"/>
          </rPr>
          <t xml:space="preserve">
7/14 客供防窜码贴纸1拖13 2600pcs</t>
        </r>
        <r>
          <rPr>
            <b/>
            <sz val="9"/>
            <rFont val="宋体"/>
            <charset val="0"/>
          </rPr>
          <t xml:space="preserve">
石玉珍:</t>
        </r>
        <r>
          <rPr>
            <sz val="9"/>
            <rFont val="宋体"/>
            <charset val="0"/>
          </rPr>
          <t xml:space="preserve">
7/15 条码贴纸 2600pcs</t>
        </r>
      </text>
    </comment>
    <comment ref="AI1885" authorId="2">
      <text>
        <r>
          <rPr>
            <b/>
            <sz val="9"/>
            <rFont val="宋体"/>
            <charset val="0"/>
          </rPr>
          <t>石玉珍:</t>
        </r>
        <r>
          <rPr>
            <sz val="9"/>
            <rFont val="宋体"/>
            <charset val="0"/>
          </rPr>
          <t xml:space="preserve">
1001514 8/8 13pcs</t>
        </r>
        <r>
          <rPr>
            <b/>
            <sz val="9"/>
            <rFont val="宋体"/>
            <charset val="0"/>
          </rPr>
          <t xml:space="preserve">
石玉珍:</t>
        </r>
        <r>
          <rPr>
            <sz val="9"/>
            <rFont val="宋体"/>
            <charset val="0"/>
          </rPr>
          <t xml:space="preserve">
1001531 8/8 12415pcs</t>
        </r>
      </text>
    </comment>
    <comment ref="AL1885" authorId="2">
      <text>
        <r>
          <rPr>
            <b/>
            <sz val="9"/>
            <rFont val="宋体"/>
            <charset val="0"/>
          </rPr>
          <t>石玉珍:</t>
        </r>
        <r>
          <rPr>
            <sz val="9"/>
            <rFont val="宋体"/>
            <charset val="0"/>
          </rPr>
          <t xml:space="preserve">
7/14 客供防窜码贴纸1拖13 12428pcs</t>
        </r>
        <r>
          <rPr>
            <b/>
            <sz val="9"/>
            <rFont val="宋体"/>
            <charset val="0"/>
          </rPr>
          <t xml:space="preserve">
石玉珍:</t>
        </r>
        <r>
          <rPr>
            <sz val="9"/>
            <rFont val="宋体"/>
            <charset val="0"/>
          </rPr>
          <t xml:space="preserve">
7/15 条码贴纸 12428pcs</t>
        </r>
      </text>
    </comment>
    <comment ref="AI1886" authorId="2">
      <text>
        <r>
          <rPr>
            <b/>
            <sz val="9"/>
            <rFont val="宋体"/>
            <charset val="0"/>
          </rPr>
          <t>石玉珍:</t>
        </r>
        <r>
          <rPr>
            <sz val="9"/>
            <rFont val="宋体"/>
            <charset val="0"/>
          </rPr>
          <t xml:space="preserve">
1001309 8/7 2196pcs</t>
        </r>
      </text>
    </comment>
    <comment ref="AL1886" authorId="0">
      <text>
        <r>
          <rPr>
            <sz val="9"/>
            <rFont val="宋体"/>
            <charset val="0"/>
          </rPr>
          <t xml:space="preserve">Administrator:
5/22 空白贴纸 订单数*2pcs
</t>
        </r>
        <r>
          <rPr>
            <b/>
            <sz val="9"/>
            <rFont val="宋体"/>
            <charset val="0"/>
          </rPr>
          <t xml:space="preserve">
石玉珍:</t>
        </r>
        <r>
          <rPr>
            <sz val="9"/>
            <rFont val="宋体"/>
            <charset val="0"/>
          </rPr>
          <t xml:space="preserve">
7/11 客供价格贴纸 2196pcs.</t>
        </r>
      </text>
    </comment>
    <comment ref="AI1887" authorId="2">
      <text>
        <r>
          <rPr>
            <b/>
            <sz val="9"/>
            <rFont val="宋体"/>
            <charset val="0"/>
          </rPr>
          <t>石玉珍:</t>
        </r>
        <r>
          <rPr>
            <sz val="9"/>
            <rFont val="宋体"/>
            <charset val="0"/>
          </rPr>
          <t xml:space="preserve">
1001514 8/8 10000pcs</t>
        </r>
      </text>
    </comment>
    <comment ref="AL1887" authorId="2">
      <text>
        <r>
          <rPr>
            <b/>
            <sz val="9"/>
            <rFont val="宋体"/>
            <charset val="0"/>
          </rPr>
          <t>石玉珍:</t>
        </r>
        <r>
          <rPr>
            <sz val="9"/>
            <rFont val="宋体"/>
            <charset val="0"/>
          </rPr>
          <t xml:space="preserve">
7/16 法国sorting label贴纸 10000pcs</t>
        </r>
      </text>
    </comment>
    <comment ref="AI1888" authorId="2">
      <text>
        <r>
          <rPr>
            <b/>
            <sz val="9"/>
            <rFont val="宋体"/>
            <charset val="0"/>
          </rPr>
          <t>石玉珍:</t>
        </r>
        <r>
          <rPr>
            <sz val="9"/>
            <rFont val="宋体"/>
            <charset val="0"/>
          </rPr>
          <t xml:space="preserve">
1001514 8/8 9000pcs</t>
        </r>
      </text>
    </comment>
    <comment ref="AL1888" authorId="2">
      <text>
        <r>
          <rPr>
            <b/>
            <sz val="9"/>
            <rFont val="宋体"/>
            <charset val="0"/>
          </rPr>
          <t>石玉珍:</t>
        </r>
        <r>
          <rPr>
            <sz val="9"/>
            <rFont val="宋体"/>
            <charset val="0"/>
          </rPr>
          <t xml:space="preserve">
7/8 法国sorting label贴纸 9000pcs</t>
        </r>
      </text>
    </comment>
    <comment ref="AI1889" authorId="2">
      <text>
        <r>
          <rPr>
            <b/>
            <sz val="9"/>
            <rFont val="宋体"/>
            <charset val="0"/>
          </rPr>
          <t>石玉珍:</t>
        </r>
        <r>
          <rPr>
            <sz val="9"/>
            <rFont val="宋体"/>
            <charset val="0"/>
          </rPr>
          <t xml:space="preserve">
1001305 8/7 32188pcs</t>
        </r>
        <r>
          <rPr>
            <b/>
            <sz val="9"/>
            <rFont val="宋体"/>
            <charset val="0"/>
          </rPr>
          <t xml:space="preserve">
石玉珍:</t>
        </r>
        <r>
          <rPr>
            <sz val="9"/>
            <rFont val="宋体"/>
            <charset val="0"/>
          </rPr>
          <t xml:space="preserve">
1001309 8/7 28236pcs</t>
        </r>
      </text>
    </comment>
    <comment ref="AL1889" authorId="2">
      <text>
        <r>
          <rPr>
            <b/>
            <sz val="9"/>
            <rFont val="宋体"/>
            <charset val="0"/>
          </rPr>
          <t>石玉珍:</t>
        </r>
        <r>
          <rPr>
            <sz val="9"/>
            <rFont val="宋体"/>
            <charset val="0"/>
          </rPr>
          <t xml:space="preserve">
7/11 价格贴纸 60424pcs
外箱条码贴纸  2324pcs</t>
        </r>
      </text>
    </comment>
    <comment ref="AI1890" authorId="2">
      <text>
        <r>
          <rPr>
            <b/>
            <sz val="9"/>
            <rFont val="宋体"/>
            <charset val="0"/>
          </rPr>
          <t>石玉珍:</t>
        </r>
        <r>
          <rPr>
            <sz val="9"/>
            <rFont val="宋体"/>
            <charset val="0"/>
          </rPr>
          <t xml:space="preserve">
1001524 8/7 3840pcs</t>
        </r>
      </text>
    </comment>
    <comment ref="AL1890" authorId="2">
      <text>
        <r>
          <rPr>
            <b/>
            <sz val="9"/>
            <rFont val="宋体"/>
            <charset val="0"/>
          </rPr>
          <t>石玉珍:</t>
        </r>
        <r>
          <rPr>
            <sz val="9"/>
            <rFont val="宋体"/>
            <charset val="0"/>
          </rPr>
          <t xml:space="preserve">
7/20 客供RFID贴纸 3840 pcs</t>
        </r>
      </text>
    </comment>
    <comment ref="AI1891" authorId="2">
      <text>
        <r>
          <rPr>
            <b/>
            <sz val="9"/>
            <rFont val="宋体"/>
            <charset val="0"/>
          </rPr>
          <t>石玉珍:</t>
        </r>
        <r>
          <rPr>
            <sz val="9"/>
            <rFont val="宋体"/>
            <charset val="0"/>
          </rPr>
          <t xml:space="preserve">
1001309 8/7 9600pcs</t>
        </r>
      </text>
    </comment>
    <comment ref="AL1891" authorId="2">
      <text>
        <r>
          <rPr>
            <b/>
            <sz val="9"/>
            <rFont val="宋体"/>
            <charset val="0"/>
          </rPr>
          <t>石玉珍:</t>
        </r>
        <r>
          <rPr>
            <sz val="9"/>
            <rFont val="宋体"/>
            <charset val="0"/>
          </rPr>
          <t xml:space="preserve">
7/20 客供RFID贴纸 7440pcs</t>
        </r>
      </text>
    </comment>
    <comment ref="AI1892" authorId="2">
      <text>
        <r>
          <rPr>
            <b/>
            <sz val="9"/>
            <rFont val="宋体"/>
            <charset val="0"/>
          </rPr>
          <t>石玉珍:</t>
        </r>
        <r>
          <rPr>
            <sz val="9"/>
            <rFont val="宋体"/>
            <charset val="0"/>
          </rPr>
          <t xml:space="preserve">
1001524 8/7 9360pcs</t>
        </r>
      </text>
    </comment>
    <comment ref="AL1892" authorId="2">
      <text>
        <r>
          <rPr>
            <b/>
            <sz val="9"/>
            <rFont val="宋体"/>
            <charset val="0"/>
          </rPr>
          <t>石玉珍:</t>
        </r>
        <r>
          <rPr>
            <sz val="9"/>
            <rFont val="宋体"/>
            <charset val="0"/>
          </rPr>
          <t xml:space="preserve">
7/20 客供RFID贴纸 9396pcs</t>
        </r>
      </text>
    </comment>
    <comment ref="AI1893" authorId="2">
      <text>
        <r>
          <rPr>
            <b/>
            <sz val="9"/>
            <rFont val="宋体"/>
            <charset val="0"/>
          </rPr>
          <t>石玉珍:</t>
        </r>
        <r>
          <rPr>
            <sz val="9"/>
            <rFont val="宋体"/>
            <charset val="0"/>
          </rPr>
          <t xml:space="preserve">
1001309 8/7 9600pcs</t>
        </r>
      </text>
    </comment>
    <comment ref="AL1893" authorId="2">
      <text>
        <r>
          <rPr>
            <b/>
            <sz val="9"/>
            <rFont val="宋体"/>
            <charset val="0"/>
          </rPr>
          <t>石玉珍:</t>
        </r>
        <r>
          <rPr>
            <sz val="9"/>
            <rFont val="宋体"/>
            <charset val="0"/>
          </rPr>
          <t xml:space="preserve">
7/20 客供RFID贴纸 9600pcs</t>
        </r>
      </text>
    </comment>
    <comment ref="AI1894" authorId="2">
      <text>
        <r>
          <rPr>
            <b/>
            <sz val="9"/>
            <rFont val="宋体"/>
            <charset val="0"/>
          </rPr>
          <t>石玉珍:</t>
        </r>
        <r>
          <rPr>
            <sz val="9"/>
            <rFont val="宋体"/>
            <charset val="0"/>
          </rPr>
          <t xml:space="preserve">
1001458 8/11 1200pcs</t>
        </r>
      </text>
    </comment>
    <comment ref="AL1894" authorId="2">
      <text>
        <r>
          <rPr>
            <b/>
            <sz val="9"/>
            <rFont val="宋体"/>
            <charset val="0"/>
          </rPr>
          <t>石玉珍:</t>
        </r>
        <r>
          <rPr>
            <sz val="9"/>
            <rFont val="宋体"/>
            <charset val="0"/>
          </rPr>
          <t xml:space="preserve">
UPC贴纸 8/1  1200pcs
进口商贴纸 1200pcs</t>
        </r>
      </text>
    </comment>
    <comment ref="AI1895" authorId="2">
      <text>
        <r>
          <rPr>
            <b/>
            <sz val="9"/>
            <rFont val="宋体"/>
            <charset val="0"/>
          </rPr>
          <t>石玉珍:</t>
        </r>
        <r>
          <rPr>
            <sz val="9"/>
            <rFont val="宋体"/>
            <charset val="0"/>
          </rPr>
          <t xml:space="preserve">
1001458 8/11 6708pcs</t>
        </r>
      </text>
    </comment>
    <comment ref="AI1896" authorId="2">
      <text>
        <r>
          <rPr>
            <b/>
            <sz val="9"/>
            <rFont val="宋体"/>
            <charset val="0"/>
          </rPr>
          <t>石玉珍:</t>
        </r>
        <r>
          <rPr>
            <sz val="9"/>
            <rFont val="宋体"/>
            <charset val="0"/>
          </rPr>
          <t xml:space="preserve">
1001458 8/11 3302pcs</t>
        </r>
      </text>
    </comment>
    <comment ref="AI1897" authorId="2">
      <text>
        <r>
          <rPr>
            <b/>
            <sz val="9"/>
            <rFont val="宋体"/>
            <charset val="0"/>
          </rPr>
          <t>石玉珍:</t>
        </r>
        <r>
          <rPr>
            <sz val="9"/>
            <rFont val="宋体"/>
            <charset val="0"/>
          </rPr>
          <t xml:space="preserve">
1001458 8/11 5750pcs</t>
        </r>
      </text>
    </comment>
    <comment ref="AI1898" authorId="2">
      <text>
        <r>
          <rPr>
            <b/>
            <sz val="9"/>
            <rFont val="宋体"/>
            <charset val="0"/>
          </rPr>
          <t>石玉珍:</t>
        </r>
        <r>
          <rPr>
            <sz val="9"/>
            <rFont val="宋体"/>
            <charset val="0"/>
          </rPr>
          <t xml:space="preserve">
1001458 8/11 1250pcs</t>
        </r>
      </text>
    </comment>
    <comment ref="AL1898" authorId="2">
      <text>
        <r>
          <rPr>
            <b/>
            <sz val="9"/>
            <rFont val="宋体"/>
            <charset val="0"/>
          </rPr>
          <t>石玉珍:</t>
        </r>
        <r>
          <rPr>
            <sz val="9"/>
            <rFont val="宋体"/>
            <charset val="0"/>
          </rPr>
          <t xml:space="preserve">
7/25 进口商贴纸 1250pcs</t>
        </r>
      </text>
    </comment>
    <comment ref="AI1899" authorId="2">
      <text>
        <r>
          <rPr>
            <b/>
            <sz val="9"/>
            <rFont val="宋体"/>
            <charset val="0"/>
          </rPr>
          <t>石玉珍:</t>
        </r>
        <r>
          <rPr>
            <sz val="9"/>
            <rFont val="宋体"/>
            <charset val="0"/>
          </rPr>
          <t xml:space="preserve">
1001458 8/11 4992pcs</t>
        </r>
      </text>
    </comment>
    <comment ref="AL1899" authorId="2">
      <text>
        <r>
          <rPr>
            <b/>
            <sz val="9"/>
            <rFont val="宋体"/>
            <charset val="0"/>
          </rPr>
          <t>石玉珍:</t>
        </r>
        <r>
          <rPr>
            <sz val="9"/>
            <rFont val="宋体"/>
            <charset val="0"/>
          </rPr>
          <t xml:space="preserve">
客版价格贴纸 7/25 4992pcs</t>
        </r>
        <r>
          <rPr>
            <b/>
            <sz val="9"/>
            <rFont val="宋体"/>
            <charset val="0"/>
          </rPr>
          <t xml:space="preserve">
石玉珍:</t>
        </r>
        <r>
          <rPr>
            <sz val="9"/>
            <rFont val="宋体"/>
            <charset val="0"/>
          </rPr>
          <t xml:space="preserve">
8/5 SSCC外箱贴纸 208pcs</t>
        </r>
      </text>
    </comment>
    <comment ref="AI1900" authorId="2">
      <text>
        <r>
          <rPr>
            <b/>
            <sz val="9"/>
            <rFont val="宋体"/>
            <charset val="0"/>
          </rPr>
          <t>石玉珍:</t>
        </r>
        <r>
          <rPr>
            <sz val="9"/>
            <rFont val="宋体"/>
            <charset val="0"/>
          </rPr>
          <t xml:space="preserve">
1001458 8/11 6550pcs</t>
        </r>
      </text>
    </comment>
    <comment ref="AL1900" authorId="2">
      <text>
        <r>
          <rPr>
            <b/>
            <sz val="9"/>
            <rFont val="宋体"/>
            <charset val="0"/>
          </rPr>
          <t>石玉珍:</t>
        </r>
        <r>
          <rPr>
            <sz val="9"/>
            <rFont val="宋体"/>
            <charset val="0"/>
          </rPr>
          <t xml:space="preserve">
客供外箱条码贴纸 7/30 262pcs</t>
        </r>
      </text>
    </comment>
    <comment ref="AI1902" authorId="2">
      <text>
        <r>
          <rPr>
            <b/>
            <sz val="9"/>
            <rFont val="宋体"/>
            <charset val="0"/>
          </rPr>
          <t>石玉珍:</t>
        </r>
        <r>
          <rPr>
            <sz val="9"/>
            <rFont val="宋体"/>
            <charset val="0"/>
          </rPr>
          <t xml:space="preserve">
1001651 7/29 768pcs</t>
        </r>
      </text>
    </comment>
    <comment ref="AL1902" authorId="2">
      <text>
        <r>
          <rPr>
            <b/>
            <sz val="9"/>
            <rFont val="宋体"/>
            <charset val="0"/>
          </rPr>
          <t>石玉珍:</t>
        </r>
        <r>
          <rPr>
            <sz val="9"/>
            <rFont val="宋体"/>
            <charset val="0"/>
          </rPr>
          <t xml:space="preserve">
7/20 空白贴纸 768*2pcs</t>
        </r>
        <r>
          <rPr>
            <b/>
            <sz val="9"/>
            <rFont val="宋体"/>
            <charset val="0"/>
          </rPr>
          <t xml:space="preserve">
石玉珍:</t>
        </r>
        <r>
          <rPr>
            <sz val="9"/>
            <rFont val="宋体"/>
            <charset val="0"/>
          </rPr>
          <t xml:space="preserve">
7/20 T环保标贴纸 768pcs</t>
        </r>
        <r>
          <rPr>
            <b/>
            <sz val="9"/>
            <rFont val="宋体"/>
            <charset val="0"/>
          </rPr>
          <t xml:space="preserve">
石玉珍:</t>
        </r>
        <r>
          <rPr>
            <sz val="9"/>
            <rFont val="宋体"/>
            <charset val="0"/>
          </rPr>
          <t xml:space="preserve">
7/22  亚马逊外箱贴纸  64pcs</t>
        </r>
      </text>
    </comment>
    <comment ref="AI1903" authorId="2">
      <text>
        <r>
          <rPr>
            <b/>
            <sz val="9"/>
            <rFont val="宋体"/>
            <charset val="0"/>
          </rPr>
          <t>石玉珍:</t>
        </r>
        <r>
          <rPr>
            <sz val="9"/>
            <rFont val="宋体"/>
            <charset val="0"/>
          </rPr>
          <t xml:space="preserve">
1001651 7/29 756pcs</t>
        </r>
      </text>
    </comment>
    <comment ref="AL1903" authorId="2">
      <text>
        <r>
          <rPr>
            <b/>
            <sz val="9"/>
            <rFont val="宋体"/>
            <charset val="0"/>
          </rPr>
          <t>石玉珍:</t>
        </r>
        <r>
          <rPr>
            <sz val="9"/>
            <rFont val="宋体"/>
            <charset val="0"/>
          </rPr>
          <t xml:space="preserve">
7/20 空白贴纸 756*2pcs</t>
        </r>
        <r>
          <rPr>
            <b/>
            <sz val="9"/>
            <rFont val="宋体"/>
            <charset val="0"/>
          </rPr>
          <t xml:space="preserve">
石玉珍:</t>
        </r>
        <r>
          <rPr>
            <sz val="9"/>
            <rFont val="宋体"/>
            <charset val="0"/>
          </rPr>
          <t xml:space="preserve">
7/20 T环保标贴纸 756pcs</t>
        </r>
        <r>
          <rPr>
            <b/>
            <sz val="9"/>
            <rFont val="宋体"/>
            <charset val="0"/>
          </rPr>
          <t xml:space="preserve">
石玉珍:</t>
        </r>
        <r>
          <rPr>
            <sz val="9"/>
            <rFont val="宋体"/>
            <charset val="0"/>
          </rPr>
          <t xml:space="preserve">
7/22  亚马逊外箱贴纸  63pcs</t>
        </r>
      </text>
    </comment>
    <comment ref="AI1904" authorId="2">
      <text>
        <r>
          <rPr>
            <b/>
            <sz val="9"/>
            <rFont val="宋体"/>
            <charset val="0"/>
          </rPr>
          <t>石玉珍:</t>
        </r>
        <r>
          <rPr>
            <sz val="9"/>
            <rFont val="宋体"/>
            <charset val="0"/>
          </rPr>
          <t xml:space="preserve">
1000456 8/11 1998pcs</t>
        </r>
      </text>
    </comment>
    <comment ref="AL1904" authorId="2">
      <text>
        <r>
          <rPr>
            <b/>
            <sz val="9"/>
            <rFont val="宋体"/>
            <charset val="0"/>
          </rPr>
          <t>石玉珍:</t>
        </r>
        <r>
          <rPr>
            <sz val="9"/>
            <rFont val="宋体"/>
            <charset val="0"/>
          </rPr>
          <t xml:space="preserve">
7/3 客供价格贴纸 1998pcs</t>
        </r>
        <r>
          <rPr>
            <b/>
            <sz val="9"/>
            <rFont val="宋体"/>
            <charset val="0"/>
          </rPr>
          <t xml:space="preserve">
石玉珍:</t>
        </r>
        <r>
          <rPr>
            <sz val="9"/>
            <rFont val="宋体"/>
            <charset val="0"/>
          </rPr>
          <t xml:space="preserve">
7/18 彩盒地址贴纸/地址贴纸 1998pcs</t>
        </r>
        <r>
          <rPr>
            <b/>
            <sz val="9"/>
            <rFont val="宋体"/>
            <charset val="0"/>
          </rPr>
          <t xml:space="preserve">
石玉珍:</t>
        </r>
        <r>
          <rPr>
            <sz val="9"/>
            <rFont val="宋体"/>
            <charset val="0"/>
          </rPr>
          <t xml:space="preserve">
7/20 警告语贴纸 1998pcs</t>
        </r>
      </text>
    </comment>
    <comment ref="AI1905" authorId="2">
      <text>
        <r>
          <rPr>
            <b/>
            <sz val="9"/>
            <rFont val="宋体"/>
            <charset val="0"/>
          </rPr>
          <t>石玉珍:</t>
        </r>
        <r>
          <rPr>
            <sz val="9"/>
            <rFont val="宋体"/>
            <charset val="0"/>
          </rPr>
          <t xml:space="preserve">
1001446 8/12 2400pcs</t>
        </r>
      </text>
    </comment>
    <comment ref="AL1905" authorId="2">
      <text>
        <r>
          <rPr>
            <b/>
            <sz val="9"/>
            <rFont val="宋体"/>
            <charset val="0"/>
          </rPr>
          <t>石玉珍:</t>
        </r>
        <r>
          <rPr>
            <sz val="9"/>
            <rFont val="宋体"/>
            <charset val="0"/>
          </rPr>
          <t xml:space="preserve">
7/25 PDQ+收缩膜进口商贴纸 2400*2pcs</t>
        </r>
        <r>
          <rPr>
            <b/>
            <sz val="9"/>
            <rFont val="宋体"/>
            <charset val="0"/>
          </rPr>
          <t xml:space="preserve">
石玉珍:</t>
        </r>
        <r>
          <rPr>
            <sz val="9"/>
            <rFont val="宋体"/>
            <charset val="0"/>
          </rPr>
          <t xml:space="preserve">
UPC贴纸 2400pcs</t>
        </r>
      </text>
    </comment>
    <comment ref="AI1906" authorId="2">
      <text>
        <r>
          <rPr>
            <b/>
            <sz val="9"/>
            <rFont val="宋体"/>
            <charset val="0"/>
          </rPr>
          <t>石玉珍:</t>
        </r>
        <r>
          <rPr>
            <sz val="9"/>
            <rFont val="宋体"/>
            <charset val="0"/>
          </rPr>
          <t xml:space="preserve">
1001446 8/12 1000pcs</t>
        </r>
      </text>
    </comment>
    <comment ref="AL1906" authorId="2">
      <text>
        <r>
          <rPr>
            <b/>
            <sz val="9"/>
            <rFont val="宋体"/>
            <charset val="0"/>
          </rPr>
          <t>石玉珍:</t>
        </r>
        <r>
          <rPr>
            <sz val="9"/>
            <rFont val="宋体"/>
            <charset val="0"/>
          </rPr>
          <t xml:space="preserve">
7/25 UPC贴纸 1000pcs 
PDQ+收缩膜进口商贴纸 1000*2pcs</t>
        </r>
      </text>
    </comment>
    <comment ref="AI1907" authorId="2">
      <text>
        <r>
          <rPr>
            <b/>
            <sz val="9"/>
            <rFont val="宋体"/>
            <charset val="0"/>
          </rPr>
          <t>石玉珍:</t>
        </r>
        <r>
          <rPr>
            <sz val="9"/>
            <rFont val="宋体"/>
            <charset val="0"/>
          </rPr>
          <t xml:space="preserve">
1001446 8/12 720pcs</t>
        </r>
      </text>
    </comment>
    <comment ref="AL1907" authorId="2">
      <text>
        <r>
          <rPr>
            <b/>
            <sz val="9"/>
            <rFont val="宋体"/>
            <charset val="0"/>
          </rPr>
          <t>石玉珍:</t>
        </r>
        <r>
          <rPr>
            <sz val="9"/>
            <rFont val="宋体"/>
            <charset val="0"/>
          </rPr>
          <t xml:space="preserve">
7/25 UPC贴纸 720pcs 
PDQ+收缩膜进口商贴纸 720*2pcs</t>
        </r>
      </text>
    </comment>
    <comment ref="AI1908" authorId="2">
      <text>
        <r>
          <rPr>
            <b/>
            <sz val="9"/>
            <rFont val="宋体"/>
            <charset val="0"/>
          </rPr>
          <t>石玉珍:</t>
        </r>
        <r>
          <rPr>
            <sz val="9"/>
            <rFont val="宋体"/>
            <charset val="0"/>
          </rPr>
          <t xml:space="preserve">
1001446 8/12 1850pcs</t>
        </r>
      </text>
    </comment>
    <comment ref="AL1908" authorId="2">
      <text>
        <r>
          <rPr>
            <b/>
            <sz val="9"/>
            <rFont val="宋体"/>
            <charset val="0"/>
          </rPr>
          <t>石玉珍:</t>
        </r>
        <r>
          <rPr>
            <sz val="9"/>
            <rFont val="宋体"/>
            <charset val="0"/>
          </rPr>
          <t xml:space="preserve">
7/25 UPC贴纸 1850pcs 
PDQ+收缩膜进口商贴纸 1850*2pcs</t>
        </r>
      </text>
    </comment>
    <comment ref="AI1909" authorId="2">
      <text>
        <r>
          <rPr>
            <b/>
            <sz val="9"/>
            <rFont val="宋体"/>
            <charset val="0"/>
          </rPr>
          <t>石玉珍:</t>
        </r>
        <r>
          <rPr>
            <sz val="9"/>
            <rFont val="宋体"/>
            <charset val="0"/>
          </rPr>
          <t xml:space="preserve">
1001446 8/12 1050pcs</t>
        </r>
      </text>
    </comment>
    <comment ref="AL1909" authorId="2">
      <text>
        <r>
          <rPr>
            <b/>
            <sz val="9"/>
            <rFont val="宋体"/>
            <charset val="0"/>
          </rPr>
          <t>石玉珍:</t>
        </r>
        <r>
          <rPr>
            <sz val="9"/>
            <rFont val="宋体"/>
            <charset val="0"/>
          </rPr>
          <t xml:space="preserve">
7/25 UPC贴纸 1050pcs 
PDQ+收缩膜进口商贴纸 1050*2pcs</t>
        </r>
      </text>
    </comment>
    <comment ref="AI1910" authorId="2">
      <text>
        <r>
          <rPr>
            <b/>
            <sz val="9"/>
            <rFont val="宋体"/>
            <charset val="0"/>
          </rPr>
          <t>石玉珍:</t>
        </r>
        <r>
          <rPr>
            <sz val="9"/>
            <rFont val="宋体"/>
            <charset val="0"/>
          </rPr>
          <t xml:space="preserve">
1000462 8/11 2824pcs</t>
        </r>
      </text>
    </comment>
    <comment ref="AL1910" authorId="2">
      <text>
        <r>
          <rPr>
            <b/>
            <sz val="9"/>
            <rFont val="宋体"/>
            <charset val="0"/>
          </rPr>
          <t>石玉珍:</t>
        </r>
        <r>
          <rPr>
            <sz val="9"/>
            <rFont val="宋体"/>
            <charset val="0"/>
          </rPr>
          <t xml:space="preserve">
7/3  客供RFID贴纸  2824pcs</t>
        </r>
      </text>
    </comment>
    <comment ref="AI1911" authorId="2">
      <text>
        <r>
          <rPr>
            <b/>
            <sz val="9"/>
            <rFont val="宋体"/>
            <charset val="0"/>
          </rPr>
          <t>石玉珍:</t>
        </r>
        <r>
          <rPr>
            <sz val="9"/>
            <rFont val="宋体"/>
            <charset val="0"/>
          </rPr>
          <t xml:space="preserve">
1001445 8/12 1200pcs</t>
        </r>
      </text>
    </comment>
    <comment ref="AL1911" authorId="2">
      <text>
        <r>
          <rPr>
            <b/>
            <sz val="9"/>
            <rFont val="宋体"/>
            <charset val="0"/>
          </rPr>
          <t>石玉珍:</t>
        </r>
        <r>
          <rPr>
            <sz val="9"/>
            <rFont val="宋体"/>
            <charset val="0"/>
          </rPr>
          <t xml:space="preserve">
7/23 进口商贴纸 1200pcs</t>
        </r>
      </text>
    </comment>
    <comment ref="AI1912" authorId="2">
      <text>
        <r>
          <rPr>
            <b/>
            <sz val="9"/>
            <rFont val="宋体"/>
            <charset val="0"/>
          </rPr>
          <t>石玉珍:</t>
        </r>
        <r>
          <rPr>
            <sz val="9"/>
            <rFont val="宋体"/>
            <charset val="0"/>
          </rPr>
          <t xml:space="preserve">
1001469 8/11 2028pcs</t>
        </r>
      </text>
    </comment>
    <comment ref="AL1912" authorId="2">
      <text>
        <r>
          <rPr>
            <b/>
            <sz val="9"/>
            <rFont val="宋体"/>
            <charset val="0"/>
          </rPr>
          <t>石玉珍:</t>
        </r>
        <r>
          <rPr>
            <sz val="9"/>
            <rFont val="宋体"/>
            <charset val="0"/>
          </rPr>
          <t xml:space="preserve">
7/3 客供价格贴纸 2028pcs</t>
        </r>
        <r>
          <rPr>
            <b/>
            <sz val="9"/>
            <rFont val="宋体"/>
            <charset val="0"/>
          </rPr>
          <t xml:space="preserve">
石玉珍:</t>
        </r>
        <r>
          <rPr>
            <sz val="9"/>
            <rFont val="宋体"/>
            <charset val="0"/>
          </rPr>
          <t xml:space="preserve">
7/16 警告语贴纸 3996pcs</t>
        </r>
        <r>
          <rPr>
            <b/>
            <sz val="9"/>
            <rFont val="宋体"/>
            <charset val="0"/>
          </rPr>
          <t xml:space="preserve">
石玉珍:</t>
        </r>
        <r>
          <rPr>
            <sz val="9"/>
            <rFont val="宋体"/>
            <charset val="0"/>
          </rPr>
          <t xml:space="preserve">
PDO地址上贴纸 7/30 156pcs</t>
        </r>
      </text>
    </comment>
    <comment ref="AL1913" authorId="2">
      <text>
        <r>
          <rPr>
            <b/>
            <sz val="9"/>
            <rFont val="宋体"/>
            <charset val="0"/>
          </rPr>
          <t>石玉珍:</t>
        </r>
        <r>
          <rPr>
            <sz val="9"/>
            <rFont val="宋体"/>
            <charset val="0"/>
          </rPr>
          <t xml:space="preserve">
7/3 客供价格贴纸 2236pcs</t>
        </r>
        <r>
          <rPr>
            <b/>
            <sz val="9"/>
            <rFont val="宋体"/>
            <charset val="0"/>
          </rPr>
          <t xml:space="preserve">
石玉珍:</t>
        </r>
        <r>
          <rPr>
            <sz val="9"/>
            <rFont val="宋体"/>
            <charset val="0"/>
          </rPr>
          <t xml:space="preserve">
PDO地址上贴纸 7/30 93pcs</t>
        </r>
      </text>
    </comment>
    <comment ref="AI1914" authorId="2">
      <text>
        <r>
          <rPr>
            <b/>
            <sz val="9"/>
            <rFont val="宋体"/>
            <charset val="0"/>
          </rPr>
          <t>石玉珍:</t>
        </r>
        <r>
          <rPr>
            <sz val="9"/>
            <rFont val="宋体"/>
            <charset val="0"/>
          </rPr>
          <t xml:space="preserve">
1001445 8/12 3000pcs</t>
        </r>
      </text>
    </comment>
    <comment ref="AI1915" authorId="2">
      <text>
        <r>
          <rPr>
            <b/>
            <sz val="9"/>
            <rFont val="宋体"/>
            <charset val="0"/>
          </rPr>
          <t>石玉珍:</t>
        </r>
        <r>
          <rPr>
            <sz val="9"/>
            <rFont val="宋体"/>
            <charset val="0"/>
          </rPr>
          <t xml:space="preserve">
1001445 8/12 1500pcs</t>
        </r>
      </text>
    </comment>
    <comment ref="AL1915" authorId="2">
      <text>
        <r>
          <rPr>
            <b/>
            <sz val="9"/>
            <rFont val="宋体"/>
            <charset val="0"/>
          </rPr>
          <t>石玉珍:</t>
        </r>
        <r>
          <rPr>
            <sz val="9"/>
            <rFont val="宋体"/>
            <charset val="0"/>
          </rPr>
          <t xml:space="preserve">
8/1 UPC 贴纸  1500pcs
进口商贴纸 1500pcs</t>
        </r>
      </text>
    </comment>
    <comment ref="AI1916" authorId="2">
      <text>
        <r>
          <rPr>
            <b/>
            <sz val="9"/>
            <rFont val="宋体"/>
            <charset val="0"/>
          </rPr>
          <t>石玉珍:</t>
        </r>
        <r>
          <rPr>
            <sz val="9"/>
            <rFont val="宋体"/>
            <charset val="0"/>
          </rPr>
          <t xml:space="preserve">
1001445 8/12 3250pcs</t>
        </r>
      </text>
    </comment>
    <comment ref="AL1916" authorId="2">
      <text>
        <r>
          <rPr>
            <b/>
            <sz val="9"/>
            <rFont val="宋体"/>
            <charset val="0"/>
          </rPr>
          <t>石玉珍:</t>
        </r>
        <r>
          <rPr>
            <sz val="9"/>
            <rFont val="宋体"/>
            <charset val="0"/>
          </rPr>
          <t xml:space="preserve">
8/1 UPC 贴纸  3250pcs
进口商贴纸 3250pcs</t>
        </r>
      </text>
    </comment>
    <comment ref="AI1917" authorId="2">
      <text>
        <r>
          <rPr>
            <b/>
            <sz val="9"/>
            <rFont val="宋体"/>
            <charset val="0"/>
          </rPr>
          <t>石玉珍:</t>
        </r>
        <r>
          <rPr>
            <sz val="9"/>
            <rFont val="宋体"/>
            <charset val="0"/>
          </rPr>
          <t xml:space="preserve">
1001445 8/12 3000pcs</t>
        </r>
      </text>
    </comment>
    <comment ref="AL1917" authorId="2">
      <text>
        <r>
          <rPr>
            <b/>
            <sz val="9"/>
            <rFont val="宋体"/>
            <charset val="0"/>
          </rPr>
          <t>石玉珍:</t>
        </r>
        <r>
          <rPr>
            <sz val="9"/>
            <rFont val="宋体"/>
            <charset val="0"/>
          </rPr>
          <t xml:space="preserve">
8/1 UPC 贴纸  3000pcs
进口商贴纸 3000pcs</t>
        </r>
      </text>
    </comment>
    <comment ref="AI1918" authorId="2">
      <text>
        <r>
          <rPr>
            <b/>
            <sz val="9"/>
            <rFont val="宋体"/>
            <charset val="0"/>
          </rPr>
          <t>石玉珍:</t>
        </r>
        <r>
          <rPr>
            <sz val="9"/>
            <rFont val="宋体"/>
            <charset val="0"/>
          </rPr>
          <t xml:space="preserve">
1001445 8/12 4600pcs</t>
        </r>
      </text>
    </comment>
    <comment ref="AI1919" authorId="2">
      <text>
        <r>
          <rPr>
            <b/>
            <sz val="9"/>
            <rFont val="宋体"/>
            <charset val="0"/>
          </rPr>
          <t>石玉珍:</t>
        </r>
        <r>
          <rPr>
            <sz val="9"/>
            <rFont val="宋体"/>
            <charset val="0"/>
          </rPr>
          <t xml:space="preserve">
1001445 8/12 350pcs</t>
        </r>
        <r>
          <rPr>
            <b/>
            <sz val="9"/>
            <rFont val="宋体"/>
            <charset val="0"/>
          </rPr>
          <t xml:space="preserve">
石玉珍:</t>
        </r>
        <r>
          <rPr>
            <sz val="9"/>
            <rFont val="宋体"/>
            <charset val="0"/>
          </rPr>
          <t xml:space="preserve">
1001390 8/17 50pcs</t>
        </r>
      </text>
    </comment>
    <comment ref="AI1920" authorId="2">
      <text>
        <r>
          <rPr>
            <b/>
            <sz val="9"/>
            <rFont val="宋体"/>
            <charset val="0"/>
          </rPr>
          <t>石玉珍:</t>
        </r>
        <r>
          <rPr>
            <sz val="9"/>
            <rFont val="宋体"/>
            <charset val="0"/>
          </rPr>
          <t xml:space="preserve">
1001446 8/12 4000pcs</t>
        </r>
      </text>
    </comment>
    <comment ref="AL1920" authorId="2">
      <text>
        <r>
          <rPr>
            <b/>
            <sz val="9"/>
            <rFont val="宋体"/>
            <charset val="0"/>
          </rPr>
          <t>石玉珍:</t>
        </r>
        <r>
          <rPr>
            <sz val="9"/>
            <rFont val="宋体"/>
            <charset val="0"/>
          </rPr>
          <t xml:space="preserve">
7/24 UPC条码贴纸 4000pcs</t>
        </r>
        <r>
          <rPr>
            <b/>
            <sz val="9"/>
            <rFont val="宋体"/>
            <charset val="0"/>
          </rPr>
          <t xml:space="preserve">
石玉珍:</t>
        </r>
        <r>
          <rPr>
            <sz val="9"/>
            <rFont val="宋体"/>
            <charset val="0"/>
          </rPr>
          <t xml:space="preserve">
进口商贴纸 4000pcs</t>
        </r>
        <r>
          <rPr>
            <b/>
            <sz val="9"/>
            <rFont val="宋体"/>
            <charset val="0"/>
          </rPr>
          <t xml:space="preserve">
石玉珍:</t>
        </r>
        <r>
          <rPr>
            <sz val="9"/>
            <rFont val="宋体"/>
            <charset val="0"/>
          </rPr>
          <t xml:space="preserve">
进口商贴纸 8/6 4000pc内容不对补订</t>
        </r>
      </text>
    </comment>
    <comment ref="AI1921" authorId="2">
      <text>
        <r>
          <rPr>
            <b/>
            <sz val="9"/>
            <rFont val="宋体"/>
            <charset val="0"/>
          </rPr>
          <t>石玉珍:</t>
        </r>
        <r>
          <rPr>
            <sz val="9"/>
            <rFont val="宋体"/>
            <charset val="0"/>
          </rPr>
          <t xml:space="preserve">
1001419 8/13 13440pcs</t>
        </r>
      </text>
    </comment>
    <comment ref="AL1921" authorId="2">
      <text>
        <r>
          <rPr>
            <b/>
            <sz val="9"/>
            <rFont val="宋体"/>
            <charset val="0"/>
          </rPr>
          <t>石玉珍:</t>
        </r>
        <r>
          <rPr>
            <sz val="9"/>
            <rFont val="宋体"/>
            <charset val="0"/>
          </rPr>
          <t xml:space="preserve">
7/20 客供RFID贴纸 13440pcs</t>
        </r>
      </text>
    </comment>
    <comment ref="AI1922" authorId="2">
      <text>
        <r>
          <rPr>
            <b/>
            <sz val="9"/>
            <rFont val="宋体"/>
            <charset val="0"/>
          </rPr>
          <t>石玉珍:</t>
        </r>
        <r>
          <rPr>
            <sz val="9"/>
            <rFont val="宋体"/>
            <charset val="0"/>
          </rPr>
          <t xml:space="preserve">
1001419 8/13 12000pcs</t>
        </r>
      </text>
    </comment>
    <comment ref="AL1922" authorId="2">
      <text>
        <r>
          <rPr>
            <b/>
            <sz val="9"/>
            <rFont val="宋体"/>
            <charset val="0"/>
          </rPr>
          <t>石玉珍:</t>
        </r>
        <r>
          <rPr>
            <sz val="9"/>
            <rFont val="宋体"/>
            <charset val="0"/>
          </rPr>
          <t xml:space="preserve">
7/20 客供RFID贴纸 12000pcs</t>
        </r>
      </text>
    </comment>
    <comment ref="AI1923" authorId="2">
      <text>
        <r>
          <rPr>
            <b/>
            <sz val="9"/>
            <rFont val="宋体"/>
            <charset val="0"/>
          </rPr>
          <t>石玉珍:</t>
        </r>
        <r>
          <rPr>
            <sz val="9"/>
            <rFont val="宋体"/>
            <charset val="0"/>
          </rPr>
          <t xml:space="preserve">
1001419 8/13 9600pcs</t>
        </r>
      </text>
    </comment>
    <comment ref="AL1923" authorId="2">
      <text>
        <r>
          <rPr>
            <b/>
            <sz val="9"/>
            <rFont val="宋体"/>
            <charset val="0"/>
          </rPr>
          <t>石玉珍:</t>
        </r>
        <r>
          <rPr>
            <sz val="9"/>
            <rFont val="宋体"/>
            <charset val="0"/>
          </rPr>
          <t xml:space="preserve">
7/20 客供RFID贴纸 9600pcs</t>
        </r>
      </text>
    </comment>
    <comment ref="AI1924" authorId="2">
      <text>
        <r>
          <rPr>
            <b/>
            <sz val="9"/>
            <rFont val="宋体"/>
            <charset val="0"/>
          </rPr>
          <t>石玉珍:</t>
        </r>
        <r>
          <rPr>
            <sz val="9"/>
            <rFont val="宋体"/>
            <charset val="0"/>
          </rPr>
          <t xml:space="preserve">
1001424 8/13 5280pcs</t>
        </r>
      </text>
    </comment>
    <comment ref="AL1924" authorId="2">
      <text>
        <r>
          <rPr>
            <b/>
            <sz val="9"/>
            <rFont val="宋体"/>
            <charset val="0"/>
          </rPr>
          <t>石玉珍:</t>
        </r>
        <r>
          <rPr>
            <sz val="9"/>
            <rFont val="宋体"/>
            <charset val="0"/>
          </rPr>
          <t xml:space="preserve">
7/20 客供RFID贴纸 5280pcs</t>
        </r>
      </text>
    </comment>
    <comment ref="AI1925" authorId="2">
      <text>
        <r>
          <rPr>
            <b/>
            <sz val="9"/>
            <rFont val="宋体"/>
            <charset val="0"/>
          </rPr>
          <t>石玉珍:</t>
        </r>
        <r>
          <rPr>
            <sz val="9"/>
            <rFont val="宋体"/>
            <charset val="0"/>
          </rPr>
          <t xml:space="preserve">
1001408 8/14 8160pcs</t>
        </r>
      </text>
    </comment>
    <comment ref="AL1925" authorId="2">
      <text>
        <r>
          <rPr>
            <b/>
            <sz val="9"/>
            <rFont val="宋体"/>
            <charset val="0"/>
          </rPr>
          <t>石玉珍:</t>
        </r>
        <r>
          <rPr>
            <sz val="9"/>
            <rFont val="宋体"/>
            <charset val="0"/>
          </rPr>
          <t xml:space="preserve">
7/3  客供RFID贴纸  8160pcs</t>
        </r>
      </text>
    </comment>
    <comment ref="AI1926" authorId="2">
      <text>
        <r>
          <rPr>
            <b/>
            <sz val="9"/>
            <rFont val="宋体"/>
            <charset val="0"/>
          </rPr>
          <t>石玉珍:</t>
        </r>
        <r>
          <rPr>
            <sz val="9"/>
            <rFont val="宋体"/>
            <charset val="0"/>
          </rPr>
          <t xml:space="preserve">
1001424 8/13 5280pcs</t>
        </r>
      </text>
    </comment>
    <comment ref="AL1926" authorId="2">
      <text>
        <r>
          <rPr>
            <b/>
            <sz val="9"/>
            <rFont val="宋体"/>
            <charset val="0"/>
          </rPr>
          <t>石玉珍:</t>
        </r>
        <r>
          <rPr>
            <sz val="9"/>
            <rFont val="宋体"/>
            <charset val="0"/>
          </rPr>
          <t xml:space="preserve">
7/25 客供RID贴纸 5280pcs</t>
        </r>
      </text>
    </comment>
    <comment ref="AI1927" authorId="2">
      <text>
        <r>
          <rPr>
            <b/>
            <sz val="9"/>
            <rFont val="宋体"/>
            <charset val="0"/>
          </rPr>
          <t>石玉珍:</t>
        </r>
        <r>
          <rPr>
            <sz val="9"/>
            <rFont val="宋体"/>
            <charset val="0"/>
          </rPr>
          <t xml:space="preserve">
1001415 8/14 8160pcs</t>
        </r>
      </text>
    </comment>
    <comment ref="AL1927" authorId="2">
      <text>
        <r>
          <rPr>
            <b/>
            <sz val="9"/>
            <rFont val="宋体"/>
            <charset val="0"/>
          </rPr>
          <t>石玉珍:</t>
        </r>
        <r>
          <rPr>
            <sz val="9"/>
            <rFont val="宋体"/>
            <charset val="0"/>
          </rPr>
          <t xml:space="preserve">
7/25 客供RID贴纸 8160pcs</t>
        </r>
      </text>
    </comment>
    <comment ref="AI1928" authorId="2">
      <text>
        <r>
          <rPr>
            <b/>
            <sz val="9"/>
            <rFont val="宋体"/>
            <charset val="0"/>
          </rPr>
          <t>石玉珍:</t>
        </r>
        <r>
          <rPr>
            <sz val="9"/>
            <rFont val="宋体"/>
            <charset val="0"/>
          </rPr>
          <t xml:space="preserve">
1001424 8/13 3840pcs</t>
        </r>
      </text>
    </comment>
    <comment ref="AL1928" authorId="2">
      <text>
        <r>
          <rPr>
            <b/>
            <sz val="9"/>
            <rFont val="宋体"/>
            <charset val="0"/>
          </rPr>
          <t>石玉珍:</t>
        </r>
        <r>
          <rPr>
            <sz val="9"/>
            <rFont val="宋体"/>
            <charset val="0"/>
          </rPr>
          <t xml:space="preserve">
7/25 客供RID贴纸 3840pcs</t>
        </r>
      </text>
    </comment>
    <comment ref="AI1929" authorId="2">
      <text>
        <r>
          <rPr>
            <b/>
            <sz val="9"/>
            <rFont val="宋体"/>
            <charset val="0"/>
          </rPr>
          <t>石玉珍:</t>
        </r>
        <r>
          <rPr>
            <sz val="9"/>
            <rFont val="宋体"/>
            <charset val="0"/>
          </rPr>
          <t xml:space="preserve">
1001424 8/13 1296pcs</t>
        </r>
      </text>
    </comment>
    <comment ref="AL1929" authorId="2">
      <text>
        <r>
          <rPr>
            <b/>
            <sz val="9"/>
            <rFont val="宋体"/>
            <charset val="0"/>
          </rPr>
          <t>石玉珍:</t>
        </r>
        <r>
          <rPr>
            <sz val="9"/>
            <rFont val="宋体"/>
            <charset val="0"/>
          </rPr>
          <t xml:space="preserve">
7/25 客供RID贴纸 1440pcs</t>
        </r>
      </text>
    </comment>
    <comment ref="AI1930" authorId="2">
      <text>
        <r>
          <rPr>
            <b/>
            <sz val="9"/>
            <rFont val="宋体"/>
            <charset val="0"/>
          </rPr>
          <t>石玉珍:</t>
        </r>
        <r>
          <rPr>
            <sz val="9"/>
            <rFont val="宋体"/>
            <charset val="0"/>
          </rPr>
          <t xml:space="preserve">
1001424 8/13 5760pcs</t>
        </r>
      </text>
    </comment>
    <comment ref="AL1930" authorId="2">
      <text>
        <r>
          <rPr>
            <b/>
            <sz val="9"/>
            <rFont val="宋体"/>
            <charset val="0"/>
          </rPr>
          <t>石玉珍:</t>
        </r>
        <r>
          <rPr>
            <sz val="9"/>
            <rFont val="宋体"/>
            <charset val="0"/>
          </rPr>
          <t xml:space="preserve">
7/25 客供RID贴纸 5760pcs</t>
        </r>
      </text>
    </comment>
    <comment ref="AL1931" authorId="2">
      <text>
        <r>
          <rPr>
            <b/>
            <sz val="9"/>
            <rFont val="宋体"/>
            <charset val="0"/>
          </rPr>
          <t>石玉珍:</t>
        </r>
        <r>
          <rPr>
            <sz val="9"/>
            <rFont val="宋体"/>
            <charset val="0"/>
          </rPr>
          <t xml:space="preserve">
7/15 3c贴纸 1200pcs</t>
        </r>
        <r>
          <rPr>
            <b/>
            <sz val="9"/>
            <rFont val="宋体"/>
            <charset val="0"/>
          </rPr>
          <t xml:space="preserve">
石玉珍:</t>
        </r>
        <r>
          <rPr>
            <sz val="9"/>
            <rFont val="宋体"/>
            <charset val="0"/>
          </rPr>
          <t xml:space="preserve">
7/15 颜色贴纸 1200pcs</t>
        </r>
        <r>
          <rPr>
            <b/>
            <sz val="9"/>
            <rFont val="宋体"/>
            <charset val="0"/>
          </rPr>
          <t xml:space="preserve">
石玉珍:</t>
        </r>
        <r>
          <rPr>
            <sz val="9"/>
            <rFont val="宋体"/>
            <charset val="0"/>
          </rPr>
          <t xml:space="preserve">
7/16 空白贴纸 1200pcs*2</t>
        </r>
        <r>
          <rPr>
            <b/>
            <sz val="9"/>
            <rFont val="宋体"/>
            <charset val="0"/>
          </rPr>
          <t xml:space="preserve">
石玉珍:</t>
        </r>
        <r>
          <rPr>
            <sz val="9"/>
            <rFont val="宋体"/>
            <charset val="0"/>
          </rPr>
          <t xml:space="preserve">
7/16 客供芯片码贴纸 1200pcs</t>
        </r>
      </text>
    </comment>
    <comment ref="AL1932" authorId="2">
      <text>
        <r>
          <rPr>
            <b/>
            <sz val="9"/>
            <rFont val="宋体"/>
            <charset val="0"/>
          </rPr>
          <t>石玉珍:</t>
        </r>
        <r>
          <rPr>
            <sz val="9"/>
            <rFont val="宋体"/>
            <charset val="0"/>
          </rPr>
          <t xml:space="preserve">
7/15 3c贴纸 2004pcs</t>
        </r>
        <r>
          <rPr>
            <b/>
            <sz val="9"/>
            <rFont val="宋体"/>
            <charset val="0"/>
          </rPr>
          <t xml:space="preserve">
石玉珍:</t>
        </r>
        <r>
          <rPr>
            <sz val="9"/>
            <rFont val="宋体"/>
            <charset val="0"/>
          </rPr>
          <t xml:space="preserve">
7/15 颜色贴纸 2004pcs</t>
        </r>
        <r>
          <rPr>
            <b/>
            <sz val="9"/>
            <rFont val="宋体"/>
            <charset val="0"/>
          </rPr>
          <t xml:space="preserve">
石玉珍:</t>
        </r>
        <r>
          <rPr>
            <sz val="9"/>
            <rFont val="宋体"/>
            <charset val="0"/>
          </rPr>
          <t xml:space="preserve">
7/16 空白贴纸 2004pcs*2</t>
        </r>
        <r>
          <rPr>
            <b/>
            <sz val="9"/>
            <rFont val="宋体"/>
            <charset val="0"/>
          </rPr>
          <t xml:space="preserve">
石玉珍:</t>
        </r>
        <r>
          <rPr>
            <sz val="9"/>
            <rFont val="宋体"/>
            <charset val="0"/>
          </rPr>
          <t xml:space="preserve">
7/16 客供芯片码贴纸 2004pcs</t>
        </r>
      </text>
    </comment>
    <comment ref="AI1933" authorId="2">
      <text>
        <r>
          <rPr>
            <b/>
            <sz val="9"/>
            <rFont val="宋体"/>
            <charset val="0"/>
          </rPr>
          <t>石玉珍:</t>
        </r>
        <r>
          <rPr>
            <sz val="9"/>
            <rFont val="宋体"/>
            <charset val="0"/>
          </rPr>
          <t xml:space="preserve">
1001651 7/29 564pcs</t>
        </r>
      </text>
    </comment>
    <comment ref="AL1933" authorId="2">
      <text>
        <r>
          <rPr>
            <b/>
            <sz val="9"/>
            <rFont val="宋体"/>
            <charset val="0"/>
          </rPr>
          <t>石玉珍:</t>
        </r>
        <r>
          <rPr>
            <sz val="9"/>
            <rFont val="宋体"/>
            <charset val="0"/>
          </rPr>
          <t xml:space="preserve">
6/29 亚马逊外箱贴纸 47pcs</t>
        </r>
        <r>
          <rPr>
            <b/>
            <sz val="9"/>
            <rFont val="宋体"/>
            <charset val="0"/>
          </rPr>
          <t xml:space="preserve">
石玉珍:</t>
        </r>
        <r>
          <rPr>
            <sz val="9"/>
            <rFont val="宋体"/>
            <charset val="0"/>
          </rPr>
          <t xml:space="preserve">
7/21 环保标贴纸 1128pcs</t>
        </r>
        <r>
          <rPr>
            <b/>
            <sz val="9"/>
            <rFont val="宋体"/>
            <charset val="0"/>
          </rPr>
          <t xml:space="preserve">
石玉珍:</t>
        </r>
        <r>
          <rPr>
            <sz val="9"/>
            <rFont val="宋体"/>
            <charset val="0"/>
          </rPr>
          <t xml:space="preserve">
7/22 空白贴纸 564*2pcs</t>
        </r>
      </text>
    </comment>
    <comment ref="AI1934" authorId="2">
      <text>
        <r>
          <rPr>
            <b/>
            <sz val="9"/>
            <rFont val="宋体"/>
            <charset val="0"/>
          </rPr>
          <t>石玉珍:</t>
        </r>
        <r>
          <rPr>
            <sz val="9"/>
            <rFont val="宋体"/>
            <charset val="0"/>
          </rPr>
          <t xml:space="preserve">
1000456 8/11 192pcs</t>
        </r>
      </text>
    </comment>
    <comment ref="AL1934" authorId="2">
      <text>
        <r>
          <rPr>
            <b/>
            <sz val="9"/>
            <rFont val="宋体"/>
            <charset val="0"/>
          </rPr>
          <t>石玉珍:</t>
        </r>
        <r>
          <rPr>
            <sz val="9"/>
            <rFont val="宋体"/>
            <charset val="0"/>
          </rPr>
          <t xml:space="preserve">
6/8 客供RID贴纸 192pcs</t>
        </r>
        <r>
          <rPr>
            <b/>
            <sz val="9"/>
            <rFont val="宋体"/>
            <charset val="0"/>
          </rPr>
          <t xml:space="preserve">
石玉珍:</t>
        </r>
        <r>
          <rPr>
            <sz val="9"/>
            <rFont val="宋体"/>
            <charset val="0"/>
          </rPr>
          <t xml:space="preserve">
7/20 彩色placard贴纸 8*2pcs</t>
        </r>
      </text>
    </comment>
    <comment ref="AI1935" authorId="2">
      <text>
        <r>
          <rPr>
            <b/>
            <sz val="9"/>
            <rFont val="宋体"/>
            <charset val="0"/>
          </rPr>
          <t>石玉珍:</t>
        </r>
        <r>
          <rPr>
            <sz val="9"/>
            <rFont val="宋体"/>
            <charset val="0"/>
          </rPr>
          <t xml:space="preserve">
1000456 8/11 216pcs</t>
        </r>
      </text>
    </comment>
    <comment ref="AL1935" authorId="2">
      <text>
        <r>
          <rPr>
            <b/>
            <sz val="9"/>
            <rFont val="宋体"/>
            <charset val="0"/>
          </rPr>
          <t>石玉珍:</t>
        </r>
        <r>
          <rPr>
            <sz val="9"/>
            <rFont val="宋体"/>
            <charset val="0"/>
          </rPr>
          <t xml:space="preserve">
6/8 客供RID贴纸 216pcs</t>
        </r>
        <r>
          <rPr>
            <b/>
            <sz val="9"/>
            <rFont val="宋体"/>
            <charset val="0"/>
          </rPr>
          <t xml:space="preserve">
石玉珍:</t>
        </r>
        <r>
          <rPr>
            <sz val="9"/>
            <rFont val="宋体"/>
            <charset val="0"/>
          </rPr>
          <t xml:space="preserve">
7/20 彩色placard贴纸 9*2pcs</t>
        </r>
      </text>
    </comment>
    <comment ref="AI1936" authorId="2">
      <text>
        <r>
          <rPr>
            <b/>
            <sz val="9"/>
            <rFont val="宋体"/>
            <charset val="0"/>
          </rPr>
          <t>石玉珍:</t>
        </r>
        <r>
          <rPr>
            <sz val="9"/>
            <rFont val="宋体"/>
            <charset val="0"/>
          </rPr>
          <t xml:space="preserve">
1000462 8/11 1998pcs</t>
        </r>
        <r>
          <rPr>
            <b/>
            <sz val="9"/>
            <rFont val="宋体"/>
            <charset val="0"/>
          </rPr>
          <t xml:space="preserve">
石玉珍:</t>
        </r>
        <r>
          <rPr>
            <sz val="9"/>
            <rFont val="宋体"/>
            <charset val="0"/>
          </rPr>
          <t xml:space="preserve">
1000491 8/15 36pcfs</t>
        </r>
      </text>
    </comment>
    <comment ref="AL1936" authorId="2">
      <text>
        <r>
          <rPr>
            <b/>
            <sz val="9"/>
            <rFont val="宋体"/>
            <charset val="0"/>
          </rPr>
          <t>石玉珍:</t>
        </r>
        <r>
          <rPr>
            <sz val="9"/>
            <rFont val="宋体"/>
            <charset val="0"/>
          </rPr>
          <t xml:space="preserve">
7/17 DE/IT警告语 2034pcs*2</t>
        </r>
        <r>
          <rPr>
            <b/>
            <sz val="9"/>
            <rFont val="宋体"/>
            <charset val="0"/>
          </rPr>
          <t xml:space="preserve">
石玉珍:</t>
        </r>
        <r>
          <rPr>
            <sz val="9"/>
            <rFont val="宋体"/>
            <charset val="0"/>
          </rPr>
          <t xml:space="preserve">
7/22 亚马逊外箱贴纸 339pcs</t>
        </r>
      </text>
    </comment>
    <comment ref="AI1937" authorId="2">
      <text>
        <r>
          <rPr>
            <b/>
            <sz val="9"/>
            <rFont val="宋体"/>
            <charset val="0"/>
          </rPr>
          <t>石玉珍:</t>
        </r>
        <r>
          <rPr>
            <sz val="9"/>
            <rFont val="宋体"/>
            <charset val="0"/>
          </rPr>
          <t xml:space="preserve">
1000462 8/11 1020pcs</t>
        </r>
      </text>
    </comment>
    <comment ref="AL1937" authorId="2">
      <text>
        <r>
          <rPr>
            <b/>
            <sz val="9"/>
            <rFont val="宋体"/>
            <charset val="0"/>
          </rPr>
          <t>石玉珍:</t>
        </r>
        <r>
          <rPr>
            <sz val="9"/>
            <rFont val="宋体"/>
            <charset val="0"/>
          </rPr>
          <t xml:space="preserve">
7/17 DE/IT警告语 1020pcs*2</t>
        </r>
        <r>
          <rPr>
            <b/>
            <sz val="9"/>
            <rFont val="宋体"/>
            <charset val="0"/>
          </rPr>
          <t xml:space="preserve">
石玉珍:</t>
        </r>
        <r>
          <rPr>
            <sz val="9"/>
            <rFont val="宋体"/>
            <charset val="0"/>
          </rPr>
          <t xml:space="preserve">
7/22 亚马逊外箱贴纸 170pcs</t>
        </r>
      </text>
    </comment>
    <comment ref="AI1938" authorId="2">
      <text>
        <r>
          <rPr>
            <b/>
            <sz val="9"/>
            <rFont val="宋体"/>
            <charset val="0"/>
          </rPr>
          <t>石玉珍:</t>
        </r>
        <r>
          <rPr>
            <sz val="9"/>
            <rFont val="宋体"/>
            <charset val="0"/>
          </rPr>
          <t xml:space="preserve">
1000462 8/11 504pcs</t>
        </r>
      </text>
    </comment>
    <comment ref="AL1938" authorId="2">
      <text>
        <r>
          <rPr>
            <b/>
            <sz val="9"/>
            <rFont val="宋体"/>
            <charset val="0"/>
          </rPr>
          <t>石玉珍:</t>
        </r>
        <r>
          <rPr>
            <sz val="9"/>
            <rFont val="宋体"/>
            <charset val="0"/>
          </rPr>
          <t xml:space="preserve">
7/17 DE/IT警告语 504pcs*2</t>
        </r>
        <r>
          <rPr>
            <b/>
            <sz val="9"/>
            <rFont val="宋体"/>
            <charset val="0"/>
          </rPr>
          <t xml:space="preserve">
石玉珍:</t>
        </r>
        <r>
          <rPr>
            <sz val="9"/>
            <rFont val="宋体"/>
            <charset val="0"/>
          </rPr>
          <t xml:space="preserve">
7/22 亚马逊外箱贴纸 84pcs</t>
        </r>
      </text>
    </comment>
    <comment ref="AI1939" authorId="2">
      <text>
        <r>
          <rPr>
            <b/>
            <sz val="9"/>
            <rFont val="宋体"/>
            <charset val="0"/>
          </rPr>
          <t>石玉珍:</t>
        </r>
        <r>
          <rPr>
            <sz val="9"/>
            <rFont val="宋体"/>
            <charset val="0"/>
          </rPr>
          <t xml:space="preserve">
1001524 8/7 732pcs</t>
        </r>
      </text>
    </comment>
    <comment ref="AI1940" authorId="2">
      <text>
        <r>
          <rPr>
            <b/>
            <sz val="9"/>
            <rFont val="宋体"/>
            <charset val="0"/>
          </rPr>
          <t>石玉珍:</t>
        </r>
        <r>
          <rPr>
            <sz val="9"/>
            <rFont val="宋体"/>
            <charset val="0"/>
          </rPr>
          <t xml:space="preserve">
1001566 8/5 1176pcs</t>
        </r>
      </text>
    </comment>
    <comment ref="AI1941" authorId="2">
      <text>
        <r>
          <rPr>
            <b/>
            <sz val="9"/>
            <rFont val="宋体"/>
            <charset val="0"/>
          </rPr>
          <t>石玉珍:</t>
        </r>
        <r>
          <rPr>
            <sz val="9"/>
            <rFont val="宋体"/>
            <charset val="0"/>
          </rPr>
          <t xml:space="preserve">
1001390 8/17 350pcs</t>
        </r>
      </text>
    </comment>
    <comment ref="AL1941" authorId="2">
      <text>
        <r>
          <rPr>
            <b/>
            <sz val="9"/>
            <rFont val="宋体"/>
            <charset val="0"/>
          </rPr>
          <t>石玉珍:</t>
        </r>
        <r>
          <rPr>
            <sz val="9"/>
            <rFont val="宋体"/>
            <charset val="0"/>
          </rPr>
          <t xml:space="preserve">
7/16 进口商贴纸 350pcs</t>
        </r>
        <r>
          <rPr>
            <b/>
            <sz val="9"/>
            <rFont val="宋体"/>
            <charset val="0"/>
          </rPr>
          <t xml:space="preserve">
石玉珍:</t>
        </r>
        <r>
          <rPr>
            <sz val="9"/>
            <rFont val="宋体"/>
            <charset val="0"/>
          </rPr>
          <t xml:space="preserve">
家乐福外箱贴纸 7/31 14pcs</t>
        </r>
      </text>
    </comment>
    <comment ref="AI1942" authorId="2">
      <text>
        <r>
          <rPr>
            <b/>
            <sz val="9"/>
            <rFont val="宋体"/>
            <charset val="0"/>
          </rPr>
          <t>石玉珍:</t>
        </r>
        <r>
          <rPr>
            <sz val="9"/>
            <rFont val="宋体"/>
            <charset val="0"/>
          </rPr>
          <t xml:space="preserve">
1001415 8/14 2000pcs</t>
        </r>
      </text>
    </comment>
    <comment ref="AL1943" authorId="2">
      <text>
        <r>
          <rPr>
            <b/>
            <sz val="9"/>
            <rFont val="宋体"/>
            <charset val="0"/>
          </rPr>
          <t>石玉珍:</t>
        </r>
        <r>
          <rPr>
            <sz val="9"/>
            <rFont val="宋体"/>
            <charset val="0"/>
          </rPr>
          <t xml:space="preserve">
7/23 西班牙环保标贴纸 4550pcs</t>
        </r>
        <r>
          <rPr>
            <b/>
            <sz val="9"/>
            <rFont val="宋体"/>
            <charset val="0"/>
          </rPr>
          <t xml:space="preserve">
石玉珍:</t>
        </r>
        <r>
          <rPr>
            <sz val="9"/>
            <rFont val="宋体"/>
            <charset val="0"/>
          </rPr>
          <t xml:space="preserve">
客供外箱条码贴纸 8/10 91pcs</t>
        </r>
        <r>
          <rPr>
            <b/>
            <sz val="9"/>
            <rFont val="宋体"/>
            <charset val="0"/>
          </rPr>
          <t xml:space="preserve">
石玉珍:</t>
        </r>
        <r>
          <rPr>
            <sz val="9"/>
            <rFont val="宋体"/>
            <charset val="0"/>
          </rPr>
          <t xml:space="preserve">
客供RFID贴纸 8/11 4550pcs</t>
        </r>
      </text>
    </comment>
    <comment ref="AL1944" authorId="2">
      <text>
        <r>
          <rPr>
            <b/>
            <sz val="9"/>
            <rFont val="宋体"/>
            <charset val="0"/>
          </rPr>
          <t>石玉珍:</t>
        </r>
        <r>
          <rPr>
            <sz val="9"/>
            <rFont val="宋体"/>
            <charset val="0"/>
          </rPr>
          <t xml:space="preserve">
7/23 EAN条码贴纸 2250pcs</t>
        </r>
        <r>
          <rPr>
            <b/>
            <sz val="9"/>
            <rFont val="宋体"/>
            <charset val="0"/>
          </rPr>
          <t xml:space="preserve">
石玉珍:</t>
        </r>
        <r>
          <rPr>
            <sz val="9"/>
            <rFont val="宋体"/>
            <charset val="0"/>
          </rPr>
          <t xml:space="preserve">
空白贴纸 2250*2pcs</t>
        </r>
        <r>
          <rPr>
            <b/>
            <sz val="9"/>
            <rFont val="宋体"/>
            <charset val="0"/>
          </rPr>
          <t xml:space="preserve">
石玉珍:</t>
        </r>
        <r>
          <rPr>
            <sz val="9"/>
            <rFont val="宋体"/>
            <charset val="0"/>
          </rPr>
          <t xml:space="preserve">
客供外箱条码贴纸 8/10 375pcs</t>
        </r>
        <r>
          <rPr>
            <b/>
            <sz val="9"/>
            <rFont val="宋体"/>
            <charset val="0"/>
          </rPr>
          <t xml:space="preserve">
石玉珍:</t>
        </r>
        <r>
          <rPr>
            <sz val="9"/>
            <rFont val="宋体"/>
            <charset val="0"/>
          </rPr>
          <t xml:space="preserve">
客供RFID贴纸 8/11 2250pcs</t>
        </r>
      </text>
    </comment>
    <comment ref="AL1945" authorId="2">
      <text>
        <r>
          <rPr>
            <b/>
            <sz val="9"/>
            <rFont val="宋体"/>
            <charset val="0"/>
          </rPr>
          <t>石玉珍:</t>
        </r>
        <r>
          <rPr>
            <sz val="9"/>
            <rFont val="宋体"/>
            <charset val="0"/>
          </rPr>
          <t xml:space="preserve">
7/23 西班牙环保标贴纸 1500pcs</t>
        </r>
        <r>
          <rPr>
            <b/>
            <sz val="9"/>
            <rFont val="宋体"/>
            <charset val="0"/>
          </rPr>
          <t xml:space="preserve">
石玉珍:</t>
        </r>
        <r>
          <rPr>
            <sz val="9"/>
            <rFont val="宋体"/>
            <charset val="0"/>
          </rPr>
          <t xml:space="preserve">
客供外箱条码贴纸 8/10 30pcs</t>
        </r>
        <r>
          <rPr>
            <b/>
            <sz val="9"/>
            <rFont val="宋体"/>
            <charset val="0"/>
          </rPr>
          <t xml:space="preserve">
石玉珍:</t>
        </r>
        <r>
          <rPr>
            <sz val="9"/>
            <rFont val="宋体"/>
            <charset val="0"/>
          </rPr>
          <t xml:space="preserve">
客供RFID贴纸 8/11 1500pcs</t>
        </r>
      </text>
    </comment>
    <comment ref="AL1946" authorId="2">
      <text>
        <r>
          <rPr>
            <b/>
            <sz val="9"/>
            <rFont val="宋体"/>
            <charset val="0"/>
          </rPr>
          <t>石玉珍:</t>
        </r>
        <r>
          <rPr>
            <sz val="9"/>
            <rFont val="宋体"/>
            <charset val="0"/>
          </rPr>
          <t xml:space="preserve">
7/23 EAN条码贴纸 750pcs</t>
        </r>
        <r>
          <rPr>
            <b/>
            <sz val="9"/>
            <rFont val="宋体"/>
            <charset val="0"/>
          </rPr>
          <t xml:space="preserve">
石玉珍:</t>
        </r>
        <r>
          <rPr>
            <sz val="9"/>
            <rFont val="宋体"/>
            <charset val="0"/>
          </rPr>
          <t xml:space="preserve">
空白贴纸 750*2pcs</t>
        </r>
        <r>
          <rPr>
            <b/>
            <sz val="9"/>
            <rFont val="宋体"/>
            <charset val="0"/>
          </rPr>
          <t xml:space="preserve">
石玉珍:</t>
        </r>
        <r>
          <rPr>
            <sz val="9"/>
            <rFont val="宋体"/>
            <charset val="0"/>
          </rPr>
          <t xml:space="preserve">
客供外箱条码贴纸 8/10 125pcs</t>
        </r>
        <r>
          <rPr>
            <b/>
            <sz val="9"/>
            <rFont val="宋体"/>
            <charset val="0"/>
          </rPr>
          <t xml:space="preserve">
石玉珍:</t>
        </r>
        <r>
          <rPr>
            <sz val="9"/>
            <rFont val="宋体"/>
            <charset val="0"/>
          </rPr>
          <t xml:space="preserve">
客供RFID贴纸 8/11 750pcs</t>
        </r>
      </text>
    </comment>
    <comment ref="AI1947" authorId="2">
      <text>
        <r>
          <rPr>
            <b/>
            <sz val="9"/>
            <rFont val="宋体"/>
            <charset val="0"/>
          </rPr>
          <t>石玉珍:</t>
        </r>
        <r>
          <rPr>
            <sz val="9"/>
            <rFont val="宋体"/>
            <charset val="0"/>
          </rPr>
          <t xml:space="preserve">
1000485 8/14 840pcs</t>
        </r>
      </text>
    </comment>
    <comment ref="AL1947" authorId="2">
      <text>
        <r>
          <rPr>
            <b/>
            <sz val="9"/>
            <rFont val="宋体"/>
            <charset val="0"/>
          </rPr>
          <t>石玉珍:</t>
        </r>
        <r>
          <rPr>
            <sz val="9"/>
            <rFont val="宋体"/>
            <charset val="0"/>
          </rPr>
          <t xml:space="preserve">
7/3  客供RFID贴纸  840pcs</t>
        </r>
      </text>
    </comment>
    <comment ref="AI1948" authorId="2">
      <text>
        <r>
          <rPr>
            <b/>
            <sz val="9"/>
            <rFont val="宋体"/>
            <charset val="0"/>
          </rPr>
          <t>石玉珍:</t>
        </r>
        <r>
          <rPr>
            <sz val="9"/>
            <rFont val="宋体"/>
            <charset val="0"/>
          </rPr>
          <t xml:space="preserve">
1001395 8/14 996pcs </t>
        </r>
      </text>
    </comment>
    <comment ref="AL1948" authorId="0">
      <text>
        <r>
          <rPr>
            <sz val="9"/>
            <rFont val="宋体"/>
            <charset val="0"/>
          </rPr>
          <t xml:space="preserve">Administrator:
5/22 空白贴纸 订单数*2pcs
</t>
        </r>
        <r>
          <rPr>
            <b/>
            <sz val="9"/>
            <rFont val="宋体"/>
            <charset val="0"/>
          </rPr>
          <t xml:space="preserve">
石玉珍:</t>
        </r>
        <r>
          <rPr>
            <sz val="9"/>
            <rFont val="宋体"/>
            <charset val="0"/>
          </rPr>
          <t xml:space="preserve">
7/9 客供价格贴纸 996pcs</t>
        </r>
      </text>
    </comment>
    <comment ref="AI1949" authorId="2">
      <text>
        <r>
          <rPr>
            <b/>
            <sz val="9"/>
            <rFont val="宋体"/>
            <charset val="0"/>
          </rPr>
          <t>石玉珍:</t>
        </r>
        <r>
          <rPr>
            <sz val="9"/>
            <rFont val="宋体"/>
            <charset val="0"/>
          </rPr>
          <t xml:space="preserve">
1001395 8/14 1200pcs </t>
        </r>
      </text>
    </comment>
    <comment ref="AL1949" authorId="0">
      <text>
        <r>
          <rPr>
            <sz val="9"/>
            <rFont val="宋体"/>
            <charset val="0"/>
          </rPr>
          <t xml:space="preserve">Administrator:
5/22 空白贴纸 订单数*2pcs
</t>
        </r>
        <r>
          <rPr>
            <b/>
            <sz val="9"/>
            <rFont val="宋体"/>
            <charset val="0"/>
          </rPr>
          <t xml:space="preserve">
石玉珍:</t>
        </r>
        <r>
          <rPr>
            <sz val="9"/>
            <rFont val="宋体"/>
            <charset val="0"/>
          </rPr>
          <t xml:space="preserve">
7/11 客供价格贴纸 1200pcs.</t>
        </r>
      </text>
    </comment>
    <comment ref="AL1950" authorId="2">
      <text>
        <r>
          <rPr>
            <b/>
            <sz val="9"/>
            <rFont val="宋体"/>
            <charset val="0"/>
          </rPr>
          <t>石玉珍:</t>
        </r>
        <r>
          <rPr>
            <sz val="9"/>
            <rFont val="宋体"/>
            <charset val="0"/>
          </rPr>
          <t xml:space="preserve">
进口商贴纸 7/25 455pcs</t>
        </r>
        <r>
          <rPr>
            <b/>
            <sz val="9"/>
            <rFont val="宋体"/>
            <charset val="0"/>
          </rPr>
          <t xml:space="preserve">
石玉珍:</t>
        </r>
        <r>
          <rPr>
            <sz val="9"/>
            <rFont val="宋体"/>
            <charset val="0"/>
          </rPr>
          <t xml:space="preserve">
进口商贴纸 8/14 455pcs</t>
        </r>
      </text>
    </comment>
    <comment ref="AI1951" authorId="2">
      <text>
        <r>
          <rPr>
            <b/>
            <sz val="9"/>
            <rFont val="宋体"/>
            <charset val="0"/>
          </rPr>
          <t>石玉珍:</t>
        </r>
        <r>
          <rPr>
            <sz val="9"/>
            <rFont val="宋体"/>
            <charset val="0"/>
          </rPr>
          <t xml:space="preserve">
1001395 8/14 1320pcs</t>
        </r>
      </text>
    </comment>
    <comment ref="AI1956" authorId="2">
      <text>
        <r>
          <rPr>
            <b/>
            <sz val="9"/>
            <rFont val="宋体"/>
            <charset val="0"/>
          </rPr>
          <t>石玉珍:</t>
        </r>
        <r>
          <rPr>
            <sz val="9"/>
            <rFont val="宋体"/>
            <charset val="0"/>
          </rPr>
          <t xml:space="preserve">
1001415 8/14 2100pcs</t>
        </r>
      </text>
    </comment>
    <comment ref="AL1956" authorId="2">
      <text>
        <r>
          <rPr>
            <b/>
            <sz val="9"/>
            <rFont val="宋体"/>
            <charset val="0"/>
          </rPr>
          <t>石玉珍:</t>
        </r>
        <r>
          <rPr>
            <sz val="9"/>
            <rFont val="宋体"/>
            <charset val="0"/>
          </rPr>
          <t xml:space="preserve">
进口商贴纸(含西班牙环保标 7/29 2100pcs</t>
        </r>
        <r>
          <rPr>
            <b/>
            <sz val="9"/>
            <rFont val="宋体"/>
            <charset val="0"/>
          </rPr>
          <t xml:space="preserve">
石玉珍:</t>
        </r>
        <r>
          <rPr>
            <sz val="9"/>
            <rFont val="宋体"/>
            <charset val="0"/>
          </rPr>
          <t xml:space="preserve">
展示架贴纸含EAN条码 70pcs</t>
        </r>
      </text>
    </comment>
    <comment ref="AI1957" authorId="2">
      <text>
        <r>
          <rPr>
            <b/>
            <sz val="9"/>
            <rFont val="宋体"/>
            <charset val="0"/>
          </rPr>
          <t>石玉珍:</t>
        </r>
        <r>
          <rPr>
            <sz val="9"/>
            <rFont val="宋体"/>
            <charset val="0"/>
          </rPr>
          <t xml:space="preserve">
1001415 8/14 5200pcs</t>
        </r>
      </text>
    </comment>
    <comment ref="AL1957" authorId="2">
      <text>
        <r>
          <rPr>
            <b/>
            <sz val="9"/>
            <rFont val="宋体"/>
            <charset val="0"/>
          </rPr>
          <t>石玉珍:</t>
        </r>
        <r>
          <rPr>
            <sz val="9"/>
            <rFont val="宋体"/>
            <charset val="0"/>
          </rPr>
          <t xml:space="preserve">
进口商贴纸(含西班牙环保标) 7/29 5200pcs</t>
        </r>
        <r>
          <rPr>
            <b/>
            <sz val="9"/>
            <rFont val="宋体"/>
            <charset val="0"/>
          </rPr>
          <t xml:space="preserve">
石玉珍:</t>
        </r>
        <r>
          <rPr>
            <sz val="9"/>
            <rFont val="宋体"/>
            <charset val="0"/>
          </rPr>
          <t xml:space="preserve">
PDQ贴纸含EAN条码 400pcs</t>
        </r>
      </text>
    </comment>
    <comment ref="AI1958" authorId="2">
      <text>
        <r>
          <rPr>
            <b/>
            <sz val="9"/>
            <rFont val="宋体"/>
            <charset val="0"/>
          </rPr>
          <t>石玉珍:</t>
        </r>
        <r>
          <rPr>
            <sz val="9"/>
            <rFont val="宋体"/>
            <charset val="0"/>
          </rPr>
          <t xml:space="preserve">
1001392 8/14 4628pcs</t>
        </r>
        <r>
          <rPr>
            <b/>
            <sz val="9"/>
            <rFont val="宋体"/>
            <charset val="0"/>
          </rPr>
          <t xml:space="preserve">
石玉珍:</t>
        </r>
        <r>
          <rPr>
            <sz val="9"/>
            <rFont val="宋体"/>
            <charset val="0"/>
          </rPr>
          <t xml:space="preserve">
1001415 8/14 5382pcs</t>
        </r>
      </text>
    </comment>
    <comment ref="AL1958" authorId="2">
      <text>
        <r>
          <rPr>
            <b/>
            <sz val="9"/>
            <rFont val="宋体"/>
            <charset val="0"/>
          </rPr>
          <t>石玉珍:</t>
        </r>
        <r>
          <rPr>
            <sz val="9"/>
            <rFont val="宋体"/>
            <charset val="0"/>
          </rPr>
          <t xml:space="preserve">
7/25 UPC条码贴纸 10010pcs</t>
        </r>
        <r>
          <rPr>
            <b/>
            <sz val="9"/>
            <rFont val="宋体"/>
            <charset val="0"/>
          </rPr>
          <t xml:space="preserve">
石玉珍:</t>
        </r>
        <r>
          <rPr>
            <sz val="9"/>
            <rFont val="宋体"/>
            <charset val="0"/>
          </rPr>
          <t xml:space="preserve">
1-韩语贴纸 10010pcs
2-韩语贴纸 10010pcs</t>
        </r>
      </text>
    </comment>
    <comment ref="AI1959" authorId="2">
      <text>
        <r>
          <rPr>
            <b/>
            <sz val="9"/>
            <rFont val="宋体"/>
            <charset val="0"/>
          </rPr>
          <t>石玉珍:</t>
        </r>
        <r>
          <rPr>
            <sz val="9"/>
            <rFont val="宋体"/>
            <charset val="0"/>
          </rPr>
          <t xml:space="preserve">
1001408 8/14 1500pcs</t>
        </r>
      </text>
    </comment>
    <comment ref="AL1959" authorId="2">
      <text>
        <r>
          <rPr>
            <b/>
            <sz val="9"/>
            <rFont val="宋体"/>
            <charset val="0"/>
          </rPr>
          <t>石玉珍:</t>
        </r>
        <r>
          <rPr>
            <sz val="9"/>
            <rFont val="宋体"/>
            <charset val="0"/>
          </rPr>
          <t xml:space="preserve">
PDQ+包装进口商贴纸 7/29 1500pcs
UPC条码贴纸 1500pcs</t>
        </r>
      </text>
    </comment>
    <comment ref="AI1960" authorId="2">
      <text>
        <r>
          <rPr>
            <b/>
            <sz val="9"/>
            <rFont val="宋体"/>
            <charset val="0"/>
          </rPr>
          <t>石玉珍:</t>
        </r>
        <r>
          <rPr>
            <sz val="9"/>
            <rFont val="宋体"/>
            <charset val="0"/>
          </rPr>
          <t xml:space="preserve">
1001395 8/14 4500pcs</t>
        </r>
      </text>
    </comment>
    <comment ref="AL1960" authorId="2">
      <text>
        <r>
          <rPr>
            <b/>
            <sz val="9"/>
            <rFont val="宋体"/>
            <charset val="0"/>
          </rPr>
          <t>石玉珍:</t>
        </r>
        <r>
          <rPr>
            <sz val="9"/>
            <rFont val="宋体"/>
            <charset val="0"/>
          </rPr>
          <t xml:space="preserve">
7/31 挪威语警语贴纸 4500pcs</t>
        </r>
        <r>
          <rPr>
            <b/>
            <sz val="9"/>
            <rFont val="宋体"/>
            <charset val="0"/>
          </rPr>
          <t xml:space="preserve">
石玉珍:</t>
        </r>
        <r>
          <rPr>
            <sz val="9"/>
            <rFont val="宋体"/>
            <charset val="0"/>
          </rPr>
          <t xml:space="preserve">
PDQ地址贴纸 180pcs</t>
        </r>
      </text>
    </comment>
    <comment ref="AL1961" authorId="2">
      <text>
        <r>
          <rPr>
            <b/>
            <sz val="9"/>
            <rFont val="宋体"/>
            <charset val="0"/>
          </rPr>
          <t>石玉珍:</t>
        </r>
        <r>
          <rPr>
            <sz val="9"/>
            <rFont val="宋体"/>
            <charset val="0"/>
          </rPr>
          <t xml:space="preserve">
7/28 客供价格贴纸 832pcs</t>
        </r>
      </text>
    </comment>
    <comment ref="AL1962" authorId="2">
      <text>
        <r>
          <rPr>
            <b/>
            <sz val="9"/>
            <rFont val="宋体"/>
            <charset val="0"/>
          </rPr>
          <t>石玉珍:</t>
        </r>
        <r>
          <rPr>
            <sz val="9"/>
            <rFont val="宋体"/>
            <charset val="0"/>
          </rPr>
          <t xml:space="preserve">
7/28 客供价格贴纸 572pcs</t>
        </r>
      </text>
    </comment>
    <comment ref="AQ1963" authorId="2">
      <text>
        <r>
          <rPr>
            <b/>
            <sz val="9"/>
            <rFont val="宋体"/>
            <charset val="0"/>
          </rPr>
          <t>陈炎:</t>
        </r>
        <r>
          <rPr>
            <sz val="9"/>
            <rFont val="宋体"/>
            <charset val="0"/>
          </rPr>
          <t xml:space="preserve">
新客版资料</t>
        </r>
      </text>
    </comment>
    <comment ref="AS1963" authorId="2">
      <text>
        <r>
          <rPr>
            <b/>
            <sz val="9"/>
            <rFont val="宋体"/>
            <charset val="0"/>
          </rPr>
          <t>陈炎:</t>
        </r>
        <r>
          <rPr>
            <sz val="9"/>
            <rFont val="宋体"/>
            <charset val="0"/>
          </rPr>
          <t xml:space="preserve">
客版收缩膜</t>
        </r>
      </text>
    </comment>
    <comment ref="AL1964" authorId="2">
      <text>
        <r>
          <rPr>
            <b/>
            <sz val="9"/>
            <rFont val="宋体"/>
            <charset val="0"/>
          </rPr>
          <t>石玉珍:</t>
        </r>
        <r>
          <rPr>
            <sz val="9"/>
            <rFont val="宋体"/>
            <charset val="0"/>
          </rPr>
          <t xml:space="preserve">
法国sorting labe贴纸 14000pcs 7/30 </t>
        </r>
        <r>
          <rPr>
            <b/>
            <sz val="9"/>
            <rFont val="宋体"/>
            <charset val="0"/>
          </rPr>
          <t xml:space="preserve">
石玉珍:</t>
        </r>
        <r>
          <rPr>
            <sz val="9"/>
            <rFont val="宋体"/>
            <charset val="0"/>
          </rPr>
          <t xml:space="preserve">
zuru地址贴纸 8/6 560pcs</t>
        </r>
      </text>
    </comment>
    <comment ref="AL1965" authorId="2">
      <text>
        <r>
          <rPr>
            <b/>
            <sz val="9"/>
            <rFont val="宋体"/>
            <charset val="0"/>
          </rPr>
          <t>石玉珍:</t>
        </r>
        <r>
          <rPr>
            <sz val="9"/>
            <rFont val="宋体"/>
            <charset val="0"/>
          </rPr>
          <t xml:space="preserve">
7/7 环保标贴纸 3000pcs</t>
        </r>
      </text>
    </comment>
    <comment ref="AL1966" authorId="2">
      <text>
        <r>
          <rPr>
            <b/>
            <sz val="9"/>
            <rFont val="宋体"/>
            <charset val="0"/>
          </rPr>
          <t>石玉珍:</t>
        </r>
        <r>
          <rPr>
            <sz val="9"/>
            <rFont val="宋体"/>
            <charset val="0"/>
          </rPr>
          <t xml:space="preserve">
7/30 通用进口商贴纸 854pcs</t>
        </r>
        <r>
          <rPr>
            <b/>
            <sz val="9"/>
            <rFont val="宋体"/>
            <charset val="0"/>
          </rPr>
          <t xml:space="preserve">
石玉珍:</t>
        </r>
        <r>
          <rPr>
            <sz val="9"/>
            <rFont val="宋体"/>
            <charset val="0"/>
          </rPr>
          <t xml:space="preserve">
UPC条码贴纸3 854pcs</t>
        </r>
      </text>
    </comment>
    <comment ref="AL1967" authorId="2">
      <text>
        <r>
          <rPr>
            <b/>
            <sz val="9"/>
            <rFont val="宋体"/>
            <charset val="0"/>
          </rPr>
          <t>石玉珍:</t>
        </r>
        <r>
          <rPr>
            <sz val="9"/>
            <rFont val="宋体"/>
            <charset val="0"/>
          </rPr>
          <t xml:space="preserve">
进口商贴纸(含波兰语警 7/29 500pcs
波兰语收藏指南贴纸 500pcs</t>
        </r>
        <r>
          <rPr>
            <b/>
            <sz val="9"/>
            <rFont val="宋体"/>
            <charset val="0"/>
          </rPr>
          <t xml:space="preserve">
石玉珍:</t>
        </r>
        <r>
          <rPr>
            <sz val="9"/>
            <rFont val="宋体"/>
            <charset val="0"/>
          </rPr>
          <t xml:space="preserve">
PDQ欧盟地址贴纸 8/11 20pcs</t>
        </r>
      </text>
    </comment>
    <comment ref="AL1968" authorId="2">
      <text>
        <r>
          <rPr>
            <b/>
            <sz val="9"/>
            <rFont val="宋体"/>
            <charset val="0"/>
          </rPr>
          <t>石玉珍:</t>
        </r>
        <r>
          <rPr>
            <sz val="9"/>
            <rFont val="宋体"/>
            <charset val="0"/>
          </rPr>
          <t xml:space="preserve">
7/7 EAN贴纸 1500pcs</t>
        </r>
        <r>
          <rPr>
            <b/>
            <sz val="9"/>
            <rFont val="宋体"/>
            <charset val="0"/>
          </rPr>
          <t xml:space="preserve">
石玉珍:</t>
        </r>
        <r>
          <rPr>
            <sz val="9"/>
            <rFont val="宋体"/>
            <charset val="0"/>
          </rPr>
          <t xml:space="preserve">
7/7 空白贴纸 3000pcs</t>
        </r>
      </text>
    </comment>
    <comment ref="AL1969" authorId="2">
      <text>
        <r>
          <rPr>
            <b/>
            <sz val="9"/>
            <rFont val="宋体"/>
            <charset val="0"/>
          </rPr>
          <t>石玉珍:</t>
        </r>
        <r>
          <rPr>
            <sz val="9"/>
            <rFont val="宋体"/>
            <charset val="0"/>
          </rPr>
          <t xml:space="preserve">
收缩膜日语警语贴纸 7/30 1500pcs</t>
        </r>
        <r>
          <rPr>
            <b/>
            <sz val="9"/>
            <rFont val="宋体"/>
            <charset val="0"/>
          </rPr>
          <t xml:space="preserve">
石玉珍:</t>
        </r>
        <r>
          <rPr>
            <sz val="9"/>
            <rFont val="宋体"/>
            <charset val="0"/>
          </rPr>
          <t xml:space="preserve">
说明书日语警告贴纸 1500pcs</t>
        </r>
      </text>
    </comment>
    <comment ref="AL1970" authorId="2">
      <text>
        <r>
          <rPr>
            <b/>
            <sz val="9"/>
            <rFont val="宋体"/>
            <charset val="0"/>
          </rPr>
          <t>石玉珍:</t>
        </r>
        <r>
          <rPr>
            <sz val="9"/>
            <rFont val="宋体"/>
            <charset val="0"/>
          </rPr>
          <t xml:space="preserve">
WIC 贴纸 7/29 468pcs
PDQ折页 78pcs</t>
        </r>
      </text>
    </comment>
    <comment ref="AL1971" authorId="2">
      <text>
        <r>
          <rPr>
            <b/>
            <sz val="9"/>
            <rFont val="宋体"/>
            <charset val="0"/>
          </rPr>
          <t>石玉珍:</t>
        </r>
        <r>
          <rPr>
            <sz val="9"/>
            <rFont val="宋体"/>
            <charset val="0"/>
          </rPr>
          <t xml:space="preserve">
WIC 贴纸 7/29 744pcs
PDQ折页 124pcs</t>
        </r>
      </text>
    </comment>
    <comment ref="AL1972" authorId="2">
      <text>
        <r>
          <rPr>
            <b/>
            <sz val="9"/>
            <rFont val="宋体"/>
            <charset val="0"/>
          </rPr>
          <t>石玉珍:</t>
        </r>
        <r>
          <rPr>
            <sz val="9"/>
            <rFont val="宋体"/>
            <charset val="0"/>
          </rPr>
          <t xml:space="preserve">
WIC 贴纸 7/29 336pcs
PDQ折页 56pcs</t>
        </r>
      </text>
    </comment>
    <comment ref="AL1973" authorId="2">
      <text>
        <r>
          <rPr>
            <b/>
            <sz val="9"/>
            <rFont val="宋体"/>
            <charset val="0"/>
          </rPr>
          <t>石玉珍:</t>
        </r>
        <r>
          <rPr>
            <sz val="9"/>
            <rFont val="宋体"/>
            <charset val="0"/>
          </rPr>
          <t xml:space="preserve">
WIC 贴纸 7/29 72pcs
PDQ折页 12pcs</t>
        </r>
      </text>
    </comment>
    <comment ref="AL1974" authorId="2">
      <text>
        <r>
          <rPr>
            <b/>
            <sz val="9"/>
            <rFont val="宋体"/>
            <charset val="0"/>
          </rPr>
          <t>石玉珍:</t>
        </r>
        <r>
          <rPr>
            <sz val="9"/>
            <rFont val="宋体"/>
            <charset val="0"/>
          </rPr>
          <t xml:space="preserve">
WIC 贴纸 7/29 438pcs
PDQ折页 73pcs</t>
        </r>
      </text>
    </comment>
    <comment ref="AL1975" authorId="0">
      <text>
        <r>
          <rPr>
            <sz val="9"/>
            <rFont val="宋体"/>
            <charset val="0"/>
          </rPr>
          <t xml:space="preserve">Administrator:
5/22 空白贴纸 订单数*2pcs
</t>
        </r>
        <r>
          <rPr>
            <b/>
            <sz val="9"/>
            <rFont val="宋体"/>
            <charset val="0"/>
          </rPr>
          <t xml:space="preserve">
石玉珍:</t>
        </r>
        <r>
          <rPr>
            <sz val="9"/>
            <rFont val="宋体"/>
            <charset val="0"/>
          </rPr>
          <t xml:space="preserve">
7/9 客供价格贴纸 2004pcs</t>
        </r>
      </text>
    </comment>
    <comment ref="AL1976" authorId="0">
      <text>
        <r>
          <rPr>
            <sz val="9"/>
            <rFont val="宋体"/>
            <charset val="0"/>
          </rPr>
          <t xml:space="preserve">Administrator:
5/22 空白贴纸 订单数*2pcs
</t>
        </r>
        <r>
          <rPr>
            <b/>
            <sz val="9"/>
            <rFont val="宋体"/>
            <charset val="0"/>
          </rPr>
          <t xml:space="preserve">
石玉珍:</t>
        </r>
        <r>
          <rPr>
            <sz val="9"/>
            <rFont val="宋体"/>
            <charset val="0"/>
          </rPr>
          <t xml:space="preserve">
7/11 客供价格贴纸  2196pcs.</t>
        </r>
      </text>
    </comment>
    <comment ref="AL1977" authorId="2">
      <text>
        <r>
          <rPr>
            <b/>
            <sz val="9"/>
            <rFont val="宋体"/>
            <charset val="0"/>
          </rPr>
          <t>石玉珍:</t>
        </r>
        <r>
          <rPr>
            <sz val="9"/>
            <rFont val="宋体"/>
            <charset val="0"/>
          </rPr>
          <t xml:space="preserve">
7/9 客供价格贴纸 54000pcs</t>
        </r>
      </text>
    </comment>
    <comment ref="AL1978" authorId="2">
      <text>
        <r>
          <rPr>
            <b/>
            <sz val="9"/>
            <rFont val="宋体"/>
            <charset val="0"/>
          </rPr>
          <t>石玉珍:</t>
        </r>
        <r>
          <rPr>
            <sz val="9"/>
            <rFont val="宋体"/>
            <charset val="0"/>
          </rPr>
          <t xml:space="preserve">
7/9 客供价格贴纸 5004pcs</t>
        </r>
      </text>
    </comment>
    <comment ref="AL1979" authorId="2">
      <text>
        <r>
          <rPr>
            <b/>
            <sz val="9"/>
            <rFont val="宋体"/>
            <charset val="0"/>
          </rPr>
          <t>石玉珍:</t>
        </r>
        <r>
          <rPr>
            <sz val="9"/>
            <rFont val="宋体"/>
            <charset val="0"/>
          </rPr>
          <t xml:space="preserve">
7/25 客供RID贴纸 9600pcs</t>
        </r>
      </text>
    </comment>
    <comment ref="AL1980" authorId="2">
      <text>
        <r>
          <rPr>
            <b/>
            <sz val="9"/>
            <rFont val="宋体"/>
            <charset val="0"/>
          </rPr>
          <t>石玉珍:</t>
        </r>
        <r>
          <rPr>
            <sz val="9"/>
            <rFont val="宋体"/>
            <charset val="0"/>
          </rPr>
          <t xml:space="preserve">
7/25 客供RID贴纸 7680pcs</t>
        </r>
      </text>
    </comment>
    <comment ref="AL1981" authorId="2">
      <text>
        <r>
          <rPr>
            <b/>
            <sz val="9"/>
            <rFont val="宋体"/>
            <charset val="0"/>
          </rPr>
          <t>石玉珍:</t>
        </r>
        <r>
          <rPr>
            <sz val="9"/>
            <rFont val="宋体"/>
            <charset val="0"/>
          </rPr>
          <t xml:space="preserve">
7/25 客供RID贴纸 12000pcs</t>
        </r>
      </text>
    </comment>
    <comment ref="AL1982" authorId="2">
      <text>
        <r>
          <rPr>
            <b/>
            <sz val="9"/>
            <rFont val="宋体"/>
            <charset val="0"/>
          </rPr>
          <t>石玉珍:</t>
        </r>
        <r>
          <rPr>
            <sz val="9"/>
            <rFont val="宋体"/>
            <charset val="0"/>
          </rPr>
          <t xml:space="preserve">
7/25 客供RID贴纸 9120pcs</t>
        </r>
      </text>
    </comment>
    <comment ref="AL1983" authorId="2">
      <text>
        <r>
          <rPr>
            <b/>
            <sz val="9"/>
            <rFont val="宋体"/>
            <charset val="0"/>
          </rPr>
          <t>石玉珍:</t>
        </r>
        <r>
          <rPr>
            <sz val="9"/>
            <rFont val="宋体"/>
            <charset val="0"/>
          </rPr>
          <t xml:space="preserve">
7/25 客供RID贴纸 6240pcs</t>
        </r>
      </text>
    </comment>
    <comment ref="AL1984" authorId="2">
      <text>
        <r>
          <rPr>
            <b/>
            <sz val="9"/>
            <rFont val="宋体"/>
            <charset val="0"/>
          </rPr>
          <t>石玉珍:</t>
        </r>
        <r>
          <rPr>
            <sz val="9"/>
            <rFont val="宋体"/>
            <charset val="0"/>
          </rPr>
          <t xml:space="preserve">
8/3 价格贴纸 45500pcs
外箱条码贴纸 170pcs</t>
        </r>
      </text>
    </comment>
    <comment ref="AI1986" authorId="2">
      <text>
        <r>
          <rPr>
            <b/>
            <sz val="9"/>
            <rFont val="宋体"/>
            <charset val="0"/>
          </rPr>
          <t>石玉珍:</t>
        </r>
        <r>
          <rPr>
            <sz val="9"/>
            <rFont val="宋体"/>
            <charset val="0"/>
          </rPr>
          <t xml:space="preserve">
1000485 8/14 1440pcs</t>
        </r>
      </text>
    </comment>
    <comment ref="AL1986" authorId="2">
      <text>
        <r>
          <rPr>
            <b/>
            <sz val="9"/>
            <rFont val="宋体"/>
            <charset val="0"/>
          </rPr>
          <t>石玉珍:</t>
        </r>
        <r>
          <rPr>
            <sz val="9"/>
            <rFont val="宋体"/>
            <charset val="0"/>
          </rPr>
          <t xml:space="preserve">
7/3  客供RFID贴纸  1440pcs</t>
        </r>
      </text>
    </comment>
    <comment ref="AL1987" authorId="2">
      <text>
        <r>
          <rPr>
            <b/>
            <sz val="9"/>
            <rFont val="宋体"/>
            <charset val="0"/>
          </rPr>
          <t>石玉珍:</t>
        </r>
        <r>
          <rPr>
            <sz val="9"/>
            <rFont val="宋体"/>
            <charset val="0"/>
          </rPr>
          <t xml:space="preserve">
6/8 客供RID贴纸  11832pcs</t>
        </r>
        <r>
          <rPr>
            <b/>
            <sz val="9"/>
            <rFont val="宋体"/>
            <charset val="0"/>
          </rPr>
          <t xml:space="preserve">
石玉珍:</t>
        </r>
        <r>
          <rPr>
            <sz val="9"/>
            <rFont val="宋体"/>
            <charset val="0"/>
          </rPr>
          <t xml:space="preserve">
7/20 彩色placard贴纸 493*2pcs</t>
        </r>
      </text>
    </comment>
    <comment ref="AI1988" authorId="2">
      <text>
        <r>
          <rPr>
            <b/>
            <sz val="9"/>
            <rFont val="宋体"/>
            <charset val="0"/>
          </rPr>
          <t>石玉珍:</t>
        </r>
        <r>
          <rPr>
            <sz val="9"/>
            <rFont val="宋体"/>
            <charset val="0"/>
          </rPr>
          <t xml:space="preserve">
1000478 8/13 320PCS</t>
        </r>
        <r>
          <rPr>
            <b/>
            <sz val="9"/>
            <rFont val="宋体"/>
            <charset val="0"/>
          </rPr>
          <t xml:space="preserve">
石玉珍:</t>
        </r>
        <r>
          <rPr>
            <sz val="9"/>
            <rFont val="宋体"/>
            <charset val="0"/>
          </rPr>
          <t xml:space="preserve">
1000481 8/14 2880pcs</t>
        </r>
        <r>
          <rPr>
            <b/>
            <sz val="9"/>
            <rFont val="宋体"/>
            <charset val="0"/>
          </rPr>
          <t xml:space="preserve">
石玉珍:</t>
        </r>
        <r>
          <rPr>
            <sz val="9"/>
            <rFont val="宋体"/>
            <charset val="0"/>
          </rPr>
          <t xml:space="preserve">
1000484 8/14 1280pcs</t>
        </r>
        <r>
          <rPr>
            <b/>
            <sz val="9"/>
            <rFont val="宋体"/>
            <charset val="0"/>
          </rPr>
          <t xml:space="preserve">
石玉珍:</t>
        </r>
        <r>
          <rPr>
            <sz val="9"/>
            <rFont val="宋体"/>
            <charset val="0"/>
          </rPr>
          <t xml:space="preserve">
1000487 8/14 960pcs</t>
        </r>
      </text>
    </comment>
    <comment ref="AL1988" authorId="2">
      <text>
        <r>
          <rPr>
            <b/>
            <sz val="9"/>
            <rFont val="宋体"/>
            <charset val="0"/>
          </rPr>
          <t>石玉珍:</t>
        </r>
        <r>
          <rPr>
            <sz val="9"/>
            <rFont val="宋体"/>
            <charset val="0"/>
          </rPr>
          <t xml:space="preserve">
6/8 客供RID贴纸 10296pcs</t>
        </r>
        <r>
          <rPr>
            <b/>
            <sz val="9"/>
            <rFont val="宋体"/>
            <charset val="0"/>
          </rPr>
          <t xml:space="preserve">
石玉珍:</t>
        </r>
        <r>
          <rPr>
            <sz val="9"/>
            <rFont val="宋体"/>
            <charset val="0"/>
          </rPr>
          <t xml:space="preserve">
6/17 补客供RFID贴纸3000pcs</t>
        </r>
        <r>
          <rPr>
            <b/>
            <sz val="9"/>
            <rFont val="宋体"/>
            <charset val="0"/>
          </rPr>
          <t xml:space="preserve">
石玉珍:</t>
        </r>
        <r>
          <rPr>
            <sz val="9"/>
            <rFont val="宋体"/>
            <charset val="0"/>
          </rPr>
          <t xml:space="preserve">
7/20 彩色placard贴纸 429*2pcs</t>
        </r>
      </text>
    </comment>
    <comment ref="AL1989" authorId="2">
      <text>
        <r>
          <rPr>
            <b/>
            <sz val="9"/>
            <rFont val="宋体"/>
            <charset val="0"/>
          </rPr>
          <t>石玉珍:</t>
        </r>
        <r>
          <rPr>
            <sz val="9"/>
            <rFont val="宋体"/>
            <charset val="0"/>
          </rPr>
          <t xml:space="preserve">
8/1 条码贴纸 5200pcs</t>
        </r>
        <r>
          <rPr>
            <b/>
            <sz val="9"/>
            <rFont val="宋体"/>
            <charset val="0"/>
          </rPr>
          <t xml:space="preserve">
石玉珍:</t>
        </r>
        <r>
          <rPr>
            <sz val="9"/>
            <rFont val="宋体"/>
            <charset val="0"/>
          </rPr>
          <t xml:space="preserve">
客供防窜码贴纸1拖13 8/11 413pcs</t>
        </r>
      </text>
    </comment>
    <comment ref="AL1990" authorId="2">
      <text>
        <r>
          <rPr>
            <b/>
            <sz val="9"/>
            <rFont val="宋体"/>
            <charset val="0"/>
          </rPr>
          <t>石玉珍:</t>
        </r>
        <r>
          <rPr>
            <sz val="9"/>
            <rFont val="宋体"/>
            <charset val="0"/>
          </rPr>
          <t xml:space="preserve">
8/1 条码贴纸 13000pcs</t>
        </r>
        <r>
          <rPr>
            <b/>
            <sz val="9"/>
            <rFont val="宋体"/>
            <charset val="0"/>
          </rPr>
          <t xml:space="preserve">
石玉珍:</t>
        </r>
        <r>
          <rPr>
            <sz val="9"/>
            <rFont val="宋体"/>
            <charset val="0"/>
          </rPr>
          <t xml:space="preserve">
客供防窜码贴纸1拖13 8/11 1000pcs</t>
        </r>
      </text>
    </comment>
    <comment ref="AL1991" authorId="2">
      <text>
        <r>
          <rPr>
            <b/>
            <sz val="9"/>
            <rFont val="宋体"/>
            <charset val="0"/>
          </rPr>
          <t>石玉珍:</t>
        </r>
        <r>
          <rPr>
            <sz val="9"/>
            <rFont val="宋体"/>
            <charset val="0"/>
          </rPr>
          <t xml:space="preserve">
法国sorting labe贴纸 7/29 2800pcs</t>
        </r>
      </text>
    </comment>
    <comment ref="AL1992" authorId="2">
      <text>
        <r>
          <rPr>
            <b/>
            <sz val="9"/>
            <rFont val="宋体"/>
            <charset val="0"/>
          </rPr>
          <t>石玉珍:</t>
        </r>
        <r>
          <rPr>
            <sz val="9"/>
            <rFont val="宋体"/>
            <charset val="0"/>
          </rPr>
          <t xml:space="preserve">
法国sorting labe贴纸 7/29 1200pcs </t>
        </r>
      </text>
    </comment>
    <comment ref="AL1993" authorId="2">
      <text>
        <r>
          <rPr>
            <b/>
            <sz val="9"/>
            <rFont val="宋体"/>
            <charset val="0"/>
          </rPr>
          <t>石玉珍:</t>
        </r>
        <r>
          <rPr>
            <sz val="9"/>
            <rFont val="宋体"/>
            <charset val="0"/>
          </rPr>
          <t xml:space="preserve">
8/1 颜色贴纸/空白贴纸 1800/3600pcs</t>
        </r>
      </text>
    </comment>
    <comment ref="AL1994" authorId="2">
      <text>
        <r>
          <rPr>
            <b/>
            <sz val="9"/>
            <rFont val="宋体"/>
            <charset val="0"/>
          </rPr>
          <t>石玉珍:</t>
        </r>
        <r>
          <rPr>
            <sz val="9"/>
            <rFont val="宋体"/>
            <charset val="0"/>
          </rPr>
          <t xml:space="preserve">
7/25 客供RID贴纸 6960pcs</t>
        </r>
      </text>
    </comment>
    <comment ref="AL1995" authorId="2">
      <text>
        <r>
          <rPr>
            <b/>
            <sz val="9"/>
            <rFont val="宋体"/>
            <charset val="0"/>
          </rPr>
          <t>石玉珍:</t>
        </r>
        <r>
          <rPr>
            <sz val="9"/>
            <rFont val="宋体"/>
            <charset val="0"/>
          </rPr>
          <t xml:space="preserve">
7/25 客供RID贴纸 4320pcs</t>
        </r>
      </text>
    </comment>
    <comment ref="AQ1996" authorId="2">
      <text>
        <r>
          <rPr>
            <b/>
            <sz val="9"/>
            <rFont val="宋体"/>
            <charset val="0"/>
          </rPr>
          <t>陈炎:</t>
        </r>
        <r>
          <rPr>
            <sz val="9"/>
            <rFont val="宋体"/>
            <charset val="0"/>
          </rPr>
          <t xml:space="preserve">
新客版资料</t>
        </r>
      </text>
    </comment>
    <comment ref="AS1996" authorId="2">
      <text>
        <r>
          <rPr>
            <b/>
            <sz val="9"/>
            <rFont val="宋体"/>
            <charset val="0"/>
          </rPr>
          <t>陈炎:</t>
        </r>
        <r>
          <rPr>
            <sz val="9"/>
            <rFont val="宋体"/>
            <charset val="0"/>
          </rPr>
          <t xml:space="preserve">
客版收缩膜</t>
        </r>
      </text>
    </comment>
    <comment ref="AL1997" authorId="2">
      <text>
        <r>
          <rPr>
            <b/>
            <sz val="9"/>
            <rFont val="宋体"/>
            <charset val="0"/>
          </rPr>
          <t>石玉珍:</t>
        </r>
        <r>
          <rPr>
            <sz val="9"/>
            <rFont val="宋体"/>
            <charset val="0"/>
          </rPr>
          <t xml:space="preserve">
6/8 客供RID贴纸 6816pcs</t>
        </r>
      </text>
    </comment>
    <comment ref="AL1998" authorId="2">
      <text>
        <r>
          <rPr>
            <b/>
            <sz val="9"/>
            <rFont val="宋体"/>
            <charset val="0"/>
          </rPr>
          <t>石玉珍:</t>
        </r>
        <r>
          <rPr>
            <sz val="9"/>
            <rFont val="宋体"/>
            <charset val="0"/>
          </rPr>
          <t xml:space="preserve">
7/3  客供RFID贴纸  904pcs</t>
        </r>
      </text>
    </comment>
    <comment ref="AL2000" authorId="2">
      <text>
        <r>
          <rPr>
            <b/>
            <sz val="9"/>
            <rFont val="宋体"/>
            <charset val="0"/>
          </rPr>
          <t>石玉珍:</t>
        </r>
        <r>
          <rPr>
            <sz val="9"/>
            <rFont val="宋体"/>
            <charset val="0"/>
          </rPr>
          <t xml:space="preserve">
8/1 警语贴纸 520pcs</t>
        </r>
      </text>
    </comment>
    <comment ref="AL2001" authorId="2">
      <text>
        <r>
          <rPr>
            <b/>
            <sz val="9"/>
            <rFont val="宋体"/>
            <charset val="0"/>
          </rPr>
          <t>石玉珍:</t>
        </r>
        <r>
          <rPr>
            <sz val="9"/>
            <rFont val="宋体"/>
            <charset val="0"/>
          </rPr>
          <t xml:space="preserve">
6/8 客供RID贴纸 10920pcs</t>
        </r>
        <r>
          <rPr>
            <b/>
            <sz val="9"/>
            <rFont val="宋体"/>
            <charset val="0"/>
          </rPr>
          <t xml:space="preserve">
石玉珍:</t>
        </r>
        <r>
          <rPr>
            <sz val="9"/>
            <rFont val="宋体"/>
            <charset val="0"/>
          </rPr>
          <t xml:space="preserve">
7/20 彩色placard贴纸 455*2pcs</t>
        </r>
      </text>
    </comment>
    <comment ref="AL2002" authorId="2">
      <text>
        <r>
          <rPr>
            <b/>
            <sz val="9"/>
            <rFont val="宋体"/>
            <charset val="0"/>
          </rPr>
          <t>石玉珍:</t>
        </r>
        <r>
          <rPr>
            <sz val="9"/>
            <rFont val="宋体"/>
            <charset val="0"/>
          </rPr>
          <t xml:space="preserve">
8/3 PDQ条码贴纸/ZURU地址_PDQ通用贴纸 40pcs</t>
        </r>
        <r>
          <rPr>
            <b/>
            <sz val="9"/>
            <rFont val="宋体"/>
            <charset val="0"/>
          </rPr>
          <t xml:space="preserve">
石玉珍:</t>
        </r>
        <r>
          <rPr>
            <sz val="9"/>
            <rFont val="宋体"/>
            <charset val="0"/>
          </rPr>
          <t xml:space="preserve">
德语警语贴纸 520pcs</t>
        </r>
        <r>
          <rPr>
            <b/>
            <sz val="9"/>
            <rFont val="宋体"/>
            <charset val="0"/>
          </rPr>
          <t xml:space="preserve">
石玉珍:</t>
        </r>
        <r>
          <rPr>
            <sz val="9"/>
            <rFont val="宋体"/>
            <charset val="0"/>
          </rPr>
          <t xml:space="preserve">
地址贴纸 520pcs</t>
        </r>
      </text>
    </comment>
    <comment ref="AL2003" authorId="2">
      <text>
        <r>
          <rPr>
            <b/>
            <sz val="9"/>
            <rFont val="宋体"/>
            <charset val="0"/>
          </rPr>
          <t>石玉珍:</t>
        </r>
        <r>
          <rPr>
            <sz val="9"/>
            <rFont val="宋体"/>
            <charset val="0"/>
          </rPr>
          <t xml:space="preserve">
7/25 客供RID贴纸 27360pcs</t>
        </r>
      </text>
    </comment>
    <comment ref="AL2004" authorId="2">
      <text>
        <r>
          <rPr>
            <b/>
            <sz val="9"/>
            <rFont val="宋体"/>
            <charset val="0"/>
          </rPr>
          <t>石玉珍:</t>
        </r>
        <r>
          <rPr>
            <sz val="9"/>
            <rFont val="宋体"/>
            <charset val="0"/>
          </rPr>
          <t xml:space="preserve">
7/25 客供RID贴纸 9600pcs</t>
        </r>
      </text>
    </comment>
    <comment ref="AL2005" authorId="2">
      <text>
        <r>
          <rPr>
            <b/>
            <sz val="9"/>
            <rFont val="宋体"/>
            <charset val="0"/>
          </rPr>
          <t>石玉珍:</t>
        </r>
        <r>
          <rPr>
            <sz val="9"/>
            <rFont val="宋体"/>
            <charset val="0"/>
          </rPr>
          <t xml:space="preserve">
客供外箱条码贴纸 8/10 1350pcs</t>
        </r>
        <r>
          <rPr>
            <b/>
            <sz val="9"/>
            <rFont val="宋体"/>
            <charset val="0"/>
          </rPr>
          <t xml:space="preserve">
石玉珍:</t>
        </r>
        <r>
          <rPr>
            <sz val="9"/>
            <rFont val="宋体"/>
            <charset val="0"/>
          </rPr>
          <t xml:space="preserve">
客供RFID贴纸 8/10 21600pcs</t>
        </r>
      </text>
    </comment>
    <comment ref="AL2006" authorId="2">
      <text>
        <r>
          <rPr>
            <b/>
            <sz val="9"/>
            <rFont val="宋体"/>
            <charset val="0"/>
          </rPr>
          <t>石玉珍:</t>
        </r>
        <r>
          <rPr>
            <sz val="9"/>
            <rFont val="宋体"/>
            <charset val="0"/>
          </rPr>
          <t xml:space="preserve">
客供外箱条码贴纸 8/10 2250pcs</t>
        </r>
        <r>
          <rPr>
            <b/>
            <sz val="9"/>
            <rFont val="宋体"/>
            <charset val="0"/>
          </rPr>
          <t xml:space="preserve">
石玉珍:</t>
        </r>
        <r>
          <rPr>
            <sz val="9"/>
            <rFont val="宋体"/>
            <charset val="0"/>
          </rPr>
          <t xml:space="preserve">
客供RFID贴纸 8/10 36000pcs</t>
        </r>
      </text>
    </comment>
    <comment ref="AL2007" authorId="2">
      <text>
        <r>
          <rPr>
            <b/>
            <sz val="9"/>
            <rFont val="宋体"/>
            <charset val="0"/>
          </rPr>
          <t>石玉珍:</t>
        </r>
        <r>
          <rPr>
            <sz val="9"/>
            <rFont val="宋体"/>
            <charset val="0"/>
          </rPr>
          <t xml:space="preserve">
客供外箱条码贴纸 8/10 1440pcs</t>
        </r>
        <r>
          <rPr>
            <b/>
            <sz val="9"/>
            <rFont val="宋体"/>
            <charset val="0"/>
          </rPr>
          <t xml:space="preserve">
石玉珍:</t>
        </r>
        <r>
          <rPr>
            <sz val="9"/>
            <rFont val="宋体"/>
            <charset val="0"/>
          </rPr>
          <t xml:space="preserve">
客供RFID贴纸 8/10 23040pcs</t>
        </r>
      </text>
    </comment>
    <comment ref="AL2008" authorId="2">
      <text>
        <r>
          <rPr>
            <b/>
            <sz val="9"/>
            <rFont val="宋体"/>
            <charset val="0"/>
          </rPr>
          <t>石玉珍:</t>
        </r>
        <r>
          <rPr>
            <sz val="9"/>
            <rFont val="宋体"/>
            <charset val="0"/>
          </rPr>
          <t xml:space="preserve">
8/5 客供价格贴纸 2700pcs</t>
        </r>
      </text>
    </comment>
    <comment ref="AL2009" authorId="2">
      <text>
        <r>
          <rPr>
            <b/>
            <sz val="9"/>
            <rFont val="宋体"/>
            <charset val="0"/>
          </rPr>
          <t>石玉珍:</t>
        </r>
        <r>
          <rPr>
            <sz val="9"/>
            <rFont val="宋体"/>
            <charset val="0"/>
          </rPr>
          <t xml:space="preserve">
8/5 客供价格贴纸 2704pcs</t>
        </r>
      </text>
    </comment>
    <comment ref="AL2010" authorId="2">
      <text>
        <r>
          <rPr>
            <b/>
            <sz val="9"/>
            <rFont val="宋体"/>
            <charset val="0"/>
          </rPr>
          <t>石玉珍:</t>
        </r>
        <r>
          <rPr>
            <sz val="9"/>
            <rFont val="宋体"/>
            <charset val="0"/>
          </rPr>
          <t xml:space="preserve">
7/14 客供价格贴纸  2340pcs</t>
        </r>
        <r>
          <rPr>
            <b/>
            <sz val="9"/>
            <rFont val="宋体"/>
            <charset val="0"/>
          </rPr>
          <t xml:space="preserve">
石玉珍:</t>
        </r>
        <r>
          <rPr>
            <sz val="9"/>
            <rFont val="宋体"/>
            <charset val="0"/>
          </rPr>
          <t xml:space="preserve">
PDO地址上贴纸 7/30 180pcs</t>
        </r>
      </text>
    </comment>
    <comment ref="AL2011" authorId="2">
      <text>
        <r>
          <rPr>
            <b/>
            <sz val="9"/>
            <rFont val="宋体"/>
            <charset val="0"/>
          </rPr>
          <t>石玉珍:</t>
        </r>
        <r>
          <rPr>
            <sz val="9"/>
            <rFont val="宋体"/>
            <charset val="0"/>
          </rPr>
          <t xml:space="preserve">
7/14 客供价格贴纸 3420pcs</t>
        </r>
        <r>
          <rPr>
            <b/>
            <sz val="9"/>
            <rFont val="宋体"/>
            <charset val="0"/>
          </rPr>
          <t xml:space="preserve">
石玉珍:</t>
        </r>
        <r>
          <rPr>
            <sz val="9"/>
            <rFont val="宋体"/>
            <charset val="0"/>
          </rPr>
          <t xml:space="preserve">
客供价格贴纸 7/31 230pcs</t>
        </r>
        <r>
          <rPr>
            <b/>
            <sz val="9"/>
            <rFont val="宋体"/>
            <charset val="0"/>
          </rPr>
          <t xml:space="preserve">
石玉珍:</t>
        </r>
        <r>
          <rPr>
            <sz val="9"/>
            <rFont val="宋体"/>
            <charset val="0"/>
          </rPr>
          <t xml:space="preserve">
8/13 彩盒地址贴纸 3420pcs</t>
        </r>
        <r>
          <rPr>
            <b/>
            <sz val="9"/>
            <rFont val="宋体"/>
            <charset val="0"/>
          </rPr>
          <t xml:space="preserve">
石玉珍:</t>
        </r>
        <r>
          <rPr>
            <sz val="9"/>
            <rFont val="宋体"/>
            <charset val="0"/>
          </rPr>
          <t xml:space="preserve">
8/4 警告语贴纸 3420pcs</t>
        </r>
      </text>
    </comment>
    <comment ref="AL2012" authorId="2">
      <text>
        <r>
          <rPr>
            <b/>
            <sz val="9"/>
            <rFont val="宋体"/>
            <charset val="0"/>
          </rPr>
          <t>石玉珍:</t>
        </r>
        <r>
          <rPr>
            <sz val="9"/>
            <rFont val="宋体"/>
            <charset val="0"/>
          </rPr>
          <t xml:space="preserve">
7/14 客供价格贴纸  2028pcs</t>
        </r>
      </text>
    </comment>
    <comment ref="AL2013" authorId="2">
      <text>
        <r>
          <rPr>
            <b/>
            <sz val="9"/>
            <rFont val="宋体"/>
            <charset val="0"/>
          </rPr>
          <t>石玉珍:</t>
        </r>
        <r>
          <rPr>
            <sz val="9"/>
            <rFont val="宋体"/>
            <charset val="0"/>
          </rPr>
          <t xml:space="preserve">
8/13 UPC 贴纸 2100pcs</t>
        </r>
        <r>
          <rPr>
            <b/>
            <sz val="9"/>
            <rFont val="宋体"/>
            <charset val="0"/>
          </rPr>
          <t xml:space="preserve">
石玉珍:</t>
        </r>
        <r>
          <rPr>
            <sz val="9"/>
            <rFont val="宋体"/>
            <charset val="0"/>
          </rPr>
          <t xml:space="preserve">
进口商贴纸 2100pcs</t>
        </r>
      </text>
    </comment>
    <comment ref="AL2014" authorId="2">
      <text>
        <r>
          <rPr>
            <b/>
            <sz val="9"/>
            <rFont val="宋体"/>
            <charset val="0"/>
          </rPr>
          <t>石玉珍:</t>
        </r>
        <r>
          <rPr>
            <sz val="9"/>
            <rFont val="宋体"/>
            <charset val="0"/>
          </rPr>
          <t xml:space="preserve">
客供RFID贴纸 8/10 9600pcs</t>
        </r>
      </text>
    </comment>
    <comment ref="AL2015" authorId="2">
      <text>
        <r>
          <rPr>
            <b/>
            <sz val="9"/>
            <rFont val="宋体"/>
            <charset val="0"/>
          </rPr>
          <t>石玉珍:</t>
        </r>
        <r>
          <rPr>
            <sz val="9"/>
            <rFont val="宋体"/>
            <charset val="0"/>
          </rPr>
          <t xml:space="preserve">
通用进口商贴纸 8/11 780pcs</t>
        </r>
        <r>
          <rPr>
            <b/>
            <sz val="9"/>
            <rFont val="宋体"/>
            <charset val="0"/>
          </rPr>
          <t xml:space="preserve">
石玉珍:</t>
        </r>
        <r>
          <rPr>
            <sz val="9"/>
            <rFont val="宋体"/>
            <charset val="0"/>
          </rPr>
          <t xml:space="preserve">
UPC条码贴纸 780pcs</t>
        </r>
      </text>
    </comment>
    <comment ref="AL2016" authorId="2">
      <text>
        <r>
          <rPr>
            <b/>
            <sz val="9"/>
            <rFont val="宋体"/>
            <charset val="0"/>
          </rPr>
          <t>石玉珍:</t>
        </r>
        <r>
          <rPr>
            <sz val="9"/>
            <rFont val="宋体"/>
            <charset val="0"/>
          </rPr>
          <t xml:space="preserve">
客供RFID贴纸 8/10 5760pcs</t>
        </r>
      </text>
    </comment>
    <comment ref="AL2017" authorId="2">
      <text>
        <r>
          <rPr>
            <b/>
            <sz val="9"/>
            <rFont val="宋体"/>
            <charset val="0"/>
          </rPr>
          <t>石玉珍:</t>
        </r>
        <r>
          <rPr>
            <sz val="9"/>
            <rFont val="宋体"/>
            <charset val="0"/>
          </rPr>
          <t xml:space="preserve">
8/5 客供价格贴纸 5400pcs</t>
        </r>
      </text>
    </comment>
    <comment ref="AL2018" authorId="2">
      <text>
        <r>
          <rPr>
            <b/>
            <sz val="9"/>
            <rFont val="宋体"/>
            <charset val="0"/>
          </rPr>
          <t>石玉珍:</t>
        </r>
        <r>
          <rPr>
            <sz val="9"/>
            <rFont val="宋体"/>
            <charset val="0"/>
          </rPr>
          <t xml:space="preserve">
6/8 客供RID贴纸 15204pcs</t>
        </r>
        <r>
          <rPr>
            <b/>
            <sz val="9"/>
            <rFont val="宋体"/>
            <charset val="0"/>
          </rPr>
          <t xml:space="preserve">
石玉珍:</t>
        </r>
        <r>
          <rPr>
            <sz val="9"/>
            <rFont val="宋体"/>
            <charset val="0"/>
          </rPr>
          <t xml:space="preserve">
7/20 彩色placard贴纸 626*2pcs</t>
        </r>
      </text>
    </comment>
    <comment ref="AL2019" authorId="2">
      <text>
        <r>
          <rPr>
            <b/>
            <sz val="9"/>
            <rFont val="宋体"/>
            <charset val="0"/>
          </rPr>
          <t>石玉珍:</t>
        </r>
        <r>
          <rPr>
            <sz val="9"/>
            <rFont val="宋体"/>
            <charset val="0"/>
          </rPr>
          <t xml:space="preserve">
客供外箱条码贴纸 8/10 262pcs</t>
        </r>
      </text>
    </comment>
    <comment ref="AL2020" authorId="2">
      <text>
        <r>
          <rPr>
            <b/>
            <sz val="9"/>
            <rFont val="宋体"/>
            <charset val="0"/>
          </rPr>
          <t>石玉珍:</t>
        </r>
        <r>
          <rPr>
            <sz val="9"/>
            <rFont val="宋体"/>
            <charset val="0"/>
          </rPr>
          <t xml:space="preserve">
客供外箱条码贴纸 8/10 7200pcs</t>
        </r>
      </text>
    </comment>
    <comment ref="AL2021" authorId="2">
      <text>
        <r>
          <rPr>
            <b/>
            <sz val="9"/>
            <rFont val="宋体"/>
            <charset val="0"/>
          </rPr>
          <t>石玉珍:</t>
        </r>
        <r>
          <rPr>
            <sz val="9"/>
            <rFont val="宋体"/>
            <charset val="0"/>
          </rPr>
          <t xml:space="preserve">
客供RFID贴纸 8/10 24720pcs</t>
        </r>
      </text>
    </comment>
    <comment ref="AL2023" authorId="2">
      <text>
        <r>
          <rPr>
            <b/>
            <sz val="9"/>
            <rFont val="宋体"/>
            <charset val="0"/>
          </rPr>
          <t>石玉珍:</t>
        </r>
        <r>
          <rPr>
            <sz val="9"/>
            <rFont val="宋体"/>
            <charset val="0"/>
          </rPr>
          <t xml:space="preserve">
8/5 客供警语贴黑白说明书 1290pcs
客供警语贴收藏 1290pcs
客供警语贴纸 1290pcs</t>
        </r>
      </text>
    </comment>
    <comment ref="AL2024" authorId="2">
      <text>
        <r>
          <rPr>
            <b/>
            <sz val="9"/>
            <rFont val="宋体"/>
            <charset val="0"/>
          </rPr>
          <t>石玉珍:</t>
        </r>
        <r>
          <rPr>
            <sz val="9"/>
            <rFont val="宋体"/>
            <charset val="0"/>
          </rPr>
          <t xml:space="preserve">
8/5</t>
        </r>
      </text>
    </comment>
    <comment ref="AL2025" authorId="2">
      <text>
        <r>
          <rPr>
            <b/>
            <sz val="9"/>
            <rFont val="宋体"/>
            <charset val="0"/>
          </rPr>
          <t>石玉珍:</t>
        </r>
        <r>
          <rPr>
            <sz val="9"/>
            <rFont val="宋体"/>
            <charset val="0"/>
          </rPr>
          <t xml:space="preserve">
客供RFID贴纸 8/10 9600pcs</t>
        </r>
      </text>
    </comment>
    <comment ref="AL2026" authorId="2">
      <text>
        <r>
          <rPr>
            <b/>
            <sz val="9"/>
            <rFont val="宋体"/>
            <charset val="0"/>
          </rPr>
          <t>石玉珍:</t>
        </r>
        <r>
          <rPr>
            <sz val="9"/>
            <rFont val="宋体"/>
            <charset val="0"/>
          </rPr>
          <t xml:space="preserve">
客供RFID贴纸 8/10 18000pcs</t>
        </r>
      </text>
    </comment>
    <comment ref="AL2027" authorId="2">
      <text>
        <r>
          <rPr>
            <b/>
            <sz val="9"/>
            <rFont val="宋体"/>
            <charset val="0"/>
          </rPr>
          <t>石玉珍:</t>
        </r>
        <r>
          <rPr>
            <sz val="9"/>
            <rFont val="宋体"/>
            <charset val="0"/>
          </rPr>
          <t xml:space="preserve">
WIC 贴纸 8/11 972pcs
PDQ折页 162pcs</t>
        </r>
      </text>
    </comment>
    <comment ref="AL2028" authorId="2">
      <text>
        <r>
          <rPr>
            <b/>
            <sz val="9"/>
            <rFont val="宋体"/>
            <charset val="0"/>
          </rPr>
          <t>石玉珍:</t>
        </r>
        <r>
          <rPr>
            <sz val="9"/>
            <rFont val="宋体"/>
            <charset val="0"/>
          </rPr>
          <t xml:space="preserve">
WIC 贴纸 8/11 2886pcs
PDQ折页 2886pcs</t>
        </r>
      </text>
    </comment>
    <comment ref="AL2029" authorId="2">
      <text>
        <r>
          <rPr>
            <b/>
            <sz val="9"/>
            <rFont val="宋体"/>
            <charset val="0"/>
          </rPr>
          <t>石玉珍:</t>
        </r>
        <r>
          <rPr>
            <sz val="9"/>
            <rFont val="宋体"/>
            <charset val="0"/>
          </rPr>
          <t xml:space="preserve">
WIC 贴纸 8/11 540pcs
PDQ折页 540pcs</t>
        </r>
      </text>
    </comment>
    <comment ref="AL2030" authorId="2">
      <text>
        <r>
          <rPr>
            <b/>
            <sz val="9"/>
            <rFont val="宋体"/>
            <charset val="0"/>
          </rPr>
          <t>石玉珍:</t>
        </r>
        <r>
          <rPr>
            <sz val="9"/>
            <rFont val="宋体"/>
            <charset val="0"/>
          </rPr>
          <t xml:space="preserve">
WIC 贴纸 8/11 936pcs
PDQ折页 936pcs</t>
        </r>
      </text>
    </comment>
    <comment ref="AL2031" authorId="2">
      <text>
        <r>
          <rPr>
            <b/>
            <sz val="9"/>
            <rFont val="宋体"/>
            <charset val="0"/>
          </rPr>
          <t>石玉珍:</t>
        </r>
        <r>
          <rPr>
            <sz val="9"/>
            <rFont val="宋体"/>
            <charset val="0"/>
          </rPr>
          <t xml:space="preserve">
WIC 贴纸 8/11 696pcs
PDQ折页 696pcs</t>
        </r>
      </text>
    </comment>
    <comment ref="AL2032" authorId="2">
      <text>
        <r>
          <rPr>
            <b/>
            <sz val="9"/>
            <rFont val="宋体"/>
            <charset val="0"/>
          </rPr>
          <t>石玉珍:</t>
        </r>
        <r>
          <rPr>
            <sz val="9"/>
            <rFont val="宋体"/>
            <charset val="0"/>
          </rPr>
          <t xml:space="preserve">
WIC 贴纸 8/11 438pcs
PDQ折页 438pcs</t>
        </r>
      </text>
    </comment>
    <comment ref="AL2033" authorId="2">
      <text>
        <r>
          <rPr>
            <b/>
            <sz val="9"/>
            <rFont val="宋体"/>
            <charset val="0"/>
          </rPr>
          <t>石玉珍:</t>
        </r>
        <r>
          <rPr>
            <sz val="9"/>
            <rFont val="宋体"/>
            <charset val="0"/>
          </rPr>
          <t xml:space="preserve">
WIC 贴纸 8/11 642pcs
PDQ折页 642pcs</t>
        </r>
      </text>
    </comment>
    <comment ref="AL2034" authorId="2">
      <text>
        <r>
          <rPr>
            <b/>
            <sz val="9"/>
            <rFont val="宋体"/>
            <charset val="0"/>
          </rPr>
          <t>石玉珍:</t>
        </r>
        <r>
          <rPr>
            <sz val="9"/>
            <rFont val="宋体"/>
            <charset val="0"/>
          </rPr>
          <t xml:space="preserve">
彩盒警告语贴纸 8/5 1008pcs</t>
        </r>
        <r>
          <rPr>
            <b/>
            <sz val="9"/>
            <rFont val="宋体"/>
            <charset val="0"/>
          </rPr>
          <t xml:space="preserve">
石玉珍:</t>
        </r>
        <r>
          <rPr>
            <sz val="9"/>
            <rFont val="宋体"/>
            <charset val="0"/>
          </rPr>
          <t xml:space="preserve">
地址贴纸 1008pcs</t>
        </r>
        <r>
          <rPr>
            <b/>
            <sz val="9"/>
            <rFont val="宋体"/>
            <charset val="0"/>
          </rPr>
          <t xml:space="preserve">
石玉珍:</t>
        </r>
        <r>
          <rPr>
            <sz val="9"/>
            <rFont val="宋体"/>
            <charset val="0"/>
          </rPr>
          <t xml:space="preserve">
空白贴纸 2016pcs</t>
        </r>
      </text>
    </comment>
    <comment ref="AL2035" authorId="2">
      <text>
        <r>
          <rPr>
            <b/>
            <sz val="9"/>
            <rFont val="宋体"/>
            <charset val="0"/>
          </rPr>
          <t>石玉珍:</t>
        </r>
        <r>
          <rPr>
            <sz val="9"/>
            <rFont val="宋体"/>
            <charset val="0"/>
          </rPr>
          <t xml:space="preserve">
8/3 UPC条码贴纸 19275pcs
进口商贴纸 19275pcs</t>
        </r>
      </text>
    </comment>
    <comment ref="AL2036" authorId="2">
      <text>
        <r>
          <rPr>
            <b/>
            <sz val="9"/>
            <rFont val="宋体"/>
            <charset val="0"/>
          </rPr>
          <t>石玉珍:</t>
        </r>
        <r>
          <rPr>
            <sz val="9"/>
            <rFont val="宋体"/>
            <charset val="0"/>
          </rPr>
          <t xml:space="preserve">
客供RFID贴纸 8/10 21600pcs</t>
        </r>
      </text>
    </comment>
    <comment ref="AL2037" authorId="2">
      <text>
        <r>
          <rPr>
            <b/>
            <sz val="9"/>
            <rFont val="宋体"/>
            <charset val="0"/>
          </rPr>
          <t>石玉珍:</t>
        </r>
        <r>
          <rPr>
            <sz val="9"/>
            <rFont val="宋体"/>
            <charset val="0"/>
          </rPr>
          <t xml:space="preserve">
客供RFID贴纸 8/10 27360pcs</t>
        </r>
      </text>
    </comment>
    <comment ref="AL2038" authorId="2">
      <text>
        <r>
          <rPr>
            <b/>
            <sz val="9"/>
            <rFont val="宋体"/>
            <charset val="0"/>
          </rPr>
          <t>石玉珍:</t>
        </r>
        <r>
          <rPr>
            <sz val="9"/>
            <rFont val="宋体"/>
            <charset val="0"/>
          </rPr>
          <t xml:space="preserve">
德语callout/德意荷警 8/6 6000pcs
冰棒款-说明书荷兰语贴 6000pcs
蛋糕款-说明书荷兰语贴 6000pcs
布丁款-说明书荷兰语贴 6000pcs</t>
        </r>
        <r>
          <rPr>
            <b/>
            <sz val="9"/>
            <rFont val="宋体"/>
            <charset val="0"/>
          </rPr>
          <t xml:space="preserve">
石玉珍:</t>
        </r>
        <r>
          <rPr>
            <sz val="9"/>
            <rFont val="宋体"/>
            <charset val="0"/>
          </rPr>
          <t xml:space="preserve">
zuru地址贴纸 8/6 240pcs</t>
        </r>
      </text>
    </comment>
    <comment ref="AL2039" authorId="2">
      <text>
        <r>
          <rPr>
            <b/>
            <sz val="9"/>
            <rFont val="宋体"/>
            <charset val="0"/>
          </rPr>
          <t>石玉珍:</t>
        </r>
        <r>
          <rPr>
            <sz val="9"/>
            <rFont val="宋体"/>
            <charset val="0"/>
          </rPr>
          <t xml:space="preserve">
客人通用进口商贴纸 8/14 2400pcs</t>
        </r>
        <r>
          <rPr>
            <b/>
            <sz val="9"/>
            <rFont val="宋体"/>
            <charset val="0"/>
          </rPr>
          <t xml:space="preserve">
石玉珍:</t>
        </r>
        <r>
          <rPr>
            <sz val="9"/>
            <rFont val="宋体"/>
            <charset val="0"/>
          </rPr>
          <t xml:space="preserve">
通用UPC条码贴纸  2400pcs</t>
        </r>
      </text>
    </comment>
    <comment ref="AL2041" authorId="2">
      <text>
        <r>
          <rPr>
            <b/>
            <sz val="9"/>
            <rFont val="宋体"/>
            <charset val="0"/>
          </rPr>
          <t>石玉珍:</t>
        </r>
        <r>
          <rPr>
            <sz val="9"/>
            <rFont val="宋体"/>
            <charset val="0"/>
          </rPr>
          <t xml:space="preserve">
UPC条码贴纸 8/14 96pcs</t>
        </r>
        <r>
          <rPr>
            <b/>
            <sz val="9"/>
            <rFont val="宋体"/>
            <charset val="0"/>
          </rPr>
          <t xml:space="preserve">
石玉珍:</t>
        </r>
        <r>
          <rPr>
            <sz val="9"/>
            <rFont val="宋体"/>
            <charset val="0"/>
          </rPr>
          <t xml:space="preserve">
进口商贴纸 96pcs</t>
        </r>
      </text>
    </comment>
    <comment ref="AL2042" authorId="2">
      <text>
        <r>
          <rPr>
            <b/>
            <sz val="9"/>
            <rFont val="宋体"/>
            <charset val="0"/>
          </rPr>
          <t>石玉珍:</t>
        </r>
        <r>
          <rPr>
            <sz val="9"/>
            <rFont val="宋体"/>
            <charset val="0"/>
          </rPr>
          <t xml:space="preserve">
6/8 客供RID贴纸 10032pcs</t>
        </r>
        <r>
          <rPr>
            <b/>
            <sz val="9"/>
            <rFont val="宋体"/>
            <charset val="0"/>
          </rPr>
          <t xml:space="preserve">
石玉珍:</t>
        </r>
        <r>
          <rPr>
            <sz val="9"/>
            <rFont val="宋体"/>
            <charset val="0"/>
          </rPr>
          <t xml:space="preserve">
7/20 彩色placard贴纸 418*2pcs</t>
        </r>
      </text>
    </comment>
    <comment ref="BC2043" authorId="2">
      <text>
        <r>
          <rPr>
            <b/>
            <sz val="9"/>
            <rFont val="宋体"/>
            <charset val="0"/>
          </rPr>
          <t>陈炎:</t>
        </r>
        <r>
          <rPr>
            <sz val="9"/>
            <rFont val="宋体"/>
            <charset val="0"/>
          </rPr>
          <t xml:space="preserve">
新资料</t>
        </r>
      </text>
    </comment>
    <comment ref="BC2044" authorId="2">
      <text>
        <r>
          <rPr>
            <b/>
            <sz val="9"/>
            <rFont val="宋体"/>
            <charset val="0"/>
          </rPr>
          <t>陈炎:</t>
        </r>
        <r>
          <rPr>
            <sz val="9"/>
            <rFont val="宋体"/>
            <charset val="0"/>
          </rPr>
          <t xml:space="preserve">
新资料</t>
        </r>
      </text>
    </comment>
    <comment ref="AL2045" authorId="2">
      <text>
        <r>
          <rPr>
            <b/>
            <sz val="9"/>
            <rFont val="宋体"/>
            <charset val="0"/>
          </rPr>
          <t>石玉珍:</t>
        </r>
        <r>
          <rPr>
            <sz val="9"/>
            <rFont val="宋体"/>
            <charset val="0"/>
          </rPr>
          <t xml:space="preserve">
客供RFID贴纸 8/10 23040pcs</t>
        </r>
      </text>
    </comment>
    <comment ref="AP2046" authorId="1">
      <text>
        <r>
          <rPr>
            <b/>
            <sz val="9"/>
            <rFont val="宋体"/>
            <charset val="134"/>
          </rPr>
          <t>RR:</t>
        </r>
        <r>
          <rPr>
            <sz val="9"/>
            <rFont val="宋体"/>
            <charset val="134"/>
          </rPr>
          <t xml:space="preserve">
客人接受1L收缩膜</t>
        </r>
      </text>
    </comment>
    <comment ref="AL2047" authorId="2">
      <text>
        <r>
          <rPr>
            <b/>
            <sz val="9"/>
            <rFont val="宋体"/>
            <charset val="0"/>
          </rPr>
          <t>石玉珍:</t>
        </r>
        <r>
          <rPr>
            <sz val="9"/>
            <rFont val="宋体"/>
            <charset val="0"/>
          </rPr>
          <t xml:space="preserve">
UPC条码贴纸 8/15 221pcs</t>
        </r>
      </text>
    </comment>
    <comment ref="AL2048" authorId="2">
      <text>
        <r>
          <rPr>
            <b/>
            <sz val="9"/>
            <rFont val="宋体"/>
            <charset val="0"/>
          </rPr>
          <t>石玉珍:</t>
        </r>
        <r>
          <rPr>
            <sz val="9"/>
            <rFont val="宋体"/>
            <charset val="0"/>
          </rPr>
          <t xml:space="preserve">
UPC条码贴纸 8/15 1287pcs</t>
        </r>
      </text>
    </comment>
    <comment ref="AL2049" authorId="2">
      <text>
        <r>
          <rPr>
            <b/>
            <sz val="9"/>
            <rFont val="宋体"/>
            <charset val="0"/>
          </rPr>
          <t>石玉珍:</t>
        </r>
        <r>
          <rPr>
            <sz val="9"/>
            <rFont val="宋体"/>
            <charset val="0"/>
          </rPr>
          <t xml:space="preserve">
UPC条码贴纸 8/15 1508pcs</t>
        </r>
      </text>
    </comment>
    <comment ref="AL2050" authorId="2">
      <text>
        <r>
          <rPr>
            <b/>
            <sz val="9"/>
            <rFont val="宋体"/>
            <charset val="0"/>
          </rPr>
          <t>石玉珍:</t>
        </r>
        <r>
          <rPr>
            <sz val="9"/>
            <rFont val="宋体"/>
            <charset val="0"/>
          </rPr>
          <t xml:space="preserve">
空白贴纸 8/15 10800pcs
收缩膜+说明书纽扣电池警告语贴 10800pcs</t>
        </r>
      </text>
    </comment>
    <comment ref="AL2051" authorId="2">
      <text>
        <r>
          <rPr>
            <b/>
            <sz val="9"/>
            <rFont val="宋体"/>
            <charset val="0"/>
          </rPr>
          <t>石玉珍:</t>
        </r>
        <r>
          <rPr>
            <sz val="9"/>
            <rFont val="宋体"/>
            <charset val="0"/>
          </rPr>
          <t xml:space="preserve">
空白贴纸 8/15 960pcs
收缩膜+说明书纽扣电池警告语贴 960pcs</t>
        </r>
      </text>
    </comment>
    <comment ref="AL2053" authorId="2">
      <text>
        <r>
          <rPr>
            <b/>
            <sz val="9"/>
            <rFont val="宋体"/>
            <charset val="0"/>
          </rPr>
          <t>石玉珍:</t>
        </r>
        <r>
          <rPr>
            <sz val="9"/>
            <rFont val="宋体"/>
            <charset val="0"/>
          </rPr>
          <t xml:space="preserve">
8/1 条码贴纸 5200pcs</t>
        </r>
      </text>
    </comment>
    <comment ref="AL2055" authorId="2">
      <text>
        <r>
          <rPr>
            <b/>
            <sz val="9"/>
            <rFont val="宋体"/>
            <charset val="0"/>
          </rPr>
          <t>石玉珍:</t>
        </r>
        <r>
          <rPr>
            <sz val="9"/>
            <rFont val="宋体"/>
            <charset val="0"/>
          </rPr>
          <t xml:space="preserve">
6/8 客供RID贴纸 11256pcs</t>
        </r>
        <r>
          <rPr>
            <b/>
            <sz val="9"/>
            <rFont val="宋体"/>
            <charset val="0"/>
          </rPr>
          <t xml:space="preserve">
石玉珍:</t>
        </r>
        <r>
          <rPr>
            <sz val="9"/>
            <rFont val="宋体"/>
            <charset val="0"/>
          </rPr>
          <t xml:space="preserve">
7/20 彩色placard贴纸 469*2pcs</t>
        </r>
      </text>
    </comment>
    <comment ref="AL2056" authorId="2">
      <text>
        <r>
          <rPr>
            <b/>
            <sz val="9"/>
            <rFont val="宋体"/>
            <charset val="0"/>
          </rPr>
          <t>石玉珍:</t>
        </r>
        <r>
          <rPr>
            <sz val="9"/>
            <rFont val="宋体"/>
            <charset val="0"/>
          </rPr>
          <t xml:space="preserve">
8/5 客供价格贴纸 1890pcs</t>
        </r>
      </text>
    </comment>
    <comment ref="AL2057" authorId="2">
      <text>
        <r>
          <rPr>
            <b/>
            <sz val="9"/>
            <rFont val="宋体"/>
            <charset val="0"/>
          </rPr>
          <t>石玉珍:</t>
        </r>
        <r>
          <rPr>
            <sz val="9"/>
            <rFont val="宋体"/>
            <charset val="0"/>
          </rPr>
          <t xml:space="preserve">
8/5 客供价格贴纸 1800pcs</t>
        </r>
      </text>
    </comment>
    <comment ref="AL2059" authorId="2">
      <text>
        <r>
          <rPr>
            <b/>
            <sz val="9"/>
            <rFont val="宋体"/>
            <charset val="0"/>
          </rPr>
          <t>石玉珍:</t>
        </r>
        <r>
          <rPr>
            <sz val="9"/>
            <rFont val="宋体"/>
            <charset val="0"/>
          </rPr>
          <t xml:space="preserve">
客供RFID贴纸 8/17 36000pcs</t>
        </r>
      </text>
    </comment>
    <comment ref="AL2060" authorId="2">
      <text>
        <r>
          <rPr>
            <b/>
            <sz val="9"/>
            <rFont val="宋体"/>
            <charset val="0"/>
          </rPr>
          <t>石玉珍:</t>
        </r>
        <r>
          <rPr>
            <sz val="9"/>
            <rFont val="宋体"/>
            <charset val="0"/>
          </rPr>
          <t xml:space="preserve">
客供RFID贴纸 8/17 24720pcs</t>
        </r>
      </text>
    </comment>
    <comment ref="AL2073" authorId="2">
      <text>
        <r>
          <rPr>
            <b/>
            <sz val="9"/>
            <rFont val="宋体"/>
            <charset val="0"/>
          </rPr>
          <t>石玉珍:</t>
        </r>
        <r>
          <rPr>
            <sz val="9"/>
            <rFont val="宋体"/>
            <charset val="0"/>
          </rPr>
          <t xml:space="preserve">
客供价格贴纸 8/5 1200pcs</t>
        </r>
      </text>
    </comment>
    <comment ref="AL2074" authorId="2">
      <text>
        <r>
          <rPr>
            <b/>
            <sz val="9"/>
            <rFont val="宋体"/>
            <charset val="0"/>
          </rPr>
          <t>石玉珍:</t>
        </r>
        <r>
          <rPr>
            <sz val="9"/>
            <rFont val="宋体"/>
            <charset val="0"/>
          </rPr>
          <t xml:space="preserve">
8/13 客供价格贴纸 2400pcs</t>
        </r>
      </text>
    </comment>
    <comment ref="AL2078" authorId="2">
      <text>
        <r>
          <rPr>
            <b/>
            <sz val="9"/>
            <rFont val="宋体"/>
            <charset val="0"/>
          </rPr>
          <t>石玉珍:</t>
        </r>
        <r>
          <rPr>
            <sz val="9"/>
            <rFont val="宋体"/>
            <charset val="0"/>
          </rPr>
          <t xml:space="preserve">
8/5 客供价格贴纸 1800pcs</t>
        </r>
      </text>
    </comment>
    <comment ref="AL2079" authorId="2">
      <text>
        <r>
          <rPr>
            <b/>
            <sz val="9"/>
            <rFont val="宋体"/>
            <charset val="0"/>
          </rPr>
          <t>石玉珍:</t>
        </r>
        <r>
          <rPr>
            <sz val="9"/>
            <rFont val="宋体"/>
            <charset val="0"/>
          </rPr>
          <t xml:space="preserve">
8/5 客供价格贴纸 1800pcs</t>
        </r>
      </text>
    </comment>
    <comment ref="AL2080" authorId="2">
      <text>
        <r>
          <rPr>
            <b/>
            <sz val="9"/>
            <rFont val="宋体"/>
            <charset val="0"/>
          </rPr>
          <t>石玉珍:</t>
        </r>
        <r>
          <rPr>
            <sz val="9"/>
            <rFont val="宋体"/>
            <charset val="0"/>
          </rPr>
          <t xml:space="preserve">
客供价格贴纸 8/5 4200pcs</t>
        </r>
      </text>
    </comment>
    <comment ref="AL2081" authorId="2">
      <text>
        <r>
          <rPr>
            <b/>
            <sz val="9"/>
            <rFont val="宋体"/>
            <charset val="0"/>
          </rPr>
          <t>石玉珍:</t>
        </r>
        <r>
          <rPr>
            <sz val="9"/>
            <rFont val="宋体"/>
            <charset val="0"/>
          </rPr>
          <t xml:space="preserve">
8/5 客供价格贴纸 4800pcs</t>
        </r>
      </text>
    </comment>
    <comment ref="AL2083" authorId="2">
      <text>
        <r>
          <rPr>
            <b/>
            <sz val="9"/>
            <rFont val="宋体"/>
            <charset val="0"/>
          </rPr>
          <t>石玉珍:</t>
        </r>
        <r>
          <rPr>
            <sz val="9"/>
            <rFont val="宋体"/>
            <charset val="0"/>
          </rPr>
          <t xml:space="preserve">
8/5 客供价格贴纸 1200pcs</t>
        </r>
      </text>
    </comment>
    <comment ref="AL2091" authorId="2">
      <text>
        <r>
          <rPr>
            <b/>
            <sz val="9"/>
            <rFont val="宋体"/>
            <charset val="0"/>
          </rPr>
          <t>石玉珍:</t>
        </r>
        <r>
          <rPr>
            <sz val="9"/>
            <rFont val="宋体"/>
            <charset val="0"/>
          </rPr>
          <t xml:space="preserve">
客供RFID贴纸 8/17 12480pcs</t>
        </r>
      </text>
    </comment>
    <comment ref="AL2100" authorId="2">
      <text>
        <r>
          <rPr>
            <b/>
            <sz val="9"/>
            <rFont val="宋体"/>
            <charset val="0"/>
          </rPr>
          <t>石玉珍:</t>
        </r>
        <r>
          <rPr>
            <sz val="9"/>
            <rFont val="宋体"/>
            <charset val="0"/>
          </rPr>
          <t xml:space="preserve">
8/5 客供价格贴纸 10800pcs</t>
        </r>
      </text>
    </comment>
    <comment ref="AL2110" authorId="2">
      <text>
        <r>
          <rPr>
            <b/>
            <sz val="9"/>
            <rFont val="宋体"/>
            <charset val="0"/>
          </rPr>
          <t>石玉珍:</t>
        </r>
        <r>
          <rPr>
            <sz val="9"/>
            <rFont val="宋体"/>
            <charset val="0"/>
          </rPr>
          <t xml:space="preserve">
客供价格贴纸 8/6 5004pcs</t>
        </r>
      </text>
    </comment>
    <comment ref="AL2111" authorId="2">
      <text>
        <r>
          <rPr>
            <b/>
            <sz val="9"/>
            <rFont val="宋体"/>
            <charset val="0"/>
          </rPr>
          <t>石玉珍:</t>
        </r>
        <r>
          <rPr>
            <sz val="9"/>
            <rFont val="宋体"/>
            <charset val="0"/>
          </rPr>
          <t xml:space="preserve">
UPC条码贴纸 8/15 4290pcs</t>
        </r>
      </text>
    </comment>
    <comment ref="AL2112" authorId="2">
      <text>
        <r>
          <rPr>
            <b/>
            <sz val="9"/>
            <rFont val="宋体"/>
            <charset val="0"/>
          </rPr>
          <t>石玉珍:</t>
        </r>
        <r>
          <rPr>
            <sz val="9"/>
            <rFont val="宋体"/>
            <charset val="0"/>
          </rPr>
          <t xml:space="preserve">
UPC条码贴纸 8/15 299pcs</t>
        </r>
      </text>
    </comment>
    <comment ref="AL2120" authorId="2">
      <text>
        <r>
          <rPr>
            <b/>
            <sz val="9"/>
            <rFont val="宋体"/>
            <charset val="0"/>
          </rPr>
          <t>石玉珍:</t>
        </r>
        <r>
          <rPr>
            <sz val="9"/>
            <rFont val="宋体"/>
            <charset val="0"/>
          </rPr>
          <t xml:space="preserve">
UPC条码贴纸 8/15 2912pcs</t>
        </r>
      </text>
    </comment>
    <comment ref="BC2123" authorId="2">
      <text>
        <r>
          <rPr>
            <b/>
            <sz val="9"/>
            <rFont val="宋体"/>
            <charset val="0"/>
          </rPr>
          <t>陈炎:</t>
        </r>
        <r>
          <rPr>
            <sz val="9"/>
            <rFont val="宋体"/>
            <charset val="0"/>
          </rPr>
          <t xml:space="preserve">
新资料</t>
        </r>
      </text>
    </comment>
    <comment ref="BC2124" authorId="2">
      <text>
        <r>
          <rPr>
            <b/>
            <sz val="9"/>
            <rFont val="宋体"/>
            <charset val="0"/>
          </rPr>
          <t>陈炎:</t>
        </r>
        <r>
          <rPr>
            <sz val="9"/>
            <rFont val="宋体"/>
            <charset val="0"/>
          </rPr>
          <t xml:space="preserve">
新资料</t>
        </r>
      </text>
    </comment>
    <comment ref="AL2125" authorId="2">
      <text>
        <r>
          <rPr>
            <b/>
            <sz val="9"/>
            <rFont val="宋体"/>
            <charset val="0"/>
          </rPr>
          <t>石玉珍:</t>
        </r>
        <r>
          <rPr>
            <sz val="9"/>
            <rFont val="宋体"/>
            <charset val="0"/>
          </rPr>
          <t xml:space="preserve">
空白贴纸 8/15 4800pcs
收缩膜+说明书纽扣电池警告语贴 4800pcs</t>
        </r>
      </text>
    </comment>
    <comment ref="AL2126" authorId="2">
      <text>
        <r>
          <rPr>
            <b/>
            <sz val="9"/>
            <rFont val="宋体"/>
            <charset val="0"/>
          </rPr>
          <t>石玉珍:</t>
        </r>
        <r>
          <rPr>
            <sz val="9"/>
            <rFont val="宋体"/>
            <charset val="0"/>
          </rPr>
          <t xml:space="preserve">
空白贴纸 8/15 444pcs
收缩膜+说明书纽扣电池警告语贴 444pcs</t>
        </r>
      </text>
    </comment>
  </commentList>
</comments>
</file>

<file path=xl/comments3.xml><?xml version="1.0" encoding="utf-8"?>
<comments xmlns="http://schemas.openxmlformats.org/spreadsheetml/2006/main">
  <authors>
    <author>RR</author>
  </authors>
  <commentList>
    <comment ref="I6" authorId="0">
      <text>
        <r>
          <rPr>
            <b/>
            <sz val="9"/>
            <rFont val="宋体"/>
            <charset val="134"/>
          </rPr>
          <t>RR:</t>
        </r>
        <r>
          <rPr>
            <sz val="9"/>
            <rFont val="宋体"/>
            <charset val="134"/>
          </rPr>
          <t xml:space="preserve">
消耗MA-RR-1619</t>
        </r>
      </text>
    </comment>
    <comment ref="N8" authorId="0">
      <text>
        <r>
          <rPr>
            <b/>
            <sz val="9"/>
            <rFont val="宋体"/>
            <charset val="134"/>
          </rPr>
          <t>RR:</t>
        </r>
        <r>
          <rPr>
            <sz val="9"/>
            <rFont val="宋体"/>
            <charset val="134"/>
          </rPr>
          <t xml:space="preserve">
转Costco-INT MA 库存给 Costco-US PO先消耗;</t>
        </r>
      </text>
    </comment>
  </commentList>
</comments>
</file>

<file path=xl/comments4.xml><?xml version="1.0" encoding="utf-8"?>
<comments xmlns="http://schemas.openxmlformats.org/spreadsheetml/2006/main">
  <authors>
    <author>RR</author>
    <author>Administrator</author>
    <author>Unknown User</author>
  </authors>
  <commentList>
    <comment ref="AM1" authorId="0">
      <text>
        <r>
          <rPr>
            <b/>
            <sz val="9"/>
            <rFont val="宋体"/>
            <charset val="134"/>
          </rPr>
          <t>RR:
77198SK:
-SOO1无底座带demo；
-S002有底座带demo；
-SOO3无底座带demo</t>
        </r>
      </text>
    </comment>
    <comment ref="AH3" authorId="1">
      <text>
        <r>
          <rPr>
            <b/>
            <sz val="9"/>
            <rFont val="宋体"/>
            <charset val="134"/>
          </rPr>
          <t>Administrator:</t>
        </r>
        <r>
          <rPr>
            <sz val="9"/>
            <rFont val="宋体"/>
            <charset val="134"/>
          </rPr>
          <t xml:space="preserve">
4/15 上多语折叠警告语贴纸1200pcs
4/21 WEEE通用黑色书纸带电池走货1200pcs</t>
        </r>
      </text>
    </comment>
    <comment ref="AH13" authorId="1">
      <text>
        <r>
          <rPr>
            <b/>
            <sz val="9"/>
            <rFont val="宋体"/>
            <charset val="134"/>
          </rPr>
          <t>Administrator:</t>
        </r>
        <r>
          <rPr>
            <sz val="9"/>
            <rFont val="宋体"/>
            <charset val="134"/>
          </rPr>
          <t xml:space="preserve">
6/24 上客供RFID贴纸1376pcs
</t>
        </r>
      </text>
    </comment>
    <comment ref="AH14" authorId="1">
      <text>
        <r>
          <rPr>
            <b/>
            <sz val="9"/>
            <rFont val="宋体"/>
            <charset val="134"/>
          </rPr>
          <t>Administrator:</t>
        </r>
        <r>
          <rPr>
            <sz val="9"/>
            <rFont val="宋体"/>
            <charset val="134"/>
          </rPr>
          <t xml:space="preserve">
6/24 上客供RFID贴纸1056pcs
</t>
        </r>
      </text>
    </comment>
    <comment ref="AH15" authorId="1">
      <text>
        <r>
          <rPr>
            <b/>
            <sz val="9"/>
            <rFont val="宋体"/>
            <charset val="134"/>
          </rPr>
          <t>Administrator:</t>
        </r>
        <r>
          <rPr>
            <sz val="9"/>
            <rFont val="宋体"/>
            <charset val="134"/>
          </rPr>
          <t xml:space="preserve">
6/24 上客供RFID贴纸1152pcs
</t>
        </r>
      </text>
    </comment>
    <comment ref="AH16" authorId="1">
      <text>
        <r>
          <rPr>
            <b/>
            <sz val="9"/>
            <rFont val="宋体"/>
            <charset val="134"/>
          </rPr>
          <t>Administrator:</t>
        </r>
        <r>
          <rPr>
            <sz val="9"/>
            <rFont val="宋体"/>
            <charset val="134"/>
          </rPr>
          <t xml:space="preserve">
6/24 上客供RFID贴纸592pcs
</t>
        </r>
      </text>
    </comment>
    <comment ref="AJ17" authorId="1">
      <text>
        <r>
          <rPr>
            <b/>
            <sz val="9"/>
            <rFont val="宋体"/>
            <charset val="134"/>
          </rPr>
          <t>Administrator:</t>
        </r>
        <r>
          <rPr>
            <sz val="9"/>
            <rFont val="宋体"/>
            <charset val="134"/>
          </rPr>
          <t xml:space="preserve">
7/3 上客供RFID贴纸272pcs
</t>
        </r>
      </text>
    </comment>
    <comment ref="AJ18" authorId="1">
      <text>
        <r>
          <rPr>
            <b/>
            <sz val="9"/>
            <rFont val="宋体"/>
            <charset val="134"/>
          </rPr>
          <t>Administrator:</t>
        </r>
        <r>
          <rPr>
            <sz val="9"/>
            <rFont val="宋体"/>
            <charset val="134"/>
          </rPr>
          <t xml:space="preserve">
7/3 上客供RFID贴纸208pcs
</t>
        </r>
      </text>
    </comment>
    <comment ref="AJ19" authorId="1">
      <text>
        <r>
          <rPr>
            <b/>
            <sz val="9"/>
            <rFont val="宋体"/>
            <charset val="134"/>
          </rPr>
          <t>Administrator:</t>
        </r>
        <r>
          <rPr>
            <sz val="9"/>
            <rFont val="宋体"/>
            <charset val="134"/>
          </rPr>
          <t xml:space="preserve">
7/3 上客供RFID贴纸228pcs
</t>
        </r>
      </text>
    </comment>
    <comment ref="AJ20" authorId="1">
      <text>
        <r>
          <rPr>
            <b/>
            <sz val="9"/>
            <rFont val="宋体"/>
            <charset val="134"/>
          </rPr>
          <t>Administrator:</t>
        </r>
        <r>
          <rPr>
            <sz val="9"/>
            <rFont val="宋体"/>
            <charset val="134"/>
          </rPr>
          <t xml:space="preserve">
7/3 上客供RFID贴纸112pcs
</t>
        </r>
      </text>
    </comment>
    <comment ref="AH52" authorId="1">
      <text>
        <r>
          <rPr>
            <b/>
            <sz val="9"/>
            <rFont val="宋体"/>
            <charset val="134"/>
          </rPr>
          <t>Administrator:</t>
        </r>
        <r>
          <rPr>
            <sz val="9"/>
            <rFont val="宋体"/>
            <charset val="134"/>
          </rPr>
          <t xml:space="preserve">
7/28 上客供外箱条码贴纸606pcs
</t>
        </r>
      </text>
    </comment>
    <comment ref="AJ64" authorId="1">
      <text>
        <r>
          <rPr>
            <b/>
            <sz val="9"/>
            <rFont val="宋体"/>
            <charset val="134"/>
          </rPr>
          <t>Administrator:</t>
        </r>
        <r>
          <rPr>
            <sz val="9"/>
            <rFont val="宋体"/>
            <charset val="134"/>
          </rPr>
          <t xml:space="preserve">
9/16 上WEEE_带电池走货 _ 说明书欧洲EN+30L-B版 1504pcs
</t>
        </r>
      </text>
    </comment>
    <comment ref="AG65" authorId="1">
      <text>
        <r>
          <rPr>
            <b/>
            <sz val="9"/>
            <rFont val="宋体"/>
            <charset val="134"/>
          </rPr>
          <t>Administrator:</t>
        </r>
        <r>
          <rPr>
            <sz val="9"/>
            <rFont val="宋体"/>
            <charset val="134"/>
          </rPr>
          <t xml:space="preserve">
5000460 9/30 4976pcs
5000452 10/8 24pcs
</t>
        </r>
      </text>
    </comment>
    <comment ref="AJ65" authorId="1">
      <text>
        <r>
          <rPr>
            <b/>
            <sz val="9"/>
            <rFont val="宋体"/>
            <charset val="134"/>
          </rPr>
          <t>Administrator:</t>
        </r>
        <r>
          <rPr>
            <sz val="9"/>
            <rFont val="宋体"/>
            <charset val="134"/>
          </rPr>
          <t xml:space="preserve">
9/20 上UPC贴纸5000pcs</t>
        </r>
      </text>
    </comment>
    <comment ref="AH66" authorId="1">
      <text>
        <r>
          <rPr>
            <b/>
            <sz val="9"/>
            <rFont val="宋体"/>
            <charset val="134"/>
          </rPr>
          <t>Administrator:</t>
        </r>
        <r>
          <rPr>
            <sz val="9"/>
            <rFont val="宋体"/>
            <charset val="134"/>
          </rPr>
          <t xml:space="preserve">
10/8 上白色防盗贴纸12597pcs
10/21 上UPC条码贴纸12597pcs
</t>
        </r>
      </text>
    </comment>
    <comment ref="AH74" authorId="1">
      <text>
        <r>
          <rPr>
            <b/>
            <sz val="9"/>
            <rFont val="宋体"/>
            <charset val="134"/>
          </rPr>
          <t>Administrator:</t>
        </r>
        <r>
          <rPr>
            <sz val="9"/>
            <rFont val="宋体"/>
            <charset val="134"/>
          </rPr>
          <t xml:space="preserve">
12/24 上客供RFID贴纸33600pcs
</t>
        </r>
      </text>
    </comment>
    <comment ref="AI81" authorId="1">
      <text>
        <r>
          <rPr>
            <b/>
            <sz val="9"/>
            <rFont val="宋体"/>
            <charset val="134"/>
          </rPr>
          <t>Administrator:</t>
        </r>
        <r>
          <rPr>
            <sz val="9"/>
            <rFont val="宋体"/>
            <charset val="134"/>
          </rPr>
          <t xml:space="preserve">
12/9 进口商贴纸 780pcs
UPC 条码贴纸 780pcs</t>
        </r>
      </text>
    </comment>
    <comment ref="AK82" authorId="1">
      <text>
        <r>
          <rPr>
            <b/>
            <sz val="9"/>
            <rFont val="宋体"/>
            <charset val="134"/>
          </rPr>
          <t>Administrator:</t>
        </r>
        <r>
          <rPr>
            <sz val="9"/>
            <rFont val="宋体"/>
            <charset val="134"/>
          </rPr>
          <t xml:space="preserve">
12/9 进口商贴纸 400pcs</t>
        </r>
      </text>
    </comment>
    <comment ref="AF90" authorId="1">
      <text>
        <r>
          <rPr>
            <b/>
            <sz val="9"/>
            <rFont val="宋体"/>
            <charset val="134"/>
          </rPr>
          <t>Administrator:</t>
        </r>
        <r>
          <rPr>
            <sz val="9"/>
            <rFont val="宋体"/>
            <charset val="134"/>
          </rPr>
          <t xml:space="preserve">
1403865 4/24 15600pcs庞3a19
1403871 4/25 4392pcs张b9</t>
        </r>
      </text>
    </comment>
    <comment ref="AF91" authorId="1">
      <text>
        <r>
          <rPr>
            <b/>
            <sz val="9"/>
            <rFont val="宋体"/>
            <charset val="134"/>
          </rPr>
          <t>Administrator:</t>
        </r>
        <r>
          <rPr>
            <sz val="9"/>
            <rFont val="宋体"/>
            <charset val="134"/>
          </rPr>
          <t xml:space="preserve">
1403871 4/25 9996pcs
张b10</t>
        </r>
      </text>
    </comment>
    <comment ref="AG96" authorId="1">
      <text>
        <r>
          <rPr>
            <b/>
            <sz val="9"/>
            <rFont val="宋体"/>
            <charset val="134"/>
          </rPr>
          <t>Administrator:</t>
        </r>
        <r>
          <rPr>
            <sz val="9"/>
            <rFont val="宋体"/>
            <charset val="134"/>
          </rPr>
          <t xml:space="preserve">
1403595 5/16 2556pcs张3c1</t>
        </r>
      </text>
    </comment>
    <comment ref="AJ96" authorId="1">
      <text>
        <r>
          <rPr>
            <b/>
            <sz val="9"/>
            <rFont val="宋体"/>
            <charset val="134"/>
          </rPr>
          <t>Administrator:</t>
        </r>
        <r>
          <rPr>
            <sz val="9"/>
            <rFont val="宋体"/>
            <charset val="134"/>
          </rPr>
          <t xml:space="preserve">
4/23 亚马逊外箱贴纸 213pcs
4/24 可折叠警语贴纸2556pcs
4/25 UPC贴纸 2556pcs
</t>
        </r>
      </text>
    </comment>
    <comment ref="AF97" authorId="1">
      <text>
        <r>
          <rPr>
            <b/>
            <sz val="9"/>
            <rFont val="宋体"/>
            <charset val="134"/>
          </rPr>
          <t>Administrator:</t>
        </r>
        <r>
          <rPr>
            <sz val="9"/>
            <rFont val="宋体"/>
            <charset val="134"/>
          </rPr>
          <t xml:space="preserve">
1403391 5/5 5400pcs
张a1
</t>
        </r>
      </text>
    </comment>
    <comment ref="AI97" authorId="1">
      <text>
        <r>
          <rPr>
            <b/>
            <sz val="9"/>
            <rFont val="宋体"/>
            <charset val="134"/>
          </rPr>
          <t>Administrator:</t>
        </r>
        <r>
          <rPr>
            <sz val="9"/>
            <rFont val="宋体"/>
            <charset val="134"/>
          </rPr>
          <t xml:space="preserve">
4/23 亚马逊外箱贴纸 450pcs
</t>
        </r>
      </text>
    </comment>
    <comment ref="AF98" authorId="1">
      <text>
        <r>
          <rPr>
            <b/>
            <sz val="9"/>
            <rFont val="宋体"/>
            <charset val="134"/>
          </rPr>
          <t>Administrator:</t>
        </r>
        <r>
          <rPr>
            <sz val="9"/>
            <rFont val="宋体"/>
            <charset val="134"/>
          </rPr>
          <t xml:space="preserve">
1406183 5/11 1704pcs
张b1</t>
        </r>
      </text>
    </comment>
    <comment ref="AI98" authorId="1">
      <text>
        <r>
          <rPr>
            <b/>
            <sz val="9"/>
            <rFont val="宋体"/>
            <charset val="134"/>
          </rPr>
          <t>Administrator:</t>
        </r>
        <r>
          <rPr>
            <sz val="9"/>
            <rFont val="宋体"/>
            <charset val="134"/>
          </rPr>
          <t xml:space="preserve">
4/23 亚马逊外箱贴纸 284pcs
4/25 空白贴纸 3408pcs
环保标贴纸 1704pcs
</t>
        </r>
      </text>
    </comment>
    <comment ref="AH119" authorId="1">
      <text>
        <r>
          <rPr>
            <b/>
            <sz val="9"/>
            <rFont val="宋体"/>
            <charset val="134"/>
          </rPr>
          <t>Administrator:</t>
        </r>
        <r>
          <rPr>
            <sz val="9"/>
            <rFont val="宋体"/>
            <charset val="134"/>
          </rPr>
          <t xml:space="preserve">
1406183 5/11 570pcs
张b1</t>
        </r>
      </text>
    </comment>
    <comment ref="AK119" authorId="1">
      <text>
        <r>
          <rPr>
            <b/>
            <sz val="9"/>
            <rFont val="宋体"/>
            <charset val="134"/>
          </rPr>
          <t>Administrator:</t>
        </r>
        <r>
          <rPr>
            <sz val="9"/>
            <rFont val="宋体"/>
            <charset val="134"/>
          </rPr>
          <t xml:space="preserve">
4/25 空白贴纸 11400pcs
环保标贴纸 570pcs
5/5 亚马逊外箱贴纸 95pcs
</t>
        </r>
      </text>
    </comment>
    <comment ref="O131" authorId="2">
      <text>
        <r>
          <rPr>
            <b/>
            <sz val="9"/>
            <rFont val="宋体"/>
            <charset val="0"/>
          </rPr>
          <t>石玉珍:</t>
        </r>
        <r>
          <rPr>
            <sz val="9"/>
            <rFont val="宋体"/>
            <charset val="0"/>
          </rPr>
          <t xml:space="preserve">
8/5 PDQ贴纸 4*2pcs</t>
        </r>
      </text>
    </comment>
    <comment ref="O132" authorId="2">
      <text>
        <r>
          <rPr>
            <b/>
            <sz val="9"/>
            <rFont val="宋体"/>
            <charset val="0"/>
          </rPr>
          <t>石玉珍:</t>
        </r>
        <r>
          <rPr>
            <sz val="9"/>
            <rFont val="宋体"/>
            <charset val="0"/>
          </rPr>
          <t xml:space="preserve">
8/5 PDQ贴纸 4*2pcs</t>
        </r>
      </text>
    </comment>
    <comment ref="O133" authorId="2">
      <text>
        <r>
          <rPr>
            <b/>
            <sz val="9"/>
            <rFont val="宋体"/>
            <charset val="0"/>
          </rPr>
          <t>石玉珍:</t>
        </r>
        <r>
          <rPr>
            <sz val="9"/>
            <rFont val="宋体"/>
            <charset val="0"/>
          </rPr>
          <t xml:space="preserve">
8/5 PDQ贴纸 4*2pcs</t>
        </r>
      </text>
    </comment>
    <comment ref="O134" authorId="2">
      <text>
        <r>
          <rPr>
            <b/>
            <sz val="9"/>
            <rFont val="宋体"/>
            <charset val="0"/>
          </rPr>
          <t>石玉珍:</t>
        </r>
        <r>
          <rPr>
            <sz val="9"/>
            <rFont val="宋体"/>
            <charset val="0"/>
          </rPr>
          <t xml:space="preserve">
8/5 PDQ贴纸 4*2pcs</t>
        </r>
      </text>
    </comment>
  </commentList>
</comments>
</file>

<file path=xl/sharedStrings.xml><?xml version="1.0" encoding="utf-8"?>
<sst xmlns="http://schemas.openxmlformats.org/spreadsheetml/2006/main" count="58208" uniqueCount="12280">
  <si>
    <t>香港接单日期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</si>
  <si>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</si>
  <si>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</si>
  <si>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</si>
  <si>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</si>
  <si>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</si>
  <si>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</si>
  <si>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</si>
  <si>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</si>
  <si>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</si>
  <si>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</si>
  <si>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</si>
  <si>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</si>
  <si>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</si>
  <si>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</si>
  <si>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</si>
  <si>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S/O(截仓期)</t>
  </si>
  <si>
    <t>箱唛
(收到日期)</t>
  </si>
  <si>
    <t>外箱贴纸</t>
  </si>
  <si>
    <t>贴纸资料
(收到日期及订购日期)</t>
  </si>
  <si>
    <t>额外说明书/保证书</t>
  </si>
  <si>
    <t>客供物料</t>
  </si>
  <si>
    <t>样办</t>
  </si>
  <si>
    <t>备注</t>
  </si>
  <si>
    <t>ZURU跟单组员</t>
  </si>
  <si>
    <t>单价USD</t>
  </si>
  <si>
    <t>金额USD</t>
  </si>
  <si>
    <t>是否收到客版包装资料</t>
  </si>
  <si>
    <t>发票号</t>
  </si>
  <si>
    <t>系统货号</t>
  </si>
  <si>
    <t>是否入系统</t>
  </si>
  <si>
    <t>下单情况</t>
  </si>
  <si>
    <t>生产情况</t>
  </si>
  <si>
    <t>采购单</t>
  </si>
  <si>
    <t>已回数量</t>
  </si>
  <si>
    <t>欠数</t>
  </si>
  <si>
    <t>HN回复完成时间</t>
  </si>
  <si>
    <t>贴纸</t>
  </si>
  <si>
    <t>纸箱</t>
  </si>
  <si>
    <t>77673标准版本    订单数量</t>
  </si>
  <si>
    <t>77673COSTCO-NA 客版订单数量</t>
  </si>
  <si>
    <t>77673 TARGET US 客版 订单数量</t>
  </si>
  <si>
    <t>77673COSTCO-INT 客版订单数量</t>
  </si>
  <si>
    <t>收缩膜
1L A版本</t>
  </si>
  <si>
    <t>收缩膜
3L A版本</t>
  </si>
  <si>
    <t>客版3L 无条码版本收缩膜</t>
  </si>
  <si>
    <t>收藏指南  5L A版本</t>
  </si>
  <si>
    <t>中文收藏指南</t>
  </si>
  <si>
    <t>黑白说明书</t>
  </si>
  <si>
    <t>中文黑白说明书</t>
  </si>
  <si>
    <t>客版说明书</t>
  </si>
  <si>
    <t>BJ'S WHOLESALE CLUB, INC.客版收缩膜.收藏指南</t>
  </si>
  <si>
    <t>COSTCO客版收缩膜</t>
  </si>
  <si>
    <t>COSTCO客版收藏指南</t>
  </si>
  <si>
    <t>COSTCO客版说明书</t>
  </si>
  <si>
    <t>Smyths客版收缩膜</t>
  </si>
  <si>
    <t>Smyths客版收藏指南</t>
  </si>
  <si>
    <t>TARGET客版收缩膜</t>
  </si>
  <si>
    <t>TARGET客版收藏指南</t>
  </si>
  <si>
    <t>77637TQ1 1L</t>
  </si>
  <si>
    <t>77637TQ1 3L</t>
  </si>
  <si>
    <t>77637TQ2 3L</t>
  </si>
  <si>
    <t>77721彩盒</t>
  </si>
  <si>
    <t>77721托盘</t>
  </si>
  <si>
    <t>77785彩盒 1L</t>
  </si>
  <si>
    <t>77785彩盒 3L</t>
  </si>
  <si>
    <t>MEC305-S001-INT</t>
  </si>
  <si>
    <t>ZPO2412009</t>
  </si>
  <si>
    <t>77673-S001</t>
  </si>
  <si>
    <t>迷你冰箱12pcs/箱</t>
  </si>
  <si>
    <t>无</t>
  </si>
  <si>
    <t>Alison Chen</t>
  </si>
  <si>
    <t>97420-8.17</t>
  </si>
  <si>
    <t>N/A</t>
  </si>
  <si>
    <t>已完成</t>
  </si>
  <si>
    <t>THE WAREHOUSE LIMITED</t>
  </si>
  <si>
    <t>新西兰</t>
  </si>
  <si>
    <t>4500157534-50</t>
  </si>
  <si>
    <t>消耗PP订单出货</t>
  </si>
  <si>
    <r>
      <rPr>
        <sz val="11"/>
        <rFont val="宋体"/>
        <charset val="134"/>
      </rPr>
      <t xml:space="preserve">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77673：包装正面和说明书都需要加电池警告语贴纸（法规要求）
</t>
    </r>
    <r>
      <rPr>
        <sz val="11"/>
        <color rgb="FFFF0000"/>
        <rFont val="宋体"/>
        <charset val="134"/>
      </rPr>
      <t xml:space="preserve"> 所有外箱上都要贴一张大黄贴："ZURU Product for NZ test "</t>
    </r>
    <r>
      <rPr>
        <sz val="11"/>
        <rFont val="宋体"/>
        <charset val="134"/>
      </rPr>
      <t xml:space="preserve">
Remark: 
 77673：3PCS AG13 BATTERIES(INCLUDED)</t>
    </r>
  </si>
  <si>
    <t>Abby Liang</t>
  </si>
  <si>
    <t>95262-8.17</t>
  </si>
  <si>
    <t>已入</t>
  </si>
  <si>
    <t>ZMPO250187</t>
  </si>
  <si>
    <t>Remark:大货最新版本包装/大货标准箱装箱/箱唛请参照邮件附件;备注：收到样品订单后尽快安排 ，注意样板品质质量要求要高于大货品质要求 ，送货时必须要附带送货单(没有送货单和QC检验合格报告的仓库一律拒绝收货)，请知悉，谢谢！</t>
  </si>
  <si>
    <t xml:space="preserve">Angus </t>
  </si>
  <si>
    <t>94898-8.17</t>
  </si>
  <si>
    <t>东莞安排</t>
  </si>
  <si>
    <t>ZMPO250244</t>
  </si>
  <si>
    <t>迷你冰箱P39饮料瓶散件</t>
  </si>
  <si>
    <t>1100套</t>
  </si>
  <si>
    <t>Remark：大货版本/只需要左图款散件；备注：  收到订单后请尽快安排，谢谢</t>
  </si>
  <si>
    <t>Angus</t>
  </si>
  <si>
    <t>94899-8.17</t>
  </si>
  <si>
    <t>ZMPO250283</t>
  </si>
  <si>
    <t>80套散件</t>
  </si>
  <si>
    <t>Remark:大货最新版本/只需要齐套散件/麻烦用胶袋分装好一套为一袋/箱唛参照邮件附件;备注：  收到订单后请尽快安排，谢谢</t>
  </si>
  <si>
    <t>WAL-MART STORES INC. USA</t>
  </si>
  <si>
    <t>美国</t>
  </si>
  <si>
    <t>0902763014</t>
  </si>
  <si>
    <t>4500159641-10</t>
  </si>
  <si>
    <t>77673TQ1-S001</t>
  </si>
  <si>
    <t>迷你冰箱4pcs/箱</t>
  </si>
  <si>
    <t>4/25 第三方抽办</t>
  </si>
  <si>
    <t>有</t>
  </si>
  <si>
    <r>
      <rPr>
        <sz val="11"/>
        <rFont val="宋体"/>
        <charset val="134"/>
      </rPr>
      <t xml:space="preserve">日期码格式：ZURU DGYYYYMMDD CHINA(日期避开周末和法定节假日即可） 日期：按实际生产日期
Packaging Info: 77673TQ1-S001
1.包装要求：
</t>
    </r>
    <r>
      <rPr>
        <sz val="11"/>
        <color rgb="FFFF0000"/>
        <rFont val="宋体"/>
        <charset val="134"/>
      </rPr>
      <t>MA 1L A版收缩膜+MA 5L 收藏指南+MA 说明书+MA playset</t>
    </r>
    <r>
      <rPr>
        <sz val="11"/>
        <rFont val="宋体"/>
        <charset val="134"/>
      </rPr>
      <t xml:space="preserve">
每pcs产品上要贴1张RFID贴纸，贴纸由ZURU提供，贴纸位置请严格按照我们签回的签板；
Remark: 77673TQ1-S001
1.包装要求：
</t>
    </r>
    <r>
      <rPr>
        <sz val="11"/>
        <color rgb="FFFF0000"/>
        <rFont val="宋体"/>
        <charset val="134"/>
      </rPr>
      <t>MA 1L A版收缩膜+MA 5L 收藏指南+MA 说明书+MA playset</t>
    </r>
    <r>
      <rPr>
        <sz val="11"/>
        <rFont val="宋体"/>
        <charset val="134"/>
      </rPr>
      <t xml:space="preserve">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此单需要抽板和验货，抽板时间预计4/23，请多备料
6. 此单以loose carton出货，4pcs/PDQ/CTN</t>
    </r>
  </si>
  <si>
    <t>Maggie Xie</t>
  </si>
  <si>
    <t>ZMPO250315</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</si>
  <si>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</si>
  <si>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95176-8.17</t>
  </si>
  <si>
    <t>4500159882-20</t>
  </si>
  <si>
    <t>77673TQ1-S002</t>
  </si>
  <si>
    <t>迷你冰箱</t>
  </si>
  <si>
    <t>PASS</t>
  </si>
  <si>
    <t>4/25 出货</t>
  </si>
  <si>
    <r>
      <rPr>
        <sz val="11"/>
        <rFont val="宋体"/>
        <charset val="134"/>
      </rPr>
      <t xml:space="preserve">日期码格式：ZURU INC(BVI) 标准格式 日期：按实际生产日期 
Packaging Info: #77673TQ1:
 1.3PCS AG13 BATTERIES(INCLUDED)，有纽扣电池，包装正面和说明书都需要加电池警告语贴纸（法规要求）
 2.Filxed Collection
 </t>
    </r>
    <r>
      <rPr>
        <sz val="11"/>
        <color rgb="FFFF0000"/>
        <rFont val="宋体"/>
        <charset val="134"/>
      </rPr>
      <t>#77673需要加UPC贴纸</t>
    </r>
    <r>
      <rPr>
        <sz val="11"/>
        <rFont val="宋体"/>
        <charset val="134"/>
      </rPr>
      <t xml:space="preserve">
Remark: 1.MA UPC 英语包装（优先1L英语版本，或者3L/5L含英语都可）
 2.此客人不接受易掉落或者剥落或者可直接触碰的闪粉，可降解也不行，但可以接受符合欧洲微塑料标准的珠光粉或者闪片。</t>
    </r>
  </si>
  <si>
    <t>95093-8.17</t>
  </si>
  <si>
    <t>4500159886-20</t>
  </si>
  <si>
    <r>
      <rPr>
        <sz val="11"/>
        <rFont val="宋体"/>
        <charset val="134"/>
      </rPr>
      <t xml:space="preserve">日期码格式：ZURU INC(BVI) 标准格式 日期：按实际生产日期 
Packaging Info: #77673TQ1:
 1.3PCS AG13 BATTERIES(INCLUDED)，有纽扣电池，包装正面和说明书都需要加电池警告语贴纸（法规要求）
 2.Filxed Collection
</t>
    </r>
    <r>
      <rPr>
        <sz val="11"/>
        <color rgb="FFFF0000"/>
        <rFont val="宋体"/>
        <charset val="134"/>
      </rPr>
      <t xml:space="preserve"> #77673需要加UPC贴纸</t>
    </r>
    <r>
      <rPr>
        <sz val="11"/>
        <rFont val="宋体"/>
        <charset val="134"/>
      </rPr>
      <t xml:space="preserve">
Remark: 1.MA UPC 英语包装（优先1L英语版本，或者3L/5L含英语都可）
 2.此客人不接受易掉落或者剥落或者可直接触碰的闪粉，可降解也不行，但可以接受符合欧洲微塑料标准的珠光粉或者闪片。</t>
    </r>
  </si>
  <si>
    <t>95094-8.17</t>
  </si>
  <si>
    <t>ZURU LLC</t>
  </si>
  <si>
    <t>B0DR3VG3YH</t>
  </si>
  <si>
    <t>4500160498-30</t>
  </si>
  <si>
    <t>77673-S001-MTS</t>
  </si>
  <si>
    <t>日期码格式：ZURU INC(BVI) 标准格式 日期：按实际生产日期
Packaging Info: 
 #77673: MA 1L UPC版包装，出口美国。
Remark: 1.Amazon domestic 订单。出口美国。外箱最长边不能超过25" （超过了，case pack只能为1），不符合要求的大货，一律不接受。
 2.无第三方验货/测试要求。
 3.日期码使用ZURU标准版本。
 4.邮包盒要印刷日期码。</t>
  </si>
  <si>
    <t>Kelly Shen/Mia Pan/P</t>
  </si>
  <si>
    <t>OK</t>
  </si>
  <si>
    <t>ALL BRANDS TOYS PTY LTD</t>
  </si>
  <si>
    <t>澳大利亚</t>
  </si>
  <si>
    <t>4500159576-20</t>
  </si>
  <si>
    <t>77673-S003</t>
  </si>
  <si>
    <t>迷你冰箱6pcs/箱</t>
  </si>
  <si>
    <t>日期码格式：ZURU INC(BVI) 标准格式 日期：按实际生产日期 
Packaging Info:
 2. 77673: MA_UPC版本包装（MA首选1L，如无1L可用多语且含英语的配套多语UPC包装）+ 1张小纽扣电池警告语贴纸贴于包装正面 + 2张大纽扣电池警告语贴纸附
 带进口商信息分别贴于包装背面以及说明书上
Remark: 1.按实际生产日期;
 2.出澳大利亚，请按照相应标准生产;</t>
  </si>
  <si>
    <t>Lydia Wu</t>
  </si>
  <si>
    <t>95160-8.17</t>
  </si>
  <si>
    <t>KMART AUSTRALIA LTD</t>
  </si>
  <si>
    <t>4500160026-20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</si>
  <si>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</si>
  <si>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95095-8.17</t>
  </si>
  <si>
    <t>KMART AUSTRALIA LTD(NEW ZEALAND)</t>
  </si>
  <si>
    <t>4500160027-20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</si>
  <si>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</si>
  <si>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95097-8.17</t>
  </si>
  <si>
    <t>WALMART INC.</t>
  </si>
  <si>
    <t>0904512308
STATESBORO</t>
  </si>
  <si>
    <t>4500161759-10</t>
  </si>
  <si>
    <t>5/9 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</si>
  <si>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</si>
  <si>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RFID贴纸</t>
  </si>
  <si>
    <t>日期码格式：ZURU DGYYYYMMDD CHINA(日期避开周末和法定节假日即可） 日期：按实际生产日期
Packaging Info: 77673TQ1-S001
1.包装要求：
MA 1L A版收缩膜+MA 5L 收藏指南+MA 说明书+MA playset，翻单：4500159641
每pcs产品上要贴1张RFID贴纸，贴纸由ZURU提供，贴纸位置请严格按照我们签回的签板；
Remark: 77673TQ1-S001
1.包装要求：
MA 1L A版收缩膜+MA 5L 收藏指南+MA 说明书+MA playset，翻单：4500159641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</si>
  <si>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0904512292
SUFFOLK</t>
  </si>
  <si>
    <t>4500161759-20</t>
  </si>
  <si>
    <t>ZB00239-5.13</t>
  </si>
  <si>
    <t>ZURU Germany GMBH</t>
  </si>
  <si>
    <t>德国</t>
  </si>
  <si>
    <t>4500160634-20</t>
  </si>
  <si>
    <t>77673TQ1-S001-MTS</t>
  </si>
  <si>
    <t>多语折叠警告语贴纸（翻单4500157858）+WEEE通用黑色书纸带电池走货</t>
  </si>
  <si>
    <t>所有电子产品身上需要加字唛，为ZURU FRANCE 地址 (如无电子产品，或者产品布标有此地址，可忽略此信息)
 ZURU France 1/3, Rue d'Argenteuil 95210 SAINT-GRATIEN, FRANCE</t>
  </si>
  <si>
    <t>日期码格式：ZURU INC(BVI) 标准格式 日期：按实际生产日期 Tracking Code:
Packaging Info:
 77673TQ1: MA_3L PDQ + MA 3L EAN 收缩膜 + 多语折叠警告语贴纸（翻单4500157858） +MA5L收藏指南+ MA 23L说明书+MA纸袋 + WEEE通用黑色书纸带电池走货
 EAN # 4894680042773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</si>
  <si>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SD04</t>
  </si>
  <si>
    <t>95096-8.17</t>
  </si>
  <si>
    <t>Smyths Toys EU HQ UC</t>
  </si>
  <si>
    <t>4500155594-10</t>
  </si>
  <si>
    <t>77673TQ1-S003</t>
  </si>
  <si>
    <t>WEEE声明(带电池)走货欧洲通用30L-B版说明书</t>
  </si>
  <si>
    <r>
      <rPr>
        <sz val="11"/>
        <rFont val="宋体"/>
        <charset val="134"/>
      </rPr>
      <t>日期码格式：ZURU INC(BVI) 标准格式 日期：按实际生产日期 
Packaging Info: 最新MA PDQ(优先3L )+ 客版收缩膜(英法德callout/英法德意荷警语/法国环保logo) +</t>
    </r>
    <r>
      <rPr>
        <sz val="11"/>
        <color rgb="FFFF0000"/>
        <rFont val="宋体"/>
        <charset val="134"/>
      </rPr>
      <t>23L 说明书+客版收藏指南(英法德意荷) +客版WEEE声明通用说明书(带电池)
 EAN: 4894680042773</t>
    </r>
    <r>
      <rPr>
        <sz val="11"/>
        <rFont val="宋体"/>
        <charset val="134"/>
      </rPr>
      <t xml:space="preserve">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r>
  </si>
  <si>
    <t>Shirley Zhou</t>
  </si>
  <si>
    <t>94982-8.17</t>
  </si>
  <si>
    <t>WAL-MART CANADA CORP.</t>
  </si>
  <si>
    <t>加拿大</t>
  </si>
  <si>
    <t>4500160504-40</t>
  </si>
  <si>
    <t>77673-S002</t>
  </si>
  <si>
    <t>5/19 第三方验货，#77673需于2025/4/18安排签版, 签样数量：空PDQ2PCS, 大货样各4PCS+散件3套;
#77673 需于2025/4/28安排抽办测试, 抽办数量：大货各4 SETS</t>
  </si>
  <si>
    <r>
      <rPr>
        <sz val="11"/>
        <rFont val="宋体"/>
        <charset val="134"/>
      </rPr>
      <t xml:space="preserve">日期码格式：ZURU INC(BVI) 标准格式 日期：按实际生产日期
Packaging Info:
#77673：
MA3L收缩膜+UPC贴纸(UPC:193052079404)+MA23L说明书+MA5L收藏指南+MA5L,UV胶瓶身贴
产品配比：
7 Assortment, Polar bear: Penguin: Walrus: Mammoth: Owl: Seal: Snow man=10:10:10:10:10:8:2. Snow man is the rare item.
Remark: 1. 此单有箱唛；
3. 此单有第三方验货，烦请多备包装物料；
</t>
    </r>
    <r>
      <rPr>
        <sz val="11"/>
        <color rgb="FFFF0000"/>
        <rFont val="宋体"/>
        <charset val="134"/>
      </rPr>
      <t>5. #77673需于2025/4/18安排签版, 签样数量：空PDQ2PCS, 大货样各4PCS+齐套散件3套;
9. #77673 需于2025/4/28安排抽办测试, 抽办数量：大货4 pcs+齐套散件4SETS;</t>
    </r>
    <r>
      <rPr>
        <sz val="11"/>
        <rFont val="宋体"/>
        <charset val="134"/>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</si>
  <si>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Monica Zhou</t>
  </si>
  <si>
    <t>95077-8.17</t>
  </si>
  <si>
    <t>360 SALES SOLUTIONS INC</t>
  </si>
  <si>
    <t>2025ZURU11</t>
  </si>
  <si>
    <t>4500159666-20</t>
  </si>
  <si>
    <t>5/17 SI</t>
  </si>
  <si>
    <r>
      <rPr>
        <sz val="11"/>
        <rFont val="宋体"/>
        <charset val="134"/>
      </rPr>
      <t xml:space="preserve">日期码格式： 标准格式 日期：按实际生产日期
Packaging Info:
</t>
    </r>
    <r>
      <rPr>
        <sz val="11"/>
        <color rgb="FFFF0000"/>
        <rFont val="宋体"/>
        <charset val="134"/>
      </rPr>
      <t>77673 MA 多语（含英法）EAN包装+UPC贴纸， UPC号码193052079404</t>
    </r>
    <r>
      <rPr>
        <sz val="11"/>
        <rFont val="宋体"/>
        <charset val="134"/>
      </rPr>
      <t xml:space="preserve">
Remark: 出加拿大
Zuru验货.日期跟踪码：产品外包装及产品本身都必须有日期跟踪码，ZURU标准格式日期码。（箱唛日期码按跟单提供格式）</t>
    </r>
  </si>
  <si>
    <t xml:space="preserve"> Summer Mo</t>
  </si>
  <si>
    <t>95002-8.17</t>
  </si>
  <si>
    <t>77673-S001-3L</t>
  </si>
  <si>
    <t>预计5/14验货</t>
  </si>
  <si>
    <t>0904512282</t>
  </si>
  <si>
    <t>4500161760-10</t>
  </si>
  <si>
    <t>5/14 第三方验货</t>
  </si>
  <si>
    <t>0902421331
SAVANNAH</t>
  </si>
  <si>
    <t>4500159654-10</t>
  </si>
  <si>
    <t>每pcs产品上要贴1张RFID贴纸，贴纸由ZURU提供，贴纸位置请严格按照我们签回的签板，粉色艾利贴纸（不干胶打印）</t>
  </si>
  <si>
    <r>
      <rPr>
        <sz val="11"/>
        <rFont val="宋体"/>
        <charset val="134"/>
      </rPr>
      <t xml:space="preserve">日期码格式：ZURU DGYYYYMMDD CHINA(日期避开周末和法定节假日即可） 日期：按实际生产日期
Packaging Info: 77673TQ1-S001
1.包装要求：
</t>
    </r>
    <r>
      <rPr>
        <sz val="11"/>
        <color rgb="FFFF0000"/>
        <rFont val="宋体"/>
        <charset val="134"/>
      </rPr>
      <t>MA 1L A版收缩膜+MA 5L 收藏指南+MA 说明书+MA playset</t>
    </r>
    <r>
      <rPr>
        <sz val="11"/>
        <rFont val="宋体"/>
        <charset val="134"/>
      </rPr>
      <t xml:space="preserve">
每pcs产品上要贴1张RFID贴纸，贴纸由ZURU提供，贴纸位置请严格按照我们签回的签板；
Remark: 77673TQ1-S001
1.包装要求：
</t>
    </r>
    <r>
      <rPr>
        <sz val="11"/>
        <color rgb="FFFF0000"/>
        <rFont val="宋体"/>
        <charset val="134"/>
      </rPr>
      <t>MA 1L A版收缩膜+MA 5L 收藏指南+MA 说明书+MA playset</t>
    </r>
    <r>
      <rPr>
        <sz val="11"/>
        <rFont val="宋体"/>
        <charset val="134"/>
      </rPr>
      <t xml:space="preserve">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carton出货，4pcs/PDQ/CTN</t>
    </r>
  </si>
  <si>
    <t>0902421341
SUFFOLK</t>
  </si>
  <si>
    <t>4500159654-20</t>
  </si>
  <si>
    <t>0902421349
RIDGEVILLE SC</t>
  </si>
  <si>
    <t>4500159654-30</t>
  </si>
  <si>
    <t>ZURU Denmark ApS</t>
  </si>
  <si>
    <t>丹麦</t>
  </si>
  <si>
    <t>4500162820-20</t>
  </si>
  <si>
    <t>日期码格式：ZURU INC(BVI) 标准格式 日期：按实际生产日期
Packaging Info:
77673 MA3L EAN 版本收缩膜+1*多语警告语贴纸+MA 5L 收藏指南+ MA 23L 电池UV 警告语+MA PDQ （语言不限）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</si>
  <si>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94995-8.17</t>
  </si>
  <si>
    <t>ZMPO250350</t>
  </si>
  <si>
    <t>Remark:大货最新版本/大货标准箱装箱/箱唛请参照邮件附件;备注：收到样品订单后尽快安排 ，注意样板品质质量要求要高于大货品质要求 ，送货时必须要附带送货单(没有送货单和QC检验合格报告的仓库一律拒绝收货)，请知悉，谢谢！</t>
  </si>
  <si>
    <t>95497-8.17</t>
  </si>
  <si>
    <t>MEIJER DISTRIBUTION, INC.</t>
  </si>
  <si>
    <t>4500161407-20</t>
  </si>
  <si>
    <t>77673-S004</t>
  </si>
  <si>
    <t>日期码格式：ZURU INC(BVI) 标准格式 日期：
Packaging Info: 1. MA 1L 包装
2. 客人指定箱唛排版
Remark: 出货前 Zuru QC 验货</t>
  </si>
  <si>
    <t>Cherie Li</t>
  </si>
  <si>
    <t>4500161408-20</t>
  </si>
  <si>
    <t>ASIA GOAL LIMITED</t>
  </si>
  <si>
    <t>香港</t>
  </si>
  <si>
    <t>AG240427-HK</t>
  </si>
  <si>
    <t>4500160943-20</t>
  </si>
  <si>
    <t>客供警告语贴纸</t>
  </si>
  <si>
    <t>日期码格式：ZURU INC(BVI) 标准格式 日期：按实际生产日期
Packaging Info: 
77711GQ1 （INT): MA 3L 收缩膜+1张UPC 条码贴纸+ MA 3L PDQ+MA 5L 收藏指南+客供警语贴纸
 （1张贴球底部，1张贴说明书，1张贴收藏指南）
 77673TQ1:MA 1L 收缩膜+MA 1L PDQ+MA 5L 收藏指南+MA 说明书+1张客供警语贴纸+1张客供电池警语贴纸+1张客供中文警告说明书）
Remark: 此单出香港</t>
  </si>
  <si>
    <t>Doris Shou</t>
  </si>
  <si>
    <t>95022-8.17</t>
  </si>
  <si>
    <t>ASIA GOAL LIMITED TAIWAN BRANCH (H.</t>
  </si>
  <si>
    <t>台湾</t>
  </si>
  <si>
    <t>AG240431-TW</t>
  </si>
  <si>
    <t>4500161426-20</t>
  </si>
  <si>
    <t>日期码格式：ZURU INC(BVI) 标准格式 日期：按实际生产日期
Packaging Info:
77673TQ1：MA 1L 收缩膜+MA 1L PDQ+MA 5L 收藏指南+MA 说明书+1张警语贴纸
Remark: 此单出TW</t>
  </si>
  <si>
    <t>95068-8.17</t>
  </si>
  <si>
    <t>PPTOYS PTE LTD (SG)</t>
  </si>
  <si>
    <t>新加坡</t>
  </si>
  <si>
    <t>ZU25032701SG</t>
  </si>
  <si>
    <t>4500163177-20</t>
  </si>
  <si>
    <t>日期码格式：ZURU INC(BVI) 标准格式 日期：按实际生产日期
Packaging Info: 1. 77673因系统问题，暂时开40GP，待系统维护后会改成20GP发过来。
2. 77673-MA UPC包装（优先1L)+1张进口商贴纸
77673进口商贴纸资料待提供。
Remark: 77673-Filxed Collection， 3PCS AG13 BATTERIES(INCLUDED)</t>
  </si>
  <si>
    <t>Emma Wu</t>
  </si>
  <si>
    <t>95067-8.17</t>
  </si>
  <si>
    <t>4500160504-50</t>
  </si>
  <si>
    <t>5/19 第三方验货，77673需于2025/4/18安排签版, 签样数量：空PDQ2PCS, 大货样各4PCS+齐套散件3套;
9. #77673 需于2025/4/28安排抽办测试, 抽办数量：大货4 pcs+齐套散件4SETS;</t>
  </si>
  <si>
    <r>
      <rPr>
        <sz val="11"/>
        <rFont val="宋体"/>
        <charset val="134"/>
      </rPr>
      <t xml:space="preserve">日期码格式：ZURU INC(BVI) 标准格式 日期：按实际生产日期
Packaging Info:
#77673：
MA3L收缩膜+UPC贴纸(UPC:193052079404)+MA23L说明书+MA5L收藏指南+MA5L,UV胶瓶身贴
产品配比：
7 Assortment, Polar bear: Penguin: Walrus: Mammoth: Owl: Seal: Snow man=10:10:10:10:10:8:2. Snow man is the rare item.
Remark: 1. 此单有箱唛；
2. 9900923472单为ECOM订单，外箱四面须加一张黄色贴纸；
3. 此单有第三方验货，烦请多备包装物料；
</t>
    </r>
    <r>
      <rPr>
        <sz val="11"/>
        <color rgb="FFFF0000"/>
        <rFont val="宋体"/>
        <charset val="134"/>
      </rPr>
      <t>5. #77673需于2025/4/18安排签版, 签样数量：空PDQ2PCS, 大货样各4PCS+齐套散件3套;
9. #77673 需于2025/4/28安排抽办测试, 抽办数量：大货4 pcs+齐套散件4SETS;</t>
    </r>
    <r>
      <rPr>
        <sz val="11"/>
        <rFont val="宋体"/>
        <charset val="134"/>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</si>
  <si>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95066-8.17</t>
  </si>
  <si>
    <t>4500160504-60</t>
  </si>
  <si>
    <t>0904512278</t>
  </si>
  <si>
    <t>4500161761-10</t>
  </si>
  <si>
    <t>5/19 第三方验货</t>
  </si>
  <si>
    <t>TAS IMPORT AS(Lekekassen)</t>
  </si>
  <si>
    <t>挪威</t>
  </si>
  <si>
    <t>4500160993-30</t>
  </si>
  <si>
    <r>
      <rPr>
        <sz val="11"/>
        <rFont val="宋体"/>
        <charset val="134"/>
      </rPr>
      <t>日期码格式：ZURU INC(BVI) 标准格式 日期：按实际生产日期
Packaging Info:
3. 77673: MA 3L EAN版收缩膜+挪威/瑞典/丹麦语警告语/客人进口商地址贴纸做成一张贴纸+MA 5L收藏指南+MA 电池+UV胶警告语-23L +</t>
    </r>
    <r>
      <rPr>
        <sz val="11"/>
        <color rgb="FFFF0000"/>
        <rFont val="宋体"/>
        <charset val="134"/>
      </rPr>
      <t xml:space="preserve"> WEEE__带电池走货北欧六
语通用黑白说明书</t>
    </r>
    <r>
      <rPr>
        <sz val="11"/>
        <rFont val="宋体"/>
        <charset val="134"/>
      </rPr>
      <t xml:space="preserve">
4.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77673:4894680042773</t>
    </r>
  </si>
  <si>
    <t>Sheba</t>
  </si>
  <si>
    <t>95092-8.17</t>
  </si>
  <si>
    <t>TARGET  US</t>
  </si>
  <si>
    <t>10001232749-3890</t>
  </si>
  <si>
    <t>4500159604-10</t>
  </si>
  <si>
    <t>77673TQ1-S001-CC</t>
  </si>
  <si>
    <t>迷你冰箱 4pcs/箱（客版配件）</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</si>
  <si>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</si>
  <si>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Holly Zheng</t>
  </si>
  <si>
    <t>10001245308-3890</t>
  </si>
  <si>
    <t>4500158149-10</t>
  </si>
  <si>
    <t>日期码格式：ZURU INC(BVI) 标准格式 日期：按实际生产日期
Packaging Info: 77673TQ1：产品包装 客版收缩膜+客版收藏指南+MA说明书+ MA 1L PDQ；
Remark: 77673TQ1:
1. 77673TQ1-S001-CC-MINI BRANDS-FILL THE FRIDGE PLAYSET-SERIES 1-SHRINK WRAP,4PCS/PDQ,4PCS/PDQ/CTN
2. 产品包装 客版收缩膜+客版收藏指南+MA说明书+ MA 1L PDQ；客版收缩膜上的UPC显示193052079404；
3. 外箱正唛左上角位置粘贴条码箱贴纸，每箱只贴一张，由ZURU订购。来料贴纸上显示的客户DPCI# 086-02-3468， UPC显示10193052079401;
4. 外箱正唛箱唛内容右侧需贴一张Event label，内容显示Toys Set Date：7/20/2025，工厂自行订购；
此订单所有item：
1. 产品和包装上印刷 tracking code信息，格式为ZURU常规格式;
2. 出货方式：货代自提</t>
  </si>
  <si>
    <t>Smyths Toys HQ UC UK</t>
  </si>
  <si>
    <t>爱尔兰</t>
  </si>
  <si>
    <t>PO4400460300</t>
  </si>
  <si>
    <t>4500155602-10</t>
  </si>
  <si>
    <r>
      <rPr>
        <sz val="11"/>
        <rFont val="宋体"/>
        <charset val="134"/>
      </rPr>
      <t>日期码格式：ZURU INC(BVI) 标准格式 日期：按实际生产日期 
Packaging Info: 77673TQ1：</t>
    </r>
    <r>
      <rPr>
        <sz val="11"/>
        <color rgb="FFFF0000"/>
        <rFont val="宋体"/>
        <charset val="134"/>
      </rPr>
      <t>最新MA PDQ(优先3L )+客版收缩膜+23L说明书+客版收藏指南+客版WEEE声明通用说明书(带电池) （所有资料翻#4500155594）
 客户PO号码请参考remark</t>
    </r>
    <r>
      <rPr>
        <sz val="11"/>
        <rFont val="宋体"/>
        <charset val="134"/>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r>
  </si>
  <si>
    <t>Ula Zhao</t>
  </si>
  <si>
    <t>95064-8.17</t>
  </si>
  <si>
    <t>PO4400460306</t>
  </si>
  <si>
    <t>4500155602-20</t>
  </si>
  <si>
    <t>95041-8.17</t>
  </si>
  <si>
    <t>TOYS "R" US (CANADA) LTD.</t>
  </si>
  <si>
    <t>4500163438-10</t>
  </si>
  <si>
    <t>需要第三方SGS验货，验货时间2025/05/19，每款每色请备1PC完整带包装样品供验货人员参考。用完后若无损坏可以放回大货里。</t>
  </si>
  <si>
    <t>日期码格式：ZURU INC(BVI) 标准格式 日期：按实际生产日期
Packaging Info: 1. 出口加拿大市场，MA UPC版本包装。
#77673: MA 3L EAN版本 +UPC贴纸；UPC#193052079404; 3PCS AG13 BATTERIES(INCLUDED)
2. 产品、包装、外箱上面tracking code的时间格式需要一致
Remark: 3. 需要第三方SGS验货，验货时间2025/05/19，每款每色请备1PC完整带包装样品供验货人员参考。用完后若无损坏可以放回大货里。</t>
  </si>
  <si>
    <t>Abby Mai,Lluvia Zeng</t>
  </si>
  <si>
    <t>95233-8.17</t>
  </si>
  <si>
    <t>0902421329
HOUSTON</t>
  </si>
  <si>
    <t>4500159658-10</t>
  </si>
  <si>
    <t>5/22 第三方验货</t>
  </si>
  <si>
    <t>0902421316
MOBILE</t>
  </si>
  <si>
    <t>4500159658-20</t>
  </si>
  <si>
    <t>WM MORRISON SUPERMARKET PLC</t>
  </si>
  <si>
    <t>英国</t>
  </si>
  <si>
    <t>4500160042-10</t>
  </si>
  <si>
    <t>77673TQ1-S004</t>
  </si>
  <si>
    <t>迷你冰箱16pcs/箱</t>
  </si>
  <si>
    <r>
      <rPr>
        <sz val="11"/>
        <rFont val="宋体"/>
        <charset val="134"/>
      </rPr>
      <t>日期码格式：ZURU INC(BVI) 标准格式 日期：按实际生产日期
Packaging Info: 77673TQ1-S004： MA 1L UPC 包装+其他MA 最新包装</t>
    </r>
    <r>
      <rPr>
        <sz val="11"/>
        <color rgb="FFFF0000"/>
        <rFont val="宋体"/>
        <charset val="134"/>
      </rPr>
      <t>+1张防盗贴纸（贴纸类型10111896：40R ECON YBL DE 8.2 1kr）请工厂自行跟checkpoint供应商订购贴纸</t>
    </r>
    <r>
      <rPr>
        <sz val="11"/>
        <rFont val="宋体"/>
        <charset val="134"/>
      </rPr>
      <t xml:space="preserve">
UPC#193052079404，请先检查包装条码是否正确再安排做货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r>
  </si>
  <si>
    <t>Yoga Huang</t>
  </si>
  <si>
    <t>95102-8.17</t>
  </si>
  <si>
    <t>0904512284
EASTVALE</t>
  </si>
  <si>
    <t>4500161762-10</t>
  </si>
  <si>
    <t>0904512309
ELWOOD</t>
  </si>
  <si>
    <t>4500161762-20</t>
  </si>
  <si>
    <t>0904512289
STATESBORO</t>
  </si>
  <si>
    <t>4500161762-30</t>
  </si>
  <si>
    <t>0904512339
SUFFOLK</t>
  </si>
  <si>
    <t>4500161762-40</t>
  </si>
  <si>
    <t>ZB00389-6.2</t>
  </si>
  <si>
    <t>0904512352
RIDGEVILLE SC</t>
  </si>
  <si>
    <t>4500161762-50</t>
  </si>
  <si>
    <t>Outlet Drift AS</t>
  </si>
  <si>
    <t>4500162375-40</t>
  </si>
  <si>
    <r>
      <rPr>
        <sz val="11"/>
        <rFont val="宋体"/>
        <charset val="134"/>
      </rPr>
      <t>日期码格式：ZURU INC(BVI) 标准格式 日期：按实际生产日期
Packaging Info: 
77673:收缩膜MA EAN 3L A+收藏指南5L A</t>
    </r>
    <r>
      <rPr>
        <sz val="11"/>
        <color rgb="FFFF0000"/>
        <rFont val="宋体"/>
        <charset val="134"/>
      </rPr>
      <t>+MA 说明书 23L+1张警示语贴纸+带纽扣电池走货北欧六语通用黑白电池说明书</t>
    </r>
    <r>
      <rPr>
        <sz val="11"/>
        <rFont val="宋体"/>
        <charset val="134"/>
      </rPr>
      <t xml:space="preserve">
Remark: 1/配比: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r>
  </si>
  <si>
    <t>Zoe Zhou</t>
  </si>
  <si>
    <t>95040-8.17</t>
  </si>
  <si>
    <t>ZURU France</t>
  </si>
  <si>
    <t>法国</t>
  </si>
  <si>
    <t>4500162314-80</t>
  </si>
  <si>
    <r>
      <rPr>
        <sz val="11"/>
        <rFont val="宋体"/>
        <charset val="134"/>
      </rPr>
      <t xml:space="preserve">日期码格式：ZURU INC(BVI) 标准格式 日期：按实际生产日期
Packaging Info:
</t>
    </r>
    <r>
      <rPr>
        <sz val="11"/>
        <color rgb="FFFF0000"/>
        <rFont val="宋体"/>
        <charset val="134"/>
      </rPr>
      <t>77673TQ1</t>
    </r>
    <r>
      <rPr>
        <sz val="11"/>
        <rFont val="宋体"/>
        <charset val="134"/>
      </rPr>
      <t>:最新MA 3L EAN收缩膜+最新MA 5L收藏指南+最新MA 23L说明书+最新MA纸袋+最新MA 3L PDQ+多语警语折叠贴纸（含包装缺失的法/意/西环保标）+</t>
    </r>
    <r>
      <rPr>
        <sz val="11"/>
        <color rgb="FFFF0000"/>
        <rFont val="宋体"/>
        <charset val="134"/>
      </rPr>
      <t xml:space="preserve"> 多语版W
EEE电池垃圾桶的回收声明说明书（ included）,,</t>
    </r>
    <r>
      <rPr>
        <sz val="11"/>
        <rFont val="宋体"/>
        <charset val="134"/>
      </rPr>
      <t xml:space="preserve">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</si>
  <si>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Jade Wang</t>
  </si>
  <si>
    <t>95050-8.17</t>
  </si>
  <si>
    <t>SCHEEL'S ALL SPORTS, INC.</t>
  </si>
  <si>
    <t>PO#019848172</t>
  </si>
  <si>
    <t>4500159089-20</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</si>
  <si>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此单有4个客户PO， 请见侧边备注；
4. 出货配比: Zuru 标版配比。</t>
  </si>
  <si>
    <t>Mila Yao</t>
  </si>
  <si>
    <t>THE ENTERTAINER</t>
  </si>
  <si>
    <t>FB12980</t>
  </si>
  <si>
    <t>4500159575-40</t>
  </si>
  <si>
    <t>大货样： 请在5/10 前寄出每款1整套大货样到罗湖办公室7B Sandy Shao 收。</t>
  </si>
  <si>
    <r>
      <rPr>
        <sz val="11"/>
        <rFont val="宋体"/>
        <charset val="134"/>
      </rPr>
      <t xml:space="preserve">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77673TQ1-S002 </t>
    </r>
    <r>
      <rPr>
        <sz val="11"/>
        <color rgb="FFFF0000"/>
        <rFont val="宋体"/>
        <charset val="134"/>
      </rPr>
      <t>193052079404</t>
    </r>
    <r>
      <rPr>
        <sz val="11"/>
        <rFont val="宋体"/>
        <charset val="134"/>
      </rPr>
      <t xml:space="preserve">
* 大货样： 请在5/10 前寄出每款1整套大货样到罗湖办公室7B Sandy Shao 收。
Remark:
77673TQ1-S002 MA-1L 配套包装</t>
    </r>
    <r>
      <rPr>
        <sz val="11"/>
        <color rgb="FFFF0000"/>
        <rFont val="宋体"/>
        <charset val="134"/>
      </rPr>
      <t>+UPC 条码覆盖原包装条码位置，另外产品内包装再加多一张2国语言电池说明书(英文+阿拉伯文）</t>
    </r>
  </si>
  <si>
    <t>Sandy Shao</t>
  </si>
  <si>
    <t>95078-8.17</t>
  </si>
  <si>
    <t>SAINSBURY'S SUPERMARKET LTD</t>
  </si>
  <si>
    <t>PO#2735217-Cu
stomer
SKU#146638251</t>
  </si>
  <si>
    <t>4500163316-20</t>
  </si>
  <si>
    <t>日期码格式：ZURU INC(BVI) 标准格式 日期：按实际生产日期
Packaging Info:
77673TQ1：MA 3L+UPC贴纸（UPC#193052079404）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</si>
  <si>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May Wu</t>
  </si>
  <si>
    <t>95110-8.17</t>
  </si>
  <si>
    <t>TARGET US</t>
  </si>
  <si>
    <t>10001263725-3890</t>
  </si>
  <si>
    <t>4500159315-30</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</si>
  <si>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</si>
  <si>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 xml:space="preserve">Smyths Toys HQ UC </t>
  </si>
  <si>
    <t>4500156861-10</t>
  </si>
  <si>
    <t>荷兰警语贴纸(含法国环保logo)翻4500155602</t>
  </si>
  <si>
    <t>日期码格式：ZURU INC(BVI) 标准格式 日期：按实际生产日期 
Packaging Info: 77673TQ1：最新MA PDQ(优先3L )+ 客版收缩膜(英法德callout/英法德意荷警语/法国环保logo) +23L 说明书+客版收藏指南(英法德意荷) +客版WEEE声明通用说明
 书(带电池) （所有资料翻单#4500155594）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</si>
  <si>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95065-8.17</t>
  </si>
  <si>
    <t>Walmart Central America</t>
  </si>
  <si>
    <t>萨尔瓦多</t>
  </si>
  <si>
    <t>4500161312-20</t>
  </si>
  <si>
    <t>4/21，用双坑外箱</t>
  </si>
  <si>
    <t>贴纸翻单PO4500161302</t>
  </si>
  <si>
    <t>日期码格式：ZURU INC(BVI) 标准格式 日期：按实际生产日期
Packaging Info:
2. 77673：MA 3L EAN包装+UPC条码贴纸+MA多语说明书+进口商贴纸+箱唛，贴纸翻单PO4500161302
Remark: 1.使用双坑外箱
2.请注意产品包装条形码必须是UPC
3.无第三方验货</t>
  </si>
  <si>
    <t>Ever Li</t>
  </si>
  <si>
    <t>95361-8.17</t>
  </si>
  <si>
    <t>Walmart Central America-GT</t>
  </si>
  <si>
    <t>危地马拉</t>
  </si>
  <si>
    <t>4500161302-20</t>
  </si>
  <si>
    <t>日期码格式：ZURU INC(BVI) 标准格式 日期：按实际生产日期
Packaging Info:
2. 77673：MA 3L EAN包装+UPC条码贴纸+MA多语说明书+进口商贴纸+箱唛
Remark: 1.使用双坑外箱
2.请注意产品包装条形码必须是UPC
3.无第三方验货</t>
  </si>
  <si>
    <t>95360-8.17</t>
  </si>
  <si>
    <t>Walmart Central America-CR</t>
  </si>
  <si>
    <t>哥斯达黎加</t>
  </si>
  <si>
    <t>4500161306-20</t>
  </si>
  <si>
    <t>95359-8.17</t>
  </si>
  <si>
    <t>THE KROGER CO.</t>
  </si>
  <si>
    <t>PO#500-23710</t>
  </si>
  <si>
    <t>4500163428-40</t>
  </si>
  <si>
    <t>日期码格式：ZURU INC(BVI) 标准格式 日期：按实际生产日期
Packaging Info: 1、包装方式: MA UPC 优先1L最新版，出口美国
Remark: 2、无测试无验货要求
3、纸箱4面印ZURU LOGO + 箱唛
4、日期码请按ZURU标准版执行即可
5、ZURU OQC验货</t>
  </si>
  <si>
    <t>Vicky Wu</t>
  </si>
  <si>
    <t>ZB00622-7.1</t>
  </si>
  <si>
    <t>PO#600-59500</t>
  </si>
  <si>
    <t>4500163428-70</t>
  </si>
  <si>
    <t>ZB00627-7.2</t>
  </si>
  <si>
    <t>0902421327
EASTVALE</t>
  </si>
  <si>
    <t>4500159664-10</t>
  </si>
  <si>
    <t>5/27 第三方验货</t>
  </si>
  <si>
    <t>0902421372
ELWOOD</t>
  </si>
  <si>
    <t>4500159664-20</t>
  </si>
  <si>
    <t>0904512337</t>
  </si>
  <si>
    <t>4500161763-10</t>
  </si>
  <si>
    <t>5/30 第三方验货</t>
  </si>
  <si>
    <t>4/11 RFID贴纸</t>
  </si>
  <si>
    <t>日期码格式：ZURU DGYYYYMMDD CHINA(日期避开周末和法定节假日即可） 日期：按实际生产日期
Packaging Info: 77673TQ1-S001
1.包装要求：
MA 1L A版收缩膜+MA 5L 收藏指南+MA 说明书+MA playset，翻单：4500159641
每pcs产品上要贴1张RFID贴纸，贴纸由ZURU提供，贴纸位置请严格按照我们签回的签板
Remark: 77673TQ1-S001
1.包装要求：
MA 1L A版收缩膜+MA 5L 收藏指南+MA 说明书+MA playset，翻单：4500159641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</si>
  <si>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COOP NORGE HANDEL AS - DOM</t>
  </si>
  <si>
    <t>4500162197-20</t>
  </si>
  <si>
    <r>
      <rPr>
        <sz val="11"/>
        <rFont val="宋体"/>
        <charset val="134"/>
      </rPr>
      <t>日期码格式：ZURU INC(BVI) 标准格式 日期：按实际生产日期
Packaging Info:
2.77673TQ1：MA EAN 3L收缩膜+挪威语警语贴纸+MA 23L 电池警告语说明书</t>
    </r>
    <r>
      <rPr>
        <sz val="11"/>
        <color rgb="FFFF0000"/>
        <rFont val="宋体"/>
        <charset val="134"/>
      </rPr>
      <t>+MA-A 3L 展示盒+带纽扣电池走货北欧六语通用黑白电池说明书</t>
    </r>
    <r>
      <rPr>
        <sz val="11"/>
        <rFont val="宋体"/>
        <charset val="134"/>
      </rPr>
      <t xml:space="preserve">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77673TQ1-7254554-4894680042773-10193052079401
6/配比:
77673TQ1：Filxed Collection</t>
    </r>
  </si>
  <si>
    <t>95228-8.17</t>
  </si>
  <si>
    <t>K􀃤rkk􀃤inen Oy /Centrawla rehouse</t>
  </si>
  <si>
    <t>芬兰</t>
  </si>
  <si>
    <t>4500161573-230</t>
  </si>
  <si>
    <r>
      <rPr>
        <sz val="11"/>
        <rFont val="宋体"/>
        <charset val="134"/>
      </rPr>
      <t xml:space="preserve">日期码格式：ZURU INC(BVI) 标准格式 日期：按实际生产日期
Packaging Info:
16. 77673TQ1: MA 3L EAN版收缩膜+瑞典芬兰爱沙尼亚语警告语/MADE IN CHINA翻译成瑞典芬兰爱沙尼亚语言做成一张贴纸+MA 5L收藏指南+MA 电池+UV胶警告语-23
L+MA 3L </t>
    </r>
    <r>
      <rPr>
        <sz val="11"/>
        <color rgb="FFFF0000"/>
        <rFont val="宋体"/>
        <charset val="134"/>
      </rPr>
      <t>PDQ+带纽扣电池走货北欧六语通用黑白电池说明书</t>
    </r>
    <r>
      <rPr>
        <sz val="11"/>
        <rFont val="宋体"/>
        <charset val="134"/>
      </rPr>
      <t xml:space="preserve">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77673TQ1:4894680042773</t>
    </r>
  </si>
  <si>
    <t>95198-8.17</t>
  </si>
  <si>
    <t>UPD, INC.</t>
  </si>
  <si>
    <t>PO# 34501</t>
  </si>
  <si>
    <t>4500164375-30</t>
  </si>
  <si>
    <t>日期码格式：ZURU INC(BVI) 标准格式 日期：按实际生产日期
Packaging Info: 1. 包装方式：MA UPC 优先1L 最新包装，出口美国
Remark: 2. 外箱箱唛红色和黑色双色印刷
3. 产品和包装上印刷tracking code信息，格式为ZURU常规
4. 需要ZURU QC 验货合格后方可出货
5. 整柜出货。</t>
  </si>
  <si>
    <t>Sia Liu</t>
  </si>
  <si>
    <t>4500164783-80</t>
  </si>
  <si>
    <t>77673-S004-MTS</t>
  </si>
  <si>
    <t>迷你冰箱 4pcs/箱</t>
  </si>
  <si>
    <t>日期码格式：ZURU INC(BVI) 标准格式 日期：按实际生产日期
Packaging Info:
8.77673：MA 3L 最新版EAN收缩膜+1张多语可折叠贴纸+MA 5L收藏指南+1张5L（PL+HU+CZ+SK+RO )贴纸+MA 23L 电池+UV胶警告语+1张30L WEEE带电池走货说明书+
其它MA包装；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</si>
  <si>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</si>
  <si>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95098-8.17</t>
  </si>
  <si>
    <t>77673-S004-3L</t>
  </si>
  <si>
    <t>GLOBUS Logistik GmbH and Co KG</t>
  </si>
  <si>
    <t>4500161168-70</t>
  </si>
  <si>
    <r>
      <rPr>
        <sz val="11"/>
        <rFont val="宋体"/>
        <charset val="134"/>
      </rPr>
      <t>日期码格式：ZURU INC(BVI) 标准格式 日期：按实际生产日期
Packaging Info:
"77673TQ1: MA EAN收缩膜3L-A版本（+德语警告语贴纸）+MA电池+UV胶警告语23L说明书+MA纸袋+MA收藏指南5L-A版本+ MA PDQ3L-A版本+</t>
    </r>
    <r>
      <rPr>
        <sz val="11"/>
        <color rgb="FFFF0000"/>
        <rFont val="宋体"/>
        <charset val="134"/>
      </rPr>
      <t>WEEE 带电池走货 通用30
L 说明书</t>
    </r>
    <r>
      <rPr>
        <sz val="11"/>
        <rFont val="宋体"/>
        <charset val="134"/>
      </rPr>
      <t xml:space="preserve">
EAN:4894680042773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r>
  </si>
  <si>
    <t>Claire Wang</t>
  </si>
  <si>
    <t>95229-8.17</t>
  </si>
  <si>
    <t>0904512321</t>
  </si>
  <si>
    <t>4500161764-10</t>
  </si>
  <si>
    <t>JUGUETES PASTOR S.L.</t>
  </si>
  <si>
    <t>西班牙</t>
  </si>
  <si>
    <t>4500163040-30</t>
  </si>
  <si>
    <r>
      <rPr>
        <sz val="11"/>
        <rFont val="宋体"/>
        <charset val="134"/>
      </rPr>
      <t>日期码格式：ZURU INC(BVI) 标准格式 日期：按实际生产日期
Packaging Info:
2.77673:最新MA 3L EAN 版本包装+</t>
    </r>
    <r>
      <rPr>
        <sz val="11"/>
        <color rgb="FFFF0000"/>
        <rFont val="宋体"/>
        <charset val="134"/>
      </rPr>
      <t>一张西班牙环保标&lt;(&gt;&amp;&lt;)&gt;邮箱贴纸</t>
    </r>
    <r>
      <rPr>
        <sz val="11"/>
        <rFont val="宋体"/>
        <charset val="134"/>
      </rPr>
      <t>+MA 23L 说明书+MA 5L Creative 说明书+MA 3L PDQ；
Remark:</t>
    </r>
  </si>
  <si>
    <t>Miya Fang</t>
  </si>
  <si>
    <t>95263-8.17</t>
  </si>
  <si>
    <t>ARGOS LIMITED</t>
  </si>
  <si>
    <t>PO#239936-Cus
tomer
SKU#7624348</t>
  </si>
  <si>
    <t>4500163218-30</t>
  </si>
  <si>
    <t>日期码格式：ZURU INC(BVI) 标准格式 日期：按实际生产日期
Packaging Info: 
77673-S001
MA -1L UPC包装+客人白色Cat.label 1张覆盖ZURU条码
-注意Cat.label (要求易撕类贴纸，但是粘性不能过低），同时此贴纸每个订单都是不相同的(会显示客户对应的订单号），切勿翻旧订单购买，该贴纸由工厂自行
购买。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</si>
  <si>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 xml:space="preserve">May Wu </t>
  </si>
  <si>
    <t>95151-8.17</t>
  </si>
  <si>
    <t>UNIPAM SRL</t>
  </si>
  <si>
    <t>意大利</t>
  </si>
  <si>
    <t>4500164781-20</t>
  </si>
  <si>
    <t>贴纸和WEEE翻4500162314</t>
  </si>
  <si>
    <r>
      <rPr>
        <sz val="11"/>
        <rFont val="宋体"/>
        <charset val="134"/>
      </rPr>
      <t>日期码格式：ZURU INC(BVI) 标准格式 日期：按实际生产日期
Packaging Info:
2.77673TQ1:最新MA 3L EAN收缩膜+最新MA 5L收藏指南+最新MA 23L说明书+最新MA纸袋+最新MA 3L PDQ+</t>
    </r>
    <r>
      <rPr>
        <sz val="11"/>
        <color rgb="FFFF0000"/>
        <rFont val="宋体"/>
        <charset val="134"/>
      </rPr>
      <t>一张警语贴纸（含意大利警语和意大利环保标）+ 多语版WEE
E电池垃圾桶的回收声明说明书（ included，翻4500162314）</t>
    </r>
    <r>
      <rPr>
        <sz val="11"/>
        <rFont val="宋体"/>
        <charset val="134"/>
      </rPr>
      <t xml:space="preserve">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r>
  </si>
  <si>
    <t>Christine He</t>
  </si>
  <si>
    <t>95380-8.17</t>
  </si>
  <si>
    <t>NORWEGIAN TOY IMPORT AS - DOM</t>
  </si>
  <si>
    <t>4500163205-150</t>
  </si>
  <si>
    <r>
      <rPr>
        <sz val="11"/>
        <rFont val="宋体"/>
        <charset val="134"/>
      </rPr>
      <t>日期码格式：ZURU INC(BVI) 标准格式 日期：按实际生产日期
Packaging Info: 
77673TQ1：MA EAN 3L收缩膜 +</t>
    </r>
    <r>
      <rPr>
        <sz val="11"/>
        <color rgb="FFFF0000"/>
        <rFont val="宋体"/>
        <charset val="134"/>
      </rPr>
      <t>MA 23L 电池警告语说明书 +MA-A 3L 展示盒+进口商贴纸+带纽扣电池走货北欧六语通用黑白电池说明书_OL_画板 1</t>
    </r>
    <r>
      <rPr>
        <sz val="11"/>
        <rFont val="宋体"/>
        <charset val="134"/>
      </rPr>
      <t xml:space="preserve">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r>
  </si>
  <si>
    <t>95231-8.17</t>
  </si>
  <si>
    <t>4500163205-120</t>
  </si>
  <si>
    <r>
      <rPr>
        <sz val="11"/>
        <rFont val="宋体"/>
        <charset val="134"/>
      </rPr>
      <t>日期码格式：ZURU INC(BVI) 标准格式 日期：按实际生产日期
Packaging Info:
77673：MA_A EAN 3L 收缩膜 +</t>
    </r>
    <r>
      <rPr>
        <sz val="11"/>
        <color rgb="FFFF0000"/>
        <rFont val="宋体"/>
        <charset val="134"/>
      </rPr>
      <t>进口商贴纸+带纽扣电池走货北欧六语通用黑白电池说明书_OL_画板 1</t>
    </r>
    <r>
      <rPr>
        <sz val="11"/>
        <rFont val="宋体"/>
        <charset val="134"/>
      </rPr>
      <t xml:space="preserve">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r>
  </si>
  <si>
    <t>Lekia AB</t>
  </si>
  <si>
    <t>瑞典</t>
  </si>
  <si>
    <t>156653-2</t>
  </si>
  <si>
    <t>4500164226-30</t>
  </si>
  <si>
    <r>
      <rPr>
        <sz val="11"/>
        <rFont val="宋体"/>
        <charset val="134"/>
      </rPr>
      <t xml:space="preserve">日期码格式：ZURU INC(BVI) 标准格式 日期：按实际生产日期
Packaging Info: 
 77673TQ1-S001:MA 3L EAN版收缩膜+警告语/进口商贴纸+MA 5L收藏指南+MA （电池+UV胶警告语-23L）说明书+MA 3L PDQ+带纽扣电池走货北欧六语通用黑白电池说
 明书
</t>
    </r>
    <r>
      <rPr>
        <sz val="11"/>
        <color rgb="FFFF0000"/>
        <rFont val="宋体"/>
        <charset val="134"/>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77673TQ1-S001//100-223011473//4894680042773</t>
    </r>
  </si>
  <si>
    <t>Luna Lin</t>
  </si>
  <si>
    <t>95199-8.17</t>
  </si>
  <si>
    <t>HARVEY WHOLESALE LTD</t>
  </si>
  <si>
    <t>4500163518-20</t>
  </si>
  <si>
    <t>日期码格式：ZURU INC(BVI) 标准格式 日期：按实际生产日期
Packaging Info: 
#77673:Filxed Collection;
3PCS AG13 BATTERIES(INCLUDED)
Remark: MA UPC 英语包装（优先1L英语版本,或者3L/L含英语即可
#77673包装正面和说明书都需要加电池警告语贴纸（法规要求）</t>
  </si>
  <si>
    <t>95196-8.17</t>
  </si>
  <si>
    <t>4500162968-70</t>
  </si>
  <si>
    <t>日期码格式：ZURU INC(BVI) 标准格式 日期：按实际生产日期
Packaging Info:
77673-S001: MA英语UPC版本包装（收缩膜和说明书, MA首选1L，如无1L可用多语且含英语的配套多语包装) + 1张说明书纽扣电池警告语贴纸+ 1张收缩膜纽扣电池
警告语贴纸+ 1张防盗贴纸+箱唛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</si>
  <si>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95157-8.17</t>
  </si>
  <si>
    <t xml:space="preserve"> ZMPO250381</t>
  </si>
  <si>
    <t>95867-7.31</t>
  </si>
  <si>
    <t>4500163334-70</t>
  </si>
  <si>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</si>
  <si>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95292-8.17</t>
  </si>
  <si>
    <t>MAGGIO 3 SRL</t>
  </si>
  <si>
    <t>4500163950-10</t>
  </si>
  <si>
    <r>
      <rPr>
        <sz val="11"/>
        <rFont val="宋体"/>
        <charset val="134"/>
      </rPr>
      <t xml:space="preserve">日期码格式：ZURU INC(BVI) 标准格式 日期：按实际生产日期
Packaging Info: 77673TQ1: </t>
    </r>
    <r>
      <rPr>
        <sz val="11"/>
        <color rgb="FFFF0000"/>
        <rFont val="宋体"/>
        <charset val="134"/>
      </rPr>
      <t>（MA 3L PDQ+1张展示架ITF14条码贴纸）+MA A 3L 收缩膜含EAN条码</t>
    </r>
    <r>
      <rPr>
        <sz val="11"/>
        <rFont val="宋体"/>
        <charset val="134"/>
      </rPr>
      <t>+进口商含意大利环保标贴纸+MA A5L收藏指南，MA A23L说明书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</si>
  <si>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Mary Zhong</t>
  </si>
  <si>
    <t>95665-7.17</t>
  </si>
  <si>
    <t>77673TQ1-S002-3L</t>
  </si>
  <si>
    <t>JUGATOYS S.L.</t>
  </si>
  <si>
    <t>4500163874-30</t>
  </si>
  <si>
    <t>日期码格式：LOTE：39-工厂城市名缩写 20250602,只显示在包装上面即可</t>
  </si>
  <si>
    <r>
      <rPr>
        <sz val="11"/>
        <rFont val="宋体"/>
        <charset val="134"/>
      </rPr>
      <t>日期码格式：LOTE：39-工厂城市名缩写</t>
    </r>
    <r>
      <rPr>
        <sz val="11"/>
        <color rgb="FFFF0000"/>
        <rFont val="宋体"/>
        <charset val="134"/>
      </rPr>
      <t xml:space="preserve"> 20250603</t>
    </r>
    <r>
      <rPr>
        <sz val="11"/>
        <rFont val="宋体"/>
        <charset val="134"/>
      </rPr>
      <t>,只显示在包装上面即可 日期：
Packaging Info
 77673:MA A 3L 收缩膜含EAN条码+进口商贴纸+MA A5L收藏指南，MA A23L说明书（产品包装和PDQ都需要贴纸）+WEEE带电池走货欧洲30语通用黑白说明书
Remark: 1. 此单出西班牙，需满足EU测试标准要求，另外微塑料需符合EU法规；
 2. 标准配比
 3. 客户日期码格式 LOTE：39-工厂城市名缩写 20250603 ，客户日期码格式需显示在包装上，否则会有客诉。不用重复显示在产品上面，产品&lt;(&gt;&amp;&lt;)&gt; 外箱格式可
 以用回ZURU格式。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</si>
  <si>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95237-8.17</t>
  </si>
  <si>
    <t>77673-S003-3L</t>
  </si>
  <si>
    <t>欠</t>
  </si>
  <si>
    <t>NORDIC TOY TEAM AS - DOM</t>
  </si>
  <si>
    <t>4500164402-20</t>
  </si>
  <si>
    <t>进口商贴纸</t>
  </si>
  <si>
    <r>
      <rPr>
        <sz val="11"/>
        <rFont val="宋体"/>
        <charset val="134"/>
      </rPr>
      <t>日期码格式：ZURU INC(BVI) 标准格式 日期：按实际生产日期
Packaging Info: 
77673: MA_A EAN 3L 收缩膜+</t>
    </r>
    <r>
      <rPr>
        <sz val="11"/>
        <color rgb="FFFF0000"/>
        <rFont val="宋体"/>
        <charset val="134"/>
      </rPr>
      <t>MA 5L 收藏指南+进口商贴纸</t>
    </r>
    <r>
      <rPr>
        <sz val="11"/>
        <rFont val="宋体"/>
        <charset val="134"/>
      </rPr>
      <t xml:space="preserve">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
77673: Filxed Collection</t>
    </r>
  </si>
  <si>
    <t>95230-8.17</t>
  </si>
  <si>
    <t>Amazon EU SARL, Ndl Deutschland</t>
  </si>
  <si>
    <t>Amazon
UK:3P5HOGHS</t>
  </si>
  <si>
    <t>4500164250-100</t>
  </si>
  <si>
    <t>空白外箱（加印带Zuru字样的最新logo，除了邮包盒直接做外箱的产品） + SSCC LABEL一张, 无箱唛，MADE IN CHINA 外箱只印一正一侧。箱唛资料按照给定的
标准去做即可，无需发回我方再行审批(新标准将另行通知)。</t>
  </si>
  <si>
    <t>2张贴纸(1张UPC#，参考翻单PO#4500158582；1张可折叠警语贴
含德意警告语+IT环保标，参考翻单PO#4500157858);</t>
  </si>
  <si>
    <t>日期码格式：ZURU INC(BVI) 标准格式 日期：按实际生产日期
Packaging Info: Amazon UK(15714K/7150B/77673/77723/92119AH/9279B/9561)/FR(9543D)/DE(71126/77555/77731/92104G/9543E)
3. 77673：12pcs/ctn; MA 3L(3L warning EAN#)A收缩膜+MA 23L warning说明书+MA 5L A收藏指南+2张贴纸(1张UPC#，参考翻单PO#4500158582；1张可折叠警语贴
含德意警告语+IT环保标，参考翻单PO#4500157858);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</si>
  <si>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</si>
  <si>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95330-8.17</t>
  </si>
  <si>
    <t>Lobbes Speelgoed BV</t>
  </si>
  <si>
    <t>荷兰</t>
  </si>
  <si>
    <t>4500164557-20</t>
  </si>
  <si>
    <r>
      <rPr>
        <sz val="11"/>
        <rFont val="宋体"/>
        <charset val="134"/>
      </rPr>
      <t xml:space="preserve">日期码格式：ZURU INC(BVI) 标准格式 日期：按实际生产日期
Packaging Info:
</t>
    </r>
    <r>
      <rPr>
        <sz val="11"/>
        <color rgb="FFFF0000"/>
        <rFont val="宋体"/>
        <charset val="134"/>
      </rPr>
      <t xml:space="preserve"> 77673: 客版EN FR DE IT NL 5L收缩膜（翻单4500155594），客版EN FR DE IT NL 5L收藏指南（翻单4500155594），MA 5L配件袋，MA 23L黑白说明书，WEEE带电池
 走货欧洲30L通用黑白说明书</t>
    </r>
    <r>
      <rPr>
        <sz val="11"/>
        <rFont val="宋体"/>
        <charset val="134"/>
      </rPr>
      <t xml:space="preserve">
Remark: 1. STD配比
 2.EAN条码
 77673: 4894680042773
 3.须符合欧洲微塑料法规</t>
    </r>
  </si>
  <si>
    <t>Nicole Ye</t>
  </si>
  <si>
    <t>95264-8.17</t>
  </si>
  <si>
    <t>77673-S001-1</t>
  </si>
  <si>
    <t>ZMPO250363</t>
  </si>
  <si>
    <t>77785-S001-77673-INT-MTS</t>
  </si>
  <si>
    <t>1pcs迷你冰箱+2pcs迷你球混装</t>
  </si>
  <si>
    <t>Remark:大货版本/大货标准箱装箱/箱唛请参照邮件附件;备注：收到样品订单后尽快安排 ，注意样板品质质量要求要高于大货品质要求 ，送货时必须要附带送货单(没有送货单和QC检验合格报告的仓库一律拒绝收货)，请知悉，谢谢！</t>
  </si>
  <si>
    <t>95863-7.31</t>
  </si>
  <si>
    <t>77785-S001-INT</t>
  </si>
  <si>
    <t>0904512288EAS
TVALE</t>
  </si>
  <si>
    <t>4500162787-10</t>
  </si>
  <si>
    <t>外箱印刷带条码的RFID箱唛：RFID紫色色带+WM Dept.图标+RFID图标+ITF-14条码，四面右下角印刷ZURU logo, ITFF条码只印刷在正唛一面，在加印的时候确
保</t>
  </si>
  <si>
    <t>日期码格式：ZURU DGYYYYMMDD CHINA(日期避开周末和法定节假日即可） 日期：按实际生产日期
Packaging Info: 77673TQ1-S001
1.包装要求：
MA 1L A版收缩膜+MA 5L 收藏指南+MA 说明书+MA playset
每pcs产品上要贴1张RFID贴纸，贴纸由ZURU提供，贴纸位置请严格按照我们签回的签板；
Remark: 77673TQ1-S001
1.包装要求：
MA 1L A版收缩膜+MA 5L 收藏指南+MA 说明书+MA playset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5.此单以loose carton出货，4pcs/PDQ/CT</t>
  </si>
  <si>
    <t>0904512338ELW
OOD</t>
  </si>
  <si>
    <t>4500162787-20</t>
  </si>
  <si>
    <t>0904512314STA
TESBORO</t>
  </si>
  <si>
    <t>4500162787-30</t>
  </si>
  <si>
    <t>0904512301SUF
FOLK</t>
  </si>
  <si>
    <t>4500162787-40</t>
  </si>
  <si>
    <t>0904512358RID
GEVILLE SC</t>
  </si>
  <si>
    <t>4500162787-50</t>
  </si>
  <si>
    <t>AB Gee of Ripley Ltd.</t>
  </si>
  <si>
    <t>777 4APR25</t>
  </si>
  <si>
    <t>4500164759-120</t>
  </si>
  <si>
    <t>翻单</t>
  </si>
  <si>
    <t>日期码格式：ZURU INC(BVI) 标准格式 日期：按实际生产日期
Packaging Info:
12. 77673TQ1-S004：MA 最新UPC包装+WEEE带电池走货欧洲30语通用黑白说明书, UPC# 193052079404，请先检查条码是否正确再安排做货，如有问题请告知
Remark: 1.产品及包装需要印UKCA图标，包装需要有ZURU UK LTD/ZURU France地址信息，QC同事请核查，如有问题与跟单确认。
2. 需要符合欧洲标准不能含有闪粉和微塑料，否则不合法规会有客诉产生</t>
  </si>
  <si>
    <t>95251-8.17</t>
  </si>
  <si>
    <t>ESAL ENTERPRISES FZC</t>
  </si>
  <si>
    <t>沙特阿拉伯</t>
  </si>
  <si>
    <t>KSA</t>
  </si>
  <si>
    <t>4500162474-100</t>
  </si>
  <si>
    <t>77673PLB-S001</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</si>
  <si>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</si>
  <si>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Lena Huang</t>
  </si>
  <si>
    <t>96584-2-9.30</t>
  </si>
  <si>
    <t>CCD SELL OUT SERVICE SRL</t>
  </si>
  <si>
    <t>4500163782-30</t>
  </si>
  <si>
    <t>18pc冰箱+90pc球混装展示架</t>
  </si>
  <si>
    <t>6/9 截SI</t>
  </si>
  <si>
    <t>日期码格式：ZURU INC(BVI) 标准格式 日期：按实际生产日期
Packaging Info:
MEC305：MA展示架
子件77673:最新MA3LEAN收缩膜+最新MA5L收藏指南+最新MA23L说明书+最新MA纸袋+意大利环保标通用地址贴(含意大利警语)
Remark: 1. 此单出意大利，需要满足EU标准，通过ZURU验货即可；
2. 产品均符合EU微塑料法规要求：不能含有微塑料/闪粉
3, SMASHERS 或含Slime产品，所有化合物使用无硼版本出意大利。</t>
  </si>
  <si>
    <t>Lena Li</t>
  </si>
  <si>
    <t>95252-8.17</t>
  </si>
  <si>
    <t>MEC305-S001-INT-77673</t>
  </si>
  <si>
    <t>77673</t>
  </si>
  <si>
    <t>AG240428-HK</t>
  </si>
  <si>
    <t>4500161438-10</t>
  </si>
  <si>
    <t>77785-S001-77673-INT</t>
  </si>
  <si>
    <t>6/8 出货</t>
  </si>
  <si>
    <t>1张客供警语贴+1张客供电池警语贴纸+1张客供中文警告说明书</t>
  </si>
  <si>
    <r>
      <rPr>
        <sz val="11"/>
        <rFont val="宋体"/>
        <charset val="134"/>
      </rPr>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t>
    </r>
    <r>
      <rPr>
        <sz val="11"/>
        <color rgb="FFFF0000"/>
        <rFont val="宋体"/>
        <charset val="134"/>
      </rPr>
      <t xml:space="preserve">
（具体贴纸位置参考HK客供贴纸位置图）</t>
    </r>
    <r>
      <rPr>
        <sz val="11"/>
        <rFont val="宋体"/>
        <charset val="134"/>
      </rPr>
      <t xml:space="preserve">
Remark: 此单出HK</t>
    </r>
  </si>
  <si>
    <t>95358-8.17</t>
  </si>
  <si>
    <t>DISTRIBUIDORA JUGUETRON S.A. DE C.V</t>
  </si>
  <si>
    <t>墨西哥</t>
  </si>
  <si>
    <t>4500164861-110</t>
  </si>
  <si>
    <t>返工，6/10 出货</t>
  </si>
  <si>
    <t>产品/包装/说明书都需要贴一张进口商贴纸</t>
  </si>
  <si>
    <t>日期码格式：ZURU INC(BVI) 标准格式 日期：按实际生产日期
Packaging Info: 
77673:MA 3L EAN包装+UPC贴纸+MA 多语说明书+保证书+进口商贴纸+外箱贴纸，产品/包装/说明书都需要贴一张进口商贴纸
Remark: 此单有第三方监柜，需要每款多备1套完整物料</t>
  </si>
  <si>
    <t>Ava Liang</t>
  </si>
  <si>
    <t>95261-8.17</t>
  </si>
  <si>
    <t>4500163950-30</t>
  </si>
  <si>
    <r>
      <rPr>
        <sz val="11"/>
        <rFont val="宋体"/>
        <charset val="134"/>
      </rPr>
      <t>日期码格式：ZURU INC(BVI) 标准格式 日期：按实际生产日期
Packaging Info:
 MEC305:MA 展示架（如有MA3L则不用MA1L）</t>
    </r>
    <r>
      <rPr>
        <sz val="11"/>
        <color rgb="FFFF0000"/>
        <rFont val="宋体"/>
        <charset val="134"/>
      </rPr>
      <t>+1张展示架ITF14条码贴纸</t>
    </r>
    <r>
      <rPr>
        <sz val="11"/>
        <rFont val="宋体"/>
        <charset val="134"/>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</si>
  <si>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95665</t>
  </si>
  <si>
    <t>Smyths Toys HQ UC IE</t>
  </si>
  <si>
    <t>4500164476-10</t>
  </si>
  <si>
    <t>（所有资料翻#4500155594）</t>
  </si>
  <si>
    <t>日期码格式：ZURU INC(BVI) 标准格式 日期：按实际生产日期
Packaging Info: 77673TQ1：最新MA PDQ(优先3L )+客版收缩膜(英法德callout/英法德意荷警语/法国环保logo)+23L说明书+客版收藏指南(英法德意荷)（所有资料翻#4500155594）+
WEEE电池通用30L说明书（带电池）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</si>
  <si>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95301-8.17</t>
  </si>
  <si>
    <t>Amazon ES</t>
  </si>
  <si>
    <t>Amazon ES:
24T2QNEG</t>
  </si>
  <si>
    <t>4500158623-10</t>
  </si>
  <si>
    <t>2张贴纸(1张UPC#，参考翻单PO#4500158582；1张可折叠警语贴
含德意警告语+IT环保标，参考翻单PO#4500157858)</t>
  </si>
  <si>
    <r>
      <rPr>
        <sz val="11"/>
        <rFont val="宋体"/>
        <charset val="134"/>
      </rPr>
      <t xml:space="preserve">日期码格式：ZURU INC(BVI) 标准格式 日期：按实际生产日期
Packaging Info: Amazon ES(77673, 77731)/IT(77673, 77731)
1. 77673：12pcs/ctn; </t>
    </r>
    <r>
      <rPr>
        <sz val="11"/>
        <color rgb="FFFF0000"/>
        <rFont val="宋体"/>
        <charset val="134"/>
      </rPr>
      <t>MA 3L(3L warning EAN#)A收缩膜+MA 23L warning说明书+MA 5L A收藏指南+2张贴纸(1张UPC#，参考翻单PO#4500158582；1张可折叠警语贴
含德意警告语+IT环保标，参考翻单PO#4500157858);</t>
    </r>
    <r>
      <rPr>
        <sz val="11"/>
        <rFont val="宋体"/>
        <charset val="134"/>
      </rPr>
      <t xml:space="preserve">
3. 最迟验货不得晚于2025/6/6;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</si>
  <si>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Mandy Hu</t>
  </si>
  <si>
    <t>95341-8.17</t>
  </si>
  <si>
    <t>Amazon IT</t>
  </si>
  <si>
    <t>Amazon IT:
4NJLJW3F</t>
  </si>
  <si>
    <t>4500158623-20</t>
  </si>
  <si>
    <t>AMAZON UK</t>
  </si>
  <si>
    <t>Amazon UK:
5X73JCPG</t>
  </si>
  <si>
    <t>4500158582-10</t>
  </si>
  <si>
    <t>空白外箱（加印带Zuru字样的最新logo，除了邮包盒直接做外箱的产品） + SSCC LABEL一张, 无箱唛，MADE IN CHINA 外箱只印一正一侧。箱唛资料按照给定的
 标准去做即可，无需发回我方再行审批(新标准将另行通知)。</t>
  </si>
  <si>
    <r>
      <rPr>
        <sz val="11"/>
        <rFont val="宋体"/>
        <charset val="134"/>
      </rPr>
      <t xml:space="preserve">日期码格式：ZURU INC(BVI) 标准格式 日期：按实际生产日期
Packaging Info: Amazon UK(77673, 77731)/DE(77673, 77731)/FR(77673, 77731)
</t>
    </r>
    <r>
      <rPr>
        <sz val="11"/>
        <color rgb="FFFF0000"/>
        <rFont val="宋体"/>
        <charset val="134"/>
      </rPr>
      <t>1. 77673: 12pcs/ctn; MA 3L(3L warning EAN#)A收缩膜+MA 23L warning说明书+MA 5L A收藏指南+2张贴纸(1张UPC#；1张可折叠警语贴含德意警告语+IT环保标，
参考翻单PO#4500157858);</t>
    </r>
    <r>
      <rPr>
        <sz val="11"/>
        <rFont val="宋体"/>
        <charset val="134"/>
      </rPr>
      <t xml:space="preserve">
3. 验货时间不迟于2025/6/6.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</si>
  <si>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95345-8.17</t>
  </si>
  <si>
    <t>Amazon DE:
7ZBT6PGD</t>
  </si>
  <si>
    <t>4500158582-20</t>
  </si>
  <si>
    <t>Amazon FR:
1Y7VM65P</t>
  </si>
  <si>
    <t>4500158582-30</t>
  </si>
  <si>
    <t>NUEVOS ALMACENES, S.A.</t>
  </si>
  <si>
    <t>4500162780-10</t>
  </si>
  <si>
    <t>MEEC356-S001-INT-77673</t>
  </si>
  <si>
    <t>无客户贴纸-(AW/结构同标版MEC305)</t>
  </si>
  <si>
    <r>
      <rPr>
        <sz val="11"/>
        <rFont val="宋体"/>
        <charset val="134"/>
      </rPr>
      <t>日期码格式：ZURU INC(BVI) 标准格式 日期：按实际生产日期
Packaging Info: MEC356:MA 展架+箱唛，无客户贴纸+</t>
    </r>
    <r>
      <rPr>
        <sz val="11"/>
        <color rgb="FFFF0000"/>
        <rFont val="宋体"/>
        <charset val="134"/>
      </rPr>
      <t>展示架贴纸</t>
    </r>
    <r>
      <rPr>
        <sz val="11"/>
        <rFont val="宋体"/>
        <charset val="134"/>
      </rPr>
      <t xml:space="preserve">
77673：MA 3L EAN 包装+UPC贴纸
Remark: 订单需提交自检报告，客户审核通过才可以出货。
外箱上的箱唛资料会显示日期15/06/2025,产品/包装/外箱可以按ZURU 标准日期码打，也可以跟回外箱日期码，工厂自行选择,两者均可接受
MEC256 条码：
77673:193052079404(504pcs)</t>
    </r>
  </si>
  <si>
    <t>95503-8.17</t>
  </si>
  <si>
    <t>MEC356-S001-INT-77673</t>
  </si>
  <si>
    <t>Bol.com</t>
  </si>
  <si>
    <t>P2505497</t>
  </si>
  <si>
    <t>4500164946-20</t>
  </si>
  <si>
    <t>1张贴纸(1张可折叠警语贴含NL警告语，参考翻单PO#4500157858
)+WEEE电子产品说明书(带电池走货版，参考翻单PO#4500164946);</t>
  </si>
  <si>
    <t>日期码格式：ZURU INC(BVI) 标准格式 日期：按实际生产日期
2. 77673：12pcs/ctn; MA 3L(3L warning EAN#)A收缩膜+MA 23L warning说明书+MA 5L A收藏指南+1张贴纸(1张可折叠警语贴含NL警告语，参考翻单PO#4500157858
)+WEEE电子产品说明书(带电池走货版，参考翻单PO#4500164946);
3.最迟验货不得晚于2025/6/6;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</si>
  <si>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95291-8.17</t>
  </si>
  <si>
    <t>ADC BLACKFIRE ENTERTAINMENT SRL</t>
  </si>
  <si>
    <t>罗马尼亚</t>
  </si>
  <si>
    <t>PO-01472</t>
  </si>
  <si>
    <t>4500163230-20</t>
  </si>
  <si>
    <t>6/24 截SI</t>
  </si>
  <si>
    <t>日期码格式：ZURU INC(BVI) 标准格式 日期：按实际生产日期
Packaging Info:
77673TQ1: 1L MA 包装+进口商贴纸; A 版 5L MA 收藏指南/23L MA 说明书/A 版 1L MA PDQ
Remark: 1、若产品有比例使用ZURU STD 比例
2、所有item 均用MA UPC 条码，若包装不是UPC 条码的请告知
3、此单出欧洲需满足EU测试标准要求</t>
  </si>
  <si>
    <t>Snowy Wu</t>
  </si>
  <si>
    <t>95405-8.17</t>
  </si>
  <si>
    <t>KING JOUET LOGISTIQUE</t>
  </si>
  <si>
    <t>4500163211-10</t>
  </si>
  <si>
    <t>客版日期码LOT2527, 产品（蛋壳等）/包装（收缩膜等）/外箱 请保持一致</t>
  </si>
  <si>
    <r>
      <rPr>
        <sz val="11"/>
        <rFont val="宋体"/>
        <charset val="134"/>
      </rPr>
      <t>日期码格式：</t>
    </r>
    <r>
      <rPr>
        <sz val="11"/>
        <color rgb="FFFF0000"/>
        <rFont val="宋体"/>
        <charset val="134"/>
      </rPr>
      <t>LOT2522</t>
    </r>
    <r>
      <rPr>
        <sz val="11"/>
        <rFont val="宋体"/>
        <charset val="134"/>
      </rPr>
      <t xml:space="preserve"> 日期：
Packaging Info: 最新MA 3L EAN包装+</t>
    </r>
    <r>
      <rPr>
        <sz val="11"/>
        <color rgb="FFFF0000"/>
        <rFont val="宋体"/>
        <charset val="134"/>
      </rPr>
      <t>客版 3L 彩盒（翻4500163212）+ 一张mother EAN：4894680050945条码贴纸+一张进口商贴纸+一张产品贴纸+一张WEEE说明书纸</t>
    </r>
    <r>
      <rPr>
        <sz val="11"/>
        <rFont val="宋体"/>
        <charset val="134"/>
      </rPr>
      <t xml:space="preserve">
Remark: 1. 大货样品2套/item，用于客人验货签板。验货后还会抽办1套/item，请多备料；
2. 客版日期码LOT2522,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r>
  </si>
  <si>
    <t>95356-8.17</t>
  </si>
  <si>
    <t>Prénatal Retail Group Asia Pacific</t>
  </si>
  <si>
    <t>4500163212-10</t>
  </si>
  <si>
    <r>
      <rPr>
        <sz val="11"/>
        <rFont val="宋体"/>
        <charset val="134"/>
      </rPr>
      <t>日期码格式</t>
    </r>
    <r>
      <rPr>
        <sz val="11"/>
        <color rgb="FFFF0000"/>
        <rFont val="宋体"/>
        <charset val="134"/>
      </rPr>
      <t>：LOT2522 日期：</t>
    </r>
    <r>
      <rPr>
        <sz val="11"/>
        <rFont val="宋体"/>
        <charset val="134"/>
      </rPr>
      <t xml:space="preserve">
Packaging Info: 最新MA 3L EAN包装+最新MA </t>
    </r>
    <r>
      <rPr>
        <sz val="11"/>
        <color rgb="FFFF0000"/>
        <rFont val="宋体"/>
        <charset val="134"/>
      </rPr>
      <t>3L彩盒+一张mother EAN：4894680050945条码贴纸+一张进口商贴纸+一张产品贴纸+一张WEEE说明书纸</t>
    </r>
    <r>
      <rPr>
        <sz val="11"/>
        <rFont val="宋体"/>
        <charset val="134"/>
      </rPr>
      <t xml:space="preserve">
Remark: 1.RATIO 同MA 一致。
2.大货样品2套/item，用于客人验货签板。验货后还会抽办1套/item，请多备料。
3.客人日期码：</t>
    </r>
    <r>
      <rPr>
        <sz val="11"/>
        <color rgb="FFFF0000"/>
        <rFont val="宋体"/>
        <charset val="134"/>
      </rPr>
      <t>LOT2522</t>
    </r>
    <r>
      <rPr>
        <sz val="11"/>
        <rFont val="宋体"/>
        <charset val="134"/>
      </rPr>
      <t>，产品（蛋壳等）/包装（收缩膜等）/外箱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r>
  </si>
  <si>
    <t>95357-8.17</t>
  </si>
  <si>
    <t xml:space="preserve"> Multihexa Sdn Bhd</t>
  </si>
  <si>
    <t>马来西亚</t>
  </si>
  <si>
    <t>4500165640-50</t>
  </si>
  <si>
    <r>
      <rPr>
        <sz val="11"/>
        <rFont val="宋体"/>
        <charset val="134"/>
      </rPr>
      <t xml:space="preserve">日期码格式：ZURU INC(BVI) 标准格式 日期：按实际生产日期
Packaging Info: 1.
</t>
    </r>
    <r>
      <rPr>
        <sz val="11"/>
        <color rgb="FFFF0000"/>
        <rFont val="宋体"/>
        <charset val="134"/>
      </rPr>
      <t xml:space="preserve"> 77673-MA UPC包装（优先1L)+1张进口商贴纸。77673的贴纸资料待提供。</t>
    </r>
    <r>
      <rPr>
        <sz val="11"/>
        <rFont val="宋体"/>
        <charset val="134"/>
      </rPr>
      <t xml:space="preserve">
 进口商贴纸和mother upc贴纸(mother upc条码是193052074874）图稿、位置图翻单4500158287
 3.因为此客人进口商贴纸是通用的，只可能因为item不同尺寸会有差别，如果发现尺寸一样就请统一订购节省成本。
Remark:
 77673-Filxed Collection,3PCS AG13 BATTERIES(INCLUDED)</t>
    </r>
  </si>
  <si>
    <t>95362-8.17</t>
  </si>
  <si>
    <t>UNFI WHOLESALE INC</t>
  </si>
  <si>
    <t>PO# 43359476</t>
  </si>
  <si>
    <t>4500165209-30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</si>
  <si>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</si>
  <si>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PO# 91157512</t>
  </si>
  <si>
    <t>4500165209-80</t>
  </si>
  <si>
    <t>PO# 96103059</t>
  </si>
  <si>
    <t>4500165209-130</t>
  </si>
  <si>
    <t>MILLS FLEET FARM</t>
  </si>
  <si>
    <t>PO#4647606</t>
  </si>
  <si>
    <t>4500160726-20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</si>
  <si>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</si>
  <si>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T. PLANET SHOPS SL</t>
  </si>
  <si>
    <t>4500164735-10</t>
  </si>
  <si>
    <t>日期码格式：202502 日期：</t>
  </si>
  <si>
    <t>日期码格式：202502 日期：
Packaging Info: 77785： MA A 3L 收缩膜+MA5L收藏指南+进口商贴纸+EAN 条码贴纸,MA 最新23L说明书+WEEE带电池走货欧洲30语通用黑白说明书
Remark: 1, 此货出西班牙，需满足EU测试标准要求&lt;(&gt;&amp;&lt;)&gt; 微塑料需符合法规。另外请确保所有包装都有西班牙环保标。
2，出货前两周需寄2-3套大货样品，请多备料
3, 此客人推期有罚款，请按时完货
4, 需要ZURU OQC 验货，出货前要客户格式的验货报告给客人确认OK后才出货
5. 客户批次号：202502，包装/产品/外箱需保持一致</t>
  </si>
  <si>
    <t>95354-8.17</t>
  </si>
  <si>
    <t>APOLLO D.O.O.</t>
  </si>
  <si>
    <t>斯洛文尼亚</t>
  </si>
  <si>
    <t>4500164331-60</t>
  </si>
  <si>
    <r>
      <rPr>
        <sz val="11"/>
        <rFont val="宋体"/>
        <charset val="134"/>
      </rPr>
      <t>日期码格式：ZURU INC(BVI) 标准格式 日期：按实际生产日期
Packaging Info: 
 77763: MA 1LUPC包装+ 进口商贴纸</t>
    </r>
    <r>
      <rPr>
        <sz val="11"/>
        <color rgb="FFFF0000"/>
        <rFont val="宋体"/>
        <charset val="134"/>
      </rPr>
      <t>;MA收藏指南</t>
    </r>
    <r>
      <rPr>
        <sz val="11"/>
        <rFont val="宋体"/>
        <charset val="134"/>
      </rPr>
      <t xml:space="preserve">
Remark: 此单出欧洲斯洛文尼亚， 需满足EU测试标准要求，不能含微塑料，需出无闪粉版本
 77673: 3PCS AG13 BATTERIES(INCLUDED)</t>
    </r>
  </si>
  <si>
    <t>Sharon Zhao</t>
  </si>
  <si>
    <t>95572-7.7</t>
  </si>
  <si>
    <t>0904512340HOU
STON</t>
  </si>
  <si>
    <t>4500162973-10</t>
  </si>
  <si>
    <t>0904512294MOB
ILE</t>
  </si>
  <si>
    <t>4500162973-20</t>
  </si>
  <si>
    <t xml:space="preserve"> ZURU France</t>
  </si>
  <si>
    <t>4500169682-30</t>
  </si>
  <si>
    <t>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</si>
  <si>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多语警语折叠贴纸（含包装缺失的法/意/西环保标）+多语版WEEE电池垃圾桶的回收声明说明书（included）（贴纸和WEEE翻4500162314）</t>
  </si>
  <si>
    <t>日期码格式：ZURU INC(BVI) 标准格式 日期：按实际生产日期
Packaging Info: 77673TQ1:最新MA3LEAN收缩膜+最新MA5L收藏指南+最新MA23L说明书+最新MA纸袋+最新MA3LPDQ+多语警语折叠贴纸（含包装缺失的法/意/西环保标）+多语版WEEE电
 池垃圾桶的回收声明说明书（included）（贴纸和WEEE翻4500162314）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</si>
  <si>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95329-8.17</t>
  </si>
  <si>
    <t>4500160810-20</t>
  </si>
  <si>
    <t>UPC贴纸翻单：4500160504)</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</si>
  <si>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</si>
  <si>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95404-8.17</t>
  </si>
  <si>
    <t>4500164473-10</t>
  </si>
  <si>
    <t>日期码格式：ZURU INC(BVI) 标准格式 日期：按实际生产日期
Packaging Info: 77673TQ1: 最新MA PDQ(优先3L )+客版收缩膜(英法德callout/英法德意荷警语/法国环保logo)+23L说明书+客版收藏指南(英法德意荷)（所有资料翻#4500155594）+
WEEE电池通用30L说明书（带电池）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</si>
  <si>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95320-8.17</t>
  </si>
  <si>
    <t>Intertoys B.V.</t>
  </si>
  <si>
    <t>4500164022-20</t>
  </si>
  <si>
    <t>6/20 截SI</t>
  </si>
  <si>
    <t>日期码格式：ZURU INC(BVI) 标准格式 日期：按实际生产日期
Packaging Info:
77673: 客版3L+5L（英法德意荷）收缩膜翻-翻4500155594+客人款号EAN条码贴纸， MA23L 说明书+WEEE_带电池走货 _ 说明书欧洲EN+30L-OL， 客版收缩指南-翻4500155594， MA 纸袋
2. 出欧洲，微塑料需合规（如item本身不含微塑料 则忽略此要求）
3. 客人款号
77673 2008169
4. 大货样
请在2025/6/4日前寄出每个item 2pcs 到罗湖办公室, Amber Zhang 收</t>
  </si>
  <si>
    <t xml:space="preserve">Amber Zhang </t>
  </si>
  <si>
    <t>95381-8.17</t>
  </si>
  <si>
    <t xml:space="preserve"> Yug Contract</t>
  </si>
  <si>
    <t>乌克兰</t>
  </si>
  <si>
    <t>4500165525-20</t>
  </si>
  <si>
    <t>6/15 SI</t>
  </si>
  <si>
    <r>
      <rPr>
        <sz val="11"/>
        <rFont val="宋体"/>
        <charset val="134"/>
      </rPr>
      <t>日期码格式：ZURU INC(BVI) 标准格式 日期：按实际生产日期
Packaging Info: 
 77673TQ1: MA A版 3L EAN 包装+进口商贴纸; MA A版5L收藏指南; MA 最新版23L说明书+</t>
    </r>
    <r>
      <rPr>
        <sz val="11"/>
        <color rgb="FFFF0000"/>
        <rFont val="宋体"/>
        <charset val="134"/>
      </rPr>
      <t>进口商贴纸</t>
    </r>
    <r>
      <rPr>
        <sz val="11"/>
        <rFont val="宋体"/>
        <charset val="134"/>
      </rPr>
      <t>; MA A版3L PDQ
Remark: 1、所有item 均用MA EAN 条码，若包装不是EAN 条码的请告知
 2、此单出欧洲需满足EU测试标准要求，另外不能出闪粉（若产品本身不含闪粉则忽略这句话）</t>
    </r>
  </si>
  <si>
    <t xml:space="preserve"> Sharon Zhao</t>
  </si>
  <si>
    <t>95325-8.17</t>
  </si>
  <si>
    <t>ZMPO250459</t>
  </si>
  <si>
    <t>Remark:大货最新3L版本包装/大货标准箱装箱;备注：收到样品订单后尽快安排 ，注意样板品质质量要求要高于大货品质要求 ，送货时必须要附带送货单(没有送货单和QC检验合格报告的仓库一律拒绝收货)，请知悉，谢谢！</t>
  </si>
  <si>
    <t>95865-7.31</t>
  </si>
  <si>
    <t>GEKAS ULLAREED AB</t>
  </si>
  <si>
    <t>4500160445-70</t>
  </si>
  <si>
    <r>
      <rPr>
        <sz val="11"/>
        <rFont val="宋体"/>
        <charset val="134"/>
      </rPr>
      <t xml:space="preserve">日期码格式：ZURU INC(BVI) 标准格式 日期：按实际生产日期
Packaging Info:
 77673-S001_MA 3L EAN版收缩膜+MA 5L收藏指南+MA （电池+UV胶警告语-23L）说明书+MA 3L PDQ+带纽扣电池走货北欧六语通用黑白电池说明书+警告语/进口商贴
 纸
</t>
    </r>
    <r>
      <rPr>
        <sz val="11"/>
        <color rgb="FFFF0000"/>
        <rFont val="宋体"/>
        <charset val="134"/>
      </rPr>
      <t xml:space="preserve"> 北欧五语通用Slime黑白说明书
 带纽扣电池走货北欧六语通用黑白电池说明书
 上述贴纸翻单4500162375，之前已经安排MA 采购，请不要重复采购</t>
    </r>
    <r>
      <rPr>
        <sz val="11"/>
        <rFont val="宋体"/>
        <charset val="134"/>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77673-S001-4894680042773</t>
    </r>
  </si>
  <si>
    <t>95343-8.17</t>
  </si>
  <si>
    <t xml:space="preserve"> Navy Exchange Service Command</t>
  </si>
  <si>
    <t>PO#37490767</t>
  </si>
  <si>
    <t>4500165547-10</t>
  </si>
  <si>
    <r>
      <rPr>
        <sz val="11"/>
        <rFont val="宋体"/>
        <charset val="134"/>
      </rPr>
      <t>日期码格式：ZURU INC(BVI) 标准格式 日期：按实际生产日期
Packaging Info: ZURU MA UPC优先1L包装；出口美国
Remark: 1. 日期跟踪码：产品外包装及产品本身都必须有日期跟踪码，并且确保两者的日期跟踪码要一致；ZURU标准格式日期码 (请自行调整具体年月日生产期，但不能为
周末）
2. 外箱贴纸：
外箱除了需要印刷箱唛外，还需额外加贴</t>
    </r>
    <r>
      <rPr>
        <sz val="11"/>
        <color rgb="FFFF0000"/>
        <rFont val="宋体"/>
        <charset val="134"/>
      </rPr>
      <t>Packing Slip一张</t>
    </r>
    <r>
      <rPr>
        <sz val="11"/>
        <rFont val="宋体"/>
        <charset val="134"/>
      </rPr>
      <t xml:space="preserve">
Packing Slip: 每款产品第一箱的外箱都需在1面正唛右上角处贴上Packing Slip（跟单提供资料；工厂用A4纸打印）&lt;(&gt;,&lt;)&gt;见箱唛资料详细内容。
3. 需要提供ZURU QC验货图片及验货报告给客户才能放SO出货，请QC验货时尽可能拍详细的图片。</t>
    </r>
  </si>
  <si>
    <t xml:space="preserve"> Annie Huang</t>
  </si>
  <si>
    <t>KOTRYNA GROUP, UAB</t>
  </si>
  <si>
    <t>立陶苑</t>
  </si>
  <si>
    <t>pi0447951</t>
  </si>
  <si>
    <t>4500164995-60</t>
  </si>
  <si>
    <t>6/16 截SI</t>
  </si>
  <si>
    <r>
      <rPr>
        <sz val="11"/>
        <rFont val="宋体"/>
        <charset val="134"/>
      </rPr>
      <t>日期码格式：ZURU INC(BVI) 标准格式 日期：按实际生产日期
Packaging Info: 
 77673TQ1: A 版 1L MA 收缩膜+进口商贴纸；</t>
    </r>
    <r>
      <rPr>
        <sz val="11"/>
        <color rgb="FFFF0000"/>
        <rFont val="宋体"/>
        <charset val="134"/>
      </rPr>
      <t>客版电池</t>
    </r>
    <r>
      <rPr>
        <sz val="11"/>
        <rFont val="宋体"/>
        <charset val="134"/>
      </rPr>
      <t>+UV胶警告语MA 说明书/A 版 1L MA PDQ
Remark: "1、若产品有比例使用ZURU STD 比例
 2、所有item 均用MA UPC 条码，若包装不是UPC 条码的请告知
 3、此单出欧洲需满足EU测试标准要求"</t>
    </r>
  </si>
  <si>
    <t>Snowy</t>
  </si>
  <si>
    <t>95440-8.17</t>
  </si>
  <si>
    <t>Prenatal Retail Group Spain S.L.</t>
  </si>
  <si>
    <t>4500164587-10</t>
  </si>
  <si>
    <t>客人格式日期码 LOT2524，产品（蛋壳等）/包装（收缩膜等）/外箱都需要印此日期码，请务必保持一致。</t>
  </si>
  <si>
    <r>
      <rPr>
        <sz val="11"/>
        <rFont val="宋体"/>
        <charset val="134"/>
      </rPr>
      <t>日期码格式：LOT2524 日期：
Packaging Info:</t>
    </r>
    <r>
      <rPr>
        <sz val="11"/>
        <color rgb="FFFF0000"/>
        <rFont val="宋体"/>
        <charset val="134"/>
      </rPr>
      <t xml:space="preserve"> 1.77785：最新MA 3L EAN包装+客版3L 彩盒（翻4500163212）+一张mother EAN：4894680050945条码贴纸+一张进口商贴纸+一张产品贴纸+一张WEEE说明书纸</t>
    </r>
    <r>
      <rPr>
        <sz val="11"/>
        <rFont val="宋体"/>
        <charset val="134"/>
      </rPr>
      <t xml:space="preserve">
Remark: 1. 订单出欧洲国家-西班牙，产品不能含有闪粉/微塑料，请确保所有包装都有西班牙环保标。
2. 客人格式日期码 LOT2524，产品（蛋壳等）/包装（收缩膜等）/外箱都需要印此日期码，请务必保持一致。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6，此客户需要第三方验货，请在约三方验货前必须PASS ZURU验货。</t>
    </r>
  </si>
  <si>
    <t>95582-8.17</t>
  </si>
  <si>
    <t xml:space="preserve"> TARGET US</t>
  </si>
  <si>
    <t>10001263712-3890</t>
  </si>
  <si>
    <t>4500166259-20</t>
  </si>
  <si>
    <t>日期码格式：ZURU INC(BVI) 标准格式 日期：按实际生产日期
Packaging Info:
 77673TQ1：产品包装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此订单所有item：
 1. 产品和包装上印刷 tracking code信息，格式为ZURU常规格式;
 2. 出货方式：货代自提</t>
  </si>
  <si>
    <t xml:space="preserve"> Holly Zheng</t>
  </si>
  <si>
    <t>10001263713-3758</t>
  </si>
  <si>
    <t>4500166249-20</t>
  </si>
  <si>
    <t>ZURU Italy SRL</t>
  </si>
  <si>
    <t>4500164017-60</t>
  </si>
  <si>
    <t>6/17完成返工</t>
  </si>
  <si>
    <t>多语警语折叠贴纸（含意大利语callout+包装缺失的法/意/
西环保标）+ 多语版WEEE电池垃圾桶的回收声明说明书（ included），说明书翻4500162314</t>
  </si>
  <si>
    <r>
      <rPr>
        <sz val="11"/>
        <rFont val="宋体"/>
        <charset val="134"/>
      </rPr>
      <t xml:space="preserve">日期码格式：ZURU INC(BVI) 标准格式 日期：按实际生产日期
Packaging Info: 
</t>
    </r>
    <r>
      <rPr>
        <sz val="11"/>
        <color rgb="FFFF0000"/>
        <rFont val="宋体"/>
        <charset val="134"/>
      </rPr>
      <t>5.77673TQ1:最新MA 3L EAN收缩膜+最新MA 5L收藏指南+最新MA 23L说明书+最新MA纸袋+最新MA 3L PDQ+多语警语折叠贴纸（含意大利语callout+包装缺失的法/意/
西环保标）+ 多语版WEEE电池垃圾桶的回收声明说明书（ included），说明书翻4500162314</t>
    </r>
    <r>
      <rPr>
        <sz val="11"/>
        <rFont val="宋体"/>
        <charset val="134"/>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</si>
  <si>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95363-8.17</t>
  </si>
  <si>
    <t>10001263783-3758</t>
  </si>
  <si>
    <t>4500166232-10</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</si>
  <si>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</si>
  <si>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4500169682-80</t>
  </si>
  <si>
    <t>6/18 出货</t>
  </si>
  <si>
    <t>EAN贴纸（翻4500163212），多语警语折叠贴纸（含包装缺失的法/意/西环保标）+多语版WEEE电池垃圾桶的回收声明说明书（included）（贴纸和WEEE翻4500162314）</t>
  </si>
  <si>
    <t>日期码格式：ZURU INC(BVI) 标准格式 日期：按实际生产日期
Packaging Info:
"77785:最新客版彩盒+EAN贴纸（翻4500163212）
子件77673：最新MA3LEAN收缩膜+最新MA5L收藏指南+最新MA23L说明书+最新MA纸袋+多语警语折叠贴纸（含包装缺失的法/意/西环保标）+多语版WEEE电池垃圾桶的回
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</si>
  <si>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95389-8.17</t>
  </si>
  <si>
    <t>SUOMEN OSUUSKAUPPOJEN KESKUSKUNTA</t>
  </si>
  <si>
    <t>4500160378-30</t>
  </si>
  <si>
    <r>
      <rPr>
        <sz val="11"/>
        <rFont val="宋体"/>
        <charset val="134"/>
      </rPr>
      <t>日期码格式：ZURU INC(BVI) 标准格式 日期：按实际生产日期
Packaging Info: 
 3. 77673: MA 3L EAN版收缩膜+瑞典芬兰爱沙尼亚语警告语/MADE IN CHINA翻译成瑞典芬兰爱沙尼亚语言/</t>
    </r>
    <r>
      <rPr>
        <sz val="11"/>
        <color rgb="FFFF0000"/>
        <rFont val="宋体"/>
        <charset val="134"/>
      </rPr>
      <t>包装电池信息和说明书上电池信息翻译做成一张贴纸+MA 5
 L收藏指南</t>
    </r>
    <r>
      <rPr>
        <sz val="11"/>
        <rFont val="宋体"/>
        <charset val="134"/>
      </rPr>
      <t>+MA 电池+UV胶警告语-23L+MA 3L PDQ+带纽扣电池走货北欧六语通用黑白电池说明书+MA paper bag+瑞典芬兰爱沙尼亚语警告语贴在纸袋子上（贴纸和位
 置图跟77711共用)
 7. 配比跟MA
Remark:
 请在6/2之前各提供一套大货签板给我们签回供第三方验货用，签板必须跟大货完全一致，否则验货会不合格
 2. 77673新款: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77673-S001:4894680042773</t>
    </r>
  </si>
  <si>
    <t>Sheba Ye</t>
  </si>
  <si>
    <t>95522-7.1</t>
  </si>
  <si>
    <t>4500162819-10</t>
  </si>
  <si>
    <t>6/4 寄出RFID贴纸</t>
  </si>
  <si>
    <t>ZB00644-7.3</t>
  </si>
  <si>
    <t>0904512312ELW
OOD</t>
  </si>
  <si>
    <t>4500162819-20</t>
  </si>
  <si>
    <t>0907594691STA
TESBORO</t>
  </si>
  <si>
    <t>4500162819-30</t>
  </si>
  <si>
    <t>ZB00720-7.10</t>
  </si>
  <si>
    <t>0907594699RID
GEVILLE SC</t>
  </si>
  <si>
    <t>4500162819-40</t>
  </si>
  <si>
    <t>ZB00683-7.8</t>
  </si>
  <si>
    <t>0907594742SUF
FOLK</t>
  </si>
  <si>
    <t>4500162819-50</t>
  </si>
  <si>
    <t xml:space="preserve"> ROFU Kinderland Spielwarenhandelsge</t>
  </si>
  <si>
    <t>4500165600-50</t>
  </si>
  <si>
    <t>5/28寄出供价格贴纸，德语警告语贴纸 翻单：4500161168</t>
  </si>
  <si>
    <t>所有电子产品身上需要加字唛，为ZURU FRANCE 地址 (如无电子产品/产品布标有此地址/产品太小无法增加，可忽略此信息)
 ZURU France 1/3, Rue d'Argenteuil 95210 SAINT-GRATIEN, FRANCE</t>
  </si>
  <si>
    <r>
      <rPr>
        <sz val="11"/>
        <rFont val="宋体"/>
        <charset val="134"/>
      </rPr>
      <t>日期码格式：ZURU INC(BVI) 标准格式 日期：按实际生产日期
Packaging Info:
77673: MA EAN收缩膜3L-A版本+</t>
    </r>
    <r>
      <rPr>
        <sz val="11"/>
        <color rgb="FFFF0000"/>
        <rFont val="宋体"/>
        <charset val="134"/>
      </rPr>
      <t>Kinderherz 2025 Logo贴纸（翻单：4500166480）+德语警告语贴纸（ 翻单：4500161168）+客供价格贴纸 +MA电池+UV胶警告语23L
说明书+MA纸袋+MA收藏指南5L-A版本+WEEE 带电池走货 通用30L 说明书</t>
    </r>
    <r>
      <rPr>
        <sz val="11"/>
        <rFont val="宋体"/>
        <charset val="134"/>
      </rPr>
      <t xml:space="preserve">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r>
  </si>
  <si>
    <t xml:space="preserve"> Winnie zhong</t>
  </si>
  <si>
    <t>95421-8.17</t>
  </si>
  <si>
    <t xml:space="preserve"> RIALTO SPA</t>
  </si>
  <si>
    <t>4500163632-30</t>
  </si>
  <si>
    <t>日期码格式：ZURU INC(BVI) 标准格式 日期：按实际生产日期
Packaging Info: 
 77673TQ1: MA EAN收缩膜3L-A版本（+意大利警语贴纸+1*意大利sorting logo含进口商地址）+MA电池UV胶警告语23L说明书+MA纸袋+MA收藏指南5L-A版本+ MA PDQ+W
 EEE_带电池走货 _ 通用说明书
Remark: 1. 此单出意大利，需符合EU标准，不含微塑料，如果含slime等化学品，需要不含硼
 2. 需保证按期完货，延期罚款
 3.贴纸切勿盖住意大利警告语</t>
  </si>
  <si>
    <t>95461-8.17</t>
  </si>
  <si>
    <t xml:space="preserve"> AMIC TRADING (PTY) LTD</t>
  </si>
  <si>
    <t>南非</t>
  </si>
  <si>
    <t xml:space="preserve"> 6006-007111</t>
  </si>
  <si>
    <t>4500165851-110</t>
  </si>
  <si>
    <t>日期码格式：ZURU INC(BVI) 标准格式 日期：按实际生产日期
Packaging Info: MA 1L PKG ;
 MA 5L 收藏指南， MA说明书+ 1 张进口商贴纸（不得遮挡日期码）
(进口商贴纸新稿，后续新单以新版进口商贴纸为准，适用该客户订单的所有产品）
Remark:</t>
  </si>
  <si>
    <t xml:space="preserve"> Doris Shou</t>
  </si>
  <si>
    <t>95460-8.17</t>
  </si>
  <si>
    <t>B&amp;M RETAIL LIMITED</t>
  </si>
  <si>
    <t>客户PO:019236
41/1</t>
  </si>
  <si>
    <t>4500159524-10</t>
  </si>
  <si>
    <t>6/18 自检</t>
  </si>
  <si>
    <t>日期码格式：ZURU INC(BVI) 标准格式 日期：按实际生产日期 
Packaging Info: 标准配比
Remark: 订单对应2个客户PO，请不要混装， 不同PO分开装柜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</si>
  <si>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</si>
  <si>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95378/95379</t>
  </si>
  <si>
    <t>客户PO;019236
43/1</t>
  </si>
  <si>
    <t>4500159524-20</t>
  </si>
  <si>
    <t>CRG</t>
  </si>
  <si>
    <t>ZU02-2025</t>
  </si>
  <si>
    <t>4500167152-170</t>
  </si>
  <si>
    <t>日期码格式：ZURU INC(BVI) 标准格式 日期：按实际生产日期
Packaging Info:
11.77673：MA多语EAN包装+UPC贴纸+MA 多语收藏指南+进口商贴纸+箱唛
Remark: 
16. 77673：Filxed Collection; 3PCS AG13 BATTERIES(INCLUDED)</t>
  </si>
  <si>
    <t>95410-8.17</t>
  </si>
  <si>
    <t>Zhuyu(Shenzhen)Trading Co.,Ltd.</t>
  </si>
  <si>
    <t>中国</t>
  </si>
  <si>
    <t>4500165636-40</t>
  </si>
  <si>
    <t>此单为首单请各提供6套 大货样</t>
  </si>
  <si>
    <t>日期码格式：ZURU INC(BVI) 标准格式 日期：按实际生产日期
Packaging Info: 1.物料要求
 77673 MA +中文说明书+3C中文贴纸 +收藏指南
 此单为首单请各提供6套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</si>
  <si>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 xml:space="preserve"> Dona Tang</t>
  </si>
  <si>
    <t>95439/96440</t>
  </si>
  <si>
    <t>4500165636-50</t>
  </si>
  <si>
    <t>4500163394-50</t>
  </si>
  <si>
    <t>纸箱消耗4500157858取消单</t>
  </si>
  <si>
    <t>多语警语折叠贴纸（含包装缺失的法/意/西环保标）+ 多语版W
EEE电池垃圾桶的回收声明说明书（ included）（贴纸和WEEE翻4500162314）</t>
  </si>
  <si>
    <t>外箱/产品/包装 保持一致</t>
  </si>
  <si>
    <r>
      <rPr>
        <sz val="11"/>
        <rFont val="宋体"/>
        <charset val="134"/>
      </rPr>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t>
    </r>
    <r>
      <rPr>
        <sz val="11"/>
        <color rgb="FFFF0000"/>
        <rFont val="宋体"/>
        <charset val="134"/>
      </rPr>
      <t>（其中1200pcs消耗Amy Xiao订单4500157858，包装一样用多语警语折叠贴纸+WEEE欧洲
通用带电池出货电池说明书）</t>
    </r>
    <r>
      <rPr>
        <sz val="11"/>
        <rFont val="宋体"/>
        <charset val="134"/>
      </rPr>
      <t xml:space="preserve">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r>
  </si>
  <si>
    <t>95553-7.5</t>
  </si>
  <si>
    <t>CONTINENTE S.A.</t>
  </si>
  <si>
    <t>哥伦比亚</t>
  </si>
  <si>
    <t>COL66-25-FAL</t>
  </si>
  <si>
    <t>4500163691-230</t>
  </si>
  <si>
    <t>日期码格式：DG20250520</t>
  </si>
  <si>
    <t>日期码格式：DG20250520 日期：
Packaging Info:77673::MA 3L EAN 包装+进口商贴纸（进口商贴纸和UPC贴纸合并为一张）+箱唛
Remark:</t>
  </si>
  <si>
    <t>95523-7.1</t>
  </si>
  <si>
    <t xml:space="preserve"> TESCO CE</t>
  </si>
  <si>
    <t>斯洛伐克</t>
  </si>
  <si>
    <t xml:space="preserve"> 999-46877 999-46992</t>
  </si>
  <si>
    <t>4500166306-10</t>
  </si>
  <si>
    <r>
      <rPr>
        <sz val="11"/>
        <rFont val="宋体"/>
        <charset val="134"/>
      </rPr>
      <t xml:space="preserve">日期码格式：ZURU INC(BVI) 标准格式 日期：按实际生产日期
Packaging Info: </t>
    </r>
    <r>
      <rPr>
        <sz val="11"/>
        <color rgb="FFFF0000"/>
        <rFont val="宋体"/>
        <charset val="134"/>
      </rPr>
      <t>77673TQ1: MA A版1L UPC包装(加4国警告语贴纸Czech-Hugarian-Polish-Slovak),请先检查包装条码#193052079404是否正确再安排做货),MA A版1L PDQ</t>
    </r>
    <r>
      <rPr>
        <sz val="11"/>
        <rFont val="宋体"/>
        <charset val="134"/>
      </rPr>
      <t xml:space="preserve">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r>
  </si>
  <si>
    <t>95531-7.2</t>
  </si>
  <si>
    <t xml:space="preserve"> TOYS "R" US (CANADA) LTD.</t>
  </si>
  <si>
    <t>4500166007-10</t>
  </si>
  <si>
    <t>需要第三方SGS验货，验货时间2025/06/27</t>
  </si>
  <si>
    <t>日期码格式：ZURU INC(BVI) 标准格式 日期：按实际生产日期
Packaging Info: 1. 出口加拿大市场。
 #77673：MA 3L EAN_A版本 + UPC贴纸; UPC#193052079404; 3PCS AG13 BATTERIES(INCLUDED);
 2. 产品、包装、外箱上面tracking code的时间格式需要一致。
Remark: 3. 需要第三方SGS验货，验货时间2025/06/23，每款每色请备1PC完整带包装样品供验货人员参考。用完后若无损坏可以放回大货里。</t>
  </si>
  <si>
    <t xml:space="preserve"> Abby Mai,Lluvia Zeng</t>
  </si>
  <si>
    <t>95575-7.7</t>
  </si>
  <si>
    <t xml:space="preserve"> CANADIAN TIRE</t>
  </si>
  <si>
    <t>01041691</t>
  </si>
  <si>
    <t>4500166281-30</t>
  </si>
  <si>
    <t>日期码格式：ZURU INC(BVI) 标准格式 日期：按实际生产日期
Packaging Info: 77673TQ1 MA 多语包装+UPC 贴纸,,， UPC 193052079404
Remark: 出加拿大
Zuru验货.日期跟踪码：产品外包装及产品本身都必须有日期跟踪码，ZURU标准格式
 日期码。</t>
  </si>
  <si>
    <t>95462-8.17</t>
  </si>
  <si>
    <t>Distruibuciones Universales, SA - D</t>
  </si>
  <si>
    <t>洪都拉斯</t>
  </si>
  <si>
    <t>4500167533-130</t>
  </si>
  <si>
    <t>日期码格式：ZURU INC(BVI) 标准格式 日期：按实际生产日期
Packaging Info: 
MOTHER UPC 条码：
Remark: MA多语EAN包装+UPC贴纸+MA 多语收藏指南+箱唛
13. 77673: Filxed Collection; 3PCS AG13 BATTERIES(INCLUDED)</t>
  </si>
  <si>
    <t>95486-8.17</t>
  </si>
  <si>
    <t>BASILE GIOCATTOLI SRL</t>
  </si>
  <si>
    <t>4500164834-10</t>
  </si>
  <si>
    <t>日期码格式：ZURU INC(BVI) 标准格式 日期：按实际生产日期
Packaging Info: 77673TQ1:MA 3L PDQ+MA A 3L 收缩膜含EAN条码+一张意大利警语&lt;(&gt;&amp;&lt;)&gt;意大利环保标&lt;(&gt;&amp;&lt;)&gt;进口商内容贴纸+最新MA 5L收藏指南，最新 MA 23L说明书+WEEE带电
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</si>
  <si>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95512-7.1</t>
  </si>
  <si>
    <t>0907594694MOB
ILE</t>
  </si>
  <si>
    <t>4500162827-10</t>
  </si>
  <si>
    <t>ZB00620-7.1</t>
  </si>
  <si>
    <t xml:space="preserve"> MONOPRIX EXPLOITATION</t>
  </si>
  <si>
    <t xml:space="preserve"> 55-25-0039/1</t>
  </si>
  <si>
    <t>4500166177-30</t>
  </si>
  <si>
    <t>此票预计6/19第三方SGS实验室验货, 需做抽板测试(每个item预计抽板3-4套)请多备料, 验货和测试PASS后方可安排出货；</t>
  </si>
  <si>
    <t>欧洲通用30L WEEE_带电池走货声明书</t>
  </si>
  <si>
    <t>日期码格式：MONOP 0725 日期：
Packaging Info:
 77673TQ1:MA3L EAN收缩膜+1张客户网站贴纸+MA23L说明书+MA5L收藏指南/UV贴纸+MA3L PDQ+1张欧洲通用30L WEEE_带电池走货声明书
Remark: 1. 此票预计6/19第三方SGS实验室验货, 需做抽板测试(每个item预计抽板3-4套)请多备料, 验货和测试PASS后方可安排出货；
 2. 此票需按期完货, 推期有严重罚款；
 3. 此票出法国，请确保产品质量符合EU法国要求，包装含法国回收logo，产品符合欧洲微塑料法规；</t>
  </si>
  <si>
    <t xml:space="preserve"> Ula Zhao</t>
  </si>
  <si>
    <t>95689-7.18</t>
  </si>
  <si>
    <t>ZMPO250426</t>
  </si>
  <si>
    <t>95864-7.31</t>
  </si>
  <si>
    <t>PT. STAKOM TRIJAYA ANDALA</t>
  </si>
  <si>
    <t>印度尼西亚</t>
  </si>
  <si>
    <t>AW25</t>
  </si>
  <si>
    <t>4500167451-20</t>
  </si>
  <si>
    <r>
      <rPr>
        <sz val="11"/>
        <rFont val="宋体"/>
        <charset val="134"/>
      </rPr>
      <t>日期码格式：ZURU INC(BVI) 标准格式 日期：按实际生产日期
Packaging Info: MA UPC(优先1L) package，</t>
    </r>
    <r>
      <rPr>
        <sz val="11"/>
        <color rgb="FFF7241F"/>
        <rFont val="宋体"/>
        <charset val="134"/>
      </rPr>
      <t>77673TQ1无需任何贴纸;
此单只有77673TQ1带电池出货,客人确认如是带电产品或者需要电池操作的产品,都无需在国内加贴纸,他们自己会在国外加贴纸,所以这个item无需加贴纸;</t>
    </r>
    <r>
      <rPr>
        <sz val="11"/>
        <rFont val="宋体"/>
        <charset val="134"/>
      </rPr>
      <t xml:space="preserve">
可能会需样板做测试, 也有可能有第三方验货,请等我们进一步通知;
此单会跟其他订单一起出整柜, 届时如走20GP会改单价给你们;
Remark:
77673TQ1-Filxed Collection</t>
    </r>
  </si>
  <si>
    <t>95614-7.11</t>
  </si>
  <si>
    <t>Ramp-s Corporation</t>
  </si>
  <si>
    <t>菲律宾</t>
  </si>
  <si>
    <t>PO4-25-0009</t>
  </si>
  <si>
    <t>4500167360-30</t>
  </si>
  <si>
    <t>日期码格式：ZURU INC(BVI) 标准格式 日期：按实际生产日期
Packaging Info:77673TQ1-MA UPC包装（优先1L)+1张进口商贴纸,
Remark: 77673TQ1-Filxed Collection，3PCS AG13 BATTERIES(INCLUDED)</t>
  </si>
  <si>
    <t>95441-8.17</t>
  </si>
  <si>
    <t>Mid-States Distributing, LLC</t>
  </si>
  <si>
    <t>Farm &lt;(&gt;&amp;&lt;)&gt;
Home Supply
PO 1620196-99</t>
  </si>
  <si>
    <t>4500161570-550</t>
  </si>
  <si>
    <t>日期码格式：ZURU INC(BVI) 标准格式 日期：按实际生产日期
Packaging Info: 1.使用 MA UPC版本包装，优先1L，出口美国。
Remark: 1.产品和包装上印刷tracking code信息，格式为ZURU常规。
2.ZURU QC验货</t>
  </si>
  <si>
    <t>Cara Li</t>
  </si>
  <si>
    <t>L &lt;(&gt;&amp;&lt;)&gt; M
Fleet Supply
PO P10007409</t>
  </si>
  <si>
    <t>4500161570-560</t>
  </si>
  <si>
    <t>4500164017-70</t>
  </si>
  <si>
    <t>MEC305-S001-INT-MTS</t>
  </si>
  <si>
    <r>
      <rPr>
        <sz val="11"/>
        <rFont val="宋体"/>
        <charset val="134"/>
      </rPr>
      <t xml:space="preserve">日期码格式：ZURU INC(BVI) 标准格式 日期：按实际生产日期
Packaging Info:
 6.MEC305:（同77711/77673）+最新MA 展示架
</t>
    </r>
    <r>
      <rPr>
        <sz val="11"/>
        <color rgb="FFFF0000"/>
        <rFont val="宋体"/>
        <charset val="134"/>
      </rPr>
      <t xml:space="preserve"> 子件：77673TQ1:最新MA 3L EAN收缩膜+最新MA 5L收藏指南+最新MA 23L说明书+最新MA纸袋+最新MA 3L PDQ+多语警语折叠贴纸（含意大利语callout+包装缺失的法/
 意/西环保标）+ 多语版WEEE电池垃圾桶的回收声明说明书（ included），说明书翻4500162314</t>
    </r>
    <r>
      <rPr>
        <sz val="11"/>
        <rFont val="宋体"/>
        <charset val="134"/>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</si>
  <si>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95472-8.17</t>
  </si>
  <si>
    <t>MEC305-S001-INT-MTS-77673</t>
  </si>
  <si>
    <t>COSTCO DE MEXICO S.A. DE C.V.</t>
  </si>
  <si>
    <t>4500164462-10</t>
  </si>
  <si>
    <t>77758SLT-S001-INT</t>
  </si>
  <si>
    <t>1pcs迷你冰箱+3pcs迷你球混装</t>
  </si>
  <si>
    <t xml:space="preserve"> #77758SLT是首单需要安排10%，抽板测试: 抽板时间5/29。 请严格按期安排物料，预计会抽走6套成品版（具体数量届时再告知）+ all product package and shipping package+一套封板在工厂供100%验货用，箱唛要印刷客人箱唛，请做好损
耗计算；一般需要7-10 working day 做测试，抽版测试通过才能安排100%大货生产
3.77758SLT需要安排第三方100%完货验货:预计验货时间: 6/18
4. #77758SLT大货样板: 请在5/29提供三套大货样给客人留底</t>
  </si>
  <si>
    <t>6/23监柜</t>
  </si>
  <si>
    <r>
      <rPr>
        <sz val="11"/>
        <rFont val="宋体"/>
        <charset val="134"/>
      </rPr>
      <t xml:space="preserve">日期码格式：ZURU INC(BVI) 标准格式 日期：按实际生产日期
Packaging Info: 77758SLT:客版彩盒+客版球的收缩膜+客版冰箱收缩膜+客版冰箱收藏指南+客版球的收藏指南+客版Manual for three kinds of mini creates +客版球的黑白说明
书+客版内纸袋 +客版UV glue bottle sticker+客版冰箱电池警告语和说明书：（以上MA客版翻COSTCO UK PO#4500163768）&lt;(&gt;,&lt;)&gt; 客版PDQ(客版 PDQ翻Costco US
PO#4500156301) 墨
西哥订单加一张保证书+墨西哥NOM贴纸，产品/包装/说明书都要贴1张NOM 贴纸
Remark: 1. 所有日期码印在彩卡上，产品(枪)上也需印日期码.按实际生产日期，ZURU 标准版格式的日期码。
2. #77758SLT是首单需要安排10%，抽板测试: 抽板时间5
/29。 请严格按期安排物
料，预计会抽走6套成品版（具体数量届时再告知）+ all product package and shipping package+一套封板在工厂供100%验货用，箱唛要印刷客人箱唛，请做好损
耗计算；一般需要7-10 working day 做测试，抽版测试通过才能安排100%大货生产
3.77758SLT需要安排第三方100%完货验货:预计验货时间: 6/12。
4. #77758SLT大货样板: 请在5/29提供三套大货样给客人留底
5. 纸箱唛头：纸箱四面，只印刷一个正面，另外一个正面不印，侧唛也不印, 按照箱唛模板要求排版。按照箱唛模板要求排版。请注意箱唛印刷效果要我们确认后
才可印刷大货的。 6
. 确保展示架在入外箱时一定要正面对着有印刷箱唛的那面,不可以装反。
7
. 3PK 77711-INT(capsules)+1PK 77673 combo in color box， 3PCS AG13 BATTERIES(INCLUDED)
</t>
    </r>
    <r>
      <rPr>
        <sz val="11"/>
        <color rgb="FFFF0000"/>
        <rFont val="宋体"/>
        <charset val="134"/>
      </rPr>
      <t>8.此单需要监柜，需要安排1套大货样板用于监柜。</t>
    </r>
  </si>
  <si>
    <t>95508-8.17</t>
  </si>
  <si>
    <t xml:space="preserve"> MIGROS-GENOSSENSCHAFTS-BUND</t>
  </si>
  <si>
    <t>瑞士</t>
  </si>
  <si>
    <t>4500166647-10</t>
  </si>
  <si>
    <t>日期码格式：ZURU INC(BVI) 标准格式 日期：按实际生产日期
Packaging Info: "77785：客版彩盒+价格贴纸
 77673: MA EAN收缩膜3L-A版本（+德语意大利警告语贴纸）+MA电池+UV胶警告语23L说明书+MA纸袋+MA收藏指南5L-A版本+WEEE 带电池走货 通用30L 说明书
 "
Remark: 1. 价格贴纸要求为可移动贴纸
 2.一套大货样品/item，请多备料。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</si>
  <si>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 xml:space="preserve"> Winnie Zhong</t>
  </si>
  <si>
    <t>95513-7.1</t>
  </si>
  <si>
    <t>JUGUETTOS CENTRAL DE COMPRAS, S.COO</t>
  </si>
  <si>
    <t>1067 - PC25106</t>
  </si>
  <si>
    <t>4500166380-50</t>
  </si>
  <si>
    <r>
      <rPr>
        <sz val="11"/>
        <rFont val="宋体"/>
        <charset val="134"/>
      </rPr>
      <t xml:space="preserve">日期码格式：ZURU INC(BVI) 标准格式 日期：按实际生产日期
Packaging Info:
77785：MA A 3L 收缩膜+MA5L收藏指南+EAN 条码贴纸,MA 最新23L说明书+WEEE带电池走货欧洲30语通用黑白说明书
Remark: 1. 此单出西班牙市场，需满足EU测试标准要求，微塑料需符合EU法规。
</t>
    </r>
    <r>
      <rPr>
        <sz val="11"/>
        <color rgb="FFFF0000"/>
        <rFont val="宋体"/>
        <charset val="134"/>
      </rPr>
      <t>2. 客户要求提供3套大货样板 &lt;(&gt;&amp;&lt;)&gt; 3个折叠好的空盒子(如含有PDQ的话要寄PDQ)， 在6/24前寄到深圳办公室 ，需备料</t>
    </r>
  </si>
  <si>
    <t>95482-8.17</t>
  </si>
  <si>
    <t>4 Kidz Polska Sp. z o.o.</t>
  </si>
  <si>
    <t>波兰</t>
  </si>
  <si>
    <t>Carrefour q3 2025</t>
  </si>
  <si>
    <t>4500166548-20</t>
  </si>
  <si>
    <t>日期码格式：ZURU INC(BVI) 标准格式 日期：按实际生产日期
Packaging Info: 
77673TQ1: MA A版1L UPC收缩膜+进口商贴纸；MA A版5L收藏指南；MA 23L说明书；MA A版1LPDQ
Remark: 此单出欧洲需满足EU测试标准要求
77673TQ1: 3PCS AG13 BATTERIES(INCLUDED),增加带电池WEEE说明书</t>
  </si>
  <si>
    <t>Sharon</t>
  </si>
  <si>
    <t>95742-7.23</t>
  </si>
  <si>
    <t>0907594712HOU
STON</t>
  </si>
  <si>
    <t>4500162962-10</t>
  </si>
  <si>
    <t>6/27 自检</t>
  </si>
  <si>
    <t>ZB00669-7.7</t>
  </si>
  <si>
    <t xml:space="preserve"> THE ENTERTAINER</t>
  </si>
  <si>
    <t>FB13332</t>
  </si>
  <si>
    <t>4500166375-20</t>
  </si>
  <si>
    <t>大货样：新款请在6/17 前寄出每款2整套大货样到罗湖办公室7B Sandy Shao 收，翻单不用寄。</t>
  </si>
  <si>
    <t>6/30 出货</t>
  </si>
  <si>
    <t>WEEE 电池说明书</t>
  </si>
  <si>
    <r>
      <rPr>
        <sz val="11"/>
        <rFont val="宋体"/>
        <charset val="134"/>
      </rPr>
      <t>日期码格式：ZURU INC(BVI) 标准格式 日期：按实际生产日期
Packaging Info:
77673TQ1-S002：MA-1L 配套包装，</t>
    </r>
    <r>
      <rPr>
        <sz val="11"/>
        <color rgb="FFFF0000"/>
        <rFont val="宋体"/>
        <charset val="134"/>
      </rPr>
      <t>另外产品内包装再加多一张ZURU通用的WEEE带电池出货版电池说明书</t>
    </r>
    <r>
      <rPr>
        <sz val="11"/>
        <rFont val="宋体"/>
        <charset val="134"/>
      </rPr>
      <t>，条码请核对：193052079404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大货样：新款请在6/17 前寄出每款2整套大货样到罗湖办公室7B Sandy Shao 收，翻单不用寄。</t>
    </r>
  </si>
  <si>
    <t xml:space="preserve"> Sandy Shao</t>
  </si>
  <si>
    <t>95509-7.1</t>
  </si>
  <si>
    <t xml:space="preserve"> Smyths Toys EU HQ UC</t>
  </si>
  <si>
    <t>4500166480-20</t>
  </si>
  <si>
    <r>
      <rPr>
        <sz val="11"/>
        <rFont val="宋体"/>
        <charset val="134"/>
      </rPr>
      <t>日期码格式：ZURU INC(BVI) 标准格式 日期：按实际生产日期
Packaging Info:
77673TQ1:最新MA 3L PDQ+</t>
    </r>
    <r>
      <rPr>
        <sz val="11"/>
        <color rgb="FFFF0000"/>
        <rFont val="宋体"/>
        <charset val="134"/>
      </rPr>
      <t>Kinderherz 2025 Logo贴纸+ 客版收缩膜(英法德callout/英法德意荷警语/法国环保logo)+Kinderherz 2025 Logo贴纸 +客版收藏指南(英
法德意荷) 所有客版资料翻单4500155594+MA 23L 说明书WEEE带电池走货欧洲 30 语通用黑白说明书
EAN: 4894680042773</t>
    </r>
    <r>
      <rPr>
        <sz val="11"/>
        <rFont val="宋体"/>
        <charset val="134"/>
      </rPr>
      <t xml:space="preserve">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r>
  </si>
  <si>
    <t xml:space="preserve"> Joan Wang</t>
  </si>
  <si>
    <t>95596-7.9</t>
  </si>
  <si>
    <t>FREDMEYER INC</t>
  </si>
  <si>
    <t>000039196357</t>
  </si>
  <si>
    <t>4500164421-20</t>
  </si>
  <si>
    <t>日期码格式：ZURU INC(BVI) 标准格式 日期：按实际生产日期
Packaging Info: 1、包装方式：MA UPC优先1L最新版，出口美国
Remark: 2、无第三方测试与验货要求
3、纸箱4面印ZURU LOGO
4、日期码请按ZURU标准版执行即可
5、ZURU QC验货</t>
  </si>
  <si>
    <t>ZB00621R1-7.1</t>
  </si>
  <si>
    <t>H-E-B, LP</t>
  </si>
  <si>
    <t>PO#60X686709</t>
  </si>
  <si>
    <t>4500167106-30</t>
  </si>
  <si>
    <t>7/7(这个客户需要100%货好后做第三方抽板测试，测试过了才能出货）</t>
  </si>
  <si>
    <t>需5月30日前需寄出3套大货样板(含PDQ)，样板须跟大货一模一样（含日期码）。</t>
  </si>
  <si>
    <r>
      <rPr>
        <sz val="11"/>
        <rFont val="宋体"/>
        <charset val="134"/>
      </rPr>
      <t xml:space="preserve">日期码格式：ZURU INC(BVI) 标准格式 日期：按实际生产日期
Packaging Info: 1. 包材：ZURU MA 1L UPC最新版本，出口美国;
#15727:ZURU MA 5L UPC最新版本，出口美国;:
Remark: 2. 日期跟踪码：ZURU标准格式日期码，产品包装及产品本身都必须有ZURU标准格式日期码，并且确保两者信息保持一致(请自行调整具体年月日生产期，但不能为
周末）。
3. 大货样
</t>
    </r>
    <r>
      <rPr>
        <sz val="11"/>
        <color rgb="FFFF0000"/>
        <rFont val="宋体"/>
        <charset val="134"/>
      </rPr>
      <t>#77673,需6月25日前需寄出3套大货样板(含PDQ)，样板须跟大货一模一样（含日期码）。</t>
    </r>
    <r>
      <rPr>
        <sz val="11"/>
        <rFont val="宋体"/>
        <charset val="134"/>
      </rPr>
      <t xml:space="preserve">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t>
    </r>
    <r>
      <rPr>
        <sz val="11"/>
        <color rgb="FFFF0000"/>
        <rFont val="宋体"/>
        <charset val="134"/>
      </rPr>
      <t>盲盒类的</t>
    </r>
    <r>
      <rPr>
        <sz val="11"/>
        <rFont val="宋体"/>
        <charset val="134"/>
      </rPr>
      <t>：4pcs成品球+2个空PDQ+2套散件）寄到以下地址：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r>
  </si>
  <si>
    <t>Elsa Zheng</t>
  </si>
  <si>
    <t>ZB00886-7.26</t>
  </si>
  <si>
    <t>ESAL TRADING L.L.C.</t>
  </si>
  <si>
    <t>阿拉伯联合酋长国</t>
  </si>
  <si>
    <t>UAE</t>
  </si>
  <si>
    <t>4500162410-30</t>
  </si>
  <si>
    <t xml:space="preserve">日期码格式：ZURU INC(BVI) 标准格式 日期：按实际生产日期
Packaging Info:
 77673TQ1：MA PDQ+彩色贴纸+进口商贴纸；MA收藏指南+彩色贴纸；收缩膜+进口商贴纸；MA说明书+一张客制黑白说明书纸
Remark: </t>
  </si>
  <si>
    <t>96220-8.17</t>
  </si>
  <si>
    <t>卡塔尔</t>
  </si>
  <si>
    <t>QATAR</t>
  </si>
  <si>
    <t>4500162426-30</t>
  </si>
  <si>
    <r>
      <rPr>
        <sz val="11"/>
        <rFont val="宋体"/>
        <charset val="134"/>
      </rPr>
      <t>日期码格式：ZURU INC(BVI) 标准格式 日期：按实际生产日期
Packaging Info: 
 77673TQ1：</t>
    </r>
    <r>
      <rPr>
        <sz val="11"/>
        <color rgb="FFFF0000"/>
        <rFont val="宋体"/>
        <charset val="134"/>
      </rPr>
      <t>MA PDQ+彩色贴纸+进口商贴纸；MA收藏指南+彩色贴纸；收缩膜+进口商贴纸；MA说明书+一张客制黑白说明书纸</t>
    </r>
    <r>
      <rPr>
        <sz val="11"/>
        <rFont val="宋体"/>
        <charset val="134"/>
      </rPr>
      <t xml:space="preserve">
Remark:</t>
    </r>
  </si>
  <si>
    <t>96221-8.17</t>
  </si>
  <si>
    <t xml:space="preserve"> JUGUETES Y PELUCHES SANCHIS S.A.</t>
  </si>
  <si>
    <t>4500166563-30</t>
  </si>
  <si>
    <t>日期码格式：ZURU INC(BVI) 标准格式 日期：按实际生产日期
Packaging Info:
77785：77785:最新客版彩盒+EAN贴纸+一张客户警语贴纸；
子件77673：最新MA3LEAN收缩膜+最新MA5L收藏指南+最新MA23L说明书+最新MA纸袋+MA WEEE带电池走货欧洲30语通用黑白说明书 ；
Remark: 1.此单出西班牙市场，需满足EU测试标准要求，微塑料需符合EU法规。
 2.此单LC条款，延迟出货有罚款；
 3.此单每款产品各寄一套大货样到深圳办公室，请注意备料；</t>
  </si>
  <si>
    <t xml:space="preserve"> Mary Zhong</t>
  </si>
  <si>
    <t>95563-7.5</t>
  </si>
  <si>
    <t xml:space="preserve"> Van Cranenbroek ELC bv</t>
  </si>
  <si>
    <t xml:space="preserve"> IO-01000011314</t>
  </si>
  <si>
    <t>4500163986-70</t>
  </si>
  <si>
    <t>带电池走货 _ 说明书欧洲EN+30L
 贴纸</t>
  </si>
  <si>
    <r>
      <rPr>
        <sz val="11"/>
        <rFont val="宋体"/>
        <charset val="134"/>
      </rPr>
      <t>日期码格式：ZURU INC(BVI) 标准格式 日期：按实际生产日期
Packaging Info: 
 77673:MA 3L EAN收缩膜(4894680042773)+NL警语贴纸，MA 纸袋，</t>
    </r>
    <r>
      <rPr>
        <sz val="11"/>
        <color rgb="FFFF0000"/>
        <rFont val="宋体"/>
        <charset val="134"/>
      </rPr>
      <t>客版收藏指南翻4500155594</t>
    </r>
    <r>
      <rPr>
        <sz val="11"/>
        <rFont val="宋体"/>
        <charset val="134"/>
      </rPr>
      <t>，MA 23L 警语说明书+WEEE_带电池走货 _ 说明书欧洲EN+30L
Remark: 1.出口欧洲，所有产品微塑料需符合法规
 2. 标准产品，没有特殊配比要求
 3. 所有出往欧洲市场订单的电子产品需增加一张WEEE声明说明书，区分带电池和不带电池版本, 如已做客版说明书可忽略此要求。</t>
    </r>
  </si>
  <si>
    <t xml:space="preserve"> Amber Zhang</t>
  </si>
  <si>
    <t>95640-7.14</t>
  </si>
  <si>
    <t>Costco Wholesale Canada Ltd</t>
  </si>
  <si>
    <t>4500161400-10</t>
  </si>
  <si>
    <t>77721SLT-S001</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</si>
  <si>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t>
  </si>
  <si>
    <t>Cherish Yao</t>
  </si>
  <si>
    <t>95542-7.3</t>
  </si>
  <si>
    <t>Gullskógar ehf - DOM</t>
  </si>
  <si>
    <t>冰岛</t>
  </si>
  <si>
    <t>4500166269-170</t>
  </si>
  <si>
    <t>日期码格式：ZURU INC(BVI) 标准格式 日期：按实际生产日期
Packaging Info:
77673TQ1:MA 收缩膜EAN 3L A+电池+UV警告语23L+MA PDQ 3L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
77673TQ1: Filxed Collection</t>
  </si>
  <si>
    <t>957010-7.19</t>
  </si>
  <si>
    <t>FB13605</t>
  </si>
  <si>
    <t>4500167191-60</t>
  </si>
  <si>
    <t>大货样： 新款请在6/14 前寄出每款2整套大货样到罗湖办公室7B Sandy Shao 收，翻单不用寄。</t>
  </si>
  <si>
    <r>
      <rPr>
        <sz val="11"/>
        <rFont val="宋体"/>
        <charset val="134"/>
      </rPr>
      <t>日期码格式：ZURU INC(BVI) 标准格式 日期：按实际生产日期
Packaging Info: 
77785:客版3L彩盒(</t>
    </r>
    <r>
      <rPr>
        <sz val="11"/>
        <color rgb="FFFF0000"/>
        <rFont val="宋体"/>
        <charset val="134"/>
      </rPr>
      <t>条码贴纸：EAN 5056296050422)</t>
    </r>
    <r>
      <rPr>
        <sz val="11"/>
        <rFont val="宋体"/>
        <charset val="134"/>
      </rPr>
      <t>.
+冰箱77673（用空白贴纸覆盖条码位置+标准MA 说明书+ ZURU 带电池版本WEEE30L 电池说明书）+球77711（用空白贴纸覆盖条码位置）配比：2PK 77711-INT(capsu
les)+1PK 77673 combo in color box,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*订单对应客户7个PO号 ，备注有显示 ，注意分开做货/验货/装柜 ，混装有罚款。
* 大货样： 新款请在6/14 前寄出每款2整套大货样到罗湖办公室7B Sandy Shao 收，翻单不用寄。</t>
    </r>
  </si>
  <si>
    <t>95586-7.8</t>
  </si>
  <si>
    <t xml:space="preserve"> J D Williams &amp; Company Limited</t>
  </si>
  <si>
    <t>CUS
PO#1141622CUS
SKU#TC907</t>
  </si>
  <si>
    <t>4500166275-30</t>
  </si>
  <si>
    <t>77673-S006-MB</t>
  </si>
  <si>
    <t>迷你冰箱12pcs/箱
邮包盒装</t>
  </si>
  <si>
    <t>日期码格式：ZURU INC(BVI) 标准格式 日期：按实际生产日期
Packaging Info:
 77673: MA-1L 最新UPC包装+WEEE(带)电池走货欧洲30语通用黑白说明书，单个产品入一个空白棕色邮包盒，邮包盒加贴1张白色产品号贴于1侧面右下角，按订单要
 求12个邮包盒入一个外箱
Remark: 1# MA版本按工厂现有最新库存即可,订单出英国，请注意检查产品及包装应带UKCA图标，包装显示ZURU UK LTD信息，QC同事请查核，如有问题与跟单确认。
 2# 当2个或2个以上装一箱时 ，外箱尺寸范围应为以下，如产品开发过程中发现订单显示尺寸不符（外箱不能留空），务必要与ZURU跟单确认并在尺寸确认ok 的前
 提下及时要求ZURU跟单更新尺寸在订单上以免数据不一致导致出现错误而产生高额罚款(工厂承担)；外箱一旦完成打样，请用测量工具度量出外箱实际尺寸并拍照给
 跟单进行留底（订舱前的数据复核）。
 长25-63cm
 宽25-33cm
 高20-40cm
 3# 产品应符合英国当地法规，涉及到硼的请使用无硼/低硼版本，不含微塑料；
 4# 所有订单都需要经过ZURU QC验货并且通过后方可出货，ZURU QC务必要按照订单显示尺寸验货同时注意与工厂复核以上第2点，验货时请用测量工具度量出外箱
 实际尺寸并拍照给跟单进行留底（出货前的数据复核），如有疑问请及时与跟单沟通。</t>
  </si>
  <si>
    <t>95859-7.31</t>
  </si>
  <si>
    <t>NASA Panama</t>
  </si>
  <si>
    <t>巴拿马</t>
  </si>
  <si>
    <t>4500168055-120</t>
  </si>
  <si>
    <t>日期码格式：ZURU INC(BVI) 标准格式 日期：按实际生产日期
Packaging Info:77673:MA多语EAN+UPC贴纸+箱唛
Remark:</t>
  </si>
  <si>
    <t>96338-3-9.6</t>
  </si>
  <si>
    <t>SMYTHS TOYS HQ UC</t>
  </si>
  <si>
    <t>4500168001-20</t>
  </si>
  <si>
    <t>迷你冰箱8pcs</t>
  </si>
  <si>
    <t>日期码格式：ZURU INC(BVI) 标准格式 日期：按实际生产日期
Packaging Info:
7673TQ1:最新MA 3L PDQ+ 客版收缩膜(英法德callout/英法德意荷警语/法国环保logo) +客版收藏指南(英法德意荷) 所有客版资料翻单4500155594+MA 23L 说明书+
WEEE带电池走货欧洲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</si>
  <si>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</si>
  <si>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95631-7.14</t>
  </si>
  <si>
    <t>4500168463-110</t>
  </si>
  <si>
    <t>日期码格式：ZURU INC(BVI) 标准格式 日期：按实际生产日期
Packaging Info: 77673:MA多语EAN+UPC贴纸+箱唛
Remark: 请确保包装上的条形码是UPC，如有不一致，请及时提出。谢谢！</t>
  </si>
  <si>
    <t>Aimee Huang</t>
  </si>
  <si>
    <t>95582-7.7</t>
  </si>
  <si>
    <t>4500168594-100</t>
  </si>
  <si>
    <t>95787-7.26</t>
  </si>
  <si>
    <t>COSTCO WHOLESALE UK LTD</t>
  </si>
  <si>
    <t>199-9281-757</t>
  </si>
  <si>
    <t>4500164547-10</t>
  </si>
  <si>
    <t>需要安排10%抽板测试: 抽板时间6/13，
请严格按期安排物料，预计会抽走6套成品版（具体数量届时再告知）+ all product package and shipping package+一套封板在工厂供100%验货用，箱唛要印刷客
人箱唛，请做好损耗计算；一般需要10 working day 做测试，抽版测试通过才能安排100%大货生产
4.需要安排第三方100%完货验货: 验货时间: 7/3；</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</si>
  <si>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
---以上客版包装除了(客版PDQ翻Costco US PO#4500156301)，剩下的客版包装都翻Costco Spain PO#4500163768,请一起合并订购物料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日期码印在产品和外箱上，按实际生产日期。 ZURU 标准版格式的日期码。
2. 出英国/冰岛/瑞典三个国家，产品需要打UKCA Mark，包装也需要有UKCA，否则不符合法规客人会退货有罚款产生
3.需要安排10%抽板测试: 抽板时间6/13，
请严格按期安排物料，预计会抽走6套成品版（具体数量届时再告知）+ all product package and shipping package+一套封板在工厂供100%验货用，箱唛要印刷客
人箱唛，请做好损耗计算；一般需要10 working day 做测试，抽版测试通过才能安排100%大货生产
4.需要安排第三方100%完货验货: 验货时间: 7/3；
5. 纸箱唛头：纸箱四面，只印刷一个正面，另外一个正面不印，侧唛也不印, 按照箱唛模板要求排版。按照箱唛模板要求排版。请注意箱唛印刷效果要我们确认后
才可印刷大货的。
6. 确保展示架在入外箱时一定要正面对着有印刷箱唛的那面,不可以装反.</t>
  </si>
  <si>
    <t>95729-7.22</t>
  </si>
  <si>
    <t>95729</t>
  </si>
  <si>
    <t>0907594722RID
GEVILLE SC</t>
  </si>
  <si>
    <t>4500162964-10</t>
  </si>
  <si>
    <t>7/1 第三方验货</t>
  </si>
  <si>
    <t>ZB00845-7.23</t>
  </si>
  <si>
    <t>0918625845</t>
  </si>
  <si>
    <t>4500167594-10</t>
  </si>
  <si>
    <t>7/1自检</t>
  </si>
  <si>
    <t>翻单：4500159641</t>
  </si>
  <si>
    <t>ZB00734-7.12</t>
  </si>
  <si>
    <t>Amazon UK:
7I41M6FO</t>
  </si>
  <si>
    <t>4500167501-20</t>
  </si>
  <si>
    <t>2张贴纸(1张UPC#，参考翻单PO#4500158582；1张可折叠警语贴
含德意警告语+IT环保标，参考翻单PO#4500157858)+WEEE电子产品说明书30L(带电池走货版);</t>
  </si>
  <si>
    <t>日期码格式：ZURU INC(BVI) 标准格式 日期：按实际生产日期
Packaging Info: Amazon UK(15714D/15728BEG/15762ADE/77673/77723/92119BD)/DE(15710B/15714G)/FR(15710B/15728E/15762B/15763B/77731/9561)
4. 77673: 12pcs/ctn; MA 3L(3L warning EAN#)A收缩膜+MA 23L warning说明书+MA 5L A收藏指南+2张贴纸(1张UPC#，参考翻单PO#4500158582；1张可折叠警语贴
含德意警告语+IT环保标，参考翻单PO#4500157858)+WEEE电子产品说明书30L(带电池走货版);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</si>
  <si>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95622-7.12</t>
  </si>
  <si>
    <t>4500163807-10</t>
  </si>
  <si>
    <t>日期码格式：ZURU INC(BVI) 标准格式 日期：按实际生产日期
Packaging Info: 77673:
1.MA -1L UPC包装+WEEE带电池走货说明书北欧+客人白色Cat.label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</si>
  <si>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</si>
  <si>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95690-7.18</t>
  </si>
  <si>
    <t>ToyChamp Belgium nv</t>
  </si>
  <si>
    <t>比利时</t>
  </si>
  <si>
    <t>250400000359</t>
  </si>
  <si>
    <t>4500166992-60</t>
  </si>
  <si>
    <r>
      <rPr>
        <sz val="11"/>
        <rFont val="宋体"/>
        <charset val="134"/>
      </rPr>
      <t>日期码格式：ZURU INC(BVI) 标准格式 日期：按实际生产日期
Packaging Info: 
6.77673： MA 3L 最新版EAN收缩膜</t>
    </r>
    <r>
      <rPr>
        <sz val="11"/>
        <color rgb="FFFF0000"/>
        <rFont val="宋体"/>
        <charset val="134"/>
      </rPr>
      <t>+1张2L(NL&lt;(&gt;&amp;&lt;)&gt;DE)警告语贴纸+MA 5L收藏指南+1张荷兰语警告语贴纸+MA 23L 电池+UV胶警告语+1张30L WEEE带电池走货说明
书+其它MA包装；</t>
    </r>
    <r>
      <rPr>
        <sz val="11"/>
        <rFont val="宋体"/>
        <charset val="134"/>
      </rPr>
      <t xml:space="preserve">
Remark: 1.STD配比；
2.外箱需要印条码，请确保条码可以清晰扫描且条码内容正确；
3.出欧洲，微塑料需合规（如item本身不含微塑料,则忽略此要求）;
4.所有产品需要符合REACH申明。</t>
    </r>
  </si>
  <si>
    <t>Bella Wang</t>
  </si>
  <si>
    <t>95850-7.31</t>
  </si>
  <si>
    <t>PSICHOGIOS PUBLICATIONS SA</t>
  </si>
  <si>
    <t>希腊</t>
  </si>
  <si>
    <t>4500168579-20</t>
  </si>
  <si>
    <t>日期码格式：ZURU INC(BVI) 标准格式 日期：按实际生产日期
Packaging Info: 
2. 77673:最新MA 3L EAN收缩膜+最新MA 5L包装+一张客人警语贴纸+两张纸袋希腊警语贴纸（同77711）
Remark: 1. 此单出希腊，需要满足EU标准； 产品均符合EU微塑料法规要求：不能含有微塑料闪粉
2. 本订单所有 具有 baby items / assorted items 的款式，零售包装上都要用 母 EAN;
3. 请根据产品是否带电出货，自行订购"WEEE_不带/带电池走货 _ 欧洲通用说明书EN+30L"说明书纸</t>
  </si>
  <si>
    <t>95552-7.5</t>
  </si>
  <si>
    <t>PLASTICOSUR S.A.</t>
  </si>
  <si>
    <t>4500168656-30</t>
  </si>
  <si>
    <t>（贴纸翻单4500163040）；</t>
  </si>
  <si>
    <t>日期码格式：ZURU INC(BVI) 标准格式 日期：按实际生产日期
Packaging Info: 
3.77673:最新MA 3L EAN 版本包装+一张邮箱贴纸+MA 23L 说明书+MA 5L Creative 说明书+MA 3L PDQ+WEEE带电池走货欧洲30语通用黑白说明书 ；（贴纸翻单45001
63040）；
Remark: 1.西班牙订单，需满足EU测试标准要求，微塑料需符合EU法规；</t>
  </si>
  <si>
    <t>95637-7.14</t>
  </si>
  <si>
    <t>0907594683</t>
  </si>
  <si>
    <t>4500168362-10</t>
  </si>
  <si>
    <t>2025/7/10自检</t>
  </si>
  <si>
    <t>日期码格式：ZURU DGYYYYMMDD CHINA(日期避开周末和法定节假日即可） 日期：按实际生产日期
Packaging Info: 77673TQ1-S001
1.包装要求：
MA 1L A版收缩膜+MA 5L 收藏指南+MA 说明书+MA 1L playset
每pcs产品上要贴1张RFID贴纸，贴纸由ZURU提供，贴纸位置请严格按照我们签回的签板；
Remark: 77673TQ1-S001
1.包装要求：
MA 1L A版收缩膜+MA 5L 收藏指南+MA 说明书+MA 1L playset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</si>
  <si>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ZB00778-7.17</t>
  </si>
  <si>
    <t>0907594696</t>
  </si>
  <si>
    <t>4500168362-20</t>
  </si>
  <si>
    <t>2025/7/9第三方验货</t>
  </si>
  <si>
    <t>ZB00835-7.22</t>
  </si>
  <si>
    <t>0907594708</t>
  </si>
  <si>
    <t>4500168362-30</t>
  </si>
  <si>
    <t>ZB00802-7.18</t>
  </si>
  <si>
    <t>0907594713</t>
  </si>
  <si>
    <t>4500168362-40</t>
  </si>
  <si>
    <t>ZB00801-7.18</t>
  </si>
  <si>
    <t>BLAIN SUPPLY, INC</t>
  </si>
  <si>
    <t>PO#V125777-2</t>
  </si>
  <si>
    <t>4500167614-50</t>
  </si>
  <si>
    <t>日期码格式：ZURU INC(BVI) 标准格式 日期：按实际生产日期
Packaging Info: 1. 包装：ZURU MA 1L UPC最新包装；出口美国
Remark: 2. 日期跟踪码：产品外包装及产品本身都必须有日期跟踪码，并且确保两者的日期跟踪码要一致；ZURU标准格式日期码(请自行调整具体年月日生产期，但不能为
周末）。
3. 出货配比：ZURU MA 配比</t>
  </si>
  <si>
    <t>ZB00654R1-7.4</t>
  </si>
  <si>
    <t>4500167444-30</t>
  </si>
  <si>
    <t>日期码格式：ZURU INC(BVI) 标准格式 日期：按实际生产日期
Packaging Info:
#77673: MA 1L UPC版包装，出口美国。
Remark: 1.Amazon domestic 订单。出口美国。外箱最长边不能超过25" （超过了，case pack只能为1），不符合要求的大货，一律不接受。
2.无第三方验货/测试要求。
3.日期码使用ZURU标准版本。
4.邮包盒要印刷日期码。</t>
  </si>
  <si>
    <t>ZB00719-7.10</t>
  </si>
  <si>
    <t>4500161371-10</t>
  </si>
  <si>
    <t xml:space="preserve">2025/6/9安排做10%抽版测试 , （即最少需要完成8座的数量，600PCS），最晚 6/23完成100%大货安排第三方验货（ITS).  </t>
  </si>
  <si>
    <t>6/28 出货</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</si>
  <si>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5. 此单是首单出货数量5400pcs, 最晚 2025/6/6安排做10%抽版测试 , 最晚 6/20完成100%大货安排第三方验货（ITS) 6. 样板：工厂需预留至少6套测试样用于抽
板+3pcs签样（1pc工厂留底+2pc ITS封样后寄深圳办公室，需给客人留底)+ 1pc大货样寄深圳办公室拍照用</t>
  </si>
  <si>
    <t>95507-8.17</t>
  </si>
  <si>
    <t>4500161390-10</t>
  </si>
  <si>
    <t>95543-7.3</t>
  </si>
  <si>
    <t>Cladellas 2000 S.L</t>
  </si>
  <si>
    <t>4500167713-30</t>
  </si>
  <si>
    <t>此单每款产品需各寄2套大货样到深圳办公室，请注意备料；</t>
  </si>
  <si>
    <t>日期码格式：ZURU INC(BVI) 标准格式 日期：按实际生产日期
Packaging Info:
3.77785:最新客版彩盒+EAN贴纸+一张客户进口商贴纸；
子件77673：最新MA3LEAN收缩膜+最新MA5L收藏指南+最新MA23L说明书+最新MA纸袋+MA WEEE带电池走货欧洲30语通用黑白说明书 ；"
Remark: 1.此单出西班牙市场，需满足EU测试标准要求，微塑料需符合EU法规。
2.此单每款产品需各寄2套大货样到深圳办公室，请注意备料；</t>
  </si>
  <si>
    <t>95636-7.14</t>
  </si>
  <si>
    <t>TOYS CENTRE SL</t>
  </si>
  <si>
    <t>4500168264-100</t>
  </si>
  <si>
    <t>贴纸翻单4500163040）</t>
  </si>
  <si>
    <t>日期码格式：ZURU INC(BVI) 标准格式 日期：按实际生产日期
Packaging Info:
10.77673:最新MA 3L EAN 版本包装+一张邮箱贴纸+MA 23L 说明书+MA 5L Creative 说明书+MA 3L PDQ+WEEE带电池走货欧洲30语通用黑白说明书 ；（贴纸翻单4500
163040）；
Remark: 1.此单出西班牙市场，需满足EU测试标准要求，微塑料需符合EU法规。
2.此单每款产品需各寄2套大货样到深圳办公室，请注意备料；</t>
  </si>
  <si>
    <t>95627-7.12</t>
  </si>
  <si>
    <t>4500168264-110</t>
  </si>
  <si>
    <t>日期码格式：ZURU INC(BVI) 标准格式 日期：按实际生产日期
Packaging Info: 
11.77785:最新客版彩盒+EAN贴纸；(条码贴纸翻单4500166563）；
子件77673：最新MA3LEAN收缩膜+最新MA5L收藏指南+最新MA23L说明书+最新MA纸袋+WEEE带电池走货欧洲30语通用黑白说明书 ；"
Remark: 1.此单出西班牙市场，需满足EU测试标准要求，微塑料需符合EU法规。
2.此单每款产品需各寄2套大货样到深圳办公室，请注意备料；</t>
  </si>
  <si>
    <t>JUGUETES PANRE S.L.</t>
  </si>
  <si>
    <t>4500168249-20</t>
  </si>
  <si>
    <t>日期码格式：ZURU INC(BVI) 标准格式 日期：按实际生产日期
Packaging Info:
2.77785:最新客版彩盒+EAN贴纸+一张客户进口商贴纸；
子件77673：最新MA3LEAN收缩膜+最新MA5L收藏指南+最新MA23L说明书+最新MA纸袋+MA WEEE带电池走货欧洲30语通用黑白说明书 ；"
Remark: 1.此单出西班牙市场，需满足EU测试标准要求，微塑料需符合EU法规。</t>
  </si>
  <si>
    <t>95624-7.12</t>
  </si>
  <si>
    <t>(MAPA) Exclusivas Teide</t>
  </si>
  <si>
    <t>4500168288-10</t>
  </si>
  <si>
    <t>EAN贴纸；(条码贴纸翻单4500166563）；</t>
  </si>
  <si>
    <t>日期码格式：ZURU INC(BVI) 标准格式 日期：按实际生产日期
Packaging Info: 1.77785:最新客版彩盒+EAN贴纸；(条码贴纸翻单4500166563）；
子件77673：最新MA3LEAN收缩膜+最新MA5L收藏指南+最新MA23L说明书+最新MA纸袋+MA WEEE带电池走货欧洲30语通用黑白说明书 ；
Remark: 1.此单出西班牙市场，需满足EU测试标准要求，微塑料需符合EU法规。</t>
  </si>
  <si>
    <t>0918619844</t>
  </si>
  <si>
    <t>4500167595-10</t>
  </si>
  <si>
    <t>2025/7/16第三方验货</t>
  </si>
  <si>
    <t>ZB00798-7.18</t>
  </si>
  <si>
    <t>0918625880</t>
  </si>
  <si>
    <t>4500167595-20</t>
  </si>
  <si>
    <t>ZB00862-7.25</t>
  </si>
  <si>
    <t>777 7MAY25</t>
  </si>
  <si>
    <t>4500167998-80</t>
  </si>
  <si>
    <t>WEEE带电池走货欧洲30语通用黑白说明书</t>
  </si>
  <si>
    <t>日期码格式：ZURU INC(BVI) 标准格式 日期：按实际生产日期
Packaging Info:
7. 77673TQ1-S004：MA 最新UPC包装+WEEE带电池走货欧洲30语通用黑白说明书, UPC# 193052079404，请先检查条码是否正确再安排做货，如有问题请告知
Remark: 1.产品及包装需要印UKCA图标，包装需要有ZURU UK LTD/ZURU France地址信息，QC同事请核查，如有问题与跟单确认。
2. 需要符合欧洲标准不能含有闪粉和微塑料，否则不和法规会有客诉产生</t>
  </si>
  <si>
    <t>95675-7.17</t>
  </si>
  <si>
    <t>0921438650</t>
  </si>
  <si>
    <t>4500168952-10</t>
  </si>
  <si>
    <t>2025/7/11第三方验货</t>
  </si>
  <si>
    <t>外箱印刷带条码的RFID箱唛：RFID紫色色带+WM Dept.图标+RFID图标+ITF-14条码，四面右下角印刷ZURU logo, ITFF条码只印刷在正唛一面，在加印的时候确保
条形码能扫描出来，外箱侧面任一角落加印："MADE IN CHINA" 字样,箱唛翻单：4500159641</t>
  </si>
  <si>
    <t>日期码格式：ZURU DGYYYYMMDD CHINA(日期避开周末和法定节假日即可） 日期：按实际生产日期
Packaging Info: 77673-S004
1.包装要求：
MA 1L A版收缩膜+MA 5L 收藏指南+MA 说明书
每pcs产品上要贴1张RFID贴纸，贴纸由ZURU提供，贴纸位置请严格按照我们签回的签板；
Remark: 77673-S004
1.包装要求：
MA 1L A版收缩膜+MA 5L 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字样,箱唛翻单：4500159641
3. 在产品上和包装上要有日期码、以及要有MADE IN CHINA和ZURU字样；
4. 产品如有扎带口要剪平，不能刮手。
5. 此单需要验货，请多备料
6. 此单以loose carton出货，4pcs/CTN</t>
  </si>
  <si>
    <t>ZB00754-7.15</t>
  </si>
  <si>
    <t>N.V. DREAMLAND</t>
  </si>
  <si>
    <t>4500169123-30</t>
  </si>
  <si>
    <t>2L(NL&lt;(&gt;&amp;&lt;)&gt;DE)警告语贴纸（翻单4500166992）；荷兰语警告语贴纸（翻单4500166992）</t>
  </si>
  <si>
    <t>日期码格式：ZURU INC(BVI) 标准格式 日期：按实际生产日期
Packaging Info:
3.77673 ：MA 3L 最新版EAN收缩膜+1张2L(NL&lt;(&gt;&amp;&lt;)&gt;DE)警告语贴纸（翻单4500166992）+MA 5L收藏指南+1张荷兰语警告语贴纸（翻单4500166992）+MA 23L 电池+U
V胶警告语+1张30L WEEE带电池走货说明书（翻单4500166992）+其它MA包装；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</si>
  <si>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95892-8.17</t>
  </si>
  <si>
    <t>000760423010</t>
  </si>
  <si>
    <t>4500161406-10</t>
  </si>
  <si>
    <t>77721SLT-S002</t>
  </si>
  <si>
    <t>日期码格式：ZURU INC(BVI) 标准格式 日期：按实际生产日期
Packaging Info:
Remark: 77721SLT：S002-MINI BRANDS-FILL THE FRIDGE-SERIES 1-1PK Fill the Fridge PLAYSET S1 (With 5 Extra Minis) And 3PK NA Capsules S1 COMBO IN COLOR B
OX,100CS/DISPLAY/SLIP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5. 请注意此单出货数量是2400pcs，四层的Pallet, 即100PCS/pallet, 还是5PCS/PDQ, 每层放25PCS.</t>
  </si>
  <si>
    <t>95630-7.14</t>
  </si>
  <si>
    <t>77721SLT-S002-NA</t>
  </si>
  <si>
    <t>0907594668</t>
  </si>
  <si>
    <t>4500169395-10</t>
  </si>
  <si>
    <t>2025/7/22第三方验货</t>
  </si>
  <si>
    <t>ZB00978-7.30</t>
  </si>
  <si>
    <t>0907594705</t>
  </si>
  <si>
    <t>4500169395-20</t>
  </si>
  <si>
    <t>ZB00929-7.28</t>
  </si>
  <si>
    <t>0907594727</t>
  </si>
  <si>
    <t>4500169395-30</t>
  </si>
  <si>
    <t>ZB00928-7.28</t>
  </si>
  <si>
    <t>0907594728</t>
  </si>
  <si>
    <t>4500169395-40</t>
  </si>
  <si>
    <t>ZB010979-7.30</t>
  </si>
  <si>
    <t>0907594758</t>
  </si>
  <si>
    <t>4500169395-50</t>
  </si>
  <si>
    <t>ZB00960-7.29</t>
  </si>
  <si>
    <t>4500159839-60</t>
  </si>
  <si>
    <t>防盗贴纸位置翻PO#4500160042</t>
  </si>
  <si>
    <t>箱唛日期码与包装保持一致</t>
  </si>
  <si>
    <t>日期码格式：ZURU INC(BVI) 标准格式 日期：按实际生产日期
Packaging Info:
6.77673TQ1-S004： MA 1L UPC 包装+其他MA 最新包装+1张防盗贴纸（贴纸类型10111896：40R ECON YBL DE 8.2 1kr）防盗贴纸位置翻PO#4500160042,请工厂自行
跟checkpoint供应商订购贴纸
UPC#193052079404，请先检查包装条码是否正确再安排做货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</si>
  <si>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95800-7.28</t>
  </si>
  <si>
    <t>4500164465-10</t>
  </si>
  <si>
    <r>
      <rPr>
        <sz val="11"/>
        <rFont val="宋体"/>
        <charset val="134"/>
      </rPr>
      <t xml:space="preserve">日期码格式：ZURU INC(BVI) 标准格式 日期：按实际生产日期
Packaging Info: 77758SLT: 1.客版彩盒+客版球的收缩膜+客版冰箱收缩膜+客版冰箱收藏指南+客版球的收藏指南+客版Manual for three kinds of mini creates +客版球的黑白说
明书+客版内纸袋 +客版UV glue bottle sticker+客版冰箱电池警告语和说明书：（以上MA客版翻COSTCO UK PO#4500163768）
2.客版PDQ(客版 PDQ翻Costco US
PO#4500156301)
3.墨西哥订单加一张保证书+墨西
哥NOM贴纸，产品/包装/说明书都要贴1张NOM 贴纸
（翻PO#4500164462)
Remark: 1. 所有日期码印在彩卡上，产品(枪)上也需印日期码.按实际生产日期，ZURU 标准版格式的日期码。
2. 纸箱唛头：纸箱四面，只印刷一个正面，另外一个正面不印，侧唛也不印, 按照箱唛模板要求排版。按照箱唛模板要求排版。请注意箱唛印刷效果要我们确认后
才可印刷大货的。 3
. 确保展示架在入外箱时一定要正面对着有印刷箱唛的那面,不可以装反。
4
. 3PK 77711-INT(capsules)+1PK 77673 combo in color box， 3PCS AG13 BATTERIES(INCLUDED)
</t>
    </r>
    <r>
      <rPr>
        <sz val="11"/>
        <color rgb="FFFF0000"/>
        <rFont val="宋体"/>
        <charset val="134"/>
      </rPr>
      <t>5.单需要监柜，需要安排1套大货样板用于监柜。</t>
    </r>
  </si>
  <si>
    <t>95648-7.15</t>
  </si>
  <si>
    <t>FB13021</t>
  </si>
  <si>
    <t>4500167693-40</t>
  </si>
  <si>
    <t>大货样： 新款请在6/30 前寄出每款2整套大货样到罗湖办公室7B Sandy Shao 收</t>
  </si>
  <si>
    <t>日期码格式：ZURU INC(BVI) 标准格式 日期：按实际生产日期
Packaging Info: 
77673TQ1-S002： MA-1L 配套包装，另外产品内包装再加多一张ZURU带电池版本的WEEE 电池说明书, 条码请核对：193052079404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</si>
  <si>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</si>
  <si>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005730423132</t>
  </si>
  <si>
    <t>4500161402-10</t>
  </si>
  <si>
    <t>95664-7.17</t>
  </si>
  <si>
    <t xml:space="preserve"> GP TURKEY</t>
  </si>
  <si>
    <t>土耳其</t>
  </si>
  <si>
    <t>084212</t>
  </si>
  <si>
    <t>4500165563-30</t>
  </si>
  <si>
    <t>客户日期码：ZUR5195，产品/包装/外箱请保持一致。产品蛋壳需要印日期ZUR5195和对应的item号码77673</t>
  </si>
  <si>
    <r>
      <rPr>
        <sz val="11"/>
        <rFont val="宋体"/>
        <charset val="134"/>
      </rPr>
      <t>日期码格式：</t>
    </r>
    <r>
      <rPr>
        <sz val="11"/>
        <color rgb="FFFF0000"/>
        <rFont val="宋体"/>
        <charset val="134"/>
      </rPr>
      <t xml:space="preserve">ZUR5195 </t>
    </r>
    <r>
      <rPr>
        <sz val="11"/>
        <rFont val="宋体"/>
        <charset val="134"/>
      </rPr>
      <t>日期：
Packaging Info: 
77673:MA 3L 包装+进口商贴纸（含客户条码）+MA 说明书;MA 3L PDQ
2.客户日期码：ZUR5195，产品/包装/外箱请保持一致。产品蛋壳需要印日期ZUR5195和对应的item号码77555GQ2/77673/77711GQ2
77673:分别需要两套完整大货样,需要1套满PDQ+1套完整大货样，还需要一套带PDQ的MA样，寄到客户香港办公室，请多备料，地址如下：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r>
  </si>
  <si>
    <t xml:space="preserve"> Lena Huang</t>
  </si>
  <si>
    <t>95998-8.17</t>
  </si>
  <si>
    <t>MAC HOLDING SRL</t>
  </si>
  <si>
    <t>4500166748-10</t>
  </si>
  <si>
    <r>
      <rPr>
        <sz val="11"/>
        <rFont val="宋体"/>
        <charset val="134"/>
      </rPr>
      <t xml:space="preserve">日期码格式：ZURU INC(BVI) 标准格式 日期：按实际生产日期
Packaging Info: MEC305:MA 展示架（如有MA3L则不用MA1L）
</t>
    </r>
    <r>
      <rPr>
        <sz val="11"/>
        <color rgb="FFFF0000"/>
        <rFont val="宋体"/>
        <charset val="134"/>
      </rPr>
      <t>77673:MA A 3L 收缩膜含EAN条码+1*意大利sorting logo含进口商贴纸+MA A5L收藏指南，MA A23L说明书+WEEE带电池走货欧洲30语通用黑白说明书</t>
    </r>
    <r>
      <rPr>
        <sz val="11"/>
        <rFont val="宋体"/>
        <charset val="134"/>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</si>
  <si>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95671</t>
  </si>
  <si>
    <t>日期码格式：ZURU INC(BVI) 标准格式 日期：按实际生产日期
Packaging Info: MEC305:MA 展示架（如有MA3L则不用MA1L）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</si>
  <si>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95671-7.17</t>
  </si>
  <si>
    <t>ZMPO250538</t>
  </si>
  <si>
    <t>Remark：大货最新版本包装/大货标准箱装箱/箱唛请参照邮件附件；备注：  收到订单后请尽快安排，谢谢</t>
  </si>
  <si>
    <t>95862-7.31</t>
  </si>
  <si>
    <t>4500160886-20</t>
  </si>
  <si>
    <t>7/21 第三方验货</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</si>
  <si>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</si>
  <si>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95743-7.23</t>
  </si>
  <si>
    <t>0921438656</t>
  </si>
  <si>
    <t>4500168953-10</t>
  </si>
  <si>
    <t>2025/7/23第三方验货</t>
  </si>
  <si>
    <t>6/18 上给湖南</t>
  </si>
  <si>
    <t>ZB00874-7.26</t>
  </si>
  <si>
    <t>0921438674</t>
  </si>
  <si>
    <t>4500168953-20</t>
  </si>
  <si>
    <t>ZB00958-7.29</t>
  </si>
  <si>
    <t>0921438679</t>
  </si>
  <si>
    <t>4500168953-30</t>
  </si>
  <si>
    <t>ZB00926-7.28</t>
  </si>
  <si>
    <t>0918619829</t>
  </si>
  <si>
    <t>4500167604-10</t>
  </si>
  <si>
    <t>6/6 上给湖南</t>
  </si>
  <si>
    <t>ZB01017-8.1</t>
  </si>
  <si>
    <t>0918619852</t>
  </si>
  <si>
    <t>4500167598-10</t>
  </si>
  <si>
    <t>2025/7/17第三方验货</t>
  </si>
  <si>
    <t>ZB00759-7.16</t>
  </si>
  <si>
    <t xml:space="preserve"> SAINSBURY'S SUPERMARKET LTD</t>
  </si>
  <si>
    <t>Customer PO：
2735219</t>
  </si>
  <si>
    <t>4500163581-10</t>
  </si>
  <si>
    <t>日期码格式：ZURU INC(BVI) 标准格式 日期：按实际生产日期
Packaging Info: 77673TQ1: MA 1L 收缩膜 ，1L MA PDQ
 需要增加WEEE通用说明书（带电池走货）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</si>
  <si>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CORA ZHOU</t>
  </si>
  <si>
    <t>95763-7.24</t>
  </si>
  <si>
    <t>CMS FAMOUS TOYS</t>
  </si>
  <si>
    <t>PO0000974</t>
  </si>
  <si>
    <t>4500169319-40</t>
  </si>
  <si>
    <t>日期码格式：ZURU INC(BVI) 标准格式 日期：按实际生产日期
Packaging Info:
77673 MA多语 加UPC贴纸 UPC: 193052079404
Remark: 出加拿大
每款产品都需要加进口商贴纸
Zuru验货.日期跟踪码：产品外包装及产品本身都必须有日期跟踪码，ZURU标准格式
日期码</t>
  </si>
  <si>
    <t>Bella Tan</t>
  </si>
  <si>
    <t>95880-8.17</t>
  </si>
  <si>
    <t>FB13606</t>
  </si>
  <si>
    <t>4500167191-70</t>
  </si>
  <si>
    <t>95712-7.21</t>
  </si>
  <si>
    <t>5200006977</t>
  </si>
  <si>
    <t>4500169038-20</t>
  </si>
  <si>
    <t>（贴纸和WEEE翻4500162314）</t>
  </si>
  <si>
    <t>日期码格式：ZURU INC(BVI) 标准格式 日期：按实际生产日期
Packaging Info:
2. 77673TQ1:最新MA 3L EAN收缩膜+最新MA 5L收藏指南+最新MA 23L说明书+最新MA纸袋+最新MA 3L PDQ+多语警语折叠贴纸（含包装缺失的法/意/西环保标）+ 多语
版WEEE电池垃圾桶的回收声明说明书（ included）（贴纸和WEEE翻4500162314）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
列，统一出EN71版本。</t>
  </si>
  <si>
    <t>95711-7.21</t>
  </si>
  <si>
    <t>0918619846</t>
  </si>
  <si>
    <t>4500167602-10</t>
  </si>
  <si>
    <t>ZB00927-7.28</t>
  </si>
  <si>
    <t>0918625836</t>
  </si>
  <si>
    <t>4500167605-10</t>
  </si>
  <si>
    <t>2025/7/25第三方验货</t>
  </si>
  <si>
    <t>7/28 出货</t>
  </si>
  <si>
    <t>ZB00959-7.29</t>
  </si>
  <si>
    <t>0918619840</t>
  </si>
  <si>
    <t>4500167605-20</t>
  </si>
  <si>
    <t>ZB00961-7.29</t>
  </si>
  <si>
    <t>4500169831-20</t>
  </si>
  <si>
    <t>日期码格式：ZURU DGYYYYMMDD CHINA(日期避开周末和法定节假日即可）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</si>
  <si>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ZB00976-7.30</t>
  </si>
  <si>
    <t>4500169831-30</t>
  </si>
  <si>
    <t>ZB01213-8.12</t>
  </si>
  <si>
    <t>0918622216</t>
  </si>
  <si>
    <t>4500167607-10</t>
  </si>
  <si>
    <t>ZB01101-8.6</t>
  </si>
  <si>
    <t>0918619838</t>
  </si>
  <si>
    <t>4500167609-10</t>
  </si>
  <si>
    <t>2025/8/1第三方验货</t>
  </si>
  <si>
    <t>ZB01118-8.7</t>
  </si>
  <si>
    <t>0918619957</t>
  </si>
  <si>
    <t>4500167600-10</t>
  </si>
  <si>
    <t>ZB00930-7.28</t>
  </si>
  <si>
    <t>0918625844</t>
  </si>
  <si>
    <t>4500167600-20</t>
  </si>
  <si>
    <t>ZB00876-7.26</t>
  </si>
  <si>
    <t>0907594724</t>
  </si>
  <si>
    <t>4500168363-10</t>
  </si>
  <si>
    <t>ZB00777-7.17</t>
  </si>
  <si>
    <t>0907594726</t>
  </si>
  <si>
    <t>4500168363-20</t>
  </si>
  <si>
    <t>ZB00799-7.18</t>
  </si>
  <si>
    <t>0918619926</t>
  </si>
  <si>
    <t>4500167596-10</t>
  </si>
  <si>
    <t>ZB00800-7.18</t>
  </si>
  <si>
    <t>0918619847</t>
  </si>
  <si>
    <t>4500167596-20</t>
  </si>
  <si>
    <t>ZB00844-7.23</t>
  </si>
  <si>
    <t>TIENDAS SORIANA, S.A. DE C.V.</t>
  </si>
  <si>
    <t>4500167907-20</t>
  </si>
  <si>
    <t>日期码格式：ZURU INC(BVI) 标准格式 日期：按实际生产日期
Packaging Info: 
77673：MA 3L EAN PKG+UPC 条码贴纸+MA 说明书+1个小的红色logo贴纸+进口商贴纸+保证书+箱唛，3张不同的进口商贴纸分别是贴在包装 /产品电池盖/说明书上
Remark: 1.77673：3PCS AG13 BATTERIES(INCLUDED)
5.集装箱及装柜要求：集装箱不能有破洞；不能太脏
6.每个item需要放1整箱在每个集装箱门口
7.装柜的时候要前、中、后拍照
8.此单有监柜要求，每款需要准备1pc监柜样板用于监装</t>
  </si>
  <si>
    <t>95744-7.23</t>
  </si>
  <si>
    <t>005710423113</t>
  </si>
  <si>
    <t>4500161405-10</t>
  </si>
  <si>
    <t>95785-7.26</t>
  </si>
  <si>
    <t>95785</t>
  </si>
  <si>
    <t>10001263766-3758</t>
  </si>
  <si>
    <t>4500168202-10</t>
  </si>
  <si>
    <t>6/18 寄出</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</si>
  <si>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</si>
  <si>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ZB01018-8.1</t>
  </si>
  <si>
    <t>SANBORN HERMANOS, S. A. DE C. V.</t>
  </si>
  <si>
    <t>4500167249-20</t>
  </si>
  <si>
    <r>
      <rPr>
        <sz val="11"/>
        <rFont val="宋体"/>
        <charset val="134"/>
      </rPr>
      <t>日期码格式：ZURU INC(BVI) 标准格式 日期：按实际生产日期
Packaging Info: 
77673：MA 3L EAN 收缩膜+UPC 条码贴纸+5L 收藏指南+1张进口商贴纸+箱唛+</t>
    </r>
    <r>
      <rPr>
        <sz val="11"/>
        <color rgb="FFFF0000"/>
        <rFont val="宋体"/>
        <charset val="134"/>
      </rPr>
      <t>1张说明书贴纸</t>
    </r>
    <r>
      <rPr>
        <sz val="11"/>
        <rFont val="宋体"/>
        <charset val="134"/>
      </rPr>
      <t xml:space="preserve">
Remark: 电池：
77673：3PCS AG13 BATTERIES(INCLUDED)</t>
    </r>
  </si>
  <si>
    <t>95779-7.25</t>
  </si>
  <si>
    <t>COMERCIAL JOMAN S.L.</t>
  </si>
  <si>
    <t>4500169530-70</t>
  </si>
  <si>
    <t>EAN贴纸+一张进口商贴纸；（贴纸翻单4500168249）</t>
  </si>
  <si>
    <t>日期码格式：ZURU INC(BVI) 标准格式 日期：按实际生产日期
Packaging Info:
7.77785:最新客版彩盒+EAN贴纸+一张进口商贴纸；（贴纸翻单4500168249）
子件77673：最新MA3LEAN收缩膜+最新MA5L收藏指南+最新MA23L说明书+最新MA纸袋+MA WEEE带电池走货欧洲30语通用黑白说明书 ；
Remark: 1.此单出西班牙市场，需满足EU测试标准要求，微塑料需符合EU法规。
2.此单每款产品需在CRD前一周各寄2套大货样到深圳办公室，请注意备料；</t>
  </si>
  <si>
    <t>95762-7.24</t>
  </si>
  <si>
    <t>4500160470-50</t>
  </si>
  <si>
    <r>
      <rPr>
        <sz val="11"/>
        <rFont val="宋体"/>
        <charset val="134"/>
      </rPr>
      <t xml:space="preserve">日期码格式：ZURU INC(BVI) 标准格式 日期：按实际生产日期
Packaging Info:
77673-S001_MA 3L EAN版收缩膜+MA 5L收藏指南+MA （电池+UV胶警告语-23L）说明书+MA 3L PDQ+带纽扣电池走货北欧六语通用黑白电池说明书+警告语/进口商贴
纸
北欧五语通用Slime黑白说明书
带纽扣电池走货北欧六语通用黑白电池说明书
上述贴纸翻单4500162375，之前已经安排MA 采购，请不要重复采购
</t>
    </r>
    <r>
      <rPr>
        <sz val="11"/>
        <color rgb="FFFF0000"/>
        <rFont val="宋体"/>
        <charset val="134"/>
      </rPr>
      <t>此单资料全部翻单4500160445</t>
    </r>
    <r>
      <rPr>
        <sz val="11"/>
        <rFont val="宋体"/>
        <charset val="134"/>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77673-S001-4894680042773</t>
    </r>
  </si>
  <si>
    <t>95851-7.31</t>
  </si>
  <si>
    <t>London Supply Group SA</t>
  </si>
  <si>
    <t>乌拉圭</t>
  </si>
  <si>
    <t>4500169604-160</t>
  </si>
  <si>
    <t>日期码格式：ZURU INC(BVI) 标准格式 日期：按实际生产日期
Packaging Info:
77673: MA 3L EAN PKG+UPC 条码贴纸+MA 3L PDQ+MA 收藏指南+箱唛
Remark: 
77673: 3PCS AG13 BATTERIES(INCLUDED)</t>
  </si>
  <si>
    <t>96590-4-9.30</t>
  </si>
  <si>
    <t>MANOR</t>
  </si>
  <si>
    <t>P015037569/S</t>
  </si>
  <si>
    <t>4500168200-20</t>
  </si>
  <si>
    <t>Kinderherz 2025 logo（翻单#4500166480）</t>
  </si>
  <si>
    <t>此单出货前要寄2套大货签办给到客户办公室</t>
  </si>
  <si>
    <r>
      <rPr>
        <sz val="11"/>
        <rFont val="宋体"/>
        <charset val="134"/>
      </rPr>
      <t>日期码格式：ZURU INC(BVI) 标准格式 日期：按实际生产日期
Packaging Info:
77673TQ1: 最新MA 3L A版PDQ+PDQ Kinderherz 2025 logo（翻单#4500166480）+最新MA 3L A版EAN 收缩膜+收缩膜Kinderherz 2025 logo（翻单#4500166480）+</t>
    </r>
    <r>
      <rPr>
        <sz val="11"/>
        <color rgb="FFFF0000"/>
        <rFont val="宋体"/>
        <charset val="134"/>
      </rPr>
      <t>新
MA 5L收藏指南</t>
    </r>
    <r>
      <rPr>
        <sz val="11"/>
        <rFont val="宋体"/>
        <charset val="134"/>
      </rPr>
      <t>+最新MA 23L警语说明书+MA 5L纸袋+意语包装警语贴纸+客人款号贴纸+</t>
    </r>
    <r>
      <rPr>
        <sz val="11"/>
        <color rgb="FFFF0000"/>
        <rFont val="宋体"/>
        <charset val="134"/>
      </rPr>
      <t>欧洲通用B版</t>
    </r>
    <r>
      <rPr>
        <sz val="11"/>
        <rFont val="宋体"/>
        <charset val="134"/>
      </rPr>
      <t xml:space="preserve"> 30L WEEE带电池走货说明书
Remark: 1.此单务必准时出货，如有推期会有罚款和空运。
其中推期1至7天扣款5%，推期8至14天扣款10%，推期15至21天扣款20%,如此类推.
2.此单出货前要寄2套大货签办给到客户办公室
3.出口欧洲 微塑料需合规</t>
    </r>
  </si>
  <si>
    <t>Niki Chen</t>
  </si>
  <si>
    <t>96217-8.17</t>
  </si>
  <si>
    <t>Sainsburys</t>
  </si>
  <si>
    <t>MPO03624</t>
  </si>
  <si>
    <t>7/29送库有</t>
  </si>
  <si>
    <t>周转箱</t>
  </si>
  <si>
    <r>
      <rPr>
        <sz val="11"/>
        <rFont val="宋体"/>
        <charset val="134"/>
      </rPr>
      <t>Remark: 以下子件由兴信客供带包装成品在库有组装
77673TQ1：1L UPC MA包装 + PDQ 1L A版+</t>
    </r>
    <r>
      <rPr>
        <sz val="11"/>
        <color rgb="FFFF0000"/>
        <rFont val="宋体"/>
        <charset val="134"/>
      </rPr>
      <t>WEEE带电池走货30L B</t>
    </r>
    <r>
      <rPr>
        <sz val="11"/>
        <rFont val="宋体"/>
        <charset val="134"/>
      </rPr>
      <t xml:space="preserve">
-条码按以下显示：
77673TQ1：193052079404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r>
  </si>
  <si>
    <t>97099-11.29</t>
  </si>
  <si>
    <t>SEARS MEXICO</t>
  </si>
  <si>
    <t>4500167318-40</t>
  </si>
  <si>
    <t>日期码格式：ZURU INC(BVI) 标准格式 日期：按实际生产日期
Packaging Info:
77673：MA 3L EAN 收缩膜+UPC 条码贴纸+5L 收藏指南+1张进口商贴纸+箱唛
Remark:
77673: 3PCS AG13 BATTERIES(INCLUDED)</t>
  </si>
  <si>
    <t>95845-7.31</t>
  </si>
  <si>
    <t>CENTRO CUESTA NACIONAL</t>
  </si>
  <si>
    <t>多米尼加共和国</t>
  </si>
  <si>
    <t>25-1068241JDO</t>
  </si>
  <si>
    <t>4500164774-290</t>
  </si>
  <si>
    <t>指定日期码：2025-07（外箱/产品/包装/进口商贴纸 日期码要一致</t>
  </si>
  <si>
    <t>日期码格式：2025-07 日期：
Packaging Info: 
77673:MA 3LEAN包装+进口商贴纸+UPC贴纸+箱唛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</si>
  <si>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96593-6-9.30</t>
  </si>
  <si>
    <t>10001416275-0581</t>
  </si>
  <si>
    <t>4500171338-10</t>
  </si>
  <si>
    <t>日期码格式：ZURU INC(BVI) 标准格式 日期：按实际生产日期
Packaging Info: 产品包装 客版收缩膜+客版收藏指南+MA说明书+ MA 1L PDQ；客版收缩膜+客版收藏指南翻单4500158149；
Remark: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</si>
  <si>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ZB01041-8.4</t>
  </si>
  <si>
    <t>PO#40182832</t>
  </si>
  <si>
    <t>4500170270-30</t>
  </si>
  <si>
    <t>日期码格式：ZURU INC(BVI) 标准格式 日期：按实际生产日期
Packaging Info: 1、包装方式：
其他：MA UPC优先1L最新版，出口美国
Remark: 2、无测试无验货要求
3、纸箱4面印ZURU LOGO + 箱唛
4、日期码请按ZURU标准版执行即可
5、ZURU OQC验货</t>
  </si>
  <si>
    <t>ZB01060-8.5</t>
  </si>
  <si>
    <t>4500166481-10</t>
  </si>
  <si>
    <t>Kinderherz 2025 Logo贴纸(翻单#4500166480)，WEEE带电池走货欧洲 30 语通用黑白说明书</t>
  </si>
  <si>
    <r>
      <rPr>
        <sz val="11"/>
        <rFont val="宋体"/>
        <charset val="134"/>
      </rPr>
      <t>日期码格式：ZURU INC(BVI) 标准格式 日期：按实际生产日期
Packaging Info: 77673TQ1:最新MA 3L PDQ+</t>
    </r>
    <r>
      <rPr>
        <sz val="11"/>
        <color rgb="FFFF0000"/>
        <rFont val="宋体"/>
        <charset val="134"/>
      </rPr>
      <t>Kinderherz 2025 Logo贴纸(翻单#4500166480)+ 客版收缩膜(英法德callout/英法德意荷警语/法国环保logo)+Kinderherz 2025 Logo贴纸
(翻单#4500166480) +客版收藏指南(英法德意荷) 所有客版资料翻单4500155594+MA 23L 说明书+WEEE带电池走货欧洲 30 语通用黑白说明书
EAN: 4894680042773</t>
    </r>
    <r>
      <rPr>
        <sz val="11"/>
        <rFont val="宋体"/>
        <charset val="134"/>
      </rPr>
      <t xml:space="preserve">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r>
  </si>
  <si>
    <t>96219-8.17</t>
  </si>
  <si>
    <t>4500168979-10</t>
  </si>
  <si>
    <t>需要第三方SGS验货2025/07/25</t>
  </si>
  <si>
    <t>日期码格式：ZURU INC(BVI) 标准格式 日期：按实际生产日期
Packaging Info: 1. 出口加拿大市场。
#77673: MA 3L EAN_B版本 + UPC贴纸; UPC#193052079404; 3PCS AG13 BATTERIES(INCLUDED);
2. 产品、包装、外箱上面tracking code的时间格式需要一致.
Remark: 3. 需要第三方SGS验货，验货时间暂定2025/07/22，每款每色请备1PC完整带包装样品供验货人员参考。用完后若无损坏可以放回大货里。</t>
  </si>
  <si>
    <t>96236-8.17</t>
  </si>
  <si>
    <t>KOHL'S, INC.</t>
  </si>
  <si>
    <t>15777072</t>
  </si>
  <si>
    <t>4500169087-10</t>
  </si>
  <si>
    <t>8/5 SI</t>
  </si>
  <si>
    <t>外箱印刷 ZURU LOGO + MADE IN CHINA + 定位框，尺寸4"x6" (用于黏贴外箱贴）</t>
  </si>
  <si>
    <t>日期码格式：ZURU INC(BVI) 标准格式 日期：按实际生产日期
Packaging Info: 1. 此为Kohl's store 订单, MA UPC包装 + 价格贴纸 + 客供外箱贴纸
Remark: 2. 外箱印刷 ZURU LOGO + MADE IN CHINA + 定位框，尺寸4"x6" (用于黏贴外箱贴）
3. 需提供每款实际外箱尺寸排版确认定位框，store 订单的定位框位置要在：箱子的最大面朝上后，定位框在箱子的第二大面的右下角，距离箱子右边3英寸，距
离底部1.25英寸, 贴纸要按定位框贴，位置与方向贴不对会有客户罚款需由工厂承担
4. 产品入箱后，外箱的每个面都需要是平整，不能有鼓起
5. 收到外箱贴纸需要扫描上传ICE系统（出货前必须完成），上传的条码信息必须跟实际出货一致，贴纸备品不需要扫描。如有不同产生的罚款由工厂承担。
6. 需经ZURU验货通过后才可出货。
7. 客户有严格要求，若由工厂导致的罚款ZURU 都会向工厂收回。</t>
  </si>
  <si>
    <t>Jessi Xu</t>
  </si>
  <si>
    <t>ZB01144-8.8</t>
  </si>
  <si>
    <t>Distribuidora Liverpool S.A de C.V.</t>
  </si>
  <si>
    <t>4500165982-250</t>
  </si>
  <si>
    <t>6/20 提供</t>
  </si>
  <si>
    <r>
      <rPr>
        <sz val="11"/>
        <rFont val="宋体"/>
        <charset val="134"/>
      </rPr>
      <t>日期码格式：ZURU INC(BVI) 标准格式 日期：按实际生产日期
Packaging Info: 
77673：MA 3L EAN包装+UPC贴纸+进口商贴纸+价标贴纸+箱唛+</t>
    </r>
    <r>
      <rPr>
        <sz val="11"/>
        <color rgb="FFFF0000"/>
        <rFont val="宋体"/>
        <charset val="134"/>
      </rPr>
      <t>保证书</t>
    </r>
    <r>
      <rPr>
        <sz val="11"/>
        <rFont val="宋体"/>
        <charset val="134"/>
      </rPr>
      <t>，包装和说明书都需要贴一张进口商贴纸
Remark: 1. 此单价格贴纸（ZURU定购).
2.此单有第三方监柜，不用额外准备备品，会在大货中每款拆1pc，拆了包装的产品会由监装员用客供胶带封好或在外箱上写上""opened by telescope”</t>
    </r>
  </si>
  <si>
    <t xml:space="preserve"> Ava Liang</t>
  </si>
  <si>
    <t>95894 -4-8.17</t>
  </si>
  <si>
    <t>4500164920-150</t>
  </si>
  <si>
    <r>
      <rPr>
        <sz val="11"/>
        <rFont val="宋体"/>
        <charset val="134"/>
      </rPr>
      <t>日期码格式：ZURU INC(BVI) 标准格式 日期：按实际生产日期
Packaging Info:
77673：MA 3L EAN包装+UPC贴纸+进口商贴纸+价标贴纸+箱唛+</t>
    </r>
    <r>
      <rPr>
        <sz val="11"/>
        <color rgb="FFFF0000"/>
        <rFont val="宋体"/>
        <charset val="134"/>
      </rPr>
      <t>保证书</t>
    </r>
    <r>
      <rPr>
        <sz val="11"/>
        <rFont val="宋体"/>
        <charset val="134"/>
      </rPr>
      <t>，包装和说明书都需要贴一张进口商贴纸
Remark: 1. 此单价格贴纸（ZURU定购).
2.此单有第三方监柜，不用额外准备备品，会在大货中每款拆1pc，拆了包装的产品会由监装员用客供胶带封好或在外箱上写上"opened by telescope"</t>
    </r>
  </si>
  <si>
    <t>95893-8.17</t>
  </si>
  <si>
    <t>0907594695</t>
  </si>
  <si>
    <t>4500169834-20</t>
  </si>
  <si>
    <t>2025/8/5第三方验货</t>
  </si>
  <si>
    <t>ZB01309-8.16</t>
  </si>
  <si>
    <t>0907594730</t>
  </si>
  <si>
    <t>4500169834-30</t>
  </si>
  <si>
    <t>ZB01182-8.11</t>
  </si>
  <si>
    <t>0907594762</t>
  </si>
  <si>
    <t>4500169834-50</t>
  </si>
  <si>
    <t>ZB01394-8.21</t>
  </si>
  <si>
    <t>0907594782</t>
  </si>
  <si>
    <t>4500169834-60</t>
  </si>
  <si>
    <t>ZB01282-8.15</t>
  </si>
  <si>
    <t>4500170843-10</t>
  </si>
  <si>
    <t>明书纽扣电池警告语贴纸+ 1张收缩膜纽扣电池警告语贴纸（两款贴纸位置
图翻单PO#4500170842 ）</t>
  </si>
  <si>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子件77673:MA 1L UPC 收缩膜+1张说明书纽扣电池警告语贴纸+ 1张收缩膜纽扣电池警告语贴纸+MA 5L 收藏指南+MA 23L 说明书+MA 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</si>
  <si>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96091-8.17</t>
  </si>
  <si>
    <t>77785-S001-INT-1</t>
  </si>
  <si>
    <t>4500170842-10</t>
  </si>
  <si>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子件77673:MA 1L UPC 收缩膜+1张说明书纽扣电池警告语贴纸+ 1张收缩膜纽扣电池警告语贴纸+MA5L收藏指南+MA23L说明书+MA纸袋</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</si>
  <si>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96222-8.17</t>
  </si>
  <si>
    <t>4500164207-20</t>
  </si>
  <si>
    <t>日期码格式：ZURU INC(BVI) 标准格式 日期：按实际生产日期
Packaging Info:
77673：
1.MA -1L UPC包装+WEEE带电池走货说明书北欧B版+客人白色Cat.label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</si>
  <si>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96065-8.17</t>
  </si>
  <si>
    <t>G.T. WHOLESALE LIMITED</t>
  </si>
  <si>
    <t>2936849-00 2936852-00</t>
  </si>
  <si>
    <t>4500170357-30</t>
  </si>
  <si>
    <t>7/24前寄出大货样2套</t>
  </si>
  <si>
    <t>日期码格式：ZURU INC(BVI) 标准格式 日期：按实际生产日期
Packaging Info:
77673TQ1 MA 3L B EAN版本+UPC贴纸193052079404，MA 5L A 收藏指南， MA 23L说明书， MA 3L A PDQ
Remark: 出口加拿大， 有 进口商贴纸
7/24前寄出大货样2套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</si>
  <si>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Summer Mo</t>
  </si>
  <si>
    <t>95997-8.17</t>
  </si>
  <si>
    <t>PR􀃉NATAL RETAIL GROUP ASIA PACIFIC</t>
  </si>
  <si>
    <t>4500170840-10</t>
  </si>
  <si>
    <t>此客户需要第三方验货，请在约三方验货前必须PASS ZURU验货。</t>
  </si>
  <si>
    <t>客人日期码：LOT2531，产品（蛋壳等）/包装（收缩膜等）/外箱 请保持一致</t>
  </si>
  <si>
    <t>大货样品2套/item，用于客人验货签板。验货后还会抽办1套/item，请多备料。</t>
  </si>
  <si>
    <t>日期码格式：LOT2531 日期：
Packaging Info: 最新MA 3L EAN收缩膜+一张进口商贴纸（含意/希警语和意大利环保标以及希腊胶袋警语）+一张产品贴纸+一张WEEE说明书纸+最新MA 5L 收藏指南+最新MA 23L说明
书+最新MA 5L 包装
Remark: 1.RATIO 同MA 一致。
2.大货样品2套/item，用于客人验货签板。验货后还会抽办1套/item，请多备料。
3.客人日期码：LOT2531，产品（蛋壳等）/包装（收缩膜等）/外箱 请保持一致。
4.产品均符合EU微塑料法规要求：不能含有微塑料/闪粉
5. SMASHERS 或含Slime产品，所有化合物使用无硼版本出意大利。
6. 本订单所有 具有 baby items / assorted items 的款式，零售包装上都要用 母 EAN;
7，此客户需要第三方验货，请在约三方验货前必须PASS ZURU验货。</t>
  </si>
  <si>
    <t>95891-8.17</t>
  </si>
  <si>
    <t>JUGUETIBICI, S.A. DE C.V.</t>
  </si>
  <si>
    <t>4500170311-40</t>
  </si>
  <si>
    <t>此单有监柜，每款请多备1pc样板用于监装</t>
  </si>
  <si>
    <t>日期码格式：ZURU INC(BVI) 标准格式 日期：按实际生产日期
Packaging Info:
77673：MA 3L EAN PKG+UPC 条码贴纸+MA 3L PDQ+MA 收藏指南+进口商贴纸+箱唛+保证书
Remark: 
77673：3PCS AG13 BATTERIES(INCLUDED); Filxed Collection
此单有监柜，每款请多备1pc样板用于监装</t>
  </si>
  <si>
    <t>96239-8.17</t>
  </si>
  <si>
    <t>MULTIHEXA SDN BHD</t>
  </si>
  <si>
    <t>4500170501-80</t>
  </si>
  <si>
    <t>进口商贴纸。贴纸翻单如下：77673-4500165640</t>
  </si>
  <si>
    <t>日期码格式：ZURU INC(BVI) 标准格式 日期：按实际生产日期
Packaging Info: 1.此单除了77803是7/31，77673是8/4，其他都是CRD 7/28
2.77673-MA UPC包装（优先1L)+1张进口商贴纸。贴纸翻单如下：77673-4500165640；
5.因为此客人进口商贴纸是通用的（除了那些加了UPC条码的），只可能因为item不同尺寸会有差别，如果发现尺寸一样就请统一订购节省成本。
Remark: 
77673-Filxed Collection，3PCS AG13 BATTERIES(INCLUDED)</t>
  </si>
  <si>
    <t>96257-8.17</t>
  </si>
  <si>
    <t>NASA PANAMA</t>
  </si>
  <si>
    <t>4500172103-150</t>
  </si>
  <si>
    <t>7/18 微信提供</t>
  </si>
  <si>
    <r>
      <rPr>
        <sz val="11"/>
        <rFont val="宋体"/>
        <charset val="134"/>
      </rPr>
      <t xml:space="preserve">日期码格式：ZURU INC(BVI) 标准格式 日期：按实际生产日期
Packaging Info: </t>
    </r>
    <r>
      <rPr>
        <sz val="11"/>
        <color rgb="FFFF0000"/>
        <rFont val="宋体"/>
        <charset val="134"/>
      </rPr>
      <t>请确保包装上的条形码是UPC，如果是babyUPC，需要用mother UPC覆盖，如有不一致，请及时提出。谢谢!</t>
    </r>
    <r>
      <rPr>
        <sz val="11"/>
        <rFont val="宋体"/>
        <charset val="134"/>
      </rPr>
      <t xml:space="preserve">
77673 MA 多语EAN包装+UPC贴纸+MA 多语收藏指南+箱唛
Remark:
77673,,Filxed Collection; 3PCS AG13 BATTERIES(INCLUDED),,</t>
    </r>
  </si>
  <si>
    <t>96595-4-9.30</t>
  </si>
  <si>
    <t xml:space="preserve"> TOYS "R" US – JAPAN, LTD</t>
  </si>
  <si>
    <t>日本</t>
  </si>
  <si>
    <t>46:0003135848</t>
  </si>
  <si>
    <t>4500165405-10</t>
  </si>
  <si>
    <r>
      <rPr>
        <sz val="11"/>
        <rFont val="宋体"/>
        <charset val="134"/>
      </rPr>
      <t>日期码格式：ZURU INC(BVI) 标准格式 日期：按实际生产日期
Packaging Info: 1.77673:MA 1L UPC包装+1张日语警语贴纸</t>
    </r>
    <r>
      <rPr>
        <sz val="11"/>
        <color rgb="FFFF0000"/>
        <rFont val="宋体"/>
        <charset val="134"/>
      </rPr>
      <t>(贴纸资料7/15已发给工厂）</t>
    </r>
    <r>
      <rPr>
        <sz val="11"/>
        <rFont val="宋体"/>
        <charset val="134"/>
      </rPr>
      <t xml:space="preserve">
</t>
    </r>
    <r>
      <rPr>
        <sz val="11"/>
        <color rgb="FFFF0000"/>
        <rFont val="宋体"/>
        <charset val="134"/>
      </rPr>
      <t>2.收缩膜和说明书都要加贴纸
3.注意贴纸不要遮挡日期码</t>
    </r>
    <r>
      <rPr>
        <sz val="11"/>
        <rFont val="宋体"/>
        <charset val="134"/>
      </rPr>
      <t xml:space="preserve">
Remark: 77673:3PCS AG13 BATTERIES(INCLUDED)
出日本首单需安排样板测试， 请按邮件要求先寄出MA包装的样板做测试。
大货的产品内容和MA包装版本以及产品品质需严格跟到寄出的测试版。</t>
    </r>
  </si>
  <si>
    <t xml:space="preserve"> Aimee Huang</t>
  </si>
  <si>
    <t>96056-8.17</t>
  </si>
  <si>
    <t>47:0003135851</t>
  </si>
  <si>
    <t>4500165405-20</t>
  </si>
  <si>
    <t>PO#700-19290</t>
  </si>
  <si>
    <t>4500171377-30</t>
  </si>
  <si>
    <t>手工单MO250624的正式订单</t>
  </si>
  <si>
    <t>ZB01283-8.15</t>
  </si>
  <si>
    <t>PO#700-19267</t>
  </si>
  <si>
    <t>4500171377-70</t>
  </si>
  <si>
    <t>ZB01215-8.12</t>
  </si>
  <si>
    <t>PO#500-36266</t>
  </si>
  <si>
    <t>4500171377-110</t>
  </si>
  <si>
    <t>ZB01183-8.11</t>
  </si>
  <si>
    <t>ZMPO250573</t>
  </si>
  <si>
    <t>96273-8.17</t>
  </si>
  <si>
    <t>4500169101-10</t>
  </si>
  <si>
    <t>77673-S007</t>
  </si>
  <si>
    <t>迷你冰箱（胶袋装）</t>
  </si>
  <si>
    <t>日期码格式：ZURU INC(BVI) 标准格式 日期：按实际生产日期
Packaging Info: 1. 此为Kohl's digital 订单， MA UPC 包装 +胶袋 + UPC 贴纸（ 贴胶袋正中间 不覆盖胶袋上的警告语）+ 客供外箱贴纸
Remark: 2. 胶带要求：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需提供每款实际外箱尺寸排版确认定位框，digital 订单的定位框位置要在：箱子的最大面积朝上后，定位框在最小面的右下角，距离箱子右边3英寸，距离底
部1.25英寸，贴纸要按定位框贴，位置与方向贴不对会有客户罚款需由工厂承担
5. 收到外箱贴纸需要扫描上传ICE系统（出货前必须完成），上传的条码信息必须跟实际出货一致，贴纸备品不需要扫描。如有不同产生的罚款由工厂承担。
6. 产品入箱后，外箱的每个面都需要是平整，不能有鼓起
7. 需经ZURU验货通过后才可出货。
8. 客户有严格要求，若由工厂导致的罚款ZURU 都会向工厂收回。</t>
  </si>
  <si>
    <t>ZB01142-8.8</t>
  </si>
  <si>
    <t>IMPERIAL DISTRIBUTOR</t>
  </si>
  <si>
    <t>650286
Xmas 25</t>
  </si>
  <si>
    <t>4500170076-10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</si>
  <si>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77673: S001-MINI BRANDS-FILL THE FRIDGE PLAYSET-SERIES 1-SHRINK WRAP,12PCS/CTN.
GTIN: 10193052079401</t>
  </si>
  <si>
    <t>Yvonne Feng</t>
  </si>
  <si>
    <t>ZB01143-8.8</t>
  </si>
  <si>
    <t>4500170489-20</t>
  </si>
  <si>
    <t>纽扣电池警告语贴纸贴于包装正面 + 2张大纽扣电池警告语贴纸附（翻</t>
  </si>
  <si>
    <t>日期码格式：ZURU INC(BVI) 标准格式 日期：按实际生产日期
Packaging Info: 
77673: MA_UPC版本包装（MA首选1L，如无1L可用多语且含英语的配套多语UPC包装）+ 1张小纽扣电池警告语贴纸贴于包装正面 + 2张大纽扣电池警告语贴纸附（翻
单4500159576）
带进口商信息分别贴于包装背面以及说明书上
Remark: 1.按实际生产日期;
2.出澳大利亚，请按照相应标准生产;</t>
  </si>
  <si>
    <t>96218-8.17</t>
  </si>
  <si>
    <t>199-9281-761</t>
  </si>
  <si>
    <t>4500164549-10</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</si>
  <si>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
---以上客版包装除了(客版PDQ翻Costco US PO#4500156301)，剩下的客版包装都翻Costco Spain PO#4500163768,请一起合并订购物料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日期码印在产品和外箱上，按实际生产日期。 ZURU 标准版格式的日期码。
2. 出英国/冰岛/瑞典三个国家，产品需要打UKCA Mark，包装也需要有UKCA，否则不符合法规客人会退货有罚款产生
3. 纸箱唛头：纸箱四面，只印刷一个正面，另外一个正面不印，侧唛也不印, 按照箱唛模板要求排版。按照箱唛模板要求排版。请注意箱唛印刷效果要我们确认后
才可印刷大货的。
4. 确保展示架在入外箱时一定要正面对着有印刷箱唛的那面,不可以装反.</t>
  </si>
  <si>
    <t>96216-8.17</t>
  </si>
  <si>
    <t>Amazon UK:
7UCFFCDK</t>
  </si>
  <si>
    <t>4500170602-10</t>
  </si>
  <si>
    <t>日期码格式：ZURU INC(BVI) 标准格式 日期：按实际生产日期
Packaging Info: Amazon UK(77673)/DE(77673)/FR(77673)
1.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
2. 验货时间不迟于2025/8/5.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</si>
  <si>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95962/95980/96149</t>
  </si>
  <si>
    <t>Amazon DE:
2SPHSYID</t>
  </si>
  <si>
    <t>4500170602-20</t>
  </si>
  <si>
    <t>Amazon FR:
8WJ7EDPL</t>
  </si>
  <si>
    <t>4500170602-30</t>
  </si>
  <si>
    <t>0907594723</t>
  </si>
  <si>
    <t>4500170589-10</t>
  </si>
  <si>
    <t>8/8 第三方验货</t>
  </si>
  <si>
    <t>7/2 上给湖南</t>
  </si>
  <si>
    <t>77673：4pcs使用B版收缩膜的成品+4pcsB版说明书；77711：4pcsB版冰块袋配件+4pcsB版收藏指南+4pcsB版说明书</t>
  </si>
  <si>
    <t>日期码格式：ZURU DGYYYYMMDD CHINA(日期避开周末和法定节假日即可） 日期：按实际生产日期
Packaging Info: 77673TQ1-S001
1.包装要求：
MA 1L B版收缩膜+MA 5L A版收藏指南+MA B版说明书+MA 1L PDQ
每pcs产品上要贴1张RFID贴纸，贴纸由ZURU提供，贴纸位置请严格按照我们签回的签板；
Remark: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</si>
  <si>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ZB01211-8.12</t>
  </si>
  <si>
    <t>0907594829</t>
  </si>
  <si>
    <t>4500170589-20</t>
  </si>
  <si>
    <t>8/7 第三方自检</t>
  </si>
  <si>
    <t>ZB01349-8.19</t>
  </si>
  <si>
    <t>GAMESTOP</t>
  </si>
  <si>
    <t>4500170761-30</t>
  </si>
  <si>
    <t>警语贴纸（含意大利环保标，贴纸翻4500164781）</t>
  </si>
  <si>
    <t>日期码格式：ZURU INC(BVI) 标准格式 日期：按实际生产日期
Packaging Info: 
3. 77673TQ1:最新MA 3L EAN收缩膜+一张警语贴纸（含意大利环保标，贴纸翻4500164781）+最新MA 5L 收藏指南+最新MA 23L说明书+最新MA 5L 包装+最新MA 3L PD
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"WEEE说明书欧洲EN+30L-B版"</t>
  </si>
  <si>
    <t>95966-8.17</t>
  </si>
  <si>
    <t>4500160891-20</t>
  </si>
  <si>
    <t>8/15 第三方验货</t>
  </si>
  <si>
    <t>96566-9.30</t>
  </si>
  <si>
    <t>ARCHIBRAND, S.A. DE C.V.</t>
  </si>
  <si>
    <t>4500170750-50</t>
  </si>
  <si>
    <t>8/7 出货</t>
  </si>
  <si>
    <r>
      <rPr>
        <sz val="11"/>
        <rFont val="宋体"/>
        <charset val="134"/>
      </rPr>
      <t>日期码格式：ZURU INC(BVI) 标准格式 日期：按实际生产日期
Packaging Info: 
77673:MA 3L EAN PKG+UPC 条码贴纸+MA 收藏指南+MA 多语说明书+进口商贴纸+箱唛+</t>
    </r>
    <r>
      <rPr>
        <sz val="11"/>
        <color rgb="FFFF0000"/>
        <rFont val="宋体"/>
        <charset val="134"/>
      </rPr>
      <t>保证书
所有带电产品的保证书通用1份</t>
    </r>
    <r>
      <rPr>
        <sz val="11"/>
        <rFont val="宋体"/>
        <charset val="134"/>
      </rPr>
      <t xml:space="preserve">
Remark: 
77673:3PCS AG13 BATTERIES(INCLUDED);Filxed Collection</t>
    </r>
  </si>
  <si>
    <t>96589-2-9.30</t>
  </si>
  <si>
    <t xml:space="preserve">美国 </t>
  </si>
  <si>
    <t>4500170119-60</t>
  </si>
  <si>
    <t>4500170092-60</t>
  </si>
  <si>
    <t>ZB01311-8.16</t>
  </si>
  <si>
    <t>217652633
DC 086</t>
  </si>
  <si>
    <t>4500170515-10</t>
  </si>
  <si>
    <t>日期码格式：ZURU INC(BVI) 标准格式 日期：
Packaging Info: 1. MA 1L 包装
2. 客人指定箱唛排版
3.488箱的DC是086 263箱的DC是802，贴箱唛时注意根据箱唛右上角不同DC区分去贴箱唛
Remark: 出货前 Zuru QC 验货</t>
  </si>
  <si>
    <t>ZB01502-8.26</t>
  </si>
  <si>
    <t>217652636 DC
802</t>
  </si>
  <si>
    <t>4500170515-20</t>
  </si>
  <si>
    <t>ZB01350-8.19</t>
  </si>
  <si>
    <t>0907594752</t>
  </si>
  <si>
    <t>4500169834-40</t>
  </si>
  <si>
    <t>2025/7/31第三方验货</t>
  </si>
  <si>
    <t>ZB01119-8.7</t>
  </si>
  <si>
    <t>ZURU ITALY SRL</t>
  </si>
  <si>
    <t>4500175657-10</t>
  </si>
  <si>
    <t>77673TQ1-P-S005-MTS</t>
  </si>
  <si>
    <t>空PDQ</t>
  </si>
  <si>
    <t>日期码格式：ZURU INC(BVI) 标准格式 日期：按实际生产日期
Packaging Info: MA PDQ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Hyper系列
，统一出EN71版本。</t>
  </si>
  <si>
    <t>4500171286-80</t>
  </si>
  <si>
    <t>UPC贴纸</t>
  </si>
  <si>
    <t>日期码格式：ZURU INC(BVI) 标准格式 日期：按实际生产日期
Packaging Info:
77673：MA 多语EAN包装+UPC贴纸+MA 多语收藏指南+箱唛
Remark: 
77673： 3PCS AG13 BATTERIES(INCLUDED)</t>
  </si>
  <si>
    <t>96364-9.8</t>
  </si>
  <si>
    <t>AG250098-HK</t>
  </si>
  <si>
    <t>4500170405-10</t>
  </si>
  <si>
    <t>日期码格式：ZURU INC(BVI) 标准格式 日期：按实际生产日期
Packaging Info: 此单出香港
77673TQ1:MA 1L 收缩膜+MA 1L PDQ+MA 5L 收藏指南+MA 说明书+1张客供警语贴纸+1张客供电池警语贴纸+1张客供中文警告说明书）
Remark:</t>
  </si>
  <si>
    <t>96064-8.17</t>
  </si>
  <si>
    <t>po#60X269950</t>
  </si>
  <si>
    <t>4500169184-40</t>
  </si>
  <si>
    <t>8月18日第三方（利丰）到工厂做100%大货现场验货和抽板，验货需打印EPM出来跟客户回签样板供第三方验货参考。验货+ 抽板 （同一天进行）</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</si>
  <si>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77673-S004需7月25日前需寄出3套大货样板(含PDQ)，样板须跟大货一模一样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</si>
  <si>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Amber liang</t>
  </si>
  <si>
    <t>ZB01666-9.3</t>
  </si>
  <si>
    <t>0907594700</t>
  </si>
  <si>
    <t>4500170593-70</t>
  </si>
  <si>
    <t>日期码格式：ZURU DGYYYYMMDD CHINA(日期避开周末和法定节假日即可）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</si>
  <si>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ZB01393-8.21</t>
  </si>
  <si>
    <t>0907594706</t>
  </si>
  <si>
    <t>4500170593-80</t>
  </si>
  <si>
    <t>ZB01507-8.26</t>
  </si>
  <si>
    <t>0907594711</t>
  </si>
  <si>
    <t>4500170593-90</t>
  </si>
  <si>
    <t>ZB01559-8.28</t>
  </si>
  <si>
    <t>0907594739</t>
  </si>
  <si>
    <t>4500170593-110</t>
  </si>
  <si>
    <t>ZB01452-8.23</t>
  </si>
  <si>
    <t>0907594809</t>
  </si>
  <si>
    <t>4500170593-120</t>
  </si>
  <si>
    <t>ZB01453-8.23</t>
  </si>
  <si>
    <t>10001368437-3891</t>
  </si>
  <si>
    <t>4500170675-20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</si>
  <si>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</si>
  <si>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ZB01504-8.26</t>
  </si>
  <si>
    <t>10001401778-3890</t>
  </si>
  <si>
    <t>4500170533-10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</si>
  <si>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</si>
  <si>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ZB01348-8.19</t>
  </si>
  <si>
    <t>COMERCIALIZADORA MEXICO AMERICANA S</t>
  </si>
  <si>
    <t>4500167348-10</t>
  </si>
  <si>
    <t>客版日期码要求：LOT+ZURU标准日期码格式。东莞生产的格式：LOTDGYYYYMMDD, DG是东莞拼音首字母，YYYYMMDD是实际的年月日，例如(LOTDG20240920)</t>
  </si>
  <si>
    <t>4. WM墨西哥防霉的新要求:货物必须在出货主箱和集装箱中按要求放置干燥剂，干燥剂指定品牌干霸
5. 77673：每箱需放置6小包干燥剂, 每包重2-3g
6. 如走柜货等loading plan 确认后再通知集装箱干燥剂数量
此单工厂将安排1*40HC，每个HC需要放置10包干燥剂，每包干燥剂1KG</t>
  </si>
  <si>
    <t>此单有第三方监柜，至少多备一套完整的物料用于监柜，请多备料</t>
  </si>
  <si>
    <r>
      <rPr>
        <sz val="11"/>
        <rFont val="宋体"/>
        <charset val="134"/>
      </rPr>
      <t xml:space="preserve">日期码格式：LOTDGYYYYMMDD 日期：按实际生产日期
Packaging Info: 
77673: 3L EAN收缩膜+ UPC贴纸+ MA多语说明书+MA 5L收藏指南+进口商贴纸+箱唛++保证书，产品/包装/说明书上各贴1张进口商贴纸
Remark: 1 . 77673： 3PCS AG13 BATTERIES(INCLUDED)
2. 客版日期码要求：LOT+ZURU标准日期码格式。东莞生产的格式：LOTDGYYYYMMDD, DG是东莞拼音首字母，YYYYMMDD是实际的年月日，例如(LOTDG20240920)
3. 此单有第三方监柜，至少多备一套完整的物料用于监柜，请多备料
4. WM墨西哥防霉的新要求:货物必须在出货主箱和集装箱中按要求放置干燥剂，干燥剂指定品牌干霸
5. 77673：每箱需放置6小包干燥剂, 每包重2-3g
6. 如走柜货等loading plan 确认后再通知集装箱干燥剂数量
</t>
    </r>
    <r>
      <rPr>
        <sz val="11"/>
        <color rgb="FFFF0000"/>
        <rFont val="宋体"/>
        <charset val="134"/>
      </rPr>
      <t>此单工厂将安排1*40HC，每个HC需要放置10包干燥剂，每包干燥剂1KG</t>
    </r>
  </si>
  <si>
    <t>96088-8.17</t>
  </si>
  <si>
    <t>GP- Giocheria</t>
  </si>
  <si>
    <t>4500163718-40</t>
  </si>
  <si>
    <t>7/4 更新</t>
  </si>
  <si>
    <t>客人警语贴纸，翻4500163648</t>
  </si>
  <si>
    <t>客人日期码：ZUR5201，产品/包装(收缩膜）/外箱 请保持一致</t>
  </si>
  <si>
    <t>日期码格式：ZUR5201 日期：
Packaging Info: 
4.MEC305: 最新MA 3L EAN收缩膜+最新MA 展示架+最新MA 5L说明书+最新MA纸袋+一张客人警语贴纸，翻4500163648
Remark: 1.客人日期码：ZUR5201，产品/包装（收缩膜等）/外箱 请保持一致
2.含Slime产品，所有化合物使用无硼版本出意大利
3.请自行根据产品是否带电池出货，相应订购"欧洲通用说明书EN+30L"</t>
  </si>
  <si>
    <t>96244-8.17</t>
  </si>
  <si>
    <t>4500163648-30</t>
  </si>
  <si>
    <t>96243-8.17</t>
  </si>
  <si>
    <t>29028748</t>
  </si>
  <si>
    <t>4500170550-10</t>
  </si>
  <si>
    <t>日期码格式：ZURU INC(BVI) 标准格式 日期：按实际生产日期
Packaging Info: #77673TQ1:
1.3PCS AG13 BATTERIES(INCLUDED)，有纽扣电池，包装正面和说明书都需要加电池警告语贴纸（法规要求）
2.Filxed Collection
3.加UPC贴纸：193052090164
Remark: 1.MA UPC 英语包装（优先1L英语版本，或者3L/5L含英语都可）
2.此客人不接受易掉落或者剥落或者可直接触碰的闪粉，可降解也不行，但可以接受符合欧洲微塑料标准的珠光粉或者闪片。
3.有纽扣电池，包装正面和说明书都需要加电池警告语贴纸（法规要求）
4.加UPC贴纸</t>
  </si>
  <si>
    <t>96288-9.1</t>
  </si>
  <si>
    <t>COSTCO WHOLESALE COORPERATION</t>
  </si>
  <si>
    <t>010520625238</t>
  </si>
  <si>
    <t>4500156322-10</t>
  </si>
  <si>
    <t>8/7 安排10%抽板测试，8/20 完成100%大货安排第三方验货</t>
  </si>
  <si>
    <r>
      <rPr>
        <sz val="11"/>
        <rFont val="宋体"/>
        <charset val="134"/>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rPr>
      <t>正唛和背面两面都需印刷，其他2面侧面留空,按照箱唛要求排版</t>
    </r>
    <r>
      <rPr>
        <sz val="11"/>
        <rFont val="宋体"/>
        <charset val="134"/>
      </rPr>
      <t xml:space="preserve">。
4. 确保展示架在入外箱的时候一定要正面对着有印刷箱唛的那面,不可以装反。
</t>
    </r>
    <r>
      <rPr>
        <sz val="11"/>
        <color rgb="FFFF0000"/>
        <rFont val="宋体"/>
        <charset val="134"/>
      </rPr>
      <t>5. 此单是首单出货数量5400pcs, 2025/8/7安排做10%抽版测试，最晚8/20完成100%大货安排第三方验货
6. 大货样板:工厂需预留至少6整套测试样用于抽板+3pcs封样（1pc工厂留底待第三方验货使用+2pc寄深圳办公室，需给客人留底)+ 1pc大货样寄深圳办公室拍照用</t>
    </r>
  </si>
  <si>
    <t>ZB01510-8.26</t>
  </si>
  <si>
    <t>77721SLT-S001-NA</t>
  </si>
  <si>
    <t>10001368436-3890</t>
  </si>
  <si>
    <t>4500170676-20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</si>
  <si>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4. 产品和包装上印刷 tracking code信息，格式为ZURU常规格式;
5. 出货方式：货代自提</t>
  </si>
  <si>
    <t>ZB01470-8.25</t>
  </si>
  <si>
    <t>AMAZON.COM SERVICES LLC</t>
  </si>
  <si>
    <t>Customer
PO#477XO6OD</t>
  </si>
  <si>
    <t>4500172566-10</t>
  </si>
  <si>
    <t>日期码格式：ZURU INC(BVI) 标准格式 日期：按实际生产日期
Packaging Info: 77673 MA UPC版包装(1L或3L都可以), 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</si>
  <si>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t>
  </si>
  <si>
    <t>ZB01450R1-8.23</t>
  </si>
  <si>
    <t>4500170471-50</t>
  </si>
  <si>
    <t>8/20 第三方验货</t>
  </si>
  <si>
    <t>(UPC贴纸翻单：4500160504)</t>
  </si>
  <si>
    <t>日期码格式：ZURU INC(BVI) 标准格式 日期：按实际生产日期
Packaging Info: 
#77673：
MA3L收缩膜+UPC贴纸(UPC:193052079404)+MA23L说明书+MA5L收藏指南+MA5L,UV胶瓶身贴
(UPC贴纸翻单：4500160504)
Remark: 1. 此单有箱唛;
2. UPC贴纸：必须在原来错误的条码上用黑色粗头笔涂黑直至不能扫描，再贴上正确的UPC;
3. 此单有第三方验货，烦请多备包装物料；
4. #15727/15728需2025/7/9更新签板，签样数量：大货样各3pcs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</si>
  <si>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96294-9.2</t>
  </si>
  <si>
    <t>0907594733</t>
  </si>
  <si>
    <t>4500170698-10</t>
  </si>
  <si>
    <t>6/30 寄出</t>
  </si>
  <si>
    <t>ZB01605-8.30</t>
  </si>
  <si>
    <t>0907594766</t>
  </si>
  <si>
    <t>4500170698-20</t>
  </si>
  <si>
    <t>ZB01503-8.26</t>
  </si>
  <si>
    <t>4500164293-10</t>
  </si>
  <si>
    <t>日期码格式：ZURU INC(BVI) 标准格式 日期：按实际生产日期
Packaging Info: 77673：
1.MA -1L UPC包装+WEEE带电池走货说明书北欧B版+客人白色Cat.label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-请先检查条码是否正确再安排做，标签上的目录编号数字高度必须至少为5mm （14.17pt），条码扫描结果应为7624348。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</si>
  <si>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96150-8.17</t>
  </si>
  <si>
    <t>Draft PO-77673TQ1（1）</t>
  </si>
  <si>
    <t>4500170547-10</t>
  </si>
  <si>
    <t>ZB01632-9.1</t>
  </si>
  <si>
    <t>4500170993-10</t>
  </si>
  <si>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子件77673:MA 1L UPC 收缩膜+1张说明书纽扣电池警告语贴纸+ 1张收缩膜纽扣电池警告语贴纸+MA 5L 收藏指南+MA 23L 说明书+MA 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</si>
  <si>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96089/96129</t>
  </si>
  <si>
    <t>4500170993-20</t>
  </si>
  <si>
    <t>4500170994-10</t>
  </si>
  <si>
    <t>96090/96130</t>
  </si>
  <si>
    <t>4500170994-20</t>
  </si>
  <si>
    <t>TIENDAS CHEDRAUI, S.A. DE C.V.</t>
  </si>
  <si>
    <t>4500167877-10</t>
  </si>
  <si>
    <t>日期码格式：ZURU INC(BVI) 标准格式 日期：按实际生产日期
Packaging Info: 1. 77673：MA 多语EAN包装+UPC贴纸+MA 多语收藏指南+2张进口商贴纸(产品/包装都要加一张不同的进口商贴纸)+客版黑白说明书+保证书+箱唛
Remark: 1. 77673：Filxed Collection; 3PCS AG13 BATTERIES(INCLUDED)</t>
  </si>
  <si>
    <t>96055-8.17</t>
  </si>
  <si>
    <t>4500171158-10</t>
  </si>
  <si>
    <t>日期码格式：ZURU INC(BVI) 标准格式 日期：按实际生产日期
Packaging Info: 最新MA 3L PDQ+ 客版收缩膜(英法德callout/英法德意荷警语/法国环保logo) +客版收藏指南(英法德意荷)客版包装资料翻单4500155594 +最新MA 23L 说明书+B版
WEEE声明带电池走货欧洲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</si>
  <si>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96399-9.11</t>
  </si>
  <si>
    <t>29028745</t>
  </si>
  <si>
    <t>4500170549-10</t>
  </si>
  <si>
    <t>96201-8.17</t>
  </si>
  <si>
    <t>SMYTHS TOYS HQ UC IE</t>
  </si>
  <si>
    <t>CUS
PO#4400496790</t>
  </si>
  <si>
    <t>4500173265-10</t>
  </si>
  <si>
    <t>WEEE电池通用30L-B版说明书（带电池）</t>
  </si>
  <si>
    <r>
      <rPr>
        <sz val="11"/>
        <rFont val="宋体"/>
        <charset val="134"/>
      </rPr>
      <t>日期码格式：ZURU INC(BVI) 标准格式 日期：按实际生产日期
Packaging Info: 77673TQ1: 最新MA PDQ(优先3L )+客版收缩膜(英法德callout/英法德意荷警语/法国环保logo---</t>
    </r>
    <r>
      <rPr>
        <sz val="11"/>
        <color rgb="FFFF0000"/>
        <rFont val="宋体"/>
        <charset val="134"/>
      </rPr>
      <t>此单提供新稿</t>
    </r>
    <r>
      <rPr>
        <sz val="11"/>
        <rFont val="宋体"/>
        <charset val="134"/>
      </rPr>
      <t>)+23L说明书+客版收藏指南(英法德意荷)（翻#450015
5594）+WEEE电池通用30L-B版说明书（带电池）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r>
  </si>
  <si>
    <t>Sherry Lu</t>
  </si>
  <si>
    <t>96178-8.17</t>
  </si>
  <si>
    <t>0907594744</t>
  </si>
  <si>
    <t>4500170706-10</t>
  </si>
  <si>
    <t>ZB01751-9.6</t>
  </si>
  <si>
    <t>0907594754</t>
  </si>
  <si>
    <t>4500170706-20</t>
  </si>
  <si>
    <t>ZB01793-9.9</t>
  </si>
  <si>
    <t>0907594757</t>
  </si>
  <si>
    <t>4500170706-30</t>
  </si>
  <si>
    <t>ZB01715-9.5</t>
  </si>
  <si>
    <t>0907594759</t>
  </si>
  <si>
    <t>4500170706-40</t>
  </si>
  <si>
    <t>ZB01644-9.2</t>
  </si>
  <si>
    <t>0907594802</t>
  </si>
  <si>
    <t>4500170706-50</t>
  </si>
  <si>
    <t>ZB01750-9.6</t>
  </si>
  <si>
    <t>10001368612-3891</t>
  </si>
  <si>
    <t>4500170678-30</t>
  </si>
  <si>
    <t>日期码格式：ZURU INC(BVI) 标准格式 日期：按实际生产日期
Packaging Info: 
77673TQ1: 产品包装 客版收缩膜+客版收藏指南+MA说明书+ MA 1L PDQ；客版收缩膜+客版收藏指南翻单4500158149；
Remark:
77673TQ1:
1. 77673TQ1-S001-CC-MINI BRANDS-FILL THE FRIDGE PLAYSET-SERIES 1-SHRINK WRAP,4PCS/PDQ,4PCS/PDQ/CTN
2. 产品包装 客版收缩膜+客版收藏指南+MA说明书+ MA 1L PDQ；客版收缩膜上的UPC显示193052079404；客版收缩膜+客版收藏指南翻单4500158149；
3. 外箱正唛左上角位置粘贴条码箱贴纸，每箱只贴一张，由ZURU订购。来料贴纸上显示的客户DPCI# 086-02-3468， UPC显示10193052079401;
以上所以item均：
1. 产品和包装上均要印刷tracking code信息，格式为ZURU常规格式;
2. 出货方式：货代自提</t>
  </si>
  <si>
    <t>ZB01561-8.28</t>
  </si>
  <si>
    <t>4500172403-10</t>
  </si>
  <si>
    <t>客人要求提前货期</t>
  </si>
  <si>
    <t>96339-8.17</t>
  </si>
  <si>
    <t>4500172405-10</t>
  </si>
  <si>
    <t>96340-8.17</t>
  </si>
  <si>
    <t>001750625301</t>
  </si>
  <si>
    <t>4500156313-10</t>
  </si>
  <si>
    <r>
      <rPr>
        <sz val="11"/>
        <rFont val="宋体"/>
        <charset val="134"/>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rPr>
      <t>正唛和背面两面都需印刷，其他2面侧面留空,按照箱唛要求排版。</t>
    </r>
    <r>
      <rPr>
        <sz val="11"/>
        <rFont val="宋体"/>
        <charset val="134"/>
      </rPr>
      <t xml:space="preserve">
4. 确保展示架在入外箱的时候一定要正面对着有印刷箱唛的那面,不可以装反。</t>
    </r>
  </si>
  <si>
    <t>ZB01509-8.26</t>
  </si>
  <si>
    <t>Costco Wholesale Spain, S.L.U.</t>
  </si>
  <si>
    <t>4500163768-10</t>
  </si>
  <si>
    <t>大冰箱</t>
  </si>
  <si>
    <t>日期码格式：ZURU INC(BVI) 标准格式 日期：按实际生产日期
Packaging Info: 1. 77758SLT: 客版彩盒(英法西瑞典冰岛语言)+客版球的收缩膜(英法西瑞典冰岛语言)+客版冰箱收缩膜(英法西瑞典冰岛语言)+客版冰箱收藏指南(英法西瑞典冰岛
语言)+客版球的收藏指南(英法西瑞典冰岛语言)+客版Manual for three kinds of mini creates(英法西瑞典冰岛语言) +客版球的黑白说明书(英法西瑞典冰岛语言
)+客版内纸袋(英法西瑞典冰岛语言) +客版UV glue bottle sticker(英法西瑞典冰岛语言) +客版冰箱电池警告语和说明书(英法西瑞典冰岛语言) + 客版PDQ(客版
PDQ翻Costco US PO#4500156301)
---此单代替原本的订单PO#4500163768，原本订单已删除，请以此PO为准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#77758SLT:因为内部系统原因，此单代替原本的订单PO#4500163768，原本订单已删除，请以此PO为准
2. #77758SLT已增加RMB4180/7.25=$576.55 收缩膜和袋子铜板费(380/支)到PO价格中
3. 所有日期码印在包装上，产品上也需印日期码.按实际生产日期，ZURU 标准版格式的日期码。
4.#77758SLT是首单需要安排10%抽板测试: 抽板时间6/16(跟UK的单一起抽板节省费用)
请严格按期安排物料，预计会抽走6套成品版（具体数量届时再告知）+ all product package and shipping package+一套封板在工厂供100%验货用，箱唛要印刷客
人箱唛，请做好损耗计算；一般需要7-10 working day 做测试，抽版测试通过才能安排100%大货生产
5. 请在7/25各提供两套大货样给客人留底
6. 纸箱唛头：纸箱四面，只印刷一个正面，另外一个正面不印，侧唛也不印, 按照箱唛模板要求排版。按照箱唛模板要求排版。请注意箱唛印刷效果要我们确认后
才可印刷大货的。
7. 确保展示架在入外箱时一定要正面对着有印刷箱唛的那面,不可以装反</t>
  </si>
  <si>
    <t>SHEBA YE</t>
  </si>
  <si>
    <t>96579-9.30</t>
  </si>
  <si>
    <t>002880625215</t>
  </si>
  <si>
    <t>4500156314-10</t>
  </si>
  <si>
    <r>
      <rPr>
        <sz val="11"/>
        <rFont val="宋体"/>
        <charset val="134"/>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rPr>
      <t>，正唛和背面两面都需印刷，其他2面侧面留空,按照箱唛要求排版。</t>
    </r>
    <r>
      <rPr>
        <sz val="11"/>
        <rFont val="宋体"/>
        <charset val="134"/>
      </rPr>
      <t xml:space="preserve">
4. 确保展示架在入外箱的时候一定要正面对着有印刷箱唛的那面,不可以装反。</t>
    </r>
  </si>
  <si>
    <t>ZB01564-8.28</t>
  </si>
  <si>
    <t>012030625245</t>
  </si>
  <si>
    <t>4500156323-10</t>
  </si>
  <si>
    <r>
      <rPr>
        <sz val="11"/>
        <rFont val="宋体"/>
        <charset val="134"/>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rPr>
      <t>正唛和背面两面都需印刷，其他2面侧面留空,按照箱唛要求排版。</t>
    </r>
    <r>
      <rPr>
        <sz val="11"/>
        <rFont val="宋体"/>
        <charset val="134"/>
      </rPr>
      <t>。
4. 确保展示架在入外箱的时候一定要正面对着有印刷箱唛的那面,不可以装反。</t>
    </r>
  </si>
  <si>
    <t>ZB01562-8.28</t>
  </si>
  <si>
    <t>013540625207</t>
  </si>
  <si>
    <t>4500156326-10</t>
  </si>
  <si>
    <r>
      <rPr>
        <sz val="11"/>
        <rFont val="宋体"/>
        <charset val="134"/>
      </rPr>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t>
    </r>
    <r>
      <rPr>
        <sz val="11"/>
        <color rgb="FFFF0000"/>
        <rFont val="宋体"/>
        <charset val="134"/>
      </rPr>
      <t>正唛和背面两面都需印刷，其他2面侧面留空,按照箱唛要求排版。</t>
    </r>
    <r>
      <rPr>
        <sz val="11"/>
        <rFont val="宋体"/>
        <charset val="134"/>
      </rPr>
      <t xml:space="preserve">
4. 确保展示架在入外箱的时候一定要正面对着有印刷箱唛的那面,不可以装反。</t>
    </r>
  </si>
  <si>
    <t>ZB01563-8.28</t>
  </si>
  <si>
    <t>005840625195</t>
  </si>
  <si>
    <t>4500156301-10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</si>
  <si>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</si>
  <si>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ZB01646-9.2</t>
  </si>
  <si>
    <t>4500170560-10</t>
  </si>
  <si>
    <t>9/7截仓</t>
  </si>
  <si>
    <t>日期码格式：ZURU INC(BVI) 标准格式 日期：按实际生产日期
Packaging Info: 77673TQ1:
1.3PCS AG13 BATTERIES(INCLUDED)，有纽扣电池，包装正面和说明书都需要加电池警告语贴纸（法规要求）
2.Filxed Collection
3.加UPC贴纸：193052090164
Remark: 1.MA UPC 英语包装（优先1L英语版本，或者3L/5L含英语都可）
2.此客人不接受易掉落或者剥落或者可直接触碰的闪粉，可降解也不行，但可以接受符合欧洲微塑料标准的珠光粉或者闪片。
3.有纽扣电池，包装正面和说明书都需要加电池警告语贴纸（法规要求）
4.加UPC贴纸</t>
  </si>
  <si>
    <t>96362-9.8</t>
  </si>
  <si>
    <t>4500170563-10</t>
  </si>
  <si>
    <t>96531-9.26</t>
  </si>
  <si>
    <t>0086-7056347-3890</t>
  </si>
  <si>
    <t>4500174008-10</t>
  </si>
  <si>
    <t>新客版收缩膜资料</t>
  </si>
  <si>
    <t>日期码格式：ZURU INC(BVI) 标准格式 日期：按实际生产日期
Packaging Info: 产品包装 客版收缩膜+客版收藏指南+MA说明书+ MA 1L PDQ；客版收缩膜使用新版本；客版收藏指南翻单4500158149；
Remark: 1. 77673TQ1-S001-CC-MINI BRANDS-FILL THE FRIDGE PLAYSET-SERIES 1-SHRINK WRAP,4PCS/PDQ,4PCS/PDQ/CTN
2. 产品包装 客版收缩膜+客版收藏指南+MA说明书+ MA 1L PDQ；客版收缩膜上的UPC显示193052079404；客版收缩膜使用新版本；客版收藏指南翻单4500158149；新
版收缩膜铜板费$157.24 已添加在订单中；
3. 外箱正唛左上角位置粘贴条码箱贴纸，每箱只贴一张，由ZURU订购。来料贴纸上显示的客户DPCI# 086-02-3468， UPC显示10193052079401;
4. 外箱正唛信息右侧空白位置粘贴一张Event label贴纸，贴纸内容显示：Christmas Morning Magic Rear Seasonal Set Date: 11/30/2025 ；由工厂自己订购；
5. 产品和包装上印刷 tracking code信息，格式为ZURU常规格式;
6. 出货方式：货代自提</t>
  </si>
  <si>
    <t>ZB01792(REV1)-9.9</t>
  </si>
  <si>
    <t>0907594710</t>
  </si>
  <si>
    <t>4500174958-10</t>
  </si>
  <si>
    <t>9/11bv自检</t>
  </si>
  <si>
    <t>8/6 寄出</t>
  </si>
  <si>
    <t>ZB01888-9.13</t>
  </si>
  <si>
    <t>0907594734</t>
  </si>
  <si>
    <t>4500174958-20</t>
  </si>
  <si>
    <t>ZB01794-9.9</t>
  </si>
  <si>
    <t>SMYTHS TOYS HQ UC UK</t>
  </si>
  <si>
    <t>4500175570-10</t>
  </si>
  <si>
    <t>日期码格式：ZURU INC(BVI) 标准格式 日期：按实际生产日期
Packaging Info: 77673TQ1:最新MA PDQ(优先3L )+客版收缩膜(英法德callout/英法德意荷警语/法国环保logo---翻订单4500173265)+23L说明书+客版收藏指南(英法德意荷)（ 翻#45
00155594）+WEEE电池通用30L说明书B版（带电池）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</si>
  <si>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96361-9.8</t>
  </si>
  <si>
    <t>客户PO:020853
85/1</t>
  </si>
  <si>
    <t>4500172155-20</t>
  </si>
  <si>
    <t>日期码格式：ZURU INC(BVI) 标准格式 日期：按实际生产日期
Packaging Info: 77673tq1：需要加WEEE_带电池走货 _ 说明书欧洲EN+30L-B版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</si>
  <si>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</si>
  <si>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96433-9.15</t>
  </si>
  <si>
    <t>ZU25060603SG</t>
  </si>
  <si>
    <t>4500174635-20</t>
  </si>
  <si>
    <t>日期码格式：ZURU INC(BVI) 标准格式 日期：按实际生产日期
Packaging Info: MA UPC包装(优先1L)+1张固定进口商贴纸;
整单贴纸资料待提供
Remark:
77673-Filxed Collection</t>
  </si>
  <si>
    <t>96432-9.15</t>
  </si>
  <si>
    <t>4500172408-10</t>
  </si>
  <si>
    <t>日期码格式：ZURU INC(BVI) 标准格式 日期：按实际生产日期
Packaging Info: 77785：MA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</si>
  <si>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96396-9.11</t>
  </si>
  <si>
    <t>4500172407-10</t>
  </si>
  <si>
    <t>96395-9.11</t>
  </si>
  <si>
    <t>4500172730-10</t>
  </si>
  <si>
    <t>日期码格式：ZURU INC(BVI) 标准格式 日期：按实际生产日期
Packaging Info: 77673 MA UPC版包装(1L或3L都可)，出口美国。
Remark: 1.Amazon domestic 订单。出口美国。外箱最长边不能超过25" （超过了，case pack只能为1），不符合要求的大货，一律不接受。
2.无第三方验货/测试要求。
3.日期码使用ZURU标准版本。
4.邮包盒要印刷日期码。</t>
  </si>
  <si>
    <t>SD24</t>
  </si>
  <si>
    <t>ZB02424-10.14</t>
  </si>
  <si>
    <t>AMIC TRADING (PTY) LTD</t>
  </si>
  <si>
    <t>6006-008049</t>
  </si>
  <si>
    <t>4500173266-60</t>
  </si>
  <si>
    <t>7/11 提供UPC贴纸进口商贴纸和位置图翻单4500165848</t>
  </si>
  <si>
    <t>日期码格式：ZURU INC(BVI) 标准格式 日期：按实际生产日期
Packaging Info: MA PKG ， 优先1L +1张进口商贴纸（不得遮挡日期码）
进口商贴纸和位置图翻单4500165848
77711GQ2: MA 3L EAN 收缩膜+1张UPC 条码贴纸（覆盖原条码）+1张进口商贴纸（贴球顶部）+MA 5L 收藏指南， MA说明书
Remark:</t>
  </si>
  <si>
    <t>96582-2-9.30</t>
  </si>
  <si>
    <t>013760625258</t>
  </si>
  <si>
    <t>4500156325-10</t>
  </si>
  <si>
    <t>ZB01645-9.2</t>
  </si>
  <si>
    <t>002670625255</t>
  </si>
  <si>
    <t>4500156324-10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</si>
  <si>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</si>
  <si>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ZB01680-9.4</t>
  </si>
  <si>
    <t>002620625280</t>
  </si>
  <si>
    <t>4500156328-10</t>
  </si>
  <si>
    <t>ZB01668-9.3</t>
  </si>
  <si>
    <t>10001368521-3891</t>
  </si>
  <si>
    <t>4500174721-20</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</si>
  <si>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</si>
  <si>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ZB01834-9.10</t>
  </si>
  <si>
    <t>10001368607-3890</t>
  </si>
  <si>
    <t>4500175215-10</t>
  </si>
  <si>
    <t>日期码格式：ZURU INC(BVI) 标准格式 日期：按实际生产日期
Packaging Info: 产品包装 客版收缩膜+客版收藏指南+MA说明书+ MA 1L PDQ；客版收缩膜+客版收藏指南翻单4500174008；
Remark: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</si>
  <si>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ZB01969-9.17</t>
  </si>
  <si>
    <t>0907594745</t>
  </si>
  <si>
    <t>4500174959-10</t>
  </si>
  <si>
    <t>9/11 BV自检</t>
  </si>
  <si>
    <t>ZB02031-9.22</t>
  </si>
  <si>
    <t>0907594764</t>
  </si>
  <si>
    <t>4500174959-20</t>
  </si>
  <si>
    <t>ZB02019-9.20</t>
  </si>
  <si>
    <t>BARNES &amp; NOBLE PURCHASING, INC.</t>
  </si>
  <si>
    <t>PO#2948279 to
NJ</t>
  </si>
  <si>
    <t>4500174833-20</t>
  </si>
  <si>
    <r>
      <rPr>
        <sz val="11"/>
        <color rgb="FF3E2CEA"/>
        <rFont val="宋体"/>
        <charset val="134"/>
      </rPr>
      <t xml:space="preserve">日期码格式：ZURU INC(BVI) 标准格式 日期：按实际生产日期
Packaging Info: 1. 包材：出口美国; 贴纸工厂直接采购；
#77673: ZURU MA 1L UPC 版本+ MA 5L 收藏指南 +价格贴纸（价贴金额 $24.99,价贴位于产品包装上UPC条形码附近），价贴资料跟单提供，工厂采购。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t>
    </r>
    <r>
      <rPr>
        <sz val="11"/>
        <color rgb="FFFF0000"/>
        <rFont val="宋体"/>
        <charset val="134"/>
      </rPr>
      <t>收件人：Grace Li
电话: 86 0755 8618 5344| VOIP(Internal): 4344</t>
    </r>
  </si>
  <si>
    <t>ZB02190-9.27</t>
  </si>
  <si>
    <t>PO#2948280 to
NV</t>
  </si>
  <si>
    <t>4500174833-50</t>
  </si>
  <si>
    <r>
      <rPr>
        <sz val="11"/>
        <rFont val="宋体"/>
        <charset val="134"/>
      </rPr>
      <t xml:space="preserve">日期码格式：ZURU INC(BVI) 标准格式 日期：按实际生产日期
Packaging Info: 1. 包材：出口美国; 贴纸工厂直接采购；
#77673: ZURU MA 1L UPC 版本+ MA 5L 收藏指南 +价格贴纸（价贴金额 $24.99,价贴位于产品包装上UPC条形码附近），价贴资料跟单提供，工厂采购。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t>
    </r>
    <r>
      <rPr>
        <sz val="11"/>
        <color rgb="FFFF0000"/>
        <rFont val="宋体"/>
        <charset val="134"/>
      </rPr>
      <t>收件人：Grace Li
电话: 86 0755 8618 5344| VOIP(Internal): 4344</t>
    </r>
  </si>
  <si>
    <t>ZB02058-9.25</t>
  </si>
  <si>
    <t>4500175843-130</t>
  </si>
  <si>
    <t>日期码格式：ZURU INC(BVI) 标准格式 日期：按实际生产日期
Packaging Info:
8. 77673：MA 3L EAN 包装+UPC条码贴纸+MA 多语 说明书+MA 多语 收藏指南+保证书+进口商贴纸+箱唛
除了77673不用加胶袋，剩余款都要按照单个产品入polybag胶袋后再装箱出货，需打孔，胶袋需封口
Remark:
77673：3PCS AG13 BATTERIES(INCLUDED)</t>
  </si>
  <si>
    <t>96585-3-9.30</t>
  </si>
  <si>
    <t>001790625260</t>
  </si>
  <si>
    <t>4500156330-10</t>
  </si>
  <si>
    <t>ZB01835-9.10</t>
  </si>
  <si>
    <t>001740625260</t>
  </si>
  <si>
    <t>4500156315-10</t>
  </si>
  <si>
    <t>ZB01606-8.30</t>
  </si>
  <si>
    <t>AMBIENTAL PARAGUAY</t>
  </si>
  <si>
    <t>巴拉圭</t>
  </si>
  <si>
    <t>4500173750-50</t>
  </si>
  <si>
    <t xml:space="preserve">无 </t>
  </si>
  <si>
    <t>日期码格式：ZURU INC(BVI) 标准格式 日期：按实际生产日期
Packaging Info: 
77673:MA 多语包装+进口商贴纸+UPC贴纸+箱唛
Remark:</t>
  </si>
  <si>
    <t>96400-2-9.11</t>
  </si>
  <si>
    <t>10001426802-3890</t>
  </si>
  <si>
    <t>4500175217-10</t>
  </si>
  <si>
    <t>ZB02008-9.19</t>
  </si>
  <si>
    <t>4500165636-70</t>
  </si>
  <si>
    <t>防窜码贴纸</t>
  </si>
  <si>
    <t>96440-9.16</t>
  </si>
  <si>
    <t>009600625371</t>
  </si>
  <si>
    <t>4500156319-10</t>
  </si>
  <si>
    <t>ZB01890-9.13</t>
  </si>
  <si>
    <t>009600625370</t>
  </si>
  <si>
    <t>4500156318-10</t>
  </si>
  <si>
    <t>ZB01889-9.13</t>
  </si>
  <si>
    <t>001710625321</t>
  </si>
  <si>
    <t>4500156332-10</t>
  </si>
  <si>
    <t>ZB01941-9.16</t>
  </si>
  <si>
    <t>009360625303</t>
  </si>
  <si>
    <t>4500156334-10</t>
  </si>
  <si>
    <t>ZB01971-9.17</t>
  </si>
  <si>
    <t>10001435321-3890</t>
  </si>
  <si>
    <t>4500173789-10</t>
  </si>
  <si>
    <t>9/29 出货</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</si>
  <si>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</si>
  <si>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ZB02252(REV1)-9.30</t>
  </si>
  <si>
    <t>FYE</t>
  </si>
  <si>
    <t>4500156471-20</t>
  </si>
  <si>
    <t>日期码格式：ZURU INC(BVI) 标准格式 日期：按实际生产日期 
Packaging Info: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Remark: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#77673TQ1-S002 $29.99
 5.出货配比：
 #77673TQ1-S002-MINI BRANDS-FILL THE FRIDGE PLAYSET-SERIES 1,4PCS/PDQ,16PCS/4PDQ/CTN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</si>
  <si>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Hailey Yu</t>
  </si>
  <si>
    <t>ZB01970-9.17</t>
  </si>
  <si>
    <t>4400500608-10</t>
  </si>
  <si>
    <t>日期码格式：ZURU INC(BVI) 标准格式 日期：按实际生产日期
Packaging Info: 77673TQ1: 77673TQ1: 最新MA PDQ(优先3L )+客版收缩膜B版(英法德callout/英法德意荷警语/法国环保logo-翻PO#4500173265)+23L说明书+客版收藏指南(英法德意
荷)（翻#450015
5594）+WEEE电池通用30L-B版说明书（带电池）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</si>
  <si>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96501-9.22</t>
  </si>
  <si>
    <t>SMYTHS TOYS EU HQ UC</t>
  </si>
  <si>
    <t>4500175788-10</t>
  </si>
  <si>
    <t>Kinderherz 2025 Logo贴纸(翻单#4500166480)+ 客版收缩膜(英法德callout/英法德意荷警语/法国环保logo)+Kinderherz 2025 Logo贴纸
 (翻单#4500166480)</t>
  </si>
  <si>
    <t>日期码格式：ZURU INC(BVI) 标准格式 日期：按实际生产日期
Packaging Info: 77673TQ1:最新MA 3L PDQ+Kinderherz 2025 Logo贴纸(翻单#4500166480)+ 客版收缩膜(英法德callout/英法德意荷警语/法国环保logo)翻单4500173265+Kinderherz
2025 Logo贴纸
(翻单#4500166480) +客版收藏指南(英法德意荷) 翻单4500155594+MA 23L 说明书+WEEE带电池走货欧洲 30 语通用黑白说明书
EAN: 4894680042773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</si>
  <si>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96511-9.23</t>
  </si>
  <si>
    <t>4500173275-10</t>
  </si>
  <si>
    <t>日期码格式：ZURU INC(BVI) 标准格式 日期：按实际生产日期
Packaging Info: Filxed Collection
3PCS AG13 BATTERIES(INCLUDED)
Remark: MA UPC 英语包装（优先1L英语版本，或者3L/5L含英语都可）
产品有纽扣电池，包装正面和说明书都需要加电池警告语贴纸（法规要求）
此客人不接受易掉落或者剥落或者可直接触碰的闪粉，可降解也不行，但可以接受符合欧洲微塑料标准的珠光粉或者闪片。
加UPC贴纸：193052090164</t>
  </si>
  <si>
    <t>Ivy Li</t>
  </si>
  <si>
    <t>96674-8.17</t>
  </si>
  <si>
    <t>4500173275-20</t>
  </si>
  <si>
    <t>0907594770</t>
  </si>
  <si>
    <t>4500176396-10</t>
  </si>
  <si>
    <t>9/17 第三方验货</t>
  </si>
  <si>
    <t xml:space="preserve">8/25 寄出 </t>
  </si>
  <si>
    <t>ZB02137-9.27</t>
  </si>
  <si>
    <t>0907594836</t>
  </si>
  <si>
    <t>4500176396-20</t>
  </si>
  <si>
    <t>ZB02135-9.26</t>
  </si>
  <si>
    <t>0907594841</t>
  </si>
  <si>
    <t>4500176396-30</t>
  </si>
  <si>
    <t>ZB02136-9.26</t>
  </si>
  <si>
    <t>10001463785-3890</t>
  </si>
  <si>
    <t>4500175701-10</t>
  </si>
  <si>
    <t>日期码格式：ZURU INC(BVI) 标准格式 日期：按实际生产日期</t>
  </si>
  <si>
    <t>ZB02251-9.30</t>
  </si>
  <si>
    <t>CUS
PO#4400500610</t>
  </si>
  <si>
    <t>4500175137-10</t>
  </si>
  <si>
    <t>9/22 空运</t>
  </si>
  <si>
    <t>96503-9.22</t>
  </si>
  <si>
    <t>CUS
PO#4400500609</t>
  </si>
  <si>
    <t>4500175136-10</t>
  </si>
  <si>
    <t>96502-9.22</t>
  </si>
  <si>
    <t>4500175793-10</t>
  </si>
  <si>
    <t>96564-9.29</t>
  </si>
  <si>
    <t>4500176886-20</t>
  </si>
  <si>
    <t>日期码格式：ZURU INC(BVI) 标准格式 日期：按实际生产日期
Packaging Info: 
2.77673:MA A 3L 收缩膜含EAN条码+进口商贴纸+MA A5L收藏指南，MA A23L说明书（产品包装和PDQ都需要贴纸）+WEEE带电池走货欧洲30语通用黑白说明书;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</si>
  <si>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96509-9.23</t>
  </si>
  <si>
    <t>4500176886-30</t>
  </si>
  <si>
    <t>日期码格式：ZURU INC(BVI) 标准格式 日期：按实际生产日期
Packaging Info: 
3.77785 :最新客版彩盒+一张EAN条码贴纸+一张客户进口商贴纸；
子件77673：最新MA3LEAN收缩膜+一张空白贴纸+最新MA5L收藏指南+最新MA23L说明书+最新MA纸袋+MA 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</si>
  <si>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AEON (CAMBODIA) CO.,LTD</t>
  </si>
  <si>
    <t>柬埔寨</t>
  </si>
  <si>
    <t>4500174903-30</t>
  </si>
  <si>
    <t>日期码格式：ZURU INC(BVI) 标准格式 日期：按实际生产日期
Packaging Info: MA PKG, 优先1L
Remark: 1. 
3. 出柬埔寨</t>
  </si>
  <si>
    <t>96518-9.25</t>
  </si>
  <si>
    <t>AB GEE OF RIPLEY LTD.</t>
  </si>
  <si>
    <t xml:space="preserve"> 777 1OCT</t>
  </si>
  <si>
    <t>4500175085-30</t>
  </si>
  <si>
    <t>9/23
SI</t>
  </si>
  <si>
    <t>日期码格式：ZURU INC(BVI) 标准格式 日期：按实际生产日期
Packaging Info: 
77673TQ1:最新MA UPC包装+B版 WEEE声明带电池走货欧洲 30 语通用黑白说明书，UPC#193052079404 ,配比都跟MA
Remark: 1.产品及包装需要印UKCA图标，包装需要有ZURU UK LTD/ZURU France地址信息，QC同事请核查，如有问题与跟单确认。
2. 需要符合欧洲标准不能含有闪粉和微塑料，否则不合法规会有客诉产生</t>
  </si>
  <si>
    <t>96510-9.23</t>
  </si>
  <si>
    <t>PO# 35261</t>
  </si>
  <si>
    <t>4500176521-30</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</si>
  <si>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</si>
  <si>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</si>
  <si>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ZB02191-9.27</t>
  </si>
  <si>
    <t>4500176964-10</t>
  </si>
  <si>
    <t>日期码格式：ZURU INC(BVI) 标准格式 日期：按实际生产日期
Packaging Info: 77673TQ1:最新MA 3L PDQ+ 客版收缩膜(英法德callout/英法德意荷警语/法国环保logo)翻单4500173265+客版收藏指南(英法德意荷) 翻单4500155594+MA 23L 说明
书+B版WEEE带电池走货欧洲 30 语通用黑白说明书
EAN: 4894680042773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</si>
  <si>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96546-9.27</t>
  </si>
  <si>
    <t>10001463786-3890</t>
  </si>
  <si>
    <t>4500175702-10</t>
  </si>
  <si>
    <t>ZB02053-9.23</t>
  </si>
  <si>
    <t>AG250140-HK</t>
  </si>
  <si>
    <t>4500174818-10</t>
  </si>
  <si>
    <t>1张客供警语贴+1张客供电池警语贴纸</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</si>
  <si>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（具体贴纸位置参考HK客供贴纸位置图）
Remark: 此单出HK</t>
  </si>
  <si>
    <t>Chelsea Luo</t>
  </si>
  <si>
    <t>96547-8.17</t>
  </si>
  <si>
    <t>4 KIDZ POLSKA SP. Z O.O.</t>
  </si>
  <si>
    <t>4500173189-10</t>
  </si>
  <si>
    <t>进口商贴纸（翻单4500166548）</t>
  </si>
  <si>
    <t>日期码格式：ZURU INC(BVI) 标准格式 日期：按实际生产日期
Packaging Info: MA B版1L UPC包装+进口商贴纸（翻单4500166548）, MA B版23L警告语，MA A版1L PDQ
Remark: 此单出欧洲需满足EU测试标准要求
3PCS AG13 BATTERIES(INCLUDED)：加B版WEEE带电池走货欧洲30语通用黑白说明书</t>
  </si>
  <si>
    <t>96565-9.29</t>
  </si>
  <si>
    <t>ZHUYU(SHENZHEN)TRADING CO.,LTD.</t>
  </si>
  <si>
    <t>5000001948</t>
  </si>
  <si>
    <t>4500174847-60</t>
  </si>
  <si>
    <t>中文说明书+3C中文贴纸 +收藏指南 翻单： 4500165636</t>
  </si>
  <si>
    <t>日期码格式：ZURU INC(BVI) 标准格式 日期：按实际生产日期
Packaging Info: 物料要求 SKU
5 77673 MA +中文说明书+3C中文贴纸 +收藏指南 翻单： 4500165636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</si>
  <si>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Dona Tang</t>
  </si>
  <si>
    <t>96563-9.29</t>
  </si>
  <si>
    <t>4500174847-70</t>
  </si>
  <si>
    <t>0907594842</t>
  </si>
  <si>
    <t>4500176397-10</t>
  </si>
  <si>
    <t>9/25 第三方验货</t>
  </si>
  <si>
    <t>ZB02192-9.27</t>
  </si>
  <si>
    <t>0907594860</t>
  </si>
  <si>
    <t>4500176397-20</t>
  </si>
  <si>
    <t>ZB02348-10.11</t>
  </si>
  <si>
    <t>10001426803-3890</t>
  </si>
  <si>
    <t>4500176563-10</t>
  </si>
  <si>
    <t>ZB02270-10.8</t>
  </si>
  <si>
    <t>4500176746-10</t>
  </si>
  <si>
    <t>日期码格式：ZURU INC(BVI) 标准格式 日期：按实际生产日期
Packaging Info: 77673TQ1:最新MA 3L PDQ+Kinderherz 2025 Logo贴纸(翻单#4500166480)+ 客版收缩膜(英法德callout/英法德意荷警语/法国环保logo)翻单4500173265+Kinderherz
2025 Logo贴纸(翻单#4500166480) +客版收藏指南(英法德意荷) 翻单4500155594+MA 23L 说明书+B版WEEE带电池走货欧洲 30 语通用黑白说明书
EAN: 4894680042773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</si>
  <si>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96544-9.27</t>
  </si>
  <si>
    <t>0939906435</t>
  </si>
  <si>
    <t>4500177448-10</t>
  </si>
  <si>
    <t>9/29 第三方验货转自检</t>
  </si>
  <si>
    <t>需要空运</t>
  </si>
  <si>
    <t>8/28 寄出</t>
  </si>
  <si>
    <t>ZB02509-10.20</t>
  </si>
  <si>
    <t>0939906429</t>
  </si>
  <si>
    <t>4500177448-20</t>
  </si>
  <si>
    <t>ZB02495-10.18</t>
  </si>
  <si>
    <t>10001483664-3890</t>
  </si>
  <si>
    <t>4500177142-10</t>
  </si>
  <si>
    <t>日期码格式：ZURU INC(BVI) 标准格式 日期：按实际生产日期
Packaging Info: 77673TQ1: 产品包装 客版收缩膜+客版收藏指南+MA说明书+ MA 1L PDQ；客版收缩膜+客版收藏指南翻单4500174008；
Remark: 77673TQ1:
1. 77673TQ1-S001-CC-MINI BRANDS-FILL THE FRIDGE PLAYSET-SERIES 1-SHRINK WRAP,4PCS/PDQ,4PCS/PDQ/CTN
2. 产品包装 客版收缩膜+客版收藏指南+MA说明书+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</si>
  <si>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ZB02327(REV1)-10.10</t>
  </si>
  <si>
    <t>0941292559</t>
  </si>
  <si>
    <t>4500178132-10</t>
  </si>
  <si>
    <t>9/29 第三方验货</t>
  </si>
  <si>
    <t>ZB02496-10.18</t>
  </si>
  <si>
    <t>JULIO CEPEDA JUGUETERIAS</t>
  </si>
  <si>
    <t>4500174112-30</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</si>
  <si>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77673,,MA 多语EAN包装+UPC贴纸+MA 多语收藏指南+进口商贴纸+箱唛,,
Remark: 
77673,,Filxed Collection; 3PCS AG13 BATTERIES(INCLUDED),,</t>
  </si>
  <si>
    <t>96517-9.25</t>
  </si>
  <si>
    <t>0907594715</t>
  </si>
  <si>
    <t>4500176398-10</t>
  </si>
  <si>
    <t>ZB02425-10.14</t>
  </si>
  <si>
    <t>AG250123-HK</t>
  </si>
  <si>
    <t>4500172714-10</t>
  </si>
  <si>
    <t>7/14 微信提供</t>
  </si>
  <si>
    <t>7/14 寄出客供警告语贴纸</t>
  </si>
  <si>
    <t>日期码格式：ZURU INC(BVI) 标准格式 日期：按实际生产日期
Packaging Info: 77673TQ1:MA 1L 收缩膜+MA 1L PDQ+MA 5L 收藏指南+MA 说明书+1张客供警语贴纸+1张客供电池警语贴纸+1张客供中文警告说明书）具体请参考HK 客供警语贴纸位
置图=
Remark: 此单出HK</t>
  </si>
  <si>
    <t>96545-9.27</t>
  </si>
  <si>
    <t>4500172411-10</t>
  </si>
  <si>
    <t>96628-8.17</t>
  </si>
  <si>
    <t>4500172409-10</t>
  </si>
  <si>
    <t>日期码格式：ZURU INC(BVI) 标准格式 日期：按实际生产日期
Packaging Info: 77785：MA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</si>
  <si>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96627-8.17</t>
  </si>
  <si>
    <t>ANSALDO CHILE</t>
  </si>
  <si>
    <t>智利</t>
  </si>
  <si>
    <t>2025-HKC216</t>
  </si>
  <si>
    <t>4500177210-20</t>
  </si>
  <si>
    <t>日期码格式：ZURU INC(BVI) 标准格式 日期：按实际生产日期
Packaging Info: MA 3L EAN包装+进口商贴纸+UPC贴纸+箱唛
Remark:</t>
  </si>
  <si>
    <t>96543-9.27</t>
  </si>
  <si>
    <t>4500178210-30</t>
  </si>
  <si>
    <t>进口商贴纸,UPC贴纸/进口商贴纸/保证书翻单PO4500164861</t>
  </si>
  <si>
    <t>日期码格式：ZURU INC(BVI) 标准格式 日期：按实际生产日期
Packaging Info:
77673:MA 3L EAN包装+UPC贴纸+MA 多语说明书+保证书+进口商贴纸+外箱贴纸，产品/包装/说明书都需要贴一张进口商贴纸,UPC贴纸/进口商贴纸/保证书翻单PO4500
164861
Remark: 此单有第三方监柜，需要每款多备1套完整物料</t>
  </si>
  <si>
    <t>96562-9.29</t>
  </si>
  <si>
    <t>10001368526-3890</t>
  </si>
  <si>
    <t>4500176828-10</t>
  </si>
  <si>
    <t>日期码格式：ZURU INC(BVI) 标准格式 日期：按实际生产日期
Packaging Info: 产品包装 客版收缩膜B版+客版收藏指南+MA说明书+ MA 1L PDQ；客版收缩膜+客版收藏指南翻单4500174008；
Remark: 1. 77673TQ1-S001-CC-MINI BRANDS-FILL THE FRIDGE PLAYSET-SERIES 1-SHRINK WRAP,4PCS/PDQ,4PCS/PDQ/CTN
2. 产品包装 客版收缩膜B版+客版收藏指南+MA说明书+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</si>
  <si>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ZB02390-10.13</t>
  </si>
  <si>
    <t>Amazon UK:
1GTM92LE</t>
  </si>
  <si>
    <t>4500174199-10</t>
  </si>
  <si>
    <t>2张贴纸(1张UPC#，参考翻单PO#4500158582；1张可折叠警语
贴含德意警告语+IT环保标，参考翻单PO#4500157858)+WEEE电子产品说明书30L(带电池走货B版)+1张贴纸（Spielzeugpreis Alles fürs Kinderherz，仅出DE需要
 ）;,SSCC贴纸由工厂直接跟勤得采购或者工厂自行采购，</t>
  </si>
  <si>
    <t>日期码格式：ZURU INC(BVI) 标准格式 日期：按实际生产日期
Packaging Info: Amazon UK(77785/77673)/DE(77785/77673)/FR(77785)
1. 77785: 1pk 77673 Fill the Fridge PLAYSET S1+ 2pk 77711 INT Capsules S1 into color box, 6color boxes/ctn; 77673:UV GLUE / 7 magnets（6 magne
ts and 1 Refrigerator magnet); 3PCS AG13 BATTERIES(INCLUDED); 77711:UV GLUE/ 1 Refrigerator Magnet; 77673: MA 1L(1L warning UPC)A收缩膜+MA 23L w
arning说明书+MA 5L A收藏指南+1张贴纸（Spielzeugpreis Alles fürs Kinderherz，仅出DE需要&lt;(&gt;,&lt;)&gt;参考翻单PO#4500166480) +77711: MA 1L(1L warning UP
C)A收缩膜+MA 5L(23L warning)A收藏指南+MA 23L警告语说明书+MA 5L A说明书 +客版彩盒+WEEE电子产品说明书30L(带电池走货B版)；
3. 验货时间不迟于2025/10/9.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</si>
  <si>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96647/96667</t>
  </si>
  <si>
    <t>77785-S001-INT-2-77673</t>
  </si>
  <si>
    <t>Amazon DE:
4P9JQRKP</t>
  </si>
  <si>
    <t>4500174199-20</t>
  </si>
  <si>
    <t>Amazon FR:
71VAQXOF</t>
  </si>
  <si>
    <t>4500174199-40</t>
  </si>
  <si>
    <t>Amazon UK:
8M7HEA9N</t>
  </si>
  <si>
    <t>4500174199-50</t>
  </si>
  <si>
    <t>Amazon DE:
3OCXNP1C</t>
  </si>
  <si>
    <t>4500174199-70</t>
  </si>
  <si>
    <t>96667</t>
  </si>
  <si>
    <t>4500174199-30</t>
  </si>
  <si>
    <t>SSCC LABEL一张，2张贴纸(1张UPC#，参考翻单PO#4500158582；1张可折叠警语贴含德意警告语+IT环保标，参考翻单PO#4500157858)
贴纸（Spielzeugpreis Alles fürs Kinderherz，仅出DE需要,参考翻单PO#4500166480)</t>
  </si>
  <si>
    <t>日期码格式：ZURU INC(BVI) 标准格式 日期：按实际生产日期
Packaging Info: Amazon UK(77785/77673)/DE(77785/77673)/FR(77785)
2.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3. 验货时间不迟于2025/10/9.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</si>
  <si>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96647-8.17</t>
  </si>
  <si>
    <t>4500174199-60</t>
  </si>
  <si>
    <t>FB13751</t>
  </si>
  <si>
    <t>4500177765-30</t>
  </si>
  <si>
    <t>9/2提供条码贴纸，带电池版本30语WEEE说明书</t>
  </si>
  <si>
    <t>日期码格式：ZURU INC(BVI) 标准格式 日期：按实际生产日期
Packaging Info:
SKU#77673TQ1:MA-1L 配套包装+客户EAN 条码贴纸，另外产品内包装再加多一张ZURU带电池版本30语WEEE说明书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*订单对应客户1个PO号 ，备注有显示 ，注意分开做货/验货/装柜 ，混装有罚款。
* 大货样： 新款请在CRD前10天寄出每款2整套大货样到罗湖办公室7B Meyya Liu 收，翻单不用寄。"</t>
  </si>
  <si>
    <t>Aaron Xia</t>
  </si>
  <si>
    <t>96800-8.17</t>
  </si>
  <si>
    <t>JUGUETES Y PELUCHES SANCHIS S.A.</t>
  </si>
  <si>
    <t>4500178109-40</t>
  </si>
  <si>
    <t>日期码格式：ZURU INC(BVI) 标准格式 日期：按实际生产日期
Packaging Info:
4.77673:最新MA 3L EAN版本包装+一张客户警语贴纸+MA 23L说明书+最新WEEE带电池走货欧洲30语通用黑白说明书；
Remark: 1.此单出西班牙市场，需满足EU测试标准要求，微塑料需符合EU法规。
2.此单LC条款，延迟出货有罚款；
3.此单每款产品各寄一套大货样到深圳办公室，请注意备料；</t>
  </si>
  <si>
    <t>96642-8.17</t>
  </si>
  <si>
    <t>0941292518</t>
  </si>
  <si>
    <t>4500178136-40</t>
  </si>
  <si>
    <t>ZB02347-10.11</t>
  </si>
  <si>
    <t>0941292532</t>
  </si>
  <si>
    <t>4500178136-50</t>
  </si>
  <si>
    <t>ZB02301-10.9</t>
  </si>
  <si>
    <t>ZURU GERMANY GMBH</t>
  </si>
  <si>
    <t>4500174753-10</t>
  </si>
  <si>
    <t>日期码格式：ZURU INC(BVI) 标准格式 日期：按实际生产日期
Packaging Info: 77673TQ1：最新MA PDQ+Kinderherz 2025 logo（翻单#4500166480）+最新版 MA 3L EAN 收缩膜 + 1*多语折叠警告语贴纸（含环保标） +MA5L收藏指南+ MA 23L
说明书+ MA UV胶黑白警告语+MA纸袋 + 1*B版 WEEE通用带电池走货说明书 .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</si>
  <si>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96690-8.17</t>
  </si>
  <si>
    <t>4500176443-10</t>
  </si>
  <si>
    <t>1*多语折叠警告语贴纸（翻单4500174753）</t>
  </si>
  <si>
    <t>日期码格式：ZURU INC(BVI) 标准格式 日期：按实际生产日期
Packaging Info: 77673TQ1：最新版 MA 3L EAN 收缩膜 + 1*多语折叠警告语贴纸（翻单4500174753） +MA5L收藏指南+ MA 23L说明书+ MA UV胶黑白警告语+MA纸袋 + 1*B版 WEEE 3
0L 通用带电池走货说明书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</si>
  <si>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96619-8.17</t>
  </si>
  <si>
    <t>10001463788-3890</t>
  </si>
  <si>
    <t>4500175703-10</t>
  </si>
  <si>
    <t>ZB02389-10.13</t>
  </si>
  <si>
    <t>777 4OCT</t>
  </si>
  <si>
    <t>4500175112-20</t>
  </si>
  <si>
    <t>消耗手工单MO20250620</t>
  </si>
  <si>
    <t>日期码格式：ZURU INC(BVI) 标准格式 日期：按实际生产日期
Packaging Info:77673TQ1:最新MA UPC包装+B版 WEEE声明带电池走货欧洲 30 语通用黑白说明书，UPC#193052079404 ,配比都跟MA
Remark: 1.产品及包装需要印UKCA图标，包装需要有ZURU UK LTD/ZURU France地址信息，QC同事请核查，如有问题与跟单确认。
2. 需要符合欧洲标准不能含有闪粉和微塑料，否则不合法规会有客诉产生</t>
  </si>
  <si>
    <t>96639-8.17</t>
  </si>
  <si>
    <t>AMAZON EU SARL, NDL DEUTSCHLAND</t>
  </si>
  <si>
    <t>Amazon DE:
61XGBFDM</t>
  </si>
  <si>
    <t>4500177502-10</t>
  </si>
  <si>
    <t>SSCC LABEL一张+2张贴纸(1张UPC#，参考翻单PO#4500158582；1张可折叠警语贴含德意警告语+IT环保标，参考翻单PO#4500157858) SSCC LABEL一张
贴纸（Spielzeugpreis Alles fürs Kinderherz，仅出DE需要,参考翻单PO#4500166480）</t>
  </si>
  <si>
    <t>日期码格式：ZURU INC(BVI) 标准格式 日期：按实际生产日期
Packaging Info: Amazon DE(77673)
1.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2. 验货时间不迟于2025/10/10.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</si>
  <si>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96715-8.17</t>
  </si>
  <si>
    <t>LEKIA AB</t>
  </si>
  <si>
    <t>4500178337-10</t>
  </si>
  <si>
    <t>警告语/进口商贴纸（翻单4500164226），丹麦/瑞典/芬兰/挪威语警告语贴纸（贴纸袋）</t>
  </si>
  <si>
    <t>日期码格式：ZURU INC(BVI) 标准格式 日期：按实际生产日期
Packaging Info: 77673TQ1-S001:MA 3L EAN B版收缩膜+警告语/进口商贴纸（翻单4500164226）+MA 5L收藏指南+MA （电池+UV胶警告语-23L）说明书+MA 3L PDQ+丹麦/瑞典/芬兰/挪
威语 WEEE 说明书贴纸（贴（电池+UV胶警告语-23L）说明书）+丹麦/瑞典/芬兰/挪威语警告语贴纸（贴纸袋）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</si>
  <si>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96659-8.17</t>
  </si>
  <si>
    <t>PO#600-73031</t>
  </si>
  <si>
    <t>4500177678-10</t>
  </si>
  <si>
    <t>ZB02469(REV1)-10.16</t>
  </si>
  <si>
    <t>4400501780</t>
  </si>
  <si>
    <t>4500176570-10</t>
  </si>
  <si>
    <t>日期码格式：ZURU INC(BVI) 标准格式 日期：按实际生产日期
Packaging Info: 77673TQ1:最新MA 3L PDQ+ 客版收缩膜(英法德callout/英法德意荷警语/法国环保logo)翻单4500173265+客版收藏指南(英法德意荷) 翻单4500155594+MA 23L 说明
书+B版WEEE带电池走货欧洲 30 语通用黑白说明书
EAN: 4894680042773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</si>
  <si>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96699-8.17</t>
  </si>
  <si>
    <t>4500178223-20</t>
  </si>
  <si>
    <t>96698-8.17</t>
  </si>
  <si>
    <t>4500177870-10</t>
  </si>
  <si>
    <t>WEEE_带电池走货 _ 说明书欧洲EN+30L-B版（或更新版本)</t>
  </si>
  <si>
    <t>日期码格式：ZURU INC(BVI) 标准格式 日期：按实际生产日期
Packaging Info: *空运订单 ，请务必按期完货*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2）订单出爱尔兰，请注意检查产品及包装应带UKCA图标（14+产品除外），包装显示ZURU UK LTD/ZURU France地址信息，QC部门请查核，如有问题与跟单确认
3) 微塑料需符合欧洲标准，否则不合法规会有客诉产生</t>
  </si>
  <si>
    <t>96675-8.17</t>
  </si>
  <si>
    <t>PO# 35250</t>
  </si>
  <si>
    <t>4500177767-40</t>
  </si>
  <si>
    <t>ZB02842-11.7</t>
  </si>
  <si>
    <t>4500178095-10</t>
  </si>
  <si>
    <t>日期码格式： 标准格式 日期：按实际生产日期
Packaging Info: MA UPC包装(优先1L)+1张进口商贴纸,待提供贴纸资料;
5.因为此客人进口商贴纸是通用的（除了那些加了UPC条码的），只可能因为item不同尺寸会有差别，如果发现尺寸一样就请统一订购节省成本。
整单的贴纸图稿及位置图待提供
Remark: 77673-Filxed Collection</t>
  </si>
  <si>
    <t>96689-8.17</t>
  </si>
  <si>
    <t>0941292502</t>
  </si>
  <si>
    <t>4500178138-10</t>
  </si>
  <si>
    <t>10/15 第三方验货</t>
  </si>
  <si>
    <t>ZB02510-10.20</t>
  </si>
  <si>
    <t>Amazon
UK:48ZD1SKD</t>
  </si>
  <si>
    <t>4500176637-20</t>
  </si>
  <si>
    <t>SSCC LABEL一张，2张贴纸(1张UPC#，参考翻单PO#4500158582；1张可折叠警语
贴含德意警告语+IT环保标，参考翻单PO#4500157858)</t>
  </si>
  <si>
    <t>日期码格式：ZURU INC(BVI) 标准格式 日期：按实际生产日期
Packaging Info: Amazon UK(77785/77673)/FR(77673)/DE(77785/77673)
2. 77673：12pcs/ctn;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
3.最迟验货不得晚于2025/10/16;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</si>
  <si>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96758-8.17</t>
  </si>
  <si>
    <t>Amazon
DE:5HTDMUYI</t>
  </si>
  <si>
    <t>4500176637-40</t>
  </si>
  <si>
    <t>96758/96760</t>
  </si>
  <si>
    <t>Amazon
FR:4SMT4XJV</t>
  </si>
  <si>
    <t>4500176637-50</t>
  </si>
  <si>
    <t>7950903135</t>
  </si>
  <si>
    <t>4500178828-10</t>
  </si>
  <si>
    <t>墨西哥订单加一张保证书+墨西哥NOM贴纸，产品/包装/说明书都要加一张NOM贴纸，资料翻PO#4500164462</t>
  </si>
  <si>
    <t>日期码格式：ZURU INC(BVI) 标准格式 日期：按实际生产日期
Packaging Info: 77758SLT: 1.客版彩盒+客版球的收缩膜+客版冰箱收缩膜+客版冰箱收藏指南+客版球的收藏指南+客版Manual for three kinds of mini creates +客版球的黑白说
明书+客版内纸袋 +客版UV glue bottle sticker+客版冰箱电池警告语和说明书：（以上MA客版翻COSTCO UK PO#4500163768）
客版PDQ 翻单COSTCO USPO#4500156301
墨西哥订单加一张保证书+墨西哥NOM贴纸，产品/包装/说明书都要加一张NOM贴纸，资料翻PO#4500164462
Remark: 1.所有日期码印在彩卡上，产品(枪)上也需印日期码.按实际生产日期，ZURU 标准版格式的日期码。
2.纸箱唛头：纸箱四面，印刷两个正面，侧唛不印, 按照箱唛模板要求排版。请注意箱唛印刷效果要我们确认后才可印刷大货的。
3. 确保展示架在入外箱时一定要正面对着有印刷箱唛的那面,不可以装反。
4. 3PK 77711-INT(capsules)+1PK 77673 combo in color box， 3PCS AG13 BATTERIES(INCLUDED)
5.订单需要监柜，需要安排1套大货样板用于监柜。</t>
  </si>
  <si>
    <t>96648-8.17</t>
  </si>
  <si>
    <t>RAMP-S CORPORATION</t>
  </si>
  <si>
    <t>4500179170-20</t>
  </si>
  <si>
    <t>10/17 出货</t>
  </si>
  <si>
    <t>1张进口商贴纸,贴纸图稿及位置图翻4500167360</t>
  </si>
  <si>
    <t>日期码格式：ZURU INC(BVI) 标准格式 日期：按实际生产日期
Packaging Info: MA UPC包装(优先1L)+1张进口商贴纸,贴纸图稿及位置图翻4500167360
Remark:
77673TQ1-Filxed Collection</t>
  </si>
  <si>
    <t>96739-8.17</t>
  </si>
  <si>
    <t>2025ZURU27 2025ZURU28</t>
  </si>
  <si>
    <t>4500181466-10</t>
  </si>
  <si>
    <t>返工箱唛</t>
  </si>
  <si>
    <t>UPC贴纸(UPC:193052079404),UV胶瓶身贴
 (UPC贴纸翻单：4500160504)</t>
  </si>
  <si>
    <t>日期码格式：ZURU INC(BVI) 标准格式 日期：按实际生产日期
Packaging Info: "#77673：消耗4500177985订单
MA3L收缩膜(B)+UPC贴纸(UPC:193052079404)+MA23L说明书(B)+MA5L收藏指南+MA5L,UV胶瓶身贴
(UPC贴纸翻单：4500160504)"
Remark: 出加拿大
Zuru验货.日期跟踪码：产品外包装及产品本身都必须有日期跟踪码，ZURU标准格式日期码。（箱唛日期码按跟单提供格式）</t>
  </si>
  <si>
    <t>96707-8.17</t>
  </si>
  <si>
    <t>Amazon
UK:5Q71UI5P</t>
  </si>
  <si>
    <t>4500176637-10</t>
  </si>
  <si>
    <t>SSCC LABEL一张+1张贴纸（SPIELZEUGPREIS ALLES FÜRS KINDERHERZ，仅出DE需要,参考翻单PO#4500166480)</t>
  </si>
  <si>
    <t>日期码格式：ZURU INC(BVI) 标准格式 日期：按实际生产日期
Packaging Info: Amazon UK(77785/77673)/FR(77673)/DE(77785/77673)
1. 77785：1pk 77673 Fill the Fridge PLAYSET S1+ 2pk 77711 INT Capsules S1 into color box, 6color boxes/ctn; 77673:UV GLUE / 7 magnets（6 magne
ts and 1 Refrigerator magnet); 3PCS AG13 BATTERIES(INCLUDED); 77711:UV GLUE/ 1 Refrigerator Magnet; 77673: MA 1L(1L warning UPC)A收缩膜+MA 23L w
arning说明书+MA 5L A收藏指南+1张贴纸（Spielzeugpreis Alles fürs Kinderherz，仅出DE需要&lt;(&gt;,&lt;)&gt;参考翻单PO#4500166480) +77711: MA 1L(1L warning UP
C)A收缩膜+MA 5L(23L warning)A收藏指南+MA 23L警告语说明书+MA 5L A说明书 +客版彩盒+WEEE电子产品说明书30L(带电池走货B版)；
3.最迟验货不得晚于2025/10/16;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</si>
  <si>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4500176637-30</t>
  </si>
  <si>
    <t>96760-8.17</t>
  </si>
  <si>
    <t>AMAZON FR</t>
  </si>
  <si>
    <t>Amazon UK:
8F5CZR6A</t>
  </si>
  <si>
    <t>4500177504-30</t>
  </si>
  <si>
    <t>1.空白外箱（加印带Zuru字样的最新logo，除了邮包盒直接做外箱的产品） + SSCC LABEL一张, 无箱唛，MADE IN CHINA 外箱只印一正一侧。箱唛资料按照给定的
 标准去做即可，无需发回我方再行审批(新标准将另行通知)。</t>
  </si>
  <si>
    <t>SSCC LABEL一张</t>
  </si>
  <si>
    <t>日期码格式：ZURU INC(BVI) 标准格式 日期：按实际生产日期
Packaging Info: Amazon UK(77785)/FR(77486/9279G)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 +77711: MA 3L(3L warning EAN)A收缩膜+MA 5L(23L warning)B收藏指南+MA 23L警告语说明书+MA 5L A说明书 +客版彩盒+WEEE
电子产品说明书30L(带电池走货B版)；
4. 验货时间不迟于2025/10/17.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</si>
  <si>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96757-8.17</t>
  </si>
  <si>
    <t>77785-S001-INT-3</t>
  </si>
  <si>
    <t>10001483679-0581</t>
  </si>
  <si>
    <t>4500177143-10</t>
  </si>
  <si>
    <t>外箱正唛左上角位置粘贴条码箱贴纸，每箱只贴一张，由ZURU订购。来料贴纸上显示的客户DPCI# 086-02-3468， UPC显示1019305207940</t>
  </si>
  <si>
    <t>客版收缩膜+客版收藏指南翻单4500174008</t>
  </si>
  <si>
    <t>ZB02525-10.20</t>
  </si>
  <si>
    <t>4500177486-10</t>
  </si>
  <si>
    <t>Agnes Zheng</t>
  </si>
  <si>
    <t>ZB02664-10.28</t>
  </si>
  <si>
    <t>4500177487-10</t>
  </si>
  <si>
    <t>ZB02665-10.28</t>
  </si>
  <si>
    <t>4500177886-10</t>
  </si>
  <si>
    <t>日期码格式：ZURU INC(BVI) 标准格式 日期：按实际生产日期
Packaging Info: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</si>
  <si>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96708-8.17</t>
  </si>
  <si>
    <t>4500177873-10</t>
  </si>
  <si>
    <t>96859-11.3</t>
  </si>
  <si>
    <t>0941292528</t>
  </si>
  <si>
    <t>4500178140-10</t>
  </si>
  <si>
    <t>ZB02553-10.23</t>
  </si>
  <si>
    <t>COOP COOPERATIVE</t>
  </si>
  <si>
    <t>4500178326-10</t>
  </si>
  <si>
    <t>1*警语贴纸+1*客版贴纸（可移动）+1*Kinderherz 贴纸（翻单4500166480）</t>
  </si>
  <si>
    <t>所有电子产品身上需要加字唛，为ZURU FRANCE 地址 (如无电子产品，或者产品布标有此地址，可忽略此信息)</t>
  </si>
  <si>
    <t>日期码格式：ZURU INC(BVI) 标准格式 日期：按实际生产日期
Packaging Info:
77673 :MA 3L B EAN 收缩膜+1*DE+IT 2L警语贴纸（不可移动）+1*客版贴纸（可移动）+1*Kinderherz 贴纸（翻单4500166480）+MA 5L 收藏指南+MA 电池 UV 23L
警语说明书+1*WEEE 30L B 带电电池说明书
Remark: 1. 大货样品3套/item，用于第三方验货签板，请多备料。
2. 客户贴纸需使用可移动并无表面处理。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t>
  </si>
  <si>
    <t>96745-8.17</t>
  </si>
  <si>
    <t>PO-41336047</t>
  </si>
  <si>
    <t>4500178510-20</t>
  </si>
  <si>
    <t>ZB03124-11.27</t>
  </si>
  <si>
    <t>10001483670-0581</t>
  </si>
  <si>
    <t>4500177144-10</t>
  </si>
  <si>
    <t>日期码格式：ZURU INC(BVI) 标准格式 日期：按实际生产日期
Packaging Info: 产品包装 客版收缩膜(B版本)+客版收藏指南+MA说明书+ MA 1L PDQ；客版收缩膜+客版收藏指南翻单4500174008；
Remark: 1. 77673TQ1-S001-CC-MINI BRANDS-FILL THE FRIDGE PLAYSET-SERIES 1-SHRINK WRAP,4PCS/PDQ,4PCS/PDQ/CTN
2. 产品包装 客版收缩膜(B版本)+客版收藏指南+MA说明书+ MA 1L PDQ；客版收缩膜上的UPC显示193052079404；客版收缩膜+客版收藏指南翻单4500174008；
3. 外箱正唛左上角位置粘贴条码箱贴纸，每箱只贴一张，由ZURU订购。来料贴纸上显示的客户DPCI# 086-02-3468， UPC显示10193052079401;
4. 产品和包装上印刷 tracking code信息，格式为ZURU常规格式;
5. 出货方式：货代自提</t>
  </si>
  <si>
    <t>ZB02769-11.3</t>
  </si>
  <si>
    <t>ZU25080702SG</t>
  </si>
  <si>
    <t>4500179037-30</t>
  </si>
  <si>
    <t>1张进口商贴纸,贴纸图稿及位置图翻单如下4500163177</t>
  </si>
  <si>
    <t>日期码格式：ZURU INC(BVI) 标准格式 日期：按实际生产日期
Packaging Info: MA UPC包装(优先1L)+1张进口商贴纸,贴纸图稿及位置图翻单如下
77673-4500163177
Remark:</t>
  </si>
  <si>
    <t>96744-8.17</t>
  </si>
  <si>
    <t>ZURU SPAIN S.L.</t>
  </si>
  <si>
    <t>4500178401-10</t>
  </si>
  <si>
    <t>多语警语折叠贴纸（含包装缺失的法/意/西环保标）+WEEE带电池出货的欧洲30L通知说
明书B版（贴纸翻4500162314）</t>
  </si>
  <si>
    <t>日期码格式：ZURU INC(BVI) 标准格式 日期：按实际生产日期
Packaging Info: 77673:最新MA3LEAN收缩膜+最新MA5L收藏指南+最新MA23L说明书+最新MA纸袋+多语警语折叠贴纸（含包装缺失的法/意/西环保标）+WEEE带电池出货的欧洲30L通知说
明书B版（贴纸翻4500162314）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</si>
  <si>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SD83</t>
  </si>
  <si>
    <t>96741-8.17</t>
  </si>
  <si>
    <t>4500178401-40</t>
  </si>
  <si>
    <t>日期码格式：ZURU INC(BVI) 标准格式 日期：按实际生产日期
Packaging Info: 
"77785:最新客版彩盒+EAN贴纸（翻4500163212）
子件77673：最新MA3LEAN收缩膜+最新MA5L收藏指南+最新MA23L说明书+最新MA纸袋+多语警语折叠贴纸（含包装缺失的法/意/西环保标）+多语版WEEE电池垃圾桶的回
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</si>
  <si>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4500179231-20</t>
  </si>
  <si>
    <t>日期码格式：ZURU INC(BVI) 标准格式 日期：按实际生产日期
Packaging Info: 
2.77673:MA 最新 3L 收缩膜含EAN条码+进口商贴纸+MA 最新5L收藏指南，MA 最新23L说明书（产品包装和PDQ都需要贴纸）+WEEE带电池走货欧洲30语通用黑白说明
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以找我们跟单提供
4. 产品及包装需要印CE logo图标，包装需含有西班牙环保标 &lt;(&gt;&amp;&lt;)&gt; ZURU France地址信息， 另外，包装贴纸上面的警告语不可以覆盖西班牙警告语。QC同事请
核查，如有问题需和跟单确认。
5.77673 看是否可以改善CRD10/23，客户要求船期在10月底前</t>
  </si>
  <si>
    <t>96740-8.17</t>
  </si>
  <si>
    <t>020854047</t>
  </si>
  <si>
    <t>4500178273-10</t>
  </si>
  <si>
    <t>10/24 出货</t>
  </si>
  <si>
    <t>日期码格式：ZURU INC(BVI) 标准格式 日期：按实际生产日期
Packaging Info: 1. 包装：ZURU MA 1L 最新UPC版本；出口美国&lt;(&gt;&amp;&lt;)&gt;CA；
Remark: 2. 日期跟踪码：产品包装及产品本身都必须有日期跟踪码，并且确保两者的日期跟踪码要一致；ZURU标准格式日期码(请自行调整具体年月日生产期，但不能为周
末）。
3.. 出货配比: Zuru 标版配比。</t>
  </si>
  <si>
    <t>ZB02666-10.28</t>
  </si>
  <si>
    <t>0941292538</t>
  </si>
  <si>
    <t>4500178142-10</t>
  </si>
  <si>
    <t>ZB02832-11.6</t>
  </si>
  <si>
    <t>0941292561</t>
  </si>
  <si>
    <t>4500178142-20</t>
  </si>
  <si>
    <t>ZB02831-11.6</t>
  </si>
  <si>
    <t>0944785642</t>
  </si>
  <si>
    <t>4500179418-10</t>
  </si>
  <si>
    <t>ZB02772-11.4</t>
  </si>
  <si>
    <t>0944785648</t>
  </si>
  <si>
    <t>4500179418-20</t>
  </si>
  <si>
    <t>ZB02830-11.6</t>
  </si>
  <si>
    <t>0944785668</t>
  </si>
  <si>
    <t>4500179418-30</t>
  </si>
  <si>
    <t>ZB02724-11.1</t>
  </si>
  <si>
    <t>0944785680</t>
  </si>
  <si>
    <t>4500179418-40</t>
  </si>
  <si>
    <t>ZB02703-10.31</t>
  </si>
  <si>
    <t>4500178170-10</t>
  </si>
  <si>
    <t>11/3 第三方验货</t>
  </si>
  <si>
    <t>11/4 出货</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</si>
  <si>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</si>
  <si>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</si>
  <si>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96876-11.5</t>
  </si>
  <si>
    <t>4500176519-10</t>
  </si>
  <si>
    <t>96857-11.3</t>
  </si>
  <si>
    <t>4400501779</t>
  </si>
  <si>
    <t>4500176740-10</t>
  </si>
  <si>
    <t>96858-11.3</t>
  </si>
  <si>
    <t>020643093</t>
  </si>
  <si>
    <t>4500178974-20</t>
  </si>
  <si>
    <t>日期码格式：ZURU INC(BVI) 标准格式 日期：按实际生产日期
Packaging Info: 1. 包装：ZURU MA 最新UPC版本；出口美国，CA；
Remark: 2. 日期跟踪码：产品包装及产品本身都必须有日期跟踪码，并且确保两者的日期跟踪码要一致；ZURU标准格式日期码(请自行调整具体年月日生产期，但不能为周
末）。
3. 此单有3个客户PO， 请见侧边备注；
4. 出货配比: Zuru 标版配比。</t>
  </si>
  <si>
    <t>ZB02912-11.14</t>
  </si>
  <si>
    <t>0944785669</t>
  </si>
  <si>
    <t>4500179419-10</t>
  </si>
  <si>
    <t>11/10 第三方验货</t>
  </si>
  <si>
    <t>ZB02989-11.19</t>
  </si>
  <si>
    <t>0944785677</t>
  </si>
  <si>
    <t>4500179419-20</t>
  </si>
  <si>
    <t>ZB02906-11.13</t>
  </si>
  <si>
    <t>4500179872-20</t>
  </si>
  <si>
    <t>1张小纽扣电池警告语贴纸贴于包装正面 + 2张大纽扣电池警告语贴纸附带进
口商信息分别贴于包装背面以及说明书上（翻单4500159576）</t>
  </si>
  <si>
    <t>日期码格式：ZURU INC(BVI) 标准格式 日期：按实际生产日期
Packaging Info: 
77673: MA_UPC版本包装（MA首选1L，如无1L可用多语且含英语的配套多语UPC包装）+ 1张小纽扣电池警告语贴纸贴于包装正面 + 2张大纽扣电池警告语贴纸附带进
口商信息分别贴于包装背面以及说明书上（翻单4500159576）
Remark: 1.按实际生产日期;
2.出澳大利亚，请按照相应标准生产;</t>
  </si>
  <si>
    <t>96939-11.13</t>
  </si>
  <si>
    <t>Amazon FR:
3YTNJDUD</t>
  </si>
  <si>
    <t>4500179736-400</t>
  </si>
  <si>
    <t>.空白外箱（加印带Zuru字样的最新logo，除了邮包盒直接做外箱的产品）</t>
  </si>
  <si>
    <t>SSCC LABEL一张，2张贴纸(1张UPC#，参考翻单PO#4500158582；1张可折叠警语
贴含德意警告语+IT环保标，参考翻单PO#4500157858)+1张贴纸（Spielzeugpreis Alles fürs Kinderherz，仅出DE需要,
 参考翻单PO#4500166480）</t>
  </si>
  <si>
    <t>日期码格式：ZURU INC(BVI) 标准格式 日期：按实际生产日期
Packaging Info: Amazon UK(15701B/15710B/15714DKMN/15726ABDEJLM/15728AG/71137/71152/77515/77731/9279EH/9543AE)/DE(15726BJLM/15728AG/15762BD/77731/92119EGH/9543E)
/FR(15728E/15763E/77673/77731)
14. 77673: 12pcs/ctn; MA 3L(3L warning EAN#)B收缩膜+MA 23L warning B说明书+MA 5L A收藏指南+2张贴纸(1张UPC#，参考翻单PO#4500158582；1张可折叠警语
贴含德意警告语+IT环保标，参考翻单PO#4500157858)+WEEE电子产品说明书30L(带电池走货B版)+1张贴纸（Spielzeugpreis Alles fürs Kinderherz，仅出DE需要,
参考翻单PO#4500166480）;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</si>
  <si>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96992-11.21</t>
  </si>
  <si>
    <t>4500179170-30</t>
  </si>
  <si>
    <t>96975-11.19</t>
  </si>
  <si>
    <t>BRANDS IN STYLE (PVT) LTD</t>
  </si>
  <si>
    <t>斯里兰卡</t>
  </si>
  <si>
    <t>Zuru July 2025</t>
  </si>
  <si>
    <t>4500180054-10</t>
  </si>
  <si>
    <t>日期码格式：ZURU INC(BVI) 标准格式 日期：按实际生产日期
Packaging Info: 其他items MA UPC包装(优先1L)，无需加贴纸;
77782GQ1是77711国际版的客版item;使用拉美订单的客版收缩膜及PDQ AW
"WITH 4 DEMO; Base on #77711GQ2-S001-INT ver.:Remove Hershey and Kikkoman, Kikkoman-Soy Sauce
Hershey's-Chocolate Syrup 24 oz
Hershey's-Mini Chocolate Syrup 24 oz
Hershey's-Strawberry Syrup 22 oz"
77782GQ1-MA EAN包装（3L)+1张进口商贴纸+1张UPC条码贴纸覆盖原条码(UPC贴纸显示款号77782，条码193052089533）
客版PDQ+收藏指南跟回拉美的订单4500161302;
Remark: 77673-Filxed Collection
92121-7 Assortment. Elephant: Capybara: Mole: Bolb Fish: Kangaroo: Bunny: Panda= 10: 10: 10: 10: 10: 8: 2. Panda is the rare item.</t>
  </si>
  <si>
    <t>97398-8.17</t>
  </si>
  <si>
    <t>客户PO:021757
42/1</t>
  </si>
  <si>
    <t>4500178992-10</t>
  </si>
  <si>
    <t>日期码格式：ZURU INC(BVI) 标准格式 日期：按实际生产日期
Packaging Info: 1L UPC 收缩膜,1L PDQ;MA指南/说明书；WEEE_带电池走货 _ 说明书欧洲EN+30L-B版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</si>
  <si>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96915-11.10</t>
  </si>
  <si>
    <t xml:space="preserve">MEIJER DISTRIBUTION, INC.
</t>
  </si>
  <si>
    <t>4500178515-20</t>
  </si>
  <si>
    <t xml:space="preserve"> Agnes Zheng
</t>
  </si>
  <si>
    <t>ZB03141-11.28</t>
  </si>
  <si>
    <t>4500178517-20</t>
  </si>
  <si>
    <t>ZB03140-11.28</t>
  </si>
  <si>
    <t>AG250208-HK</t>
  </si>
  <si>
    <t>4500179336-10</t>
  </si>
  <si>
    <t>1张客供警语贴纸+1张客供电池警语贴纸+1张客供中文警告说明书）具体请参考HK 客供警语贴纸位
 置</t>
  </si>
  <si>
    <t>日期码格式：ZURU INC(BVI) 标准格式 日期：按实际生产日期
Packaging Info: 此单出HK, 贴纸由客户提供
77673TQ1:MA 1L 收缩膜+MA 1L PDQ+MA 5L 收藏指南+MA 说明书+1张客供警语贴纸+1张客供电池警语贴纸+1张客供中文警告说明书）具体请参考HK 客供警语贴纸位
置
Remark:</t>
  </si>
  <si>
    <t>96958-11.17</t>
  </si>
  <si>
    <t>RURAL KING</t>
  </si>
  <si>
    <t>39B5VH3A</t>
  </si>
  <si>
    <t>TBD</t>
  </si>
  <si>
    <t>手工单</t>
  </si>
  <si>
    <t>空白外箱加印ZURU Logo（四面加印）+MADE IN CHINA（只印一正一侧）+SSCC LABEL(客供贴纸），无shipping mark,日期使用ZURU 标准版本。SSCC Label显示
 的是客人自己的item#</t>
  </si>
  <si>
    <t>SSCC Label</t>
  </si>
  <si>
    <t>Date code format:ZURU INC(BVI) 标准格式                  Date：按实际生产日期MA 3L+进口商贴纸+SSCC LABEL(客供贴纸）+UPC贴纸（如果需要), Fuggler的产品入window box后再加polybag，polybag需印刷warning，polybag size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t>
  </si>
  <si>
    <t>Candy@zuru.com</t>
  </si>
  <si>
    <t>ZMPO250835</t>
  </si>
  <si>
    <t>96833-8.17</t>
  </si>
  <si>
    <t>ZMPO250867</t>
  </si>
  <si>
    <t>96831-8.17</t>
  </si>
  <si>
    <t>4500179336-20</t>
  </si>
  <si>
    <t>日期码格式：ZURU INC(BVI) 标准格式 日期：按实际生产日期
Packaging Info: 此单出HK, 贴纸由客户提供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（具体贴纸位置参考HK客供贴纸位置图）
Remark:</t>
  </si>
  <si>
    <t>0946374433</t>
  </si>
  <si>
    <t>4500179921-10</t>
  </si>
  <si>
    <t>11/17 第三方验货</t>
  </si>
  <si>
    <t>日期码格式：ZURU DGYYYYMMDD CHINA(日期避开周末和法定节假日即可） 日期：按实际生产日期
Packaging Info: 77673TQ1-S001
1.包装要求：
MA 1L B版收缩膜+MA 5L A版收藏指南+MA B版说明书+MA 1L PDQ
每pcs产品上要贴1张RFID贴纸，贴纸由ZURU提供，贴纸位置请严格按照我们签回的签板；
Remark: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
7.此单预计会安排空运</t>
  </si>
  <si>
    <t>ZB03020-11.21</t>
  </si>
  <si>
    <t>0946374458</t>
  </si>
  <si>
    <t>4500179921-20</t>
  </si>
  <si>
    <t>ZB022953-11.18</t>
  </si>
  <si>
    <t>0946374469</t>
  </si>
  <si>
    <t>4500179921-30</t>
  </si>
  <si>
    <t>ZB03037-11.22</t>
  </si>
  <si>
    <t>0946374445</t>
  </si>
  <si>
    <t>4500179921-40</t>
  </si>
  <si>
    <t>ZB02954-11.18</t>
  </si>
  <si>
    <t>0946374456</t>
  </si>
  <si>
    <t>4500179921-50</t>
  </si>
  <si>
    <t>ZB03036-11.22</t>
  </si>
  <si>
    <t>0946374474</t>
  </si>
  <si>
    <t>4500179921-60</t>
  </si>
  <si>
    <t>0946374473</t>
  </si>
  <si>
    <t>4500179921-70</t>
  </si>
  <si>
    <t>ZB03093-11.25</t>
  </si>
  <si>
    <t>777 3JAN26</t>
  </si>
  <si>
    <t>4500180232-50</t>
  </si>
  <si>
    <t>日期码格式：ZURU INC(BVI) 标准格式 日期：按实际生产日期
Packaging Info: MA 最新UPC包装，各款的条码如下，请先检查条码是否正确再安排做货，如有问题请告知,配比跟MA
5. 77673TQ1-S004：MA 最新UPC包装+WEEE带电池走货欧洲30语通用黑白说明书, UPC# 193052079404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</si>
  <si>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</si>
  <si>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4500179424-10</t>
  </si>
  <si>
    <t>9/16 客人白色Cat.label</t>
  </si>
  <si>
    <t>日期码格式：ZURU INC(BVI) 标准格式 日期：按实际生产日期
Packaging Info: 77673-S001
 MA -1L UPC包装+客人白色Cat.label 1张覆盖ZURU条码， 贴纸扫描结果为7624348； MA说明书+B版WEEE带电池走货说明书
 -注意Cat.label (要求易撕类贴纸，但是粘性不能过低），同时此贴纸每个订单都是不相同的(会显示客户对应的订单号），切勿翻旧订单购买，该贴纸由工厂自行
 购买。
Remark: *MA包装最新版本安排*包装日期码按ZURU格式即可，请确保不迟于外箱日期码，可等于或者早于外箱日期码，必须为法定工作日。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</si>
  <si>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96974-11.19</t>
  </si>
  <si>
    <t>4500177588-10</t>
  </si>
  <si>
    <t>ZB03142-11.28</t>
  </si>
  <si>
    <t>4500177589-10</t>
  </si>
  <si>
    <t>ZB03123-11.27</t>
  </si>
  <si>
    <t>4500180194-10</t>
  </si>
  <si>
    <t>1张进口商贴纸</t>
  </si>
  <si>
    <t>日期码格式：ZURU INC(BVI) 标准格式 日期：按实际生产日期
Packaging Info: MA UPC包装(优先1L)+1张进口商贴纸
Remark: 77673-Filxed Collection</t>
  </si>
  <si>
    <t>96957-11.17</t>
  </si>
  <si>
    <t>4500180194-30</t>
  </si>
  <si>
    <t>4500179936-10</t>
  </si>
  <si>
    <t>日期码格式：ZURU INC(BVI) 标准格式 日期：按实际生产日期
Packaging Info: 77673： MA 最新 3L 收缩膜含EAN条码+进口商贴纸+MA 最新5L收藏指南，MA 最新23L说明书+WEEE带电池走货欧洲30语通用黑白说明书;
Remark: 1, 此货出西班牙，需满足EU测试标准要求&lt;(&gt;&amp;&lt;)&gt;微塑料需符合法规。另外请确保所有包装都有西班牙环保标。
2，出货前两周需寄2-3套大货样品，请多备料
3, 此单走空运，推期有罚款，请按时完货
4, 需要ZURU OQC 验货，出货前要客户格式的验货报告给客人确认OK后才出货</t>
  </si>
  <si>
    <t>97004-11.24</t>
  </si>
  <si>
    <t>PO# 35441</t>
  </si>
  <si>
    <t>4500177771-20</t>
  </si>
  <si>
    <t>ZB03046-11.22</t>
  </si>
  <si>
    <t>0948877815</t>
  </si>
  <si>
    <t>4500181115-10</t>
  </si>
  <si>
    <t>11/21 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</si>
  <si>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</si>
  <si>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ZB03143-11.28</t>
  </si>
  <si>
    <t>0948877818</t>
  </si>
  <si>
    <t>4500181115-20</t>
  </si>
  <si>
    <t>ZB03153-11.29</t>
  </si>
  <si>
    <t>0948877854</t>
  </si>
  <si>
    <t>4500181115-30</t>
  </si>
  <si>
    <t>ZB03113-11.26</t>
  </si>
  <si>
    <t>4500181255-10</t>
  </si>
  <si>
    <t>日期码格式：ZURU INC(BVI) 标准格式 日期：按实际生产日期
Packaging Info: #77673: MA UPC版包装(1L或3L都可)，出口美国。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</si>
  <si>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ZB03092-11.25</t>
  </si>
  <si>
    <t>FB13927</t>
  </si>
  <si>
    <t>4500183275-50</t>
  </si>
  <si>
    <t>, EAN条码贴纸翻单4500177765，条码请 核对
5056296049488，PQD右后要加数量贴纸，翻单4500177198</t>
  </si>
  <si>
    <t>日期码格式：ZURU INC(BVI) 标准格式 日期：按实际生产日期
Packaging Info: 
77673TQ1:MA-1L 配套包装+客户EAN 条码贴纸，另外产品内包装再加多一张ZURU带电池版本30语WEEE说明书, EAN条码贴纸翻单4500177765，条码请 核对5056296049
488，PQD右后要加数量贴纸，翻单4500177198。
其他：MA+客户EAN条码贴纸，条码贴纸待提供。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</si>
  <si>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Meyya Liu</t>
  </si>
  <si>
    <t>97137-10.3</t>
  </si>
  <si>
    <t>AG250222-HK</t>
  </si>
  <si>
    <t>4500179825-10</t>
  </si>
  <si>
    <t>张客供警语贴纸+1张客供电池警语贴纸+1张客供中文警告说明书）贴纸位置参考HK客供贴纸位置图</t>
  </si>
  <si>
    <t>日期码格式：ZURU INC(BVI) 标准格式 日期：按实际生产日期
Packaging Info: 此单出香港
77673TQ1:MA 1L 收缩膜+MA 1L PDQ+MA 5L 收藏指南+MA 说明书+1张客供警语贴纸+1张客供电池警语贴纸+1张客供中文警告说明书）贴纸位置参考HK客供贴纸位置图
Remark:</t>
  </si>
  <si>
    <t>97069-11.29</t>
  </si>
  <si>
    <t>TOYS "R" US – JAPAN, LTD</t>
  </si>
  <si>
    <t>46:0003166542 47:0003166543</t>
  </si>
  <si>
    <t>4500180424-10</t>
  </si>
  <si>
    <t>日语警语贴纸，贴纸资料翻单#4500165405（贴纸不要遮挡日期码）</t>
  </si>
  <si>
    <t>日期码格式：ZURU INC(BVI) 标准格式 日期：按实际生产日期
Packaging Info: MA 1L UPC包装+1张日语警语贴纸（贴纸不要遮挡日期码）
Remark: 1.产品品质和内容材质以及包装版本等都需跟到上一单（4500165405）
2. 请多备几个外箱出货，避免外箱到仓库后出现破损情况。</t>
  </si>
  <si>
    <t>97010-11.25</t>
  </si>
  <si>
    <t>4500180424-20</t>
  </si>
  <si>
    <t>4500178919-70</t>
  </si>
  <si>
    <t>3C中文贴纸</t>
  </si>
  <si>
    <t>日期码格式：ZURU INC(BVI) 标准格式 日期：按实际生产日期
Packaging Info:
B. 77673 MA +中文说明书+3C中文贴纸 +收藏指南 翻单： 4500174847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</si>
  <si>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97055-11.28</t>
  </si>
  <si>
    <t>77673-S003-中文单</t>
  </si>
  <si>
    <t>4500178919-80</t>
  </si>
  <si>
    <t>IMPORTADORA SUDAMERICANA &amp;</t>
  </si>
  <si>
    <t>阿根廷</t>
  </si>
  <si>
    <t>LEGAJO 4535</t>
  </si>
  <si>
    <t>4500179260-10</t>
  </si>
  <si>
    <t>进口商贴纸+箱唛</t>
  </si>
  <si>
    <t>日期码格式：ZURU INC(BVI) 标准格式 日期：按实际生产日期
Packaging Info: 77673：MA多语UPC+进口商贴纸+箱唛
电池要求：
PILA BOTON ALCALINA
Marca:ONLY
Vodelo:1.5V LR44 (3Pcs Batteries for 77673.3X1.5V=4.5V)
Manufacturer. DONGGUAN GUANTE ELECTRONICS TECHNOLOGY CO.LTD.
Remark: 请确保包装上的条形码是UPC，如果是babyUPC，需要用mother UPC覆盖，如有不一致，请及时提出。谢谢!</t>
  </si>
  <si>
    <t>A97474</t>
  </si>
  <si>
    <t>4500179455-10</t>
  </si>
  <si>
    <t>97136-10.3</t>
  </si>
  <si>
    <t>CUS PO
4400510656</t>
  </si>
  <si>
    <t>4500180792-10</t>
  </si>
  <si>
    <t>WEEE声明(带电池)走货欧洲通用30L-B版说明书+Kinderherz 2025 Logo贴纸(翻单#4500166480)</t>
  </si>
  <si>
    <t>所有电子产品身上需要加字唛，为ZURU FRANCE 地址 (如无电子产品，产品布标有此地址，或产品太小无法增加可忽略此信息)，新地址ZURU FRANCE.33 rue Pa
ul Meurice 75020 Paris, France.</t>
  </si>
  <si>
    <t>日期码格式：ZURU INC(BVI) 标准格式 日期：按实际生产日期
Packaging Info: 77673TQ1: 最新MA PDQ(优先3L )+客版收缩膜B版(英法德callout/英法德意荷警语/法国环保logo-翻PO#4500173265)+23L说明书+客版收藏指南(英法德意荷)（翻#45
00155594）+WEEE声明(带电池)走货欧洲通用30L-B版说明书+Kinderherz 2025 Logo贴纸(翻单#4500166480)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</si>
  <si>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97011-11.25</t>
  </si>
  <si>
    <t>5200007779 5200007784</t>
  </si>
  <si>
    <t>4500180519-30</t>
  </si>
  <si>
    <t>日期码格式：ZURU INC(BVI) 标准格式 日期：按实际生产日期
Packaging Info: 
3. 77673:最新MA3LEAN收缩膜+最新MA5L收藏指南+最新MA23L说明书+最新MA纸袋+多语警语折叠贴纸（含包装缺失的法/意/西环保标）+WEEE带电池出货的欧洲30L通
知说明书B版（贴纸翻4500162314）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</si>
  <si>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97361-8.17</t>
  </si>
  <si>
    <t>4500178919-10</t>
  </si>
  <si>
    <t>中文3C贴纸+77785 中文收藏指南 +芯片码</t>
  </si>
  <si>
    <t>日期码格式：ZURU INC(BVI) 标准格式 日期：按实际生产日期
Packaging Info: A.77785 ：2部分子件构成 首单：需要申请6套大货样
物料要求：UPC:193052089786 UPC部分：所有子件UPC要求统一或者覆盖
MA+77785 中文3C贴纸+77785 中文收藏指南 +芯片码
子件 A : 77673- 1个：MA+77673 中文收藏指南+77673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</si>
  <si>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77785-S001-INT-中文单</t>
  </si>
  <si>
    <t>4500178919-60</t>
  </si>
  <si>
    <t>0946374461</t>
  </si>
  <si>
    <t>4500182101-10</t>
  </si>
  <si>
    <t>12/1 第三方验货</t>
  </si>
  <si>
    <t>0946374447</t>
  </si>
  <si>
    <t>4500182101-20</t>
  </si>
  <si>
    <t>0946374442</t>
  </si>
  <si>
    <t>4500182101-30</t>
  </si>
  <si>
    <t>0946374440</t>
  </si>
  <si>
    <t>4500182101-40</t>
  </si>
  <si>
    <t>0946374459</t>
  </si>
  <si>
    <t>4500182101-50</t>
  </si>
  <si>
    <t>0946374439</t>
  </si>
  <si>
    <t>4500182101-60</t>
  </si>
  <si>
    <t>0946374464</t>
  </si>
  <si>
    <t>4500182101-70</t>
  </si>
  <si>
    <t>PO#41770392</t>
  </si>
  <si>
    <t>4500180252-20</t>
  </si>
  <si>
    <t>日期码格式：ZURU INC(BVI) 标准格式 日期：按实际生产日期
Packaging Info: 1、包装方式：MA UPC优先1L最新版，出口美国
Remark: 2、无第三方测试&lt;(&gt;&amp;&lt;)&gt;验货要求
3、纸箱4面印ZURU LOGO + 箱唛
4、日期码请按ZURU标准版执行即可
5、ZURU OQC验货</t>
  </si>
  <si>
    <t>4500182434-20</t>
  </si>
  <si>
    <t>1张说明书纽扣电池警告语贴纸+ 1张收缩膜纽扣电池
 警告语贴纸+ 1张防盗贴纸++ 外箱SSCC Label (贴纸以及位置图翻单PO4500165405）</t>
  </si>
  <si>
    <r>
      <rPr>
        <sz val="11"/>
        <color rgb="FF010CDD"/>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请注意此订单与NZ PO#4500182442一起合并计算</t>
    </r>
  </si>
  <si>
    <t>97357-8.17</t>
  </si>
  <si>
    <t>4500182442-20</t>
  </si>
  <si>
    <t>1张说明书纽扣电池警告语贴纸+ 1张收缩膜纽扣电池
 警告语贴纸+ 1张防盗贴纸++ 外箱SSCC Label (贴纸以及位置图翻单PO#4500160026）</t>
  </si>
  <si>
    <r>
      <rPr>
        <sz val="11"/>
        <color rgb="FF010CDD"/>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请注意此订单与AU PO#4500182434一起合并计算</t>
    </r>
  </si>
  <si>
    <t>97139-10.4</t>
  </si>
  <si>
    <t>10001581659-0581</t>
  </si>
  <si>
    <t>4500183607-10</t>
  </si>
  <si>
    <t>新客版收缩膜</t>
  </si>
  <si>
    <t>粘贴条码箱贴纸</t>
  </si>
  <si>
    <t>日期码格式：ZURU INC(BVI) 标准格式 日期：按实际生产日期
Packaging Info: 77673TQ1 产品包装 客版收缩膜(C版)+客版收藏指南+MA说明书+ MA 1L PDQ；客版收藏指南翻单4500174008；
Remark: 77673TQ1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</si>
  <si>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4500176686-70</t>
  </si>
  <si>
    <t>瑞典语警告语贴纸+瑞典语纸袋警告语贴纸</t>
  </si>
  <si>
    <t>日期码格式：ZURU INC(BVI) 标准格式 日期：按实际生产日期
Packaging Info: 
77673-S004:77673-S004:MA B 3L EAN 收缩膜+瑞典语警告语贴纸+MA B 23L电池+UV胶警告语说明书+MA其他包装+瑞典语纸袋警告语贴纸+WEEE 带电B版30L 说明书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77673-S004-4894680042773</t>
  </si>
  <si>
    <t>97395-8.17</t>
  </si>
  <si>
    <t>Amazon UK:
4AEDAWET</t>
  </si>
  <si>
    <t>4500180754-10</t>
  </si>
  <si>
    <t>SSCC LABEL一张，2张贴纸(1张UPC#，参考翻单PO#4500158582；1张可折叠警语
贴含德意警告语+IT环保标，参考翻单PO#4500157858)+WEEE电子产品说明书30L(带电池走货B版)</t>
  </si>
  <si>
    <t>日期码格式：ZURU INC(BVI) 标准格式 日期：按实际生产日期
Packaging Info: Amazon UK(77673)
1. 77673: 12pcs/ctn; MA 3L(3L warning EAN#)B收缩膜+MA 23L warning B说明书+MA 5L A收藏指南+2张贴纸(1张UPC#，参考翻单PO#4500158582；1张可折叠警语
贴含德意警告语+IT环保标，参考翻单PO#4500157858)+WEEE电子产品说明书30L(带电池走货B版)；
2. 验货时间不迟于2025/12/5.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</si>
  <si>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97220-8.17</t>
  </si>
  <si>
    <t>4500178919-20</t>
  </si>
  <si>
    <t>97138-10.3</t>
  </si>
  <si>
    <t>JUGUESAL S.A. DE C.V.</t>
  </si>
  <si>
    <t>厄瓜多尔</t>
  </si>
  <si>
    <t>25-1071942JUS</t>
  </si>
  <si>
    <t>4500181141-10</t>
  </si>
  <si>
    <t>进口商贴纸+UPC贴纸+箱唛</t>
  </si>
  <si>
    <t>日期码格式：ZURU INC(BVI) 标准格式 日期：按实际生产日期
Packaging Info: 77673:MA 多语EAN包装+进口商贴纸+UPC贴纸+箱唛
Remark: 进口商贴纸内容会显示日期码为：2025-12，包装/产品/外箱可按ZURU标准日期码，不需要跟回进口商贴纸上的日期码</t>
  </si>
  <si>
    <t>97180-12.10</t>
  </si>
  <si>
    <t>AG250255-HK</t>
  </si>
  <si>
    <t>4500181824-20</t>
  </si>
  <si>
    <t>1张客供警语贴+1张客供电池警语贴纸+SSCC LABEL一张</t>
  </si>
  <si>
    <t>日期码格式：ZURU INC(BVI) 标准格式 日期：按实际生产日期
Packaging Info: 此单出HK,
77673TQ1:MA 1L 收缩膜+MA 1L PDQ+MA 5L 收藏指南+MA 说明书+1张客供警语贴纸+1张客供电池警语贴纸+1张客供中文警告说明书）具体请参考HK 客供警语贴纸位
置
（具体贴纸位置参考HK客供贴纸位置图）
Remark:</t>
  </si>
  <si>
    <t>97193-8.17</t>
  </si>
  <si>
    <t>4500181824-10</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</si>
  <si>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Remark:</t>
  </si>
  <si>
    <t>0946374471</t>
  </si>
  <si>
    <t>4500183715-10</t>
  </si>
  <si>
    <t>0946374462</t>
  </si>
  <si>
    <t>4500183715-20</t>
  </si>
  <si>
    <t>0946374437</t>
  </si>
  <si>
    <t>4500183715-30</t>
  </si>
  <si>
    <t>0946374470</t>
  </si>
  <si>
    <t>4500183715-40</t>
  </si>
  <si>
    <t>0946374460</t>
  </si>
  <si>
    <t>4500183715-50</t>
  </si>
  <si>
    <t>4500183185-10</t>
  </si>
  <si>
    <t>1张说明书纽扣电池警告语贴纸+ 1张收缩膜纽扣电池
 警告语贴纸+ 1张防盗贴纸+箱唛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</si>
  <si>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PO#4500183185一起合并计算</t>
  </si>
  <si>
    <t>97182-8.17</t>
  </si>
  <si>
    <t>4500183184-10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</si>
  <si>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PO#4500183185一起合并计算</t>
  </si>
  <si>
    <t>97183-8.17</t>
  </si>
  <si>
    <t>ARMY &amp; AIR FORCE EXCHANGE SERVICE</t>
  </si>
  <si>
    <t>0092461721</t>
  </si>
  <si>
    <t>4500183696-160</t>
  </si>
  <si>
    <t>贴4x6"UCC 贴纸，只需贴一面（UCC贴纸为客供贴纸）</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</si>
  <si>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</si>
  <si>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</si>
  <si>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4500183696-170</t>
  </si>
  <si>
    <t>0092461723</t>
  </si>
  <si>
    <t>4500183696-180</t>
  </si>
  <si>
    <t>0092461724</t>
  </si>
  <si>
    <t>4500183696-190</t>
  </si>
  <si>
    <t>0092461725</t>
  </si>
  <si>
    <t>4500183696-200</t>
  </si>
  <si>
    <t>4500180297-10</t>
  </si>
  <si>
    <t>一张客户进口商贴纸贴纸资料翻PO#4500179936</t>
  </si>
  <si>
    <t>日期码格式：ZURU INC(BVI) 标准格式 日期：按实际生产日期
Packaging Info: 77673： MA 最新 3L 收缩膜含EAN条码+进口商贴纸+MA 最新5L收藏指南，MA 最新23L说明书+WEEE带电池走货欧洲30语通用黑白说明书;贴纸资料翻PO#4500179936
Remark: 1, 此货出西班牙，需满足EU测试标准要求和微塑料需符合法规。另外请确保所有包装都有西班牙环保标。
2,出货前两周需寄2套大货样品，请多备料
3, 需要ZURU OQC 验货，出货前要客户格式的验货报告给客人确认OK后才出货
4.产品上面确保含有CE logo &lt;(&gt;&amp;&lt;)&gt; ZURU logo,如没有的话请提前告知</t>
  </si>
  <si>
    <t>97211-8.17</t>
  </si>
  <si>
    <t>PO#60X466847</t>
  </si>
  <si>
    <t>4500181122-10</t>
  </si>
  <si>
    <t>验货+ 抽板 （同一天进行）
预约12月11日第三方（利丰）到工厂做100%大货现场验货和抽板，验货需打印EPM出来跟客户回签样板供第三方验货参考。
 PS:EPM是跟单提供。</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</si>
  <si>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77673-S004: 签样同旧单4500169184, 但如果签样超过一年或包材有更新需重新寄样重新签。
4. 验货+ 抽板 （同一天进行）
预约12月11日第三方（利丰）到工厂做100%大货现场验货和抽板，验货需打印EPM出来跟客户回签样板供第三方验货参考。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t>
  </si>
  <si>
    <t>ZB03676-8.17</t>
  </si>
  <si>
    <t>0946374454</t>
  </si>
  <si>
    <t>4500184386-10</t>
  </si>
  <si>
    <t>0946374451</t>
  </si>
  <si>
    <t>4500184386-20</t>
  </si>
  <si>
    <t>4500178919-30</t>
  </si>
  <si>
    <t>97138</t>
  </si>
  <si>
    <t>10001502368-3890</t>
  </si>
  <si>
    <t>4500182971-10</t>
  </si>
  <si>
    <t>粘贴条码箱贴纸，每箱只贴一张，由ZURU订购</t>
  </si>
  <si>
    <t>日期码格式：ZURU INC(BVI) 标准格式 日期：按实际生产日期
Packaging Info: 77673TQ1 产品包装 客版收缩膜(C版)+客版收藏指南+MA说明书+ MA 1L PDQ；客版收缩膜，客版收藏指南翻单4500183607；
Remark: 77673TQ1
1. 77673TQ1-S001-CC-MINI BRANDS-FILL THE FRIDGE PLAYSET-SERIES 1-SHRINK WRAP,4PCS/PDQ,4PCS/PDQ/CTN
2. 产品包装 客版收缩膜(C版)+客版收藏指南+MA说明书+ MA 1L PDQ；客版收缩膜上的UPC显示193052079404；客版收缩膜，客版收藏指南翻单 4500183607；
3. 外箱正唛左上角位置粘贴条码箱贴纸，每箱只贴一张，由ZURU订购。来料贴纸上显示的客户DPCI# 086-02-3468， UPC显示10193052079401;
1. 产品和包装上均要印刷tracking code信息，格式为ZURU常规格式;
2. 出货方式：货代自提</t>
  </si>
  <si>
    <t>10001581642-0581</t>
  </si>
  <si>
    <t>4500183690-10</t>
  </si>
  <si>
    <t>日期码格式：ZURU INC(BVI) 标准格式 日期：按实际生产日期
Packaging Info: 产品包装 客版收缩膜(C版)+客版收藏指南+MA说明书+ MA 1L PDQ；客版收藏指南翻单4500174008
Remark: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4. 产品和包装上均要印刷tracking code信息，格式为ZURU常规格式;
5. 出货方式：货代自提</t>
  </si>
  <si>
    <t>ZMPO250997</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</si>
  <si>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</si>
  <si>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97076-11.29</t>
  </si>
  <si>
    <t>ZMPO251034</t>
  </si>
  <si>
    <t>ZMPO251034-10</t>
  </si>
  <si>
    <t>Remark:大货最新版本包装/大货标准箱装箱/箱唛请参照邮件附件
备注：收到样品订单后尽快安排 ，注意样板品质质量要求要高于大货品质要求 ，送货时必须要附带送货单(没有送货单和QC检验合格报告的仓库一律拒绝收货)，请知悉，谢谢！</t>
  </si>
  <si>
    <t>97413-8.17</t>
  </si>
  <si>
    <t>4500180866-100</t>
  </si>
  <si>
    <t>UPC条码贴纸+进口商贴纸.翻单PO4500167348</t>
  </si>
  <si>
    <t>日期码格式：LOTDGYYYYMMDD 日期：按实际生产日期
Packaging Info:
8. 77673：3L EAN收缩膜+ UPC条码贴纸+ MA多语说明书+MA 5L收藏指南+进口商贴纸+箱唛+保证书，3张不同进口商贴纸分别贴到产品/包装/说明书上，此款所有贴
纸和保证书翻单PO4500167348。
注意所有带电产品所用的保证书是通用的。
Remark: 1. 客版日期码要求：LOT+ZURU标准日期码格式。东莞生产的格式：LOTDGYYYYMMDD, DG是东莞拼音首字母，
YYYYMMDD是实际的年月日，例如(LOTDG20240920)
2.
77673：3PCS AG13 BATTERIES(INCLUDED)
4. 此单有第三方监柜，至少多备一套完整的物料用于监柜，请多备料。
5. WM墨西哥防霉的新要求:货物必须在出货主箱和集装箱中按要求放置干燥剂，干燥剂指定品牌干霸
77673： 需要在每箱放入4小包干燥剂，每包干燥剂重量2g
如走柜货等loading plan 确认后再通知集装箱干燥剂数量
此单会和其他工厂订单合并出4*40HC，每个HC需要放置20包干燥剂，每包干燥剂1KG</t>
  </si>
  <si>
    <t>A97572-1.20</t>
  </si>
  <si>
    <t>DISTRIBUIDORA LIVERPOOL S.A DE C.V.</t>
  </si>
  <si>
    <t>62050798</t>
  </si>
  <si>
    <t>4500182578-120</t>
  </si>
  <si>
    <t>UPC贴纸+进口商贴纸+价标贴纸</t>
  </si>
  <si>
    <t>日期码格式：ZURU INC(BVI) 标准格式 日期：按实际生产日期
Packaging Info:77673:MA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</si>
  <si>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A97534-1.14</t>
  </si>
  <si>
    <t>ok</t>
  </si>
  <si>
    <t>AG250327-HK</t>
  </si>
  <si>
    <t>4500185736-10</t>
  </si>
  <si>
    <t>确认12/23会到贵厂提货</t>
  </si>
  <si>
    <t>1张客供警语贴纸+1张客供电池警语贴纸</t>
  </si>
  <si>
    <t>1张客供中文警告说明书）</t>
  </si>
  <si>
    <r>
      <rPr>
        <sz val="11"/>
        <color rgb="FF010CDD"/>
        <rFont val="宋体"/>
        <charset val="134"/>
      </rPr>
      <t>日期码格式：ZURU INC(BVI) 标准格式 日期：按实际生产日期
Packaging Info: 此单出HK, 客户确认</t>
    </r>
    <r>
      <rPr>
        <sz val="11"/>
        <color rgb="FFFF0000"/>
        <rFont val="宋体"/>
        <charset val="134"/>
      </rPr>
      <t>12/17</t>
    </r>
    <r>
      <rPr>
        <sz val="11"/>
        <color rgb="FF010CDD"/>
        <rFont val="宋体"/>
        <charset val="134"/>
      </rPr>
      <t>会到贵厂提货，请务必按期完货。
77673TQ1:MA 1L 收缩膜+MA 1L PDQ+MA 5L 收藏指南+MA 说明书+1张客供警语贴纸+1张客供电池警语贴纸+1张客供中文警告说明书）具体请参考HK 客供警语贴纸位
置
Remark:</t>
    </r>
  </si>
  <si>
    <t>97233-8.17</t>
  </si>
  <si>
    <t>4500185736-20</t>
  </si>
  <si>
    <r>
      <rPr>
        <sz val="11"/>
        <color rgb="FF010CDD"/>
        <rFont val="宋体"/>
        <charset val="134"/>
      </rPr>
      <t>日期码格式：ZURU INC(BVI) 标准格式 日期：按实际生产日期
Packaging Info: 此单出HK, 客户确认</t>
    </r>
    <r>
      <rPr>
        <sz val="11"/>
        <color rgb="FFFF0000"/>
        <rFont val="宋体"/>
        <charset val="134"/>
      </rPr>
      <t>12/17</t>
    </r>
    <r>
      <rPr>
        <sz val="11"/>
        <color rgb="FF010CDD"/>
        <rFont val="宋体"/>
        <charset val="134"/>
      </rPr>
      <t>会到贵厂提货，请务必按期完货。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t>
    </r>
  </si>
  <si>
    <t>4500182619-20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</si>
  <si>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</si>
  <si>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97212-8.17</t>
  </si>
  <si>
    <t>77673TQ1-S003-3L</t>
  </si>
  <si>
    <t>FB13916</t>
  </si>
  <si>
    <t>4500183596-50</t>
  </si>
  <si>
    <t>日期码格式：ZURU INC(BVI) 标准格式 日期：按实际生产日期
Packaging Info:
 77673TQ1 77673TQ1:MA-1L 配套包装+客户EAN 条码贴纸，另外产品内包装再加多一张ZURU带电池版本30语WEEE说明书, EAN条码贴纸翻单4500177765，条码请 核对
5056296049488，PQD右后要加数量贴纸，翻单4500177198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</si>
  <si>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97238-8.17</t>
  </si>
  <si>
    <t>4500184103-10</t>
  </si>
  <si>
    <t>1张说明书纽扣电池警告语贴纸</t>
  </si>
  <si>
    <r>
      <rPr>
        <sz val="11"/>
        <color rgb="FF010CDD"/>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请注意此订单与NZ PO#4500184105一起合并计算</t>
    </r>
  </si>
  <si>
    <t>97257-8.17</t>
  </si>
  <si>
    <t>4500184105-10</t>
  </si>
  <si>
    <r>
      <rPr>
        <sz val="11"/>
        <color rgb="FF010CDD"/>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请注意此订单与AU PO#4500184103一起合并计算</t>
    </r>
  </si>
  <si>
    <t>97258-8.17</t>
  </si>
  <si>
    <t>BINGO GLOBAL GROUP FOR TRADING SUPP</t>
  </si>
  <si>
    <t>埃及</t>
  </si>
  <si>
    <t>4500178856-20</t>
  </si>
  <si>
    <t>EAN收缩膜+进口商贴纸</t>
  </si>
  <si>
    <t>日期码格式：ZURU INC(BVI) 标准格式 日期：按实际生产日期
Packaging Info:
77673：包装MA EAN收缩膜+进口商贴纸，收缩膜EAN条码显示4894680042773，产品年龄8+；
客人箱唛排版，印4面，条码内容4894680042773;
需要增加一张WEEE声明（带电池走货版本的通用30L说明书）
Remark:</t>
  </si>
  <si>
    <t>Nora Pan</t>
  </si>
  <si>
    <t>A97555-1.17</t>
  </si>
  <si>
    <t>0946374475</t>
  </si>
  <si>
    <t>4500184389-10</t>
  </si>
  <si>
    <t>ZB03820-8.17</t>
  </si>
  <si>
    <t>0946374457</t>
  </si>
  <si>
    <t>4500184389-20</t>
  </si>
  <si>
    <t>ZB03772-8.17</t>
  </si>
  <si>
    <t>0946374452</t>
  </si>
  <si>
    <t>4500184389-30</t>
  </si>
  <si>
    <t>ZB03754-8.17</t>
  </si>
  <si>
    <t>0946374446</t>
  </si>
  <si>
    <t>4500184389-40</t>
  </si>
  <si>
    <t>ZB04007-8.17</t>
  </si>
  <si>
    <t>0946374448</t>
  </si>
  <si>
    <t>4500184389-50</t>
  </si>
  <si>
    <t>ZB03679-8.17</t>
  </si>
  <si>
    <t>0946374434</t>
  </si>
  <si>
    <t>4500184389-60</t>
  </si>
  <si>
    <t>ZB03693-8.17</t>
  </si>
  <si>
    <t>0946374476</t>
  </si>
  <si>
    <t>4500184389-70</t>
  </si>
  <si>
    <t>ZB03679/ZB03693/ZB03754/ZB03772/ZB03820/ZB04007</t>
  </si>
  <si>
    <t>4500178919-40</t>
  </si>
  <si>
    <t>97055/97138/97394</t>
  </si>
  <si>
    <t>LOBBES SPEELGOED BV</t>
  </si>
  <si>
    <t>4500182863-30</t>
  </si>
  <si>
    <t xml:space="preserve"> MA UV胶贴纸</t>
  </si>
  <si>
    <t>日期码格式：ZURU INC(BVI) 标准格式 日期：按实际生产日期
Packaging Info:
77673：客版EN FR DE IT NL 5L收缩膜（翻单4500155594），客版EN FR DE IT NL 5L收藏指南（翻单4500155594），MA B版23L电池+UV胶警告语说明书，WEE B版带
电池走货30L说明书， MA UV胶贴纸，MA 纸袋
Remark: 1. STD 配比
2. 须符合欧洲微塑料法规</t>
  </si>
  <si>
    <t>Max kong</t>
  </si>
  <si>
    <t>97232-8.17</t>
  </si>
  <si>
    <t>77673-S001-2</t>
  </si>
  <si>
    <t>RED APPLE STORES INC.</t>
  </si>
  <si>
    <t>2916318-00 2916318-00</t>
  </si>
  <si>
    <t>4500183410-50</t>
  </si>
  <si>
    <t>UPC贴纸193052079404</t>
  </si>
  <si>
    <t>日期码格式： 标准格式 日期：按实际生产日期
Packaging Info: 
77673 MA 多语 EAN版本+UPC贴纸193052079404
Remark: 出加拿大
日期跟踪码：产品外包装及产品本身都必须有日期跟踪码，并且确保两者的日期跟踪码要一致；ZURU标准格式日期码(请自行调整具体年月日生产期，但不能为周末
）</t>
  </si>
  <si>
    <t>97266-8.17</t>
  </si>
  <si>
    <t>Amazon UK:
3UVOGHID</t>
  </si>
  <si>
    <t>4500183904-30</t>
  </si>
  <si>
    <t>2张贴纸(1张UPC#，参考翻单PO#4500158582；1张可折叠警语
贴含德意警告语+IT环保标，参考翻单PO#4500157858)</t>
  </si>
  <si>
    <t>日期码格式：ZURU INC(BVI) 标准格式 日期：按实际生产日期
Packaging Info: Amazon UK(77673)/DE(77555/92104H)
1. 77673：12pcs/ctn; MA 3L(3L warning EAN#)B收缩膜+MA 23L warning B说明书+MA 5L A收藏指南+2张贴纸(1张UPC#，参考翻单PO#4500158582；1张可折叠警语
贴含德意警告语+IT环保标，参考翻单PO#4500157858)+WEEE电子产品说明书30L(带电池走货B版);
4. 最迟验货不得晚于2025/12/19;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</si>
  <si>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97364-8.17</t>
  </si>
  <si>
    <t>OUTLET DRIFT AS</t>
  </si>
  <si>
    <t>4500182014-30</t>
  </si>
  <si>
    <t>警语贴纸（翻单4500162375）</t>
  </si>
  <si>
    <t>日期码格式：ZURU INC(BVI) 标准格式 日期：按实际生产日期
Packaging Info: 
 77673: MA EAN 3L + 警语贴纸（翻单4500162375）+WEEE 带电池 30L B 说明书
Remark: 1/配比:
 2/产品和包装要求无硼无香，包装不能含有PVC
3/如有微塑料，必须合规欧洲标准，并增加微塑料合规IFUD声明在说明书上
4/带电池出货的产品，所用到的电池需要符合欧洲电池新规(EU)2023-1542，并增加对应WEEE 说明书</t>
  </si>
  <si>
    <t>97349-8.17</t>
  </si>
  <si>
    <t>4500181257-10</t>
  </si>
  <si>
    <t>4500184164-10</t>
  </si>
  <si>
    <t>产品UPC 贴纸（ 贴胶袋正中间 不能覆盖胶袋上的警告语）+ 客供外箱贴纸</t>
  </si>
  <si>
    <t>日期码格式：ZURU INC(BVI) 标准格式 日期：按实际生产日期
Packaging Info: 1. 此为Kohl's ECOM 订单：
77673-S007 MA UPC 包装(首选1L)+胶袋 + 产品UPC 贴纸（ 贴胶袋正中间 不能覆盖胶袋上的警告语）+ 客供外箱贴纸。UPC 条码和产品上的条码一致。(胶袋，UPC
贴翻4500169101)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 外箱四面需要加黄标贴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</si>
  <si>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4500181556-30</t>
  </si>
  <si>
    <t>UPC 条码贴纸+进口商贴纸</t>
  </si>
  <si>
    <t>日期码格式：ZURU INC(BVI) 标准格式 日期：按实际生产日期
Packaging Info: 
3. 77673：MA 3L EAN PKG+UPC 条码贴纸+MA 3L PDQ+MA 收藏指南+进口商贴纸+箱唛+保证书
Remark: 1. 此单有监柜，每款请多备1pc样板用于监装
3. 77673：3PCS AG13 BATTERIES(INCLUDED)</t>
  </si>
  <si>
    <t>97340-8.17</t>
  </si>
  <si>
    <t>WALMART CENTRAL AMERICA-HN</t>
  </si>
  <si>
    <t>4500184422-120</t>
  </si>
  <si>
    <t>UPC贴纸+进口商贴纸+，贴纸翻单PO4500161302</t>
  </si>
  <si>
    <t>日期码格式：ZURU INC(BVI) 标准格式 日期：按实际生产日期
Packaging Info: 
11. 77673：MA 3L EAN包装+UPC贴纸+进口商贴纸+箱唛，贴纸翻单PO4500161302
Remark: 1.请注意产品包装条形码必须是UPC
2.无第三方验货</t>
  </si>
  <si>
    <t>97402-8.17</t>
  </si>
  <si>
    <t>4500184776-10</t>
  </si>
  <si>
    <r>
      <rPr>
        <sz val="11"/>
        <color rgb="FF010CDD"/>
        <rFont val="宋体"/>
        <charset val="134"/>
      </rPr>
      <t>日期码格式：ZURU INC(BVI) 标准格式 日期：按实际生产日期
Packaging Info: 77673-S001: MA英语UPC版本包装（收缩膜和说明书, MA首选1L，如无1L可用多语且含英语的配套多语包装)</t>
    </r>
    <r>
      <rPr>
        <sz val="11"/>
        <color rgb="FFFF0000"/>
        <rFont val="宋体"/>
        <charset val="134"/>
      </rPr>
      <t xml:space="preserve"> + 1张小的警语贴纸贴在收缩膜正面+2张大的纽扣电池
警语贴纸贴在收缩膜背面和说明书上+ 1张防盗贴纸+箱唛 + 外箱SSCC Label (贴纸以及位置图翻单PO#4500160026）</t>
    </r>
    <r>
      <rPr>
        <sz val="11"/>
        <color rgb="FF010CDD"/>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请注意此订单与NZ PO#4500184779一起合并计算</t>
    </r>
  </si>
  <si>
    <t>97322-8.17</t>
  </si>
  <si>
    <t>4500184779-10</t>
  </si>
  <si>
    <r>
      <rPr>
        <sz val="11"/>
        <color rgb="FF010CDD"/>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请注意此订单与AU PO#4500184776一起合并计算</t>
    </r>
  </si>
  <si>
    <t>97323-8.17</t>
  </si>
  <si>
    <t>WALMART CENTRAL AMERICA-CR</t>
  </si>
  <si>
    <t>4500184316-120</t>
  </si>
  <si>
    <t>UPC贴纸+进口商贴纸，贴纸翻单PO45001613</t>
  </si>
  <si>
    <t>日期码格式：ZURU INC(BVI) 标准格式 日期：按实际生产日期
Packaging Info:
11. 77673：MA 3L EAN包装+UPC贴纸+进口商贴纸+箱唛，贴纸翻单PO4500161302
Remark: 1.请注意产品包装条形码必须是UPC
2.无第三方验货</t>
  </si>
  <si>
    <t>97403-8.17</t>
  </si>
  <si>
    <t>WALMART CENTRAL AMERICA-GT</t>
  </si>
  <si>
    <t>4500184355-120</t>
  </si>
  <si>
    <t>97404-8.17</t>
  </si>
  <si>
    <t>FB13917</t>
  </si>
  <si>
    <t>4500183596-110</t>
  </si>
  <si>
    <t>97301-8.17</t>
  </si>
  <si>
    <t>4500180758-220</t>
  </si>
  <si>
    <t>彩色贴纸+进口商贴纸（贴纸翻单4500162345）；</t>
  </si>
  <si>
    <r>
      <rPr>
        <sz val="11"/>
        <rFont val="宋体"/>
        <charset val="134"/>
      </rPr>
      <t>日期码格式：ZURU INC(BVI) 标准格式 日期：按实际生产日期
Packaging Info: 77673TQ1：MA PDQ+彩色贴纸+进口商贴纸</t>
    </r>
    <r>
      <rPr>
        <sz val="11"/>
        <color rgb="FFFF0000"/>
        <rFont val="宋体"/>
        <charset val="134"/>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1"/>
        <rFont val="宋体"/>
        <charset val="134"/>
      </rPr>
      <t xml:space="preserve">
客人箱唛排版，印4面，条码内容：193052079404
Remark:</t>
    </r>
  </si>
  <si>
    <t>A97522-1.13</t>
  </si>
  <si>
    <t>4500180717-200</t>
  </si>
  <si>
    <t>彩色贴纸+进口商贴纸</t>
  </si>
  <si>
    <r>
      <rPr>
        <sz val="11"/>
        <rFont val="宋体"/>
        <charset val="134"/>
      </rPr>
      <t>日期码格式：ZURU INC(BVI) 标准格式 日期：按实际生产日期
Packaging Info: 
77673TQ1：MA PDQ+彩色贴纸+进口商贴纸</t>
    </r>
    <r>
      <rPr>
        <sz val="11"/>
        <color rgb="FFFF0000"/>
        <rFont val="宋体"/>
        <charset val="134"/>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1"/>
        <rFont val="宋体"/>
        <charset val="134"/>
      </rPr>
      <t xml:space="preserve">
客人箱唛排版，印4面，条码内容：193052079404
Remark:</t>
    </r>
  </si>
  <si>
    <t>A97533-1.14</t>
  </si>
  <si>
    <t>QAT</t>
  </si>
  <si>
    <t>4500180735-70</t>
  </si>
  <si>
    <r>
      <rPr>
        <sz val="11"/>
        <rFont val="宋体"/>
        <charset val="134"/>
      </rPr>
      <t>日期码格式：ZURU INC(BVI) 标准格式 日期：按实际生产日期
Packaging Info: 
77673TQ1：MA PDQ+彩色贴纸+进口商贴纸</t>
    </r>
    <r>
      <rPr>
        <sz val="11"/>
        <color rgb="FFFF0000"/>
        <rFont val="宋体"/>
        <charset val="134"/>
      </rPr>
      <t>（贴纸翻单4500162345）；收缩膜+进口商贴纸(含G Mark, QR code, 阿拉伯警语) （贴纸翻单4500162345）；贴纸上的QR
code需微信可扫，扫描结果另外通知; MA收藏指南+彩色贴纸（贴纸翻单4500162345）； MA说明书+一张客制黑白说明书纸（书纸翻单4500162345）；</t>
    </r>
    <r>
      <rPr>
        <sz val="11"/>
        <rFont val="宋体"/>
        <charset val="134"/>
      </rPr>
      <t xml:space="preserve">
客人箱唛排版，印4面，条码内容：193052079404
Qatar的订单需要寄样品给客户进行slime测试（产品含slime的每个item分别准备完整的4套样品）（此单#92125/92129TQ1/9283/92104TQ1/9298TQ1/92119需要寄样
）
Remark:</t>
    </r>
  </si>
  <si>
    <t>TOYNOVA GMBH</t>
  </si>
  <si>
    <t>BEZUR05</t>
  </si>
  <si>
    <t>4500181926-10</t>
  </si>
  <si>
    <t>客户款号EAN条码贴纸+Kinderherz 2025 Logo贴纸（翻单：4500166480）+德语警告语贴纸（ 翻单：4500161168）</t>
  </si>
  <si>
    <t>日期码格式：ZURU INC(BVI) 标准格式 日期：按实际生产日期
Packaging Info: 77673:：MA 收缩膜3L-A版本+客户款号EAN条码贴纸+Kinderherz 2025 Logo贴纸（翻单：4500166480）+德语警告语贴纸（ 翻单：4500161168） +MA电池+UV胶警告
语23L说明书+MA纸袋+MA收藏指南5L-A版本+WEEE 带电池走货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</si>
  <si>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Winnie Zhong</t>
  </si>
  <si>
    <t>97275-8.17</t>
  </si>
  <si>
    <t>4500183436-10</t>
  </si>
  <si>
    <t>客人白色Cat.label 1张覆盖ZURU条码</t>
  </si>
  <si>
    <t>日期码格式：ZURU INC(BVI) 标准格式 日期：按实际生产日期
Packaging Info: MA -1L UPC包装+客人白色Cat.label 1张覆盖ZURU条码+B版通用30L WEEE带电池走货说明书
 -注意Cat.label (要求易撕类贴纸，但是粘性不能过低），同时此贴纸每个订单都是不相同的(会显示客户对应的订单号），切勿翻旧订单购买，该贴纸由工厂自行
 购买。
Remark: *MA包装最新版本安排*包装日期码按ZURU格式即可，请确保不迟于外箱日期码，可等于或者早于外箱日期码，必须为法定工作日。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</si>
  <si>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97286-8.17</t>
  </si>
  <si>
    <t>4500184162-10</t>
  </si>
  <si>
    <t>价格贴纸 （不能覆盖mad in China 字样）+ 客供外箱贴纸
 77673 &lt;(&gt;&amp;&lt;)&gt; 77711 价格贴纸和位置图翻#450016908</t>
  </si>
  <si>
    <t>日期码格式：ZURU INC(BVI) 标准格式 日期：按实际生产日期
Packaging Info: 1. 此为Kohl's store 订单, MA UPC包装(首选1L) + 价格贴纸 （不能覆盖mad in China 字样）+ 客供外箱贴纸
77673 价格贴纸和位置图翻#4500169087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</si>
  <si>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ROFU KINDERLAND SPIELWARENHANDELSGE</t>
  </si>
  <si>
    <t>4500181932-10</t>
  </si>
  <si>
    <t>*客供价格贴纸+Kinderherz 2025 Logo贴纸（翻单：4500166480）+德语警告语贴纸（ 翻单：4500161168）</t>
  </si>
  <si>
    <t>日期码格式：ZURU INC(BVI) 标准格式 日期：按实际生产日期
Packaging Info: 77673：MA B版3L EAN 收缩膜+1*客供价格贴纸+Kinderherz 2025 Logo贴纸（翻单：4500166480）+德语警告语贴纸（ 翻单：4500161168） +MA电池+UV胶警告语23L
说明书+MA纸袋+MA收藏指南5L-A版本+WEEE 带电池走货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</si>
  <si>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97376-8.17</t>
  </si>
  <si>
    <t>ZURU DENMARK APS</t>
  </si>
  <si>
    <t>4500183178-10</t>
  </si>
  <si>
    <t>日期码格式：ZURU INC(BVI) 标准格式 日期：按实际生产日期
Packaging Info: 77673TQ1：最新版 MA 3L EAN 收缩膜 + 1*多语折叠警告语贴纸+MA5L收藏指南+ MA 23L说明书+ MA UV胶黑白警告语+MA纸袋 + 1*B版 WEEE通用带电池走货说明书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10.所有电子产品身上需要加字唛，为ZURU FRANCE 地址 (如无电子产品，或者产品布标有此地址，可忽略此信息)
ZURU FRANCE 33 rue Paul Meurice 75020 Paris, France.；</t>
  </si>
  <si>
    <t>A97465-1.7</t>
  </si>
  <si>
    <t>4500184791-20</t>
  </si>
  <si>
    <t>外箱贴纸+保证书+进口商贴纸+UPC贴纸</t>
  </si>
  <si>
    <t>日期码格式：ZURU INC(BVI) 标准格式 日期：按实际生产日期
Packaging Info: 
77673:MA 多语包装+MA 多语说明书+外箱贴纸+保证书+进口商贴纸+UPC贴纸，产品/包装/说明书都要贴1张进口商贴纸
Remark: 此单有第三方监柜，需要每款多备1套完整物料</t>
  </si>
  <si>
    <t>97362-8.17</t>
  </si>
  <si>
    <t>客户PO;021893
11/1</t>
  </si>
  <si>
    <t>4500179611-20</t>
  </si>
  <si>
    <t>日期码格式：ZURU INC(BVI) 标准格式 日期：按实际生产日期
Packaging Info: 
77673tq1:MA 1L UPC版本；带电池出货加：WEEE_带电池走货 _ 说明书欧洲EN+30L-B版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</si>
  <si>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97339-8.17</t>
  </si>
  <si>
    <t>客户PO:021893
12/1</t>
  </si>
  <si>
    <t>4500179611-40</t>
  </si>
  <si>
    <t>4500185573-20</t>
  </si>
  <si>
    <t>日期码格式：ZURU INC(BVI) 标准格式 日期：按实际生产日期
Packaging Info: 1.MA UPC(优先1L) package+SNI label;
SNI label无需贴在产品上,但是需采购贴纸;届时跟大货一起出货,请在外箱备注好"SNI LABEL"
以防万一,请备多2%的贴纸给客人,贴纸文档见邮件;
2.此单是交SZ 普通仓库跟客人其他货一起拼柜,无散货进仓费,是按照整柜的本地费收费标准;
PO先开出厂价, 发发票前请同我确认价格类型
3.可能会需样板做测试, 也有可能有第三方验货,请等我们进一步通知;
Remark:
77673TQ1-Filxed Collection</t>
  </si>
  <si>
    <t>97378-8.17</t>
  </si>
  <si>
    <t>4500178919-50</t>
  </si>
  <si>
    <t>4500178919-120</t>
  </si>
  <si>
    <t>97394</t>
  </si>
  <si>
    <t>4500178919-130</t>
  </si>
  <si>
    <t>PL HANDELSGESELLSCHAFT MBH</t>
  </si>
  <si>
    <t>奥地利</t>
  </si>
  <si>
    <t>PL 301909-01-26 EVD+EAS</t>
  </si>
  <si>
    <t>4500182689-50</t>
  </si>
  <si>
    <t>客供价格贴纸+Kinderherz 2025 Logo贴纸（翻单：4500166480）+德语警告语贴纸（ 翻单：4500161168）</t>
  </si>
  <si>
    <t>日期码格式：ZURU INC(BVI) 标准格式 日期：按实际生产日期
Packaging Info:
"77673：MA B版3L EAN 收缩膜+Kinderherz 2025 Logo贴纸（翻单：4500166480）+德语警告语贴纸（ 翻单：4500161168） +MA电池+UV胶警告语23L说明书+MA纸袋+
MA收藏指南5L-A版本+WEEE 带电池走货 通用 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</si>
  <si>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Winnie zhong</t>
  </si>
  <si>
    <t>97350-8.17</t>
  </si>
  <si>
    <t>4500186484-10</t>
  </si>
  <si>
    <t>MEC305-P-S002-INT</t>
  </si>
  <si>
    <t>空展示架+Demo</t>
  </si>
  <si>
    <t>客户贴纸</t>
  </si>
  <si>
    <t>日期码格式：ZURU INC(BVI) 标准格式 日期：按实际生产日期
Packaging Info: MA 包装+客户贴纸+箱唛，打平包出
MEC345 需要用通用头卡，消耗PO4500175893的客版MA
Remark:</t>
  </si>
  <si>
    <t>WONDERLAND TOYS, INC.</t>
  </si>
  <si>
    <t>4500183330-20</t>
  </si>
  <si>
    <t>日期码格式：ZURU INC(BVI) 标准格式 日期：按实际生产日期
Packaging Info: 1. 出口美国，MA UPC 版本包装，优先1L。
#77673: 3PCS AG13 BATTERIES(INCLUDED)
Remark: 2. Zuru QC 验货即可</t>
  </si>
  <si>
    <t>Abby Mai</t>
  </si>
  <si>
    <t>ZB03817-8.17</t>
  </si>
  <si>
    <t>CORPORACION FAVORITA C.A.</t>
  </si>
  <si>
    <t>25-1071591JEC</t>
  </si>
  <si>
    <t>4500179359-20</t>
  </si>
  <si>
    <t>日期码格式：ZURU INC(BVI) 标准格式 日期：按实际生产日期
Packaging Info: MA 多语EAN包装+进口商贴纸+UPC贴纸+箱唛
Remark: 进口商贴纸内容会显示日期码为：2025-12，包装/产品/外箱可按ZURU标准日期码，不需要跟回进口商贴纸上的日期码</t>
  </si>
  <si>
    <t>97351-8.17</t>
  </si>
  <si>
    <t>BJ'S WHOLESALE CLUB, INC.</t>
  </si>
  <si>
    <t>4500182502-10</t>
  </si>
  <si>
    <t>77785TQ1-S001-77673-NA</t>
  </si>
  <si>
    <t>日期码格式：ZURU INC(BVI) 标准格式 日期：按实际生产日期
Packaging Info: 客版1L UPC版本包装+客版PDQ，彩盒AW有更新。
此款是组合装，2PK 77711-NA(capsules) + 1PK 77673 combo in color box。
请注意一个彩盒中的两个球不允许重复，且一个彩盒不能拆出2个即以上的重复散件。
Remark: 1. 此单大概12月5日需寄6套左右大货样+干油办0.5g/color（如有）给UL实验室做测试，具体的后面邮件会再通知。另外，还需要再备多4套左右的大货样板到时候
寄给客户。
2. 此单需一个45HQ装完，但需超过客户要求的最少立方数，45HQ最少要70CBM。箱唛上体积数和实际要相符，如体积数和PO上有不一致，客人会有罚款。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</si>
  <si>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</si>
  <si>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ZB03947-8.17</t>
  </si>
  <si>
    <t>77785TQ1-S001-NA</t>
  </si>
  <si>
    <t>ZMPO251087</t>
  </si>
  <si>
    <t>ZMPO251087-10</t>
  </si>
  <si>
    <t>97414-8.17</t>
  </si>
  <si>
    <t>4500185851-20</t>
  </si>
  <si>
    <t>日期码格式：ZURU INC(BVI) 标准格式 日期：按实际生产日期
Packaging Info: 1.
77673:MA -1L UPC包装+客人白色Cat.label 1张覆盖ZURU条码+B版WEEE带电池走货说明书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77673条码扫描结果应为7624348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</si>
  <si>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A97452-1.6</t>
  </si>
  <si>
    <t>4500185865-10</t>
  </si>
  <si>
    <t>1张说明书纽扣电池警告语贴纸+ 1张收缩膜纽扣电池
 警告语贴纸+ 1张防盗贴纸+箱唛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</si>
  <si>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PO#4500185863一起合并计算</t>
  </si>
  <si>
    <t>97377-8.17</t>
  </si>
  <si>
    <t>4500185863-10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</si>
  <si>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PO#4500185865一起合并计算</t>
  </si>
  <si>
    <t>97379-8.17</t>
  </si>
  <si>
    <t>ZU25092601SG</t>
  </si>
  <si>
    <t>4500184690-20</t>
  </si>
  <si>
    <t>进口商贴纸,整单的贴纸图稿和位置图翻
 4500163177</t>
  </si>
  <si>
    <t xml:space="preserve">日期码格式：ZURU INC(BVI) 标准格式 日期：按实际生产日期
Packaging Info: MA UPC包装(优先1L)+进口商贴纸,整单的贴纸图稿和位置图翻
77673-4500163177
Remark: </t>
  </si>
  <si>
    <t>A97454-1.6</t>
  </si>
  <si>
    <t>NAVY EXCHANGE SERVICE COMMAND</t>
  </si>
  <si>
    <t>PO#0037751207</t>
  </si>
  <si>
    <t>4500182775-10</t>
  </si>
  <si>
    <t>角处贴上Packing Slip（跟单提供资料；工厂用A4纸打印</t>
  </si>
  <si>
    <t>日期码格式：ZURU INC(BVI) 标准格式 日期：按实际生产日期
Packaging Info: 1.包材：ZURU MA UPC 最新版本；出口美国
Remark: 2. 日期跟踪码：产品外包装及产品本身都必须有日期跟踪码；ZURU标准格式日期码 (请自行调整具体年月日生产期，但不能为周末）
3. 外箱贴纸：
外箱除了需要印刷箱唛外，还需额外加贴Packing Slip一张
Packing Slip: 每款产品第一箱的外箱都需在1面正唛右上角处贴上Packing Slip（跟单提供资料；工厂用A4纸打印）,见箱唛资料详细内容。
4. 出货配比：ZURU 标版配比</t>
  </si>
  <si>
    <t>0948877810</t>
  </si>
  <si>
    <t>4500181327-10</t>
  </si>
  <si>
    <t>ZB03677-8.17</t>
  </si>
  <si>
    <t>.</t>
  </si>
  <si>
    <t>0948877812</t>
  </si>
  <si>
    <t>4500181327-20</t>
  </si>
  <si>
    <t>ZB03677/ZB03678</t>
  </si>
  <si>
    <t>0948877861</t>
  </si>
  <si>
    <t>4500181327-30</t>
  </si>
  <si>
    <t>Amazon UK:
4RHMF6XI</t>
  </si>
  <si>
    <t>4500184581-10</t>
  </si>
  <si>
    <t>1/9 交仓</t>
  </si>
  <si>
    <t>日期码格式：ZURU INC(BVI) 标准格式 日期：按实际生产日期
Packaging Info: Amazon UK(77673)
1. 77673：12pcs/ctn; MA 3L(3L warning EAN#)B收缩膜+MA 23L warning B说明书+MA 5L A收藏指南+2张贴纸(1张UPC#，参考翻单PO#4500158582；1张可折叠警语
贴含德意警告语+IT环保标，参考翻单PO#4500157858)+WEEE电子产品说明书30L(带电池走货B版);
2. 最迟验货不得晚于2025/12/31;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</si>
  <si>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A97485</t>
  </si>
  <si>
    <t>SUCKOT SAC</t>
  </si>
  <si>
    <t>秘鲁</t>
  </si>
  <si>
    <t>4500183983-30</t>
  </si>
  <si>
    <t>日期码格式：ZURU INC(BVI) 标准格式 日期：按实际生产日期
Packaging Info:77673:MA 多语 EAN包装+进口商贴纸+UPC贴纸+箱唛
Remark:</t>
  </si>
  <si>
    <t>A97536-1.14</t>
  </si>
  <si>
    <t>4500184256-30</t>
  </si>
  <si>
    <t>一张进口商贴纸</t>
  </si>
  <si>
    <t>日期码格式：ZURU INC(BVI) 标准格式 日期：按实际生产日期
Packaging Info:
3.77673：最新【MA 3L 收缩膜含EAN条码+进口商贴纸】+MA 最新5L收藏指南，MA 最新23L说明书（产品包装和PDQ都需要贴纸）+WEEE带电池走货欧洲30语通用黑白
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</si>
  <si>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A97535-10</t>
  </si>
  <si>
    <t>0948877862</t>
  </si>
  <si>
    <t>4500181327-40</t>
  </si>
  <si>
    <t>4500184204-30</t>
  </si>
  <si>
    <t>一张进口商贴纸+一张PDQ贴纸含EAN条码】</t>
  </si>
  <si>
    <t>日期码格式：ZURU INC(BVI) 标准格式 日期：按实际生产日期
Packaging Info: 
3.77673：最新【MA 3L 收缩膜含EAN条码+一张进口商贴纸】+MA 最新5L收藏指南+MA 最新23L说明书+WEEE带电池走货欧洲30L通用黑白说明书;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</si>
  <si>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A97508-1.12</t>
  </si>
  <si>
    <t>0950689034</t>
  </si>
  <si>
    <t>4500181327-50</t>
  </si>
  <si>
    <t>ZB03678-8.17</t>
  </si>
  <si>
    <t>0950689049</t>
  </si>
  <si>
    <t>4500181327-60</t>
  </si>
  <si>
    <t>0950689050</t>
  </si>
  <si>
    <t>4500181327-70</t>
  </si>
  <si>
    <t>4500185790-20</t>
  </si>
  <si>
    <t>日期码格式：ZURU INC(BVI) 标准格式 日期：按实际生产日期
Packaging Info: 
77673TQ1: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</si>
  <si>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A97440-1.5</t>
  </si>
  <si>
    <t>4500185868-10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</si>
  <si>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</si>
  <si>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A97439-1.5</t>
  </si>
  <si>
    <t>MICHAELS GLOBAL SOURCING LLC</t>
  </si>
  <si>
    <t>4500186184-10</t>
  </si>
  <si>
    <t>77673TQ2-S001</t>
  </si>
  <si>
    <t>迷你冰箱 8pcs/TQ/箱</t>
  </si>
  <si>
    <t>日期码格式：ZURUDG20251210 日期：
Packaging Info: 1. 指定tracking code: ZURUDG20251210; 产品、彩盒、外箱的日期码需要按照我们提供的Tracking code做。
2.
#77673TQ2: MA 3L EAN_B版彩膜+UPC贴纸; 客版PDQ;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</si>
  <si>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ZB04139-8.17</t>
  </si>
  <si>
    <t>77673TQ2-S001-3L</t>
  </si>
  <si>
    <t>没</t>
  </si>
  <si>
    <t>4500188579-10</t>
  </si>
  <si>
    <t>4500186184 拆单</t>
  </si>
  <si>
    <t>UPC贴纸+，DC运输贴纸（所有产品均需要），PDQ 标识贴纸（带PDQ的item需要此贴纸，如果不带PDQ则不需要）贴纸尺寸以提供的箱唛资料为准，每个贴
 纸一箱一张。</t>
  </si>
  <si>
    <t>日期码格式：ZURUDG20251210 日期：
Packaging Info: 1. 指定tracking code: ZURUDG20251210; 产品、彩盒、外箱的日期码需要按照我们提供的Tracking code做。
2.
#77673TQ2: MA 3L EAN_B版彩膜+UPC贴纸; 客版PDQ翻单PO#4500186184;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</si>
  <si>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ZB04138-8.17</t>
  </si>
  <si>
    <t>4500188596-10</t>
  </si>
  <si>
    <t>ZB04140-8.17</t>
  </si>
  <si>
    <t>INTERTOYS B.V.</t>
  </si>
  <si>
    <t>4500185039-20</t>
  </si>
  <si>
    <t>可折叠贴纸+款号条码贴纸</t>
  </si>
  <si>
    <t>日期码格式：ZURU INC(BVI) 标准格式 日期：按实际生产日期
Packaging Info: 
77673:3L MA EAN包装+可折叠贴纸+款号条码贴纸; MA 最新说明书（含IFUD声明）+B版WEEE带电池走货说明书;
Remark: 1. STD配比
2. 出欧洲，微塑料需合规（如item本身不含微塑料 则忽略此要求）</t>
  </si>
  <si>
    <t>A97473</t>
  </si>
  <si>
    <t>4500186877-50</t>
  </si>
  <si>
    <t>进口商贴纸(翻单4500164331)</t>
  </si>
  <si>
    <t>日期码格式：ZURU INC(BVI) 标准格式 日期：按实际生产日期
Packaging Info: 
77673: MA A版 1L UPC收缩膜+ 进口商贴纸(翻单4500164331);MA收藏指南
Remark: 此单出欧洲斯洛文尼亚， 需满足EU测试标准要求，不能含微塑料，需出无闪粉版本
-77673: 3PCS AG13 BATTERIES(INCLUDED): 加WEEE带电池走货欧洲30语通用黑白说明书 B版</t>
  </si>
  <si>
    <t>A97582-1.20</t>
  </si>
  <si>
    <t>FB13938</t>
  </si>
  <si>
    <t>4500185474-40</t>
  </si>
  <si>
    <t>数量贴纸+EAN条码贴纸翻单4500177765</t>
  </si>
  <si>
    <t>日期码格式：ZURU INC(BVI) 标准格式 日期：按实际生产日期
Packaging Info:
77673TQ1:MA-1L 配套包装+客户EAN 条码贴纸，另外产品内包装再加多一张ZURU带电池版本30语WEEE说明书, EAN条码贴纸翻单4500177765，条码请 核对5056296049
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</si>
  <si>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A97521-1.13</t>
  </si>
  <si>
    <t>ZURU FRANCE</t>
  </si>
  <si>
    <t>4500182683-10</t>
  </si>
  <si>
    <t>日期码格式：ZURU INC(BVI) 标准格式 日期：按实际生产日期
Packaging Info: 77673TQ1:最新MA3LEAN收缩膜+最新MA5L收藏指南+最新MA23L说明书+最新MA纸袋+最新MA 3L PDQ+多语警语折叠贴纸（含包装缺失的法/意/西环保标）+WEEE带电池
出货的欧洲30L通知说明书B版（贴纸翻4500162314）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</si>
  <si>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A97464-1.7</t>
  </si>
  <si>
    <t>ESAL TRADING LLC</t>
  </si>
  <si>
    <t>约旦</t>
  </si>
  <si>
    <t>4500189510-80</t>
  </si>
  <si>
    <t>4500180735/4500180758拆分</t>
  </si>
  <si>
    <t>彩色贴纸+进口商贴纸（贴纸翻单4500162345）+进口商贴纸(含G Mark, QR code, 阿拉伯警语) （贴纸翻单4500162345）；贴纸上的QR
 code需微信可扫，扫描结果另外通知; MA收藏指南+彩色贴纸（贴纸翻单4500162345）</t>
  </si>
  <si>
    <t>日期码格式：ZURU INC(BVI) 标准格式 日期：按实际生产日期
Packaging Info:
77673TQ1：MA PDQ+彩色贴纸+进口商贴纸（贴纸翻单4500162345）；收缩膜+进口商贴纸(含G Mark, QR code, 阿拉伯警语) （贴纸翻单4500162345）；贴纸上的QR
code需微信可扫，扫描结果另外通知; MA收藏指南+彩色贴纸（贴纸翻单4500162345）； MA说明书+一张客制黑白说明书纸（书纸翻单4500162345）；
客人箱唛排版，印4面，条码内容：193052079404
Remark:</t>
  </si>
  <si>
    <t>4500184293-20</t>
  </si>
  <si>
    <t>UPC 条码贴纸+进口商贴纸+1个小的红色logo贴纸</t>
  </si>
  <si>
    <t>日期码格式：ZURU INC(BVI) 标准格式 日期：按实际生产日期
Packaging Info:
2. 77673：MA 3L EAN PKG+UPC 条码贴纸+MA 3L PDQ+MA 收藏指南+1个小的红色logo贴纸+保证书+进口商贴纸+箱唛，3张不同的进口商贴纸分别是贴在彩卡/产品/说
明书上
Remark: 1. 集装箱及装柜要求：集装箱不能有破洞；不能太脏
2. 每个item需要放1整箱在每个集装箱门口
3. 装柜的时候要前、中、后拍照
4. 此单有监柜要求，每款需要准备1pc监柜样板用于监装
6. 77673：3PCS AG13 BATTERIES(INCLUDED); Filxed Collection</t>
  </si>
  <si>
    <t>001711216693</t>
  </si>
  <si>
    <t>4500185916-10</t>
  </si>
  <si>
    <t>77721SLT-77673-S001</t>
  </si>
  <si>
    <t>翻单4500156322</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</si>
  <si>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
5. 此单是首单出货数量5400pcs, 无需抽版测试，需要2026/1/7完成100%大货安排第三方验货
6. 第三方验货：当天ITS会在大货直接验货，需要1pc寄给客户，由工厂寄到深圳office, 由ZURU跟单再转寄美国客户，以及还需要再寄1pc我们留底</t>
  </si>
  <si>
    <t>ZB03821-8.17</t>
  </si>
  <si>
    <t>10001581643-0581</t>
  </si>
  <si>
    <t>4500183692-10</t>
  </si>
  <si>
    <t>ZB03819-8.17</t>
  </si>
  <si>
    <t>CRACKER BARREL</t>
  </si>
  <si>
    <t>4500186227-10</t>
  </si>
  <si>
    <t>每款一箱大货满箱样（产品须带客版贴纸+外箱贴纸，并带大货外箱）+ 每款每色各4套大货样（带客版贴纸包装）寄给深圳跟单Blanche， 大货样需在12/28日前寄
 出，客户确认后方可出货</t>
  </si>
  <si>
    <t>客版产品条码贴纸+外箱贴</t>
  </si>
  <si>
    <t>日期码格式：ZURU INC(BVI) 标准格式 日期：按实际生产日期
Packaging Info: 1. 出口美国，ZURU标准UPC MA包装( 优先1L） + 客版产品条码贴纸+外箱贴, AW请使用最新artwork，跟单提供AW，工厂自行订购。
2. 产品及包装上都要有日期码，日期码是一致的（但不能为周末)，格式为ZURU标准格式
Remark: 3.配比：
#77673-S001-MINI BRANDS-FILL THE FRIDGE PLAYSET-SERIES 1-SHRINK WRAP,12PCS/CTN
4.#77673-S001 需在2025年12月27日前完成25%大货，12月28日早上进行ITS的25%大货抽样验货。100%大货可以在2026年1月8日前完成。收到PASS的测试报告后，才
可安排入仓出货。
25%抽样由客人指定的第三方ITS进行，现场在大货中抽样，具体要求如下面A,B,C,D所列：
A.样板抽取12pcs/色（带包装，大货中抽取）。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 大货样板需求：
每款一箱大货满箱样（产品须带客版贴纸+外箱贴纸，并带大货外箱）+ 每款每色各4套大货样（带客版贴纸包装）寄给深圳跟单Blanche， 大货样需在12/28日前寄
出，客户确认后方可出货。
Remark：满箱样/大货样以及测试样板数量不包含在订单数量里，做货需预备所有样板数量。</t>
  </si>
  <si>
    <t>Sharon Yang</t>
  </si>
  <si>
    <t>ZB03883-8.17</t>
  </si>
  <si>
    <t>AG250336-HK</t>
  </si>
  <si>
    <t>4500187090-30</t>
  </si>
  <si>
    <t>日期码格式：ZURU INC(BVI) 标准格式 日期：按实际生产日期
Packaging Info:
77673TQ1:MA 1L 收缩膜+MA 1L PDQ+MA 5L 收藏指南+MA 说明书+1张客供警语贴纸+1张客供电池警语贴纸+1张客供中文警告说明书）具体请参考HK 客供警语贴纸位
置
Remark: 此单出HK</t>
  </si>
  <si>
    <t>A97510</t>
  </si>
  <si>
    <t>4500187090-50</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</si>
  <si>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 此单出HK</t>
  </si>
  <si>
    <t>PO# 35565</t>
  </si>
  <si>
    <t>4500182145-10</t>
  </si>
  <si>
    <t>ZB03818-8.17</t>
  </si>
  <si>
    <t>Amazon FR:
894NWJKW</t>
  </si>
  <si>
    <t>4500182290-10</t>
  </si>
  <si>
    <t>1张贴纸（Spielzeugpreis Alles fürs Kinderherz，仅出DE需要,参考翻单PO#4500166480++SSCC LABEL一张</t>
  </si>
  <si>
    <t>日期码格式：ZURU INC(BVI) 标准格式 日期：按实际生产日期
Packaging Info: Amazon FR(77785)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Kinderherz，仅出DE需要,参考翻单PO#4500166480)+77711: MA 3L(3L warning EAN)A收
缩膜+MA 5L(23L warning)B收藏指南+MA 23L警告语说明书+MA 5L A说明书 +客版彩盒+WEEE电子产品说明书30L(带电池走货B版)；
2. 验货时间不迟于2026/1/12.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</si>
  <si>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4500182822-10</t>
  </si>
  <si>
    <t>价格贴纸（价贴金额 $24.99&lt;(&gt;,&lt;)&gt;价贴位于产品包装上UPC条形码附近），价贴资料翻单4500174833，工厂采
 购。</t>
  </si>
  <si>
    <t>日期码格式：ZURU INC(BVI) 标准格式 日期：按实际生产日期
Packaging Info: 1. 包材：出口美国; 贴纸工厂直接采购；
#77673: ZURU MA 1L UPC 版本+ MA 5L 收藏指南 +价格贴纸（价贴金额 $24.99&lt;(&gt;,&lt;)&gt;价贴位于产品包装上UPC条形码附近），价贴资料翻单4500174833，工厂采
购。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 2052407 ship to NJ&lt;(&gt;,&lt;)&gt;
PO# 2052408 ship to NV&lt;(&gt;,&lt;)&gt;
5. 出货配比：ZURU 标准配比</t>
  </si>
  <si>
    <t>ZB03965-8.17</t>
  </si>
  <si>
    <t>4500182822-20</t>
  </si>
  <si>
    <t>ZB03966-8.17</t>
  </si>
  <si>
    <t xml:space="preserve"> TJX CANADA</t>
  </si>
  <si>
    <t xml:space="preserve"> 45152387 45152401</t>
  </si>
  <si>
    <t>4500183001-190</t>
  </si>
  <si>
    <t>77785-S001-77673-NA</t>
  </si>
  <si>
    <t>1pcs迷你冰箱+2pcs迷你球混装-NA</t>
  </si>
  <si>
    <t>日期码格式：ZURU INC(BVI) 标准格式 日期：按实际生产日期
Packaging Info: 
 77785 客版英法彩盒包装，UPC 193052104984，球-MA 2L 收缩膜，冰箱-MA3L 收缩膜， 多语多明书
Remark: 出加拿大
 有客供价格贴
 每行对应不同的客户PO，唛头要一一对应， 放唛头时跟单会提供清单
 Zuru验货.日期跟踪码：产品外包装及产品本身都必须有日期跟踪码，ZURU标准格式
 日期码</t>
  </si>
  <si>
    <t>77785-S001-NA-3L</t>
  </si>
  <si>
    <t>4500183001-250</t>
  </si>
  <si>
    <t>TJX CANADA</t>
  </si>
  <si>
    <t xml:space="preserve"> 40059009 40059370</t>
  </si>
  <si>
    <t>4500183043-330</t>
  </si>
  <si>
    <t>日期码格式：ZURU INC(BVI) 标准格式 日期：按实际生产日期
Packaging Info:
 77785 客版英法彩盒包装，UPC 193052104984，球-MA 2L 收缩膜，冰箱-MA3L 收缩膜， 多语多明书
Remark: 出加拿大
 有客供价格贴
 每行对应不同的客户PO，唛头要一一对应， 放唛头时跟单会提供清单
 Zuru验货.日期跟踪码：产品外包装及产品本身都必须有日期跟踪码，ZURU标准格式
 日期码</t>
  </si>
  <si>
    <t xml:space="preserve"> 40059747 40059835</t>
  </si>
  <si>
    <t>4500183051-70</t>
  </si>
  <si>
    <t>4500183051-160</t>
  </si>
  <si>
    <t>4500183051-210</t>
  </si>
  <si>
    <t>ZU02-26</t>
  </si>
  <si>
    <t>4500183616-180</t>
  </si>
  <si>
    <t>进口商贴纸+箱唛+UPC贴纸</t>
  </si>
  <si>
    <t xml:space="preserve">日期码格式：ZURU INC(BVI) 标准格式 日期：按实际生产日期
Packaging Info: 
其余item：MA 多语EAN包装+进口商贴纸+UPC贴纸+箱唛
Remark: </t>
  </si>
  <si>
    <t>AG250322-TW</t>
  </si>
  <si>
    <t>4500185972-10</t>
  </si>
  <si>
    <t>1张警语贴纸</t>
  </si>
  <si>
    <t>日期码格式：ZURU INC(BVI) 标准格式 日期：按实际生产日期
Packaging Info: 此单出TW
77673TQ1：MA 1L 收缩膜+MA 1L PDQ+MA 5L 收藏指南+MA 说明书+1张警语贴纸
Remark:</t>
  </si>
  <si>
    <t>A97506-1.12</t>
  </si>
  <si>
    <t>4500187023-10</t>
  </si>
  <si>
    <t>1*多语折叠警告语贴纸（含环保标） +</t>
  </si>
  <si>
    <t>日期码格式：ZURU INC(BVI) 标准格式 日期：按实际生产日期
Packaging Info: 77673TQ1：最新MA PDQ+Kinderherz 2025 logo（翻单#4500166480）+最新版 MA 3L EAN 收缩膜 + 1*多语折叠警告语贴纸（含环保标） +MA5L收藏指南+ MA 23L
说明书+ MA UV胶黑白警告语+MA纸袋 + 1*B版 WEEE通用带电池走货说明书（全部翻单4500178223）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</si>
  <si>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A97507</t>
  </si>
  <si>
    <t>4500187430-10</t>
  </si>
  <si>
    <t>日期码格式：ZURU INC(BVI) 标准格式 日期：按实际生产日期
Packaging Info: "77673TQ1: 最新MA 3L EAN配套包装+WEEE声明(带电池)走货欧洲通用30L-B版说明书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</si>
  <si>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A97504-1.12</t>
  </si>
  <si>
    <t>4500187445-10</t>
  </si>
  <si>
    <r>
      <rPr>
        <sz val="11"/>
        <rFont val="宋体"/>
        <charset val="134"/>
      </rPr>
      <t xml:space="preserve">日期码格式：ZURU INC(BVI) 标准格式 日期：按实际生产日期
Packaging Info: </t>
    </r>
    <r>
      <rPr>
        <sz val="11"/>
        <color rgb="FFFF0000"/>
        <rFont val="宋体"/>
        <charset val="134"/>
      </rPr>
      <t>77673TQ1: 最新MA 3L EAN配套包装+WEEE声明(带电池)走货欧洲通用30L-B版说明书
EAN: 4894680042773</t>
    </r>
    <r>
      <rPr>
        <sz val="11"/>
        <rFont val="宋体"/>
        <charset val="134"/>
      </rPr>
      <t xml:space="preserve">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r>
  </si>
  <si>
    <t>A97505-1.12</t>
  </si>
  <si>
    <t>ROSS PROCUREMENT.INC</t>
  </si>
  <si>
    <t>4500186676-10</t>
  </si>
  <si>
    <t>77785-S002-77673-NA</t>
  </si>
  <si>
    <t>1pcs迷你冰箱+2pcs迷你球混装8pcs/箱</t>
  </si>
  <si>
    <t>客供价格贴纸</t>
  </si>
  <si>
    <r>
      <rPr>
        <sz val="11"/>
        <rFont val="宋体"/>
        <charset val="134"/>
      </rPr>
      <t>日期码格式：ZURU INC(BVI) 标准格式 日期：按实际生产日期
Packaging Info: 1. Cus Item
#77785：MA UPC +</t>
    </r>
    <r>
      <rPr>
        <sz val="11"/>
        <color rgb="FFFF0000"/>
        <rFont val="宋体"/>
        <charset val="134"/>
      </rPr>
      <t xml:space="preserve"> 客版3L 彩盒 + 客供贴纸, 优先使用MA 1L最新版本</t>
    </r>
    <r>
      <rPr>
        <sz val="11"/>
        <rFont val="宋体"/>
        <charset val="134"/>
      </rPr>
      <t xml:space="preserve">
Remark: 1. Cus Item
#77785：MA UPC + </t>
    </r>
    <r>
      <rPr>
        <sz val="11"/>
        <color rgb="FFFF0000"/>
        <rFont val="宋体"/>
        <charset val="134"/>
      </rPr>
      <t>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</si>
  <si>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ZB04061-8.17</t>
  </si>
  <si>
    <t>77785-S002-NA-1L</t>
  </si>
  <si>
    <t>4500186676-20</t>
  </si>
  <si>
    <t>0952702344</t>
  </si>
  <si>
    <t>4500187244-10</t>
  </si>
  <si>
    <t>1/14第三方</t>
  </si>
  <si>
    <t>ZB04083-8.17</t>
  </si>
  <si>
    <t>0952702353</t>
  </si>
  <si>
    <t>4500187244-20</t>
  </si>
  <si>
    <t>ZB04039-8.17</t>
  </si>
  <si>
    <t>0952702445</t>
  </si>
  <si>
    <t>4500187244-30</t>
  </si>
  <si>
    <t>ZB03982-8.17</t>
  </si>
  <si>
    <t>0952702527</t>
  </si>
  <si>
    <t>4500187244-40</t>
  </si>
  <si>
    <t>1/26第三方</t>
  </si>
  <si>
    <t>ZB03982/ZB04006/ZB04039/ZB04083/ZB04353/ZB04382</t>
  </si>
  <si>
    <t>0952702550</t>
  </si>
  <si>
    <t>4500187244-50</t>
  </si>
  <si>
    <t>ZB04006-8.17</t>
  </si>
  <si>
    <t>TOYZOONA LIMITED</t>
  </si>
  <si>
    <t>肯尼亚</t>
  </si>
  <si>
    <t>4500187931-20</t>
  </si>
  <si>
    <t>日期码格式：ZURU INC(BVI) 标准格式 日期：按实际生产日期
Packaging Info: MA PKG ， 优先1L
Remark:</t>
  </si>
  <si>
    <t>A97558-1.17</t>
  </si>
  <si>
    <t>THE NORTH WEST COMPANY LP</t>
  </si>
  <si>
    <t>4500182548-100</t>
  </si>
  <si>
    <t>日期码格式： 标准格式 日期：按实际生产日期
Packaging Info: 
77673TQ1 MA 3L B EAN版本+UPC贴纸193052079404，MA 5L A 收藏指南， MA 23L说明书， MA 3L A PDQ
Remark: 出加拿大
Zuru验货.日期跟踪码：产品外包装及产品本身都必须有日期跟踪码，ZURU标准格式日期码</t>
  </si>
  <si>
    <t>10001620488-0
581</t>
  </si>
  <si>
    <t>4500187335-10</t>
  </si>
  <si>
    <t>日期码格式：ZURU INC(BVI) 标准格式 日期：按实际生产日期
Packaging Info: 产品包装 客版收缩膜(C版)+客版收藏指南+MA说明书+ MA 1L PDQ；客版收缩膜(C版）翻单4500183607；客版收藏指南翻单4500174008
Remark: 1. 77673TQ1-S001-CC-MINI BRANDS-FILL THE FRIDGE PLAYSET-SERIES 1-SHRINK WRAP,4PCS/PDQ,4PCS/PDQ/CTN
2. 产品包装 客版收缩膜(C版)+客版收藏指南+MA说明书+ MA 1L PDQ；客版收缩膜上的UPC显示193052079404；客版收缩膜(C版）翻单4500183607；客版收藏指南
翻单4500174008；
3. 外箱正唛左上角位置粘贴条码箱贴纸，每箱只贴一张，由ZURU订购。来料贴纸上显示的客户DPCI# 086-02-3468， UPC显示10193052079401;
4. 产品和包装上均要印刷tracking code信息，格式为ZURU常规格式;
5. 出货方式：货代自提</t>
  </si>
  <si>
    <t>ZB03884-8.17</t>
  </si>
  <si>
    <t>PO#60X483306</t>
  </si>
  <si>
    <t>4500184978-10</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</si>
  <si>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#77673：签样同旧单 4500181122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</si>
  <si>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ZB04484-8.17</t>
  </si>
  <si>
    <t>4500182177-10</t>
  </si>
  <si>
    <t>多语警语折叠贴纸翻(4500162314）</t>
  </si>
  <si>
    <t>日期码格式：ZURU INC(BVI) 标准格式 日期：按实际生产日期
Packaging Info: 77673TQ1:最新MA 3L EAN收缩膜+最新MA 5L收藏指南+最新MA 23L说明书+最新MA纸袋+最新MA 3L PDQ+多语警语折叠贴纸（含包装缺失的法/意/西环保标）+ 多语版W
EEE电池垃圾桶的回收声明说明书（ included）（贴纸和WEEE翻4500162314）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</si>
  <si>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A97553-1.17</t>
  </si>
  <si>
    <t>4500178919-140</t>
  </si>
  <si>
    <t>4500178919-150</t>
  </si>
  <si>
    <t>97055/97394</t>
  </si>
  <si>
    <t>4500178919-160</t>
  </si>
  <si>
    <t xml:space="preserve"> SMYK S.A.</t>
  </si>
  <si>
    <t>56360/2025/1</t>
  </si>
  <si>
    <t>4500183488-10</t>
  </si>
  <si>
    <t>进口商贴纸+EAN条码贴纸覆盖原条码</t>
  </si>
  <si>
    <r>
      <rPr>
        <sz val="11"/>
        <rFont val="宋体"/>
        <charset val="134"/>
      </rPr>
      <t>日期码格式：ZURU INC(BVI) 标准格式 日期：按实际生产日期
Packaging Info: 77673：B版 3L MA EAN 收缩膜+进口商贴纸</t>
    </r>
    <r>
      <rPr>
        <sz val="11"/>
        <color rgb="FFFF0000"/>
        <rFont val="宋体"/>
        <charset val="134"/>
      </rPr>
      <t>+EAN条码贴纸覆盖原条码</t>
    </r>
    <r>
      <rPr>
        <sz val="11"/>
        <rFont val="宋体"/>
        <charset val="134"/>
      </rPr>
      <t>；A 版 5L MA 收藏指南/B 版 23L MA警告语说明书
Remark: 1、若产品有比例使用ZURU STD 比例
2、所有item 均用MA EAN条码，若包装上的EAN 条码与PO 不一致的请告知
3、此单出欧洲需满足EU测试标准要求
4、此单LC 货期不可延</t>
    </r>
  </si>
  <si>
    <t xml:space="preserve"> Snowy Wu</t>
  </si>
  <si>
    <t>A97552-1.17</t>
  </si>
  <si>
    <t>4500178919-190</t>
  </si>
  <si>
    <t>4500184304-10</t>
  </si>
  <si>
    <t>日期码格式：ZURU INC(BVI) 标准格式 日期：按实际生产日期
Packaging Info: 77673TQ1：B 版 1L MA 收缩膜+进口商贴纸；B 版23 L 电池+UV胶警告语说明书/B 版30L 带电池走货通用说明书/A 版 3L MA PDQ
Remark: 1、若产品有比例使用ZURU STD 比例
2、所有item 均用MA UPC 条码，若包装不是UPC 条码的请告知
3、此单出欧洲需满足EU测试标准要求</t>
  </si>
  <si>
    <t>4500178919-200</t>
  </si>
  <si>
    <t>日期码格式：ZURU INC(BVI) 标准格式 日期：按实际生产日期
Packaging Info: A.77785 ：2部分子件构成 首单：需要申请6套大货样
物料要求：UPC:193052089786 UPC部分：所有子件UPC要求统一或者覆盖
MA+77785 中文3C贴纸+77785 中文收藏指南 +芯片码
子件 B : 77711- 2个 ： MA+77711 中文DIY 说明书+77711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</si>
  <si>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4500186234-50</t>
  </si>
  <si>
    <t>UPC条码贴纸+ 进口商贴纸</t>
  </si>
  <si>
    <r>
      <rPr>
        <sz val="11"/>
        <rFont val="宋体"/>
        <charset val="134"/>
      </rPr>
      <t xml:space="preserve">日期码格式：ZURU INC(BVI) 标准格式 日期：按实际生产日期
Packaging Info: 
5. 77673：3L EAN收缩膜+ UPC条码贴纸+ 进口商贴纸+箱唛
Remark: 
5. 77673：3PCS AG13 BATTERIES(INCLUDED)
</t>
    </r>
    <r>
      <rPr>
        <sz val="11"/>
        <color rgb="FFFF0000"/>
        <rFont val="宋体"/>
        <charset val="134"/>
      </rPr>
      <t>10. 客户有监装要求，每款需要备1pc监装样板</t>
    </r>
  </si>
  <si>
    <t>IMPORTADORA CHICOCOS</t>
  </si>
  <si>
    <t>玻利维亚</t>
  </si>
  <si>
    <t>4500185120-100</t>
  </si>
  <si>
    <t>日期码格式：ZURU INC(BVI) 标准格式 日期：按实际生产日期
Packaging Info: 
其余item：MA 多语包装+ UPC贴纸+箱唛，无客户贴纸
Remark:</t>
  </si>
  <si>
    <t>10001627879-0
581</t>
  </si>
  <si>
    <t>4500188344-10</t>
  </si>
  <si>
    <t>ZB03889-8.17</t>
  </si>
  <si>
    <t>4500186008-40</t>
  </si>
  <si>
    <t>此单需要准备每款两套大货样，请注意备料；</t>
  </si>
  <si>
    <t>日期码格式：ZURU INC(BVI) 标准格式 日期：按实际生产日期
Packaging Info: 
4.77673：最新MA 3L包装+MA 5L收藏指南+MA 23L说明书+WEEE带电池走货欧洲30语通用黑白说明书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</si>
  <si>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4500186008-50</t>
  </si>
  <si>
    <t>日期码格式：ZURU INC(BVI) 标准格式 日期：按实际生产日期
Packaging Info: 
5.77785：最新客版彩盒+EAN贴纸；(条码贴纸翻单4500166563）；
子件77673：最新MA3LEAN收缩膜+最新MA5L收藏指南+最新MA23L说明书+最新MA纸袋+MA 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</si>
  <si>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DD'S DISCOUNTS</t>
  </si>
  <si>
    <t>4500186566-30</t>
  </si>
  <si>
    <r>
      <rPr>
        <sz val="11"/>
        <rFont val="宋体"/>
        <charset val="134"/>
      </rPr>
      <t xml:space="preserve">日期码格式：ZURU INC(BVI) 标准格式 日期：按实际生产日期
Packaging Info: 1. STD Items: ZURU MA UPC 现有包装+客供价格贴纸，优先使用MA 1L最新版本（可接受多语）,出口美国
Remark: 1. Cus Item
#77785：MA UPC + </t>
    </r>
    <r>
      <rPr>
        <sz val="11"/>
        <color rgb="FFFF0000"/>
        <rFont val="宋体"/>
        <charset val="134"/>
      </rPr>
      <t>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</si>
  <si>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Blanche Huang</t>
  </si>
  <si>
    <t>ZB04062-8.17</t>
  </si>
  <si>
    <t>10001581644-0
581</t>
  </si>
  <si>
    <t>4500187337-10</t>
  </si>
  <si>
    <t>ZB04008-8.17</t>
  </si>
  <si>
    <t>AMSLER SPIELWAREN AG</t>
  </si>
  <si>
    <t>4500187921-50</t>
  </si>
  <si>
    <t>DE IT警语贴纸</t>
  </si>
  <si>
    <t>日期码格式：ZURU INC(BVI) 标准格式 日期：按实际生产日期
Packaging Info:
77673：MA B版 3L EAN收缩膜+DE IT警语贴纸，MA 5L收藏指南，MA配件袋，B版带电池走货EU通用30L WEEE说明书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</si>
  <si>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A97583-1.20</t>
  </si>
  <si>
    <t>001711216695</t>
  </si>
  <si>
    <t>4500185933-10</t>
  </si>
  <si>
    <t>日期码格式：ZURU INC(BVI) 标准格式 日期：按实际生产日期
Packaging Info: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</si>
  <si>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ZB03964-8.17</t>
  </si>
  <si>
    <t>BURLINGTON STORES, INC.</t>
  </si>
  <si>
    <t>4500186887-10</t>
  </si>
  <si>
    <t>加价格贴+外箱贴纸</t>
  </si>
  <si>
    <r>
      <rPr>
        <sz val="11"/>
        <rFont val="宋体"/>
        <charset val="134"/>
      </rPr>
      <t xml:space="preserve">日期码格式：ZURU INC(BVI) 标准格式 日期：按实际生产日期
Packaging Info: 1. </t>
    </r>
    <r>
      <rPr>
        <sz val="11"/>
        <color rgb="FFFF0000"/>
        <rFont val="宋体"/>
        <charset val="134"/>
      </rPr>
      <t xml:space="preserve">ZURU </t>
    </r>
    <r>
      <rPr>
        <sz val="11"/>
        <rFont val="宋体"/>
        <charset val="134"/>
      </rPr>
      <t>MA （首选1L）UPC版本+加价格贴+外箱贴纸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
会显示在贴纸上，在贴纸资料文档上命名上）去区分 ，也就是同个item line 但是SHIPMENT ID 不一样不可以混在一起，贴纸和大货需要区分开，最后装柜会在不
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r>
  </si>
  <si>
    <t>ZB04141-8.17</t>
  </si>
  <si>
    <t>4500186887-20</t>
  </si>
  <si>
    <t>ZB04142-8.17</t>
  </si>
  <si>
    <t>4500188246-10</t>
  </si>
  <si>
    <t>4500188245-10</t>
  </si>
  <si>
    <t>4500188597-10</t>
  </si>
  <si>
    <t>ZB04331-8.17</t>
  </si>
  <si>
    <t>4500189894-10</t>
  </si>
  <si>
    <t>4500187320转单</t>
  </si>
  <si>
    <t>*多语折叠警告语贴纸（翻单4500174753）</t>
  </si>
  <si>
    <t>日期码格式：ZURU INC(BVI) 标准格式 日期：按实际生产日期
Packaging Info: 77673TQ1：最新版 MA 3L EAN 收缩膜 + 1*多语折叠警告语贴纸（翻单4500174753） +MA5L收藏指南+ MA 23L说明书+ MA UV胶黑白警告语+MA纸袋 + 1*B版 WEEE通
用带电池走货说明书（翻单4500174753）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</si>
  <si>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4500187355-10</t>
  </si>
  <si>
    <t>(英法德callout/英法德意荷警语/法国环保logo-翻PO#4500173265)</t>
  </si>
  <si>
    <r>
      <rPr>
        <sz val="11"/>
        <rFont val="宋体"/>
        <charset val="134"/>
      </rPr>
      <t>日期码格式：ZURU INC(BVI) 标准格式 日期：按实际生产日期
Packaging Info: "77673TQ1: 最新MA PDQ(优先3L )+客版收缩膜B版(英法德callout/英法德意荷警语/法国环保logo-翻PO#4500173265)+23L说明书+客版收藏指南(英法德意荷)（翻#
4500155594）+WEEE声明(带电池)走货欧洲通用30L-B版说明书+Kinderherz 2025 Logo贴纸(</t>
    </r>
    <r>
      <rPr>
        <sz val="11"/>
        <color rgb="FFFF0000"/>
        <rFont val="宋体"/>
        <charset val="134"/>
      </rPr>
      <t>1张贴于收缩膜，1张贴于PDQ；</t>
    </r>
    <r>
      <rPr>
        <sz val="11"/>
        <rFont val="宋体"/>
        <charset val="134"/>
      </rPr>
      <t>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r>
  </si>
  <si>
    <t>4500187458-10</t>
  </si>
  <si>
    <t>日期码格式：ZURU INC(BVI) 标准格式 日期：按实际生产日期
Packaging Info: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</si>
  <si>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4500187433-10</t>
  </si>
  <si>
    <t>4500181289-20</t>
  </si>
  <si>
    <t>日期码格式：ZURU INC(BVI) 标准格式 日期：按实际生产日期
Packaging Info:
77673:MA 多语包装+UPC贴纸+箱唛，无客户贴纸
Remark: 订单需提交自检报告，客户审核通过才可以出货。
外箱上的箱唛资料会显示日期06-FEB-2026,产品/包装/外箱可以按ZURU 标准日期码打，也可以跟回外箱日期码，工厂自行选择,两者均可接受</t>
  </si>
  <si>
    <t>5AR2H9VU</t>
  </si>
  <si>
    <t>4500186500-10</t>
  </si>
  <si>
    <t>SSCC LABEL一张+1张贴纸（Spielzeugpreis Alles fürs Kinderherz，仅出DE需要&lt;(&gt;,&lt;)&gt;参考翻单PO#4500166480)</t>
  </si>
  <si>
    <t>日期码格式：ZURU INC(BVI) 标准格式 日期：按实际生产日期
Packaging Info: Amazon DE(77785)
1.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+客版彩盒（新FR&lt;(&gt;&amp;&lt;)&gt;DK地址）+WEEE电子产品说明书30L(带电池走货B版)；
2. 最迟验货不得晚于2026/1/23;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</si>
  <si>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Mia Xing</t>
  </si>
  <si>
    <t xml:space="preserve">爱尔兰 </t>
  </si>
  <si>
    <t>4500187442-10</t>
  </si>
  <si>
    <t>KAUFHAUS MARTIN STOLZ GMBH</t>
  </si>
  <si>
    <t>26-128</t>
  </si>
  <si>
    <t>4500189254-50</t>
  </si>
  <si>
    <t>DE IT警语贴纸，所有出往德国订单的电子产品需增加一张客版WEEE声明说明书，区分带电池和不带电池版本, 如已做客版说明书可忽略此要求</t>
  </si>
  <si>
    <t>大货样品一套</t>
  </si>
  <si>
    <t>日期码格式：ZURU INC(BVI) 标准格式 日期：按实际生产日期
Packaging Info:
此单有客供价格贴纸，预计1/2前提供
77673TQ1：MA B版 3L EAN收缩膜+DE IT警语贴纸（翻4500187921），MA 5L收藏指南，MA配件袋，B版带电池走货EU通用30L WEEE说明书，MA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</si>
  <si>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F126348-1</t>
  </si>
  <si>
    <t>4500186456-20</t>
  </si>
  <si>
    <t>日期码格式：ZURU INC(BVI) 标准格式 日期：按实际生产日期
Packaging Info: 1. 包材：ZURU MA UPC最新包装；出口美国
Remark: 2. 日期跟踪码：产品外包装及产品本身都必须有日期跟踪码；ZURU标准格式日期码(请自行调整具体年月日生产期，但不能为周末）。
3. 出货配比：ZURU MA 配比</t>
  </si>
  <si>
    <t>ZB04084-8.17</t>
  </si>
  <si>
    <t>0952702566</t>
  </si>
  <si>
    <t>4500187246-10</t>
  </si>
  <si>
    <t>1/20第三方</t>
  </si>
  <si>
    <t>ZB04143-8.17</t>
  </si>
  <si>
    <t>0952702614</t>
  </si>
  <si>
    <t>4500187246-20</t>
  </si>
  <si>
    <t>ZB04354-8.17</t>
  </si>
  <si>
    <t>COL-15-26-SPR</t>
  </si>
  <si>
    <t>4500187640-130</t>
  </si>
  <si>
    <t>进口商贴纸+UPC贴纸</t>
  </si>
  <si>
    <t>日期码格式：DG20260120 日期：按实际生产日期
Packaging Info: 其余item：MA 多语包装+进口商贴纸+UPC贴纸+箱唛
Remark: 外箱/产品/包装-指定日期码：DG20260120</t>
  </si>
  <si>
    <t>BOL.COM</t>
  </si>
  <si>
    <t>BOL.COM:
P2516799D</t>
  </si>
  <si>
    <t>4500186268-10</t>
  </si>
  <si>
    <t>1张贴纸(1张可折叠警
语贴含NL警告语，参考翻单PO#4500157858</t>
  </si>
  <si>
    <t>日期码格式：ZURU INC(BVI) 标准格式 日期：按实际生产日期
Packaging Info: BOL.COM(77673)
1. 77673: 12pcs/ctn; 3PCS AG13 BATTERIES(INCLUDED); MA 3L(3L warning EAN#)B收缩膜+MA 5L(23L warning)B 说明书+MA 5L A收藏指南+1张贴纸(1张可折叠警
语贴含NL警告语，参考翻单PO#4500157858)+WEEE_带电池走货说明书欧洲EN+30L-B版;
2. 验货时间不迟于2026/1/23.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</si>
  <si>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4500186392-30</t>
  </si>
  <si>
    <r>
      <rPr>
        <sz val="11"/>
        <rFont val="宋体"/>
        <charset val="134"/>
      </rPr>
      <t>日期码格式：ZURU INC(BVI) 标准格式 日期：按实际生产日期
Packaging Info: 1. STD Items: ZURU MA UPC 现有包装+客供价格贴纸，优先使用MA 1L最新版本（可接受多语）,出口美国
Remark: 1. Cus Item
#77785：MA UPC +</t>
    </r>
    <r>
      <rPr>
        <sz val="11"/>
        <color rgb="FFFF0000"/>
        <rFont val="宋体"/>
        <charset val="134"/>
      </rPr>
      <t xml:space="preserve"> 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</si>
  <si>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ZB04216-8.17</t>
  </si>
  <si>
    <t>777 1FEB26</t>
  </si>
  <si>
    <t>4500185077-20</t>
  </si>
  <si>
    <t>日期码格式：ZURU INC(BVI) 标准格式 日期：按实际生产日期
Packaging Info: MA 1L UPC最新包装+ MA PDQ（如果有的话)+其他MA 包装，MA 指南/说明书（如果有的话），请先核对条码无误后安排，配比按MA
77673TQ1：193052079404+WEEE 30L带电池出货说明书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
白说明书</t>
  </si>
  <si>
    <t>ZOE ZHOU</t>
  </si>
  <si>
    <t>10001581646-0
581</t>
  </si>
  <si>
    <t>4500187340-10</t>
  </si>
  <si>
    <t>ZB04304/ZB04352</t>
  </si>
  <si>
    <t>ZU25111901SG</t>
  </si>
  <si>
    <t>4500187990-60</t>
  </si>
  <si>
    <t>1张固定的进口商贴纸</t>
  </si>
  <si>
    <t>日期码格式：ZURU INC(BVI) 标准格式 日期：按实际生产日期
Packaging Info: MA UPC包装(优先1L)+1张固定的进口商贴纸,贴纸图稿及位置图翻单如下
77673-4500163177
如此单使用新风格的包材(粉色+黄色)请帮忙提前告知
Remark: 
77673-Filxed Collection</t>
  </si>
  <si>
    <t>199-9469796</t>
  </si>
  <si>
    <t>4500188369-10</t>
  </si>
  <si>
    <t>日期码格式：ZURU INC(BVI) 标准格式 日期：按实际生产日期
Packaging Info: 1. 77758SLT: 客版彩盒(英法西瑞典冰岛语言-此单放新稿)+客版球的收缩膜(英法西瑞典冰岛语言)+客版冰箱收缩膜(英法西瑞典冰岛语言)+客版冰箱收藏指南(英法
西瑞典冰岛语言)+客版球的收藏指南(英法西瑞典冰岛语言)+客版Manual for three kinds of mini creates(英法西瑞典冰岛语言) +客版球的黑白说明书(英法西瑞
典冰岛语言)+客版内纸袋(英法西瑞典冰岛语言) +客版UV glue bottle sticker(英法西瑞典冰岛语言) +客版冰箱电池警告语和说明书(英法西瑞典冰岛语言-此单
放新稿) + 客版PDQ（翻Costco US PO#4500156301）
除了放新稿的两个 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</si>
  <si>
    <t>6XNHKJOX</t>
  </si>
  <si>
    <t>4500186739-120</t>
  </si>
  <si>
    <r>
      <rPr>
        <sz val="11"/>
        <rFont val="宋体"/>
        <charset val="134"/>
      </rPr>
      <t>日期码格式：ZURU INC(BVI) 标准格式 日期：按实际生产日期
Packaging Info: Amazon UK(9565ABDE/15752B/15754B/15755ABDE/77731/77785/77809)/DE(9565ABDE/77673/15728ABG)/ES(77785/92119D/15710A/15728ABG)/</t>
    </r>
    <r>
      <rPr>
        <sz val="11"/>
        <color rgb="FFFF0000"/>
        <rFont val="宋体"/>
        <charset val="134"/>
      </rPr>
      <t>-PO:4ILCYXLX/4GW1TX1I/21CQRD5P/3DJTQAQP
ES(77785/92119D/15710A/15728ABE)/-PO:2ND8X5VU/1A7PV2ZC
IT(71152/15710B/15728AG/15763E)-PO:2H7MF2MP/2NZ4JX5R</t>
    </r>
    <r>
      <rPr>
        <sz val="11"/>
        <rFont val="宋体"/>
        <charset val="134"/>
      </rPr>
      <t xml:space="preserve">
4.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+客版彩盒（新FR&lt;(&gt;&amp;&lt;)&gt;DK地址，参考翻单PO#4500186500）+WEEE电子产品说明
书30L(带电池走货B版)；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</si>
  <si>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2ND8X5VU</t>
  </si>
  <si>
    <t>4500186739-220</t>
  </si>
  <si>
    <t>3DJTQAQP</t>
  </si>
  <si>
    <t>4500186739-360</t>
  </si>
  <si>
    <t>SSCC LABEL一张+2张贴纸(1张UPC#，参考翻单PO#4500158582；1张可折叠警语
贴含德意警告语+IT环保标，参考翻单PO#4500157858)+1张贴纸（Spielzeugpreis Alles fürs Kinderherz，仅出DE需要,
 参考翻单PO#4500166480</t>
  </si>
  <si>
    <t>4500188118-10</t>
  </si>
  <si>
    <t>1张小的警语贴纸贴+1张防盗贴纸+箱唛 + 外箱SSCC Label (贴纸以及位置图翻单PO#4500160026）</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</si>
  <si>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PO#4500187429一起合并计算</t>
  </si>
  <si>
    <t>4500187429-20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</si>
  <si>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</si>
  <si>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0952702441</t>
  </si>
  <si>
    <t>4500188488-10</t>
  </si>
  <si>
    <t>1/28第三方</t>
  </si>
  <si>
    <t>ZB04383-8.17</t>
  </si>
  <si>
    <t>0952702460</t>
  </si>
  <si>
    <t>4500188488-20</t>
  </si>
  <si>
    <t>ZB04215-8.17</t>
  </si>
  <si>
    <t>0952702476</t>
  </si>
  <si>
    <t>4500188488-30</t>
  </si>
  <si>
    <t>1/30 自检</t>
  </si>
  <si>
    <t>ZB04330-8.17</t>
  </si>
  <si>
    <t>0952702487</t>
  </si>
  <si>
    <t>4500188488-40</t>
  </si>
  <si>
    <t>ZB04306-8.17</t>
  </si>
  <si>
    <t>0952702501</t>
  </si>
  <si>
    <t>4500188488-50</t>
  </si>
  <si>
    <t>ZB04430-8.17</t>
  </si>
  <si>
    <t>0952702530</t>
  </si>
  <si>
    <t>4500188488-60</t>
  </si>
  <si>
    <t>ZB04305-8.17</t>
  </si>
  <si>
    <t>0952702547</t>
  </si>
  <si>
    <t>4500188488-70</t>
  </si>
  <si>
    <t>ZB04329-8.17</t>
  </si>
  <si>
    <t>4500188598-10</t>
  </si>
  <si>
    <t>ZB04237-8.17</t>
  </si>
  <si>
    <t>4500188599-10</t>
  </si>
  <si>
    <t>ZB04384-8.17</t>
  </si>
  <si>
    <t>4500188600-10</t>
  </si>
  <si>
    <t>日期码格式：ZURUDG20251210 日期：
Packaging Info: 1. 指定tracking code: ZURUDG20251210; 产品、彩盒、外箱的日期码需要按照我们提供的Tracking code做。
2.
#77673TQ2: MA 3L EAN_B版彩膜+UPC贴纸; 客版PDQ翻单PO#4500186184; UPC#193052079404;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</si>
  <si>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ZB04385-8.17</t>
  </si>
  <si>
    <t>立陶宛</t>
  </si>
  <si>
    <t>4500189595-10</t>
  </si>
  <si>
    <t>日期码格式：ZURU INC(BVI) 标准格式 日期：按实际生产日期
Packaging Info: 77673TQ1: B 版 1L MA 收缩膜+进口商贴纸；A 版 5L MA 收藏指南/B 版 23L MA 说明书/A 版 MA PDQ/B 版 30L 带电池走货通用说明书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</si>
  <si>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4500187657-150</t>
  </si>
  <si>
    <t>日期码格式：ZURU INC(BVI) 标准格式 日期：按实际生产日期
Packaging Info: 其余item:MA 多语包装+进口商贴纸+箱唛
77782GQ1:客版 收缩膜+客版收藏指南+客版PDQ+进口商贴纸+箱唛，客版物料翻单PO4500161
Remark:</t>
  </si>
  <si>
    <t>4500188145-30</t>
  </si>
  <si>
    <t>UPC条码贴纸+ 进口商贴纸+说明书贴纸</t>
  </si>
  <si>
    <r>
      <rPr>
        <sz val="11"/>
        <rFont val="宋体"/>
        <charset val="134"/>
      </rPr>
      <t xml:space="preserve">日期码格式：ZURU INC(BVI) 标准格式 日期：按实际生产日期
Packaging Info: 
3. 77673：3L EAN收缩膜+ UPC条码贴纸+ 进口商贴纸+箱唛
Remark: 77673：3PCS AG13 BATTERIES(INCLUDED)
</t>
    </r>
    <r>
      <rPr>
        <sz val="11"/>
        <color rgb="FFFF0000"/>
        <rFont val="宋体"/>
        <charset val="134"/>
      </rPr>
      <t>客户有监装要求，每款需要多备1pc监柜样板用于监装，监柜样板要和大货一致</t>
    </r>
  </si>
  <si>
    <t>MCD BRANDS SAS</t>
  </si>
  <si>
    <t>4500188881-90</t>
  </si>
  <si>
    <t>进口商贴纸+条码贴纸</t>
  </si>
  <si>
    <t>日期码格式：ZURU INC(BVI) 标准格式 日期：按实际生产日期
Packaging Info: 
其余item：MA 多语包装+进口商贴纸+条码贴纸+箱唛
Remark: 进口商贴纸请多备料5pcs,出货后需要寄给客户</t>
  </si>
  <si>
    <t>4500189691-40</t>
  </si>
  <si>
    <t>日期码格式：ZURU INC(BVI) 标准格式 日期：按实际生产日期
Packaging Info: 请确保包装上的条形码是UPC，如果是babyUPC，需要用mother UPC覆盖，如有不一致，请及时提出。谢谢!
77673,,MA 多语EAN包装+UPC贴纸+MA 多语收藏指南+箱唛,,
Remark: 
Common: Equal ratio,,</t>
  </si>
  <si>
    <t>4500188309-10</t>
  </si>
  <si>
    <t>日期码格式：ZURU INC(BVI) 标准格式 日期：按实际生产日期
Packaging Info: 请确保包装上的条形码是UPC，如果是babyUPC，需要用mother UPC覆盖，如有不一致，请及时提出。谢谢!
77673 MA 多语EAN包装+UPC贴纸+MA 多语收藏指南+箱唛
Remark: 77673 Filxed Collection; 3PCS AG13 BATTERIES(INCLUDED)</t>
  </si>
  <si>
    <t>4500188307-10</t>
  </si>
  <si>
    <r>
      <rPr>
        <sz val="11"/>
        <rFont val="宋体"/>
        <charset val="134"/>
      </rPr>
      <t xml:space="preserve">日期码格式：ZURU INC(BVI) 标准格式 日期：按实际生产日期
Packaging Info: 1.请确保包装上的条形码是UPC，如果是babyUPC，需要用mother UPC覆盖，如有不一致，请及时提出。谢谢!
</t>
    </r>
    <r>
      <rPr>
        <sz val="11"/>
        <color rgb="FFFF0000"/>
        <rFont val="宋体"/>
        <charset val="134"/>
      </rPr>
      <t>2. 包材请按照ZURU MA 生产 +语言必须含有西语+箱唛
3. 如果是EAN条码请用UPC 贴纸覆盖</t>
    </r>
    <r>
      <rPr>
        <sz val="11"/>
        <rFont val="宋体"/>
        <charset val="134"/>
      </rPr>
      <t xml:space="preserve">
Remark: 77673 Filxed Collection; 3PCS AG13 BATTERIES(INCLUDED)
</t>
    </r>
    <r>
      <rPr>
        <sz val="11"/>
        <color rgb="FFFF0000"/>
        <rFont val="宋体"/>
        <charset val="134"/>
      </rPr>
      <t>Common: Equal ratio</t>
    </r>
  </si>
  <si>
    <t>4500188248-10</t>
  </si>
  <si>
    <t>4500187980-20</t>
  </si>
  <si>
    <t>一张进口商内容贴纸</t>
  </si>
  <si>
    <t>日期码格式：ZURU INC(BVI) 标准格式 日期：按实际生产日期
Packaging Info:
2.77673:最新MA 3L EAN版本包装+一张进口商内容贴纸+MA 23L说明书+最新WEEE带电池走货欧洲30语通用黑白说明书；
Remark: 1.此单出西班牙市场，需满足EU测试标准要求，微塑料需符合EU法规。
2.包装必须要含西班牙环保标和 care@zuru.com 邮箱地址以及CE LOGO；
3.毛绒玩具需要西班牙语言的洗涤说明；
4.电子产品需要WEEE说明书；</t>
  </si>
  <si>
    <t>PC25224</t>
  </si>
  <si>
    <t>4500188053-10</t>
  </si>
  <si>
    <t>2/2 出货</t>
  </si>
  <si>
    <t>日期码格式：ZURU INC(BVI) 标准格式 日期：按实际生产日期
Packaging Info: 77673： MA 最新 3L 收缩膜含EAN条码+MA 最新5L收藏指南，MA 最新23L说明书+WEEE带电池走货欧洲30语通用黑白说明书;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在1/30前到深圳办公室 ，需备料</t>
  </si>
  <si>
    <t>4500188846-120</t>
  </si>
  <si>
    <t>1/27 出货</t>
  </si>
  <si>
    <t>日期码格式：ZURU INC(BVI) 标准格式 日期：按实际生产日期
Packaging Info: MA UPC包装(优先1L)+进口商贴纸,Fuggler的items需mother UPC barcode 信息,会跟进口商贴纸做在一起
贴纸图稿及位置图翻单如下,其他items待提供
77673-4500180194
Remark:
77673-Filxed Collection</t>
  </si>
  <si>
    <t>4500188288-10</t>
  </si>
  <si>
    <t>日期码格式：ZURU INC(BVI) 标准格式 日期：按实际生产日期
Packaging Info: 77673：MA 多语EAN包装+UPC贴纸+MA 多语收藏指南+箱唛
Remark:</t>
  </si>
  <si>
    <t>4500188302-40</t>
  </si>
  <si>
    <t>日期码格式：ZURU INC(BVI) 标准格式 日期：按实际生产日期
Packaging Info: 请确保包装上的条形码是UPC，如果是babyUPC，需要用mother UPC覆盖，如有不一致，请及时提出。谢谢! 77673 MA 多语EAN包装+UPC贴纸+MA 多语收藏指南+箱唛
Remark: 77673 Filxed Collection; 3PCS AG13 BATTERIES(INCLUDED)</t>
  </si>
  <si>
    <t>4500188991-10</t>
  </si>
  <si>
    <t>Kinderherz 2025 Logo贴纸(翻单#4500166480)</t>
  </si>
  <si>
    <t>日期码格式：ZURU INC(BVI) 标准格式 日期：按实际生产日期
Packaging Info: "77673TQ1: 最新MA PDQ(优先3L )+客版收缩膜C版[含英法德callout/英法德意荷警语/法国环保logo-本单放新稿(移除
”Conforms to EN71“描述和更新法国丹麦地址信息)]+MA-23L说明书+客版收藏指南(英法德意荷)（翻#4500155594）+WEEE声明(带电池)走货欧洲通用30L-B版说明
书+Kinderherz 2025 Logo贴纸(翻单#4500166480)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</si>
  <si>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AG250362-HK</t>
  </si>
  <si>
    <t>4500189099-10</t>
  </si>
  <si>
    <t>日期码格式：ZURU INC(BVI) 标准格式 日期：按实际生产日期
Packaging Info: 77673TQ1:MA 1L 收缩膜+MA 1L PDQ+MA 5L 收藏指南+MA 说明书+1张客供警语贴纸+1张客供电池警语贴纸+1张客供中文警告说明书）具体请参考HK 客供警语贴纸位
置
Remark: 此单出HK , EXW+送货运费实报实销。
客户自提，请按船务出货通知及时送货</t>
  </si>
  <si>
    <t>6006-011414</t>
  </si>
  <si>
    <t>4500189943-20</t>
  </si>
  <si>
    <t>外箱需加水贴纸更正信息</t>
  </si>
  <si>
    <t>1张进口商贴纸（贴背面，不得遮挡日期码）</t>
  </si>
  <si>
    <r>
      <rPr>
        <sz val="11"/>
        <rFont val="宋体"/>
        <charset val="134"/>
      </rPr>
      <t xml:space="preserve">日期码格式：ZURU INC(BVI) 标准格式 日期：按实际生产日期
Packaging Info: 
77673TQ1：MA PDQ，MA PKG , 1L 收缩膜+1张进口商贴纸（贴背面处，不得遮挡日期码）
贴纸不得遮挡日期码
Remark: </t>
    </r>
    <r>
      <rPr>
        <sz val="11"/>
        <color rgb="FFFF0000"/>
        <rFont val="宋体"/>
        <charset val="134"/>
      </rPr>
      <t>此单77711GQ1 和77673TQ1 可直接挪用canceled PO# 4500185103 : 77711GQ1(780PCS) ,77673TQ1 (400PCS) , 但外箱需加水贴纸更正信息，剩余77711GQ1 (780PCS
)和77673TQ1 (560PCS) 数量可正常走生产流程完货。</t>
    </r>
  </si>
  <si>
    <t>005841216380</t>
  </si>
  <si>
    <t>4500185934-10</t>
  </si>
  <si>
    <t>ZB04311-8.17</t>
  </si>
  <si>
    <t>GABRIEL BROTHERS, INC.</t>
  </si>
  <si>
    <t>4500183158-30</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</si>
  <si>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</si>
  <si>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ZB04396-8.17</t>
  </si>
  <si>
    <t>4500183158-50</t>
  </si>
  <si>
    <t>ZB04387-8.17</t>
  </si>
  <si>
    <t>4500189267-10</t>
  </si>
  <si>
    <t>一张进口商内容贴纸（贴纸翻单4500187980）+最新WEEE带电池走货欧洲30语通用黑白说明书；（贴纸翻单4500187980）</t>
  </si>
  <si>
    <t>日期码格式：ZURU INC(BVI) 标准格式 日期：按实际生产日期
Packaging Info: 77673：最新MA 3L EAN版本包装+一张进口商内容贴纸+MA 23L说明书+最新WEEE带电池走货欧洲30语通用黑白说明书；（贴纸翻单4500187980）；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</si>
  <si>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PO0001591</t>
  </si>
  <si>
    <t>4500189941-80</t>
  </si>
  <si>
    <t>日期码格式：ZURU INC(BVI) 标准格式 日期：按实际生产日期
Packaging Info: 出加拿大
每款产品都需要加进口商贴纸
Zuru验货.日期跟踪码：产品外包装及产品本身都必须有日期跟踪码，ZURU标准格式日期码
Remark: 
77673： MA 3L 加UPC贴纸</t>
  </si>
  <si>
    <t>4500188692-10</t>
  </si>
  <si>
    <t>MEC305-S001-NA-77673</t>
  </si>
  <si>
    <t>日期码格式：ZURU INC(BVI) 标准格式 日期：按实际生产日期
Packaging Info: 1. 包装：ZURU MA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</si>
  <si>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ZB04310-8.17</t>
  </si>
  <si>
    <t>MEC305-S001-NA</t>
  </si>
  <si>
    <t>HOBBY LOBBY STORES, INC.</t>
  </si>
  <si>
    <t>W0747887</t>
  </si>
  <si>
    <t>4500186641-30</t>
  </si>
  <si>
    <t>贴价格贴纸+条码贴纸各贴1张(即1面1张共2张)</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</si>
  <si>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 新单， 要求出货前寄三款各一箱大货样到深圳办公室以便寄客留样,所有要求跟大货一致。</t>
  </si>
  <si>
    <t>ZB04350-8.17</t>
  </si>
  <si>
    <t>4500188053-20</t>
  </si>
  <si>
    <r>
      <rPr>
        <sz val="11"/>
        <rFont val="宋体"/>
        <charset val="134"/>
      </rPr>
      <t xml:space="preserve">日期码格式：ZURU INC(BVI) 标准格式 日期：按实际生产日期
Packaging Info: 
77785： </t>
    </r>
    <r>
      <rPr>
        <sz val="11"/>
        <color rgb="FFFF0000"/>
        <rFont val="宋体"/>
        <charset val="134"/>
      </rPr>
      <t>最新客版彩盒翻单4500186500</t>
    </r>
    <r>
      <rPr>
        <sz val="11"/>
        <rFont val="宋体"/>
        <charset val="134"/>
      </rPr>
      <t>+1张EAN条码贴纸+（77673 &lt;(&gt;&amp;&lt;)&gt; 77711：最新【MA 3L EAN INT版本包装+空白贴纸覆盖球上面的条码（77711）+MA 23L 警告语
说明书+MA 5L 收藏指南+WEEE带电池走货欧洲30语通用黑白说明书 ）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在1/30前到深圳办公室 ，需备料</t>
    </r>
  </si>
  <si>
    <t>4500189099-30</t>
  </si>
  <si>
    <t xml:space="preserve">1张客供警语贴纸+1张客供电池警语贴纸 </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</si>
  <si>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 此单出HK , EXW+送货运费实报实销。
客户自提，请按船务出货通知及时送货</t>
  </si>
  <si>
    <t>4500188053-30</t>
  </si>
  <si>
    <t>10001637700-0581</t>
  </si>
  <si>
    <t>4500189432-10</t>
  </si>
  <si>
    <t>条码箱贴纸</t>
  </si>
  <si>
    <t>ZB04381-8.17</t>
  </si>
  <si>
    <t>10001641338-0581</t>
  </si>
  <si>
    <t>4500187341-10</t>
  </si>
  <si>
    <t>ZB04303-8.17</t>
  </si>
  <si>
    <t>4500188895-70</t>
  </si>
  <si>
    <t>3C中文贴纸+防窜码贴纸</t>
  </si>
  <si>
    <t>日期码格式：ZURU INC(BVI) 标准格式 日期：按实际生产日期
Packaging Info: 物料要求 SKU
5 77673 MA +中文说明书+3C中文贴纸 +收藏指南 翻单： 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</si>
  <si>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4500188895-60</t>
  </si>
  <si>
    <t>中文3C贴纸+芯片码</t>
  </si>
  <si>
    <t>日期码格式：ZURU INC(BVI) 标准格式 日期：按实际生产日期
Packaging Info: 物料要求 SKU
6.77785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</si>
  <si>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4500188895-90</t>
  </si>
  <si>
    <t>日期码格式：ZURU INC(BVI) 标准格式 日期：按实际生产日期
Packaging Info: 物料要求 SKU
5 77673 MA +中文说明书+3C中文贴纸 +收藏指南 翻单： 4500178919
6.77785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</si>
  <si>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4500188895-100</t>
  </si>
  <si>
    <t>4500188895-110</t>
  </si>
  <si>
    <t>4500190045-230</t>
  </si>
  <si>
    <t>日期码格式：ZURU INC(BVI) 标准格式 日期：按实际生产日期
Packaging Info:
23. 77673：3L EAN收缩膜+ UPC条码贴纸+ 进口商贴纸+保证书+箱唛
所有带电产品的保证书是通用的
Remark:
18. 77673：3PCS AG13 BATTERIES(INCLUDED)</t>
  </si>
  <si>
    <t>COSTCO WHOLESALE SPAIN, S.L.U.</t>
  </si>
  <si>
    <t>4500188370-10</t>
  </si>
  <si>
    <r>
      <rPr>
        <sz val="11"/>
        <color theme="1"/>
        <rFont val="宋体"/>
        <charset val="134"/>
      </rPr>
      <t>日期码格式：ZURU INC(BVI) 标准格式 日期：按实际生产日期
Packaging Info: 1. 77758SLT: 客版彩盒(英法西瑞典冰岛语言-</t>
    </r>
    <r>
      <rPr>
        <sz val="11"/>
        <color rgb="FFFF0000"/>
        <rFont val="宋体"/>
        <charset val="134"/>
      </rPr>
      <t>翻订单4500188369</t>
    </r>
    <r>
      <rPr>
        <sz val="11"/>
        <color theme="1"/>
        <rFont val="宋体"/>
        <charset val="134"/>
      </rPr>
      <t>)+客版球的收缩膜(英法西瑞典冰岛语言)+客版冰箱收缩膜(英法西瑞典冰岛语言)+客版冰箱收藏指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t>
    </r>
    <r>
      <rPr>
        <sz val="11"/>
        <color rgb="FFFF0000"/>
        <rFont val="宋体"/>
        <charset val="134"/>
      </rPr>
      <t>翻订单4500188369</t>
    </r>
    <r>
      <rPr>
        <sz val="11"/>
        <color theme="1"/>
        <rFont val="宋体"/>
        <charset val="134"/>
      </rPr>
      <t>)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r>
  </si>
  <si>
    <t>没boom</t>
  </si>
  <si>
    <t>4500189088-50</t>
  </si>
  <si>
    <t>WEEE带电池走货欧洲30语通用黑白说明书 ;</t>
  </si>
  <si>
    <t>日期码格式：ZURU INC(BVI) 标准格式 日期：按实际生产日期
Packaging Info: 
77673：最新MA 3L包装+MA 5L收藏指南+MA 23L说明书+WEEE带电池走货欧洲30语通用黑白说明书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</si>
  <si>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10001627721-0
581</t>
  </si>
  <si>
    <t>4500188278-10</t>
  </si>
  <si>
    <t>ZB04351-8.17</t>
  </si>
  <si>
    <t>4500188835-20</t>
  </si>
  <si>
    <t>电池警告语贴纸</t>
  </si>
  <si>
    <t>日期码格式：ZURU INC(BVI) 标准格式 日期：按实际生产日期
Packaging Info: 􏁬 MA UPC 英语包装（优先1L英语版本，或者3L/5L含英语都可）
#77673:􏁬 产品有纽扣电池，包装正面和说明书都需要加电池警告语贴纸（法规要求），如包装正面位置不够，则在正面贴一张小的，再在其背面加上大的警语贴纸
，详细参考贴纸位置图。
Remark: #77693:3PCS AG13 BATTERIES(INCLUDED)</t>
  </si>
  <si>
    <t>4500189535-10</t>
  </si>
  <si>
    <t>1*多语折叠警告语贴纸（翻单4500178223）</t>
  </si>
  <si>
    <t>日期码格式：ZURU INC(BVI) 标准格式 日期：按实际生产日期
Packaging Info: 77673TQ1：最新MA PDQ+Kinderherz 2025 logo（翻单#4500166480）+最新版 MA 3L EAN 收缩膜 + 1*多语折叠警告语贴纸（翻单4500178223） +MA5L收藏指南+ M
A 23L说明书+ MA UV胶黑白警告语+MA纸袋 + 1*B版 WEEE通用带电池走货说明书（全部翻单4500178223）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</si>
  <si>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FB13925</t>
  </si>
  <si>
    <t>4500188247-10</t>
  </si>
  <si>
    <t>客户EAN 条码贴纸+EAN条码贴纸翻单4500177765+数量贴纸，翻单4500177198</t>
  </si>
  <si>
    <t>日期码格式：ZURU INC(BVI) 标准格式 日期：按实际生产日期
Packaging Info: 77673TQ1:77673TQ1:MA-1L 配套包装+客户EAN 条码贴纸，另外产品内包装再加多一张ZURU带电池版本30语WEEE说明书, EAN条码贴纸翻单4500177765，条码请 核对
5056296049488，PQD右后要加数量贴纸，翻单4500177198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</si>
  <si>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4500187941-10</t>
  </si>
  <si>
    <r>
      <rPr>
        <sz val="11"/>
        <rFont val="宋体"/>
        <charset val="134"/>
      </rPr>
      <t>日期码格式：ZURU INC(BVI) 标准格式 日期：按实际生产日期
Packaging Info: 1. Cus Item
#77785：MA UPC +</t>
    </r>
    <r>
      <rPr>
        <sz val="11"/>
        <color rgb="FFFF0000"/>
        <rFont val="宋体"/>
        <charset val="134"/>
      </rPr>
      <t xml:space="preserve"> 客版3L 彩盒 + 客供贴纸, 优先使用MA 1L最新版本</t>
    </r>
    <r>
      <rPr>
        <sz val="11"/>
        <rFont val="宋体"/>
        <charset val="134"/>
      </rPr>
      <t xml:space="preserve">
Remark: 1. Cus Item
#77785：MA UPC +</t>
    </r>
    <r>
      <rPr>
        <sz val="11"/>
        <color rgb="FFFF0000"/>
        <rFont val="宋体"/>
        <charset val="134"/>
      </rPr>
      <t xml:space="preserve"> 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请注意#77785一个彩盒中的两个球不允许重复，且一个彩盒不能拆出2个即以上的重复散件。</t>
    </r>
  </si>
  <si>
    <t>Blanche</t>
  </si>
  <si>
    <t>ZB04557-8.17</t>
  </si>
  <si>
    <t>0952702364</t>
  </si>
  <si>
    <t>4500189961-10</t>
  </si>
  <si>
    <t>2/24 第三方</t>
  </si>
  <si>
    <t>外箱印刷带条码的RFID箱唛：RFID紫色色带+WM Dept.图标+RFID图标+ITF-14条码，四面右下角印刷ZURU logo, ITFF条码只印刷在正唛一面，在加印的时候确保
 条形码能扫描出来，外箱侧面任一角落加印："MADE IN CHINA" 字样；</t>
  </si>
  <si>
    <t>贴1张RFID贴纸</t>
  </si>
  <si>
    <t>ZB04536-8.17</t>
  </si>
  <si>
    <t>0952702410</t>
  </si>
  <si>
    <t>4500189961-20</t>
  </si>
  <si>
    <t>ZB04602-8.17</t>
  </si>
  <si>
    <t>0952702454</t>
  </si>
  <si>
    <t>4500189961-30</t>
  </si>
  <si>
    <t>ZB04583-8.17</t>
  </si>
  <si>
    <t>0952702485</t>
  </si>
  <si>
    <t>4500189961-40</t>
  </si>
  <si>
    <t>ZB04603-8.17</t>
  </si>
  <si>
    <t>0952702539</t>
  </si>
  <si>
    <t>4500189961-50</t>
  </si>
  <si>
    <t>ZB04545-8.17</t>
  </si>
  <si>
    <t>0952702575</t>
  </si>
  <si>
    <t>4500189961-60</t>
  </si>
  <si>
    <t>3/2 第三方</t>
  </si>
  <si>
    <t>ZB04706-8.17</t>
  </si>
  <si>
    <t>0952702584</t>
  </si>
  <si>
    <t>4500189961-70</t>
  </si>
  <si>
    <t>ZB04729-8.17</t>
  </si>
  <si>
    <t>4500187827-20</t>
  </si>
  <si>
    <t>客人白色Cat.label</t>
  </si>
  <si>
    <t>日期码格式：ZURU INC(BVI) 标准格式 日期：按实际生产日期
Packaging Info:
77673:MA -1L UPC包装+客人白色Cat.label 1张覆盖ZURU条码+B版WEEE带电池走货说明书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77673扫描结果为7624348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</si>
  <si>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4500186623-30</t>
  </si>
  <si>
    <r>
      <rPr>
        <sz val="11"/>
        <rFont val="宋体"/>
        <charset val="134"/>
      </rPr>
      <t>日期码格式：ZURU INC(BVI) 标准格式 日期：按实际生产日期
Packaging Info: 1. Cus Item
#77785：MA UPC +</t>
    </r>
    <r>
      <rPr>
        <sz val="11"/>
        <color rgb="FFFF0000"/>
        <rFont val="宋体"/>
        <charset val="134"/>
      </rPr>
      <t xml:space="preserve"> 客版3L 彩盒 + 客供贴纸, 优先使用MA 1L最新版本</t>
    </r>
    <r>
      <rPr>
        <sz val="11"/>
        <rFont val="宋体"/>
        <charset val="134"/>
      </rPr>
      <t xml:space="preserve">
Remark: 1. Cus Item
#77785：MA UPC +</t>
    </r>
    <r>
      <rPr>
        <sz val="11"/>
        <color rgb="FFFF0000"/>
        <rFont val="宋体"/>
        <charset val="134"/>
      </rPr>
      <t xml:space="preserve"> 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</si>
  <si>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ZB04556-8.17</t>
  </si>
  <si>
    <t>Amazon UK:
5UDAXT8V</t>
  </si>
  <si>
    <t>4500187223-10</t>
  </si>
  <si>
    <t>日期码格式：ZURU INC(BVI) 标准格式 日期：按实际生产日期
Packaging Info: Amazon UK(77785)/DE(77785)
1.77785:1pk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+客版彩盒（新FR&lt;(&gt;&amp;&lt;)&gt;DK地址，参考翻单PO#4500186500）+WEEE电子产品说明书30L(带
电池走货B版)；
2.最晚出货不得迟于2026/2/27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</si>
  <si>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Amazon DE:
2KMU7RQH</t>
  </si>
  <si>
    <t>4500187223-20</t>
  </si>
  <si>
    <t>4500190102-60</t>
  </si>
  <si>
    <t>日期码格式：ZURU INC(BVI) 标准格式 日期：按实际生产日期
Packaging Info: 物料要求 SKU
5 77673 MA +中文说明书+3C中文贴纸 +收藏指南 翻单： 4500188895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</si>
  <si>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4500190102-70</t>
  </si>
  <si>
    <t>4500190678-60</t>
  </si>
  <si>
    <r>
      <rPr>
        <sz val="11"/>
        <rFont val="宋体"/>
        <charset val="134"/>
      </rPr>
      <t xml:space="preserve">日期码格式：ZURU INC(BVI) 标准格式 日期：按实际生产日期
Packaging Info:
6.77673：最新【MA 3L 收缩膜含EAN条码+一张进口商贴纸】+MA 最新5L收藏指南+MA 最新23L说明书+WEEE带电池走货欧洲30L通用黑白说明书;
</t>
    </r>
    <r>
      <rPr>
        <sz val="11"/>
        <color rgb="FFFF0000"/>
        <rFont val="宋体"/>
        <charset val="134"/>
      </rPr>
      <t>此单资料都翻4500184256</t>
    </r>
    <r>
      <rPr>
        <sz val="11"/>
        <rFont val="宋体"/>
        <charset val="134"/>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</si>
  <si>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009601216986</t>
  </si>
  <si>
    <t>4500185935-10</t>
  </si>
  <si>
    <t>ZB04521-8.17</t>
  </si>
  <si>
    <t>009601216987</t>
  </si>
  <si>
    <t>4500185936-10</t>
  </si>
  <si>
    <t>ZB04522-8.17</t>
  </si>
  <si>
    <t>SUBURBIA S DE R. L. DE C. V.</t>
  </si>
  <si>
    <t>4500186204-60</t>
  </si>
  <si>
    <t>1.外箱只需四面印Zurulogo，再加2张贴纸，1张mu贴纸(条码贴)，1张ASN贴纸(尺寸6.5cm*6.3cm
潘通色号2597C)，都贴于侧唛，只需贴1面(HU贴纸和ASN贴纸客供</t>
  </si>
  <si>
    <t>UPC贴纸+MA 多语收藏指南+进口商贴纸+价标贴纸</t>
  </si>
  <si>
    <t>日期码格式：ZURU INC(BVI) 标准格式 日期：按实际生产日期
Packaging Info: 
77673,,MA 3L EAN 包装+UPC贴纸+MA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</si>
  <si>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Zuru Poland Sp. Z o.o.</t>
  </si>
  <si>
    <t>4500191102-30</t>
  </si>
  <si>
    <t>1*多语折叠警告语贴纸（翻单4500174753） +MA5L收藏指南+ MA 23L说明书+ MA UV胶黑白警告语+MA纸袋 + 1*B
版 WEEE通用带电池走货说明书（翻单4500174753）.</t>
  </si>
  <si>
    <t>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</si>
  <si>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77673TQ1：最新MA PDQ+最新 MA 3L EAN 收缩膜 + 1*多语折叠警告语贴纸（翻单4500174753） +MA5L收藏指南+ MA 23L说明书+ MA UV胶黑白警告语+MA纸袋 + 1*B
版 WEEE通用带电池走货说明书（翻单4500174753）.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</si>
  <si>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FB13947</t>
  </si>
  <si>
    <t>4500188247-50</t>
  </si>
  <si>
    <t>FB13948</t>
  </si>
  <si>
    <t>4500188247-120</t>
  </si>
  <si>
    <t>FB13926</t>
  </si>
  <si>
    <t>4500188247-160</t>
  </si>
  <si>
    <t>VM INTERNATIONAL</t>
  </si>
  <si>
    <t>4500191213-50</t>
  </si>
  <si>
    <t>77673TQ1-S005</t>
  </si>
  <si>
    <t>迷你冰箱 12pcs/3TQ/箱</t>
  </si>
  <si>
    <t>日期码格式：ZURU INC(BVI) 标准格式 日期：按实际生产日期
Packaging Info: 1. ZURU 标准日期码格式，
2. 无第三方测试和验货，ZURU 内部QC验货即可出货
Remark: 3. 优先 MA 1L UPC包装;
4. 纸箱印ZURU LOGO，出口美国；</t>
  </si>
  <si>
    <t>ZB04714-8.17</t>
  </si>
  <si>
    <t>4500190510-20</t>
  </si>
  <si>
    <t>一张客户警语进口商内容贴纸（贴纸翻单4500178109）；</t>
  </si>
  <si>
    <t>日期码格式：ZURU INC(BVI) 标准格式 日期：按实际生产日期
Packaging Info: 
2.77673：最新MA 3L包装+一张客户警语进口商内容贴纸+MA 5L收藏指南+MA 23L说明书+WEEE带电池走货欧洲30语通用黑白说明书 ;（贴纸翻单4500178109）；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</si>
  <si>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4500189585-40</t>
  </si>
  <si>
    <t>日期码格式：ZURU INC(BVI) 标准格式 日期：按实际生产日期
Packaging Info:
77673: MA EAN 3L + 警语贴纸（翻单4500162375）+WEEE 带电池 30L B 说明书
Remark: 1. 产品配比：
77673: Filxed Collection
2. 产品和包装要求无硼无香，包装不能含有PVC
3. 如有微塑料，必须合规欧洲标准，并增加微塑料合规IFUD声明在说明书上
4. 带电池出货的产品，所用到的电池需要符合欧洲电池新规(EU)2023-1542，并增加对应WEEE 说明书</t>
  </si>
  <si>
    <t>ZU25121801SG</t>
  </si>
  <si>
    <t>4500190283-10</t>
  </si>
  <si>
    <t>1张固定进口商贴纸,2款的贴纸图稿及位置图翻
 4500163177</t>
  </si>
  <si>
    <r>
      <rPr>
        <sz val="11"/>
        <rFont val="宋体"/>
        <charset val="134"/>
      </rPr>
      <t xml:space="preserve">日期码格式：ZURU INC(BVI) 标准格式 日期：按实际生产日期
Packaging Info: 
</t>
    </r>
    <r>
      <rPr>
        <sz val="11"/>
        <color rgb="FFFF0000"/>
        <rFont val="宋体"/>
        <charset val="134"/>
      </rPr>
      <t>77673-MA UPC包装(优先1L)+1张固定进口商贴纸;</t>
    </r>
    <r>
      <rPr>
        <sz val="11"/>
        <rFont val="宋体"/>
        <charset val="134"/>
      </rPr>
      <t xml:space="preserve">
2款的贴纸图稿及位置图翻4500163177
因系统问题, 77711GQ1 的交期暂开到2/1,待更新为3/6
Remark: 77673-Filxed Collection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</si>
  <si>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10001581650-3
890</t>
  </si>
  <si>
    <t>4500189636-20</t>
  </si>
  <si>
    <t>日期码格式：ZURU INC(BVI) 标准格式 日期：按实际生产日期
Packaging Info: 
77673TQ1: 产品包装 客版收缩膜(C版)+客版收藏指南+MA说明书+ MA 1L PDQ；客版收缩膜(C版）翻单4500183607；客版收藏指南翻单4500174008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4. 产品和包装上均要印刷tracking code信息，格式为ZURU常规格式;
5. 出货方式：货代自提</t>
  </si>
  <si>
    <t>ZB04649-8.17</t>
  </si>
  <si>
    <t>PO 777 1MAR26</t>
  </si>
  <si>
    <t>4500187028-30</t>
  </si>
  <si>
    <t>日期码格式：ZURU INC(BVI) 标准格式 日期：按实际生产日期
Packaging Info: MA 1L UPC最新包装+ MA PDQ（如果有的话)+其他MA 包装，MA 指南/说明书（如果有的话），请先核对条码无误后安排，配比按MA
77673TQ1-S004：193052079404+WEEE带电池走货欧洲30语通用黑白说明书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</si>
  <si>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1627461 ALBERTA LTD C/O SHOPVILLE</t>
  </si>
  <si>
    <t>6733 Zuru Dec 5</t>
  </si>
  <si>
    <t>4500191116-50</t>
  </si>
  <si>
    <t>日期码格式：ZURU INC(BVI) 标准格式 日期：按实际生产日期
Packaging Info:
77673 MA 多语加UPC贴纸
Remark: 出加拿大
Zuru验货.日期跟踪码：产品外包装及产品本身都必须有日期跟踪码，ZURU标准格式日期码</t>
  </si>
  <si>
    <t>BIG IDEAS MARKETING</t>
  </si>
  <si>
    <t>mDDP122325</t>
  </si>
  <si>
    <t>4500190742-20</t>
  </si>
  <si>
    <t>日期码格式：ZURU INC(BVI) 标准格式 日期：按实际生产日期
Packaging Info: 1、包装方式：MA UPC优先1L最新版，出口美国
Remark: 2、无第三方测试与验货要求
3、纸箱4面印ZURU LOGO + 箱唛
4、日期码请按ZURU标准版执行即可
5、ZURU QC验货</t>
  </si>
  <si>
    <t>ZB04667-8.17</t>
  </si>
  <si>
    <t>77673TQ2-S001-1L</t>
  </si>
  <si>
    <t>MINISO DEPOT CA INC.</t>
  </si>
  <si>
    <t>4354219567</t>
  </si>
  <si>
    <t>4500191055-110</t>
  </si>
  <si>
    <t>PDQ上需要贴一张UPC 条码贴纸,</t>
  </si>
  <si>
    <t>日期码格式：ZURU INC(BVI) 标准格式 日期：按实际生产日期
Packaging Info: 1. 包装方式：MA UPC优先1L最新包装，出口美国；
2. 产品和包装上印刷tracking code信息，格式为ZURU常规；
3. ZURU QC 验货合格后即可出货.
Remark: 
10. 77673TQ1-S001 PDQ上需要贴一张UPC 条码贴纸,UPC显示：193052079404，贴纸AW跟单提供，工厂自行采购;</t>
  </si>
  <si>
    <t>Iris Yuan</t>
  </si>
  <si>
    <t>ZB04620-8.17</t>
  </si>
  <si>
    <t>4500191070-110</t>
  </si>
  <si>
    <t>日期码格式：ZURU INC(BVI) 标准格式 日期：按实际生产日期
Packaging Info: 1. 包装方式：MA UPC优先1L最新包装，出口美国；
2. 产品和包装上印刷tracking code信息，格式为ZURU常规；
3. ZURU QC 验货合格后即可出货.
Remark:
10. 77673TQ1-S001 PDQ上需要贴一张UPC 条码贴纸,UPC显示：193052079404，贴纸AW跟单提供，工厂自行采购;</t>
  </si>
  <si>
    <t>ZB04616-8.17</t>
  </si>
  <si>
    <t>10001641341-0
581</t>
  </si>
  <si>
    <t>4500190514-10</t>
  </si>
  <si>
    <t>ZB04713-8.17</t>
  </si>
  <si>
    <t>4500191234-230</t>
  </si>
  <si>
    <t>进口商贴纸和UPC条码贴纸翻单PO4500190045</t>
  </si>
  <si>
    <t>日期码格式：ZURU INC(BVI) 标准格式 日期：按实际生产日期
Packaging Info:
14. 77673：3L EAN收缩膜+ UPC条码贴纸+ 进口商贴纸+保证书+箱唛，进口商贴纸和UPC条码贴纸翻单PO4500190045
Remark:
77673：3PCS AG13 BATTERIES(INCLUDED)</t>
  </si>
  <si>
    <t>4500191663-30</t>
  </si>
  <si>
    <t>外箱/产品/包装-指定日期码：DG20260316</t>
  </si>
  <si>
    <t>日期码格式：DG20260316 日期：
Packaging Info:
其余item：MA 多语UPC包装+进口商贴纸+UPC贴纸+箱唛
Remark: 外箱/产品/包装-指定日期码：DG20260316</t>
  </si>
  <si>
    <t>4500191819-30</t>
  </si>
  <si>
    <t>贴纸资料翻单PO#4500159886</t>
  </si>
  <si>
    <t>日期码格式：ZURU INC(BVI) 标准格式 日期：按实际生产日期
Packaging Info: MA UPC 英语包装（优先1L英语版本，或者3L/5L含英语都可）
#77673-􏁬产品有纽扣电池，包装正面和说明书都需要加电池警告语贴纸（法规要求），如包装正面位置不够，则在正面贴一张小的，再在其背面加上大的警语贴纸
，详细参考贴纸位置图。贴纸资料翻单PO#4500159886
Remark:
#77673:3PCS AG13 BATTERIES(INCLUDED)
此客人不接受易掉落或者剥落或者可直接触碰的闪粉，可降解也不行，但可以接受符合欧洲微塑料标准的珠光粉或者闪片</t>
  </si>
  <si>
    <t>4500191819-40</t>
  </si>
  <si>
    <t>009601216988</t>
  </si>
  <si>
    <t>4500185938-10</t>
  </si>
  <si>
    <t>ZB04555-8.17</t>
  </si>
  <si>
    <t>009361218280</t>
  </si>
  <si>
    <t>4500185940-10</t>
  </si>
  <si>
    <t>ZB04621-8.17</t>
  </si>
  <si>
    <t>4500184338-20</t>
  </si>
  <si>
    <r>
      <rPr>
        <sz val="11"/>
        <rFont val="宋体"/>
        <charset val="134"/>
      </rPr>
      <t>日期码格式：ZURU INC(BVI) 标准格式 日期：按实际生产日期
Packaging Info: 1.
#77785：MA UPC +</t>
    </r>
    <r>
      <rPr>
        <sz val="11"/>
        <color rgb="FFFF0000"/>
        <rFont val="宋体"/>
        <charset val="134"/>
      </rPr>
      <t xml:space="preserve"> 客版3L 彩盒 + 客供贴纸, 优先使用MA 1L最新版本</t>
    </r>
    <r>
      <rPr>
        <sz val="11"/>
        <rFont val="宋体"/>
        <charset val="134"/>
      </rPr>
      <t xml:space="preserve">
Remark: 1.#77731, MA UPC 最新版本（优先1L）+客制包材（PVC 桶）+客供贴纸
#77785：MA UPC + </t>
    </r>
    <r>
      <rPr>
        <sz val="11"/>
        <color rgb="FFFF0000"/>
        <rFont val="宋体"/>
        <charset val="134"/>
      </rPr>
      <t>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8.请注意#77785一个彩盒中的两个球不允许重复，且一个彩盒不能拆出2个即以上的重复散件。</t>
    </r>
  </si>
  <si>
    <t>ZB04650-8.17</t>
  </si>
  <si>
    <t>4500190902-10</t>
  </si>
  <si>
    <t>日期码格式：ZURU INC(BVI) 标准格式 日期：按实际生产日期
Packaging Info: 1. 77758SLT: 客版彩盒(英法西瑞典冰岛语言-翻订单4500188369)+客版球的收缩膜(英法西瑞典冰岛语言)+客版冰箱收缩膜(英法西瑞典冰岛语言)+客版冰箱收藏指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言-翻订单4500188369)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UPC#193052086990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</si>
  <si>
    <t>001791216730</t>
  </si>
  <si>
    <t>4500185942-10</t>
  </si>
  <si>
    <t>ZB04754-8.17</t>
  </si>
  <si>
    <t>001791216731</t>
  </si>
  <si>
    <t>4500185943-10</t>
  </si>
  <si>
    <t>ZB04755-8.17</t>
  </si>
  <si>
    <t>4500191037-10</t>
  </si>
  <si>
    <t>价格贴纸（价贴金额 $24.99,价贴位于产品包装上UPC条形码附近），价贴资料翻单4500182822</t>
  </si>
  <si>
    <t>日期码格式：ZURU INC(BVI) 标准格式 日期：按实际生产日期
Packaging Info: 1. 包材：
#77673: ZURU MA 1L UPC 版本+ MA 5L 收藏指南 +价格贴纸（价贴金额 $24.99,价贴位于产品包装上UPC条形码附近），价贴资料翻单4500182822，工厂直接采购,
出口美国; 。
PS： 如果包材语言版本有更新，需及时通知跟单看否要更新贴纸资料；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PO#2105687 SHIP TO NJ,
PO#2105689 SHIP TO NV,
5. 出货配比：ZURU 标准配比</t>
  </si>
  <si>
    <t>ZB04666-8.17</t>
  </si>
  <si>
    <t>4500191037-20</t>
  </si>
  <si>
    <t>4500190626-30</t>
  </si>
  <si>
    <t>1张小的警语贴纸贴在收缩膜正面+2张大的纽扣电池
 警语贴纸贴在收缩膜背面和说明书上+ 1张防盗贴纸 + 外箱SSCC Label (贴纸以及位置图翻单PO#4500160026）</t>
  </si>
  <si>
    <r>
      <rPr>
        <sz val="11"/>
        <rFont val="宋体"/>
        <charset val="134"/>
      </rPr>
      <t xml:space="preserve">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此订单与NZ PO4500190629一起合并计算</t>
    </r>
  </si>
  <si>
    <t>Louise Lu</t>
  </si>
  <si>
    <t>2026-HKC066</t>
  </si>
  <si>
    <t>4500190606-10</t>
  </si>
  <si>
    <t>欠进口商贴纸+UPC贴纸</t>
  </si>
  <si>
    <t>日期码格式：ZURU INC(BVI) 标准格式 日期：按实际生产日期
Packaging Info: MA 多语包装+进口商贴纸+UPC贴纸+箱唛
Remark:</t>
  </si>
  <si>
    <t>4500187942-10</t>
  </si>
  <si>
    <t>ZB04961-8.17</t>
  </si>
  <si>
    <t>10001637705-0
581</t>
  </si>
  <si>
    <t>4500190515-10</t>
  </si>
  <si>
    <t>欠条码箱贴纸</t>
  </si>
  <si>
    <t>ZB04782/ZB04791</t>
  </si>
  <si>
    <t>3M5BD5OL</t>
  </si>
  <si>
    <t>4500191480-50</t>
  </si>
  <si>
    <t>日期码格式：ZURU INC(BVI) 标准格式 日期：按实际生产日期
Packaging Info:
#77673: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</si>
  <si>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ZB04834-8.17</t>
  </si>
  <si>
    <t>692RWFFT</t>
  </si>
  <si>
    <t>4500191499-10</t>
  </si>
  <si>
    <t>日期码格式：ZURU INC(BVI) 标准格式 日期：按实际生产日期
Packaging Info: #77673: MA UPC版包装(1L或3L都可)，出口美国。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</si>
  <si>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ZB04835-8.17</t>
  </si>
  <si>
    <t>CARLOS FEDERSPIEL &amp; CIA. - UNIVERSA</t>
  </si>
  <si>
    <t>4500191577-120</t>
  </si>
  <si>
    <t>AOD</t>
  </si>
  <si>
    <t>日期码格式：ZURU INC(BVI) 标准格式 日期：按实际生产日期
Packaging Info:
其余item：MA 多语 包装+进口商贴纸+UPC贴纸+箱唛
Remark:</t>
  </si>
  <si>
    <t>8ZI9QOAC</t>
  </si>
  <si>
    <t>4500191560-60</t>
  </si>
  <si>
    <t>ZB04839-8.17</t>
  </si>
  <si>
    <t>1SXGI83R</t>
  </si>
  <si>
    <t>4500191547-70</t>
  </si>
  <si>
    <t>ZB04838-8.17</t>
  </si>
  <si>
    <t>192BGVEL</t>
  </si>
  <si>
    <t>4500191511-60</t>
  </si>
  <si>
    <t>ZB04836-8.17</t>
  </si>
  <si>
    <t>8TXYXCPJ</t>
  </si>
  <si>
    <t>4500191531-50</t>
  </si>
  <si>
    <t>ZB04837-8.17</t>
  </si>
  <si>
    <t>ZMPO260078</t>
  </si>
  <si>
    <t>ZMPO260078-20</t>
  </si>
  <si>
    <t>Remark：大货最新版本包装/大货标准箱装箱/箱唛请参照邮件附件
备注：收到样品订单后尽快安排 ，注意样板品质质量要求要高于大货品质要求 ，送货时必须要附带送货单(没有送货单和QC检验合格报告的仓库一律拒绝收货)，请知悉，谢谢！</t>
  </si>
  <si>
    <t xml:space="preserve"> 
sally Li</t>
  </si>
  <si>
    <t>ZMPO260078-30</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</si>
  <si>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</si>
  <si>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sally Li</t>
  </si>
  <si>
    <t>4500192284-10</t>
  </si>
  <si>
    <t>消耗手工单4500191621</t>
  </si>
  <si>
    <t>ZB04841-8.17</t>
  </si>
  <si>
    <t>009601218346</t>
  </si>
  <si>
    <t>4500185945-10</t>
  </si>
  <si>
    <t>ZB04822-8.17</t>
  </si>
  <si>
    <t>002881218254</t>
  </si>
  <si>
    <t>4500185946-10</t>
  </si>
  <si>
    <t>ZB04823-8.17</t>
  </si>
  <si>
    <t>001741218415</t>
  </si>
  <si>
    <t>4500185948-10</t>
  </si>
  <si>
    <t>ZB04894-8.17</t>
  </si>
  <si>
    <t>6SPBAMKT</t>
  </si>
  <si>
    <t>4500193598-10</t>
  </si>
  <si>
    <t>日期码格式：ZURU INC(BVI) 标准格式 日期：按实际生产日期
Packaging Info: #77673: MA UPC版包装(1L或3L都可)，出口美国。原MTS PO#4500192106,4500192818 转FOB单，走空运。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</si>
  <si>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ZB04914-8.17</t>
  </si>
  <si>
    <t>4500191722-30</t>
  </si>
  <si>
    <t>日期码格式：ZURU INC(BVI) 标准格式 日期：按实际生产日期
Packaging Info: 注意此单出：EL SALVADOR 萨尔瓦多
1.优先多语 MA UPC或者3L/5L MA EAN 包装
2.请确保包装上的条形码是UPC，如果是babyUPC、需要用mother UPC覆盖，如有不一致，请及时提出。谢谢!
3.确定要贴进口商贴纸
77673:MA 多语 EAN 包装+UPC 贴纸+MA 多语收藏指南+箱唛
Remark:</t>
  </si>
  <si>
    <t>4500192740-30</t>
  </si>
  <si>
    <t>日期码格式：ZURU INC(BVI) 标准格式 日期：按实际生产日期
Packaging Info: 注意此单出：GUATEMALA 危地马拉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</si>
  <si>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4500192757-30</t>
  </si>
  <si>
    <t>日期码格式：ZURU INC(BVI) 标准格式 日期：按实际生产日期
Packaging Info: 注意此单出： NICARAGUA 尼加拉瓜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</si>
  <si>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4500192767-30</t>
  </si>
  <si>
    <t>日期码格式：ZURU INC(BVI) 标准格式 日期：按实际生产日期
Packaging Info: 注意此单出： COSTA RICA 哥斯达黎加
1.优先多语 MA UPC或者3L/5L MA EAN 包装
2.请确保包装上的条形码是UPC，如果是babyUPC、需要用mother UPC覆盖，如有不一致，请及时提出。谢谢!
77673 MA 多语 EAN 包装+UPC 贴纸+MA 多语收藏指南+箱唛+进口商贴纸
Remark: 
77673 3PCS AG13 BATTERIES(INCLUDED) Filxed Collection</t>
  </si>
  <si>
    <t>4500186326-40</t>
  </si>
  <si>
    <t>日期码格式：ZURU INC(BVI) 标准格式 日期：按实际生产日期
Packaging Info: 1. STD Items: ZURU MA UPC 现有包装+客供价格贴纸，优先使用MA 1L最新版本（可接受多语）,出口美国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</si>
  <si>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ZB04898-8.17</t>
  </si>
  <si>
    <t>4500190343-20</t>
  </si>
  <si>
    <t>日期码格式：ZURU INC(BVI) 标准格式 日期：按实际生产日期
Packaging Info: 1. 进口商贴纸贴的位置不可以挡住西语信息
2. 带电产品会有两个贴纸，分别贴到产品电池门+包装，外加客版说明书+一张保证书，若MA说明书上有跟进口商贴纸上的信息，一般不需要说明书贴纸,具
体以客人测试完成后提供为准.
3. 请确保包装上的条形码是UPC，如果是babyUPC、需要用mother UPC覆盖，如有不一致，请及时提出。谢谢
77673：3PCS AG13 BATTERIES(INCLUDED)，Filxed Collection
Remark:
77673：MA 多语 EAN 包装+UPC 贴纸+MA 多语收藏指南+包装进口商贴纸+电池门进口商贴纸+客版说明书+一张保证书+箱唛</t>
  </si>
  <si>
    <t>7I1NFURX</t>
  </si>
  <si>
    <t>4500191865-10</t>
  </si>
  <si>
    <t>欠SSCC贴纸</t>
  </si>
  <si>
    <t>日期码格式：ZURU INC(BVI) 标准格式 日期：按实际生产日期
Packaging Info: Amazon DE: 7I1NFURX
Amazon DE(77785)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</si>
  <si>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6PNQPMMD</t>
  </si>
  <si>
    <t>4500191865-40</t>
  </si>
  <si>
    <t>日期码格式：ZURU INC(BVI) 标准格式 日期：按实际生产日期
Packaging Info:
Amazon FR: 6PNQPMMD
AmazonFR(77785)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</si>
  <si>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123HAR4N</t>
  </si>
  <si>
    <t>4500191865-60</t>
  </si>
  <si>
    <t>日期码格式：ZURU INC(BVI) 标准格式 日期：按实际生产日期
Packaging Info:
Amazon IT: 123HAR4N
Amazon IT(77785)
2.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A收藏指南+1张贴纸（Spielzeugpreis Alles fürs Kinderherz，仅出DE需要,参考翻单PO#4500166480)+77711: MA 3L(3L warning EAN)A收缩
膜+MA 5L(23L warning)B收藏指南+MA 23L警告语说明书+MA 5L A说明书 +客版彩盒（含英法西警告语+UPC#+GPSR邮箱care@zuru.com+FR/ES/IT环保标+新FR/DK地址
）+WEEE电子产品说明书30L(带电池走货B版)；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</si>
  <si>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4500191865-20</t>
  </si>
  <si>
    <t>日期码格式：ZURU INC(BVI) 标准格式 日期：按实际生产日期
Packaging Info: Amazon DE: 7I1NFURX
Amazon DE(77673)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</si>
  <si>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46EOUVFO</t>
  </si>
  <si>
    <t>4500191865-30</t>
  </si>
  <si>
    <t>日期码格式：ZURU INC(BVI) 标准格式 日期：按实际生产日期
Packaging Info: Amazon 
Amazon ES: 46EOUVFO
Amazon ES(77673)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</si>
  <si>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4500191865-50</t>
  </si>
  <si>
    <t>日期码格式：ZURU INC(BVI) 标准格式 日期：按实际生产日期
Packaging Info:
Amazon FR: 6PNQPMMD
Amazon FR(77673)
1. 77673:12pcs/ctn; MA 3L(3L warning EAN#)B收缩膜+MA 23L warning B说明书+MA 5L A收藏指南+2张贴纸(1张UPC#，参考翻单PO#4500158582；1张可折叠警语贴
含德意警告语+IT环保标，参考翻单PO#4500157858)+WEEE电子产品说明书30L(带电池走货B版)+1张贴纸（Spielzeugpreis Alles fürs Kinderherz，仅出DE需要,
参考翻单PO#4500166480）;
3. 验货时间不迟于2026/3/26.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</si>
  <si>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5153</t>
  </si>
  <si>
    <t>4500192425-140</t>
  </si>
  <si>
    <t>日期码格式：ZURU INC(BVI) 标准格式 日期：按实际生产日期
Packaging Info: 1. 出口美国，MA UPC 版本包装，优先1L。
#77673: 3PCS AG13 BATTERIES(INCLUDED);
Remark: 2. ZURU QC 验货即可。</t>
  </si>
  <si>
    <t>ZB04996-8.17</t>
  </si>
  <si>
    <t>4500192252-90</t>
  </si>
  <si>
    <t>翻单：4500185221</t>
  </si>
  <si>
    <t>日期码格式：ZURU INC(BVI) 标准格式 日期：按实际生产日期
Packaging Info: 物料要求 SKU
6.77785 ：2部分子件构成 翻单：4500185221
物料要求：UPC:193052089786 UPC部分：所有子件UPC要求统一或者覆盖
MA+77785 中文3C贴纸+77785 中文收藏指南 +芯片码
子件 A : 77673- 1个：MA+77673 中文收藏指南+77673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</si>
  <si>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2-26-0002</t>
  </si>
  <si>
    <t>4500192550-20</t>
  </si>
  <si>
    <t>贴纸图稿跟位置图均翻单4500167360</t>
  </si>
  <si>
    <t>日期码格式：ZURU INC(BVI) 标准格式 日期：按实际生产日期
Packaging Info: MA 3L EAN INT包装+1张固定的进口商贴纸,可统一订购;77711需一张UPC条码贴纸;
2款的贴纸图稿跟位置图均翻单4500167360
Remark: 
77673TQ1-Filxed Collection</t>
  </si>
  <si>
    <t>AG250446-HK</t>
  </si>
  <si>
    <t>4500192388-10</t>
  </si>
  <si>
    <t>客供警语贴+1张客供电池警语贴纸+1张客供中文警告说明书）</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</si>
  <si>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Remark:</t>
  </si>
  <si>
    <t>10001643442-0
581</t>
  </si>
  <si>
    <t>4500190516-10</t>
  </si>
  <si>
    <t>ZB04872-8.17</t>
  </si>
  <si>
    <t>4500192220-30</t>
  </si>
  <si>
    <t>日期码格式：ZURU INC(BVI) 标准格式 日期：按实际生产日期
Packaging Info: 
77785：客版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</si>
  <si>
    <t>4500192221-30</t>
  </si>
  <si>
    <t>日期码格式：ZURU INC(BVI) 标准格式 日期：按实际生产日期
Packaging Info: 
77785：MA 客版 3L UPC 彩盒包装 + 箱唛 + 外箱贴纸SSCC Label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</si>
  <si>
    <t>4500191607-10</t>
  </si>
  <si>
    <t>8. 此客户需要第三方验货，请在约三方验货前必须PASS ZURU验货。</t>
  </si>
  <si>
    <t>一张EAN:4894680050945条码贴纸（贴彩盒）+两张空白贴纸（贴在球的条码上）+一张进口商贴纸+一张产品贴纸+一张WEEE说明书纸,都翻4500163211</t>
  </si>
  <si>
    <t>客版日期码LOT2613, 包装（含收缩膜等）/产品/外箱 请保持一致</t>
  </si>
  <si>
    <t>日期码格式：LOT2613 日期：
Packaging Info: 最新MA 3L EAN包装+最新MA 3L 彩盒+最新MA 23L说明书+最新MA 5L收藏指南+最新MA 5L包装+一张EAN:4894680050945条码贴纸（贴彩盒）+两张空白贴纸（贴在球的
条码上）+一张进口商贴纸+一张产品贴纸+一张WEEE说明书纸,都翻4500163211
Remark: 1. 翻单产品无需寄样。验货后还会抽办1套/item，请多备料；
2. 客版日期码LOT2613,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所有带电产品需复核跟单是否有提供客人指定内容的WEEE说明书（非通用30L版本）
8. 此客户需要第三方验货，请在约三方验货前必须PASS ZURU验货。</t>
  </si>
  <si>
    <t>SMYTHS TOYS EU HQ UNLIMITED COMPANY</t>
  </si>
  <si>
    <t>4500192944-120</t>
  </si>
  <si>
    <t>日期码格式：ZURU INC(BVI) 标准格式 日期：按实际生产日期
Packaging Info:
"77673TQ1: 最新MA 3L EAN配套包装+WEEE声明(带电池)走货欧洲通用30L-B版说明书
EAN: 4894680042773"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</si>
  <si>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4500192944-140</t>
  </si>
  <si>
    <t>02116349</t>
  </si>
  <si>
    <t>4500192140-30</t>
  </si>
  <si>
    <t>价贴资料翻单4500191037</t>
  </si>
  <si>
    <t>日期码格式：ZURU INC(BVI) 标准格式 日期：按实际生产日期
Packaging Info: 1. 包材：；
#77673: ZURU MA 1L UPC 版本+ MA 5L 收藏指南 +价格贴纸（价贴金额 $24.99&lt;(&gt;,&lt;)&gt;价贴位于产品包装上UPC条形码附近），价贴资料翻单4500191037，工厂直
接采购&lt;(&gt;,&lt;)&gt;出口美国; 。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PO#02116349 SHIP TO NJ,
PO#02116350 SHIP TO NV,
5. 出货配比：ZURU 标准配比</t>
  </si>
  <si>
    <t>ZB04993-8.17</t>
  </si>
  <si>
    <t>4500192140-70</t>
  </si>
  <si>
    <t>10001702798-0581</t>
  </si>
  <si>
    <t>4500192285-10</t>
  </si>
  <si>
    <t>ZB05029-8.17</t>
  </si>
  <si>
    <t>4500192711-40</t>
  </si>
  <si>
    <t>2/6 提供丹麦瑞典芬兰挪威警告语贴纸，丹麦/挪威/瑞典/芬兰语警告语贴在纸袋子上(贴纸和位置图翻PO#4500183825</t>
  </si>
  <si>
    <t>日期码格式：ZURU INC(BVI) 标准格式 日期：按实际生产日期
Packaging Info:
4.77673TQ1:MA 3L EAN B版收缩膜+丹麦瑞典芬兰挪威警告语贴纸+MA paper bag+丹麦/挪威/瑞典/芬兰语警告语贴在纸袋子上(贴纸和位置图翻PO#4500183825-共用
#77111袋子的贴纸文档)+MA 5L收藏指南+MA B23L（电池+UV胶警告语-23L）说明书+MA 3L PDQ+WEEE_带电池走货 _ 说明书欧洲EN+30L-B版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77673TQ1-S001:4894680042773</t>
  </si>
  <si>
    <t>4500192252-20</t>
  </si>
  <si>
    <t>翻单： 4500190102</t>
  </si>
  <si>
    <t>日期码格式：ZURU INC(BVI) 标准格式 日期：按实际生产日期
Packaging Info: 物料要求 SKU
2 77673 MA +中文说明书+3C中文贴纸 +收藏指南 翻单： 4500190102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
Order Modifiable Records</t>
  </si>
  <si>
    <t>TJX COMPANIES, INC</t>
  </si>
  <si>
    <t>4500193768-50</t>
  </si>
  <si>
    <t>价格贴纸客供+空白贴纸覆盖原条码</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</si>
  <si>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item#77673: Marshalls PO#272591,SKU#913116 DC#881-168PCS, DC#884-132PCS, DC#886-192PCS, DC#887-156PCS, DC#888-156PCS</t>
  </si>
  <si>
    <t>ZB05111/ZB05127-8.17</t>
  </si>
  <si>
    <t>4500193769-50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</si>
  <si>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item#77673: TJ MAXX PO#272595,SKU#192074 DC#891-204PCS, DC#894-168PCS, DC#896-144PCS, DC#897-276PCS, DC#898-204PCS</t>
  </si>
  <si>
    <t>ZB05067/ZB05110/ZB05126-8.17</t>
  </si>
  <si>
    <t>4500192252-30</t>
  </si>
  <si>
    <t>4500192252-100</t>
  </si>
  <si>
    <t>4500186385-10</t>
  </si>
  <si>
    <t>日期码格式：ZURU INC(BVI) 标准格式 日期：按实际生产日期
Packaging Info: 1. STD Items: ZURU MA UPC 现有包装+客供价格贴纸，优先使用MA 1L最新版本（可接受多语）,出口美国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</si>
  <si>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ZB05206-8.17</t>
  </si>
  <si>
    <t>4500192252-130</t>
  </si>
  <si>
    <t>4500192252-150</t>
  </si>
  <si>
    <t>KANDYTOYS LIMITED</t>
  </si>
  <si>
    <t>AS191225ZUR15274</t>
  </si>
  <si>
    <t>4500190991-100</t>
  </si>
  <si>
    <t>PDQ底部贴一张带条码35063389172306并可扫描的贴纸(ZURU 跟单提供模板），含电池的需要增加WEEE说明书。</t>
  </si>
  <si>
    <t>日期码格式：ZURU INC(BVI) 标准格式 日期：按实际生产日期
Packaging Info:
77673TQ1: MA UPC 1L+WEEE 30L B 带电池说明书+PDQ底部贴一张带条码35063389172306并可扫描的贴纸(ZURU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</si>
  <si>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10001661694-3891</t>
  </si>
  <si>
    <t>4500190738-10</t>
  </si>
  <si>
    <t>3/2确认</t>
  </si>
  <si>
    <t>3/25 条码箱贴纸已寄出</t>
  </si>
  <si>
    <t>日期码格式：ZURU INC(BVI) 标准格式 日期：按实际生产日期
Packaging Info: 77673TQ1：产品包装 客版收缩膜(C版)+客版收藏指南+MA说明书+ MA 1L PDQ；客版收缩膜上的UPC显示193052079404；客版收缩膜(C版）翻单4500183607；客版收
藏指南翻单4500174008；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以上Items：
1. 产品和包装上均要印刷tracking code信息，格式为ZURU常规格式；
2. 需要我司QC验货之后才能安排出货
3. 出货方式： 货代自提</t>
  </si>
  <si>
    <t>ZB05310-8.17</t>
  </si>
  <si>
    <t>0983834876</t>
  </si>
  <si>
    <t>4500194850-20</t>
  </si>
  <si>
    <t>转自检</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</si>
  <si>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5.#77673需安排4/9抽板测试，抽板数量：大货样各4PCS.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</si>
  <si>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4500191650-60</t>
  </si>
  <si>
    <t>3/5确认</t>
  </si>
  <si>
    <t>3/16客供价格贴已寄出</t>
  </si>
  <si>
    <t>日期码格式：ZURU INC(BVI) 标准格式 日期：按实际生产日期
Packaging Info: 1. ZURU MA （首选1L）UPC版本+客供价格贴+外箱贴纸（为方便进行装柜区分，请按照后续提供的外箱贴纸文档去粘贴外箱），出口美国
价格贴参考4500186619 和4500186887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</si>
  <si>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ZB05263-8.17</t>
  </si>
  <si>
    <t>4500191650-150</t>
  </si>
  <si>
    <t>DISTRUIBUCIONES UNIVERSALES, SA - D</t>
  </si>
  <si>
    <t>4500194168-180</t>
  </si>
  <si>
    <t>日期码格式：ZURU INC(BVI) 标准格式 日期：按实际生产日期
Packaging Info:
其余item：MA 多语包装+UPC贴纸+箱唛
Remark:</t>
  </si>
  <si>
    <t>013541218272</t>
  </si>
  <si>
    <t>4500185958-10</t>
  </si>
  <si>
    <t>ZB05065-8.17</t>
  </si>
  <si>
    <t>001751218316</t>
  </si>
  <si>
    <t>4500185959-10</t>
  </si>
  <si>
    <t>ZB05030-8.17</t>
  </si>
  <si>
    <t>CANDIDE IND E COM LTDA</t>
  </si>
  <si>
    <t>巴西</t>
  </si>
  <si>
    <t>BR26093</t>
  </si>
  <si>
    <t>4500193066-30</t>
  </si>
  <si>
    <t>3/6 确认</t>
  </si>
  <si>
    <t>3/13进口商贴纸+条码贴纸</t>
  </si>
  <si>
    <t>日期码格式：ZURU INC(BVI) 标准格式 日期：按实际生产日期
Packaging Info: 
77673:MA 1L包装+进口商贴纸+条码贴纸+箱唛
Remark: 封箱胶带要用客版CANDIDE版本</t>
  </si>
  <si>
    <t>W.BOYES &amp; CO LTD</t>
  </si>
  <si>
    <t>PO451185</t>
  </si>
  <si>
    <t>4500194042-10</t>
  </si>
  <si>
    <t>C版本WEEE带电池说明书</t>
  </si>
  <si>
    <t>日期码格式：ZURU INC(BVI) 标准格式 日期：按实际生产日期
Packaging Info: 77673TQ1: 1L MA UPC 包装; MA说明书+C版本WEEE带电池说明书; MA指南; MA PDQ
Remark: 1.产品及包装需要印UKCA图标，包装需要有ZURU UK LTD/ZURU France地址信息，QC同事请核查，如有问题与跟单确认。
2. 需要符合欧洲标准不能含有闪粉和微塑料，否则不和法规会有客诉产生
3.标准产品标准配比</t>
  </si>
  <si>
    <t>AG250469-TW</t>
  </si>
  <si>
    <t>4500193405-20</t>
  </si>
  <si>
    <t>3/12 1张警语贴纸</t>
  </si>
  <si>
    <t>日期码格式：ZURU INC(BVI) 标准格式 日期：按实际生产日期
Packaging Info: 此单出TW
77673TQ1：:MA 1L 收缩膜+MA 1L PDQ+MA 5L 收藏指南+MA 说明书+1张警语贴纸
Remark:</t>
  </si>
  <si>
    <t>4500193770-50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</si>
  <si>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item#77673: Marshalls PO#272592,SKU#913016 DC#881-216PCS, DC#884-156PCS, DC#886-228PCS, DC#887-192PCS, DC#888-204PCS</t>
  </si>
  <si>
    <t>ZB05180-8.17</t>
  </si>
  <si>
    <t>4500193771-50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</si>
  <si>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item#77673: TJ MAXX PO#272596,SKU#192377 DC#891-252PCS, DC#894-204PCS, DC#896-168PCS, DC#897-336PCS, DC#898-240PCS</t>
  </si>
  <si>
    <t>ZB05181-8.17</t>
  </si>
  <si>
    <t>AMAZON CA (VENDOR CENTER)</t>
  </si>
  <si>
    <t>395FVTOF</t>
  </si>
  <si>
    <t>4500194871-80</t>
  </si>
  <si>
    <t>外箱正面印ZURU Logo + SSCC LABEL（客供贴纸)，侧面印item#（订单上显示的SKU#) + carton size(以工厂实际尺寸为准，单位: inch) + MADE IN CHINA</t>
  </si>
  <si>
    <t>3/18-SSCC贴纸</t>
  </si>
  <si>
    <t>日期码格式：ZURU INC(BVI) 标准格式 日期：按实际生产日期
Packaging Info: 出口加拿大，包装需要至少2/3L UPC版，无硼版本
#77673: MA 3L+UPC贴纸，贴纸资料跟单提供，UPC：193052079404；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</si>
  <si>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2Z2WG2MA</t>
  </si>
  <si>
    <t>4500194871-90</t>
  </si>
  <si>
    <t>7KC8U7NU</t>
  </si>
  <si>
    <t>4500194871-100</t>
  </si>
  <si>
    <t>5O1YWZSO</t>
  </si>
  <si>
    <t>4500194871-110</t>
  </si>
  <si>
    <t>5CMN6K7Z</t>
  </si>
  <si>
    <t>4500194871-120</t>
  </si>
  <si>
    <t>51TUOOIQ</t>
  </si>
  <si>
    <t>4500194871-130</t>
  </si>
  <si>
    <t>3I3GRLIZ</t>
  </si>
  <si>
    <t>4500194871-140</t>
  </si>
  <si>
    <t>2M4L8AMZ</t>
  </si>
  <si>
    <t>4500194871-150</t>
  </si>
  <si>
    <t>23RFNACF</t>
  </si>
  <si>
    <t>4500194871-160</t>
  </si>
  <si>
    <t>4500196240-10</t>
  </si>
  <si>
    <t>Kinderherz 2025 logo（翻单#4500166480）+1*多语折叠警告语贴纸（翻单4500178223）+29L 最新C版 WEEE通用带电池走货说明书</t>
  </si>
  <si>
    <t>日期码格式：ZURU INC(BVI) 标准格式                  日期：按实际生产日期
Packaging Info: 77673TQ1：最新MA PDQ+Kinderherz 2025 logo（翻单#4500166480）+最新版  MA 3L EAN 收缩膜 + 1*多语折叠警告语贴纸（翻单4500196281）  +MA5L收藏指南+ M
A 23L说明书+ MA UV胶黑白警告语+MA纸袋 + 1*最新C版 WEEE通用带电池走货说明书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</si>
  <si>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Amy xiao/Niki chen</t>
  </si>
  <si>
    <t>4500194687-10</t>
  </si>
  <si>
    <t>3/18客人白色Cat.label 1张(不要覆盖MA包装上的条码）+WEEE带电池走货说明书</t>
  </si>
  <si>
    <t>日期码格式：ZURU INC(BVI) 标准格式 日期：按实际生产日期
Packaging Info: 1. 1L MA UPC包装+客人白色Cat.label 1张(不要覆盖MA包装上的条码）+WEEE带电池走货说明书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</si>
  <si>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4500193186-40</t>
  </si>
  <si>
    <t>3/3确认</t>
  </si>
  <si>
    <t>WEEE声明(带电池)走货欧洲通用30L-B版说明书+Kinderherz 2025 Logo贴纸(1张贴于收缩膜，1张贴于PDQ；翻单#4500166480)</t>
  </si>
  <si>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翻#4500155594）+WEEE声明(带电池)走货欧洲通用30L-B版说明书+Kinderherz 2025 Logo贴纸(1张贴于收缩膜，1张贴于PDQ；翻单#4500166480)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</si>
  <si>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SAM'S MEXICO-COMERCIALIZADORA MEXIC</t>
  </si>
  <si>
    <t>0021630399</t>
  </si>
  <si>
    <t>4500194198-10</t>
  </si>
  <si>
    <t>77785SLT-S001-77673-INT</t>
  </si>
  <si>
    <t>4/10 BV验货</t>
  </si>
  <si>
    <t>3/18确认</t>
  </si>
  <si>
    <t>3/13保证书+产品贴纸</t>
  </si>
  <si>
    <t>需要4套样品以及散件寄测试行做大货测试，请多备料</t>
  </si>
  <si>
    <t>日期码格式：LOT+ZURU标准日期码格式 日期：
Packaging Info: 客版彩盒+客版说明书+客版托盘+保证书+产品贴纸+箱唛
77673/77711:MA 多语包装，球77711 需要涂黑条码+一张空白贴纸
Remark: 1.此单要第三方验货以及监柜,货好前两周要准备签办给客人(一个托盘和2 sets产品)，请多备料. BV验货当天会要求工厂提供7天内内部的压箱测试报告，请留意安
排。
2.要在3月10号前准备一座完整的slip sheet送测试行做摔箱测试，请多备物料。内部测试要先PASS后才能送测试行做摔箱测试。
3.需要4套样品以及散件寄测试行做大货测试，请多备料
4.包装,托盘和纸箱要均要印保证章
5.托盘要有产品品牌名字及Sam's Mexico的网站地址
6.Sam's PL展示架是要用6mm厚度的护角。
7.77673:UV GLUE / 7 magnets（6 magnets and 1 Refrigerator magnet）
77711:UV GLUE/ 1 Refrigerator Magnet
77785TQ1-INT:4*2*6=48PCS
77785TQ2-INT:3*4*6=72PCS
2PK 77711-INT(capsules)+1PK 77673 combo in color box)
8.请按要求在集装箱的内侧放置干燥剂，并发照片给客人确认.此单有2个40HC，每个柜子放20袋干燥剂，每袋干燥剂1KG，指定品牌干霸SUPER DRY。
9.客版日期码要求：LOT+ZURU标准日期码格式。东莞生产的格式：LOTDGYYYYMMDD,YYYYMMDD是实际的年月日，例如(LOTDG20240920)(包装/产品/外箱都需要写上指定
日期码）
10.电池品牌：莞特
11.货如果需要用到透明贴纸，必须要使用圆形透明胶纸。</t>
  </si>
  <si>
    <t>77785SLT-S001-INT</t>
  </si>
  <si>
    <t>4500194320-10</t>
  </si>
  <si>
    <t>此单有第三方监柜，不用额外准备备品，会在大货中每款拆1pc，拆了包装的产品会由监装员用客供胶带封好或在外箱上写上""opened by telescope”</t>
  </si>
  <si>
    <t>进口商贴纸+UPC贴纸翻单PO4500177857+3/31寄出价标贴纸+3/28保证书+箱唛，包装/说明书都需要贴一张进口商贴纸</t>
  </si>
  <si>
    <t>日期码格式：ZURU INC(BVI) 标准格式 日期：按实际生产日期
Packaging Info: 77673/:MA 多语 包装+MA 多语说明书（含西语）+UPC贴纸+进口商贴纸+价标贴纸+保证书+箱唛，包装/说明书都需要贴一张进口商贴纸,进口商贴纸+UPC贴纸翻单PO4500177857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</si>
  <si>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002621218577</t>
  </si>
  <si>
    <t>4500185960-10</t>
  </si>
  <si>
    <t>ZB05178-8.17</t>
  </si>
  <si>
    <t>10001620523-0581</t>
  </si>
  <si>
    <t>4500190665-10</t>
  </si>
  <si>
    <t>ZB05241-8.17</t>
  </si>
  <si>
    <t>001751218318</t>
  </si>
  <si>
    <t>4500185961-10</t>
  </si>
  <si>
    <t>ZB05179-8.17</t>
  </si>
  <si>
    <t>ZMPO260227</t>
  </si>
  <si>
    <t>ZMPO260227-10</t>
  </si>
  <si>
    <t>1pcs迷你冰箱+2pcs迷你球</t>
  </si>
  <si>
    <t>Remark大货版本/大货标准箱装箱/箱唛请参照邮件附件
备注：收到样品订单后尽快安排 ，注意样板品质质量要求要高于大货品质要求 ，送货时必须要附带送货单(没有送货单和QC检验合格报告的仓库一律拒绝收货)，请知悉，谢谢！</t>
  </si>
  <si>
    <t>CLADELLAS 2000 S.L</t>
  </si>
  <si>
    <t>4500193889-20</t>
  </si>
  <si>
    <t>需要准备每款1套大货样，请注意备料</t>
  </si>
  <si>
    <t>3/12-客户进口商内容贴纸+WEEE带电池走货欧洲30语通用黑白说明书</t>
  </si>
  <si>
    <t>日期码格式：ZURU INC(BVI) 标准格式 日期：按实际生产日期
Packaging Info: 
2.77673:最新MA 3L包装+一张客户进口商内容贴纸+MA 5L收藏指南+MA 23L说明书+WEEE带电池走货欧洲30语通用黑白说明书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6.此单LC条款，延迟出货有罚款；
7.需要准备每款1套大货样，请注意备料</t>
  </si>
  <si>
    <t>4500195338-10</t>
  </si>
  <si>
    <t>进口商贴纸+客户贴纸翻单PO4500193066</t>
  </si>
  <si>
    <t>日期码格式：ZURU INC(BVI) 标准格式 日期：按实际生产日期
Packaging Info: 77673：MA 多语包装+进口商贴纸+客户条码贴纸+箱唛，进口商贴纸+客户贴纸翻单PO4500193066
Remark: 外箱胶带要用CANDIDE 格式</t>
  </si>
  <si>
    <t>4500195564-20</t>
  </si>
  <si>
    <t>日期码格式：ZURU INC(BVI) 标准格式 日期：按实际生产日期
Packaging Info: 77673：MA 多语包装+进口商贴纸+客户条码贴纸+箱唛，进口商贴纸+客户贴纸翻单PO4500193066 
Remark: 外箱胶带要用CANDIDE 格式</t>
  </si>
  <si>
    <t>2026ZURU01</t>
  </si>
  <si>
    <t>4500195383-20</t>
  </si>
  <si>
    <t>UPC贴纸(UPC:193052079404)
 (UPC贴纸翻单：4500160504)</t>
  </si>
  <si>
    <t>日期码格式：ZURU INC(BVI) 标准格式 日期：按实际生产日期
Packaging Info: 
77673 MA 多语 EAN版本+UPC贴纸193052079404
Remark: 出加拿大
Zuru验货.日期跟踪码：产品外包装及产品本身都必须有日期跟踪码，ZURU标准格式日期码。（箱唛日期码按跟单提供格式）</t>
  </si>
  <si>
    <t>Katrina Xie</t>
  </si>
  <si>
    <t>4500192252-180</t>
  </si>
  <si>
    <t>002671218409</t>
  </si>
  <si>
    <t>4500185965-10</t>
  </si>
  <si>
    <t>ZB05280-8.17</t>
  </si>
  <si>
    <t>010521218450</t>
  </si>
  <si>
    <t>4500185964-10</t>
  </si>
  <si>
    <t>ZB05196-8.17</t>
  </si>
  <si>
    <t>MIGROS-GENOSSENSCHAFTS-BUND</t>
  </si>
  <si>
    <t>4500193051-20</t>
  </si>
  <si>
    <t>一套大货样品/item，请多备料</t>
  </si>
  <si>
    <t>3/3-价格贴纸+（+德语意大利警告语贴纸）+空白贴纸覆盖EAN，彩盒贴EAN条码贴纸（翻单:4500166647）</t>
  </si>
  <si>
    <t>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</si>
  <si>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77785：客版彩盒+价格贴纸+EAN条码贴纸（翻单:4500166647）
77673: MA EAN收缩膜3L-A版本+德语意大利警告语贴纸（（翻单:4500166647）+MA电池+UV胶警告语23L说明书+MA纸袋+MA收藏指南5L-A版本+WEEE 带电池走货 B版通
用30L 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</si>
  <si>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10001742157-0
581</t>
  </si>
  <si>
    <t>4500194240-10</t>
  </si>
  <si>
    <t>3/27条码箱贴纸</t>
  </si>
  <si>
    <t>日期码格式：ZURU INC(BVI) 标准格式 日期：按实际生产日期
Packaging Info: 产品包装 客版收缩膜(C版)+客版收藏指南+MA说明书+ MA 1L PDQ
Remark: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4. 产品和包装上均要印刷tracking code信息，格式为ZURU常规格式;
5. 出货方式：货代自提;
6. 此单为空运订单，交期不得有延迟</t>
  </si>
  <si>
    <t>ZB05204/ZB05225</t>
  </si>
  <si>
    <t>4500192264-30</t>
  </si>
  <si>
    <t>无箱唛但需提供每款实际外箱尺寸排版确认定位框，store 订单的定位框位置要在：箱子的最大面朝上后，定位框在箱子的第二大面的右下角，距离箱子右边3英寸，距离底部1.25英寸, 贴纸要按定位框贴，位置与方向贴不对会有客户罚款需由工厂承担</t>
  </si>
  <si>
    <t>3/24外箱贴纸已寄出</t>
  </si>
  <si>
    <t>日期码格式：ZURU INC(BVI) 标准格式 日期：按实际生产日期
Packaging Info: 1. 此为Kohl's store 订单,
77673TQ1-S001 &amp; 77711GQ1-S002-NA - MA UPC包装(首选1L) + 价格贴纸 （覆盖产品UPC 条码，不能覆盖到made in China 字样）+ 客供外箱贴纸 - 价格贴和位
置翻4500169087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外箱毛重超过35LB/15.88KG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</si>
  <si>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ZB05321-8.17</t>
  </si>
  <si>
    <t>4500194886-40</t>
  </si>
  <si>
    <t>丹麦瑞典芬兰挪威警告语贴纸+MA paper bag+丹麦/挪威/瑞典/芬兰语警告语贴在纸袋子上(贴纸和位置图翻PO#4500183825-共用#7711
1袋子的贴纸文档)</t>
  </si>
  <si>
    <t>日期码格式：ZURU INC(BVI) 标准格式 日期：按实际生产日期
Packaging Info: 
77673:MA 3L EAN B版收缩膜+丹麦瑞典芬兰挪威警告语贴纸+MA paper bag+丹麦/挪威/瑞典/芬兰语警告语贴在纸袋子上(贴纸和位置图翻PO#4500183825-共用#7711
1袋子的贴纸文档)+MA 5L收藏指南+MA B23L（电池+UV胶警告语-23L）说明书+WEEE_带电池走货 _ 说明书欧洲EN+30L-B版
77711:MA 3L EAN版收缩膜+丹麦瑞典芬兰挪威警告语贴纸+MA paper bag+丹麦/挪威/瑞典/芬兰语警告语贴在纸袋子上(贴纸和位置图翻PO#4500183825)+MA 5L(23L
warning)收藏指南+MA 23L说明书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77673-S004-4894680042773</t>
  </si>
  <si>
    <t>4500195960-40</t>
  </si>
  <si>
    <t>此单需要准备2套大货样，请注意备料；</t>
  </si>
  <si>
    <t>3/13更新</t>
  </si>
  <si>
    <t>一张进口商贴纸+WEEE带电池走货欧洲29L通用黑白说明书</t>
  </si>
  <si>
    <t>日期码格式：ZURU INC(BVI) 标准格式 日期：按实际生产日期
Packaging Info: 
4. 77673：最新【MA 3L 收缩膜含EAN条码+一张进口商贴纸】+MA 最新5L收藏指南+MA 最新23L说明书+WEEE带电池走货欧洲29L通用黑白说明书;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&lt;(&gt;&amp;&lt;)&gt; ZURU France地址信息， 另外，包装贴纸上面的警告语不可以覆盖西班牙警告语。QC同事请
核查，如有问题需和跟单确认。
5.此单需要准备2套大货样，请注意备料；</t>
  </si>
  <si>
    <t>4500194136-30</t>
  </si>
  <si>
    <t>3/23确认</t>
  </si>
  <si>
    <t>3/26-外箱贴纸+保证书+进口商贴纸+UPC贴纸，产品/包装/说明书都要贴1张进口商贴纸</t>
  </si>
  <si>
    <t>日期码格式：ZURU INC(BVI) 标准格式 日期：按实际生产日期
Packaging Info: 77843GQ2/77673/77794UQ1:MA 多语包装+MA 多语说明书+外箱贴纸+保证书+进口商贴纸+UPC贴纸+箱唛，产品/包装都要贴1张进口商贴纸 (77843 会有两种贴纸，带电款的贴纸要分别贴
在产品和包装，不带电款仅贴包装，带电贴纸和不带贴纸是不一样的，请留意区分）
Remark: 1.此单有第三方监柜，需要每款多备1套完整物料
2.外箱贴纸只要一张，位置是正唛和侧唛的交接处</t>
  </si>
  <si>
    <t>4500194435-50</t>
  </si>
  <si>
    <t>日期码格式：ZURU INC(BVI) 标准格式 日期：
Packaging Info: 1. 产品MA UPC包装（优先1L）出美国
2. 客人指定箱唛排版
4. 77673-S004 Filxed Collection
Remark: 出货前 Zuru QC 验货</t>
  </si>
  <si>
    <t>ZB05284-8.17</t>
  </si>
  <si>
    <t>4500194435-60</t>
  </si>
  <si>
    <t>4500195548-10</t>
  </si>
  <si>
    <t>日期码格式：ZURU INC(BVI) 标准格式 日期：按实际生产日期
Packaging Info: 物料要求 SKU
2 .77785 ：2部分子件构成 需要申请6套大货样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翻单：4500192252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</si>
  <si>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4500195548-20</t>
  </si>
  <si>
    <t>TOYZOONA  LIMITED</t>
  </si>
  <si>
    <t>4500197104-30</t>
  </si>
  <si>
    <t>日期码格式：ZURU INC(BVI) 标准格式 日期：按实际生产日期
Packaging Info: 此票出肯尼亚，客户会到工厂自提，请留意船务出货安排，并及时送货
 MA PKG ， 优先1L
Remark:</t>
  </si>
  <si>
    <t>Chelsea  Luo</t>
  </si>
  <si>
    <t>4500195747-50</t>
  </si>
  <si>
    <t>进口商贴纸请多备料5pcs,出货后需要寄给客户</t>
  </si>
  <si>
    <t>3/27确认</t>
  </si>
  <si>
    <t>进口商贴纸+条码贴纸 进口商贴纸和条码贴纸翻单PO4500195747</t>
  </si>
  <si>
    <t>日期码格式：ZURU INC(BVI) 标准格式 日期：按实际生产日期
Packaging Info: 777673:MA 多语包装+进口商贴纸+条码贴纸+箱唛,进口商贴纸和条码贴纸翻单PO4500195747
Remark: 进口商贴纸请多备料5pcs,出货后需要寄给客户</t>
  </si>
  <si>
    <t>002621218578</t>
  </si>
  <si>
    <t>4500185966-10</t>
  </si>
  <si>
    <t>ZB05279-8.17</t>
  </si>
  <si>
    <t>010521218451</t>
  </si>
  <si>
    <t>4500185968-10</t>
  </si>
  <si>
    <t>ZB05278-8.17</t>
  </si>
  <si>
    <t>AG250499-HK</t>
  </si>
  <si>
    <t>4500195221-20</t>
  </si>
  <si>
    <t>3/24-1张警语贴纸寄出</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</si>
  <si>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Remark: 此单出HK</t>
  </si>
  <si>
    <t>4500195521-60</t>
  </si>
  <si>
    <t>4/24截SI</t>
  </si>
  <si>
    <t>进口商贴纸图稿及位置图翻单如下/77673-4500180194</t>
  </si>
  <si>
    <t>日期码格式：ZURU INC(BVI) 标准格式 日期：按实际生产日期
Packaging Info: MA UPC包装(优先1L)+进口商贴纸,Fuggler的items需mother UPC barcode 信息,会跟进口商贴纸做在一起
进口商贴纸图稿及位置图翻单如下,其他items待提供
/77673-4500180194
Remark: 
77673-Filxed Collection</t>
  </si>
  <si>
    <t>ZMPO260313</t>
  </si>
  <si>
    <t>ZMPO260313-10</t>
  </si>
  <si>
    <t>注意样板品质质量要求要高于大货品质要求 ，送货时必须要附带送货单</t>
  </si>
  <si>
    <t>001791216732</t>
  </si>
  <si>
    <t>4500185949-10</t>
  </si>
  <si>
    <t>ZB04954-8.17</t>
  </si>
  <si>
    <t>013861218210</t>
  </si>
  <si>
    <t>4500185956-10</t>
  </si>
  <si>
    <t>ZB04974-8.17</t>
  </si>
  <si>
    <t>10001661693-3
890</t>
  </si>
  <si>
    <t>4500194297-10</t>
  </si>
  <si>
    <t>2026/4/29出货</t>
  </si>
  <si>
    <t>3/20 确认</t>
  </si>
  <si>
    <t>3/31寄出条码箱贴纸</t>
  </si>
  <si>
    <t>日期码格式：ZURU INC(BVI) 标准格式 日期：按实际生产日期
Packaging Info: 77673TQ1：产品包装 客版收缩膜(C版)+客版收藏指南+MA说明书+ MA 1L PDQ；客版收缩膜(C版）翻单4500183607；客版收藏指南翻单4500174008；
Remark: 77673TQ1：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以上Items：
1. 产品和包装上均要印刷tracking code信息，格式为ZURU常规格式；
2. 需要我司QC验货之后才能安排出货
3. 出货方式： 货代自提</t>
  </si>
  <si>
    <t>ZB05445-8.17</t>
  </si>
  <si>
    <t>4500195402-10</t>
  </si>
  <si>
    <t>4-28截关</t>
  </si>
  <si>
    <t>日期码格式：ZURU INC(BVI) 标准格式 日期：按实际生产日期
Packaging Info: #77673: MA UPC版包装(1L或3L都可)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</si>
  <si>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ZB05350-8.17</t>
  </si>
  <si>
    <t>26-1073775JUS</t>
  </si>
  <si>
    <t>4500196056-40</t>
  </si>
  <si>
    <t>4/1进口商贴纸+UPC贴纸</t>
  </si>
  <si>
    <t>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</si>
  <si>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Grace Zhang</t>
  </si>
  <si>
    <t>26-1073774JDO</t>
  </si>
  <si>
    <t>4500196119-140</t>
  </si>
  <si>
    <t>4500198601-20</t>
  </si>
  <si>
    <t>进口商贴纸翻单PO4500187657</t>
  </si>
  <si>
    <t>日期码格式：ZURU INC(BVI) 标准格式                  日期：按实际生产日期
Packaging Info: 
77673：MA 3L包装+进口商贴纸+箱唛,进口商贴纸翻单PO4500187657
Remark: 77673 外箱消耗PO 4500194136 285PCS  的库存，加水贴纸消耗,剩下的115PCS重新订购外箱</t>
  </si>
  <si>
    <t>WAL-MART  CANADA  CORP.</t>
  </si>
  <si>
    <t>0987012882</t>
  </si>
  <si>
    <t>4500197030-10</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</si>
  <si>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</si>
  <si>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</si>
  <si>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3FVERSAT</t>
  </si>
  <si>
    <t>4500194447-290</t>
  </si>
  <si>
    <t>3/23SSCC贴纸+张贴纸（Spielzeugpreis Alles fürs Kinderherz，仅出DE需要,参考翻单PO#4500166480)</t>
  </si>
  <si>
    <t>日期码格式：ZURU INC(BVI) 标准格式 日期：按实际生产日期
Packaging Info: Amazon UK: 8FVDM9BK/7FYUOBCQ/6DXZ8BCR;
Amazon DE: 3ZD62XDQ/7UMX6PDU/53V2T6XU/43MRU2PL/3FVERSAT/1XD8NF1S
Amazon FR: 2DGUQHWW
Amazon ES: 171ZD1ZU
Amazon IT: 8YOYCXKB/8OF4ZEGZ/3SOTGHKF
Amazon UK(157101/157103/15710B/15726A/15747/15752DH/15755ABDE/15757/77673/77731/92129AHJ/9565E)/DE(157107AB/15726A/15746ABD/15747/15749ABDEGH/15
752ABDEGH/15754DEH/15755ABD/15757/15762D/77584/77731/77785/77806/92129B)/FR(15754G/77731)/ES(157103/77809)/IT(15746E/15754B/15755E/77809)
9. 77673: 12pcs/ctn; MA 3L(3L warning EAN#)B收缩膜+MA 23L warning B说明书+MA 5L A收藏指南+2张贴纸(1张UPC#，参考翻单PO#4500158582；1张可折叠警语
贴含德意警告语+IT环保标，参考翻单PO#4500157858)+WEEE电子产品说明书30L(带电池走货B版);
22.验货时间不迟于2026/4/23.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</si>
  <si>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7FYUOBCQ</t>
  </si>
  <si>
    <t>4500194447-490</t>
  </si>
  <si>
    <t>3/23SSCC贴纸</t>
  </si>
  <si>
    <t>5BVTWGJT</t>
  </si>
  <si>
    <t>4500194504-20</t>
  </si>
  <si>
    <t>4/7寄出SSCC贴纸</t>
  </si>
  <si>
    <t>日期码格式：ZURU INC(BVI) 标准格式 日期：按实际生产日期
Packaging Info: 
#77673: MA UPC版包装(1L或3L都可)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</si>
  <si>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ZB05450-8.17</t>
  </si>
  <si>
    <t>2FM5R21L</t>
  </si>
  <si>
    <t>4500194501-120</t>
  </si>
  <si>
    <t>日期码格式：ZURU INC(BVI) 标准格式 日期：按实际生产日期
Packaging Info:
#77673: MA UPC版包装(1L或3L都可)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</si>
  <si>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ZB05473-8.17</t>
  </si>
  <si>
    <t>5MUE7MUT</t>
  </si>
  <si>
    <t>4500194511-130</t>
  </si>
  <si>
    <t>ZB05320-8.17</t>
  </si>
  <si>
    <t>4J2686AE</t>
  </si>
  <si>
    <t>4500194509-100</t>
  </si>
  <si>
    <t>ZB05336-8.17</t>
  </si>
  <si>
    <t>79BOZXZJ</t>
  </si>
  <si>
    <t>4500194506-130</t>
  </si>
  <si>
    <t>ZB05412-8.17</t>
  </si>
  <si>
    <t>44JQQNRU</t>
  </si>
  <si>
    <t>4500194497-80</t>
  </si>
  <si>
    <t>ZB05474-8.17</t>
  </si>
  <si>
    <t>012031218345</t>
  </si>
  <si>
    <t>4500185970-10</t>
  </si>
  <si>
    <t>4/28出货</t>
  </si>
  <si>
    <t>ZB05411-8.17</t>
  </si>
  <si>
    <t>4500186354-40</t>
  </si>
  <si>
    <t>日期码格式：ZURU INC(BVI) 标准格式 日期：按实际生产日期
Packaging Info: 1. Cus Item
#77785：MA UPC + 客版3L 彩盒 + 客供贴纸, 优先使用MA 1L最新版本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</si>
  <si>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ZB05309-8.17</t>
  </si>
  <si>
    <t>4500195557-20</t>
  </si>
  <si>
    <t>价格贴纸客供</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</si>
  <si>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Marshalls PO#332426,SKU#918624 DC#881-204PCS, DC#884-168PCS, DC#886-192PCS, DC#887-180PCS, DC#888-252PCS</t>
  </si>
  <si>
    <t>ZB05379-8.17</t>
  </si>
  <si>
    <t>4500195558-20</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</si>
  <si>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PO#332428,SKU#197921 DC#891-252PCS, DC#894-204PCS, DC#896-168PCS, DC#897-336PCS, DC#898-240PCS</t>
  </si>
  <si>
    <t>ZB05349-8.17</t>
  </si>
  <si>
    <t>4500195406-10</t>
  </si>
  <si>
    <t>ZB05715-8.17</t>
  </si>
  <si>
    <t>4500195548-30</t>
  </si>
  <si>
    <t>4500195548-40</t>
  </si>
  <si>
    <t>4500196281-20</t>
  </si>
  <si>
    <t>3/19确认</t>
  </si>
  <si>
    <t>多语警语折叠贴纸（含包装缺失的法/意/西环保标，需含carton的西班牙环保标）+所有带电池的产品请基于带/不带电池出货自行订购 "WEEE说明书欧洲EN+29L-C版"</t>
  </si>
  <si>
    <t>日期码格式：ZURU INC(BVI) 标准格式 日期：按实际生产日期
Packaging Info: 
2. 77673TQ1: 最新MA 3L EAN收缩膜+最新MA 5L收藏指南+最新MA 23L说明书+最新MA纸袋+最新MA 3L PDQ+多语警语折叠贴纸（含包装缺失的法/意/西环保标，需含c
arton的西班牙环保标）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"WEEE说明书欧洲EN+29L-C版"
8. MTS所有订单，SMASHERS 或含Slime产品，所有化合物使用无硼版本出；如有香味产品，出无香版本; BOB系列要符合欧洲要求不含亚硝酸版本; XShot Hyper系列
，统一出EN71版本；Slime Mart统一用EUR版本的包装。</t>
  </si>
  <si>
    <t>4500196190-20</t>
  </si>
  <si>
    <t>日期码格式：ZURU INC(BVI) 标准格式 日期：按实际生产日期
Packaging Info: 1. Cus Item
#77785：MA UPC + 客版彩盒 + 客供贴纸, 优先使用MA 1L最新版本(可接受多语），出口美国。
Remark: 1. Cus Item
#77785：MA UPC + 客版彩盒 + 客供贴纸, 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</si>
  <si>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ZB05496-8.17</t>
  </si>
  <si>
    <t>MPO10168</t>
  </si>
  <si>
    <t>4500198423- 00010- 20260511</t>
  </si>
  <si>
    <t>MPO10168-10</t>
  </si>
  <si>
    <t>兴信子件 #77711GQ2/ 77673TQ1送货丹尼MSLD178 配比要求如下：
①  77711GQ2： 按照STD 77711GQ2-S001-NA的配比,2个PDQ入一个周转箱
②  77673TQ1： 按照STD 77673TQ1-S002的配比，4个TQ入一个周转箱。</t>
  </si>
  <si>
    <t>纸箱可⽤周转箱+箱唛（此箱唛可直接⽤A4纸注明:混装展⽰架MSLD178-S001 &amp; 4500198423(MPO单号) &amp; 对应的产品款号 &amp; 装箱数相关信息即可）</t>
  </si>
  <si>
    <t>1、 包装⽅式：MA UPC优先1L最新版，出⼝美国 2、⽆测试⽆验货要求 3、纸箱可⽤周转箱+箱唛（此箱唛可直接⽤A4纸注明:混装展⽰架MSLD178-S001 &amp; 4500198423(MPO单号) &amp; 对应的产品款号 &amp; 装箱数相关信息即可） 4、⽇期码请按ZURU标准版执⾏即可 5、ZURU OQC 验货</t>
  </si>
  <si>
    <t>Vicky Wu/Tracy Xu</t>
  </si>
  <si>
    <t>ZB07315-8.17</t>
  </si>
  <si>
    <t>4500196301-20</t>
  </si>
  <si>
    <t>3/13确认</t>
  </si>
  <si>
    <t>丹麦瑞典芬兰挪威警告语贴纸(贴纸和位置图翻PO#4500192711)+丹麦/挪威/瑞典/芬兰语警告语贴在纸袋子上(贴纸和位置图翻PO#4500183825-共用#77111袋子的贴纸文档)+MWEEE_带电池走货 _ 说明书欧洲EN+30L-C版</t>
  </si>
  <si>
    <t>日期码格式：ZURU INC(BVI) 标准格式 日期：按实际生产日期
Packaging Info: 
2. 77673TQ1: MA 3L EAN B版收缩膜+丹麦瑞典芬兰挪威警告语贴纸(贴纸和位置图翻PO#4500192711)+MA paper bag+丹麦/挪威/瑞典/芬兰语警告语贴在纸袋子上(贴
纸和位置图翻PO#4500183825-共用#77111袋子的贴纸文档)+MA 5L收藏指南+MA B23L（电池+UV胶警告语-23L）说明书+MA 3L PDQ+WEEE_带电池走货 _ 说明书欧洲EN+
30L-C版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77673TQ1-S001:4894680042773</t>
  </si>
  <si>
    <t>4500196388-30</t>
  </si>
  <si>
    <t>5/12此客户需要第三方验货，请在约三方验货前必须PASS ZURU验货。</t>
  </si>
  <si>
    <t>进口商贴纸+一张产品贴纸（翻4500170840）+一张weee说明书纸（翻4500170840）</t>
  </si>
  <si>
    <t>客人日期码：LOT2618，包装（含收缩膜等）/产品/外箱 请保持一致。</t>
  </si>
  <si>
    <t>日期码格式：LOT2618 日期：
Packaging Info:
3. 77673：最新MA 3L EAN收缩膜+最新MA 5L收藏指南+最新MA 23L说明书+一张进口商贴纸+一张产品贴纸（翻4500170840）+一张weee说明书纸（翻4500170840）
Remark: 1.RATIO 同MA 一致。
2.大货样品2套/item，用于客人验货签板。验货后还会抽办1套/item，请多备料。球类请寄3套+一套配件
3.客人日期码：LOT2618，包装（含收缩膜等）/产品/外箱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所有带电产品请复核跟单是否有提供客人指定内容的WEEE说明书（非通用30L版本）</t>
  </si>
  <si>
    <t>ZURU  SPAIN  S.L.</t>
  </si>
  <si>
    <t>4500197331-30</t>
  </si>
  <si>
    <t>多语警语折叠贴纸（含包装缺失的法/意/西环保标）+WEEE带电池出货的欧洲29L通知说明书B版</t>
  </si>
  <si>
    <t>日期码格式：ZURU INC(BVI) 标准格式 日期：按实际生产日期
Packaging Info: 
77673:最新MA3LEAN收缩膜+最新MA5L收藏指南+最新MA23L说明书+最新MA纸袋+多语警语折叠贴纸（含包装缺失的法/意/西环保标）+WEEE带电池出货的欧洲29L说明书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</si>
  <si>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013761218305</t>
  </si>
  <si>
    <t>4500185971-10</t>
  </si>
  <si>
    <t>ZB05410-8.17</t>
  </si>
  <si>
    <t>10001661762-3
891</t>
  </si>
  <si>
    <t>4500194303-10</t>
  </si>
  <si>
    <t>4/2已寄条码箱贴纸</t>
  </si>
  <si>
    <t>ZB05518-8.17</t>
  </si>
  <si>
    <t>002671218410</t>
  </si>
  <si>
    <t>4500185973-10</t>
  </si>
  <si>
    <t>ZB05471-8.17</t>
  </si>
  <si>
    <t>4500194442-170</t>
  </si>
  <si>
    <t>日期码格式：ZURU INC(BVI) 标准格式 日期：
Packaging Info: 1. 通用PDQ, 产品MA UPC包装（优先1L）出美国 其中 92129TQ5为客版pdq翻单4500180920
2. 客人指定箱唛排版
9. 77673-S004 Filxed Collection
Remark: 出货前 Zuru QC 验货</t>
  </si>
  <si>
    <t>ZB05585-8.17</t>
  </si>
  <si>
    <t>4500194442-180</t>
  </si>
  <si>
    <t>021870359</t>
  </si>
  <si>
    <t>4500195170-10</t>
  </si>
  <si>
    <t>ZB05444-8.17</t>
  </si>
  <si>
    <t>ADC  BLACKFIRE  ENTERTAINMENT  SRL</t>
  </si>
  <si>
    <t>4500196811-20</t>
  </si>
  <si>
    <t>4/2进口商贴纸+UPC条码贴纸</t>
  </si>
  <si>
    <t>日期码格式：ZURU INC(BVI) 标准格式 日期：按实际生产日期
Packaging Info:  77673TQ1：B 版 1L MA 收缩膜+进口商贴纸；B 版23L MA 电池+UV胶警告语说明书/A 版 5L MA 收藏指南/A 版1L MA PDQ+C 版 29L 带电池走货WEEE 通用说明书
Remark: 1、若产品有比例使用ZURU STD 比例
2、所有item 均用MA UPC 条码，若包装不是UPC 条码的请告知
3、此单出欧洲需满足EU测试标准要求
4、baby UPC：</t>
  </si>
  <si>
    <t>PRENATAL  RETAIL  GROUP  SPAIN  S.L.</t>
  </si>
  <si>
    <t>4500195307-130</t>
  </si>
  <si>
    <t>5/7此客户需要第三方验货，请在约三方验货前必须PASS ZURU验货。</t>
  </si>
  <si>
    <t>4/8进口商贴纸（含葡萄牙警语+西班牙环保标）+一张产品贴纸+一张黑白weee说明书纸（西/葡</t>
  </si>
  <si>
    <t>客人格式日期码 LOT2618，包装（含收缩膜等）/产品/外箱 请保持一致</t>
  </si>
  <si>
    <t>日期码格式：LOT2618 日期：
Packaging Info: 
9. 77673: 最新MA 3L EAN收缩膜+最新MA 23L说明书+最新MA 纸袋+一张进口商贴纸（含葡萄牙警语+西班牙环保标）+一张产品贴纸+一张黑白weee说明书纸（西/葡
）
Remark: 1. 订单出欧洲国家-西班牙，产品不能含有闪粉/微塑料，请确保所有包装都有西班牙环保标。
2. 客人格式日期码 LOT2618，包装（含收缩膜等）/产品/外箱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</si>
  <si>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Christine  He</t>
  </si>
  <si>
    <t>4500193910-30</t>
  </si>
  <si>
    <t>4/10UPC条码贴纸+进口商贴纸+保证书</t>
  </si>
  <si>
    <t>日期码格式：ZURU INC(BVI) 标准格式 日期：按实际生产日期
Packaging Info: 
3. 77673：MA 3L EAN包装+UPC条码贴纸+进口商贴纸+保证书+箱唛
Remark: 1. 此单有监柜，每款请多备1pc样板用于监装
3. 77673：3PCS AG13 BATTERIES(INCLUDED)</t>
  </si>
  <si>
    <t>10001764974-0
581</t>
  </si>
  <si>
    <t>4500196795-10</t>
  </si>
  <si>
    <t>4/21条码箱贴纸</t>
  </si>
  <si>
    <t>日期码格式：ZURU INC(BVI) 标准格式 日期：按实际生产日期
Packaging Info: 产品包装 客版收缩膜(C版)+客版收藏指南+MA说明书+ MA 1L PDQ；客版收缩膜(C版）翻单4500183607；客版收藏指南翻单4500174008
Remark: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4. 产品和包装上均要印刷tracking code信息，格式为ZURU常规格式；
5. 需要我司QC验货之后才能安排出货
6. 出货方式： 货代自提</t>
  </si>
  <si>
    <t>Holly  Zheng</t>
  </si>
  <si>
    <t>ZB05516-8.17</t>
  </si>
  <si>
    <t>YUG CONTRACT</t>
  </si>
  <si>
    <t>4500198254-20</t>
  </si>
  <si>
    <t>4/3进口商贴纸</t>
  </si>
  <si>
    <t>日期码格式：ZURU INC(BVI) 标准格式 日期：按实际生产日期
Packaging Info:
77673TQ1：B 版3L MA 收缩膜+进口商贴纸；含乌克兰语电池和UV胶警告语说明书(含带电池走货WEEE说明书)/A 版3L MA PDQ
Remark: 3、此单出欧洲需满足EU测试标准要求，另外不能出闪粉（若产品本身不含闪粉则忽略这句话），电池产品（带电池/不带电池走货）需要添加WEEE通用说明书(不含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t>
  </si>
  <si>
    <t>Daisy Ye</t>
  </si>
  <si>
    <t>4500186369-20</t>
  </si>
  <si>
    <t>日期码格式：ZURU INC(BVI) 标准格式 日期：按实际生产日期
Packaging Info: 1. Cus Item
#77785：MA UPC + 客版3L 彩盒 （设计放稿）+ 客供贴纸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</si>
  <si>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ZB05772-8.17</t>
  </si>
  <si>
    <t>0989301809</t>
  </si>
  <si>
    <t>4500198269-50</t>
  </si>
  <si>
    <t>5/11第三方验货4/28抽板
504pcs</t>
  </si>
  <si>
    <t>4/8贴1张RFID贴纸，贴纸由ZURU提供，贴纸位置请严格按照我们签回的签板</t>
  </si>
  <si>
    <t>每pcs产品上要贴1张RFID贴纸，贴纸由ZURU提供，贴纸位置请严格按照我们签回的签板</t>
  </si>
  <si>
    <t>日期码格式：ZURU DGYYMMDD CHINA(日期避开周末和法定节假日即可）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</si>
  <si>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ZB05584-8.17</t>
  </si>
  <si>
    <t>4500196191-20</t>
  </si>
  <si>
    <t>ZB05750-8.17</t>
  </si>
  <si>
    <t>4500197806-10</t>
  </si>
  <si>
    <t>4/1UPC贴纸+，DC运输贴纸（所有产品均需要），PDQ 标识贴纸（带PDQ的item需要此贴纸，如果不带PDQ则不需要）贴纸尺寸以提供的箱唛资料为准，每个贴
 纸一箱一张。</t>
  </si>
  <si>
    <t>指定tracking code: ZURUDG20260416; 产品、彩盒、外箱的日期码需要按照我们提供的Tracking code做。毛绒产品可以按ZURU 标准格式，
每个产品的洗水标/彩盒/外箱上面的时间需要一致。</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</si>
  <si>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2.
#77673TQ2: MA 3L EAN_B版彩膜+UPC贴纸, UPC#193052079404; PDQ 客版包装，翻单PO#4500186184;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</si>
  <si>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ZB05541-8.17</t>
  </si>
  <si>
    <t>MICHAELS  GLOBAL  SOURCING  LLC</t>
  </si>
  <si>
    <t>4500197805-10</t>
  </si>
  <si>
    <t>Abby  Mai</t>
  </si>
  <si>
    <t>ZB05542-8.17</t>
  </si>
  <si>
    <t>4500197809-10</t>
  </si>
  <si>
    <t>指定tracking code: ZURUDG20260416; 产品、彩盒、外箱的日期码需要按照我们提供的Tracking code做。</t>
  </si>
  <si>
    <t>日期码格式：ZURUDG20260416 日期：
Packaging Info: 1. 指定tracking code: ZURUDG20260416; 产品、彩盒、外箱的日期码需要按照我们提供的Tracking code做。
2.
#77673TQ2: MA 3L EAN_B版彩膜+UPC贴纸, UPC#193052079404; PDQ 客版包装，翻单PO#4500186184;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</si>
  <si>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ZB05552-8.17</t>
  </si>
  <si>
    <t>46:0003192333</t>
  </si>
  <si>
    <t>4500196426-10</t>
  </si>
  <si>
    <t>日语警语贴纸（贴纸不要遮挡日期码, 贴纸翻单：4500180424）</t>
  </si>
  <si>
    <t>日期码格式：ZURU INC(BVI) 标准格式 日期：按实际生产日期
Packaging Info: MA 1L UPC包装+1张日语警语贴纸（贴纸不要遮挡日期码, 贴纸翻单：4500180424）
Remark: 1.产品品质和内容材质以及包装版本等都需跟到上一单（4500165405）， 如不一致，请告知
2. 请多备几个外箱出货，避免外箱到仓库后出现破损情况。</t>
  </si>
  <si>
    <t>47:0003192334</t>
  </si>
  <si>
    <t>4500196426-20</t>
  </si>
  <si>
    <t>AMAZON  EU  SARL,  NDL  DEUTSCHLAND</t>
  </si>
  <si>
    <t>3R7YU9OY</t>
  </si>
  <si>
    <t>4500197220-130</t>
  </si>
  <si>
    <t>4/20 外箱贴纸</t>
  </si>
  <si>
    <r>
      <rPr>
        <sz val="11"/>
        <color rgb="FF0000FF"/>
        <rFont val="宋体"/>
        <charset val="134"/>
      </rPr>
      <t>日期码格式：ZURU INC(BVI) 标准格式 日期：按实际生产日期
Packaging Info: Amazon UK: 7RZARQMK/3R7YU9OY
Amazon DE: 7GRHBFGR/4N2M13CY/4C4E34DP
Amazon ES: 53I45JNC
Amazon UK(157101/15728E/15757/77673/77731/77785)/DE(157101/157103/15714H/15752ABDEGH/77806)/ES(77673)
7. 77785:1pk 77673 Fill the Fridge PLAYSET S1+ 2pk 77711 INT Capsules S1 into color box, 6color boxes/ctn; 77673:UV GLUE / 7 magnets（6 magnets
and 1 Refrigerator magnet); 3PCS AG13 BATTERIES(INCLUDED); 77711:UV GLUE/ 1 Refrigerator Magnet; 77673:</t>
    </r>
    <r>
      <rPr>
        <sz val="11"/>
        <color rgb="FFFF0000"/>
        <rFont val="宋体"/>
        <charset val="134"/>
      </rPr>
      <t xml:space="preserve"> MA 3L(3L warning EAN)B收缩膜+MA 23L war
ning B说明书+MA 5L A收藏指南+77711: 客版无条码收缩膜(翻单PO4500170842)+MA 5L(23L warning)B收藏指南</t>
    </r>
    <r>
      <rPr>
        <sz val="11"/>
        <color rgb="FF0000FF"/>
        <rFont val="宋体"/>
        <charset val="134"/>
      </rPr>
      <t>+MA 23L警告语说明书+MA 5L A说明书 +客版彩盒（
新FR/DK/UK地址，参考翻单PO#4500194447）+WEEE_带电池走货 _ 说明书欧洲EN+29L_C版；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</si>
  <si>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Luna  Lin</t>
  </si>
  <si>
    <t>BR26161</t>
  </si>
  <si>
    <t>4500198823-10</t>
  </si>
  <si>
    <t>4/8进口商贴纸+客户条码贴纸+客户贴纸翻单PO4500193066</t>
  </si>
  <si>
    <t>日期码格式：ZURU INC(BVI) 标准格式                  日期：按实际生产日期
Packaging Info: 77673：MA 多语包装+进口商贴纸+客户条码贴纸+箱唛，进口商贴纸+客户贴纸翻单PO4500193066
77711GQ2:MA 多语包装+进口商贴纸+箱唛+空白贴纸（空白贴纸  覆盖原条码）,进口商贴纸+空白贴纸翻单PO4500193066
Remark: 外箱胶带要用CANDIDE 格式</t>
  </si>
  <si>
    <t>4500198054-20</t>
  </si>
  <si>
    <t>3/26确认</t>
  </si>
  <si>
    <t>日期码使用ZURU标准版本。如果大货有要求入邮包盒，则对应的邮包盒上面要打上日期码。</t>
  </si>
  <si>
    <t>日期码格式：ZURU INC(BVI) 标准格式                  日期：按实际生产日期
Packaging Info: 
#77673  MA UPC版包装，出口美国。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</si>
  <si>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Mia Pan</t>
  </si>
  <si>
    <t>ZB05749-8.17</t>
  </si>
  <si>
    <t>10001661761-3890</t>
  </si>
  <si>
    <t>4500199055-10</t>
  </si>
  <si>
    <t>4/23已寄条码箱贴纸，每箱只贴一张，由ZURU订购</t>
  </si>
  <si>
    <t>需要我司QC验货之后才能安排出货</t>
  </si>
  <si>
    <t>ZB05793-8.17</t>
  </si>
  <si>
    <t>ANSALDO  CHILE</t>
  </si>
  <si>
    <t>2026-HKC078</t>
  </si>
  <si>
    <t>4500197389-20</t>
  </si>
  <si>
    <t>4/18进口商贴纸+UPC贴纸</t>
  </si>
  <si>
    <t>Ava  Liang</t>
  </si>
  <si>
    <t>COOP FAGHANDEL (NON-FOOD)</t>
  </si>
  <si>
    <t>4500196854-10</t>
  </si>
  <si>
    <t>5/20号第三方验货</t>
  </si>
  <si>
    <t>3/16 确认</t>
  </si>
  <si>
    <t>挪威语警语贴纸（翻单4500162197）+WEEE 30L B 带电池说明书</t>
  </si>
  <si>
    <t>日期码格式：ZURU INC(BVI) 标准格式 日期：按实际生产日期
Packaging Info: 77673TQ1：MA EAN 3L收缩膜+挪威语警语贴纸（翻单4500162197）+MA 23L 电池警告语说明书+MA 3L PDQ+WEEE 30L B 带电池说明书
Remark: 1/产品和包装要求无硼无香，包装不能含有PVC；
2/如有微塑料，必须合规欧洲标准，闪粉也是微塑料的一种，目前仅接受三张方式1.去除，2.用可降解材料，和3.永久封印在固体；
3/此订单有第三方验货，请准备三套大货样；
4/带电池出货的产品所用到的电池需要符合欧洲电池新规(EU)2023-1542；
5/工厂货号-客户货号彩盒条码-外箱条码
77673TQ1-7254554-4894680042773-10193052079401</t>
  </si>
  <si>
    <t>4500198503-10</t>
  </si>
  <si>
    <t>日期码格式：ZURU INC(BVI) 标准格式 日期：按实际生产日期
Packaging Info: 物料要求 SKU
2.77785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</si>
  <si>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4500199366</t>
  </si>
  <si>
    <t>26-1075676JEC</t>
  </si>
  <si>
    <t>4500199366-20</t>
  </si>
  <si>
    <t>4/22进口商贴纸+UPC贴纸</t>
  </si>
  <si>
    <t>日期码格式：ZURU INC(BVI) 标准格式                  日期：按实际生产日期
Packaging Info: MA 多语包装+进口商贴纸+UPC贴纸+箱唛
Remark: 1.进口商贴纸内容会显示日期码为：2026-05包装/产品/外箱可按照ZURU标准日期码，无需跟回进口商贴纸上的日期码。
2.所有item包装上的条码必须是UPC，如果已将进口商贴纸和UPC条码合并到一张，则不需再订购UPC贴纸，仅订购一张进口商贴纸即可。</t>
  </si>
  <si>
    <t>4500197220-160</t>
  </si>
  <si>
    <t>5/16-5/20</t>
  </si>
  <si>
    <t>日期码格式：ZURU INC(BVI) 标准格式 日期：按实际生产日期
Packaging Info: Amazon UK: 7RZARQMK/3R7YU9OY
Amazon DE: 7GRHBFGR/4N2M13CY/4C4E34DP
Amazon ES: 53I45JNC
Amazon UK(157101/15728E/15757/77673/77731/77785)/DE(157101/157103/15714H/15752ABDEGH/77806)/ES(77673)
5. 77673:12pcs/ctn; MA 3L(3L warning EAN#)B收缩膜+MA 23L warning B说明书+MA 5L A收藏指南+2张贴纸(1张UPC#，参考翻单PO#4500158582；1张可折叠警语贴
含德意警告语+IT环保标，参考翻单PO#4500157858)+WEEE_带电池走货 _ 说明书欧洲EN+29L_C版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</si>
  <si>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53I45JNC</t>
  </si>
  <si>
    <t>4500197220-170</t>
  </si>
  <si>
    <r>
      <rPr>
        <sz val="11"/>
        <color rgb="FF0000FF"/>
        <rFont val="宋体"/>
        <charset val="134"/>
      </rPr>
      <t>日期码格式：ZURU  INC(BVI)  标准格式 日期：按实际生产日期
Packaging Info: Amazon  UK:  7RZARQMK/3R7YU9OY
Amazon  DE:  7GRHBFGR/4N2M13CY/4C4E34DP</t>
    </r>
    <r>
      <rPr>
        <sz val="11"/>
        <color rgb="FF0000FF"/>
        <rFont val="Arial"/>
        <charset val="134"/>
      </rPr>
      <t xml:space="preserve">	</t>
    </r>
    <r>
      <rPr>
        <sz val="11"/>
        <color rgb="FF0000FF"/>
        <rFont val="宋体"/>
        <charset val="134"/>
      </rPr>
      <t xml:space="preserve">
Amazon  ES:  53I45JNC
  Amazon  UK(157101/15728E/15757/77673/77731/77785)/DE(157101/157103/15714H/15752ABDEGH/77806)/ES(77673)
 5.  77673:12pcs/ctn;  MA  3L(3L  warning  EAN#)B收缩膜+MA  23L  warning  B说明书+MA  5L  A收藏指南+2张贴纸(1张UPC#，参考翻单PO#4500158582；1张可折叠警语贴
含德意警告语+IT环保标，参考翻单PO#4500157858)+WEEE_带电池走货 _  说明书欧洲EN+29L_C版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 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r>
      <rPr>
        <sz val="11"/>
        <color rgb="FF0000FF"/>
        <rFont val="Arial"/>
        <charset val="134"/>
      </rPr>
      <t xml:space="preserve">																</t>
    </r>
  </si>
  <si>
    <t>4500199536</t>
  </si>
  <si>
    <t>70087533</t>
  </si>
  <si>
    <t>4500199536-10</t>
  </si>
  <si>
    <t>4/9客供贴纸+价格贴纸由跟单提供</t>
  </si>
  <si>
    <t>日期码格式：ZURU INC(BVI) 标准格式                  日期：按实际生产日期
Packaging Info: 1. Cus Item
#77785：MA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请注意一个彩盒中的两个球不允许重复，且一个彩盒不能拆出2个即以上的重复散件。</t>
  </si>
  <si>
    <t>ZB06014-8.17</t>
  </si>
  <si>
    <t>4500186375-40</t>
  </si>
  <si>
    <t>ZB06011-8.17</t>
  </si>
  <si>
    <t>02428637/1</t>
  </si>
  <si>
    <t>4500195606-20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</si>
  <si>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Remark:/77673TQ1:WEEE_带电池走货 _ 说明书欧洲EN+29L_C版</t>
  </si>
  <si>
    <t>Ann Zhang</t>
  </si>
  <si>
    <t>02428638/1</t>
  </si>
  <si>
    <t>4500195606-40</t>
  </si>
  <si>
    <t>4500200087</t>
  </si>
  <si>
    <t>6IXY8F7U</t>
  </si>
  <si>
    <t>4500200087-20</t>
  </si>
  <si>
    <t>4/20 SSCC LABEL一张+2张贴纸(1张UPC#，参考翻单PO#4500158582；1张可折叠警语贴
含德意警告语+IT环保标，参考翻单PO#4500157858)+WEEE_带电池走货 _ 说明书欧洲EN+29L_C版+1张贴纸（Spielzeugpreis Alles fürs Kinderherz，仅出DE需要,
 参考翻单PO#4500166480）;</t>
  </si>
  <si>
    <t>日期码格式：ZURU INC(BVI) 标准格式                  日期：按实际生产日期
Packaging Info: Amazon DE:6IXY8F7U
DE(15757/77673)
2. 77673:12pcs/ctn; MA 3L(3L warning EAN#)B收缩膜+MA 23L warning B说明书+MA 5L A收藏指南+2张贴纸(1张UPC#，参考翻单PO#4500158582；1张可折叠警语贴
含德意警告语+IT环保标，参考翻单PO#4500157858)+WEEE_带电池走货 _ 说明书欧洲EN+29L_C版+1张贴纸（Spielzeugpreis Alles fürs Kinderherz，仅出DE需要,
参考翻单PO#4500166480）;
3. 最迟验货不得晚于5/13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</si>
  <si>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0989803754</t>
  </si>
  <si>
    <t>4500199069-10</t>
  </si>
  <si>
    <t>5/15第三方验货</t>
  </si>
  <si>
    <t>4/10寄出1张RFID贴纸，贴纸由ZURU提供，贴纸位置请严格按照我们签回的签板</t>
  </si>
  <si>
    <t>日期码格式：ZURU DGYYMMDD CHINA(日期避开周末和法定节假日即可）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</si>
  <si>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ZB05716-8.17</t>
  </si>
  <si>
    <t>0989803759</t>
  </si>
  <si>
    <t>4500199069-50</t>
  </si>
  <si>
    <t>日期码格式：ZURU DGYYMMDD CHINA(日期避开周末和法定节假日即可） 日期：按实际生产日期
Packaging Info: 1.包装要求：
77711GQ4-S001-NA: MA 1L A版收缩膜+MA 2L B版收藏指南+MA B版说明书+客版1L PDQ
77673TQ1-S001: MA 1L B版收缩膜+MA 5L A版收藏指南+MA B版说明书+MA 1L PDQ
每pcs产品上要贴1张RFID贴纸，贴纸由ZURU提供，贴纸位置请严格按照我们签回的签板；
Remark: 1.包装要求：
77711GQ4-S001-NA: MA 1L A版收缩膜+MA 2L B版收藏指南+MA B版说明书+客版1L PDQ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
77673：4pcs/PDQ/CTN</t>
  </si>
  <si>
    <t>ZB05910-8.17</t>
  </si>
  <si>
    <t>4500199196</t>
  </si>
  <si>
    <t>AG250527-HK</t>
  </si>
  <si>
    <t>4500199196-30</t>
  </si>
  <si>
    <t>4/151张客供警语贴+1张客供电池警语贴纸+1张客供中文警告说明书</t>
  </si>
  <si>
    <t>日期码格式：ZURU INC(BVI) 标准格式                  日期：按实际生产日期
Packaging Info: 此单出HK
7152：MA PKG ，优先 1L（含MA说明书）+1张客供警语贴纸+1张客供电池警告贴纸+1张客供中文警告说明书, 具体参考HK客供警语贴纸位置图
77711GQ1  （INT): MA 3L 收缩膜+1张UPC 条码贴纸(UPC#193052080134) + MA 3L PDQ+MA 5L 收藏指南+HK客供警语贴纸（1张贴球底部，1张贴说明书，1张贴收藏
指南）具体参考HK客供警语贴纸位置图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t>
  </si>
  <si>
    <t>4500198339-10</t>
  </si>
  <si>
    <t>多语警语折叠贴纸（含包装缺失的法/意/西环保标）+WEEE带电池
 出货的欧洲30L通知说明书B版（贴纸翻4500196281）</t>
  </si>
  <si>
    <t xml:space="preserve"> 外箱/产品/包装 保持一致，完货后提供date code 信息以便我们保存记录做批次管理;</t>
  </si>
  <si>
    <t>日期码格式：ZURU INC(BVI) 标准格式                  日期：按实际生产日期
Packaging Info: 77673TQ1:最新MA3LEAN收缩膜+最新MA5L收藏指南+最新MA23L说明书+最新MA纸袋+最新MA 3L PDQ+多语警语折叠贴纸（含包装缺失的法/意/西环保标）+WEEE带电池
出货的欧洲30L通知说明书B版（贴纸翻4500196281）
77711GQ1:最新MA 3L EAN收缩膜+最新MA 5L收藏指南+最新MA 23L说明书+最新MA 5L creative+最新MA纸袋+最新MA 3L PDQ+多语警语折叠贴纸（含包装缺失的法/意/
西环保标）（翻4500197331）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产品出法国，包装或外箱所用的纸板含有超过 50% 的再生材料。</t>
  </si>
  <si>
    <t>4500197810-10</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</si>
  <si>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2.
#77673TQ2: MA 3L EAN_B版彩膜+UPC贴纸, UPC#193052079404; PDQ 客版包装，翻单PO#4500186184;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</si>
  <si>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ZB05810-8.17</t>
  </si>
  <si>
    <t>AMAZON.COM  SERVICES  LLC</t>
  </si>
  <si>
    <t>2G5HO1PC</t>
  </si>
  <si>
    <t>4500197570-20</t>
  </si>
  <si>
    <t>4/28已寄外箱贴纸</t>
  </si>
  <si>
    <t>日期码格式：ZURU INC(BVI) 标准格式 日期：按实际生产日期
Packaging Info: #77673: MA UPC版包装(1L或3L都可)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</si>
  <si>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t>
  </si>
  <si>
    <t>ZB05719-8.17</t>
  </si>
  <si>
    <t>A.S.WATSON  (HEALTH  &amp;  BEAUTY  CONTINE</t>
  </si>
  <si>
    <t>NL2502045</t>
  </si>
  <si>
    <t>4500197430-10</t>
  </si>
  <si>
    <t>5-15 提供自检报告</t>
  </si>
  <si>
    <t>1*黑白荷兰语说明贴纸 2*内袋警语贴纸</t>
  </si>
  <si>
    <t>日期码格式：ZURU INC(BVI) 标准格式 日期：按实际生产日期
Packaging Info: MA B版 3L EAN收缩膜（+1*NL警语贴纸）+MA 5L收藏指南+1*黑白荷兰语说明贴纸+MA 23L黑白电池+UV胶警告语说明书+MA 23L拆件说明书+1*WEEE 最新带电30L 电池
说明书+MA 内袋+2*内袋警语贴纸
204pc KVTBE
900pc KVTNL
Remark: 1.条码
产品条码：4894680042773
外箱条码：04896012075060
2 配比 ： MA 配比
3. 装箱要求：12pcs/carton；
4.需要 2套大货样品
5. 大货外箱的封箱尺寸请按PO上的尺寸做，如有改动，客人会罚款
出欧洲，微塑料需合规（如item本身不含微塑料 则忽略此要求）
6. 此单无须客户第三方验货，但是需要在5/18 提供客户格式的验货报告PSI，待客人放货后才能安排走货。
7. 最终出货工厂需要按船务要求为集装箱挂网，如不按要求挂网导致罚款由工厂承担 。
8. 8.确保在2026年5月份开始使用新WEEE说明书以及新标识的电池.</t>
  </si>
  <si>
    <t>Amy  Xiao</t>
  </si>
  <si>
    <t>4500197430-20</t>
  </si>
  <si>
    <t>A.S.WATSON (HEALTH &amp; BEAUTY CONTINE</t>
  </si>
  <si>
    <t>NL2502041</t>
  </si>
  <si>
    <t>4500197450-10</t>
  </si>
  <si>
    <t>5-15 提供客户格式的验货报告PSI</t>
  </si>
  <si>
    <t>NL警语贴纸 翻单4500197430+黑白警告语说明贴纸（翻单4500197430）+1*WEEE 最新版本带电3
 0L 电池说明书 2*内袋警语贴纸（翻单4500197430）</t>
  </si>
  <si>
    <t>日期码格式：ZURU INC(BVI) 标准格式 日期：按实际生产日期
Packaging Info: MA B版 3L EAN收缩膜（+1*NL警语贴纸）（翻单4500197430）+MA 5L收藏指南+黑白警告语说明贴纸（翻单4500197430）+MA 23L拆件说明书+1*WEEE 最新版本带电3
0L 电池说明书+MA 内袋+2*内袋警语贴纸（翻单4500197430）
2604pc KVTBE
10008pc KVTNL
1008pc TPTNL
Remark: 1.条码
产品条码：4894680042773
外箱条码：04896012075060
2 配比 ： MA 配比
3. 装箱要求：12pcs/carton；
4.需要 2套大货样品
5. 大货外箱的封箱尺寸请按PO上的尺寸做，如有改动，客人会罚款
出欧洲，微塑料需合规（如item本身不含微塑料 则忽略此要求）
6. 此单无须客户第三方验货，但是需要在6/8 提供客户格式的验货报告PSI，待客人放货后才能安排走货。
7. 最终出货工厂需要按船务要求为集装箱挂网，如不按要求挂网导致罚款由工厂承担 。
8.确保在2026年5月份后使用新WEEE说明书以及新标识的电池.</t>
  </si>
  <si>
    <t>4500197450-20</t>
  </si>
  <si>
    <t>NL警语贴纸 翻单4500197430+黑白警告语说明贴纸（翻单4500197430）+1*WEEE 最新版本带电3
 0L 电池说明书+2*内袋警语贴纸（翻单4500197430）</t>
  </si>
  <si>
    <t>4500197450-30</t>
  </si>
  <si>
    <t>4500198503-20</t>
  </si>
  <si>
    <t>LEKEKASSEN AS</t>
  </si>
  <si>
    <t>4500197359-40</t>
  </si>
  <si>
    <t>3/24确认</t>
  </si>
  <si>
    <t>警告语和MADE IN CHINA翻译成丹麦瑞典挪威语/客人进口商地址信息做成一张贴纸+MA paper bag+丹麦/挪威/瑞典/芬兰语警告语
贴在纸袋子上(贴纸和位置图翻PO#4500183825-共用#77111袋子的贴纸文档)+MA B23L（电池+UV胶警告语-23L）说明书+MA 3L PDQ+WEEE_带电池走货
 _ 说明书欧洲EN+29L_C版</t>
  </si>
  <si>
    <t>日期码格式：ZURU INC(BVI) 标准格式                  日期：按实际生产日期
Packaging Info: 
 4. 77673: MA 3L EAN B版收缩膜+警告语和MADE IN CHINA翻译成丹麦瑞典挪威语/客人进口商地址信息做成一张贴纸+MA paper bag+丹麦/挪威/瑞典/芬兰语警告语
贴在纸袋子上(贴纸和位置图翻PO#4500183825-共用#77111袋子的贴纸文档)+MA 5L收藏指南+MA B23L（电池+UV胶警告语-23L）说明书+MA 3L PDQ+WEEE_带电池走货
    说明书欧洲EN+29L_C版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77673-S001:4894680042773</t>
  </si>
  <si>
    <t>4500200402</t>
  </si>
  <si>
    <t/>
  </si>
  <si>
    <t>4500200402-50</t>
  </si>
  <si>
    <t>进口商贴纸+UPC贴纸 进口商贴纸翻单PO4500183983</t>
  </si>
  <si>
    <t>日期码格式：ZURU INC(BVI) 标准格式 日期：按实际生产日期
Packaging Info: 7
77673:MA 多语包装+进口商贴纸+UPC贴纸+箱唛，进口商贴纸翻单PO4500183983</t>
  </si>
  <si>
    <t>4500199498</t>
  </si>
  <si>
    <t>5200009502</t>
  </si>
  <si>
    <t>4500199498-30</t>
  </si>
  <si>
    <t>日期码格式：ZURU INC(BVI) 标准格式                  日期：按实际生产日期
Packaging Info:
#77673: MA UPC版包装(1L或3L都可)
Remark: 1.TikTok US订单。出口美国。外箱尺寸不能超过26*26*26" ，不符合要求的大货，一律不接受。
2.无第三方验货/测试要求。
3. 日期码使用ZURU标准版本。
4.如果大货有要求入邮包盒，则对应的邮包盒上面要打上日期码。</t>
  </si>
  <si>
    <t>ZB05830-8.17</t>
  </si>
  <si>
    <t>4500198705-80</t>
  </si>
  <si>
    <t>4/29进口商贴纸+UPC贴纸</t>
  </si>
  <si>
    <t>指定日期码为DG20260515</t>
  </si>
  <si>
    <t>日期码格式：DG20260515                  日期：
Packaging Info: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</si>
  <si>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4500200296</t>
  </si>
  <si>
    <t>130349</t>
  </si>
  <si>
    <t>4500200296-30</t>
  </si>
  <si>
    <t>4/20已寄价格贴纸客供。2PK的球用无条码收缩膜或加空白贴纸覆盖原条码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</si>
  <si>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Marshalls PO#130349,SKU#926261 DC#881-216PCS, DC#884-156PCS, DC#886-228PCS, DC#887-204PCS, DC#888-192PCS</t>
  </si>
  <si>
    <t>Emily  Wu</t>
  </si>
  <si>
    <t>ZB05851-8.17</t>
  </si>
  <si>
    <t>4500200297</t>
  </si>
  <si>
    <t>130360</t>
  </si>
  <si>
    <t>4500200297-30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</si>
  <si>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PO#130360,SKU#205844 DC#891-312PCS, DC#894-180PCS, DC#896-144PCS, DC#897-336PCS, DC#898-228PCS</t>
  </si>
  <si>
    <t>ZB05812-8.17</t>
  </si>
  <si>
    <t>BR26167</t>
  </si>
  <si>
    <t>4500202375-10</t>
  </si>
  <si>
    <t>日期码格式：ZURU INC(BVI) 标准格式                  日期：按实际生产日期
Packaging Info: 77673：MA 多语包装+进口商贴纸+客户条码贴纸+箱唛，进口商贴纸+客户贴纸翻单PO4500193066
Remark: 外箱胶带要用CANDIDE 格式</t>
  </si>
  <si>
    <t>4500200896</t>
  </si>
  <si>
    <t>4500200896-50</t>
  </si>
  <si>
    <t>6.此单需要准备2套大货样寄到深圳办公室，请注意备料；</t>
  </si>
  <si>
    <t>4/27进口商贴纸+WEEE带电池走货欧洲29语通用黑白说
 明书;</t>
  </si>
  <si>
    <t>日期码格式：ZURU INC(BVI) 标准格式                  日期：按实际生产日期
Packaging Info: 
77673：最新【MA 3L 收缩膜含EAN条码+进口商贴纸】+MA 最新5L收藏指南，MA 最新23L说明书（产品包装和PDQ都需要贴纸）+WEEE带电池走货欧洲29语通用黑白说
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 有关PDQ的贴纸位置图，客户要求我们贴在PDQ的底部，这样客户在打开外箱的 时候不需要取出产品，即可以扫描PDQ条码，在做大货前需帮忙复查下设计提供的
贴纸位置图是否都贴到了底部，避免后续客诉发生
6.此单需要准备2套大货样寄到深圳办公室，请注意备料；</t>
  </si>
  <si>
    <t>6QHKZVFM</t>
  </si>
  <si>
    <t>4500197232-250</t>
  </si>
  <si>
    <t>4/30 外箱贴纸</t>
  </si>
  <si>
    <r>
      <rPr>
        <sz val="11"/>
        <rFont val="宋体"/>
        <charset val="134"/>
      </rPr>
      <t xml:space="preserve">日期码格式：ZURU INC(BVI) 标准格式 日期：按实际生产日期
Packaging Info: Amazon UK: 6QHKZVFM
 Amazon DE: 73Z1OD7E/4G4S7INT
 Amazon ES: 7CIULJPX
 Amazon UK(77673/77731/77785)/DE(157103/15750H/15752ABDEGH/77806)/ES(77673)
 1. 77673: 12pcs/ctn; MA 3L(3L warning EAN#)B收缩膜+MA 23L warning B说明书+MA 5L A收藏指南+2张贴纸(1张UPC#，参考翻单PO#4500158582；1张可折叠警语
贴含德意警告语+IT环保标，参考翻单PO#4500157858)+WEEE_带电池走货 _ 说明书欧洲EN+29L_C版;
 </t>
    </r>
    <r>
      <rPr>
        <sz val="11"/>
        <color rgb="FFFF0000"/>
        <rFont val="宋体"/>
        <charset val="134"/>
      </rPr>
      <t>8. 验货时间不迟于2026/7/3.</t>
    </r>
    <r>
      <rPr>
        <sz val="11"/>
        <rFont val="宋体"/>
        <charset val="134"/>
      </rPr>
      <t xml:space="preserve">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</si>
  <si>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7CIULJPX</t>
  </si>
  <si>
    <t>4500197232-300</t>
  </si>
  <si>
    <t>BE3350</t>
  </si>
  <si>
    <t>4500199906-50</t>
  </si>
  <si>
    <t xml:space="preserve"> 4. 此单需要在CRD前一天预约ZURU QC验货,验货ok才能出货</t>
  </si>
  <si>
    <t>EAN条码贴纸(翻单:4500181926)+Kinderherz 2025 Logo贴纸（翻单：4500166480）+德语警告语贴纸（ 翻单：450016
1168） +WEEE 带电池走货 通用30L 说明书</t>
  </si>
  <si>
    <t>日期码格式：ZURU INC(BVI) 标准格式                  日期：按实际生产日期
Packaging Info: 
77673:客版邮包盒+MA 收缩膜3L版本+客户款号EAN条码贴纸(翻单:4500181926)+Kinderherz 2025 Logo贴纸（翻单：4500166480）+德语警告语贴纸（ 翻单：450016
1168）  +MA电池+UV胶警告语23L说明书+MA纸袋+MA收藏指南5L版本+WEEE 带电池走货 通用30L 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</si>
  <si>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4500202248-40</t>
  </si>
  <si>
    <t>内袋警语贴纸（翻单4500183825）</t>
  </si>
  <si>
    <t>4. date code: 外箱日期码要等于或者晚于产品日期码</t>
  </si>
  <si>
    <t>日期码格式：ZURU INC(BVI) 标准格式                  日期：按实际生产日期
Packaging Info: 
77673TQ1：MA 最新版 3L EAN 收缩膜+1*多语折叠警语贴纸+ MA 23L 电池+UV胶 警告语说明书 +MA 5L 收藏指南+MA 纸袋+内袋警语贴纸（翻单4500183825）+1*
最新版WEEE带电说明书+MA 最新版 3L PDQ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</si>
  <si>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</si>
  <si>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3QZFNL3S</t>
  </si>
  <si>
    <t>4500198299-170</t>
  </si>
  <si>
    <t>4/30已寄SSCC贴纸</t>
  </si>
  <si>
    <t>日期码格式：ZURU INC(BVI) 标准格式                  日期：按实际生产日期
Packaging Info: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#15710: MA 1L UPC版本，产品入window box后再加polybag, polybag需印刷warning, polybag size: (宽250mm*长320mm+55mm,厚0.05mm)及文档同订单#4500194509
。  15710A UPC: 193052074485;  15710B UPC: 193052074492.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#157101: 5PK STD #15756 MA 5L UPC版入邮包盒，邮包盒图稿翻单4500191836.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#15757: MA 5L UPC版本，产品入window box后再加polybag. polybag需印刷warning, polybag size: 宽10.5''*长13.5''+1.5‘’,厚0.05mm。胶袋资料翻单450018
1496. 15757 UPC: 193052087850.
#77731：2PK STD #77711入PVC桶，3L 2PK铜版纸，客版无UPC版本收缩膜翻单4500186575。收藏指南，说明书均为MA 1L标版。（两个球的配比不能重复）。
#77673: MA UPC版包装(1L或3L都可)
#9572：9572A=2PK 9565 (Pink + Brown) ，9572B=2PK 9565 (Blue + Orange) MA 1L包装入邮包盒，邮包盒图稿翻单4500192963。
#7166 MA 3L UPC版本。需要加一张客供防伪帖纸，贴纸跟单提供。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</si>
  <si>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ZB05866-8.17</t>
  </si>
  <si>
    <t>6GV5ZP6U</t>
  </si>
  <si>
    <t>4500198304-210</t>
  </si>
  <si>
    <t>5/28截SI</t>
  </si>
  <si>
    <t>日期码格式：ZURU INC(BVI) 标准格式                  日期：按实际生产日期
Packaging Info: #15757: MA 5L UPC版本，产品入window box后再加polybag. polybag需印刷warning, polybag size: 宽10.5''*长13.5''+1.5‘’,厚0.05mm。胶袋资料翻单450018
1496. 15757 UPC: 193052087850.
#15752: MA 5L UPC版本，产品入window box后再加polybag. polybag需印刷warning, polybag size: 宽10.5''*长13.5''+1.5‘’,厚0.05mm。胶袋资料翻单450016
6364-#15728-1PK. 15752A UPC:193052088345, 15752B UPC:193052088352, 15752D UPC:193052088369, 15752E UPC:193052088376, 15752G UPC:193052088383, 15
752H UPC:193052088390.
#15754: MA 5L UPC版本，产品入window box后再加polybag. polybag需印刷warning, polybag size: 宽10.5''*长13.5''+1.5‘’,厚0.05mm。加上胶袋后window b
ox上的UPC需要能正常扫描。胶袋资料翻单4500166364-#15728-1PK. 15754A UPC:193052088468, 15754B UPC:193052088475, 15754D UPC:193052088482, 15754E UP
C:193052088499, 15754G UPC:193052088505, 15754H UPC:193052088512.
#15780：MA 5L UPC版本，产品入window box后再加polybag (PE胶袋，需打2个孔)，增加保护卡在胶袋内，保护睫毛不变形，polybag size: 15*18+1.5"自粘,需印
刷warning, 胶袋图稿翻单# 4500191631。加上胶袋后window box上的UPC需要能正常扫描。  A:193052099662, B:193052099679, D:193052099686;
#15714: MA 5L UPC版本，产品入window box后再加polybag, polybag需印刷warning, polybag size: 宽10.5*长13.5+1.5‘’,厚0.05mm。Poly bag 跟返单#450018
2860。
#15746: MA 5L UPC版本，产品入window box后再加polybag. polybag需印刷warning, polybag size: 宽10.5''*长13.5''+1.5‘’,厚0.05mm。胶袋资料翻单450016
6364-#15728-1PK. 15746A UPC:193052086235, 15746B UPC:193052086242, 15746D UPC:193052086259, 15746E UPC:193052086266.
#157101: 5PK STD #15756 MA 5L UPC版入邮包盒，邮包盒图稿翻单4500191836.
#15762A：2pk 15727 固定搭配-15727B+ 15727D, MA 5L UPC版本, 产品入window box后再加polybag. 15727原window box上的UPC需要加空白贴纸覆盖。polybag需
印刷warning, polybag size: 35*47*0.005cm. Polybag上需要加产品贴纸显示ASIN, UPC, ""Sold as Set do not Separate"".。胶袋资料和产品贴纸资料翻单4500
169495.
#77673: MA UPC版包装(1L或3L都可)
#9572：9572A=2PK 9565 (Pink + Brown) ，9572B=2PK 9565 (Blue + Orange) MA 1L包装入邮包盒，邮包盒图稿翻单4500192963。
#7150：MA+UPC贴纸，UPC图稿跟返单4500181223,7150A:193052036995, 7150B: 193052037008；
#7166 MA 3L UPC版本。需要加一张客供防伪帖纸，贴纸跟单提供。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</si>
  <si>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ZB05870-8.17</t>
  </si>
  <si>
    <t>TESCO CE</t>
  </si>
  <si>
    <t>4500200650</t>
  </si>
  <si>
    <t>999-76653</t>
  </si>
  <si>
    <t>4500200650-70</t>
  </si>
  <si>
    <t>8.请多备料，需安排2套大货样寄到深圳办公室</t>
  </si>
  <si>
    <t>4/91张4国警告语贴纸Czech-Hugarian-Polish-Slovak)+MA 最新 1L PDQ
UPC#193052079404，请先检查包装条码是否正确再安排做货</t>
  </si>
  <si>
    <t>日期码格式：ZURU INC(BVI) 标准格式                  日期：按实际生产日期
Packaging Info: 
"77673TQ1：MA 最新版1L UPC包装+1张4国警告语贴纸Czech-Hugarian-Polish-Slovak)+MA 最新 1L PDQ
UPC#193052079404，请先检查包装条码是否正确再安排做货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</si>
  <si>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</si>
  <si>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1S5XPTDU</t>
  </si>
  <si>
    <t>4500198303-10</t>
  </si>
  <si>
    <t>日期码格式：ZURU INC(BVI) 标准格式                  日期：按实际生产日期
Packaging Info: #77673: MA UPC版包装(1L或3L都可)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</si>
  <si>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ZB05869-8.17</t>
  </si>
  <si>
    <t>4500201172</t>
  </si>
  <si>
    <t>0993124158</t>
  </si>
  <si>
    <t>4500201172-10</t>
  </si>
  <si>
    <t>5/7 1张RFID贴纸，贴纸由ZURU提供，贴纸位置请严格按照我们签回的签板；</t>
  </si>
  <si>
    <t>日期码格式：ZURU DGYYMMDD CHINA(日期避开周末和法定节假日即可）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</si>
  <si>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ZB05846-8.17</t>
  </si>
  <si>
    <t>0993124332</t>
  </si>
  <si>
    <t>4500201172-20</t>
  </si>
  <si>
    <t>ZB05847-8.17</t>
  </si>
  <si>
    <t>0993124348</t>
  </si>
  <si>
    <t>4500201172-30</t>
  </si>
  <si>
    <t>ZB05978-8.17</t>
  </si>
  <si>
    <t>0993124528</t>
  </si>
  <si>
    <t>4500201172-40</t>
  </si>
  <si>
    <t>ZB06124-8.17</t>
  </si>
  <si>
    <t>0993124561</t>
  </si>
  <si>
    <t>4500201172-50</t>
  </si>
  <si>
    <t>ZB05989-8.17</t>
  </si>
  <si>
    <t>7NZML6KU</t>
  </si>
  <si>
    <t>4500198303-30</t>
  </si>
  <si>
    <t>日期码格式：ZURU INC(BVI) 标准格式                  日期：按实际生产日期
Packaging Info: #77673: MA UPC版包装(1L或3L都可)
#77731：2PK STD #77711入PVC桶，3L 2PK铜版纸，客版无UPC版本收缩膜翻单4500186575。收藏指南，说明书均为MA 1L标版。（两个球的配比不能重复）。
#9572：9572A=2PK 9565 (Pink + Brown) ，9572B=2PK 9565 (Blue + Orange) MA 1L包装入邮包盒，邮包盒图稿翻单4500192963。
#7150：MA+UPC贴纸，UPC图稿跟返单4500181223,7150A:193052036995, 7150B: 193052037008；
#7166 MA 3L UPC版本。需要加一张客供防伪帖纸，贴纸跟单提供。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</si>
  <si>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4500200146-20</t>
  </si>
  <si>
    <t>5. 此单需要每款准备3套大货样，请注意备料；已安排</t>
  </si>
  <si>
    <t>4/22一张客户进口商贴纸+WEEE带电池走货欧洲29L通用黑白说明书</t>
  </si>
  <si>
    <t>7.此单客户指定日期码：202602</t>
  </si>
  <si>
    <t>日期码格式：202602 日期：
Packaging Info:
2.77673：【MA 3L EAN版本包装+一张客户进口商贴纸】+MA 23L说明书+WEEE带电池走货欧洲29L通用黑白说明书；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</si>
  <si>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4500200368-30</t>
  </si>
  <si>
    <t>5/27截SI</t>
  </si>
  <si>
    <t>4/30cat label 1张+WEEE带电池走货说明书</t>
  </si>
  <si>
    <t>包装日期码按ZURU格式即可，请确保不迟于外箱日期码，可等于或者早于外箱日期码，必须为法定工作日。</t>
  </si>
  <si>
    <t>日期码格式：ZURU INC(BVI) 标准格式 日期：按实际生产日期
Packaging Info: 
77673：1L MA UPC 包装+cat label 1张+WEEE带电池走货说明书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</si>
  <si>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4TWPPKLJ</t>
  </si>
  <si>
    <t>4500198303-40</t>
  </si>
  <si>
    <t>4500197812-10</t>
  </si>
  <si>
    <t>ZB05911-8.17</t>
  </si>
  <si>
    <t>4500197801-10</t>
  </si>
  <si>
    <t>5/29截SI</t>
  </si>
  <si>
    <t>ZB05852-8.17</t>
  </si>
  <si>
    <t>4500197999-30</t>
  </si>
  <si>
    <t>1张说明书纽扣电池警告语贴纸+ 1张收缩膜纽扣电池警告语贴纸（客版AW以及电池警告语贴纸&lt;(&gt;&amp;&lt;)&gt;贴纸位置图翻单PO#4500170842）+4/29外箱贴纸SSCC Label</t>
  </si>
  <si>
    <t>日期码格式：ZURU INC(BVI) 标准格式                  日期：按实际生产日期
Packaging Info: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</si>
  <si>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4500198000-30</t>
  </si>
  <si>
    <t>日期码格式：ZURU INC(BVI) 标准格式                  日期：按实际生产日期
Packaging Info: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</si>
  <si>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4500201690-30</t>
  </si>
  <si>
    <t>5/26第三方验货，烦请多备包装物料；</t>
  </si>
  <si>
    <t>UPC贴纸(UPC:193052079404)UV胶瓶身贴
(UPC贴纸翻单：4500160504)</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</si>
  <si>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</si>
  <si>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0990381870</t>
  </si>
  <si>
    <t>4500199432-10</t>
  </si>
  <si>
    <t>5/27BV验货</t>
  </si>
  <si>
    <t>4500198350-30</t>
  </si>
  <si>
    <t>警告语贴纸(贴纸和位置图翻PO#4500192711)+MA paper bag+丹麦/挪威/瑞典/芬兰语警告语贴在纸袋子上(贴纸和位置图翻PO#4500183825-共用#77111袋子的贴纸文档)书+MA 3L PDQ+WEEE_带电池走货 _ 说明书欧洲EN+30L-C版</t>
  </si>
  <si>
    <t>日期码格式：ZURU INC(BVI) 标准格式                  日期：按实际生产日期
Packaging Info: 
 3. 77673TQ1: MA 3L EAN B版收缩膜+丹麦瑞典芬兰挪威警告语贴纸(贴纸和位置图翻PO#4500192711)+MA paper bag+丹麦/挪威/瑞典/芬兰语警告语贴在纸袋子上(贴
纸和位置图翻PO#4500183825-共用#77111袋子的贴纸文档)+MA 5L收藏指南+MA B23L（电池+UV胶警告语-23L）说明书+MA 3L PDQ+WEEE_带电池走货 _ 说明书欧洲EN+
 30L-C版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7150-S001:4894680019836
92119-S005-NB:4894680042247
77673TQ1-S001:4894680042773
77711GQ2-S002-INT:4894680043350
9296-S001-NB:4894680029606</t>
  </si>
  <si>
    <t>WOOLWORTH  TRADING  S.A.  DE  C.V.</t>
  </si>
  <si>
    <t>26-215  CT</t>
  </si>
  <si>
    <t>4500197125-20</t>
  </si>
  <si>
    <t>4/20进口商贴纸+Rating Label(贴产品上)+警告保修卡可用A4纸双面打印</t>
  </si>
  <si>
    <t>日期码格式：ZURU INC(BVI) 标准格式 日期：按实际生产日期
Packaging Info: 
2. 77673/9574：MA 3L EAN包装+进口商贴纸+Rating Label(贴产品上)+warning warranty card+箱唛，warning warranty card(警告保修卡可用A4纸双面打印)
Remark: 1. 此单需提交自检报告给客户确认，待客户确认放货后，才允许出货。
3. 77673：3PCS AG13 BATTERIES(INCLUDED)</t>
  </si>
  <si>
    <t>Ever  Li</t>
  </si>
  <si>
    <t>26-218  CC</t>
  </si>
  <si>
    <t>4500197160-20</t>
  </si>
  <si>
    <t>26-217  CVH</t>
  </si>
  <si>
    <t>4500197152-20</t>
  </si>
  <si>
    <t>需要安排1pc监柜样板用于监装</t>
  </si>
  <si>
    <t>26-216  CM</t>
  </si>
  <si>
    <t>4500197140-20</t>
  </si>
  <si>
    <t>日期码格式：ZURU INC(BVI) 标准格式 日期：按实际生产日期
Packaging Info:
2. 77673/9574：MA 3L EAN包装+进口商贴纸+Rating Label(贴产品上)+warning warranty card+箱唛，warning warranty card(警告保修卡可用A4纸双面打印)，所
有贴纸和warning warranty card都翻单PO 4500197125
Remark: 1. 此单需提交自检报告给客户确认，待客户确认放货后，才允许出货。
3. 77673：3PCS AG13 BATTERIES(INCLUDED)</t>
  </si>
  <si>
    <t>4500201779-40</t>
  </si>
  <si>
    <t xml:space="preserve"> 4. 此单需要在CRD前一天预约ZURU QC验货提供验货图片给客户确认才能出货</t>
  </si>
  <si>
    <t>Kinderherz 2025 Logo贴纸（翻单：4500166480）+德语警告语贴纸（ 翻单：4500161168）</t>
  </si>
  <si>
    <t xml:space="preserve">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</si>
  <si>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77673：MA B版3L EAN 收缩膜+Kinderherz 2025 Logo贴纸（翻单：4500166480）+德语警告语贴纸（ 翻单：4500161168） +MA电池+UV胶警告语23L说明书+MA纸袋+M
 A收藏指南5L-A版本+WEEE 带电池走货 通用 D版29L 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Order Modifiable</t>
  </si>
  <si>
    <t>TJX UK C/O TJX DISTRIBUTION LTD &amp; C</t>
  </si>
  <si>
    <t>4500201132</t>
  </si>
  <si>
    <t>55795612</t>
  </si>
  <si>
    <t>4500201132-50</t>
  </si>
  <si>
    <t>6/1截SI</t>
  </si>
  <si>
    <t>4/24一张客供价格贴纸+4/20一张警告语贴纸（德语/波兰语/荷兰语）</t>
  </si>
  <si>
    <t>日期码格式：ZURU INC(BVI) 标准格式 日期：按实际生产日期
Packaging Info:  77785:MA 3L UPC包装+一张客供价格贴纸+一张警告语贴纸（德语/波兰语/荷兰语）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出口欧洲，微塑料需符合法规，涉及到相关款式会有闪粉的或者微塑料的，请统一默认出无闪粉或者不含微塑料版本;
 8. 外箱封箱必须是工字型封箱方式；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t>
  </si>
  <si>
    <t>TJX UK</t>
  </si>
  <si>
    <t>4500201091</t>
  </si>
  <si>
    <t>50795599</t>
  </si>
  <si>
    <t>4500201091-50</t>
  </si>
  <si>
    <t>6/3截SI</t>
  </si>
  <si>
    <t>4/23一张客供价格贴纸</t>
  </si>
  <si>
    <t>日期码格式：ZURU INC(BVI) 标准格式                  日期：按实际生产日期
Packaging Info: 
77785:MA 3L 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客供价格贴纸位置为产品正面右上角，不能遮住产品信息，有无客供价格贴纸请参考该单包装信息一栏的备注，没备注就是没有；如有请在大货生产前把贴纸位
置先发给跟单确认
 6. 涉及到相关款式会有闪粉的或者微塑料的，请统一默认出无闪粉或者不含微塑料版本;
 7. 外箱封箱必须是工字型封箱方式；"</t>
  </si>
  <si>
    <t>8SRTRZLX</t>
  </si>
  <si>
    <t>4500201277-60</t>
  </si>
  <si>
    <t>空白外箱（加印带Zuru字样的最新logo，除了邮包盒直接做外箱的产品）  + SSCC LABEL一张, 无箱唛，MADE IN CHINA 外箱只印一正一侧。箱唛资料按照给定的
标准去做即可，无需发回我方再行审批(新标准将另行通知)。</t>
  </si>
  <si>
    <t>2张贴纸(1张UPC#，参考翻单PO#4500158582；1张可折叠警语贴
含德意警告语+IT环保标，参考翻单PO#4500157858)+4/23SSCC LABEL一张</t>
  </si>
  <si>
    <t>日期码格式：ZURU INC(BVI) 标准格式                  日期：按实际生产日期
Packaging Info: Amazon DE:48F4XT2K
Amazon ES:8SRTRZLX
Amazon UK:76R8OF5K/5L2NQ1EM/5AKNDX6G/56V56PGC/2VXV49RU/1W8YE3KG
DE(9574/157114A)/ES(15757/77806/77731/77673)/UK(157143/15757/17588A/71172/77876/92146BDG/9574)
 6. 77673:12pcs/ctn; MA 3L(3L warning EAN#)B收缩膜+MA 23L warning B说明书+MA 5L A收藏指南+2张贴纸(1张UPC#，参考翻单PO#4500158582；1张可折叠警语贴
含德意警告语+IT环保标，参考翻单PO#4500157858)+WEEE_带电池走货 _ 说明书欧洲EN+30L_B版
 12.  最迟验货不得晚于5/26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</si>
  <si>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AMAZON  UK</t>
  </si>
  <si>
    <t>551XLD5H</t>
  </si>
  <si>
    <t>4500197236-40</t>
  </si>
  <si>
    <t>日期码格式：ZURU INC(BVI) 标准格式 日期：按实际生产日期
Packaging Info: Amazon UK: 72KTYPEK/551XLD5H/4KLB5EKD
Amazon UK(157101/77731/77785/77673/9565E)
4. 77673:12pcs/ctn; MA 3L(3L warning EAN#)B收缩膜+MA 23L warning B说明书+MA 5L A收藏指南+2张贴纸(1张UPC#，参考翻单PO#4500158582；1张可折叠警语贴
含德意警告语+IT环保标，参考翻单PO#4500157858)+WEEE_带电池走货 _ 说明书欧洲EN+29L_C版
6. 验货时间不迟于2026/5/29.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</si>
  <si>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IDEN HAMBURG GMBH</t>
  </si>
  <si>
    <t>795620202604</t>
  </si>
  <si>
    <t>4500202309-20</t>
  </si>
  <si>
    <t>6/11截SI</t>
  </si>
  <si>
    <t>DE IT警语贴纸（翻4500187921）</t>
  </si>
  <si>
    <t>5.所有出往GAS市场(德国/奥地利/瑞士)的电子产品身上需要加字唛，为ZURU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t>
  </si>
  <si>
    <t>D版带电池走货EU通用29L WEEE说明书</t>
  </si>
  <si>
    <t>日期码格式：ZURU INC(BVI) 标准格式 日期：按实际生产日期
Packaging Info:
77673TQ1：MA B版 3L EAN收缩膜+DE IT警语贴纸（翻4500187921），MA 5L收藏指南，MA配件袋，D版带电池走货EU通用29L WEEE说明书，MA 3L PDQ
Remark: 1.外箱上下需加保护卡，以防开箱时产品被划破。（保护卡需要是整面）
2.此单出德国，走整柜。
3.如有推期会有罚款，请务必按时完货，并提醒QC需要在5月29号当天上传好ZURU STD验货报告，需要发给客人批放货。
4.出口欧洲，微塑料需符合法规；电池符合欧洲法规要求(如有)；化学品无硼无香。
5.所有出往GAS市场(德国/奥地利/瑞士)的电子产品身上需要加字唛，为ZURU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6.所有出往德国订单的电子产品需增加一张C版通用29L WEEE声明说明书，区分带电池出货和不带电池出货版本, 如已做客版说明书可忽略此要求。
7.STD配比</t>
  </si>
  <si>
    <t>4500197808-10</t>
  </si>
  <si>
    <t>6/8截SI</t>
  </si>
  <si>
    <t>DC运输贴纸（所有产品均需要），PDQ 标识贴纸（带PDQ的item需要此贴纸，如果不带PDQ则不需要）贴纸尺寸以提供的箱唛资料为准</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</si>
  <si>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2.#77673TQ2: MA 3L EAN_B版彩膜+UPC贴纸, UPC#193052079404; PDQ 客版包装，翻单PO#4500186184; 3PCS AG13 BATTERIES(INCLUDED);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</si>
  <si>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ZB06081-8.17</t>
  </si>
  <si>
    <t>AMAZON ES</t>
  </si>
  <si>
    <t>4JWPFBIZ</t>
  </si>
  <si>
    <t>4500201281-30</t>
  </si>
  <si>
    <t>空白外箱（加印带Zuru字样的最新logo，除了邮包盒直接做外箱的产品）</t>
  </si>
  <si>
    <t>2张贴纸(1张UPC#，参考翻单PO#4500158582；1张可折叠警语贴
含德意警告语+IT环保标，参考翻单PO#4500157858)+4/30SSCC LABEL一张</t>
  </si>
  <si>
    <t>日期码格式：ZURU INC(BVI) 标准格式                  日期：按实际生产日期
Packaging Info: Amazon ES:5V3BLUMK
Amazon FR:41VBZ3OI
Amazon IT(87HSB9BG
Amazon UK(4JWPFBIZ)
ES(77806/15728G)/FR(15757)/IT(77673)/UK(77673)
 3. 77673:12pcs/ctn; MA 3L(3L warning EAN#)B收缩膜+MA 23L warning B说明书+MA 5L A收藏指南+2张贴纸(1张UPC#，参考翻单PO#4500158582；1张可折叠警语贴
含德意警告语+IT环保标，参考翻单PO#4500157858)+WEEE_带电池走货 _ 说明书欧洲EN+30L_B版
 5.  最迟验货不得晚于6/2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</si>
  <si>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87HSB9BG</t>
  </si>
  <si>
    <t>4500201281-40</t>
  </si>
  <si>
    <t>2张贴纸(1张UPC#，参考翻单PO#4500158582；1张可折叠警语贴
含德意警告语+IT环保标，参考翻单PO#4500157858)+ 4/24SSCC LABEL一张</t>
  </si>
  <si>
    <t>日期码格式：ZURU INC(BVI) 标准格式                  日期：按实际生产日期
Packaging Info: Amazon ES:5V3BLUMK
Amazon FR:41VBZ3OI
Amazon IT(87HSB9BG
Amazon UK(4JWPFBIZ)
ES(77806/15728G)/FR(15757)/IT(77673)/UK(77673)
 3. 77673:12pcs/ctn; MA 3L(3L warning EAN#)B收缩膜+MA 23L warning B说明书+MA 5L A收藏指南+2张贴纸(1张UPC#，参考翻单PO#4500158582；1张可折叠警语贴
含德意警告语+IT环保标，参考翻单PO#4500157858)+WEEE_带电池走货 _ 说明书欧洲EN+30L_B版
 5.  最迟验货不得晚于6/2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</si>
  <si>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OUTLET GROUP AS</t>
  </si>
  <si>
    <t>4500202476</t>
  </si>
  <si>
    <t>20175</t>
  </si>
  <si>
    <t>4500202476-10</t>
  </si>
  <si>
    <t>丹麦瑞典芬兰挪威警告语贴纸(贴纸和位置图翻Lekia PO#4500192711)+MA paper bag+丹麦/挪威/瑞典/芬兰语警告语贴在纸袋子上(贴
 纸和位置图翻PO#4500183825-共用#77111袋子的贴纸文档)+WEEE_带电池走货 30L</t>
  </si>
  <si>
    <t>日期码格式：ZURU INC(BVI) 标准格式 日期：按实际生产日期
Packaging Info: 77673：MA 3L EAN B版收缩膜+丹麦瑞典芬兰挪威警告语贴纸(贴纸和位置图翻Lekia PO#4500192711)+MA paper bag+丹麦/挪威/瑞典/芬兰语警告语贴在纸袋子上(贴
 纸和位置图翻PO#4500183825-共用#77111袋子的贴纸文档)+MA 5L收藏指南+MA B23L（电池+UV胶警告语-23L）说明书+WEEE_带电池走货 30L
Remark: 1. 按标准配比
 2. 产品和包装要求无硼无香，包装不能含有PVC，玩具成分不能含有石棉
 3. 如有微塑料，必须合规欧洲标准，并增加微塑料合规IFUD声明在说明书上
 4. 带电池出货的产品，所用到的电池需要符合欧洲电池新规(EU)2023-1542，并增加对应WEEE 说明书</t>
  </si>
  <si>
    <t>4500200300</t>
  </si>
  <si>
    <t>130351</t>
  </si>
  <si>
    <t>4500200300-30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</si>
  <si>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Marshalls PO#130351,SKU#926214 DC#881-216PCS, DC#884-156PCS, DC#886-228PCS, DC#887-204PCS, DC#888-192PCS</t>
  </si>
  <si>
    <t>ZB06012-8.17</t>
  </si>
  <si>
    <t>4500200301</t>
  </si>
  <si>
    <t>130362</t>
  </si>
  <si>
    <t>4500200301-30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</si>
  <si>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PO#130362,SKU#205918 DC#891-252PCS, DC#894-204PCS, DC#896-168PCS, DC#897-372PCS, DC#898-204PCS</t>
  </si>
  <si>
    <t>ZB06013-8.17</t>
  </si>
  <si>
    <t>CONCENTRA, S.A.</t>
  </si>
  <si>
    <t>葡萄牙</t>
  </si>
  <si>
    <t>F202/20260032</t>
  </si>
  <si>
    <t>4500202366-40</t>
  </si>
  <si>
    <t>5/71张客人logo贴纸+1张客户进口商贴纸+MA</t>
  </si>
  <si>
    <t>4. 产品及包装需要印CE logo图标</t>
  </si>
  <si>
    <t>日期码格式：ZURU INC(BVI) 标准格式                  日期：按实际生产日期
Packaging Info:
77673：  MA 最新 3L 收缩膜含EAN条码+1张客人logo贴纸+1张客户进口商贴纸+MA 最新5L收藏指南，MA 最新23L说明书+WEEE带电池走货欧洲29语通用黑白说明书;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t>
  </si>
  <si>
    <t>CARREFOUR FRANCE</t>
  </si>
  <si>
    <t>4500200740</t>
  </si>
  <si>
    <t>43CHT26FRCA0785</t>
  </si>
  <si>
    <t>4500200740-20</t>
  </si>
  <si>
    <t>1.大货样品2套，请多备料。已安排</t>
  </si>
  <si>
    <t>5. 要求使用双坑纸箱，外箱尺寸超出7%有350USD的罚款，请注意外箱尺寸变更不能超出7%。
 6. 客人系统外箱尺寸:
TY161396 77711GQ2 41.00 cmx21.50 cmx32.00 cm
TY161398 77673TQ1 41.70 cmx40.10 cmx26.80 cm</t>
  </si>
  <si>
    <t>日期码格式：ZURU INC(BVI) 标准格式                  日期：按实际生产日期
Packaging Info: 
77673TQ1：  MA 3L EAN收缩膜(4894680042773)，MA 纸袋，MA 5L收藏指南，MA 5L UV 贴纸，  MA 电池+UV胶警告语-23L 说明书+WEEE_带电池走货 _ 说明书欧洲, M
A 3L PDQ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TY161396 77711GQ2 41.00 cmx21.50 cmx32.00 cm
TY161398 77673TQ1 41.70 cmx40.10 cmx26.80 cm
7.所有出往欧洲市场订单的电子产品需增加一张WEEE声明说明书，区分带电池和不带电池版本, 如已做客版说明书可忽略此要求。</t>
  </si>
  <si>
    <t>Amber Zhang</t>
  </si>
  <si>
    <t>43CHT26FRCA0786</t>
  </si>
  <si>
    <t>4500200740-30</t>
  </si>
  <si>
    <t>43CHT26FRCH0825</t>
  </si>
  <si>
    <t>4500200740-60</t>
  </si>
  <si>
    <t>4500200742</t>
  </si>
  <si>
    <t>43CHT26FRCA0771</t>
  </si>
  <si>
    <t>4500200742-20</t>
  </si>
  <si>
    <t>43CHT26FRCH0823</t>
  </si>
  <si>
    <t>4500200742-50</t>
  </si>
  <si>
    <t>4500200438</t>
  </si>
  <si>
    <t>AG250564 -HK</t>
  </si>
  <si>
    <t>4500200438-20</t>
  </si>
  <si>
    <t>4/241张客供警语贴+1张客供电池警语贴纸+1张客供中文警告说明书</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</si>
  <si>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Remark:</t>
  </si>
  <si>
    <t>PRÉNATAL RETAIL GROUP ASIAPACIFIC</t>
  </si>
  <si>
    <t>4500202516-10</t>
  </si>
  <si>
    <t>5/29第三方验货，请在约三方验货前必须PASS ZURU验货。</t>
  </si>
  <si>
    <t>6/4截SI</t>
  </si>
  <si>
    <t>一张EAN:4894680050945条码贴
纸（翻4500163212）+两张空白贴纸（贴在球的条码上，翻4500191607）+5/8一张进口商贴纸（含希腊警语+意大利环保标）+一张产品贴纸（翻4500163212）+一张WEEE
说明书纸（翻4500163212）</t>
  </si>
  <si>
    <t>2.已安排大货样品2套/item，用于客人验货签板。验货后还会抽办1套/item，请多备料。球类请寄3套+一套配件；具体见邮件通知</t>
  </si>
  <si>
    <t>日期码格式：LOT2622                  日期：
Packaging Info: 1. 77785：客版彩盒（翻4500194447）+最新MA 3L EAN包装+最新MA 3L 彩盒+最新MA 23L说明书+最新MA 5L收藏指南+最新MA 5L包装+一张EAN:4894680050945条码贴
纸（翻4500163212）+两张空白贴纸（贴在球的条码上，翻4500191607）+一张进口商贴纸（含希腊警语+意大利环保标）+一张产品贴纸（翻4500163212）+一张WEEE
说明书纸（翻4500163212）
Remark: 1.RATIO 同MA 一致。
2.大货样品2套/item，用于客人验货签板。验货后还会抽办1套/item，请多备料。球类请寄3套+一套配件；具体见邮件通知
3.客人日期码：LOT2622，包装（含收缩膜等）/产品/外箱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所有带电产品请复核跟单是否有提供客人指定内容的WEEE说明书（非通用29L版本）；如果做了客版说明书，一般会将weee说明加进客版说明书中</t>
  </si>
  <si>
    <t>PRENATAL RETAIL GROUP SPAIN S.L.</t>
  </si>
  <si>
    <t>4500202524-10</t>
  </si>
  <si>
    <t>5/30第三方验货，请在约三方验货前必须PASS ZURU验货。</t>
  </si>
  <si>
    <t>一张mother EAN：4894680050945条码贴纸+一张进口商贴纸+一张产品贴纸+一张WEEE说明
书纸，都翻4500164587</t>
  </si>
  <si>
    <t xml:space="preserve"> 3. 新品需提供2套大货样品给客人，客人会签回一套，验货后验货员需要封1套板寄给香港办公室，请多备料，具体样板需求详见后续邮件通知</t>
  </si>
  <si>
    <t>日期码格式：LOT2622                  日期：
Packaging Info: 1. 77785：客版彩盒（翻4500194447）+最新MA 3L EAN包装+最新MA 彩盒+一张mother EAN：4894680050945条码贴纸+一张进口商贴纸+一张产品贴纸+一张WEEE说明
书纸，都翻4500164587
Remark: 1. 订单出欧洲国家-西班牙，产品不能含有闪粉/微塑料，请确保所有包装都有西班牙环保标。
 2. 客人格式日期码 LOT2622，包装（含收缩膜等）/产品/外箱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</si>
  <si>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4500200402-230</t>
  </si>
  <si>
    <t>77937-S001-77673-INT</t>
  </si>
  <si>
    <t>1pcs迷你冰箱+2pcs迷你球混装（客版）</t>
  </si>
  <si>
    <t xml:space="preserve">进口商贴纸+空白贴纸 </t>
  </si>
  <si>
    <t>77782:客版翻单PO4500161302</t>
  </si>
  <si>
    <t>日期码格式：ZURU INC(BVI) 标准格式 日期：按实际生产日期
Packaging Info:
 77937:客版彩盒+进口商贴纸+箱唛（1PK 77763 MA 多语收缩膜+2PK 77782:客版翻单PO4500161302，订单上的资料的item 号码维持77785
Remark:</t>
  </si>
  <si>
    <t>4500199969-80</t>
  </si>
  <si>
    <t>UPC贴纸+进口商贴纸+5/14价标贴纸+保证书 进口商贴纸/UPC贴纸
和保证书翻单PO4500177857</t>
  </si>
  <si>
    <t>2.此单有第三方监柜，不用额外准备备品，会在大货中每款拆1pc，拆了包装的产品会由监装员用客供胶带封好或在外箱上写上""opened by telescope"</t>
  </si>
  <si>
    <t>日期码格式：ZURU INC(BVI) 标准格式 日期：按实际生产日期
Packaging Info:
77673/77773GQ2:MA多语 包装+MA 多语说明书（含西语）+UPC贴纸+进口商贴纸+价标贴纸+保证书+箱唛，包装/说明书都需要贴一张进口商贴纸,进口商贴纸/UPC贴纸
和保证书翻单PO4500177857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</si>
  <si>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2000009902</t>
  </si>
  <si>
    <t>4500199646-30</t>
  </si>
  <si>
    <t>5/30 第三方验货大货样品2套/item，已安排用于客人验货签板。验货后还会抽办1套/item，请多备料。</t>
  </si>
  <si>
    <t>两张空白贴纸（贴在球的条码上，翻4500191607）+一张进口商贴纸+一张产品贴纸（贴在球外壳再吸收缩膜）+一张WEEE说明书纸,都翻4500163211</t>
  </si>
  <si>
    <t>日期码格式：LOT2622                  日期：
Packaging Info: 
 3. 77785:最新MA 3L EAN包装+最新MA 3L 彩盒+最新MA 23L说明书+最新MA 5L收藏指南+最新MA 5L包装+一张EAN:4894680050945条码贴纸（贴彩盒）+两张空白贴纸
（贴在球的条码上，翻4500191607）+一张进口商贴纸+一张产品贴纸（贴在球外壳再吸收缩膜）+一张WEEE说明书纸,都翻4500163211
Remark: 1. 大货样品2套/item，用于客人验货签板。验货后还会抽办1套/item，请多备料；
 2. 客版日期码LOT2622, 包装（含收缩膜等）/产品/外箱 请保持一致;77869的日期码为LOT2623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</si>
  <si>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0038103306</t>
  </si>
  <si>
    <t>4500201833-10</t>
  </si>
  <si>
    <t>贴Packing Slip一张在箱唛资料详细内容</t>
  </si>
  <si>
    <t>日期码格式：ZURU INC(BVI) 标准格式                  日期：按实际生产日期
Packaging Info: 1. 包装：ZURU MA 1L UPC版本最新包装；出口美国;
Remark: 2. 日期跟踪码：产品外包装及产品本身都必须有日期跟踪码；ZURU标准格式日期码 (请自行调整具体年月日生产期，但不能为周末）
3. 外箱贴纸：
外箱除了需要印刷箱唛外，还需额外加贴Packing Slip一张
Packing Slip: 每款产品第一箱的外箱都需在1面正唛右上角处贴上Packing Slip（跟单提供资料；工厂用A4纸打印）,见箱唛资料详细内容。
4. 出货配比：ZURU 标版配比</t>
  </si>
  <si>
    <t>ZB06170-8.17</t>
  </si>
  <si>
    <t>0038069712</t>
  </si>
  <si>
    <t>4500201833-80</t>
  </si>
  <si>
    <t>4500197236-20</t>
  </si>
  <si>
    <t>4/30已寄外箱贴纸+5/15WEEE_带电池走货 _ 说明书欧洲EN+29L_C版+1张贴纸(含DE/IT 警告语, 贴彩盒)</t>
  </si>
  <si>
    <t>日期码格式：ZURU INC(BVI) 标准格式 日期：按实际生产日期
Packaging Info: Amazon UK: 72KTYPEK/551XLD5H/4KLB5EKD
 Amazon UK(157101/77731/77785/77673/9565E)
 3.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说明书欧洲EN+29L_C版+1张贴纸(含DE/IT 警告语, 贴彩盒)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</si>
  <si>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4500198503-50</t>
  </si>
  <si>
    <t>日期码格式：ZURU INC(BVI) 标准格式 日期：按实际生产日期
Packaging Info: 物料要求 SKU
1 77711GQ1 MA PDQ +外挂中文收藏指南+中文说明书+黑白警告语+收缩膜年龄贴（8+） 翻单： 4500195548
2.77785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</si>
  <si>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4500198503-70</t>
  </si>
  <si>
    <t>4500202382-10</t>
  </si>
  <si>
    <t>彩色贴纸+进口商贴纸（贴纸翻单4500162345）；收缩膜+进口商贴纸(含G Mark, QR code, 阿拉伯警语) （贴纸翻单4500162345）；贴
纸上的QR code需微信可扫;
MA收藏指南+彩色贴纸（贴纸翻单4500162345）；一张客制黑白说明书纸（书纸翻单4500162345）；</t>
  </si>
  <si>
    <t xml:space="preserve">日期码格式：ZURU INC(BVI) 标准格式 日期：按实际生产日期
Packaging Info: 出UAE, 包装不能有希伯来语，需备两套大货版寄到SZ办公室。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所有包装需要不含希伯来语/Hebrew/(He) 语言
Remark:
</t>
  </si>
  <si>
    <t>沙特</t>
  </si>
  <si>
    <t>4500202631-10</t>
  </si>
  <si>
    <t>彩色贴纸+进口商贴纸（贴纸翻单4500162345）；收缩膜+进口商贴纸(含G Mark, QR code, 阿拉伯警语) （贴纸翻单4500162345）；贴
纸上的QR code需微信可扫;
MA收藏指南+彩色贴纸（贴纸翻单4500162345）一张客制黑白说明书纸（书纸翻单4500162345）；</t>
  </si>
  <si>
    <t>日期码格式：ZURU INC(BVI) 标准格式 日期：按实际生产日期
Packaging Info: 出KSA, 所有包装不能有希伯来语（HE), 所有RBC的产品（内外）包装上都不能有彩虹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t>
  </si>
  <si>
    <t>测试板（不用做货）</t>
  </si>
  <si>
    <t>ZMPO260545</t>
  </si>
  <si>
    <t>ZMPO260545-20</t>
  </si>
  <si>
    <t>粉色冰箱</t>
  </si>
  <si>
    <t>Remark粉色冰箱胶件，不要包装备注： 收到样品订单后尽快安排 ，注意样板品质质量要求要高于大货品质要求 ，送货时必须要附带送货单(没有送货单和QC检验合格报告的仓库一律拒绝收货)，请知悉，谢谢！</t>
  </si>
  <si>
    <t>#</t>
  </si>
  <si>
    <t>ZMPO260545-10</t>
  </si>
  <si>
    <t>迷你冰箱2代</t>
  </si>
  <si>
    <t>Remark改成米色后的冰箱胶件，不要包装备注： 收到样品订单后尽快安排 ，注意样板品质质量要求要高于大货品质要求 ，送货时必须要附带送货单(没有送货单和QC检验合格报告的仓库一律拒绝收货)，请知悉，谢谢！</t>
  </si>
  <si>
    <t>样板单</t>
  </si>
  <si>
    <t>ZMPO260526</t>
  </si>
  <si>
    <t>ZMPO260526-10</t>
  </si>
  <si>
    <t>Remark；大货最新版本包装/大货标准箱装箱/箱唛请参照邮件附件；备注：收到样品订单后尽快安排 ，注意样板品质质量要求要高于大货品质要求 ，送货时必须要附带送货单(没有送货单和QC检验合格报告的仓库一律拒绝收货)，请知悉，谢谢！</t>
  </si>
  <si>
    <t>ZMPO260526-20</t>
  </si>
  <si>
    <t>Remark；大货版本/大货标准箱装箱/箱唛请参照邮件附件；备注： 收到样品订单后尽快安排 ，注意样板品质质量要求要高于大货品质要求 ，送货时必须要附带送货单(没有送货单和QC检验合格报告的仓库一律拒绝收货)，请知悉，谢谢！</t>
  </si>
  <si>
    <t>4500198503-90</t>
  </si>
  <si>
    <t>4500198503-100</t>
  </si>
  <si>
    <t>4500201723-10</t>
  </si>
  <si>
    <t xml:space="preserve"> 6/5~6/8</t>
  </si>
  <si>
    <t>5/15价格贴纸，价格贴纸客供。2PK的球用无条码收缩膜或加空白贴纸覆盖原条码。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</si>
  <si>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item#77673: Marshalls PO#127316,SKU#924522 DC#881-312PCS, DC#886-240PCS, DC#887-204PCS, DC#888-240PCS</t>
  </si>
  <si>
    <t>ZB06082-8.17</t>
  </si>
  <si>
    <t>4500201724-10</t>
  </si>
  <si>
    <t>6/6截SI</t>
  </si>
  <si>
    <t>5-15价格贴纸，价格贴纸客供。2PK的球用无条码收缩膜或加空白贴纸覆盖原条码。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</si>
  <si>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PO#127329,SKU#203756 DC#891-276PCS, DC#894-180PCS, DC#896-192PCS, DC#897-324PCS, DC#898-228PCS</t>
  </si>
  <si>
    <t>ZB06083-8.17</t>
  </si>
  <si>
    <t>SALLING GROUP A/S</t>
  </si>
  <si>
    <t>4500193716-40</t>
  </si>
  <si>
    <t>77673/77711是新品，请在4/23前各寄两套大货样给客人留底</t>
  </si>
  <si>
    <t>丹麦瑞典芬兰挪威警告语贴纸(贴纸和位置图翻Lekia PO#4500192711)+丹麦/挪威/瑞典/芬兰语警告语贴在纸袋
子上(贴纸和位置图翻PO#4500183825</t>
  </si>
  <si>
    <t>日期码格式：ZURU INC(BVI) 标准格式 日期：按实际生产日期
Packaging Info: 
4. 77673TQ1: MA 3L EAN B版收缩膜+丹麦瑞典芬兰挪威警告语贴纸(贴纸和位置图翻Lekia PO#4500192711)+MA paper bag+丹麦/挪威/瑞典/芬兰语警告语贴在纸袋
子上(贴纸和位置图翻PO#4500183825-共用#77111袋子的贴纸文档)+MA 5L收藏指南+MA B23L（电池+UV胶警告语-23L）说明书+MA 3L PDQ+WEEE_带电池走货 _ 说明书
欧洲EN+29L_C版
Remark: * 请准备一个40尺高柜的安全网，客人要求所有柜货需要加安全网出货，漏拉网会有罚款产生
* 92146/92147/9574/77673/77711是新品，请在4/23前各寄两套大货样给客人留底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7. 产品条码如下: 请先检查条码是否正确再安排做货，如有问题请告知:
77673TQ1-S001:4894680042773</t>
  </si>
  <si>
    <t>4500202457</t>
  </si>
  <si>
    <t>15090</t>
  </si>
  <si>
    <t>4500202457-220</t>
  </si>
  <si>
    <t>进口商贴纸+带纽扣电池走货北欧六语通用黑白电池说明书_OL_画板 1(翻单4500163205
)+进口商贴纸(贴纸翻单4500163205)</t>
  </si>
  <si>
    <t>日期码格式：ZURU INC(BVI) 标准格式                  日期：按实际生产日期
Packaging Info: 
77673TQ1：MA EAN 3L收缩膜 +MA 23L 电池警告语说明书 +MA-A 3L 展示盒+进口商贴纸+带纽扣电池走货北欧六语通用黑白电池说明书_OL_画板 1(翻单4500163205
)+进口商贴纸(贴纸翻单4500163205)+MA其他包装
Remark: 产品和包装要求无硼无香，包装不能含有PVC;
如有微塑料，必须合规欧洲标准，闪粉也是微塑料的一种，目前仅接受三张方式1.去除，2.用可降解材料，和3.永久封印在固体。
带电池出货的产品,电池需要符合欧洲电池新规(EU) 2023-1542.
配比：
77673TQ1-S001:Fixed Collection</t>
  </si>
  <si>
    <t>4500202738</t>
  </si>
  <si>
    <t>1F69W8XD</t>
  </si>
  <si>
    <t>4500202738-230</t>
  </si>
  <si>
    <t>5/19SSCC LABEL（客供贴纸)</t>
  </si>
  <si>
    <t>日期码格式：ZURU INC(BVI) 标准格式                  日期：按实际生产日期
Packaging Info: 
#77673: MA 3L+UPC贴纸，贴纸资料翻单#4500194871，UPC：193052079404；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</si>
  <si>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6ZMXZYJH</t>
  </si>
  <si>
    <t>4500202738-240</t>
  </si>
  <si>
    <t>66HZY3KE</t>
  </si>
  <si>
    <t>4500202738-250</t>
  </si>
  <si>
    <t>5AATT42D</t>
  </si>
  <si>
    <t>4500202738-260</t>
  </si>
  <si>
    <t>3S4BXHXU</t>
  </si>
  <si>
    <t>4500202738-270</t>
  </si>
  <si>
    <t>7ARJUO7M</t>
  </si>
  <si>
    <t>4500202738-280</t>
  </si>
  <si>
    <t>1R79PNKV</t>
  </si>
  <si>
    <t>4500202738-290</t>
  </si>
  <si>
    <t>MANOR AG</t>
  </si>
  <si>
    <t>4500203574</t>
  </si>
  <si>
    <t>P016396446/S</t>
  </si>
  <si>
    <t>4500203574-10</t>
  </si>
  <si>
    <t>/6/5提供客人格式验货报告，待客人放货后才会放SO安排走货。</t>
  </si>
  <si>
    <t>款号贴纸（翻单4500168200）  + DE, IT警语贴纸（翻单4500168200）  + Kinderherz 2025 logo贴纸（翻单4500166480）</t>
  </si>
  <si>
    <t>此单出货前要寄2套大货签办给到客户办公室+1套大货签办到罗湖办公室；已安排</t>
  </si>
  <si>
    <t>日期码格式：ZURU INC(BVI) 标准格式                  日期：按实际生产日期
Packaging Info: 77673TQ1: MA B版 3L EAN 收缩膜 + 款号贴纸（翻单4500168200）  + DE, IT警语贴纸（翻单4500168200）  + Kinderherz 2025 logo贴纸（翻单4500166480），MA
5L收藏指南，MA B版 23L 电池+UV胶警告语书纸，D版带电池走货EU通用29L WEEE说明书，MA配件袋，MA 3L PDQ + Kinderherz 2025 logo贴纸（翻单4500166480）
Remark: 1.此单出瑞士，微塑料需符合法规。
2.此单务必准时出货，如有推期会有罚款和空运。
其中推期1至7天扣款5%，推期8至14天扣款10%，推期15至21天扣款20%, 如此类推。
3.此单无须客户第三方验货，但是需要在2026/6/5提供客人格式验货报告，待客人放货后才会放SO安排走货。
4.此单出货前要寄2套大货签办给到客户办公室+1套大货签办到罗湖办公室
5.所有出往欧洲订单的电子产品需增加一张通用29L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
8.标准配比</t>
  </si>
  <si>
    <t>4500203270</t>
  </si>
  <si>
    <t>660860</t>
  </si>
  <si>
    <t>4500203270-50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</si>
  <si>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大货配比：产品配比按照MA标准配比执行。
GTIN:
77673TQ1-S001：101-93052-07940-1</t>
  </si>
  <si>
    <t>ZB06349-8.17</t>
  </si>
  <si>
    <t>4500202788</t>
  </si>
  <si>
    <t>4500202788-40</t>
  </si>
  <si>
    <t>5/12SNI label;贴纸资料待提供</t>
  </si>
  <si>
    <t>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 77673TQ1-Fixed Collection</t>
  </si>
  <si>
    <t>4500199984</t>
  </si>
  <si>
    <t>4500199984-30</t>
  </si>
  <si>
    <t>4/27进口商贴纸+UPC贴纸</t>
  </si>
  <si>
    <t>日期码格式：ZURU INC(BVI) 标准格式                  日期：按实际生产日期
Packaging Info: 
其余item:MA 多语包装+进口商贴纸+UPC贴纸+箱唛</t>
  </si>
  <si>
    <t>MID-STATES DISTRIBUTING, LLC</t>
  </si>
  <si>
    <t>P10052085</t>
  </si>
  <si>
    <t>4500201308-640</t>
  </si>
  <si>
    <t>日期码格式：ZURU INC(BVI) 标准格式                  日期：按实际生产日期
Packaging Info: 1.使用 MA UPC版本包装，优先1L，出口美国。
Remark: 1.产品和包装上印刷tracking code信息，格式为ZURU常规。
2.ZURU QC验货</t>
  </si>
  <si>
    <t>ZB06208-8.17</t>
  </si>
  <si>
    <t>1736153-99</t>
  </si>
  <si>
    <t>4500201308-650</t>
  </si>
  <si>
    <t>ZB06466-8.17</t>
  </si>
  <si>
    <t>AG260022-HK</t>
  </si>
  <si>
    <t>4500204383-50</t>
  </si>
  <si>
    <t>5/131张客供警语贴+1张客供电池警语贴纸+1张客供中文警告说明书</t>
  </si>
  <si>
    <t xml:space="preserve">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所有贴纸不得遮挡日期码
Remark: 此单出HK
</t>
  </si>
  <si>
    <t>4500201913-20</t>
  </si>
  <si>
    <t>进口商贴纸，翻单4500180194</t>
  </si>
  <si>
    <t>日期码格式：ZURU INC(BVI) 标准格式 日期：按实际生产日期
Packaging Info: MA UPC包装(优先1L)+进口商贴纸,Fuggler的items需mother UPC barcode 信息,会跟进口商贴纸做在一起;除了15751无需条码贴纸,只需进口商贴纸;
 贴纸图稿和位置图翻单如下;
 待提供77843的贴纸资料
 77803GQ2/77673-4500180194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 77673-Fixed Collection
 77843GQ2-Ratio: PIZZA: HAMBURGER: PANCAKES: BUBBLE TEA: Matcha TEA: TACO: SUSHI: DONUT: Charcuterie Board: RAINBOW CAKE(Rare)=10.88%: 10.88%: 1
 0.88%: 10.88%: 10.88%: 10.88%: 10.88%: 10.88%: 10.88%: 2.08%=68:68:68:68:68:68:68:68:68:13</t>
  </si>
  <si>
    <t>4500203679</t>
  </si>
  <si>
    <t>4500203679-60</t>
  </si>
  <si>
    <t>UPC贴纸+进口商贴纸 贴纸翻单PO4500161302</t>
  </si>
  <si>
    <t>日期码格式：ZURU INC(BVI) 标准格式                  日期：按实际生产日期
Packaging Info: 
 5. 77673：MA 3L EAN包装+UPC贴纸+进口商贴纸+箱唛，贴纸翻单PO4500161302
Remark: 1.请注意产品包装条形码必须是UPC
2.无第三方验货
 6. 77673：Fixed Collection，3PCS AG13 BATTERIES(INCLUDED)</t>
  </si>
  <si>
    <t>WALMART CENTRAL AMERICA</t>
  </si>
  <si>
    <t>4500203765-60</t>
  </si>
  <si>
    <t>4500203765拆单，总数不变</t>
  </si>
  <si>
    <t>4500204007</t>
  </si>
  <si>
    <t>4500204007-60</t>
  </si>
  <si>
    <t>4500205650</t>
  </si>
  <si>
    <t>6607192050</t>
  </si>
  <si>
    <t>4500205650-60</t>
  </si>
  <si>
    <t xml:space="preserve">日期码格式：ZURU INC(BVI) 标准格式                  日期：按实际生产日期
Packaging Info: 
 5. 77673：MA 3L EAN包装+UPC贴纸+进口商贴纸+箱唛，贴纸翻单PO4500161302
Remark: 1.请注意产品包装条形码必须是UPC
2.无第三方验货
 6. 77673：Fixed Collection，3PCS AG13 BATTERIES(INCLUDED)
</t>
  </si>
  <si>
    <t>0996476558</t>
  </si>
  <si>
    <t>4500203833-10</t>
  </si>
  <si>
    <t>6/12第三方验货</t>
  </si>
  <si>
    <t>6/22截SI</t>
  </si>
  <si>
    <t>5/7已寄1张RFID贴纸，贴纸由ZURU提供，贴纸位置请严格按照我们签回的签板；</t>
  </si>
  <si>
    <t>ZB06232-8.17</t>
  </si>
  <si>
    <t>0996476627</t>
  </si>
  <si>
    <t>4500203833-60</t>
  </si>
  <si>
    <t>ZB06378-8.17</t>
  </si>
  <si>
    <t>0996476637</t>
  </si>
  <si>
    <t>4500203833-80</t>
  </si>
  <si>
    <t>ZB06270-8.17</t>
  </si>
  <si>
    <t>0996476655</t>
  </si>
  <si>
    <t>4500203833-90</t>
  </si>
  <si>
    <t>ZB06379-8.17</t>
  </si>
  <si>
    <t>0996476663</t>
  </si>
  <si>
    <t>4500203833-100</t>
  </si>
  <si>
    <t>6/19截SI</t>
  </si>
  <si>
    <t>ZB06380-8.17</t>
  </si>
  <si>
    <t>4500203609</t>
  </si>
  <si>
    <t>5200009780</t>
  </si>
  <si>
    <t>4500203609-10</t>
  </si>
  <si>
    <t>日期码格式：ZURU INC(BVI) 标准格式                  日期：按实际生产日期
Packaging Info: #77673: MA UPC版包装(1L或3L都可)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</si>
  <si>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 xml:space="preserve"> 
Peggy Wu</t>
  </si>
  <si>
    <t>ZB06329/ZB06814-8.17</t>
  </si>
  <si>
    <t>KÄRKKÄINEN OY /CENTRA AREHOUSE</t>
  </si>
  <si>
    <t>4500200583-50</t>
  </si>
  <si>
    <t>丹麦瑞典芬兰挪威警告语贴纸(贴纸和位置图翻Lekia PO#4500192711)+MA paper bag+丹麦/挪威/瑞典/芬兰语警告语贴在纸袋
子上(贴纸和位置图翻PO#4500183825-共用#77111袋子的贴纸文档)</t>
  </si>
  <si>
    <t>日期码格式：ZURU INC(BVI) 标准格式                  日期：按实际生产日期
Packaging Info: 
 5. 77673TQ1: MA 3L EAN B版收缩膜+丹麦瑞典芬兰挪威警告语贴纸(贴纸和位置图翻Lekia PO#4500192711)+MA paper bag+丹麦/挪威/瑞典/芬兰语警告语贴在纸袋
子上(贴纸和位置图翻PO#4500183825-共用#77111袋子的贴纸文档)+MA 5L收藏指南+MA B23L（电池+UV胶警告语-23L）说明书+MA 3L PDQ+WEEE_带电池走货 _ 说明书
欧洲EN+29L_C版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77673TQ1-S001:4894680042773</t>
  </si>
  <si>
    <t>SEARS OPERADORA MEXICO, SA DE CV</t>
  </si>
  <si>
    <t>4500201981</t>
  </si>
  <si>
    <t>17369082</t>
  </si>
  <si>
    <t>4500201981-70</t>
  </si>
  <si>
    <t>日期码格式：ZURU INC(BVI) 标准格式                  日期：按实际生产日期
Packaging Info: 
77673: MA  3L EAN包装+进口商贴纸+UPC贴纸+箱唛
Remark: 1.客户有监装要求，每款需要各准备1pc监柜样板</t>
  </si>
  <si>
    <t>8NOF5DAI</t>
  </si>
  <si>
    <t>4500201286-10</t>
  </si>
  <si>
    <t>2张贴纸(1张UPC#，参考翻单PO#4500158582；1张可折叠警语贴
含德意警告语+IT环保标，参考翻单PO#4500157858+ 5/12SSCC LABEL一张</t>
  </si>
  <si>
    <t>日期码格式：ZURU INC(BVI) 标准格式                  日期：按实际生产日期
Packaging Info: Amazon UK:8NOF5DAI
UK(77673)
 1. 77673:12pcs/ctn; MA 3L(3L warning EAN#)B收缩膜+MA 23L warning B说明书+MA 5L A收藏指南+2张贴纸(1张UPC#，参考翻单PO#4500158582；1张可折叠警语贴
含德意警告语+IT环保标，参考翻单PO#4500157858)+WEEE_带电池走货 _ 说明书欧洲EN+30L_B版
 2.  最迟验货不得晚于6/16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</si>
  <si>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4500198503-150</t>
  </si>
  <si>
    <t>4500203306</t>
  </si>
  <si>
    <t>5200009750</t>
  </si>
  <si>
    <t>4500203306-10</t>
  </si>
  <si>
    <t>日期码格式：ZURU INC(BVI) 标准格式                  日期：按实际生产日期
Packaging Info: "77673TQ1：最新MA PDQ+最新 MA 3L EAN 收缩膜 + 1*多语折叠警告语贴纸（翻单4500174753）  +MA5L收藏指南+ MA 23L说明书+ MA UV胶黑白警告语+MA纸袋 + 1*
最新 D版 29L
WEEE通用带电池走货说明书"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</si>
  <si>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4500204363</t>
  </si>
  <si>
    <t>5200009772</t>
  </si>
  <si>
    <t>4500204363-30</t>
  </si>
  <si>
    <t>日期码格式：ZURU INC(BVI) 标准格式                  日期：按实际生产日期
Packaging Info: 
"77673TQ1：最新MA PDQ+最新 MA 3L EAN 收缩膜 + 1*多语折叠警告语贴纸（翻单4500174753）  +MA 5L 收藏指南+ MA 23L 说明书+ MA UV胶黑白警告语+MA纸袋 +
  1*最新 D版 29L
  WEEE通用带电池走货说明书"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</si>
  <si>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4500205100</t>
  </si>
  <si>
    <t>50795641</t>
  </si>
  <si>
    <t>4500205100-10</t>
  </si>
  <si>
    <t>5/19一张客供价格贴纸</t>
  </si>
  <si>
    <t>日期码格式：ZURU INC(BVI) 标准格式                  日期：按实际生产日期
Packaging Info: 77785:MA 3L UPC包装+一张客供价格贴纸+D版29L带电池出货版本WEEE说明书</t>
  </si>
  <si>
    <t>50795651</t>
  </si>
  <si>
    <t>4500205100-30</t>
  </si>
  <si>
    <t>4500204920</t>
  </si>
  <si>
    <t>5000002195</t>
  </si>
  <si>
    <t>4500204920-20</t>
  </si>
  <si>
    <t>日期码格式：ZURU INC(BVI) 标准格式                  日期：按实际生产日期
Packaging Info: 物料要求 SKU
2.77785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</si>
  <si>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GIOCHI PREZIOSI EĞITIMARAÇLARI TIC</t>
  </si>
  <si>
    <t>4500204227</t>
  </si>
  <si>
    <t>085060</t>
  </si>
  <si>
    <t>4500204227-60</t>
  </si>
  <si>
    <t>5/22进口商贴纸（含客户条码）</t>
  </si>
  <si>
    <t xml:space="preserve"> CRD 6/15,客户日期码: ZUR6166 包装/外箱请保持一致。</t>
  </si>
  <si>
    <t>已安排需备2套大货版寄出</t>
  </si>
  <si>
    <t>日期码格式：ZUR6166 ZUR6208 日期：
Packaging Info: 77673TQ1:MA 1L 包装+进口商贴纸（含客户条码）+5L收藏指南; MA 1L PDQ
 工厂日期码 产品/包装/外箱请保持一致。
 CRD 6/15,客户日期码: ZUR6166 包装/外箱请保持一致。
 CRD 7/27,客户日期码为ZUR6208 包装/外箱请保持一致。
 以下数量大货版请寄到如下地址：
 6.77673TQ1：2套大货版带PDQ
 Attn: Sylvia Li
 Company name: GP Services HK Limited
 Company address: Suite 1502, 15th Floor, Chinachem Golden Plaza, 77 Mody Road, TST East, Kowloon, Hong Kong
 Company address (Chinese): 香港九龍尖沙咀東部麼地道77號華懋廣場1502室
 Contact Tel: +852 2739 5363
Remark: 77843GQ2:Ratio: PIZZA: HAMBURGER: PANCAKES: BUBBLE TEA: Matcha TEA: TACO: SUSHI: DONUT: Charcuterie Board: RAINBOW CAKE(Rare)=10.88%: 10.88%: 1
 0.88%: 10.88%: 10.88%: 10.88%: 10.88%: 10.88%: 10.88%: 2.08%=68:68:68:68:68:68:68:68:68:13
 77772GQ2:WITH 4PCS DEMO/PDQ
 77773GQ2:WITH 4PCS DEMO/PDQ
 77711GQ2:With 4pcs demo(14.6G)/PDQ
 77673TQ1:Fixed Collection
92146TQ1:Cat:Raccoon:Deer:Tiger:Pigeon:Owl=1:1:1:1:1:1
 92147:Black Cat:Owl:Axolotl:Unicorn:Bat:Bunny=1:1:1:1:1:1</t>
  </si>
  <si>
    <t>4500198503</t>
  </si>
  <si>
    <t>5000002156</t>
  </si>
  <si>
    <t>4500198503-160</t>
  </si>
  <si>
    <t>翻单：4500192252</t>
  </si>
  <si>
    <t>日期码格式：ZURU INC(BVI) 标准格式                  日期：按实际生产日期
Packaging Info: 物料要求 SKU
3. 77673 MA +中文说明书+3C中文贴纸 +收藏指南 翻单：  4500192252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</si>
  <si>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4500202844</t>
  </si>
  <si>
    <t>5200009653</t>
  </si>
  <si>
    <t>4500202844-20</t>
  </si>
  <si>
    <t>6/18截SI</t>
  </si>
  <si>
    <t>多语警语折叠贴纸（含包装缺失的法/意/西环保标）（贴纸翻4500
196281）+最新WEEE带
电池出货的欧洲29L通用说明书（贴纸翻4500196281）</t>
  </si>
  <si>
    <t>日期码格式：ZURU INC(BVI) 标准格式 日期：按实际生产日期
Packaging Info: 
77673TQ1:最新MA3LEAN收缩膜+最新MA5L收藏指南+最新MA23L说明书+最新MA纸袋+最新MA 3L PDQ+多语警语折叠贴纸（含包装缺失的法/意/西环保标）（贴纸翻4500
196281）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 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</si>
  <si>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4500202166-40</t>
  </si>
  <si>
    <t>5-9客供价格贴纸</t>
  </si>
  <si>
    <t>日期码格式：ZURU INC(BVI) 标准格式                  日期：按实际生产日期
Packaging Info: 1.  STD Items: ZURU MA UPC 现有包装+客供价格贴纸，优先使用MA 1L最新版本（可接受多语）,出口美国
Remark: 1. Cus Item
#77584,#77731,#77806：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</si>
  <si>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ZB06465-8.17</t>
  </si>
  <si>
    <t xml:space="preserve"> MCD BRANDS SAS</t>
  </si>
  <si>
    <t>4500204440-20</t>
  </si>
  <si>
    <t>进口商贴纸+条码贴纸,进口商贴纸和条码贴纸翻单PO4500188881</t>
  </si>
  <si>
    <t>日期码格式：ZURU INC(BVI) 标准格式 日期：按实际生产日期
Packaging Info: 
 77673 MA 多语包装+进口商贴纸+条码贴纸+箱唛,进口商贴纸和条码贴纸翻单PO4500188881
Remark: 1.进口商贴纸请多备料5pcs,出货后需要寄给客户留底
 2.如后续提供的贴纸文档中进口商贴纸和条码贴纸合并为一张，可忽略条码贴纸的需求</t>
  </si>
  <si>
    <t>4500204775</t>
  </si>
  <si>
    <t>5200009821</t>
  </si>
  <si>
    <t>4500204775-20</t>
  </si>
  <si>
    <t>date code: 外箱日期码要晚于或等于产品日期码，不能早于产品的日期码；</t>
  </si>
  <si>
    <t>日期码格式：ZURU INC(BVI) 标准格式 日期：按实际生产日期
Packaging Info:  "77673TQ1：最新MA PDQ+最新 MA 3L EAN 收缩膜 + 1*多语折叠警告语贴纸（翻单4500197331） +MA 5L 收藏指南+ MA 23L说明书+ MA UV胶黑白警告语+MA纸袋 + 1
 *最新 D版 29L
 WEEE通用带电池走货说明书"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</si>
  <si>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WAVE DISTRIBUTION GMBH</t>
  </si>
  <si>
    <t>220100002555
72</t>
  </si>
  <si>
    <t>4500193992-20</t>
  </si>
  <si>
    <t>大货样品3套，请多备料。</t>
  </si>
  <si>
    <t>德语警语贴纸(翻单#4500161168)++欧洲通用30L B或C版WEEE说明书(带电池)+Kinderherz 2025 logo贴纸(翻单4500166480)</t>
  </si>
  <si>
    <t>日期码格式：ZURU INC(BVI) 标准格式 日期：按实际生产日期
Packaging Info:
77673: 最新MA 3LEAN包装+德语警语贴纸(翻单#4500161168)+5L收藏指南+5L纸袋+23L说明书+欧洲通用30L B或C版WEEE说明书(带电池)+Kinderherz 2025 logo贴纸(
翻单4500166480)
Remark: 1. 此单出德国，需要满足Zuru Standard欧洲标准测试要求；
2. 请准时出货，推期会有罚款；
3. 出口欧洲，微塑料需符合法规；
4.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5. 所有出往GAS市场(德国/奥地利/瑞士)的电子产品需增加一张欧洲通用WEEE声明说明书，区分带电池和不带电池版本, 如已做客版说明书可忽略此要求。
6. 所有出往GAS市场(德国/奥地利/瑞士)订单，化学品需无堋无香版本。
7. 标准配比
8. 大货样品3套，请多备料。</t>
  </si>
  <si>
    <t>4500201729-10</t>
  </si>
  <si>
    <t>5/19价格贴纸，价格贴纸客供。2PK的球用无条码收缩膜或加空白贴纸覆盖原条码。</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</si>
  <si>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分4个DC出货，每款产品每个DC的箱唛资料不同，具体DC数量如下：
item#77673: Marshalls PO#127318,SKU#923426 DC#881-156PCS, DC#886-288PCS, DC#887-252PCS, DC#888-300PCS</t>
  </si>
  <si>
    <t>ZB06434-8.17</t>
  </si>
  <si>
    <t>4500201730-10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</si>
  <si>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item#77673: Marshalls PO#127322,SKU#924018 DC#881-204PCS, DC#884-180PCS, DC#886-228PCS, DC#887-216PCS, DC#888-168PCS</t>
  </si>
  <si>
    <t>ZB06429/ZB06436-8.17</t>
  </si>
  <si>
    <t>4500201732-10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</si>
  <si>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item#77673: Marshalls PO#127323,SKU#924659 DC#881-132PCS, DC#884-108PCS, DC#886-132PCS, DC#887-132PCS, DC#888-96PCS</t>
  </si>
  <si>
    <t>ZB06428-8.17</t>
  </si>
  <si>
    <t>4500201738-10</t>
  </si>
  <si>
    <t>6.23截SI</t>
  </si>
  <si>
    <t>日期码格式：ZURU INC(BVI) 标准格式                  日期：按实际生产日期
Packaging Info: MA UPC包装(优先1L)+价格贴纸，价格贴纸客供。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PO#127331,SKU#203085 DC#891-372PCS, DC#894-252PCS, DC#896-168PCS, DC#897-156PCS, DC#898-252PCS</t>
  </si>
  <si>
    <t>ZB06430-8.17</t>
  </si>
  <si>
    <t>4500201739-10</t>
  </si>
  <si>
    <t>6/23截SI</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</si>
  <si>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PO#127335,SKU#203983 DC#891-252PCS, DC#894-204PCS, DC#896-168PCS, DC#897-384PCS, DC#898-192PCS</t>
  </si>
  <si>
    <t>ZB06431/ZB06437-8.17</t>
  </si>
  <si>
    <t>4500201740-10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</si>
  <si>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PO#127336,SKU#204531 DC#891-180PCS, DC#894-120PCS, DC#896-132PCS, DC#897-216PCS, DC#898-156PCS</t>
  </si>
  <si>
    <t>ZB06427-8.17</t>
  </si>
  <si>
    <t>4500204062</t>
  </si>
  <si>
    <t>4400564365</t>
  </si>
  <si>
    <t>4500204062-100</t>
  </si>
  <si>
    <t>Kinderherz 2025 Logo贴纸(1张贴于收缩膜，1张贴于PDQ；翻单#4500166480)</t>
  </si>
  <si>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翻#4500155594）+WEEE声明(带电池)走货欧洲通用29L-D版说明书+Kinderherz 2025 Logo贴纸(1张贴于收缩膜，1张贴于PDQ；翻单#4500166480)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</si>
  <si>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CARREFOUR ROMANIA</t>
  </si>
  <si>
    <t>4500200520</t>
  </si>
  <si>
    <t>43CHT26ROCA0561</t>
  </si>
  <si>
    <t>4500200520-10</t>
  </si>
  <si>
    <t>1.大货样品2套，请多备料。</t>
  </si>
  <si>
    <t>空白纸箱: 在正唛（只1面）加多虚线15 x 10.5 cm ( 高x 宽) 距箱左边2cm，  距箱底 3cm，虚线内1张外箱贴纸（在checkpoint网站上订）Custeomer Service:
 Erica Lun Tel.+852 2995 8399/erica.lun@checkpt.com</t>
  </si>
  <si>
    <t>4/291张RO警语贴纸</t>
  </si>
  <si>
    <t>日期码格式：ZURU INC(BVI) 标准格式                  日期：按实际生产日期
Packaging Info: 77673TQ1：  MA 3L EAN收缩膜(4894680042773)+1张RO警语贴纸，MA 纸袋，MA 5L UV 贴纸，MA 5L收藏指南+1张RO黑白收藏指南说明，MA 电池+UV胶警告语-23L 说
明书+最新版WEEE_带电池走货 _ 说明书欧洲，  MA 3L PDQ
Remark: 1.大货样品2套，请多备料。
 2. 出口欧洲，所有产品微塑料需符合法规。
 3. 空白纸箱: 在正唛（只1面）加多虚线15 x 10.5 cm ( 高x 宽) 距箱左边2cm，  距箱底 3cm，虚线内1张外箱贴纸（在checkpoint网站上订）Custeomer Service:
 Erica Lun Tel.+852 2995 8399/erica.lun@checkpt.com
 4. 所有包装材料禁止使用PVC，需改用PET材料。
 5. 要求使用双坑纸箱，外箱尺寸超出7%有350USD的罚款，请注意外箱尺寸变更不能超出7%。
 6. 客人系统外箱尺寸: TY161398 77673TQ1 41.70 cmx40.10 cmx26.80 cm
7.所有出往欧洲市场订单的电子产品需增加一张WEEE声明说明书，区分带电池和不带电池版本, 如已做客版说明书可忽略此要求。</t>
  </si>
  <si>
    <t>GEKAS  ULLAREED  AB</t>
  </si>
  <si>
    <t>4500197002-80</t>
  </si>
  <si>
    <t>丹麦瑞典芬兰挪威警告语贴纸(贴纸和位置翻单4500194886)+MA paper bag+丹麦/挪威/瑞典/芬兰语警告语贴在纸袋子上(贴纸和位置图
翻PO#4500183825-共用#77111袋子的贴纸文档)+MA B23L（电池+UV胶警告语-23L）说明书+WEEE_带电池走货 _ 说明书欧洲EN+30L-B版(翻单)</t>
  </si>
  <si>
    <t>日期码格式：ZURU INC(BVI) 标准格式 日期：按实际生产日期
Packaging Info: 71152-S001_MA_A_3L(23L warning) EAN版彩盒+MA 5L(9L warning)说明书+说明书上的play instructions/to replace batteries/battery safety information/警
告语/WEEE以上全部信息全部翻译成丹麦瑞典挪威语做成贴纸贴在说明书上(不能覆盖英语)(翻单4500195356)
 9258-S004-CA_MA_B_3L(warning 9L) UPC版收缩膜+EAN/瑞典语警告语贴纸（翻单4500194886）+MA 其它包装+slime 袋子的贴纸（不要挡住英语）(Slime 袋子贴纸
 翻单4500160445)
9296-S004-NB:9296-S004-NB:MA_A_3L(9L warning) UPC版收缩膜+EAN/警告语/Care.com邮箱贴纸(翻单4500176686)+MA 其它包装+slime袋子贴纸（瑞典语警告语，
 翻单4500176686）
 MA A3L EAN版+产品includs信息/警告语/MADE IN CHINA都翻译成丹麦瑞典芬兰挪威爱沙尼亚警告语做成一张贴纸贴在收缩膜上(翻单Salling Group-4500193716)+M
 A A5L(19L warning) guide book+警告语/how to make your magic potion全部信息都翻译成丹麦瑞典芬兰挪威爱沙尼亚语做成贴纸贴在guide book上(不能覆盖英
 语)(翻单-Salling Group4500193716)+MA A5L(19L warning)收藏海南+瑞典芬兰挪威爱沙尼亚警告语贴纸贴在收藏指南上(不能覆盖英语和丹麦语)(翻单Salling Gro
 up-4500193716)+MA A5L(23L warning) ACCESSORIES BAGS+MA布标
 MA A3L EAN版+产品includs信息/警告语/MADE IN CHINA都翻译成丹麦瑞典芬兰挪威爱沙尼亚警告语做成一张贴纸贴在收缩膜上(贴纸和位置图翻Salling Group PO#
 4500193716)+MA A19L收藏指南+警告语/玩法(add purified water to marked line)翻译成丹麦瑞典芬兰挪威爱沙尼亚语做成贴纸贴在收藏指南上(不能覆盖英语-贴
 纸和位置图翻Salling Group PO#4500193716))+MA布标+MA PDQ(优先用多语PDQ，如果没有多语请用1L PDQ)
 9565GQ1:MA_3L_版 EAN收缩膜+瑞典语警告语贴纸贴在收缩膜上(翻单4500176686)+客版说明书（翻单4500176306）
 MA C3L EAN版收缩膜+警告语和MADE IN CHINA翻译成丹麦瑞典挪威语言全部信息做成一张贴纸+MA B5L收藏指南+收藏指南无香空白贴纸覆盖有香味的产品以及描述(
 翻单4500177965)+MA ACCESSORY BAG_C_5L版+丹麦瑞典挪威警告语贴纸贴在袋子上(4500177965)+MA C23L说明书+MA 23L_C_IFUD声明补充说明书(翻单4500177965)+
 通用WEEE_带电池走货 _ 说明书欧洲EN+30L-B版(翻单)
 77673:MA 3L EAN B版收缩膜+丹麦瑞典芬兰挪威警告语贴纸(贴纸和位置翻单4500194886)+MA paper bag+丹麦/挪威/瑞典/芬兰语警告语贴在纸袋子上(贴纸和位置图
翻PO#4500183825-共用#77111袋子的贴纸文档)+MA 5L收藏指南+MA B23L（电池+UV胶警告语-23L）说明书+WEEE_带电池走货 _ 说明书欧洲EN+30L-B版(翻单)
 77711:MA 3L EAN版收缩膜+丹麦瑞典芬兰挪威警告语贴纸(贴纸和位置翻单4500194886)+MA paper bag+丹麦/挪威/瑞典/芬兰语警告语贴在纸袋子上(贴纸和位置图翻
 PO#4500183825)+MA 5L(23L warning)收藏指南+MA 23L说明书
9283:MA_C_3L(EAN)收缩膜+挪威/瑞典/芬兰语警告语&lt;(&gt;&amp;&lt;)&gt;care@zuru.com全部信息做成一张贴纸(贴纸和位置图翻PO#4500183592)
 25282:L+23L warning 彩盒+MA H 9L 说明书+丹麦/瑞典/芬兰/挪威/爱沙尼亚说明书贴纸(含WEEE信息)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9296-S004-NB:COW:MONKEY:PANDA:ZEBRA:AXOLOTL;CHIKEN:=1:1:1:1:1:1;
 92147-S001:Black Cat:Owl:Axolotl:Unicorn:Bat:Bunny=1:1:1:1:1:1
92146TQ1-S002:Cat:Raccoon:Deer:Tiger:Pigeon:Owl=1:1:1:1:1:1
 9565GQ1-S002:4 assortment, Orange:blue:pink:brown=5:5:6:6
 77673-S004:Fixed Collection
 25282-2026-S004:Baby Shark(yellow)/ Mummy Shark(pink)/ Daddy Shark(blue) =1:1:1;
 8. SKU-客户SKU-EAN
 71152-S001-4894680042742
 9258-S004-CA-4894680021082
 9296-S004-NB-4894680029606
 92147-S001-4894680058941
 92146TQ1-S002-4894680058934
 9565GQ1-S002-4894680046511
 77515-S001-NS-4894680032255
 77673-S004-4894680042773
 77711-S001-INT-4894680043350
 9283-S005-4894680026841
 25282-2026-S004-4894680032705</t>
  </si>
  <si>
    <t>Joyce</t>
  </si>
  <si>
    <t>4500204811</t>
  </si>
  <si>
    <t>3-26-0003</t>
  </si>
  <si>
    <t>4500204811-20</t>
  </si>
  <si>
    <t>5/8固定进口商贴纸,待提供贴纸资料</t>
  </si>
  <si>
    <t>日期码格式：ZURU INC(BVI) 标准格式                  日期：按实际生产日期
Packaging Info: 77673TQ1-MA UPC包装(优先1L)+固定进口商贴纸,待提供贴纸资料;
Remark: 77673TQ1-Fixed Collection</t>
  </si>
  <si>
    <t>WALMART  INC.</t>
  </si>
  <si>
    <t>4500205765</t>
  </si>
  <si>
    <t>0999666887</t>
  </si>
  <si>
    <t>4500205765-60</t>
  </si>
  <si>
    <t>6/18第三方验货</t>
  </si>
  <si>
    <t>5/221张RFID贴纸</t>
  </si>
  <si>
    <t>日期码格式：ZURU DGYYYYMMDD CHINA(日期避开周末和法定节假日即可）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</si>
  <si>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Maggie  Xie</t>
  </si>
  <si>
    <t>ZB06705-8.17</t>
  </si>
  <si>
    <t>0999666891</t>
  </si>
  <si>
    <t>4500205765-80</t>
  </si>
  <si>
    <t>ZB06753-8.17</t>
  </si>
  <si>
    <t>0999666942</t>
  </si>
  <si>
    <t>4500205765-90</t>
  </si>
  <si>
    <t>ZB06561-8.17</t>
  </si>
  <si>
    <t>0999666952</t>
  </si>
  <si>
    <t>4500205765-100</t>
  </si>
  <si>
    <t>ZB06707-8.17</t>
  </si>
  <si>
    <t>4500205118</t>
  </si>
  <si>
    <t>55795660</t>
  </si>
  <si>
    <t>4500205118-40</t>
  </si>
  <si>
    <t>5/19一张客供价格贴纸+一张警告语贴纸（德语/波兰语/荷兰语）翻单：4500201132+D版29L带电池出货版本WEEE说明书</t>
  </si>
  <si>
    <r>
      <rPr>
        <sz val="11"/>
        <color rgb="FF0000CC"/>
        <rFont val="宋体"/>
        <charset val="134"/>
      </rPr>
      <t>日期码格式： ZURU INC(BVI) 标准格式 日期：按实际生产日期
Packaging Info: 
77785:MA 3L UPC包装+一张客供价格贴纸+一张警告语贴纸（德语/波兰语/荷兰语）翻单：4500201132+D版29L带电池出货版本WEEE说明书+</t>
    </r>
    <r>
      <rPr>
        <sz val="11"/>
        <color rgb="FFFF0000"/>
        <rFont val="宋体"/>
        <charset val="134"/>
      </rPr>
      <t>一张地址贴纸</t>
    </r>
    <r>
      <rPr>
        <sz val="11"/>
        <color rgb="FF0000CC"/>
        <rFont val="宋体"/>
        <charset val="134"/>
      </rPr>
      <t xml:space="preserve">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 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所有出往GAS市场(UK+德国/奥地利/瑞士)的电子产品需增加一张欧洲通用29L WEEE声明说明书，区分带电池和不带电池版本, 如已做客版说明书可忽略此要求
。
11. 所有出往GAS市场(德国/奥地利/瑞士)订单，化学品需无堋无香版本。</t>
    </r>
  </si>
  <si>
    <t>4500205015</t>
  </si>
  <si>
    <t>4500205015-90</t>
  </si>
  <si>
    <t>5/18确认</t>
  </si>
  <si>
    <t>进口商贴纸和UPC贴纸翻单PO4500183616</t>
  </si>
  <si>
    <t>日期码格式：ZURU INC(BVI) 标准格式                  日期：按实际生产日期
Packaging Info: 
77673:MA 多语包装+进口商贴纸+UPC贴纸+箱唛,进口商贴纸和UPC贴纸翻单PO4500183616
Remark: 后续提供的进口商贴纸和UPC贴纸合并为一张的话，请忽略订单的UPC贴纸需求，产品的条码必须是UPC的</t>
  </si>
  <si>
    <t>4500204693</t>
  </si>
  <si>
    <t>4500204693-40</t>
  </si>
  <si>
    <t>5/26进口商贴纸+UPC贴纸</t>
  </si>
  <si>
    <t>日期码格式：ZURU INC(BVI) 标准格式                  日期：按实际生产日期
Packaging Info: MA 多语包装+进口商贴纸+UPC贴纸+箱唛
Remark</t>
  </si>
  <si>
    <t>4500203640</t>
  </si>
  <si>
    <t>73AL5Y3W</t>
  </si>
  <si>
    <t>4500203640-80</t>
  </si>
  <si>
    <t>验货时间不晚于2026/06/18</t>
  </si>
  <si>
    <t>5/22 SSCC LABEL一张 +客版彩盒（新FR/DK
 /UK地址，参考翻单PO#4500194447）+WEEE_带电池走货 _ 说明书欧洲EN+30L_B版+1张贴纸(含DE/IT警告语，翻单PO4500197236)</t>
  </si>
  <si>
    <t>日期码格式：ZURU INC(BVI) 标准格式 日期：按实际生产日期
Packaging Info: Amazon ES: 65KOECLK
 Amazon IT: 4NMKFNFS
 Amazon UK: 73AL5Y3W
ES(15747/15752A/77785/15714H)/IT(77731)/UK(157103/15750D/15747/15752BE/15750H/77806/77785/15714D/71137)
  8.77785:1pk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说明书欧洲EN+30L_B版+1张贴纸(含DE/IT警告语，翻单PO4500197236)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</si>
  <si>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65KOECLK</t>
  </si>
  <si>
    <t>4500203640-130</t>
  </si>
  <si>
    <t>5/12SSCC LABEL一张+客版彩盒（新FR/DK
 /UK地址，参考翻单PO#4500194447）+WEEE_带电池走货 _ 说明书欧洲EN+30L_B版+1张贴纸(含DE/IT警告语，翻单PO4500197236)</t>
  </si>
  <si>
    <t>4500204880</t>
  </si>
  <si>
    <t>4500204880-20</t>
  </si>
  <si>
    <t>6/29截SI</t>
  </si>
  <si>
    <t>一张客人警语贴纸+两张纸袋希腊警语贴纸（同77711），翻4500168579</t>
  </si>
  <si>
    <t>日期码格式：ZURU INC(BVI) 标准格式                  日期：按实际生产日期
Packaging Info:
2. 77673：最新MA 3L EAN收缩膜+最新MA 5L包装+一张客人警语贴纸+两张纸袋希腊警语贴纸（同77711），翻4500168579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t>
  </si>
  <si>
    <t>SIPLEC</t>
  </si>
  <si>
    <t>4500201774</t>
  </si>
  <si>
    <t>1346737</t>
  </si>
  <si>
    <t>4500201774-170</t>
  </si>
  <si>
    <t>6/30第三方验货+抽板测试，71126/71172 需每款抽板10-12套左右测试，请多备料；
2.交期前两周前准备好2套大货样给SIPLEC HK OFFICE / 实验室</t>
  </si>
  <si>
    <t>额外收藏指南贴纸(含PT/PL/SI语言）需在checkpoints上采购外箱贴纸, 跟单会通过邮件发送采购指引；.</t>
  </si>
  <si>
    <t>日期码格式：1346737-26 日期：
Packaging Info: 
77673TQ1-S002：MA3L EAN彩卡+客户贴纸(含PT/PL/SI语言+客人指定条码+客人指定日期码1346737-26)+MA5L收藏指南+额外收藏指南贴纸(含PT/PL/SI语言）+MA23L
说明书+WEEE带电池出货最新版+MA3L展示盒+客人指定干燥剂
Remark: 1.预计6/24第三方验货+抽板测试，71126/71172 需每款抽板10-12套左右测试，请多备料；
2.交期前两周前准备好2套大货样给SIPLEC HK OFFICE / 实验室
3.指定日期码1346737-26
4.需在checkpoints上采购外箱贴纸, 跟单会通过邮件发送采购指引；.
5. #71152/71126/71137/9561/71172/9296/9574/9574/77858/77673TQ1 - 带电产品每箱放3包透明颗粒状干燥剂(每包约5g)，包干燥剂的袋子要有"SILICA GEL - D
O NOT EAT - DESSICANT - THROW AWAY " 字样；
6. 包装禁止使用PVC塑料；
7. 此票出法国，需符合EU标准及微塑料法规，包装需含法国回收logo；</t>
  </si>
  <si>
    <t>4500205521</t>
  </si>
  <si>
    <t>10001873441-0581</t>
  </si>
  <si>
    <t>4500205521-10</t>
  </si>
  <si>
    <t>6/8条码箱贴纸</t>
  </si>
  <si>
    <t>日期码格式：ZURU INC(BVI) 标准格式                  日期：按实际生产日期
Packaging Info: 产品包装 客版收缩膜(C版)+客版收藏指南+MA说明书+ MA 1L PDQ；客版收缩膜(C版）翻单4500183607；客版收藏指南翻单4500174008
Remark: 1. 77673TQ1-S001-CC-MINI BRANDS-FILL THE FRIDGE PLAYSET-SERIES 1-SHRINK WRAP,4PCS/PDQ,4PCS/PDQ/CTN;
 2. 产品包装 客版收缩膜(C版)+客版收藏指南+MA说明书+ MA 1L PDQ；客版收缩膜上的UPC显示193052079404；客版收缩膜(C版）翻单4500183607；客版收藏指南翻
单4500174008；
 3. 外箱正唛左上角位置粘贴条码箱贴纸，每箱只贴一张，由ZURU订购。来料贴纸上显示的客户DPCI# 086-02-3468，  UPC显示10193052079401;
 4. 产品和包装上均要印刷tracking code信息，格式为ZURU常规格式；
 5. 需要我司QC验货之后才能安排出货
 6. 出货方式：  货代自提</t>
  </si>
  <si>
    <t>ZB06681-8.17</t>
  </si>
  <si>
    <t>4500206995</t>
  </si>
  <si>
    <t>500-13949</t>
  </si>
  <si>
    <t>4500206995-30</t>
  </si>
  <si>
    <t>日期码格式：ZURU INC(BVI) 标准格式                  日期：按实际生产日期
Packaging Info:
其他Item: MA UPC优先1L最新版，出口美国
Remark: 2、无测试无验货要求
 3、纸箱4面印ZURU LOGO + 箱唛
 4、日期码请按ZURU标准版执行即可
 5、ZURU QC验货</t>
  </si>
  <si>
    <t>ZB06486-8.17</t>
  </si>
  <si>
    <t>4500201727</t>
  </si>
  <si>
    <t>1346748</t>
  </si>
  <si>
    <t>4500201727-120</t>
  </si>
  <si>
    <t>6/30第三方验货+抽板测试，71126/71172 每款抽板10-12套左右测试，请多备料；
2.交期前两周前准备好2套大货样给SIPLEC HK OFFICE / 实验室签板；</t>
  </si>
  <si>
    <t>5/28客户贴纸(含PT/PL/SI语言+LEC#+客人指定条码+客人指定日期码1346737-26)+额外收藏指南贴纸(含PT/PL/SI语言）</t>
  </si>
  <si>
    <r>
      <rPr>
        <sz val="11"/>
        <color rgb="FF0000CC"/>
        <rFont val="宋体"/>
        <charset val="134"/>
      </rPr>
      <t>日期码格式：1346737-26 日期：
Packaging Info: 7
77673TQ1-</t>
    </r>
    <r>
      <rPr>
        <sz val="11"/>
        <color rgb="FFFF0000"/>
        <rFont val="宋体"/>
        <charset val="134"/>
      </rPr>
      <t>S002</t>
    </r>
    <r>
      <rPr>
        <sz val="11"/>
        <color rgb="FF0000CC"/>
        <rFont val="宋体"/>
        <charset val="134"/>
      </rPr>
      <t>：MA3L EAN彩卡+客户贴纸(含PT/PL/SI语言+客人指定条码+客人指定日期码1346737-26)+MA5L收藏指南+额外收藏指南贴纸(含PT/PL/SI语言）+MA23L
说明书+WEEE带电池出货最新版+MA3L展示盒+客人指定干燥剂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r>
  </si>
  <si>
    <t>0999666876</t>
  </si>
  <si>
    <t>4500205765-30</t>
  </si>
  <si>
    <t>已出</t>
  </si>
  <si>
    <t>ZB07439-8.17</t>
  </si>
  <si>
    <t>SMYK SP Z O.O.</t>
  </si>
  <si>
    <t>4500205388</t>
  </si>
  <si>
    <t>4500205388-20</t>
  </si>
  <si>
    <t>5/27进口商贴纸+含客户款号的EAN条码贴纸</t>
  </si>
  <si>
    <t>日期码格式：ZURU INC(BVI) 标准格式 日期：按实际生产日期
Packaging Info:
77673：B 版 3L MA EAN 收缩膜+进口商贴纸+含客户款号的EAN条码贴纸；A 版 5L MA 收藏指南/B 版 23L 语电池和UV 胶警告语说明书/D 版 29L 带电池走货WEEE说明书
Remark: "1、若产品有比例使用ZURU STD 比例
2、所有item 均用MA EAN条码，若包装上的EAN 条码与PO 不一致的请告知
baby EAN:
3、此单出欧洲需满足EU测试标准要求，另外不能出闪粉（若产品本身不含闪粉则忽略这句话），电池产品（带电池/不带电池走货）需要添加WEEE通用说明书
4、此单LC 货期不可延"</t>
  </si>
  <si>
    <t>QD COMMERCIAL GROUP HOLDINGS LIMITE</t>
  </si>
  <si>
    <t>4500202849</t>
  </si>
  <si>
    <t>4500499659</t>
  </si>
  <si>
    <t>4500202849-10</t>
  </si>
  <si>
    <t>6/1 1张易撕价格贴纸</t>
  </si>
  <si>
    <t>日期码格式：ZURU INC(BVI) 标准格式 日期：按实际生产日期 Tracking Code:
Packaging Info: 77673TQ1-S002： MA 1L UPC版本+WEEE带电池走货通用29L说明书+1张易撕价格贴纸
 配比:标准配比
 条码UPC:193052079404
 77711GQ2-S001-INT： MA 5L UPC版本+UPC贴纸+1张易撕价格贴纸
 配比:标准配比
 条码UPC:193052080134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5.电子产品需增加一张WEEE声明29L通用黑白说明书(不接受A版本，翻译有误)，区分带电池和不带电池出货版本, 如已做客版说明书可忽略此要求；
 6.产品包装上需加一张价格贴纸，贴纸材质需为"易撕"
7.做货前请先复核包装条码与订单是否一致再安排，对不上的需与ZURU跟单确认再安排。</t>
  </si>
  <si>
    <t>NASA  PANAMA</t>
  </si>
  <si>
    <t>4500205582</t>
  </si>
  <si>
    <t>04113-BOD-09FALL</t>
  </si>
  <si>
    <t>4500205582-20</t>
  </si>
  <si>
    <t>5/29UPC贴纸</t>
  </si>
  <si>
    <t>日期码格式：ZURU INC(BVI) 标准格式 日期：按实际生产日期
Packaging Info: 1.优先多语 MA UPC或者3L/5L MA EAN 包装,EAN 包装则需加UPC 贴纸.
2.请确保包装上的条形码是UPC， 如果是baby UPC，需要用mother UPC覆盖。
3 .MA PDQ 优先用3L,MA 只有1L版本的情况下就用1L PDQ
4.此单MA 3L UPC/EAN 包装（EAN 包装需要用UPC贴纸覆盖）+箱唛
Remark: 
77673 3PCS AG13 BATTERIES(INCLUDED) Fixed Collection</t>
  </si>
  <si>
    <t>Aimee  Huang</t>
  </si>
  <si>
    <t>02428639/1</t>
  </si>
  <si>
    <t>4500195607-20</t>
  </si>
  <si>
    <t>7/8截SI</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</si>
  <si>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77673TQ1:WEEE_带电池走货 _ 说明书欧洲EN+29L_C版</t>
  </si>
  <si>
    <t>02428640/1</t>
  </si>
  <si>
    <t>4500195607-40</t>
  </si>
  <si>
    <t>COOP    FAGHANDEL    (NON-FOOD)</t>
  </si>
  <si>
    <t>4500205611</t>
  </si>
  <si>
    <t>32863973</t>
  </si>
  <si>
    <t>4500205611-10</t>
  </si>
  <si>
    <t>6/23 此订单有第三方验货，签样用于4500196854；</t>
  </si>
  <si>
    <t>日期码格式：ZURU INC(BVI) 标准格式 日期：按实际生产日期
Packaging Info: 77673TQ1：MA EAN 3L收缩膜+挪威语警语贴纸（翻单4500162197）+MA 23L 电池警告语说明书+MA 3L PDQ+WEEE 30L 带电池说明书
Remark: 1/产品和包装要求无硼无香，包装不能含有PVC；
2/如有微塑料，必须合规欧洲标准，闪粉也是微塑料的一种，目前仅接受三张方式1.去除，2.用可降解材料，和3.永久封印在固体；
3/此订单有第三方验货，签样用于4500196854；
4/带电池出货的产品所用到的电池需要符合欧洲电池新规(EU)2023-1542；
5/工厂货号-客户货号彩盒条码-外箱条码
77673TQ1-7254554-4894680042773-10193052079401</t>
  </si>
  <si>
    <t>Zoe  Zhou</t>
  </si>
  <si>
    <t>4500204920-50</t>
  </si>
  <si>
    <t>ZHUYU(SHENZHEN)TRADING  CO.,LTD.</t>
  </si>
  <si>
    <t>4500204920-60</t>
  </si>
  <si>
    <t>日期码格式：ZURU INC(BVI) 标准格式 日期：按实际生产日期
Packaging Info: 物料要求 SKU
 4 77673 MA +中文说明书+3C中文贴纸 +收藏指南 翻单： 4500198503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</si>
  <si>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Dona  Tang</t>
  </si>
  <si>
    <t>4500196923-40</t>
  </si>
  <si>
    <t>一张警语贴纸（含意大利警语和意大利环保标），（翻4500
 164781）</t>
  </si>
  <si>
    <t>5. 所有带电池的产品请基于带/不带电池出货自行订购 "WEEE说明书欧洲EN+29L-D版"</t>
  </si>
  <si>
    <t>日期码格式：ZURU INC(BVI) 标准格式 日期：按实际生产日期
Packaging Info: 
4. 77673TQ1:最新MA 3L EAN收缩膜+最新MA 5L收藏指南+最新MA 23L说明书+最新MA纸袋+最新MA 3L PDQ+一张警语贴纸（含意大利警语和意大利环保标），（翻4500
164781）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</si>
  <si>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IMPORTACIONES PICCOLINO - JACOBO WI</t>
  </si>
  <si>
    <t>4500199743</t>
  </si>
  <si>
    <t>4500199743-70</t>
  </si>
  <si>
    <t>6/25截SI</t>
  </si>
  <si>
    <t>5/27 UPC贴纸</t>
  </si>
  <si>
    <t>日期码格式：ZURU INC(BVI) 标准格式                  日期：按实际生产日期
Packaging Info: 
其余item：MA多语包装+UPC贴纸+箱唛</t>
  </si>
  <si>
    <t>4500204609</t>
  </si>
  <si>
    <t>70089476</t>
  </si>
  <si>
    <t>4500204609-70</t>
  </si>
  <si>
    <t>5/9客供价格贴纸</t>
  </si>
  <si>
    <t>日期码格式：ZURU INC(BVI) 标准格式                  日期：按实际生产日期
Packaging Info: 1. Cus Item：
MA UPC 现有包装+PVC桶, 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</si>
  <si>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ZB06540-8.17</t>
  </si>
  <si>
    <t>4500204772</t>
  </si>
  <si>
    <t>10001851989-0581</t>
  </si>
  <si>
    <t>4500204772-10</t>
  </si>
  <si>
    <t>6/8寄出条码箱贴纸，客版收缩膜(C版）翻单4500183607；客版收藏指南翻单4500174008</t>
  </si>
  <si>
    <t>ZB06628/ZB06679</t>
  </si>
  <si>
    <t>4500204776</t>
  </si>
  <si>
    <t>10001851990-0581</t>
  </si>
  <si>
    <t>4500204776-10</t>
  </si>
  <si>
    <t>ZB06629/ZB06680</t>
  </si>
  <si>
    <t>4500203661</t>
  </si>
  <si>
    <t>316RUOTY</t>
  </si>
  <si>
    <t>4500203661-30</t>
  </si>
  <si>
    <t>5/25 SSCC LABEL一张+2张贴纸(1张UPC#，参考翻单PO#4500158582；1张可折叠警语贴
含德意警告语+IT环保标，参考翻单PO#4500157858)</t>
  </si>
  <si>
    <t>日期码格式：ZURU INC(BVI) 标准格式                  日期：按实际生产日期
Packaging Info: Amazon UK: 71SJXACT
Amazon ES: 316RUOTY
Amazon IT: 2WAQIQAI
UK(77731)/ES(15757/77673)/IT(77673)
3.77673: 12pcs/ctn; MA 3L(3L warning EAN#)B收缩膜+MA 23L warning B说明书+MA 5L A收藏指南+2张贴纸(1张UPC#，参考翻单PO#4500158582；1张可折叠警语贴
含德意警告语+IT环保标，参考翻单PO#4500157858)+WEEE_带电池走货 _ 说明书欧洲EN+30L_B版
4.验货时间不迟于2026/06/23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</si>
  <si>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2WAQIQAI</t>
  </si>
  <si>
    <t>4500203661-40</t>
  </si>
  <si>
    <t>5/22 SSCC LABEL一张+2张贴纸(1张UPC#，参考翻单PO#4500158582；1张可折叠警语贴
含德意警告语+IT环保标，参考翻单PO#4500157858)</t>
  </si>
  <si>
    <t>4500200614</t>
  </si>
  <si>
    <t>4500200614-50</t>
  </si>
  <si>
    <t>进口商贴纸+UPC贴纸 进口商贴纸/UPC贴纸翻单PO4500183983</t>
  </si>
  <si>
    <t>日期码格式：ZURU INC(BVI) 标准格式 日期：按实际生产日期
Packaging Info: 
77673: MA 多语包装+进口商贴纸+UPC贴纸+箱唛，进口商贴纸/UPC贴纸翻单PO4500183983
Remark: 如某个item的进口商贴纸和UPC贴纸合并为一张，请忽略UPC贴纸的需求，包装上的条码必须是UPC</t>
  </si>
  <si>
    <t>4500203685</t>
  </si>
  <si>
    <t>4045802243</t>
  </si>
  <si>
    <t>4500203685-10</t>
  </si>
  <si>
    <t>丹麦瑞典芬兰挪威警告语贴纸(贴纸和位置图翻Lekia PO#4500192711)+丹麦/挪威/瑞典/芬兰语警告语贴在纸袋
子上(贴纸和位置图翻PO#4500183825-共用#77111袋子的贴纸文档)</t>
  </si>
  <si>
    <t>日期码格式：ZURU INC(BVI) 标准格式                  日期：按实际生产日期
Packaging Info: 1. 77673TQ1: MA 3L EAN B版收缩膜+丹麦瑞典芬兰挪威警告语贴纸(贴纸和位置图翻Lekia PO#4500192711)+MA paper bag+丹麦/挪威/瑞典/芬兰语警告语贴在纸袋
子上(贴纸和位置图翻PO#4500183825-共用#77111袋子的贴纸文档)+MA 5L收藏指南+MA B23L（电池+UV胶警告语-23L）说明书+MA 3L PDQ+WEEE_带电池走货 _ 说明书
欧洲EN+29L_D版
Remark: * 请准备140尺高柜的安全网，客人要求所有柜货需要加安全网出货，漏拉网会有罚款产生
 * #77673: 新品，请在6/10寄两套大货样给客人留底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t>
  </si>
  <si>
    <t>4500205025</t>
  </si>
  <si>
    <t>50212601221</t>
  </si>
  <si>
    <t>4500205025-40</t>
  </si>
  <si>
    <t>6/27截SI</t>
  </si>
  <si>
    <t>6/3外箱贴纸+保证书+进口商贴纸+UPC贴纸，产品/包装都要贴1张进口商贴纸</t>
  </si>
  <si>
    <t>日期码格式：ZURU INC(BVI) 标准格式                  日期：按实际生产日期
Packaging Info: 
77773GQ2/777843GQ2/77673/9574:MA 多语包装+MA 多语说明书+外箱贴纸+保证书+进口商贴纸+UPC贴纸+箱唛，产品/包装都要贴1张进口商贴纸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</si>
  <si>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4500205025-50</t>
  </si>
  <si>
    <t>日期码格式：ZURU INC(BVI) 标准格式                  日期：按实际生产日期
Packaging Info: 77785:客版彩盒+进口商贴纸+保证书+外箱贴纸+箱唛（77673:MA 多语收缩膜/77711：MA 多语收缩膜+空白贴纸）,客版彩盒翻单PO4500194447，包装/产品都需要贴
一张进口商贴纸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</si>
  <si>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DISTRIBUIDORA  JUGUETRON  S.A.  DE  C.V</t>
  </si>
  <si>
    <t>4500205025-200</t>
  </si>
  <si>
    <t>MEC305-P-S002-INT-77673</t>
  </si>
  <si>
    <t>日期码格式：ZURU INC(BVI) 标准格式                  日期：按实际生产日期
Packaging Info: 
MEC305/MEC426:MA 包装+箱唛（无外箱贴纸）--打平包出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</si>
  <si>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4500206586</t>
  </si>
  <si>
    <t>4500206586-20</t>
  </si>
  <si>
    <t>EAN贴纸+一张客户贴纸：（贴纸翻单4500164735）</t>
  </si>
  <si>
    <t>.此单客户指定日期码：202602，产品/包装/外箱保持一致；</t>
  </si>
  <si>
    <t>已安排此单需要每款准备3套大货样，请注意备料</t>
  </si>
  <si>
    <t>日期码格式：202602 日期：
Packaging Info: 
2.77785 "最新彩盒+EAN贴纸+一张客户贴纸：（贴纸翻单4500164735）；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7.此单客户指定日期码：202602，产品/包装/外箱保持一致；</t>
  </si>
  <si>
    <t>4500206580-50</t>
  </si>
  <si>
    <t>一张进口商贴纸（含葡萄牙警语+西班牙环保标）+一张产品贴纸+一张黑白weee说明书纸（西/葡
 ),都翻4500195307</t>
  </si>
  <si>
    <t>8.带干燥剂的产品需要加一张"干燥剂说明书14L”</t>
  </si>
  <si>
    <t xml:space="preserve"> 新品需提供2套大货样品给客人，客人会签回一套，验货后验货员需要封1套板寄给香港办公室，请多备料，具体样板需求详见后续邮件通知</t>
  </si>
  <si>
    <t>日期码格式：LOT2626 日期：
Packaging Info: 
5. 77673: 最新MA 3L EAN收缩膜+最新MA 23L说明书+最新MA 纸袋+一张进口商贴纸（含葡萄牙警语+西班牙环保标）+一张产品贴纸+一张黑白weee说明书纸（西/葡
），都翻4500195307
Remark: 1. 订单出欧洲国家-西班牙，产品不能含有闪粉/微塑料，请确保所有包装都有西班牙环保标。
2. 客人格式日期码 LOT2626，包装（含收缩膜等）/产品/外箱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</si>
  <si>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4500202167-20</t>
  </si>
  <si>
    <t>日期码格式：ZURU INC(BVI) 标准格式                  日期：按实际生产日期
Packaging Info: 1.  STD Items: ZURU MA UPC 现有包装+客供价格贴纸，优先使用MA 1L最新版本（可接受多语）,出口美国
Remark: 1. Cus Item
#77806：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</si>
  <si>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ZB06832-8.17</t>
  </si>
  <si>
    <t>VARIETY DISTRIBUTORS,INC.</t>
  </si>
  <si>
    <t>4500201029</t>
  </si>
  <si>
    <t>75-B4226-1</t>
  </si>
  <si>
    <t>4500201029-50</t>
  </si>
  <si>
    <t>日期码格式：ZURU INC(BVI) 标准格式                  日期：按实际生产日期
Packaging Info: 1. MA (首选1L UPC/ 多语 UPC) 包装，出美国市场。
Remark: 2. 产品和包装上印刷tracking code信息，格式为ZURU常规。
 3. 需ZURU QC 验货合格后方可出货</t>
  </si>
  <si>
    <t>ZB06616-8.17</t>
  </si>
  <si>
    <t>4500203154</t>
  </si>
  <si>
    <t>1342</t>
  </si>
  <si>
    <t>4500203154-60</t>
  </si>
  <si>
    <t>5/29 警告语贴纸+MA paper bag+警告语贴在纸袋子上(贴纸和位置图翻PO#4500183825-共用#77111袋子的贴纸文档</t>
  </si>
  <si>
    <t>日期码格式：ZURU INC(BVI) 标准格式 日期：按实际生产日期 Tracking Code:
Packaging Info:  77673:MA 3L EAN B版收缩膜+警告语贴纸+MA paper bag+警告语贴在纸袋子上(贴纸和位置图翻PO#4500183825-共用#77111袋子的贴纸文档)+MA 5L收藏指南+MA B23
 L（电池+UV胶警告语-23L）说明书+WEEE_带电池走货 _ 说明书欧洲EN+29L_C版
 Remark: 1/配比跟MA
 2/产品和包装要求无硼无香，包装不能含有PVC
 3/出欧洲，微塑料需合规
4/带电池出货的产品，所用到的电池需要符合欧洲电池新规(EU)2023-1542</t>
  </si>
  <si>
    <t>4500206382</t>
  </si>
  <si>
    <t>0999666843</t>
  </si>
  <si>
    <t>4500206382-20</t>
  </si>
  <si>
    <t>77673箱唛翻单：4500178138</t>
  </si>
  <si>
    <t>5/22RFID贴纸</t>
  </si>
  <si>
    <t>日期码格式：ZURU DGYYMMDD CHINA(日期避开周末和法定节假日即可）                   日期：按实际生产日期
Packaging Info: 1.包装要求：
77711GQ4-S001-NA: MA 1L A版收缩膜+MA 2L B版收藏指南+MA B版说明书+客版1L PDQ
77673TQ1-S001: MA 1L B版收缩膜+MA 5L A版收藏指南+MA B版说明书+MA 1L PDQ
每pcs产品上要贴1张RFID贴纸，贴纸由ZURU提供，贴纸位置请严格按照我们签回的签板；
Remark: 1.包装要求：
77711GQ4-S001-NA: MA 1L A版收缩膜+MA 2L B版收藏指南+MA B版说明书+客版1L PDQ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
 77673：4pcs/PDQ/CTN</t>
  </si>
  <si>
    <t>ZB06774-8.17</t>
  </si>
  <si>
    <t>4500209087</t>
  </si>
  <si>
    <t>4500209087-20</t>
  </si>
  <si>
    <t xml:space="preserve">日期码格式：ZURU INC(BVI) 标准格式                  日期：按实际生产日期
Remark: 
2.77673：最新MA 3L EAN版本包装+MA 23L说明书+最新WEEE带电池走货欧洲30语通用黑白说明书；
</t>
  </si>
  <si>
    <t>4500209231</t>
  </si>
  <si>
    <t>4500209231-90</t>
  </si>
  <si>
    <t>6/11进口商贴纸，产品包装和PDQ都需要贴纸</t>
  </si>
  <si>
    <t>产品及包装需要印CE logo图标，包装需含有西班牙环保标 和care@zuru.com 邮箱地址，  另外，贴纸不可以覆盖西班牙警告语。QC同事请核查，如有问题需和
跟单确认
6.有关PDQ/展示架的贴纸位置图，客户要求我们贴在PDQ/展示架的底部，这样客户在打开外箱的时候不需要取出产品，即可以扫描条码，在做大货前需帮忙复查下设
计提供的贴纸位置图是否都贴到了底部，避免客诉发生；</t>
  </si>
  <si>
    <t>已安排此单需要准备2套大货样寄到深圳办公室，请注意备料；</t>
  </si>
  <si>
    <t>日期码格式：ZURU INC(BVI) 标准格式                  日期：按实际生产日期
Packaging Info: 
77673：最新【MA 3L 收缩膜含EAN条码+进口商贴纸】+MA 最新5L收藏指南，MA 最新23L说明书（产品包装和PDQ都需要贴纸）+WEEE带电池走货欧洲29L通用黑白说明
书;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</si>
  <si>
    <t>4500201746-10</t>
  </si>
  <si>
    <t>7/3截SI</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</si>
  <si>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item#77673: Marshalls PO#127320,SKU#923705 DC#881-324PCS, DC#884-240PCS,DC#887-276PCS, DC#888-156PCS</t>
  </si>
  <si>
    <t>ZB06739-8.17</t>
  </si>
  <si>
    <t>4500201747-10</t>
  </si>
  <si>
    <t>5/15寄出价格贴纸，价格贴纸客供。2PK的球用无条码收缩膜或加空白贴纸覆盖原条码。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</si>
  <si>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PO#127333,SKU#203306 DC#891-252PCS, DC#894-204PCS, DC#896-168PCS, DC#897-384PCS, DC#898-192PCS</t>
  </si>
  <si>
    <t>ZB06740-8.17</t>
  </si>
  <si>
    <t>CENTROS COMERCIALES CARREFOUR S.A.</t>
  </si>
  <si>
    <t>43CHT26ESCA1070</t>
  </si>
  <si>
    <t>4500203810-10</t>
  </si>
  <si>
    <t>要求使用双坑纸箱，外箱尺寸超出7%有350USD的罚款，请注意外箱尺寸变更不能超出7%。下表客人系统外箱尺寸FYI.
空白纸箱: 在正唛（只1面）加多虚线15 x 10.5 cm ( 高x 宽) 距箱左边2cm，  距箱底 3cm，虚线内1张外箱贴纸（在checkpoint网站上订）Custeomer Service:</t>
  </si>
  <si>
    <t>MA 3L EAN收缩膜(4894680042773)</t>
  </si>
  <si>
    <t>大货样品2套，请多备料。已安排</t>
  </si>
  <si>
    <t>日期码格式：ZURU INC(BVI) 标准格式                  日期：按实际生产日期
Packaging Info: 77673TQ1: 77673TQ1：  MA 3L EAN收缩膜(4894680042773)，MA 纸袋，MA 5L收藏指南，MA 5L UV 贴纸，  MA 电池+UV胶警告语-23L 说明书+WEEE_带电池走货 _ 说
明书欧洲,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</si>
  <si>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4500203860</t>
  </si>
  <si>
    <t>43CHT26ESCA1076</t>
  </si>
  <si>
    <t>4500203860-10</t>
  </si>
  <si>
    <t>4500200614-250</t>
  </si>
  <si>
    <t>进口商贴纸，进口商贴纸翻单PO4500200402</t>
  </si>
  <si>
    <t>日期码格式：ZURU INC(BVI) 标准格式 日期：按实际生产日期
Packaging Info: 
77937:客版彩盒+进口商贴纸+箱唛（1PK 77763 MA 多语收缩膜+2PK 77782:客版翻单PO4500161302，订单上的资料的item 号码维持77785,进口商贴纸翻单PO4500200402
Remark: 如某个item的进口商贴纸和UPC贴纸合并为一张，请忽略UPC贴纸的需求，包装上的条码必须是UPC</t>
  </si>
  <si>
    <t>4500206775</t>
  </si>
  <si>
    <t>4400558689</t>
  </si>
  <si>
    <t>4500206775-30</t>
  </si>
  <si>
    <t>WEEE声明(带电池)走货欧洲通用29L-D版说明书</t>
  </si>
  <si>
    <t>日期码格式：ZURU INC(BVI) 标准格式                  日期：按实际生产日期
Packaging Info: 
"77673TQ1: 最新MA 3L EAN配套包装+WEEE声明(带电池)走货欧洲通用29L-D版说明书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</si>
  <si>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4500205055</t>
  </si>
  <si>
    <t>680746</t>
  </si>
  <si>
    <t>4500205055-30</t>
  </si>
  <si>
    <t>UPC贴纸翻单4500182548</t>
  </si>
  <si>
    <t>日期码格式：  标准格式                  日期：按实际生产日期
Packaging Info: 
77673TQ1 MA 3L  EAN版本+UPC贴纸193052079404，UPC贴纸翻单4500182548
Remark: 出加拿大
Zuru验货. 日期跟踪码：产品外包装及产品本身都必须有日期跟踪码，ZURU标准格式日期码</t>
  </si>
  <si>
    <t>4500206784</t>
  </si>
  <si>
    <t>4400561392</t>
  </si>
  <si>
    <t>4500206784-10</t>
  </si>
  <si>
    <t>日期码格式：ZURU INC(BVI) 标准格式                  日期：按实际生产日期
Packaging Info: "77673TQ1: 最新MA 3L EAN配套包装+WEEE声明(带电池)走货欧洲通用29L-D版说明书
EAN: 4894680042773"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</si>
  <si>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4500206245</t>
  </si>
  <si>
    <t>0044884882</t>
  </si>
  <si>
    <t>4500206245-70</t>
  </si>
  <si>
    <t>日期码格式：ZURU INC(BVI) 标准格式                  日期：按实际生产日期
Packaging Info: 1、包装方式: #92146TQ4: MA UPC优先1L最新版+客版1FACING 3PCS/PDQ，出口美国
其他items: MA UPC优先1L最新版，出口美国
Remark: 2、无测试无验货要求
 3、纸箱4面印ZURU LOGO + 箱唛
 4、日期码请按ZURU标准版执行
 5、ZURU OQC验货</t>
  </si>
  <si>
    <t>ZB06655-8.17</t>
  </si>
  <si>
    <t>4500202542</t>
  </si>
  <si>
    <t>4500202542-30</t>
  </si>
  <si>
    <t xml:space="preserve"> 7. 此客户需要第三方验货，请在约三方验货前必须PASS ZURU验货。</t>
  </si>
  <si>
    <t>一张EAN:4894680050945条码贴
纸（翻4500163212）+两张空白贴纸（贴在球的条码上，翻4500191607）+一张进口商贴纸（含希腊警语+意大利环保标，翻4500202516）+一张产品贴纸（翻45001632
 12）+一张WEEE说明书纸（翻4500163212）</t>
  </si>
  <si>
    <t>客人日期码：LOT2627，包装（含收缩膜等）/产品/外箱 请保持一致。</t>
  </si>
  <si>
    <t>大货样品2套/item，用于客人验货签板。验货后还会抽办1套/item，请多备料。球类请寄3套+一套配件；具体详见邮件通知；已安排</t>
  </si>
  <si>
    <t>日期码格式：LOT2627                  日期：
Packaging Info: 
 3. 77785：客版彩盒（翻4500194447）+最新MA 3L EAN包装+最新MA 3L 彩盒+最新MA 23L说明书+最新MA 5L收藏指南+最新MA 5L包装+一张EAN:4894680050945条码贴
纸（翻4500163212）+两张空白贴纸（贴在球的条码上，翻4500191607）+一张进口商贴纸（含希腊警语+意大利环保标，翻4500202516）+一张产品贴纸（翻45001632
 12）+一张WEEE说明书纸（翻4500163212）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</si>
  <si>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SMYK  SP  Z  O.O.</t>
  </si>
  <si>
    <t>4500207588</t>
  </si>
  <si>
    <t>4500207588-20</t>
  </si>
  <si>
    <t>进口商贴纸（翻4500205388）+含客户款号的EAN条码贴纸（翻4500205388）</t>
  </si>
  <si>
    <t>日期码格式：ZURU INC(BVI) 标准格式 日期：按实际生产日期 Tracking Code:
Packaging Info:77673：B 版 3L MA EAN 收缩膜+进口商贴纸（翻4500205388）+含客户款号的EAN条码贴纸（翻4500205388）；A 版 5L MA 收藏指南/B 版 23L 语电池和UV 胶警告
 语说明书/D 版 29L 带电池走货WEEE说明书
Remark: 1、若产品有比例使用ZURU STD 比例
 2、所有item 均用MA EAN条码，若包装上的EAN 条码与PO 不一致的请告知</t>
  </si>
  <si>
    <t>4500209087-60</t>
  </si>
  <si>
    <t>EAN贴纸；(条码贴纸翻单4500166563）</t>
  </si>
  <si>
    <t xml:space="preserve">日期码格式：ZURU INC(BVI) 标准格式                  日期：按实际生产日期
Remark: 
6.77785 ：最新客版彩盒+EAN贴纸；(条码贴纸翻单4500166563）：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t>
  </si>
  <si>
    <t>4500189480</t>
  </si>
  <si>
    <t>21528176</t>
  </si>
  <si>
    <t>4500189480-20</t>
  </si>
  <si>
    <t>张说明书纽扣电池警告语贴纸+ 1张收缩膜纽扣电池警告语贴纸（客版AW以及电池警告语贴纸&lt;(&gt;&amp;&lt;)&gt;贴纸位置图翻单PO#4500170842）+6/8外箱贴纸SSCC Label</t>
  </si>
  <si>
    <t>日期码格式：ZURU INC(BVI) 标准格式 日期：按实际生产日期
Packaging Info: 
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备注：此单的77785需要与NZ PO#4500198161一起合并计算</t>
  </si>
  <si>
    <t>4500198161-40</t>
  </si>
  <si>
    <t>6/8外箱贴纸SSCC Label</t>
  </si>
  <si>
    <t>日期码格式：ZURU INC(BVI) 标准格式 日期：按实际生产日期
Packaging Info:77785：MA 3L UPC 彩盒包装 + 箱唛 + 外箱贴纸SSCC Label
 子件77711:3L 客版无条码收缩膜+MA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PO#4500198158一起合并计算，但是77785需要与AU PO#4500189480一起合并计算</t>
  </si>
  <si>
    <t>4500203898</t>
  </si>
  <si>
    <t>43CHT26ESCA1082</t>
  </si>
  <si>
    <t>4500203898-10</t>
  </si>
  <si>
    <t>日期码格式：ZURU INC(BVI) 标准格式                  日期：按实际生产日期
Packaging Info: 77673TQ1：  MA 3L EAN收缩膜(4894680042773)，MA 纸袋，MA 5L收藏指南，MA 5L UV 贴纸，  MA 电池+UV胶警告语-23L 说明书+WEEE_带电池走货 _ 说明书欧洲, M
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</si>
  <si>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4500203934</t>
  </si>
  <si>
    <t>43CHT26ESCA1087</t>
  </si>
  <si>
    <t>4500203934-10</t>
  </si>
  <si>
    <t>4500207083</t>
  </si>
  <si>
    <t>02198968</t>
  </si>
  <si>
    <t>4500207083-20</t>
  </si>
  <si>
    <t>7/17-7/22</t>
  </si>
  <si>
    <t>价格贴纸（价贴金额 $24.99,价贴位于产品包装上UPC条形码附近），价贴资料翻单4500191037 6/15寄出2张外箱贴</t>
  </si>
  <si>
    <t>日期码格式：ZURU INC(BVI) 标准格式                  日期：按实际生产日期
Packaging Info: 1. 包材：
#77673: ZURU MA 1L UPC 版本+ MA 5L 收藏指南 +价格贴纸（价贴金额 $24.99,价贴位于产品包装上UPC条形码附近），价贴资料翻单4500191037，工厂直接采购,
出口美国; 。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PO#02198968 SHIP TO NJ,
 PO#02198969 SHIP TO NV,
 5. 出货配比：ZURU 标准配比</t>
  </si>
  <si>
    <t>ZB07223-8.17</t>
  </si>
  <si>
    <t>02198969</t>
  </si>
  <si>
    <t>4500207083-50</t>
  </si>
  <si>
    <t>ZB07038-8.17</t>
  </si>
  <si>
    <t>VEDES GROSSHANDEL GMBH</t>
  </si>
  <si>
    <t>4500208613-20</t>
  </si>
  <si>
    <t>5/22 1张PDQ条码贴纸+德语警语贴纸(翻单#4500161168)+Kinder
herz 2025 logo贴纸(翻单4500166480)</t>
  </si>
  <si>
    <t>产品，包装，外箱Batch code: 193448/07/2026, 布标按MA日期码即可。</t>
  </si>
  <si>
    <t>此单出货前需要提供3套大货样品给客人确认放货，需准时寄出避免影响出货。</t>
  </si>
  <si>
    <t>日期码格式：193448/07/2026 日期：
77673TQ1: 最新MA 3L PDQ+1张PDQ条码贴纸+3LEAN包装+德语警语贴纸(翻单#4500161168)+5L收藏指南+5L纸袋+23L说明书+欧洲通用29L WEEE说明书(带电池)+Kinder
herz 2025 logo贴纸(翻单4500166480)
2. 产品，包装，外箱Batch code: 193448/07/2026,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</si>
  <si>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ZURU  FRANCE</t>
  </si>
  <si>
    <t>4500206141</t>
  </si>
  <si>
    <t>5200009937</t>
  </si>
  <si>
    <t>4500206141-10</t>
  </si>
  <si>
    <t>多语警语折叠贴纸（含包装缺失的法/意/西环保标）（贴纸翻4500
196281）</t>
  </si>
  <si>
    <t>日期码格式：ZURU INC(BVI) 标准格式 日期：按实际生产日期
Packaging Info: 77673TQ1:最新MA3LEAN收缩膜+最新MA5L收藏指南+最新MA23L说明书+最新MA纸袋+最新MA 3L PDQ+多语警语折叠贴纸（含包装缺失的法/意/西环保标）（贴纸翻4500
196281）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t>
  </si>
  <si>
    <t>4500207776</t>
  </si>
  <si>
    <t>600-27109</t>
  </si>
  <si>
    <t>4500207776-30</t>
  </si>
  <si>
    <t>日期码格式：ZURU INC(BVI) 标准格式                  日期：按实际生产日期
Packaging Info: 1、包装方式: MA UPC优先1L最新版，出口美国
Remark: 2、无测试无验货要求
 3、纸箱4面印ZURU LOGO + 箱唛
 4、日期码请按ZURU标准版执行即可
 5、ZURU QC验货</t>
  </si>
  <si>
    <t>ZB06928-8.17</t>
  </si>
  <si>
    <t>BEALL'S OUTLET STORES, INC.</t>
  </si>
  <si>
    <t>4500207784</t>
  </si>
  <si>
    <t>1900759</t>
  </si>
  <si>
    <t>4500207784-10</t>
  </si>
  <si>
    <t>6/2客供价格贴纸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</si>
  <si>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3.#15714-S001比例：b:d:e:g:h:k:m=1：1：1：2：1：1：5
    #15727-S001比例：d:l:m=1:1:1</t>
  </si>
  <si>
    <t>ZB07132-8.17</t>
  </si>
  <si>
    <t>1901115</t>
  </si>
  <si>
    <t>4500207784-140</t>
  </si>
  <si>
    <t>ZB06862-8.17</t>
  </si>
  <si>
    <t>1901116</t>
  </si>
  <si>
    <t>4500207784-160</t>
  </si>
  <si>
    <t>ZB06836-8.17</t>
  </si>
  <si>
    <t>4500205041</t>
  </si>
  <si>
    <t>62110212</t>
  </si>
  <si>
    <t>4500205041-100</t>
  </si>
  <si>
    <t>6/17寄出价标贴纸，包装/说明书都需要贴一张进口商贴纸，进口商贴纸+UPC贴
纸+保证书翻单PO4500177857</t>
  </si>
  <si>
    <t>日期码格式：ZURU INC(BVI) 标准格式                  日期：按实际生产日期
Packaging Info: 
77773GQ2/77673:MA多语 包装+MA 多语说明书（含西语）+UPC贴纸+进口商贴纸+价标贴纸+保证书+箱唛，包装/说明书都需要贴一张进口商贴纸，进口商贴纸+UPC贴
纸+保证书翻单PO4500177857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</si>
  <si>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TOYS  WORLD  FREIZEITARTIKEL  UND  SPIE</t>
  </si>
  <si>
    <t>4500209339</t>
  </si>
  <si>
    <t>4500209339-20</t>
  </si>
  <si>
    <t>德语警语贴纸(翻单#4500161168)+Kinderherz  2025  logo
贴纸(翻单4500166480)</t>
  </si>
  <si>
    <t>日期码格式：ZURU  INC(BVI)  标准格式                                    日期：按实际生产日期
Packaging Info: 
77673TQ1:  最新MA  3L  PDQ+3LEAN包装+德语警语贴纸(翻单#4500161168)+5L收藏指南+5L纸袋+23L说明书+欧洲通用29L  WEEE说明书(带电池)+Kinderherz  2025  logo
贴纸(翻单4500166480)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大货样品2套，请多备料
6.  标准配比</t>
  </si>
  <si>
    <t>Shirley  Zhou</t>
  </si>
  <si>
    <t>KOTRYNA  GROUP,  UAB</t>
  </si>
  <si>
    <t>4500208596</t>
  </si>
  <si>
    <t>4500208596-110</t>
  </si>
  <si>
    <t>6/16进口商贴纸</t>
  </si>
  <si>
    <t>日期码格式：ZURU  INC(BVI)  标准格式                                    日期：按实际生产日期
Packaging Info: 
77673TQ1：MA  B版1L收缩膜  +A版5L收藏指南+B版23L警告说明书+D版29L  带电池版的WEEE说明书，MA  A版1L  PDQ，加进口商贴纸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</si>
  <si>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Snowy  Wu</t>
  </si>
  <si>
    <t>4500208849</t>
  </si>
  <si>
    <t>W0772956</t>
  </si>
  <si>
    <t>4500208849-20</t>
  </si>
  <si>
    <t>5/28 价格贴纸+外箱正唛(2面)右下角贴条码贴纸各贴1张(即1面1张共2张)</t>
  </si>
  <si>
    <t>日期码格式：ZURU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</si>
  <si>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Joy Huang</t>
  </si>
  <si>
    <t>ZB06929-8.17</t>
  </si>
  <si>
    <t>4500204184</t>
  </si>
  <si>
    <t>43CHT26ESCA1063</t>
  </si>
  <si>
    <t>4500204184-20</t>
  </si>
  <si>
    <t>7/10-7/14</t>
  </si>
  <si>
    <t>日期码格式：ZURU INC(BVI) 标准格式                  日期：按实际生产日期
Packaging Info:
77673TQ1:77673TQ1：  MA 3L EAN收缩膜(4894680042773)，MA 纸袋，MA 5L收藏指南，MA 5L UV 贴纸，  MA 电池+UV胶警告语-23L 说明书+WEEE_带电池走货 _ 说明
书欧洲, MA 3L PDQ
MEC426: MA 3L 展示架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</si>
  <si>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CARREFOUR FRENCH  POLYNESIA</t>
  </si>
  <si>
    <t>43CHT26PFCA1123</t>
  </si>
  <si>
    <t>4500204197-20</t>
  </si>
  <si>
    <t>日期码格式：ZURU INC(BVI) 标准格式                  日期：按实际生产日期
Packaging Info: MEC426: MA 3L 展示架
77673TQ1：  MA 3L EAN收缩膜(4894680042773)，进口商贴纸, MA 纸袋，MA 5L收藏指南，MA 5L UV 贴纸，  MA 电池+UV胶警告语-23L 说明书+WEEE_带电池走货 _
说明书欧洲,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</si>
  <si>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CARREFOUR REUNION</t>
  </si>
  <si>
    <t>留尼汪</t>
  </si>
  <si>
    <t>43CHT26REC50993</t>
  </si>
  <si>
    <t>4500204205-20</t>
  </si>
  <si>
    <t>日期码格式：ZURU INC(BVI) 标准格式                  日期：按实际生产日期
Packaging Info: MEC426: MA 3L 展示架
77673TQ1：  MA 3L EAN收缩膜(4894680042773)，MA 纸袋，MA 5L收藏指南，MA 5L UV 贴纸，  MA 电池+UV胶警告语-23L 说明书+WEEE_带电池走货 _ 说明书欧洲, M
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</si>
  <si>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ASIA  GOAL  LIMITED</t>
  </si>
  <si>
    <t>AG260088-HK</t>
  </si>
  <si>
    <t>4500210768-10</t>
  </si>
  <si>
    <t>6/13寄出1张客供警语贴纸+1张客供电池警语贴纸+1张客供中文警告说明书</t>
  </si>
  <si>
    <t>日期码格式：ZURU INC(BVI) 标准格式 日期：按实际生产日期
Packaging Info: 此单出HK
77673TQ1:MA 1L 收缩膜+MA 1L PDQ+MA 5L 收藏指南+MA 说明书+1张客供警语贴纸+1张客供电池警语贴纸+1张客供中文警告说明书）具体请参考HK 客供警语贴纸位置
Remark:</t>
  </si>
  <si>
    <t>4500204166</t>
  </si>
  <si>
    <t>43CHT26ESCA1075</t>
  </si>
  <si>
    <t>4500204166-10</t>
  </si>
  <si>
    <t>日期码格式：ZURU INC(BVI) 标准格式                  日期：按实际生产日期
Packaging Info: 77673TQ1：  MA 3L EAN收缩膜(4894680042773)，MA 纸袋，MA 5L收藏指南，MA 5L UV 贴纸，  MA 电池+UV胶警告语-23L 说明书+WEEE_带电池走货 _ 说明书欧洲, M
A 3L PDQ
MEC426: MA 3L 展示架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</si>
  <si>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4500209256</t>
  </si>
  <si>
    <t>FB14579</t>
  </si>
  <si>
    <t>4500209256-170</t>
  </si>
  <si>
    <t>6/18PDQ数量贴纸</t>
  </si>
  <si>
    <t>加外箱地址邮箱贴</t>
  </si>
  <si>
    <t>日期码格式：ZURU INC(BVI) 标准格式                  日期：按实际生产日期
Packaging Info: 
77673TQ1:MA-1L 配套包装加D版29L带电池出货WEEE说明书, 条码请核对:193052079404。PDQ数量贴纸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标准29L通用WEEE 电子产品说明书,带电池出货的加带电池出货版本通用29L的说明书，不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</si>
  <si>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4500206305</t>
  </si>
  <si>
    <t>5DMOHAWO</t>
  </si>
  <si>
    <t>4500206305-370</t>
  </si>
  <si>
    <t>6/16寄出SSCC LABEL（客供贴纸)</t>
  </si>
  <si>
    <t>日期码格式：ZURU INC(BVI) 标准格式                  日期：按实际生产日期
Packaging Info: 
 3. #77673: MA 3L B版本+UPC贴纸，贴纸资料翻单#4500194871，UPC：193052079404；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</si>
  <si>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4500206339</t>
  </si>
  <si>
    <t>48LY3GDO</t>
  </si>
  <si>
    <t>4500206339-50</t>
  </si>
  <si>
    <t>日期码格式：ZURU INC(BVI) 标准格式                  日期：按实际生产日期
Packaging Info: 
#77673: MA 3L B版本+UPC贴纸，贴纸资料翻单#4500194871，UPC：193052079404；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</si>
  <si>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4500206374</t>
  </si>
  <si>
    <t>1LQ9977D</t>
  </si>
  <si>
    <t>4500206374-210</t>
  </si>
  <si>
    <t>日期码格式：ZURU INC(BVI) 标准格式                  日期：按实际生产日期
Packaging Info:
#77673: MA 3L B版本+UPC贴纸，贴纸资料翻单#4500194871，UPC：193052079404；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</si>
  <si>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34OK5F2L</t>
  </si>
  <si>
    <t>4500206374-220</t>
  </si>
  <si>
    <t>3RNKBZFS</t>
  </si>
  <si>
    <t>4500206374-230</t>
  </si>
  <si>
    <t>7C86LC9G</t>
  </si>
  <si>
    <t>4500206374-240</t>
  </si>
  <si>
    <t>7HWVUR4Z</t>
  </si>
  <si>
    <t>4500206374-250</t>
  </si>
  <si>
    <t>2OFHFUAW</t>
  </si>
  <si>
    <t>4500206374-260</t>
  </si>
  <si>
    <t>66HAPDKJ</t>
  </si>
  <si>
    <t>4500206374-270</t>
  </si>
  <si>
    <t>3XN6JEAP</t>
  </si>
  <si>
    <t>4500206374-280</t>
  </si>
  <si>
    <t>8KZP39VF</t>
  </si>
  <si>
    <t>4500206374-290</t>
  </si>
  <si>
    <t>4ADTSSPA</t>
  </si>
  <si>
    <t>4500206374-300</t>
  </si>
  <si>
    <t>4500204920-120</t>
  </si>
  <si>
    <t>4500204061</t>
  </si>
  <si>
    <t>2000010351</t>
  </si>
  <si>
    <t>4500204061-30</t>
  </si>
  <si>
    <t>自检</t>
  </si>
  <si>
    <t>一张EAN:4894680050945条码贴
纸（贴彩盒）+两张空白贴纸（贴在球的条码上，翻4500191607）+一张进口商贴纸+一张产品贴纸（贴在球外壳再吸收缩膜）+一张WEEE说明书纸,都翻4500163211</t>
  </si>
  <si>
    <t xml:space="preserve"> 4. 包装必须含法国回收logo标识, 最新版ZURU logo；</t>
  </si>
  <si>
    <t>已安排大货样品2套/item，用于客人验货签板。验货后还会抽办1套/item，请多备料；</t>
  </si>
  <si>
    <t>日期码格式：LOT2627                  日期：
Packaging Info: 
 3. 77785：客版彩盒（翻4500194447）+最新MA 3L EAN包装+最新MA 3L 彩盒+最新MA 23L说明书+最新MA 5L收藏指南+最新MA 5L包装+一张EAN:4894680050945条码贴
纸（贴彩盒）+两张空白贴纸（贴在球的条码上，翻4500191607）+一张进口商贴纸+一张产品贴纸（贴在球外壳再吸收缩膜）+一张WEEE说明书纸,都翻4500163211
Remark: 1. 大货样品2套/item，用于客人验货签板。验货后还会抽办1套/item，请多备料；
2. 客版日期码LOT2627,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所有带电产品请复核跟单是否有提供客人指定内容的WEEE说明书（不是通用29L版本）；如果做了客版说明书，则会将weee说明加进客版说明书中
 8. 此客户需要第三方验货，请在约三方验货前必须PASS ZURU验货。</t>
  </si>
  <si>
    <t>4500210768-20</t>
  </si>
  <si>
    <t>6/13寄出1张客供警语贴+1张客供电池警语贴纸+1张客供中文警告说明书</t>
  </si>
  <si>
    <t>22010000274052</t>
  </si>
  <si>
    <t>4500202230-10</t>
  </si>
  <si>
    <t>德语警语贴纸(翻单#4500161168)+Kinderherz 2025 logo贴纸
(翻单4500166480)</t>
  </si>
  <si>
    <t>已安排大货样品3套，请多备料</t>
  </si>
  <si>
    <t>日期码格式：ZURU INC(BVI) 标准格式                  日期：按实际生产日期
Packaging Info: 77673: 最新MA 3LEAN包装+德语警语贴纸(翻单#4500161168)+5L收藏指南+5L纸袋+23L说明书+欧洲通用30L B或29L WEEE说明书(带电池)+Kinderherz 2025 logo贴纸
(翻单4500166480)
Remark: 1. 需要满足Zuru Standard欧洲标准测试要求,微塑料需符合法规；；
 2. 请准时出货，推期会有罚款；
 3.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4. 所有出往GAS市场(德国/奥地利/瑞士)的电子产品需增加一张欧洲通用WEEE声明说明书，区分带电池和不带电池版本, 如已做客版说明书可忽略此要求。
 5. 所有出往GAS市场(德国/奥地利/瑞士)订单，化学品需无堋无香版本
 6. 标准配比
 7. 大货样品3套，请多备料</t>
  </si>
  <si>
    <t>4500203225</t>
  </si>
  <si>
    <t>4500203225-100</t>
  </si>
  <si>
    <t>日期码格式：ZURU INC(BVI) 标准格式                  日期：按实际生产日期
Packaging Info: 1.优先多语 MA UPC或者3L/5L MA EAN 包装
2.请确保包装上的条形码是UPC，如果是babyUPC、需要用mother UPC覆盖，如有不一致，请及时提出。谢谢!
77673 MA 多语EAN 包装+UPC 贴纸+MA 多语说明书/+MA 多语收藏指南+箱唛
Remark: 
77673 3PCS AG13 BATTERIES(INCLUDED) Fixed Collection</t>
  </si>
  <si>
    <t>4500210008</t>
  </si>
  <si>
    <t>50795693</t>
  </si>
  <si>
    <t>4500210008-10</t>
  </si>
  <si>
    <t>6/5寄出一张客供价格贴纸</t>
  </si>
  <si>
    <t>日期码格式：ZURU INC(BVI) 标准格式                  日期：按实际生产日期
Packaging Info: 77785:MA 3L UPC包装+一张客供价格贴纸+D版29L带电池出货版本WEEE说明书+1张客供价格贴纸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</si>
  <si>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50795698</t>
  </si>
  <si>
    <t>4500210008-40</t>
  </si>
  <si>
    <t>日期码格式：ZURU INC(BVI) 标准格式                  日期：按实际生产日期
Packaging Info:
77785:MA 3L UPC包装+一张客供价格贴纸+D版29L带电池出货版本WEEE说明书+1张客供价格贴纸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</si>
  <si>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4500206023</t>
  </si>
  <si>
    <t>05542-MVS</t>
  </si>
  <si>
    <t>4500206023-140</t>
  </si>
  <si>
    <t>6/24UPC贴纸</t>
  </si>
  <si>
    <t xml:space="preserve">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包装需要用UPC贴纸覆盖）+箱唛+进口商贴纸
Remark: </t>
  </si>
  <si>
    <t>4500203219</t>
  </si>
  <si>
    <t>05737-BOD-04FALL</t>
  </si>
  <si>
    <t>4500203219-40</t>
  </si>
  <si>
    <t>6/9UPC贴纸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</si>
  <si>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Remark: 
77673 3PCS AG13 BATTERIES(INCLUDED) Fixed Collection</t>
  </si>
  <si>
    <t>BAMASIA SARL</t>
  </si>
  <si>
    <t>4500203754</t>
  </si>
  <si>
    <t>200260287</t>
  </si>
  <si>
    <t>4500203754-20</t>
  </si>
  <si>
    <t>日期码格式：ZURU INC(BVI) 标准格式                  日期：按实际生产日期
Packaging Info: 
77673TQ1: MA3L EAN 收缩膜+ WEEE D版29L_带电池走货声明书+MA5L收藏指南+MA 23L 警告语+ MA 3L PDQ
Remark: 1. 此票需通过ZURU OQC验货；
 2. 此票出法国，请确保产品符合EU标准，包装含有法国回收logo，符合EU微塑料法规；
3. 此票全部用EAN条码
 4. 所有出口法国的产品, 法规规定禁止在包装和公众用的印刷品中使用矿物油中含有的物质, 包装印刷油墨中含有的MOAH/MOSH的质量浓度不能超过1%, 否则出货
到法国被抽检出现问题, 供应商需要对此负责;</t>
  </si>
  <si>
    <t>CLAIRE’S  ESSENTIALS,  LLC</t>
  </si>
  <si>
    <t>4500210873-10</t>
  </si>
  <si>
    <t>6/15客户价格贴纸（覆
盖掉原来的EAN#条形码）</t>
  </si>
  <si>
    <t>价格贴纸需覆盖收缩膜上的EAN,贴大货之前先贴一个给跟单确认位置图</t>
  </si>
  <si>
    <t>已安排每款寄一套给到SZ办公室（PDQ的话就寄一整个PDQ），样板上加客供价格贴纸覆盖掉原来的EAN再寄过来</t>
  </si>
  <si>
    <t>日期码格式：ZURU  INC(BVI)  标准格式                                    日期：按实际生产日期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Remark: 1. 出货前  Zuru  QC  验货
2.价格贴纸需覆盖收缩膜上的EAN,贴大货之前先贴一个给跟单确认位置图
3.  每款寄一套给到SZ办公室（PDQ的话就寄一整个PDQ），样板上加客供价格贴纸覆盖掉原来的EAN再寄过来</t>
  </si>
  <si>
    <t>Agnes  Zheng</t>
  </si>
  <si>
    <t>ZB07107-8.17</t>
  </si>
  <si>
    <t>4500209212</t>
  </si>
  <si>
    <t>6006-013627</t>
  </si>
  <si>
    <t>4500209212-30</t>
  </si>
  <si>
    <t>6/1 1张进口商贴纸（贴冰箱背面空白处）</t>
  </si>
  <si>
    <t>日期码格式：ZURU INC(BVI) 标准格式                  日期：按实际生产日期
Packaging Info: 
77673TQ1：MA 1L PKG , MA 说明书 + 1张进口商贴纸（贴冰箱背面空白处）
所有贴纸不得遮挡日期码
Remark: 此单进口商贴纸通用所有item</t>
  </si>
  <si>
    <t>THE  KROGER  CO.</t>
  </si>
  <si>
    <t>600-28631</t>
  </si>
  <si>
    <t>4500210826-70</t>
  </si>
  <si>
    <t>日期码格式：ZURU  INC(BVI)  标准格式                                    日期：按实际生产日期
Packaging Info: 1、包装方式:  MA  UPC优先1L最新版，出口美国
Remark: 2、无测试无验货要求
   3、纸箱4面印ZURU  LOGO  +  箱唛
   4、日期码请按ZURU标准版执行即可
   5、ZURU  QC验货</t>
  </si>
  <si>
    <t>Vicky  Wu</t>
  </si>
  <si>
    <t>ZB07108-8.17</t>
  </si>
  <si>
    <t>600-28658</t>
  </si>
  <si>
    <t>4500210826-100</t>
  </si>
  <si>
    <t>500-17768</t>
  </si>
  <si>
    <t>4500210826-130</t>
  </si>
  <si>
    <t>ZB07176-8.17</t>
  </si>
  <si>
    <t>500-17775</t>
  </si>
  <si>
    <t>4500210826-160</t>
  </si>
  <si>
    <t>4500202901</t>
  </si>
  <si>
    <t>4500202901-90</t>
  </si>
  <si>
    <t>进口商贴纸+UPC贴纸+6/18寄出价标贴纸+保证书 包装/说明书都需要贴一张进口商贴纸,进口商贴纸和UPC贴
纸/保证书翻单PO4500199969</t>
  </si>
  <si>
    <t>日期码格式：ZURU INC(BVI) 标准格式 日期：按实际生产日期
Packaging Info: 
77673/77858/77773GQ2/77843GQ2/9574:MA 多语包装+进口商贴纸+价标贴纸+UPC 贴纸+保证书+箱唛，包装/说明书都需要贴一张进口商贴纸，进口商贴纸和UPC贴
纸/保证书翻单PO4500199969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</si>
  <si>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4500206343</t>
  </si>
  <si>
    <t>4500206343-30</t>
  </si>
  <si>
    <t>6.此单需要准备两套MA样板，需要在5/30前寄出；</t>
  </si>
  <si>
    <t>日期码格式：ZURU INC(BVI) 标准格式                  日期：按实际生产日期
Packaging Info:3.77673：最新MA 3L EAN包装+MA 5L收藏指南+MA 23L说明书+WEEE带电池走货欧洲29L通用黑白说明书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</si>
  <si>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0999666846</t>
  </si>
  <si>
    <t>4500206382-30</t>
  </si>
  <si>
    <t>53HVXBME</t>
  </si>
  <si>
    <t>4500201289-30</t>
  </si>
  <si>
    <t>交仓时间：7/11-7/15</t>
  </si>
  <si>
    <t>1张贴纸(1张UPC#，参考翻单PO#4500158582；1张可折叠警语贴
含德意警告语+IT环保标，参考翻单PO#4500157858)+ 6/25SSCC LABEL一张</t>
  </si>
  <si>
    <t>日期码格式：ZURU INC(BVI) 标准格式                  日期：按实际生产日期
Packaging Info: Amazon DE:2NYH1OOZ
Amazon UK:6FDLGSFX/53HVXBME
DE(9574)/UK(9574/77673)
 2. 77673:12pcs/ctn; MA 3L(3L warning EAN#)B收缩膜+MA 23L warning B说明书+MA 5L A收藏指南+2张贴纸(1张UPC#，参考翻单PO#4500158582；1张可折叠警语贴
含德意警告语+IT环保标，参考翻单PO#4500157858)+WEEE_带电池走货 _ 说明书欧洲EN+30L_B版
 3.  最迟验货不得晚于7/6
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</si>
  <si>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4500206216</t>
  </si>
  <si>
    <t>72PMTH4K</t>
  </si>
  <si>
    <t>4500206216-10</t>
  </si>
  <si>
    <t>6/18寄出SSCC Label(客供贴纸，由跟单订购)</t>
  </si>
  <si>
    <t>日期码格式：ZURU INC(BVI) 标准格式                  日期：按实际生产日期
Packaging Info: #77673: MA UPC版包装(1L或3L都可)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</si>
  <si>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ZB06884/ZB06940</t>
  </si>
  <si>
    <t>5TFI3FQQ</t>
  </si>
  <si>
    <t>4500206216-20</t>
  </si>
  <si>
    <t>ZB06884-8.17</t>
  </si>
  <si>
    <t>4500198544-110</t>
  </si>
  <si>
    <t>6/18 UPC条码贴纸+进口商贴纸，保证书翻单PO4
 500167348</t>
  </si>
  <si>
    <t>3. WM墨西哥防霉的新要求:货物必须在出货主箱和集装箱中按要求放置干燥剂，干燥剂指定品牌干霸SUPERDRY
77673：每箱需放置4包干燥剂，每包重2-3g
如走柜货等loading plan 确认后再通知集装箱干燥剂数量
此单工厂将安排7*40HC，每个HC要放置20包干燥剂，每包干燥剂1KG</t>
  </si>
  <si>
    <t>日期码格式：LOTDGYYYYMMDD 日期：按实际生产日期
Packaging Info: 
9. 77673：3L EAN收缩膜+ UPC条码贴纸+ MA多语说明书+MA 5L收藏指南+进口商贴纸+箱唛+保证书，3张不同进口商贴纸分别贴到产品/包装/说明书上，此款保证书
翻单PO4500167348，进口商贴纸等我们重新提供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77673：每箱需放置4包干燥剂，每包重2-3g
77673：3PCS AG13 BATTERIES(INCLUDED)
如走柜货等loading plan 确认后再通知集装箱干燥剂数量
此单工厂将安排7*40HC，每个HC要放置20包干燥剂，每包干燥剂1KG</t>
  </si>
  <si>
    <t>4500210346</t>
  </si>
  <si>
    <t>0999666954</t>
  </si>
  <si>
    <t>4500210346-50</t>
  </si>
  <si>
    <t>6/18寄出RFID贴纸</t>
  </si>
  <si>
    <t>日期码格式：ZURU INC(BVI) 标准格式 日期：按实际生产日期
Packaging Info: 1.包装要求：
77673TQ1-S001:MA 1L A版收缩膜+MA 5L 收藏指南+MA 说明书+MA 1L PDQ
每pcs产品上要贴1张RFID贴纸，贴纸由ZURU提供，贴纸位置请严格按照我们签回的签板；
Remark: 1.包装要求：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77673：4pcs/PDQ/CTN</t>
  </si>
  <si>
    <t>Maggie xie</t>
  </si>
  <si>
    <t>ZB07436</t>
  </si>
  <si>
    <t>COSTCO WHOLESALE JAPAN</t>
  </si>
  <si>
    <t>4500209374</t>
  </si>
  <si>
    <t>4500209374-20</t>
  </si>
  <si>
    <t>77899SLT-77673-S001-INT</t>
  </si>
  <si>
    <t>取消订单</t>
  </si>
  <si>
    <t>产中10%抽板测试:预计抽板时间:2026/7/23 + 第三方验货 预计 2026/8/10；2 x 20GP(1920PCS*2) + 2 x 40HQ(4320PCS*2)</t>
  </si>
  <si>
    <t>箱唛参考翻单号PO#4500156334，纸箱唛头：纸箱四面，正唛和背面两面都需印刷，其他2面侧面留空,按照箱唛要求排版。</t>
  </si>
  <si>
    <t>欠日语进口商贴纸</t>
  </si>
  <si>
    <t>日期码格式：ZURU INC(BVI) 标准格式                  日期：按实际生产日期
Packaging Info: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4.77896SLT-S001:产中10%抽板测试:预计抽板时间:2026/7/23 + 第三方验货 预计 2026/8/10；2 x 20GP(1920PCS*2) + 2 x 40HQ(4320PCS*2)
Remark: 77899SLT-S001-INT：S001-INT-MINI BRANDS-FILL THE FRIDGE-SERIES 1-1PK FILL THE FRIDGE PLAYSET (WITH 4 EXTRA MINIS) AND 3PK INT CAPSULES(REMOVE MI
NIS) COMBO IN COLOR BOX,75PCS/DISPLAY/SLIP SHEET
1.客版包装: 客版彩盒+ 客版PDQ+客版收缩膜+客版收藏指南+（箱唛参考翻单号PO#4500156334)+日语进口商贴纸
2. Minis: 移除costco 1个独家的披萨+3个标版的必胜客披萨+移除1个Kikkoman-Soy Sauce</t>
  </si>
  <si>
    <t>Lillian Li</t>
  </si>
  <si>
    <t>77899SLT-S001-INT</t>
  </si>
  <si>
    <t>4500211139-10</t>
  </si>
  <si>
    <t>日期码格式：ZURU INC(BVI) 标准格式                  日期：
Packaging Info: 1.   MA UPC包装（优先1L）
  2.  客人指定箱唛排版
Remark: 出货前 Zuru QC 验货</t>
  </si>
  <si>
    <t>ZB07157-8.17</t>
  </si>
  <si>
    <t>4500211139-20</t>
  </si>
  <si>
    <t>ZB07090-8.17</t>
  </si>
  <si>
    <t>0999666896</t>
  </si>
  <si>
    <t>4500206382-80</t>
  </si>
  <si>
    <t>4500211431-20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</si>
  <si>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</si>
  <si>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ZB07442-8.17</t>
  </si>
  <si>
    <t>4500211432-20</t>
  </si>
  <si>
    <t>ZB07440-8.17</t>
  </si>
  <si>
    <t>4500211432-30</t>
  </si>
  <si>
    <t>ZB07441-8.17</t>
  </si>
  <si>
    <t>0999666841</t>
  </si>
  <si>
    <t>4500206382-10</t>
  </si>
  <si>
    <t>日期码格式：ZURU DGYYMMDD CHINA(日期避开周末和法定节假日即可）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</si>
  <si>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0999667029</t>
  </si>
  <si>
    <t>4500208737-50</t>
  </si>
  <si>
    <t>7/24BV</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</si>
  <si>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</si>
  <si>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ZB07304</t>
  </si>
  <si>
    <t>0999666869</t>
  </si>
  <si>
    <t>4500206382-60</t>
  </si>
  <si>
    <t>7/30第三方验货</t>
  </si>
  <si>
    <t>BURLINGTON  STORES,  INC.</t>
  </si>
  <si>
    <t>4500209889</t>
  </si>
  <si>
    <t>4500209889-250</t>
  </si>
  <si>
    <t>6/22 客供价格贴+6/23外箱贴纸</t>
  </si>
  <si>
    <t>日期码格式：ZURU  INC(BVI)  标准格式                                    日期：按实际生产日期
Packaging Info: 1.  ZURU  MA    （首选1L）UPC版本+客供价格贴+外箱贴纸（为方便进行装柜区分，请按照后续提供的外箱贴纸文档去粘贴外箱），出口美国
77785-S002-NA翻单4500205816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覆盖条码即可），收到价格贴时就要确认所有款式的价格贴是否太大
会覆盖UPC  会挡住文字/图案，需用空白贴覆盖UPC，价格贴纸移到空白处。贴的时候要是会覆盖包装上重要的信息和图案，需要告知跟单。</t>
  </si>
  <si>
    <t>Jessi  Xu</t>
  </si>
  <si>
    <t>ZB07129-8.17</t>
  </si>
  <si>
    <t>4500203222</t>
  </si>
  <si>
    <t>05754-BOD-07FALL</t>
  </si>
  <si>
    <t>4500203222-60</t>
  </si>
  <si>
    <t>6/22UPC贴纸</t>
  </si>
  <si>
    <t>4500210388</t>
  </si>
  <si>
    <t>F202/20260059</t>
  </si>
  <si>
    <t>4500210388-20</t>
  </si>
  <si>
    <t>必须7/20号提供ZURU qc验货报告</t>
  </si>
  <si>
    <t>1张CONCENTRA客人logo贴纸+1张客户进口商EAN条码贴纸（贴纸都翻单4500202366）</t>
  </si>
  <si>
    <t>日期码格式： ZURU INC(BVI) 标准格式 日期：按实际生产日期
Packaging Info: 
77673： MA 最新 3L 收缩膜+1张CONCENTRA客人logo贴纸+1张客户进口商EAN条码贴纸+MA 最新5L收藏指南，MA 最新23L说明书+WEEE带电池走货欧洲29语通用黑白
说明书;（贴纸都翻单4500202366）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t>
  </si>
  <si>
    <t>4500210361</t>
  </si>
  <si>
    <t>4500210361-30</t>
  </si>
  <si>
    <t>6/17 进口商贴纸（含意大利环保标）</t>
  </si>
  <si>
    <t xml:space="preserve"> 意大利订单包装彩卡请确保含法规要求的环保回收logo和意大利语警语，如果说明书有文字使用说明，需要有意大利语使用说明</t>
  </si>
  <si>
    <t>日期码格式：ZURU INC(BVI) 标准格式 日期：按实际生产日期
Packaging Info: 
77673: 最新MA3LEAN收缩膜+最新MA5L收藏指南+最新MA23L说明书+最新MA纸袋+进口商贴纸（含意大利环保标）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</si>
  <si>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  KIDZ  SP  Z  O.O.</t>
  </si>
  <si>
    <t>Auchan  AW2026</t>
  </si>
  <si>
    <t>4500207334-30</t>
  </si>
  <si>
    <t>6/261张进口商贴纸</t>
  </si>
  <si>
    <t>已安排请备多1套大货样品</t>
  </si>
  <si>
    <t>日期码格式：ZURU  INC(BVI)  标准格式                                    日期：按实际生产日期
Packaging Info:
3.77673:MA1L  UPC收缩膜+1张进口商贴纸+MA5L收藏指南+MA23L电池说明书+WEEE带电池走货声明书
Remark: 1.  请备多1套大货样品；
   2.  此票大货需符合EU市场法规；
   3.  此票使用UPC条码;</t>
  </si>
  <si>
    <t>Ula  Zhao</t>
  </si>
  <si>
    <t>4500203233</t>
  </si>
  <si>
    <t>04197-BOD-12-FALL</t>
  </si>
  <si>
    <t>4500203233-70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</si>
  <si>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77794UQ1 MA多语EAN包装+UPC贴纸+MA 多语说明书+MA多语收藏指南+MA 多语PDQ +箱唛
Remark: 
77673 3PCS AG13 BATTERIES(INCLUDED) Fixed Collection</t>
  </si>
  <si>
    <t>OZ GROUP ZIEGLER SCHWEIZ AG</t>
  </si>
  <si>
    <t>4500211429-20</t>
  </si>
  <si>
    <t>Kinderherz 2025 logo贴纸（翻单4500166480）+UV胶警告语书纸</t>
  </si>
  <si>
    <t>已安排签板</t>
  </si>
  <si>
    <t>日期码格式：ZURU INC(BVI) 标准格式 日期：按实际生产日期
Packaging Info:
77673: MA B版 1L UPC 收缩膜 + Kinderherz 2025 logo贴纸（翻单4500166480），MA 5L收藏指南，MA B版 23L 电池+UV胶警告语书纸，D版带电池走货EU通用29L
WEEE说明书，MA配件袋
Remark: 1.此单出瑞士，包装及说明书需要包含德语，法语，意大利语警语
2.此单出货前要寄1套大货签办到罗湖办公室
3.所有出往欧洲订单的电子产品需增加一张通用29L WEEE声明说明书，区分带电池出货和不带电池出货版本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6.所有出往GAS市场(德国/奥地利/瑞士)订单，化学品需无硼无香版本
7.需符合微塑料法规
8.标准配比</t>
  </si>
  <si>
    <t>UV胶警告语书纸</t>
  </si>
  <si>
    <t>JUGUETIBICI,  S.A.  DE  C.V.</t>
  </si>
  <si>
    <t>4500209903</t>
  </si>
  <si>
    <t>4500209903-40</t>
  </si>
  <si>
    <t>待so出货</t>
  </si>
  <si>
    <t>7/2UPC  贴纸+进口商贴纸+保证书</t>
  </si>
  <si>
    <t>日期码格式：ZURU  INC(BVI)  标准格式                                    日期：按实际生产日期
Packaging Info: 77673/77858：MA  3L  EAN包装+UPC  贴纸+进口商贴纸+保证书+箱唛
Remark: 1.  此单有监柜，每款请多备1pc样板用于监装</t>
  </si>
  <si>
    <t>4500207216</t>
  </si>
  <si>
    <t>4400564350</t>
  </si>
  <si>
    <t>4500207216-20</t>
  </si>
  <si>
    <t>客版收缩膜C版[含英法德callout/英法德意荷警语/法国环保logo(翻PO#4500188991)+客版收藏指南(英法德意荷)(
翻#4500155594）+Kinderherz 2025 Logo贴纸(1张贴于收缩膜，1张贴于PDQ；翻单#4500166480)</t>
  </si>
  <si>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翻#4500155594）+WEEE声明(带电池)走货欧洲通用29L-D版说明书+Kinderherz 2025 Logo贴纸(1张贴于收缩膜，1张贴于PDQ；翻单#4500166480)
EAN: 4894680042773
旧描述：
77673TQ1: 最新MA PDQ(优先3L )+客版收缩膜B版(英法德callout/英法德意荷警语/法国环保logo-翻PO#4500173265)+23L说明书+客版收藏指南(英法德意荷)（翻#45
00155594）+WEEE声明(带电池)走货欧洲通用29L-D版说明书+Kinderherz 2025 Logo贴纸(翻单#4500166480)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7.包装日期码按ZURU格式即可，请确保不迟于外箱日期码，可等于或者早于外箱日期码，必须为法定工作日。
8.做货前请先复核包装条码与订单是否一致再安排，对不上的需与ZURU跟单确认再安排。</t>
  </si>
  <si>
    <t>4500209354</t>
  </si>
  <si>
    <t>LEGAJO4839</t>
  </si>
  <si>
    <t>4500209354-50</t>
  </si>
  <si>
    <t>6/9UPC 贴纸+进口商贴纸</t>
  </si>
  <si>
    <t>日期码格式：ZURU INC(BVI) 标准格式                  日期：按实际生产日期
Packaging Info: 请确保包装上的条形码是UPC，如果是babyUPC，需要用mother UPC覆盖，如有不一致，请及时提出。谢谢!
77673 MA 多语 EAN 包装+UPC 贴纸+MA 多语收藏指南+进口商贴纸+箱唛
Remark: 
77673 3PCS AG13 BATTERIES(INCLUDED) Fixed Collection</t>
  </si>
  <si>
    <t>4500208189</t>
  </si>
  <si>
    <t>4500208189-60</t>
  </si>
  <si>
    <t>进口商贴纸请多备料5pcs,出货后需要寄给客户留底</t>
  </si>
  <si>
    <t>进口商贴纸和条码贴纸翻单PO4500188881</t>
  </si>
  <si>
    <t>日期码格式：ZURU INC(BVI) 标准格式                  日期：按实际生产日期
Packaging Info: 
77673:MA 多语包装+进口商贴纸+条码贴纸+箱唛,进口商贴纸和条码贴纸翻单PO4500188881
Remark: 1.进口商贴纸请多备料5pcs,出货后需要寄给客户留底
2.如后续提供的贴纸文档中进口商贴纸和条码贴纸合并为一张，可忽略条码贴纸的需求</t>
  </si>
  <si>
    <t>SANBORN  HERMANOS,  S.  A.  DE  C.  V.</t>
  </si>
  <si>
    <t>4500208353</t>
  </si>
  <si>
    <t>4500208353-20</t>
  </si>
  <si>
    <t>客户有监装要求，每款需要多备1pc监柜样板用于监装，监柜样板要和大货一致</t>
  </si>
  <si>
    <t xml:space="preserve">UPC 条码贴纸)+进口商贴纸+说明书贴纸，所有贴纸翻单4500207643 </t>
  </si>
  <si>
    <t>日期码格式：ZURU  INC(BVI)  标准格式                                    日期：按实际生产日期
Packaging Info: 77673: MA 3L EAN包装(+UPC 条码贴纸)+进口商贴纸+说明书贴纸+箱唛，所有贴纸翻单4500207643 
Remark: 客户有监装要求，每款需要多备1pc监柜样板用于监装，监柜样板要和大货一致</t>
  </si>
  <si>
    <t>A97503-1.12</t>
  </si>
  <si>
    <t>4500206343-80</t>
  </si>
  <si>
    <t>条码贴纸翻单4500166563</t>
  </si>
  <si>
    <t>日期码格式：ZURU INC(BVI) 标准格式                  日期：按实际生产日期
Packaging Info:8.77785：最新客版彩盒+EAN贴纸；(条码贴纸翻单4500166563）；
子件77711：最新MA3LEAN收缩膜+一张空白贴纸覆盖原条码+最新MA5L收藏指南+最新MA23L说明书+最新MA5L creative+最新MA纸袋；
子件77673：最新MA3LEAN收缩膜+最新MA5L收藏指南+最新MA23L说明书+最新MA纸袋+MA WEEE带电池走货欧洲30语通用黑白说明书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</si>
  <si>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4500207749</t>
  </si>
  <si>
    <t>303452</t>
  </si>
  <si>
    <t>4500207749-10</t>
  </si>
  <si>
    <t>5/28客版价格贴纸+SSCC label 外箱贴</t>
  </si>
  <si>
    <t>日期码格式：ZURU INC(BVI) 标准格式                  日期：按实际生产日期
Packaging Info: MA UPC 最新版本包装( 优先1L）+客版价格贴纸+SSCC label 外箱贴
客版价格贴纸AW和SSCC label 外箱贴资料都是跟单提供，由工厂自行订购。
Remark: 1. SSCC label 外箱贴打印常规 4"x6" Standard Label Stock, 只需贴一面(正唛）, 优先贴在纸箱的右上方空白处，不可以盖住外箱上的其他信息及标签，可适当
调整位置。
 2. 产品及包装上都要有日期码，日期码是一致的（但不能为周末)，格式为ZURU标准格式
 3.ZURU QC验货</t>
  </si>
  <si>
    <t>ZB07042-8.17</t>
  </si>
  <si>
    <t>4500209512</t>
  </si>
  <si>
    <t>4500209512-30</t>
  </si>
  <si>
    <t>一张进口商和条码贴纸；（贴纸翻单4500168249）</t>
  </si>
  <si>
    <r>
      <rPr>
        <sz val="11"/>
        <color rgb="FF0000FF"/>
        <rFont val="宋体"/>
        <charset val="134"/>
      </rPr>
      <t>日期码格式： ZURU INC(BVI) 标准格式 日期：按实际生产日期
Packaging Info: 71172:【最新MA 3L EAN版本包装+一张进口商内容贴纸】+最新MA 15L说明书+WEEE带电池走货欧洲29L通用黑白说明书；
77785：最新客版彩盒+一张进口商和条码贴纸；（贴纸翻单4500168249）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另外，贴纸不可以覆盖西班牙警告语。QC同事请核查，如有问题需和
跟单确认5.毛绒玩具需要西班牙语言的洗涤说明；</t>
    </r>
  </si>
  <si>
    <t>4500202935</t>
  </si>
  <si>
    <t>V126705-3</t>
  </si>
  <si>
    <t>4500202935-60</t>
  </si>
  <si>
    <t>日期码格式：ZURU INC(BVI) 标准格式                  日期：按实际生产日期
Packaging Info: 1. 包材：ZURU MA 1L UPC最新包装；出口美国
Remark: 2. 日期跟踪码：产品外包装及产品本身都必须有日期跟踪码；ZURU标准格式日期码(请自行调整具体年月日生产期，但不能为周末）。
3. 出货配比：ZURU MA 配比</t>
  </si>
  <si>
    <t>ZB07549-8.17</t>
  </si>
  <si>
    <t>RANY</t>
  </si>
  <si>
    <t>4500210632</t>
  </si>
  <si>
    <t>4500210632-20</t>
  </si>
  <si>
    <t>已安排预计需要1套大货样，请多备料；</t>
  </si>
  <si>
    <r>
      <rPr>
        <sz val="11"/>
        <color rgb="FF0000FF"/>
        <rFont val="宋体"/>
        <charset val="134"/>
      </rPr>
      <t>日期码格式：ZURU</t>
    </r>
    <r>
      <rPr>
        <sz val="11"/>
        <color rgb="FF0000FF"/>
        <rFont val="宋体"/>
        <charset val="0"/>
      </rPr>
      <t xml:space="preserve">  INC(BVI)  标准格式                                    日期：按实际生产日期
Packaging Info: 
77673TQ1：MA3L  B版EAN  收缩膜+  WEEE  D版29L_带电池走货声明书+MA5L收藏指南+MA  23L  警语说明书+  MA  3L  PDQ
Remark: 1.  此票无需第三方验货，通过ZURU  OQC验货即可；
   2.  此票出法国，请确保包装需含有两个法国回收logo，产品符合EU标准；
   3.  此票全部用EAN条码,  assortment产品需用mother  EAN条码；
   4.  预计需要1套大货样，请多备料；</t>
    </r>
  </si>
  <si>
    <t>4500209899</t>
  </si>
  <si>
    <t>7137241924</t>
  </si>
  <si>
    <t>4500209899-10</t>
  </si>
  <si>
    <t>77785PLD-S001-77673-NA</t>
  </si>
  <si>
    <t>1pcs迷你冰箱+2pcs迷你球混装/24pcs彩盒/箱</t>
  </si>
  <si>
    <t>MO20260519手工单转实单，此单需要抽板和验货，预计安排7/14抽板测试，请多备料</t>
  </si>
  <si>
    <t>6/3寄出RFID贴纸，围板前后各贴1张彩色placard</t>
  </si>
  <si>
    <t>此单需要抽板和验货，预计安排7/14抽板测试，请多备料</t>
  </si>
  <si>
    <t>日期码格式：ZURU  INC(BVI)  标准格式                                    日期：按实际生产日期
Packaging Info: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Remark: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此单需要抽板和验货，预计安排7/14抽板测试，请多备料
   6.  Display  and    Loading：2Wx4Dx3H  =24pcs/Display/Carton</t>
  </si>
  <si>
    <t>77785PLD-S001-NA</t>
  </si>
  <si>
    <t>4500211344</t>
  </si>
  <si>
    <t>PC26103</t>
  </si>
  <si>
    <t>4500211344-10</t>
  </si>
  <si>
    <t>EAN贴纸；(条码贴纸翻单4500206343）</t>
  </si>
  <si>
    <t>已安排</t>
  </si>
  <si>
    <t>日期码格式：ZURU INC(BVI) 标准格式                  日期：按实际生产日期
Packaging Info: 1.77785：最新客版彩盒+EAN贴纸；(条码贴纸翻单4500206343）；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</si>
  <si>
    <t>4500201010</t>
  </si>
  <si>
    <t>2000009904</t>
  </si>
  <si>
    <t>4500201010-40</t>
  </si>
  <si>
    <t>无需样板</t>
  </si>
  <si>
    <t>日期码格式：LOT2629                  日期：
Packaging Info: 
4. 77785：客版彩盒（翻4500194447）+最新MA 3L EAN包装+最新MA 3L 彩盒+最新MA 23L说明书+最新MA 5L收藏指南+最新MA 5L包装+一张EAN:4894680050945条码贴
纸（贴彩盒）+两张空白贴纸（贴在球的条码上，翻4500191607）+一张进口商贴纸+一张产品贴纸（贴在球外壳再吸收缩膜）+一张WEEE说明书纸,都翻4500163211
Remark: 1. 大货样品2套/item，用于客人验货签板。验货后还会抽办1套/item，请多备料；
 2. 客版日期码LOT2629,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</si>
  <si>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4500211344-20</t>
  </si>
  <si>
    <t>日期码格式：ZURU INC(BVI) 标准格式                  日期：按实际生产日期
Packaging Info: 
2.77673 ：最新MA 3L EAN版本包装+MA 23L说明书+最新WEEE带电池走货欧洲29L通用黑白说明书；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</si>
  <si>
    <t>HOBBY  LOBBY  STORES,  INC.</t>
  </si>
  <si>
    <t>4500212038</t>
  </si>
  <si>
    <t>W0775103</t>
  </si>
  <si>
    <t>4500212038-20</t>
  </si>
  <si>
    <t>6/24价格贴纸+条码贴纸各贴1张(即1面1张共2张),贴纸大小：2.75  x  1.5  inch</t>
  </si>
  <si>
    <r>
      <rPr>
        <sz val="11"/>
        <color rgb="FF0000FF"/>
        <rFont val="宋体"/>
        <charset val="134"/>
      </rPr>
      <t>日期码格式：ZURU</t>
    </r>
    <r>
      <rPr>
        <sz val="11"/>
        <color rgb="FF0000FF"/>
        <rFont val="宋体"/>
        <charset val="0"/>
      </rPr>
      <t xml:space="preserve">  INC(BVI)  标准格式                                    日期：按实际生产日期
Packaging Info: 1.  MA  优先1L  UPC版本包装,需要加贴价格贴纸,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r>
  </si>
  <si>
    <t>Eleven  Zhang</t>
  </si>
  <si>
    <t>ZB07338-8.17</t>
  </si>
  <si>
    <t>GS TIENDAS DEPARTAMENTALES, S.A. DE</t>
  </si>
  <si>
    <t>4500208984</t>
  </si>
  <si>
    <t>17395445</t>
  </si>
  <si>
    <t>4500208984-100</t>
  </si>
  <si>
    <t>客户有监装要求，每款需要名准备1pc监柜样板</t>
  </si>
  <si>
    <t>6/27进口商贴纸+UPC贴纸</t>
  </si>
  <si>
    <t>日期码格式：ZURU INC(BVI) 标准格式                  日期：按实际生产日期
Packaging Info: 
77673: MA  3L EAN包装+进口商贴纸+UPC贴纸+箱唛
Remark: 客户有监装要求，每款需要名准备1pc监柜样板</t>
  </si>
  <si>
    <t>BOSCOV'S DEPARTMENT STORE,LLC</t>
  </si>
  <si>
    <t>4500209005</t>
  </si>
  <si>
    <t>725922</t>
  </si>
  <si>
    <t>4500209005-20</t>
  </si>
  <si>
    <t>6/9价格贴纸+6/26UCC Label</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</si>
  <si>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#77673TQ1-S002-MINI BRANDS-FILL THE FRIDGE PLAYSET-SERIES 1-SHRINK WRAP,4PCS/PDQ,16PCS/4PDQ/CTN
Ratio---Fixed Collection</t>
  </si>
  <si>
    <t>ZB07126-8.17</t>
  </si>
  <si>
    <t>4500207643</t>
  </si>
  <si>
    <t>6040006</t>
  </si>
  <si>
    <t>4500207643-30</t>
  </si>
  <si>
    <t>6/30UPC 条码贴纸)+进口商贴纸</t>
  </si>
  <si>
    <t>日期码格式：ZURU INC(BVI) 标准格式 日期：按实际生产日期
Packaging Info: 
77673/77858: MA 3L EAN包装(+UPC 条码贴纸)+进口商贴纸+箱唛
Remark: 客户有监装要求，每款需要多备1pc监柜样板用于监装，监柜样板要和大货一致</t>
  </si>
  <si>
    <t>4500211882</t>
  </si>
  <si>
    <t>4400577315</t>
  </si>
  <si>
    <t>4500211882-50</t>
  </si>
  <si>
    <t>8.包装必须含法国回收标(Sorting Label)，如没有，请提醒跟单提供贴纸资料。</t>
  </si>
  <si>
    <t>日期码格式：ZURU INC(BVI) 标准格式                  日期：按实际生产日期
Packaging Info: 
77673TQ1: 最新MA 3L EAN配套包装+WEEE声明(带电池)走货欧洲通用29L-D版说明书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</si>
  <si>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Mary Qu</t>
  </si>
  <si>
    <t>没有</t>
  </si>
  <si>
    <t>4500211850</t>
  </si>
  <si>
    <t>6006-013628</t>
  </si>
  <si>
    <t>4500211850-20</t>
  </si>
  <si>
    <t>6/121 张通用进口商贴纸</t>
  </si>
  <si>
    <t>日期码格式：ZURU INC(BVI) 标准格式                  日期：按实际生产日期
Packaging Info:
77673TQ1：  MA PDQ, 1L PKG + 1 张通用进口商贴纸（贴冰箱背面空白处，不遮挡日期码），MA 说明书
Remark：</t>
  </si>
  <si>
    <t>4500204964</t>
  </si>
  <si>
    <t>6000072150</t>
  </si>
  <si>
    <t>4500204964-20</t>
  </si>
  <si>
    <t>外箱只需四面印Zuru logo，再加2张贴纸，1张Hu贴纸（条码贴），1张ASN贴纸（尺寸6.5cm*6.3cm,潘通色号2597C），都贴于侧唛，只需贴1面(HU贴纸和ASN贴
纸客供）</t>
  </si>
  <si>
    <t>6/17寄出外箱1张Hu贴纸（条码贴），1张ASN贴纸（尺寸6.5cm*6.3cm,潘通色号2597C），7/1 进口商贴纸+价格标+说明书贴纸+说明书贴纸</t>
  </si>
  <si>
    <t>日期码格式：ZURU INC(BVI) 标准格式                  日期：按实际生产日期
Packaging Info: 1. 外箱只需四面印Zuru logo，再加2张贴纸，1张Hu贴纸（条码贴），1张ASN贴纸（尺寸6.5cm*6.3cm,潘通色号2597C），都贴于侧唛，只需贴1面(HU贴纸和ASN贴
纸客供）
2. 一个外箱对应一个HU’S(条形码),不可以混条码包装
3.带电产品含有说明书需要增加说明书贴纸,&lt;(&gt;,&lt;)&gt;MA 多语包装（含西语）
4.价格贴纸覆盖原有包装的条形码
 5. 此单有监柜要求
 77673 MA 多语包装+进口商贴纸+价格标+说明书贴纸+说明书贴纸
Remark: 
77673 3PCS AG13 BATTERIES(INCLUDED) Fixed Collection</t>
  </si>
  <si>
    <t>4500208821</t>
  </si>
  <si>
    <t>4500208821-210</t>
  </si>
  <si>
    <t>空白贴纸覆盖条码</t>
  </si>
  <si>
    <t>日期码格式：  标准格式                  日期：按实际生产日期
Packaging Info:
77785  客版英法包装翻单4500183001，UPC 193052104984，77711球-MA 2L 收缩膜+空白贴纸覆盖条码，77673冰箱-MA3L 收缩膜+空白贴纸覆盖条码，    MA 多语
说明书
Remark: 出加拿大
每行对应不同的客户PO，唛头要一一对应，  放唛头时跟单会提供清单
Zuru验货. 日期跟踪码：产品外包装及产品本身都必须有日期跟踪码，ZURU标准格式
日期码</t>
  </si>
  <si>
    <t>KATRINA XIE</t>
  </si>
  <si>
    <t>4500208840</t>
  </si>
  <si>
    <t>4500208840-360</t>
  </si>
  <si>
    <t>空白贴纸覆盖条码+6/8寄出客供价格贴</t>
  </si>
  <si>
    <t>日期码格式：  标准格式                  日期：按实际生产日期
Packaging Info: 
77785  客版英法包装翻单4500183001，UPC 193052104984，77711球-MA 2L 收缩膜+空白贴纸覆盖条码，77673冰箱-MA3L 收缩膜+空白贴纸覆盖条码，    MA 多语
说明书
Remark: 出加拿大
有客供价格贴
每行对应不同的客户PO，唛头要一一对应，  放唛头时跟单会提供清单
Zuru验货. 日期跟踪码：产品外包装及产品本身都必须有日期跟踪码，ZURU标准格式
日期码</t>
  </si>
  <si>
    <t>4500208840-550</t>
  </si>
  <si>
    <t>日期码格式：  标准格式                  日期：按实际生产日期
Packaging Info:
77785  客版英法包装翻单4500183001，UPC 193052104984，77711球-MA 2L 收缩膜+空白贴纸覆盖条码，77673冰箱-MA3L 收缩膜+空白贴纸覆盖条码，    MA 多语
说明书
Remark: 出加拿大
有客供价格贴
每行对应不同的客户PO，唛头要一一对应，  放唛头时跟单会提供清单
Zuru验货. 日期跟踪码：产品外包装及产品本身都必须有日期跟踪码，ZURU标准格式
日期码</t>
  </si>
  <si>
    <t>AMAZON  CA  (VENDOR  CENTER)</t>
  </si>
  <si>
    <t>4500208715</t>
  </si>
  <si>
    <t>6ZU9MOJV</t>
  </si>
  <si>
    <t>4500208715-210</t>
  </si>
  <si>
    <t>7/8寄出SSCC  LABEL（客供贴纸)+UPC贴纸，贴纸资料翻单#4500194871，UPC：193052079404；</t>
  </si>
  <si>
    <t>日期码格式：     标准格式                                    日期：按实际生产日期
Packaging Info: 
#77673:  MA  3L  B版本+UPC贴纸，贴纸资料翻单#4500194871，UPC：193052079404；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</si>
  <si>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4CQBL3VF</t>
  </si>
  <si>
    <t>4500208715-220</t>
  </si>
  <si>
    <t>42UYAYOC</t>
  </si>
  <si>
    <t>4500208715-230</t>
  </si>
  <si>
    <t>5N9M19AF</t>
  </si>
  <si>
    <t>4500208715-240</t>
  </si>
  <si>
    <t>1CMKCIUP</t>
  </si>
  <si>
    <t>4500208715-250</t>
  </si>
  <si>
    <t>7LRBM2JS</t>
  </si>
  <si>
    <t>4500208715-260</t>
  </si>
  <si>
    <t>3WUY8WUP</t>
  </si>
  <si>
    <t>4500208715-270</t>
  </si>
  <si>
    <t>2IBLTJVS</t>
  </si>
  <si>
    <t>4500208715-280</t>
  </si>
  <si>
    <t>1QBHI2LG</t>
  </si>
  <si>
    <t>4500208715-290</t>
  </si>
  <si>
    <t>4500209056</t>
  </si>
  <si>
    <t>4U36YN2L</t>
  </si>
  <si>
    <t>4500209056-370</t>
  </si>
  <si>
    <t>日期码格式：ZURU  INC(BVI)  标准格式                                    日期：按实际生产日期
Packaging Info: 
#77673:  MA  3L  B版本+UPC贴纸，贴纸资料翻单#4500194871，UPC：193052079404；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</si>
  <si>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4500209125</t>
  </si>
  <si>
    <t>8XE3NX3W</t>
  </si>
  <si>
    <t>4500209125-90</t>
  </si>
  <si>
    <t>89N3QOIJ</t>
  </si>
  <si>
    <t>4500209125-100</t>
  </si>
  <si>
    <t>553JVIEF</t>
  </si>
  <si>
    <t>4500209125-110</t>
  </si>
  <si>
    <t>4500204906</t>
  </si>
  <si>
    <t>4500204906-50</t>
  </si>
  <si>
    <t>进口商贴纸+UPC贴纸,进口商贴纸/UPC贴纸翻单PO#4500183983</t>
  </si>
  <si>
    <t>日期码格式：ZURU INC(BVI) 标准格式 日期：按实际生产日期
Packaging Info: 
77673:MA 多语包装+进口商贴纸+UPC贴纸+箱唛,进口商贴纸/UPC贴纸翻单PO#4500183983
Remark:</t>
  </si>
  <si>
    <t>4500208416</t>
  </si>
  <si>
    <t>4045728989</t>
  </si>
  <si>
    <t>4500208416-10</t>
  </si>
  <si>
    <t>* 请准备2个40尺高柜的安全网，客人要求所有柜货需要加安全网出货，漏拉网会有罚款产生</t>
  </si>
  <si>
    <t>日期码格式：ZURU INC(BVI) 标准格式                  日期：按实际生产日期
Packaging Info: 1. 77673TQ1: MA 3L EAN B版收缩膜+丹麦瑞典芬兰挪威警告语贴纸(贴纸和位置图翻Lekia PO#4500192711)+MA paper bag+丹麦/挪威/瑞典/芬兰语警告语贴在纸袋
子上(贴纸和位置图翻PO#4500183825-共用#77111袋子的贴纸文档)+MA 5L收藏指南+MA B23L（电池+UV胶警告语-23L）说明书+MA 3L PDQ+WEEE_带电池走货 _ 说明书
欧洲EN+29L_D版
Remark: * 请准备2个40尺高柜的安全网，客人要求所有柜货需要加安全网出货，漏拉网会有罚款产生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77673TQ1-S001:4894680042773</t>
  </si>
  <si>
    <t>4500207585</t>
  </si>
  <si>
    <t>4400564352</t>
  </si>
  <si>
    <t>4500207585-50</t>
  </si>
  <si>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翻#4500155594）+WEEE声明(带电池)走货欧洲通用29L-D版说明书+Kinderherz 2025 Logo贴纸(1张贴于收缩膜，1张贴于PDQ；翻单#4500166480)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</si>
  <si>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4500213229-20</t>
  </si>
  <si>
    <t>警告语贴纸翻单PO#4500188835</t>
  </si>
  <si>
    <t xml:space="preserve">日期码格式：ZURU INC(BVI) 标准格式                  日期：按实际生产日期
Packaging Info: MA UPC 英语包装（优先1L英语版本，或者3L/5L含英语都可）
Remark: 此单出口澳大利亚/新西兰, 请按澳新标准生产. 如产品含纽扣电池出货, 包装前面和说明书上需加纽扣电池警语贴纸。
#77673:Fixed Collection,3PCS AG13 BATTERIES(INCLUDED),含纽扣电池，警告语贴纸翻单PO#4500188835
</t>
  </si>
  <si>
    <t>4500213085</t>
  </si>
  <si>
    <t>1003602709</t>
  </si>
  <si>
    <t>4500213085-10</t>
  </si>
  <si>
    <t>8/7 BV</t>
  </si>
  <si>
    <t>7/1寄出1张RFID贴纸</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</si>
  <si>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</si>
  <si>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Maggie  xie</t>
  </si>
  <si>
    <t>1003602712</t>
  </si>
  <si>
    <t>4500213085-20</t>
  </si>
  <si>
    <t>1003602731</t>
  </si>
  <si>
    <t>4500213085-30</t>
  </si>
  <si>
    <t>1003603174</t>
  </si>
  <si>
    <t>4500213085-60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</si>
  <si>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</si>
  <si>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1003603206</t>
  </si>
  <si>
    <t>4500213085-80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</si>
  <si>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</si>
  <si>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1003609367</t>
  </si>
  <si>
    <t>4500213085-140</t>
  </si>
  <si>
    <t>1003609689</t>
  </si>
  <si>
    <t>4500213085-160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</si>
  <si>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</si>
  <si>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1003609880</t>
  </si>
  <si>
    <t>4500213085-170</t>
  </si>
  <si>
    <t>4500204906-30</t>
  </si>
  <si>
    <t>进口商贴纸， 进口商贴纸翻单PO#4500200402</t>
  </si>
  <si>
    <t>2PK 77782:客版收缩膜+客版PDQ+空白贴纸+（翻单PO4500161302) 客版收藏指南翻单PO4500203841</t>
  </si>
  <si>
    <t>77782不出披萨款</t>
  </si>
  <si>
    <t>日期码格式：ZURU INC(BVI) 标准格式 日期：按实际生产日期
Packaging Info: 
77937:客版彩盒+进口商贴纸+箱唛（1PK 77763 MA 多语收缩膜+2PK 77782:客版收缩膜+客版PDQ+空白贴纸+（翻单PO4500161302) 客版收藏指南翻单PO4500203841,
订单上的资料的item 号码维持77785, 进口商贴纸翻单PO#4500200402
Remark:</t>
  </si>
  <si>
    <t>77937-S001-INT</t>
  </si>
  <si>
    <t>KMART  AUSTRALIA  LTD</t>
  </si>
  <si>
    <t>4500202802</t>
  </si>
  <si>
    <t>21750145</t>
  </si>
  <si>
    <t>4500202802-40</t>
  </si>
  <si>
    <t>1张小的警语贴纸贴在收缩膜正面+2张大的纽扣电池
警语贴纸贴在收缩膜背面和说明书上+ 1张防盗贴纸 (警语贴纸&lt;(&gt;&amp;&lt;)&gt; 防盗贴纸资料及位置图翻单PO#4500160026）+箱唛 + 7/6 外箱SSCC Label</t>
  </si>
  <si>
    <t>日期码格式： 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</si>
  <si>
    <t>Louise  Lu</t>
  </si>
  <si>
    <t>KMART  AUSTRALIA  LTD(NEW  ZEALAND)</t>
  </si>
  <si>
    <t>4500202803</t>
  </si>
  <si>
    <t>21750149</t>
  </si>
  <si>
    <t>4500202803-40</t>
  </si>
  <si>
    <t>1张小的警语贴纸贴在收缩膜正面+2张大的纽扣电池
警语贴纸贴在收缩膜背面和说明书上+ 1张防盗贴纸 (警语贴纸&lt;(&gt;&amp;&lt;)&gt; 防盗贴纸资料及位置图翻单PO#4500160026）+箱唛 +7/6 外箱SSCC Label</t>
  </si>
  <si>
    <t>日期码格式： 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</si>
  <si>
    <t>GABRIEL  BROTHERS,  INC.</t>
  </si>
  <si>
    <t>4500205816</t>
  </si>
  <si>
    <t>84006913</t>
  </si>
  <si>
    <t>4500205816-100</t>
  </si>
  <si>
    <t>剩下三面贴上''  PACKING  LIST  ENC
   LOSED  ''  的字样    （可以用A4  纸打印）-  船务会发出。</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</si>
  <si>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</si>
  <si>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ZB07378-8.17</t>
  </si>
  <si>
    <t>4500212517</t>
  </si>
  <si>
    <t>5000002278</t>
  </si>
  <si>
    <t>4500212517-10</t>
  </si>
  <si>
    <t>翻单：  4500198503</t>
  </si>
  <si>
    <t>日期码格式：ZURU INC(BVI) 标准格式                  日期：按实际生产日期
Packaging Info: 物料要求 SKU
2 77673 MA +中文说明书+3C中文贴纸 +收藏指南 翻单：  4500198503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  4500198503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</si>
  <si>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4500212517-20</t>
  </si>
  <si>
    <t>4500211227</t>
  </si>
  <si>
    <t>4400575074</t>
  </si>
  <si>
    <t>4500211227-20</t>
  </si>
  <si>
    <t>一张WEEE声明29L通用黑白说明书</t>
  </si>
  <si>
    <t>包装必须含法国回收标(Sorting Label)，如没有，请提醒跟单提供贴纸资料</t>
  </si>
  <si>
    <t>MODELO CONTINENTE HIPERMERCADOS, S.</t>
  </si>
  <si>
    <t>4500212465</t>
  </si>
  <si>
    <t>4500212465-50</t>
  </si>
  <si>
    <t>7/27前完成ZURU OQC验货， 需提供所有款ZURU OQC验货图片</t>
  </si>
  <si>
    <t>7/6 一张客户进口商贴纸</t>
  </si>
  <si>
    <t>日期码格式：ZURU INC(BVI) 标准格式                  日期：按实际生产日期
Packaging Info: 
"77785 ""最新彩盒+EAN贴纸+一张客户进口商贴纸；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</si>
  <si>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4500207257</t>
  </si>
  <si>
    <t>4500207257-20</t>
  </si>
  <si>
    <t>6/24进口商贴纸</t>
  </si>
  <si>
    <t>日期码格式：ZURU INC(BVI) 标准格式 日期：按实际生产日期
Packaging Info: 
77673:最新MA3LEAN收缩膜+最新MA5L收藏指南+最新MA23L说明书+ 进口商贴纸
Remark: 1. 此单出意大利，需要满足EU标准，通过ZURU验货, 并提供客户照片确认后才可放货。
2. 产品均符合EU微塑料法规要求：不能含有微塑料/闪粉符合欧规，BOB系列要符合欧洲要求不含亚硝酸版本; XShot Hyper系列，统一出EN71版本。
3, SMASHERS 或含Slime产品，所有化合物使用无硼或低硼版本出意大利。
4, 带电池产品需要带上最新WEEE欧洲通用29L电池回收说明书。
5, 意大利订单包装彩卡请确保含法规要求的环保回收logo和意大利语警语，如果说明书有使用方式，需要有意大利语使用说明。
6,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</si>
  <si>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4500212517-110</t>
  </si>
  <si>
    <t>日期码格式：ZURU INC(BVI) 标准格式                  日期：按实际生产日期
Packaging Info: 物料要求 SKU
3.77785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  4500198503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</si>
  <si>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JUGUETERIAS REUNIDAS S.L.</t>
  </si>
  <si>
    <t>4500210379</t>
  </si>
  <si>
    <t>4500210379-20</t>
  </si>
  <si>
    <t>7/9 一张进口商内容贴纸</t>
  </si>
  <si>
    <t>. 产品及包装需要印CE logo图标，包装需含有西班牙环保标 和care@zuru.com 邮箱地址，  另外，包装贴纸上面的警告语不可以覆盖西班牙警告语。QC同事请核
查，如有问题需和跟单确认。</t>
  </si>
  <si>
    <t>需要准备每款1套大货样，请注意备料。</t>
  </si>
  <si>
    <t>日期码格式：ZURU INC(BVI) 标准格式                  日期：按实际生产日期
Packaging Info:
2.77673：最新MA 3L EAN版本包装+一张进口商内容贴纸+MA 23L说明书+最新WEEE带电池走货欧洲30语通用黑白说明书；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7.需要准备每款1套大货样，请注意备料。</t>
  </si>
  <si>
    <t>LONDON  SUPPLY  GROUP  SA</t>
  </si>
  <si>
    <t>4500212151</t>
  </si>
  <si>
    <t>4500212151-70</t>
  </si>
  <si>
    <t>UPC贴纸翻单PO4500199743</t>
  </si>
  <si>
    <t>日期码格式：ZURU  INC(BVI)  标准格式                                    日期：按实际生产日期
Packaging Info:77673 MA 多语UPC包装+UPC贴纸+箱唛，无客户贴纸（包装上的条码必须是UPC），UPC贴纸翻单PO4500199743
Remark：</t>
  </si>
  <si>
    <t>ASPEKTO  SP.  Z  O.O.</t>
  </si>
  <si>
    <t>4500209410</t>
  </si>
  <si>
    <t>4500209410-50</t>
  </si>
  <si>
    <t>6/121张PL警示语（含客户进口商信息）贴纸</t>
  </si>
  <si>
    <t>已安排请备多2套大货样品</t>
  </si>
  <si>
    <t>日期码格式： ZURU INC(BVI) 标准格式 日期：按实际生产日期
Packaging Info: 
77673:MA 3L EAN 最新版收缩膜+1张PL警示语（含客户进口商信息）贴纸+MA5L收藏指南+MA23L说明书+其他包装用MA+WEEE最新版29L _带电池走货声明书
Remark: 1. 此票需通过ZURU OQC验货；
2. 请备多2套大货样品；
3. 此票出波兰，请确保产品符合EU标准，产品请确保符合EU微塑料法规，大货需符合EU市场法规；
4. 此票全部用EAN条码</t>
  </si>
  <si>
    <t>4500206411</t>
  </si>
  <si>
    <t>60302375</t>
  </si>
  <si>
    <t>4500206411-20</t>
  </si>
  <si>
    <t>6/5客供贴纸</t>
  </si>
  <si>
    <t>日期码格式：ZURU INC(BVI) 标准格式                  日期：按实际生产日期
Packaging Info: 1. Cus Item
#77785：MA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</si>
  <si>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ZB07522-8.17</t>
  </si>
  <si>
    <t>HY-VEE, INC.</t>
  </si>
  <si>
    <t>4500211411-50</t>
  </si>
  <si>
    <t>日期码格式：ZURU INC(BVI) 标准格式 日期：按实际生产日期
Packaging Info: 1. 77711GQ1,157117UQ1,77673TQ1 MA (首选1L UPC/ 多语 UPC) 包装
Remark: 2. 带Polybag 的items, polybag 需要印刷警告语和打孔， 跟单提供警告语内容，警告语字体和polybag 大小工厂根据PDQ 尺寸去安排，polybag 需要用胶纸封口
 避免产品滑落。
 3. 产品和包装上印刷tracking code信息，格式为ZURU常规。
 4. 需ZURU QC 验货合格后方可出货</t>
  </si>
  <si>
    <t>4500208302</t>
  </si>
  <si>
    <t>70089477</t>
  </si>
  <si>
    <t>4500208302-50</t>
  </si>
  <si>
    <t>7/3客供贴纸</t>
  </si>
  <si>
    <t>请注意#77785一个彩盒中的两个球不允许重复，且一个彩盒不能拆出2个即以上的重复散件。</t>
  </si>
  <si>
    <t>日期码格式：ZURU INC(BVI) 标准格式                  日期：按实际生产日期
Packaging Info: 1.  STD Items: ZURU MA UPC 现有包装+客供价格贴纸，优先使用MA 1L最新版本（可接受多语）,出口美国
Cus Item
#77785：MA UPC + 客版彩盒 + 客供贴纸, 优先使用MA 1L最新版本(可接受多语），出口美国。
Remark: #15714配比：ratio-b:d:e:g:m=2:2:2:2:4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</si>
  <si>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MINISO  DEPOT  CA  INC.</t>
  </si>
  <si>
    <t>4500209827-40</t>
  </si>
  <si>
    <t>7/2贴一张UPC 条码贴纸在PDQ上,UPC显示：193052079404，贴纸AW直接翻单4500191055，</t>
  </si>
  <si>
    <t>UPC贴纸贴在PDQ上</t>
  </si>
  <si>
    <t>日期码格式：ZURU INC(BVI) 标准格式 日期：按实际生产日期
Packaging Info: 1. 包装方式：MA UPC优先1L最新包装，出口美国；
2. 产品和包装上印刷tracking code信息，格式为ZURU常规；
3. ZURU QC 验货合格后即可出货.
Remark: 
2.77673TQ1需要贴一张UPC 条码贴纸在PDQ上，UPC显示：193052079404，贴纸AW跟单提供，工厂自行采购.</t>
  </si>
  <si>
    <t>Iris  Yuan</t>
  </si>
  <si>
    <t>4500209831-40</t>
  </si>
  <si>
    <t>4500209159</t>
  </si>
  <si>
    <t>45048411811</t>
  </si>
  <si>
    <t>4500209159-10</t>
  </si>
  <si>
    <t>8/10 BV</t>
  </si>
  <si>
    <t>7/7 UPC贴纸</t>
  </si>
  <si>
    <t>日期码格式：ZURU INC(BVI) 标准格式                  日期：按实际生产日期
Packaging Info: 77673/92146：MA 多语 EAN包装+UPC贴纸+箱唛，无客户贴纸
Remark: 需QIMA 验货，无客户签板，请多备料
外箱上的箱唛资料显示客户指定日期20-AUG-2026，产品/包装/外箱可以按ZURU 标准日期码打，也可以跟回外箱日期码，工厂自行选择，两者均可接受</t>
  </si>
  <si>
    <t>4500210350</t>
  </si>
  <si>
    <t>0999666935</t>
  </si>
  <si>
    <t>4500210350-30</t>
  </si>
  <si>
    <t>8/14 BV此单验货，请多备料</t>
  </si>
  <si>
    <t>7/7 RFID贴纸</t>
  </si>
  <si>
    <t>日期码格式：ZURU INC(BVI) 标准格式                  日期：按实际生产日期
Packaging Info: 77673TQ1-S001
1.包装要求：
MA 1L B版收缩膜+MA 5L A版收藏指南+MA B版说明书+MA 1L PDQ
每pcs产品上要贴1张RFID贴纸，贴纸由ZURU提供，贴纸位置请严格按照我们签回的签板；
Remark: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</si>
  <si>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0999666994</t>
  </si>
  <si>
    <t>4500210350-40</t>
  </si>
  <si>
    <t>4500213433-10</t>
  </si>
  <si>
    <t>8/11 BV</t>
  </si>
  <si>
    <t>7/10寄出RFID贴纸</t>
  </si>
  <si>
    <t xml:space="preserve">日期码格式：ZURU INC(BVI) 标准格式                  日期：按实际生产日期
Packaging Info: 77673TQ1-S001
1.包装要求：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
 77673：4pcs/PDQ/CTN
</t>
  </si>
  <si>
    <t>4500213433-30</t>
  </si>
  <si>
    <t>8/12 BV</t>
  </si>
  <si>
    <t>4500213433-40</t>
  </si>
  <si>
    <t>4500213433-50</t>
  </si>
  <si>
    <t>4500213433-90</t>
  </si>
  <si>
    <t>8/14 BV</t>
  </si>
  <si>
    <t>4500213433-100</t>
  </si>
  <si>
    <t>4500210351</t>
  </si>
  <si>
    <t>0999669030</t>
  </si>
  <si>
    <t>4500210351-20</t>
  </si>
  <si>
    <t>8/21 BV此单验货，请多备料</t>
  </si>
  <si>
    <t>6/30 RFID贴纸</t>
  </si>
  <si>
    <t>日期码格式：ZURU INC(BVI) 标准格式                  日期：按实际生产日期
Packaging Info: 77673TQ1-S001
1.包装要求：
MA 1L B版收缩膜+MA 5L A版收藏指南+MA B版说明书+MA 1L PDQ
每pcs产品上要贴1张RFID贴纸，贴纸由ZURU提供，贴纸位置请严格按照我们签回的签板；
Remark:77673TQ1-S001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</si>
  <si>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45204276</t>
  </si>
  <si>
    <t>4500208821-250</t>
  </si>
  <si>
    <t>日期码格式：  标准格式                  日期：按实际生产日期
Packaging Info: 
77785  客版英法包装翻单4500183001，UPC 193052104984，77711球-MA 2L 收缩膜+空白贴纸覆盖条码，77673冰箱-MA3L 收缩膜+空白贴纸覆盖条码，    MA 多语
说明书
Remark: 出加拿大
每行对应不同的客户PO，唛头要一一对应，  放唛头时跟单会提供清单
Zuru验货. 日期跟踪码：产品外包装及产品本身都必须有日期跟踪码，ZURU标准格式
日期码</t>
  </si>
  <si>
    <t>4500208841</t>
  </si>
  <si>
    <t>40121475</t>
  </si>
  <si>
    <t>4500208841-290</t>
  </si>
  <si>
    <t>空白贴纸覆盖条码+6/12客供价格贴</t>
  </si>
  <si>
    <t>40121634</t>
  </si>
  <si>
    <t>4500208841-420</t>
  </si>
  <si>
    <t>4500209611</t>
  </si>
  <si>
    <t>279WKG4W</t>
  </si>
  <si>
    <t>4500209611-290</t>
  </si>
  <si>
    <t>6/26寄出SSCC  LABEL（客供贴纸)，UPC贴纸，贴纸资料翻单#4500194871</t>
  </si>
  <si>
    <t>日期码格式：ZURU INC(BVI) 标准格式 日期：按实际生产日期
Packaging Info: 
#77673: MA 3L+UPC贴纸，贴纸资料翻单#4500194871，UPC：193052079404；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</si>
  <si>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4500205047</t>
  </si>
  <si>
    <t>62109803</t>
  </si>
  <si>
    <t>4500205047-10</t>
  </si>
  <si>
    <t>7/22 进口商贴纸+7/10价标贴纸+7/22 保证书</t>
  </si>
  <si>
    <t>7/22 保证书</t>
  </si>
  <si>
    <t>日期码格式：ZURU INC(BVI) 标准格式                  日期：按实际生产日期
Packaging Info: 77785:客版彩盒+进口商贴纸+价标贴纸+保证书+箱唛，包装/说明书都需要贴一张贴纸，（77673:MA 多语收缩膜/77711：MA 多语收缩膜+空白贴纸）,客版彩盒翻单
PO4500194447)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</si>
  <si>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4500212396</t>
  </si>
  <si>
    <t>7000995956</t>
  </si>
  <si>
    <t>4500212396-20</t>
  </si>
  <si>
    <t>77785-S003-77673-NA</t>
  </si>
  <si>
    <t>8/7抽办500pcs；8/21第三方</t>
  </si>
  <si>
    <t>6/18白色贴纸(覆盖77673/77711对应条码)</t>
  </si>
  <si>
    <t xml:space="preserve">已安排4. #9561/77785须于7/28安排签板，签板数量：大货样各5pcs+齐套散件各3sets
5. #9561/77785须于8/5安排抽板测试，抽板数量：
9561：大货4pcs+齐套散件4sets
77785：大货4pcs+齐套散件4sets
</t>
  </si>
  <si>
    <t>日期码格式：ZURU INC(BVI) 标准格式                  日期：按实际生产日期
Packaging Info:)
#77785 NA版本：
客版3L彩盒(193052104984)+MA3L收缩膜(77673/77711)+白色贴纸(覆盖77673/77711对应条码)+MA多语内包材
Remark: 1. 此单有箱唛;
 2. 此单有第三方验货，烦请多备包装物料；
 3. 此单须在原来错误的条码上用黑色粗头笔涂黑直至不能扫描，再贴上正确的UPC/贴纸;
 4. #9561/77785须于7/28安排签板，签板数量：大货样各5pcs+齐套散件各3sets
5. #9561/77785须于8/5安排抽板测试，抽板数量：
9561：大货4pcs+齐套散件4sets
77785：大货4pcs+齐套散件4sets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</si>
  <si>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新客版收缩膜，完成签板</t>
  </si>
  <si>
    <t>77785-S003-NA</t>
  </si>
  <si>
    <t>GAMELIFE</t>
  </si>
  <si>
    <t>4500211395</t>
  </si>
  <si>
    <t>4500211395-50</t>
  </si>
  <si>
    <t>一张警语贴纸（含意大利环保标，贴纸翻4500164781）</t>
  </si>
  <si>
    <t>加外箱地址邮箱贴4面</t>
  </si>
  <si>
    <t xml:space="preserve"> 4. 意大利订单包装彩卡请确保含法规要求的环保回收logo。</t>
  </si>
  <si>
    <t>日期码格式：ZURU INC(BVI) 标准格式                  日期：按实际生产日期
Packaging Info: 
 5. 77673：最新MA 3L EAN收缩膜+一张警语贴纸（含意大利环保标，贴纸翻4500164781）+最新MA 5L 收藏指南+最新MA 23L说明书+最新MA 5L 包装+最新MA 3L PDQ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所有带电池的产品请基于带/不带电池出货自行订购最新的 "WEEE说明书欧洲EN+29L"</t>
  </si>
  <si>
    <t>4500214424</t>
  </si>
  <si>
    <t>50817993</t>
  </si>
  <si>
    <t>4500214424-50</t>
  </si>
  <si>
    <t>7/3  1张客供价格贴纸</t>
  </si>
  <si>
    <t>带电池出货版本通用D版29L的说明书</t>
  </si>
  <si>
    <t>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t>
  </si>
  <si>
    <t>如果出运产品属于电子类产品需要在ZURU 包装基础上额外添加一张ZURU通用WEEE 电子产品说明书,带电池出货的加带电池出货版本通用D版29L的说明书，不带
 电池出货的产品用29LC版不带电池出货版本的说明书</t>
  </si>
  <si>
    <t>日期码格式：ZURU INC(BVI) 标准格式                  日期：按实际生产日期
Packaging Info: 
77785:MA 3L UPC包装+D版29L带电池出货版本WEEE说明书+1张客供价格贴纸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</si>
  <si>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4500208312</t>
  </si>
  <si>
    <t>60302385</t>
  </si>
  <si>
    <t>4500208312-10</t>
  </si>
  <si>
    <t>日期码格式：ZURU INC(BVI) 标准格式                  日期：按实际生产日期
Packaging Info: 1.#77785：MA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</si>
  <si>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4500208737</t>
  </si>
  <si>
    <t>0999666950</t>
  </si>
  <si>
    <t>4500208737-20</t>
  </si>
  <si>
    <t>ZB07175</t>
  </si>
  <si>
    <t>0999667015</t>
  </si>
  <si>
    <t>4500208737-40</t>
  </si>
  <si>
    <t>ZB07202</t>
  </si>
  <si>
    <t>4500213282</t>
  </si>
  <si>
    <t>4500213282-30</t>
  </si>
  <si>
    <t>7/13 1张UPC贴纸+1个小的红色logo贴纸+保证书+进口商贴纸，3张不同的进口商贴纸分别是贴在产品/包装//说明书上</t>
  </si>
  <si>
    <t>已安排保证书</t>
  </si>
  <si>
    <t>日期码格式：ZURU INC(BVI) 标准格式                  日期：按实际生产日期
Packaging Info:
77673:MA 3L EAN PKG+1张UPC贴纸+1个小的红色logo贴纸+保证书+进口商贴纸，3张不同的进口商贴纸分别是贴在产品/包装//说明书上
Remark: 1. 集装箱及装柜要求：集装箱不能有破洞；不能太脏
2.每个item需要放1整箱在每个集装箱门口
3.装柜的时候要前、中、后拍照
4. 此单有监柜要求，每款需要准备1pc监柜样板用于监装</t>
  </si>
  <si>
    <t>4500210803-10</t>
  </si>
  <si>
    <t>进口商贴纸+UPC贴纸，所有贴纸翻单PO4500208984</t>
  </si>
  <si>
    <t>日期码格式：ZURU INC(BVI) 标准格式 日期：按实际生产日期
Packaging Info: 77673：MA 3L EAN包装+UPC 贴纸+进口商贴纸+箱唛，所有贴纸翻单PO4500208984
Remark: 客户有监装要求，每款需要名准备1pc监柜样板</t>
  </si>
  <si>
    <t>RICA TRADE SRL</t>
  </si>
  <si>
    <t>4500214891-40</t>
  </si>
  <si>
    <t>7/15进口商贴纸+ EAN贴纸</t>
  </si>
  <si>
    <t>日期码格式：ZURU INC(BVI) 标准格式 日期：按实际生产日期 Tracking Code:
Packaging Info:  77673:最新MA3LEAN收缩膜+最新MA5L收藏指南+最新MA23L说明书+最新MA纸袋+ 进口商贴纸+ EAN贴纸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电池产品（带电池/不带电池走货）需要带上最新WEEE29L欧洲通用电池回收说明书。产品里如果含干燥剂，请附上干燥剂14L说明书。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6，包含DEMO或者Demo BOX的产品外箱请都统一增加向上标示，以防倒置造成产品移位或损坏，demo box外箱需要增加‘Contains Demo Box. Non-Saleable Unit’
 。
7，电池产品请确保使用新说明书以及新标识的电池以符合最新(EU)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</si>
  <si>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4500214816</t>
  </si>
  <si>
    <t>1007882549</t>
  </si>
  <si>
    <t>4500214816-20</t>
  </si>
  <si>
    <t>8/21 BV</t>
  </si>
  <si>
    <t>RFID贴纸-7.20</t>
  </si>
  <si>
    <t>0999666960</t>
  </si>
  <si>
    <t>4500208737-30</t>
  </si>
  <si>
    <t>ZB07201</t>
  </si>
  <si>
    <t>ZMPO260782</t>
  </si>
  <si>
    <t>ZMPO260782-20</t>
  </si>
  <si>
    <t>Remark只需要空展示架/可打平包寄出/一个展示架打一个平包/箱唛参照邮件附件备注： 收到样品订单后尽快安排 ，谢谢！</t>
  </si>
  <si>
    <t>46HQH2BH</t>
  </si>
  <si>
    <t>4500201292-10</t>
  </si>
  <si>
    <t>消耗4500197232的396pcs</t>
  </si>
  <si>
    <t>8/11-8/15</t>
  </si>
  <si>
    <t>2张贴纸(1张UPC#，参考翻单PO#4500158582；1张可折叠警语贴
含德意警告语+IT环保标，参考翻单PO#4500157858)+ 7/6 SSCC LABEL一张</t>
  </si>
  <si>
    <t>日期码格式：ZURU INC(BVI) 标准格式                  日期：按实际生产日期
Packaging Info: Amazon UK:46HQH2BH
UK(77673)
 1. 77673:12pcs/ctn; MA 3L(3L warning EAN#)B收缩膜+MA 23L warning B说明书+MA 5L A收藏指南+2张贴纸(1张UPC#，参考翻单PO#4500158582；1张可折叠警语贴
含德意警告语+IT环保标，参考翻单PO#4500157858)+WEEE_带电池走货 _ 说明书欧洲EN+30L_B版
 2.  最迟验货不得晚于8/4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</si>
  <si>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4500206206</t>
  </si>
  <si>
    <t>3Y4OLXRV</t>
  </si>
  <si>
    <t>4500206206-10</t>
  </si>
  <si>
    <t>7/14 SSCC Label(客供贴纸，由跟单订购)</t>
  </si>
  <si>
    <t>4500207783</t>
  </si>
  <si>
    <t>4FGXJ4DX</t>
  </si>
  <si>
    <t>4500207783-100</t>
  </si>
  <si>
    <t>消耗4500197232的2556pcs</t>
  </si>
  <si>
    <t>5/22SSCC LABEL一张</t>
  </si>
  <si>
    <t>日期码格式：ZURU INC(BVI) 标准格式                  日期：按实际生产日期
Packaging Info: Amazon UK: 4FGXJ4DX/3E5781FW
Amazon DE: 2D83IUVS
Amazon UK(77785/77731/77673/9565E)/DE(77806/15750H/15752ABDEH)
 3. 77673: 12pcs/ctn; MA 3L(3L warning EAN#)B收缩膜+MA 23L warning B说明书+MA 5L A收藏指南+2张贴纸(1张UPC#，参考翻单PO#4500158582；1张可折叠警语
贴含德意警告语+IT环保标，参考翻单PO#4500157858)+WEEE_带电池走货 _ 说明书欧洲EN+29L_C版；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</si>
  <si>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4500214437</t>
  </si>
  <si>
    <t>55818085</t>
  </si>
  <si>
    <t>4500214437-50</t>
  </si>
  <si>
    <t>7/3 一张客供价格贴纸+一张警告语贴纸（德语/波兰语/荷兰语）翻单：4500201132+一张地址贴纸，翻单:450
0205118</t>
  </si>
  <si>
    <t>地址贴纸贴彩盒上</t>
  </si>
  <si>
    <t>日期码格式：ZURU INC(BVI) 标准格式 日期：按实际生产日期
Packaging Info: 
77785:MA 3L UPC包装+一张客供价格贴纸+一张警告语贴纸（德语/波兰语/荷兰语）翻单：4500201132+D版29L带电池出货版本WEEE说明书+一张地址贴纸，翻单:450
0205118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</si>
  <si>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4500206916</t>
  </si>
  <si>
    <t>21750146</t>
  </si>
  <si>
    <t>4500206916-10</t>
  </si>
  <si>
    <t>7/20 外箱SSCC Label</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</si>
  <si>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PO#4500206917一起合并计算</t>
  </si>
  <si>
    <t>4500206917</t>
  </si>
  <si>
    <t>21750150</t>
  </si>
  <si>
    <t>4500206917-10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</si>
  <si>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警语贴纸贴在收缩膜背面和说明书上+ 1张防盗贴纸+箱唛 + 外箱SSCC Label (贴纸以及位置图翻单PO#4500160026）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PO#4500206916一起合并计算</t>
  </si>
  <si>
    <t>4500210497</t>
  </si>
  <si>
    <t>5200009895</t>
  </si>
  <si>
    <t>4500210497-10</t>
  </si>
  <si>
    <t>日期码格式：ZURU  INC(BVI)  标准格式                                    日期：按实际生产日期
Packaging Info: 77673TQ1:最新MA3LEAN收缩膜+最新MA5L收藏指南+最新MA23L说明书+最新MA纸袋+最新MA  3L  PDQ+多语警语折叠贴纸（含包装缺失的法/意/西环保标）（贴纸翻4500
196281）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    BOB系列要符合欧洲要求不含亚硝酸版本;  XShot  Hyper系列，统一出EN71版本;  Slime  M
art统一用EUR版本的包装。#17601需要出NS版本。
9.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</si>
  <si>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WAL-MART.COM</t>
  </si>
  <si>
    <t>4500208119</t>
  </si>
  <si>
    <t>1002450715</t>
  </si>
  <si>
    <t>4500208119-20</t>
  </si>
  <si>
    <t>8/18 BV</t>
  </si>
  <si>
    <t>6/30寄出RFID贴纸</t>
  </si>
  <si>
    <t>日期码格式：ZURU INC(BVI) 标准格式                  日期：按实际生产日期
Packaging Info: 1.包装要求：
77785：客版1L 彩盒
77711: 客版1L 无条码收缩膜+MA 2L B版收藏指南+MA B版说明书
77673: MA 1L B版收缩膜+MA 5L A版收藏指南+MA B版说明书
每pcs产品上要贴1张RFID贴纸，贴纸由ZURU提供，贴纸位置请严格按照我们签回的签板；
Remark: 1.包装要求：
77785：客版1L 彩盒
77711: 客版1L 无条码收缩膜+MA 2L B版收藏指南+MA B版说明书
77673: MA 1L B版收缩膜+MA 5L A版收藏指南+MA B版说明书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77785外箱正唛和侧唛两面偏下方印刷黄色贴纸，使用Yellow U色号
3. 在产品上和包装上要有日期码、以及要有MADE IN CHINA和ZURU字样；
4. 产品如有扎带口要剪平，不能刮手。
5. 此单需要验货，请多备料
6. 此单以loose carton出货，
9561：1pc/CTN
77785：8pcs/CTN</t>
  </si>
  <si>
    <t>4500211354</t>
  </si>
  <si>
    <t>4400575075</t>
  </si>
  <si>
    <t>4500211354-50</t>
  </si>
  <si>
    <t>WEEE声明29L通用黑白说明书</t>
  </si>
  <si>
    <t>展示架/PDQ的款---需要加上ZURU地址信息，请查收附件通用贴纸资料</t>
  </si>
  <si>
    <t>8.包装必须含法国回收标(Sorting Label)，如没有，请提醒跟单提供贴纸资料</t>
  </si>
  <si>
    <t>4500214197-20</t>
  </si>
  <si>
    <t>8/20 BV</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</si>
  <si>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</si>
  <si>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4500214197-60</t>
  </si>
  <si>
    <t>1007882536</t>
  </si>
  <si>
    <t>4500214816-10</t>
  </si>
  <si>
    <t>4500213743</t>
  </si>
  <si>
    <t>0002996100</t>
  </si>
  <si>
    <t>4500213743-20</t>
  </si>
  <si>
    <t>8/21第三方验货，烦请多备包装物料；</t>
  </si>
  <si>
    <t>8/28</t>
  </si>
  <si>
    <t>UPC贴纸(UPC:193052079404)+MA23L说明书(B)+MA5L收藏指南+MA5L,UV胶瓶身贴
(UPC贴纸翻单：4500160504)</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</si>
  <si>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4.#77711须于2026/8/11安排签板，签板数量：大货样4pcs+齐套散件3sets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</si>
  <si>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4500210353</t>
  </si>
  <si>
    <t>0999666972</t>
  </si>
  <si>
    <t>4500210353-20</t>
  </si>
  <si>
    <t>SUPERMERCADOS INTERNACIONALES H.E.B</t>
  </si>
  <si>
    <t>MX-530-JG-Zuru-Xmas26</t>
  </si>
  <si>
    <t>4500201970-50</t>
  </si>
  <si>
    <t>8/11 UPC 贴纸+电池门进口商贴纸/说明书贴纸/包装贴进口商贴纸+保证书</t>
  </si>
  <si>
    <t>8/11 保证书</t>
  </si>
  <si>
    <t>日期码格式：ZURU INC(BVI) 标准格式                  日期：按实际生产日期
Packaging Info: 1. 请确保外箱和产品包装上使用的条码均为UPC。如目前使用的是baby UPC，请务必使用mother UPC覆盖。如有任何不一致之处，请及时告知。谢谢！
 2. 样品需求：本次订单的验货将由监柜公司进行开箱检验。订单每个ITEM（包括盲盒款）提前准备一整套完整包装的样品，所有样品必须与大货完全一致。
3.带电产品需要电池门/说明书贴纸/包装贴进口商贴纸+保证书，若MA说明书上有跟进口商贴纸上的信息，一般不需要说明书贴纸，具体按客人做完测试后提供的资
料。（具体按图稿安排做货）
77673 MA 多语 EAN 包装+UPC 贴纸+MA 多语说明书+MA 多语收藏指南+电池门进口商贴纸/说明书贴纸/包装贴进口商贴纸+保证书+箱唛
Remark:
77673 3PCS AG13 BATTERIES(INCLUDED)</t>
  </si>
  <si>
    <t>4500206199</t>
  </si>
  <si>
    <t>8UQIRGNZ</t>
  </si>
  <si>
    <t>4500206199-10</t>
  </si>
  <si>
    <t>4500211400-20</t>
  </si>
  <si>
    <t>7. 此客户需要第三方验货，请在约三方验货前必须PASS ZURU验货。</t>
  </si>
  <si>
    <t>一张进口商贴纸+一张产品贴纸（翻4500170840）+一张weee说明书纸（翻4500170840）</t>
  </si>
  <si>
    <t>一张weee说明书纸（翻4500170840）</t>
  </si>
  <si>
    <t>.带干燥剂的产品需要加一张"干燥剂说明书14L</t>
  </si>
  <si>
    <t>无验货后会抽办1套/item，请多备料。大货样品2套/item，用于客人验货签板，具体以邮件通知为准</t>
  </si>
  <si>
    <r>
      <rPr>
        <sz val="11"/>
        <rFont val="宋体"/>
        <charset val="134"/>
      </rPr>
      <t>日期码格式：LOT2632</t>
    </r>
    <r>
      <rPr>
        <sz val="11"/>
        <color rgb="FF000000"/>
        <rFont val="宋体"/>
        <charset val="134"/>
      </rPr>
      <t xml:space="preserve">                  日期：
Packaging Info: 
 2. 77673：最新MA 3L EAN收缩膜+最新MA 5L收藏指南+最新MA 23L说明书+一张进口商贴纸+一张产品贴纸（翻4500170840）+一张weee说明书纸（翻4500170840）
Remark: 1.RATIO 同MA 一致。
2.验货后会抽办1套/item，请多备料。大货样品2套/item，用于客人验货签板，具体以邮件通知为准
3.客人日期码：LOT2632，包装（含收缩膜等）/产品/外箱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9.带干燥剂的产品需要加一张"干燥剂说明书14L"</t>
    </r>
  </si>
  <si>
    <t>AMIC  TRADING  (PTY)  LTD</t>
  </si>
  <si>
    <t>4500214659</t>
  </si>
  <si>
    <t>6006-014357</t>
  </si>
  <si>
    <t>4500214659-30</t>
  </si>
  <si>
    <t>消耗成品4500185103的400pcs，需要保函出货，换纸箱</t>
  </si>
  <si>
    <t>7/2 1 张通用进口商贴纸（贴冰箱背面空白处，不遮挡日期码）</t>
  </si>
  <si>
    <t>日期码格式：ZURU INC(BVI) 标准格式 日期：按实际生产日期
Packaging Info: 
77673TQ1： MA PDQ, 1L PKG + 1 张通用进口商贴纸（贴冰箱背面空白处，不遮挡日期码），MA 说明书
Remark:</t>
  </si>
  <si>
    <t>4500213351-80</t>
  </si>
  <si>
    <t>7/14 UPC 贴纸+ 电池门进口商贴纸+包装进口商贴纸+客版说明书</t>
  </si>
  <si>
    <t>已安排一张保证书+客版说明书</t>
  </si>
  <si>
    <t>进口商贴纸贴的位置不可以挡住西语信息</t>
  </si>
  <si>
    <t>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77673 MA 多语 EAN 包装+UPC 贴纸+MA 多语收藏指南+ 电池门进口商贴纸+包装进口商贴纸+客版说明书+一张保证书+箱唛
Remark: 
77673 3PCS AG13 BATTERIES(INCLUDED) Fixed Collection</t>
  </si>
  <si>
    <t>02428641/1</t>
  </si>
  <si>
    <t>4500195634-20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</si>
  <si>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77673TQ1:WEEE_带电池走货 _ 说明书欧洲EN+29L_C版</t>
  </si>
  <si>
    <t>不需要</t>
  </si>
  <si>
    <t>02428642/1</t>
  </si>
  <si>
    <t>4500195634-40</t>
  </si>
  <si>
    <r>
      <rPr>
        <sz val="11"/>
        <rFont val="宋体"/>
        <charset val="134"/>
      </rPr>
      <t>WALMART</t>
    </r>
    <r>
      <rPr>
        <sz val="11"/>
        <color rgb="FF000000"/>
        <rFont val="宋体"/>
        <charset val="134"/>
      </rPr>
      <t xml:space="preserve">  INC.</t>
    </r>
  </si>
  <si>
    <t>4500209901</t>
  </si>
  <si>
    <t>7137241922</t>
  </si>
  <si>
    <t>4500209901-10</t>
  </si>
  <si>
    <t>8/14 BV验货 MO20260519手工单转实单</t>
  </si>
  <si>
    <t>6/4 RFID贴纸，围板前后各贴1张彩色placard</t>
  </si>
  <si>
    <r>
      <rPr>
        <sz val="11"/>
        <rFont val="宋体"/>
        <charset val="134"/>
      </rPr>
      <t>日期码格式：ZURU</t>
    </r>
    <r>
      <rPr>
        <sz val="11"/>
        <color rgb="FF000000"/>
        <rFont val="宋体"/>
        <charset val="134"/>
      </rPr>
      <t xml:space="preserve">  INC(BVI)  标准格式                                    日期：按实际生产日期
Packaging Info: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Remark: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Loading：2Wx4Dx3H  =24pcs/Display/Carton</t>
    </r>
  </si>
  <si>
    <r>
      <rPr>
        <sz val="11"/>
        <rFont val="宋体"/>
        <charset val="134"/>
      </rPr>
      <t>Maggie</t>
    </r>
    <r>
      <rPr>
        <sz val="11"/>
        <color rgb="FF000000"/>
        <rFont val="宋体"/>
        <charset val="134"/>
      </rPr>
      <t xml:space="preserve">  Xie</t>
    </r>
  </si>
  <si>
    <t>7137241923</t>
  </si>
  <si>
    <t>4500209901-20</t>
  </si>
  <si>
    <t>4500213433-110</t>
  </si>
  <si>
    <t>SMYTHS  TOYS  EU  HQ  UNLIMITED  COMPANY</t>
  </si>
  <si>
    <t>4500215186-10</t>
  </si>
  <si>
    <t>日期码格式：ZURU INC(BVI) 标准格式 日期：按实际生产日期
Packaging Info: "77673TQ1: 最新MA 3L EAN配套包装+WEEE声明(带电池)走货欧洲通用29L-D版说明书
EAN: 4894680042773"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</si>
  <si>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Mary  Qu</t>
  </si>
  <si>
    <t>4500213890</t>
  </si>
  <si>
    <t>219372916</t>
  </si>
  <si>
    <t>4500213890-10</t>
  </si>
  <si>
    <t>日期码格式：ZURU INC(BVI) 标准格式                  日期：按实际生产日期
Packaging Info: 1. 产品MA UPC包装（优先1L）出美国
 2.  客人指定箱唛排版
Remark: 出货前 Zuru QC 验货</t>
  </si>
  <si>
    <t>219372923</t>
  </si>
  <si>
    <t>4500213890-20</t>
  </si>
  <si>
    <t>2QV5RIDJ</t>
  </si>
  <si>
    <t>4500213119-10</t>
  </si>
  <si>
    <t>7/16 SSCC LABEL</t>
  </si>
  <si>
    <r>
      <rPr>
        <sz val="11"/>
        <color rgb="FF000000"/>
        <rFont val="宋体"/>
        <charset val="134"/>
      </rPr>
      <t>日期码格式：ZURU INC(BVI) 标准格式 日期：按实际生产日期
Packaging Info: Amazon ES: 2QV5RIDJ/1M25H6DO
Amazon IT: 5W9612PJ
Amazon UK: 89531IYN/69MBG54Q/626R323Y/1PSAFFSZ
Amazon ES(77785/77809)/IT(77785)/UK(15726D/15749AB/15750G/71137/77785)
2.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warning)C收藏指南+MA 23L警告语说明书+MA 5L A说明书 +客版彩盒（3L (3
L warning)+新FR/DK/UK地址，参考翻单PO#4500194447）+WEEE_带电池走货 _ 说明书欧洲EN+29L_D版+1张贴纸(含DE/IT警告语，贴彩盒，翻单PO4500197236)*</t>
    </r>
    <r>
      <rPr>
        <sz val="11"/>
        <color rgb="FFFF0000"/>
        <rFont val="宋体"/>
        <charset val="134"/>
      </rPr>
      <t>*消
耗4500208520-77785 1920pcs 入箱成品库存，剩下的按实单采购**</t>
    </r>
    <r>
      <rPr>
        <sz val="11"/>
        <color rgb="FF000000"/>
        <rFont val="宋体"/>
        <charset val="134"/>
      </rPr>
      <t xml:space="preserve">
7. 验货时间不迟于2026/08/13.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</si>
  <si>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Aria Zhou</t>
  </si>
  <si>
    <t>69MBG54Q</t>
  </si>
  <si>
    <t>4500213119-40</t>
  </si>
  <si>
    <t>5W9612PJ</t>
  </si>
  <si>
    <t>4500213119-110</t>
  </si>
  <si>
    <t>4500213087</t>
  </si>
  <si>
    <t>1007882530</t>
  </si>
  <si>
    <t>4500213087-10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</si>
  <si>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</si>
  <si>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阿联酋</t>
  </si>
  <si>
    <t>4500204716-20</t>
  </si>
  <si>
    <t>PDQ+彩色贴纸+进口商贴纸（贴纸翻单4500162345）；收缩膜+进口商贴纸(含G Mark, QR code, 阿拉伯警语) （贴纸翻单4500162345）；贴
纸上的QR code需微信可扫;PDQ+进口商贴纸
MA收藏指南+彩色贴纸（贴纸翻单4500162345）； MA说明书+一张客制黑白说明书纸（书纸翻单4500162345）；</t>
  </si>
  <si>
    <t>一张客制黑白说明书纸（书纸翻单4500162345）</t>
  </si>
  <si>
    <t>日期码格式：ZURU INC(BVI) 标准格式 日期：按实际生产日期
Packaging Info: 出UAE, 包装不能有希伯来语
所有RBC的产品（内外）包装上不能有彩虹。
77673TQ1:MA 1L PKG, PDQ+彩色贴纸+进口商贴纸（贴纸翻单4500162345）；收缩膜+进口商贴纸(含G Mark, QR code, 阿拉伯警语) （贴纸翻单4500162345）；贴
纸上的QR code需微信可扫;PDQ+进口商贴纸
MA收藏指南+彩色贴纸（贴纸翻单4500162345）； MA说明书+一张客制黑白说明书纸（书纸翻单4500162345）；
客人箱唛排版，印4面，条码内容：193052079404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</si>
  <si>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4500204719-20</t>
  </si>
  <si>
    <t>PDQ+彩色贴纸+进口商贴纸（贴纸翻单4500162345）；收缩膜+进口商贴纸(含G Mark, QR code, 阿拉伯警语)  （贴纸翻单4500162345）；贴
纸上的QR code需微信可扫;PDQ+进口商贴纸，彩色贴纸（贴纸翻单4500162345）；  MA说明书+一张客制黑白说明书纸（书纸翻单4500162345）；</t>
  </si>
  <si>
    <t>日期码格式：ZURU INC(BVI) 标准格式                  日期：按实际生产日期
Packaging Info: 出QATAR, 包装不能有希伯来语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所有包装需要不含希伯来语/Hebrew/(He) 语言
Remark</t>
  </si>
  <si>
    <t>4500204723-20</t>
  </si>
  <si>
    <t>日期码格式：ZURU INC(BVI) 标准格式                  日期：按实际生产日期
Packaging Info: 出KSA 包装不能有希伯来语，
所有RBC的产品（内外）包装上不能有彩虹。
77673TQ1:MA 1L PKG, PDQ+彩色贴纸+进口商贴纸（贴纸翻单4500162345）；收缩膜+进口商贴纸(含G Mark, QR code, 阿拉伯警语)  （贴纸翻单4500162345）；贴
纸上的QR code需微信可扫;
MA收藏指南+彩色贴纸（贴纸翻单4500162345）；  MA说明书+一张客制黑白说明书纸（书纸翻单4500162345）；
客人箱唛排版，印4面，条码内容：193052079404
Remark</t>
  </si>
  <si>
    <t>CLADELLAS  2000  S.L</t>
  </si>
  <si>
    <t>4500214241-40</t>
  </si>
  <si>
    <t>一张客户进口商内容贴纸+MA 5L收藏指南+MA 23L说明书+WEEE带电池走货欧洲29L通用黑白说明书 ;（贴纸翻单4500193889）；</t>
  </si>
  <si>
    <t>WEEE通用29L说明书</t>
  </si>
  <si>
    <t>产品及包装需要印CE  logo图标，包装需含有西班牙环保标  和care@zuru.com  邮箱地址，     另外，包装贴纸上面的警告语不可以覆盖西班牙警告语</t>
  </si>
  <si>
    <t>日期码格式：ZURU  INC(BVI)  标准格式                                    日期：按实际生产日期
Packaging Info: 
77673：最新MA  3L包装+一张客户进口商内容贴纸+MA  5L收藏指南+MA  23L说明书+WEEE带电池走货欧洲29L通用黑白说明书  ;（贴纸翻单4500193889）；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</si>
  <si>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Mary  Zhong</t>
  </si>
  <si>
    <t>4500212517-30</t>
  </si>
  <si>
    <t>暂停备料</t>
  </si>
  <si>
    <t>4500212517-40</t>
  </si>
  <si>
    <t>4500211915</t>
  </si>
  <si>
    <t>4400577328</t>
  </si>
  <si>
    <t>4500211915-50</t>
  </si>
  <si>
    <r>
      <rPr>
        <sz val="11"/>
        <rFont val="宋体"/>
        <charset val="134"/>
      </rPr>
      <t>日期码格式：ZURU INC(BVI) 标准格式</t>
    </r>
    <r>
      <rPr>
        <sz val="11"/>
        <color rgb="FF000000"/>
        <rFont val="宋体"/>
        <charset val="134"/>
      </rPr>
      <t xml:space="preserve">                  日期：按实际生产日期
Packaging Info: 
77673TQ1: 最新MA 3L EAN配套包装+WEEE声明(带电池)走货欧洲通用29L-D版说明书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r>
  </si>
  <si>
    <t>4500210225</t>
  </si>
  <si>
    <t>4500210225-20</t>
  </si>
  <si>
    <t>7/24 UPC 贴纸+进口商贴纸+保证书</t>
  </si>
  <si>
    <t>7/24 保证书</t>
  </si>
  <si>
    <r>
      <rPr>
        <sz val="11"/>
        <rFont val="宋体"/>
        <charset val="134"/>
      </rPr>
      <t>日期码格式：ZURU INC(BVI) 标准格式</t>
    </r>
    <r>
      <rPr>
        <sz val="11"/>
        <color rgb="FF000000"/>
        <rFont val="宋体"/>
        <charset val="134"/>
      </rPr>
      <t xml:space="preserve">                  日期：按实际生产日期
Packaging Info: 
77673/77858：MA 3L EAN包装+UPC 贴纸+进口商贴纸+箱唛+保证书
Remark：</t>
    </r>
  </si>
  <si>
    <t>4500210228</t>
  </si>
  <si>
    <t>4500210228-20</t>
  </si>
  <si>
    <t>7/24 UPC 贴纸+进口商贴纸+保证书，贴纸和保证书翻单PO4500210225</t>
  </si>
  <si>
    <r>
      <rPr>
        <sz val="11"/>
        <color rgb="FF000000"/>
        <rFont val="宋体"/>
        <charset val="134"/>
      </rPr>
      <t>日期码格式：ZURU INC(BVI) 标准格式 日期：按实际生产日期 Tracking Code:
Packaging Info: 
 77673/77858：MA 3L EAN包装+UPC 贴纸+进口商贴纸+箱唛+保证书，</t>
    </r>
    <r>
      <rPr>
        <sz val="11"/>
        <color rgb="FFFF0000"/>
        <rFont val="宋体"/>
        <charset val="134"/>
      </rPr>
      <t>贴纸和保证书翻单PO4500210225</t>
    </r>
    <r>
      <rPr>
        <sz val="11"/>
        <color rgb="FF000000"/>
        <rFont val="宋体"/>
        <charset val="134"/>
      </rPr>
      <t xml:space="preserve">
Remark:</t>
    </r>
  </si>
  <si>
    <t>4500210229</t>
  </si>
  <si>
    <t>4500210229-30</t>
  </si>
  <si>
    <t>UPC 贴纸+进口商贴纸+保证书；贴纸和保证书翻单PO4500210225</t>
  </si>
  <si>
    <r>
      <rPr>
        <sz val="11"/>
        <color rgb="FF000000"/>
        <rFont val="宋体"/>
        <charset val="134"/>
      </rPr>
      <t>日期码格式：ZURU INC(BVI) 标准格式 日期：按实际生产日期 
Packaging Info: 
 77673/77858：MA 3L EAN包装+UPC 贴纸+进口商贴纸+箱唛+保证书</t>
    </r>
    <r>
      <rPr>
        <sz val="11"/>
        <color rgb="FFFF0000"/>
        <rFont val="宋体"/>
        <charset val="134"/>
      </rPr>
      <t>，贴纸和保证书翻单PO4500210225</t>
    </r>
    <r>
      <rPr>
        <sz val="11"/>
        <color rgb="FF000000"/>
        <rFont val="宋体"/>
        <charset val="134"/>
      </rPr>
      <t xml:space="preserve">
Remark:</t>
    </r>
  </si>
  <si>
    <t>4500210231</t>
  </si>
  <si>
    <t>4500210231-30</t>
  </si>
  <si>
    <t>UPC 贴纸+进口商贴纸+保证书，贴纸和保证书翻单PO4500210225</t>
  </si>
  <si>
    <r>
      <rPr>
        <sz val="11"/>
        <color rgb="FF000000"/>
        <rFont val="宋体"/>
        <charset val="134"/>
      </rPr>
      <t>日期码格式：ZURU INC(BVI) 标准格式 日期：按实际生产日期 Tracking Code:
Packaging Info: 
 77673: MA 3L EAN包装+UPC 贴纸+进口商贴纸+箱唛+保证书，贴纸和保证书</t>
    </r>
    <r>
      <rPr>
        <sz val="11"/>
        <color rgb="FFFF0000"/>
        <rFont val="宋体"/>
        <charset val="134"/>
      </rPr>
      <t>翻单PO4500210225</t>
    </r>
    <r>
      <rPr>
        <sz val="11"/>
        <color rgb="FF000000"/>
        <rFont val="宋体"/>
        <charset val="134"/>
      </rPr>
      <t xml:space="preserve">
Remark:</t>
    </r>
  </si>
  <si>
    <t>4500213921</t>
  </si>
  <si>
    <t>2964832-00</t>
  </si>
  <si>
    <t>4500213921-10</t>
  </si>
  <si>
    <t>UPC贴纸193052079404，UPC贴纸翻单4500182548</t>
  </si>
  <si>
    <t>日期码格式：ZURU INC(BVI) 标准格式                  日期：按实际生产日期
Packaging Info: 77673 MA 3L  EAN版本+UPC贴纸193052079404，UPC贴纸翻单4500182548
Remark: 出加拿大
日期跟踪码：产品外包装及产品本身都必须有日期跟踪码，并且确保两者的日期跟踪码要一致；ZURU标准格式日期码(请自行调整具体年月日生产期，但不能为周末
)</t>
  </si>
  <si>
    <t>MPO11007</t>
  </si>
  <si>
    <t>4500215584-00040-20260824</t>
  </si>
  <si>
    <t>MPO11007-10</t>
  </si>
  <si>
    <t>Remark:
① 订单的所有测试与样品要求以跟单的要求为准，且为了避免QC验货拆货来不及补货，请准备适量的贴纸和产品备品。此订单数量只作为⼤货⽣产，不包含样板与备品。 ② 关
于混装展⽰架，各⼯⼚交⼦件到最终⺟件⼯⼚时，务必要 "带卡板出+围好围膜"。 如果没按要求的，请各⼯⼚⾃⾏安排⼈⼿卸货。 ③ 请贵司确保交货数量准确，与收货⽅交收清
楚，如收货⽅提出任何异常，请⽴即安排处理解决。
① 2% loss; ② inform us to arrange inspection before delivery
1、 包装⽅式：MA UPC优先1L最新版，出⼝美国
2、⽆测试⽆验货要求
3、纸箱可⽤周转箱+箱唛（此箱唛可直接⽤A4纸注明:混装展⽰架MSLD178-S001 &amp; 4500198423(MPO单号) &amp; 对应的产品款号 &amp; 装箱数相关信息即可）
4、⽇期码请按ZURU标准版执⾏即可
5、ZURU OQC 验货</t>
  </si>
  <si>
    <t>Tracy Xu</t>
  </si>
  <si>
    <t>4500215584-00080-20260824</t>
  </si>
  <si>
    <t>MPO11007-50</t>
  </si>
  <si>
    <t>MPO11007拆行，总数不变</t>
  </si>
  <si>
    <r>
      <rPr>
        <sz val="11"/>
        <color rgb="FF000000"/>
        <rFont val="宋体"/>
        <charset val="134"/>
      </rPr>
      <t>Remark:</t>
    </r>
    <r>
      <rPr>
        <sz val="11"/>
        <color rgb="FF000000"/>
        <rFont val="宋体"/>
        <charset val="134"/>
        <scheme val="minor"/>
      </rPr>
      <t xml:space="preserve">
</t>
    </r>
    <r>
      <rPr>
        <sz val="11"/>
        <color rgb="FF000000"/>
        <rFont val="宋体"/>
        <charset val="134"/>
        <scheme val="minor"/>
      </rPr>
      <t>① 订单的所有测试与样品要求以跟单的要求为准，且为了避免QC验货拆货来不及补货，请准备适量的贴纸和产品备品。此订单数量只作为⼤货⽣产，不包含样板与备品。 ② 关</t>
    </r>
    <r>
      <rPr>
        <sz val="11"/>
        <color rgb="FF000000"/>
        <rFont val="宋体"/>
        <charset val="134"/>
        <scheme val="minor"/>
      </rPr>
      <t xml:space="preserve">
</t>
    </r>
    <r>
      <rPr>
        <sz val="11"/>
        <color rgb="FF000000"/>
        <rFont val="宋体"/>
        <charset val="134"/>
        <scheme val="minor"/>
      </rPr>
      <t>于混装展⽰架，各⼯⼚交⼦件到最终⺟件⼯⼚时，务必要 "带卡板出+围好围膜"。 如果没按要求的，请各⼯⼚⾃⾏安排⼈⼿卸货。 ③ 请贵司确保交货数量准确，与收货⽅交收清</t>
    </r>
    <r>
      <rPr>
        <sz val="11"/>
        <color rgb="FF000000"/>
        <rFont val="宋体"/>
        <charset val="134"/>
        <scheme val="minor"/>
      </rPr>
      <t xml:space="preserve">
</t>
    </r>
    <r>
      <rPr>
        <sz val="11"/>
        <color rgb="FF000000"/>
        <rFont val="宋体"/>
        <charset val="134"/>
        <scheme val="minor"/>
      </rPr>
      <t>楚，如收货⽅提出任何异常，请⽴即安排处理解决。</t>
    </r>
    <r>
      <rPr>
        <sz val="11"/>
        <color rgb="FF000000"/>
        <rFont val="宋体"/>
        <charset val="134"/>
        <scheme val="minor"/>
      </rPr>
      <t xml:space="preserve">
</t>
    </r>
    <r>
      <rPr>
        <sz val="11"/>
        <color rgb="FF000000"/>
        <rFont val="宋体"/>
        <charset val="134"/>
        <scheme val="minor"/>
      </rPr>
      <t>① 2% loss; ② inform us to arrange inspection before delivery</t>
    </r>
    <r>
      <rPr>
        <sz val="11"/>
        <color rgb="FF000000"/>
        <rFont val="宋体"/>
        <charset val="134"/>
        <scheme val="minor"/>
      </rPr>
      <t xml:space="preserve">
</t>
    </r>
    <r>
      <rPr>
        <sz val="11"/>
        <color rgb="FF000000"/>
        <rFont val="宋体"/>
        <charset val="134"/>
        <scheme val="minor"/>
      </rPr>
      <t>1、 包装⽅式：MA UPC优先1L最新版，出⼝美国</t>
    </r>
    <r>
      <rPr>
        <sz val="11"/>
        <color rgb="FF000000"/>
        <rFont val="宋体"/>
        <charset val="134"/>
        <scheme val="minor"/>
      </rPr>
      <t xml:space="preserve">
</t>
    </r>
    <r>
      <rPr>
        <sz val="11"/>
        <color rgb="FF000000"/>
        <rFont val="宋体"/>
        <charset val="134"/>
        <scheme val="minor"/>
      </rPr>
      <t>2、⽆测试⽆验货要求</t>
    </r>
    <r>
      <rPr>
        <sz val="11"/>
        <color rgb="FF000000"/>
        <rFont val="宋体"/>
        <charset val="134"/>
        <scheme val="minor"/>
      </rPr>
      <t xml:space="preserve">
</t>
    </r>
    <r>
      <rPr>
        <sz val="11"/>
        <color rgb="FF000000"/>
        <rFont val="宋体"/>
        <charset val="134"/>
        <scheme val="minor"/>
      </rPr>
      <t>3、纸箱可⽤周转箱+箱唛（此箱唛可直接⽤A4纸注明:混装展⽰架MSLD178-S001 &amp; 4500198423(MPO单号) &amp; 对应的产品款号 &amp; 装箱数相关信息即可）</t>
    </r>
    <r>
      <rPr>
        <sz val="11"/>
        <color rgb="FF000000"/>
        <rFont val="宋体"/>
        <charset val="134"/>
        <scheme val="minor"/>
      </rPr>
      <t xml:space="preserve">
</t>
    </r>
    <r>
      <rPr>
        <sz val="11"/>
        <color rgb="FF000000"/>
        <rFont val="宋体"/>
        <charset val="134"/>
        <scheme val="minor"/>
      </rPr>
      <t>4、⽇期码请按ZURU标准版执⾏即可</t>
    </r>
    <r>
      <rPr>
        <sz val="11"/>
        <color rgb="FF000000"/>
        <rFont val="宋体"/>
        <charset val="134"/>
        <scheme val="minor"/>
      </rPr>
      <t xml:space="preserve">
</t>
    </r>
    <r>
      <rPr>
        <sz val="11"/>
        <color rgb="FF000000"/>
        <rFont val="宋体"/>
        <charset val="134"/>
        <scheme val="minor"/>
      </rPr>
      <t>5、ZURU OQC 验货</t>
    </r>
  </si>
  <si>
    <t>CANADIAN  TIRE</t>
  </si>
  <si>
    <t>01941015</t>
  </si>
  <si>
    <t>4500215240-10</t>
  </si>
  <si>
    <t>8/19-8/21</t>
  </si>
  <si>
    <t>UPC 贴纸 ， UPC 193052079404,贴纸翻单4500189941</t>
  </si>
  <si>
    <t>日期码格式：ZURU  INC(BVI)  标准格式                                    日期：按实际生产日期
Packaging Info: 77673TQ1    MA  多语包装+UPC  贴纸  ，    UPC    193052079404,贴纸翻单4500189941
Remark: 出加拿大
Zuru验货. 日期跟踪码:产品外包装及产品本身都必须有日期跟踪码，ZURU标准格式
日期码</t>
  </si>
  <si>
    <t>Bella  Tan</t>
  </si>
  <si>
    <t>MULTIHEXA  SDN  BHD</t>
  </si>
  <si>
    <t>4500215347-20</t>
  </si>
  <si>
    <t>1张通用进口商贴纸,贴纸图稿和位置图翻单4500195521</t>
  </si>
  <si>
    <r>
      <rPr>
        <sz val="11"/>
        <color rgb="FF000000"/>
        <rFont val="宋体"/>
        <charset val="134"/>
      </rPr>
      <t xml:space="preserve">日期码格式：ZURU INC(BVI) 标准格式 日期：按实际生产日期
Packaging Info: </t>
    </r>
    <r>
      <rPr>
        <sz val="11"/>
        <color rgb="FFFF0000"/>
        <rFont val="宋体"/>
        <charset val="134"/>
      </rPr>
      <t>77673/77794UQ1/77772GQ2-MA UPC包装</t>
    </r>
    <r>
      <rPr>
        <sz val="11"/>
        <color rgb="FF000000"/>
        <rFont val="宋体"/>
        <charset val="134"/>
      </rPr>
      <t>(优先1L)+1张通用进口商贴纸,贴纸图稿和位置图翻单如下
77673/77803GQ2-4500195521
Remark: 77673-Fixed Collection</t>
    </r>
  </si>
  <si>
    <t>Emma  Wu</t>
  </si>
  <si>
    <t>EL  CORTE  INGLES,S.A</t>
  </si>
  <si>
    <t>4500214935-20</t>
  </si>
  <si>
    <t>EAN条码贴纸+8/6寄出一张客供RFID贴纸；(条码贴纸翻单4500166563）</t>
  </si>
  <si>
    <t>都需要增加WEEE通用29L说明书</t>
  </si>
  <si>
    <t>外箱+2pcs  条码贴（此贴纸客供）</t>
  </si>
  <si>
    <t>7/25安排</t>
  </si>
  <si>
    <t>日期码格式：ZURU  INC(BVI)  标准格式                                    日期：按实际生产日期
Packaging Info: 
77785：最新客版彩盒+EAN条码贴纸+一张客供RFID贴纸；(条码贴纸翻单4500166563）；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5.外箱+2pcs  条码贴（此贴纸客供）
6.订单出两个港口Madrid和Barcelona，出不同港口的外箱不同
6.订单需要签办及第三方验货，请按时完工。
7.大货样品3套/item，请多备料。</t>
  </si>
  <si>
    <t>4500214935-60</t>
  </si>
  <si>
    <t>01804969</t>
  </si>
  <si>
    <t>4500215426-10</t>
  </si>
  <si>
    <t>加UPC贴纸, 贴纸翻单4500189941</t>
  </si>
  <si>
    <t>日期码格式：ZURU  INC(BVI)  标准格式                                    日期：按实际生产日期
Packaging Info: 77673TQ1：    MA  3L  加UPC贴纸,  贴纸翻单4500189941
Remark: 出加拿大
Zuru验货. 日期跟踪码：产品外包装及产品本身都必须有日期跟踪码，ZURU标准格式日期码</t>
  </si>
  <si>
    <t>4500215017</t>
  </si>
  <si>
    <t>1007021913</t>
  </si>
  <si>
    <t>4500215017-20</t>
  </si>
  <si>
    <t>7/24 RFID贴纸</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</si>
  <si>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
   77673：4pcs/PDQ/CTN</t>
  </si>
  <si>
    <t>1007021926</t>
  </si>
  <si>
    <t>4500215017-40</t>
  </si>
  <si>
    <t>1007021956</t>
  </si>
  <si>
    <t>4500215017-60</t>
  </si>
  <si>
    <t>1007021959</t>
  </si>
  <si>
    <t>4500215017-70</t>
  </si>
  <si>
    <t>4500208121</t>
  </si>
  <si>
    <t>1002450752</t>
  </si>
  <si>
    <t>4500208121-20</t>
  </si>
  <si>
    <t>日期码格式：ZURU INC(BVI) 标准格式                  日期：按实际生产日期
Packaging Info: 1.包装要求：
77785：客版1L 彩盒
77711: 客版1L 无条码收缩膜+MA 2L B版收藏指南+MA B版说明书
77673: MA 1L B版收缩膜+MA 5L A版收藏指南+MA B版说明书
翻单：4500208119
每pcs产品上要贴1张RFID贴纸，贴纸由ZURU提供，贴纸位置请严格按照我们签回的签板；
Remark: 1.包装要求：
77785：客版1L 彩盒
77711: 客版1L 无条码收缩膜+MA 2L B版收藏指南+MA B版说明书
77673: MA 1L B版收缩膜+MA 5L A版收藏指南+MA B版说明书
翻单：4500208119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77785外箱正唛和侧唛两面偏下方印刷黄色贴纸，使用Yellow U色号
3. 在产品上和包装上要有日期码、以及要有MADE IN CHINA和ZURU字样；
4. 产品如有扎带口要剪平，不能刮手。
5. 此单需要验货，请多备料
6. 此单以loose carton出货，
77785：8pcs/CTN</t>
  </si>
  <si>
    <t>COMERCIAL  JOMAN  S.L.</t>
  </si>
  <si>
    <t>4500216056-70</t>
  </si>
  <si>
    <t>一张进口商内容贴纸；（贴纸翻单4500187980）；</t>
  </si>
  <si>
    <t>日期码格式：ZURU  INC(BVI)  标准格式                                    日期：按实际生产日期
Packaging Info: 
77673:最新MA  3L  EAN版本包装+一张进口商内容贴纸+MA  23L说明书+最新WEEE带电池走货欧洲29L通用黑白说明书；（贴纸翻单4500187980）；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</si>
  <si>
    <t>CRACKER  BARREL</t>
  </si>
  <si>
    <t>4500213036</t>
  </si>
  <si>
    <t>308469</t>
  </si>
  <si>
    <t>4500213036-20</t>
  </si>
  <si>
    <t>客版价格贴纸+7/13 SSCC  label  外箱贴，客版价格贴纸AW  及贴纸位置都翻单PO#4500186227;</t>
  </si>
  <si>
    <t>日期码格式：ZURU  INC(BVI)  标准格式                                    日期：按实际生产日期
Packaging Info: 1.  item#77711:  MA  UPC  最新版本包装(  优先1L）+  客版内袋  +客版价格贴纸+SSCC  label  外箱贴，
客版内袋AW  和  客版价格贴纸AW  及贴纸位置  都翻单PO#4500186208;
   2.  item#77673:  MA  UPC  最新版本包装(  优先1L）+客版价格贴纸+SSCC  label  外箱贴，客版价格贴纸AW  及贴纸位置都翻单PO#4500186227;
   3.  SSCC  label  外箱贴资料跟单提供，由工厂自行订购。
Remark: 1.  外箱贴打印常规  4"x6"  Standard  Label  Stock,  只需贴一面(正唛）,  优先贴在纸箱的右上方空白处，不可以盖住外箱上的其他信息及标签，可适当调整位置。
   2.  客版内袋  INNER  POLYBAG的美国标准警示语内容为：
WARNING:  TO  AVOID  DANGER  OF  SUFFOCATION,  KEEP  THIS  BAG  AWAY  FROM  BABIES  AND  CHILDREN.  DO  NOT  USE  IN  CRIBS,  BEDS,  CARRIAGES  OR  PLAY  PENS.  THIS  B
AG  IS  NOT  A  TOY.  KNOT  UP  BAG  BEFORE  THROWING  AWAY.
3.  产品及包装上都要有日期码，日期码是一致的（但不能为周末)，格式为ZURU标准格式</t>
  </si>
  <si>
    <t>Emily    Wu</t>
  </si>
  <si>
    <t>4500215872-20</t>
  </si>
  <si>
    <t>日期码格式：ZURU INC(BVI) 标准格式                  日期：按实际生产日期
Packaging Info: 1. 包装方式：MA UPC 优先1L 最新包装，出口美国
Remark: 2. 外箱箱唛红色和黑色双色印刷
 3. 产品和包装上印刷tracking code信息，格式为ZURU常规</t>
  </si>
  <si>
    <t>ZMPO260920</t>
  </si>
  <si>
    <t>ZMPO260920-20</t>
  </si>
  <si>
    <t>4500214939-50</t>
  </si>
  <si>
    <t>7/20 进口商贴纸，产品包装和PDQ都需要贴纸</t>
  </si>
  <si>
    <t>6.有关PDQ/展示架的贴纸位置图，客户要求我们贴在PDQ/展示架的底部，这样客户在打开外箱的时候不需要取出产品，即可以扫描条码，在做大货前需帮忙复查下设
计提供的贴纸位置图是否都贴到了底部，避免客诉发生；</t>
  </si>
  <si>
    <r>
      <rPr>
        <sz val="11"/>
        <color rgb="FF000000"/>
        <rFont val="宋体"/>
        <charset val="134"/>
      </rPr>
      <t xml:space="preserve">日期码格式：ZURU INC(BVI) 标准格式 日期：按实际生产日期
Packaging Info: 
</t>
    </r>
    <r>
      <rPr>
        <sz val="11"/>
        <color rgb="FFFF0000"/>
        <rFont val="宋体"/>
        <charset val="134"/>
      </rPr>
      <t>77673：最新【MA 3L 收缩膜含EAN条码+进口商贴纸】+MA 最新5L收藏指南，MA 最新23L说明书（产品包装和PDQ都需要贴纸）+WEEE带电池走货欧洲29L通用黑白说明
书;</t>
    </r>
    <r>
      <rPr>
        <sz val="11"/>
        <color rgb="FF000000"/>
        <rFont val="宋体"/>
        <charset val="134"/>
      </rPr>
      <t xml:space="preserve">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00"/>
        <rFont val="宋体"/>
        <charset val="134"/>
      </rPr>
      <t>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t>
    </r>
  </si>
  <si>
    <t>DIAMANT TOYS LTD</t>
  </si>
  <si>
    <t>以色列</t>
  </si>
  <si>
    <t>57154</t>
  </si>
  <si>
    <t>4500216476-80</t>
  </si>
  <si>
    <t>7/23 进口商贴纸；PDQ+进口商贴纸</t>
  </si>
  <si>
    <t>日期码格式：ZURU INC(BVI) 标准格式                  日期：按实际生产日期
Packaging Info:
77673TQ1：MA 1L UPC包装+进口商贴纸；PDQ+进口商贴纸
Remark：</t>
  </si>
  <si>
    <t>1007882532</t>
  </si>
  <si>
    <t>4500214819-10</t>
  </si>
  <si>
    <t>8/26 BV</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</si>
  <si>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</si>
  <si>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7000995954</t>
  </si>
  <si>
    <t>4500212526-20</t>
  </si>
  <si>
    <t>8/28 BV验货</t>
  </si>
  <si>
    <t>白色贴纸(覆盖77673/77711对应条码)翻单：4500212396</t>
  </si>
  <si>
    <t>4. #9561/77785须于7/28安排签板，签板数量：大货样各5pcs+齐套散件各3sets
5. #9561/77785须于8/5安排抽板测试，抽板数量：
9561：大货4pcs+齐套散件4sets
77785：大货4pcs+齐套散件4sets</t>
  </si>
  <si>
    <r>
      <rPr>
        <sz val="11"/>
        <color rgb="FF000000"/>
        <rFont val="宋体"/>
        <charset val="134"/>
      </rPr>
      <t>日期码格式：ZURU INC(BVI) 标准格式 日期：按实际生产日期
Packaging Info
#77785 NA版本：
客版3L彩盒(193052104984)+</t>
    </r>
    <r>
      <rPr>
        <sz val="11"/>
        <color rgb="FFFF0000"/>
        <rFont val="宋体"/>
        <charset val="134"/>
      </rPr>
      <t>客版3L收缩膜(77673)+客版2L收缩膜NA版本(77711)+MA多语内包材</t>
    </r>
    <r>
      <rPr>
        <sz val="11"/>
        <color rgb="FF000000"/>
        <rFont val="宋体"/>
        <charset val="134"/>
      </rPr>
      <t xml:space="preserve">
翻单：4500212396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</si>
  <si>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新客版收缩膜，已完成签板</t>
  </si>
  <si>
    <t>1007021923</t>
  </si>
  <si>
    <t>4500216020-10</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</si>
  <si>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</si>
  <si>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1007021935</t>
  </si>
  <si>
    <t>4500216020-30</t>
  </si>
  <si>
    <t>1007021986</t>
  </si>
  <si>
    <t>4500216020-60</t>
  </si>
  <si>
    <t>4500211485-40</t>
  </si>
  <si>
    <t>欠需要准备每款2套大货样，请注意备料。</t>
  </si>
  <si>
    <r>
      <rPr>
        <sz val="11"/>
        <rFont val="宋体"/>
        <charset val="134"/>
      </rPr>
      <t>日期码格式：ZURU INC(BVI) 标准格式</t>
    </r>
    <r>
      <rPr>
        <sz val="11"/>
        <color rgb="FF000000"/>
        <rFont val="宋体"/>
        <charset val="134"/>
      </rPr>
      <t xml:space="preserve">                  日期：按实际生产日期
Packaging Info: 
77673：最新MA 3L EAN版本包装+MA 23L说明书+最新WEEE带电池走货欧洲29L通用黑白说明书；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</si>
  <si>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4500211485-50</t>
  </si>
  <si>
    <t>条码贴纸翻单4500206343</t>
  </si>
  <si>
    <r>
      <rPr>
        <sz val="11"/>
        <rFont val="宋体"/>
        <charset val="134"/>
      </rPr>
      <t>日期码格式：ZURU INC(BVI) 标准格式</t>
    </r>
    <r>
      <rPr>
        <sz val="11"/>
        <color rgb="FF000000"/>
        <rFont val="宋体"/>
        <charset val="134"/>
      </rPr>
      <t xml:space="preserve">                  日期：按实际生产日期
Packaging Info:
77785：最新客版彩盒+EAN贴纸；(条码贴纸翻单4500206343）；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</si>
  <si>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6006-014363</t>
  </si>
  <si>
    <t>4500214715-40</t>
  </si>
  <si>
    <t>日期码格式：ZURU INC(BVI) 标准格式 日期：按实际生产日期
Packaging Info:
77673TQ1： MA PDQ, 1L PKG + 1 张通用进口商贴纸（贴冰箱背面空白处，不遮挡日期码），MA 说明书
Remark:</t>
  </si>
  <si>
    <t>M&amp;Z SP. Z O.O.</t>
  </si>
  <si>
    <t>4500214321</t>
  </si>
  <si>
    <t>4500214321-70</t>
  </si>
  <si>
    <t>7/21 1张进口商贴纸(含波兰语警语)+1张波兰语收藏指南贴纸</t>
  </si>
  <si>
    <t>7/25 请备多1套大货样品；</t>
  </si>
  <si>
    <r>
      <rPr>
        <sz val="11"/>
        <color rgb="FF000000"/>
        <rFont val="宋体"/>
        <charset val="134"/>
      </rPr>
      <t>日期码格式：ZURU INC(BVI) 标准格式 日期：按实际生产日期
Packaging Info: 
77673：MA3L EAN收缩膜+1张进口商贴纸(含波兰语警语)+MA5L收藏指南+</t>
    </r>
    <r>
      <rPr>
        <sz val="11"/>
        <color rgb="FFFF0000"/>
        <rFont val="宋体"/>
        <charset val="134"/>
      </rPr>
      <t>1张波兰语收藏指南贴纸</t>
    </r>
    <r>
      <rPr>
        <sz val="11"/>
        <color rgb="FF000000"/>
        <rFont val="宋体"/>
        <charset val="134"/>
      </rPr>
      <t xml:space="preserve">+MA23L说明书+最新EU通用WEEE 带电池出货声明书
Remark: 1. 请备多1套大货样品；
2. 此票出波兰，无需客验，通过ZURU验货即可出货，请确保大货符合EU市场法规；
3. 此票使用EAN条码；
</t>
    </r>
    <r>
      <rPr>
        <sz val="11"/>
        <color rgb="FFFF0000"/>
        <rFont val="宋体"/>
        <charset val="134"/>
      </rPr>
      <t>4. PDQ都需要增加1张欧盟地址贴纸(贴PDQ背面空白处即可)</t>
    </r>
  </si>
  <si>
    <t>4500216252-20</t>
  </si>
  <si>
    <t>8/28 BV</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</si>
  <si>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</si>
  <si>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4500216252-40</t>
  </si>
  <si>
    <t>4500216252-60</t>
  </si>
  <si>
    <t>8/31 BV</t>
  </si>
  <si>
    <t>4500216252-90</t>
  </si>
  <si>
    <t>4500216252-110</t>
  </si>
  <si>
    <t>4500201760-10</t>
  </si>
  <si>
    <t>7/8 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</si>
  <si>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item#77673: Marshalls PO#127328,SKU#924897 DC#881-204PCS, DC#884-180PCS, DC#886-240PCS, DC#887-204PCS, DC#888-168PCS</t>
  </si>
  <si>
    <t>4500201762-10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</si>
  <si>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item#77673: TJ MAXX PO#127341,SKU#204267 DC#891-264PCS, DC#894-204PCS, DC#896-168PCS, DC#897-360PCS, DC#898-204PCS</t>
  </si>
  <si>
    <t>4500209173</t>
  </si>
  <si>
    <t>60302391</t>
  </si>
  <si>
    <t>4500209173-30</t>
  </si>
  <si>
    <t>7/3 客供贴纸</t>
  </si>
  <si>
    <t>日期码格式：ZURU INC(BVI) 标准格式                  日期：按实际生产日期
Packaging Info: 1.Cus Item
#77785：MA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</si>
  <si>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W0779376</t>
  </si>
  <si>
    <t>4500216488-20</t>
  </si>
  <si>
    <t>7/27价格贴纸+条码贴纸共2张</t>
  </si>
  <si>
    <t>4500208125</t>
  </si>
  <si>
    <t>1002450635</t>
  </si>
  <si>
    <t>4500208125-20</t>
  </si>
  <si>
    <t>7/3 RFID贴纸</t>
  </si>
  <si>
    <t>日期码格式：ZURU INC(BVI) 标准格式                  日期：按实际生产日期
Packaging Info: 1.包装要求：
77785：客版1L 彩盒
77711: 客版1L 无条码收缩膜+MA 2L B版收藏指南+MA B版说明书
77673: MA 1L B版收缩膜+MA 5L A版收藏指南+MA B版说明书
翻单：4500208119
每pcs产品上要贴1张RFID贴纸，贴纸由ZURU提供，贴纸位置请严格按照我们签回的签板；
Remark: 1.包装要求：
77785：客版1L 彩盒
77711: 客版1L 无条码收缩膜+MA 2L B版收藏指南+MA B版说明书
77673: MA 1L B版收缩膜+MA 5L A版收藏指南+MA B版说明书
翻单：4500208119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77785外箱正唛和侧唛两面偏下方印刷黄色贴纸，使用Yellow U色号
3. 在产品上和包装上要有日期码、以及要有MADE IN CHINA和ZURU字样；
4. 产品如有扎带口要剪平，不能刮手。
5. 此单需要验货，请多备料
6. 此单以loose carton出货，
9561：1pc/CTN
77785：8pcs/CTN</t>
  </si>
  <si>
    <t>4500209904</t>
  </si>
  <si>
    <t>7137243629</t>
  </si>
  <si>
    <t>4500209904-10</t>
  </si>
  <si>
    <t>9/2 BV验货 MO20260519手工单转实单</t>
  </si>
  <si>
    <r>
      <rPr>
        <sz val="11"/>
        <rFont val="宋体"/>
        <charset val="134"/>
      </rPr>
      <t>日期码格式：ZURU</t>
    </r>
    <r>
      <rPr>
        <sz val="11"/>
        <color rgb="FF000000"/>
        <rFont val="宋体"/>
        <charset val="134"/>
      </rPr>
      <t xml:space="preserve">  INC(BVI)  标准格式                                    日期：按实际生产日期
Packaging Info: 1.包装要求：
77785PLD:  客版1L展示架+客版1L  彩盒
77673-  MA  1L  B版收缩膜+MA  5L  A版收藏指南+MA  B版说明书
每pcs产品上要贴1张RFID贴纸，贴纸由ZURU提供，贴纸位置请严格按照我们签回的签板；
Remark: 1.包装要求：
77785PLD:  客版1L展示架+客版1L  彩盒
77673-  MA  1L  B版收缩膜+MA  5L  A版收藏指南+MA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Loading：2Wx4Dx3H  =24pcs/Display/Carton</t>
    </r>
  </si>
  <si>
    <t>7137243633</t>
  </si>
  <si>
    <t>4500209904-20</t>
  </si>
  <si>
    <t>4500216548-30</t>
  </si>
  <si>
    <t>日期码格式：ZURU INC(BVI) 标准格式                  日期：按实际生产日期
Packaging Info: 
"77673TQ1: 最新MA 3L EAN配套包装+WEEE声明(带电池)走货欧洲通用29L-D版说明书
EAN: 4894680042773"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</si>
  <si>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4500216548-40</t>
  </si>
  <si>
    <t>Warehouse 1</t>
  </si>
  <si>
    <t>4500216583-190</t>
  </si>
  <si>
    <t>7/29 UPC 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</si>
  <si>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77673 MA 多语 EAN 包装+UPC 贴纸+MA 多语收藏指南+箱唛
Remark:
Common: Equal ratio"
77673 3PCS AG13 BATTERIES(INCLUDED) Fixed Collection</t>
  </si>
  <si>
    <t>4500216641-50</t>
  </si>
  <si>
    <t>翻单：  4500204920</t>
  </si>
  <si>
    <t>日期码格式：ZURU INC(BVI) 标准格式                  日期：按实际生产日期
Packaging Info: 物料要求 SKU
3.77785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  4500204920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</si>
  <si>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4500216641-10</t>
  </si>
  <si>
    <t>日期码格式：ZURU INC(BVI) 标准格式                  日期：按实际生产日期
Packaging Info: 物料要求 SKU
1 77673 MA +中文说明书+3C中文贴纸 +收藏指南 翻单：  4500204920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</si>
  <si>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4500216641-20</t>
  </si>
  <si>
    <t>4500216256-20</t>
  </si>
  <si>
    <t>9/2 BV</t>
  </si>
  <si>
    <t>日期码格式：ZURU  INC(BVI)  标准格式                                    日期：按实际生产日期
Packaging Info: 1.包装要求：
77673TQ1-S001:  MA  1L  B版收缩膜+MA  5L  A版收藏指南+MA  B版说明书+MA  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</si>
  <si>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4500212527</t>
  </si>
  <si>
    <t>4500212527-20</t>
  </si>
  <si>
    <t>9/1 BV验货</t>
  </si>
  <si>
    <t xml:space="preserve">已安排 4. #9561/77785须于7/28安排签板，签板数量：大货样各5pcs+齐套散件各3sets
5. #9561/77785须于8/5安排抽板测试，抽板数量：
9561：大货4pcs+齐套散件4sets
77785：大货4pcs+齐套散件4sets
</t>
  </si>
  <si>
    <r>
      <rPr>
        <sz val="11"/>
        <color rgb="FF000000"/>
        <rFont val="宋体"/>
        <charset val="134"/>
      </rPr>
      <t>日期码格式：ZURU INC(BVI) 标准格式 日期：按实际生产日期
Packaging Info: 
#77785 NA版本：
客版3L彩盒(193052104984)+</t>
    </r>
    <r>
      <rPr>
        <sz val="11"/>
        <color rgb="FFFF0000"/>
        <rFont val="宋体"/>
        <charset val="134"/>
      </rPr>
      <t>客版3L收缩膜(77673)+客版2L收缩膜NA版本(77711)+MA多语内包材</t>
    </r>
    <r>
      <rPr>
        <sz val="11"/>
        <color rgb="FF000000"/>
        <rFont val="宋体"/>
        <charset val="134"/>
      </rPr>
      <t xml:space="preserve">
翻单：4500212396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</si>
  <si>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4500209946</t>
  </si>
  <si>
    <t>4500209946-10</t>
  </si>
  <si>
    <t>4500208127</t>
  </si>
  <si>
    <t>4500208127-20</t>
  </si>
  <si>
    <t>9/1 bv</t>
  </si>
  <si>
    <t>4500215784-60</t>
  </si>
  <si>
    <t>9/1第三方</t>
  </si>
  <si>
    <t>日期码格式：ZURU INC(BVI) 标准格式                  日期：按实际生产日期
Packaging Info: 
#77673：
MA3L收缩膜(B)+UPC贴纸(UPC:193052079404)+MA23L说明书(B)+MA5L收藏指南+MA5L,UV胶瓶身贴
(UPC贴纸翻单：4500160504)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</si>
  <si>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4500209947</t>
  </si>
  <si>
    <t>4500209947-10</t>
  </si>
  <si>
    <t>MO20260519手工单转实单</t>
  </si>
  <si>
    <t>4500216631-80</t>
  </si>
  <si>
    <t>日期码格式：ZURU INC(BVI) 标准格式                  日期：按实际生产日期
Packaging Info: 1. 出口美国，  MA UPC 版本包装，优先1L。
2.
 77673,3PCS AG13 BATTERIES(INCLUDED). UPC#193052079404
Remark: 3. ZURU QC 验货即可。</t>
  </si>
  <si>
    <t>4500217222</t>
  </si>
  <si>
    <t>4500217222-60</t>
  </si>
  <si>
    <t>1张PDQ条码贴纸(翻单4500208613)+7/24 ZURU地址_PDQ通用贴+德语警语贴纸(翻单#4500161168)++Kinderherz 2025 logo贴纸(翻单4500166480)</t>
  </si>
  <si>
    <t>7/25 此单出货前需要提供3套大货样品给客人确认放货，需准时寄出避免影响出货</t>
  </si>
  <si>
    <t>日期码格式：194549/09/2026 日期：
Packaging Info: 
77673TQ1: 最新MA 3L PDQ+1张PDQ条码贴纸(翻单4500208613)+ZURU地址_PDQ通用贴+3LEAN包装+德语警语贴纸(翻单#4500161168)+5L收藏指南+5L纸袋+23L说明书+
欧洲通用29L WEEE说明书(带电池)+Kinderherz 2025 logo贴纸(翻单4500166480)
Remark: 1. 出口欧洲，微塑料需符合法规。
2. 产品，包装，外箱Batch code: 194549/09/2026,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此客户要求产品身上需要加字唛，为ZURU FRANCE 地址，需跟包装上的地址一致 (如产品布标有此地址，或产品太小无法增加可忽略此信息。如电子产品无法加
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</si>
  <si>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0003451322</t>
  </si>
  <si>
    <t>4500217079-10</t>
  </si>
  <si>
    <t>8/10 RFID贴纸</t>
  </si>
  <si>
    <t>日期码格式：ZURU  INC(BVI) 标准格式                                    日期：按实际生产日期
Packaging Info: 1 .包装要求：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</si>
  <si>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0003451327</t>
  </si>
  <si>
    <t>4500217079-30</t>
  </si>
  <si>
    <t>0003451305</t>
  </si>
  <si>
    <t>4500217079-40</t>
  </si>
  <si>
    <t>0003451287</t>
  </si>
  <si>
    <t>4500217079-50</t>
  </si>
  <si>
    <t>0003451303</t>
  </si>
  <si>
    <t>4500217079-80</t>
  </si>
  <si>
    <t>4500216820-10</t>
  </si>
  <si>
    <t>日期码格式：ZURU INC(BVI) 标准格式                  日期：按实际生产日期
Packaging Info: MA 1L UPC PKG
Remark：</t>
  </si>
  <si>
    <t>4500211446</t>
  </si>
  <si>
    <t>70089478</t>
  </si>
  <si>
    <t>4500211446-20</t>
  </si>
  <si>
    <t>8/6 客供贴纸</t>
  </si>
  <si>
    <t>优先使用MA 1L最新版本(翻单4500199536</t>
  </si>
  <si>
    <r>
      <rPr>
        <sz val="11"/>
        <rFont val="宋体"/>
        <charset val="134"/>
      </rPr>
      <t>日期码格式：ZURU INC(BVI) 标准格式</t>
    </r>
    <r>
      <rPr>
        <sz val="11"/>
        <color rgb="FF000000"/>
        <rFont val="宋体"/>
        <charset val="134"/>
      </rPr>
      <t xml:space="preserve">                  日期：按实际生产日期
Packaging Info: 1.Cus Item
#77785：MA UPC + 客版彩盒 + 客供贴纸, 优先使用MA 1L最新版本(翻单4500199536），出口美国。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r>
  </si>
  <si>
    <t>TJX  UK  C/O  TJX  DISTRIBUTION  LTD  &amp;  C</t>
  </si>
  <si>
    <t>4500215662-20</t>
  </si>
  <si>
    <t>7/31 一张客供价格贴纸+一张警告语贴纸（德语/波兰语/荷兰语）翻单：4500201132+8/3 一张地址贴纸贴彩盒，翻单:450
 0205118</t>
  </si>
  <si>
    <r>
      <rPr>
        <sz val="11"/>
        <color rgb="FF000000"/>
        <rFont val="宋体"/>
        <charset val="134"/>
      </rPr>
      <t>日期码格式：ZURU INC(BVI) 标准格式 日期：按实际生产日期 Tracking Code:
Packaging Info: 
 77785:MA 3L UPC包装+一张客供价格贴纸+一张警告语贴纸（德语/波兰语/荷兰语）翻单：4500201132+D版29L带电池出货版本WEEE说明书+</t>
    </r>
    <r>
      <rPr>
        <sz val="11"/>
        <color rgb="FFF7241F"/>
        <rFont val="宋体"/>
        <charset val="134"/>
      </rPr>
      <t>一张地址贴纸，翻单:450
 0205118</t>
    </r>
    <r>
      <rPr>
        <sz val="11"/>
        <color rgb="FF000000"/>
        <rFont val="宋体"/>
        <charset val="134"/>
      </rPr>
      <t xml:space="preserve">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r>
  </si>
  <si>
    <t>Meyya  Liu</t>
  </si>
  <si>
    <t>0004811704</t>
  </si>
  <si>
    <t>4500217255-20</t>
  </si>
  <si>
    <t>日期码格式：ZURU  INC(BVI) 标准格式                                    日期：按实际生产日期
Packaging Info: 1 .包装要求：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</si>
  <si>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4500217393-10</t>
  </si>
  <si>
    <t>此单有第三方监柜，至少多备一套完整的物料用于监柜，请多备料。</t>
  </si>
  <si>
    <t>3张不同进口商贴纸分别贴到产品/包装/说明书上，此款保证
书翻单PO4500167348，所有贴纸翻单PO4500198544</t>
  </si>
  <si>
    <t>日期码格式：LOT+ZURU标准日期码格式                                    日期：按实际生产日期
Packaging Info:
  2.  77673：3L EAN收缩膜+  UPC条码贴纸+  MA多语说明书+MA 5L收藏指南+进口商贴纸+箱唛+保证书，3张不同进口商贴纸分别贴到产品/包装/说明书上，此款保证
书翻单PO4500167348，所有贴纸翻单PO4500198544
Remark: 1. 客版日期码要求：LOT+ZURU标准日期码格式。东莞生产的格式：LOTDGYYYYMMDD,DG是东莞拼音首字母，YYYYMMDD是实际的年月日，例如(LOTDG20240920)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77673：每箱需放置4包干燥剂，每包重2-3g
  4. 77673：3PCS AG13 BATTERIES(INCLUDED)
如走柜货等loading  plan  确认后再通知集装箱干燥剂数量</t>
  </si>
  <si>
    <t>JUGUETIBICI, SA   DE  C  V</t>
  </si>
  <si>
    <t>4500217509-30</t>
  </si>
  <si>
    <t>此单有监装要求，请每款多备1pc监柜样板</t>
  </si>
  <si>
    <t>UPC条码贴纸+进口商贴纸，所有贴纸翻单PO4500209903</t>
  </si>
  <si>
    <t>8/7 保证书</t>
  </si>
  <si>
    <r>
      <rPr>
        <sz val="11"/>
        <color rgb="FF000000"/>
        <rFont val="宋体"/>
        <charset val="134"/>
      </rPr>
      <t>日期码格式：ZURU INC(BVI) 标准格式 日期：按实际生产日期
Packaging Info:
77673:</t>
    </r>
    <r>
      <rPr>
        <sz val="11"/>
        <color rgb="FFFF0000"/>
        <rFont val="宋体"/>
        <charset val="134"/>
      </rPr>
      <t xml:space="preserve"> MA </t>
    </r>
    <r>
      <rPr>
        <sz val="11"/>
        <color rgb="FF000000"/>
        <rFont val="宋体"/>
        <charset val="134"/>
      </rPr>
      <t>3L EAN包装+UPC条码贴纸+进口商贴纸+保证书+箱唛，</t>
    </r>
    <r>
      <rPr>
        <sz val="11"/>
        <color rgb="FFFF0000"/>
        <rFont val="宋体"/>
        <charset val="134"/>
      </rPr>
      <t>所有贴纸翻单PO4500209903</t>
    </r>
    <r>
      <rPr>
        <sz val="11"/>
        <color rgb="FF000000"/>
        <rFont val="宋体"/>
        <charset val="134"/>
      </rPr>
      <t xml:space="preserve">
Remark: 此单有监装要求，请每款多备1pc监柜样板</t>
    </r>
  </si>
  <si>
    <t>4500211448</t>
  </si>
  <si>
    <t>60302428</t>
  </si>
  <si>
    <t>4500211448-10</t>
  </si>
  <si>
    <r>
      <rPr>
        <sz val="11"/>
        <rFont val="宋体"/>
        <charset val="134"/>
      </rPr>
      <t>日期码格式：ZURU INC(BVI) 标准格式</t>
    </r>
    <r>
      <rPr>
        <sz val="11"/>
        <color rgb="FF000000"/>
        <rFont val="宋体"/>
        <charset val="134"/>
      </rPr>
      <t xml:space="preserve">                  日期：按实际生产日期
Packaging Info: 1.Cus Item
#77785：MA UPC + 客版彩盒 + 客供贴纸, 优先使用MA 1L最新版本(翻单4500199536），出口美国。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t>
    </r>
  </si>
  <si>
    <t>6006-014364</t>
  </si>
  <si>
    <t>4500215819-30</t>
  </si>
  <si>
    <t>8/7 1 张通用进口商贴纸（贴冰箱背面空白处，不遮挡日期码）</t>
  </si>
  <si>
    <t>4500209952</t>
  </si>
  <si>
    <t>7137243630</t>
  </si>
  <si>
    <t>4500209952-10</t>
  </si>
  <si>
    <t>0003451278</t>
  </si>
  <si>
    <t>4500217083-20</t>
  </si>
  <si>
    <t>0999666929</t>
  </si>
  <si>
    <t>4500208737-10</t>
  </si>
  <si>
    <t>ZB07041</t>
  </si>
  <si>
    <t>4500215584-00030-20260914</t>
  </si>
  <si>
    <t>MPO11007-30</t>
  </si>
  <si>
    <t>PO0001977</t>
  </si>
  <si>
    <t>4500216953-40</t>
  </si>
  <si>
    <t>UPC 贴纸翻单4500189941+ 进口商贴纸翻单4500207609</t>
  </si>
  <si>
    <t>日期码格式：ZURU INC(BVI) 标准格式 日期：按实际生产日期 Tracking Code:
Packaging Info: 
 77673: MA 3L 加UPC贴纸,UPC 贴纸翻单4500189941
Remark: 出加拿大
 每款产品都需要加进口商贴纸, 进口商贴纸翻单4500207609
Zuru验货.日期跟踪码：产品外包装及产品本身都必须有日期跟踪码，ZURU标准格式日期码</t>
  </si>
  <si>
    <t>AG260206-HK</t>
  </si>
  <si>
    <t>4500217300-40</t>
  </si>
  <si>
    <t>8/5 1张客供警语贴+1张客供电池警语贴纸+1张客供中文警告说明书</t>
  </si>
  <si>
    <t>2BZEPRCS</t>
  </si>
  <si>
    <t>4500217589-320</t>
  </si>
  <si>
    <r>
      <rPr>
        <sz val="11"/>
        <color rgb="FF000000"/>
        <rFont val="宋体"/>
        <charset val="134"/>
      </rPr>
      <t>1.空白外箱（加印带Zuru字样的最新logo，除了邮包盒直接做外箱的产品）    +  SSCC  LABEL一张,  无箱唛，MADE  IN  CHINA  外箱只印一正一侧且正唛一面右下角需加
印法国地址：ZURU  FRANCE.  33  rue  Paul  Meurice  75020  Paris,  France及邮箱：</t>
    </r>
    <r>
      <rPr>
        <sz val="11"/>
        <color rgb="FFFF0000"/>
        <rFont val="宋体"/>
        <charset val="134"/>
      </rPr>
      <t>care@zuru.com</t>
    </r>
  </si>
  <si>
    <t>1张贴纸(含DE/IT警告语，贴彩盒，翻单PO4500197236).+欠外箱贴</t>
  </si>
  <si>
    <r>
      <rPr>
        <sz val="11"/>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
Amazon  DE(157124/157142/15785D/15788B/77878/9543E)/UK(157124/15746A/15749ABH/15750G/15752ABDH/15780BD/15787ABDE/15788G/71137/71152/77785/92119BD
/92125D/9565BE)/ES(15785AB/92146D/9565E)/FR(157140/15780B/15787DEG/15788AD/77876/92146D)/IT(15787B/15788DEGH/92146B)
  14. 77785: 1pk 77673 Fill the Fridge PLAYSET S1+ 2pk 77711 INT Capsules S1 into color box, 6color boxes/ctn; 77673:UV GLUE / 7 magnets（6 magne
ts and 1 Refrigerator magnet); 3PCS AG13 BATTERIES(INCLUDED); 77711:UV GLUE/ 1 Refrigerator Magnet; 77673: MA 3L(3L warning EAN)</t>
    </r>
    <r>
      <rPr>
        <sz val="11"/>
        <color rgb="FFFF0000"/>
        <rFont val="宋体"/>
        <charset val="134"/>
      </rPr>
      <t>B</t>
    </r>
    <r>
      <rPr>
        <sz val="11"/>
        <color rgb="FF000000"/>
        <rFont val="宋体"/>
        <charset val="134"/>
      </rPr>
      <t>收缩膜+MA 23L w
arning</t>
    </r>
    <r>
      <rPr>
        <sz val="11"/>
        <color rgb="FFFF0000"/>
        <rFont val="宋体"/>
        <charset val="134"/>
      </rPr>
      <t xml:space="preserve"> B</t>
    </r>
    <r>
      <rPr>
        <sz val="11"/>
        <color rgb="FF000000"/>
        <rFont val="宋体"/>
        <charset val="134"/>
      </rPr>
      <t xml:space="preserve">说明书+MA 5L </t>
    </r>
    <r>
      <rPr>
        <sz val="11"/>
        <color rgb="FFFF0000"/>
        <rFont val="宋体"/>
        <charset val="134"/>
      </rPr>
      <t>A</t>
    </r>
    <r>
      <rPr>
        <sz val="11"/>
        <color rgb="FF000000"/>
        <rFont val="宋体"/>
        <charset val="134"/>
      </rPr>
      <t>收藏指南+77711: MA 3L(3L warning EAN)</t>
    </r>
    <r>
      <rPr>
        <sz val="11"/>
        <color rgb="FFFF0000"/>
        <rFont val="宋体"/>
        <charset val="134"/>
      </rPr>
      <t>A</t>
    </r>
    <r>
      <rPr>
        <sz val="11"/>
        <color rgb="FF000000"/>
        <rFont val="宋体"/>
        <charset val="134"/>
      </rPr>
      <t>收缩膜+MA 5L(23L warning)</t>
    </r>
    <r>
      <rPr>
        <sz val="11"/>
        <color rgb="FFFF0000"/>
        <rFont val="宋体"/>
        <charset val="134"/>
      </rPr>
      <t>C</t>
    </r>
    <r>
      <rPr>
        <sz val="11"/>
        <color rgb="FF000000"/>
        <rFont val="宋体"/>
        <charset val="134"/>
      </rPr>
      <t>收藏指南 +</t>
    </r>
    <r>
      <rPr>
        <sz val="11"/>
        <color rgb="FFFF0000"/>
        <rFont val="宋体"/>
        <charset val="134"/>
      </rPr>
      <t>warning instruction_23L-C版说明书</t>
    </r>
    <r>
      <rPr>
        <sz val="11"/>
        <color rgb="FF000000"/>
        <rFont val="宋体"/>
        <charset val="134"/>
      </rPr>
      <t>+客版彩盒（3L (
3L warning)+新FR/DK/UK地址,</t>
    </r>
    <r>
      <rPr>
        <sz val="11"/>
        <color rgb="FFFF0000"/>
        <rFont val="宋体"/>
        <charset val="134"/>
      </rPr>
      <t>翻单PO4500194447</t>
    </r>
    <r>
      <rPr>
        <sz val="11"/>
        <color rgb="FF000000"/>
        <rFont val="宋体"/>
        <charset val="134"/>
      </rPr>
      <t>）+WEEE_带电池走货 _ 说明书欧洲EN+29L_D版+1张贴纸(含DE/IT警告语，贴彩盒，翻单PO4500197236)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</si>
  <si>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0003451290</t>
  </si>
  <si>
    <t>4500217892-10</t>
  </si>
  <si>
    <t>8/10 贴1张RFID贴纸</t>
  </si>
  <si>
    <t>日期码格式：ZURU  INC(BVI) 标准格式                                    日期：按实际生产日期
Packaging Info: 1 .包装要求：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</si>
  <si>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0004811716</t>
  </si>
  <si>
    <t>4500217892-30</t>
  </si>
  <si>
    <t>0004811709</t>
  </si>
  <si>
    <t>4500217892-40</t>
  </si>
  <si>
    <t>4500217997-20</t>
  </si>
  <si>
    <t>Kinderherz 2025 Logo贴纸(1张贴于收缩膜，1张贴于PDQ；翻单#4500166480)+新地址ZURU FRANCE.33 rue Pa
 ul Meurice 75020 Paris, France.</t>
  </si>
  <si>
    <r>
      <rPr>
        <sz val="11"/>
        <color rgb="FFFF0000"/>
        <rFont val="宋体"/>
        <charset val="134"/>
      </rPr>
      <t>展示架/PDQ的款---需要加上ZURU地址信息，请查收附件通用贴纸资料</t>
    </r>
    <r>
      <rPr>
        <sz val="11"/>
        <color rgb="FF000000"/>
        <rFont val="宋体"/>
        <charset val="134"/>
      </rPr>
      <t>；客版收缩膜C版[含英法德callout/英法德意荷警语/法国环保logo(翻PO#4500188991)+MA-23L说明书+客版收藏指南(英法德意荷)（
翻#4500155594）</t>
    </r>
  </si>
  <si>
    <t>日期码格式：ZURU  INC(BVI) 标准格式                                    日期：按实际生产日期
Packaging Info: 
"77673TQ1: 最新MA  PDQ(优先3L)+客版收缩膜C版[含英法德callout/英法德意荷警语/法国环保logo(翻PO#4500188991)+MA-23L说明书+客版收藏指南(英法德意荷)(
翻#4500155594）+WEEE声明(带电池)走货欧洲通用29L-D版说明书+Kinderherz 2025 Logo贴纸(1张贴于收缩膜，1张贴于PDQ；翻单#4500166480)
EAN: 4894680042773"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</si>
  <si>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4500218518-20</t>
  </si>
  <si>
    <t>1张小纽扣电池警告语贴纸贴于包装正面 + 2张大纽扣电池警告语贴纸附带进
 口商信息分别贴于包装背面以及说明书上（贴纸及其位置图翻单4500159576）</t>
  </si>
  <si>
    <t>日期码格式：ZURU INC(BVI) 标准格式 日期：按实际生产日期
Packaging Info: 
77673: MA_UPC版本包装（MA首选1L，如无1L可用多语且含英语的配套多语UPC包装）+ 1张小纽扣电池警告语贴纸贴于包装正面 + 2张大纽扣电池警告语贴纸附带进
口商信息分别贴于包装背面以及说明书上（贴纸及其位置图翻单4500159576）
Remark: 1.按实际生产日期;
2.出澳大利亚，请按照相应标准生产;
3.所有带纽扣电池的产品都需要在产品包装以及说明书上贴纽扣电池警告语贴纸</t>
  </si>
  <si>
    <t>0003451302</t>
  </si>
  <si>
    <t>4500217892-20</t>
  </si>
  <si>
    <t>02428648/1</t>
  </si>
  <si>
    <t>4500195635-20</t>
  </si>
  <si>
    <t>4500209953</t>
  </si>
  <si>
    <t>7137243632</t>
  </si>
  <si>
    <t>4500209953-10</t>
  </si>
  <si>
    <t>JUGUETES  Y  PELUCHES  SANCHIS  S.A.</t>
  </si>
  <si>
    <t>4500215212-10</t>
  </si>
  <si>
    <t>一张进口商内容贴纸（贴纸翻单4500190510）；</t>
  </si>
  <si>
    <t>日期码格式：ZURU INC(BVI) 标准格式 日期：按实际生产日期
Packaging Info: 77673:最新MA 3L EAN版本包装+一张进口商内容贴纸+MA 23L说明书+最新WEEE带电池走货欧洲30语通用黑白说明书；（贴纸翻单4500190510）；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</si>
  <si>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4500214354-240</t>
  </si>
  <si>
    <t>欠外箱贴纸SSCC Label'+1张说明书纽扣电池警告语贴纸+ 1张收缩膜纽扣电池警告语贴纸
（客版AW以及电池警告语贴纸&lt;(&gt;&amp;&lt;)&gt;贴纸位置图翻单PO#4500170842）</t>
  </si>
  <si>
    <t>日期码格式：ZURU  INC(BVI)  标准格式                                    日期：按实际生产日期
Packaging Info:
77785：MA  3L  UPC  彩盒包装  +  箱唛  +  外箱贴纸SSCC  Label
子件77711:  MA  3L收缩膜  +  1张空白贴纸挡住EAN条码+MA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</si>
  <si>
    <r>
      <rPr>
        <sz val="11"/>
        <color rgb="FF000000"/>
        <rFont val="宋体"/>
        <charset val="134"/>
      </rPr>
      <t>Louise</t>
    </r>
    <r>
      <rPr>
        <sz val="11"/>
        <color rgb="FF000000"/>
        <rFont val="宋体"/>
        <charset val="134"/>
        <scheme val="minor"/>
      </rPr>
      <t xml:space="preserve">  Lu</t>
    </r>
  </si>
  <si>
    <t>4500214355-220</t>
  </si>
  <si>
    <t>日期码格式：ZURU  INC(BVI)  标准格式                                    日期：按实际生产日期
Packaging Info:
77785：MA  3L  UPC  彩盒包装  +  箱唛  +  外箱贴纸SSCC  Label
子件77711:  MA  3L收缩膜  +  1张空白贴纸挡住EAN条码+MA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</si>
  <si>
    <r>
      <rPr>
        <sz val="11"/>
        <color rgb="FF000000"/>
        <rFont val="宋体"/>
        <charset val="134"/>
      </rPr>
      <t>Louise</t>
    </r>
    <r>
      <rPr>
        <sz val="11"/>
        <color rgb="FF000000"/>
        <rFont val="宋体"/>
        <charset val="134"/>
        <scheme val="minor"/>
      </rPr>
      <t xml:space="preserve">  </t>
    </r>
    <r>
      <rPr>
        <sz val="11"/>
        <color rgb="FF000000"/>
        <rFont val="宋体"/>
        <charset val="134"/>
        <scheme val="minor"/>
      </rPr>
      <t>Lu</t>
    </r>
  </si>
  <si>
    <t>MINISO  TRADING  CANADA  INC.</t>
  </si>
  <si>
    <t>4500218481-20</t>
  </si>
  <si>
    <t>4500219955拆单，总数量不变</t>
  </si>
  <si>
    <t>欠需在PDQ上加贴UPC贴纸</t>
  </si>
  <si>
    <t>日期码格式：ZURU INC(BVI) 标准格式 日期：按实际生产日期
Packaging Info: 1. 包装方式：MA UPC 3L 最新包装，出口加拿大.
 2. 产品和包装上印刷tracking code信息，格式为ZURU常规；
 3. ZURU QC 验货合格后即可出货.
Remark:
 5. 77673UQ1需在PDQ上加贴UPC贴纸，贴纸显示193052079404。AW跟单提供，工厂自行采购。</t>
  </si>
  <si>
    <t>4500219955-20</t>
  </si>
  <si>
    <t>由4500218481拆单，总数不变</t>
  </si>
  <si>
    <t>日期码格式：ZURU  INC(BVI)  标准格式                                    日期：按实际生产日期
Packaging Info: 1.  包装方式：MA  UPC  3L  最新包装，出口加拿大.
   2.  产品和包装上印刷tracking  code信息，格式为ZURU常规；
   3.  ZURU  QC  验货合格后即可出货.
Remark: 
   5.  77673UQ1需在PDQ上加贴UPC贴纸，贴纸显示193052079404。AW跟单提供，工厂自行采购。</t>
  </si>
  <si>
    <r>
      <rPr>
        <sz val="11"/>
        <color rgb="FF000000"/>
        <rFont val="宋体"/>
        <charset val="134"/>
      </rPr>
      <t>Iris</t>
    </r>
    <r>
      <rPr>
        <sz val="11"/>
        <color rgb="FF000000"/>
        <rFont val="宋体"/>
        <charset val="134"/>
        <scheme val="minor"/>
      </rPr>
      <t xml:space="preserve">  Yuan</t>
    </r>
  </si>
  <si>
    <t>4500209954</t>
  </si>
  <si>
    <t>7137243627</t>
  </si>
  <si>
    <t>4500209954-10</t>
  </si>
  <si>
    <t>4500213190-60</t>
  </si>
  <si>
    <t>日期码格式：ZURU INC(BVI) 标准格式                  日期：按实际生产日期
Packaging Info: 1.  STD Items: ZURU MA UPC 现有包装+客供价格贴纸，优先使用MA 1L最新版本（可接受多语）,出口美国
#77785：MA UPC + 客版彩盒  (翻单4500199536)+ 客供贴纸，优先使用MA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</si>
  <si>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4500218444-50</t>
  </si>
  <si>
    <t>日期码格式：ZURU  INC(BVI) 标准格式                                    日期：按实际生产日期
Packaging Info: 1. 包装方式：MA UPC 优先1L 最新包装，出口美国
Remark: 2. 外箱箱唛红色和黑色双色印刷
  3. 产品和包装上印刷tracking  code信息，格式为ZURU常规
  4. 15789UQ1消耗订单4500199607取消的15789U Q1，外箱箱唛用水贴纸覆盖</t>
  </si>
  <si>
    <t>0004811687</t>
  </si>
  <si>
    <t>4500218507-10</t>
  </si>
  <si>
    <t>8/17 RFID贴纸</t>
  </si>
  <si>
    <t>日期码格式：ZURU  INC(BVI) 标准格式                                    日期：按实际生产日期
Packaging Info: 1 .包装要求：
77673TQ1-S001: MA  1L B版收缩膜+MA  5L A版收藏指南+MA B版说明书+MA 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字样；77673箱唛翻单：4500178138
3. 在产品上和包装上要有日期码、以及要有MADE IN CHINA和ZURU字样；
  4. 产品如有扎带口要剪平，不能刮手。
  5. 此单验货，请多备料
  6. 此单以loose  carton出货，
  77673：4pcs/PDQ/CTN</t>
  </si>
  <si>
    <t>0004811700</t>
  </si>
  <si>
    <t>4500218507-20</t>
  </si>
  <si>
    <t>10001788160-3891</t>
  </si>
  <si>
    <t>4500218109-10</t>
  </si>
  <si>
    <t>欠贴条码箱贴纸</t>
  </si>
  <si>
    <r>
      <rPr>
        <sz val="11"/>
        <color rgb="FF000000"/>
        <rFont val="宋体"/>
        <charset val="134"/>
      </rPr>
      <t>日期码格式：ZURU INC(BVI) 标准格式 日期：按实际生产日期 Tracking Code:
Packaging Info: 77673TQ1:产品包装 客版收缩膜</t>
    </r>
    <r>
      <rPr>
        <sz val="11"/>
        <color rgb="FFF7241F"/>
        <rFont val="宋体"/>
        <charset val="134"/>
      </rPr>
      <t>(C版)</t>
    </r>
    <r>
      <rPr>
        <sz val="11"/>
        <color rgb="FF000000"/>
        <rFont val="宋体"/>
        <charset val="134"/>
      </rPr>
      <t>+客版收藏指南+MA说明书+ MA 1L PDQ；</t>
    </r>
    <r>
      <rPr>
        <sz val="11"/>
        <color rgb="FFF7241F"/>
        <rFont val="宋体"/>
        <charset val="134"/>
      </rPr>
      <t>客版收缩膜(C版）翻单4500183607；客版收藏指南翻单4500174008</t>
    </r>
    <r>
      <rPr>
        <sz val="11"/>
        <color rgb="FF000000"/>
        <rFont val="宋体"/>
        <charset val="134"/>
      </rPr>
      <t xml:space="preserve">
Remark: 77673TQ1:
 1. 77673TQ1-S001-CC-MINI BRANDS-FILL THE FRIDGE PLAYSET-SERIES 1-SHRINK WRAP,4PCS/PDQ,4PCS/PDQ/CTN;
 2. 产品包装 客版收缩膜</t>
    </r>
    <r>
      <rPr>
        <sz val="11"/>
        <color rgb="FFF7241F"/>
        <rFont val="宋体"/>
        <charset val="134"/>
      </rPr>
      <t>（C版）</t>
    </r>
    <r>
      <rPr>
        <sz val="11"/>
        <color rgb="FF000000"/>
        <rFont val="宋体"/>
        <charset val="134"/>
      </rPr>
      <t>+客版收藏指南+MA说明书+ MA 1L PDQ；客版收缩膜上的UPC显示193052079404；客版收缩膜</t>
    </r>
    <r>
      <rPr>
        <sz val="11"/>
        <color rgb="FFF7241F"/>
        <rFont val="宋体"/>
        <charset val="134"/>
      </rPr>
      <t>(C版）翻单4500183607；客版收藏指南
 翻单4500174008；</t>
    </r>
    <r>
      <rPr>
        <sz val="11"/>
        <color rgb="FF000000"/>
        <rFont val="宋体"/>
        <charset val="134"/>
      </rPr>
      <t xml:space="preserve">
 3. 外箱正唛左上角位置粘贴条码箱贴纸，每箱只贴一张，由ZURU订购。来料贴纸上显示的客户DPCI# 086-02-3468， UPC显示10193052079401;
 以上Items:
 1. 产品和包装上均要印刷tracking code信息，格式为ZURU常规格式；
 2. 需要我司QC验货之后才能安排出货
 3. 出货方式： 货代自提</t>
    </r>
  </si>
  <si>
    <t>DD'S  DISCOUNTS</t>
  </si>
  <si>
    <t>4500216073-20</t>
  </si>
  <si>
    <t>8/6 价格贴纸</t>
  </si>
  <si>
    <r>
      <rPr>
        <sz val="11"/>
        <color rgb="FF000000"/>
        <rFont val="宋体"/>
        <charset val="134"/>
      </rPr>
      <t xml:space="preserve">日期码格式：ZURU INC(BVI) 标准格式 日期：按实际生产日期 Tracking Code:
Packaging Info: 1.ZURU MA UPC 最新版本包装 + 客供价格贴纸，出口美国 , 优先1L，可接受多语 。
 </t>
    </r>
    <r>
      <rPr>
        <sz val="11"/>
        <color rgb="FFFF0000"/>
        <rFont val="宋体"/>
        <charset val="134"/>
      </rPr>
      <t>#77785：MA UPC 现有包装 + 客版彩盒(翻单4500199536) + 客供贴纸, 优先使用MA 1L最新版本(可接受多语），出口美国。</t>
    </r>
    <r>
      <rPr>
        <sz val="11"/>
        <color rgb="FF000000"/>
        <rFont val="宋体"/>
        <charset val="134"/>
      </rPr>
      <t xml:space="preserve">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彩盒中球不能出现完全相同的ASSORTMENT ， 即同一个彩盒中球里的ASSORTMENT 需要不同。 以免消费者失望。
 8.彩盒中球的UPC条码可以不需要空白贴纸覆盖。</t>
    </r>
  </si>
  <si>
    <t>Summer  Mo</t>
  </si>
  <si>
    <t>COPPEL CORPORATION</t>
  </si>
  <si>
    <t>4500210108-20</t>
  </si>
  <si>
    <t>欠UPC 条码贴纸+价标贴纸+进口商贴纸+电池信息贴纸</t>
  </si>
  <si>
    <r>
      <rPr>
        <sz val="11"/>
        <rFont val="宋体"/>
        <charset val="134"/>
      </rPr>
      <t>日期码格式：ZURU INC(BVI) 标准格式</t>
    </r>
    <r>
      <rPr>
        <sz val="11"/>
        <color rgb="FF000000"/>
        <rFont val="宋体"/>
        <charset val="134"/>
      </rPr>
      <t xml:space="preserve">                  日期：按实际生产日期
Packaging Info: 
77673: MA 3L EAN 包装+UPC 条码贴纸+价标贴纸+进口商贴纸+电池信息贴纸+箱唛;</t>
    </r>
  </si>
  <si>
    <t>Candy Liu</t>
  </si>
  <si>
    <t>Wrehouse  6</t>
  </si>
  <si>
    <t>4500216898-50</t>
  </si>
  <si>
    <t>7/29UPC 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</si>
  <si>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77673  MA 多语  EAN  包装+UPC  贴纸+MA  多语收藏指南+箱唛
Remark: 
77673  3PCS  AG13  BATTERIES(INCLUDED)  Fixed  Collection</t>
  </si>
  <si>
    <t>4500217954</t>
  </si>
  <si>
    <t>84007087</t>
  </si>
  <si>
    <t>4500217954-120</t>
  </si>
  <si>
    <t>（装柜工厂）装柜时最后一箱正唛贴上装箱单 (不是装柜工厂忽略即可），装箱单需要用透明的袋子装好， 剩下三面贴上'' PACKING LIST ENC
 LOSED '' 的字样 （可以用A4 纸打印）</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</si>
  <si>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剩下三面贴上''PACKING LIST ENC
  LOSED  '' 的字样    （可以用A4  纸打印）- 船务会发出。
  4. 需ZURU QC 验货合格后方可出货</t>
  </si>
  <si>
    <t>4500214378-90</t>
  </si>
  <si>
    <r>
      <rPr>
        <sz val="11"/>
        <color rgb="FF000000"/>
        <rFont val="宋体"/>
        <charset val="134"/>
      </rPr>
      <t>日期码格式：ZURU INC(BVI) 标准格式 日期：按实际生产日期 Tracking Code:
Packaging Info: 1.ZURU MA UPC 最新版本包装 + 客供价格贴纸，出口美国 , 优先1L，可接受多语 。
#77785：MA UPC 现有包装 + 客版彩盒</t>
    </r>
    <r>
      <rPr>
        <sz val="11"/>
        <color rgb="FFFF0000"/>
        <rFont val="宋体"/>
        <charset val="134"/>
      </rPr>
      <t>(翻单4500199536)</t>
    </r>
    <r>
      <rPr>
        <sz val="11"/>
        <color rgb="FF000000"/>
        <rFont val="宋体"/>
        <charset val="134"/>
      </rPr>
      <t xml:space="preserve"> + 客供贴纸, </t>
    </r>
    <r>
      <rPr>
        <sz val="11"/>
        <color rgb="FFFF0000"/>
        <rFont val="宋体"/>
        <charset val="134"/>
      </rPr>
      <t>优先使用MA 1L最新版本(可接受多语），出口美国。</t>
    </r>
    <r>
      <rPr>
        <sz val="11"/>
        <color rgb="FF000000"/>
        <rFont val="宋体"/>
        <charset val="134"/>
      </rPr>
      <t xml:space="preserve">
Remark: #15714 比例：B:D:G:J:K:M:N=1:1:1:2:1:4:2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r>
  </si>
  <si>
    <t>4500218537-10</t>
  </si>
  <si>
    <t>日期码格式：ZURU  INC(BVI) 标准格式                                    日期：按实际生产日期
Packaging Info: 1. Cus Item：
MA UPC 现有包装+PVC桶, 铜板纸+客供价格贴纸，优先使用MA 1L最新版本（可接受多语），出口美国。
  #77785：MA UPC 现有包装  +  客版彩盒  +  客供贴纸, 优先使用MA  1L最新版本(可接受多语），出口美国。
Remark: 2 .价格贴纸位于包装正面右下角，不挡住重要信息即可，可适当调整，价格贴纸由跟单提供。
  3 .标准日期码格式，产品和包装必须有日期码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</si>
  <si>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KANDYTOYS  LIMITED</t>
  </si>
  <si>
    <t>PH290726ZUR15594</t>
  </si>
  <si>
    <t>4500218950-30</t>
  </si>
  <si>
    <t>PDQ+PDQ底部贴纸（35063389172306）</t>
  </si>
  <si>
    <t>欠请额外准备一套大货样</t>
  </si>
  <si>
    <t>日期码格式：ZURU  INC(BVI)  标准格式                                    日期：按实际生产日期
Packaging Info: 
【行项目210】
77673TQ1：MA  B1L  UPC收缩膜（193052079404）+MA  B5L收藏指南+MA  C23L说明书+WEEE  29L带电池说明书最新版+MA  B1L  PDQ+PDQ底部贴纸（35063389172306）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</si>
  <si>
    <r>
      <rPr>
        <sz val="11"/>
        <color rgb="FF000000"/>
        <rFont val="宋体"/>
        <charset val="134"/>
      </rPr>
      <t>Zoe</t>
    </r>
    <r>
      <rPr>
        <sz val="11"/>
        <color rgb="FF000000"/>
        <rFont val="宋体"/>
        <charset val="134"/>
        <scheme val="minor"/>
      </rPr>
      <t xml:space="preserve">  Zhou</t>
    </r>
  </si>
  <si>
    <t>CITITRENDS  INC</t>
  </si>
  <si>
    <t>0000208321</t>
  </si>
  <si>
    <t>4500218992-30</t>
  </si>
  <si>
    <t>8/13 客供价格贴纸</t>
  </si>
  <si>
    <t>日期码格式：ZURU  INC(BVI)  标准格式                                    日期：按实际生产日期
Packaging Info: 1：MA  UPC（首选1L/多语言)  包装  +  客供价格贴纸  (跟单提供），
每个产品有一个价格贴纸,  价格贴放在每个产品的正面右下角，贴的时候要是会覆盖包装上重要的信息和图案，需要告知跟单。
Remark: 2：产品和包装要加上tracking  code,  格式为ZURU常规格式
3.  整柜FCL  出货，（装柜工厂，不是装柜工厂忽略即可）装柜时最后一箱正唛贴上装箱单,  装箱单需用塑胶袋装好贴在其中一箱上，装柜的时候放在柜们旁，没按
要求粘贴的罚款  100-1000  美金。</t>
  </si>
  <si>
    <r>
      <rPr>
        <sz val="11"/>
        <color rgb="FF000000"/>
        <rFont val="宋体"/>
        <charset val="134"/>
      </rPr>
      <t>Jessi</t>
    </r>
    <r>
      <rPr>
        <sz val="11"/>
        <color rgb="FF000000"/>
        <rFont val="宋体"/>
        <charset val="134"/>
        <scheme val="minor"/>
      </rPr>
      <t xml:space="preserve">  Xu</t>
    </r>
  </si>
  <si>
    <t>4500214197-10</t>
  </si>
  <si>
    <t>4500216252-80</t>
  </si>
  <si>
    <t>4500218890-30</t>
  </si>
  <si>
    <t>欠 外箱贴纸+保证书+进口商贴纸+UPC贴纸，产品/包装都要贴1张进口商贴纸</t>
  </si>
  <si>
    <t>欠保证书</t>
  </si>
  <si>
    <t>日期码格式：ZURU  INC(BVI)  标准格式                                    日期：按实际生产日期
Packaging Info: 
77673:MA  多语包装+MA  多语说明书+外箱贴纸+保证书+进口商贴纸+UPC贴纸+箱唛，产品/包装都要贴1张进口商贴纸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</si>
  <si>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r>
      <rPr>
        <sz val="11"/>
        <color rgb="FF000000"/>
        <rFont val="宋体"/>
        <charset val="134"/>
      </rPr>
      <t>Ava</t>
    </r>
    <r>
      <rPr>
        <sz val="11"/>
        <color rgb="FF000000"/>
        <rFont val="宋体"/>
        <charset val="134"/>
        <scheme val="minor"/>
      </rPr>
      <t xml:space="preserve">  </t>
    </r>
    <r>
      <rPr>
        <sz val="11"/>
        <color rgb="FF000000"/>
        <rFont val="宋体"/>
        <charset val="134"/>
        <scheme val="minor"/>
      </rPr>
      <t>Liang</t>
    </r>
  </si>
  <si>
    <t>4500218890-40</t>
  </si>
  <si>
    <t>欠进口商贴纸+保证书+外箱贴纸+包装/产品都需要贴
 一张进口商贴纸</t>
  </si>
  <si>
    <t>日期码格式：ZURU  INC(BVI)  标准格式                                    日期：按实际生产日期
Packaging
77785:客版彩盒+进口商贴纸+保证书+外箱贴纸+箱唛（77673:MA  多语收缩膜/77711：MA  多语收缩膜+空白贴纸）,客版彩盒翻单PO4500194447，包装/产品都需要贴
一张进口商贴纸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</si>
  <si>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t>77785-S001-INT-3L无条码</t>
  </si>
  <si>
    <t>4500217585-40</t>
  </si>
  <si>
    <t>进口商贴纸+条码贴纸，进口商贴纸和条码贴纸翻单PO4500188881</t>
  </si>
  <si>
    <t>日期码格式：ZURU  INC(BVI) 标准格式                                    日期：按实际生产日期
Packaging Info: 
77673/92129TQ1/77773GQ1：MA  多语包装+进口商贴纸+条码贴纸+箱唛进口商贴纸和条码贴纸翻单PO4500188881
Remark: 1.进口商贴纸请多备料5pcs,出货后需要寄给客户留底
  2 .如后续提供的贴纸文档中进口商贴纸和条码贴纸合并为一张，可忽略条码贴纸的需求</t>
  </si>
  <si>
    <t>CONCENTRA,  S.A.</t>
  </si>
  <si>
    <t>F202/20260063</t>
  </si>
  <si>
    <t>4500219730-20</t>
  </si>
  <si>
    <t>欠1张客人logo贴纸+1张客户进口商贴纸</t>
  </si>
  <si>
    <t>日期码格式：ZURU  INC(BVI)  标准格式                                    日期：按实际生产日期
Packaging Info: 
--------------------
【行项目20】
77673：    MA  最新  3L  收缩膜含EAN条码+1张客人logo贴纸+1张客户进口商贴纸+MA  最新5L收藏指南，MA  最新23L说明书+WEEE带电池走货欧洲29语通用黑白说明书;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（含有二个欧盟地址，法国地址需下划线），需要配套最新MA版PDQ含有欧盟地址贴纸，     如没有，需要加如下贴纸内容：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</si>
  <si>
    <r>
      <rPr>
        <sz val="11"/>
        <color rgb="FF000000"/>
        <rFont val="宋体"/>
        <charset val="134"/>
      </rPr>
      <t>Mary</t>
    </r>
    <r>
      <rPr>
        <sz val="11"/>
        <color rgb="FF000000"/>
        <rFont val="宋体"/>
        <charset val="134"/>
        <scheme val="minor"/>
      </rPr>
      <t xml:space="preserve">  Zhong</t>
    </r>
  </si>
  <si>
    <t>4500217034-20</t>
  </si>
  <si>
    <t>日期码格式：ZURU  INC(BVI) 标准格式 日期：按实际生产日期
Packaging Info: MA UPC 1L PKG
Remark:</t>
  </si>
  <si>
    <t>Lillian  Li</t>
  </si>
  <si>
    <t>0101837755</t>
  </si>
  <si>
    <t>4500218507-30</t>
  </si>
  <si>
    <t>4500211673</t>
  </si>
  <si>
    <t>60302434</t>
  </si>
  <si>
    <t>4500211673-10</t>
  </si>
  <si>
    <r>
      <rPr>
        <sz val="11"/>
        <rFont val="宋体"/>
        <charset val="134"/>
      </rPr>
      <t>日期码格式：ZURU INC(BVI) 标准格式</t>
    </r>
    <r>
      <rPr>
        <sz val="11"/>
        <color rgb="FF000000"/>
        <rFont val="宋体"/>
        <charset val="134"/>
      </rPr>
      <t xml:space="preserve">                  日期：按实际生产日期
Packaging Info: 1. #77785：MA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r>
  </si>
  <si>
    <t>COOP  COOPERATIVE</t>
  </si>
  <si>
    <t>4500218739-30</t>
  </si>
  <si>
    <t>欠1*客户价格贴纸+1*（DE+IT）警语贴纸</t>
  </si>
  <si>
    <t>欠大货样品3套每款每色，用于第三方验货+客户签板，请多备包装物料。如果有PDQ，需要2pcs 空PDQ（客户签板使用）</t>
  </si>
  <si>
    <t>日期码格式：ZURU  INC(BVI)  标准格式                                    日期：按实际生产日期
Packaging Info: 
77673：MA  C版  3L  收缩膜+1*客户价格贴纸+1*（DE+IT）警语贴纸+MA  5L  收藏指南+MA  23L  电池UV胶警告语说明书+1*WEEE  D  29L  通用带电池出货黑白电池说明书
Remark: 1.  大货样品3套每款每色，用于第三方验货+客户签板，请多备包装物料。如果有PDQ，需要2pcs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
   6.  外箱上需要有ZURU  FRANCE  地址（直接印刷或者贴纸都行）</t>
  </si>
  <si>
    <r>
      <rPr>
        <sz val="11"/>
        <color rgb="FF000000"/>
        <rFont val="宋体"/>
        <charset val="134"/>
      </rPr>
      <t>Amy</t>
    </r>
    <r>
      <rPr>
        <sz val="11"/>
        <color rgb="FF000000"/>
        <rFont val="宋体"/>
        <charset val="134"/>
        <scheme val="minor"/>
      </rPr>
      <t xml:space="preserve">  Xiao</t>
    </r>
  </si>
  <si>
    <t>0004811718</t>
  </si>
  <si>
    <t>4500219345-10</t>
  </si>
  <si>
    <t>欠RFID贴纸</t>
  </si>
  <si>
    <t>日期码格式：ZURU INC(BVI) 标准格式 日期：按实际生产日期 Tracking Code:
Packaging Info: 1.包装要求：
 77673TQ1-S001: MA 1L B版收缩膜+MA 5L A版收藏指南+MA B版说明书+MA 1L PDQ
每pcs产品上要贴1张RFID贴纸，贴纸由ZURU提供，贴纸位置请严格按照我们签回的签板；
Remark: 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77673：4pcs/PDQ/CTN</t>
  </si>
  <si>
    <t>0005061646</t>
  </si>
  <si>
    <t>4500219345-40</t>
  </si>
  <si>
    <t>0101837779</t>
  </si>
  <si>
    <t>4500219345-70</t>
  </si>
  <si>
    <t>10001788268-3891</t>
  </si>
  <si>
    <t>4500219146-10</t>
  </si>
  <si>
    <r>
      <rPr>
        <sz val="11"/>
        <color rgb="FF000000"/>
        <rFont val="宋体"/>
        <charset val="134"/>
      </rPr>
      <t>日期码格式：ZURU</t>
    </r>
    <r>
      <rPr>
        <sz val="11"/>
        <color rgb="FF000000"/>
        <rFont val="宋体"/>
        <charset val="134"/>
        <scheme val="minor"/>
      </rPr>
      <t xml:space="preserve">  INC(BVI) 标准格式                                    日期：按实际生产日期
Packaging Info: 77673TQ1:产品包装  客版收缩膜(C版)+客版收藏指南+MA说明书+ MA 1L PDQ；客版收缩膜(C版）翻单4500183607；客版收藏指南翻单4500174008
Remark: 77673TQ1:
  1. 77673TQ1-S001-CC-MINI BRANDS-FILL THE FRIDGE PLAYSET-SERIES 1-SHRINK WRAP,4PCS/PDQ,4PCS/PDQ/CTN;
  2. 产品包装  客版收缩膜（C版）+客版收藏指南+MA说明书+ MA 1L PDQ；客版收缩膜上的UPC显示193052079404；客版收缩膜(C版）翻单4500183607；客版收藏指南
翻单4500174008；
  3. 外箱正唛左上角位置粘贴条码箱贴纸，每箱只贴一张，由ZURU订购。来料贴纸上显示的客户DPCI#  086-02-3468，    UPC显示10193052079401;
以上Items:
  1. 产品和包装上均要印刷tracking  code信息，格式为ZURU常规格式；
  2. 需要我司QC验货之后才能安排出货
  3. 出货方式：    货代自提</t>
    </r>
  </si>
  <si>
    <t>4500218538-10</t>
  </si>
  <si>
    <t>1张通用ZURU地址及邮箱信息贴纸(贴于PDQ背面，不可遮挡到其余文字信息)+Kinderherz 2025 Log
o贴纸(1张贴于收缩膜，1张贴于PDQ；翻单#4500166480)</t>
  </si>
  <si>
    <t>日期码格式：ZURU  INC(BVI) 标准格式                                    日期：按实际生产日期
Packaging Info: 77673TQ1: 最新MA PDQ(优先3L)+1张通用ZURU地址及邮箱信息贴纸(贴于PDQ背面，不可遮挡到其余文字信息)+客版收缩膜C版[含英法德callout/英法德意荷警语/法
国环保logo(翻PO#4500188991)+MA-23L说明书+客版收藏指南(英法德意荷)（翻#4500155594）+WEEE声明(带电池)走货欧洲通用29L-D版说明书+Kinderherz 2025  Log
o贴纸(1张贴于收缩膜，1张贴于PDQ；翻单#4500166480)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 .订单备注显示有分批的(不同仓库/订单号), 一定要区分客户订单号做货出货，否则会导致罚款    。
  7.做货前请先复核包装条码与订单是否一致再安排，对不上的需与Z URU跟单确认再安排。
  8.包装必须含法国回收标(Sorting  Label)，如没有，请提醒跟单提供贴纸资料。
  9 .包装/说明书(如有)/产品(如有)上的法国地址信息必须保持一致，不可出现包装上是新地址，说明书上是旧地址；如地址信息不一致请通知跟单更新文件；</t>
  </si>
  <si>
    <t>Savannah</t>
  </si>
  <si>
    <t>10001788267-3890</t>
  </si>
  <si>
    <t>4500219169-10</t>
  </si>
  <si>
    <t>客版收缩膜（E版）+5L C版客版收藏指南</t>
  </si>
  <si>
    <r>
      <rPr>
        <sz val="11"/>
        <color rgb="FF000000"/>
        <rFont val="宋体"/>
        <charset val="134"/>
      </rPr>
      <t>日期码格式：ZURU</t>
    </r>
    <r>
      <rPr>
        <sz val="11"/>
        <color rgb="FF000000"/>
        <rFont val="宋体"/>
        <charset val="134"/>
        <scheme val="minor"/>
      </rPr>
      <t xml:space="preserve">  INC(BVI) 标准格式                                    日期：按实际生产日期
Packaging Info: 77673TQ1:产品包装  客版收缩膜（E版）+5L  C版客版收藏指南+MA说明书+ MA 1L PDQ；
Remark: 77673TQ1:
1. 77673TQ1-S001-CC-MINI BRANDS-FILL THE FRIDGE PLAYSET-SERIES 1-SHRINK WRAP,4PCS/PDQ,4PCS/PDQ/CTN;
2. 产品包装  客版收缩膜（E版）+5L  C版客版收藏指南+MA说明书+ MA 1L PDQ；客版收缩膜上的UPC显示193052079404；
  3. 外箱正唛左上角位置粘贴条码箱贴纸，每箱只贴一张，由ZURU订购。来料贴纸上显示的客户DPCI#  086-02-3468，    UPC显示10193052079401;
以上Items:
  1. 产品和包装上均要印刷tracking  code信息，格式为ZURU常规格式；
  2. 需要我司QC验货之后才能安排出货
  3. 出货方式：    货代自提</t>
    </r>
  </si>
  <si>
    <t>4500215851-10</t>
  </si>
  <si>
    <t>欠UPC 贴纸+进口商贴纸</t>
  </si>
  <si>
    <t>日期码格式：ZURU INC(BVI) 标准格式                  日期：按实际生产日期
Packaging Info: 1.优先多语 MA UPC或者3L/5L MA EAN 包装
2.请确保包装上的条形码是UPC，如果是babyUPC、需要用mother UPC覆盖，如有不一致，请及时提出。谢谢!
3.需要监柜，每个款需要1pc样办
 77673 MA 多语 EAN 包装+UPC 贴纸+MA 多语收藏指南+进口商贴纸+箱唛
Remark: 77673 3PCS AG13 BATTERIES(INCLUDED) Fixed Collection</t>
  </si>
  <si>
    <t>BARNES  &amp;  NOBLE  PURCHASING,  INC.</t>
  </si>
  <si>
    <t>02263918</t>
  </si>
  <si>
    <t>4500219357-10</t>
  </si>
  <si>
    <t>价格贴纸（价贴金额 $24.99,价贴位于产品包装上UPC条形码附近），价贴资料翻单4500207083+欠2张外箱贴</t>
  </si>
  <si>
    <t>日期码格式：ZURU INC(BVI) 标准格式 日期：按实际生产日期 Tracking Code:
Packaging Info: 1. 包材：
 #77673: ZURU MA 1L UPC 版本+ MA 5L 收藏指南 +价格贴纸（价贴金额 $24.99,价贴位于产品包装上UPC条形码附近），价贴资料翻单4500207083，工厂直接采购,
 出口美国; 。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此客户有2个PO:
 PO# 02263918 ship to NJ,
 PO# 02263919 ship to NV,
 5. 出货配比：ZURU MA 配比；</t>
  </si>
  <si>
    <t>02263919</t>
  </si>
  <si>
    <t>4500219357-50</t>
  </si>
  <si>
    <t>4500218543-10</t>
  </si>
  <si>
    <t>欠1张通用ZURU地址及邮箱信息贴纸(贴于PDQ背面，不可遮挡
 到其余文字信息)</t>
  </si>
  <si>
    <t>日期码格式：ZURU  INC(BVI) 标准格式                                    日期：按实际生产日期
Packaging Info: 77673TQ1: 最新MA  3L EAN配套包装+WEEE声明(带电池)走货欧洲通用29L-D版说明书+MA PDQ(优先多语)+1张通用ZURU地址及邮箱信息贴纸(贴于PDQ背面，不可遮挡
到其余文字信息)
EAN: 4894680042773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 .订单备注显示有分批的(不同仓库/订单号), 一定要区分客户订单号做货出货，否则会导致罚款    。
  7.做货前请先复核包装条码与订单是否一致再安排，对不上的需与Z URU跟单确认再安排。
  8.包装必须含法国回收标(Sorting  Label)，如没有，请提醒跟单提供贴纸资料。
  9 .包装/说明书(如有)/产品(如有)上的法国地址信息必须保持一致，不可出现包装上是新地址，说明书上是旧地址；如地址信息不一致请通知跟单更新文件；</t>
  </si>
  <si>
    <t>4500218540-10</t>
  </si>
  <si>
    <t>欠价格贴纸</t>
  </si>
  <si>
    <t>日期码格式：ZURU  INC(BVI) 标准格式                                    日期：按实际生产日期
Packaging Info: 1. Cus Item：
MA UPC 现有包装+PVC桶, 铜板纸+客供价格贴纸，优先使用MA 1L最新版本（可接受多语），出口美国。
  #77785：MA UPC 现有包装  +  客版彩盒+  客供贴纸, 优先使用MA  1L最新版本(可接受多语），出口美国。
Remark: 2 .价格贴纸位于包装正面右下角，不挡住重要信息即可，可适当调整，价格贴纸由跟单提供。
  3 .标准日期码格式，产品和包装必须有日期码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</si>
  <si>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4500215429-30</t>
  </si>
  <si>
    <r>
      <rPr>
        <sz val="11"/>
        <color rgb="FF000000"/>
        <rFont val="宋体"/>
        <charset val="134"/>
      </rPr>
      <t>日期码格式：ZURU</t>
    </r>
    <r>
      <rPr>
        <sz val="11"/>
        <color rgb="FF000000"/>
        <rFont val="宋体"/>
        <charset val="134"/>
        <scheme val="minor"/>
      </rPr>
      <t xml:space="preserve">  </t>
    </r>
    <r>
      <rPr>
        <sz val="11"/>
        <color rgb="FF000000"/>
        <rFont val="宋体"/>
        <charset val="134"/>
        <scheme val="minor"/>
      </rPr>
      <t>INC(BVI)</t>
    </r>
    <r>
      <rPr>
        <sz val="11"/>
        <color rgb="FF000000"/>
        <rFont val="宋体"/>
        <charset val="134"/>
        <scheme val="minor"/>
      </rPr>
      <t xml:space="preserve">  </t>
    </r>
    <r>
      <rPr>
        <sz val="11"/>
        <color rgb="FF000000"/>
        <rFont val="宋体"/>
        <charset val="134"/>
        <scheme val="minor"/>
      </rPr>
      <t>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Packaging Info:</t>
    </r>
    <r>
      <rPr>
        <sz val="11"/>
        <color rgb="FF000000"/>
        <rFont val="宋体"/>
        <charset val="134"/>
        <scheme val="minor"/>
      </rPr>
      <t xml:space="preserve">
</t>
    </r>
    <r>
      <rPr>
        <sz val="11"/>
        <color rgb="FF000000"/>
        <rFont val="宋体"/>
        <charset val="134"/>
        <scheme val="minor"/>
      </rPr>
      <t>77785：MA</t>
    </r>
    <r>
      <rPr>
        <sz val="11"/>
        <color rgb="FF000000"/>
        <rFont val="宋体"/>
        <charset val="134"/>
        <scheme val="minor"/>
      </rPr>
      <t xml:space="preserve">  </t>
    </r>
    <r>
      <rPr>
        <sz val="11"/>
        <color rgb="FF000000"/>
        <rFont val="宋体"/>
        <charset val="134"/>
        <scheme val="minor"/>
      </rPr>
      <t>3L</t>
    </r>
    <r>
      <rPr>
        <sz val="11"/>
        <color rgb="FF000000"/>
        <rFont val="宋体"/>
        <charset val="134"/>
        <scheme val="minor"/>
      </rPr>
      <t xml:space="preserve">  </t>
    </r>
    <r>
      <rPr>
        <sz val="11"/>
        <color rgb="FF000000"/>
        <rFont val="宋体"/>
        <charset val="134"/>
        <scheme val="minor"/>
      </rPr>
      <t>UPC</t>
    </r>
    <r>
      <rPr>
        <sz val="11"/>
        <color rgb="FF000000"/>
        <rFont val="宋体"/>
        <charset val="134"/>
        <scheme val="minor"/>
      </rPr>
      <t xml:space="preserve">  </t>
    </r>
    <r>
      <rPr>
        <sz val="11"/>
        <color rgb="FF000000"/>
        <rFont val="宋体"/>
        <charset val="134"/>
        <scheme val="minor"/>
      </rPr>
      <t>彩盒包装</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箱唛</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外箱贴纸SSCC</t>
    </r>
    <r>
      <rPr>
        <sz val="11"/>
        <color rgb="FF000000"/>
        <rFont val="宋体"/>
        <charset val="134"/>
        <scheme val="minor"/>
      </rPr>
      <t xml:space="preserve">  </t>
    </r>
    <r>
      <rPr>
        <sz val="11"/>
        <color rgb="FF000000"/>
        <rFont val="宋体"/>
        <charset val="134"/>
        <scheme val="minor"/>
      </rPr>
      <t>Label</t>
    </r>
    <r>
      <rPr>
        <sz val="11"/>
        <color rgb="FF000000"/>
        <rFont val="宋体"/>
        <charset val="134"/>
        <scheme val="minor"/>
      </rPr>
      <t xml:space="preserve">
</t>
    </r>
    <r>
      <rPr>
        <sz val="11"/>
        <color rgb="FF000000"/>
        <rFont val="宋体"/>
        <charset val="134"/>
        <scheme val="minor"/>
      </rPr>
      <t>子件77711:</t>
    </r>
    <r>
      <rPr>
        <sz val="11"/>
        <color rgb="FF000000"/>
        <rFont val="宋体"/>
        <charset val="134"/>
        <scheme val="minor"/>
      </rPr>
      <t xml:space="preserve">  </t>
    </r>
    <r>
      <rPr>
        <sz val="11"/>
        <color rgb="FF000000"/>
        <rFont val="宋体"/>
        <charset val="134"/>
        <scheme val="minor"/>
      </rPr>
      <t>MA</t>
    </r>
    <r>
      <rPr>
        <sz val="11"/>
        <color rgb="FF000000"/>
        <rFont val="宋体"/>
        <charset val="134"/>
        <scheme val="minor"/>
      </rPr>
      <t xml:space="preserve">  </t>
    </r>
    <r>
      <rPr>
        <sz val="11"/>
        <color rgb="FF000000"/>
        <rFont val="宋体"/>
        <charset val="134"/>
        <scheme val="minor"/>
      </rPr>
      <t>3L收缩膜</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1张空白贴纸挡住EAN条码+MA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说明书+MA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creative+MA纸袋;</t>
    </r>
    <r>
      <rPr>
        <sz val="11"/>
        <color rgb="FF000000"/>
        <rFont val="宋体"/>
        <charset val="134"/>
        <scheme val="minor"/>
      </rPr>
      <t xml:space="preserve">
</t>
    </r>
    <r>
      <rPr>
        <sz val="11"/>
        <color rgb="FF000000"/>
        <rFont val="宋体"/>
        <charset val="134"/>
        <scheme val="minor"/>
      </rPr>
      <t>子件77673:MA</t>
    </r>
    <r>
      <rPr>
        <sz val="11"/>
        <color rgb="FF000000"/>
        <rFont val="宋体"/>
        <charset val="134"/>
        <scheme val="minor"/>
      </rPr>
      <t xml:space="preserve">  </t>
    </r>
    <r>
      <rPr>
        <sz val="11"/>
        <color rgb="FF000000"/>
        <rFont val="宋体"/>
        <charset val="134"/>
        <scheme val="minor"/>
      </rPr>
      <t>1L</t>
    </r>
    <r>
      <rPr>
        <sz val="11"/>
        <color rgb="FF000000"/>
        <rFont val="宋体"/>
        <charset val="134"/>
        <scheme val="minor"/>
      </rPr>
      <t xml:space="preserve">  </t>
    </r>
    <r>
      <rPr>
        <sz val="11"/>
        <color rgb="FF000000"/>
        <rFont val="宋体"/>
        <charset val="134"/>
        <scheme val="minor"/>
      </rPr>
      <t>UPC</t>
    </r>
    <r>
      <rPr>
        <sz val="11"/>
        <color rgb="FF000000"/>
        <rFont val="宋体"/>
        <charset val="134"/>
        <scheme val="minor"/>
      </rPr>
      <t xml:space="preserve">  </t>
    </r>
    <r>
      <rPr>
        <sz val="11"/>
        <color rgb="FF000000"/>
        <rFont val="宋体"/>
        <charset val="134"/>
        <scheme val="minor"/>
      </rPr>
      <t>收缩膜+1张说明书纽扣电池警告语贴纸+</t>
    </r>
    <r>
      <rPr>
        <sz val="11"/>
        <color rgb="FF000000"/>
        <rFont val="宋体"/>
        <charset val="134"/>
        <scheme val="minor"/>
      </rPr>
      <t xml:space="preserve">  </t>
    </r>
    <r>
      <rPr>
        <sz val="11"/>
        <color rgb="FF000000"/>
        <rFont val="宋体"/>
        <charset val="134"/>
        <scheme val="minor"/>
      </rPr>
      <t>1张收缩膜纽扣电池警告语贴纸+MA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说明书+MA</t>
    </r>
    <r>
      <rPr>
        <sz val="11"/>
        <color rgb="FF000000"/>
        <rFont val="宋体"/>
        <charset val="134"/>
        <scheme val="minor"/>
      </rPr>
      <t xml:space="preserve">  </t>
    </r>
    <r>
      <rPr>
        <sz val="11"/>
        <color rgb="FF000000"/>
        <rFont val="宋体"/>
        <charset val="134"/>
        <scheme val="minor"/>
      </rPr>
      <t>纸袋</t>
    </r>
    <r>
      <rPr>
        <sz val="11"/>
        <color rgb="FF000000"/>
        <rFont val="宋体"/>
        <charset val="134"/>
        <scheme val="minor"/>
      </rPr>
      <t xml:space="preserve">
</t>
    </r>
    <r>
      <rPr>
        <sz val="11"/>
        <color rgb="FF000000"/>
        <rFont val="宋体"/>
        <charset val="134"/>
        <scheme val="minor"/>
      </rPr>
      <t>（客版AW以及电池警告语贴纸&lt;(&gt;&amp;&lt;)&gt;贴纸位置图翻单PO#4500170842）</t>
    </r>
    <r>
      <rPr>
        <sz val="11"/>
        <color rgb="FF000000"/>
        <rFont val="宋体"/>
        <charset val="134"/>
        <scheme val="minor"/>
      </rPr>
      <t xml:space="preserve">
</t>
    </r>
    <r>
      <rPr>
        <sz val="11"/>
        <color rgb="FF000000"/>
        <rFont val="宋体"/>
        <charset val="134"/>
        <scheme val="minor"/>
      </rPr>
      <t>Remark: 1.请务必按时完货，验货。并且按期送货入货代指定仓库，如果晚了导致船期Delay将会有罚金产生或者客户要求空运，所产生的罚金和空运费由工厂承担。</t>
    </r>
    <r>
      <rPr>
        <sz val="11"/>
        <color rgb="FF000000"/>
        <rFont val="宋体"/>
        <charset val="134"/>
        <scheme val="minor"/>
      </rPr>
      <t xml:space="preserve">
</t>
    </r>
    <r>
      <rPr>
        <sz val="11"/>
        <color rgb="FF000000"/>
        <rFont val="宋体"/>
        <charset val="134"/>
        <scheme val="minor"/>
      </rPr>
      <t>2.SSCC</t>
    </r>
    <r>
      <rPr>
        <sz val="11"/>
        <color rgb="FF000000"/>
        <rFont val="宋体"/>
        <charset val="134"/>
        <scheme val="minor"/>
      </rPr>
      <t xml:space="preserve">  </t>
    </r>
    <r>
      <rPr>
        <sz val="11"/>
        <color rgb="FF000000"/>
        <rFont val="宋体"/>
        <charset val="134"/>
        <scheme val="minor"/>
      </rPr>
      <t>外箱贴纸请同纸箱瓦楞纸方向（竖纹向）垂直，即外箱贴纸横着贴(注意条码不要被胶带粘住），贴1pc，贴1面正唛，封箱胶纸不能挡住贴纸内容。外箱贴纸</t>
    </r>
    <r>
      <rPr>
        <sz val="11"/>
        <color rgb="FF000000"/>
        <rFont val="宋体"/>
        <charset val="134"/>
        <scheme val="minor"/>
      </rPr>
      <t xml:space="preserve">
</t>
    </r>
    <r>
      <rPr>
        <sz val="11"/>
        <color rgb="FF000000"/>
        <rFont val="宋体"/>
        <charset val="134"/>
        <scheme val="minor"/>
      </rPr>
      <t>离外箱边距离不少于2cm。</t>
    </r>
    <r>
      <rPr>
        <sz val="11"/>
        <color rgb="FF000000"/>
        <rFont val="宋体"/>
        <charset val="134"/>
        <scheme val="minor"/>
      </rPr>
      <t xml:space="preserve">
</t>
    </r>
    <r>
      <rPr>
        <sz val="11"/>
        <color rgb="FF000000"/>
        <rFont val="宋体"/>
        <charset val="134"/>
        <scheme val="minor"/>
      </rPr>
      <t>3.外箱材质为ZURU标准；</t>
    </r>
    <r>
      <rPr>
        <sz val="11"/>
        <color rgb="FF000000"/>
        <rFont val="宋体"/>
        <charset val="134"/>
        <scheme val="minor"/>
      </rPr>
      <t xml:space="preserve">
</t>
    </r>
    <r>
      <rPr>
        <sz val="11"/>
        <color rgb="FF000000"/>
        <rFont val="宋体"/>
        <charset val="134"/>
        <scheme val="minor"/>
      </rPr>
      <t>4.此单需使用KMART封箱胶上下工字型封箱;从2019年6月开始，要用KMART</t>
    </r>
    <r>
      <rPr>
        <sz val="11"/>
        <color rgb="FF000000"/>
        <rFont val="宋体"/>
        <charset val="134"/>
        <scheme val="minor"/>
      </rPr>
      <t xml:space="preserve">  </t>
    </r>
    <r>
      <rPr>
        <sz val="11"/>
        <color rgb="FF000000"/>
        <rFont val="宋体"/>
        <charset val="134"/>
        <scheme val="minor"/>
      </rPr>
      <t>新版封箱胶带，此单要用"ANKO"封箱胶带</t>
    </r>
    <r>
      <rPr>
        <sz val="11"/>
        <color rgb="FF000000"/>
        <rFont val="宋体"/>
        <charset val="134"/>
        <scheme val="minor"/>
      </rPr>
      <t xml:space="preserve">
</t>
    </r>
    <r>
      <rPr>
        <sz val="11"/>
        <color rgb="FF000000"/>
        <rFont val="宋体"/>
        <charset val="134"/>
        <scheme val="minor"/>
      </rPr>
      <t>5.此单出口澳大利亚，请按相应的澳新标准生产；</t>
    </r>
    <r>
      <rPr>
        <sz val="11"/>
        <color rgb="FF000000"/>
        <rFont val="宋体"/>
        <charset val="134"/>
        <scheme val="minor"/>
      </rPr>
      <t xml:space="preserve">
</t>
    </r>
    <r>
      <rPr>
        <sz val="11"/>
        <color rgb="FF000000"/>
        <rFont val="宋体"/>
        <charset val="134"/>
        <scheme val="minor"/>
      </rPr>
      <t>6.产品和包装上生产批号的显示格式ZURU标准日期码格式</t>
    </r>
    <r>
      <rPr>
        <sz val="11"/>
        <color rgb="FF000000"/>
        <rFont val="宋体"/>
        <charset val="134"/>
        <scheme val="minor"/>
      </rPr>
      <t xml:space="preserve">
</t>
    </r>
    <r>
      <rPr>
        <sz val="11"/>
        <color rgb="FF000000"/>
        <rFont val="宋体"/>
        <charset val="134"/>
        <scheme val="minor"/>
      </rPr>
      <t>7.外箱信息不可手写，重量和体积需要与实际的一致(不可手写）</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8.</t>
    </r>
    <r>
      <rPr>
        <sz val="11"/>
        <color rgb="FF000000"/>
        <rFont val="宋体"/>
        <charset val="134"/>
        <scheme val="minor"/>
      </rPr>
      <t xml:space="preserve">  </t>
    </r>
    <r>
      <rPr>
        <sz val="11"/>
        <color rgb="FF000000"/>
        <rFont val="宋体"/>
        <charset val="134"/>
        <scheme val="minor"/>
      </rPr>
      <t>每款item装箱后的G.W.超过10KG或者CBM超过0.13,(9.5KG或者以上，四舍五入后也属于10KG)</t>
    </r>
    <r>
      <rPr>
        <sz val="11"/>
        <color rgb="FF000000"/>
        <rFont val="宋体"/>
        <charset val="134"/>
        <scheme val="minor"/>
      </rPr>
      <t xml:space="preserve">  </t>
    </r>
    <r>
      <rPr>
        <sz val="11"/>
        <color rgb="FF000000"/>
        <rFont val="宋体"/>
        <charset val="134"/>
        <scheme val="minor"/>
      </rPr>
      <t>需在外箱上加印超</t>
    </r>
    <r>
      <rPr>
        <sz val="11"/>
        <color rgb="FF000000"/>
        <rFont val="宋体"/>
        <charset val="134"/>
        <scheme val="minor"/>
      </rPr>
      <t xml:space="preserve">  </t>
    </r>
    <r>
      <rPr>
        <sz val="11"/>
        <color rgb="FF000000"/>
        <rFont val="宋体"/>
        <charset val="134"/>
        <scheme val="minor"/>
      </rPr>
      <t>重或者Bulky</t>
    </r>
    <r>
      <rPr>
        <sz val="11"/>
        <color rgb="FF000000"/>
        <rFont val="宋体"/>
        <charset val="134"/>
        <scheme val="minor"/>
      </rPr>
      <t xml:space="preserve">  </t>
    </r>
    <r>
      <rPr>
        <sz val="11"/>
        <color rgb="FF000000"/>
        <rFont val="宋体"/>
        <charset val="134"/>
        <scheme val="minor"/>
      </rPr>
      <t>LOGO，若发现我们资料没有，请</t>
    </r>
    <r>
      <rPr>
        <sz val="11"/>
        <color rgb="FF000000"/>
        <rFont val="宋体"/>
        <charset val="134"/>
        <scheme val="minor"/>
      </rPr>
      <t xml:space="preserve">
</t>
    </r>
    <r>
      <rPr>
        <sz val="11"/>
        <color rgb="FF000000"/>
        <rFont val="宋体"/>
        <charset val="134"/>
        <scheme val="minor"/>
      </rPr>
      <t>帮忙提醒</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1)重量超过10kg但不超过16kg且CBM不超过0. 13,10-16kg</t>
    </r>
    <r>
      <rPr>
        <sz val="11"/>
        <color rgb="FF000000"/>
        <rFont val="宋体"/>
        <charset val="134"/>
        <scheme val="minor"/>
      </rPr>
      <t xml:space="preserve">  </t>
    </r>
    <r>
      <rPr>
        <sz val="11"/>
        <color rgb="FF000000"/>
        <rFont val="宋体"/>
        <charset val="134"/>
        <scheme val="minor"/>
      </rPr>
      <t>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2）CBM超过0. 13且重量少于17kg，bulky</t>
    </r>
    <r>
      <rPr>
        <sz val="11"/>
        <color rgb="FF000000"/>
        <rFont val="宋体"/>
        <charset val="134"/>
        <scheme val="minor"/>
      </rPr>
      <t xml:space="preserve">  </t>
    </r>
    <r>
      <rPr>
        <sz val="11"/>
        <color rgb="FF000000"/>
        <rFont val="宋体"/>
        <charset val="134"/>
        <scheme val="minor"/>
      </rPr>
      <t>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3）不属于以上两种情况，需要使用相应重量范围内的超重logo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4）超重logo需要在外箱四面都印刷(箱唛右上角，两面侧唛超重logo需要尽量靠近毛重)，尺寸为:110mm</t>
    </r>
    <r>
      <rPr>
        <sz val="11"/>
        <color rgb="FF000000"/>
        <rFont val="宋体"/>
        <charset val="134"/>
        <scheme val="minor"/>
      </rPr>
      <t xml:space="preserve">  </t>
    </r>
    <r>
      <rPr>
        <sz val="11"/>
        <color rgb="FF000000"/>
        <rFont val="宋体"/>
        <charset val="134"/>
        <scheme val="minor"/>
      </rPr>
      <t>height*</t>
    </r>
    <r>
      <rPr>
        <sz val="11"/>
        <color rgb="FF000000"/>
        <rFont val="宋体"/>
        <charset val="134"/>
        <scheme val="minor"/>
      </rPr>
      <t xml:space="preserve">  </t>
    </r>
    <r>
      <rPr>
        <sz val="11"/>
        <color rgb="FF000000"/>
        <rFont val="宋体"/>
        <charset val="134"/>
        <scheme val="minor"/>
      </rPr>
      <t>95mm</t>
    </r>
    <r>
      <rPr>
        <sz val="11"/>
        <color rgb="FF000000"/>
        <rFont val="宋体"/>
        <charset val="134"/>
        <scheme val="minor"/>
      </rPr>
      <t xml:space="preserve">  </t>
    </r>
    <r>
      <rPr>
        <sz val="11"/>
        <color rgb="FF000000"/>
        <rFont val="宋体"/>
        <charset val="134"/>
        <scheme val="minor"/>
      </rPr>
      <t>width</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9.</t>
    </r>
    <r>
      <rPr>
        <sz val="11"/>
        <color rgb="FF000000"/>
        <rFont val="宋体"/>
        <charset val="134"/>
        <scheme val="minor"/>
      </rPr>
      <t xml:space="preserve">  </t>
    </r>
    <r>
      <rPr>
        <sz val="11"/>
        <color rgb="FF000000"/>
        <rFont val="宋体"/>
        <charset val="134"/>
        <scheme val="minor"/>
      </rPr>
      <t>实际外箱重量跟印在箱唛上的数据差异不能超3%，尺寸按实际数据印刷</t>
    </r>
    <r>
      <rPr>
        <sz val="11"/>
        <color rgb="FF000000"/>
        <rFont val="宋体"/>
        <charset val="134"/>
        <scheme val="minor"/>
      </rPr>
      <t xml:space="preserve">
</t>
    </r>
    <r>
      <rPr>
        <sz val="11"/>
        <color rgb="FF000000"/>
        <rFont val="宋体"/>
        <charset val="134"/>
        <scheme val="minor"/>
      </rPr>
      <t>10.所有带纽扣电池的产品都需要在产品包装以及说明书上贴纽扣电池警告语贴纸</t>
    </r>
    <r>
      <rPr>
        <sz val="11"/>
        <color rgb="FF000000"/>
        <rFont val="宋体"/>
        <charset val="134"/>
        <scheme val="minor"/>
      </rPr>
      <t xml:space="preserve">
</t>
    </r>
    <r>
      <rPr>
        <sz val="11"/>
        <color rgb="FF000000"/>
        <rFont val="宋体"/>
        <charset val="134"/>
        <scheme val="minor"/>
      </rPr>
      <t>此单需要与NZ</t>
    </r>
    <r>
      <rPr>
        <sz val="11"/>
        <color rgb="FF000000"/>
        <rFont val="宋体"/>
        <charset val="134"/>
        <scheme val="minor"/>
      </rPr>
      <t xml:space="preserve">  </t>
    </r>
    <r>
      <rPr>
        <sz val="11"/>
        <color rgb="FF000000"/>
        <rFont val="宋体"/>
        <charset val="134"/>
        <scheme val="minor"/>
      </rPr>
      <t>PO#4500215430一起合并计算</t>
    </r>
  </si>
  <si>
    <t>4500215430-30</t>
  </si>
  <si>
    <r>
      <rPr>
        <sz val="11"/>
        <color rgb="FF000000"/>
        <rFont val="宋体"/>
        <charset val="134"/>
      </rPr>
      <t>日期码格式：ZURU</t>
    </r>
    <r>
      <rPr>
        <sz val="11"/>
        <color rgb="FF000000"/>
        <rFont val="宋体"/>
        <charset val="134"/>
        <scheme val="minor"/>
      </rPr>
      <t xml:space="preserve">  </t>
    </r>
    <r>
      <rPr>
        <sz val="11"/>
        <color rgb="FF000000"/>
        <rFont val="宋体"/>
        <charset val="134"/>
        <scheme val="minor"/>
      </rPr>
      <t>INC(BVI)</t>
    </r>
    <r>
      <rPr>
        <sz val="11"/>
        <color rgb="FF000000"/>
        <rFont val="宋体"/>
        <charset val="134"/>
        <scheme val="minor"/>
      </rPr>
      <t xml:space="preserve">  </t>
    </r>
    <r>
      <rPr>
        <sz val="11"/>
        <color rgb="FF000000"/>
        <rFont val="宋体"/>
        <charset val="134"/>
        <scheme val="minor"/>
      </rPr>
      <t>标准格式</t>
    </r>
    <r>
      <rPr>
        <sz val="11"/>
        <color rgb="FF000000"/>
        <rFont val="宋体"/>
        <charset val="134"/>
        <scheme val="minor"/>
      </rPr>
      <t xml:space="preserve">                                    </t>
    </r>
    <r>
      <rPr>
        <sz val="11"/>
        <color rgb="FF000000"/>
        <rFont val="宋体"/>
        <charset val="134"/>
        <scheme val="minor"/>
      </rPr>
      <t>日期：按实际生产日期</t>
    </r>
    <r>
      <rPr>
        <sz val="11"/>
        <color rgb="FF000000"/>
        <rFont val="宋体"/>
        <charset val="134"/>
        <scheme val="minor"/>
      </rPr>
      <t xml:space="preserve">
</t>
    </r>
    <r>
      <rPr>
        <sz val="11"/>
        <color rgb="FF000000"/>
        <rFont val="宋体"/>
        <charset val="134"/>
        <scheme val="minor"/>
      </rPr>
      <t>Packaging Info:</t>
    </r>
    <r>
      <rPr>
        <sz val="11"/>
        <color rgb="FF000000"/>
        <rFont val="宋体"/>
        <charset val="134"/>
        <scheme val="minor"/>
      </rPr>
      <t xml:space="preserve">
</t>
    </r>
    <r>
      <rPr>
        <sz val="11"/>
        <color rgb="FF000000"/>
        <rFont val="宋体"/>
        <charset val="134"/>
        <scheme val="minor"/>
      </rPr>
      <t>77785：MA</t>
    </r>
    <r>
      <rPr>
        <sz val="11"/>
        <color rgb="FF000000"/>
        <rFont val="宋体"/>
        <charset val="134"/>
        <scheme val="minor"/>
      </rPr>
      <t xml:space="preserve">  </t>
    </r>
    <r>
      <rPr>
        <sz val="11"/>
        <color rgb="FF000000"/>
        <rFont val="宋体"/>
        <charset val="134"/>
        <scheme val="minor"/>
      </rPr>
      <t>3L</t>
    </r>
    <r>
      <rPr>
        <sz val="11"/>
        <color rgb="FF000000"/>
        <rFont val="宋体"/>
        <charset val="134"/>
        <scheme val="minor"/>
      </rPr>
      <t xml:space="preserve">  </t>
    </r>
    <r>
      <rPr>
        <sz val="11"/>
        <color rgb="FF000000"/>
        <rFont val="宋体"/>
        <charset val="134"/>
        <scheme val="minor"/>
      </rPr>
      <t>UPC</t>
    </r>
    <r>
      <rPr>
        <sz val="11"/>
        <color rgb="FF000000"/>
        <rFont val="宋体"/>
        <charset val="134"/>
        <scheme val="minor"/>
      </rPr>
      <t xml:space="preserve">  </t>
    </r>
    <r>
      <rPr>
        <sz val="11"/>
        <color rgb="FF000000"/>
        <rFont val="宋体"/>
        <charset val="134"/>
        <scheme val="minor"/>
      </rPr>
      <t>彩盒包装</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箱唛</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外箱贴纸SSCC</t>
    </r>
    <r>
      <rPr>
        <sz val="11"/>
        <color rgb="FF000000"/>
        <rFont val="宋体"/>
        <charset val="134"/>
        <scheme val="minor"/>
      </rPr>
      <t xml:space="preserve">  </t>
    </r>
    <r>
      <rPr>
        <sz val="11"/>
        <color rgb="FF000000"/>
        <rFont val="宋体"/>
        <charset val="134"/>
        <scheme val="minor"/>
      </rPr>
      <t>Label</t>
    </r>
    <r>
      <rPr>
        <sz val="11"/>
        <color rgb="FF000000"/>
        <rFont val="宋体"/>
        <charset val="134"/>
        <scheme val="minor"/>
      </rPr>
      <t xml:space="preserve">
</t>
    </r>
    <r>
      <rPr>
        <sz val="11"/>
        <color rgb="FF000000"/>
        <rFont val="宋体"/>
        <charset val="134"/>
        <scheme val="minor"/>
      </rPr>
      <t>子件77711:</t>
    </r>
    <r>
      <rPr>
        <sz val="11"/>
        <color rgb="FF000000"/>
        <rFont val="宋体"/>
        <charset val="134"/>
        <scheme val="minor"/>
      </rPr>
      <t xml:space="preserve">  </t>
    </r>
    <r>
      <rPr>
        <sz val="11"/>
        <color rgb="FF000000"/>
        <rFont val="宋体"/>
        <charset val="134"/>
        <scheme val="minor"/>
      </rPr>
      <t>MA</t>
    </r>
    <r>
      <rPr>
        <sz val="11"/>
        <color rgb="FF000000"/>
        <rFont val="宋体"/>
        <charset val="134"/>
        <scheme val="minor"/>
      </rPr>
      <t xml:space="preserve">  </t>
    </r>
    <r>
      <rPr>
        <sz val="11"/>
        <color rgb="FF000000"/>
        <rFont val="宋体"/>
        <charset val="134"/>
        <scheme val="minor"/>
      </rPr>
      <t>3L收缩膜</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1张空白贴纸挡住EAN条码+MA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说明书+MA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creative+MA纸袋;</t>
    </r>
    <r>
      <rPr>
        <sz val="11"/>
        <color rgb="FF000000"/>
        <rFont val="宋体"/>
        <charset val="134"/>
        <scheme val="minor"/>
      </rPr>
      <t xml:space="preserve">
</t>
    </r>
    <r>
      <rPr>
        <sz val="11"/>
        <color rgb="FF000000"/>
        <rFont val="宋体"/>
        <charset val="134"/>
        <scheme val="minor"/>
      </rPr>
      <t>子件77673:MA</t>
    </r>
    <r>
      <rPr>
        <sz val="11"/>
        <color rgb="FF000000"/>
        <rFont val="宋体"/>
        <charset val="134"/>
        <scheme val="minor"/>
      </rPr>
      <t xml:space="preserve">  </t>
    </r>
    <r>
      <rPr>
        <sz val="11"/>
        <color rgb="FF000000"/>
        <rFont val="宋体"/>
        <charset val="134"/>
        <scheme val="minor"/>
      </rPr>
      <t>1L</t>
    </r>
    <r>
      <rPr>
        <sz val="11"/>
        <color rgb="FF000000"/>
        <rFont val="宋体"/>
        <charset val="134"/>
        <scheme val="minor"/>
      </rPr>
      <t xml:space="preserve">  </t>
    </r>
    <r>
      <rPr>
        <sz val="11"/>
        <color rgb="FF000000"/>
        <rFont val="宋体"/>
        <charset val="134"/>
        <scheme val="minor"/>
      </rPr>
      <t>UPC</t>
    </r>
    <r>
      <rPr>
        <sz val="11"/>
        <color rgb="FF000000"/>
        <rFont val="宋体"/>
        <charset val="134"/>
        <scheme val="minor"/>
      </rPr>
      <t xml:space="preserve">  </t>
    </r>
    <r>
      <rPr>
        <sz val="11"/>
        <color rgb="FF000000"/>
        <rFont val="宋体"/>
        <charset val="134"/>
        <scheme val="minor"/>
      </rPr>
      <t>收缩膜+1张说明书纽扣电池警告语贴纸+</t>
    </r>
    <r>
      <rPr>
        <sz val="11"/>
        <color rgb="FF000000"/>
        <rFont val="宋体"/>
        <charset val="134"/>
        <scheme val="minor"/>
      </rPr>
      <t xml:space="preserve">  </t>
    </r>
    <r>
      <rPr>
        <sz val="11"/>
        <color rgb="FF000000"/>
        <rFont val="宋体"/>
        <charset val="134"/>
        <scheme val="minor"/>
      </rPr>
      <t>1张收缩膜纽扣电池警告语贴纸+MA</t>
    </r>
    <r>
      <rPr>
        <sz val="11"/>
        <color rgb="FF000000"/>
        <rFont val="宋体"/>
        <charset val="134"/>
        <scheme val="minor"/>
      </rPr>
      <t xml:space="preserve">  </t>
    </r>
    <r>
      <rPr>
        <sz val="11"/>
        <color rgb="FF000000"/>
        <rFont val="宋体"/>
        <charset val="134"/>
        <scheme val="minor"/>
      </rPr>
      <t>5L</t>
    </r>
    <r>
      <rPr>
        <sz val="11"/>
        <color rgb="FF000000"/>
        <rFont val="宋体"/>
        <charset val="134"/>
        <scheme val="minor"/>
      </rPr>
      <t xml:space="preserve">  </t>
    </r>
    <r>
      <rPr>
        <sz val="11"/>
        <color rgb="FF000000"/>
        <rFont val="宋体"/>
        <charset val="134"/>
        <scheme val="minor"/>
      </rPr>
      <t>收藏指南+MA</t>
    </r>
    <r>
      <rPr>
        <sz val="11"/>
        <color rgb="FF000000"/>
        <rFont val="宋体"/>
        <charset val="134"/>
        <scheme val="minor"/>
      </rPr>
      <t xml:space="preserve">  </t>
    </r>
    <r>
      <rPr>
        <sz val="11"/>
        <color rgb="FF000000"/>
        <rFont val="宋体"/>
        <charset val="134"/>
        <scheme val="minor"/>
      </rPr>
      <t>23L</t>
    </r>
    <r>
      <rPr>
        <sz val="11"/>
        <color rgb="FF000000"/>
        <rFont val="宋体"/>
        <charset val="134"/>
        <scheme val="minor"/>
      </rPr>
      <t xml:space="preserve">  </t>
    </r>
    <r>
      <rPr>
        <sz val="11"/>
        <color rgb="FF000000"/>
        <rFont val="宋体"/>
        <charset val="134"/>
        <scheme val="minor"/>
      </rPr>
      <t>说明书+MA</t>
    </r>
    <r>
      <rPr>
        <sz val="11"/>
        <color rgb="FF000000"/>
        <rFont val="宋体"/>
        <charset val="134"/>
        <scheme val="minor"/>
      </rPr>
      <t xml:space="preserve">  </t>
    </r>
    <r>
      <rPr>
        <sz val="11"/>
        <color rgb="FF000000"/>
        <rFont val="宋体"/>
        <charset val="134"/>
        <scheme val="minor"/>
      </rPr>
      <t>纸袋</t>
    </r>
    <r>
      <rPr>
        <sz val="11"/>
        <color rgb="FF000000"/>
        <rFont val="宋体"/>
        <charset val="134"/>
        <scheme val="minor"/>
      </rPr>
      <t xml:space="preserve">
</t>
    </r>
    <r>
      <rPr>
        <sz val="11"/>
        <color rgb="FF000000"/>
        <rFont val="宋体"/>
        <charset val="134"/>
        <scheme val="minor"/>
      </rPr>
      <t>（客版AW以及电池警告语贴纸&lt;(&gt;&amp;&lt;)&gt;贴纸位置图翻单PO#4500170842）</t>
    </r>
    <r>
      <rPr>
        <sz val="11"/>
        <color rgb="FF000000"/>
        <rFont val="宋体"/>
        <charset val="134"/>
        <scheme val="minor"/>
      </rPr>
      <t xml:space="preserve">
</t>
    </r>
    <r>
      <rPr>
        <sz val="11"/>
        <color rgb="FF000000"/>
        <rFont val="宋体"/>
        <charset val="134"/>
        <scheme val="minor"/>
      </rPr>
      <t>Remark: 1.请务必按时完货，验货。并且按期送货入货代指定仓库，如果晚了导致船期Delay将会有罚金产生或者客户要求空运，所产生的罚金和空运费由工厂承担。</t>
    </r>
    <r>
      <rPr>
        <sz val="11"/>
        <color rgb="FF000000"/>
        <rFont val="宋体"/>
        <charset val="134"/>
        <scheme val="minor"/>
      </rPr>
      <t xml:space="preserve">
</t>
    </r>
    <r>
      <rPr>
        <sz val="11"/>
        <color rgb="FF000000"/>
        <rFont val="宋体"/>
        <charset val="134"/>
        <scheme val="minor"/>
      </rPr>
      <t>2.SSCC</t>
    </r>
    <r>
      <rPr>
        <sz val="11"/>
        <color rgb="FF000000"/>
        <rFont val="宋体"/>
        <charset val="134"/>
        <scheme val="minor"/>
      </rPr>
      <t xml:space="preserve">  </t>
    </r>
    <r>
      <rPr>
        <sz val="11"/>
        <color rgb="FF000000"/>
        <rFont val="宋体"/>
        <charset val="134"/>
        <scheme val="minor"/>
      </rPr>
      <t>外箱贴纸请同纸箱瓦楞纸方向（竖纹向）垂直，即外箱贴纸横着贴(注意条码不要被胶带粘住），贴1pc，贴1面正唛，封箱胶纸不能挡住贴纸内容。外箱贴纸</t>
    </r>
    <r>
      <rPr>
        <sz val="11"/>
        <color rgb="FF000000"/>
        <rFont val="宋体"/>
        <charset val="134"/>
        <scheme val="minor"/>
      </rPr>
      <t xml:space="preserve">
</t>
    </r>
    <r>
      <rPr>
        <sz val="11"/>
        <color rgb="FF000000"/>
        <rFont val="宋体"/>
        <charset val="134"/>
        <scheme val="minor"/>
      </rPr>
      <t>离外箱边距离不少于2cm。</t>
    </r>
    <r>
      <rPr>
        <sz val="11"/>
        <color rgb="FF000000"/>
        <rFont val="宋体"/>
        <charset val="134"/>
        <scheme val="minor"/>
      </rPr>
      <t xml:space="preserve">
</t>
    </r>
    <r>
      <rPr>
        <sz val="11"/>
        <color rgb="FF000000"/>
        <rFont val="宋体"/>
        <charset val="134"/>
        <scheme val="minor"/>
      </rPr>
      <t>3.外箱材质为ZURU标准；</t>
    </r>
    <r>
      <rPr>
        <sz val="11"/>
        <color rgb="FF000000"/>
        <rFont val="宋体"/>
        <charset val="134"/>
        <scheme val="minor"/>
      </rPr>
      <t xml:space="preserve">
</t>
    </r>
    <r>
      <rPr>
        <sz val="11"/>
        <color rgb="FF000000"/>
        <rFont val="宋体"/>
        <charset val="134"/>
        <scheme val="minor"/>
      </rPr>
      <t>4.此单需使用KMART封箱胶上下工字型封箱;从2019年6月开始，要用KMART</t>
    </r>
    <r>
      <rPr>
        <sz val="11"/>
        <color rgb="FF000000"/>
        <rFont val="宋体"/>
        <charset val="134"/>
        <scheme val="minor"/>
      </rPr>
      <t xml:space="preserve">  </t>
    </r>
    <r>
      <rPr>
        <sz val="11"/>
        <color rgb="FF000000"/>
        <rFont val="宋体"/>
        <charset val="134"/>
        <scheme val="minor"/>
      </rPr>
      <t>新版封箱胶带，此单要用"ANKO"封箱胶带</t>
    </r>
    <r>
      <rPr>
        <sz val="11"/>
        <color rgb="FF000000"/>
        <rFont val="宋体"/>
        <charset val="134"/>
        <scheme val="minor"/>
      </rPr>
      <t xml:space="preserve">
</t>
    </r>
    <r>
      <rPr>
        <sz val="11"/>
        <color rgb="FF000000"/>
        <rFont val="宋体"/>
        <charset val="134"/>
        <scheme val="minor"/>
      </rPr>
      <t>5.此单出口新西兰，请按相应的澳新标准生产；</t>
    </r>
    <r>
      <rPr>
        <sz val="11"/>
        <color rgb="FF000000"/>
        <rFont val="宋体"/>
        <charset val="134"/>
        <scheme val="minor"/>
      </rPr>
      <t xml:space="preserve">
</t>
    </r>
    <r>
      <rPr>
        <sz val="11"/>
        <color rgb="FF000000"/>
        <rFont val="宋体"/>
        <charset val="134"/>
        <scheme val="minor"/>
      </rPr>
      <t>6.产品和包装上生产批号的显示格式ZURU标准日期码格式</t>
    </r>
    <r>
      <rPr>
        <sz val="11"/>
        <color rgb="FF000000"/>
        <rFont val="宋体"/>
        <charset val="134"/>
        <scheme val="minor"/>
      </rPr>
      <t xml:space="preserve">
</t>
    </r>
    <r>
      <rPr>
        <sz val="11"/>
        <color rgb="FF000000"/>
        <rFont val="宋体"/>
        <charset val="134"/>
        <scheme val="minor"/>
      </rPr>
      <t>7.外箱信息不可手写，重量和体积需要与实际的一致(不可手写）</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8.</t>
    </r>
    <r>
      <rPr>
        <sz val="11"/>
        <color rgb="FF000000"/>
        <rFont val="宋体"/>
        <charset val="134"/>
        <scheme val="minor"/>
      </rPr>
      <t xml:space="preserve">  </t>
    </r>
    <r>
      <rPr>
        <sz val="11"/>
        <color rgb="FF000000"/>
        <rFont val="宋体"/>
        <charset val="134"/>
        <scheme val="minor"/>
      </rPr>
      <t>每款item装箱后的G.W.超过10KG或者CBM超过0.13,(9.5KG或者以上，四舍五入后也属于10KG)</t>
    </r>
    <r>
      <rPr>
        <sz val="11"/>
        <color rgb="FF000000"/>
        <rFont val="宋体"/>
        <charset val="134"/>
        <scheme val="minor"/>
      </rPr>
      <t xml:space="preserve">  </t>
    </r>
    <r>
      <rPr>
        <sz val="11"/>
        <color rgb="FF000000"/>
        <rFont val="宋体"/>
        <charset val="134"/>
        <scheme val="minor"/>
      </rPr>
      <t>需在外箱上加印超</t>
    </r>
    <r>
      <rPr>
        <sz val="11"/>
        <color rgb="FF000000"/>
        <rFont val="宋体"/>
        <charset val="134"/>
        <scheme val="minor"/>
      </rPr>
      <t xml:space="preserve">  </t>
    </r>
    <r>
      <rPr>
        <sz val="11"/>
        <color rgb="FF000000"/>
        <rFont val="宋体"/>
        <charset val="134"/>
        <scheme val="minor"/>
      </rPr>
      <t>重或者Bulky</t>
    </r>
    <r>
      <rPr>
        <sz val="11"/>
        <color rgb="FF000000"/>
        <rFont val="宋体"/>
        <charset val="134"/>
        <scheme val="minor"/>
      </rPr>
      <t xml:space="preserve">  </t>
    </r>
    <r>
      <rPr>
        <sz val="11"/>
        <color rgb="FF000000"/>
        <rFont val="宋体"/>
        <charset val="134"/>
        <scheme val="minor"/>
      </rPr>
      <t>LOGO，若发现我们资料没有，请</t>
    </r>
    <r>
      <rPr>
        <sz val="11"/>
        <color rgb="FF000000"/>
        <rFont val="宋体"/>
        <charset val="134"/>
        <scheme val="minor"/>
      </rPr>
      <t xml:space="preserve">
</t>
    </r>
    <r>
      <rPr>
        <sz val="11"/>
        <color rgb="FF000000"/>
        <rFont val="宋体"/>
        <charset val="134"/>
        <scheme val="minor"/>
      </rPr>
      <t>帮忙提醒</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1)重量超过10kg但不超过16kg且CBM不超过0. 13,10-16kg</t>
    </r>
    <r>
      <rPr>
        <sz val="11"/>
        <color rgb="FF000000"/>
        <rFont val="宋体"/>
        <charset val="134"/>
        <scheme val="minor"/>
      </rPr>
      <t xml:space="preserve">  </t>
    </r>
    <r>
      <rPr>
        <sz val="11"/>
        <color rgb="FF000000"/>
        <rFont val="宋体"/>
        <charset val="134"/>
        <scheme val="minor"/>
      </rPr>
      <t>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2）CBM超过0. 13且重量少于17kg，bulky</t>
    </r>
    <r>
      <rPr>
        <sz val="11"/>
        <color rgb="FF000000"/>
        <rFont val="宋体"/>
        <charset val="134"/>
        <scheme val="minor"/>
      </rPr>
      <t xml:space="preserve">  </t>
    </r>
    <r>
      <rPr>
        <sz val="11"/>
        <color rgb="FF000000"/>
        <rFont val="宋体"/>
        <charset val="134"/>
        <scheme val="minor"/>
      </rPr>
      <t>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3）不属于以上两种情况，需要使用相应重量范围内的超重logo</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4）超重logo需要在外箱四面都印刷(箱唛右上角，两面侧唛超重logo需要尽量靠近毛重)，尺寸为:110mm</t>
    </r>
    <r>
      <rPr>
        <sz val="11"/>
        <color rgb="FF000000"/>
        <rFont val="宋体"/>
        <charset val="134"/>
        <scheme val="minor"/>
      </rPr>
      <t xml:space="preserve">  </t>
    </r>
    <r>
      <rPr>
        <sz val="11"/>
        <color rgb="FF000000"/>
        <rFont val="宋体"/>
        <charset val="134"/>
        <scheme val="minor"/>
      </rPr>
      <t>height*</t>
    </r>
    <r>
      <rPr>
        <sz val="11"/>
        <color rgb="FF000000"/>
        <rFont val="宋体"/>
        <charset val="134"/>
        <scheme val="minor"/>
      </rPr>
      <t xml:space="preserve">  </t>
    </r>
    <r>
      <rPr>
        <sz val="11"/>
        <color rgb="FF000000"/>
        <rFont val="宋体"/>
        <charset val="134"/>
        <scheme val="minor"/>
      </rPr>
      <t>95mm</t>
    </r>
    <r>
      <rPr>
        <sz val="11"/>
        <color rgb="FF000000"/>
        <rFont val="宋体"/>
        <charset val="134"/>
        <scheme val="minor"/>
      </rPr>
      <t xml:space="preserve">  </t>
    </r>
    <r>
      <rPr>
        <sz val="11"/>
        <color rgb="FF000000"/>
        <rFont val="宋体"/>
        <charset val="134"/>
        <scheme val="minor"/>
      </rPr>
      <t>width</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9.</t>
    </r>
    <r>
      <rPr>
        <sz val="11"/>
        <color rgb="FF000000"/>
        <rFont val="宋体"/>
        <charset val="134"/>
        <scheme val="minor"/>
      </rPr>
      <t xml:space="preserve">  </t>
    </r>
    <r>
      <rPr>
        <sz val="11"/>
        <color rgb="FF000000"/>
        <rFont val="宋体"/>
        <charset val="134"/>
        <scheme val="minor"/>
      </rPr>
      <t>实际外箱重量跟印在箱唛上的数据差异不能超3%，尺寸按实际数据印刷</t>
    </r>
    <r>
      <rPr>
        <sz val="11"/>
        <color rgb="FF000000"/>
        <rFont val="宋体"/>
        <charset val="134"/>
        <scheme val="minor"/>
      </rPr>
      <t xml:space="preserve">
</t>
    </r>
    <r>
      <rPr>
        <sz val="11"/>
        <color rgb="FF000000"/>
        <rFont val="宋体"/>
        <charset val="134"/>
        <scheme val="minor"/>
      </rPr>
      <t>10.所有带纽扣电池的产品都需要在产品包装以及说明书上贴纽扣电池警告语贴纸</t>
    </r>
    <r>
      <rPr>
        <sz val="11"/>
        <color rgb="FF000000"/>
        <rFont val="宋体"/>
        <charset val="134"/>
        <scheme val="minor"/>
      </rPr>
      <t xml:space="preserve">
</t>
    </r>
    <r>
      <rPr>
        <sz val="11"/>
        <color rgb="FF000000"/>
        <rFont val="宋体"/>
        <charset val="134"/>
        <scheme val="minor"/>
      </rPr>
      <t>此单需要与AU</t>
    </r>
    <r>
      <rPr>
        <sz val="11"/>
        <color rgb="FF000000"/>
        <rFont val="宋体"/>
        <charset val="134"/>
        <scheme val="minor"/>
      </rPr>
      <t xml:space="preserve">  </t>
    </r>
    <r>
      <rPr>
        <sz val="11"/>
        <color rgb="FF000000"/>
        <rFont val="宋体"/>
        <charset val="134"/>
        <scheme val="minor"/>
      </rPr>
      <t>PO#4500215429一起合并计算</t>
    </r>
  </si>
  <si>
    <t>4500214754-20</t>
  </si>
  <si>
    <t>欠客供贴纸</t>
  </si>
  <si>
    <t>日期码格式：ZURU INC(BVI) 标准格式                  日期：按实际生产日期
Packaging Info: 1.ZURU MA UPC 最新版本包装 + 客供价格贴纸，出口美国 , 优先1L，可接受多语 。
#77731   MA UPC 现有包装+PVC桶,铜板纸+客供价格贴纸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</si>
  <si>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21750151</t>
  </si>
  <si>
    <t>4500208584-40</t>
  </si>
  <si>
    <t>1张小的警语贴纸贴在收缩膜正面+2张大的纽扣电池
警语贴纸贴在收缩膜背面和说明书上+ 1张防盗贴纸 (警语贴纸&lt;(&gt;&amp;&lt;)&gt; 防盗贴纸资料及位置图翻单PO#4500160026）+箱唛 + 8/3 外箱SSCC Label</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</si>
  <si>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PO#4500208581一起合并计算</t>
  </si>
  <si>
    <t>21750147</t>
  </si>
  <si>
    <t>4500208581-40</t>
  </si>
  <si>
    <t>1张小的警语贴纸贴在收缩膜正面+2张大的纽扣电池
警语贴纸贴在收缩膜背面和说明书上+ 1张防盗贴纸 (警语贴纸&lt;(&gt;&amp;&lt;)&gt; 防盗贴纸资料及位置图翻单PO#4500160026）+箱唛 +8/3 外箱SSCC Label</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</si>
  <si>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PO#4500208584一起合并计算</t>
  </si>
  <si>
    <t>接单汇总</t>
  </si>
  <si>
    <t xml:space="preserve"> </t>
  </si>
  <si>
    <t>其他物料</t>
  </si>
  <si>
    <t>样板</t>
  </si>
  <si>
    <t>77711 NA
球数</t>
  </si>
  <si>
    <t>77711 INT
球数</t>
  </si>
  <si>
    <t>MA 1L A收缩膜</t>
  </si>
  <si>
    <t>MA 2L 收缩膜 无条码</t>
  </si>
  <si>
    <t>MA 3L 收缩膜 无条码</t>
  </si>
  <si>
    <t>MA 2L 收缩膜</t>
  </si>
  <si>
    <t>MA 3L 收缩膜</t>
  </si>
  <si>
    <t>MA 2L 收藏指南（NA）</t>
  </si>
  <si>
    <t>MA 5L 收藏指南（INT）</t>
  </si>
  <si>
    <t>中文单专用客版收缩膜</t>
  </si>
  <si>
    <t>中文吊牌/收藏指南</t>
  </si>
  <si>
    <t>77803收缩膜</t>
  </si>
  <si>
    <t>77803客版收藏指南</t>
  </si>
  <si>
    <t>UV胶黑白说明书</t>
  </si>
  <si>
    <t>客版收缩膜</t>
  </si>
  <si>
    <t>BJ'S WHOLESALE CLUB, INC.客版收缩膜及收藏指南</t>
  </si>
  <si>
    <t>Smyths 客版收缩膜</t>
  </si>
  <si>
    <t>COSTCO 客版收缩膜</t>
  </si>
  <si>
    <t>WM US客版1L  无条码收缩膜</t>
  </si>
  <si>
    <t>COSTCO 客版收藏指南</t>
  </si>
  <si>
    <t>COSTCO 客版彩盒</t>
  </si>
  <si>
    <t>COSTCO 客版PDQ</t>
  </si>
  <si>
    <t>GQ1 1L 13pcs</t>
  </si>
  <si>
    <t>GQ1 2L 13PCS</t>
  </si>
  <si>
    <t>GQ1 3L 13PCS</t>
  </si>
  <si>
    <t>GQ2 1L 25pcs</t>
  </si>
  <si>
    <t>GQ2 2L 25pcs</t>
  </si>
  <si>
    <t>GQ2 3L 25pcs</t>
  </si>
  <si>
    <t>1L 16PCS GQ4</t>
  </si>
  <si>
    <t>3L 16PCS GQ4</t>
  </si>
  <si>
    <t>客版 8PCS GQ5</t>
  </si>
  <si>
    <t>客版 6PCS GQ6</t>
  </si>
  <si>
    <t>1L 24pcs GQ8</t>
  </si>
  <si>
    <t>77782客版收缩膜</t>
  </si>
  <si>
    <t>77782客版收藏指南</t>
  </si>
  <si>
    <t>77782 客版PDQ</t>
  </si>
  <si>
    <t>77785 1L 彩盒</t>
  </si>
  <si>
    <t>77785 3L INT彩盒</t>
  </si>
  <si>
    <t>77785 3L NA彩盒</t>
  </si>
  <si>
    <t>77785 彩盒4500212396-新客版NA</t>
  </si>
  <si>
    <t>77785 彩盒4500191865-C版本</t>
  </si>
  <si>
    <t>77785 彩盒4500194447-D版本</t>
  </si>
  <si>
    <t>77785 彩盒4500194198-E版本客版SAM 's</t>
  </si>
  <si>
    <t>77758彩盒</t>
  </si>
  <si>
    <t>77758托盘</t>
  </si>
  <si>
    <t>77785展示架</t>
  </si>
  <si>
    <t>MEC356</t>
  </si>
  <si>
    <t>MEC305</t>
  </si>
  <si>
    <t>1L SK-S002 含底座 60pcs</t>
  </si>
  <si>
    <t>2L SK-S002 含底座 60pcs</t>
  </si>
  <si>
    <t>3L SK-S002 含底座 60pcs</t>
  </si>
  <si>
    <t>2L SK-S002 无底座 60pcs</t>
  </si>
  <si>
    <t>2L 
SK1-S001 30pcs</t>
  </si>
  <si>
    <t>3L 
SK1-S002 30pcs</t>
  </si>
  <si>
    <t>客版
77803SK1-S002
30pcs</t>
  </si>
  <si>
    <t>77731圆筒</t>
  </si>
  <si>
    <t>77731彩纸</t>
  </si>
  <si>
    <t>77731贴纸</t>
  </si>
  <si>
    <t>GQ2/4展示小产品</t>
  </si>
  <si>
    <t>SK展示小产品</t>
  </si>
  <si>
    <t>MEC305展示小产品</t>
  </si>
  <si>
    <t>库有</t>
  </si>
  <si>
    <t>ZMPO24991</t>
  </si>
  <si>
    <t>77711-S001-NA</t>
  </si>
  <si>
    <t>冰箱迷你球24pcs/箱</t>
  </si>
  <si>
    <t>Remark：跟PP单一起安排                   备注：  此板单为TVC 拍摄样板单，PM 有提供让工厂备料，请与PP一起交货，谢谢</t>
  </si>
  <si>
    <t>25套散件</t>
  </si>
  <si>
    <t>Remark：跟PP单一起安排/只需要齐套散件/麻烦用胶袋分装好一套为一袋   备注：  此板单为TVC 拍摄样板单，PM 有提供让工厂备料，请与PP一起交货，谢谢</t>
  </si>
  <si>
    <t>77711-S001-INT</t>
  </si>
  <si>
    <t>冰箱迷你球pcs24/箱</t>
  </si>
  <si>
    <t>Remark：跟PP单一起安排                    备注：  此板单为TVC 拍摄样板单，PM 有提供让工厂备料，请与PP一起交货，谢谢</t>
  </si>
  <si>
    <t>Remark：跟PP单一起安排/大货标准箱装箱/箱唛参照邮件附件  备注：  请跟PP订单一起安排，谢谢</t>
  </si>
  <si>
    <t>ZMPO24995</t>
  </si>
  <si>
    <t>5套散件</t>
  </si>
  <si>
    <t>Remark：跟PP单一起安排/只需要齐套散件/麻烦用胶袋分装好一套为一袋   备注：  请跟PP订单一起安排，谢谢</t>
  </si>
  <si>
    <t>77711GQ1-S001-NA</t>
  </si>
  <si>
    <t>冰箱迷你球</t>
  </si>
  <si>
    <t>20个空PDQ</t>
  </si>
  <si>
    <t>Remark：跟PP单一起安排/只需要空PDQ/请配齐PDQ上应有的物料如展示公仔/吸塑等   备注：  请跟PP订单一起安排，谢谢</t>
  </si>
  <si>
    <t>77711GQ2-S001-NA</t>
  </si>
  <si>
    <t>Remark：跟PP单一起安排/只需要空PDQ/请配齐PDQ上应有的物料如展示公仔/吸塑等      备注：  请跟PP订单一起安排，谢谢</t>
  </si>
  <si>
    <t>Remark：跟PP单一起安排/大货标准箱装箱/箱唛参照邮件附件 备注：请跟PP订单一起安排，谢谢</t>
  </si>
  <si>
    <t>Remark：跟PP单一起安排/只需要齐套散件/麻烦用胶袋分装好一套为一袋  备注：  请跟PP订单一起安排，谢谢</t>
  </si>
  <si>
    <t>77711GQ1-S001-INT</t>
  </si>
  <si>
    <t>冰箱迷你球pcs52/箱</t>
  </si>
  <si>
    <t>Remark：跟PP单一起安排/只需要空PDQ/请配齐PDQ上应有的物料如展示公仔/吸塑等    备注：  请跟PP订单一起安排，谢谢</t>
  </si>
  <si>
    <t>77711GQ2-S001-INT</t>
  </si>
  <si>
    <t>PP</t>
  </si>
  <si>
    <t>ZPO2412010</t>
  </si>
  <si>
    <t>4500157534-40</t>
  </si>
  <si>
    <t>77711GQ2-S002-INT</t>
  </si>
  <si>
    <t>冰箱迷你球pcs25/箱</t>
  </si>
  <si>
    <r>
      <rPr>
        <sz val="11"/>
        <rFont val="宋体"/>
        <charset val="134"/>
      </rPr>
      <t xml:space="preserve">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t>
    </r>
    <r>
      <rPr>
        <sz val="11"/>
        <color rgb="FFFF0000"/>
        <rFont val="宋体"/>
        <charset val="134"/>
      </rPr>
      <t>所有外箱上都要贴一张大黄贴："ZURU Product for NZ test "</t>
    </r>
    <r>
      <rPr>
        <sz val="11"/>
        <rFont val="宋体"/>
        <charset val="134"/>
      </rPr>
      <t xml:space="preserve">
Remark:</t>
    </r>
  </si>
  <si>
    <t>Remark：大货最新版本包装/大货标准箱装箱/箱唛请参照邮件附件；备注：收到样品订单后尽快安排 ，注意样板品质质量要求要高于大货品质要求 ，送货时必须要附带送货单(没有送货单和QC检验合格报告的仓库一律拒绝收货)，请知悉，谢谢！</t>
  </si>
  <si>
    <t>95496-8.17</t>
  </si>
  <si>
    <t>77711-S001（北美）</t>
  </si>
  <si>
    <t>20套散件</t>
  </si>
  <si>
    <t>Remark：大货版本/只需要左图中3款散件每款各20PCS,共60PCS；备注：  收到订单后请尽快安排，谢谢</t>
  </si>
  <si>
    <t>1100套散件</t>
  </si>
  <si>
    <t>Remark：大货版本/只需要左图中2款散件每款各1100PCS,共2200PCS；备注：  收到订单后请尽快安排，谢谢</t>
  </si>
  <si>
    <t>30套散件</t>
  </si>
  <si>
    <t>ZMPO250247</t>
  </si>
  <si>
    <t>Remark：大货最新版本/大货标准箱装箱/箱唛参照邮件附件；备注：  收到订单后请尽快安排，谢谢</t>
  </si>
  <si>
    <t>95177-8.17</t>
  </si>
  <si>
    <t>Remark：大货最新版本/只需要齐套散件/麻烦用胶袋分装好一套为一袋；备注：  收到订单后请尽快安排，谢谢</t>
  </si>
  <si>
    <t>4500159672-10</t>
  </si>
  <si>
    <t>77711GQ4-S001-NA</t>
  </si>
  <si>
    <t>冰箱迷你球16pcs/箱</t>
  </si>
  <si>
    <r>
      <rPr>
        <sz val="11"/>
        <rFont val="宋体"/>
        <charset val="134"/>
      </rPr>
      <t>日期码格式：ZURU DGYYYYMMDD CHINA(日期避开周末和法定节假日即可） 日期：按实际生产日期
Packaging Info: 77711GQ4-S001-NA
1.包装要求：
MA 1L A版收缩膜+MA 5L A版收藏指南+MA 说明书+客版1L PDQ
每pcs产品上要贴1张RFID贴纸，贴纸由ZURU提供，贴纸位置请严格按照我们签回的签板；
Remark: 77711GQ4-S001-NA
1.包装要求：
MA 1L A版收缩膜+MA 5L A版收藏指南+MA 说明书+客版1L PDQ
每pcs产品上要贴1张RFID贴纸，贴纸由ZURU提供，贴纸位置请严格按照我们签回的签板；
2. 外箱印刷带条码的RFID箱唛：RFID紫色色带+WM Dept.图标+RFID图标+ITF-14条码，</t>
    </r>
    <r>
      <rPr>
        <sz val="11"/>
        <color rgb="FFFF0000"/>
        <rFont val="宋体"/>
        <charset val="134"/>
      </rPr>
      <t>四面右下角印刷ZURU logo, ITFF条码只印刷在正唛一面，在加印的时候确保
条形码能扫描出来，外箱侧面任一角落加印："MADE IN CHINA" 字样；</t>
    </r>
    <r>
      <rPr>
        <sz val="11"/>
        <rFont val="宋体"/>
        <charset val="134"/>
      </rPr>
      <t xml:space="preserve">
3. 在产品上和包装上要有日期码、以及要有MADE IN CHINA和ZURU字样；
4. 产品如有扎带口要剪平，不能刮手。
5. 此单需要抽板和验货，抽板时间预计4/23，请多备料
6. 此单以loose carton出货，16pcs/PDQ/CTN</t>
    </r>
  </si>
  <si>
    <t>Remark:大货最新版本包装/大货标准箱装箱/箱唛请参照邮件附件;备注：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</si>
  <si>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PO4400460299</t>
  </si>
  <si>
    <t>4500155601-10</t>
  </si>
  <si>
    <t>冰箱迷你球25pcs/箱</t>
  </si>
  <si>
    <t>所有资料翻#4500155592</t>
  </si>
  <si>
    <r>
      <rPr>
        <sz val="11"/>
        <rFont val="宋体"/>
        <charset val="134"/>
      </rPr>
      <t>日期码格式：ZURU INC(BVI) 标准格式 日期：按实际生产日期 
Packaging Info: 77711GQ2：</t>
    </r>
    <r>
      <rPr>
        <sz val="11"/>
        <color rgb="FFFF0000"/>
        <rFont val="宋体"/>
        <charset val="134"/>
      </rPr>
      <t>最新MA PDQ(优先3L)+客版收缩膜+23L说明书+5-23L警语收藏指南+MA 5L creative说明书+creative说明书荷兰语贴纸（所有资料翻#4500155592）</t>
    </r>
    <r>
      <rPr>
        <sz val="11"/>
        <rFont val="宋体"/>
        <charset val="134"/>
      </rPr>
      <t xml:space="preserve">
</t>
    </r>
    <r>
      <rPr>
        <sz val="11"/>
        <color rgb="FFFF0000"/>
        <rFont val="宋体"/>
        <charset val="134"/>
      </rPr>
      <t xml:space="preserve"> 客户PO号码请参考remark</t>
    </r>
    <r>
      <rPr>
        <sz val="11"/>
        <rFont val="宋体"/>
        <charset val="134"/>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r>
  </si>
  <si>
    <t>95083-8.17</t>
  </si>
  <si>
    <t>77711GQ2-S002-INT-客版Smyths</t>
  </si>
  <si>
    <t>PO4400460305</t>
  </si>
  <si>
    <t>4500155601-20</t>
  </si>
  <si>
    <t>4/28 出货</t>
  </si>
  <si>
    <t>95081-8.17</t>
  </si>
  <si>
    <t>4500159882-10</t>
  </si>
  <si>
    <t>77711SK-S002-INT</t>
  </si>
  <si>
    <t>冰箱迷你球展示架（带底座）</t>
  </si>
  <si>
    <r>
      <rPr>
        <sz val="11"/>
        <rFont val="宋体"/>
        <charset val="134"/>
      </rPr>
      <t xml:space="preserve">日期码格式：ZURU INC(BVI) 标准格式 日期：按实际生产日期 
Packaging Info: #77673TQ1:
 1.3PCS AG13 BATTERIES(INCLUDED)，有纽扣电池，包装正面和说明书都需要加电池警告语贴纸（法规要求）
 2.Filxed Collection
</t>
    </r>
    <r>
      <rPr>
        <sz val="11"/>
        <color rgb="FFFF0000"/>
        <rFont val="宋体"/>
        <charset val="134"/>
      </rPr>
      <t xml:space="preserve"> #77711需要加UPC贴纸</t>
    </r>
    <r>
      <rPr>
        <sz val="11"/>
        <rFont val="宋体"/>
        <charset val="134"/>
      </rPr>
      <t xml:space="preserve">
Remark: 1.MA UPC 英语包装（优先1L英语版本，或者3L/5L含英语都可）
 2.此客人不接受易掉落或者剥落或者可直接触碰的闪粉，可降解也不行，但可以接受符合欧洲微塑料标准的珠光粉或者闪片。</t>
    </r>
  </si>
  <si>
    <t>4500159886-10</t>
  </si>
  <si>
    <t>4500160504-70</t>
  </si>
  <si>
    <t>77711GQ2-S002-NA</t>
  </si>
  <si>
    <t>冰箱迷你球  25pcs/箱</t>
  </si>
  <si>
    <t>5/19 第三方验货，3. 此单有第三方验货，烦请多备包装物料；
6. #77711需于2025/4/18安排签版, 签样数量：大货样各4PCS+散件3套;
7. #77711 需于2025/4/28安排抽办测试, 抽办数量：大货各4 SETS;</t>
  </si>
  <si>
    <r>
      <rPr>
        <sz val="11"/>
        <rFont val="宋体"/>
        <charset val="134"/>
      </rPr>
      <t xml:space="preserve">日期码格式：ZURU INC(BVI) 标准格式 日期：按实际生产日期
Packaging Info:
#77711：
MA2L,PDQ(NA版,25装)+MA2L收缩膜(NA版,UPC:193052080127)+MA5L收藏指南((NA版)+MA配件袋+MA5L说明书+MA23L警告语说明书
产品配比：
7 Assortment, Polar bear: Penguin: Walrus: Mammoth: Owl: Seal: Snow man=10:10:10:10:10:8:2. Snow man is the rare item.
Remark: 1. 此单有箱唛；
3. 此单有第三方验货，烦请多备包装物料；
</t>
    </r>
    <r>
      <rPr>
        <sz val="11"/>
        <color rgb="FFFF0000"/>
        <rFont val="宋体"/>
        <charset val="134"/>
      </rPr>
      <t>6. #77711需于2025/4/18安排签版, 签样数量：大货样各4PCS+齐套散件3套;
9. #77711 需于2025/4/28安排抽办测试, 抽办数量：大货4 pcs+齐套散件4SETS;</t>
    </r>
    <r>
      <rPr>
        <sz val="11"/>
        <rFont val="宋体"/>
        <charset val="134"/>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</si>
  <si>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95066/95077</t>
  </si>
  <si>
    <t>77711GQ2-S002-NA-2L</t>
  </si>
  <si>
    <t>THE FARMERS' TRADING COMPANY LIMITE</t>
  </si>
  <si>
    <t>SSF792</t>
  </si>
  <si>
    <t>4500160427-10</t>
  </si>
  <si>
    <t>77711GQ1-S002-INT</t>
  </si>
  <si>
    <t>冰箱迷你球13pcs/箱</t>
  </si>
  <si>
    <r>
      <rPr>
        <sz val="11"/>
        <rFont val="宋体"/>
        <charset val="134"/>
      </rPr>
      <t xml:space="preserve">日期码格式：ZURU INC(BVI) 标准格式 日期：按实际生产日期
Packaging Info:
Remark: MA UPC英语包装（优先1L英语版本,或者3L/L含英语即可);
可移动材质的价格贴纸（价格贴纸要切易撕线）
</t>
    </r>
    <r>
      <rPr>
        <sz val="11"/>
        <color rgb="FFFF0000"/>
        <rFont val="宋体"/>
        <charset val="134"/>
      </rPr>
      <t>新增upc贴纸覆盖原EAN条码</t>
    </r>
  </si>
  <si>
    <t>Kido he</t>
  </si>
  <si>
    <t>95085-8.17</t>
  </si>
  <si>
    <t>COLES SUPERMARKETS</t>
  </si>
  <si>
    <t>港口：SYD
PO#46423734</t>
  </si>
  <si>
    <t>4500160492-10</t>
  </si>
  <si>
    <t>77711GQ6-S001-INT</t>
  </si>
  <si>
    <t>冰箱迷你球6pcs/箱</t>
  </si>
  <si>
    <t>日期码格式：ZURU INC(BVI) 标准格式 日期：按实际生产日期
Packaging Info: MA UPC 包装+客版PDQ+箱唛
Remark: 1.此单出口澳大利亚，请按相应的澳新标准生产；
2.产品和包装上生产批号请按我司标准
3.当同一PO或item有多个批次代码时，每个批次代码的纸箱必须分组在一起，且明显分开</t>
  </si>
  <si>
    <t>95099-8.17</t>
  </si>
  <si>
    <t>港口：MEL
PO#46423735</t>
  </si>
  <si>
    <t>4500160492-20</t>
  </si>
  <si>
    <t>港口：BNE
PO#46423736</t>
  </si>
  <si>
    <t>4500160492-30</t>
  </si>
  <si>
    <t>4500159576-10</t>
  </si>
  <si>
    <t>冰箱迷你球50pcs/箱</t>
  </si>
  <si>
    <r>
      <rPr>
        <sz val="11"/>
        <rFont val="宋体"/>
        <charset val="134"/>
      </rPr>
      <t xml:space="preserve">日期码格式：ZURU INC(BVI) 标准格式 日期：按实际生产日期
Packaging Info: 1. 77711GQ2: </t>
    </r>
    <r>
      <rPr>
        <sz val="11"/>
        <color rgb="FFFF0000"/>
        <rFont val="宋体"/>
        <charset val="134"/>
      </rPr>
      <t>MA INT 3L包装（MA收缩膜和说明书） + 一张UPC条码贴纸 （UPC#193052080134）+ 1张客人通用进口商贴纸;</t>
    </r>
    <r>
      <rPr>
        <sz val="11"/>
        <rFont val="宋体"/>
        <charset val="134"/>
      </rPr>
      <t xml:space="preserve">
Remark: 1.按实际生产日期;
2.出澳大利亚，请按照相应标准生产;</t>
    </r>
  </si>
  <si>
    <t>4500159576-50</t>
  </si>
  <si>
    <r>
      <rPr>
        <sz val="11"/>
        <rFont val="宋体"/>
        <charset val="134"/>
      </rPr>
      <t xml:space="preserve">日期码格式：ZURU INC(BVI) 标准格式 日期：按实际生产日期
Packaging Info: 
5. 77711SK: MA </t>
    </r>
    <r>
      <rPr>
        <sz val="11"/>
        <color rgb="FFFF0000"/>
        <rFont val="宋体"/>
        <charset val="134"/>
      </rPr>
      <t>INT 3L包装（MA收缩膜和说明书） + 一张UPC条码贴纸 （UPC#193052080134）+ 1张客人通用进口商贴纸</t>
    </r>
    <r>
      <rPr>
        <sz val="11"/>
        <rFont val="宋体"/>
        <charset val="134"/>
      </rPr>
      <t xml:space="preserve">
Remark: 1.按实际生产日期;
2.出澳大利亚，请按照相应标准生产;</t>
    </r>
  </si>
  <si>
    <t>4500160026-10</t>
  </si>
  <si>
    <t>防盗贴纸+ 外箱贴纸SSCC Label</t>
  </si>
  <si>
    <r>
      <rPr>
        <sz val="11"/>
        <rFont val="宋体"/>
        <charset val="134"/>
      </rPr>
      <t xml:space="preserve">日期码格式：ZURU INC(BVI) 标准格式 日期：按实际生产日期
Packaging Info: 77711GQ1-S002-INT: </t>
    </r>
    <r>
      <rPr>
        <sz val="11"/>
        <color rgb="FFFF0000"/>
        <rFont val="宋体"/>
        <charset val="134"/>
      </rPr>
      <t>MA 3L包装 + 一张UPC条码贴（收缩膜和说明书）+ 防盗贴纸+ 箱唛 + 外箱贴纸SSCC Label</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</si>
  <si>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4500160027-10</t>
  </si>
  <si>
    <r>
      <rPr>
        <sz val="11"/>
        <rFont val="宋体"/>
        <charset val="134"/>
      </rPr>
      <t xml:space="preserve">日期码格式：ZURU INC(BVI) 标准格式 日期：按实际生产日期
Packaging Info: </t>
    </r>
    <r>
      <rPr>
        <sz val="11"/>
        <color rgb="FFFF0000"/>
        <rFont val="宋体"/>
        <charset val="134"/>
      </rPr>
      <t>77711GQ1-S002-INT: MA 3L包装（MA收缩膜和说明书） + 一张UPC条码贴+ 防盗贴纸（贴纸以及位置图翻单PO#4500160026）+ 箱唛 + 外箱贴纸SSCC Label</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</si>
  <si>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4500160634-10</t>
  </si>
  <si>
    <t>77711GQ1-S002-INT-MTS</t>
  </si>
  <si>
    <t>多语折叠警告语贴纸（翻单4500157858）</t>
  </si>
  <si>
    <t>日期码格式：ZURU INC(BVI) 标准格式 日期：按实际生产日期 
Packaging Info: 77711GQ1: MA_3L_13PCS_A PDQ + MA 3L EAN 收缩膜 +多语折叠警告语贴纸（翻单4500157858） + MA5L收藏指南+ MA 23L说明书+ UV胶黑白警告语 + MA纸袋 EAN #
 4894680043350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</si>
  <si>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B0DR3SZ2QP</t>
  </si>
  <si>
    <t>4500160498-10</t>
  </si>
  <si>
    <t>77731-S001-NA-MTS</t>
  </si>
  <si>
    <t>冰箱迷你球 PVC圆筒两个装</t>
  </si>
  <si>
    <t>日期码格式：ZURU INC(BVI) 标准格式 日期：按实际生产日期 
Packaging Info:
#77731：2PK STD #77711入PVC桶，3L 2PK铜版纸，客版无UPC版本收缩膜跟单提供。收藏指南，说明书均为MA 1L标版。（两个球的配比不能重复）。
Remark: 1.Amazon domestic 订单。出口美国。外箱最长边不能超过25" （超过了，case pack只能为1），不符合要求的大货，一律不接受。
 2.无第三方验货/测试要求。
 3.日期码使用ZURU标准版本。
 4.邮包盒要印刷日期码。</t>
  </si>
  <si>
    <t>77731-NA-S001-MTS</t>
  </si>
  <si>
    <t>客户PO;019235
84/1</t>
  </si>
  <si>
    <t>4500159525-10</t>
  </si>
  <si>
    <r>
      <rPr>
        <sz val="11"/>
        <rFont val="宋体"/>
        <charset val="134"/>
      </rPr>
      <t xml:space="preserve">日期码格式：ZURU INC(BVI) 标准格式 日期：按实际生产日期
Packaging Info: 标准配比
Remark: 订单对应4个客户PO，请不要混装， 不同PO分开装柜
</t>
    </r>
    <r>
      <rPr>
        <sz val="11"/>
        <color rgb="FFFF0000"/>
        <rFont val="宋体"/>
        <charset val="134"/>
      </rPr>
      <t>收缩膜需要加贴UPC条码</t>
    </r>
    <r>
      <rPr>
        <sz val="11"/>
        <rFont val="宋体"/>
        <charset val="134"/>
      </rPr>
      <t xml:space="preserve">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r>
  </si>
  <si>
    <t>95034/95086</t>
  </si>
  <si>
    <t>客户PO:019235
87/1</t>
  </si>
  <si>
    <t>4500159525-20</t>
  </si>
  <si>
    <t>4500159818-10</t>
  </si>
  <si>
    <t>77711GQ1-S003-INT</t>
  </si>
  <si>
    <t>冰箱迷你球104pcs/箱（有内箱）</t>
  </si>
  <si>
    <t>日期码格式：ZURU INC(BVI) 标准格式 日期：按实际生产日期
Packaging Info: 77711GQ1-S003-INT：MA 3L收缩膜+一张UPC条码贴纸（UPC#193052080134）+MA 3L PDQ+其他最新MA包装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</si>
  <si>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95100-8.17</t>
  </si>
  <si>
    <t>0904512435
STATESBORO</t>
  </si>
  <si>
    <t>4500162160-10</t>
  </si>
  <si>
    <t>4/11 寄出</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</si>
  <si>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</si>
  <si>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0904512480
SUFFOLK</t>
  </si>
  <si>
    <t>4500162160-20</t>
  </si>
  <si>
    <t>Smyths Toys HQ UC</t>
  </si>
  <si>
    <t>4500156860-10</t>
  </si>
  <si>
    <r>
      <rPr>
        <sz val="11"/>
        <rFont val="宋体"/>
        <charset val="134"/>
      </rPr>
      <t>日期码格式：ZURU INC(BVI) 标准格式 日期：按实际生产日期 
Packaging Info: 77711GQ2：</t>
    </r>
    <r>
      <rPr>
        <sz val="11"/>
        <color rgb="FFFF0000"/>
        <rFont val="宋体"/>
        <charset val="134"/>
      </rPr>
      <t>最新MA PDQ(优先3L)+客版收缩膜(英法德callout/英法德意荷警语/法国环保logo) +23L 说明书+ 5+23L警语收藏指南+ MA 5L creative说明书 + crea
tive说明书荷兰语贴纸（所有资料翻单#4500155592）</t>
    </r>
    <r>
      <rPr>
        <sz val="11"/>
        <rFont val="宋体"/>
        <charset val="134"/>
      </rPr>
      <t xml:space="preserve">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供应商需要对此负责;国被抽检出现问题 ，供应商需要对此负责;</t>
    </r>
  </si>
  <si>
    <t>94994-8.17</t>
  </si>
  <si>
    <t>4500155592-10</t>
  </si>
  <si>
    <r>
      <rPr>
        <sz val="11"/>
        <rFont val="宋体"/>
        <charset val="134"/>
      </rPr>
      <t>日期码格式：ZURU INC(BVI) 标准格式 日期：按实际生产日期 
Packaging Info: 最新MA PDQ(优先3L)+客版收缩膜</t>
    </r>
    <r>
      <rPr>
        <sz val="11"/>
        <color rgb="FFFF0000"/>
        <rFont val="宋体"/>
        <charset val="134"/>
      </rPr>
      <t>(英法德callout/英法德意荷警语/法国环保logo) +23L 说明书+ 5+23L警语收藏指南+ MA 5L creative说明书 + creative说明书
 荷兰语贴纸
 EAN: 4894680043350</t>
    </r>
    <r>
      <rPr>
        <sz val="11"/>
        <rFont val="宋体"/>
        <charset val="134"/>
      </rPr>
      <t xml:space="preserve">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r>
  </si>
  <si>
    <t>95084-8.17</t>
  </si>
  <si>
    <t>4500157858-80</t>
  </si>
  <si>
    <r>
      <rPr>
        <sz val="11"/>
        <rFont val="宋体"/>
        <charset val="134"/>
      </rPr>
      <t xml:space="preserve">日期码格式：ZURU INC(BVI) 标准格式 日期：按实际生产日期
Packaging Info: 
</t>
    </r>
    <r>
      <rPr>
        <sz val="11"/>
        <color rgb="FFFF0000"/>
        <rFont val="宋体"/>
        <charset val="134"/>
      </rPr>
      <t>77711GQ1：MA_3L_13PCS_A PDQ + MA 3L EAN 收缩膜 +多语折叠警告语贴纸（含环保标） + MA5L收藏指南+ MA 23L说明书+ UV胶黑白警告语 + MA纸袋 EAN #489468
0043350</t>
    </r>
    <r>
      <rPr>
        <sz val="11"/>
        <rFont val="宋体"/>
        <charset val="134"/>
      </rPr>
      <t xml:space="preserve">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</si>
  <si>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SD82</t>
  </si>
  <si>
    <t>95082-8.17</t>
  </si>
  <si>
    <t>4500161426-10</t>
  </si>
  <si>
    <t>日期码格式：ZURU INC(BVI) 标准格式 日期：按实际生产日期
Packaging Info: 77711GQ1 （INT): MA 3L 收缩膜+1张UPC 条码贴纸+ MA 3L PDQ+MA 5L 收藏指南+1张警语贴纸 （贴球底部）
Remark: 此单出TW</t>
  </si>
  <si>
    <t>4500158149-20</t>
  </si>
  <si>
    <t>日期码格式：ZURU INC(BVI) 标准格式 日期：按实际生产日期
Packaging Info: 
 77711GQ2： 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4. 外箱正唛箱唛内容右侧需贴一张Event label，内容显示Toys Set Date：7/20/2025，工厂自行订购；
 此订单所有item：
 1. 产品和包装上印刷 tracking code信息，格式为ZURU常规格式;
 2. 出货方式：货代自提</t>
  </si>
  <si>
    <t>4500159315-40</t>
  </si>
  <si>
    <t>日期码格式：ZURU INC(BVI) 标准格式 日期：按实际生产日期
Packaging Info:
77711GQ2：产品包装(UPC版) MA 1L 收缩膜 + MA1L PDQ；
Remark: 
5. 外箱正唛箱唛左上方位置粘贴条码箱贴纸，每箱贴一张由ZURU 订购，来料显示DPCI:086-02-7025,UPC# 10193052075106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</si>
  <si>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4500159604-20</t>
  </si>
  <si>
    <t>日期码格式：ZURU INC(BVI) 标准格式 日期：按实际生产日期
Packaging Info: 
77711GQ2： 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</si>
  <si>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4500159666-10</t>
  </si>
  <si>
    <t>77711GQ1-S002-NA</t>
  </si>
  <si>
    <r>
      <rPr>
        <sz val="11"/>
        <rFont val="宋体"/>
        <charset val="134"/>
      </rPr>
      <t>日期码格式： 标准格式 日期：按实际生产日期
Packaging Info: 77711GQ1</t>
    </r>
    <r>
      <rPr>
        <sz val="11"/>
        <color rgb="FFFF0000"/>
        <rFont val="宋体"/>
        <charset val="134"/>
      </rPr>
      <t xml:space="preserve"> MA 多语（含英法）EAN包装+UPC贴纸， UPC号码193052080127</t>
    </r>
    <r>
      <rPr>
        <sz val="11"/>
        <rFont val="宋体"/>
        <charset val="134"/>
      </rPr>
      <t xml:space="preserve">
Remark: 出加拿大
Zuru验货.日期跟踪码：产品外包装及产品本身都必须有日期跟踪码，ZURU标准格式日期码。（箱唛日期码按跟单提供格式）</t>
    </r>
  </si>
  <si>
    <t>0902421332
SAVANNAH</t>
  </si>
  <si>
    <t>4500159673-10</t>
  </si>
  <si>
    <t>RFID+粉色艾利贴纸</t>
  </si>
  <si>
    <t>日期码格式：ZURU DGYYYYMMDD CHINA(日期避开周末和法定节假日即可） 日期：按实际生产日期
Packaging Info: 77711GQ4-S001-NA
1.包装要求：
MA 1L A版收缩膜+MA 5L A版收藏指南+MA 说明书+客版1L PDQ
每pcs产品上要贴1张RFID贴纸，贴纸由ZURU提供，贴纸位置请严格按照我们签回的签板；
Remark: 77711GQ4-S001-NA
1.包装要求：
MA 1L A版收缩膜+MA 5L A版收藏指南+MA 说明书+客版1L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carton出货，16pcs/PDQ/CTN</t>
  </si>
  <si>
    <t>0902421357
SUFFOLK</t>
  </si>
  <si>
    <t>4500159673-20</t>
  </si>
  <si>
    <t>预计4/13完成</t>
  </si>
  <si>
    <t>0902421335
RIDGEVILLE SC</t>
  </si>
  <si>
    <t>4500159673-30</t>
  </si>
  <si>
    <t>4500162161-10</t>
  </si>
  <si>
    <t>4500162134-50</t>
  </si>
  <si>
    <t>出货前两周需寄2-3套大货样品</t>
  </si>
  <si>
    <t>5/16 出货</t>
  </si>
  <si>
    <t>客户指定日期码码20250202，包装/产品/外箱需保持一致</t>
  </si>
  <si>
    <r>
      <rPr>
        <sz val="11"/>
        <rFont val="宋体"/>
        <charset val="134"/>
      </rPr>
      <t xml:space="preserve">日期码格式：20250202 日期：
Packaging Info: 
77711GQ2:MA 3L PDQ+MA A 3L 收缩膜+MA5L收藏指南+进口商贴纸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6. 其他款，若产品有比例使用ZURU STD 比例
7，77711GQ2 外箱跟77711SK1 不能用同一个条码， 77711GQ2此款改为4894680053465， 77711SK1外箱条码为4894680053571
</t>
    </r>
    <r>
      <rPr>
        <sz val="11"/>
        <color rgb="FFFF0000"/>
        <rFont val="宋体"/>
        <charset val="134"/>
      </rPr>
      <t>8. 客户指定日期码码20250202，包装/产品/外箱需保持一致</t>
    </r>
  </si>
  <si>
    <t>95140-8.17</t>
  </si>
  <si>
    <t>4500162820-10</t>
  </si>
  <si>
    <t>日期码格式：ZURU INC(BVI) 标准格式 日期：按实际生产日期
Packaging Info: 77711 MA 3L EAN 版本收缩膜+1*多语警告语贴纸+MA 5L 收藏指南+MA 23L 警告语说明书+MA 5L 装配说明书+MA PDQ （语言不限）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</si>
  <si>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4500160943-10</t>
  </si>
  <si>
    <t>4/8寄出</t>
  </si>
  <si>
    <r>
      <rPr>
        <sz val="11"/>
        <rFont val="宋体"/>
        <charset val="134"/>
      </rPr>
      <t xml:space="preserve">日期码格式：ZURU INC(BVI) 标准格式 日期：按实际生产日期
Packaging Info: 77711GQ1 （INT): MA 3L 收缩膜+1张UPC 条码贴纸+ MA 3L PDQ+MA 5L 收藏指南+客供警语贴纸
</t>
    </r>
    <r>
      <rPr>
        <sz val="11"/>
        <color rgb="FFFF0000"/>
        <rFont val="宋体"/>
        <charset val="134"/>
      </rPr>
      <t>（1张贴球底部，1张贴说明书，1张贴收藏指南）</t>
    </r>
    <r>
      <rPr>
        <sz val="11"/>
        <rFont val="宋体"/>
        <charset val="134"/>
      </rPr>
      <t xml:space="preserve">
Remark: 此单出香港</t>
    </r>
  </si>
  <si>
    <t>4500163177-10</t>
  </si>
  <si>
    <t>日期码格式：ZURU INC(BVI) 标准格式 日期：按实际生产日期
Packaging Info: 1. 77711GQ1因系统问题，暂时开40GP，待系统维护后会改成20GP发过来。
77711GQ1-MA EAN包装（3L)+1张进口商贴纸+1张UPC条码贴纸覆盖原EAN条码，UPC条码贴纸见邮件附件。
77711GQ1进口商贴纸资料待提供。
Remark:</t>
  </si>
  <si>
    <t>4500160504-80</t>
  </si>
  <si>
    <t>5/19 第三方验货 3. 此单有第三方验货，烦请多备包装物料；
6. #77711需于2025/4/18安排签版, 签样数量：大货样各4PCS+散件3套;
7. #77711 需于2025/4/28安排抽办测试, 抽办数量：大货各4 SETS;</t>
  </si>
  <si>
    <r>
      <rPr>
        <sz val="11"/>
        <rFont val="宋体"/>
        <charset val="134"/>
      </rPr>
      <t xml:space="preserve">日期码格式：ZURU INC(BVI) 标准格式 日期：按实际生产日期
Packaging Info:
#77711：
MA2L,PDQ(NA版,25装)+MA2L收缩膜(NA版,UPC:193052080127)+MA5L收藏指南((NA版)+MA配件袋+MA5L说明书+MA23L警告语说明书
产品配比：
7 Assortment, Polar bear: Penguin: Walrus: Mammoth: Owl: Seal: Snow man=10:10:10:10:10:8:2. Snow man is the rare item.
Remark: 1. 此单有箱唛；
2. 9900923470单为ECOM订单，外箱四面须加一张黄色贴纸；
3. 此单有第三方验货，烦请多备包装物料；
</t>
    </r>
    <r>
      <rPr>
        <sz val="11"/>
        <color rgb="FFFF0000"/>
        <rFont val="宋体"/>
        <charset val="134"/>
      </rPr>
      <t>6. #77711需于2025/4/18安排签版, 签样数量：大货样各4PCS+齐套散件3套;
9. #77711 需于2025/4/28安排抽办测试, 抽办数量：大货4 pcs+齐套散件4SETS;</t>
    </r>
    <r>
      <rPr>
        <sz val="11"/>
        <rFont val="宋体"/>
        <charset val="134"/>
      </rPr>
      <t xml:space="preserve">
11. UPC贴纸：必须在原来错误的条码上用黑色粗头笔涂黑直至不能扫描，再贴上正确的UPC;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</si>
  <si>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4500160504-90</t>
  </si>
  <si>
    <t>OSIRIS INC</t>
  </si>
  <si>
    <t>4500158159-20</t>
  </si>
  <si>
    <t>日期码格式： 标准格式 日期：按实际生产日期
Packaging Info: 
 77711GQ2 MA 多语 UPC版本，193052080127
Remark: 出加拿大
Zuru验货.日期跟踪码：产品外包装及产品本身都必须有日期跟踪码，ZURU标准格式日期码</t>
  </si>
  <si>
    <t>95006-8.17</t>
  </si>
  <si>
    <t>4500162162-10</t>
  </si>
  <si>
    <t>客户PO:019235
88/1</t>
  </si>
  <si>
    <t>4500159525-30</t>
  </si>
  <si>
    <t>客户PO:019235
89/1</t>
  </si>
  <si>
    <t>4500159525-40</t>
  </si>
  <si>
    <t>4500162690-10</t>
  </si>
  <si>
    <t>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</si>
  <si>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</si>
  <si>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95039-8.17</t>
  </si>
  <si>
    <t>4500163403-20</t>
  </si>
  <si>
    <t>多语折叠警语贴纸（翻单4500162820）</t>
  </si>
  <si>
    <t>日期码格式：ZURU INC(BVI) 标准格式 日期：按实际生产日期
Packaging Info: 
2. 77711GQ1：MA 3L A版PDQ + 3L EAN B版收缩膜 +1*多语折叠警语贴纸（翻单4500162820） + MA 5L A版收藏指南 +MA 23L 说明书 +MA 5L creative说明书
EAN#4894680043350；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</si>
  <si>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AMY XIAO</t>
  </si>
  <si>
    <t>95028-8.17</t>
  </si>
  <si>
    <t>0904512442
EASTVALE</t>
  </si>
  <si>
    <t>4500162168-10</t>
  </si>
  <si>
    <t>0904512293
STATESBORO</t>
  </si>
  <si>
    <t>4500162168-30</t>
  </si>
  <si>
    <t>0904512275
SUFFOLK</t>
  </si>
  <si>
    <t>4500162168-40</t>
  </si>
  <si>
    <t>ZB00387-6.2</t>
  </si>
  <si>
    <t>4500162375-30</t>
  </si>
  <si>
    <t>日期码格式：ZURU INC(BVI) 标准格式 日期：按实际生产日期
Packaging Info:
77711GQ2: 收缩膜MA EAN 3L A+收藏指南5L A+使用说明23L+1张警示语贴纸
2/产品和包装要求无硼无香，包装不能含有PVC
3/如有微塑料，必须合规欧洲标准，闪粉也是微塑料的一种，目前仅接受三张方式1.去除，2.用可降解材料，和3.永久封印在固体。
4/带电池出货的产品，所用到的电池需要符合欧洲电池新规(EU)2023-1542</t>
  </si>
  <si>
    <t>4500162134-60</t>
  </si>
  <si>
    <t>77711SK1-S002-INT</t>
  </si>
  <si>
    <r>
      <rPr>
        <sz val="11"/>
        <rFont val="宋体"/>
        <charset val="134"/>
      </rPr>
      <t xml:space="preserve">日期码格式：20250202 日期：
Packaging Info:
77711SK1:MA 3L 展示架+MA A 3L 收缩膜+MA5L收藏指南+进口商贴纸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另外，15701 &lt;(&gt;&amp;&lt;)&gt; 15727 &lt;(&gt;&amp;&lt;)&gt; 15726 按MA配比
6. 其他款，若产品有比例使用ZURU STD 比例
7，77711GQ2 外箱跟77711SK1 不能用同一个条码， 77711GQ2此款改为4894680053465， 77711SK1外箱条码为4894680053571
</t>
    </r>
    <r>
      <rPr>
        <sz val="11"/>
        <color rgb="FFFF0000"/>
        <rFont val="宋体"/>
        <charset val="134"/>
      </rPr>
      <t>8. 客户指定日期码码20250202，包装/产品/外箱需保持一致</t>
    </r>
  </si>
  <si>
    <t>4500162027-10</t>
  </si>
  <si>
    <t>日期码格式：ZURU INC(BVI) 标准格式 日期：按实际生产日期
Packaging Info: 77711：Refer Packing Ratio
Remark: MA UPC 英语包装（优先1L英语版本，或者3L/5L含英语都可）
要加UPC贴纸
此客人不接受易掉落或者剥落或者可直接触碰的闪粉，可降解也不行，但可以接受符合欧洲微塑料标准的珠光粉或者闪片。</t>
  </si>
  <si>
    <t>95080-8.17</t>
  </si>
  <si>
    <t>4500162028-10</t>
  </si>
  <si>
    <t>95079-8.17</t>
  </si>
  <si>
    <t>American Eagle</t>
  </si>
  <si>
    <t>Customer PO#
1247640</t>
  </si>
  <si>
    <t>4500163327-10</t>
  </si>
  <si>
    <t>日期码格式：ZURU INC(BVI) 标准格式 日期：按实际生产日期
Packaging Info: MA 1L UPC 包装+客供价格贴+外箱贴（跟单提供资料，工厂自行安排）
Remark: 1. MA 1L UPC 包装+客供价格贴+外箱贴（跟单提供资料，工厂自行安排）
2. 产品和包装上印刷tracking code信息，格式为ZURU常规
3. 箱子最小的尺寸要求： 30.48 x 22.86 x 10.16cm, 最大的尺寸为 66. 04 X 45.72 X 43.18cm, 外箱的高不能大于宽，否则会有罚款，如外箱达不到要求请告知
跟单，需要调整。
4. 外箱贴纸尺寸4x6英寸，贴纸居中贴在侧面，且距离外箱底部1.5英寸，外箱胶纸不可以覆盖住贴纸上的条形码，不可以有褶皱/刮花导致扫描不出信息，否则会
有罚款.
5. 需ZURU QC 验货合格后方可出货
6. 价格贴的位置为球的顶部或者底部的空白处，不可以覆盖住重要文字以及图案.</t>
  </si>
  <si>
    <t>4500163438-30</t>
  </si>
  <si>
    <t>日期码格式：ZURU INC(BVI) 标准格式 日期：按实际生产日期
Packaging Info: 1. 出口加拿大市场，MA UPC版本包装。
#77711GQ2: MA 2L UPC版本；
2. 产品、包装、外箱上面tracking code的时间格式需要一致
Remark: 3. 需要第三方SGS验货，验货时间2025/05/19，每款每色请备1PC完整带包装样品供验货人员参考。用完后若无损坏可以放回大货里。</t>
  </si>
  <si>
    <t>0902421336
HOUSTON</t>
  </si>
  <si>
    <t>4500159675-10</t>
  </si>
  <si>
    <t>0902421337
MOBILE</t>
  </si>
  <si>
    <t>4500159675-20</t>
  </si>
  <si>
    <t>0904512455
ELWOOD</t>
  </si>
  <si>
    <t>4500162168-20</t>
  </si>
  <si>
    <t>0904512277
RIDGEVILLE SC</t>
  </si>
  <si>
    <t>4500162168-50</t>
  </si>
  <si>
    <t>4500160573-20</t>
  </si>
  <si>
    <t>客版日期码要求：LOT+ZURU标准日期码格式。东莞生产的格式：LOTDGYYYYMMDD, DG是东莞拼音首字母，
YYYYMMDD是实际的年月日，例如(LOTDG20240920)</t>
  </si>
  <si>
    <t>W5.WM墨西哥防霉的新要求:货物必须在出货主箱和集装箱中按要求放置干燥剂，干燥剂指定品牌干霸
77711GQ2：需要在每箱放入6小包干燥剂，每包干燥剂重量2g
 如走柜货等loading plan 确认后再通知集装箱干燥剂数量
 此单兴信将安排8*40HC柜子，每个HC需要放置10包干燥剂，每包干燥剂1KG</t>
  </si>
  <si>
    <r>
      <rPr>
        <sz val="11"/>
        <rFont val="宋体"/>
        <charset val="134"/>
      </rPr>
      <t xml:space="preserve">日期码格式：LOTDGYYYYMMDD 日期：按实际生产日期
Packaging Info:
 2. 77711GQ2：3L MA EAN 收缩膜+UPC条码贴纸+进口商贴纸+MA 5L 收藏指南+MA 3L PDQ+箱唛；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77711GQ2：需要在每箱放入6小包干燥剂，每包干燥剂重量2g
 如走柜货等loading plan 确认后再通知集装箱干燥剂数量
</t>
    </r>
    <r>
      <rPr>
        <sz val="11"/>
        <color rgb="FFFF0000"/>
        <rFont val="宋体"/>
        <charset val="134"/>
      </rPr>
      <t xml:space="preserve"> 此单兴信将安排8*40HC柜子，每个HC需要放置10包干燥剂，每包干燥剂1KG</t>
    </r>
  </si>
  <si>
    <t>95123-8.17</t>
  </si>
  <si>
    <t>4500162314-70</t>
  </si>
  <si>
    <t>客人告知下周会出货</t>
  </si>
  <si>
    <r>
      <rPr>
        <sz val="11"/>
        <rFont val="宋体"/>
        <charset val="134"/>
      </rPr>
      <t xml:space="preserve">日期码格式：ZURU INC(BVI) 标准格式 日期：按实际生产日期
Packaging Info:
</t>
    </r>
    <r>
      <rPr>
        <sz val="11"/>
        <color rgb="FFFF0000"/>
        <rFont val="宋体"/>
        <charset val="134"/>
      </rPr>
      <t>77711GQ1:</t>
    </r>
    <r>
      <rPr>
        <sz val="11"/>
        <rFont val="宋体"/>
        <charset val="134"/>
      </rPr>
      <t>最新MA 3L EAN收缩膜+最新MA 5L收藏指南+最新MA 23L说明书+最新MA 5L creative+最新MA纸袋+最新MA 3L PDQ+多语警语折叠贴纸（含包装缺失的法/意/
西环保标）,,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r>
  </si>
  <si>
    <t>4500159575-30</t>
  </si>
  <si>
    <t>大货样： 请在5/10 前寄出每款1整套大货样到罗湖办公室7B Sandy Shao 收</t>
  </si>
  <si>
    <r>
      <rPr>
        <sz val="11"/>
        <rFont val="宋体"/>
        <charset val="134"/>
      </rPr>
      <t xml:space="preserve">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77711GQ1-S001-INT </t>
    </r>
    <r>
      <rPr>
        <sz val="11"/>
        <color rgb="FFFF0000"/>
        <rFont val="宋体"/>
        <charset val="134"/>
      </rPr>
      <t>193052080134</t>
    </r>
    <r>
      <rPr>
        <sz val="11"/>
        <rFont val="宋体"/>
        <charset val="134"/>
      </rPr>
      <t xml:space="preserve">
* 大货样： 请在5/10 前寄出每款1整套大货样到罗湖办公室7B Sandy Shao 收。
Remark: 
77711GQ1-S001-INT MA-1L 配套包装</t>
    </r>
    <r>
      <rPr>
        <sz val="11"/>
        <color rgb="FFFF0000"/>
        <rFont val="宋体"/>
        <charset val="134"/>
      </rPr>
      <t>+ INT UPC 条码覆盖原条码位置</t>
    </r>
  </si>
  <si>
    <t>77711GQ1-S001-INT-1</t>
  </si>
  <si>
    <t>4500161407-10</t>
  </si>
  <si>
    <t>77711GQ1-S002-NA-1L</t>
  </si>
  <si>
    <t>4500161408-10</t>
  </si>
  <si>
    <t>PO#019848185</t>
  </si>
  <si>
    <t>4500159089-40</t>
  </si>
  <si>
    <t>PO#2735217-Cu
stomer
SKU#146638234</t>
  </si>
  <si>
    <t>4500163316-10</t>
  </si>
  <si>
    <t>6/3出货</t>
  </si>
  <si>
    <t>日期码格式：ZURU INC(BVI) 标准格式 日期：按实际生产日期
Packaging Info: 77711GQ1：MA 3L+UPC贴纸（UPC#193052080134）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</si>
  <si>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0902421339
EASTVALE</t>
  </si>
  <si>
    <t>4500159676-10</t>
  </si>
  <si>
    <t>0902421366
ELWOOD</t>
  </si>
  <si>
    <t>4500159676-20</t>
  </si>
  <si>
    <t>4500162169-10</t>
  </si>
  <si>
    <t>4500162231-10</t>
  </si>
  <si>
    <t>日期码格式：ZURU INC(BVI) 标准格式 日期：按实际生产日期
Packaging Info: 77711GQ2:MA-A EAN 3L收缩膜+MA 5L+23 L guide book+MA 3L A 展示盒+挪威语警语贴纸;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77711GQ2-7254555-4894680043350-10193052080131
6/配比:
77711GQ2:TBC</t>
  </si>
  <si>
    <t>95232-8.17</t>
  </si>
  <si>
    <t>4500163428-50</t>
  </si>
  <si>
    <t>4500163428-80</t>
  </si>
  <si>
    <t>4500161312-10</t>
  </si>
  <si>
    <t>77782GQ1-S001-INT</t>
  </si>
  <si>
    <t>冰箱迷你球(客版）</t>
  </si>
  <si>
    <t>4/21 提供箱唛资料，使用双坑外箱</t>
  </si>
  <si>
    <t>进口商贴纸翻单PO4500161302</t>
  </si>
  <si>
    <t>日期码格式：ZURU INC(BVI) 标准格式 日期：按实际生产日期
Packaging Info: 1. 77782GQ1：客版3L UPC包装+ 客版3L PDQ包装+客版收藏指南+进口商贴纸+箱唛，客版收缩膜包装/客版PDQ包装/客版收藏指南/进口商贴纸翻单PO4500161302
Remark: 1.使用双坑外箱
2.请注意产品包装条形码必须是UPC
3.无第三方验货
15. 77782GQ1:WITH 4 DEMO; Base on #77711GQ2-S001-INT ver.:Remove Kikkoman-Soy Sauce
Hershey's-Chocolate Syrup 24 oz
Hershey's-Mini Chocolate Syrup 24 oz
Hershey's-Strawberry Syrup 22 oz</t>
  </si>
  <si>
    <t>4500161302-10</t>
  </si>
  <si>
    <t>日期码格式：ZURU INC(BVI) 标准格式 日期：按实际生产日期
Packaging Info: 1. 77782GQ1：客版3L UPC包装+ 客版3L PDQ包装+客版收藏指南+进口商贴纸+箱唛
Remark: 1.使用双坑外箱
2.请注意产品包装条形码必须是UPC
3.无第三方验货
7. 77782GQ1:WITH 4 DEMO; Base on #77711GQ2-S001-INT ver.:Remove Kikkoman-Soy Sauce
Hershey's-Chocolate Syrup 24 oz
Hershey's-Mini Chocolate Syrup 24 oz
Hershey's-Strawberry Syrup 22 oz</t>
  </si>
  <si>
    <t>4500161306-10</t>
  </si>
  <si>
    <t>日期码格式：ZURU INC(BVI) 标准格式 日期：按实际生产日期
Packaging Info: 1. 77782GQ1：客版3L UPC包装+ 客版3L PDQ包装+客版收藏指南+进口商贴纸+箱唛，客版收缩膜包装/客版PDQ包装/客版收藏指南/进口商贴纸翻单PO4500161302
Remark: 1.使用双坑外箱
2.请注意产品包装条形码必须是UPC
3.无第三方验货
6. 77782GQ1:WITH 4 DEMO; Base on #77711GQ2-S001-INT ver.:Remove Kikkoman-Soy Sauce
Hershey's-Chocolate Syrup 24 oz
Hershey's-Mini Chocolate Syrup 24 oz
Hershey's-Strawberry Syrup 22 oz</t>
  </si>
  <si>
    <t>4500161573-170</t>
  </si>
  <si>
    <t>日期码格式：ZURU INC(BVI) 标准格式 日期：按实际生产日期
Packaging Info: 
17. 77711GQ2: MA 3L EAN版收缩膜+瑞典芬兰爱沙尼亚语警告语/MADE IN CHINA翻译成瑞典芬兰爱沙尼亚语言做成一张贴纸++MA 3L PDQ+MA 5L(23L warning)收藏指
南+MA 23L说明书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77711GQ2:4894680043350</t>
  </si>
  <si>
    <t>4500162968-80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</si>
  <si>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</si>
  <si>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4500164375-20</t>
  </si>
  <si>
    <t>4500164783-40</t>
  </si>
  <si>
    <t>日期码格式：ZURU INC(BVI) 标准格式 日期：按实际生产日期
Packaging Info: 
4. 77711GQ1：MA 3L EAN 最新版收缩膜+1张多语警告语贴纸+MA 23L说明书+其它MA包装+MA PDQ；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</si>
  <si>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4500161168-80</t>
  </si>
  <si>
    <t>日期码格式：ZURU INC(BVI) 标准格式 日期：按实际生产日期
Packaging Info:
"77711GQ1: MA EAN 收缩膜3L-A版本（+德语警告语贴纸）+MA纸袋+MA GLOBUS 5L-A版本+MA警告语说明书23L+MA CREATIVE 5L-A版本+MA UV GLUE lable贴纸+MAPDQ3
L-A版本
EAN:4894680043350"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</si>
  <si>
    <t>4500162170-10</t>
  </si>
  <si>
    <t>4500163040-20</t>
  </si>
  <si>
    <t>日期码格式：ZURU INC(BVI) 标准格式 日期：按实际生产日期
Packaging Info: 1.77711GQ2:最新MA 3L EAN INT版本包装+一张西班牙环保标&lt;(&gt;&amp;&lt;)&gt;邮箱贴纸+MA 23L 警告语说明书+MA 5L 收藏指南+MA 3L PDQ；
Remark:</t>
  </si>
  <si>
    <t>PO#239953--Cu
stomer
SKU#7678363</t>
  </si>
  <si>
    <t>4500163405-10</t>
  </si>
  <si>
    <t>日期码格式：ZURU INC(BVI) 标准格式 日期：按实际生产日期
Packaging Info: 77711-S001-INT
MA -3L 包装+客人白色Cat.label 1张覆盖ZURU条码
-注意Cat.label (要求易撕类贴纸，但是粘性不能过低），同时此贴纸每个订单都是不相同的(会显示客户对应的订单号），切勿翻旧订单购买，该贴纸由工厂自行
购买。
-订单对应客户PO号备注有显示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t>
  </si>
  <si>
    <t>95152-8.17</t>
  </si>
  <si>
    <t>4500163205-140</t>
  </si>
  <si>
    <t>日期码格式：ZURU
77711GQ2：MA-A EAN 3L收缩膜+MA 5L+23 L guide book+MA 3L A 展示盒+进口商贴纸
Remark: 配比：
产品和包装要求无硼无香，包装不能含有PVC;
如有微塑料，必须合规欧洲标准，闪粉也是微塑料的一种，目前仅接受三张方式1.去除，2.用可降解材料，和3. 永久封印在固体。
带电池出货的产品,电池需要符合欧洲电池新规(EU) 2023-1542.</t>
  </si>
  <si>
    <t>4500163205-200</t>
  </si>
  <si>
    <t>日期码格式：ZURU INC(BVI) 标准格式 日期：按实际生产日期
Packaging Info:
77711SK1：MA-A EAN 3L收缩膜+MA 5L说明书+MA 23L warning instruction+MA creativ +MA 3L展示架+进口商贴纸
Remark: 配比：
产品和包装要求无硼无香，包装不能含有PVC;
如有微塑料，必须合规欧洲标准，闪粉也是微塑料的一种，目前仅接受三张方式1.去除，2.用可降解材料，和3. 永久封印在固体。
带电池出货的产品,电池需要符合欧洲电池新规(EU) 2023-1542.</t>
  </si>
  <si>
    <t>0904512302EAS
TVALE</t>
  </si>
  <si>
    <t>4500162791-10</t>
  </si>
  <si>
    <t>翻单：4500159672</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</si>
  <si>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5.loose carton出货，16pcs/PDQ/CTN</t>
  </si>
  <si>
    <t>0904512273ELW
OOD</t>
  </si>
  <si>
    <t>4500162791-20</t>
  </si>
  <si>
    <t>0904512274STA
TESBORO</t>
  </si>
  <si>
    <t>4500162791-30</t>
  </si>
  <si>
    <t>0904512287SUF
FOLK</t>
  </si>
  <si>
    <t>4500162791-40</t>
  </si>
  <si>
    <t>0904512452RID
GEVILLE SC</t>
  </si>
  <si>
    <t>4500162791-50</t>
  </si>
  <si>
    <t>4500164759-130</t>
  </si>
  <si>
    <t>77711GQ2-S003-INT</t>
  </si>
  <si>
    <t>冰箱迷你球50pcs/箱（有内箱）</t>
  </si>
  <si>
    <t>日期码格式：ZURU INC(BVI) 标准格式 日期：按实际生产日期
Packaging Info:
13. 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t>
  </si>
  <si>
    <t>95447-8.17</t>
  </si>
  <si>
    <t>ALBERTSONS LLC</t>
  </si>
  <si>
    <t>PO: 409376</t>
  </si>
  <si>
    <t>4500165031-170</t>
  </si>
  <si>
    <t>6/18 第三方验货  05/28 4款分别寄出3套大货样（带PDQ包装的大货样3套（每套PDQ里面随机附4个球）款式本身无PPQ则不用寄PDQ,只寄大货带包装的大货样4个
05/28抽板测试（要求订单每一行货好入箱50%以上方可抽板），需要拿到测试报告才可以出货</t>
  </si>
  <si>
    <t>日期码格式：ZURU INC(BVI) 标准格式 日期：按实际生产日期
Packaging Info: 1. MA UPC 包装(优先1L)，出口美国。
2. 产品和包装上面要有ZURU格式tracking code。
3. ZURU标准日期码格式。
Remark: 1. 05/28 4款分别寄出3套大货样（带PDQ包装的大货样3套（每套PDQ里面随机附4个球）款式本身无PPQ则不用寄PDQ,只寄大货带包装的大货样4个
05/28抽板测试（要求订单每一行货好入箱50%以上方可抽板），需要拿到测试报告才可以出货
这4款有多个PO会分期出货，但请按订单要求交期生产做好大货，以便一次性抽板去测试，节省工厂样品和ITS抽板费用。
2. ZURU QC验货OK + 客户QC验货OK + 抽板测试报告OK后方可出货。客户QC去验货时，注意多个PO同一款大货放置一堆或者二堆，不要四处货架堆放，避免点数问题
导致客户QC无法验货。
3. 产品和包装不能含有PFAS物质。
4. 产品和包装须符合俄勒冈州HPCCCH测试要求。
5.产品和包装不能含有1,4-二氧六环。
6. 不得从新疆维吾尔自治区采购任何物品或材料。</t>
  </si>
  <si>
    <t>Annie Huang</t>
  </si>
  <si>
    <t>ZB00695-7.9</t>
  </si>
  <si>
    <t>PO: 899729</t>
  </si>
  <si>
    <t>4500165031-180</t>
  </si>
  <si>
    <t>ZB00855-7.24</t>
  </si>
  <si>
    <t>POl: 647219</t>
  </si>
  <si>
    <t>4500165031-190</t>
  </si>
  <si>
    <t>ZB00856-7.24</t>
  </si>
  <si>
    <t>4500163518-10</t>
  </si>
  <si>
    <r>
      <rPr>
        <sz val="11"/>
        <rFont val="宋体"/>
        <charset val="134"/>
      </rPr>
      <t xml:space="preserve">日期码格式：ZURU INC(BVI) 标准格式 日期：按实际生产日期
Packaging Info: 
Remark: MA UPC 英语包装（优先1L英语版本,或者3L/L含英语即可
</t>
    </r>
    <r>
      <rPr>
        <sz val="11"/>
        <color rgb="FFFF0000"/>
        <rFont val="宋体"/>
        <charset val="134"/>
      </rPr>
      <t>#77711 UPC:193052080134</t>
    </r>
  </si>
  <si>
    <t>77785-S001-77711-INT</t>
  </si>
  <si>
    <t>大货样品2套/item，用于客人验货签板。验货后还会抽办1套/item，请多备料；</t>
  </si>
  <si>
    <t>客版日期码LOT2522, 产品（蛋壳等）/包装（收缩膜等）/外箱 请保持一致。</t>
  </si>
  <si>
    <t>客人日期码：LOT2522，产品（蛋壳等）/包装（收缩膜等）/外箱 请保持一致</t>
  </si>
  <si>
    <t>4500163334-60</t>
  </si>
  <si>
    <t>多语警语折叠贴纸（含包装缺失的法/意/
西环保标）（翻4500162314）</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</si>
  <si>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</si>
  <si>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4500163950-20</t>
  </si>
  <si>
    <r>
      <rPr>
        <sz val="11"/>
        <rFont val="宋体"/>
        <charset val="134"/>
      </rPr>
      <t>日期码格式：ZURU INC(BVI) 标准格式 日期：按实际生产日期
Packaging Info:
 77711GQ2:</t>
    </r>
    <r>
      <rPr>
        <sz val="11"/>
        <color rgb="FFFF0000"/>
        <rFont val="宋体"/>
        <charset val="134"/>
      </rPr>
      <t>（MA 3L PDQ+1张PDQITF14条码贴纸）+MA A 3L</t>
    </r>
    <r>
      <rPr>
        <sz val="11"/>
        <rFont val="宋体"/>
        <charset val="134"/>
      </rPr>
      <t xml:space="preserve"> 收缩膜含EAN条码+MA5L收藏指南+进口商含意大利环保标贴纸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</si>
  <si>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4500164781-10</t>
  </si>
  <si>
    <t>多语警语折叠贴纸（含包装缺失的法/
意/西环保标），翻4500162314</t>
  </si>
  <si>
    <r>
      <rPr>
        <sz val="11"/>
        <rFont val="宋体"/>
        <charset val="134"/>
      </rPr>
      <t>日期码格式：ZURU INC(BVI) 标准格式 日期：按实际生产日期
Packaging Info:</t>
    </r>
    <r>
      <rPr>
        <sz val="11"/>
        <color rgb="FFFF0000"/>
        <rFont val="宋体"/>
        <charset val="134"/>
      </rPr>
      <t xml:space="preserve"> 1.77711GQ1:客版MA 3L EAN收缩膜（翻4500164017）+最新MA 5L收藏指南+最新MA 23L说明书+最新MA 5L creative+最新MA纸袋+最新MA 3L PDQ+一张意大利环保贴
纸</t>
    </r>
    <r>
      <rPr>
        <sz val="11"/>
        <rFont val="宋体"/>
        <charset val="134"/>
      </rPr>
      <t xml:space="preserve">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r>
  </si>
  <si>
    <t>4500164226-60</t>
  </si>
  <si>
    <r>
      <rPr>
        <sz val="11"/>
        <rFont val="宋体"/>
        <charset val="134"/>
      </rPr>
      <t xml:space="preserve">日期码格式：ZURU INC(BVI) 标准格式 日期：按实际生产日期
Packaging Info:
 77711GQ2-S002-INT:MA 3L EAN版收缩膜+MA 3L PDQ+MA 5L(23L warning)收藏指南+MA 23L说明书+警告语/进口商贴纸
</t>
    </r>
    <r>
      <rPr>
        <sz val="11"/>
        <color rgb="FFFF0000"/>
        <rFont val="宋体"/>
        <charset val="134"/>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77711GQ2-S002-INT//100-223011471//4894680043350</t>
    </r>
  </si>
  <si>
    <t>4500164226-130</t>
  </si>
  <si>
    <r>
      <rPr>
        <sz val="11"/>
        <rFont val="宋体"/>
        <charset val="134"/>
      </rPr>
      <t xml:space="preserve">日期码格式：ZURU INC(BVI) 标准格式 日期：按实际生产日期
Packaging Info: 
 77711SK1-S002-INT:MA 3L EAN版收缩膜+MA 展示架+MA 5L(23L warning)收藏指南+MA 23L说明书+警告语/进口商贴纸+EAN贴纸
</t>
    </r>
    <r>
      <rPr>
        <sz val="11"/>
        <color rgb="FFFF0000"/>
        <rFont val="宋体"/>
        <charset val="134"/>
      </rPr>
      <t xml:space="preserve"> 北欧五语通用Slime黑白说明书
 带纽扣电池走货北欧六语通用黑白电池说明书
 不带电池走货北欧六语通用黑白电池说明书
上述说明书翻单4500162375,之前已通知按照MA采购，不要重复订购</t>
    </r>
    <r>
      <rPr>
        <sz val="11"/>
        <rFont val="宋体"/>
        <charset val="134"/>
      </rPr>
      <t xml:space="preserve">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77711SK1-S002-INT//100-223011472//4894680054356</t>
    </r>
  </si>
  <si>
    <t>4500163874-40</t>
  </si>
  <si>
    <t>客户日期码格式 LOTE：39-工厂城市名缩写 20250602 ，客户日期码格式需显示在包装上，否则会有客诉。不用重复显示在产品上面，产品&lt;(&gt;&amp;&lt;)&gt; 外箱格式可
以用回ZURU格式。</t>
  </si>
  <si>
    <t>客户日期码格式 LOTE：39-工厂城市名缩写 20250602 ，客户日期码格式需显示在包装上，否则会有客诉。不用重复显示在产品上面，产品&lt;(&gt;&amp;&lt;)&gt; 外箱格式可
以用回ZURU格式</t>
  </si>
  <si>
    <r>
      <rPr>
        <sz val="11"/>
        <rFont val="宋体"/>
        <charset val="134"/>
      </rPr>
      <t xml:space="preserve">日期码格式：LOTE：39-工厂城市名缩写 </t>
    </r>
    <r>
      <rPr>
        <sz val="11"/>
        <color rgb="FFFF0000"/>
        <rFont val="宋体"/>
        <charset val="134"/>
      </rPr>
      <t>20250603,</t>
    </r>
    <r>
      <rPr>
        <sz val="11"/>
        <rFont val="宋体"/>
        <charset val="134"/>
      </rPr>
      <t>只显示在包装上面即可 日期：
Packaging Info: 
 77711GQ1:（MA 3L PDQ+1张进口商EAN条码贴纸）+MA A 3L 收缩膜+MA5L收藏指南+进口商贴纸（产品包装和PDQ都需要贴纸）
Remark: 1. 此单出西班牙，需满足EU测试标准要求，另外微塑料需符合EU法规；
 2. 标准配比
 3. 客户日期码格式 LOTE：39-工厂城市名缩写 20250603 ，客户日期码格式需显示在包装上，否则会有客诉。不用重复显示在产品上面，产品&lt;(&gt;&amp;&lt;)&gt; 外箱格式可
 以用回ZURU格式。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</si>
  <si>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日期码格式：ZURU INC(BVI) 标准格式 日期：按实际生产日期
Packaging Info: 77711GQ1: A 版 3L MA 收缩膜+进口商贴纸；A 版 5L MA 收藏指南/A 版 3L MA PDQ/23L MA 说明书/ A 版 5L MA creative
Remark: 1、若产品有比例使用ZURU STD 比例
2、所有item 均用MA UPC 条码，若包装不是UPC 条码的请告知
3、此单出欧洲需满足EU测试标准要求</t>
  </si>
  <si>
    <t>4500164402-30</t>
  </si>
  <si>
    <t>日期码格式：ZURU INC(BVI) 标准格式 日期：按实际生产日期
Packaging Info: 
77711GQ2: MA-A EAN 3L收缩膜+MA 5L+23 L guide book+MA 3L A 展示盒+进口商贴纸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</si>
  <si>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77785-S001-77711-INT-MTS</t>
  </si>
  <si>
    <t>6/14 出货</t>
  </si>
  <si>
    <t>球底部贴1张警语贴纸，收藏指南贴一张警语贴纸，说明书贴一张警语贴纸</t>
  </si>
  <si>
    <t>日期码格式：ZURU INC(BVI) 标准格式 日期：按实际生产日期
Packaging Info:77785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 此单出HK</t>
  </si>
  <si>
    <t>4500158623-30</t>
  </si>
  <si>
    <t>77731-S001-INT</t>
  </si>
  <si>
    <t>空白贴纸(覆盖在条码位置，尺寸由工厂自行测量)，IT环保标贴纸(参考提供的位置图;参考翻单PO#4500158623）</t>
  </si>
  <si>
    <r>
      <rPr>
        <sz val="11"/>
        <color theme="1"/>
        <rFont val="宋体"/>
        <charset val="134"/>
      </rPr>
      <t>日期码格式：ZURU INC(BVI) 标准格式 日期：按实际生产日期
Packaging Info: Amazon ES(77673, 77731)/IT(77673, 77731)
2. 77731：2PK#77711-INT In PVC Tube，12tubes/ctn; UV GLUE/ 1 Refrigerator Magnet;</t>
    </r>
    <r>
      <rPr>
        <sz val="11"/>
        <color rgb="FFFF0000"/>
        <rFont val="宋体"/>
        <charset val="134"/>
      </rPr>
      <t xml:space="preserve"> MA 3L(3L warning EAN</t>
    </r>
    <r>
      <rPr>
        <sz val="11"/>
        <color theme="1"/>
        <rFont val="宋体"/>
        <charset val="134"/>
      </rPr>
      <t>)A收缩膜+1张空白贴纸(覆盖在条码位置，尺寸
由工厂自行测量)+MA 5L(23L warning)A收藏指南+MA 23L警告语说明书+MA 5L A说明书 +客版3L(5L warning UPC) INT PVC筒铜版纸+1张IT环保标贴纸(参考提供的
位置图）；
3. 最迟验货不得晚于2025/6/6;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</si>
  <si>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77731-INT-S001</t>
  </si>
  <si>
    <t>4500158623-40</t>
  </si>
  <si>
    <t>Amazon UK:
5QK1UKHE</t>
  </si>
  <si>
    <t>4500158582-40</t>
  </si>
  <si>
    <r>
      <rPr>
        <sz val="11"/>
        <color theme="1"/>
        <rFont val="宋体"/>
        <charset val="134"/>
      </rPr>
      <t>日期码格式：ZURU INC(BVI) 标准格式 日期：按实际生产日期
Packaging Info: Amazon UK(77673, 77731)/DE(77673, 77731)/FR(77673, 77731)
1. 77673: 12pcs/ctn; MA 1L(1L warning UPC)A收缩膜+MA 23L warning说明书+MA 5L A收藏指南+1张贴纸(含法德意西警告语+FR/ES/IT环保标);
2. 77731: 2PK#77711-INT In PVC Tube，12tubes/ctn; UV GLUE/ 1 Refrigerator Magnet; MA 1L(1L warning UPC)A收缩膜</t>
    </r>
    <r>
      <rPr>
        <sz val="11"/>
        <color rgb="FFFF0000"/>
        <rFont val="宋体"/>
        <charset val="134"/>
      </rPr>
      <t>+1张空白贴纸(覆盖在条码位置，尺寸
由工厂自行测量)</t>
    </r>
    <r>
      <rPr>
        <sz val="11"/>
        <color theme="1"/>
        <rFont val="宋体"/>
        <charset val="134"/>
      </rPr>
      <t>+MA 5L(23L warning)A收藏指南+MA 23L警告语说明书+MA 5L A说明书 +客版3L(5L warning UPC) INT PVC筒彩卡(参考翻单PO#4500158623)+1张IT
环保标贴纸(参考提供的位置图;参考翻单PO#4500158623）；
3. 验货时间不迟于2025/6/6.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</si>
  <si>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4500158582-50</t>
  </si>
  <si>
    <t>4500158582-60</t>
  </si>
  <si>
    <t>4500164861-100</t>
  </si>
  <si>
    <t>此单有第三方监柜，需要每款多备1套完整物料</t>
  </si>
  <si>
    <t>6/9 出货</t>
  </si>
  <si>
    <t>日期码格式：ZURU INC(BVI) 标准格式 日期：按实际生产日期
Packaging Info: 
77711GQ2:MA 3LEAN包装+UPC贴纸+进口商贴纸+外箱贴纸+箱唛
Remark: 此单有第三方监柜，需要每款多备1套完整物料</t>
  </si>
  <si>
    <t>Amazon
DE:689ANHEQ</t>
  </si>
  <si>
    <t>4500164250-140</t>
  </si>
  <si>
    <t>空白贴纸(覆盖在条码位置，尺寸由工厂自行测量)，ZURU邮箱care@zuru.com，参考翻单PO#4500158623)+1张IT环保标贴纸(参考提供的位置图;参考翻单PO#4500158623）</t>
  </si>
  <si>
    <t>日期码格式：ZURU INC(BVI) 标准格式 日期：按实际生产日期
Packaging Info: Amazon UK(15714K/7150B/77673/77723/92119AH/9279B/9561)/FR(9543D)/DE(71126/77555/77731/92104G/9543E)
10. 77731: 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环保标+ZURU邮箱care@zuru.com，参考翻单PO#4500158623)+1张IT环保标贴纸(参考提供的位置图;参考翻单PO#4500158623）；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</si>
  <si>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95321/95387</t>
  </si>
  <si>
    <t>Amazon
DE:41BAL22L</t>
  </si>
  <si>
    <t>4500164250-170</t>
  </si>
  <si>
    <t>47:0003132609</t>
  </si>
  <si>
    <t>4500162966-10</t>
  </si>
  <si>
    <t>翻单PO4500161302，出日本首单，大货产品品质和内容需跟到寄出的测试版。</t>
  </si>
  <si>
    <r>
      <rPr>
        <sz val="11"/>
        <rFont val="宋体"/>
        <charset val="134"/>
      </rPr>
      <t>日期码格式：ZURU INC(BVI) 标准格式 日期：按实际生产日期
Packaging Info: 客版包装+1张日语警语贴纸</t>
    </r>
    <r>
      <rPr>
        <sz val="11"/>
        <color rgb="FFFF0000"/>
        <rFont val="宋体"/>
        <charset val="134"/>
      </rPr>
      <t>(贴在收缩膜上）+1张日语警告贴纸（贴在说明书上）</t>
    </r>
    <r>
      <rPr>
        <sz val="11"/>
        <rFont val="宋体"/>
        <charset val="134"/>
      </rPr>
      <t xml:space="preserve">
贴纸AW、位置图已于20250516提供
Remark: 77782GQ1:WITH 4 DEMO; Base on #77711GQ2-S001-INT ver.:Remove Kikkoman-Soy Sauce
Hershey's-Chocolate Syrup 24 oz
Hershey's-Mini Chocolate Syrup 24 oz
Hershey's-Strawberry Syrup 22 oz
翻单PO4500161302，出日本首单，大货产品品质和内容需跟到寄出的测试版。</t>
    </r>
  </si>
  <si>
    <t>95364-8.17</t>
  </si>
  <si>
    <t>4500164557-10</t>
  </si>
  <si>
    <t>L贴纸（翻单450015
 5592）</t>
  </si>
  <si>
    <r>
      <rPr>
        <sz val="11"/>
        <rFont val="宋体"/>
        <charset val="134"/>
      </rPr>
      <t xml:space="preserve">日期码格式：ZURU INC(BVI) 标准格式 日期：按实际生产日期
Packaging Info:
</t>
    </r>
    <r>
      <rPr>
        <sz val="11"/>
        <color rgb="FFFF0000"/>
        <rFont val="宋体"/>
        <charset val="134"/>
      </rPr>
      <t xml:space="preserve"> 77711: 客版EN FR DE IT NL 5L收缩膜（翻单4500155592），MA5L收藏指南，MA 5L配件袋，（如有 Create，还需要放入MA 5L制作过程说明书+NL贴纸（翻单450015
 5592），MA 23L UV胶警告语）</t>
    </r>
    <r>
      <rPr>
        <sz val="11"/>
        <rFont val="宋体"/>
        <charset val="134"/>
      </rPr>
      <t xml:space="preserve">
Remark: 1. STD配比
 2.EAN条码
 77711: 4894680043350
 3.须符合欧洲微塑料法规</t>
    </r>
  </si>
  <si>
    <t>4500164995-50</t>
  </si>
  <si>
    <r>
      <rPr>
        <sz val="11"/>
        <rFont val="宋体"/>
        <charset val="134"/>
      </rPr>
      <t>日期码格式：ZURU INC(BVI) 标准格式 日期：按实际生产日期
Packaging Info:
 77711GQ2：A 版 3L MA 收缩膜+进口商贴纸+</t>
    </r>
    <r>
      <rPr>
        <sz val="11"/>
        <color rgb="FFFF0000"/>
        <rFont val="宋体"/>
        <charset val="134"/>
      </rPr>
      <t>UPC条码贴纸</t>
    </r>
    <r>
      <rPr>
        <sz val="11"/>
        <rFont val="宋体"/>
        <charset val="134"/>
      </rPr>
      <t>；A 版 5L MA 收藏指南/ A 版 3L MA PDQ/A 版 5L MA 收藏指南
Remark: "1、若产品有比例使用ZURU STD 比例
 2、所有item 均用MA UPC 条码，若包装不是UPC 条码的请告知
 3、此单出欧洲需满足EU测试标准要求"</t>
    </r>
  </si>
  <si>
    <r>
      <rPr>
        <sz val="11"/>
        <rFont val="宋体"/>
        <charset val="134"/>
      </rPr>
      <t xml:space="preserve">日期码格式：ZURU INC(BVI) 标准格式 日期：按实际生产日期
Packaging Info:
 77711GQ2-S002-INT_MA 3L EAN版收缩膜+MA 3L PDQ+MA 5L(23L warning)收藏指南+MA 23L说明书+警告语/进口商贴纸
</t>
    </r>
    <r>
      <rPr>
        <sz val="11"/>
        <color rgb="FFFF0000"/>
        <rFont val="宋体"/>
        <charset val="134"/>
      </rPr>
      <t xml:space="preserve"> 北欧五语通用Slime黑白说明书
 带纽扣电池走货北欧六语通用黑白电池说明书
 上述贴纸翻单4500162375，之前已经安排MA 采购，请不要重复采购</t>
    </r>
    <r>
      <rPr>
        <sz val="11"/>
        <rFont val="宋体"/>
        <charset val="134"/>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77711GQ2-S002-INT-4894680043350</t>
    </r>
  </si>
  <si>
    <t>4500165209-20</t>
  </si>
  <si>
    <t>4500165209-70</t>
  </si>
  <si>
    <t>4500165209-120</t>
  </si>
  <si>
    <t>4500165215-60</t>
  </si>
  <si>
    <t>95290-8.17</t>
  </si>
  <si>
    <t>WEEE带电池走货欧洲30语通用黑白说明书整个欧洲市场都是共用</t>
  </si>
  <si>
    <t>ZMPO250393</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</si>
  <si>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t>
  </si>
  <si>
    <t>95869-7.31</t>
  </si>
  <si>
    <t>4500162850-40</t>
  </si>
  <si>
    <t>此单有监柜要求，需要每款多准备一套完整物料，用于监柜，不可以随大货走</t>
  </si>
  <si>
    <t>5/23 寄出</t>
  </si>
  <si>
    <t>日期码格式：ZURU INC(BVI) 标准格式 日期：按实际生产日期
Packaging Info:
77711GQ2：MA 3L EAN 包装+MA 多语PDQ+进口商贴纸+价标贴纸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此单有监柜要求，需要每款多准备一套完整物料，用于监柜，不可以随大货走</t>
  </si>
  <si>
    <t>95265-8.17</t>
  </si>
  <si>
    <t>MEC305-S001-INT-77711</t>
  </si>
  <si>
    <r>
      <rPr>
        <sz val="11"/>
        <rFont val="宋体"/>
        <charset val="134"/>
      </rPr>
      <t>日期码格式：ZURU INC(BVI) 标准格式 日期：按实际生产日期
Packaging Info:
 MEC305:MA 展示架（如有MA3L则不用MA1L）</t>
    </r>
    <r>
      <rPr>
        <sz val="11"/>
        <color rgb="FFFF0000"/>
        <rFont val="宋体"/>
        <charset val="134"/>
      </rPr>
      <t>+1张展示架ITF14条码贴纸，77711:（MA 3L PDQ+1张PDQITF14条码贴纸）+MA A 3L 收缩膜含EAN条码+MA5L收藏指南+进口商含意大利环保标贴纸</t>
    </r>
    <r>
      <rPr>
        <sz val="11"/>
        <rFont val="宋体"/>
        <charset val="134"/>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</si>
  <si>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MEC356-S001-INT-77711</t>
  </si>
  <si>
    <t>外箱上的箱唛资料会显示日期15/06/2025,产品/包装/外箱可以按ZURU 标准日期码打，也可以跟回外箱日期码，工厂自行选择,两者均可接受</t>
  </si>
  <si>
    <r>
      <rPr>
        <sz val="11"/>
        <rFont val="宋体"/>
        <charset val="134"/>
      </rPr>
      <t>日期码格式：ZURU INC(BVI) 标准格式 日期：按实际生产日期
Packaging Info: MEC356:MA 展架+箱唛，无客户贴纸</t>
    </r>
    <r>
      <rPr>
        <sz val="11"/>
        <color rgb="FFFF0000"/>
        <rFont val="宋体"/>
        <charset val="134"/>
      </rPr>
      <t>+展示架贴纸</t>
    </r>
    <r>
      <rPr>
        <sz val="11"/>
        <rFont val="宋体"/>
        <charset val="134"/>
      </rPr>
      <t xml:space="preserve">
77782：客版收缩膜+客版收藏指南 同PO 4500161302一起订购，其余物料用MA
Remark: 订单需提交自检报告，客户审核通过才可以出货。
外箱上的箱唛资料会显示日期15/06/2025,产品/包装/外箱可以按ZURU 标准日期码打，也可以跟回外箱日期码，工厂自行选择,两者均可接受
77782 is base on #77711GQ2-S001-INT ver.:Remove Kikkoman-Soy Sauce
Hershey's-Chocolate Syrup 24 oz
Hershey's-Mini Chocolate Syrup 24 oz
Hershey's-Strawberry Syrup 22 oz
MEC256 条码：
77782:193052089533(2520pcs）</t>
    </r>
  </si>
  <si>
    <t>4500164946-10</t>
  </si>
  <si>
    <t>1张空白贴纸(覆盖在条码位置，尺寸由工厂自行测量)+FR/ES环保标+ZURU邮箱care@zuru.com，参考翻单PO#4500158623)+2张贴纸(1张EAN#，1张NL警告语，贴在彩卡)</t>
  </si>
  <si>
    <r>
      <rPr>
        <sz val="11"/>
        <rFont val="宋体"/>
        <charset val="134"/>
      </rPr>
      <t xml:space="preserve">日期码格式：ZURU INC(BVI) 标准格式 日期：按实际生产日期
Packaging Info: BOL NL(77731/77673)
 1. 77731：2PK#77711-INT In PVC Tube，12tubes/ctn; UV GLUE/ 1 Refrigerator Magnet; </t>
    </r>
    <r>
      <rPr>
        <sz val="11"/>
        <color rgb="FFFF0000"/>
        <rFont val="宋体"/>
        <charset val="134"/>
      </rPr>
      <t>MA 3L(3L warning EAN)</t>
    </r>
    <r>
      <rPr>
        <sz val="11"/>
        <rFont val="宋体"/>
        <charset val="134"/>
      </rPr>
      <t>A收缩膜+1张空白贴纸(覆盖在条码位置，尺寸
 由工厂自行测量)+MA 5L(23L warning)A收藏指南+MA 23L警告语说明书+MA 5L A说明书 +客版3L(5L warning UPC) INT PVC筒彩卡(UPC#+英法德意西5L警示语+FR/ES
环保标+ZURU邮箱care@zuru.com，参考翻单PO#4500158623)+2张贴纸(1张EAN#，1张NL警告语，贴在彩卡)；
 3.最迟验货不得晚于2025/6/6;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r>
  </si>
  <si>
    <r>
      <rPr>
        <sz val="11"/>
        <rFont val="宋体"/>
        <charset val="134"/>
      </rPr>
      <t xml:space="preserve">日期码格式：ZURU INC(BVI) 标准格式 日期：按实际生产日期
Packaging Info: 
</t>
    </r>
    <r>
      <rPr>
        <sz val="11"/>
        <color rgb="FFFF0000"/>
        <rFont val="宋体"/>
        <charset val="134"/>
      </rPr>
      <t>MEC305：MA展示架</t>
    </r>
    <r>
      <rPr>
        <sz val="11"/>
        <rFont val="宋体"/>
        <charset val="134"/>
      </rPr>
      <t xml:space="preserve">
</t>
    </r>
    <r>
      <rPr>
        <sz val="11"/>
        <color rgb="FFFF0000"/>
        <rFont val="宋体"/>
        <charset val="134"/>
      </rPr>
      <t>子件</t>
    </r>
    <r>
      <rPr>
        <sz val="11"/>
        <rFont val="宋体"/>
        <charset val="134"/>
      </rPr>
      <t>77711:最新MA3LEAN收缩膜+最新MA5L收藏指南+最新MA23L说明书+最新MA5Lcreative+最新MA纸袋+意大利环保标通用地址贴(含意大利警语)
Remark: 1. 此单出意大利，需要满足EU标准，通过ZURU验货即可；
2. 产品均符合EU微塑料法规要求：不能含有微塑料/闪粉
3, SMASHERS 或含Slime产品，所有化合物使用无硼版本出意大利。</t>
    </r>
  </si>
  <si>
    <t>DOLLAR GENERAL CORPORATION</t>
  </si>
  <si>
    <t>24R7H6</t>
  </si>
  <si>
    <t>4500160244-10</t>
  </si>
  <si>
    <t>77711GQ5-S002-NA-PKC</t>
  </si>
  <si>
    <t>冰箱迷你球48pcs/箱（胶袋装）</t>
  </si>
  <si>
    <t>6月10早上进行客人指定TUV的100%验货+抽测试样.</t>
  </si>
  <si>
    <t>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后三位E25代表25年5月，F25代表25年6月的ETD 。</t>
  </si>
  <si>
    <r>
      <rPr>
        <sz val="11"/>
        <color theme="1"/>
        <rFont val="宋体"/>
        <charset val="134"/>
      </rPr>
      <t>日期码格式：DOLLAR GENERAL 格式日期码 日期：
Packaging Info: 1.包装：
 #77711GQ5-S002-NA-PKC 客版PDQ + 内袋警示语AWS + 客版收缩膜，请有说明书收藏指南等，请优先使用MA 1L。
Remark: 1.包装：
 #77711GQ5-S002-NA-PKC 客版PDQ + 内袋警示语AWS + 客版收缩膜，请有说明书收藏指南等，请优先使用MA 1L。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后三位E25代表25年5月，F25代表25年6月的ETD 。
 （3）UPC条形码：
 #77711GQ5:193052080127
 3. 无价贴。
 4. #77711GQ5样板：请尽力在</t>
    </r>
    <r>
      <rPr>
        <sz val="11"/>
        <color rgb="FFFF0000"/>
        <rFont val="宋体"/>
        <charset val="134"/>
      </rPr>
      <t>5月15日</t>
    </r>
    <r>
      <rPr>
        <sz val="11"/>
        <color theme="1"/>
        <rFont val="宋体"/>
        <charset val="134"/>
      </rPr>
      <t>前提供5 FULL PDQ产前确认样 + 2套光身板，（确保产前样所有信息及质量务必同大货） .寄给ZURU深圳跟单Minny /hailey
 转寄客人签样。（跟单确认样板无误后才可开始大货）。
 5. 验货抽样事宜：
 #77711GQ5: 6月10早上进行客人指定TUV的100%验货+抽测试样.
 随机抽取每款每色各12pcs + 足量干漆给实验室MTS 5套散件光身样（如适用），2-3套封样。
 请在6月9前完成ZURU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#77711GQ5大货外箱材积必须不能大于2.18Cube Feet(0.062cbm);外箱毛重12.94LBS。如有变化，请收单后2周内告知跟单评估是否可行。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r>
  </si>
  <si>
    <t>4500160253-20</t>
  </si>
  <si>
    <t>6月10早上进行客人指定TUV的100%验货+CT抽样测试</t>
  </si>
  <si>
    <r>
      <rPr>
        <sz val="11"/>
        <color theme="1"/>
        <rFont val="宋体"/>
        <charset val="134"/>
      </rPr>
      <t>日期码格式：DOLLAR GENERAL 格式日期码 日期：
Packaging Info: 1.包装：
 #77711GQ5-S002-NA-PKC 客版PDQ + 内袋警示语AWS + 客版收缩膜，请有说明书收藏指南等，请优先使用MA 1L
 （客版aw跟单邮件提供）
Remark: 1.包装：
 #77711GQ5-S002-NA-PKC 客版PDQ + 内袋警示语AWS + 客版收缩膜，请有说明书收藏指南等，请优先使用MA 1L
 （客版aw跟单邮件提供）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包装日期码（已印在包装UPC码旁边竖排那里，无需额外添加），内容如下
 #77711GQ5：31328202F25
 (2)产品日期码：
#77711GQ5：DOLGEN31328202F25（打在球壳上）
 后三位F25代表25年6月的ETD 。
 （3）UPC条形码：
 #77711GQ5:193052080127
 3. 无价贴。
 4. 样板：无样板需求。
 5. 验货抽样事宜：
 #77711GQ5：</t>
    </r>
    <r>
      <rPr>
        <sz val="11"/>
        <color rgb="FFFF0000"/>
        <rFont val="宋体"/>
        <charset val="134"/>
      </rPr>
      <t>6月10早上进行客人指定TUV的100%验货+CT抽样测试.</t>
    </r>
    <r>
      <rPr>
        <sz val="11"/>
        <color theme="1"/>
        <rFont val="宋体"/>
        <charset val="134"/>
      </rPr>
      <t xml:space="preserve">
 抽样数量:随机抽取每款每色各12pcs + </t>
    </r>
    <r>
      <rPr>
        <sz val="11"/>
        <color rgb="FFFF0000"/>
        <rFont val="宋体"/>
        <charset val="134"/>
      </rPr>
      <t>足量干漆给实验室MTS 5套散件光身样（如适用）。</t>
    </r>
    <r>
      <rPr>
        <sz val="11"/>
        <color theme="1"/>
        <rFont val="宋体"/>
        <charset val="134"/>
      </rPr>
      <t xml:space="preserve">
</t>
    </r>
    <r>
      <rPr>
        <sz val="11"/>
        <color rgb="FFFF0000"/>
        <rFont val="宋体"/>
        <charset val="134"/>
      </rPr>
      <t xml:space="preserve"> 请在6月9前完成ZURU QC验货</t>
    </r>
    <r>
      <rPr>
        <sz val="11"/>
        <color theme="1"/>
        <rFont val="宋体"/>
        <charset val="134"/>
      </rPr>
      <t>，并当天14点前提供验货报告+大货图片给跟单。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#77711GQ5大货外箱材积必须不能大于2.18Cube Feet(0.062cbm);外箱毛重12.94LBS。如有变化，请收单后2周内告知跟单评估是否可行。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#77711GQ5内袋可通用77555GQ3的4500156595</t>
    </r>
  </si>
  <si>
    <t>DOLGENCORP, LLC</t>
  </si>
  <si>
    <t>252G50</t>
  </si>
  <si>
    <t>4500162695-30</t>
  </si>
  <si>
    <t>箱唛：
 翻4500160244。</t>
  </si>
  <si>
    <t>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t>
  </si>
  <si>
    <r>
      <rPr>
        <sz val="11"/>
        <color theme="1"/>
        <rFont val="宋体"/>
        <charset val="134"/>
      </rPr>
      <t xml:space="preserve">日期码格式：DOLLAR GENERAL 格式日期码 日期：
Packaging Info: 1.包装：
 #77711GQ5-S002-NA-PKC 客版PDQ + 内袋警示语AWS + 客版收缩膜，请有说明书收藏指南等，请优先使用MA 1L。（客版AWs翻4500160244）
Remark: 1.包装：
</t>
    </r>
    <r>
      <rPr>
        <sz val="11"/>
        <color rgb="FFFF0000"/>
        <rFont val="宋体"/>
        <charset val="134"/>
      </rPr>
      <t xml:space="preserve"> #77711GQ5-S002-NA-PKC 客版PDQ + 内袋警示语AWS + 客版收缩膜，请有说明书收藏指南等，请优先使用MA 1L。（客版AWs翻4500160244）
 客户要求： "产品和包装不能含有PFAS 物质以及1,4 dioxane" 客户指定实验室做测试，请确保产品可以过美国标准ASTM F963-23测试。
77111GQ5 必须是双坑外箱</t>
    </r>
    <r>
      <rPr>
        <sz val="11"/>
        <color theme="1"/>
        <rFont val="宋体"/>
        <charset val="134"/>
      </rPr>
      <t xml:space="preserve">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
 （3）UPC条形码：
 #77711GQ5:193052080127
 3. 无价贴。
 4. 无样板需求
 5. 验货抽样事宜：
</t>
    </r>
    <r>
      <rPr>
        <sz val="11"/>
        <color rgb="FFFF0000"/>
        <rFont val="宋体"/>
        <charset val="134"/>
      </rPr>
      <t xml:space="preserve"> #77711GQ5：6月10早上进行客人知道TUV的100%验货+CT抽测试样
 抽样数量：</t>
    </r>
    <r>
      <rPr>
        <sz val="11"/>
        <color theme="1"/>
        <rFont val="宋体"/>
        <charset val="134"/>
      </rPr>
      <t xml:space="preserve">
</t>
    </r>
    <r>
      <rPr>
        <sz val="11"/>
        <color rgb="FFFF0000"/>
        <rFont val="宋体"/>
        <charset val="134"/>
      </rPr>
      <t xml:space="preserve"> #77711GQ5:随机抽取每款每色各12pcs + 足量干漆给实验室MT&lt;(&gt;&lt;&lt;)&gt;(&gt;&lt;(&gt;&lt;&lt;)&gt;&lt;(&gt;&lt;&lt;)&gt;)&gt;(&gt;&lt;(&gt;&lt;&lt;)&gt;(&gt;&lt;(&gt;&lt;&lt;)&gt;&lt;(&gt;&lt;&lt;)&gt;)&gt;&lt;(&gt;&lt;&lt;)&gt;(&gt;&lt;(&gt;&lt;&lt;)&gt;&lt;(&gt;&lt;&lt;)&gt;)&gt;)&gt; 5套散件
 光身样（如适用）
 请在6月9前完成ZURU QC验货，并当天14点前提供验货报告+大货图片给跟单。</t>
    </r>
    <r>
      <rPr>
        <sz val="11"/>
        <color theme="1"/>
        <rFont val="宋体"/>
        <charset val="134"/>
      </rPr>
      <t xml:space="preserve">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r>
  </si>
  <si>
    <t>252GD5</t>
  </si>
  <si>
    <t>4500162695-70</t>
  </si>
  <si>
    <t>4500162695-100</t>
  </si>
  <si>
    <t>日期码格式：DOLLAR GENERAL 格式日期码 日期：
Packaging Info: 1.包装：
 #77711GQ5-S002-NA-PKC 客版PDQ + 内袋警示语AWS + 客版收缩膜，请有说明书收藏指南等，请优先使用MA 1L。（客版AWs翻4500160244）
Remark: 1.包装：
 #77711GQ5-S002-NA-PKC 客版PDQ + 内袋警示语AWS + 客版收缩膜，请有说明书收藏指南等，请优先使用MA 1L。（客版AWs翻4500160244）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#77711GQ5：31328202F25
 (2)产品日期码：
#77711GQ5：DOLGEN31328202F25（打在球壳上）
 后三位F25代表25年6月的ETD 。
 （3）UPC条形码：
 #77711GQ5:193052080127
 3. 无价贴。
 4. 无样板需求
 5. 验货抽样事宜：
 #77711GQ5：6月10早上进行客人知道TUV的100%验货+CT抽测试样
 抽样数量：
 #77711GQ5:随机抽取每款每色各12pcs + 足量干漆给实验室MT&lt;(&gt;&lt;&lt;)&gt;(&gt;&lt;(&gt;&lt;&lt;)&gt;&lt;(&gt;&lt;&lt;)&gt;)&gt;(&gt;&lt;(&gt;&lt;&lt;)&gt;(&gt;&lt;(&gt;&lt;&lt;)&gt;&lt;(&gt;&lt;&lt;)&gt;)&gt;&lt;(&gt;&lt;&lt;)&gt;(&gt;&lt;(&gt;&lt;&lt;)&gt;&lt;(&gt;&lt;&lt;)&gt;)&gt;)&gt; 5套散件
 光身样（如适用）
 请在6月9前完成ZURU QC验货，并当天14点前提供验货报告+大货图片给跟单。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</si>
  <si>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4500162695-110</t>
  </si>
  <si>
    <t>SUOMEN  OSUUSKAUPPOJEN  KESKUSKUNTA</t>
  </si>
  <si>
    <t>4500160378-20</t>
  </si>
  <si>
    <t>瑞典芬兰爱沙尼亚语警告语/MADE IN CHINA翻译成瑞典芬兰爱沙尼亚语言做成一张贴纸(贴纸和位置图翻K􀃤rkk􀃤inen PO#4500161
573)</t>
  </si>
  <si>
    <r>
      <rPr>
        <sz val="11"/>
        <rFont val="宋体"/>
        <charset val="134"/>
      </rPr>
      <t>日期码格式：ZURU INC(BVI) 标准格式 日期：按实际生产日期
Packaging Info:
2. 77711GQ2: MA 3L EAN版收缩膜+</t>
    </r>
    <r>
      <rPr>
        <sz val="11"/>
        <color rgb="FFFF0000"/>
        <rFont val="宋体"/>
        <charset val="134"/>
      </rPr>
      <t>瑞典芬兰爱沙尼亚语警告语/MADE IN CHINA翻译成瑞典芬兰爱沙尼亚语言做成一张贴纸(贴纸和位置图翻K􀃤rkk􀃤inen PO#4500161
573)</t>
    </r>
    <r>
      <rPr>
        <sz val="11"/>
        <rFont val="宋体"/>
        <charset val="134"/>
      </rPr>
      <t>+MA paper bag+</t>
    </r>
    <r>
      <rPr>
        <sz val="11"/>
        <color rgb="FFFF0000"/>
        <rFont val="宋体"/>
        <charset val="134"/>
      </rPr>
      <t>瑞典芬兰爱沙尼亚语警告语贴在纸袋子上</t>
    </r>
    <r>
      <rPr>
        <sz val="11"/>
        <rFont val="宋体"/>
        <charset val="134"/>
      </rPr>
      <t>+MA 3L PDQ+MA 5L(23L warning)收藏指南+MA 23L说明书+</t>
    </r>
    <r>
      <rPr>
        <sz val="11"/>
        <color rgb="FFFF0000"/>
        <rFont val="宋体"/>
        <charset val="134"/>
      </rPr>
      <t>爱沙尼亚语警告语贴在说明书上(不能覆盖GB
/FI/SE语言)</t>
    </r>
    <r>
      <rPr>
        <sz val="11"/>
        <rFont val="宋体"/>
        <charset val="134"/>
      </rPr>
      <t xml:space="preserve">
7. 配比跟MA
Remark:
1. 77711GQ2: 需要在6/11安排ITS第三方验货，请多备料
请在6/2之前各提供一套大货签板给我们签回供第三方验货用，签板必须跟大货完全一致，否则验货会不合格
2. 77711GQ2新款: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77711GQ2-S002-INT:4894680043350</t>
    </r>
  </si>
  <si>
    <t>Multihexa Sdn Bhd</t>
  </si>
  <si>
    <t>4500165640-80</t>
  </si>
  <si>
    <t>77803GQ2-S001-PRODCC-INT</t>
  </si>
  <si>
    <t>冰箱迷你球（客版）50pcs/箱</t>
  </si>
  <si>
    <r>
      <rPr>
        <sz val="11"/>
        <rFont val="宋体"/>
        <charset val="134"/>
      </rPr>
      <t xml:space="preserve">日期码格式：ZURU INC(BVI) 标准格式 日期：按实际生产日期
Packaging Info: 1.
</t>
    </r>
    <r>
      <rPr>
        <sz val="11"/>
        <color rgb="FFFF0000"/>
        <rFont val="宋体"/>
        <charset val="134"/>
      </rPr>
      <t xml:space="preserve"> 77803GQ2-MA EAN包装（3L)+1张进口商贴纸+1张UPC条码贴纸(UPC贴纸显示款号77803，条码193052092403）。贴纸资料待提供。</t>
    </r>
    <r>
      <rPr>
        <sz val="11"/>
        <rFont val="宋体"/>
        <charset val="134"/>
      </rPr>
      <t xml:space="preserve">
2.77803GQ2是基于STD版本</t>
    </r>
    <r>
      <rPr>
        <sz val="11"/>
        <color rgb="FFFF0000"/>
        <rFont val="宋体"/>
        <charset val="134"/>
      </rPr>
      <t>77711GQ2-S001-INT</t>
    </r>
    <r>
      <rPr>
        <sz val="11"/>
        <rFont val="宋体"/>
        <charset val="134"/>
      </rPr>
      <t>建立的客制spec,移除掉了提到猪肉"pork"的2个minis和4个有license的minis：
 Veggie Original Sausage Patties
 Singles The Original- Pepperoni (Contains pork words)
 Kikkoman-Soy Sauce (license)
 Hershey's-Chocolate Syrup 24 oz (license)
 Hershey's-Mini Chocolate Syrup 24 oz (license)
 Hershey's-Strawberry Syrup 22 oz (license)
包装也相应做了客制版本</t>
    </r>
    <r>
      <rPr>
        <sz val="11"/>
        <color rgb="FFFF0000"/>
        <rFont val="宋体"/>
        <charset val="134"/>
      </rPr>
      <t>:客版收藏指南(翻单中东订单4500162410)+客版PDQ(跟77782GQ1-S001-INT的PDQ，图稿可翻单拉美订单4500161302），其他包材如收缩膜等
 都跟STD版本77711GQ2-S001-INT版。</t>
    </r>
    <r>
      <rPr>
        <sz val="11"/>
        <rFont val="宋体"/>
        <charset val="134"/>
      </rPr>
      <t xml:space="preserve">
 3.因为此客人进口商贴纸是通用的，只可能因为item不同尺寸会有差别，如果发现尺寸一样就请统一订购节省成本。
Remark:
 77803GQ2-With 4pcs demo/PDQ
 Remove 6 Minis as below:
 Veggie Original Sausage Patties
 Singles The Original- Pepperoni (Contains pork words)
 Kikkoman-Soy Sauce (license)
 Hershey's-Chocolate Syrup 24 oz (license)
 Hershey's-Mini Chocolate Syrup 24 oz (license)
 Hershey's-Strawberry Syrup 22 oz (license)</t>
    </r>
  </si>
  <si>
    <t>4500160726-30</t>
  </si>
  <si>
    <t>4500164331-40</t>
  </si>
  <si>
    <r>
      <rPr>
        <sz val="11"/>
        <rFont val="宋体"/>
        <charset val="134"/>
      </rPr>
      <t>日期码格式：ZURU INC(BVI) 标准格式 日期：按实际生产日期
Packaging Info:
 77711GQ1: MA 3L EAN包装(+UPC条码贴纸)+ 进口商贴纸;</t>
    </r>
    <r>
      <rPr>
        <sz val="11"/>
        <color rgb="FFFF0000"/>
        <rFont val="宋体"/>
        <charset val="134"/>
      </rPr>
      <t>MA收藏指南</t>
    </r>
    <r>
      <rPr>
        <sz val="11"/>
        <rFont val="宋体"/>
        <charset val="134"/>
      </rPr>
      <t>;MA PDQ
Remark: 此单出欧洲斯洛文尼亚， 需满足EU测试标准要求，不能含微塑料，需出无闪粉版本</t>
    </r>
  </si>
  <si>
    <t>4500164331-50</t>
  </si>
  <si>
    <r>
      <rPr>
        <sz val="11"/>
        <rFont val="宋体"/>
        <charset val="134"/>
      </rPr>
      <t>日期码格式：ZURU INC(BVI) 标准格式 日期：按实际生产日期
Packaging Info:
 77711SK1: MA 3L EAN包装(+UPC条码贴纸)+ 进口商贴纸</t>
    </r>
    <r>
      <rPr>
        <sz val="11"/>
        <color rgb="FFFF0000"/>
        <rFont val="宋体"/>
        <charset val="134"/>
      </rPr>
      <t>;MA收藏指南</t>
    </r>
    <r>
      <rPr>
        <sz val="11"/>
        <rFont val="宋体"/>
        <charset val="134"/>
      </rPr>
      <t>;MA展示架
Remark: 此单出欧洲斯洛文尼亚， 需满足EU测试标准要求，不能含微塑料，需出无闪粉版本</t>
    </r>
  </si>
  <si>
    <t>0904512283HOU
STON</t>
  </si>
  <si>
    <t>4500162979-10</t>
  </si>
  <si>
    <t>6/13第三方验货</t>
  </si>
  <si>
    <t>0904512272MOB
ILE</t>
  </si>
  <si>
    <t>4500162979-20</t>
  </si>
  <si>
    <t>4500164017-40</t>
  </si>
  <si>
    <r>
      <rPr>
        <sz val="11"/>
        <rFont val="宋体"/>
        <charset val="134"/>
      </rPr>
      <t xml:space="preserve">日期码格式：ZURU INC(BVI) 标准格式 日期：按实际生产日期
Packaging Info: 
</t>
    </r>
    <r>
      <rPr>
        <sz val="11"/>
        <color rgb="FFFF0000"/>
        <rFont val="宋体"/>
        <charset val="134"/>
      </rPr>
      <t>4.77711:客版 3L EAN收缩膜（英法意）+最新MA 5L收藏指南+最新MA 23L说明书+最新MA 5L creative+最新MA纸袋+最新MA 3L PDQ/展示架+多语警语折叠贴纸（含
意大利语callout+包装缺失的法/意/西环保标）</t>
    </r>
    <r>
      <rPr>
        <sz val="11"/>
        <rFont val="宋体"/>
        <charset val="134"/>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</si>
  <si>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4500164017-50</t>
  </si>
  <si>
    <t>77711SK-S002-INT-MTS</t>
  </si>
  <si>
    <t>日期码格式：ZURU INC(BVI) 标准格式 日期：按实际生产日期
Packaging Info:
4.77711:客版 3L EAN收缩膜（英法意）+最新MA 5L收藏指南+最新MA 23L说明书+最新MA 5L creative+最新MA纸袋+最新MA 3L PDQ/展示架+多语警语折叠贴纸（含
意大利语callout+包装缺失的法/意/西环保标）
6.MEC305:（同77711/77673）+最新MA 展示架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</si>
  <si>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4500169682-90</t>
  </si>
  <si>
    <t>77711SK1-S002-INT-MTS</t>
  </si>
  <si>
    <t>4500165161转单4500166459</t>
  </si>
  <si>
    <t>多语警语折叠贴纸（含包装缺失的法/意/西环保标）（翻4500162314）</t>
  </si>
  <si>
    <t>Date code: 外箱/产品/包装 保持一致，完货后提供date code 信息以便我们保存记录做批次管理;</t>
  </si>
  <si>
    <t>日期码格式：ZURU INC(BVI) 标准格式 日期：按实际生产日期
Packaging Info:
 77711SK1:最新MA3LEAN收缩膜+最新MA5L收藏指南+最新MA23L说明书+最新MA5Lcreative+最新MA纸袋+最新MA展示架+多语警语折叠贴纸（含包装缺失的法/意/西环保
 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</si>
  <si>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4500169682-60</t>
  </si>
  <si>
    <t>日期码格式：ZURU INC(BVI) 标准格式 日期：按实际生产日期
Packaging Info:
 77711GQ1:最新MA3LEAN收缩膜+最新MA5L收藏指南+最新MA23L说明书+最新MA5Lcreative+最新MA纸袋+最新MA3LPDQ+多语警语折叠贴纸（含包装缺失的法/意/西环保标
 ）（翻4500162314）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</si>
  <si>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10001263696-3758</t>
  </si>
  <si>
    <t>4500166241-30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</si>
  <si>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</si>
  <si>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4500163394-40</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</si>
  <si>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</si>
  <si>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95388-8.17</t>
  </si>
  <si>
    <t>2924716-00</t>
  </si>
  <si>
    <t>4500165392-10</t>
  </si>
  <si>
    <t>6/9前寄出大货样2套</t>
  </si>
  <si>
    <t>日期码格式： 标准格式 日期：按实际生产日期
Packaging Info: 77711GQ1 MA 5L A版，MA 2L A版（PDQ+收缩膜UPC版本193052080127)
Remark: 出口加拿大， 有 进口商贴纸
6/9前寄出大货样2套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</si>
  <si>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95326-8.17</t>
  </si>
  <si>
    <t>4500166249-30</t>
  </si>
  <si>
    <t>日期码格式：ZURU INC(BVI) 标准格式 日期：按实际生产日期
Packaging Info: 
 77711GQ2：产品包装(UPC版)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</si>
  <si>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4500166259-30</t>
  </si>
  <si>
    <t>日期码格式：ZURU INC(BVI) 标准格式 日期：按实际生产日期
Packaging Info:
 77711GQ2：产品包装(UPC版) MA 1L 收缩膜 + MA1L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此订单所有item：
 1. 产品和包装上印刷 tracking code信息，格式为ZURU常规格式;
 2. 出货方式：货代自提</t>
  </si>
  <si>
    <t>10001263695-3890</t>
  </si>
  <si>
    <t>4500166234-30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</si>
  <si>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</si>
  <si>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Remark:大货最新2L版本/大货标准箱装箱;备注：收到样品订单后尽快安排 ，注意样板品质质量要求要高于大货品质要求 ，送货时必须要附带送货单(没有送货单和QC检验合格报告的仓库一律拒绝收货)，请知悉，谢谢！</t>
  </si>
  <si>
    <t>ZMPO250453</t>
  </si>
  <si>
    <t>77711SK-S001-NA</t>
  </si>
  <si>
    <t>2套空展示架</t>
  </si>
  <si>
    <t>Remark:大货最新版本/请配齐展示窗的配件;备注：收到样品订单后尽快安排 ，注意样板品质质量要求要高于大货品质要求 ，送货时必须要附带送货单(没有送货单和QC检验合格报告的仓库一律拒绝收货)，请知悉，谢谢！</t>
  </si>
  <si>
    <t>95866-7.31</t>
  </si>
  <si>
    <t>4500160810-30</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</si>
  <si>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</si>
  <si>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95528-7.2</t>
  </si>
  <si>
    <t>4500164022-10</t>
  </si>
  <si>
    <t>creative说明书
荷兰语贴纸翻PO#4500155592</t>
  </si>
  <si>
    <t>日期码格式：ZURU INC(BVI) 标准格式 日期：按实际生产日期
Packaging Info: 77711GQ2: 客版收缩膜（英法德意荷）-翻PO#4500155592+客人款号EAN条码贴纸，MA 纸袋， MA 3L A版PDQ， MA 5L+23L警语收藏指南， MA 5L creative说明书 +
 creative说明书
 荷兰语贴纸翻PO#4500155592
Remark: 1. STD配比
 2. 出欧洲，微塑料需合规（如item本身不含微塑料 则忽略此要求）
 3. 客人款号
 77711GQ2 2008168
 4. 大货样
 请在2025/6/4日前寄出每个item 2pcs 到罗湖办公室, Amber Zhang 收</t>
  </si>
  <si>
    <t>77711GQ2-S001-INT-1</t>
  </si>
  <si>
    <t>Yug Contract</t>
  </si>
  <si>
    <t>4500165525-10</t>
  </si>
  <si>
    <r>
      <rPr>
        <sz val="11"/>
        <rFont val="宋体"/>
        <charset val="134"/>
      </rPr>
      <t>日期码格式：ZURU INC(BVI) 标准格式 日期：按实际生产日期
Packaging Info: 77711GQ1: MA A版 3L EAN 包装+进口商贴纸; MA A版5L收藏指南;MA最新版23L说明书+</t>
    </r>
    <r>
      <rPr>
        <sz val="11"/>
        <color rgb="FFFF0000"/>
        <rFont val="宋体"/>
        <charset val="134"/>
      </rPr>
      <t>进口商贴纸</t>
    </r>
    <r>
      <rPr>
        <sz val="11"/>
        <rFont val="宋体"/>
        <charset val="134"/>
      </rPr>
      <t>; MA A版3L PDQ
Remark: 1、所有item 均用MA EAN 条码，若包装不是EAN 条码的请告知
 2、此单出欧洲需满足EU测试标准要求，另外不能出闪粉（若产品本身不含闪粉则忽略这句话）</t>
    </r>
  </si>
  <si>
    <t>4500165566-40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</si>
  <si>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</si>
  <si>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95342-8.17</t>
  </si>
  <si>
    <t>MPO03504</t>
  </si>
  <si>
    <t>6/30 送永捷</t>
  </si>
  <si>
    <t>Remark: 1））包包装装方方式式：：MA UPC优优先先1L最最新新版版，，出出口口美美国国
2））为为保保持持子子件件与与母母件件的的生生产产日日期期一一致致，，此此单单的的生生产产日日期期请请等等通通知知
3））送送货货时时，，可可用用周周转转箱箱送送货货并并在在外外箱箱上上备备注注此此为为Fred Meyer PO-4500164634 #MSLD130-S001展展示示架架的的子子件件 ；
4）.请请务务必必按按期期交交货货；；</t>
  </si>
  <si>
    <t>Tracy Xu；Vicky，Wu；</t>
  </si>
  <si>
    <t>ZB00698-7.9</t>
  </si>
  <si>
    <t>0904512285EAS
TVALE</t>
  </si>
  <si>
    <t>4500162824-10</t>
  </si>
  <si>
    <t>日期码格式：ZURU DGYYYYMMDD CHINA(日期避开周末和法定节假日即可） 日期：按实际生产日期
Packaging Info: 77711GQ4-S001-NA
1.包装要求：
MA 1L A版收缩膜+MA 5L A版收藏指南+MA 说明书+客版1L PDQ，翻单：4500159672
每pcs产品上要贴1张RFID贴纸，贴纸由ZURU提供，贴纸位置请严格按照我们签回的签板
Remark: 77711GQ4-S001-NA
1.包装要求：
MA 1L A版收缩膜+MA 5L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
保
条形码能扫描出来，外箱侧面任一角落加印："MADE IN CHINA" 字样；
3. 在产品上和包装上要有日期码、以及要有MADE IN CHINA和ZURU字样；
4. 产品如有扎带口要剪平，不能刮手。
5.loose carton出货，16pcs/PDQ/CTN</t>
  </si>
  <si>
    <t>ZB00645-7.3</t>
  </si>
  <si>
    <t>0904512434ELW
OOD</t>
  </si>
  <si>
    <t>4500162824-20</t>
  </si>
  <si>
    <t>ZB00626-7.2</t>
  </si>
  <si>
    <t>0907594866SUF
FOLK</t>
  </si>
  <si>
    <t>4500162824-30</t>
  </si>
  <si>
    <t>0907594904STA
TESBORO</t>
  </si>
  <si>
    <t>4500162824-40</t>
  </si>
  <si>
    <t>ZB00718-7.10</t>
  </si>
  <si>
    <t>0907594944RID
GEVILLE SC</t>
  </si>
  <si>
    <t>4500162824-50</t>
  </si>
  <si>
    <t>ZB00682-7.8</t>
  </si>
  <si>
    <t>4500168832-20</t>
  </si>
  <si>
    <t>日期码格式：ZURU INC(BVI) 标准格式 日期：
Packaging Info:  1.  MA 1L 包装
  2. 客人指定箱唛排版
Remark: 出货前 Zuru QC 验货</t>
  </si>
  <si>
    <t>4500168889-30</t>
  </si>
  <si>
    <t>4500166083转单</t>
  </si>
  <si>
    <t>Miniso Depot CA Inc.</t>
  </si>
  <si>
    <t>CUSTOMER PO#
4343000549</t>
  </si>
  <si>
    <t>4500165138-10</t>
  </si>
  <si>
    <t>日期码格式：ZURU INC(BVI) 标准格式 日期：按实际生产日期
Packaging Info: 1. 包装方式：MA UPC 优先1L 最新包装，出口美国；
2. 产品和包装上印刷tracking code信息，格式为ZURU常规；
3. ZURU QC 验货合格后即可出货.
Remark: 4.#77711GQ2-S002-NA PDQ上需要贴一张UPC 条码贴纸,UPC显示：193052080127；贴纸AW跟单提供，贴纸工厂自行采购。</t>
  </si>
  <si>
    <t>Customer PO#
4343000548</t>
  </si>
  <si>
    <t>4500165084-10</t>
  </si>
  <si>
    <t>ZB00646-7.3</t>
  </si>
  <si>
    <t>THE HAMLEYS GROUP LTD</t>
  </si>
  <si>
    <t>HLL-PO-000014
610</t>
  </si>
  <si>
    <t>4500166031-10</t>
  </si>
  <si>
    <t>大货样：请于6/10前寄3套完整大货样到深圳办公室：广东省深圳市罗湖区南湖街道东门南路1006号口岸大楼B栋7楼 Meyyya Liu收</t>
  </si>
  <si>
    <t>日期码格式：ZURU INC(BVI) 标准格式 日期：按实际生产日期
Packaging Info: 1. 777111GQ2:MA+UPC条码贴纸，PDQ 用3L版本
 2. 外箱唛请见单独的箱唛文件，并发送排版给我司确认。
Remark: 大货样：请于6/10前寄3套完整大货样到深圳办公室：广东省深圳市罗湖区南湖街道东门南路1006号口岸大楼B栋7楼 Meyyya Liu收</t>
  </si>
  <si>
    <t>95437-8.17</t>
  </si>
  <si>
    <t>新品需提供2套大货样品给客人，客人会签回一套，验货后验货员需要封1套板寄给香港办公室，请多备料。</t>
  </si>
  <si>
    <t>日期码格式：ZURU INC(BVI) 标准格式 日期：按实际生产日期
Packaging Info: 
"77785:最新客版彩盒+EAN贴纸（翻4500163212）
子件77711：最新MA3LEAN收缩膜+最新MA5L收藏指南+最新MA23L说明书+最新MA5Lcreative+最新MA纸袋+多语警语折叠贴纸（含包装缺失的法/意/西环保标）（翻4500
 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</si>
  <si>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4500165810-60</t>
  </si>
  <si>
    <t>日期码格式：ZURU INC(BVI) 标准格式 日期：按实际生产日期
Packaging Info:
 3. 77711GQ2：MA 3L INT EAN包装+UPC条码贴纸+MA 3L PDQ包装+MA 多语说明书+进口商贴纸+箱唛
Remark:</t>
  </si>
  <si>
    <t>95529-7.2</t>
  </si>
  <si>
    <t>Navy Exchange Service Command</t>
  </si>
  <si>
    <t>4500165547-20</t>
  </si>
  <si>
    <t>PO#37490629</t>
  </si>
  <si>
    <t>4500165547-50</t>
  </si>
  <si>
    <t>77711SK-S002-NA</t>
  </si>
  <si>
    <t>777 25APR2526</t>
  </si>
  <si>
    <t>4500166127-100</t>
  </si>
  <si>
    <t>5/22确认排版</t>
  </si>
  <si>
    <t>UPC贴纸（UPC#193052080134）翻PO#4500164759</t>
  </si>
  <si>
    <t>日期码格式：ZURU INC(BVI) 标准格式 日期：按实际生产日期
Packaging Info: 各款的条码如下，配比请跟MA, 请先检查条码是否正确再安排做货，如有问题请告知
77711GQ2-S003-INT：193052080134(MA 3L INT版本收缩膜+1张UPC贴纸（UPC#193052080134）翻PO#4500164759+ MA INT版本5L收藏指南+MA INT 版本 3L PDQ+其他M
 A最新包装)
Remark: 1.产品及包装需要印UKCA图标，包装需要有ZURU UK LTD/ZURU France地址信息，QC同事请核查，如有问题与跟单确认。
 2. 需要符合欧洲标准不能含有闪粉和微塑料，否则不合法规会有客诉产生</t>
  </si>
  <si>
    <t>95446-8.17</t>
  </si>
  <si>
    <t>RIALTO SPA</t>
  </si>
  <si>
    <t>4500163632-20</t>
  </si>
  <si>
    <r>
      <rPr>
        <sz val="11"/>
        <rFont val="宋体"/>
        <charset val="134"/>
      </rPr>
      <t>日期码格式：ZURU INC(BVI) 标准格式 日期：按实际生产日期
Packaging Info:
77711</t>
    </r>
    <r>
      <rPr>
        <sz val="11"/>
        <color rgb="FFFF0000"/>
        <rFont val="宋体"/>
        <charset val="134"/>
      </rPr>
      <t>SK</t>
    </r>
    <r>
      <rPr>
        <sz val="11"/>
        <rFont val="宋体"/>
        <charset val="134"/>
      </rPr>
      <t>: MA EAN 收缩膜3L-A版本（+意大利警语贴纸+1*意大利sorting logo含进口商地址）+MA纸袋/A版收藏指南/警告语说明书23L/A版 5L CREATIVE/UV GLUE la
ble贴纸+MA SK
Remark: 1. 此单出意大利，需符合EU标准，不含微塑料，如果含slime等化学品，需要不含硼
2. 需保证按期完货，延期罚款
3.贴纸切勿盖住意大利警告语</t>
    </r>
  </si>
  <si>
    <t>4500164296-10</t>
  </si>
  <si>
    <t>6/21 装柜</t>
  </si>
  <si>
    <t>新UPC贴纸(翻单4500160573）+进口商贴纸（翻单4500160573）</t>
  </si>
  <si>
    <t>77711GQ2:需要在每箱放入6小包干燥剂，每包干燥剂重量2-3g
6：如走柜货等loading plan 确认后再通知集装箱干燥剂数量</t>
  </si>
  <si>
    <t>日期码格式：LOTDGYYYYMMDD 日期：按实际生产日期
Packaging Info: 77711GQ2: MA3LPDQ+3L MA EAN贴纸+新UPC贴纸(翻单4500160573）+进口商贴纸（翻单4500160573）+MA 5L收藏指南+MA多语说明书+箱唛，进口商贴纸要贴在球上（
详见位置图）
Remark: 1：客版日期码要求：LOT+ZURU标准日期码格式。东莞生产的格式：LOTDGYYYYMMDD, DG是东莞拼音首字母，YYYYMMDD是实际的年月日
10 Assortment, A:B:D:E:G:H:J:K:L:M=1:1:1:1:1:2:1:2:1:1
3. 此单有第三方监柜，至少多备一套完整的物料用于监柜，请多备料。
4. WM墨西哥防霉的新要求:货物必须在出货主箱和集装箱中按要求放置干燥剂，干燥剂指定品牌干霸
5：77711GQ2:需要在每箱放入6小包干燥剂，每包干燥剂重量2-3g
6：如走柜货等loading plan 确认后再通知集装箱干燥剂数量</t>
  </si>
  <si>
    <t>95377-8.17</t>
  </si>
  <si>
    <t>6006-007111</t>
  </si>
  <si>
    <t>4500165851-100</t>
  </si>
  <si>
    <t>日期码格式：ZURU INC(BVI) 标准格式 日期：按实际生产日期
Packaging Info:
 77711GQ2: MA 3L PKG+ UPC条码贴纸；
 MA 5L 收藏指南， MA说明书+ 1 张进口商贴纸（不得遮挡日期码）
(进口商贴纸新稿，后续新单以新版进口商贴纸为准，适用该客户订单的所有产品）
Remark:</t>
  </si>
  <si>
    <t>6/9 第三方抽办10%，7座展示架，6/19  100%验货</t>
  </si>
  <si>
    <t>ROFU Kinderland Spielwarenhandelsge</t>
  </si>
  <si>
    <t>4500165600-60</t>
  </si>
  <si>
    <t>德语警告语贴纸 翻单：4500161168</t>
  </si>
  <si>
    <t>欠客供价格贴纸</t>
  </si>
  <si>
    <t>日期码格式：ZURU INC(BVI) 标准格式 日期：按实际生产日期
Packaging Info:
 77711GQ1: MA EAN 收缩膜3L-A版本（+德语警告语贴纸 翻单：4500161168）+客供价格贴纸 +MA纸袋+MA GLOBAL 5L-A版本+MA警告语说明书23L+MA CREATIVE 5L-A版
 本+MA UV GLUE lable贴纸+MAPDQ3L-A版本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</si>
  <si>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COL66-25-FALL</t>
  </si>
  <si>
    <t>4500163691-290</t>
  </si>
  <si>
    <t>预计6/18 出货</t>
  </si>
  <si>
    <t>日期码格式：DG20250520 日期：
Packaging Info: 
77711GQ2:MA 3L EAN 包装+进口商贴纸+UPC贴纸+箱唛
Remark:</t>
  </si>
  <si>
    <t>4500167451-30</t>
  </si>
  <si>
    <t>77823GQ2-S001-PRODCC-INT</t>
  </si>
  <si>
    <t>冰箱迷你球(客制版本)</t>
  </si>
  <si>
    <r>
      <rPr>
        <sz val="11"/>
        <rFont val="宋体"/>
        <charset val="134"/>
      </rPr>
      <t xml:space="preserve">日期码格式：ZURU INC(BVI) 标准格式 日期：按实际生产日期
Packaging Info: MA UPC(优先1L) package+1张SNI label </t>
    </r>
    <r>
      <rPr>
        <sz val="11"/>
        <color rgb="FFF7241F"/>
        <rFont val="宋体"/>
        <charset val="134"/>
      </rPr>
      <t>贴在产品77823GQ2上,贴纸资料待提供;</t>
    </r>
    <r>
      <rPr>
        <sz val="11"/>
        <rFont val="宋体"/>
        <charset val="134"/>
      </rPr>
      <t xml:space="preserve">
可能会需样板做测试, 也有可能有第三方验货,请等我们进一步通知;
此单会跟其他订单一起出整柜, 届时如走20GP会改单价给你们;
77823GQ2为77711GQ2的客制版本,因license受限, 不能出kikkoman的minis,特此77823GQ2需移除kikoman的minis,更新的配比待客制PM Una提供;
77823GQ2S使用STD INT国际版本的收缩膜加一张UPC条码贴纸显示款号为77823;收藏指南使用STD INT国际版本,但是需加贴一张贴纸遮住kikkoman的logo,PDQ使用客
版PDQ(跟77782GQ1-S001-INT的PDQ，图稿可翻单拉美订单4500161302;如前期跟陈龙沟通,你们仍需定购拉美的PDQ,请把此单需求一起加上订购;
Remark: 
77823GQ2-With 4pcs demo/PDQ</t>
    </r>
  </si>
  <si>
    <t>4500167533-120</t>
  </si>
  <si>
    <t>日期码格式：ZURU INC(BVI) 标准格式 日期：按实际生产日期
Packaging Info: 
8. 77782GQ1: 客版收缩膜+客版收藏指南+客版PDQ+箱唛，客版物料消耗PO 4500161302的库存
MOTHER UPC 条码：
Remark:
12. 77782GQ1: WITH 4 DEMO; Base on #77711GQ2-S001-INT ver.:Remove Hershey and Kikkoman, Kikkoman-Soy Sauce
Hershey's-Chocolate Syrup 24 oz
Hershey's-Mini Chocolate Syrup 24 oz
Hershey's-Strawberry Syrup 22 oz</t>
  </si>
  <si>
    <t>999-46877 999-46992</t>
  </si>
  <si>
    <t>4500166306-20</t>
  </si>
  <si>
    <r>
      <rPr>
        <sz val="11"/>
        <rFont val="宋体"/>
        <charset val="134"/>
      </rPr>
      <t xml:space="preserve">日期码格式：ZURU INC(BVI) 标准格式 日期：按实际生产日期
Packaging Info:
</t>
    </r>
    <r>
      <rPr>
        <sz val="11"/>
        <color rgb="FFFF0000"/>
        <rFont val="宋体"/>
        <charset val="134"/>
      </rPr>
      <t>77711GQ1: MA A版3L EAN包装+UPC条码贴纸+加4国警告语贴纸Czech-Hugarian-Polish-Slovak,请先检查包装条码#193052080134是否正确再安排做货), MA A版3L PD
Q</t>
    </r>
    <r>
      <rPr>
        <sz val="11"/>
        <rFont val="宋体"/>
        <charset val="134"/>
      </rPr>
      <t xml:space="preserve">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r>
  </si>
  <si>
    <t>4500166007-30</t>
  </si>
  <si>
    <t>需要第三方SGS验货，验货时间2025/06/27，每款每色请备1PC完整带包装样品供验货人员参考。用完后若无损坏可以放回大货里。</t>
  </si>
  <si>
    <t>日期码格式：ZURU INC(BVI) 标准格式 日期：按实际生产日期
Packaging Info: 1. 出口加拿大市场。
 #77711GQ2：MA 2L UPC版本;
 2. 产品、包装、外箱上面tracking code的时间格式需要一致。
Remark: 3. 需要第三方SGS验货，验货时间2025/06/23，每款每色请备1PC完整带包装样品供验货人员参考。用完后若无损坏可以放回大货里。</t>
  </si>
  <si>
    <t>4500167592-10</t>
  </si>
  <si>
    <t>6/23 第三方验货</t>
  </si>
  <si>
    <t>ZB00717-7.10</t>
  </si>
  <si>
    <t>4500167592-20</t>
  </si>
  <si>
    <t>ZB00716-7.10</t>
  </si>
  <si>
    <t>4500166380-10</t>
  </si>
  <si>
    <r>
      <rPr>
        <sz val="11"/>
        <rFont val="宋体"/>
        <charset val="134"/>
      </rPr>
      <t xml:space="preserve">日期码格式：ZURU INC(BVI) 标准格式 日期：按实际生产日期
Packaging Info: 77711GQ2：MA 3L最新 PDQ+MA A 3L 收缩膜含EAN条码+西班牙环保标贴纸+MA5L收藏指南
Remark: 1. 此单出西班牙市场，需满足EU测试标准要求，微塑料需符合EU法规。
</t>
    </r>
    <r>
      <rPr>
        <sz val="11"/>
        <color rgb="FFFF0000"/>
        <rFont val="宋体"/>
        <charset val="134"/>
      </rPr>
      <t>2. 客户要求提供3套大货样板 &lt;(&gt;&amp;&lt;)&gt; 3个折叠好的空盒子(如含有PDQ的话要寄PDQ)， 在6/24前寄到深圳办公室 ，需备料</t>
    </r>
  </si>
  <si>
    <t>4500167592-30</t>
  </si>
  <si>
    <t>4500167592-40</t>
  </si>
  <si>
    <t>ZB00653-7.4</t>
  </si>
  <si>
    <t>4500167592-50</t>
  </si>
  <si>
    <t>4500167592-70</t>
  </si>
  <si>
    <t>7/8 出货</t>
  </si>
  <si>
    <t>ZB00680-7.8</t>
  </si>
  <si>
    <t>4500166269-110</t>
  </si>
  <si>
    <t>日期码格式：ZURU INC(BVI) 标准格式 日期：按实际生产日期
Packaging Info: 
77711GQ2:MA 收缩膜EAN 3L A+MA PDQ 3L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</si>
  <si>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</si>
  <si>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4500167360-20</t>
  </si>
  <si>
    <t>日期码格式：ZURU INC(BVI) 标准格式 日期：按实际生产日期
Packaging Info: 
77711GQ2-MA EAN包装(3L)+1张UPC条码贴纸(条码193052080134)覆盖原EAN条码+1张进口商贴纸
贴纸AW、位置图待提供
Remark:</t>
  </si>
  <si>
    <t>4500167592-60</t>
  </si>
  <si>
    <t>ZB00681-7.8</t>
  </si>
  <si>
    <t>MEC305-S001-INT-MTS-77711</t>
  </si>
  <si>
    <t>冰箱/球混装展示架</t>
  </si>
  <si>
    <r>
      <rPr>
        <sz val="11"/>
        <rFont val="宋体"/>
        <charset val="134"/>
      </rPr>
      <t xml:space="preserve">日期码格式：ZURU INC(BVI) 标准格式 日期：按实际生产日期
Packaging Info: 
 6.MEC305:（同77711/77673）+最新MA 展示架
</t>
    </r>
    <r>
      <rPr>
        <sz val="11"/>
        <color rgb="FFFF0000"/>
        <rFont val="宋体"/>
        <charset val="134"/>
      </rPr>
      <t xml:space="preserve"> 子件：77711:客版 3L EAN收缩膜（英法意）+最新MA 5L收藏指南+最新MA 23L说明书+最新MA 5L creative+最新MA纸袋+最新MA 3L PDQ/展示架+多语警语折叠贴纸（
 含意大利语callout+包装缺失的法/意/西环保标）</t>
    </r>
    <r>
      <rPr>
        <sz val="11"/>
        <rFont val="宋体"/>
        <charset val="134"/>
      </rPr>
      <t xml:space="preserve">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r>
  </si>
  <si>
    <t>4500167152-160</t>
  </si>
  <si>
    <t>日期码格式：ZURU INC(BVI) 标准格式 日期：按实际生产日期
Packaging Info:
13. 77782GQ1：客版收缩膜+客版收藏指南+客版PDQ+进口商贴纸+箱唛，客版物料消耗PO 4500161302的库存
Remark:
15. 77782GQ1：WITH 4 DEMO; Base on #77711GQ2-S001-INT ver.:Remove Hershey and Kikkoman, Kikkoman-Soy Sauce Hershey's-Chocolate Syrup 24 oz Hersh
ey's-Mini Chocolate Syrup 24 oz Hershey's-Strawberry Syrup 22 oz</t>
  </si>
  <si>
    <t>MONOPRIX EXPLOITATION</t>
  </si>
  <si>
    <t>55-25-0039/1</t>
  </si>
  <si>
    <t>4500166177-40</t>
  </si>
  <si>
    <t>日期码格式：MONOP 0725 日期：
Packaging Info: 
 77711GQ1:MA3L EAN收缩膜+1张客户网站贴纸(含法国回收logo)+MA5L收藏指南/贴纸+MA23L说明书+MA3L PDQ
Remark: 1. 此票预计6/19第三方SGS实验室验货, 需做抽板测试(每个item预计抽板3-4套)请多备料, 验货和测试PASS后方可安排出货；
 2. 此票需按期完货, 推期有严重罚款；
 3. 此票出法国，请确保产品质量符合EU法国要求，包装含法国回收logo，产品符合欧洲微塑料法规；</t>
  </si>
  <si>
    <t>0907594943MOB
ILE</t>
  </si>
  <si>
    <t>4500162828-10</t>
  </si>
  <si>
    <t>6/25 第三方验货</t>
  </si>
  <si>
    <t>ZB00623-7.1</t>
  </si>
  <si>
    <t>4500164834-20</t>
  </si>
  <si>
    <t>日期码格式：ZURU INC(BVI) 标准格式 日期：按实际生产日期
Packaging Info: 
77711GQ2:最新MA 3L 收缩膜含EAN条码+一张意大利警语&lt;(&gt;&amp;&lt;)&gt;意大利环保标&lt;(&gt;&amp;&lt;)&gt;进口商内容贴纸+MA 5L纸袋+最新MA 23L说明书+MA 3L PDQ；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</si>
  <si>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Amazon
UK:7AZ6BU3L</t>
  </si>
  <si>
    <t>4500159555-10</t>
  </si>
  <si>
    <t>7/6 交仓</t>
  </si>
  <si>
    <t>日期码格式：ZURU INC(BVI) 标准格式 日期：按实际生产日期
Packaging Info: Amazon UK(77731/71152/9561)/DE(9561)/FR(9561)
1. 77731：2PK#77711-INT In PVC Tube，12tubes/ctn; UV GLUE/ 1 Refrigerator Magnet; MA 1L(1L warning UPC)A收缩膜+1张空白贴纸(覆盖在条码位置，尺寸
由工厂自行测量)+MA 5L(23L warning)A收藏指南+MA 23L警告语说明书+MA 5L A说明书 +客版3L(5L warning UPC) INT PVC筒彩卡(参考翻单PO#4500158623)+1张IT
环保标贴纸(参考提供的位置图;参考翻单PO#4500158623）；
4.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</si>
  <si>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95598-7.9</t>
  </si>
  <si>
    <t>Amazon
ES:88UDZQ1E</t>
  </si>
  <si>
    <t>4500167394-60</t>
  </si>
  <si>
    <t>7/9 交仓</t>
  </si>
  <si>
    <t>日期码格式：ZURU INC(BVI) 标准格式 日期：按实际生产日期
Packaging Info: Amazon ES(15726B/15762E/15763E/77723/77731/92119A)/IT(15728G/15762D/15763D/71152/77723)
5. 77731：2PK#77711-INT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</si>
  <si>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95621-7.12</t>
  </si>
  <si>
    <t>77731-INT-S001-1</t>
  </si>
  <si>
    <t>CANADIAN TIRE</t>
  </si>
  <si>
    <t>4500166281-20</t>
  </si>
  <si>
    <t>日期码格式：ZURU INC(BVI) 标准格式 日期：按实际生产日期
Packaging Info:
 77711GQ1 MA 多语言包装,, UPC 193052080127
Remark: 出加拿大
Zuru验货.日期跟踪码：产品外包装及产品本身都必须有日期跟踪码，ZURU标准格式
 日期码。</t>
  </si>
  <si>
    <t>4500161570-610</t>
  </si>
  <si>
    <t>4500161570-620</t>
  </si>
  <si>
    <t>4500167380-10</t>
  </si>
  <si>
    <t>日期码格式：ZURU DGYYYYMMDD CHINA(日期避开周末和法定节假日即可） 日期：按实际生产日期
Packaging Info: 77711GQ4-S001-NA
1.包装要求：
MA 1L A版收缩膜+MA 2L A版收藏指南+MA 说明书+客版1L PDQ，翻单：4500159672
每pcs产品上要贴1张RFID贴纸，贴纸由ZURU提供，贴纸位置请严格按照我们签回的签板；
Remark: 77711GQ4-S001-NA
1.包装要求：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</si>
  <si>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ZB00660-7.5</t>
  </si>
  <si>
    <t>4500167380-20</t>
  </si>
  <si>
    <t>ZB00735-7.12</t>
  </si>
  <si>
    <t>4500167380-30</t>
  </si>
  <si>
    <t>ZB00847-7.23</t>
  </si>
  <si>
    <t>4500164421-10</t>
  </si>
  <si>
    <t>MPO03503</t>
  </si>
  <si>
    <t>ZB00697R1-7.9</t>
  </si>
  <si>
    <t>4500166480-30</t>
  </si>
  <si>
    <t>crea tive说明书荷兰语贴纸(翻单4500155592）</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</si>
  <si>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</si>
  <si>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日期码格式：ZURU INC(BVI) 标准格式 日期：按实际生产日期
Packaging Info: "77785：客版彩盒+价格贴纸
 77711： MA EAN 收缩膜3L-A版本（+德语意大利警告语贴纸）+MA纸袋+MA GLOBUS 5L-A版本+MA警告语说明书23L+MA CREATIVE 5L-A版本+MA UV GLUE lable贴纸
 "
Remark: 1. 价格贴纸要求为可移动贴纸
 2.一套大货样品/item，请多备料。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</si>
  <si>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4500166375-10</t>
  </si>
  <si>
    <t>条码翻单4500159575</t>
  </si>
  <si>
    <r>
      <rPr>
        <sz val="11"/>
        <rFont val="宋体"/>
        <charset val="134"/>
      </rPr>
      <t>日期码格式：ZURU INC(BVI) 标准格式 日期：按实际生产日期
Packaging Info: 77711GQ1-S001-INT：MA-3L 全套包装+ INT UPC 条码覆盖原条码位置，</t>
    </r>
    <r>
      <rPr>
        <sz val="11"/>
        <color rgb="FFFF0000"/>
        <rFont val="宋体"/>
        <charset val="134"/>
      </rPr>
      <t>条码翻单4500159575（条码：193052080134）</t>
    </r>
    <r>
      <rPr>
        <sz val="11"/>
        <rFont val="宋体"/>
        <charset val="134"/>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大货样：新款请在6/17 前寄出每款2整套大货样到罗湖办公室7B Sandy Shao 收，翻单不用寄。</t>
    </r>
  </si>
  <si>
    <t>4500166286-20</t>
  </si>
  <si>
    <r>
      <rPr>
        <sz val="11"/>
        <rFont val="宋体"/>
        <charset val="134"/>
      </rPr>
      <t xml:space="preserve">日期码格式：ZURU INC(BVI) 标准格式 日期：按实际生产日期
Packaging Info:
77711GQ1-S002-INT: MA 3L包装（MA收缩膜和说明书） + 一张UPC条码贴+ 防盗贴纸（两款贴纸以及防盗贴纸位置图翻单PO#4500160026）+ 箱唛 + 外箱贴纸SSCC L
abel
</t>
    </r>
    <r>
      <rPr>
        <sz val="11"/>
        <color rgb="FFFF0000"/>
        <rFont val="宋体"/>
        <charset val="134"/>
      </rPr>
      <t>此订单有分两种装运类型，请注意外箱贴纸需要按贴纸文件顺序安排贴纸顺序，先贴整柜的数量，剩下的贴散货的数量。
如：柜货+散货：
以此类推，如不按此安排，此次出货请自行记录好外箱对应贴纸的相关信息。如客户收到后有贴纸重复或贴纸顺序记录错误等问题产生的相关费用需由工厂自己承担</t>
    </r>
    <r>
      <rPr>
        <sz val="11"/>
        <rFont val="宋体"/>
        <charset val="134"/>
      </rPr>
      <t xml:space="preserve">
。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</si>
  <si>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95855-7.31</t>
  </si>
  <si>
    <t>4500166286-80</t>
  </si>
  <si>
    <t>95856-7.31</t>
  </si>
  <si>
    <t>0907594917HOU
STON</t>
  </si>
  <si>
    <t>4500162963-10</t>
  </si>
  <si>
    <t>6/27 第三方验货</t>
  </si>
  <si>
    <t>ZB00672-7.7</t>
  </si>
  <si>
    <t>4500167593-10</t>
  </si>
  <si>
    <t>ZB00670-7.7</t>
  </si>
  <si>
    <t>4500167593-20</t>
  </si>
  <si>
    <t>ZB00736-7.12</t>
  </si>
  <si>
    <t>4500167593-30</t>
  </si>
  <si>
    <t>ZB00723-7.11</t>
  </si>
  <si>
    <t>4500167593-40</t>
  </si>
  <si>
    <t>ZB00671-7.7</t>
  </si>
  <si>
    <t>4500167593-50</t>
  </si>
  <si>
    <t>ZB00661-7.5</t>
  </si>
  <si>
    <t>4500167593-60</t>
  </si>
  <si>
    <t>ZB00753-7.15</t>
  </si>
  <si>
    <t>4500167593-70</t>
  </si>
  <si>
    <t>ZB00737-7.12</t>
  </si>
  <si>
    <t>0907594847RID
GEVILLE SC</t>
  </si>
  <si>
    <t>4500162965-10</t>
  </si>
  <si>
    <t>ZB00846-7.23</t>
  </si>
  <si>
    <t>4500166992-50</t>
  </si>
  <si>
    <t>荷兰语组装说明书贴纸(翻单450
0155592)</t>
  </si>
  <si>
    <r>
      <rPr>
        <sz val="11"/>
        <rFont val="宋体"/>
        <charset val="134"/>
      </rPr>
      <t>日期码格式：ZURU INC(BVI) 标准格式 日期：按实际生产日期
Packaging Info:
5.77711GQ2：MA 3L EAN 版本收缩膜+</t>
    </r>
    <r>
      <rPr>
        <sz val="11"/>
        <color rgb="FFFF0000"/>
        <rFont val="宋体"/>
        <charset val="134"/>
      </rPr>
      <t>1张2L(NL&lt;(&gt;&amp;&lt;)&gt;DE)警告语贴纸+MA 5L 收藏指南+MA 23L 警告语说明书+MA 5L DIY说明书+1张荷兰语组装说明书贴纸(翻单450
0155592)+其它MA包装+MA 3L 最新版PDQ；</t>
    </r>
    <r>
      <rPr>
        <sz val="11"/>
        <rFont val="宋体"/>
        <charset val="134"/>
      </rPr>
      <t xml:space="preserve">
Remark: 1.STD配比；
2.外箱需要印条码，请确保条码可以清晰扫描且条码内容正确；
3.出欧洲，微塑料需合规（如item本身不含微塑料,则忽略此要求）;
4.所有产品需要符合REACH申明。</t>
    </r>
  </si>
  <si>
    <t>4500167106-20</t>
  </si>
  <si>
    <t>7/7 第三方验货+抽办测试</t>
  </si>
  <si>
    <t>6/10 更新</t>
  </si>
  <si>
    <r>
      <rPr>
        <sz val="11"/>
        <rFont val="宋体"/>
        <charset val="134"/>
      </rPr>
      <t xml:space="preserve">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t>
    </r>
    <r>
      <rPr>
        <sz val="11"/>
        <color rgb="FFFF0000"/>
        <rFont val="宋体"/>
        <charset val="134"/>
      </rPr>
      <t>#77711GQ1,需6月25日前需寄出3套大货样板(含PDQ)，样板须跟大货一模一样（含日期码）。</t>
    </r>
    <r>
      <rPr>
        <sz val="11"/>
        <rFont val="宋体"/>
        <charset val="134"/>
      </rPr>
      <t xml:space="preserve">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t>
    </r>
    <r>
      <rPr>
        <sz val="11"/>
        <color rgb="FFFF0000"/>
        <rFont val="宋体"/>
        <charset val="134"/>
      </rPr>
      <t>盲盒类的</t>
    </r>
    <r>
      <rPr>
        <sz val="11"/>
        <rFont val="宋体"/>
        <charset val="134"/>
      </rPr>
      <t>：4pcs成品球+2个空PDQ+2套散件）寄到以下地址：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r>
  </si>
  <si>
    <t>4500167614-40</t>
  </si>
  <si>
    <t>4500162426-10</t>
  </si>
  <si>
    <t>UPC条码贴纸</t>
  </si>
  <si>
    <r>
      <rPr>
        <sz val="11"/>
        <rFont val="宋体"/>
        <charset val="134"/>
      </rPr>
      <t xml:space="preserve">日期码格式：ZURU INC(BVI) 标准格式 日期：按实际生产日期
Packaging Info: 77803GQ2-S001-PRODCC-INT: </t>
    </r>
    <r>
      <rPr>
        <sz val="11"/>
        <color rgb="FFFF0000"/>
        <rFont val="宋体"/>
        <charset val="134"/>
      </rPr>
      <t>MA 收缩膜(加UPC贴纸+进口商贴纸)</t>
    </r>
    <r>
      <rPr>
        <sz val="11"/>
        <rFont val="宋体"/>
        <charset val="134"/>
      </rPr>
      <t xml:space="preserve"> +贴纸+客版PDQ跟回77782GQ1-S001-INT（翻单号4500161302）+客版收藏指南
Remark:</t>
    </r>
  </si>
  <si>
    <t>Nora pan</t>
  </si>
  <si>
    <t>4500162410-10</t>
  </si>
  <si>
    <r>
      <rPr>
        <sz val="11"/>
        <rFont val="宋体"/>
        <charset val="134"/>
      </rPr>
      <t xml:space="preserve">日期码格式：ZURU INC(BVI) 标准格式 日期：按实际生产日期
Packaging Info: 77803GQ2-S001-PRODCC-INT: </t>
    </r>
    <r>
      <rPr>
        <sz val="11"/>
        <color rgb="FFFF0000"/>
        <rFont val="宋体"/>
        <charset val="134"/>
      </rPr>
      <t xml:space="preserve">MA 收缩膜(加UPC贴纸+进口商贴纸) </t>
    </r>
    <r>
      <rPr>
        <sz val="11"/>
        <rFont val="宋体"/>
        <charset val="134"/>
      </rPr>
      <t>+贴纸+客版PDQ跟回77782GQ1-S001-INT（翻单号4500161302）+客版收藏指南
Remark:</t>
    </r>
  </si>
  <si>
    <t>4500162410-20</t>
  </si>
  <si>
    <t>77803SK1-S002-PRODCC-INT</t>
  </si>
  <si>
    <t>冰箱迷你球展示架（客版）</t>
  </si>
  <si>
    <r>
      <rPr>
        <sz val="11"/>
        <rFont val="宋体"/>
        <charset val="134"/>
      </rPr>
      <t>日期码格式：ZURU INC(BVI) 标准格式 日期：按实际生产日期
Packaging Info: 
77803SK1:</t>
    </r>
    <r>
      <rPr>
        <sz val="11"/>
        <color rgb="FFFF0000"/>
        <rFont val="宋体"/>
        <charset val="134"/>
      </rPr>
      <t>MA 收缩膜(加UPC贴纸+进口商贴纸</t>
    </r>
    <r>
      <rPr>
        <sz val="11"/>
        <rFont val="宋体"/>
        <charset val="134"/>
      </rPr>
      <t>)+贴纸+客版收藏指南+客版展示架，外包材统一使用MA 3L
Remark:</t>
    </r>
  </si>
  <si>
    <t>卡特尔</t>
  </si>
  <si>
    <t>4500162426-20</t>
  </si>
  <si>
    <r>
      <rPr>
        <sz val="11"/>
        <rFont val="宋体"/>
        <charset val="134"/>
      </rPr>
      <t>日期码格式：ZURU INC(BVI) 标准格式 日期：按实际生产日期
Packaging Info: 
77803SK1</t>
    </r>
    <r>
      <rPr>
        <sz val="11"/>
        <color rgb="FFFF0000"/>
        <rFont val="宋体"/>
        <charset val="134"/>
      </rPr>
      <t>:MA 收缩膜(加UPC贴纸+进口商贴纸)</t>
    </r>
    <r>
      <rPr>
        <sz val="11"/>
        <rFont val="宋体"/>
        <charset val="134"/>
      </rPr>
      <t>+贴纸+客版收藏指南+客版展示架，外包材统一使用MA 3L
Remark:</t>
    </r>
  </si>
  <si>
    <t>日期码格式：ZURU INC(BVI) 标准格式 日期：按实际生产日期
Packaging Info: 
77785：77785:最新客版彩盒+EAN贴纸+一张客户警语贴纸；
子件77711：最新MA3LEAN收缩膜+最新MA5L收藏指南+最新MA23L说明书+最新MA5L creative+最新MA纸袋；
Remark: 1.此单出西班牙市场，需满足EU测试标准要求，微塑料需符合EU法规。
 2.此单LC条款，延迟出货有罚款；
 3.此单每款产品各寄一套大货样到深圳办公室，请注意备料；</t>
  </si>
  <si>
    <t>Van Cranenbroek ELC bv</t>
  </si>
  <si>
    <t>IO-01000011314</t>
  </si>
  <si>
    <t>4500163986-60</t>
  </si>
  <si>
    <t>荷兰语贴纸翻PO#4500155592</t>
  </si>
  <si>
    <r>
      <rPr>
        <sz val="11"/>
        <rFont val="宋体"/>
        <charset val="134"/>
      </rPr>
      <t xml:space="preserve">日期码格式：ZURU INC(BVI) 标准格式 日期：按实际生产日期
Packaging Info:
 "77711GQ2:MA A版 3L收缩膜(4894680043350)+NL警语贴纸， </t>
    </r>
    <r>
      <rPr>
        <sz val="11"/>
        <color rgb="FFFF0000"/>
        <rFont val="宋体"/>
        <charset val="134"/>
      </rPr>
      <t>MA 5L+23L警语收藏指南， MA 5L creative说明书 + creative说明书
 荷兰语贴纸翻PO#4500155592，MA 纸袋，MA A版PDQ"</t>
    </r>
    <r>
      <rPr>
        <sz val="11"/>
        <rFont val="宋体"/>
        <charset val="134"/>
      </rPr>
      <t xml:space="preserve">
Remark: 1.出口欧洲，所有产品微塑料需符合法规
 2. 标准产品，没有特殊配比要求
 3. 所有出往欧洲市场订单的电子产品需增加一张WEEE声明说明书，区分带电池和不带电池版本, 如已做客版说明书可忽略此要求。</t>
    </r>
  </si>
  <si>
    <t>4500166977-20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</si>
  <si>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</si>
  <si>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95564-7.5</t>
  </si>
  <si>
    <t>4500167011-40</t>
  </si>
  <si>
    <t>95556-7.5</t>
  </si>
  <si>
    <t>Amazon FR:
8K9PR6MT</t>
  </si>
  <si>
    <t>4500167501-170</t>
  </si>
  <si>
    <t>日期码格式：ZURU INC(BVI) 标准格式 日期：按实际生产日期
Packaging Info: Amazon UK(15714D/15728BEG/15762ADE/77673/77723/92119BD)/DE(15710B/15714G)/FR(15710B/15728E/15762B/15763B/77731/9561)
9. 77731: 2PK#77711-INT In PVC Tube，12tubes/ctn; UV GLUE/ 1 Refrigerator Magnet; MA 1L(1L warning UPC)A收缩膜+1张空白贴纸(覆盖在条码位置，尺寸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</si>
  <si>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95644-7.14</t>
  </si>
  <si>
    <t>4500168055-110</t>
  </si>
  <si>
    <r>
      <rPr>
        <sz val="11"/>
        <rFont val="宋体"/>
        <charset val="134"/>
      </rPr>
      <t xml:space="preserve">日期码格式：ZURU INC(BVI) 标准格式 日期：按实际生产日期
Packaging Info: 
</t>
    </r>
    <r>
      <rPr>
        <sz val="11"/>
        <color rgb="FFFF0000"/>
        <rFont val="宋体"/>
        <charset val="134"/>
      </rPr>
      <t>77782GQ1:客版3L UPC收缩膜/客版收藏指南/客版PDQ，客版物料消耗PO 4500161302的库存</t>
    </r>
    <r>
      <rPr>
        <sz val="11"/>
        <rFont val="宋体"/>
        <charset val="134"/>
      </rPr>
      <t xml:space="preserve">
Remark:</t>
    </r>
  </si>
  <si>
    <t>96338-8.17</t>
  </si>
  <si>
    <t>冰箱77673（用空白贴纸覆盖条码位置+标准MA 说明书+ ZURU 带电池版本WEEE30L 电池说明书）</t>
  </si>
  <si>
    <t>4500168594-90</t>
  </si>
  <si>
    <t>日期码格式：ZURU INC(BVI) 标准格式 日期：按实际生产日期
Packaging Info:
77782GQ1:客版3L UPC收缩膜/客版收藏指南/客版PDQ，客版物料消耗PO 4500161302的库存
Remark: 请确保包装上的条形码是UPC，如有不一致，请及时提出。谢谢！</t>
  </si>
  <si>
    <t>4500168001-10</t>
  </si>
  <si>
    <t>creative说明书荷兰语贴纸(翻单4500155592）</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</si>
  <si>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</si>
  <si>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4500168463-100</t>
  </si>
  <si>
    <t>4500168579-10</t>
  </si>
  <si>
    <t>日期码格式：ZURU INC(BVI) 标准格式 日期：按实际生产日期
Packaging Info: 1. 77711:最新MA 3L EAN收缩膜+最新MA 3L PDQ+最新MA 5L包装+一张客人警语贴纸+两张纸袋希腊警语贴纸
Remark: 1. 此单出希腊，需要满足EU标准； 产品均符合EU微塑料法规要求：不能含有微塑料闪粉
2. 本订单所有 具有 baby items / assorted items 的款式，零售包装上都要用 母 EAN;
3. 请根据产品是否带电出货，自行订购"WEEE_不带/带电池走货 _ 欧洲通用说明书EN+30L"说明书纸</t>
  </si>
  <si>
    <t>4500163807-40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</si>
  <si>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-订单对应客户4个PO号，备注有显示，注意分开做货/验货/装柜，混装有罚款。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</si>
  <si>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4500168656-20</t>
  </si>
  <si>
    <t>日期码格式：ZURU INC(BVI) 标准格式 日期：按实际生产日期
Packaging Info:
2.77711SK1:最新MA 3L EAN INT版本包装+一张西班牙环保标&lt;(&gt;&amp;&lt;)&gt;邮箱贴纸+MA 23L 警告语说明书+MA 5L 收藏指南+MA 3L PDQ；
Remark: 1.西班牙订单，需满足EU测试标准要求，微塑料需符合EU法规；</t>
  </si>
  <si>
    <t>4500162474-110</t>
  </si>
  <si>
    <t>77803PLB-S001</t>
  </si>
  <si>
    <t>日期码格式：ZURU INC(BVI) 标准格式 日期：按实际生产日期
Packaging Info: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</si>
  <si>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4500162474-120</t>
  </si>
  <si>
    <t>77803PLD-S001</t>
  </si>
  <si>
    <t>Ansaldo Chile</t>
  </si>
  <si>
    <t>2025-HKF135-C</t>
  </si>
  <si>
    <t>4500163833-10</t>
  </si>
  <si>
    <t>日期码格式：ZURU INC(BVI) 标准格式 日期：按实际生产日期
Packaging Info: 77711GQ2:MA 3L EAN包装+进口商贴纸+箱唛+价标贴纸
Remark:</t>
  </si>
  <si>
    <t>95642-7.14</t>
  </si>
  <si>
    <t>ZURU Spain S.L.</t>
  </si>
  <si>
    <t>4500170289-30</t>
  </si>
  <si>
    <t>多语警语折叠贴纸（含包装缺失的法/意/西环保
标）（翻4500162314）</t>
  </si>
  <si>
    <r>
      <rPr>
        <sz val="11"/>
        <rFont val="宋体"/>
        <charset val="134"/>
      </rPr>
      <t>日期码格式：ZURU INC(BVI) 标准格式 日期：按实际生产日期
Packaging Info: 
77711SK1:最新MA3LEAN收缩膜+最新MA5L收藏指南+最新MA23L说明书+最新MA5Lcreative+最新MA纸袋+最新MA展示架+多语警语折叠贴纸（含包装缺失的法/意/西环保
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t>
    </r>
    <r>
      <rPr>
        <sz val="11"/>
        <color rgb="FFFF0000"/>
        <rFont val="宋体"/>
        <charset val="134"/>
      </rPr>
      <t>西班牙环保标和西班牙/葡萄牙警语/说明
书。</t>
    </r>
    <r>
      <rPr>
        <sz val="11"/>
        <rFont val="宋体"/>
        <charset val="134"/>
      </rPr>
      <t xml:space="preserve">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r>
  </si>
  <si>
    <t>95652-7.15</t>
  </si>
  <si>
    <t>4500168367-10</t>
  </si>
  <si>
    <t>2025/7/4第三方验货</t>
  </si>
  <si>
    <t>外箱印刷带条码的RFID箱唛：RFID紫色色带+WM Dept.图标+RFID图标+ITF-14条码，四面右下角印刷ZURU logo, ITFF条码只印刷在正唛一面，在加印的时候确保
条形码能扫描出来，外箱侧面任一角落加印："MADE IN CHINA" 字样</t>
  </si>
  <si>
    <t>ZB00803-7.18</t>
  </si>
  <si>
    <t>4500168367-20</t>
  </si>
  <si>
    <t>ZB00715-7.10</t>
  </si>
  <si>
    <t>4500168367-30</t>
  </si>
  <si>
    <t>ZB00834-7.22</t>
  </si>
  <si>
    <t>4500168367-40</t>
  </si>
  <si>
    <t>ZB00776-7.17</t>
  </si>
  <si>
    <t>4500168957-10</t>
  </si>
  <si>
    <t>77711-S003-NA</t>
  </si>
  <si>
    <t>外箱印刷带条码的RFID箱唛：RFID紫色色带+WM Dept.图标+RFID图标+ITF-14条码，四面右下角印刷ZURU logo, ITFF条码只印刷在正唛一面，在加印的时候确保
条形码能扫描出来，外箱侧面任一角落加印："MADE IN CHINA" 字样,箱唛翻单：4500159672</t>
  </si>
  <si>
    <t>日期码格式：ZURU DGYYYYMMDD CHINA(日期避开周末和法定节假日即可） 日期：按实际生产日期
Packaging Info: 77711-S003-NA
1.包装要求：
MA 1L A版收缩膜+MA 5L A版收藏指南+MA 说明书
每pcs产品上要贴1张RFID贴纸，贴纸由ZURU提供，贴纸位置请严格按照我们签回的签板；
Remark: 77711-S003-NA
1.包装要求：
MA 1L A版收缩膜+MA 5L A版收藏指南+MA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字样,箱唛翻单：4500159672
3. 在产品上和包装上要有日期码、以及要有MADE IN CHINA和ZURU字样；
4. 产品如有扎带口要剪平，不能刮手。
5. 此单需要验货，请多备料
6. 此单以loose carton出货，16pcs/CTN</t>
  </si>
  <si>
    <t>ZB00756-7.15</t>
  </si>
  <si>
    <t>4500168957-20</t>
  </si>
  <si>
    <t>ZB00871-7.26</t>
  </si>
  <si>
    <t>4500168957-30</t>
  </si>
  <si>
    <t>ZB00956-7.29</t>
  </si>
  <si>
    <t>4500168957-40</t>
  </si>
  <si>
    <t>ZB00931-7.28</t>
  </si>
  <si>
    <t>4500167998-90</t>
  </si>
  <si>
    <t>日期码格式：ZURU INC(BVI) 标准格式 日期：按实际生产日期
Packaging Info:
9.77711GQ2-S003-INT：193052080134(MA 3L INT版本收缩膜+1张UPC贴纸（UPC#193052080134）翻PO#4500164759+ MA INT版本5L收藏指南+MA INT 版本 3L PDQ+其
他MA最新包装)
Remark: 1.产品及包装需要印UKCA图标，包装需要有ZURU UK LTD/ZURU France地址信息，QC同事请核查，如有问题与跟单确认。
2. 需要符合欧洲标准不能含有闪粉和微塑料，否则不和法规会有客诉产生</t>
  </si>
  <si>
    <t>4500167693-30</t>
  </si>
  <si>
    <r>
      <rPr>
        <sz val="11"/>
        <rFont val="宋体"/>
        <charset val="134"/>
      </rPr>
      <t>日期码格式：ZURU INC(BVI) 标准格式 日期：按实际生产日期
Packaging Info:
77711GQ1-S001-INT：MA-1L 配套包装+ INT UPC 条码覆盖原条码位置，</t>
    </r>
    <r>
      <rPr>
        <sz val="11"/>
        <color rgb="FFFF0000"/>
        <rFont val="宋体"/>
        <charset val="134"/>
      </rPr>
      <t>条码翻单4500159575，请核对：193052080134</t>
    </r>
    <r>
      <rPr>
        <sz val="11"/>
        <rFont val="宋体"/>
        <charset val="134"/>
      </rPr>
      <t xml:space="preserve">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r>
  </si>
  <si>
    <t>2FVQ14VX 648816RZ</t>
  </si>
  <si>
    <t>4500169534-20</t>
  </si>
  <si>
    <t>77731-S001-NA</t>
  </si>
  <si>
    <t>①外箱正面印ZURU Logo+SSCC Label(客供贴纸，由跟单订购)。关于 SSCC Label 请注意：</t>
  </si>
  <si>
    <t>6/19 寄出</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</si>
  <si>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</si>
  <si>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ZB00724-7.11</t>
  </si>
  <si>
    <t>63G8AIKT 6ZO5A2CU</t>
  </si>
  <si>
    <t>4500169546-20</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</si>
  <si>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</si>
  <si>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ZB00714-7.10</t>
  </si>
  <si>
    <t>4500168369-10</t>
  </si>
  <si>
    <t>ZB00872-7.26</t>
  </si>
  <si>
    <t>4500168369-20</t>
  </si>
  <si>
    <t>ZB00744-7.14</t>
  </si>
  <si>
    <t>4500168376-20</t>
  </si>
  <si>
    <t>ZB00775-7.17</t>
  </si>
  <si>
    <t>4500168376-10</t>
  </si>
  <si>
    <t>ZB00804-7.18</t>
  </si>
  <si>
    <t>10001263784-3890</t>
  </si>
  <si>
    <t>4500168048-30</t>
  </si>
  <si>
    <t>6/18 寄出外箱贴纸</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</si>
  <si>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</si>
  <si>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ZB00819-7.21</t>
  </si>
  <si>
    <t>4500169043-10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</si>
  <si>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</si>
  <si>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95660-7.16</t>
  </si>
  <si>
    <t>4500169040-20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</si>
  <si>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</si>
  <si>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95674-7.17</t>
  </si>
  <si>
    <t>此单是首单出货数量5400pcs, 最晚 2025/6/9安排做10%抽版测试 , 最晚 6/20完成100%大货安排第三方验货（ITS) 6. 样板：工厂需预留至少6套测试样用于抽
板+3pcs签样（1pc工厂留底+2pc ITS封样后寄深圳办公室，需给客人留底)+ 1pc大货样寄深圳办公室拍照用</t>
  </si>
  <si>
    <r>
      <rPr>
        <sz val="11"/>
        <rFont val="宋体"/>
        <charset val="134"/>
      </rPr>
      <t xml:space="preserve">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纸箱唛头：纸箱四面，只印刷一个正面，另外一个正面不印，侧唛也不印, 按照箱唛要求排版。
4. 确保展示架在入外箱的时候一定要正面对着有印刷箱唛的那面,不可以装反。
</t>
    </r>
    <r>
      <rPr>
        <sz val="11"/>
        <color rgb="FFFF0000"/>
        <rFont val="宋体"/>
        <charset val="134"/>
      </rPr>
      <t>5. 此单是首单出货数量5400pcs, 最晚 2025/6/6安排做10%抽版测试 , 最晚 6/20完成100%大货安排第三方验货（ITS) 6. 样板：工厂需预留至少6套测试样用于抽</t>
    </r>
    <r>
      <rPr>
        <sz val="11"/>
        <rFont val="宋体"/>
        <charset val="134"/>
      </rPr>
      <t xml:space="preserve">
板+3pcs签样（1pc工厂留底+2pc ITS封样后寄深圳办公室，需给客人留底)+ 1pc大货样寄深圳办公室拍照用</t>
    </r>
  </si>
  <si>
    <t>2.此单每款产品需各寄2套大货样到深圳办公室，请注意备料；</t>
  </si>
  <si>
    <t>日期码格式：ZURU INC(BVI) 标准格式 日期：按实际生产日期
Packaging Info:
3.77785:最新客版彩盒+EAN贴纸+一张客户进口商贴纸；
子件77711：最新MA3LEAN收缩膜+最新MA5L收藏指南+最新MA23L说明书+最新MA5L creative+最新MA纸袋；
Remark: 1.此单出西班牙市场，需满足EU测试标准要求，微塑料需符合EU法规。
2.此单每款产品需各寄2套大货样到深圳办公室，请注意备料；</t>
  </si>
  <si>
    <t>4500168238-100</t>
  </si>
  <si>
    <t>日期码格式：ZURU INC(BVI) 标准格式 日期：按实际生产日期
Packaging Info:
77782GQ1客版3L UPC收缩膜/客版收藏指南/客版PDQ，客版物料消耗PO 4500161302的库存
Remark: 请确保包装上的条形码是UPC，如有不一致，请及时提出。谢谢！</t>
  </si>
  <si>
    <t>95677-7.17</t>
  </si>
  <si>
    <t>7/3 第三方 100%验货 6/16 进行10%抽板测试</t>
  </si>
  <si>
    <t>迷你冰箱球</t>
  </si>
  <si>
    <t>4500168505-40</t>
  </si>
  <si>
    <t>96246-8.17</t>
  </si>
  <si>
    <t>4500168705-60</t>
  </si>
  <si>
    <t>日期码格式：ZURU INC(BVI) 标准格式 日期：按实际生产日期
Packaging Info: 
77782GQ1:客版3L UPC收缩膜/客版收藏指南/客版PDQ，客版物料消耗PO 4500161302的库存
Remark: 请确保包装上的条形码是UPC，如有不一致，请及时提出。谢谢！</t>
  </si>
  <si>
    <t>95628-7.12</t>
  </si>
  <si>
    <t>4500168264-40</t>
  </si>
  <si>
    <t>（贴纸翻单4500163040）</t>
  </si>
  <si>
    <t>日期码格式：ZURU INC(BVI) 标准格式 日期：按实际生产日期
Packaging Info:
4.77711GQ2:最新MA 3L EAN INT版本包装+一张西班牙环保标&lt;(&gt;&amp;&lt;)&gt;邮箱贴纸+MA 23L 警告语说明书+MA 5L 收藏指南+MA 3L PDQ；（贴纸翻单4500163040）；
Remark: 1.此单出西班牙市场，需满足EU测试标准要求，微塑料需符合EU法规。
2.此单每款产品需各寄2套大货样到深圳办公室，请注意备料；</t>
  </si>
  <si>
    <t>日期码格式：ZURU INC(BVI) 标准格式 日期：按实际生产日期
Packaging Info: 
11.77785:最新客版彩盒+EAN贴纸；(条码贴纸翻单4500166563）；
子件77711：最新MA3LEAN收缩膜+最新MA5L收藏指南+最新MA23L说明书+最新MA5L creative+最新MA纸袋；
Remark: 1.此单出西班牙市场，需满足EU测试标准要求，微塑料需符合EU法规。
2.此单每款产品需各寄2套大货样到深圳办公室，请注意备料；</t>
  </si>
  <si>
    <t>日期码格式：ZURU INC(BVI) 标准格式 日期：按实际生产日期
Packaging Info: 
2.77785:最新客版彩盒+EAN贴纸+一张客户进口商贴纸；
子件77711：最新MA3LEAN收缩膜+最新MA5L收藏指南+最新MA23L说明书+最新MA5L creative+最新MA纸袋；
Remark: 1.此单出西班牙市场，需满足EU测试标准要求，微塑料需符合EU法规。</t>
  </si>
  <si>
    <t>日期码格式：ZURU INC(BVI) 标准格式 日期：按实际生产日期
Packaging Info: 1.77785:最新客版彩盒+EAN贴纸；(条码贴纸翻单4500166563）；
子件77711：最新MA3LEAN收缩膜+最新MA5L收藏指南+最新MA23L说明书+最新MA5L creative+最新MA纸袋；
Remark: 1.此单出西班牙市场，需满足EU测试标准要求，微塑料需符合EU法规。</t>
  </si>
  <si>
    <t>95623-7.12</t>
  </si>
  <si>
    <t>4500166548-10</t>
  </si>
  <si>
    <r>
      <rPr>
        <sz val="11"/>
        <rFont val="宋体"/>
        <charset val="134"/>
      </rPr>
      <t>日期码格式：ZURU INC(BVI) 标准格式 日期：按实际生产日期
Packaging Info: 77711GQ1: MA A版3L EAN收缩膜+UPC贴纸+进口商贴纸；MA纸袋; MA A版5L收藏指南；</t>
    </r>
    <r>
      <rPr>
        <sz val="11"/>
        <color rgb="FFFF0000"/>
        <rFont val="宋体"/>
        <charset val="134"/>
      </rPr>
      <t>MA 23L说明书</t>
    </r>
    <r>
      <rPr>
        <sz val="11"/>
        <rFont val="宋体"/>
        <charset val="134"/>
      </rPr>
      <t>；MA A版 3L PDQ
Remark: 此单出欧洲需满足EU测试标准要求</t>
    </r>
  </si>
  <si>
    <t>4500169123-20</t>
  </si>
  <si>
    <t>2L(NL&lt;(&gt;&amp;&lt;)&gt;DE)警告语贴纸（翻单4500166992）；荷兰语组装说明书贴纸(翻单4500155592)</t>
  </si>
  <si>
    <t>日期码格式：ZURU INC(BVI) 标准格式 日期：按实际生产日期
Packaging Info: 
2.77711GQ2：MA 3L EAN 版本收缩膜+1张2L(NL&lt;(&gt;&amp;&lt;)&gt;DE)警告语贴纸（翻单4500166992）+MA 5L 收藏指南+MA 23L 警告语说明书+MA 5L DIY说明书+1张荷兰语组装
说明书贴纸(翻单4500155592)+其它MA包装+MA 3L 最新版PDQ；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</si>
  <si>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10001263787-3758</t>
  </si>
  <si>
    <t>4500168042-30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</si>
  <si>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MA1L PDQ；收缩膜上的UPC显示193052080127；
3. 外箱正唛左上角位置粘贴条码箱贴纸，每箱只贴一张，由ZURU订购。来料贴纸上显示的客户DPCI# 086-02-9357, UPC显示10193052080124;
以上所以item均：
1. 产品和包装上印刷 tracking code信息，格式为ZURU常规格式;
2. 出货方式：货代自提</t>
  </si>
  <si>
    <t>ZB00757-7.16</t>
  </si>
  <si>
    <t>WONDERLAND  TOYS,  INC.</t>
  </si>
  <si>
    <t>4500167544-100</t>
  </si>
  <si>
    <t>日期码格式：ZURU INC(BVI) 标准格式 日期：按实际生产日期
Packaging Info: 1. 出口美国，MA UPC 版本包装，优先1L。
Remark: 2. Zuru QC 验货即可</t>
  </si>
  <si>
    <t>ZB00805-7.18</t>
  </si>
  <si>
    <t>4500160886-30</t>
  </si>
  <si>
    <r>
      <rPr>
        <sz val="11"/>
        <rFont val="宋体"/>
        <charset val="134"/>
      </rPr>
      <t>日期码格式：ZURU INC(BVI) 标准格式 日期：按实际生产日期
Packaging Info:
#77711：
MA2L,PDQ(NA版,25装)+MA2L收缩膜(NA版,UPC:193052080127)+</t>
    </r>
    <r>
      <rPr>
        <sz val="11"/>
        <color rgb="FFFF0000"/>
        <rFont val="宋体"/>
        <charset val="134"/>
      </rPr>
      <t>MA2L收藏指南((NA版)</t>
    </r>
    <r>
      <rPr>
        <sz val="11"/>
        <rFont val="宋体"/>
        <charset val="134"/>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</si>
  <si>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4500168379-10</t>
  </si>
  <si>
    <t>ZB00933-7.28</t>
  </si>
  <si>
    <t>4500168379-20</t>
  </si>
  <si>
    <t>ZB200758-7.16</t>
  </si>
  <si>
    <t>4500168379-30</t>
  </si>
  <si>
    <t>ZB00873-7.26</t>
  </si>
  <si>
    <t>95630-8.17</t>
  </si>
  <si>
    <t>252GD0</t>
  </si>
  <si>
    <t>4500163953-30</t>
  </si>
  <si>
    <t>7/15 第三方验货</t>
  </si>
  <si>
    <t>双坑箱唛：翻4500160244。</t>
  </si>
  <si>
    <t>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t>
  </si>
  <si>
    <t>日期码格式：DOLLAR GENERAL 格式日期码 日期：
Packaging Info: 1.包装：
 #77711GQ5-S002-NA-PKC 客版PDQ + 内袋警示语AWS + 客版收缩膜，请有说明书收藏指南等，请优先使用MA 1L。（跟单邮件提供）
Remark: 1.包装：
 #77711GQ5-S002-NA-PKC 客版PDQ + 内袋警示语AWS + 客版收缩膜，请有说明书收藏指南等，请优先使用MA 1L。（跟单邮件提供）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
 3. 无价贴。
 4. 无样板需求
 5. 验货抽样事宜：
 #77711GQ5：7.15早上进行第三方TUV抽样测试VT
 抽样数量：
 随机抽取每款每色各12pcs + 足量干漆给实验室MT&lt;(&gt;&amp;&lt;)&gt; 5套散件光身样（如适用）
 请在7月14前完成ZURU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</si>
  <si>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ZB00969-7.30</t>
  </si>
  <si>
    <t>5.单需要监柜，需要安排1套大货样板用于监柜。</t>
  </si>
  <si>
    <t>保证书+墨西
哥NOM贴纸，产品/包装/说明书都要贴1张NOM 贴纸
（翻PO#4500164462)</t>
  </si>
  <si>
    <t>4500169408-10</t>
  </si>
  <si>
    <t>ZB00932-7.28</t>
  </si>
  <si>
    <t>4500169408-20</t>
  </si>
  <si>
    <t>2025/7/18第三方验货</t>
  </si>
  <si>
    <t>ZB00975-7.30</t>
  </si>
  <si>
    <t>4500169408-30</t>
  </si>
  <si>
    <t>ZB00973-7.30</t>
  </si>
  <si>
    <t>4500169408-40</t>
  </si>
  <si>
    <t>ZB00974-7.30</t>
  </si>
  <si>
    <t>4500169408-50</t>
  </si>
  <si>
    <t>ZB00957-7.29</t>
  </si>
  <si>
    <t>2874711-00</t>
  </si>
  <si>
    <t>4500167181-40</t>
  </si>
  <si>
    <t>日期码格式： 标准格式 日期：按实际生产日期
Packaging Info:
77711GQ1 MA 2L A版（PDQ+收缩膜UPC版本193052080127)
Remark: 出加拿大
日期跟踪码：产品外包装及产品本身都必须有日期跟踪码，并且确保两者的日期跟踪码要一致；ZURU标准格式日期码(请自行调整具体年月日生产期，但不能为周末
）</t>
  </si>
  <si>
    <t>95780-7.25</t>
  </si>
  <si>
    <t>4500169530-10</t>
  </si>
  <si>
    <t>日期码格式：ZURU INC(BVI) 标准格式 日期：按实际生产日期
Packaging Info: 1.77711GQ2：最新MA 3L EAN INT版本包装+一张进口商贴纸+MA 23L 警告语说明书+MA 5L 收藏指南+MA 3L PDQ；
Remark: 1.此单出西班牙市场，需满足EU测试标准要求，微塑料需符合EU法规。
2.此单每款产品需在CRD前一周各寄2套大货样到深圳办公室，请注意备料；</t>
  </si>
  <si>
    <t>GP TURKEY</t>
  </si>
  <si>
    <t>4500165563-20</t>
  </si>
  <si>
    <t>77711GQ2:分别需要两套完整大货样,需要1套满PDQ+1套完整大货样，还需要一套带PDQ的MA样，寄到客户香港办公室，请多备料，地址如下：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</si>
  <si>
    <t>客户日期码：ZUR5195，产品/包装/外箱请保持一致。产品蛋壳需要印日期ZUR5195和对应的item号码77711GQ2，纸箱、产品印之前要确认才能做大货</t>
  </si>
  <si>
    <r>
      <rPr>
        <sz val="11"/>
        <rFont val="宋体"/>
        <charset val="134"/>
      </rPr>
      <t>日期码格式：</t>
    </r>
    <r>
      <rPr>
        <sz val="11"/>
        <color rgb="FFFF0000"/>
        <rFont val="宋体"/>
        <charset val="134"/>
      </rPr>
      <t xml:space="preserve">ZUR5195 </t>
    </r>
    <r>
      <rPr>
        <sz val="11"/>
        <rFont val="宋体"/>
        <charset val="134"/>
      </rPr>
      <t>日期：
Packaging Info: 
77711GQ2:MA 3L 包装+进口商贴纸（含客户条码）+MA 说明书;MA 3L PDQ
2.客户日期码：ZUR5195，产品/包装/外箱请保持一致。产品蛋壳需要印日期ZUR5195和对应的item号码77555GQ2/77673/77711GQ2
77711GQ2:分别需要两套完整大货样,需要1套满PDQ+1套完整大货样，还需要一套带PDQ的MA样，寄到客户香港办公室，请多备料，地址如下： Attn: Sylvia L
i Company name: GP Services HK Limited Company address: Suite 1502, 15th Floor, Chinachem Golden Plaza, 77 Mody Road, TST East, Kowloon, Hong Ko
ng Company address (Chinese): 香港九龍尖沙咀東部麼地道77號華懋廣場1502室 Contact Tel: +852 2739 5363
Remark: Contain UV Glue and Cream Glue 77555GQ2:Contains UV Glue</t>
    </r>
  </si>
  <si>
    <t>4500159839-10</t>
  </si>
  <si>
    <t>日期码格式：ZURU INC(BVI) 标准格式 日期：按实际生产日期
Packaging Info: 1. 77711GQ1-S003-INT：MA 3L收缩膜+一张UPC条码贴纸（UPC#193052080134）+MA 3L PDQ+其他最新MA包装;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</si>
  <si>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4500167907-10</t>
  </si>
  <si>
    <t>日期码格式：ZURU INC(BVI) 标准格式 日期：按实际生产日期
Packaging Info: 77711GQ2: MA 3L EAN PKG+UPC 条码贴纸+MA 3L PDQ+1个小的红色logo贴纸+进口商贴纸+箱唛
Remark: 
5.集装箱及装柜要求：集装箱不能有破洞；不能太脏
6.每个item需要放1整箱在每个集装箱门口
7.装柜的时候要前、中、后拍照
8.此单有监柜要求，每款需要准备1pc监柜样板用于监装</t>
  </si>
  <si>
    <t>ZU03-25</t>
  </si>
  <si>
    <t>4500167463-110</t>
  </si>
  <si>
    <t>进口商贴纸翻单4500167152</t>
  </si>
  <si>
    <t>日期码格式：ZURU INC(BVI) 标准格式 日期：按实际生产日期
Packaging Info: 
11. 77782GQ1：客版收缩膜+客版收藏指南+客版PDQ+进口商贴纸+箱唛，客版物料消耗PO 4500161302的库存，进口商贴纸翻单4500167152
Remark: 
11. 77782GQ1：WITH 4 DEMO; Base on #77711GQ2-S001-INT ver.:Remove Hershey and Kikkoman, Kikkoman-Soy Sauce
Hershey's-Chocolate Syrup 24 oz
Hershey's-Mini Chocolate Syrup 24 oz
Hershey's-Strawberry Syrup 22 oz</t>
  </si>
  <si>
    <t>95882-8.17</t>
  </si>
  <si>
    <t>4500169409-10</t>
  </si>
  <si>
    <t>ZB00972-7.30</t>
  </si>
  <si>
    <t>4500169409-20</t>
  </si>
  <si>
    <r>
      <rPr>
        <sz val="11"/>
        <color rgb="FF0000FF"/>
        <rFont val="宋体"/>
        <charset val="134"/>
        <scheme val="minor"/>
      </rPr>
      <t>ZB01013-8.1</t>
    </r>
    <r>
      <rPr>
        <sz val="11"/>
        <color rgb="FF0000FF"/>
        <rFont val="宋体"/>
        <charset val="134"/>
        <scheme val="minor"/>
      </rPr>
      <t xml:space="preserve">
</t>
    </r>
    <r>
      <rPr>
        <sz val="11"/>
        <color rgb="FF0000FF"/>
        <rFont val="宋体"/>
        <charset val="134"/>
        <scheme val="minor"/>
      </rPr>
      <t>ZB01000-7.31</t>
    </r>
  </si>
  <si>
    <t>AMAZON MEXICO, S. DE R.L. DE CV</t>
  </si>
  <si>
    <t>8IJ32IRW</t>
  </si>
  <si>
    <t>4500169872-60</t>
  </si>
  <si>
    <t>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t>
  </si>
  <si>
    <t>日期码格式：ZURU INC(BVI) 标准格式 日期：按实际生产日期
Packaging Info:
2. 77731: 2PK MA 3L 77711 INT版本的球+空白贴纸入PVC桶，2PK铜版纸+进口商贴纸+条码贴纸，（两个球的配比不能重复）,2PK铜版纸翻单PO4500158623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t>
  </si>
  <si>
    <t>95803-7.28</t>
  </si>
  <si>
    <t>54JX2K6K</t>
  </si>
  <si>
    <t>4500169872-80</t>
  </si>
  <si>
    <t>650286
Fall 25</t>
  </si>
  <si>
    <t>4500170074-60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</si>
  <si>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77711GQ1:S002-NA-MINI BRANDS-FILL THE FRIDGE-SERIES 1-CAPSULE,13PCS/Gravity PDQ,13PCS/PDQ/CTN. GTIN: 10193052080124</t>
  </si>
  <si>
    <t>ZB00833-7.22</t>
  </si>
  <si>
    <t>25-1068240JEC</t>
  </si>
  <si>
    <t>4500159761-20</t>
  </si>
  <si>
    <t>指定日期码：2025-07（外箱/产品/包装/进口商贴纸 日期码要一致。</t>
  </si>
  <si>
    <t>日期码格式：2025-07 日期：
Packaging Info: MA 3L UPC包装+进口贴纸+箱唛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</si>
  <si>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95932-8.17</t>
  </si>
  <si>
    <t>25-1068242JUS</t>
  </si>
  <si>
    <t>4500159848-270</t>
  </si>
  <si>
    <t>日期码格式：2025-07 日期：
Packaging Info: 
77782GQ1:客版收缩膜+客版收藏指南 +客版PDQ 同PO 4500161302 一起订购+进口商贴纸+箱唛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77782GQ1:WITH 4 DEMO; Base on #77711GQ2-S001-INT ver.:Remove Hershey and Kikkoman, Kikkoman-Soy Sauce
Hershey's-Chocolate Syrup 24 oz
Hershey's-Mini Chocolate Syrup 24 oz
Hershey's-Strawberry Syrup 22 oz</t>
  </si>
  <si>
    <t>96592-6-9.30</t>
  </si>
  <si>
    <t>4500164774-280</t>
  </si>
  <si>
    <t>4500167249-80</t>
  </si>
  <si>
    <t>日期码格式：ZURU INC(BVI) 标准格式 日期：按实际生产日期
Packaging Info:
77711SK1：MA 3L EAN 收缩膜+UPC 条码贴纸+MA 说明书+收藏指南+MA 3L 展示架+1张进口商贴纸+箱唛
Remark: 电池：
配比：</t>
  </si>
  <si>
    <t>4500169831-10</t>
  </si>
  <si>
    <t>日期码格式：ZURU DGYYYYMMDD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</si>
  <si>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ZB01212-8.12</t>
  </si>
  <si>
    <t>4500169831-40</t>
  </si>
  <si>
    <t>ZB00977-7.30</t>
  </si>
  <si>
    <t>4500169812-10</t>
  </si>
  <si>
    <r>
      <rPr>
        <sz val="11"/>
        <rFont val="宋体"/>
        <charset val="134"/>
      </rPr>
      <t xml:space="preserve">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 </t>
    </r>
    <r>
      <rPr>
        <sz val="11"/>
        <color rgb="FFFF0000"/>
        <rFont val="宋体"/>
        <charset val="134"/>
      </rPr>
      <t>MA 3L UPC 英语包装</t>
    </r>
    <r>
      <rPr>
        <sz val="11"/>
        <rFont val="宋体"/>
        <charset val="134"/>
      </rPr>
      <t xml:space="preserve">
此客人不接受易掉落或者剥落或者可直接触碰的闪粉，可降解也不行，但可以接受符合欧洲微塑料标准的珠光粉或者闪片。
加UPC 贴纸：193052090157</t>
    </r>
  </si>
  <si>
    <t>96213-8.17</t>
  </si>
  <si>
    <t>4500169813-10</t>
  </si>
  <si>
    <r>
      <rPr>
        <sz val="11"/>
        <rFont val="宋体"/>
        <charset val="134"/>
      </rPr>
      <t>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t>
    </r>
    <r>
      <rPr>
        <sz val="11"/>
        <color rgb="FFFF0000"/>
        <rFont val="宋体"/>
        <charset val="134"/>
      </rPr>
      <t xml:space="preserve"> MA 3L UPC 英语包装</t>
    </r>
    <r>
      <rPr>
        <sz val="11"/>
        <rFont val="宋体"/>
        <charset val="134"/>
      </rPr>
      <t xml:space="preserve">
此客人不接受易掉落或者剥落或者可直接触碰的闪粉，可降解也不行，但可以接受符合欧洲微塑料标准的珠光粉或者闪片。
加UPC 贴纸：193052090157</t>
    </r>
  </si>
  <si>
    <t>96214-8.17</t>
  </si>
  <si>
    <t>4500168979-30</t>
  </si>
  <si>
    <t>日期码格式：ZURU INC(BVI) 标准格式 日期：按实际生产日期
Packaging Info: 1. 出口加拿大市场。
#77711GQ2: MA 2L UPC版本;
2. 产品、包装、外箱上面tracking code的时间格式需要一致.
Remark: 3. 需要第三方SGS验货，验货时间暂定2025/07/22，每款每色请备1PC完整带包装样品供验货人员参考。用完后若无损坏可以放回大货里。</t>
  </si>
  <si>
    <t>4500160470-60</t>
  </si>
  <si>
    <t>进口商贴纸翻单4500162375</t>
  </si>
  <si>
    <r>
      <rPr>
        <sz val="11"/>
        <rFont val="宋体"/>
        <charset val="134"/>
      </rPr>
      <t xml:space="preserve">日期码格式：ZURU INC(BVI) 标准格式 日期：按实际生产日期
Packaging Info: 
77711GQ2-S002-INT_MA 3L EAN版收缩膜+MA 3L PDQ+MA 5L(23L warning)收藏指南+MA 23L说明书+警告语/进口商贴纸
北欧五语通用Slime黑白说明书
带纽扣电池走货北欧六语通用黑白电池说明书
上述贴纸翻单4500162375，之前已经安排MA 采购，请不要重复采购
</t>
    </r>
    <r>
      <rPr>
        <sz val="11"/>
        <color rgb="FFFF0000"/>
        <rFont val="宋体"/>
        <charset val="134"/>
      </rPr>
      <t>此单资料全部翻单4500160445</t>
    </r>
    <r>
      <rPr>
        <sz val="11"/>
        <rFont val="宋体"/>
        <charset val="134"/>
      </rPr>
      <t xml:space="preserve">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77711GQ2-S002-INT-4894680043350</t>
    </r>
  </si>
  <si>
    <t>4500168200-10</t>
  </si>
  <si>
    <t>日期码格式：ZURU INC(BVI) 标准格式 日期：按实际生产日期
Packaging Info: 77711GQ1:最新MA 3L A版PDQ+最新MA 3L A版EAN收缩膜+最新MA 5L收藏指南+最新MA 5L说明书+最新MA 23L黑白说明书+MA 5L纸袋+德意语包装警语贴纸+客人款号贴
纸
Remark: 1.此单务必准时出货，如有推期会有罚款和空运。
其中推期1至7天扣款5%，推期8至14天扣款10%，推期15至21天扣款20%,如此类推.
2.此单出货前要寄2套大货签办给到客户办公室
3.出口欧洲 微塑料需合规</t>
  </si>
  <si>
    <t>4500170062-20</t>
  </si>
  <si>
    <t>客人日期码：LOT2529，产品（蛋壳等）/包装（收缩膜等）/外箱 请保持一致</t>
  </si>
  <si>
    <t>日期码格式：LOT2529 日期：
Packaging Info
2.77711：最新MA 3L EAN收缩膜+一张进口商贴纸（含希腊警语/意大利环保标）+一张产品贴纸+最新MA 5L 包装+最新MA 23L警语说明书+最新MA 3L PDQ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</si>
  <si>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95913-8.17</t>
  </si>
  <si>
    <t>Amazon UK:
2LRS3TOL</t>
  </si>
  <si>
    <t>4500158588-130</t>
  </si>
  <si>
    <t>8/3 交仓</t>
  </si>
  <si>
    <r>
      <rPr>
        <sz val="11"/>
        <rFont val="宋体"/>
        <charset val="134"/>
      </rPr>
      <t>日期码格式：ZURU INC(BVI) 标准格式 日期：按实际生产日期
Packaging Info: Amazon UK(15763ABDE/92125BDH/77731)/DE(15763A/92125BDH/77731)/FR(92125B)
3. 77731: 2PK#77711-INT In PVC Tube，12tubes/ctn; UV GLUE/ 1 Refrigerator Magnet; MA 1L(1L warning UPC)A收缩膜+</t>
    </r>
    <r>
      <rPr>
        <sz val="11"/>
        <color rgb="FFFF0000"/>
        <rFont val="宋体"/>
        <charset val="134"/>
      </rPr>
      <t>1张空白贴纸(覆盖在条码位置，尺寸
由工厂自行测量)</t>
    </r>
    <r>
      <rPr>
        <sz val="11"/>
        <rFont val="宋体"/>
        <charset val="134"/>
      </rPr>
      <t>+MA 5L(23L warning)A收藏指南+MA 23L警告语说明书+MA 5L A说明书 +客版3L(5L warning UPC) INT PVC筒铜版纸(参考翻单PO#4500158623)+1张I
T环保标贴纸(参考提供的位置图;参考翻单PO#4500158623）；
4. 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r>
  </si>
  <si>
    <t>96212-8.17</t>
  </si>
  <si>
    <t>Amazon DE:
83QENLUU</t>
  </si>
  <si>
    <t>4500158588-140</t>
  </si>
  <si>
    <t>Entertainment Earth, LLC.</t>
  </si>
  <si>
    <t>4500167735-60</t>
  </si>
  <si>
    <t>日期码格式：ZURU INC(BVI) 标准格式 日期：按实际生产日期
Packaging Info: 1.包材: ZURU MA UPC 版本最新包装，出口美国
Remark: 2、日期跟踪码:ZURU标准格式日期码、产品包装及产品本身都必须有ZURU标准格式日期码，并且确保两者信息保持一致(请自行调整具体年月日生产期，但不能为周
末)。
3.外箱要求
4.出货配比: ZURU 标版配比</t>
  </si>
  <si>
    <t>ZB00963-7.25</t>
  </si>
  <si>
    <t>4500169877-10</t>
  </si>
  <si>
    <t>箱唛资料翻单PO#4500160492</t>
  </si>
  <si>
    <t>UPC贴纸：193052090157
箱唛资料翻单PO#4500160492</t>
  </si>
  <si>
    <r>
      <rPr>
        <sz val="11"/>
        <rFont val="宋体"/>
        <charset val="134"/>
      </rPr>
      <t>日期码格式：ZURU INC(BVI) 标准格式 日期：按实际生产日期
Packaging Info:</t>
    </r>
    <r>
      <rPr>
        <sz val="11"/>
        <color rgb="FFFF0000"/>
        <rFont val="宋体"/>
        <charset val="134"/>
      </rPr>
      <t xml:space="preserve"> MA 3L 包装+客版PDQ+箱唛+UPC贴纸：193052090157</t>
    </r>
    <r>
      <rPr>
        <sz val="11"/>
        <rFont val="宋体"/>
        <charset val="134"/>
      </rPr>
      <t xml:space="preserve">
箱唛资料翻单PO#4500160492
Remark: 1.此单出口澳大利亚，请按相应的澳新标准生产；
2.产品和包装上生产批号请按我司标准
3.当同一PO或item有多个批次代码时，每个批次代码的纸箱必须分组在一起，且明显分开</t>
    </r>
  </si>
  <si>
    <t>95799-7.28</t>
  </si>
  <si>
    <t>4500169877-20</t>
  </si>
  <si>
    <t>4500169877-30</t>
  </si>
  <si>
    <t>4500166481-20</t>
  </si>
  <si>
    <t>日期码格式：ZURU INC(BVI) 标准格式 日期：按实际生产日期
Packaging Info:
 77711GQ2:最新MA 3L PDQ+客版收缩膜(英法德callout/英法德意荷警语/法国环保logo)翻单4500155592 +最新MA23L 说明书+MA 5+23L警语收藏指南+ MA 5L creativ
 e说明书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</si>
  <si>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4500167318-60</t>
  </si>
  <si>
    <t>日期码格式：ZURU INC(BVI) 标准格式 日期：按实际生产日期
Packaging Info: 
77711SK1：MA 3L EAN 收缩膜+UPC 条码贴纸+MA 3L 展示架+1张进口商贴纸+箱唛
Remark:</t>
  </si>
  <si>
    <t>4500169604-150</t>
  </si>
  <si>
    <t>日期码格式：ZURU INC(BVI) 标准格式 日期：按实际生产日期
Packaging Info:
77782GQ1: 客版收缩膜+客版收藏指南+客版PDQ，客版物料消耗PO 4500161302的库存
Remark:</t>
  </si>
  <si>
    <t>进口商贴纸；（贴纸翻单4500168249）</t>
  </si>
  <si>
    <t>日期码格式：ZURU INC(BVI) 标准格式 日期：按实际生产日期
Packaging Info: 
7.77785:最新客版彩盒+EAN贴纸+一张进口商贴纸；（贴纸翻单4500168249）
子件77711：最新MA3LEAN收缩膜+最新MA5L收藏指南+最新MA23L说明书+最新MA5L creative+最新MA纸袋；
Remark: 1.此单出西班牙市场，需满足EU测试标准要求，微塑料需符合EU法规。
2.此单每款产品需在CRD前一周各寄2套大货样到深圳办公室，请注意备料；</t>
  </si>
  <si>
    <t>4500169833-10</t>
  </si>
  <si>
    <t>日期码格式：ZURU DGYYYYMMDD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16pcs/PDQ/CTN</t>
  </si>
  <si>
    <t>ZB01102-8.6</t>
  </si>
  <si>
    <t>4500169833-20</t>
  </si>
  <si>
    <t>ZB01014-8.1</t>
  </si>
  <si>
    <t>4500169833-30</t>
  </si>
  <si>
    <t>ZB01181-8.11</t>
  </si>
  <si>
    <t>4500169833-40</t>
  </si>
  <si>
    <t>ZB01015-8.1</t>
  </si>
  <si>
    <t>4500169833-50</t>
  </si>
  <si>
    <t>ZB01120-8.7</t>
  </si>
  <si>
    <t>4500169833-60</t>
  </si>
  <si>
    <t>ZB01121-8.7</t>
  </si>
  <si>
    <t>4500169833-70</t>
  </si>
  <si>
    <t>ZB01016-8.1</t>
  </si>
  <si>
    <t>777 2AUG</t>
  </si>
  <si>
    <t>4500170043-40</t>
  </si>
  <si>
    <t>UPC贴纸（UPC#193052080134 翻PO#4500166127）</t>
  </si>
  <si>
    <t>日期码格式：ZURU INC(BVI) 标准格式 日期：按实际生产日期
Packaging Info:
4.77711GQ2-S003-INT: MA 3L INT版本收缩膜+1张UPC贴纸（UPC#193052080134 翻PO#4500166127）+ MA INT版本5L收藏指南+MA INT 版本 3L PDQ+其他MA最新包装
6. 以上产品如果是电子产品带电池出货，请加上WEEE带电池走货欧洲30语通用黑白说明书&lt;(&gt;,&lt;)&gt; 如果是电子产品不带电池出货，请加上WEEE不带电池走货欧洲30
语通用黑白说明书
Remark: 1.产品及包装需要印UKCA图标，包装需要有ZURU UK LTD/ZURU France地址信息，QC同事请核查，如有问题与跟单确认。
2. 需要符合欧洲标准不能含有闪粉和微塑料，否则不合法规会有客诉产生</t>
  </si>
  <si>
    <t>95786-7.26</t>
  </si>
  <si>
    <t>2SU28VVY</t>
  </si>
  <si>
    <t>4500170340-20</t>
  </si>
  <si>
    <t>7/7 寄出外箱贴纸</t>
  </si>
  <si>
    <t>ZB01001-7.31</t>
  </si>
  <si>
    <t>8T8ZX1UU</t>
  </si>
  <si>
    <t>4500170340-40</t>
  </si>
  <si>
    <t>8E55YDJB</t>
  </si>
  <si>
    <t>4500170342-50</t>
  </si>
  <si>
    <t>ZB01019-8.1</t>
  </si>
  <si>
    <t>4AKC27IO</t>
  </si>
  <si>
    <t>4500170342-70</t>
  </si>
  <si>
    <t>5P4CXYJJ</t>
  </si>
  <si>
    <t>4500170344-10</t>
  </si>
  <si>
    <t>日期码格式：ZURU INC(BVI) 标准格式 日期：按实际生产日期
Packaging Info: #77731：2PK STD #77711入PVC桶，3L 2PK铜版纸，客版无UPC版本收缩膜翻单4500167444。收藏指南，说明书均为MA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</si>
  <si>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ZB01038-8.4</t>
  </si>
  <si>
    <t>6YFWXIEL</t>
  </si>
  <si>
    <t>4500170346-10</t>
  </si>
  <si>
    <t>4500169879-40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</si>
  <si>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</si>
  <si>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95889-8.17</t>
  </si>
  <si>
    <t>4500169878-60</t>
  </si>
  <si>
    <t>95888 -2-8.17</t>
  </si>
  <si>
    <t>4500169834-10</t>
  </si>
  <si>
    <t>ZB01308-8.16</t>
  </si>
  <si>
    <t>4500169834-70</t>
  </si>
  <si>
    <t>ZB01395-8.21</t>
  </si>
  <si>
    <t>4500170489-10</t>
  </si>
  <si>
    <t>UPC条码贴纸（UPC#193052080134）+1张客人通用进口商贴纸（翻单4500159576）</t>
  </si>
  <si>
    <r>
      <rPr>
        <sz val="11"/>
        <rFont val="宋体"/>
        <charset val="134"/>
      </rPr>
      <t xml:space="preserve">日期码格式：ZURU INC(BVI) 标准格式 日期：按实际生产日期
Packaging Info: </t>
    </r>
    <r>
      <rPr>
        <sz val="11"/>
        <color rgb="FFFF0000"/>
        <rFont val="宋体"/>
        <charset val="134"/>
      </rPr>
      <t>77711GQ2： MA 3L EAN 包装+1张通用UPC条码贴纸（UPC#193052080134）+1张客人通用进口商贴纸（翻单4500159576）
带进口商信息分别贴于包装背面以及说明书上</t>
    </r>
    <r>
      <rPr>
        <sz val="11"/>
        <rFont val="宋体"/>
        <charset val="134"/>
      </rPr>
      <t xml:space="preserve">
Remark: 1.按实际生产日期;
2.出澳大利亚，请按照相应标准生产;</t>
    </r>
  </si>
  <si>
    <t>Remark：大货最新版本/只需要齐套散件/散件不用纸包装/麻烦用胶袋分装好一套为一袋/箱唛参照邮件附件；备注：  收到订单后请尽快安排，谢谢</t>
  </si>
  <si>
    <t>ZMPO250522</t>
  </si>
  <si>
    <t>15套</t>
  </si>
  <si>
    <t>Remark：大货最先版本/只需左图指定26款散件/每款各15PCS/麻烦用胶袋分装好一套为一袋；备注： 收到样品订单后尽快安排 ，注意样板品质质量要求要高于大货品质量 ，送货时必须要附带送货单(没有送货单和QC检验合格报告的仓库一律拒绝收货)，请知悉，谢谢！</t>
  </si>
  <si>
    <t>95861-7.31</t>
  </si>
  <si>
    <t>4500169038-30</t>
  </si>
  <si>
    <t>日期码格式：ZURU INC(BVI) 标准格式 日期：按实际生产日期
Packaging Info: 
3. 77711GQ1:最新MA 3L EAN收缩膜+最新MA 5L收藏指南+最新MA 23L说明书+最新MA 5L creative+最新MA纸袋+最新MA 3L PDQ+多语警语折叠贴纸（含包装缺失的法/
意/西环保标）（翻4500162314）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带电池产品都需要包含多语WEEE黑白说明书。
8， MTS所有订单，SMASHERS 或含Slime产品，所有化合物使用无硼版本出；如有香味产品，出无香版本; BOB系列要符合欧洲要求不含亚硝酸版本; XShot Hyper系
列，统一出EN71版本。</t>
  </si>
  <si>
    <r>
      <rPr>
        <sz val="11"/>
        <rFont val="宋体"/>
        <charset val="134"/>
      </rPr>
      <t xml:space="preserve">日期码格式：ZURU INC(BVI) 标准格式 日期：按实际生产日期
Packaging Info: MEC305:MA 展示架（如有MA3L则不用MA1L）
</t>
    </r>
    <r>
      <rPr>
        <sz val="11"/>
        <color rgb="FFFF0000"/>
        <rFont val="宋体"/>
        <charset val="134"/>
      </rPr>
      <t>77711: MA A 3L 收缩膜含EAN 条码+1*意大利sorting logo含进口商贴纸+MA5L收藏指南</t>
    </r>
    <r>
      <rPr>
        <sz val="11"/>
        <rFont val="宋体"/>
        <charset val="134"/>
      </rPr>
      <t xml:space="preserve">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r>
  </si>
  <si>
    <t>SHIRRA PANWEST</t>
  </si>
  <si>
    <t>MPO 8071</t>
  </si>
  <si>
    <t>4500169209-10</t>
  </si>
  <si>
    <t>77711SK1-S002-NA</t>
  </si>
  <si>
    <t>不晚于7/9 号提供大货图片， 大货图片要包含外箱，箱唛， 产品带包装/不带包装图片， 尺寸测量， 称重等，请注意 客人看了大货图片才会放SO。</t>
  </si>
  <si>
    <t>日期码格式： 标准格式 日期：按实际生产日期
Packaging Info: 77711SK1 MA 5L A版，MA 2L A版（展示架+收缩膜UPC版本193052080127)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</si>
  <si>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</si>
  <si>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252GF1</t>
  </si>
  <si>
    <t>4500164072-30</t>
  </si>
  <si>
    <t>旧版本包装</t>
  </si>
  <si>
    <t>日期码格式：DOLLAR GENERAL 格式日期码 日期：
Packaging Info: 1.包装：
#77711GQ5-S002-NA-PKC 客版PDQ + 内袋警示语AWS + 客版收缩膜，请有说明书收藏指南等，请优先使用MA 1L。
客版AWs全部翻4500163953
Remark: 1.包装：
#77711GQ5-S002-NA-PKC 客版PDQ + 内袋警示语AWS + 客版收缩膜，请有说明书收藏指南等，请优先使用MA 1L。
客版AWs全部翻4500163953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#77711GQ5：31328202H25
(2)产品日期码：
#77711GQ5：DOLGEN31328202H25（打在球壳上）
后三位H25代表25年8月的ETD 。
（3）UPC条形码：
#77711GQ5:193052080127
3. 无价贴。
4. 无样板需求
5. 验货抽样事宜：
#77711GQ5：无第三方验货
请在7月28前完成ZURU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</si>
  <si>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r>
      <rPr>
        <sz val="11"/>
        <color rgb="FF0000FF"/>
        <rFont val="宋体"/>
        <charset val="134"/>
        <scheme val="minor"/>
      </rPr>
      <t>ZB01141-8.8</t>
    </r>
    <r>
      <rPr>
        <sz val="11"/>
        <color rgb="FF0000FF"/>
        <rFont val="宋体"/>
        <charset val="134"/>
        <scheme val="minor"/>
      </rPr>
      <t xml:space="preserve">  </t>
    </r>
    <r>
      <rPr>
        <sz val="11"/>
        <color rgb="FF0000FF"/>
        <rFont val="宋体"/>
        <charset val="134"/>
        <scheme val="minor"/>
      </rPr>
      <t>ZB01156-8.8</t>
    </r>
  </si>
  <si>
    <t>ASDA STORES LTD</t>
  </si>
  <si>
    <t>4500162761-20</t>
  </si>
  <si>
    <t>77711SLB-S001-INT</t>
  </si>
  <si>
    <t>冰箱迷你球75CTN/SLB-卡板装</t>
  </si>
  <si>
    <r>
      <rPr>
        <sz val="11"/>
        <rFont val="宋体"/>
        <charset val="134"/>
      </rPr>
      <t>日期码格式：ZURU INC(BVI) 标准格式 日期：按实际生产日期
Packaging Info: 
2. 77711SLB-S001-INT
77711GQ1-S002-INT:</t>
    </r>
    <r>
      <rPr>
        <sz val="11"/>
        <color rgb="FFFF0000"/>
        <rFont val="宋体"/>
        <charset val="134"/>
      </rPr>
      <t xml:space="preserve"> MA NA版本1L UPC收缩膜+MA INT 版本5L收藏指南+MA INT版本3L PDQ+MA 23L说明书+其他MA最新包材
UPC#193052080127&lt;(&gt;,&lt;)&gt;请先检查条码是否正确再安排做货；</t>
    </r>
    <r>
      <rPr>
        <sz val="11"/>
        <rFont val="宋体"/>
        <charset val="134"/>
      </rPr>
      <t xml:space="preserve">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r>
  </si>
  <si>
    <t>96215-8.17</t>
  </si>
  <si>
    <t>4500170270-20</t>
  </si>
  <si>
    <t>7/30 送库有</t>
  </si>
  <si>
    <t>Remark: 以下子件由兴信客供带包装成品在库有组装
77711GQ1：3L EAN MA包装 + UPC条码（UPC# 193052080134) + PDQ 3L-INT-13PCS A版
-条码按以下显示：
77711GQ1：193052080134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</si>
  <si>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4500170978-30</t>
  </si>
  <si>
    <t>96242-8.17</t>
  </si>
  <si>
    <t>4500170975-40</t>
  </si>
  <si>
    <t>96241-8.17</t>
  </si>
  <si>
    <t>4500170833-30</t>
  </si>
  <si>
    <t>客户日期码格式 LOTE：39-工厂城市名缩写 20250804 ，客户日期码格式需显示在包装上，否则会有客诉。不用重复显示在产品上面，产品&lt;(&gt;&amp;&lt;)&gt; 外箱格式可
以用回ZURU格式。</t>
  </si>
  <si>
    <r>
      <rPr>
        <sz val="11"/>
        <rFont val="宋体"/>
        <charset val="134"/>
      </rPr>
      <t>日期码格式：日期码格式：LOTE：41-工厂城市名缩写 20250801,只显示在包装上面即 日期：
Packaging Info:
77711GQ1：</t>
    </r>
    <r>
      <rPr>
        <sz val="11"/>
        <color rgb="FFFF0000"/>
        <rFont val="宋体"/>
        <charset val="134"/>
      </rPr>
      <t>（MA 3L PDQ+1张PDQ贴纸）+MA 最新3L 收缩膜+（1张进口商西班牙环保标贴纸）+MA5L收藏指南</t>
    </r>
    <r>
      <rPr>
        <sz val="11"/>
        <rFont val="宋体"/>
        <charset val="134"/>
      </rPr>
      <t xml:space="preserve">
Remark: 1. 此单出西班牙，需满足EU测试标准要求，另外微塑料需符合EU法规；
2. 标准配比
3. 客户日期码格式：LOTE：41-工厂城市名缩写 20250801,只显示在包装上面即可，否则会有客诉。不用重复显示在产品上面，产品&lt;(&gt;&amp;&lt;)&gt; 外箱格式可以用回ZURU
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r>
  </si>
  <si>
    <t>96238-8.17</t>
  </si>
  <si>
    <t>4500171377-40</t>
  </si>
  <si>
    <t>4500171377-80</t>
  </si>
  <si>
    <t>4500171377-120</t>
  </si>
  <si>
    <t>4500170587-10</t>
  </si>
  <si>
    <t>77711箱唛翻单：4500159672</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</si>
  <si>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</si>
  <si>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ZB01214-8.12</t>
  </si>
  <si>
    <t>4500170587-20</t>
  </si>
  <si>
    <t>ZB01345-8.19</t>
  </si>
  <si>
    <t>4500170587-30</t>
  </si>
  <si>
    <t>ZB01346-8.19</t>
  </si>
  <si>
    <t>4500170587-40</t>
  </si>
  <si>
    <t>ZB01305-8.16</t>
  </si>
  <si>
    <t>4500165982-240</t>
  </si>
  <si>
    <t>7/4 寄出客供价格贴纸</t>
  </si>
  <si>
    <t>日期码格式：ZURU INC(BVI) 标准格式 日期：按实际生产日期
Packaging Info:
 77711GQ2:MA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</si>
  <si>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4500164920-140</t>
  </si>
  <si>
    <t>日期码格式：ZURU INC(BVI) 标准格式 日期：按实际生产日期
Packaging Info:
77711GQ2:MA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</si>
  <si>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10001401783-3891</t>
  </si>
  <si>
    <t>4500170534-20</t>
  </si>
  <si>
    <t>7/7 寄出</t>
  </si>
  <si>
    <t>日期码格式：ZURU INC(BVI) 标准格式 日期：按实际生产日期
Packaging Info: 77711GQ2: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</si>
  <si>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ZB01059-8.5</t>
  </si>
  <si>
    <t>4500170311-30</t>
  </si>
  <si>
    <t>日期码格式：ZURU INC(BVI) 标准格式 日期：按实际生产日期
Packaging Info:
77711GQ2：MA 3L EAN PKG+UPC 条码贴纸+MA 3L PDQ+MA 多语说明书+进口商贴纸+箱唛
Remark: 
此单有监柜，每款请多备1pc样板用于监装</t>
  </si>
  <si>
    <t>4500164207-10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</si>
  <si>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-请先检查条码是否正确再安排做，标签上的目录编号数字高度必须至少为5mm （14.17pt），条码扫描结果应为7624348。
-订单对应客户2个PO号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</si>
  <si>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4500163362-20</t>
  </si>
  <si>
    <r>
      <rPr>
        <sz val="11"/>
        <rFont val="宋体"/>
        <charset val="134"/>
      </rPr>
      <t>日期码格式：ZURU INC(BVI) 标准格式 日期：按实际生产日期
Packaging Info: 
77711GQ2：MA 3L EAN 收缩膜+</t>
    </r>
    <r>
      <rPr>
        <sz val="11"/>
        <color rgb="FFFF0000"/>
        <rFont val="宋体"/>
        <charset val="134"/>
      </rPr>
      <t>1张法国回收logo贴纸+5L global+MA23L 说明书+MA 5L creative+MA 3L PDQ</t>
    </r>
    <r>
      <rPr>
        <sz val="11"/>
        <rFont val="宋体"/>
        <charset val="134"/>
      </rPr>
      <t xml:space="preserve">
Remark: 1. 此票需通过ZURU OQC验货；
2. 此票出法国，请确保产品符合EU标准，包装含有法国回收logo，符合EU微塑料法规；
3. 此票全部用EAN条码
4. 所有出口法国的产品, 法规规定禁止在包装和公众用的印刷品中使用矿物油中含有的物质, 包装印刷油墨中含有的MOAH/MOSH的质量浓度不能超过1%, 否则出货
到法国被抽检出现问题, 供应商需要对此负责;</t>
    </r>
  </si>
  <si>
    <t>95881-8.17</t>
  </si>
  <si>
    <t>4500170501-70</t>
  </si>
  <si>
    <t>进口商贴纸+1张UPC条码贴纸覆盖原条码(UPC贴纸显示款号77803，条码193052092403）。贴纸资料翻单4500165640。</t>
  </si>
  <si>
    <r>
      <rPr>
        <sz val="11"/>
        <rFont val="宋体"/>
        <charset val="134"/>
      </rPr>
      <t xml:space="preserve">日期码格式：ZURU INC(BVI) 标准格式 日期：按实际生产日期
Packaging Info: 1.此单除了77803是7/31，77673是8/4，其他都是CRD 7/28
4.77803GQ2是基于STD版本77711GQ2-S001-INT建立的客制spec,移除掉了提到猪肉"pork"的2个minis和4个有license的minis：
Veggie Original Sausage Patties(Contains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t>
    </r>
    <r>
      <rPr>
        <sz val="11"/>
        <color rgb="FFFF0000"/>
        <rFont val="宋体"/>
        <charset val="134"/>
      </rPr>
      <t>客版PDQ+收藏指南跟回拉美的订单4500161302,但是收藏指南要加贴纸遮住以下两个LOGOs,贴纸资料见邮件附件;
Veggie Original Sausage Patties(Contains pork words)
Singles The Original- Pepperoni (Contains pork words)</t>
    </r>
    <r>
      <rPr>
        <sz val="11"/>
        <rFont val="宋体"/>
        <charset val="134"/>
      </rPr>
      <t xml:space="preserve">
5.因为此客人进口商贴纸是通用的（除了那些加了UPC条码的），只可能因为item不同尺寸会有差别，如果发现尺寸一样就请统一订购节省成本。
Remark:
77803GQ2-With 4pcs demo/PDQ
Remove 6 Minis as below:
Veggie Original Sausage Patties(Contains pork words)
Singles The Original- Pepperoni (Contains pork words)
Kikkoman-Soy Sauce (license)
Hershey's-Chocolate Syrup 24 oz (license)
Hershey's-Mini Chocolate Syrup 24 oz (license)
Hershey's-Strawberry Syrup 22 oz (license)
77673-Filxed Collection，3PCS AG13 BATTERIES(INCLUDED)</t>
    </r>
  </si>
  <si>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子件77711:3L 客版无条码收缩膜+MA 5L 收藏指南+MA 23L 说明书+MA 5L creative+MA纸袋;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</si>
  <si>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子件77711:3L 客版无条码收缩膜+MA 5L 收藏指南+MA 23L 说明书+MA5L creative+MA纸袋;</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</si>
  <si>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4500171272-10</t>
  </si>
  <si>
    <t>日期码格式：ZURU INC(BVI) 标准格式 日期：按实际生产日期
Packaging Info: 77782GQ1: 客版收缩膜+客版收藏指南+客版PDQ+箱唛，客版物料消耗PO 4500161302的库存
Remark:</t>
  </si>
  <si>
    <t>95982-8.17</t>
  </si>
  <si>
    <t>4500171286-60</t>
  </si>
  <si>
    <t>日期码格式：ZURU INC(BVI) 标准格式 日期：按实际生产日期
Packaging Info:77782GQ1：客版收缩膜+客版收藏指南+客版PDQ+进口商贴纸+箱唛，客版物料消耗PO 4500161302的库存
Remark</t>
  </si>
  <si>
    <t>4500168039-10</t>
  </si>
  <si>
    <t>ZB01307-8.16</t>
  </si>
  <si>
    <t>4500168038-10</t>
  </si>
  <si>
    <t>ZB01306-8.16</t>
  </si>
  <si>
    <t>4500170958-10</t>
  </si>
  <si>
    <t>ZB01347-8.19</t>
  </si>
  <si>
    <t>4500170955-10</t>
  </si>
  <si>
    <t>ZB01508-8.26</t>
  </si>
  <si>
    <t>4500172103-140</t>
  </si>
  <si>
    <t>日期码格式：ZURU INC(BVI) 标准格式 日期：按实际生产日期
Packaging Info: 请确保包装上的条形码是UPC，如果是babyUPC，需要用mother UPC覆盖，如有不一致，请及时提出。谢谢!
77782：客版3L UPC收缩膜/客版收藏指南/客版PDQ，客版物料消耗PO 4500161302的库存
Remark:</t>
  </si>
  <si>
    <t>96595-3-9.30</t>
  </si>
  <si>
    <t>4500169087-20</t>
  </si>
  <si>
    <t>4500170600-110</t>
  </si>
  <si>
    <t>日期码格式：ZURU INC(BVI) 标准格式 日期：按实际生产日期
Packaging Info: Amazon UK(15701A/15710AB/15711D/15726ABDEGHJKLM/15728ABG/15762B/71152/77731/92119D/9561)/DE(15710B/15711D/15726ADEGHJKL/15728A/77731/92119A)/FR(
15710A/15714AN/15726D/15728A/77723)
10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ES环保标+ZURU邮箱care@zuru.com，参考翻单PO#4500158623)+1张IT环保标贴纸(参考翻单PO#4500158623）；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</si>
  <si>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95963/95981</t>
  </si>
  <si>
    <t>Amazon UK:
14GQMTFB</t>
  </si>
  <si>
    <t>4500170600-230</t>
  </si>
  <si>
    <t>95981</t>
  </si>
  <si>
    <t>4500170600-360</t>
  </si>
  <si>
    <t>4500171129-30</t>
  </si>
  <si>
    <t>creative说明书荷兰语贴纸（翻4500155592）</t>
  </si>
  <si>
    <t>日期码格式：ZURU INC(BVI) 标准格式 日期：按实际生产日期
Packaging Info:
77711GQ2:最新MA 3L PDQ+客版收缩膜(英法德callout/英法德意荷警语/法国环保logo)翻4500155592 +最新MA 23L 说明书+最新 MA5L+23L收藏指南+ 最新 MA 5L cr
eative说明书 + creative说明书荷兰语贴纸（翻4500155592）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</si>
  <si>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96237-8.17</t>
  </si>
  <si>
    <t>25-1070321JEC</t>
  </si>
  <si>
    <t>4500172286-10</t>
  </si>
  <si>
    <t>进口商贴纸/UPC贴纸翻单PO4500159761</t>
  </si>
  <si>
    <t>日期码格式：2025-07 日期：
Packaging Info: 77711GQ2:MA 多语EAN包装+进口商贴纸+UPC贴纸+箱唛，进口商贴纸/UPC贴纸翻单PO4500159761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</si>
  <si>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95933-8.17</t>
  </si>
  <si>
    <t>25-1070373JDO</t>
  </si>
  <si>
    <t>4500172288-10</t>
  </si>
  <si>
    <t>进口商贴纸翻单PO4500164774</t>
  </si>
  <si>
    <t>日期码格式：2025-07 日期：
Packaging Info: 77782GQ1::客版收缩膜+客版收藏指南 +客版PDQ+进口商贴纸+箱唛，客版资料翻单PO4500161302,进口商贴纸翻单PO4500164774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</si>
  <si>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96223-8.17</t>
  </si>
  <si>
    <t>ZMPO250571</t>
  </si>
  <si>
    <t>Remark:大货最新版本/只需要空PDQ/请配齐PDQ上应有的物料如展示公仔/吸塑等;备注：  收到样品订单后尽快安排 ，注意样板品质质量要求要高于大货品质要求 ，送货时必须要附带送货单(没有送货单和QC检验合格报告的仓库一律拒绝收货)，请知悉，谢谢！</t>
  </si>
  <si>
    <t>97082-11.29</t>
  </si>
  <si>
    <t>50个空PDQ</t>
  </si>
  <si>
    <t>30个空PDQ</t>
  </si>
  <si>
    <t>Amazon UK:
7APM9TGV</t>
  </si>
  <si>
    <t>4500169785-10</t>
  </si>
  <si>
    <t>日期码格式：ZURU INC(BVI) 标准格式 日期：按实际生产日期
Packaging Info: Amazon UK(77731/9561/15701A/71126)
1. 77731: 2PK#77711-INT In PVC Tube，12tubes/ctn; UV GLUE/ 1 Refrigerator Magnet; MA 3L(3L warning EAN)A收缩膜+1张空白贴纸(覆盖在条码位置，尺寸
由工厂自行测量)+MA 5L(23L warning)A收藏指南+MA 23L警告语说明书+MA 5L A说明书 +客版3L(5L warning UPC) INT PVC筒彩卡(UPC#+英法德意西5L警示语+FR/ES
环保标+ZURU邮箱care@zuru.com，参考翻单PO#4500158623)+1张IT环保标贴纸(参考翻单PO#4500158623）；
5.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</si>
  <si>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96067-8.17</t>
  </si>
  <si>
    <t>4500160891-30</t>
  </si>
  <si>
    <r>
      <rPr>
        <sz val="11"/>
        <rFont val="宋体"/>
        <charset val="134"/>
      </rPr>
      <t>日期码格式：ZURU INC(BVI) 标准格式 日期：按实际生产日期
Packaging Info: 
#77711：
MA2L,PDQ(NA版,25装)+MA2L收缩膜(NA版,UPC:193052080127)+</t>
    </r>
    <r>
      <rPr>
        <sz val="11"/>
        <color rgb="FFFF0000"/>
        <rFont val="宋体"/>
        <charset val="134"/>
      </rPr>
      <t>MA2L收藏指南((NA版)</t>
    </r>
    <r>
      <rPr>
        <sz val="11"/>
        <rFont val="宋体"/>
        <charset val="134"/>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</si>
  <si>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96121-8.17</t>
  </si>
  <si>
    <t>4500170750-160</t>
  </si>
  <si>
    <t>日期码格式：ZURU INC(BVI) 标准格式 日期：按实际生产日期
Packaging Info: 
77711GQ2:MA 3L EAN PKG+UPC 条码贴纸+MA 3L PDQ+MA 多语说明书+进口商贴纸+箱唛
所有带电产品的保证书通用1份
Remark:</t>
  </si>
  <si>
    <t>96589-4-9.30</t>
  </si>
  <si>
    <t>40279125 45276449</t>
  </si>
  <si>
    <t>4500171342-300</t>
  </si>
  <si>
    <t>日期码格式：ZURU INC(BVI) 标准格式 日期：按实际生产日期
Packaging Info:
77711 标版2L 包装/PDQ ， UPC 193052080127
Remark: 出加拿大
有客供价格贴
每行对应不同的客户PO，唛头要一一对应， 放唛头时跟单会提供清单
Zuru验货.日期跟踪码：产品外包装及产品本身都必须有日期跟踪码，ZURU标准格式
日期码</t>
  </si>
  <si>
    <t>95964-8.17</t>
  </si>
  <si>
    <t>4500171342-310</t>
  </si>
  <si>
    <t>4500171342-320</t>
  </si>
  <si>
    <t>4500171342-330</t>
  </si>
  <si>
    <t>4500171342-340</t>
  </si>
  <si>
    <t>4500171342-350</t>
  </si>
  <si>
    <t>4500171342-360</t>
  </si>
  <si>
    <t>4500171342-370</t>
  </si>
  <si>
    <t>4500169101-20</t>
  </si>
  <si>
    <t>77711-S002-NA</t>
  </si>
  <si>
    <t>4FCM4UVB</t>
  </si>
  <si>
    <t>4500172430-10</t>
  </si>
  <si>
    <t>日期码格式：ZURU INC(BVI) 标准格式 日期：按实际生产日期
Packaging Info: #77731：2PK STD #77711入PVC桶，3L 2PK铜版纸，客版无UPC版本收缩膜翻单4500167444。收藏指南，说明书均为MA 1L标版。（两个球的配比不能重复）。
#15762B: 2pk 15727 固定搭配- 15727E +15727G, MA 5L UPC版本, 产品入window box后再加polybag. 15727原window box上的UPC需要加空白贴纸覆盖。polybag需
印刷warning, polybag size: 35*47*0.005cm. Polybag上需要加产品贴纸显示ASIN, UPC, ""Sold as Set do not Separate"".。胶袋资料和产品贴纸资料翻EU单45
00158578.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</si>
  <si>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ZB01103R1-8.6</t>
  </si>
  <si>
    <t>3VAUNV9N</t>
  </si>
  <si>
    <t>4500172422-20</t>
  </si>
  <si>
    <t>ZB01180-8.11</t>
  </si>
  <si>
    <t>4500173381-10</t>
  </si>
  <si>
    <t>日期码格式：ZURU INC(BVI) 标准格式 日期：按实际生产日期
Packaging Info: 请确保包装上的条形码是UPC，如果是babyUPC，需要用mother UPC覆盖，如有不一致，请及时提出。
77782GQ1：客版3L UPC收缩膜/客版收藏指南/客版PDQ，客版物料消耗PO 4500161302的库存
Remark:</t>
  </si>
  <si>
    <t>96420-9.12</t>
  </si>
  <si>
    <t>4500170761-20</t>
  </si>
  <si>
    <t>意大利环保标贴纸（贴纸翻4500164781）</t>
  </si>
  <si>
    <t>日期码格式：ZURU INC(BVI) 标准格式 日期：按实际生产日期
Packaging Info:
2. 77711GQ1:最新MA 3L EAN收缩膜+一张意大利环保标贴纸（贴纸翻4500164781）+最新MA 5L 收藏指南+最新MA 23L 说明书+最新MA 5L 包装+最新MA 3L PDQ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"WEEE说明书欧洲EN+30L-B版"</t>
  </si>
  <si>
    <t>CUS
PO#4400494411</t>
  </si>
  <si>
    <t>4500172998-10</t>
  </si>
  <si>
    <t>日期码格式：ZURU INC(BVI) 标准格式 日期：按实际生产日期
Packaging Info: 77711GQ2：MA-3L(EAN)最新配套包装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</si>
  <si>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96054-8.17</t>
  </si>
  <si>
    <t>4500174786-10</t>
  </si>
  <si>
    <t>4500173000拆单</t>
  </si>
  <si>
    <t>空运</t>
  </si>
  <si>
    <t>日期码格式：ZURU INC(BVI) 标准格式 日期：按实际生产日期
Packaging Info: 77711GQ2: MA-3L(EAN)最新配套包装
此订单空运 请勿延期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</si>
  <si>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96052-8.17</t>
  </si>
  <si>
    <t>4500174782-10</t>
  </si>
  <si>
    <t>4500172998拆单</t>
  </si>
  <si>
    <t>日期码格式：ZURU INC(BVI) 标准格式 日期：按实际生产日期
Packaging Info: 77711GQ2：MA-3L(EAN)最新配套包装
此订单走空运 不要延期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</si>
  <si>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95965-8.17</t>
  </si>
  <si>
    <t>CUS
PO#4400494412</t>
  </si>
  <si>
    <t>4500173000-10</t>
  </si>
  <si>
    <r>
      <rPr>
        <sz val="11"/>
        <rFont val="宋体"/>
        <charset val="134"/>
      </rPr>
      <t>日期码格式：ZURU INC(BVI) 标准格式 日期：按实际生产日期
Packaging Info: 77711GQ2:</t>
    </r>
    <r>
      <rPr>
        <sz val="11"/>
        <color rgb="FFFF0000"/>
        <rFont val="宋体"/>
        <charset val="134"/>
      </rPr>
      <t xml:space="preserve"> MA-3L(EAN)最新配套包装</t>
    </r>
    <r>
      <rPr>
        <sz val="11"/>
        <rFont val="宋体"/>
        <charset val="134"/>
      </rPr>
      <t xml:space="preserve">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r>
  </si>
  <si>
    <t>96161-8.17</t>
  </si>
  <si>
    <t>10001401742-3891</t>
  </si>
  <si>
    <t>4500170741-30</t>
  </si>
  <si>
    <t>7/11 寄出</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</si>
  <si>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</si>
  <si>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ZB01372-8.20</t>
  </si>
  <si>
    <t>4500172600-30</t>
  </si>
  <si>
    <t>96072-8.17</t>
  </si>
  <si>
    <t>4500172597-30</t>
  </si>
  <si>
    <t>96071-8.17</t>
  </si>
  <si>
    <t>4500175782-10</t>
  </si>
  <si>
    <t>日期码格式：ZURU INC(BVI) 标准格式 日期：按实际生产日期
Packaging Info: 77711GQ2: MA-3L(EAN)最新配套包装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</si>
  <si>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96053-8.17</t>
  </si>
  <si>
    <t>7RWEPALK</t>
  </si>
  <si>
    <t>4500172435-10</t>
  </si>
  <si>
    <t>ZB01240-8.13</t>
  </si>
  <si>
    <t>4500170593-10</t>
  </si>
  <si>
    <t>8/15 第三方自检</t>
  </si>
  <si>
    <t>日期码格式：ZURU DGYYYYMMDD CHINA(日期避开周末和法定节假日即可）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</si>
  <si>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ZB01471-8.25</t>
  </si>
  <si>
    <t>4500170593-20</t>
  </si>
  <si>
    <t>ZB01505-8.26</t>
  </si>
  <si>
    <t>4500170593-30</t>
  </si>
  <si>
    <t>ZB0170593-8.26</t>
  </si>
  <si>
    <t>4500170593-40</t>
  </si>
  <si>
    <t>ZB01451-8.23</t>
  </si>
  <si>
    <t>4500170593-50</t>
  </si>
  <si>
    <t>ZB01344-8.19</t>
  </si>
  <si>
    <t>4500170593-60</t>
  </si>
  <si>
    <t>ZB01421-8.22</t>
  </si>
  <si>
    <t>4500170593-100</t>
  </si>
  <si>
    <t>ZB01560-8.28</t>
  </si>
  <si>
    <t>4500169184-30</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</si>
  <si>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77711GQ1-S002-NA需7月25日前需寄出3套大货样板(含PDQ)，样板须跟大货一模一样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#15727（不出L款）
6. ZURU QA 验货时需拍齐每款角色的产品和产品包装上的日期码照片（供实验室review）</t>
  </si>
  <si>
    <t>MPO03641</t>
  </si>
  <si>
    <t>8/15货到库有</t>
  </si>
  <si>
    <t>Demo数量要求: 按照345套demo配套组装好交货，每套demo由#77711 P62 Kombucha: P52 Frozen Chicken: P57 Lamp Chops: P68 Tiramisu(含组装
好的UV胶空瓶)=1:1:1:1组成。
注意：18pcs 装一个胶袋，一箱一个胶袋，另外18个直接丢里面</t>
  </si>
  <si>
    <r>
      <rPr>
        <sz val="11"/>
        <rFont val="宋体"/>
        <charset val="134"/>
      </rPr>
      <t>Remark: #77711
1.交货时间: 2025/8/12
2.包装要求:注意：18pcs 装一个胶袋，一箱一个胶袋，另外18个直接丢里面
#77711 MINI BRANDS-FILL THE FRIDGE S1 (NA版本): MA2L收缩膜(NA版-B,UPC:193052080127)+MA5L收藏指南((NA版-B)+MA配件袋+MA5L,UV胶贴
纸+MA23L警告语说明书(B)
3. Demo数量要求: 按照345套demo配套组装好交货，</t>
    </r>
    <r>
      <rPr>
        <sz val="11"/>
        <color rgb="FFFF0000"/>
        <rFont val="宋体"/>
        <charset val="134"/>
      </rPr>
      <t>每套demo由#77711 P62 Kombucha: P52 Frozen Chicken: P57 Lamp Chops: P68 Tiramisu(含组装
好的UV胶空瓶)=1:1:1:1组成。</t>
    </r>
    <r>
      <rPr>
        <sz val="11"/>
        <rFont val="宋体"/>
        <charset val="134"/>
      </rPr>
      <t xml:space="preserve">
4. 签办数量：#77711 3pcs大货球及1套齐套散件用以母件订单4500171463验货使用。
5. 母件订单4500171463后续需进行第三方验货，请工厂留意备品。</t>
    </r>
  </si>
  <si>
    <t>Willow Xu，Monica Zhou</t>
  </si>
  <si>
    <t>97097-11.29</t>
  </si>
  <si>
    <t>77711-S001-NA-2L</t>
  </si>
  <si>
    <t>AG250122-HK</t>
  </si>
  <si>
    <t>4500172706-10</t>
  </si>
  <si>
    <t>日期码格式：ZURU INC(BVI) 标准格式 日期：按实际生产日期
Packaging Info: 77711GQ1 （INT): MA 3L 收缩膜+1张UPC 条码贴纸+ MA 3L PDQ+MA 5L 收藏指南+HK客供警语贴纸
（1张贴球底部，1张贴说明书，1张贴收藏指南）具体参考HK客供警语贴纸位置图
Remark: 此单出HK</t>
  </si>
  <si>
    <t>96051-8.17</t>
  </si>
  <si>
    <t>4500170454-30</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</si>
  <si>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</si>
  <si>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</si>
  <si>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7L5JQ45I</t>
  </si>
  <si>
    <t>4500172492-10</t>
  </si>
  <si>
    <t>ZB01241-8.13</t>
  </si>
  <si>
    <t>5RKNTNBE</t>
  </si>
  <si>
    <t>4500172492-20</t>
  </si>
  <si>
    <t>ZB01255-8.14</t>
  </si>
  <si>
    <t>4500170533-20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</si>
  <si>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</si>
  <si>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4500172551-20</t>
  </si>
  <si>
    <t>警告语/进口商贴纸（翻单4500164226）</t>
  </si>
  <si>
    <t>日期码格式：ZURU INC(BVI) 标准格式 日期：按实际生产日期
Packaging Info: 
77711SK1-S002-INT:MA 3L EAN版收缩膜+MA 3L PDQ+MA 5L(23L warning)收藏指南+MA 23L说明书+警告语/进口商贴纸（翻单4500164226）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77711SK1-S002-INT;100-223011472-4894680043350</t>
  </si>
  <si>
    <t>96235-8.17</t>
  </si>
  <si>
    <t>4500163718-50</t>
  </si>
  <si>
    <t>客人警语贴纸，翻4500163683</t>
  </si>
  <si>
    <t>日期码格式：ZUR5201 日期：
Packaging Info: 
5.77711SK: 最新MA 3L EAN收缩膜+最新MA 展示架+最新MA 5L说明书+最新MA纸袋+一张客人警语贴纸，翻4500163683
Remark: 1.客人日期码：ZUR5201，产品/包装（收缩膜等）/外箱 请保持一致
2.含Slime产品，所有化合物使用无硼版本出意大利
3.请自行根据产品是否带电池出货，相应订购"欧洲通用说明书EN+30L"</t>
  </si>
  <si>
    <t>4500163683-40</t>
  </si>
  <si>
    <t>日期码格式：ZUR5201 日期：
Packaging Info:
3.77711SK:最新MA 3L EAN收缩膜+最新MA 展示架+最新MA 5L说明书+最新MA纸袋+一张客人警语贴纸
Remark:
2.客人日期码：ZUR5201，产品/包装/外箱 请保持一致
3.含Slime产品，所有化合物使用无硼版本出意大利
4.请自行根据产品是否带电池出货，相应订购"欧洲通用说明书EN+30L"</t>
  </si>
  <si>
    <t>96245-8.17</t>
  </si>
  <si>
    <t>4500172400-10</t>
  </si>
  <si>
    <t>77731-S001-INT-MTS</t>
  </si>
  <si>
    <t>日期码格式：ZURU INC(BVI) 标准格式 日期：按实际生产日期
Packaging Info: 1.77731：客版3L(5L warning UPC) INT PVC筒纸卡(含英法德意西5L警示语-翻单PO#4500158623)+1张EAN贴纸+1张77711的多语折叠语警语贴纸（贴在PVC桶底部
PVC桶里面的2个球77711：MA (3L warning EAN)最新版收缩膜+2张空白贴纸(覆盖在条码位置，尺寸由工厂自行测量)+MA 5L(23L warning)A收藏指南+MA 23L警告语
说明书+MA 5L A说明书 ；2PK#77711-INT In PVC Tube，12tubes/ctn; UV GLUE/ 1 Refrigerator Magnet; "
Remark: 1.荷兰内销单，需要通过ZURU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5.所有出往欧洲订单的电子产品需增加一张欧洲通用WEEE声明说明书，区分带电池和不带电池版本, 如已做客版说明书可忽略此要求。
6.装柜时需要按照款式号码从小到大一款款依次装,避免终端仓库卸货混乱.若一个柜子涉及到几个不同国家内销单,装柜时需要一个国家装完后再装另一个国家的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</si>
  <si>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96066-8.17</t>
  </si>
  <si>
    <t>4500172944-60</t>
  </si>
  <si>
    <t>96135-8.17</t>
  </si>
  <si>
    <t>4500172946-60</t>
  </si>
  <si>
    <t>96134-8.17</t>
  </si>
  <si>
    <t>4500175657-20</t>
  </si>
  <si>
    <t>77711GQ1-P-S005-INT-MTS</t>
  </si>
  <si>
    <t>ZMPO250638</t>
  </si>
  <si>
    <t>77711GQ2-S001</t>
  </si>
  <si>
    <t>展示窗成品</t>
  </si>
  <si>
    <t>15套Demo</t>
  </si>
  <si>
    <t>Remark:大货版本/只需要左图中红框中的Demo;备注：收到样品订单后尽快安排 ，注意样板品质质量要求要高于大货品质要求 ，送货时必须要附带送货单(没有送货单和QC检验合格报告的仓库一律拒绝收货)，请知悉，谢谢！</t>
  </si>
  <si>
    <r>
      <rPr>
        <sz val="11"/>
        <rFont val="宋体"/>
        <charset val="134"/>
      </rPr>
      <t>日期码格式：ZUR5201 日期：
Packaging Info:
2.MEC305:最新MA 3L EAN收缩膜+最新MA 展示架+最新MA 5L说明书+最新MA纸袋+</t>
    </r>
    <r>
      <rPr>
        <sz val="11"/>
        <color rgb="FFFF0000"/>
        <rFont val="宋体"/>
        <charset val="134"/>
      </rPr>
      <t>2张客人警语贴纸+一张条码贴纸+一张SKU号码贴纸</t>
    </r>
    <r>
      <rPr>
        <sz val="11"/>
        <rFont val="宋体"/>
        <charset val="134"/>
      </rPr>
      <t xml:space="preserve">
Remark: 1.大货样品3套，请多备料
2.客人日期码：ZUR5201，产品/包装(收缩膜）/外箱 请保持一致
3.含Slime产品，所有化合物使用无硼版本出意大利
4.请自行根据产品是否带电池出货，相应订购"欧洲通用说明书EN+30L"</t>
    </r>
  </si>
  <si>
    <t>4500173864-10</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</si>
  <si>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</si>
  <si>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96073-8.17</t>
  </si>
  <si>
    <t>10001401741-3890</t>
  </si>
  <si>
    <t>4500170737-30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</si>
  <si>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</si>
  <si>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ZB01667-9.3</t>
  </si>
  <si>
    <r>
      <rPr>
        <sz val="11"/>
        <rFont val="宋体"/>
        <charset val="134"/>
      </rPr>
      <t xml:space="preserve">日期码格式：ZURU INC(BVI) 标准格式 日期：按实际生产日期
Packaging Info: 77785：MA 3L UPC 彩盒包装 + 箱唛 + 外箱贴纸SSCC Label
</t>
    </r>
    <r>
      <rPr>
        <sz val="11"/>
        <color rgb="FFFF0000"/>
        <rFont val="宋体"/>
        <charset val="134"/>
      </rPr>
      <t>子件77711:3L 客版无条码收缩膜+MA 5L 收藏指南+MA 23L 说明书+MA 5L creative+MA纸袋;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</si>
  <si>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4500170678-40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</si>
  <si>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以上所以item均：
1. 产品和包装上均要印刷tracking code信息，格式为ZURU常规格式;
2. 出货方式：货代自提</t>
  </si>
  <si>
    <t>4500172507-10</t>
  </si>
  <si>
    <t>ZB01528-8.27</t>
  </si>
  <si>
    <t>4500173486-10</t>
  </si>
  <si>
    <t>赶9/1装柜船期</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</si>
  <si>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</si>
  <si>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96322-9.4</t>
  </si>
  <si>
    <t>252GD2</t>
  </si>
  <si>
    <t>4500164261-10</t>
  </si>
  <si>
    <t>8月26早上进行客人指定TUV的VT抽样测试</t>
  </si>
  <si>
    <t>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t>
  </si>
  <si>
    <t>日期码格式：DOLLAR GENERAL 格式日期码 日期：
Packaging Info: 1.包装：
 #77711GQ5-S002-NA-PKC 客版PDQ + 内袋警示语AWS + 客版收缩膜（跟单邮件提供），请有说明书收藏指南等，请优先使用MA 1L。
Remark: 1.包装：
 #77711GQ5-S002-NA-PKC 客版PDQ + 内袋警示语AWS + 客版收缩膜（跟单邮件提供），请有说明书收藏指南等，请优先使用MA 1L。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
 后三位I25代表25年9月的ETD 。
 （3）UPC条形码：
 #77711GQ5:193052080127
 3. 无价贴。
 4. 无样板需求
 5. 验货抽样事宜：
 #77711GQ5：8月26早上进行客人指定TUV的VT抽样测试。随机抽取每款每色各12pcs + 足量干漆给实验室MT+5套散件光身样（如适用）
 请在8月25前完成ZURU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ONBOCORNS-PUPPYCORN SURPRISE-SERIES 8-SCENT SURPRISE PLUSH SMALL SHRINK WRAP,2PCS/Polybag,6pcs/3Polybag/CTNF SUFFOCATIO
 N, KEEP THIS BAG AWAY FROM BABIES AND CHILDREN. DO NOT USE IN CRIBS, BEDS, STROLLERS OR PLAY PENS. THIS BAG IS NOT A TOY.
 #77711GQ5内袋可通用77555GQ3的</t>
  </si>
  <si>
    <t>ZB01831-9.10</t>
  </si>
  <si>
    <t>4500163740-20</t>
  </si>
  <si>
    <t>日期码格式：ZURU INC(BVI) 标准格式 日期：按实际生产日期
Packaging Info: 
2. 77711SLB-S001-INT
77711GQ1-S002-INT: MA NA版本1L UPC收缩膜+MA INT 版本5L收藏指南+MA INT版本3L PDQ+MA 23L说明书+其他MA最新包材
UPC#193052080127&lt;(&gt;,&lt;)&gt;请先检查条码是否正确再安排做货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</si>
  <si>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96202-8.17</t>
  </si>
  <si>
    <t>4500173689-10</t>
  </si>
  <si>
    <t>日期码格式：ZURU INC(BVI) 标准格式 日期：按实际生产日期
Packaging Info: 77711GQ1-S002-INT: MA 3L包装（MA收缩膜和说明书） + 一张UPC条码贴+ 防盗贴纸（两款贴纸以及防盗贴纸位置图翻单PO#4500160026）+ 箱唛 + 外箱贴纸SSCC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</si>
  <si>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Alex Huo</t>
  </si>
  <si>
    <t>96799-8.17</t>
  </si>
  <si>
    <t>4500173688-10</t>
  </si>
  <si>
    <t>96798-8.17</t>
  </si>
  <si>
    <t>96339-9.6</t>
  </si>
  <si>
    <t>4500164293-30</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</si>
  <si>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</si>
  <si>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4500172403-70</t>
  </si>
  <si>
    <t>96339-2-9.6</t>
  </si>
  <si>
    <t>4500174005-10</t>
  </si>
  <si>
    <t>日期码格式：ZURU INC(BVI) 标准格式 日期：按实际生产日期
Packaging Info: 1. 此为Kohl's store 订单, MA UPC包装 + 价格贴纸 （价格贴和位置图翻单4500169087）+ 客供外箱贴纸
Remark:
2. 外箱印刷 ZURU LOGO + MADE IN CHINA + 定位框，尺寸4"x6" (用于黏贴外箱贴）
3. 需提供每款实际外箱尺寸排版确认定位框，store 订单的定位框位置要在：箱子的最大面朝上后，定位框在箱子的第二大面的右下角，距离箱子右边3英寸，距
离底部1.25英寸, 贴纸要按定位框贴，位置与方向贴不对会有客户罚款需由工厂承担
4. 产品入箱后，外箱的每个面都需要是平整，不能有鼓起
5. 收到外箱贴纸需要扫描上传ICE系统（出货前必须完成），上传的条码信息必须跟实际出货一致，贴纸备品不需要扫描。如有不同产生的罚款由工厂承担。
6. 需经ZURU验货通过后才可出货。
7. 客户有严格要求，若由工厂导致的罚款ZURU 都会向工厂收回。</t>
  </si>
  <si>
    <t>ZB01833-9.10</t>
  </si>
  <si>
    <t>CUS
PO#4400500009</t>
  </si>
  <si>
    <t>4500175135-30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</si>
  <si>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</si>
  <si>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96375-9.9</t>
  </si>
  <si>
    <t>Amazon UK:
17UCWXQB</t>
  </si>
  <si>
    <t>4500158810-10</t>
  </si>
  <si>
    <t>日期码格式：ZURU INC(BVI) 标准格式 日期：按实际生产日期
Packaging Info: Amazon UK(77731)/DE(77731)
1. 77731：2PK#77711-INT In PVC Tube，12tubes/ctn; UV GLUE/ 1 Refrigerator Magnet; MA 1L(1L warning UPC)A收缩膜+1张空白贴纸(覆盖在条码位置，尺寸
由工厂自行测量)+MA 5L(23L warning)A收藏指南+MA 23L警告语说明书+MA 5L A说明书 +客版3L(5L warning UPC) INT PVC筒铜版纸(参考翻单PO#4500158623)+1张I
T环保标贴纸(参考提供的位置图;参考翻单PO#4500158623）；
2. 最迟验货不得晚于2025/8/29;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</si>
  <si>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96418-9.12</t>
  </si>
  <si>
    <t>Amazon DE:
4C43718X</t>
  </si>
  <si>
    <t>4500158810-20</t>
  </si>
  <si>
    <t>Amazon DE:
2KB2FEWB</t>
  </si>
  <si>
    <t>4500174196-10</t>
  </si>
  <si>
    <t>日期码格式：ZURU INC(BVI) 标准格式 日期：按实际生产日期
Packaging Info: Amazon UK(15711BD/15714DKN/15726ABEGHJKL/15728AEG/71152/77731/92119B)/DE(15710B/15711D/15714DJ/15726A/15728ABEG/15762DE/77731/92119B)/FR(15710A/
15711D/15714KN/15726DEGKL/15728A/71152/77731)
8.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ES环保标+GPSR邮箱care@zuru.comcare@zuru.com，参考翻单PO#4500158623)+1张IT环保标贴纸(参考翻单PO#4500158623）；
10. 验货时间不迟于2025/8/29.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</si>
  <si>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96419-9.12</t>
  </si>
  <si>
    <t>Amazon FR:
6IOY8I7J</t>
  </si>
  <si>
    <t>4500174196-20</t>
  </si>
  <si>
    <t>96398-9.11</t>
  </si>
  <si>
    <t>Amazon UK:
2CHGX8TY</t>
  </si>
  <si>
    <t>4500174196-200</t>
  </si>
  <si>
    <t>96453-2-9.17</t>
  </si>
  <si>
    <t>Amazon FR:
4NNQFR1J</t>
  </si>
  <si>
    <t>4500174196-380</t>
  </si>
  <si>
    <t>96373-9.9</t>
  </si>
  <si>
    <t>10001463769-3890</t>
  </si>
  <si>
    <t>4500175699-10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</si>
  <si>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</si>
  <si>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ZB01851-9.11</t>
  </si>
  <si>
    <t>96340-9.6</t>
  </si>
  <si>
    <t>4500172405-70</t>
  </si>
  <si>
    <t>日期码格式：ZURU INC(BVI) 标准格式 日期：按实际生产日期 Tracking Code:
77711GQ1-S002-INT: MA 3L包装（MA收缩膜和说明书） + 一张UPC条码贴+ 防盗贴纸（两款贴纸以及防盗贴纸位置图翻单PO#4500160026）+ 箱唛 + 外箱贴纸SSCC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</si>
  <si>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96340-2-9.6</t>
  </si>
  <si>
    <t>4500173887-10</t>
  </si>
  <si>
    <t>日期码格式：ZURU INC(BVI) 标准格式 日期：按实际生产日期
Packaging Info: 77711GQ2:客版收缩膜(英法德callout/英法德意荷警语/法国环保logo)翻单4500155592 +最新MA23L 说明书+MA 5+23L警语收藏指南+ MA 5L creative说明书 + crea
tive说明书荷兰语贴纸(翻单4500155592）+最新MA 3L PDQ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</si>
  <si>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96413-9.12</t>
  </si>
  <si>
    <t>4500173889-10</t>
  </si>
  <si>
    <t>96374-9.9</t>
  </si>
  <si>
    <t>4500174525-10</t>
  </si>
  <si>
    <t>日期码格式：ZURU INC(BVI) 标准格式 日期：按实际生产日期
Packaging Info: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
Remark: MA UPC 英语包装（优先1L英语版本，或者3L/5L含英语都可）
此客人不接受易掉落或者剥落或者可直接触碰的闪粉，可降解也不行，但可以接受符合欧洲微塑料标准的珠光粉或者闪片
此单加UPC贴纸：193052090157</t>
  </si>
  <si>
    <t>96529-9.26</t>
  </si>
  <si>
    <t>77711GQ2-S001-INT-2</t>
  </si>
  <si>
    <t>4500174525-20</t>
  </si>
  <si>
    <t>10001463770-3890</t>
  </si>
  <si>
    <t>4500175700-10</t>
  </si>
  <si>
    <t>日期码格式：ZURU INC(BVI) 标准格式 日期：按实际生产日期 Tracking Code: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</si>
  <si>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ZB01832-9.10</t>
  </si>
  <si>
    <t>4500174635-10</t>
  </si>
  <si>
    <r>
      <rPr>
        <sz val="11"/>
        <rFont val="宋体"/>
        <charset val="134"/>
      </rPr>
      <t xml:space="preserve">日期码格式：ZURU INC(BVI) 标准格式 日期：按实际生产日期
Packaging Info: </t>
    </r>
    <r>
      <rPr>
        <sz val="11"/>
        <color rgb="FFFF0000"/>
        <rFont val="宋体"/>
        <charset val="134"/>
      </rPr>
      <t>MA UPC包装(优先1L)+1张固定进口商贴纸;
77711GQ1使用3L INT版本包装+1张UPC贴纸</t>
    </r>
    <r>
      <rPr>
        <sz val="11"/>
        <rFont val="宋体"/>
        <charset val="134"/>
      </rPr>
      <t xml:space="preserve">
整单贴纸资料待提供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</si>
  <si>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4500170580-60</t>
  </si>
  <si>
    <t>冰箱迷你球13pcs/箱-中文单</t>
  </si>
  <si>
    <t>日期码格式：ZURU INC(BVI) 标准格式 日期：按实际生产日期
Packaging Info: 物料要求 SKU
4 77711GQ1 MA PDQ +外挂中文收藏指南+中文说明书+黑白警告语+收缩膜年龄贴（8+）
77711为首单 需要提供4套大货样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</si>
  <si>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96363-9.8</t>
  </si>
  <si>
    <t>4500170580-70</t>
  </si>
  <si>
    <t>4500170580-40</t>
  </si>
  <si>
    <t>77711为首单 需要提供4套大货样，产品/销售包装/外箱日期码要一致，</t>
  </si>
  <si>
    <t>4500160894-20</t>
  </si>
  <si>
    <t>bv自检</t>
  </si>
  <si>
    <r>
      <rPr>
        <sz val="11"/>
        <rFont val="宋体"/>
        <charset val="134"/>
      </rPr>
      <t>日期码格式：ZURU INC(BVI) 标准格式 日期：按实际生产日期
Packaging Info: 
#77711：
MA2L,PDQ(NA版,25装)+MA2L收缩膜(NA版,UPC:193052080127)+</t>
    </r>
    <r>
      <rPr>
        <sz val="11"/>
        <color rgb="FFFF0000"/>
        <rFont val="宋体"/>
        <charset val="134"/>
      </rPr>
      <t>MA2L收藏指南((NA版</t>
    </r>
    <r>
      <rPr>
        <sz val="11"/>
        <rFont val="宋体"/>
        <charset val="134"/>
      </rPr>
      <t>)+MA配件袋+MA5L说明书+MA23L警告语说明书
Remark: 1. 此单有箱唛;
2. UPC贴纸：必须在原来错误的条码上用黑色粗头笔涂黑直至不能扫描，再贴上正确的UPC;
3. 此单有第三方验货，烦请多备包装物料；
4. #15728内含电池,需用英法双语电池出货.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</si>
  <si>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96560-9.29</t>
  </si>
  <si>
    <t>4500172155-30</t>
  </si>
  <si>
    <t>9/5 自检</t>
  </si>
  <si>
    <r>
      <rPr>
        <sz val="11"/>
        <rFont val="宋体"/>
        <charset val="134"/>
      </rPr>
      <t xml:space="preserve">日期码格式：ZURU INC(BVI) 标准格式 日期：按实际生产日期
Packaging Info: 
</t>
    </r>
    <r>
      <rPr>
        <sz val="11"/>
        <color rgb="FFFF0000"/>
        <rFont val="宋体"/>
        <charset val="134"/>
      </rPr>
      <t>77711gq2:增加额外UPC条码贴纸覆盖原有条码</t>
    </r>
    <r>
      <rPr>
        <sz val="11"/>
        <rFont val="宋体"/>
        <charset val="134"/>
      </rPr>
      <t xml:space="preserve">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r>
  </si>
  <si>
    <t>77711GQ2-S002-INT-1</t>
  </si>
  <si>
    <t>4500174738-10</t>
  </si>
  <si>
    <t>日期码格式：ZURU INC(BVI) 标准格式 日期：按实际生产日期
Packaging Info: 77711GQ1: MA 3L EAN 收缩膜 +1*多语折叠警告语贴纸（翻单4500157858） + MA5L收藏指南+ MA 23L说明书+ MA UV胶黑白警告语 + MA纸袋+MA_3L_13PCS_A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</si>
  <si>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96397-9.11</t>
  </si>
  <si>
    <t>4500170580-80</t>
  </si>
  <si>
    <t>4500170580-90</t>
  </si>
  <si>
    <t>（客版AW以及电池警告语贴纸&lt;(&gt;&amp;&lt;)&gt;贴纸位置图翻单PO#4500170842），8/18 外箱贴纸</t>
  </si>
  <si>
    <r>
      <rPr>
        <sz val="11"/>
        <rFont val="宋体"/>
        <charset val="134"/>
      </rPr>
      <t>日期码格式：ZURU INC(BVI) 标准格式 日期：按实际生产日期
Packaging Info: 77785：MA 3L UPC</t>
    </r>
    <r>
      <rPr>
        <sz val="11"/>
        <color rgb="FFFF0000"/>
        <rFont val="宋体"/>
        <charset val="134"/>
      </rPr>
      <t xml:space="preserve"> 彩盒包装 + 箱唛 + 外箱贴纸SSCC Label
子件77711:3L 客版无条码收缩膜+MA 5L 收藏指南+MA 23L 说明书+MA 5L creative+MA纸袋;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</si>
  <si>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96396-8.17</t>
  </si>
  <si>
    <r>
      <rPr>
        <sz val="11"/>
        <rFont val="宋体"/>
        <charset val="134"/>
      </rPr>
      <t xml:space="preserve">日期码格式：ZURU INC(BVI) 标准格式 日期：按实际生产日期
Packaging Info: 77785：MA 3L UPC </t>
    </r>
    <r>
      <rPr>
        <sz val="11"/>
        <color rgb="FFFF0000"/>
        <rFont val="宋体"/>
        <charset val="134"/>
      </rPr>
      <t>彩盒包装 + 箱唛 + 外箱贴纸SSCC Label
子件77711:3L 客版无条码收缩膜+MA 5L 收藏指南+MA 23L 说明书+MA 5L creative+MA纸袋;
（客版AW以及电池警告语贴纸&lt;(&gt;&amp;&lt;)&gt;贴纸位置图翻单PO#4500170842）</t>
    </r>
    <r>
      <rPr>
        <sz val="11"/>
        <rFont val="宋体"/>
        <charset val="134"/>
      </rPr>
      <t xml:space="preserve">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r>
  </si>
  <si>
    <t>96395-8.17</t>
  </si>
  <si>
    <t>4500173266-50</t>
  </si>
  <si>
    <r>
      <rPr>
        <sz val="11"/>
        <rFont val="宋体"/>
        <charset val="134"/>
      </rPr>
      <t xml:space="preserve">日期码格式：ZURU INC(BVI) 标准格式 日期：按实际生产日期
Packaging Info: MA PKG ， 优先1L +1张进口商贴纸（不得遮挡日期码）
进口商贴纸和位置图翻单4500165848
</t>
    </r>
    <r>
      <rPr>
        <sz val="11"/>
        <color rgb="FFFF0000"/>
        <rFont val="宋体"/>
        <charset val="134"/>
      </rPr>
      <t>77711GQ2: MA 3L EAN 收缩膜+1张UPC 条码贴纸（覆盖原条码）+1张进口商贴纸（贴球顶部）+
MA 5L 收藏指南， MA说明书</t>
    </r>
    <r>
      <rPr>
        <sz val="11"/>
        <rFont val="宋体"/>
        <charset val="134"/>
      </rPr>
      <t xml:space="preserve">
Remark:</t>
    </r>
  </si>
  <si>
    <t>96582-9.30</t>
  </si>
  <si>
    <t>4500175179-50</t>
  </si>
  <si>
    <t>96415-9.12</t>
  </si>
  <si>
    <t>4500175179-60</t>
  </si>
  <si>
    <t>4500175177-50</t>
  </si>
  <si>
    <t>96414-9.12</t>
  </si>
  <si>
    <t>4500175177-60</t>
  </si>
  <si>
    <t>4500173750-40</t>
  </si>
  <si>
    <t>日期码格式：ZURU INC(BVI) 标准格式 日期：按实际生产日期
Packaging Info:
77782GQ1:客版收缩膜+客版收藏指南+客版PDQ+进口商贴纸+箱唛，客版物料翻单PO4500161302
Remark:</t>
  </si>
  <si>
    <t>96400-9.11</t>
  </si>
  <si>
    <t>4500175352-10</t>
  </si>
  <si>
    <t>箱唛资料翻单PO#4500169877</t>
  </si>
  <si>
    <r>
      <rPr>
        <sz val="11"/>
        <rFont val="宋体"/>
        <charset val="134"/>
      </rPr>
      <t>日期码格式：ZURU INC(BVI) 标准格式 日期：按实际生产日期
Packaging Info: MA UPC 包装+客版PDQ+箱唛
箱唛资料,</t>
    </r>
    <r>
      <rPr>
        <sz val="11"/>
        <color rgb="FFFF0000"/>
        <rFont val="宋体"/>
        <charset val="134"/>
      </rPr>
      <t>PDQ翻单PO#4500160492</t>
    </r>
    <r>
      <rPr>
        <sz val="11"/>
        <rFont val="宋体"/>
        <charset val="134"/>
      </rPr>
      <t xml:space="preserve">
Remark: 1.此单出口澳大利亚，请按相应的澳新标准生产；
2.产品和包装上生产批号请按我司标准
3.当同一PO或item有多个批次代码时，每个批次代码的纸箱必须分组在一起，且明显分开</t>
    </r>
  </si>
  <si>
    <t>96438-9.16</t>
  </si>
  <si>
    <t>4500175352-20</t>
  </si>
  <si>
    <t>4500175352-30</t>
  </si>
  <si>
    <t>4500173369-30</t>
  </si>
  <si>
    <t>日期码格式：ZURU INC(BVI) 标准格式 日期：按实际生产日期
Packaging Info:
#77711:
MA2L,PDQ(NA版,25装)+MA2L收缩膜(NA版,UPC:193052080127)+MA2L收藏指南(NA版B版)+MA配件袋+MA5L说明书+MA23L警告语说明书(B)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</si>
  <si>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96439-9.16</t>
  </si>
  <si>
    <t>9/4
IS</t>
  </si>
  <si>
    <t>4500175520-10</t>
  </si>
  <si>
    <t>日期码格式：ZURU INC(BVI) 标准格式 日期：按实际生产日期
Packaging Info: 1.77711GQ1: MA 3L EAN 收缩膜 +1*多语折叠警告语贴纸（翻单4500157858） + MA5L收藏指南+ MA 23L说明书+ MA UV胶黑白警告语 + MA纸袋+MA 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</si>
  <si>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96412-9.12</t>
  </si>
  <si>
    <t>4500175786-10</t>
  </si>
  <si>
    <t>说明书荷兰语贴纸</t>
  </si>
  <si>
    <t>日期码格式：ZURU INC(BVI) 标准格式 日期：按实际生产日期
Packaging Info: 最新MA 3L PDQ+客版收缩膜(英法德callout/英法德意荷警语/法国环保logo)翻单4500155592 +MA23L 说明书+MA 5+23L警语收藏指南+ MA 5L creative说明书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</si>
  <si>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96508-9.23</t>
  </si>
  <si>
    <t>4500175791-10</t>
  </si>
  <si>
    <t>9/14出货</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</si>
  <si>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</si>
  <si>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96434-9.15</t>
  </si>
  <si>
    <t>4500176001-10</t>
  </si>
  <si>
    <t>日期码格式：ZURU INC(BVI) 标准格式 日期：按实际生产日期
Packaging Info: 77711SK1:最新MA 3L EAN收缩膜+最新MA 5L收藏指南+最新MA 23L说明书+最新MA 5L creative+最新MA纸袋+最新MA 2L 展示架+多语警语折叠贴纸（含包装缺失的法/
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</si>
  <si>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96435-9.15</t>
  </si>
  <si>
    <t>4500176001-20</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</si>
  <si>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</si>
  <si>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4500175843-120</t>
  </si>
  <si>
    <t>日期码格式：ZURU INC(BVI) 标准格式 日期：按实际生产日期
Packaging Info: 
7. 77731： 3L UPC铜板纸+进口商贴纸+箱唛，2PK MA 3L 77711 INT版本的球+空白贴纸入PVC桶（两个球的配比不能重复）
除了77731不用加胶袋，剩余款都要按照单个产品入polybag胶袋后再装箱出货，需打孔，胶袋需封口
Remark:</t>
  </si>
  <si>
    <t>96585-2-9.30</t>
  </si>
  <si>
    <t>4500167846-20</t>
  </si>
  <si>
    <t>6/24 与4500167858合并订购</t>
  </si>
  <si>
    <t>日期码格式：ZURU INC(BVI) 标准格式 日期：按实际生产日期
Packaging Info:
2.77711SLB-S001-INT
77711GQ1-S002-INT: MA NA版本1L UPC收缩膜+MA INT 版本5L收藏指南+MA INT版本3L PDQ+MA 23L说明书+其他MA最新包材
UPC#193052080127,请先检查条码是否正确再安排做货
Slip sheet: 13pcs/PDQ/CTN 15*5H=75CTN/SLB=975pcs/Slip Sheet; 一共需要7套slip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</si>
  <si>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96417-9.12</t>
  </si>
  <si>
    <t>4500167858-20</t>
  </si>
  <si>
    <t>9/11入仓</t>
  </si>
  <si>
    <t>6/24 与4500167846合并订购</t>
  </si>
  <si>
    <t>日期码格式：ZURU INC(BVI) 标准格式 日期：按实际生产日期
Packaging Info: 
2. 77711SLB-S001-INT
77711GQ1-S002-INT: MA NA版本1L UPC收缩膜+MA INT 版本5L收藏指南+MA INT版本3L PDQ+MA 23L说明书+其他MA最新包材
UPC#193052080127,请先检查条码是否正确再安排做货
Slip sheet: 13pcs/PDQ/CTN 15*5H=75CTN/SLB=975pcs/Slip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</si>
  <si>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96416-9.12</t>
  </si>
  <si>
    <t>4500175925-110</t>
  </si>
  <si>
    <t>测试</t>
  </si>
  <si>
    <t>96808-8.17</t>
  </si>
  <si>
    <t>4500175925-120</t>
  </si>
  <si>
    <t>4500175924-110</t>
  </si>
  <si>
    <t>96807-8.17</t>
  </si>
  <si>
    <t>4500175924-120</t>
  </si>
  <si>
    <t>4500173789-20</t>
  </si>
  <si>
    <t>2025/8/11外箱消耗PO-4500170676/4500170675/4500170737/4500170741-77555GQ2取消单呆滞的外箱600个，用牛皮纸返工正确信息</t>
  </si>
  <si>
    <t>日期码格式：ZURU INC(BVI) 标准格式 日期：按实际生产日期 Tracking Code: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</si>
  <si>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外箱消耗PO-4500170676/4500170675/4500170737/4500170741-77555GQ2取消单呆滞的外箱600个，用牛皮纸返工正确信息</t>
  </si>
  <si>
    <t>9/15
SI</t>
  </si>
  <si>
    <t>9/12
SI</t>
  </si>
  <si>
    <t>4500174833-30</t>
  </si>
  <si>
    <t>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收件人：Dora shen
电话: +86(0)755 8618 5347</t>
  </si>
  <si>
    <t>日期码格式：ZURU INC(BVI) 标准格式 日期：按实际生产日期
Packaging Info: 1. 包材：出口美国; 贴纸工厂直接采购；
#77731: ZURU MA 1L 收缩膜（球的UPC条码用空白UPC 贴纸覆盖） + 客版1L 铜版纸+ 2L英法版本收藏指南+ 23L说明书 + 价格贴纸（价贴金额$19.99,价贴位于PVC
桶铜版纸UPC条形码附近）,贴纸资料跟单提供，工厂采购，出口美国。
PS： 如果包材有更新，需及时通知跟单看否要更新贴纸资料；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PO#2948279 ship to NJ,
PO#2948280 ship to NV,
5. 出货配比：ZURU 标准配比
6. 测试样板
#77673 和 #77731 需要于8月12日前寄出ZURU MA 版本每款每色2pcs样板做测试（2个#77673 成品 + #77731成品（ 带桶和球） + 散件每款各2整套，每套散件分开
包装） 寄到以下地址做测试：
注： 需打印TRF随样板寄出（TRF由跟单提供）
测试行：BV(必维）
地址：广东省深圳市深圳市龙华区鸿创科技中心4栋1楼
收件人：Grace Li
电话: 86 0755 8618 5344| VOIP(Internal): 4344</t>
  </si>
  <si>
    <t>4500174833-60</t>
  </si>
  <si>
    <t>ZMPO250769</t>
  </si>
  <si>
    <t>Remark:大货最新版本/麻烦按款号装箱/并在外箱上注明款号/大货标准箱装箱/箱唛参照邮件附件;备注：收到样品订单后尽快安排 ，注意样板品质质量要求要高于大货品质要求 ，送货时必须要附带送货单(没有送货单和QC检验合格报告的仓库一律拒绝收货)，请知悉，谢谢！</t>
  </si>
  <si>
    <t>96832-8.17</t>
  </si>
  <si>
    <t>252GF2</t>
  </si>
  <si>
    <t>4500164352-30</t>
  </si>
  <si>
    <t>9.19早上做第三方VT抽样</t>
  </si>
  <si>
    <t>日期码格式：DOLLAR GENERAL 格式日期码 日期：
Packaging Info: 1.包装：
 #77711GQ5-S002-NA-PKC 客版PDQ + 内袋警示语AWS + 客版收缩膜，请有说明书收藏指南等，请优先使用MA 1L。（客版AWs翻4500164261）
Remark: 1.包装：
 #77711GQ5-S002-NA-PKC 客版PDQ + 内袋警示语AWS + 客版收缩膜，请有说明书收藏指南等，请优先使用MA 1L。（客版AWs翻4500164261）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#77711GQ5：31328202I25
 (2)产品日期码：
#77711GQ5：DOLGEN31328202I25（打在球壳上）
 后三位I、J25代表25年9、10月的ETD 。
 （3）UPC条形码：
 #77711GQ5:193052080127
 3. 无价贴。
 4. 无样板需求
 5. 验货抽样事宜：
 #77711GQ5：无第三方验货
 请在9月18前完成ZURU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</si>
  <si>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ZB02189-9.27</t>
  </si>
  <si>
    <t>4500156471-10</t>
  </si>
  <si>
    <t>7/18 更新箱唛资料</t>
  </si>
  <si>
    <t>日期码格式：ZURU INC(BVI) 标准格式 日期：按实际生产日期
Packaging Info: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Remark: 1.ZURU MA UPC 包装(优先使用最新版本1L) + 客版可移动价格贴纸+Mother UPC 贴纸覆盖原有的条码(贴纸AWS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#77711GQ1-S001-NA $16.99
 5.出货配比：
 #77711GQ1-S001-NA-MINI BRANDS-FILL THE FRIDGE-SERIES 1-CAPSULE,13PCS/Gravity PDQ, 52PCS/4PDQ/CTN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</si>
  <si>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4500176521-20</t>
  </si>
  <si>
    <t>4500176746-20</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</si>
  <si>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</si>
  <si>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96559-9.29</t>
  </si>
  <si>
    <t>4500176320-10</t>
  </si>
  <si>
    <t>日期码格式：ZURU INC(BVI) 标准格式 日期：按实际生产日期
Packaging Info: 77711GQ1: MA 3L EAN 收缩膜 +1*多语折叠警告语贴纸（翻单4500157858） + MA 5L收藏指南+ MA 23L说明书+ MA UV胶黑白警告语 + MA纸袋+MA 3L PDQ。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</si>
  <si>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Taylor Liao</t>
  </si>
  <si>
    <t>96796-8.17</t>
  </si>
  <si>
    <t>4500176886-10</t>
  </si>
  <si>
    <t>（1张进口商西班牙环保标贴纸）</t>
  </si>
  <si>
    <t>日期码格式：ZURU INC(BVI) 标准格式 日期：按实际生产日期
Packaging Info: 1.77711GQ1:（MA 3L PDQ+1张PDQ贴纸）+MA 最新3L 收缩膜+（1张进口商西班牙环保标贴纸）+MA5L收藏指南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</si>
  <si>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日期码格式：ZURU INC(BVI) 标准格式 日期：按实际生产日期
Packaging Info:
3.77785 :7最新客版彩盒+一张EAN条码贴纸+一张客户进口商贴纸；
子件77711：最新MA3LEAN收缩膜+一张空白贴纸+最新MA5L收藏指南+最新MA23L说明书+最新MA5L creative+最新MA纸袋；
Remark: 1. 此单出西班牙，需满足EU测试标准要求，另外微塑料需符合EU法规；
2. 标准配比
3.根据新电池法规（EU） 2023/1542，所有走欧洲市场的电子产品，都需要增加WEEE通用30L说明书（分带电池走货 跟
不带电池走货两种），如工厂没有此文件，可以找我们跟单提供
4. 准时完货，需安排ZURU OQC验货。 另外，包装贴纸上面的警告语不可以覆盖西班牙警告语。</t>
  </si>
  <si>
    <t>4500176744-50</t>
  </si>
  <si>
    <t>96507-9.23</t>
  </si>
  <si>
    <t>FB13740</t>
  </si>
  <si>
    <t>4500177198-20</t>
  </si>
  <si>
    <t>日期码格式：ZURU INC(BVI) 标准格式 日期：按实际生产日期
Packaging Info: 
#77711GQ1: MA-3L 配套包装+ 客人EAN贴纸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*订单对应客户2个PO号 ，备注有显示 ，注意分开做货/验货/装柜 ，混装有罚款。
* 大货样： 新款请在CRD前10天寄出每款2整套大货样到罗湖办公室7B Meyya Liu 收，翻单不用寄。"</t>
  </si>
  <si>
    <t>AaronXia</t>
  </si>
  <si>
    <t>96797-8.17</t>
  </si>
  <si>
    <t>PORT:MEL, CUS
PO#47479180</t>
  </si>
  <si>
    <t>4500176603-10</t>
  </si>
  <si>
    <t>翻单4500160492</t>
  </si>
  <si>
    <t>贴纸资料和PDQ翻单PO#4500175352</t>
  </si>
  <si>
    <t>日期码格式：ZURU INC(BVI) 标准格式 日期：按实际生产日期
Packaging Info: MA 3L 包装+客版PDQ+箱唛,加UPC贴纸：193052080134
箱唛翻单PO#4500160492，贴纸资料和PDQ翻单PO#4500175352
Remark: 1.此单出口澳大利亚，请按相应的澳新标准生产；
2.产品和包装上生产批号请按我司标准
3.当同一PO或item有多个批次代码时，每个批次代码的纸箱必须分组在一起，且明显分开</t>
  </si>
  <si>
    <t>96528-9.25</t>
  </si>
  <si>
    <t>PORT:SYD, CUS
PO#47479179</t>
  </si>
  <si>
    <t>4500176603-20</t>
  </si>
  <si>
    <t>PORT:BNE, CUS
PO#47479181</t>
  </si>
  <si>
    <t>4500176603-30</t>
  </si>
  <si>
    <t>4500178130-10</t>
  </si>
  <si>
    <t>8/29 第三方验货</t>
  </si>
  <si>
    <t>ZB02346-10.11</t>
  </si>
  <si>
    <t>ZU25080701SG</t>
  </si>
  <si>
    <t>4500177525-10</t>
  </si>
  <si>
    <t>9月23号出货</t>
  </si>
  <si>
    <t>UPC条码贴纸+1张进口商贴纸,贴纸图稿及位置图翻4500174635</t>
  </si>
  <si>
    <t>日期码格式：ZURU INC(BVI) 标准格式 日期：按实际生产日期
Packaging Info: 77711GQ1使用3L INT版本包装+1张UPC条码贴纸+1张进口商贴纸,贴纸图稿及位置图翻4500174635
Remark: 2.3692%The Original;2.3692%Pepperoni Pizza-Global Version;2.3692%Cheese Pizza-Global Version;2.3692%Hawaiian Pizza-Global Version;2.3692%Big Di
nner Box-Global Version;2.3692%Traditional Wings-Global Version;3.3117%Cooked Loboster;3.3117%Fishes;3.3117%Lamp Chops;3.3117%Broccoli Florets;3
.9658%Eggplant;3.9658%Fruit Tray;3.9658%Oats Jar;3.9658%Kombucha;4.0791%Turmeric Shot;4.0791%Milk;4.0791%Juice;4.0791%Water;1.4215%Cheese Pasta;
1.4215%Mashed Potatoes;1.4215%Honey Deli Ham;1.4215%Deli Turkey;1.8953%Morning Star Farms Sausage Patties;1.8953%Thick Cut Bacon;1.8953%Thick Cu
t Stack Pack;1.9709%Homestyle Waffles;1.9709%Soft Pretzels;1.9709%Pretzel Dogs;0.8241%Chow Mein;0.8241%Broccoli Beef;0.8241%Orange Chicken;0.824
1%Jamoca Almond Fudge Ice Cream;0.9477%Oreo Cookies'N Cream Ice Cream;0.9477%Tropical Punch;0.9477%Classic Grape;0.8241%O-mazing Orange;0.8241%T
he OG;0.8241%Sweet Strawberry;0.8241%Original;0.6249%Unicorn Cake;0.6249%Pancakes;0.6249%Burgers and Fries;0.5686%Sushi;0.5686%Frozen Chicken;0.
5686%Tiramisu;0.5686%Eggs;0.5686%Ice;0.5253%Mini Chocolate;0.5253%Mini Strawberry Vanilla;0.5253%Mini The OG;0.5253%Mini Oreo Cookies'N Cream Ic
e Cream;0.3399%Pudding;0.3399%Pops</t>
  </si>
  <si>
    <t>96516-9.25</t>
  </si>
  <si>
    <t>4500176964-20</t>
  </si>
  <si>
    <t>日期码格式：ZURU INC(BVI) 标准格式 日期：按实际生产日期
Packaging Info:
77711GQ2:最新MA 3L PDQ+客版收缩膜(英法德callout/英法德意荷警语/法国环保logo)翻4500155592 +最新MA 23L 说明书+ MA5L+23L收藏指南+ MA 5L creative说
明书 + creative说明书荷兰语贴纸（翻4500155592）
EAN: 4894680043350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</si>
  <si>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4500177142-20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</si>
  <si>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</si>
  <si>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r>
      <rPr>
        <sz val="11"/>
        <color rgb="FF3E2CEA"/>
        <rFont val="宋体"/>
        <charset val="134"/>
        <scheme val="minor"/>
      </rPr>
      <t>ZB02327(REV1)-10.10</t>
    </r>
    <r>
      <rPr>
        <sz val="11"/>
        <color rgb="FF3E2CEA"/>
        <rFont val="宋体"/>
        <charset val="134"/>
        <scheme val="minor"/>
      </rPr>
      <t xml:space="preserve">  </t>
    </r>
    <r>
      <rPr>
        <sz val="11"/>
        <color rgb="FF3E2CEA"/>
        <rFont val="宋体"/>
        <charset val="134"/>
        <scheme val="minor"/>
      </rPr>
      <t>ZB02387-10.13</t>
    </r>
  </si>
  <si>
    <t>4500177210-10</t>
  </si>
  <si>
    <t>96561-9.29</t>
  </si>
  <si>
    <t>4500177336-10</t>
  </si>
  <si>
    <t>ZB02297-10.9</t>
  </si>
  <si>
    <t>4500177337-10</t>
  </si>
  <si>
    <t>ZB02298-10.9</t>
  </si>
  <si>
    <t>4500174112-20</t>
  </si>
  <si>
    <t>此订单监柜公司会拆箱验货，每个ITEM 包括盲盒款也均需提前准备 一整套产品(完整包装)所有样品必须与 大货完全一致</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</si>
  <si>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77711GQ2,,MA 多语EAN包装+UPC贴纸+MA 多语说明书+MA多语PDQ+进口商贴纸+箱唛,,
Remark: 
77711GQ2,,2.3692%The Original;2.3692%Pepperoni Pizza-Global Version;2.3692%Cheese Pizza-Global Version;2.3692%Hawaiian Pizza-Global Version;2.36
92%Big Dinner Box-Global Version;2.3692%Traditional Wings-Global Version;3.3117%Cooked Loboster;3.3117%Fishes;3.3117%Lamp Chops;3.3117%Broccoli
Florets;3.9658%Eggplant;3.9658%Fruit Tray;3.9658%Oats Jar;3.9658%Kombucha;4.0791%Turmeric Shot;4.0791%Milk;4.0791%Juice;4.0791%Water;1.4215%Che
ese Pasta;1.4215%Mashed Potatoes;1.4215%Honey Deli Ham;1.4215%Deli Turkey;1.8953%Morning Star Farms Sausage Patties;1.8953%Thick Cut Bacon;1.895
3%Thick Cut Stack Pack;1.9709%Homestyle Waffles;1.9709%Soft Pretzels;1.9709%Pretzel Dogs;0.8241%Chow Mein;0.8241%Broccoli Beef;0.8241%Orange Chi
cken;0.8241%Jamoca Almond Fudge Ice Cream;0.9477%Oreo Cookies'N Cream Ice Cream;0.9477%Tropical Punch;0.9477%Classic Grape;0.8241%O-mazing Orang
e;0.8241%The OG;0.8241%Sweet Strawberry;0.8241%Original;0.6249%Unicorn Cake;0.6249%Pancakes;0.6249%Burgers and Fries;0.5686%Sushi;0.5686%Frozen
Chicken;0.5686%Tiramisu;0.5686%Eggs;0.5686%Ice;0.5253%Mini Chocolate;0.5253%Mini Strawberry Vanilla;0.5253%Mini The OG;0.5253%Mini Oreo Cookies
'N Cream Ice Cream;0.3399%Pudding;0.3399%Pops,,</t>
  </si>
  <si>
    <t>客供警语贴纸（具体贴纸位置参考HK客供贴纸位置图）</t>
  </si>
  <si>
    <t>日期码格式：ZURU INC(BVI) 标准格式 日期：按实际生产日期
Packaging Info: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 此单出HK</t>
  </si>
  <si>
    <t>96547-9.27</t>
  </si>
  <si>
    <t>4500160898-10</t>
  </si>
  <si>
    <t>10/9BV验货</t>
  </si>
  <si>
    <t>日期码格式：ZURU INC(BVI) 标准格式 日期：按实际生产日期
Packaging Info: #77711：
MA2L,PDQ(NA版,25装)+MA2L收缩膜(NA版,UPC:193052080127)+MA2L收藏指南(NA版)+MA配件袋+MA5L说明书+MA23L警告语说明书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</si>
  <si>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96706-8.17</t>
  </si>
  <si>
    <t>10001445441-3891</t>
  </si>
  <si>
    <t>4500176566-10</t>
  </si>
  <si>
    <t>ZB02388-10.13</t>
  </si>
  <si>
    <t>10001426607-3890</t>
  </si>
  <si>
    <t>4500176830-20</t>
  </si>
  <si>
    <t>ZB02428-10.14</t>
  </si>
  <si>
    <t>4500177395-10</t>
  </si>
  <si>
    <t>加upc贴纸：193052090157</t>
  </si>
  <si>
    <t>日期码格式：ZURU INC(BVI) 标准格式 日期：按实际生产日期
Packaging Info: 􏁬 MA 3L UPC 英语包装
#77711加upc贴纸：193052090157
Remark: #77711：2.3692%The Original;2.3692%Pepperoni Pizza-Global Version;2.3692%Cheese Pizza-Global Version;2.3692%Hawaiian Pizza-Global Version;2.3692
%Big Dinner Box-Global Version;2.3692%Traditional Wings-Global Version;3.3117%Cooked Loboster;3.3117%Fishes;3.3117%Lamp Chops;3.3117%Broccoli Fl
orets;3.9658%Eggplant;3.9658%Fruit Tray;3.9658%Oats Jar;3.9658%Kombucha;4.0791%Turmeric Shot;4.0791%Milk;4.0791%Juice;4.0791%Water;1.4215%Cheese
Pasta;1.4215%Mashed Potatoes;1.4215%Honey Deli Ham;1.4215%Deli Turkey;1.8953%Morning Star Farms Sausage Patties;1.8953%Thick Cut Bacon;1.8953%T
hick Cut Stack Pack;1.9709%Homestyle Waffles;1.9709%Soft Pretzels;1.9709%Pretzel Dogs;0.8241%Chow Mein;0.8241%Broccoli Beef;0.8241%Orange Chicke
n;0.8241%Jamoca Almond Fudge Ice Cream;0.9477%Oreo Cookies'N Cream Ice Cream;0.9477%Tropical Punch;0.9477%Classic Grape;0.8241%O-mazing Orange;0
.8241%The OG;0.8241%Sweet Strawberry;0.8241%Original;0.6249%Unicorn Cake;0.6249%Pancakes;0.6249%Burgers and Fries;0.5686%Sushi;0.5686%Frozen Chi
cken;0.5686%Tiramisu;0.5686%Eggs;0.5686%Ice;0.5253%Mini Chocolate;0.5253%Mini Strawberry Vanilla;0.5253%Mini The OG;0.5253%Mini Oreo Cookies'N C
ream Ice Cream;0.3399%Pudding;0.3399%Pops
此客人不接受易掉落或者剥落或者可直接触碰的闪粉，可降解也不行，但可以接受符合欧洲微塑料标准的珠光粉或者闪片。</t>
  </si>
  <si>
    <t>96646-8.17</t>
  </si>
  <si>
    <t>4500177395-20</t>
  </si>
  <si>
    <t>96673-8.17</t>
  </si>
  <si>
    <t>4500181195-10</t>
  </si>
  <si>
    <t>4500177657拆单</t>
  </si>
  <si>
    <t>日期码格式：ZURU INC(BVI) 标准格式 日期：按实际生产日期
Packaging Info: 此订单为4500177657的其中一行 ，已完货 ，切勿重复安排，现拆单空运订单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</si>
  <si>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96635-8.17</t>
  </si>
  <si>
    <t>4500177657，
客户PO#4400
505154</t>
  </si>
  <si>
    <t>4500177657-20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</si>
  <si>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</si>
  <si>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96530-9.26</t>
  </si>
  <si>
    <t>4500178210-20</t>
  </si>
  <si>
    <t>不允许延期</t>
  </si>
  <si>
    <t>UPC贴纸和进口商贴纸翻单PO4500164861</t>
  </si>
  <si>
    <t>日期码格式：ZURU INC(BVI) 标准格式 日期：按实际生产日期
Packaging Info:
77711GQ2:MA 3LEAN包装+UPC贴纸+进口商贴纸+外箱贴纸+箱唛，UPC贴纸和进口商贴纸翻单PO4500164861
Remark: 此单有第三方监柜，需要每款多备1套完整物料</t>
  </si>
  <si>
    <t>日期码格式：ZURU INC(BVI) 标准格式 日期：按实际生产日期
Packaging Info: 77785：MA 3L UPC 彩盒包装 + 箱唛 + 外箱贴纸SSCC Label
子件77711:3L 客版无条码收缩膜+MA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</si>
  <si>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日期码格式：ZURU INC(BVI) 标准格式 日期：按实际生产日期
Packaging Info: 77785：MA 3L UPC 彩盒包装 + 箱唛 + 外箱贴纸SSCC Label
子件77711:3L 客版无条码收缩膜+MA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</si>
  <si>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4500177236-30</t>
  </si>
  <si>
    <t>一张UPC条码贴+ 防盗贴纸（两款贴纸以及防盗贴纸位置图翻单PO#4500160026）+ 箱唛 + 外箱贴纸SSCC L</t>
  </si>
  <si>
    <t>96625-8.17</t>
  </si>
  <si>
    <t>4500177240-30</t>
  </si>
  <si>
    <t>96626-8.17</t>
  </si>
  <si>
    <t>4500177765-20</t>
  </si>
  <si>
    <t>8/29 更新</t>
  </si>
  <si>
    <t>客户EAN条码贴纸覆盖原条码位置, EAN贴纸返单4500177198</t>
  </si>
  <si>
    <t>日期码格式：ZURU INC(BVI) 标准格式 日期：按实际生产日期
Packaging Info: 
SKU#77711GQ1:MA-3L 配套包装+ 客户EAN条码贴纸覆盖原条码位置, EAN贴纸返单4500177198，条码请核对5056296049471
Remark: "文本备注：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*根据客人最新的包装要求，所有PDQ盒子(TQ,UQ,GQ）都需要在顶部右上角加上数量贴纸标明里面的数量。最小字体：36pts, 字体：Calibri（bold), 具体要求以
及位置见文件.
*订单对应客户1个PO号 ，备注有显示 ，注意分开做货/验货/装柜 ，混装有罚款。
* 大货样： 新款请在CRD前10天寄出每款2整套大货样到罗湖办公室7B Meyya Liu 收，翻单不用寄。"</t>
  </si>
  <si>
    <t>4500178109-30</t>
  </si>
  <si>
    <t>日期码格式：ZURU INC(BVI) 标准格式 日期：按实际生产日期
Packaging Info:
3.77711GQ2:最新MA 3L EAN版本包装+一张客户警语贴纸（含环保标）+MA 5L 收藏指南+MA 3L PDQ；
Remark: 1.此单出西班牙市场，需满足EU测试标准要求，微塑料需符合EU法规。
2.此单LC条款，延迟出货有罚款；
3.此单每款产品各寄一套大货样到深圳办公室，请注意备料；</t>
  </si>
  <si>
    <t>4500178136-10</t>
  </si>
  <si>
    <t>ZB02386-10.13</t>
  </si>
  <si>
    <t>4500178136-20</t>
  </si>
  <si>
    <t>ZB02326-10.10</t>
  </si>
  <si>
    <t>4500178136-30</t>
  </si>
  <si>
    <t>ZB02300-10.9</t>
  </si>
  <si>
    <t>4500178136-60</t>
  </si>
  <si>
    <t>ZB02299-10.9</t>
  </si>
  <si>
    <t>4500178136-70</t>
  </si>
  <si>
    <t>ZB02427-10.14</t>
  </si>
  <si>
    <t>2张贴纸(1张UPC#，参考翻单PO#4500158582；1张可折叠警语
贴含德意警告语+IT环保标，参考翻单PO#4500157858)+WEEE电子产品说明书30L(带电池走货B版)新增+1张贴纸（SPIELZEUGPREIS ALLES FÜRS KINDERHERZ，仅出DE需要,参考翻单PO#4500166480);,SSCC贴纸由工厂直接跟勤得采购或者工厂自行采购，</t>
  </si>
  <si>
    <t>77785-S001-INT-2-77711</t>
  </si>
  <si>
    <t>CUS
PO#4400508718</t>
  </si>
  <si>
    <t>4500179309-10</t>
  </si>
  <si>
    <t>creative说
 明书荷兰语贴纸（所有资料翻#4500155592）</t>
  </si>
  <si>
    <r>
      <rPr>
        <sz val="11"/>
        <rFont val="宋体"/>
        <charset val="134"/>
      </rPr>
      <t xml:space="preserve">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t>
    </r>
    <r>
      <rPr>
        <sz val="11"/>
        <color rgb="FFFF0000"/>
        <rFont val="宋体"/>
        <charset val="134"/>
      </rPr>
      <t>EAN: 4894680043350</t>
    </r>
    <r>
      <rPr>
        <sz val="11"/>
        <rFont val="宋体"/>
        <charset val="134"/>
      </rPr>
      <t xml:space="preserve">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r>
  </si>
  <si>
    <t>96933-11.11</t>
  </si>
  <si>
    <t>4500178421-10</t>
  </si>
  <si>
    <t>大货样品/item，请多备料。</t>
  </si>
  <si>
    <t>日期码格式：ZURU INC(BVI) 标准格式 日期：按实际生产日期
Packaging Info: 77711GQ1: MA EAN 收缩膜3L-A版本（+德意警语贴纸） +MA纸袋+MA GLOBUS 5L-B版本+MA B版警告语说明书23L+MA CREATIVE 5L-A版本+MA UV GLUE lable贴纸+MAP
DQ3L-A版本
Remark: 2. 大货样品/item，请多备料。
3.延期出货会有罚款，请务必按时完货。
4.客人要求飞机孔的尺寸为3.0-3.2 cm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t>
  </si>
  <si>
    <t>96618-8.17</t>
  </si>
  <si>
    <t>4500178095-120</t>
  </si>
  <si>
    <t>日期码格式： 标准格式 日期：按实际生产日期
Packaging Info: MA UPC包装(优先1L)+1张进口商贴纸,待提供贴纸资料;
4.77803GQ2是基于STD版本77711GQ2-S001-INT建立的客制spec,移除掉了提到猪肉"pork"的2个minis和4个有license的minis：Veggie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客版PDQ+收藏指南跟回拉美的订单4500161302,但是收藏指南要加贴纸遮住以下两个LOGOs,贴纸资料见邮件附件;
Veggie Original Sausage Patties(Contains pork words)
Singles The Original- Pepperoni (Contains pork words)
5.因为此客人进口商贴纸是通用的（除了那些加了UPC条码的），只可能因为item不同尺寸会有差别，如果发现尺寸一样就请统一订购节省成本。
整单的贴纸图稿及位置图待提供
Remark:
77803GQ2-PRODCC-INT</t>
  </si>
  <si>
    <t>96805-8.17</t>
  </si>
  <si>
    <t>4500177606-10</t>
  </si>
  <si>
    <t>10/9 BV验货</t>
  </si>
  <si>
    <t>日期码格式：ZURU INC(BVI) 标准格式 日期：按实际生产日期
Packaging Info: #77711:
MA2L,PDQ(NA版,25装)+MA2L收缩膜(NA版,UPC:193052080127)+MA2L收藏指南(NA版B版)+MA配件袋+MA5L说明书+MA23L警告语说明书(B)
Remark: 1. 此单有箱唛;
2.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</si>
  <si>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96705-8.17</t>
  </si>
  <si>
    <t>10001445437-3890</t>
  </si>
  <si>
    <t>4500176564-10</t>
  </si>
  <si>
    <t>ZB02524-10.20</t>
  </si>
  <si>
    <t>4500178137-10</t>
  </si>
  <si>
    <t>消耗手工单MO20250710</t>
  </si>
  <si>
    <t>ZB02426-10.14</t>
  </si>
  <si>
    <t>4500178337-20</t>
  </si>
  <si>
    <t>警告语/进口商贴纸（翻单4500164226）+丹麦/瑞典/芬兰/挪威
语警告语贴纸（贴纸袋）</t>
  </si>
  <si>
    <t>日期码格式：ZURU INC(BVI) 标准格式 日期：按实际生产日期
Packaging Info: 
77711GQ2-S002-INT:MA 3L EAN A版收缩膜+MA 3L PDQ+MA 5L(23L warning)收藏指南+MA 23L说明书+警告语/进口商贴纸（翻单4500164226）+丹麦/瑞典/芬兰/挪威
语警告语贴纸（贴纸袋）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</si>
  <si>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4500176570-20</t>
  </si>
  <si>
    <t>reative说明书荷兰语贴纸(翻单4500155592）</t>
  </si>
  <si>
    <t>日期码格式：ZURU INC(BVI) 标准格式 日期：按实际生产日期
Packaging Info:
77711GQ2:最新MA 3L PDQ+客版收缩膜(英法德callout/英法德意荷警语/法国环保logo)翻单4500155592 +MA23L 说明书+MA 5+23L警语收藏指南+ MA 5L creative说
明书 + creative说明书荷兰语贴纸(翻单4500155592）
EAN: 4894680043350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</si>
  <si>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4500177974-70</t>
  </si>
  <si>
    <t>外箱贴纸，UPC条码贴+ 防盗贴纸（两款贴纸以及防盗贴纸位置图翻单PO#4500160026）</t>
  </si>
  <si>
    <t>96681-8.17</t>
  </si>
  <si>
    <t>4500177972-70</t>
  </si>
  <si>
    <t>96680-8.17</t>
  </si>
  <si>
    <t>4500178223-10</t>
  </si>
  <si>
    <t>日期码格式：ZURU INC(BVI) 标准格式 日期：按实际生产日期
Packaging Info: 77711GQ1: MA 3L EAN 收缩膜 +1*多语折叠警告语贴纸（翻单4500157858） + MA5L收藏指南+ MA 23L说明书+ MA UV胶黑白警告语 + MA纸袋+MA A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</si>
  <si>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4500178155-50</t>
  </si>
  <si>
    <t>日期码格式：ZURU INC(BVI) 标准格式 日期：按实际生产日期
Packaging Info: 
77711GQ2：A 版 3L MA 收缩膜+进口商贴纸（翻4500164995）+UPC 条码贴纸（翻4500164995）；A 版3L MA PDQ/B 版 5L MA 收藏指南
Remark: 1、若产品有比例使用ZURU STD 比例
2、所有item 均用MA UPC 条码，若包装不是UPC 条码的请告知
3、此单出欧洲需满足EU测试标准要求</t>
  </si>
  <si>
    <t>96770-8.17</t>
  </si>
  <si>
    <t>4500178243-20</t>
  </si>
  <si>
    <t>通用UPC条码贴纸（UPC#193052080134）+1张客人通用进口商贴纸（翻单4500159576）</t>
  </si>
  <si>
    <t>日期码格式：ZURU INC(BVI) 标准格式 日期：按实际生产日期
Packaging Info:
77711GQ2： MA 3L EAN 包装+1张通用UPC条码贴纸（UPC#193052080134）+1张客人通用进口商贴纸（翻单4500159576）
Remark: 1.按实际生产日期;
2.出澳大利亚，请按照相应标准生产;</t>
  </si>
  <si>
    <t>96676-8.17</t>
  </si>
  <si>
    <t>4500178827-10</t>
  </si>
  <si>
    <t>96691-8.17</t>
  </si>
  <si>
    <t>4500178827-20</t>
  </si>
  <si>
    <t>4500178827-30</t>
  </si>
  <si>
    <t>4500178665-10</t>
  </si>
  <si>
    <t>警告语/进口商贴纸（翻单4500164226）+丹麦/瑞典/芬兰/挪威
语警告语贴纸（贴纸袋）（翻单4500178337）</t>
  </si>
  <si>
    <t>日期码格式：ZURU INC(BVI) 标准格式 日期：按实际生产日期
Packaging Info: 77711GQ2-S002-INT:MA 3L EAN A版收缩膜+MA 3L PDQ+MA 5L(23L warning)收藏指南+MA 23L说明书+警告语/进口商贴纸（翻单4500164226）+丹麦/瑞典/芬兰/挪威
语警告语贴纸（贴纸袋）（翻单4500178337）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77711GQ2-S002-INT:4894680043350</t>
  </si>
  <si>
    <t>96700-8.17</t>
  </si>
  <si>
    <t>4500178892-10</t>
  </si>
  <si>
    <t>日期码格式：ZURU INC(BVI) 标准格式 日期：按实际生产日期
Packaging Info: MA 2L NA 版 UPC版
Remark: 出加拿大
Zuru验货.日期跟踪码：产品外包装及产品本身都必须有日期跟踪码，ZURU标准格式日期码</t>
  </si>
  <si>
    <t>96682-8.17</t>
  </si>
  <si>
    <t>4500177930-40</t>
  </si>
  <si>
    <t>UPC 条码贴纸,UPC显示：193052080127；翻单4500165084</t>
  </si>
  <si>
    <t>日期码格式：ZURU INC(BVI) 标准格式 日期：按实际生产日期
Packaging Info: 1. 包装方式：MA UPC 优先1L 最新包装，出口美国；
Remark: 2. 产品和包装上印刷tracking code信息，格式为ZURU常规；
3. ZURU QC 验货合格后即可出货;
4.#77711GQ2-S002-NA PDQ上需要贴一张UPC 条码贴纸,UPC显示：193052080127；翻单4500165084，贴纸工厂自行采购;</t>
  </si>
  <si>
    <t>ZB02687-10.29</t>
  </si>
  <si>
    <t>4500177891-40</t>
  </si>
  <si>
    <t>ZB02686-10.29</t>
  </si>
  <si>
    <t>4500179231-10</t>
  </si>
  <si>
    <t>日期码格式：ZURU INC(BVI) 标准格式 日期：按实际生产日期
Packaging Info: 1.77711GQ1:（MA 最新3L PDQ+1张PDQ贴纸）+MA 最新3L 收缩膜+（1张进口商西班牙环保标贴纸）+MA 最新5L收藏指南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以找我们跟单提供
4. 产品及包装需要印CE logo图标，包装需含有西班牙环保标 &lt;(&gt;&amp;&lt;)&gt; ZURU France地址信息， 另外，包装贴纸上面的警告语不可以覆盖西班牙警告语。QC同事请
核查，如有问题需和跟单确认。
5.77673 看是否可以改善CRD10/23，客户要求船期在10月底前</t>
  </si>
  <si>
    <t>4500181466-20</t>
  </si>
  <si>
    <t>消耗4500177606订单</t>
  </si>
  <si>
    <t>日期码格式：ZURU INC(BVI) 标准格式 日期：按实际生产日期
Packaging Info: 
"#77711:消耗4500177606订单
MA2L,PDQ(NA版,25装)+MA2L收缩膜(NA版,UPC:193052080127)+MA2L收藏指南(NA版B版)+MA配件袋+MA5L说明书+MA23L警告语说明书(B)"
Remark: 出加拿大
Zuru验货.日期跟踪码：产品外包装及产品本身都必须有日期跟踪码，ZURU标准格式日期码。（箱唛日期码按跟单提供格式）</t>
  </si>
  <si>
    <t>4500179215-10</t>
  </si>
  <si>
    <t>10/24 第三方验货</t>
  </si>
  <si>
    <t>日期码格式：ZURU INC(BVI) 标准格式 日期：按实际生产日期
Packaging Info: #77711:
MA2L,PDQ(NA版,25装)+MA2L收缩膜(NA版,UPC:193052080127)+MA2L收藏指南(NA版B版)+MA配件袋+MA5L说明书+MA23L警告语说明书(B)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</si>
  <si>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96843-11.1</t>
  </si>
  <si>
    <t>CUS
PO#4400508716</t>
  </si>
  <si>
    <t>4500179307-10</t>
  </si>
  <si>
    <t>日期码格式：ZURU INC(BVI) 标准格式 日期：按实际生产日期
Packaging Info: 77711GQ2: 最新MA PDQ(优先3L)+客版收缩膜(英法德callout/英法德意荷警语/法国环保logo) +23L说明书+5-23L警语收藏指南+MA 5L creative说明书+creative说
明书荷兰语贴纸（所有资料翻#4500155592）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</si>
  <si>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96728-8.17</t>
  </si>
  <si>
    <t>4500179432-10</t>
  </si>
  <si>
    <t>10/25 交仓</t>
  </si>
  <si>
    <t>日期码格式：ZURU INC(BVI) 标准格式 日期：按实际生产日期
Packaging Info: 77711: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Remark: *MA包装按最新版本安排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</si>
  <si>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96746-8.17</t>
  </si>
  <si>
    <t>AMERICAN WHOLESALE BOOK CO. ,INC.</t>
  </si>
  <si>
    <t>4500179630-30</t>
  </si>
  <si>
    <t>价格贴纸 (翻单，同4500132142). 出口美国。</t>
  </si>
  <si>
    <t>日期码格式：ZURU INC(BVI) 标准格式 日期：按实际生产日期
Packaging Info: 1. MA, UPC版包装，优先1L + 价格贴纸 (翻单，同4500132142). 出口美国。
Remark: 1.产品和包装上需要印刷tracking code信息且两者印刷的内容必须一致, 为ZURU常规格式。
2.ZURU QC 验货。</t>
  </si>
  <si>
    <t>ZB02564-10.23</t>
  </si>
  <si>
    <t>ZMPO250685</t>
  </si>
  <si>
    <t>50套散件</t>
  </si>
  <si>
    <t>Remark：大货最新版本/只需要齐套散件/麻烦用胶袋分装好一套为一袋/箱唛参照邮件附件，备注：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</si>
  <si>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96600-9.30</t>
  </si>
  <si>
    <t>Remark：大货最新版本/只需要齐套散件/麻烦用胶袋分装好一套为一袋/箱唛参照邮件附件；备注：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</si>
  <si>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ZMPO250796</t>
  </si>
  <si>
    <t>50个空球</t>
  </si>
  <si>
    <t>Remark：大货版本/只需要收缩好膜的空球/球里面不需要放公仔；备注： 收到样品订单后尽快安排 ，此订单麻烦在外箱上备注是海运订单/注意样板品质质量要求要高于大货品质质量 ，送货时必须要附带送货单(没有送货单和QC检验合格报告的仓库一律拒绝收货)，请知悉，谢谢！</t>
  </si>
  <si>
    <t>96601-9.30</t>
  </si>
  <si>
    <t>ZMPO250857</t>
  </si>
  <si>
    <t>Remark:大货版本/只需要50PCS成品球，不需要PDQ;备注： 收到样品订单后尽快安排 /谢谢！</t>
  </si>
  <si>
    <t>96834-8.17</t>
  </si>
  <si>
    <t>The Entertainer</t>
  </si>
  <si>
    <t>MPO03744</t>
  </si>
  <si>
    <t>空白箱</t>
  </si>
  <si>
    <t>Remark: MA-3L 配套包装+ 客户EAN条码贴纸覆盖原条码位置</t>
  </si>
  <si>
    <t>Meyya Liu,Aaron Xia</t>
  </si>
  <si>
    <t>97098-11.29</t>
  </si>
  <si>
    <t>4500179341-80</t>
  </si>
  <si>
    <t>一张UPC条码贴+ 防盗贴纸（两款贴纸以及防盗贴纸位置图翻单PO#4500160026）+ 箱唛 + 外箱贴纸SSCC L
 abel</t>
  </si>
  <si>
    <t>96772-8.17</t>
  </si>
  <si>
    <t>4500179341-100</t>
  </si>
  <si>
    <t>4500179340-80</t>
  </si>
  <si>
    <t>96773-8.17</t>
  </si>
  <si>
    <t>4500179340-100</t>
  </si>
  <si>
    <t>4500178273-20</t>
  </si>
  <si>
    <t>4500179405-10</t>
  </si>
  <si>
    <t>MO20250904手工单转实单</t>
  </si>
  <si>
    <t>ZB02512-10.20</t>
  </si>
  <si>
    <t>4500179405-20</t>
  </si>
  <si>
    <t>ZB02498-10.18</t>
  </si>
  <si>
    <t>4500179405-30</t>
  </si>
  <si>
    <t>ZB02513-10.20</t>
  </si>
  <si>
    <t>4500179405-40</t>
  </si>
  <si>
    <t>ZB02514-10.20</t>
  </si>
  <si>
    <t>10/25入仓</t>
  </si>
  <si>
    <t>新增+1张贴纸（SPIELZEUGPREIS ALLES FÜRS KINDERHERZ，仅出DE需要,参考翻单PO#4500166480)</t>
  </si>
  <si>
    <t>10/27出货</t>
  </si>
  <si>
    <t>WM MORRISON SUPERMARKETS LIMITED</t>
  </si>
  <si>
    <t>4500178200-20</t>
  </si>
  <si>
    <t>日期码格式：ZURU INC(BVI) 标准格式 日期：按实际生产日期
Packaging Info: 
2. 77711GQ1-S003-INT：MA 3L收缩膜+一张UPC条码贴纸（UPC#193052080134）+MA 3L PDQ+其他最新MA包装;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10.做货前请先复核包装条码与订单是否一致再安排，对不上的需与ZURU跟单确认再安排。</t>
  </si>
  <si>
    <t>96855-11.3</t>
  </si>
  <si>
    <t>10001502358-3891</t>
  </si>
  <si>
    <t>4500178501-10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</si>
  <si>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PDQ；收缩膜上的UPC显示193052080127；77711GQ2外箱优先消耗完PO-4500170676/4500170675/4500170737/4500170741-77555GQ2取消单呆滞的外箱，用贴纸返工正确信息；
2取消单呆滞的外箱，用贴纸返工正确信息；
3. 外箱正唛左上角位置粘贴条码箱贴纸，每箱只贴一张，由ZURU订购。来料贴纸上显示的客户DPCI# 086-02-9357, UPC显示10193052080124;
4. 产品和包装上印刷 tracking code信息，格式为ZURU常规格式;
5. 出货方式：货代自提</t>
  </si>
  <si>
    <r>
      <rPr>
        <sz val="11"/>
        <color rgb="FF3E2CEA"/>
        <rFont val="宋体"/>
        <charset val="134"/>
        <scheme val="minor"/>
      </rPr>
      <t>ZB02537-10.21</t>
    </r>
    <r>
      <rPr>
        <sz val="11"/>
        <color rgb="FF3E2CEA"/>
        <rFont val="宋体"/>
        <charset val="134"/>
        <scheme val="minor"/>
      </rPr>
      <t xml:space="preserve">  </t>
    </r>
    <r>
      <rPr>
        <sz val="11"/>
        <color rgb="FF3E2CEA"/>
        <rFont val="宋体"/>
        <charset val="134"/>
        <scheme val="minor"/>
      </rPr>
      <t>ZB02561-10.23</t>
    </r>
  </si>
  <si>
    <t>4500178548-10</t>
  </si>
  <si>
    <t>日期码格式：ZURU INC(BVI) 标准格式 日期：按实际生产日期
Packaging Info: 77711GQ2：NA 2L UPC版
Remark: 出加拿大
Zuru验货.日期跟踪码：产品外包装及产品本身都必须有日期跟踪码，ZURU标准格式日期码</t>
  </si>
  <si>
    <t>96756-8.17</t>
  </si>
  <si>
    <t>4500179170-10</t>
  </si>
  <si>
    <t>1张UPC条码贴纸(条码193052080134)覆盖原EAN条码+1张进口商贴纸,1张进口商贴纸,贴纸图稿及位置图翻4500167360</t>
  </si>
  <si>
    <t>日期码格式：ZURU INC(BVI) 标准格式 日期：按实际生产日期
Packaging Info: MA UPC包装(优先1L)+1张进口商贴纸,贴纸图稿及位置图翻4500167360;
77711GQ2-MA EAN包装(3L)+1张UPC条码贴纸(条码193052080134)覆盖原EAN条码+1张进口商贴纸,条码贴纸图稿同样翻以上订单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</si>
  <si>
    <t>HLL-PO-000015
760</t>
  </si>
  <si>
    <t>4500178312-50</t>
  </si>
  <si>
    <t>日期码格式：ZURU INC(BVI) 标准格式 日期：按实际生产日期
Packaging Info: 
77711:MA 3L最新EAN包装+UPC贴纸，UPC:193052080134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</si>
  <si>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96916-11.10</t>
  </si>
  <si>
    <t>PO-41336090</t>
  </si>
  <si>
    <t>4500178510-10</t>
  </si>
  <si>
    <t>ZB02661-10.27</t>
  </si>
  <si>
    <t>4500178926-30</t>
  </si>
  <si>
    <t>96722-8.17</t>
  </si>
  <si>
    <t>4500178925-30</t>
  </si>
  <si>
    <t>96721-8.17</t>
  </si>
  <si>
    <t>4500178606-20</t>
  </si>
  <si>
    <t>挪威语警语贴纸(翻单4500162231)</t>
  </si>
  <si>
    <t>日期码格式：ZURU INC(BVI) 标准格式 日期：按实际生产日期
Packaging Info: 
77711GQ2:MA EAN 3L+挪威语警语贴纸(翻单4500162231)
Remark: 1/ 工厂货号-客户货号-彩盒条码-外箱条码
77711GQ2-7254555-4894680043350-10193052080131
2/ 产品和包装要求无硼无香，包装不能含有PVC
3/ 如有微塑料，必须合规欧洲标准，闪粉也是微塑料的一种，目前仅接受三张方式1.去除，2.用可降解材料，和3. 永久封印在固体。
4/ 此订单有第三方验货, 77711的签样用于上单4500162231
5.带电池出货的产品所用到的电池需要符合欧洲电池新规(EU)2023-1542；</t>
  </si>
  <si>
    <t>96875-11.5</t>
  </si>
  <si>
    <t>4500179417-10</t>
  </si>
  <si>
    <t>ZB02493-10.18</t>
  </si>
  <si>
    <t>4500179417-20</t>
  </si>
  <si>
    <t>ZB02511-10.20</t>
  </si>
  <si>
    <t>4500179417-30</t>
  </si>
  <si>
    <t>ZB02497-10.18</t>
  </si>
  <si>
    <t>4500179943-10</t>
  </si>
  <si>
    <t>10/20 自检</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</si>
  <si>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
7.此单预计会安排空运</t>
  </si>
  <si>
    <t>ZB02552-10.23</t>
  </si>
  <si>
    <t>4500179943-50</t>
  </si>
  <si>
    <t>10/21 自检</t>
  </si>
  <si>
    <t>ZB02540-10.22</t>
  </si>
  <si>
    <t>4500178401-20</t>
  </si>
  <si>
    <t>日期码格式：ZURU INC(BVI) 标准格式 日期：按实际生产日期
Packaging Info:
77711SK1:最新MA 3L EAN收缩膜+最新MA 5L收藏指南+最新MA 23L说明书+最新MA 5L creative+最新MA纸袋+最新MA 展示架+多语警语折叠贴纸（含包装缺失的法/意/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</si>
  <si>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4500178401-30</t>
  </si>
  <si>
    <t>请每款寄一套给Lisa Yang 用于上传西班牙网站, 以下是地址和联系方式，样品相关细节请与Lisa沟通@Lisa Yang - Merchandising &lt;(&gt;&amp;&lt;)&gt; Operations &lt;(&gt;</t>
  </si>
  <si>
    <t>外箱/产品/包装 保持一致，完货后提供date code 信息以便我们保存记录做批次管理</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</si>
  <si>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</si>
  <si>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</si>
  <si>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EAN贴纸（翻4500163212）</t>
  </si>
  <si>
    <t>日期码格式：ZURU INC(BVI) 标准格式 日期：按实际生产日期
Packaging Info: 
"77785:最新客版彩盒+EAN贴纸（翻4500163212）
子件77711：最新MA3LEAN收缩膜（EAN用空白贴纸盖住）+最新MA5L收藏指南+最新MA23L说明书+最新MA5Lcreative+最新MA纸袋+多语警语折叠贴纸（含包装缺失的法/
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</si>
  <si>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77785-S001-INT-77711</t>
  </si>
  <si>
    <t>4500178799-50</t>
  </si>
  <si>
    <t>日期码格式：ZURU INC(BVI) 标准格式 日期：按实际生产日期
Packaging Info:
77803GQ2: 包装客版 EAN收缩膜+进口商贴纸，客版PDQ，收缩膜EAN条码显示4894680052178，产品年龄8+；
客人箱唛排版，印4面，条码内容4894680052178;
Remark:</t>
  </si>
  <si>
    <t>A97467-1.7</t>
  </si>
  <si>
    <t>4500179943-40</t>
  </si>
  <si>
    <t>10/25 BV验货</t>
  </si>
  <si>
    <t>ZB02696-10.30</t>
  </si>
  <si>
    <t>4500179943-20</t>
  </si>
  <si>
    <t>10/28 BV验货</t>
  </si>
  <si>
    <t>ZB02704-10.31</t>
  </si>
  <si>
    <t>4500179943-70</t>
  </si>
  <si>
    <t>ZB02695-10.30</t>
  </si>
  <si>
    <t>4500179943-30</t>
  </si>
  <si>
    <t>ZB02694-10.30</t>
  </si>
  <si>
    <t>4500179943-60</t>
  </si>
  <si>
    <t>ZB02705-10.31</t>
  </si>
  <si>
    <t>CUS
PO#4400510655</t>
  </si>
  <si>
    <t>4500179859-10</t>
  </si>
  <si>
    <t>cre
 ative说明书荷兰语贴纸(翻单4500155592）</t>
  </si>
  <si>
    <t>日期码格式：ZURU INC(BVI) 标准格式 日期：按实际生产日期
Packaging Info: 最新MA 3L PDQ+客版收缩膜(英法德callout/英法德意荷警语/法国环保logo)翻单4500155592 +MA23L 说明书+MA 5+23L警语收藏指南+ MA 5L creative说明书 + cre
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</si>
  <si>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96771-8.17</t>
  </si>
  <si>
    <t>OSIRIS INC.</t>
  </si>
  <si>
    <t>4500179765-10</t>
  </si>
  <si>
    <t>期码格式：ZURU INC(BVI) 标准格式 日期：按实际生产日期
Packaging Info: MA 2L NA版
Remark: 出加拿大
Zuru验货.日期跟踪码：产品外包装及产品本身都必须有日期跟踪码，ZURU标准格式日期码</t>
  </si>
  <si>
    <t>96867-11.4</t>
  </si>
  <si>
    <t>10001502356-3890</t>
  </si>
  <si>
    <t>4500178842-10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</si>
  <si>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产品和包装上印刷 tracking code信息，格式为ZURU常规格式;
5. 出货方式：货代自提</t>
  </si>
  <si>
    <t>ZB02857-11.8</t>
  </si>
  <si>
    <t>CUS
PO#4400508717</t>
  </si>
  <si>
    <t>4500179306-10</t>
  </si>
  <si>
    <t>日期码格式：ZURU INC(BVI) 标准格式 日期：按实际生产日期
Packaging Info: 77711GQ2：最新MA PDQ(优先3L)+客版收缩膜(英法德callout/英法德意荷警语/法国环保logo) +23L说明书+5-23L警语收藏指南+MA 5L creative说明书+creative说
明书荷兰语贴纸（所有资料翻#4500155592）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</si>
  <si>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96856-11.3</t>
  </si>
  <si>
    <t>AG250221-HK</t>
  </si>
  <si>
    <t>4500179824-10</t>
  </si>
  <si>
    <t>1张UPC 条码贴纸++HK客供警语贴纸</t>
  </si>
  <si>
    <t>日期码格式：ZURU INC(BVI) 标准格式 日期：按实际生产日期
Packaging Info: 此单出HK
77711GQ1 （INT): MA 3L 收缩膜+1张UPC 条码贴纸+ MA 3L PDQ+MA 5L 收藏指南+HK客供警语贴纸
（1张贴球底部，1张贴说明书，1张贴收藏指南）具体参考HK客供警语贴纸位置图
Remark:</t>
  </si>
  <si>
    <t>96882-11.6</t>
  </si>
  <si>
    <t>4500179977-10</t>
  </si>
  <si>
    <t>96880-11.6</t>
  </si>
  <si>
    <t>4500179979-10</t>
  </si>
  <si>
    <t>96881-11.6</t>
  </si>
  <si>
    <t>4500180349-10</t>
  </si>
  <si>
    <t>10/31 自检</t>
  </si>
  <si>
    <t>ZB02805-11.4</t>
  </si>
  <si>
    <t>4500180349-20</t>
  </si>
  <si>
    <t>ZB02856-11.8</t>
  </si>
  <si>
    <t>4500180349-30</t>
  </si>
  <si>
    <t>11/4 SI</t>
  </si>
  <si>
    <t>ZB02804-11.4</t>
  </si>
  <si>
    <t>4500180349-40</t>
  </si>
  <si>
    <t>4500180349-50</t>
  </si>
  <si>
    <t>ZB02803-11.4</t>
  </si>
  <si>
    <t>4500180349-60</t>
  </si>
  <si>
    <t>ZB02802-11.4</t>
  </si>
  <si>
    <t>4500179713-30</t>
  </si>
  <si>
    <t>瑞典芬兰爱沙尼亚语警告语/MADE IN CHINA翻译成瑞典芬兰爱沙尼亚语言做成一张贴纸(贴纸和位置图翻 PO#4500161573)，瑞典芬兰爱沙尼亚语警告语贴在纸袋子上(贴纸和位置图翻SOK PO#4500160378)</t>
  </si>
  <si>
    <t>日期码格式：ZURU INC(BVI) 标准格式 日期：按实际生产日期
Packaging Info: 
3. 77711GQ1: MA 3L EAN版收缩膜+瑞典芬兰爱沙尼亚语警告语/MADE IN CHINA翻译成瑞典芬兰爱沙尼亚语言做成一张贴纸(贴纸和位置图翻 PO#4500161573)+MA pa
per bag+瑞典芬兰爱沙尼亚语警告语贴在纸袋子上(贴纸和位置图翻SOK PO#4500160378)+MA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77711GQ1-S002-INT:4894680043350</t>
  </si>
  <si>
    <t>96893-11.8</t>
  </si>
  <si>
    <t>4500180174-90</t>
  </si>
  <si>
    <t>款号条码贴纸+折叠贴纸</t>
  </si>
  <si>
    <t>日期码格式：ZURU INC(BVI) 标准格式 日期：按实际生产日期
Packaging Info: 
77711GQ2:3L MA包装+款号条码贴纸+折叠贴纸; MA PDQ
Remark: 1. STD配比
2. 出欧洲，微塑料需合规（如item本身不含微塑料 则忽略此要求）</t>
  </si>
  <si>
    <t>96914-11.10</t>
  </si>
  <si>
    <t>777 4JAN26</t>
  </si>
  <si>
    <t>4500180233-70</t>
  </si>
  <si>
    <t>1张UPC贴纸（UPC#193052080134）</t>
  </si>
  <si>
    <t>日期码格式：ZURU INC(BVI) 标准格式 日期：按实际生产日期
Packaging Info: MA 最新UPC包装，各款的条码如下，请先检查条码是否正确再安排做货，如有问题请告知,配比跟MA
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</si>
  <si>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97005-11.24</t>
  </si>
  <si>
    <t>4500180284-10</t>
  </si>
  <si>
    <t>11/6 按客人格式出自检报告</t>
  </si>
  <si>
    <t>一张西班牙环保标和客户进口商贴纸</t>
  </si>
  <si>
    <t>日期码格式：ZURU INC(BVI) 标准格式 日期：按实际生产日期
Packaging Info: 1.77711GQ2:最新MA 3L EAN INT版本包装+一张西班牙环保标和客户进口商贴纸+MA 23L 警告语说明书+MA 5L 收藏指南+MA 3L PDQ;
Remark: 1, 此货出西班牙，需满足EU测试标准要求和微塑料需符合法规。另外请确保所有包装都有西班牙环保标。
2,出货前两周需寄2-3套大货样品，请多备料
3, 需要ZURU OQC 验货，出货前要客户格式的验货报告给客人确认OK后才出货
4. 产品上面确保含有CE logo &lt;(&gt;&amp;&lt;)&gt; ZURU logo,如没有的话请提前告知</t>
  </si>
  <si>
    <t>97400-8.17</t>
  </si>
  <si>
    <t>4500178974-10</t>
  </si>
  <si>
    <t>4500178919-90</t>
  </si>
  <si>
    <t>翻单： 4500170580</t>
  </si>
  <si>
    <t>日期码格式：ZURU INC(BVI) 标准格式 日期：按实际生产日期
Packaging Info: 
C. 77711GQ1 MA PDQ +外挂中文收藏指南+中文说明书+黑白警告语+收缩膜年龄贴（8+） 翻单： 4500170580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</si>
  <si>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r>
      <rPr>
        <sz val="11"/>
        <color rgb="FF3E2CEA"/>
        <rFont val="宋体"/>
        <charset val="134"/>
        <scheme val="minor"/>
      </rPr>
      <t>97138-10.3</t>
    </r>
    <r>
      <rPr>
        <sz val="11"/>
        <color rgb="FF3E2CEA"/>
        <rFont val="宋体"/>
        <charset val="134"/>
        <scheme val="minor"/>
      </rPr>
      <t xml:space="preserve">
</t>
    </r>
    <r>
      <rPr>
        <sz val="11"/>
        <color rgb="FF3E2CEA"/>
        <rFont val="宋体"/>
        <charset val="134"/>
        <scheme val="minor"/>
      </rPr>
      <t>96891-11.7</t>
    </r>
  </si>
  <si>
    <t>77711GQ1-S002-INT-中文单-1L</t>
  </si>
  <si>
    <t>4500178919-100</t>
  </si>
  <si>
    <t>4500179872-10</t>
  </si>
  <si>
    <t>1张通用UPC条码贴纸（UPC#193052080134）+1张客人通用进口商贴纸（翻单4500159576）</t>
  </si>
  <si>
    <t>日期码格式：ZURU INC(BVI) 标准格式 日期：按实际生产日期
Packaging Info: 77711GQ2： MA 3L EAN 包装+1张通用UPC条码贴纸（UPC#193052080134）+1张客人通用进口商贴纸（翻单4500159576）
Remark: 1.按实际生产日期;
2.出澳大利亚，请按照相应标准生产;</t>
  </si>
  <si>
    <t>Amazon UK:
44KDCBOP</t>
  </si>
  <si>
    <t>4500179736-140</t>
  </si>
  <si>
    <t>SSCC LABEL一张+1张空白贴纸(覆盖在条码位置，尺寸
 由工厂自行测量)+1张IT环保标贴纸(参考翻单PO#4500158623）；+客版3L(5L warning UPC) INT PVC筒彩卡(UPC#+英法德意西5L警示语+FR/
ES环保标+GPSR邮箱care@zuru.com，参考翻单PO#4500158623)</t>
  </si>
  <si>
    <t>日期码格式：ZURU INC(BVI) 标准格式 日期：按实际生产日期
Packaging Info: Amazon UK(15701B/15710B/15714DKMN/15726ABDEJLM/15728AG/71137/71152/77515/77731/9279EH/9543AE)/DE(15726BJLM/15728AG/15762BD/77731/92119EGH/9543E)
/FR(15728E/15763E/77673/77731)
9.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16.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</si>
  <si>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96956/96992</t>
  </si>
  <si>
    <t>Amazon DE:
7FYANIZS</t>
  </si>
  <si>
    <t>4500179736-300</t>
  </si>
  <si>
    <t>4500179736-390</t>
  </si>
  <si>
    <t>Amazon
IT:3A5SARCW</t>
  </si>
  <si>
    <t>4500179692-170</t>
  </si>
  <si>
    <t>日期码格式：ZURU INC(BVI) 标准格式 日期：按实际生产日期
Packaging Info: Amazon ES(71126/71137/92104A/9279H/9543E/15701A/15710AB/15726E/15728B/15763BD/77515)/IT(77731/92104H/9543E/15711B)
12.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最迟验货不得晚于2025/11/7;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</si>
  <si>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96964-8.17</t>
  </si>
  <si>
    <t>Amazon UK:
6JRLKDYI</t>
  </si>
  <si>
    <t>4500180739-10</t>
  </si>
  <si>
    <t>日期码格式：ZURU INC(BVI) 标准格式 日期：按实际生产日期
Packaging Info: Amazon UK(77731/71126)
1.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3. 验货时间不迟于2025/11/10.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</si>
  <si>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96976-8.17</t>
  </si>
  <si>
    <t>4500180040-40</t>
  </si>
  <si>
    <t>（货期已影响）</t>
  </si>
  <si>
    <t>（+德语警告语贴纸 翻单：4500161168）+客供价格贴纸</t>
  </si>
  <si>
    <t>日期码格式：ZURU INC(BVI) 标准格式 日期：按实际生产日期
Packaging Info: 
77711-S001-INT: 最新MA 3L EAN包装+（+德语警告语贴纸 翻单：4500161168）+客供价格贴纸+5L收藏指南+23L说明书+5L DIY说明书+5L内袋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</si>
  <si>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96946-11.15</t>
  </si>
  <si>
    <t>46:0003168217 47:0003168218</t>
  </si>
  <si>
    <t>4500180606-10</t>
  </si>
  <si>
    <t>日语警语贴纸(贴在收缩膜上）+1张日语警告贴纸（贴在说明书上）
(贴纸资料及位置图请翻单4500162966，贴纸不要遮挡住日期码）</t>
  </si>
  <si>
    <t>日期码格式：ZURU INC(BVI) 标准格式 日期：按实际生产日期
Packaging Info: 77782: 客版包装+1张日语警语贴纸(贴在收缩膜上）+1张日语警告贴纸（贴在说明书上）
(贴纸资料及位置图请翻单4500162966，贴纸不要遮挡住日期码）
Remark: 1.产品品质和内容材质以及包装版本等都需跟到上一单（4500162966）
2. 请多备几个外箱出货，避免外箱到仓库后出现破损情况。</t>
  </si>
  <si>
    <t>97397-8.17</t>
  </si>
  <si>
    <t>4500180606-20</t>
  </si>
  <si>
    <t>4500180534-20</t>
  </si>
  <si>
    <t>96940-11.13</t>
  </si>
  <si>
    <t>4500180535-20</t>
  </si>
  <si>
    <t>96941-11.13</t>
  </si>
  <si>
    <t>4500178515-10</t>
  </si>
  <si>
    <t>日期码格式：ZURU INC(BVI) 标准格式 日期：
Packaging Info:  1.  MA 1L 包装
  2. 客人指定箱唛排版
Remark: 出货前 Zuru QC 验货</t>
  </si>
  <si>
    <t>ZB03094-11.25</t>
  </si>
  <si>
    <t>客户PO#022006
78/1</t>
  </si>
  <si>
    <t>4500181034-10</t>
  </si>
  <si>
    <t>欠upc条码贴纸</t>
  </si>
  <si>
    <t>日期码格式：ZURU INC(BVI) 标准格式 日期：按实际生产日期
Packaging Info: 77711GQ2: MA 3L INT版本+upc条码贴纸。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</si>
  <si>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96934-11.12</t>
  </si>
  <si>
    <t>4500178517-10</t>
  </si>
  <si>
    <t>PO#60X454086</t>
  </si>
  <si>
    <t>4500180967-10</t>
  </si>
  <si>
    <t>预约11月13日第三方（利丰）到工厂做100%大货现场验货和抽板，验货需打印EPM出来跟客户回签样板供第三方验货参考。
 PS:EPM是跟单提供</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</si>
  <si>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 #77685GQ1; #15727;#71126 签样同旧单4500169184，但如果包材有更新需重新寄更新的包材重新签样。
注意:#15727 签样需包含15727L 但不含15727G
#92119 签样同旧单4500167106，但如果包材有更新需重新寄更新的包材重新签样。
92129TQ2;#77773GQ1;#92125 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</si>
  <si>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4500181320-10</t>
  </si>
  <si>
    <t>11/14 第三方验货</t>
  </si>
  <si>
    <t>ZB03019-11.21</t>
  </si>
  <si>
    <t>4500181320-20</t>
  </si>
  <si>
    <t>ZB02925-11.15</t>
  </si>
  <si>
    <t>4500178919-110</t>
  </si>
  <si>
    <t>4500181487-10</t>
  </si>
  <si>
    <t>日期码格式：ZURU INC(BVI) 标准格式 日期：按实际生产日期
Packaging Info: 2L NA UPC 版
Remark: 出加拿大
Zuru验货.日期跟踪码：产品外包装及产品本身都必须有日期跟踪码，ZURU标准格式日期码</t>
  </si>
  <si>
    <t>96967-11.18</t>
  </si>
  <si>
    <t>4500181470-10</t>
  </si>
  <si>
    <t>96965-11.18</t>
  </si>
  <si>
    <t>4500181471-10</t>
  </si>
  <si>
    <t>96966-11.18</t>
  </si>
  <si>
    <t>4500180232-60</t>
  </si>
  <si>
    <t>日期码格式：ZURU INC(BVI) 标准格式 日期：按实际生产日期
Packaging Info: MA 最新UPC包装，各款的条码如下，请先检查条码是否正确再安排做货，如有问题请告知,配比跟MA
6.77711GQ2-S003-INT: MA 3L INT版本收缩膜+1张UPC贴纸（UPC#193052080134）+ MA INT版本5L收藏指南+MA INT 版本 3L PDQ+其他MA最新包装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</si>
  <si>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ZMPO250963</t>
  </si>
  <si>
    <t>2套散件</t>
  </si>
  <si>
    <t>Remark：大货版本/只需要左图款指定散件/麻烦用胶袋分装好一套为一袋；备注：  收到订单后请尽快安排，谢谢</t>
  </si>
  <si>
    <t>97085-11.29</t>
  </si>
  <si>
    <t>ZMPO250958</t>
  </si>
  <si>
    <t>Remark:大货最新版本;备注： 收到样品订单后尽快安排 ，注意样板品质量要求要高于大货品质质量 ,谢谢！</t>
  </si>
  <si>
    <t>97080-11.29</t>
  </si>
  <si>
    <t>4500180054-20</t>
  </si>
  <si>
    <t>1张进口商贴纸+1张UPC条码贴纸覆盖原条码(UPC贴纸显示款号77782，条码193052089533）</t>
  </si>
  <si>
    <t>日期码格式：ZURU INC(BVI) 标准格式 日期：按实际生产日期
Packaging Info: 92121-MA1L包装+MA5L收藏指南
其他items MA UPC包装(优先1L)，无需加贴纸;
77782GQ1是77711国际版的客版item;使用拉美订单的客版收缩膜及PDQ AW
"WITH 4 DEMO; Base on #77711GQ2-S001-INT ver.:Remove Hershey and Kikkoman, Kikkoman-Soy Sauce
Hershey's-Chocolate Syrup 24 oz
Hershey's-Mini Chocolate Syrup 24 oz
Hershey's-Strawberry Syrup 22 oz"
77782GQ1-MA EAN包装（3L)+1张进口商贴纸+1张UPC条码贴纸覆盖原条码(UPC贴纸显示款号77782，条码193052089533）
客版PDQ+收藏指南跟回拉美的订单4500161302;
Remark: 77673-Filxed Collection
92121-7 Assortment. Elephant: Capybara: Mole: Bolb Fish: Kangaroo: Bunny: Panda= 10: 10: 10: 10: 10: 8: 2. Panda is the rare item.</t>
  </si>
  <si>
    <t>4500181113-10</t>
  </si>
  <si>
    <t>11/12 第三方验货</t>
  </si>
  <si>
    <t>ZB03017-11.21</t>
  </si>
  <si>
    <t>4500181113-20</t>
  </si>
  <si>
    <t>ZB03018-11.21</t>
  </si>
  <si>
    <t>进口商贴纸,贴纸图稿及位置图翻4500163177</t>
  </si>
  <si>
    <t>日期码格式：ZURU INC(BVI) 标准格式 日期：按实际生产日期
Packaging Info: 此单出HK, 贴纸由客户提供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（具体贴纸位置参考HK客供贴纸位置图）
Remark:</t>
  </si>
  <si>
    <t>PO# 35464</t>
  </si>
  <si>
    <t>4500181018-20</t>
  </si>
  <si>
    <t>ZB03045-11.22</t>
  </si>
  <si>
    <t>INDIGO CANADA</t>
  </si>
  <si>
    <t>4500181432-10</t>
  </si>
  <si>
    <t>有价格贴纸 (Low Tack ,must peel off easily without leaving adhesive residue)
 有shipping label (贴4面）</t>
  </si>
  <si>
    <t>日期码格式：ZURU INC(BVI) 标准格式 日期：按实际生产日期
Packaging Info: 77711GQ1 MA 2L A版（PDQ+收缩膜UPC版本193052080127)
Remark: 出加拿大
有价格贴纸 (Low Tack ,must peel off easily without leaving adhesive residue)
有shipping label (贴4面）
Zuru验货.日期跟踪码：产品外包装及产品本身都必须有日期跟踪码，ZURU标准格式日期码。</t>
  </si>
  <si>
    <t>96978-11.19</t>
  </si>
  <si>
    <t>2025ZURU25</t>
  </si>
  <si>
    <t>4500181143-10</t>
  </si>
  <si>
    <t>2025/9/30（此单外箱可以消耗之前取消的订单4500148922 77485GQ6 46个外箱，这个外箱跟77711GQ1一样大刚好可以加水贴纸消耗）</t>
  </si>
  <si>
    <t>日期码格式：ZURU INC(BVI) 标准格式 日期：按实际生产日期
Packaging Info: 77711GQ1 MA 2L A版（PDQ+收缩膜UPC版本193052080127).
此单外箱可以消耗之前取消的订单4500148922 77485GQ6 46个外箱，这个外箱跟77711GQ1一样大刚好可以加水贴纸消耗
Remark: 出加拿大
Zuru验货.日期跟踪码：产品外包装及产品本身都必须有日期跟踪码，ZURU标准格式日期码。（箱唛日期码按跟单提供格式）</t>
  </si>
  <si>
    <t>96977-11.19</t>
  </si>
  <si>
    <t>4500181278-120</t>
  </si>
  <si>
    <t>多语警语贴纸+</t>
  </si>
  <si>
    <t>日期码格式：ZURU INC(BVI) 标准格式 日期：按实际生产日期
Packaging Info: 
77711GQ1: 最新MA PDQ+最新 MA 3L EAN 收缩膜 +1*多语折叠警告语贴纸（翻单4500157858） + MA 5L收藏指南+ MA 23L说明书+ MA UV胶黑白警告语 + MA纸袋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</si>
  <si>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97063-11.29</t>
  </si>
  <si>
    <t>4500182421-10</t>
  </si>
  <si>
    <t>日期码格式：ZURU DGYYYYMMDD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</si>
  <si>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ZB02952-11.18</t>
  </si>
  <si>
    <t>4500182421-20</t>
  </si>
  <si>
    <t>4500180408-30</t>
  </si>
  <si>
    <t>1张PDQ条码贴纸+3LEAN包装+德语警语贴纸</t>
  </si>
  <si>
    <t>日期码格式：189141/12/2025 日期：
Packaging Info: 
77711GQ1: 最新MA 3L PDQ+1张PDQ条码贴纸+3LEAN包装+德语警语贴纸+5L收藏指南/DIY说明书+23L说明书
Remark: 1. 出口欧洲，微塑料需符合法规。
2. 产品，包装，外箱Batch code: 189141/12/2025,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</si>
  <si>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97022-11.26</t>
  </si>
  <si>
    <t>4500181762-30</t>
  </si>
  <si>
    <t>日期码格式：ZURU INC(BVI) 标准格式 日期：按实际生产日期
Packaging Info: 
77711GQ1: 最新MA PDQ+最新MA 3L EAN 收缩膜 +1*多语折叠警告语贴纸（翻单4500157858） + MA5L收藏指南+ MA 23L说明书+ MA UV胶黑白警告语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</si>
  <si>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97054-11.28</t>
  </si>
  <si>
    <t>需要申请6套大货样</t>
  </si>
  <si>
    <t>77785 中文3C贴纸+77785 中文收藏指南 +芯片码</t>
  </si>
  <si>
    <t>4500179260-20</t>
  </si>
  <si>
    <t>77711GQ5-S001-INT</t>
  </si>
  <si>
    <t>迷你冰箱球8pcs/PDQ/箱</t>
  </si>
  <si>
    <t>日期码格式：ZURU INC(BVI) 标准格式 日期：按实际生产日期
Packaging Info: 77711GQ5：MA多语UPC+进口商贴纸+箱唛
电池要求：
PILA BOTON ALCALINA
Marca:ONLY
Vodelo:1.5V LR44 (3Pcs Batteries for 77673.3X1.5V=4.5V)
Manufacturer. DONGGUAN GUANTE ELECTRONICS TECHNOLOGY CO.LTD.
Remark: 请确保包装上的条形码是UPC，如果是babyUPC，需要用mother UPC覆盖，如有不一致，请及时提出。谢谢!</t>
  </si>
  <si>
    <t>PO#181259</t>
  </si>
  <si>
    <t>4500182590-10</t>
  </si>
  <si>
    <t>日期码格式：ZURU INC(BVI) 标准格式 日期：按实际生产日期
Packaging Info: 7711:
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（14.17pt），条码扫描结果应为7678363。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</si>
  <si>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97056-11.29</t>
  </si>
  <si>
    <t>PO#0037751148</t>
  </si>
  <si>
    <t>4500182778-20</t>
  </si>
  <si>
    <t>外加贴Packing Slip一张</t>
  </si>
  <si>
    <t>ZB03150-11.29</t>
  </si>
  <si>
    <t>4500180519-10</t>
  </si>
  <si>
    <t>日期码格式：ZURU INC(BVI) 标准格式 日期：按实际生产日期
Packaging Info: 1. 77711GQ1:最新MA 3L EAN收缩膜+最新MA 5L收藏指南+最新MA 23L说明书+最新MA 5L creative+最新MA纸袋+最新MA 3L PDQ+多语警语折叠贴纸（含包装缺失的法/
意/西环保标）（翻4500162314）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</si>
  <si>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4500180519-20</t>
  </si>
  <si>
    <t>日期码格式：ZURU INC(BVI) 标准格式 日期：按实际生产日期
Packaging Info: 
2. 77711SK1:最新MA3LEAN收缩膜+最新MA5L收藏指南+最新MA23L说明书+最新MA5Lcreative+最新MA纸袋+最新MA展示架+多语警语折叠贴纸（含包装缺失的法/意/西环
保标）（翻4500162314）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</si>
  <si>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218461813 DC
086</t>
  </si>
  <si>
    <t>4500182537-10</t>
  </si>
  <si>
    <t>ZB03139-11.28</t>
  </si>
  <si>
    <t>218461838
DC 802</t>
  </si>
  <si>
    <t>4500182537-20</t>
  </si>
  <si>
    <t>4500182433-10</t>
  </si>
  <si>
    <t>11/26 第三方验货</t>
  </si>
  <si>
    <t>ZB03125-11.27</t>
  </si>
  <si>
    <t>4500182169-90</t>
  </si>
  <si>
    <t>多语警语折叠贴纸（含包装缺失的法/
 意/西环保标）（翻4500162314）</t>
  </si>
  <si>
    <t>日期码格式：ZURU INC(BVI) 标准格式 日期：按实际生产日期
Packaging Info: 
9. 77711GQ1:最新MA 3L EAN收缩膜+最新MA 5L收藏指南+最新MA 23L说明书+最新MA 5L creative+最新MA纸袋+最新MA 3L PDQ+多语警语折叠贴纸（含包装缺失的法/
意/西环保标）（翻4500162314）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</si>
  <si>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97399-8.17</t>
  </si>
  <si>
    <t>4500180498-50</t>
  </si>
  <si>
    <t>UPC贴纸+进口商贴纸) +贴纸+客版PDQ跟回77782GQ1-S001-INT（翻单号4500161302）</t>
  </si>
  <si>
    <r>
      <rPr>
        <sz val="11"/>
        <color rgb="FF3E2CEA"/>
        <rFont val="宋体"/>
        <charset val="134"/>
      </rPr>
      <t>日期码格式：ZURU INC(BVI) 标准格式 日期：按实际生产日期
Packaging Info: 
77803GQ2-S001-PRODCC-INT: MA 收缩膜(加UPC贴纸+进口商贴纸) +贴纸+客版PDQ跟回77782GQ1-S001-INT（翻单号4500161302）+客版收藏指南（客版包装翻单4500
162410）；</t>
    </r>
    <r>
      <rPr>
        <sz val="11"/>
        <color rgb="FFFF0000"/>
        <rFont val="宋体"/>
        <charset val="134"/>
      </rPr>
      <t xml:space="preserve"> PDQ+进口商贴纸</t>
    </r>
    <r>
      <rPr>
        <sz val="11"/>
        <color rgb="FF3E2CEA"/>
        <rFont val="宋体"/>
        <charset val="134"/>
      </rPr>
      <t>；
客人箱唛排版，印4面，条码内容193052092403
Remark:</t>
    </r>
  </si>
  <si>
    <t>77803GQ2-S001-PRODCC-INT-1L</t>
  </si>
  <si>
    <t>4500180498-60</t>
  </si>
  <si>
    <r>
      <rPr>
        <sz val="11"/>
        <color rgb="FF3E2CEA"/>
        <rFont val="宋体"/>
        <charset val="134"/>
      </rPr>
      <t xml:space="preserve">日期码格式：ZURU INC(BVI) 标准格式 日期：按实际生产日期
Packaging Info: 
77803SK1:MA 收缩膜(加UPC贴纸+进口商贴纸)+贴纸+客版收藏指南+客版展示架(贴纸翻单4500162410,客版包装翻单4500162410)，外包材统一使用MA 3L; </t>
    </r>
    <r>
      <rPr>
        <sz val="11"/>
        <color rgb="FFFF0000"/>
        <rFont val="宋体"/>
        <charset val="134"/>
      </rPr>
      <t>SK++进口
商贴纸；</t>
    </r>
    <r>
      <rPr>
        <sz val="11"/>
        <color rgb="FF3E2CEA"/>
        <rFont val="宋体"/>
        <charset val="134"/>
      </rPr>
      <t xml:space="preserve">
客人箱唛排版，印4面，条码内容193052092403;
Remark:</t>
    </r>
  </si>
  <si>
    <t>PO#41751483</t>
  </si>
  <si>
    <t>4500180252-10</t>
  </si>
  <si>
    <t>ZB02841-11.7</t>
  </si>
  <si>
    <t>4 KIDZ - BIEDRONKA</t>
  </si>
  <si>
    <t>MPO03802</t>
  </si>
  <si>
    <t>PO#450081326/MGQ22-S001</t>
  </si>
  <si>
    <t>77711GQ1-S004-INT</t>
  </si>
  <si>
    <t>迷你冰箱球12pcs/PDQ/箱</t>
  </si>
  <si>
    <t>11/7 送货泰亨</t>
  </si>
  <si>
    <t>UPC条条码码贴贴纸纸+进进口口商商贴贴纸</t>
  </si>
  <si>
    <t>Remark: ① 订单的所有测试与样品要求以跟单的要求为准，且为了避免QC验货拆货来不及补货，请准备适量的贴纸和产品备品。此订单数量只作为大货生
产，不包含样板与备品。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4. 77711的SPEC# 77711GQ1-S004-INT, 及包装信息： MA A版3L EAN收缩膜+UPC条码贴纸+进口商贴纸; MA A版 1L PDQ (12PCS/PDQ/CTN</t>
  </si>
  <si>
    <t>4500180194-20</t>
  </si>
  <si>
    <t>20250912转实单</t>
  </si>
  <si>
    <t>1张进口商贴纸+1张UPC条码贴纸覆盖原条码(UPC贴纸显示款号77803，条码193052092403）。贴纸资料翻单4500165640</t>
  </si>
  <si>
    <t>日期码格式：ZURU INC(BVI) 标准格式 日期：按实际生产日期
Packaging Info: MA UPC包装(优先1L)+1张进口商贴纸
2.77803GQ2是基于STD版本77711GQ2-S001-INT建立的客制spec,移除掉了提到猪肉"pork"的2个minis和4个有license的minis：Veggie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(license)Hershey's-Mini Chocolate Syrup 24 oz (license)Hershey's-Strawberry Syrup 22 oz (license)
除了PDQ和收藏指南，其他包材如收缩膜等都跟STD版本77711GQ2-S001-INT- MA 3L版。所以，77803GQ2-MA EAN包装（3L)+1张进口商贴纸+1张UPC条码贴纸覆盖原条
码(UPC贴纸显示款号77803，条码193052092403）。贴纸资料翻单4500165640。
 客版PDQ+收藏指南跟回拉美的订单4500161302,但是收藏指南要加贴纸遮住以下两个LOGOs,贴纸资料见邮件附件;收藏指南贴纸翻4500170501
 Veggie Original Sausage Patties(Contains pork words)
 Singles The Original- Pepperoni (Contains pork words)
Remark:</t>
  </si>
  <si>
    <t>4500180194-40</t>
  </si>
  <si>
    <t>日期码格式：ZURU INC(BVI) 标准格式 日期：按实际生产日期
Packaging Info: MA UPC包装(优先1L)+1张进口商贴纸
2.77803GQ2是基于STD版本77711GQ2-S001-INT建立的客制spec,移除掉了提到猪肉"pork"的2个minis和4个有license的minis：Veggie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(license)Hershey's-Mini Chocolate Syrup 24 oz (license)Hershey's-Strawberry Syrup 22 oz (license)
除了PDQ和收藏指南，其他包材如收缩膜等都跟STD版本77711GQ2-S001-INT- MA 3L版。所以，77803GQ2-MA EAN包装（3L)+1张进口商贴纸+1张UPC条码贴纸覆盖原条
码(UPC贴纸显示款号77803，条码193052092403）。贴纸资料翻单4500165640。
客版PDQ+收藏指南跟回拉美的订单4500161302,但是收藏指南要加贴纸遮住以下两个LOGOs,贴纸资料见邮件附件;收藏指南贴纸翻4500170501
Veggie Original Sausage Patties(Contains pork words)
Singles The Original- Pepperoni (Contains pork words)
Remark:</t>
  </si>
  <si>
    <t>AG250254-HK</t>
  </si>
  <si>
    <t>4500181813-10</t>
  </si>
  <si>
    <t>11/28 提货</t>
  </si>
  <si>
    <t>1张UPC 条码贴纸(UPC#193052080134)+HK客供警语贴纸</t>
  </si>
  <si>
    <t>日期码格式：ZURU INC(BVI) 标准格式 日期：按实际生产日期
Packaging Info: 此单出HK
77711GQ1 （INT): MA 3L 收缩膜+1张UPC 条码贴纸(UPC#193052080134) + MA 3L PDQ+MA 5L 收藏指南+HK客供警语贴纸（1张贴球底部，1张贴说明书，1张贴收藏
指南）具体参考HK客供警语贴纸位置图
Remark:</t>
  </si>
  <si>
    <t>97070-11.29</t>
  </si>
  <si>
    <t>4500180436-140</t>
  </si>
  <si>
    <r>
      <rPr>
        <sz val="11"/>
        <color rgb="FF010CDD"/>
        <rFont val="宋体"/>
        <charset val="134"/>
      </rPr>
      <t>日期码格式：ZURU INC(BVI) 标准格式 日期：按实际生产日期
Packaging Info: 
77803GQ2-S001-PRODCC-INT: MA 收缩膜(加UPC贴纸+进口商贴纸) +贴纸+客版PDQ跟回77782GQ1-S001-INT（翻单号4500161302）+客版收藏指南（客版包装翻单4500
162410）;</t>
    </r>
    <r>
      <rPr>
        <sz val="11"/>
        <color rgb="FFFF0000"/>
        <rFont val="宋体"/>
        <charset val="134"/>
      </rPr>
      <t xml:space="preserve"> PDQ+进口商贴纸</t>
    </r>
    <r>
      <rPr>
        <sz val="11"/>
        <color rgb="FF010CDD"/>
        <rFont val="宋体"/>
        <charset val="134"/>
      </rPr>
      <t xml:space="preserve">
客人箱唛排版，印4面，条码内容193052092403
Remark:</t>
    </r>
  </si>
  <si>
    <t>A97537-1.14</t>
  </si>
  <si>
    <t>4500180436-150</t>
  </si>
  <si>
    <r>
      <rPr>
        <sz val="11"/>
        <color rgb="FF010CDD"/>
        <rFont val="宋体"/>
        <charset val="134"/>
      </rPr>
      <t>日期码格式：ZURU INC(BVI) 标准格式 日期：按实际生产日期
Packaging Info: 
77803SK1:MA 收缩膜(加UPC贴纸+进口商贴纸)+贴纸+客版收藏指南+客版展示架(贴纸翻单4500162410,客版包装翻单4500162410)，外包材统一使用MA 3L;</t>
    </r>
    <r>
      <rPr>
        <sz val="11"/>
        <color rgb="FFFF0000"/>
        <rFont val="宋体"/>
        <charset val="134"/>
      </rPr>
      <t xml:space="preserve"> 展示架+进
口商贴纸</t>
    </r>
    <r>
      <rPr>
        <sz val="11"/>
        <color rgb="FF010CDD"/>
        <rFont val="宋体"/>
        <charset val="134"/>
      </rPr>
      <t xml:space="preserve">
客人箱唛排版，印4面，条码内容193052092403;
Remark:</t>
    </r>
  </si>
  <si>
    <t>4500182433-20</t>
  </si>
  <si>
    <t>11/28 第三方验货</t>
  </si>
  <si>
    <t>ZB03152-11.29</t>
  </si>
  <si>
    <t>GULLSK􀃓GAR EHF - DOM</t>
  </si>
  <si>
    <t>SS26</t>
  </si>
  <si>
    <t>4500182255-50</t>
  </si>
  <si>
    <t>EAN 贴纸</t>
  </si>
  <si>
    <t>日期码格式：ZURU INC(BVI) 标准格式 日期：按实际生产日期
Packaging Info: 
 77711GQ1: MA EAN 3L + MA PDQ
Remark: 1/ 配比：
 2/产品和包装要求无硼无香，包装不能含有PVC
3/如有微塑料，必须合规欧洲标准，并增加微塑料合规IFUD声明在说明书上
4/带电池出货的产品，所用到的电池需要符合欧洲电池新规(EU)2023-1542，并增加对应WEEE 说明书</t>
  </si>
  <si>
    <t>97385-8.17</t>
  </si>
  <si>
    <t>4500182434-40</t>
  </si>
  <si>
    <t>张UPC条码贴+ 防盗贴纸（两款贴纸以及防盗贴纸位置图翻单PO#4500160026）+ 箱唛 + 外箱贴纸SSCC L
 abel</t>
  </si>
  <si>
    <r>
      <rPr>
        <sz val="11"/>
        <color rgb="FF010CDD"/>
        <rFont val="宋体"/>
        <charset val="134"/>
      </rPr>
      <t xml:space="preserve">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t>
    </r>
    <r>
      <rPr>
        <sz val="11"/>
        <color rgb="FFFF0000"/>
        <rFont val="宋体"/>
        <charset val="134"/>
      </rPr>
      <t>请注意此订单与NZ PO#4500182442一起合并计算</t>
    </r>
  </si>
  <si>
    <t>4500182649-10</t>
  </si>
  <si>
    <t>日期码格式：ZURU INC(BVI) 标准格式 日期：按实际生产日期
Packaging Info: 1. 77711GQ1:最新MA 3L EAN收缩膜+最新MA 5L收藏指南+最新MA 23L说明书+最新MA 5L creative+最新MA纸袋+最新MA 3L PDQ+多语警语折叠贴纸（含包装缺失的法/
意/西环保标）（翻4500162314）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</si>
  <si>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97141-10.4</t>
  </si>
  <si>
    <t>4500183607-20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</si>
  <si>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</si>
  <si>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4500181254-10</t>
  </si>
  <si>
    <t>冰箱迷你球 PVC圆筒两个装-MTS</t>
  </si>
  <si>
    <t>日期码格式：ZURU INC(BVI) 标准格式 日期：按实际生产日期
Packaging Info: #77731：2PK STD #77711入PVC桶，3L 2PK铜版纸，客版无UPC版本收缩膜翻单4500160498。收藏指南，说明书均为MA 1L标版。（两个球的配比不能重复）。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</si>
  <si>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4500176686-80</t>
  </si>
  <si>
    <t>77711-S004-INT</t>
  </si>
  <si>
    <t>冰箱迷你球13pcs/箱-S004</t>
  </si>
  <si>
    <t>瑞典语警告语贴纸</t>
  </si>
  <si>
    <t>日期码格式：ZURU INC(BVI) 标准格式 日期：按实际生产日期
Packaging Info: 
77711-S004-INT:77711-S004-INT:MA A 3L EAN 收缩膜+瑞典语警告语贴纸+5L_Global-B版指导书+23L 警语说明书+MA 其他包装+内袋贴纸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77711-S004-INT-4894680043350</t>
  </si>
  <si>
    <t>77711-S004-INT-3L</t>
  </si>
  <si>
    <t>4500178919-170</t>
  </si>
  <si>
    <t>防串码贴纸</t>
  </si>
  <si>
    <t>日期码格式：ZURU INC(BVI) 标准格式 日期：按实际生产日期
Packaging Info:
C. 77711GQ1 MA PDQ +外挂中文收藏指南+中文说明书+黑白警告语+收缩膜年龄贴（8+） 翻单： 4500170580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</si>
  <si>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4500178919-180</t>
  </si>
  <si>
    <t>4500183713-10</t>
  </si>
  <si>
    <t>11/27第三方验货</t>
  </si>
  <si>
    <t>ZB03151-11.29</t>
  </si>
  <si>
    <t>4500183713-20</t>
  </si>
  <si>
    <t>4500183713-30</t>
  </si>
  <si>
    <t>12/3 第三方验货</t>
  </si>
  <si>
    <t>4500182865-10</t>
  </si>
  <si>
    <t>1L的空白条码贴纸+价格贴纸(价贴金额$19.99, 价贴位于PVC桶铜版纸UPC条形码附
 近）价贴资料翻单4500174833</t>
  </si>
  <si>
    <t>日期码格式：ZURU INC(BVI) 标准格式 日期：按实际生产日期
Packaging Info: 1. 包材：
#77731: 球使用NA版本2L的空白条码贴纸+2L 英法版本 收藏指南 + 23L 说明书 + 3L UPC 铜版纸 + 价格贴纸(价贴金额$19.99, 价贴位于PVC桶铜版纸UPC条形码附
近）价贴资料翻单4500174833，工厂采购，出口美国。
Remark: 2.日期跟踪码：产品包装及产品本身都必须有日期跟踪码，并且确保两者的日期跟
踪码要一致；ZURU标准格式日期码(请自行调整具体年月日生产期，但不能为周末）。
3. 出货后请尽快发发票给我们文员对账；
4.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5. 此客户有两个PO:
PO# 2050736 ship to NJ
PO# 2050737 ship to NV
6. 出货配比：ZURU 标版配比</t>
  </si>
  <si>
    <t>4500182865-20</t>
  </si>
  <si>
    <t>ZU25091201SG</t>
  </si>
  <si>
    <t>4500183523-10</t>
  </si>
  <si>
    <t>UPC条码贴纸+1张固定进口商贴纸, 所有贴纸的图稿及位置图翻4500163177</t>
  </si>
  <si>
    <t>日期码格式：ZURU INC(BVI) 标准格式 日期：按实际生产日期
Packaging Info: 77711GQ1 MA EAN 3L包装+UPC条码贴纸+1张固定进口商贴纸
所有贴纸的图稿及位置图翻单如下
77711GQ1-4500163177
7127-4500141207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
7127-Green/Grey=1:1;</t>
  </si>
  <si>
    <t>97155-12.6</t>
  </si>
  <si>
    <t>FB13930</t>
  </si>
  <si>
    <t>4500183275-60</t>
  </si>
  <si>
    <t>客户EAN条码贴纸覆盖原条码位置,&lt;(&gt;,&lt;)&gt; EAN贴纸返单4500177198，条码请核对5056296049471，PQD右后要加数量贴纸，翻单450017
 7198</t>
  </si>
  <si>
    <t>日期码格式：ZURU INC(BVI) 标准格式 日期：按实际生产日期
Packaging Info: 
77711GQ1: MA-3L 配套包装+ 客户EAN条码贴纸覆盖原条码位置,&lt;(&gt;,&lt;)&gt; EAN贴纸返单4500177198，条码请核对5056296049471，PQD右后要加数量贴纸，翻单450017
7198
其他：MA+客户EAN条码贴纸，条码贴纸待提供。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</si>
  <si>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97280-8.17</t>
  </si>
  <si>
    <t>4500176094-10</t>
  </si>
  <si>
    <t>日期码格式：ZURU INC(BVI) 标准格式 日期：按实际生产日期
Packaging Info: 77782GQ1:MA 多语包装（用77711的收缩膜）+客版收藏指南+客版PDQ+进口商贴纸+UPC贴纸+箱唛，客版物料翻单PO4500161302
Remark: 进口商贴纸内容会显示日期码为：2025-12，包装/产品/外箱可按ZURU标准日期码，不需要跟回进口商贴纸上的日期码
77782GQ1:WITH 4 DEMO; Base on #77711GQ2-S001-INT ver.:Remove Hershey and Kikkoman, Kikkoman-Soy SauceHershey's-Chocolate Syrup 24 oz
Hershey's-Mini Chocolate Syrup 24 oz
Hershey's-Strawberry Syrup 22 oz</t>
  </si>
  <si>
    <t>97176-12.10</t>
  </si>
  <si>
    <t>4500181141-60</t>
  </si>
  <si>
    <t>日期码格式：ZURU INC(BVI) 标准格式 日期：按实际生产日期
Packaging Info: 
77782GQ1:MA 多语包装（用77711的收缩膜）+UPC贴纸+进口商贴纸+客版收藏指南+客版PDQ+箱唛，客版收藏指南+客版PDQ翻单POPO4500161302
Remark: 进口商贴纸内容会显示日期码为：2025-12，包装/产品/外箱可按ZURU标准日期码，不需要跟回进口商贴纸上的日期码
77782GQ1:WITH 4 DEMO; Base on #77711GQ2-S001-INT ver.:Remove Hershey and Kikkoman, Kikkoman-Soy SauceHershey's-Chocolate Syrup 24 oz
Hershey's-Mini Chocolate Syrup 24 oz
Hershey's-Strawberry Syrup 22 oz</t>
  </si>
  <si>
    <t>97180-2-12.10</t>
  </si>
  <si>
    <t>1张空白贴纸覆盖条码+球底部贴1张客供警语贴纸，收藏指南贴一张客供警语贴纸，说明书贴一
 张客供警语贴纸）</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</si>
  <si>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Remark:</t>
  </si>
  <si>
    <t>FAMILY DOLLAR SERVICES, LLC.</t>
  </si>
  <si>
    <t>客户PO#
49878299</t>
  </si>
  <si>
    <t>4500182810-10</t>
  </si>
  <si>
    <t>77711GQ6-S001-NA</t>
  </si>
  <si>
    <t>产前样5套：产前样5套要求在 2025/10/31 前寄给深圳办公室跟单Jenny Liu</t>
  </si>
  <si>
    <t>彩色贴纸，每箱两张彩色贴纸，客供防盗贴</t>
  </si>
  <si>
    <t>日期码格式：ZURU INC(BVI) 标准格式 日期：2025-11-20
Packaging Info: 1)客版PDQ，最新版ZURU MA UPC包装(优先1L)，出口美国。如有说明书请使用ZURU MA说明书，优先放1L英语。
2)ZURU标准日期码格式：工厂城市缩写+生产年月日。此单指定日期码：DG20251120。
3)外箱箱唛正侧相邻两面粘贴产品彩色贴纸，每箱两张彩色贴纸,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4) 每个球贴一张客供防盗贴，贴在收缩膜上，防盗贴由跟单采购，供应商直接发货到工厂。防盗贴贴纸位置由跟单提供。
Remark: 客户PO# 49878299
客户SKU# 1004126
1）Item#77711GQ6-S001-NA
2) 样品
产前样5套：产前样5套要求在 2025/10/31 前寄给深圳办公室跟单Jenny Liu，需转寄给美国客户确认，客户确认了产前样之后，会寄回一套给工厂，工厂需按照已
确认的产前样安 排大货生产。做产前样前需和跟单确认产品包装日期码和产品上日期码的打码位置+格式，要求是和大货一样的日期码，指定大货日期码为：DG202
51120）。此单客版PDQ需等客户确认产前样后才可以开始大货印刷。
大货样2套：大货样2套需在大货物料到厂后开始上线第一天寄出给深圳办公室；大货样需要同大货一个产线，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1套样板 =6pcs球带1个客版PDQ+1套光身样散件
6 PCS/ PDQ = 6个球入一个PDQ
3) 此单无第三方验货+抽样测试，ZURU QC验货PASS后，跟单得到客户的approval之后方可安排出货
4)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5) 大货配比：
Item#77711GQ6-S001-NA
S001-NA-MINI BRANDS-FILL THE FRIDGE-SERIES 1-CAPSULE,1FACING6PCS/GRAVITY PDQ,6PCS/PDQ/CTN
UPC:193052080127
Contain UV GLUE/ 1 Refrigerator Magnet.
1FACING 6PCS/GRAVITY PDQ/CTN;1W*2D*3H=6PCS/PDQ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</si>
  <si>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Jenny Liu/Shirley</t>
  </si>
  <si>
    <t>4500183542-20</t>
  </si>
  <si>
    <t>警告语贴纸（翻单4500162231）</t>
  </si>
  <si>
    <t>日期码格式：ZURU INC(BVI) 标准格式 日期：按实际生产日期
Packaging Info:
 77711GQ2:MA EAN 3L+警告语贴纸（翻单4500162231）
Remark: 1/ 工厂货号77555GQ1-客户货号7223866-彩盒条码4894680033429-外箱条码10193052064261；
77711GQ2-7254555-4894680043350-10193052080131
 2/ 产品和包装要求无硼无香，包装不能含有PVC
 3/ 如有微塑料，必须合规欧洲标准，闪粉也是微塑料的一种，目前仅接受三张方式1.去除，2.用可降解材料，和3. 永久封印在固体。
 4/ 此订单有第三方验货, 77555验货样请用4500178606，77711验货样用于4500162231</t>
  </si>
  <si>
    <t>97276-8.17</t>
  </si>
  <si>
    <t>Marshalls
PO#533156,SKU
#892300
DC#881-204PCS
,
DC#884-156PCS
,
DC#886-240PCS
,
DC#887-192PCS
,
DC#888-204PCS</t>
  </si>
  <si>
    <t>4500183797-80</t>
  </si>
  <si>
    <t>价格贴纸.无条码收缩膜或加空白贴纸覆盖原条码</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</si>
  <si>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</si>
  <si>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TJ MAXX
PO#533249,SKU
#170721
DC#891-264PCS
,
DC#894-180PCS
,
DC#896-288PCS
,
DC#897-228PCS
,
DC#898-240PCS</t>
  </si>
  <si>
    <t>4500183798-80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</si>
  <si>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</si>
  <si>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4500184367-10</t>
  </si>
  <si>
    <t>11/21 寄出</t>
  </si>
  <si>
    <t>日期码格式：ZURU INC(BVI) 标准格式 日期：按实际生产日期
Packaging Info: 1. STD Items
Remark: 1. Cus Item
#77731：MA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</si>
  <si>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PO#2950867423</t>
  </si>
  <si>
    <t>4500182625-10</t>
  </si>
  <si>
    <t>一张slip sheet贴纸</t>
  </si>
  <si>
    <t>日期码格式：ZURU INC(BVI) 标准格式 日期：按实际生产日期
Packaging Info: 77711SLB-S001-INT
77711GQ1-S002-INT: MA NA版本1L UPC收缩膜+MA INT 版本5L收藏指南+MA INT版本3L PDQ+MA 23L说明书+其他MA最新包材
UPC#193052080127,请先检查条码是否正确再安排做货
Slip sheet: 13pcs/PDQ/CTN 15*5H=75CTN/SLB=975pcs/Slip Sheet; 一共需要6套slip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</si>
  <si>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97316-8.17</t>
  </si>
  <si>
    <t>45152387 45152401</t>
  </si>
  <si>
    <t>4500183001-80</t>
  </si>
  <si>
    <t>日期码格式：ZURU INC(BVI) 标准格式 日期：按实际生产日期
Packaging Info: 
 77731 英法客版铜版纸，upc 193052085115, MA 2L 收缩膜 多语多明书
Remark: 出加拿大
 有客供价格贴
 每行对应不同的客户PO，唛头要一一对应， 放唛头时跟单会提供清单
 Zuru验货.日期跟踪码：产品外包装及产品本身都必须有日期跟踪码，ZURU标准格式
 日期码</t>
  </si>
  <si>
    <t>97179-12.10</t>
  </si>
  <si>
    <t>77731-NA-S001-MTS-2L</t>
  </si>
  <si>
    <t>40059009 40059370</t>
  </si>
  <si>
    <t>4500183043-180</t>
  </si>
  <si>
    <t>日期码格式：ZURU INC(BVI) 标准格式 日期：按实际生产日期
Packaging Info:
 77731 英法客版铜版纸，upc 193052085115, MA 2L 收缩膜 多语多明书
Remark: 出加拿大
 有客供价格贴
 每行对应不同的客户PO，唛头要一一对应， 放唛头时跟单会提供清单
 Zuru验货.日期跟踪码：产品外包装及产品本身都必须有日期跟踪码，ZURU标准格式
 日期码</t>
  </si>
  <si>
    <t>97178-12.10</t>
  </si>
  <si>
    <t>4500183043-260</t>
  </si>
  <si>
    <t>4500183696-110</t>
  </si>
  <si>
    <t>4500183696-120</t>
  </si>
  <si>
    <t>4500183696-130</t>
  </si>
  <si>
    <t>4500183696-140</t>
  </si>
  <si>
    <t>4500183696-150</t>
  </si>
  <si>
    <t>AG250325-HK</t>
  </si>
  <si>
    <t>4500185734-10</t>
  </si>
  <si>
    <t>97186-8.17</t>
  </si>
  <si>
    <t>28JLC2
DC 96000</t>
  </si>
  <si>
    <t>4500187121-20</t>
  </si>
  <si>
    <t>77711SLB-S002-NA</t>
  </si>
  <si>
    <t>冰箱迷你球48pcs/箱/15箱装1卡板（胶袋装）</t>
  </si>
  <si>
    <t>4500181787/4500182514/4500181793/4500183277改下新单4500187121打slip sheet</t>
  </si>
  <si>
    <t>日期码格式：DOLLAR GENERAL 客日期码 日期：
Packaging Info: 客版收缩膜+客版PDQ，打纸滑托盘SLIP SHEET出货。
Remark: 此单是以下四张FOB订单的转单，因转单后客户要求出货加纸滑托盘SLIP SHEET，我们将以下四张订单删除，产品spec做了更新。 但是产品+外箱还是用这四单的物
料。
4500181787
4500181793
4500182514
4500183277
改物料后的item号是：
#77711GQ5-S002-NA-PKC 改为
#77711SLB-S002-NA-MINI BRANDS-FILL THE FRIDGE-SERIES 1-CAPSULE,8PCS/GRAVITY PDQ/POLYBAG,48PCS/6POLYBAG/CTN,720PCS/15CTN/SLIP SHEET
托盘上打的产品是4500181787,4500181793,4500182514,4500183277 #77711GQ5-S002-NA-PKC ，因托盘需要整数，此款原订单数量是97392pcs，改打托后最终数量更
新为97200pcs（共135个托），原单余数的呆滞料有192pcs，后续如果有订单不做第三方的前提下可以消耗掉。
特别注意： 此款客户分了21个DC的数量下单，整柜到美国客户CIC仓库后需要以整托方式分发到21个DC，请根据订单所下行项目数量以DC为单位分别打托，客户不接
受混款以及混DC打托。我们会邮件提供每个DC的托盘贴纸给工厂进行标识区分出每个DC。
稍后邮件发送打slip sheet的loading 方案图。
打托注意事项：
1. DG客户slip sheet尺寸1219.2x1016x1219.2mm
,,长度Length: 48 inches
,,宽度Width: 40 inches
,,高度Height: Not explicitly specified for pallets; slip sheet builds are typically double stacked to about 48 inches (4 feet) tall 未明确指定托
盘；薄板建筑通常是双层堆叠，大约48英寸（4英尺）高
,,托盘等级Pallet Grade: No specific grade required, but wood pallets must comply with ISPM 15 (treated and officially marked) 没有特定的等级要求
，但木托盘必须符合ISPM 15（处理和正式标记）。
,,突出部分Overhang: Not allowed—product must fit entirely within pallet footprint 不允许-产品必须完全适合托盘的空间。
,,装载稳定性Load Stability: Loads must be stable and secure for handling and transport货物必须稳定、安全，便于搬运和运输
,,All pallets must be labeled with the Dollar General Purchase Order number and Dollar General destination distribution center. If cartons are
floor loaded, the PO should be listed on each carton.
,, 所有的托盘必须贴上DG采购订单号和DG目的地配送中心的标签。
,,我们计划是40HQ出货，客户允许一个柜子堆叠2层，但是2层中间需要加一个保护片。</t>
  </si>
  <si>
    <t>28JLD7
DC 96590</t>
  </si>
  <si>
    <t>4500187121-50</t>
  </si>
  <si>
    <t>28JLC6
DC 96100</t>
  </si>
  <si>
    <t>4500187121-80</t>
  </si>
  <si>
    <t>28JLD3
DC 96300</t>
  </si>
  <si>
    <t>4500187121-110</t>
  </si>
  <si>
    <t>28JLF4
DC96930</t>
  </si>
  <si>
    <t>4500187121-140</t>
  </si>
  <si>
    <t>28JLD9
DC 96700</t>
  </si>
  <si>
    <t>4500187121-170</t>
  </si>
  <si>
    <t>28JLF0
DC 96800</t>
  </si>
  <si>
    <t>4500187121-200</t>
  </si>
  <si>
    <t>28JLD6
DC 96570</t>
  </si>
  <si>
    <t>4500187121-230</t>
  </si>
  <si>
    <t>28JLD5
DC 96540</t>
  </si>
  <si>
    <t>4500187121-260</t>
  </si>
  <si>
    <t>28JLC9
DC 96140</t>
  </si>
  <si>
    <t>4500187121-290</t>
  </si>
  <si>
    <t>28JLF5
DC 96970</t>
  </si>
  <si>
    <t>4500187121-320</t>
  </si>
  <si>
    <t>28JLD8
DC 96600</t>
  </si>
  <si>
    <t>4500187121-350</t>
  </si>
  <si>
    <t>28JLF1
DC 96900</t>
  </si>
  <si>
    <t>4500187121-380</t>
  </si>
  <si>
    <t>28JLC8
DC 96130</t>
  </si>
  <si>
    <t>4500187121-410</t>
  </si>
  <si>
    <t>28JLC7
DC 96120</t>
  </si>
  <si>
    <t>4500187121-440</t>
  </si>
  <si>
    <t>28JLD0
DC 96150</t>
  </si>
  <si>
    <t>4500187121-470</t>
  </si>
  <si>
    <t>28JLD1
DC 96160</t>
  </si>
  <si>
    <t>4500187121-500</t>
  </si>
  <si>
    <t>28JLD4
DC 96500</t>
  </si>
  <si>
    <t>4500187121-530</t>
  </si>
  <si>
    <t>28JLF2
DC 96910</t>
  </si>
  <si>
    <t>4500187121-560</t>
  </si>
  <si>
    <t>28JLF3
DC 96920</t>
  </si>
  <si>
    <t>4500187121-590</t>
  </si>
  <si>
    <t>28JLD2
DC 96170</t>
  </si>
  <si>
    <t>4500187121-620</t>
  </si>
  <si>
    <t>4500180385-20</t>
  </si>
  <si>
    <t>带客人新logo）可移动材质的价格贴纸（价格贴纸要切易撕线）</t>
  </si>
  <si>
    <t>日期码格式：ZURU INC(BVI) 标准格式 日期：按实际生产日期
Packaging Info: 1. 包装：
77711GQ1：INT-3L-A版本收缩膜+INT 3L PDQ+ (带客人新logo）可移动材质的价格贴纸（价格贴纸要切易撕线）
2. 比例：
77711GQ1: 2.3692%The Original;2.3692%Pepperoni Pizza-Global Version;2.3692%Cheese Pizza-Global Version;2.3692%Hawaiian Pizza-Global Version;2
.3692%Big Dinner Box-Global Version;2.3692%Traditional Wings-Global Version;3.3117%Cooked Loboster;3.3117%Fishes;3.3117%Lamp Chops;3.3117%Brocco
li Florets;3.9658%Eggplant;3.9658%Fruit Tray;3.9658%Oats Jar;3.9658%Kombucha;4.0791%Turmeric Shot;4.0791%Milk;4.0791%Juice;4.0791%Water;1.4215%C
heese Pasta;1.4215%Mashed Potatoes;1.4215%Honey Deli Ham;1.4215%Deli Turkey;1.8953%Morning Star Farms Sausage Patties;1.8953%Thick Cut Bacon;1.8
953%Thick Cut Stack Pack;1.9709%Homestyle Waffles;1.9709%Soft Pretzels;1.9709%Pretzel Dogs;0.8241%Chow Mein;0.8241%Broccoli Beef;0.8241%Orange C
hicken;0.8241%Jamoca Almond Fudge Ice Cream;0.9477%Oreo Cookies'N Cream Ice Cream;0.9477%Tropical Punch;0.9477%Classic Grape;0.8241%O-mazing Or
ange;0.8241%The OG;0.8241%Sweet Strawberry;0.8241%Original;0.6249%Unicorn Cake;0.6249%Pancakes;0.6249%Burgers and Fries;0.5686%Sushi;0.5686%Froz
en Chicken;0.5686%Tiramisu;0.5686%Eggs;0.5686%Ice;0.5253%Mini Chocolate;0.5253%Mini Strawberry Vanilla;0.5253%Mini The OG;0.5253%Mini Oreo Cooki
es'N Cream Ice Cream;0.3399%Pudding;0.3399%Pops
Remark: 1.此单出新西兰
2.CRD日期基于我司 QC完成验货;
3.请确保发货100%的订单数量/ sku;
4.箱唛请按邮件确认的文档
5.我司验货日期(请联系Mia Yu Mia.yu@zuru.com提前预定验货日期)，预约验货至少需在完货日期前一周申请</t>
  </si>
  <si>
    <t>Jess Huang</t>
  </si>
  <si>
    <t>97222-8.17</t>
  </si>
  <si>
    <t>SMYK S.A.</t>
  </si>
  <si>
    <t>56357/2025/1</t>
  </si>
  <si>
    <t>4500183478-10</t>
  </si>
  <si>
    <t>日期码格式：ZURU INC(BVI) 标准格式 日期：按实际生产日期
Packaging Info: 77711GQ2: A 版 3L MA EAN收缩膜+进口商贴纸；B 版 5L MA 收藏指南/A 版 3L MA PDQ
Remark: 1、若产品有比例使用ZURU STD 比例
 2、所有item 均用MA EAN条码，若包装上的EAN 条码与PO 不一致的请告知
 baby EAN：
 3、此单出欧洲需满足EU测</t>
  </si>
  <si>
    <t>97210-8.17</t>
  </si>
  <si>
    <t>4500183718-10</t>
  </si>
  <si>
    <t>4500183718-20</t>
  </si>
  <si>
    <t>4500183718-40</t>
  </si>
  <si>
    <t>WALGREENS CO.</t>
  </si>
  <si>
    <t>4500183538-70</t>
  </si>
  <si>
    <t>11/3.</t>
  </si>
  <si>
    <t>WIC 贴纸 （WIC # 750358）</t>
  </si>
  <si>
    <t>日期码格式：ZURU INC(BVI) 标准格式 日期：12-11-2025
Packaging Info: MA 1L 收缩膜 + WIC 贴纸 （WIC # 750358） + MA 收藏指南 + 客版PDQ + PDQ折页（放在PDQ顶部，开箱可以看到）
Remark: 产品和包装上要有zuru标准格式tracking code DG20251211, 产品和包装的日期要一致 ，如果无法一致需要提前确认。
取消11/21 抽板，此单只需要在 12/10 前完成 100%数量并通过ZURU 验货就可以出货
请确保所来来料测试符合美国联邦和各州法规后才可以做大货。收到订单后请寄出两套大货样给到公司，谢谢</t>
  </si>
  <si>
    <t>4500183538-10</t>
  </si>
  <si>
    <t>4500183538-20</t>
  </si>
  <si>
    <t>4500183538-30</t>
  </si>
  <si>
    <t>4500183538-40</t>
  </si>
  <si>
    <t>4500183538-50</t>
  </si>
  <si>
    <t>4500183538-60</t>
  </si>
  <si>
    <t>4500184387-20</t>
  </si>
  <si>
    <t>4500182971-20</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</si>
  <si>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</si>
  <si>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4500183825-70</t>
  </si>
  <si>
    <t>可折叠贴纸</t>
  </si>
  <si>
    <t>日期码格式：ZURU INC(BVI) 标准格式 日期：按实际生产日期
Packaging Info: 
77711SK1-S002-INT//MA 3L EAN版收缩膜4894680043350+可折叠贴纸+MA paper bag+瑞典芬兰爱沙尼亚语警告语贴在纸袋子上+MA 展示架+MA 5L(23L warning)收藏
指南+MA 23L说明书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77773SK1-S002//3PCS AG13 BATTERIES(INCLUDED)</t>
  </si>
  <si>
    <t>Luna</t>
  </si>
  <si>
    <t>97405</t>
  </si>
  <si>
    <t>4500183825-60</t>
  </si>
  <si>
    <t>可折叠贴纸+MA paper bag+瑞典芬兰爱沙尼亚语警告语贴在纸袋子上)</t>
  </si>
  <si>
    <t>日期码格式：ZURU INC(BVI) 标准格式 日期：按实际生产日期
Packaging Info: 7
77711GQ2-S002-INT//MA 3L EAN版收缩膜4894680043350+可折叠贴纸+MA paper bag+瑞典芬兰爱沙尼亚语警告语贴在纸袋子上+MA 3L PDQ+MA 5L(23L warning)收藏
指南+MA 23L说明书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77773GQ1-S002//3PCS AG13 BATTERIES(INCLUDED)</t>
  </si>
  <si>
    <t>Amazon DE:
8YQAP4WA</t>
  </si>
  <si>
    <t>4500182289-10</t>
  </si>
  <si>
    <t>1张空白贴纸+1张IT环保标贴纸(参考翻单PO#4500158623）；+SCC LABEL一张</t>
  </si>
  <si>
    <t>日期码格式：ZURU INC(BVI) 标准格式 日期：按实际生产日期
Packaging Info: Amazon UK(92119E/77731/71152)/DE(15710B/15763E/71152/77731/92119G)
2.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6. 验货时间不迟于2025/12/11.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</si>
  <si>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97223/97265</t>
  </si>
  <si>
    <t>Amazon DE:
7BUJZSCF</t>
  </si>
  <si>
    <t>4500182289-50</t>
  </si>
  <si>
    <t>Amazon UK:
63MDT6TR</t>
  </si>
  <si>
    <t>4500182289-90</t>
  </si>
  <si>
    <t>97288-8.17</t>
  </si>
  <si>
    <t>2L8DB22R</t>
  </si>
  <si>
    <t>4500182436-10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</si>
  <si>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</si>
  <si>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2GG38DOE</t>
  </si>
  <si>
    <t>4500182436-20</t>
  </si>
  <si>
    <t>14402172 14492162</t>
  </si>
  <si>
    <t>4500184536-70</t>
  </si>
  <si>
    <t>日期码格式：ZURU INC(BVI) 标准格式 日期：按实际生产日期
Packaging Info: 
77711GQ1: 最新MA 3L EAN收缩膜+ 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</si>
  <si>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97273-8.17</t>
  </si>
  <si>
    <t>4500184266-10</t>
  </si>
  <si>
    <t>进口商贴纸+UPC条码贴纸（覆盖原条码</t>
  </si>
  <si>
    <t>日期码格式：ZURU INC(BVI) 标准格式 日期：按实际生产日期
Packaging Info: 77711GQ1：A 版 3L MA 收缩膜+进口商贴纸+UPC条码贴纸（覆盖原条码）；B 版 5L MA 收藏指南/A 版 3L MA PDQ
Remark: 1、若产品有比例使用ZURU STD 比例
2、所有item 均用MA UPC 条码，若包装不是UPC 条码的请告知
3、此单出欧洲需满足EU测试标准要求</t>
  </si>
  <si>
    <t>97285-8.17</t>
  </si>
  <si>
    <t>Amazon IT:
7GBY6A5S</t>
  </si>
  <si>
    <t>4500182321-20</t>
  </si>
  <si>
    <t>日期码格式：ZURU INC(BVI) 标准格式 日期：按实际生产日期
Packaging Info: Amazon ES(92119B)/IT(77731)
2.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ES环保标+GPSR邮箱care@zuru.com，参考翻单PO#4500158623)+1张IT环保标贴纸(参考翻单PO#4500158623）；
3. 最迟验货不得晚于2025/12/12;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</si>
  <si>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97284-8.17</t>
  </si>
  <si>
    <t>4500177857-70</t>
  </si>
  <si>
    <t>日期码格式：ZURU INC(BVI) 标准格式 日期：按实际生产日期
Packaging Info:77711GQ2:MA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</si>
  <si>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4500179539-130</t>
  </si>
  <si>
    <t>UPC条码贴纸+进口商贴纸+箱唛，贴纸翻单PO4500160573</t>
  </si>
  <si>
    <t>日期码格式：LOTDGYYYYMMDD 日期：按实际生产日期
Packaging Info: 
11. 77711GQ2：3L MA EAN 收缩膜+UPC条码贴纸+进口商贴纸+MA 5L 收藏指南+MA 3L PDQ+箱唛，贴纸翻单PO4500160573
Remark: 1：客版日期码要求：LOT+ZURU标准日期码格式。东莞生产的格式：LOTDGYYYYMMDD, DG是东莞拼音首字母，YYYYMMDD是实际的年月日
2.
3. 此单有第三方监柜，至少多备一套完整的物料用于监柜，请多备料。
4. WM墨西哥防霉的新要求:货物必须在出货主箱和集装箱中按要求放置干燥剂，干燥剂指定品牌干霸
77711GQ2：每箱需放置6小包干燥剂, 每包重2-3g
5. 如走柜货等loading plan 确认后再通知集装箱干燥剂数量
此单会和其他工厂的产品合并出4*40HC，每个HC需要放置20包干燥剂，每包干燥剂1KG</t>
  </si>
  <si>
    <t>97336-8.17</t>
  </si>
  <si>
    <t>77785-S001</t>
  </si>
  <si>
    <t>ZMPO250976</t>
  </si>
  <si>
    <t>Remark:
大货版本/77711-INT  冰箱球国际版，15个特定球 每个球里面需要有一款左图中这个散件，其余的4款随机，请记得是国际版的球 
备注：收到样品订单后尽快安排 ，谢谢！</t>
  </si>
  <si>
    <t>97079-11.29</t>
  </si>
  <si>
    <t>77711-S001-INT-2</t>
  </si>
  <si>
    <t>ZMPO251016</t>
  </si>
  <si>
    <t>ZMPO251016-10</t>
  </si>
  <si>
    <t>Remark:大货最新版本/麻烦按款号装箱/并在外箱上注明款号/大货标准箱装箱/箱唛参照邮件附件
备注：收到样品订单后尽快安排 ，注意样板品质质量要求要高于大货品质要求 ，送货时必须要附带送货单(没有送货单和QC检验合格报告的仓库一律拒绝收货)，请知悉，谢谢！</t>
  </si>
  <si>
    <t>97412-8.17</t>
  </si>
  <si>
    <t>ZMPO251016-20</t>
  </si>
  <si>
    <t>CUS
PO#4400515791</t>
  </si>
  <si>
    <t>4500182619-10</t>
  </si>
  <si>
    <t>1张法国sorting label贴纸(翻PO#4500182619</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</si>
  <si>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</si>
  <si>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97221-8.17</t>
  </si>
  <si>
    <t>4500183596-70</t>
  </si>
  <si>
    <t>客户EAN条码贴纸覆盖原条码位置,&lt;(&gt;,&lt;)&gt; EAN贴纸返单4500177198，条码请核对5056296049471，PQD右后要加数量贴纸，翻
 单4500177198</t>
  </si>
  <si>
    <t>日期码格式：ZURU INC(BVI) 标准格式 日期：按实际生产日期
Packaging Info:
 77711GQ1 77711GQ1: MA-3L 配套包装+ 客户EAN条码贴纸覆盖原条码位置,&lt;(&gt;,&lt;)&gt; EAN贴纸返单4500177198，条码请核对5056296049471，PQD右后要加数量贴纸，翻
 单4500177198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</si>
  <si>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4500183596-100</t>
  </si>
  <si>
    <t>CUS
PO#48329298,
MEL</t>
  </si>
  <si>
    <t>4500185187-10</t>
  </si>
  <si>
    <t>加UPC贴纸：193052080134
箱唛翻单PO#4500160492，贴纸资料和PDQ翻单PO#4500175352</t>
  </si>
  <si>
    <t>97334-8.17</t>
  </si>
  <si>
    <t>CUS
PO#48332908,S
YD</t>
  </si>
  <si>
    <t>4500185187-20</t>
  </si>
  <si>
    <t>CUS
PO#48329417,
BNE</t>
  </si>
  <si>
    <t>4500185187-30</t>
  </si>
  <si>
    <t>4500180735-420</t>
  </si>
  <si>
    <t>(加UPC贴纸+进口商贴纸)+贴纸+(贴纸翻单4500162410,客版包装翻单4500162410)</t>
  </si>
  <si>
    <t>日期码格式：ZURU INC(BVI) 标准格式 日期：按实际生产日期
Packaging Info: 
77803GQ2-S001-PRODCC-INT: MA 收缩膜(加UPC贴纸+进口商贴纸) +贴纸 (进口商贴纸和贴纸都翻单4500162410）；客版PDQ跟回77782GQ1-S001-INT（翻单号450016
1302）+客版收藏指南（客版包装翻单4500162410）
客人箱唛排版，印4面，条码内容193052092403
Qatar的订单需要寄样品给客户进行slime测试（产品含slime的每个item分别准备完整的4套样品）（此单77685GQ2需要寄样）
Remark:</t>
  </si>
  <si>
    <t>4500184388-10</t>
  </si>
  <si>
    <t>12/25 SI</t>
  </si>
  <si>
    <t>ZB03664-8.17</t>
  </si>
  <si>
    <t>4500184388-20</t>
  </si>
  <si>
    <t>12/22 入仓</t>
  </si>
  <si>
    <t>4500184388-30</t>
  </si>
  <si>
    <t>12/26 SI</t>
  </si>
  <si>
    <t>4500184388-40</t>
  </si>
  <si>
    <t>4500184388-50</t>
  </si>
  <si>
    <t>4500182578-110</t>
  </si>
  <si>
    <t>UPC贴纸+进口商贴纸+价标贴纸+保证书+箱唛,包装/说明书都需要贴一张进口商贴纸 （</t>
  </si>
  <si>
    <t>日期码格式：ZURU INC(BVI) 标准格式 日期：按实际生产日期
Packaging Info: 77711GQ2:MA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</si>
  <si>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4500183410-60</t>
  </si>
  <si>
    <t>12/18入柜</t>
  </si>
  <si>
    <t>日期码格式： 标准格式 日期：按实际生产日期
Packaging Info:
77711GQ2 MA 多语 UPC版本193052080127
Remark: 出加拿大
日期跟踪码：产品外包装及产品本身都必须有日期跟踪码，并且确保两者的日期跟踪码要一致；ZURU标准格式日期码(请自行调整具体年月日生产期，但不能为周末
）</t>
  </si>
  <si>
    <t>AG250326-HK</t>
  </si>
  <si>
    <t>4500185735-10</t>
  </si>
  <si>
    <t>12/17出货</t>
  </si>
  <si>
    <t>日期码格式：ZURU INC(BVI) 标准格式 日期：按实际生产日期
Packaging Info: 此单出HK，客户预计12/23到贵厂提货，请务必按期完货。
77711GQ1 （INT): MA 3L 收缩膜+1张UPC 条码贴纸(UPC#193052080134) + MA 3L PDQ+MA 5L 收藏指南+HK客供警语贴纸（1张贴球底部，1张贴说明书，1张贴收藏
指南）具体参考HK客供警语贴纸位置图
Remark:</t>
  </si>
  <si>
    <t>97231-8.17</t>
  </si>
  <si>
    <t>1张空白贴纸覆盖条码+MA 收藏指南+ MA 说明书+球底部贴1张客供警语贴纸，收藏指南贴一张客供警语贴纸，说明书贴一
 张客供警语贴纸）</t>
  </si>
  <si>
    <t>4500184422-110</t>
  </si>
  <si>
    <t>日期码格式：ZURU INC(BVI) 标准格式 日期：按实际生产日期
Packaging Info:
10. 77782GQ1：客版收缩膜包装+ 客版3L PDQ包装+客版收藏指南+进口商贴纸+箱唛，客版收缩膜包装/客版PDQ包装/客版收藏指南/进口商贴纸翻单PO4500161302
Remark: 1.请注意产品包装条形码必须是UPC
2.无第三方验货</t>
  </si>
  <si>
    <t>4500181926-20</t>
  </si>
  <si>
    <t>空白贴纸覆盖条码 +德语警告语贴纸(翻单:4500161168</t>
  </si>
  <si>
    <t>日期码格式：ZURU INC(BVI) 标准格式 日期：按实际生产日期
Packaging Info: 
"2PK 77711-S001-INT in a PVC TUBE
77731: 客版PVC TUBE 包装(翻单:4500158623)+客户款号EAN条码贴纸+最新MA 3L EAN包装+空白贴纸覆盖条码 +德语警告语贴纸(翻单:4500161168)+5L收藏指南+23
L说明书+5L DIY说明书+MA 5L内袋"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</si>
  <si>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4500182863-20</t>
  </si>
  <si>
    <t>NL 警语贴纸（翻单4500155592）, MA 纸
 袋，MA UV胶贴纸</t>
  </si>
  <si>
    <t>日期码格式：ZURU INC(BVI) 标准格式 日期：按实际生产日期
Packaging Info: 
77711：客版EN FR DE IT NL 5L收缩膜（翻单4500155592），MA 5L+23L收藏指南，MA B版23L说明书， MA 5L creative+NL 警语贴纸（翻单4500155592）, MA 纸
袋，MA UV胶贴纸
Remark: 1. STD 配比
2. 须符合欧洲微塑料法规</t>
  </si>
  <si>
    <t>TJ MAXX
PO#533273,SKU
#170626
DC#891-276PCS
,
DC#894-204PCS
,
DC#896-156PCS
,
DC#897-312PCS
,
DC#898-252PCS</t>
  </si>
  <si>
    <t>4500183802-50</t>
  </si>
  <si>
    <t>Marshalls
PO#533170,SKU
#892206
DC#881-420PCS
,
DC#884-312PCS
,
DC#888-264PCS</t>
  </si>
  <si>
    <t>4500183801-50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</si>
  <si>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分3-5个DC出货，每款产品每个DC的箱唛资料不同。具体分DC数量，请参考后面行项目备注。
3. ZURU QC验货。</t>
  </si>
  <si>
    <t>4500184316-110</t>
  </si>
  <si>
    <t>日期码格式：ZURU INC(BVI) 标准格式 日期：按实际生产日期
Packaging Info: 
10. 77782GQ1：客版收缩膜包装+ 客版3L PDQ包装+客版收藏指南+进口商贴纸+箱唛，客版收缩膜包装/客版PDQ包装/客版收藏指南/进口商贴纸翻单PO4500161302
Remark: 1.请注意产品包装条形码必须是UPC
2.无第三方验货</t>
  </si>
  <si>
    <t>4500184355-110</t>
  </si>
  <si>
    <t>4500184377-20</t>
  </si>
  <si>
    <t>日期码格式：ZURU INC(BVI) 标准格式 日期：按实际生产日期
Packaging Info: 
Remark: 1. Cus Item
#77731：MA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</si>
  <si>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4500181556-20</t>
  </si>
  <si>
    <t>UPC条码贴纸+进口商贴纸</t>
  </si>
  <si>
    <t>日期码格式：ZURU INC(BVI) 标准格式 日期：按实际生产日期
Packaging Info: 
2. 77711GQ2：3L MA EAN 收缩膜+UPC条码贴纸+进口商贴纸+MA 收藏指南+MA 3L PDQ+箱唛
Remark: 1. 此单有监柜，每款请多备1pc样板用于监装</t>
  </si>
  <si>
    <t>13807820 14067822</t>
  </si>
  <si>
    <t>4500184546-20</t>
  </si>
  <si>
    <t>日期码格式：ZURU INC(BVI) 标准格式 日期：按实际生产日期
Packaging Info:
77711GQ1: 最新MA 3L EAN收缩膜+ 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</si>
  <si>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A97519-1.13</t>
  </si>
  <si>
    <t>Walgreens</t>
  </si>
  <si>
    <t>MPO03858</t>
  </si>
  <si>
    <t>MPO03858-10</t>
  </si>
  <si>
    <t>77711-NA</t>
  </si>
  <si>
    <t>迷你冰箱球24pcs/箱</t>
  </si>
  <si>
    <t>20%数量完成后用于抽板。77711-NA 12/10完成后12/11抽板</t>
  </si>
  <si>
    <t>Product Requirement
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2% 损耗
2. 送货前必需通知我司安排验货
3. MA 1L包装 + WIC贴纸
77711-NA WIC # 756891
4. 产品和包装上要有ZURU 标准格式标准格式 tracking code DG20251210，产品和包装的日期必须一致。
5. 此单分为20%和80%数量，20%数量完成后用于抽板。77711-NA 12/10完成后12/11抽板，抽板后才可以安排送货。12/18送20%数量到库有组装展示架，对应PO
号4500184559。80%数量 12/27送货。先安排20%数量，80%数量等收到客户正式PO后再安排。
6. 所有来料都要测试符合美国联邦法规和州法规后才可以做大货，特别是带液体，粉末，口水胶的产品，抽板需要做测微生物测试，必须保证化学品已经测过并达标
才可用生产。因测试问题延期造成罚款需由工厂承担，请知悉单独一款产品测试有问题都会影响整个展示架交期，罚款金额按整个展示架计算，请做好品质管控。
7. 装箱方式需要另外跟PM确认，展示架每款球装6PCS，需要工厂先分好比例，每款6个球装一起且款式不能重复，方便组装工厂直接入展示架。外箱用周转箱/周转
框，出货前需提供装箱清单。送货时周转箱/周转框带卡板加围好围膜，如未按要求送货需要工厂自行安排人手卸货。
8. 大货样需要每款球12PCS，待通知后再寄出。</t>
  </si>
  <si>
    <t>ZB03864/ZB03865</t>
  </si>
  <si>
    <t>4500182014-20</t>
  </si>
  <si>
    <t>日期码格式：ZURU INC(BVI) 标准格式 日期：按实际生产日期
Packaging Info: 
 77711GQ2: MA EAN 3L + MA PDQ + 警语贴纸（翻单4500162375）
Remark: 1/配比:
 2/产品和包装要求无硼无香，包装不能含有PVC
3/如有微塑料，必须合规欧洲标准，并增加微塑料合规IFUD声明在说明书上
4/带电池出货的产品，所用到的电池需要符合欧洲电池新规(EU)2023-1542，并增加对应WEEE 说明书</t>
  </si>
  <si>
    <t>4500185790-10</t>
  </si>
  <si>
    <t>1张法国sorting label贴纸(翻PO#4500182619)</t>
  </si>
  <si>
    <t>日期码格式：ZURU INC(BVI) 标准格式 日期：按实际生产日期
Packaging Info: 77711GQ2: 77711GQ2: 最新MA PDQ(优先3L)+MA-3L EAN收缩膜+1张法国sorting label贴纸(翻PO#4500182619) + MA-23L说明书 + MA-5-23L警语收藏指南 + MA-5L c
reative说明书
EAN: 4894680043350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</si>
  <si>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4500184164-20</t>
  </si>
  <si>
    <t>客供外箱贴纸</t>
  </si>
  <si>
    <t>日期码格式：ZURU INC(BVI) 标准格式 日期：按实际生产日期
Packaging Info: 1. 此为Kohl's ECOM 订单：
77711-S002-NA - MA UPC 包装(首选1L) + 客供外箱贴纸
Remark:
2. 胶袋要求： 需要开孔，封口热封 （尺寸太大无法热封可用胶封，但运输过程不可散开），印警告语， 跟单提供警告语内容，胶袋尺寸和开孔数量请工厂按实
际产品尺寸来调整做货.
3. 外箱印刷 ZURU LOGO + MADE IN CHINA + 定位框，尺寸4"x6" (用于黏贴外箱贴）
4. 无箱唛但需提供每款实际外箱尺寸排版确认定位框，digital 订单的定位框位置要在：箱子的最大面积朝上后，定位框在最小面的右下角，距离箱子右边3英寸
，距离底部1.25英寸，贴纸要按定位框贴，位置与方向贴不对会有客户罚款需由工厂承担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5. 外箱毛重超过35LB 外箱四面需要加黄标贴
6. 收到外箱贴纸需要扫描上传ICE系统（出货前必须完成），上传的条码信息必须跟实际出货一致，贴纸备品不需要扫描。如有不同产生的罚款由工厂承担。
7. 产品入箱后，外箱的每个面都需要是平整，不能有鼓起
8. 需经ZURU验货通过后才可出货。
9. 客户有严格要求，若由工厂导致的罚款ZURU 都会向工厂收回。</t>
  </si>
  <si>
    <t>4500184162-20</t>
  </si>
  <si>
    <t>价格贴纸 （不能覆盖mad in China 字样）+ 客供外箱贴纸</t>
  </si>
  <si>
    <t>日期码格式：ZURU INC(BVI) 标准格式 日期：按实际生产日期
Packaging Info: 1. 此为Kohl's store 订单, MA UPC包装(首选1L) + 价格贴纸 （不能覆盖mad in China 字样）+ 客供外箱贴纸
 77711 价格贴纸和位置图翻#4500169087
Remark:
2. 外箱印刷 ZURU LOGO + MADE IN CHINA + 定位框，尺寸4"x6" (用于黏贴外箱贴）
3. 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
外箱贴落在封箱面的：贴纸的条码是不可以落在箱子开口处以及折角处的， 这样都是会影响客人扫描导致罚款。 若有这样的情况需要和跟单沟通后再粘贴
4. 产品入箱后，外箱的每个面都需要是平整，不能有鼓起
5. 外箱毛重超过35LB 外箱四面需要加黄标贴
6. 收到外箱贴纸需要扫描上传ICE系统（出货前必须完成），上传的条码信息必须跟实际出货一致，贴纸备品不需要扫描。如有不同产生的罚款由工厂承担。
7. 需经ZURU验货通过后才可出货。
8. 客户有严格要求，若由工厂导致的罚款ZURU 都会向工厂收回。</t>
  </si>
  <si>
    <t>4500184391-10</t>
  </si>
  <si>
    <t>ZB03639(REV1)-8.17</t>
  </si>
  <si>
    <t>10001581597-0581</t>
  </si>
  <si>
    <t>4500183643-10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</si>
  <si>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</si>
  <si>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4500184690-10</t>
  </si>
  <si>
    <t>UPC条码+进口商贴纸,整单的贴纸图稿和位置图翻
 4500163177</t>
  </si>
  <si>
    <t>日期码格式：ZURU INC(BVI) 标准格式 日期：按实际生产日期
Packaging Info: MA UPC包装(优先1L)+进口商贴纸,整单的贴纸图稿和位置图翻
77711GQ1-4500163177
除进口商贴纸外,77711仍需一张UPC条码贴纸,贴纸资料翻单4500163177
Remark: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</si>
  <si>
    <t>BOL.COM:
P2516799A</t>
  </si>
  <si>
    <t>4500186266-190</t>
  </si>
  <si>
    <t>1张空白贴纸(覆盖在条码位置，尺寸
由工厂自行测量）+2张贴纸(1张EAN#，1张NL警告语，贴在彩卡，参考翻单PO#4500164946</t>
  </si>
  <si>
    <t>日期码格式：ZURU INC(BVI) 标准格式 日期：按实际生产日期
Packaging Info: BOL.COM(77731)
9. 77731: 2PK#77711-INT In PVC Tube，12tubes/ctn; UV GLUE/ 1 Refrigerator Magnet; MA 3L(3L warning EAN)A收缩膜+1张空白贴纸(覆盖在条码位置，尺寸
由工厂自行测量)+MA 5L(23L warning)A收藏指南+MA 23L警告语说明书+MA 5L A说明书 +客版3L(5L warning UPC) INT PVC筒彩卡(UPC#+英法德意西5L警示语+FR/ES
环保标+ZURU邮箱care@zuru.com)+2张贴纸(1张EAN#，1张NL警告语，贴在彩卡，参考翻单PO#4500164946)；
14. 验货时间不迟于2025/12/24.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</si>
  <si>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97326-8.17</t>
  </si>
  <si>
    <t>ZMPO251086</t>
  </si>
  <si>
    <t>ZMPO251086-10</t>
  </si>
  <si>
    <t>Remark:大货最新版本/只需左图14款散件每款55PCS/共770PCS,麻烦用胶袋分好好一套为一袋
备注：收到样品订单后尽快安排 ，谢谢！</t>
  </si>
  <si>
    <t>4500184791-10</t>
  </si>
  <si>
    <t>进口商贴纸+UPC贴纸+外箱贴纸</t>
  </si>
  <si>
    <t>日期码格式：ZURU INC(BVI) 标准格式 日期：按实际生产日期
Packaging Info: 77711GQ:MA 多语EAN包装+进口商贴纸+UPC贴纸+外箱贴纸+箱唛
Remark: 此单有第三方监柜，需要每款多备1套完整物料</t>
  </si>
  <si>
    <t>4500183330-10</t>
  </si>
  <si>
    <t>25-1071592JEC</t>
  </si>
  <si>
    <t>4500179365-50</t>
  </si>
  <si>
    <t>97375-8.17</t>
  </si>
  <si>
    <t>4500179611-10</t>
  </si>
  <si>
    <t>upc条码</t>
  </si>
  <si>
    <t>日期码格式：ZURU INC(BVI) 标准格式 日期：按实际生产日期
Packaging Info: 77711gq2:MA 3L INT版本+upc条码
Remark: *订单出英国，请注意检查产品及包装应带UKCA图标，包装显示ZURU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</si>
  <si>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4500179611-30</t>
  </si>
  <si>
    <t>4500182689-30</t>
  </si>
  <si>
    <t>德语警告语贴纸 (翻单：4500161168</t>
  </si>
  <si>
    <t>日期码格式：ZURU INC(BVI) 标准格式 日期：按实际生产日期
Packaging Info: 
77711: MA 3L EAN包装+德语警告语贴纸 (翻单：4500161168)+ MA 5L收藏指南+MA 23L说明书+ MA 5L DIY说明书+ MA 5L内袋
说明书+MA纸袋+MA收藏指南5L-A版本+WEEE 带电池走货 通用 B版 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</si>
  <si>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4500184259-10</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</si>
  <si>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</si>
  <si>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97310-8.17</t>
  </si>
  <si>
    <t>4500185221-120</t>
  </si>
  <si>
    <r>
      <rPr>
        <sz val="11"/>
        <color rgb="FF010CDD"/>
        <rFont val="宋体"/>
        <charset val="134"/>
      </rPr>
      <t xml:space="preserve">日期码格式：ZURU INC(BVI) 标准格式 日期：按实际生产日期
Packaging Info: 物料要求 SKU
9 77711GQ1 MA PDQ +外挂中文收藏指南+中文说明书+黑白警告语+收缩膜年龄贴（8+） 翻单： 4500178919
</t>
    </r>
    <r>
      <rPr>
        <sz val="11"/>
        <color rgb="FFFF0000"/>
        <rFont val="宋体"/>
        <charset val="134"/>
      </rPr>
      <t>77711 请提供6套大货样-客版物料变更</t>
    </r>
    <r>
      <rPr>
        <sz val="11"/>
        <color rgb="FF010CDD"/>
        <rFont val="宋体"/>
        <charset val="134"/>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</si>
  <si>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97344</t>
  </si>
  <si>
    <t>77711GQ1-S002-INT-中文单</t>
  </si>
  <si>
    <t>4500186619-60</t>
  </si>
  <si>
    <t>77731-S002-NA</t>
  </si>
  <si>
    <t>冰箱迷你球 PVC圆筒两个装/6pcs/箱</t>
  </si>
  <si>
    <t>日期码格式：ZURU INC(BVI) 标准格式 日期：按实际生产日期
Packaging Info: 1. ZURU MA （首选1L）UPC版本+加价格贴+外箱贴纸
77731 - ZURU MA （首选1L）UPC版本 + 客版 TUBE +加价格贴+外箱贴纸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</si>
  <si>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ZB03853-8.17</t>
  </si>
  <si>
    <t>4500186619-130</t>
  </si>
  <si>
    <t>4500186723-40</t>
  </si>
  <si>
    <t>BV12/30</t>
  </si>
  <si>
    <t>日期码格式：ZURU INC(BVI) 标准格式 日期：按实际生产日期
Packaging Info:
#77711:
客版3L,PDQ(NA版,16装)+MA2L收缩膜(NA版,UPC:193052080127)+MA2L收藏指南(NA版B版)+MA配件袋+MA5L说明书+MA23L警告语说明书(B)
Remark: 1. 此单有箱唛;
2. UPC贴纸：必须在原来错误的条码上用黑色粗头笔涂黑直至不能扫描，再贴上正确的UPC;
3. 此单有第三方验货，烦请多备包装物料；
4. #77711需于2025/12/22更新签样，签样数量：客版3LPDQ2pcs+2pcs球+2套齐套散件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</si>
  <si>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77711GQ4-S001-NA-1</t>
  </si>
  <si>
    <t>MPO03863</t>
  </si>
  <si>
    <t>母件订单4500184895后续需进行第三方验货，请工厂留意备品。</t>
  </si>
  <si>
    <t>交货时间: 2025/12/19</t>
  </si>
  <si>
    <t>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交货时间: 2025/12/19
2. 包装要求: #77711 MINI BRANDS-FILL THE FRIDGE S1(NA版本): MA2L收缩膜(NA版,UPC:193052080127)+MA5L收藏指南((NA版-B)+MA配件袋+MA5L,UV胶
贴纸+MA23L警告语说明书(B)
3. Demo数量: 按照384pcs数量配套组装好交货;P34、P36、P39、P61、P62、C03
4. 签办数量：#77711 2pcs大货球及1套齐套散件用以母件订单4500184895BV验货使用；
5. 母件订单4500184895后续需进行第三方验货，请工厂留意备品。</t>
  </si>
  <si>
    <t>Willow Xu，Fly Song</t>
  </si>
  <si>
    <t>4500185573-10</t>
  </si>
  <si>
    <t>日期码格式：ZURU INC(BVI) 标准格式 日期：按实际生产日期
Packaging Info: 1.MA UPC(优先1L) package+SNI label;
SNI label无需贴在产品上,但是需采购贴纸;届时跟大货一起出货,请在外箱备注好"SNI LABEL"
以防万一,请备多2%的贴纸给客人,贴纸文档见邮件;
2.此单是交SZ 普通仓库跟客人其他货一起拼柜,无散货进仓费,是按照整柜的本地费收费标准;
PO先开出厂价, 发发票前请同我确认价格类型
3.可能会需样板做测试, 也有可能有第三方验货,请等我们进一步通知;
4.77823GQ2为77711GQ2的客制版本,因license受限, 不能出kikkoman的minis,特此77823GQ2需移除kikoman的minis,更新的配比跟回订单4500167451;
77823GQ2使用STD INT国际版本3L EAN的收缩膜加一张UPC条码贴纸显示款号为77823+UPC条码;收藏指南使用STD INT国际版本,但是需加贴一张贴纸遮住kikkoman的lo
go,贴纸资料翻4500167451
PDQ使用客版PDQ(跟77782GQ1-S001-INT的PDQ，图稿可翻单拉美订单4500161302;
Remark: 77823GQ2-With 4pcs demo/PDQ
Based on #77711GQ2-S001-INT remove minis: Kikkoman-Soy Sauce (license)</t>
  </si>
  <si>
    <t>MPO03858-20</t>
  </si>
  <si>
    <t>1/3号送4分之1，1/12 全部送库有</t>
  </si>
  <si>
    <t>77785TQ1-S001-77711-NA</t>
  </si>
  <si>
    <t>12月5日左右需寄各6套大货样给UL实验室做测试（无需寄PDQ</t>
  </si>
  <si>
    <t>Mills Fleet Farm</t>
  </si>
  <si>
    <t>MPO03917</t>
  </si>
  <si>
    <t>日期可以统一打12月17日</t>
  </si>
  <si>
    <t>Remark: ① 订单的所有测试与样品要求以跟单的要求为准，且为了避免QC验货拆货来不及补货，请准备适量的贴纸和产品备品。此订单数量只作为大货生产，不包
含样板与备品。
② 关于混装展示架，各工厂交子件到最终母件工厂时，务必要 "带卡板出+围好围膜"。
如果没按要求的，请各工厂自行安排人手卸货。
③ 请贵司确保交货数量准确，与收货方交收清楚，如收货方提出任何异常，请立即安排处理解决。
1. 包装：ZURU MA UPC版本最新包装；出口美国；
2.日期码：产品包装及产品本身都必须有日期跟踪码，ZURU标准格式日期码，因该单是多工厂混装，为了统一，日期可以统一打12月17日
出货配比：
#MSLD161-S001-MIX BRAND-TOYS-MIXED-SERIES 1-MINI BRANDS/MY MINI BABY/SNACKLES/BUNCH O BALLOONS/XSHOT WATER/XSHOT MIXED IN
DISPLAY,74PCS/DISPLAY/
SLIP SHEET
子件成品于12月26送子件成品到koyo组装</t>
  </si>
  <si>
    <t>Elsa Zheng, Mila Yao;</t>
  </si>
  <si>
    <t>ZB04489-8.17</t>
  </si>
  <si>
    <t>ZMPO251087-20</t>
  </si>
  <si>
    <t>空球壳</t>
  </si>
  <si>
    <t>Remark:大货版本/只要空球，不要PDQ，球要用大货收缩膜收好
备注：收到样品订单后尽快安排 ，注意样板品质质量要求要高于大货品质要求 ，送货时必须要附带送货单(没有送货单和QC检验合格报告的仓库一律拒绝收货)，请知悉，谢谢！</t>
  </si>
  <si>
    <t>ZMPO251087-30</t>
  </si>
  <si>
    <t>78套散件</t>
  </si>
  <si>
    <t>Remark:78套散件(只需要齐全套散件，不是PDQ的散件）要组装说明书，散件不要用纸袋装，麻烦用胶袋分装好一套为一袋
备注：收到样品订单后尽快安排 ，注意样板品质质量要求要高于大货品质要求 ，送货时必须要附带送货单(没有送货单和QC检验合格报告的仓库一律拒绝收货)，请知悉，谢谢！</t>
  </si>
  <si>
    <t>*</t>
  </si>
  <si>
    <t>4500184256-10</t>
  </si>
  <si>
    <t>一张西班牙环保标和客户进口商贴纸++一张PDQ贴纸含EAN条码</t>
  </si>
  <si>
    <t>日期码格式：ZURU INC(BVI) 标准格式 日期：按实际生产日期
Packaging Info: 1.77711GQ2：最新【MA 3L EAN INT版本包装+一张西班牙环保标和客户进口商贴纸】+MA 23L 警告语说明书+MA 5L 收藏指南+【MA 3L PDQ+一张PDQ贴纸含EAN条码】
;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</si>
  <si>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A97535-1.14</t>
  </si>
  <si>
    <t>4500184256-20</t>
  </si>
  <si>
    <t>一张客户进口商贴纸含西班牙环保标+一张贴纸含EAN条码</t>
  </si>
  <si>
    <t>日期码格式：ZURU INC(BVI) 标准格式 日期：按实际生产日期
Packaging Info:
2.77711SK1：最新【MA 3L EAN版本包装+一张客户进口商贴纸含西班牙环保标】+【MA 3L SK+一张贴纸含EAN条码】；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</si>
  <si>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4500184204-10</t>
  </si>
  <si>
    <t>一张进口商贴纸（含西班牙环保标）+一张PDQ贴纸含EAN条码++一张PDQ贴纸含EAN条码</t>
  </si>
  <si>
    <t>日期码格式：ZURU INC(BVI) 标准格式 日期：按实际生产日期
Packaging Info: 1.77711GQ1：最新【MA 3L EAN版本收缩膜+一张进口商贴纸（含西班牙环保标）】+【MA 3L PDQ+一张PDQ贴纸含EAN条码】+最新MA 5L收藏指南；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</si>
  <si>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4500184204-20</t>
  </si>
  <si>
    <t>日期码格式：ZURU INC(BVI) 标准格式 日期：按实际生产日期
Packaging Info: 
2.77711SK1：最新【MA 3L EAN版本收缩膜+一张进口商贴纸（含西班牙环保标）】+【MA 3L 展示架+一张展示架贴纸含EAN条码】+最新MA 5L收藏指南；
注意： 有关PDQ的贴纸位置图，客户要求我们贴在PDQ的底部，这样客户在打开外箱的 时候不需要取出产品，即可以扫描PDQ条码，在做大货前需帮忙复查下设计提
供的贴纸位置图是否都贴到了底部，避免后续客诉发生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</si>
  <si>
    <t>4500183983-20</t>
  </si>
  <si>
    <t>日期码格式：ZURU INC(BVI) 标准格式 日期：按实际生产日期
Packaging Info: 
77782GQ1:客版收缩膜+客版收藏指南+客版PDQ+进口商贴纸+箱唛，客版资料翻单PO4500161302
Remark:</t>
  </si>
  <si>
    <t>PO#2896Z7</t>
  </si>
  <si>
    <t>4500184930-10</t>
  </si>
  <si>
    <t>12/31 100% VT测试抽板 + 验货</t>
  </si>
  <si>
    <t>12月30前完成100%大货生产并入进外箱并当天下午1点前发送ZURU验货报告</t>
  </si>
  <si>
    <t>翻4500176962 &lt;(&gt;&amp;&lt;)&gt; 4500181787。</t>
  </si>
  <si>
    <t>日期码格式：DOLLAR GENERAL 客日期码 日期：
Packaging Info: 
#77711GQ5-S002-NA-PKC 客版PDQ + 内袋警示语AWS + 客版收缩膜，请有说明书收藏指南等，请优先使用MA 1L。
Remark: 1.包装：
#77711GQ5-S002-NA-PKC 客版PDQ + 内袋警示语AWS + 客版收缩膜，请有说明书收藏指南等，请优先使用MA 1L。客aws跟单邮件发送 。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#77711GQ5：31328202A26
(2)产品日期码：
#77711GQ5：DOLGEN31328202A26（打在球壳上）
后三位L25代表25年12月的ETD 。
（3）UPC条形码：
#77711GQ5:193052080127
3. 无价贴。
4. 无样板需求
5. 验货抽样事宜：
#77711GQ5-S002-NA-PKC 无第三方验货和抽样测试。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</si>
  <si>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ZB04040-8.17</t>
  </si>
  <si>
    <t>ZMPO251112</t>
  </si>
  <si>
    <t>ZMPO251112-10</t>
  </si>
  <si>
    <t>55套散件</t>
  </si>
  <si>
    <t>Remark:大货最新版/只需要左图中14款散件每款55PCS共770PCS/麻烦用胶袋分装好一款为一袋
备注：收到样品订单后尽快安排 ，谢谢！</t>
  </si>
  <si>
    <t>55套</t>
  </si>
  <si>
    <t>ZMPO251118</t>
  </si>
  <si>
    <t>ZMPO251118-10</t>
  </si>
  <si>
    <t>指定60套散件</t>
  </si>
  <si>
    <t>Remark：大货最新版/只需要左图中14款散件每款60PCS共840PCS/麻烦用胶袋分装好一款为一袋
备注：收到样品订单后尽快安排 ，谢谢！</t>
  </si>
  <si>
    <t>60套</t>
  </si>
  <si>
    <t>10001581613-0
581</t>
  </si>
  <si>
    <t>4500185525-10</t>
  </si>
  <si>
    <t>ZB03713/ZB03743</t>
  </si>
  <si>
    <t>Marshalls
PO#534821,SKU
#892797
DC#881-48PCS,
DC#884-180PCS
,
DC#886-624PCS
,
DC#887-144PCS</t>
  </si>
  <si>
    <t>4500183807-40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</si>
  <si>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分4-5个DC出货，每款产品每个DC的箱唛资料不同。具体分DC数量，请参考后面行项目备注。
3. ZURU QC验货。</t>
  </si>
  <si>
    <t>ZB03766-8.17</t>
  </si>
  <si>
    <t>Marshalls
PO#533219,SKU
#892566
DC#881-216PCS
,
DC#884-168PCS
,
DC#886-216PCS
,
DC#887-204PCS
,
DC#888-192PCS</t>
  </si>
  <si>
    <t>4500183805-60</t>
  </si>
  <si>
    <t>ZB03746/ZB03756-8.17</t>
  </si>
  <si>
    <t>TJ MAXX
PO#534824,
SKU#171213</t>
  </si>
  <si>
    <t>4500183811-40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</si>
  <si>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1个DC#893出货。
3. ZURU QC验货</t>
  </si>
  <si>
    <t>ZB03744-8.17</t>
  </si>
  <si>
    <t>TJ MAXX
PO#533283,SKU
#170962
DC#891-264PCS
,
DC#894-180PCS
,
DC#896-288PCS
,
DC#897-228PCS
,
DC#898-240PCS</t>
  </si>
  <si>
    <t>4500183809-60</t>
  </si>
  <si>
    <t>ZB03745/ZB03774-8.17</t>
  </si>
  <si>
    <t>P015788486/S</t>
  </si>
  <si>
    <t>4500187019-10</t>
  </si>
  <si>
    <t>款号贴纸+DE IT警语贴纸</t>
  </si>
  <si>
    <t>日期码格式：ZURU INC(BVI) 标准格式 日期：按实际生产日期
Packaging Info:
77711GQ1：（INT版）MA A版3L EAN收缩膜+款号贴纸+DE IT警语贴纸，MA B版5L收藏指南，MA 5L玩法说明书，MA B版 23L黑白说明是，MA 3L PDQ
Remark: 1.此单出瑞士，微塑料需符合法规。
2.此单务必准时出货，如有推期会有罚款和空运。
其中推期1至7天扣款5%，推期8至14天扣款10%，推期15至21天扣款20%, 如此类推。
3.此单无须客户第三方验货，但是需要在12/31提供客人格式验货报告，待客人放货后才会放SO安排走货。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</si>
  <si>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4500185285-10</t>
  </si>
  <si>
    <t>日期码格式：ZURU INC(BVI) 标准格式 日期：按实际生产日期
Packaging Info: 1. Cus Item ： MA UPC 现有包装+PVC桶, 铜板纸+客供价格贴纸，优先使用MA 1L最新版本
Remark: 1. Cus Item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</si>
  <si>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ZB03755-8.17</t>
  </si>
  <si>
    <t>4500186184-20</t>
  </si>
  <si>
    <t>DC运输贴纸（所有产品均需要），PDQ 标识贴纸（带PDQ的item需要此贴纸，如果不带PDQ则不需要）贴纸尺寸以提供的箱唛资料为准，每个贴
 纸一箱一张</t>
  </si>
  <si>
    <t>日期码格式：ZURUDG20251210 日期：
Packaging Info: 1. 指定tracking code: ZURUDG20251210; 产品、彩盒、外箱的日期码需要按照我们提供的Tracking code做。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</si>
  <si>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25HJV5</t>
  </si>
  <si>
    <t>4500186337-20</t>
  </si>
  <si>
    <t>1.6早上做第三方TUV的100%大货验货+抽样。第三方验货和抽样点数会按照几单的总数，抽板数量成品随机12pcs球+5套光身板+足量干漆面/油墨。
 请在1月5前完成ZURU QC验货，并当天14点前提供验货报告+大货图片给跟单。</t>
  </si>
  <si>
    <t>翻4500176962 &amp; 4500181787</t>
  </si>
  <si>
    <t>日期码格式：DOLLAR GENERAL 客日期码 日期：
Packaging Info: 
#77711GQ5-S002-NA-PKC 客版PDQ + 内袋警示语AWS + 客版收缩膜，请有说明书收藏指南等，请优先使用MA 1L。
Remark: 1.包装：
#77711GQ5-S002-NA-PKC 客版PDQ（翻4500184930 ） + 内袋警示语AWS（翻已出货订单） + 客版收缩膜(AWS跟单邮件发)，请有说明书收藏指南等，请优先使用MA 1
L.
以上包材需要跟第三方之前密封在厂的MA内容版本一致，否则会导致第三方验货和抽板fail。如果有不一致，一定在收到订单后三天内告知，我们需要提前做评估以
及找客户审批。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#77711GQ5：31328202B26
(2)产品日期码：
#77711GQ5：DOLGEN31328202B26（打在球壳上）
后三位B26代表26年2月的ETD 。
（3）UPC条形码：
#77711GQ5:193052080127
3. 无价贴。
4. 无样板需求
5. 验货抽样事宜：
1.6早上做第三方TUV的100%大货验货+抽样。第三方验货和抽样点数会按照几单的总数，抽板数量成品随机12pcs球+5套光身板+足量干漆面/油墨。
请在1月5前完成ZURU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</si>
  <si>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ZB04085-8.17</t>
  </si>
  <si>
    <t>28HJ36</t>
  </si>
  <si>
    <t>4500186337-40</t>
  </si>
  <si>
    <t>ZB04058-8.17</t>
  </si>
  <si>
    <t>立宛淘</t>
  </si>
  <si>
    <t>4500186648-10</t>
  </si>
  <si>
    <t>进口商贴纸+UPC 条码贴纸</t>
  </si>
  <si>
    <t>日期码格式：ZURU INC(BVI) 标准格式 日期：按实际生产日期
Packaging Info: 77711GQ2：A 版 3L MA 收缩膜+进口商贴纸+UPC 条码贴纸；A 版3L MA PDQ/B 版 5L MA 收藏指南
Remark: 1、若产品有比例使用ZURU STD 比例
2、所有item 均用MA UPC 条码，若包装不是UPC 条码的请告知
3、此单出欧洲需满足EU测试标准要求</t>
  </si>
  <si>
    <t>A97520-1.13</t>
  </si>
  <si>
    <t>4500188579-20</t>
  </si>
  <si>
    <t>4500186184 拆单</t>
  </si>
  <si>
    <t>UPC贴纸+DC运输贴纸（所有产品均需要），PDQ 标识贴纸（带PDQ的item需要此贴纸，如果不带PDQ则不需要）</t>
  </si>
  <si>
    <t>4500188596-20</t>
  </si>
  <si>
    <t>4500189510-70</t>
  </si>
  <si>
    <t>4500180436/4500180498拆分</t>
  </si>
  <si>
    <t>(加UPC贴纸+进口商贴纸) +贴纸+进口商贴纸</t>
  </si>
  <si>
    <t>日期码格式：ZURU INC(BVI) 标准格式 日期：按实际生产日期
Packaging Info: 
77803GQ2-S001-PRODCC-INT: MA 收缩膜(加UPC贴纸+进口商贴纸) +贴纸+客版PDQ跟回77782GQ1-S001-INT（翻单号4500161302）+客版收藏指南（客版包装翻单4500
162410）; PDQ+进口商贴纸
客人箱唛排版，印4面，条码内容193052092403
Remark:</t>
  </si>
  <si>
    <t>4500189939-20</t>
  </si>
  <si>
    <t>4500186834转单</t>
  </si>
  <si>
    <t>日期码格式：ZURU INC(BVI) 标准格式 日期：按实际生产日期
Packaging Info: 
77711GQ1:最新MA 3L PDQ+最新 MA 3L EAN 收缩膜 +1*多语折叠警告语贴纸（翻单4500157858） + MA 5L收藏指南+ MA 23L说明书+ MA UV胶黑白警告语 + MA纸袋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</si>
  <si>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A97466-1.7</t>
  </si>
  <si>
    <t>77721SLT-77711-S001</t>
  </si>
  <si>
    <t>1/7 出货</t>
  </si>
  <si>
    <t>ZB03821(REV1)-8.17</t>
  </si>
  <si>
    <t>4500186877-40</t>
  </si>
  <si>
    <t>进口商贴纸+UPC条码贴纸(翻单4500164387)</t>
  </si>
  <si>
    <t>日期码格式：ZURU INC(BVI) 标准格式 日期：按实际生产日期
Packaging Info: 
77711GQ1: MA A版 3L UPC收缩膜+ 进口商贴纸+UPC条码贴纸(翻单4500164387);MA收藏指南;MA PDQ
Remark: 此单出欧洲斯洛文尼亚， 需满足EU测试标准要求，不能含微塑料，需出无闪粉版本</t>
  </si>
  <si>
    <t>4500186899-30</t>
  </si>
  <si>
    <t>EAN条码贴纸+数量贴纸</t>
  </si>
  <si>
    <t>日期码格式：ZURU INC(BVI) 标准格式 日期：按实际生产日期
Packaging Info: 
77711GQ1: MA-3L 配套包装+ 客户EAN条码贴纸覆盖原条码位置,&lt;(&gt;,&lt;)&gt; EAN贴纸返单4500177198，条码请核对5056296049471，PQD右后要加数量贴纸，翻单450017
7198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</si>
  <si>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4500186435-30</t>
  </si>
  <si>
    <t>日期码格式：ZURU INC(BVI) 标准格式 日期：按实际生产日期
Packaging Info: MA UPC包装+价格贴纸，价格贴纸客供。
2PK 的球用无条码收缩膜或加空白贴纸覆盖原条码
Remark: 1. 产品和包装上印刷tracking code信息，格式为ZURU常规格式。
2. 分5个DC出货，每款产品每个DC的箱唛资料不同。具体分DC数量，如下：
item#77731: TJ MAXX PO#718559,SKU#176602 DC#891-240PCS, DC#894-204PCS, DC#896-192PCS, DC#897-372PCS, DC#898-192PCS;
3. ZURU QC验货。</t>
  </si>
  <si>
    <t>ZB03767-8.17</t>
  </si>
  <si>
    <t>4500186433-30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</si>
  <si>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分4个DC出货，每款产品每个DC的箱唛资料不同。具体分DC数量，如下：
item#77731: Marshalls PO#718558,SKU#898324 DC#881-288PCS, DC#884-84PCS, DC#886-312PCS, DC#887-312PCS;
3. ZURU QC验货。</t>
  </si>
  <si>
    <t>ZB03768-8.17</t>
  </si>
  <si>
    <t>4500187236-50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</si>
  <si>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PO#770793,SKU#178485 DC#891-264PCS, DC#894-204PCS, DC#896-168PCS, DC#897-336PCS, DC#898-228PCS;</t>
  </si>
  <si>
    <t>ZB03776-8.17</t>
  </si>
  <si>
    <t>4500187231-50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</si>
  <si>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item#77731: Marshalls PO#770791,SKU#899836 DC#882-996PCS;</t>
  </si>
  <si>
    <t>ZB03775-8.17</t>
  </si>
  <si>
    <t>4500186234-120</t>
  </si>
  <si>
    <r>
      <rPr>
        <sz val="11"/>
        <rFont val="宋体"/>
        <charset val="134"/>
      </rPr>
      <t xml:space="preserve">日期码格式：ZURU INC(BVI) 标准格式 日期：按实际生产日期
Packaging Info: 
12. 77711GQ2：3L MA EAN 收缩膜+UPC条码贴纸+进口商贴纸+MA 5L 收藏指南+MA 3L SK+箱唛
Remark:
</t>
    </r>
    <r>
      <rPr>
        <sz val="11"/>
        <color rgb="FFFF0000"/>
        <rFont val="宋体"/>
        <charset val="134"/>
      </rPr>
      <t>10. 客户有监装要求，每款需要备1pc监装样板</t>
    </r>
  </si>
  <si>
    <t>4500186208-10</t>
  </si>
  <si>
    <t>77711-S005-NA-PKC</t>
  </si>
  <si>
    <t>迷你冰箱球24pcs/胶袋装</t>
  </si>
  <si>
    <t>12/31 ITS 25%大货抽样验货抽办</t>
  </si>
  <si>
    <t>客版产品条码贴纸+客版内袋+外箱贴</t>
  </si>
  <si>
    <t>日期码格式：ZURU INC(BVI) 标准格式 日期：按实际生产日期
Packaging Info: 1.ZURU标准MA包装( UPC 优先1L） +客版产品条码贴纸+客版内袋+外箱贴, AW请使用最新artwork，工厂自行订购。 出口美国
2.产品及包装上都要有日期码，日期码是一致的（但不能为周末)，格式为ZURU标准格式
Remark: 3.配比：
#77711-S005-NA-PKC-MINI BRANDS-FILL THE FRIDGE-SERIES 1-APSULE,6PCS/POLYBAG,24PCS/4POLYBAG/CTN
客版内袋INNER POLYBAG的美国标准警示语内容为：
WARNING: TO AVOID DANGER OF SUFFOCATION, KEEP THIS BAG AWAY FROM BABIES AND CHILDREN. DO NOT USE IN CRIBS, BEDS, CARRIAGES OR PLAY PENS. THIS B
AG IS NOT A TOY. KNOT UP BAG BEFORE THROWING AWAY.
（内袋AWS 跟单稍后提供）
4.#77711-S005 需在2025年12月27日前完成25%大货包装，12月28日早上进行ITS的25%大货抽样验货。100%大货可以在2026年1月8日前完成。收到PASS的测试报告后
，才可安排入仓出货。
25%抽样由客人指定的第三方ITS进行，现场在大货中抽样，具体要求如下面A,B,C,D所列：
A.样板抽取12pcs/每款/每色（带包装，大货中抽取）。
B.产品上有涂层的，每种涂层需要提供两张A4大小喷满同种油漆的底材（油漆喷厚一些避免用料不够，否则需客批才能另外补料给实验室）。
C.如有液体材料，每种需提供50ml。
D.抽样前一天会将测式申请表发出，需打印出来随抽样一起寄给ITS。
5. 大货样板需求：
每款一箱大货满箱样（产品须带客版贴纸+外箱贴纸，并带大货外箱）+ 每款每色各4套大货样（带客版贴纸包装）寄给深圳跟单Blanche， 大货样需在12/28日前寄
出，客户确认后方可出货。
Remark：满箱样/大货样以及测试样板数量不包含在订单数量里，做货需预备所有样板数量。</t>
  </si>
  <si>
    <t>ZB04236-8.17</t>
  </si>
  <si>
    <t>4500187090-40</t>
  </si>
  <si>
    <t>UPC 条码贴纸(UPC#193052080134)+HK客供警语贴纸（1张贴球底部，1张贴说明书，1张贴收藏
 指南）</t>
  </si>
  <si>
    <t>日期码格式：ZURU INC(BVI) 标准格式 日期：按实际生产日期
Packaging Info: 
77711GQ1 （INT): MA 3L 收缩膜+1张UPC 条码贴纸(UPC#193052080134) + MA 3L PDQ+MA 5L 收藏指南+HK客供警语贴纸（1张贴球底部，1张贴说明书，1张贴收藏
指南）具体参考HK客供警语贴纸位置图
Remark: 此单出HK</t>
  </si>
  <si>
    <t>A97510-1.12</t>
  </si>
  <si>
    <t>1张空白贴纸覆盖条码+HK客供警语贴纸（1张贴球底部，1张贴说明书，1张贴收藏
 指南）</t>
  </si>
  <si>
    <t>4500187444-10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</si>
  <si>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</si>
  <si>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A97509-1.12</t>
  </si>
  <si>
    <t>10001581621-0
581</t>
  </si>
  <si>
    <t>4500186417-10</t>
  </si>
  <si>
    <t>ZB03946-8.17</t>
  </si>
  <si>
    <t>77785-S001-77711-NA</t>
  </si>
  <si>
    <t>4500183001-200</t>
  </si>
  <si>
    <t>97179</t>
  </si>
  <si>
    <t>40059747 40059835</t>
  </si>
  <si>
    <t>4500183051-10</t>
  </si>
  <si>
    <t>4500183051-120</t>
  </si>
  <si>
    <t>4500183616-170</t>
  </si>
  <si>
    <t>客版物料翻单PO450016130</t>
  </si>
  <si>
    <t>日期码格式：ZURU INC(BVI) 标准格式 日期：按实际生产日期
Packaging Info: 
77782GQ1:客版 收缩膜+客版收藏指南+客版PDQ+进口商贴纸+箱唛+UPC贴纸，，客版物料翻单PO450016130
Remark: 77782:WITH 4 DEMO; Base on #77711GQ2-S001-INT ver.:Remove Hershey and Kikkoman, Kikkoman-Soy Sauce
Hershey's-Chocolate Syrup 24 oz
Hershey's-Mini Chocolate Syrup 24 oz
Hershey's-Strawberry Syrup 22 oz</t>
  </si>
  <si>
    <t>Amazon UK:
8AXLZI4A</t>
  </si>
  <si>
    <t>4500187194-10</t>
  </si>
  <si>
    <t>日期码格式：ZURU INC(BVI) 标准格式 日期：按实际生产日期
Packaging Info: Amazon UK(77731)
1.77731:2PK#77711-INT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环保标+GPSR邮箱care@zuru.com+新FR&lt;(&gt;&amp;&lt;)&gt;DK地址，参考翻单PO#4500186266)+1张IT环保标贴纸(参考翻单PO#4500158623）；
2.最迟验货不得晚于2026/1/12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</si>
  <si>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A97554-1.17</t>
  </si>
  <si>
    <t>Amazon UK:
893UEE9L</t>
  </si>
  <si>
    <t>4500187194-20</t>
  </si>
  <si>
    <t>4500185221-130</t>
  </si>
  <si>
    <t>产品/销售包装/外箱日期码要一致</t>
  </si>
  <si>
    <r>
      <rPr>
        <sz val="11"/>
        <rFont val="宋体"/>
        <charset val="134"/>
      </rPr>
      <t xml:space="preserve">日期码格式：ZURU INC(BVI) 标准格式 日期：按实际生产日期
Packaging Info: 物料要求 SKU
9 77711GQ1 MA PDQ +外挂中文收藏指南+中文说明书+黑白警告语+收缩膜年龄贴（8+） 翻单： 4500178919
</t>
    </r>
    <r>
      <rPr>
        <sz val="11"/>
        <color rgb="FFFF0000"/>
        <rFont val="宋体"/>
        <charset val="134"/>
      </rPr>
      <t>77711 请提供6套大货样-客版物料变更</t>
    </r>
    <r>
      <rPr>
        <sz val="11"/>
        <rFont val="宋体"/>
        <charset val="134"/>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</si>
  <si>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A97481</t>
  </si>
  <si>
    <t>4500185399-40</t>
  </si>
  <si>
    <t>日期码格式：ZURU INC(BVI) 标准格式 日期：按实际生产日期
Packaging Info: 1、包装方式：
其他款：MA UPC优先1L最新版，出口美国
Remark: 2、无第三方测试&lt;(&gt;&amp;&lt;)&gt;验货要求
3、纸箱4面印ZURU LOGO + 箱唛
4、日期码请按ZURU标准版执行即可
5、ZURU OQC验货</t>
  </si>
  <si>
    <t>ZB03963-8.17</t>
  </si>
  <si>
    <t>77785-S002-77711-NA</t>
  </si>
  <si>
    <t>1pcs迷你冰箱+2pcs迷你球混装-NA/8pcs/箱</t>
  </si>
  <si>
    <t>客供贴纸</t>
  </si>
  <si>
    <t>10001620578-3
891</t>
  </si>
  <si>
    <t>4500187344-10</t>
  </si>
  <si>
    <t>ZB04264-8.17</t>
  </si>
  <si>
    <t>4500187431-10</t>
  </si>
  <si>
    <t>4500187528-30</t>
  </si>
  <si>
    <t>日期码格式：ZURU INC(BVI) 标准格式 日期：按实际生产日期
Packaging Info: 
77711SLB-S001-INT, MA最新UPC包装，UPC :193052080127，请先检查条码是否正确再安排做货。
Slip sheet: 77711GQ1-S002-INT 13pcs/PDQ/CTN 15*5H=75CTN/SLB=975pcs/Slip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</si>
  <si>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4500182548-90</t>
  </si>
  <si>
    <t>11/31</t>
  </si>
  <si>
    <t>日期码格式： 标准格式 日期：按实际生产日期
Packaging Info: 
77711GQ1 MA 2L A版（PDQ+收缩膜UPC版本193052080127)
Remark: 出加拿大
Zuru验货.日期跟踪码：产品外包装及产品本身都必须有日期跟踪码，ZURU标准格式日期码</t>
  </si>
  <si>
    <t>ZMPO251147</t>
  </si>
  <si>
    <t>30个满PDQ</t>
  </si>
  <si>
    <t>Remark:大货版本/PDQ里面产品按大货比例入PDQ/大货标准箱装箱/箱唛参照邮件附件;备注： 收到样品订单后尽快安排 ，注意样板品质质量要求要高于大货品质质量 ，送货时必须要附带送货单(没有送货单和QC检验合格报告的仓库一律拒绝收货)，请知悉，谢谢！</t>
  </si>
  <si>
    <t>PO#60X483308</t>
  </si>
  <si>
    <t>4500184978-30</t>
  </si>
  <si>
    <t>1月15日第三方（利丰）到工厂做100%大货现场验货和抽板，验货需打印EPM出来跟客户回签样板供第三方验货参考。</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</si>
  <si>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#77711GQ1-S002-NA；#92129TQ2；#92125；#71126：签样同旧单4500180967 , 但如果签样超过一年或包材有更新需重新寄样重新签。
样板一套我们将给到美国HEB，两套寄到以下深圳利丰地址，到时利丰会回签一套用于第三方100%大货验货。
回签的样板工厂需要长期保存好，只要产品物料没更新样板有效期一年，一年内每次的第三方验货都是用这套样板做参考不再走客户签样流程。
* 4pcs 成品球+1个空PDQ，寄到以下地址
深圳雨禾伟业实业有限公司
地址：广东省深圳市罗湖区东门南路1006号文锦渡口岸大厦B栋7楼
收件人：Elsa
电话：0755 6688 1988 Ext3337
*4pcs成品+2个空PDQ+2套散件（如果产品涉及散件的话））寄到以下地址：
Li Fung　
深圳市福田区绒花路8号深福保大厦附楼3楼。
收件人： Yoland Dai　电话：+0755 8825 3756
4. 验货+ 抽板 （同一天进行）
预约1月15日第三方（利丰）到工厂做100%大货现场验货和抽板，验货需打印EPM出来跟客户回签样板供第三方验货参考。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</si>
  <si>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是</t>
  </si>
  <si>
    <t>收缩膜年龄贴（8+） 翻单： 4500170580</t>
  </si>
  <si>
    <t>3EKTWQLL</t>
  </si>
  <si>
    <t>4500186570-20</t>
  </si>
  <si>
    <t>SSCC label</t>
  </si>
  <si>
    <t>ZB04060-8.17</t>
  </si>
  <si>
    <t>77731-NA-S001-MTS-1L</t>
  </si>
  <si>
    <t>3QAXSYND</t>
  </si>
  <si>
    <t>4500186572-40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</si>
  <si>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</si>
  <si>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ZB04041-8.17</t>
  </si>
  <si>
    <t>7B86IXVV</t>
  </si>
  <si>
    <t>4500186574-70</t>
  </si>
  <si>
    <t>ZB04042-8.17</t>
  </si>
  <si>
    <t>7L8YA6DY</t>
  </si>
  <si>
    <t>4500186574-80</t>
  </si>
  <si>
    <t>2E9BB5CD</t>
  </si>
  <si>
    <t>4500186575-40</t>
  </si>
  <si>
    <t>日期码格式：ZURU INC(BVI) 标准格式 日期：按实际生产日期
Packaging Info:
#77731：2PK STD #77711入PVC桶，3L 2PK铜版纸，客版无UPC版本收缩膜翻单4500181254。收藏指南，说明书均为MA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</si>
  <si>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ZB04043-8.17</t>
  </si>
  <si>
    <t>8L7BIYAT</t>
  </si>
  <si>
    <t>4500186575-50</t>
  </si>
  <si>
    <t>4500185120-90</t>
  </si>
  <si>
    <t>日期码格式：ZURU INC(BVI) 标准格式 日期：按实际生产日期
Packaging Info: 77782GQ1:客版收缩膜+客版收藏指南+客版PDQ+箱唛，无客户贴纸，客版物料翻单PO 4500161302
其余item：MA 多语包装+ UPC贴纸+箱唛，无客户贴纸
Remark: 77782:WITH 4 DEMO; Base on #77711GQ2-S001-INT ver.:Remove Hershey and Kikkoman, Kikkoman-Soy Sauce Hershey's-Chocolate Syrup 24 oz
Hershey's-Mini Chocolate Syrup 24 oz
Hershey's-Strawberry Syrup 22 oz</t>
  </si>
  <si>
    <t>4500188028-10</t>
  </si>
  <si>
    <t>日期码格式：ZURU INC(BVI) 标准格式 日期：按实际生产日期
Packaging Info: 77711GQ1: 最新MA 3L收缩膜+ MA 3L PDQ+其他最新MA包装;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8.若外箱重量超过16KGS，请提前告知ZURU跟单，需要客人批准才能出货，并且外箱需要印“2 man lift”标志.
9.做货前请先复核包装条码与订单是否一致再安排，对不上的需与ZURU跟单确认再安排。</t>
  </si>
  <si>
    <t>4500185143-20</t>
  </si>
  <si>
    <t>价贴金额$19.99, 价贴位于PVC桶铜
 版纸UPC条形码附+一面留空贴外箱贴；
 *外箱正面需要额外加贴2张外箱贴（外箱贴客户提供，工厂直接贴）
 近）价贴资料翻单4500182877，工厂采购</t>
  </si>
  <si>
    <r>
      <rPr>
        <sz val="11"/>
        <rFont val="宋体"/>
        <charset val="134"/>
      </rPr>
      <t xml:space="preserve">日期码格式：ZURU INC(BVI) 标准格式 日期：按实际生产日期
Packaging Info: 1. 包材：ZURU MA 1L UPC 最新版本，出口美国
</t>
    </r>
    <r>
      <rPr>
        <sz val="11"/>
        <color rgb="FFFF0000"/>
        <rFont val="宋体"/>
        <charset val="134"/>
      </rPr>
      <t>#77731: 球使用客版2L NA空白条码收缩膜（翻单4500182865）+2L 英法版本 收藏指南 + 23L 说明书 + 3L UPC 铜版纸+ 价格贴纸&lt;(&gt;,&lt;)&gt;价贴金额$19.99; 价贴位
于PVC桶铜版纸UPC条形码附近）价贴资料翻单4500182865，工厂采购，出口美国。</t>
    </r>
    <r>
      <rPr>
        <sz val="11"/>
        <rFont val="宋体"/>
        <charset val="134"/>
      </rPr>
      <t xml:space="preserve">
Remark: 2.日期跟踪码：产品包装及产品本身都必须有日期跟踪码，并且确保两者的日期跟
踪码要一致；ZURU标准格式日期码(请自行调整具体年月日生产期，但不能为周末）。
3. 出货后请尽快发发票给我们文员对账；
4.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5. 此客户有两个PO:
PO#2056144 ship to NJ
PO#2056145 ship to NV
6. 出货配比：ZURU 标版配比</t>
    </r>
  </si>
  <si>
    <t>ZB03961-8.17</t>
  </si>
  <si>
    <t>4500185143-40</t>
  </si>
  <si>
    <t>ZB03962-8.17</t>
  </si>
  <si>
    <t>4500186008-20</t>
  </si>
  <si>
    <t>1张西班牙环保标贴纸</t>
  </si>
  <si>
    <t>日期码格式：ZURU INC(BVI) 标准格式 日期：按实际生产日期
Packaging Info:
2.77711GQ2：最新MA 3L EAN包装+一张西班牙环保标贴纸+MA 3L PDQ+MA 5L 收藏指南；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</si>
  <si>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一张空白贴纸覆盖原条码+最新MA5L收藏指南+最新MA23L说明书+最新MA5L creative+最新MA纸袋</t>
  </si>
  <si>
    <t>日期码格式：ZURU INC(BVI) 标准格式 日期：按实际生产日期
Packaging Info: 
5.77785：最新客版彩盒+EAN贴纸；(条码贴纸翻单4500166563）；
子件77711：最新MA3LEAN收缩膜+一张空白贴纸覆盖原条码+最新MA5L收藏指南+最新MA23L说明书+最新MA5L creative+最新MA纸袋；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5.此单需要准备每款两套大货样，请注意备料；</t>
  </si>
  <si>
    <t>4500186566-40</t>
  </si>
  <si>
    <t>日期码格式：ZURU INC(BVI) 标准格式 日期：按实际生产日期
Packaging Info: 1. STD Items: ZURU MA UPC 现有包装+客供价格贴纸，优先使用MA 1L最新版本（可接受多语）,出口美国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</si>
  <si>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4500188043-70</t>
  </si>
  <si>
    <t>一张西班牙环保标</t>
  </si>
  <si>
    <t>日期码格式：ZURU INC(BVI) 标准格式 日期：按实际生产日期
Packaging Info:
77711GQ2： 最新【MA 3L EAN INT版本包装+一张西班牙环保标】+MA 23L 警告语说明书+MA 5L 收藏指南+MA 3L PDQ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</si>
  <si>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4500187921-40</t>
  </si>
  <si>
    <t>日期码格式：ZURU INC(BVI) 标准格式 日期：按实际生产日期
Packaging Info:
77711GQ1：(INT版)MA 3L EAN收缩膜+DE IT警语贴纸，MA B版5L收藏指南，MA 5L玩法说明书，MA B版 23L UV胶黑白警告语说明书，MA配件袋，MA 3L PDQ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</si>
  <si>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4500188597-20</t>
  </si>
  <si>
    <t>4500185221-140</t>
  </si>
  <si>
    <r>
      <rPr>
        <sz val="11"/>
        <rFont val="宋体"/>
        <charset val="134"/>
      </rPr>
      <t xml:space="preserve">日期码格式：ZURU INC(BVI) 标准格式 日期：按实际生产日期
Packaging Info: 物料要求 SKU
9 77711GQ1 MA PDQ +外挂中文收藏指南+中文说明书+黑白警告语+客版收缩膜年龄贴（8+） 翻单： 4500178919
</t>
    </r>
    <r>
      <rPr>
        <sz val="11"/>
        <color rgb="FFFF0000"/>
        <rFont val="宋体"/>
        <charset val="134"/>
      </rPr>
      <t>77711 请提供6套大货样-客版物料变更</t>
    </r>
    <r>
      <rPr>
        <sz val="11"/>
        <rFont val="宋体"/>
        <charset val="134"/>
      </rPr>
      <t xml:space="preserve">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r>
  </si>
  <si>
    <t>97344-8.17</t>
  </si>
  <si>
    <t>4500185221-150</t>
  </si>
  <si>
    <t>4500185221-160</t>
  </si>
  <si>
    <t>4500187640-120</t>
  </si>
  <si>
    <t>4500187433-20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</si>
  <si>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</si>
  <si>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I-VISION TOYS.INC</t>
  </si>
  <si>
    <t>韩国</t>
  </si>
  <si>
    <t>IVI-1203EF</t>
  </si>
  <si>
    <t>4500188421-20</t>
  </si>
  <si>
    <t>1张UPC 条码贴纸 （覆盖原条码）+韩语贴纸（新稿）</t>
  </si>
  <si>
    <t>日期码格式：ZURU INC(BVI) 标准格式 日期：按实际生产日期
Packaging Info:
77711GQ1： MA 3L INT 收缩膜+1张UPC 条码贴纸 （覆盖原条码）+韩语贴纸（新稿）， MA PDQ , MA 收藏指南和说明书，箱唛新稿
Remark: 由于韩国法律法规要求，此单92119口水胶出无硼版，无MIT版本，
吸塑需PET材质, 产品需符合韩国KC测试标准。
7 Assortment, Polar bear: Penguin: Walrus: Mammoth: Owl: Seal: Snow man=10:10:10:10:10:8:2. Snow man is the rare item.</t>
  </si>
  <si>
    <t>没入</t>
  </si>
  <si>
    <t>4500181289-10</t>
  </si>
  <si>
    <t>日期码格式：ZURU INC(BVI) 标准格式 日期：按实际生产日期
Packaging Info: 77782GQ1:客版收缩膜+客版收藏指南+客版PDQ，客版物料翻单POPO4500161302
Remark: 订单需提交自检报告，客户审核通过才可以出货。
外箱上的箱唛资料会显示日期06-FEB-2026,产品/包装/外箱可以按ZURU 标准日期码打，也可以跟回外箱日期码，工厂自行选择,两者均可接受
77782:WITH 4 DEMO; Base on #77711GQ2-S001-INT ver.:Remove Hershey and Kikkoman, Kikkoman-Soy Sauce
Hershey's-Chocolate Syrup 24 oz
Hershey's-Mini Chocolate Syrup 24 oz
Hershey's-Strawberry Syrup 22 oz</t>
  </si>
  <si>
    <t>4500188088-10</t>
  </si>
  <si>
    <t>日期码格式：ZURU INC(BVI) 标准格式 日期：按实际生产日期
Packaging Info: 77711:.MA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77711扫描结果为7678363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</si>
  <si>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4500186641-20</t>
  </si>
  <si>
    <t>加贴价格贴纸+贴条码贴纸</t>
  </si>
  <si>
    <t>ZB04491-8.17</t>
  </si>
  <si>
    <t>4500185077-30</t>
  </si>
  <si>
    <r>
      <rPr>
        <sz val="11"/>
        <rFont val="宋体"/>
        <charset val="134"/>
      </rPr>
      <t>日期码格式：ZURU INC(BVI) 标准格式 日期：按实际生产日期
Packaging Info: MA 1L UPC最新包装+ MA PDQ（如果有的话)+其他MA 包装，MA 指南/说明书（如果有的话），请先核对条码无误后安排，配比按MA
77711GQ2：193052080134</t>
    </r>
    <r>
      <rPr>
        <sz val="11"/>
        <color rgb="FFFF0000"/>
        <rFont val="宋体"/>
        <charset val="134"/>
      </rPr>
      <t>- MA 3L INT版本收缩膜+1张UPC贴纸（UPC#193052080134 翻PO#4500166127）+ MA INT版本5L收藏指南+M
A INT 版本 3L PDQ+其他MA最新包装</t>
    </r>
    <r>
      <rPr>
        <sz val="11"/>
        <rFont val="宋体"/>
        <charset val="134"/>
      </rPr>
      <t xml:space="preserve">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
白说明书</t>
    </r>
  </si>
  <si>
    <t>F126351-3</t>
  </si>
  <si>
    <t>4500186456-10</t>
  </si>
  <si>
    <t>ZB04144-8.17</t>
  </si>
  <si>
    <t>客户PO#
49878301</t>
  </si>
  <si>
    <t>4500185170-10</t>
  </si>
  <si>
    <t>两张彩色贴纸彩色产品贴纸翻单PO#4500182810.客供防盗贴</t>
  </si>
  <si>
    <t>日期码格式：ZURU INC(BVI) 标准格式 日期：2026-01-16
Packaging Info: 1)客版PDQ翻单PO#4500182810，最新版ZURU MA UPC包装(优先1L)，出口美国。如有说明书请使用ZURU MA说明书，优先放1L英语。
2)ZURU标准日期码格式：工厂城市缩写+生产年月日。此单指定日期码：DG20260116。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49878301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</si>
  <si>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ZB04092/ZB04093/ZB04094/ZB04095/ZB04096/ZB04097/ZB04098/ZB04099/ZB04100</t>
  </si>
  <si>
    <t>4500188145-20</t>
  </si>
  <si>
    <r>
      <rPr>
        <sz val="11"/>
        <rFont val="宋体"/>
        <charset val="134"/>
      </rPr>
      <t xml:space="preserve">日期码格式：ZURU INC(BVI) 标准格式 日期：按实际生产日期
Packaging Info: 
2. 77711GQ2：3L MA EAN 收缩膜+UPC条码贴纸+进口商贴纸+MA 5L 收藏指南+MA 3L PDQ+箱唛
Remark:
</t>
    </r>
    <r>
      <rPr>
        <sz val="11"/>
        <color rgb="FFFF0000"/>
        <rFont val="宋体"/>
        <charset val="134"/>
      </rPr>
      <t>客户有监装要求，每款需要多备1pc监柜样板用于监装，监柜样板要和大货一致</t>
    </r>
  </si>
  <si>
    <t>4500186392-20</t>
  </si>
  <si>
    <t>4500187984-20</t>
  </si>
  <si>
    <t>欠一张UPC 条码贴纸</t>
  </si>
  <si>
    <t>日期码格式：ZURU INC(BVI) 标准格式 日期：按实际生产日期
Packaging Info: 1. 包装方式：MA UPC优先1L最新包装，出口美国；
2. 产品和包装上印刷tracking code信息，格式为ZURU常规；
3. ZURU QC 验货合格后即可出货.
Remark: 
5. 77711GQ2-S002-NA PDQ上需要贴一张UPC 条码贴纸,UPC显示：193052080127，贴纸AW跟单提供，工厂自行采购；</t>
  </si>
  <si>
    <t>ZB04059-8.17</t>
  </si>
  <si>
    <t>4500188208-20</t>
  </si>
  <si>
    <t>ZB04117-8.17</t>
  </si>
  <si>
    <t>4500188288-30</t>
  </si>
  <si>
    <t>日期码格式：ZURU INC(BVI) 标准格式 日期：按实际生产日期
Packaging Info: 
77782：客版3L UPC收缩膜/客版收藏指南/客版PDQ+箱唛
Remark:</t>
  </si>
  <si>
    <r>
      <rPr>
        <sz val="11"/>
        <rFont val="宋体"/>
        <charset val="134"/>
      </rPr>
      <t>日期码格式：ZURU INC(BVI) 标准格式 日期：按实际生产日期
Packaging Info: Amazon UK(9565ABDE/15752B/15754B/15755ABDE/77731/77785/77809)/DE(9565ABDE/77673/15728ABG))</t>
    </r>
    <r>
      <rPr>
        <sz val="11"/>
        <color rgb="FFFF0000"/>
        <rFont val="宋体"/>
        <charset val="134"/>
      </rPr>
      <t>/-PO:4ILCYXLX/4GW1TX1I/21CQRD5P/3DJTQAQP
ES(77785/92119D/15710A/15728ABE)/-PO:2ND8X5VU/1A7PV2ZC
IT(71152/15710B/15728AG/15763E)-PO:2H7MF2MP/2NZ4JX5R</t>
    </r>
    <r>
      <rPr>
        <sz val="11"/>
        <rFont val="宋体"/>
        <charset val="134"/>
      </rPr>
      <t xml:space="preserve">
4. 77785：1pk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Kinderherz，仅出DE需要&lt;(&gt;,&lt;)&gt;参考翻单PO#4500166480)+77711: MA 3L(3L warning E
AN)A收缩膜+MA 5L(23L warning)B收藏指南+MA 23L警告语说明书+MA 5L A说明书 +客版彩盒（新FR&lt;(&gt;&amp;&lt;)&gt;DK地址，参考翻单PO#4500186500）+WEEE电子产品说明
书30L(带电池走货B版)；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</si>
  <si>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5WCY1FYY</t>
  </si>
  <si>
    <t>4500186739-130</t>
  </si>
  <si>
    <r>
      <rPr>
        <sz val="11"/>
        <rFont val="宋体"/>
        <charset val="134"/>
      </rPr>
      <t>日期码格式：ZURU INC(BVI) 标准格式 日期：按实际生产日期
Packaging Info: Amazon UK(9565ABDE/15752B/15754B/15755ABDE/77731/77785/77809)/DE(9565ABDE/77673/15728ABG)</t>
    </r>
    <r>
      <rPr>
        <sz val="11"/>
        <color rgb="FFFF0000"/>
        <rFont val="宋体"/>
        <charset val="134"/>
      </rPr>
      <t>/-PO:4ILCYXLX/4GW1TX1I/21CQRD5P/3DJTQAQP
ES(77785/92119D/15710A/15728ABE)/-PO:2ND8X5VU/1A7PV2ZC
IT(71152/15710B/15728AG/15763E)-PO:2H7MF2MP/2NZ4JX5R</t>
    </r>
    <r>
      <rPr>
        <sz val="11"/>
        <rFont val="宋体"/>
        <charset val="134"/>
      </rPr>
      <t xml:space="preserve">
3. 77731：2PK#77711-INT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t>
    </r>
    <r>
      <rPr>
        <sz val="11"/>
        <color rgb="FFFF0000"/>
        <rFont val="宋体"/>
        <charset val="134"/>
      </rPr>
      <t>参考翻单PO#4500186266)+1张IT环保标贴纸(参考翻单PO#4500158623）；</t>
    </r>
    <r>
      <rPr>
        <sz val="11"/>
        <rFont val="宋体"/>
        <charset val="134"/>
      </rPr>
      <t xml:space="preserve">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r>
  </si>
  <si>
    <t>4500187429-10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</si>
  <si>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</si>
  <si>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4500188598-20</t>
  </si>
  <si>
    <t>4500188599-20</t>
  </si>
  <si>
    <t>4500188600-20</t>
  </si>
  <si>
    <t>日期码格式：ZURUDG20251210 日期：
Packaging Info: 1. 指定tracking code: ZURUDG20251210; 产品、彩盒、外箱的日期码需要按照我们提供的Tracking code做。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</si>
  <si>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4500188871-10</t>
  </si>
  <si>
    <t>一张UPC条码贴+ 防盗贴纸（两款贴纸以及防盗贴纸位置图翻单PO#4500160026）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</si>
  <si>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配比信息：7 assortment (6 common + 1 rare)=CORGI(Rare):SHEPHERD:POODLE:DALMATIAN:SCHNAUZER:BROWN DALNATIAN:HOUND DOG=2:8:10:10:10:10:10;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</si>
  <si>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4500188875-10</t>
  </si>
  <si>
    <t>日期码格式：ZURU INC(BVI) 标准格式 日期：按实际生产日期
Packaging Info: 77711GQ1-S002-INT: MA 3L包装（MA收缩膜和说明书） + 一张UPC条码贴+ 防盗贴纸（两款贴纸以及防盗贴纸位置图翻单PO#4500160026）+ 箱唛 + 外箱贴纸SSCC L
abel
其他款：MA说明书+1张说明书纽扣电池警告语贴纸+ 1张收缩膜纽扣电池警告语贴纸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</si>
  <si>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4500189254-30</t>
  </si>
  <si>
    <t>欠DE IT警语贴纸+客供价格贴纸</t>
  </si>
  <si>
    <t>日期码格式：ZURU INC(BVI) 标准格式 日期：按实际生产日期
Packaging Info:
此单有客供价格贴纸，预计1/2前提供
77711GQ1：(INT版)MA 3L EAN收缩膜+DE IT警语贴纸（翻4500187921），MA B版5L收藏指南，MA 5L玩法说明书，MA B版 23L UV胶黑白警告语说明书，MA配件袋，MA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</si>
  <si>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4500185221-170</t>
  </si>
  <si>
    <t>7IMKVJLJ</t>
  </si>
  <si>
    <t>4500189841-20</t>
  </si>
  <si>
    <t>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t>
  </si>
  <si>
    <t>空白贴纸覆盖EAN 条码+SSCC lable
 +进口商贴纸</t>
  </si>
  <si>
    <r>
      <rPr>
        <sz val="11"/>
        <rFont val="宋体"/>
        <charset val="134"/>
      </rPr>
      <t>日期码格式：ZURU INC(BVI) 标准格式 日期：按实际生产日期
Packaging Info:
2.77731：</t>
    </r>
    <r>
      <rPr>
        <sz val="11"/>
        <color rgb="FFFF0000"/>
        <rFont val="宋体"/>
        <charset val="134"/>
      </rPr>
      <t>2PK MA 3L 77711 INT版本的球+空白贴纸入PVC桶，3L 铜板纸（两个球的配比不能重复）</t>
    </r>
    <r>
      <rPr>
        <sz val="11"/>
        <rFont val="宋体"/>
        <charset val="134"/>
      </rPr>
      <t>，SSCC lable+进口商贴纸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r>
  </si>
  <si>
    <t>7LENVZTH</t>
  </si>
  <si>
    <t>4500189841-30</t>
  </si>
  <si>
    <t>4500187657-140</t>
  </si>
  <si>
    <t>进口商贴纸唛+UPC贴纸</t>
  </si>
  <si>
    <t>客版物料翻单PO4500161</t>
  </si>
  <si>
    <t>4500188881-80</t>
  </si>
  <si>
    <r>
      <rPr>
        <sz val="11"/>
        <rFont val="宋体"/>
        <charset val="134"/>
      </rPr>
      <t>日期码格式：ZURU INC(BVI) 标准格式 日期：按实际生产日期
Packaging Info: 
77782GQ1:</t>
    </r>
    <r>
      <rPr>
        <sz val="11"/>
        <color rgb="FFFF0000"/>
        <rFont val="宋体"/>
        <charset val="134"/>
      </rPr>
      <t>MA 多语包装（用77711的收缩膜）</t>
    </r>
    <r>
      <rPr>
        <sz val="11"/>
        <rFont val="宋体"/>
        <charset val="134"/>
      </rPr>
      <t xml:space="preserve">+客版收藏指南+客版PDQ+进口商贴纸+条码贴纸+箱唛
其余item：MA 多语包装+进口商贴纸+条码贴纸+箱唛
Remark: 进口商贴纸请多备料5pcs,出货后需要寄给客户
</t>
    </r>
    <r>
      <rPr>
        <sz val="11"/>
        <color rgb="FFFF0000"/>
        <rFont val="宋体"/>
        <charset val="134"/>
      </rPr>
      <t>7782GQ1:WITH 4 DEMO; Base on #77711GQ2-S001-INT ver.:Remove Hershey and Kikkoman, Kikkoman-Soy SauceHershey's-Chocolate Syrup 24 oz Hershey's-
Mini Chocolate Syrup 24 oz ershey's-Strawberry Syrup 22 oz</t>
    </r>
  </si>
  <si>
    <t>4500189088-40</t>
  </si>
  <si>
    <t>一张西班牙环保标贴纸（贴纸翻单4500154244）</t>
  </si>
  <si>
    <t>日期码格式：ZURU INC(BVI) 标准格式 日期：按实际生产日期
Packaging Info: 
77711GQ2：最新MA 3L EAN包装+一张西班牙环保标贴纸+MA 3L PDQ+MA 5L 收藏指南；(贴纸翻单4500186008）；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</si>
  <si>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4500187980-10</t>
  </si>
  <si>
    <t>一张进口商贴纸+（贴纸翻单4500169530）</t>
  </si>
  <si>
    <t>日期码格式：ZURU INC(BVI) 标准格式 日期：按实际生产日期
Packaging Info: 1.77711GQ2:最新MA 3L EAN INT版本包装+一张进口商贴纸+MA 23L 警告语说明书+MA 5L 收藏指南+MA 3L PDQ；（贴纸翻单4500169530）；
Remark: 1.此单出西班牙市场，需满足EU测试标准要求，微塑料需符合EU法规。
2.包装必须要含西班牙环保标和 care@zuru.com 邮箱地址以及CE LOGO；
3.毛绒玩具需要西班牙语言的洗涤说明；
4.电子产品需要WEEE说明书；</t>
  </si>
  <si>
    <t>4500189691-30</t>
  </si>
  <si>
    <t>日期码格式：ZURU INC(BVI) 标准格式 日期：按实际生产日期
Packaging Info: 请确保包装上的条形码是UPC，如果是babyUPC，需要用mother UPC覆盖，如有不一致，请及时提出。谢谢!
77782GQ1,,客版3L UPC收缩膜/客版收藏指南/客版PDQ，客版物料消耗PO 4500161302的库存,,
Remark:
77782GQ1,,With 4pcs demo(14.6G)/PDQ; Base on #77711GQ2-S001-INT ver.:Remove Hershey and Kikkoman, Kikkoman-Soy Sauce
Hershey's-Chocolate Syrup 24 oz
Hershey's-Mini Chocolate Syrup 24 oz
Hershey's-Strawberry Syrup 22 oz,,
Common: Equal ratio,,</t>
  </si>
  <si>
    <t>4500188307-130</t>
  </si>
  <si>
    <t>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Common: Equal ratio</t>
  </si>
  <si>
    <t>4500188248-70</t>
  </si>
  <si>
    <t>客版物料消耗PO 4500161302的库存</t>
  </si>
  <si>
    <t>日期码格式：ZURU INC(BVI) 标准格式 日期：按实际生产日期
Packaging Info: 请确保包装上的条形码是UPC，如果是babyUPC，需要用mother UPC覆盖，如有不一致，请及时提出。谢谢!
77782GQ1,,客版3L UPC收缩膜/客版收藏指南/客版PDQ，客版物料消耗PO 4500161302的库存,,
Remark:</t>
  </si>
  <si>
    <t>4500188302-30</t>
  </si>
  <si>
    <t>4500189455-10</t>
  </si>
  <si>
    <t>77711SLB-S003-NA</t>
  </si>
  <si>
    <t>此款需要加UPC贴纸覆盖ZURU MA UPC。</t>
  </si>
  <si>
    <r>
      <rPr>
        <sz val="11"/>
        <rFont val="宋体"/>
        <charset val="134"/>
      </rPr>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#77711SLB-S003-NA-MINI BRANDS-FILL THE FRIDGE-SERIES 1-CAPSULE,WITH DEMO,25PCS/GRAVITY PDQ/CTN</t>
    </r>
    <r>
      <rPr>
        <sz val="11"/>
        <color rgb="FFFF0000"/>
        <rFont val="宋体"/>
        <charset val="134"/>
      </rPr>
      <t xml:space="preserve">&lt;(&gt;,&lt;)&gt; 750PCS/30CTN/SLIP </t>
    </r>
    <r>
      <rPr>
        <sz val="11"/>
        <rFont val="宋体"/>
        <charset val="134"/>
      </rPr>
      <t>SHEET
具体的产品item#77711GQ2-S002-NA
客户SKU#31328202
客户描述：MN BRANDS FILL THE FRIDGE
客户UPC# 193052106377, 此款需要加UPC贴纸覆盖ZURU MA UPC。</t>
    </r>
  </si>
  <si>
    <t>ZB04783-8.17</t>
  </si>
  <si>
    <t>4500189943-10</t>
  </si>
  <si>
    <t>4500185103转单</t>
  </si>
  <si>
    <t>1张UPC 条码贴纸（覆盖原条码）+1张进口商贴纸（贴球底部</t>
  </si>
  <si>
    <r>
      <rPr>
        <sz val="11"/>
        <rFont val="宋体"/>
        <charset val="134"/>
      </rPr>
      <t xml:space="preserve">日期码格式：ZURU INC(BVI) 标准格式 日期：按实际生产日期
Packaging Info: 77711GQ1: MA PDQ， MA 3L EAN 收缩膜+1张UPC 条码贴纸（覆盖原条码）+1张进口商贴纸（贴球底部）+
MA 5L 收藏指南， MA说明书
贴纸不得遮挡日期码
Remark: </t>
    </r>
    <r>
      <rPr>
        <sz val="11"/>
        <color rgb="FFFF0000"/>
        <rFont val="宋体"/>
        <charset val="134"/>
      </rPr>
      <t>此单77711GQ1 和77673TQ1 可直接挪用canceled PO# 4500185103 : 77711GQ1(780PCS) ,77673TQ1 (400PCS) , 但外箱需加水贴纸更正信息，剩余77711GQ1 (780PCS
)和77673TQ1 (560PCS) 数量可正常走生产流程完货。</t>
    </r>
  </si>
  <si>
    <t>4500181047-40</t>
  </si>
  <si>
    <t>4500181047拆分，总数量不变</t>
  </si>
  <si>
    <t>UPC条码贴纸+1个小的红色logo贴纸+进口商贴纸</t>
  </si>
  <si>
    <t>日期码格式：ZURU INC(BVI) 标准格式 日期：按实际生产日期
Packaging Info: 
4. 77711GQ2：3L MA EAN 收缩膜+UPC条码贴纸+1个小的红色logo贴纸+进口商贴纸+MA 收藏指南+MA 3L PDQ+箱唛；
Remark: 1. 集装箱及装柜要求：集装箱不能有破洞；不能太脏
2.每个item需要放1整箱在每个集装箱门口
3.装柜的时候要前、中、后拍照
4. 此单有监柜要求，每款需要准备1pc监柜样板用于监装</t>
  </si>
  <si>
    <t>4500181047-170</t>
  </si>
  <si>
    <t>日期码格式：ZURU INC(BVI) 标准格式 日期：按实际生产日期
Packaging Info:
4. 77711GQ2：3L MA EAN 收缩膜+UPC条码贴纸+1个小的红色logo贴纸+进口商贴纸+MA 收藏指南+MA 3L PDQ+箱唛；
Remark: 1. 集装箱及装柜要求：集装箱不能有破洞；不能太脏
2.每个item需要放1整箱在每个集装箱门口
3.装柜的时候要前、中、后拍照
4. 此单有监柜要求，每款需要准备1pc监柜样板用于监装</t>
  </si>
  <si>
    <t>4500181047-300</t>
  </si>
  <si>
    <t>4500189941-90</t>
  </si>
  <si>
    <t>日期码格式：ZURU INC(BVI) 标准格式 日期：按实际生产日期
Packaging Info: 出加拿大
每款产品都需要加进口商贴纸
Zuru验货.日期跟踪码：产品外包装及产品本身都必须有日期跟踪码，ZURU标准格式日期码
Remark: 
77711GQ1： MA NA 2L UPC</t>
  </si>
  <si>
    <t>4500188241-10</t>
  </si>
  <si>
    <t>4500188243-10</t>
  </si>
  <si>
    <t>MEC305-S001-NA-77711</t>
  </si>
  <si>
    <t>1张EAN条码贴纸++空白贴纸覆盖球上面的条码（77711</t>
  </si>
  <si>
    <t>4500188835-10</t>
  </si>
  <si>
    <t>日期码格式：ZURU INC(BVI) 标准格式 日期：按实际生产日期
Packaging Info: 􏁬 MA UPC 英语包装（优先1L英语版本，或者3L/5L含英语都可）
Remark:</t>
  </si>
  <si>
    <t>4500188846-110</t>
  </si>
  <si>
    <t>1张进口商贴纸+1张UPC条码贴纸覆盖原条码(UPC贴纸显示款号77803，条码193052092403）。贴纸资料翻单4500180194</t>
  </si>
  <si>
    <t>日期码格式：ZURU INC(BVI) 标准格式 日期：按实际生产日期
Packaging Info: MA UPC包装(优先1L)+进口商贴纸,Fuggler的items需mother UPC barcode 信息,会跟进口商贴纸做在一起
贴纸图稿及位置图翻单如下,其他items待提供
77803GQ2-4500180194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t>
  </si>
  <si>
    <t>4500189099-20</t>
  </si>
  <si>
    <t>1张UPC 条码贴纸(UPC#193052080134)HK客供警语贴纸</t>
  </si>
  <si>
    <t>日期码格式：ZURU INC(BVI) 标准格式 日期：按实际生产日期
Packaging Info: 
77711GQ1 （INT): MA 3L 收缩膜+1张UPC 条码贴纸(UPC#193052080134) + MA 3L PDQ+MA 5L 收藏指南+HK客供警语贴纸（1张贴球底部，1张贴说明书，1张贴收藏
指南）具体参考HK客供警语贴纸位置图
Remark: 此单出HK , EXW+送货运费实报实销。
客户自提，请按船务出货通知及时送货</t>
  </si>
  <si>
    <t>1张空白贴纸覆盖条码+球底部贴1张客供警语贴纸，收藏指南贴一张客供警语贴纸，说明书贴一张客供警语贴纸</t>
  </si>
  <si>
    <t>4500189631-10</t>
  </si>
  <si>
    <t>2/2 自检</t>
  </si>
  <si>
    <t>日期码格式：ZURU INC(BVI) 标准格式 日期：按实际生产日期
Packaging Info: #77711:
客版3L,PDQ(NA版,16装)+MA2L收缩膜(NA版,UPC:193052080127)+MA2L收藏指南(NA版B版)+MA配件袋+MA5L说明书+MA23L警告语说明书(B)
翻单：4500186723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</si>
  <si>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4500185221-180</t>
  </si>
  <si>
    <t>4500185221-190</t>
  </si>
  <si>
    <t>4500185221-200</t>
  </si>
  <si>
    <t>4500185221-210</t>
  </si>
  <si>
    <t>4500190234-30</t>
  </si>
  <si>
    <t>日期码格式：ZURU INC(BVI) 标准格式 日期：按实际生产日期
Packaging Info: 1.优先多语 MA UPC或者3L/5L MA EAN 包装
2.请确保包装上的条形码是UPC，如果是babyUPC、需要用mother UPC覆盖，如有不一致，请及时提出。谢谢!
Remark: 77782GQ1：With 4pcs demo(14.6G)/PDQ; Base on #77711GQ2-S001-INT ver.:Remove Hershey and Kikkoman, Kikkoman-Soy Sauce
Hershey's-Chocolate Syrup 24 oz
Hershey's-Mini Chocolate Syrup 24 oz
Hershey's-Strawberry Syrup 22 oz</t>
  </si>
  <si>
    <t>4500189267-100</t>
  </si>
  <si>
    <t>进口商和西班牙环保标贴纸+MA 23L 警告语说明书+MA 5L 收藏指南+MA 3L SK；（贴纸翻单4500169530）</t>
  </si>
  <si>
    <t>1张进口商和西班牙环保标贴纸（贴纸翻单4500169530）</t>
  </si>
  <si>
    <t>日期码格式：ZURU INC(BVI) 标准格式 日期：按实际生产日期
Packaging Info:
77711SK1：最新MA 3L EAN INT版本包装+一张进口商和西班牙环保标贴纸+MA 23L 警告语说明书+MA 5L 收藏指南+MA 3L SK；（贴纸翻单4500169530）；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</si>
  <si>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4500183158-20</t>
  </si>
  <si>
    <t>4500183158-40</t>
  </si>
  <si>
    <t>4500186609-10</t>
  </si>
  <si>
    <t>ZB04386-8.17</t>
  </si>
  <si>
    <t>4500189973-10</t>
  </si>
  <si>
    <t>日期码格式：ZURU INC(BVI) 标准格式 日期：按实际生产日期
Packaging Info: MA NA 2L UPC
Remark: 出加拿大
Zuru验货.日期跟踪码：产品外包装及产品本身都必须有日期跟踪码，ZURU标准格式日期码</t>
  </si>
  <si>
    <t>4500189971-10</t>
  </si>
  <si>
    <t>中文3C贴纸+防窜码贴纸</t>
  </si>
  <si>
    <t>日期码格式：ZURU INC(BVI) 标准格式 日期：按实际生产日期
Packaging Info: 物料要求 SKU
6.77785 ：2部分子件构成
物料要求：UPC:193052089786 UPC部分：所有子件UPC要求统一或者覆盖
MA+77785 中文3C贴纸+77785 中文收藏指南 +芯片码
子件 B : 77711- 2个 ： MA+77711 中文DIY 说明书+77711 中文黑白说明书
翻单：4500178919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</si>
  <si>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4500190045-220</t>
  </si>
  <si>
    <t>日期码格式：ZURU INC(BVI) 标准格式 日期：按实际生产日期
Packaging Info:
22. 77711GQ2：3L MA EAN 收缩膜+UPC条码贴纸+进口商贴纸+MA 收藏指南+MA 3L PDQ+箱唛
所有带电产品的保证书是通用的
Remark:</t>
  </si>
  <si>
    <t>彩盒+冰箱说明书新资料</t>
  </si>
  <si>
    <r>
      <rPr>
        <sz val="11"/>
        <rFont val="宋体"/>
        <charset val="134"/>
      </rPr>
      <t>日期码格式：ZURU INC(BVI) 标准格式 日期：按实际生产日期
Packaging Info: 1. 77758SLT: 客版彩盒(英法西瑞典冰岛语言-</t>
    </r>
    <r>
      <rPr>
        <sz val="11"/>
        <color rgb="FFFF0000"/>
        <rFont val="宋体"/>
        <charset val="134"/>
      </rPr>
      <t>翻订单4500188369</t>
    </r>
    <r>
      <rPr>
        <sz val="11"/>
        <rFont val="宋体"/>
        <charset val="134"/>
      </rPr>
      <t>)+客版球的收缩膜(英法西瑞典冰岛语言)+客版冰箱收缩膜(英法西瑞典冰岛语言)+客版冰箱收藏指
南(英法西瑞典冰岛语言)+客版球的收藏指南(英法西瑞典冰岛语言)+客版Manual for three kinds of mini creates(英法西瑞典冰岛语言) +客版球的黑白说明书(
英法西瑞典冰岛语言)+客版内纸袋(英法西瑞典冰岛语言) +客版UV glue bottle sticker(英法西瑞典冰岛语言) +客版冰箱电池警告语和说明书(英法西瑞典冰岛语
言-</t>
    </r>
    <r>
      <rPr>
        <sz val="11"/>
        <color rgb="FFFF0000"/>
        <rFont val="宋体"/>
        <charset val="134"/>
      </rPr>
      <t>翻订单4500188369</t>
    </r>
    <r>
      <rPr>
        <sz val="11"/>
        <rFont val="宋体"/>
        <charset val="134"/>
      </rPr>
      <t>) + 客版PDQ（翻Costco US PO#4500156301）
除了放新稿的两个和客版PDQ翻显示订单外，剩下的客版包装都翻Costco Spain PO#4500163768
3PK 77711-INT(capsules)+1PK 77673 combo in color box
#77673( Fridge with extra 5 exclusive mini,But "pizza" in different versions of packaging for INT market)
77673:UV GLUE / 7 magnets（6 magnets and 1 Refrigerator magnet）
77711:UV GLUE/ 1 Refrigerator Magnet
77673:3PCS AG13 BATTERIES(INCLUDED)
1F*5D=5PCS/PDQ, 5PDQ/LAYER=25PCS/LAYER, 25PDQ/Tray*3=75PCS/PALLET
Remark: 1. 所有日期码印在彩卡上，产品(枪)上也需印日期码，按实际生产日期，ZURU 标准版格式的日期码。
2. 纸箱唛头：纸箱四面，印刷2个正面，侧唛不印, 按照箱唛模板要求排版。
3. 确保展示架在入外箱的时候一定要正面对着有印刷箱唛的那面,不可以装反。
4.出英国/冰岛/瑞典三个国家，产品需要打UKCA Mark，包装也需要有UKCA，否则不符合法规客人会退货有罚款产生</t>
    </r>
  </si>
  <si>
    <t>4500189851-50</t>
  </si>
  <si>
    <t>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</si>
  <si>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PO#951857,SKU#182176 DC#891-264PCS, DC#894-204PCS, DC#896-168PCS, DC#897-336PCS, DC#898-228PCS</t>
  </si>
  <si>
    <t>ZB04503/ZB04514-8.17</t>
  </si>
  <si>
    <t>4500189850-50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</si>
  <si>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PO#951854,SKU#903568 DC#881-216PCS, DC#884-168PCS, DC#886-216PCS, DC#887-192PCS, DC#888-204PCS</t>
  </si>
  <si>
    <t>ZB04513-8.17</t>
  </si>
  <si>
    <t>4500190462-90</t>
  </si>
  <si>
    <t>欠进口商贴纸+说明书贴纸</t>
  </si>
  <si>
    <t>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t>
  </si>
  <si>
    <t>日期码格式：ZURU INC(BVI) 标准格式 日期：按实际生产日期
Packaging Info: 1. Cus Item
#77785：MA UPC + 客版3L 彩盒 + 客供贴纸, 优先使用MA 1L最新版本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请注意#77785一个彩盒中的两个球不允许重复，且一个彩盒不能拆出2个即以上的重复散件。</t>
  </si>
  <si>
    <t>4500189777-10</t>
  </si>
  <si>
    <t>3/4第三方验货</t>
  </si>
  <si>
    <t>日期码格式：ZURU INC(BVI) 标准格式 日期：按实际生产日期
Packaging Info: 77711GQ2:MA EAN 3L+挪威语警语贴纸(翻单4500162231)
Remark: 1.工厂货号-客户货号-彩盒条码-外箱条码
77711GQ2-7254555-4894680043350-10193052080131
2.产品和包装要求无硼无香，包装不能含有PVC
3.微塑料必须合规欧洲标准，并增加IFUD声明。
4.此订单有第三方验货, 77711的签样用于上单4500162231
5.带电池出货的产品所用到的电池需要符合欧洲电池新规(EU)2023-1542；</t>
  </si>
  <si>
    <t>4500189161-10</t>
  </si>
  <si>
    <t>UPC贴纸资料和PDQ翻单PO#4500175352</t>
  </si>
  <si>
    <t>4500189161-20</t>
  </si>
  <si>
    <t>4500189161-30</t>
  </si>
  <si>
    <t>4500186623-20</t>
  </si>
  <si>
    <t>日期码格式：ZURU INC(BVI) 标准格式 日期：按实际生产日期
Packaging Info: 1. Cus Item
#77731：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</si>
  <si>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日期码格式：ZURU INC(BVI) 标准格式 日期：按实际生产日期
Packaging Info: 1. Cus Item
#77785：MA UPC + 客版3L 彩盒 + 客供贴纸, 优先使用MA 1L最新版本
Remark: 1. Cus Item
#77785：MA UPC + 客版3L 彩盒 + 客供贴纸, 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</si>
  <si>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77785-S002-NA</t>
  </si>
  <si>
    <t>4500186630-20</t>
  </si>
  <si>
    <t>ZB04558-8.17</t>
  </si>
  <si>
    <t>4500189797-10</t>
  </si>
  <si>
    <r>
      <rPr>
        <sz val="11"/>
        <rFont val="宋体"/>
        <charset val="134"/>
      </rPr>
      <t xml:space="preserve">日期码格式：ZURU INC(BVI) 标准格式 日期：按实际生产日期
Packaging Info: "77711GQ1: 最新MA 3L EAN收缩膜+MA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
</t>
    </r>
    <r>
      <rPr>
        <sz val="11"/>
        <color rgb="FFFF0000"/>
        <rFont val="宋体"/>
        <charset val="134"/>
      </rPr>
      <t>11.包装和布标上的法国丹麦地址需要保持一致。</t>
    </r>
  </si>
  <si>
    <t>4500187827-40</t>
  </si>
  <si>
    <t>日期码格式：ZURU INC(BVI) 标准格式 日期：按实际生产日期
Packaging Info:
77711:.MA -3L 包装+客人白色Cat.label 1张覆盖ZURU条码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77711扫描结果为7678363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</si>
  <si>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4500189333-10</t>
  </si>
  <si>
    <t>2/24 第三方验货</t>
  </si>
  <si>
    <t>1张RFID贴纸</t>
  </si>
  <si>
    <t>ZB04728-8.17</t>
  </si>
  <si>
    <t>4500189333-20</t>
  </si>
  <si>
    <t>ZB04546-8.17</t>
  </si>
  <si>
    <t>4500189333-30</t>
  </si>
  <si>
    <t>ZB04668-8.17</t>
  </si>
  <si>
    <t>Amazon ES:
891VD1RY</t>
  </si>
  <si>
    <t>4500189248-40</t>
  </si>
  <si>
    <t>空白外箱（加印带Zuru字样的最新logo，除了邮包盒直接做外箱的产品</t>
  </si>
  <si>
    <t>1张空白贴纸(覆盖在条码位置，尺寸由工厂自行测量)+1张IT环保标贴纸(参考翻单PO#4500158623）</t>
  </si>
  <si>
    <t>日期码格式：ZURU INC(BVI) 标准格式 日期：按实际生产日期
Packaging Info: Amazon UK(15728AG/77806/71152/77731)/DE(15710B)/ES(15726A/15728E/77731/71152/15714D/15710B/9565ABD)/IT(15726K/9565ABD)
4.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ES环保标+GPSR邮箱care@zuru.com+新FR&lt;(&gt;&amp;&lt;)&gt;DK地址，参考翻单PO#4500186266)+1张IT环保标贴纸(参考翻单PO#4500158623）；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</si>
  <si>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Amazon UK:
43H71N5J</t>
  </si>
  <si>
    <t>4500189248-190</t>
  </si>
  <si>
    <t>4500190678-20</t>
  </si>
  <si>
    <t>一张进口商贴纸（含西班牙环保标）+一张PDQ贴纸含EAN条码</t>
  </si>
  <si>
    <r>
      <rPr>
        <sz val="11"/>
        <rFont val="宋体"/>
        <charset val="134"/>
      </rPr>
      <t xml:space="preserve">日期码格式：ZURU INC(BVI) 标准格式 日期：按实际生产日期
Packaging Info: 
2. 77711GQ1：最新【MA 3L EAN版本收缩膜+一张进口商贴纸（含西班牙环保标）】+【MA 3L PDQ+一张PDQ贴纸含EAN条码】+最新MA 5L收藏指南；
</t>
    </r>
    <r>
      <rPr>
        <sz val="11"/>
        <color rgb="FFFF0000"/>
        <rFont val="宋体"/>
        <charset val="134"/>
      </rPr>
      <t>此单资料都翻4500184256</t>
    </r>
    <r>
      <rPr>
        <sz val="11"/>
        <rFont val="宋体"/>
        <charset val="134"/>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</si>
  <si>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4500190678-30</t>
  </si>
  <si>
    <t>一张进口商贴纸（含西班牙环保标）+一张展示架贴纸含EAN条码</t>
  </si>
  <si>
    <r>
      <rPr>
        <sz val="11"/>
        <rFont val="宋体"/>
        <charset val="134"/>
      </rPr>
      <t xml:space="preserve">日期码格式：ZURU INC(BVI) 标准格式 日期：按实际生产日期
Packaging Info:
3.77711SK1：最新【MA 3L EAN版本收缩膜+一张进口商贴纸（含西班牙环保标）】+【MA 3L 展示架+一张展示架贴纸含EAN条码】+最新MA 5L收藏指南；
</t>
    </r>
    <r>
      <rPr>
        <sz val="11"/>
        <color rgb="FFFF0000"/>
        <rFont val="宋体"/>
        <charset val="134"/>
      </rPr>
      <t>此单资料都翻4500184256</t>
    </r>
    <r>
      <rPr>
        <sz val="11"/>
        <rFont val="宋体"/>
        <charset val="134"/>
      </rPr>
      <t xml:space="preserve">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5.此单需要准备2套大货样，请注意备料；</t>
    </r>
  </si>
  <si>
    <t>4500189773-80</t>
  </si>
  <si>
    <t>4500186204-50</t>
  </si>
  <si>
    <t>待更新PO</t>
  </si>
  <si>
    <t>外箱只需四面印Zurulogo，再加2张贴纸，1张mu贴纸(条码贴)，1张ASN贴纸(尺寸6.5cm*6.3cm
潘通色号2597C)，都贴于侧唛，只需贴1面(HU贴纸和ASN贴纸客供)</t>
  </si>
  <si>
    <t>UPC贴纸+进口商贴纸+价标贴纸,,1张mu贴纸(条码贴)，1张ASN贴纸</t>
  </si>
  <si>
    <t>日期码格式：ZURU INC(BVI) 标准格式 日期：按实际生产日期
Packaging Info:
77711GQ2,,MA 3L EAN 包装+UPC贴纸++MA PDQ +MA 多语收藏指南+进口商贴纸+价标贴,,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t>
  </si>
  <si>
    <t>数量不对</t>
  </si>
  <si>
    <t>4500191213-60</t>
  </si>
  <si>
    <t>4500189585-50</t>
  </si>
  <si>
    <t>日期码格式：ZURU INC(BVI) 标准格式 日期：按实际生产日期
Packaging Info:
77711GQ2: MA EAN 3L + MA PDQ + 警语贴纸（翻单4500162375）
Remark: 1. 产品配比：
2. 产品和包装要求无硼无香，包装不能含有PVC
3. 如有微塑料，必须合规欧洲标准，并增加微塑料合规IFUD声明在说明书上
4. 带电池出货的产品，所用到的电池需要符合欧洲电池新规(EU)2023-1542，并增加对应WEEE 说明书</t>
  </si>
  <si>
    <t>4500190283-20</t>
  </si>
  <si>
    <r>
      <rPr>
        <sz val="11"/>
        <rFont val="宋体"/>
        <charset val="134"/>
      </rPr>
      <t>日期码格式：ZURU INC(BVI) 标准格式 日期：按实际生产日期
Packaging Info:</t>
    </r>
    <r>
      <rPr>
        <sz val="11"/>
        <color rgb="FFFF0000"/>
        <rFont val="宋体"/>
        <charset val="134"/>
      </rPr>
      <t xml:space="preserve"> 77711GQ1-MA 3L EAN 包装+1张固定进口商贴纸+1 张UPC 条码贴纸;</t>
    </r>
    <r>
      <rPr>
        <sz val="11"/>
        <rFont val="宋体"/>
        <charset val="134"/>
      </rPr>
      <t xml:space="preserve">
2款的贴纸图稿及位置图翻4500163177
因系统问题, 77711GQ1 的交期暂开到2/1,待更新为3/6
Remark: 77673-Filxed Collection
77711GQ1-2.3692%The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</si>
  <si>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4500189636-10</t>
  </si>
  <si>
    <t>1/22 寄出</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</si>
  <si>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</si>
  <si>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4500191102-10</t>
  </si>
  <si>
    <t>1*多语折叠警告语贴纸（翻单4500157858）</t>
  </si>
  <si>
    <t>日期码格式：ZURU INC(BVI) 标准格式 日期：按实际生产日期
Packaging Info: 77711GQ1:最新MA 3L PDQ+最新 MA 3L EAN 收缩膜 +1*多语折叠警告语贴纸（翻单4500157858） + MA 5L收藏指南+ MA 23L说明书+ MA UV胶黑白警告语 + MA纸袋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所有出往波兰订单的电子产品需增加一张欧洲通用WEEE声明说明书，区分带电池和不带电池版本, 如已做客版说明书可忽略此要求。</t>
  </si>
  <si>
    <t>4500187028-40</t>
  </si>
  <si>
    <t>日期码格式：ZURU INC(BVI) 标准格式 日期：按实际生产日期
Packaging Info: MA 1L UPC最新包装+ MA PDQ（如果有的话)+其他MA 包装，MA 指南/说明书（如果有的话），请先核对条码无误后安排，配比按MA
77711GQ2-S003-INT： MA 3L INT版本收缩膜+1张UPC贴纸（UPC#193052080134 翻PO#4500166127）+ MA INT版本5L收藏指南+MA INT 版本 3L PDQ+其他MA最新包装
15750-S001：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</si>
  <si>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4500191055-10</t>
  </si>
  <si>
    <t>PDQ上需要贴一张UPC 条码贴纸</t>
  </si>
  <si>
    <t>日期码格式：ZURU INC(BVI) 标准格式 日期：按实际生产日期
Packaging Info: 1. 包装方式：MA UPC优先1L最新包装，出口美国；
2. 产品和包装上印刷tracking code信息，格式为ZURU常规；
3. ZURU QC 验货合格后即可出货.
Remark: 4. 77711GQ2-S002-NA PDQ上需要贴一张UPC 条码贴纸,UPC显示：193052080127，贴纸AW跟单提供，工厂自行采购；</t>
  </si>
  <si>
    <t>ZB04615-8.17</t>
  </si>
  <si>
    <t>4500191070-10</t>
  </si>
  <si>
    <t>4500184338-10</t>
  </si>
  <si>
    <t>日期码格式：ZURU INC(BVI) 标准格式 日期：按实际生产日期
Packaging Info: 1.#77731, MA UPC 最新版本（优先1L）+客制包材（PVC 桶）+客供贴纸。
Remark: 1.#77731, MA UPC 最新版本（优先1L）+客制包材（PVC 桶）+客供贴纸。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</si>
  <si>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4500189966-10</t>
  </si>
  <si>
    <t>4500190510-10</t>
  </si>
  <si>
    <t>一张客户警语贴纸（含ES环保标）（贴纸翻单4500178109）；</t>
  </si>
  <si>
    <t>日期码格式：ZURU INC(BVI) 标准格式 日期：按实际生产日期
Packaging Info: 1.77711GQ1：最新MA 3L EAN版本包装+一张客户警语贴纸（含ES环保标）+MA 5L 收藏指南+MA 3L PDQ；（贴纸翻单4500178109）；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</si>
  <si>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4500190618-20</t>
  </si>
  <si>
    <t>一张UPC条码贴+ 防盗贴纸（两款贴纸以及防盗贴纸位置图翻单PO#4500160026）+ 箱唛 + 1/19外箱贴纸SSCC Label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</si>
  <si>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PO#4500190616一起合并计算</t>
  </si>
  <si>
    <t>4500190616-20</t>
  </si>
  <si>
    <r>
      <rPr>
        <sz val="11"/>
        <rFont val="宋体"/>
        <charset val="134"/>
      </rPr>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PO#4500190618一起合并计算，</t>
    </r>
    <r>
      <rPr>
        <sz val="11"/>
        <color rgb="FFFF0000"/>
        <rFont val="宋体"/>
        <charset val="134"/>
      </rPr>
      <t>另外77711务必在CRD当天完成验货</t>
    </r>
  </si>
  <si>
    <t>4500190742-10</t>
  </si>
  <si>
    <t>4500190370-30</t>
  </si>
  <si>
    <t>UPC条码贴+ 防盗贴纸（两款贴纸以及防盗贴纸位置图翻单PO#4500160026）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</si>
  <si>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PO#4500190371一起合并计算</t>
  </si>
  <si>
    <t>4500190371-20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</si>
  <si>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PO#4500190370一起合并计算</t>
  </si>
  <si>
    <t>ZURU</t>
  </si>
  <si>
    <t>ZMPO260161</t>
  </si>
  <si>
    <t>ZMPO260161-10</t>
  </si>
  <si>
    <t>20套</t>
  </si>
  <si>
    <t>ZMPO260137</t>
  </si>
  <si>
    <t>ZMPO260137-10</t>
  </si>
  <si>
    <t>4500190606-60</t>
  </si>
  <si>
    <t>进口商贴纸和UPC贴纸 翻单PO4500189773</t>
  </si>
  <si>
    <r>
      <rPr>
        <sz val="11"/>
        <rFont val="宋体"/>
        <charset val="134"/>
      </rPr>
      <t xml:space="preserve">日期码格式：ZURU INC(BVI) 标准格式 日期：按实际生产日期
Packaging Info:
</t>
    </r>
    <r>
      <rPr>
        <sz val="11"/>
        <color rgb="FFFF0000"/>
        <rFont val="宋体"/>
        <charset val="134"/>
      </rPr>
      <t>77711GQ2:MA 多语包装+进口商贴纸+UPC贴纸+箱唛,进口商贴纸和UPC贴纸 翻单PO4500189773</t>
    </r>
    <r>
      <rPr>
        <sz val="11"/>
        <rFont val="宋体"/>
        <charset val="134"/>
      </rPr>
      <t xml:space="preserve">
Remark:</t>
    </r>
  </si>
  <si>
    <t>4500191819-10</t>
  </si>
  <si>
    <t>UPC贴纸193052090157</t>
  </si>
  <si>
    <r>
      <rPr>
        <sz val="11"/>
        <rFont val="宋体"/>
        <charset val="134"/>
      </rPr>
      <t xml:space="preserve">日期码格式：ZURU INC(BVI) 标准格式 日期：按实际生产日期
Packaging Info: MA UPC 英语包装（优先1L英语版本，或者3L/5L含英语都可）
</t>
    </r>
    <r>
      <rPr>
        <sz val="11"/>
        <color rgb="FFFF0000"/>
        <rFont val="宋体"/>
        <charset val="134"/>
      </rPr>
      <t>#77711:加UPC贴纸193052090157</t>
    </r>
    <r>
      <rPr>
        <sz val="11"/>
        <rFont val="宋体"/>
        <charset val="134"/>
      </rPr>
      <t xml:space="preserve">
Remark: #77711GQ2:2.3692%The Original;2.3692%Pepperoni Pizza-Global Version;2.3692%Cheese Pizza-Global Version;2.3692%Hawaiian Pizza-Global Version;2.36
92%Big Dinner Box-Global Version;2.3692%Traditional Wings-Global Version;3.3117%Cooked Loboster;3.3117%Fishes;3.3117%Lamp Chops;3.3117%Broccoli
Florets;3.9658%Eggplant;3.9658%Fruit Tray;3.9658%Oats Jar;3.9658%Kombucha;4.0791%Turmeric Shot;4.0791%Milk;4.0791%Juice;4.0791%Water;1.4215%Che
ese Pasta;1.4215%Mashed Potatoes;1.4215%Honey Deli Ham;1.4215%Deli Turkey;1.8953%Morning Star Farms Sausage Patties;1.8953%Thick Cut Bacon;1.895
3%Thick Cut Stack Pack;1.9709%Homestyle Waffles;1.9709%Soft Pretzels;1.9709%Pretzel Dogs;0.8241%Chow Mein;0.8241%Broccoli Beef;0.8241%Orange Chi
cken;0.8241%Jamoca Almond Fudge Ice Cream;0.9477%Oreo Cookies'N Cream Ice Cream;0.9477%Tropical Punch;0.9477%Classic Grape;0.8241%O-mazing Orang
e;0.8241%The OG;0.8241%Sweet Strawberry;0.8241%Original;0.6249%Unicorn Cake;0.6249%Pancakes;0.6249%Burgers and Fries;0.5686%Sushi;0.5686%Frozen
Chicken;0.5686%Tiramisu;0.5686%Eggs;0.5686%Ice;0.5253%Mini Chocolate;0.5253%Mini Strawberry Vanilla;0.5253%Mini The OG;0.5253%Mini Oreo Cookies
'N Cream Ice Cream;0.3399%Pudding;0.3399%Pops</t>
    </r>
  </si>
  <si>
    <t>4500191819-20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</si>
  <si>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此订单与NZ PO4500190629一起合并计算</t>
  </si>
  <si>
    <t>4500190629-10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</si>
  <si>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PO#4500190626一起合并计算</t>
  </si>
  <si>
    <t>4500186809-10</t>
  </si>
  <si>
    <t>日期码格式：ZURU INC(BVI) 标准格式 日期：按实际生产日期
Packaging Info: 1. Cus Item
#77731：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</si>
  <si>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ZB04871-8.17</t>
  </si>
  <si>
    <t>6QSE7USH</t>
  </si>
  <si>
    <t>4500191480-80</t>
  </si>
  <si>
    <t>欠SSCC label</t>
  </si>
  <si>
    <t>客版无UPC版本收缩膜翻单4500186575</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</si>
  <si>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</si>
  <si>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1NJM5YSY</t>
  </si>
  <si>
    <t>4500191499-50</t>
  </si>
  <si>
    <t>5VJU1GMQ</t>
  </si>
  <si>
    <t>4500191560-80</t>
  </si>
  <si>
    <t>27GRF7MZ</t>
  </si>
  <si>
    <t>4500191531-20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</si>
  <si>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</si>
  <si>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4500191903-10</t>
  </si>
  <si>
    <t>德语警语贴纸(翻单#4500180408)</t>
  </si>
  <si>
    <t>大货样品2套，请多备料。</t>
  </si>
  <si>
    <t>日期码格式：ZURU INC(BVI) 标准格式 日期：按实际生产日期
Packaging Info: 77711: 最新MA 3LEAN包装+德语警语贴纸(翻单#4500180408)+5L收藏指南/DIY说明书+23L说明书
Remark: 1. 此单出德国，需要满足Zuru Standard欧洲标准测试要求；
2. 请准时出货，推期会有罚款；
3. 出口欧洲，微塑料需符合法规；
4.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5. 所有电子产品需增加一张欧洲通用WEEE声明说明书，区分带电池和不带电池版本, 如已做客版说明书可忽略此要求。
6. 所有出往德国订单，化学品需无堋无香版本。
7. 标准配比
8. 大货样品2套，请多备料。</t>
  </si>
  <si>
    <t>draft PO 77711GQ2</t>
  </si>
  <si>
    <t>4500192218-10</t>
  </si>
  <si>
    <t>外箱贴纸用4500192218（2020张）+4500192219（525张）</t>
  </si>
  <si>
    <r>
      <rPr>
        <sz val="11"/>
        <rFont val="宋体"/>
        <charset val="134"/>
      </rPr>
      <t xml:space="preserve">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
</t>
    </r>
    <r>
      <rPr>
        <sz val="11"/>
        <color rgb="FFFF0000"/>
        <rFont val="宋体"/>
        <charset val="134"/>
      </rPr>
      <t>6.此单消耗4500190566和4500190568 77773GQ2产生的呆滞外箱1720个，加贴水贴纸。</t>
    </r>
  </si>
  <si>
    <t>ZB04821-8.17</t>
  </si>
  <si>
    <t>4500192064-20</t>
  </si>
  <si>
    <t>日期码格式：ZURU INC(BVI) 标准格式 日期：按实际生产日期
Packaging Info: 
77711GQ1: 最新MA PDQ+最新MA 3L EAN 收缩膜 +1*多语折叠警告语贴纸（翻单4500157858） + MA5L收藏指南+ MA 23L说明书+ MA UV胶黑白警告语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</si>
  <si>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4500191234-220</t>
  </si>
  <si>
    <t>进口商贴纸+空白条码贴纸</t>
  </si>
  <si>
    <t>日期码格式：ZURU INC(BVI) 标准格式 日期：按实际生产日期
Packaging Info:
13. 77731：3L UPC铜版纸+进口商贴纸+箱唛，2个77711入1个PVC管，2个球不能是相同配比。77711用MA 3L 无条码收缩膜
Remark:</t>
  </si>
  <si>
    <t>4500191577-110</t>
  </si>
  <si>
    <t>日期码格式：ZURU INC(BVI) 标准格式 日期：按实际生产日期
Packaging Info: 77782GQ1:MA 多语包装（用77711的收缩膜）+客版收藏指南+客版PDQ+进口商贴纸+UPC贴纸+箱唛
Remark:</t>
  </si>
  <si>
    <t>4500191722-20</t>
  </si>
  <si>
    <r>
      <rPr>
        <sz val="11"/>
        <rFont val="宋体"/>
        <charset val="134"/>
      </rPr>
      <t xml:space="preserve">日期码格式：ZURU INC(BVI) 标准格式 日期：按实际生产日期
Packaging Info: </t>
    </r>
    <r>
      <rPr>
        <sz val="11"/>
        <color rgb="FFFF0000"/>
        <rFont val="宋体"/>
        <charset val="134"/>
      </rPr>
      <t>注意此单出：EL SALVADOR 萨尔瓦多</t>
    </r>
    <r>
      <rPr>
        <sz val="11"/>
        <rFont val="宋体"/>
        <charset val="134"/>
      </rPr>
      <t xml:space="preserve">
1.优先多语 MA UPC或者3L/5L MA EAN 包装
2.请确保包装上的条形码是UPC，如果是babyUPC、需要用mother UPC覆盖，如有不一致，请及时提出。谢谢!
</t>
    </r>
    <r>
      <rPr>
        <sz val="11"/>
        <color rgb="FFFF0000"/>
        <rFont val="宋体"/>
        <charset val="134"/>
      </rPr>
      <t>3.确定要贴进口商贴纸</t>
    </r>
    <r>
      <rPr>
        <sz val="11"/>
        <rFont val="宋体"/>
        <charset val="134"/>
      </rPr>
      <t xml:space="preserve">
77782GQ1:客版3L UPC收缩膜/客版收藏指南/客版PDQ+箱唛
Remark:</t>
    </r>
  </si>
  <si>
    <t>4500192740-20</t>
  </si>
  <si>
    <t>日期码格式：ZURU INC(BVI) 标准格式 日期：按实际生产日期
Packaging Info: 注意此单出：GUATEMALA 危地马拉
1.优先多语 MA UPC或者3L/5L MA EAN 包装
2.请确保包装上的条形码是UPC，如果是babyUPC、需要用mother UPC覆盖，如有不一致，请及时提出。谢谢!
77782GQ1 客版3L UPC收缩膜/客版收藏指南/客版PDQ+箱唛+进口商贴纸
Remark:</t>
  </si>
  <si>
    <t>4500192757-20</t>
  </si>
  <si>
    <t>日期码格式：ZURU INC(BVI) 标准格式 日期：按实际生产日期
Packaging Info: 注意此单出： NICARAGUA 尼加拉瓜
1.优先多语 MA UPC或者3L/5L MA EAN 包装
2.请确保包装上的条形码是UPC，如果是babyUPC、需要用mother UPC覆盖，如有不一致，请及时提出。谢谢!
77782GQ1 客版3L UPC收缩膜/客版收藏指南/客版PDQ+箱唛+进口商贴纸
Remark: 
77782GQ1 TBC</t>
  </si>
  <si>
    <t>4500192767-20</t>
  </si>
  <si>
    <t>日期码格式：ZURU INC(BVI) 标准格式 日期：按实际生产日期
Packaging Info: 注意此单出： COSTA RICA 哥斯达黎加
1.优先多语 MA UPC或者3L/5L MA EAN 包装
2.请确保包装上的条形码是UPC，如果是babyUPC、需要用mother UPC覆盖，如有不一致，请及时提出。谢谢!
77782GQ1 客版3L UPC收缩膜/客版收藏指南/客版PDQ+箱唛+进口商贴纸
Remark:</t>
  </si>
  <si>
    <t>4500186326-20</t>
  </si>
  <si>
    <t>日期码格式：ZURU INC(BVI) 标准格式 日期：按实际生产日期
Packaging Info: 1. STD Items: ZURU MA UPC 现有包装+客供价格贴纸，优先使用MA 1L最新版本（可接受多语）,出口美国
Remark: 1. Cus Item
77731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</si>
  <si>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r>
      <rPr>
        <sz val="11"/>
        <rFont val="宋体"/>
        <charset val="134"/>
      </rPr>
      <t>日期码格式：ZURU INC(BVI) 标准格式 日期：按实际生产日期
Packaging Info: 1. STD Items: ZURU MA UPC 现有包装+客供价格贴纸，优先使用MA 1L最新版本（可接受多语）,出口美国
Remark: 1. Cus Item
#77785：MA UPC +</t>
    </r>
    <r>
      <rPr>
        <sz val="11"/>
        <color rgb="FFFF0000"/>
        <rFont val="宋体"/>
        <charset val="134"/>
      </rPr>
      <t xml:space="preserve"> 客版3L 彩盒 + 客供贴纸, 优先使用MA 1L最新版本</t>
    </r>
    <r>
      <rPr>
        <sz val="11"/>
        <rFont val="宋体"/>
        <charset val="134"/>
      </rPr>
      <t xml:space="preserve">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r>
  </si>
  <si>
    <t>4500192425-130</t>
  </si>
  <si>
    <t>日期码格式：ZURU INC(BVI) 标准格式 日期：按实际生产日期
Packaging Info: 1. 出口美国，MA UPC 版本包装，优先1L。
Remark: 2. ZURU QC 验货即可。</t>
  </si>
  <si>
    <t>4500192550-10</t>
  </si>
  <si>
    <r>
      <rPr>
        <sz val="11"/>
        <rFont val="宋体"/>
        <charset val="134"/>
      </rPr>
      <t>日期码格式：ZURU INC(BVI) 标准格式 日期：按实际生产日期
Packaging Info:</t>
    </r>
    <r>
      <rPr>
        <sz val="11"/>
        <color rgb="FFFF0000"/>
        <rFont val="宋体"/>
        <charset val="134"/>
      </rPr>
      <t xml:space="preserve"> MA 3L EAN INT包装</t>
    </r>
    <r>
      <rPr>
        <sz val="11"/>
        <rFont val="宋体"/>
        <charset val="134"/>
      </rPr>
      <t>+1张固定的进口商贴纸,可统一订购;77711需一张UPC条码贴纸;
2款的贴纸图稿跟位置图均翻单4500167360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r>
  </si>
  <si>
    <t>10001620580-0
581</t>
  </si>
  <si>
    <t>4500190319-10</t>
  </si>
  <si>
    <t>1/27提供资料，此单消耗订单4500184412和4500184413 77770GQ2 呆滞外箱共1415个，加贴水贴纸</t>
  </si>
  <si>
    <t>2/3 寄出</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</si>
  <si>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
6.此单消耗订单4500184412和4500184413 77770GQ2 呆滞外箱共1415个，加贴水贴纸覆盖。
Order Modifiable Records</t>
  </si>
  <si>
    <t>ZB04992-8.17</t>
  </si>
  <si>
    <t>4500192252-70</t>
  </si>
  <si>
    <t>翻单： 4500185221</t>
  </si>
  <si>
    <t>日期码格式：ZURU INC(BVI) 标准格式 日期：按实际生产日期
Packaging Info: 物料要求 SKU
1 77711GQ1 MA PDQ +外挂中文收藏指南+中文说明书+黑白警告语+收缩膜年龄贴（8+） 翻单： 4500185221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</si>
  <si>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日期码格式：ZURU INC(BVI) 标准格式 日期：按实际生产日期
Packaging Info: 物料要求 SKU
6.77785 ：2部分子件构成 翻单：4500185221
物料要求：UPC:193052089786 UPC部分：所有子件UPC要求统一或者覆盖
MA+77785 中文3C贴纸+77785 中文收藏指南 +芯片码
子件 B : 77711- 2个 ： MA+77711 中文DIY 说明书+77711 中文黑白说明书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</si>
  <si>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空白贴纸覆盖条码+球底部贴1张客供警语贴纸，收藏指南贴一张客供警语贴纸，说明书贴一张客供警语贴纸）</t>
  </si>
  <si>
    <t>4500192220-10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</si>
  <si>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</si>
  <si>
    <t>4500192221-10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</si>
  <si>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</si>
  <si>
    <t>日期码格式：ZURU INC(BVI) 标准格式 日期：按实际生产日期
Packaging Info: 
77785：客版 3L UPC 彩盒包装 + 箱唛 + 外箱贴纸SSCC Label
子件77711:3L MA 3L包装收缩膜+一张空白贴纸（覆盖原条码处）+MA 5L 收藏指南+MA 23L 说明书+MA 5L creative+MA纸袋;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</si>
  <si>
    <t>日期码格式：ZURU INC(BVI) 标准格式 日期：按实际生产日期
Packaging Info: 
77785：MA 客版 3L UPC 彩盒包装 + 箱唛 + 外箱贴纸SSCC Label
子件77711:3L MA 3L包装收缩膜+一张空白贴纸（覆盖条码处，贴纸资料以及位置图翻单PO#4500192220）+MA 5L 收藏指南+MA 23L 说明书+MA 5L creative+MA纸袋
;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</si>
  <si>
    <t>条码贴纸（贴彩盒）+两张空白贴纸（贴在球的条码上）+一张进口商贴纸+一张产品贴纸+一张WEEE说明书纸,都翻4500163211</t>
  </si>
  <si>
    <t>10001702808-0581</t>
  </si>
  <si>
    <t>4500192219-10</t>
  </si>
  <si>
    <t>ZB04962-8.17</t>
  </si>
  <si>
    <t>4500192944-110</t>
  </si>
  <si>
    <t>法国sorting label贴纸(翻PO#4500182619)</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</si>
  <si>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</si>
  <si>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4500192944-130</t>
  </si>
  <si>
    <t>4500192140-40</t>
  </si>
  <si>
    <t>日期码格式：ZURU INC(BVI) 标准格式 日期：按实际生产日期
Packaging Info: 1. 包材：；
#77731: 球使用MA 最新1L UPC收缩膜+空白贴纸覆盖UPC+2L 英法版本 收藏指南 + 23L 说明书 + 3L UPC 铜版纸 + 价格贴纸(价贴金额$19.99, 价贴位于PVC桶铜版
纸UPC条形码附近）价贴资料翻单4500191041，工厂采购，出口美国。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PO#02116349 SHIP TO NJ,
PO#02116350 SHIP TO NV,
5. 出货配比：ZURU 标准配比</t>
  </si>
  <si>
    <t>4500192140-80</t>
  </si>
  <si>
    <t>4500192935-10</t>
  </si>
  <si>
    <t>4500193634-10</t>
  </si>
  <si>
    <t>ZB05109-8.17</t>
  </si>
  <si>
    <t>4500193634-20</t>
  </si>
  <si>
    <t>ZB04955-8.17</t>
  </si>
  <si>
    <t>4500192550-30</t>
  </si>
  <si>
    <t>日期码格式：ZURU INC(BVI) 标准格式 日期：按实际生产日期
Packaging Info: MA 3L EAN INT包装+1张固定的进口商贴纸,可统一订购;77711需一张UPC条码贴纸;
2款的贴纸图稿跟位置图均翻单4500167360
Remark: 77711GQ2-2.3692%The Original;2.3692%Pepperoni Pizza-Global Version;2.3692%Cheese Pizza-Global Version;2.3692%Hawaiian Pizza-Global Version;2.369
2%Big Dinner Box-Global Version;2.3692%Traditional Wings-Global Version;3.3117%Cooked Loboster;3.3117%Fishes;3.3117%Lamp Chops;3.3117%Broccoli F
lorets;3.9658%Eggplant;3.9658%Fruit Tray;3.9658%Oats Jar;3.9658%Kombucha;4.0791%Turmeric Shot;4.0791%Milk;4.0791%Juice;4.0791%Water;1.4215%Chees
e Pasta;1.4215%Mashed Potatoes;1.4215%Honey Deli Ham;1.4215%Deli Turkey;1.8953%Morning Star Farms Sausage Patties;1.8953%Thick Cut Bacon;1.8953%
Thick Cut Stack Pack;1.9709%Homestyle Waffles;1.9709%Soft Pretzels;1.9709%Pretzel Dogs;0.8241%Chow Mein;0.8241%Broccoli Beef;0.8241%Orange Chick
en;0.8241%Jamoca Almond Fudge Ice Cream;0.9477%Oreo Cookies'N Cream Ice Cream;0.9477%Tropical Punch;0.9477%Classic Grape;0.8241%O-mazing Orange
;0.8241%The OG;0.8241%Sweet Strawberry;0.8241%Original;0.6249%Unicorn Cake;0.6249%Pancakes;0.6249%Burgers and Fries;0.5686%Sushi;0.5686%Frozen C
hicken;0.5686%Tiramisu;0.5686%Eggs;0.5686%Ice;0.5253%Mini Chocolate;0.5253%Mini Strawberry Vanilla;0.5253%Mini The OG;0.5253%Mini Oreo Cookies'N
Cream Ice Cream;0.3399%Pudding;0.3399%Pops</t>
  </si>
  <si>
    <t>4500184344-10</t>
  </si>
  <si>
    <t>日期码格式：ZURU INC(BVI) 标准格式 日期：按实际生产日期
Packaging Info: 1.MA UPC 最新版本（优先1L）+客制包材（PVC 桶）+客供贴纸。
Remark: 1.MA UPC 最新版本（优先1L）+客制包材（PVC 桶）+客供贴纸。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</si>
  <si>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ZB05198-8.17</t>
  </si>
  <si>
    <t>4500190738-20</t>
  </si>
  <si>
    <t>3/25 外箱贴已寄出</t>
  </si>
  <si>
    <t>日期码格式：ZURU INC(BVI) 标准格式 日期：按实际生产日期
Packaging Info:
77711GQ2：产品包装(UPC版) MA 1L 收缩膜 + MA 1L PDQ；收缩膜上的UPC显示193052080127；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</si>
  <si>
    <t>4500192301-10</t>
  </si>
  <si>
    <t>4/1出货</t>
  </si>
  <si>
    <t>日期码格式：ZURU INC(BVI) 标准格式 日期：按实际生产日期
Packaging Info: 1.77711GQ2-S001-INT：B 版5L MA 收缩膜+UPC LABEL+警语+收藏指南+MA PDQ+进口商贴纸
Remark: 1、若产品有比例使用ZURU STD 比例
2、所有item 需要CE logo均用MA UPC 条码，若包装不是UPC 条码的请告知
3、此单出欧洲需满足EU测试标准要求，另外不能出闪粉（若产品本身不含闪粉则忽略这句话），电池产品（带电池/不带电池走货）需要添加WEEE通用说明书</t>
  </si>
  <si>
    <t>LISA LXL</t>
  </si>
  <si>
    <t>4500192252-10</t>
  </si>
  <si>
    <t>4500192252-80</t>
  </si>
  <si>
    <t>4500193066-40</t>
  </si>
  <si>
    <t>3/13进口商贴纸+空白贴纸</t>
  </si>
  <si>
    <t>日期码格式：ZURU INC(BVI) 标准格式 日期：按实际生产日期
Packaging Info: 
77711GQ2:MA 3L包装+进口商贴纸+空白贴纸+箱唛（空白贴纸覆盖原条码）
Remark: 封箱胶带要用客版CANDIDE版本</t>
  </si>
  <si>
    <t>4500192711-20</t>
  </si>
  <si>
    <t>丹麦/挪威/瑞典/芬兰语警告语贴在纸袋子上(贴纸和位置图翻PO#4500183825)</t>
  </si>
  <si>
    <t>日期码格式：ZURU INC(BVI) 标准格式 日期：按实际生产日期
Packaging Info: 77711GQ2:MA 3L EAN版收缩膜+丹麦瑞典芬兰挪威警告语贴纸+MA paper bag+丹麦/挪威/瑞典/芬兰语警告语贴在纸袋子上(贴纸和位置图翻PO#4500183825)+MA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77711GQ2-S002-INT:4894680043350</t>
  </si>
  <si>
    <t>4500192711-30</t>
  </si>
  <si>
    <t>丹麦瑞典芬兰挪威警告语贴纸(贴纸和位置图共用#77711GQ2)新资料+MA paper bag+丹麦/挪威/瑞典/芬兰语警告语贴在纸袋子上(贴纸和位
置图翻PO#4500183825)</t>
  </si>
  <si>
    <t>日期码格式：ZURU INC(BVI) 标准格式 日期：按实际生产日期
Packaging Info:
3.77711SK1:MA 3L EAN版收缩膜+丹麦瑞典芬兰挪威警告语贴纸(贴纸和位置图共用#77711GQ2)+MA paper bag+丹麦/挪威/瑞典/芬兰语警告语贴在纸袋子上(贴纸和位
置图翻PO#4500183825)+MA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
7.产品条码如下: 请先检查条码是否正确再安排做货，如有问题请告知
ZURU ITEM#&lt;(&gt;&amp;&lt;)&gt;EAN
77711SK1-S002-INT:4894680043350</t>
  </si>
  <si>
    <t>4500192252-140</t>
  </si>
  <si>
    <t>4500192252-160</t>
  </si>
  <si>
    <t>IVI-0205PMD</t>
  </si>
  <si>
    <t>4500194073-20</t>
  </si>
  <si>
    <t>箱唛翻单4500188421</t>
  </si>
  <si>
    <t>日期码格式：ZURU INC(BVI) 标准格式 日期：按实际生产日期
Packaging Info: 
77711GQ1： MA 3L INT 收缩膜+1张UPC 条码贴纸 （覆盖原条码）+2 张韩语贴纸（新稿）， MA PDQ ,
MA 收藏指南和说明书，箱唛翻单4500188421
Remark: 由于韩国法律法规要求，吸塑需PET材质，产品需符合韩国KC测试标准。
9548需出 无硼，无MIT防腐剂的口水胶， 大货品质需严格跟到测试办一致</t>
  </si>
  <si>
    <t>4500190991-110</t>
  </si>
  <si>
    <t>1 UPC 条码贴纸+ PDQ底部贴一张带条码35063389172313并可扫描的贴纸(ZURU 跟单提供模板）</t>
  </si>
  <si>
    <r>
      <rPr>
        <sz val="11"/>
        <rFont val="宋体"/>
        <charset val="134"/>
      </rPr>
      <t>日期码格式：ZURU INC(BVI) 标准格式 日期：按实际生产日期
Packaging Info:
77711GQ2:</t>
    </r>
    <r>
      <rPr>
        <sz val="11"/>
        <color rgb="FFFF0000"/>
        <rFont val="宋体"/>
        <charset val="134"/>
      </rPr>
      <t xml:space="preserve"> MA EAN 3L+1 UPC 条码贴纸</t>
    </r>
    <r>
      <rPr>
        <sz val="11"/>
        <rFont val="宋体"/>
        <charset val="134"/>
      </rPr>
      <t>+ PDQ底部贴一张带条码35063389172313并可扫描的贴纸(ZURU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r>
  </si>
  <si>
    <t>4500193766-90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</si>
  <si>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Marshalls PO#272587,SKU#912896 DC#881-1188PCS, DC#884-912PCS, DC#886-1272PCS, DC#887-1068PCS, DC#888-1164PCS</t>
  </si>
  <si>
    <t>ZB04991/ZB05009-8.17</t>
  </si>
  <si>
    <t>4500193767-90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</si>
  <si>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TJ MAXX PO#272590,SKU#192258 DC#891-1344PCS, DC#894-1080PCS, DC#896-900PCS, DC#897-1788PCS, DC#898-1284PCS</t>
  </si>
  <si>
    <t>ZB05010-8.17</t>
  </si>
  <si>
    <t>4500193768-60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</si>
  <si>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Marshalls PO#272591,SKU#913117 DC#881-684PCS, DC#884-516PCS, DC#886-744PCS, DC#887-612PCS, DC#888-648PCS</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</si>
  <si>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TJ MAXX PO#272595,SKU#192079 DC#891-756PCS, DC#894-612PCS, DC#896-504PCS, DC#897-1008PCS, DC#898-720PCS</t>
  </si>
  <si>
    <t>4500194544-10</t>
  </si>
  <si>
    <t>日期码格式：ZURU INC(BVI) 标准格式 日期：按实际生产日期
Packaging Info: MA UPC包装(优先1L), 2PK的球用无条码收缩膜
Remark: 1. 产品和包装上印刷tracking code信息，格式为ZURU常规格式。
2. ZURU QC验货。
3.只有1个DC，箱唛需用TJX Ecomm DC#899</t>
  </si>
  <si>
    <t>ZB05125-8.17</t>
  </si>
  <si>
    <t>4500193186-30</t>
  </si>
  <si>
    <t>creative说明书荷兰语贴纸(翻单4500155592）+1张含德语callout/德意荷警语/法国sorting label贴纸(贴球上, 本单放稿)</t>
  </si>
  <si>
    <t>日期码格式：ZURU INC(BVI) 标准格式 日期：按实际生产日期
Packaging Info: 
77711GQ2: 最新MA 3L PDQ+MA 3L EAN收缩膜+1张含德语callout/德意荷警语/法国sorting label贴纸(贴球上, 本单放稿)+MA23L 说明书+MA 5+23L警语收藏指南+ M
A 5L creative说明书 + creative说明书荷兰语贴纸(翻单4500155592）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</si>
  <si>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10001690052-3890</t>
  </si>
  <si>
    <t>4500193353-10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</si>
  <si>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t>
  </si>
  <si>
    <t>ZB05197-8.17</t>
  </si>
  <si>
    <t>4500196500-10</t>
  </si>
  <si>
    <t>4/6 抽办 完成504pcs 转自检</t>
  </si>
  <si>
    <t>3/24 1张RFID贴纸已寄出</t>
  </si>
  <si>
    <t>日期码格式：ZURU DGMMDD CHINA(日期避开周末和法定节假日即可） 日期：按实际生产日期
Packaging Info: 77711GQ4-S001-NA
1.包装要求：
MA 1L A版收缩膜+MA 2L B版收藏指南+MA B版说明书+客版1L PDQ
每pcs产品上要贴1张RFID贴纸，贴纸由ZURU提供，贴纸位置请严格按照我们签回的签板；
Remark: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carton出货，16pcs/PDQ/CTN</t>
  </si>
  <si>
    <t>ZB05308-8.17</t>
  </si>
  <si>
    <t>4500196500-20</t>
  </si>
  <si>
    <t>4/16BV验货 转自检</t>
  </si>
  <si>
    <t>ZB05226-8.17</t>
  </si>
  <si>
    <t>4500191041-20</t>
  </si>
  <si>
    <t>价格贴纸(价贴金额$19.99, 价贴位于PVC桶铜版纸UPC条形码附
 近）价贴资料翻单4500182865，</t>
  </si>
  <si>
    <t>日期码格式：ZURU INC(BVI) 标准格式 日期：按实际生产日期
Packaging Info: 1. 包材：；
#77731: 球使用NA版本2L的空白条码贴纸+2L 英法版本 收藏指南 + 23L 说明书 + 3L UPC 铜版纸 + 价格贴纸(价贴金额$19.99, 价贴位于PVC桶铜版纸UPC条形码附
近）价贴资料翻单4500182865，工厂采购，出口美国。
PS: 如包材语言版本有更新，需要联系跟单确认是否需要修改贴纸资料
Remark: 2.日期跟踪码：产品包装及产品本身都必须有日期跟踪码，并且确保两者的日期跟
踪码要一致；ZURU标准格式日期码(请自行调整具体年月日生产期，但不能为周末）。
3. 订单外箱：
*只需在外箱4面的正上方印ZURU LOGO；3面印MADE INCHINA字样，一面留空贴外箱贴；
*外箱正面需要额外加贴2张外箱贴（外箱贴客户提供，工厂直接贴）；
*外箱贴位置：shipping label贴于外箱正面左下角；product label贴于外箱正面右下角，2张贴纸都需距离外箱边缘至少3CM。
4. 此客户有两个PO:
PO#2105688 SHIP TO NJ
PO#2105690 SHIP TO NV
5. 出货配比：
ZURU 标版配比
6.测试样板
#7127需于3月8日前寄出ZURU MA 版本每款每色2pcs样板做测试，样板寄到以下地址做测试：
注： 需打印TRF随样板寄出（TRF由跟单提供）
测试行：BV(必维）
地址：广东省深圳市深圳市龙华区鸿创科技中心4栋1楼
收件人：Maggie Yang
电话: +86(0)755 8618 5331</t>
  </si>
  <si>
    <t>ZB05082-8.17</t>
  </si>
  <si>
    <t>4500191041-40</t>
  </si>
  <si>
    <t>600-20614</t>
  </si>
  <si>
    <t>4500194847-90</t>
  </si>
  <si>
    <t>日期码格式：ZURU INC(BVI) 标准格式 日期：按实际生产日期
Packaging Info: 1、包装方式：MA UPC优先1L最新版，出口美国
Remark: 2、无测试无验货要求
3、纸箱4面印ZURU LOGO + 箱唛
4、日期码请按ZURU标准版执行即可
5、ZURU OQC验货</t>
  </si>
  <si>
    <t>ZB05177-8.17</t>
  </si>
  <si>
    <t>4500194042-20</t>
  </si>
  <si>
    <t>2/25 UPC条码贴纸</t>
  </si>
  <si>
    <t>日期码格式：ZURU INC(BVI) 标准格式 日期：按实际生产日期
Packaging Info: 
77711GQ2:3L MA EAN包装+UPC条码贴纸; MA说明书; MA指南; MA PDQ
Remark: 1.产品及包装需要印UKCA图标，包装需要有ZURU UK LTD/ZURU France地址信息，QC同事请核查，如有问题与跟单确认。
2. 需要符合欧洲标准不能含有闪粉和微塑料，否则不和法规会有客诉产生
3.标准产品标准配比</t>
  </si>
  <si>
    <t>4500193889-10</t>
  </si>
  <si>
    <t>7.需要准备每款1套大货样，请注意备料</t>
  </si>
  <si>
    <t>3/12-进口商贴纸（含ES环保标）</t>
  </si>
  <si>
    <t>日期码格式：ZURU INC(BVI) 标准格式 日期：按实际生产日期
Packaging Info: 1.77711GQ1:最新MA 3L EAN版本包装+一张客户进口商贴纸（含ES环保标）+MA 5L 收藏指南+MA 3L PDQ；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6.此单LC条款，延迟出货有罚款；
7.需要准备每款1套大货样，请注意备料</t>
  </si>
  <si>
    <t>4500194541-20</t>
  </si>
  <si>
    <t>日期码格式：ZURU INC(BVI) 标准格式 日期：按实际生产日期
Packaging Info: MA UPC包装(优先1L), 2PK的球用无条码收缩膜
Remark: 1. 产品和包装上印刷tracking code信息，格式为ZURU常规格式。
2. ZURU QC验货。
3.只有1个DC，箱唛需用Marshalls Ecomm DC 889</t>
  </si>
  <si>
    <t>ZB05112-8.17</t>
  </si>
  <si>
    <t>4500194320-20</t>
  </si>
  <si>
    <t>UPC贴纸+进口商贴纸+3/31寄出价标贴纸</t>
  </si>
  <si>
    <t>日期码格式：ZURU INC(BVI) 标准格式 日期：按实际生产日期
Packaging Info:
77711GQ2:MA 多语包装+UPC贴纸+进口商贴纸+价标贴纸+箱唛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</si>
  <si>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77785SLT-S001-77711-INT</t>
  </si>
  <si>
    <t>新客版客版彩盒+客版说明书+客版托盘</t>
  </si>
  <si>
    <t>1.货如果需要用到透明贴纸，必须要使用圆形透明胶纸。
2.请按要求在集装箱的内侧放置干燥剂，并发照片给客人确认.此单有2个40HC，每个柜子放20袋干燥剂，每袋干燥剂1KG，指定品牌干霸SUPER DRY；
3.客版日期码要求：LOT+ZURU标准日期码格式。东莞生产的格式：LOTDGYYYYMMDD,YYYYMMDD是实际的年月日，例如(LOTDG20240920)(包装/产品/外箱都需要写上指定日期码）</t>
  </si>
  <si>
    <t>4500193286-10</t>
  </si>
  <si>
    <t>3/5客供价格贴纸</t>
  </si>
  <si>
    <t>日期码格式：ZURU INC(BVI) 标准格式 日期：按实际生产日期
Packaging Info: 1. Cus Item：
MA UPC 现有包装+PVC桶, 铜板纸+客供价格贴纸，优先使用MA 1L最新版本（可接受多语），出口美国。
Remark: 1. Cus Item：
MA UPC 现有包装+PVC桶, 铜板纸+客供价格贴纸，优先使用MA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</si>
  <si>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ZB05199-8.17</t>
  </si>
  <si>
    <t>4500194850-10</t>
  </si>
  <si>
    <t>3/5 确认OK</t>
  </si>
  <si>
    <t>日期码格式：ZURU INC(BVI) 标准格式 日期：按实际生产日期
Packaging Info: #77711:
客版3L,PDQ(NA版,16装)+MA2L收缩膜(NA版,UPC:193052080127)+MA2L收藏指南(NA版B版)+MA配件袋+MA5L说明书+MA23L警告语说明书(B)
翻单：4500186723
Remark: 1. 此单有箱唛;
2. UPC贴纸：必须在原来错误的条码上用黑色粗头笔涂黑直至不能扫描，再贴上正确的UPC;
3. 此单有第三方验货，烦请多备包装物料；
4.#77711需安排4/9抽板测试，抽板数量：大货样各4PCS+4套完整散件；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</si>
  <si>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4500191650-50</t>
  </si>
  <si>
    <t>3/16加价格贴+外箱贴纸</t>
  </si>
  <si>
    <t>4500191650-140</t>
  </si>
  <si>
    <t>4500193405-10</t>
  </si>
  <si>
    <t>3/12 1张警语贴纸+1张UPC 条码贴纸(UPC#193052080134)</t>
  </si>
  <si>
    <t>日期码格式：ZURU INC(BVI) 标准格式 日期：按实际生产日期
Packaging Info: 此单出TW
77711GQ1（INT): MA 3L 收缩膜+1张UPC 条码贴纸(UPC#193052080134) + MA 3L PDQ+MA 5L 收藏指南 +1张警语贴纸（贴球底部）
Remark:</t>
  </si>
  <si>
    <t>4500194168-20</t>
  </si>
  <si>
    <t>2/26 确认</t>
  </si>
  <si>
    <t>2/25 UPC贴纸</t>
  </si>
  <si>
    <t>客版物料翻单PO4500161302</t>
  </si>
  <si>
    <t>日期码格式：ZURU INC(BVI) 标准格式 日期：按实际生产日期
Packaging Info: 77782GQ1:MA 包装（用item 77711的收缩膜）+UPC贴纸+客版收藏指南+客版PDQ+箱唛，，客版物料翻单PO4500161302
Remark:</t>
  </si>
  <si>
    <t>77782GQ1-S001-INT-1L</t>
  </si>
  <si>
    <t>10001742158-0
581</t>
  </si>
  <si>
    <t>4500194244-10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</si>
  <si>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出货方式：货代自提；
6. 此单为空运订单，交期不得有延迟</t>
  </si>
  <si>
    <t>ZB05081-8.17</t>
  </si>
  <si>
    <t>4500193165-10</t>
  </si>
  <si>
    <t>UPC条码贴+ 防盗贴纸（两款贴纸以及防盗贴纸位置图翻单PO#4500160026）+3/24外箱贴纸SSCC</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</si>
  <si>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PO#4500193164一起合并计算</t>
  </si>
  <si>
    <t>4500193164-10</t>
  </si>
  <si>
    <t>3/24外箱贴纸SSCC+UPC条码贴+ 防盗贴纸（两款贴纸以及防盗贴纸位置图翻单PO#4500160026）</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</si>
  <si>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PO#4500193165一起合并计算</t>
  </si>
  <si>
    <t>4500193668-60</t>
  </si>
  <si>
    <t>3/12确认</t>
  </si>
  <si>
    <t>ZB05128-8.17</t>
  </si>
  <si>
    <t>4500193874-50</t>
  </si>
  <si>
    <t>一套大货样品/item，请多备料。</t>
  </si>
  <si>
    <t>德意警语贴纸(翻单: 4500178421)</t>
  </si>
  <si>
    <t>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</si>
  <si>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日期码格式：ZURU INC(BVI) 标准格式 日期：按实际生产日期
Packaging Info: 
77711GQ1: MA EAN 收缩膜3L-A版本+德意警语贴纸(翻单: 4500178421) +MA纸袋+MA 5L-B版本收藏指南+MA B版警告语说明书23L+MA CREATIVE 5L-A版本+MA UV GLUE
lable贴纸+MA PDQ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</si>
  <si>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4500195338-20</t>
  </si>
  <si>
    <t>3/9确认</t>
  </si>
  <si>
    <t>3/21进口商贴纸+空白贴纸</t>
  </si>
  <si>
    <t>日期码格式：ZURU INC(BVI) 标准格式 日期：按实际生产日期
Packaging Info: 
77711GQ2:MA 多语包装+进口商贴纸+箱唛+空白贴纸（空白贴纸覆盖原条码）,进口商贴纸+空白贴纸翻单PO4500193066
Remark: 外箱胶带要用CANDIDE 格式</t>
  </si>
  <si>
    <t>4500195564-10</t>
  </si>
  <si>
    <t>进口商贴纸+空白贴纸 进口商贴纸+空白贴纸翻单PO4500193066</t>
  </si>
  <si>
    <t>4500195383-10</t>
  </si>
  <si>
    <t>日期码格式：ZURU INC(BVI) 标准格式 日期：按实际生产日期
Packaging Info: 77711GQ1 MA 2L（PDQ+收缩膜UPC版本193052080127)
Remark: 出加拿大
Zuru验货.日期跟踪码：产品外包装及产品本身都必须有日期跟踪码，ZURU标准格式日期码。（箱唛日期码按跟单提供格式）</t>
  </si>
  <si>
    <t>MINISO TRADING CANADA INC.</t>
  </si>
  <si>
    <t>4500191753-10</t>
  </si>
  <si>
    <t>日期码格式：ZURU INC(BVI) 标准格式 日期：按实际生产日期
Packaging Info: 1. 包装方式：出口加拿大；#77711GQ2用MA 2L UPC包装；
2. 产品和包装上印刷tracking code信息，格式为ZURU常规；
3. ZURU QC 验货合格后即可出货.
Remark:4. 77711GQ2-S002-NA PDQ上需要贴一张UPC 条码贴纸,UPC显示：193052080127，贴纸AW翻单4500187984，工厂自行采购；</t>
  </si>
  <si>
    <t>4500192252-190</t>
  </si>
  <si>
    <t>4500193772-20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</si>
  <si>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Marshalls PO#272593,SKU#913227 DC#881-468PCS, DC#884-360PCS, DC#886-504PCS, DC#887-420PCS, DC#888-444PCS</t>
  </si>
  <si>
    <t>ZB05277/ZB05301-8.17</t>
  </si>
  <si>
    <t>4500193773-20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</si>
  <si>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item#77731: TJ MAXX PO#272597,SKU#192454 DC#891-504PCS, DC#894-408PCS, DC#896-336PCS, DC#897-672PCS, DC#898-480PCS</t>
  </si>
  <si>
    <t>ZB05276-8.17</t>
  </si>
  <si>
    <t>ALDI STORES LIMITED</t>
  </si>
  <si>
    <t>MPO04166</t>
  </si>
  <si>
    <t>4500193104-00010-20260421</t>
  </si>
  <si>
    <t>MPO04166-10</t>
  </si>
  <si>
    <t>77711-INT</t>
  </si>
  <si>
    <t>4/14送库有</t>
  </si>
  <si>
    <t>3/23-1*UPC 贴纸</t>
  </si>
  <si>
    <t>15个球按标准配比混装好为一组，标版配比，15的倍数入一个周转箱。每15个可以入胶袋区分或者用纸板隔开区分，确保库有能15个球直接入展架</t>
  </si>
  <si>
    <t>Remark:
兴信⼦件：#77711 Fill the Fridge S1 193052080134 15pcs/Bin 兴信 产品是INT 版本+MA 3L EAN 收缩膜+1*UPC 贴纸+MA 23L 警语说明书+MA 制作说明书+MA 5L 纸袋+MA 5L
收藏指南 请先检查条码是否正确再安排做货； ① 订单的所有测试与样品要求以跟单的要求为准，且为了避免QC验货拆货来不及补货，请准备适量的贴纸和产品备品。此订单数
量只作为⼤货⽣产，不包含样板与备品。 ② 关于混装展⽰架，各⼯⼚交⼦件到最终⺟件⼯⼚时，务必要 "带卡板出+围好围膜"。 如果没按要求的，请各⼯⼚⾃⾏安排⼈⼿卸货。
③ 请贵司确保交货数量准确，与收货⽅交收清楚，如收货⽅提出任何异常，请⽴即安排处理解决。
4/16 增加备注：移除提拉⽶苏Mini，⽤其他替换即可.</t>
  </si>
  <si>
    <t>不入</t>
  </si>
  <si>
    <t>4500193104-
00030-20260421</t>
  </si>
  <si>
    <t>MPO04166-20</t>
  </si>
  <si>
    <t>4500192264-40</t>
  </si>
  <si>
    <t>无箱唛但需提供每款实际外箱尺寸排版确认定位框，store 订单的定位框位置要在：箱子的最大面朝上后，定位框在箱子的第二大面的右下角，距离箱子右边3
英寸，距离底部1.25英寸, 贴纸要按定位框贴，位置与方向贴不对会有客户罚款需由工厂承担</t>
  </si>
  <si>
    <t>4500194886-50</t>
  </si>
  <si>
    <t>丹麦瑞典芬兰挪威警告语贴纸+MA paper bag+丹麦/挪威/瑞典/芬兰语警告语贴在纸袋子上(贴纸和位置图翻PO#4500183825)</t>
  </si>
  <si>
    <t>日期码格式：ZURU INC(BVI) 标准格式 日期：按实际生产日期
Packaging Info:
77711:MA 3L EAN版收缩膜+丹麦瑞典芬兰挪威警告语贴纸+MA paper bag+丹麦/挪威/瑞典/芬兰语警告语贴在纸袋子上(贴纸和位置图翻PO#4500183825)+MA 5L(23L
warning)收藏指南+MA 23L说明书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77711-S001-INT-4894680043350</t>
  </si>
  <si>
    <t>4500194687-20</t>
  </si>
  <si>
    <t>3/18客人白色Cat.label 1张+4/2UPC条码贴纸</t>
  </si>
  <si>
    <t>日期码格式：ZURU INC(BVI) 标准格式 日期：按实际生产日期
Packaging Info: 1. 77673：1L MA UPC包装+客人白色Cat.label 1张(不要覆盖MA包装上的条码）+WEEE带电池走货说明书
77711：MA -3L 包装+客人白色Cat.label 1张+UPC条码贴纸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</si>
  <si>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4500195221-10</t>
  </si>
  <si>
    <t>4500195637-10</t>
  </si>
  <si>
    <t>2026/4/21第三方验货</t>
  </si>
  <si>
    <t>02428975/1</t>
  </si>
  <si>
    <t>4500195602-10</t>
  </si>
  <si>
    <t>4/2upc条码</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</si>
  <si>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9548/9574:WEEE_不带电池走货 _ 说明书欧洲EN+29L_C版
25282/9561/77772GQ2:WEEE_带电池走货 _ 说明书欧洲EN+29L_C版
77772GQ2: 72 此客制款需移除Lola Young vinyl，如做错货导致罚款会由工厂负全责
77711GQ2-S002-INT: MA B版 5L EAN版收缩膜+UPC条码贴纸</t>
  </si>
  <si>
    <t>02428976/1</t>
  </si>
  <si>
    <t>4500195602-30</t>
  </si>
  <si>
    <t>4500195960-10</t>
  </si>
  <si>
    <t>日期码格式：ZURU INC(BVI) 标准格式 日期：按实际生产日期
Packaging Info: 1. 77711GQ1：最新【MA 3L EAN版本收缩膜+一张进口商贴纸（含西班牙环保标）】+【MA 最新 3L PDQ+一张PDQ贴纸含EAN条码】+最新MA 5L收藏指南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&lt;(&gt;&amp;&lt;)&gt; ZURU France地址信息， 另外，包装贴纸上面的警告语不可以覆盖西班牙警告语。QC同事请
核查，如有问题需和跟单确认。
5.此单需要准备2套大货样，请注意备料；</t>
  </si>
  <si>
    <t>4500195960-20</t>
  </si>
  <si>
    <t>日期码格式：ZURU INC(BVI) 标准格式 日期：按实际生产日期
Packaging Info:
2. 77711SK1：最新【MA 3L EAN版本收缩膜+一张进口商贴纸（含西班牙环保标）】+【MA最新 3L 展示架+一张展示架贴纸含EAN条码】+最新MA 5L收藏指南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&lt;(&gt;&amp;&lt;)&gt; ZURU France地址信息， 另外，包装贴纸上面的警告语不可以覆盖西班牙警告语。QC同事请
核查，如有问题需和跟单确认。
5.此单需要准备2套大货样，请注意备料；</t>
  </si>
  <si>
    <t>4500194136-20</t>
  </si>
  <si>
    <t>第三方监柜，需要每款多备1套完整物料</t>
  </si>
  <si>
    <t>进口商贴纸+UPC贴纸+4/1外箱贴纸</t>
  </si>
  <si>
    <t>日期码格式：ZURU INC(BVI) 标准格式 日期：按实际生产日期
Packaging Info: 
77711GQ2:MA 多语包装+进口商贴纸+UPC贴纸+外箱贴纸+箱唛
Remark: 1.此单有第三方监柜，需要每款多备1套完整物料
2.外箱贴纸只要一张，位置是正唛和侧唛的交接处</t>
  </si>
  <si>
    <t>4500194297-20</t>
  </si>
  <si>
    <t>3/31寄出条码箱贴纸，每箱只贴一张，由ZURU订购。来料贴纸上显示的客户DPCI# 086-02-9357, UPC显示10193052080124;</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</si>
  <si>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</si>
  <si>
    <t>4500195521-30</t>
  </si>
  <si>
    <t>日期码格式：ZURU INC(BVI) 标准格式 日期：按实际生产日期
Packaging Info: MA UPC包装(优先1L)+进口商贴纸,Fuggler的items需mother UPC barcode 信息,会跟进口商贴纸做在一起
进口商贴纸图稿及位置图翻单如下,其他items待提供
77803GQ2-4500180194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EAN包装（3L)+1张进口商贴纸+1张UPC条码贴纸覆盖原条码(UPC贴纸显示款号77803，条码193052092403）。UPC条码贴纸翻单4500165640。
客版PDQ+收藏指南跟回拉美的订单4500161302,但是收藏指南要加贴纸遮住以下两个LOGOs,贴纸资料翻单4500165640;
Veggie Original Sausage Patties(Contains pork words)
Singles The Original- Pepperoni (Contains pork words)
Remark: 
77803GQ2-</t>
  </si>
  <si>
    <t>4500194435-30</t>
  </si>
  <si>
    <t>日期码格式：ZURU INC(BVI) 标准格式 日期：
Packaging Info: 1. 产品MA UPC包装（优先1L）出美国
2. 客人指定箱唛排版
Remark: 出货前 Zuru QC 验货</t>
  </si>
  <si>
    <t>4500194435-40</t>
  </si>
  <si>
    <t>4500195548-60</t>
  </si>
  <si>
    <t>日期码格式：ZURU INC(BVI) 标准格式 日期：按实际生产日期
Packaging Info: 物料要求 SKU
1 77711GQ1 MA PDQ +外挂中文收藏指南+中文说明书+黑白警告语+收缩膜年龄贴（8+） 翻单： 4500192252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</si>
  <si>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53V2T6XU</t>
  </si>
  <si>
    <t>4500194447-110</t>
  </si>
  <si>
    <t>3/23 SSCC贴纸+1张IT环保标贴纸(参考翻单PO#4500158623）</t>
  </si>
  <si>
    <t>日期码格式：ZURU INC(BVI) 标准格式 日期：按实际生产日期
Packaging Info: Amazon UK: 8FVDM9BK/7FYUOBCQ/6DXZ8BCR;
Amazon DE: 3ZD62XDQ/7UMX6PDU/53V2T6XU/43MRU2PL/3FVERSAT/1XD8NF1S
Amazon FR: 2DGUQHWW
Amazon ES: 171ZD1ZU
Amazon IT: 8YOYCXKB/8OF4ZEGZ/3SOTGHKF
Amazon UK(157101/157103/15710B/15726A/15747/15752DH/15755ABDE/15757/77673/77731/92129AHJ/9565E)/DE(157107AB/15726A/15746ABD/15747/15749ABDEGH/15
752ABDEGH/15754DEH/15755ABD/15757/15762D/77584/77731/77785/77806/92129B)/FR(15754G/77731)/ES(157103/77809)/IT(15746E/15754B/15755E/77809)
10.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ES环保标+GPSR邮箱care@zuru.com+新FR&lt;(&gt;&amp;&lt;)&gt;DK地址，参考翻单PO#4500186266)+1张IT环保标贴纸(参考翻单PO#4500158623）；
22.验货时间不迟于2026/4/23.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</si>
  <si>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1XD8NF1S</t>
  </si>
  <si>
    <t>4500194447-340</t>
  </si>
  <si>
    <t>2DGUQHWW</t>
  </si>
  <si>
    <t>4500194447-380</t>
  </si>
  <si>
    <t>4500194447-480</t>
  </si>
  <si>
    <t>4500186354-20</t>
  </si>
  <si>
    <t>日期码格式：ZURU INC(BVI) 标准格式 日期：按实际生产日期
Packaging Info: 1. Cus Item
#77731 ：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
8. 请注意#77785一个彩盒中的两个球不允许重复，且一个彩盒不能拆出2个即以上的重复散件</t>
  </si>
  <si>
    <t>4500195548-70</t>
  </si>
  <si>
    <t>4500196190-10</t>
  </si>
  <si>
    <t>日期码格式：ZURU INC(BVI) 标准格式 日期：按实际生产日期
Packaging Info: 1. Cus Item
#77731： MA UPC 现有包装+PVC桶,铜板纸+客供贴纸，优先使用MA 1L最新版本(可接受多语），出口美国。
Remark: 1. Cus Item
#77731： MA UPC 现有包装+PVC桶,铜板纸+客供贴纸，优先使用MA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</si>
  <si>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日期码格式：ZURU INC(BVI) 标准格式 日期：按实际生产日期
Packaging Info: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Remark: 此单出HK</t>
  </si>
  <si>
    <t>4500198601-10</t>
  </si>
  <si>
    <t>3/26进口商贴纸+UPC贴纸</t>
  </si>
  <si>
    <t>客版物料翻单PO450016</t>
  </si>
  <si>
    <t>日期码格式：ZURU INC(BVI) 标准格式 日期：按实际生产日期
Packaging Info: 7782GQ1:MA 3L收缩膜（ITEM 77711)++客版收藏指南+客版PDQ+进口商贴纸+UPC贴纸，箱唛，客版物料翻单PO4500161302
77673：MA 3L包装+进口商贴纸+箱唛,进口商贴纸翻单PO4500187657
Remark: 77673 外箱消耗PO 4500194136 285PCS 的库存，加水贴纸消耗,剩下的115PCS重新订购外箱</t>
  </si>
  <si>
    <t>77782GQ1-S001-INT-3L</t>
  </si>
  <si>
    <t>数量0</t>
  </si>
  <si>
    <t>4500195217-10</t>
  </si>
  <si>
    <t>日期码格式：ZURU INC(BVI) 标准格式 日期：按实际生产日期
Packaging Info: 77711GQ1:MA NA 2L UPC
Remark: 出加拿大
Zuru验货.日期跟踪码：产品外包装及产品本身都必须有日期跟踪码，ZURU标准格式日期码</t>
  </si>
  <si>
    <t>MPO10168-20</t>
  </si>
  <si>
    <t>ZMPO260286</t>
  </si>
  <si>
    <t>ZMPO260286-10</t>
  </si>
  <si>
    <t>130套散件</t>
  </si>
  <si>
    <t>Remark：大货最新版本/只需要齐套散件/除了冰箱贴不需要/麻烦用胶袋分装好一套为一袋/箱唛参照邮件附件 。备注：收到样品订单后尽快安排 ，注意样板品质质量要求要高于大货品质要求 ，送货时必须要附带送货单(没有送货单和QC检验合格报告的仓库一律拒绝收货)，请知悉，谢谢！</t>
  </si>
  <si>
    <t>ZMPO260305</t>
  </si>
  <si>
    <t>ZMPO260305-10</t>
  </si>
  <si>
    <t>170套散件</t>
  </si>
  <si>
    <t>Remark：大货最新版本/只需要左图指定款散件/麻烦用胶袋分装好一套为一袋
备注：收到样品订单后尽快安排 ，谢谢！</t>
  </si>
  <si>
    <t>3/3-德语意大利警告语贴纸+WEEE 带电池走货 B版通用30L 说明书</t>
  </si>
  <si>
    <t>日期码格式：ZURU INC(BVI) 标准格式 日期：按实际生产日期
Packaging Info: 
77785：客版彩盒+价格贴纸+EAN条码贴纸（翻单:4500166647）
77711： MA EAN 收缩膜3L-A版本+德语意大利警告语贴纸（翻单:4500166647）+空白贴纸覆盖EAN+MA纸袋+MA GLOBUS 5L-B版本收藏指南+MA警告语说明书23L+MA CRE
ATIVE 5L-A版本+MA UV GLUE lable贴纸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</si>
  <si>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4500195548-50</t>
  </si>
  <si>
    <t>4500196056-250</t>
  </si>
  <si>
    <t>4/1UPC贴纸+进口商贴纸) +贴纸+客版PDQ跟回77782GQ1-S001-INT（翻单号PO450016130）</t>
  </si>
  <si>
    <t>日期码格式：ZURU INC(BVI) 标准格式 日期：按实际生产日期
Packaging Info: 
77782GQ1:MA 包装（用item 77711的收缩膜）+UPC贴纸+进口商贴纸+客版收藏指南+客版PDQ+箱唛，，客版物料翻单PO4500161302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t>
  </si>
  <si>
    <t>4500196119-130</t>
  </si>
  <si>
    <t>4/1客版物料翻单PO450016130</t>
  </si>
  <si>
    <t>无需跟回进口商贴纸上的日期码。</t>
  </si>
  <si>
    <t>ZMPO260387</t>
  </si>
  <si>
    <t>ZMPO260387-10</t>
  </si>
  <si>
    <t>Remark大货最新版本/只需要10个成品球/一个成品球里面有一款必须是左图指定款/剩下的随机备注：收到样品订单后尽快安排 ，谢谢！</t>
  </si>
  <si>
    <t>4500197030-20</t>
  </si>
  <si>
    <t>ZMPO260362</t>
  </si>
  <si>
    <t>ZMPO260362-10</t>
  </si>
  <si>
    <t>Remark；大货最新版本/只需要齐套散件/除了冰箱贴不需要/麻烦用胶袋分装好一套为一袋/箱唛参照邮件附件；备注：收到样品订单后尽快安排 ，注意样板品质质量要求要高于大货品质要求 ，送货时必须要附带送货单(没有送货单和QC检验合格报告的仓库一律拒绝收货)，请知悉，谢谢！</t>
  </si>
  <si>
    <t>4500190084-10</t>
  </si>
  <si>
    <t>彩色贴纸，每箱两张彩色贴纸, 彩色产品贴纸翻单PO#4500182810。客供防盗贴</t>
  </si>
  <si>
    <t>此单指定日期码：DG20260409</t>
  </si>
  <si>
    <t>日期码格式：ZURU INC(BVI) 标准格式 日期：2026-04-09
Packaging Info: 1)客版PDQ翻单PO#4500182810，最新版ZURU MA UPC包装(优先1L)，出口美国。如有说明书请使用ZURU MA说明书，优先放1L英语。
2)ZURU标准日期码格式：工厂城市缩写+生产年月日。此单指定日期码：DG20260409。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56251788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</si>
  <si>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ZB05455/ZB05456/ZB05457/ZB05458/ZB05459/ZB05460/ZB05461/ZB05462</t>
  </si>
  <si>
    <t>4500194379-80</t>
  </si>
  <si>
    <t>日期码格式： 标准格式 日期：按实际生产日期
Packaging Info:
77731 英法客版铜版纸，upc 193052085115, MA 2L 说明书 ，英法无UPC收缩膜翻单 4500160498
Remark: 出加拿大
有客供价格贴
每行对应不同的客户PO，唛头要一一对应， 放唛头时跟单会提供清单
Zuru验货.日期跟踪码：产品外包装及产品本身都必须有日期跟踪码，ZURU标准格式
日期码</t>
  </si>
  <si>
    <t>4500194379-190</t>
  </si>
  <si>
    <t>47:0003194034</t>
  </si>
  <si>
    <t>4500196429-10</t>
  </si>
  <si>
    <t>3/20确认</t>
  </si>
  <si>
    <t>日期码格式：ZURU INC(BVI) 标准格式 日期：按实际生产日期
Packaging Info: 77782: 77711 MA 收缩膜+条码贴纸+1张日语警语贴纸(贴在收缩膜上）+1张日语警告贴纸（贴在说明书上), 客版收藏指南+客版PDQ
(日语警语贴纸资料及位置图请翻单4500162966，贴纸不要遮挡住日期码）
Remark: 1.产品品质和内容材质以及包装版本等都需跟到上一单（4500162966），如不一致，请提前告知
2. 请多备几个外箱出货，避免外箱到仓库后出现破损情况。</t>
  </si>
  <si>
    <t>4500195548-80</t>
  </si>
  <si>
    <t>4500196301-10</t>
  </si>
  <si>
    <t>丹麦瑞典芬兰挪威警告语贴纸(贴纸和位置图翻PO#4500192711)+丹麦/挪威/瑞典/芬兰语警告语贴在纸袋子上(贴纸和位置图翻PO#4500183825)</t>
  </si>
  <si>
    <t>日期码格式：ZURU INC(BVI) 标准格式 日期：按实际生产日期
Packaging Info: 1. 77711GQ2: MA 3L EAN版收缩膜+丹麦瑞典芬兰挪威警告语贴纸(贴纸和位置图翻PO#4500192711)+MA paper bag+丹麦/挪威/瑞典/芬兰语警告语贴在纸袋子上(贴纸
和位置图翻PO#4500183825)+MA 3L PDQ+MA 5L(23L warning)收藏指南+MA 23L说明书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77711GQ2-S002-INT:4894680043350</t>
  </si>
  <si>
    <t>4500196388-20</t>
  </si>
  <si>
    <t>2.大货样品2套/item，用于客人验货签板。验货后还会抽办1套/item，请多备料。球类请寄3套+一套配件
3.客人日期码：LOT2618，包装（含收缩膜等）/产品/外箱 请保持一致。</t>
  </si>
  <si>
    <t>日期码格式：LOT2618 日期：
Packaging Info:
2. 77711GQ2:最新MA 3L EAN收缩膜+最新MA 5L收藏指南+最新MA 3L PDQ+最新MA 23L说明书+一张进口商贴纸（含意/希警语+意大利环保标）+一张产品贴纸
Remark: 1.RATIO 同MA 一致。
2.大货样品2套/item，用于客人验货签板。验货后还会抽办1套/item，请多备料。球类请寄3套+一套配件
3.客人日期码：LOT2618，包装（含收缩膜等）/产品/外箱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所有带电产品请复核跟单是否有提供客人指定内容的WEEE说明书（非通用30L版本）</t>
  </si>
  <si>
    <t>4500197982-40</t>
  </si>
  <si>
    <t>ZB05449-8.17</t>
  </si>
  <si>
    <t>2E8M6XXW</t>
  </si>
  <si>
    <t>4500197216-40</t>
  </si>
  <si>
    <t>4/13SSCC label</t>
  </si>
  <si>
    <t>日期码格式：ZURU INC(BVI) 标准格式 日期：按实际生产日期
Packaging Info: Amazon DE: 8GL4A1BX
Amazon ES: 2E8M6XXW
Amazon DE(15714K/77806/15752A)/ES(77731)
4.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环保标+GPSR邮箱care@zuru.com+新FR//DK/UK地址，参考翻单PO#4500194447)+1张IT环保标贴纸(参考翻单PO#4500158623）；
5. 验货时间不迟于2026/4/30.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</si>
  <si>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4500197331-20</t>
  </si>
  <si>
    <t>外箱/产品/包装 保持一致，完货后提供date code 信息以便我们保存记录做批次管理;</t>
  </si>
  <si>
    <t>日期码格式：ZURU INC(BVI) 标准格式 日期：按实际生产日期
Packaging Info:
77711GQ1:最新MA 3L EAN收缩膜+最新MA 5L收藏指南+最新MA 23L说明书+最新MA 5L creative+最新MA纸袋+最新MA 3L PDQ+多语警语折叠贴纸（含包装缺失的法/意/
西环保标）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带电池产品都需要包含30L WEEE黑白说明书(B版)。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</si>
  <si>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4500195560-30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</si>
  <si>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PO#332429,SKU#198002 DC#891-492PCS, DC#894-408PCS, DC#896-372PCS, DC#897-744PCS, DC#898-384PCS</t>
  </si>
  <si>
    <t>ZB05469-8.17</t>
  </si>
  <si>
    <t>4500195559-30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</si>
  <si>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PO#332427,SKU#918890 DC#881-480PCS, DC#884-384PCS, DC#886-756PCS, DC#887-396PCS, DC#888-180PCS</t>
  </si>
  <si>
    <t>ZB05470-8.17</t>
  </si>
  <si>
    <t>BEALL'S  OUTLET  STORES,  INC.</t>
  </si>
  <si>
    <t>4500197840-60</t>
  </si>
  <si>
    <t>4/2已寄客供价格贴纸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</si>
  <si>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3.样板：请在4.10前寄出#9561和#71126各两套样板寄到深圳办公室转寄给客人</t>
  </si>
  <si>
    <t>Hailey  Yu</t>
  </si>
  <si>
    <t>ZB05549-8.17</t>
  </si>
  <si>
    <t>4500197840-160</t>
  </si>
  <si>
    <t>4500197840-170</t>
  </si>
  <si>
    <t>ZB05568-8.17</t>
  </si>
  <si>
    <t>4500195747-40</t>
  </si>
  <si>
    <t>日期码格式：ZURU INC(BVI) 标准格式 日期：按实际生产日期
Packaging Info: 77782GQ1:MA 多语收缩膜（用77711）+进口商贴纸+条码贴纸+箱唛+客版PDQ+客版收藏指南，进口商贴纸和条码贴纸翻单PO4500195747
Remark: 进口商贴纸请多备料5pcs,出货后需要寄给客户</t>
  </si>
  <si>
    <t>4500195170-20</t>
  </si>
  <si>
    <t>4500194442-190</t>
  </si>
  <si>
    <t>日期码格式：ZURU INC(BVI) 标准格式 日期：
Packaging Info: 1. 通用PDQ, 产品MA UPC包装（优先1L）出美国 其中 92129TQ5为客版pdq翻单4500180920
2. 客人指定箱唛排版
Remark: 出货前 Zuru QC 验货</t>
  </si>
  <si>
    <t>4500194442-200</t>
  </si>
  <si>
    <t>4500198823-20</t>
  </si>
  <si>
    <t>4/8进口商贴纸+空白贴纸（空白贴纸 覆盖原条码）进口商贴纸+空白贴纸翻单PO4500193066</t>
  </si>
  <si>
    <t>外箱胶带要用CANDIDE 格式</t>
  </si>
  <si>
    <t>4500198269-10</t>
  </si>
  <si>
    <t>5/11第三方验货</t>
  </si>
  <si>
    <t>4/81张RFID贴纸</t>
  </si>
  <si>
    <t>日期码格式：ZURU DGYYMMDD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</si>
  <si>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ZB05592-8.17</t>
  </si>
  <si>
    <t>4500198269-20</t>
  </si>
  <si>
    <t>ZB05569-8.17</t>
  </si>
  <si>
    <t>4500198269-30</t>
  </si>
  <si>
    <t>ZB05718-8.17</t>
  </si>
  <si>
    <t>4500198269-40</t>
  </si>
  <si>
    <t>ZB05596-8.17</t>
  </si>
  <si>
    <t>4500195307-80</t>
  </si>
  <si>
    <t>客人格式日期码 LOT2618，包装（含收缩膜等）/产品/外箱 请保持一致。</t>
  </si>
  <si>
    <t>日期码格式：LOT2618 日期：
Packaging Info: 
8. 77711GQ2: 最新MA 3L EAN收缩膜+最新MA 3L PDQ+最新MA收藏指南+最新MA 纸袋+一张进口商贴纸（含葡萄牙警语+西班牙环保标）+一张产品贴纸
Remark: 1. 订单出欧洲国家-西班牙，产品不能含有闪粉/微塑料，请确保所有包装都有西班牙环保标。
2. 客人格式日期码 LOT2618，包装（含收缩膜等）/产品/外箱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</si>
  <si>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4500196811-10</t>
  </si>
  <si>
    <t>日期码格式：ZURU INC(BVI) 标准格式 日期：按实际生产日期
Packaging Info: 77711GQ1：A 版 3L MA EAN收缩膜+进口商贴纸+UPC条码贴纸覆盖原条码；B 版23L MA警告语说明书/A 版 5L MA Creative 说明书/A 版3L MA PDQ/B 版 5L MA 收藏
指南
Remark: 1、若产品有比例使用ZURU STD 比例
2、所有item 均用MA UPC 条码，若包装不是UPC 条码的请告知
3、此单出欧洲需满足EU测试标准要求
4、baby UPC：</t>
  </si>
  <si>
    <t>4500197805-20</t>
  </si>
  <si>
    <t>4/1外箱条码贴纸</t>
  </si>
  <si>
    <t>指定tracking code: ZURUDG20260416</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</si>
  <si>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</si>
  <si>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ZB05551-8.17</t>
  </si>
  <si>
    <t>4500197809-20</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</si>
  <si>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</si>
  <si>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4500197806-20</t>
  </si>
  <si>
    <t>ZB05550-8.17</t>
  </si>
  <si>
    <t>4500193910-20</t>
  </si>
  <si>
    <t>4/10进口商贴纸</t>
  </si>
  <si>
    <t>日期码格式：ZURU INC(BVI) 标准格式 日期：按实际生产日期
Packaging Info: 
2. 77711GQ2：MA 3L EAN包装+UPC条码贴纸+MA 3L PDQ包装+进口商贴纸+箱唛
Remark: 1. 此单有监柜，每款请多备1pc样板用于监装</t>
  </si>
  <si>
    <t>4500186369-10</t>
  </si>
  <si>
    <t>日期码格式：ZURU INC(BVI) 标准格式 日期：按实际生产日期
Packaging Info: 1. Cus Item
#77731:MA UPC 现有包装+PVC桶&lt;(&gt;&amp;&lt;)&gt;铜板纸+客供价格贴纸，优先使用MA 1L最新版本
Remark: 1. Cus Item
#77731 ：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</si>
  <si>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10001764975-0
581</t>
  </si>
  <si>
    <t>4500196798-10</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</si>
  <si>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</si>
  <si>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ZB05517-8.17</t>
  </si>
  <si>
    <t>4500198254-10</t>
  </si>
  <si>
    <t>电池产品（带电池/不带电池走货）需要添加WEEE通用说明书(不含
俄罗斯语言版本) 含乌克兰语客版警告语说明书/A 版 5L MA Creative 说明书/A 版3L MA PDQ/B 版 5L MA 收藏指南+乌克兰贴纸覆
盖俄罗斯语言</t>
  </si>
  <si>
    <t>日期码格式：ZURU INC(BVI) 标准格式 日期：按实际生产日期
Packaging Info: 77711GQ1：A 版 3L MA EAN收缩膜+进口商贴纸；含乌克兰语客版警告语说明书/A 版 5L MA Creative 说明书/A 版3L MA PDQ/B 版 5L MA 收藏指南+乌克兰贴纸覆
盖俄罗斯语言
Remark: 3、此单出欧洲需满足EU测试标准要求，另外不能出闪粉（若产品本身不含闪粉则忽略这句话），电池产品（带电池/不带电池走货）需要添加WEEE通用说明书(不含
俄罗斯语言版本)
2.若产品有比例请使用标准比例
3.此单客户的包装/说明书/收藏指南/slime polybag上均不可出现俄罗斯语言，若有我遗漏的地方请务必告知</t>
  </si>
  <si>
    <t>2ZLX359P</t>
  </si>
  <si>
    <t>4500197917-240</t>
  </si>
  <si>
    <t>4/14已寄SSCC LABEL（客供贴纸)</t>
  </si>
  <si>
    <t>日期码格式：ZURU INC(BVI) 标准格式                  日期：按实际生产日期
Packaging Info: 出口加拿大，包装需要至少2/3L UPC版，无硼版本。
#77731:2PK  #77711入PVC桶，收藏指南，说明书均为MA 2L标版，2L 无UPC版收缩膜,2PK铜版纸翻单#4500194447。（两个球的配比不能重复）。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</si>
  <si>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78XI5Y3F</t>
  </si>
  <si>
    <t>4500197917-250</t>
  </si>
  <si>
    <t>4500197220-150</t>
  </si>
  <si>
    <t>4/24SSCC label</t>
  </si>
  <si>
    <t>日期码格式：ZURU INC(BVI) 标准格式 日期：按实际生产日期
Packaging Info: Amazon UK: 7RZARQMK/3R7YU9OY
Amazon DE: 7GRHBFGR/4N2M13CY/4C4E34DP
Amazon ES: 53I45JNC
Amazon UK(157101/15728E/15757/77673/77731/77785)/DE(157101/157103/15714H/15752ABDEGH/77806)/ES(77673)
6.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环保标+GPSR邮箱care@zuru.com+新FR//DK/UK地址，参考翻单PO#4500194447)+1张IT环保标贴纸(参考翻单PO#4500158623）；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</si>
  <si>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4500197389-10</t>
  </si>
  <si>
    <t>日期码格式：ZURU INC(BVI) 标准格式 日期：按实际生产日期
Packaging Info: 1. Cus Item
#77785：MA UPC + 客版3L 彩盒 + 客供贴纸, 优先使用MA 1L最新版本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
10.#92114-S001为combo pack，客供贴纸仅需贴在底座上，子件无需贴贴纸 配比： 1 Assortment(1x9279Hanson + 1x9269Huakang) 组装工厂： Hanson, 工厂自
行采购子件#9269</t>
  </si>
  <si>
    <t>4500199427-10</t>
  </si>
  <si>
    <t>产品外包装及产品本身都必须有日期跟踪码，ZURU标准格式日期码</t>
  </si>
  <si>
    <t>日期码格式：ZURU INC(BVI) 标准格式                  日期：按实际生产日期
Packaging Info: MA NA 2L UPC
Remark: 出加拿大
Zuru验货. 日期跟踪码：产品外包装及产品本身都必须有日期跟踪码，ZURU标准格式日期码</t>
  </si>
  <si>
    <t>4500199426-20</t>
  </si>
  <si>
    <t>5/12此单有第三方验货</t>
  </si>
  <si>
    <t>UPC贴纸 UPC:1930520801279( 翻单：4500186723)</t>
  </si>
  <si>
    <t>必须在原来错误的条码上用黑色粗头笔涂黑直至不能扫描，再贴上正确的UPC;</t>
  </si>
  <si>
    <t>4/30SSCC label</t>
  </si>
  <si>
    <t>日期码格式：ZURU INC(BVI) 标准格式 日期：按实际生产日期
Packaging Info: Amazon UK: 7RZARQMK/3R7YU9OY
Amazon DE: 7GRHBFGR/4N2M13CY/4C4E34DP
Amazon ES: 53I45JNC
Amazon UK(157101/15728E/15757/77673/77731/77785)/DE(157101/157103/15714H/15752ABDEGH/77806)/ES(77673)
7.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说明书欧洲EN+29L_C版；
11. 验货时间不迟于2026/5/8.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</si>
  <si>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4500199237-40</t>
  </si>
  <si>
    <t>冰箱迷你球pcs52/箱（有内箱）</t>
  </si>
  <si>
    <t>包装日期码按ZURU格式即可，请确保不迟于外箱日期码，可等于或者早于外箱日期码，必须为法定工作日，印刷前请先检查外箱日期码。</t>
  </si>
  <si>
    <t>日期码格式：ZURU INC(BVI) 标准格式                  日期：按实际生产日期
Packaging Info: 
"77711GQ1: 最新MA 3L EAN收缩膜+MA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</si>
  <si>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4500196191-10</t>
  </si>
  <si>
    <t>4/9客供贴纸</t>
  </si>
  <si>
    <t>日期码格式：ZURU INC(BVI) 标准格式 日期：按实际生产日期
Packaging Info: 1. Cus Item
#77731： MA UPC 现有包装+PVC桶,铜板纸+客供价格贴纸，优先使用MA 1L最新版本(可接受多语），出口美国。
Remark: 1. Cus Item
#77731： MA UPC 现有包装+PVC桶,铜板纸+客供价格贴纸，优先使用MA 1L最新版本(可接受多语），出口美国。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</si>
  <si>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4500196710-10</t>
  </si>
  <si>
    <t>日期码格式：ZURU INC(BVI) 标准格式 日期：按实际生产日期
Packaging Info: 1. 出口美国MA UPC 版本包装，优先1L。FUGGLER item都可以按工厂实际库存调整装箱比例。
Remark: 8. ZURU QC 验货即可。</t>
  </si>
  <si>
    <t>ZB05926-8.17</t>
  </si>
  <si>
    <t>4/13客供贴纸</t>
  </si>
  <si>
    <t>4500198503-30</t>
  </si>
  <si>
    <t>日期码格式：ZURU INC(BVI) 标准格式                  日期：按实际生产日期
Packaging Info: 物料要求 SKU
1 77711GQ1 MA PDQ +外挂中文收藏指南+中文说明书+黑白警告语+收缩膜年龄贴（8+）   翻单：  4500195548
2.77785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</si>
  <si>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混装完成12381</t>
  </si>
  <si>
    <t>4500199069-20</t>
  </si>
  <si>
    <t>4/101张RFID贴纸</t>
  </si>
  <si>
    <t>日期码格式：ZURU DGYYMMDD CHINA(日期避开周末和法定节假日即可）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</si>
  <si>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ZB05717/ZB05766/ZB05811/ZB05909</t>
  </si>
  <si>
    <t>4500199069-30</t>
  </si>
  <si>
    <t>ZB05909-8.17</t>
  </si>
  <si>
    <t>4500199069-40</t>
  </si>
  <si>
    <t>4500199069-60</t>
  </si>
  <si>
    <t>ZB05766-8.17</t>
  </si>
  <si>
    <t>4500200235-10</t>
  </si>
  <si>
    <t>4500198339-20</t>
  </si>
  <si>
    <t>多语警语折叠贴纸（含包装缺失的法/意/
 西环保标）（翻4500197331）</t>
  </si>
  <si>
    <t>17Y1JP8L</t>
  </si>
  <si>
    <t>4500198305-10</t>
  </si>
  <si>
    <t>4/30已寄SSCC label</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</si>
  <si>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</si>
  <si>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ZB05850-8.17</t>
  </si>
  <si>
    <t>2U6KR9DM</t>
  </si>
  <si>
    <t>4500198305-20</t>
  </si>
  <si>
    <t>15SHSSWT</t>
  </si>
  <si>
    <t>4500198303-20</t>
  </si>
  <si>
    <t>4BVCACRS</t>
  </si>
  <si>
    <t>4500198303-50</t>
  </si>
  <si>
    <t>6K4GM25V</t>
  </si>
  <si>
    <t>4500198299-160</t>
  </si>
  <si>
    <t>4500193648-10</t>
  </si>
  <si>
    <t>4/9客供价格贴纸</t>
  </si>
  <si>
    <t>ZB05720-8.17</t>
  </si>
  <si>
    <t>319SKJHY</t>
  </si>
  <si>
    <t>4500199983-200</t>
  </si>
  <si>
    <t>4/28已寄SSCC label</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</si>
  <si>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</si>
  <si>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ZB05724-8.17</t>
  </si>
  <si>
    <t>4500199366-10</t>
  </si>
  <si>
    <t>ZMPO260403</t>
  </si>
  <si>
    <t>ZMPO260403-10</t>
  </si>
  <si>
    <t>70套散件</t>
  </si>
  <si>
    <t>Remark大货最新版/只需要左图中指定款散件每款70PCS/麻烦用胶袋分装好一款为一袋备注：收到样品订单后尽快安排 ，谢谢！</t>
  </si>
  <si>
    <t>4500198523-10</t>
  </si>
  <si>
    <t>WIC 贴纸  （WIC # 750358，同翻单4500183538）</t>
  </si>
  <si>
    <t>日期码格式：ZURU INC(BVI) 标准格式                  日期：05-14-2026
Packaging Info: MA 1L 收缩膜 + WIC 贴纸  （WIC # 750358，同翻单4500183538）  + MA 收藏指南 + 客版PDQ (同翻单4500183538）+ PDQ折页（同翻单4500183538，放在PDQ顶部，
开箱可以看到）
Remark: 产品和包装上要有zuru标准格式tracking code DG20260514, 产品和包装的日期要一致 ，如果无法一致需要提前确认。</t>
  </si>
  <si>
    <t>ZB05625-8.17</t>
  </si>
  <si>
    <t>4500198523-20</t>
  </si>
  <si>
    <t>4500198705-230</t>
  </si>
  <si>
    <t>日期码格式：DG20260515                  日期：
Packaging Info: 
其余item：MA 多语包装+进口商贴纸+UPC贴纸+箱唛
Remark: 1.包装/产品/外箱/进口商贴纸 指定日期码为DG20260515                                                                               2
.所有item包装上的条码必须是UPC，如果已将进口商贴纸和UPC条码合并到一张，则不需再订购UPC贴纸，仅订购一张进口商贴纸即可。</t>
  </si>
  <si>
    <t>4500200070-30</t>
  </si>
  <si>
    <t>5. 此单需要每款准备3套大货样，请注意备料；</t>
  </si>
  <si>
    <t>一张客户进口商贴纸（含西班牙环保标)</t>
  </si>
  <si>
    <t>日期码格式：202602 日期：
Packaging Info: 
3.77711SK1:【MA 3L EAN版本包装+一张客户进口商贴纸（含西班牙环保标)】+MA 收藏指南+MA 23L说明书+MA 3L 展示架；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</si>
  <si>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4500199196-20</t>
  </si>
  <si>
    <t>4/151张UPC 条码贴纸(UPC#193052080134) +HK客供警语贴纸（1张贴球底部，1张贴说明书，1张贴收藏
 指南）具体参考HK客供警语贴纸位置图</t>
  </si>
  <si>
    <t>4/15球底部贴1张客供警语贴纸，收藏指南贴一张客供警语贴纸，说明书贴一
张客供警语贴纸）</t>
  </si>
  <si>
    <t>4500198705-70</t>
  </si>
  <si>
    <t>日期码格式：DG20260515                  日期：
Packaging Info: 7132:MA 多语包装+ UPC贴纸+进口商贴纸+箱唛
15789UQ1、15782UQ1:MA 多语包装+进口商贴纸+箱唛
15750、15788、15746:MA 多语包装+进口商贴纸+箱唛（进口商贴纸和mother UPC贴纸合并为一张）
其余item：MA 多语包装+进口商贴纸+UPC贴纸+箱唛
Remark: 1.包装/产品/外箱/进口商贴纸 指定日期码为DG20260515
.所有item包装上的条码必须是UPC，如果已将进口商贴纸和UPC条码合并到一张，则不需再订购UPC贴纸，仅订购一张进口商贴纸即可。</t>
  </si>
  <si>
    <t>4500197810-20</t>
  </si>
  <si>
    <t>3DFGDU2O</t>
  </si>
  <si>
    <t>4500197570-10</t>
  </si>
  <si>
    <t>4500200296-40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</si>
  <si>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PO#130349,SKU#926266 DC#881-696PCS, DC#884-504PCS, DC#886-756PCS, DC#887-636PCS, DC#888-612PCS</t>
  </si>
  <si>
    <t>4500200297-40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</si>
  <si>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PO#130360,SKU#205849 DC#891-936PCS, DC#894-540PCS, DC#896-432PCS, DC#897-996PCS, DC#898-696PCS</t>
  </si>
  <si>
    <t>4500198503-40</t>
  </si>
  <si>
    <t>新配比PASS</t>
  </si>
  <si>
    <t>SARL SOREDIM</t>
  </si>
  <si>
    <t>2026-027</t>
  </si>
  <si>
    <t>4500198533-20</t>
  </si>
  <si>
    <t>4/13 1张法国sorting logo贴纸</t>
  </si>
  <si>
    <t>日期码格式：ZURU INC(BVI) 标准格式 日期：按实际生产日期
Packaging Info: 
77711GQ1：MA3L EAN收缩膜+1张法国sorting logo贴纸+MA5L收藏指南/说明书+MA23L说明书+MA3L PDQ
Remark: 1. 此票无需第三方验货，通过ZURU OQC验货即可；
2. 此票出法国，包装需含有两个法国回收logo，产品符合EU标准；
3. 此票全部用EAN条码, assortment产品需用mother EAN条码</t>
  </si>
  <si>
    <t>8E648KVY</t>
  </si>
  <si>
    <t>4500199988-70</t>
  </si>
  <si>
    <t>5/6SSCC label</t>
  </si>
  <si>
    <t>ZB05864-8.17</t>
  </si>
  <si>
    <t>12QF4RKU</t>
  </si>
  <si>
    <t>4500200020-270</t>
  </si>
  <si>
    <t>ZB05863-8.17</t>
  </si>
  <si>
    <t>4500197232-240</t>
  </si>
  <si>
    <r>
      <rPr>
        <sz val="11"/>
        <rFont val="宋体"/>
        <charset val="134"/>
      </rPr>
      <t xml:space="preserve">日期码格式：ZURU INC(BVI) 标准格式 日期：按实际生产日期
Packaging Info: Amazon UK: 6QHKZVFM
 Amazon DE: 73Z1OD7E/4G4S7INT
 Amazon ES: 7CIULJPX
 Amazon UK(77673/77731/77785)/DE(157103/15750H/15752ABDEGH/77806)/ES(77673)
  2.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ES环保标+GPSR邮箱care@zuru.com+新FR//DK/UK地址，参考翻单PO#4500194447)+1张IT环保标贴纸(参考翻单PO#4500158623);
</t>
    </r>
    <r>
      <rPr>
        <sz val="11"/>
        <color rgb="FFFF0000"/>
        <rFont val="宋体"/>
        <charset val="134"/>
      </rPr>
      <t xml:space="preserve"> 8. 验货时间不迟于2026/7/3.</t>
    </r>
    <r>
      <rPr>
        <sz val="11"/>
        <rFont val="宋体"/>
        <charset val="134"/>
      </rPr>
      <t xml:space="preserve">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</si>
  <si>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AS  WATSON  RETAIL  (HK)  LIMITED</t>
  </si>
  <si>
    <t>NL2502039</t>
  </si>
  <si>
    <t>4500197327-10</t>
  </si>
  <si>
    <t>77711GQ1-S006-INT</t>
  </si>
  <si>
    <t>冰箱迷你球52pcs/4PDQ/箱（胶袋装）</t>
  </si>
  <si>
    <t>5-18 提供自检报告</t>
  </si>
  <si>
    <t>NL警语贴纸 翻单4500196058</t>
  </si>
  <si>
    <t>日期码格式：ZURU INC(BVI) 标准格式 日期：按实际生产日期
Packaging Info: MA 3L EAN 收缩膜（+1*NL警语贴纸 翻单4500196058）+MA B版 5L+23L 警告语收藏指南+MA B版 23L黑白警告语说明书+MA 23L拆件说明书+ MA A版 3L PDQ盒
Remark: 1.条码
产品条码：4894680043350
Inner polybag条码：04894819974074
外箱条码：04896012075039
2 配比 ：MA 配比
3. 装箱要求
1个polybag装13PCS/PDQ 产品，polybag中的assortment不能重复;
13pcs/PDQ/polybag, 4polybag/carton, total 52pcs/4 Inner polybag/carton；
产品入袋子后需要封住袋口（机器密封或者加透明胶纸贴住袋口密封都可以，请确保袋子里的产品不会跑到袋子外面）
Inner polybag 印刷唛头 ，条码：04894819974074
4.需要 2套大货样品（要求带PDQ）
5. 大货外箱的封箱尺寸请按PO上的尺寸做，如有改动，客人会罚款
出欧洲，微塑料需合规（如item本身不含微塑料 则忽略此要求）
6. 此单无须客户第三方验货，但是需要在6/8 和 6/30 前 提供客户格式的验货报告PSI，待客人放货后才能安排走货。
7. 最终出货工厂需要按船务要求为集装箱挂网，如不按要求挂网导致罚款由工厂承担 。</t>
  </si>
  <si>
    <t>4500197327-20</t>
  </si>
  <si>
    <t>4500197327-30</t>
  </si>
  <si>
    <t>NL2502040</t>
  </si>
  <si>
    <t>4500196058-10</t>
  </si>
  <si>
    <t>请在5/18提供验货报告</t>
  </si>
  <si>
    <t>3/23NL警语贴纸</t>
  </si>
  <si>
    <t>日期码格式：ZURU INC(BVI) 标准格式 日期：按实际生产日期
Packaging Info: MA 3L EAN 收缩膜（+1*NL警语贴纸）+MA B版 5L+23L 警告语收藏指南+MA B版 23L黑白警告语说明书+MA 23L拆件说明书+ MA A版 3L PDQ盒
416 PC KVTBE
2028 PC KVTNL
Remark: 1.条码
产品条码：4894680043350
Inner polybag条码：04894819974074
外箱条码：04896012075039
2 配比 ：MA 配比
3. 装箱要求
1个polybag装13PCS/PDQ 产品，polybag中的assortment不能重复;
13pcs/PDQ/polybag, 4polybag/carton, total 52pcs/4 Inner polybag/carton；
产品入袋子后需要封住袋口（机器密封或者加透明胶纸贴住袋口密封都可以，请确保袋子里的产品不会跑到袋子外面）
Inner polybag 印刷唛头 ，条码：04894819974074
4.需要 2pc 大货样品（要求带空PDQ）+1SET 散件
5. 大货外箱的封箱尺寸请按PO上的尺寸做，如有改动，客人会罚款
出欧洲，微塑料需合规（如item本身不含微塑料 则忽略此要求）
6. 此单无须客户第三方验货，但是需要在5/18前 提供客户格式的验货报告PSI，待客人放货后才能安排走货。
7. 最终出货工厂需要按船务要求为集装箱挂网，如不按要求挂网导致罚款由工厂承担 。</t>
  </si>
  <si>
    <t>4500196058-20</t>
  </si>
  <si>
    <t>02428982/1</t>
  </si>
  <si>
    <t>4500195606-70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</si>
  <si>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9548/9543GQ1:WEEE_不带电池走货 _ 说明书欧洲EN+29L_C版
25282/9561/77673TQ1:WEEE_带电池走货 _ 说明书欧洲EN+29L_C版
77711GQ2-S002-INT: MA B版 5L EAN版收缩膜+UPC条码贴纸</t>
  </si>
  <si>
    <t>4500199491-20</t>
  </si>
  <si>
    <t>PASS新配比</t>
  </si>
  <si>
    <t>5/23截SI</t>
  </si>
  <si>
    <t>日期码格式：ZURU INC(BVI) 标准格式                  日期：按实际生产日期
Packaging Info: 
77711GQ2：  MA 3L EAN 包装+1张通用UPC条码贴纸（UPC#193052080134）+1张客人通用进口商贴纸（翻单4500159576）
Remark: 1.按实际生产日期;
2.出澳大利亚，请按照相应标准生产;</t>
  </si>
  <si>
    <t>4500202375-20</t>
  </si>
  <si>
    <t>进口商贴纸+空白贴纸翻单PO4500193066</t>
  </si>
  <si>
    <t>日期码格式：ZURU INC(BVI) 标准格式                  日期：按实际生产日期
Packaging Info:
77711GQ2:MA 多语包装+进口商贴纸+箱唛+空白贴纸（空白贴纸  覆盖原条码）,进口商贴纸+空白贴纸翻单PO4500193066
Remark: 外箱胶带要用CANDIDE 格式</t>
  </si>
  <si>
    <t>9004 Zuru Feb24</t>
  </si>
  <si>
    <t>4500198236-90</t>
  </si>
  <si>
    <t>日期码格式：ZURU INC(BVI) 标准格式                  日期：按实际生产日期
Packaging Info: 15755: MA 多语 UPC
77711GQ2：  MA  2L NA UPC
Remark: 出加拿大
Zuru验货. 日期跟踪码：产品外包装及产品本身都必须有日期跟踪码，ZURU标准格式日期码</t>
  </si>
  <si>
    <t>待定</t>
  </si>
  <si>
    <t>4500200266-10</t>
  </si>
  <si>
    <t>日期码格式：ZURU INC(BVI) 标准格式                  日期：05-22-2026
Packaging Info: MA 1L 收缩膜 + WIC 贴纸  （WIC # 750358，同翻单4500183538）  + MA 收藏指南 + 客版PDQ (同翻单4500183538）+ PDQ折页（同翻单4500183538，放在PDQ顶部，
开箱可以看到）
Remark: 产品和包装上要有zuru标准格式tracking code DG20260522 产品和包装的日期要一致 ，如果无法一致需要提前确认。</t>
  </si>
  <si>
    <t>ZB05925-8.17</t>
  </si>
  <si>
    <t>4500200266-20</t>
  </si>
  <si>
    <t>ZB06134-8.17</t>
  </si>
  <si>
    <t>4500200266-30</t>
  </si>
  <si>
    <t>ZB06145-8.17</t>
  </si>
  <si>
    <t>4500200266-40</t>
  </si>
  <si>
    <t>ZB06146-8.17</t>
  </si>
  <si>
    <t>4500200266-50</t>
  </si>
  <si>
    <t>ZB06271-8.17</t>
  </si>
  <si>
    <t>4500200266-60</t>
  </si>
  <si>
    <t>ZB06234-8.17</t>
  </si>
  <si>
    <t>4500199906-40</t>
  </si>
  <si>
    <t>5/25截SI</t>
  </si>
  <si>
    <t>EAN条码贴纸(翻单:4500181926)+空白贴纸覆盖条码(翻单:4500181926) +德语警告语贴
纸(翻单:4500161168)</t>
  </si>
  <si>
    <t>日期码格式：ZURU INC(BVI) 标准格式                  日期：按实际生产日期
Packaging Info: 
77731: 客版PVC TUBE 包装(翻单:4500158623)+客户款号EAN条码贴纸(翻单:4500181926)+最新MA 3L EAN包装+空白贴纸覆盖条码(翻单:4500181926) +德语警告语贴
纸(翻单:4500161168)+5L收藏指南+23L说明书+5L  DIY说明书+MA 5L内袋"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</si>
  <si>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4500186375-20</t>
  </si>
  <si>
    <t>4/13客供价格贴纸</t>
  </si>
  <si>
    <t>日期码格式：ZURU INC(BVI) 标准格式 日期：按实际生产日期
Packaging Info: 1. STD Items: ZURU MA UPC 现有包装+客供价格贴纸，优先使用MA 1L最新版本（可接受多语）,出口美国
Remark: 1. Cus Item
77731 ：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</si>
  <si>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4500199536-20</t>
  </si>
  <si>
    <t>日期码格式：ZURU INC(BVI) 标准格式                  日期：按实际生产日期
Packaging Info: 1. Cus Item
#77731：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请注意一个彩盒中的两个球不允许重复，且一个彩盒不能拆出2个即以上的重复散件。</t>
  </si>
  <si>
    <t>COOP  FAGHANDEL  (NON-FOOD)</t>
  </si>
  <si>
    <t>4500199975-10</t>
  </si>
  <si>
    <t>5/25第三方验货</t>
  </si>
  <si>
    <t>日期码格式：ZURU INC(BVI) 标准格式                  日期：按实际生产日期
Packaging Info: 77711GQ2:MA EAN 3L+挪威语警语贴纸(翻单4500162231)
Remark: 1.工厂货号-客户货号-彩盒条码-外箱条码
77711GQ2-7254555-4894680043350-10193052080131
2.产品和包装要求无硼无香，包装不能含有PVC
3.微塑料必须合规欧洲标准，并增加IFUD声明。
4.此订单有第三方验货, 77711的签样用于上单4500162231
5.带电池出货的产品所用到的电池需要符合欧洲电池新规(EU)2023-1542；</t>
  </si>
  <si>
    <t>4500200896-10</t>
  </si>
  <si>
    <t>4/30一张进口商贴纸（含西班牙环保标）+一张PDQ贴纸含EAN条码</t>
  </si>
  <si>
    <t>请注意PDQ和展示架的贴纸都要求贴在底部(SK的贴纸位置图设计还未更新）
请按底部的贴纸位置要求安排</t>
  </si>
  <si>
    <t>日期码格式：ZURU INC(BVI) 标准格式                  日期：按实际生产日期
Packaging Info: 77711GQ1：最新【MA 3L EAN版本收缩膜+一张进口商贴纸（含西班牙环保标）】+【MA 3L PDQ+一张PDQ贴纸含EAN条码】+最新MA 5L收藏指南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 有关PDQ的贴纸位置图，客户要求我们贴在PDQ的底部，这样客户在打开外箱的 时候不需要取出产品，即可以扫描PDQ条码，在做大货前需帮忙复查下设计提供的
贴纸位置图是否都贴到了底部，避免后续客诉发生
6.此单需要准备2套大货样寄到深圳办公室，请注意备料；</t>
  </si>
  <si>
    <t>4500200896-20</t>
  </si>
  <si>
    <t>4/30一张进口商贴纸（含西班牙环保标）+一张展示架贴纸含EAN条码</t>
  </si>
  <si>
    <t>日期码格式：ZURU INC(BVI) 标准格式                  日期：按实际生产日期
Packaging Info: 
77711SK1：最新【MA 3L EAN版本收缩膜+一张进口商贴纸（含西班牙环保标）】+【MA 3L 展示架+一张展示架贴纸含EAN条码】+最新MA 5L收藏指南；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&lt;(&gt;&lt;&lt;)&gt;(&gt;&lt;(&gt;&amp;&lt;)&gt;&lt;(&gt;&lt;&lt;)&gt;)&gt; ZURU France地址信息，  另外，包装贴纸上面的警告语不可以覆盖西班
牙警告语。QC同事请核查，如有问题需和跟单确认。
 5. 有关PDQ的贴纸位置图，客户要求我们贴在PDQ的底部，这样客户在打开外箱的 时候不需要取出产品，即可以扫描PDQ条码，在做大货前需帮忙复查下设计提供的
贴纸位置图是否都贴到了底部，避免后续客诉发生
6.此单需要准备2套大货样寄到深圳办公室，请注意备料；</t>
  </si>
  <si>
    <t>4500202248-20</t>
  </si>
  <si>
    <t>日期码格式：ZURU INC(BVI) 标准格式                  日期：按实际生产日期
Packaging Info: 
77711GQ1：MA 最新版 3L EAN 收缩膜+1*多语折叠警语贴纸+MA 23L 警语说明书+MA 5L+23L 收藏指南+MA 内袋+内袋警语贴纸（翻单4500183825）+MA 最新版 3L PD
Q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</si>
  <si>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4500202248-30</t>
  </si>
  <si>
    <t>77711GQ2-S002-INT-MTS</t>
  </si>
  <si>
    <t>日期码格式：ZURU INC(BVI) 标准格式                  日期：按实际生产日期
Packaging Info: 
77711GQ2：MA 最新版 3L EAN 收缩膜+1*多语折叠警语贴纸+MA 23L 警语说明书+MA 5L+23L 收藏指南+MA 纸袋+内袋警语贴纸（翻单4500183825）+MA 最新版 3L PD
Q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</si>
  <si>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999-76654</t>
  </si>
  <si>
    <t>4500200650-80</t>
  </si>
  <si>
    <t>4/9加4国警告语贴纸Czech-Hugarian-Polish-Slovak),
UPC#193052080134</t>
  </si>
  <si>
    <t>日期码格式：ZURU INC(BVI) 标准格式                  日期：按实际生产日期
Packaging Info: 
"77711GQ1：  MA 最新版3L UPC包装(加4国警告语贴纸Czech-Hugarian-Polish-Slovak),
UPC#193052080134，请先检查包装条码是否正确再安排做货, MA 最新版3L PDQ"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</si>
  <si>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4500199969-90</t>
  </si>
  <si>
    <t>进口商贴纸+UPC贴纸+价标贴纸 进口商贴纸/UPC贴纸翻单PO4500182578</t>
  </si>
  <si>
    <t>日期码格式：ZURU INC(BVI) 标准格式 日期：按实际生产日期
Packaging Info: 
77711GQ2/77770GQ2/15756UQ1/15760UQ1：MA 多语包装+进口商贴纸+UPC贴纸+价标贴纸+箱唛，进口商贴纸/UPC贴纸翻单PO4500182578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</si>
  <si>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4500196195-10</t>
  </si>
  <si>
    <t>样品
 产前样5套：产前样5套要求在 2026/03/20 前寄给深圳办公室跟单Jenny Liu，需转寄给美国客户确认，客户确认了产前样之后，会寄回一套给工厂，工厂需按照已
 确认的产前样安 排大货生产。做产前样前需和跟单确认产品包装日期码和产品上日期码的打码位置+格式，要求是和大货一样的日期码，指定大货日期码为：DG202
 60421）。此单客版包材PDQ需等客户确认产前样后才可以开始大货印刷。
 大货样2套：大货样2套需在大货物料到厂后开始上线第一天寄出给深圳办公室；大货样需要同大货一个产线，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1套样板 =6pcs球带1个客版PDQ+1套光身样散件
 6 PCS/ PDQ = 6个球入一个PDQ
 注意：每个球需要带指定日期码</t>
  </si>
  <si>
    <t>4/17产品彩色贴纸，每箱两张彩色贴纸, 彩色产品贴纸待跟单提供</t>
  </si>
  <si>
    <t>此单客版包材PDQ需等客户确认产前样后才可以开始大货印刷</t>
  </si>
  <si>
    <t>日期码格式：ZURU INC(BVI) 标准格式 日期：2026-04-21
Packaging Info: 1)客版PDQ(翻单PO#4500182810),最新版ZURU MA UPC包装(优先1L)，出口美国。如有说明书请使用ZURU MA说明书，优先放1L英语。6PCS/PDQ/CTN
2)ZURU标准日期码格式：工厂城市缩写+生产年月日。此单指定日期码：DG20260421。
3)外箱箱唛正侧相邻两面粘贴产品彩色贴纸，每箱两张彩色贴纸,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Remark: 客户PO# 58558788
客户SKU# 1095882
1）Item#77711GQ6-S001-NA
2) 样品
产前样5套：产前样5套要求在 2026/03/20 前寄给深圳办公室跟单Jenny Liu，需转寄给美国客户确认，客户确认了产前样之后，会寄回一套给工厂，工厂需按照已
确认的产前样安 排大货生产。做产前样前需和跟单确认产品包装日期码和产品上日期码的打码位置+格式，要求是和大货一样的日期码，指定大货日期码为：DG202
60421）。此单客版包材PDQ需等客户确认产前样后才可以开始大货印刷。
大货样2套：大货样2套需在大货物料到厂后开始上线第一天寄出给深圳办公室；大货样需要同大货一个产线， 所有东西完全同大货一样（大货样外箱没有要求）, 1
套我们需转寄客人审批出货；1套跟单需留样（请尽量安排早点寄出以便客人早点批出货！）
1套样板 =6pcs球带1个客版PDQ+1套光身样散件
6 PCS/ PDQ = 6个球入一个PDQ
注意：每个球需要带指定日期码
3) 此单无第三方验货+抽样测试，ZURU QC验货PASS后，跟单得到客户的approval之后方可安排出货
4)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5) 大货配比：
Item#77711GQ6-S001-NA
S001-NA-MINI BRANDS-FILL THE FRIDGE-SERIES 1-CAPSULE,1FACING6PCS/GRAVITY PDQ,6PCS/PDQ/CTN
UPC:193052080127
Contain UV GLUE/ 1 Refrigerator Magnet.
1FACING 6PCS/GRAVITY PDQ/CTN;1W*2D*3H=6PCS/PDQ
此款做Deal Item, Deal=6
箱唛和外箱彩贴上的的客户SKU要写 SKU#1095882
6) 客户Family Dollar不允许少数出货，必须按照PO上的数量出货，也不允许延期，否则会有罚款
7) 客户要求:"产品和包装不能含有PFAS 物质以及1,4 dioxane",请确保产品可以过美国标准测试。
8)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</si>
  <si>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Jenny Liu</t>
  </si>
  <si>
    <t>ZB06126/ZB06127/ZB06128/ZB06129/ZB06130/ZB06131/ZB06132/ZB06133</t>
  </si>
  <si>
    <t>4500200740-10</t>
  </si>
  <si>
    <t>1.大货样品2套，请多备料已安排</t>
  </si>
  <si>
    <t>旧配比PASS</t>
  </si>
  <si>
    <t>MA 5L UV 贴纸</t>
  </si>
  <si>
    <r>
      <rPr>
        <sz val="11"/>
        <color rgb="FF0000FF"/>
        <rFont val="宋体"/>
        <charset val="134"/>
      </rPr>
      <t>日期码格式：ZURU INC(BVI) 标准格式 日期：按实际生产日期
Packaging Info: 77711GQ2: MA 3L EAN收缩膜(4894680043350)</t>
    </r>
    <r>
      <rPr>
        <sz val="11"/>
        <color rgb="FFFF0000"/>
        <rFont val="宋体"/>
        <charset val="134"/>
      </rPr>
      <t>+1张法国环保LOGO贴纸</t>
    </r>
    <r>
      <rPr>
        <sz val="11"/>
        <color rgb="FF0000FF"/>
        <rFont val="宋体"/>
        <charset val="134"/>
      </rPr>
      <t>，MA 纸袋， MA 5L UV 贴纸，MA 5L+23L警语收藏指南， MA 23L警语说明书，MA 5L creative
说明书， MA 3L PDQ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TY161396 77711GQ2 41.00 cmx21.50 cmx32.00 cm
TY161398 77673TQ1 41.70 cmx40.10 cmx26.80 cm
7.所有出往欧洲市场订单的电子产品需增加一张WEEE声明说明书，区分带电池和不带电池版本, 如已做客版说明书可忽略此要求。</t>
    </r>
  </si>
  <si>
    <t>43CHT26FRCA0787</t>
  </si>
  <si>
    <t>4500200740-40</t>
  </si>
  <si>
    <t>4500200740-50</t>
  </si>
  <si>
    <t>43CHT26FRCA0770</t>
  </si>
  <si>
    <t>4500200742-10</t>
  </si>
  <si>
    <r>
      <rPr>
        <sz val="11"/>
        <color rgb="FF0000FF"/>
        <rFont val="宋体"/>
        <charset val="134"/>
      </rPr>
      <t>日期码格式：ZURU INC(BVI) 标准格式 日期：按实际生产日期
Packaging Info: 77711GQ2: MA 3L EAN收缩膜(4894680043350)</t>
    </r>
    <r>
      <rPr>
        <sz val="11"/>
        <color rgb="FFFF0000"/>
        <rFont val="宋体"/>
        <charset val="134"/>
      </rPr>
      <t>+一张法国环保LOGO贴纸</t>
    </r>
    <r>
      <rPr>
        <sz val="11"/>
        <color rgb="FF0000FF"/>
        <rFont val="宋体"/>
        <charset val="134"/>
      </rPr>
      <t>，MA 纸袋， MA 5L UV 贴纸，MA 5L+23L警语收藏指南， MA 23L警语说明书，MA 5L creative
说明书， MA 3L PDQ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TY161396 77711GQ2 41.00 cmx21.50 cmx32.00 cm
TY161398 77673TQ1 41.70 cmx40.10 cmx26.80 cm
7.所有出往欧洲市场订单的电子产品需增加一张WEEE声明说明书，区分带电池和不带电池版本, 如已做客版说明书可忽略此要求。</t>
    </r>
  </si>
  <si>
    <t>43CHT26FRCA0772</t>
  </si>
  <si>
    <t>4500200742-30</t>
  </si>
  <si>
    <t>4500200742-40</t>
  </si>
  <si>
    <t>4500200368-60</t>
  </si>
  <si>
    <t>4/15cat label 1张+UPC条码贴纸</t>
  </si>
  <si>
    <t>日期码格式：ZURU INC(BVI) 标准格式                  日期：按实际生产日期
Packaging Info: 
77711：3L MA包装+cat label 1张+UPC条码贴纸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*主拼工厂需要提前准备密网用于装柜，装柜拉网请务必按照客人要求固定好，避免货物在运输过程中坍塌，不规范的拉网或者漏掉都会导致客人罚款</t>
  </si>
  <si>
    <t>4500197812-20</t>
  </si>
  <si>
    <t>4500201172-60</t>
  </si>
  <si>
    <t>日期码格式：ZURU DGYYMMDD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</si>
  <si>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ZB05848-8.17</t>
  </si>
  <si>
    <t>4500201172-70</t>
  </si>
  <si>
    <t>ZB05990-8.17</t>
  </si>
  <si>
    <t>4500201172-80</t>
  </si>
  <si>
    <t>ZB05979-8.17</t>
  </si>
  <si>
    <t>4500201172-90</t>
  </si>
  <si>
    <t>ZB05980-8.17</t>
  </si>
  <si>
    <t>4500201172-100</t>
  </si>
  <si>
    <t>ZB06125-8.17</t>
  </si>
  <si>
    <t>4500201172-110</t>
  </si>
  <si>
    <t>ZB05849-8.17</t>
  </si>
  <si>
    <t>4/29外箱贴纸SSCC Label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</si>
  <si>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</si>
  <si>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此单与AU PO#4500197999一起合并计算</t>
  </si>
  <si>
    <t>4500201690-20</t>
  </si>
  <si>
    <t>5/26 BV验货</t>
  </si>
  <si>
    <t>UPC:19305208012+MA23L警告语说明书(B)
翻单：4500186723</t>
  </si>
  <si>
    <t>日期码格式：ZURU INC(BVI) 标准格式                  日期：按实际生产日期
Packaging Info: 
#77711:
客版3L,PDQ(NA版,16装)+MA2L收缩膜(NA版,UPC:193052080127)+MA2L收藏指南(NA版B版)+MA配件袋+MA5L说明书+MA23L警告语说明书(B)
翻单：4500186723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</si>
  <si>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4500201091-20</t>
  </si>
  <si>
    <t>日期码格式：ZURU INC(BVI) 标准格式                  日期：按实际生产日期
Packaging Info: 
77711GQ1:MA A版3L 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订单每行对应客人不同的PO，即同款item的价格贴纸都不相同，请注意收到贴纸后不要弄混!（客人PO号请参考PO最后一栏remark）；
 5. 客供价格贴纸位置为产品正面右上角，不能遮住产品信息，有无客供价格贴纸请参考该单包装信息一栏的备注，没备注就是没有；如有请在大货生产前把贴纸位
置先发给跟单确认
 6. 涉及到相关款式会有闪粉的或者微塑料的，请统一默认出无闪粉或者不含微塑料版本;
 7. 外箱封箱必须是工字型封箱方式；"</t>
  </si>
  <si>
    <t>58AMFLTA</t>
  </si>
  <si>
    <t>4500203534-10</t>
  </si>
  <si>
    <t>4500195402/4500195406转单</t>
  </si>
  <si>
    <t>客版无UPC版本收缩膜翻单4500186575 5/6寄出SSCC Label(客供贴纸，由跟单订购)。关于 SSCC Label 请注意：</t>
  </si>
  <si>
    <t>日期码格式：ZURU INC(BVI) 标准格式                  日期：按实际生产日期
Packaging Info: #77731：2PK STD #77711入PVC桶，3L 2PK铜版纸，客版无UPC版本收缩膜翻单4500186575。收藏指南，说明书均为MA 1L标版。（两个球的配比不能重复）。注意：
此单走空运，不可以延迟货期。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</si>
  <si>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ZB05729/ZB05730/ZB05731/ZB05732-8.17</t>
  </si>
  <si>
    <t>4500200438-10</t>
  </si>
  <si>
    <t>1张UPC 条码贴纸(UPC#193052080134)+4/24HK客供警语贴纸</t>
  </si>
  <si>
    <t>日期码格式：ZURU INC(BVI) 标准格式                  日期：按实际生产日期
Packaging Info: 此单出HK
77711GQ1  （INT): MA 3L 收缩膜+1张UPC 条码贴纸(UPC#193052080134) + MA 3L PDQ+MA 5L 收藏指南+HK客供警语贴纸（1张贴球底部，1张贴说明书，1张贴收藏
指南）具体参考HK客供警语贴纸位置图
Remark:</t>
  </si>
  <si>
    <t>4/241张客供警语贴+1张客供电池警语贴纸+1张空白贴纸覆盖条码</t>
  </si>
  <si>
    <t>日期码格式：ZURU INC(BVI) 标准格式                  日期：按实际生产日期
Packaging Info: 此单出HK
77785：客版MA 3L UPC 彩盒+客供警语贴纸（具体贴纸位置参考HK客供贴纸位置图）
77785 =2pcs 77711+1pcs 77673
77785：1张客供警语贴+1张客供电池警语贴纸
（77785里的77711  （INT): MA 3L 收缩膜+1张空白贴纸覆盖条码+MA 收藏指南+ MA 说明书+球底部贴1张客供警语贴纸，收藏指南贴一张客供警语贴纸，说明书贴一
张客供警语贴纸）
Remark:</t>
  </si>
  <si>
    <t>2.大货样品2套/item，用于客人验货签板。验货后还会抽办1套/item，请多备料。球类请寄3套+一套配件；已安排</t>
  </si>
  <si>
    <t>3. 新品需提供2套大货样品给客人，客人会签回一套，验货后验货员需要封1套板寄给香港办公室，请多备料，具体样板需求详见后续邮件通知</t>
  </si>
  <si>
    <t>日期码格式：LOT2622                  日期：
Packaging Info: 1. 77785：客版彩盒（翻4500194447）+最新MA 3L EAN包装+最新MA 彩盒+一张mother EAN：4894680050945条码贴纸+一张进口商贴纸+一张产品贴纸+一张WEEE说明
书纸，都翻4500164587
 2. 77867：客版彩盒（翻4500194131）+一张进口商贴纸（含西班牙/葡萄牙警语+西班牙环保标）+一张产品贴纸+一张EAN条码贴纸+一张西/葡WEEE说明书纸
 77843：最新MA 3L EAN收缩膜+最新MA 5L收藏指南+最新MA 23L说明书"
Remark: 1. 订单出欧洲国家-西班牙，产品不能含有闪粉/微塑料，请确保所有包装都有西班牙环保标。
 2. 客人格式日期码 LOT2622，包装（含收缩膜等）/产品/外箱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所有带电产品请复核跟单是否有提供客人指定内容的WEEE说明书（非通用30L版本）</t>
  </si>
  <si>
    <t>4500197999-140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</si>
  <si>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PO#4500198000一起合并计算</t>
  </si>
  <si>
    <t>4500198000-100</t>
  </si>
  <si>
    <t>一张UPC条码贴+ 防盗贴纸（两款贴纸以及防盗贴纸位置图翻单PO#4500160026）+4/29外箱贴纸SSCC Label</t>
  </si>
  <si>
    <t>77937-S001-77782-INT</t>
  </si>
  <si>
    <t>进口商贴纸+空白贴纸</t>
  </si>
  <si>
    <t>日期码格式：ZURU INC(BVI) 标准格式 日期：按实际生产日期
Packaging Info:
 77937:客版彩盒+进口商贴纸+箱唛（1PK 77763 MA 多语收缩膜+2PK 77782:客版翻单PO4500161302，订单上的资料的item 号码维持77785
 Remark:</t>
  </si>
  <si>
    <t>4500200402-200</t>
  </si>
  <si>
    <t>进口商贴纸 客版物料翻单PO4500161302,进口商贴纸翻单PO4500183983</t>
  </si>
  <si>
    <t>客版翻单PO4500161302
 77782 出含披萨的版本</t>
  </si>
  <si>
    <t>日期码格式：ZURU INC(BVI) 标准格式 日期：按实际生产日期
Packaging Info: 77782GQ1:客版收缩膜+客版收藏指南+客版PDQ+进口商贴纸+箱唛，客版翻单PO4500161302
 77782 出含披萨的版本
Remark:</t>
  </si>
  <si>
    <t>4500198544-10</t>
  </si>
  <si>
    <t>UPC条码贴纸+进口商贴纸 UPC条码贴纸和进口商贴纸翻单PO4500160573</t>
  </si>
  <si>
    <t>2.  此单有第三方监柜，至少多备一套完整的物料用于监柜，请多备料。
3. WM墨西哥防霉的新要求:货物必须在出货主箱和集装箱中按要求放置干燥剂，干燥剂指定品牌干霸SUPERDRY
77711GQ2/9296/9561：每箱需放置6包干燥剂，每包重2-3g
如走柜货等loading plan 确认后再通知集装箱干燥剂数量
此单工厂将安排7*40HC，每个HC要放置20包干燥剂，每包干燥剂1KG</t>
  </si>
  <si>
    <t>日期码格式：LOTDGYYYYMMDD 日期：按实际生产日期
Packaging Info: 1. 77711GQ2：3L MA EAN 收缩膜+UPC条码贴纸+进口商贴纸+MA 5L 收藏指南+MA 3L PDQ+箱唛，UPC条码贴纸和进口商贴纸翻单PO4500160573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77711GQ2/9296/9561：每箱需放置6包干燥剂，每包重2-3g
 如走柜货等loading plan 确认后再通知集装箱干燥剂数量
此单工厂将安排7*40HC，每个HC要放置20包干燥剂，每包干燥剂1KG</t>
  </si>
  <si>
    <t>日期码格式：LOT2622                  日期：
Packaging Info: 
 3. 77785:最新MA 3L EAN包装+最新MA 3L 彩盒+最新MA 23L说明书+最新MA 5L收藏指南+最新MA 5L包装+一张EAN:4894680050945条码贴纸（贴彩盒）+两张空白贴纸
（贴在球的条码上，翻4500191607）+一张进口商贴纸+一张产品贴纸（贴在球外壳再吸收缩膜）+一张WEEE说明书纸,都翻4500163211
 Remark: 1. 大货样品2套/item，用于客人验货签板。验货后还会抽办1套/item，请多备料；
 2. 客版日期码LOT2622, 包装（含收缩膜等）/产品/外箱 请保持一致;77869的日期码为LOT2623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所有带电产品请复核跟单是否有提供客人指定内容的WEEE说明书（非通用29L版本）；如果做了客版说明书，则会将weee说明加进客版说明书中
 8. 此客户需要第三方验货，请在约三方验货前必须PASS ZURU验货。</t>
  </si>
  <si>
    <t>4500200146-10</t>
  </si>
  <si>
    <t>4/22一张客户进口商贴纸（含西班牙环保标)</t>
  </si>
  <si>
    <t>日期码格式：202602 日期：
Packaging Info: 1.77711GQ2：【MA 3L EAN版本包装+一张客户进口商贴纸（含西班牙环保标)】+MA 收藏指南+MA 23L说明书+MA 3L PDQ；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以找我们跟单提供；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t>
  </si>
  <si>
    <t>4500197801-20</t>
  </si>
  <si>
    <t>4500192272-10</t>
  </si>
  <si>
    <t>6/2截SI</t>
  </si>
  <si>
    <t>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t>
  </si>
  <si>
    <t>此单指定日期码：DG20260521。</t>
  </si>
  <si>
    <t>日期码格式：ZURU INC(BVI) 标准格式 日期：2026-05-21
Packaging Info: 1)客版PDQ翻单PO#4500182810，最新版ZURU MA UPC包装(优先1L)，出口美国。如有说明书请使用ZURU MA说明书，优先放1L英语。
2)ZURU标准日期码格式：工厂城市缩写+生产年月日。此单指定日期码：DG20260521。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56251795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</si>
  <si>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ZB05981/ZB05982/ZB05983/ZB05984/ZB05985/ZB05986/ZB05987/ZB05988</t>
  </si>
  <si>
    <t>4500201779-30</t>
  </si>
  <si>
    <t>德语警告语贴纸 (翻单:4500161168)+MA UV GLUElable贴纸</t>
  </si>
  <si>
    <t>日期码格式：ZURU INC(BVI) 标准格式 日期：按实际生产日期
Packaging Info: 
77711: MA EAN 收缩膜3L-A版本+德语警告语贴纸 (翻单:4500161168) +MA纸袋+MA 5L-B版本收藏指南+MA B版警告语说明书23L+MA CREATIVE 5L-A版本+MA UV GLUE
lable贴纸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t>
  </si>
  <si>
    <t>4500198350-40</t>
  </si>
  <si>
    <t>警告语贴纸(贴纸和位置图翻PO#4500192711)+MA paper bag+丹麦/挪威/瑞典/芬兰语警告语贴在纸袋子上(贴纸
 和位置图翻PO#4500183825)+MA 3L PDQ+MA 5L(23L warning)收藏指南+MA 23L说明书</t>
  </si>
  <si>
    <t>日期码格式：ZURU INC(BVI) 标准格式                  日期：按实际生产日期
Packaging Info: 1. 7150: MA1L_B 彩盒+三岁以下警告语翻译成挪威语警告语&lt;(&gt;&amp;&lt;)&gt;EAN条码&lt;(&gt;&amp;&lt;)&gt;care@zuru.com做成一张贴纸(--贴纸和位置图翻PO#4500183825)+彩盒上的瑞典
语电池信息错误,更新为Batterier ingårinte，做丹麦/芬兰/瑞典/挪威电池信息贴纸覆盖错误的部分(--贴纸和位置图翻PO#4500183825)+客版6L说明书(英语丹麦
瑞典芬兰挪威爱沙尼亚语言翻PO#4500162375)
--客版说明书消耗客版MA#1000032704库存
 2. 92119: MA_B Version_3L(EAN)-Warning 23L收缩膜+MA_B Version_5L(23L warning)收藏指南+MA B Version_5L(WARNING 9L) SLIME POLYBAG+丹麦瑞典芬兰挪威
爱沙尼亚警告语贴纸贴在slime袋子上(贴纸和位置图翻Indeks PO#4500177426)+MA B5L BEADS BAG+丹麦瑞典芬兰挪威爱沙尼亚警告语贴纸贴在bead袋子上(贴纸和位
置图翻Indeks PO#4500177426)+MA布标
 3. 77673TQ1: MA 3L EAN B版收缩膜+丹麦瑞典芬兰挪威警告语贴纸(贴纸和位置图翻PO#4500192711)+MA paper bag+丹麦/挪威/瑞典/芬兰语警告语贴在纸袋子上(贴
纸和位置图翻PO#4500183825-共用#77111袋子的贴纸文档)+MA 5L收藏指南+MA B23L（电池+UV胶警告语-23L）说明书+MA 3L PDQ+WEEE_带电池走货 _ 说明书欧洲EN+
 30L-C版
 4. 77711GQ2: MA 3L EAN版收缩膜+丹麦瑞典芬兰挪威警告语贴纸(贴纸和位置图翻PO#4500192711)+MA paper bag+丹麦/挪威/瑞典/芬兰语警告语贴在纸袋子上(贴纸
和位置图翻PO#4500183825)+MA 3L PDQ+MA 5L(23L warning)收藏指南+MA 23L说明书
 5. 9296: MA_B3L(23L wanring) EAN版收缩膜+MA B5L(23L warning)收藏指南+MA_C_5L(23L warning) Beads bag+MA_C_5L-9L warning slime polybag+丹麦瑞典芬
兰挪威爱沙尼亚语警告语贴纸贴在polybag上(-贴纸和位置图翻SOK PO#4500196453)+MA 2L布标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7150-S001:4894680019836
92119-S005-NB:4894680042247
77673TQ1-S001:4894680042773
77711GQ2-S002-INT:4894680043350
9296-S001-NB:4894680029606</t>
  </si>
  <si>
    <t>4500200725-30</t>
  </si>
  <si>
    <t>4/29PDQ贴纸+5/14UPC贴纸+条码贴纸（翻单4500190991）</t>
  </si>
  <si>
    <t>需要在PDQ底部贴一张带条码并可扫描的贴纸(ZURU 跟单提供模板）。</t>
  </si>
  <si>
    <t>日期码格式：ZURU INC(BVI) 标准格式 日期：按实际生产日期
Packaging Info: 
77711GQ2:MA EAN最新版本+PDQ贴纸+MA PDQ+条码贴纸（翻单4500190991）
Remark: 1.订单出英国，请注意检查产品及包装应带CE/UKCA图标，包装需要显示ZURU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4.不接受一个款有多个条码，存在这个情况请让ZURU提供条码贴纸
5.外箱上的条码请确保清晰可扫描，有PDQ， 需要在PDQ底部贴一张带条码并可扫描的贴纸(ZURU 跟单提供模板）。
6.所有产品按符合欧洲标准走货，微塑料需合规并增加IFUD声明，含电池的需要增加WEEE说明书。
7. 订单需要准备一套大货样</t>
  </si>
  <si>
    <t>4500200163-40</t>
  </si>
  <si>
    <t>4500197236-30</t>
  </si>
  <si>
    <t>日期码格式：ZURU INC(BVI) 标准格式 日期：按实际生产日期
Packaging Info: Amazon UK: 72KTYPEK/551XLD5H/4KLB5EKD
Amazon UK(157101/77731/77785/77673/9565E)
2.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环保标+GPSR邮箱care@zuru.com+新FR//DK/UK地址，参考翻单PO#4500194447)+1张IT环保标贴纸(参考翻单PO#4500158623）；
6. 验货时间不迟于2026/5/29.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</si>
  <si>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日期码格式：ZURU INC(BVI) 标准格式 日期：按实际生产日期
Packaging Info: Amazon UK: 72KTYPEK/551XLD5H/4KLB5EKD
Amazon UK(157101/77731/77785/77673/9565E)
3.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说明书欧洲EN+29L_C版；
6. 验货时间不迟于2026/5/29.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</si>
  <si>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4500198503-60</t>
  </si>
  <si>
    <t>4500198503-80</t>
  </si>
  <si>
    <t>4500197808-20</t>
  </si>
  <si>
    <t>6/5截SI</t>
  </si>
  <si>
    <t>日期码格式：ZURUDG20260416 日期：
Packaging Info: 1. Mini Brands item 指定tracking code: ZURUDG20260416; 产品、彩盒、外箱的日期码需要按照我们提供的Tracking code做。毛绒产品可以按ZURU 标准格式，
 每个产品的洗水标/彩盒/外箱上面的时间需要一致。
 2.
 #77711GQ2: MA 2L UPC版本彩膜, 2L_B版本收藏指南，MA 2L PDQ; UPC#193052080127;
 3. 外箱需要加贴纸，DC运输贴纸（所有产品均需要），PDQ 标识贴纸（带PDQ的item需要此贴纸，如果不带PDQ则不需要）贴纸尺寸以提供的箱唛资料为准，每个贴
 纸一箱一张。外箱需要加季节性颜色带, 可以直接印刷在外箱上面，也可以印在贴纸上面。（色带 四面都需要），具体尺寸参考箱唛排版信息。
 4. 封箱胶纸尺寸要求：厚度大于或者等于0.05mm, 宽度大于或者等于50mm.
Remark: 5. ZURU QC验货即可.</t>
  </si>
  <si>
    <t>4500203132-30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</si>
  <si>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法国
 1. 请准时出货，推期会有罚款；
 2. 所有产品按符合欧洲标准走货，需要是不含微塑料版本。
 3. 电子产品需增加一张C版WEEE声明29L通用黑白说明书(不接受A版本，翻译有误)，区分带电池和不带电池出货版本, 如已做客版说明书可忽略此要求；如包装备注
上缺少此部分信息，请提醒跟单更新备注。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</si>
  <si>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4500200300-40</t>
  </si>
  <si>
    <t>6/4左右截SI</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</si>
  <si>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PO#130351,SKU#926218 DC#881-468PCS, DC#884-348PCS, DC#886-516PCS, DC#887-444PCS, DC#888-420PCS</t>
  </si>
  <si>
    <t>4500200301-40</t>
  </si>
  <si>
    <t>4/20价格贴纸客供。2PK的球用无条码收缩膜或加空白贴纸覆盖原条码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</si>
  <si>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PO#130362,SKU#205922 DC#891-504PCS, DC#894-396PCS, DC#896-348PCS, DC#897-744PCS, DC#898-408PCS</t>
  </si>
  <si>
    <t>4500198503-110</t>
  </si>
  <si>
    <t>4500198503-120</t>
  </si>
  <si>
    <t>4500202366-30</t>
  </si>
  <si>
    <t>5/71张客人logo贴纸+1张客户进口商贴纸</t>
  </si>
  <si>
    <t>日期码格式：ZURU INC(BVI) 标准格式                  日期：按实际生产日期
Packaging Info: 
77711GQ2：最新MA 3L PDQ + MA 3L 含EAN 条码收缩膜+1张客人logo贴纸+1张客户进口商贴纸+MA 最新5L 收藏指南+MA拼装说明书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t>
  </si>
  <si>
    <t>4500198503-130</t>
  </si>
  <si>
    <t>日期码格式：ZURU INC(BVI) 标准格式 日期：按实际生产日期
Packaging Info: 物料要求 SKU
1 77711GQ1 MA PDQ +外挂中文收藏指南+中文说明书+黑白警告语+收缩膜年龄贴（8+） 翻单： 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</si>
  <si>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47:0003194035</t>
  </si>
  <si>
    <t>4500196429-20</t>
  </si>
  <si>
    <t>6/9截SI</t>
  </si>
  <si>
    <t>4400558675-B</t>
  </si>
  <si>
    <t>4500203119-10</t>
  </si>
  <si>
    <t>6/17截SI</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</si>
  <si>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</si>
  <si>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4500201723-20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</si>
  <si>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PO#127316,SKU#924524 DC#881-456PCS, DC#884-420PCS, DC#886-492PCS, DC#887-432PCS, DC#888-204PCS</t>
  </si>
  <si>
    <t>4500201724-20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</si>
  <si>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PO#127329,SKU#203757 DC#891-504PCS, DC#894-336PCS, DC#896-348PCS, DC#897-588PCS, DC#898-420PCS</t>
  </si>
  <si>
    <t>4500198503-140</t>
  </si>
  <si>
    <t>4500196453-100</t>
  </si>
  <si>
    <t>77794UQ1+77772GQ1 新款: 请在5/15各提供三套大货样给客人留底</t>
  </si>
  <si>
    <t>瑞典芬兰爱沙尼亚语警告语/MADE IN CHINA翻译成瑞典芬兰爱沙尼亚语言做成一张贴纸(贴纸和位置图翻 PO#4500161573)+MA paper bag+瑞典芬兰爱沙尼亚语警告语贴在纸袋子上(贴纸和位置图翻SOK PO#4500160378)</t>
  </si>
  <si>
    <t>日期码格式：ZURU INC(BVI) 标准格式 日期：按实际生产日期
Packaging Info: 
10. 77711GQ2: MA 3L EAN版收缩膜+瑞典芬兰爱沙尼亚语警告语/MADE IN CHINA翻译成瑞典芬兰爱沙尼亚语言做成一张贴纸(贴纸和位置图翻 PO#4500161573)+MA pa
per bag+瑞典芬兰爱沙尼亚语警告语贴在纸袋子上(贴纸和位置图翻SOK PO#4500160378)+MA 3L PDQ+MA 5L(23L warning)收藏指南+MA 23L说明书
Remark: *. 92147+92146TQ1+9574+77843GQ1+77794UQ1+77772GQ1+77858 新款: 请在5/15各提供三套大货样给客人留底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 and/or Bisfenol成分, 以及不含石棉成分
*.产品条码如下: 请先检查条码是否正确再安排做货，如有问题请告知
ZURU ITEM#&lt;(&gt;&amp;&lt;)&gt;EAN
77711GQ2-S002-INT:4894680043350</t>
  </si>
  <si>
    <t>4500201132-20</t>
  </si>
  <si>
    <t>日期码格式：ZURU INC(BVI) 标准格式                  日期：按实际生产日期
Packaging Info: 
77711GQ1:MA A版3L EAN包装+一张客供价格贴纸+一张警告语贴纸（德语/荷兰语/波兰语）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出口欧洲，微塑料需符合法规，涉及到相关款式会有闪粉的或者微塑料的，请统一默认出无闪粉或者不含微塑料版本;
 8. 外箱封箱必须是工字型封箱方式；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t>
  </si>
  <si>
    <t>4500201277-50</t>
  </si>
  <si>
    <t>冰箱迷你球PVC圆筒两个装</t>
  </si>
  <si>
    <t>6/7截SI</t>
  </si>
  <si>
    <t>1.空白外箱（加印带Zuru字样的最新logo，除了邮包盒直接做外箱的产品）  + SSCC LABEL一张, 无箱唛，MADE IN CHINA 外箱只印一正一侧。箱唛资料按照给定的
标准去做即可，无需发回我方再行审批(新标准将另行通知)。</t>
  </si>
  <si>
    <t>1张空白贴纸+客版3L(5L warning UPC) INT PVC筒彩卡(UPC#+英法德意西5L警示语+FR/ES
环保标+GPSR邮箱care@zuru.com+新FR&lt;(&gt;&amp;&lt;)&gt;DK&lt;(&gt;&amp;&lt;)&gt;UK地址，参考翻单PO#4500194447)+1张IT环保标贴纸(参考翻单PO#4500158623）+4/24SSCC LABEL一张</t>
  </si>
  <si>
    <t>日期码格式：ZURU INC(BVI) 标准格式 日期：按实际生产日期
Packaging Info: Amazon DE:48F4XT2K
Amazon ES:8SRTRZLX
Amazon UK:76R8OF5K/5L2NQ1EM/5AKNDX6G/56V56PGC/1W8YE3KG
DE(9574/157114A)/ES(15757/77806/77731/77673)/UK(157143/17588A/71172/77876/92146BDG/9574)
7.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环保标+GPSR邮箱care@zuru.com+新FR&lt;(&gt;&amp;&lt;)&gt;DK&lt;(&gt;&amp;&lt;)&gt;UK地址，参考翻单PO#4500194447)+1张IT环保标贴纸(参考翻单PO#4500158623）；
12. 最迟验货不得晚于5/26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</si>
  <si>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4500203574-20</t>
  </si>
  <si>
    <t>6/5提供客人格式验货报告，待客人放货后才会放SO安排走货。</t>
  </si>
  <si>
    <t>款号贴纸（翻单4500187019）+ DE, IT警语贴纸（翻单4500187019）</t>
  </si>
  <si>
    <t>日期码格式：ZURU INC(BVI) 标准格式                  日期：按实际生产日期
Packaging Info: 
77711GQ1(INT版)：MA 3L EAN收缩膜 + 款号贴纸（翻单4500187019）+ DE, IT警语贴纸（翻单4500187019），MA B版5L收藏指南，MA 5L玩法说明书，MA B版 23L
UV胶黑白警告语说明书，MA配件袋，MA 3L PDQ
Remark: 1.此单出瑞士，微塑料需符合法规。
2.此单务必准时出货，如有推期会有罚款和空运。
其中推期1至7天扣款5%，推期8至14天扣款10%，推期15至21天扣款20%, 如此类推。
3.此单无须客户第三方验货，但是需要在2026/6/5提供客人格式验货报告，待客人放货后才会放SO安排走货。
4.此单出货前要寄2套大货签办给到客户办公室+1套大货签办到罗湖办公室
5.所有出往欧洲订单的电子产品需增加一张通用29L WEEE声明说明书，区分带电池出货和不带电池出货版本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
8.标准配比</t>
  </si>
  <si>
    <t>4500199091-20</t>
  </si>
  <si>
    <t>此单出货前需要提供3套大货样品给客人确认放货，需准时寄出避免影响出货。已安排</t>
  </si>
  <si>
    <t>1张PDQ条码贴纸(所有资料翻单#4500180408)</t>
  </si>
  <si>
    <t>产品，包装，外箱Batch code: 192551/06/2026, 布标按MA日期码即可。</t>
  </si>
  <si>
    <t>日期码格式：192551/06/2026 日期：
Packaging Info: 
 77711GQ1: 最新MA 3L PDQ+1张PDQ条码贴纸+3LEAN包装+德语警语贴纸+5L收藏指南/DIY说明书+23L说明书(所有资料翻单#4500180408)
Remark: 1. 出口欧洲，微塑料需符合法规。
2. 产品，包装，外箱Batch code: 192551/06/2026, 布标按MA日期码即可。
3. 外箱上方需加隔板，以保护开箱时不被划破产品。外箱不可打釘及打帶。 每箱不得超过5立方英尺，重量不得超过15公斤。
4894680049079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</si>
  <si>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5/131张空白贴纸覆盖条码+MA 收藏指南+球底部贴1张客供警语贴纸，收藏指南贴一张客供警语贴纸，说明书贴一
张客供警语贴纸</t>
  </si>
  <si>
    <t>日期码格式：ZURU INC(BVI) 标准格式 日期：按实际生产日期
Packaging Info: 
77785：客版MA 3L UPC 彩盒+客供警语贴纸（具体贴纸位置参考HK客供贴纸位置图）
77785 =2pcs 77711+1pcs 77673
77785：1张客供警语贴+1张客供电池警语贴纸
（77785里的77673：MA 1L 收缩膜，MA 警语说明书+MA 收藏指南+1张客供警语贴+1张客供电池警语贴纸+1张客供中文警告说明书）
（77785里的77711 （INT): MA 3L 收缩膜+1张空白贴纸覆盖条码+MA 收藏指南+ MA 说明书+球底部贴1张客供警语贴纸，收藏指南贴一张客供警语贴纸，说明书贴一
张客供警语贴纸）
所有贴纸不得遮挡日期码
Remark: 此单出HK</t>
  </si>
  <si>
    <t>6/5完成</t>
  </si>
  <si>
    <t>4500201913-10</t>
  </si>
  <si>
    <t>6/9截关</t>
  </si>
  <si>
    <t>进口商贴纸贴纸资料翻单4500165640</t>
  </si>
  <si>
    <t>日期码格式：ZURU INC(BVI) 标准格式 日期：按实际生产日期
Packaging Info: MA UPC包装(优先1L)+进口商贴纸,Fuggler的items需mother UPC barcode 信息,会跟进口商贴纸做在一起;除了15751无需条码贴纸,只需进口商贴纸;
 贴纸图稿和位置图翻单如下;
 待提供77843的贴纸资料
 77803GQ2/77673-4500180194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除了PDQ和收藏指南，其他包材如收缩膜等都跟STD版本77711GQ2-S001-INT- MA 3L版。
 所以，77803GQ2-MA EAN包装（3L)+1张进口商贴纸+1张UPC条码贴纸覆盖原条码(UPC贴纸显示款号77803，条码193052092403）。贴纸资料翻单4500165640。
 客版PDQ+收藏指南跟回拉美的订单4500161302,但是收藏指南要加贴纸遮住以下两个LOGOs,贴纸资料翻单4500165640;
 Veggie Original Sausage Patties(Contains pork words)
 Singles The Original- Pepperoni (Contains pork words)
Remark:</t>
  </si>
  <si>
    <t>6/6完成</t>
  </si>
  <si>
    <t>4500205650-50</t>
  </si>
  <si>
    <t>进口商贴纸，贴纸翻单PO4500161302</t>
  </si>
  <si>
    <t>日期码格式：ZURU INC(BVI) 标准格式                  日期：按实际生产日期
Packaging Info:
 4. 77782GQ1：客版收缩膜+客版收藏指南+客版PDQ+进口商贴纸+箱唛，贴纸翻单PO4500161302
Remark: 1.请注意产品包装条形码必须是UPC
2.无第三方验货</t>
  </si>
  <si>
    <t>4500203679-50</t>
  </si>
  <si>
    <t>日期码格式：ZURU INC(BVI) 标准格式                  日期：按实际生产日期
Packaging Info: 
 4. 77782GQ1：客版收缩膜+客版收藏指南+客版PDQ+进口商贴纸+箱唛，贴纸翻单PO4500161302
Remark: 1.请注意产品包装条形码必须是UPC
2.无第三方验货</t>
  </si>
  <si>
    <t>4500203765-50</t>
  </si>
  <si>
    <t>4500204007-50</t>
  </si>
  <si>
    <t>4500199984-20</t>
  </si>
  <si>
    <t>4/27进口商贴纸</t>
  </si>
  <si>
    <t>日期码格式：ZURU INC(BVI) 标准格式                  日期：按实际生产日期
Packaging Info: 77782GQ1:客版收缩膜+客版收藏指南+客版PDQ+进口商贴纸+箱唛，客版物料翻单PO 4500161302</t>
  </si>
  <si>
    <t>ZMPO260489</t>
  </si>
  <si>
    <t>ZMPO260489-10</t>
  </si>
  <si>
    <t>230套散件</t>
  </si>
  <si>
    <t>新配比</t>
  </si>
  <si>
    <t>4500202382-20</t>
  </si>
  <si>
    <t>收缩膜(加UPC贴纸翻单4500180436+进口商贴纸) +贴纸+客版PDQ跟回77782GQ1-S001-INT（翻单号4500161302）+客版收藏指南（客版包装翻
 单4500162410）; PDQ+进口商贴纸, 进口商贴纸AW翻单4500162410.,</t>
  </si>
  <si>
    <t>日期码格式：ZURU INC(BVI) 标准格式 日期：按实际生产日期 Tracking Code:
Packaging Info: 出UAE, 包装不能有希伯来语，需备两套大货版寄到SZ办公室。
 所有RBC的产品（内外）包装上不能有彩虹。
 77803GQ2:MA 1L PKG, 收缩膜(加UPC贴纸翻单4500180436+进口商贴纸) +贴纸+客版PDQ跟回77782GQ1-S001-INT（翻单号4500161302）+客版收藏指南（客版包装翻
 单4500162410）; PDQ+进口商贴纸, 进口商贴纸AW翻单4500162410.,
 客人箱唛排版，印4面，条码内容193052092403
 Remark:</t>
  </si>
  <si>
    <t>6/8完成</t>
  </si>
  <si>
    <t>4500202631-20</t>
  </si>
  <si>
    <t>收缩膜(加UPC贴纸翻单4500180436+进口商贴纸) +贴纸+客版PDQ跟回77782GQ1-S001-INT（翻单号4500161302）+客版收藏指南（客
 版包装翻单4500162410）; PDQ+进口商贴纸, 进口商贴纸AW翻单4500162410.,展示架跟回77803SK1-S002-PRODCC-INT（翻单4500180498）</t>
  </si>
  <si>
    <t>展示架跟回77803SK1-S002-PRODCC-INT（翻单4500180498）</t>
  </si>
  <si>
    <t>日期码格式：ZURU INC(BVI) 标准格式 日期：按实际生产日期 Tracking Code:
Packaging Info: 出KSA, 所有包装不能有希伯来语（HE), 所有RBC的产品（内外）包装上都不能有彩虹
 77803GQ2/77803SK1:MA 1L PKG, 收缩膜(加UPC贴纸翻单4500180436+进口商贴纸) +贴纸+客版PDQ跟回77782GQ1-S001-INT（翻单号4500161302）+客版收藏指南（客
 版包装翻单4500162410）; PDQ+进口商贴纸, 进口商贴纸AW翻单4500162410.,展示架跟回77803SK1-S002-PRODCC-INT（翻单4500180498）
 客人箱唛排版，印4面，条码内容193052092403
 Remark:</t>
  </si>
  <si>
    <t>4500202631-30</t>
  </si>
  <si>
    <t>4500204383-40</t>
  </si>
  <si>
    <t>5/131张UPC 条码贴纸(UPC#193052080134) +HK客供警语贴纸（1张贴球底部，1张贴说明书，1张贴收藏
指南）具体参考HK客供警语贴纸位置图</t>
  </si>
  <si>
    <t>日期码格式：ZURU INC(BVI) 标准格式 日期：按实际生产日期
Packaging Info: 
77711GQ1 （INT): MA 3L 收缩膜+1张UPC 条码贴纸(UPC#193052080134) + MA 3L PDQ+MA 5L 收藏指南+HK客供警语贴纸（1张贴球底部，1张贴说明书，1张贴收藏
指南）具体参考HK客供警语贴纸位置图
所有贴纸不得遮挡日期码
Remark: 此单出HK</t>
  </si>
  <si>
    <t>4500193716-50</t>
  </si>
  <si>
    <t>丹麦瑞典芬兰挪威警告语贴纸(贴纸和位置图翻Lekia PO#4500192711)+MA paper bag+丹麦/挪威/瑞典/芬兰语警告语贴在纸袋子
上(贴纸和位置图翻PO#4500183825)</t>
  </si>
  <si>
    <t>日期码格式：ZURU INC(BVI) 标准格式 日期：按实际生产日期
Packaging Info:
5. 77711GQ1: MA 3L EAN版收缩膜+丹麦瑞典芬兰挪威警告语贴纸(贴纸和位置图翻Lekia PO#4500192711)+MA paper bag+丹麦/挪威/瑞典/芬兰语警告语贴在纸袋子
上(贴纸和位置图翻PO#4500183825)+MA 3L PDQ+MA 5L(23L warning)收藏指南+MA 23L说明书
Remark: * 请准备一个40尺高柜的安全网，客人要求所有柜货需要加安全网出货，漏拉网会有罚款产生
* 92146/92147/9574/77673/77711是新品，请在4/23前各寄两套大货样给客人留底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 and/or Bisfenol成分
7. 产品条码如下: 请先检查条码是否正确再安排做货，如有问题请告知:
77711GQ1-S002-INT:4894680043350</t>
  </si>
  <si>
    <t>4500202591-10</t>
  </si>
  <si>
    <t>带Slime（口水胶)的产品需寄2套MA样板到SZ办公室， 急需寄出给客户测试。</t>
  </si>
  <si>
    <t>日期码格式：ZURU INC(BVI) 标准格式 日期：按实际生产日期 Tracking Code:
Packaging Info: 出QATAR, 包装不能有希伯来语，带Slime（口水胶)的产品需寄2套MA样板到SZ办公室， 急需寄出给客户测试。
 所有RBC的产品（内外）包装不能有彩虹。
 77803GQ2/77803SK1:MA 1L PKG, 收缩膜(加UPC贴纸翻单4500180436+进口商贴纸) +贴纸+客版PDQ跟回77782GQ1-S001-INT（翻单号4500161302）+客版收藏指南（客
 版包装翻单4500162410）; PDQ+进口商贴纸, 进口商贴纸AW翻单4500162410.,展示架跟回77803SK1-S002-PRODCC-INT（翻单4500180498）
 客人箱唛排版，印4面，条码内容193052092403
 77843GQ2:MA 1L PKG+进口商贴纸 (含G Mark, QR code, 阿拉伯警语); 贴纸上的QR code需微信可扫; 扫描结果另外通知； UPC条码显示193052099105；贴纸AW翻单
 4500202382。
 客人箱唛排版，印4面，条码内容193052099105
 Remark:</t>
  </si>
  <si>
    <t>4500202591-20</t>
  </si>
  <si>
    <t>4500203270-40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</si>
  <si>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大货配比：产品配比按照MA标准配比执行。
GTIN:
77711GQ2-S002-NA：101-93052-08012-4</t>
  </si>
  <si>
    <t>4500204062-90</t>
  </si>
  <si>
    <t>日期码格式：ZURU INC(BVI) 标准格式                  日期：按实际生产日期
Packaging Info: 
"77711GQ2: 最新MA 3L PDQ+客版收缩膜(英法德callout/英法德意荷警语/法国环保logo)翻单4500155592 +MA23L 说明书+MA 5+23L警语收藏指南+ MA 5L creative
说明书 + creative说明书荷兰语贴纸(翻单4500155592）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电子产品需增加一张C版WEEE声明29L通用黑白说明书(不接受A版本，翻译有误)，区分带电池和不带电池出货版本, 如已做客版说明书可忽略此要求；如包装备注
上缺少此部分信息，请提醒跟单更新备注。
6.所有出往德国市场有关slime和带香味的都需要出无硼无香版本；
7.订单备注显示有分批的(不同仓库/订单号),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</si>
  <si>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4500203128-20</t>
  </si>
  <si>
    <t>日期码格式：ZURU INC(BVI) 标准格式                  日期：按实际生产日期
Packaging Info: "77711GQ2: 最新MA PDQ(优先3L)+MA-3L EAN收缩膜+1张法国sorting label贴纸(翻PO#4500182619) + MA-23L说明书 + MA-5-23L警语收藏指南 + MA-5L creative
说明书
EAN: 4894680043350"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</si>
  <si>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4500203609-20</t>
  </si>
  <si>
    <t>日期码格式：ZURU INC(BVI) 标准格式                  日期：按实际生产日期
Packaging Info: 
#77731：2PK STD #77711入PVC桶，3L 2PK铜版纸，客版无UPC版本收缩膜翻单4500186575。收藏指南，说明书均为MA 1L标版。（两个球的配比不能重复）。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</si>
  <si>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Peggy Wu</t>
  </si>
  <si>
    <t>ZB06329-8.17</t>
  </si>
  <si>
    <t>4500204413-10</t>
  </si>
  <si>
    <t>MA2L收藏指南(NA版B)</t>
  </si>
  <si>
    <t>日期码格式：ZURU INC(BVI) 标准格式 日期：按实际生产日期
Packaging Info: #77711:
客版3L,PDQ(NA版,16装)+MA2L收缩膜(NA版,UPC:193052080127)+MA2L收藏指南(NA版B)+MA配件袋+MA5L说明书+MA23L警告语说明书(B)
翻单：4500186723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</si>
  <si>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10001788262-3890</t>
  </si>
  <si>
    <t>4500203486-10</t>
  </si>
  <si>
    <t>5/21外箱正唛左上角位置粘贴条码箱贴纸，每箱只贴一张，由ZURU订购</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</si>
  <si>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</si>
  <si>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ZB06539-8.17</t>
  </si>
  <si>
    <t>4500202788-20</t>
  </si>
  <si>
    <t>77823GQ2为77711GQ2的客制版本,因license受限, 不能出kikkoman的minis,特此77823GQ2需移除kikoman的minis,更新的配比待翻单4500167451;
 77823GQ2使用STD INT国际版本的收缩膜加一张UPC条码贴纸显示款号为77823;收藏指南使用STD INT国际版本,但是需加贴一张贴纸遮住kikkoman的logo,PDQ使用客版
 PDQ(跟77782GQ1-S001-INT的PDQ，图稿可翻单拉美订单4500161302;</t>
  </si>
  <si>
    <t>日期码格式：ZURU INC(BVI) 标准格式 日期：按实际生产日期 Tracking Code: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77823GQ2为77711GQ2的客制版本,因license受限, 不能出kikkoman的minis,特此77823GQ2需移除kikoman的minis,更新的配比待翻单4500167451;
 77823GQ2使用STD INT国际版本的收缩膜加一张UPC条码贴纸显示款号为77823;收藏指南使用STD INT国际版本,但是需加贴一张贴纸遮住kikkoman的logo,PDQ使用客版
 PDQ(跟77782GQ1-S001-INT的PDQ，图稿可翻单拉美订单4500161302;
Remark: 77673TQ1-Fixed Collection;
 77823GQ2-With 4pcs demo/PDQ
 Based on #77711GQ2-S001-INT remove minis: Kikkoman-Soy Sauce (license)</t>
  </si>
  <si>
    <t>4500201308-660</t>
  </si>
  <si>
    <t>4500201308-670</t>
  </si>
  <si>
    <t>4500202166-20</t>
  </si>
  <si>
    <t>4500203833-20</t>
  </si>
  <si>
    <t>5/7已寄1张RFID贴纸，贴纸由ZURU提供</t>
  </si>
  <si>
    <t>ZB06330-8.17</t>
  </si>
  <si>
    <t>4500203833-30</t>
  </si>
  <si>
    <t>日期码格式：ZURU DGYYYYMMDD CHINA(日期避开周末和法定节假日即可） 日期：按实际生产日期
Packaging Info: 1.包装要求：
77711GQ4-S001-NA: MA 1L A版收缩膜+MA 2L A版收藏指南+MA 说明书+客版1L PDQ，翻单：4500159672
77673TQ1-S001:MA 1L A版收缩膜+MA 5L 收藏指南+MA 说明书+MA 1L PDQ
每pcs产品上要贴1张RFID贴纸，贴纸由ZURU提供，贴纸位置请严格按照我们签回的签板；
Remark: 1.包装要求：
77711GQ4-S001-NA: MA 1L A版收缩膜+MA 2L A版收藏指南+MA 说明书+客版1L PDQ，翻单：4500159672
77673TQ1-S001:MA 1L A版收缩膜+MA 5L 收藏指南+MA 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
77673：4pcs/PDQ/CTN</t>
  </si>
  <si>
    <t>ZB06376-8.17</t>
  </si>
  <si>
    <t>4500203833-40</t>
  </si>
  <si>
    <t>ZB06268-8.17</t>
  </si>
  <si>
    <t>4500203833-50</t>
  </si>
  <si>
    <t>ZB06377-8.17</t>
  </si>
  <si>
    <t>4500203833-70</t>
  </si>
  <si>
    <t>ZB06269-8.17</t>
  </si>
  <si>
    <t>4500203833-110</t>
  </si>
  <si>
    <t>ZB06233-8.17</t>
  </si>
  <si>
    <t>4500203833-120</t>
  </si>
  <si>
    <t>ZB06381-8.17</t>
  </si>
  <si>
    <t>4500200583-60</t>
  </si>
  <si>
    <t>日期码格式：ZURU INC(BVI) 标准格式                  日期：按实际生产日期
Packaging Info: 
 6. 77711GQ1: MA 3L EAN版收缩膜+丹麦瑞典芬兰挪威警告语贴纸(贴纸和位置图翻Lekia PO#4500192711)+MA paper bag+丹麦/挪威/瑞典/芬兰语警告语贴在纸袋子
上(贴纸和位置图翻PO#4500183825)+MA 3L PDQ+MA 5L(23L warning)收藏指南+MA 23L说明书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77711GQ1-S002-INT:4894680043350</t>
  </si>
  <si>
    <t>4500204153-10</t>
  </si>
  <si>
    <t>日期码格式：ZURU INC(BVI) 标准格式                  日期：按实际生产日期
Packaging Info: #77731：2PK STD #77711入PVC桶，3L 2PK铜版纸，客版无UPC版本收缩膜翻单4500203534。收藏指南，说明书均为MA 1L标版。（两个球的配比不能重复）。
Remark: 1.Amazon domestic 订单。出口美国。外箱最长边不能超过25"  （超过了，case pack只能为1），不符合要求的大货，一律不接受。
2.无第三方验货/测试要求。
3. 日期码使用ZURU标准版本。
4.如果大货有要求入邮包盒，则对应的邮包盒上面要打上日期码。</t>
  </si>
  <si>
    <t>ZB06813-8.17</t>
  </si>
  <si>
    <t>4DASU4WX</t>
  </si>
  <si>
    <t>4500200822-20</t>
  </si>
  <si>
    <t>客版无UPC版本收缩膜翻单4500186575+5/29寄出SSCC Label(客供贴纸，由跟单订购)</t>
  </si>
  <si>
    <t>日期码格式：ZURU INC(BVI) 标准格式                  日期：按实际生产日期
Packaging Info: 
#77731：2PK STD #77711入PVC桶，3L 2PK铜版纸，客版无UPC版本收缩膜翻单4500186575。收藏指南，说明书均为MA 1L标版。（两个球的配比不能重复）。
Remark: 抬头文本：1.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</si>
  <si>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ZB06303-8.17</t>
  </si>
  <si>
    <t>3IJETWCD</t>
  </si>
  <si>
    <t>4500201801-60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</si>
  <si>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</si>
  <si>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ZB06488-8.17</t>
  </si>
  <si>
    <t>8ABD534O</t>
  </si>
  <si>
    <t>4500201941-90</t>
  </si>
  <si>
    <t>ZB06412-8.17</t>
  </si>
  <si>
    <t>翻单：4500195548</t>
  </si>
  <si>
    <t>日期码格式：ZURU INC(BVI) 标准格式 日期：按实际生产日期
Packaging Info: 物料要求 SKU
 2.77785 ：2部分子件构成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</si>
  <si>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4500202844-30</t>
  </si>
  <si>
    <t>多语警语折叠贴纸（含包装缺失的法/意/
西环保标）（贴纸翻4500197331）</t>
  </si>
  <si>
    <t>日期码格式：ZURU INC(BVI) 标准格式                  日期：按实际生产日期
Packaging Info: 
77711GQ1:最新MA 3L EAN收缩膜+最新MA 5L收藏指南+最新MA 23L说明书+最新MA 5L creative+最新MA纸袋+最新MA 3L PDQ+多语警语折叠贴纸（含包装缺失的法/意/
西环保标）（贴纸翻4500197331）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  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</si>
  <si>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4500204363-20</t>
  </si>
  <si>
    <t>1*多语折叠警语贴纸（翻单4500157858）</t>
  </si>
  <si>
    <t>日期码格式：ZURU INC(BVI) 标准格式                  日期：按实际生产日期
Packaging Info:
77711GQ1：MA 3L EAN 收缩膜+1*多语折叠警语贴纸（翻单4500157858）+MA 23L 警语说明书+MA 5L+23L 收藏指南+MA 内袋+MA 最新版 3L PDQ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所有出往德国的电子产品身上需要加字唛，为ZURU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6.所有出往德国订单的电子产品需增加一张最新版本的欧洲通用WEEE声明说明书，区分带电池和不带电池版本,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</si>
  <si>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4500201725-10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</si>
  <si>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PO#127317,SKU#924144 DC#881-312PCS, DC#884-228PCS, DC#886-324PCS, DC#887-288PCS, DC#888-252PCS</t>
  </si>
  <si>
    <t>ZB06272-8.17</t>
  </si>
  <si>
    <t>4500201728-10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</si>
  <si>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PO#127330,SKU#203892 DC#891-348PCS, DC#894-264PCS, DC#896-216PCS, DC#897-504PCS, DC#898-264PCS</t>
  </si>
  <si>
    <t>ZB06273-8.17</t>
  </si>
  <si>
    <t>ZMPO260565</t>
  </si>
  <si>
    <t>ZMPO260565-10</t>
  </si>
  <si>
    <t>Remark大货最新版本/麻烦按款号装箱/并在外箱上注明款号/大货标准箱装箱/箱唛参照邮件附件,备注：收到样品订单后尽快安排，注意样板品质质量要求要高于大货品质要求，送货时必须要附带送货单(没有送货单和QC检验合格报告的仓库一律拒绝收货)，请知悉，谢谢！</t>
  </si>
  <si>
    <t>4500201981-80</t>
  </si>
  <si>
    <t>5/21进口商贴纸+UPC贴纸</t>
  </si>
  <si>
    <t>日期码格式：ZURU INC(BVI) 标准格式 日期：按实际生产日期
Packaging Info: 
77711SK：MA 3L EAN包装+进口商贴纸+UPC贴纸+MA 2L SK+箱唛
Remark: 1.客户有监装要求，每款需要各准备1pc监柜样板</t>
  </si>
  <si>
    <t>4500203128-10</t>
  </si>
  <si>
    <t>4500205765-10</t>
  </si>
  <si>
    <t>预计从此单开始用新配比PASS</t>
  </si>
  <si>
    <t>5/22 1张RFID贴纸</t>
  </si>
  <si>
    <t>日期码格式：ZURU DGYYYYMMDD CHINA(日期避开周末和法定节假日即可）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</si>
  <si>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ZB06538/ZB06560/ZB06615/ZB06704/ZB06706/ZB06752</t>
  </si>
  <si>
    <t>4500205765-20</t>
  </si>
  <si>
    <t>ZB06615-8.17</t>
  </si>
  <si>
    <t>4500205765-40</t>
  </si>
  <si>
    <t>ZB06560-8.17</t>
  </si>
  <si>
    <t>4500205765-50</t>
  </si>
  <si>
    <t>ZB06704-8.17</t>
  </si>
  <si>
    <t>4500205765-70</t>
  </si>
  <si>
    <t>4500205765-110</t>
  </si>
  <si>
    <t>ZB06538-8.17</t>
  </si>
  <si>
    <t>4500205100-40</t>
  </si>
  <si>
    <t>日期码格式：ZURU INC(BVI) 标准格式                  日期：按实际生产日期
Packaging Info: 
77711GQ1:MA A版3L EAN包装+一张客供价格贴纸</t>
  </si>
  <si>
    <t>4500205118-20</t>
  </si>
  <si>
    <t>5/19一张客供价格贴纸+一张警告语贴纸（德语/荷兰语/波兰语）翻单：4500201132</t>
  </si>
  <si>
    <t>日期码格式：ZURU INC(BVI) 标准格式 日期：按实际生产日期
Packaging Info: 
77711GQ1:MA A版3L EAN包装+一张客供价格贴纸+一张警告语贴纸（德语/荷兰语/波兰语）翻单：4500201132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所有出往GAS市场(UK+德国/奥地利/瑞士)的电子产品需增加一张欧洲通用29L WEEE声明说明书，区分带电池和不带电池版本, 如已做客版说明书可忽略此要求
。
11. 所有出往GAS市场(德国/奥地利/瑞士)订单，化学品需无堋无香版本。</t>
  </si>
  <si>
    <r>
      <rPr>
        <sz val="11"/>
        <color rgb="FF0000CC"/>
        <rFont val="宋体"/>
        <charset val="134"/>
      </rPr>
      <t>日期码格式： ZURU INC(BVI) 标准格式 日期：按实际生产日期
Packaging Info:
77785:MA 3L UPC包装+一张客供价格贴纸+一张警告语贴纸（德语/波兰语/荷兰语）翻单：4500201132+D版29L带电池出货版本WEEE说明书+</t>
    </r>
    <r>
      <rPr>
        <sz val="11"/>
        <color rgb="FFFF0000"/>
        <rFont val="宋体"/>
        <charset val="134"/>
      </rPr>
      <t>一张地址贴纸</t>
    </r>
    <r>
      <rPr>
        <sz val="11"/>
        <color rgb="FF0000CC"/>
        <rFont val="宋体"/>
        <charset val="134"/>
      </rPr>
      <t xml:space="preserve">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 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所有出往GAS市场(UK+德国/奥地利/瑞士)的电子产品需增加一张欧洲通用29L WEEE声明说明书，区分带电池和不带电池版本, 如已做客版说明书可忽略此要求
。
11. 所有出往GAS市场(德国/奥地利/瑞士)订单，化学品需无堋无香版本。</t>
    </r>
  </si>
  <si>
    <t>4500204775-30</t>
  </si>
  <si>
    <t>1*多语折叠警语贴纸（翻单4500197331</t>
  </si>
  <si>
    <t>日期码格式：ZURU INC(BVI) 标准格式 日期：按实际生产日期
Packaging Info:77711GQ1：MA 3L EAN 收缩膜+1*多语折叠警语贴纸（翻单4500197331）+MA 23L 警语说明书+MA 5L+23L 收藏指南+MA 内袋+MA 最新版 3L PDQ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所有出往波兰的电子产品身上需要加字唛，为ZURU FRANCE 地址，需跟包装上的地址一致 (如无电子产品，产品布标有此地址，或产品太小无法增加可忽略此信
 息。如产品无法加字唛，需让对应跟单提供产品贴纸资料)
 新地址：ZURU France 33 rue Paul Meurice 75020 Paris, France
 旧地址：ZURU France 1/3, Rue d'Argenteuil 95210 SAINT-GRATIEN,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 所有出往波兰订单的电子产品需增加一张最新版本的欧洲通用WEEE声明说明书，区分带电池和不带电池版本, 如已做客版说明书可忽略此要求。</t>
  </si>
  <si>
    <t>4500193992-10</t>
  </si>
  <si>
    <t>德语警语贴纸(翻单#4500161168)</t>
  </si>
  <si>
    <t>日期码格式：ZURU INC(BVI) 标准格式 日期：按实际生产日期
Packaging Info: 77711: 最新MA 3LEAN包装+德语警语贴纸(翻单#4500161168)+5L收藏指南/DIY说明书+5L纸袋+23L说明书
Remark: 1. 此单出德国，需要满足Zuru Standard欧洲标准测试要求；
2. 请准时出货，推期会有罚款；
3. 出口欧洲，微塑料需符合法规；
4.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5. 所有出往GAS市场(德国/奥地利/瑞士)的电子产品需增加一张欧洲通用WEEE声明说明书，区分带电池和不带电池版本, 如已做客版说明书可忽略此要求。
6. 所有出往GAS市场(德国/奥地利/瑞士)订单，化学品需无堋无香版本。
7. 标准配比
8. 大货样品3套，请多备料。</t>
  </si>
  <si>
    <t>4500204054-70</t>
  </si>
  <si>
    <t>4500204054-110</t>
  </si>
  <si>
    <t>4500204693-30</t>
  </si>
  <si>
    <t>日期码格式：ZURU INC(BVI) 标准格式                  日期：按实际生产日期
Packaging Info: Amazon ES: 65KOECLK
Amazon IT: 4NMKFNFS
Amazon UK: 73AL5Y3W
ES(15747/15752A/77785/15714H)/IT(77731)/UK(157103/15750D/15747/15752BE/15750H/77806/77785/15714D/71137)
8.77785:1pk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说明书欧洲EN+30L_B版；
10.验货时间不晚于2026/06/18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</si>
  <si>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日期码格式：ZURU INC(BVI) 标准格式                  日期：按实际生产日期
Packaging Info: Amazon ES: 65KOECLK
Amazon IT: 4NMKFNFS
Amazon UK: 73AL5Y3W
ES(15747/15752A/77785/15714H)/IT(77731)/UK(157103/15750D/15747/15752BE/15750H/77806/77785/15714D/71137)
8.77785:1pk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说明书欧洲EN+30L_B版；
10.验货时间不晚于2026/06/18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</si>
  <si>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4NMKFNFS</t>
  </si>
  <si>
    <t>4500203640-150</t>
  </si>
  <si>
    <t>日期码格式：ZURU INC(BVI) 标准格式                  日期：按实际生产日期
Packaging Info: Amazon ES: 65KOECLK
Amazon IT: 4NMKFNFS
Amazon UK: 73AL5Y3W
ES(15747/15752A/77785/15714H)/IT(77731)/UK(157103/15750D/15747/15752BE/15750H/77806/77785/15714D/71137)
7.77731:2PK#77711-INT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环保标+GPSR邮箱care@zuru.com+新FR&lt;(&gt;&amp;&lt;)&gt;DK&lt;(&gt;&amp;&lt;)&gt;UK地址，参考翻单PO#4500194447)+1张IT环保标贴纸(参考翻单PO#4500158623）；
10.验货时间不晚于2026/06/18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</si>
  <si>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MODELTOYS LTD</t>
  </si>
  <si>
    <t>马耳他</t>
  </si>
  <si>
    <t>4500204707-70</t>
  </si>
  <si>
    <t>5/15 进口商贴纸+UPC 条码贴纸</t>
  </si>
  <si>
    <t>日期码格式：ZURU INC(BVI) 标准格式                  日期：按实际生产日期
Packaging Info: 
77711GQ2：A 版 3L MA EAN 包装+进口商贴纸+UPC 条码贴纸；C 版5L MA 收藏指南/A 版 3L MA PDQ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</si>
  <si>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4500201730-20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</si>
  <si>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PO#127322,SKU#924021 DC#881-420PCS, DC#884-348PCS, DC#886-456PCS, DC#887-432PCS, DC#888-348PCS</t>
  </si>
  <si>
    <t>4500201732-20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</si>
  <si>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PO#127323,SKU#924662 DC#881-384PCS, DC#884-324PCS, DC#886-408PCS, DC#887-384PCS, DC#888-300PCS</t>
  </si>
  <si>
    <t>4500201735-10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</si>
  <si>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PO#127324,SKU#923831 DC#881-408PCS, DC#884-348PCS, DC#886-468PCS, DC#887-432PCS, DC#888-348PCS</t>
  </si>
  <si>
    <t>ZB06433-8.17</t>
  </si>
  <si>
    <t>4500201739-20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</si>
  <si>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PO#127335,SKU#203984 DC#891-468PCS, DC#894-372PCS, DC#896-312PCS, DC#897-696PCS, DC#898-348PCS</t>
  </si>
  <si>
    <t>4500201740-20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</si>
  <si>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PO#127336,SKU#204536 DC#891-456PCS, DC#894-300PCS, DC#896-324PCS, DC#897-540PCS, DC#898-384PCS</t>
  </si>
  <si>
    <t>4500201742-10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</si>
  <si>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PO#127337,SKU#204096 DC#891-468PCS, DC#894-372PCS, DC#896-312PCS, DC#897-696PCS, DC#898-348PCS</t>
  </si>
  <si>
    <t>ZB06432-8.17</t>
  </si>
  <si>
    <t>500-13491</t>
  </si>
  <si>
    <t>4500206995-10</t>
  </si>
  <si>
    <t>日期码格式：ZURU INC(BVI) 标准格式                  日期：按实际生产日期
Packaging Info: 
其他Item: MA UPC优先1L最新版，出口美国
Remark: 2、无测试无验货要求
 3、纸箱4面印ZURU LOGO + 箱唛
 4、日期码请按ZURU标准版执行即可
 5、ZURU QC验货</t>
  </si>
  <si>
    <t>ZB06411-8.17</t>
  </si>
  <si>
    <t>4500202801-40</t>
  </si>
  <si>
    <t>一张UPC条码贴+ 防盗贴纸（两款贴纸以及防盗贴纸位置图翻单PO#4500160026）+ 5/25 外箱贴纸SSCC L
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</si>
  <si>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请注意此单与 AU PO#4500202800一起合并计算</t>
  </si>
  <si>
    <t>4500202800-40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</si>
  <si>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PO#4500202801一起合并计算</t>
  </si>
  <si>
    <t>4500206784-40</t>
  </si>
  <si>
    <t>4500206784-50</t>
  </si>
  <si>
    <t>4500204811-10</t>
  </si>
  <si>
    <t>5/81张UPC条码贴纸+固定进口商贴纸,待提供贴纸资料;</t>
  </si>
  <si>
    <t>日期码格式：ZURU INC(BVI) 标准格式                  日期：按实际生产日期
Packaging Info: 
77711GQ2-MA 3L EAN 收缩膜+1张UPC条码贴纸+固定进口商贴纸,待提供贴纸资料;
Remark:</t>
  </si>
  <si>
    <t>4500204880-10</t>
  </si>
  <si>
    <t>一张客人警语贴纸+两张纸袋希腊警语贴纸，翻4500168579</t>
  </si>
  <si>
    <t>日期码格式：ZURU INC(BVI) 标准格式                  日期：按实际生产日期
Packaging Info: 1. 77711：最新MA 3L EAN收缩膜+最新MA 3L PDQ+最新MA 5L包装+一张客人警语贴纸+两张纸袋希腊警语贴纸，翻4500168579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t>
  </si>
  <si>
    <t>4500197002-90</t>
  </si>
  <si>
    <t>丹麦瑞典芬兰挪威警告语贴纸(贴纸和位置翻单4500194886)+MA paper bag+丹麦/挪威/瑞典/芬兰语警告语贴在纸袋子上(贴纸和位置图翻
 PO#4500183825)</t>
  </si>
  <si>
    <t>4500204609-60</t>
  </si>
  <si>
    <t>4500204920-10</t>
  </si>
  <si>
    <t>日期码格式：ZURU INC(BVI) 标准格式                  日期：按实际生产日期
Packaging Info: 物料要求 SKU
1 77711GQ1 MA PDQ +外挂中文收藏指南+中文说明书+黑白警告语+收缩膜年龄贴（8+）   翻单：  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</si>
  <si>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4500203552-10</t>
  </si>
  <si>
    <t>5-14UPC 条码贴纸,UPC显示：193052080127,贴纸AW翻单4500191055</t>
  </si>
  <si>
    <t>日期码格式：ZURU INC(BVI) 标准格式 日期：按实际生产日期
Packaging Info: 1. 包装方式：MA UPC优先1L最新包装，出口美国；
 2. 产品和包装上印刷tracking code信息，格式为ZURU常规；
 3. ZURU QC 验货合格后即可出货.
Remark: 1. 77711GQ2 PDQ上需要贴一张UPC 条码贴纸,UPC显示：193052080127, 贴纸AW翻单4500191055，工厂自行采购；</t>
  </si>
  <si>
    <t>ZB06630-8.17</t>
  </si>
  <si>
    <t>4500203732-40</t>
  </si>
  <si>
    <t>5/14UPC 条码贴纸, 贴纸AW翻单4500191055</t>
  </si>
  <si>
    <t>ZB06487-8.17</t>
  </si>
  <si>
    <t>4500205015-80</t>
  </si>
  <si>
    <t>开始使用新配比PASS</t>
  </si>
  <si>
    <t>客版物料翻单PO 4500161302,进口商贴纸翻单PO4500183616</t>
  </si>
  <si>
    <t>日期码格式：ZURU INC(BVI) 标准格式                  日期：按实际生产日期
Packaging Info: 
77782GQ1:客版收缩膜+客版收藏指南+客版PDQ+进口商贴纸+箱唛，客版物料翻单PO 4500161302,进口商贴纸翻单PO4500183616
Remark: 后续提供的进口商贴纸和UPC贴纸合并为一张的话，请忽略订单的UPC贴纸需求，产品的条码必须是UPC的</t>
  </si>
  <si>
    <t>4500204440-10</t>
  </si>
  <si>
    <t>进口商贴纸和条码贴纸翻单PO4500188881，客版资料翻单PO4500161302</t>
  </si>
  <si>
    <t>日期码格式：ZURU INC(BVI) 标准格式 日期：按实际生产日期
Packaging Info: 77782GQ1 客版收缩膜+进口商贴纸+条码贴纸+箱唛+客版PDQ+客版收藏指南，进口商贴纸和条码贴纸翻单PO4500188881，客版资料翻单PO4500161302
Remark: 1.进口商贴纸请多备料5pcs,出货后需要寄给客户留底
 2.如后续提供的贴纸文档中进口商贴纸和条码贴纸合并为一张，可忽略条码贴纸的需求</t>
  </si>
  <si>
    <t>4500205388-10</t>
  </si>
  <si>
    <t>日期码格式：ZURU INC(BVI) 标准格式 日期：按实际生产日期
Packaging Info: 77711GQ2：A 版 3L MA EAN 收缩膜+进口商贴纸+含客户款号的EAN条码贴纸；A 版 3L MA PDQ/C 版 5L MA 收藏指南
Remark: "1、若产品有比例使用ZURU STD 比例
2、所有item 均用MA EAN条码，若包装上的EAN 条码与PO 不一致的请告知
baby EAN:
3、此单出欧洲需满足EU测试标准要求，另外不能出闪粉（若产品本身不含闪粉则忽略这句话），电池产品（带电池/不带电池走货）需要添加WEEE通用说明书
4、此单LC 货期不可延"</t>
  </si>
  <si>
    <t>4500205582-90</t>
  </si>
  <si>
    <t>日期码格式：ZURU INC(BVI) 标准格式 日期：按实际生产日期
Packaging Info: 1.优先多语 MA UPC或者3L/5L MA EAN 包装,EAN 包装则需加UPC 贴纸.
2.请确保包装上的条形码是UPC， 如果是baby UPC，需要用mother UPC覆盖。
3 .MA PDQ 优先用3L,MA 只有1L版本的情况下就用1L PDQ
4.此单MA 3L UPC/EAN 包装（EAN 包装需要用UPC贴纸覆盖）+箱唛
Remark:</t>
  </si>
  <si>
    <t>4500199743-60</t>
  </si>
  <si>
    <t>日期码格式：ZURU INC(BVI) 标准格式                  日期：按实际生产日期
Packaging Info: 77782GQ1:客版收缩膜+客版收藏指南+客版PDQ+箱唛，无客户贴纸，客版物料翻单PO 4500161302</t>
  </si>
  <si>
    <t>4500196923-50</t>
  </si>
  <si>
    <t>一张意大利环保贴纸（翻4500164781
 ）</t>
  </si>
  <si>
    <t>日期码格式：ZURU INC(BVI) 标准格式 日期：按实际生产日期
Packaging Info: 
5. 77711GQ1:最新MA 3L EAN收缩膜+最新MA 5L收藏指南+最新MA 23L说明书+最新MA 5L creative+最新MA纸袋+最新MA 3L PDQ+一张意大利环保贴纸（翻4500164781
）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</si>
  <si>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4500200614-230</t>
  </si>
  <si>
    <t>进口商贴纸,进口商贴纸翻单PO4500200402</t>
  </si>
  <si>
    <t>客版翻单PO4500161302</t>
  </si>
  <si>
    <t>日期码格式：ZURU INC(BVI) 标准格式 日期：按实际生产日期
Packaging Info: 
77782GQ1:客版收缩膜+客版收藏指南+客版PDQ+进口商贴纸+箱唛，客版翻单PO4500161302,进口商贴纸翻单PO4500200402
Remark: 如某个item的进口商贴纸和UPC贴纸合并为一张，请忽略UPC贴纸的需求，包装上的条码必须是UPC</t>
  </si>
  <si>
    <t>4500204920-40</t>
  </si>
  <si>
    <t>日期码格式：ZURU INC(BVI) 标准格式 日期：按实际生产日期
Packaging Info: 物料要求 SKU
1 77711GQ1 MA PDQ +外挂中文收藏指南+中文说明书+黑白警告语+收缩膜年龄贴（8+） 翻单： 4500195548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</si>
  <si>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4500203674-20</t>
  </si>
  <si>
    <t>7/7</t>
  </si>
  <si>
    <t>77711+92146是新品，请在6/10各寄两套大货样给客人留底，已安排</t>
  </si>
  <si>
    <t>日期码格式：ZURU INC(BVI) 标准格式                  日期：按实际生产日期
Packaging Info:
 2. 77711GQ1: MA 3L EAN版收缩膜+丹麦瑞典芬兰挪威警告语贴纸(贴纸和位置图翻Lekia PO#4500192711)+MA paper bag+丹麦/挪威/瑞典/芬兰语警告语贴在纸袋子
上(贴纸和位置图翻PO#4500183825)+MA 3L PDQ+MA 5L(23L warning)收藏指南+MA 23L说明书
Remark: * 请准备1个40尺平柜的安全网，客人要求所有柜货需要加安全网出货，漏拉网会有罚款产生
 * 77711+92146是新品，请在6/10各寄两套大货样给客人留底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77711GQ1-S002-INT:4894680043350</t>
  </si>
  <si>
    <t>4500206743-10</t>
  </si>
  <si>
    <t>价格贴纸翻单4500181432</t>
  </si>
  <si>
    <t>日期码格式：ZURU INC(BVI) 标准格式                  日期：按实际生产日期
Packaging Info: 77711GQ1 MA 2L（PDQ+收缩膜UPC版本193052080127).  价格贴纸翻单4500181432
Remark: 出加拿大
有价格贴纸 (Low Tack ,must peel off easily without leaving adhesive residue)
有shipping label (贴4面）
Zuru验货. 日期跟踪码：产品外包装及产品本身都必须有日期跟踪码，ZURU标准格式日期码。</t>
  </si>
  <si>
    <t>katrina</t>
  </si>
  <si>
    <t>4500204227-50</t>
  </si>
  <si>
    <t>进口商贴纸（含客户条码）,贴纸翻单4500165563</t>
  </si>
  <si>
    <t>CRD 6/15,客户日期码: ZUR6166 包装/外箱请保持一致。已安排需备2套大货版寄出</t>
  </si>
  <si>
    <t>日期码格式：ZUR6166 ZUR6208 日期：
Packaging Info: 77711GQ2:MA 3L 包装+进口商贴纸（含客户条码）+MA 说明书;MA 3L PDQ,贴纸
 工厂日期码 产品/包装/外箱请保持一致。
 CRD 6/15,客户日期码: ZUR6166 包装/外箱请保持一致。
 CRD 7/27,客户日期码为ZUR6208 包装/外箱请保持一致。
  以下数量大货版请寄到如下地址：
 5.77711GQ2：2套大货版带PDQ
 Attn: Sylvia Li
 Company name: GP Services HK Limited
 Company address: Suite 1502, 15th Floor, Chinachem Golden Plaza, 77 Mody Road, TST East, Kowloon, Hong Kong
 Company address (Chinese): 香港九龍尖沙咀東部麼地道77號華懋廣場1502室
 Contact Tel: +852 2739 5363
Remark: 77843GQ2:Ratio: PIZZA: HAMBURGER: PANCAKES: BUBBLE TEA: Matcha TEA: TACO: SUSHI: DONUT: Charcuterie Board: RAINBOW CAKE(Rare)=10.88%: 10.88%: 1
 0.88%: 10.88%: 10.88%: 10.88%: 10.88%: 10.88%: 10.88%: 2.08%=68:68:68:68:68:68:68:68:68:13
 77772GQ2:WITH 4PCS DEMO/PDQ
 77773GQ2:WITH 4PCS DEMO/PDQ
 77711GQ2:With 4pcs demo(14.6G)/PDQ
 77673TQ1:Fixed Collection
92146TQ1:Cat:Raccoon:Deer:Tiger:Pigeon:Owl=1:1:1:1:1:1
 92147:Black Cat:Owl:Axolotl:Unicorn:Bat:Bunny=1:1:1:1:1:1</t>
  </si>
  <si>
    <t>4500201029-40</t>
  </si>
  <si>
    <t>4500206586-10</t>
  </si>
  <si>
    <t>一张客户进口商贴纸（含西班牙环保标)（贴纸翻单4500200146）</t>
  </si>
  <si>
    <t>7.此单客户指定日期码：202602，产品/包装/外箱保持一致；</t>
  </si>
  <si>
    <t>日期码格式：202602 日期： Tracking Code:
Packaging Info: 1.77711GQ2:【MA 3L EAN版本包装+一张客户进口商贴纸（含西班牙环保标)】+MA 收藏指南+MA 23L说明书+MA 3L PDQ；（贴纸翻单4500200146）；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准时完货，需安排ZURU OQC验货并要求提供客户格式的自检报告给到客户审批放货。 另外，包装贴纸上面的警告语不可以覆盖西班牙警告语。
 5. 此单需要每款准备3套大货样，请注意备料；
 6.注意： 同款产品含PDQ /展示架的外箱条码需要跟item包装条码不一样;
7.此单客户指定日期码：202602，产品/包装/外箱保持一致；</t>
  </si>
  <si>
    <t>4500202801-30</t>
  </si>
  <si>
    <t>一张UPC条码贴+ 防盗贴纸（两款贴纸以及防盗贴纸位置图翻单PO#4500160026） + 6/2外箱贴纸SSCC L
abel</t>
  </si>
  <si>
    <t>4500202800-30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</si>
  <si>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PO#4500202801一起合并计算</t>
  </si>
  <si>
    <t>4500201743-10</t>
  </si>
  <si>
    <t>6/26截SI</t>
  </si>
  <si>
    <t>5/15 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</si>
  <si>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PO#127319,SKU#924808 DC#881-324PCS, DC#884-192PCS, DC#886-348PCS, DC#887-300PCS, DC#888-240PCS</t>
  </si>
  <si>
    <t>ZB06537-8.17</t>
  </si>
  <si>
    <t>4500201744-10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</si>
  <si>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PO#127332,SKU#203673 DC#891-348PCS, DC#894-264PCS, DC#896-216PCS, DC#897-504PCS, DC#898-264PCS</t>
  </si>
  <si>
    <t>ZB06536-8.17</t>
  </si>
  <si>
    <t>4500206324-10</t>
  </si>
  <si>
    <t>6/29BV验货</t>
  </si>
  <si>
    <t>6/3 1*客户价格贴纸+1*（DE+IT）</t>
  </si>
  <si>
    <t>已安排 大货样品3pc 随机球+3set 散件，用于第三方验货+客户签板，请多备包装物料。
如果有PDQ，需要2pcs 空PDQ（客户签板使用）</t>
  </si>
  <si>
    <t>日期码格式：ZURU INC(BVI) 标准格式                  日期：按实际生产日期
Packaging Info: 77711GQ1 INT 版本 MA 3L INT EAN 版本 收缩膜+1*客户价格贴纸+1*（DE+IT）  警语贴纸+MA 5L C 收藏指南+MA 最新版 PDQ+1*客户价格贴纸（同产品上一样）MA 最新版多语纸袋
7.381.989   77711GQ1
Remark: 1. 大货样品3pc 随机球+3set 散件，用于第三方验货+客户签板，请多备包装物料。
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t>
  </si>
  <si>
    <t>4500203154-70</t>
  </si>
  <si>
    <t>5/29警告语贴纸+警告语贴在纸袋子上(贴纸和位置图翻PO#4500183825)</t>
  </si>
  <si>
    <t>日期码格式：ZURU INC(BVI) 标准格式 日期：按实际生产日期 Tracking Code:
Packaging Info:  77711GQ2:MA 3L EAN版收缩膜+警告语贴纸+MA paper bag+警告语贴在纸袋子上(贴纸和位置图翻PO#4500183825)+MA 3L PDQ+MA 5L(23L warning)收藏指南+MA 23L说明书
 Remark: 1/配比跟MA
 2/产品和包装要求无硼无香，包装不能含有PVC
 3/出欧洲，微塑料需合规
4/带电池出货的产品，所用到的电池需要符合欧洲电池新规(EU)2023-1542</t>
  </si>
  <si>
    <t>500-15550</t>
  </si>
  <si>
    <t>4500206200-40</t>
  </si>
  <si>
    <t>ZB06833-8.17</t>
  </si>
  <si>
    <t>4500202849-20</t>
  </si>
  <si>
    <t>6/1UPC贴纸+1张易撕价格贴纸</t>
  </si>
  <si>
    <t>4500205025-30</t>
  </si>
  <si>
    <t>6/3进口商贴纸+外箱贴纸+UPC贴纸，进口商贴纸和UPC贴纸翻单PO4500194136</t>
  </si>
  <si>
    <t>日期码格式：ZURU INC(BVI) 标准格式                  日期：按实际生产日期
Packaging Info: 
77711GQ2:MA 多语包装+进口商贴纸+外箱贴纸+UPC贴纸+箱唛，进口商贴纸和UPC贴纸翻单PO4500194136
Remark: 1.此单有第三方监柜，需要每款多备1套完整物料
2.外箱贴纸只要一张，位置是正唛和侧唛的交接处
3.订单包装上的条码必须是UPC，后续提供的贴纸文档将进口商贴纸和UPC贴纸合并为一张，则可以忽略UPC文档的需求。</t>
  </si>
  <si>
    <t>4500207509-10</t>
  </si>
  <si>
    <t>日期码格式：ZURU  INC(BVI)  标准格式                                    日期：按实际生产日期
Packaging Info: 77711GQ1:  MA  NA  2L  UPC
Remark: 出加拿大
Zuru验货. 日期跟踪码：产品外包装及产品本身都必须有日期跟踪码，ZURU标准格式日期码</t>
  </si>
  <si>
    <t>4500206775-20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</si>
  <si>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5.电子产品需增加一张C版WEEE声明29L通用黑白说明书(不接受A版本，翻译有误)，区分带电池和不带电池出货版本, 如已做客版说明书可忽略此要求；如包装备注
上缺少此部分信息，请提醒跟单更新备注。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</si>
  <si>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4500201727-110</t>
  </si>
  <si>
    <t>5/22客户贴纸(含PT/PL/SI语言+LEC#+客人指定条码+客人指定日期码1346737-26)+额外收藏指南贴纸(含PT/PL/SI语言）</t>
  </si>
  <si>
    <t>交期前两周 5/14前准备好1套大货样给SGS实验室Wendy签板，已安排</t>
  </si>
  <si>
    <t>日期码格式：1346737-26 日期：
Packaging Info: 
77711GQ2-S001-INT：MA3L EAN收缩膜+客户贴纸(含法国回收标+PT/PL/SI语言+客人指定条码+客人指定日期码1346737-26)+MA配件卡+MA5L玩法说明书+额外玩法贴
纸(含PT/PL/SI语言）+MA5L UV Glue 贴纸+额外UV Glue 贴纸(PT/PL/SI语言）+MA纸袋+MA配件卡+MA23L说明书+MA3L展示盒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</si>
  <si>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4500201774-160</t>
  </si>
  <si>
    <t>5/26 额外收藏指南贴纸(含PT/PL/SI语言）需在checkpoints上采购外箱贴纸, 跟单会通过邮件发送采购指引；.</t>
  </si>
  <si>
    <t>交期前两周 5/20前准备好1套大货样给SGS实验室Wendy签板；已安排</t>
  </si>
  <si>
    <t>日期码格式：1346737-26 日期：
Packaging Info: 
77711GQ2-S001-INT：MA3L EAN收缩膜+客户贴纸(含法国回收标+PT/PL/SI语言+客人指定条码+客人指定日期码1346737-26)+MA配件卡+MA5L玩法说明书+额外玩法贴
纸(含PT/PL/SI语言）+MA5L UV Glue 贴纸+额外UV Glue 贴纸(PT/PL/SI语言）+MA纸袋+MA配件卡+MA23L说明书+MA3L展示盒
Remark: 1.预计6/24第三方验货+抽板测试，71126/71172 需每款抽板10-12套左右测试，请多备料；
2.交期前两周前准备好2套大货样给SIPLEC HK OFFICE / 实验室
3.指定日期码1346737-26
4.需在checkpoints上采购外箱贴纸, 跟单会通过邮件发送采购指引；.
5. #71152/71126/71137/9561/71172/9296/9574/9574/77858/77673TQ1 - 带电产品每箱放3包透明颗粒状干燥剂(每包约5g)，包干燥剂的袋子要有"SILICA GEL - D
O NOT EAT - DESSICANT - THROW AWAY " 字样；
6. 包装禁止使用PVC塑料；
7. 此票出法国，需符合EU标准及微塑料法规，包装需含法国回收logo；</t>
  </si>
  <si>
    <t>71SJXACT</t>
  </si>
  <si>
    <t>4500203661-10</t>
  </si>
  <si>
    <t>5/25 SSCC LABEL一张+1张空白贴纸(覆盖在条码位置，尺寸由
工厂自行测量)+1张IT环保标贴纸(参考翻单PO#4500158623）</t>
  </si>
  <si>
    <t>日期码格式：ZURU INC(BVI) 标准格式                  日期：按实际生产日期
Packaging Info: Amazon UK: 71SJXACT
Amazon ES: 316RUOTY
Amazon IT: 2WAQIQAI
UK(77731)/ES(15757/77673)/IT(77673)
1.77731: 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环保标+GPSR邮箱care@zuru.com+新FR&lt;(&gt;&amp;&lt;)&gt;DK&lt;(&gt;&amp;&lt;)&gt;UK地址，参考翻单PO#4500194447)+1张IT环保标贴纸(参考翻单PO#4500158623）；
4.验货时间不迟于2026/06/23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</si>
  <si>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准时完货，需安排ZURU OQC验货并要求提供客户格式的自检报告给到客户审批放货。  另外，包装贴纸上面的警告语不可以覆盖西班牙警告语</t>
  </si>
  <si>
    <t>EAN贴纸+一张客户贴纸 贴纸翻单4500164735）+一张空白贴纸</t>
  </si>
  <si>
    <t>产品/包装/外箱的客户指定日期码是202602，请按要求生产大货，谢谢。</t>
  </si>
  <si>
    <t>已安排此单需要每款准备3套大货样，请注意备料；</t>
  </si>
  <si>
    <t>6/3进口商贴纸+保证书+外箱贴纸，包装/产品都需要贴
一张进口商贴纸，进口商贴纸和UPC贴纸翻单PO4500194136</t>
  </si>
  <si>
    <t>MEC305-P-S002-INT-77711</t>
  </si>
  <si>
    <t>TJX  AUSTRALIA  PTY  LIMITED</t>
  </si>
  <si>
    <t>4500206040-10</t>
  </si>
  <si>
    <t>5/291张客供价格贴纸</t>
  </si>
  <si>
    <t>日期码格式：ZURU INC(BVI) 标准格式 日期：按实际生产日期
Packaging Info: 77711GQ1-INT: 英文MA包装UPC版本（首选1L，无1L可选多语）+1张客供价格贴纸;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5. ZURU QC验货。
 6. 产品和包装上要有tracking label信息：日期码格式为Zuru标准格式；</t>
  </si>
  <si>
    <t>Christine  Liao</t>
  </si>
  <si>
    <t>4500206040-40</t>
  </si>
  <si>
    <t>日期码格式：ZURU INC(BVI) 标准格式 日期：按实际生产日期
Packaging Info: 77711GQ1-INT: 英文MA包装UPC版本（首选1L，无1L可选多语）+1张客供价格贴纸;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5. ZURU QC验货。
 6. 产品和包装上要有tracking label信息：日期码格式为Zuru标准格式；</t>
  </si>
  <si>
    <t>10001865432-3890</t>
  </si>
  <si>
    <t>4500205507-10</t>
  </si>
  <si>
    <t>6/8外箱条码箱贴纸</t>
  </si>
  <si>
    <t>日期码格式：ZURU INC(BVI) 标准格式                  日期：按实际生产日期
Packaging Info: 产品包装(UPC版) MA 1L 收缩膜 +MA 1L PDQ
Remark: 1. 77711GQ2-S002-NA-MINI BRANDS-FILL THE FRIDGE-SERIES 1-CAPSULE,25PCS/Gravity PDQ, 25PCS/PDQ/CTN;
 2. 产品包装(UPC版) MA 1L 收缩膜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</si>
  <si>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ZB06677-8.17</t>
  </si>
  <si>
    <t>10001851995-0581</t>
  </si>
  <si>
    <t>4500204789-10</t>
  </si>
  <si>
    <t>6/8寄出条码箱贴纸</t>
  </si>
  <si>
    <t>ZB06586/ZB06678</t>
  </si>
  <si>
    <t>4500206580-40</t>
  </si>
  <si>
    <t>一张进口商贴纸（含葡萄牙警语+西班牙环保标）+一张产品贴纸，都翻4500195307</t>
  </si>
  <si>
    <t>新品需提供2套大货样品给客人，客人会签回一套，验货后验货员需要封1套板寄给香港办公室，请多备料，具体样板需求详见后续邮件通知</t>
  </si>
  <si>
    <t>日期码格式：LOT2626 日期：
Packaging Info: 
4. 77711: 最新MA 3L EAN收缩膜+最新MA 3L PDQ+最新MA收藏指南+最新MA 纸袋+一张进口商贴纸（含葡萄牙警语+西班牙环保标）+一张产品贴纸，都翻4500195307
Remark: 1. 订单出欧洲国家-西班牙，产品不能含有闪粉/微塑料，请确保所有包装都有西班牙环保标。
2. 客人格式日期码 LOT2626，包装（含收缩膜等）/产品/外箱 请保持一致。
3. 新品需提供2套大货样品给客人，客人会签回一套，验货后验货员需要封1套板寄给香港办公室，请多备料，具体样板需求详见后续邮件通知
4. 需要符合欧洲标准不能含有闪粉和微塑料，否则不合法规会有客诉产生。
5. 硼含量需要符合欧洲标准，否则不合法规会有客诉产生
6. 此客户需要第三方验货，请在约三方验货前必须PASS ZURU验货。
7. 所有带电产品请复核跟单是否有提供客人指定内容的WEEE说明书（不是通用29L版本
8.带干燥剂的产品需要加一张"干燥剂说明书14L”</t>
  </si>
  <si>
    <t>4500206382-40</t>
  </si>
  <si>
    <t>77711箱唛翻单：4500178136</t>
  </si>
  <si>
    <t>5/22寄出1张RFID贴纸</t>
  </si>
  <si>
    <t>日期码格式：ZURU DGYYMMDD CHINA(日期避开周末和法定节假日即可）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
 77673：4pcs/PDQ/CTN</t>
  </si>
  <si>
    <t>ZB06886-8.17</t>
  </si>
  <si>
    <t>4500206382-50</t>
  </si>
  <si>
    <t>ZB06738/ZB06775/ZB06885/ZB06886/ZB06890/ZB06891/ZB06927</t>
  </si>
  <si>
    <t>4500206382-70</t>
  </si>
  <si>
    <t>4500206382-90</t>
  </si>
  <si>
    <t>4500206382-100</t>
  </si>
  <si>
    <t>ZB06775-8.17</t>
  </si>
  <si>
    <t>4500206382-110</t>
  </si>
  <si>
    <t>ZB06890-8.17</t>
  </si>
  <si>
    <t>4500206382-120</t>
  </si>
  <si>
    <t>4500209087-10</t>
  </si>
  <si>
    <t>6/5一张环保标贴纸</t>
  </si>
  <si>
    <t>日期码格式：ZURU INC(BVI) 标准格式                  日期：按实际生产日期
Remark: 1.77711GQ2：最新MA 3L EAN INT版本包装+一张环保标贴纸+MA 23L 警告语说明书+MA 5L 收藏指南+MA 3L PDQ；</t>
  </si>
  <si>
    <t>4500207588-10</t>
  </si>
  <si>
    <t>日期码格式：ZURU INC(BVI) 标准格式 日期：按实际生产日期 Tracking Code:
Packaging Info: 77711GQ2：A 版 3L MA EAN 收缩膜+进口商贴纸（翻4500205388）+含客户款号的EAN条码贴纸（翻4500205388）；A 版 3L MA PDQ/C 版 5L MA 收藏指南
 Remark: 1、若产品有比例使用ZURU STD 比例
 2、所有item 均用MA EAN条码，若包装上的EAN 条码与PO 不一致的请告知</t>
  </si>
  <si>
    <t>4500207784-40</t>
  </si>
  <si>
    <t>4500207784-190</t>
  </si>
  <si>
    <t>4500207784-210</t>
  </si>
  <si>
    <t>已安排大货样品2套/item，用于客人验货签板。验货后还会抽办1套/item，请多备料。球类请寄3套+一套配件；具体详见邮件通知</t>
  </si>
  <si>
    <t>日期码格式：LOT2627                  日期：
Packaging Info:
 3. 77785：客版彩盒（翻4500194447）+最新MA 3L EAN包装+最新MA 3L 彩盒+最新MA 23L说明书+最新MA 5L收藏指南+最新MA 5L包装+一张EAN:4894680050945条码贴
纸（翻4500163212）+两张空白贴纸（贴在球的条码上，翻4500191607）+一张进口商贴纸（含希腊警语+意大利环保标，翻4500202516）+一张产品贴纸（翻45001632
 12）+一张WEEE说明书纸（翻4500163212）
Remark: 1.RATIO 同MA 一致。
2.大货样品2套/item，用于客人验货签板。验货后还会抽办1套/item，请多备料。球类请寄3套+一套配件；具体详见邮件通知
3.客人日期码：LOT2627，包装（含收缩膜等）/产品/外箱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所有带电产品请复核跟单是否有提供客人指定内容的WEEE说明书（非通用29L版本）；如果做了客版说明书，则会将weee说明加进客版说明书中</t>
  </si>
  <si>
    <t>抽办已给到</t>
  </si>
  <si>
    <t>EAN贴纸；(条码贴纸翻单4500166563）+一张空白贴纸</t>
  </si>
  <si>
    <t>日期码格式：ZURU INC(BVI) 标准格式                  日期：按实际生产日期
Remark: 
6.77785 ：最新客版彩盒+EAN贴纸；(条码贴纸翻单4500166563）：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t>
  </si>
  <si>
    <t>4500207743-10</t>
  </si>
  <si>
    <t>语警语折叠贴纸（含包装缺失的法/意/
西环保标）（翻4500197331）</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</si>
  <si>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西环保标）（翻4500197331）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所有订单出口西班牙都需要有法国环保标和法国警语。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
8，MTS所有订单，SMASHERS 或含Slime产品，所有化合物使用低硼版本出；BOB系列要符合欧洲要求不含亚硝酸版本; XShot Hyper系列，统一出EN71版本; Slime M
art统一用EUR版本的包装。
 9. 产品出法国，包装或外箱所用的纸板含有超过 50% 的再生材料。
 10.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</si>
  <si>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okk</t>
  </si>
  <si>
    <t>4500209231-80</t>
  </si>
  <si>
    <t>6/11一张进口商贴纸（含西班牙环保标）+一张PDQ贴纸含EAN条码</t>
  </si>
  <si>
    <t>4. 产品及包装需要印CE logo图标，包装需含有西班牙环保标 和care@zuru.com 邮箱地址，  另外，贴纸不可以覆盖西班牙警告语。QC同事请核查，如有问题需和
跟单确认
6.有关PDQ/展示架的贴纸位置图，客户要求我们贴在PDQ/展示架的底部，这样客户在打开外箱的时候不需要取出产品，即可以扫描条码，在做大货前需帮忙复查下设
计提供的贴纸位置图是否都贴到了底部，避免客诉发生；</t>
  </si>
  <si>
    <t>日期码格式：ZURU INC(BVI) 标准格式                  日期：按实际生产日期
Packaging Info: 
77711GQ1：最新【MA 3L EAN版本收缩膜+一张进口商贴纸（含西班牙环保标）】+【MA 3L PDQ+一张PDQ贴纸含EAN条码】+最新MA 5L收藏指南；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</si>
  <si>
    <t>4500209231-100</t>
  </si>
  <si>
    <t>日期码格式：ZURU INC(BVI) 标准格式                  日期：按实际生产日期
Packaging Info: 
77711SK1：最新【MA 3L EAN版本收缩膜+一张进口商贴纸（含西班牙环保标）】+【MA 3L 展示架+一张展示架贴纸含EAN条码】+最新MA 5L收藏指南；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
7.此单需要准备2套大货样寄到深圳办公室，请注意备料；</t>
  </si>
  <si>
    <t>4500201746-20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</si>
  <si>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PO#127320,SKU#923709 DC#881-456PCS, DC#884-396PCS, DC#886-264PCS, DC#887-564PCS, DC#888-324PCS</t>
  </si>
  <si>
    <t>43CHT26ESCA1071</t>
  </si>
  <si>
    <t>4500203810-20</t>
  </si>
  <si>
    <t>MA 3L EAN收缩膜(4894680043350)FR+ES 回收标贴纸</t>
  </si>
  <si>
    <t>已安排大货样品2套，请多备料。</t>
  </si>
  <si>
    <t>日期码格式：ZURU INC(BVI) 标准格式                  日期：按实际生产日期
Packaging Info:
77711GQ2: 77711GQ2: MA 3L EAN收缩膜(4894680043350)，FR+ES 回收标贴纸，MA 纸袋，  MA 5L UV 贴纸，MA 5L+23L警语收藏指南，  MA 23L警语说明书，MA 5L c
reative说明书，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</si>
  <si>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43CHT26ESCA1077</t>
  </si>
  <si>
    <t>4500203860-20</t>
  </si>
  <si>
    <t>日期码格式：ZURU INC(BVI) 标准格式                  日期：按实际生产日期
Packaging Info:
77711GQ2: 77711GQ2: MA 3L EAN收缩膜(4894680043350)，FR+ES 回收标贴纸，MA 纸袋，  MA 5L UV 贴纸，MA 5L+23L警语收藏指南，  MA 23L警语说明书，MA 5L c
reative说明书，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</si>
  <si>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43CHT26ESCA1083</t>
  </si>
  <si>
    <t>4500203898-20</t>
  </si>
  <si>
    <t>日期码格式：ZURU INC(BVI) 标准格式                  日期：按实际生产日期
Packaging Info: 
77711GQ2: MA 3L EAN收缩膜(4894680043350)，FR+ES 回收标贴纸，MA 纸袋，  MA 5L UV 贴纸，MA 5L+23L警语收藏指南，  MA 23L警语说明书，MA 5L creative说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</si>
  <si>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43CHT26ESCA1088</t>
  </si>
  <si>
    <t>4500203934-20</t>
  </si>
  <si>
    <t>日期码格式：ZURU INC(BVI) 标准格式                  日期：按实际生产日期
Packaging Info:
77711GQ2: MA 3L EAN收缩膜(4894680043350)，FR+ES 回收标贴纸，MA 纸袋，  MA 5L UV 贴纸，MA 5L+23L警语收藏指南，  MA 23L警语说明书，MA 5L creative说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</si>
  <si>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4500201747-20</t>
  </si>
  <si>
    <t>5/15寄出 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</si>
  <si>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PO#127333,SKU#203307 DC#891-468PCS, DC#894-372PCS, DC#896-312PCS, DC#897-696PCS, DC#898-348PCS</t>
  </si>
  <si>
    <t>4500207083-30</t>
  </si>
  <si>
    <t>空白贴纸覆盖UPC 价格贴纸(价贴金额$19.99, 价贴位于PVC桶铜版
纸UPC条形码附近）价贴资料翻单4500191041 6/15寄出2张外箱贴</t>
  </si>
  <si>
    <t>日期码格式：ZURU INC(BVI) 标准格式                  日期：按实际生产日期
Packaging Info: 1. 包材：
#77731: 球使用MA 最新1L UPC收缩膜+空白贴纸覆盖UPC+2L 英法版本 收藏指南 + 23L 说明书 + 3L UPC 铜版纸 + 价格贴纸(价贴金额$19.99, 价贴位于PVC桶铜版
纸UPC条形码附近）价贴资料翻单4500191041，工厂采购，出口美国。
PS: 如包材语言版本有更新，需要联系跟单确认是否需要修改贴纸资料
Remark: 2. 日期跟踪码：产品包装及产品本身都必须有日期跟踪码，并且确保两者的日期跟踪码要一致；ZURU标准格式日期码(请自行调整具体年月日生产期，但不能为周
末）。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此客户有两个PO:
 PO#02198968 SHIP TO NJ,
 PO#02198969 SHIP TO NV,
 5. 出货配比：ZURU 标准配比</t>
  </si>
  <si>
    <t>4500207083-60</t>
  </si>
  <si>
    <t>4500198158-50</t>
  </si>
  <si>
    <t>一张UPC条码贴+ 防盗贴纸（两款贴纸以及防盗贴纸位置图翻单PO#4500160026） + 6/2外箱贴纸SSCC L
 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</si>
  <si>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此单与NZ PO#4500198161一起合并计算</t>
  </si>
  <si>
    <t>4500198158-60</t>
  </si>
  <si>
    <t>4500198161-60</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</si>
  <si>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PO#4500198158一起合并计算，但是77785需要与AU PO#4500189480一起合并计算</t>
  </si>
  <si>
    <t>02428981/1</t>
  </si>
  <si>
    <t>4500195606-50</t>
  </si>
  <si>
    <t>4500199242-60</t>
  </si>
  <si>
    <t>日期码格式：ZURU INC(BVI) 标准格式                  日期：按实际生产日期
Packaging Info: 
"77711GQ1: 最新MA 3L EAN收缩膜+MA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</si>
  <si>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AS191225ZUR15275</t>
  </si>
  <si>
    <t>4500208771-50</t>
  </si>
  <si>
    <t>条码贴纸193052080134（翻单4500190991)+6/13 PDQ 底部贴纸(35063389172313);</t>
  </si>
  <si>
    <t>日期码格式：ZURU INC(BVI) 标准格式 日期：按实际生产日期
Packaging Info: 
77711GQ2:MA EAN 3L-产品条码贴纸193052080134（翻单4500190991)+PDQ 底部贴纸(35063389172313);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t>
  </si>
  <si>
    <t>4500202168-20</t>
  </si>
  <si>
    <t>6/5客供价格贴纸</t>
  </si>
  <si>
    <t>日期码格式：ZURU INC(BVI) 标准格式                  日期：按实际生产日期
Packaging Info: 1. Cus Item
#77731：  MA UPC 现有包装+PVC桶,铜板纸+客供价格贴纸，优先使用MA 1L最新版本
Remark: 1. Cus Item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</si>
  <si>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ZB06988-8.17</t>
  </si>
  <si>
    <t>4500208849-10</t>
  </si>
  <si>
    <t>4500205055-20</t>
  </si>
  <si>
    <t>日期码格式：  标准格式                  日期：按实际生产日期
Packaging Info: 
77711GQ1 MA 2L UPC版本193052080127
Remark: 出加拿大
Zuru验货. 日期跟踪码：产品外包装及产品本身都必须有日期跟踪码，ZURU标准格式日期码</t>
  </si>
  <si>
    <t>AG260054-HK</t>
  </si>
  <si>
    <t>4500208061-20</t>
  </si>
  <si>
    <t>6/21张UPC 条码贴纸(UPC#193052080134)+HK客供警语贴纸（1张贴球底部，1张贴说明书，1张贴收藏
指南）具体参考HK客供警语贴纸位置图</t>
  </si>
  <si>
    <t>所有贴纸不得遮挡日期码</t>
  </si>
  <si>
    <t>日期码格式：ZURU INC(BVI) 标准格式                  日期：按实际生产日期
Packaging Info: 此单出HK, EXW+送货运费实报实销。所有贴纸不得遮挡日期码
77711GQ1  （INT): MA 3L 收缩膜+1张UPC 条码贴纸(UPC#193052080134) + MA 3L PDQ+MA 5L 收藏指南+HK客供警语贴纸（1张贴球底部，1张贴说明书，1张贴收藏
指南）具体参考HK客供警语贴纸位置图
Remark:</t>
  </si>
  <si>
    <t>05712-LNV-FALL</t>
  </si>
  <si>
    <t>4500206390-120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</si>
  <si>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t>
  </si>
  <si>
    <t>4500206706-20</t>
  </si>
  <si>
    <t>丹麦瑞典芬兰挪威警告语贴纸(贴纸和位置图翻Lekia PO#4500192711)+MA paper bag+丹麦/挪威/瑞典/芬兰语警告语贴
 在纸袋子上(贴纸和位置图翻PO#4500183825)+MA 3L PDQ+MA 5L(23L warning)收藏指南+MA 23L说明书</t>
  </si>
  <si>
    <t>日期码格式：ZURU INC(BVI) 标准格式 日期：按实际生产日期
Packaging Info: 2.77711GQ2-S002-INT:MA 3L EAN版收缩膜+丹麦瑞典芬兰挪威警告语贴纸(贴纸和位置图翻Lekia PO#4500192711)+MA paper bag+丹麦/挪威/瑞典/芬兰语警告语贴
 在纸袋子上(贴纸和位置图翻PO#4500183825)+MA 3L PDQ+MA 5L(23L warning)收藏指南+MA 23L说明书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77711GQ2-S002-INT:4894680043350</t>
  </si>
  <si>
    <t>4500206706-30</t>
  </si>
  <si>
    <t>丹麦瑞典芬兰挪威警告语贴纸(贴纸和位置图翻Lekia PO#4500192711)+MA paper bag+丹麦/挪威/瑞典/芬兰语警告语贴
 在纸袋子上(贴纸和位置图翻PO#4500183825)+MA 3L 展示架+MA 5L(23L warning)收藏指南+MA 23L说明书</t>
  </si>
  <si>
    <t>日期码格式：ZURU INC(BVI) 标准格式 日期：按实际生产日期
Packaging Info:  3.77711SK1-S002-INT:MA 3L EAN版收缩膜+丹麦瑞典芬兰挪威警告语贴纸(贴纸和位置图翻Lekia PO#4500192711)+MA paper bag+丹麦/挪威/瑞典/芬兰语警告语贴
 在纸袋子上(贴纸和位置图翻PO#4500183825)+MA 3L 展示架+MA 5L(23L warning)收藏指南+MA 23L说明书
Remark: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77711SK1-S002-INT:4894680043350</t>
  </si>
  <si>
    <t>4500206244-10</t>
  </si>
  <si>
    <t>每箱两张彩色贴纸, 彩色产品贴纸翻单PO#4500182810 6/10寄出 防盗贴</t>
  </si>
  <si>
    <t>此单指定日期码：DG20260629。</t>
  </si>
  <si>
    <t>补签样</t>
  </si>
  <si>
    <t>日期码格式：ZURU INC(BVI) 标准格式                  日期：2026-06-29
Packaging Info: 1)客版PDQ翻单PO#4500182810，最新版ZURU MA UPC包装(优先1L)，出口美国。如有说明书请使用ZURU MA说明书，优先放1L英语。
 2)ZURU标准日期码格式：工厂城市缩写+生产年月日。此单指定日期码：DG20260629。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
Remark: 客户PO# 59891545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</si>
  <si>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ZB07007/ZB07008/ZB07009/ZB07010/ZB07011</t>
  </si>
  <si>
    <t>4500209339-30</t>
  </si>
  <si>
    <t>大货样品2套，请多备料</t>
  </si>
  <si>
    <t>日期码格式：ZURU  INC(BVI)  标准格式                                    日期：按实际生产日期
Packaging Info: 
77711GQ1:  最新MA  3L  PDQ+3LEAN包装+德语警语贴纸(翻单#4500180408)+5L收藏指南/DIY说明书+23L说明书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大货样品2套，请多备料
6.  标准配比</t>
  </si>
  <si>
    <t>4500208767-30</t>
  </si>
  <si>
    <t>7/10第三方验货, 新品需要准备三套大货样用于签样验货和给客户留底；</t>
  </si>
  <si>
    <t>新品需要准备三套大货样用于签样验货和给客户留底；</t>
  </si>
  <si>
    <t>日期码格式：ZURU INC(BVI) 标准格式                  日期：按实际生产日期
Packaging Info: 
77711GQ2:MA EAN 3L+挪威语警语贴纸(翻单4500162231)
Remark: 1. 产品和包装要求无硼无香，包装不能含有PVC，  成分不能含石棉；
 2. 如有微塑料，必须合规欧洲标准，并增加IFUD说明书
 3. 此订单有第三方验货, 新品需要准备三套大货样用于签样验货和给客户留底；
 4. 所用电池需要符合欧洲电池新规(EU)2023-1542；</t>
  </si>
  <si>
    <t>PO0001902</t>
  </si>
  <si>
    <t>4500210024-30</t>
  </si>
  <si>
    <t>进口商贴纸翻单4500200392</t>
  </si>
  <si>
    <t>日期码格式：ZURU INC(BVI) 标准格式                  日期：按实际生产日期
Packaging Info: 
77711GQ1: MA NA 2L UPC
Remark: 出加拿大
每款产品都需要加进口商贴纸，进口商贴纸翻单4500200392
Zuru验货. 日期跟踪码：产品外包装及产品本身都必须有日期跟踪码，ZURU标准格式日期码</t>
  </si>
  <si>
    <t>4500206168-10</t>
  </si>
  <si>
    <t>PDQ折页（同翻单4500183538，放在PDQ顶部，
开箱可以看到）</t>
  </si>
  <si>
    <t>日期码格式：ZURU INC(BVI) 标准格式                  日期：07-08-2026
Packaging Info: MA 1L 收缩膜 + WIC 贴纸  （WIC # 750358，同翻单4500183538）  + MA 收藏指南 + 客版PDQ (同翻单4500183538）+ PDQ折页（同翻单4500183538，放在PDQ顶部，
开箱可以看到）
Remark: 产品和包装上要有zuru标准格式tracking code DG2026708 产品和包装的日期要一致 ，如果无法一致需要提前确认。</t>
  </si>
  <si>
    <t>ZB06861-8.17</t>
  </si>
  <si>
    <t>4500206168-20</t>
  </si>
  <si>
    <t>4500206168-30</t>
  </si>
  <si>
    <t>4500206168-40</t>
  </si>
  <si>
    <t>4500206168-50</t>
  </si>
  <si>
    <t>4500206168-60</t>
  </si>
  <si>
    <t>4500206168-70</t>
  </si>
  <si>
    <t>4500206168-80</t>
  </si>
  <si>
    <t>4500205041-90</t>
  </si>
  <si>
    <t>6/17寄出价标贴纸，进口商贴纸和UPC贴纸翻单PO4500194320</t>
  </si>
  <si>
    <t>日期码格式：ZURU INC(BVI) 标准格式                  日期：按实际生产日期
Packaging Info:
77770GQ2/77711GQ2:MA 多语包装+进口商贴纸+UPC贴纸+价标贴纸+箱唛，进口商贴纸和UPC贴纸翻单PO4500194320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3.如进口商贴纸和UPC贴纸合并为一张，请忽略UPC贴纸文档的需求</t>
  </si>
  <si>
    <t>4500202901-110</t>
  </si>
  <si>
    <t>进口商贴纸+UPC贴纸+6/18寄出价标贴纸,进口商贴纸和UPC贴纸翻单PO4500199969</t>
  </si>
  <si>
    <t>日期码格式：ZURU INC(BVI) 标准格式                  日期：按实际生产日期
Packaging Info: 
77711GQ2:MA多语包装+进口商贴纸+UPC贴纸+价标贴纸+箱唛,进口商贴纸和UPC贴纸翻单PO4500199969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3.如后续进口商贴纸和UPC贴纸合并为一张，请忽略UPC的需求，包装上的条码必须是UPC。</t>
  </si>
  <si>
    <t>4500208737-60</t>
  </si>
  <si>
    <t>7/16BV</t>
  </si>
  <si>
    <t>6/18寄出1张RFID贴纸</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</si>
  <si>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</si>
  <si>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ZB07339-8.17</t>
  </si>
  <si>
    <t>4500208737-70</t>
  </si>
  <si>
    <t>ZB07041/ZB07175/ZB07201/ZB07202/ZB07304/ZB07339/ZB07340</t>
  </si>
  <si>
    <t>4500208737-80</t>
  </si>
  <si>
    <t>4500208737-90</t>
  </si>
  <si>
    <t>ZB07340-8.17</t>
  </si>
  <si>
    <t>4500208737-100</t>
  </si>
  <si>
    <t>4500208737-110</t>
  </si>
  <si>
    <t>4500208737-120</t>
  </si>
  <si>
    <t>ZB07304-8.17</t>
  </si>
  <si>
    <t>4500200487-70</t>
  </si>
  <si>
    <t>6/5价标贴纸+6/12进口商贴纸，一张空白贴纸贴住EAN条码+价标贴纸+进口商贴纸</t>
  </si>
  <si>
    <t>日期码格式：ZURU INC(BVI) 标准格式 日期：按实际生产日期
Packaging Info: 
77731: MA 3L UPC 包装+3L 收缩膜上加一张空白贴纸贴住EAN条码+价标贴纸+进口商贴纸+箱唛;
Remark:</t>
  </si>
  <si>
    <t>4500200487-80</t>
  </si>
  <si>
    <t>4500204920-70</t>
  </si>
  <si>
    <t>43CHT26ESCA1064</t>
  </si>
  <si>
    <t>4500203798-10</t>
  </si>
  <si>
    <t>MA 3L EAN收缩膜(4894680043350)6/3 FR+ES 回收标贴纸</t>
  </si>
  <si>
    <t>日期码格式：ZURU INC(BVI) 标准格式                  日期：按实际生产日期
Packaging Info: 77711GQ2: 77711GQ2: MA 3L EAN收缩膜(4894680043350)，FR+ES 回收标贴纸，MA 纸袋，  MA 5L UV 贴纸，MA 5L+23L警语收藏指南，  MA 23L警语说明书，MA 5L c
reative说明书，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</si>
  <si>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4500206023-50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</si>
  <si>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包装需要用UPC贴纸覆盖）+箱唛+进口商贴纸
Remark:</t>
  </si>
  <si>
    <t>6L6Y977J</t>
  </si>
  <si>
    <t>4500206305-380</t>
  </si>
  <si>
    <t>日期码格式：ZURU INC(BVI) 标准格式                  日期：按实际生产日期
Packaging Info: 
 4. #77731:2PK  #77711入PVC桶，收藏指南，说明书均为MA 2L标版，2L 无UPC版收缩膜,2PK铜版纸翻单#4500194447。（两个球的配比不能重复）。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</si>
  <si>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31M79YAN</t>
  </si>
  <si>
    <t>4500206305-390</t>
  </si>
  <si>
    <t>2YSEUV2H</t>
  </si>
  <si>
    <t>4500206305-400</t>
  </si>
  <si>
    <t>88N4MOBA</t>
  </si>
  <si>
    <t>4500206308-10</t>
  </si>
  <si>
    <t>日期码格式：ZURU INC(BVI) 标准格式                  日期：按实际生产日期
Packaging Info: 1. #77731:2PK  #77711入PVC桶，收藏指南，说明书均为MA 2L标版，2L 无UPC版收缩膜,2PK铜版纸翻单#4500194447。（两个球的配比不能重复）。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</si>
  <si>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7UVHSISJ</t>
  </si>
  <si>
    <t>4500206308-20</t>
  </si>
  <si>
    <t>52ON6AOT</t>
  </si>
  <si>
    <t>4500206329-30</t>
  </si>
  <si>
    <t>日期码格式：ZURU INC(BVI) 标准格式                  日期：按实际生产日期
Packaging Info: 
#77731:2PK  #77711入PVC桶，收藏指南，说明书均为MA 2L标版，2L 无UPC版收缩膜,2PK铜版纸翻单#4500194447。（两个球的配比不能重复）。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</si>
  <si>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7S3B16XJ</t>
  </si>
  <si>
    <t>4500206329-40</t>
  </si>
  <si>
    <t>5S52ZXXS</t>
  </si>
  <si>
    <t>4500206329-50</t>
  </si>
  <si>
    <t>6J353W8P</t>
  </si>
  <si>
    <t>4500206329-60</t>
  </si>
  <si>
    <t>3P3ZUMMY</t>
  </si>
  <si>
    <t>4500206329-70</t>
  </si>
  <si>
    <t>73DUWYBU</t>
  </si>
  <si>
    <t>4500206339-60</t>
  </si>
  <si>
    <t>4. 包装必须含法国回收logo标识, 最新版ZURU logo；客版日期码LOT2627</t>
  </si>
  <si>
    <t>已安排大货样品2套/item，用于客人验货签板。验货后还会抽办1套/item，请多备料</t>
  </si>
  <si>
    <t>10001788264-3890</t>
  </si>
  <si>
    <t>4500208412-10</t>
  </si>
  <si>
    <t>6/25寄出条码箱贴纸</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</si>
  <si>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</si>
  <si>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ZB07127-8.17</t>
  </si>
  <si>
    <r>
      <rPr>
        <sz val="11"/>
        <color rgb="FF0000FF"/>
        <rFont val="宋体"/>
        <charset val="134"/>
      </rPr>
      <t>ASIA</t>
    </r>
    <r>
      <rPr>
        <sz val="11"/>
        <color rgb="FF0000FF"/>
        <rFont val="宋体"/>
        <charset val="0"/>
      </rPr>
      <t xml:space="preserve">  GOAL  LIMITED</t>
    </r>
  </si>
  <si>
    <t>6/13寄出1张空白贴纸覆盖条码+MA 收藏指南+ MA 说明书+球底部贴1张客供警语贴纸，收藏指南贴一张客供警语贴纸，说明书贴一
张客供警语贴纸</t>
  </si>
  <si>
    <t>4500202230-20</t>
  </si>
  <si>
    <t>日期码格式：ZURU INC(BVI) 标准格式                  日期：按实际生产日期
Packaging Info:
77711: 最新MA 3LEAN包装+德语警语贴纸(翻单#4500161168)+5L收藏指南/DIY说明书+5L纸袋+23L说明书
Remark: 1. 需要满足Zuru Standard欧洲标准测试要求,微塑料需符合法规；；
 2. 请准时出货，推期会有罚款；
 3. 所有出往GAS市场(德国/奥地利/瑞士)的电子产品身上需要加字唛，为ZURU FRANCE 地址 (如无电子产品，产品布标有此地址，或产品太小无法增加可忽略此信息
。如产品无法加字唛，需让对应跟单提供产品贴纸资料)
ZURU France 33 rue Paul Meurice 75020 Paris, France
 4. 所有出往GAS市场(德国/奥地利/瑞士)的电子产品需增加一张欧洲通用WEEE声明说明书，区分带电池和不带电池版本, 如已做客版说明书可忽略此要求。
 5. 所有出往GAS市场(德国/奥地利/瑞士)订单，化学品需无堋无香版本
 6. 标准配比
 7. 大货样品3套，请多备料</t>
  </si>
  <si>
    <t>4500208596-100</t>
  </si>
  <si>
    <t>日期码格式：ZURU  INC(BVI)  标准格式                                    日期：按实际生产日期
Packaging Info: 
77711GQ2：MA  A版3L  收缩膜+UPC  label,  MA  复合袋+  C版5L  收藏指南+B版23L说明书+MA  A版5L创意说明书，MA  A版3L  PDQ  ，加进口商贴纸
Remark: 1、若产品有比例使用ZURU  STD  比例；
   2、所有item的包装需要有CE  logo，均用MA  UPC  条码，若包装不是UPC  条码的请告知；
   3、此单出欧洲需满足EU测试标准要求。含有闪粉类的产品，闪粉必须符合欧盟要求且可降解；电池产品（带电池/不带电池走货）需要添加WEEE通用说明书；
   4、电池产品请确保使用新说明书以及新标识的电池以符合最新(EU)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</si>
  <si>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4500201748-10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</si>
  <si>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分3-5个DC出货，每款产品每个DC的箱唛资料不同，具体DC数量如下：
item#77731: Marshalls PO#127321,SKU#924307 DC#881-288PCS, DC#884-240PCS, DC#886-336PCS, DC#887-288PCS, DC#888-252PCS</t>
  </si>
  <si>
    <t>ZB06806-8.17</t>
  </si>
  <si>
    <t>4500201749-10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</si>
  <si>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PO#127334,SKU#204183 DC#891-372PCS, DC#894-240PCS, DC#896-252PCS, DC#897-432PCS, DC#898-300PCS</t>
  </si>
  <si>
    <t>ZB06807-8.17</t>
  </si>
  <si>
    <t>日期码格式：ZURU INC(BVI) 标准格式                  日期：按实际生产日期
Packaging Info: 77785:MA 3L UPC包装+一张客供价格贴纸+D版29L带电池出货版本WEEE说明书+1张客供价格贴纸
77785:MA 3L UPC包装+一张客供价格贴纸+D版29L带电池出货版本WEEE说明书+1张客供价格贴纸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</si>
  <si>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4500198940-30</t>
  </si>
  <si>
    <t>丹麦瑞典芬兰挪威警告语贴纸(贴纸和位置翻单4500194886)+丹麦/挪威/瑞典/芬兰语警告语贴在纸袋子上(贴纸和位置图翻
PO#4500183825)</t>
  </si>
  <si>
    <t>日期码格式：ZURU INC(BVI) 标准格式 日期：按实际生产日期
Packaging Info: 
77711:MA 3L EAN版收缩膜+丹麦瑞典芬兰挪威警告语贴纸(贴纸和位置翻单4500194886)+MA paper bag+丹麦/挪威/瑞典/芬兰语警告语贴在纸袋子上(贴纸和位置图翻
PO#4500183825)+MA 5L(23L warning)收藏指南+MA 23L说明书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77711-S001-INT-4894680043350</t>
  </si>
  <si>
    <t>43CHT26ESCA1092</t>
  </si>
  <si>
    <t>4500204176-20</t>
  </si>
  <si>
    <t>日期码格式：ZURU INC(BVI) 标准格式                  日期：按实际生产日期
Packaging Info: MEC426: MA 3L 展示架
77711GQ2: MA 3L EAN收缩膜(4894680043350)，FR+ES 回收标贴纸，MA 纸袋，  MA 5L UV 贴纸，MA 5L+23L警语收藏指南，  MA 23L警语说明书，MA 5L creative说
明书，  MA 3L PDQ
Remark: 1.大货样品2套，请多备料。
 2. 出口欧洲，所有产品微塑料需符合法规。
 3. 产品、包装、外箱日期码需一致。
 4. 空白纸箱: 在正唛（只1面）加多虚线15 x 10.5 cm ( 高x 宽) 距箱左边2cm，  距箱底 3cm，虚线内1张外箱贴纸（在checkpoint网站上订）Custeomer Service:
 Erica Lun Tel.+852 2995 8399/erica.lun@checkpt.com
 5. 所有包装材料禁止使用PVC，需改用PET材料。
 6. 要求使用双坑纸箱，外箱尺寸超出7%有350USD的罚款，请注意外箱尺寸变更不能超出7%。下表客人系统外箱尺寸FYI.
8.所有出往欧洲市场订单的电子产品需增加一张WEEE声明说明书，区分带电池和不带电池版本, 如已做客版说明书可忽略此要求。</t>
  </si>
  <si>
    <t>4500204166-30</t>
  </si>
  <si>
    <t>4500210346-10</t>
  </si>
  <si>
    <t>日期码格式：ZURU INC(BVI) 标准格式                  日期：按实际生产日期
Packaging Info: 1.包装要求：
77711GQ4-S001-NA: MA 1L A版收缩膜+MA 2L A版收藏指南+MA 说明书+客版1L PDQ，翻单：4500159672
每pcs产品上要贴1张RFID贴纸，贴纸由ZURU提供，贴纸位置请严格按照我们签回的签板；
Remark: 1.包装要求：
77711GQ4-S001-NA: MA 1L A版收缩膜+MA 2L A版收藏指南+MA 说明书+客版1L PDQ，翻单：4500159672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此单验货，请多备料
 6. 此单以loose carton出货，
 77711：16pcs/PDQ/CTN</t>
  </si>
  <si>
    <t>ZB07128/ZB07174/ZB07203/ZB07224/ZB07436/ZB07437/ZB07438</t>
  </si>
  <si>
    <t>4500210346-20</t>
  </si>
  <si>
    <t>4500210346-30</t>
  </si>
  <si>
    <t>ZB07203-8.17</t>
  </si>
  <si>
    <t>4500210346-40</t>
  </si>
  <si>
    <t>4500210346-60</t>
  </si>
  <si>
    <t>4500210346-70</t>
  </si>
  <si>
    <t>ZB07438-8.17</t>
  </si>
  <si>
    <t>4500210346-80</t>
  </si>
  <si>
    <t>AMAZON  MEXICO,  S.  DE  R.L.  DE  CV</t>
  </si>
  <si>
    <t>61G2F6P0</t>
  </si>
  <si>
    <t>4500207304-10</t>
  </si>
  <si>
    <t>6/12SSCC  lable+6/8进口商贴纸</t>
  </si>
  <si>
    <t>Amazon FOB订单，出口Mexico，外箱最长边不能超过25" （超过了，casepack只能为1），不符合要求的大货，一律不接受。</t>
  </si>
  <si>
    <t>从此单开始切换新收藏指南</t>
  </si>
  <si>
    <t>日期码格式：ZURU INC(BVI) 标准格式 日期：按实际生产日期
Packaging Info: 77731: 2PK STD #77711入PVC桶，2PK铜版纸，收藏指南，收缩膜，说明书均为MA 3L或以上 标版。UPC 收缩膜（两个球的配比不能重复）；SSCC lable+进口商贴
 纸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Label
 贴在外箱正面的正中间，贴一面即可，跟单订购，贴纸离外箱距必须至少3cm,每一张SSCC Label都是唯一且有不同流水及条码的，没有损耗，绝对不可贴错，否
 则贴错或损坏一张会导致全部都错，千万要注意！
 2. 日期码使用ZURU标准版</t>
  </si>
  <si>
    <t>Candy  Liu</t>
  </si>
  <si>
    <t>2QGM8HXH</t>
  </si>
  <si>
    <t>4500207304-110</t>
  </si>
  <si>
    <t>10001914807-0
581</t>
  </si>
  <si>
    <t>4500210470-10</t>
  </si>
  <si>
    <t>6/29寄出条码箱贴纸</t>
  </si>
  <si>
    <t>ZB06963-8.17</t>
  </si>
  <si>
    <t>4500206695-10</t>
  </si>
  <si>
    <t>每箱两张彩色贴纸, 彩色产品贴纸翻单PO#4500182810 防盗贴</t>
  </si>
  <si>
    <t>日期码格式：ZURU INC(BVI) 标准格式                  日期：2026-07-07
Packaging Info: 1) 客版PDQ翻单PO#4500182810，最新版ZURU MA UPC包装(优先1L)，出口美国。如有说明书请使用ZURU MA说明书，优先放1L英语。
 2)ZURU标准日期码格式：工厂城市缩写+生产年月日。此单指定日期码：DG20260707。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每个球贴一张客供防盗贴，贴在收缩膜上，防盗贴由跟单采购，供应商直接发货到工厂。防盗贴贴纸位置和PO#4500182810确认的位置一致。
Remark: 客户PO# 60248282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</si>
  <si>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ZB07204/ZB07205/ZB07206/ZB07207/ZB07208/ZB07209</t>
  </si>
  <si>
    <t>2C84W9</t>
  </si>
  <si>
    <t>4500209509-10</t>
  </si>
  <si>
    <t>7月16日早上第三方TUV来厂做100%大货验货+抽样。请务必7.15前完成大货生产以及ZURU QC的验货。并当天14点前提供验货报告+大货图片给跟单。</t>
  </si>
  <si>
    <t>箱唛：翻4500176962 &lt;(&gt;&amp;&lt;)&gt; 4500181787。</t>
  </si>
  <si>
    <t>日期码格式：DOLLAR GENERAL 客日期码                  日期：
Packaging Info:#77711GQ5-S002-NA-PKC 客版PDQ + 内袋警示语AWS + 客版收缩膜，请有说明书收藏指南等，请优先使用MA 1L。
Remark: 1.包装：
#77711GQ5-S002-NA-PKC 客版PDQ + 内袋警示语AWS + 客版收缩膜，请有说明书收藏指南等，请优先使用MA 1L。客aws跟单邮件发送 。
特别说明：此单开始#77711按移除pizza hut mini的版本出货的了；DG这单的指南用的是STD版本，可直接配套用C版指南；而收缩膜的话应该是没有pizza hut mini
的AW的；PDQ的话也帮确认下有无pizza hut mini.
客户要求：  "产品和包装不能含有PFAS 物质以及1,4 dioxane" 客户指定实验室做测试，请确保产品可以过美国标准ASTM F963-23测试。
#77555GQ3、77111GQ5 必须是双坑外箱
2. 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#77711GQ5：31328202H26
(2)产品日期码：
#77711GQ5：DOLGEN31328202H26（打在球壳上）
后三位H26代表26年8月的ETD 。
（3）UPC条形码：
 #77711GQ5:193052080127
 3. 无价贴。
 4. 无样板需求
 5. 验货抽样事宜：
7月16日早上第三方TUV来厂做100%大货验货+抽样。请务必7.15前完成大货生产以及ZURU QC的验货。并当天14点前提供验货报告+大货图片给跟单。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</si>
  <si>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ZB07463-8.17</t>
  </si>
  <si>
    <t>2C84X0</t>
  </si>
  <si>
    <t>4500209509-30</t>
  </si>
  <si>
    <t>4500200493-90</t>
  </si>
  <si>
    <t>6/12UPC条码贴纸+6/5价标贴纸+进口商贴纸，加一张空白贴纸贴住EAN条码+价标贴纸+进口商贴纸</t>
  </si>
  <si>
    <t>4500200493-100</t>
  </si>
  <si>
    <t xml:space="preserve"> 8/3~8/4</t>
  </si>
  <si>
    <t>4500211201-10</t>
  </si>
  <si>
    <t>7/13 -7/19</t>
  </si>
  <si>
    <t>4500203225-90</t>
  </si>
  <si>
    <t>日期码格式：ZURU INC(BVI) 标准格式                  日期：按实际生产日期
Packaging Info: 1.优先多语 MA UPC或者3L/5L MA EAN 包装
2.请确保包装上的条形码是UPC，如果是babyUPC、需要用mother UPC覆盖，如有不一致，请及时提出。谢谢!
77782GQ1 MA 客版UPC 包装+MA 多语说明书/+MA 多语收藏指南 +MA 客版多语 PDQ+箱唛
Remark: 
77782GQ1</t>
  </si>
  <si>
    <t>4500203841-50</t>
  </si>
  <si>
    <t>进口商贴纸，进口商贴纸翻单PO4500191577</t>
  </si>
  <si>
    <t>收藏指南采用C版</t>
  </si>
  <si>
    <t>日期码格式： ZURU INC(BVI) 标准格式 日期：按实际生产日期
Packaging Info: 
77782GQ1:客版收缩膜+客版PDQ+客版收藏指南+进口商贴纸+箱唛，客版收缩膜+客版PDQ翻单PO4500161302,客版收藏指南后续重新放文档（因为去掉pizza 的mini）
，进口商贴纸翻单PO4500191577
其余item：MA 多语包装+进口商贴纸+UPC贴纸+箱唛
Remark</t>
  </si>
  <si>
    <t>客版收缩膜已转档确认，大货前签样</t>
  </si>
  <si>
    <t>4500208747-50</t>
  </si>
  <si>
    <t>1*警告语贴纸(贴纸和位置图翻Lekia PO#4500192711)+MA paper bag+1*警告语贴在纸袋子上(贴纸和位置图翻PO#4500183825)</t>
  </si>
  <si>
    <t>日期码格式：ZURU INC(BVI) 标准格式 日期：按实际生产日期
Packaging Info: 
77711GQ2:MA 3L EAN版收缩膜+1*警告语贴纸(贴纸和位置图翻Lekia PO#4500192711)+MA paper bag+1*警告语贴在纸袋子上(贴纸和位置图翻PO#4500183825)+MA 3L
PDQ+MA 5L(23L warning)收藏指南+MA 23L说明书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</si>
  <si>
    <t>2MFVV95N</t>
  </si>
  <si>
    <t>4500208520-270</t>
  </si>
  <si>
    <t>7/21-7/25</t>
  </si>
  <si>
    <t>1张空白贴纸(覆盖在条码位置，尺寸
由工厂自行测量)+客版3L(5L warning UPC) INT PVC筒彩卡(UPC#+英法德意西5L警示语+FR/
ES环保标+GPSR邮箱care@zuru.com+新FR&lt;(&gt;&amp;&lt;)&gt;DK&lt;(&gt;&amp;&lt;)&gt;UK地址，参考翻单PO#4500194447)+1张IT环保标贴纸(参考翻单PO#4500158623）；+ 6/18 SSCC LABEL一张</t>
  </si>
  <si>
    <t>日期码格式：ZURU INC(BVI) 标准格式 日期：按实际生产日期
Packaging Info: Amazon UK: 8NO1KWXI / 8IVBDN4H / 2J1TGLJV
Amazon DE: 515LASMW
Amazon ES: 2MFVV95N
Amazon FR: 7UWOUD1I
Amazon UK(15752BDE/15726L/71137/15746D/92119B/15710A/15754H/15750E/
15726AD)/DE(15746B/15750G/77785/15763E)/ES(15752BDEH/77785/77731)/
FR(15752ABH/77731)
13.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ES环保标+GPSR邮箱care@zuru.com+新FR&lt;(&gt;&amp;&lt;)&gt;DK&lt;(&gt;&amp;&lt;)&gt;UK地址，参考翻单PO#4500194447)+1张IT环保标贴纸(参考翻单PO#4500158623）；
14. 验货时间不迟于2026/07/14.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</si>
  <si>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7UWOUD1I</t>
  </si>
  <si>
    <t>4500208520-310</t>
  </si>
  <si>
    <t>4500209995-10</t>
  </si>
  <si>
    <t>6/5寄出一张客供价格贴纸+一张警告语贴纸（德语/荷兰语/波兰语）翻单：4500201132</t>
  </si>
  <si>
    <t>日期码格式：ZURU INC(BVI) 标准格式                  日期：按实际生产日期
Packaging Info: 77711GQ1:MA A版3L PDQ+MA A版3L EAN包装+一张客供价格贴纸+一张警告语贴纸（德语/荷兰语/波兰语）翻单：4500201132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</si>
  <si>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6GSL7OBJ</t>
  </si>
  <si>
    <t>4500210758-170</t>
  </si>
  <si>
    <t>6/26寄出SSCC Label(客供贴纸，由跟单订购)</t>
  </si>
  <si>
    <t>日期码格式：ZURU  INC(BVI)  标准格式                                    日期：按实际生产日期
Packaging Info:#77731:2PK    #77711入PVC桶，收藏指南，说明书均为MA  2L标版，2L  无UPC版收缩膜,2PK铜版纸翻单#4500194447。（两个球的配比不能重复）。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</si>
  <si>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4500203219-30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</si>
  <si>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Remark: 
77673 3PCS AG13 BATTERIES(INCLUDED) Fixed Collection
"</t>
  </si>
  <si>
    <t>4500203222-30</t>
  </si>
  <si>
    <t>6/9UPC 贴纸</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</si>
  <si>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MEC426:MA多语EAN包装+mother UPC 193052101600 贴纸+MA 多语说明书+MA多语收藏指南+箱唛
Remark: 
77673 3PCS AG13 BATTERIES(INCLUDED) Fixed Collection</t>
  </si>
  <si>
    <t>77899SLT-77711-S001-INT</t>
  </si>
  <si>
    <t>5.77899SLT-S001-INT:安排产中10%抽板测试:预计抽板时间:2026/7/7 + 第三方验货 预计 2026/7/20;2*40HQ(5400PCS*2)</t>
  </si>
  <si>
    <t>日期码格式：ZURU INC(BVI) 标准格式                  日期：按实际生产日期
Packaging Info: 1. 所有日期码印在彩盒上，产品上也需要印日期码. 按实际生产日期，ZURU 标准版格式的日期码。
 2. 纸箱唛头：纸箱四面，正唛和背面两面都需印刷，其他2面侧面留空,按照箱唛要求排版。
 3. 确保展示架在入外箱的时候一定要正面对着有印刷箱唛的那面,不可以装反。
5.77899SLT-S001-INT:安排产中10%抽板测试:预计抽板时间:2026/7/7 + 第三方验货 预计 2026/7/20;2*40HQ(5400PCS*2)
Remark: 77899SLT-S001-INT：S001-INT-MINI BRANDS-FILL THE FRIDGE-SERIES 1-1PK FILL THE FRIDGE PLAYSET (WITH 4 EXTRA MINIS) AND 3PK INT CAPSULES(REMOVE MI
NIS) COMBO IN COLOR BOX,75PCS/DISPLAY/SLIP SHEET
1.客版包装: 客版彩盒+ 客版PDQ+客版收缩膜+客版收藏指南+（箱唛参考翻单号PO#4500156334)+日语进口商贴纸
2. Minis: 移除costco 1个独家的披萨+3个标版的必胜客披萨+移除1个Kikkoman-Soy Sauce</t>
  </si>
  <si>
    <t>4500209354-10</t>
  </si>
  <si>
    <t>日期码格式：ZURU INC(BVI) 标准格式                  日期：按实际生产日期
Packaging Info: 请确保包装上的条形码是UPC，如果是babyUPC，需要用mother UPC覆盖，如有不一致，请及时提出。谢谢!
77711GQ1 MA 多语 EAN 包装+UPC 贴纸+MA 多语说明书/MA 多语收藏指南+MA多语PDQ+进口商贴纸+箱唛
77711GQ/77673 CRD 7/13,77858/77772GQ1/77794UQ1  CRD 8/12
Remark:</t>
  </si>
  <si>
    <t>4500207216-10</t>
  </si>
  <si>
    <t>客版收缩膜(英法德callout/英法德意荷警语/法国环保logo)翻单4500155592  + creative说明书荷兰语贴纸(翻单4500155592）</t>
  </si>
  <si>
    <t>日期码格式：ZURU INC(BVI) 标准格式                  日期：按实际生产日期
Packaging Info: 77711GQ2: 最新MA 3L PDQ+客版收缩膜(英法德callout/英法德意荷警语/法国环保logo)翻单4500155592 +MA23L 说明书+MA 5+23L警语收藏指南+ MA 5L creative说
明书 + creative说明书荷兰语贴纸(翻单4500155592）
EAN: 4894680043350
2025/12/15更新：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7.包装日期码按ZURU格式即可，请确保不迟于外箱日期码，可等于或者早于外箱日期码，必须为法定工作日。
8.做货前请先复核包装条码与订单是否一致再安排，对不上的需与ZURU跟单确认再安排。</t>
  </si>
  <si>
    <r>
      <rPr>
        <sz val="11"/>
        <color rgb="FF0000FF"/>
        <rFont val="宋体"/>
        <charset val="134"/>
      </rPr>
      <t>CANDIDE</t>
    </r>
    <r>
      <rPr>
        <sz val="11"/>
        <color rgb="FF0000FF"/>
        <rFont val="宋体"/>
        <charset val="0"/>
      </rPr>
      <t xml:space="preserve">  IND  E  COM  LTDA</t>
    </r>
  </si>
  <si>
    <t>BR26318</t>
  </si>
  <si>
    <t>4500210869-10</t>
  </si>
  <si>
    <t>日期码格式：ZURU  INC(BVI)  标准格式                                    日期：按实际生产日期
Packaging Info: MA  多语包装+进口商贴纸+箱唛+空白贴纸（空白贴纸覆盖原条码）,进口商贴纸+空白贴纸翻单PO4500193066
Remark: 外箱胶带要用CANDIDE  的格式</t>
  </si>
  <si>
    <t>4500207090-50</t>
  </si>
  <si>
    <t>6/17进口商贴纸+UPC贴纸+外箱贴纸,进口商贴纸和UPC贴纸翻单PO4500194136</t>
  </si>
  <si>
    <t>日期码格式：ZURU INC(BVI) 标准格式 日期：按实际生产日期
Packaging Info: 77772GQ1/77711GQ2:MA 多语包装+进口商贴纸+UPC贴纸+外箱贴纸+箱唛,进口商贴纸和UPC贴纸翻单PO4500194136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</si>
  <si>
    <t>6FOUOPHZ</t>
  </si>
  <si>
    <t>4500209611-300</t>
  </si>
  <si>
    <t>2L 无UPC版收缩膜,2PK铜版纸翻单#4500194447。（两个球的配比不能重复）</t>
  </si>
  <si>
    <t>日期码格式：ZURU INC(BVI) 标准格式 日期：按实际生产日期
Packaging Info: 
#77731:2PK #77711入PVC桶，收藏指南，说明书均为MA 2L标版，2L 无UPC版收缩膜,2PK铜版纸翻单#4500194447。（两个球的配比不能重复）。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</si>
  <si>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839YQ79P</t>
  </si>
  <si>
    <t>4500209611-310</t>
  </si>
  <si>
    <t>6ZVRUTMI</t>
  </si>
  <si>
    <t>4500209611-320</t>
  </si>
  <si>
    <t>4ZM4PMAK</t>
  </si>
  <si>
    <t>4500209611-330</t>
  </si>
  <si>
    <t>189JVL2Z</t>
  </si>
  <si>
    <t>4500209611-340</t>
  </si>
  <si>
    <t>581TO96O</t>
  </si>
  <si>
    <t>4500209611-350</t>
  </si>
  <si>
    <t>4KNLFN5U</t>
  </si>
  <si>
    <t>4500209611-360</t>
  </si>
  <si>
    <t>2342YXJS</t>
  </si>
  <si>
    <t>4500209611-370</t>
  </si>
  <si>
    <t>7317QR7R</t>
  </si>
  <si>
    <t>4500205292-10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</si>
  <si>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</si>
  <si>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</si>
  <si>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ZB07089-8.17</t>
  </si>
  <si>
    <t>8W2HCBVD</t>
  </si>
  <si>
    <t>4500205703-150</t>
  </si>
  <si>
    <t>ZB07012-8.17</t>
  </si>
  <si>
    <t>02428983/1</t>
  </si>
  <si>
    <t>4500195632-10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</si>
  <si>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9548:WEEE_不带电池走货 _ 说明书欧洲EN+29L_C版
25282/9561:WEEE_带电池走货 _ 说明书欧洲EN+29L_C版
77711GQ2-S002-INT: MA B版 5L EAN版收缩膜+UPC条码贴纸</t>
  </si>
  <si>
    <t>02428984/1</t>
  </si>
  <si>
    <t>4500195632-30</t>
  </si>
  <si>
    <t>4500206343-20</t>
  </si>
  <si>
    <t>（贴纸翻单4500186008）</t>
  </si>
  <si>
    <t>此单需要准备两套MA样板，需要在5/30前寄出；</t>
  </si>
  <si>
    <t>日期码格式：ZURU INC(BVI) 标准格式                  日期：按实际生产日期
Packaging Info:2.77711GQ2：最新MA 3L EAN包装+一张西班牙环保标贴纸+MA 3L PDQ+MA 5L 收藏指南；（贴纸翻单4500186008）；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6.此单需要准备两套MA样板，需要在5/30前寄出；</t>
  </si>
  <si>
    <t>4500203754-10</t>
  </si>
  <si>
    <t>6/91张法国回收logo贴纸(贴球顶部)</t>
  </si>
  <si>
    <t>日期码格式：ZURU INC(BVI) 标准格式                  日期：按实际生产日期
Packaging Info: 77711GQ2: MA 3L EAN收缩膜+1张法国回收logo贴纸(贴球顶部)+ MA 23L说明书+ MA 5L creative说明书+ MA 5L贴纸+ MA纸袋 + MA 3L PDQ
Remark: 1. 此票需通过ZURU OQC验货；
 2. 此票出法国，请确保产品符合EU标准，包装含有法国回收logo，符合EU微塑料法规；
3. 此票全部用EAN条码
 4. 所有出口法国的产品, 法规规定禁止在包装和公众用的印刷品中使用矿物油中含有的物质, 包装印刷油墨中含有的MOAH/MOSH的质量浓度不能超过1%, 否则出货
到法国被抽检出现问题, 供应商需要对此负责;</t>
  </si>
  <si>
    <t>4500209512-90</t>
  </si>
  <si>
    <t>6/17一张进口商和西班牙环保标贴纸</t>
  </si>
  <si>
    <r>
      <rPr>
        <sz val="11"/>
        <color rgb="FF0000FF"/>
        <rFont val="宋体"/>
        <charset val="134"/>
      </rPr>
      <t>日期码格式：ZURU INC(BVI) 标准格式                  日期：按实际生产日期
Packaging Info: 
77711SK1：最新MA 3L EAN INT版本包装+一张进口商和西班牙环保标贴纸+MA 23L 警告语说明书+MA 5L 收藏指南+MA 3L SK；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另外，贴纸不可以覆盖西班牙警告语。QC同事请核查，如有问题需和
跟单确认
5.毛绒玩具需要西班牙语言的洗涤说明；</t>
    </r>
  </si>
  <si>
    <t>4500210450-90</t>
  </si>
  <si>
    <t>纸箱4面印ZURU LOGO + 箱唛</t>
  </si>
  <si>
    <t>ZB07109-8.17</t>
  </si>
  <si>
    <t>4500211139-30</t>
  </si>
  <si>
    <t>4500211139-40</t>
  </si>
  <si>
    <t>4500210361-20</t>
  </si>
  <si>
    <t>日期码格式：ZURU INC(BVI) 标准格式                  日期：按实际生产日期
Packaging Info:
77711GQ2: 最新MA 3L EAN收缩膜+最新MA 5L收藏指南+最新MA 23L说明书+最新MA 5L creative+最新MA纸袋+最新MA 3L PDQ+ 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</si>
  <si>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4500209212-20</t>
  </si>
  <si>
    <t>6/1 1张UPC 条码贴纸(UPC#193052080134) +1张进口商贴纸（贴球底部）</t>
  </si>
  <si>
    <t>日期码格式：ZURU INC(BVI) 标准格式                  日期：按实际生产日期
Packaging Info: 
77711GQ1  （INT): MA 3L 收缩膜+1张UPC 条码贴纸(UPC#193052080134) + MA 3L PDQ+MA 5L 收藏指南+1张进口商贴纸（贴球底部）
所有贴纸不得遮挡日期码
Remark: 此单进口商贴纸通用所有item</t>
  </si>
  <si>
    <t>4500210826-80</t>
  </si>
  <si>
    <t>4500210826-110</t>
  </si>
  <si>
    <t>4500210826-140</t>
  </si>
  <si>
    <t>4500210826-170</t>
  </si>
  <si>
    <t>4500202935-50</t>
  </si>
  <si>
    <t>日期码格式：ZURU INC(BVI) 标准格式                  日期：按实际生产日期
Packaging Info: 1. 包材：ZURU MA 1L UPC最新包装；出口美国
Remark: 2. 日期跟踪码：产品外包装及产品本身都必须有日期跟踪码；ZURU标准格式日期码(请自行调整具体年月日生产期，但不能为周末）。
3. 出货配比：ZURU MA 配比</t>
  </si>
  <si>
    <t>4500208189-50</t>
  </si>
  <si>
    <t>客版收缩膜/PDQ翻单PO4500161302，客版收
藏指南翻单PO4500203841,出不带披萨的版本</t>
  </si>
  <si>
    <t>日期码格式：ZURU INC(BVI) 标准格式                  日期：按实际生产日期
Packaging Info: 
77782GQ1:客版收缩膜+进口商贴纸+条码贴纸+箱唛+客版PDQ+客版收藏指南，进口商贴纸和条码贴纸翻单PO4500188881，客版收缩膜/PDQ翻单PO4500161302，客版收
藏指南翻单PO4500203841,出不带披萨的版本
Remark: 1.进口商贴纸请多备料5pcs,出货后需要寄给客户留底
2.如后续提供的贴纸文档中进口商贴纸和条码贴纸合并为一张，可忽略条码贴纸的需求</t>
  </si>
  <si>
    <t>预出船期</t>
  </si>
  <si>
    <t>6/22 客供价格贴纸+6/23外箱贴纸</t>
  </si>
  <si>
    <t>4500208353-10</t>
  </si>
  <si>
    <t>UPC  条码贴纸)+进口商贴纸，所有贴纸翻单4500207643</t>
  </si>
  <si>
    <t>日期码格式：ZURU  INC(BVI)  标准格式                                    日期：按实际生产日期
Packaging Info: 77711GQ2:  MA  3L  PDQ包装+MA  3L  EAN  包装(+UPC  条码贴纸)+进口商贴纸+箱唛，所有贴纸翻单4500207643
Remark: 客户有监装要求，每款需要多备1pc监柜样板用于监装，监柜样板要和大货一致</t>
  </si>
  <si>
    <t>4500210388-10</t>
  </si>
  <si>
    <t>1张CONCENTRA客人logo贴纸+1张客户进口商贴纸（贴纸都翻单45002
02366）</t>
  </si>
  <si>
    <t>日期码格式： ZURU INC(BVI) 标准格式 日期：按实际生产日期
Packaging Info: 77711GQ2：最新MA 3L PDQ + MA 3L 含EAN 条码收缩膜+1张CONCENTRA客人logo贴纸+1张客户进口商贴纸+MA 最新5L 收藏指南+MA拼装说明书， （贴纸都翻单45002
02366）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t>
  </si>
  <si>
    <r>
      <rPr>
        <sz val="11"/>
        <color rgb="FF0000FF"/>
        <rFont val="宋体"/>
        <charset val="134"/>
      </rPr>
      <t>CLAIRE’S</t>
    </r>
    <r>
      <rPr>
        <sz val="11"/>
        <color rgb="FF0000FF"/>
        <rFont val="宋体"/>
        <charset val="0"/>
      </rPr>
      <t xml:space="preserve">  ESSENTIALS,  LLC</t>
    </r>
  </si>
  <si>
    <t>4500210878-10</t>
  </si>
  <si>
    <t>已安排每款寄一套给到SZ办公室（PDQ的话就寄一整个PDQ），     样品上贴上客供贴纸再寄过来</t>
  </si>
  <si>
    <t>日期码格式：ZURU  INC(BVI)  标准格式                                    日期：按实际生产日期
Packaging Info: 1.Claire's  这个客户在US+CA出售，所有的产品图稿包括配件必须是多语（务必要有英法语），无硼版本，符合加拿大市场要求，包装MA  2L/3L  +客户价格贴纸（覆
盖掉原来的EAN#条形码）
2.  客人指定箱唛排版
3.要加客供价格贴纸，务必覆盖掉原本的EAN
Remark: 1. 出货前  Zuru  QC  验货
2.价格贴纸需覆盖收缩膜上的UPC/EAN,贴大货之前先贴一个给跟单确认位置图
3.  每款寄一套给到SZ办公室（PDQ的话就寄一整个PDQ），     样品上贴上客供贴纸再寄过来</t>
  </si>
  <si>
    <t>ZB07110-8.17</t>
  </si>
  <si>
    <t>4500209005-10</t>
  </si>
  <si>
    <t>6/9寄出价格贴纸+6/26寄出UCC Label</t>
  </si>
  <si>
    <t>日期码格式：ZURU INC(BVI) 标准格式                  日期：按实际生产日期
Packaging Info: 1.包装：ZURU MA UPC 最新版本包装+价格贴纸(价贴位于产品包装背面右下角，跟单提供价贴资料，工厂采购）；出口美国 , 优先1L，可接受多语 。
Remark: 2. 日期跟踪码：产品包装及产品本身都必须有日期跟踪码，并且确保两者的日期跟踪码要一致；ZURU标准格式日期码(请自行调整具体年月日生产期，但不能为周末
  )。
3.外箱贴纸：  每个外箱除了印刷箱唛信息外，还需加贴一张UCC LABEL,贴纸尺寸4''*6''；  垂直貼在外箱一面正唛(箱子最長的那面)的右下角并与箱边保持距离约3
CM。UCC Label 由跟单提供，工厂直接贴，每一张UCC Label都是唯一且有不同流水及条码的,没有损耗,绝对不可以贴错.
4.出货配比：
#77711GQ2-S001-NA-MINI BRANDS-FILL THE FRIDGE-SERIES 1-CAPSULE,WITH DEMO,25PCS/GRAVITY PDQ,50PCS/2PDQ/CTN</t>
  </si>
  <si>
    <r>
      <rPr>
        <sz val="11"/>
        <color rgb="FF0000FF"/>
        <rFont val="宋体"/>
        <charset val="134"/>
      </rPr>
      <t>4</t>
    </r>
    <r>
      <rPr>
        <sz val="11"/>
        <color rgb="FF0000FF"/>
        <rFont val="宋体"/>
        <charset val="0"/>
      </rPr>
      <t xml:space="preserve">  KIDZ  SP  Z  O.O.</t>
    </r>
  </si>
  <si>
    <t>4500207334-10</t>
  </si>
  <si>
    <t>6/261张UPC条码贴纸+1张进口商贴纸</t>
  </si>
  <si>
    <t>已安排请备多1套大货样品；</t>
  </si>
  <si>
    <t>日期码格式：ZURU  INC(BVI)  标准格式                                    日期：按实际生产日期
Packaging Info: 1.77711GQ2:MA  INT_3L版本收缩膜+1张UPC条码贴纸+1张进口商贴纸+MA23L说明书+MA5L说明书+MA  INT_3LPDQ
Remark: 1.  请备多1套大货样品；
   2.  此票大货需符合EU市场法规；
   3.  此票使用UPC条码;</t>
  </si>
  <si>
    <t>4500207334-20</t>
  </si>
  <si>
    <t>日期码格式：ZURU  INC(BVI)  标准格式                                    日期：按实际生产日期
Packaging Info: 
2.77711SK1:MA  INT_3L版本收缩膜+1张UPC条码贴纸+1张进口商贴纸+MA23L说明书+MA5L说明书+MA  INT_3L展示架
Remark: 1.  请备多1套大货样品；
   2.  此票大货需符合EU市场法规；
   3.  此票使用UPC条码;</t>
  </si>
  <si>
    <t>4500208984-90</t>
  </si>
  <si>
    <t>6/27UPC贴纸+进口商贴纸</t>
  </si>
  <si>
    <t>日期码格式：ZURU INC(BVI) 标准格式                  日期：按实际生产日期
Packaging Info: 
77711SK：MA 3L SK包装+MA  3L EAN包装+UPC贴纸+进口商贴纸+箱唛
Remark: 客户有监装要求，每款需要名准备1pc监柜样板</t>
  </si>
  <si>
    <t>4500208957-10</t>
  </si>
  <si>
    <t>客户Family Dollar不允许少数出货，必须按照PO上的数量出货，也不允许延期，否则会有罚款</t>
  </si>
  <si>
    <t>外箱箱唛正侧相邻两面粘贴产品彩色贴纸，每箱两张彩色贴纸, 彩色产品贴纸翻单PO#4500182810+6/16寄出供防盗贴</t>
  </si>
  <si>
    <t>防盗贴贴纸位置和PO#4500182810确认的位置一致，此单要求2026/07/23完成100%大货并验完货，大货指定日期码：DG20260715。</t>
  </si>
  <si>
    <t>日期码格式：ZURU INC(BVI) 标准格式                  日期：2026-07-15
Packaging Info: 1)客版PDQ翻单PO#4500182810，最新版ZURU MA UPC包装(优先1L)，出口美国。如有说明书请使用ZURU MA说明书，优先放1L英语。
 2)ZURU标准日期码格式：工厂城市缩写+生产年月日。此单指定日期码：DG20260715。
 3)外箱箱唛正侧相邻两面粘贴产品彩色贴纸，每箱两张彩色贴纸, 彩色产品贴纸翻单PO#4500182810。如侧唛位置放不下彩贴和唛头信息，可改为放两个正唛。无论
是正唛+侧唛或者是两个正唛，唛头信息和彩贴需放在同一个面。箱唛需排版给跟单确认。
 4) 每个球贴一张客供防盗贴，贴在收缩膜上，防盗贴由跟单采购，供应商直接发货到工厂。防盗贴贴纸位置和PO#4500182810确认的位置一致。
Remark: 客户PO# 60999267
客户SKU# 1004126
1）Item#77711GQ6-S001-NA
 2) 此单无第三方验货+抽样测试，ZURU QC验货PASS后，跟单得到客户的approval之后方可安排出货
 3) 大货外箱材积绝对不可大于下述数据，材积只接受3%的变小；重量正负不得超过以下列出数据的5%，接受外箱以印章方式印上实际毛重。
大货外箱尺寸请保持：21.3*12.8*29.5 cm (即8.39*5.04*11.61 inch)，材积必须不能大于0.2825 CubeFeet（即0.0080 CBM); 外箱毛重 1.45 LBS（即0.66 KGS）
4) 大货配比：
Item#77711GQ6-S001-NA
S001-NA-MINI BRANDS-FILL THE FRIDGE-SERIES 1-CAPSULE,1FACING6PCS/GRAVITY PDQ,6PCS/PDQ/CTN
UPC:193052080127
Contain UV GLUE/ 1 Refrigerator Magnet.
1FACING 6PCS/GRAVITY 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 费用的产生。</t>
  </si>
  <si>
    <t>ZB07520/ZB07559</t>
  </si>
  <si>
    <t>77785PLD-S001-77711-NA</t>
  </si>
  <si>
    <t>7/17BV 此单需要抽板和验货，抽板时间7/14抽板数量：432pcs+4pcs+4套散件抽板样板
抽板订单：4500209899 （WM PO#7137241924），MO20260519手工单转实单</t>
  </si>
  <si>
    <t>6/3寄出1张RFID贴纸</t>
  </si>
  <si>
    <t>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t>
  </si>
  <si>
    <t>(条码贴纸翻单4500166563）</t>
  </si>
  <si>
    <t>一张进口商和条码贴纸；（贴纸翻单4500168249）+一张空白贴纸覆盖原条码</t>
  </si>
  <si>
    <r>
      <rPr>
        <sz val="11"/>
        <color rgb="FF0000FF"/>
        <rFont val="宋体"/>
        <charset val="134"/>
      </rPr>
      <t>日期码格式：ZURU INC(BVI) 标准格式 日期：按实际生产日期
Packaging Info: 
77785：最新客版彩盒+一张进口商和条码贴纸；（贴纸翻单4500168249）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另外，贴纸不可以覆盖西班牙警告语。QC同事请核查，如有问题需和
跟单确认
5.毛绒玩具需要西班牙语言的洗涤说明；</t>
    </r>
  </si>
  <si>
    <t>4500208821-200</t>
  </si>
  <si>
    <t>空白贴纸</t>
  </si>
  <si>
    <t>日期码格式：  标准格式                  日期：按实际生产日期
Packaging Info: 
77731  英法客版铜版纸，upc 193052085115, 77711 MA 2L UPC版本+空白贴纸
Remark: 出加拿大
每行对应不同的客户PO，唛头要一一对应，  放唛头时跟单会提供清单
Zuru验货. 日期跟踪码：产品外包装及产品本身都必须有日期跟踪码，ZURU标准格式
日期码</t>
  </si>
  <si>
    <t>4500208840-480</t>
  </si>
  <si>
    <t>日期码格式：  标准格式                  日期：按实际生产日期
Packaging Info: 
77731  英法客版铜版纸，upc 193052085115, 77711 MA 2L UPC版本+空白贴纸
Remark: 出加拿大
有客供价格贴
每行对应不同的客户PO，唛头要一一对应，  放唛头时跟单会提供清单
Zuru验货. 日期跟踪码：产品外包装及产品本身都必须有日期跟踪码，ZURU标准格式
日期码</t>
  </si>
  <si>
    <t>4500204920-160</t>
  </si>
  <si>
    <t>日期码格式：ZURU  INC(BVI)  标准格式                                    日期：按实际生产日期
Packaging Info: 物料要求  SKU
1  77711GQ1  MA  PDQ  +外挂中文收藏指南+中文说明书+黑白警告语+收缩膜年龄贴（8+）      翻单：     4500195548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</si>
  <si>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r>
      <rPr>
        <sz val="11"/>
        <color rgb="FF0000FF"/>
        <rFont val="宋体"/>
        <charset val="134"/>
      </rPr>
      <t>日期码格式：ZURU INC(BVI) 标准格式                  日期：按实际生产日期
Packaging Info: 1.77785：最新客版彩盒+EAN贴纸；(条码贴纸翻单4500206343）；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</si>
  <si>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t>4. 包装必须含法国回收logo标识, 最新版ZURU logo；客版日期码LOT2629,</t>
  </si>
  <si>
    <t>4500211344-30</t>
  </si>
  <si>
    <t>7/3一张环保标贴纸；</t>
  </si>
  <si>
    <r>
      <rPr>
        <sz val="11"/>
        <color rgb="FF0000FF"/>
        <rFont val="宋体"/>
        <charset val="134"/>
      </rPr>
      <t>日期码格式：ZURU INC(BVI) 标准格式                  日期：按实际生产日期
Packaging Info: 
3.77711GQ2：最新MA 3L EAN INT版本包装+一张环保标贴纸+MA 23L 警告语说明书+MA 5L 收藏指南+MA 3L PDQ；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</si>
  <si>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t>8V5ONKPK</t>
  </si>
  <si>
    <t>4500209056-380</t>
  </si>
  <si>
    <t>7/8寄出 SSCC  LABEL（客供贴纸)，2PK铜版纸翻单#4500194447。（两个球的配比不能重复）</t>
  </si>
  <si>
    <t>日期码格式：ZURU  INC(BVI)  标准格式                                    日期：按实际生产日期
Packaging Info: 
#77731:2PK    #77711入PVC桶，收藏指南，说明书均为MA  2L标版，2L  无UPC版收缩膜,2PK铜版纸翻单#4500194447。（两个球的配比不能重复）。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</si>
  <si>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44MR4YSM</t>
  </si>
  <si>
    <t>4500209056-390</t>
  </si>
  <si>
    <t>8C6YSZIK</t>
  </si>
  <si>
    <t>4500209056-400</t>
  </si>
  <si>
    <t>6TI8AKVD</t>
  </si>
  <si>
    <t>4500209056-410</t>
  </si>
  <si>
    <t>8JQGOJ8S</t>
  </si>
  <si>
    <t>4500209056-420</t>
  </si>
  <si>
    <t>1JYHB8YO</t>
  </si>
  <si>
    <t>4500209115-180</t>
  </si>
  <si>
    <t>日期码格式：ZURU  INC(BVI)  标准格式                                    日期：按实际生产日期
Packaging Info:
#77731:2PK    #77711入PVC桶，收藏指南，说明书均为MA  2L标版，2L  无UPC版收缩膜,2PK铜版纸翻单#4500194447。（两个球的配比不能重复）。
Remark: 1.  Amazon  FOB订单，出口CA。外箱最长边不能超过25"    （超过了，case  pack只能为1），不符合要求的大货，   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</si>
  <si>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4DVYCB2R</t>
  </si>
  <si>
    <t>4500209115-190</t>
  </si>
  <si>
    <t>2A245LYO</t>
  </si>
  <si>
    <t>4500209115-200</t>
  </si>
  <si>
    <t>2UJW8WOX</t>
  </si>
  <si>
    <t>4500209115-210</t>
  </si>
  <si>
    <t>55X6CFVO</t>
  </si>
  <si>
    <t>4500209115-220</t>
  </si>
  <si>
    <t>4500211429-10</t>
  </si>
  <si>
    <t>日期码格式：ZURU INC(BVI) 标准格式 日期：按实际生产日期
Packaging Info:
77711GQ1(INT版)：MA 3L EAN收缩膜，MA C版 5L收藏指南，MA 5L玩法说明书，MA B版 23L UV胶黑白警告语说明书，MA配件袋，MA 3L PDQ
Remark: 1.此单出瑞士，包装及说明书需要包含德语，法语，意大利语警语
2.此单出货前要寄1套大货签办到罗湖办公室
3.所有出往欧洲订单的电子产品需增加一张通用29L WEEE声明说明书，区分带电池出货和不带电池出货版本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6.所有出往GAS市场(德国/奥地利/瑞士)订单，化学品需无硼无香版本
7.需符合微塑料法规
8.标准配比</t>
  </si>
  <si>
    <t>4500209903-30</t>
  </si>
  <si>
    <t>7/2UPC条码贴纸+进口商贴纸</t>
  </si>
  <si>
    <t>日期码格式：ZURU  INC(BVI)  标准格式                                    日期：按实际生产日期
Packaging Info: 77711GQ2：MA  3L  PDQ包装+MA  3L  EAN包装+UPC  贴纸+进口商贴纸+箱唛
Remark: 1.  此单有监柜，每款请多备1pc样板用于监装</t>
  </si>
  <si>
    <t>4500207643-20</t>
  </si>
  <si>
    <t>6/30 UPC 条码贴纸)+进口商贴纸</t>
  </si>
  <si>
    <t>日期码格式：ZURU INC(BVI) 标准格式 日期：按实际生产日期
Packaging Info: 
77711GQ2: MA 3L PDQ包装+MA 3L EAN 包装(+UPC 条码贴纸)+进口商贴纸+箱唛
Remark: 客户有监装要求，每款需要多备1pc监柜样板用于监装，监柜样板要和大货一致</t>
  </si>
  <si>
    <t>4500203233-60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</si>
  <si>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4.此单MA 3L UPC/EAN 包装（EAN 包装需要用UPC贴纸覆盖）+箱唛
Remark:</t>
  </si>
  <si>
    <t>4500204906-40</t>
  </si>
  <si>
    <t>冰箱迷你球(新客版）</t>
  </si>
  <si>
    <t>进口商贴纸, 进口商贴纸翻单PO# 4500183983</t>
  </si>
  <si>
    <t>客版PDQ（翻单PO4500161302) 客版收藏指南翻单PO4500203841</t>
  </si>
  <si>
    <t>77782不出披萨mini</t>
  </si>
  <si>
    <t>日期码格式：ZURU INC(BVI) 标准格式 日期：按实际生产日期
Packaging Info
77782GQ1:客版收缩膜+客版PDQ（翻单PO4500161302) 客版收藏指南翻单PO4500203841+进口商贴纸+箱唛, 进口商贴纸翻单PO# 4500183983
77782不出披萨mini
Remark:</t>
  </si>
  <si>
    <t>4500210632-30</t>
  </si>
  <si>
    <t>6/241张法国回收logo贴纸</t>
  </si>
  <si>
    <t>法国回收logo贴纸，适用77711GQ1和77772GQ1，位置贴在球顶部即可</t>
  </si>
  <si>
    <t>已安排预计需要1套大货样，请多备料</t>
  </si>
  <si>
    <r>
      <rPr>
        <sz val="11"/>
        <color rgb="FF0000FF"/>
        <rFont val="宋体"/>
        <charset val="134"/>
      </rPr>
      <t>日期码格式：ZURU</t>
    </r>
    <r>
      <rPr>
        <sz val="11"/>
        <color rgb="FF0000FF"/>
        <rFont val="宋体"/>
        <charset val="0"/>
      </rPr>
      <t xml:space="preserve">  INC(BVI)  标准格式                                    日期：按实际生产日期
Packaging Info: 
77711GQ1：MA3L  EAN  收缩膜+1张法国回收logo贴纸+MA5L  C版收藏指南+MA23L  B版黑白说明书+MA5LA版说明书+MA纸袋+MA3L  A版PDQ
Remark: 1.  此票无需第三方验货，通过ZURU  OQC验货即可；
   2.  此票出法国，请确保包装需含有两个法国回收logo，产品符合EU标准；
   3.  此票全部用EAN条码,  assortment产品需用mother  EAN条码；
   4.  预计需要1套大货样，请多备料；</t>
    </r>
  </si>
  <si>
    <t>4500211792-20</t>
  </si>
  <si>
    <t>进口商贴纸翻单PO# 4500183983</t>
  </si>
  <si>
    <t>出不带披萨的版本</t>
  </si>
  <si>
    <t>日期码格式：ZURU INC(BVI) 标准格式 日期：按实际生产日期
Packaging Info: 
77782GQ1 客版收缩膜+客版PDQ+客版收藏指南+进口商贴纸+箱唛（出不带披萨的版本）客版收缩膜+客版PDQ（翻单PO4500161302) 客版收藏指南翻单PO4500203841,
&lt;(&gt;,&lt;)&gt;进口商贴纸翻单PO# 4500183983
Remark:</t>
  </si>
  <si>
    <t>客版收缩膜+客版PDQ（翻单PO4500161302) 客版收藏指南翻单PO4500203841</t>
  </si>
  <si>
    <t>4500204956-50</t>
  </si>
  <si>
    <t>6/17外箱只需四面印Zuru logo，再加2张贴纸，1张Hu贴纸（条码贴），1张ASN贴纸（尺寸6.5cm*6.3cm,潘通色号2597C）6/4 进口商贴纸+7/1 价格标</t>
  </si>
  <si>
    <t>日期码格式：ZURU INC(BVI) 标准格式                  日期：按实际生产日期
Packaging Info: 1. 外箱只需四面印Zuru logo，再加2张贴纸，1张Hu贴纸（条码贴），1张ASN贴纸（尺寸6.5cm*6.3cm,潘通色号2597C），都贴于侧唛，只需贴1面(HU贴纸和ASN贴
纸客供）
 2. 一个外箱对应一个HU’S(条形码),不可以混条码包装
3.带电含有说明书需要增加说明书贴纸,MA 多语包装（含西语）
4.价格贴纸覆盖原有包装的条形码
5. 此单有监柜要求
77711GQ2 MA 多语包装+MA 多语PDQ+进口商贴纸+价格标</t>
  </si>
  <si>
    <t>4500211344-40</t>
  </si>
  <si>
    <r>
      <rPr>
        <sz val="11"/>
        <color rgb="FF0000FF"/>
        <rFont val="宋体"/>
        <charset val="134"/>
      </rPr>
      <t>日期码格式：ZURU INC(BVI) 标准格式                  日期：按实际生产日期
Packaging Info: 
4.77711SK1：最新MA 3L EAN INT版本包装+一张环保标贴纸+MA 23L 警告语说明书+MA 5L 收藏指南+MA 3L SK；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FF"/>
        <rFont val="宋体"/>
        <charset val="134"/>
      </rPr>
      <t>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r>
  </si>
  <si>
    <t>10001930620-0581</t>
  </si>
  <si>
    <t>4500211704-10</t>
  </si>
  <si>
    <t>7/3 条码箱贴纸</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</si>
  <si>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</si>
  <si>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10001788161-3890</t>
  </si>
  <si>
    <t>4500209506-10</t>
  </si>
  <si>
    <t>7/3条码箱贴纸</t>
  </si>
  <si>
    <t>10001851996-0581</t>
  </si>
  <si>
    <t>4500209508-10</t>
  </si>
  <si>
    <t>ZB07434/ZB07489</t>
  </si>
  <si>
    <t>TIENDAS  SORIANA,  S.A.  DE  C.V.</t>
  </si>
  <si>
    <t>4500205363-100</t>
  </si>
  <si>
    <t>6/26UPC贴纸+1个小的红色logo贴纸+进口商贴纸</t>
  </si>
  <si>
    <t>日期码格式：ZURU INC(BVI) 标准格式 日期：按实际生产日期
Packaging Info: 
77711GQ2：MA 3L EAN包装+UPC贴纸+MA 3L PDQ包装+1个小的红色logo贴纸+进口商贴纸+箱唛
Remark: 1. 集装箱及装柜要求：集装箱不能有破洞；不能太脏
2.每个item需要放1整箱在每个集装箱门口
3.装柜的时候要前、中、后拍照
4. 此单有监柜要求，每款需要准备1pc监柜样板用于监装</t>
  </si>
  <si>
    <t>4500205363-150</t>
  </si>
  <si>
    <t>日期码格式：ZURU INC(BVI) 标准格式 日期：按实际生产日期
Packaging Info:
77711GQ2：MA 3L EAN包装+UPC贴纸+MA 3L PDQ包装+1个小的红色logo贴纸+进口商贴纸+箱唛
Remark: 1. 集装箱及装柜要求：集装箱不能有破洞；不能太脏
2.每个item需要放1整箱在每个集装箱门口
3.装柜的时候要前、中、后拍照
4. 此单有监柜要求，每款需要准备1pc监柜样板用于监装</t>
  </si>
  <si>
    <t>4500205363-190</t>
  </si>
  <si>
    <t>4500212151-60</t>
  </si>
  <si>
    <t>日期码格式：ZURU  INC(BVI)  标准格式                                    日期：按实际生产日期
Packaging Info:77782GQ1:客版收缩膜+客版收藏指南+客版PDQ+箱唛，无客户贴纸，客版物料收缩膜+客版PDQ翻单PO4500161302,  客版收藏指南翻单PO4500203841  (出不带披萨的版本）
Remark：</t>
  </si>
  <si>
    <t>客版物料收缩膜+客版PDQ翻单PO4500161302,  客版收藏指南翻单PO4500203841  (出不带披萨的版本）</t>
  </si>
  <si>
    <t>4500201970-40</t>
  </si>
  <si>
    <t>7/1 UPC贴纸+进口商贴纸</t>
  </si>
  <si>
    <t>日期码格式：ZURU INC(BVI) 标准格式                  日期：按实际生产日期
Packaging Info: 1. 请确保外箱和产品包装上使用的条码均为UPC。如目前使用的是baby UPC，请务必使用mother UPC覆盖。如有任何不一致之处，请及时告知。谢谢！
 2. 样品需求：本次订单的验货将由监柜公司进行开箱检验。订单每个ITEM（包括盲盒款）提前准备一整套完整包装的样品，所有样品必须与大货完全一致。
3.带电产品需要电池门/说明书贴纸/包装贴进口商贴纸+保证书，若MA说明书上有跟进口商贴纸上的信息，一般不需要说明书贴纸，具体按客人做完测试后提供的资
料。（具体按图稿安排做货）
77711GQ2 MA多语EAN包装+UPC贴纸+MA多语收藏指南+MA 多语 PDQ+进口商贴纸+箱唛
Remark:</t>
  </si>
  <si>
    <t>4500208841-60</t>
  </si>
  <si>
    <t>空白贴纸+6/8寄出客供价格贴</t>
  </si>
  <si>
    <t>1EGY5M3A</t>
  </si>
  <si>
    <t>4500205576-70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</si>
  <si>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</si>
  <si>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ZB07414-8.17</t>
  </si>
  <si>
    <t>4500202802-60</t>
  </si>
  <si>
    <t>一张UPC条码贴+  防盗贴纸（两款贴纸以及防盗贴纸位置图翻单PO#4500160026）+  7/6外箱贴纸SSCC  L
abel</t>
  </si>
  <si>
    <r>
      <rPr>
        <sz val="11"/>
        <color rgb="FF0000FF"/>
        <rFont val="宋体"/>
        <charset val="134"/>
      </rPr>
      <t>日期码格式：ZURU</t>
    </r>
    <r>
      <rPr>
        <sz val="11"/>
        <color rgb="FF0000FF"/>
        <rFont val="宋体"/>
        <charset val="0"/>
      </rPr>
      <t xml:space="preserve">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PO#4500202803一起合并计算</t>
    </r>
  </si>
  <si>
    <t>4500202803-50</t>
  </si>
  <si>
    <t>一张UPC条码贴+  防盗贴纸（两款贴纸以及防盗贴纸位置图翻单PO#4500160026）+  7/6 外箱贴纸SSCC  L
abel</t>
  </si>
  <si>
    <r>
      <rPr>
        <sz val="11"/>
        <color rgb="FF0000FF"/>
        <rFont val="宋体"/>
        <charset val="134"/>
      </rPr>
      <t>日期码格式：ZURU</t>
    </r>
    <r>
      <rPr>
        <sz val="11"/>
        <color rgb="FF0000FF"/>
        <rFont val="宋体"/>
        <charset val="0"/>
      </rPr>
      <t xml:space="preserve">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PO#4500202802一起合并计算</t>
    </r>
  </si>
  <si>
    <t>4500211431-30</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</si>
  <si>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</si>
  <si>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ZB07377/ZB07462/ZB07519</t>
  </si>
  <si>
    <t>4500211431-40</t>
  </si>
  <si>
    <t>ZB07462-8.17</t>
  </si>
  <si>
    <t>4500211431-50</t>
  </si>
  <si>
    <t>ZB07377-8.17</t>
  </si>
  <si>
    <t>4500211431-10</t>
  </si>
  <si>
    <t>ZB07519-8.17</t>
  </si>
  <si>
    <t>4500211432-10</t>
  </si>
  <si>
    <t>6/18RFID贴纸</t>
  </si>
  <si>
    <t>日期码格式：ZURU INC(BVI) 标准格式                  日期：按实际生产日期
Packaging Info: 1.包装要求：
77711GQ4-S001-NA: MA 1L A版收缩膜+MA 2L B版收藏指南+MA B版说明书+客版1L PDQ
Remark: 1.包装要求：
77711GQ4-S001-NA: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</si>
  <si>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ZB07435-8.17</t>
  </si>
  <si>
    <t>4500213085-40</t>
  </si>
  <si>
    <t>7/3 1张RFID贴纸</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</si>
  <si>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</si>
  <si>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4500213085-50</t>
  </si>
  <si>
    <t>4500213085-70</t>
  </si>
  <si>
    <t>4500213085-90</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</si>
  <si>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</si>
  <si>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4500213085-100</t>
  </si>
  <si>
    <t>4500213085-110</t>
  </si>
  <si>
    <t>4500213085-130</t>
  </si>
  <si>
    <t>4500213085-150</t>
  </si>
  <si>
    <t>4500213085-180</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</si>
  <si>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</si>
  <si>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4500212465-40</t>
  </si>
  <si>
    <t>7/6一张客户进口商贴纸</t>
  </si>
  <si>
    <t>日期码格式：ZURU INC(BVI) 标准格式                  日期：按实际生产日期
Packaging Info: 
77711GQ2:【MA 3L EAN版本包装+一张客户进口商贴纸】+MA 收藏指南+MA 23L说明书+MA最新 3L PDQ；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</si>
  <si>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7/27号回传自检报告</t>
  </si>
  <si>
    <t>7/30订仓</t>
  </si>
  <si>
    <t>空白贴纸（翻单PO4500161302)</t>
  </si>
  <si>
    <t>球上不需要进口商贴纸，球上要加空白贴纸</t>
  </si>
  <si>
    <t>4500208416-60</t>
  </si>
  <si>
    <t>丹麦瑞典芬兰挪威警告语贴纸(贴纸和位置图翻Lekia PO#4500192711)+丹麦/挪威/瑞典/芬兰语警告语贴在纸袋子
上(贴纸和位置图翻PO#4500183825)+</t>
  </si>
  <si>
    <t>日期码格式：ZURU INC(BVI) 标准格式                  日期：按实际生产日期
Packaging Info: 
 6. 77711GQ1: MA 3L EAN版收缩膜+丹麦瑞典芬兰挪威警告语贴纸(贴纸和位置图翻Lekia PO#4500192711)+MA paper bag+丹麦/挪威/瑞典/芬兰语警告语贴在纸袋子
上(贴纸和位置图翻PO#4500183825)+MA 3L PDQ+MA 5L(23L warning)收藏指南+MA 23L说明书
Remark: * 请准备2个40尺高柜的安全网，客人要求所有柜货需要加安全网出货，漏拉网会有罚款产生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77711GQ1-S002-INT:4894680043350</t>
  </si>
  <si>
    <t>4500207257-10</t>
  </si>
  <si>
    <t>6/24进口商贴纸+PDQ贴纸</t>
  </si>
  <si>
    <t>日期码格式：ZURU INC(BVI) 标准格式                  日期：按实际生产日期
Packaging Info: 77711GQ1:最新MA 3L EAN收缩膜+最新MA 5L收藏指南+最新MA 23L说明书+最新MA 5L creative+最新MA纸袋+最新MA 3L PDQ+ 进口商贴纸+PDQ贴纸
Remark: 1. 此单出意大利，需要满足EU标准，通过ZURU验货, 并提供客户照片确认后才可放货。
 2. 产品均符合EU微塑料法规要求：不能含有微塑料/闪粉符合欧规，BOB系列要符合欧洲要求不含亚硝酸版本; XShot Hyper系列，统一出EN71版本。
 3,  SMASHERS 或含Slime产品，所有化合物使用无硼或低硼版本出意大利。
4, 带电池产品需要带上最新WEEE欧洲通用29L电池回收说明书。
5, 意大利订单包装彩卡请确保含法规要求的环保回收logo和意大利语警语，如果说明书有使用方式，需要有意大利语使用说明。
6,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</si>
  <si>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4500211180-30</t>
  </si>
  <si>
    <t>丹麦瑞典芬兰挪威警告语贴纸(贴纸和位置图翻PO#4500192711)+MA paper bag+丹麦/挪威/瑞典/芬兰语警告语贴在纸袋子上(贴
 纸和位置图翻PO#4500183825)</t>
  </si>
  <si>
    <t>日期码格式：ZURU INC(BVI) 标准格式                  日期：按实际生产日期
Packaging Info:
[140] 77711GQ2:MA 3L EAN版收缩膜+丹麦瑞典芬兰挪威警告语贴纸(贴纸和位置图翻PO#4500192711)+MA paper bag+丹麦/挪威/瑞典/芬兰语警告语贴在纸袋子上(贴
纸和位置图翻PO#4500183825)+MA 3L PDQ+MA 5L(23L warning)收藏指南+MA 23L说明书;
--------------------
Remark: 1.产品和包装要求无硼无香，包装不能含有PVC，玩具成分不能含有石棉
2.如有微塑料，必须合规欧洲标准，并增加微塑料合规IFUD声明在说明书上
3.带电池出货的产品，所用到的电池需要符合欧洲电池新规(EU)2023-1542，并增加对应WEEE 说明书</t>
  </si>
  <si>
    <t>4500212370-50</t>
  </si>
  <si>
    <t>7/8 价格贴纸，价格贴纸客供。2PK/3PK的球用无条码收缩膜或加空白贴纸覆盖原条码。</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</si>
  <si>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Marshalls PO#115818,SKU#943983 DC#881-1176PCS, DC#884-972PCS, DC#886-1380PCS, DC#887-1308PCS, DC#888-1164PCS</t>
  </si>
  <si>
    <t>ZB07568-8.17</t>
  </si>
  <si>
    <t>4500212372-50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</si>
  <si>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TJ MAXX PO#115824,SKU#223359 DC#891-1296PCS, DC#894-1044PCS, DC#896-876PCS, DC#897-1788PCS, DC#898-996PCS</t>
  </si>
  <si>
    <t>ZB07158-8.17</t>
  </si>
  <si>
    <t>4500207585-40</t>
  </si>
  <si>
    <t>日期码格式：ZURU INC(BVI) 标准格式 日期：按实际生产日期
Packaging Info: 77711GQ2: 最新MA 3L PDQ+客版收缩膜(英法德callout/英法德意荷警语/法国环保logo)翻单4500155592 +MA23L 说明书+MA 5+23L警语收藏指南+ MA 5L creative说
明书 + creative说明书荷兰语贴纸(翻单4500155592）
EAN: 4894680043350
收缩膜不足MOQ时：
77711GQ2: 最新MA 3L PDQ+MA 3L EAN收缩膜+1张含德语callout/德意荷警语/法国sorting label贴纸(贴球上, 翻PO#4500193186)+MA23L 说明书+MA 5+23L警语收藏
指南+ MA 5L creative说明书 + creative说明书荷兰语贴纸(翻单4500155592）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</si>
  <si>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4500211411-10</t>
  </si>
  <si>
    <t>日期码格式：ZURU INC(BVI) 标准格式                  日期：按实际生产日期
Packaging Info: 1. 77711GQ1,157117UQ1,77673TQ1 MA (首选1L UPC/ 多语 UPC) 包装
Remark: 2. 带Polybag 的items, polybag 需要印刷警告语和打孔，  跟单提供警告语内容，警告语字体和polybag 大小工厂根据PDQ 尺寸去安排，polybag 需要用胶纸封口
避免产品滑落。
 3. 产品和包装上印刷tracking code信息，格式为ZURU常规。
 4. 需ZURU QC 验货合格后方可出货</t>
  </si>
  <si>
    <t>一张空白贴纸+7/6一张客户进口商贴纸</t>
  </si>
  <si>
    <t>4500212517-50</t>
  </si>
  <si>
    <t>日期码格式：ZURU INC(BVI) 标准格式                  日期：按实际生产日期
Packaging Info: 物料要求 SKU
1 77711GQ1 MA PDQ +外挂中文收藏指南+中文说明书+黑白警告语+收缩膜年龄贴（8+）   翻单：  4500198503
物料要求：UPC:193052089786 UPC部分：所有子件UPC要求统一或者覆盖
MA+77785 中文3C贴纸+77785 中文收藏指南 +芯片码
子件 A : 77673- 1个：MA+77673 中文收藏指南+77673 中文黑白说明书
子件 B : 77711- 2个 ：  MA+77711 中文DIY 说明书+77711 中文黑白说明书
翻单：  4500198503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</si>
  <si>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4500212517-60</t>
  </si>
  <si>
    <t>4500212517-70</t>
  </si>
  <si>
    <t>4500212517-100</t>
  </si>
  <si>
    <t>日期码格式：ZURU INC(BVI) 标准格式                  日期：按实际生产日期
Packaging Info: 物料要求 SKU
1 77711GQ1 MA PDQ +外挂中文收藏指南+中文说明书+黑白警告语+收缩膜年龄贴（8+）   翻单：  4500198503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</si>
  <si>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4500210379-10</t>
  </si>
  <si>
    <t>7/9 一张进口商贴纸</t>
  </si>
  <si>
    <t>产品及包装需要印CE logo图标，包装需含有西班牙环保标 和care@zuru.com 邮箱地址，  另外，包装贴纸上面的警告语不可以覆盖西班牙警告语。QC同事请核
查，如有问题需和跟单确认。</t>
  </si>
  <si>
    <t>日期码格式：ZURU INC(BVI) 标准格式                  日期：按实际生产日期
Packaging Info: 1.77711GQ2：最新MA 3L EAN INT版本包装+一张进口商贴纸+MA 23L 警告语说明书+MA 5L 收藏指南+MA 3L PDQ；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7.需要准备每款1套大货样，请注意备料。</t>
  </si>
  <si>
    <t>PO0001903</t>
  </si>
  <si>
    <t>4500207265-30</t>
  </si>
  <si>
    <t>7/6进口商贴纸</t>
  </si>
  <si>
    <t>日期码格式：ZURU INC(BVI) 标准格式                  日期：按实际生产日期
Packaging Info: 
77711GQ1：MA NA 2L UPC
Remark: 出加拿大
每款产品都需要加进口商贴纸
Zuru验货. 日期跟踪码：产品外包装及产品本身都必须有日期跟踪码，ZURU标准格式日期码</t>
  </si>
  <si>
    <t>4500206411-10</t>
  </si>
  <si>
    <t>日期码格式：ZURU INC(BVI) 标准格式                  日期：按实际生产日期
Packaging Info: 1. Cus Item
#77731：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</si>
  <si>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4500204601-30</t>
  </si>
  <si>
    <t>多语警语折叠贴纸（含包装缺失的法/
 意/西环保标），翻4500197331</t>
  </si>
  <si>
    <t>日期码格式：ZURU INC(BVI) 标准格式                  日期：按实际生产日期
Packaging Info: 
 3. 77711GQ1:最新MA 3L EAN收缩膜+最新MA 5L收藏指南+最新MA 23L说明书+最新MA 5L creative+最新MA纸袋+最新MA 3L PDQ+多语警语折叠贴纸（含包装缺失的法/
意/西环保标），翻4500197331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"WEEE说明书欧洲EN+29L-D版"
 8. MTS所有订单，SMASHERS 或含Slime产品，所有化合物使用无硼或低硼版本出；  BOB系列要符合欧洲要求不含亚硝酸版本; XShot Hyper系列，统一出EN71版本；S
 lime Mart统一用EUR版本的包装。
 9. 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</si>
  <si>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4500213229-10</t>
  </si>
  <si>
    <t>6/29upc贴纸</t>
  </si>
  <si>
    <t>日期码格式：ZURU INC(BVI) 标准格式 日期：按实际生产日期
Packaging Info: MA UPC 英语包装（优先1L英语版本，或者3L/5L含英语都可）
#77711需用3L upc条码
Remark: 此单出口澳大利亚/新西兰, 请按澳新标准生产. 如产品含纽扣电池出货, 包装前面和说明书上需加纽扣电池警语贴纸。</t>
  </si>
  <si>
    <t>4500209728-30</t>
  </si>
  <si>
    <t>一张UPC条码贴+ 防盗贴纸（两款贴纸以及防盗贴纸位置图翻单PO#4500160026） +7/13 外箱贴纸SSCC L
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</si>
  <si>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PO#4500209731一起合并计算</t>
  </si>
  <si>
    <t>4500211227-30</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</si>
  <si>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</si>
  <si>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4500199243-60</t>
  </si>
  <si>
    <t>日期码格式：ZURU INC(BVI) 标准格式                  日期：按实际生产日期
Packaging Info:
"77711GQ1: 最新MA 3L EAN收缩膜+MA 3L PDQ+其他最新MA包装;
EAN#4894680043350"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5.电子产品需增加一张B版WEEE声明30L通用黑白说明书(不接受A版本，翻译有误)，区分带电池和不带电池出货版本, 如已做客版说明书含WEEE信息可忽略此要求；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以及  G.W. 16 KG，超过的需要客人批准才能出货并且外箱需要印2 man lift标志 。
10.做货前务必核对零售条码是否与订单要求一致  ，对不上到客户仓库需要返工 ，工厂需要承担责任。</t>
  </si>
  <si>
    <t>4500208302-40</t>
  </si>
  <si>
    <t>7/3寄出客供贴纸</t>
  </si>
  <si>
    <t>日期码格式：ZURU INC(BVI) 标准格式                  日期：按实际生产日期
Packaging Info: 1.  STD Items: ZURU MA UPC 现有包装+客供价格贴纸，优先使用MA 1L最新版本（可接受多语）,出口美国
Cus Item
#77731：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</si>
  <si>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AG260089-HK</t>
  </si>
  <si>
    <t>4500210772-30</t>
  </si>
  <si>
    <t>7/7 1张UPC 条码贴纸(UPC#193052080134) +6/15寄出HK客供警语贴纸（1张贴球底部，1张贴说明书，1张贴收藏
指南）具体参考HK客供警语贴纸位置图</t>
  </si>
  <si>
    <t>4500211850-10</t>
  </si>
  <si>
    <t>1张UPC 条码贴纸（193052080134) + 6/121 张通用进口商贴纸（贴球底部）</t>
  </si>
  <si>
    <t>日期码格式：ZURU INC(BVI) 标准格式                  日期：按实际生产日期
Packaging Info: 77711GQ1: MA PDQ, 3L 收缩膜+1张UPC 条码贴纸（193052080134) + 1 张通用进口商贴纸（贴球底部），  MA 收藏指南，MA 说明书
Remark：</t>
  </si>
  <si>
    <t>日期码格式：ZURU INC(BVI) 标准格式                  日期：按实际生产日期
Packaging Info: 1.  STD Items: ZURU MA UPC 现有包装+客供价格贴纸，优先使用MA 1L最新版本（可接受多语）,出口美国
Cus Item
#77785：MA UPC + 客版彩盒 + 客供贴纸, 优先使用MA 1L最新版本(可接受多语），出口美国。
Remark: #15714配比：ratio-b:d:e:g:m=2:2:2:2:4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</si>
  <si>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4500212378-60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</si>
  <si>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Marshalls PO#115819,SKU#943802 DC#881-804PCS, DC#884-660PCS, DC#886-876PCS, DC#887-864PCS, DC#888-792PCS</t>
  </si>
  <si>
    <t>4500212379-70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</si>
  <si>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Marshalls PO#115820,SKU#943727 DC#881-804PCS, DC#884-660PCS, DC#886-876PCS, DC#887-864PCS, DC#888-792PCS</t>
  </si>
  <si>
    <t>4500212384-60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</si>
  <si>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TJ MAXX PO#115826,SKU#223298 DC#891-864PCS, DC#894-684PCS, DC#896-600PCS, DC#897-1164PCS, DC#898-696PCS</t>
  </si>
  <si>
    <t>ZB07567-8.17</t>
  </si>
  <si>
    <t>4500212386-70</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</si>
  <si>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TJ MAXX PO#115827,SKU#223459 DC#891-864PCS, DC#894-684PCS, DC#896-600PCS, DC#897-1164PCS, DC#898-696PCS</t>
  </si>
  <si>
    <t>ZB07566-8.17</t>
  </si>
  <si>
    <t>4500209410-40</t>
  </si>
  <si>
    <t>6/12 1张PL警示语（含客户进口商信息）贴纸</t>
  </si>
  <si>
    <t>日期码格式： ZURU INC(BVI) 标准格式 日期：按实际生产日期
Packaging Info: 
77711GQ2:MA INT_3L EAN最新版本收缩膜+1张PL警示语（含客户进口商信息）贴纸+MA5L收藏指南+MA23L说明书+MA INT_3LPDQ+其他包装用MA
Remark: 1. 此票需通过ZURU OQC验货；
2. 请备多2套大货样品；
3. 此票出波兰，请确保产品符合EU标准，产品请确保符合EU微塑料法规，大货需符合EU市场法规；
4. 此票全部用EAN条码</t>
  </si>
  <si>
    <t>4500201751-10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</si>
  <si>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分3-5个DC出货，每款产品每个DC的箱唛资料不同，具体DC数量如下：
item#77731: Marshalls PO#127325,SKU#924398 DC#881-684PCS,  DC#886-324PCS,  DC#888-396PCS</t>
  </si>
  <si>
    <t>4500201753-10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</si>
  <si>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PO#127338,SKU#204409 DC#891-348PCS, DC#894-276PCS, DC#896-228PCS, DC#897-480PCS, DC#898-264PCS</t>
  </si>
  <si>
    <t>ZB07565-8.17</t>
  </si>
  <si>
    <t>4500208821-240</t>
  </si>
  <si>
    <t>4500208821-280</t>
  </si>
  <si>
    <t>4500208841-120</t>
  </si>
  <si>
    <t>空白贴纸+ 6/12客供价格贴</t>
  </si>
  <si>
    <t>4500208841-160</t>
  </si>
  <si>
    <t>4500208841-200</t>
  </si>
  <si>
    <t>4500208841-220</t>
  </si>
  <si>
    <t>10001788266-3890</t>
  </si>
  <si>
    <t>4500213443-10</t>
  </si>
  <si>
    <t>7/15条码箱贴纸</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</si>
  <si>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</si>
  <si>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4500211896-40</t>
  </si>
  <si>
    <t>PDQ/SK 需要在生产时加上地址贴纸</t>
  </si>
  <si>
    <t>已安排一套大货样品/item，请多备料。</t>
  </si>
  <si>
    <t>日期码格式：ZURU INC(BVI) 标准格式                  日期：按实际生产日期
Packaging Info:
77711GQ1: MA EAN 收缩膜3L-A版本+德意警语贴纸(翻单: 4500178421) +MA纸袋+MA 5L-B版本收藏指南+MA B版警告语说明书23L+MA CREATIVE 5L-A版本+MA UV GLUE
lable贴纸+MA PDQ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</si>
  <si>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r>
      <rPr>
        <sz val="11"/>
        <color rgb="FF0000FF"/>
        <rFont val="宋体"/>
        <charset val="134"/>
      </rPr>
      <t>JUGUETES</t>
    </r>
    <r>
      <rPr>
        <sz val="11"/>
        <color rgb="FF0000FF"/>
        <rFont val="宋体"/>
        <charset val="0"/>
      </rPr>
      <t xml:space="preserve">  Y  PELUCHES  SANCHIS  S.A.</t>
    </r>
  </si>
  <si>
    <t>4500215205-70</t>
  </si>
  <si>
    <t>一张进口商贴纸；（贴纸翻单4500178109）</t>
  </si>
  <si>
    <t>日期码格式：ZURU INC(BVI) 标准格式 日期：按实际生产日期
Packaging Info:
77711GQ2：最新MA 3L EAN包装+一张进口商贴纸+MA 3L PDQ+MA 5L 收藏指南；（贴纸翻单4500178109）；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</si>
  <si>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4500211395-40</t>
  </si>
  <si>
    <t>一张意大利环保标贴纸（贴纸翻4500164781）</t>
  </si>
  <si>
    <t>日期码格式：ZURU INC(BVI) 标准格式                  日期：按实际生产日期
Packaging Info: 
 4. 77711：最新MA 3L EAN收缩膜+一张意大利环保标贴纸（贴纸翻4500164781）+最新MA 5L 收藏指南+最新MA 23L 说明书+最新MA 5L 包装+最新MA 3L PDQ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所有带电池的产品请基于带/不带电池出货自行订购最新的 "WEEE说明书欧洲EN+29L"</t>
  </si>
  <si>
    <t>KIK TEXTILIEN UND NON-FOOD GMBH</t>
  </si>
  <si>
    <t>P292076/4500551637/100</t>
  </si>
  <si>
    <t>4500207603-10</t>
  </si>
  <si>
    <t>77711-S006-INT</t>
  </si>
  <si>
    <t>冰箱迷你球30pcs/箱</t>
  </si>
  <si>
    <t>6/25多语折叠警语贴纸+5L收藏指南/DIY说明书+多语DIY黑白说明书+</t>
  </si>
  <si>
    <t>已安排货好前两周，需要3套大货样，客人确认OK后，才能走货</t>
  </si>
  <si>
    <t>日期码格式： ZURU INC(BVI) 标准格式 日期：按实际生产日期
Packaging Info: 客版包装+多语折叠警语贴纸+5L收藏指南/DIY说明书+多语DIY黑白说明书+23L说明书
Remark: 1. 此单出德国，需要满足Zuru Standard欧洲标准测试要求；
2. 出口欧洲，微塑料需符合法规；
3.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FRANCE4. 所有出往GAS市场(德国/奥地利/瑞士)的电子产品需增加一张欧洲通用WEEE声明说
明书，区分带电池和不带电池版本, 如已做客版说明书可忽略此要求。4. 所有出往GAS市场(德国/奥地利/瑞士)订单，化学品需无堋无香版本。
5. 货好前两周，需要3套大货样，客人确认OK后，才能走货
6. 此单需准时完成生产，推期出货会有罚款
7. 包装不能含有PVC材料，如含吸塑需要更改为PET吸塑
8. 产品，包装，外箱 日期码需一致。
9. 标准配比</t>
  </si>
  <si>
    <t>欠客版收缩膜，黑白说明书签签样</t>
  </si>
  <si>
    <t>P292076/4500551638/200</t>
  </si>
  <si>
    <t>4500207603-20</t>
  </si>
  <si>
    <t>4500211400-10</t>
  </si>
  <si>
    <t>一张进口商贴纸（含意/希警语+意大利环保标）+一张产品贴纸，都翻45
00196388</t>
  </si>
  <si>
    <t>带干燥剂的产品需要加一张"干燥剂说明书14L"</t>
  </si>
  <si>
    <t>日期码格式：LOT2632                  日期：
Packaging Info: 1. 77711GQ2:最新MA 3L EAN收缩膜+最新MA 5L收藏指南+最新品贴纸，都翻45
00196388
Remark: 1.RATIO 同MA 一致。
2.验货后会抽办1套/item，请多备料。大货样品2套/item，用于客人验货签板，具体以邮件通知为准
3.客人日期码：LOT2632，包装（含收缩膜等）/产品/外箱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9.带干燥剂的产品需要加一张"干燥剂说明书14L"</t>
  </si>
  <si>
    <t>P292076/4500551639/300</t>
  </si>
  <si>
    <t>4500207603-30</t>
  </si>
  <si>
    <t>4500214659-20</t>
  </si>
  <si>
    <t>7/2 1张UPC 条码贴纸（193052080134) + 1 张通用进口商贴纸（贴球底部）</t>
  </si>
  <si>
    <t>日期码格式：ZURU INC(BVI) 标准格式 日期：按实际生产日期
Packaging Info: 77711GQ1: MA PDQ, 3L 收缩膜+1张UPC 条码贴纸（193052080134) + 1 张通用进口商贴纸（贴球底部）， MA 收藏指南，MA 说明书
Remark:</t>
  </si>
  <si>
    <t>4500213433-20</t>
  </si>
  <si>
    <t>日期码格式：ZURU INC(BVI) 标准格式                  日期：按实际生产日期
Packaging Info: 
77711GQ4-S001-NA
1.包装要求：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
 77711：16pcs/PDQ/CTN</t>
  </si>
  <si>
    <t>4500213433-60</t>
  </si>
  <si>
    <t>日期码格式：ZURU INC(BVI) 标准格式                  日期：按实际生产日期
Packaging Info: 
77711GQ4-S001-NA
1.包装要求：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
 77711：16pcs/PDQ/CTN</t>
  </si>
  <si>
    <t>4500213433-70</t>
  </si>
  <si>
    <t>4500213433-80</t>
  </si>
  <si>
    <t>4500213433-120</t>
  </si>
  <si>
    <t>4500213433-130</t>
  </si>
  <si>
    <t>4500210751-10</t>
  </si>
  <si>
    <t>8/13~8/14</t>
  </si>
  <si>
    <t>客版内袋AW  和  客版价格贴纸AW  及贴纸位置  都翻单PO#4500186208;+7/13 SSCC  label  外箱贴，</t>
  </si>
  <si>
    <t>客版内袋AW 都翻单PO#4500186208; 客版内袋  INNER  POLYBAG的美国标准警示语内容为：
WARNING:  TO  AVOID  DANGER  OF  SUFFOCATION,  KEEP  THIS  BAG  AWAY  FROM  BABIES  AND  CHILDREN.  DO  NOT  USE  IN  CRIBS,  BEDS,  CARRIAGES  OR  PLAY  PENS.  THIS  B
AG  IS  NOT  A  TOY.  KNOT  UP  BAG  BEFORE  THROWING  AWAY.</t>
  </si>
  <si>
    <t>3.  产品及包装上都要有日期码，日期码是一致的（但不能为周末)，格式为ZURU标准格式</t>
  </si>
  <si>
    <t>日期码格式：ZURU  INC(BVI)  标准格式                                    日期：按实际生产日期
Packaging Info: MA  UPC  最新版本包装(  优先1L）+  客版内袋  +客版价格贴纸+SSCC  label  外箱贴，
客版内袋AW  和  客版价格贴纸AW  及贴纸位置  都翻单PO#4500186208;
SSCC  label  外箱贴资料跟单提供，由工厂自行订购。
Remark: 1.  外箱贴打印常规  4"x6"  Standard  Label  Stock,  只需贴一面(正唛）,  优先贴在纸箱的右上方空白处，不可以盖住外箱上的其他信息及标签，可适当调整位置。
  2.  客版内袋  INNER  POLYBAG的美国标准警示语内容为：
WARNING:  TO  AVOID  DANGER  OF  SUFFOCATION,  KEEP  THIS  BAG  AWAY  FROM  BABIES  AND  CHILDREN.  DO  NOT  USE  IN  CRIBS,  BEDS,  CARRIAGES  OR  PLAY  PENS.  THIS  B
AG  IS  NOT  A  TOY.  KNOT  UP  BAG  BEFORE  THROWING  AWAY.
3.  产品及包装上都要有日期码，日期码是一致的（但不能为周末)，格式为ZURU标准格式</t>
  </si>
  <si>
    <t>客版内袋AW  和  客版价格贴纸AW  及贴纸位置  都翻单PO#4500186208;</t>
  </si>
  <si>
    <t>4500213890-30</t>
  </si>
  <si>
    <t>4500213890-40</t>
  </si>
  <si>
    <t>空白贴纸覆盖条码+6/12 客供价格贴</t>
  </si>
  <si>
    <t>4500213351-10</t>
  </si>
  <si>
    <t>7/14UPC贴纸+包装进口商贴纸</t>
  </si>
  <si>
    <t>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77711GQ2 MA多语EAN包装+UPC贴纸+MA多语收藏指南+MA 多语 PDQ+包装进口商贴纸+箱唛
Remark:</t>
  </si>
  <si>
    <t>WALGREENS  CO.</t>
  </si>
  <si>
    <t>4500213583-10</t>
  </si>
  <si>
    <t>WIC  贴纸    （WIC  #  750358，同翻单4500183538）</t>
  </si>
  <si>
    <t>日期码格式：ZURU  INC(BVI)  标准格式                                    日期：08-12-2026
Packaging Info: MA  1L  收缩膜  +  WIC  贴纸    （WIC  #  750358，同翻单4500183538）    +  MA  收藏指南  +  客版PDQ  (同翻单4500183538）+  PDQ折页（同翻单4500183538，放在PDQ顶部，
开箱可以看到）
Remark: 产品和包装上要有zuru标准格式tracking  code  DG20260812  产品和包装的日期要一致  ，如果无法一致需要提前确认。</t>
  </si>
  <si>
    <t>Cara  Li</t>
  </si>
  <si>
    <t>4500213583-20</t>
  </si>
  <si>
    <t>4500213583-30</t>
  </si>
  <si>
    <t>4500213583-40</t>
  </si>
  <si>
    <t>4500213583-50</t>
  </si>
  <si>
    <t>7/22 进口商贴纸+7/10 价标贴纸+7/22 保证书</t>
  </si>
  <si>
    <t>77785-S003-77711-NA</t>
  </si>
  <si>
    <t>已安排4. #9561/77785须于7/28安排签板，签板数量：大货样各5pcs+齐套散件各3sets
5. #9561/77785须于8/5安排抽板测试，抽板数量：
9561：大货4pcs+齐套散件4sets
77785：大货4pcs+齐套散件4sets</t>
  </si>
  <si>
    <t>日期码格式：ZURU INC(BVI) 标准格式 日期：按实际生产日期
Packaging Info: 
#77785 NA版本：
客版3L彩盒(193052104984)+客版3L收缩膜(77673)+客版2L收缩膜NA版本(77711)+MA多语内包材
Remark: 1. 此单有箱唛;
2. 此单有第三方验货，烦请多备包装物料；
3. 此单须在原来错误的条码上用黑色粗头笔涂黑直至不能扫描，再贴上正确的UPC/贴纸;
4. #9561/77785须于7/28安排签板，签板数量：大货样各5pcs+齐套散件各3sets
5. #9561/77785须于8/5安排抽板测试，抽板数量：
77785：大货4pcs+齐套散件4sets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</si>
  <si>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D</t>
  </si>
  <si>
    <t>7/3 一张客供价格贴纸</t>
  </si>
  <si>
    <t>日期码格式：ZURU INC(BVI) 标准格式 日期：按实际生产日期 Tracking Code:
Packaging Info:  77785:MA 3L UPC包装+D版29L带电池出货版本WEEE说明书+1张客供价格贴纸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</si>
  <si>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4500206916-20</t>
  </si>
  <si>
    <t>一张UPC条码贴+  防盗贴纸（两款贴纸以及防盗贴纸位置图翻单PO#4500160026）+  箱唛  + 7/20 外箱贴纸SSCC  L
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</si>
  <si>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此单需要与NZ  PO#4500206917一起合并计算</t>
  </si>
  <si>
    <t>4500206917-20</t>
  </si>
  <si>
    <t>一张UPC条码贴+  防盗贴纸（两款贴纸以及防盗贴纸位置图翻单PO#4500160026）+  箱唛  +  7/20 外箱贴纸SSCC  L
abel</t>
  </si>
  <si>
    <t>日期码格式：ZURU  INC(BVI)  标准格式                                    日期：按实际生产日期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此单需要与AU  PO#4500206916一起合并计算</t>
  </si>
  <si>
    <t>4500213839-10</t>
  </si>
  <si>
    <t>8/06-8/12</t>
  </si>
  <si>
    <t>日期码格式：ZURU INC(BVI) 标准格式                  日期：按实际生产日期
Packaging Info: 77711GQ1：  MA NA 2L UCC
Remark: 出加拿大
Zuru验货. 日期跟踪码：产品外包装及产品本身都必须有日期跟踪码，ZURU标准格式日期码</t>
  </si>
  <si>
    <r>
      <rPr>
        <sz val="11"/>
        <color rgb="FF0000FF"/>
        <rFont val="宋体"/>
        <charset val="134"/>
      </rPr>
      <t>SMYTHS</t>
    </r>
    <r>
      <rPr>
        <sz val="11"/>
        <color rgb="FF0000FF"/>
        <rFont val="宋体"/>
        <charset val="0"/>
      </rPr>
      <t xml:space="preserve">  TOYS  EU  HQ  UNLIMITED  COMPANY</t>
    </r>
  </si>
  <si>
    <t>4500215186-20</t>
  </si>
  <si>
    <t>日期码格式：ZURU INC(BVI) 标准格式 日期：按实际生产日期
Packaging Info:
"77711GQ2: 最新MA PDQ(优先3L)+MA-3L EAN收缩膜+1张法国sorting label贴纸(翻PO#4500182619) + MA-23L说明书 + MA-5-23L警语收藏指南 + MA-5L creative
说明书
*外箱需加一张UN3481锂电池运输标签*"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</si>
  <si>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4500210497-20</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</si>
  <si>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西环保标）（翻4500197331）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所有订单出口西班牙都需要有西班牙环保标和西班牙（ES）/葡萄牙警语
   (PT)的说明书。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包括DEMO  BOX的产品外箱请都统一增加向上标示，以防倒置
造成产品移位或损坏。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带电池产品都需要包含最新29LWEEE黑白说明书(带电池出货/不带电池出货)。产品里如果含干燥剂，请附上干燥剂14L说明书。
8，MTS所有订单，SMASHERS  或含Slime产品，所有化合物使用低硼版本出；    BOB系列要符合欧洲要求不含亚硝酸版本;  XShot  Hyper系列，统一出EN71版本;  Slime  M
art统一用EUR版本的包装。#17601需要出NS版本。
9.  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</si>
  <si>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4500213087-20</t>
  </si>
  <si>
    <t>7/1 寄出1张RFID贴纸</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</si>
  <si>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1.包装要求：
77711GQ4-S001-NA:  MA  1L  A版收缩膜+MA  2L  B版收藏指南+MA  B版说明书+客版1L  PDQ
每pcs产品上要贴1张RFID贴纸，贴纸由ZURU提供，贴纸位置请严格按照我们签回的签板；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</si>
  <si>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4500212389-60</t>
  </si>
  <si>
    <t>7/8寄出价格贴纸，价格贴纸客供。2PK/3PK的球用无条码收缩膜或加空白贴纸覆盖原条码。</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</si>
  <si>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Marshalls PO#115821,SKU#943883 DC#881-804PCS, DC#884-660PCS, DC#886-876PCS, DC#887-864PCS, DC#888-792PCS</t>
  </si>
  <si>
    <t>4500212394-60</t>
  </si>
  <si>
    <t>8.14-8.18</t>
  </si>
  <si>
    <t>日期码格式：ZURU INC(BVI) 标准格式                  日期：按实际生产日期
Packaging Info: MA UPC包装(优先1L)+价格贴纸，价格贴纸客供。2PK/3PK的球用无条码收缩膜或加空白贴纸覆盖原条码。
Remark: 1. 产品和包装上印刷tracking code信息，格式为ZURU常规格式。
 2. ZURU QC验货。
 3. 分5个DC出货，每款产品每个DC的箱唛资料不同，具体DC数量如下：
item#77731: TJ MAXX PO#115828,SKU#223214 DC#891-840PCS, DC#894-696PCS, DC#896-552PCS, DC#897-1212PCS, DC#898-708PCS</t>
  </si>
  <si>
    <t>4500214241-30</t>
  </si>
  <si>
    <t>7/21 一张进口商贴</t>
  </si>
  <si>
    <t>产品及包装需要印CE  logo图标，包装需含有西班牙环保标  和care@zuru.com  邮箱地址，     另外，包装贴纸上面的警告语不可以覆盖西班牙警告语。QC同事请核
查，如有问题需和跟单确认。</t>
  </si>
  <si>
    <t>日期码格式：ZURU  INC(BVI)  标准格式                                    日期：按实际生产日期
Packaging Info: 
77711GQ2：最新MA  3L  EAN  INT版本包装+一张进口商贴纸+MA  23L  警告语说明书+MA  5L  收藏指南+MA  3L  PDQ；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6.LC条款，延迟出货有罚款，请工厂按时完货并及时验货；</t>
  </si>
  <si>
    <t>4500201755-10</t>
  </si>
  <si>
    <t>7/8寄出价格贴纸，价格贴纸客供。2PK的球用无条码收缩膜或加空白贴纸覆盖原条码。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</si>
  <si>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分3-5个DC出货，每款产品每个DC的箱唛资料不同，具体DC数量如下：
item#77731: Marshalls PO#127326,SKU#924219 DC#881-372PCS, DC#884-384PCS, DC#886-504PCS, DC#887-432PCS, DC#888-312PCS</t>
  </si>
  <si>
    <t>4500212517-80</t>
  </si>
  <si>
    <t>4500212517-90</t>
  </si>
  <si>
    <t>4500201756-10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</si>
  <si>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PO#127339,SKU#203504 DC#891-480PCS, DC#894-372PCS, DC#896-312PCS, DC#897-660PCS, DC#898-372PCS</t>
  </si>
  <si>
    <t>4500211354-60</t>
  </si>
  <si>
    <t>4500211915-40</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</si>
  <si>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</si>
  <si>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4500212038-10</t>
  </si>
  <si>
    <t>ZB07338</t>
  </si>
  <si>
    <t>4500214197-30</t>
  </si>
  <si>
    <t>7/20RFID贴纸</t>
  </si>
  <si>
    <t>4500214197-50</t>
  </si>
  <si>
    <t>4500214816-30</t>
  </si>
  <si>
    <t>4500214816-40</t>
  </si>
  <si>
    <t>4500210229-20</t>
  </si>
  <si>
    <t>7/24 UPC 贴纸+进口商贴纸</t>
  </si>
  <si>
    <t>日期码格式：ZURU INC(BVI) 标准格式 日期：按实际生产日期 Tracking Code:
Packaging Info: 
77711/77772/92119A/92119B/92125A/92125H/92125G/92147B/92147E/92147A：MA 3L EAN包装+UPC 贴纸+进口商贴纸+箱唛
Remark:</t>
  </si>
  <si>
    <t>MEIJER  DISTRIBUTION,  INC.</t>
  </si>
  <si>
    <t>4500214992-30</t>
  </si>
  <si>
    <t>日期码格式：ZURU  INC(BVI)  标准格式                                    日期：按实际生产日期
Packaging Info: 1.      产品MA  UPC包装（优先1L）出美国
   2.    客人指定箱唛排版
Remark: 出货前  Zuru  QC  验货</t>
  </si>
  <si>
    <t>4500214992-40</t>
  </si>
  <si>
    <t>4500215872-10</t>
  </si>
  <si>
    <t>4500216056-60</t>
  </si>
  <si>
    <t>一张进口商（含ES环保标）贴纸（贴纸翻单4500187980）；</t>
  </si>
  <si>
    <t>日期码格式：ZURU  INC(BVI)  标准格式                                    日期：按实际生产日期
Packaging Info: 
77711GQ2:最新MA  3L  EAN包装+一张进口商（含ES环保标）贴纸+MA  3L  PDQ+MA  5L  收藏指南；（贴纸翻单4500187980）；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t>
  </si>
  <si>
    <t>4500213036-10</t>
  </si>
  <si>
    <t>客版价格贴纸+7/13 SSCC  label  外箱贴，
客版内袋AW  和  客版价格贴纸AW  及贴纸位置  都翻单PO#4500186208;</t>
  </si>
  <si>
    <t>10001788156-3890</t>
  </si>
  <si>
    <t>4500214721-10</t>
  </si>
  <si>
    <t>7/30 条码箱贴纸</t>
  </si>
  <si>
    <t>7CNGJCPD</t>
  </si>
  <si>
    <t>4500213094-50</t>
  </si>
  <si>
    <t>1张空白贴纸(覆盖在条码位置，尺寸
由工厂自行测量)+客版3L(5L warning UPC) INT PVC筒彩卡(UPC#+英法德意西5L警示语+FR/
ES环保标+GPSR邮箱care@zuru.com+新FR&lt;(&gt;&amp;&lt;)&gt;DK&lt;(&gt;&amp;&lt;)&gt;UK地址，参考翻单PO#4500194447)+1张IT环保标贴纸(参考翻单PO#4500158623）；+ 7/16 SSCC LABEL一张,</t>
  </si>
  <si>
    <r>
      <rPr>
        <sz val="11"/>
        <color rgb="FF0000FF"/>
        <rFont val="宋体"/>
        <charset val="134"/>
      </rPr>
      <t>日期码格式：ZURU INC(BVI) 标准格式</t>
    </r>
    <r>
      <rPr>
        <sz val="11"/>
        <color rgb="FF0000FF"/>
        <rFont val="宋体"/>
        <charset val="0"/>
      </rPr>
      <t xml:space="preserve">                  日期：按实际生产日期
Packaging Info: 
Amazon FR: 7CNGJCPD/3W29Z8JB
Amazon UK(15757/77806/15728G)/FR(77731)
4. 77731: 2PK#77711-INT In PVC Tube，12tubes/ctn; UV GLUE/ 1 Refrigerator Magnet; MA 3L(3L warning EAN)A收缩膜+1张空白贴纸(覆盖在条码位置，尺寸
由工厂自行测量)+MA 5L(23L warning)C收藏指南+MA 23L B警告语说明书+MA 5L A说明书 +客版3L(5L warning UPC) INT PVC筒彩卡(UPC#+英法德意西5L警示语+FR/
ES环保标+GPSR邮箱care@zuru.com+新FR&lt;(&gt;&amp;&lt;)&gt;DK&lt;(&gt;&amp;&lt;)&gt;UK地址，参考翻单PO#4500194447)+1张IT环保标贴纸(参考翻单PO#4500158623）；
5. 验货时间不迟于2026/08/07.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</si>
  <si>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3W29Z8JB</t>
  </si>
  <si>
    <t>4500213094-60</t>
  </si>
  <si>
    <t>1张空白贴纸(覆盖在条码位置，尺寸
由工厂自行测量)+客版3L(5L warning UPC) INT PVC筒彩卡(UPC#+英法德意西5L警示语+FR/
ES环保标+GPSR邮箱care@zuru.com+新FR&lt;(&gt;&amp;&lt;)&gt;DK&lt;(&gt;&amp;&lt;)&gt;UK地址，参考翻单PO#4500194447)+1张IT环保标贴纸(参考翻单PO#4500158623）；+7/16 SSCC LABEL一张,</t>
  </si>
  <si>
    <t>7/3 一张客供价格贴纸+一张警告语贴纸（德语/波兰语/荷兰语）翻单：4500201132+彩盒地址贴纸，翻单:4500205118</t>
  </si>
  <si>
    <t>日期码格式：ZURU INC(BVI) 标准格式                  日期：按实际生产日期
Packaging Info:
77785:MA 3L UPC包装+一张客供价格贴纸+一张警告语贴纸（德语/波兰语/荷兰语）翻单：4500201132+D版29L带电池出货版本WEEE说明书+一张地址贴纸，翻单:450
 0205118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</si>
  <si>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4500204716-30</t>
  </si>
  <si>
    <t>1张UPC贴纸（翻单4500180436）+1张进口商贴纸（翻单4500162410) ，客版PDQ跟回77782GQ1-S001-INT（翻单号4500161302）+客版收藏指
 南（新稿）; PDQ+1张进口商贴纸（翻单4500162410）</t>
  </si>
  <si>
    <t>所有RBC的产品（内外）包装上不能有彩虹。</t>
  </si>
  <si>
    <t>日期码格式：ZURU INC(BVI) 标准格式 日期：按实际生产日期
Packaging Info: 出UAE, 包装不能有希伯来语
所有RBC的产品（内外）包装上不能有彩虹。
77803GQ2: MA 1L 收缩膜+1张UPC贴纸（翻单4500180436）+1张进口商贴纸（翻单4500162410) ，客版PDQ跟回77782GQ1-S001-INT（翻单号4500161302）+客版收藏指
南（新稿）; PDQ+1张进口商贴纸（翻单4500162410）
客人箱唛排版，印4面，条码内容193052092403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</si>
  <si>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7/20 客版收藏指
 南（新稿）</t>
  </si>
  <si>
    <t>4500204719-30</t>
  </si>
  <si>
    <t>1张UPC贴纸（翻单4500180436）+1张进口商贴纸（翻单4500162410) ，客版PDQ跟回77782GQ1-S001-INT（翻单号4500161302）+
客版收藏指南（新稿）；展示架跟回77803SK1-S002-PRODCC-INT（翻单4500180498）
; PDQ+1张进口商贴纸（翻单4500162410）;展示架+1张进口商贴纸（翻单4500162410）</t>
  </si>
  <si>
    <t>日期码格式：ZURU INC(BVI) 标准格式 日期：按实际生产日期
Packaging Info: 出QATAR, 包装不能有希伯来语
所有RBC的产品（内外）包装上不能有彩虹。
77803GQ2/77803SK1: MA 1L 收缩膜+1张UPC贴纸（翻单4500180436）+1张进口商贴纸（翻单4500162410) ，客版PDQ跟回77782GQ1-S001-INT（翻单号4500161302）+
客版收藏指南（新稿）；展示架跟回77803SK1-S002-PRODCC-INT（翻单4500180498）
; PDQ+1张进口商贴纸（翻单4500162410）;展示架+1张进口商贴纸（翻单4500162410）
客人箱唛排版，印4面，条码内容193052092403
Remark: 77772GQ2-S001-PRODCC2:
WITH 4PCS DEMO/PDQ; Remove 15 mini vinyls(squabble up/Low Down/Brick House/Last Friday Night (T.G.I.F.)/Not Like Us/Woah/Messy/Delicious/Good Lu
ck, Babe!/Pink Pony Club/Super Freak/Man! I Feel Like a Woman!/Thunder( rainbow)/Shake your Groove Thing" ( Kissing)/Sweet Home Alabama ( Rainb
ow))</t>
  </si>
  <si>
    <t>4500204719-40</t>
  </si>
  <si>
    <t>4500204723-30</t>
  </si>
  <si>
    <t>日期码格式：ZURU INC(BVI) 标准格式 日期：按实际生产日期
Packaging Info: 出KSA 包装不能有希伯来语，
所有RBC的产品（内外）包装上不能有彩虹。
77803GQ2/77803SK1: MA 1L 收缩膜+1张UPC贴纸（翻单4500180436）+1张进口商贴纸（翻单4500162410) ，客版PDQ跟回77782GQ1-S001-INT（翻单号4500161302）+
客版收藏指南（新稿）；展示架跟回77803SK1-S002-PRODCC-INT（翻单4500180498）
; PDQ+1张进口商贴纸（翻单4500162410）;展示架+1张进口商贴纸（翻单4500162410）
客人箱唛排版，印4面，条码内容193052092403
Remark: 77772GQ2-S001-PRODCC2:
WITH 4PCS DEMO/PDQ; Remove ？？ mini vinyls(squabble up/Low Down/Brick House/Last Friday Night (T.G.I.F.)/Not Like Us/Woah/Messy/Delicious/Good
Luck, Babe!/Pink Pony Club/Super Freak/Man! I Feel Like a Woman!/Thunder( rainbow)/Shake your Groove Thing" ( Kissing)/Sweet Home Alabama ( Rai
nbow) and ？？)</t>
  </si>
  <si>
    <t>4500204723-40</t>
  </si>
  <si>
    <t>4500210803-20</t>
  </si>
  <si>
    <t>UPC贴纸+进口商贴纸，所有贴纸翻单PO4500208984</t>
  </si>
  <si>
    <t>日期码格式：ZURU INC(BVI) 标准格式 日期：按实际生产日期
Packaging Info: 77711SK：MA 3L SK包装+MA 3L EAN包装+UPC 贴纸+进口商贴纸+箱唛，所有贴纸翻单PO4500208984
Remark: 客户有监装要求，每款需要名准备1pc监柜样板</t>
  </si>
  <si>
    <t>4500214437-20</t>
  </si>
  <si>
    <t>7/3一张客供价格贴纸+一张警告语贴纸（德语/荷兰语/波兰语）翻单：4500201132+PDQ地址贴纸，翻单:4500214424</t>
  </si>
  <si>
    <t>日期码格式：ZURU INC(BVI) 标准格式 日期：按实际生产日期 Tracking Code:
Packaging Info:  77711GQ1:MA A版3L PDQ+PDQ地址贴纸，翻单:4500214424+MA A版3L EAN包装+一张客供价格贴纸+一张警告语贴纸（德语/荷兰语/波兰语）翻单：4500201132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</si>
  <si>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4500214424-10</t>
  </si>
  <si>
    <t>7/3 一张客供价格贴纸+7/29 PDQ地址贴纸</t>
  </si>
  <si>
    <t>日期码格式：ZURU INC(BVI) 标准格式 日期：按实际生产日期 Tracking Code:
Packaging Info: 77711GQ1:MA A版3L PDQ+PDQ地址贴纸+MA A版3L EAN包装+一张客供价格贴纸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</si>
  <si>
    <t>4500213921-20</t>
  </si>
  <si>
    <t>日期码格式：ZURU INC(BVI) 标准格式                  日期：按实际生产日期
Packaging Info: 
77711SK1 MA 2L UPC版本193052080127
Remark: 出加拿大
日期跟踪码：产品外包装及产品本身都必须有日期跟踪码，并且确保两者的日期跟踪码要一致；ZURU标准格式日期码(请自行调整具体年月日生产期，但不能为周末
)</t>
  </si>
  <si>
    <t>4500210225-10</t>
  </si>
  <si>
    <t>日期码格式：ZURU INC(BVI) 标准格式                  日期：按实际生产日期
Packaging Info: 77711GQ2/77772GQ2：MA 3L PDQ包装+MA 3L EAN包装+UPC 贴纸+进口商贴纸+箱唛
Remark：</t>
  </si>
  <si>
    <t>4500210228-10</t>
  </si>
  <si>
    <t>7/24 UPC 贴纸+进口商贴纸，贴纸翻单PO4500210225</t>
  </si>
  <si>
    <t>日期码格式：ZURU INC(BVI) 标准格式 日期：按实际生产日期 Tracking Code:
Packaging Info: 77711GQ2/77772GQ2：MA 3L PDQ包装+MA 3L EAN包装+UPC 贴纸+进口商贴纸+箱唛，贴纸翻单PO4500210225
Remark:</t>
  </si>
  <si>
    <t>4500210231-20</t>
  </si>
  <si>
    <t>UPC 贴纸+进口商贴纸，贴纸翻单PO4500210225</t>
  </si>
  <si>
    <t>日期码格式：ZURU INC(BVI) 标准格式 日期：按实际生产日期 Tracking Code:
Packaging Info: 
 77711GQ2/77772GQ2：MA 3L PDQ包装+MA 3L EAN包装+UPC 贴纸+进口商贴纸+箱唛，贴纸翻单PO4500210225
Remark:</t>
  </si>
  <si>
    <t>MPO11007-20</t>
  </si>
  <si>
    <t>MPO11007-60</t>
  </si>
  <si>
    <r>
      <rPr>
        <sz val="11"/>
        <color rgb="FF0000FF"/>
        <rFont val="宋体"/>
        <charset val="134"/>
      </rPr>
      <t>Remark:</t>
    </r>
    <r>
      <rPr>
        <sz val="11"/>
        <color rgb="FF0000FF"/>
        <rFont val="宋体"/>
        <charset val="134"/>
        <scheme val="minor"/>
      </rPr>
      <t xml:space="preserve">
① 订单的所有测试与样品要求以跟单的要求为准，且为了避免QC验货拆货来不及补货，请准备适量的贴纸和产品备品。此订单数量只作为⼤货⽣产，不包含样板与备品。 ② 关
于混装展⽰架，各⼯⼚交⼦件到最终⺟件⼯⼚时，务必要 "带卡板出+围好围膜"。 如果没按要求的，请各⼯⼚⾃⾏安排⼈⼿卸货。 ③ 请贵司确保交货数量准确，与收货⽅交收清
楚，如收货⽅提出任何异常，请⽴即安排处理解决。
① 2% loss; ② inform us to arrange inspection before delivery
1、 包装⽅式：MA UPC优先1L最新版，出⼝美国
2、⽆测试⽆验货要求
3、纸箱可⽤周转箱+箱唛（此箱唛可直接⽤A4纸注明:混装展⽰架MSLD178-S001 &amp; 4500198423(MPO单号) &amp; 对应的产品款号 &amp; 装箱数相关信息即可）
4、⽇期码请按ZURU标准版执⾏即可
5、ZURU OQC 验货</t>
    </r>
  </si>
  <si>
    <t>4500215347-10</t>
  </si>
  <si>
    <t>1张进口商贴纸+1张UPC条码贴纸覆盖原条码(UPC贴纸显示款号77803，条码193052092403）。贴纸资料翻单4500178095。
客版PDQ跟回拉美的订单4500161302;</t>
  </si>
  <si>
    <t>贴纸资料翻单4500178095。
客版PDQ跟回拉美的订单4500161302;
收藏指南follow 中东的客版资料,翻单4500204716, 移除以下2个minis,</t>
  </si>
  <si>
    <t xml:space="preserve">日期码格式：ZURU INC(BVI) 标准格式 日期：按实际生产日期
Packaging Info: 
77803GQ2是基于STD版本77711GQ2-S001-INT建立的客制spec,移除掉了提到猪肉"pork"的2个minis和4个有license的minis：Veggie Original Sausage Patties(Co
ntains pork words)
Singles The Original- Pepperoni (Contains pork words)
Kikkoman-Soy Sauce (license)
Hershey's-Chocolate Syrup 24 oz (license)
Hershey's-Mini Chocolate Syrup 24 oz (license)
Hershey's-Strawberry Syrup 22 oz (license)
还需移除过期的5个PIZZA的minis;
除了PDQ和收藏指南，其他包材如收缩膜等都跟STD版本77711GQ2-S001-INT- MA 3L版。
所以，77803GQ2-MA EAN包装（3L)+1张进口商贴纸+1张UPC条码贴纸覆盖原条码(UPC贴纸显示款号77803，条码193052092403）。贴纸资料翻单4500178095。
客版PDQ跟回拉美的订单4500161302;
收藏指南follow 中东的客版资料,翻单4500204716, 移除以下2个minis,
Veggie Original Sausage Patties(Contains pork words)
Singles The Original- Pepperoni (Contains pork words)
Remark: </t>
  </si>
  <si>
    <t>已安排客版收藏指
 南（新稿）</t>
  </si>
  <si>
    <t>4500215017-10</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</si>
  <si>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
   77673：4pcs/PDQ/CTN</t>
  </si>
  <si>
    <t>4500215017-30</t>
  </si>
  <si>
    <t>4500215017-50</t>
  </si>
  <si>
    <t>4500215017-80</t>
  </si>
  <si>
    <t>4500213085-120</t>
  </si>
  <si>
    <t>4500215019-10</t>
  </si>
  <si>
    <t>8/24 bv</t>
  </si>
  <si>
    <t>7/24RFID贴纸</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</si>
  <si>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
   3.  在产品上和包装上要有日期码、以及要有MADE  IN  CHINA和ZURU字样；
   4.  产品如有扎带口要剪平，不能刮手。
   5.  此单验货，请多备料
   6.  此单以loose  carton出货，
   77711：16pcs/PDQ/CTN</t>
  </si>
  <si>
    <t>4500216020-20</t>
  </si>
  <si>
    <t>8/27 bv</t>
  </si>
  <si>
    <t>日期码格式：ZURU  INC(BVI)  标准格式                                    日期：按实际生产日期
Packaging Info: 1.包装要求：
77711GQ4-S001-NA:  MA  1L  A版收缩膜+MA  2L  C版收藏指南+MA  B版说明书+客版1L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</si>
  <si>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4500216020-40</t>
  </si>
  <si>
    <t>8/26 bv</t>
  </si>
  <si>
    <t>4500216020-50</t>
  </si>
  <si>
    <t>4500214819-20</t>
  </si>
  <si>
    <t>8/27 BV</t>
  </si>
  <si>
    <t>日期码格式：ZURU INC(BVI) 标准格式                  日期：按实际生产日期
Packaging Info: 1.包装要求：
77711GQ4-S001-NA: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</si>
  <si>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4500207783-90</t>
  </si>
  <si>
    <t>6/24 SSCC label</t>
  </si>
  <si>
    <t>日期码格式：ZURU INC(BVI) 标准格式                  日期：按实际生产日期
Packaging Info: Amazon UK: 4FGXJ4DX/3E5781FW
Amazon DE: 2D83IUVS
Amazon UK(77785/77731/77673/9565E)/DE(77806/15750H/15752ABDEH)
2. 77731: 2PK#77711-INT In PVC Tube，12tubes/ctn; UV GLUE/ 1 Refrigerator Magnet; MA 3L(3L warning EAN)A收缩膜+1张空白贴纸(覆盖在条码位置，尺寸
由工厂自行测量)+MA 5L(23L warning)B收藏指南+MA 23L B警告语说明书+MA 5L B说明书 +客版3L(5L warning UPC) INT PVC筒彩卡(UPC#+英法德意西5L警示语+FR/
ES环保标+GPSR邮箱care@zuru.com+新FR//DK/UK地址，参考翻单PO#4500194447)+1张IT环保标贴纸(参考翻单PO#4500158623）；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</si>
  <si>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6/3客供价格贴纸+外箱贴纸</t>
  </si>
  <si>
    <t>日期码格式：ZURU  INC(BVI)  标准格式                                    日期：按实际生产日期
Packaging Info: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Remark: 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Loading：2Wx4Dx3H  =24pcs/Display/Carton</t>
  </si>
  <si>
    <t>取消单没有做，正常生产</t>
  </si>
  <si>
    <t>.空白外箱（加印带Zuru字样的最新logo，除了邮包盒直接做外箱的产品）  + SSCC LABEL一张, 无箱唛，MADE IN CHINA 外箱只印一正一侧。箱唛资料按照给定的
标准去做即可，无需发回我方再行审批(新标准将另行通知)。</t>
  </si>
  <si>
    <t>7/16 SSCC LABEL+1张贴纸(含DE/IT警告语，贴彩盒，翻单PO4500197236)</t>
  </si>
  <si>
    <r>
      <rPr>
        <sz val="11"/>
        <color rgb="FF000000"/>
        <rFont val="宋体"/>
        <charset val="134"/>
      </rPr>
      <t>"日期码格式：ZURU INC(BVI) 标准格式 日期：按实际生产日期
Packaging Info: Amazon ES: 2QV5RIDJ/1M25H6DO
Amazon IT: 5W9612PJ
Amazon UK: 89531IYN/69MBG54Q/626R323Y/1PSAFFSZ
Amazon ES(77785/77809)/IT(77785)/UK(15726D/15749AB/15750G/71137/77785)
2.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warning)C收藏指南+MA 23L警告语说明书+MA 5L A说明书 +客版彩盒（3L (3
L warning)+新FR/DK/UK地址，参考翻单PO#4500194447）+WEEE_带电池走货 _ 说明书欧洲EN+29L_D版+1张贴纸(含DE/IT警告语，贴彩盒，翻单PO4500197236)</t>
    </r>
    <r>
      <rPr>
        <sz val="11"/>
        <color rgb="FFFF0000"/>
        <rFont val="宋体"/>
        <charset val="134"/>
      </rPr>
      <t>**消
耗4500208520-77785 1920pcs 入箱成品库存，剩下的按实单采购**</t>
    </r>
    <r>
      <rPr>
        <sz val="11"/>
        <color rgb="FF000000"/>
        <rFont val="宋体"/>
        <charset val="134"/>
      </rPr>
      <t xml:space="preserve">
7. 验货时间不迟于2026/08/13.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</si>
  <si>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1SY29W9T</t>
  </si>
  <si>
    <t>4500213825-220</t>
  </si>
  <si>
    <t>客版无UPC版本收缩膜翻单4500186575+8/3 SSCC Label(客供贴纸，由跟单订购)</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</si>
  <si>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</si>
  <si>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2KYS5A9E</t>
  </si>
  <si>
    <t>4500213723-110</t>
  </si>
  <si>
    <t>日期码格式：ZURU INC(BVI) 标准格式                  日期：按实际生产日期
Packaging Info: 
#77731：2PK STD #77711入PVC桶，3L 2PK铜版纸，客版无UPC版本收缩膜翻单4500186575。收藏指南，说明书均为MA 1L标版。（两个球的配比不能重复）。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</si>
  <si>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BRANDS FOR ALL</t>
  </si>
  <si>
    <t>加纳</t>
  </si>
  <si>
    <t>43CHT26GHCA1265</t>
  </si>
  <si>
    <t>4500211998-10</t>
  </si>
  <si>
    <t>空白纸箱: 在正唛（只1面）加多虚线15 x 10.5 cm ( 高x 宽) 距箱左边2cm， 距箱底 3cm，虚线内1张外箱贴纸（在checkpoint网站上订）Customer Service:
 Erica Lun Tel.+852 2995 8399/erica.lun@checkpt.com</t>
  </si>
  <si>
    <t>7/2加纳进口商贴纸</t>
  </si>
  <si>
    <t>产品/包装上指定日期码DG20260814</t>
  </si>
  <si>
    <t>8/5 大货样品2套，请多备料</t>
  </si>
  <si>
    <r>
      <rPr>
        <sz val="11"/>
        <color rgb="FF000000"/>
        <rFont val="宋体"/>
        <charset val="134"/>
      </rPr>
      <t>日期码格式：ZURU INC(BVI) 标准格式 日期：</t>
    </r>
    <r>
      <rPr>
        <sz val="11"/>
        <color rgb="FFFF0000"/>
        <rFont val="宋体"/>
        <charset val="134"/>
      </rPr>
      <t>指定日期码DG20260814</t>
    </r>
    <r>
      <rPr>
        <sz val="11"/>
        <color rgb="FF000000"/>
        <rFont val="宋体"/>
        <charset val="134"/>
      </rPr>
      <t xml:space="preserve">
Tracking Code:
Packaging Info: 77711GQ2: MA 3L EAN收缩膜(4894680043350)，加纳进口商贴纸，MA 纸袋， MA 5L UV 贴纸，MA 5L+23L警语收藏指南， MA 23L警语说明书，MA 5L creative说明
 书， MA 3L PDQ
Remark: 1.大货样品2套，请多备料。
 2. 出口欧洲，所有产品微塑料需符合法规。
 3. 空白纸箱: 在正唛（只1面）加多虚线15 x 10.5 cm ( 高x 宽) 距箱左边2cm， 距箱底 3cm，虚线内1张外箱贴纸（在checkpoint网站上订）Customer Service:
 Erica Lun Tel.+852 2995 8399/erica.lun@checkpt.com
 4. 所有包装材料禁止使用PVC，需改用PET材料。
 5. 要求使用双坑纸箱，外箱尺寸超出7%有350USD的罚款，请注意外箱尺寸变更不能超出7%。
 6. 客人系统外箱尺寸: TY161396 77711GQ2 41.00 cmx21.50 cmx32.00 cm
 7.所有出往欧洲市场订单的电子产品需增加一张WEEE声明说明书，区分带电池和不带电池版本, 如已做客版说明书可忽略此要求。</t>
    </r>
  </si>
  <si>
    <t>Kico Zang</t>
  </si>
  <si>
    <t>4500213743-70</t>
  </si>
  <si>
    <t>8/21 第三方验货，烦请多备包装物料；</t>
  </si>
  <si>
    <t>已安排77711须于2026/8/11安排签板，签板数量：大货样4pcs+齐套散件3sets</t>
  </si>
  <si>
    <t>日期码格式：ZURU INC(BVI) 标准格式                  日期：按实际生产日期
Packaging Info: 
#77711:
客版3L,PDQ(NA版,16装)+MA2L收缩膜(NA版,UPC:193052080127)+MA2L收藏指南(NA版C版)+MA配件袋+MA5L说明书+MA23L警告语说明书(B)
翻单：4500186723
Remark: 1. 此单有箱唛;
 2. UPC贴纸：必须在原来错误的条码上用黑色粗头笔涂黑直至不能扫描，再贴上正确的UPC;
 3. 此单有第三方验货，烦请多备包装物料；
4.#77711须于2026/8/11安排签板，签板数量：大货样4pcs+齐套散件3sets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</si>
  <si>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4500214935-10</t>
  </si>
  <si>
    <t>8/21第三方验货，请按时完工。</t>
  </si>
  <si>
    <t>一张西班牙环保标贴纸+8/6寄出一张客供RFID 贴纸，（环保标贴纸翻单4500186008）</t>
  </si>
  <si>
    <t>7/25安排 大货样品3套/item，请多备料。</t>
  </si>
  <si>
    <t>日期码格式：ZURU  INC(BVI)  标准格式                                    日期：按实际生产日期
Packaging Info: 77711GQ2：最新MA  3L  EAN包装+一张西班牙环保标贴纸+一张客供RFID  贴纸+MA  3L  PDQ+MA  5L  收藏指南；（环保标贴纸翻单4500186008）；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5.外箱+2pcs  条码贴（此贴纸客供）
6.订单出两个港口Madrid和Barcelona，出不同港口的外箱不同
6.订单需要签办及第三方验货，请按时完工。
7.大货样品3套/item，请多备料。</t>
  </si>
  <si>
    <t>4500214935-50</t>
  </si>
  <si>
    <t>4500201757-10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</si>
  <si>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Marshalls PO#127327,SKU#923932 DC#881-192PCS, DC#884-180PCS, DC#886-228PCS, DC#887-216PCS, DC#888-180PCS</t>
  </si>
  <si>
    <t>4500201758-10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</si>
  <si>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PO#127340,SKU#203586 DC#891-276PCS, DC#894-180PCS, DC#896-192PCS, DC#897-324PCS, DC#898-228PCS</t>
  </si>
  <si>
    <t>PO0001904</t>
  </si>
  <si>
    <t>4500207214-30</t>
  </si>
  <si>
    <t>进口商贴纸,进口商贴纸翻单4500210024</t>
  </si>
  <si>
    <r>
      <rPr>
        <sz val="11"/>
        <color rgb="FF000000"/>
        <rFont val="宋体"/>
        <charset val="134"/>
      </rPr>
      <t>日期码格式：ZURU INC(BVI) 标准格式 日期：按实际生产日期
Packaging Info: 
77711GQ1：MA NA 2L UPC
Remark: 出加拿大
每款产品都需要加进口商贴纸,</t>
    </r>
    <r>
      <rPr>
        <sz val="11"/>
        <color rgb="FFFF0000"/>
        <rFont val="宋体"/>
        <charset val="134"/>
      </rPr>
      <t>进口商贴纸翻单4500210024</t>
    </r>
    <r>
      <rPr>
        <sz val="11"/>
        <color rgb="FF000000"/>
        <rFont val="宋体"/>
        <charset val="134"/>
      </rPr>
      <t xml:space="preserve">
Zuru验货.日期跟踪码：产品外包装及产品本身都必须有日期跟踪码，ZURU标准格式日期码</t>
    </r>
  </si>
  <si>
    <t>8PKRC8TE</t>
  </si>
  <si>
    <t>4500213775-310</t>
  </si>
  <si>
    <t>ZMPO260925</t>
  </si>
  <si>
    <t>ZMPO260925-10</t>
  </si>
  <si>
    <t>散件</t>
  </si>
  <si>
    <t>Remark；大货最新版/只需要左图中指定散件每款80PCS/麻烦用胶袋分装好一款为一袋；备注：收到样品订单后尽快安排 ，谢谢！</t>
  </si>
  <si>
    <t>ZMPO260940</t>
  </si>
  <si>
    <t>ZMPO260940-10</t>
  </si>
  <si>
    <r>
      <rPr>
        <sz val="11"/>
        <color rgb="FF000000"/>
        <rFont val="宋体"/>
        <charset val="134"/>
      </rPr>
      <t>Remark:大货最新版本/数量平均/麻烦按款号装箱/并在外箱上注明款号/箱唛请参照邮件附件</t>
    </r>
    <r>
      <rPr>
        <sz val="11"/>
        <color rgb="FF000000"/>
        <rFont val="宋体"/>
        <charset val="134"/>
        <scheme val="minor"/>
      </rPr>
      <t xml:space="preserve">
备注：收到样品订单后尽快安排，注意样板品质质量要求要高于大货品质要求，送货时必须要附带送货单(没有送货单和QC检验合格报告的仓库一律拒绝收货)，请知悉，谢谢！</t>
    </r>
  </si>
  <si>
    <t>ZMPO260945</t>
  </si>
  <si>
    <t>ZMPO260945-10</t>
  </si>
  <si>
    <t>40套散件</t>
  </si>
  <si>
    <t>Remark：大货最新版/只需要左图中指定散件每款40PCS/麻烦用胶袋分装好一款为一袋 备注：收到样品订单后尽快安排 ，谢谢！</t>
  </si>
  <si>
    <r>
      <rPr>
        <sz val="11"/>
        <color rgb="FF000000"/>
        <rFont val="宋体"/>
        <charset val="134"/>
      </rPr>
      <t>Angus</t>
    </r>
    <r>
      <rPr>
        <sz val="11"/>
        <color rgb="FF000000"/>
        <rFont val="宋体"/>
        <charset val="134"/>
        <scheme val="minor"/>
      </rPr>
      <t xml:space="preserve"> </t>
    </r>
  </si>
  <si>
    <t>4500214939-10</t>
  </si>
  <si>
    <t>7/20 一张进口商贴纸（含西班牙环保标）+一张展示架贴纸含EAN条码</t>
  </si>
  <si>
    <t>.有关PDQ/展示架的贴纸位置图，客户要求我们贴在PDQ/展示架的底部，这样客户在打开外箱的时候不需要取出产品，即可以扫描条码，在做大货前需帮忙复查下设
计提供的贴纸位置图是否都贴到了底部，避免客诉发生；</t>
  </si>
  <si>
    <t>日期码格式：ZURU INC(BVI) 标准格式 日期：按实际生产日期
Packaging Info: 77711SK1：最新【MA 3L EAN版本收缩膜+一张进口商贴纸（含西班牙环保标）】+【MA 3L 展示架+一张展示架贴纸含EAN条码】+最新MA 5L收藏指南；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t>
  </si>
  <si>
    <t>4500214939-20</t>
  </si>
  <si>
    <t>7/20 一张进口商贴纸（含西班牙环保标）+一张PDQ贴纸含EAN条码</t>
  </si>
  <si>
    <t>日期码格式：ZURU INC(BVI) 标准格式 日期：按实际生产日期
Packaging Info: 
77711GQ1：最新【MA 3L EAN版本收缩膜+一张进口商贴纸（含西班牙环保标）】+【MA 3L PDQ+一张PDQ贴纸含EAN条码】+最新MA 5L收藏指南；
Remark: 1. 此单出西班牙，需满足EU测试标准要求，另外微塑料需符合EU法规；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logo图标，包装需含有西班牙环保标 和care@zuru.com 邮箱地址， 另外，贴纸不可以覆盖西班牙警告语。QC同事请核查，如有问题需和
跟单确认
5.毛绒玩具需要西班牙语言的洗涤说明；
6.有关PDQ/展示架的贴纸位置图，客户要求我们贴在PDQ/展示架的底部，这样客户在打开外箱的时候不需要取出产品，即可以扫描条码，在做大货前需帮忙复查下设
计提供的贴纸位置图是否都贴到了底部，避免客诉发生；</t>
  </si>
  <si>
    <t>I-VISION  TOYS.INC</t>
  </si>
  <si>
    <t>IVI-0624MB</t>
  </si>
  <si>
    <t>4500214916-10</t>
  </si>
  <si>
    <t>7/3 1张UPC  条码贴纸    （覆盖原条码）+7/9 2  张韩语贴纸（新稿）</t>
  </si>
  <si>
    <t>大货品质需严格跟到寄出测试办一致</t>
  </si>
  <si>
    <t>日期码格式：ZURU  INC(BVI)  标准格式                                    日期：按实际生产日期
Packaging Info: 77711GQ1：    MA  3L  INT  收缩膜+1张UPC  条码贴纸    （覆盖原条码）+2  张韩语贴纸（新稿），    MA  PDQ  ,
MA  收藏指南和说明书，箱唛翻单4500188421
Remark: 由于韩国法律法规要求，吸塑需PET材质，产品需符合韩国KC测试标准。
大货品质需严格跟到寄出测试办一致，9279SQ1：口水胶必须出无硼，无MIT  版本</t>
  </si>
  <si>
    <t>4500216476-90</t>
  </si>
  <si>
    <t>7/23 进口商贴纸+UPC条码贴纸：193052080134；PDQ+进口商贴纸</t>
  </si>
  <si>
    <t>日期码格式：ZURU INC(BVI) 标准格式                  日期：按实际生产日期
Packaging Info:
77711GQ2：MA 3L EAN包装+进口商贴纸+UPC条码贴纸：193052080134；PDQ+进口商贴纸
Remark：</t>
  </si>
  <si>
    <r>
      <rPr>
        <sz val="11"/>
        <color rgb="FF000000"/>
        <rFont val="宋体"/>
        <charset val="134"/>
      </rPr>
      <t>COOP</t>
    </r>
    <r>
      <rPr>
        <sz val="11"/>
        <color rgb="FF000000"/>
        <rFont val="宋体"/>
        <charset val="0"/>
      </rPr>
      <t xml:space="preserve">    FAGHANDEL    (NON-FOOD)</t>
    </r>
  </si>
  <si>
    <t>4500215221-20</t>
  </si>
  <si>
    <t>8/26 第三方验货</t>
  </si>
  <si>
    <t>8/27</t>
  </si>
  <si>
    <t>挪威语警语贴纸(翻单4500162231)+7/17 PDQ 地址贴纸:ZURU INC. ROOM 1202, ENERGY PLAZA, NO.92 GRANVILLE ROAD, TSIM SHA TSUI EAS
 T, KOWLOON, HONG KONG. / ZURU UK LIMITED. Ground Floor, Templeback, 10 Temple Back, Bristol, United Kingdom, BS16FL. / ZURU FRANCE. 33 rue Paul
 Meurice 75020 Paris, France. / ZURU DENMARK APS. OSLO PLADS 2, 2100 KØBENHAVN Ø, DENMARK.
 care@zuru.com</t>
  </si>
  <si>
    <t>新版请准备三套大货样给客户签样+验货</t>
  </si>
  <si>
    <r>
      <rPr>
        <sz val="11"/>
        <color rgb="FF000000"/>
        <rFont val="宋体"/>
        <charset val="134"/>
      </rPr>
      <t>日期码格式：ZURU INC(BVI) 标准格式 日期：按实际生产日期
Packaging Info: 77711GQ2:MA EAN 3L+挪威语警语贴纸(翻单4500162231)</t>
    </r>
    <r>
      <rPr>
        <sz val="11"/>
        <color rgb="FFFF0000"/>
        <rFont val="宋体"/>
        <charset val="134"/>
      </rPr>
      <t>+MA PDQ+PDQ 地址贴纸:ZURU INC. ROOM 1202, ENERGY PLAZA, NO.92 GRANVILLE ROAD, TSIM SHA TSUI EAS
T, KOWLOON, HONG KONG. / ZURU UK LIMITED. Ground Floor, Templeback, 10 Temple Back, Bristol, United Kingdom, BS16FL. / ZURU FRANCE. 33 rue Paul
Meurice 75020 Paris, France. / ZURU DENMARK APS. OSLO PLADS 2, 2100 K􀃘BENHAVN 􀃘, DENMARK.
care@zuru.com</t>
    </r>
    <r>
      <rPr>
        <sz val="11"/>
        <color rgb="FF000000"/>
        <rFont val="宋体"/>
        <charset val="134"/>
      </rPr>
      <t xml:space="preserve">
Remark: 1.产品和包装要求无硼无香，包装不能含有PVC；
2.如有微塑料，必须合规欧洲标准
3.此订单有第三方验货，新版请准备三套大货样给客户签样+验货
</t>
    </r>
    <r>
      <rPr>
        <sz val="11"/>
        <color rgb="FFFF0000"/>
        <rFont val="宋体"/>
        <charset val="134"/>
      </rPr>
      <t>4.外箱箱唛加印地址:ZURU FRANCE. 33 rue Paul Meurice 75020 Paris, France.
care@zuru.com</t>
    </r>
  </si>
  <si>
    <t>Joyce  Hu</t>
  </si>
  <si>
    <t>TJX AUSTRALIA PTY LIMITED</t>
  </si>
  <si>
    <t>4500214393-10</t>
  </si>
  <si>
    <t>7/27寄出1张客供价格贴纸 （贴纸位置翻单PO#4500206040</t>
  </si>
  <si>
    <t>日期码格式：ZURU INC(BVI) 标准格式                  日期：按实际生产日期
Packaging Info: 77711GQ1-INT: 英文MA包装UPC版本（首选1L，无1L可选多语）+1张客供价格贴纸  （贴纸位置翻单PO#4500206040);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如产品含纽扣电池出货, 包装前面和说明书上需加纽扣电池警语贴纸;
 5. ZURU QC验货。
6. 产品和包装上要有tracking label信息：日期码格式为Zuru标准格式；</t>
  </si>
  <si>
    <t>Christine Liao</t>
  </si>
  <si>
    <t>4500214393-50</t>
  </si>
  <si>
    <r>
      <rPr>
        <sz val="11"/>
        <color rgb="FF000000"/>
        <rFont val="宋体"/>
        <charset val="134"/>
      </rPr>
      <t>日期码格式：ZURU INC(BVI) 标准格式 日期：按实际生产日期
Packaging Info
#77785 NA版本：
客版3L彩盒(193052104984)</t>
    </r>
    <r>
      <rPr>
        <sz val="11"/>
        <color rgb="FFFF0000"/>
        <rFont val="宋体"/>
        <charset val="134"/>
      </rPr>
      <t>+客版3L收缩膜(77673)+客版2L收缩膜NA版本(77711)+MA多语内包材</t>
    </r>
    <r>
      <rPr>
        <sz val="11"/>
        <color rgb="FF000000"/>
        <rFont val="宋体"/>
        <charset val="134"/>
      </rPr>
      <t xml:space="preserve">
翻单：4500212396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</si>
  <si>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4500211904-40</t>
  </si>
  <si>
    <t>日期码格式：ZURU INC(BVI) 标准格式                  日期：按实际生产日期
Packaging Info: 
77711GQ2: 最新MA PDQ(优先3L)+MA-3L EAN收缩膜+1张法国sorting label贴纸(翻PO#4500182619) + MA-23L说明书 + MA-5-23L警语收藏指南 + MA-5L creative说
明书
EAN: 4894680043350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5.电子产品需增加一张WEEE声明29L通用黑白说明书，区分带电池(D版)和不带电池(C版)出货版本, 如已做带WEEE声明的客版说明书可忽略此要求；如包装备注上缺
少此部分信息，请提醒跟单更新备注。
6.订单备注显示有分批的(不同仓库/订单号), 一定要区分客户订单号做货出货，否则会导致罚款  。
7.做货前请先复核包装条码与订单是否一致再安排，对不上的需与ZURU跟单确认再安排。
8.包装必须含法国回收标(Sorting Label)，如没有，请提醒跟单提供贴纸资料。</t>
  </si>
  <si>
    <t>4500211485-30</t>
  </si>
  <si>
    <t>一张环保标贴纸（贴纸翻单4500209087）</t>
  </si>
  <si>
    <r>
      <rPr>
        <sz val="11"/>
        <color rgb="FF000000"/>
        <rFont val="宋体"/>
        <charset val="134"/>
      </rPr>
      <t>日期码格式：ZURU INC(BVI) 标准格式                  日期：按实际生产日期
Packaging Info:
77711GQ2：最新MA 3L EAN INT版本包装+一张环保标贴纸+MA 23L 警告语说明书+MA 5L 收藏指南+MA 3L SK；（贴纸翻单4500209087）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t>
    </r>
    <r>
      <rPr>
        <sz val="11"/>
        <color rgb="FF000000"/>
        <rFont val="宋体"/>
        <charset val="134"/>
      </rPr>
      <t xml:space="preserve">care@zuru.com </t>
    </r>
    <r>
      <rPr>
        <sz val="11"/>
        <color rgb="FF000000"/>
        <rFont val="宋体"/>
        <charset val="134"/>
      </rPr>
      <t>邮箱地址，  另外，包装贴纸上面的警告语不可以覆盖西班牙警告语。QC同事请核
查，如有问题需和跟单确认。
5.纯毛绒玩具需要西班牙语言的洗涤说明；
6.请工厂按时完货并及时验货；
7.需要准备每款2套大货样，请注意备料。</t>
    </r>
  </si>
  <si>
    <t>4500214715-30</t>
  </si>
  <si>
    <t>日期码格式：ZURU INC(BVI) 标准格式 日期：按实际生产日期
Packaging Info:
77711GQ1: MA PDQ, 3L 收缩膜+1张UPC 条码贴纸（193052080134) + 1 张通用进口商贴纸（贴球底部）， MA 收藏指南，MA 说明书
Remark:</t>
  </si>
  <si>
    <t>4500214321-60</t>
  </si>
  <si>
    <t>7/21 1张进口商贴纸(含波兰语警语)+1张波兰语收藏指南贴纸+8/5 PDQ1张欧盟地址贴纸</t>
  </si>
  <si>
    <r>
      <rPr>
        <sz val="11"/>
        <color rgb="FF000000"/>
        <rFont val="宋体"/>
        <charset val="134"/>
      </rPr>
      <t>日期码格式：ZURU INC(BVI) 标准格式 日期：按实际生产日期
Packaging Info: 
77711GQ2：MA3L EAN收缩膜+1张进口商贴纸(含波兰语警语)+MA5L收藏指南+1张波兰语收藏指南贴纸+MA3LPDQ</t>
    </r>
    <r>
      <rPr>
        <sz val="11"/>
        <color rgb="FFFF0000"/>
        <rFont val="宋体"/>
        <charset val="134"/>
      </rPr>
      <t>+1张欧盟地址贴纸</t>
    </r>
    <r>
      <rPr>
        <sz val="11"/>
        <color rgb="FF000000"/>
        <rFont val="宋体"/>
        <charset val="134"/>
      </rPr>
      <t xml:space="preserve">+MA23L说明书
Remark: 1. 请备多1套大货样品；
2. 此票出波兰，无需客验，通过ZURU验货即可出货，请确保大货符合EU市场法规；
3. 此票使用EAN条码；
</t>
    </r>
    <r>
      <rPr>
        <sz val="11"/>
        <color rgb="FFFF0000"/>
        <rFont val="宋体"/>
        <charset val="134"/>
      </rPr>
      <t>4. PDQ都需要增加1张欧盟地址贴纸(贴PDQ背面空白处即可)</t>
    </r>
  </si>
  <si>
    <t>日期码格式：ZURU INC(BVI) 标准格式                  日期：按实际生产日期
Packaging Info: 
77785：最新客版彩盒+EAN贴纸；(条码贴纸翻单4500206343）；
子件77711：最新MA3LEAN收缩膜+一张空白贴纸覆盖原条码+最新MA5L收藏指南+最新MA23L说明书+最新MA5L creative+最新MA纸袋；
子件77673：最新MA3LEAN收缩膜+最新MA5L收藏指南+最新MA23L说明书+最新MA纸袋+MA WEEE带电池走货欧洲29L通用黑白说明书 ；"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6.请工厂按时完货并及时验货；
7.需要准备每款2套大货样，请注意备料。</t>
  </si>
  <si>
    <t>47:003212061</t>
  </si>
  <si>
    <t>4500216411-10</t>
  </si>
  <si>
    <t>条码贴纸+1张日语警语贴纸(贴在收缩膜上）+1张日语警告贴纸（贴在说明书上),
 (日语警语贴纸资料及位置图请翻单4500162966，贴纸不要遮挡住日期码）"条码贴纸翻单4500196429</t>
  </si>
  <si>
    <t>.产品品质和内容材质以及包装版本等都需跟到上一单（4500162966）</t>
  </si>
  <si>
    <r>
      <rPr>
        <sz val="11"/>
        <color rgb="FF000000"/>
        <rFont val="宋体"/>
        <charset val="134"/>
      </rPr>
      <t>日期码格式：ZURU INC(BVI) 标准格式 日期：按实际生产日期 Tracking Code:
Packaging Info: "77782: 77711 MA 收缩膜+条码贴纸+1张日语警语贴纸(贴在收缩膜上）+1张日语警告贴纸（贴在说明书上), 客版拉美市场的收藏指南+客版PDQ
 (日语警语贴纸资料及位置图请翻单4500162966，贴纸不要遮挡住日期码）</t>
    </r>
    <r>
      <rPr>
        <sz val="11"/>
        <color rgb="FFFF0000"/>
        <rFont val="宋体"/>
        <charset val="134"/>
      </rPr>
      <t>,条码贴纸翻单4500196429</t>
    </r>
    <r>
      <rPr>
        <sz val="11"/>
        <color rgb="FF000000"/>
        <rFont val="宋体"/>
        <charset val="134"/>
      </rPr>
      <t xml:space="preserve">
1.产品品质和内容材质以及包装版本等都需跟到上一单（4500162966）
 2. 请多备几个外箱出货，避免外箱到仓库后出现破损情况。
Remark:</t>
    </r>
  </si>
  <si>
    <t>4500216465-10</t>
  </si>
  <si>
    <t>日期码格式：ZURU INC(BVI) 标准格式                  日期：08-26-2026
Packaging Info: MA 1L 收缩膜 + WIC 贴纸  （WIC # 750358，同翻单4500183538）  + MA 收藏指南 + 客版PDQ (同翻单4500183538）+ PDQ折页（同翻单4500183538，放在PDQ顶部，
开箱可以看到）
Remark: 产品和包装上要有zuru标准格式tracking code DG20260826
产品和包装的日期要一致 ，如果无法一致需要提前确认</t>
  </si>
  <si>
    <t>4500216465-20</t>
  </si>
  <si>
    <t>4500216465-30</t>
  </si>
  <si>
    <t>4500216465-40</t>
  </si>
  <si>
    <t>4500216465-50</t>
  </si>
  <si>
    <t>4500201760-20</t>
  </si>
  <si>
    <t>7/9 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</si>
  <si>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分4-5个DC出货，每款产品每个DC的箱唛资料不同，具体DC数量如下：
item#77731: Marshalls PO#127328,SKU#924903 DC#881-408PCS, DC#884-372PCS, DC#886-468PCS, DC#887-420PCS, DC#888-336PCS</t>
  </si>
  <si>
    <t>4500201762-20</t>
  </si>
  <si>
    <t>7/11 价格贴纸，价格贴纸客供。2PK的球用无条码收缩膜或加空白贴纸覆盖原条码。</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</si>
  <si>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item#77731: TJ MAXX PO#127341,SKU#204283 DC#891-480PCS, DC#894-372PCS, DC#896-312PCS, DC#897-660PCS, DC#898-372PCS</t>
  </si>
  <si>
    <t>4500209173-10</t>
  </si>
  <si>
    <t>日期码格式：ZURU INC(BVI) 标准格式                  日期：按实际生产日期
Packaging Info: 1.Cus Item
#77731,#77806：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</si>
  <si>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4500216252-10</t>
  </si>
  <si>
    <t>4500216252-30</t>
  </si>
  <si>
    <t>4500216252-50</t>
  </si>
  <si>
    <t>4500216252-70</t>
  </si>
  <si>
    <t>8/29 BV</t>
  </si>
  <si>
    <t>4500216252-120</t>
  </si>
  <si>
    <t>4500216488-10</t>
  </si>
  <si>
    <t>7/27 价格贴纸+条码贴纸</t>
  </si>
  <si>
    <t>4500216583-180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</si>
  <si>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77782GQ1 客版3L UPC收缩膜/客版收藏指南/客版PDQ
Remark: 
Common: Equal ratio"
77782GQ1</t>
  </si>
  <si>
    <t>日期码格式：ZURU INC(BVI) 标准格式                  日期：按实际生产日期
Packaging Info: 1.包装要求：
9561：MA 1L B版收缩膜+MA 5L B版收藏指南+MA Guide B版book+ MA 8L B版拉丝沙袋
77785：客版1L 彩盒
77711: 客版1L 无条码收缩膜+MA 2L B版收藏指南+MA B版说明书
77673: MA 1L B版收缩膜+MA 5L A版收藏指南+MA B版说明书
翻单：4500208119
每pcs产品上要贴1张RFID贴纸，贴纸由ZURU提供，贴纸位置请严格按照我们签回的签板；
Remark: 1.包装要求：
9561：MA 1L B版收缩膜+MA 5L B版收藏指南+MA Guide B版book+ MA 8L B版拉丝沙袋
77785：客版1L 彩盒
77711: 客版1L 无条码收缩膜+MA 2L B版收藏指南+MA B版说明书
77673: MA 1L B版收缩膜+MA 5L A版收藏指南+MA B版说明书
翻单：4500208119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77785外箱正唛和侧唛两面偏下方印刷黄色贴纸，使用Yellow U色号
3. 在产品上和包装上要有日期码、以及要有MADE IN CHINA和ZURU字样；
4. 产品如有扎带口要剪平，不能刮手。
5. 此单需要验货，请多备料
6. 此单以loose carton出货，
9561：1pc/CTN
77785：8pcs/CTN</t>
  </si>
  <si>
    <t>日期码格式：ZURU  INC(BVI)  标准格式                                    日期：按实际生产日期
Packaging Info: 1.包装要求：
77785PLD:  客版1L展示架+客版1L  彩盒
77711-  客版1L  无条码收缩膜+MA  2L  B版收藏指南+MA  B版说明书
每pcs产品上要贴1张RFID贴纸，贴纸由ZURU提供，贴纸位置请严格按照我们签回的签板；
Remark: 1.包装要求：
77785PLD:  客版1L展示架+客版1L  彩盒
77711-  客版1L  无条码收缩膜+MA  2L  B版收藏指南+MA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Loading：2Wx4Dx3H  =24pcs/Display/Carton</t>
  </si>
  <si>
    <t>4500216641-30</t>
  </si>
  <si>
    <t>日期码格式：ZURU INC(BVI) 标准格式                  日期：按实际生产日期
Packaging Info: 物料要求 SKU
2 77711GQ1 MA PDQ +外挂中文收藏指南+中文说明书+黑白警告语+收缩膜年龄贴（8+）   翻单：  4500204920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</si>
  <si>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4500216641-40</t>
  </si>
  <si>
    <t>4500216548-10</t>
  </si>
  <si>
    <t>日期码格式：ZURU INC(BVI) 标准格式                  日期：按实际生产日期
Packaging Info: "77711GQ2: 最新MA PDQ(优先3L)+MA-3L EAN收缩膜+1张法国sorting label贴纸(翻PO#4500182619) + MA-23L说明书 + MA-5-23L警语收藏指南 + MA-5L creative
说明书
EAN: 4894680043350"
Remark: "Smyths 法国
 1. 请准时出货，推期会有罚款；
 2. 所有产品按符合欧洲标准走货，需要是不含微塑料版本。
 3. 电子产品需增加一张WEEE声明29L通用黑白说明书，区分带电池(D版)和不带电池(C版)出货版本, 如已做带WEEE声明的客版说明书可忽略此要求；如包装备注上
缺少此部分信息，请提醒跟单更新备注。
 4. 出口法国的产品, 法规规定禁止在包装和共公众用的印刷品中使用矿物油中含有的物质, 包装印刷油墨中含有的MOAH/MOSH的质量浓度不能超过0.1%, 否则出货
到法国被抽检出现问题, 供应商需要对此负责;
5.订单备注显示有分批的(不同仓库/订单号), 一定要区分客户订单号做货出货，否则会导致罚款  。
6.包装日期码按ZURU格式即可，请确保不迟于外箱日期码，可等于或者早于外箱日期码，必须为法定工作日。
7.做货前请先复核包装条码与订单是否一致再安排，对不上的需与ZURU跟单确认再安排。
8.包装必须含法国回收标(Sorting Label)，如没有，请提醒跟单提供贴纸资料。"</t>
  </si>
  <si>
    <t>4500216548-20</t>
  </si>
  <si>
    <t>4500215020-10</t>
  </si>
  <si>
    <t>4500216256-10</t>
  </si>
  <si>
    <t>9/2 bv</t>
  </si>
  <si>
    <t>日期码格式：ZURU  INC(BVI)  标准格式                                    日期：按实际生产日期
Packaging Info: 1.包装要求：
77711GQ4-S001-NA:  MA  1L  A版收缩膜+MA  2L  C版收藏指南+MA  B版说明书+客版1L  PDQ
每pcs产品上要贴1张RFID贴纸，贴纸由ZURU提供，贴纸位置请严格按照我们签回的签板；
Remark: 2.  外箱印刷带条码的RFID箱唛：RFID紫色色带+WM  Dept. 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</si>
  <si>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已安排 4. #9561/77785须于7/28安排签板，签板数量：大货样各5pcs+齐套散件各3sets
5. #9561/77785须于8/5安排抽板测试，抽板数量：
9561：大货4pcs+齐套散件4sets
77785：大货4pcs+齐套散件4sets</t>
  </si>
  <si>
    <r>
      <rPr>
        <sz val="11"/>
        <color rgb="FF000000"/>
        <rFont val="宋体"/>
        <charset val="134"/>
      </rPr>
      <t>日期码格式：ZURU INC(BVI) 标准格式 日期：按实际生产日期
Packaging Info:
#77785 NA版本：
客版3L彩盒(193052104984)+</t>
    </r>
    <r>
      <rPr>
        <sz val="11"/>
        <color rgb="FFFF0000"/>
        <rFont val="宋体"/>
        <charset val="134"/>
      </rPr>
      <t>客版3L收缩膜(77673)+客版2L收缩膜NA版本(77711)+MA多语内包材</t>
    </r>
    <r>
      <rPr>
        <sz val="11"/>
        <color rgb="FF000000"/>
        <rFont val="宋体"/>
        <charset val="134"/>
      </rPr>
      <t xml:space="preserve">
翻单：4500212396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r>
  </si>
  <si>
    <t>5/20RFID贴纸</t>
  </si>
  <si>
    <t>4500216631-100</t>
  </si>
  <si>
    <t>日期码格式：ZURU INC(BVI) 标准格式                  日期：按实际生产日期
Packaging Info: 1. 出口美国，  MA UPC 版本包装，优先1L。
2.
77711GQ1, UPC#193052080127.
Remark: 3. ZURU QC 验货即可。</t>
  </si>
  <si>
    <t>AMSLER  SPIELWAREN  AG</t>
  </si>
  <si>
    <t>4500214248-40</t>
  </si>
  <si>
    <t>DE, IT警语贴纸（翻单4500187019） + 7/29 ZURU 地址贴纸</t>
  </si>
  <si>
    <r>
      <rPr>
        <sz val="11"/>
        <color rgb="FF000000"/>
        <rFont val="宋体"/>
        <charset val="134"/>
      </rPr>
      <t xml:space="preserve">日期码格式：ZURU INC(BVI) 标准格式 日期：按实际生产日期 Tracking Code:
Packaging Info: 
 77711GQ1(INT版)：MA 3L EAN收缩膜 + DE, IT警语贴纸（翻单4500187019），MA B版5L收藏指南，MA 5L玩法说明书，MA B版 23L UV胶黑白警告语说明书，MA配件
 袋，MA 3L PDQ </t>
    </r>
    <r>
      <rPr>
        <sz val="11"/>
        <color rgb="FFFF0000"/>
        <rFont val="宋体"/>
        <charset val="134"/>
      </rPr>
      <t>+ ZURU 地址贴纸</t>
    </r>
    <r>
      <rPr>
        <sz val="11"/>
        <color rgb="FF000000"/>
        <rFont val="宋体"/>
        <charset val="134"/>
      </rPr>
      <t xml:space="preserve">
Remark: 1.此单出瑞士，包装及说明书需要包含德语，法语，意大利语警语
 2.微塑料需符合法规；化学品无硼无香；电池符合欧洲法规要求(如有)。
 3.所有出往欧洲订单的电子产品需增加一张通用29L WEEE声明说明书，区分带电池出货和不带电池出货版本，如已做客版说明书可忽略此要求
 4.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5.对于欧洲带电池的玩具，使用新标识的电池以及新说明书
 6.标准配比</t>
    </r>
  </si>
  <si>
    <t>Nicole  Ye</t>
  </si>
  <si>
    <t>4500217222-10</t>
  </si>
  <si>
    <t>1张PDQ条码贴纸(翻单#4500180408)+7/24 ZURU地址_PDQ通用贴纸+3LEAN包装+德语警语贴纸(翻单#4500180408)+5L收藏指南/DIY说明书+23L说明书(翻单#45001804
 08)</t>
  </si>
  <si>
    <t>5L收藏指南/DIY说明书+23L说明书(翻单#45001804
 08)</t>
  </si>
  <si>
    <r>
      <rPr>
        <sz val="11"/>
        <color rgb="FF000000"/>
        <rFont val="宋体"/>
        <charset val="134"/>
      </rPr>
      <t>日期码格式：194549/09/2026 日期： Tracking Code:
Packaging Info: 77711GQ1: 最新MA 3L PDQ+1张PDQ条码贴纸(翻单#4500180408)+ZURU地址_PDQ通用贴纸+3LEAN包装+</t>
    </r>
    <r>
      <rPr>
        <sz val="11"/>
        <color rgb="FFFF0000"/>
        <rFont val="宋体"/>
        <charset val="134"/>
      </rPr>
      <t>德语警语贴纸(翻单#4500180408)+5L收藏指南/DIY说明书+23L说
 明书</t>
    </r>
    <r>
      <rPr>
        <sz val="11"/>
        <color rgb="FF000000"/>
        <rFont val="宋体"/>
        <charset val="134"/>
      </rPr>
      <t xml:space="preserve">
Remark: 1. 出口欧洲，微塑料需符合法规。
 2. 产品，包装，外箱Batch code: 194549/09/2026,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此客户要求产品身上需要加字唛，为ZURU FRANCE 地址，需跟包装上的地址一致 (如产品布标有此地址，或产品太小无法增加可忽略此信息。如电子产品无法加
 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r>
  </si>
  <si>
    <t>0003451298</t>
  </si>
  <si>
    <t>4500217079-20</t>
  </si>
  <si>
    <t>日期码格式：ZURU  INC(BVI) 标准格式                                    日期：按实际生产日期
Packaging Info: 1 .包装要求：
77711GQ4-S001-NA: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</si>
  <si>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0003451284</t>
  </si>
  <si>
    <t>4500217079-60</t>
  </si>
  <si>
    <t>0003451324</t>
  </si>
  <si>
    <t>4500217079-70</t>
  </si>
  <si>
    <t>8/10 1张RFID贴纸</t>
  </si>
  <si>
    <t>0003451294</t>
  </si>
  <si>
    <t>4500217079-90</t>
  </si>
  <si>
    <t>0003451275</t>
  </si>
  <si>
    <t>4500217079-100</t>
  </si>
  <si>
    <t>4500211446-10</t>
  </si>
  <si>
    <t>日期码格式：ZURU INC(BVI) 标准格式                  日期：按实际生产日期
Packaging Info: 1.Cus Item
#77731：  MA UPC 现有包装+PVC桶,铜板纸+客供价格贴纸，优先使用MA 1L最新版本(翻单4500199536），出口美国。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</si>
  <si>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日期码格式：ZURU INC(BVI) 标准格式                  日期：按实际生产日期
Packaging Info: 1.Cus Item
#77785：MA UPC + 客版彩盒 + 客供贴纸, 优先使用MA 1L最新版本(翻单4500199536），出口美国。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</si>
  <si>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4500215662-10</t>
  </si>
  <si>
    <t>7/14 一张客供价格贴纸+一张警告语贴纸（德语/荷兰语/波兰语）翻单：4500201132+PDQ地址贴纸翻单：4500201132</t>
  </si>
  <si>
    <r>
      <rPr>
        <sz val="11"/>
        <color rgb="FF000000"/>
        <rFont val="宋体"/>
        <charset val="134"/>
      </rPr>
      <t>日期码格式：ZURU INC(BVI) 标准格式 日期：按实际生产日期 Tracking Code:
Packaging Info: 77711GQ1:MA A版3L PDQ+</t>
    </r>
    <r>
      <rPr>
        <sz val="11"/>
        <color rgb="FFFF0000"/>
        <rFont val="宋体"/>
        <charset val="134"/>
      </rPr>
      <t>PDQ地址贴纸，翻单:4500214424</t>
    </r>
    <r>
      <rPr>
        <sz val="11"/>
        <color rgb="FF000000"/>
        <rFont val="宋体"/>
        <charset val="134"/>
      </rPr>
      <t>+MA A版3L EAN包装+一张客供价格贴纸+一张警告语贴纸（德语/荷兰语/波兰语）翻单：4500201132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.如果出运产品属于电子类产品需要在ZURU 包装基础上额外添加一张ZURU通用WEEE 电子产品说明书,带电池出货的加带电池出货版本通用D版29L的说明书，不带
 电池出货的产品用29LC版不带电池出货版本的说明书
 11. 所有出往GAS市场(德国/奥地利/瑞士)订单，化学品需无硼无香版本。</t>
    </r>
  </si>
  <si>
    <t>7/31一张客供价格贴纸+一张警告语贴纸（德语/波兰语/荷兰语）翻单：4500201132+8/3 彩盒地址贴纸，翻单:450
 0205118</t>
  </si>
  <si>
    <t>彩盒地址贴</t>
  </si>
  <si>
    <t>4500215680-10</t>
  </si>
  <si>
    <t>7/14 一张客供价格贴纸+7/30PDQ地址贴纸</t>
  </si>
  <si>
    <r>
      <rPr>
        <sz val="11"/>
        <color rgb="FF000000"/>
        <rFont val="宋体"/>
        <charset val="134"/>
      </rPr>
      <t>日期码格式：ZURU INC(BVI) 标准格式 日期：按实际生产日期 Tracking Code:
Packaging Info: 77711GQ1:MA A版3L PDQ+</t>
    </r>
    <r>
      <rPr>
        <sz val="11"/>
        <color rgb="FFFF0000"/>
        <rFont val="宋体"/>
        <charset val="134"/>
      </rPr>
      <t>PDQ地址贴纸，翻单:4500214424</t>
    </r>
    <r>
      <rPr>
        <sz val="11"/>
        <color rgb="FF000000"/>
        <rFont val="宋体"/>
        <charset val="134"/>
      </rPr>
      <t>+MA A版3L EAN包装+一张客供价格贴纸
 Remark: 1. 出往UK的产品+包装务必打上UKCA 以及CE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
 9. .如果出运产品属于电子类产品需要在ZURU 包装基础上额外添加一张ZURU通用WEEE 电子产品说明书,带电池出货的加带电池出货版本通用D版29L的说明书，不带
 电池出货的产品用29LC版不带电池出货版本的说明书</t>
    </r>
  </si>
  <si>
    <t>4500217509-20</t>
  </si>
  <si>
    <t>UPC条码贴纸+进口商贴纸，77711所有贴纸翻单PO4500209903</t>
  </si>
  <si>
    <r>
      <rPr>
        <sz val="11"/>
        <color rgb="FF000000"/>
        <rFont val="宋体"/>
        <charset val="134"/>
      </rPr>
      <t>日期码格式：ZURU INC(BVI) 标准格式 日期：按实际生产日期
Packaging Info: 
77711GQ2：MA 3L EAN包装+UPC条码贴纸+MA 3L PDQ包装+进口商贴纸+箱唛，</t>
    </r>
    <r>
      <rPr>
        <sz val="11"/>
        <color rgb="FFFF0000"/>
        <rFont val="宋体"/>
        <charset val="134"/>
      </rPr>
      <t>77711所有贴纸翻单PO4500209903</t>
    </r>
    <r>
      <rPr>
        <sz val="11"/>
        <color rgb="FF000000"/>
        <rFont val="宋体"/>
        <charset val="134"/>
      </rPr>
      <t xml:space="preserve">
Remark: 此单有监装要求，请每款多备1pc监柜样板</t>
    </r>
  </si>
  <si>
    <t>0004811664</t>
  </si>
  <si>
    <t>4500217255-10</t>
  </si>
  <si>
    <t>日期码格式：ZURU  INC(BVI) 标准格式                                    日期：按实际生产日期
Packaging Info: 1 .包装要求：
77711GQ4-S001-NA: MA  1L A版收缩膜+MA 2L B版收藏指南+MA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</si>
  <si>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4500215819-20</t>
  </si>
  <si>
    <t>8/71张UPC 条码贴纸（193052080134) + 1 张通用进口商贴纸（贴球底部）</t>
  </si>
  <si>
    <t>日期码格式：ZURU INC(BVI) 标准格式                  日期：按实际生产日期
Packaging Info:
77711GQ1: MA PDQ, 3L 收缩膜+1张UPC 条码贴纸（193052080134) + 1 张通用进口商贴纸（贴球底部），  MA 收藏指南，MA 说明书
Remark：</t>
  </si>
  <si>
    <t>4500214822-10</t>
  </si>
  <si>
    <t>日期码格式：ZURU INC(BVI) 标准格式                  日期：按实际生产日期
Packaging Info: 1.Cus Item
#77785：MA UPC + 客版彩盒 + 客供贴纸, 优先使用MA 1L最新版本(翻单4500199536），出口美国。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t>
  </si>
  <si>
    <t>10001788154-3890</t>
  </si>
  <si>
    <t>4500216856-10</t>
  </si>
  <si>
    <t>8/10  条码箱贴纸</t>
  </si>
  <si>
    <t>10001851997-0581</t>
  </si>
  <si>
    <t>4500216866-10</t>
  </si>
  <si>
    <t>8/10 条码箱贴纸</t>
  </si>
  <si>
    <t>0003451276</t>
  </si>
  <si>
    <t>4500217083-10</t>
  </si>
  <si>
    <t>MPO11007-40</t>
  </si>
  <si>
    <t>4500217300-30</t>
  </si>
  <si>
    <t>7/24 1张UPC 条码贴纸(UPC#193052080134) + MA 3L PDQ+MA 5L 收藏指南+8/5 HK客供警语贴纸（1张贴球底部，1张贴说明书，1张贴收藏
 指南）具体参考HK客供警语贴纸位置图</t>
  </si>
  <si>
    <t>1张空白贴纸覆盖条码+MA 收藏指南+ MA 说明书+8/5 球底部贴1张客供警语贴纸，收藏指南贴一张客供警语贴纸，说明书贴一
张客供警语贴纸</t>
  </si>
  <si>
    <t>4500214197-40</t>
  </si>
  <si>
    <t>0003451289</t>
  </si>
  <si>
    <t>4500217892-60</t>
  </si>
  <si>
    <t>日期码格式：ZURU  INC(BVI) 标准格式                                    日期：按实际生产日期
Packaging Info: 1 .包装要求：
77711GQ4-S001-NA: MA  1L A版收缩膜+MA 2L C版收藏指南+MA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</si>
  <si>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4500217940-10</t>
  </si>
  <si>
    <t>日期码格式：ZURU  INC(BVI) 标准格式                                    日期：09-09-2026
Packaging Info: MA 1L 收缩膜  + WIC 贴纸    （WIC # 750358，同翻单4500183538）    +  MA  收藏指南  +  客版PDQ  (同翻单4500183538）+  PDQ折页（同翻单4500183538，放在PDQ顶部，
开箱可以看到）
Remark: 产品和包装上要有zuru标准格式tracking  code  DG20260909
产品和包装的日期要一致  ，如果无法一致需要提前确认</t>
  </si>
  <si>
    <t>4500217940-20</t>
  </si>
  <si>
    <t>4500217940-30</t>
  </si>
  <si>
    <t>4500217940-40</t>
  </si>
  <si>
    <t>4500217940-50</t>
  </si>
  <si>
    <t>4500217940-60</t>
  </si>
  <si>
    <t>4500217940-70</t>
  </si>
  <si>
    <t>欠 SSCC label</t>
  </si>
  <si>
    <r>
      <rPr>
        <sz val="11"/>
        <color rgb="FF000000"/>
        <rFont val="宋体"/>
        <charset val="134"/>
      </rPr>
      <t>日期码格式：ZURU  INC(BVI)  标准格式                                    日期：按实际生产日期
Packaging Info: Amazon  DE:  83HME98C/1CRFWQPD/5966T6TF
Amazon  UK:    7I9R6NFR/6PUA1B5K/4EYHRO8Q/43UX613E/2RV9F3UR/2QCSUS1Q/2BZEPRCS/1VFOYQSR/1P3VIQGH/1AR1AQCU/19ZKH3PZ
Amazon  ES:  5SHNFXHV/4NB6XODY
Amazon  FR:  88YIYPAJ/1PICA8SM/1BJCDLVR
Amazon  IT:  3XYWOJGN/2S7KGVV
Amazon  DE(157124/157142/15785D/15788B/77878/9543E)/UK(157124/15746A/15749ABH/15750G/15752ABDH/15780BD/15787ABDE/15788G/71137/71152/77785/92119BD
/92125D/9565BE)/ES(15785AB/92146D/9565E)/FR(157140/15780B/15787DEG/15788AD/77876/92146D)/IT(15787B/15788DEGH/92146B)
   14. 77785: 1pk 77673 Fill the Fridge PLAYSET S1+ 2pk 77711 INT Capsules S1 into color box, 6color boxes/ctn; 77673:UV GLUE / 7 magnets（6 magne
ts and 1 Refrigerator magnet); 3PCS AG13 BATTERIES(INCLUDED); 77711:UV GLUE/ 1 Refrigerator Magnet; 77673: MA 3L(3L warning EAN)</t>
    </r>
    <r>
      <rPr>
        <sz val="11"/>
        <color rgb="FFFF0000"/>
        <rFont val="宋体"/>
        <charset val="134"/>
      </rPr>
      <t>B</t>
    </r>
    <r>
      <rPr>
        <sz val="11"/>
        <color rgb="FF000000"/>
        <rFont val="宋体"/>
        <charset val="134"/>
      </rPr>
      <t xml:space="preserve">收缩膜+MA 23L w
arning </t>
    </r>
    <r>
      <rPr>
        <sz val="11"/>
        <color rgb="FFFF0000"/>
        <rFont val="宋体"/>
        <charset val="134"/>
      </rPr>
      <t>B</t>
    </r>
    <r>
      <rPr>
        <sz val="11"/>
        <color rgb="FF000000"/>
        <rFont val="宋体"/>
        <charset val="134"/>
      </rPr>
      <t xml:space="preserve">说明书+MA 5L </t>
    </r>
    <r>
      <rPr>
        <sz val="11"/>
        <color rgb="FFFF0000"/>
        <rFont val="宋体"/>
        <charset val="134"/>
      </rPr>
      <t>A</t>
    </r>
    <r>
      <rPr>
        <sz val="11"/>
        <color rgb="FF000000"/>
        <rFont val="宋体"/>
        <charset val="134"/>
      </rPr>
      <t>收藏指南+77711: MA 3L(3L warning EAN)</t>
    </r>
    <r>
      <rPr>
        <sz val="11"/>
        <color rgb="FFFF0000"/>
        <rFont val="宋体"/>
        <charset val="134"/>
      </rPr>
      <t>A</t>
    </r>
    <r>
      <rPr>
        <sz val="11"/>
        <color rgb="FF000000"/>
        <rFont val="宋体"/>
        <charset val="134"/>
      </rPr>
      <t>收缩膜+MA 5L(23L warning)</t>
    </r>
    <r>
      <rPr>
        <sz val="11"/>
        <color rgb="FFFF0000"/>
        <rFont val="宋体"/>
        <charset val="134"/>
      </rPr>
      <t>C</t>
    </r>
    <r>
      <rPr>
        <sz val="11"/>
        <color rgb="FF000000"/>
        <rFont val="宋体"/>
        <charset val="134"/>
      </rPr>
      <t xml:space="preserve">收藏指南 </t>
    </r>
    <r>
      <rPr>
        <sz val="11"/>
        <color rgb="FFFF0000"/>
        <rFont val="宋体"/>
        <charset val="134"/>
      </rPr>
      <t>+warning instruction_23L-C版说明书</t>
    </r>
    <r>
      <rPr>
        <sz val="11"/>
        <color rgb="FF000000"/>
        <rFont val="宋体"/>
        <charset val="134"/>
      </rPr>
      <t>+客版彩盒（3L (
3L warning)+新FR/DK/UK地址</t>
    </r>
    <r>
      <rPr>
        <sz val="11"/>
        <color rgb="FFFF0000"/>
        <rFont val="宋体"/>
        <charset val="134"/>
      </rPr>
      <t>,翻单PO4500194447</t>
    </r>
    <r>
      <rPr>
        <sz val="11"/>
        <color rgb="FF000000"/>
        <rFont val="宋体"/>
        <charset val="134"/>
      </rPr>
      <t>）+WEEE_带电池走货 _ 说明书欧洲EN+29L_D版+1张贴纸(含DE/IT警告语，贴彩盒，翻单PO4500197236)
22.  验货时间不迟于2026/9/10.
Remark: 1.空白外箱（加印带Zuru字样的最新logo，除了邮包盒直接做外箱的产品）    +  SSCC  LABEL一张,  无箱唛，MADE  IN  CHINA  外箱只印一正一侧且正唛一面右下角需加
印法国地址：ZURU  FRANCE.  33  rue  Paul  Meurice  75020  Paris,  France及邮箱：care@zuru.com(满足EU&lt;(&gt;&amp;&lt;)&gt;UK  PPWR法规要求)。箱唛资料按照给定的标准去做
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此要求只适用Amazon  UK/DE/FR/ES/
IT,不适用Amazon  GPE，Amazon  GPE无SSCC  label,  但是有对应箱唛，需印刷到外箱  。
应最新EU&lt;(&gt;&amp;&lt;)&gt;UK法规PPWR要求，所有外箱上都需要加印如下地址和邮箱，(具体位置：外箱正面右下角)
ZURU  FRANCE.  33  rue  Paul  Meurice  75020  Paris,  France.
care@zuru.com
2. 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 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r>
  </si>
  <si>
    <t>4500217393-20</t>
  </si>
  <si>
    <t xml:space="preserve"> 此单有第三方监柜，至少多备一套完整的物料用于监柜，请多备料</t>
  </si>
  <si>
    <t>UPC条码贴纸和进口商贴纸翻单PO4500160573</t>
  </si>
  <si>
    <t>日期码格式：LOT+ZURU标准日期码格式                                    日期：按实际生产日期
Packaging Info: 1. 77711GQ2：3L MA EAN  收缩膜+UPC条码贴纸+进口商贴纸+MA 5L 收藏指南+MA 3L PDQ+箱唛，UPC条码贴纸和进口商贴纸翻单PO4500160573
Remark: 1. 客版日期码要求：LOT+ZURU标准日期码格式。东莞生产的格式：LOTDGYYYYMMDD,DG是东莞拼音首字母，YYYYMMDD是实际的年月日，例如(LOTDG20240920)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77711GQ2：每箱需放置6包干燥剂，每包重2-3g
如走柜货等loading  plan  确认后再通知集装箱干燥剂数量</t>
  </si>
  <si>
    <t>0004811707</t>
  </si>
  <si>
    <t>4500217892-70</t>
  </si>
  <si>
    <t>0004811673</t>
  </si>
  <si>
    <t>4500217892-80</t>
  </si>
  <si>
    <t>4500217997-10</t>
  </si>
  <si>
    <t>1张含德语callout/德意荷警语/法国sorting label贴纸(贴球上, 翻PO#4500193186)+ creative说明书荷兰语贴纸(翻单4500155592）</t>
  </si>
  <si>
    <t>日期码格式：ZURU  INC(BVI) 标准格式                                    日期：按实际生产日期
Packaging Info: 
"77711GQ2: 最新MA 3L PDQ+MA 3L EAN收缩膜+1张含德语callout/德意荷警语/法国sorting  label贴纸(贴球上, 翻PO#4500193186)+MA23L 说明书+MA  5+23L警语收
藏指南+  MA  5L  creative说明书  +  creative说明书荷兰语贴纸(翻单4500155592）
EAN: 4894680043350"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包装/说明书(如有)/产品(如有)上的法国地址信息必须保持一致，不可出现包装上是新地址，说明书上是旧地址；如地址信息不一致请通知跟单更新文件；
  5.  电子产品需增加一张WEEE声明29L通用黑白说明书，区分带电池(D版)和不带电池(C版)出货版本, 如已做带WEEE声明的客版说明书可忽略此要求；如包装备注上
缺少此部分信息，请提醒跟单更新备注。
  6.所有出往德国市场有关slime和带香味的都需要出无硼无香版本；
  7 .订单备注显示有分批的(不同仓库/订单号), 一定要区分客户订单号做货出货，否则会导致罚款    。
  8.包装日期码按ZURU格式即可，请确保不迟于外箱日期码，可等于或者早于外箱日期码，必须为法定工作日。
  9.做货前请先复核包装条码与订单是否一致再安排，对不上的需与ZURU跟单确认再安排。
  10.包装必须含法国回收标(Sorting  Label)，如没有，请提醒跟单提供贴纸资料。</t>
  </si>
  <si>
    <t>4500218518-10</t>
  </si>
  <si>
    <t>1张通用UPC条码贴纸（UPC#193052080134）+1张客人通用进口商贴纸（贴纸及其位置图翻单4500159576）</t>
  </si>
  <si>
    <t>日期码格式：ZURU INC(BVI) 标准格式 日期：按实际生产日期
Packaging Info: 77711GQ8： MA 3L EAN 包装+1张通用UPC条码贴纸（UPC#193052080134）+1张客人通用进口商贴纸（贴纸及其位置图翻单4500159576）
Remark: 1.按实际生产日期;
2.出澳大利亚，请按照相应标准生产;
3.所有带纽扣电池的产品都需要在产品包装以及说明书上贴纽扣电池警告语贴纸</t>
  </si>
  <si>
    <t>4500216252-100</t>
  </si>
  <si>
    <t>COMERCIALIZADORA  MEXICO  AMERICANA  S</t>
  </si>
  <si>
    <t>4500218679-10</t>
  </si>
  <si>
    <t>UPC条码贴纸和进口商贴纸翻单PO4500198544</t>
  </si>
  <si>
    <r>
      <rPr>
        <sz val="11"/>
        <color rgb="FF000000"/>
        <rFont val="宋体"/>
        <charset val="134"/>
      </rPr>
      <t>日期码格式：LOTDGYYYYMMDD</t>
    </r>
    <r>
      <rPr>
        <sz val="11"/>
        <color rgb="FF000000"/>
        <rFont val="宋体"/>
        <charset val="134"/>
        <scheme val="minor"/>
      </rPr>
      <t xml:space="preserve">                                    日期：按实际生产日期
Packaging Info: 77711：3L  MA  EAN  收缩膜+UPC条码贴纸+进口商贴纸+MA  5L  收藏指南+箱唛，UPC条码贴纸和进口商贴纸翻单PO4500198544
Remark: 1.  客版日期码要求：LOT+ZURU标准日期码格式。东莞生产的格式：LOTDGYYYYMMDD,  DG是东莞拼音首字母，YYYYMMDD是实际的年月日，例如(LOTDG20240920)。如果
是其他地区工厂生产，请根据实际生产地更改生产城市的拼音首字母
   2.  此单有第三方监柜，至少多备一套完整的物料用于监柜，请多备料
   3.  WM墨西哥防霉的新要求:货物必须在出货主箱和集装箱中按要求放置干燥剂，干燥剂指定品牌干霸
   4.如走柜货等loading  plan  确认后再通知集装箱干燥剂数量
5.77711:  每箱需放置4小包干燥剂,  每包重2-3g</t>
    </r>
  </si>
  <si>
    <r>
      <rPr>
        <sz val="11"/>
        <color rgb="FF000000"/>
        <rFont val="宋体"/>
        <charset val="134"/>
      </rPr>
      <t>Ever</t>
    </r>
    <r>
      <rPr>
        <sz val="11"/>
        <color rgb="FF000000"/>
        <rFont val="宋体"/>
        <charset val="134"/>
        <scheme val="minor"/>
      </rPr>
      <t xml:space="preserve">  Li</t>
    </r>
  </si>
  <si>
    <t>DOLGENCORP,  LLC</t>
  </si>
  <si>
    <t>2D4DR7</t>
  </si>
  <si>
    <t>4500218215-10</t>
  </si>
  <si>
    <t>9月15日早上第三方TUV来厂做100%大货VT抽样,无第三方验货。请务必9.14前完成大货生产以及ZURU QC的验货。并当天14点前提供验货报告+大货图片给跟单。</t>
  </si>
  <si>
    <t>翻4500176962 &lt;(&gt;&amp;&lt;)&gt; 4500181787</t>
  </si>
  <si>
    <t>#77555GQ3-S002-PKC内袋翻4500156595
 #77711GQ5内袋可通用77555GQ3的</t>
  </si>
  <si>
    <t>客版收缩膜， 如有说明书或者指南，务必翻单4500209509版本的。客aws跟单邮件发送</t>
  </si>
  <si>
    <t>特别说明：此单开始#77711按移除pizza hut mini的版本出货的了；DG这单的指南用的是STD版本，可直接配套用C版指南；而收缩膜的话应该是没有pizza hut mini
 的AW的；PDQ的话也帮确认下有无pizza hut mini.</t>
  </si>
  <si>
    <t>日期码格式：DOLLAR  GENERAL  客日期码                                    日期：
Packaging Info: 
#77711GQ5客版PDQ  1L(8pcs/GQ)  +  内袋警示语AWS  +  客版收缩膜，如有说明书或者指南，务必翻45002009509的版本。
Remark: 
   #77711GQ5-S002-NA-PKC  客版PDQ  1L(8pcs/GQ)  +  内袋警示语AWS  +  客版收缩膜。    如有说明书或者指南，务必翻单4500209509版本的。客aws跟单邮件发送  。
特别说明：此单开始#77711按移除pizza  hut  mini的版本出货的了；DG这单的指南用的是STD版本，可直接配套用C版指南；而收缩膜的话应该是没有pizza  hut  mini
的AW的；PDQ的话也帮确认下有无pizza  hut  mini.
客户要求：     "产品和包装不能含有PFAS  物质以及1,4  dioxane"  客户指定实验室做测试，请确保产品可以过美国标准ASTM  F963-23测试。
   #77555GQ3、77111GQ5  必须是双坑外箱
   2. 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   内容如
   #77555GQ3：31328302J26
   #77711GQ5：31328202J26
   (2)产品日期码：
   #77555GQ3：DOLGEN31328302J26    （打在球壳上）
   #77711GQ5：DOLGEN31328202J26（打在球壳上）
后三位J26代表26年10月的ETD  。
（3）UPC条形码：
   #77555GQ3：193052064264
   #77711GQ5:  193052080127
   3.  无价贴。
   4.  无样板需求
   5.  验货抽样事宜：
   #77711GQ5
   9月15日早上第三方TUV来厂做100%大货VT抽样,无第三方验货。请务必9. 14前完成大货生产以及ZURU  QC的验货。并当天14点前提供验货报告+大货图片给跟单。
   #77555GQ3  无第三方。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 出货配比：
#77555GQ3-S002-PKC-MINI  BRANDS-HOME  MINI  BRANDS-SERIES  1-CAPSULE,8PCS/Gravity  PDQ/POLYBAG,48PCS/6POLYBAG/CTN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
#77711GQ5内袋可通用77555GQ3的</t>
  </si>
  <si>
    <t>欠新客版收缩膜签样</t>
  </si>
  <si>
    <t>2D4DR8</t>
  </si>
  <si>
    <t>4500218215-30</t>
  </si>
  <si>
    <t>1.100%大货交期9月14日
2.  第三方TUV做VT抽样9月15日早上。请务必9.14前完成大货生产以及ZURU QC的验货。并当天14点前提供验货报告+大货图片给跟单。</t>
  </si>
  <si>
    <t>0003451320</t>
  </si>
  <si>
    <t>4500217892-50</t>
  </si>
  <si>
    <t>PPTOYS  PTE  LTD  (SG)</t>
  </si>
  <si>
    <t>ZU26061001SG</t>
  </si>
  <si>
    <t>4500218933-10</t>
  </si>
  <si>
    <t>固定固定进口商贴纸,贴纸资料翻单如下
 77711GQ1需要额外加贴一张UPC条码贴纸;
 77711GQ1-4500199081</t>
  </si>
  <si>
    <t>日期码格式：ZURU  INC(BVI)  标准格式                                    日期：按实际生产日期
Packaging Info: MA  UPC包装(优先1L)+固定固定进口商贴纸,贴纸资料翻单如下
77711GQ1需要额外加贴一张UPC条码贴纸;
77711GQ1-4500199081
9560-4500191191
待提供77858的贴纸
Remark：</t>
  </si>
  <si>
    <r>
      <rPr>
        <sz val="11"/>
        <color rgb="FF000000"/>
        <rFont val="宋体"/>
        <charset val="134"/>
      </rPr>
      <t>Emma</t>
    </r>
    <r>
      <rPr>
        <sz val="11"/>
        <color rgb="FF000000"/>
        <rFont val="宋体"/>
        <charset val="134"/>
        <scheme val="minor"/>
      </rPr>
      <t xml:space="preserve">  Wu</t>
    </r>
  </si>
  <si>
    <t>4500214355-90</t>
  </si>
  <si>
    <t>一张UPC条码贴+ 防盗贴纸（两款贴纸以及防盗贴纸位置图翻单PO#4500160026）+ 欠外箱贴纸SSCC L
 abel</t>
  </si>
  <si>
    <r>
      <rPr>
        <sz val="11"/>
        <color rgb="FF000000"/>
        <rFont val="宋体"/>
        <charset val="134"/>
      </rPr>
      <t>日期码格式：ZURU INC(BVI) 标准格式 日期：按实际生产日期</t>
    </r>
    <r>
      <rPr>
        <sz val="11"/>
        <color rgb="FF000000"/>
        <rFont val="宋体"/>
        <charset val="0"/>
      </rPr>
      <t xml:space="preserve">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PO#4500214354一起合并计算</t>
    </r>
  </si>
  <si>
    <t>4500214354-90</t>
  </si>
  <si>
    <r>
      <rPr>
        <sz val="11"/>
        <color rgb="FF000000"/>
        <rFont val="宋体"/>
        <charset val="134"/>
      </rPr>
      <t>日期码格式：ZURU INC(BVI) 标准格式 日期：按实际生产日期</t>
    </r>
    <r>
      <rPr>
        <sz val="11"/>
        <color rgb="FF000000"/>
        <rFont val="宋体"/>
        <charset val="0"/>
      </rPr>
      <t xml:space="preserve">
Packaging Info: 
77711GQ1-S002-INT: MA 3L包装（MA收缩膜和说明书） + 一张UPC条码贴+ 防盗贴纸（两款贴纸以及防盗贴纸位置图翻单PO#4500160026）+ 箱唛 + 外箱贴纸SSCC L
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PO#4500214355一起合并计算</t>
    </r>
  </si>
  <si>
    <t>4500214354-100</t>
  </si>
  <si>
    <t>欠外箱贴纸SSCC Label</t>
  </si>
  <si>
    <t>4500218481-30</t>
  </si>
  <si>
    <t>日期码格式：ZURU  INC(BVI)  标准格式                                    日期：按实际生产日期
Packaging Info: 1.  包装方式：MA  UPC  3L  最新包装，出口加拿大.
2.  产品和包装上印刷tracking  code信息，格式为ZURU常规；
   3.  ZURU  QC  验货合格后即可出货.
Remark: 6.  77711GQ2需在PDQ上加贴UPC贴纸，贴纸显示193052080127。AW跟单提供，工厂自行采购。</t>
  </si>
  <si>
    <t>4500216641-60</t>
  </si>
  <si>
    <t>日期码格式：ZURU  INC(BVI) 标准格式                                    日期：按实际生产日期
Packaging Info: 物料要求  SKU
   2 77711GQ1 MA PDQ +外挂中文收藏指南+中文说明书+黑白警告语+收缩膜年龄贴（8+）      翻单：    4500204920
Remark: 2 .外箱材质如下：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</si>
  <si>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4500219955-30</t>
  </si>
  <si>
    <t>日期码格式：ZURU  INC(BVI)  标准格式                                    日期：按实际生产日期
Packaging Info: 1.  包装方式：MA  UPC  3L  最新包装，出口加拿大.
   2.  产品和包装上印刷tracking  code信息，格式为ZURU常规；
   3.  ZURU  QC  验货合格后即可出货.
Remark:
   6.  77711GQ2需在PDQ上加贴UPC贴纸，贴纸显示193052080127。AW跟单提供，工厂自行采购。</t>
  </si>
  <si>
    <t>4500213190-50</t>
  </si>
  <si>
    <t>铜板纸(翻单4500199536)</t>
  </si>
  <si>
    <t>日期码格式：ZURU INC(BVI) 标准格式                  日期：按实际生产日期
Packaging Info: 1.  STD Items: ZURU MA UPC 现有包装+客供价格贴纸，优先使用MA 1L最新版本（可接受多语）,出口美国
#77731：  MA UPC 现有包装+PVC桶,铜板纸(翻单4500199536)+客供价格贴纸，优先使用MA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</si>
  <si>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4500218444-40</t>
  </si>
  <si>
    <t>0004811698</t>
  </si>
  <si>
    <t>4500218505-10</t>
  </si>
  <si>
    <t>欠1张RFID贴纸</t>
  </si>
  <si>
    <t>日期码格式：ZURU  INC(BVI) 标准格式                                    日期：按实际生产日期
Packaging Info: 1 .包装要求：
77711GQ4-S001-NA: MA  1L A版收缩膜+MA 2L C版收藏指南+MA B版说明书+客版1L PDQ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字样；77711箱唛翻单：4500178136
3. 在产品上和包装上要有日期码、以及要有MADE IN CHINA和ZURU字样；
  4. 产品如有扎带口要剪平，不能刮手。
  5. 此单验货，请多备料
  6. 此单以loose  carton出货，77711：16pcs/PDQ/CTN</t>
  </si>
  <si>
    <t>0004811688</t>
  </si>
  <si>
    <t>4500218505-20</t>
  </si>
  <si>
    <t>4500219679-10</t>
  </si>
  <si>
    <t>产品和包装上要有zuru标准格式tracking code DG20260916</t>
  </si>
  <si>
    <t>日期码格式：ZURU  INC(BVI)  标准格式                                    日期：09-16-2026
Packaging Info: MA  1L  收缩膜  +  WIC  贴纸    （WIC  #  750358，同翻单4500183538）    +  MA  收藏指南  +  客版PDQ  (同翻单4500183538）+  PDQ折页（同翻单4500183538，放在PDQ顶部，
开箱可以看到）
Remark: 产品和包装上要有zuru标准格式tracking  code  DG20260916
产品和包装的日期要一致  ，如果无法一致需要提前确认</t>
  </si>
  <si>
    <r>
      <rPr>
        <sz val="11"/>
        <color rgb="FF000000"/>
        <rFont val="宋体"/>
        <charset val="134"/>
      </rPr>
      <t>Cara</t>
    </r>
    <r>
      <rPr>
        <sz val="11"/>
        <color rgb="FF000000"/>
        <rFont val="宋体"/>
        <charset val="134"/>
        <scheme val="minor"/>
      </rPr>
      <t xml:space="preserve">  Li</t>
    </r>
  </si>
  <si>
    <t>4500219679-20</t>
  </si>
  <si>
    <t>4500219679-30</t>
  </si>
  <si>
    <t>4500219679-40</t>
  </si>
  <si>
    <t>4500219679-50</t>
  </si>
  <si>
    <t>4500219679-60</t>
  </si>
  <si>
    <t>4500219679-70</t>
  </si>
  <si>
    <t>4500216641-70</t>
  </si>
  <si>
    <t>日期码格式：ZURU  INC(BVI) 标准格式                                    日期：按实际生产日期
Packaging Info: 物料要求  SKU
  2 77711GQ1 MA PDQ +外挂中文收藏指南+中文说明书+黑白警告语+收缩膜年龄贴（8+）      翻单：    4500204920
Remark: 2 .外箱材质如下：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t>
  </si>
  <si>
    <t>10001914810-3890</t>
  </si>
  <si>
    <t>4500218118-10</t>
  </si>
  <si>
    <t>欠 条码箱贴纸</t>
  </si>
  <si>
    <t>日期码格式：ZURU  INC(BVI) 标准格式                                    日期：按实际生产日期
Packaging Info: 产品包装(UPC版) MA 1L 收缩膜  + MA 1L PDQ
Remark: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</si>
  <si>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4500218109-20</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</si>
  <si>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</si>
  <si>
    <t>4500216641-80</t>
  </si>
  <si>
    <t>4500216641-90</t>
  </si>
  <si>
    <t>7.  彩盒中球不能出现完全相同的ASSORTMENT  ，     即同一个彩盒中球里的ASSORTMENT  需要不同。     以免消费者失望。
   8.彩盒中球的UPC条码可以不需要空白贴纸覆盖。</t>
  </si>
  <si>
    <r>
      <rPr>
        <sz val="11"/>
        <color rgb="FF000000"/>
        <rFont val="宋体"/>
        <charset val="134"/>
      </rPr>
      <t>CITITRENDS</t>
    </r>
    <r>
      <rPr>
        <sz val="11"/>
        <color rgb="FF000000"/>
        <rFont val="宋体"/>
        <charset val="134"/>
        <scheme val="minor"/>
      </rPr>
      <t xml:space="preserve">  INC</t>
    </r>
  </si>
  <si>
    <t>4500218992</t>
  </si>
  <si>
    <t>0000208320</t>
  </si>
  <si>
    <t>4500218992-10</t>
  </si>
  <si>
    <r>
      <rPr>
        <sz val="11"/>
        <color rgb="FF000000"/>
        <rFont val="宋体"/>
        <charset val="134"/>
      </rPr>
      <t>日期码格式：ZURU</t>
    </r>
    <r>
      <rPr>
        <sz val="11"/>
        <color rgb="FF000000"/>
        <rFont val="宋体"/>
        <charset val="134"/>
        <scheme val="minor"/>
      </rPr>
      <t xml:space="preserve">  INC(BVI)  标准格式                                    日期：按实际生产日期
Packaging Info: 1：MA  UPC（首选1L/多语言)  包装  +  客供价格贴纸  (跟单提供），
每个产品有一个价格贴纸,  价格贴放在每个产品的正面右下角，贴的时候要是会覆盖包装上重要的信息和图案，需要告知跟单。
Remark: 2：产品和包装要加上tracking  code,  格式为ZURU常规格式
3.  整柜FCL  出货，（装柜工厂，不是装柜工厂忽略即可）装柜时最后一箱正唛贴上装箱单,  装箱单需用塑胶袋装好贴在其中一箱上，装柜的时候放在柜们旁，没按
要求粘贴的罚款  100-1000  美金。</t>
    </r>
  </si>
  <si>
    <t>4500216898-40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</si>
  <si>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77782GQ1 客版3L  UPC收缩膜/客版收藏指南/客版PDQ+箱唛 多语PDQ  +箱唛
Remark:</t>
  </si>
  <si>
    <t>COL-46-26-FALL</t>
  </si>
  <si>
    <t>4500216739-50</t>
  </si>
  <si>
    <t>整单包装/产品/外箱指定日期码：DG20260918</t>
  </si>
  <si>
    <t>日期码格式：DG20260918                  日期：
Packaging Info: 77685GQ2/77555GQ2/77773GQ2/77843GQ2/77711GQ2/77772GQ2/77794UQ1/9296/77711SK:MA 多语包装+进口商贴纸+UPC贴纸+箱唛
Remark: 整单包装/产品/外箱指定日期码：DG20260918</t>
  </si>
  <si>
    <t>4500216739-100</t>
  </si>
  <si>
    <t>4500214378-80</t>
  </si>
  <si>
    <r>
      <rPr>
        <sz val="11"/>
        <color rgb="FF000000"/>
        <rFont val="宋体"/>
        <charset val="134"/>
      </rPr>
      <t>日期码格式：ZURU INC(BVI) 标准格式 日期：按实际生产日期 Tracking Code:
Packaging Info: 1.ZURU MA UPC 最新版本包装 + 客供价格贴纸，出口美国 , 优先1L，可接受多语 。
 #77731： MA UPC 现有包装+PVC桶,铜板纸</t>
    </r>
    <r>
      <rPr>
        <sz val="11"/>
        <color rgb="FFFF0000"/>
        <rFont val="宋体"/>
        <charset val="134"/>
      </rPr>
      <t>(翻单4500199536)</t>
    </r>
    <r>
      <rPr>
        <sz val="11"/>
        <color rgb="FF000000"/>
        <rFont val="宋体"/>
        <charset val="134"/>
      </rPr>
      <t>+客供价格贴纸，</t>
    </r>
    <r>
      <rPr>
        <sz val="11"/>
        <color rgb="FFFF0000"/>
        <rFont val="宋体"/>
        <charset val="134"/>
      </rPr>
      <t>优先使用MA 1L最新版本(可接受多语），出口美国。</t>
    </r>
    <r>
      <rPr>
        <sz val="11"/>
        <color rgb="FF000000"/>
        <rFont val="宋体"/>
        <charset val="134"/>
      </rPr>
      <t xml:space="preserve">
 Remark: #15714 比例：B:D:G:J:K:M:N=1:1:1:2:1:4:2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r>
  </si>
  <si>
    <t>4500218537</t>
  </si>
  <si>
    <t>70095071</t>
  </si>
  <si>
    <t>4500218537-20</t>
  </si>
  <si>
    <t>日期码格式：ZURU  INC(BVI) 标准格式                                    日期：按实际生产日期
Packaging Info: 1. Cus Item：
MA UPC 现有包装+PVC桶, 铜板纸+客供价格贴纸，优先使用MA 1L最新版本（可接受多语），出口美国。
  #77731：    MA UPC 现有包装+PVC桶,铜板纸+客供价格贴纸，优先使用MA 1L最新版本(可接受多语），出口美国。
Remark: 2 .价格贴纸位于包装正面右下角，不挡住重要信息即可，可适当调整，价格贴纸由跟单提供。
  3 .标准日期码格式，产品和包装必须有日期码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</si>
  <si>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4500218950-40</t>
  </si>
  <si>
    <t>条码贴纸193052080134（翻单4500190991）+ PDQ+PDQ底部贴纸（35063389172313）+PDQ地址通用贴纸</t>
  </si>
  <si>
    <r>
      <rPr>
        <sz val="11"/>
        <color rgb="FF000000"/>
        <rFont val="宋体"/>
        <charset val="134"/>
      </rPr>
      <t>日期码格式：ZURU INC(BVI) 标准格式 日期：按实际生产日期
Packaging Info: 
【行项目220】
77711GQ2：MA MA EAN 3L收缩膜+条码贴纸193052080134（</t>
    </r>
    <r>
      <rPr>
        <sz val="11"/>
        <color rgb="FFFF0000"/>
        <rFont val="宋体"/>
        <charset val="134"/>
      </rPr>
      <t>翻单4500190991</t>
    </r>
    <r>
      <rPr>
        <sz val="11"/>
        <color rgb="FF000000"/>
        <rFont val="宋体"/>
        <charset val="134"/>
      </rPr>
      <t>）+MA C23L说明书+MA B5L creative+MA PDQ+PDQ底部贴纸（35063389172313）+PDQ地址通
用贴纸
Remark: 1.订单出英国，请注意检查产品及包装应带CE/UKCA图标，包装需要显示ZURU UKLTD/ZURU France地址信息，QC同事请查核，如有问题与跟单确认。
2.生产日期按实际的（法定工作日），按ZURU标准格式即可，并需要在出货前提供每个产品外包上对应的生产日期明细
3.请注意所有订单都需要经过ZURU QC验货加提供客版自检报告审核且通过后方可出货
4.不接受一个款有多个条码，存在这个情况请让ZURU提供条码贴纸
5.外箱上的条码请确保清晰可扫描，有PDQ，需要在PDQ底部贴一张带条码并可扫描的贴纸(ZURU 跟单提供模板）。
6.所有产品按符合欧洲标准走货，微塑料需合规并增加IFUD声明，含电池的需要增加WEEE说明书。
7.请额外准备一套大货样</t>
    </r>
  </si>
  <si>
    <t>4500215085-10</t>
  </si>
  <si>
    <t>铜板纸(翻单 4500204609）</t>
  </si>
  <si>
    <t>日期码格式：ZURU  INC(BVI)  标准格式                                    日期：按实际生产日期
Packaging Info: 1.  Cus  Item：
MA  UPC  现有包装+PVC桶,  铜板纸(翻单  4500204609）+客供价格贴纸，优先使用MA  1L最新版本（可接受多语），出口美国。
Remark: 2.价格贴纸位于包装正面右下角，不挡住重要信息即可，可适当调整，价格贴纸由跟单提供。
3.标准日期码格式，产品和包装必须有日期码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</si>
  <si>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Blanche  Huang</t>
  </si>
  <si>
    <t>4500217585-30</t>
  </si>
  <si>
    <t>客版收缩膜+客版PDQ翻单PO4500161302，客
 版收藏指南翻单PO4500203841 (出不带披萨的版本）</t>
  </si>
  <si>
    <t>日期码格式：ZURU  INC(BVI) 标准格式                                    日期：按实际生产日期
Packaging Info: 
77782GQ1 客版收缩膜+进口商贴纸+条码贴纸+箱唛+客版PDQ+客版收藏指南，进口商贴纸和条码贴纸翻单PO4500188881，客版收缩膜+客版PDQ翻单PO4500161302，客
版收藏指南翻单PO4500203841  (出不带披萨的版本）
Remark: 1.进口商贴纸请多备料5pcs,出货后需要寄给客户留底
  2 .如后续提供的贴纸文档中进口商贴纸和条码贴纸合并为一张，可忽略条码贴纸的需求</t>
  </si>
  <si>
    <t>02594007/1</t>
  </si>
  <si>
    <t>4500216546-10</t>
  </si>
  <si>
    <t>欠UPC条码贴纸（193052080134）</t>
  </si>
  <si>
    <t>不带电池版本(WEEE 不带电池走货 通用29L C
版说明书)</t>
  </si>
  <si>
    <t>日期码格式：ZURU INC(BVI) 标准格式                  日期：按实际生产日期
Packaging Info: 77711GQ2-S002-INT: MA B版 3L 包装+UPC条码贴纸（193052080134）
条码：193052080134
配比：标准配比
Remark: 1) MA UPC版本。订单出英国，请注意检查产品及包装应带UKCA图标，包装显示ZURU UK LTD信息，QC同事请查核，如有问题与跟单确认。
 2) 生产日期按实际（法定工作日），按ZURU标准格式即可 ，但是请知悉包装日期码需要早于或者等于外箱日期码 ，不能晚于外箱日期码
 3) 请注意所有订单都需要经过ZURU QC验货并且通过后方可出货
4) 条码以订单显示为准 ，请安排生产前先核对 ，有问题请提出。
 5) 所有产品按符合欧洲标准走货，需要是不含微塑料版本 。涉及到硼的，如可选择情况下应使用低硼版本  （slime 类别低硼一般低于300ppm)，无选择的应与跟单
复核再安排 。
 6) 所有出往欧洲订单的电子产品需增加一张客版WEEE说明书，区分带电池(WEEE 带电池走货 通用29L D版说明书)和不带电池版本(WEEE 不带电池走货 通用29L C
版说明书)
 7) 订单若对应多个客户PO，  请分开做货，  不要混装。一个PO一个柜
 8) 大货完成后请及时提供shipment images 供客户批复才能放货 ，如未提供照片就直接走柜，有问题由工厂负责  。
 9）  最终出货工厂需要按船务要求为集装箱挂网，如不按要求挂网导致罚款由工厂承担 。</t>
  </si>
  <si>
    <t>Anna Lian</t>
  </si>
  <si>
    <t>4500218890-20</t>
  </si>
  <si>
    <t>欠进口商贴纸+UPC贴纸+外箱贴纸</t>
  </si>
  <si>
    <r>
      <rPr>
        <sz val="11"/>
        <color rgb="FF000000"/>
        <rFont val="宋体"/>
        <charset val="134"/>
      </rPr>
      <t>日期码格式：ZURU</t>
    </r>
    <r>
      <rPr>
        <sz val="11"/>
        <color rgb="FF000000"/>
        <rFont val="宋体"/>
        <charset val="134"/>
        <scheme val="minor"/>
      </rPr>
      <t xml:space="preserve">  INC(BVI)  标准格式                                    日期：按实际生产日期
Packaging Info:
77711GQ2:MA  多语包装+进口商贴纸+UPC贴纸+外箱贴纸+箱唛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r>
  </si>
  <si>
    <r>
      <rPr>
        <sz val="11"/>
        <color rgb="FF000000"/>
        <rFont val="宋体"/>
        <charset val="134"/>
      </rPr>
      <t>Ava</t>
    </r>
    <r>
      <rPr>
        <sz val="11"/>
        <color rgb="FF000000"/>
        <rFont val="宋体"/>
        <charset val="134"/>
        <scheme val="minor"/>
      </rPr>
      <t xml:space="preserve">  Liang</t>
    </r>
  </si>
  <si>
    <r>
      <rPr>
        <sz val="11"/>
        <color rgb="FF000000"/>
        <rFont val="宋体"/>
        <charset val="134"/>
      </rPr>
      <t>日期码格式：ZURU</t>
    </r>
    <r>
      <rPr>
        <sz val="11"/>
        <color rgb="FF000000"/>
        <rFont val="宋体"/>
        <charset val="134"/>
        <scheme val="minor"/>
      </rPr>
      <t xml:space="preserve">  INC(BVI)  标准格式                                    日期：按实际生产日期
Packaging
77785:客版彩盒+进口商贴纸+保证书+外箱贴纸+箱唛（77673:MA  多语收缩膜/77711：MA  多语收缩膜+空白贴纸）,客版彩盒翻单PO4500194447，包装/产品都需要贴
一张进口商贴纸
Remark: 1.此单有第三方监柜，需要每款多备1套完整物料
2.外箱贴纸只要一张，位置是正唛和侧唛的交接处，外箱贴纸上的客户PO号码是客户系统自动生成，会跟45单号的客户PO不一致，确认没问题
3.订单包装上的条码必须是UPC，后续提供的贴纸文档将进口商贴纸和UPC贴纸合并为一张，则可以忽略UPC文档的需求</t>
    </r>
  </si>
  <si>
    <t>4500218792-10</t>
  </si>
  <si>
    <r>
      <rPr>
        <sz val="11"/>
        <color rgb="FF000000"/>
        <rFont val="宋体"/>
        <charset val="134"/>
      </rPr>
      <t>日期码格式：ZURU</t>
    </r>
    <r>
      <rPr>
        <sz val="11"/>
        <color rgb="FF000000"/>
        <rFont val="宋体"/>
        <charset val="134"/>
        <scheme val="minor"/>
      </rPr>
      <t xml:space="preserve">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r>
  </si>
  <si>
    <r>
      <rPr>
        <sz val="11"/>
        <color rgb="FF000000"/>
        <rFont val="宋体"/>
        <charset val="134"/>
      </rPr>
      <t>Hailey</t>
    </r>
    <r>
      <rPr>
        <sz val="11"/>
        <color rgb="FF000000"/>
        <rFont val="宋体"/>
        <charset val="134"/>
        <scheme val="minor"/>
      </rPr>
      <t xml:space="preserve">  Yu</t>
    </r>
  </si>
  <si>
    <t>4500218792-20</t>
  </si>
  <si>
    <t>4500218792-260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</si>
  <si>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</si>
  <si>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0101837753</t>
  </si>
  <si>
    <t>4500218505-30</t>
  </si>
  <si>
    <t>4500219683-10</t>
  </si>
  <si>
    <t>产品和包装上要有zuru标准格式tracking code DG20260923</t>
  </si>
  <si>
    <t>日期码格式：ZURU  INC(BVI)  标准格式                                    日期：09-23-2026
Packaging Info: MA  1L  收缩膜  +  WIC  贴纸    （WIC  #  750358，同翻单4500183538）    +  MA  收藏指南  +  客版PDQ  (同翻单4500183538）+  PDQ折页（同翻单4500183538，放在PDQ顶部，
开箱可以看到）
Remark: 产品和包装上要有zuru标准格式tracking  code  DG20260923
产品和包装的日期要一致  ，如果无法一致需要提前确认</t>
  </si>
  <si>
    <r>
      <rPr>
        <sz val="11"/>
        <color rgb="FF000000"/>
        <rFont val="宋体"/>
        <charset val="134"/>
      </rPr>
      <t>Cara</t>
    </r>
    <r>
      <rPr>
        <sz val="11"/>
        <color rgb="FF000000"/>
        <rFont val="宋体"/>
        <charset val="134"/>
        <scheme val="minor"/>
      </rPr>
      <t xml:space="preserve">  </t>
    </r>
    <r>
      <rPr>
        <sz val="11"/>
        <color rgb="FF000000"/>
        <rFont val="宋体"/>
        <charset val="134"/>
        <scheme val="minor"/>
      </rPr>
      <t>Li</t>
    </r>
  </si>
  <si>
    <t>4500219683-20</t>
  </si>
  <si>
    <t>4500219683-30</t>
  </si>
  <si>
    <t>4500219683-40</t>
  </si>
  <si>
    <t>4500219683-50</t>
  </si>
  <si>
    <t>4500219683-60</t>
  </si>
  <si>
    <t>4500219683-70</t>
  </si>
  <si>
    <t>4500219683-80</t>
  </si>
  <si>
    <t>日期码格式：ZURU INC(BVI) 标准格式                  日期：按实际生产日期
Packaging Info: 1. #77785：MA UPC + 客版彩盒 + 客供贴纸, 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</si>
  <si>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10001788159-3890</t>
  </si>
  <si>
    <t>4500219139-10</t>
  </si>
  <si>
    <t>日期码格式：ZURU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4. 产品和包装上均要印刷tracking  code信息，格式为ZURU常规格式；
  5. 需要我司QC验货之后才能安排出货
  6. 出货方式：    货代自提</t>
  </si>
  <si>
    <t>4500219730-10</t>
  </si>
  <si>
    <t>欠1张PDQ通用地址贴纸+1张客人logo贴纸+1张
 客户进口商贴纸</t>
  </si>
  <si>
    <t>日期码格式：ZURU  INC(BVI)  标准格式                                    日期：按实际生产日期
Packaging Info: 【行项目10】
77711GQ2：最新MA  3L  PDQ(需配套最新MA版PDQ含有欧盟地址，     如还没放最新PDQ，需加上1张PDQ通用地址贴纸）+  MA  3L  含EAN  条码收缩膜+1张客人logo贴纸+1张
客户进口商贴纸+MA  最新5L  收藏指南+MA拼装说明书
--------------------
Remark: 1.  此单出葡萄牙，需满足EU测试标准要求，另外微塑料需符合EU法规；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
5.此单出货前需提供验货图片给客户放货，     需ZURU  OQC验货，不能免检
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（含有二个欧盟地址，法国地址需下划线），需要配套最新MA版PDQ含有欧盟地址贴纸，     如没有，需要加如下贴纸内容：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</si>
  <si>
    <t>4500218739-10</t>
  </si>
  <si>
    <t>欠1*客户价格贴纸+1*（DE+IT ）警语贴纸+1*客户价格贴纸(同产品一
 样)+1*Zuru PDQ展示架通用地址贴纸</t>
  </si>
  <si>
    <t>日期码格式：ZURU  INC(BVI)  标准格式                                    日期：按实际生产日期
Packaging Info: 77711GQ1：MA  3L  EAN  收缩膜+1*客户价格贴纸+1*（DE+IT  ）警语贴纸+MA  23L  警语说明书+MA  5L+23L  收藏指南+MA  内袋+MA    3L  PDQ  +1*客户价格贴纸(同产品一
样)+1*Zuru  PDQ展示架通用地址贴纸
Remark: 1.  大货样品3套每款每色，用于第三方验货+客户签板，请多备包装物料。如果有PDQ，需要2pcs  空PDQ（客户签板使用）
   2.  客户价格贴纸需使用可移动并无表面处理。EAN  条码贴纸和警语类需要不可移动贴纸。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France.（同包材一致即可，running  change）
（由于我司法国地址在running  change阶段，带电的毛绒产品布标上的ZURU  FRANCE  地址同包装上的地址一样即可）
   5.  客户验货合格后才能走货。
   6.  外箱上需要有ZURU  FRANCE  地址（直接印刷或者贴纸都行）</t>
  </si>
  <si>
    <t>0004811699</t>
  </si>
  <si>
    <t>4500219345-20</t>
  </si>
  <si>
    <t>日期码格式：ZURU INC(BVI) 标准格式 日期：按实际生产日期 Tracking Code:
Packaging Info: 1.包装要求：
 77711GQ4-S001-NA: MA 1L A版收缩膜+MA 2L C版收藏指南+MA B版说明书+客版1L PDQ
每pcs产品上要贴1张RFID贴纸，贴纸由ZURU提供，贴纸位置请严格按照我们签回的签板；
Remark: 1.包装要求：
 77711GQ4-S001-NA: MA 1L A版收缩膜+MA 2L C版收藏指南+MA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字样；77711箱唛翻单：4500178136，77673箱唛翻单：4500178138
 3. 在产品上和包装上要有日期码、以及要有MADE IN CHINA和ZURU字样；
 4. 产品如有扎带口要剪平，不能刮手。
 5. 此单验货，请多备料
 6. 此单以loose carton出货，
 77711：16pcs/PDQ/CTN</t>
  </si>
  <si>
    <t>0004811683</t>
  </si>
  <si>
    <t>4500219345-30</t>
  </si>
  <si>
    <t>0101837776</t>
  </si>
  <si>
    <t>4500219345-50</t>
  </si>
  <si>
    <t>0101837772</t>
  </si>
  <si>
    <t>4500219345-60</t>
  </si>
  <si>
    <t>0101837764</t>
  </si>
  <si>
    <t>4500219345-80</t>
  </si>
  <si>
    <t>4500219146-20</t>
  </si>
  <si>
    <r>
      <rPr>
        <sz val="11"/>
        <color rgb="FF000000"/>
        <rFont val="宋体"/>
        <charset val="134"/>
      </rPr>
      <t>日期码格式：ZURU</t>
    </r>
    <r>
      <rPr>
        <sz val="11"/>
        <color rgb="FF000000"/>
        <rFont val="宋体"/>
        <charset val="134"/>
        <scheme val="minor"/>
      </rPr>
      <t xml:space="preserve">  INC(BVI) 标准格式                                    日期：按实际生产日期
Packaging Info: 
77711GQ2:产品包装(UPC版)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r>
  </si>
  <si>
    <t>4500213190-70</t>
  </si>
  <si>
    <t>日期码格式：ZURU INC(BVI) 标准格式                  日期：按实际生产日期
Packaging Info: 1.  STD Items: ZURU MA UPC 现有包装+客供价格贴纸，优先使用MA 1L最新版本（可接受多语）,出口美国
#77731：  MA UPC 现有包装+PVC桶,铜板纸(翻单4500199536)+客供价格贴纸，优先使用MA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
 9. 请注意#77785一个彩盒中的两个球不允许重复，且一个彩盒不能拆出2个即以上的重复散件。</t>
  </si>
  <si>
    <t>4500214359-30</t>
  </si>
  <si>
    <t>一张UPC条码贴+ 1张防盗贴纸（两款贴纸以及防盗贴纸位置图翻单PO#4500160026）+ 欠 外箱贴纸SS
 CC Label</t>
  </si>
  <si>
    <t>日期码格式：ZURU  INC(BVI) 标准格式                                    日期：按实际生产日期
Packaging Info:
77711GQ1-S002-INT: MA  3L包装（MA收缩膜和说明书）    + 一张UPC条码贴+  1张防盗贴纸（两款贴纸以及防盗贴纸位置图翻单PO#4500160026）+  箱唛  +  外箱贴纸SS
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PO#4500214361一起合并计算</t>
  </si>
  <si>
    <t>4500214361-30</t>
  </si>
  <si>
    <t>日期码格式：ZURU  INC(BVI) 标准格式                                    日期：按实际生产日期
Packaging Info: 
77711GQ1-S002-INT: MA  3L包装（MA收缩膜和说明书）    + 一张UPC条码贴+  1张防盗贴纸（两款贴纸以及防盗贴纸位置图翻单PO#4500160026）+  箱唛  +  外箱贴纸SS
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PO#4500214359一起合并计算</t>
  </si>
  <si>
    <t>4500219223</t>
  </si>
  <si>
    <t>10002024608-0581</t>
  </si>
  <si>
    <t>4500219223-20</t>
  </si>
  <si>
    <t>4500219169-20</t>
  </si>
  <si>
    <t>日期码格式：ZURU  INC(BVI) 标准格式                                    日期：按实际生产日期
Packaging Info: 
77711GQ2:产品包装(UPC版) MA  1L  收缩膜  + MA 1L PDQ；
Remark: 
2. 产品包装  客版收缩膜（E版）+5L  C版客版收藏指南+MA说明书+ MA 1L PDQ；客版收缩膜上的UPC显示193052079404；
  3. 外箱正唛左上角位置粘贴条码箱贴纸，每箱只贴一张，由ZURU订购。来料贴纸上显示的客户DPCI#  086-02-3468，    UPC显示10193052079401;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以上Items:
  1. 产品和包装上均要印刷tracking  code信息，格式为ZURU常规格式；
  2. 需要我司QC验货之后才能安排出货
  3. 出货方式：    货代自提</t>
  </si>
  <si>
    <t>4500215851-30</t>
  </si>
  <si>
    <t>欠UPC贴纸+进口商贴纸</t>
  </si>
  <si>
    <t>日期码格式：ZURU INC(BVI) 标准格式                  日期：按实际生产日期
Packaging Info: 1.优先多语 MA UPC或者3L/5L MA EAN 包装
2.请确保包装上的条形码是UPC，如果是babyUPC、需要用mother UPC覆盖，如有不一致，请及时提出。谢谢!
3.需要监柜，每个款需要1pc样办
77711GQ2 MA多语EAN包装+UPC贴纸+MA多语收藏指南+MA 多语 PDQ+进口商贴纸+箱唛
Remark:</t>
  </si>
  <si>
    <r>
      <rPr>
        <sz val="11"/>
        <color rgb="FF000000"/>
        <rFont val="宋体"/>
        <charset val="134"/>
      </rPr>
      <t>ROSS</t>
    </r>
    <r>
      <rPr>
        <sz val="11"/>
        <color rgb="FF000000"/>
        <rFont val="宋体"/>
        <charset val="134"/>
        <scheme val="minor"/>
      </rPr>
      <t xml:space="preserve">  </t>
    </r>
    <r>
      <rPr>
        <sz val="11"/>
        <color rgb="FF000000"/>
        <rFont val="宋体"/>
        <charset val="134"/>
        <scheme val="minor"/>
      </rPr>
      <t>PROCUREMENT.INC</t>
    </r>
  </si>
  <si>
    <t>4500219404</t>
  </si>
  <si>
    <t>60317815</t>
  </si>
  <si>
    <t>4500219404-10</t>
  </si>
  <si>
    <t>日期码格式：ZURU  INC(BVI)  标准格式                                    日期：按实际生产日期
Packaging Info: 1.  Cus  Item：
MA  UPC  现有包装+PVC桶,  铜板纸+客供价格贴纸，优先使用MA  1L最新版本（可接受多语），出口美国。
Remark: 2.价格贴纸位于包装正面右下角，不挡住重要信息即可，可适当调整，价格贴纸由跟单提供。
3.标准日期码格式，产品和包装必须有日期码  。
4. 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</si>
  <si>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r>
      <rPr>
        <sz val="11"/>
        <color rgb="FF000000"/>
        <rFont val="宋体"/>
        <charset val="134"/>
      </rPr>
      <t>Summer</t>
    </r>
    <r>
      <rPr>
        <sz val="11"/>
        <color rgb="FF000000"/>
        <rFont val="宋体"/>
        <charset val="134"/>
        <scheme val="minor"/>
      </rPr>
      <t xml:space="preserve">  </t>
    </r>
    <r>
      <rPr>
        <sz val="11"/>
        <color rgb="FF000000"/>
        <rFont val="宋体"/>
        <charset val="134"/>
        <scheme val="minor"/>
      </rPr>
      <t>Mo</t>
    </r>
  </si>
  <si>
    <t>4500219357-20</t>
  </si>
  <si>
    <t>价格贴纸(价贴金额$19.99, 价贴位于PVC桶铜版
 纸UPC条形码附近）价贴资料翻单4500207083，+ 欠2张外箱贴</t>
  </si>
  <si>
    <t>日期码格式：ZURU INC(BVI) 标准格式 日期：按实际生产日期 Tracking Code:
Packaging Info: 1. 包材：
 #77731: 球使用MA 最新1L UPC收缩膜+空白贴纸覆盖UPC+2L 英法版本 收藏指南 + 23L 说明书 + 3L UPC 铜版纸 + 价格贴纸(价贴金额$19.99, 价贴位于PVC桶铜版
 纸UPC条形码附近）价贴资料翻单4500207083，工厂采购，出口美国。
Remark: 2. 日期跟踪码：产品包装及产品本身都必须有日期跟踪码，并且确保两者的日期跟踪码要一致；ZURU标准格式日期码(请自行调整具体年月日生产期，但不能为周
 末）。
 PS: 毛绒布标贴纸日期码可以不保持一致。
 3. 订单外箱：
 *只需在外箱4面的正上方印ZURU LOGO；3面印MADE IN CHINA字样，一面留空贴外箱贴；
 *外箱正面需要额外加贴2张外箱贴（外箱贴客户提供，工厂直接贴）；
 *外箱贴位置：shipping label贴于外箱正面左下角；product label 贴于外箱正面右下角，2张贴纸都需距离外箱边缘至少3CM。
 4. 此客户有2个PO:
 PO# 02263918 ship to NJ,
 PO# 02263919 ship to NV,
 5. 出货配比：ZURU MA 配比；</t>
  </si>
  <si>
    <t xml:space="preserve"> Mila Yao</t>
  </si>
  <si>
    <t>4500219357-60</t>
  </si>
  <si>
    <t>4500219408</t>
  </si>
  <si>
    <t>60317833</t>
  </si>
  <si>
    <t>4500219408-10</t>
  </si>
  <si>
    <t>4500215423-20</t>
  </si>
  <si>
    <t>一张UPC条码贴+ 1张防盗贴纸（两款贴纸以及防盗贴纸位置图翻单PO#4500160026）+ 欠外箱贴纸SS
 CC Label</t>
  </si>
  <si>
    <t>日期码格式：ZURU  INC(BVI)  标准格式                                    日期：按实际生产日期
Packaging Info:
77711GQ1-S002-INT:  MA  3L包装（MA收缩膜和说明书）    +  一张UPC条码贴+  1张防盗贴纸（两款贴纸以及防盗贴纸位置图翻单PO#4500160026）+  箱唛  +  外箱贴纸SS
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PO#4500215424一起合并计算</t>
  </si>
  <si>
    <t>4500218540</t>
  </si>
  <si>
    <t>70095073</t>
  </si>
  <si>
    <t>4500218540-20</t>
  </si>
  <si>
    <r>
      <rPr>
        <sz val="11"/>
        <color rgb="FF000000"/>
        <rFont val="宋体"/>
        <charset val="134"/>
      </rPr>
      <t>DOLGENCORP,</t>
    </r>
    <r>
      <rPr>
        <sz val="11"/>
        <color rgb="FF000000"/>
        <rFont val="宋体"/>
        <charset val="134"/>
        <scheme val="minor"/>
      </rPr>
      <t xml:space="preserve">  </t>
    </r>
    <r>
      <rPr>
        <sz val="11"/>
        <color rgb="FF000000"/>
        <rFont val="宋体"/>
        <charset val="134"/>
        <scheme val="minor"/>
      </rPr>
      <t>LLC</t>
    </r>
  </si>
  <si>
    <t>4500219854</t>
  </si>
  <si>
    <t>2DC856</t>
  </si>
  <si>
    <t>4500219854-10</t>
  </si>
  <si>
    <t>日期码格式：DOLLAR  GENERAL  客日期码                                    日期：
Packaging Info: 
#77711GQ5客版PDQ  1L(8pcs/GQ)  +  内袋警示语AWS  +  客版收缩膜，如有说明书或者指南，务必翻45002009509的版本。
Remark: 1.包装：
#77711GQ5-S002-NA-PKC  客版PDQ  1L(8pcs/GQ)  +  内袋警示语AWS  +  客版收缩膜。    如有说明书或者指南，务必翻单4500209509版本的。客aws跟单邮件发送  。
特别说明：     #77711按移除pizza  hut  mini的版本出货的了；DG这单的指南用的是STD版本，可直接配套用C版指南；而收缩膜的话应该是没有pizza  hut  mini的AW的
;PDQ的话也帮确认下有无pizza  hut  mini.
客户要求：     "产品和包装不能含有PFAS  物质以及1,4  dioxane"  客户指定实验室做测试，请确保产品可以过美国标准ASTM  F963-23测试。
#77555GQ3、77111GQ5  必须是双坑外箱
2. 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   内容如
#77711GQ5：31328202K26
(2)产品日期码：
#77711GQ5：DOLGEN31328202K26（打在球壳上）
后三位K26代表26年11月的ETD  。
（3）UPC条形码：
   #77711GQ5:  193052080127
   3.  无价贴。
   4.  无样板需求
   5.  验货抽样事宜：
#77711GQ5
无第三方。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 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</si>
  <si>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r>
      <rPr>
        <sz val="11"/>
        <color rgb="FF000000"/>
        <rFont val="宋体"/>
        <charset val="134"/>
      </rPr>
      <t>Hailey</t>
    </r>
    <r>
      <rPr>
        <sz val="11"/>
        <color rgb="FF000000"/>
        <rFont val="宋体"/>
        <charset val="134"/>
        <scheme val="minor"/>
      </rPr>
      <t xml:space="preserve">  </t>
    </r>
    <r>
      <rPr>
        <sz val="11"/>
        <color rgb="FF000000"/>
        <rFont val="宋体"/>
        <charset val="134"/>
        <scheme val="minor"/>
      </rPr>
      <t>Yu</t>
    </r>
  </si>
  <si>
    <t>2DC869</t>
  </si>
  <si>
    <t>4500219854-30</t>
  </si>
  <si>
    <t>1张空白贴纸挡住EAN条码+欠外箱贴纸SSCC  Label</t>
  </si>
  <si>
    <t>日期码格式：ZURU  INC(BVI)  标准格式                                    日期：按实际生产日期
Packaging Info:
77785：MA  3L  UPC  彩盒包装  +  箱唛  +  外箱贴纸SSCC  Label
子件77711:  MA  3L收缩膜  +  1张空白贴纸挡住EAN条码+MA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PO#4500215430一起合并计算</t>
  </si>
  <si>
    <t>日期码格式：ZURU  INC(BVI)  标准格式                                    日期：按实际生产日期
Packaging Info:
77785：MA  3L  UPC  彩盒包装  +  箱唛  +  外箱贴纸SSCC  Label
子件77711:  MA  3L收缩膜  +  1张空白贴纸挡住EAN条码+MA  5L  收藏指南+MA  23L  说明书+MA  5L  creative+MA纸袋;
子件77673:MA  1L  UPC  收缩膜+1张说明书纽扣电池警告语贴纸+  1张收缩膜纽扣电池警告语贴纸+MA  5L  收藏指南+MA  23L  说明书+MA  纸袋
（客版AW以及电池警告语贴纸&lt;(&gt;&amp;&lt;)&gt;贴纸位置图翻单PO#4500170842）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 13,10-16kg  超重logo
   2）CBM超过0. 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PO#4500215429一起合并计算</t>
  </si>
  <si>
    <t>4500214754-10</t>
  </si>
  <si>
    <t>4500219413</t>
  </si>
  <si>
    <t>60317840</t>
  </si>
  <si>
    <t>4500219413-10</t>
  </si>
  <si>
    <t>放MA日期</t>
  </si>
  <si>
    <t>PO号码</t>
  </si>
  <si>
    <t>负责</t>
  </si>
  <si>
    <t>货号</t>
  </si>
  <si>
    <t>数量</t>
  </si>
  <si>
    <t>名称</t>
  </si>
  <si>
    <t>语言</t>
  </si>
  <si>
    <t>1L 收缩膜</t>
  </si>
  <si>
    <t>收藏指南 5L</t>
  </si>
  <si>
    <t>3L 收缩膜</t>
  </si>
  <si>
    <t>客版3L 无条码收缩膜</t>
  </si>
  <si>
    <t>1L TQ1</t>
  </si>
  <si>
    <t>3L TQ1</t>
  </si>
  <si>
    <t>77785彩盒</t>
  </si>
  <si>
    <t>版本</t>
  </si>
  <si>
    <t>1000026155</t>
  </si>
  <si>
    <t>17009852</t>
  </si>
  <si>
    <t xml:space="preserve">shrink wrap  (1L) </t>
  </si>
  <si>
    <t>1L</t>
  </si>
  <si>
    <t>A</t>
  </si>
  <si>
    <t>Playset，内&amp;外膜配套放数</t>
  </si>
  <si>
    <t>1000026156</t>
  </si>
  <si>
    <t>17009853</t>
  </si>
  <si>
    <t xml:space="preserve">shrink wrap  (3L) </t>
  </si>
  <si>
    <t>3L</t>
  </si>
  <si>
    <t>1000026157</t>
  </si>
  <si>
    <t>17009854</t>
  </si>
  <si>
    <t>Collections guide(5L)</t>
  </si>
  <si>
    <t>5L</t>
  </si>
  <si>
    <t>Playset</t>
  </si>
  <si>
    <t>1000026158</t>
  </si>
  <si>
    <t>17009855</t>
  </si>
  <si>
    <t>TQ1 PDQ (1L)</t>
  </si>
  <si>
    <t>1000026418</t>
  </si>
  <si>
    <t>1000026419</t>
  </si>
  <si>
    <t>1000026420</t>
  </si>
  <si>
    <t>1000026421</t>
  </si>
  <si>
    <t>1000026425</t>
  </si>
  <si>
    <t>17009947</t>
  </si>
  <si>
    <t>TQ1 PDQ (3L)</t>
  </si>
  <si>
    <t>1000026592</t>
  </si>
  <si>
    <t>Jenny Shen</t>
  </si>
  <si>
    <t>77673TQ1</t>
  </si>
  <si>
    <t>Shrink Wrap</t>
  </si>
  <si>
    <t>客版</t>
  </si>
  <si>
    <t>Jade用于订单Smyths FR:1,000PCS(#4500156861)+Smyths CE:3,008PCS(#4500155594)+Smyth UKI:1,504PCS(#4500156861)+剩余14,488pcs待消耗</t>
  </si>
  <si>
    <t>1000026593</t>
  </si>
  <si>
    <t>Collector guide</t>
  </si>
  <si>
    <t>1000026655</t>
  </si>
  <si>
    <t>Ouniy用于Target US订单4500159604/4500158149/4500159315/4500166259/4500166249</t>
  </si>
  <si>
    <t>1000026646</t>
  </si>
  <si>
    <t>1000026824</t>
  </si>
  <si>
    <t>1000026825</t>
  </si>
  <si>
    <t>1000027322</t>
  </si>
  <si>
    <t>Jamie Liu</t>
  </si>
  <si>
    <t>1000027323</t>
  </si>
  <si>
    <t>1000027324</t>
  </si>
  <si>
    <t>1000027325</t>
  </si>
  <si>
    <t>1000027673</t>
  </si>
  <si>
    <t>1000027672</t>
  </si>
  <si>
    <t>1000027674</t>
  </si>
  <si>
    <t>Babbit Zhong</t>
  </si>
  <si>
    <t>1000028068</t>
  </si>
  <si>
    <t>1000028069</t>
  </si>
  <si>
    <t>1000027344</t>
  </si>
  <si>
    <t>Fiona Huang</t>
  </si>
  <si>
    <t>Window BOX</t>
  </si>
  <si>
    <t>Chelsea用于订单4500161438及后续订单</t>
  </si>
  <si>
    <t>1000028529</t>
  </si>
  <si>
    <t>1000028531</t>
  </si>
  <si>
    <t>1000028535</t>
  </si>
  <si>
    <t>1000028540</t>
  </si>
  <si>
    <t>1000028502</t>
  </si>
  <si>
    <t>Ouniy用于订单4500168202/4500166232/4500168202/4500171338/4500170675/4500170533/4500170676/4500170547/4500170678</t>
  </si>
  <si>
    <t>1000028504</t>
  </si>
  <si>
    <t>1000028612</t>
  </si>
  <si>
    <t>Louise用于Kmart AU/NZ首单3600pcs 8/1CRD余下按交期下单</t>
  </si>
  <si>
    <t>1000028603</t>
  </si>
  <si>
    <t>Joan用于Smyths FR:600PCS(#4500168001)
                     剩余19,400PCS待消耗</t>
  </si>
  <si>
    <t>1000028604</t>
  </si>
  <si>
    <t>Joan用于Smyths FR:600PCS(#4500168001)
                     剩余4,400PCS待消耗</t>
  </si>
  <si>
    <t>1000029002</t>
  </si>
  <si>
    <t>1000029118</t>
  </si>
  <si>
    <t>Mina Pan</t>
  </si>
  <si>
    <t>77721SLT</t>
  </si>
  <si>
    <t>Collection guide</t>
  </si>
  <si>
    <t>3L inside fridge</t>
  </si>
  <si>
    <t>Cynthia用于COSTCO CA订单4500161371/4500161390/4500161400/4500161402/4500161405/4500161406</t>
  </si>
  <si>
    <t>1000029115</t>
  </si>
  <si>
    <t>Shrink wrap(for fridge)</t>
  </si>
  <si>
    <t>1000029235</t>
  </si>
  <si>
    <t>B</t>
  </si>
  <si>
    <t>Playset，内&amp;外膜配套放数，B版</t>
  </si>
  <si>
    <t>1000029236</t>
  </si>
  <si>
    <t>1000029244</t>
  </si>
  <si>
    <t>1000029701</t>
  </si>
  <si>
    <t>1000029702</t>
  </si>
  <si>
    <t>1000029703</t>
  </si>
  <si>
    <t>1000029704</t>
  </si>
  <si>
    <t>1000029705</t>
  </si>
  <si>
    <t>1000030057</t>
  </si>
  <si>
    <t>1000030058</t>
  </si>
  <si>
    <t>1000030059</t>
  </si>
  <si>
    <t>1000030060</t>
  </si>
  <si>
    <t>1000030503</t>
  </si>
  <si>
    <t>Christine Yuan</t>
  </si>
  <si>
    <t>Ouniy用于订单4500174721/4500174008/4500175215/4500175217</t>
  </si>
  <si>
    <t>1000030504</t>
  </si>
  <si>
    <t>Collector Guide</t>
  </si>
  <si>
    <t>1000030533</t>
  </si>
  <si>
    <t>1000030782</t>
  </si>
  <si>
    <t xml:space="preserve">Crystal用于 PO#4500174199 </t>
  </si>
  <si>
    <t>1000030783</t>
  </si>
  <si>
    <t>1000030784</t>
  </si>
  <si>
    <t>1000030785</t>
  </si>
  <si>
    <t>1000030869</t>
  </si>
  <si>
    <t>Ariel Peng</t>
  </si>
  <si>
    <t>Chelsea用于订单4500174818 -300PCS，4500176637，剩余数量后续订单消耗</t>
  </si>
  <si>
    <t>1000030943</t>
  </si>
  <si>
    <t>Violet Chen</t>
  </si>
  <si>
    <t>Ouniy用于订单4500176828/4500176563/4500173789/4500175701/4500175702/4500175703</t>
  </si>
  <si>
    <t>1000030944</t>
  </si>
  <si>
    <t>1000030015</t>
  </si>
  <si>
    <t>Cherish用于COSTCO USA订单4500156323/4500156301/4500156328/4500156330/4500156332</t>
  </si>
  <si>
    <t>1000030016</t>
  </si>
  <si>
    <t>Color box</t>
  </si>
  <si>
    <t>1000030017</t>
  </si>
  <si>
    <t>Collection guide(inside fridge)</t>
  </si>
  <si>
    <t>1000030019</t>
  </si>
  <si>
    <t>Tray</t>
  </si>
  <si>
    <t>1000029128</t>
  </si>
  <si>
    <t>Cynthia用于COSTCO USA订单4500156322/4500156313/4500156325/4500156314/ 4500156315/4500156326/4500156318/4500156319/4500156324</t>
  </si>
  <si>
    <t>1000029130</t>
  </si>
  <si>
    <t>Judy Zhu</t>
  </si>
  <si>
    <t>1000031634</t>
  </si>
  <si>
    <t>Louise用于Kmart AU/NZ订单#4500170842/4500170843/4500170993/4500170994/4500172403/4500172405/4500172407/4500172408/4500172409/4500172411</t>
  </si>
  <si>
    <t>1000031778</t>
  </si>
  <si>
    <t>Ouniy用于订单4500177142/4500177143</t>
  </si>
  <si>
    <t>1000031779</t>
  </si>
  <si>
    <t>1000031842</t>
  </si>
  <si>
    <t>77758SLT</t>
  </si>
  <si>
    <t>Shrink Wrap(Fridge)</t>
  </si>
  <si>
    <t>/</t>
  </si>
  <si>
    <t>Eva用于订单#4500178828</t>
  </si>
  <si>
    <t>1000031844</t>
  </si>
  <si>
    <t>Instruction Sheet(Fridge)</t>
  </si>
  <si>
    <t>1000032165</t>
  </si>
  <si>
    <t>C</t>
  </si>
  <si>
    <t>Ouniy用于订单4500177144-17000pcs，剩余数量待后续订单消耗</t>
  </si>
  <si>
    <t>1000032166</t>
  </si>
  <si>
    <t>1000032932</t>
  </si>
  <si>
    <t>1000032933</t>
  </si>
  <si>
    <t>1000032934</t>
  </si>
  <si>
    <t>1000033665</t>
  </si>
  <si>
    <t>1000033526</t>
  </si>
  <si>
    <t>Curry用于订单4500183690/4500183692/4500182971，剩余5000pcs待后续订单消耗</t>
  </si>
  <si>
    <t>1000033528</t>
  </si>
  <si>
    <t>Curry用于订单4500183690/4500183692/4500182971</t>
  </si>
  <si>
    <t>1000034515</t>
  </si>
  <si>
    <t>Curry用于订单4500187335/4500187337/4500187340/4500187341</t>
  </si>
  <si>
    <t>1000034516</t>
  </si>
  <si>
    <t>1000035057</t>
  </si>
  <si>
    <t>Curry用于订单4500189432-10000pcs，4500189636--10000pcs</t>
  </si>
  <si>
    <t>1000035059</t>
  </si>
  <si>
    <t>1000035523</t>
  </si>
  <si>
    <t>Curry用于订单4500190515/4500190516，4500189636--16252pcs</t>
  </si>
  <si>
    <t>1000035524</t>
  </si>
  <si>
    <t>1000035715</t>
  </si>
  <si>
    <t>1000036523</t>
  </si>
  <si>
    <t>Kristin Li</t>
  </si>
  <si>
    <t xml:space="preserve">77673TQ1 </t>
  </si>
  <si>
    <t>Curry用于订单4500190738（3380个）和4500190665（22000），用于订单4500194297（4660pcs）和4500194303（5032pcs）</t>
  </si>
  <si>
    <t>1000036524</t>
  </si>
  <si>
    <t>1000036782</t>
  </si>
  <si>
    <t>1000036788</t>
  </si>
  <si>
    <t>1000036789</t>
  </si>
  <si>
    <t>1000036790</t>
  </si>
  <si>
    <t>1000036791</t>
  </si>
  <si>
    <t>Curry用于订单4500196795</t>
  </si>
  <si>
    <t>1000038791</t>
  </si>
  <si>
    <t>1000038792</t>
  </si>
  <si>
    <t>1000038793</t>
  </si>
  <si>
    <t>1000038794</t>
  </si>
  <si>
    <t>1000038795</t>
  </si>
  <si>
    <t>1000039642</t>
  </si>
  <si>
    <t>Curry用于订单4500205521（12836pcs）+ 4500204772（55000pcs）+ 4500204776（55000pcs)</t>
  </si>
  <si>
    <t>1000039643</t>
  </si>
  <si>
    <t>1000039857</t>
  </si>
  <si>
    <t>1000039858</t>
  </si>
  <si>
    <t>1000039859</t>
  </si>
  <si>
    <t>1000039860</t>
  </si>
  <si>
    <t>1000039861</t>
  </si>
  <si>
    <t>1000040275</t>
  </si>
  <si>
    <t>Nicole用于4500212396;4500212526;4500212527</t>
  </si>
  <si>
    <t>shrink wrap  (1L)</t>
  </si>
  <si>
    <t>Curry用于其中9040pcs用于订单4500218109，其中9040用于4500219146</t>
  </si>
  <si>
    <t>E</t>
  </si>
  <si>
    <t>Curry用于其中12836pcs用于订单4500219169，剩余的后续订单消耗。</t>
  </si>
  <si>
    <t>先补放数</t>
  </si>
  <si>
    <t>补齐订单</t>
  </si>
  <si>
    <t>包材合计</t>
  </si>
  <si>
    <t>接单汇总数</t>
  </si>
  <si>
    <t>迷你冰箱小产品</t>
  </si>
  <si>
    <t>MA 1L 收缩膜（NA）</t>
  </si>
  <si>
    <t>2L收缩膜（NA）</t>
  </si>
  <si>
    <t>2L无条码收缩膜</t>
  </si>
  <si>
    <t>3L无条码收缩膜</t>
  </si>
  <si>
    <t>MA 3L   收缩膜（INT）</t>
  </si>
  <si>
    <t>COSTCO 托盘</t>
  </si>
  <si>
    <t>GQ1 1L 13PCS</t>
  </si>
  <si>
    <t>GQ1 2L  13PCS</t>
  </si>
  <si>
    <t>GQ1 3L  13PCS（INT）</t>
  </si>
  <si>
    <t xml:space="preserve">GQ2 1L 25pcs
</t>
  </si>
  <si>
    <t xml:space="preserve">GQ2 2L 25pcs
</t>
  </si>
  <si>
    <t>GQ2 3L 25pcs
（INT）</t>
  </si>
  <si>
    <t>1L GQ4-S001</t>
  </si>
  <si>
    <t>3L GQ4-S001</t>
  </si>
  <si>
    <t>3L-77711GQ5-S001-INT</t>
  </si>
  <si>
    <t>GQ6 6pcs</t>
  </si>
  <si>
    <t>77782收缩膜</t>
  </si>
  <si>
    <t>77782收藏指南</t>
  </si>
  <si>
    <t>77782 PDQ</t>
  </si>
  <si>
    <t>77785 WM US客版1L  无条码收缩膜</t>
  </si>
  <si>
    <t>77785 展示架</t>
  </si>
  <si>
    <t>SK-S001无底座 (MA-2L)</t>
  </si>
  <si>
    <t>SK-S002 带底座 (MA-2L)</t>
  </si>
  <si>
    <t>SK-S002 带底座(MA-3L)</t>
  </si>
  <si>
    <t>2L SK1-S002 30pcs带底座</t>
  </si>
  <si>
    <t>3L SK1-S002 30pcs带底座</t>
  </si>
  <si>
    <t>MEC305/356</t>
  </si>
  <si>
    <t>77731 圆筒</t>
  </si>
  <si>
    <t>77731 彩纸</t>
  </si>
  <si>
    <t>77731 贴纸</t>
  </si>
  <si>
    <t>1000026125</t>
  </si>
  <si>
    <t>PVC  Tube(2PK)</t>
  </si>
  <si>
    <t>Mandy用于Amazon EU&amp;UK订单4500158623-1044pcs/4500158582-5256pcs/4500158588-1488pcs/4500158810-1488pcs</t>
  </si>
  <si>
    <t>1000026126</t>
  </si>
  <si>
    <t>Art Paper（2PK)</t>
  </si>
  <si>
    <t>1000026127</t>
  </si>
  <si>
    <t>Lid sticker(2PK)</t>
  </si>
  <si>
    <t>1000026147</t>
  </si>
  <si>
    <t>NA 球，内&amp;外膜配套放数</t>
  </si>
  <si>
    <t>1000026148</t>
  </si>
  <si>
    <t xml:space="preserve">shrink wrap  (2L) </t>
  </si>
  <si>
    <t>2L</t>
  </si>
  <si>
    <t>1000026149</t>
  </si>
  <si>
    <t xml:space="preserve">collector guide(MA 5L) </t>
  </si>
  <si>
    <t>NA 球</t>
  </si>
  <si>
    <t>1000026150</t>
  </si>
  <si>
    <t>77711GQ2-NA</t>
  </si>
  <si>
    <t>GQ2 PDQ(MA-1L)</t>
  </si>
  <si>
    <t>1000026151</t>
  </si>
  <si>
    <t>GQ2 PDQ(MA-2L)</t>
  </si>
  <si>
    <t>1000026152</t>
  </si>
  <si>
    <t>INT 球，内&amp;外膜配套放数</t>
  </si>
  <si>
    <t>1000026153</t>
  </si>
  <si>
    <t>INT 球</t>
  </si>
  <si>
    <t>1000026154</t>
  </si>
  <si>
    <t>GQ2 PDQ(MA-3L)</t>
  </si>
  <si>
    <t>1000026410</t>
  </si>
  <si>
    <t>1000026411</t>
  </si>
  <si>
    <t>1000026412</t>
  </si>
  <si>
    <t xml:space="preserve">collector guide(MA 2L) </t>
  </si>
  <si>
    <t>1000026413</t>
  </si>
  <si>
    <t>1000026414</t>
  </si>
  <si>
    <t>1000026422</t>
  </si>
  <si>
    <t>GQ1 PDQ(MA-2L)</t>
  </si>
  <si>
    <t>1000026415</t>
  </si>
  <si>
    <t>1000026416</t>
  </si>
  <si>
    <t>1000026423</t>
  </si>
  <si>
    <t>SK (MA-3L)</t>
  </si>
  <si>
    <t>1000026417</t>
  </si>
  <si>
    <t>1000026424</t>
  </si>
  <si>
    <t>GQ1 PDQ(MA-3L)</t>
  </si>
  <si>
    <t>1000026463</t>
  </si>
  <si>
    <t>PVC  Tube</t>
  </si>
  <si>
    <t>Peggy用于Amazon US Domestic 订单4500160498</t>
  </si>
  <si>
    <t>1000026464</t>
  </si>
  <si>
    <t>Art Paper</t>
  </si>
  <si>
    <t>1000026465</t>
  </si>
  <si>
    <t>Sticker</t>
  </si>
  <si>
    <t>1000026401</t>
  </si>
  <si>
    <t>Mandy用于Amazon EU&amp;UK订单4500159555-2124pcs，剩余数量请优先消耗</t>
  </si>
  <si>
    <t>1000026402</t>
  </si>
  <si>
    <t>1000026403</t>
  </si>
  <si>
    <t>1000026214</t>
  </si>
  <si>
    <t>Daisy.Li</t>
  </si>
  <si>
    <t>77711GQ4</t>
  </si>
  <si>
    <t>PDQ</t>
  </si>
  <si>
    <t>Maggie 用于订单4500159672;4500159673;4500159675;4500159676;</t>
  </si>
  <si>
    <t>1000026826</t>
  </si>
  <si>
    <t>Maggie 用于订单4500162160;4500162161;4500162162;4500162168;4500162169;4500162170;</t>
  </si>
  <si>
    <t>1000026621</t>
  </si>
  <si>
    <t>Shrink Wrap(without UPC)</t>
  </si>
  <si>
    <t>1000026817</t>
  </si>
  <si>
    <t>1000026818</t>
  </si>
  <si>
    <t>1000026819</t>
  </si>
  <si>
    <t>1000026830</t>
  </si>
  <si>
    <t>GQ1 PDQ(MA-1L)</t>
  </si>
  <si>
    <t>1000026820</t>
  </si>
  <si>
    <t>1000026821</t>
  </si>
  <si>
    <t>1000026831</t>
  </si>
  <si>
    <t>SK1 (MA-3L)</t>
  </si>
  <si>
    <t>1000026822</t>
  </si>
  <si>
    <t>1000027043</t>
  </si>
  <si>
    <t>77782GQ1</t>
  </si>
  <si>
    <t>3L(EN/FR/ES）</t>
  </si>
  <si>
    <t>Ever用于订单PO4500161302/4500161306/4500161312，Aimee用于订单4500162966，Eva用于4500162780/4500159848等订单</t>
  </si>
  <si>
    <t>1000027044</t>
  </si>
  <si>
    <t>1000027045</t>
  </si>
  <si>
    <t>Ever用于订单PO4500161302/4500161306/4500161312，Nora用于订单4500162410/4500162474/4500162426，Aimee用于订单4500162966，Eva用于4500159848等订单</t>
  </si>
  <si>
    <t>1000027294</t>
  </si>
  <si>
    <t>Mandy用于订单4500164250-1008PCS，后续来单消耗</t>
  </si>
  <si>
    <t>1000027295</t>
  </si>
  <si>
    <t>1000027296</t>
  </si>
  <si>
    <t>1000027318</t>
  </si>
  <si>
    <t>1000027319</t>
  </si>
  <si>
    <t>1000027320</t>
  </si>
  <si>
    <t>1000027321</t>
  </si>
  <si>
    <t>1000027326</t>
  </si>
  <si>
    <t>Endcap</t>
  </si>
  <si>
    <t>MA-3L, 混装</t>
  </si>
  <si>
    <t>1000027690</t>
  </si>
  <si>
    <t>Nina Liu</t>
  </si>
  <si>
    <t>SIDEKICK(2L)</t>
  </si>
  <si>
    <t>BASE</t>
  </si>
  <si>
    <t>NA 球,仅底座</t>
  </si>
  <si>
    <t>1000027666</t>
  </si>
  <si>
    <t>1000027667</t>
  </si>
  <si>
    <t>1000027668</t>
  </si>
  <si>
    <t>1000027669</t>
  </si>
  <si>
    <t>1000027670</t>
  </si>
  <si>
    <t>1000027671</t>
  </si>
  <si>
    <t>1000027955</t>
  </si>
  <si>
    <t>Maggie 用于订单4500162791;4500162824;4500162828;4500162963;4500162965
;4500162979</t>
  </si>
  <si>
    <t>1000028029</t>
  </si>
  <si>
    <t>Iris用于MO20250516</t>
  </si>
  <si>
    <t>1000028194</t>
  </si>
  <si>
    <t>Maggie 用于订单4500167380</t>
  </si>
  <si>
    <t>1000028055</t>
  </si>
  <si>
    <t>1000028049</t>
  </si>
  <si>
    <t>1000028050</t>
  </si>
  <si>
    <t>1000028051</t>
  </si>
  <si>
    <t>1000028052</t>
  </si>
  <si>
    <t>1000028053</t>
  </si>
  <si>
    <t>1000028054</t>
  </si>
  <si>
    <t>1000028517</t>
  </si>
  <si>
    <t>1000028518</t>
  </si>
  <si>
    <t>1000028519</t>
  </si>
  <si>
    <t>1000028520</t>
  </si>
  <si>
    <t>1000028521</t>
  </si>
  <si>
    <t>1000028522</t>
  </si>
  <si>
    <t>1000028524</t>
  </si>
  <si>
    <t>1000028525</t>
  </si>
  <si>
    <t>1000028527</t>
  </si>
  <si>
    <t>1000028514</t>
  </si>
  <si>
    <t>Maggie 用于订单4500168367；4500168379；4500168376
4500168369</t>
  </si>
  <si>
    <t>1000028855</t>
  </si>
  <si>
    <t>Maggie 用于订单4500169408；4500169409</t>
  </si>
  <si>
    <t>1000028970</t>
  </si>
  <si>
    <t>1000028996</t>
  </si>
  <si>
    <t>1000028997</t>
  </si>
  <si>
    <t>1000028998</t>
  </si>
  <si>
    <t>1000028999</t>
  </si>
  <si>
    <t>77711SK1-S002</t>
  </si>
  <si>
    <t>SK1 (MA-2L)</t>
  </si>
  <si>
    <t>1000029000</t>
  </si>
  <si>
    <t>1000029001</t>
  </si>
  <si>
    <t>1000029003</t>
  </si>
  <si>
    <t>3L for fridge</t>
  </si>
  <si>
    <t>1000029117</t>
  </si>
  <si>
    <t>1000029121</t>
  </si>
  <si>
    <t>Collection guide(inside ball)</t>
  </si>
  <si>
    <t>3L inside ball</t>
  </si>
  <si>
    <t>1000029123</t>
  </si>
  <si>
    <t>1000029188</t>
  </si>
  <si>
    <t>Lluvia Zeng</t>
  </si>
  <si>
    <t>Maggie用于订单4500170587；4500170593</t>
  </si>
  <si>
    <t>1000029237</t>
  </si>
  <si>
    <t>1000029233</t>
  </si>
  <si>
    <t>NA 球, B版</t>
  </si>
  <si>
    <t>1000029238</t>
  </si>
  <si>
    <t>1000029239</t>
  </si>
  <si>
    <t>1000029240</t>
  </si>
  <si>
    <t>1000029241</t>
  </si>
  <si>
    <t>1000029234</t>
  </si>
  <si>
    <t>INT 球，B版</t>
  </si>
  <si>
    <t>1000029242</t>
  </si>
  <si>
    <t>1000029243</t>
  </si>
  <si>
    <t>1000029697</t>
  </si>
  <si>
    <t>1000029698</t>
  </si>
  <si>
    <t>1000029699</t>
  </si>
  <si>
    <t>1000029700</t>
  </si>
  <si>
    <t>1000029431</t>
  </si>
  <si>
    <t>Louise用于4500170842&amp;4500170843-7200 PCS 收缩膜，4500170993&amp;4500170994-6000 PCS 收缩膜，剩下10800 pcs用于后续订单</t>
  </si>
  <si>
    <t>1000030052</t>
  </si>
  <si>
    <t>1000030053</t>
  </si>
  <si>
    <t>1000030054</t>
  </si>
  <si>
    <t>1000030055</t>
  </si>
  <si>
    <t>1000030056</t>
  </si>
  <si>
    <t>按实单订</t>
  </si>
  <si>
    <t>兴信自行订购</t>
  </si>
  <si>
    <t>1000029576</t>
  </si>
  <si>
    <t>用于Ava/Eva订单#4500169604/4500172288，Emma订单#4500170501，Aimee订单#4500171272/4500171286/4500172103</t>
  </si>
  <si>
    <t>1000029572</t>
  </si>
  <si>
    <t>Mandy用于订单PO#4500164946-1248PCS</t>
  </si>
  <si>
    <t>Crystal用于4500167501、4500167394各504PCS</t>
  </si>
  <si>
    <t>1000029658</t>
  </si>
  <si>
    <t>Kelly用于Amazon US订单4500172507/4500172422/4500172430/4500172435/4500172492</t>
  </si>
  <si>
    <t>1000029659</t>
  </si>
  <si>
    <t>1000029660</t>
  </si>
  <si>
    <t>1000029661</t>
  </si>
  <si>
    <t>1000030205</t>
  </si>
  <si>
    <t>Crystal用于PO#4500174196-2604PCS，后续来单消耗</t>
  </si>
  <si>
    <t>1000030206</t>
  </si>
  <si>
    <t>1000030207</t>
  </si>
  <si>
    <t>1000030775</t>
  </si>
  <si>
    <t>1000030776</t>
  </si>
  <si>
    <t>1000030777</t>
  </si>
  <si>
    <t>1000030778</t>
  </si>
  <si>
    <t>1000030779</t>
  </si>
  <si>
    <t>1000030780</t>
  </si>
  <si>
    <t>1000030781</t>
  </si>
  <si>
    <t>1000030456</t>
  </si>
  <si>
    <t>Mina pan</t>
  </si>
  <si>
    <t>Shrink wrap(for capsule)</t>
  </si>
  <si>
    <t>Cynthia用于COSTCO USA订单4500156334</t>
  </si>
  <si>
    <t>1000030018</t>
  </si>
  <si>
    <t>1000029131</t>
  </si>
  <si>
    <t>Chelsea用于订单4500174818 -300PCS，Mandy用于Amazon EU&amp;UK订单4500176637-1962PCS，4500179336-720pcs，4500181824-300pcs，剩余1718PCS后续订单消耗。</t>
  </si>
  <si>
    <t>1000030938</t>
  </si>
  <si>
    <t>77711GQ6</t>
  </si>
  <si>
    <t>Candice用于订单#4500176603&amp;4500175352，各500pcs。</t>
  </si>
  <si>
    <t>1000029133</t>
  </si>
  <si>
    <t xml:space="preserve"> Cynthia用于COSTCO USA订单4500156322/4500156313/4500156325/4500156314/ 4500156315/4500156326/4500156318/4500156319/4500156324</t>
  </si>
  <si>
    <t>Cherish用于COSTCO USA订单4500156323/4500156301/4500156321/4500156328/4500156330</t>
  </si>
  <si>
    <t>1000029955</t>
  </si>
  <si>
    <t>Maggie用于订单4500178136； 4500178137； 4500178130</t>
  </si>
  <si>
    <t>1000031531</t>
  </si>
  <si>
    <t>1000031774</t>
  </si>
  <si>
    <t>1000031841</t>
  </si>
  <si>
    <t>Color Box</t>
  </si>
  <si>
    <t>1000031843</t>
  </si>
  <si>
    <t>Instruction Sheet(Capsules)</t>
  </si>
  <si>
    <t>1000031845</t>
  </si>
  <si>
    <t>1000031870</t>
  </si>
  <si>
    <t>Shrink Wrap(Capsules)</t>
  </si>
  <si>
    <t>1000031793</t>
  </si>
  <si>
    <t>Crystal用于PO#4500177504</t>
  </si>
  <si>
    <t>1000032037</t>
  </si>
  <si>
    <t>Maggie用于订单4500179943</t>
  </si>
  <si>
    <t>1000032042</t>
  </si>
  <si>
    <t xml:space="preserve">Maggie用于订单4500179417；4500179405
</t>
  </si>
  <si>
    <t>1000032188</t>
  </si>
  <si>
    <t>1000032189</t>
  </si>
  <si>
    <t>1000032190</t>
  </si>
  <si>
    <t>1000032381</t>
  </si>
  <si>
    <t xml:space="preserve">Maggie用于订单4500180340
</t>
  </si>
  <si>
    <t>1000032385</t>
  </si>
  <si>
    <t>Ariel</t>
  </si>
  <si>
    <t>77711GQ5</t>
  </si>
  <si>
    <r>
      <rPr>
        <sz val="12"/>
        <rFont val="Calibri"/>
        <charset val="134"/>
      </rPr>
      <t>Aimee/Shery</t>
    </r>
    <r>
      <rPr>
        <sz val="12"/>
        <rFont val="宋体"/>
        <charset val="134"/>
      </rPr>
      <t>用于订单#</t>
    </r>
    <r>
      <rPr>
        <sz val="12"/>
        <rFont val="Calibri"/>
        <charset val="134"/>
      </rPr>
      <t xml:space="preserve">4500179260 </t>
    </r>
  </si>
  <si>
    <t>1000032735</t>
  </si>
  <si>
    <t>Maggie用于订单4500181113</t>
  </si>
  <si>
    <t>1000032421</t>
  </si>
  <si>
    <t>2500pcs-Emma PO#4500180194
250pcs-Eva  PO#4500176094
500pcs-Eva PO#4500181141
9000pcs-
Cemaco(NUEVOS ALMACENES, S.A.) Guatemala-PO#4500181289</t>
  </si>
  <si>
    <t>1000032930</t>
  </si>
  <si>
    <t>1000032931</t>
  </si>
  <si>
    <t>1000032935</t>
  </si>
  <si>
    <t>1000032936</t>
  </si>
  <si>
    <t>1000032859</t>
  </si>
  <si>
    <t>Crystal用于PO#4500181162</t>
  </si>
  <si>
    <t>1000032879</t>
  </si>
  <si>
    <t>1000032860</t>
  </si>
  <si>
    <t>1000033151</t>
  </si>
  <si>
    <t xml:space="preserve">Maggie用于订单4500184387；4500184388；4500184391
</t>
  </si>
  <si>
    <t>1000033206</t>
  </si>
  <si>
    <t>Mandy用于4500182289-1524PCS、4500182321-984PCS</t>
  </si>
  <si>
    <t>1000033207</t>
  </si>
  <si>
    <t>1000033208</t>
  </si>
  <si>
    <t>1000033209</t>
  </si>
  <si>
    <t>Mandy用于4500182290 -504</t>
  </si>
  <si>
    <t>此单按实单订购，不另建MAPO#</t>
  </si>
  <si>
    <t>COLOR BOX</t>
  </si>
  <si>
    <t>Emily用于4500182502</t>
  </si>
  <si>
    <t>77785TQ1</t>
  </si>
  <si>
    <t>此单按单订购不另建MA PO</t>
  </si>
  <si>
    <t>Peggy用于Amazon US 订单4500182436</t>
  </si>
  <si>
    <t>1000033295</t>
  </si>
  <si>
    <t>Peggy用于Amazon US 订单4500182436-13848pcs，剩余数量可用于后续订单</t>
  </si>
  <si>
    <t>1000033568</t>
  </si>
  <si>
    <t>Maggie用于订单4500183713；4500183718；4500183718 取消2100PCS , 480PCS用于新po 4500203833, 4500206382消耗1620PCS</t>
  </si>
  <si>
    <t>1000033666</t>
  </si>
  <si>
    <t>1000033667</t>
  </si>
  <si>
    <t>1000033717</t>
  </si>
  <si>
    <t>1000033819</t>
  </si>
  <si>
    <t>Eva：PO#4500181289(9000pcs)/4500183983(5000pcs)/4500183616(3600pcs)/DISTRUIBUCIONES UNIVERSALES, SA - DIUNSA（300pcs)/4500185120 (1500pcs)/MCD BRANDS SAS(600 pcs)/2000pcs-用于后面新单
Ever：4500184355/4500184316/4500184399/4500184422-3800pcs
Aimee:：NASA PANAMA (17300pcs)</t>
  </si>
  <si>
    <t>1000033820</t>
  </si>
  <si>
    <t>Eva：PO 4500183983(5000pcs)/4500183616(3600pcs)/DISTRUIBUCIONES UNIVERSALES, SA - DIUNSA（300pcs)/4500185120 (1500pcs)/MCD BRANDS SAS(600 pcs)/2000pcs-用于后面新单
Ever：4500184355/4500184316/4500184399/4500184422-3800pcs
Aimee：NASA PANAMA (17300pcs)</t>
  </si>
  <si>
    <t>1000033821</t>
  </si>
  <si>
    <t xml:space="preserve">Eva：PO 4500183983(200pcs)/4500183616(144pcs)/DISTRUIBUCIONES UNIVERSALES, SA - DIUNSA（12pcs)/4500185120(60pcs)/MCD BRANDS SAS(24 pcs)/80pcs-用于后面新单
Ever：4500184355/4500184316/4500184399/4500184422-152pcs
Aimee：NASA PANAMA (692pcs)
Emma：4500185573-160pcs  </t>
  </si>
  <si>
    <t>1000034214</t>
  </si>
  <si>
    <t>1000034217</t>
  </si>
  <si>
    <t>1000034216</t>
  </si>
  <si>
    <t>1000034749</t>
  </si>
  <si>
    <t>Crystal用于PO#4500187223</t>
  </si>
  <si>
    <t>1000034750</t>
  </si>
  <si>
    <t xml:space="preserve">Crystal用于PO#4500187194  </t>
  </si>
  <si>
    <t>1000034751</t>
  </si>
  <si>
    <t>1000034752</t>
  </si>
  <si>
    <t>1000035007</t>
  </si>
  <si>
    <t>Eva用于订单#4500188881-600PCS，4500191577 -1950pcs， 4500196119 -1200PCSpcs，4500196056-1400pcs，4500195747 -400pcs，剩余4450PCS用于后续订单</t>
  </si>
  <si>
    <t>1000035008</t>
  </si>
  <si>
    <t>Eva用于订单#4500188881-24PCS，4500191577 -78pcs，4500196119 -48pcs，4500196056-56pcs，4500195747-16pcs，剩余278PCS用于后续订单</t>
  </si>
  <si>
    <t>1000035038</t>
  </si>
  <si>
    <t xml:space="preserve">Maggie用于订单4500189333
</t>
  </si>
  <si>
    <t>1000035716</t>
  </si>
  <si>
    <t>1000035717</t>
  </si>
  <si>
    <t>1000035718</t>
  </si>
  <si>
    <t>1000035719</t>
  </si>
  <si>
    <t>1000036256</t>
  </si>
  <si>
    <t xml:space="preserve">Alex用于订单4500192220 &amp; 4500192221-5004pcs，3504pcs用于4500197999 /  4500198000，1362pcs用于4500189480，138pcs用于4500198161  </t>
  </si>
  <si>
    <t>1000036780</t>
  </si>
  <si>
    <t>1000036781</t>
  </si>
  <si>
    <t>1000036783</t>
  </si>
  <si>
    <t>1000036784</t>
  </si>
  <si>
    <t>1000036785</t>
  </si>
  <si>
    <t>1000036786</t>
  </si>
  <si>
    <t>1000036787</t>
  </si>
  <si>
    <t>1000036792</t>
  </si>
  <si>
    <t>1000036793</t>
  </si>
  <si>
    <t>1000036794</t>
  </si>
  <si>
    <t>1000036795</t>
  </si>
  <si>
    <t>1000033180</t>
  </si>
  <si>
    <t>Daisy .Li</t>
  </si>
  <si>
    <t>Candice用于订单#4500178827</t>
  </si>
  <si>
    <t>Cara用于订单4500183538</t>
  </si>
  <si>
    <t>1000033959</t>
  </si>
  <si>
    <t>Candice用于订单#4500185187</t>
  </si>
  <si>
    <t>1000034155</t>
  </si>
  <si>
    <t>Maggie用于订单4500181320</t>
  </si>
  <si>
    <t>1000034369</t>
  </si>
  <si>
    <r>
      <rPr>
        <sz val="12"/>
        <rFont val="Calibri"/>
        <charset val="134"/>
      </rPr>
      <t>Nicole</t>
    </r>
    <r>
      <rPr>
        <sz val="12"/>
        <rFont val="宋体"/>
        <charset val="134"/>
      </rPr>
      <t>用于订单</t>
    </r>
    <r>
      <rPr>
        <sz val="12"/>
        <rFont val="Calibri"/>
        <charset val="134"/>
      </rPr>
      <t>4500186723-361PCS</t>
    </r>
    <r>
      <rPr>
        <sz val="12"/>
        <rFont val="宋体"/>
        <charset val="134"/>
      </rPr>
      <t>，</t>
    </r>
    <r>
      <rPr>
        <sz val="12"/>
        <rFont val="Calibri"/>
        <charset val="134"/>
      </rPr>
      <t>4500189631-139PCS</t>
    </r>
  </si>
  <si>
    <t>1000036532</t>
  </si>
  <si>
    <t>Maggie用于订单4500193634</t>
  </si>
  <si>
    <t>1000036773</t>
  </si>
  <si>
    <t>Nicole用于订单4500194850-108PCS, 4500199426-321PCS,4500201690-71PCS</t>
  </si>
  <si>
    <t>1000036975</t>
  </si>
  <si>
    <t>Katrina订单4500194379-1524pcs；Emily订单4500193766/4500193767/4500193768/4500193769/4500194541/4500194544/4500193772/4500193773+两个未下单-28428pcs</t>
  </si>
  <si>
    <t>1000036976</t>
  </si>
  <si>
    <t>1000036977</t>
  </si>
  <si>
    <t>1000036978</t>
  </si>
  <si>
    <t>Katrina订单4500194379-3048pcs；Emily订单4500193766/4500193767/4500193768/4500193769/4500194541/4500194544/4500193772/4500193773+两个未下单-56856pcs</t>
  </si>
  <si>
    <t>1000037415</t>
  </si>
  <si>
    <t>Maggie用于订单4500196500</t>
  </si>
  <si>
    <t>1000037656</t>
  </si>
  <si>
    <t>Crystal-4500194447-504PCS</t>
  </si>
  <si>
    <t>1000037775</t>
  </si>
  <si>
    <t xml:space="preserve">Fiona Huang
</t>
  </si>
  <si>
    <t>Maggie用于手工单#MO20260320</t>
  </si>
  <si>
    <t>Mary用于订单4500198523</t>
  </si>
  <si>
    <t>Maggie用于PO#4500199069</t>
  </si>
  <si>
    <t>Mary用于订单4500200266</t>
  </si>
  <si>
    <t>1000038526</t>
  </si>
  <si>
    <t xml:space="preserve"> Eva long</t>
  </si>
  <si>
    <t>shrink wrap</t>
  </si>
  <si>
    <r>
      <rPr>
        <sz val="12"/>
        <color rgb="FF000000"/>
        <rFont val="Calibri"/>
        <charset val="134"/>
      </rPr>
      <t>1. 28100PCS</t>
    </r>
    <r>
      <rPr>
        <sz val="12"/>
        <color rgb="FF000000"/>
        <rFont val="Calibri"/>
        <charset val="134"/>
      </rPr>
      <t xml:space="preserve"> </t>
    </r>
    <r>
      <rPr>
        <sz val="12"/>
        <color rgb="FF000000"/>
        <rFont val="等线"/>
        <charset val="134"/>
      </rPr>
      <t>用于</t>
    </r>
    <r>
      <rPr>
        <sz val="12"/>
        <color rgb="FF000000"/>
        <rFont val="Calibri"/>
        <charset val="134"/>
      </rPr>
      <t xml:space="preserve"> </t>
    </r>
    <r>
      <rPr>
        <sz val="12"/>
        <color rgb="FF000000"/>
        <rFont val="Calibri"/>
        <charset val="134"/>
      </rPr>
      <t>Eva long (Ambiental Paraguay- 4500199984 2400PCS/PICCOLINO Bolivia-4500199743 500PCS/SUCKOT PERU-4500200402 5000PCS/SUCKOT PERU-4500200614 5000PCS/CRG PO</t>
    </r>
    <r>
      <rPr>
        <sz val="12"/>
        <color rgb="FF000000"/>
        <rFont val="等线"/>
        <charset val="134"/>
      </rPr>
      <t xml:space="preserve"> </t>
    </r>
    <r>
      <rPr>
        <sz val="12"/>
        <color rgb="FF000000"/>
        <rFont val="Calibri"/>
        <charset val="134"/>
      </rPr>
      <t>4500205015 2400PCS/UNIVERSAL PO 4500203841-1200PCS/SUCKOT PERU PO 4500204906 3000 PCS/ MCD PO 4500204440 2400PCS /LONDON PO</t>
    </r>
    <r>
      <rPr>
        <sz val="12"/>
        <color rgb="FF000000"/>
        <rFont val="Calibri"/>
        <charset val="134"/>
      </rPr>
      <t xml:space="preserve"> </t>
    </r>
    <r>
      <rPr>
        <sz val="12"/>
        <color rgb="FF000000"/>
        <rFont val="等线"/>
        <charset val="134"/>
      </rPr>
      <t>待定</t>
    </r>
    <r>
      <rPr>
        <sz val="12"/>
        <color rgb="FF000000"/>
        <rFont val="Calibri"/>
        <charset val="134"/>
      </rPr>
      <t xml:space="preserve"> </t>
    </r>
    <r>
      <rPr>
        <sz val="12"/>
        <color rgb="FF000000"/>
        <rFont val="Calibri"/>
        <charset val="134"/>
      </rPr>
      <t>1200PCS/ SUCKOT PO 4500200402 360 PCS/4500200614 240PCS/MCD 4500208189 2100PCS</t>
    </r>
    <r>
      <rPr>
        <sz val="12"/>
        <color rgb="FF000000"/>
        <rFont val="Calibri"/>
        <charset val="134"/>
      </rPr>
      <t xml:space="preserve"> </t>
    </r>
    <r>
      <rPr>
        <sz val="12"/>
        <color rgb="FF000000"/>
        <rFont val="等线"/>
        <charset val="134"/>
      </rPr>
      <t>剩余2300PCS</t>
    </r>
    <r>
      <rPr>
        <sz val="12"/>
        <color rgb="FF000000"/>
        <rFont val="Calibri"/>
        <charset val="134"/>
      </rPr>
      <t xml:space="preserve"> </t>
    </r>
    <r>
      <rPr>
        <sz val="12"/>
        <color rgb="FF000000"/>
        <rFont val="Calibri"/>
        <charset val="134"/>
      </rPr>
      <t>)</t>
    </r>
    <r>
      <rPr>
        <sz val="12"/>
        <color rgb="FF000000"/>
        <rFont val="Calibri"/>
        <charset val="134"/>
      </rPr>
      <t xml:space="preserve">
</t>
    </r>
    <r>
      <rPr>
        <sz val="12"/>
        <color rgb="FF000000"/>
        <rFont val="Calibri"/>
        <charset val="134"/>
      </rPr>
      <t>2. 8650PCS</t>
    </r>
    <r>
      <rPr>
        <sz val="12"/>
        <color rgb="FF000000"/>
        <rFont val="Calibri"/>
        <charset val="134"/>
      </rPr>
      <t xml:space="preserve"> </t>
    </r>
    <r>
      <rPr>
        <sz val="12"/>
        <color rgb="FF000000"/>
        <rFont val="等线"/>
        <charset val="134"/>
      </rPr>
      <t>用于</t>
    </r>
    <r>
      <rPr>
        <sz val="12"/>
        <color rgb="FF000000"/>
        <rFont val="Calibri"/>
        <charset val="134"/>
      </rPr>
      <t>AIMEE NASA PO 4500203225-8350PCS, 4500205582-300PCS</t>
    </r>
    <r>
      <rPr>
        <sz val="12"/>
        <color rgb="FF000000"/>
        <rFont val="Calibri"/>
        <charset val="134"/>
      </rPr>
      <t xml:space="preserve">
</t>
    </r>
    <r>
      <rPr>
        <sz val="12"/>
        <color rgb="FF000000"/>
        <rFont val="Calibri"/>
        <charset val="134"/>
      </rPr>
      <t>3. 17400PCS</t>
    </r>
    <r>
      <rPr>
        <sz val="12"/>
        <color rgb="FF000000"/>
        <rFont val="Calibri"/>
        <charset val="134"/>
      </rPr>
      <t xml:space="preserve"> </t>
    </r>
    <r>
      <rPr>
        <sz val="12"/>
        <color rgb="FF000000"/>
        <rFont val="等线"/>
        <charset val="134"/>
      </rPr>
      <t>用于</t>
    </r>
    <r>
      <rPr>
        <sz val="12"/>
        <color rgb="FF000000"/>
        <rFont val="Calibri"/>
        <charset val="134"/>
      </rPr>
      <t>LILLY Walmart</t>
    </r>
    <r>
      <rPr>
        <sz val="12"/>
        <color rgb="FF000000"/>
        <rFont val="Calibri"/>
        <charset val="134"/>
      </rPr>
      <t xml:space="preserve">  </t>
    </r>
    <r>
      <rPr>
        <sz val="12"/>
        <color rgb="FF000000"/>
        <rFont val="Calibri"/>
        <charset val="134"/>
      </rPr>
      <t>Central America PO</t>
    </r>
    <r>
      <rPr>
        <sz val="12"/>
        <color rgb="FF000000"/>
        <rFont val="等线"/>
        <charset val="134"/>
      </rPr>
      <t>#</t>
    </r>
    <r>
      <rPr>
        <sz val="12"/>
        <color rgb="FF000000"/>
        <rFont val="Calibri"/>
        <charset val="134"/>
      </rPr>
      <t>4500203679/4500203765/4500204007</t>
    </r>
  </si>
  <si>
    <t>1000038527</t>
  </si>
  <si>
    <t>collection guide</t>
  </si>
  <si>
    <r>
      <rPr>
        <sz val="12"/>
        <color rgb="FF000000"/>
        <rFont val="Calibri"/>
        <charset val="134"/>
      </rPr>
      <t>1. 28100PCS</t>
    </r>
    <r>
      <rPr>
        <sz val="12"/>
        <color rgb="FF000000"/>
        <rFont val="Calibri"/>
        <charset val="134"/>
      </rPr>
      <t xml:space="preserve"> </t>
    </r>
    <r>
      <rPr>
        <sz val="12"/>
        <color rgb="FF000000"/>
        <rFont val="宋体"/>
        <charset val="134"/>
        <scheme val="minor"/>
      </rPr>
      <t>用于</t>
    </r>
    <r>
      <rPr>
        <sz val="12"/>
        <color rgb="FF000000"/>
        <rFont val="Calibri"/>
        <charset val="134"/>
      </rPr>
      <t xml:space="preserve"> </t>
    </r>
    <r>
      <rPr>
        <sz val="12"/>
        <color rgb="FF000000"/>
        <rFont val="Calibri"/>
        <charset val="134"/>
      </rPr>
      <t>Eva long (Ambiental Paraguay- 4500199984 2400PCS/PICCOLINO Bolivia-4500199743 500PCS/SUCKOT PERU-4500200402 5000PCS/SUCKOT PERU-4500200614 5000PCS/CRG PO4500205015 2400PCS/UNIVERSAL PO 4500203841-1200PCS/SUCKOT PERU PO</t>
    </r>
    <r>
      <rPr>
        <sz val="12"/>
        <color rgb="FF000000"/>
        <rFont val="Calibri"/>
        <charset val="134"/>
      </rPr>
      <t xml:space="preserve"> </t>
    </r>
    <r>
      <rPr>
        <sz val="12"/>
        <color rgb="FF000000"/>
        <rFont val="宋体"/>
        <charset val="134"/>
        <scheme val="minor"/>
      </rPr>
      <t>待定</t>
    </r>
    <r>
      <rPr>
        <sz val="12"/>
        <color rgb="FF000000"/>
        <rFont val="Calibri"/>
        <charset val="134"/>
      </rPr>
      <t xml:space="preserve"> </t>
    </r>
    <r>
      <rPr>
        <sz val="12"/>
        <color rgb="FF000000"/>
        <rFont val="Calibri"/>
        <charset val="134"/>
      </rPr>
      <t>3000 PCS/ MCD PO PO4500204440 2400PCS /LONDON PO</t>
    </r>
    <r>
      <rPr>
        <sz val="12"/>
        <color rgb="FF000000"/>
        <rFont val="Calibri"/>
        <charset val="134"/>
      </rPr>
      <t xml:space="preserve"> </t>
    </r>
    <r>
      <rPr>
        <sz val="12"/>
        <color rgb="FF000000"/>
        <rFont val="宋体"/>
        <charset val="134"/>
        <scheme val="minor"/>
      </rPr>
      <t>待定</t>
    </r>
    <r>
      <rPr>
        <sz val="12"/>
        <color rgb="FF000000"/>
        <rFont val="Calibri"/>
        <charset val="134"/>
      </rPr>
      <t xml:space="preserve"> </t>
    </r>
    <r>
      <rPr>
        <sz val="12"/>
        <color rgb="FF000000"/>
        <rFont val="Calibri"/>
        <charset val="134"/>
      </rPr>
      <t>1200PCS/</t>
    </r>
    <r>
      <rPr>
        <sz val="12"/>
        <color rgb="FF000000"/>
        <rFont val="Calibri"/>
        <charset val="134"/>
      </rPr>
      <t xml:space="preserve"> </t>
    </r>
    <r>
      <rPr>
        <sz val="12"/>
        <color rgb="FF000000"/>
        <rFont val="宋体"/>
        <charset val="134"/>
        <scheme val="minor"/>
      </rPr>
      <t>后续新单</t>
    </r>
    <r>
      <rPr>
        <sz val="12"/>
        <color rgb="FF000000"/>
        <rFont val="Calibri"/>
        <charset val="134"/>
      </rPr>
      <t>SUCKOT PO 4500200402 360 PCS/4500200614 240PCS</t>
    </r>
    <r>
      <rPr>
        <sz val="12"/>
        <color rgb="FF000000"/>
        <rFont val="Calibri"/>
        <charset val="134"/>
      </rPr>
      <t xml:space="preserve"> </t>
    </r>
    <r>
      <rPr>
        <sz val="12"/>
        <color rgb="FF000000"/>
        <rFont val="宋体"/>
        <charset val="134"/>
        <scheme val="minor"/>
      </rPr>
      <t>剩余</t>
    </r>
    <r>
      <rPr>
        <sz val="12"/>
        <color rgb="FF000000"/>
        <rFont val="Calibri"/>
        <charset val="134"/>
      </rPr>
      <t>4400PCS )</t>
    </r>
    <r>
      <rPr>
        <sz val="12"/>
        <color rgb="FF000000"/>
        <rFont val="Calibri"/>
        <charset val="134"/>
      </rPr>
      <t xml:space="preserve">
</t>
    </r>
    <r>
      <rPr>
        <sz val="12"/>
        <color rgb="FF000000"/>
        <rFont val="Calibri"/>
        <charset val="134"/>
      </rPr>
      <t>2. 8650PCS</t>
    </r>
    <r>
      <rPr>
        <sz val="12"/>
        <color rgb="FF000000"/>
        <rFont val="Calibri"/>
        <charset val="134"/>
      </rPr>
      <t xml:space="preserve"> </t>
    </r>
    <r>
      <rPr>
        <sz val="12"/>
        <color rgb="FF000000"/>
        <rFont val="等线"/>
        <charset val="134"/>
      </rPr>
      <t>用于</t>
    </r>
    <r>
      <rPr>
        <sz val="12"/>
        <color rgb="FF000000"/>
        <rFont val="Calibri"/>
        <charset val="134"/>
      </rPr>
      <t>AIMEE NASA PO 4500203225-8350PCS, 4500205582-300PCS</t>
    </r>
    <r>
      <rPr>
        <sz val="12"/>
        <color rgb="FF000000"/>
        <rFont val="Calibri"/>
        <charset val="134"/>
      </rPr>
      <t xml:space="preserve">
</t>
    </r>
    <r>
      <rPr>
        <sz val="12"/>
        <color rgb="FF000000"/>
        <rFont val="Calibri"/>
        <charset val="134"/>
      </rPr>
      <t>3. 17400PCS</t>
    </r>
    <r>
      <rPr>
        <sz val="12"/>
        <color rgb="FF000000"/>
        <rFont val="Calibri"/>
        <charset val="134"/>
      </rPr>
      <t xml:space="preserve"> </t>
    </r>
    <r>
      <rPr>
        <sz val="12"/>
        <color rgb="FF000000"/>
        <rFont val="等线"/>
        <charset val="134"/>
      </rPr>
      <t>用于</t>
    </r>
    <r>
      <rPr>
        <sz val="12"/>
        <color rgb="FF000000"/>
        <rFont val="Calibri"/>
        <charset val="134"/>
      </rPr>
      <t>LILLY Walmart</t>
    </r>
    <r>
      <rPr>
        <sz val="12"/>
        <color rgb="FF000000"/>
        <rFont val="Calibri"/>
        <charset val="134"/>
      </rPr>
      <t xml:space="preserve">  </t>
    </r>
    <r>
      <rPr>
        <sz val="12"/>
        <color rgb="FF000000"/>
        <rFont val="Calibri"/>
        <charset val="134"/>
      </rPr>
      <t>Central America PO</t>
    </r>
    <r>
      <rPr>
        <sz val="12"/>
        <color rgb="FF000000"/>
        <rFont val="等线"/>
        <charset val="134"/>
      </rPr>
      <t>#</t>
    </r>
    <r>
      <rPr>
        <sz val="12"/>
        <color rgb="FF000000"/>
        <rFont val="Calibri"/>
        <charset val="134"/>
      </rPr>
      <t>4500203679/4500203765/4500204007</t>
    </r>
  </si>
  <si>
    <t>1000038528</t>
  </si>
  <si>
    <r>
      <rPr>
        <sz val="12"/>
        <color rgb="FF000000"/>
        <rFont val="Calibri"/>
        <charset val="134"/>
      </rPr>
      <t>1. 1124PCS</t>
    </r>
    <r>
      <rPr>
        <sz val="12"/>
        <color rgb="FF000000"/>
        <rFont val="Calibri"/>
        <charset val="134"/>
      </rPr>
      <t xml:space="preserve"> </t>
    </r>
    <r>
      <rPr>
        <sz val="12"/>
        <color rgb="FF000000"/>
        <rFont val="宋体"/>
        <charset val="134"/>
        <scheme val="minor"/>
      </rPr>
      <t>用于</t>
    </r>
    <r>
      <rPr>
        <sz val="12"/>
        <color rgb="FF000000"/>
        <rFont val="Calibri"/>
        <charset val="134"/>
      </rPr>
      <t xml:space="preserve"> </t>
    </r>
    <r>
      <rPr>
        <sz val="12"/>
        <color rgb="FF000000"/>
        <rFont val="Calibri"/>
        <charset val="134"/>
      </rPr>
      <t>Eva long (Ambiental Paraguay- 4500199984 96PCS/PICCOLINO Bolivia-4500199743 20PCS/SUCKOT PERU-4500200402 200PCS/SUCKOT PERU-4500200614 200PCS/CRG PO</t>
    </r>
    <r>
      <rPr>
        <sz val="12"/>
        <color rgb="FF000000"/>
        <rFont val="宋体"/>
        <charset val="134"/>
        <scheme val="minor"/>
      </rPr>
      <t xml:space="preserve"> </t>
    </r>
    <r>
      <rPr>
        <sz val="12"/>
        <color rgb="FF000000"/>
        <rFont val="Calibri"/>
        <charset val="134"/>
      </rPr>
      <t>4500205015 96PCS/UNIVERSAL PO 4500203841 48PCS/ SUCKOT PERU PO 4500204906 120 PCS/ MCD PO 4500204440 96PCS /LONDON PO</t>
    </r>
    <r>
      <rPr>
        <sz val="12"/>
        <color rgb="FF000000"/>
        <rFont val="Calibri"/>
        <charset val="134"/>
      </rPr>
      <t xml:space="preserve"> </t>
    </r>
    <r>
      <rPr>
        <sz val="12"/>
        <color rgb="FF000000"/>
        <rFont val="宋体"/>
        <charset val="134"/>
        <scheme val="minor"/>
      </rPr>
      <t>待定</t>
    </r>
    <r>
      <rPr>
        <sz val="12"/>
        <color rgb="FF000000"/>
        <rFont val="Calibri"/>
        <charset val="134"/>
      </rPr>
      <t xml:space="preserve"> </t>
    </r>
    <r>
      <rPr>
        <sz val="12"/>
        <color rgb="FF000000"/>
        <rFont val="Calibri"/>
        <charset val="134"/>
      </rPr>
      <t>48PCS/MCD 4500208189 84PCS</t>
    </r>
    <r>
      <rPr>
        <sz val="12"/>
        <color rgb="FF000000"/>
        <rFont val="宋体"/>
        <charset val="134"/>
        <scheme val="minor"/>
      </rPr>
      <t>，后续新单消耗</t>
    </r>
    <r>
      <rPr>
        <sz val="12"/>
        <color rgb="FF000000"/>
        <rFont val="Calibri"/>
        <charset val="134"/>
      </rPr>
      <t xml:space="preserve"> </t>
    </r>
    <r>
      <rPr>
        <sz val="12"/>
        <color rgb="FF000000"/>
        <rFont val="Calibri"/>
        <charset val="134"/>
      </rPr>
      <t>116PCS)</t>
    </r>
    <r>
      <rPr>
        <sz val="12"/>
        <color rgb="FF000000"/>
        <rFont val="Calibri"/>
        <charset val="134"/>
      </rPr>
      <t xml:space="preserve">
</t>
    </r>
    <r>
      <rPr>
        <sz val="12"/>
        <color rgb="FF000000"/>
        <rFont val="Calibri"/>
        <charset val="134"/>
      </rPr>
      <t>2. 346PCS</t>
    </r>
    <r>
      <rPr>
        <sz val="12"/>
        <color rgb="FF000000"/>
        <rFont val="Calibri"/>
        <charset val="134"/>
      </rPr>
      <t xml:space="preserve"> </t>
    </r>
    <r>
      <rPr>
        <sz val="12"/>
        <color rgb="FF000000"/>
        <rFont val="宋体"/>
        <charset val="134"/>
        <scheme val="minor"/>
      </rPr>
      <t>用于</t>
    </r>
    <r>
      <rPr>
        <sz val="12"/>
        <color rgb="FF000000"/>
        <rFont val="Calibri"/>
        <charset val="134"/>
      </rPr>
      <t>AIMEE NASA ORDER PO 4500203225-334PCS, 4500205582-12 PCS</t>
    </r>
    <r>
      <rPr>
        <sz val="12"/>
        <color rgb="FF000000"/>
        <rFont val="Calibri"/>
        <charset val="134"/>
      </rPr>
      <t xml:space="preserve">
</t>
    </r>
    <r>
      <rPr>
        <sz val="12"/>
        <color rgb="FF000000"/>
        <rFont val="Calibri"/>
        <charset val="134"/>
      </rPr>
      <t>3. 696PCS</t>
    </r>
    <r>
      <rPr>
        <sz val="12"/>
        <color rgb="FF000000"/>
        <rFont val="Calibri"/>
        <charset val="134"/>
      </rPr>
      <t xml:space="preserve"> </t>
    </r>
    <r>
      <rPr>
        <sz val="12"/>
        <color rgb="FF000000"/>
        <rFont val="宋体"/>
        <charset val="134"/>
        <scheme val="minor"/>
      </rPr>
      <t>用于</t>
    </r>
    <r>
      <rPr>
        <sz val="12"/>
        <color rgb="FF000000"/>
        <rFont val="Calibri"/>
        <charset val="134"/>
      </rPr>
      <t>LILLY Walmart</t>
    </r>
    <r>
      <rPr>
        <sz val="12"/>
        <color rgb="FF000000"/>
        <rFont val="Calibri"/>
        <charset val="134"/>
      </rPr>
      <t xml:space="preserve">  </t>
    </r>
    <r>
      <rPr>
        <sz val="12"/>
        <color rgb="FF000000"/>
        <rFont val="Calibri"/>
        <charset val="134"/>
      </rPr>
      <t>Central America PO#4500203679/4500203765/4500204007</t>
    </r>
  </si>
  <si>
    <t>1000038566</t>
  </si>
  <si>
    <t>Maggie用于PO#4500201172</t>
  </si>
  <si>
    <t>1000038651</t>
  </si>
  <si>
    <t>Nicole用于订单4500201690,剩余 47 PCS消耗4500204413</t>
  </si>
  <si>
    <t>1000038782</t>
  </si>
  <si>
    <t>1000038783</t>
  </si>
  <si>
    <t>1000038801</t>
  </si>
  <si>
    <t>1000038786</t>
  </si>
  <si>
    <t>1000038787</t>
  </si>
  <si>
    <t>1000038790</t>
  </si>
  <si>
    <t>1000038796</t>
  </si>
  <si>
    <t>1000038797</t>
  </si>
  <si>
    <t>1000038798</t>
  </si>
  <si>
    <t>1000038799</t>
  </si>
  <si>
    <t>1000038800</t>
  </si>
  <si>
    <t>1000038949</t>
  </si>
  <si>
    <t>Nicole用于订单4500189631-408PCS;4500194850-92PCS</t>
  </si>
  <si>
    <t>Luna-4500197232/4500197236/4500197220/4500197216/4500201277</t>
  </si>
  <si>
    <t>1000039048</t>
  </si>
  <si>
    <t>3L(英法西)</t>
  </si>
  <si>
    <t>Eva ：  
360PCS 用于SUCKOT PO 4500200402
240 PCS用于 SUCKOT PO 4500200614
3000 PCS用于 LIVERPOOL PO 4500205047
600PCS 用于SUCKOT PO 4500204906
1800 PCS用于 JUGUETRON PO 4500205025</t>
  </si>
  <si>
    <t>1000039426</t>
  </si>
  <si>
    <r>
      <rPr>
        <sz val="9"/>
        <color theme="1"/>
        <rFont val="宋体"/>
        <charset val="134"/>
        <scheme val="minor"/>
      </rPr>
      <t>Eva用于UNIVERSAL PO 4500203841-1200PCS，Suckot PO 4500204906-3600pcs，剩下5200pcs后续消耗，</t>
    </r>
    <r>
      <rPr>
        <sz val="9"/>
        <color rgb="FFFF0000"/>
        <rFont val="宋体"/>
        <charset val="134"/>
        <scheme val="minor"/>
      </rPr>
      <t>不含披萨</t>
    </r>
  </si>
  <si>
    <t>1000039727</t>
  </si>
  <si>
    <t>Maggie用于PO#4500205765</t>
  </si>
  <si>
    <t>1000039853</t>
  </si>
  <si>
    <t>1000039854</t>
  </si>
  <si>
    <t>shrink wrap  (2L)</t>
  </si>
  <si>
    <t>1000040293</t>
  </si>
  <si>
    <t>collector guide(MA 2L)</t>
  </si>
  <si>
    <t>NA 球, C版</t>
  </si>
  <si>
    <t>1000039856</t>
  </si>
  <si>
    <t>1000039862</t>
  </si>
  <si>
    <t>shrink wrap  (3L)</t>
  </si>
  <si>
    <t>1000040294</t>
  </si>
  <si>
    <t>collector guide(MA 5L)</t>
  </si>
  <si>
    <t>INT 球，C版</t>
  </si>
  <si>
    <t>1000039864</t>
  </si>
  <si>
    <t>1000039865</t>
  </si>
  <si>
    <t>1000040047</t>
  </si>
  <si>
    <t>Mary用于订单4500206168</t>
  </si>
  <si>
    <t>1000039889</t>
  </si>
  <si>
    <t>Maggie用于PO#4500206382</t>
  </si>
  <si>
    <t>1000040272</t>
  </si>
  <si>
    <t>1000040281</t>
  </si>
  <si>
    <t>1000040295</t>
  </si>
  <si>
    <t>1000040282</t>
  </si>
  <si>
    <t>1000040289</t>
  </si>
  <si>
    <t>1000040296</t>
  </si>
  <si>
    <t>1000040278</t>
  </si>
  <si>
    <t>1000040279</t>
  </si>
  <si>
    <t>1000040291</t>
  </si>
  <si>
    <t>77785PLD</t>
  </si>
  <si>
    <t>Display</t>
  </si>
  <si>
    <t>Maggie用于PO#MO20260519</t>
  </si>
  <si>
    <t>Maggie用于PO# MO20260519 4500208125 4500208127 4500208119 4500208121</t>
  </si>
  <si>
    <t>Capsule Shrink wrap</t>
  </si>
  <si>
    <t>1000040668</t>
  </si>
  <si>
    <t>Maggie用于PO#4500208737</t>
  </si>
  <si>
    <t>Maggie用于PO#4500210346</t>
  </si>
  <si>
    <t>shrink wrap(1L)</t>
  </si>
  <si>
    <t>NA球，内&amp;外膜配套放数</t>
  </si>
  <si>
    <t>NA球，c版</t>
  </si>
  <si>
    <t>NA球</t>
  </si>
  <si>
    <t>INT球</t>
  </si>
  <si>
    <t>Maggie用于PO4500211431；4500211432</t>
  </si>
  <si>
    <t>Maggie用于PO4500213085 4500213087</t>
  </si>
  <si>
    <t>Maggie用于PO4500213433</t>
  </si>
  <si>
    <t>PVC  Tube</t>
  </si>
  <si>
    <t>Luna-4500208520、4500213094</t>
  </si>
  <si>
    <t>Maggie用于PO 4500214197</t>
  </si>
  <si>
    <t>Maggie用于PO 4500214816,4500214819,4500214822</t>
  </si>
  <si>
    <t>Maggie用于4500215017；4500215019；4500215020</t>
  </si>
  <si>
    <t>Maggie用于4500216020</t>
  </si>
  <si>
    <t>Maggie用于4500216252
4500216256</t>
  </si>
  <si>
    <t>Maggie用于PO#4500217079 4500217083</t>
  </si>
  <si>
    <t>Maggie用于PO#4500217255</t>
  </si>
  <si>
    <t>77803GQ2</t>
  </si>
  <si>
    <t>Emma用于订单4500215347-4000pcs，Doris用于订单4500204716-2400pcs，4500204719-1720pcs，4500204723-2900pcs，剩余8980pcs待后续订单消耗。</t>
  </si>
  <si>
    <t>Mary用于订单4500217940</t>
  </si>
  <si>
    <t>Maggie用于PO#4500217892</t>
  </si>
  <si>
    <t>Maggie用于PO#4500218505</t>
  </si>
  <si>
    <t>Maggie用于PO#4500219345</t>
  </si>
  <si>
    <t>Luna-4500217589/4500213119</t>
  </si>
  <si>
    <t>原为1000044020（已删除）.用旧版本</t>
  </si>
  <si>
    <t>Kori用于订单4500214354 &amp; 4500214355-5880pcs，4500215429 &amp; 4500215430-2622pcs</t>
  </si>
  <si>
    <t>工厂多备</t>
  </si>
  <si>
    <t>剩余</t>
  </si>
  <si>
    <t>可使用2L</t>
  </si>
  <si>
    <t>可先消耗使用2L</t>
  </si>
  <si>
    <t>MA Order No. :</t>
  </si>
  <si>
    <t>MA-RR-1546</t>
  </si>
  <si>
    <t>MA-RR-1619</t>
  </si>
  <si>
    <t>MA-RR-1656</t>
  </si>
  <si>
    <t>MA-RR-1684</t>
  </si>
  <si>
    <t>MA-RR-1727</t>
  </si>
  <si>
    <t>MA-RR-1738</t>
  </si>
  <si>
    <t>MA-RR-1789</t>
  </si>
  <si>
    <t>MA-RR-1843</t>
  </si>
  <si>
    <t>MA-RR-1857</t>
  </si>
  <si>
    <t>MA-RR-1876</t>
  </si>
  <si>
    <t>MA-RR-1910</t>
  </si>
  <si>
    <t>MA-RR-1925</t>
  </si>
  <si>
    <t>MA-RR-1953</t>
  </si>
  <si>
    <t>MA-RR-1979</t>
  </si>
  <si>
    <t>MA-RR-2008</t>
  </si>
  <si>
    <t>MA-RR-2138</t>
  </si>
  <si>
    <t>MA-RR-2218</t>
  </si>
  <si>
    <t>MA-RR-2291</t>
  </si>
  <si>
    <t>MA-RR-2347</t>
  </si>
  <si>
    <t>MA-RR-2416</t>
  </si>
  <si>
    <t>Order Date:</t>
  </si>
  <si>
    <t>Required CRD:</t>
  </si>
  <si>
    <t>NA合计</t>
  </si>
  <si>
    <t>INT合计</t>
  </si>
  <si>
    <t>New Code (New Matrix)</t>
  </si>
  <si>
    <t>NA 配比</t>
  </si>
  <si>
    <t>INT 配比</t>
  </si>
  <si>
    <t>NA MA QTY</t>
  </si>
  <si>
    <t>INT MA QTY</t>
  </si>
  <si>
    <t>NA Grand Total</t>
  </si>
  <si>
    <t>INT Grand Total</t>
  </si>
  <si>
    <t>NA 实际订单</t>
  </si>
  <si>
    <t>INT  实际订单</t>
  </si>
  <si>
    <r>
      <rPr>
        <b/>
        <sz val="12"/>
        <color theme="0"/>
        <rFont val="Tahoma"/>
        <charset val="134"/>
      </rPr>
      <t xml:space="preserve"> NA MA</t>
    </r>
    <r>
      <rPr>
        <b/>
        <sz val="12"/>
        <color theme="0"/>
        <rFont val="宋体"/>
        <charset val="134"/>
      </rPr>
      <t>剩余数量</t>
    </r>
  </si>
  <si>
    <r>
      <rPr>
        <b/>
        <sz val="12"/>
        <color theme="0"/>
        <rFont val="Tahoma"/>
        <charset val="134"/>
      </rPr>
      <t>INT MA</t>
    </r>
    <r>
      <rPr>
        <b/>
        <sz val="12"/>
        <color theme="0"/>
        <rFont val="宋体"/>
        <charset val="134"/>
      </rPr>
      <t>剩余数量</t>
    </r>
  </si>
  <si>
    <t>Remark</t>
  </si>
  <si>
    <t>两款合计MA数</t>
  </si>
  <si>
    <r>
      <rPr>
        <sz val="12"/>
        <rFont val="Tahoma"/>
        <charset val="0"/>
      </rPr>
      <t xml:space="preserve">1). 77711-NA, </t>
    </r>
    <r>
      <rPr>
        <sz val="12"/>
        <rFont val="宋体"/>
        <charset val="0"/>
      </rPr>
      <t>截至此次配套</t>
    </r>
    <r>
      <rPr>
        <sz val="12"/>
        <rFont val="Tahoma"/>
        <charset val="0"/>
      </rPr>
      <t>MA</t>
    </r>
    <r>
      <rPr>
        <sz val="12"/>
        <rFont val="宋体"/>
        <charset val="0"/>
      </rPr>
      <t>总数</t>
    </r>
    <r>
      <rPr>
        <sz val="12"/>
        <rFont val="Tahoma"/>
        <charset val="0"/>
      </rPr>
      <t xml:space="preserve">1400K;
2). </t>
    </r>
    <r>
      <rPr>
        <sz val="12"/>
        <rFont val="宋体"/>
        <charset val="0"/>
      </rPr>
      <t>配套采购相关的配件</t>
    </r>
    <r>
      <rPr>
        <sz val="12"/>
        <rFont val="Tahoma"/>
        <charset val="0"/>
      </rPr>
      <t>;</t>
    </r>
  </si>
  <si>
    <t>展示吸塑</t>
  </si>
  <si>
    <t>GQ2/GQ4</t>
  </si>
  <si>
    <t>SK</t>
  </si>
  <si>
    <t>MINIS</t>
  </si>
  <si>
    <t>Item NO.</t>
  </si>
  <si>
    <t>S1 Capsules &amp; playset Minis</t>
  </si>
  <si>
    <t>FRIDGEM_S1_P12</t>
  </si>
  <si>
    <t>NA/GLOBAL</t>
  </si>
  <si>
    <r>
      <rPr>
        <b/>
        <sz val="11"/>
        <color theme="1"/>
        <rFont val="Tahoma"/>
        <charset val="134"/>
      </rPr>
      <t>MA</t>
    </r>
    <r>
      <rPr>
        <b/>
        <sz val="11"/>
        <color theme="1"/>
        <rFont val="宋体"/>
        <charset val="134"/>
      </rPr>
      <t>数</t>
    </r>
  </si>
  <si>
    <t>FRIDGEM_S1_P15</t>
  </si>
  <si>
    <t>NA only</t>
  </si>
  <si>
    <t>订单数</t>
  </si>
  <si>
    <t>FRIDGEM_S1_P13</t>
  </si>
  <si>
    <t>剩余数</t>
  </si>
  <si>
    <t>FRIDGEM_S1_P14</t>
  </si>
  <si>
    <t>FRIDGEM_S1_P17</t>
  </si>
  <si>
    <t>FRIDGEM_S1_P19</t>
  </si>
  <si>
    <t>FRIDGEM_S1_F02</t>
  </si>
  <si>
    <t>FRIDGEM_S1_F03</t>
  </si>
  <si>
    <t>FRIDGEM_S1_C06</t>
  </si>
  <si>
    <t>FRIDGEM_S1_F04</t>
  </si>
  <si>
    <t>FRIDGEM_S1_P20</t>
  </si>
  <si>
    <t>FRIDGEM_S1_P21</t>
  </si>
  <si>
    <t>FRIDGEM_S1_P55</t>
  </si>
  <si>
    <t>FRIDGEM_S1_P56</t>
  </si>
  <si>
    <t>FRIDGEM_S1_P57</t>
  </si>
  <si>
    <t>FRIDGEM_S1_P58</t>
  </si>
  <si>
    <t>FRIDGEM_S1_P59</t>
  </si>
  <si>
    <t>FRIDGEM_S1_P60</t>
  </si>
  <si>
    <t>FRIDGEM_S1_P61</t>
  </si>
  <si>
    <t>NA/GLOBAL, SK DEMO</t>
  </si>
  <si>
    <t>FRIDGEM_S1_P62</t>
  </si>
  <si>
    <t>FRIDGEM_S1_P63</t>
  </si>
  <si>
    <t>FRIDGEM_S1_P64</t>
  </si>
  <si>
    <t>FRIDGEM_S1_P65</t>
  </si>
  <si>
    <t>FRIDGEM_S1_P66</t>
  </si>
  <si>
    <t>FRIDGEM_S1_P01</t>
  </si>
  <si>
    <t>NA/GLOBAL, PDQ DEMO</t>
  </si>
  <si>
    <t>FRIDGEM_S1_P02</t>
  </si>
  <si>
    <t>FRIDGEM_S1_P07</t>
  </si>
  <si>
    <t>NA</t>
  </si>
  <si>
    <t>FRIDGEM_S1_P08</t>
  </si>
  <si>
    <t>FRIDGEM_S1_P18</t>
  </si>
  <si>
    <t>FRIDGEM_S1_C01</t>
  </si>
  <si>
    <t>FRIDGEM_S1_C02</t>
  </si>
  <si>
    <t>FRIDGEM_S1_F01</t>
  </si>
  <si>
    <t>FRIDGEM_S1_P03</t>
  </si>
  <si>
    <t>FRIDGEM_S1_P04</t>
  </si>
  <si>
    <t>FRIDGEM_S1_C03</t>
  </si>
  <si>
    <t>FRIDGEM_S1_P09</t>
  </si>
  <si>
    <t>FRIDGEM_S1_P10</t>
  </si>
  <si>
    <t>FRIDGEM_S1_P11</t>
  </si>
  <si>
    <t>FRIDGEM_S1_C04</t>
  </si>
  <si>
    <t>FRIDGEM_S1_C05</t>
  </si>
  <si>
    <t>FRIDGEM_S1_P32</t>
  </si>
  <si>
    <t>FRIDGEM_S1_P33</t>
  </si>
  <si>
    <t>FRIDGEM_S1_P34</t>
  </si>
  <si>
    <t>FRIDGEM_S1_P35</t>
  </si>
  <si>
    <t>NA/GLOBAL,PDQ DEMO</t>
  </si>
  <si>
    <t>FRIDGEM_S1_P36</t>
  </si>
  <si>
    <t>FRIDGEM_S1_P41</t>
  </si>
  <si>
    <t>FRIDGEM_S1_P42</t>
  </si>
  <si>
    <t>FRIDGEM_S1_P43</t>
  </si>
  <si>
    <t>FRIDGEM_S1_P44</t>
  </si>
  <si>
    <t>FRIDGEM_S1_P46</t>
  </si>
  <si>
    <t>FRIDGEM_S1_P47</t>
  </si>
  <si>
    <t>FRIDGEM_S1_P38</t>
  </si>
  <si>
    <t>FRIDGEM_S1_P48</t>
  </si>
  <si>
    <t>FRIDGEM_S1_P49</t>
  </si>
  <si>
    <t>FRIDGEM_S1_P53</t>
  </si>
  <si>
    <t>FRIDGEM_S1_P52</t>
  </si>
  <si>
    <t>FRIDGEM_S1_P68</t>
  </si>
  <si>
    <t>FRIDGEM_S1_P51</t>
  </si>
  <si>
    <t>FRIDGEM_S1_P54</t>
  </si>
  <si>
    <t>FRIDGEM_S1_P40</t>
  </si>
  <si>
    <t>FRIDGEM_S1_P45</t>
  </si>
  <si>
    <t>FRIDGEM_S1_P37</t>
  </si>
  <si>
    <t>FRIDGEM_S1_P70</t>
  </si>
  <si>
    <t>NA/GLOBAL, PDQ &amp;SK DEMO</t>
  </si>
  <si>
    <t>FRIDGEM_S1_P69</t>
  </si>
  <si>
    <t>FRIDGEM_S1_P22</t>
  </si>
  <si>
    <t>FRIDGEM_S1_P27</t>
  </si>
  <si>
    <t>GLOBAL only</t>
  </si>
  <si>
    <t>FRIDGEM_S1_P23</t>
  </si>
  <si>
    <t>FRIDGEM_S1_P28</t>
  </si>
  <si>
    <t>FRIDGEM_S1_P24</t>
  </si>
  <si>
    <t>FRIDGEM_S1_P29</t>
  </si>
  <si>
    <t>FRIDGEM_S1_P25</t>
  </si>
  <si>
    <t>FRIDGEM_S1_P30</t>
  </si>
  <si>
    <t>FRIDGEM_S1_P26</t>
  </si>
  <si>
    <t>FRIDGEM_S1_P31</t>
  </si>
  <si>
    <t xml:space="preserve"> Minis SUM</t>
  </si>
  <si>
    <t>\</t>
  </si>
  <si>
    <t>CONFIRMED AND ACCEPTED BY:</t>
  </si>
  <si>
    <t>FOR AND ON BEHALF OF ZURU INC</t>
  </si>
  <si>
    <t>SIGNATURE &amp; COMPANY CHOP</t>
  </si>
  <si>
    <t>Material Authorization (Production)</t>
  </si>
  <si>
    <t>放订日期</t>
  </si>
  <si>
    <t>要求完成日期</t>
  </si>
  <si>
    <t>MA号</t>
  </si>
  <si>
    <t>MA-RR-1648</t>
  </si>
  <si>
    <t>MA-RR-1824</t>
  </si>
  <si>
    <t>MA-RR-2036</t>
  </si>
  <si>
    <t>MA-RR-2455</t>
  </si>
  <si>
    <t>合计</t>
  </si>
  <si>
    <t>接单数</t>
  </si>
  <si>
    <r>
      <rPr>
        <sz val="10"/>
        <rFont val="Times New Roman"/>
        <charset val="0"/>
      </rPr>
      <t xml:space="preserve">STD Playset #77673 </t>
    </r>
    <r>
      <rPr>
        <sz val="10"/>
        <rFont val="宋体"/>
        <charset val="134"/>
      </rPr>
      <t>（胶件）</t>
    </r>
  </si>
  <si>
    <r>
      <rPr>
        <sz val="12"/>
        <color theme="1"/>
        <rFont val="Tahoma"/>
        <charset val="134"/>
      </rPr>
      <t xml:space="preserve">playset </t>
    </r>
    <r>
      <rPr>
        <sz val="12"/>
        <color indexed="8"/>
        <rFont val="宋体"/>
        <charset val="134"/>
      </rPr>
      <t>注塑组件</t>
    </r>
  </si>
  <si>
    <r>
      <rPr>
        <sz val="10"/>
        <rFont val="Times New Roman"/>
        <charset val="0"/>
      </rPr>
      <t xml:space="preserve">CUS #77673 Target-US </t>
    </r>
    <r>
      <rPr>
        <sz val="10"/>
        <rFont val="宋体"/>
        <charset val="0"/>
      </rPr>
      <t>（胶件）</t>
    </r>
  </si>
  <si>
    <r>
      <rPr>
        <sz val="12"/>
        <color theme="1"/>
        <rFont val="Tahoma"/>
        <charset val="134"/>
      </rPr>
      <t xml:space="preserve">playset </t>
    </r>
    <r>
      <rPr>
        <sz val="12"/>
        <color rgb="FF000000"/>
        <rFont val="宋体"/>
        <charset val="134"/>
      </rPr>
      <t>注塑组件</t>
    </r>
  </si>
  <si>
    <r>
      <rPr>
        <sz val="10"/>
        <rFont val="Times New Roman"/>
        <charset val="0"/>
      </rPr>
      <t>CUS #77673 Costco-NA</t>
    </r>
    <r>
      <rPr>
        <sz val="10"/>
        <rFont val="宋体"/>
        <charset val="0"/>
      </rPr>
      <t>（胶件）</t>
    </r>
  </si>
  <si>
    <r>
      <rPr>
        <sz val="10"/>
        <rFont val="Times New Roman"/>
        <charset val="0"/>
      </rPr>
      <t xml:space="preserve">CUS #77673 Costco-INT </t>
    </r>
    <r>
      <rPr>
        <sz val="10"/>
        <rFont val="宋体"/>
        <charset val="134"/>
      </rPr>
      <t>（胶件）</t>
    </r>
  </si>
  <si>
    <t>Item Name</t>
  </si>
  <si>
    <t>Brand</t>
  </si>
  <si>
    <t>Mold no.</t>
  </si>
  <si>
    <t>FRIDGEM_S1_P39</t>
  </si>
  <si>
    <t>Strawberry Vanilla</t>
  </si>
  <si>
    <t>OLIPOP</t>
  </si>
  <si>
    <t>MNFRG-21M-01</t>
  </si>
  <si>
    <t>Playset only</t>
  </si>
  <si>
    <t>FRIDGEM_S1_P67</t>
  </si>
  <si>
    <t>Jelly</t>
  </si>
  <si>
    <t>MNFRG-15M-01;MNFRG-16M-01;MNFRG-23M-01;MNFRG-31M-01;MNFRG-32M-01.</t>
  </si>
  <si>
    <t>FRIDGEM_S1_P71</t>
  </si>
  <si>
    <t>Ice Scoop</t>
  </si>
  <si>
    <t>MNFRG-24M-01</t>
  </si>
  <si>
    <t>FRIDGEM_S1_A20</t>
  </si>
  <si>
    <t>外购件 </t>
  </si>
  <si>
    <t>FRIDGEM_S1_CUS 1</t>
  </si>
  <si>
    <t>perfectly Peach</t>
  </si>
  <si>
    <t>Sangaria Ramune</t>
  </si>
  <si>
    <t>MNFRG-05M-01</t>
  </si>
  <si>
    <t>Playset Target-US only</t>
  </si>
  <si>
    <t>FRIDGEM_S1_CUS 2</t>
  </si>
  <si>
    <t>Classic Root Beer
355ml</t>
  </si>
  <si>
    <t>Olipop</t>
  </si>
  <si>
    <t>FRIDGEM_S1_CUS 3</t>
  </si>
  <si>
    <t>Vintage Cola
355ml</t>
  </si>
  <si>
    <t>FRIDGEM_S1_CUS 4</t>
  </si>
  <si>
    <t>Supreme Pizza</t>
  </si>
  <si>
    <t>Pizza Hut</t>
  </si>
  <si>
    <t>MNFRG-13M-01；MNFRG-28M-01</t>
  </si>
  <si>
    <t>FRIDGEM_S1_CUS 5</t>
  </si>
  <si>
    <t>Extra Hot</t>
  </si>
  <si>
    <t>Mike's Hot Honey</t>
  </si>
  <si>
    <t>MNFRG-01M-01</t>
  </si>
  <si>
    <t>FRIDGEM_S1_CUS 6</t>
  </si>
  <si>
    <t>Great Grape</t>
  </si>
  <si>
    <t>Playset Costco-NA&amp;INT only</t>
  </si>
  <si>
    <t>FRIDGEM_S1_CUS 7</t>
  </si>
  <si>
    <t>Mmm Melon</t>
  </si>
  <si>
    <t>FRIDGEM_S1_CUS 8</t>
  </si>
  <si>
    <t>Orange Squeeze
355ml</t>
  </si>
  <si>
    <t>FRIDGEM_S1_CUS 9</t>
  </si>
  <si>
    <t>Meat Lovers Pizza</t>
  </si>
  <si>
    <t>Playset Costco-NA only</t>
  </si>
  <si>
    <t>FRIDGEM_S1_CUS 11</t>
  </si>
  <si>
    <t xml:space="preserve">Meat Lovers Pizza-global </t>
  </si>
  <si>
    <t>Playset Costco-INT only</t>
  </si>
  <si>
    <t>FRIDGEM_S1_CUS 10</t>
  </si>
  <si>
    <t>Caramel Syrup 
24 oz</t>
  </si>
  <si>
    <t>Hershey's</t>
  </si>
  <si>
    <t>MNFRG-08M-01</t>
  </si>
  <si>
    <r>
      <rPr>
        <b/>
        <sz val="12"/>
        <color rgb="FF0000CC"/>
        <rFont val="Tahoma"/>
        <charset val="134"/>
      </rPr>
      <t xml:space="preserve">Remark: 
1) </t>
    </r>
    <r>
      <rPr>
        <b/>
        <sz val="12"/>
        <color indexed="12"/>
        <rFont val="宋体"/>
        <charset val="134"/>
      </rPr>
      <t>收藏指南标准版是</t>
    </r>
    <r>
      <rPr>
        <b/>
        <sz val="12"/>
        <color indexed="12"/>
        <rFont val="Tahoma"/>
        <charset val="0"/>
      </rPr>
      <t>5</t>
    </r>
    <r>
      <rPr>
        <b/>
        <sz val="12"/>
        <color indexed="12"/>
        <rFont val="宋体"/>
        <charset val="134"/>
      </rPr>
      <t>语，</t>
    </r>
    <r>
      <rPr>
        <b/>
        <sz val="12"/>
        <color indexed="10"/>
        <rFont val="宋体"/>
        <charset val="134"/>
      </rPr>
      <t>新产品待工程放产才能开始生产</t>
    </r>
    <r>
      <rPr>
        <b/>
        <sz val="12"/>
        <color indexed="12"/>
        <rFont val="宋体"/>
        <charset val="134"/>
      </rPr>
      <t>。</t>
    </r>
    <r>
      <rPr>
        <b/>
        <sz val="12"/>
        <color indexed="12"/>
        <rFont val="Tahoma"/>
        <charset val="0"/>
      </rPr>
      <t xml:space="preserve">
2) </t>
    </r>
    <r>
      <rPr>
        <b/>
        <sz val="12"/>
        <color indexed="10"/>
        <rFont val="Tahoma"/>
        <charset val="0"/>
      </rPr>
      <t>Playset</t>
    </r>
    <r>
      <rPr>
        <b/>
        <sz val="12"/>
        <color indexed="10"/>
        <rFont val="宋体"/>
        <charset val="134"/>
      </rPr>
      <t>模具和公仔模具产能紧张</t>
    </r>
    <r>
      <rPr>
        <b/>
        <sz val="12"/>
        <color indexed="12"/>
        <rFont val="宋体"/>
        <charset val="134"/>
      </rPr>
      <t>，请满产能安排啤件备库，请勿中途停机，直至完成</t>
    </r>
    <r>
      <rPr>
        <b/>
        <sz val="12"/>
        <color indexed="12"/>
        <rFont val="Tahoma"/>
        <charset val="0"/>
      </rPr>
      <t>MA</t>
    </r>
    <r>
      <rPr>
        <b/>
        <sz val="12"/>
        <color indexed="12"/>
        <rFont val="宋体"/>
        <charset val="134"/>
      </rPr>
      <t>数量。
3)请安排提前装配，以便最大限度利用产能，待收到大货订单后收缩、包装。</t>
    </r>
  </si>
  <si>
    <t>日期</t>
  </si>
  <si>
    <t>MA订单号码</t>
  </si>
  <si>
    <t>ITEM</t>
  </si>
  <si>
    <t>要求交货日期</t>
  </si>
  <si>
    <t>实际交货时间</t>
  </si>
  <si>
    <t>MA_RR_1449</t>
  </si>
  <si>
    <r>
      <rPr>
        <sz val="12"/>
        <rFont val="宋体"/>
        <charset val="0"/>
      </rPr>
      <t>冰箱</t>
    </r>
    <r>
      <rPr>
        <sz val="12"/>
        <rFont val="Tahoma"/>
        <charset val="0"/>
      </rPr>
      <t xml:space="preserve"> IC</t>
    </r>
  </si>
  <si>
    <t>MA_RR_1490</t>
  </si>
  <si>
    <t>MA-RR-1531</t>
  </si>
  <si>
    <t>MA-RR-1566</t>
  </si>
  <si>
    <t>MA-RR-1609</t>
  </si>
  <si>
    <t>MA-RR-1657</t>
  </si>
  <si>
    <t>MA-RR-1694</t>
  </si>
  <si>
    <t>MA-RR-1743</t>
  </si>
  <si>
    <t>MA-RR-1767</t>
  </si>
  <si>
    <t>MA-RR-1805</t>
  </si>
  <si>
    <t>MA-RR-1827</t>
  </si>
  <si>
    <t>MA-RR-1844</t>
  </si>
  <si>
    <t>MA-RR-1851</t>
  </si>
  <si>
    <t>MA-RR-1877</t>
  </si>
  <si>
    <t>MA-RR-1898</t>
  </si>
  <si>
    <t>MA-RR-1927</t>
  </si>
  <si>
    <t>MA-RR-1980</t>
  </si>
  <si>
    <t>MA-RR-2024</t>
  </si>
  <si>
    <t>MA-RR-2047</t>
  </si>
  <si>
    <t>MA-RR-2117</t>
  </si>
  <si>
    <t>MA-RR-2209</t>
  </si>
  <si>
    <t>MA-RR-2258</t>
  </si>
  <si>
    <t>MA-RR-2309</t>
  </si>
  <si>
    <t>MA-RR-2335</t>
  </si>
  <si>
    <t>MA-RR-2359</t>
  </si>
  <si>
    <t>冰箱 IC</t>
  </si>
  <si>
    <t>MA-RR-2404</t>
  </si>
  <si>
    <t>MA_RR_2444</t>
  </si>
  <si>
    <t>扣除半成品剩余数</t>
  </si>
  <si>
    <t>ZURU验货日期</t>
  </si>
  <si>
    <t>ZURU订单走货日期</t>
  </si>
  <si>
    <t>77198散件</t>
  </si>
  <si>
    <t>77198 
有香味</t>
  </si>
  <si>
    <t>77198 
无香味</t>
  </si>
  <si>
    <t>收缩膜
MA 1L</t>
  </si>
  <si>
    <t>收藏指南
MA 1L</t>
  </si>
  <si>
    <r>
      <rPr>
        <b/>
        <sz val="8"/>
        <color theme="1"/>
        <rFont val="宋体"/>
        <charset val="134"/>
        <scheme val="minor"/>
      </rPr>
      <t xml:space="preserve">收缩膜
MA </t>
    </r>
    <r>
      <rPr>
        <b/>
        <sz val="8"/>
        <color rgb="FF0000FF"/>
        <rFont val="宋体"/>
        <charset val="134"/>
        <scheme val="minor"/>
      </rPr>
      <t>B</t>
    </r>
    <r>
      <rPr>
        <b/>
        <sz val="8"/>
        <color theme="1"/>
        <rFont val="宋体"/>
        <charset val="134"/>
        <scheme val="minor"/>
      </rPr>
      <t xml:space="preserve"> 1L</t>
    </r>
  </si>
  <si>
    <r>
      <rPr>
        <b/>
        <sz val="8"/>
        <color theme="1"/>
        <rFont val="宋体"/>
        <charset val="134"/>
        <scheme val="minor"/>
      </rPr>
      <t xml:space="preserve">收藏指南
MA </t>
    </r>
    <r>
      <rPr>
        <b/>
        <sz val="8"/>
        <color rgb="FF0000FF"/>
        <rFont val="宋体"/>
        <charset val="134"/>
        <scheme val="minor"/>
      </rPr>
      <t>B</t>
    </r>
    <r>
      <rPr>
        <b/>
        <sz val="8"/>
        <color theme="1"/>
        <rFont val="宋体"/>
        <charset val="134"/>
        <scheme val="minor"/>
      </rPr>
      <t xml:space="preserve"> 1L</t>
    </r>
  </si>
  <si>
    <t>收缩膜
MA 3L</t>
  </si>
  <si>
    <t>收藏指南
MA 3L</t>
  </si>
  <si>
    <t>59886/63730
收藏指南
德语客版</t>
  </si>
  <si>
    <t>SK
展示架
MA 1L
带demo</t>
  </si>
  <si>
    <t>SK
展示架
MA 3L
带demo</t>
  </si>
  <si>
    <t>SK
展示架
-003客版
带demo</t>
  </si>
  <si>
    <t>MA 1L A
GQ2
无demo</t>
  </si>
  <si>
    <r>
      <rPr>
        <b/>
        <sz val="8"/>
        <color theme="1"/>
        <rFont val="宋体"/>
        <charset val="134"/>
        <scheme val="minor"/>
      </rPr>
      <t xml:space="preserve">MA 1L </t>
    </r>
    <r>
      <rPr>
        <b/>
        <sz val="8"/>
        <color rgb="FFFF0000"/>
        <rFont val="宋体"/>
        <charset val="134"/>
        <scheme val="minor"/>
      </rPr>
      <t>B</t>
    </r>
    <r>
      <rPr>
        <b/>
        <sz val="8"/>
        <color theme="1"/>
        <rFont val="宋体"/>
        <charset val="134"/>
        <scheme val="minor"/>
      </rPr>
      <t xml:space="preserve">
GQ2
带demo</t>
    </r>
  </si>
  <si>
    <t>MA 3L A
GQ2
带demo</t>
  </si>
  <si>
    <t>客版
GQ1
带demo</t>
  </si>
  <si>
    <t>63730/59886
客版GQ2</t>
  </si>
  <si>
    <t>客版
GQ3</t>
  </si>
  <si>
    <t>客版
GQ4</t>
  </si>
  <si>
    <t>客版
SQ1</t>
  </si>
  <si>
    <t>客版
SQ2</t>
  </si>
  <si>
    <t>Jiwildy Ltd</t>
  </si>
  <si>
    <t>毛里求斯</t>
  </si>
  <si>
    <t>4500163069-20</t>
  </si>
  <si>
    <t>日期码格式：ZURU INC(BVI) 标准格式 日期：按实际生产日期
Packaging Info: MA 3L PKG+1 张UPC Label
Remark:</t>
  </si>
  <si>
    <t>4500157858-90</t>
  </si>
  <si>
    <t>日期码格式：ZURU INC(BVI) 标准格式 日期：按实际生产日期
Packaging Info: 
77673TQ1：MA_3L PDQ + MA 3L EAN 收缩膜 + 多语折叠警告语贴纸（含环保标） +MA5L收藏指南+ MA 23L说明书+MA纸袋 + WEEE通用黑色书纸带电池走货 ( EAN #
4894680042773)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</si>
  <si>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5200006637</t>
  </si>
  <si>
    <t>4500165161-20</t>
  </si>
  <si>
    <t>日期码格式：ZURU INC(BVI) 标准格式 日期：按实际生产日期
Packaging Info:
"77785:最新客版彩盒+ EAN贴纸（翻4500163212）
子件77711：最新MA 3L EAN收缩膜+最新MA 5L收藏指南+最新MA 23L说明书+最新MA 5L creative+最新MA纸袋+多语警语折叠贴纸（含包装缺失的法/意/西环保标）（
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</si>
  <si>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日期码格式：ZURU INC(BVI) 标准格式 日期：按实际生产日期
Packaging Info: 
"77785:最新客版彩盒+ EAN贴纸（翻4500163212）
子件77673：最新MA 3L EAN收缩膜+最新MA 5L收藏指南+最新MA 23L说明书+最新MA纸袋+多语警语折叠贴纸（含包装缺失的法/意/西环保标）+ 多语版WEEE电池垃圾
桶的回收声明说明书（ included）（贴纸和WEEE翻4500162314）"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</si>
  <si>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无BOM</t>
  </si>
  <si>
    <t xml:space="preserve"> FAR EAST BROKERS AND CONSULTANTS, I</t>
  </si>
  <si>
    <t>客户PO
25PO-3646</t>
  </si>
  <si>
    <t>4500166848-30</t>
  </si>
  <si>
    <t>日期码格式：ZURU INC(BVI) 标准格式 日期：按实际生产日期
Packaging Info: 
 77711GQ1 MA 1L UPC 版本包装 UPC 193052080127
Remark: 出美国
 每一行分别备注了客户的PO号， 请注意唛头的一一对应
 Zuru验货，日期跟踪码：产品包装必须有日期跟踪码，ZURU标准格式日期码"</t>
  </si>
  <si>
    <t>4500165161-50</t>
  </si>
  <si>
    <t>替代单</t>
  </si>
  <si>
    <t>日期码格式：ZURU INC(BVI) 标准格式 日期：按实际生产日期
Packaging Info:
77711GQ1:最新MA 3L EAN收缩膜+最新MA 5L收藏指南+最新MA 23L说明书+最新MA 5L creative+最新MA纸袋+最新MA 3L PDQ+多语警语折叠贴纸（含包装缺失的法/意/
西环保标）（翻4500162314）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</si>
  <si>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4500165161-70</t>
  </si>
  <si>
    <t>日期码格式：ZURU INC(BVI) 标准格式 日期：按实际生产日期
Packaging Info:
77711SK1:最新MA 3L EAN收缩膜+最新MA 5L收藏指南+最新MA 23L说明书+最新MA 5L creative+最新MA纸袋+最新MA展示架+多语警语折叠贴纸（含包装缺失的法/意/
西环保标）（翻4500162314）
Remark: MTS Spain: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带电池产品都需要包含WEEE黑白说明书。
8，MTS所有订单，SMASHERS 或含Slime产品，所有化合物使用无硼版本出；如有香味产品，出无香版本。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</si>
  <si>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4500167444-20</t>
  </si>
  <si>
    <t>6.12取消</t>
  </si>
  <si>
    <t>日期码格式：ZURU INC(BVI) 标准格式 日期：按实际生产日期
Packaging Info:
#77731：2PK STD #77711入PVC桶，3L 2PK铜版纸，客版无UPC版本收缩膜跟单提供。收藏指南，说明书均为MA 1L标版。（两个球的配比不能重复）。
Remark: 1.Amazon domestic 订单。出口美国。外箱最长边不能超过25" （超过了，case pack只能为1），不符合要求的大货，一律不接受。
2.无第三方验货/测试要求。
3.日期码使用ZURU标准版本。
4.邮包盒要印刷日期码。</t>
  </si>
  <si>
    <t>4500167852-20</t>
  </si>
  <si>
    <t>日期码格式：ZURU INC(BVI) 标准格式 日期：按实际生产日期
Packaging Info: 
2.77711GQ1-S002-INT: MA NA版本1L UPC收缩膜+MA INT 版本5L收藏指南+MA INT版本3L PDQ+MA 23L说明书+其他MA最新包材
UPC#193052080127,请先检查条码是否正确再安排做货
3.以上产品如果是电子产品带电池出货，请加上WEEE带电池走货欧洲30语通用黑白说明书,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
4. 此单空运</t>
  </si>
  <si>
    <t>Draft PO-77673TQ1（2）</t>
  </si>
  <si>
    <t>4500170548-10</t>
  </si>
  <si>
    <t>10001401738-3891</t>
  </si>
  <si>
    <t>4500170526-10</t>
  </si>
  <si>
    <t>0923292897</t>
  </si>
  <si>
    <t>4500170460-50</t>
  </si>
  <si>
    <t>2025/7/7 取消</t>
  </si>
  <si>
    <t>日期码格式：ZURU DGYYYYMMDD CHINA(日期避开周末和法定节假日即可） 日期：按实际生产日期
Packaging Info: 77711
77711-S003-NA：MA 1L A版收缩膜+MA 5L A版收藏指南+MA 说明书
每pcs产品上要贴1张RFID贴纸，贴纸由ZURU提供，贴纸位置请严格按照我们签回的签板；
Remark: 77711
77711-S003-NA：MA 1L A版收缩膜+MA 5L A版收藏指南+MA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77711：16pcs/CTN</t>
  </si>
  <si>
    <t>0923292910</t>
  </si>
  <si>
    <t>4500170460-60</t>
  </si>
  <si>
    <t>0923292916</t>
  </si>
  <si>
    <t>4500170460-70</t>
  </si>
  <si>
    <t>0923292927</t>
  </si>
  <si>
    <t>4500170460-80</t>
  </si>
  <si>
    <t>4500170460-90</t>
  </si>
  <si>
    <t>日期码格式：ZURU DGYYYYMMDD CHINA(日期避开周末和法定节假日即可） 日期：按实际生产日期
Packaging Info:77673
77673-S004：MA 1L A版收缩膜+MA 5L 收藏指南+MA 说明书
每pcs产品上要贴1张RFID贴纸，贴纸由ZURU提供，贴纸位置请严格按照我们签回的签板；
Remark: 77673
77673-S004：MA 1L A版收缩膜+MA 5L 收藏指南+MA 说明书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77673：4 pcs/CTN</t>
  </si>
  <si>
    <t>4500170460-100</t>
  </si>
  <si>
    <t>4500170460-110</t>
  </si>
  <si>
    <t>4500170460-120</t>
  </si>
  <si>
    <t>4500156320-10</t>
  </si>
  <si>
    <t>CBI DISTRIBUTING CORPORATION</t>
  </si>
  <si>
    <t>4500169801-10</t>
  </si>
  <si>
    <t>暂停生产</t>
  </si>
  <si>
    <t>日期码格式：ZURU INC(BVI) 标准格式 日期：按实际生产日期
Packaging Info: MA2L收缩膜+MA2LPDQ+客供价格贴纸
Remark: 价格贴纸需覆盖收缩膜上的UPC,贴大货之前先贴一个球给跟单确认位置图</t>
  </si>
  <si>
    <t>002620625279</t>
  </si>
  <si>
    <t>4500156321-10</t>
  </si>
  <si>
    <t>009600625372</t>
  </si>
  <si>
    <t>013860625222</t>
  </si>
  <si>
    <t>4500156327-10</t>
  </si>
  <si>
    <t>001710625322</t>
  </si>
  <si>
    <t>4500156329-10</t>
  </si>
  <si>
    <t>日期码格式：ZURU INC(BVI) 标准格式 日期：按实际生产日期
Packaging Info: 客版包装: 客版彩盒+ 客版PDQ+客版收缩膜+客版收藏指南
Remark:
77721SLT：S001-MINI BRANDS-FILL THE FRIDGE-SERIES 1-1PK Fill the Fridge PLAYSET S1 (With 5 Extra Minis) And 3PK NA Capsules S1 COMBO IN COLOR B
OX,75pcs/Display/Slip Sheet
1. 所有日期码印在彩盒上，产品上也需要印日期码. 按实际生产日期，ZURU 标准版格式的日期码。
2. 客版包装: 客版彩盒+ 客版PDQ+客版收缩膜+客版收藏指南
3. 纸箱唛头：纸箱四面，正唛和背面两面都需印刷，其他2面侧面留空,按照箱唛要求排版。
4. 确保展示架在入外箱的时候一定要正面对着有印刷箱唛的那面,不可以装反。</t>
  </si>
  <si>
    <t>001790625261</t>
  </si>
  <si>
    <t>4500156331-10</t>
  </si>
  <si>
    <t>002670625256</t>
  </si>
  <si>
    <t>4500156333-10</t>
  </si>
  <si>
    <t>001750625302</t>
  </si>
  <si>
    <t>4500156317-10</t>
  </si>
  <si>
    <t>6/24 更新</t>
  </si>
  <si>
    <t>Draft PO-77711GQ2</t>
  </si>
  <si>
    <t>4500173996-10</t>
  </si>
  <si>
    <t>Wal-mart US</t>
  </si>
  <si>
    <t>MO20250710</t>
  </si>
  <si>
    <t>TBA</t>
  </si>
  <si>
    <t>已转实单</t>
  </si>
  <si>
    <t>外箱印刷带条码的RFID箱唛：RFID紫色色带+WM Dept.图标+RFID图标+ITF-14条码，四面右下角印刷ZURU logo, ITFF条码只印刷在正唛一面，在加印的时候确保条形码能扫描出来，外箱侧面任一角落加印："MADE IN CHINA" 字样；</t>
  </si>
  <si>
    <t>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carton出货，16pcs/PDQ/CTN</t>
  </si>
  <si>
    <t>Wal-mart USA</t>
  </si>
  <si>
    <t>MO20250620</t>
  </si>
  <si>
    <t>1.包装要求：
77673TQ1-S001: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carton出货，77673：4pcs/PDQ/CTN</t>
  </si>
  <si>
    <t>4500178828-20</t>
  </si>
  <si>
    <t>MO20250904</t>
  </si>
  <si>
    <t>日期码格式：ZURU DGYYYYMMDD CHINA(日期避开周末和法定节假日即可） 日期：按实际生产日期
77711GQ4-S001-NA
1.包装要求：
MA 1L A版收缩膜+MA 2L B版收藏指南+MA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此单验货，请多备料
6. 此单以loose carton出货，16pcs/PDQ/CTN</t>
  </si>
  <si>
    <t>欠客PO</t>
  </si>
  <si>
    <t>日期码格式：ZURU INC(BVI) 标准格式 日期：按实际生产日期
77673TQ1-S001
1.包装要求：
MA 1L B版收缩膜+MA 5L A版收藏指南+MA B版说明书+MA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carton出货，4pcs/PDQ/CTN</t>
  </si>
  <si>
    <t>4500179455-20</t>
  </si>
  <si>
    <t>MO20250912</t>
  </si>
  <si>
    <t>已转实单4500179943</t>
  </si>
  <si>
    <t>外箱侧面任一角落加印："MADE IN CHINA" 字样；</t>
  </si>
  <si>
    <t>4500179469-10</t>
  </si>
  <si>
    <t>4500177872-10</t>
  </si>
  <si>
    <t>日期码格式：ZURU INC(BVI) 标准格式 日期：按实际生产日期
Packaging Info: 77673TQ1:最新MA PDQ(优先3L )+客版收缩膜(英法德callout/英法德意荷警语/法国环保logo---翻订单4500173265)+23L说明书+客版收藏指南(英法德意荷)（翻#45
00155594）+WEEE_带电池走货 _ 说明书欧洲EN+30L-B版（或更新版本)
Remark: 1）包装日期码按ZURU格式即可，请确保不迟于外箱日期码，可等于或者早于外箱日期码，必须为法定工作日，印刷前请先检查外箱日期码。
2）订单出爱尔兰，请注意检查产品及包装应带UKCA图标（14+产品除外），包装显示ZURU UK LTD/ZURU France地址信息，QC部门请查核，如有问题与跟单确认
3) 微塑料需符合欧洲标准，否则不合法规会有客诉产生</t>
  </si>
  <si>
    <t>4500177985-10</t>
  </si>
  <si>
    <t>返工，出给转由客户360 Sales Solutions Inc代理空运出货给WMCA</t>
  </si>
  <si>
    <t>BV自检10/8</t>
  </si>
  <si>
    <t>4500180534-30</t>
  </si>
  <si>
    <t xml:space="preserve"> 一张UPC条码贴+ 防盗贴纸（两款贴纸以及防盗贴纸位置图翻单PO#4500160026）+ 箱唛 + 外箱贴纸SSCC L
 abel</t>
  </si>
  <si>
    <t>10001502369-3891</t>
  </si>
  <si>
    <t>4500182103-20</t>
  </si>
  <si>
    <t>贴条码箱贴纸</t>
  </si>
  <si>
    <t>日期码格式：ZURU INC(BVI) 标准格式 日期：按实际生产日期
Packaging Info:
77711GQ2 产品包装(UPC版) MA 1L 收缩膜 + MA 1L PDQ；
Remark: 
77711GQ2
1. 77711GQ2-S002-NA-MINI BRANDS-FILL THE FRIDGE-SERIES 1-CAPSULE,25PCS/Gravity PDQ, 25PCS/PDQ/CTN
2. 产品包装(UPC版) MA 1L 收缩膜 + MA 1L PDQ；收缩膜上的UPC显示193052080127；
3. 外箱正唛左上角位置粘贴条码箱贴纸，每箱只贴一张，由ZURU订购。来料贴纸上显示的客户DPCI# 086-02-9357, UPC显示10193052080124;
以上所有item均：
1. 产品和包装上均要印刷tracking code信息，格式为ZURU常规格式;
2. 出货方式：货代自提</t>
  </si>
  <si>
    <t>4500182103-10</t>
  </si>
  <si>
    <t>日期码格式：ZURU INC(BVI) 标准格式 日期：按实际生产日期
Packaging Info: 77673TQ1 产品包装 客版收缩膜(C版)+客版收藏指南+MA说明书+ MA 1L PDQ；客版收藏指南翻单4500174008；
Remark: 77673TQ1
1. 77673TQ1-S001-CC-MINI BRANDS-FILL THE FRIDGE PLAYSET-SERIES 1-SHRINK WRAP,4PCS/PDQ,4PCS/PDQ/CTN
2. 产品包装 客版收缩膜(C版)+客版收藏指南+MA说明书+ MA 1L PDQ；客版收缩膜上的UPC显示193052079404；客版收藏指南翻单4500174008；
3. 外箱正唛左上角位置粘贴条码箱贴纸，每箱只贴一张，由ZURU订购。来料贴纸上显示的客户DPCI# 086-02-3468， UPC显示10193052079401;
以上所有item均：
1. 产品和包装上均要印刷tracking code信息，格式为ZURU常规格式;
2. 出货方式：货代自提</t>
  </si>
  <si>
    <t>4500184399-120</t>
  </si>
  <si>
    <t>4500184399-110</t>
  </si>
  <si>
    <t>0952702535</t>
  </si>
  <si>
    <t>4500184391-20</t>
  </si>
  <si>
    <t>0952702561</t>
  </si>
  <si>
    <t>4500184391-30</t>
  </si>
  <si>
    <t>0952702417</t>
  </si>
  <si>
    <t>4500184387-10</t>
  </si>
  <si>
    <t>0952702528</t>
  </si>
  <si>
    <t>4500183718-30</t>
  </si>
  <si>
    <t>PO#2818W3</t>
  </si>
  <si>
    <t>4500183277-10</t>
  </si>
  <si>
    <t>12.2早上做第三方TUV的100%大货验货+抽样</t>
  </si>
  <si>
    <t>箱唛翻单4500163953</t>
  </si>
  <si>
    <t>日期码格式：DOLLAR GENERAL 客日期码 日期：
Packaging Info: 
#77711GQ5-S002-NA-PKC 客版PDQ + 内袋警示语AWS + 客版收缩膜，请有说明书收藏指南等，请优先使用MA 1L。
Remark: 1.包装：
#77711GQ5-S002-NA-PKC 客版PDQ + 内袋警示语AWS + 客版收缩膜，请有说明书收藏指南等，请优先使用MA 1L。全部包材翻单4500181787 。
客户要求： "产品和包装不能含有PFAS 物质以及1,4 dioxane" 客户指定实验室做测试，请确保产品可以过美国标准ASTM F963-23测试。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#77711GQ5：31328202L25
(2)产品日期码：
#77711GQ5：DOLGEN31328202L25（打在球壳上）
后三位L25代表25年12月的ETD 。
（3）UPC条形码：
#77711GQ5:193052080127
3. 无价贴。
4. 无样板需求
5. 验货抽样事宜：
#77711GQ5-S002-NA-PKC （新版冰袋+说明书），此单需要跟4500181787&lt;(&gt;&amp;&lt;)&gt;4500181793&lt;(&gt;&amp;&lt;)&gt;4500182514合并一天在12.2早上做第三方TUV的100%大货验货+抽
样。第三方验货和抽样点数会按照几单的总数，抽板数量只抽一份成品随机12pcs球+5套光身板+足量干漆面/油墨。
请在12月1前完成ZURU QC验货，并当天14点前提供验货报告+大货图片给跟单。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</si>
  <si>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PO#2818X3</t>
  </si>
  <si>
    <t>4500183277-30</t>
  </si>
  <si>
    <t>PO#27T2X4</t>
  </si>
  <si>
    <t>4500181793-10</t>
  </si>
  <si>
    <t>12/2有第三方抽板+验货</t>
  </si>
  <si>
    <t>日期码格式：DOLLAR GENERAL 客日期码 日期：
Packaging Info: 客收缩膜+客PDQ，MA指南
Remark: 1.包装：客版收缩膜+客版PDQ 1L(8pcs/GQ)，
 #77711GQ5-S002-NA-PKC 此单全部翻单4500181787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2.日期码：产品和包装上必须有客版格式日期码。此单全部翻单4500181787
 客版收缩膜上已印有客版日期码，大货前需核对好这些信息，包装无需额外打ZURU日期码了。但是产品上需打客版日期码。
 (1) 包装日期码（已印在收缩膜上，无需额外添加），内容如：
 #77711GQ5-S002-NA-PKC 31328202L25
 L大写字母代表ETD 12月。
 (2)产品日期码：（打在球壳上）
 #77711GQ5-S002-NA-PKC DOLGEN31328202L25
 （3）UPC条形码：
 #77711GQ5-S002-NA-PKC 193052080127
 3. 无价贴。
 4. 无样板
 5. 
 #77711GQ5-S002-NA-PKC （新版冰袋+说明书），此单需要跟4500181787合并一天在12.2早上做第三方TUV的100%大货验货+抽样。第三方验货和抽样点数会按照几
 单的总数，抽板数量只抽一份成品随机12pcs球+5套光身板+足量干漆面/油墨。
 6. 箱唛：此单全部翻单4500181787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#77711GQ5-S002-NA-PKC 内袋翻单4500163953</t>
  </si>
  <si>
    <t>PO#27T2X0</t>
  </si>
  <si>
    <t>4500181793-30</t>
  </si>
  <si>
    <t>PO#27YPD3</t>
  </si>
  <si>
    <t>4500182514-20</t>
  </si>
  <si>
    <t>日期码格式：DOLLAR GENERAL 客日期码 日期：
Packaging Info: 
#77711GQ5-S002-NA-PKC 客版PDQ + 内袋警示语AWS + 客版收缩膜，请有说明书收藏指南等，请优先使用MA 1L。
430001805807
Remark: 1.包装：
#77711GQ5-S002-NA-PKC 客版PDQ + 内袋警示语AWS + 客版收缩膜，请有说明书收藏指南等，请优先使用MA 1L。全部包材翻单4500181787 。
客户要求： "产品和包装不能含有PFAS 物质以及1,4 dioxane" 客户指定实验室做测试，请确保产品可以过美国标准ASTM F963-23测试。
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#77711GQ5：31328202L25
(2)产品日期码：
#77711GQ5：DOLGEN31328202L25（打在球壳上）
后三位L25代表25年12月的ETD 。
（3）UPC条形码：
#77711GQ5:193052080127
3. 无价贴。
4. 无样板需求
5. 验货抽样事宜：
#77711GQ5：无第三方验货
请在12月4前完成ZURU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#77711GQ5-S002-NA-PKC-MINI BRANDS-FILL THE FRIDGE-SERIES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#77711GQ5内袋可通用77555GQ3的</t>
  </si>
  <si>
    <t>PO#27Q9P3</t>
  </si>
  <si>
    <t>4500181787-20</t>
  </si>
  <si>
    <t>日期码格式：DOLLAR GENERAL 客日期码 日期：
Packaging Info: 客1L收缩膜+客PDQ，MA收藏指南
Remark: 1.包装：客版收缩膜（跟单邮件提供）+客版PDQ 1L(8pcs/GQ)，
#77711GQ5-S002-NA-PKC PDQ，这单开始冰袋和说明书用要用新MA版本的、客版收缩膜版本（AWs跟单邮件提供，收缩膜上UPC左边竖排的客户包装tracking code后
三位字母和数字有变化）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
客版收缩膜上已印有客版日期码，大货前需核对好这些信息，包装无需额外打ZURU日期码了。但是产品上需打客版日期码。
(1) 包装日期码（已印在收缩膜上，无需额外添加），内容如：
#77711GQ5-S002-NA-PKC 31328202L25
L大写字母代表ETD 12月。
(2)产品日期码：（打在球壳上）
#77711GQ5-S002-NA-PKC DOLGEN31328202L25
（3）UPC条形码：
#77711GQ5-S002-NA-PKC 193052080127
3. 无价贴。
4. 无样板
5. 第三方：
#77711GQ5-S002-NA-PKC 有第三方抽板+验货
12月2日早上进行客人指定TUV的CT抽样+验货（因用了新版冰袋和说明书）。随机抽取每款每色各12pcs + 足量干漆给实验室MT+5套散件光身样（如适用）. 请在12
月1前完成ZURU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
#77711GQ5-S002-NA-PKC 箱唛翻单4500163953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#77711GQ5-S002-NA-PKC 内袋翻单4500163953</t>
  </si>
  <si>
    <t>6006-010027</t>
  </si>
  <si>
    <t>4500185103-10</t>
  </si>
  <si>
    <t>日期码格式：ZURU INC(BVI) 标准格式 日期：按实际生产日期
Packaging Info: 77711GQ1: MA PDQ， MA 3L EAN 收缩膜+1张UPC 条码贴纸（覆盖原条码）+1张进口商贴纸（贴球底部）+
MA 5L 收藏指南， MA说明书
Remark:</t>
  </si>
  <si>
    <t>4500185103-20</t>
  </si>
  <si>
    <t>日期码格式：ZURU INC(BVI) 标准格式 日期：按实际生产日期
Packaging Info: 
77673TQ1：MA PDQ，1L 收缩膜+1张进口商贴纸（贴背面，不得遮挡日期码）
Remark:</t>
  </si>
  <si>
    <t>Kmart AU</t>
  </si>
  <si>
    <t>TBC</t>
  </si>
  <si>
    <t>PRODUCT REQUERIMENTS
Tracking Code:Date code format：ZURU Standard format                  Date：Manufactory Date
Packaging Info:77711GQ1-S002-INT: MA 3L包装（MA收缩膜和说明书） + 一张UPC条码贴+ 防盗贴纸（两款贴纸以及防盗贴纸位置图翻单PO#4500160026）+ 箱唛 + 外箱贴纸SSCC Label
Remark:1.请务必按时完货，验货。并且按期送货入货代指定仓库，如果晚了导致船期Delay将会有罚金产生或者客户要求空运，所产生的罚金和空运费由工厂承担。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</si>
  <si>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safety stock draft PO 77673TQ1</t>
  </si>
  <si>
    <t>4500191621-10</t>
  </si>
  <si>
    <t>4500192818-10</t>
  </si>
  <si>
    <t>走空运</t>
  </si>
  <si>
    <t>日期码格式：ZURU INC(BVI) 标准格式 日期：按实际生产日期
Packaging Info: #77673: MA UPC版包装(1L或3L都可)，出口美国。
注意: 这单走空运，需要提前准备好空运运输危险性鉴定报告。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</si>
  <si>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4500192106-10</t>
  </si>
  <si>
    <t>26-1075807JEC</t>
  </si>
  <si>
    <t>4500198815-30</t>
  </si>
  <si>
    <t>77711/77673 客户需要提前出货，从此PO挪走，后续重新下PO</t>
  </si>
  <si>
    <t>日期码格式：ZURU INC(BVI) 标准格式                  日期：按实际生产日期
Packaging Info: 77773GQ2/77673/77772GQ2:MA 多语EAN包装+进口商贴纸+UPC贴纸(两个贴纸合并）+箱唛
77711GQ1:MA EAN 3L A Version包装+进口商贴纸+UPC贴纸(两个贴纸合并）+箱唛
77794UQ1: MA EAN 3L   B Version包装+进口商贴纸+UPC贴纸(两个贴纸合并）+箱唛
Remark: 1.进口商贴纸内容会显示日期码为：2026-07,  包装/产品/外箱可按照ZURU标准日期码，无需跟回进口商贴纸上的日期码。
2.所有item包装上的条码必须是UPC，如果已将进口商贴纸和UPC条码合并到一张，则不需再订购UPC贴纸，仅订购一张进口商贴纸即可。</t>
  </si>
  <si>
    <t>4500198815-20</t>
  </si>
  <si>
    <t>4500199498-20</t>
  </si>
  <si>
    <t>日期码格式：ZURU INC(BVI) 标准格式                  日期：按实际生产日期
Packaging Info:。
#77731：2PK STD #77711入PVC桶，3L 2PK铜版纸，客版无UPC版本收缩膜翻单4500186575。收藏指南，说明书均为MA 1L标版。（两个球的配比不能重复）。
Remark: 1.TikTok US订单。出口美国。外箱尺寸不能超过26*26*26" ，不符合要求的大货，一律不接受。
2.无第三方验货/测试要求。
3. 日期码使用ZURU标准版本。
4.如果大货有要求入邮包盒，则对应的邮包盒上面要打上日期码。</t>
  </si>
  <si>
    <t>4500195406-20</t>
  </si>
  <si>
    <t>转单4500203534</t>
  </si>
  <si>
    <t>日期码格式：ZURU INC(BVI) 标准格式 日期：按实际生产日期
Packaging Info:
#77731：2PK STD #77711入PVC桶，3L 2PK铜版纸，客版无UPC版本收缩膜翻单4500186575。收藏指南，说明书均为MA 1L标版。（两个球的配比不能重复）。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</si>
  <si>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4500195402-20</t>
  </si>
  <si>
    <t>日期码格式：ZURU INC(BVI) 标准格式 日期：按实际生产日期
Packaging Info: 
#77731：2PK STD #77711入PVC桶，3L 2PK铜版纸，客版无UPC版本收缩膜翻单4500186575。收藏指南，说明书均为MA 1L标版。（两个球的配比不能重复）。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</si>
  <si>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出库出9996</t>
  </si>
  <si>
    <t>4500192091-20</t>
  </si>
  <si>
    <t>货期待复</t>
  </si>
  <si>
    <t>日期码格式：ZURU INC(BVI) 标准格式 日期：按实际生产日期
Packaging Info: 1.优先多语 MA UPC或者3L/5L MA EAN 包装
2.请确保包装上的条形码是UPC，如果是babyUPC、需要用mother UPC覆盖，如有不一致，请及时提出。谢谢!
3,带电产品取决于客户测试机构以及产品，有可能只有一张贴纸，也有可能会有2-3张贴纸，具体按客人做完测试后提供的资料。（我司会提供图稿安排做货）
77711GQ2 MA多语EAN包装+UPC贴纸+MA多语收藏指南+MA 多语 PDQ+进口商贴纸+箱唛
Remark: 
Common: Equal ratio" 3PCS AG13 BATTERIES(INCLUDED)
77711GQ2 TBC</t>
  </si>
  <si>
    <t>4500192091-30</t>
  </si>
  <si>
    <t>日期码格式：ZURU INC(BVI) 标准格式 日期：按实际生产日期
Packaging Info: 1.优先多语 MA UPC或者3L/5L MA EAN 包装
2.请确保包装上的条形码是UPC，如果是babyUPC、需要用mother UPC覆盖，如有不一致，请及时提出。谢谢!
3,带电产品取决于客户测试机构以及产品，有可能只有一张贴纸，也有可能会有2-3张贴纸，具体按客人做完测试后提供的资料。（我司会提供图稿安排做货）
77673 MA 多语 EAN 包装+UPC 贴纸+MA 多语收藏指南+进口商贴纸+箱唛
Remark: 
Common: Equal ratio" 3PCS AG13 BATTERIES(INCLUDED)
77673 Filxed Collection 3PCS AG13 BATTERIES(INCLUDED)</t>
  </si>
  <si>
    <t>4500203488</t>
  </si>
  <si>
    <t>10001788143-3890</t>
  </si>
  <si>
    <t>4500203488-10</t>
  </si>
  <si>
    <t>欠外箱正唛左上角位置粘贴条码箱贴纸，每箱只贴一张，由ZURU订购</t>
  </si>
  <si>
    <t>4500197232-260</t>
  </si>
  <si>
    <t>日期码格式：ZURU INC(BVI) 标准格式 日期：按实际生产日期
Packaging Info: Amazon UK: 6QHKZVFM/4FGXJ4DX/3E5781FW
Amazon DE: 73Z1OD7E/4G4S7INT/2D83IUVS/1YNR3X5G/1EMADWAX
Amazon ES: 7CIULJPX
Amazon UK(77673/77731/77785/9565E)/DE(157103/15750H/15752ABDEGH/77806)/ES(77673)
3. 77785:1pk 77673 Fill the Fridge PLAYSET S1+ 2pk 77711 INT Capsules S1 into color box, 6color boxes/ctn; 77673:UV GLUE / 7 magnets（6 magnets
and 1 Refrigerator magnet); 3PCS AG13 BATTERIES(INCLUDED); 77711:UV GLUE/ 1 Refrigerator Magnet; 77673: MA 3L(3L warning EAN)B收缩膜+MA 23L war
ning B说明书+MA 5L A收藏指南+77711: MA 3L(3L warning EAN)A收缩膜+MA 5L(23L warning)B收藏指南+MA 23L警告语说明书+MA 5L A说明书 +客版彩盒（新FR/DK
/UK地址，参考翻单PO#4500194447）+WEEE_带电池走货 _ 说明书欧洲EN+29L_C版；
9. 验货时间不迟于2026/5/18.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</si>
  <si>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4500197232-280</t>
  </si>
  <si>
    <t>日期码格式：ZURU INC(BVI) 标准格式 日期：按实际生产日期
Packaging Info: Amazon UK: 6QHKZVFM/4FGXJ4DX/3E5781FW
Amazon DE: 73Z1OD7E/4G4S7INT/2D83IUVS/1YNR3X5G/1EMADWAX
Amazon ES: 7CIULJPX
Amazon UK(77673/77731/77785/9565E)/DE(157103/15750H/15752ABDEGH/77806)/ES(77673)
1. 77673:12pcs/ctn; MA 3L(3L warning EAN#)B收缩膜+MA 23L warning B说明书+MA 5L A收藏指南+2张贴纸(1张UPC#，参考翻单PO#4500158582；1张可折叠警语贴
含德意警告语+IT环保标，参考翻单PO#4500157858)+WEEE_带电池走货 _ 说明书欧洲EN+29L_C版
9. 验货时间不迟于2026/5/18.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</si>
  <si>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4500197232-270</t>
  </si>
  <si>
    <t>4/20SSCC label</t>
  </si>
  <si>
    <t>日期码格式：ZURU INC(BVI) 标准格式 日期：按实际生产日期
Packaging Info: Amazon UK: 6QHKZVFM/4FGXJ4DX/3E5781FW
Amazon DE: 73Z1OD7E/4G4S7INT/2D83IUVS/1YNR3X5G/1EMADWAX
Amazon ES: 7CIULJPX
Amazon UK(77673/77731/77785/9565E)/DE(157103/15750H/15752ABDEGH/77806)/ES(77673)
2. 77731:2PK#77711-INT In PVC Tube，12tubes/ctn; UV GLUE/ 1 Refrigerator Magnet; MA 3L(3L warning EAN)A收缩膜+1张空白贴纸(覆盖在条码位置，尺寸由
工厂自行测量)+MA 5L(23L warning)B收藏指南+MA 23L B警告语说明书+MA 5L B说明书 +客版3L(5L warning UPC) INT PVC筒彩卡(UPC#+英法德意西5L警示语+FR/ES
环保标+GPSR邮箱care@zuru.com+新FR//DK/UK地址，参考翻单PO#4500194447)+1张IT环保标贴纸(参考翻单PO#4500158623）；
9. 验货时间不迟于2026/5/18.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</si>
  <si>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MO20260519</t>
  </si>
  <si>
    <t>MO20260519-30</t>
  </si>
  <si>
    <t>手工单转实单</t>
  </si>
  <si>
    <t>PRODUCT REQUERIMENTSPACKAGING STYLE：1.包装要求：
77785PLD: 客版1L展示架+客版1L 彩盒
77711- 客版1L 无条码收缩膜+MA 2L B版收藏指南+MA B版说明书
77673- MA 1L B版收缩膜+MA 5L A版收藏指南+MA B版说明书
每pcs产品上要贴1张RFID贴纸，贴纸由ZURU提供，贴纸位置请严格按照我们签回的签板；
2.展示架外包材用天盖+围板+护角+打包带+木托盘+拉伸膜包装方式，天盖需体现2026 November Deals Event（居中），注意4面都要印，即要印4个，外箱印刷日期码，ZURU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此单需要抽板和验货，预计安排7/14抽板测试，请多备料
6. Display and  Loading：2Wx4Dx3H =24pcs/Display/CartonCARTON MARKS:待确认.</t>
  </si>
  <si>
    <t>MO20260519-10</t>
  </si>
  <si>
    <t>MO20260519-20</t>
  </si>
  <si>
    <t>MO20260519-100</t>
  </si>
  <si>
    <t>MO20260519-60</t>
  </si>
  <si>
    <t>MO20260519-50</t>
  </si>
  <si>
    <t>MO20260519-80</t>
  </si>
  <si>
    <t>MO20260519-70</t>
  </si>
  <si>
    <t>MO20260519-90</t>
  </si>
  <si>
    <t>MO20260519-40</t>
  </si>
  <si>
    <t>5. 此单需要抽板和验货，预计安排7/14抽板测试，请多备料</t>
  </si>
  <si>
    <t>4500197232-230</t>
  </si>
  <si>
    <t>日期码格式：ZURU INC(BVI) 标准格式 日期：按实际生产日期
Packaging Info: Amazon UK: 6QHKZVFM
 Amazon DE: 73Z1OD7E/4G4S7INT
 Amazon ES: 7CIULJPX
 Amazon UK(77673/77731/77785)/DE(157103/15750H/15752ABDEGH/77806)/ES(77673)
 3.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warning)B收藏指南+MA 23L警告语说明书+MA 5L A说明书 +客版彩盒（新FR/
DK/UK地址，参考翻单PO#4500194447）+WEEE_带电池走货 _ 说明书欧洲EN+29L_C版；
  8. 验货时间不迟于2026/7/3.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</si>
  <si>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515LASMW</t>
  </si>
  <si>
    <t>4500208520-200</t>
  </si>
  <si>
    <t>1张贴纸（Spielzeugpreis Alles fürs Kinderherz，仅出DE需要,参考翻单PO#4500166480) +欠SSCC LABEL一张+1张贴纸(含DE/IT警告语，翻单PO4500197236)</t>
  </si>
  <si>
    <t>日期码格式：ZURU INC(BVI) 标准格式 日期：按实际生产日期
Packaging Info: Amazon UK: 8NO1KWXI / 8IVBDN4H / 2J1TGLJV
Amazon DE: 515LASMW
Amazon ES: 2MFVV95N
Amazon FR: 7UWOUD1I
Amazon UK(15752BDE/15726L/71137/15746D/92119B/15710A/15754H/15750E/
15726AD)/DE(15746B/15750G/77785/15763E)/ES(15752BDEH/77785/77731)/
FR(15752ABH/77731)
11.77785: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Kinderherz，仅出DE需要,参考翻单PO#4500166480)+77711: MA 3L(3L warning EAN)A收
缩膜+MA 5L(23L warning)B收藏指南+MA 23L警告语说明书+MA 5L A说明书 +客版彩盒（新FR/DK/UK地址，参考翻单PO#4500194447）+WEEE_带电池走货 _ 说明书欧
洲EN+30L_B版+1张贴纸(含DE/IT警告语，翻单PO4500197236)
14. 验货时间不迟于2026/07/14.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</si>
  <si>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4500208520-260</t>
  </si>
  <si>
    <t>4500207783-80</t>
  </si>
  <si>
    <t>5/22SSCC label</t>
  </si>
  <si>
    <t>日期码格式：ZURU INC(BVI) 标准格式                  日期：按实际生产日期
Packaging Info: Amazon UK: 4FGXJ4DX/3E5781FW
Amazon DE: 2D83IUVS
Amazon UK(77785/77731/77673/9565E)/DE(77806/15750H/15752ABDEH)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warning)B收藏指南+MA 23L警告语说明书+MA 5L A说明书 +客版彩盒（新FR/
DK/UK地址，参考翻单PO#4500194447）+WEEE_带电池走货 _ 说明书欧洲EN+29L_C版；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</si>
  <si>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8. 验货时间不迟于2026/8/7.</t>
  </si>
  <si>
    <t>日期码格式：ZURU INC(BVI) 标准格式                  日期：按实际生产日期
Packaging Info: Amazon UK: 4FGXJ4DX/3E5781FW
Amazon DE: 2D83IUVS
Amazon UK(77785/77731/77673/9565E)/DE(77806/15750H/15752ABDEH)
1.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warning)B收藏指南+MA 23L警告语说明书+MA 5L A说明书 +客版彩盒（新FR/
DK/UK地址，参考翻单PO#4500194447）+WEEE_带电池走货 _ 说明书欧洲EN+29L_C版；
8. 验货时间不迟于2026/8/7.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</si>
  <si>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日期码格式：ZURU INC(BVI) 标准格式 日期：按实际生产日期
Packaging Info: Amazon UK: 6QHKZVFM
 Amazon DE: 73Z1OD7E/4G4S7INT
 Amazon ES: 7CIULJPX
 Amazon UK(77673/77731/77785)/DE(157103/15750H/15752ABDEGH/77806)/ES(77673)
 3. 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A收藏指南+77711: MA 3L(3L warning EAN)A收缩膜+MA 5L(23L warning)B收藏指南+MA 23L警告语说明书+MA 5L A说明书 +客版彩盒（新FR/
DK/UK地址，参考翻单PO#4500194447）+WEEE_带电池走货 _ 说明书欧洲EN+29L_C版；
 8. 验货时间不迟于2026/7/3.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</si>
  <si>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验货时间不迟于2026/07/14.</t>
  </si>
  <si>
    <t>1张贴纸（Spielzeugpreis Alles fürs Kinderherz，仅出DE需要,参考翻单PO#4500166480) +6/18提供SSCC LABEL一张+1张贴纸(含DE/IT警告语，翻单PO4500197236)</t>
  </si>
  <si>
    <t>日期码格式：ZURU INC(BVI) 标准格式 日期：按实际生产日期
Packaging Info: Amazon UK: 8NO1KWXI / 8IVBDN4H / 2J1TGLJV
Amazon DE: 515LASMW
Amazon ES: 2MFVV95N
Amazon FR: 7UWOUD1I
Amazon UK(15752BDE/15726L/71137/15746D/92119B/15710A/15754H/15750E/
15726AD)/DE(15746B/15750G/77785/15763E)/ES(15752BDEH/77785/77731)/
FR(15752ABH/77731)
11.77785: 1pk 77673 Fill the Fridge PLAYSET S1+ 2pk 77711 INT Capsules S1 into color box, 6color boxes/ctn; 77673:UV GLUE / 7 magnets（6 magne
ts and 1 Refrigerator magnet); 3PCS AG13 BATTERIES(INCLUDED); 77711:UV GLUE/ 1 Refrigerator Magnet; 77673: MA 3L(3L warning EAN)B收缩膜+MA 23L w
arning B说明书+MA 5L A收藏指南+1张贴纸（Spielzeugpreis Alles fürs Kinderherz，仅出DE需要,参考翻单PO#4500166480)+77711: MA 3L(3L warning EAN)A收
缩膜+MA 5L(23L warning)B收藏指南+MA 23L警告语说明书+MA 5L A说明书 +客版彩盒（新FR/DK/UK地址，参考翻单PO#4500194447）+WEEE_带电池走货 _ 说明书欧
洲EN+30L_B版+1张贴纸(含DE/IT警告语，翻单PO4500197236)
14. 验货时间不迟于2026/07/14.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/FR/ES/IT,不适用Amazon GPE，Amazon GPE无SSCC label, 但是有对应箱唛，需印刷到外箱 。
2.出往UK的产品+包装务必打上UKCA logo ，否则客人会退货且当地会有罚款。Amazon GPE（包含UK/FR/ES/DE/IT）的订单也需满足此要求。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GPE（包含UK/FR/ES/DE/IT）的订单也需满足此要求。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GPE的订单也需满足此要求）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加ZURU法国和地址)。使用最新的EN71版包装和说明书）。Amazon GPE（包含UK/FR/ES/DE/IT）的订单也需满足此要求。</t>
  </si>
  <si>
    <t>4500216491</t>
  </si>
  <si>
    <t>fast startbenchmarkitems</t>
  </si>
  <si>
    <t>4500216491-20</t>
  </si>
  <si>
    <r>
      <rPr>
        <sz val="11"/>
        <color rgb="FFFF0000"/>
        <rFont val="宋体"/>
        <charset val="134"/>
      </rPr>
      <t>日期码格式：ZURU INC(BVI) 标准格式</t>
    </r>
    <r>
      <rPr>
        <sz val="10"/>
        <color rgb="FFFF0000"/>
        <rFont val="宋体"/>
        <charset val="134"/>
        <scheme val="minor"/>
      </rPr>
      <t xml:space="preserve">                  日期：按实际生产日期
Packaging Info: 待确认箱唛形式,外箱需要加上一张"fast start"贴纸,待提供,FAST START订单
"77782: 77711 MA 收缩膜+条码贴纸+1张日语警语贴纸(贴在收缩膜上）+1张日语警告贴纸（贴在说明书上), follow 拉美的客版收藏指南+客版PDQ
(日语警语贴纸资料及位置图请翻单4500162966，贴纸不要遮挡住日期码）
Remark: </t>
    </r>
  </si>
  <si>
    <t>4500216491-40</t>
  </si>
  <si>
    <r>
      <rPr>
        <sz val="11"/>
        <color rgb="FFFF0000"/>
        <rFont val="宋体"/>
        <charset val="134"/>
      </rPr>
      <t>日期码格式：ZURU INC(BVI) 标准格式</t>
    </r>
    <r>
      <rPr>
        <sz val="10"/>
        <color rgb="FFFF0000"/>
        <rFont val="宋体"/>
        <charset val="134"/>
        <scheme val="minor"/>
      </rPr>
      <t xml:space="preserve">                  日期：按实际生产日期
Packaging Info: 待确认箱唛形式,外箱需要加上一张"fast start"贴纸,待提供,FAST START订单
77673-MA 1L UPC包装+1张日语警语贴纸（贴纸不要遮挡日期码, 贴纸翻单：4500180424）
Remark: 
77673TQ1-S001-Fixed Collection</t>
    </r>
  </si>
  <si>
    <t>4500211292-90</t>
  </si>
  <si>
    <t>8/5 取消订单</t>
  </si>
  <si>
    <t>1张小的警语贴纸贴在收缩膜正面+2张大的纽扣电池
 警语贴纸贴在收缩膜背面和说明书上+ 1张防盗贴纸 (警语贴纸&lt;(&gt;&amp;&lt;)&gt; 防盗贴纸资料及位置图翻单PO#4500160026）+欠外箱SSCC Label</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</si>
  <si>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.此单出口新西兰，请按相应的澳新标准生产；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此单需要与AU  PO#4500211288一起合并计算</t>
  </si>
  <si>
    <t>4500211288-90</t>
  </si>
  <si>
    <t>日期码格式：ZURU  INC(BVI) 标准格式                                    日期：按实际生产日期
Packaging Info: 
77673-S001: MA英语UPC版本包装（收缩膜和说明书, MA首选1L，如无1L可用多语且含英语的配套多语包装) +  1张小的警语贴纸贴在收缩膜正面+2张大的纽扣电池
警语贴纸贴在收缩膜背面和说明书上+  1张防盗贴纸  (警语贴纸&lt;(&gt;&amp;&lt;)&gt;  防盗贴纸资料及位置图翻单PO#4500160026）+箱唛  +  外箱SSCC  Label
Remark: 1 .请务必按时完货，验货。并且按期送货入货代指定仓库，如果晚了导致船期Delay将会有罚金产生或者客户要求空运，所产生的罚金和空运费由工厂承担。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 .此单出口澳大利亚，请按相应的澳新标准生产；
  6.产品和包装上生产批号的显示格式ZURU标准日期码格式
  7 .外箱信息不可手写，重量和体积需要与实际的一致(不可手写）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10.所有带纽扣电池的产品都需要在产品包装以及说明书上贴纽扣电池警告语贴纸
此单需要与NZ  PO#4500211292一起合并计算</t>
  </si>
  <si>
    <t>A&amp;A  GLOBAL  INDUSTRIES</t>
  </si>
  <si>
    <t>4500215323-40</t>
  </si>
  <si>
    <t>77711GQ8-S001-NA</t>
  </si>
  <si>
    <t>冰箱迷你球48pcs/箱</t>
  </si>
  <si>
    <t>8/4暂停生产</t>
  </si>
  <si>
    <t>7/27 PDQ上需加UPC#193052080127贴纸，贴于PDQ背面左下角；贴纸资料跟单提供</t>
  </si>
  <si>
    <t>必须用最新版本包装</t>
  </si>
  <si>
    <t>日期码格式：ZURU  INC(BVI)  标准格式                                    日期：按实际生产日期
Packaging Info: 1.  包材：     ZURU  MA  UPC    版本，出口美国
#77711GQ8：PDQ上需加UPC#193052080127贴纸，贴于PDQ背面左下角；贴纸资料跟单提供，工厂采购.
Remark: 2.  日期跟踪码：产品包装及产品本身都必须有日期跟踪码；ZURU标准格式日期码(请自行调整具体年月日生产期，但不能为周末）。
3.  出货配比:  Zuru  标版配比。</t>
  </si>
  <si>
    <t>Elsa  Zheng</t>
  </si>
  <si>
    <t>无系统货号</t>
  </si>
  <si>
    <t>4500215323-90</t>
  </si>
  <si>
    <t>4500215323-140</t>
  </si>
  <si>
    <t>4500215323-190</t>
  </si>
  <si>
    <t>FSCPSE-01M-01</t>
  </si>
  <si>
    <t>FSCPSE-02M-01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</si>
</sst>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Red]#,##0"/>
    <numFmt numFmtId="178" formatCode="yyyy/m/d;@"/>
    <numFmt numFmtId="179" formatCode="0.0000_);[Red]\(0.0000\)"/>
    <numFmt numFmtId="180" formatCode="0_);[Red]\(0\)"/>
    <numFmt numFmtId="181" formatCode="yyyy/m/d&quot;周&quot;aaa"/>
    <numFmt numFmtId="182" formatCode="m/d;@"/>
    <numFmt numFmtId="183" formatCode="0_ "/>
    <numFmt numFmtId="184" formatCode="0_ ;[Red]\-0\ "/>
    <numFmt numFmtId="185" formatCode="0.00_);[Red]\(0.00\)"/>
    <numFmt numFmtId="186" formatCode="0.0000_ "/>
    <numFmt numFmtId="187" formatCode="0.00##"/>
    <numFmt numFmtId="188" formatCode="_-* #,##0_-;\-* #,##0_-;_-* &quot;-&quot;??_-;_-@_-"/>
    <numFmt numFmtId="189" formatCode="#,##0_);[Red]\(#,##0\)"/>
    <numFmt numFmtId="190" formatCode="#,##0_ "/>
    <numFmt numFmtId="191" formatCode="[$-409]d/mmm/yy;@"/>
    <numFmt numFmtId="192" formatCode="0.000%"/>
    <numFmt numFmtId="193" formatCode="_ * #,##0_ ;_ * \-#,##0_ ;_ * &quot;-&quot;??_ ;_ @_ "/>
  </numFmts>
  <fonts count="149">
    <font>
      <sz val="11"/>
      <color theme="1"/>
      <name val="宋体"/>
      <charset val="134"/>
      <scheme val="minor"/>
    </font>
    <font>
      <b/>
      <sz val="10"/>
      <color rgb="FF000000"/>
      <name val="宋体"/>
      <charset val="134"/>
      <scheme val="minor"/>
    </font>
    <font>
      <sz val="8"/>
      <color theme="1"/>
      <name val="宋体"/>
      <charset val="134"/>
      <scheme val="minor"/>
    </font>
    <font>
      <sz val="12"/>
      <color rgb="FFFF0000"/>
      <name val="宋体"/>
      <charset val="134"/>
      <scheme val="minor"/>
    </font>
    <font>
      <sz val="11"/>
      <color rgb="FFFF0000"/>
      <name val="宋体"/>
      <charset val="134"/>
      <scheme val="minor"/>
    </font>
    <font>
      <sz val="12"/>
      <color rgb="FFF7241F"/>
      <name val="宋体"/>
      <charset val="134"/>
      <scheme val="minor"/>
    </font>
    <font>
      <sz val="11"/>
      <color rgb="FFFF0000"/>
      <name val="宋体"/>
      <charset val="134"/>
    </font>
    <font>
      <b/>
      <sz val="8"/>
      <name val="宋体"/>
      <charset val="134"/>
      <scheme val="minor"/>
    </font>
    <font>
      <b/>
      <sz val="8"/>
      <name val="等线"/>
      <charset val="134"/>
    </font>
    <font>
      <b/>
      <sz val="8"/>
      <color rgb="FF0000FF"/>
      <name val="宋体"/>
      <charset val="134"/>
      <scheme val="minor"/>
    </font>
    <font>
      <b/>
      <sz val="8"/>
      <color rgb="FF7030A0"/>
      <name val="宋体"/>
      <charset val="134"/>
      <scheme val="minor"/>
    </font>
    <font>
      <b/>
      <sz val="8"/>
      <color theme="1"/>
      <name val="宋体"/>
      <charset val="134"/>
      <scheme val="minor"/>
    </font>
    <font>
      <b/>
      <sz val="8"/>
      <color rgb="FFFF0000"/>
      <name val="宋体"/>
      <charset val="134"/>
      <scheme val="minor"/>
    </font>
    <font>
      <sz val="11"/>
      <color rgb="FFF7241F"/>
      <name val="宋体"/>
      <charset val="134"/>
    </font>
    <font>
      <sz val="11"/>
      <color rgb="FFF7241F"/>
      <name val="宋体"/>
      <charset val="134"/>
      <scheme val="minor"/>
    </font>
    <font>
      <sz val="11"/>
      <color rgb="FF010CDD"/>
      <name val="宋体"/>
      <charset val="134"/>
    </font>
    <font>
      <sz val="12"/>
      <name val="Tahoma"/>
      <charset val="0"/>
    </font>
    <font>
      <sz val="11"/>
      <color theme="1"/>
      <name val="Tahoma"/>
      <charset val="134"/>
    </font>
    <font>
      <b/>
      <sz val="12"/>
      <name val="Tahoma"/>
      <charset val="0"/>
    </font>
    <font>
      <sz val="12"/>
      <name val="宋体"/>
      <charset val="0"/>
    </font>
    <font>
      <b/>
      <u/>
      <sz val="18"/>
      <name val="Tahoma"/>
      <charset val="0"/>
    </font>
    <font>
      <sz val="10"/>
      <name val="Times New Roman"/>
      <charset val="0"/>
    </font>
    <font>
      <sz val="11"/>
      <name val="宋体"/>
      <charset val="0"/>
    </font>
    <font>
      <sz val="12"/>
      <color theme="1"/>
      <name val="Tahoma"/>
      <charset val="134"/>
    </font>
    <font>
      <b/>
      <sz val="12"/>
      <name val="宋体"/>
      <charset val="0"/>
    </font>
    <font>
      <sz val="12"/>
      <name val="Tahoma"/>
      <charset val="134"/>
    </font>
    <font>
      <sz val="12"/>
      <color theme="1"/>
      <name val="宋体"/>
      <charset val="134"/>
    </font>
    <font>
      <b/>
      <sz val="12"/>
      <color rgb="FF000000"/>
      <name val="Tahoma"/>
      <charset val="0"/>
    </font>
    <font>
      <sz val="11"/>
      <name val="Times New Roman"/>
      <charset val="0"/>
    </font>
    <font>
      <b/>
      <sz val="12"/>
      <name val="宋体"/>
      <charset val="134"/>
    </font>
    <font>
      <b/>
      <sz val="12"/>
      <color theme="0"/>
      <name val="Tahoma"/>
      <charset val="134"/>
    </font>
    <font>
      <sz val="12"/>
      <color theme="0"/>
      <name val="Tahoma"/>
      <charset val="134"/>
    </font>
    <font>
      <b/>
      <sz val="10"/>
      <color theme="1"/>
      <name val="Tahoma"/>
      <charset val="134"/>
    </font>
    <font>
      <sz val="10"/>
      <name val="Tahoma"/>
      <charset val="0"/>
    </font>
    <font>
      <sz val="11"/>
      <color rgb="FF0070C0"/>
      <name val="Tahoma"/>
      <charset val="134"/>
    </font>
    <font>
      <b/>
      <sz val="12"/>
      <color rgb="FF0000CC"/>
      <name val="Tahoma"/>
      <charset val="134"/>
    </font>
    <font>
      <b/>
      <sz val="12"/>
      <color indexed="9"/>
      <name val="Tahoma"/>
      <charset val="0"/>
    </font>
    <font>
      <sz val="14"/>
      <color theme="1"/>
      <name val="宋体"/>
      <charset val="134"/>
      <scheme val="minor"/>
    </font>
    <font>
      <sz val="12"/>
      <color rgb="FF000000"/>
      <name val="Tahoma"/>
      <charset val="0"/>
    </font>
    <font>
      <sz val="12"/>
      <color theme="0" tint="-0.499984740745262"/>
      <name val="Times New Roman"/>
      <charset val="134"/>
    </font>
    <font>
      <b/>
      <sz val="12"/>
      <name val="Times New Roman"/>
      <charset val="134"/>
    </font>
    <font>
      <b/>
      <sz val="12"/>
      <color rgb="FFFFFF00"/>
      <name val="Times New Roman"/>
      <charset val="134"/>
    </font>
    <font>
      <b/>
      <sz val="12"/>
      <color rgb="FFFFFF00"/>
      <name val="宋体"/>
      <charset val="134"/>
    </font>
    <font>
      <b/>
      <sz val="12"/>
      <color theme="8" tint="0.4"/>
      <name val="宋体"/>
      <charset val="134"/>
    </font>
    <font>
      <b/>
      <sz val="12"/>
      <color theme="0"/>
      <name val="宋体"/>
      <charset val="134"/>
    </font>
    <font>
      <b/>
      <sz val="12"/>
      <color theme="8" tint="0.4"/>
      <name val="Tahoma"/>
      <charset val="134"/>
    </font>
    <font>
      <b/>
      <sz val="11"/>
      <color theme="1"/>
      <name val="宋体"/>
      <charset val="134"/>
    </font>
    <font>
      <b/>
      <sz val="11"/>
      <color theme="1"/>
      <name val="Tahoma"/>
      <charset val="134"/>
    </font>
    <font>
      <sz val="11"/>
      <name val="Tahoma"/>
      <charset val="0"/>
    </font>
    <font>
      <u/>
      <sz val="12"/>
      <name val="Tahoma"/>
      <charset val="0"/>
    </font>
    <font>
      <b/>
      <sz val="20"/>
      <color theme="1"/>
      <name val="宋体"/>
      <charset val="134"/>
      <scheme val="minor"/>
    </font>
    <font>
      <b/>
      <sz val="9"/>
      <color theme="1"/>
      <name val="宋体"/>
      <charset val="134"/>
      <scheme val="minor"/>
    </font>
    <font>
      <b/>
      <sz val="9"/>
      <color rgb="FFFF0000"/>
      <name val="宋体"/>
      <charset val="134"/>
      <scheme val="minor"/>
    </font>
    <font>
      <b/>
      <sz val="9"/>
      <color rgb="FF00B0F0"/>
      <name val="宋体"/>
      <charset val="134"/>
      <scheme val="minor"/>
    </font>
    <font>
      <b/>
      <sz val="9"/>
      <color rgb="FF00B0F0"/>
      <name val="宋体"/>
      <charset val="134"/>
    </font>
    <font>
      <b/>
      <sz val="9"/>
      <name val="宋体"/>
      <charset val="134"/>
      <scheme val="minor"/>
    </font>
    <font>
      <b/>
      <sz val="9"/>
      <color theme="8"/>
      <name val="宋体"/>
      <charset val="134"/>
      <scheme val="minor"/>
    </font>
    <font>
      <b/>
      <sz val="9"/>
      <color rgb="FF000000"/>
      <name val="宋体"/>
      <charset val="134"/>
      <scheme val="minor"/>
    </font>
    <font>
      <b/>
      <sz val="9"/>
      <color rgb="FF000000"/>
      <name val="宋体"/>
      <charset val="134"/>
    </font>
    <font>
      <sz val="9"/>
      <name val="宋体"/>
      <charset val="134"/>
      <scheme val="minor"/>
    </font>
    <font>
      <sz val="9"/>
      <color theme="1"/>
      <name val="宋体"/>
      <charset val="134"/>
      <scheme val="minor"/>
    </font>
    <font>
      <sz val="12"/>
      <name val="Calibri"/>
      <charset val="134"/>
    </font>
    <font>
      <sz val="12"/>
      <color rgb="FF000000"/>
      <name val="Calibri"/>
      <charset val="134"/>
    </font>
    <font>
      <sz val="9"/>
      <color rgb="FF000000"/>
      <name val="宋体"/>
      <charset val="134"/>
    </font>
    <font>
      <sz val="9"/>
      <name val="仿宋"/>
      <charset val="134"/>
    </font>
    <font>
      <sz val="9"/>
      <color rgb="FF000000"/>
      <name val="仿宋"/>
      <charset val="134"/>
    </font>
    <font>
      <sz val="9"/>
      <color theme="1"/>
      <name val="仿宋"/>
      <charset val="134"/>
    </font>
    <font>
      <b/>
      <sz val="11"/>
      <color theme="1"/>
      <name val="宋体"/>
      <charset val="134"/>
      <scheme val="minor"/>
    </font>
    <font>
      <b/>
      <sz val="11"/>
      <color rgb="FF000000"/>
      <name val="宋体"/>
      <charset val="134"/>
    </font>
    <font>
      <sz val="11"/>
      <color rgb="FF000000"/>
      <name val="宋体"/>
      <charset val="134"/>
    </font>
    <font>
      <sz val="9"/>
      <color rgb="FFFF0000"/>
      <name val="宋体"/>
      <charset val="134"/>
      <scheme val="minor"/>
    </font>
    <font>
      <sz val="11"/>
      <color theme="1"/>
      <name val="宋体"/>
      <charset val="134"/>
    </font>
    <font>
      <sz val="11"/>
      <color rgb="FF0000FF"/>
      <name val="宋体"/>
      <charset val="134"/>
    </font>
    <font>
      <sz val="11"/>
      <color rgb="FF0000CC"/>
      <name val="宋体"/>
      <charset val="134"/>
    </font>
    <font>
      <sz val="11"/>
      <color rgb="FF2727F0"/>
      <name val="宋体"/>
      <charset val="134"/>
    </font>
    <font>
      <sz val="11"/>
      <name val="宋体"/>
      <charset val="134"/>
    </font>
    <font>
      <sz val="11"/>
      <color rgb="FF7030A0"/>
      <name val="宋体"/>
      <charset val="134"/>
    </font>
    <font>
      <sz val="11"/>
      <color theme="9" tint="-0.25"/>
      <name val="宋体"/>
      <charset val="134"/>
    </font>
    <font>
      <sz val="11"/>
      <color rgb="FF00B0F0"/>
      <name val="宋体"/>
      <charset val="134"/>
    </font>
    <font>
      <sz val="11"/>
      <color theme="8"/>
      <name val="宋体"/>
      <charset val="134"/>
    </font>
    <font>
      <sz val="11"/>
      <color rgb="FF0000FF"/>
      <name val="宋体"/>
      <charset val="134"/>
      <scheme val="minor"/>
    </font>
    <font>
      <sz val="11"/>
      <color theme="9" tint="-0.5"/>
      <name val="宋体"/>
      <charset val="134"/>
    </font>
    <font>
      <sz val="11"/>
      <color rgb="FF2727F0"/>
      <name val="宋体"/>
      <charset val="134"/>
      <scheme val="minor"/>
    </font>
    <font>
      <sz val="11"/>
      <color rgb="FF3E2CEA"/>
      <name val="宋体"/>
      <charset val="134"/>
    </font>
    <font>
      <sz val="11"/>
      <color rgb="FF2727F0"/>
      <name val="宋体"/>
      <charset val="0"/>
      <scheme val="minor"/>
    </font>
    <font>
      <sz val="11"/>
      <color rgb="FF3E2CEA"/>
      <name val="宋体"/>
      <charset val="134"/>
      <scheme val="minor"/>
    </font>
    <font>
      <sz val="11"/>
      <color rgb="FF010CDD"/>
      <name val="宋体"/>
      <charset val="134"/>
      <scheme val="minor"/>
    </font>
    <font>
      <sz val="11"/>
      <color rgb="FF0E2EF0"/>
      <name val="宋体"/>
      <charset val="0"/>
      <scheme val="minor"/>
    </font>
    <font>
      <sz val="11"/>
      <color rgb="FF010CDD"/>
      <name val="宋体"/>
      <charset val="0"/>
    </font>
    <font>
      <sz val="11"/>
      <color rgb="FF0000CC"/>
      <name val="宋体"/>
      <charset val="134"/>
      <scheme val="minor"/>
    </font>
    <font>
      <sz val="11"/>
      <color rgb="FF000000"/>
      <name val="宋体"/>
      <charset val="134"/>
      <scheme val="minor"/>
    </font>
    <font>
      <b/>
      <sz val="11"/>
      <name val="宋体"/>
      <charset val="134"/>
    </font>
    <font>
      <b/>
      <sz val="11"/>
      <color rgb="FF0000FF"/>
      <name val="宋体"/>
      <charset val="134"/>
    </font>
    <font>
      <b/>
      <sz val="11"/>
      <color rgb="FF7030A0"/>
      <name val="宋体"/>
      <charset val="134"/>
    </font>
    <font>
      <b/>
      <sz val="11"/>
      <color rgb="FF00B0F0"/>
      <name val="宋体"/>
      <charset val="134"/>
    </font>
    <font>
      <b/>
      <sz val="11"/>
      <color rgb="FFFF0000"/>
      <name val="宋体"/>
      <charset val="134"/>
    </font>
    <font>
      <sz val="11"/>
      <color rgb="FF1C05ED"/>
      <name val="宋体"/>
      <charset val="134"/>
      <scheme val="minor"/>
    </font>
    <font>
      <sz val="11"/>
      <color rgb="FF0F49C1"/>
      <name val="宋体"/>
      <charset val="0"/>
      <scheme val="minor"/>
    </font>
    <font>
      <sz val="11"/>
      <color rgb="FF0000FF"/>
      <name val="宋体"/>
      <charset val="0"/>
    </font>
    <font>
      <sz val="11"/>
      <color rgb="FFD7343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0"/>
    </font>
    <font>
      <sz val="12"/>
      <name val="宋体"/>
      <charset val="134"/>
    </font>
    <font>
      <sz val="12"/>
      <name val="新細明體"/>
      <charset val="136"/>
    </font>
    <font>
      <sz val="10"/>
      <name val="Arial"/>
      <charset val="134"/>
    </font>
    <font>
      <sz val="10"/>
      <name val="Arial"/>
      <charset val="0"/>
    </font>
    <font>
      <sz val="11"/>
      <color rgb="FF000000"/>
      <name val="宋体"/>
      <charset val="0"/>
    </font>
    <font>
      <sz val="10"/>
      <name val="宋体"/>
      <charset val="134"/>
    </font>
    <font>
      <sz val="10"/>
      <name val="宋体"/>
      <charset val="0"/>
    </font>
    <font>
      <sz val="11"/>
      <color rgb="FF0000FF"/>
      <name val="Arial"/>
      <charset val="134"/>
    </font>
    <font>
      <sz val="12"/>
      <color rgb="FF000000"/>
      <name val="宋体"/>
      <charset val="134"/>
      <scheme val="minor"/>
    </font>
    <font>
      <sz val="12"/>
      <color indexed="8"/>
      <name val="宋体"/>
      <charset val="134"/>
    </font>
    <font>
      <sz val="12"/>
      <color rgb="FF000000"/>
      <name val="宋体"/>
      <charset val="134"/>
    </font>
    <font>
      <sz val="10"/>
      <color rgb="FFFF0000"/>
      <name val="宋体"/>
      <charset val="134"/>
      <scheme val="minor"/>
    </font>
    <font>
      <b/>
      <sz val="12"/>
      <color indexed="12"/>
      <name val="宋体"/>
      <charset val="134"/>
    </font>
    <font>
      <b/>
      <sz val="12"/>
      <color indexed="12"/>
      <name val="Tahoma"/>
      <charset val="0"/>
    </font>
    <font>
      <b/>
      <sz val="12"/>
      <color indexed="10"/>
      <name val="宋体"/>
      <charset val="134"/>
    </font>
    <font>
      <b/>
      <sz val="12"/>
      <color indexed="10"/>
      <name val="Tahoma"/>
      <charset val="0"/>
    </font>
    <font>
      <sz val="12"/>
      <color rgb="FF000000"/>
      <name val="等线"/>
      <charset val="134"/>
    </font>
    <font>
      <b/>
      <sz val="14"/>
      <name val="宋体"/>
      <charset val="134"/>
    </font>
    <font>
      <sz val="11"/>
      <name val="宋体"/>
      <charset val="134"/>
    </font>
    <font>
      <sz val="10"/>
      <name val="宋体"/>
      <charset val="134"/>
    </font>
    <font>
      <b/>
      <sz val="12"/>
      <name val="宋体"/>
      <charset val="134"/>
    </font>
    <font>
      <b/>
      <sz val="9"/>
      <name val="宋体"/>
      <charset val="0"/>
    </font>
    <font>
      <sz val="9"/>
      <name val="宋体"/>
      <charset val="0"/>
    </font>
    <font>
      <sz val="16"/>
      <name val="宋体"/>
      <charset val="134"/>
    </font>
    <font>
      <sz val="12"/>
      <name val="宋体"/>
      <charset val="134"/>
    </font>
    <font>
      <sz val="14"/>
      <name val="宋体"/>
      <charset val="134"/>
    </font>
    <font>
      <sz val="9"/>
      <name val="宋体"/>
      <charset val="134"/>
    </font>
    <font>
      <b/>
      <sz val="11"/>
      <name val="宋体"/>
      <charset val="134"/>
    </font>
    <font>
      <b/>
      <sz val="9"/>
      <name val="宋体"/>
      <charset val="134"/>
    </font>
  </fonts>
  <fills count="51">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5FF1BE"/>
        <bgColor indexed="64"/>
      </patternFill>
    </fill>
    <fill>
      <patternFill patternType="solid">
        <fgColor indexed="9"/>
        <bgColor indexed="64"/>
      </patternFill>
    </fill>
    <fill>
      <patternFill patternType="solid">
        <fgColor rgb="FF99FF99"/>
        <bgColor indexed="64"/>
      </patternFill>
    </fill>
    <fill>
      <patternFill patternType="solid">
        <fgColor theme="8" tint="0.799981688894314"/>
        <bgColor indexed="64"/>
      </patternFill>
    </fill>
    <fill>
      <patternFill patternType="solid">
        <fgColor rgb="FFFFFF99"/>
        <bgColor indexed="64"/>
      </patternFill>
    </fill>
    <fill>
      <patternFill patternType="solid">
        <fgColor theme="1" tint="0.349986266670736"/>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1" tint="0.499984740745262"/>
        <bgColor indexed="64"/>
      </patternFill>
    </fill>
    <fill>
      <patternFill patternType="solid">
        <fgColor theme="4" tint="0.6"/>
        <bgColor indexed="64"/>
      </patternFill>
    </fill>
    <fill>
      <patternFill patternType="solid">
        <fgColor theme="3" tint="0.8"/>
        <bgColor indexed="64"/>
      </patternFill>
    </fill>
    <fill>
      <patternFill patternType="solid">
        <fgColor rgb="FF92D050"/>
        <bgColor indexed="64"/>
      </patternFill>
    </fill>
    <fill>
      <patternFill patternType="solid">
        <fgColor theme="0"/>
        <bgColor indexed="64"/>
      </patternFill>
    </fill>
    <fill>
      <patternFill patternType="solid">
        <fgColor rgb="FFFFFFFF"/>
        <bgColor indexed="64"/>
      </patternFill>
    </fill>
    <fill>
      <patternFill patternType="solid">
        <fgColor rgb="FFFFB6C1"/>
        <bgColor indexed="64"/>
      </patternFill>
    </fill>
    <fill>
      <patternFill patternType="solid">
        <fgColor rgb="FFC6EFCE"/>
        <bgColor indexed="64"/>
      </patternFill>
    </fill>
    <fill>
      <patternFill patternType="solid">
        <fgColor theme="6"/>
        <bgColor indexed="64"/>
      </patternFill>
    </fill>
    <fill>
      <patternFill patternType="solid">
        <fgColor rgb="FF70AD47"/>
        <bgColor indexed="64"/>
      </patternFill>
    </fill>
    <fill>
      <patternFill patternType="solid">
        <fgColor rgb="FFED7D31"/>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0" fillId="26" borderId="46" applyNumberFormat="0" applyFont="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47" applyNumberFormat="0" applyFill="0" applyAlignment="0" applyProtection="0">
      <alignment vertical="center"/>
    </xf>
    <xf numFmtId="0" fontId="106" fillId="0" borderId="47" applyNumberFormat="0" applyFill="0" applyAlignment="0" applyProtection="0">
      <alignment vertical="center"/>
    </xf>
    <xf numFmtId="0" fontId="107" fillId="0" borderId="48" applyNumberFormat="0" applyFill="0" applyAlignment="0" applyProtection="0">
      <alignment vertical="center"/>
    </xf>
    <xf numFmtId="0" fontId="107" fillId="0" borderId="0" applyNumberFormat="0" applyFill="0" applyBorder="0" applyAlignment="0" applyProtection="0">
      <alignment vertical="center"/>
    </xf>
    <xf numFmtId="0" fontId="108" fillId="27" borderId="49" applyNumberFormat="0" applyAlignment="0" applyProtection="0">
      <alignment vertical="center"/>
    </xf>
    <xf numFmtId="0" fontId="109" fillId="28" borderId="50" applyNumberFormat="0" applyAlignment="0" applyProtection="0">
      <alignment vertical="center"/>
    </xf>
    <xf numFmtId="0" fontId="110" fillId="28" borderId="49" applyNumberFormat="0" applyAlignment="0" applyProtection="0">
      <alignment vertical="center"/>
    </xf>
    <xf numFmtId="0" fontId="111" fillId="29" borderId="51" applyNumberFormat="0" applyAlignment="0" applyProtection="0">
      <alignment vertical="center"/>
    </xf>
    <xf numFmtId="0" fontId="112" fillId="0" borderId="52" applyNumberFormat="0" applyFill="0" applyAlignment="0" applyProtection="0">
      <alignment vertical="center"/>
    </xf>
    <xf numFmtId="0" fontId="113" fillId="0" borderId="53" applyNumberFormat="0" applyFill="0" applyAlignment="0" applyProtection="0">
      <alignment vertical="center"/>
    </xf>
    <xf numFmtId="0" fontId="114" fillId="21" borderId="0" applyNumberFormat="0" applyBorder="0" applyAlignment="0" applyProtection="0">
      <alignment vertical="center"/>
    </xf>
    <xf numFmtId="0" fontId="115" fillId="30" borderId="0" applyNumberFormat="0" applyBorder="0" applyAlignment="0" applyProtection="0">
      <alignment vertical="center"/>
    </xf>
    <xf numFmtId="0" fontId="116" fillId="31" borderId="0" applyNumberFormat="0" applyBorder="0" applyAlignment="0" applyProtection="0">
      <alignment vertical="center"/>
    </xf>
    <xf numFmtId="0" fontId="117" fillId="32" borderId="0" applyNumberFormat="0" applyBorder="0" applyAlignment="0" applyProtection="0">
      <alignment vertical="center"/>
    </xf>
    <xf numFmtId="0" fontId="118" fillId="33" borderId="0" applyNumberFormat="0" applyBorder="0" applyAlignment="0" applyProtection="0">
      <alignment vertical="center"/>
    </xf>
    <xf numFmtId="0" fontId="118" fillId="34" borderId="0" applyNumberFormat="0" applyBorder="0" applyAlignment="0" applyProtection="0">
      <alignment vertical="center"/>
    </xf>
    <xf numFmtId="0" fontId="117" fillId="35" borderId="0" applyNumberFormat="0" applyBorder="0" applyAlignment="0" applyProtection="0">
      <alignment vertical="center"/>
    </xf>
    <xf numFmtId="0" fontId="117" fillId="36" borderId="0" applyNumberFormat="0" applyBorder="0" applyAlignment="0" applyProtection="0">
      <alignment vertical="center"/>
    </xf>
    <xf numFmtId="0" fontId="118" fillId="37" borderId="0" applyNumberFormat="0" applyBorder="0" applyAlignment="0" applyProtection="0">
      <alignment vertical="center"/>
    </xf>
    <xf numFmtId="0" fontId="118" fillId="38" borderId="0" applyNumberFormat="0" applyBorder="0" applyAlignment="0" applyProtection="0">
      <alignment vertical="center"/>
    </xf>
    <xf numFmtId="0" fontId="117" fillId="39" borderId="0" applyNumberFormat="0" applyBorder="0" applyAlignment="0" applyProtection="0">
      <alignment vertical="center"/>
    </xf>
    <xf numFmtId="0" fontId="117" fillId="22" borderId="0" applyNumberFormat="0" applyBorder="0" applyAlignment="0" applyProtection="0">
      <alignment vertical="center"/>
    </xf>
    <xf numFmtId="0" fontId="118" fillId="11" borderId="0" applyNumberFormat="0" applyBorder="0" applyAlignment="0" applyProtection="0">
      <alignment vertical="center"/>
    </xf>
    <xf numFmtId="0" fontId="118" fillId="13" borderId="0" applyNumberFormat="0" applyBorder="0" applyAlignment="0" applyProtection="0">
      <alignment vertical="center"/>
    </xf>
    <xf numFmtId="0" fontId="117" fillId="40" borderId="0" applyNumberFormat="0" applyBorder="0" applyAlignment="0" applyProtection="0">
      <alignment vertical="center"/>
    </xf>
    <xf numFmtId="0" fontId="117" fillId="41" borderId="0" applyNumberFormat="0" applyBorder="0" applyAlignment="0" applyProtection="0">
      <alignment vertical="center"/>
    </xf>
    <xf numFmtId="0" fontId="118" fillId="42" borderId="0" applyNumberFormat="0" applyBorder="0" applyAlignment="0" applyProtection="0">
      <alignment vertical="center"/>
    </xf>
    <xf numFmtId="0" fontId="118" fillId="43" borderId="0" applyNumberFormat="0" applyBorder="0" applyAlignment="0" applyProtection="0">
      <alignment vertical="center"/>
    </xf>
    <xf numFmtId="0" fontId="117" fillId="44" borderId="0" applyNumberFormat="0" applyBorder="0" applyAlignment="0" applyProtection="0">
      <alignment vertical="center"/>
    </xf>
    <xf numFmtId="0" fontId="117" fillId="45" borderId="0" applyNumberFormat="0" applyBorder="0" applyAlignment="0" applyProtection="0">
      <alignment vertical="center"/>
    </xf>
    <xf numFmtId="0" fontId="118" fillId="8" borderId="0" applyNumberFormat="0" applyBorder="0" applyAlignment="0" applyProtection="0">
      <alignment vertical="center"/>
    </xf>
    <xf numFmtId="0" fontId="118" fillId="46" borderId="0" applyNumberFormat="0" applyBorder="0" applyAlignment="0" applyProtection="0">
      <alignment vertical="center"/>
    </xf>
    <xf numFmtId="0" fontId="117" fillId="47" borderId="0" applyNumberFormat="0" applyBorder="0" applyAlignment="0" applyProtection="0">
      <alignment vertical="center"/>
    </xf>
    <xf numFmtId="0" fontId="117" fillId="48" borderId="0" applyNumberFormat="0" applyBorder="0" applyAlignment="0" applyProtection="0">
      <alignment vertical="center"/>
    </xf>
    <xf numFmtId="0" fontId="118" fillId="12" borderId="0" applyNumberFormat="0" applyBorder="0" applyAlignment="0" applyProtection="0">
      <alignment vertical="center"/>
    </xf>
    <xf numFmtId="0" fontId="118" fillId="49" borderId="0" applyNumberFormat="0" applyBorder="0" applyAlignment="0" applyProtection="0">
      <alignment vertical="center"/>
    </xf>
    <xf numFmtId="0" fontId="117" fillId="50" borderId="0" applyNumberFormat="0" applyBorder="0" applyAlignment="0" applyProtection="0">
      <alignment vertical="center"/>
    </xf>
    <xf numFmtId="0" fontId="119" fillId="0" borderId="0"/>
    <xf numFmtId="0" fontId="120" fillId="0" borderId="0">
      <alignment vertical="center"/>
    </xf>
    <xf numFmtId="0" fontId="121" fillId="0" borderId="0">
      <alignment vertical="center"/>
    </xf>
    <xf numFmtId="0" fontId="120" fillId="0" borderId="0"/>
    <xf numFmtId="0" fontId="0" fillId="0" borderId="0"/>
    <xf numFmtId="0" fontId="122" fillId="0" borderId="0"/>
    <xf numFmtId="176" fontId="123" fillId="0" borderId="0" applyFont="0" applyFill="0" applyBorder="0" applyAlignment="0" applyProtection="0">
      <alignment vertical="center"/>
    </xf>
  </cellStyleXfs>
  <cellXfs count="1413">
    <xf numFmtId="0" fontId="0" fillId="0" borderId="0" xfId="0">
      <alignment vertical="center"/>
    </xf>
    <xf numFmtId="177" fontId="1" fillId="0" borderId="1" xfId="0" applyNumberFormat="1" applyFont="1" applyBorder="1" applyAlignment="1">
      <alignment horizontal="center" vertical="center"/>
    </xf>
    <xf numFmtId="0" fontId="2" fillId="0" borderId="0" xfId="0" applyFont="1">
      <alignment vertical="center"/>
    </xf>
    <xf numFmtId="0" fontId="3"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3" fillId="2" borderId="2" xfId="0" applyFont="1" applyFill="1" applyBorder="1" applyAlignment="1">
      <alignment horizontal="center" vertical="center"/>
    </xf>
    <xf numFmtId="0" fontId="5" fillId="0" borderId="2" xfId="0" applyFont="1" applyFill="1" applyBorder="1" applyAlignment="1">
      <alignment horizontal="center" vertical="center"/>
    </xf>
    <xf numFmtId="0" fontId="4" fillId="0" borderId="0" xfId="0" applyFont="1" applyFill="1" applyAlignment="1">
      <alignment horizontal="center" vertical="center"/>
    </xf>
    <xf numFmtId="0" fontId="3" fillId="0" borderId="2" xfId="0" applyFont="1" applyFill="1" applyBorder="1" applyAlignment="1" applyProtection="1">
      <alignment horizontal="center" vertical="center"/>
      <protection locked="0"/>
    </xf>
    <xf numFmtId="0" fontId="4" fillId="0" borderId="2" xfId="0"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4" fillId="0" borderId="0" xfId="0" applyFont="1" applyFill="1" applyProtection="1">
      <alignment vertical="center"/>
      <protection locked="0"/>
    </xf>
    <xf numFmtId="0" fontId="0" fillId="0" borderId="0" xfId="0" applyFill="1" applyProtection="1">
      <alignment vertical="center"/>
      <protection locked="0"/>
    </xf>
    <xf numFmtId="0" fontId="4" fillId="0" borderId="0" xfId="0" applyFont="1" applyFill="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0" fontId="6" fillId="0" borderId="0" xfId="0" applyFont="1" applyFill="1" applyProtection="1">
      <alignment vertical="center"/>
      <protection locked="0"/>
    </xf>
    <xf numFmtId="0" fontId="6" fillId="0" borderId="0" xfId="0" applyFont="1" applyFill="1" applyAlignment="1" applyProtection="1">
      <alignment horizontal="center" vertical="center"/>
      <protection locked="0"/>
    </xf>
    <xf numFmtId="178" fontId="7" fillId="0" borderId="2" xfId="0" applyNumberFormat="1" applyFont="1" applyFill="1" applyBorder="1" applyAlignment="1">
      <alignment horizontal="center" vertical="center" wrapText="1" shrinkToFit="1"/>
    </xf>
    <xf numFmtId="0" fontId="7" fillId="0" borderId="2" xfId="0" applyFont="1" applyFill="1" applyBorder="1" applyAlignment="1">
      <alignment horizontal="center" vertical="center" wrapText="1" shrinkToFit="1"/>
    </xf>
    <xf numFmtId="49" fontId="7" fillId="0" borderId="2" xfId="0" applyNumberFormat="1" applyFont="1" applyFill="1" applyBorder="1" applyAlignment="1">
      <alignment horizontal="center" vertical="center" wrapText="1" shrinkToFit="1"/>
    </xf>
    <xf numFmtId="179" fontId="8" fillId="0" borderId="2" xfId="0" applyNumberFormat="1" applyFont="1" applyFill="1" applyBorder="1" applyAlignment="1">
      <alignment horizontal="center" vertical="center" wrapText="1" shrinkToFit="1"/>
    </xf>
    <xf numFmtId="180" fontId="8" fillId="0" borderId="2" xfId="0" applyNumberFormat="1" applyFont="1" applyFill="1" applyBorder="1" applyAlignment="1">
      <alignment horizontal="center" vertical="center" wrapText="1" shrinkToFit="1"/>
    </xf>
    <xf numFmtId="181" fontId="7" fillId="0" borderId="2" xfId="0" applyNumberFormat="1" applyFont="1" applyFill="1" applyBorder="1" applyAlignment="1">
      <alignment horizontal="center" vertical="center" wrapText="1" shrinkToFit="1"/>
    </xf>
    <xf numFmtId="0" fontId="7" fillId="0" borderId="2" xfId="0" applyNumberFormat="1" applyFont="1" applyFill="1" applyBorder="1" applyAlignment="1">
      <alignment horizontal="center" vertical="center" wrapText="1" shrinkToFit="1"/>
    </xf>
    <xf numFmtId="0" fontId="9" fillId="0" borderId="2" xfId="0" applyFont="1" applyFill="1" applyBorder="1" applyAlignment="1">
      <alignment horizontal="center" vertical="center" wrapText="1" shrinkToFit="1"/>
    </xf>
    <xf numFmtId="182" fontId="7" fillId="0" borderId="2" xfId="0" applyNumberFormat="1" applyFont="1" applyFill="1" applyBorder="1" applyAlignment="1">
      <alignment horizontal="center" vertical="center" wrapText="1" shrinkToFit="1"/>
    </xf>
    <xf numFmtId="0" fontId="10" fillId="0" borderId="2" xfId="0" applyFont="1" applyFill="1" applyBorder="1" applyAlignment="1">
      <alignment horizontal="center" vertical="center" wrapText="1" shrinkToFit="1"/>
    </xf>
    <xf numFmtId="0" fontId="11" fillId="0" borderId="2"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11" fillId="0" borderId="2" xfId="0" applyFont="1" applyFill="1" applyBorder="1" applyAlignment="1">
      <alignment horizontal="center" vertical="center"/>
    </xf>
    <xf numFmtId="181" fontId="6" fillId="0" borderId="3" xfId="0" applyNumberFormat="1" applyFont="1" applyFill="1" applyBorder="1" applyAlignment="1">
      <alignment horizontal="center" vertical="center" wrapText="1" shrinkToFit="1"/>
    </xf>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wrapText="1" shrinkToFit="1"/>
    </xf>
    <xf numFmtId="0" fontId="3" fillId="0" borderId="2" xfId="0" applyFont="1" applyFill="1" applyBorder="1" applyAlignment="1">
      <alignment horizontal="center" vertical="center" wrapText="1" shrinkToFit="1"/>
    </xf>
    <xf numFmtId="183" fontId="3" fillId="0" borderId="2" xfId="0" applyNumberFormat="1" applyFont="1" applyFill="1" applyBorder="1" applyAlignment="1">
      <alignment horizontal="center" vertical="center" wrapText="1" shrinkToFit="1"/>
    </xf>
    <xf numFmtId="181" fontId="3" fillId="0" borderId="2" xfId="0" applyNumberFormat="1" applyFont="1" applyFill="1" applyBorder="1" applyAlignment="1">
      <alignment horizontal="center" vertical="center" wrapText="1" shrinkToFit="1"/>
    </xf>
    <xf numFmtId="0" fontId="3" fillId="0" borderId="2" xfId="0" applyNumberFormat="1" applyFont="1" applyFill="1" applyBorder="1" applyAlignment="1">
      <alignment horizontal="center" vertical="center" wrapText="1" shrinkToFit="1"/>
    </xf>
    <xf numFmtId="182" fontId="3" fillId="0" borderId="4" xfId="0" applyNumberFormat="1" applyFont="1" applyFill="1" applyBorder="1" applyAlignment="1">
      <alignment horizontal="center" vertical="center" wrapText="1" shrinkToFit="1"/>
    </xf>
    <xf numFmtId="0" fontId="3" fillId="2"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180" fontId="3" fillId="0" borderId="2" xfId="0" applyNumberFormat="1" applyFont="1" applyFill="1" applyBorder="1" applyAlignment="1">
      <alignment horizontal="center" vertical="center" wrapText="1" shrinkToFit="1"/>
    </xf>
    <xf numFmtId="0" fontId="3" fillId="0" borderId="3" xfId="0" applyFont="1" applyFill="1" applyBorder="1" applyAlignment="1">
      <alignment horizontal="center" vertical="center" wrapText="1" shrinkToFit="1"/>
    </xf>
    <xf numFmtId="0" fontId="3" fillId="3" borderId="3" xfId="0" applyFont="1" applyFill="1" applyBorder="1" applyAlignment="1">
      <alignment horizontal="center" vertical="center" wrapText="1" shrinkToFit="1"/>
    </xf>
    <xf numFmtId="0" fontId="3" fillId="3" borderId="4" xfId="0" applyFont="1" applyFill="1" applyBorder="1" applyAlignment="1">
      <alignment horizontal="center" vertical="center" wrapText="1" shrinkToFit="1"/>
    </xf>
    <xf numFmtId="0" fontId="3" fillId="3" borderId="2" xfId="0" applyFont="1" applyFill="1" applyBorder="1" applyAlignment="1">
      <alignment horizontal="center" vertical="center" wrapText="1" shrinkToFit="1"/>
    </xf>
    <xf numFmtId="0" fontId="3" fillId="3" borderId="4" xfId="0" applyFont="1" applyFill="1" applyBorder="1" applyAlignment="1">
      <alignment vertical="center" wrapText="1" shrinkToFit="1"/>
    </xf>
    <xf numFmtId="183" fontId="4" fillId="0" borderId="2" xfId="0" applyNumberFormat="1" applyFont="1" applyFill="1" applyBorder="1" applyAlignment="1">
      <alignment horizontal="center" vertical="center"/>
    </xf>
    <xf numFmtId="184" fontId="3" fillId="0" borderId="2" xfId="0" applyNumberFormat="1" applyFont="1" applyFill="1" applyBorder="1" applyAlignment="1">
      <alignment horizontal="center" vertical="center"/>
    </xf>
    <xf numFmtId="49" fontId="4" fillId="0" borderId="2" xfId="0" applyNumberFormat="1" applyFont="1" applyFill="1" applyBorder="1" applyAlignment="1">
      <alignment horizontal="center" vertical="center" wrapText="1" shrinkToFit="1"/>
    </xf>
    <xf numFmtId="183" fontId="4" fillId="0" borderId="2" xfId="0" applyNumberFormat="1" applyFont="1" applyFill="1" applyBorder="1" applyAlignment="1">
      <alignment horizontal="center" vertical="center" wrapText="1" shrinkToFit="1"/>
    </xf>
    <xf numFmtId="0" fontId="4" fillId="0" borderId="2" xfId="0" applyNumberFormat="1" applyFont="1" applyFill="1" applyBorder="1" applyAlignment="1">
      <alignment horizontal="center" vertical="center" wrapText="1" shrinkToFit="1"/>
    </xf>
    <xf numFmtId="182" fontId="4" fillId="0" borderId="2" xfId="0" applyNumberFormat="1" applyFont="1" applyFill="1" applyBorder="1" applyAlignment="1">
      <alignment horizontal="center" vertical="center" wrapText="1" shrinkToFit="1"/>
    </xf>
    <xf numFmtId="0" fontId="4" fillId="3" borderId="2" xfId="0" applyFont="1" applyFill="1" applyBorder="1" applyAlignment="1">
      <alignment horizontal="center" vertical="center" wrapText="1"/>
    </xf>
    <xf numFmtId="181" fontId="4" fillId="0" borderId="2" xfId="0" applyNumberFormat="1" applyFont="1" applyFill="1" applyBorder="1" applyAlignment="1">
      <alignment horizontal="center" vertical="center" wrapText="1" shrinkToFit="1"/>
    </xf>
    <xf numFmtId="180" fontId="4" fillId="0" borderId="2" xfId="0" applyNumberFormat="1" applyFont="1" applyFill="1" applyBorder="1" applyAlignment="1">
      <alignment horizontal="center" vertical="center" wrapText="1" shrinkToFit="1"/>
    </xf>
    <xf numFmtId="0" fontId="4" fillId="0" borderId="3" xfId="0" applyNumberFormat="1" applyFont="1" applyFill="1" applyBorder="1" applyAlignment="1">
      <alignment horizontal="center" vertical="center" wrapText="1" shrinkToFit="1"/>
    </xf>
    <xf numFmtId="0" fontId="4" fillId="0" borderId="3" xfId="0" applyFont="1" applyFill="1" applyBorder="1" applyAlignment="1">
      <alignment horizontal="center" vertical="center" wrapText="1" shrinkToFit="1"/>
    </xf>
    <xf numFmtId="0" fontId="3" fillId="0" borderId="4" xfId="0" applyFont="1" applyFill="1" applyBorder="1" applyAlignment="1">
      <alignment horizontal="center" vertical="center" wrapText="1" shrinkToFit="1"/>
    </xf>
    <xf numFmtId="0" fontId="3" fillId="0" borderId="4" xfId="0" applyFont="1" applyFill="1" applyBorder="1" applyAlignment="1">
      <alignment vertical="center" wrapText="1" shrinkToFit="1"/>
    </xf>
    <xf numFmtId="185" fontId="4" fillId="0" borderId="2" xfId="0" applyNumberFormat="1" applyFont="1" applyFill="1" applyBorder="1" applyAlignment="1">
      <alignment horizontal="center" vertical="center" wrapText="1" shrinkToFit="1"/>
    </xf>
    <xf numFmtId="0" fontId="4" fillId="2" borderId="2" xfId="0" applyFont="1" applyFill="1" applyBorder="1" applyAlignment="1">
      <alignment horizontal="center" vertical="center"/>
    </xf>
    <xf numFmtId="0" fontId="4" fillId="0" borderId="2" xfId="0" applyFont="1" applyFill="1" applyBorder="1">
      <alignment vertical="center"/>
    </xf>
    <xf numFmtId="181" fontId="6" fillId="2" borderId="3" xfId="0" applyNumberFormat="1" applyFont="1" applyFill="1" applyBorder="1" applyAlignment="1">
      <alignment horizontal="center" vertical="center" wrapText="1" shrinkToFit="1"/>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wrapText="1" shrinkToFit="1"/>
    </xf>
    <xf numFmtId="49" fontId="4" fillId="2" borderId="2" xfId="0" applyNumberFormat="1" applyFont="1" applyFill="1" applyBorder="1" applyAlignment="1">
      <alignment horizontal="center" vertical="center" wrapText="1" shrinkToFit="1"/>
    </xf>
    <xf numFmtId="0" fontId="3" fillId="2" borderId="2" xfId="0" applyFont="1" applyFill="1" applyBorder="1" applyAlignment="1">
      <alignment horizontal="center" vertical="center" wrapText="1" shrinkToFit="1"/>
    </xf>
    <xf numFmtId="183" fontId="3" fillId="2" borderId="2" xfId="0" applyNumberFormat="1" applyFont="1" applyFill="1" applyBorder="1" applyAlignment="1">
      <alignment horizontal="center" vertical="center" wrapText="1" shrinkToFit="1"/>
    </xf>
    <xf numFmtId="181" fontId="3" fillId="2" borderId="2" xfId="0" applyNumberFormat="1" applyFont="1" applyFill="1" applyBorder="1" applyAlignment="1">
      <alignment horizontal="center" vertical="center" wrapText="1" shrinkToFit="1"/>
    </xf>
    <xf numFmtId="0" fontId="3" fillId="2" borderId="2" xfId="0" applyNumberFormat="1" applyFont="1" applyFill="1" applyBorder="1" applyAlignment="1">
      <alignment horizontal="center" vertical="center" wrapText="1" shrinkToFit="1"/>
    </xf>
    <xf numFmtId="182" fontId="4" fillId="2" borderId="4" xfId="0" applyNumberFormat="1" applyFont="1" applyFill="1" applyBorder="1" applyAlignment="1">
      <alignment horizontal="center" vertical="center" wrapText="1" shrinkToFit="1"/>
    </xf>
    <xf numFmtId="182" fontId="3" fillId="2" borderId="4" xfId="0" applyNumberFormat="1" applyFont="1" applyFill="1" applyBorder="1" applyAlignment="1">
      <alignment horizontal="center" vertical="center" wrapText="1" shrinkToFit="1"/>
    </xf>
    <xf numFmtId="0" fontId="3" fillId="2" borderId="4" xfId="0" applyFont="1" applyFill="1" applyBorder="1" applyAlignment="1">
      <alignment horizontal="center" vertical="center" wrapText="1"/>
    </xf>
    <xf numFmtId="181" fontId="4" fillId="2" borderId="2" xfId="0" applyNumberFormat="1" applyFont="1" applyFill="1" applyBorder="1" applyAlignment="1">
      <alignment horizontal="center" vertical="center" wrapText="1" shrinkToFit="1"/>
    </xf>
    <xf numFmtId="186" fontId="3" fillId="2" borderId="2" xfId="0" applyNumberFormat="1" applyFont="1" applyFill="1" applyBorder="1" applyAlignment="1">
      <alignment horizontal="center" vertical="center" wrapText="1"/>
    </xf>
    <xf numFmtId="180" fontId="3" fillId="2" borderId="2" xfId="0" applyNumberFormat="1" applyFont="1" applyFill="1" applyBorder="1" applyAlignment="1">
      <alignment horizontal="center" vertical="center" wrapText="1" shrinkToFit="1"/>
    </xf>
    <xf numFmtId="0" fontId="3" fillId="2" borderId="3"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0" fontId="3" fillId="2" borderId="4" xfId="0" applyFont="1" applyFill="1" applyBorder="1" applyAlignment="1">
      <alignment vertical="center" wrapText="1" shrinkToFit="1"/>
    </xf>
    <xf numFmtId="183" fontId="4" fillId="2" borderId="2" xfId="0" applyNumberFormat="1" applyFont="1" applyFill="1" applyBorder="1" applyAlignment="1">
      <alignment horizontal="center" vertical="center"/>
    </xf>
    <xf numFmtId="184" fontId="3" fillId="2" borderId="2" xfId="0" applyNumberFormat="1" applyFont="1" applyFill="1" applyBorder="1" applyAlignment="1">
      <alignment horizontal="center" vertical="center"/>
    </xf>
    <xf numFmtId="181" fontId="13" fillId="0" borderId="3" xfId="0" applyNumberFormat="1" applyFont="1" applyFill="1" applyBorder="1" applyAlignment="1">
      <alignment horizontal="center" vertical="center" wrapText="1" shrinkToFit="1"/>
    </xf>
    <xf numFmtId="0" fontId="14"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shrinkToFit="1"/>
    </xf>
    <xf numFmtId="0" fontId="5" fillId="0" borderId="2" xfId="0" applyFont="1" applyFill="1" applyBorder="1" applyAlignment="1">
      <alignment horizontal="center" vertical="center" wrapText="1" shrinkToFit="1"/>
    </xf>
    <xf numFmtId="183" fontId="5" fillId="0" borderId="2" xfId="0" applyNumberFormat="1" applyFont="1" applyFill="1" applyBorder="1" applyAlignment="1">
      <alignment horizontal="center" vertical="center" wrapText="1" shrinkToFit="1"/>
    </xf>
    <xf numFmtId="181" fontId="5" fillId="0" borderId="2" xfId="0" applyNumberFormat="1" applyFont="1" applyFill="1" applyBorder="1" applyAlignment="1">
      <alignment horizontal="center" vertical="center" wrapText="1" shrinkToFit="1"/>
    </xf>
    <xf numFmtId="181" fontId="5" fillId="4" borderId="2" xfId="0" applyNumberFormat="1" applyFont="1" applyFill="1" applyBorder="1" applyAlignment="1">
      <alignment horizontal="center" vertical="center" wrapText="1" shrinkToFit="1"/>
    </xf>
    <xf numFmtId="0" fontId="5" fillId="0" borderId="2" xfId="0" applyNumberFormat="1" applyFont="1" applyFill="1" applyBorder="1" applyAlignment="1">
      <alignment horizontal="center" vertical="center" wrapText="1" shrinkToFit="1"/>
    </xf>
    <xf numFmtId="182" fontId="14" fillId="0" borderId="4" xfId="0" applyNumberFormat="1" applyFont="1" applyFill="1" applyBorder="1" applyAlignment="1">
      <alignment horizontal="center" vertical="center" wrapText="1" shrinkToFit="1"/>
    </xf>
    <xf numFmtId="182" fontId="14" fillId="0" borderId="2" xfId="0" applyNumberFormat="1" applyFont="1" applyFill="1" applyBorder="1" applyAlignment="1">
      <alignment horizontal="center" vertical="center" wrapText="1" shrinkToFit="1"/>
    </xf>
    <xf numFmtId="182" fontId="5" fillId="0" borderId="4" xfId="0" applyNumberFormat="1" applyFont="1" applyFill="1" applyBorder="1" applyAlignment="1">
      <alignment horizontal="center" vertical="center" wrapText="1" shrinkToFit="1"/>
    </xf>
    <xf numFmtId="182" fontId="5" fillId="0" borderId="5" xfId="0" applyNumberFormat="1" applyFont="1" applyFill="1" applyBorder="1" applyAlignment="1">
      <alignment horizontal="center" vertical="center" wrapText="1" shrinkToFit="1"/>
    </xf>
    <xf numFmtId="0" fontId="5" fillId="0" borderId="2" xfId="0" applyFont="1" applyFill="1" applyBorder="1" applyAlignment="1">
      <alignment horizontal="center" vertical="center" wrapText="1"/>
    </xf>
    <xf numFmtId="0" fontId="5" fillId="0" borderId="6" xfId="0" applyFont="1" applyFill="1" applyBorder="1" applyAlignment="1">
      <alignment horizontal="center" vertical="center" wrapText="1"/>
    </xf>
    <xf numFmtId="180" fontId="5" fillId="0" borderId="2" xfId="0" applyNumberFormat="1" applyFont="1" applyFill="1" applyBorder="1" applyAlignment="1">
      <alignment horizontal="center" vertical="center" wrapText="1" shrinkToFit="1"/>
    </xf>
    <xf numFmtId="0" fontId="5" fillId="2" borderId="2" xfId="0" applyFont="1" applyFill="1" applyBorder="1" applyAlignment="1">
      <alignment horizontal="center" vertical="center" wrapText="1" shrinkToFit="1"/>
    </xf>
    <xf numFmtId="0" fontId="5" fillId="3" borderId="3" xfId="0" applyFont="1" applyFill="1" applyBorder="1" applyAlignment="1">
      <alignment horizontal="center" vertical="center" wrapText="1" shrinkToFit="1"/>
    </xf>
    <xf numFmtId="0" fontId="5" fillId="3" borderId="2" xfId="0" applyFont="1" applyFill="1" applyBorder="1" applyAlignment="1">
      <alignment horizontal="center" vertical="center" wrapText="1" shrinkToFit="1"/>
    </xf>
    <xf numFmtId="0" fontId="5" fillId="3" borderId="2" xfId="0" applyFont="1" applyFill="1" applyBorder="1" applyAlignment="1">
      <alignment vertical="center" wrapText="1" shrinkToFit="1"/>
    </xf>
    <xf numFmtId="0" fontId="14" fillId="0" borderId="2" xfId="0" applyFont="1" applyFill="1" applyBorder="1" applyAlignment="1">
      <alignment horizontal="center" vertical="center"/>
    </xf>
    <xf numFmtId="183" fontId="14" fillId="0" borderId="2" xfId="0" applyNumberFormat="1" applyFont="1" applyFill="1" applyBorder="1" applyAlignment="1">
      <alignment horizontal="center" vertical="center"/>
    </xf>
    <xf numFmtId="184" fontId="5" fillId="0" borderId="2" xfId="0" applyNumberFormat="1" applyFont="1" applyFill="1" applyBorder="1" applyAlignment="1">
      <alignment horizontal="center" vertical="center"/>
    </xf>
    <xf numFmtId="181" fontId="6" fillId="0" borderId="2" xfId="0" applyNumberFormat="1" applyFont="1" applyFill="1" applyBorder="1" applyAlignment="1">
      <alignment horizontal="center" vertical="center" wrapText="1" shrinkToFit="1"/>
    </xf>
    <xf numFmtId="182" fontId="3" fillId="0" borderId="2" xfId="0" applyNumberFormat="1" applyFont="1" applyFill="1" applyBorder="1" applyAlignment="1">
      <alignment horizontal="center" vertical="center" wrapText="1" shrinkToFit="1"/>
    </xf>
    <xf numFmtId="0" fontId="3" fillId="0" borderId="2" xfId="0" applyFont="1" applyFill="1" applyBorder="1" applyAlignment="1">
      <alignment vertical="center" wrapText="1" shrinkToFit="1"/>
    </xf>
    <xf numFmtId="181" fontId="4" fillId="4" borderId="2" xfId="0" applyNumberFormat="1" applyFont="1" applyFill="1" applyBorder="1" applyAlignment="1">
      <alignment horizontal="center" vertical="center" wrapText="1" shrinkToFit="1"/>
    </xf>
    <xf numFmtId="0" fontId="3" fillId="0" borderId="3" xfId="0" applyFont="1" applyFill="1" applyBorder="1" applyAlignment="1">
      <alignment horizontal="center" vertical="center" wrapText="1"/>
    </xf>
    <xf numFmtId="186" fontId="3" fillId="0" borderId="2" xfId="0" applyNumberFormat="1" applyFont="1" applyFill="1" applyBorder="1" applyAlignment="1">
      <alignment horizontal="center" vertical="center" wrapText="1"/>
    </xf>
    <xf numFmtId="178" fontId="4" fillId="0" borderId="2" xfId="0" applyNumberFormat="1" applyFont="1" applyFill="1" applyBorder="1" applyAlignment="1">
      <alignment horizontal="center" vertical="center" wrapText="1" shrinkToFit="1"/>
    </xf>
    <xf numFmtId="181" fontId="3" fillId="3" borderId="2" xfId="0" applyNumberFormat="1" applyFont="1" applyFill="1" applyBorder="1" applyAlignment="1">
      <alignment horizontal="center" vertical="center" wrapText="1" shrinkToFit="1"/>
    </xf>
    <xf numFmtId="0" fontId="3" fillId="0" borderId="4" xfId="0" applyFont="1" applyFill="1" applyBorder="1" applyAlignment="1">
      <alignment horizontal="center" vertical="center" wrapText="1"/>
    </xf>
    <xf numFmtId="0" fontId="4" fillId="5" borderId="2" xfId="0" applyFont="1" applyFill="1" applyBorder="1" applyAlignment="1">
      <alignment horizontal="center" vertical="center"/>
    </xf>
    <xf numFmtId="183" fontId="3" fillId="0" borderId="2" xfId="0" applyNumberFormat="1" applyFont="1" applyFill="1" applyBorder="1" applyAlignment="1">
      <alignment horizontal="center" vertical="center"/>
    </xf>
    <xf numFmtId="0" fontId="4" fillId="3" borderId="2" xfId="0" applyFont="1" applyFill="1" applyBorder="1" applyAlignment="1">
      <alignment horizontal="center" vertical="center" wrapText="1" shrinkToFit="1"/>
    </xf>
    <xf numFmtId="182" fontId="4" fillId="0" borderId="4" xfId="0" applyNumberFormat="1" applyFont="1" applyFill="1" applyBorder="1" applyAlignment="1">
      <alignment horizontal="center" vertical="center" wrapText="1" shrinkToFit="1"/>
    </xf>
    <xf numFmtId="0" fontId="3" fillId="3" borderId="4" xfId="0" applyFont="1" applyFill="1" applyBorder="1" applyAlignment="1">
      <alignment horizontal="center" vertical="center" wrapText="1"/>
    </xf>
    <xf numFmtId="0" fontId="4" fillId="0" borderId="2" xfId="0" applyFont="1" applyBorder="1" applyAlignment="1">
      <alignment horizontal="center" vertical="center"/>
    </xf>
    <xf numFmtId="182" fontId="4" fillId="0" borderId="3" xfId="0" applyNumberFormat="1" applyFont="1" applyFill="1" applyBorder="1" applyAlignment="1">
      <alignment horizontal="center" vertical="center" wrapText="1" shrinkToFit="1"/>
    </xf>
    <xf numFmtId="0" fontId="3" fillId="3" borderId="3" xfId="0" applyFont="1" applyFill="1" applyBorder="1" applyAlignment="1">
      <alignment horizontal="center" vertical="center" wrapText="1"/>
    </xf>
    <xf numFmtId="0" fontId="4" fillId="3" borderId="2" xfId="0" applyFont="1" applyFill="1" applyBorder="1" applyAlignment="1">
      <alignment horizontal="center" vertical="center"/>
    </xf>
    <xf numFmtId="180" fontId="3" fillId="0" borderId="2" xfId="0" applyNumberFormat="1"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181" fontId="4" fillId="3" borderId="2" xfId="0" applyNumberFormat="1" applyFont="1" applyFill="1" applyBorder="1" applyAlignment="1">
      <alignment horizontal="center" vertical="center" wrapText="1" shrinkToFit="1"/>
    </xf>
    <xf numFmtId="0" fontId="3" fillId="3" borderId="7" xfId="0" applyFont="1" applyFill="1" applyBorder="1" applyAlignment="1">
      <alignment horizontal="center" vertical="center" wrapText="1"/>
    </xf>
    <xf numFmtId="0" fontId="4" fillId="0" borderId="3" xfId="0" applyFont="1" applyFill="1" applyBorder="1" applyAlignment="1">
      <alignment horizontal="center" vertical="center"/>
    </xf>
    <xf numFmtId="181" fontId="6" fillId="0" borderId="3" xfId="0" applyNumberFormat="1" applyFont="1" applyFill="1" applyBorder="1" applyAlignment="1" applyProtection="1">
      <alignment horizontal="center" vertical="center" wrapText="1" shrinkToFit="1"/>
    </xf>
    <xf numFmtId="0" fontId="4" fillId="0" borderId="2" xfId="0" applyFont="1" applyFill="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shrinkToFit="1"/>
      <protection locked="0"/>
    </xf>
    <xf numFmtId="0" fontId="3" fillId="0" borderId="2" xfId="0" applyFont="1" applyFill="1" applyBorder="1" applyAlignment="1" applyProtection="1">
      <alignment horizontal="center" vertical="center" wrapText="1" shrinkToFit="1"/>
      <protection locked="0"/>
    </xf>
    <xf numFmtId="183" fontId="3" fillId="0" borderId="2" xfId="0" applyNumberFormat="1" applyFont="1" applyFill="1" applyBorder="1" applyAlignment="1" applyProtection="1">
      <alignment horizontal="center" vertical="center" wrapText="1" shrinkToFit="1"/>
      <protection locked="0"/>
    </xf>
    <xf numFmtId="181" fontId="3" fillId="0" borderId="2" xfId="0" applyNumberFormat="1" applyFont="1" applyFill="1" applyBorder="1" applyAlignment="1" applyProtection="1">
      <alignment horizontal="center" vertical="center" wrapText="1" shrinkToFit="1"/>
      <protection locked="0"/>
    </xf>
    <xf numFmtId="0" fontId="3" fillId="0" borderId="2" xfId="0" applyNumberFormat="1" applyFont="1" applyFill="1" applyBorder="1" applyAlignment="1" applyProtection="1">
      <alignment horizontal="center" vertical="center" wrapText="1" shrinkToFit="1"/>
      <protection locked="0"/>
    </xf>
    <xf numFmtId="182" fontId="4" fillId="0" borderId="4" xfId="0" applyNumberFormat="1" applyFont="1" applyFill="1" applyBorder="1" applyAlignment="1" applyProtection="1">
      <alignment horizontal="center" vertical="center" wrapText="1" shrinkToFit="1"/>
      <protection locked="0"/>
    </xf>
    <xf numFmtId="182" fontId="3" fillId="0" borderId="4" xfId="0" applyNumberFormat="1" applyFont="1" applyFill="1" applyBorder="1" applyAlignment="1" applyProtection="1">
      <alignment horizontal="center" vertical="center" wrapText="1" shrinkToFit="1"/>
      <protection locked="0"/>
    </xf>
    <xf numFmtId="0" fontId="3" fillId="3" borderId="2"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180" fontId="3" fillId="0" borderId="2" xfId="0" applyNumberFormat="1" applyFont="1" applyFill="1" applyBorder="1" applyAlignment="1" applyProtection="1">
      <alignment horizontal="center" vertical="center" wrapText="1" shrinkToFit="1"/>
      <protection locked="0"/>
    </xf>
    <xf numFmtId="0" fontId="3" fillId="0" borderId="3" xfId="0" applyFont="1" applyFill="1" applyBorder="1" applyAlignment="1" applyProtection="1">
      <alignment horizontal="center" vertical="center" wrapText="1" shrinkToFit="1"/>
      <protection locked="0"/>
    </xf>
    <xf numFmtId="0" fontId="3" fillId="0" borderId="4" xfId="0" applyFont="1" applyFill="1" applyBorder="1" applyAlignment="1" applyProtection="1">
      <alignment horizontal="center" vertical="center" wrapText="1" shrinkToFit="1"/>
      <protection locked="0"/>
    </xf>
    <xf numFmtId="0" fontId="3" fillId="0" borderId="4" xfId="0" applyFont="1" applyFill="1" applyBorder="1" applyAlignment="1" applyProtection="1">
      <alignment vertical="center" wrapText="1" shrinkToFit="1"/>
      <protection locked="0"/>
    </xf>
    <xf numFmtId="184" fontId="3" fillId="0" borderId="2" xfId="0" applyNumberFormat="1" applyFont="1" applyFill="1" applyBorder="1" applyAlignment="1" applyProtection="1">
      <alignment horizontal="center" vertical="center"/>
      <protection locked="0"/>
    </xf>
    <xf numFmtId="180" fontId="3" fillId="0" borderId="2" xfId="0" applyNumberFormat="1" applyFont="1" applyFill="1" applyBorder="1" applyAlignment="1" applyProtection="1">
      <alignment horizontal="center" vertical="center"/>
      <protection locked="0"/>
    </xf>
    <xf numFmtId="183" fontId="4" fillId="0" borderId="2" xfId="0" applyNumberFormat="1" applyFont="1" applyFill="1" applyBorder="1" applyAlignment="1" applyProtection="1">
      <alignment horizontal="center" vertical="center"/>
      <protection locked="0"/>
    </xf>
    <xf numFmtId="49" fontId="4" fillId="0" borderId="2" xfId="0" applyNumberFormat="1" applyFont="1" applyFill="1" applyBorder="1" applyAlignment="1" applyProtection="1">
      <alignment horizontal="center" vertical="center" wrapText="1" shrinkToFit="1"/>
      <protection locked="0"/>
    </xf>
    <xf numFmtId="183" fontId="4" fillId="0" borderId="2" xfId="0" applyNumberFormat="1" applyFont="1" applyFill="1" applyBorder="1" applyAlignment="1" applyProtection="1">
      <alignment horizontal="center" vertical="center" wrapText="1" shrinkToFit="1"/>
      <protection locked="0"/>
    </xf>
    <xf numFmtId="181" fontId="4" fillId="3" borderId="2" xfId="0" applyNumberFormat="1" applyFont="1" applyFill="1" applyBorder="1" applyAlignment="1" applyProtection="1">
      <alignment horizontal="center" vertical="center" wrapText="1" shrinkToFit="1"/>
      <protection locked="0"/>
    </xf>
    <xf numFmtId="178" fontId="4" fillId="0" borderId="2" xfId="0" applyNumberFormat="1" applyFont="1" applyFill="1" applyBorder="1" applyAlignment="1" applyProtection="1">
      <alignment horizontal="center" vertical="center" wrapText="1" shrinkToFit="1"/>
      <protection locked="0"/>
    </xf>
    <xf numFmtId="182" fontId="4" fillId="0" borderId="2" xfId="0" applyNumberFormat="1" applyFont="1" applyFill="1" applyBorder="1" applyAlignment="1" applyProtection="1">
      <alignment horizontal="center" vertical="center" wrapText="1" shrinkToFit="1"/>
      <protection locked="0"/>
    </xf>
    <xf numFmtId="181" fontId="4" fillId="0" borderId="2" xfId="0" applyNumberFormat="1" applyFont="1" applyFill="1" applyBorder="1" applyAlignment="1" applyProtection="1">
      <alignment horizontal="center" vertical="center" wrapText="1" shrinkToFit="1"/>
      <protection locked="0"/>
    </xf>
    <xf numFmtId="185" fontId="4" fillId="0" borderId="2" xfId="0" applyNumberFormat="1" applyFont="1" applyFill="1" applyBorder="1" applyAlignment="1" applyProtection="1">
      <alignment horizontal="center" vertical="center" wrapText="1" shrinkToFit="1"/>
      <protection locked="0"/>
    </xf>
    <xf numFmtId="180" fontId="4" fillId="0" borderId="2" xfId="0" applyNumberFormat="1" applyFont="1" applyFill="1" applyBorder="1" applyAlignment="1" applyProtection="1">
      <alignment horizontal="center" vertical="center" wrapText="1" shrinkToFit="1"/>
      <protection locked="0"/>
    </xf>
    <xf numFmtId="0" fontId="4" fillId="0" borderId="3" xfId="0" applyNumberFormat="1" applyFont="1" applyFill="1" applyBorder="1" applyAlignment="1" applyProtection="1">
      <alignment horizontal="center" vertical="center" wrapText="1" shrinkToFit="1"/>
      <protection locked="0"/>
    </xf>
    <xf numFmtId="0" fontId="4" fillId="0" borderId="3" xfId="0" applyFont="1" applyFill="1" applyBorder="1" applyAlignment="1" applyProtection="1">
      <alignment horizontal="center" vertical="center" wrapText="1" shrinkToFit="1"/>
      <protection locked="0"/>
    </xf>
    <xf numFmtId="0" fontId="3" fillId="0" borderId="4" xfId="0" applyFont="1" applyFill="1" applyBorder="1" applyAlignment="1" applyProtection="1">
      <alignment horizontal="center" vertical="center" wrapText="1"/>
      <protection locked="0"/>
    </xf>
    <xf numFmtId="181" fontId="6" fillId="0" borderId="2" xfId="0" applyNumberFormat="1" applyFont="1" applyFill="1" applyBorder="1" applyAlignment="1" applyProtection="1">
      <alignment horizontal="center" vertical="center" wrapText="1" shrinkToFit="1"/>
    </xf>
    <xf numFmtId="0" fontId="4" fillId="0" borderId="4" xfId="0" applyFont="1" applyFill="1" applyBorder="1" applyAlignment="1" applyProtection="1">
      <alignment horizontal="center" vertical="center" wrapText="1" shrinkToFit="1"/>
      <protection locked="0"/>
    </xf>
    <xf numFmtId="0" fontId="4" fillId="0" borderId="3" xfId="0" applyFont="1" applyFill="1" applyBorder="1" applyAlignment="1" applyProtection="1">
      <alignment horizontal="center" vertical="center"/>
      <protection locked="0"/>
    </xf>
    <xf numFmtId="186" fontId="3" fillId="0" borderId="2" xfId="0" applyNumberFormat="1" applyFont="1" applyFill="1" applyBorder="1" applyAlignment="1" applyProtection="1">
      <alignment horizontal="center" vertical="center" wrapText="1"/>
      <protection locked="0"/>
    </xf>
    <xf numFmtId="181" fontId="6" fillId="2" borderId="2" xfId="0" applyNumberFormat="1" applyFont="1" applyFill="1" applyBorder="1" applyAlignment="1" applyProtection="1">
      <alignment horizontal="center" vertical="center" wrapText="1" shrinkToFit="1"/>
    </xf>
    <xf numFmtId="0" fontId="4" fillId="2" borderId="2"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shrinkToFit="1"/>
      <protection locked="0"/>
    </xf>
    <xf numFmtId="0" fontId="3" fillId="2" borderId="2" xfId="0" applyFont="1" applyFill="1" applyBorder="1" applyAlignment="1" applyProtection="1">
      <alignment horizontal="center" vertical="center" wrapText="1" shrinkToFit="1"/>
      <protection locked="0"/>
    </xf>
    <xf numFmtId="183" fontId="4" fillId="2" borderId="2" xfId="0" applyNumberFormat="1" applyFont="1" applyFill="1" applyBorder="1" applyAlignment="1" applyProtection="1">
      <alignment horizontal="center" vertical="center" wrapText="1" shrinkToFit="1"/>
      <protection locked="0"/>
    </xf>
    <xf numFmtId="181" fontId="4" fillId="2" borderId="2" xfId="0" applyNumberFormat="1" applyFont="1" applyFill="1" applyBorder="1" applyAlignment="1" applyProtection="1">
      <alignment horizontal="center" vertical="center" wrapText="1" shrinkToFit="1"/>
      <protection locked="0"/>
    </xf>
    <xf numFmtId="0" fontId="3" fillId="2" borderId="2" xfId="0" applyNumberFormat="1" applyFont="1" applyFill="1" applyBorder="1" applyAlignment="1" applyProtection="1">
      <alignment horizontal="center" vertical="center" wrapText="1" shrinkToFit="1"/>
      <protection locked="0"/>
    </xf>
    <xf numFmtId="182" fontId="3" fillId="2" borderId="4" xfId="0" applyNumberFormat="1" applyFont="1" applyFill="1" applyBorder="1" applyAlignment="1" applyProtection="1">
      <alignment horizontal="center" vertical="center" wrapText="1" shrinkToFit="1"/>
      <protection locked="0"/>
    </xf>
    <xf numFmtId="182" fontId="4" fillId="2" borderId="4" xfId="0" applyNumberFormat="1" applyFont="1" applyFill="1" applyBorder="1" applyAlignment="1" applyProtection="1">
      <alignment horizontal="center" vertical="center" wrapText="1" shrinkToFit="1"/>
      <protection locked="0"/>
    </xf>
    <xf numFmtId="182" fontId="4" fillId="2" borderId="2" xfId="0" applyNumberFormat="1" applyFont="1" applyFill="1" applyBorder="1" applyAlignment="1" applyProtection="1">
      <alignment horizontal="center" vertical="center" wrapText="1" shrinkToFit="1"/>
      <protection locked="0"/>
    </xf>
    <xf numFmtId="0" fontId="3" fillId="2" borderId="4"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180" fontId="3" fillId="2" borderId="2" xfId="0" applyNumberFormat="1" applyFont="1" applyFill="1" applyBorder="1" applyAlignment="1" applyProtection="1">
      <alignment horizontal="center" vertical="center" wrapText="1" shrinkToFit="1"/>
      <protection locked="0"/>
    </xf>
    <xf numFmtId="185" fontId="4" fillId="2" borderId="2" xfId="0" applyNumberFormat="1" applyFont="1" applyFill="1" applyBorder="1" applyAlignment="1" applyProtection="1">
      <alignment horizontal="center" vertical="center" wrapText="1" shrinkToFit="1"/>
      <protection locked="0"/>
    </xf>
    <xf numFmtId="180" fontId="4" fillId="2" borderId="2" xfId="0" applyNumberFormat="1" applyFont="1" applyFill="1" applyBorder="1" applyAlignment="1" applyProtection="1">
      <alignment horizontal="center" vertical="center" wrapText="1" shrinkToFit="1"/>
      <protection locked="0"/>
    </xf>
    <xf numFmtId="0" fontId="3" fillId="2" borderId="3" xfId="0" applyFont="1" applyFill="1" applyBorder="1" applyAlignment="1" applyProtection="1">
      <alignment horizontal="center" vertical="center" wrapText="1" shrinkToFit="1"/>
      <protection locked="0"/>
    </xf>
    <xf numFmtId="0" fontId="3" fillId="2" borderId="4" xfId="0" applyFont="1" applyFill="1" applyBorder="1" applyAlignment="1" applyProtection="1">
      <alignment horizontal="center" vertical="center" wrapText="1" shrinkToFit="1"/>
      <protection locked="0"/>
    </xf>
    <xf numFmtId="0" fontId="3" fillId="2" borderId="4" xfId="0" applyFont="1" applyFill="1" applyBorder="1" applyAlignment="1" applyProtection="1">
      <alignment vertical="center" wrapText="1" shrinkToFit="1"/>
      <protection locked="0"/>
    </xf>
    <xf numFmtId="0" fontId="4" fillId="2" borderId="3" xfId="0" applyNumberFormat="1" applyFont="1" applyFill="1" applyBorder="1" applyAlignment="1" applyProtection="1">
      <alignment horizontal="center" vertical="center" wrapText="1" shrinkToFit="1"/>
      <protection locked="0"/>
    </xf>
    <xf numFmtId="0" fontId="4" fillId="2" borderId="2" xfId="0"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183" fontId="4" fillId="2" borderId="2" xfId="0" applyNumberFormat="1" applyFont="1" applyFill="1" applyBorder="1" applyAlignment="1" applyProtection="1">
      <alignment horizontal="center" vertical="center"/>
      <protection locked="0"/>
    </xf>
    <xf numFmtId="184" fontId="3" fillId="2" borderId="2" xfId="0" applyNumberFormat="1" applyFont="1" applyFill="1" applyBorder="1" applyAlignment="1" applyProtection="1">
      <alignment horizontal="center" vertical="center"/>
      <protection locked="0"/>
    </xf>
    <xf numFmtId="0" fontId="4" fillId="0" borderId="4" xfId="0" applyFont="1" applyFill="1" applyBorder="1" applyAlignment="1" applyProtection="1">
      <alignment horizontal="center" vertical="center"/>
      <protection locked="0"/>
    </xf>
    <xf numFmtId="180" fontId="3" fillId="0" borderId="4" xfId="0" applyNumberFormat="1" applyFont="1" applyFill="1" applyBorder="1" applyAlignment="1" applyProtection="1">
      <alignment horizontal="center" vertical="center"/>
      <protection locked="0"/>
    </xf>
    <xf numFmtId="182" fontId="3" fillId="0" borderId="2" xfId="0" applyNumberFormat="1" applyFont="1" applyFill="1" applyBorder="1" applyAlignment="1" applyProtection="1">
      <alignment horizontal="center" vertical="center" wrapText="1" shrinkToFit="1"/>
      <protection locked="0"/>
    </xf>
    <xf numFmtId="0" fontId="3" fillId="0" borderId="6" xfId="0" applyFont="1" applyFill="1" applyBorder="1" applyAlignment="1" applyProtection="1">
      <alignment horizontal="center" vertical="center"/>
      <protection locked="0"/>
    </xf>
    <xf numFmtId="0" fontId="4" fillId="0" borderId="2" xfId="0" applyNumberFormat="1" applyFont="1" applyFill="1" applyBorder="1" applyAlignment="1" applyProtection="1">
      <alignment horizontal="center" vertical="center" wrapText="1" shrinkToFit="1"/>
      <protection locked="0"/>
    </xf>
    <xf numFmtId="0" fontId="3" fillId="3" borderId="4" xfId="0"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wrapText="1" shrinkToFit="1"/>
      <protection locked="0"/>
    </xf>
    <xf numFmtId="181" fontId="3" fillId="3" borderId="2" xfId="0" applyNumberFormat="1" applyFont="1" applyFill="1" applyBorder="1" applyAlignment="1" applyProtection="1">
      <alignment horizontal="center" vertical="center" wrapText="1" shrinkToFit="1"/>
      <protection locked="0"/>
    </xf>
    <xf numFmtId="0" fontId="3" fillId="3" borderId="4" xfId="0" applyFont="1" applyFill="1" applyBorder="1" applyAlignment="1" applyProtection="1">
      <alignment horizontal="center" vertical="center" wrapText="1" shrinkToFit="1"/>
      <protection locked="0"/>
    </xf>
    <xf numFmtId="0" fontId="3" fillId="3" borderId="3" xfId="0" applyFont="1" applyFill="1" applyBorder="1" applyAlignment="1" applyProtection="1">
      <alignment horizontal="center" vertical="center" wrapText="1" shrinkToFit="1"/>
      <protection locked="0"/>
    </xf>
    <xf numFmtId="0" fontId="4" fillId="0" borderId="4" xfId="0" applyFont="1" applyFill="1" applyBorder="1" applyAlignment="1" applyProtection="1">
      <alignment horizontal="center" vertical="center" wrapText="1"/>
      <protection locked="0"/>
    </xf>
    <xf numFmtId="3" fontId="4" fillId="0" borderId="2" xfId="0" applyNumberFormat="1" applyFont="1" applyFill="1" applyBorder="1" applyAlignment="1" applyProtection="1">
      <alignment horizontal="center" vertical="center" wrapText="1" shrinkToFit="1"/>
      <protection locked="0"/>
    </xf>
    <xf numFmtId="187" fontId="4" fillId="0" borderId="2" xfId="0" applyNumberFormat="1" applyFont="1" applyFill="1" applyBorder="1" applyAlignment="1" applyProtection="1">
      <alignment horizontal="center" vertical="center" wrapText="1" shrinkToFit="1"/>
      <protection locked="0"/>
    </xf>
    <xf numFmtId="187" fontId="3" fillId="0" borderId="2" xfId="0" applyNumberFormat="1" applyFont="1" applyFill="1" applyBorder="1" applyAlignment="1" applyProtection="1">
      <alignment horizontal="center" vertical="center" wrapText="1"/>
      <protection locked="0"/>
    </xf>
    <xf numFmtId="0" fontId="3" fillId="0" borderId="2" xfId="0" applyFont="1" applyFill="1" applyBorder="1" applyAlignment="1" applyProtection="1">
      <alignment vertical="center" wrapText="1" shrinkToFit="1"/>
      <protection locked="0"/>
    </xf>
    <xf numFmtId="184" fontId="4" fillId="0" borderId="0" xfId="0" applyNumberFormat="1" applyFont="1" applyFill="1" applyProtection="1">
      <alignment vertical="center"/>
      <protection locked="0"/>
    </xf>
    <xf numFmtId="3" fontId="3" fillId="0" borderId="2" xfId="0" applyNumberFormat="1" applyFont="1" applyFill="1" applyBorder="1" applyAlignment="1" applyProtection="1">
      <alignment horizontal="center" vertical="center" wrapText="1" shrinkToFit="1"/>
      <protection locked="0"/>
    </xf>
    <xf numFmtId="0" fontId="4" fillId="0" borderId="2" xfId="0" applyFont="1" applyFill="1" applyBorder="1" applyProtection="1">
      <alignment vertical="center"/>
      <protection locked="0"/>
    </xf>
    <xf numFmtId="184" fontId="4" fillId="0" borderId="2" xfId="0" applyNumberFormat="1" applyFont="1" applyFill="1" applyBorder="1" applyAlignment="1" applyProtection="1">
      <alignment horizontal="center" vertical="center"/>
      <protection locked="0"/>
    </xf>
    <xf numFmtId="184" fontId="3" fillId="3" borderId="2" xfId="0" applyNumberFormat="1"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58" fontId="3" fillId="0" borderId="2" xfId="0" applyNumberFormat="1" applyFont="1" applyFill="1" applyBorder="1" applyAlignment="1" applyProtection="1">
      <alignment horizontal="center" vertical="center" wrapText="1" shrinkToFit="1"/>
      <protection locked="0"/>
    </xf>
    <xf numFmtId="58" fontId="3" fillId="3" borderId="2" xfId="0" applyNumberFormat="1" applyFont="1" applyFill="1" applyBorder="1" applyAlignment="1" applyProtection="1">
      <alignment horizontal="center" vertical="center" wrapText="1" shrinkToFit="1"/>
      <protection locked="0"/>
    </xf>
    <xf numFmtId="180" fontId="4" fillId="0" borderId="2" xfId="0" applyNumberFormat="1" applyFont="1" applyFill="1" applyBorder="1" applyAlignment="1" applyProtection="1">
      <alignment horizontal="center" vertical="center"/>
      <protection locked="0"/>
    </xf>
    <xf numFmtId="0" fontId="6" fillId="0" borderId="2" xfId="0" applyFont="1" applyFill="1" applyBorder="1" applyAlignment="1" applyProtection="1">
      <alignment horizontal="center" vertical="center" wrapText="1"/>
      <protection locked="0"/>
    </xf>
    <xf numFmtId="0" fontId="6" fillId="0" borderId="2" xfId="0" applyFont="1" applyFill="1" applyBorder="1" applyAlignment="1" applyProtection="1">
      <alignment horizontal="center" vertical="center" wrapText="1" shrinkToFit="1"/>
      <protection locked="0"/>
    </xf>
    <xf numFmtId="0" fontId="6" fillId="0" borderId="2" xfId="0" applyFont="1" applyFill="1" applyBorder="1" applyAlignment="1" applyProtection="1">
      <alignment horizontal="center" vertical="center"/>
      <protection locked="0"/>
    </xf>
    <xf numFmtId="181" fontId="6" fillId="0" borderId="2" xfId="0" applyNumberFormat="1" applyFont="1" applyFill="1" applyBorder="1" applyAlignment="1" applyProtection="1">
      <alignment horizontal="center" vertical="center" wrapText="1" shrinkToFit="1"/>
      <protection locked="0"/>
    </xf>
    <xf numFmtId="0" fontId="6" fillId="0" borderId="2" xfId="0" applyNumberFormat="1" applyFont="1" applyFill="1" applyBorder="1" applyAlignment="1" applyProtection="1">
      <alignment horizontal="center" vertical="center" wrapText="1" shrinkToFit="1"/>
      <protection locked="0"/>
    </xf>
    <xf numFmtId="182" fontId="6" fillId="0" borderId="2" xfId="0" applyNumberFormat="1" applyFont="1" applyFill="1" applyBorder="1" applyAlignment="1" applyProtection="1">
      <alignment horizontal="center" vertical="center" wrapText="1" shrinkToFit="1"/>
      <protection locked="0"/>
    </xf>
    <xf numFmtId="180" fontId="6" fillId="0" borderId="2" xfId="0" applyNumberFormat="1" applyFont="1" applyFill="1" applyBorder="1" applyAlignment="1" applyProtection="1">
      <alignment horizontal="center" vertical="center" wrapText="1" shrinkToFit="1"/>
      <protection locked="0"/>
    </xf>
    <xf numFmtId="185" fontId="6" fillId="0" borderId="2" xfId="0" applyNumberFormat="1" applyFont="1" applyFill="1" applyBorder="1" applyAlignment="1" applyProtection="1">
      <alignment horizontal="center" vertical="center" wrapText="1" shrinkToFit="1"/>
      <protection locked="0"/>
    </xf>
    <xf numFmtId="0" fontId="6" fillId="2" borderId="2" xfId="0" applyFont="1" applyFill="1" applyBorder="1" applyAlignment="1" applyProtection="1">
      <alignment horizontal="center" vertical="center"/>
      <protection locked="0"/>
    </xf>
    <xf numFmtId="183" fontId="6" fillId="0" borderId="2" xfId="0" applyNumberFormat="1" applyFont="1" applyFill="1" applyBorder="1" applyAlignment="1" applyProtection="1">
      <alignment horizontal="center" vertical="center"/>
      <protection locked="0"/>
    </xf>
    <xf numFmtId="0" fontId="6" fillId="3" borderId="2" xfId="0" applyFont="1" applyFill="1" applyBorder="1" applyAlignment="1" applyProtection="1">
      <alignment horizontal="center" vertical="center"/>
      <protection locked="0"/>
    </xf>
    <xf numFmtId="184" fontId="6" fillId="3" borderId="2" xfId="0" applyNumberFormat="1" applyFont="1" applyFill="1" applyBorder="1" applyAlignment="1" applyProtection="1">
      <alignment horizontal="center" vertical="center"/>
      <protection locked="0"/>
    </xf>
    <xf numFmtId="184" fontId="6" fillId="0" borderId="2" xfId="0" applyNumberFormat="1" applyFont="1" applyFill="1" applyBorder="1" applyAlignment="1" applyProtection="1">
      <alignment horizontal="center" vertical="center"/>
      <protection locked="0"/>
    </xf>
    <xf numFmtId="180" fontId="6" fillId="0" borderId="2" xfId="0" applyNumberFormat="1" applyFont="1" applyFill="1" applyBorder="1" applyAlignment="1" applyProtection="1">
      <alignment horizontal="center" vertical="center"/>
      <protection locked="0"/>
    </xf>
    <xf numFmtId="0" fontId="6" fillId="3" borderId="2" xfId="0" applyFont="1" applyFill="1" applyBorder="1" applyAlignment="1" applyProtection="1">
      <alignment horizontal="center" vertical="center" wrapText="1" shrinkToFit="1"/>
      <protection locked="0"/>
    </xf>
    <xf numFmtId="181" fontId="6" fillId="0" borderId="6" xfId="0" applyNumberFormat="1" applyFont="1" applyFill="1" applyBorder="1" applyAlignment="1" applyProtection="1">
      <alignment horizontal="center" vertical="center" wrapText="1" shrinkToFit="1"/>
      <protection locked="0"/>
    </xf>
    <xf numFmtId="183" fontId="6" fillId="0" borderId="2" xfId="0" applyNumberFormat="1" applyFont="1" applyFill="1" applyBorder="1" applyAlignment="1" applyProtection="1">
      <alignment horizontal="center" vertical="center" wrapText="1" shrinkToFit="1"/>
      <protection locked="0"/>
    </xf>
    <xf numFmtId="181" fontId="6" fillId="3" borderId="2" xfId="0" applyNumberFormat="1" applyFont="1" applyFill="1" applyBorder="1" applyAlignment="1" applyProtection="1">
      <alignment horizontal="center" vertical="center" wrapText="1" shrinkToFit="1"/>
      <protection locked="0"/>
    </xf>
    <xf numFmtId="0" fontId="4" fillId="0" borderId="0" xfId="0" applyFont="1" applyFill="1" applyAlignment="1" applyProtection="1">
      <alignment horizontal="center" vertical="center" wrapText="1"/>
      <protection locked="0"/>
    </xf>
    <xf numFmtId="0" fontId="6" fillId="3" borderId="2" xfId="0" applyFont="1" applyFill="1" applyBorder="1" applyAlignment="1" applyProtection="1">
      <alignment horizontal="center" vertical="center" wrapText="1"/>
      <protection locked="0"/>
    </xf>
    <xf numFmtId="187" fontId="6" fillId="0" borderId="2" xfId="0" applyNumberFormat="1" applyFont="1" applyFill="1" applyBorder="1" applyAlignment="1" applyProtection="1">
      <alignment horizontal="center" vertical="center" wrapText="1"/>
      <protection locked="0"/>
    </xf>
    <xf numFmtId="58" fontId="6" fillId="0" borderId="2" xfId="0" applyNumberFormat="1" applyFont="1" applyFill="1" applyBorder="1" applyAlignment="1" applyProtection="1">
      <alignment horizontal="center" vertical="center" wrapText="1" shrinkToFit="1"/>
      <protection locked="0"/>
    </xf>
    <xf numFmtId="3" fontId="6" fillId="0" borderId="2" xfId="0" applyNumberFormat="1" applyFont="1" applyFill="1" applyBorder="1" applyAlignment="1" applyProtection="1">
      <alignment horizontal="center" vertical="center" wrapText="1" shrinkToFit="1"/>
      <protection locked="0"/>
    </xf>
    <xf numFmtId="182" fontId="6" fillId="0" borderId="8" xfId="0" applyNumberFormat="1" applyFont="1" applyFill="1" applyBorder="1" applyAlignment="1" applyProtection="1">
      <alignment horizontal="center" vertical="center" wrapText="1" shrinkToFit="1"/>
      <protection locked="0"/>
    </xf>
    <xf numFmtId="0" fontId="6" fillId="0" borderId="6" xfId="0" applyFont="1" applyFill="1" applyBorder="1" applyAlignment="1" applyProtection="1">
      <alignment horizontal="center" vertical="center" wrapText="1"/>
      <protection locked="0"/>
    </xf>
    <xf numFmtId="49" fontId="6" fillId="0" borderId="2" xfId="0" applyNumberFormat="1" applyFont="1" applyFill="1" applyBorder="1" applyAlignment="1" applyProtection="1">
      <alignment horizontal="center" vertical="center" wrapText="1" shrinkToFit="1"/>
      <protection locked="0"/>
    </xf>
    <xf numFmtId="187" fontId="6" fillId="0" borderId="2" xfId="0" applyNumberFormat="1" applyFont="1" applyFill="1" applyBorder="1" applyAlignment="1" applyProtection="1">
      <alignment horizontal="center" vertical="center" wrapText="1" shrinkToFit="1"/>
      <protection locked="0"/>
    </xf>
    <xf numFmtId="181" fontId="6" fillId="0" borderId="1" xfId="0" applyNumberFormat="1" applyFont="1" applyFill="1" applyBorder="1" applyAlignment="1" applyProtection="1">
      <alignment horizontal="center" vertical="center" wrapText="1" shrinkToFit="1"/>
    </xf>
    <xf numFmtId="0" fontId="6" fillId="0" borderId="1" xfId="0" applyFont="1" applyFill="1" applyBorder="1" applyAlignment="1" applyProtection="1">
      <alignment horizontal="center" vertical="center" wrapText="1"/>
      <protection locked="0"/>
    </xf>
    <xf numFmtId="0" fontId="6" fillId="0" borderId="1" xfId="0" applyFont="1" applyFill="1" applyBorder="1" applyAlignment="1" applyProtection="1">
      <alignment horizontal="center" vertical="center" wrapText="1" shrinkToFit="1"/>
      <protection locked="0"/>
    </xf>
    <xf numFmtId="0" fontId="6" fillId="0" borderId="1" xfId="0" applyFont="1" applyFill="1" applyBorder="1" applyAlignment="1" applyProtection="1">
      <alignment horizontal="center" vertical="center"/>
      <protection locked="0"/>
    </xf>
    <xf numFmtId="3" fontId="6" fillId="0" borderId="1" xfId="0" applyNumberFormat="1" applyFont="1" applyFill="1" applyBorder="1" applyAlignment="1" applyProtection="1">
      <alignment horizontal="center" vertical="center" wrapText="1" shrinkToFit="1"/>
      <protection locked="0"/>
    </xf>
    <xf numFmtId="183" fontId="6" fillId="0" borderId="1" xfId="0" applyNumberFormat="1" applyFont="1" applyFill="1" applyBorder="1" applyAlignment="1" applyProtection="1">
      <alignment horizontal="center" vertical="center" wrapText="1" shrinkToFit="1"/>
      <protection locked="0"/>
    </xf>
    <xf numFmtId="181" fontId="6" fillId="0" borderId="1" xfId="0" applyNumberFormat="1" applyFont="1" applyFill="1" applyBorder="1" applyAlignment="1" applyProtection="1">
      <alignment horizontal="center" vertical="center" wrapText="1" shrinkToFit="1"/>
      <protection locked="0"/>
    </xf>
    <xf numFmtId="0" fontId="6" fillId="0" borderId="1" xfId="0" applyNumberFormat="1" applyFont="1" applyFill="1" applyBorder="1" applyAlignment="1" applyProtection="1">
      <alignment horizontal="center" vertical="center" wrapText="1" shrinkToFit="1"/>
      <protection locked="0"/>
    </xf>
    <xf numFmtId="182" fontId="6" fillId="0" borderId="1" xfId="0" applyNumberFormat="1" applyFont="1" applyFill="1" applyBorder="1" applyAlignment="1" applyProtection="1">
      <alignment horizontal="center" vertical="center" wrapText="1" shrinkToFit="1"/>
      <protection locked="0"/>
    </xf>
    <xf numFmtId="0" fontId="4" fillId="0" borderId="1" xfId="0" applyFont="1" applyFill="1" applyBorder="1" applyAlignment="1" applyProtection="1">
      <alignment horizontal="center" vertical="center" wrapText="1"/>
      <protection locked="0"/>
    </xf>
    <xf numFmtId="180" fontId="6" fillId="0" borderId="1" xfId="0" applyNumberFormat="1" applyFont="1" applyFill="1" applyBorder="1" applyAlignment="1" applyProtection="1">
      <alignment horizontal="center" vertical="center" wrapText="1" shrinkToFit="1"/>
      <protection locked="0"/>
    </xf>
    <xf numFmtId="0" fontId="15" fillId="0" borderId="2" xfId="0" applyFont="1" applyFill="1" applyBorder="1" applyAlignment="1" applyProtection="1">
      <alignment horizontal="center" vertical="center" wrapText="1" shrinkToFit="1"/>
      <protection locked="0"/>
    </xf>
    <xf numFmtId="184" fontId="6" fillId="0" borderId="1" xfId="0" applyNumberFormat="1" applyFont="1" applyFill="1" applyBorder="1" applyAlignment="1" applyProtection="1">
      <alignment horizontal="center" vertical="center"/>
      <protection locked="0"/>
    </xf>
    <xf numFmtId="183" fontId="6" fillId="0" borderId="1" xfId="0" applyNumberFormat="1" applyFont="1" applyFill="1" applyBorder="1" applyAlignment="1" applyProtection="1">
      <alignment horizontal="center" vertical="center"/>
      <protection locked="0"/>
    </xf>
    <xf numFmtId="180" fontId="15" fillId="0" borderId="2" xfId="0" applyNumberFormat="1" applyFont="1" applyFill="1" applyBorder="1" applyAlignment="1" applyProtection="1">
      <alignment horizontal="center" vertical="center"/>
      <protection locked="0"/>
    </xf>
    <xf numFmtId="0" fontId="6" fillId="0" borderId="1" xfId="0" applyNumberFormat="1" applyFont="1" applyFill="1" applyBorder="1" applyAlignment="1" applyProtection="1">
      <alignment horizontal="center" vertical="center"/>
      <protection locked="0"/>
    </xf>
    <xf numFmtId="181" fontId="6" fillId="3" borderId="1" xfId="0" applyNumberFormat="1" applyFont="1" applyFill="1" applyBorder="1" applyAlignment="1" applyProtection="1">
      <alignment horizontal="center" vertical="center" wrapText="1" shrinkToFit="1"/>
      <protection locked="0"/>
    </xf>
    <xf numFmtId="0" fontId="6" fillId="0" borderId="4" xfId="0" applyFont="1" applyFill="1" applyBorder="1" applyAlignment="1" applyProtection="1">
      <alignment horizontal="center" vertical="center" wrapText="1" shrinkToFit="1"/>
      <protection locked="0"/>
    </xf>
    <xf numFmtId="0" fontId="16" fillId="0" borderId="0" xfId="0" applyFont="1" applyFill="1" applyBorder="1" applyAlignment="1">
      <alignment horizontal="center" vertical="center"/>
    </xf>
    <xf numFmtId="0" fontId="17" fillId="0" borderId="0" xfId="0" applyFont="1" applyFill="1" applyBorder="1" applyAlignment="1">
      <alignment horizontal="center" vertical="center"/>
    </xf>
    <xf numFmtId="0" fontId="18" fillId="0" borderId="0" xfId="0" applyFont="1" applyFill="1" applyBorder="1" applyAlignment="1">
      <alignment horizontal="center" vertical="center"/>
    </xf>
    <xf numFmtId="0" fontId="16" fillId="6" borderId="9" xfId="0" applyFont="1" applyFill="1" applyBorder="1" applyAlignment="1">
      <alignment horizontal="center" vertical="center"/>
    </xf>
    <xf numFmtId="0" fontId="16" fillId="6" borderId="0" xfId="0" applyFont="1" applyFill="1" applyBorder="1" applyAlignment="1">
      <alignment horizontal="center" vertical="center"/>
    </xf>
    <xf numFmtId="0" fontId="19" fillId="6" borderId="0" xfId="0" applyFont="1" applyFill="1" applyBorder="1" applyAlignment="1">
      <alignment horizontal="center" vertical="center"/>
    </xf>
    <xf numFmtId="0" fontId="20" fillId="7" borderId="0" xfId="0" applyFont="1" applyFill="1" applyAlignment="1">
      <alignment horizontal="center" vertical="center"/>
    </xf>
    <xf numFmtId="0" fontId="20" fillId="7" borderId="10" xfId="0" applyFont="1" applyFill="1" applyBorder="1" applyAlignment="1">
      <alignment horizontal="center" vertical="center"/>
    </xf>
    <xf numFmtId="188" fontId="16" fillId="0" borderId="0" xfId="55" applyNumberFormat="1" applyFont="1" applyAlignment="1">
      <alignment horizontal="center" vertical="center"/>
    </xf>
    <xf numFmtId="0" fontId="18" fillId="0" borderId="2" xfId="0" applyFont="1" applyFill="1" applyBorder="1" applyAlignment="1">
      <alignment horizontal="center" vertical="center" wrapText="1"/>
    </xf>
    <xf numFmtId="0" fontId="21" fillId="8" borderId="2" xfId="0" applyFont="1" applyFill="1" applyBorder="1" applyAlignment="1">
      <alignment horizontal="center" vertical="center" shrinkToFit="1"/>
    </xf>
    <xf numFmtId="58" fontId="22" fillId="8" borderId="2" xfId="0" applyNumberFormat="1" applyFont="1" applyFill="1" applyBorder="1" applyAlignment="1">
      <alignment horizontal="center" vertical="center" shrinkToFit="1"/>
    </xf>
    <xf numFmtId="0" fontId="18" fillId="8" borderId="2" xfId="0" applyFont="1" applyFill="1" applyBorder="1" applyAlignment="1">
      <alignment horizontal="center" vertical="center"/>
    </xf>
    <xf numFmtId="0" fontId="23" fillId="0" borderId="2" xfId="0" applyFont="1" applyFill="1" applyBorder="1" applyAlignment="1">
      <alignment horizontal="center" vertical="center"/>
    </xf>
    <xf numFmtId="178" fontId="18" fillId="7" borderId="2" xfId="0" applyNumberFormat="1" applyFont="1" applyFill="1" applyBorder="1" applyAlignment="1">
      <alignment horizontal="center" vertical="center"/>
    </xf>
    <xf numFmtId="189" fontId="24" fillId="9" borderId="2" xfId="0" applyNumberFormat="1" applyFont="1" applyFill="1" applyBorder="1" applyAlignment="1">
      <alignment horizontal="center" vertical="center"/>
    </xf>
    <xf numFmtId="0" fontId="25" fillId="8" borderId="2" xfId="0" applyFont="1" applyFill="1" applyBorder="1" applyAlignment="1">
      <alignment horizontal="center" vertical="center" wrapText="1"/>
    </xf>
    <xf numFmtId="0" fontId="26" fillId="0" borderId="2" xfId="0" applyFont="1" applyFill="1" applyBorder="1" applyAlignment="1">
      <alignment horizontal="center" vertical="center"/>
    </xf>
    <xf numFmtId="178" fontId="27" fillId="7" borderId="2" xfId="0" applyNumberFormat="1" applyFont="1" applyFill="1" applyBorder="1" applyAlignment="1">
      <alignment horizontal="center" vertical="center"/>
    </xf>
    <xf numFmtId="58" fontId="28" fillId="8" borderId="2" xfId="0" applyNumberFormat="1" applyFont="1" applyFill="1" applyBorder="1" applyAlignment="1">
      <alignment horizontal="center" vertical="center" shrinkToFit="1"/>
    </xf>
    <xf numFmtId="189" fontId="18" fillId="7" borderId="2" xfId="0" applyNumberFormat="1" applyFont="1" applyFill="1" applyBorder="1" applyAlignment="1">
      <alignment horizontal="center" vertical="center"/>
    </xf>
    <xf numFmtId="189" fontId="18" fillId="9" borderId="2" xfId="0" applyNumberFormat="1" applyFont="1" applyFill="1" applyBorder="1" applyAlignment="1">
      <alignment horizontal="center" vertical="center"/>
    </xf>
    <xf numFmtId="0" fontId="29" fillId="3" borderId="2" xfId="0" applyFont="1" applyFill="1" applyBorder="1" applyAlignment="1">
      <alignment horizontal="center" vertical="center" wrapText="1"/>
    </xf>
    <xf numFmtId="58" fontId="21" fillId="8" borderId="2" xfId="0" applyNumberFormat="1" applyFont="1" applyFill="1" applyBorder="1" applyAlignment="1">
      <alignment horizontal="center" vertical="center" shrinkToFit="1"/>
    </xf>
    <xf numFmtId="0" fontId="30" fillId="10" borderId="11" xfId="0" applyFont="1" applyFill="1" applyBorder="1" applyAlignment="1">
      <alignment horizontal="center" vertical="center"/>
    </xf>
    <xf numFmtId="0" fontId="30" fillId="10" borderId="8" xfId="0" applyFont="1" applyFill="1" applyBorder="1" applyAlignment="1">
      <alignment horizontal="center" vertical="center"/>
    </xf>
    <xf numFmtId="0" fontId="31" fillId="10" borderId="12" xfId="0" applyFont="1" applyFill="1" applyBorder="1" applyAlignment="1">
      <alignment horizontal="center" vertical="center"/>
    </xf>
    <xf numFmtId="0" fontId="31" fillId="10" borderId="2" xfId="0" applyFont="1" applyFill="1" applyBorder="1" applyAlignment="1">
      <alignment horizontal="center" vertical="center"/>
    </xf>
    <xf numFmtId="189" fontId="30" fillId="10" borderId="6" xfId="0" applyNumberFormat="1" applyFont="1" applyFill="1" applyBorder="1" applyAlignment="1">
      <alignment horizontal="center" vertical="center"/>
    </xf>
    <xf numFmtId="0" fontId="30" fillId="10" borderId="13" xfId="0" applyFont="1" applyFill="1" applyBorder="1" applyAlignment="1">
      <alignment horizontal="center" vertical="center"/>
    </xf>
    <xf numFmtId="0" fontId="18" fillId="0" borderId="14" xfId="0" applyFont="1" applyFill="1" applyBorder="1" applyAlignment="1">
      <alignment horizontal="center" vertical="center" wrapText="1"/>
    </xf>
    <xf numFmtId="0" fontId="32" fillId="3" borderId="2" xfId="0" applyFont="1" applyFill="1" applyBorder="1" applyAlignment="1">
      <alignment horizontal="center" vertical="center" shrinkToFit="1"/>
    </xf>
    <xf numFmtId="0" fontId="32" fillId="11" borderId="2" xfId="0" applyFont="1" applyFill="1" applyBorder="1" applyAlignment="1">
      <alignment horizontal="center" vertical="center" shrinkToFit="1"/>
    </xf>
    <xf numFmtId="0" fontId="33" fillId="0" borderId="2" xfId="0" applyFont="1" applyFill="1" applyBorder="1" applyAlignment="1">
      <alignment horizontal="center" vertical="center"/>
    </xf>
    <xf numFmtId="189" fontId="16" fillId="7" borderId="6" xfId="0" applyNumberFormat="1" applyFont="1" applyFill="1" applyBorder="1" applyAlignment="1">
      <alignment horizontal="center" vertical="center"/>
    </xf>
    <xf numFmtId="189" fontId="18" fillId="9" borderId="6" xfId="0" applyNumberFormat="1" applyFont="1" applyFill="1" applyBorder="1" applyAlignment="1">
      <alignment horizontal="center" vertical="center"/>
    </xf>
    <xf numFmtId="0" fontId="34" fillId="12" borderId="8" xfId="0" applyFont="1" applyFill="1" applyBorder="1" applyAlignment="1">
      <alignment horizontal="center" vertical="center" wrapText="1"/>
    </xf>
    <xf numFmtId="0" fontId="34" fillId="12" borderId="6" xfId="0" applyFont="1" applyFill="1" applyBorder="1" applyAlignment="1">
      <alignment horizontal="center" vertical="center" wrapText="1"/>
    </xf>
    <xf numFmtId="190" fontId="31" fillId="0" borderId="0" xfId="0" applyNumberFormat="1" applyFont="1" applyFill="1" applyBorder="1" applyAlignment="1">
      <alignment horizontal="center" vertical="center"/>
    </xf>
    <xf numFmtId="188" fontId="18" fillId="0" borderId="0" xfId="1" applyNumberFormat="1" applyFont="1" applyFill="1" applyAlignment="1">
      <alignment horizontal="center" vertical="center"/>
    </xf>
    <xf numFmtId="14" fontId="17" fillId="0" borderId="0" xfId="0" applyNumberFormat="1" applyFont="1" applyFill="1" applyBorder="1" applyAlignment="1">
      <alignment horizontal="center" vertical="center"/>
    </xf>
    <xf numFmtId="0" fontId="18" fillId="10" borderId="15" xfId="0" applyFont="1" applyFill="1" applyBorder="1" applyAlignment="1">
      <alignment horizontal="center" vertical="center" wrapText="1"/>
    </xf>
    <xf numFmtId="0" fontId="30" fillId="10" borderId="16" xfId="0" applyFont="1" applyFill="1" applyBorder="1" applyAlignment="1">
      <alignment horizontal="center" vertical="center"/>
    </xf>
    <xf numFmtId="0" fontId="31" fillId="10" borderId="17" xfId="0" applyFont="1" applyFill="1" applyBorder="1" applyAlignment="1">
      <alignment horizontal="center" vertical="center"/>
    </xf>
    <xf numFmtId="0" fontId="31" fillId="10" borderId="18" xfId="0" applyFont="1" applyFill="1" applyBorder="1" applyAlignment="1">
      <alignment horizontal="center" vertical="center"/>
    </xf>
    <xf numFmtId="190" fontId="30" fillId="10" borderId="2" xfId="0" applyNumberFormat="1" applyFont="1" applyFill="1" applyBorder="1" applyAlignment="1">
      <alignment horizontal="center" vertical="center"/>
    </xf>
    <xf numFmtId="189" fontId="30" fillId="10" borderId="2" xfId="0" applyNumberFormat="1" applyFont="1" applyFill="1" applyBorder="1" applyAlignment="1">
      <alignment horizontal="center" vertical="center"/>
    </xf>
    <xf numFmtId="0" fontId="31" fillId="10" borderId="16" xfId="0" applyFont="1" applyFill="1" applyBorder="1" applyAlignment="1">
      <alignment horizontal="center" vertical="center"/>
    </xf>
    <xf numFmtId="0" fontId="30" fillId="10" borderId="19" xfId="0" applyFont="1" applyFill="1" applyBorder="1" applyAlignment="1">
      <alignment horizontal="center" vertical="center"/>
    </xf>
    <xf numFmtId="188" fontId="16" fillId="0" borderId="0" xfId="55" applyNumberFormat="1" applyFont="1" applyFill="1" applyAlignment="1">
      <alignment horizontal="center" vertical="center"/>
    </xf>
    <xf numFmtId="0" fontId="35" fillId="0" borderId="20" xfId="0" applyFont="1" applyFill="1" applyBorder="1" applyAlignment="1">
      <alignment horizontal="left" vertical="center" wrapText="1"/>
    </xf>
    <xf numFmtId="0" fontId="35" fillId="0" borderId="21" xfId="0" applyFont="1" applyFill="1" applyBorder="1" applyAlignment="1">
      <alignment horizontal="left" vertical="center"/>
    </xf>
    <xf numFmtId="0" fontId="35" fillId="0" borderId="17" xfId="0" applyFont="1" applyFill="1" applyBorder="1" applyAlignment="1">
      <alignment horizontal="left" vertical="center"/>
    </xf>
    <xf numFmtId="0" fontId="35" fillId="0" borderId="22" xfId="0" applyFont="1" applyFill="1" applyBorder="1" applyAlignment="1">
      <alignment horizontal="left" vertical="center"/>
    </xf>
    <xf numFmtId="0" fontId="16" fillId="0" borderId="23" xfId="0" applyFont="1" applyFill="1" applyBorder="1" applyAlignment="1">
      <alignment horizontal="center" vertical="center"/>
    </xf>
    <xf numFmtId="2" fontId="16" fillId="0" borderId="23" xfId="0" applyNumberFormat="1" applyFont="1" applyFill="1" applyBorder="1" applyAlignment="1">
      <alignment horizontal="center" vertical="center"/>
    </xf>
    <xf numFmtId="4" fontId="16" fillId="0" borderId="23" xfId="0" applyNumberFormat="1" applyFont="1" applyFill="1" applyBorder="1" applyAlignment="1">
      <alignment horizontal="center" vertical="center"/>
    </xf>
    <xf numFmtId="4" fontId="16" fillId="0" borderId="0" xfId="0" applyNumberFormat="1" applyFont="1" applyFill="1" applyBorder="1" applyAlignment="1">
      <alignment horizontal="center" vertical="center"/>
    </xf>
    <xf numFmtId="189" fontId="16" fillId="0" borderId="0" xfId="0" applyNumberFormat="1" applyFont="1" applyFill="1" applyBorder="1" applyAlignment="1">
      <alignment horizontal="center" vertical="center"/>
    </xf>
    <xf numFmtId="4" fontId="18" fillId="0" borderId="0" xfId="0" applyNumberFormat="1" applyFont="1" applyFill="1" applyBorder="1" applyAlignment="1">
      <alignment horizontal="center" vertical="center"/>
    </xf>
    <xf numFmtId="0" fontId="36" fillId="0" borderId="0" xfId="0" applyFont="1" applyFill="1" applyBorder="1" applyAlignment="1">
      <alignment horizontal="center" vertical="center"/>
    </xf>
    <xf numFmtId="189" fontId="36" fillId="0" borderId="0" xfId="0" applyNumberFormat="1" applyFont="1" applyFill="1" applyBorder="1" applyAlignment="1">
      <alignment horizontal="center" vertical="center"/>
    </xf>
    <xf numFmtId="188" fontId="16" fillId="0" borderId="0" xfId="55" applyNumberFormat="1" applyFont="1" applyFill="1" applyBorder="1" applyAlignment="1">
      <alignment horizontal="center" vertical="center"/>
    </xf>
    <xf numFmtId="191" fontId="37" fillId="0" borderId="24" xfId="0" applyNumberFormat="1" applyFont="1" applyFill="1" applyBorder="1" applyAlignment="1">
      <alignment horizontal="center" vertical="center"/>
    </xf>
    <xf numFmtId="0" fontId="37" fillId="0" borderId="25" xfId="0" applyNumberFormat="1" applyFont="1" applyFill="1" applyBorder="1" applyAlignment="1">
      <alignment horizontal="center" vertical="center"/>
    </xf>
    <xf numFmtId="191" fontId="37" fillId="0" borderId="0" xfId="0" applyNumberFormat="1" applyFont="1" applyFill="1" applyBorder="1" applyAlignment="1">
      <alignment horizontal="center" vertical="center"/>
    </xf>
    <xf numFmtId="58" fontId="16" fillId="0" borderId="2"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19" fillId="0" borderId="2" xfId="0" applyFont="1" applyFill="1" applyBorder="1" applyAlignment="1">
      <alignment horizontal="center" vertical="center"/>
    </xf>
    <xf numFmtId="58" fontId="16" fillId="0" borderId="0" xfId="0" applyNumberFormat="1" applyFont="1" applyFill="1" applyBorder="1" applyAlignment="1">
      <alignment horizontal="center" vertical="center"/>
    </xf>
    <xf numFmtId="0" fontId="38" fillId="0" borderId="2" xfId="0" applyFont="1" applyFill="1" applyBorder="1" applyAlignment="1">
      <alignment horizontal="center" vertical="center"/>
    </xf>
    <xf numFmtId="58" fontId="16" fillId="3"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23" fillId="0" borderId="0" xfId="0" applyFont="1" applyFill="1" applyBorder="1" applyAlignment="1">
      <alignment horizontal="left" vertical="center"/>
    </xf>
    <xf numFmtId="0" fontId="17" fillId="0" borderId="0" xfId="0" applyFont="1" applyFill="1" applyBorder="1" applyAlignment="1">
      <alignment horizontal="left" vertical="center"/>
    </xf>
    <xf numFmtId="0" fontId="18" fillId="0" borderId="0" xfId="0" applyFont="1" applyFill="1" applyBorder="1" applyAlignment="1">
      <alignment horizontal="left" vertical="center"/>
    </xf>
    <xf numFmtId="0" fontId="16" fillId="0" borderId="0" xfId="0" applyFont="1" applyFill="1" applyBorder="1" applyAlignment="1">
      <alignment horizontal="left" vertical="center"/>
    </xf>
    <xf numFmtId="0" fontId="39" fillId="0" borderId="0" xfId="52" applyFont="1" applyFill="1" applyAlignment="1">
      <alignment horizontal="left" vertical="center"/>
    </xf>
    <xf numFmtId="0" fontId="40" fillId="13" borderId="2" xfId="52" applyFont="1" applyFill="1" applyBorder="1" applyAlignment="1">
      <alignment horizontal="left" vertical="center"/>
    </xf>
    <xf numFmtId="0" fontId="40" fillId="13" borderId="6" xfId="52" applyFont="1" applyFill="1" applyBorder="1" applyAlignment="1">
      <alignment horizontal="left" vertical="center"/>
    </xf>
    <xf numFmtId="189" fontId="41" fillId="14" borderId="2" xfId="52" applyNumberFormat="1" applyFont="1" applyFill="1" applyBorder="1" applyAlignment="1">
      <alignment horizontal="left" vertical="center" wrapText="1"/>
    </xf>
    <xf numFmtId="189" fontId="41" fillId="14" borderId="8" xfId="52" applyNumberFormat="1" applyFont="1" applyFill="1" applyBorder="1" applyAlignment="1">
      <alignment horizontal="left" vertical="center" wrapText="1"/>
    </xf>
    <xf numFmtId="58" fontId="40" fillId="13" borderId="6" xfId="52" applyNumberFormat="1" applyFont="1" applyFill="1" applyBorder="1" applyAlignment="1">
      <alignment horizontal="left" vertical="center"/>
    </xf>
    <xf numFmtId="14" fontId="41" fillId="14" borderId="2" xfId="52" applyNumberFormat="1" applyFont="1" applyFill="1" applyBorder="1" applyAlignment="1">
      <alignment horizontal="left" vertical="center" wrapText="1"/>
    </xf>
    <xf numFmtId="14" fontId="42" fillId="14" borderId="2" xfId="52" applyNumberFormat="1" applyFont="1" applyFill="1" applyBorder="1" applyAlignment="1">
      <alignment horizontal="left" vertical="center" wrapText="1"/>
    </xf>
    <xf numFmtId="0" fontId="30" fillId="10" borderId="26" xfId="0" applyFont="1" applyFill="1" applyBorder="1" applyAlignment="1">
      <alignment horizontal="left" vertical="center"/>
    </xf>
    <xf numFmtId="0" fontId="30" fillId="10" borderId="3" xfId="0" applyFont="1" applyFill="1" applyBorder="1" applyAlignment="1">
      <alignment horizontal="left" vertical="center" wrapText="1" shrinkToFit="1"/>
    </xf>
    <xf numFmtId="0" fontId="30" fillId="10" borderId="27" xfId="0" applyFont="1" applyFill="1" applyBorder="1" applyAlignment="1">
      <alignment horizontal="left" vertical="center" wrapText="1" shrinkToFit="1"/>
    </xf>
    <xf numFmtId="189" fontId="43" fillId="10" borderId="27" xfId="0" applyNumberFormat="1" applyFont="1" applyFill="1" applyBorder="1" applyAlignment="1">
      <alignment horizontal="left" vertical="center"/>
    </xf>
    <xf numFmtId="189" fontId="44" fillId="10" borderId="27" xfId="0" applyNumberFormat="1" applyFont="1" applyFill="1" applyBorder="1" applyAlignment="1">
      <alignment horizontal="left" vertical="center"/>
    </xf>
    <xf numFmtId="189" fontId="45" fillId="10" borderId="25" xfId="0" applyNumberFormat="1" applyFont="1" applyFill="1" applyBorder="1" applyAlignment="1">
      <alignment horizontal="left" vertical="center"/>
    </xf>
    <xf numFmtId="189" fontId="30" fillId="10" borderId="25" xfId="0" applyNumberFormat="1" applyFont="1" applyFill="1" applyBorder="1" applyAlignment="1">
      <alignment horizontal="left" vertical="center"/>
    </xf>
    <xf numFmtId="189" fontId="30" fillId="10" borderId="28" xfId="0" applyNumberFormat="1" applyFont="1" applyFill="1" applyBorder="1" applyAlignment="1">
      <alignment horizontal="left" vertical="center"/>
    </xf>
    <xf numFmtId="189" fontId="45" fillId="10" borderId="28" xfId="0" applyNumberFormat="1" applyFont="1" applyFill="1" applyBorder="1" applyAlignment="1">
      <alignment horizontal="left" vertical="center"/>
    </xf>
    <xf numFmtId="189" fontId="29" fillId="3" borderId="28" xfId="0" applyNumberFormat="1" applyFont="1" applyFill="1" applyBorder="1" applyAlignment="1">
      <alignment horizontal="left" vertical="center"/>
    </xf>
    <xf numFmtId="189" fontId="29" fillId="3" borderId="28" xfId="0" applyNumberFormat="1" applyFont="1" applyFill="1" applyBorder="1" applyAlignment="1">
      <alignment horizontal="center" vertical="center"/>
    </xf>
    <xf numFmtId="0" fontId="30" fillId="10" borderId="8" xfId="0" applyFont="1" applyFill="1" applyBorder="1" applyAlignment="1">
      <alignment horizontal="left" vertical="center"/>
    </xf>
    <xf numFmtId="0" fontId="18" fillId="0" borderId="29" xfId="0" applyFont="1" applyFill="1" applyBorder="1" applyAlignment="1">
      <alignment horizontal="left" vertical="center" wrapText="1"/>
    </xf>
    <xf numFmtId="0" fontId="21" fillId="8" borderId="2" xfId="0" applyFont="1" applyFill="1" applyBorder="1" applyAlignment="1">
      <alignment horizontal="left" vertical="center" shrinkToFit="1"/>
    </xf>
    <xf numFmtId="0" fontId="22" fillId="8" borderId="2" xfId="0" applyFont="1" applyFill="1" applyBorder="1" applyAlignment="1">
      <alignment horizontal="left" vertical="center" shrinkToFit="1"/>
    </xf>
    <xf numFmtId="189" fontId="18" fillId="7" borderId="6" xfId="0" applyNumberFormat="1" applyFont="1" applyFill="1" applyBorder="1" applyAlignment="1">
      <alignment horizontal="left" vertical="center"/>
    </xf>
    <xf numFmtId="189" fontId="18" fillId="9" borderId="6" xfId="0" applyNumberFormat="1" applyFont="1" applyFill="1" applyBorder="1" applyAlignment="1">
      <alignment horizontal="left" vertical="center"/>
    </xf>
    <xf numFmtId="189" fontId="18" fillId="9" borderId="6" xfId="0" applyNumberFormat="1" applyFont="1" applyFill="1" applyBorder="1" applyAlignment="1">
      <alignment horizontal="left" vertical="center" wrapText="1"/>
    </xf>
    <xf numFmtId="0" fontId="16" fillId="8" borderId="8" xfId="0" applyFont="1" applyFill="1" applyBorder="1" applyAlignment="1">
      <alignment horizontal="left" vertical="center" wrapText="1"/>
    </xf>
    <xf numFmtId="0" fontId="46" fillId="3" borderId="2" xfId="0" applyFont="1" applyFill="1" applyBorder="1" applyAlignment="1">
      <alignment horizontal="left" vertical="center"/>
    </xf>
    <xf numFmtId="0" fontId="47" fillId="3" borderId="2" xfId="0" applyFont="1" applyFill="1" applyBorder="1" applyAlignment="1">
      <alignment horizontal="center" vertical="center"/>
    </xf>
    <xf numFmtId="0" fontId="47" fillId="15" borderId="2" xfId="0" applyFont="1" applyFill="1" applyBorder="1" applyAlignment="1">
      <alignment horizontal="center" vertical="center"/>
    </xf>
    <xf numFmtId="0" fontId="47" fillId="3" borderId="2" xfId="0" applyFont="1" applyFill="1" applyBorder="1" applyAlignment="1">
      <alignment horizontal="left" vertical="center"/>
    </xf>
    <xf numFmtId="0" fontId="30" fillId="10" borderId="11" xfId="0" applyFont="1" applyFill="1" applyBorder="1" applyAlignment="1">
      <alignment horizontal="left" vertical="center"/>
    </xf>
    <xf numFmtId="0" fontId="30" fillId="10" borderId="12" xfId="0" applyFont="1" applyFill="1" applyBorder="1" applyAlignment="1">
      <alignment horizontal="left" vertical="center"/>
    </xf>
    <xf numFmtId="189" fontId="30" fillId="10" borderId="6" xfId="0" applyNumberFormat="1" applyFont="1" applyFill="1" applyBorder="1" applyAlignment="1">
      <alignment horizontal="left" vertical="center"/>
    </xf>
    <xf numFmtId="189" fontId="30" fillId="10" borderId="12" xfId="0" applyNumberFormat="1" applyFont="1" applyFill="1" applyBorder="1" applyAlignment="1">
      <alignment horizontal="left" vertical="center"/>
    </xf>
    <xf numFmtId="0" fontId="47" fillId="0" borderId="2" xfId="0" applyFont="1" applyFill="1" applyBorder="1" applyAlignment="1">
      <alignment horizontal="left" vertical="center"/>
    </xf>
    <xf numFmtId="0" fontId="18" fillId="0" borderId="30" xfId="0" applyFont="1" applyFill="1" applyBorder="1" applyAlignment="1">
      <alignment horizontal="left" vertical="center" wrapText="1"/>
    </xf>
    <xf numFmtId="0" fontId="32" fillId="11" borderId="2" xfId="0" applyFont="1" applyFill="1" applyBorder="1" applyAlignment="1">
      <alignment horizontal="left" vertical="center" shrinkToFit="1"/>
    </xf>
    <xf numFmtId="192" fontId="16" fillId="7" borderId="6" xfId="3" applyNumberFormat="1" applyFont="1" applyFill="1" applyBorder="1" applyAlignment="1">
      <alignment horizontal="left" vertical="center"/>
    </xf>
    <xf numFmtId="189" fontId="18" fillId="9" borderId="12" xfId="0" applyNumberFormat="1" applyFont="1" applyFill="1" applyBorder="1" applyAlignment="1">
      <alignment horizontal="center" vertical="center"/>
    </xf>
    <xf numFmtId="189" fontId="18" fillId="9" borderId="8" xfId="0" applyNumberFormat="1" applyFont="1" applyFill="1" applyBorder="1" applyAlignment="1">
      <alignment horizontal="center" vertical="center"/>
    </xf>
    <xf numFmtId="189" fontId="18" fillId="9" borderId="2" xfId="0" applyNumberFormat="1" applyFont="1" applyFill="1" applyBorder="1" applyAlignment="1">
      <alignment horizontal="center" vertical="center" wrapText="1"/>
    </xf>
    <xf numFmtId="0" fontId="48" fillId="12" borderId="8" xfId="0" applyFont="1" applyFill="1" applyBorder="1" applyAlignment="1">
      <alignment horizontal="left" vertical="center" wrapText="1"/>
    </xf>
    <xf numFmtId="0" fontId="18" fillId="0" borderId="2" xfId="0" applyFont="1" applyFill="1" applyBorder="1" applyAlignment="1">
      <alignment horizontal="left" vertical="center"/>
    </xf>
    <xf numFmtId="0" fontId="18" fillId="0" borderId="14" xfId="0" applyFont="1" applyFill="1" applyBorder="1" applyAlignment="1">
      <alignment horizontal="left" vertical="center" wrapText="1"/>
    </xf>
    <xf numFmtId="0" fontId="46" fillId="0" borderId="2" xfId="0" applyFont="1" applyFill="1" applyBorder="1" applyAlignment="1">
      <alignment horizontal="left" vertical="center"/>
    </xf>
    <xf numFmtId="0" fontId="32" fillId="16" borderId="2" xfId="0" applyFont="1" applyFill="1" applyBorder="1" applyAlignment="1">
      <alignment horizontal="left" vertical="center" shrinkToFit="1"/>
    </xf>
    <xf numFmtId="0" fontId="32" fillId="3" borderId="2" xfId="0" applyFont="1" applyFill="1" applyBorder="1" applyAlignment="1">
      <alignment horizontal="left" vertical="center" shrinkToFit="1"/>
    </xf>
    <xf numFmtId="188" fontId="18" fillId="0" borderId="0" xfId="1" applyNumberFormat="1" applyFont="1" applyFill="1" applyAlignment="1">
      <alignment horizontal="left" vertical="center"/>
    </xf>
    <xf numFmtId="14" fontId="17" fillId="0" borderId="0" xfId="0" applyNumberFormat="1" applyFont="1" applyFill="1" applyBorder="1" applyAlignment="1">
      <alignment horizontal="left" vertical="center"/>
    </xf>
    <xf numFmtId="189" fontId="18" fillId="9" borderId="31" xfId="0" applyNumberFormat="1" applyFont="1" applyFill="1" applyBorder="1" applyAlignment="1">
      <alignment horizontal="left" vertical="center"/>
    </xf>
    <xf numFmtId="0" fontId="18" fillId="10" borderId="15" xfId="0" applyFont="1" applyFill="1" applyBorder="1" applyAlignment="1">
      <alignment horizontal="left" vertical="center" wrapText="1"/>
    </xf>
    <xf numFmtId="0" fontId="30" fillId="10" borderId="16" xfId="0" applyFont="1" applyFill="1" applyBorder="1" applyAlignment="1">
      <alignment horizontal="left" vertical="center"/>
    </xf>
    <xf numFmtId="189" fontId="30" fillId="10" borderId="2" xfId="0" applyNumberFormat="1" applyFont="1" applyFill="1" applyBorder="1" applyAlignment="1">
      <alignment horizontal="left" vertical="center"/>
    </xf>
    <xf numFmtId="190" fontId="30" fillId="10" borderId="2" xfId="0" applyNumberFormat="1" applyFont="1" applyFill="1" applyBorder="1" applyAlignment="1">
      <alignment horizontal="left" vertical="center"/>
    </xf>
    <xf numFmtId="189" fontId="30" fillId="10" borderId="9" xfId="0" applyNumberFormat="1" applyFont="1" applyFill="1" applyBorder="1" applyAlignment="1">
      <alignment horizontal="center" vertical="center"/>
    </xf>
    <xf numFmtId="189" fontId="30" fillId="10" borderId="10" xfId="0" applyNumberFormat="1" applyFont="1" applyFill="1" applyBorder="1" applyAlignment="1">
      <alignment horizontal="center" vertical="center"/>
    </xf>
    <xf numFmtId="0" fontId="31" fillId="10" borderId="16" xfId="0" applyFont="1" applyFill="1" applyBorder="1" applyAlignment="1">
      <alignment horizontal="left" vertical="center"/>
    </xf>
    <xf numFmtId="188" fontId="16" fillId="0" borderId="0" xfId="55" applyNumberFormat="1" applyFont="1" applyFill="1" applyAlignment="1">
      <alignment horizontal="left" vertical="center"/>
    </xf>
    <xf numFmtId="0" fontId="16" fillId="0" borderId="23" xfId="0" applyFont="1" applyFill="1" applyBorder="1" applyAlignment="1">
      <alignment horizontal="left" vertical="center"/>
    </xf>
    <xf numFmtId="4" fontId="16" fillId="0" borderId="0" xfId="0" applyNumberFormat="1" applyFont="1" applyFill="1" applyBorder="1" applyAlignment="1">
      <alignment horizontal="left" vertical="center"/>
    </xf>
    <xf numFmtId="189" fontId="16" fillId="0" borderId="0" xfId="0" applyNumberFormat="1" applyFont="1" applyFill="1" applyBorder="1" applyAlignment="1">
      <alignment horizontal="left" vertical="center"/>
    </xf>
    <xf numFmtId="0" fontId="36" fillId="0" borderId="0" xfId="0" applyFont="1" applyFill="1" applyBorder="1" applyAlignment="1">
      <alignment horizontal="left" vertical="center"/>
    </xf>
    <xf numFmtId="189" fontId="36" fillId="0" borderId="0" xfId="0" applyNumberFormat="1" applyFont="1" applyFill="1" applyBorder="1" applyAlignment="1">
      <alignment horizontal="left" vertical="center"/>
    </xf>
    <xf numFmtId="188" fontId="16" fillId="0" borderId="0" xfId="55" applyNumberFormat="1" applyFont="1" applyFill="1" applyBorder="1" applyAlignment="1">
      <alignment horizontal="left" vertical="center"/>
    </xf>
    <xf numFmtId="0" fontId="49" fillId="0" borderId="0" xfId="0" applyFont="1" applyFill="1" applyBorder="1" applyAlignment="1">
      <alignment horizontal="left" vertical="center"/>
    </xf>
    <xf numFmtId="0" fontId="0" fillId="0" borderId="0" xfId="0" applyFill="1" applyAlignment="1">
      <alignment horizontal="center" vertical="center"/>
    </xf>
    <xf numFmtId="0" fontId="0" fillId="3" borderId="0" xfId="0" applyFill="1" applyAlignment="1">
      <alignment horizontal="center" vertical="center"/>
    </xf>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0" fillId="0" borderId="1" xfId="0" applyFill="1" applyBorder="1" applyAlignment="1">
      <alignment horizontal="center" vertical="center"/>
    </xf>
    <xf numFmtId="0" fontId="0" fillId="2" borderId="0" xfId="0" applyFill="1" applyAlignment="1">
      <alignment horizontal="center" vertical="center"/>
    </xf>
    <xf numFmtId="0" fontId="0" fillId="17" borderId="1" xfId="0" applyFill="1" applyBorder="1" applyAlignment="1">
      <alignment horizontal="center" vertical="center"/>
    </xf>
    <xf numFmtId="0" fontId="0" fillId="0" borderId="0" xfId="0" applyAlignment="1">
      <alignment horizontal="center" vertical="center"/>
    </xf>
    <xf numFmtId="0" fontId="50" fillId="0" borderId="0" xfId="0" applyFont="1" applyAlignment="1">
      <alignment horizontal="center" vertical="center"/>
    </xf>
    <xf numFmtId="0" fontId="51" fillId="0" borderId="0" xfId="0" applyFont="1" applyAlignment="1">
      <alignment horizontal="center" vertical="center"/>
    </xf>
    <xf numFmtId="0" fontId="7" fillId="0" borderId="2" xfId="0" applyFont="1" applyFill="1" applyBorder="1" applyAlignment="1">
      <alignment horizontal="center" vertical="center" wrapText="1"/>
    </xf>
    <xf numFmtId="0" fontId="51" fillId="18" borderId="2" xfId="0" applyFont="1" applyFill="1" applyBorder="1" applyAlignment="1">
      <alignment horizontal="center" vertical="center" wrapText="1"/>
    </xf>
    <xf numFmtId="0" fontId="52" fillId="18" borderId="2" xfId="0" applyFont="1" applyFill="1" applyBorder="1" applyAlignment="1">
      <alignment horizontal="center" vertical="center" wrapText="1"/>
    </xf>
    <xf numFmtId="0" fontId="53" fillId="18" borderId="2" xfId="0" applyFont="1" applyFill="1" applyBorder="1" applyAlignment="1">
      <alignment horizontal="center" vertical="center" wrapText="1"/>
    </xf>
    <xf numFmtId="0" fontId="54" fillId="18" borderId="2" xfId="0" applyFont="1" applyFill="1" applyBorder="1" applyAlignment="1">
      <alignment horizontal="center" vertical="center" wrapText="1"/>
    </xf>
    <xf numFmtId="0" fontId="52" fillId="18" borderId="8" xfId="0" applyFont="1" applyFill="1" applyBorder="1" applyAlignment="1">
      <alignment horizontal="center" vertical="center" wrapText="1"/>
    </xf>
    <xf numFmtId="0" fontId="55" fillId="18" borderId="32" xfId="0" applyFont="1" applyFill="1" applyBorder="1" applyAlignment="1">
      <alignment horizontal="center" vertical="center" wrapText="1"/>
    </xf>
    <xf numFmtId="0" fontId="55" fillId="18" borderId="33" xfId="0" applyFont="1" applyFill="1" applyBorder="1" applyAlignment="1">
      <alignment horizontal="center" vertical="center" wrapText="1"/>
    </xf>
    <xf numFmtId="0" fontId="56" fillId="18" borderId="34" xfId="0" applyFont="1" applyFill="1" applyBorder="1" applyAlignment="1">
      <alignment horizontal="center" vertical="center" wrapText="1"/>
    </xf>
    <xf numFmtId="0" fontId="51" fillId="18" borderId="32"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3" fillId="18" borderId="34" xfId="0" applyFont="1" applyFill="1" applyBorder="1" applyAlignment="1">
      <alignment horizontal="center" vertical="center" wrapText="1"/>
    </xf>
    <xf numFmtId="0" fontId="57" fillId="18" borderId="6" xfId="0" applyFont="1" applyFill="1" applyBorder="1" applyAlignment="1">
      <alignment horizontal="center" vertical="center" wrapText="1"/>
    </xf>
    <xf numFmtId="0" fontId="52" fillId="18" borderId="6" xfId="0" applyFont="1" applyFill="1" applyBorder="1" applyAlignment="1">
      <alignment horizontal="center" vertical="center" wrapText="1"/>
    </xf>
    <xf numFmtId="0" fontId="57" fillId="18" borderId="2" xfId="0" applyFont="1" applyFill="1" applyBorder="1" applyAlignment="1">
      <alignment horizontal="center" vertical="center" wrapText="1"/>
    </xf>
    <xf numFmtId="0" fontId="58" fillId="18" borderId="2" xfId="0" applyFont="1" applyFill="1" applyBorder="1" applyAlignment="1">
      <alignment horizontal="center" vertical="center" wrapText="1"/>
    </xf>
    <xf numFmtId="0" fontId="55" fillId="18" borderId="2" xfId="0" applyFont="1" applyFill="1" applyBorder="1" applyAlignment="1">
      <alignment horizontal="center" vertical="center" wrapText="1"/>
    </xf>
    <xf numFmtId="0" fontId="52" fillId="0" borderId="2" xfId="0" applyFont="1" applyFill="1" applyBorder="1" applyAlignment="1">
      <alignment horizontal="center" vertical="center" wrapText="1"/>
    </xf>
    <xf numFmtId="0" fontId="51" fillId="0" borderId="2" xfId="0" applyFont="1" applyFill="1" applyBorder="1" applyAlignment="1">
      <alignment horizontal="center" vertical="center"/>
    </xf>
    <xf numFmtId="58" fontId="59" fillId="0" borderId="2" xfId="0" applyNumberFormat="1" applyFont="1" applyFill="1" applyBorder="1" applyAlignment="1">
      <alignment horizontal="center" vertical="center"/>
    </xf>
    <xf numFmtId="0" fontId="59" fillId="0" borderId="2" xfId="0" applyFont="1" applyFill="1" applyBorder="1" applyAlignment="1">
      <alignment horizontal="left" vertical="center"/>
    </xf>
    <xf numFmtId="0" fontId="59" fillId="0" borderId="2" xfId="0" applyFont="1" applyFill="1" applyBorder="1" applyAlignment="1">
      <alignment horizontal="center" vertical="center"/>
    </xf>
    <xf numFmtId="0" fontId="59" fillId="0" borderId="2" xfId="0" applyFont="1" applyFill="1" applyBorder="1" applyAlignment="1">
      <alignment horizontal="center" vertical="center" wrapText="1"/>
    </xf>
    <xf numFmtId="0" fontId="60" fillId="0" borderId="2" xfId="0" applyFont="1" applyFill="1" applyBorder="1" applyAlignment="1">
      <alignment horizontal="center" vertical="center"/>
    </xf>
    <xf numFmtId="0" fontId="60" fillId="0" borderId="3" xfId="0" applyFont="1" applyFill="1" applyBorder="1" applyAlignment="1">
      <alignment horizontal="center" vertical="center"/>
    </xf>
    <xf numFmtId="0" fontId="60" fillId="0" borderId="2" xfId="0" applyFont="1" applyFill="1" applyBorder="1" applyAlignment="1">
      <alignment horizontal="left"/>
    </xf>
    <xf numFmtId="58" fontId="59" fillId="3" borderId="2" xfId="0" applyNumberFormat="1" applyFont="1" applyFill="1" applyBorder="1" applyAlignment="1">
      <alignment horizontal="center" vertical="center"/>
    </xf>
    <xf numFmtId="0" fontId="59" fillId="3" borderId="2" xfId="0" applyFont="1" applyFill="1" applyBorder="1" applyAlignment="1">
      <alignment horizontal="left" vertical="center"/>
    </xf>
    <xf numFmtId="0" fontId="59" fillId="3" borderId="2" xfId="0" applyFont="1" applyFill="1" applyBorder="1" applyAlignment="1">
      <alignment horizontal="center" vertical="center"/>
    </xf>
    <xf numFmtId="0" fontId="59" fillId="3" borderId="2" xfId="0" applyFont="1" applyFill="1" applyBorder="1" applyAlignment="1">
      <alignment horizontal="center" vertical="center" wrapText="1"/>
    </xf>
    <xf numFmtId="0" fontId="60" fillId="3" borderId="2" xfId="0" applyFont="1" applyFill="1" applyBorder="1" applyAlignment="1">
      <alignment horizontal="center" vertical="center"/>
    </xf>
    <xf numFmtId="0" fontId="60" fillId="3" borderId="2" xfId="0" applyFont="1" applyFill="1" applyBorder="1" applyAlignment="1">
      <alignment horizontal="left"/>
    </xf>
    <xf numFmtId="0" fontId="60" fillId="0" borderId="2" xfId="0" applyFont="1" applyFill="1" applyBorder="1" applyAlignment="1">
      <alignment horizontal="left" wrapText="1"/>
    </xf>
    <xf numFmtId="0" fontId="61" fillId="0" borderId="3" xfId="0" applyFont="1" applyFill="1" applyBorder="1" applyAlignment="1">
      <alignment horizontal="left" vertical="center" wrapText="1"/>
    </xf>
    <xf numFmtId="0" fontId="62" fillId="3" borderId="1" xfId="0" applyFont="1" applyFill="1" applyBorder="1" applyAlignment="1">
      <alignment horizontal="left" vertical="center" wrapText="1"/>
    </xf>
    <xf numFmtId="0" fontId="62" fillId="3" borderId="35" xfId="0" applyFont="1" applyFill="1" applyBorder="1" applyAlignment="1">
      <alignment horizontal="left" vertical="center" wrapText="1"/>
    </xf>
    <xf numFmtId="0" fontId="63" fillId="0" borderId="2" xfId="0" applyFont="1" applyFill="1" applyBorder="1" applyAlignment="1">
      <alignment horizontal="left"/>
    </xf>
    <xf numFmtId="58" fontId="59" fillId="0" borderId="4" xfId="0" applyNumberFormat="1" applyFont="1" applyFill="1" applyBorder="1" applyAlignment="1">
      <alignment horizontal="center" vertical="center"/>
    </xf>
    <xf numFmtId="0" fontId="59" fillId="0" borderId="4" xfId="0" applyFont="1" applyFill="1" applyBorder="1" applyAlignment="1">
      <alignment horizontal="left" vertical="center"/>
    </xf>
    <xf numFmtId="0" fontId="59" fillId="0" borderId="4" xfId="0" applyFont="1" applyFill="1" applyBorder="1" applyAlignment="1">
      <alignment horizontal="center" vertical="center" wrapText="1"/>
    </xf>
    <xf numFmtId="0" fontId="59" fillId="0" borderId="4" xfId="0" applyFont="1" applyFill="1" applyBorder="1" applyAlignment="1">
      <alignment horizontal="center" vertical="center"/>
    </xf>
    <xf numFmtId="0" fontId="60" fillId="0" borderId="4" xfId="0" applyFont="1" applyFill="1" applyBorder="1" applyAlignment="1">
      <alignment horizontal="center" vertical="center"/>
    </xf>
    <xf numFmtId="0" fontId="60" fillId="0" borderId="4" xfId="0" applyFont="1" applyFill="1" applyBorder="1" applyAlignment="1">
      <alignment horizontal="left"/>
    </xf>
    <xf numFmtId="58" fontId="59" fillId="0" borderId="3" xfId="0" applyNumberFormat="1" applyFont="1" applyFill="1" applyBorder="1" applyAlignment="1">
      <alignment horizontal="center" vertical="center"/>
    </xf>
    <xf numFmtId="0" fontId="59" fillId="0" borderId="3" xfId="0" applyFont="1" applyFill="1" applyBorder="1" applyAlignment="1">
      <alignment horizontal="left" vertical="center"/>
    </xf>
    <xf numFmtId="0" fontId="59" fillId="0" borderId="3" xfId="0" applyFont="1" applyFill="1" applyBorder="1" applyAlignment="1">
      <alignment horizontal="center" vertical="center"/>
    </xf>
    <xf numFmtId="0" fontId="59" fillId="0" borderId="3" xfId="0" applyFont="1" applyFill="1" applyBorder="1" applyAlignment="1">
      <alignment horizontal="center" vertical="center" wrapText="1"/>
    </xf>
    <xf numFmtId="0" fontId="60" fillId="0" borderId="3" xfId="0" applyFont="1" applyFill="1" applyBorder="1" applyAlignment="1">
      <alignment horizontal="left"/>
    </xf>
    <xf numFmtId="58" fontId="59" fillId="0" borderId="7" xfId="0" applyNumberFormat="1" applyFont="1" applyFill="1" applyBorder="1" applyAlignment="1">
      <alignment horizontal="center" vertical="center"/>
    </xf>
    <xf numFmtId="0" fontId="59" fillId="0" borderId="7" xfId="0" applyFont="1" applyFill="1" applyBorder="1" applyAlignment="1">
      <alignment horizontal="left" vertical="center"/>
    </xf>
    <xf numFmtId="0" fontId="59" fillId="0" borderId="7" xfId="0" applyFont="1" applyFill="1" applyBorder="1" applyAlignment="1">
      <alignment horizontal="center" vertical="center"/>
    </xf>
    <xf numFmtId="0" fontId="59" fillId="0" borderId="7" xfId="0" applyFont="1" applyFill="1" applyBorder="1" applyAlignment="1">
      <alignment horizontal="center" vertical="center" wrapText="1"/>
    </xf>
    <xf numFmtId="0" fontId="60" fillId="0" borderId="7" xfId="0" applyFont="1" applyFill="1" applyBorder="1" applyAlignment="1">
      <alignment horizontal="center" vertical="center"/>
    </xf>
    <xf numFmtId="0" fontId="60" fillId="0" borderId="7" xfId="0" applyFont="1" applyFill="1" applyBorder="1" applyAlignment="1">
      <alignment horizontal="left"/>
    </xf>
    <xf numFmtId="0" fontId="59" fillId="0" borderId="2" xfId="0" applyFont="1" applyFill="1" applyBorder="1" applyAlignment="1">
      <alignment horizontal="left" vertical="center" wrapText="1"/>
    </xf>
    <xf numFmtId="58" fontId="59" fillId="0" borderId="1" xfId="0" applyNumberFormat="1" applyFont="1" applyFill="1" applyBorder="1" applyAlignment="1">
      <alignment horizontal="center" vertical="center"/>
    </xf>
    <xf numFmtId="0" fontId="59" fillId="0" borderId="1" xfId="0" applyFont="1" applyFill="1" applyBorder="1" applyAlignment="1">
      <alignment horizontal="left" vertical="center"/>
    </xf>
    <xf numFmtId="0" fontId="59" fillId="0" borderId="1" xfId="0" applyFont="1" applyFill="1" applyBorder="1" applyAlignment="1">
      <alignment horizontal="center" vertical="center" wrapText="1"/>
    </xf>
    <xf numFmtId="0" fontId="59" fillId="0" borderId="1" xfId="0" applyFont="1" applyFill="1" applyBorder="1" applyAlignment="1">
      <alignment horizontal="center" vertical="center"/>
    </xf>
    <xf numFmtId="0" fontId="60" fillId="0" borderId="1" xfId="0" applyFont="1" applyFill="1" applyBorder="1" applyAlignment="1">
      <alignment horizontal="center" vertical="center"/>
    </xf>
    <xf numFmtId="0" fontId="60" fillId="0" borderId="1" xfId="0" applyFont="1" applyFill="1" applyBorder="1" applyAlignment="1">
      <alignment horizontal="left"/>
    </xf>
    <xf numFmtId="0" fontId="63" fillId="0" borderId="3" xfId="0" applyFont="1" applyFill="1" applyBorder="1" applyAlignment="1">
      <alignment horizontal="center" vertical="center" wrapText="1"/>
    </xf>
    <xf numFmtId="0" fontId="63" fillId="0" borderId="3" xfId="0" applyFont="1" applyFill="1" applyBorder="1" applyAlignment="1">
      <alignment horizontal="center" vertical="center"/>
    </xf>
    <xf numFmtId="0" fontId="63" fillId="0" borderId="3" xfId="0" applyFont="1" applyFill="1" applyBorder="1" applyAlignment="1">
      <alignment horizontal="left"/>
    </xf>
    <xf numFmtId="0" fontId="63" fillId="0" borderId="2" xfId="0" applyFont="1" applyFill="1" applyBorder="1" applyAlignment="1">
      <alignment horizontal="center" vertical="center" wrapText="1"/>
    </xf>
    <xf numFmtId="0" fontId="63" fillId="0" borderId="3" xfId="0" applyFont="1" applyFill="1" applyBorder="1" applyAlignment="1">
      <alignment horizontal="left" wrapText="1"/>
    </xf>
    <xf numFmtId="58" fontId="59" fillId="3" borderId="3" xfId="0" applyNumberFormat="1" applyFont="1" applyFill="1" applyBorder="1" applyAlignment="1">
      <alignment horizontal="center" vertical="center"/>
    </xf>
    <xf numFmtId="0" fontId="59" fillId="3" borderId="3" xfId="0" applyFont="1" applyFill="1" applyBorder="1" applyAlignment="1">
      <alignment horizontal="center" vertical="center"/>
    </xf>
    <xf numFmtId="0" fontId="63" fillId="3" borderId="2" xfId="0" applyFont="1" applyFill="1" applyBorder="1" applyAlignment="1">
      <alignment horizontal="center" vertical="center" wrapText="1"/>
    </xf>
    <xf numFmtId="0" fontId="59" fillId="3" borderId="3" xfId="0" applyFont="1" applyFill="1" applyBorder="1" applyAlignment="1">
      <alignment horizontal="center" vertical="center" wrapText="1"/>
    </xf>
    <xf numFmtId="0" fontId="63" fillId="3" borderId="3" xfId="0" applyFont="1" applyFill="1" applyBorder="1" applyAlignment="1">
      <alignment horizontal="center" vertical="center" wrapText="1"/>
    </xf>
    <xf numFmtId="0" fontId="60" fillId="3" borderId="3" xfId="0" applyFont="1" applyFill="1" applyBorder="1" applyAlignment="1">
      <alignment horizontal="center" vertical="center"/>
    </xf>
    <xf numFmtId="0" fontId="63" fillId="3" borderId="3" xfId="0" applyFont="1" applyFill="1" applyBorder="1" applyAlignment="1">
      <alignment horizontal="left"/>
    </xf>
    <xf numFmtId="58" fontId="59" fillId="2" borderId="3" xfId="0" applyNumberFormat="1" applyFont="1" applyFill="1" applyBorder="1" applyAlignment="1">
      <alignment horizontal="center" vertical="center"/>
    </xf>
    <xf numFmtId="0" fontId="59" fillId="2" borderId="3" xfId="0" applyFont="1" applyFill="1" applyBorder="1" applyAlignment="1">
      <alignment horizontal="left" vertical="center"/>
    </xf>
    <xf numFmtId="0" fontId="63" fillId="2" borderId="2" xfId="0" applyFont="1" applyFill="1" applyBorder="1" applyAlignment="1">
      <alignment horizontal="center" vertical="center"/>
    </xf>
    <xf numFmtId="0" fontId="59" fillId="2" borderId="3" xfId="0" applyFont="1" applyFill="1" applyBorder="1" applyAlignment="1">
      <alignment horizontal="center" vertical="center"/>
    </xf>
    <xf numFmtId="0" fontId="59" fillId="2" borderId="3" xfId="0" applyFont="1" applyFill="1" applyBorder="1" applyAlignment="1">
      <alignment horizontal="center" vertical="center" wrapText="1"/>
    </xf>
    <xf numFmtId="0" fontId="60" fillId="2" borderId="3" xfId="0" applyFont="1" applyFill="1" applyBorder="1" applyAlignment="1">
      <alignment horizontal="center" vertical="center"/>
    </xf>
    <xf numFmtId="0" fontId="60" fillId="2" borderId="3" xfId="0" applyFont="1" applyFill="1" applyBorder="1" applyAlignment="1">
      <alignment horizontal="left"/>
    </xf>
    <xf numFmtId="0" fontId="63" fillId="2" borderId="3" xfId="0" applyFont="1" applyFill="1" applyBorder="1" applyAlignment="1">
      <alignment horizontal="center" vertical="center"/>
    </xf>
    <xf numFmtId="58" fontId="64" fillId="0" borderId="2" xfId="0" applyNumberFormat="1" applyFont="1" applyFill="1" applyBorder="1" applyAlignment="1">
      <alignment horizontal="center" vertical="center"/>
    </xf>
    <xf numFmtId="0" fontId="63" fillId="0" borderId="2" xfId="0" applyFont="1" applyFill="1" applyBorder="1" applyAlignment="1">
      <alignment horizontal="center" vertical="center"/>
    </xf>
    <xf numFmtId="0" fontId="64" fillId="0" borderId="2" xfId="0" applyFont="1" applyFill="1" applyBorder="1" applyAlignment="1">
      <alignment horizontal="center" vertical="center"/>
    </xf>
    <xf numFmtId="0" fontId="65" fillId="0" borderId="2" xfId="0" applyFont="1" applyFill="1" applyBorder="1" applyAlignment="1">
      <alignment horizontal="center" vertical="center"/>
    </xf>
    <xf numFmtId="0" fontId="64" fillId="0" borderId="2" xfId="0" applyFont="1" applyFill="1" applyBorder="1" applyAlignment="1">
      <alignment horizontal="center" vertical="center" wrapText="1"/>
    </xf>
    <xf numFmtId="0" fontId="65" fillId="0" borderId="2" xfId="0" applyFont="1" applyFill="1" applyBorder="1" applyAlignment="1">
      <alignment horizontal="center" vertical="center" wrapText="1"/>
    </xf>
    <xf numFmtId="0" fontId="66" fillId="0" borderId="2" xfId="0" applyFont="1" applyFill="1" applyBorder="1" applyAlignment="1">
      <alignment horizontal="center" vertical="center"/>
    </xf>
    <xf numFmtId="0" fontId="66" fillId="0" borderId="2" xfId="0" applyFont="1" applyFill="1" applyBorder="1" applyAlignment="1">
      <alignment horizontal="center"/>
    </xf>
    <xf numFmtId="0" fontId="60" fillId="0" borderId="2" xfId="0" applyFont="1" applyFill="1" applyBorder="1" applyAlignment="1">
      <alignment horizontal="center"/>
    </xf>
    <xf numFmtId="58" fontId="66" fillId="0" borderId="2" xfId="0" applyNumberFormat="1" applyFont="1" applyFill="1" applyBorder="1" applyAlignment="1">
      <alignment horizontal="center" vertical="center"/>
    </xf>
    <xf numFmtId="0" fontId="66" fillId="19" borderId="2" xfId="0" applyFont="1" applyFill="1" applyBorder="1" applyAlignment="1">
      <alignment horizontal="center" vertical="center"/>
    </xf>
    <xf numFmtId="0" fontId="67" fillId="4" borderId="5" xfId="0" applyFont="1" applyFill="1" applyBorder="1" applyAlignment="1">
      <alignment horizontal="center" vertical="center" wrapText="1"/>
    </xf>
    <xf numFmtId="0" fontId="67" fillId="4" borderId="36" xfId="0" applyFont="1" applyFill="1" applyBorder="1" applyAlignment="1">
      <alignment horizontal="center" vertical="center" wrapText="1"/>
    </xf>
    <xf numFmtId="0" fontId="67" fillId="4" borderId="31" xfId="0" applyFont="1" applyFill="1" applyBorder="1" applyAlignment="1">
      <alignment horizontal="center" vertical="center" wrapText="1"/>
    </xf>
    <xf numFmtId="3" fontId="2" fillId="4" borderId="4" xfId="0" applyNumberFormat="1" applyFont="1" applyFill="1" applyBorder="1" applyAlignment="1">
      <alignment horizontal="center" vertical="center"/>
    </xf>
    <xf numFmtId="3" fontId="60" fillId="0" borderId="4" xfId="0" applyNumberFormat="1" applyFont="1" applyFill="1" applyBorder="1" applyAlignment="1">
      <alignment horizontal="center" vertical="center"/>
    </xf>
    <xf numFmtId="0" fontId="67" fillId="17" borderId="1" xfId="0" applyFont="1" applyFill="1" applyBorder="1" applyAlignment="1">
      <alignment horizontal="center" vertical="center" wrapText="1"/>
    </xf>
    <xf numFmtId="0" fontId="68"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xf>
    <xf numFmtId="3" fontId="60" fillId="17" borderId="1" xfId="0" applyNumberFormat="1" applyFont="1" applyFill="1" applyBorder="1" applyAlignment="1">
      <alignment horizontal="center" vertical="center"/>
    </xf>
    <xf numFmtId="0" fontId="67" fillId="0" borderId="37" xfId="0" applyFont="1" applyFill="1" applyBorder="1" applyAlignment="1">
      <alignment horizontal="center" vertical="center" wrapText="1"/>
    </xf>
    <xf numFmtId="0" fontId="67" fillId="0" borderId="38" xfId="0" applyFont="1" applyFill="1" applyBorder="1" applyAlignment="1">
      <alignment horizontal="center" vertical="center" wrapText="1"/>
    </xf>
    <xf numFmtId="0" fontId="67" fillId="0" borderId="27" xfId="0" applyFont="1" applyFill="1" applyBorder="1" applyAlignment="1">
      <alignment horizontal="center" vertical="center" wrapText="1"/>
    </xf>
    <xf numFmtId="0" fontId="0" fillId="0" borderId="0" xfId="0" applyFont="1" applyFill="1" applyAlignment="1">
      <alignment horizontal="center"/>
    </xf>
    <xf numFmtId="0" fontId="60" fillId="0" borderId="0" xfId="0" applyFont="1" applyFill="1" applyAlignment="1">
      <alignment horizontal="center"/>
    </xf>
    <xf numFmtId="0" fontId="67" fillId="4" borderId="8" xfId="0" applyFont="1" applyFill="1" applyBorder="1" applyAlignment="1">
      <alignment horizontal="center" vertical="center" wrapText="1"/>
    </xf>
    <xf numFmtId="0" fontId="67" fillId="4" borderId="12" xfId="0" applyFont="1" applyFill="1" applyBorder="1" applyAlignment="1">
      <alignment horizontal="center" vertical="center" wrapText="1"/>
    </xf>
    <xf numFmtId="0" fontId="67" fillId="4" borderId="6" xfId="0" applyFont="1" applyFill="1" applyBorder="1" applyAlignment="1">
      <alignment horizontal="center" vertical="center" wrapText="1"/>
    </xf>
    <xf numFmtId="3" fontId="2" fillId="4" borderId="2" xfId="0" applyNumberFormat="1" applyFont="1" applyFill="1" applyBorder="1" applyAlignment="1">
      <alignment horizontal="center" vertical="center"/>
    </xf>
    <xf numFmtId="3" fontId="60" fillId="0" borderId="2" xfId="0" applyNumberFormat="1" applyFont="1" applyFill="1" applyBorder="1" applyAlignment="1">
      <alignment horizontal="center" vertical="center"/>
    </xf>
    <xf numFmtId="0" fontId="67" fillId="0" borderId="0" xfId="0" applyFont="1" applyFill="1" applyAlignment="1">
      <alignment horizontal="center" vertical="center"/>
    </xf>
    <xf numFmtId="0" fontId="67" fillId="0" borderId="0" xfId="0" applyFont="1" applyFill="1" applyAlignment="1">
      <alignment horizontal="center" vertical="center" wrapText="1"/>
    </xf>
    <xf numFmtId="0" fontId="67" fillId="0" borderId="8" xfId="0" applyFont="1" applyFill="1" applyBorder="1" applyAlignment="1">
      <alignment horizontal="center" vertical="center" wrapText="1"/>
    </xf>
    <xf numFmtId="0" fontId="67" fillId="0" borderId="12" xfId="0" applyFont="1" applyFill="1" applyBorder="1" applyAlignment="1">
      <alignment horizontal="center" vertical="center" wrapText="1"/>
    </xf>
    <xf numFmtId="0" fontId="67" fillId="0" borderId="6" xfId="0" applyFont="1" applyFill="1" applyBorder="1" applyAlignment="1">
      <alignment horizontal="center" vertical="center" wrapText="1"/>
    </xf>
    <xf numFmtId="3" fontId="2" fillId="0" borderId="2" xfId="0" applyNumberFormat="1" applyFont="1" applyFill="1" applyBorder="1" applyAlignment="1">
      <alignment horizontal="center" vertical="center"/>
    </xf>
    <xf numFmtId="0" fontId="69" fillId="0" borderId="0" xfId="0" applyFont="1" applyAlignment="1">
      <alignment horizontal="center" vertical="center"/>
    </xf>
    <xf numFmtId="0" fontId="60" fillId="0" borderId="0" xfId="0" applyFont="1" applyFill="1" applyAlignment="1">
      <alignment horizontal="center" vertical="center"/>
    </xf>
    <xf numFmtId="0" fontId="0" fillId="4" borderId="0" xfId="0" applyFill="1" applyAlignment="1">
      <alignment horizontal="center" vertical="center"/>
    </xf>
    <xf numFmtId="0" fontId="0" fillId="17" borderId="0" xfId="0" applyFill="1" applyAlignment="1">
      <alignment horizontal="center" vertical="center"/>
    </xf>
    <xf numFmtId="0" fontId="50" fillId="0" borderId="0" xfId="0" applyFont="1" applyFill="1" applyAlignment="1">
      <alignment horizontal="center" vertical="center"/>
    </xf>
    <xf numFmtId="0" fontId="55" fillId="0" borderId="2" xfId="0" applyFont="1" applyFill="1" applyBorder="1" applyAlignment="1">
      <alignment horizontal="center" vertical="center" wrapText="1"/>
    </xf>
    <xf numFmtId="0" fontId="51" fillId="0" borderId="2"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8" fillId="0" borderId="2" xfId="0" applyFont="1" applyFill="1" applyBorder="1" applyAlignment="1">
      <alignment horizontal="center" vertical="center" wrapText="1"/>
    </xf>
    <xf numFmtId="0" fontId="60" fillId="0" borderId="2" xfId="0" applyFont="1" applyFill="1" applyBorder="1" applyAlignment="1">
      <alignment horizontal="center" vertical="center" wrapText="1"/>
    </xf>
    <xf numFmtId="0" fontId="70" fillId="3" borderId="2" xfId="0" applyFont="1" applyFill="1" applyBorder="1" applyAlignment="1">
      <alignment horizontal="center" vertical="center"/>
    </xf>
    <xf numFmtId="0" fontId="60" fillId="3" borderId="4" xfId="0" applyFont="1" applyFill="1" applyBorder="1" applyAlignment="1">
      <alignment horizontal="center" vertical="center"/>
    </xf>
    <xf numFmtId="0" fontId="59" fillId="3" borderId="8" xfId="0" applyFont="1" applyFill="1" applyBorder="1" applyAlignment="1">
      <alignment horizontal="center" vertical="center"/>
    </xf>
    <xf numFmtId="0" fontId="0" fillId="3" borderId="1" xfId="0" applyFill="1" applyBorder="1" applyAlignment="1">
      <alignment horizontal="center" vertical="center"/>
    </xf>
    <xf numFmtId="0" fontId="60" fillId="3" borderId="6" xfId="0" applyFont="1" applyFill="1" applyBorder="1" applyAlignment="1">
      <alignment horizontal="center" vertical="center"/>
    </xf>
    <xf numFmtId="58" fontId="59" fillId="2" borderId="2" xfId="0" applyNumberFormat="1" applyFont="1" applyFill="1" applyBorder="1" applyAlignment="1">
      <alignment horizontal="center" vertical="center"/>
    </xf>
    <xf numFmtId="0" fontId="59" fillId="2" borderId="2" xfId="0" applyFont="1" applyFill="1" applyBorder="1" applyAlignment="1">
      <alignment horizontal="left" vertical="center"/>
    </xf>
    <xf numFmtId="0" fontId="59" fillId="2" borderId="2" xfId="0" applyFont="1" applyFill="1" applyBorder="1" applyAlignment="1">
      <alignment horizontal="center" vertical="center" wrapText="1"/>
    </xf>
    <xf numFmtId="0" fontId="59" fillId="2" borderId="2" xfId="0" applyFont="1" applyFill="1" applyBorder="1" applyAlignment="1">
      <alignment horizontal="center" vertical="center"/>
    </xf>
    <xf numFmtId="0" fontId="60" fillId="2" borderId="2" xfId="0" applyFont="1" applyFill="1" applyBorder="1" applyAlignment="1">
      <alignment horizontal="center" vertical="center"/>
    </xf>
    <xf numFmtId="0" fontId="60" fillId="2" borderId="2" xfId="0" applyFont="1" applyFill="1" applyBorder="1" applyAlignment="1">
      <alignment horizontal="left"/>
    </xf>
    <xf numFmtId="3" fontId="60" fillId="4" borderId="4" xfId="0" applyNumberFormat="1" applyFont="1" applyFill="1" applyBorder="1" applyAlignment="1">
      <alignment horizontal="center" vertical="center"/>
    </xf>
    <xf numFmtId="3" fontId="60" fillId="4" borderId="2" xfId="0" applyNumberFormat="1" applyFont="1" applyFill="1" applyBorder="1" applyAlignment="1">
      <alignment horizontal="center" vertical="center"/>
    </xf>
    <xf numFmtId="0" fontId="71" fillId="0" borderId="0" xfId="0" applyFont="1" applyFill="1" applyAlignment="1" applyProtection="1">
      <alignment horizontal="center" vertical="center"/>
      <protection locked="0"/>
    </xf>
    <xf numFmtId="0" fontId="71" fillId="0" borderId="2" xfId="0" applyFont="1" applyFill="1" applyBorder="1" applyAlignment="1" applyProtection="1">
      <alignment horizontal="center" vertical="center"/>
      <protection locked="0"/>
    </xf>
    <xf numFmtId="0" fontId="15" fillId="0" borderId="0" xfId="0" applyFont="1" applyFill="1" applyAlignment="1" applyProtection="1">
      <alignment horizontal="center" vertical="center"/>
      <protection locked="0"/>
    </xf>
    <xf numFmtId="0" fontId="72" fillId="0" borderId="0" xfId="0" applyFont="1" applyFill="1" applyAlignment="1" applyProtection="1">
      <alignment horizontal="center" vertical="center"/>
      <protection locked="0"/>
    </xf>
    <xf numFmtId="0" fontId="15" fillId="0" borderId="2" xfId="0" applyFont="1" applyFill="1" applyBorder="1" applyAlignment="1" applyProtection="1">
      <alignment horizontal="center" vertical="center"/>
      <protection locked="0"/>
    </xf>
    <xf numFmtId="0" fontId="73" fillId="0" borderId="0" xfId="0" applyFont="1" applyFill="1" applyAlignment="1" applyProtection="1">
      <alignment horizontal="center" vertical="center"/>
      <protection locked="0"/>
    </xf>
    <xf numFmtId="0" fontId="74" fillId="0" borderId="0" xfId="0" applyFont="1" applyFill="1" applyAlignment="1" applyProtection="1">
      <alignment horizontal="center" vertical="center"/>
      <protection locked="0"/>
    </xf>
    <xf numFmtId="0" fontId="72" fillId="0" borderId="2" xfId="0" applyFont="1" applyFill="1" applyBorder="1" applyAlignment="1" applyProtection="1">
      <alignment horizontal="center" vertical="center"/>
      <protection locked="0"/>
    </xf>
    <xf numFmtId="0" fontId="72" fillId="0" borderId="1" xfId="0" applyFont="1" applyFill="1" applyBorder="1" applyAlignment="1" applyProtection="1">
      <alignment horizontal="center" vertical="center"/>
      <protection locked="0"/>
    </xf>
    <xf numFmtId="0" fontId="72" fillId="0" borderId="3" xfId="0" applyFont="1" applyFill="1" applyBorder="1" applyAlignment="1" applyProtection="1">
      <alignment horizontal="center" vertical="center"/>
      <protection locked="0"/>
    </xf>
    <xf numFmtId="0" fontId="72" fillId="0" borderId="4" xfId="0" applyFont="1" applyFill="1" applyBorder="1" applyAlignment="1" applyProtection="1">
      <alignment horizontal="center" vertical="center"/>
      <protection locked="0"/>
    </xf>
    <xf numFmtId="0" fontId="69" fillId="0" borderId="0" xfId="0" applyFont="1" applyFill="1" applyAlignment="1" applyProtection="1">
      <alignment horizontal="center" vertical="center"/>
      <protection locked="0"/>
    </xf>
    <xf numFmtId="0" fontId="71" fillId="0" borderId="0" xfId="0" applyFont="1" applyFill="1" applyProtection="1">
      <alignment vertical="center"/>
      <protection locked="0"/>
    </xf>
    <xf numFmtId="0" fontId="69" fillId="0" borderId="1" xfId="0" applyFont="1" applyFill="1" applyBorder="1" applyAlignment="1" applyProtection="1">
      <alignment horizontal="center" vertical="center"/>
      <protection locked="0"/>
    </xf>
    <xf numFmtId="0" fontId="69" fillId="0" borderId="39" xfId="0" applyFont="1" applyFill="1" applyBorder="1" applyAlignment="1" applyProtection="1">
      <alignment horizontal="center" vertical="center"/>
      <protection locked="0"/>
    </xf>
    <xf numFmtId="0" fontId="69" fillId="0" borderId="3" xfId="0" applyFont="1" applyFill="1" applyBorder="1" applyAlignment="1" applyProtection="1">
      <alignment horizontal="center" vertical="center"/>
      <protection locked="0"/>
    </xf>
    <xf numFmtId="0" fontId="69" fillId="0" borderId="2" xfId="0" applyFont="1" applyFill="1" applyBorder="1" applyAlignment="1" applyProtection="1">
      <alignment horizontal="center" vertical="center"/>
      <protection locked="0"/>
    </xf>
    <xf numFmtId="0" fontId="69" fillId="0" borderId="0" xfId="0" applyFont="1" applyFill="1" applyAlignment="1" applyProtection="1">
      <alignment horizontal="center" vertical="center"/>
      <protection locked="0"/>
    </xf>
    <xf numFmtId="0" fontId="69" fillId="0" borderId="1" xfId="0" applyFont="1" applyFill="1" applyBorder="1" applyAlignment="1" applyProtection="1">
      <alignment horizontal="center" vertical="center"/>
      <protection locked="0"/>
    </xf>
    <xf numFmtId="0" fontId="69" fillId="0" borderId="35" xfId="0" applyFont="1" applyFill="1" applyBorder="1" applyAlignment="1" applyProtection="1">
      <alignment horizontal="center" vertical="center"/>
      <protection locked="0"/>
    </xf>
    <xf numFmtId="0" fontId="71" fillId="0" borderId="1" xfId="0" applyFont="1" applyFill="1" applyBorder="1" applyAlignment="1" applyProtection="1">
      <alignment horizontal="center" vertical="center"/>
      <protection locked="0"/>
    </xf>
    <xf numFmtId="0" fontId="75" fillId="0" borderId="0" xfId="0" applyFont="1" applyFill="1" applyAlignment="1" applyProtection="1">
      <alignment horizontal="center" vertical="center"/>
      <protection locked="0"/>
    </xf>
    <xf numFmtId="178" fontId="71" fillId="0" borderId="0" xfId="0" applyNumberFormat="1" applyFont="1" applyFill="1" applyAlignment="1" applyProtection="1">
      <alignment horizontal="center" vertical="center"/>
    </xf>
    <xf numFmtId="0" fontId="71" fillId="0" borderId="0" xfId="0" applyFont="1" applyFill="1" applyAlignment="1" applyProtection="1">
      <alignment horizontal="center" vertical="center" wrapText="1"/>
      <protection locked="0"/>
    </xf>
    <xf numFmtId="179" fontId="71" fillId="0" borderId="0" xfId="0" applyNumberFormat="1" applyFont="1" applyFill="1" applyAlignment="1" applyProtection="1">
      <alignment horizontal="center" vertical="center" wrapText="1"/>
      <protection locked="0"/>
    </xf>
    <xf numFmtId="180" fontId="71" fillId="0" borderId="0" xfId="0" applyNumberFormat="1" applyFont="1" applyFill="1" applyAlignment="1" applyProtection="1">
      <alignment horizontal="center" vertical="center" wrapText="1"/>
      <protection locked="0"/>
    </xf>
    <xf numFmtId="0" fontId="72" fillId="0" borderId="0" xfId="0" applyFont="1" applyFill="1" applyAlignment="1" applyProtection="1">
      <alignment horizontal="center" vertical="center" wrapText="1"/>
      <protection locked="0"/>
    </xf>
    <xf numFmtId="0" fontId="76" fillId="0" borderId="0" xfId="0" applyNumberFormat="1" applyFont="1" applyFill="1" applyAlignment="1" applyProtection="1">
      <alignment horizontal="center" vertical="center"/>
      <protection locked="0"/>
    </xf>
    <xf numFmtId="0" fontId="76" fillId="0" borderId="0" xfId="0" applyFont="1" applyFill="1" applyAlignment="1" applyProtection="1">
      <alignment horizontal="center" vertical="center"/>
      <protection locked="0"/>
    </xf>
    <xf numFmtId="184" fontId="71" fillId="0" borderId="0" xfId="0" applyNumberFormat="1" applyFont="1" applyFill="1" applyAlignment="1" applyProtection="1">
      <alignment horizontal="center" vertical="center"/>
      <protection locked="0"/>
    </xf>
    <xf numFmtId="180" fontId="71" fillId="0" borderId="0" xfId="0" applyNumberFormat="1" applyFont="1" applyFill="1" applyAlignment="1" applyProtection="1">
      <alignment horizontal="center" vertical="center"/>
      <protection locked="0"/>
    </xf>
    <xf numFmtId="178" fontId="75" fillId="0" borderId="4" xfId="0" applyNumberFormat="1" applyFont="1" applyFill="1" applyBorder="1" applyAlignment="1" applyProtection="1">
      <alignment horizontal="center" vertical="center" wrapText="1" shrinkToFit="1"/>
    </xf>
    <xf numFmtId="0" fontId="75" fillId="0" borderId="4" xfId="0" applyFont="1" applyFill="1" applyBorder="1" applyAlignment="1" applyProtection="1">
      <alignment horizontal="center" vertical="center" wrapText="1" shrinkToFit="1"/>
      <protection locked="0"/>
    </xf>
    <xf numFmtId="49" fontId="75" fillId="0" borderId="4" xfId="0" applyNumberFormat="1" applyFont="1" applyFill="1" applyBorder="1" applyAlignment="1" applyProtection="1">
      <alignment horizontal="center" vertical="center" wrapText="1" shrinkToFit="1"/>
      <protection locked="0"/>
    </xf>
    <xf numFmtId="181" fontId="75" fillId="0" borderId="4" xfId="0" applyNumberFormat="1" applyFont="1" applyFill="1" applyBorder="1" applyAlignment="1" applyProtection="1">
      <alignment horizontal="center" vertical="center" wrapText="1" shrinkToFit="1"/>
      <protection locked="0"/>
    </xf>
    <xf numFmtId="0" fontId="75" fillId="0" borderId="4" xfId="0" applyNumberFormat="1" applyFont="1" applyFill="1" applyBorder="1" applyAlignment="1" applyProtection="1">
      <alignment horizontal="center" vertical="center" wrapText="1" shrinkToFit="1"/>
      <protection locked="0"/>
    </xf>
    <xf numFmtId="182" fontId="75" fillId="0" borderId="4" xfId="0" applyNumberFormat="1" applyFont="1" applyFill="1" applyBorder="1" applyAlignment="1" applyProtection="1">
      <alignment horizontal="center" vertical="center" wrapText="1" shrinkToFit="1"/>
      <protection locked="0"/>
    </xf>
    <xf numFmtId="182" fontId="69" fillId="0" borderId="4" xfId="0" applyNumberFormat="1" applyFont="1" applyFill="1" applyBorder="1" applyAlignment="1" applyProtection="1">
      <alignment horizontal="center" vertical="center" wrapText="1" shrinkToFit="1"/>
      <protection locked="0"/>
    </xf>
    <xf numFmtId="0" fontId="69" fillId="0" borderId="0" xfId="0" applyFont="1" applyFill="1" applyAlignment="1" applyProtection="1">
      <alignment horizontal="center" vertical="center" wrapText="1"/>
      <protection locked="0"/>
    </xf>
    <xf numFmtId="0" fontId="69" fillId="0" borderId="4" xfId="0" applyFont="1" applyFill="1" applyBorder="1" applyAlignment="1" applyProtection="1">
      <alignment horizontal="center" vertical="center"/>
      <protection locked="0"/>
    </xf>
    <xf numFmtId="179" fontId="75" fillId="0" borderId="4" xfId="0" applyNumberFormat="1" applyFont="1" applyFill="1" applyBorder="1" applyAlignment="1" applyProtection="1">
      <alignment horizontal="center" vertical="center" wrapText="1" shrinkToFit="1"/>
      <protection locked="0"/>
    </xf>
    <xf numFmtId="0" fontId="6" fillId="0" borderId="0" xfId="0" applyFont="1" applyFill="1" applyAlignment="1" applyProtection="1">
      <alignment horizontal="center" vertical="center" wrapText="1"/>
      <protection locked="0"/>
    </xf>
    <xf numFmtId="0" fontId="72" fillId="0" borderId="4" xfId="0" applyFont="1" applyFill="1" applyBorder="1" applyAlignment="1" applyProtection="1">
      <alignment horizontal="center" vertical="center" wrapText="1" shrinkToFit="1"/>
      <protection locked="0"/>
    </xf>
    <xf numFmtId="0" fontId="76" fillId="0" borderId="4" xfId="0" applyNumberFormat="1" applyFont="1" applyFill="1" applyBorder="1" applyAlignment="1" applyProtection="1">
      <alignment horizontal="center" vertical="center" wrapText="1" shrinkToFit="1"/>
      <protection locked="0"/>
    </xf>
    <xf numFmtId="0" fontId="76" fillId="0" borderId="4" xfId="0" applyFont="1" applyFill="1" applyBorder="1" applyAlignment="1" applyProtection="1">
      <alignment horizontal="center" vertical="center" wrapText="1" shrinkToFit="1"/>
      <protection locked="0"/>
    </xf>
    <xf numFmtId="0" fontId="74" fillId="0" borderId="4" xfId="0" applyFont="1" applyFill="1" applyBorder="1" applyAlignment="1" applyProtection="1">
      <alignment horizontal="center" vertical="center" wrapText="1" shrinkToFit="1"/>
      <protection locked="0"/>
    </xf>
    <xf numFmtId="0" fontId="71" fillId="0" borderId="4" xfId="0" applyFont="1" applyFill="1" applyBorder="1" applyAlignment="1" applyProtection="1">
      <alignment horizontal="center" vertical="center" wrapText="1"/>
      <protection locked="0"/>
    </xf>
    <xf numFmtId="0" fontId="77" fillId="0" borderId="4" xfId="0" applyFont="1" applyFill="1" applyBorder="1" applyAlignment="1" applyProtection="1">
      <alignment horizontal="center" vertical="center" wrapText="1"/>
      <protection locked="0"/>
    </xf>
    <xf numFmtId="0" fontId="6" fillId="0" borderId="4" xfId="0" applyFont="1" applyFill="1" applyBorder="1" applyAlignment="1" applyProtection="1">
      <alignment horizontal="center" vertical="center" wrapText="1"/>
      <protection locked="0"/>
    </xf>
    <xf numFmtId="0" fontId="78" fillId="0" borderId="4" xfId="0" applyFont="1" applyFill="1" applyBorder="1" applyAlignment="1" applyProtection="1">
      <alignment horizontal="center" vertical="center" wrapText="1"/>
      <protection locked="0"/>
    </xf>
    <xf numFmtId="184" fontId="71" fillId="0" borderId="4" xfId="0" applyNumberFormat="1" applyFont="1" applyFill="1" applyBorder="1" applyAlignment="1" applyProtection="1">
      <alignment horizontal="center" vertical="center" wrapText="1"/>
      <protection locked="0"/>
    </xf>
    <xf numFmtId="0" fontId="75" fillId="0" borderId="4" xfId="0" applyFont="1" applyFill="1" applyBorder="1" applyAlignment="1" applyProtection="1">
      <alignment horizontal="center" vertical="center" wrapText="1"/>
      <protection locked="0"/>
    </xf>
    <xf numFmtId="180" fontId="71" fillId="0" borderId="4" xfId="0" applyNumberFormat="1" applyFont="1" applyFill="1" applyBorder="1" applyAlignment="1" applyProtection="1">
      <alignment horizontal="center" vertical="center" wrapText="1"/>
      <protection locked="0"/>
    </xf>
    <xf numFmtId="0" fontId="79" fillId="0" borderId="4" xfId="0" applyFont="1" applyFill="1" applyBorder="1" applyAlignment="1" applyProtection="1">
      <alignment horizontal="center" vertical="center" wrapText="1"/>
      <protection locked="0"/>
    </xf>
    <xf numFmtId="0" fontId="69" fillId="0" borderId="4" xfId="0" applyFont="1" applyFill="1" applyBorder="1" applyAlignment="1" applyProtection="1">
      <alignment horizontal="center" vertical="center" wrapText="1"/>
      <protection locked="0"/>
    </xf>
    <xf numFmtId="0" fontId="71" fillId="0" borderId="5" xfId="0"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wrapText="1"/>
      <protection locked="0"/>
    </xf>
    <xf numFmtId="0" fontId="69" fillId="0" borderId="31" xfId="0" applyFont="1" applyFill="1" applyBorder="1" applyAlignment="1" applyProtection="1">
      <alignment horizontal="center" vertical="center" wrapText="1"/>
      <protection locked="0"/>
    </xf>
    <xf numFmtId="0" fontId="72" fillId="0" borderId="4" xfId="0" applyFont="1" applyFill="1" applyBorder="1" applyAlignment="1" applyProtection="1">
      <alignment horizontal="center" vertical="center" wrapText="1"/>
      <protection locked="0"/>
    </xf>
    <xf numFmtId="184" fontId="72" fillId="0" borderId="4" xfId="0" applyNumberFormat="1" applyFont="1" applyFill="1" applyBorder="1" applyAlignment="1" applyProtection="1">
      <alignment horizontal="center" vertical="center" wrapText="1"/>
      <protection locked="0"/>
    </xf>
    <xf numFmtId="184" fontId="71" fillId="0" borderId="4" xfId="0" applyNumberFormat="1" applyFont="1" applyFill="1" applyBorder="1" applyAlignment="1" applyProtection="1">
      <alignment horizontal="center" vertical="center"/>
      <protection locked="0"/>
    </xf>
    <xf numFmtId="181" fontId="72" fillId="0" borderId="2" xfId="0" applyNumberFormat="1" applyFont="1" applyFill="1" applyBorder="1" applyAlignment="1" applyProtection="1">
      <alignment horizontal="center" vertical="center" wrapText="1" shrinkToFit="1"/>
    </xf>
    <xf numFmtId="0" fontId="72" fillId="0" borderId="2" xfId="0" applyFont="1" applyFill="1" applyBorder="1" applyAlignment="1" applyProtection="1">
      <alignment horizontal="center" vertical="center" wrapText="1"/>
      <protection locked="0"/>
    </xf>
    <xf numFmtId="0" fontId="72" fillId="0" borderId="2" xfId="0" applyFont="1" applyFill="1" applyBorder="1" applyAlignment="1" applyProtection="1">
      <alignment horizontal="center" vertical="center" wrapText="1" shrinkToFit="1"/>
      <protection locked="0"/>
    </xf>
    <xf numFmtId="183" fontId="72" fillId="0" borderId="2" xfId="0" applyNumberFormat="1" applyFont="1" applyFill="1" applyBorder="1" applyAlignment="1" applyProtection="1">
      <alignment horizontal="center" vertical="center" wrapText="1" shrinkToFit="1"/>
      <protection locked="0"/>
    </xf>
    <xf numFmtId="181" fontId="72" fillId="0" borderId="2" xfId="0" applyNumberFormat="1" applyFont="1" applyFill="1" applyBorder="1" applyAlignment="1" applyProtection="1">
      <alignment horizontal="center" vertical="center" wrapText="1" shrinkToFit="1"/>
      <protection locked="0"/>
    </xf>
    <xf numFmtId="0" fontId="72" fillId="0" borderId="2" xfId="0" applyNumberFormat="1" applyFont="1" applyFill="1" applyBorder="1" applyAlignment="1" applyProtection="1">
      <alignment horizontal="center" vertical="center" wrapText="1" shrinkToFit="1"/>
      <protection locked="0"/>
    </xf>
    <xf numFmtId="182" fontId="72" fillId="0" borderId="2" xfId="0" applyNumberFormat="1" applyFont="1" applyFill="1" applyBorder="1" applyAlignment="1" applyProtection="1">
      <alignment horizontal="center" vertical="center" wrapText="1" shrinkToFit="1"/>
      <protection locked="0"/>
    </xf>
    <xf numFmtId="0" fontId="71" fillId="0" borderId="2" xfId="0" applyFont="1" applyFill="1" applyBorder="1" applyAlignment="1" applyProtection="1">
      <alignment horizontal="center" vertical="center" wrapText="1"/>
      <protection locked="0"/>
    </xf>
    <xf numFmtId="180" fontId="72" fillId="0" borderId="2" xfId="0" applyNumberFormat="1" applyFont="1" applyFill="1" applyBorder="1" applyAlignment="1" applyProtection="1">
      <alignment horizontal="center" vertical="center" wrapText="1" shrinkToFit="1"/>
      <protection locked="0"/>
    </xf>
    <xf numFmtId="0" fontId="80" fillId="0" borderId="1" xfId="0" applyFont="1" applyBorder="1" applyAlignment="1" applyProtection="1">
      <alignment horizontal="center" vertical="center" wrapText="1" shrinkToFit="1"/>
      <protection locked="0"/>
    </xf>
    <xf numFmtId="0" fontId="75" fillId="0" borderId="2" xfId="0" applyFont="1" applyFill="1" applyBorder="1" applyAlignment="1" applyProtection="1">
      <alignment horizontal="center" vertical="center" wrapText="1" shrinkToFit="1"/>
      <protection locked="0"/>
    </xf>
    <xf numFmtId="184" fontId="72" fillId="0" borderId="2" xfId="0" applyNumberFormat="1" applyFont="1" applyFill="1" applyBorder="1" applyAlignment="1" applyProtection="1">
      <alignment horizontal="center" vertical="center"/>
      <protection locked="0"/>
    </xf>
    <xf numFmtId="180" fontId="72" fillId="0" borderId="2" xfId="0" applyNumberFormat="1" applyFont="1" applyFill="1" applyBorder="1" applyAlignment="1" applyProtection="1">
      <alignment horizontal="center" vertical="center"/>
      <protection locked="0"/>
    </xf>
    <xf numFmtId="184" fontId="72" fillId="0" borderId="8" xfId="0" applyNumberFormat="1" applyFont="1" applyFill="1" applyBorder="1" applyAlignment="1" applyProtection="1">
      <alignment horizontal="center" vertical="center"/>
      <protection locked="0"/>
    </xf>
    <xf numFmtId="184" fontId="72" fillId="0" borderId="6" xfId="0" applyNumberFormat="1" applyFont="1" applyFill="1" applyBorder="1" applyAlignment="1" applyProtection="1">
      <alignment horizontal="center" vertical="center"/>
      <protection locked="0"/>
    </xf>
    <xf numFmtId="49" fontId="72" fillId="0" borderId="2" xfId="0" applyNumberFormat="1" applyFont="1" applyFill="1" applyBorder="1" applyAlignment="1" applyProtection="1">
      <alignment horizontal="center" vertical="center" wrapText="1" shrinkToFit="1"/>
      <protection locked="0"/>
    </xf>
    <xf numFmtId="0" fontId="72" fillId="0" borderId="2" xfId="0" applyNumberFormat="1" applyFont="1" applyFill="1" applyBorder="1" applyAlignment="1" applyProtection="1">
      <alignment horizontal="center" vertical="center" wrapText="1"/>
      <protection locked="0"/>
    </xf>
    <xf numFmtId="185" fontId="72" fillId="0" borderId="2" xfId="0" applyNumberFormat="1" applyFont="1" applyFill="1" applyBorder="1" applyAlignment="1" applyProtection="1">
      <alignment horizontal="center" vertical="center" wrapText="1" shrinkToFit="1"/>
      <protection locked="0"/>
    </xf>
    <xf numFmtId="0" fontId="69" fillId="0" borderId="2" xfId="0" applyFont="1" applyFill="1" applyBorder="1" applyAlignment="1" applyProtection="1">
      <alignment horizontal="center" vertical="center" wrapText="1"/>
      <protection locked="0"/>
    </xf>
    <xf numFmtId="182" fontId="81" fillId="0" borderId="2" xfId="0" applyNumberFormat="1" applyFont="1" applyFill="1" applyBorder="1" applyAlignment="1" applyProtection="1">
      <alignment horizontal="center" vertical="center" wrapText="1" shrinkToFit="1"/>
      <protection locked="0"/>
    </xf>
    <xf numFmtId="0" fontId="75" fillId="0" borderId="2" xfId="0" applyFont="1" applyFill="1" applyBorder="1" applyAlignment="1" applyProtection="1">
      <alignment horizontal="center" vertical="center" wrapText="1"/>
      <protection locked="0"/>
    </xf>
    <xf numFmtId="0" fontId="80" fillId="20" borderId="1" xfId="0" applyFont="1" applyFill="1" applyBorder="1" applyAlignment="1" applyProtection="1">
      <alignment horizontal="center" vertical="center" wrapText="1" shrinkToFit="1"/>
      <protection locked="0"/>
    </xf>
    <xf numFmtId="0" fontId="80" fillId="21" borderId="1" xfId="0" applyFont="1" applyFill="1" applyBorder="1" applyAlignment="1" applyProtection="1">
      <alignment horizontal="center" vertical="center" wrapText="1" shrinkToFit="1"/>
      <protection locked="0"/>
    </xf>
    <xf numFmtId="0" fontId="72" fillId="2" borderId="2" xfId="0" applyFont="1" applyFill="1" applyBorder="1" applyAlignment="1" applyProtection="1">
      <alignment horizontal="center" vertical="center" wrapText="1" shrinkToFit="1"/>
      <protection locked="0"/>
    </xf>
    <xf numFmtId="0" fontId="82" fillId="0" borderId="1" xfId="0" applyFont="1" applyBorder="1" applyAlignment="1" applyProtection="1">
      <alignment horizontal="center" vertical="center" wrapText="1" shrinkToFit="1"/>
      <protection locked="0"/>
    </xf>
    <xf numFmtId="0" fontId="74" fillId="0" borderId="2" xfId="0" applyFont="1" applyFill="1" applyBorder="1" applyAlignment="1" applyProtection="1">
      <alignment horizontal="center" vertical="center" wrapText="1" shrinkToFit="1"/>
      <protection locked="0"/>
    </xf>
    <xf numFmtId="180" fontId="83" fillId="0" borderId="2" xfId="0" applyNumberFormat="1" applyFont="1" applyFill="1" applyBorder="1" applyAlignment="1" applyProtection="1">
      <alignment horizontal="center" vertical="center" wrapText="1" shrinkToFit="1"/>
      <protection locked="0"/>
    </xf>
    <xf numFmtId="181" fontId="80" fillId="0" borderId="1" xfId="0" applyNumberFormat="1" applyFont="1" applyBorder="1" applyAlignment="1" applyProtection="1">
      <alignment horizontal="center" vertical="center" wrapText="1" shrinkToFit="1"/>
      <protection locked="0"/>
    </xf>
    <xf numFmtId="0" fontId="84" fillId="0" borderId="1" xfId="0" applyFont="1" applyBorder="1" applyAlignment="1" applyProtection="1">
      <alignment horizontal="center" vertical="center"/>
      <protection locked="0"/>
    </xf>
    <xf numFmtId="0" fontId="80" fillId="21" borderId="1" xfId="0" applyFont="1" applyFill="1" applyBorder="1" applyAlignment="1" applyProtection="1">
      <alignment horizontal="center" vertical="center"/>
      <protection locked="0"/>
    </xf>
    <xf numFmtId="0" fontId="85" fillId="0" borderId="1" xfId="0" applyFont="1" applyBorder="1" applyAlignment="1" applyProtection="1">
      <alignment horizontal="center" vertical="center" wrapText="1" shrinkToFit="1"/>
      <protection locked="0"/>
    </xf>
    <xf numFmtId="0" fontId="83" fillId="0" borderId="2" xfId="0" applyFont="1" applyFill="1" applyBorder="1" applyAlignment="1">
      <alignment horizontal="center" vertical="center" wrapText="1" shrinkToFit="1"/>
    </xf>
    <xf numFmtId="58" fontId="72" fillId="0" borderId="2" xfId="0" applyNumberFormat="1" applyFont="1" applyFill="1" applyBorder="1" applyAlignment="1" applyProtection="1">
      <alignment horizontal="center" vertical="center" wrapText="1" shrinkToFit="1"/>
      <protection locked="0"/>
    </xf>
    <xf numFmtId="181" fontId="15" fillId="0" borderId="2" xfId="0" applyNumberFormat="1" applyFont="1" applyFill="1" applyBorder="1" applyAlignment="1" applyProtection="1">
      <alignment horizontal="center" vertical="center" wrapText="1" shrinkToFit="1"/>
    </xf>
    <xf numFmtId="0" fontId="15" fillId="0" borderId="2" xfId="0" applyFont="1" applyFill="1" applyBorder="1" applyAlignment="1" applyProtection="1">
      <alignment horizontal="center" vertical="center" wrapText="1"/>
      <protection locked="0"/>
    </xf>
    <xf numFmtId="0" fontId="15" fillId="0" borderId="2" xfId="0" applyNumberFormat="1" applyFont="1" applyFill="1" applyBorder="1" applyAlignment="1" applyProtection="1">
      <alignment horizontal="center" vertical="center" wrapText="1" shrinkToFit="1"/>
      <protection locked="0"/>
    </xf>
    <xf numFmtId="183" fontId="15" fillId="0" borderId="2" xfId="0" applyNumberFormat="1" applyFont="1" applyFill="1" applyBorder="1" applyAlignment="1" applyProtection="1">
      <alignment horizontal="center" vertical="center" wrapText="1" shrinkToFit="1"/>
      <protection locked="0"/>
    </xf>
    <xf numFmtId="181" fontId="15" fillId="0" borderId="2" xfId="0" applyNumberFormat="1" applyFont="1" applyFill="1" applyBorder="1" applyAlignment="1" applyProtection="1">
      <alignment horizontal="center" vertical="center" wrapText="1" shrinkToFit="1"/>
      <protection locked="0"/>
    </xf>
    <xf numFmtId="182" fontId="15" fillId="0" borderId="2" xfId="0" applyNumberFormat="1" applyFont="1" applyFill="1" applyBorder="1" applyAlignment="1" applyProtection="1">
      <alignment horizontal="center" vertical="center" wrapText="1" shrinkToFit="1"/>
      <protection locked="0"/>
    </xf>
    <xf numFmtId="180" fontId="15" fillId="0" borderId="2" xfId="0" applyNumberFormat="1" applyFont="1" applyFill="1" applyBorder="1" applyAlignment="1" applyProtection="1">
      <alignment horizontal="center" vertical="center" wrapText="1" shrinkToFit="1"/>
      <protection locked="0"/>
    </xf>
    <xf numFmtId="0" fontId="86" fillId="0" borderId="1" xfId="0" applyFont="1" applyBorder="1" applyAlignment="1" applyProtection="1">
      <alignment horizontal="center" vertical="center" wrapText="1" shrinkToFit="1"/>
      <protection locked="0"/>
    </xf>
    <xf numFmtId="0" fontId="15" fillId="5" borderId="2" xfId="0" applyFont="1" applyFill="1" applyBorder="1" applyAlignment="1" applyProtection="1">
      <alignment horizontal="center" vertical="center" wrapText="1"/>
      <protection locked="0"/>
    </xf>
    <xf numFmtId="184" fontId="15" fillId="0" borderId="2" xfId="0" applyNumberFormat="1" applyFont="1" applyFill="1" applyBorder="1" applyAlignment="1" applyProtection="1">
      <alignment horizontal="center" vertical="center"/>
      <protection locked="0"/>
    </xf>
    <xf numFmtId="183" fontId="15" fillId="0" borderId="2" xfId="0" applyNumberFormat="1" applyFont="1" applyFill="1" applyBorder="1" applyAlignment="1" applyProtection="1">
      <alignment horizontal="center" vertical="center"/>
      <protection locked="0"/>
    </xf>
    <xf numFmtId="184" fontId="15" fillId="0" borderId="8" xfId="0" applyNumberFormat="1" applyFont="1" applyFill="1" applyBorder="1" applyAlignment="1" applyProtection="1">
      <alignment horizontal="center" vertical="center"/>
      <protection locked="0"/>
    </xf>
    <xf numFmtId="184" fontId="15" fillId="0" borderId="6" xfId="0" applyNumberFormat="1" applyFont="1" applyFill="1" applyBorder="1" applyAlignment="1" applyProtection="1">
      <alignment horizontal="center" vertical="center"/>
      <protection locked="0"/>
    </xf>
    <xf numFmtId="58" fontId="15" fillId="0" borderId="2" xfId="0" applyNumberFormat="1" applyFont="1" applyFill="1" applyBorder="1" applyAlignment="1" applyProtection="1">
      <alignment horizontal="center" vertical="center" wrapText="1" shrinkToFit="1"/>
      <protection locked="0"/>
    </xf>
    <xf numFmtId="186" fontId="15" fillId="0" borderId="2" xfId="0" applyNumberFormat="1" applyFont="1" applyFill="1" applyBorder="1" applyAlignment="1" applyProtection="1">
      <alignment horizontal="center" vertical="center" wrapText="1"/>
      <protection locked="0"/>
    </xf>
    <xf numFmtId="0" fontId="15" fillId="3" borderId="2" xfId="0" applyFont="1" applyFill="1" applyBorder="1" applyAlignment="1" applyProtection="1">
      <alignment horizontal="center" vertical="center" wrapText="1" shrinkToFit="1"/>
      <protection locked="0"/>
    </xf>
    <xf numFmtId="185" fontId="15" fillId="0" borderId="2" xfId="0" applyNumberFormat="1" applyFont="1" applyFill="1" applyBorder="1" applyAlignment="1" applyProtection="1">
      <alignment horizontal="center" vertical="center" wrapText="1" shrinkToFit="1"/>
      <protection locked="0"/>
    </xf>
    <xf numFmtId="0" fontId="86" fillId="20" borderId="1" xfId="0" applyFont="1" applyFill="1" applyBorder="1" applyAlignment="1" applyProtection="1">
      <alignment horizontal="center" vertical="center" wrapText="1" shrinkToFit="1"/>
      <protection locked="0"/>
    </xf>
    <xf numFmtId="49" fontId="15" fillId="0" borderId="2" xfId="0" applyNumberFormat="1" applyFont="1" applyFill="1" applyBorder="1" applyAlignment="1" applyProtection="1">
      <alignment horizontal="center" vertical="center" wrapText="1" shrinkToFit="1"/>
      <protection locked="0"/>
    </xf>
    <xf numFmtId="181" fontId="83" fillId="0" borderId="2" xfId="0" applyNumberFormat="1" applyFont="1" applyFill="1" applyBorder="1" applyAlignment="1" applyProtection="1">
      <alignment horizontal="center" vertical="center" wrapText="1" shrinkToFit="1"/>
    </xf>
    <xf numFmtId="0" fontId="83" fillId="0" borderId="2" xfId="0" applyFont="1" applyFill="1" applyBorder="1" applyAlignment="1" applyProtection="1">
      <alignment horizontal="center" vertical="center" wrapText="1"/>
      <protection locked="0"/>
    </xf>
    <xf numFmtId="0" fontId="83" fillId="0" borderId="2" xfId="0" applyFont="1" applyFill="1" applyBorder="1" applyAlignment="1" applyProtection="1">
      <alignment horizontal="center" vertical="center" wrapText="1" shrinkToFit="1"/>
      <protection locked="0"/>
    </xf>
    <xf numFmtId="0" fontId="83" fillId="0" borderId="2" xfId="0" applyFont="1" applyFill="1" applyBorder="1" applyAlignment="1" applyProtection="1">
      <alignment horizontal="center" vertical="center"/>
      <protection locked="0"/>
    </xf>
    <xf numFmtId="0" fontId="83" fillId="0" borderId="2" xfId="0" applyNumberFormat="1" applyFont="1" applyFill="1" applyBorder="1" applyAlignment="1" applyProtection="1">
      <alignment horizontal="center" vertical="center" wrapText="1" shrinkToFit="1"/>
      <protection locked="0"/>
    </xf>
    <xf numFmtId="183" fontId="83" fillId="0" borderId="2" xfId="0" applyNumberFormat="1" applyFont="1" applyFill="1" applyBorder="1" applyAlignment="1" applyProtection="1">
      <alignment horizontal="center" vertical="center" wrapText="1" shrinkToFit="1"/>
      <protection locked="0"/>
    </xf>
    <xf numFmtId="181" fontId="83" fillId="0" borderId="2" xfId="0" applyNumberFormat="1" applyFont="1" applyFill="1" applyBorder="1" applyAlignment="1" applyProtection="1">
      <alignment horizontal="center" vertical="center" wrapText="1" shrinkToFit="1"/>
      <protection locked="0"/>
    </xf>
    <xf numFmtId="182" fontId="83" fillId="0" borderId="2" xfId="0" applyNumberFormat="1" applyFont="1" applyFill="1" applyBorder="1" applyAlignment="1" applyProtection="1">
      <alignment horizontal="center" vertical="center" wrapText="1" shrinkToFit="1"/>
      <protection locked="0"/>
    </xf>
    <xf numFmtId="0" fontId="83" fillId="5" borderId="2" xfId="0" applyFont="1" applyFill="1" applyBorder="1" applyAlignment="1" applyProtection="1">
      <alignment horizontal="center" vertical="center" wrapText="1"/>
      <protection locked="0"/>
    </xf>
    <xf numFmtId="184" fontId="83" fillId="0" borderId="2" xfId="0" applyNumberFormat="1" applyFont="1" applyFill="1" applyBorder="1" applyAlignment="1" applyProtection="1">
      <alignment horizontal="center" vertical="center"/>
      <protection locked="0"/>
    </xf>
    <xf numFmtId="180" fontId="83" fillId="0" borderId="2" xfId="0" applyNumberFormat="1" applyFont="1" applyFill="1" applyBorder="1" applyAlignment="1" applyProtection="1">
      <alignment horizontal="center" vertical="center"/>
      <protection locked="0"/>
    </xf>
    <xf numFmtId="183" fontId="83" fillId="0" borderId="2" xfId="0" applyNumberFormat="1" applyFont="1" applyFill="1" applyBorder="1" applyAlignment="1" applyProtection="1">
      <alignment horizontal="center" vertical="center"/>
      <protection locked="0"/>
    </xf>
    <xf numFmtId="184" fontId="83" fillId="0" borderId="8" xfId="0" applyNumberFormat="1" applyFont="1" applyFill="1" applyBorder="1" applyAlignment="1" applyProtection="1">
      <alignment horizontal="center" vertical="center"/>
      <protection locked="0"/>
    </xf>
    <xf numFmtId="184" fontId="83" fillId="0" borderId="6" xfId="0" applyNumberFormat="1" applyFont="1" applyFill="1" applyBorder="1" applyAlignment="1" applyProtection="1">
      <alignment horizontal="center" vertical="center"/>
      <protection locked="0"/>
    </xf>
    <xf numFmtId="58" fontId="83" fillId="0" borderId="2" xfId="0" applyNumberFormat="1" applyFont="1" applyFill="1" applyBorder="1" applyAlignment="1" applyProtection="1">
      <alignment horizontal="center" vertical="center" wrapText="1" shrinkToFit="1"/>
      <protection locked="0"/>
    </xf>
    <xf numFmtId="186" fontId="83" fillId="0" borderId="2" xfId="0" applyNumberFormat="1" applyFont="1" applyFill="1" applyBorder="1" applyAlignment="1" applyProtection="1">
      <alignment horizontal="center" vertical="center" wrapText="1"/>
      <protection locked="0"/>
    </xf>
    <xf numFmtId="0" fontId="85" fillId="20" borderId="1" xfId="0" applyFont="1" applyFill="1" applyBorder="1" applyAlignment="1" applyProtection="1">
      <alignment horizontal="center" vertical="center" wrapText="1" shrinkToFit="1"/>
      <protection locked="0"/>
    </xf>
    <xf numFmtId="180" fontId="71" fillId="0" borderId="2" xfId="0" applyNumberFormat="1" applyFont="1" applyFill="1" applyBorder="1" applyAlignment="1" applyProtection="1">
      <alignment horizontal="center" vertical="center" wrapText="1"/>
      <protection locked="0"/>
    </xf>
    <xf numFmtId="0" fontId="80" fillId="20" borderId="1" xfId="0" applyFont="1" applyFill="1" applyBorder="1" applyAlignment="1" applyProtection="1">
      <alignment horizontal="center" vertical="center"/>
      <protection locked="0"/>
    </xf>
    <xf numFmtId="0" fontId="76" fillId="0" borderId="2" xfId="0" applyFont="1" applyFill="1" applyBorder="1" applyAlignment="1" applyProtection="1">
      <alignment horizontal="center" vertical="center"/>
      <protection locked="0"/>
    </xf>
    <xf numFmtId="184" fontId="71" fillId="0" borderId="2" xfId="0" applyNumberFormat="1" applyFont="1" applyFill="1" applyBorder="1" applyAlignment="1" applyProtection="1">
      <alignment horizontal="center" vertical="center"/>
      <protection locked="0"/>
    </xf>
    <xf numFmtId="184" fontId="71" fillId="0" borderId="8" xfId="0" applyNumberFormat="1" applyFont="1" applyFill="1" applyBorder="1" applyAlignment="1" applyProtection="1">
      <alignment horizontal="center" vertical="center"/>
      <protection locked="0"/>
    </xf>
    <xf numFmtId="184" fontId="71" fillId="0" borderId="6" xfId="0" applyNumberFormat="1" applyFont="1" applyFill="1" applyBorder="1" applyAlignment="1" applyProtection="1">
      <alignment horizontal="center" vertical="center"/>
      <protection locked="0"/>
    </xf>
    <xf numFmtId="0" fontId="83" fillId="0" borderId="2" xfId="0" applyFont="1" applyFill="1" applyBorder="1" applyAlignment="1">
      <alignment horizontal="center" vertical="center"/>
    </xf>
    <xf numFmtId="49" fontId="83" fillId="0" borderId="2" xfId="0" applyNumberFormat="1" applyFont="1" applyFill="1" applyBorder="1" applyAlignment="1" applyProtection="1">
      <alignment horizontal="center" vertical="center" wrapText="1" shrinkToFit="1"/>
      <protection locked="0"/>
    </xf>
    <xf numFmtId="0" fontId="85" fillId="21" borderId="1" xfId="0" applyFont="1" applyFill="1" applyBorder="1" applyAlignment="1" applyProtection="1">
      <alignment horizontal="center" vertical="center" wrapText="1" shrinkToFit="1"/>
      <protection locked="0"/>
    </xf>
    <xf numFmtId="180" fontId="75" fillId="0" borderId="2" xfId="0" applyNumberFormat="1" applyFont="1" applyFill="1" applyBorder="1" applyAlignment="1" applyProtection="1">
      <alignment horizontal="center" vertical="center"/>
      <protection locked="0"/>
    </xf>
    <xf numFmtId="0" fontId="75" fillId="0" borderId="2" xfId="0" applyFont="1" applyFill="1" applyBorder="1" applyAlignment="1" applyProtection="1">
      <alignment horizontal="center" vertical="center"/>
      <protection locked="0"/>
    </xf>
    <xf numFmtId="0" fontId="85" fillId="0" borderId="1" xfId="0" applyFont="1" applyBorder="1" applyAlignment="1" applyProtection="1">
      <alignment horizontal="center" vertical="center"/>
      <protection locked="0"/>
    </xf>
    <xf numFmtId="0" fontId="83" fillId="0" borderId="2" xfId="0" applyNumberFormat="1" applyFont="1" applyFill="1" applyBorder="1" applyAlignment="1" applyProtection="1">
      <alignment horizontal="center" vertical="center" wrapText="1"/>
      <protection locked="0"/>
    </xf>
    <xf numFmtId="0" fontId="83" fillId="0" borderId="2" xfId="0" applyNumberFormat="1" applyFont="1" applyFill="1" applyBorder="1" applyAlignment="1" applyProtection="1">
      <alignment horizontal="center" vertical="center"/>
      <protection locked="0"/>
    </xf>
    <xf numFmtId="0" fontId="80" fillId="0" borderId="1" xfId="0" applyFont="1" applyBorder="1" applyAlignment="1">
      <alignment horizontal="center" vertical="center"/>
    </xf>
    <xf numFmtId="193" fontId="83" fillId="0" borderId="2" xfId="0" applyNumberFormat="1" applyFont="1" applyFill="1" applyBorder="1" applyAlignment="1" applyProtection="1">
      <alignment horizontal="center" vertical="center"/>
      <protection locked="0"/>
    </xf>
    <xf numFmtId="0" fontId="15" fillId="0" borderId="2" xfId="0" applyFont="1" applyFill="1" applyBorder="1" applyAlignment="1">
      <alignment horizontal="center" vertical="center" wrapText="1" shrinkToFit="1"/>
    </xf>
    <xf numFmtId="181" fontId="15" fillId="0" borderId="2" xfId="0" applyNumberFormat="1" applyFont="1" applyFill="1" applyBorder="1" applyAlignment="1">
      <alignment horizontal="center" vertical="center" wrapText="1" shrinkToFit="1"/>
    </xf>
    <xf numFmtId="0" fontId="15" fillId="0" borderId="2" xfId="0" applyFont="1" applyFill="1" applyBorder="1" applyAlignment="1">
      <alignment horizontal="center" vertical="center"/>
    </xf>
    <xf numFmtId="0" fontId="15" fillId="0" borderId="2" xfId="0" applyFont="1" applyFill="1" applyBorder="1" applyAlignment="1">
      <alignment horizontal="center" vertical="center" wrapText="1"/>
    </xf>
    <xf numFmtId="0" fontId="80" fillId="0" borderId="1" xfId="0" applyFont="1" applyBorder="1" applyAlignment="1" applyProtection="1">
      <alignment horizontal="center" vertical="center"/>
      <protection locked="0"/>
    </xf>
    <xf numFmtId="0" fontId="86" fillId="21" borderId="1" xfId="0" applyFont="1" applyFill="1" applyBorder="1" applyAlignment="1" applyProtection="1">
      <alignment horizontal="center" vertical="center" wrapText="1" shrinkToFit="1"/>
      <protection locked="0"/>
    </xf>
    <xf numFmtId="0" fontId="87" fillId="0" borderId="1" xfId="0" applyFont="1" applyBorder="1" applyAlignment="1">
      <alignment horizontal="center" vertical="center"/>
    </xf>
    <xf numFmtId="185" fontId="15" fillId="2" borderId="2" xfId="0" applyNumberFormat="1" applyFont="1" applyFill="1" applyBorder="1" applyAlignment="1" applyProtection="1">
      <alignment horizontal="center" vertical="center" wrapText="1" shrinkToFit="1"/>
      <protection locked="0"/>
    </xf>
    <xf numFmtId="0" fontId="88" fillId="0" borderId="2" xfId="0" applyNumberFormat="1" applyFont="1" applyFill="1" applyBorder="1" applyAlignment="1" applyProtection="1">
      <alignment horizontal="center" vertical="center" shrinkToFit="1"/>
      <protection locked="0"/>
    </xf>
    <xf numFmtId="0" fontId="15" fillId="0" borderId="2" xfId="0" applyNumberFormat="1" applyFont="1" applyFill="1" applyBorder="1" applyAlignment="1" applyProtection="1">
      <alignment horizontal="center" vertical="center" wrapText="1"/>
      <protection locked="0"/>
    </xf>
    <xf numFmtId="182" fontId="15" fillId="0" borderId="2" xfId="0" applyNumberFormat="1" applyFont="1" applyFill="1" applyBorder="1" applyAlignment="1" applyProtection="1">
      <alignment horizontal="center" vertical="center" wrapText="1"/>
      <protection locked="0"/>
    </xf>
    <xf numFmtId="0" fontId="15" fillId="18" borderId="2" xfId="0" applyFont="1" applyFill="1" applyBorder="1" applyAlignment="1" applyProtection="1">
      <alignment horizontal="center" vertical="center" wrapText="1" shrinkToFit="1"/>
      <protection locked="0"/>
    </xf>
    <xf numFmtId="181" fontId="86" fillId="0" borderId="1" xfId="0" applyNumberFormat="1" applyFont="1" applyBorder="1" applyAlignment="1" applyProtection="1">
      <alignment horizontal="center" vertical="center" wrapText="1" shrinkToFit="1"/>
      <protection locked="0"/>
    </xf>
    <xf numFmtId="3" fontId="15" fillId="0" borderId="2" xfId="0" applyNumberFormat="1" applyFont="1" applyFill="1" applyBorder="1" applyAlignment="1" applyProtection="1">
      <alignment horizontal="center" vertical="center" wrapText="1" shrinkToFit="1"/>
      <protection locked="0"/>
    </xf>
    <xf numFmtId="184" fontId="15" fillId="3" borderId="2" xfId="0" applyNumberFormat="1"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0" borderId="2" xfId="0" applyNumberFormat="1" applyFont="1" applyFill="1" applyBorder="1" applyAlignment="1">
      <alignment horizontal="center" vertical="center"/>
    </xf>
    <xf numFmtId="0" fontId="15" fillId="22" borderId="2" xfId="0" applyFont="1" applyFill="1" applyBorder="1" applyAlignment="1" applyProtection="1">
      <alignment horizontal="center" vertical="center"/>
      <protection locked="0"/>
    </xf>
    <xf numFmtId="3" fontId="15" fillId="0" borderId="2" xfId="0" applyNumberFormat="1" applyFont="1" applyFill="1" applyBorder="1" applyAlignment="1" applyProtection="1">
      <alignment horizontal="center" vertical="center"/>
      <protection locked="0"/>
    </xf>
    <xf numFmtId="14" fontId="15" fillId="0" borderId="2" xfId="0" applyNumberFormat="1" applyFont="1" applyFill="1" applyBorder="1" applyAlignment="1" applyProtection="1">
      <alignment horizontal="center" vertical="center" wrapText="1" shrinkToFit="1"/>
      <protection locked="0"/>
    </xf>
    <xf numFmtId="0" fontId="72" fillId="0" borderId="2" xfId="0" applyFont="1" applyFill="1" applyBorder="1" applyAlignment="1">
      <alignment horizontal="center" vertical="center" wrapText="1" shrinkToFit="1"/>
    </xf>
    <xf numFmtId="183" fontId="72" fillId="0" borderId="2" xfId="0" applyNumberFormat="1" applyFont="1" applyFill="1" applyBorder="1" applyAlignment="1" applyProtection="1">
      <alignment horizontal="center" vertical="center"/>
      <protection locked="0"/>
    </xf>
    <xf numFmtId="3" fontId="72" fillId="0" borderId="2" xfId="0" applyNumberFormat="1" applyFont="1" applyFill="1" applyBorder="1" applyAlignment="1" applyProtection="1">
      <alignment horizontal="center" vertical="center" wrapText="1" shrinkToFit="1"/>
      <protection locked="0"/>
    </xf>
    <xf numFmtId="181" fontId="72" fillId="0" borderId="2" xfId="0" applyNumberFormat="1" applyFont="1" applyFill="1" applyBorder="1" applyAlignment="1">
      <alignment horizontal="center" vertical="center" wrapText="1" shrinkToFit="1"/>
    </xf>
    <xf numFmtId="184" fontId="72" fillId="3" borderId="2" xfId="0" applyNumberFormat="1" applyFont="1" applyFill="1" applyBorder="1" applyAlignment="1" applyProtection="1">
      <alignment horizontal="center" vertical="center"/>
      <protection locked="0"/>
    </xf>
    <xf numFmtId="186" fontId="72" fillId="0" borderId="2" xfId="0" applyNumberFormat="1" applyFont="1" applyFill="1" applyBorder="1" applyAlignment="1" applyProtection="1">
      <alignment horizontal="center" vertical="center" wrapText="1"/>
      <protection locked="0"/>
    </xf>
    <xf numFmtId="3" fontId="72" fillId="0" borderId="2" xfId="0" applyNumberFormat="1" applyFont="1" applyFill="1" applyBorder="1" applyAlignment="1" applyProtection="1">
      <alignment horizontal="center" vertical="center"/>
      <protection locked="0"/>
    </xf>
    <xf numFmtId="0" fontId="72" fillId="0" borderId="8" xfId="0" applyFont="1" applyFill="1" applyBorder="1" applyAlignment="1" applyProtection="1">
      <alignment horizontal="center" vertical="center"/>
      <protection locked="0"/>
    </xf>
    <xf numFmtId="0" fontId="72" fillId="0" borderId="6" xfId="0" applyFont="1" applyFill="1" applyBorder="1" applyAlignment="1" applyProtection="1">
      <alignment horizontal="center" vertical="center"/>
      <protection locked="0"/>
    </xf>
    <xf numFmtId="187" fontId="72" fillId="0" borderId="2" xfId="0" applyNumberFormat="1" applyFont="1" applyFill="1" applyBorder="1" applyAlignment="1" applyProtection="1">
      <alignment horizontal="center" vertical="center" wrapText="1"/>
      <protection locked="0"/>
    </xf>
    <xf numFmtId="0" fontId="72" fillId="3" borderId="2" xfId="0" applyNumberFormat="1" applyFont="1" applyFill="1" applyBorder="1" applyAlignment="1" applyProtection="1">
      <alignment horizontal="center" vertical="center" wrapText="1" shrinkToFit="1"/>
      <protection locked="0"/>
    </xf>
    <xf numFmtId="181" fontId="72" fillId="3" borderId="2" xfId="0" applyNumberFormat="1" applyFont="1" applyFill="1" applyBorder="1" applyAlignment="1" applyProtection="1">
      <alignment horizontal="center" vertical="center" wrapText="1" shrinkToFit="1"/>
      <protection locked="0"/>
    </xf>
    <xf numFmtId="0" fontId="72" fillId="19" borderId="2" xfId="0" applyFont="1" applyFill="1" applyBorder="1" applyAlignment="1" applyProtection="1">
      <alignment horizontal="center" vertical="center" wrapText="1" shrinkToFit="1"/>
      <protection locked="0"/>
    </xf>
    <xf numFmtId="0" fontId="72" fillId="23" borderId="2" xfId="0" applyFont="1" applyFill="1" applyBorder="1" applyAlignment="1" applyProtection="1">
      <alignment horizontal="center" vertical="center" wrapText="1" shrinkToFit="1"/>
      <protection locked="0"/>
    </xf>
    <xf numFmtId="0" fontId="72" fillId="0" borderId="2" xfId="0" applyNumberFormat="1" applyFont="1" applyFill="1" applyBorder="1" applyAlignment="1" applyProtection="1">
      <alignment horizontal="center" vertical="center"/>
      <protection locked="0"/>
    </xf>
    <xf numFmtId="0" fontId="75" fillId="3" borderId="2" xfId="0" applyFont="1" applyFill="1" applyBorder="1" applyAlignment="1" applyProtection="1">
      <alignment horizontal="center" vertical="center" wrapText="1"/>
      <protection locked="0"/>
    </xf>
    <xf numFmtId="0" fontId="72" fillId="3" borderId="2" xfId="0" applyFont="1" applyFill="1" applyBorder="1" applyAlignment="1" applyProtection="1">
      <alignment horizontal="center" vertical="center"/>
      <protection locked="0"/>
    </xf>
    <xf numFmtId="182" fontId="72" fillId="3" borderId="2" xfId="0" applyNumberFormat="1" applyFont="1" applyFill="1" applyBorder="1" applyAlignment="1" applyProtection="1">
      <alignment horizontal="center" vertical="center" wrapText="1" shrinkToFit="1"/>
      <protection locked="0"/>
    </xf>
    <xf numFmtId="0" fontId="72" fillId="3" borderId="2" xfId="0" applyFont="1" applyFill="1" applyBorder="1" applyAlignment="1" applyProtection="1">
      <alignment horizontal="center" vertical="center" wrapText="1" shrinkToFit="1"/>
      <protection locked="0"/>
    </xf>
    <xf numFmtId="0" fontId="72" fillId="2" borderId="2" xfId="0" applyFont="1" applyFill="1" applyBorder="1" applyAlignment="1" applyProtection="1">
      <alignment horizontal="center" vertical="center" wrapText="1"/>
      <protection locked="0"/>
    </xf>
    <xf numFmtId="0" fontId="72" fillId="24" borderId="2" xfId="0" applyFont="1" applyFill="1" applyBorder="1" applyAlignment="1" applyProtection="1">
      <alignment horizontal="center" vertical="center"/>
      <protection locked="0"/>
    </xf>
    <xf numFmtId="0" fontId="72" fillId="4" borderId="2" xfId="0" applyNumberFormat="1" applyFont="1" applyFill="1" applyBorder="1" applyAlignment="1" applyProtection="1">
      <alignment horizontal="center" vertical="center" wrapText="1" shrinkToFit="1"/>
      <protection locked="0"/>
    </xf>
    <xf numFmtId="0" fontId="72" fillId="24" borderId="2" xfId="0" applyNumberFormat="1" applyFont="1" applyFill="1" applyBorder="1" applyAlignment="1" applyProtection="1">
      <alignment horizontal="center" vertical="center"/>
      <protection locked="0"/>
    </xf>
    <xf numFmtId="0" fontId="72" fillId="19" borderId="2" xfId="0" applyNumberFormat="1" applyFont="1" applyFill="1" applyBorder="1" applyAlignment="1" applyProtection="1">
      <alignment horizontal="center" vertical="center" wrapText="1" shrinkToFit="1"/>
      <protection locked="0"/>
    </xf>
    <xf numFmtId="0" fontId="72" fillId="23" borderId="2" xfId="0" applyNumberFormat="1" applyFont="1" applyFill="1" applyBorder="1" applyAlignment="1" applyProtection="1">
      <alignment horizontal="center" vertical="center" wrapText="1" shrinkToFit="1"/>
      <protection locked="0"/>
    </xf>
    <xf numFmtId="0" fontId="72" fillId="3" borderId="2" xfId="0" applyFont="1" applyFill="1" applyBorder="1" applyAlignment="1" applyProtection="1">
      <alignment horizontal="center" vertical="center" wrapText="1"/>
      <protection locked="0"/>
    </xf>
    <xf numFmtId="0" fontId="72" fillId="19" borderId="2" xfId="0" applyFont="1" applyFill="1" applyBorder="1" applyAlignment="1" applyProtection="1">
      <alignment horizontal="center" vertical="center" wrapText="1"/>
      <protection locked="0"/>
    </xf>
    <xf numFmtId="58" fontId="72" fillId="3" borderId="2" xfId="0" applyNumberFormat="1" applyFont="1" applyFill="1" applyBorder="1" applyAlignment="1" applyProtection="1">
      <alignment horizontal="center" vertical="center" wrapText="1" shrinkToFit="1"/>
      <protection locked="0"/>
    </xf>
    <xf numFmtId="182" fontId="72" fillId="4" borderId="2" xfId="0" applyNumberFormat="1" applyFont="1" applyFill="1" applyBorder="1" applyAlignment="1" applyProtection="1">
      <alignment horizontal="center" vertical="center" wrapText="1" shrinkToFit="1"/>
      <protection locked="0"/>
    </xf>
    <xf numFmtId="181" fontId="15" fillId="3" borderId="2" xfId="0" applyNumberFormat="1" applyFont="1" applyFill="1" applyBorder="1" applyAlignment="1" applyProtection="1">
      <alignment horizontal="center" vertical="center" wrapText="1" shrinkToFit="1"/>
      <protection locked="0"/>
    </xf>
    <xf numFmtId="0" fontId="15" fillId="3" borderId="2" xfId="0" applyNumberFormat="1" applyFont="1" applyFill="1" applyBorder="1" applyAlignment="1" applyProtection="1">
      <alignment horizontal="center" vertical="center" wrapText="1" shrinkToFit="1"/>
      <protection locked="0"/>
    </xf>
    <xf numFmtId="0" fontId="15" fillId="0" borderId="0" xfId="0" applyFont="1" applyFill="1" applyAlignment="1" applyProtection="1">
      <alignment horizontal="center" vertical="center" wrapText="1"/>
      <protection locked="0"/>
    </xf>
    <xf numFmtId="187" fontId="15" fillId="0" borderId="2" xfId="0" applyNumberFormat="1" applyFont="1" applyFill="1" applyBorder="1" applyAlignment="1" applyProtection="1">
      <alignment horizontal="center" vertical="center" wrapText="1"/>
      <protection locked="0"/>
    </xf>
    <xf numFmtId="0" fontId="15" fillId="23" borderId="2" xfId="0"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horizontal="center" vertical="center"/>
      <protection locked="0"/>
    </xf>
    <xf numFmtId="0" fontId="15" fillId="0" borderId="2" xfId="0" applyNumberFormat="1"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wrapText="1"/>
      <protection locked="0"/>
    </xf>
    <xf numFmtId="0" fontId="15" fillId="19" borderId="2" xfId="0" applyFont="1" applyFill="1" applyBorder="1" applyAlignment="1" applyProtection="1">
      <alignment horizontal="center" vertical="center" wrapText="1" shrinkToFit="1"/>
      <protection locked="0"/>
    </xf>
    <xf numFmtId="0" fontId="86" fillId="0" borderId="1" xfId="0" applyFont="1" applyBorder="1" applyAlignment="1" applyProtection="1">
      <alignment horizontal="center" vertical="center"/>
      <protection locked="0"/>
    </xf>
    <xf numFmtId="0" fontId="15" fillId="0" borderId="8" xfId="0" applyFont="1" applyFill="1" applyBorder="1" applyAlignment="1" applyProtection="1">
      <alignment horizontal="center" vertical="center"/>
      <protection locked="0"/>
    </xf>
    <xf numFmtId="0" fontId="15" fillId="0" borderId="6" xfId="0" applyFont="1" applyFill="1" applyBorder="1" applyAlignment="1" applyProtection="1">
      <alignment horizontal="center" vertical="center"/>
      <protection locked="0"/>
    </xf>
    <xf numFmtId="0" fontId="15" fillId="24" borderId="2" xfId="0" applyNumberFormat="1" applyFont="1" applyFill="1" applyBorder="1" applyAlignment="1" applyProtection="1">
      <alignment horizontal="center" vertical="center"/>
      <protection locked="0"/>
    </xf>
    <xf numFmtId="0" fontId="15" fillId="4" borderId="2" xfId="0" applyNumberFormat="1" applyFont="1" applyFill="1" applyBorder="1" applyAlignment="1" applyProtection="1">
      <alignment horizontal="center" vertical="center" wrapText="1" shrinkToFit="1"/>
      <protection locked="0"/>
    </xf>
    <xf numFmtId="58" fontId="15" fillId="3" borderId="2" xfId="0" applyNumberFormat="1" applyFont="1" applyFill="1" applyBorder="1" applyAlignment="1" applyProtection="1">
      <alignment horizontal="center" vertical="center" wrapText="1" shrinkToFit="1"/>
      <protection locked="0"/>
    </xf>
    <xf numFmtId="0" fontId="15" fillId="24" borderId="2" xfId="0" applyFont="1" applyFill="1" applyBorder="1" applyAlignment="1" applyProtection="1">
      <alignment horizontal="center" vertical="center"/>
      <protection locked="0"/>
    </xf>
    <xf numFmtId="0" fontId="15" fillId="19" borderId="2" xfId="0" applyFont="1" applyFill="1" applyBorder="1" applyAlignment="1" applyProtection="1">
      <alignment horizontal="center" vertical="center"/>
      <protection locked="0"/>
    </xf>
    <xf numFmtId="0" fontId="69" fillId="19" borderId="2" xfId="0" applyFont="1" applyFill="1" applyBorder="1" applyAlignment="1" applyProtection="1">
      <alignment horizontal="center" vertical="center"/>
      <protection locked="0"/>
    </xf>
    <xf numFmtId="181" fontId="15" fillId="0" borderId="2" xfId="0" applyNumberFormat="1" applyFont="1" applyFill="1" applyBorder="1" applyAlignment="1" applyProtection="1">
      <alignment horizontal="center" vertical="center" shrinkToFit="1"/>
      <protection locked="0"/>
    </xf>
    <xf numFmtId="0" fontId="15" fillId="23" borderId="2" xfId="0" applyFont="1" applyFill="1" applyBorder="1" applyAlignment="1" applyProtection="1">
      <alignment horizontal="center" vertical="center" wrapText="1"/>
      <protection locked="0"/>
    </xf>
    <xf numFmtId="0" fontId="15" fillId="17" borderId="2" xfId="0" applyFont="1" applyFill="1" applyBorder="1" applyAlignment="1" applyProtection="1">
      <alignment horizontal="center" vertical="center"/>
      <protection locked="0"/>
    </xf>
    <xf numFmtId="0" fontId="86" fillId="20" borderId="1" xfId="0" applyFont="1" applyFill="1" applyBorder="1" applyAlignment="1" applyProtection="1">
      <alignment horizontal="center" vertical="center"/>
      <protection locked="0"/>
    </xf>
    <xf numFmtId="0" fontId="72" fillId="19" borderId="2" xfId="0" applyNumberFormat="1" applyFont="1" applyFill="1" applyBorder="1" applyAlignment="1" applyProtection="1">
      <alignment horizontal="center" vertical="center"/>
      <protection locked="0"/>
    </xf>
    <xf numFmtId="0" fontId="72" fillId="23" borderId="2" xfId="0" applyFont="1" applyFill="1" applyBorder="1" applyAlignment="1" applyProtection="1">
      <alignment horizontal="center" vertical="center" wrapText="1"/>
      <protection locked="0"/>
    </xf>
    <xf numFmtId="0" fontId="72" fillId="19" borderId="2" xfId="0" applyFont="1" applyFill="1" applyBorder="1" applyAlignment="1" applyProtection="1">
      <alignment horizontal="center" vertical="center"/>
      <protection locked="0"/>
    </xf>
    <xf numFmtId="0" fontId="72" fillId="19" borderId="1" xfId="0" applyFont="1" applyFill="1" applyBorder="1" applyAlignment="1">
      <alignment horizontal="center" vertical="center"/>
    </xf>
    <xf numFmtId="3" fontId="72" fillId="3" borderId="2" xfId="0" applyNumberFormat="1" applyFont="1" applyFill="1" applyBorder="1" applyAlignment="1" applyProtection="1">
      <alignment horizontal="center" vertical="center" wrapText="1" shrinkToFit="1"/>
      <protection locked="0"/>
    </xf>
    <xf numFmtId="191" fontId="15" fillId="0" borderId="2" xfId="0" applyNumberFormat="1" applyFont="1" applyFill="1" applyBorder="1" applyAlignment="1" applyProtection="1">
      <alignment horizontal="center" vertical="center" wrapText="1"/>
      <protection locked="0"/>
    </xf>
    <xf numFmtId="0" fontId="15" fillId="3" borderId="2" xfId="0" applyNumberFormat="1" applyFont="1" applyFill="1" applyBorder="1" applyAlignment="1" applyProtection="1">
      <alignment horizontal="center" vertical="center"/>
      <protection locked="0"/>
    </xf>
    <xf numFmtId="0" fontId="15" fillId="19" borderId="1" xfId="0" applyFont="1" applyFill="1" applyBorder="1" applyAlignment="1">
      <alignment horizontal="center" vertical="center"/>
    </xf>
    <xf numFmtId="182" fontId="15" fillId="3" borderId="2" xfId="0" applyNumberFormat="1" applyFont="1" applyFill="1" applyBorder="1" applyAlignment="1" applyProtection="1">
      <alignment horizontal="center" vertical="center" wrapText="1" shrinkToFit="1"/>
      <protection locked="0"/>
    </xf>
    <xf numFmtId="0" fontId="75" fillId="0" borderId="2" xfId="0" applyNumberFormat="1" applyFont="1" applyFill="1" applyBorder="1" applyAlignment="1" applyProtection="1">
      <alignment horizontal="center" vertical="center" wrapText="1" shrinkToFit="1"/>
      <protection locked="0"/>
    </xf>
    <xf numFmtId="182" fontId="75" fillId="0" borderId="2" xfId="0" applyNumberFormat="1" applyFont="1" applyFill="1" applyBorder="1" applyAlignment="1" applyProtection="1">
      <alignment horizontal="center" vertical="center" wrapText="1" shrinkToFit="1"/>
      <protection locked="0"/>
    </xf>
    <xf numFmtId="0" fontId="15" fillId="23" borderId="2" xfId="0" applyNumberFormat="1" applyFont="1" applyFill="1" applyBorder="1" applyAlignment="1" applyProtection="1">
      <alignment horizontal="center" vertical="center" wrapText="1" shrinkToFit="1"/>
      <protection locked="0"/>
    </xf>
    <xf numFmtId="0" fontId="72" fillId="25" borderId="2" xfId="0" applyFont="1" applyFill="1" applyBorder="1" applyAlignment="1" applyProtection="1">
      <alignment horizontal="center" vertical="center" wrapText="1"/>
      <protection locked="0"/>
    </xf>
    <xf numFmtId="0" fontId="69" fillId="25" borderId="2" xfId="0" applyFont="1" applyFill="1" applyBorder="1" applyAlignment="1" applyProtection="1">
      <alignment horizontal="center" vertical="center" wrapText="1"/>
      <protection locked="0"/>
    </xf>
    <xf numFmtId="181" fontId="73" fillId="0" borderId="2" xfId="0" applyNumberFormat="1" applyFont="1" applyFill="1" applyBorder="1" applyAlignment="1" applyProtection="1">
      <alignment horizontal="center" vertical="center" wrapText="1" shrinkToFit="1"/>
    </xf>
    <xf numFmtId="0" fontId="73" fillId="0" borderId="2" xfId="0" applyFont="1" applyFill="1" applyBorder="1" applyAlignment="1" applyProtection="1">
      <alignment horizontal="center" vertical="center" wrapText="1"/>
      <protection locked="0"/>
    </xf>
    <xf numFmtId="0" fontId="73" fillId="0" borderId="2" xfId="0" applyFont="1" applyFill="1" applyBorder="1" applyAlignment="1" applyProtection="1">
      <alignment horizontal="center" vertical="center" wrapText="1" shrinkToFit="1"/>
      <protection locked="0"/>
    </xf>
    <xf numFmtId="0" fontId="73" fillId="19" borderId="2" xfId="0" applyNumberFormat="1" applyFont="1" applyFill="1" applyBorder="1" applyAlignment="1" applyProtection="1">
      <alignment horizontal="center" vertical="center"/>
      <protection locked="0"/>
    </xf>
    <xf numFmtId="0" fontId="73" fillId="0" borderId="2" xfId="0" applyNumberFormat="1" applyFont="1" applyFill="1" applyBorder="1" applyAlignment="1" applyProtection="1">
      <alignment horizontal="center" vertical="center" wrapText="1" shrinkToFit="1"/>
      <protection locked="0"/>
    </xf>
    <xf numFmtId="0" fontId="73" fillId="0" borderId="2" xfId="0" applyFont="1" applyFill="1" applyBorder="1" applyAlignment="1" applyProtection="1">
      <alignment horizontal="center" vertical="center"/>
      <protection locked="0"/>
    </xf>
    <xf numFmtId="3" fontId="73" fillId="0" borderId="2" xfId="0" applyNumberFormat="1" applyFont="1" applyFill="1" applyBorder="1" applyAlignment="1" applyProtection="1">
      <alignment horizontal="center" vertical="center" wrapText="1" shrinkToFit="1"/>
      <protection locked="0"/>
    </xf>
    <xf numFmtId="183" fontId="73" fillId="0" borderId="2" xfId="0" applyNumberFormat="1" applyFont="1" applyFill="1" applyBorder="1" applyAlignment="1" applyProtection="1">
      <alignment horizontal="center" vertical="center" wrapText="1" shrinkToFit="1"/>
      <protection locked="0"/>
    </xf>
    <xf numFmtId="181" fontId="73" fillId="0" borderId="2" xfId="0" applyNumberFormat="1" applyFont="1" applyFill="1" applyBorder="1" applyAlignment="1" applyProtection="1">
      <alignment horizontal="center" vertical="center" wrapText="1" shrinkToFit="1"/>
      <protection locked="0"/>
    </xf>
    <xf numFmtId="182" fontId="73" fillId="0" borderId="2" xfId="0" applyNumberFormat="1" applyFont="1" applyFill="1" applyBorder="1" applyAlignment="1" applyProtection="1">
      <alignment horizontal="center" vertical="center" wrapText="1" shrinkToFit="1"/>
      <protection locked="0"/>
    </xf>
    <xf numFmtId="0" fontId="73" fillId="0" borderId="0" xfId="0" applyFont="1" applyFill="1" applyAlignment="1" applyProtection="1">
      <alignment horizontal="center" vertical="center" wrapText="1"/>
      <protection locked="0"/>
    </xf>
    <xf numFmtId="180" fontId="73" fillId="0" borderId="2" xfId="0" applyNumberFormat="1" applyFont="1" applyFill="1" applyBorder="1" applyAlignment="1" applyProtection="1">
      <alignment horizontal="center" vertical="center" wrapText="1" shrinkToFit="1"/>
      <protection locked="0"/>
    </xf>
    <xf numFmtId="0" fontId="89" fillId="0" borderId="1" xfId="0" applyFont="1" applyBorder="1" applyAlignment="1" applyProtection="1">
      <alignment horizontal="center" vertical="center"/>
      <protection locked="0"/>
    </xf>
    <xf numFmtId="0" fontId="73" fillId="23" borderId="2" xfId="0" applyFont="1" applyFill="1" applyBorder="1" applyAlignment="1" applyProtection="1">
      <alignment horizontal="center" vertical="center" wrapText="1"/>
      <protection locked="0"/>
    </xf>
    <xf numFmtId="183" fontId="73" fillId="0" borderId="2" xfId="0" applyNumberFormat="1" applyFont="1" applyFill="1" applyBorder="1" applyAlignment="1" applyProtection="1">
      <alignment horizontal="center" vertical="center"/>
      <protection locked="0"/>
    </xf>
    <xf numFmtId="180" fontId="73" fillId="0" borderId="2" xfId="0" applyNumberFormat="1" applyFont="1" applyFill="1" applyBorder="1" applyAlignment="1" applyProtection="1">
      <alignment horizontal="center" vertical="center"/>
      <protection locked="0"/>
    </xf>
    <xf numFmtId="0" fontId="73" fillId="0" borderId="8" xfId="0" applyFont="1" applyFill="1" applyBorder="1" applyAlignment="1" applyProtection="1">
      <alignment horizontal="center" vertical="center"/>
      <protection locked="0"/>
    </xf>
    <xf numFmtId="0" fontId="73" fillId="0" borderId="1" xfId="0" applyFont="1" applyFill="1" applyBorder="1" applyAlignment="1" applyProtection="1">
      <alignment horizontal="center" vertical="center"/>
      <protection locked="0"/>
    </xf>
    <xf numFmtId="0" fontId="73" fillId="0" borderId="6" xfId="0" applyFont="1" applyFill="1" applyBorder="1" applyAlignment="1" applyProtection="1">
      <alignment horizontal="center" vertical="center"/>
      <protection locked="0"/>
    </xf>
    <xf numFmtId="184" fontId="73" fillId="0" borderId="2" xfId="0" applyNumberFormat="1" applyFont="1" applyFill="1" applyBorder="1" applyAlignment="1" applyProtection="1">
      <alignment horizontal="center" vertical="center"/>
      <protection locked="0"/>
    </xf>
    <xf numFmtId="0" fontId="89" fillId="20" borderId="1" xfId="0" applyFont="1" applyFill="1" applyBorder="1" applyAlignment="1" applyProtection="1">
      <alignment horizontal="center" vertical="center"/>
      <protection locked="0"/>
    </xf>
    <xf numFmtId="0" fontId="73" fillId="19" borderId="2" xfId="0" applyFont="1" applyFill="1" applyBorder="1" applyAlignment="1" applyProtection="1">
      <alignment horizontal="center" vertical="center"/>
      <protection locked="0"/>
    </xf>
    <xf numFmtId="0" fontId="73" fillId="0" borderId="1" xfId="0" applyFont="1" applyBorder="1" applyAlignment="1" applyProtection="1">
      <alignment horizontal="center" vertical="center" wrapText="1" shrinkToFit="1"/>
      <protection locked="0"/>
    </xf>
    <xf numFmtId="184" fontId="73" fillId="3" borderId="2" xfId="0" applyNumberFormat="1" applyFont="1" applyFill="1" applyBorder="1" applyAlignment="1" applyProtection="1">
      <alignment horizontal="center" vertical="center"/>
      <protection locked="0"/>
    </xf>
    <xf numFmtId="0" fontId="73" fillId="0" borderId="2" xfId="0" applyNumberFormat="1" applyFont="1" applyFill="1" applyBorder="1" applyAlignment="1" applyProtection="1">
      <alignment horizontal="center" vertical="center"/>
      <protection locked="0"/>
    </xf>
    <xf numFmtId="0" fontId="73" fillId="24" borderId="2" xfId="0" applyNumberFormat="1" applyFont="1" applyFill="1" applyBorder="1" applyAlignment="1" applyProtection="1">
      <alignment horizontal="center" vertical="center"/>
      <protection locked="0"/>
    </xf>
    <xf numFmtId="0" fontId="69" fillId="2" borderId="2" xfId="0" applyFont="1" applyFill="1" applyBorder="1" applyAlignment="1" applyProtection="1">
      <alignment horizontal="center" vertical="center" wrapText="1" shrinkToFit="1"/>
      <protection locked="0"/>
    </xf>
    <xf numFmtId="181" fontId="73" fillId="3" borderId="2" xfId="0" applyNumberFormat="1" applyFont="1" applyFill="1" applyBorder="1" applyAlignment="1" applyProtection="1">
      <alignment horizontal="center" vertical="center" wrapText="1" shrinkToFit="1"/>
      <protection locked="0"/>
    </xf>
    <xf numFmtId="0" fontId="73" fillId="3" borderId="2" xfId="0" applyNumberFormat="1" applyFont="1" applyFill="1" applyBorder="1" applyAlignment="1" applyProtection="1">
      <alignment horizontal="center" vertical="center" wrapText="1" shrinkToFit="1"/>
      <protection locked="0"/>
    </xf>
    <xf numFmtId="0" fontId="73" fillId="23" borderId="2" xfId="0" applyNumberFormat="1" applyFont="1" applyFill="1" applyBorder="1" applyAlignment="1" applyProtection="1">
      <alignment horizontal="center" vertical="center" wrapText="1" shrinkToFit="1"/>
      <protection locked="0"/>
    </xf>
    <xf numFmtId="0" fontId="73" fillId="3" borderId="2" xfId="0" applyFont="1" applyFill="1" applyBorder="1" applyAlignment="1" applyProtection="1">
      <alignment horizontal="center" vertical="center" wrapText="1" shrinkToFit="1"/>
      <protection locked="0"/>
    </xf>
    <xf numFmtId="0" fontId="89" fillId="21" borderId="1" xfId="0" applyFont="1" applyFill="1" applyBorder="1" applyAlignment="1" applyProtection="1">
      <alignment horizontal="center" vertical="center"/>
      <protection locked="0"/>
    </xf>
    <xf numFmtId="0" fontId="73" fillId="3" borderId="2" xfId="0" applyFont="1" applyFill="1" applyBorder="1" applyAlignment="1" applyProtection="1">
      <alignment horizontal="center" vertical="center" wrapText="1"/>
      <protection locked="0"/>
    </xf>
    <xf numFmtId="185" fontId="73" fillId="0" borderId="2" xfId="0" applyNumberFormat="1" applyFont="1" applyFill="1" applyBorder="1" applyAlignment="1" applyProtection="1">
      <alignment horizontal="center" vertical="center" wrapText="1" shrinkToFit="1"/>
      <protection locked="0"/>
    </xf>
    <xf numFmtId="0" fontId="73" fillId="22" borderId="2" xfId="0" applyNumberFormat="1" applyFont="1" applyFill="1" applyBorder="1" applyAlignment="1" applyProtection="1">
      <alignment horizontal="center" vertical="center"/>
      <protection locked="0"/>
    </xf>
    <xf numFmtId="187" fontId="73" fillId="0" borderId="2" xfId="0" applyNumberFormat="1" applyFont="1" applyFill="1" applyBorder="1" applyAlignment="1" applyProtection="1">
      <alignment horizontal="center" vertical="center" wrapText="1"/>
      <protection locked="0"/>
    </xf>
    <xf numFmtId="0" fontId="89" fillId="0" borderId="1" xfId="0" applyFont="1" applyBorder="1" applyAlignment="1" applyProtection="1">
      <alignment horizontal="center" vertical="center" wrapText="1" shrinkToFit="1"/>
      <protection locked="0"/>
    </xf>
    <xf numFmtId="0" fontId="15" fillId="0" borderId="2" xfId="0" applyNumberFormat="1" applyFont="1" applyFill="1" applyBorder="1" applyAlignment="1" applyProtection="1">
      <alignment horizontal="center" vertical="center" wrapText="1"/>
    </xf>
    <xf numFmtId="182" fontId="15" fillId="4" borderId="2" xfId="0" applyNumberFormat="1" applyFont="1" applyFill="1" applyBorder="1" applyAlignment="1" applyProtection="1">
      <alignment horizontal="center" vertical="center" wrapText="1" shrinkToFit="1"/>
      <protection locked="0"/>
    </xf>
    <xf numFmtId="3" fontId="15" fillId="3" borderId="2" xfId="0" applyNumberFormat="1" applyFont="1" applyFill="1" applyBorder="1" applyAlignment="1" applyProtection="1">
      <alignment horizontal="center" vertical="center" wrapText="1" shrinkToFit="1"/>
      <protection locked="0"/>
    </xf>
    <xf numFmtId="182" fontId="72" fillId="0" borderId="8" xfId="0" applyNumberFormat="1" applyFont="1" applyFill="1" applyBorder="1" applyAlignment="1" applyProtection="1">
      <alignment horizontal="center" vertical="center" wrapText="1" shrinkToFit="1"/>
      <protection locked="0"/>
    </xf>
    <xf numFmtId="0" fontId="72" fillId="0" borderId="1" xfId="0" applyFont="1" applyFill="1" applyBorder="1" applyAlignment="1" applyProtection="1">
      <alignment horizontal="center" vertical="center" wrapText="1"/>
      <protection locked="0"/>
    </xf>
    <xf numFmtId="0" fontId="72" fillId="0" borderId="6" xfId="0" applyFont="1" applyFill="1" applyBorder="1" applyAlignment="1" applyProtection="1">
      <alignment horizontal="center" vertical="center" wrapText="1"/>
      <protection locked="0"/>
    </xf>
    <xf numFmtId="181" fontId="74" fillId="0" borderId="2" xfId="0" applyNumberFormat="1" applyFont="1" applyFill="1" applyBorder="1" applyAlignment="1" applyProtection="1">
      <alignment horizontal="center" vertical="center" wrapText="1" shrinkToFit="1"/>
    </xf>
    <xf numFmtId="0" fontId="74" fillId="0" borderId="2" xfId="0" applyFont="1" applyFill="1" applyBorder="1" applyAlignment="1" applyProtection="1">
      <alignment horizontal="center" vertical="center" wrapText="1"/>
      <protection locked="0"/>
    </xf>
    <xf numFmtId="0" fontId="74" fillId="0" borderId="2" xfId="0" applyNumberFormat="1" applyFont="1" applyFill="1" applyBorder="1" applyAlignment="1" applyProtection="1">
      <alignment horizontal="center" vertical="center"/>
      <protection locked="0"/>
    </xf>
    <xf numFmtId="0" fontId="74" fillId="0" borderId="2" xfId="0" applyNumberFormat="1" applyFont="1" applyFill="1" applyBorder="1" applyAlignment="1" applyProtection="1">
      <alignment horizontal="center" vertical="center" wrapText="1" shrinkToFit="1"/>
      <protection locked="0"/>
    </xf>
    <xf numFmtId="0" fontId="74" fillId="0" borderId="2" xfId="0" applyFont="1" applyFill="1" applyBorder="1" applyAlignment="1" applyProtection="1">
      <alignment horizontal="center" vertical="center"/>
      <protection locked="0"/>
    </xf>
    <xf numFmtId="3" fontId="74" fillId="0" borderId="2" xfId="0" applyNumberFormat="1" applyFont="1" applyFill="1" applyBorder="1" applyAlignment="1" applyProtection="1">
      <alignment horizontal="center" vertical="center" wrapText="1" shrinkToFit="1"/>
      <protection locked="0"/>
    </xf>
    <xf numFmtId="183" fontId="74" fillId="0" borderId="2" xfId="0" applyNumberFormat="1" applyFont="1" applyFill="1" applyBorder="1" applyAlignment="1" applyProtection="1">
      <alignment horizontal="center" vertical="center" wrapText="1" shrinkToFit="1"/>
      <protection locked="0"/>
    </xf>
    <xf numFmtId="181" fontId="74" fillId="0" borderId="2" xfId="0" applyNumberFormat="1" applyFont="1" applyFill="1" applyBorder="1" applyAlignment="1" applyProtection="1">
      <alignment horizontal="center" vertical="center" wrapText="1" shrinkToFit="1"/>
      <protection locked="0"/>
    </xf>
    <xf numFmtId="182" fontId="74" fillId="0" borderId="2" xfId="0" applyNumberFormat="1" applyFont="1" applyFill="1" applyBorder="1" applyAlignment="1" applyProtection="1">
      <alignment horizontal="center" vertical="center" wrapText="1" shrinkToFit="1"/>
      <protection locked="0"/>
    </xf>
    <xf numFmtId="0" fontId="74" fillId="0" borderId="0" xfId="0" applyFont="1" applyFill="1" applyAlignment="1" applyProtection="1">
      <alignment horizontal="center" vertical="center" wrapText="1"/>
      <protection locked="0"/>
    </xf>
    <xf numFmtId="180" fontId="74" fillId="0" borderId="2" xfId="0" applyNumberFormat="1" applyFont="1" applyFill="1" applyBorder="1" applyAlignment="1" applyProtection="1">
      <alignment horizontal="center" vertical="center" wrapText="1" shrinkToFit="1"/>
      <protection locked="0"/>
    </xf>
    <xf numFmtId="0" fontId="82" fillId="0" borderId="1" xfId="0" applyFont="1" applyBorder="1" applyAlignment="1" applyProtection="1">
      <alignment horizontal="center" vertical="center"/>
      <protection locked="0"/>
    </xf>
    <xf numFmtId="184" fontId="74" fillId="0" borderId="2" xfId="0" applyNumberFormat="1" applyFont="1" applyFill="1" applyBorder="1" applyAlignment="1" applyProtection="1">
      <alignment horizontal="center" vertical="center"/>
      <protection locked="0"/>
    </xf>
    <xf numFmtId="183" fontId="74" fillId="0" borderId="2" xfId="0" applyNumberFormat="1" applyFont="1" applyFill="1" applyBorder="1" applyAlignment="1" applyProtection="1">
      <alignment horizontal="center" vertical="center"/>
      <protection locked="0"/>
    </xf>
    <xf numFmtId="180" fontId="74" fillId="0" borderId="2" xfId="0" applyNumberFormat="1" applyFont="1" applyFill="1" applyBorder="1" applyAlignment="1" applyProtection="1">
      <alignment horizontal="center" vertical="center"/>
      <protection locked="0"/>
    </xf>
    <xf numFmtId="0" fontId="74" fillId="0" borderId="8" xfId="0" applyFont="1" applyFill="1" applyBorder="1" applyAlignment="1" applyProtection="1">
      <alignment horizontal="center" vertical="center"/>
      <protection locked="0"/>
    </xf>
    <xf numFmtId="0" fontId="74" fillId="0" borderId="1" xfId="0" applyFont="1" applyFill="1" applyBorder="1" applyAlignment="1" applyProtection="1">
      <alignment horizontal="center" vertical="center"/>
      <protection locked="0"/>
    </xf>
    <xf numFmtId="0" fontId="74" fillId="0" borderId="6" xfId="0" applyFont="1" applyFill="1" applyBorder="1" applyAlignment="1" applyProtection="1">
      <alignment horizontal="center" vertical="center"/>
      <protection locked="0"/>
    </xf>
    <xf numFmtId="0" fontId="82" fillId="20" borderId="1" xfId="0" applyFont="1" applyFill="1" applyBorder="1" applyAlignment="1" applyProtection="1">
      <alignment horizontal="center" vertical="center"/>
      <protection locked="0"/>
    </xf>
    <xf numFmtId="184" fontId="74" fillId="0" borderId="8" xfId="0" applyNumberFormat="1" applyFont="1" applyFill="1" applyBorder="1" applyAlignment="1" applyProtection="1">
      <alignment horizontal="center" vertical="center"/>
      <protection locked="0"/>
    </xf>
    <xf numFmtId="184" fontId="74" fillId="0" borderId="6" xfId="0" applyNumberFormat="1" applyFont="1" applyFill="1" applyBorder="1" applyAlignment="1" applyProtection="1">
      <alignment horizontal="center" vertical="center"/>
      <protection locked="0"/>
    </xf>
    <xf numFmtId="184" fontId="74" fillId="3" borderId="2" xfId="0" applyNumberFormat="1" applyFont="1" applyFill="1" applyBorder="1" applyAlignment="1" applyProtection="1">
      <alignment horizontal="center" vertical="center"/>
      <protection locked="0"/>
    </xf>
    <xf numFmtId="0" fontId="72" fillId="0" borderId="8" xfId="0" applyFont="1" applyFill="1" applyBorder="1" applyAlignment="1" applyProtection="1">
      <alignment horizontal="center" vertical="center" wrapText="1" shrinkToFit="1"/>
      <protection locked="0"/>
    </xf>
    <xf numFmtId="183" fontId="72" fillId="0" borderId="1" xfId="0" applyNumberFormat="1" applyFont="1" applyFill="1" applyBorder="1" applyAlignment="1" applyProtection="1">
      <alignment horizontal="center" vertical="center" wrapText="1" shrinkToFit="1"/>
      <protection locked="0"/>
    </xf>
    <xf numFmtId="181" fontId="72" fillId="0" borderId="6" xfId="0" applyNumberFormat="1" applyFont="1" applyFill="1" applyBorder="1" applyAlignment="1" applyProtection="1">
      <alignment horizontal="center" vertical="center" wrapText="1" shrinkToFit="1"/>
      <protection locked="0"/>
    </xf>
    <xf numFmtId="0" fontId="72" fillId="23" borderId="2" xfId="0" applyFont="1" applyFill="1" applyBorder="1" applyAlignment="1" applyProtection="1">
      <alignment horizontal="center" vertical="center"/>
      <protection locked="0"/>
    </xf>
    <xf numFmtId="0" fontId="72" fillId="23" borderId="2" xfId="0" applyNumberFormat="1" applyFont="1" applyFill="1" applyBorder="1" applyAlignment="1" applyProtection="1">
      <alignment horizontal="center" vertical="center"/>
      <protection locked="0"/>
    </xf>
    <xf numFmtId="0" fontId="72" fillId="0" borderId="3" xfId="0" applyFont="1" applyFill="1" applyBorder="1" applyAlignment="1" applyProtection="1">
      <alignment horizontal="center" vertical="center" wrapText="1"/>
      <protection locked="0"/>
    </xf>
    <xf numFmtId="0" fontId="72" fillId="3" borderId="2" xfId="0" applyNumberFormat="1" applyFont="1" applyFill="1" applyBorder="1" applyAlignment="1" applyProtection="1">
      <alignment horizontal="center" vertical="center"/>
      <protection locked="0"/>
    </xf>
    <xf numFmtId="181" fontId="72" fillId="3" borderId="6" xfId="0" applyNumberFormat="1" applyFont="1" applyFill="1" applyBorder="1" applyAlignment="1" applyProtection="1">
      <alignment horizontal="center" vertical="center" wrapText="1" shrinkToFit="1"/>
      <protection locked="0"/>
    </xf>
    <xf numFmtId="0" fontId="90" fillId="21" borderId="0" xfId="0" applyFont="1" applyFill="1" applyAlignment="1"/>
    <xf numFmtId="180" fontId="15" fillId="3" borderId="2" xfId="0" applyNumberFormat="1" applyFont="1" applyFill="1" applyBorder="1" applyAlignment="1" applyProtection="1">
      <alignment horizontal="center" vertical="center" wrapText="1" shrinkToFit="1"/>
      <protection locked="0"/>
    </xf>
    <xf numFmtId="0" fontId="15" fillId="0" borderId="3" xfId="0" applyFont="1" applyFill="1" applyBorder="1" applyAlignment="1" applyProtection="1">
      <alignment horizontal="center" vertical="center" wrapText="1"/>
      <protection locked="0"/>
    </xf>
    <xf numFmtId="0" fontId="15" fillId="0" borderId="8" xfId="0" applyFont="1" applyFill="1" applyBorder="1" applyAlignment="1" applyProtection="1">
      <alignment horizontal="center" vertical="center" wrapText="1" shrinkToFit="1"/>
      <protection locked="0"/>
    </xf>
    <xf numFmtId="183" fontId="15" fillId="0" borderId="1" xfId="0" applyNumberFormat="1" applyFont="1" applyFill="1" applyBorder="1" applyAlignment="1" applyProtection="1">
      <alignment horizontal="center" vertical="center" wrapText="1" shrinkToFit="1"/>
      <protection locked="0"/>
    </xf>
    <xf numFmtId="181" fontId="15" fillId="0" borderId="6" xfId="0" applyNumberFormat="1" applyFont="1" applyFill="1" applyBorder="1" applyAlignment="1" applyProtection="1">
      <alignment horizontal="center" vertical="center" wrapText="1" shrinkToFit="1"/>
      <protection locked="0"/>
    </xf>
    <xf numFmtId="0" fontId="6" fillId="0" borderId="2" xfId="0" applyNumberFormat="1" applyFont="1" applyFill="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6" fillId="0" borderId="8" xfId="0" applyFont="1" applyFill="1" applyBorder="1" applyAlignment="1" applyProtection="1">
      <alignment horizontal="center" vertical="center"/>
      <protection locked="0"/>
    </xf>
    <xf numFmtId="0" fontId="6" fillId="0" borderId="6" xfId="0" applyFont="1" applyFill="1" applyBorder="1" applyAlignment="1" applyProtection="1">
      <alignment horizontal="center" vertical="center"/>
      <protection locked="0"/>
    </xf>
    <xf numFmtId="0" fontId="90" fillId="20" borderId="0" xfId="0" applyFont="1" applyFill="1" applyAlignment="1"/>
    <xf numFmtId="182" fontId="72" fillId="0" borderId="1" xfId="0" applyNumberFormat="1" applyFont="1" applyFill="1" applyBorder="1" applyAlignment="1" applyProtection="1">
      <alignment horizontal="center" vertical="center" wrapText="1" shrinkToFit="1"/>
      <protection locked="0"/>
    </xf>
    <xf numFmtId="182" fontId="72" fillId="0" borderId="3" xfId="0" applyNumberFormat="1" applyFont="1" applyFill="1" applyBorder="1" applyAlignment="1" applyProtection="1">
      <alignment horizontal="center" vertical="center" wrapText="1" shrinkToFit="1"/>
      <protection locked="0"/>
    </xf>
    <xf numFmtId="0" fontId="72" fillId="4" borderId="2" xfId="0" applyFont="1" applyFill="1" applyBorder="1" applyAlignment="1" applyProtection="1">
      <alignment horizontal="center" vertical="center"/>
      <protection locked="0"/>
    </xf>
    <xf numFmtId="0" fontId="72" fillId="3" borderId="6" xfId="0" applyFont="1" applyFill="1" applyBorder="1" applyAlignment="1" applyProtection="1">
      <alignment horizontal="center" vertical="center" wrapText="1"/>
      <protection locked="0"/>
    </xf>
    <xf numFmtId="0" fontId="72" fillId="25" borderId="2" xfId="0" applyNumberFormat="1" applyFont="1" applyFill="1" applyBorder="1" applyAlignment="1" applyProtection="1">
      <alignment horizontal="center" vertical="center"/>
      <protection locked="0"/>
    </xf>
    <xf numFmtId="181" fontId="72" fillId="0" borderId="4" xfId="0" applyNumberFormat="1" applyFont="1" applyFill="1" applyBorder="1" applyAlignment="1" applyProtection="1">
      <alignment horizontal="center" vertical="center" wrapText="1" shrinkToFit="1"/>
    </xf>
    <xf numFmtId="3" fontId="72" fillId="0" borderId="4" xfId="0" applyNumberFormat="1" applyFont="1" applyFill="1" applyBorder="1" applyAlignment="1" applyProtection="1">
      <alignment horizontal="center" vertical="center" wrapText="1" shrinkToFit="1"/>
      <protection locked="0"/>
    </xf>
    <xf numFmtId="0" fontId="72" fillId="0" borderId="5" xfId="0" applyFont="1" applyFill="1" applyBorder="1" applyAlignment="1" applyProtection="1">
      <alignment horizontal="center" vertical="center" wrapText="1" shrinkToFit="1"/>
      <protection locked="0"/>
    </xf>
    <xf numFmtId="183" fontId="72" fillId="0" borderId="39" xfId="0" applyNumberFormat="1" applyFont="1" applyFill="1" applyBorder="1" applyAlignment="1" applyProtection="1">
      <alignment horizontal="center" vertical="center" wrapText="1" shrinkToFit="1"/>
      <protection locked="0"/>
    </xf>
    <xf numFmtId="181" fontId="72" fillId="0" borderId="31" xfId="0" applyNumberFormat="1" applyFont="1" applyFill="1" applyBorder="1" applyAlignment="1" applyProtection="1">
      <alignment horizontal="center" vertical="center" wrapText="1" shrinkToFit="1"/>
      <protection locked="0"/>
    </xf>
    <xf numFmtId="181" fontId="72" fillId="0" borderId="4" xfId="0" applyNumberFormat="1" applyFont="1" applyFill="1" applyBorder="1" applyAlignment="1" applyProtection="1">
      <alignment horizontal="center" vertical="center" wrapText="1" shrinkToFit="1"/>
      <protection locked="0"/>
    </xf>
    <xf numFmtId="0" fontId="72" fillId="0" borderId="4" xfId="0" applyNumberFormat="1" applyFont="1" applyFill="1" applyBorder="1" applyAlignment="1" applyProtection="1">
      <alignment horizontal="center" vertical="center" wrapText="1" shrinkToFit="1"/>
      <protection locked="0"/>
    </xf>
    <xf numFmtId="182" fontId="72" fillId="0" borderId="4" xfId="0" applyNumberFormat="1" applyFont="1" applyFill="1" applyBorder="1" applyAlignment="1" applyProtection="1">
      <alignment horizontal="center" vertical="center" wrapText="1" shrinkToFit="1"/>
      <protection locked="0"/>
    </xf>
    <xf numFmtId="182" fontId="72" fillId="3" borderId="4" xfId="0" applyNumberFormat="1" applyFont="1" applyFill="1" applyBorder="1" applyAlignment="1" applyProtection="1">
      <alignment horizontal="center" vertical="center" wrapText="1" shrinkToFit="1"/>
      <protection locked="0"/>
    </xf>
    <xf numFmtId="180" fontId="72" fillId="0" borderId="4" xfId="0" applyNumberFormat="1" applyFont="1" applyFill="1" applyBorder="1" applyAlignment="1" applyProtection="1">
      <alignment horizontal="center" vertical="center" wrapText="1" shrinkToFit="1"/>
      <protection locked="0"/>
    </xf>
    <xf numFmtId="0" fontId="80" fillId="0" borderId="39" xfId="0" applyFont="1" applyBorder="1" applyAlignment="1" applyProtection="1">
      <alignment horizontal="center" vertical="center"/>
      <protection locked="0"/>
    </xf>
    <xf numFmtId="184" fontId="72" fillId="0" borderId="4" xfId="0" applyNumberFormat="1" applyFont="1" applyFill="1" applyBorder="1" applyAlignment="1" applyProtection="1">
      <alignment horizontal="center" vertical="center"/>
      <protection locked="0"/>
    </xf>
    <xf numFmtId="183" fontId="72" fillId="0" borderId="4" xfId="0" applyNumberFormat="1" applyFont="1" applyFill="1" applyBorder="1" applyAlignment="1" applyProtection="1">
      <alignment horizontal="center" vertical="center"/>
      <protection locked="0"/>
    </xf>
    <xf numFmtId="0" fontId="72" fillId="0" borderId="5" xfId="0" applyFont="1" applyFill="1" applyBorder="1" applyAlignment="1" applyProtection="1">
      <alignment horizontal="center" vertical="center"/>
      <protection locked="0"/>
    </xf>
    <xf numFmtId="0" fontId="72" fillId="0" borderId="39" xfId="0" applyFont="1" applyFill="1" applyBorder="1" applyAlignment="1" applyProtection="1">
      <alignment horizontal="center" vertical="center"/>
      <protection locked="0"/>
    </xf>
    <xf numFmtId="0" fontId="72" fillId="0" borderId="31" xfId="0" applyFont="1" applyFill="1" applyBorder="1" applyAlignment="1" applyProtection="1">
      <alignment horizontal="center" vertical="center"/>
      <protection locked="0"/>
    </xf>
    <xf numFmtId="184" fontId="72" fillId="0" borderId="5" xfId="0" applyNumberFormat="1" applyFont="1" applyFill="1" applyBorder="1" applyAlignment="1" applyProtection="1">
      <alignment horizontal="center" vertical="center"/>
      <protection locked="0"/>
    </xf>
    <xf numFmtId="0" fontId="72" fillId="25" borderId="2" xfId="0" applyFont="1" applyFill="1" applyBorder="1" applyAlignment="1" applyProtection="1">
      <alignment horizontal="center" vertical="center"/>
      <protection locked="0"/>
    </xf>
    <xf numFmtId="181" fontId="72" fillId="3" borderId="31" xfId="0" applyNumberFormat="1" applyFont="1" applyFill="1" applyBorder="1" applyAlignment="1" applyProtection="1">
      <alignment horizontal="center" vertical="center" wrapText="1" shrinkToFit="1"/>
      <protection locked="0"/>
    </xf>
    <xf numFmtId="0" fontId="72" fillId="0" borderId="4" xfId="0" applyNumberFormat="1" applyFont="1" applyFill="1" applyBorder="1" applyAlignment="1" applyProtection="1">
      <alignment horizontal="center" vertical="center"/>
      <protection locked="0"/>
    </xf>
    <xf numFmtId="181" fontId="72" fillId="0" borderId="1" xfId="0" applyNumberFormat="1" applyFont="1" applyFill="1" applyBorder="1" applyAlignment="1" applyProtection="1">
      <alignment horizontal="center" vertical="center" wrapText="1" shrinkToFit="1"/>
      <protection locked="0"/>
    </xf>
    <xf numFmtId="180" fontId="72" fillId="0" borderId="4" xfId="0" applyNumberFormat="1" applyFont="1" applyFill="1" applyBorder="1" applyAlignment="1" applyProtection="1">
      <alignment horizontal="center" vertical="center"/>
      <protection locked="0"/>
    </xf>
    <xf numFmtId="181" fontId="72" fillId="0" borderId="1" xfId="0" applyNumberFormat="1" applyFont="1" applyFill="1" applyBorder="1" applyAlignment="1" applyProtection="1">
      <alignment horizontal="center" vertical="center" wrapText="1" shrinkToFit="1"/>
    </xf>
    <xf numFmtId="0" fontId="72" fillId="0" borderId="1" xfId="0" applyFont="1" applyFill="1" applyBorder="1" applyAlignment="1" applyProtection="1">
      <alignment horizontal="center" vertical="center" wrapText="1" shrinkToFit="1"/>
      <protection locked="0"/>
    </xf>
    <xf numFmtId="0" fontId="72" fillId="0" borderId="1" xfId="0" applyNumberFormat="1" applyFont="1" applyFill="1" applyBorder="1" applyAlignment="1" applyProtection="1">
      <alignment horizontal="center" vertical="center"/>
      <protection locked="0"/>
    </xf>
    <xf numFmtId="0" fontId="72" fillId="0" borderId="1" xfId="0" applyNumberFormat="1" applyFont="1" applyFill="1" applyBorder="1" applyAlignment="1" applyProtection="1">
      <alignment horizontal="center" vertical="center" wrapText="1" shrinkToFit="1"/>
      <protection locked="0"/>
    </xf>
    <xf numFmtId="3" fontId="72" fillId="0" borderId="1" xfId="0" applyNumberFormat="1" applyFont="1" applyFill="1" applyBorder="1" applyAlignment="1" applyProtection="1">
      <alignment horizontal="center" vertical="center" wrapText="1" shrinkToFit="1"/>
      <protection locked="0"/>
    </xf>
    <xf numFmtId="180" fontId="72" fillId="0" borderId="1" xfId="0" applyNumberFormat="1" applyFont="1" applyFill="1" applyBorder="1" applyAlignment="1" applyProtection="1">
      <alignment horizontal="center" vertical="center" wrapText="1" shrinkToFit="1"/>
      <protection locked="0"/>
    </xf>
    <xf numFmtId="184" fontId="72" fillId="0" borderId="1" xfId="0" applyNumberFormat="1" applyFont="1" applyFill="1" applyBorder="1" applyAlignment="1" applyProtection="1">
      <alignment horizontal="center" vertical="center"/>
      <protection locked="0"/>
    </xf>
    <xf numFmtId="183" fontId="72" fillId="0" borderId="1" xfId="0" applyNumberFormat="1" applyFont="1" applyFill="1" applyBorder="1" applyAlignment="1" applyProtection="1">
      <alignment horizontal="center" vertical="center"/>
      <protection locked="0"/>
    </xf>
    <xf numFmtId="180" fontId="72" fillId="0" borderId="1" xfId="0" applyNumberFormat="1" applyFont="1" applyFill="1" applyBorder="1" applyAlignment="1" applyProtection="1">
      <alignment horizontal="center" vertical="center"/>
      <protection locked="0"/>
    </xf>
    <xf numFmtId="0" fontId="72" fillId="25" borderId="4" xfId="0" applyNumberFormat="1" applyFont="1" applyFill="1" applyBorder="1" applyAlignment="1" applyProtection="1">
      <alignment horizontal="center" vertical="center"/>
      <protection locked="0"/>
    </xf>
    <xf numFmtId="0" fontId="72" fillId="3" borderId="4" xfId="0" applyFont="1" applyFill="1" applyBorder="1" applyAlignment="1" applyProtection="1">
      <alignment horizontal="center" vertical="center" wrapText="1" shrinkToFit="1"/>
      <protection locked="0"/>
    </xf>
    <xf numFmtId="49" fontId="72" fillId="3" borderId="1" xfId="0" applyNumberFormat="1" applyFont="1" applyFill="1" applyBorder="1" applyAlignment="1" applyProtection="1">
      <alignment horizontal="center" vertical="center" wrapText="1" shrinkToFit="1"/>
      <protection locked="0"/>
    </xf>
    <xf numFmtId="183" fontId="72" fillId="0" borderId="4" xfId="0" applyNumberFormat="1" applyFont="1" applyFill="1" applyBorder="1" applyAlignment="1" applyProtection="1">
      <alignment horizontal="center" vertical="center" wrapText="1" shrinkToFit="1"/>
      <protection locked="0"/>
    </xf>
    <xf numFmtId="182" fontId="72" fillId="0" borderId="5" xfId="0" applyNumberFormat="1" applyFont="1" applyFill="1" applyBorder="1" applyAlignment="1" applyProtection="1">
      <alignment horizontal="center" vertical="center" wrapText="1" shrinkToFit="1"/>
      <protection locked="0"/>
    </xf>
    <xf numFmtId="0" fontId="72" fillId="0" borderId="39" xfId="0" applyFont="1" applyFill="1" applyBorder="1" applyAlignment="1" applyProtection="1">
      <alignment horizontal="center" vertical="center" wrapText="1"/>
      <protection locked="0"/>
    </xf>
    <xf numFmtId="0" fontId="72" fillId="0" borderId="31" xfId="0" applyFont="1" applyFill="1" applyBorder="1" applyAlignment="1" applyProtection="1">
      <alignment horizontal="center" vertical="center" wrapText="1"/>
      <protection locked="0"/>
    </xf>
    <xf numFmtId="0" fontId="72" fillId="25" borderId="1" xfId="0" applyNumberFormat="1" applyFont="1" applyFill="1" applyBorder="1" applyAlignment="1" applyProtection="1">
      <alignment horizontal="center" vertical="center"/>
      <protection locked="0"/>
    </xf>
    <xf numFmtId="0" fontId="72" fillId="0" borderId="40" xfId="0" applyFont="1" applyFill="1" applyBorder="1" applyAlignment="1" applyProtection="1">
      <alignment horizontal="center" vertical="center"/>
      <protection locked="0"/>
    </xf>
    <xf numFmtId="0" fontId="72" fillId="0" borderId="41" xfId="0" applyFont="1" applyFill="1" applyBorder="1" applyAlignment="1" applyProtection="1">
      <alignment horizontal="center" vertical="center"/>
      <protection locked="0"/>
    </xf>
    <xf numFmtId="181" fontId="72" fillId="3" borderId="4" xfId="0" applyNumberFormat="1" applyFont="1" applyFill="1" applyBorder="1" applyAlignment="1" applyProtection="1">
      <alignment horizontal="center" vertical="center" wrapText="1" shrinkToFit="1"/>
      <protection locked="0"/>
    </xf>
    <xf numFmtId="181" fontId="72" fillId="3" borderId="1" xfId="0" applyNumberFormat="1" applyFont="1" applyFill="1" applyBorder="1" applyAlignment="1" applyProtection="1">
      <alignment horizontal="center" vertical="center" wrapText="1" shrinkToFit="1"/>
      <protection locked="0"/>
    </xf>
    <xf numFmtId="0" fontId="72" fillId="25" borderId="1" xfId="0" applyFont="1" applyFill="1" applyBorder="1" applyAlignment="1" applyProtection="1">
      <alignment horizontal="center" vertical="center"/>
      <protection locked="0"/>
    </xf>
    <xf numFmtId="0" fontId="72" fillId="3" borderId="1" xfId="0" applyFont="1" applyFill="1" applyBorder="1" applyAlignment="1" applyProtection="1">
      <alignment horizontal="center" vertical="center" wrapText="1" shrinkToFit="1"/>
      <protection locked="0"/>
    </xf>
    <xf numFmtId="0" fontId="72" fillId="3" borderId="1" xfId="0" applyFont="1" applyFill="1" applyBorder="1" applyAlignment="1" applyProtection="1">
      <alignment horizontal="center" vertical="center"/>
      <protection locked="0"/>
    </xf>
    <xf numFmtId="181" fontId="72" fillId="0" borderId="3" xfId="0" applyNumberFormat="1" applyFont="1" applyFill="1" applyBorder="1" applyAlignment="1" applyProtection="1">
      <alignment horizontal="center" vertical="center" wrapText="1" shrinkToFit="1"/>
    </xf>
    <xf numFmtId="0" fontId="72" fillId="0" borderId="3" xfId="0" applyFont="1" applyFill="1" applyBorder="1" applyAlignment="1" applyProtection="1">
      <alignment horizontal="center" vertical="center" wrapText="1" shrinkToFit="1"/>
      <protection locked="0"/>
    </xf>
    <xf numFmtId="0" fontId="72" fillId="25" borderId="3" xfId="0" applyNumberFormat="1" applyFont="1" applyFill="1" applyBorder="1" applyAlignment="1" applyProtection="1">
      <alignment horizontal="center" vertical="center"/>
      <protection locked="0"/>
    </xf>
    <xf numFmtId="3" fontId="72" fillId="0" borderId="3" xfId="0" applyNumberFormat="1" applyFont="1" applyFill="1" applyBorder="1" applyAlignment="1" applyProtection="1">
      <alignment horizontal="center" vertical="center" wrapText="1" shrinkToFit="1"/>
      <protection locked="0"/>
    </xf>
    <xf numFmtId="183" fontId="72" fillId="0" borderId="3" xfId="0" applyNumberFormat="1" applyFont="1" applyFill="1" applyBorder="1" applyAlignment="1" applyProtection="1">
      <alignment horizontal="center" vertical="center" wrapText="1" shrinkToFit="1"/>
      <protection locked="0"/>
    </xf>
    <xf numFmtId="181" fontId="72" fillId="0" borderId="3" xfId="0" applyNumberFormat="1" applyFont="1" applyFill="1" applyBorder="1" applyAlignment="1" applyProtection="1">
      <alignment horizontal="center" vertical="center" wrapText="1" shrinkToFit="1"/>
      <protection locked="0"/>
    </xf>
    <xf numFmtId="0" fontId="72" fillId="0" borderId="3" xfId="0" applyNumberFormat="1" applyFont="1" applyFill="1" applyBorder="1" applyAlignment="1" applyProtection="1">
      <alignment horizontal="center" vertical="center" wrapText="1" shrinkToFit="1"/>
      <protection locked="0"/>
    </xf>
    <xf numFmtId="180" fontId="72" fillId="0" borderId="3" xfId="0" applyNumberFormat="1" applyFont="1" applyFill="1" applyBorder="1" applyAlignment="1" applyProtection="1">
      <alignment horizontal="center" vertical="center" wrapText="1" shrinkToFit="1"/>
      <protection locked="0"/>
    </xf>
    <xf numFmtId="0" fontId="80" fillId="0" borderId="35" xfId="0" applyFont="1" applyBorder="1" applyAlignment="1" applyProtection="1">
      <alignment horizontal="center" vertical="center"/>
      <protection locked="0"/>
    </xf>
    <xf numFmtId="184" fontId="72" fillId="0" borderId="3" xfId="0" applyNumberFormat="1" applyFont="1" applyFill="1" applyBorder="1" applyAlignment="1" applyProtection="1">
      <alignment horizontal="center" vertical="center"/>
      <protection locked="0"/>
    </xf>
    <xf numFmtId="183" fontId="72" fillId="0" borderId="3" xfId="0" applyNumberFormat="1" applyFont="1" applyFill="1" applyBorder="1" applyAlignment="1" applyProtection="1">
      <alignment horizontal="center" vertical="center"/>
      <protection locked="0"/>
    </xf>
    <xf numFmtId="180" fontId="72" fillId="0" borderId="3" xfId="0" applyNumberFormat="1" applyFont="1" applyFill="1" applyBorder="1" applyAlignment="1" applyProtection="1">
      <alignment horizontal="center" vertical="center"/>
      <protection locked="0"/>
    </xf>
    <xf numFmtId="0" fontId="72" fillId="0" borderId="37" xfId="0" applyFont="1" applyFill="1" applyBorder="1" applyAlignment="1" applyProtection="1">
      <alignment horizontal="center" vertical="center"/>
      <protection locked="0"/>
    </xf>
    <xf numFmtId="0" fontId="72" fillId="0" borderId="35" xfId="0" applyFont="1" applyFill="1" applyBorder="1" applyAlignment="1" applyProtection="1">
      <alignment horizontal="center" vertical="center"/>
      <protection locked="0"/>
    </xf>
    <xf numFmtId="0" fontId="72" fillId="0" borderId="27" xfId="0" applyFont="1" applyFill="1" applyBorder="1" applyAlignment="1" applyProtection="1">
      <alignment horizontal="center" vertical="center"/>
      <protection locked="0"/>
    </xf>
    <xf numFmtId="0" fontId="72" fillId="25" borderId="3" xfId="0" applyFont="1" applyFill="1" applyBorder="1" applyAlignment="1" applyProtection="1">
      <alignment horizontal="center" vertical="center"/>
      <protection locked="0"/>
    </xf>
    <xf numFmtId="0" fontId="72" fillId="0" borderId="37" xfId="0" applyFont="1" applyFill="1" applyBorder="1" applyAlignment="1" applyProtection="1">
      <alignment horizontal="center" vertical="center" wrapText="1" shrinkToFit="1"/>
      <protection locked="0"/>
    </xf>
    <xf numFmtId="183" fontId="72" fillId="0" borderId="35" xfId="0" applyNumberFormat="1" applyFont="1" applyFill="1" applyBorder="1" applyAlignment="1" applyProtection="1">
      <alignment horizontal="center" vertical="center" wrapText="1" shrinkToFit="1"/>
      <protection locked="0"/>
    </xf>
    <xf numFmtId="181" fontId="72" fillId="3" borderId="27" xfId="0" applyNumberFormat="1" applyFont="1" applyFill="1" applyBorder="1" applyAlignment="1" applyProtection="1">
      <alignment horizontal="center" vertical="center" wrapText="1" shrinkToFit="1"/>
      <protection locked="0"/>
    </xf>
    <xf numFmtId="182" fontId="72" fillId="0" borderId="37" xfId="0" applyNumberFormat="1" applyFont="1" applyFill="1" applyBorder="1" applyAlignment="1" applyProtection="1">
      <alignment horizontal="center" vertical="center" wrapText="1" shrinkToFit="1"/>
      <protection locked="0"/>
    </xf>
    <xf numFmtId="0" fontId="72" fillId="3" borderId="27" xfId="0" applyFont="1" applyFill="1" applyBorder="1" applyAlignment="1" applyProtection="1">
      <alignment horizontal="center" vertical="center" wrapText="1"/>
      <protection locked="0"/>
    </xf>
    <xf numFmtId="0" fontId="72" fillId="4" borderId="4" xfId="0" applyFont="1" applyFill="1" applyBorder="1" applyAlignment="1" applyProtection="1">
      <alignment horizontal="center" vertical="center"/>
      <protection locked="0"/>
    </xf>
    <xf numFmtId="0" fontId="72" fillId="0" borderId="3" xfId="0" applyNumberFormat="1" applyFont="1" applyFill="1" applyBorder="1" applyAlignment="1" applyProtection="1">
      <alignment horizontal="center" vertical="center"/>
      <protection locked="0"/>
    </xf>
    <xf numFmtId="0" fontId="72" fillId="4" borderId="1" xfId="0" applyFont="1" applyFill="1" applyBorder="1" applyAlignment="1" applyProtection="1">
      <alignment horizontal="center" vertical="center"/>
      <protection locked="0"/>
    </xf>
    <xf numFmtId="0" fontId="72" fillId="3" borderId="1" xfId="0" applyFont="1" applyFill="1" applyBorder="1" applyAlignment="1" applyProtection="1">
      <alignment horizontal="center" vertical="center" wrapText="1"/>
      <protection locked="0"/>
    </xf>
    <xf numFmtId="180" fontId="72" fillId="3" borderId="1" xfId="0" applyNumberFormat="1" applyFont="1" applyFill="1" applyBorder="1" applyAlignment="1" applyProtection="1">
      <alignment horizontal="center" vertical="center" wrapText="1" shrinkToFit="1"/>
      <protection locked="0"/>
    </xf>
    <xf numFmtId="0" fontId="69" fillId="0" borderId="2" xfId="0" applyFont="1" applyFill="1" applyBorder="1" applyAlignment="1" applyProtection="1">
      <alignment horizontal="center" vertical="center" wrapText="1" shrinkToFit="1"/>
      <protection locked="0"/>
    </xf>
    <xf numFmtId="3" fontId="72" fillId="19" borderId="4" xfId="0" applyNumberFormat="1" applyFont="1" applyFill="1" applyBorder="1" applyAlignment="1" applyProtection="1">
      <alignment horizontal="center" vertical="center" wrapText="1" shrinkToFit="1"/>
      <protection locked="0"/>
    </xf>
    <xf numFmtId="3" fontId="72" fillId="19" borderId="2" xfId="0" applyNumberFormat="1" applyFont="1" applyFill="1" applyBorder="1" applyAlignment="1" applyProtection="1">
      <alignment horizontal="center" vertical="center" wrapText="1" shrinkToFit="1"/>
      <protection locked="0"/>
    </xf>
    <xf numFmtId="180" fontId="72" fillId="0" borderId="5" xfId="0" applyNumberFormat="1" applyFont="1" applyFill="1" applyBorder="1" applyAlignment="1" applyProtection="1">
      <alignment horizontal="center" vertical="center" wrapText="1" shrinkToFit="1"/>
      <protection locked="0"/>
    </xf>
    <xf numFmtId="0" fontId="80" fillId="0" borderId="42" xfId="0" applyFont="1" applyBorder="1" applyAlignment="1" applyProtection="1">
      <alignment horizontal="center" vertical="center"/>
      <protection locked="0"/>
    </xf>
    <xf numFmtId="182" fontId="72" fillId="0" borderId="7" xfId="0" applyNumberFormat="1" applyFont="1" applyFill="1" applyBorder="1" applyAlignment="1" applyProtection="1">
      <alignment horizontal="center" vertical="center" wrapText="1" shrinkToFit="1"/>
      <protection locked="0"/>
    </xf>
    <xf numFmtId="180" fontId="72" fillId="0" borderId="8" xfId="0" applyNumberFormat="1" applyFont="1" applyFill="1" applyBorder="1" applyAlignment="1" applyProtection="1">
      <alignment horizontal="center" vertical="center" wrapText="1" shrinkToFit="1"/>
      <protection locked="0"/>
    </xf>
    <xf numFmtId="0" fontId="80" fillId="0" borderId="41" xfId="0" applyFont="1" applyBorder="1" applyAlignment="1" applyProtection="1">
      <alignment horizontal="center" vertical="center"/>
      <protection locked="0"/>
    </xf>
    <xf numFmtId="0" fontId="72" fillId="3" borderId="4" xfId="0" applyNumberFormat="1" applyFont="1" applyFill="1" applyBorder="1" applyAlignment="1" applyProtection="1">
      <alignment horizontal="center" vertical="center" wrapText="1" shrinkToFit="1"/>
      <protection locked="0"/>
    </xf>
    <xf numFmtId="182" fontId="72" fillId="0" borderId="39" xfId="0" applyNumberFormat="1" applyFont="1" applyFill="1" applyBorder="1" applyAlignment="1" applyProtection="1">
      <alignment horizontal="center" vertical="center" wrapText="1" shrinkToFit="1"/>
      <protection locked="0"/>
    </xf>
    <xf numFmtId="0" fontId="72" fillId="19" borderId="1" xfId="0" applyNumberFormat="1" applyFont="1" applyFill="1" applyBorder="1" applyAlignment="1" applyProtection="1">
      <alignment horizontal="center" vertical="center" wrapText="1" shrinkToFit="1"/>
      <protection locked="0"/>
    </xf>
    <xf numFmtId="0" fontId="72" fillId="3" borderId="4" xfId="0" applyFont="1" applyFill="1" applyBorder="1" applyAlignment="1" applyProtection="1">
      <alignment horizontal="center" vertical="center"/>
      <protection locked="0"/>
    </xf>
    <xf numFmtId="0" fontId="80" fillId="21" borderId="39" xfId="0" applyFont="1" applyFill="1" applyBorder="1" applyAlignment="1" applyProtection="1">
      <alignment horizontal="center" vertical="center"/>
      <protection locked="0"/>
    </xf>
    <xf numFmtId="184" fontId="72" fillId="0" borderId="40" xfId="0" applyNumberFormat="1" applyFont="1" applyFill="1" applyBorder="1" applyAlignment="1" applyProtection="1">
      <alignment horizontal="center" vertical="center"/>
      <protection locked="0"/>
    </xf>
    <xf numFmtId="181" fontId="72" fillId="3" borderId="3" xfId="0" applyNumberFormat="1" applyFont="1" applyFill="1" applyBorder="1" applyAlignment="1" applyProtection="1">
      <alignment horizontal="center" vertical="center" wrapText="1" shrinkToFit="1"/>
      <protection locked="0"/>
    </xf>
    <xf numFmtId="0" fontId="72" fillId="0" borderId="35" xfId="0" applyFont="1" applyFill="1" applyBorder="1" applyAlignment="1" applyProtection="1">
      <alignment horizontal="center" vertical="center" wrapText="1"/>
      <protection locked="0"/>
    </xf>
    <xf numFmtId="0" fontId="72" fillId="0" borderId="27" xfId="0" applyFont="1" applyFill="1" applyBorder="1" applyAlignment="1" applyProtection="1">
      <alignment horizontal="center" vertical="center" wrapText="1"/>
      <protection locked="0"/>
    </xf>
    <xf numFmtId="187" fontId="72" fillId="0" borderId="3" xfId="0" applyNumberFormat="1" applyFont="1" applyFill="1" applyBorder="1" applyAlignment="1" applyProtection="1">
      <alignment horizontal="center" vertical="center" wrapText="1"/>
      <protection locked="0"/>
    </xf>
    <xf numFmtId="180" fontId="72" fillId="0" borderId="37" xfId="0" applyNumberFormat="1" applyFont="1" applyFill="1" applyBorder="1" applyAlignment="1" applyProtection="1">
      <alignment horizontal="center" vertical="center" wrapText="1" shrinkToFit="1"/>
      <protection locked="0"/>
    </xf>
    <xf numFmtId="0" fontId="80" fillId="0" borderId="43" xfId="0" applyFont="1" applyBorder="1" applyAlignment="1" applyProtection="1">
      <alignment horizontal="center" vertical="center" wrapText="1" shrinkToFit="1"/>
      <protection locked="0"/>
    </xf>
    <xf numFmtId="184" fontId="72" fillId="0" borderId="37" xfId="0" applyNumberFormat="1" applyFont="1" applyFill="1" applyBorder="1" applyAlignment="1" applyProtection="1">
      <alignment horizontal="center" vertical="center"/>
      <protection locked="0"/>
    </xf>
    <xf numFmtId="184" fontId="72" fillId="0" borderId="27" xfId="0" applyNumberFormat="1" applyFont="1" applyFill="1" applyBorder="1" applyAlignment="1" applyProtection="1">
      <alignment horizontal="center" vertical="center"/>
      <protection locked="0"/>
    </xf>
    <xf numFmtId="0" fontId="80" fillId="0" borderId="41" xfId="0" applyFont="1" applyBorder="1" applyAlignment="1" applyProtection="1">
      <alignment horizontal="center" vertical="center" wrapText="1" shrinkToFit="1"/>
      <protection locked="0"/>
    </xf>
    <xf numFmtId="0" fontId="72" fillId="3" borderId="4" xfId="0" applyFont="1" applyFill="1" applyBorder="1" applyAlignment="1" applyProtection="1">
      <alignment horizontal="center" vertical="center" wrapText="1"/>
      <protection locked="0"/>
    </xf>
    <xf numFmtId="181" fontId="72" fillId="0" borderId="7" xfId="0" applyNumberFormat="1" applyFont="1" applyFill="1" applyBorder="1" applyAlignment="1" applyProtection="1">
      <alignment horizontal="center" vertical="center" wrapText="1" shrinkToFit="1"/>
    </xf>
    <xf numFmtId="0" fontId="72" fillId="0" borderId="7" xfId="0" applyFont="1" applyFill="1" applyBorder="1" applyAlignment="1" applyProtection="1">
      <alignment horizontal="center" vertical="center" wrapText="1"/>
      <protection locked="0"/>
    </xf>
    <xf numFmtId="0" fontId="72" fillId="0" borderId="7" xfId="0" applyFont="1" applyFill="1" applyBorder="1" applyAlignment="1" applyProtection="1">
      <alignment horizontal="center" vertical="center" wrapText="1" shrinkToFit="1"/>
      <protection locked="0"/>
    </xf>
    <xf numFmtId="0" fontId="72" fillId="0" borderId="7" xfId="0" applyNumberFormat="1" applyFont="1" applyFill="1" applyBorder="1" applyAlignment="1" applyProtection="1">
      <alignment horizontal="center" vertical="center"/>
      <protection locked="0"/>
    </xf>
    <xf numFmtId="0" fontId="72" fillId="0" borderId="7" xfId="0" applyNumberFormat="1" applyFont="1" applyFill="1" applyBorder="1" applyAlignment="1" applyProtection="1">
      <alignment horizontal="center" vertical="center" wrapText="1" shrinkToFit="1"/>
      <protection locked="0"/>
    </xf>
    <xf numFmtId="0" fontId="72" fillId="0" borderId="7" xfId="0" applyFont="1" applyFill="1" applyBorder="1" applyAlignment="1" applyProtection="1">
      <alignment horizontal="center" vertical="center"/>
      <protection locked="0"/>
    </xf>
    <xf numFmtId="3" fontId="72" fillId="0" borderId="7" xfId="0" applyNumberFormat="1" applyFont="1" applyFill="1" applyBorder="1" applyAlignment="1" applyProtection="1">
      <alignment horizontal="center" vertical="center" wrapText="1" shrinkToFit="1"/>
      <protection locked="0"/>
    </xf>
    <xf numFmtId="183" fontId="72" fillId="0" borderId="7" xfId="0" applyNumberFormat="1" applyFont="1" applyFill="1" applyBorder="1" applyAlignment="1" applyProtection="1">
      <alignment horizontal="center" vertical="center" wrapText="1" shrinkToFit="1"/>
      <protection locked="0"/>
    </xf>
    <xf numFmtId="181" fontId="72" fillId="0" borderId="7" xfId="0" applyNumberFormat="1" applyFont="1" applyFill="1" applyBorder="1" applyAlignment="1" applyProtection="1">
      <alignment horizontal="center" vertical="center" wrapText="1" shrinkToFit="1"/>
      <protection locked="0"/>
    </xf>
    <xf numFmtId="58" fontId="72" fillId="23" borderId="7" xfId="0" applyNumberFormat="1" applyFont="1" applyFill="1" applyBorder="1" applyAlignment="1" applyProtection="1">
      <alignment horizontal="center" vertical="center" wrapText="1" shrinkToFit="1"/>
      <protection locked="0"/>
    </xf>
    <xf numFmtId="180" fontId="72" fillId="0" borderId="7" xfId="0" applyNumberFormat="1" applyFont="1" applyFill="1" applyBorder="1" applyAlignment="1" applyProtection="1">
      <alignment horizontal="center" vertical="center" wrapText="1" shrinkToFit="1"/>
      <protection locked="0"/>
    </xf>
    <xf numFmtId="0" fontId="80" fillId="0" borderId="44" xfId="0" applyFont="1" applyBorder="1" applyAlignment="1" applyProtection="1">
      <alignment horizontal="center" vertical="center"/>
      <protection locked="0"/>
    </xf>
    <xf numFmtId="184" fontId="72" fillId="0" borderId="7" xfId="0" applyNumberFormat="1" applyFont="1" applyFill="1" applyBorder="1" applyAlignment="1" applyProtection="1">
      <alignment horizontal="center" vertical="center"/>
      <protection locked="0"/>
    </xf>
    <xf numFmtId="183" fontId="72" fillId="0" borderId="7" xfId="0" applyNumberFormat="1" applyFont="1" applyFill="1" applyBorder="1" applyAlignment="1" applyProtection="1">
      <alignment horizontal="center" vertical="center"/>
      <protection locked="0"/>
    </xf>
    <xf numFmtId="184" fontId="72" fillId="0" borderId="9" xfId="0" applyNumberFormat="1" applyFont="1" applyFill="1" applyBorder="1" applyAlignment="1" applyProtection="1">
      <alignment horizontal="center" vertical="center"/>
      <protection locked="0"/>
    </xf>
    <xf numFmtId="184" fontId="72" fillId="0" borderId="10" xfId="0" applyNumberFormat="1" applyFont="1" applyFill="1" applyBorder="1" applyAlignment="1" applyProtection="1">
      <alignment horizontal="center" vertical="center"/>
      <protection locked="0"/>
    </xf>
    <xf numFmtId="184" fontId="72" fillId="3" borderId="7" xfId="0" applyNumberFormat="1" applyFont="1" applyFill="1" applyBorder="1" applyAlignment="1" applyProtection="1">
      <alignment horizontal="center" vertical="center"/>
      <protection locked="0"/>
    </xf>
    <xf numFmtId="0" fontId="72" fillId="0" borderId="9" xfId="0" applyFont="1" applyFill="1" applyBorder="1" applyAlignment="1" applyProtection="1">
      <alignment horizontal="center" vertical="center" wrapText="1" shrinkToFit="1"/>
      <protection locked="0"/>
    </xf>
    <xf numFmtId="183" fontId="72" fillId="0" borderId="44" xfId="0" applyNumberFormat="1" applyFont="1" applyFill="1" applyBorder="1" applyAlignment="1" applyProtection="1">
      <alignment horizontal="center" vertical="center" wrapText="1" shrinkToFit="1"/>
      <protection locked="0"/>
    </xf>
    <xf numFmtId="181" fontId="72" fillId="0" borderId="10" xfId="0" applyNumberFormat="1" applyFont="1" applyFill="1" applyBorder="1" applyAlignment="1" applyProtection="1">
      <alignment horizontal="center" vertical="center" wrapText="1" shrinkToFit="1"/>
      <protection locked="0"/>
    </xf>
    <xf numFmtId="182" fontId="72" fillId="0" borderId="9" xfId="0" applyNumberFormat="1" applyFont="1" applyFill="1" applyBorder="1" applyAlignment="1" applyProtection="1">
      <alignment horizontal="center" vertical="center" wrapText="1" shrinkToFit="1"/>
      <protection locked="0"/>
    </xf>
    <xf numFmtId="0" fontId="72" fillId="0" borderId="10" xfId="0" applyFont="1" applyFill="1" applyBorder="1" applyAlignment="1" applyProtection="1">
      <alignment horizontal="center" vertical="center" wrapText="1"/>
      <protection locked="0"/>
    </xf>
    <xf numFmtId="0" fontId="72" fillId="0" borderId="9" xfId="0" applyFont="1" applyFill="1" applyBorder="1" applyAlignment="1" applyProtection="1">
      <alignment horizontal="center" vertical="center"/>
      <protection locked="0"/>
    </xf>
    <xf numFmtId="0" fontId="72" fillId="0" borderId="44" xfId="0" applyFont="1" applyFill="1" applyBorder="1" applyAlignment="1" applyProtection="1">
      <alignment horizontal="center" vertical="center"/>
      <protection locked="0"/>
    </xf>
    <xf numFmtId="0" fontId="72" fillId="0" borderId="10" xfId="0" applyFont="1" applyFill="1" applyBorder="1" applyAlignment="1" applyProtection="1">
      <alignment horizontal="center" vertical="center"/>
      <protection locked="0"/>
    </xf>
    <xf numFmtId="182" fontId="72" fillId="0" borderId="40" xfId="0" applyNumberFormat="1" applyFont="1" applyFill="1" applyBorder="1" applyAlignment="1" applyProtection="1">
      <alignment horizontal="center" vertical="center" wrapText="1" shrinkToFit="1"/>
      <protection locked="0"/>
    </xf>
    <xf numFmtId="0" fontId="72" fillId="23" borderId="1" xfId="0" applyNumberFormat="1" applyFont="1" applyFill="1" applyBorder="1" applyAlignment="1" applyProtection="1">
      <alignment horizontal="center" vertical="center" wrapText="1" shrinkToFit="1"/>
      <protection locked="0"/>
    </xf>
    <xf numFmtId="0" fontId="72" fillId="0" borderId="41" xfId="0" applyFont="1" applyFill="1" applyBorder="1" applyAlignment="1" applyProtection="1">
      <alignment horizontal="center" vertical="center" wrapText="1"/>
      <protection locked="0"/>
    </xf>
    <xf numFmtId="181" fontId="69" fillId="0" borderId="4" xfId="0" applyNumberFormat="1" applyFont="1" applyFill="1" applyBorder="1" applyAlignment="1" applyProtection="1">
      <alignment horizontal="center" vertical="center" wrapText="1" shrinkToFit="1"/>
    </xf>
    <xf numFmtId="0" fontId="69" fillId="0" borderId="4" xfId="0" applyFont="1" applyFill="1" applyBorder="1" applyAlignment="1" applyProtection="1">
      <alignment horizontal="center" vertical="center" wrapText="1" shrinkToFit="1"/>
      <protection locked="0"/>
    </xf>
    <xf numFmtId="0" fontId="69" fillId="0" borderId="4" xfId="0" applyNumberFormat="1" applyFont="1" applyFill="1" applyBorder="1" applyAlignment="1" applyProtection="1">
      <alignment horizontal="center" vertical="center"/>
      <protection locked="0"/>
    </xf>
    <xf numFmtId="0" fontId="69" fillId="0" borderId="4" xfId="0" applyNumberFormat="1" applyFont="1" applyFill="1" applyBorder="1" applyAlignment="1" applyProtection="1">
      <alignment horizontal="center" vertical="center" wrapText="1" shrinkToFit="1"/>
      <protection locked="0"/>
    </xf>
    <xf numFmtId="3" fontId="69" fillId="0" borderId="4" xfId="0" applyNumberFormat="1" applyFont="1" applyFill="1" applyBorder="1" applyAlignment="1" applyProtection="1">
      <alignment horizontal="center" vertical="center" wrapText="1" shrinkToFit="1"/>
      <protection locked="0"/>
    </xf>
    <xf numFmtId="0" fontId="69" fillId="0" borderId="5" xfId="0" applyFont="1" applyFill="1" applyBorder="1" applyAlignment="1" applyProtection="1">
      <alignment horizontal="center" vertical="center" wrapText="1" shrinkToFit="1"/>
      <protection locked="0"/>
    </xf>
    <xf numFmtId="183" fontId="69" fillId="0" borderId="39" xfId="0" applyNumberFormat="1" applyFont="1" applyFill="1" applyBorder="1" applyAlignment="1" applyProtection="1">
      <alignment horizontal="center" vertical="center" wrapText="1" shrinkToFit="1"/>
      <protection locked="0"/>
    </xf>
    <xf numFmtId="181" fontId="69" fillId="0" borderId="31" xfId="0" applyNumberFormat="1" applyFont="1" applyFill="1" applyBorder="1" applyAlignment="1" applyProtection="1">
      <alignment horizontal="center" vertical="center" wrapText="1" shrinkToFit="1"/>
      <protection locked="0"/>
    </xf>
    <xf numFmtId="182" fontId="69" fillId="0" borderId="2" xfId="0" applyNumberFormat="1" applyFont="1" applyFill="1" applyBorder="1" applyAlignment="1" applyProtection="1">
      <alignment horizontal="center" vertical="center" wrapText="1" shrinkToFit="1"/>
      <protection locked="0"/>
    </xf>
    <xf numFmtId="180" fontId="69" fillId="0" borderId="4" xfId="0" applyNumberFormat="1" applyFont="1" applyFill="1" applyBorder="1" applyAlignment="1" applyProtection="1">
      <alignment horizontal="center" vertical="center" wrapText="1" shrinkToFit="1"/>
      <protection locked="0"/>
    </xf>
    <xf numFmtId="180" fontId="69" fillId="0" borderId="2" xfId="0" applyNumberFormat="1" applyFont="1" applyFill="1" applyBorder="1" applyAlignment="1" applyProtection="1">
      <alignment horizontal="center" vertical="center" wrapText="1" shrinkToFit="1"/>
      <protection locked="0"/>
    </xf>
    <xf numFmtId="0" fontId="90" fillId="0" borderId="39" xfId="0" applyFont="1" applyBorder="1" applyAlignment="1" applyProtection="1">
      <alignment horizontal="center" vertical="center"/>
      <protection locked="0"/>
    </xf>
    <xf numFmtId="184" fontId="69" fillId="0" borderId="4" xfId="0" applyNumberFormat="1" applyFont="1" applyFill="1" applyBorder="1" applyAlignment="1" applyProtection="1">
      <alignment horizontal="center" vertical="center"/>
      <protection locked="0"/>
    </xf>
    <xf numFmtId="183" fontId="69" fillId="0" borderId="2" xfId="0" applyNumberFormat="1" applyFont="1" applyFill="1" applyBorder="1" applyAlignment="1" applyProtection="1">
      <alignment horizontal="center" vertical="center"/>
      <protection locked="0"/>
    </xf>
    <xf numFmtId="0" fontId="69" fillId="0" borderId="5" xfId="0" applyFont="1" applyFill="1" applyBorder="1" applyAlignment="1" applyProtection="1">
      <alignment horizontal="center" vertical="center"/>
      <protection locked="0"/>
    </xf>
    <xf numFmtId="0" fontId="69" fillId="0" borderId="31" xfId="0" applyFont="1" applyFill="1" applyBorder="1" applyAlignment="1" applyProtection="1">
      <alignment horizontal="center" vertical="center"/>
      <protection locked="0"/>
    </xf>
    <xf numFmtId="184" fontId="69" fillId="0" borderId="5" xfId="0" applyNumberFormat="1" applyFont="1" applyFill="1" applyBorder="1" applyAlignment="1" applyProtection="1">
      <alignment horizontal="center" vertical="center"/>
      <protection locked="0"/>
    </xf>
    <xf numFmtId="181" fontId="75" fillId="0" borderId="2" xfId="0" applyNumberFormat="1" applyFont="1" applyFill="1" applyBorder="1" applyAlignment="1" applyProtection="1">
      <alignment horizontal="center" vertical="center" wrapText="1" shrinkToFit="1"/>
    </xf>
    <xf numFmtId="0" fontId="75" fillId="0" borderId="2" xfId="0" applyNumberFormat="1" applyFont="1" applyFill="1" applyBorder="1" applyAlignment="1" applyProtection="1">
      <alignment horizontal="center" vertical="center"/>
      <protection locked="0"/>
    </xf>
    <xf numFmtId="3" fontId="75" fillId="3" borderId="2" xfId="0" applyNumberFormat="1" applyFont="1" applyFill="1" applyBorder="1" applyAlignment="1" applyProtection="1">
      <alignment horizontal="center" vertical="center" wrapText="1" shrinkToFit="1"/>
      <protection locked="0"/>
    </xf>
    <xf numFmtId="183" fontId="75" fillId="0" borderId="2" xfId="0" applyNumberFormat="1" applyFont="1" applyFill="1" applyBorder="1" applyAlignment="1" applyProtection="1">
      <alignment horizontal="center" vertical="center" wrapText="1" shrinkToFit="1"/>
      <protection locked="0"/>
    </xf>
    <xf numFmtId="181" fontId="75" fillId="0" borderId="2" xfId="0" applyNumberFormat="1" applyFont="1" applyFill="1" applyBorder="1" applyAlignment="1" applyProtection="1">
      <alignment horizontal="center" vertical="center" wrapText="1" shrinkToFit="1"/>
      <protection locked="0"/>
    </xf>
    <xf numFmtId="182" fontId="69" fillId="3" borderId="2" xfId="0" applyNumberFormat="1" applyFont="1" applyFill="1" applyBorder="1" applyAlignment="1" applyProtection="1">
      <alignment horizontal="center" vertical="center" wrapText="1" shrinkToFit="1"/>
      <protection locked="0"/>
    </xf>
    <xf numFmtId="180" fontId="75" fillId="0" borderId="2" xfId="0" applyNumberFormat="1" applyFont="1" applyFill="1" applyBorder="1" applyAlignment="1" applyProtection="1">
      <alignment horizontal="center" vertical="center" wrapText="1" shrinkToFit="1"/>
      <protection locked="0"/>
    </xf>
    <xf numFmtId="184" fontId="69" fillId="0" borderId="2" xfId="0" applyNumberFormat="1" applyFont="1" applyFill="1" applyBorder="1" applyAlignment="1" applyProtection="1">
      <alignment horizontal="center" vertical="center"/>
      <protection locked="0"/>
    </xf>
    <xf numFmtId="183" fontId="75" fillId="0" borderId="2" xfId="0" applyNumberFormat="1" applyFont="1" applyFill="1" applyBorder="1" applyAlignment="1" applyProtection="1">
      <alignment horizontal="center" vertical="center"/>
      <protection locked="0"/>
    </xf>
    <xf numFmtId="180" fontId="69" fillId="0" borderId="2" xfId="0" applyNumberFormat="1" applyFont="1" applyFill="1" applyBorder="1" applyAlignment="1" applyProtection="1">
      <alignment horizontal="center" vertical="center"/>
      <protection locked="0"/>
    </xf>
    <xf numFmtId="0" fontId="75" fillId="0" borderId="8" xfId="0" applyFont="1" applyFill="1" applyBorder="1" applyAlignment="1" applyProtection="1">
      <alignment horizontal="center" vertical="center"/>
      <protection locked="0"/>
    </xf>
    <xf numFmtId="0" fontId="75" fillId="0" borderId="6" xfId="0" applyFont="1" applyFill="1" applyBorder="1" applyAlignment="1" applyProtection="1">
      <alignment horizontal="center" vertical="center"/>
      <protection locked="0"/>
    </xf>
    <xf numFmtId="184" fontId="75" fillId="0" borderId="2" xfId="0" applyNumberFormat="1" applyFont="1" applyFill="1" applyBorder="1" applyAlignment="1" applyProtection="1">
      <alignment horizontal="center" vertical="center"/>
      <protection locked="0"/>
    </xf>
    <xf numFmtId="184" fontId="75" fillId="3" borderId="2" xfId="0" applyNumberFormat="1" applyFont="1" applyFill="1" applyBorder="1" applyAlignment="1" applyProtection="1">
      <alignment horizontal="center" vertical="center"/>
      <protection locked="0"/>
    </xf>
    <xf numFmtId="181" fontId="69" fillId="0" borderId="2" xfId="0" applyNumberFormat="1" applyFont="1" applyFill="1" applyBorder="1" applyAlignment="1" applyProtection="1">
      <alignment horizontal="center" vertical="center" wrapText="1" shrinkToFit="1"/>
    </xf>
    <xf numFmtId="3" fontId="69" fillId="0" borderId="2" xfId="0" applyNumberFormat="1" applyFont="1" applyFill="1" applyBorder="1" applyAlignment="1" applyProtection="1">
      <alignment horizontal="center" vertical="center" wrapText="1" shrinkToFit="1"/>
      <protection locked="0"/>
    </xf>
    <xf numFmtId="0" fontId="69" fillId="0" borderId="8" xfId="0" applyFont="1" applyFill="1" applyBorder="1" applyAlignment="1" applyProtection="1">
      <alignment horizontal="center" vertical="center" wrapText="1" shrinkToFit="1"/>
      <protection locked="0"/>
    </xf>
    <xf numFmtId="183" fontId="69" fillId="0" borderId="1" xfId="0" applyNumberFormat="1" applyFont="1" applyFill="1" applyBorder="1" applyAlignment="1" applyProtection="1">
      <alignment horizontal="center" vertical="center" wrapText="1" shrinkToFit="1"/>
      <protection locked="0"/>
    </xf>
    <xf numFmtId="181" fontId="69" fillId="0" borderId="6" xfId="0" applyNumberFormat="1" applyFont="1" applyFill="1" applyBorder="1" applyAlignment="1" applyProtection="1">
      <alignment horizontal="center" vertical="center" wrapText="1" shrinkToFit="1"/>
      <protection locked="0"/>
    </xf>
    <xf numFmtId="181" fontId="69" fillId="0" borderId="2" xfId="0" applyNumberFormat="1" applyFont="1" applyFill="1" applyBorder="1" applyAlignment="1" applyProtection="1">
      <alignment horizontal="center" vertical="center" wrapText="1" shrinkToFit="1"/>
      <protection locked="0"/>
    </xf>
    <xf numFmtId="0" fontId="69" fillId="23" borderId="2" xfId="0" applyNumberFormat="1" applyFont="1" applyFill="1" applyBorder="1" applyAlignment="1" applyProtection="1">
      <alignment horizontal="center" vertical="center" wrapText="1" shrinkToFit="1"/>
      <protection locked="0"/>
    </xf>
    <xf numFmtId="182" fontId="69" fillId="0" borderId="3" xfId="0" applyNumberFormat="1" applyFont="1" applyFill="1" applyBorder="1" applyAlignment="1" applyProtection="1">
      <alignment horizontal="center" vertical="center" wrapText="1" shrinkToFit="1"/>
      <protection locked="0"/>
    </xf>
    <xf numFmtId="0" fontId="90" fillId="0" borderId="1" xfId="0" applyFont="1" applyBorder="1" applyAlignment="1" applyProtection="1">
      <alignment horizontal="center" vertical="center"/>
      <protection locked="0"/>
    </xf>
    <xf numFmtId="0" fontId="69" fillId="0" borderId="2" xfId="0" applyNumberFormat="1" applyFont="1" applyFill="1" applyBorder="1" applyAlignment="1" applyProtection="1">
      <alignment horizontal="center" vertical="center" wrapText="1" shrinkToFit="1"/>
      <protection locked="0"/>
    </xf>
    <xf numFmtId="0" fontId="69" fillId="0" borderId="8" xfId="0" applyFont="1" applyFill="1" applyBorder="1" applyAlignment="1" applyProtection="1">
      <alignment horizontal="center" vertical="center"/>
      <protection locked="0"/>
    </xf>
    <xf numFmtId="0" fontId="69" fillId="0" borderId="6" xfId="0" applyFont="1" applyFill="1" applyBorder="1" applyAlignment="1" applyProtection="1">
      <alignment horizontal="center" vertical="center"/>
      <protection locked="0"/>
    </xf>
    <xf numFmtId="181" fontId="69" fillId="0" borderId="1" xfId="0" applyNumberFormat="1" applyFont="1" applyFill="1" applyBorder="1" applyAlignment="1" applyProtection="1">
      <alignment horizontal="center" vertical="center" wrapText="1" shrinkToFit="1"/>
    </xf>
    <xf numFmtId="0" fontId="69" fillId="0" borderId="1" xfId="0" applyFont="1" applyFill="1" applyBorder="1" applyAlignment="1" applyProtection="1">
      <alignment horizontal="center" vertical="center" wrapText="1" shrinkToFit="1"/>
      <protection locked="0"/>
    </xf>
    <xf numFmtId="3" fontId="69" fillId="0" borderId="1" xfId="0" applyNumberFormat="1" applyFont="1" applyFill="1" applyBorder="1" applyAlignment="1" applyProtection="1">
      <alignment horizontal="center" vertical="center" wrapText="1" shrinkToFit="1"/>
      <protection locked="0"/>
    </xf>
    <xf numFmtId="181" fontId="69" fillId="0" borderId="1" xfId="0" applyNumberFormat="1" applyFont="1" applyFill="1" applyBorder="1" applyAlignment="1" applyProtection="1">
      <alignment horizontal="center" vertical="center" wrapText="1" shrinkToFit="1"/>
      <protection locked="0"/>
    </xf>
    <xf numFmtId="0" fontId="69" fillId="19" borderId="1" xfId="0" applyNumberFormat="1" applyFont="1" applyFill="1" applyBorder="1" applyAlignment="1" applyProtection="1">
      <alignment horizontal="center" vertical="center" wrapText="1" shrinkToFit="1"/>
      <protection locked="0"/>
    </xf>
    <xf numFmtId="182" fontId="69" fillId="0" borderId="1" xfId="0" applyNumberFormat="1" applyFont="1" applyFill="1" applyBorder="1" applyAlignment="1" applyProtection="1">
      <alignment horizontal="center" vertical="center" wrapText="1" shrinkToFit="1"/>
      <protection locked="0"/>
    </xf>
    <xf numFmtId="182" fontId="69" fillId="0" borderId="8" xfId="0" applyNumberFormat="1" applyFont="1" applyFill="1" applyBorder="1" applyAlignment="1" applyProtection="1">
      <alignment horizontal="center" vertical="center" wrapText="1" shrinkToFit="1"/>
      <protection locked="0"/>
    </xf>
    <xf numFmtId="0" fontId="69" fillId="3" borderId="1" xfId="0" applyFont="1" applyFill="1" applyBorder="1" applyAlignment="1" applyProtection="1">
      <alignment horizontal="center" vertical="center" wrapText="1"/>
      <protection locked="0"/>
    </xf>
    <xf numFmtId="180" fontId="69" fillId="0" borderId="1" xfId="0" applyNumberFormat="1" applyFont="1" applyFill="1" applyBorder="1" applyAlignment="1" applyProtection="1">
      <alignment horizontal="center" vertical="center" wrapText="1" shrinkToFit="1"/>
      <protection locked="0"/>
    </xf>
    <xf numFmtId="0" fontId="69" fillId="0" borderId="1" xfId="0" applyNumberFormat="1" applyFont="1" applyFill="1" applyBorder="1" applyAlignment="1" applyProtection="1">
      <alignment horizontal="center" vertical="center" wrapText="1" shrinkToFit="1"/>
      <protection locked="0"/>
    </xf>
    <xf numFmtId="184" fontId="69" fillId="0" borderId="1" xfId="0" applyNumberFormat="1" applyFont="1" applyFill="1" applyBorder="1" applyAlignment="1" applyProtection="1">
      <alignment horizontal="center" vertical="center"/>
      <protection locked="0"/>
    </xf>
    <xf numFmtId="183" fontId="69" fillId="0" borderId="1" xfId="0" applyNumberFormat="1" applyFont="1" applyFill="1" applyBorder="1" applyAlignment="1" applyProtection="1">
      <alignment horizontal="center" vertical="center"/>
      <protection locked="0"/>
    </xf>
    <xf numFmtId="184" fontId="69" fillId="0" borderId="40" xfId="0" applyNumberFormat="1" applyFont="1" applyFill="1" applyBorder="1" applyAlignment="1" applyProtection="1">
      <alignment horizontal="center" vertical="center"/>
      <protection locked="0"/>
    </xf>
    <xf numFmtId="0" fontId="69" fillId="0" borderId="41" xfId="0" applyFont="1" applyFill="1" applyBorder="1" applyAlignment="1" applyProtection="1">
      <alignment horizontal="center" vertical="center"/>
      <protection locked="0"/>
    </xf>
    <xf numFmtId="181" fontId="69" fillId="3" borderId="31" xfId="0" applyNumberFormat="1" applyFont="1" applyFill="1" applyBorder="1" applyAlignment="1" applyProtection="1">
      <alignment horizontal="center" vertical="center" wrapText="1" shrinkToFit="1"/>
      <protection locked="0"/>
    </xf>
    <xf numFmtId="183" fontId="69" fillId="0" borderId="4" xfId="0" applyNumberFormat="1" applyFont="1" applyFill="1" applyBorder="1" applyAlignment="1" applyProtection="1">
      <alignment horizontal="center" vertical="center"/>
      <protection locked="0"/>
    </xf>
    <xf numFmtId="182" fontId="69" fillId="0" borderId="5" xfId="0" applyNumberFormat="1" applyFont="1" applyFill="1" applyBorder="1" applyAlignment="1" applyProtection="1">
      <alignment horizontal="center" vertical="center" wrapText="1" shrinkToFit="1"/>
      <protection locked="0"/>
    </xf>
    <xf numFmtId="0" fontId="69" fillId="3" borderId="2" xfId="0" applyFont="1" applyFill="1" applyBorder="1" applyAlignment="1" applyProtection="1">
      <alignment horizontal="center" vertical="center" wrapText="1" shrinkToFit="1"/>
      <protection locked="0"/>
    </xf>
    <xf numFmtId="182" fontId="15" fillId="0" borderId="8" xfId="0" applyNumberFormat="1" applyFont="1" applyFill="1" applyBorder="1" applyAlignment="1" applyProtection="1">
      <alignment horizontal="center" vertical="center" wrapText="1" shrinkToFit="1"/>
      <protection locked="0"/>
    </xf>
    <xf numFmtId="182" fontId="6" fillId="3" borderId="8" xfId="0" applyNumberFormat="1" applyFont="1" applyFill="1" applyBorder="1" applyAlignment="1" applyProtection="1">
      <alignment horizontal="center" vertical="center" wrapText="1" shrinkToFit="1"/>
      <protection locked="0"/>
    </xf>
    <xf numFmtId="0" fontId="69" fillId="0" borderId="6" xfId="0" applyFont="1" applyFill="1" applyBorder="1" applyAlignment="1" applyProtection="1">
      <alignment horizontal="center" vertical="center" wrapText="1"/>
      <protection locked="0"/>
    </xf>
    <xf numFmtId="0" fontId="69" fillId="23" borderId="4" xfId="0" applyNumberFormat="1" applyFont="1" applyFill="1" applyBorder="1" applyAlignment="1" applyProtection="1">
      <alignment horizontal="center" vertical="center" wrapText="1" shrinkToFit="1"/>
      <protection locked="0"/>
    </xf>
    <xf numFmtId="0" fontId="69" fillId="0" borderId="39" xfId="0" applyFont="1" applyFill="1" applyBorder="1" applyAlignment="1" applyProtection="1">
      <alignment horizontal="center" vertical="center" wrapText="1"/>
      <protection locked="0"/>
    </xf>
    <xf numFmtId="0" fontId="69" fillId="4" borderId="4" xfId="0" applyFont="1" applyFill="1" applyBorder="1" applyAlignment="1" applyProtection="1">
      <alignment horizontal="center" vertical="center"/>
      <protection locked="0"/>
    </xf>
    <xf numFmtId="181" fontId="69" fillId="3" borderId="2" xfId="0" applyNumberFormat="1" applyFont="1" applyFill="1" applyBorder="1" applyAlignment="1" applyProtection="1">
      <alignment horizontal="center" vertical="center" wrapText="1" shrinkToFit="1"/>
      <protection locked="0"/>
    </xf>
    <xf numFmtId="0" fontId="69" fillId="0" borderId="35" xfId="0" applyFont="1" applyFill="1" applyBorder="1" applyAlignment="1" applyProtection="1">
      <alignment horizontal="center" vertical="center" wrapText="1"/>
      <protection locked="0"/>
    </xf>
    <xf numFmtId="180" fontId="69" fillId="0" borderId="8" xfId="0" applyNumberFormat="1" applyFont="1" applyFill="1" applyBorder="1" applyAlignment="1" applyProtection="1">
      <alignment horizontal="center" vertical="center" wrapText="1" shrinkToFit="1"/>
      <protection locked="0"/>
    </xf>
    <xf numFmtId="0" fontId="90" fillId="0" borderId="41" xfId="0" applyFont="1" applyBorder="1" applyAlignment="1" applyProtection="1">
      <alignment horizontal="center" vertical="center"/>
      <protection locked="0"/>
    </xf>
    <xf numFmtId="0" fontId="90" fillId="0" borderId="42" xfId="0" applyFont="1" applyBorder="1" applyAlignment="1" applyProtection="1">
      <alignment horizontal="center" vertical="center"/>
      <protection locked="0"/>
    </xf>
    <xf numFmtId="0" fontId="69" fillId="0" borderId="2" xfId="0" applyNumberFormat="1" applyFont="1" applyFill="1" applyBorder="1" applyAlignment="1" applyProtection="1">
      <alignment horizontal="center" vertical="center"/>
      <protection locked="0"/>
    </xf>
    <xf numFmtId="183" fontId="69" fillId="0" borderId="2" xfId="0" applyNumberFormat="1" applyFont="1" applyFill="1" applyBorder="1" applyAlignment="1" applyProtection="1">
      <alignment horizontal="center" vertical="center" wrapText="1" shrinkToFit="1"/>
      <protection locked="0"/>
    </xf>
    <xf numFmtId="182" fontId="69" fillId="0" borderId="37" xfId="0" applyNumberFormat="1" applyFont="1" applyFill="1" applyBorder="1" applyAlignment="1" applyProtection="1">
      <alignment horizontal="center" vertical="center" wrapText="1" shrinkToFit="1"/>
      <protection locked="0"/>
    </xf>
    <xf numFmtId="184" fontId="69" fillId="0" borderId="8" xfId="0" applyNumberFormat="1" applyFont="1" applyFill="1" applyBorder="1" applyAlignment="1" applyProtection="1">
      <alignment horizontal="center" vertical="center"/>
      <protection locked="0"/>
    </xf>
    <xf numFmtId="184" fontId="69" fillId="0" borderId="6" xfId="0" applyNumberFormat="1" applyFont="1" applyFill="1" applyBorder="1" applyAlignment="1" applyProtection="1">
      <alignment horizontal="center" vertical="center"/>
      <protection locked="0"/>
    </xf>
    <xf numFmtId="184" fontId="69" fillId="3" borderId="2" xfId="0" applyNumberFormat="1" applyFont="1" applyFill="1" applyBorder="1" applyAlignment="1" applyProtection="1">
      <alignment horizontal="center" vertical="center"/>
      <protection locked="0"/>
    </xf>
    <xf numFmtId="3" fontId="75" fillId="0" borderId="2" xfId="0" applyNumberFormat="1" applyFont="1" applyFill="1" applyBorder="1" applyAlignment="1" applyProtection="1">
      <alignment horizontal="center" vertical="center" wrapText="1" shrinkToFit="1"/>
      <protection locked="0"/>
    </xf>
    <xf numFmtId="182" fontId="75" fillId="0" borderId="8" xfId="0" applyNumberFormat="1" applyFont="1" applyFill="1" applyBorder="1" applyAlignment="1" applyProtection="1">
      <alignment horizontal="center" vertical="center" wrapText="1" shrinkToFit="1"/>
      <protection locked="0"/>
    </xf>
    <xf numFmtId="0" fontId="71" fillId="0" borderId="1" xfId="0" applyFont="1" applyFill="1" applyBorder="1" applyAlignment="1" applyProtection="1">
      <alignment horizontal="center" vertical="center" wrapText="1"/>
      <protection locked="0"/>
    </xf>
    <xf numFmtId="0" fontId="75" fillId="0" borderId="6" xfId="0" applyFont="1" applyFill="1" applyBorder="1" applyAlignment="1" applyProtection="1">
      <alignment horizontal="center" vertical="center" wrapText="1"/>
      <protection locked="0"/>
    </xf>
    <xf numFmtId="0" fontId="71" fillId="0" borderId="3" xfId="0" applyFont="1" applyFill="1" applyBorder="1" applyAlignment="1" applyProtection="1">
      <alignment horizontal="center" vertical="center"/>
      <protection locked="0"/>
    </xf>
    <xf numFmtId="0" fontId="71" fillId="0" borderId="3" xfId="0" applyFont="1" applyFill="1" applyBorder="1" applyAlignment="1" applyProtection="1">
      <alignment horizontal="center" vertical="center" wrapText="1"/>
      <protection locked="0"/>
    </xf>
    <xf numFmtId="0" fontId="69" fillId="3" borderId="2" xfId="0" applyFont="1" applyFill="1" applyBorder="1" applyAlignment="1" applyProtection="1">
      <alignment horizontal="center" vertical="center" wrapText="1"/>
      <protection locked="0"/>
    </xf>
    <xf numFmtId="185" fontId="69" fillId="0" borderId="2" xfId="0" applyNumberFormat="1" applyFont="1" applyFill="1" applyBorder="1" applyAlignment="1" applyProtection="1">
      <alignment horizontal="center" vertical="center" wrapText="1" shrinkToFit="1"/>
      <protection locked="0"/>
    </xf>
    <xf numFmtId="0" fontId="90" fillId="0" borderId="1" xfId="0" applyFont="1" applyBorder="1" applyAlignment="1" applyProtection="1">
      <alignment horizontal="center" vertical="center" wrapText="1" shrinkToFit="1"/>
      <protection locked="0"/>
    </xf>
    <xf numFmtId="180" fontId="69" fillId="0" borderId="4" xfId="0" applyNumberFormat="1" applyFont="1" applyFill="1" applyBorder="1" applyAlignment="1" applyProtection="1">
      <alignment horizontal="center" vertical="center"/>
      <protection locked="0"/>
    </xf>
    <xf numFmtId="181" fontId="69" fillId="0" borderId="4" xfId="0" applyNumberFormat="1" applyFont="1" applyFill="1" applyBorder="1" applyAlignment="1" applyProtection="1">
      <alignment horizontal="center" vertical="center" wrapText="1" shrinkToFit="1"/>
      <protection locked="0"/>
    </xf>
    <xf numFmtId="182" fontId="69" fillId="3" borderId="8" xfId="0" applyNumberFormat="1" applyFont="1" applyFill="1" applyBorder="1" applyAlignment="1" applyProtection="1">
      <alignment horizontal="center" vertical="center" wrapText="1" shrinkToFit="1"/>
      <protection locked="0"/>
    </xf>
    <xf numFmtId="0" fontId="69" fillId="3" borderId="6" xfId="0" applyFont="1" applyFill="1" applyBorder="1" applyAlignment="1" applyProtection="1">
      <alignment horizontal="center" vertical="center" wrapText="1"/>
      <protection locked="0"/>
    </xf>
    <xf numFmtId="181" fontId="69" fillId="0" borderId="7" xfId="0" applyNumberFormat="1" applyFont="1" applyFill="1" applyBorder="1" applyAlignment="1" applyProtection="1">
      <alignment horizontal="center" vertical="center" wrapText="1" shrinkToFit="1"/>
    </xf>
    <xf numFmtId="0" fontId="69" fillId="0" borderId="7" xfId="0" applyFont="1" applyFill="1" applyBorder="1" applyAlignment="1" applyProtection="1">
      <alignment horizontal="center" vertical="center" wrapText="1"/>
      <protection locked="0"/>
    </xf>
    <xf numFmtId="0" fontId="69" fillId="0" borderId="7" xfId="0" applyFont="1" applyFill="1" applyBorder="1" applyAlignment="1" applyProtection="1">
      <alignment horizontal="center" vertical="center" wrapText="1" shrinkToFit="1"/>
      <protection locked="0"/>
    </xf>
    <xf numFmtId="0" fontId="69" fillId="0" borderId="7" xfId="0" applyNumberFormat="1" applyFont="1" applyFill="1" applyBorder="1" applyAlignment="1" applyProtection="1">
      <alignment horizontal="center" vertical="center"/>
      <protection locked="0"/>
    </xf>
    <xf numFmtId="0" fontId="69" fillId="0" borderId="7" xfId="0" applyNumberFormat="1" applyFont="1" applyFill="1" applyBorder="1" applyAlignment="1" applyProtection="1">
      <alignment horizontal="center" vertical="center" wrapText="1" shrinkToFit="1"/>
      <protection locked="0"/>
    </xf>
    <xf numFmtId="0" fontId="69" fillId="0" borderId="7" xfId="0" applyFont="1" applyFill="1" applyBorder="1" applyAlignment="1" applyProtection="1">
      <alignment horizontal="center" vertical="center"/>
      <protection locked="0"/>
    </xf>
    <xf numFmtId="3" fontId="69" fillId="0" borderId="7" xfId="0" applyNumberFormat="1" applyFont="1" applyFill="1" applyBorder="1" applyAlignment="1" applyProtection="1">
      <alignment horizontal="center" vertical="center" wrapText="1" shrinkToFit="1"/>
      <protection locked="0"/>
    </xf>
    <xf numFmtId="0" fontId="69" fillId="0" borderId="9" xfId="0" applyFont="1" applyFill="1" applyBorder="1" applyAlignment="1" applyProtection="1">
      <alignment horizontal="center" vertical="center" wrapText="1" shrinkToFit="1"/>
      <protection locked="0"/>
    </xf>
    <xf numFmtId="183" fontId="69" fillId="0" borderId="44" xfId="0" applyNumberFormat="1" applyFont="1" applyFill="1" applyBorder="1" applyAlignment="1" applyProtection="1">
      <alignment horizontal="center" vertical="center" wrapText="1" shrinkToFit="1"/>
      <protection locked="0"/>
    </xf>
    <xf numFmtId="181" fontId="69" fillId="0" borderId="10" xfId="0" applyNumberFormat="1" applyFont="1" applyFill="1" applyBorder="1" applyAlignment="1" applyProtection="1">
      <alignment horizontal="center" vertical="center" wrapText="1" shrinkToFit="1"/>
      <protection locked="0"/>
    </xf>
    <xf numFmtId="181" fontId="69" fillId="0" borderId="7" xfId="0" applyNumberFormat="1" applyFont="1" applyFill="1" applyBorder="1" applyAlignment="1" applyProtection="1">
      <alignment horizontal="center" vertical="center" wrapText="1" shrinkToFit="1"/>
      <protection locked="0"/>
    </xf>
    <xf numFmtId="182" fontId="69" fillId="0" borderId="9" xfId="0" applyNumberFormat="1" applyFont="1" applyFill="1" applyBorder="1" applyAlignment="1" applyProtection="1">
      <alignment horizontal="center" vertical="center" wrapText="1" shrinkToFit="1"/>
      <protection locked="0"/>
    </xf>
    <xf numFmtId="182" fontId="69" fillId="0" borderId="40" xfId="0" applyNumberFormat="1" applyFont="1" applyFill="1" applyBorder="1" applyAlignment="1" applyProtection="1">
      <alignment horizontal="center" vertical="center" wrapText="1" shrinkToFit="1"/>
      <protection locked="0"/>
    </xf>
    <xf numFmtId="0" fontId="69" fillId="0" borderId="41" xfId="0" applyFont="1" applyFill="1" applyBorder="1" applyAlignment="1" applyProtection="1">
      <alignment horizontal="center" vertical="center" wrapText="1"/>
      <protection locked="0"/>
    </xf>
    <xf numFmtId="0" fontId="69" fillId="0" borderId="10" xfId="0" applyFont="1" applyFill="1" applyBorder="1" applyAlignment="1" applyProtection="1">
      <alignment horizontal="center" vertical="center" wrapText="1"/>
      <protection locked="0"/>
    </xf>
    <xf numFmtId="180" fontId="69" fillId="0" borderId="7" xfId="0" applyNumberFormat="1" applyFont="1" applyFill="1" applyBorder="1" applyAlignment="1" applyProtection="1">
      <alignment horizontal="center" vertical="center" wrapText="1" shrinkToFit="1"/>
      <protection locked="0"/>
    </xf>
    <xf numFmtId="180" fontId="69" fillId="0" borderId="9" xfId="0" applyNumberFormat="1" applyFont="1" applyFill="1" applyBorder="1" applyAlignment="1" applyProtection="1">
      <alignment horizontal="center" vertical="center" wrapText="1" shrinkToFit="1"/>
      <protection locked="0"/>
    </xf>
    <xf numFmtId="0" fontId="90" fillId="0" borderId="45" xfId="0" applyFont="1" applyBorder="1" applyAlignment="1" applyProtection="1">
      <alignment horizontal="center" vertical="center"/>
      <protection locked="0"/>
    </xf>
    <xf numFmtId="184" fontId="69" fillId="0" borderId="7" xfId="0" applyNumberFormat="1" applyFont="1" applyFill="1" applyBorder="1" applyAlignment="1" applyProtection="1">
      <alignment horizontal="center" vertical="center"/>
      <protection locked="0"/>
    </xf>
    <xf numFmtId="183" fontId="69" fillId="0" borderId="7" xfId="0" applyNumberFormat="1" applyFont="1" applyFill="1" applyBorder="1" applyAlignment="1" applyProtection="1">
      <alignment horizontal="center" vertical="center"/>
      <protection locked="0"/>
    </xf>
    <xf numFmtId="0" fontId="69" fillId="0" borderId="9" xfId="0" applyFont="1" applyFill="1" applyBorder="1" applyAlignment="1" applyProtection="1">
      <alignment horizontal="center" vertical="center"/>
      <protection locked="0"/>
    </xf>
    <xf numFmtId="0" fontId="69" fillId="0" borderId="44" xfId="0" applyFont="1" applyFill="1" applyBorder="1" applyAlignment="1" applyProtection="1">
      <alignment horizontal="center" vertical="center"/>
      <protection locked="0"/>
    </xf>
    <xf numFmtId="0" fontId="69" fillId="0" borderId="10" xfId="0" applyFont="1" applyFill="1" applyBorder="1" applyAlignment="1" applyProtection="1">
      <alignment horizontal="center" vertical="center"/>
      <protection locked="0"/>
    </xf>
    <xf numFmtId="184" fontId="69" fillId="0" borderId="9" xfId="0" applyNumberFormat="1" applyFont="1" applyFill="1" applyBorder="1" applyAlignment="1" applyProtection="1">
      <alignment horizontal="center" vertical="center"/>
      <protection locked="0"/>
    </xf>
    <xf numFmtId="180" fontId="69" fillId="0" borderId="5" xfId="0" applyNumberFormat="1" applyFont="1" applyFill="1" applyBorder="1" applyAlignment="1" applyProtection="1">
      <alignment horizontal="center" vertical="center" wrapText="1" shrinkToFit="1"/>
      <protection locked="0"/>
    </xf>
    <xf numFmtId="182" fontId="15" fillId="0" borderId="1" xfId="0" applyNumberFormat="1" applyFont="1" applyFill="1" applyBorder="1" applyAlignment="1" applyProtection="1">
      <alignment horizontal="center" vertical="center" wrapText="1" shrinkToFit="1"/>
      <protection locked="0"/>
    </xf>
    <xf numFmtId="182" fontId="6" fillId="0" borderId="40" xfId="0" applyNumberFormat="1" applyFont="1" applyFill="1" applyBorder="1" applyAlignment="1" applyProtection="1">
      <alignment horizontal="center" vertical="center" wrapText="1" shrinkToFit="1"/>
      <protection locked="0"/>
    </xf>
    <xf numFmtId="182" fontId="69" fillId="0" borderId="7" xfId="0" applyNumberFormat="1" applyFont="1" applyFill="1" applyBorder="1" applyAlignment="1" applyProtection="1">
      <alignment horizontal="center" vertical="center" wrapText="1" shrinkToFit="1"/>
      <protection locked="0"/>
    </xf>
    <xf numFmtId="182" fontId="69" fillId="3" borderId="4" xfId="0" applyNumberFormat="1" applyFont="1" applyFill="1" applyBorder="1" applyAlignment="1" applyProtection="1">
      <alignment horizontal="center" vertical="center" wrapText="1" shrinkToFit="1"/>
      <protection locked="0"/>
    </xf>
    <xf numFmtId="0" fontId="69" fillId="3" borderId="31" xfId="0" applyFont="1" applyFill="1" applyBorder="1" applyAlignment="1" applyProtection="1">
      <alignment horizontal="center" vertical="center" wrapText="1"/>
      <protection locked="0"/>
    </xf>
    <xf numFmtId="0" fontId="69" fillId="0" borderId="1" xfId="0" applyNumberFormat="1" applyFont="1" applyFill="1" applyBorder="1" applyAlignment="1" applyProtection="1">
      <alignment horizontal="center" vertical="center"/>
      <protection locked="0"/>
    </xf>
    <xf numFmtId="182" fontId="69" fillId="3" borderId="1" xfId="0" applyNumberFormat="1" applyFont="1" applyFill="1" applyBorder="1" applyAlignment="1" applyProtection="1">
      <alignment horizontal="center" vertical="center" wrapText="1" shrinkToFit="1"/>
      <protection locked="0"/>
    </xf>
    <xf numFmtId="0" fontId="71" fillId="0" borderId="4" xfId="0" applyFont="1" applyFill="1" applyBorder="1" applyAlignment="1" applyProtection="1">
      <alignment horizontal="center" vertical="center"/>
      <protection locked="0"/>
    </xf>
    <xf numFmtId="0" fontId="69" fillId="23" borderId="1" xfId="0" applyNumberFormat="1" applyFont="1" applyFill="1" applyBorder="1" applyAlignment="1" applyProtection="1">
      <alignment horizontal="center" vertical="center" wrapText="1" shrinkToFit="1"/>
      <protection locked="0"/>
    </xf>
    <xf numFmtId="180" fontId="69" fillId="0" borderId="1" xfId="0" applyNumberFormat="1" applyFont="1" applyFill="1" applyBorder="1" applyAlignment="1" applyProtection="1">
      <alignment horizontal="center" vertical="center"/>
      <protection locked="0"/>
    </xf>
    <xf numFmtId="181" fontId="69" fillId="0" borderId="39" xfId="0" applyNumberFormat="1" applyFont="1" applyFill="1" applyBorder="1" applyAlignment="1" applyProtection="1">
      <alignment horizontal="center" vertical="center" wrapText="1" shrinkToFit="1"/>
    </xf>
    <xf numFmtId="0" fontId="69" fillId="0" borderId="39" xfId="0" applyFont="1" applyFill="1" applyBorder="1" applyAlignment="1" applyProtection="1">
      <alignment horizontal="center" vertical="center" wrapText="1" shrinkToFit="1"/>
      <protection locked="0"/>
    </xf>
    <xf numFmtId="0" fontId="69" fillId="0" borderId="39" xfId="0" applyNumberFormat="1" applyFont="1" applyFill="1" applyBorder="1" applyAlignment="1" applyProtection="1">
      <alignment horizontal="center" vertical="center"/>
      <protection locked="0"/>
    </xf>
    <xf numFmtId="3" fontId="69" fillId="0" borderId="39" xfId="0" applyNumberFormat="1" applyFont="1" applyFill="1" applyBorder="1" applyAlignment="1" applyProtection="1">
      <alignment horizontal="center" vertical="center" wrapText="1" shrinkToFit="1"/>
      <protection locked="0"/>
    </xf>
    <xf numFmtId="181" fontId="69" fillId="0" borderId="39" xfId="0" applyNumberFormat="1" applyFont="1" applyFill="1" applyBorder="1" applyAlignment="1" applyProtection="1">
      <alignment horizontal="center" vertical="center" wrapText="1" shrinkToFit="1"/>
      <protection locked="0"/>
    </xf>
    <xf numFmtId="0" fontId="69" fillId="0" borderId="39" xfId="0" applyNumberFormat="1" applyFont="1" applyFill="1" applyBorder="1" applyAlignment="1" applyProtection="1">
      <alignment horizontal="center" vertical="center" wrapText="1" shrinkToFit="1"/>
      <protection locked="0"/>
    </xf>
    <xf numFmtId="182" fontId="69" fillId="0" borderId="39" xfId="0" applyNumberFormat="1" applyFont="1" applyFill="1" applyBorder="1" applyAlignment="1" applyProtection="1">
      <alignment horizontal="center" vertical="center" wrapText="1" shrinkToFit="1"/>
      <protection locked="0"/>
    </xf>
    <xf numFmtId="180" fontId="69" fillId="0" borderId="39" xfId="0" applyNumberFormat="1" applyFont="1" applyFill="1" applyBorder="1" applyAlignment="1" applyProtection="1">
      <alignment horizontal="center" vertical="center" wrapText="1" shrinkToFit="1"/>
      <protection locked="0"/>
    </xf>
    <xf numFmtId="184" fontId="69" fillId="0" borderId="39" xfId="0" applyNumberFormat="1" applyFont="1" applyFill="1" applyBorder="1" applyAlignment="1" applyProtection="1">
      <alignment horizontal="center" vertical="center"/>
      <protection locked="0"/>
    </xf>
    <xf numFmtId="183" fontId="69" fillId="0" borderId="39" xfId="0" applyNumberFormat="1" applyFont="1" applyFill="1" applyBorder="1" applyAlignment="1" applyProtection="1">
      <alignment horizontal="center" vertical="center"/>
      <protection locked="0"/>
    </xf>
    <xf numFmtId="181" fontId="69" fillId="0" borderId="3" xfId="0" applyNumberFormat="1" applyFont="1" applyFill="1" applyBorder="1" applyAlignment="1" applyProtection="1">
      <alignment horizontal="center" vertical="center" wrapText="1" shrinkToFit="1"/>
    </xf>
    <xf numFmtId="0" fontId="69" fillId="0" borderId="3" xfId="0" applyFont="1" applyFill="1" applyBorder="1" applyAlignment="1" applyProtection="1">
      <alignment horizontal="center" vertical="center" wrapText="1"/>
      <protection locked="0"/>
    </xf>
    <xf numFmtId="0" fontId="69" fillId="0" borderId="3" xfId="0" applyFont="1" applyFill="1" applyBorder="1" applyAlignment="1" applyProtection="1">
      <alignment horizontal="center" vertical="center" wrapText="1" shrinkToFit="1"/>
      <protection locked="0"/>
    </xf>
    <xf numFmtId="0" fontId="69" fillId="0" borderId="3" xfId="0" applyNumberFormat="1" applyFont="1" applyFill="1" applyBorder="1" applyAlignment="1" applyProtection="1">
      <alignment horizontal="center" vertical="center"/>
      <protection locked="0"/>
    </xf>
    <xf numFmtId="0" fontId="69" fillId="0" borderId="3" xfId="0" applyNumberFormat="1" applyFont="1" applyFill="1" applyBorder="1" applyAlignment="1" applyProtection="1">
      <alignment horizontal="center" vertical="center" wrapText="1" shrinkToFit="1"/>
      <protection locked="0"/>
    </xf>
    <xf numFmtId="3" fontId="69" fillId="0" borderId="3" xfId="0" applyNumberFormat="1" applyFont="1" applyFill="1" applyBorder="1" applyAlignment="1" applyProtection="1">
      <alignment horizontal="center" vertical="center" wrapText="1" shrinkToFit="1"/>
      <protection locked="0"/>
    </xf>
    <xf numFmtId="183" fontId="69" fillId="0" borderId="3" xfId="0" applyNumberFormat="1" applyFont="1" applyFill="1" applyBorder="1" applyAlignment="1" applyProtection="1">
      <alignment horizontal="center" vertical="center" wrapText="1" shrinkToFit="1"/>
      <protection locked="0"/>
    </xf>
    <xf numFmtId="181" fontId="69" fillId="0" borderId="3" xfId="0" applyNumberFormat="1" applyFont="1" applyFill="1" applyBorder="1" applyAlignment="1" applyProtection="1">
      <alignment horizontal="center" vertical="center" wrapText="1" shrinkToFit="1"/>
      <protection locked="0"/>
    </xf>
    <xf numFmtId="58" fontId="69" fillId="23" borderId="3" xfId="0" applyNumberFormat="1" applyFont="1" applyFill="1" applyBorder="1" applyAlignment="1" applyProtection="1">
      <alignment horizontal="center" vertical="center" wrapText="1" shrinkToFit="1"/>
      <protection locked="0"/>
    </xf>
    <xf numFmtId="180" fontId="69" fillId="0" borderId="3" xfId="0" applyNumberFormat="1" applyFont="1" applyFill="1" applyBorder="1" applyAlignment="1" applyProtection="1">
      <alignment horizontal="center" vertical="center" wrapText="1" shrinkToFit="1"/>
      <protection locked="0"/>
    </xf>
    <xf numFmtId="0" fontId="90" fillId="0" borderId="35" xfId="0" applyFont="1" applyBorder="1" applyAlignment="1" applyProtection="1">
      <alignment horizontal="center" vertical="center"/>
      <protection locked="0"/>
    </xf>
    <xf numFmtId="184" fontId="69" fillId="0" borderId="3" xfId="0" applyNumberFormat="1" applyFont="1" applyFill="1" applyBorder="1" applyAlignment="1" applyProtection="1">
      <alignment horizontal="center" vertical="center"/>
      <protection locked="0"/>
    </xf>
    <xf numFmtId="0" fontId="69" fillId="3" borderId="3" xfId="0" applyFont="1" applyFill="1" applyBorder="1" applyAlignment="1" applyProtection="1">
      <alignment horizontal="center" vertical="center"/>
      <protection locked="0"/>
    </xf>
    <xf numFmtId="183" fontId="69" fillId="0" borderId="3" xfId="0" applyNumberFormat="1" applyFont="1" applyFill="1" applyBorder="1" applyAlignment="1" applyProtection="1">
      <alignment horizontal="center" vertical="center"/>
      <protection locked="0"/>
    </xf>
    <xf numFmtId="180" fontId="69" fillId="0" borderId="3" xfId="0" applyNumberFormat="1" applyFont="1" applyFill="1" applyBorder="1" applyAlignment="1" applyProtection="1">
      <alignment horizontal="center" vertical="center"/>
      <protection locked="0"/>
    </xf>
    <xf numFmtId="184" fontId="69" fillId="0" borderId="37" xfId="0" applyNumberFormat="1" applyFont="1" applyFill="1" applyBorder="1" applyAlignment="1" applyProtection="1">
      <alignment horizontal="center" vertical="center"/>
      <protection locked="0"/>
    </xf>
    <xf numFmtId="184" fontId="69" fillId="0" borderId="27" xfId="0" applyNumberFormat="1" applyFont="1" applyFill="1" applyBorder="1" applyAlignment="1" applyProtection="1">
      <alignment horizontal="center" vertical="center"/>
      <protection locked="0"/>
    </xf>
    <xf numFmtId="0" fontId="69" fillId="0" borderId="37" xfId="0" applyFont="1" applyFill="1" applyBorder="1" applyAlignment="1" applyProtection="1">
      <alignment horizontal="center" vertical="center"/>
      <protection locked="0"/>
    </xf>
    <xf numFmtId="0" fontId="69" fillId="0" borderId="27" xfId="0" applyFont="1" applyFill="1" applyBorder="1" applyAlignment="1" applyProtection="1">
      <alignment horizontal="center" vertical="center"/>
      <protection locked="0"/>
    </xf>
    <xf numFmtId="184" fontId="69" fillId="3" borderId="3" xfId="0" applyNumberFormat="1" applyFont="1" applyFill="1" applyBorder="1" applyAlignment="1" applyProtection="1">
      <alignment horizontal="center" vertical="center"/>
      <protection locked="0"/>
    </xf>
    <xf numFmtId="0" fontId="69" fillId="3" borderId="2" xfId="0" applyFont="1" applyFill="1" applyBorder="1" applyAlignment="1" applyProtection="1">
      <alignment horizontal="center" vertical="center"/>
      <protection locked="0"/>
    </xf>
    <xf numFmtId="0" fontId="69" fillId="3" borderId="1" xfId="0" applyFont="1" applyFill="1" applyBorder="1" applyAlignment="1" applyProtection="1">
      <alignment horizontal="center" vertical="center"/>
      <protection locked="0"/>
    </xf>
    <xf numFmtId="3" fontId="69" fillId="3" borderId="1" xfId="0" applyNumberFormat="1" applyFont="1" applyFill="1" applyBorder="1" applyAlignment="1" applyProtection="1">
      <alignment horizontal="center" vertical="center" wrapText="1" shrinkToFit="1"/>
      <protection locked="0"/>
    </xf>
    <xf numFmtId="183" fontId="69" fillId="3" borderId="1" xfId="0" applyNumberFormat="1" applyFont="1" applyFill="1" applyBorder="1" applyAlignment="1" applyProtection="1">
      <alignment horizontal="center" vertical="center" wrapText="1" shrinkToFit="1"/>
      <protection locked="0"/>
    </xf>
    <xf numFmtId="0" fontId="69" fillId="3" borderId="1" xfId="0" applyNumberFormat="1" applyFont="1" applyFill="1" applyBorder="1" applyAlignment="1" applyProtection="1">
      <alignment horizontal="center" vertical="center" wrapText="1" shrinkToFit="1"/>
      <protection locked="0"/>
    </xf>
    <xf numFmtId="181" fontId="69" fillId="3" borderId="1" xfId="0" applyNumberFormat="1" applyFont="1" applyFill="1" applyBorder="1" applyAlignment="1" applyProtection="1">
      <alignment horizontal="center" vertical="center" wrapText="1" shrinkToFit="1"/>
      <protection locked="0"/>
    </xf>
    <xf numFmtId="0" fontId="69" fillId="0" borderId="37" xfId="0" applyFont="1" applyFill="1" applyBorder="1" applyAlignment="1" applyProtection="1">
      <alignment horizontal="center" vertical="center" wrapText="1" shrinkToFit="1"/>
      <protection locked="0"/>
    </xf>
    <xf numFmtId="183" fontId="69" fillId="0" borderId="35" xfId="0" applyNumberFormat="1" applyFont="1" applyFill="1" applyBorder="1" applyAlignment="1" applyProtection="1">
      <alignment horizontal="center" vertical="center" wrapText="1" shrinkToFit="1"/>
      <protection locked="0"/>
    </xf>
    <xf numFmtId="181" fontId="69" fillId="0" borderId="27" xfId="0" applyNumberFormat="1" applyFont="1" applyFill="1" applyBorder="1" applyAlignment="1" applyProtection="1">
      <alignment horizontal="center" vertical="center" wrapText="1" shrinkToFit="1"/>
      <protection locked="0"/>
    </xf>
    <xf numFmtId="182" fontId="75" fillId="0" borderId="3" xfId="0" applyNumberFormat="1" applyFont="1" applyFill="1" applyBorder="1" applyAlignment="1" applyProtection="1">
      <alignment horizontal="center" vertical="center" wrapText="1" shrinkToFit="1"/>
      <protection locked="0"/>
    </xf>
    <xf numFmtId="0" fontId="75" fillId="0" borderId="3" xfId="0" applyFont="1" applyFill="1" applyBorder="1" applyAlignment="1" applyProtection="1">
      <alignment horizontal="center" vertical="center" wrapText="1" shrinkToFit="1"/>
      <protection locked="0"/>
    </xf>
    <xf numFmtId="0" fontId="71" fillId="0" borderId="35" xfId="0" applyFont="1" applyFill="1" applyBorder="1" applyAlignment="1" applyProtection="1">
      <alignment horizontal="center" vertical="center"/>
      <protection locked="0"/>
    </xf>
    <xf numFmtId="0" fontId="75" fillId="0" borderId="3" xfId="0" applyFont="1" applyFill="1" applyBorder="1" applyAlignment="1" applyProtection="1">
      <alignment horizontal="center" vertical="center"/>
      <protection locked="0"/>
    </xf>
    <xf numFmtId="0" fontId="6" fillId="3" borderId="0" xfId="0" applyFont="1" applyFill="1" applyAlignment="1" applyProtection="1">
      <alignment horizontal="center" vertical="center" wrapText="1"/>
      <protection locked="0"/>
    </xf>
    <xf numFmtId="183" fontId="69" fillId="0" borderId="4" xfId="0" applyNumberFormat="1" applyFont="1" applyFill="1" applyBorder="1" applyAlignment="1" applyProtection="1">
      <alignment horizontal="center" vertical="center" wrapText="1" shrinkToFit="1"/>
      <protection locked="0"/>
    </xf>
    <xf numFmtId="184" fontId="69" fillId="0" borderId="31" xfId="0" applyNumberFormat="1" applyFont="1" applyFill="1" applyBorder="1" applyAlignment="1" applyProtection="1">
      <alignment horizontal="center" vertical="center"/>
      <protection locked="0"/>
    </xf>
    <xf numFmtId="181" fontId="69" fillId="3" borderId="6" xfId="0" applyNumberFormat="1" applyFont="1" applyFill="1" applyBorder="1" applyAlignment="1" applyProtection="1">
      <alignment horizontal="center" vertical="center" wrapText="1" shrinkToFit="1"/>
      <protection locked="0"/>
    </xf>
    <xf numFmtId="182" fontId="6" fillId="0" borderId="4" xfId="0" applyNumberFormat="1" applyFont="1" applyFill="1" applyBorder="1" applyAlignment="1" applyProtection="1">
      <alignment horizontal="center" vertical="center" wrapText="1" shrinkToFit="1"/>
      <protection locked="0"/>
    </xf>
    <xf numFmtId="180" fontId="15" fillId="0" borderId="4" xfId="0" applyNumberFormat="1" applyFont="1" applyFill="1" applyBorder="1" applyAlignment="1" applyProtection="1">
      <alignment horizontal="center" vertical="center"/>
      <protection locked="0"/>
    </xf>
    <xf numFmtId="0" fontId="15" fillId="0" borderId="4" xfId="0" applyFont="1" applyFill="1" applyBorder="1" applyAlignment="1" applyProtection="1">
      <alignment horizontal="center" vertical="center"/>
      <protection locked="0"/>
    </xf>
    <xf numFmtId="187" fontId="69" fillId="0" borderId="3" xfId="0" applyNumberFormat="1" applyFont="1" applyFill="1" applyBorder="1" applyAlignment="1" applyProtection="1">
      <alignment horizontal="center" vertical="center" wrapText="1"/>
      <protection locked="0"/>
    </xf>
    <xf numFmtId="0" fontId="90" fillId="0" borderId="35" xfId="0" applyFont="1" applyBorder="1" applyAlignment="1" applyProtection="1">
      <alignment horizontal="center" vertical="center" wrapText="1" shrinkToFit="1"/>
      <protection locked="0"/>
    </xf>
    <xf numFmtId="0" fontId="69" fillId="4" borderId="1" xfId="0" applyFont="1" applyFill="1" applyBorder="1" applyAlignment="1" applyProtection="1">
      <alignment horizontal="center" vertical="center"/>
      <protection locked="0"/>
    </xf>
    <xf numFmtId="0" fontId="69" fillId="3" borderId="1" xfId="0" applyFont="1" applyFill="1" applyBorder="1" applyAlignment="1" applyProtection="1">
      <alignment horizontal="center" vertical="center" wrapText="1" shrinkToFit="1"/>
      <protection locked="0"/>
    </xf>
    <xf numFmtId="181" fontId="69" fillId="0" borderId="2" xfId="0" applyNumberFormat="1" applyFont="1" applyFill="1" applyBorder="1" applyAlignment="1" applyProtection="1">
      <alignment horizontal="center" vertical="center" wrapText="1" shrinkToFit="1"/>
    </xf>
    <xf numFmtId="0" fontId="69" fillId="0" borderId="2" xfId="0" applyFont="1" applyFill="1" applyBorder="1" applyAlignment="1" applyProtection="1">
      <alignment horizontal="center" vertical="center" wrapText="1"/>
      <protection locked="0"/>
    </xf>
    <xf numFmtId="0" fontId="69" fillId="0" borderId="2" xfId="0" applyFont="1" applyFill="1" applyBorder="1" applyAlignment="1" applyProtection="1">
      <alignment horizontal="center" vertical="center" wrapText="1" shrinkToFit="1"/>
      <protection locked="0"/>
    </xf>
    <xf numFmtId="0" fontId="69" fillId="0" borderId="2" xfId="0" applyFont="1" applyFill="1" applyBorder="1" applyAlignment="1" applyProtection="1">
      <alignment horizontal="center" vertical="center"/>
      <protection locked="0"/>
    </xf>
    <xf numFmtId="3" fontId="69" fillId="0" borderId="2" xfId="0" applyNumberFormat="1" applyFont="1" applyFill="1" applyBorder="1" applyAlignment="1" applyProtection="1">
      <alignment horizontal="center" vertical="center" wrapText="1" shrinkToFit="1"/>
      <protection locked="0"/>
    </xf>
    <xf numFmtId="183" fontId="69" fillId="0" borderId="2" xfId="0" applyNumberFormat="1" applyFont="1" applyFill="1" applyBorder="1" applyAlignment="1" applyProtection="1">
      <alignment horizontal="center" vertical="center" wrapText="1" shrinkToFit="1"/>
      <protection locked="0"/>
    </xf>
    <xf numFmtId="181" fontId="69" fillId="0" borderId="2" xfId="0" applyNumberFormat="1" applyFont="1" applyFill="1" applyBorder="1" applyAlignment="1" applyProtection="1">
      <alignment horizontal="center" vertical="center" wrapText="1" shrinkToFit="1"/>
      <protection locked="0"/>
    </xf>
    <xf numFmtId="0" fontId="69" fillId="0" borderId="2" xfId="0" applyNumberFormat="1" applyFont="1" applyFill="1" applyBorder="1" applyAlignment="1" applyProtection="1">
      <alignment horizontal="center" vertical="center" wrapText="1" shrinkToFit="1"/>
      <protection locked="0"/>
    </xf>
    <xf numFmtId="182" fontId="69" fillId="0" borderId="2" xfId="0" applyNumberFormat="1" applyFont="1" applyFill="1" applyBorder="1" applyAlignment="1" applyProtection="1">
      <alignment horizontal="center" vertical="center" wrapText="1" shrinkToFit="1"/>
      <protection locked="0"/>
    </xf>
    <xf numFmtId="182" fontId="69" fillId="0" borderId="4" xfId="0" applyNumberFormat="1" applyFont="1" applyFill="1" applyBorder="1" applyAlignment="1" applyProtection="1">
      <alignment horizontal="center" vertical="center" wrapText="1" shrinkToFit="1"/>
      <protection locked="0"/>
    </xf>
    <xf numFmtId="182" fontId="69" fillId="0" borderId="1" xfId="0" applyNumberFormat="1" applyFont="1" applyFill="1" applyBorder="1" applyAlignment="1" applyProtection="1">
      <alignment horizontal="center" vertical="center" wrapText="1" shrinkToFit="1"/>
      <protection locked="0"/>
    </xf>
    <xf numFmtId="182" fontId="69" fillId="0" borderId="8" xfId="0" applyNumberFormat="1" applyFont="1" applyFill="1" applyBorder="1" applyAlignment="1" applyProtection="1">
      <alignment horizontal="center" vertical="center" wrapText="1" shrinkToFit="1"/>
      <protection locked="0"/>
    </xf>
    <xf numFmtId="0" fontId="69" fillId="0" borderId="1" xfId="0" applyFont="1" applyFill="1" applyBorder="1" applyAlignment="1" applyProtection="1">
      <alignment horizontal="center" vertical="center" wrapText="1"/>
      <protection locked="0"/>
    </xf>
    <xf numFmtId="0" fontId="69" fillId="0" borderId="6" xfId="0" applyFont="1" applyFill="1" applyBorder="1" applyAlignment="1" applyProtection="1">
      <alignment horizontal="center" vertical="center" wrapText="1"/>
      <protection locked="0"/>
    </xf>
    <xf numFmtId="180" fontId="69" fillId="0" borderId="2" xfId="0" applyNumberFormat="1" applyFont="1" applyFill="1" applyBorder="1" applyAlignment="1" applyProtection="1">
      <alignment horizontal="center" vertical="center" wrapText="1" shrinkToFit="1"/>
      <protection locked="0"/>
    </xf>
    <xf numFmtId="180" fontId="69" fillId="0" borderId="8" xfId="0" applyNumberFormat="1" applyFont="1" applyFill="1" applyBorder="1" applyAlignment="1" applyProtection="1">
      <alignment horizontal="center" vertical="center" wrapText="1" shrinkToFit="1"/>
      <protection locked="0"/>
    </xf>
    <xf numFmtId="0" fontId="90" fillId="0" borderId="41" xfId="0" applyFont="1" applyFill="1" applyBorder="1" applyAlignment="1" applyProtection="1">
      <alignment horizontal="center" vertical="center"/>
      <protection locked="0"/>
    </xf>
    <xf numFmtId="0" fontId="69" fillId="0" borderId="4" xfId="0" applyFont="1" applyFill="1" applyBorder="1" applyAlignment="1" applyProtection="1">
      <alignment horizontal="center" vertical="center" wrapText="1" shrinkToFit="1"/>
      <protection locked="0"/>
    </xf>
    <xf numFmtId="184" fontId="69" fillId="0" borderId="2" xfId="0" applyNumberFormat="1" applyFont="1" applyFill="1" applyBorder="1" applyAlignment="1" applyProtection="1">
      <alignment horizontal="center" vertical="center"/>
      <protection locked="0"/>
    </xf>
    <xf numFmtId="183" fontId="69" fillId="0" borderId="2" xfId="0" applyNumberFormat="1" applyFont="1" applyFill="1" applyBorder="1" applyAlignment="1" applyProtection="1">
      <alignment horizontal="center" vertical="center"/>
      <protection locked="0"/>
    </xf>
    <xf numFmtId="180" fontId="69" fillId="0" borderId="2" xfId="0" applyNumberFormat="1" applyFont="1" applyFill="1" applyBorder="1" applyAlignment="1" applyProtection="1">
      <alignment horizontal="center" vertical="center"/>
      <protection locked="0"/>
    </xf>
    <xf numFmtId="0" fontId="6" fillId="0" borderId="2" xfId="0" applyFont="1" applyFill="1" applyBorder="1" applyAlignment="1" applyProtection="1">
      <alignment horizontal="center" vertical="center"/>
      <protection locked="0"/>
    </xf>
    <xf numFmtId="184" fontId="69" fillId="0" borderId="8" xfId="0" applyNumberFormat="1" applyFont="1" applyFill="1" applyBorder="1" applyAlignment="1" applyProtection="1">
      <alignment horizontal="center" vertical="center"/>
      <protection locked="0"/>
    </xf>
    <xf numFmtId="184" fontId="69" fillId="0" borderId="6" xfId="0" applyNumberFormat="1" applyFont="1" applyFill="1" applyBorder="1" applyAlignment="1" applyProtection="1">
      <alignment horizontal="center" vertical="center"/>
      <protection locked="0"/>
    </xf>
    <xf numFmtId="181" fontId="69" fillId="0" borderId="1" xfId="0" applyNumberFormat="1" applyFont="1" applyFill="1" applyBorder="1" applyAlignment="1" applyProtection="1">
      <alignment horizontal="center" vertical="center" wrapText="1" shrinkToFit="1"/>
    </xf>
    <xf numFmtId="0" fontId="69" fillId="0" borderId="1" xfId="0" applyFont="1" applyFill="1" applyBorder="1" applyAlignment="1" applyProtection="1">
      <alignment horizontal="center" vertical="center" wrapText="1" shrinkToFit="1"/>
      <protection locked="0"/>
    </xf>
    <xf numFmtId="3" fontId="69" fillId="0" borderId="1" xfId="0" applyNumberFormat="1" applyFont="1" applyFill="1" applyBorder="1" applyAlignment="1" applyProtection="1">
      <alignment horizontal="center" vertical="center" wrapText="1" shrinkToFit="1"/>
      <protection locked="0"/>
    </xf>
    <xf numFmtId="183" fontId="69" fillId="0" borderId="1" xfId="0" applyNumberFormat="1" applyFont="1" applyFill="1" applyBorder="1" applyAlignment="1" applyProtection="1">
      <alignment horizontal="center" vertical="center" wrapText="1" shrinkToFit="1"/>
      <protection locked="0"/>
    </xf>
    <xf numFmtId="181" fontId="69" fillId="0" borderId="1" xfId="0" applyNumberFormat="1" applyFont="1" applyFill="1" applyBorder="1" applyAlignment="1" applyProtection="1">
      <alignment horizontal="center" vertical="center" wrapText="1" shrinkToFit="1"/>
      <protection locked="0"/>
    </xf>
    <xf numFmtId="0" fontId="69" fillId="0" borderId="1" xfId="0" applyNumberFormat="1" applyFont="1" applyFill="1" applyBorder="1" applyAlignment="1" applyProtection="1">
      <alignment horizontal="center" vertical="center" wrapText="1" shrinkToFit="1"/>
      <protection locked="0"/>
    </xf>
    <xf numFmtId="180" fontId="69" fillId="0" borderId="1" xfId="0" applyNumberFormat="1" applyFont="1" applyFill="1" applyBorder="1" applyAlignment="1" applyProtection="1">
      <alignment horizontal="center" vertical="center" wrapText="1" shrinkToFit="1"/>
      <protection locked="0"/>
    </xf>
    <xf numFmtId="0" fontId="90" fillId="0" borderId="1" xfId="0" applyFont="1" applyFill="1" applyBorder="1" applyAlignment="1" applyProtection="1">
      <alignment horizontal="center" vertical="center"/>
      <protection locked="0"/>
    </xf>
    <xf numFmtId="0" fontId="69" fillId="0" borderId="3" xfId="0" applyFont="1" applyFill="1" applyBorder="1" applyAlignment="1" applyProtection="1">
      <alignment horizontal="center" vertical="center"/>
      <protection locked="0"/>
    </xf>
    <xf numFmtId="184" fontId="69" fillId="0" borderId="1" xfId="0" applyNumberFormat="1" applyFont="1" applyFill="1" applyBorder="1" applyAlignment="1" applyProtection="1">
      <alignment horizontal="center" vertical="center"/>
      <protection locked="0"/>
    </xf>
    <xf numFmtId="183" fontId="69" fillId="0" borderId="1" xfId="0" applyNumberFormat="1" applyFont="1" applyFill="1" applyBorder="1" applyAlignment="1" applyProtection="1">
      <alignment horizontal="center" vertical="center"/>
      <protection locked="0"/>
    </xf>
    <xf numFmtId="180" fontId="69" fillId="0" borderId="39" xfId="0" applyNumberFormat="1" applyFont="1" applyFill="1" applyBorder="1" applyAlignment="1" applyProtection="1">
      <alignment horizontal="center" vertical="center"/>
      <protection locked="0"/>
    </xf>
    <xf numFmtId="181" fontId="69" fillId="0" borderId="35" xfId="0" applyNumberFormat="1" applyFont="1" applyFill="1" applyBorder="1" applyAlignment="1" applyProtection="1">
      <alignment horizontal="center" vertical="center" wrapText="1" shrinkToFit="1"/>
    </xf>
    <xf numFmtId="0" fontId="69" fillId="0" borderId="35" xfId="0" applyFont="1" applyFill="1" applyBorder="1" applyAlignment="1" applyProtection="1">
      <alignment horizontal="center" vertical="center" wrapText="1" shrinkToFit="1"/>
      <protection locked="0"/>
    </xf>
    <xf numFmtId="0" fontId="69" fillId="0" borderId="35" xfId="0" applyNumberFormat="1" applyFont="1" applyFill="1" applyBorder="1" applyAlignment="1" applyProtection="1">
      <alignment horizontal="center" vertical="center"/>
      <protection locked="0"/>
    </xf>
    <xf numFmtId="0" fontId="69" fillId="0" borderId="35" xfId="0" applyNumberFormat="1" applyFont="1" applyFill="1" applyBorder="1" applyAlignment="1" applyProtection="1">
      <alignment horizontal="center" vertical="center" wrapText="1" shrinkToFit="1"/>
      <protection locked="0"/>
    </xf>
    <xf numFmtId="3" fontId="69" fillId="0" borderId="35" xfId="0" applyNumberFormat="1" applyFont="1" applyFill="1" applyBorder="1" applyAlignment="1" applyProtection="1">
      <alignment horizontal="center" vertical="center" wrapText="1" shrinkToFit="1"/>
      <protection locked="0"/>
    </xf>
    <xf numFmtId="181" fontId="69" fillId="0" borderId="35" xfId="0" applyNumberFormat="1" applyFont="1" applyFill="1" applyBorder="1" applyAlignment="1" applyProtection="1">
      <alignment horizontal="center" vertical="center" wrapText="1" shrinkToFit="1"/>
      <protection locked="0"/>
    </xf>
    <xf numFmtId="182" fontId="69" fillId="0" borderId="35" xfId="0" applyNumberFormat="1" applyFont="1" applyFill="1" applyBorder="1" applyAlignment="1" applyProtection="1">
      <alignment horizontal="center" vertical="center" wrapText="1" shrinkToFit="1"/>
      <protection locked="0"/>
    </xf>
    <xf numFmtId="180" fontId="69" fillId="0" borderId="35" xfId="0" applyNumberFormat="1" applyFont="1" applyFill="1" applyBorder="1" applyAlignment="1" applyProtection="1">
      <alignment horizontal="center" vertical="center" wrapText="1" shrinkToFit="1"/>
      <protection locked="0"/>
    </xf>
    <xf numFmtId="180" fontId="69" fillId="0" borderId="37" xfId="0" applyNumberFormat="1" applyFont="1" applyFill="1" applyBorder="1" applyAlignment="1" applyProtection="1">
      <alignment horizontal="center" vertical="center" wrapText="1" shrinkToFit="1"/>
      <protection locked="0"/>
    </xf>
    <xf numFmtId="184" fontId="69" fillId="0" borderId="35" xfId="0" applyNumberFormat="1" applyFont="1" applyFill="1" applyBorder="1" applyAlignment="1" applyProtection="1">
      <alignment horizontal="center" vertical="center"/>
      <protection locked="0"/>
    </xf>
    <xf numFmtId="180" fontId="69" fillId="0" borderId="35" xfId="0" applyNumberFormat="1" applyFont="1" applyFill="1" applyBorder="1" applyAlignment="1" applyProtection="1">
      <alignment horizontal="center" vertical="center"/>
      <protection locked="0"/>
    </xf>
    <xf numFmtId="0" fontId="6" fillId="0" borderId="3" xfId="0" applyFont="1" applyFill="1" applyBorder="1" applyAlignment="1" applyProtection="1">
      <alignment horizontal="center" vertical="center"/>
      <protection locked="0"/>
    </xf>
    <xf numFmtId="0" fontId="90" fillId="0" borderId="44" xfId="0" applyFont="1" applyBorder="1" applyAlignment="1" applyProtection="1">
      <alignment horizontal="center" vertical="center"/>
      <protection locked="0"/>
    </xf>
    <xf numFmtId="0" fontId="69" fillId="3" borderId="4" xfId="0" applyFont="1" applyFill="1" applyBorder="1" applyAlignment="1" applyProtection="1">
      <alignment horizontal="center" vertical="center" wrapText="1" shrinkToFit="1"/>
      <protection locked="0"/>
    </xf>
    <xf numFmtId="181" fontId="69" fillId="3" borderId="4" xfId="0" applyNumberFormat="1" applyFont="1" applyFill="1" applyBorder="1" applyAlignment="1" applyProtection="1">
      <alignment horizontal="center" vertical="center" wrapText="1" shrinkToFit="1"/>
      <protection locked="0"/>
    </xf>
    <xf numFmtId="0" fontId="69" fillId="3" borderId="4" xfId="0" applyFont="1" applyFill="1" applyBorder="1" applyAlignment="1" applyProtection="1">
      <alignment horizontal="center" vertical="center" wrapText="1"/>
      <protection locked="0"/>
    </xf>
    <xf numFmtId="0" fontId="69" fillId="0" borderId="40" xfId="0" applyFont="1" applyFill="1" applyBorder="1" applyAlignment="1" applyProtection="1">
      <alignment horizontal="center" vertical="center"/>
      <protection locked="0"/>
    </xf>
    <xf numFmtId="0" fontId="69" fillId="0" borderId="41" xfId="0" applyNumberFormat="1" applyFont="1" applyFill="1" applyBorder="1" applyAlignment="1" applyProtection="1">
      <alignment horizontal="center" vertical="center" wrapText="1" shrinkToFit="1"/>
      <protection locked="0"/>
    </xf>
    <xf numFmtId="0" fontId="69" fillId="0" borderId="27" xfId="0" applyNumberFormat="1" applyFont="1" applyFill="1" applyBorder="1" applyAlignment="1" applyProtection="1">
      <alignment horizontal="center" vertical="center" wrapText="1" shrinkToFit="1"/>
      <protection locked="0"/>
    </xf>
    <xf numFmtId="182" fontId="15" fillId="0" borderId="4" xfId="0" applyNumberFormat="1" applyFont="1" applyFill="1" applyBorder="1" applyAlignment="1" applyProtection="1">
      <alignment horizontal="center" vertical="center" wrapText="1" shrinkToFit="1"/>
      <protection locked="0"/>
    </xf>
    <xf numFmtId="0" fontId="69" fillId="0" borderId="8" xfId="0" applyFont="1" applyFill="1" applyBorder="1" applyAlignment="1" applyProtection="1">
      <alignment horizontal="center" vertical="center" wrapText="1" shrinkToFit="1"/>
      <protection locked="0"/>
    </xf>
    <xf numFmtId="181" fontId="69" fillId="0" borderId="6" xfId="0" applyNumberFormat="1" applyFont="1" applyFill="1" applyBorder="1" applyAlignment="1" applyProtection="1">
      <alignment horizontal="center" vertical="center" wrapText="1" shrinkToFit="1"/>
      <protection locked="0"/>
    </xf>
    <xf numFmtId="0" fontId="69" fillId="0" borderId="0" xfId="0" applyFont="1" applyFill="1" applyAlignment="1" applyProtection="1">
      <alignment horizontal="center" vertical="center" wrapText="1"/>
      <protection locked="0"/>
    </xf>
    <xf numFmtId="0" fontId="69" fillId="0" borderId="8" xfId="0" applyFont="1" applyFill="1" applyBorder="1" applyAlignment="1" applyProtection="1">
      <alignment horizontal="center" vertical="center"/>
      <protection locked="0"/>
    </xf>
    <xf numFmtId="0" fontId="69" fillId="0" borderId="6" xfId="0" applyFont="1" applyFill="1" applyBorder="1" applyAlignment="1" applyProtection="1">
      <alignment horizontal="center" vertical="center"/>
      <protection locked="0"/>
    </xf>
    <xf numFmtId="0" fontId="69" fillId="0" borderId="2" xfId="0" applyNumberFormat="1" applyFont="1" applyFill="1" applyBorder="1" applyAlignment="1" applyProtection="1">
      <alignment horizontal="center" vertical="center"/>
      <protection locked="0"/>
    </xf>
    <xf numFmtId="182" fontId="15" fillId="0" borderId="4" xfId="0" applyNumberFormat="1" applyFont="1" applyFill="1" applyBorder="1" applyAlignment="1" applyProtection="1">
      <alignment horizontal="center" vertical="center" wrapText="1" shrinkToFit="1"/>
      <protection locked="0"/>
    </xf>
    <xf numFmtId="0" fontId="75" fillId="0" borderId="4" xfId="0" applyFont="1" applyFill="1" applyBorder="1" applyAlignment="1" applyProtection="1">
      <alignment horizontal="center" vertical="center" wrapText="1" shrinkToFit="1"/>
      <protection locked="0"/>
    </xf>
    <xf numFmtId="0" fontId="69" fillId="0" borderId="4" xfId="0" applyFont="1" applyFill="1" applyBorder="1" applyAlignment="1" applyProtection="1">
      <alignment horizontal="center" vertical="center"/>
      <protection locked="0"/>
    </xf>
    <xf numFmtId="180" fontId="69" fillId="0" borderId="4" xfId="0" applyNumberFormat="1" applyFont="1" applyFill="1" applyBorder="1" applyAlignment="1" applyProtection="1">
      <alignment horizontal="center" vertical="center"/>
      <protection locked="0"/>
    </xf>
    <xf numFmtId="0" fontId="75" fillId="0" borderId="2" xfId="0" applyFont="1" applyFill="1" applyBorder="1" applyAlignment="1" applyProtection="1">
      <alignment horizontal="center" vertical="center"/>
      <protection locked="0"/>
    </xf>
    <xf numFmtId="182" fontId="6" fillId="0" borderId="2" xfId="0" applyNumberFormat="1" applyFont="1" applyFill="1" applyBorder="1" applyAlignment="1" applyProtection="1">
      <alignment horizontal="center" vertical="center" wrapText="1" shrinkToFit="1"/>
      <protection locked="0"/>
    </xf>
    <xf numFmtId="0" fontId="72" fillId="0" borderId="2" xfId="0" applyFont="1" applyFill="1" applyBorder="1" applyAlignment="1" applyProtection="1">
      <alignment horizontal="center" vertical="center" wrapText="1"/>
      <protection locked="0"/>
    </xf>
    <xf numFmtId="0" fontId="72" fillId="0" borderId="2" xfId="0" applyFont="1" applyFill="1" applyBorder="1" applyAlignment="1" applyProtection="1">
      <alignment horizontal="center" vertical="center"/>
      <protection locked="0"/>
    </xf>
    <xf numFmtId="180" fontId="72" fillId="0" borderId="2" xfId="0" applyNumberFormat="1" applyFont="1" applyFill="1" applyBorder="1" applyAlignment="1" applyProtection="1">
      <alignment horizontal="center" vertical="center"/>
      <protection locked="0"/>
    </xf>
    <xf numFmtId="183" fontId="72" fillId="0" borderId="2" xfId="0" applyNumberFormat="1" applyFont="1" applyFill="1" applyBorder="1" applyAlignment="1" applyProtection="1">
      <alignment horizontal="center" vertical="center"/>
      <protection locked="0"/>
    </xf>
    <xf numFmtId="178" fontId="72" fillId="0" borderId="1" xfId="0" applyNumberFormat="1" applyFont="1" applyFill="1" applyBorder="1" applyAlignment="1" applyProtection="1">
      <alignment horizontal="center" vertical="center" wrapText="1" shrinkToFit="1"/>
    </xf>
    <xf numFmtId="182" fontId="75" fillId="0" borderId="1" xfId="0" applyNumberFormat="1" applyFont="1" applyFill="1" applyBorder="1" applyAlignment="1" applyProtection="1">
      <alignment horizontal="center" vertical="center" wrapText="1" shrinkToFit="1"/>
      <protection locked="0"/>
    </xf>
    <xf numFmtId="185" fontId="72" fillId="0" borderId="1" xfId="0" applyNumberFormat="1"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horizontal="center" vertical="center" wrapText="1" shrinkToFit="1"/>
      <protection locked="0"/>
    </xf>
    <xf numFmtId="0" fontId="75" fillId="0" borderId="1" xfId="0" applyFont="1" applyFill="1" applyBorder="1" applyAlignment="1" applyProtection="1">
      <alignment horizontal="center" vertical="center" wrapText="1"/>
      <protection locked="0"/>
    </xf>
    <xf numFmtId="0" fontId="76" fillId="0" borderId="1" xfId="0" applyNumberFormat="1" applyFont="1" applyFill="1" applyBorder="1" applyAlignment="1" applyProtection="1">
      <alignment horizontal="center" vertical="center"/>
      <protection locked="0"/>
    </xf>
    <xf numFmtId="0" fontId="76" fillId="0" borderId="1" xfId="0" applyFont="1" applyFill="1" applyBorder="1" applyAlignment="1" applyProtection="1">
      <alignment horizontal="center" vertical="center"/>
      <protection locked="0"/>
    </xf>
    <xf numFmtId="184" fontId="72" fillId="0" borderId="41" xfId="0" applyNumberFormat="1" applyFont="1" applyFill="1" applyBorder="1" applyAlignment="1" applyProtection="1">
      <alignment horizontal="center" vertical="center"/>
      <protection locked="0"/>
    </xf>
    <xf numFmtId="0" fontId="80" fillId="0" borderId="0" xfId="0" applyFont="1" applyAlignment="1" applyProtection="1">
      <alignment horizontal="center" vertical="center"/>
      <protection locked="0"/>
    </xf>
    <xf numFmtId="0" fontId="15" fillId="0" borderId="3" xfId="0" applyFont="1" applyFill="1" applyBorder="1" applyAlignment="1" applyProtection="1">
      <alignment horizontal="center" vertical="center" wrapText="1" shrinkToFit="1"/>
      <protection locked="0"/>
    </xf>
    <xf numFmtId="180" fontId="71" fillId="0" borderId="2" xfId="0" applyNumberFormat="1" applyFont="1" applyFill="1" applyBorder="1" applyAlignment="1" applyProtection="1">
      <alignment horizontal="center" vertical="center"/>
      <protection locked="0"/>
    </xf>
    <xf numFmtId="183" fontId="71" fillId="0" borderId="2" xfId="0" applyNumberFormat="1" applyFont="1" applyFill="1" applyBorder="1" applyAlignment="1" applyProtection="1">
      <alignment horizontal="center" vertical="center"/>
      <protection locked="0"/>
    </xf>
    <xf numFmtId="178" fontId="75" fillId="0" borderId="0" xfId="0" applyNumberFormat="1" applyFont="1" applyFill="1" applyAlignment="1" applyProtection="1">
      <alignment horizontal="center" vertical="center"/>
    </xf>
    <xf numFmtId="0" fontId="75" fillId="0" borderId="0" xfId="0" applyFont="1" applyFill="1" applyAlignment="1" applyProtection="1">
      <alignment horizontal="center" vertical="center" wrapText="1"/>
      <protection locked="0"/>
    </xf>
    <xf numFmtId="179" fontId="75" fillId="0" borderId="0" xfId="0" applyNumberFormat="1" applyFont="1" applyFill="1" applyAlignment="1" applyProtection="1">
      <alignment horizontal="center" vertical="center" wrapText="1"/>
      <protection locked="0"/>
    </xf>
    <xf numFmtId="180" fontId="75" fillId="0" borderId="0" xfId="0" applyNumberFormat="1" applyFont="1" applyFill="1" applyAlignment="1" applyProtection="1">
      <alignment horizontal="center" vertical="center" wrapText="1"/>
      <protection locked="0"/>
    </xf>
    <xf numFmtId="0" fontId="90" fillId="0" borderId="0" xfId="0" applyFont="1" applyAlignment="1" applyProtection="1">
      <alignment horizontal="center" vertical="center"/>
      <protection locked="0"/>
    </xf>
    <xf numFmtId="0" fontId="75" fillId="0" borderId="0" xfId="0" applyNumberFormat="1" applyFont="1" applyFill="1" applyAlignment="1" applyProtection="1">
      <alignment horizontal="center" vertical="center"/>
      <protection locked="0"/>
    </xf>
    <xf numFmtId="184" fontId="75" fillId="0" borderId="0" xfId="0" applyNumberFormat="1" applyFont="1" applyFill="1" applyAlignment="1" applyProtection="1">
      <alignment horizontal="center" vertical="center"/>
      <protection locked="0"/>
    </xf>
    <xf numFmtId="180" fontId="75" fillId="0" borderId="0" xfId="0" applyNumberFormat="1" applyFont="1" applyFill="1" applyAlignment="1" applyProtection="1">
      <alignment horizontal="center" vertical="center"/>
      <protection locked="0"/>
    </xf>
    <xf numFmtId="3" fontId="71" fillId="0" borderId="0" xfId="0" applyNumberFormat="1" applyFont="1" applyFill="1" applyAlignment="1" applyProtection="1">
      <alignment horizontal="center" vertical="center"/>
      <protection locked="0"/>
    </xf>
    <xf numFmtId="0" fontId="80" fillId="0" borderId="0" xfId="0" applyFont="1" applyAlignment="1" applyProtection="1">
      <alignment horizontal="center" vertical="center" wrapText="1"/>
      <protection locked="0"/>
    </xf>
    <xf numFmtId="0" fontId="71" fillId="0" borderId="2" xfId="0" applyFont="1" applyFill="1" applyBorder="1" applyProtection="1">
      <alignment vertical="center"/>
      <protection locked="0"/>
    </xf>
    <xf numFmtId="0" fontId="15" fillId="0" borderId="0" xfId="0" applyFont="1" applyFill="1" applyProtection="1">
      <alignment vertical="center"/>
      <protection locked="0"/>
    </xf>
    <xf numFmtId="0" fontId="72" fillId="0" borderId="0" xfId="0" applyFont="1" applyFill="1" applyProtection="1">
      <alignment vertical="center"/>
      <protection locked="0"/>
    </xf>
    <xf numFmtId="0" fontId="73" fillId="0" borderId="0" xfId="0" applyFont="1" applyFill="1" applyProtection="1">
      <alignment vertical="center"/>
      <protection locked="0"/>
    </xf>
    <xf numFmtId="0" fontId="74" fillId="0" borderId="0" xfId="0" applyFont="1" applyFill="1" applyProtection="1">
      <alignment vertical="center"/>
      <protection locked="0"/>
    </xf>
    <xf numFmtId="0" fontId="69" fillId="0" borderId="0" xfId="0" applyFont="1" applyFill="1" applyProtection="1">
      <alignment vertical="center"/>
      <protection locked="0"/>
    </xf>
    <xf numFmtId="0" fontId="69" fillId="3" borderId="0" xfId="0" applyFont="1" applyFill="1" applyProtection="1">
      <alignment vertical="center"/>
      <protection locked="0"/>
    </xf>
    <xf numFmtId="0" fontId="69" fillId="3" borderId="1" xfId="0" applyFont="1" applyFill="1" applyBorder="1" applyProtection="1">
      <alignment vertical="center"/>
      <protection locked="0"/>
    </xf>
    <xf numFmtId="0" fontId="71" fillId="3" borderId="0" xfId="0" applyFont="1" applyFill="1" applyProtection="1">
      <alignment vertical="center"/>
      <protection locked="0"/>
    </xf>
    <xf numFmtId="0" fontId="69" fillId="0" borderId="0" xfId="0" applyFont="1" applyFill="1" applyProtection="1">
      <alignment vertical="center"/>
      <protection locked="0"/>
    </xf>
    <xf numFmtId="0" fontId="71" fillId="0" borderId="0" xfId="0" applyFont="1" applyFill="1" applyProtection="1">
      <alignment vertical="center"/>
      <protection locked="0"/>
    </xf>
    <xf numFmtId="0" fontId="71" fillId="0" borderId="0" xfId="0" applyFont="1" applyFill="1">
      <alignment vertical="center"/>
    </xf>
    <xf numFmtId="178" fontId="71" fillId="0" borderId="0" xfId="0" applyNumberFormat="1" applyFont="1" applyFill="1" applyProtection="1">
      <alignment vertical="center"/>
    </xf>
    <xf numFmtId="0" fontId="71" fillId="0" borderId="0" xfId="0" applyFont="1" applyFill="1" applyAlignment="1" applyProtection="1">
      <alignment vertical="center" wrapText="1"/>
      <protection locked="0"/>
    </xf>
    <xf numFmtId="0" fontId="75" fillId="0" borderId="0" xfId="0" applyFont="1" applyFill="1" applyProtection="1">
      <alignment vertical="center"/>
      <protection locked="0"/>
    </xf>
    <xf numFmtId="179" fontId="71" fillId="0" borderId="0" xfId="0" applyNumberFormat="1" applyFont="1" applyFill="1" applyAlignment="1" applyProtection="1">
      <alignment vertical="center" wrapText="1"/>
      <protection locked="0"/>
    </xf>
    <xf numFmtId="180" fontId="71" fillId="0" borderId="0" xfId="0" applyNumberFormat="1" applyFont="1" applyFill="1" applyAlignment="1" applyProtection="1">
      <alignment vertical="center" wrapText="1"/>
      <protection locked="0"/>
    </xf>
    <xf numFmtId="0" fontId="76" fillId="0" borderId="0" xfId="0" applyNumberFormat="1" applyFont="1" applyFill="1" applyProtection="1">
      <alignment vertical="center"/>
      <protection locked="0"/>
    </xf>
    <xf numFmtId="0" fontId="76" fillId="0" borderId="0" xfId="0" applyFont="1" applyFill="1" applyProtection="1">
      <alignment vertical="center"/>
      <protection locked="0"/>
    </xf>
    <xf numFmtId="178" fontId="91" fillId="0" borderId="4" xfId="0" applyNumberFormat="1" applyFont="1" applyFill="1" applyBorder="1" applyAlignment="1" applyProtection="1">
      <alignment horizontal="center" vertical="center" wrapText="1" shrinkToFit="1"/>
    </xf>
    <xf numFmtId="0" fontId="91" fillId="0" borderId="4" xfId="0" applyFont="1" applyFill="1" applyBorder="1" applyAlignment="1" applyProtection="1">
      <alignment horizontal="center" vertical="center" wrapText="1" shrinkToFit="1"/>
      <protection locked="0"/>
    </xf>
    <xf numFmtId="49" fontId="91" fillId="0" borderId="4" xfId="0" applyNumberFormat="1" applyFont="1" applyFill="1" applyBorder="1" applyAlignment="1" applyProtection="1">
      <alignment horizontal="center" vertical="center" wrapText="1" shrinkToFit="1"/>
      <protection locked="0"/>
    </xf>
    <xf numFmtId="181" fontId="91" fillId="0" borderId="4" xfId="0" applyNumberFormat="1" applyFont="1" applyFill="1" applyBorder="1" applyAlignment="1" applyProtection="1">
      <alignment horizontal="center" vertical="center" wrapText="1" shrinkToFit="1"/>
      <protection locked="0"/>
    </xf>
    <xf numFmtId="0" fontId="91" fillId="0" borderId="4" xfId="0" applyNumberFormat="1" applyFont="1" applyFill="1" applyBorder="1" applyAlignment="1" applyProtection="1">
      <alignment horizontal="center" vertical="center" wrapText="1" shrinkToFit="1"/>
      <protection locked="0"/>
    </xf>
    <xf numFmtId="182" fontId="91" fillId="0" borderId="4" xfId="0" applyNumberFormat="1" applyFont="1" applyFill="1" applyBorder="1" applyAlignment="1" applyProtection="1">
      <alignment horizontal="center" vertical="center" wrapText="1" shrinkToFit="1"/>
      <protection locked="0"/>
    </xf>
    <xf numFmtId="182" fontId="68" fillId="0" borderId="4" xfId="0" applyNumberFormat="1" applyFont="1" applyFill="1" applyBorder="1" applyAlignment="1" applyProtection="1">
      <alignment horizontal="center" vertical="center" wrapText="1" shrinkToFit="1"/>
      <protection locked="0"/>
    </xf>
    <xf numFmtId="0" fontId="68" fillId="0" borderId="4" xfId="0" applyFont="1" applyFill="1" applyBorder="1" applyAlignment="1" applyProtection="1">
      <alignment horizontal="center" vertical="center"/>
      <protection locked="0"/>
    </xf>
    <xf numFmtId="179" fontId="91" fillId="0" borderId="4" xfId="0" applyNumberFormat="1" applyFont="1" applyFill="1" applyBorder="1" applyAlignment="1" applyProtection="1">
      <alignment horizontal="center" vertical="center" wrapText="1" shrinkToFit="1"/>
      <protection locked="0"/>
    </xf>
    <xf numFmtId="180" fontId="91" fillId="0" borderId="4" xfId="0" applyNumberFormat="1" applyFont="1" applyFill="1" applyBorder="1" applyAlignment="1" applyProtection="1">
      <alignment horizontal="center" vertical="center" wrapText="1" shrinkToFit="1"/>
      <protection locked="0"/>
    </xf>
    <xf numFmtId="0" fontId="69" fillId="0" borderId="0" xfId="0" applyFont="1" applyFill="1" applyAlignment="1" applyProtection="1">
      <alignment vertical="center" wrapText="1"/>
      <protection locked="0"/>
    </xf>
    <xf numFmtId="0" fontId="92" fillId="0" borderId="4" xfId="0" applyFont="1" applyFill="1" applyBorder="1" applyAlignment="1" applyProtection="1">
      <alignment horizontal="center" vertical="center" wrapText="1" shrinkToFit="1"/>
      <protection locked="0"/>
    </xf>
    <xf numFmtId="0" fontId="93" fillId="0" borderId="4" xfId="0" applyNumberFormat="1" applyFont="1" applyFill="1" applyBorder="1" applyAlignment="1" applyProtection="1">
      <alignment horizontal="center" vertical="center" wrapText="1" shrinkToFit="1"/>
      <protection locked="0"/>
    </xf>
    <xf numFmtId="0" fontId="93" fillId="0" borderId="4" xfId="0" applyFont="1" applyFill="1" applyBorder="1" applyAlignment="1" applyProtection="1">
      <alignment horizontal="center" vertical="center" wrapText="1" shrinkToFit="1"/>
      <protection locked="0"/>
    </xf>
    <xf numFmtId="0" fontId="46" fillId="0" borderId="4" xfId="0" applyFont="1" applyFill="1" applyBorder="1" applyAlignment="1" applyProtection="1">
      <alignment horizontal="center" vertical="center" wrapText="1"/>
      <protection locked="0"/>
    </xf>
    <xf numFmtId="0" fontId="94" fillId="0" borderId="4" xfId="0" applyFont="1" applyFill="1" applyBorder="1" applyAlignment="1" applyProtection="1">
      <alignment horizontal="center" vertical="center" wrapText="1"/>
      <protection locked="0"/>
    </xf>
    <xf numFmtId="0" fontId="95" fillId="0" borderId="4" xfId="0" applyFont="1" applyFill="1" applyBorder="1" applyAlignment="1" applyProtection="1">
      <alignment horizontal="center" vertical="center" wrapText="1"/>
      <protection locked="0"/>
    </xf>
    <xf numFmtId="0" fontId="91" fillId="0" borderId="4" xfId="0" applyFont="1" applyFill="1" applyBorder="1" applyAlignment="1" applyProtection="1">
      <alignment horizontal="center" vertical="center" wrapText="1"/>
      <protection locked="0"/>
    </xf>
    <xf numFmtId="0" fontId="46" fillId="0" borderId="31" xfId="0" applyFont="1" applyFill="1" applyBorder="1" applyAlignment="1" applyProtection="1">
      <alignment horizontal="center" vertical="center" wrapText="1"/>
      <protection locked="0"/>
    </xf>
    <xf numFmtId="0" fontId="92" fillId="0" borderId="4" xfId="0" applyFont="1" applyFill="1" applyBorder="1" applyAlignment="1" applyProtection="1">
      <alignment horizontal="center" vertical="center" wrapText="1"/>
      <protection locked="0"/>
    </xf>
    <xf numFmtId="178" fontId="74" fillId="0" borderId="2" xfId="0" applyNumberFormat="1" applyFont="1" applyFill="1" applyBorder="1" applyAlignment="1" applyProtection="1">
      <alignment horizontal="center" vertical="center" wrapText="1" shrinkToFit="1"/>
    </xf>
    <xf numFmtId="0" fontId="74" fillId="0" borderId="2" xfId="0" applyFont="1" applyFill="1" applyBorder="1" applyProtection="1">
      <alignment vertical="center"/>
      <protection locked="0"/>
    </xf>
    <xf numFmtId="185" fontId="74" fillId="0" borderId="2" xfId="0" applyNumberFormat="1" applyFont="1" applyFill="1" applyBorder="1" applyAlignment="1" applyProtection="1">
      <alignment horizontal="center" vertical="center" wrapText="1" shrinkToFit="1"/>
      <protection locked="0"/>
    </xf>
    <xf numFmtId="0" fontId="82" fillId="20" borderId="1" xfId="0" applyFont="1" applyFill="1" applyBorder="1" applyAlignment="1" applyProtection="1">
      <alignment horizontal="center" vertical="center" wrapText="1" shrinkToFit="1"/>
      <protection locked="0"/>
    </xf>
    <xf numFmtId="0" fontId="76" fillId="0" borderId="2" xfId="0" applyNumberFormat="1" applyFont="1" applyFill="1" applyBorder="1" applyAlignment="1" applyProtection="1">
      <alignment horizontal="center" vertical="center" wrapText="1" shrinkToFit="1"/>
      <protection locked="0"/>
    </xf>
    <xf numFmtId="0" fontId="74" fillId="3" borderId="2" xfId="0" applyFont="1" applyFill="1" applyBorder="1" applyAlignment="1" applyProtection="1">
      <alignment horizontal="center" vertical="center" wrapText="1" shrinkToFit="1"/>
      <protection locked="0"/>
    </xf>
    <xf numFmtId="0" fontId="71" fillId="0" borderId="2" xfId="0" applyFont="1" applyFill="1" applyBorder="1" applyAlignment="1" applyProtection="1">
      <alignment horizontal="center" vertical="center" wrapText="1" shrinkToFit="1"/>
      <protection locked="0"/>
    </xf>
    <xf numFmtId="49" fontId="15" fillId="3" borderId="2" xfId="0" applyNumberFormat="1" applyFont="1" applyFill="1" applyBorder="1" applyAlignment="1" applyProtection="1">
      <alignment horizontal="center" vertical="center" wrapText="1" shrinkToFit="1"/>
      <protection locked="0"/>
    </xf>
    <xf numFmtId="0" fontId="6" fillId="2" borderId="2" xfId="0" applyFont="1" applyFill="1" applyBorder="1" applyAlignment="1" applyProtection="1">
      <alignment horizontal="center" vertical="center" wrapText="1" shrinkToFit="1"/>
      <protection locked="0"/>
    </xf>
    <xf numFmtId="0" fontId="82" fillId="21" borderId="1" xfId="0" applyFont="1" applyFill="1" applyBorder="1" applyAlignment="1" applyProtection="1">
      <alignment horizontal="center" vertical="center" wrapText="1" shrinkToFit="1"/>
      <protection locked="0"/>
    </xf>
    <xf numFmtId="49" fontId="74" fillId="0" borderId="2" xfId="0" applyNumberFormat="1" applyFont="1" applyFill="1" applyBorder="1" applyAlignment="1" applyProtection="1">
      <alignment horizontal="center" vertical="center" wrapText="1" shrinkToFit="1"/>
      <protection locked="0"/>
    </xf>
    <xf numFmtId="49" fontId="75" fillId="0" borderId="2" xfId="0" applyNumberFormat="1" applyFont="1" applyFill="1" applyBorder="1" applyAlignment="1" applyProtection="1">
      <alignment horizontal="center" vertical="center" wrapText="1" shrinkToFit="1"/>
      <protection locked="0"/>
    </xf>
    <xf numFmtId="0" fontId="75" fillId="2" borderId="2" xfId="0" applyFont="1" applyFill="1" applyBorder="1" applyAlignment="1" applyProtection="1">
      <alignment horizontal="center" vertical="center"/>
      <protection locked="0"/>
    </xf>
    <xf numFmtId="58" fontId="74" fillId="0" borderId="2" xfId="0" applyNumberFormat="1" applyFont="1" applyFill="1" applyBorder="1" applyAlignment="1" applyProtection="1">
      <alignment horizontal="center" vertical="center" wrapText="1" shrinkToFit="1"/>
      <protection locked="0"/>
    </xf>
    <xf numFmtId="185" fontId="83" fillId="0" borderId="2" xfId="0" applyNumberFormat="1" applyFont="1" applyFill="1" applyBorder="1" applyAlignment="1" applyProtection="1">
      <alignment horizontal="center" vertical="center" wrapText="1" shrinkToFit="1"/>
      <protection locked="0"/>
    </xf>
    <xf numFmtId="0" fontId="83" fillId="3" borderId="2" xfId="0" applyFont="1" applyFill="1" applyBorder="1" applyAlignment="1" applyProtection="1">
      <alignment horizontal="center" vertical="center"/>
      <protection locked="0"/>
    </xf>
    <xf numFmtId="181" fontId="83" fillId="3" borderId="2" xfId="0" applyNumberFormat="1" applyFont="1" applyFill="1" applyBorder="1" applyAlignment="1" applyProtection="1">
      <alignment horizontal="center" vertical="center" wrapText="1" shrinkToFit="1"/>
      <protection locked="0"/>
    </xf>
    <xf numFmtId="0" fontId="83" fillId="3" borderId="2" xfId="0" applyFont="1" applyFill="1" applyBorder="1" applyAlignment="1" applyProtection="1">
      <alignment horizontal="center" vertical="center" wrapText="1"/>
      <protection locked="0"/>
    </xf>
    <xf numFmtId="185" fontId="83" fillId="3" borderId="2" xfId="0" applyNumberFormat="1" applyFont="1" applyFill="1" applyBorder="1" applyAlignment="1" applyProtection="1">
      <alignment horizontal="center" vertical="center" wrapText="1" shrinkToFit="1"/>
      <protection locked="0"/>
    </xf>
    <xf numFmtId="180" fontId="83" fillId="3" borderId="2" xfId="0" applyNumberFormat="1" applyFont="1" applyFill="1" applyBorder="1" applyAlignment="1" applyProtection="1">
      <alignment horizontal="center" vertical="center" wrapText="1" shrinkToFit="1"/>
      <protection locked="0"/>
    </xf>
    <xf numFmtId="0" fontId="83" fillId="3" borderId="2" xfId="0" applyFont="1" applyFill="1" applyBorder="1" applyAlignment="1" applyProtection="1">
      <alignment horizontal="center" vertical="center" wrapText="1" shrinkToFit="1"/>
      <protection locked="0"/>
    </xf>
    <xf numFmtId="0" fontId="72" fillId="0" borderId="2" xfId="0" applyFont="1" applyFill="1" applyBorder="1" applyProtection="1">
      <alignment vertical="center"/>
      <protection locked="0"/>
    </xf>
    <xf numFmtId="0" fontId="76" fillId="0" borderId="2" xfId="0" applyFont="1" applyFill="1" applyBorder="1" applyProtection="1">
      <alignment vertical="center"/>
      <protection locked="0"/>
    </xf>
    <xf numFmtId="182" fontId="83" fillId="3" borderId="2" xfId="0" applyNumberFormat="1" applyFont="1" applyFill="1" applyBorder="1" applyAlignment="1" applyProtection="1">
      <alignment horizontal="center" vertical="center" wrapText="1" shrinkToFit="1"/>
      <protection locked="0"/>
    </xf>
    <xf numFmtId="0" fontId="83" fillId="0" borderId="2" xfId="0" applyFont="1" applyFill="1" applyBorder="1" applyProtection="1">
      <alignment vertical="center"/>
      <protection locked="0"/>
    </xf>
    <xf numFmtId="181" fontId="96" fillId="0" borderId="1" xfId="0" applyNumberFormat="1" applyFont="1" applyBorder="1" applyAlignment="1" applyProtection="1">
      <alignment horizontal="center" vertical="center" wrapText="1" shrinkToFit="1"/>
      <protection locked="0"/>
    </xf>
    <xf numFmtId="0" fontId="97" fillId="0" borderId="1" xfId="0" applyFont="1" applyBorder="1" applyAlignment="1" applyProtection="1">
      <alignment horizontal="center" vertical="center"/>
      <protection locked="0"/>
    </xf>
    <xf numFmtId="0" fontId="15" fillId="0" borderId="2" xfId="0" applyFont="1" applyFill="1" applyBorder="1" applyProtection="1">
      <alignment vertical="center"/>
      <protection locked="0"/>
    </xf>
    <xf numFmtId="58" fontId="15" fillId="0" borderId="2" xfId="0" applyNumberFormat="1" applyFont="1" applyFill="1" applyBorder="1" applyAlignment="1" applyProtection="1">
      <alignment horizontal="center" vertical="center" wrapText="1"/>
      <protection locked="0"/>
    </xf>
    <xf numFmtId="0" fontId="15" fillId="18" borderId="2" xfId="0" applyFont="1" applyFill="1" applyBorder="1" applyAlignment="1" applyProtection="1">
      <alignment horizontal="center" vertical="center"/>
      <protection locked="0"/>
    </xf>
    <xf numFmtId="181" fontId="15" fillId="0" borderId="2" xfId="0" applyNumberFormat="1" applyFont="1" applyFill="1" applyBorder="1" applyAlignment="1">
      <alignment horizontal="center" vertical="center" shrinkToFit="1"/>
    </xf>
    <xf numFmtId="0" fontId="88" fillId="0" borderId="2" xfId="0" applyNumberFormat="1" applyFont="1" applyFill="1" applyBorder="1" applyAlignment="1">
      <alignment horizontal="center" vertical="center" shrinkToFit="1"/>
    </xf>
    <xf numFmtId="0" fontId="15" fillId="0" borderId="2" xfId="0" applyNumberFormat="1" applyFont="1" applyFill="1" applyBorder="1" applyAlignment="1">
      <alignment horizontal="center" vertical="center" wrapText="1"/>
    </xf>
    <xf numFmtId="0" fontId="88" fillId="18" borderId="2" xfId="0" applyNumberFormat="1" applyFont="1" applyFill="1" applyBorder="1" applyAlignment="1">
      <alignment horizontal="center" vertical="center" shrinkToFit="1"/>
    </xf>
    <xf numFmtId="181" fontId="75" fillId="3" borderId="2" xfId="0" applyNumberFormat="1" applyFont="1" applyFill="1" applyBorder="1" applyAlignment="1" applyProtection="1">
      <alignment horizontal="center" vertical="center" wrapText="1" shrinkToFit="1"/>
      <protection locked="0"/>
    </xf>
    <xf numFmtId="185" fontId="75" fillId="0" borderId="2" xfId="0" applyNumberFormat="1" applyFont="1" applyFill="1" applyBorder="1" applyAlignment="1" applyProtection="1">
      <alignment horizontal="center" vertical="center" wrapText="1" shrinkToFit="1"/>
      <protection locked="0"/>
    </xf>
    <xf numFmtId="0" fontId="75" fillId="3" borderId="2" xfId="0" applyFont="1" applyFill="1" applyBorder="1" applyAlignment="1" applyProtection="1">
      <alignment horizontal="center" vertical="center" wrapText="1" shrinkToFit="1"/>
      <protection locked="0"/>
    </xf>
    <xf numFmtId="0" fontId="15" fillId="0" borderId="2" xfId="0" applyFont="1" applyFill="1" applyBorder="1">
      <alignment vertical="center"/>
    </xf>
    <xf numFmtId="0" fontId="71" fillId="0" borderId="2" xfId="0" applyNumberFormat="1" applyFont="1" applyFill="1" applyBorder="1" applyAlignment="1" applyProtection="1">
      <alignment horizontal="center" vertical="center" wrapText="1" shrinkToFit="1"/>
      <protection locked="0"/>
    </xf>
    <xf numFmtId="185" fontId="72" fillId="3" borderId="2" xfId="0" applyNumberFormat="1" applyFont="1" applyFill="1" applyBorder="1" applyAlignment="1" applyProtection="1">
      <alignment horizontal="center" vertical="center" wrapText="1" shrinkToFit="1"/>
      <protection locked="0"/>
    </xf>
    <xf numFmtId="178" fontId="72" fillId="0" borderId="2" xfId="0" applyNumberFormat="1" applyFont="1" applyFill="1" applyBorder="1" applyAlignment="1" applyProtection="1">
      <alignment horizontal="center" vertical="center" wrapText="1" shrinkToFit="1"/>
    </xf>
    <xf numFmtId="187" fontId="72" fillId="0" borderId="2" xfId="0" applyNumberFormat="1" applyFont="1" applyFill="1" applyBorder="1" applyAlignment="1" applyProtection="1">
      <alignment horizontal="center" vertical="center" wrapText="1" shrinkToFit="1"/>
      <protection locked="0"/>
    </xf>
    <xf numFmtId="0" fontId="72" fillId="0" borderId="2" xfId="0" applyFont="1" applyFill="1" applyBorder="1" applyAlignment="1" applyProtection="1">
      <alignment vertical="center"/>
      <protection locked="0"/>
    </xf>
    <xf numFmtId="0" fontId="98" fillId="0" borderId="2" xfId="0" applyNumberFormat="1" applyFont="1" applyFill="1" applyBorder="1" applyAlignment="1" applyProtection="1">
      <alignment horizontal="center" vertical="center" shrinkToFit="1"/>
      <protection locked="0"/>
    </xf>
    <xf numFmtId="182" fontId="72" fillId="0" borderId="2" xfId="0" applyNumberFormat="1" applyFont="1" applyFill="1" applyBorder="1" applyAlignment="1" applyProtection="1">
      <alignment horizontal="center" vertical="center" wrapText="1"/>
      <protection locked="0"/>
    </xf>
    <xf numFmtId="49" fontId="72" fillId="3" borderId="2" xfId="0" applyNumberFormat="1" applyFont="1" applyFill="1" applyBorder="1" applyAlignment="1" applyProtection="1">
      <alignment horizontal="center" vertical="center" wrapText="1" shrinkToFit="1"/>
      <protection locked="0"/>
    </xf>
    <xf numFmtId="0" fontId="69" fillId="23" borderId="2" xfId="0" applyFont="1" applyFill="1" applyBorder="1" applyAlignment="1" applyProtection="1">
      <alignment horizontal="center" vertical="center" wrapText="1" shrinkToFit="1"/>
      <protection locked="0"/>
    </xf>
    <xf numFmtId="0" fontId="72" fillId="4" borderId="2" xfId="0" applyFont="1" applyFill="1" applyBorder="1" applyAlignment="1" applyProtection="1">
      <alignment horizontal="center" vertical="center" wrapText="1"/>
      <protection locked="0"/>
    </xf>
    <xf numFmtId="187" fontId="15" fillId="0" borderId="2" xfId="0" applyNumberFormat="1" applyFont="1" applyFill="1" applyBorder="1" applyAlignment="1" applyProtection="1">
      <alignment horizontal="center" vertical="center" wrapText="1" shrinkToFit="1"/>
      <protection locked="0"/>
    </xf>
    <xf numFmtId="0" fontId="15" fillId="2" borderId="2" xfId="0"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72" fillId="22" borderId="2" xfId="0" applyFont="1" applyFill="1" applyBorder="1" applyAlignment="1" applyProtection="1">
      <alignment horizontal="center" vertical="center"/>
      <protection locked="0"/>
    </xf>
    <xf numFmtId="182" fontId="73" fillId="3" borderId="2" xfId="0" applyNumberFormat="1" applyFont="1" applyFill="1" applyBorder="1" applyAlignment="1" applyProtection="1">
      <alignment horizontal="center" vertical="center" wrapText="1" shrinkToFit="1"/>
      <protection locked="0"/>
    </xf>
    <xf numFmtId="0" fontId="73" fillId="4" borderId="2" xfId="0" applyFont="1" applyFill="1" applyBorder="1" applyAlignment="1" applyProtection="1">
      <alignment horizontal="center" vertical="center" wrapText="1"/>
      <protection locked="0"/>
    </xf>
    <xf numFmtId="0" fontId="73" fillId="0" borderId="2" xfId="0" applyFont="1" applyFill="1" applyBorder="1" applyProtection="1">
      <alignment vertical="center"/>
      <protection locked="0"/>
    </xf>
    <xf numFmtId="0" fontId="89" fillId="20" borderId="1" xfId="0" applyFont="1" applyFill="1" applyBorder="1" applyAlignment="1" applyProtection="1">
      <alignment horizontal="center" vertical="center" wrapText="1" shrinkToFit="1"/>
      <protection locked="0"/>
    </xf>
    <xf numFmtId="49" fontId="73" fillId="0" borderId="2" xfId="0" applyNumberFormat="1" applyFont="1" applyFill="1" applyBorder="1" applyAlignment="1" applyProtection="1">
      <alignment horizontal="center" vertical="center" wrapText="1" shrinkToFit="1"/>
      <protection locked="0"/>
    </xf>
    <xf numFmtId="187" fontId="73" fillId="0" borderId="2" xfId="0" applyNumberFormat="1" applyFont="1" applyFill="1" applyBorder="1" applyAlignment="1" applyProtection="1">
      <alignment horizontal="center" vertical="center" wrapText="1" shrinkToFit="1"/>
      <protection locked="0"/>
    </xf>
    <xf numFmtId="0" fontId="73" fillId="19" borderId="2" xfId="0" applyFont="1" applyFill="1" applyBorder="1" applyAlignment="1" applyProtection="1">
      <alignment horizontal="center" vertical="center" wrapText="1"/>
      <protection locked="0"/>
    </xf>
    <xf numFmtId="0" fontId="73" fillId="2" borderId="2" xfId="0" applyFont="1" applyFill="1" applyBorder="1" applyAlignment="1" applyProtection="1">
      <alignment horizontal="center" vertical="center" wrapText="1"/>
      <protection locked="0"/>
    </xf>
    <xf numFmtId="0" fontId="73" fillId="19" borderId="2" xfId="0" applyFont="1" applyFill="1" applyBorder="1" applyAlignment="1" applyProtection="1">
      <alignment horizontal="center" vertical="center" wrapText="1" shrinkToFit="1"/>
      <protection locked="0"/>
    </xf>
    <xf numFmtId="49" fontId="15" fillId="0" borderId="2" xfId="0" applyNumberFormat="1" applyFont="1" applyFill="1" applyBorder="1" applyAlignment="1" applyProtection="1">
      <alignment horizontal="center" vertical="center" wrapText="1"/>
      <protection locked="0"/>
    </xf>
    <xf numFmtId="0" fontId="72" fillId="3" borderId="2" xfId="0" applyNumberFormat="1" applyFont="1" applyFill="1" applyBorder="1" applyAlignment="1" applyProtection="1">
      <alignment horizontal="center" vertical="center" wrapText="1"/>
    </xf>
    <xf numFmtId="0" fontId="15" fillId="23" borderId="2" xfId="0" applyFont="1" applyFill="1" applyBorder="1" applyAlignment="1" applyProtection="1">
      <alignment horizontal="center" vertical="center"/>
      <protection locked="0"/>
    </xf>
    <xf numFmtId="0" fontId="86" fillId="0" borderId="1" xfId="0" applyFont="1" applyBorder="1" applyAlignment="1" applyProtection="1">
      <alignment horizontal="center" vertical="center" wrapText="1"/>
      <protection locked="0"/>
    </xf>
    <xf numFmtId="0" fontId="74" fillId="3" borderId="2"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wrapText="1" shrinkToFit="1"/>
      <protection locked="0"/>
    </xf>
    <xf numFmtId="58" fontId="72" fillId="23" borderId="2" xfId="0" applyNumberFormat="1" applyFont="1" applyFill="1" applyBorder="1" applyAlignment="1" applyProtection="1">
      <alignment horizontal="center" vertical="center" wrapText="1" shrinkToFit="1"/>
      <protection locked="0"/>
    </xf>
    <xf numFmtId="0" fontId="72" fillId="0" borderId="0" xfId="0" applyFont="1">
      <alignment vertical="center"/>
    </xf>
    <xf numFmtId="0" fontId="72" fillId="0" borderId="0" xfId="0" applyFont="1" applyFill="1" applyAlignment="1" applyProtection="1">
      <alignment vertical="center" wrapText="1"/>
      <protection locked="0"/>
    </xf>
    <xf numFmtId="0" fontId="72" fillId="0" borderId="0" xfId="0" applyFont="1" applyFill="1">
      <alignment vertical="center"/>
    </xf>
    <xf numFmtId="58" fontId="72" fillId="0" borderId="7" xfId="0" applyNumberFormat="1" applyFont="1" applyFill="1" applyBorder="1" applyAlignment="1" applyProtection="1">
      <alignment horizontal="center" vertical="center" wrapText="1" shrinkToFit="1"/>
      <protection locked="0"/>
    </xf>
    <xf numFmtId="0" fontId="6" fillId="3" borderId="2" xfId="0" applyNumberFormat="1" applyFont="1" applyFill="1" applyBorder="1" applyAlignment="1" applyProtection="1">
      <alignment horizontal="center" vertical="center" wrapText="1" shrinkToFit="1"/>
      <protection locked="0"/>
    </xf>
    <xf numFmtId="0" fontId="69" fillId="0" borderId="2" xfId="0" applyFont="1" applyFill="1" applyBorder="1" applyProtection="1">
      <alignment vertical="center"/>
      <protection locked="0"/>
    </xf>
    <xf numFmtId="3" fontId="69" fillId="3" borderId="2" xfId="0" applyNumberFormat="1" applyFont="1" applyFill="1" applyBorder="1" applyAlignment="1" applyProtection="1">
      <alignment horizontal="center" vertical="center" wrapText="1" shrinkToFit="1"/>
      <protection locked="0"/>
    </xf>
    <xf numFmtId="0" fontId="69" fillId="0" borderId="1" xfId="0" applyFont="1" applyFill="1" applyBorder="1" applyAlignment="1">
      <alignment horizontal="center" vertical="center" wrapText="1"/>
    </xf>
    <xf numFmtId="181" fontId="69" fillId="0" borderId="43" xfId="0" applyNumberFormat="1" applyFont="1" applyFill="1" applyBorder="1" applyAlignment="1">
      <alignment horizontal="center" vertical="center" wrapText="1" shrinkToFit="1"/>
    </xf>
    <xf numFmtId="0" fontId="75" fillId="3" borderId="2" xfId="0" applyFont="1" applyFill="1" applyBorder="1" applyAlignment="1" applyProtection="1">
      <alignment horizontal="center" vertical="center"/>
      <protection locked="0"/>
    </xf>
    <xf numFmtId="58" fontId="69" fillId="0" borderId="3" xfId="0" applyNumberFormat="1" applyFont="1" applyFill="1" applyBorder="1" applyAlignment="1" applyProtection="1">
      <alignment horizontal="center" vertical="center" wrapText="1" shrinkToFit="1"/>
      <protection locked="0"/>
    </xf>
    <xf numFmtId="185" fontId="69" fillId="0" borderId="4" xfId="0" applyNumberFormat="1" applyFont="1" applyFill="1" applyBorder="1" applyAlignment="1" applyProtection="1">
      <alignment horizontal="center" vertical="center" wrapText="1" shrinkToFit="1"/>
      <protection locked="0"/>
    </xf>
    <xf numFmtId="0" fontId="90" fillId="0" borderId="39" xfId="0" applyFont="1" applyBorder="1" applyAlignment="1" applyProtection="1">
      <alignment horizontal="center" vertical="center" wrapText="1" shrinkToFit="1"/>
      <protection locked="0"/>
    </xf>
    <xf numFmtId="0" fontId="69" fillId="3" borderId="4" xfId="0" applyFont="1" applyFill="1" applyBorder="1" applyAlignment="1" applyProtection="1">
      <alignment horizontal="center" vertical="center"/>
      <protection locked="0"/>
    </xf>
    <xf numFmtId="184" fontId="69" fillId="3" borderId="4" xfId="0" applyNumberFormat="1" applyFont="1" applyFill="1" applyBorder="1" applyAlignment="1" applyProtection="1">
      <alignment horizontal="center" vertical="center"/>
      <protection locked="0"/>
    </xf>
    <xf numFmtId="185" fontId="69" fillId="0" borderId="1" xfId="0" applyNumberFormat="1" applyFont="1" applyFill="1" applyBorder="1" applyAlignment="1" applyProtection="1">
      <alignment horizontal="center" vertical="center" wrapText="1" shrinkToFit="1"/>
      <protection locked="0"/>
    </xf>
    <xf numFmtId="184" fontId="69" fillId="3" borderId="1" xfId="0" applyNumberFormat="1" applyFont="1" applyFill="1" applyBorder="1" applyAlignment="1" applyProtection="1">
      <alignment horizontal="center" vertical="center"/>
      <protection locked="0"/>
    </xf>
    <xf numFmtId="185" fontId="69" fillId="0" borderId="3" xfId="0" applyNumberFormat="1" applyFont="1" applyFill="1" applyBorder="1" applyAlignment="1" applyProtection="1">
      <alignment horizontal="center" vertical="center" wrapText="1" shrinkToFit="1"/>
      <protection locked="0"/>
    </xf>
    <xf numFmtId="58" fontId="69" fillId="0" borderId="2" xfId="0" applyNumberFormat="1" applyFont="1" applyFill="1" applyBorder="1" applyAlignment="1" applyProtection="1">
      <alignment horizontal="center" vertical="center" wrapText="1" shrinkToFit="1"/>
      <protection locked="0"/>
    </xf>
    <xf numFmtId="183" fontId="69" fillId="3" borderId="2" xfId="0" applyNumberFormat="1" applyFont="1" applyFill="1" applyBorder="1" applyAlignment="1" applyProtection="1">
      <alignment horizontal="center" vertical="center" wrapText="1" shrinkToFit="1"/>
      <protection locked="0"/>
    </xf>
    <xf numFmtId="0" fontId="69" fillId="3" borderId="2" xfId="0" applyNumberFormat="1" applyFont="1" applyFill="1" applyBorder="1" applyAlignment="1" applyProtection="1">
      <alignment horizontal="center" vertical="center" wrapText="1" shrinkToFit="1"/>
      <protection locked="0"/>
    </xf>
    <xf numFmtId="0" fontId="90" fillId="21" borderId="1" xfId="0" applyFont="1" applyFill="1" applyBorder="1" applyAlignment="1" applyProtection="1">
      <alignment horizontal="center" vertical="center" wrapText="1" shrinkToFit="1"/>
      <protection locked="0"/>
    </xf>
    <xf numFmtId="0" fontId="69" fillId="0" borderId="0" xfId="0" applyFont="1" applyFill="1">
      <alignment vertical="center"/>
    </xf>
    <xf numFmtId="185" fontId="69" fillId="0" borderId="2" xfId="0" applyNumberFormat="1" applyFont="1" applyFill="1" applyBorder="1" applyAlignment="1" applyProtection="1">
      <alignment horizontal="center" vertical="center" wrapText="1" shrinkToFit="1"/>
      <protection locked="0"/>
    </xf>
    <xf numFmtId="0" fontId="90" fillId="0" borderId="1" xfId="0" applyFont="1" applyFill="1" applyBorder="1" applyAlignment="1" applyProtection="1">
      <alignment horizontal="center" vertical="center" wrapText="1" shrinkToFit="1"/>
      <protection locked="0"/>
    </xf>
    <xf numFmtId="0" fontId="69" fillId="0" borderId="0" xfId="0" applyFont="1" applyFill="1">
      <alignment vertical="center"/>
    </xf>
    <xf numFmtId="181" fontId="75" fillId="0" borderId="4" xfId="0" applyNumberFormat="1" applyFont="1" applyFill="1" applyBorder="1" applyAlignment="1" applyProtection="1">
      <alignment horizontal="center" vertical="center" wrapText="1" shrinkToFit="1"/>
    </xf>
    <xf numFmtId="0" fontId="75" fillId="0" borderId="4" xfId="0" applyFont="1" applyFill="1" applyBorder="1" applyAlignment="1" applyProtection="1">
      <alignment horizontal="center" vertical="center"/>
      <protection locked="0"/>
    </xf>
    <xf numFmtId="3" fontId="75" fillId="0" borderId="4" xfId="0" applyNumberFormat="1" applyFont="1" applyFill="1" applyBorder="1" applyAlignment="1" applyProtection="1">
      <alignment horizontal="center" vertical="center" wrapText="1" shrinkToFit="1"/>
      <protection locked="0"/>
    </xf>
    <xf numFmtId="183" fontId="75" fillId="0" borderId="4" xfId="0" applyNumberFormat="1" applyFont="1" applyFill="1" applyBorder="1" applyAlignment="1" applyProtection="1">
      <alignment horizontal="center" vertical="center" wrapText="1" shrinkToFit="1"/>
      <protection locked="0"/>
    </xf>
    <xf numFmtId="180" fontId="75" fillId="0" borderId="4" xfId="0" applyNumberFormat="1" applyFont="1" applyFill="1" applyBorder="1" applyAlignment="1" applyProtection="1">
      <alignment horizontal="center" vertical="center" wrapText="1" shrinkToFit="1"/>
      <protection locked="0"/>
    </xf>
    <xf numFmtId="185" fontId="75" fillId="0" borderId="4" xfId="0" applyNumberFormat="1" applyFont="1" applyFill="1" applyBorder="1" applyAlignment="1" applyProtection="1">
      <alignment horizontal="center" vertical="center" wrapText="1" shrinkToFit="1"/>
      <protection locked="0"/>
    </xf>
    <xf numFmtId="183" fontId="75" fillId="0" borderId="4" xfId="0" applyNumberFormat="1" applyFont="1" applyFill="1" applyBorder="1" applyAlignment="1" applyProtection="1">
      <alignment horizontal="center" vertical="center"/>
      <protection locked="0"/>
    </xf>
    <xf numFmtId="184" fontId="75" fillId="0" borderId="4" xfId="0" applyNumberFormat="1" applyFont="1" applyFill="1" applyBorder="1" applyAlignment="1" applyProtection="1">
      <alignment horizontal="center" vertical="center"/>
      <protection locked="0"/>
    </xf>
    <xf numFmtId="181" fontId="69" fillId="3" borderId="3" xfId="0" applyNumberFormat="1" applyFont="1" applyFill="1" applyBorder="1" applyAlignment="1" applyProtection="1">
      <alignment horizontal="center" vertical="center" wrapText="1" shrinkToFit="1"/>
      <protection locked="0"/>
    </xf>
    <xf numFmtId="185" fontId="69" fillId="0" borderId="1" xfId="0" applyNumberFormat="1" applyFont="1" applyFill="1" applyBorder="1" applyAlignment="1" applyProtection="1">
      <alignment horizontal="center" vertical="center" wrapText="1" shrinkToFit="1"/>
      <protection locked="0"/>
    </xf>
    <xf numFmtId="182" fontId="99" fillId="0" borderId="2" xfId="0" applyNumberFormat="1" applyFont="1" applyFill="1" applyBorder="1" applyAlignment="1" applyProtection="1">
      <alignment horizontal="center" vertical="center" wrapText="1" shrinkToFit="1"/>
      <protection locked="0"/>
    </xf>
    <xf numFmtId="0" fontId="99" fillId="0" borderId="2" xfId="0" applyFont="1" applyFill="1" applyBorder="1" applyAlignment="1" applyProtection="1">
      <alignment horizontal="center" vertical="center"/>
      <protection locked="0"/>
    </xf>
    <xf numFmtId="179" fontId="72" fillId="0" borderId="2" xfId="0" applyNumberFormat="1" applyFont="1" applyFill="1" applyBorder="1" applyAlignment="1" applyProtection="1">
      <alignment horizontal="center" vertical="center" wrapText="1" shrinkToFit="1"/>
      <protection locked="0"/>
    </xf>
    <xf numFmtId="0" fontId="80" fillId="0" borderId="0" xfId="0" applyFont="1" applyProtection="1">
      <alignment vertical="center"/>
      <protection locked="0"/>
    </xf>
    <xf numFmtId="0" fontId="90" fillId="0" borderId="0" xfId="0" applyFont="1">
      <alignment vertical="center"/>
    </xf>
    <xf numFmtId="0" fontId="74" fillId="0" borderId="2" xfId="0" applyFont="1" applyFill="1" applyBorder="1" applyAlignment="1" applyProtection="1" quotePrefix="1">
      <alignment horizontal="center" vertical="center" wrapText="1" shrinkToFit="1"/>
      <protection locked="0"/>
    </xf>
    <xf numFmtId="0" fontId="83" fillId="0" borderId="2" xfId="0" applyFont="1" applyFill="1" applyBorder="1" applyAlignment="1" applyProtection="1" quotePrefix="1">
      <alignment horizontal="center" vertical="center" wrapText="1" shrinkToFit="1"/>
      <protection locked="0"/>
    </xf>
    <xf numFmtId="0" fontId="15" fillId="0" borderId="2" xfId="0" applyFont="1" applyFill="1" applyBorder="1" applyAlignment="1" applyProtection="1" quotePrefix="1">
      <alignment horizontal="center" vertical="center" wrapText="1" shrinkToFit="1"/>
      <protection locked="0"/>
    </xf>
    <xf numFmtId="185" fontId="15" fillId="0" borderId="2" xfId="0" applyNumberFormat="1" applyFont="1" applyFill="1" applyBorder="1" applyAlignment="1" applyProtection="1" quotePrefix="1">
      <alignment horizontal="center" vertical="center" wrapText="1" shrinkToFit="1"/>
      <protection locked="0"/>
    </xf>
    <xf numFmtId="0" fontId="15" fillId="18" borderId="2" xfId="0" applyFont="1" applyFill="1" applyBorder="1" applyAlignment="1" applyProtection="1" quotePrefix="1">
      <alignment horizontal="center" vertical="center" wrapText="1" shrinkToFit="1"/>
      <protection locked="0"/>
    </xf>
    <xf numFmtId="0" fontId="15" fillId="3" borderId="2" xfId="0" applyFont="1" applyFill="1" applyBorder="1" applyAlignment="1" applyProtection="1" quotePrefix="1">
      <alignment horizontal="center" vertical="center" wrapText="1" shrinkToFit="1"/>
      <protection locked="0"/>
    </xf>
    <xf numFmtId="0" fontId="72" fillId="0" borderId="2" xfId="0" applyFont="1" applyFill="1" applyBorder="1" applyAlignment="1" applyProtection="1" quotePrefix="1">
      <alignment horizontal="center" vertical="center" wrapText="1" shrinkToFit="1"/>
      <protection locked="0"/>
    </xf>
    <xf numFmtId="0" fontId="72" fillId="3" borderId="2" xfId="0" applyFont="1" applyFill="1" applyBorder="1" applyAlignment="1" applyProtection="1" quotePrefix="1">
      <alignment horizontal="center" vertical="center" wrapText="1" shrinkToFit="1"/>
      <protection locked="0"/>
    </xf>
    <xf numFmtId="0" fontId="73" fillId="3" borderId="2" xfId="0" applyFont="1" applyFill="1" applyBorder="1" applyAlignment="1" applyProtection="1" quotePrefix="1">
      <alignment horizontal="center" vertical="center" wrapText="1" shrinkToFit="1"/>
      <protection locked="0"/>
    </xf>
    <xf numFmtId="0" fontId="73" fillId="0" borderId="2" xfId="0" applyFont="1" applyFill="1" applyBorder="1" applyAlignment="1" applyProtection="1" quotePrefix="1">
      <alignment horizontal="center" vertical="center" wrapText="1" shrinkToFit="1"/>
      <protection locked="0"/>
    </xf>
    <xf numFmtId="0" fontId="69" fillId="0" borderId="2" xfId="0" applyFont="1" applyFill="1" applyBorder="1" applyAlignment="1" applyProtection="1" quotePrefix="1">
      <alignment horizontal="center" vertical="center" wrapText="1" shrinkToFit="1"/>
      <protection locked="0"/>
    </xf>
    <xf numFmtId="0" fontId="69" fillId="3" borderId="2" xfId="0" applyNumberFormat="1" applyFont="1" applyFill="1" applyBorder="1" applyAlignment="1" applyProtection="1" quotePrefix="1">
      <alignment horizontal="center" vertical="center" wrapText="1" shrinkToFit="1"/>
      <protection locked="0"/>
    </xf>
    <xf numFmtId="0" fontId="69" fillId="3" borderId="2" xfId="0" applyFont="1" applyFill="1" applyBorder="1" applyAlignment="1" applyProtection="1" quotePrefix="1">
      <alignment horizontal="center" vertical="center" wrapText="1" shrinkToFit="1"/>
      <protection locked="0"/>
    </xf>
    <xf numFmtId="0" fontId="69" fillId="0" borderId="2" xfId="0" applyFont="1" applyFill="1" applyBorder="1" applyAlignment="1" applyProtection="1" quotePrefix="1">
      <alignment horizontal="center" vertical="center" wrapText="1" shrinkToFit="1"/>
      <protection locked="0"/>
    </xf>
    <xf numFmtId="0" fontId="69" fillId="3" borderId="1" xfId="0" applyNumberFormat="1" applyFont="1" applyFill="1" applyBorder="1" applyAlignment="1" applyProtection="1" quotePrefix="1">
      <alignment horizontal="center" vertical="center" wrapText="1" shrinkToFit="1"/>
      <protection locked="0"/>
    </xf>
    <xf numFmtId="0" fontId="69" fillId="0" borderId="1" xfId="0" applyFont="1" applyFill="1" applyBorder="1" applyAlignment="1" applyProtection="1" quotePrefix="1">
      <alignment horizontal="center" vertical="center" wrapText="1" shrinkToFit="1"/>
      <protection locked="0"/>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5" xfId="49"/>
    <cellStyle name="常规 2 2" xfId="50"/>
    <cellStyle name="20% - 强调文字颜色 4 2 3 117" xfId="51"/>
    <cellStyle name="常规 3" xfId="52"/>
    <cellStyle name="常规 70" xfId="53"/>
    <cellStyle name="常规 4" xfId="54"/>
    <cellStyle name="千位分隔 2" xfId="55"/>
  </cellStyles>
  <dxfs count="6">
    <dxf>
      <font>
        <color rgb="FF9C0006"/>
      </font>
      <fill>
        <patternFill patternType="solid">
          <bgColor rgb="FFFFC7CE"/>
        </patternFill>
      </fill>
    </dxf>
    <dxf>
      <fill>
        <patternFill patternType="solid">
          <bgColor theme="5" tint="-0.25"/>
        </patternFill>
      </fill>
    </dxf>
    <dxf>
      <fill>
        <patternFill patternType="solid">
          <bgColor rgb="FFFFC7CE"/>
        </patternFill>
      </fill>
    </dxf>
    <dxf>
      <font>
        <color rgb="FFD73434"/>
      </font>
      <fill>
        <patternFill patternType="solid">
          <bgColor rgb="FFFEC8CE"/>
        </patternFill>
      </fill>
    </dxf>
    <dxf>
      <fill>
        <patternFill patternType="solid">
          <fgColor rgb="FFFFFF00"/>
          <bgColor rgb="FFFFFF00"/>
        </patternFill>
      </fill>
    </dxf>
    <dxf>
      <fill>
        <patternFill patternType="solid">
          <fgColor rgb="FF00B0F0"/>
          <bgColor rgb="FF00B0F0"/>
        </patternFill>
      </fill>
    </dxf>
  </dxfs>
  <tableStyles count="0" defaultTableStyle="TableStyleMedium2" defaultPivotStyle="PivotStyleLight16"/>
  <colors>
    <mruColors>
      <color rgb="003E2CEA"/>
      <color rgb="00010CDD"/>
      <color rgb="00FFFFFF"/>
      <color rgb="0092D050"/>
      <color rgb="000000FF"/>
      <color rgb="00000000"/>
      <color rgb="0000B0F0"/>
      <color rgb="00FF0000"/>
      <color rgb="000FB7FD"/>
      <color rgb="00FFFF0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4920" dbFileVersion="0" changeLogVersion="0">
    <open main="1446" threadCnt="1"/>
    <sheetInfos>
      <sheetInfo cellCmpFml="3721" sheetStid="23">
        <open main="437" threadCnt="1"/>
      </sheetInfo>
      <sheetInfo cellCmpFml="10417" sheetStid="26">
        <open main="660" threadCnt="1"/>
      </sheetInfo>
      <sheetInfo cellCmpFml="27" sheetStid="24">
        <open main="9" threadCnt="1"/>
      </sheetInfo>
      <sheetInfo cellCmpFml="56" sheetStid="30">
        <open main="12" threadCnt="1"/>
      </sheetInfo>
      <sheetInfo cellCmpFml="106" sheetStid="29">
        <open main="6" threadCnt="1"/>
      </sheetInfo>
      <sheetInfo cellCmpFml="23" sheetStid="18">
        <open main="3" threadCnt="1"/>
      </sheetInfo>
      <sheetInfo cellCmpFml="424" sheetStid="15">
        <open main="22" threadCnt="1"/>
      </sheetInfo>
      <sheetInfo cellCmpFml="146" sheetStid="31">
        <open main="2"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schemas.openxmlformats.org/officeDocument/2006/relationships/styles" Target="styles.xml"/><Relationship Id="rId16" Type="http://schemas.openxmlformats.org/officeDocument/2006/relationships/customXml" Target="../customXml/item5.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s/Users/RR/AppData/Roaming/Foxmail7/Temp-19528-20251127081221/Attach/MA-RR-1979 (MB Fill the Fridge Playset S1 #77711 &amp;#77673  )(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RR-1979"/>
      <sheetName val="Summary"/>
      <sheetName val="Mini Ratio"/>
    </sheetNames>
    <sheetDataSet>
      <sheetData sheetId="0"/>
      <sheetData sheetId="1">
        <row r="3">
          <cell r="E3" t="str">
            <v>材料概述</v>
          </cell>
        </row>
        <row r="4">
          <cell r="B4" t="str">
            <v>Item NO.</v>
          </cell>
          <cell r="C4" t="str">
            <v>Item Name</v>
          </cell>
          <cell r="D4" t="str">
            <v>Brand</v>
          </cell>
          <cell r="E4" t="str">
            <v>Material</v>
          </cell>
          <cell r="F4" t="str">
            <v>Version</v>
          </cell>
          <cell r="G4" t="str">
            <v>Mold NO.</v>
          </cell>
          <cell r="H4" t="str">
            <v>Mold Capacity</v>
          </cell>
          <cell r="I4" t="str">
            <v>Remark</v>
          </cell>
          <cell r="J4" t="str">
            <v>MA-RR-1546</v>
          </cell>
          <cell r="K4" t="str">
            <v>MA-RR-1619</v>
          </cell>
          <cell r="L4" t="str">
            <v>MA-RR-1646</v>
          </cell>
          <cell r="M4" t="str">
            <v>MA-RR-1656</v>
          </cell>
          <cell r="N4" t="str">
            <v>MA-RR-1684</v>
          </cell>
          <cell r="O4" t="str">
            <v>MA-RR-1727</v>
          </cell>
          <cell r="P4" t="str">
            <v>MA-RR-1738</v>
          </cell>
          <cell r="Q4" t="str">
            <v>MA-RR-1789</v>
          </cell>
          <cell r="R4" t="str">
            <v>MA-RR-1824</v>
          </cell>
          <cell r="S4" t="str">
            <v>MA-RR-1843</v>
          </cell>
          <cell r="T4" t="str">
            <v>MA-RR-1857</v>
          </cell>
          <cell r="U4" t="str">
            <v>MA-RR-1876</v>
          </cell>
        </row>
        <row r="5">
          <cell r="C5" t="str">
            <v>Order Date</v>
          </cell>
        </row>
        <row r="5">
          <cell r="J5">
            <v>45708</v>
          </cell>
          <cell r="K5">
            <v>45755</v>
          </cell>
          <cell r="L5">
            <v>45785</v>
          </cell>
          <cell r="M5">
            <v>45791</v>
          </cell>
          <cell r="N5">
            <v>45800</v>
          </cell>
          <cell r="O5">
            <v>45819</v>
          </cell>
          <cell r="P5">
            <v>45828</v>
          </cell>
          <cell r="Q5">
            <v>45852</v>
          </cell>
          <cell r="R5">
            <v>45870</v>
          </cell>
          <cell r="S5">
            <v>45887</v>
          </cell>
          <cell r="T5">
            <v>45896</v>
          </cell>
          <cell r="U5">
            <v>45903</v>
          </cell>
        </row>
        <row r="6">
          <cell r="C6" t="str">
            <v>Required CRD</v>
          </cell>
        </row>
        <row r="6">
          <cell r="J6">
            <v>45757</v>
          </cell>
          <cell r="K6">
            <v>45797</v>
          </cell>
          <cell r="L6">
            <v>45838</v>
          </cell>
          <cell r="M6">
            <v>45838</v>
          </cell>
          <cell r="N6">
            <v>45845</v>
          </cell>
          <cell r="O6">
            <v>45856</v>
          </cell>
          <cell r="P6">
            <v>45877</v>
          </cell>
          <cell r="Q6">
            <v>45891</v>
          </cell>
          <cell r="R6">
            <v>45907</v>
          </cell>
          <cell r="S6">
            <v>45925</v>
          </cell>
          <cell r="T6">
            <v>45939</v>
          </cell>
          <cell r="U6">
            <v>45940</v>
          </cell>
        </row>
        <row r="7">
          <cell r="C7" t="str">
            <v>Capsule #77711-NA (球壳）</v>
          </cell>
        </row>
        <row r="7">
          <cell r="J7">
            <v>800000</v>
          </cell>
          <cell r="K7">
            <v>0</v>
          </cell>
        </row>
        <row r="7">
          <cell r="M7">
            <v>700000</v>
          </cell>
        </row>
        <row r="7">
          <cell r="O7">
            <v>400000</v>
          </cell>
          <cell r="P7">
            <v>300000</v>
          </cell>
          <cell r="Q7">
            <v>300000</v>
          </cell>
          <cell r="R7">
            <v>0</v>
          </cell>
          <cell r="S7">
            <v>300000</v>
          </cell>
          <cell r="T7">
            <v>400000</v>
          </cell>
          <cell r="U7">
            <v>400000</v>
          </cell>
        </row>
        <row r="8">
          <cell r="C8" t="str">
            <v>Capsule #77711-INT(球壳）</v>
          </cell>
        </row>
        <row r="8">
          <cell r="J8">
            <v>300000</v>
          </cell>
          <cell r="K8">
            <v>300000</v>
          </cell>
        </row>
        <row r="8">
          <cell r="M8">
            <v>0</v>
          </cell>
          <cell r="N8">
            <v>300000</v>
          </cell>
          <cell r="O8">
            <v>0</v>
          </cell>
          <cell r="P8">
            <v>300000</v>
          </cell>
          <cell r="Q8">
            <v>0</v>
          </cell>
          <cell r="R8">
            <v>0</v>
          </cell>
          <cell r="S8">
            <v>0</v>
          </cell>
          <cell r="T8">
            <v>0</v>
          </cell>
          <cell r="U8">
            <v>300000</v>
          </cell>
        </row>
        <row r="9">
          <cell r="C9" t="str">
            <v>STD Playset #77673 （胶件）</v>
          </cell>
        </row>
        <row r="9">
          <cell r="J9">
            <v>200000</v>
          </cell>
          <cell r="K9">
            <v>0</v>
          </cell>
          <cell r="L9">
            <v>100000</v>
          </cell>
          <cell r="M9">
            <v>50000</v>
          </cell>
          <cell r="N9">
            <v>50000</v>
          </cell>
          <cell r="O9">
            <v>50000</v>
          </cell>
          <cell r="P9">
            <v>20000</v>
          </cell>
          <cell r="Q9">
            <v>26000</v>
          </cell>
          <cell r="R9">
            <v>60000</v>
          </cell>
          <cell r="S9">
            <v>50000</v>
          </cell>
          <cell r="T9">
            <v>60000</v>
          </cell>
          <cell r="U9">
            <v>150000</v>
          </cell>
        </row>
        <row r="10">
          <cell r="C10" t="str">
            <v>CUS #77673 Target-US （胶件）</v>
          </cell>
        </row>
        <row r="10">
          <cell r="J10">
            <v>20000</v>
          </cell>
          <cell r="K10">
            <v>0</v>
          </cell>
        </row>
        <row r="10">
          <cell r="M10">
            <v>10000</v>
          </cell>
        </row>
        <row r="10">
          <cell r="O10">
            <v>0</v>
          </cell>
          <cell r="P10">
            <v>50000</v>
          </cell>
          <cell r="Q10">
            <v>0</v>
          </cell>
          <cell r="R10">
            <v>40000</v>
          </cell>
          <cell r="S10">
            <v>55000</v>
          </cell>
          <cell r="T10">
            <v>20000</v>
          </cell>
          <cell r="U10">
            <v>20000</v>
          </cell>
        </row>
        <row r="11">
          <cell r="C11" t="str">
            <v>CUS #77673 Costco-NA（胶件）</v>
          </cell>
        </row>
        <row r="11">
          <cell r="J11">
            <v>50000</v>
          </cell>
          <cell r="K11">
            <v>0</v>
          </cell>
          <cell r="L11">
            <v>-20600</v>
          </cell>
        </row>
        <row r="11">
          <cell r="O11">
            <v>0</v>
          </cell>
          <cell r="P11">
            <v>35000</v>
          </cell>
          <cell r="Q11">
            <v>40600</v>
          </cell>
          <cell r="R11">
            <v>5400</v>
          </cell>
          <cell r="S11">
            <v>0</v>
          </cell>
          <cell r="T11">
            <v>0</v>
          </cell>
          <cell r="U11">
            <v>0</v>
          </cell>
        </row>
        <row r="12">
          <cell r="C12" t="str">
            <v>CUS #77673 Costco-INT （胶件）</v>
          </cell>
        </row>
        <row r="12">
          <cell r="J12">
            <v>0</v>
          </cell>
          <cell r="K12">
            <v>10725</v>
          </cell>
          <cell r="L12">
            <v>11025</v>
          </cell>
          <cell r="M12">
            <v>0</v>
          </cell>
        </row>
        <row r="12">
          <cell r="O12">
            <v>0</v>
          </cell>
          <cell r="P12">
            <v>0</v>
          </cell>
          <cell r="Q12">
            <v>0</v>
          </cell>
          <cell r="R12">
            <v>-3600</v>
          </cell>
        </row>
        <row r="12">
          <cell r="T12">
            <v>0</v>
          </cell>
          <cell r="U12">
            <v>9600</v>
          </cell>
        </row>
        <row r="14">
          <cell r="B14" t="str">
            <v>FRIDGEM_S1_P12</v>
          </cell>
          <cell r="C14" t="str">
            <v>Soy sauce</v>
          </cell>
          <cell r="D14" t="str">
            <v>Kikkoman</v>
          </cell>
        </row>
        <row r="14">
          <cell r="F14" t="str">
            <v>NA/GLOBAL</v>
          </cell>
          <cell r="G14" t="str">
            <v>MNFRG-04M-01</v>
          </cell>
          <cell r="H14">
            <v>11314.2857142857</v>
          </cell>
        </row>
        <row r="14">
          <cell r="J14">
            <v>107330</v>
          </cell>
          <cell r="K14">
            <v>37620</v>
          </cell>
        </row>
        <row r="14">
          <cell r="M14">
            <v>60990</v>
          </cell>
          <cell r="N14">
            <v>37630</v>
          </cell>
          <cell r="O14">
            <v>34840</v>
          </cell>
          <cell r="P14">
            <v>63770</v>
          </cell>
          <cell r="Q14">
            <v>26130</v>
          </cell>
          <cell r="R14">
            <v>0</v>
          </cell>
          <cell r="S14">
            <v>26140</v>
          </cell>
          <cell r="T14">
            <v>34850</v>
          </cell>
          <cell r="U14">
            <v>72470</v>
          </cell>
        </row>
        <row r="15">
          <cell r="B15" t="str">
            <v>FRIDGEM_S1_P15</v>
          </cell>
          <cell r="C15" t="str">
            <v>Lea &amp; Perrins</v>
          </cell>
          <cell r="D15" t="str">
            <v>Kraft Heinz</v>
          </cell>
        </row>
        <row r="15">
          <cell r="F15" t="str">
            <v>NA only</v>
          </cell>
          <cell r="G15" t="str">
            <v>MNFRG-04M-01</v>
          </cell>
        </row>
        <row r="15">
          <cell r="J15">
            <v>69700</v>
          </cell>
          <cell r="K15">
            <v>0</v>
          </cell>
        </row>
        <row r="15">
          <cell r="M15">
            <v>60990</v>
          </cell>
          <cell r="N15">
            <v>0</v>
          </cell>
          <cell r="O15">
            <v>34850</v>
          </cell>
          <cell r="P15">
            <v>26130</v>
          </cell>
          <cell r="Q15">
            <v>26140</v>
          </cell>
          <cell r="R15">
            <v>0</v>
          </cell>
          <cell r="S15">
            <v>26130</v>
          </cell>
          <cell r="T15">
            <v>34850</v>
          </cell>
          <cell r="U15">
            <v>34850</v>
          </cell>
        </row>
        <row r="16">
          <cell r="B16" t="str">
            <v>FRIDGEM_S1_P13</v>
          </cell>
          <cell r="C16" t="str">
            <v>Cream Cheese</v>
          </cell>
          <cell r="D16" t="str">
            <v>Kraft Heinz</v>
          </cell>
        </row>
        <row r="16">
          <cell r="F16" t="str">
            <v>NA only</v>
          </cell>
          <cell r="G16" t="str">
            <v>MNFRG-20M-01</v>
          </cell>
          <cell r="H16">
            <v>5280</v>
          </cell>
        </row>
        <row r="16">
          <cell r="J16">
            <v>69700</v>
          </cell>
          <cell r="K16">
            <v>0</v>
          </cell>
        </row>
        <row r="16">
          <cell r="M16">
            <v>60990</v>
          </cell>
          <cell r="N16">
            <v>0</v>
          </cell>
          <cell r="O16">
            <v>34850</v>
          </cell>
          <cell r="P16">
            <v>26130</v>
          </cell>
          <cell r="Q16">
            <v>26140</v>
          </cell>
          <cell r="R16">
            <v>0</v>
          </cell>
          <cell r="S16">
            <v>26130</v>
          </cell>
          <cell r="T16">
            <v>34850</v>
          </cell>
          <cell r="U16">
            <v>34850</v>
          </cell>
        </row>
        <row r="17">
          <cell r="B17" t="str">
            <v>FRIDGEM_S1_P14</v>
          </cell>
          <cell r="C17" t="str">
            <v>Cool Whip</v>
          </cell>
          <cell r="D17" t="str">
            <v>Kraft Heinz</v>
          </cell>
        </row>
        <row r="17">
          <cell r="F17" t="str">
            <v>NA only</v>
          </cell>
          <cell r="G17" t="str">
            <v>MNFRG-20M-01</v>
          </cell>
          <cell r="H17">
            <v>5280</v>
          </cell>
        </row>
        <row r="17">
          <cell r="J17">
            <v>69700</v>
          </cell>
          <cell r="K17">
            <v>0</v>
          </cell>
        </row>
        <row r="17">
          <cell r="M17">
            <v>60990</v>
          </cell>
          <cell r="N17">
            <v>0</v>
          </cell>
          <cell r="O17">
            <v>34850</v>
          </cell>
          <cell r="P17">
            <v>26130</v>
          </cell>
          <cell r="Q17">
            <v>26140</v>
          </cell>
          <cell r="R17">
            <v>0</v>
          </cell>
          <cell r="S17">
            <v>26130</v>
          </cell>
          <cell r="T17">
            <v>34850</v>
          </cell>
          <cell r="U17">
            <v>34850</v>
          </cell>
        </row>
        <row r="18">
          <cell r="B18" t="str">
            <v>FRIDGEM_S1_P17</v>
          </cell>
          <cell r="C18" t="str">
            <v>Chocolate</v>
          </cell>
          <cell r="D18" t="str">
            <v>Hershey's</v>
          </cell>
        </row>
        <row r="18">
          <cell r="F18" t="str">
            <v>NA/GLOBAL</v>
          </cell>
          <cell r="G18" t="str">
            <v>MNFRG-08M-01</v>
          </cell>
          <cell r="H18">
            <v>11314.2857142857</v>
          </cell>
        </row>
        <row r="18">
          <cell r="J18">
            <v>107330</v>
          </cell>
          <cell r="K18">
            <v>37620</v>
          </cell>
        </row>
        <row r="18">
          <cell r="M18">
            <v>60990</v>
          </cell>
          <cell r="N18">
            <v>37630</v>
          </cell>
          <cell r="O18">
            <v>34840</v>
          </cell>
          <cell r="P18">
            <v>63770</v>
          </cell>
          <cell r="Q18">
            <v>26130</v>
          </cell>
          <cell r="R18">
            <v>0</v>
          </cell>
          <cell r="S18">
            <v>26140</v>
          </cell>
          <cell r="T18">
            <v>34850</v>
          </cell>
          <cell r="U18">
            <v>72470</v>
          </cell>
        </row>
        <row r="19">
          <cell r="B19" t="str">
            <v>FRIDGEM_S1_P19</v>
          </cell>
          <cell r="C19" t="str">
            <v>Strawberry</v>
          </cell>
          <cell r="D19" t="str">
            <v>Hershey's</v>
          </cell>
        </row>
        <row r="19">
          <cell r="F19" t="str">
            <v>NA/GLOBAL</v>
          </cell>
          <cell r="G19" t="str">
            <v>MNFRG-08M-01</v>
          </cell>
        </row>
        <row r="19">
          <cell r="J19">
            <v>110110</v>
          </cell>
          <cell r="K19">
            <v>37620</v>
          </cell>
        </row>
        <row r="19">
          <cell r="M19">
            <v>63420</v>
          </cell>
          <cell r="N19">
            <v>37620</v>
          </cell>
          <cell r="O19">
            <v>36240</v>
          </cell>
          <cell r="P19">
            <v>64810</v>
          </cell>
          <cell r="Q19">
            <v>27170</v>
          </cell>
          <cell r="R19">
            <v>0</v>
          </cell>
          <cell r="S19">
            <v>27180</v>
          </cell>
          <cell r="T19">
            <v>36240</v>
          </cell>
          <cell r="U19">
            <v>73860</v>
          </cell>
        </row>
        <row r="20">
          <cell r="B20" t="str">
            <v>FRIDGEM_S1_F02</v>
          </cell>
          <cell r="C20" t="str">
            <v>Ore-Ida Crowns</v>
          </cell>
          <cell r="D20" t="str">
            <v>Kraft Heinz</v>
          </cell>
          <cell r="E20" t="str">
            <v>foil bag 铝箔袋</v>
          </cell>
          <cell r="F20" t="str">
            <v>NA only</v>
          </cell>
          <cell r="G20" t="str">
            <v>外购件</v>
          </cell>
        </row>
        <row r="20">
          <cell r="J20">
            <v>72480</v>
          </cell>
          <cell r="K20">
            <v>0</v>
          </cell>
        </row>
        <row r="20">
          <cell r="M20">
            <v>63420</v>
          </cell>
          <cell r="N20">
            <v>0</v>
          </cell>
          <cell r="O20">
            <v>36230</v>
          </cell>
          <cell r="P20">
            <v>27180</v>
          </cell>
          <cell r="Q20">
            <v>27180</v>
          </cell>
          <cell r="R20">
            <v>0</v>
          </cell>
          <cell r="S20">
            <v>27180</v>
          </cell>
          <cell r="T20">
            <v>36230</v>
          </cell>
          <cell r="U20">
            <v>36240</v>
          </cell>
        </row>
        <row r="21">
          <cell r="B21" t="str">
            <v>FRIDGEM_S1_F03</v>
          </cell>
          <cell r="C21" t="str">
            <v>Ore-Ida Hash Browns</v>
          </cell>
          <cell r="D21" t="str">
            <v>Kraft Heinz</v>
          </cell>
          <cell r="E21" t="str">
            <v>foil bag 铝箔袋</v>
          </cell>
          <cell r="F21" t="str">
            <v>NA only</v>
          </cell>
          <cell r="G21" t="str">
            <v>外购件</v>
          </cell>
        </row>
        <row r="21">
          <cell r="J21">
            <v>72480</v>
          </cell>
          <cell r="K21">
            <v>0</v>
          </cell>
        </row>
        <row r="21">
          <cell r="M21">
            <v>63420</v>
          </cell>
          <cell r="N21">
            <v>0</v>
          </cell>
          <cell r="O21">
            <v>36230</v>
          </cell>
          <cell r="P21">
            <v>27180</v>
          </cell>
          <cell r="Q21">
            <v>27180</v>
          </cell>
          <cell r="R21">
            <v>0</v>
          </cell>
          <cell r="S21">
            <v>27180</v>
          </cell>
          <cell r="T21">
            <v>36230</v>
          </cell>
          <cell r="U21">
            <v>36240</v>
          </cell>
        </row>
        <row r="22">
          <cell r="B22" t="str">
            <v>FRIDGEM_S1_C06</v>
          </cell>
          <cell r="C22" t="str">
            <v>Bagel Bites 9CT Cheese</v>
          </cell>
          <cell r="D22" t="str">
            <v>Kraft Heinz</v>
          </cell>
          <cell r="E22" t="str">
            <v>cardboard 纸盒</v>
          </cell>
          <cell r="F22" t="str">
            <v>NA only</v>
          </cell>
          <cell r="G22" t="str">
            <v>外购件</v>
          </cell>
        </row>
        <row r="22">
          <cell r="J22">
            <v>72480</v>
          </cell>
          <cell r="K22">
            <v>0</v>
          </cell>
        </row>
        <row r="22">
          <cell r="M22">
            <v>63420</v>
          </cell>
          <cell r="N22">
            <v>0</v>
          </cell>
          <cell r="O22">
            <v>36230</v>
          </cell>
          <cell r="P22">
            <v>27180</v>
          </cell>
          <cell r="Q22">
            <v>27180</v>
          </cell>
          <cell r="R22">
            <v>0</v>
          </cell>
          <cell r="S22">
            <v>27180</v>
          </cell>
          <cell r="T22">
            <v>36230</v>
          </cell>
          <cell r="U22">
            <v>36240</v>
          </cell>
        </row>
        <row r="23">
          <cell r="B23" t="str">
            <v>FRIDGEM_S1_F04</v>
          </cell>
          <cell r="C23" t="str">
            <v>Cheese Slices</v>
          </cell>
          <cell r="D23" t="str">
            <v>Kraft Heinz</v>
          </cell>
          <cell r="E23" t="str">
            <v>foil bag 铝箔袋</v>
          </cell>
          <cell r="F23" t="str">
            <v>NA only</v>
          </cell>
          <cell r="G23" t="str">
            <v>外购件</v>
          </cell>
        </row>
        <row r="23">
          <cell r="J23">
            <v>57830</v>
          </cell>
          <cell r="K23">
            <v>0</v>
          </cell>
        </row>
        <row r="23">
          <cell r="M23">
            <v>50600</v>
          </cell>
          <cell r="N23">
            <v>0</v>
          </cell>
          <cell r="O23">
            <v>28920</v>
          </cell>
          <cell r="P23">
            <v>21680</v>
          </cell>
          <cell r="Q23">
            <v>21690</v>
          </cell>
          <cell r="R23">
            <v>0</v>
          </cell>
          <cell r="S23">
            <v>21680</v>
          </cell>
          <cell r="T23">
            <v>28920</v>
          </cell>
          <cell r="U23">
            <v>28910</v>
          </cell>
        </row>
        <row r="24">
          <cell r="B24" t="str">
            <v>FRIDGEM_S1_P20</v>
          </cell>
          <cell r="C24" t="str">
            <v>Zesty Italian Dressing</v>
          </cell>
          <cell r="D24" t="str">
            <v>Kraft Heinz</v>
          </cell>
        </row>
        <row r="24">
          <cell r="F24" t="str">
            <v>NA only</v>
          </cell>
          <cell r="G24" t="str">
            <v>MNFRG-09M-01</v>
          </cell>
          <cell r="H24">
            <v>5657</v>
          </cell>
        </row>
        <row r="24">
          <cell r="J24">
            <v>57830</v>
          </cell>
          <cell r="K24">
            <v>0</v>
          </cell>
        </row>
        <row r="24">
          <cell r="M24">
            <v>50600</v>
          </cell>
          <cell r="N24">
            <v>0</v>
          </cell>
          <cell r="O24">
            <v>28920</v>
          </cell>
          <cell r="P24">
            <v>21680</v>
          </cell>
          <cell r="Q24">
            <v>21690</v>
          </cell>
          <cell r="R24">
            <v>0</v>
          </cell>
          <cell r="S24">
            <v>21680</v>
          </cell>
          <cell r="T24">
            <v>28920</v>
          </cell>
          <cell r="U24">
            <v>28910</v>
          </cell>
        </row>
        <row r="25">
          <cell r="B25" t="str">
            <v>FRIDGEM_S1_P21</v>
          </cell>
          <cell r="C25" t="str">
            <v>The Original</v>
          </cell>
          <cell r="D25" t="str">
            <v>Peperami</v>
          </cell>
        </row>
        <row r="25">
          <cell r="F25" t="str">
            <v>NA/GLOBAL</v>
          </cell>
          <cell r="G25" t="str">
            <v>MNFRG-14M-01</v>
          </cell>
          <cell r="H25">
            <v>8486</v>
          </cell>
        </row>
        <row r="25">
          <cell r="J25">
            <v>101390</v>
          </cell>
          <cell r="K25">
            <v>43560</v>
          </cell>
        </row>
        <row r="25">
          <cell r="M25">
            <v>50600</v>
          </cell>
          <cell r="N25">
            <v>43560</v>
          </cell>
          <cell r="O25">
            <v>28920</v>
          </cell>
          <cell r="P25">
            <v>65250</v>
          </cell>
          <cell r="Q25">
            <v>21680</v>
          </cell>
          <cell r="R25">
            <v>0</v>
          </cell>
          <cell r="S25">
            <v>21690</v>
          </cell>
          <cell r="T25">
            <v>28910</v>
          </cell>
          <cell r="U25">
            <v>72480</v>
          </cell>
        </row>
        <row r="26">
          <cell r="B26" t="str">
            <v>FRIDGEM_S1_P55</v>
          </cell>
          <cell r="C26" t="str">
            <v>Cooked Loboster</v>
          </cell>
          <cell r="D26" t="str">
            <v>N/A</v>
          </cell>
        </row>
        <row r="26">
          <cell r="F26" t="str">
            <v>NA/GLOBAL</v>
          </cell>
          <cell r="G26" t="str">
            <v>MNFRG-18M-01</v>
          </cell>
          <cell r="H26">
            <v>11314</v>
          </cell>
        </row>
        <row r="26">
          <cell r="J26">
            <v>240690</v>
          </cell>
          <cell r="K26">
            <v>60890</v>
          </cell>
        </row>
        <row r="26">
          <cell r="M26">
            <v>157330</v>
          </cell>
          <cell r="N26">
            <v>60890</v>
          </cell>
          <cell r="O26">
            <v>89900</v>
          </cell>
          <cell r="P26">
            <v>128310</v>
          </cell>
          <cell r="Q26">
            <v>67420</v>
          </cell>
          <cell r="R26">
            <v>0</v>
          </cell>
          <cell r="S26">
            <v>67430</v>
          </cell>
          <cell r="T26">
            <v>89900</v>
          </cell>
          <cell r="U26">
            <v>150790</v>
          </cell>
        </row>
        <row r="27">
          <cell r="B27" t="str">
            <v>FRIDGEM_S1_P56</v>
          </cell>
          <cell r="C27" t="str">
            <v>Fishes</v>
          </cell>
          <cell r="D27" t="str">
            <v>N/A</v>
          </cell>
        </row>
        <row r="27">
          <cell r="F27" t="str">
            <v>NA/GLOBAL</v>
          </cell>
          <cell r="G27" t="str">
            <v>MNFRG-18M-01;MNFRG-23M-01</v>
          </cell>
          <cell r="H27">
            <v>11314</v>
          </cell>
        </row>
        <row r="27">
          <cell r="J27">
            <v>240690</v>
          </cell>
          <cell r="K27">
            <v>60890</v>
          </cell>
        </row>
        <row r="27">
          <cell r="M27">
            <v>157330</v>
          </cell>
          <cell r="N27">
            <v>60890</v>
          </cell>
          <cell r="O27">
            <v>89900</v>
          </cell>
          <cell r="P27">
            <v>128310</v>
          </cell>
          <cell r="Q27">
            <v>67420</v>
          </cell>
          <cell r="R27">
            <v>0</v>
          </cell>
          <cell r="S27">
            <v>67430</v>
          </cell>
          <cell r="T27">
            <v>89900</v>
          </cell>
          <cell r="U27">
            <v>150790</v>
          </cell>
        </row>
        <row r="28">
          <cell r="B28" t="str">
            <v>FRIDGEM_S1_P57</v>
          </cell>
          <cell r="C28" t="str">
            <v>Lamp Chops</v>
          </cell>
          <cell r="D28" t="str">
            <v>N/A</v>
          </cell>
        </row>
        <row r="28">
          <cell r="F28" t="str">
            <v>NA/GLOBAL</v>
          </cell>
          <cell r="G28" t="str">
            <v>MNFRG-17M-01,MNFRG-22M-01</v>
          </cell>
          <cell r="H28">
            <v>11314</v>
          </cell>
        </row>
        <row r="28">
          <cell r="J28">
            <v>240690</v>
          </cell>
          <cell r="K28">
            <v>60890</v>
          </cell>
        </row>
        <row r="28">
          <cell r="M28">
            <v>157330</v>
          </cell>
          <cell r="N28">
            <v>60890</v>
          </cell>
          <cell r="O28">
            <v>89900</v>
          </cell>
          <cell r="P28">
            <v>128310</v>
          </cell>
          <cell r="Q28">
            <v>67420</v>
          </cell>
          <cell r="R28">
            <v>0</v>
          </cell>
          <cell r="S28">
            <v>67430</v>
          </cell>
          <cell r="T28">
            <v>89900</v>
          </cell>
          <cell r="U28">
            <v>150790</v>
          </cell>
        </row>
        <row r="29">
          <cell r="B29" t="str">
            <v>FRIDGEM_S1_P58</v>
          </cell>
          <cell r="C29" t="str">
            <v>Broccoli Florets</v>
          </cell>
          <cell r="D29" t="str">
            <v>N/A</v>
          </cell>
        </row>
        <row r="29">
          <cell r="F29" t="str">
            <v>NA/GLOBAL</v>
          </cell>
          <cell r="G29" t="str">
            <v>MNFRG-17M-01</v>
          </cell>
          <cell r="H29">
            <v>11314</v>
          </cell>
        </row>
        <row r="29">
          <cell r="J29">
            <v>240690</v>
          </cell>
          <cell r="K29">
            <v>60890</v>
          </cell>
        </row>
        <row r="29">
          <cell r="M29">
            <v>157330</v>
          </cell>
          <cell r="N29">
            <v>60890</v>
          </cell>
          <cell r="O29">
            <v>89900</v>
          </cell>
          <cell r="P29">
            <v>128310</v>
          </cell>
          <cell r="Q29">
            <v>67420</v>
          </cell>
          <cell r="R29">
            <v>0</v>
          </cell>
          <cell r="S29">
            <v>67430</v>
          </cell>
          <cell r="T29">
            <v>89900</v>
          </cell>
          <cell r="U29">
            <v>150790</v>
          </cell>
        </row>
        <row r="30">
          <cell r="B30" t="str">
            <v>FRIDGEM_S1_P59</v>
          </cell>
          <cell r="C30" t="str">
            <v>Eggplant</v>
          </cell>
          <cell r="D30" t="str">
            <v>N/A</v>
          </cell>
        </row>
        <row r="30">
          <cell r="F30" t="str">
            <v>NA/GLOBAL</v>
          </cell>
          <cell r="G30" t="str">
            <v>MNFRG-12M-01；MNFRG-24M-01</v>
          </cell>
          <cell r="H30">
            <v>15840</v>
          </cell>
        </row>
        <row r="30">
          <cell r="J30">
            <v>252720</v>
          </cell>
          <cell r="K30">
            <v>72920</v>
          </cell>
        </row>
        <row r="30">
          <cell r="M30">
            <v>157320</v>
          </cell>
          <cell r="N30">
            <v>72920</v>
          </cell>
          <cell r="O30">
            <v>89900</v>
          </cell>
          <cell r="P30">
            <v>140340</v>
          </cell>
          <cell r="Q30">
            <v>67420</v>
          </cell>
          <cell r="R30">
            <v>0</v>
          </cell>
          <cell r="S30">
            <v>67420</v>
          </cell>
          <cell r="T30">
            <v>89900</v>
          </cell>
          <cell r="U30">
            <v>162820</v>
          </cell>
        </row>
        <row r="31">
          <cell r="B31" t="str">
            <v>FRIDGEM_S1_P60</v>
          </cell>
          <cell r="C31" t="str">
            <v>Fruit Tray</v>
          </cell>
          <cell r="D31" t="str">
            <v>N/A</v>
          </cell>
        </row>
        <row r="31">
          <cell r="F31" t="str">
            <v>NA/GLOBAL</v>
          </cell>
          <cell r="G31" t="str">
            <v>MNFRG-06M-01;MNFRG-26M-01</v>
          </cell>
          <cell r="H31">
            <v>15840</v>
          </cell>
        </row>
        <row r="31">
          <cell r="J31">
            <v>252720</v>
          </cell>
          <cell r="K31">
            <v>73220</v>
          </cell>
        </row>
        <row r="31">
          <cell r="M31">
            <v>157620</v>
          </cell>
          <cell r="N31">
            <v>72920</v>
          </cell>
          <cell r="O31">
            <v>89900</v>
          </cell>
          <cell r="P31">
            <v>140340</v>
          </cell>
          <cell r="Q31">
            <v>67420</v>
          </cell>
          <cell r="R31">
            <v>0</v>
          </cell>
          <cell r="S31">
            <v>67420</v>
          </cell>
          <cell r="T31">
            <v>89900</v>
          </cell>
          <cell r="U31">
            <v>162820</v>
          </cell>
        </row>
        <row r="32">
          <cell r="B32" t="str">
            <v>FRIDGEM_S1_P61</v>
          </cell>
          <cell r="C32" t="str">
            <v>Oats Jar</v>
          </cell>
          <cell r="D32" t="str">
            <v>N/A</v>
          </cell>
        </row>
        <row r="32">
          <cell r="F32" t="str">
            <v>NA/GLOBAL, SK DEMO</v>
          </cell>
          <cell r="G32" t="str">
            <v>MNFRG-10M-01;MNFRG-25M-01</v>
          </cell>
          <cell r="H32">
            <v>15840</v>
          </cell>
        </row>
        <row r="32">
          <cell r="J32">
            <v>254220</v>
          </cell>
          <cell r="K32">
            <v>72920</v>
          </cell>
        </row>
        <row r="32">
          <cell r="M32">
            <v>157320</v>
          </cell>
          <cell r="N32">
            <v>72920</v>
          </cell>
          <cell r="O32">
            <v>89900</v>
          </cell>
          <cell r="P32">
            <v>140340</v>
          </cell>
          <cell r="Q32">
            <v>67420</v>
          </cell>
          <cell r="R32">
            <v>0</v>
          </cell>
          <cell r="S32">
            <v>67420</v>
          </cell>
          <cell r="T32">
            <v>89900</v>
          </cell>
          <cell r="U32">
            <v>162820</v>
          </cell>
        </row>
        <row r="33">
          <cell r="B33" t="str">
            <v>FRIDGEM_S1_P62</v>
          </cell>
          <cell r="C33" t="str">
            <v>Kombucha</v>
          </cell>
          <cell r="D33" t="str">
            <v>N/A</v>
          </cell>
        </row>
        <row r="33">
          <cell r="F33" t="str">
            <v>NA/GLOBAL, SK DEMO</v>
          </cell>
          <cell r="G33" t="str">
            <v>MNFRG-03M-01,MNFRG-18M-01</v>
          </cell>
          <cell r="H33">
            <v>16971</v>
          </cell>
        </row>
        <row r="33">
          <cell r="J33">
            <v>254220</v>
          </cell>
          <cell r="K33">
            <v>72920</v>
          </cell>
        </row>
        <row r="33">
          <cell r="M33">
            <v>157320</v>
          </cell>
          <cell r="N33">
            <v>72920</v>
          </cell>
          <cell r="O33">
            <v>89900</v>
          </cell>
          <cell r="P33">
            <v>140340</v>
          </cell>
          <cell r="Q33">
            <v>67420</v>
          </cell>
          <cell r="R33">
            <v>0</v>
          </cell>
          <cell r="S33">
            <v>67420</v>
          </cell>
          <cell r="T33">
            <v>89900</v>
          </cell>
          <cell r="U33">
            <v>162820</v>
          </cell>
        </row>
        <row r="34">
          <cell r="B34" t="str">
            <v>FRIDGEM_S1_P63</v>
          </cell>
          <cell r="C34" t="str">
            <v>Turmeric Shot</v>
          </cell>
          <cell r="D34" t="str">
            <v>N/A</v>
          </cell>
        </row>
        <row r="34">
          <cell r="F34" t="str">
            <v>NA/GLOBAL</v>
          </cell>
          <cell r="G34" t="str">
            <v>MNFRG-09M-01</v>
          </cell>
          <cell r="H34">
            <v>16971.4285714286</v>
          </cell>
        </row>
        <row r="34">
          <cell r="J34">
            <v>272230</v>
          </cell>
          <cell r="K34">
            <v>75000</v>
          </cell>
        </row>
        <row r="34">
          <cell r="M34">
            <v>172570</v>
          </cell>
          <cell r="N34">
            <v>75000</v>
          </cell>
          <cell r="O34">
            <v>98610</v>
          </cell>
          <cell r="P34">
            <v>148960</v>
          </cell>
          <cell r="Q34">
            <v>73950</v>
          </cell>
          <cell r="R34">
            <v>0</v>
          </cell>
          <cell r="S34">
            <v>73960</v>
          </cell>
          <cell r="T34">
            <v>98610</v>
          </cell>
          <cell r="U34">
            <v>173610</v>
          </cell>
        </row>
        <row r="35">
          <cell r="B35" t="str">
            <v>FRIDGEM_S1_P64</v>
          </cell>
          <cell r="C35" t="str">
            <v>Milk</v>
          </cell>
          <cell r="D35" t="str">
            <v>N/A</v>
          </cell>
        </row>
        <row r="35">
          <cell r="F35" t="str">
            <v>NA/GLOBAL</v>
          </cell>
          <cell r="G35" t="str">
            <v>MNFRG-07M-01</v>
          </cell>
          <cell r="H35">
            <v>16971.4285714286</v>
          </cell>
        </row>
        <row r="35">
          <cell r="J35">
            <v>272230</v>
          </cell>
          <cell r="K35">
            <v>75000</v>
          </cell>
        </row>
        <row r="35">
          <cell r="M35">
            <v>172570</v>
          </cell>
          <cell r="N35">
            <v>75000</v>
          </cell>
          <cell r="O35">
            <v>98610</v>
          </cell>
          <cell r="P35">
            <v>148960</v>
          </cell>
          <cell r="Q35">
            <v>73950</v>
          </cell>
          <cell r="R35">
            <v>0</v>
          </cell>
          <cell r="S35">
            <v>73960</v>
          </cell>
          <cell r="T35">
            <v>98610</v>
          </cell>
          <cell r="U35">
            <v>173610</v>
          </cell>
        </row>
        <row r="36">
          <cell r="B36" t="str">
            <v>FRIDGEM_S1_P65</v>
          </cell>
          <cell r="C36" t="str">
            <v>Juice</v>
          </cell>
          <cell r="D36" t="str">
            <v>N/A</v>
          </cell>
        </row>
        <row r="36">
          <cell r="F36" t="str">
            <v>NA/GLOBAL</v>
          </cell>
          <cell r="G36" t="str">
            <v>MNFRG-02M-01</v>
          </cell>
          <cell r="H36">
            <v>16971.4285714286</v>
          </cell>
        </row>
        <row r="36">
          <cell r="J36">
            <v>272230</v>
          </cell>
          <cell r="K36">
            <v>75000</v>
          </cell>
        </row>
        <row r="36">
          <cell r="M36">
            <v>172570</v>
          </cell>
          <cell r="N36">
            <v>75000</v>
          </cell>
          <cell r="O36">
            <v>98610</v>
          </cell>
          <cell r="P36">
            <v>148960</v>
          </cell>
          <cell r="Q36">
            <v>73950</v>
          </cell>
          <cell r="R36">
            <v>0</v>
          </cell>
          <cell r="S36">
            <v>73960</v>
          </cell>
          <cell r="T36">
            <v>98610</v>
          </cell>
          <cell r="U36">
            <v>173610</v>
          </cell>
        </row>
        <row r="37">
          <cell r="B37" t="str">
            <v>FRIDGEM_S1_P66</v>
          </cell>
          <cell r="C37" t="str">
            <v>Water</v>
          </cell>
          <cell r="D37" t="str">
            <v>N/A</v>
          </cell>
        </row>
        <row r="37">
          <cell r="F37" t="str">
            <v>NA/GLOBAL</v>
          </cell>
          <cell r="G37" t="str">
            <v>MNFRG-01M-01</v>
          </cell>
          <cell r="H37">
            <v>16971.4285714286</v>
          </cell>
        </row>
        <row r="37">
          <cell r="J37">
            <v>272230</v>
          </cell>
          <cell r="K37">
            <v>75000</v>
          </cell>
        </row>
        <row r="37">
          <cell r="M37">
            <v>172570</v>
          </cell>
          <cell r="N37">
            <v>75000</v>
          </cell>
          <cell r="O37">
            <v>98610</v>
          </cell>
          <cell r="P37">
            <v>148960</v>
          </cell>
          <cell r="Q37">
            <v>73950</v>
          </cell>
          <cell r="R37">
            <v>0</v>
          </cell>
          <cell r="S37">
            <v>73960</v>
          </cell>
          <cell r="T37">
            <v>98610</v>
          </cell>
          <cell r="U37">
            <v>173610</v>
          </cell>
        </row>
        <row r="38">
          <cell r="B38" t="str">
            <v>FRIDGEM_S1_P01</v>
          </cell>
          <cell r="C38" t="str">
            <v>Cheese Pasta</v>
          </cell>
          <cell r="D38" t="str">
            <v>Hormel</v>
          </cell>
        </row>
        <row r="38">
          <cell r="F38" t="str">
            <v>NA/GLOBAL, PDQ DEMO</v>
          </cell>
          <cell r="G38" t="str">
            <v>MNFRG-19M-01，MNFRG-22M-01</v>
          </cell>
          <cell r="H38">
            <v>15840</v>
          </cell>
        </row>
        <row r="38">
          <cell r="J38">
            <v>126310</v>
          </cell>
          <cell r="K38">
            <v>33140</v>
          </cell>
        </row>
        <row r="38">
          <cell r="M38">
            <v>48890</v>
          </cell>
          <cell r="N38">
            <v>31140</v>
          </cell>
          <cell r="O38">
            <v>30080</v>
          </cell>
          <cell r="P38">
            <v>49950</v>
          </cell>
          <cell r="Q38">
            <v>21820</v>
          </cell>
          <cell r="R38">
            <v>0</v>
          </cell>
          <cell r="S38">
            <v>22810</v>
          </cell>
          <cell r="T38">
            <v>81080</v>
          </cell>
          <cell r="U38">
            <v>71220</v>
          </cell>
        </row>
        <row r="39">
          <cell r="B39" t="str">
            <v>FRIDGEM_S1_P02</v>
          </cell>
          <cell r="C39" t="str">
            <v>Mashed Potatoes</v>
          </cell>
          <cell r="D39" t="str">
            <v>Hormel</v>
          </cell>
        </row>
        <row r="39">
          <cell r="F39" t="str">
            <v>NA/GLOBAL</v>
          </cell>
          <cell r="G39" t="str">
            <v>MNFRG-19M-01，MNFRG-22M-01</v>
          </cell>
        </row>
        <row r="39">
          <cell r="J39">
            <v>76310</v>
          </cell>
          <cell r="K39">
            <v>26140</v>
          </cell>
        </row>
        <row r="39">
          <cell r="M39">
            <v>43890</v>
          </cell>
          <cell r="N39">
            <v>26140</v>
          </cell>
          <cell r="O39">
            <v>25080</v>
          </cell>
          <cell r="P39">
            <v>44950</v>
          </cell>
          <cell r="Q39">
            <v>18820</v>
          </cell>
          <cell r="R39">
            <v>0</v>
          </cell>
          <cell r="S39">
            <v>18810</v>
          </cell>
          <cell r="T39">
            <v>25080</v>
          </cell>
          <cell r="U39">
            <v>51220</v>
          </cell>
        </row>
        <row r="40">
          <cell r="B40" t="str">
            <v>FRIDGEM_S1_P07</v>
          </cell>
          <cell r="C40" t="str">
            <v>Mayonnaise</v>
          </cell>
          <cell r="D40" t="str">
            <v>Kraft Heinz</v>
          </cell>
        </row>
        <row r="40">
          <cell r="F40" t="str">
            <v>NA</v>
          </cell>
          <cell r="G40" t="str">
            <v>MNFRG-07M-01</v>
          </cell>
          <cell r="H40">
            <v>5657</v>
          </cell>
        </row>
        <row r="40">
          <cell r="J40">
            <v>50170</v>
          </cell>
          <cell r="K40">
            <v>0</v>
          </cell>
        </row>
        <row r="40">
          <cell r="M40">
            <v>43900</v>
          </cell>
          <cell r="N40">
            <v>0</v>
          </cell>
          <cell r="O40">
            <v>25080</v>
          </cell>
          <cell r="P40">
            <v>18820</v>
          </cell>
          <cell r="Q40">
            <v>18810</v>
          </cell>
          <cell r="R40">
            <v>0</v>
          </cell>
          <cell r="S40">
            <v>18810</v>
          </cell>
          <cell r="T40">
            <v>25090</v>
          </cell>
          <cell r="U40">
            <v>25080</v>
          </cell>
        </row>
        <row r="41">
          <cell r="B41" t="str">
            <v>FRIDGEM_S1_P08</v>
          </cell>
          <cell r="C41" t="str">
            <v>Barbecue Sauce</v>
          </cell>
          <cell r="D41" t="str">
            <v>Kraft Heinz</v>
          </cell>
        </row>
        <row r="41">
          <cell r="F41" t="str">
            <v>NA</v>
          </cell>
          <cell r="G41" t="str">
            <v>MNFRG-08M-01</v>
          </cell>
          <cell r="H41">
            <v>5657</v>
          </cell>
        </row>
        <row r="41">
          <cell r="J41">
            <v>52280</v>
          </cell>
          <cell r="K41">
            <v>0</v>
          </cell>
        </row>
        <row r="41">
          <cell r="M41">
            <v>45740</v>
          </cell>
          <cell r="N41">
            <v>0</v>
          </cell>
          <cell r="O41">
            <v>26130</v>
          </cell>
          <cell r="P41">
            <v>19600</v>
          </cell>
          <cell r="Q41">
            <v>19610</v>
          </cell>
          <cell r="R41">
            <v>0</v>
          </cell>
          <cell r="S41">
            <v>19600</v>
          </cell>
          <cell r="T41">
            <v>26140</v>
          </cell>
          <cell r="U41">
            <v>26130</v>
          </cell>
        </row>
        <row r="42">
          <cell r="B42" t="str">
            <v>FRIDGEM_S1_P18</v>
          </cell>
          <cell r="C42" t="str">
            <v>Mini Chocolate</v>
          </cell>
          <cell r="D42" t="str">
            <v>Hershey's</v>
          </cell>
        </row>
        <row r="42">
          <cell r="F42" t="str">
            <v>NA/GLOBAL</v>
          </cell>
          <cell r="G42" t="str">
            <v>MNFRG-08M-01</v>
          </cell>
        </row>
        <row r="42">
          <cell r="I42" t="str">
            <v>mini mini mins</v>
          </cell>
          <cell r="J42">
            <v>35430</v>
          </cell>
          <cell r="K42">
            <v>9660</v>
          </cell>
        </row>
        <row r="42">
          <cell r="M42">
            <v>22540</v>
          </cell>
          <cell r="N42">
            <v>9660</v>
          </cell>
          <cell r="O42">
            <v>12880</v>
          </cell>
          <cell r="P42">
            <v>19330</v>
          </cell>
          <cell r="Q42">
            <v>9660</v>
          </cell>
          <cell r="R42">
            <v>0</v>
          </cell>
          <cell r="S42">
            <v>9660</v>
          </cell>
          <cell r="T42">
            <v>12880</v>
          </cell>
          <cell r="U42">
            <v>22540</v>
          </cell>
        </row>
        <row r="43">
          <cell r="B43" t="str">
            <v>FRIDGEM_S1_C01</v>
          </cell>
          <cell r="C43" t="str">
            <v>Honey Deli Ham</v>
          </cell>
          <cell r="D43" t="str">
            <v>Hormel</v>
          </cell>
          <cell r="E43" t="str">
            <v>cardboard 纸盒</v>
          </cell>
          <cell r="F43" t="str">
            <v>NA/GLOBAL</v>
          </cell>
          <cell r="G43" t="str">
            <v>外购件</v>
          </cell>
        </row>
        <row r="43">
          <cell r="J43">
            <v>78410</v>
          </cell>
          <cell r="K43">
            <v>26440</v>
          </cell>
        </row>
        <row r="43">
          <cell r="M43">
            <v>46040</v>
          </cell>
          <cell r="N43">
            <v>26140</v>
          </cell>
          <cell r="O43">
            <v>26130</v>
          </cell>
          <cell r="P43">
            <v>45740</v>
          </cell>
          <cell r="Q43">
            <v>19600</v>
          </cell>
          <cell r="R43">
            <v>0</v>
          </cell>
          <cell r="S43">
            <v>19600</v>
          </cell>
          <cell r="T43">
            <v>26140</v>
          </cell>
          <cell r="U43">
            <v>52270</v>
          </cell>
        </row>
        <row r="44">
          <cell r="B44" t="str">
            <v>FRIDGEM_S1_C02</v>
          </cell>
          <cell r="C44" t="str">
            <v>Deli Turkey</v>
          </cell>
          <cell r="D44" t="str">
            <v>Hormel</v>
          </cell>
          <cell r="E44" t="str">
            <v>cardboard 纸盒</v>
          </cell>
          <cell r="F44" t="str">
            <v>NA/GLOBAL</v>
          </cell>
          <cell r="G44" t="str">
            <v>外购件</v>
          </cell>
        </row>
        <row r="44">
          <cell r="J44">
            <v>78410</v>
          </cell>
          <cell r="K44">
            <v>26140</v>
          </cell>
        </row>
        <row r="44">
          <cell r="M44">
            <v>45740</v>
          </cell>
          <cell r="N44">
            <v>26140</v>
          </cell>
          <cell r="O44">
            <v>26130</v>
          </cell>
          <cell r="P44">
            <v>45740</v>
          </cell>
          <cell r="Q44">
            <v>19600</v>
          </cell>
          <cell r="R44">
            <v>0</v>
          </cell>
          <cell r="S44">
            <v>19600</v>
          </cell>
          <cell r="T44">
            <v>26140</v>
          </cell>
          <cell r="U44">
            <v>52270</v>
          </cell>
        </row>
        <row r="45">
          <cell r="B45" t="str">
            <v>FRIDGEM_S1_F01</v>
          </cell>
          <cell r="C45" t="str">
            <v>Morning Star Farms Sausage Patties</v>
          </cell>
          <cell r="D45" t="str">
            <v>Kelloggs's Eggo</v>
          </cell>
          <cell r="E45" t="str">
            <v>foil bag 铝箔袋</v>
          </cell>
          <cell r="F45" t="str">
            <v>NA/GLOBAL</v>
          </cell>
          <cell r="G45" t="str">
            <v>外购件</v>
          </cell>
        </row>
        <row r="45">
          <cell r="J45">
            <v>87130</v>
          </cell>
          <cell r="K45">
            <v>34840</v>
          </cell>
        </row>
        <row r="45">
          <cell r="M45">
            <v>45740</v>
          </cell>
          <cell r="N45">
            <v>34850</v>
          </cell>
          <cell r="O45">
            <v>26140</v>
          </cell>
          <cell r="P45">
            <v>54450</v>
          </cell>
          <cell r="Q45">
            <v>19600</v>
          </cell>
          <cell r="R45">
            <v>0</v>
          </cell>
          <cell r="S45">
            <v>19600</v>
          </cell>
          <cell r="T45">
            <v>26140</v>
          </cell>
          <cell r="U45">
            <v>60980</v>
          </cell>
        </row>
        <row r="46">
          <cell r="B46" t="str">
            <v>FRIDGEM_S1_P03</v>
          </cell>
          <cell r="C46" t="str">
            <v>Thick Cut Bacon</v>
          </cell>
          <cell r="D46" t="str">
            <v>Hormel</v>
          </cell>
        </row>
        <row r="46">
          <cell r="F46" t="str">
            <v>NA/GLOBAL</v>
          </cell>
          <cell r="G46" t="str">
            <v>MNFRG-17M-01</v>
          </cell>
          <cell r="H46">
            <v>5657</v>
          </cell>
        </row>
        <row r="46">
          <cell r="J46">
            <v>87130</v>
          </cell>
          <cell r="K46">
            <v>34840</v>
          </cell>
        </row>
        <row r="46">
          <cell r="M46">
            <v>45740</v>
          </cell>
          <cell r="N46">
            <v>34850</v>
          </cell>
          <cell r="O46">
            <v>26140</v>
          </cell>
          <cell r="P46">
            <v>54450</v>
          </cell>
          <cell r="Q46">
            <v>19600</v>
          </cell>
          <cell r="R46">
            <v>0</v>
          </cell>
          <cell r="S46">
            <v>19600</v>
          </cell>
          <cell r="T46">
            <v>26140</v>
          </cell>
          <cell r="U46">
            <v>60980</v>
          </cell>
        </row>
        <row r="47">
          <cell r="B47" t="str">
            <v>FRIDGEM_S1_P04</v>
          </cell>
          <cell r="C47" t="str">
            <v>Thick Cut Stack Pack</v>
          </cell>
          <cell r="D47" t="str">
            <v>Hormel</v>
          </cell>
        </row>
        <row r="47">
          <cell r="F47" t="str">
            <v>NA/GLOBAL</v>
          </cell>
          <cell r="G47" t="str">
            <v>MNFRG-17M-01</v>
          </cell>
          <cell r="H47">
            <v>5657</v>
          </cell>
        </row>
        <row r="47">
          <cell r="J47">
            <v>87130</v>
          </cell>
          <cell r="K47">
            <v>34840</v>
          </cell>
        </row>
        <row r="47">
          <cell r="M47">
            <v>45740</v>
          </cell>
          <cell r="N47">
            <v>34850</v>
          </cell>
          <cell r="O47">
            <v>26140</v>
          </cell>
          <cell r="P47">
            <v>54450</v>
          </cell>
          <cell r="Q47">
            <v>19600</v>
          </cell>
          <cell r="R47">
            <v>0</v>
          </cell>
          <cell r="S47">
            <v>19600</v>
          </cell>
          <cell r="T47">
            <v>26140</v>
          </cell>
          <cell r="U47">
            <v>60980</v>
          </cell>
        </row>
        <row r="48">
          <cell r="B48" t="str">
            <v>FRIDGEM_S1_C03</v>
          </cell>
          <cell r="C48" t="str">
            <v>Homestyle Waffles</v>
          </cell>
          <cell r="D48" t="str">
            <v>Kelloggs's Eggo</v>
          </cell>
          <cell r="E48" t="str">
            <v>cardboard 纸盒</v>
          </cell>
          <cell r="F48" t="str">
            <v>NA/GLOBAL, SK DEMO</v>
          </cell>
          <cell r="G48" t="str">
            <v>外购件</v>
          </cell>
        </row>
        <row r="48">
          <cell r="J48">
            <v>90020</v>
          </cell>
          <cell r="K48">
            <v>36530</v>
          </cell>
        </row>
        <row r="48">
          <cell r="M48">
            <v>46040</v>
          </cell>
          <cell r="N48">
            <v>36240</v>
          </cell>
          <cell r="O48">
            <v>26130</v>
          </cell>
          <cell r="P48">
            <v>55840</v>
          </cell>
          <cell r="Q48">
            <v>19610</v>
          </cell>
          <cell r="R48">
            <v>0</v>
          </cell>
          <cell r="S48">
            <v>19600</v>
          </cell>
          <cell r="T48">
            <v>26140</v>
          </cell>
          <cell r="U48">
            <v>62370</v>
          </cell>
        </row>
        <row r="49">
          <cell r="B49" t="str">
            <v>FRIDGEM_S1_P09</v>
          </cell>
          <cell r="C49" t="str">
            <v>Jell-O Strawberry Gelatin Snacks</v>
          </cell>
          <cell r="D49" t="str">
            <v>Kraft Heinz</v>
          </cell>
        </row>
        <row r="49">
          <cell r="F49" t="str">
            <v>NA</v>
          </cell>
          <cell r="G49" t="str">
            <v>MNFRG-11M-01</v>
          </cell>
          <cell r="H49">
            <v>22629</v>
          </cell>
        </row>
        <row r="49">
          <cell r="J49">
            <v>52280</v>
          </cell>
          <cell r="K49">
            <v>0</v>
          </cell>
        </row>
        <row r="49">
          <cell r="M49">
            <v>45740</v>
          </cell>
          <cell r="N49">
            <v>0</v>
          </cell>
          <cell r="O49">
            <v>26130</v>
          </cell>
          <cell r="P49">
            <v>19600</v>
          </cell>
          <cell r="Q49">
            <v>19610</v>
          </cell>
          <cell r="R49">
            <v>0</v>
          </cell>
          <cell r="S49">
            <v>19600</v>
          </cell>
          <cell r="T49">
            <v>26140</v>
          </cell>
          <cell r="U49">
            <v>26130</v>
          </cell>
        </row>
        <row r="50">
          <cell r="B50" t="str">
            <v>FRIDGEM_S1_P10</v>
          </cell>
          <cell r="C50" t="str">
            <v>Jell-O Vanilla Pudding</v>
          </cell>
          <cell r="D50" t="str">
            <v>Kraft Heinz</v>
          </cell>
        </row>
        <row r="50">
          <cell r="F50" t="str">
            <v>NA</v>
          </cell>
          <cell r="G50" t="str">
            <v>MNFRG-11M-01</v>
          </cell>
        </row>
        <row r="50">
          <cell r="J50">
            <v>52280</v>
          </cell>
          <cell r="K50">
            <v>0</v>
          </cell>
        </row>
        <row r="50">
          <cell r="M50">
            <v>45740</v>
          </cell>
          <cell r="N50">
            <v>0</v>
          </cell>
          <cell r="O50">
            <v>26130</v>
          </cell>
          <cell r="P50">
            <v>19600</v>
          </cell>
          <cell r="Q50">
            <v>19610</v>
          </cell>
          <cell r="R50">
            <v>0</v>
          </cell>
          <cell r="S50">
            <v>19600</v>
          </cell>
          <cell r="T50">
            <v>26140</v>
          </cell>
          <cell r="U50">
            <v>26130</v>
          </cell>
        </row>
        <row r="51">
          <cell r="B51" t="str">
            <v>FRIDGEM_S1_P11</v>
          </cell>
          <cell r="C51" t="str">
            <v>Jell-O Chocolate Vanilla Swiris Pudding</v>
          </cell>
          <cell r="D51" t="str">
            <v>Kraft Heinz</v>
          </cell>
        </row>
        <row r="51">
          <cell r="F51" t="str">
            <v>NA</v>
          </cell>
          <cell r="G51" t="str">
            <v>MNFRG-11M-01</v>
          </cell>
        </row>
        <row r="51">
          <cell r="J51">
            <v>52280</v>
          </cell>
          <cell r="K51">
            <v>0</v>
          </cell>
        </row>
        <row r="51">
          <cell r="M51">
            <v>45740</v>
          </cell>
          <cell r="N51">
            <v>0</v>
          </cell>
          <cell r="O51">
            <v>26130</v>
          </cell>
          <cell r="P51">
            <v>19600</v>
          </cell>
          <cell r="Q51">
            <v>19610</v>
          </cell>
          <cell r="R51">
            <v>0</v>
          </cell>
          <cell r="S51">
            <v>19600</v>
          </cell>
          <cell r="T51">
            <v>26140</v>
          </cell>
          <cell r="U51">
            <v>26130</v>
          </cell>
        </row>
        <row r="52">
          <cell r="B52" t="str">
            <v>FRIDGEM_S1_C04</v>
          </cell>
          <cell r="C52" t="str">
            <v>Soft Pretzels</v>
          </cell>
          <cell r="D52" t="str">
            <v>Auntie Annis</v>
          </cell>
          <cell r="E52" t="str">
            <v>cardboard 纸盒</v>
          </cell>
          <cell r="F52" t="str">
            <v>NA/GLOBAL</v>
          </cell>
          <cell r="G52" t="str">
            <v>外购件</v>
          </cell>
        </row>
        <row r="52">
          <cell r="J52">
            <v>88520</v>
          </cell>
          <cell r="K52">
            <v>36530</v>
          </cell>
        </row>
        <row r="52">
          <cell r="M52">
            <v>46040</v>
          </cell>
          <cell r="N52">
            <v>36240</v>
          </cell>
          <cell r="O52">
            <v>26130</v>
          </cell>
          <cell r="P52">
            <v>55840</v>
          </cell>
          <cell r="Q52">
            <v>19610</v>
          </cell>
          <cell r="R52">
            <v>0</v>
          </cell>
          <cell r="S52">
            <v>19600</v>
          </cell>
          <cell r="T52">
            <v>26140</v>
          </cell>
          <cell r="U52">
            <v>62370</v>
          </cell>
        </row>
        <row r="53">
          <cell r="B53" t="str">
            <v>FRIDGEM_S1_C05</v>
          </cell>
          <cell r="C53" t="str">
            <v>Pretzel Dogs</v>
          </cell>
          <cell r="D53" t="str">
            <v>Auntie Annis</v>
          </cell>
          <cell r="E53" t="str">
            <v>cardboard 纸盒</v>
          </cell>
          <cell r="F53" t="str">
            <v>NA/GLOBAL</v>
          </cell>
          <cell r="G53" t="str">
            <v>外购件</v>
          </cell>
        </row>
        <row r="53">
          <cell r="J53">
            <v>88520</v>
          </cell>
          <cell r="K53">
            <v>36230</v>
          </cell>
        </row>
        <row r="53">
          <cell r="M53">
            <v>45740</v>
          </cell>
          <cell r="N53">
            <v>36240</v>
          </cell>
          <cell r="O53">
            <v>26130</v>
          </cell>
          <cell r="P53">
            <v>55840</v>
          </cell>
          <cell r="Q53">
            <v>19610</v>
          </cell>
          <cell r="R53">
            <v>0</v>
          </cell>
          <cell r="S53">
            <v>19600</v>
          </cell>
          <cell r="T53">
            <v>26140</v>
          </cell>
          <cell r="U53">
            <v>62370</v>
          </cell>
        </row>
        <row r="54">
          <cell r="B54" t="str">
            <v>FRIDGEM_S1_P32</v>
          </cell>
          <cell r="C54" t="str">
            <v>Chow Mein</v>
          </cell>
          <cell r="D54" t="str">
            <v>Panda Express</v>
          </cell>
        </row>
        <row r="54">
          <cell r="F54" t="str">
            <v>NA/GLOBAL</v>
          </cell>
          <cell r="G54" t="str">
            <v>MNFRG-19M-01;MNFRG-23M-01；MNFRG-30M-01</v>
          </cell>
          <cell r="H54">
            <v>10560</v>
          </cell>
        </row>
        <row r="54">
          <cell r="J54">
            <v>52780</v>
          </cell>
          <cell r="K54">
            <v>15150</v>
          </cell>
        </row>
        <row r="54">
          <cell r="M54">
            <v>32930</v>
          </cell>
          <cell r="N54">
            <v>15150</v>
          </cell>
          <cell r="O54">
            <v>18810</v>
          </cell>
          <cell r="P54">
            <v>29260</v>
          </cell>
          <cell r="Q54">
            <v>14110</v>
          </cell>
          <cell r="R54">
            <v>0</v>
          </cell>
          <cell r="S54">
            <v>14110</v>
          </cell>
          <cell r="T54">
            <v>18820</v>
          </cell>
          <cell r="U54">
            <v>33960</v>
          </cell>
        </row>
        <row r="55">
          <cell r="B55" t="str">
            <v>FRIDGEM_S1_P33</v>
          </cell>
          <cell r="C55" t="str">
            <v>Broccoli Beef</v>
          </cell>
          <cell r="D55" t="str">
            <v>Panda Express</v>
          </cell>
        </row>
        <row r="55">
          <cell r="F55" t="str">
            <v>NA/GLOBAL</v>
          </cell>
          <cell r="G55" t="str">
            <v>MNFRG-19M-01;MNFRG-23M-01；MNFRG-30M-01</v>
          </cell>
        </row>
        <row r="55">
          <cell r="J55">
            <v>52780</v>
          </cell>
          <cell r="K55">
            <v>15150</v>
          </cell>
        </row>
        <row r="55">
          <cell r="M55">
            <v>32930</v>
          </cell>
          <cell r="N55">
            <v>15150</v>
          </cell>
          <cell r="O55">
            <v>18810</v>
          </cell>
          <cell r="P55">
            <v>29260</v>
          </cell>
          <cell r="Q55">
            <v>14110</v>
          </cell>
          <cell r="R55">
            <v>0</v>
          </cell>
          <cell r="S55">
            <v>14110</v>
          </cell>
          <cell r="T55">
            <v>18820</v>
          </cell>
          <cell r="U55">
            <v>33960</v>
          </cell>
        </row>
        <row r="56">
          <cell r="B56" t="str">
            <v>FRIDGEM_S1_P34</v>
          </cell>
          <cell r="C56" t="str">
            <v>Orange Chicken</v>
          </cell>
          <cell r="D56" t="str">
            <v>Panda Express</v>
          </cell>
        </row>
        <row r="56">
          <cell r="F56" t="str">
            <v>NA/GLOBAL</v>
          </cell>
          <cell r="G56" t="str">
            <v>MNFRG-19M-01;MNFRG-23M-01；MNFRG-30M-01</v>
          </cell>
        </row>
        <row r="56">
          <cell r="J56">
            <v>52780</v>
          </cell>
          <cell r="K56">
            <v>15450</v>
          </cell>
        </row>
        <row r="56">
          <cell r="M56">
            <v>33230</v>
          </cell>
          <cell r="N56">
            <v>15150</v>
          </cell>
          <cell r="O56">
            <v>18210</v>
          </cell>
          <cell r="P56">
            <v>29260</v>
          </cell>
          <cell r="Q56">
            <v>14110</v>
          </cell>
          <cell r="R56">
            <v>0</v>
          </cell>
          <cell r="S56">
            <v>14710</v>
          </cell>
          <cell r="T56">
            <v>18820</v>
          </cell>
          <cell r="U56">
            <v>33960</v>
          </cell>
        </row>
        <row r="57">
          <cell r="B57" t="str">
            <v>FRIDGEM_S1_P35</v>
          </cell>
          <cell r="C57" t="str">
            <v>Jamoca Almond Fudge Ice Cream</v>
          </cell>
          <cell r="D57" t="str">
            <v>Baskin-Robbins</v>
          </cell>
        </row>
        <row r="57">
          <cell r="F57" t="str">
            <v>NA/GLOBAL,PDQ DEMO</v>
          </cell>
          <cell r="G57" t="str">
            <v>MNFRG-20M-01</v>
          </cell>
          <cell r="H57">
            <v>10560</v>
          </cell>
        </row>
        <row r="57">
          <cell r="J57">
            <v>102780</v>
          </cell>
          <cell r="K57">
            <v>22450</v>
          </cell>
        </row>
        <row r="57">
          <cell r="M57">
            <v>39730</v>
          </cell>
          <cell r="N57">
            <v>20150</v>
          </cell>
          <cell r="O57">
            <v>23810</v>
          </cell>
          <cell r="P57">
            <v>34260</v>
          </cell>
          <cell r="Q57">
            <v>17110</v>
          </cell>
          <cell r="R57">
            <v>0</v>
          </cell>
          <cell r="S57">
            <v>18110</v>
          </cell>
          <cell r="T57">
            <v>74820</v>
          </cell>
          <cell r="U57">
            <v>53960</v>
          </cell>
        </row>
        <row r="58">
          <cell r="B58" t="str">
            <v>FRIDGEM_S1_P36</v>
          </cell>
          <cell r="C58" t="str">
            <v>Oreo Cookies'N Cream Ice Cream</v>
          </cell>
          <cell r="D58" t="str">
            <v>Baskin-Robbins</v>
          </cell>
        </row>
        <row r="58">
          <cell r="F58" t="str">
            <v>NA/GLOBAL</v>
          </cell>
          <cell r="G58" t="str">
            <v>MNFRG-20M-01</v>
          </cell>
          <cell r="H58">
            <v>10560</v>
          </cell>
        </row>
        <row r="58">
          <cell r="J58">
            <v>63890</v>
          </cell>
          <cell r="K58">
            <v>17430</v>
          </cell>
        </row>
        <row r="58">
          <cell r="M58">
            <v>40650</v>
          </cell>
          <cell r="N58">
            <v>17430</v>
          </cell>
          <cell r="O58">
            <v>23230</v>
          </cell>
          <cell r="P58">
            <v>34850</v>
          </cell>
          <cell r="Q58">
            <v>17420</v>
          </cell>
          <cell r="R58">
            <v>0</v>
          </cell>
          <cell r="S58">
            <v>17430</v>
          </cell>
          <cell r="T58">
            <v>23230</v>
          </cell>
          <cell r="U58">
            <v>40660</v>
          </cell>
        </row>
        <row r="59">
          <cell r="B59" t="str">
            <v>FRIDGEM_S1_P41</v>
          </cell>
          <cell r="C59" t="str">
            <v>Tropical Punch</v>
          </cell>
          <cell r="D59" t="str">
            <v>Olipop</v>
          </cell>
        </row>
        <row r="59">
          <cell r="F59" t="str">
            <v>NA/GLOBAL, SK DEMO</v>
          </cell>
          <cell r="G59" t="str">
            <v>MNFRG-21M-01</v>
          </cell>
          <cell r="H59">
            <v>15840</v>
          </cell>
        </row>
        <row r="59">
          <cell r="J59">
            <v>65390</v>
          </cell>
          <cell r="K59">
            <v>17430</v>
          </cell>
        </row>
        <row r="59">
          <cell r="M59">
            <v>40650</v>
          </cell>
          <cell r="N59">
            <v>17430</v>
          </cell>
          <cell r="O59">
            <v>23230</v>
          </cell>
          <cell r="P59">
            <v>34850</v>
          </cell>
          <cell r="Q59">
            <v>17420</v>
          </cell>
          <cell r="R59">
            <v>0</v>
          </cell>
          <cell r="S59">
            <v>17430</v>
          </cell>
          <cell r="T59">
            <v>23230</v>
          </cell>
          <cell r="U59">
            <v>40660</v>
          </cell>
        </row>
        <row r="60">
          <cell r="B60" t="str">
            <v>FRIDGEM_S1_P42</v>
          </cell>
          <cell r="C60" t="str">
            <v>Classic Grape</v>
          </cell>
          <cell r="D60" t="str">
            <v>Olipop</v>
          </cell>
        </row>
        <row r="60">
          <cell r="F60" t="str">
            <v>NA/GLOBAL, SK DEMO</v>
          </cell>
          <cell r="G60" t="str">
            <v>MNFRG-21M-01</v>
          </cell>
        </row>
        <row r="60">
          <cell r="J60">
            <v>65390</v>
          </cell>
          <cell r="K60">
            <v>17430</v>
          </cell>
        </row>
        <row r="60">
          <cell r="M60">
            <v>40650</v>
          </cell>
          <cell r="N60">
            <v>17430</v>
          </cell>
          <cell r="O60">
            <v>23230</v>
          </cell>
          <cell r="P60">
            <v>34850</v>
          </cell>
          <cell r="Q60">
            <v>17420</v>
          </cell>
          <cell r="R60">
            <v>0</v>
          </cell>
          <cell r="S60">
            <v>17430</v>
          </cell>
          <cell r="T60">
            <v>23230</v>
          </cell>
          <cell r="U60">
            <v>40660</v>
          </cell>
        </row>
        <row r="61">
          <cell r="B61" t="str">
            <v>FRIDGEM_S1_P43</v>
          </cell>
          <cell r="C61" t="str">
            <v>O-mazing Orange</v>
          </cell>
          <cell r="D61" t="str">
            <v>Sangaria Ramune</v>
          </cell>
        </row>
        <row r="61">
          <cell r="F61" t="str">
            <v>NA/GLOBAL</v>
          </cell>
          <cell r="G61" t="str">
            <v>MNFRG-05M-01</v>
          </cell>
          <cell r="H61">
            <v>16971.4285714286</v>
          </cell>
        </row>
        <row r="61">
          <cell r="J61">
            <v>52780</v>
          </cell>
          <cell r="K61">
            <v>15150</v>
          </cell>
        </row>
        <row r="61">
          <cell r="M61">
            <v>32930</v>
          </cell>
          <cell r="N61">
            <v>15150</v>
          </cell>
          <cell r="O61">
            <v>18810</v>
          </cell>
          <cell r="P61">
            <v>29260</v>
          </cell>
          <cell r="Q61">
            <v>14110</v>
          </cell>
          <cell r="R61">
            <v>0</v>
          </cell>
          <cell r="S61">
            <v>14110</v>
          </cell>
          <cell r="T61">
            <v>18820</v>
          </cell>
          <cell r="U61">
            <v>33960</v>
          </cell>
        </row>
        <row r="62">
          <cell r="B62" t="str">
            <v>FRIDGEM_S1_P44</v>
          </cell>
          <cell r="C62" t="str">
            <v>The OG</v>
          </cell>
          <cell r="D62" t="str">
            <v>Sangaria Ramune</v>
          </cell>
        </row>
        <row r="62">
          <cell r="F62" t="str">
            <v>NA/GLOBAL</v>
          </cell>
          <cell r="G62" t="str">
            <v>MNFRG-05M-01</v>
          </cell>
        </row>
        <row r="62">
          <cell r="J62">
            <v>52780</v>
          </cell>
          <cell r="K62">
            <v>15150</v>
          </cell>
        </row>
        <row r="62">
          <cell r="M62">
            <v>32930</v>
          </cell>
          <cell r="N62">
            <v>15150</v>
          </cell>
          <cell r="O62">
            <v>18810</v>
          </cell>
          <cell r="P62">
            <v>29260</v>
          </cell>
          <cell r="Q62">
            <v>14110</v>
          </cell>
          <cell r="R62">
            <v>0</v>
          </cell>
          <cell r="S62">
            <v>14110</v>
          </cell>
          <cell r="T62">
            <v>18820</v>
          </cell>
          <cell r="U62">
            <v>33960</v>
          </cell>
        </row>
        <row r="63">
          <cell r="B63" t="str">
            <v>FRIDGEM_S1_P46</v>
          </cell>
          <cell r="C63" t="str">
            <v>Sweet Strawberry</v>
          </cell>
          <cell r="D63" t="str">
            <v>Sangaria Ramune</v>
          </cell>
        </row>
        <row r="63">
          <cell r="F63" t="str">
            <v>NA/GLOBAL</v>
          </cell>
          <cell r="G63" t="str">
            <v>MNFRG-05M-01</v>
          </cell>
        </row>
        <row r="63">
          <cell r="J63">
            <v>52780</v>
          </cell>
          <cell r="K63">
            <v>15150</v>
          </cell>
        </row>
        <row r="63">
          <cell r="M63">
            <v>32930</v>
          </cell>
          <cell r="N63">
            <v>15150</v>
          </cell>
          <cell r="O63">
            <v>18810</v>
          </cell>
          <cell r="P63">
            <v>29260</v>
          </cell>
          <cell r="Q63">
            <v>14110</v>
          </cell>
          <cell r="R63">
            <v>0</v>
          </cell>
          <cell r="S63">
            <v>14110</v>
          </cell>
          <cell r="T63">
            <v>18820</v>
          </cell>
          <cell r="U63">
            <v>33960</v>
          </cell>
        </row>
        <row r="64">
          <cell r="B64" t="str">
            <v>FRIDGEM_S1_P47</v>
          </cell>
          <cell r="C64" t="str">
            <v>Original</v>
          </cell>
          <cell r="D64" t="str">
            <v>Mike's Hot Honey</v>
          </cell>
        </row>
        <row r="64">
          <cell r="F64" t="str">
            <v>NA/GLOBAL,PDQ DEMO</v>
          </cell>
          <cell r="G64" t="str">
            <v>MNFRG-01M-01</v>
          </cell>
          <cell r="H64">
            <v>5657</v>
          </cell>
        </row>
        <row r="64">
          <cell r="J64">
            <v>102780</v>
          </cell>
          <cell r="K64">
            <v>22150</v>
          </cell>
        </row>
        <row r="64">
          <cell r="M64">
            <v>37930</v>
          </cell>
          <cell r="N64">
            <v>20150</v>
          </cell>
          <cell r="O64">
            <v>23810</v>
          </cell>
          <cell r="P64">
            <v>34260</v>
          </cell>
          <cell r="Q64">
            <v>17110</v>
          </cell>
          <cell r="R64">
            <v>0</v>
          </cell>
          <cell r="S64">
            <v>18110</v>
          </cell>
          <cell r="T64">
            <v>74820</v>
          </cell>
          <cell r="U64">
            <v>53960</v>
          </cell>
        </row>
        <row r="65">
          <cell r="B65" t="str">
            <v>FRIDGEM_S1_P38</v>
          </cell>
          <cell r="C65" t="str">
            <v>Unicorn Cake</v>
          </cell>
          <cell r="D65" t="str">
            <v>Baskin-Robbins</v>
          </cell>
        </row>
        <row r="65">
          <cell r="F65" t="str">
            <v>NA/GLOBAL</v>
          </cell>
          <cell r="G65" t="str">
            <v>MNFRG-15M-01</v>
          </cell>
          <cell r="H65">
            <v>2829</v>
          </cell>
        </row>
        <row r="65">
          <cell r="J65">
            <v>38430</v>
          </cell>
          <cell r="K65">
            <v>11490</v>
          </cell>
        </row>
        <row r="65">
          <cell r="M65">
            <v>23570</v>
          </cell>
          <cell r="N65">
            <v>11490</v>
          </cell>
          <cell r="O65">
            <v>13470</v>
          </cell>
          <cell r="P65">
            <v>21590</v>
          </cell>
          <cell r="Q65">
            <v>10100</v>
          </cell>
          <cell r="R65">
            <v>0</v>
          </cell>
          <cell r="S65">
            <v>10100</v>
          </cell>
          <cell r="T65">
            <v>13470</v>
          </cell>
          <cell r="U65">
            <v>24960</v>
          </cell>
        </row>
        <row r="66">
          <cell r="B66" t="str">
            <v>FRIDGEM_S1_P48</v>
          </cell>
          <cell r="C66" t="str">
            <v>Pancakes</v>
          </cell>
          <cell r="D66" t="str">
            <v>IHOP</v>
          </cell>
        </row>
        <row r="66">
          <cell r="F66" t="str">
            <v>NA/GLOBAL</v>
          </cell>
          <cell r="G66" t="str">
            <v>MNFRG-03M-01</v>
          </cell>
          <cell r="H66">
            <v>2829</v>
          </cell>
        </row>
        <row r="66">
          <cell r="J66">
            <v>38430</v>
          </cell>
          <cell r="K66">
            <v>11490</v>
          </cell>
        </row>
        <row r="66">
          <cell r="M66">
            <v>23570</v>
          </cell>
          <cell r="N66">
            <v>11490</v>
          </cell>
          <cell r="O66">
            <v>13470</v>
          </cell>
          <cell r="P66">
            <v>21590</v>
          </cell>
          <cell r="Q66">
            <v>10100</v>
          </cell>
          <cell r="R66">
            <v>0</v>
          </cell>
          <cell r="S66">
            <v>10100</v>
          </cell>
          <cell r="T66">
            <v>13470</v>
          </cell>
          <cell r="U66">
            <v>24960</v>
          </cell>
        </row>
        <row r="67">
          <cell r="B67" t="str">
            <v>FRIDGEM_S1_P49</v>
          </cell>
          <cell r="C67" t="str">
            <v>Burgers and Fries</v>
          </cell>
          <cell r="D67" t="str">
            <v>IHOP</v>
          </cell>
        </row>
        <row r="67">
          <cell r="F67" t="str">
            <v>NA/GLOBAL</v>
          </cell>
          <cell r="G67" t="str">
            <v>MNFRG-14M-01</v>
          </cell>
          <cell r="H67">
            <v>2829</v>
          </cell>
        </row>
        <row r="67">
          <cell r="J67">
            <v>38430</v>
          </cell>
          <cell r="K67">
            <v>11490</v>
          </cell>
        </row>
        <row r="67">
          <cell r="M67">
            <v>23570</v>
          </cell>
          <cell r="N67">
            <v>11490</v>
          </cell>
          <cell r="O67">
            <v>13470</v>
          </cell>
          <cell r="P67">
            <v>21590</v>
          </cell>
          <cell r="Q67">
            <v>10100</v>
          </cell>
          <cell r="R67">
            <v>0</v>
          </cell>
          <cell r="S67">
            <v>10100</v>
          </cell>
          <cell r="T67">
            <v>13470</v>
          </cell>
          <cell r="U67">
            <v>24960</v>
          </cell>
        </row>
        <row r="68">
          <cell r="B68" t="str">
            <v>FRIDGEM_S1_P53</v>
          </cell>
          <cell r="C68" t="str">
            <v>Sushi</v>
          </cell>
          <cell r="D68" t="str">
            <v>N/A</v>
          </cell>
        </row>
        <row r="68">
          <cell r="F68" t="str">
            <v>NA/GLOBAL</v>
          </cell>
          <cell r="G68" t="str">
            <v>MNFRG-15M-01,MNFRG-22M-01;MNFRG-26M-01</v>
          </cell>
          <cell r="H68">
            <v>2829</v>
          </cell>
        </row>
        <row r="68">
          <cell r="J68">
            <v>38340</v>
          </cell>
          <cell r="K68">
            <v>10450</v>
          </cell>
        </row>
        <row r="68">
          <cell r="M68">
            <v>24400</v>
          </cell>
          <cell r="N68">
            <v>10450</v>
          </cell>
          <cell r="O68">
            <v>13940</v>
          </cell>
          <cell r="P68">
            <v>20910</v>
          </cell>
          <cell r="Q68">
            <v>10450</v>
          </cell>
          <cell r="R68">
            <v>0</v>
          </cell>
          <cell r="S68">
            <v>10460</v>
          </cell>
          <cell r="T68">
            <v>13940</v>
          </cell>
          <cell r="U68">
            <v>24390</v>
          </cell>
        </row>
        <row r="69">
          <cell r="B69" t="str">
            <v>FRIDGEM_S1_P52</v>
          </cell>
          <cell r="C69" t="str">
            <v>Frozen Chicken</v>
          </cell>
          <cell r="D69" t="str">
            <v>N/A</v>
          </cell>
        </row>
        <row r="69">
          <cell r="F69" t="str">
            <v>NA/GLOBAL</v>
          </cell>
          <cell r="G69" t="str">
            <v>MNFRG-10M-01；MNFRG-23M-01</v>
          </cell>
          <cell r="H69">
            <v>5280</v>
          </cell>
        </row>
        <row r="69">
          <cell r="J69">
            <v>38340</v>
          </cell>
          <cell r="K69">
            <v>10450</v>
          </cell>
        </row>
        <row r="69">
          <cell r="M69">
            <v>24400</v>
          </cell>
          <cell r="N69">
            <v>10450</v>
          </cell>
          <cell r="O69">
            <v>13940</v>
          </cell>
          <cell r="P69">
            <v>20910</v>
          </cell>
          <cell r="Q69">
            <v>10450</v>
          </cell>
          <cell r="R69">
            <v>0</v>
          </cell>
          <cell r="S69">
            <v>10460</v>
          </cell>
          <cell r="T69">
            <v>13940</v>
          </cell>
          <cell r="U69">
            <v>24390</v>
          </cell>
        </row>
        <row r="70">
          <cell r="B70" t="str">
            <v>FRIDGEM_S1_P68</v>
          </cell>
          <cell r="C70" t="str">
            <v>Tiramisu</v>
          </cell>
          <cell r="D70" t="str">
            <v>N/A</v>
          </cell>
        </row>
        <row r="70">
          <cell r="F70" t="str">
            <v>NA/GLOBAL, SK DEMO</v>
          </cell>
          <cell r="G70" t="str">
            <v>MNFRG-15M-01；MNFRG-26M-01；MNFRG-31M-01；MNFRG-32M-01.</v>
          </cell>
          <cell r="H70">
            <v>2829</v>
          </cell>
        </row>
        <row r="70">
          <cell r="J70">
            <v>39840</v>
          </cell>
          <cell r="K70">
            <v>10750</v>
          </cell>
        </row>
        <row r="70">
          <cell r="M70">
            <v>24700</v>
          </cell>
          <cell r="N70">
            <v>10450</v>
          </cell>
          <cell r="O70">
            <v>13940</v>
          </cell>
          <cell r="P70">
            <v>20910</v>
          </cell>
          <cell r="Q70">
            <v>10450</v>
          </cell>
          <cell r="R70">
            <v>0</v>
          </cell>
          <cell r="S70">
            <v>10460</v>
          </cell>
          <cell r="T70">
            <v>13940</v>
          </cell>
          <cell r="U70">
            <v>24390</v>
          </cell>
        </row>
        <row r="71">
          <cell r="B71" t="str">
            <v>FRIDGEM_S1_P51</v>
          </cell>
          <cell r="C71" t="str">
            <v>Eggs</v>
          </cell>
          <cell r="D71" t="str">
            <v>N/A</v>
          </cell>
        </row>
        <row r="71">
          <cell r="F71" t="str">
            <v>NA/GLOBAL</v>
          </cell>
          <cell r="G71" t="str">
            <v>MNFRG-14M-01；MNFRG-29M-01.</v>
          </cell>
          <cell r="H71">
            <v>5280</v>
          </cell>
        </row>
        <row r="71">
          <cell r="J71">
            <v>38340</v>
          </cell>
          <cell r="K71">
            <v>10450</v>
          </cell>
        </row>
        <row r="71">
          <cell r="M71">
            <v>24400</v>
          </cell>
          <cell r="N71">
            <v>10450</v>
          </cell>
          <cell r="O71">
            <v>13940</v>
          </cell>
          <cell r="P71">
            <v>20910</v>
          </cell>
          <cell r="Q71">
            <v>10450</v>
          </cell>
          <cell r="R71">
            <v>0</v>
          </cell>
          <cell r="S71">
            <v>10460</v>
          </cell>
          <cell r="T71">
            <v>13940</v>
          </cell>
          <cell r="U71">
            <v>24390</v>
          </cell>
        </row>
        <row r="72">
          <cell r="B72" t="str">
            <v>FRIDGEM_S1_P54</v>
          </cell>
          <cell r="C72" t="str">
            <v>Ice</v>
          </cell>
          <cell r="D72" t="str">
            <v>N/A</v>
          </cell>
        </row>
        <row r="72">
          <cell r="F72" t="str">
            <v>NA/GLOBAL</v>
          </cell>
          <cell r="G72" t="str">
            <v>MNFRG-27M-01</v>
          </cell>
          <cell r="H72">
            <v>2112</v>
          </cell>
        </row>
        <row r="72">
          <cell r="J72">
            <v>38340</v>
          </cell>
          <cell r="K72">
            <v>10450</v>
          </cell>
        </row>
        <row r="72">
          <cell r="M72">
            <v>24400</v>
          </cell>
          <cell r="N72">
            <v>10450</v>
          </cell>
          <cell r="O72">
            <v>13940</v>
          </cell>
          <cell r="P72">
            <v>20910</v>
          </cell>
          <cell r="Q72">
            <v>10450</v>
          </cell>
          <cell r="R72">
            <v>0</v>
          </cell>
          <cell r="S72">
            <v>10460</v>
          </cell>
          <cell r="T72">
            <v>13940</v>
          </cell>
          <cell r="U72">
            <v>24390</v>
          </cell>
        </row>
        <row r="73">
          <cell r="B73" t="str">
            <v>FRIDGEM_S1_P40</v>
          </cell>
          <cell r="C73" t="str">
            <v>Mini Strawberry Vanilla</v>
          </cell>
          <cell r="D73" t="str">
            <v>Olipop</v>
          </cell>
        </row>
        <row r="73">
          <cell r="F73" t="str">
            <v>NA/GLOBAL</v>
          </cell>
          <cell r="G73" t="str">
            <v>MNFRG-21M-01</v>
          </cell>
          <cell r="H73">
            <v>2640</v>
          </cell>
          <cell r="I73" t="str">
            <v>mini mini mins</v>
          </cell>
          <cell r="J73">
            <v>35430</v>
          </cell>
          <cell r="K73">
            <v>9660</v>
          </cell>
        </row>
        <row r="73">
          <cell r="M73">
            <v>22540</v>
          </cell>
          <cell r="N73">
            <v>9660</v>
          </cell>
          <cell r="O73">
            <v>13480</v>
          </cell>
          <cell r="P73">
            <v>19330</v>
          </cell>
          <cell r="Q73">
            <v>9660</v>
          </cell>
          <cell r="R73">
            <v>0</v>
          </cell>
          <cell r="S73">
            <v>9660</v>
          </cell>
          <cell r="T73">
            <v>12880</v>
          </cell>
          <cell r="U73">
            <v>22540</v>
          </cell>
        </row>
        <row r="74">
          <cell r="B74" t="str">
            <v>FRIDGEM_S1_P45</v>
          </cell>
          <cell r="C74" t="str">
            <v>Mini The OG</v>
          </cell>
          <cell r="D74" t="str">
            <v>Sangaria Ramune</v>
          </cell>
        </row>
        <row r="74">
          <cell r="F74" t="str">
            <v>NA/GLOBAL</v>
          </cell>
          <cell r="G74" t="str">
            <v>MNFRG-05M-01</v>
          </cell>
          <cell r="H74">
            <v>5657.14285714286</v>
          </cell>
          <cell r="I74" t="str">
            <v>mini mini mins</v>
          </cell>
          <cell r="J74">
            <v>35430</v>
          </cell>
          <cell r="K74">
            <v>9660</v>
          </cell>
        </row>
        <row r="74">
          <cell r="M74">
            <v>22540</v>
          </cell>
          <cell r="N74">
            <v>9660</v>
          </cell>
          <cell r="O74">
            <v>12880</v>
          </cell>
          <cell r="P74">
            <v>19330</v>
          </cell>
          <cell r="Q74">
            <v>9660</v>
          </cell>
          <cell r="R74">
            <v>0</v>
          </cell>
          <cell r="S74">
            <v>9660</v>
          </cell>
          <cell r="T74">
            <v>12880</v>
          </cell>
          <cell r="U74">
            <v>22540</v>
          </cell>
        </row>
        <row r="75">
          <cell r="B75" t="str">
            <v>FRIDGEM_S1_P37</v>
          </cell>
          <cell r="C75" t="str">
            <v>Mini Oreo Cookies'N Cream Ice Cream</v>
          </cell>
          <cell r="D75" t="str">
            <v>Baskin-Robbins</v>
          </cell>
        </row>
        <row r="75">
          <cell r="F75" t="str">
            <v>NA/GLOBAL</v>
          </cell>
          <cell r="G75" t="str">
            <v>MNFRG-21M-01</v>
          </cell>
          <cell r="H75">
            <v>2640</v>
          </cell>
          <cell r="I75" t="str">
            <v>mini mini mins</v>
          </cell>
          <cell r="J75">
            <v>35430</v>
          </cell>
          <cell r="K75">
            <v>9660</v>
          </cell>
        </row>
        <row r="75">
          <cell r="M75">
            <v>22540</v>
          </cell>
          <cell r="N75">
            <v>9660</v>
          </cell>
          <cell r="O75">
            <v>12880</v>
          </cell>
          <cell r="P75">
            <v>19330</v>
          </cell>
          <cell r="Q75">
            <v>9660</v>
          </cell>
          <cell r="R75">
            <v>0</v>
          </cell>
          <cell r="S75">
            <v>9660</v>
          </cell>
          <cell r="T75">
            <v>12880</v>
          </cell>
          <cell r="U75">
            <v>22540</v>
          </cell>
        </row>
        <row r="76">
          <cell r="B76" t="str">
            <v>FRIDGEM_S1_P70</v>
          </cell>
          <cell r="C76" t="str">
            <v>Pudding</v>
          </cell>
          <cell r="D76" t="str">
            <v>N/A</v>
          </cell>
        </row>
        <row r="76">
          <cell r="F76" t="str">
            <v>NA/GLOBAL, PDQ &amp;SK DEMO</v>
          </cell>
          <cell r="G76" t="str">
            <v>MNFRG-16M-01;MNFRG-23M-01;MNFRG-25M-01；MNFRG-31M-01；MNFRG-32M-01</v>
          </cell>
          <cell r="H76">
            <v>2640</v>
          </cell>
        </row>
        <row r="76">
          <cell r="J76">
            <v>74420</v>
          </cell>
          <cell r="K76">
            <v>13250</v>
          </cell>
        </row>
        <row r="76">
          <cell r="M76">
            <v>19580</v>
          </cell>
          <cell r="N76">
            <v>11250</v>
          </cell>
          <cell r="O76">
            <v>13340</v>
          </cell>
          <cell r="P76">
            <v>17500</v>
          </cell>
          <cell r="Q76">
            <v>9250</v>
          </cell>
          <cell r="R76">
            <v>0</v>
          </cell>
          <cell r="S76">
            <v>10250</v>
          </cell>
          <cell r="T76">
            <v>64330</v>
          </cell>
          <cell r="U76">
            <v>34580</v>
          </cell>
        </row>
        <row r="77">
          <cell r="B77" t="str">
            <v>FRIDGEM_S1_P69</v>
          </cell>
          <cell r="C77" t="str">
            <v>Pops</v>
          </cell>
          <cell r="D77" t="str">
            <v>N/A</v>
          </cell>
        </row>
        <row r="77">
          <cell r="F77" t="str">
            <v>NA/GLOBAL</v>
          </cell>
          <cell r="G77" t="str">
            <v>MNFRG-16M-01；MNFRG-31M-01；MNFRG-31M-01；MNFRG-32M-01</v>
          </cell>
          <cell r="H77">
            <v>5657</v>
          </cell>
        </row>
        <row r="77">
          <cell r="J77">
            <v>22920</v>
          </cell>
          <cell r="K77">
            <v>6250</v>
          </cell>
        </row>
        <row r="77">
          <cell r="M77">
            <v>14580</v>
          </cell>
          <cell r="N77">
            <v>6250</v>
          </cell>
          <cell r="O77">
            <v>8340</v>
          </cell>
          <cell r="P77">
            <v>12500</v>
          </cell>
          <cell r="Q77">
            <v>6250</v>
          </cell>
          <cell r="R77">
            <v>0</v>
          </cell>
          <cell r="S77">
            <v>6250</v>
          </cell>
          <cell r="T77">
            <v>8330</v>
          </cell>
          <cell r="U77">
            <v>14580</v>
          </cell>
        </row>
        <row r="78">
          <cell r="B78" t="str">
            <v>FRIDGEM_S1_P22</v>
          </cell>
          <cell r="C78" t="str">
            <v>Pepperoni Pizza-NA Version</v>
          </cell>
          <cell r="D78" t="str">
            <v>Pizza Hut</v>
          </cell>
        </row>
        <row r="78">
          <cell r="F78" t="str">
            <v>NA only</v>
          </cell>
          <cell r="G78" t="str">
            <v>MNFRG-13M-01，MNFRG-28M-01</v>
          </cell>
          <cell r="H78">
            <v>5657</v>
          </cell>
        </row>
        <row r="78">
          <cell r="J78">
            <v>57830</v>
          </cell>
          <cell r="K78">
            <v>0</v>
          </cell>
        </row>
        <row r="78">
          <cell r="M78">
            <v>50600</v>
          </cell>
          <cell r="N78">
            <v>0</v>
          </cell>
          <cell r="O78">
            <v>28920</v>
          </cell>
          <cell r="P78">
            <v>21680</v>
          </cell>
          <cell r="Q78">
            <v>21690</v>
          </cell>
          <cell r="R78">
            <v>0</v>
          </cell>
          <cell r="S78">
            <v>21680</v>
          </cell>
          <cell r="T78">
            <v>28920</v>
          </cell>
          <cell r="U78">
            <v>28910</v>
          </cell>
        </row>
        <row r="79">
          <cell r="B79" t="str">
            <v>FRIDGEM_S1_P27</v>
          </cell>
          <cell r="C79" t="str">
            <v>Pepperoni Pizza-Global Version</v>
          </cell>
          <cell r="D79" t="str">
            <v>Pizza Hut</v>
          </cell>
        </row>
        <row r="79">
          <cell r="F79" t="str">
            <v>GLOBAL only</v>
          </cell>
          <cell r="G79" t="str">
            <v>MNFRG-13M-01；MNFRG-28M-01</v>
          </cell>
        </row>
        <row r="79">
          <cell r="J79">
            <v>43570</v>
          </cell>
          <cell r="K79">
            <v>43560</v>
          </cell>
        </row>
        <row r="79">
          <cell r="M79">
            <v>0</v>
          </cell>
          <cell r="N79">
            <v>43560</v>
          </cell>
          <cell r="O79">
            <v>0</v>
          </cell>
          <cell r="P79">
            <v>43560</v>
          </cell>
          <cell r="Q79">
            <v>0</v>
          </cell>
          <cell r="R79">
            <v>0</v>
          </cell>
          <cell r="S79">
            <v>0</v>
          </cell>
          <cell r="T79">
            <v>0</v>
          </cell>
          <cell r="U79">
            <v>43560</v>
          </cell>
        </row>
        <row r="80">
          <cell r="B80" t="str">
            <v>FRIDGEM_S1_P23</v>
          </cell>
          <cell r="C80" t="str">
            <v>Cheese Pizza-NA Version</v>
          </cell>
          <cell r="D80" t="str">
            <v>Pizza Hut</v>
          </cell>
        </row>
        <row r="80">
          <cell r="F80" t="str">
            <v>NA only</v>
          </cell>
          <cell r="G80" t="str">
            <v>MNFRG-13M-01；MNFRG-28M-01</v>
          </cell>
          <cell r="H80">
            <v>5657</v>
          </cell>
        </row>
        <row r="80">
          <cell r="J80">
            <v>57830</v>
          </cell>
          <cell r="K80">
            <v>0</v>
          </cell>
        </row>
        <row r="80">
          <cell r="M80">
            <v>50600</v>
          </cell>
          <cell r="N80">
            <v>0</v>
          </cell>
          <cell r="O80">
            <v>28920</v>
          </cell>
          <cell r="P80">
            <v>21680</v>
          </cell>
          <cell r="Q80">
            <v>21690</v>
          </cell>
          <cell r="R80">
            <v>0</v>
          </cell>
          <cell r="S80">
            <v>21680</v>
          </cell>
          <cell r="T80">
            <v>28920</v>
          </cell>
          <cell r="U80">
            <v>28910</v>
          </cell>
        </row>
        <row r="81">
          <cell r="B81" t="str">
            <v>FRIDGEM_S1_P28</v>
          </cell>
          <cell r="C81" t="str">
            <v>Cheese Pizza-Global Version</v>
          </cell>
          <cell r="D81" t="str">
            <v>Pizza Hut</v>
          </cell>
        </row>
        <row r="81">
          <cell r="F81" t="str">
            <v>GLOBAL only</v>
          </cell>
          <cell r="G81" t="str">
            <v>MNFRG-13M-01；MNFRG-28M-01</v>
          </cell>
        </row>
        <row r="81">
          <cell r="J81">
            <v>43570</v>
          </cell>
          <cell r="K81">
            <v>43560</v>
          </cell>
        </row>
        <row r="81">
          <cell r="M81">
            <v>0</v>
          </cell>
          <cell r="N81">
            <v>43560</v>
          </cell>
          <cell r="O81">
            <v>0</v>
          </cell>
          <cell r="P81">
            <v>43560</v>
          </cell>
          <cell r="Q81">
            <v>0</v>
          </cell>
          <cell r="R81">
            <v>0</v>
          </cell>
          <cell r="S81">
            <v>0</v>
          </cell>
          <cell r="T81">
            <v>0</v>
          </cell>
          <cell r="U81">
            <v>43560</v>
          </cell>
        </row>
        <row r="82">
          <cell r="B82" t="str">
            <v>FRIDGEM_S1_P24</v>
          </cell>
          <cell r="C82" t="str">
            <v>Hawaiian Pizza-NA Version</v>
          </cell>
          <cell r="D82" t="str">
            <v>Pizza Hut</v>
          </cell>
        </row>
        <row r="82">
          <cell r="F82" t="str">
            <v>NA only</v>
          </cell>
          <cell r="G82" t="str">
            <v>MNFRG-13M-01；MNFRG-28M-01</v>
          </cell>
          <cell r="H82">
            <v>5657</v>
          </cell>
        </row>
        <row r="82">
          <cell r="J82">
            <v>57830</v>
          </cell>
          <cell r="K82">
            <v>0</v>
          </cell>
        </row>
        <row r="82">
          <cell r="M82">
            <v>50600</v>
          </cell>
          <cell r="N82">
            <v>0</v>
          </cell>
          <cell r="O82">
            <v>28920</v>
          </cell>
          <cell r="P82">
            <v>21680</v>
          </cell>
          <cell r="Q82">
            <v>21690</v>
          </cell>
          <cell r="R82">
            <v>0</v>
          </cell>
          <cell r="S82">
            <v>21680</v>
          </cell>
          <cell r="T82">
            <v>28920</v>
          </cell>
          <cell r="U82">
            <v>28910</v>
          </cell>
        </row>
        <row r="83">
          <cell r="B83" t="str">
            <v>FRIDGEM_S1_P29</v>
          </cell>
          <cell r="C83" t="str">
            <v>Hawaiian Pizza-Global Version</v>
          </cell>
          <cell r="D83" t="str">
            <v>Pizza Hut</v>
          </cell>
        </row>
        <row r="83">
          <cell r="F83" t="str">
            <v>GLOBAL only</v>
          </cell>
          <cell r="G83" t="str">
            <v>MNFRG-13M-01；MNFRG-28M-01</v>
          </cell>
        </row>
        <row r="83">
          <cell r="J83">
            <v>43570</v>
          </cell>
          <cell r="K83">
            <v>43560</v>
          </cell>
        </row>
        <row r="83">
          <cell r="M83">
            <v>0</v>
          </cell>
          <cell r="N83">
            <v>43560</v>
          </cell>
          <cell r="O83">
            <v>0</v>
          </cell>
          <cell r="P83">
            <v>43560</v>
          </cell>
          <cell r="Q83">
            <v>0</v>
          </cell>
          <cell r="R83">
            <v>0</v>
          </cell>
          <cell r="S83">
            <v>0</v>
          </cell>
          <cell r="T83">
            <v>0</v>
          </cell>
          <cell r="U83">
            <v>43560</v>
          </cell>
        </row>
        <row r="84">
          <cell r="B84" t="str">
            <v>FRIDGEM_S1_P25</v>
          </cell>
          <cell r="C84" t="str">
            <v>Big Dinner Box-NA Version</v>
          </cell>
          <cell r="D84" t="str">
            <v>Pizza Hut</v>
          </cell>
        </row>
        <row r="84">
          <cell r="F84" t="str">
            <v>NA only</v>
          </cell>
          <cell r="G84" t="str">
            <v>MNFRG-13M-01；MNFRG-29M-01</v>
          </cell>
          <cell r="H84">
            <v>5657</v>
          </cell>
        </row>
        <row r="84">
          <cell r="J84">
            <v>57830</v>
          </cell>
          <cell r="K84">
            <v>0</v>
          </cell>
        </row>
        <row r="84">
          <cell r="M84">
            <v>50600</v>
          </cell>
          <cell r="N84">
            <v>0</v>
          </cell>
          <cell r="O84">
            <v>28920</v>
          </cell>
          <cell r="P84">
            <v>21680</v>
          </cell>
          <cell r="Q84">
            <v>21690</v>
          </cell>
          <cell r="R84">
            <v>0</v>
          </cell>
          <cell r="S84">
            <v>21680</v>
          </cell>
          <cell r="T84">
            <v>28920</v>
          </cell>
          <cell r="U84">
            <v>28910</v>
          </cell>
        </row>
        <row r="85">
          <cell r="B85" t="str">
            <v>FRIDGEM_S1_P30</v>
          </cell>
          <cell r="C85" t="str">
            <v>Big Dinner Box-Global Version</v>
          </cell>
          <cell r="D85" t="str">
            <v>Pizza Hut</v>
          </cell>
        </row>
        <row r="85">
          <cell r="F85" t="str">
            <v>GLOBAL only</v>
          </cell>
          <cell r="G85" t="str">
            <v>MNFRG-13M-01；MNFRG-29M-01</v>
          </cell>
        </row>
        <row r="85">
          <cell r="J85">
            <v>43570</v>
          </cell>
          <cell r="K85">
            <v>43560</v>
          </cell>
        </row>
        <row r="85">
          <cell r="M85">
            <v>0</v>
          </cell>
          <cell r="N85">
            <v>43560</v>
          </cell>
          <cell r="O85">
            <v>0</v>
          </cell>
          <cell r="P85">
            <v>43560</v>
          </cell>
          <cell r="Q85">
            <v>0</v>
          </cell>
          <cell r="R85">
            <v>0</v>
          </cell>
          <cell r="S85">
            <v>0</v>
          </cell>
          <cell r="T85">
            <v>0</v>
          </cell>
          <cell r="U85">
            <v>43560</v>
          </cell>
        </row>
        <row r="86">
          <cell r="B86" t="str">
            <v>FRIDGEM_S1_P26</v>
          </cell>
          <cell r="C86" t="str">
            <v>Traditional Wings-NA Version</v>
          </cell>
          <cell r="D86" t="str">
            <v>Pizza Hut</v>
          </cell>
        </row>
        <row r="86">
          <cell r="F86" t="str">
            <v>NA only</v>
          </cell>
          <cell r="G86" t="str">
            <v>MNFRG-13M-01；MNFRG-28M-01</v>
          </cell>
          <cell r="H86">
            <v>5280</v>
          </cell>
        </row>
        <row r="86">
          <cell r="J86">
            <v>57830</v>
          </cell>
          <cell r="K86">
            <v>0</v>
          </cell>
        </row>
        <row r="86">
          <cell r="M86">
            <v>50600</v>
          </cell>
          <cell r="N86">
            <v>0</v>
          </cell>
          <cell r="O86">
            <v>28920</v>
          </cell>
          <cell r="P86">
            <v>21680</v>
          </cell>
          <cell r="Q86">
            <v>21690</v>
          </cell>
          <cell r="R86">
            <v>0</v>
          </cell>
          <cell r="S86">
            <v>21680</v>
          </cell>
          <cell r="T86">
            <v>28920</v>
          </cell>
          <cell r="U86">
            <v>28910</v>
          </cell>
        </row>
        <row r="87">
          <cell r="B87" t="str">
            <v>FRIDGEM_S1_P31</v>
          </cell>
          <cell r="C87" t="str">
            <v>Traditional Wings-Global Version</v>
          </cell>
          <cell r="D87" t="str">
            <v>Pizza Hut</v>
          </cell>
        </row>
        <row r="87">
          <cell r="F87" t="str">
            <v>GLOBAL only</v>
          </cell>
          <cell r="G87" t="str">
            <v>MNFRG-13M-01；MNFRG-28M-01</v>
          </cell>
        </row>
        <row r="87">
          <cell r="J87">
            <v>43570</v>
          </cell>
          <cell r="K87">
            <v>43560</v>
          </cell>
        </row>
        <row r="87">
          <cell r="M87">
            <v>0</v>
          </cell>
          <cell r="N87">
            <v>43560</v>
          </cell>
          <cell r="O87">
            <v>0</v>
          </cell>
          <cell r="P87">
            <v>43560</v>
          </cell>
          <cell r="Q87">
            <v>0</v>
          </cell>
          <cell r="R87">
            <v>0</v>
          </cell>
          <cell r="S87">
            <v>0</v>
          </cell>
          <cell r="T87">
            <v>0</v>
          </cell>
          <cell r="U87">
            <v>43560</v>
          </cell>
        </row>
        <row r="88">
          <cell r="B88" t="str">
            <v>FRIDGEM_S1_P39</v>
          </cell>
          <cell r="C88" t="str">
            <v>Strawberry Vanilla</v>
          </cell>
          <cell r="D88" t="str">
            <v>OLIPOP</v>
          </cell>
        </row>
        <row r="88">
          <cell r="F88" t="str">
            <v>Playset only</v>
          </cell>
          <cell r="G88" t="str">
            <v>MNFRG-21M-01</v>
          </cell>
          <cell r="H88">
            <v>10393.5353535354</v>
          </cell>
        </row>
        <row r="88">
          <cell r="J88">
            <v>270000</v>
          </cell>
          <cell r="K88">
            <v>10730</v>
          </cell>
          <cell r="L88">
            <v>90420</v>
          </cell>
          <cell r="M88">
            <v>60000</v>
          </cell>
          <cell r="N88">
            <v>50000</v>
          </cell>
          <cell r="O88">
            <v>50000</v>
          </cell>
          <cell r="P88">
            <v>105000</v>
          </cell>
          <cell r="Q88">
            <v>66600</v>
          </cell>
          <cell r="R88">
            <v>101800</v>
          </cell>
          <cell r="S88">
            <v>105000</v>
          </cell>
          <cell r="T88">
            <v>80000</v>
          </cell>
          <cell r="U88">
            <v>179600</v>
          </cell>
        </row>
        <row r="89">
          <cell r="B89" t="str">
            <v>FRIDGEM_S1_P67</v>
          </cell>
          <cell r="C89" t="str">
            <v>Jelly</v>
          </cell>
          <cell r="D89" t="str">
            <v>N/A</v>
          </cell>
        </row>
        <row r="89">
          <cell r="F89" t="str">
            <v>Playset only</v>
          </cell>
          <cell r="G89" t="str">
            <v>MNFRG-15M-01;MNFRG-16M-01;MNFRG-23M-01;MNFRG-31M-01;MNFRG-32M-01.</v>
          </cell>
          <cell r="H89">
            <v>4908</v>
          </cell>
        </row>
        <row r="89">
          <cell r="J89">
            <v>270000</v>
          </cell>
          <cell r="K89">
            <v>11030</v>
          </cell>
          <cell r="L89">
            <v>90420</v>
          </cell>
          <cell r="M89">
            <v>60300</v>
          </cell>
          <cell r="N89">
            <v>50000</v>
          </cell>
          <cell r="O89">
            <v>50000</v>
          </cell>
          <cell r="P89">
            <v>105000</v>
          </cell>
          <cell r="Q89">
            <v>66600</v>
          </cell>
          <cell r="R89">
            <v>101800</v>
          </cell>
          <cell r="S89">
            <v>105000</v>
          </cell>
          <cell r="T89">
            <v>80000</v>
          </cell>
          <cell r="U89">
            <v>179600</v>
          </cell>
        </row>
        <row r="90">
          <cell r="B90" t="str">
            <v>FRIDGEM_S1_P71</v>
          </cell>
          <cell r="C90" t="str">
            <v>Ice Scoop</v>
          </cell>
          <cell r="D90" t="str">
            <v>N/A</v>
          </cell>
        </row>
        <row r="90">
          <cell r="F90" t="str">
            <v>Playset only</v>
          </cell>
          <cell r="G90" t="str">
            <v>MNFRG-24M-01</v>
          </cell>
          <cell r="H90">
            <v>10560</v>
          </cell>
        </row>
        <row r="90">
          <cell r="J90">
            <v>270000</v>
          </cell>
          <cell r="K90">
            <v>10730</v>
          </cell>
          <cell r="L90">
            <v>90420</v>
          </cell>
          <cell r="M90">
            <v>60000</v>
          </cell>
          <cell r="N90">
            <v>50000</v>
          </cell>
          <cell r="O90">
            <v>50000</v>
          </cell>
          <cell r="P90">
            <v>105000</v>
          </cell>
          <cell r="Q90">
            <v>66600</v>
          </cell>
          <cell r="R90">
            <v>101800</v>
          </cell>
          <cell r="S90">
            <v>105000</v>
          </cell>
          <cell r="T90">
            <v>80000</v>
          </cell>
          <cell r="U90">
            <v>179600</v>
          </cell>
        </row>
        <row r="91">
          <cell r="B91" t="str">
            <v>FRIDGEM_S1_A20</v>
          </cell>
        </row>
        <row r="91">
          <cell r="D91" t="str">
            <v>N/A</v>
          </cell>
          <cell r="E91" t="str">
            <v>冰箱贴</v>
          </cell>
          <cell r="F91" t="str">
            <v>Playset only</v>
          </cell>
          <cell r="G91" t="str">
            <v>外购件</v>
          </cell>
        </row>
        <row r="91">
          <cell r="J91">
            <v>270000</v>
          </cell>
          <cell r="K91">
            <v>10730</v>
          </cell>
          <cell r="L91">
            <v>90420</v>
          </cell>
          <cell r="M91">
            <v>60000</v>
          </cell>
          <cell r="N91">
            <v>50000</v>
          </cell>
          <cell r="O91">
            <v>50000</v>
          </cell>
          <cell r="P91">
            <v>105000</v>
          </cell>
          <cell r="Q91">
            <v>66600</v>
          </cell>
          <cell r="R91">
            <v>101800</v>
          </cell>
          <cell r="S91">
            <v>105000</v>
          </cell>
          <cell r="T91">
            <v>80000</v>
          </cell>
          <cell r="U91">
            <v>179600</v>
          </cell>
        </row>
        <row r="92">
          <cell r="B92" t="str">
            <v>FRIDGEM_S1_CUS 1</v>
          </cell>
          <cell r="C92" t="str">
            <v>perfectly Peach</v>
          </cell>
          <cell r="D92" t="str">
            <v>Sangaria Ramune</v>
          </cell>
        </row>
        <row r="92">
          <cell r="F92" t="str">
            <v>Playset Target-US only</v>
          </cell>
          <cell r="G92" t="str">
            <v>MNFRG-05M-01</v>
          </cell>
          <cell r="H92">
            <v>3741.10750360751</v>
          </cell>
          <cell r="I92" t="str">
            <v>和【FRIDGEM_S1_P43】Sangaria Ramune共模</v>
          </cell>
          <cell r="J92">
            <v>20000</v>
          </cell>
          <cell r="K92">
            <v>0</v>
          </cell>
        </row>
        <row r="92">
          <cell r="M92">
            <v>10000</v>
          </cell>
        </row>
        <row r="92">
          <cell r="O92">
            <v>0</v>
          </cell>
          <cell r="P92">
            <v>50000</v>
          </cell>
          <cell r="Q92">
            <v>0</v>
          </cell>
          <cell r="R92">
            <v>40000</v>
          </cell>
          <cell r="S92">
            <v>55000</v>
          </cell>
          <cell r="T92">
            <v>20000</v>
          </cell>
          <cell r="U92">
            <v>20000</v>
          </cell>
        </row>
        <row r="93">
          <cell r="B93" t="str">
            <v>FRIDGEM_S1_CUS 2</v>
          </cell>
          <cell r="C93" t="str">
            <v>Classic Root Beer
355ml</v>
          </cell>
          <cell r="D93" t="str">
            <v>Olipop</v>
          </cell>
        </row>
        <row r="93">
          <cell r="F93" t="str">
            <v>Playset Target-US only</v>
          </cell>
          <cell r="G93" t="str">
            <v>MNFRG-21M-01</v>
          </cell>
          <cell r="H93">
            <v>1964.51178451179</v>
          </cell>
          <cell r="I93" t="str">
            <v>和【FRIDGEM_S1_P39】Olipop 共模</v>
          </cell>
          <cell r="J93">
            <v>20000</v>
          </cell>
          <cell r="K93">
            <v>0</v>
          </cell>
        </row>
        <row r="93">
          <cell r="M93">
            <v>10000</v>
          </cell>
        </row>
        <row r="93">
          <cell r="O93">
            <v>0</v>
          </cell>
          <cell r="P93">
            <v>50000</v>
          </cell>
          <cell r="Q93">
            <v>0</v>
          </cell>
          <cell r="R93">
            <v>40000</v>
          </cell>
          <cell r="S93">
            <v>55000</v>
          </cell>
          <cell r="T93">
            <v>20000</v>
          </cell>
          <cell r="U93">
            <v>20000</v>
          </cell>
        </row>
        <row r="94">
          <cell r="B94" t="str">
            <v>FRIDGEM_S1_CUS 3</v>
          </cell>
          <cell r="C94" t="str">
            <v>Vintage Cola
355ml</v>
          </cell>
          <cell r="D94" t="str">
            <v>Olipop</v>
          </cell>
        </row>
        <row r="94">
          <cell r="F94" t="str">
            <v>Playset Target-US only</v>
          </cell>
          <cell r="G94" t="str">
            <v>MNFRG-21M-01</v>
          </cell>
          <cell r="H94">
            <v>1964.51178451179</v>
          </cell>
          <cell r="I94" t="str">
            <v>和【FRIDGEM_S1_P39】Olipop 共模</v>
          </cell>
          <cell r="J94">
            <v>20000</v>
          </cell>
          <cell r="K94">
            <v>0</v>
          </cell>
        </row>
        <row r="94">
          <cell r="M94">
            <v>10000</v>
          </cell>
        </row>
        <row r="94">
          <cell r="O94">
            <v>0</v>
          </cell>
          <cell r="P94">
            <v>50000</v>
          </cell>
          <cell r="Q94">
            <v>0</v>
          </cell>
          <cell r="R94">
            <v>40000</v>
          </cell>
          <cell r="S94">
            <v>55000</v>
          </cell>
          <cell r="T94">
            <v>20000</v>
          </cell>
          <cell r="U94">
            <v>20000</v>
          </cell>
        </row>
        <row r="95">
          <cell r="B95" t="str">
            <v>FRIDGEM_S1_CUS 4</v>
          </cell>
          <cell r="C95" t="str">
            <v>Supreme Pizza</v>
          </cell>
          <cell r="D95" t="str">
            <v>Pizza Hut</v>
          </cell>
        </row>
        <row r="95">
          <cell r="F95" t="str">
            <v>Playset Target-US only</v>
          </cell>
          <cell r="G95" t="str">
            <v>MNFRG-13M-01；MNFRG-28M-01</v>
          </cell>
          <cell r="H95">
            <v>1018.2095959596</v>
          </cell>
          <cell r="I95" t="str">
            <v>  和【FRIDGEM_S1_P23】Cheese Pizza 共模</v>
          </cell>
          <cell r="J95">
            <v>20000</v>
          </cell>
          <cell r="K95">
            <v>0</v>
          </cell>
        </row>
        <row r="95">
          <cell r="M95">
            <v>10000</v>
          </cell>
        </row>
        <row r="95">
          <cell r="O95">
            <v>0</v>
          </cell>
          <cell r="P95">
            <v>50000</v>
          </cell>
          <cell r="Q95">
            <v>0</v>
          </cell>
          <cell r="R95">
            <v>40000</v>
          </cell>
          <cell r="S95">
            <v>55000</v>
          </cell>
          <cell r="T95">
            <v>20000</v>
          </cell>
          <cell r="U95">
            <v>20000</v>
          </cell>
        </row>
        <row r="96">
          <cell r="B96" t="str">
            <v>FRIDGEM_S1_CUS 5</v>
          </cell>
          <cell r="C96" t="str">
            <v>Extra Hot</v>
          </cell>
          <cell r="D96" t="str">
            <v>Mike's Hot Honey</v>
          </cell>
        </row>
        <row r="96">
          <cell r="F96" t="str">
            <v>Playset Target-US only</v>
          </cell>
          <cell r="G96" t="str">
            <v>MNFRG-01M-01</v>
          </cell>
          <cell r="H96">
            <v>2740.96464646465</v>
          </cell>
          <cell r="I96" t="str">
            <v>和 【FRIDGEM_S1_P47】 共模</v>
          </cell>
          <cell r="J96">
            <v>20000</v>
          </cell>
          <cell r="K96">
            <v>0</v>
          </cell>
        </row>
        <row r="96">
          <cell r="M96">
            <v>10000</v>
          </cell>
        </row>
        <row r="96">
          <cell r="O96">
            <v>0</v>
          </cell>
          <cell r="P96">
            <v>50000</v>
          </cell>
          <cell r="Q96">
            <v>0</v>
          </cell>
          <cell r="R96">
            <v>40000</v>
          </cell>
          <cell r="S96">
            <v>55000</v>
          </cell>
          <cell r="T96">
            <v>20000</v>
          </cell>
          <cell r="U96">
            <v>20000</v>
          </cell>
        </row>
        <row r="97">
          <cell r="B97" t="str">
            <v>FRIDGEM_S1_CUS 6</v>
          </cell>
          <cell r="C97" t="str">
            <v>Great Grape</v>
          </cell>
          <cell r="D97" t="str">
            <v>Sangaria Ramune</v>
          </cell>
        </row>
        <row r="97">
          <cell r="F97" t="str">
            <v>Playset Costco-NA&amp;INT only</v>
          </cell>
          <cell r="G97" t="str">
            <v>MNFRG-05M-01</v>
          </cell>
          <cell r="H97">
            <v>7482.21500721501</v>
          </cell>
          <cell r="I97" t="str">
            <v>和【FRIDGEM_S1_P43】Sangaria Ramune共模</v>
          </cell>
          <cell r="J97">
            <v>50000</v>
          </cell>
          <cell r="K97">
            <v>10730</v>
          </cell>
        </row>
        <row r="97">
          <cell r="P97">
            <v>25420</v>
          </cell>
          <cell r="Q97">
            <v>40600</v>
          </cell>
          <cell r="R97">
            <v>1800</v>
          </cell>
          <cell r="S97">
            <v>0</v>
          </cell>
          <cell r="T97">
            <v>0</v>
          </cell>
          <cell r="U97">
            <v>9600</v>
          </cell>
        </row>
        <row r="98">
          <cell r="B98" t="str">
            <v>FRIDGEM_S1_CUS 7</v>
          </cell>
          <cell r="C98" t="str">
            <v>Mmm Melon</v>
          </cell>
          <cell r="D98" t="str">
            <v>Sangaria Ramune</v>
          </cell>
        </row>
        <row r="98">
          <cell r="F98" t="str">
            <v>Playset Costco-NA&amp;INT only</v>
          </cell>
          <cell r="G98" t="str">
            <v>MNFRG-05M-01</v>
          </cell>
        </row>
        <row r="98">
          <cell r="I98" t="str">
            <v>和【FRIDGEM_S1_P43】Sangaria Ramune共模</v>
          </cell>
          <cell r="J98">
            <v>50000</v>
          </cell>
          <cell r="K98">
            <v>10730</v>
          </cell>
        </row>
        <row r="98">
          <cell r="P98">
            <v>25420</v>
          </cell>
          <cell r="Q98">
            <v>40600</v>
          </cell>
          <cell r="R98">
            <v>1800</v>
          </cell>
          <cell r="S98">
            <v>0</v>
          </cell>
          <cell r="T98">
            <v>0</v>
          </cell>
          <cell r="U98">
            <v>9600</v>
          </cell>
        </row>
        <row r="99">
          <cell r="B99" t="str">
            <v>FRIDGEM_S1_CUS 8</v>
          </cell>
          <cell r="C99" t="str">
            <v>Orange Squeeze
355ml</v>
          </cell>
          <cell r="D99" t="str">
            <v>Olipop</v>
          </cell>
        </row>
        <row r="99">
          <cell r="F99" t="str">
            <v>Playset Costco-NA&amp;INT only</v>
          </cell>
          <cell r="G99" t="str">
            <v>MNFRG-21M-01</v>
          </cell>
          <cell r="H99">
            <v>1964.51178451179</v>
          </cell>
          <cell r="I99" t="str">
            <v>和【FRIDGEM_S1_P39】Olipop 共模</v>
          </cell>
          <cell r="J99">
            <v>50000</v>
          </cell>
          <cell r="K99">
            <v>10730</v>
          </cell>
        </row>
        <row r="99">
          <cell r="P99">
            <v>25420</v>
          </cell>
          <cell r="Q99">
            <v>40600</v>
          </cell>
          <cell r="R99">
            <v>1800</v>
          </cell>
          <cell r="S99">
            <v>0</v>
          </cell>
          <cell r="T99">
            <v>0</v>
          </cell>
          <cell r="U99">
            <v>9600</v>
          </cell>
        </row>
        <row r="100">
          <cell r="B100" t="str">
            <v>FRIDGEM_S1_CUS 9</v>
          </cell>
          <cell r="C100" t="str">
            <v>Meat Lovers Pizza</v>
          </cell>
          <cell r="D100" t="str">
            <v>Pizza Hut</v>
          </cell>
        </row>
        <row r="100">
          <cell r="F100" t="str">
            <v>Playset Costco-NA only</v>
          </cell>
          <cell r="G100" t="str">
            <v>MNFRG-13M-01；MNFRG-28M-01</v>
          </cell>
          <cell r="H100">
            <v>1018.2095959596</v>
          </cell>
          <cell r="I100" t="str">
            <v> 和【FRIDGEM_S1_P23】Cheese Pizza 共模</v>
          </cell>
          <cell r="J100">
            <v>50000</v>
          </cell>
          <cell r="K100">
            <v>0</v>
          </cell>
        </row>
        <row r="100">
          <cell r="P100">
            <v>14400</v>
          </cell>
          <cell r="Q100">
            <v>40600</v>
          </cell>
          <cell r="R100">
            <v>5400</v>
          </cell>
          <cell r="S100">
            <v>0</v>
          </cell>
          <cell r="T100">
            <v>0</v>
          </cell>
          <cell r="U100">
            <v>0</v>
          </cell>
        </row>
        <row r="101">
          <cell r="B101" t="str">
            <v>FRIDGEM_S1_CUS 11</v>
          </cell>
          <cell r="C101" t="str">
            <v>Meat Lovers Pizza-global </v>
          </cell>
          <cell r="D101" t="str">
            <v>Pizza Hut</v>
          </cell>
        </row>
        <row r="101">
          <cell r="F101" t="str">
            <v>Playset Costco-INT only</v>
          </cell>
          <cell r="G101" t="str">
            <v>MNFRG-13M-01；MNFRG-28M-01</v>
          </cell>
        </row>
        <row r="101">
          <cell r="J101">
            <v>0</v>
          </cell>
          <cell r="K101">
            <v>10730</v>
          </cell>
          <cell r="L101">
            <v>11020</v>
          </cell>
          <cell r="M101">
            <v>0</v>
          </cell>
        </row>
        <row r="101">
          <cell r="O101">
            <v>0</v>
          </cell>
          <cell r="P101">
            <v>0</v>
          </cell>
          <cell r="Q101">
            <v>0</v>
          </cell>
          <cell r="R101">
            <v>0</v>
          </cell>
          <cell r="S101">
            <v>0</v>
          </cell>
        </row>
        <row r="101">
          <cell r="U101">
            <v>6000</v>
          </cell>
        </row>
        <row r="102">
          <cell r="B102" t="str">
            <v>FRIDGEM_S1_CUS 10</v>
          </cell>
          <cell r="C102" t="str">
            <v>Caramel Syrup 
24 oz</v>
          </cell>
          <cell r="D102" t="str">
            <v>Hershey's</v>
          </cell>
        </row>
        <row r="102">
          <cell r="F102" t="str">
            <v>Playset Costco-NA&amp;INT only</v>
          </cell>
          <cell r="G102" t="str">
            <v>MNFRG-08M-01</v>
          </cell>
          <cell r="H102">
            <v>3474.42881192882</v>
          </cell>
          <cell r="I102" t="str">
            <v>和 【FRIDGEM_S1_P17】Hershey's Chocolate 共模</v>
          </cell>
          <cell r="J102">
            <v>50000</v>
          </cell>
          <cell r="K102">
            <v>10730</v>
          </cell>
        </row>
        <row r="102">
          <cell r="P102">
            <v>25420</v>
          </cell>
          <cell r="Q102">
            <v>40600</v>
          </cell>
          <cell r="R102">
            <v>1800</v>
          </cell>
          <cell r="S102">
            <v>0</v>
          </cell>
          <cell r="T102">
            <v>0</v>
          </cell>
          <cell r="U102">
            <v>9600</v>
          </cell>
        </row>
        <row r="103">
          <cell r="I103" t="str">
            <v>Minis Sum</v>
          </cell>
          <cell r="J103">
            <v>8382560</v>
          </cell>
          <cell r="K103">
            <v>1965550</v>
          </cell>
          <cell r="L103">
            <v>372700</v>
          </cell>
          <cell r="M103">
            <v>4604190</v>
          </cell>
          <cell r="N103">
            <v>2058660</v>
          </cell>
          <cell r="O103">
            <v>2671470</v>
          </cell>
          <cell r="P103">
            <v>4483350</v>
          </cell>
          <cell r="Q103">
            <v>2320010</v>
          </cell>
          <cell r="R103">
            <v>619800</v>
          </cell>
          <cell r="S103">
            <v>2550220</v>
          </cell>
          <cell r="T103">
            <v>3095640</v>
          </cell>
          <cell r="U103">
            <v>5232840</v>
          </cell>
        </row>
        <row r="104">
          <cell r="I104" t="str">
            <v>In-house</v>
          </cell>
          <cell r="J104">
            <v>7326280</v>
          </cell>
          <cell r="K104">
            <v>1758110</v>
          </cell>
          <cell r="L104">
            <v>282280</v>
          </cell>
          <cell r="M104">
            <v>4027990</v>
          </cell>
          <cell r="N104">
            <v>1812810</v>
          </cell>
          <cell r="O104">
            <v>2327070</v>
          </cell>
          <cell r="P104">
            <v>3961680</v>
          </cell>
          <cell r="Q104">
            <v>2032550</v>
          </cell>
          <cell r="R104">
            <v>518000</v>
          </cell>
          <cell r="S104">
            <v>2224400</v>
          </cell>
          <cell r="T104">
            <v>2721190</v>
          </cell>
          <cell r="U104">
            <v>4562980</v>
          </cell>
        </row>
        <row r="105">
          <cell r="I105" t="str">
            <v>Outsourcing</v>
          </cell>
          <cell r="J105">
            <v>1056280</v>
          </cell>
          <cell r="K105">
            <v>207440</v>
          </cell>
          <cell r="L105">
            <v>90420</v>
          </cell>
          <cell r="M105">
            <v>576200</v>
          </cell>
          <cell r="N105">
            <v>245850</v>
          </cell>
          <cell r="O105">
            <v>344400</v>
          </cell>
          <cell r="P105">
            <v>521670</v>
          </cell>
          <cell r="Q105">
            <v>287460</v>
          </cell>
          <cell r="R105">
            <v>101800</v>
          </cell>
          <cell r="S105">
            <v>325820</v>
          </cell>
          <cell r="T105">
            <v>374450</v>
          </cell>
          <cell r="U105">
            <v>669860</v>
          </cell>
        </row>
      </sheetData>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Candy@zuru.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XFD1583"/>
  <sheetViews>
    <sheetView workbookViewId="0">
      <pane xSplit="14" ySplit="1" topLeftCell="Q3" activePane="bottomRight" state="frozen"/>
      <selection/>
      <selection pane="topRight"/>
      <selection pane="bottomLeft"/>
      <selection pane="bottomRight" activeCell="Q3" sqref="Q3"/>
    </sheetView>
  </sheetViews>
  <sheetFormatPr defaultColWidth="9" defaultRowHeight="13.5"/>
  <cols>
    <col min="1" max="1" width="14.9166666666667" style="1277" customWidth="1"/>
    <col min="2" max="2" width="14.1333333333333" style="559" customWidth="1"/>
    <col min="3" max="3" width="12.225" style="559" customWidth="1"/>
    <col min="4" max="4" width="16.6083333333333" style="559" customWidth="1"/>
    <col min="5" max="5" width="14.3833333333333" style="1278" customWidth="1"/>
    <col min="6" max="6" width="16.8916666666667" style="559" customWidth="1"/>
    <col min="7" max="7" width="14.6833333333333" style="1279" customWidth="1"/>
    <col min="8" max="8" width="18.8666666666667" style="559" customWidth="1"/>
    <col min="9" max="9" width="10.2583333333333" style="559" customWidth="1"/>
    <col min="10" max="10" width="7.575" style="559" customWidth="1"/>
    <col min="11" max="11" width="7.76666666666667" style="559" customWidth="1"/>
    <col min="12" max="12" width="8.75833333333333" style="559" customWidth="1"/>
    <col min="13" max="14" width="18.1333333333333" style="559" customWidth="1"/>
    <col min="15" max="15" width="11.8" style="559" customWidth="1"/>
    <col min="16" max="16" width="10" style="559" customWidth="1"/>
    <col min="17" max="17" width="12.675" style="559" customWidth="1"/>
    <col min="18" max="18" width="14.875" style="559" customWidth="1"/>
    <col min="19" max="19" width="9.55833333333333" style="559" customWidth="1"/>
    <col min="20" max="23" width="11.5916666666667" style="559" customWidth="1"/>
    <col min="24" max="24" width="32.85" style="559" customWidth="1"/>
    <col min="25" max="25" width="12.2583333333333" style="559" customWidth="1"/>
    <col min="26" max="26" width="12.675" style="1280" customWidth="1"/>
    <col min="27" max="27" width="11.4166666666667" style="1281" customWidth="1"/>
    <col min="28" max="28" width="9" style="1278"/>
    <col min="29" max="29" width="13.3916666666667" style="1267" customWidth="1"/>
    <col min="30" max="30" width="16.8916666666667" style="1267" customWidth="1"/>
    <col min="31" max="31" width="9.99166666666667" style="1267" customWidth="1"/>
    <col min="32" max="32" width="9.65" style="1267" customWidth="1"/>
    <col min="33" max="34" width="7.84166666666667" style="559" customWidth="1"/>
    <col min="35" max="35" width="10.35" style="574" customWidth="1"/>
    <col min="36" max="36" width="8.94166666666667" style="1282" customWidth="1"/>
    <col min="37" max="37" width="8.94166666666667" style="1283" customWidth="1"/>
    <col min="38" max="38" width="7.85833333333333" style="1269" customWidth="1"/>
    <col min="39" max="39" width="6.6" style="1283" customWidth="1"/>
    <col min="40" max="50" width="9" style="559" customWidth="1"/>
    <col min="51" max="51" width="10.65" style="559" customWidth="1"/>
    <col min="52" max="52" width="11.8916666666667" style="559"/>
    <col min="53" max="55" width="9" style="559" customWidth="1"/>
    <col min="56" max="57" width="9" style="547" customWidth="1"/>
    <col min="58" max="58" width="9" style="559" customWidth="1"/>
    <col min="59" max="59" width="11.8916666666667" style="559" customWidth="1"/>
    <col min="60" max="60" width="9" style="547" customWidth="1"/>
    <col min="61" max="61" width="9" style="547"/>
    <col min="62" max="64" width="9" style="559"/>
    <col min="65" max="65" width="8.55" style="547" customWidth="1"/>
    <col min="66" max="66" width="9" style="547"/>
    <col min="67" max="67" width="11.8916666666667" style="559"/>
    <col min="68" max="70" width="10.65" style="559" customWidth="1"/>
    <col min="71" max="71" width="9" style="559"/>
    <col min="72" max="72" width="9.38333333333333" style="559"/>
    <col min="73" max="73" width="9" style="559"/>
    <col min="74" max="74" width="11.8916666666667" style="559"/>
    <col min="75" max="16238" width="9" style="559"/>
    <col min="16239" max="16384" width="9" style="1276"/>
  </cols>
  <sheetData>
    <row r="1" s="559" customFormat="1" ht="61" customHeight="1" spans="1:75">
      <c r="A1" s="1284" t="s">
        <v>0</v>
      </c>
      <c r="B1" s="1285" t="s">
        <v>1</v>
      </c>
      <c r="C1" s="1285" t="s">
        <v>2</v>
      </c>
      <c r="D1" s="1285" t="s">
        <v>3</v>
      </c>
      <c r="E1" s="1286" t="s">
        <v>4</v>
      </c>
      <c r="F1" s="1286" t="s">
        <v>5</v>
      </c>
      <c r="G1" s="1285" t="s">
        <v>6</v>
      </c>
      <c r="H1" s="1285" t="s">
        <v>7</v>
      </c>
      <c r="I1" s="1285" t="s">
        <v>8</v>
      </c>
      <c r="J1" s="1285" t="s">
        <v>9</v>
      </c>
      <c r="K1" s="1285" t="s">
        <v>10</v>
      </c>
      <c r="L1" s="1285" t="s">
        <v>11</v>
      </c>
      <c r="M1" s="1287" t="s">
        <v>12</v>
      </c>
      <c r="N1" s="1287" t="s">
        <v>13</v>
      </c>
      <c r="O1" s="1288" t="s">
        <v>14</v>
      </c>
      <c r="P1" s="1288" t="s">
        <v>15</v>
      </c>
      <c r="Q1" s="1285" t="s">
        <v>16</v>
      </c>
      <c r="R1" s="1289" t="s">
        <v>17</v>
      </c>
      <c r="S1" s="1289" t="s">
        <v>18</v>
      </c>
      <c r="T1" s="1289" t="s">
        <v>19</v>
      </c>
      <c r="U1" s="1290" t="s">
        <v>20</v>
      </c>
      <c r="V1" s="1289" t="s">
        <v>21</v>
      </c>
      <c r="W1" s="1289" t="s">
        <v>22</v>
      </c>
      <c r="X1" s="1291" t="s">
        <v>23</v>
      </c>
      <c r="Y1" s="1285" t="s">
        <v>24</v>
      </c>
      <c r="Z1" s="1292" t="s">
        <v>25</v>
      </c>
      <c r="AA1" s="1293" t="s">
        <v>26</v>
      </c>
      <c r="AB1" s="1294" t="s">
        <v>27</v>
      </c>
      <c r="AC1" s="1295" t="s">
        <v>28</v>
      </c>
      <c r="AD1" s="1288" t="s">
        <v>29</v>
      </c>
      <c r="AE1" s="1288" t="s">
        <v>30</v>
      </c>
      <c r="AF1" s="1288" t="s">
        <v>31</v>
      </c>
      <c r="AG1" s="1288" t="s">
        <v>32</v>
      </c>
      <c r="AH1" s="1288" t="s">
        <v>33</v>
      </c>
      <c r="AI1" s="1296" t="s">
        <v>34</v>
      </c>
      <c r="AJ1" s="1296" t="s">
        <v>35</v>
      </c>
      <c r="AK1" s="1297" t="s">
        <v>36</v>
      </c>
      <c r="AL1" s="592" t="s">
        <v>37</v>
      </c>
      <c r="AM1" s="1297" t="s">
        <v>38</v>
      </c>
      <c r="AN1" s="1298" t="s">
        <v>39</v>
      </c>
      <c r="AO1" s="1298" t="s">
        <v>40</v>
      </c>
      <c r="AP1" s="1298" t="s">
        <v>41</v>
      </c>
      <c r="AQ1" s="1299" t="s">
        <v>42</v>
      </c>
      <c r="AR1" s="1298" t="s">
        <v>43</v>
      </c>
      <c r="AS1" s="1300" t="s">
        <v>44</v>
      </c>
      <c r="AT1" s="1300" t="s">
        <v>45</v>
      </c>
      <c r="AU1" s="1298" t="s">
        <v>46</v>
      </c>
      <c r="AV1" s="1298" t="s">
        <v>47</v>
      </c>
      <c r="AW1" s="1298" t="s">
        <v>48</v>
      </c>
      <c r="AX1" s="1298" t="s">
        <v>49</v>
      </c>
      <c r="AY1" s="1298" t="s">
        <v>50</v>
      </c>
      <c r="AZ1" s="1300" t="s">
        <v>51</v>
      </c>
      <c r="BA1" s="1300" t="s">
        <v>52</v>
      </c>
      <c r="BB1" s="1300" t="s">
        <v>53</v>
      </c>
      <c r="BC1" s="1300" t="s">
        <v>54</v>
      </c>
      <c r="BD1" s="1300" t="s">
        <v>55</v>
      </c>
      <c r="BE1" s="1300" t="s">
        <v>56</v>
      </c>
      <c r="BF1" s="1300" t="s">
        <v>57</v>
      </c>
      <c r="BG1" s="1300" t="s">
        <v>58</v>
      </c>
      <c r="BH1" s="1298" t="s">
        <v>59</v>
      </c>
      <c r="BI1" s="1300" t="s">
        <v>60</v>
      </c>
      <c r="BJ1" s="1298" t="s">
        <v>61</v>
      </c>
      <c r="BK1" s="1300" t="s">
        <v>62</v>
      </c>
      <c r="BL1" s="1300" t="s">
        <v>63</v>
      </c>
      <c r="BM1" s="1301" t="s">
        <v>64</v>
      </c>
      <c r="BN1" s="1300" t="s">
        <v>65</v>
      </c>
      <c r="BO1" s="1298" t="s">
        <v>66</v>
      </c>
      <c r="BP1" s="1298"/>
      <c r="BQ1" s="1302"/>
      <c r="BR1" s="1298"/>
      <c r="BS1" s="1303"/>
      <c r="BT1" s="1298"/>
      <c r="BU1" s="1298"/>
      <c r="BV1" s="1298"/>
      <c r="BW1" s="1298"/>
    </row>
    <row r="2" s="1265" customFormat="1" ht="31" customHeight="1" spans="1:75">
      <c r="A2" s="1304">
        <v>45650</v>
      </c>
      <c r="B2" s="822"/>
      <c r="C2" s="633"/>
      <c r="D2" s="825" t="s">
        <v>67</v>
      </c>
      <c r="E2" s="633"/>
      <c r="F2" s="1305"/>
      <c r="G2" s="659" t="s">
        <v>68</v>
      </c>
      <c r="H2" s="633" t="s">
        <v>69</v>
      </c>
      <c r="I2" s="633">
        <v>424</v>
      </c>
      <c r="J2" s="633">
        <v>0</v>
      </c>
      <c r="K2" s="633">
        <v>12</v>
      </c>
      <c r="L2" s="827">
        <f>I2/K2</f>
        <v>35.3333333333333</v>
      </c>
      <c r="M2" s="828"/>
      <c r="N2" s="828"/>
      <c r="O2" s="824"/>
      <c r="P2" s="824"/>
      <c r="Q2" s="633"/>
      <c r="R2" s="829">
        <v>45650</v>
      </c>
      <c r="S2" s="829" t="s">
        <v>70</v>
      </c>
      <c r="T2" s="829" t="s">
        <v>70</v>
      </c>
      <c r="U2" s="829"/>
      <c r="V2" s="829"/>
      <c r="W2" s="829"/>
      <c r="X2" s="822"/>
      <c r="Y2" s="828" t="s">
        <v>71</v>
      </c>
      <c r="Z2" s="1306"/>
      <c r="AA2" s="831"/>
      <c r="AB2" s="1265"/>
      <c r="AC2" s="1307" t="s">
        <v>72</v>
      </c>
      <c r="AD2" s="633" t="s">
        <v>68</v>
      </c>
      <c r="AE2" s="633" t="s">
        <v>73</v>
      </c>
      <c r="AF2" s="633"/>
      <c r="AG2" s="618" t="s">
        <v>74</v>
      </c>
      <c r="AH2" s="618"/>
      <c r="AI2" s="1308">
        <f>I2</f>
        <v>424</v>
      </c>
      <c r="AJ2" s="824">
        <f>AI2-I2</f>
        <v>0</v>
      </c>
      <c r="AK2" s="633"/>
      <c r="AL2" s="633"/>
      <c r="AM2" s="633"/>
      <c r="AN2" s="825">
        <f>I2</f>
        <v>424</v>
      </c>
      <c r="AO2" s="687"/>
      <c r="AP2" s="687"/>
      <c r="AQ2" s="687"/>
      <c r="AR2" s="825">
        <f>I2</f>
        <v>424</v>
      </c>
      <c r="AS2" s="687"/>
      <c r="AT2" s="687"/>
      <c r="AU2" s="825">
        <f>I2</f>
        <v>424</v>
      </c>
      <c r="AV2" s="825"/>
      <c r="AW2" s="825">
        <f>I2</f>
        <v>424</v>
      </c>
      <c r="AX2" s="825"/>
      <c r="AY2" s="1305"/>
      <c r="AZ2" s="1305"/>
      <c r="BA2" s="1305"/>
      <c r="BB2" s="1305"/>
      <c r="BC2" s="1305"/>
      <c r="BD2" s="1305"/>
      <c r="BE2" s="1305"/>
      <c r="BF2" s="1305"/>
      <c r="BG2" s="1305"/>
      <c r="BH2" s="1305"/>
      <c r="BI2" s="1305"/>
      <c r="BJ2" s="1305"/>
      <c r="BK2" s="1305"/>
      <c r="BL2" s="1305"/>
      <c r="BM2" s="1305"/>
      <c r="BN2" s="1305"/>
      <c r="BO2" s="1305"/>
      <c r="BP2" s="1305"/>
    </row>
    <row r="3" s="1265" customFormat="1" ht="31" customHeight="1" spans="1:75">
      <c r="A3" s="1304">
        <v>45701</v>
      </c>
      <c r="B3" s="822" t="s">
        <v>75</v>
      </c>
      <c r="C3" s="633" t="s">
        <v>76</v>
      </c>
      <c r="D3" s="825">
        <v>4500157534</v>
      </c>
      <c r="E3" s="633"/>
      <c r="F3" s="1305" t="s">
        <v>77</v>
      </c>
      <c r="G3" s="659" t="s">
        <v>68</v>
      </c>
      <c r="H3" s="633" t="s">
        <v>69</v>
      </c>
      <c r="I3" s="1309">
        <v>144</v>
      </c>
      <c r="J3" s="633">
        <v>0</v>
      </c>
      <c r="K3" s="633">
        <v>12</v>
      </c>
      <c r="L3" s="827">
        <f>I3/K3</f>
        <v>12</v>
      </c>
      <c r="M3" s="828">
        <v>45731</v>
      </c>
      <c r="N3" s="828">
        <v>45727</v>
      </c>
      <c r="O3" s="824"/>
      <c r="P3" s="824"/>
      <c r="Q3" s="633" t="s">
        <v>78</v>
      </c>
      <c r="R3" s="829">
        <v>45804</v>
      </c>
      <c r="S3" s="829" t="s">
        <v>70</v>
      </c>
      <c r="T3" s="829">
        <v>45804</v>
      </c>
      <c r="U3" s="829"/>
      <c r="V3" s="829"/>
      <c r="W3" s="829"/>
      <c r="X3" s="628" t="s">
        <v>79</v>
      </c>
      <c r="Y3" s="828" t="s">
        <v>80</v>
      </c>
      <c r="Z3" s="1306">
        <v>4.1</v>
      </c>
      <c r="AA3" s="831">
        <f>Z3*I3</f>
        <v>590.4</v>
      </c>
      <c r="AC3" s="1307" t="s">
        <v>81</v>
      </c>
      <c r="AD3" s="633" t="s">
        <v>68</v>
      </c>
      <c r="AE3" s="633" t="s">
        <v>82</v>
      </c>
      <c r="AF3" s="633"/>
      <c r="AG3" s="618" t="s">
        <v>74</v>
      </c>
      <c r="AH3" s="618"/>
      <c r="AI3" s="1308">
        <f>I3</f>
        <v>144</v>
      </c>
      <c r="AJ3" s="824">
        <f>AI3-I3</f>
        <v>0</v>
      </c>
      <c r="AK3" s="633"/>
      <c r="AL3" s="633"/>
      <c r="AM3" s="633"/>
      <c r="AN3" s="825">
        <f>I3</f>
        <v>144</v>
      </c>
      <c r="AO3" s="1305"/>
      <c r="AP3" s="1305"/>
      <c r="AQ3" s="1305"/>
      <c r="AR3" s="825">
        <f>I3</f>
        <v>144</v>
      </c>
      <c r="AS3" s="687"/>
      <c r="AT3" s="687"/>
      <c r="AU3" s="825">
        <f>I3</f>
        <v>144</v>
      </c>
      <c r="AV3" s="825"/>
      <c r="AW3" s="825">
        <f>I3</f>
        <v>144</v>
      </c>
      <c r="AX3" s="825"/>
      <c r="AY3" s="1305"/>
      <c r="AZ3" s="1305"/>
      <c r="BA3" s="1305"/>
      <c r="BB3" s="1305"/>
      <c r="BC3" s="1305"/>
      <c r="BD3" s="1305"/>
      <c r="BE3" s="1305"/>
      <c r="BF3" s="1305"/>
      <c r="BG3" s="1305"/>
      <c r="BH3" s="1305"/>
      <c r="BI3" s="1305"/>
      <c r="BJ3" s="1305"/>
      <c r="BK3" s="1305"/>
      <c r="BL3" s="1305"/>
      <c r="BM3" s="1305"/>
      <c r="BN3" s="1305"/>
      <c r="BO3" s="1305"/>
      <c r="BP3" s="1305"/>
    </row>
    <row r="4" s="1265" customFormat="1" ht="31" customHeight="1" spans="1:75">
      <c r="A4" s="1304">
        <v>45722</v>
      </c>
      <c r="B4" s="822"/>
      <c r="C4" s="633"/>
      <c r="D4" s="825" t="s">
        <v>83</v>
      </c>
      <c r="E4" s="633"/>
      <c r="F4" s="1305"/>
      <c r="G4" s="659" t="s">
        <v>68</v>
      </c>
      <c r="H4" s="633" t="s">
        <v>69</v>
      </c>
      <c r="I4" s="633">
        <v>168</v>
      </c>
      <c r="J4" s="633">
        <v>0</v>
      </c>
      <c r="K4" s="633">
        <v>12</v>
      </c>
      <c r="L4" s="827">
        <f>I4/K4</f>
        <v>14</v>
      </c>
      <c r="M4" s="828">
        <v>45736</v>
      </c>
      <c r="N4" s="828">
        <v>45733</v>
      </c>
      <c r="O4" s="824"/>
      <c r="P4" s="824"/>
      <c r="Q4" s="633"/>
      <c r="R4" s="829">
        <v>45722</v>
      </c>
      <c r="S4" s="829" t="s">
        <v>70</v>
      </c>
      <c r="T4" s="829" t="s">
        <v>70</v>
      </c>
      <c r="U4" s="829"/>
      <c r="V4" s="829"/>
      <c r="W4" s="829"/>
      <c r="X4" s="822" t="s">
        <v>84</v>
      </c>
      <c r="Y4" s="828" t="s">
        <v>85</v>
      </c>
      <c r="Z4" s="1306"/>
      <c r="AA4" s="831"/>
      <c r="AB4" s="1265"/>
      <c r="AC4" s="1307" t="s">
        <v>86</v>
      </c>
      <c r="AD4" s="633" t="s">
        <v>68</v>
      </c>
      <c r="AE4" s="633" t="s">
        <v>82</v>
      </c>
      <c r="AF4" s="633"/>
      <c r="AG4" s="618" t="s">
        <v>74</v>
      </c>
      <c r="AH4" s="618"/>
      <c r="AI4" s="1308" t="s">
        <v>87</v>
      </c>
      <c r="AJ4" s="824" t="e">
        <f>AI4-I4</f>
        <v>#VALUE!</v>
      </c>
      <c r="AK4" s="633"/>
      <c r="AL4" s="633"/>
      <c r="AM4" s="633"/>
      <c r="AN4" s="825">
        <f>I4</f>
        <v>168</v>
      </c>
      <c r="AO4" s="687"/>
      <c r="AP4" s="687"/>
      <c r="AQ4" s="687"/>
      <c r="AR4" s="825">
        <f>I4</f>
        <v>168</v>
      </c>
      <c r="AS4" s="687"/>
      <c r="AT4" s="687"/>
      <c r="AU4" s="825">
        <f>I4</f>
        <v>168</v>
      </c>
      <c r="AV4" s="825"/>
      <c r="AW4" s="825">
        <f>I4</f>
        <v>168</v>
      </c>
      <c r="AX4" s="825"/>
      <c r="AY4" s="1305"/>
      <c r="AZ4" s="1305"/>
      <c r="BA4" s="1305"/>
      <c r="BB4" s="1305"/>
      <c r="BC4" s="1305"/>
      <c r="BD4" s="1305"/>
      <c r="BE4" s="1305"/>
      <c r="BF4" s="1305"/>
      <c r="BG4" s="1305"/>
      <c r="BH4" s="1305"/>
      <c r="BI4" s="1305"/>
      <c r="BJ4" s="1305"/>
      <c r="BK4" s="1305"/>
      <c r="BL4" s="1305"/>
      <c r="BM4" s="1305"/>
      <c r="BN4" s="1305"/>
      <c r="BO4" s="1305"/>
      <c r="BP4" s="1305"/>
    </row>
    <row r="5" s="1265" customFormat="1" ht="31" customHeight="1" spans="1:75">
      <c r="A5" s="1304">
        <v>45737</v>
      </c>
      <c r="B5" s="822"/>
      <c r="C5" s="633"/>
      <c r="D5" s="825" t="s">
        <v>88</v>
      </c>
      <c r="E5" s="633"/>
      <c r="F5" s="1305"/>
      <c r="G5" s="659" t="s">
        <v>68</v>
      </c>
      <c r="H5" s="633" t="s">
        <v>89</v>
      </c>
      <c r="I5" s="633" t="s">
        <v>90</v>
      </c>
      <c r="J5" s="633">
        <v>0</v>
      </c>
      <c r="K5" s="633">
        <v>1100</v>
      </c>
      <c r="L5" s="827">
        <v>1</v>
      </c>
      <c r="M5" s="828">
        <v>45740</v>
      </c>
      <c r="N5" s="828">
        <v>45736</v>
      </c>
      <c r="O5" s="824"/>
      <c r="P5" s="824"/>
      <c r="Q5" s="633"/>
      <c r="R5" s="829">
        <v>45737</v>
      </c>
      <c r="S5" s="829" t="s">
        <v>70</v>
      </c>
      <c r="T5" s="829" t="s">
        <v>70</v>
      </c>
      <c r="U5" s="829"/>
      <c r="V5" s="829"/>
      <c r="W5" s="829"/>
      <c r="X5" s="822" t="s">
        <v>91</v>
      </c>
      <c r="Y5" s="828" t="s">
        <v>92</v>
      </c>
      <c r="Z5" s="1306"/>
      <c r="AA5" s="831"/>
      <c r="AB5" s="1265"/>
      <c r="AC5" s="1307" t="s">
        <v>93</v>
      </c>
      <c r="AD5" s="633" t="s">
        <v>68</v>
      </c>
      <c r="AE5" s="633" t="s">
        <v>73</v>
      </c>
      <c r="AF5" s="633"/>
      <c r="AG5" s="618" t="s">
        <v>74</v>
      </c>
      <c r="AH5" s="618"/>
      <c r="AI5" s="1308" t="s">
        <v>87</v>
      </c>
      <c r="AJ5" s="824" t="e">
        <f>AI5-I5</f>
        <v>#VALUE!</v>
      </c>
      <c r="AK5" s="633"/>
      <c r="AL5" s="633"/>
      <c r="AM5" s="633"/>
      <c r="AN5" s="825"/>
      <c r="AO5" s="687"/>
      <c r="AP5" s="687"/>
      <c r="AQ5" s="687"/>
      <c r="AR5" s="825"/>
      <c r="AS5" s="687"/>
      <c r="AT5" s="687"/>
      <c r="AU5" s="825"/>
      <c r="AV5" s="825"/>
      <c r="AW5" s="825"/>
      <c r="AX5" s="825"/>
      <c r="AY5" s="1305"/>
      <c r="AZ5" s="1305"/>
      <c r="BA5" s="1305"/>
      <c r="BB5" s="1305"/>
      <c r="BC5" s="1305"/>
      <c r="BD5" s="1305"/>
      <c r="BE5" s="1305"/>
      <c r="BF5" s="1305"/>
      <c r="BG5" s="1305"/>
      <c r="BH5" s="1305"/>
      <c r="BI5" s="1305"/>
      <c r="BJ5" s="1305"/>
      <c r="BK5" s="1305"/>
      <c r="BL5" s="1305"/>
      <c r="BM5" s="1305"/>
      <c r="BN5" s="1305"/>
      <c r="BO5" s="1305"/>
      <c r="BP5" s="1305"/>
    </row>
    <row r="6" s="1265" customFormat="1" ht="31" customHeight="1" spans="1:75">
      <c r="A6" s="1304">
        <v>45749</v>
      </c>
      <c r="B6" s="822"/>
      <c r="C6" s="633"/>
      <c r="D6" s="825" t="s">
        <v>94</v>
      </c>
      <c r="E6" s="633"/>
      <c r="F6" s="1305"/>
      <c r="G6" s="659" t="s">
        <v>68</v>
      </c>
      <c r="H6" s="633" t="s">
        <v>69</v>
      </c>
      <c r="I6" s="633" t="s">
        <v>95</v>
      </c>
      <c r="J6" s="633"/>
      <c r="K6" s="633"/>
      <c r="L6" s="827"/>
      <c r="M6" s="828">
        <v>45757</v>
      </c>
      <c r="N6" s="828">
        <v>45754</v>
      </c>
      <c r="O6" s="824"/>
      <c r="P6" s="824"/>
      <c r="Q6" s="633"/>
      <c r="R6" s="829">
        <v>45749</v>
      </c>
      <c r="S6" s="829" t="s">
        <v>70</v>
      </c>
      <c r="T6" s="829" t="s">
        <v>70</v>
      </c>
      <c r="U6" s="829"/>
      <c r="V6" s="829"/>
      <c r="W6" s="829"/>
      <c r="X6" s="822" t="s">
        <v>96</v>
      </c>
      <c r="Y6" s="828" t="s">
        <v>85</v>
      </c>
      <c r="Z6" s="1306"/>
      <c r="AA6" s="831"/>
      <c r="AB6" s="1265"/>
      <c r="AC6" s="632"/>
      <c r="AD6" s="633" t="s">
        <v>73</v>
      </c>
      <c r="AE6" s="633" t="s">
        <v>73</v>
      </c>
      <c r="AF6" s="633"/>
      <c r="AG6" s="618"/>
      <c r="AH6" s="618"/>
      <c r="AI6" s="1308" t="str">
        <f>I6</f>
        <v>80套散件</v>
      </c>
      <c r="AJ6" s="824"/>
      <c r="AK6" s="633"/>
      <c r="AL6" s="633"/>
      <c r="AM6" s="633"/>
      <c r="AN6" s="825"/>
      <c r="AO6" s="687"/>
      <c r="AP6" s="687"/>
      <c r="AQ6" s="687"/>
      <c r="AR6" s="825"/>
      <c r="AS6" s="687"/>
      <c r="AT6" s="687"/>
      <c r="AU6" s="825"/>
      <c r="AV6" s="825"/>
      <c r="AW6" s="825"/>
      <c r="AX6" s="825"/>
      <c r="AY6" s="1305"/>
      <c r="AZ6" s="1305"/>
      <c r="BA6" s="1305"/>
      <c r="BB6" s="1305"/>
      <c r="BC6" s="1305"/>
      <c r="BD6" s="1305"/>
      <c r="BE6" s="1305"/>
      <c r="BF6" s="1305"/>
      <c r="BG6" s="1305"/>
      <c r="BH6" s="1305"/>
      <c r="BI6" s="1305"/>
      <c r="BJ6" s="1305"/>
      <c r="BK6" s="1305"/>
      <c r="BL6" s="1305"/>
      <c r="BM6" s="1305"/>
      <c r="BN6" s="1305"/>
      <c r="BO6" s="1305"/>
      <c r="BP6" s="1305"/>
    </row>
    <row r="7" s="1265" customFormat="1" ht="31" customHeight="1" spans="1:75">
      <c r="A7" s="1304">
        <v>45726</v>
      </c>
      <c r="B7" s="822" t="s">
        <v>97</v>
      </c>
      <c r="C7" s="633" t="s">
        <v>98</v>
      </c>
      <c r="D7" s="825">
        <v>4500159641</v>
      </c>
      <c r="E7" s="1413" t="s">
        <v>99</v>
      </c>
      <c r="F7" s="1305" t="s">
        <v>100</v>
      </c>
      <c r="G7" s="659" t="s">
        <v>101</v>
      </c>
      <c r="H7" s="633" t="s">
        <v>102</v>
      </c>
      <c r="I7" s="633">
        <v>616</v>
      </c>
      <c r="J7" s="633">
        <v>0</v>
      </c>
      <c r="K7" s="633">
        <v>4</v>
      </c>
      <c r="L7" s="827">
        <f t="shared" ref="L6:L69" si="0">I7/K7</f>
        <v>154</v>
      </c>
      <c r="M7" s="828">
        <v>45770</v>
      </c>
      <c r="N7" s="828">
        <v>45766</v>
      </c>
      <c r="O7" s="824" t="s">
        <v>103</v>
      </c>
      <c r="P7" s="824"/>
      <c r="Q7" s="633"/>
      <c r="R7" s="829">
        <v>45727</v>
      </c>
      <c r="S7" s="829" t="s">
        <v>104</v>
      </c>
      <c r="T7" s="829">
        <v>45727</v>
      </c>
      <c r="U7" s="829"/>
      <c r="V7" s="829"/>
      <c r="W7" s="829"/>
      <c r="X7" s="628" t="s">
        <v>105</v>
      </c>
      <c r="Y7" s="828" t="s">
        <v>106</v>
      </c>
      <c r="Z7" s="1306">
        <v>5</v>
      </c>
      <c r="AA7" s="831">
        <f>Z7*I7</f>
        <v>3080</v>
      </c>
      <c r="AC7" s="632"/>
      <c r="AD7" s="633" t="s">
        <v>101</v>
      </c>
      <c r="AE7" s="633" t="s">
        <v>82</v>
      </c>
      <c r="AF7" s="633"/>
      <c r="AG7" s="618" t="s">
        <v>74</v>
      </c>
      <c r="AH7" s="618"/>
      <c r="AI7" s="1308" t="s">
        <v>87</v>
      </c>
      <c r="AJ7" s="824" t="e">
        <f>AI7-I7</f>
        <v>#VALUE!</v>
      </c>
      <c r="AK7" s="633"/>
      <c r="AL7" s="633"/>
      <c r="AM7" s="633"/>
      <c r="AN7" s="825">
        <f t="shared" ref="AN7:AN35" si="1">I7</f>
        <v>616</v>
      </c>
      <c r="AO7" s="1305"/>
      <c r="AP7" s="1305"/>
      <c r="AQ7" s="1305"/>
      <c r="AR7" s="825">
        <f t="shared" ref="AR7:AR16" si="2">I7</f>
        <v>616</v>
      </c>
      <c r="AS7" s="687"/>
      <c r="AT7" s="687"/>
      <c r="AU7" s="825">
        <f t="shared" ref="AU7:AU17" si="3">I7</f>
        <v>616</v>
      </c>
      <c r="AV7" s="825"/>
      <c r="AW7" s="825">
        <f t="shared" ref="AW7:AW26" si="4">I7</f>
        <v>616</v>
      </c>
      <c r="AX7" s="825"/>
      <c r="AY7" s="1305"/>
      <c r="AZ7" s="1305"/>
      <c r="BA7" s="1305"/>
      <c r="BB7" s="1305"/>
      <c r="BC7" s="1305"/>
      <c r="BD7" s="1305"/>
      <c r="BE7" s="1305"/>
      <c r="BF7" s="1305"/>
      <c r="BG7" s="1305"/>
      <c r="BH7" s="825">
        <f>I7/4</f>
        <v>154</v>
      </c>
      <c r="BI7" s="1305"/>
      <c r="BJ7" s="1305"/>
      <c r="BK7" s="1305"/>
      <c r="BL7" s="1305"/>
      <c r="BM7" s="1305"/>
      <c r="BN7" s="1305"/>
      <c r="BO7" s="1305"/>
      <c r="BP7" s="1305"/>
    </row>
    <row r="8" s="1265" customFormat="1" ht="31" customHeight="1" spans="1:75">
      <c r="A8" s="1304">
        <v>45761</v>
      </c>
      <c r="B8" s="822"/>
      <c r="C8" s="633"/>
      <c r="D8" s="825" t="s">
        <v>107</v>
      </c>
      <c r="E8" s="633"/>
      <c r="F8" s="1305"/>
      <c r="G8" s="659" t="s">
        <v>68</v>
      </c>
      <c r="H8" s="633" t="s">
        <v>69</v>
      </c>
      <c r="I8" s="633">
        <v>720</v>
      </c>
      <c r="J8" s="633">
        <v>0</v>
      </c>
      <c r="K8" s="633">
        <v>12</v>
      </c>
      <c r="L8" s="827">
        <f t="shared" si="0"/>
        <v>60</v>
      </c>
      <c r="M8" s="828">
        <v>45771</v>
      </c>
      <c r="N8" s="828">
        <v>45768</v>
      </c>
      <c r="O8" s="824"/>
      <c r="P8" s="824"/>
      <c r="Q8" s="633"/>
      <c r="R8" s="829">
        <v>45761</v>
      </c>
      <c r="S8" s="829" t="s">
        <v>70</v>
      </c>
      <c r="T8" s="829" t="s">
        <v>70</v>
      </c>
      <c r="U8" s="829"/>
      <c r="V8" s="829"/>
      <c r="W8" s="829"/>
      <c r="X8" s="822" t="s">
        <v>108</v>
      </c>
      <c r="Y8" s="828" t="s">
        <v>92</v>
      </c>
      <c r="Z8" s="1306"/>
      <c r="AA8" s="831"/>
      <c r="AB8" s="1265"/>
      <c r="AC8" s="1307" t="s">
        <v>109</v>
      </c>
      <c r="AD8" s="633" t="s">
        <v>68</v>
      </c>
      <c r="AE8" s="633" t="s">
        <v>82</v>
      </c>
      <c r="AF8" s="633"/>
      <c r="AG8" s="618" t="s">
        <v>74</v>
      </c>
      <c r="AH8" s="618"/>
      <c r="AI8" s="1308">
        <v>720</v>
      </c>
      <c r="AJ8" s="824">
        <v>0</v>
      </c>
      <c r="AK8" s="633"/>
      <c r="AL8" s="633"/>
      <c r="AM8" s="633"/>
      <c r="AN8" s="825">
        <f t="shared" si="1"/>
        <v>720</v>
      </c>
      <c r="AO8" s="687"/>
      <c r="AP8" s="687"/>
      <c r="AQ8" s="687"/>
      <c r="AR8" s="825">
        <f t="shared" si="2"/>
        <v>720</v>
      </c>
      <c r="AS8" s="687"/>
      <c r="AT8" s="687"/>
      <c r="AU8" s="825">
        <f t="shared" si="3"/>
        <v>720</v>
      </c>
      <c r="AV8" s="825"/>
      <c r="AW8" s="825">
        <f t="shared" si="4"/>
        <v>720</v>
      </c>
      <c r="AX8" s="825"/>
      <c r="AY8" s="1305"/>
      <c r="AZ8" s="1305"/>
      <c r="BA8" s="1305"/>
      <c r="BB8" s="1305"/>
      <c r="BC8" s="1305"/>
      <c r="BD8" s="1305"/>
      <c r="BE8" s="1305"/>
      <c r="BF8" s="1305"/>
      <c r="BG8" s="1305"/>
      <c r="BH8" s="1305"/>
      <c r="BI8" s="1305"/>
      <c r="BJ8" s="1305"/>
      <c r="BK8" s="1305"/>
      <c r="BL8" s="1305"/>
      <c r="BM8" s="1305"/>
      <c r="BN8" s="1305"/>
      <c r="BO8" s="1305"/>
      <c r="BP8" s="1305"/>
    </row>
    <row r="9" s="1265" customFormat="1" ht="31" customHeight="1" spans="1:75">
      <c r="A9" s="1304">
        <v>45728</v>
      </c>
      <c r="B9" s="822" t="s">
        <v>75</v>
      </c>
      <c r="C9" s="633" t="s">
        <v>76</v>
      </c>
      <c r="D9" s="825">
        <v>4500159882</v>
      </c>
      <c r="E9" s="633"/>
      <c r="F9" s="1305" t="s">
        <v>110</v>
      </c>
      <c r="G9" s="659" t="s">
        <v>111</v>
      </c>
      <c r="H9" s="633" t="s">
        <v>112</v>
      </c>
      <c r="I9" s="633">
        <v>608</v>
      </c>
      <c r="J9" s="633">
        <v>0</v>
      </c>
      <c r="K9" s="633">
        <v>16</v>
      </c>
      <c r="L9" s="827">
        <f t="shared" si="0"/>
        <v>38</v>
      </c>
      <c r="M9" s="828">
        <v>45772</v>
      </c>
      <c r="N9" s="828">
        <v>45768</v>
      </c>
      <c r="O9" s="824"/>
      <c r="P9" s="824" t="s">
        <v>113</v>
      </c>
      <c r="Q9" s="633" t="s">
        <v>114</v>
      </c>
      <c r="R9" s="829">
        <v>45735</v>
      </c>
      <c r="S9" s="829" t="s">
        <v>70</v>
      </c>
      <c r="T9" s="829">
        <v>45735</v>
      </c>
      <c r="U9" s="829"/>
      <c r="V9" s="829"/>
      <c r="W9" s="829"/>
      <c r="X9" s="628" t="s">
        <v>115</v>
      </c>
      <c r="Y9" s="828" t="s">
        <v>80</v>
      </c>
      <c r="Z9" s="1306">
        <v>4.39</v>
      </c>
      <c r="AA9" s="831">
        <f t="shared" ref="AA9:AA25" si="5">Z9*I9</f>
        <v>2669.12</v>
      </c>
      <c r="AC9" s="1307" t="s">
        <v>116</v>
      </c>
      <c r="AD9" s="633" t="s">
        <v>111</v>
      </c>
      <c r="AE9" s="633" t="s">
        <v>82</v>
      </c>
      <c r="AF9" s="633"/>
      <c r="AG9" s="618" t="s">
        <v>74</v>
      </c>
      <c r="AH9" s="618"/>
      <c r="AI9" s="1308" t="s">
        <v>87</v>
      </c>
      <c r="AJ9" s="824" t="e">
        <f t="shared" ref="AJ9:AJ72" si="6">AI9-I9</f>
        <v>#VALUE!</v>
      </c>
      <c r="AK9" s="633"/>
      <c r="AL9" s="633"/>
      <c r="AM9" s="633"/>
      <c r="AN9" s="825">
        <f t="shared" si="1"/>
        <v>608</v>
      </c>
      <c r="AO9" s="687"/>
      <c r="AP9" s="687"/>
      <c r="AQ9" s="687"/>
      <c r="AR9" s="825">
        <f t="shared" si="2"/>
        <v>608</v>
      </c>
      <c r="AS9" s="687"/>
      <c r="AT9" s="687"/>
      <c r="AU9" s="825">
        <f t="shared" si="3"/>
        <v>608</v>
      </c>
      <c r="AV9" s="825"/>
      <c r="AW9" s="825">
        <f t="shared" si="4"/>
        <v>608</v>
      </c>
      <c r="AX9" s="825"/>
      <c r="AY9" s="1305"/>
      <c r="AZ9" s="1305"/>
      <c r="BA9" s="1305"/>
      <c r="BB9" s="1305"/>
      <c r="BC9" s="1305"/>
      <c r="BD9" s="1305"/>
      <c r="BE9" s="1305"/>
      <c r="BF9" s="1305"/>
      <c r="BG9" s="1305"/>
      <c r="BH9" s="825">
        <f>I9/4</f>
        <v>152</v>
      </c>
      <c r="BI9" s="1305"/>
      <c r="BJ9" s="1305"/>
      <c r="BK9" s="1305"/>
      <c r="BL9" s="1305"/>
      <c r="BM9" s="1305"/>
      <c r="BN9" s="1305"/>
      <c r="BO9" s="1305"/>
      <c r="BP9" s="1305"/>
    </row>
    <row r="10" s="1265" customFormat="1" ht="31" customHeight="1" spans="1:75">
      <c r="A10" s="1304">
        <v>45728</v>
      </c>
      <c r="B10" s="822" t="s">
        <v>75</v>
      </c>
      <c r="C10" s="633" t="s">
        <v>76</v>
      </c>
      <c r="D10" s="825">
        <v>4500159886</v>
      </c>
      <c r="E10" s="633"/>
      <c r="F10" s="1305" t="s">
        <v>117</v>
      </c>
      <c r="G10" s="659" t="s">
        <v>111</v>
      </c>
      <c r="H10" s="633" t="s">
        <v>112</v>
      </c>
      <c r="I10" s="633">
        <v>192</v>
      </c>
      <c r="J10" s="633">
        <v>0</v>
      </c>
      <c r="K10" s="633">
        <v>16</v>
      </c>
      <c r="L10" s="827">
        <f t="shared" si="0"/>
        <v>12</v>
      </c>
      <c r="M10" s="828">
        <v>45772</v>
      </c>
      <c r="N10" s="828">
        <v>45768</v>
      </c>
      <c r="O10" s="824"/>
      <c r="P10" s="824" t="s">
        <v>113</v>
      </c>
      <c r="Q10" s="633"/>
      <c r="R10" s="829">
        <v>45735</v>
      </c>
      <c r="S10" s="829" t="s">
        <v>70</v>
      </c>
      <c r="T10" s="829">
        <v>45735</v>
      </c>
      <c r="U10" s="829"/>
      <c r="V10" s="829"/>
      <c r="W10" s="829"/>
      <c r="X10" s="628" t="s">
        <v>118</v>
      </c>
      <c r="Y10" s="828" t="s">
        <v>80</v>
      </c>
      <c r="Z10" s="1306">
        <v>4.39</v>
      </c>
      <c r="AA10" s="831">
        <f t="shared" si="5"/>
        <v>842.88</v>
      </c>
      <c r="AC10" s="1307" t="s">
        <v>119</v>
      </c>
      <c r="AD10" s="633" t="s">
        <v>111</v>
      </c>
      <c r="AE10" s="633" t="s">
        <v>82</v>
      </c>
      <c r="AF10" s="633"/>
      <c r="AG10" s="618" t="s">
        <v>74</v>
      </c>
      <c r="AH10" s="618"/>
      <c r="AI10" s="1308" t="s">
        <v>87</v>
      </c>
      <c r="AJ10" s="824" t="e">
        <f t="shared" si="6"/>
        <v>#VALUE!</v>
      </c>
      <c r="AK10" s="633"/>
      <c r="AL10" s="633"/>
      <c r="AM10" s="633"/>
      <c r="AN10" s="825">
        <f t="shared" si="1"/>
        <v>192</v>
      </c>
      <c r="AO10" s="687"/>
      <c r="AP10" s="687"/>
      <c r="AQ10" s="687"/>
      <c r="AR10" s="825">
        <f t="shared" si="2"/>
        <v>192</v>
      </c>
      <c r="AS10" s="687"/>
      <c r="AT10" s="687"/>
      <c r="AU10" s="825">
        <f t="shared" si="3"/>
        <v>192</v>
      </c>
      <c r="AV10" s="825"/>
      <c r="AW10" s="825">
        <f t="shared" si="4"/>
        <v>192</v>
      </c>
      <c r="AX10" s="825"/>
      <c r="AY10" s="1305"/>
      <c r="AZ10" s="1305"/>
      <c r="BA10" s="1305"/>
      <c r="BB10" s="1305"/>
      <c r="BC10" s="1305"/>
      <c r="BD10" s="1305"/>
      <c r="BE10" s="1305"/>
      <c r="BF10" s="1305"/>
      <c r="BG10" s="1305"/>
      <c r="BH10" s="825">
        <f>I10/4</f>
        <v>48</v>
      </c>
      <c r="BI10" s="1305"/>
      <c r="BJ10" s="1305"/>
      <c r="BK10" s="1305"/>
      <c r="BL10" s="1305"/>
      <c r="BM10" s="1305"/>
      <c r="BN10" s="1305"/>
      <c r="BO10" s="1305"/>
      <c r="BP10" s="1305"/>
    </row>
    <row r="11" s="1265" customFormat="1" ht="31" customHeight="1" spans="1:75">
      <c r="A11" s="1304">
        <v>45734</v>
      </c>
      <c r="B11" s="822" t="s">
        <v>120</v>
      </c>
      <c r="C11" s="633" t="s">
        <v>98</v>
      </c>
      <c r="D11" s="825">
        <v>4500160498</v>
      </c>
      <c r="E11" s="633" t="s">
        <v>121</v>
      </c>
      <c r="F11" s="1305" t="s">
        <v>122</v>
      </c>
      <c r="G11" s="659" t="s">
        <v>123</v>
      </c>
      <c r="H11" s="633" t="s">
        <v>69</v>
      </c>
      <c r="I11" s="633">
        <v>4548</v>
      </c>
      <c r="J11" s="633">
        <v>0</v>
      </c>
      <c r="K11" s="633">
        <v>12</v>
      </c>
      <c r="L11" s="827">
        <f t="shared" si="0"/>
        <v>379</v>
      </c>
      <c r="M11" s="828">
        <v>45777</v>
      </c>
      <c r="N11" s="828">
        <v>45773</v>
      </c>
      <c r="O11" s="824"/>
      <c r="P11" s="824" t="s">
        <v>113</v>
      </c>
      <c r="Q11" s="633"/>
      <c r="R11" s="829">
        <v>45734</v>
      </c>
      <c r="S11" s="829" t="s">
        <v>70</v>
      </c>
      <c r="T11" s="829" t="s">
        <v>70</v>
      </c>
      <c r="U11" s="829"/>
      <c r="V11" s="829"/>
      <c r="W11" s="829"/>
      <c r="X11" s="822" t="s">
        <v>124</v>
      </c>
      <c r="Y11" s="828" t="s">
        <v>125</v>
      </c>
      <c r="Z11" s="1306">
        <v>4.1</v>
      </c>
      <c r="AA11" s="831">
        <f t="shared" si="5"/>
        <v>18646.8</v>
      </c>
      <c r="AC11" s="632"/>
      <c r="AD11" s="633" t="s">
        <v>68</v>
      </c>
      <c r="AE11" s="633" t="s">
        <v>82</v>
      </c>
      <c r="AF11" s="633"/>
      <c r="AG11" s="618" t="s">
        <v>126</v>
      </c>
      <c r="AH11" s="618"/>
      <c r="AI11" s="1308">
        <v>4548</v>
      </c>
      <c r="AJ11" s="824">
        <f t="shared" si="6"/>
        <v>0</v>
      </c>
      <c r="AK11" s="633"/>
      <c r="AL11" s="633"/>
      <c r="AM11" s="633"/>
      <c r="AN11" s="825">
        <f t="shared" si="1"/>
        <v>4548</v>
      </c>
      <c r="AO11" s="687"/>
      <c r="AP11" s="687"/>
      <c r="AQ11" s="687"/>
      <c r="AR11" s="825">
        <f t="shared" si="2"/>
        <v>4548</v>
      </c>
      <c r="AS11" s="687"/>
      <c r="AT11" s="687"/>
      <c r="AU11" s="825">
        <f t="shared" si="3"/>
        <v>4548</v>
      </c>
      <c r="AV11" s="825"/>
      <c r="AW11" s="825">
        <f t="shared" si="4"/>
        <v>4548</v>
      </c>
      <c r="AX11" s="825"/>
      <c r="AY11" s="1305"/>
      <c r="AZ11" s="1305"/>
      <c r="BA11" s="1305"/>
      <c r="BB11" s="1305"/>
      <c r="BC11" s="1305"/>
      <c r="BD11" s="1305"/>
      <c r="BE11" s="1305"/>
      <c r="BF11" s="1305"/>
      <c r="BG11" s="1305"/>
      <c r="BH11" s="1305"/>
      <c r="BI11" s="1305"/>
      <c r="BJ11" s="1305"/>
      <c r="BK11" s="1305"/>
      <c r="BL11" s="1305"/>
      <c r="BM11" s="1305"/>
      <c r="BN11" s="1305"/>
      <c r="BO11" s="1305"/>
      <c r="BP11" s="1305"/>
    </row>
    <row r="12" s="1265" customFormat="1" ht="31" customHeight="1" spans="1:75">
      <c r="A12" s="1304">
        <v>45728</v>
      </c>
      <c r="B12" s="822" t="s">
        <v>127</v>
      </c>
      <c r="C12" s="633" t="s">
        <v>128</v>
      </c>
      <c r="D12" s="825">
        <v>4500159576</v>
      </c>
      <c r="E12" s="633">
        <v>83718</v>
      </c>
      <c r="F12" s="1305" t="s">
        <v>129</v>
      </c>
      <c r="G12" s="659" t="s">
        <v>130</v>
      </c>
      <c r="H12" s="633" t="s">
        <v>131</v>
      </c>
      <c r="I12" s="633">
        <v>1800</v>
      </c>
      <c r="J12" s="633">
        <v>0</v>
      </c>
      <c r="K12" s="633">
        <v>6</v>
      </c>
      <c r="L12" s="827">
        <f t="shared" si="0"/>
        <v>300</v>
      </c>
      <c r="M12" s="828">
        <v>45777</v>
      </c>
      <c r="N12" s="828">
        <v>45773</v>
      </c>
      <c r="O12" s="824"/>
      <c r="P12" s="824" t="s">
        <v>113</v>
      </c>
      <c r="Q12" s="633"/>
      <c r="R12" s="829">
        <v>45728</v>
      </c>
      <c r="S12" s="829" t="s">
        <v>70</v>
      </c>
      <c r="T12" s="829">
        <v>45728</v>
      </c>
      <c r="U12" s="829"/>
      <c r="V12" s="829"/>
      <c r="W12" s="829"/>
      <c r="X12" s="822" t="s">
        <v>132</v>
      </c>
      <c r="Y12" s="828" t="s">
        <v>133</v>
      </c>
      <c r="Z12" s="1306">
        <v>4.1</v>
      </c>
      <c r="AA12" s="831">
        <f t="shared" si="5"/>
        <v>7380</v>
      </c>
      <c r="AC12" s="1307" t="s">
        <v>134</v>
      </c>
      <c r="AD12" s="633" t="s">
        <v>130</v>
      </c>
      <c r="AE12" s="633" t="s">
        <v>82</v>
      </c>
      <c r="AF12" s="633"/>
      <c r="AG12" s="618" t="s">
        <v>126</v>
      </c>
      <c r="AH12" s="618"/>
      <c r="AI12" s="1308">
        <v>1800</v>
      </c>
      <c r="AJ12" s="824">
        <f t="shared" si="6"/>
        <v>0</v>
      </c>
      <c r="AK12" s="633"/>
      <c r="AL12" s="633"/>
      <c r="AM12" s="633"/>
      <c r="AN12" s="825">
        <f t="shared" si="1"/>
        <v>1800</v>
      </c>
      <c r="AO12" s="687"/>
      <c r="AP12" s="687"/>
      <c r="AQ12" s="687"/>
      <c r="AR12" s="825">
        <f t="shared" si="2"/>
        <v>1800</v>
      </c>
      <c r="AS12" s="687"/>
      <c r="AT12" s="687"/>
      <c r="AU12" s="825">
        <f t="shared" si="3"/>
        <v>1800</v>
      </c>
      <c r="AV12" s="825"/>
      <c r="AW12" s="825">
        <f t="shared" si="4"/>
        <v>1800</v>
      </c>
      <c r="AX12" s="825"/>
      <c r="AY12" s="1305"/>
      <c r="AZ12" s="1305"/>
      <c r="BA12" s="1305"/>
      <c r="BB12" s="1305"/>
      <c r="BC12" s="1305"/>
      <c r="BD12" s="1305"/>
      <c r="BE12" s="1305"/>
      <c r="BF12" s="1305"/>
      <c r="BG12" s="1305"/>
      <c r="BH12" s="1305"/>
      <c r="BI12" s="1305"/>
      <c r="BJ12" s="1305"/>
      <c r="BK12" s="1305"/>
      <c r="BL12" s="1305"/>
      <c r="BM12" s="1305"/>
      <c r="BN12" s="1305"/>
      <c r="BO12" s="1305"/>
      <c r="BP12" s="1305"/>
    </row>
    <row r="13" s="1265" customFormat="1" ht="31" customHeight="1" spans="1:75">
      <c r="A13" s="1304">
        <v>45729</v>
      </c>
      <c r="B13" s="822" t="s">
        <v>135</v>
      </c>
      <c r="C13" s="633" t="s">
        <v>128</v>
      </c>
      <c r="D13" s="825">
        <v>4500160026</v>
      </c>
      <c r="E13" s="633">
        <v>20627370</v>
      </c>
      <c r="F13" s="1305" t="s">
        <v>136</v>
      </c>
      <c r="G13" s="659" t="s">
        <v>68</v>
      </c>
      <c r="H13" s="633" t="s">
        <v>69</v>
      </c>
      <c r="I13" s="633">
        <v>3300</v>
      </c>
      <c r="J13" s="633">
        <v>0</v>
      </c>
      <c r="K13" s="633">
        <v>12</v>
      </c>
      <c r="L13" s="827">
        <f t="shared" si="0"/>
        <v>275</v>
      </c>
      <c r="M13" s="828">
        <v>45786</v>
      </c>
      <c r="N13" s="828">
        <v>45782</v>
      </c>
      <c r="O13" s="824"/>
      <c r="P13" s="824" t="s">
        <v>113</v>
      </c>
      <c r="Q13" s="633"/>
      <c r="R13" s="829">
        <v>45748</v>
      </c>
      <c r="S13" s="829" t="s">
        <v>104</v>
      </c>
      <c r="T13" s="829" t="s">
        <v>18</v>
      </c>
      <c r="U13" s="829"/>
      <c r="V13" s="829"/>
      <c r="W13" s="829"/>
      <c r="X13" s="822" t="s">
        <v>137</v>
      </c>
      <c r="Y13" s="828" t="s">
        <v>133</v>
      </c>
      <c r="Z13" s="1306">
        <v>4.19</v>
      </c>
      <c r="AA13" s="831">
        <f t="shared" si="5"/>
        <v>13827</v>
      </c>
      <c r="AC13" s="1307" t="s">
        <v>138</v>
      </c>
      <c r="AD13" s="633" t="s">
        <v>68</v>
      </c>
      <c r="AE13" s="633" t="s">
        <v>82</v>
      </c>
      <c r="AF13" s="633"/>
      <c r="AG13" s="618" t="s">
        <v>74</v>
      </c>
      <c r="AH13" s="618"/>
      <c r="AI13" s="1308">
        <v>3300</v>
      </c>
      <c r="AJ13" s="824">
        <f t="shared" si="6"/>
        <v>0</v>
      </c>
      <c r="AK13" s="633"/>
      <c r="AL13" s="633"/>
      <c r="AM13" s="633"/>
      <c r="AN13" s="825">
        <f t="shared" si="1"/>
        <v>3300</v>
      </c>
      <c r="AO13" s="687"/>
      <c r="AP13" s="687"/>
      <c r="AQ13" s="687"/>
      <c r="AR13" s="825">
        <f t="shared" si="2"/>
        <v>3300</v>
      </c>
      <c r="AS13" s="687"/>
      <c r="AT13" s="687"/>
      <c r="AU13" s="825">
        <f t="shared" si="3"/>
        <v>3300</v>
      </c>
      <c r="AV13" s="825"/>
      <c r="AW13" s="825">
        <f t="shared" si="4"/>
        <v>3300</v>
      </c>
      <c r="AX13" s="825"/>
      <c r="AY13" s="1305"/>
      <c r="AZ13" s="1305"/>
      <c r="BA13" s="1305"/>
      <c r="BB13" s="1305"/>
      <c r="BC13" s="1305"/>
      <c r="BD13" s="1305"/>
      <c r="BE13" s="1305"/>
      <c r="BF13" s="1305"/>
      <c r="BG13" s="1305"/>
      <c r="BH13" s="1305"/>
      <c r="BI13" s="1305"/>
      <c r="BJ13" s="1305"/>
      <c r="BK13" s="1305"/>
      <c r="BL13" s="1305"/>
      <c r="BM13" s="1305"/>
      <c r="BN13" s="1305"/>
      <c r="BO13" s="1305"/>
      <c r="BP13" s="1305"/>
    </row>
    <row r="14" s="1265" customFormat="1" ht="31" customHeight="1" spans="1:75">
      <c r="A14" s="1304">
        <v>45729</v>
      </c>
      <c r="B14" s="822" t="s">
        <v>139</v>
      </c>
      <c r="C14" s="633" t="s">
        <v>76</v>
      </c>
      <c r="D14" s="825">
        <v>4500160027</v>
      </c>
      <c r="E14" s="633">
        <v>20627371</v>
      </c>
      <c r="F14" s="1305" t="s">
        <v>140</v>
      </c>
      <c r="G14" s="659" t="s">
        <v>68</v>
      </c>
      <c r="H14" s="633" t="s">
        <v>69</v>
      </c>
      <c r="I14" s="633">
        <v>432</v>
      </c>
      <c r="J14" s="633">
        <v>0</v>
      </c>
      <c r="K14" s="633">
        <v>12</v>
      </c>
      <c r="L14" s="827">
        <f t="shared" si="0"/>
        <v>36</v>
      </c>
      <c r="M14" s="828">
        <v>45786</v>
      </c>
      <c r="N14" s="828">
        <v>45782</v>
      </c>
      <c r="O14" s="824"/>
      <c r="P14" s="824" t="s">
        <v>113</v>
      </c>
      <c r="Q14" s="633"/>
      <c r="R14" s="829">
        <v>45748</v>
      </c>
      <c r="S14" s="829" t="s">
        <v>104</v>
      </c>
      <c r="T14" s="829" t="s">
        <v>18</v>
      </c>
      <c r="U14" s="829"/>
      <c r="V14" s="829"/>
      <c r="W14" s="829"/>
      <c r="X14" s="822" t="s">
        <v>141</v>
      </c>
      <c r="Y14" s="828" t="s">
        <v>133</v>
      </c>
      <c r="Z14" s="1306">
        <v>4.19</v>
      </c>
      <c r="AA14" s="831">
        <f t="shared" si="5"/>
        <v>1810.08</v>
      </c>
      <c r="AC14" s="1307" t="s">
        <v>142</v>
      </c>
      <c r="AD14" s="633" t="s">
        <v>68</v>
      </c>
      <c r="AE14" s="633" t="s">
        <v>82</v>
      </c>
      <c r="AF14" s="633"/>
      <c r="AG14" s="618" t="s">
        <v>74</v>
      </c>
      <c r="AH14" s="618"/>
      <c r="AI14" s="1308">
        <v>432</v>
      </c>
      <c r="AJ14" s="824">
        <f t="shared" si="6"/>
        <v>0</v>
      </c>
      <c r="AK14" s="633"/>
      <c r="AL14" s="633"/>
      <c r="AM14" s="633"/>
      <c r="AN14" s="825">
        <f t="shared" si="1"/>
        <v>432</v>
      </c>
      <c r="AO14" s="687"/>
      <c r="AP14" s="687"/>
      <c r="AQ14" s="687"/>
      <c r="AR14" s="825">
        <f t="shared" si="2"/>
        <v>432</v>
      </c>
      <c r="AS14" s="687"/>
      <c r="AT14" s="687"/>
      <c r="AU14" s="825">
        <f t="shared" si="3"/>
        <v>432</v>
      </c>
      <c r="AV14" s="825"/>
      <c r="AW14" s="825">
        <f t="shared" si="4"/>
        <v>432</v>
      </c>
      <c r="AX14" s="825"/>
      <c r="AY14" s="1305"/>
      <c r="AZ14" s="1305"/>
      <c r="BA14" s="1305"/>
      <c r="BB14" s="1305"/>
      <c r="BC14" s="1305"/>
      <c r="BD14" s="1305"/>
      <c r="BE14" s="1305"/>
      <c r="BF14" s="1305"/>
      <c r="BG14" s="1305"/>
      <c r="BH14" s="1305"/>
      <c r="BI14" s="1305"/>
      <c r="BJ14" s="1305"/>
      <c r="BK14" s="1305"/>
      <c r="BL14" s="1305"/>
      <c r="BM14" s="1305"/>
      <c r="BN14" s="1305"/>
      <c r="BO14" s="1305"/>
      <c r="BP14" s="1305"/>
    </row>
    <row r="15" s="1265" customFormat="1" ht="31" customHeight="1" spans="1:75">
      <c r="A15" s="1304">
        <v>45744</v>
      </c>
      <c r="B15" s="822" t="s">
        <v>143</v>
      </c>
      <c r="C15" s="633" t="s">
        <v>98</v>
      </c>
      <c r="D15" s="825">
        <v>4500161759</v>
      </c>
      <c r="E15" s="633" t="s">
        <v>144</v>
      </c>
      <c r="F15" s="1305" t="s">
        <v>145</v>
      </c>
      <c r="G15" s="659" t="s">
        <v>101</v>
      </c>
      <c r="H15" s="633" t="s">
        <v>102</v>
      </c>
      <c r="I15" s="633">
        <v>512</v>
      </c>
      <c r="J15" s="633">
        <v>0</v>
      </c>
      <c r="K15" s="633">
        <v>4</v>
      </c>
      <c r="L15" s="827">
        <f t="shared" si="0"/>
        <v>128</v>
      </c>
      <c r="M15" s="828">
        <v>45785</v>
      </c>
      <c r="N15" s="828">
        <v>45782</v>
      </c>
      <c r="O15" s="824" t="s">
        <v>146</v>
      </c>
      <c r="P15" s="824" t="s">
        <v>113</v>
      </c>
      <c r="Q15" s="633"/>
      <c r="R15" s="829" t="s">
        <v>147</v>
      </c>
      <c r="S15" s="829" t="s">
        <v>70</v>
      </c>
      <c r="T15" s="829" t="s">
        <v>148</v>
      </c>
      <c r="U15" s="829"/>
      <c r="V15" s="774" t="s">
        <v>148</v>
      </c>
      <c r="W15" s="829"/>
      <c r="X15" s="822" t="s">
        <v>149</v>
      </c>
      <c r="Y15" s="828" t="s">
        <v>106</v>
      </c>
      <c r="Z15" s="1306">
        <v>5</v>
      </c>
      <c r="AA15" s="831">
        <f t="shared" si="5"/>
        <v>2560</v>
      </c>
      <c r="AC15" s="632"/>
      <c r="AD15" s="633" t="s">
        <v>101</v>
      </c>
      <c r="AE15" s="633" t="s">
        <v>82</v>
      </c>
      <c r="AF15" s="633"/>
      <c r="AG15" s="618" t="s">
        <v>74</v>
      </c>
      <c r="AH15" s="618"/>
      <c r="AI15" s="1308">
        <v>512</v>
      </c>
      <c r="AJ15" s="824">
        <f t="shared" si="6"/>
        <v>0</v>
      </c>
      <c r="AK15" s="633"/>
      <c r="AL15" s="633"/>
      <c r="AM15" s="633"/>
      <c r="AN15" s="825">
        <f t="shared" si="1"/>
        <v>512</v>
      </c>
      <c r="AO15" s="687"/>
      <c r="AP15" s="687"/>
      <c r="AQ15" s="687"/>
      <c r="AR15" s="825">
        <f t="shared" si="2"/>
        <v>512</v>
      </c>
      <c r="AS15" s="687"/>
      <c r="AT15" s="687"/>
      <c r="AU15" s="825">
        <f t="shared" si="3"/>
        <v>512</v>
      </c>
      <c r="AV15" s="825"/>
      <c r="AW15" s="825">
        <f t="shared" si="4"/>
        <v>512</v>
      </c>
      <c r="AX15" s="825"/>
      <c r="AY15" s="1305"/>
      <c r="AZ15" s="1305"/>
      <c r="BA15" s="1305"/>
      <c r="BB15" s="1305"/>
      <c r="BC15" s="1305"/>
      <c r="BD15" s="1305"/>
      <c r="BE15" s="1305"/>
      <c r="BF15" s="1305"/>
      <c r="BG15" s="1305"/>
      <c r="BH15" s="825">
        <f>I15/4</f>
        <v>128</v>
      </c>
      <c r="BI15" s="1305"/>
      <c r="BJ15" s="1305"/>
      <c r="BK15" s="1305"/>
      <c r="BL15" s="1305"/>
      <c r="BM15" s="1305"/>
      <c r="BN15" s="1305"/>
      <c r="BO15" s="1305"/>
      <c r="BP15" s="1305"/>
    </row>
    <row r="16" s="1265" customFormat="1" ht="31" customHeight="1" spans="1:75">
      <c r="A16" s="1304">
        <v>45744</v>
      </c>
      <c r="B16" s="822" t="s">
        <v>143</v>
      </c>
      <c r="C16" s="633" t="s">
        <v>98</v>
      </c>
      <c r="D16" s="825">
        <v>4500161759</v>
      </c>
      <c r="E16" s="633" t="s">
        <v>150</v>
      </c>
      <c r="F16" s="1305" t="s">
        <v>151</v>
      </c>
      <c r="G16" s="659" t="s">
        <v>101</v>
      </c>
      <c r="H16" s="633" t="s">
        <v>102</v>
      </c>
      <c r="I16" s="633">
        <v>656</v>
      </c>
      <c r="J16" s="633">
        <v>0</v>
      </c>
      <c r="K16" s="633">
        <v>4</v>
      </c>
      <c r="L16" s="827">
        <f t="shared" si="0"/>
        <v>164</v>
      </c>
      <c r="M16" s="828">
        <v>45785</v>
      </c>
      <c r="N16" s="828">
        <v>45782</v>
      </c>
      <c r="O16" s="824" t="s">
        <v>146</v>
      </c>
      <c r="P16" s="824" t="s">
        <v>113</v>
      </c>
      <c r="Q16" s="633"/>
      <c r="R16" s="829" t="s">
        <v>147</v>
      </c>
      <c r="S16" s="829" t="s">
        <v>70</v>
      </c>
      <c r="T16" s="829" t="s">
        <v>148</v>
      </c>
      <c r="U16" s="829"/>
      <c r="V16" s="774" t="s">
        <v>148</v>
      </c>
      <c r="W16" s="829"/>
      <c r="X16" s="822" t="s">
        <v>149</v>
      </c>
      <c r="Y16" s="828" t="s">
        <v>106</v>
      </c>
      <c r="Z16" s="1306">
        <v>5</v>
      </c>
      <c r="AA16" s="831">
        <f t="shared" si="5"/>
        <v>3280</v>
      </c>
      <c r="AC16" s="632" t="s">
        <v>152</v>
      </c>
      <c r="AD16" s="633" t="s">
        <v>101</v>
      </c>
      <c r="AE16" s="633" t="s">
        <v>82</v>
      </c>
      <c r="AF16" s="633"/>
      <c r="AG16" s="618" t="s">
        <v>74</v>
      </c>
      <c r="AH16" s="618"/>
      <c r="AI16" s="1308">
        <v>656</v>
      </c>
      <c r="AJ16" s="824">
        <f t="shared" si="6"/>
        <v>0</v>
      </c>
      <c r="AK16" s="633"/>
      <c r="AL16" s="633"/>
      <c r="AM16" s="633"/>
      <c r="AN16" s="825">
        <f t="shared" si="1"/>
        <v>656</v>
      </c>
      <c r="AO16" s="687"/>
      <c r="AP16" s="687"/>
      <c r="AQ16" s="687"/>
      <c r="AR16" s="825">
        <f t="shared" si="2"/>
        <v>656</v>
      </c>
      <c r="AS16" s="687"/>
      <c r="AT16" s="687"/>
      <c r="AU16" s="825">
        <f t="shared" si="3"/>
        <v>656</v>
      </c>
      <c r="AV16" s="825"/>
      <c r="AW16" s="825">
        <f t="shared" si="4"/>
        <v>656</v>
      </c>
      <c r="AX16" s="825"/>
      <c r="AY16" s="1305"/>
      <c r="AZ16" s="1305"/>
      <c r="BA16" s="1305"/>
      <c r="BB16" s="1305"/>
      <c r="BC16" s="1305"/>
      <c r="BD16" s="1305"/>
      <c r="BE16" s="1305"/>
      <c r="BF16" s="1305"/>
      <c r="BG16" s="1305"/>
      <c r="BH16" s="825">
        <f>I16/4</f>
        <v>164</v>
      </c>
      <c r="BI16" s="1305"/>
      <c r="BJ16" s="1305"/>
      <c r="BK16" s="1305"/>
      <c r="BL16" s="1305"/>
      <c r="BM16" s="1305"/>
      <c r="BN16" s="1305"/>
      <c r="BO16" s="1305"/>
      <c r="BP16" s="1305"/>
    </row>
    <row r="17" s="1265" customFormat="1" ht="31" customHeight="1" spans="1:68">
      <c r="A17" s="1304">
        <v>45734</v>
      </c>
      <c r="B17" s="822" t="s">
        <v>153</v>
      </c>
      <c r="C17" s="633" t="s">
        <v>154</v>
      </c>
      <c r="D17" s="825">
        <v>4500160634</v>
      </c>
      <c r="E17" s="633">
        <v>5200006405</v>
      </c>
      <c r="F17" s="1305" t="s">
        <v>155</v>
      </c>
      <c r="G17" s="659" t="s">
        <v>156</v>
      </c>
      <c r="H17" s="633" t="s">
        <v>102</v>
      </c>
      <c r="I17" s="633">
        <v>800</v>
      </c>
      <c r="J17" s="633">
        <v>0</v>
      </c>
      <c r="K17" s="633">
        <v>4</v>
      </c>
      <c r="L17" s="827">
        <f t="shared" si="0"/>
        <v>200</v>
      </c>
      <c r="M17" s="828">
        <v>45786</v>
      </c>
      <c r="N17" s="828">
        <v>45782</v>
      </c>
      <c r="O17" s="824"/>
      <c r="P17" s="824" t="s">
        <v>113</v>
      </c>
      <c r="Q17" s="633"/>
      <c r="R17" s="829">
        <v>45735</v>
      </c>
      <c r="S17" s="829" t="s">
        <v>70</v>
      </c>
      <c r="T17" s="829" t="s">
        <v>157</v>
      </c>
      <c r="U17" s="829"/>
      <c r="V17" s="829" t="s">
        <v>158</v>
      </c>
      <c r="W17" s="829"/>
      <c r="X17" s="822" t="s">
        <v>159</v>
      </c>
      <c r="Y17" s="828" t="s">
        <v>160</v>
      </c>
      <c r="Z17" s="1306">
        <v>5.03</v>
      </c>
      <c r="AA17" s="831">
        <f t="shared" si="5"/>
        <v>4024</v>
      </c>
      <c r="AC17" s="1307" t="s">
        <v>161</v>
      </c>
      <c r="AD17" s="828" t="s">
        <v>156</v>
      </c>
      <c r="AE17" s="633" t="s">
        <v>82</v>
      </c>
      <c r="AF17" s="633"/>
      <c r="AG17" s="618" t="s">
        <v>74</v>
      </c>
      <c r="AH17" s="618"/>
      <c r="AI17" s="1308">
        <v>800</v>
      </c>
      <c r="AJ17" s="824">
        <f t="shared" si="6"/>
        <v>0</v>
      </c>
      <c r="AK17" s="633"/>
      <c r="AL17" s="633"/>
      <c r="AM17" s="633"/>
      <c r="AN17" s="825">
        <f t="shared" si="1"/>
        <v>800</v>
      </c>
      <c r="AO17" s="687"/>
      <c r="AP17" s="687"/>
      <c r="AQ17" s="687"/>
      <c r="AR17" s="825"/>
      <c r="AS17" s="687">
        <f>I17</f>
        <v>800</v>
      </c>
      <c r="AT17" s="687"/>
      <c r="AU17" s="825">
        <f t="shared" si="3"/>
        <v>800</v>
      </c>
      <c r="AV17" s="825"/>
      <c r="AW17" s="825">
        <f t="shared" si="4"/>
        <v>800</v>
      </c>
      <c r="AX17" s="825"/>
      <c r="AY17" s="1305"/>
      <c r="AZ17" s="1305"/>
      <c r="BA17" s="1305"/>
      <c r="BB17" s="1305"/>
      <c r="BC17" s="1305"/>
      <c r="BD17" s="1305"/>
      <c r="BE17" s="1305"/>
      <c r="BF17" s="1305"/>
      <c r="BG17" s="1305"/>
      <c r="BH17" s="825"/>
      <c r="BI17" s="825">
        <f>I17/4</f>
        <v>200</v>
      </c>
      <c r="BJ17" s="1305"/>
      <c r="BK17" s="1305"/>
      <c r="BL17" s="1305"/>
      <c r="BM17" s="1305"/>
      <c r="BN17" s="1305"/>
      <c r="BO17" s="1305"/>
      <c r="BP17" s="1305"/>
    </row>
    <row r="18" s="1265" customFormat="1" ht="31" customHeight="1" spans="1:68">
      <c r="A18" s="1304">
        <v>45671</v>
      </c>
      <c r="B18" s="822" t="s">
        <v>162</v>
      </c>
      <c r="C18" s="633" t="s">
        <v>154</v>
      </c>
      <c r="D18" s="825">
        <v>4500155594</v>
      </c>
      <c r="E18" s="633">
        <v>4400459913</v>
      </c>
      <c r="F18" s="1305" t="s">
        <v>163</v>
      </c>
      <c r="G18" s="659" t="s">
        <v>164</v>
      </c>
      <c r="H18" s="633" t="s">
        <v>112</v>
      </c>
      <c r="I18" s="633">
        <v>3008</v>
      </c>
      <c r="J18" s="633">
        <v>0</v>
      </c>
      <c r="K18" s="633">
        <v>8</v>
      </c>
      <c r="L18" s="827">
        <f t="shared" si="0"/>
        <v>376</v>
      </c>
      <c r="M18" s="828">
        <v>45787</v>
      </c>
      <c r="N18" s="828">
        <v>45783</v>
      </c>
      <c r="O18" s="824" t="s">
        <v>158</v>
      </c>
      <c r="P18" s="824" t="s">
        <v>113</v>
      </c>
      <c r="Q18" s="633"/>
      <c r="R18" s="829">
        <v>45671</v>
      </c>
      <c r="S18" s="829" t="s">
        <v>70</v>
      </c>
      <c r="T18" s="829" t="s">
        <v>165</v>
      </c>
      <c r="U18" s="829"/>
      <c r="V18" s="829"/>
      <c r="W18" s="829"/>
      <c r="X18" s="628" t="s">
        <v>166</v>
      </c>
      <c r="Y18" s="828" t="s">
        <v>167</v>
      </c>
      <c r="Z18" s="1306">
        <v>5.1379</v>
      </c>
      <c r="AA18" s="831">
        <f t="shared" si="5"/>
        <v>15454.8032</v>
      </c>
      <c r="AC18" s="1307" t="s">
        <v>168</v>
      </c>
      <c r="AD18" s="633" t="s">
        <v>164</v>
      </c>
      <c r="AE18" s="633" t="s">
        <v>82</v>
      </c>
      <c r="AF18" s="633"/>
      <c r="AG18" s="618" t="s">
        <v>74</v>
      </c>
      <c r="AH18" s="618"/>
      <c r="AI18" s="1308">
        <v>3008</v>
      </c>
      <c r="AJ18" s="824">
        <f t="shared" si="6"/>
        <v>0</v>
      </c>
      <c r="AK18" s="633"/>
      <c r="AL18" s="633"/>
      <c r="AM18" s="633"/>
      <c r="AN18" s="825">
        <f t="shared" si="1"/>
        <v>3008</v>
      </c>
      <c r="AO18" s="687"/>
      <c r="AP18" s="687"/>
      <c r="AQ18" s="687"/>
      <c r="AR18" s="825"/>
      <c r="AS18" s="687"/>
      <c r="AT18" s="687"/>
      <c r="AU18" s="825"/>
      <c r="AV18" s="825"/>
      <c r="AW18" s="825">
        <f t="shared" si="4"/>
        <v>3008</v>
      </c>
      <c r="AX18" s="825"/>
      <c r="AY18" s="1305"/>
      <c r="AZ18" s="1305"/>
      <c r="BA18" s="1305"/>
      <c r="BB18" s="1305"/>
      <c r="BC18" s="1305"/>
      <c r="BD18" s="825">
        <f>I18</f>
        <v>3008</v>
      </c>
      <c r="BE18" s="825">
        <f>I18</f>
        <v>3008</v>
      </c>
      <c r="BF18" s="1305"/>
      <c r="BG18" s="1305"/>
      <c r="BH18" s="1305"/>
      <c r="BI18" s="825">
        <f>I18/4</f>
        <v>752</v>
      </c>
      <c r="BJ18" s="1305"/>
      <c r="BK18" s="1305"/>
      <c r="BL18" s="1305"/>
      <c r="BM18" s="1305"/>
      <c r="BN18" s="1305"/>
      <c r="BO18" s="1305"/>
      <c r="BP18" s="1305"/>
    </row>
    <row r="19" s="1265" customFormat="1" ht="31" customHeight="1" spans="1:68">
      <c r="A19" s="1304">
        <v>45733</v>
      </c>
      <c r="B19" s="822" t="s">
        <v>169</v>
      </c>
      <c r="C19" s="633" t="s">
        <v>170</v>
      </c>
      <c r="D19" s="825">
        <v>4500160504</v>
      </c>
      <c r="E19" s="633">
        <v>9900923471</v>
      </c>
      <c r="F19" s="1305" t="s">
        <v>171</v>
      </c>
      <c r="G19" s="659" t="s">
        <v>172</v>
      </c>
      <c r="H19" s="633" t="s">
        <v>112</v>
      </c>
      <c r="I19" s="633">
        <v>884</v>
      </c>
      <c r="J19" s="633">
        <v>0</v>
      </c>
      <c r="K19" s="633">
        <v>2</v>
      </c>
      <c r="L19" s="827">
        <f t="shared" si="0"/>
        <v>442</v>
      </c>
      <c r="M19" s="828">
        <v>45776</v>
      </c>
      <c r="N19" s="828">
        <v>45772</v>
      </c>
      <c r="O19" s="824" t="s">
        <v>173</v>
      </c>
      <c r="P19" s="824" t="s">
        <v>113</v>
      </c>
      <c r="Q19" s="633"/>
      <c r="R19" s="829">
        <v>45748</v>
      </c>
      <c r="S19" s="829" t="s">
        <v>70</v>
      </c>
      <c r="T19" s="829">
        <v>45734</v>
      </c>
      <c r="U19" s="829"/>
      <c r="V19" s="829"/>
      <c r="W19" s="829"/>
      <c r="X19" s="628" t="s">
        <v>174</v>
      </c>
      <c r="Y19" s="828" t="s">
        <v>175</v>
      </c>
      <c r="Z19" s="1306">
        <v>4.1</v>
      </c>
      <c r="AA19" s="831">
        <f t="shared" si="5"/>
        <v>3624.4</v>
      </c>
      <c r="AC19" s="1307" t="s">
        <v>176</v>
      </c>
      <c r="AD19" s="633" t="s">
        <v>172</v>
      </c>
      <c r="AE19" s="633" t="s">
        <v>82</v>
      </c>
      <c r="AF19" s="633"/>
      <c r="AG19" s="618" t="s">
        <v>74</v>
      </c>
      <c r="AH19" s="618"/>
      <c r="AI19" s="1308" t="s">
        <v>87</v>
      </c>
      <c r="AJ19" s="824" t="e">
        <f t="shared" si="6"/>
        <v>#VALUE!</v>
      </c>
      <c r="AK19" s="633"/>
      <c r="AL19" s="633"/>
      <c r="AM19" s="633"/>
      <c r="AN19" s="825">
        <f t="shared" si="1"/>
        <v>884</v>
      </c>
      <c r="AO19" s="687"/>
      <c r="AP19" s="687"/>
      <c r="AQ19" s="687"/>
      <c r="AR19" s="825"/>
      <c r="AS19" s="687">
        <f>I19</f>
        <v>884</v>
      </c>
      <c r="AT19" s="687"/>
      <c r="AU19" s="825">
        <f t="shared" ref="AU19:AU35" si="7">I19</f>
        <v>884</v>
      </c>
      <c r="AV19" s="825"/>
      <c r="AW19" s="825">
        <f t="shared" si="4"/>
        <v>884</v>
      </c>
      <c r="AX19" s="825"/>
      <c r="AY19" s="1305"/>
      <c r="AZ19" s="1305"/>
      <c r="BA19" s="1305"/>
      <c r="BB19" s="1305"/>
      <c r="BC19" s="1305"/>
      <c r="BD19" s="1305"/>
      <c r="BE19" s="1305"/>
      <c r="BF19" s="1305"/>
      <c r="BG19" s="1305"/>
      <c r="BH19" s="1305"/>
      <c r="BI19" s="1305"/>
      <c r="BJ19" s="1305"/>
      <c r="BK19" s="1305"/>
      <c r="BL19" s="1305"/>
      <c r="BM19" s="1305"/>
      <c r="BN19" s="1305"/>
      <c r="BO19" s="1305"/>
      <c r="BP19" s="1305"/>
    </row>
    <row r="20" s="1265" customFormat="1" ht="31" customHeight="1" spans="1:68">
      <c r="A20" s="1304">
        <v>45726</v>
      </c>
      <c r="B20" s="822" t="s">
        <v>177</v>
      </c>
      <c r="C20" s="633" t="s">
        <v>170</v>
      </c>
      <c r="D20" s="825">
        <v>4500159666</v>
      </c>
      <c r="E20" s="633" t="s">
        <v>178</v>
      </c>
      <c r="F20" s="1305" t="s">
        <v>179</v>
      </c>
      <c r="G20" s="659" t="s">
        <v>68</v>
      </c>
      <c r="H20" s="633" t="s">
        <v>69</v>
      </c>
      <c r="I20" s="633">
        <v>15396</v>
      </c>
      <c r="J20" s="633">
        <v>0</v>
      </c>
      <c r="K20" s="633">
        <v>12</v>
      </c>
      <c r="L20" s="827">
        <f t="shared" si="0"/>
        <v>1283</v>
      </c>
      <c r="M20" s="828">
        <v>45786</v>
      </c>
      <c r="N20" s="828">
        <v>45782</v>
      </c>
      <c r="O20" s="824"/>
      <c r="P20" s="824" t="s">
        <v>113</v>
      </c>
      <c r="Q20" s="633" t="s">
        <v>180</v>
      </c>
      <c r="R20" s="829">
        <v>45727</v>
      </c>
      <c r="S20" s="829" t="s">
        <v>70</v>
      </c>
      <c r="T20" s="829" t="s">
        <v>70</v>
      </c>
      <c r="U20" s="829"/>
      <c r="V20" s="829"/>
      <c r="W20" s="829"/>
      <c r="X20" s="628" t="s">
        <v>181</v>
      </c>
      <c r="Y20" s="828" t="s">
        <v>182</v>
      </c>
      <c r="Z20" s="1306">
        <v>4.1</v>
      </c>
      <c r="AA20" s="831">
        <f t="shared" si="5"/>
        <v>63123.6</v>
      </c>
      <c r="AC20" s="1307" t="s">
        <v>183</v>
      </c>
      <c r="AD20" s="633" t="s">
        <v>184</v>
      </c>
      <c r="AE20" s="633" t="s">
        <v>82</v>
      </c>
      <c r="AF20" s="633"/>
      <c r="AG20" s="618" t="s">
        <v>185</v>
      </c>
      <c r="AH20" s="618"/>
      <c r="AI20" s="1308" t="s">
        <v>87</v>
      </c>
      <c r="AJ20" s="824" t="e">
        <f t="shared" si="6"/>
        <v>#VALUE!</v>
      </c>
      <c r="AK20" s="633"/>
      <c r="AL20" s="633"/>
      <c r="AM20" s="633"/>
      <c r="AN20" s="825">
        <f t="shared" si="1"/>
        <v>15396</v>
      </c>
      <c r="AO20" s="687"/>
      <c r="AP20" s="687"/>
      <c r="AQ20" s="687"/>
      <c r="AR20" s="825"/>
      <c r="AS20" s="687">
        <f>I20</f>
        <v>15396</v>
      </c>
      <c r="AT20" s="687"/>
      <c r="AU20" s="825">
        <f t="shared" si="7"/>
        <v>15396</v>
      </c>
      <c r="AV20" s="825"/>
      <c r="AW20" s="825">
        <f t="shared" si="4"/>
        <v>15396</v>
      </c>
      <c r="AX20" s="825"/>
      <c r="AY20" s="1305"/>
      <c r="AZ20" s="1305"/>
      <c r="BA20" s="1305"/>
      <c r="BB20" s="1305"/>
      <c r="BC20" s="1305"/>
      <c r="BD20" s="1305"/>
      <c r="BE20" s="1305"/>
      <c r="BF20" s="1305"/>
      <c r="BG20" s="1305"/>
      <c r="BH20" s="1305"/>
      <c r="BI20" s="1305"/>
      <c r="BJ20" s="1305"/>
      <c r="BK20" s="1305"/>
      <c r="BL20" s="1305"/>
      <c r="BM20" s="1305"/>
      <c r="BN20" s="1305"/>
      <c r="BO20" s="1305"/>
      <c r="BP20" s="1305"/>
    </row>
    <row r="21" s="1265" customFormat="1" ht="31" customHeight="1" spans="1:68">
      <c r="A21" s="1304">
        <v>45744</v>
      </c>
      <c r="B21" s="822" t="s">
        <v>143</v>
      </c>
      <c r="C21" s="633" t="s">
        <v>98</v>
      </c>
      <c r="D21" s="825">
        <v>4500161760</v>
      </c>
      <c r="E21" s="1413" t="s">
        <v>186</v>
      </c>
      <c r="F21" s="1305" t="s">
        <v>187</v>
      </c>
      <c r="G21" s="659" t="s">
        <v>101</v>
      </c>
      <c r="H21" s="633" t="s">
        <v>102</v>
      </c>
      <c r="I21" s="633">
        <v>760</v>
      </c>
      <c r="J21" s="633">
        <v>0</v>
      </c>
      <c r="K21" s="633">
        <v>4</v>
      </c>
      <c r="L21" s="827">
        <f t="shared" si="0"/>
        <v>190</v>
      </c>
      <c r="M21" s="828">
        <v>45789</v>
      </c>
      <c r="N21" s="828">
        <v>45785</v>
      </c>
      <c r="O21" s="824" t="s">
        <v>188</v>
      </c>
      <c r="P21" s="824" t="s">
        <v>113</v>
      </c>
      <c r="Q21" s="633"/>
      <c r="R21" s="829" t="s">
        <v>147</v>
      </c>
      <c r="S21" s="829" t="s">
        <v>70</v>
      </c>
      <c r="T21" s="829" t="s">
        <v>148</v>
      </c>
      <c r="U21" s="829"/>
      <c r="V21" s="774" t="s">
        <v>148</v>
      </c>
      <c r="W21" s="829"/>
      <c r="X21" s="822" t="s">
        <v>149</v>
      </c>
      <c r="Y21" s="828" t="s">
        <v>106</v>
      </c>
      <c r="Z21" s="1306">
        <v>5</v>
      </c>
      <c r="AA21" s="831">
        <f t="shared" si="5"/>
        <v>3800</v>
      </c>
      <c r="AC21" s="632"/>
      <c r="AD21" s="633" t="s">
        <v>101</v>
      </c>
      <c r="AE21" s="633" t="s">
        <v>82</v>
      </c>
      <c r="AF21" s="633"/>
      <c r="AG21" s="618" t="s">
        <v>74</v>
      </c>
      <c r="AH21" s="618"/>
      <c r="AI21" s="1308">
        <v>760</v>
      </c>
      <c r="AJ21" s="824">
        <f t="shared" si="6"/>
        <v>0</v>
      </c>
      <c r="AK21" s="633"/>
      <c r="AL21" s="633"/>
      <c r="AM21" s="633"/>
      <c r="AN21" s="825">
        <f t="shared" si="1"/>
        <v>760</v>
      </c>
      <c r="AO21" s="687"/>
      <c r="AP21" s="687"/>
      <c r="AQ21" s="687"/>
      <c r="AR21" s="825">
        <f>I21</f>
        <v>760</v>
      </c>
      <c r="AS21" s="687"/>
      <c r="AT21" s="687"/>
      <c r="AU21" s="825">
        <f t="shared" si="7"/>
        <v>760</v>
      </c>
      <c r="AV21" s="825"/>
      <c r="AW21" s="825">
        <f t="shared" si="4"/>
        <v>760</v>
      </c>
      <c r="AX21" s="825"/>
      <c r="AY21" s="1305"/>
      <c r="AZ21" s="1305"/>
      <c r="BA21" s="1305"/>
      <c r="BB21" s="1305"/>
      <c r="BC21" s="1305"/>
      <c r="BD21" s="1305"/>
      <c r="BE21" s="1305"/>
      <c r="BF21" s="1305"/>
      <c r="BG21" s="1305"/>
      <c r="BH21" s="825">
        <f>I21/4</f>
        <v>190</v>
      </c>
      <c r="BI21" s="1305"/>
      <c r="BJ21" s="1305"/>
      <c r="BK21" s="1305"/>
      <c r="BL21" s="1305"/>
      <c r="BM21" s="1305"/>
      <c r="BN21" s="1305"/>
      <c r="BO21" s="1305"/>
      <c r="BP21" s="1305"/>
    </row>
    <row r="22" s="1265" customFormat="1" ht="31" customHeight="1" spans="1:68">
      <c r="A22" s="1304">
        <v>45726</v>
      </c>
      <c r="B22" s="822" t="s">
        <v>97</v>
      </c>
      <c r="C22" s="633" t="s">
        <v>98</v>
      </c>
      <c r="D22" s="825">
        <v>4500159654</v>
      </c>
      <c r="E22" s="633" t="s">
        <v>189</v>
      </c>
      <c r="F22" s="1305" t="s">
        <v>190</v>
      </c>
      <c r="G22" s="659" t="s">
        <v>101</v>
      </c>
      <c r="H22" s="633" t="s">
        <v>102</v>
      </c>
      <c r="I22" s="633">
        <v>2768</v>
      </c>
      <c r="J22" s="633">
        <v>0</v>
      </c>
      <c r="K22" s="633">
        <v>4</v>
      </c>
      <c r="L22" s="827">
        <f t="shared" si="0"/>
        <v>692</v>
      </c>
      <c r="M22" s="828">
        <v>45789</v>
      </c>
      <c r="N22" s="828">
        <v>45785</v>
      </c>
      <c r="O22" s="824" t="s">
        <v>188</v>
      </c>
      <c r="P22" s="824" t="s">
        <v>113</v>
      </c>
      <c r="Q22" s="633"/>
      <c r="R22" s="829">
        <v>45727</v>
      </c>
      <c r="S22" s="829" t="s">
        <v>104</v>
      </c>
      <c r="T22" s="829">
        <v>45727</v>
      </c>
      <c r="U22" s="829"/>
      <c r="V22" s="829" t="s">
        <v>191</v>
      </c>
      <c r="W22" s="829"/>
      <c r="X22" s="628" t="s">
        <v>192</v>
      </c>
      <c r="Y22" s="828" t="s">
        <v>106</v>
      </c>
      <c r="Z22" s="1306">
        <v>5</v>
      </c>
      <c r="AA22" s="831">
        <f t="shared" si="5"/>
        <v>13840</v>
      </c>
      <c r="AC22" s="632"/>
      <c r="AD22" s="633" t="s">
        <v>101</v>
      </c>
      <c r="AE22" s="633" t="s">
        <v>82</v>
      </c>
      <c r="AF22" s="633"/>
      <c r="AG22" s="618" t="s">
        <v>74</v>
      </c>
      <c r="AH22" s="618"/>
      <c r="AI22" s="1308">
        <v>2768</v>
      </c>
      <c r="AJ22" s="824">
        <f t="shared" si="6"/>
        <v>0</v>
      </c>
      <c r="AK22" s="633"/>
      <c r="AL22" s="633"/>
      <c r="AM22" s="633"/>
      <c r="AN22" s="825">
        <f t="shared" si="1"/>
        <v>2768</v>
      </c>
      <c r="AO22" s="687"/>
      <c r="AP22" s="687"/>
      <c r="AQ22" s="687"/>
      <c r="AR22" s="825">
        <f>I22</f>
        <v>2768</v>
      </c>
      <c r="AS22" s="687"/>
      <c r="AT22" s="687"/>
      <c r="AU22" s="825">
        <f t="shared" si="7"/>
        <v>2768</v>
      </c>
      <c r="AV22" s="825"/>
      <c r="AW22" s="825">
        <f t="shared" si="4"/>
        <v>2768</v>
      </c>
      <c r="AX22" s="825"/>
      <c r="AY22" s="1305"/>
      <c r="AZ22" s="1305"/>
      <c r="BA22" s="1305"/>
      <c r="BB22" s="1305"/>
      <c r="BC22" s="1305"/>
      <c r="BD22" s="1305"/>
      <c r="BE22" s="1305"/>
      <c r="BF22" s="1305"/>
      <c r="BG22" s="1305"/>
      <c r="BH22" s="825">
        <f>I22/4</f>
        <v>692</v>
      </c>
      <c r="BI22" s="1305"/>
      <c r="BJ22" s="1305"/>
      <c r="BK22" s="1305"/>
      <c r="BL22" s="1305"/>
      <c r="BM22" s="1305"/>
      <c r="BN22" s="1305"/>
      <c r="BO22" s="1305"/>
      <c r="BP22" s="1305"/>
    </row>
    <row r="23" s="1265" customFormat="1" ht="31" customHeight="1" spans="1:68">
      <c r="A23" s="1304">
        <v>45726</v>
      </c>
      <c r="B23" s="822" t="s">
        <v>97</v>
      </c>
      <c r="C23" s="633" t="s">
        <v>98</v>
      </c>
      <c r="D23" s="825">
        <v>4500159654</v>
      </c>
      <c r="E23" s="633" t="s">
        <v>193</v>
      </c>
      <c r="F23" s="1305" t="s">
        <v>194</v>
      </c>
      <c r="G23" s="659" t="s">
        <v>101</v>
      </c>
      <c r="H23" s="633" t="s">
        <v>102</v>
      </c>
      <c r="I23" s="633">
        <v>3560</v>
      </c>
      <c r="J23" s="633">
        <v>0</v>
      </c>
      <c r="K23" s="633">
        <v>4</v>
      </c>
      <c r="L23" s="827">
        <f t="shared" si="0"/>
        <v>890</v>
      </c>
      <c r="M23" s="828">
        <v>45789</v>
      </c>
      <c r="N23" s="828">
        <v>45785</v>
      </c>
      <c r="O23" s="824" t="s">
        <v>188</v>
      </c>
      <c r="P23" s="824" t="s">
        <v>113</v>
      </c>
      <c r="Q23" s="633"/>
      <c r="R23" s="829">
        <v>45727</v>
      </c>
      <c r="S23" s="829" t="s">
        <v>104</v>
      </c>
      <c r="T23" s="829">
        <v>45727</v>
      </c>
      <c r="U23" s="829"/>
      <c r="V23" s="829" t="s">
        <v>191</v>
      </c>
      <c r="W23" s="829"/>
      <c r="X23" s="628" t="s">
        <v>192</v>
      </c>
      <c r="Y23" s="828" t="s">
        <v>106</v>
      </c>
      <c r="Z23" s="1306">
        <v>5</v>
      </c>
      <c r="AA23" s="831">
        <f t="shared" si="5"/>
        <v>17800</v>
      </c>
      <c r="AC23" s="632"/>
      <c r="AD23" s="633" t="s">
        <v>101</v>
      </c>
      <c r="AE23" s="633" t="s">
        <v>82</v>
      </c>
      <c r="AF23" s="633"/>
      <c r="AG23" s="618" t="s">
        <v>74</v>
      </c>
      <c r="AH23" s="618"/>
      <c r="AI23" s="1308">
        <v>3560</v>
      </c>
      <c r="AJ23" s="824">
        <f t="shared" si="6"/>
        <v>0</v>
      </c>
      <c r="AK23" s="633"/>
      <c r="AL23" s="633"/>
      <c r="AM23" s="633"/>
      <c r="AN23" s="825">
        <f t="shared" si="1"/>
        <v>3560</v>
      </c>
      <c r="AO23" s="687"/>
      <c r="AP23" s="687"/>
      <c r="AQ23" s="687"/>
      <c r="AR23" s="825">
        <f>I23</f>
        <v>3560</v>
      </c>
      <c r="AS23" s="687"/>
      <c r="AT23" s="687"/>
      <c r="AU23" s="825">
        <f t="shared" si="7"/>
        <v>3560</v>
      </c>
      <c r="AV23" s="825"/>
      <c r="AW23" s="825">
        <f t="shared" si="4"/>
        <v>3560</v>
      </c>
      <c r="AX23" s="825"/>
      <c r="AY23" s="1305"/>
      <c r="AZ23" s="1305"/>
      <c r="BA23" s="1305"/>
      <c r="BB23" s="1305"/>
      <c r="BC23" s="1305"/>
      <c r="BD23" s="1305"/>
      <c r="BE23" s="1305"/>
      <c r="BF23" s="1305"/>
      <c r="BG23" s="1305"/>
      <c r="BH23" s="825">
        <f>I23/4</f>
        <v>890</v>
      </c>
      <c r="BI23" s="1305"/>
      <c r="BJ23" s="1305"/>
      <c r="BK23" s="1305"/>
      <c r="BL23" s="1305"/>
      <c r="BM23" s="1305"/>
      <c r="BN23" s="1305"/>
      <c r="BO23" s="1305"/>
      <c r="BP23" s="1305"/>
    </row>
    <row r="24" s="1265" customFormat="1" ht="31" customHeight="1" spans="1:68">
      <c r="A24" s="1304">
        <v>45726</v>
      </c>
      <c r="B24" s="822" t="s">
        <v>97</v>
      </c>
      <c r="C24" s="633" t="s">
        <v>98</v>
      </c>
      <c r="D24" s="825">
        <v>4500159654</v>
      </c>
      <c r="E24" s="633" t="s">
        <v>195</v>
      </c>
      <c r="F24" s="1305" t="s">
        <v>196</v>
      </c>
      <c r="G24" s="659" t="s">
        <v>101</v>
      </c>
      <c r="H24" s="633" t="s">
        <v>102</v>
      </c>
      <c r="I24" s="633">
        <v>3344</v>
      </c>
      <c r="J24" s="633">
        <v>0</v>
      </c>
      <c r="K24" s="633">
        <v>4</v>
      </c>
      <c r="L24" s="827">
        <f t="shared" si="0"/>
        <v>836</v>
      </c>
      <c r="M24" s="828">
        <v>45789</v>
      </c>
      <c r="N24" s="828">
        <v>45785</v>
      </c>
      <c r="O24" s="824" t="s">
        <v>188</v>
      </c>
      <c r="P24" s="824" t="s">
        <v>113</v>
      </c>
      <c r="Q24" s="633"/>
      <c r="R24" s="829">
        <v>45727</v>
      </c>
      <c r="S24" s="829" t="s">
        <v>104</v>
      </c>
      <c r="T24" s="829">
        <v>45727</v>
      </c>
      <c r="U24" s="829"/>
      <c r="V24" s="829" t="s">
        <v>191</v>
      </c>
      <c r="W24" s="829"/>
      <c r="X24" s="628" t="s">
        <v>192</v>
      </c>
      <c r="Y24" s="828" t="s">
        <v>106</v>
      </c>
      <c r="Z24" s="1306">
        <v>5</v>
      </c>
      <c r="AA24" s="831">
        <f t="shared" si="5"/>
        <v>16720</v>
      </c>
      <c r="AC24" s="632"/>
      <c r="AD24" s="633" t="s">
        <v>101</v>
      </c>
      <c r="AE24" s="633" t="s">
        <v>82</v>
      </c>
      <c r="AF24" s="633"/>
      <c r="AG24" s="618" t="s">
        <v>74</v>
      </c>
      <c r="AH24" s="618"/>
      <c r="AI24" s="1308">
        <v>3344</v>
      </c>
      <c r="AJ24" s="824">
        <f t="shared" si="6"/>
        <v>0</v>
      </c>
      <c r="AK24" s="633"/>
      <c r="AL24" s="633"/>
      <c r="AM24" s="633"/>
      <c r="AN24" s="825">
        <f t="shared" si="1"/>
        <v>3344</v>
      </c>
      <c r="AO24" s="687"/>
      <c r="AP24" s="687"/>
      <c r="AQ24" s="687"/>
      <c r="AR24" s="825">
        <f>I24</f>
        <v>3344</v>
      </c>
      <c r="AS24" s="687"/>
      <c r="AT24" s="687"/>
      <c r="AU24" s="825">
        <f t="shared" si="7"/>
        <v>3344</v>
      </c>
      <c r="AV24" s="825"/>
      <c r="AW24" s="825">
        <f t="shared" si="4"/>
        <v>3344</v>
      </c>
      <c r="AX24" s="825"/>
      <c r="AY24" s="1305"/>
      <c r="AZ24" s="1305"/>
      <c r="BA24" s="1305"/>
      <c r="BB24" s="1305"/>
      <c r="BC24" s="1305"/>
      <c r="BD24" s="1305"/>
      <c r="BE24" s="1305"/>
      <c r="BF24" s="1305"/>
      <c r="BG24" s="1305"/>
      <c r="BH24" s="825">
        <f>I24/4</f>
        <v>836</v>
      </c>
      <c r="BI24" s="1305"/>
      <c r="BJ24" s="1305"/>
      <c r="BK24" s="1305"/>
      <c r="BL24" s="1305"/>
      <c r="BM24" s="1305"/>
      <c r="BN24" s="1305"/>
      <c r="BO24" s="1305"/>
      <c r="BP24" s="1305"/>
    </row>
    <row r="25" s="1265" customFormat="1" ht="31" customHeight="1" spans="1:68">
      <c r="A25" s="1304">
        <v>45755</v>
      </c>
      <c r="B25" s="822" t="s">
        <v>197</v>
      </c>
      <c r="C25" s="633" t="s">
        <v>198</v>
      </c>
      <c r="D25" s="825">
        <v>4500162820</v>
      </c>
      <c r="E25" s="633">
        <v>5200006528</v>
      </c>
      <c r="F25" s="1305" t="s">
        <v>199</v>
      </c>
      <c r="G25" s="659" t="s">
        <v>156</v>
      </c>
      <c r="H25" s="633" t="s">
        <v>102</v>
      </c>
      <c r="I25" s="633">
        <v>2444</v>
      </c>
      <c r="J25" s="633">
        <v>0</v>
      </c>
      <c r="K25" s="633">
        <v>4</v>
      </c>
      <c r="L25" s="827">
        <f t="shared" si="0"/>
        <v>611</v>
      </c>
      <c r="M25" s="828">
        <v>45789</v>
      </c>
      <c r="N25" s="828">
        <v>45785</v>
      </c>
      <c r="O25" s="824"/>
      <c r="P25" s="824" t="s">
        <v>113</v>
      </c>
      <c r="Q25" s="633"/>
      <c r="R25" s="829">
        <v>45757</v>
      </c>
      <c r="S25" s="829" t="s">
        <v>70</v>
      </c>
      <c r="T25" s="829">
        <v>45764</v>
      </c>
      <c r="U25" s="829"/>
      <c r="V25" s="829"/>
      <c r="W25" s="829"/>
      <c r="X25" s="822" t="s">
        <v>200</v>
      </c>
      <c r="Y25" s="828" t="s">
        <v>160</v>
      </c>
      <c r="Z25" s="1306">
        <v>5.03</v>
      </c>
      <c r="AA25" s="831">
        <f t="shared" si="5"/>
        <v>12293.32</v>
      </c>
      <c r="AC25" s="1307" t="s">
        <v>201</v>
      </c>
      <c r="AD25" s="633" t="s">
        <v>156</v>
      </c>
      <c r="AE25" s="633" t="s">
        <v>82</v>
      </c>
      <c r="AF25" s="633"/>
      <c r="AG25" s="618" t="s">
        <v>74</v>
      </c>
      <c r="AH25" s="618"/>
      <c r="AI25" s="1308">
        <v>2444</v>
      </c>
      <c r="AJ25" s="824">
        <f t="shared" si="6"/>
        <v>0</v>
      </c>
      <c r="AK25" s="633"/>
      <c r="AL25" s="633"/>
      <c r="AM25" s="633"/>
      <c r="AN25" s="825">
        <f t="shared" si="1"/>
        <v>2444</v>
      </c>
      <c r="AO25" s="687"/>
      <c r="AP25" s="687"/>
      <c r="AQ25" s="687"/>
      <c r="AR25" s="825"/>
      <c r="AS25" s="687">
        <f>I25</f>
        <v>2444</v>
      </c>
      <c r="AT25" s="687"/>
      <c r="AU25" s="825">
        <f t="shared" si="7"/>
        <v>2444</v>
      </c>
      <c r="AV25" s="825"/>
      <c r="AW25" s="825">
        <f t="shared" si="4"/>
        <v>2444</v>
      </c>
      <c r="AX25" s="825"/>
      <c r="AY25" s="1305"/>
      <c r="AZ25" s="1305"/>
      <c r="BA25" s="1305"/>
      <c r="BB25" s="1305"/>
      <c r="BC25" s="1305"/>
      <c r="BD25" s="1305"/>
      <c r="BE25" s="1305"/>
      <c r="BF25" s="1305"/>
      <c r="BG25" s="1305"/>
      <c r="BH25" s="1305"/>
      <c r="BI25" s="825">
        <f>I25/4</f>
        <v>611</v>
      </c>
      <c r="BJ25" s="1305"/>
      <c r="BK25" s="1305"/>
      <c r="BL25" s="1305"/>
      <c r="BM25" s="1305"/>
      <c r="BN25" s="1305"/>
      <c r="BO25" s="1305"/>
      <c r="BP25" s="1305"/>
    </row>
    <row r="26" s="1265" customFormat="1" ht="31" customHeight="1" spans="1:68">
      <c r="A26" s="1304">
        <v>45773</v>
      </c>
      <c r="B26" s="822"/>
      <c r="C26" s="633"/>
      <c r="D26" s="825" t="s">
        <v>202</v>
      </c>
      <c r="E26" s="633"/>
      <c r="F26" s="1305"/>
      <c r="G26" s="659" t="s">
        <v>68</v>
      </c>
      <c r="H26" s="633" t="s">
        <v>69</v>
      </c>
      <c r="I26" s="633">
        <v>108</v>
      </c>
      <c r="J26" s="633">
        <v>0</v>
      </c>
      <c r="K26" s="633">
        <v>12</v>
      </c>
      <c r="L26" s="827">
        <f t="shared" si="0"/>
        <v>9</v>
      </c>
      <c r="M26" s="828">
        <v>45789</v>
      </c>
      <c r="N26" s="828">
        <v>45785</v>
      </c>
      <c r="O26" s="824"/>
      <c r="P26" s="824" t="s">
        <v>113</v>
      </c>
      <c r="Q26" s="633"/>
      <c r="R26" s="829">
        <v>45773</v>
      </c>
      <c r="S26" s="829" t="s">
        <v>70</v>
      </c>
      <c r="T26" s="829" t="s">
        <v>70</v>
      </c>
      <c r="U26" s="829"/>
      <c r="V26" s="829"/>
      <c r="W26" s="829"/>
      <c r="X26" s="822" t="s">
        <v>203</v>
      </c>
      <c r="Y26" s="828" t="s">
        <v>85</v>
      </c>
      <c r="Z26" s="1306"/>
      <c r="AA26" s="831"/>
      <c r="AB26" s="1265"/>
      <c r="AC26" s="1307" t="s">
        <v>204</v>
      </c>
      <c r="AD26" s="633" t="s">
        <v>68</v>
      </c>
      <c r="AE26" s="633" t="s">
        <v>82</v>
      </c>
      <c r="AF26" s="633"/>
      <c r="AG26" s="618" t="s">
        <v>74</v>
      </c>
      <c r="AH26" s="618"/>
      <c r="AI26" s="1308">
        <v>108</v>
      </c>
      <c r="AJ26" s="824">
        <f t="shared" si="6"/>
        <v>0</v>
      </c>
      <c r="AK26" s="633"/>
      <c r="AL26" s="633"/>
      <c r="AM26" s="633"/>
      <c r="AN26" s="825">
        <f t="shared" si="1"/>
        <v>108</v>
      </c>
      <c r="AO26" s="687"/>
      <c r="AP26" s="687"/>
      <c r="AQ26" s="687"/>
      <c r="AR26" s="825">
        <f t="shared" ref="AR26:AR31" si="8">I26</f>
        <v>108</v>
      </c>
      <c r="AS26" s="687"/>
      <c r="AT26" s="687"/>
      <c r="AU26" s="825">
        <f t="shared" si="7"/>
        <v>108</v>
      </c>
      <c r="AV26" s="825"/>
      <c r="AW26" s="551">
        <f t="shared" si="4"/>
        <v>108</v>
      </c>
      <c r="AX26" s="825"/>
      <c r="AY26" s="1305"/>
      <c r="AZ26" s="1305"/>
      <c r="BA26" s="1305"/>
      <c r="BB26" s="1305"/>
      <c r="BC26" s="1305"/>
      <c r="BD26" s="1305"/>
      <c r="BE26" s="1305"/>
      <c r="BF26" s="1305"/>
      <c r="BG26" s="1305"/>
      <c r="BH26" s="1305"/>
      <c r="BI26" s="1305"/>
      <c r="BJ26" s="1305"/>
      <c r="BK26" s="1305"/>
      <c r="BL26" s="1305"/>
      <c r="BM26" s="1305"/>
      <c r="BN26" s="1305"/>
      <c r="BO26" s="1305"/>
      <c r="BP26" s="1305"/>
    </row>
    <row r="27" s="1265" customFormat="1" ht="31" customHeight="1" spans="1:68">
      <c r="A27" s="1304">
        <v>45741</v>
      </c>
      <c r="B27" s="822" t="s">
        <v>205</v>
      </c>
      <c r="C27" s="633" t="s">
        <v>98</v>
      </c>
      <c r="D27" s="825">
        <v>4500161407</v>
      </c>
      <c r="E27" s="633">
        <v>216951853</v>
      </c>
      <c r="F27" s="1305" t="s">
        <v>206</v>
      </c>
      <c r="G27" s="659" t="s">
        <v>207</v>
      </c>
      <c r="H27" s="633" t="s">
        <v>102</v>
      </c>
      <c r="I27" s="633">
        <v>800</v>
      </c>
      <c r="J27" s="633">
        <v>0</v>
      </c>
      <c r="K27" s="633">
        <v>4</v>
      </c>
      <c r="L27" s="827">
        <f t="shared" si="0"/>
        <v>200</v>
      </c>
      <c r="M27" s="828">
        <v>45790</v>
      </c>
      <c r="N27" s="828">
        <v>45786</v>
      </c>
      <c r="O27" s="824"/>
      <c r="P27" s="824" t="s">
        <v>113</v>
      </c>
      <c r="Q27" s="633"/>
      <c r="R27" s="829">
        <v>45771</v>
      </c>
      <c r="S27" s="829" t="s">
        <v>70</v>
      </c>
      <c r="T27" s="829" t="s">
        <v>70</v>
      </c>
      <c r="U27" s="829"/>
      <c r="V27" s="829"/>
      <c r="W27" s="829"/>
      <c r="X27" s="822" t="s">
        <v>208</v>
      </c>
      <c r="Y27" s="828" t="s">
        <v>209</v>
      </c>
      <c r="Z27" s="1306">
        <v>4.1</v>
      </c>
      <c r="AA27" s="831">
        <f t="shared" ref="AA27:AA77" si="9">Z27*I27</f>
        <v>3280</v>
      </c>
      <c r="AC27" s="632"/>
      <c r="AD27" s="633" t="s">
        <v>207</v>
      </c>
      <c r="AE27" s="633" t="s">
        <v>82</v>
      </c>
      <c r="AF27" s="633"/>
      <c r="AG27" s="618" t="s">
        <v>74</v>
      </c>
      <c r="AH27" s="618"/>
      <c r="AI27" s="1308">
        <v>800</v>
      </c>
      <c r="AJ27" s="824">
        <f t="shared" si="6"/>
        <v>0</v>
      </c>
      <c r="AK27" s="633"/>
      <c r="AL27" s="633"/>
      <c r="AM27" s="633"/>
      <c r="AN27" s="825">
        <f t="shared" si="1"/>
        <v>800</v>
      </c>
      <c r="AO27" s="687"/>
      <c r="AP27" s="687"/>
      <c r="AQ27" s="687"/>
      <c r="AR27" s="825">
        <f t="shared" si="8"/>
        <v>800</v>
      </c>
      <c r="AS27" s="687"/>
      <c r="AT27" s="687"/>
      <c r="AU27" s="825">
        <f t="shared" si="7"/>
        <v>800</v>
      </c>
      <c r="AV27" s="825"/>
      <c r="AW27" s="825">
        <f t="shared" ref="AW27:AW90" si="10">I27</f>
        <v>800</v>
      </c>
      <c r="AX27" s="825"/>
      <c r="AY27" s="1305"/>
      <c r="AZ27" s="1305"/>
      <c r="BA27" s="1305"/>
      <c r="BB27" s="1305"/>
      <c r="BC27" s="1305"/>
      <c r="BD27" s="1305"/>
      <c r="BE27" s="1305"/>
      <c r="BF27" s="1305"/>
      <c r="BG27" s="1305"/>
      <c r="BH27" s="1305"/>
      <c r="BI27" s="1305"/>
      <c r="BJ27" s="1305"/>
      <c r="BK27" s="1305"/>
      <c r="BL27" s="1305"/>
      <c r="BM27" s="1305"/>
      <c r="BN27" s="1305"/>
      <c r="BO27" s="1305"/>
      <c r="BP27" s="1305"/>
    </row>
    <row r="28" s="1265" customFormat="1" ht="31" customHeight="1" spans="1:68">
      <c r="A28" s="1304">
        <v>45741</v>
      </c>
      <c r="B28" s="822" t="s">
        <v>205</v>
      </c>
      <c r="C28" s="633" t="s">
        <v>98</v>
      </c>
      <c r="D28" s="825">
        <v>4500161408</v>
      </c>
      <c r="E28" s="633">
        <v>216951858</v>
      </c>
      <c r="F28" s="1305" t="s">
        <v>210</v>
      </c>
      <c r="G28" s="659" t="s">
        <v>207</v>
      </c>
      <c r="H28" s="633" t="s">
        <v>102</v>
      </c>
      <c r="I28" s="633">
        <v>600</v>
      </c>
      <c r="J28" s="633">
        <v>0</v>
      </c>
      <c r="K28" s="633">
        <v>4</v>
      </c>
      <c r="L28" s="827">
        <f t="shared" si="0"/>
        <v>150</v>
      </c>
      <c r="M28" s="828">
        <v>45790</v>
      </c>
      <c r="N28" s="828">
        <v>45786</v>
      </c>
      <c r="O28" s="824"/>
      <c r="P28" s="824" t="s">
        <v>113</v>
      </c>
      <c r="Q28" s="633"/>
      <c r="R28" s="829">
        <v>45771</v>
      </c>
      <c r="S28" s="829" t="s">
        <v>70</v>
      </c>
      <c r="T28" s="829" t="s">
        <v>70</v>
      </c>
      <c r="U28" s="829"/>
      <c r="V28" s="829"/>
      <c r="W28" s="829"/>
      <c r="X28" s="822" t="s">
        <v>208</v>
      </c>
      <c r="Y28" s="828" t="s">
        <v>209</v>
      </c>
      <c r="Z28" s="1306">
        <v>4.19</v>
      </c>
      <c r="AA28" s="831">
        <f t="shared" si="9"/>
        <v>2514</v>
      </c>
      <c r="AC28" s="632"/>
      <c r="AD28" s="633" t="s">
        <v>207</v>
      </c>
      <c r="AE28" s="633" t="s">
        <v>82</v>
      </c>
      <c r="AF28" s="633"/>
      <c r="AG28" s="618" t="s">
        <v>74</v>
      </c>
      <c r="AH28" s="618"/>
      <c r="AI28" s="1308">
        <v>600</v>
      </c>
      <c r="AJ28" s="824">
        <f t="shared" si="6"/>
        <v>0</v>
      </c>
      <c r="AK28" s="633"/>
      <c r="AL28" s="633"/>
      <c r="AM28" s="633"/>
      <c r="AN28" s="825">
        <f t="shared" si="1"/>
        <v>600</v>
      </c>
      <c r="AO28" s="687"/>
      <c r="AP28" s="687"/>
      <c r="AQ28" s="687"/>
      <c r="AR28" s="825">
        <f t="shared" si="8"/>
        <v>600</v>
      </c>
      <c r="AS28" s="687"/>
      <c r="AT28" s="687"/>
      <c r="AU28" s="825">
        <f t="shared" si="7"/>
        <v>600</v>
      </c>
      <c r="AV28" s="825"/>
      <c r="AW28" s="825">
        <f t="shared" si="10"/>
        <v>600</v>
      </c>
      <c r="AX28" s="825"/>
      <c r="AY28" s="1305"/>
      <c r="AZ28" s="1305"/>
      <c r="BA28" s="1305"/>
      <c r="BB28" s="1305"/>
      <c r="BC28" s="1305"/>
      <c r="BD28" s="1305"/>
      <c r="BE28" s="1305"/>
      <c r="BF28" s="1305"/>
      <c r="BG28" s="1305"/>
      <c r="BH28" s="1305"/>
      <c r="BI28" s="1305"/>
      <c r="BJ28" s="1305"/>
      <c r="BK28" s="1305"/>
      <c r="BL28" s="1305"/>
      <c r="BM28" s="1305"/>
      <c r="BN28" s="1305"/>
      <c r="BO28" s="1305"/>
      <c r="BP28" s="1305"/>
    </row>
    <row r="29" s="1265" customFormat="1" ht="31" customHeight="1" spans="1:68">
      <c r="A29" s="1304">
        <v>45737</v>
      </c>
      <c r="B29" s="822" t="s">
        <v>211</v>
      </c>
      <c r="C29" s="633" t="s">
        <v>212</v>
      </c>
      <c r="D29" s="825">
        <v>4500160943</v>
      </c>
      <c r="E29" s="633" t="s">
        <v>213</v>
      </c>
      <c r="F29" s="1305" t="s">
        <v>214</v>
      </c>
      <c r="G29" s="659" t="s">
        <v>101</v>
      </c>
      <c r="H29" s="633" t="s">
        <v>102</v>
      </c>
      <c r="I29" s="633">
        <v>608</v>
      </c>
      <c r="J29" s="633">
        <v>0</v>
      </c>
      <c r="K29" s="633">
        <v>4</v>
      </c>
      <c r="L29" s="827">
        <f t="shared" si="0"/>
        <v>152</v>
      </c>
      <c r="M29" s="828">
        <v>45792</v>
      </c>
      <c r="N29" s="828">
        <v>45789</v>
      </c>
      <c r="O29" s="824"/>
      <c r="P29" s="824" t="s">
        <v>113</v>
      </c>
      <c r="Q29" s="633"/>
      <c r="R29" s="829">
        <v>45737</v>
      </c>
      <c r="S29" s="829" t="s">
        <v>70</v>
      </c>
      <c r="T29" s="829">
        <v>45755</v>
      </c>
      <c r="U29" s="829"/>
      <c r="V29" s="829" t="s">
        <v>215</v>
      </c>
      <c r="W29" s="829"/>
      <c r="X29" s="822" t="s">
        <v>216</v>
      </c>
      <c r="Y29" s="828" t="s">
        <v>217</v>
      </c>
      <c r="Z29" s="1306">
        <v>5</v>
      </c>
      <c r="AA29" s="831">
        <f t="shared" si="9"/>
        <v>3040</v>
      </c>
      <c r="AC29" s="1307" t="s">
        <v>218</v>
      </c>
      <c r="AD29" s="209" t="s">
        <v>101</v>
      </c>
      <c r="AE29" s="633" t="s">
        <v>82</v>
      </c>
      <c r="AF29" s="633"/>
      <c r="AG29" s="618" t="s">
        <v>74</v>
      </c>
      <c r="AH29" s="618"/>
      <c r="AI29" s="1308">
        <v>608</v>
      </c>
      <c r="AJ29" s="824">
        <f t="shared" si="6"/>
        <v>0</v>
      </c>
      <c r="AK29" s="633"/>
      <c r="AL29" s="633"/>
      <c r="AM29" s="633"/>
      <c r="AN29" s="825">
        <f t="shared" si="1"/>
        <v>608</v>
      </c>
      <c r="AO29" s="687"/>
      <c r="AP29" s="687"/>
      <c r="AQ29" s="687"/>
      <c r="AR29" s="825"/>
      <c r="AS29" s="687">
        <f>I29</f>
        <v>608</v>
      </c>
      <c r="AT29" s="687"/>
      <c r="AU29" s="825">
        <f t="shared" si="7"/>
        <v>608</v>
      </c>
      <c r="AV29" s="825"/>
      <c r="AW29" s="825">
        <f t="shared" si="10"/>
        <v>608</v>
      </c>
      <c r="AX29" s="825"/>
      <c r="AY29" s="1305"/>
      <c r="AZ29" s="1305"/>
      <c r="BA29" s="1305"/>
      <c r="BB29" s="1305"/>
      <c r="BC29" s="1305"/>
      <c r="BD29" s="1305"/>
      <c r="BE29" s="1305"/>
      <c r="BF29" s="1305"/>
      <c r="BG29" s="1305"/>
      <c r="BH29" s="825"/>
      <c r="BI29" s="825">
        <f>I29/4</f>
        <v>152</v>
      </c>
      <c r="BJ29" s="1305"/>
      <c r="BK29" s="1305"/>
      <c r="BL29" s="1305"/>
      <c r="BM29" s="1305"/>
      <c r="BN29" s="1305"/>
      <c r="BO29" s="1305"/>
      <c r="BP29" s="1305"/>
    </row>
    <row r="30" s="1265" customFormat="1" ht="31" customHeight="1" spans="1:68">
      <c r="A30" s="1304">
        <v>45742</v>
      </c>
      <c r="B30" s="822" t="s">
        <v>219</v>
      </c>
      <c r="C30" s="633" t="s">
        <v>220</v>
      </c>
      <c r="D30" s="825">
        <v>4500161426</v>
      </c>
      <c r="E30" s="633" t="s">
        <v>221</v>
      </c>
      <c r="F30" s="1305" t="s">
        <v>222</v>
      </c>
      <c r="G30" s="659" t="s">
        <v>101</v>
      </c>
      <c r="H30" s="633" t="s">
        <v>102</v>
      </c>
      <c r="I30" s="633">
        <v>240</v>
      </c>
      <c r="J30" s="633">
        <v>0</v>
      </c>
      <c r="K30" s="633">
        <v>4</v>
      </c>
      <c r="L30" s="827">
        <f t="shared" si="0"/>
        <v>60</v>
      </c>
      <c r="M30" s="828">
        <v>45792</v>
      </c>
      <c r="N30" s="828">
        <v>45789</v>
      </c>
      <c r="O30" s="824"/>
      <c r="P30" s="824" t="s">
        <v>113</v>
      </c>
      <c r="Q30" s="633"/>
      <c r="R30" s="829">
        <v>45742</v>
      </c>
      <c r="S30" s="829" t="s">
        <v>70</v>
      </c>
      <c r="T30" s="829">
        <v>45755</v>
      </c>
      <c r="U30" s="829"/>
      <c r="V30" s="829"/>
      <c r="W30" s="829"/>
      <c r="X30" s="822" t="s">
        <v>223</v>
      </c>
      <c r="Y30" s="828" t="s">
        <v>217</v>
      </c>
      <c r="Z30" s="1306">
        <v>5</v>
      </c>
      <c r="AA30" s="831">
        <f t="shared" si="9"/>
        <v>1200</v>
      </c>
      <c r="AC30" s="1307" t="s">
        <v>224</v>
      </c>
      <c r="AD30" s="633" t="s">
        <v>101</v>
      </c>
      <c r="AE30" s="633" t="s">
        <v>82</v>
      </c>
      <c r="AF30" s="633"/>
      <c r="AG30" s="618" t="s">
        <v>74</v>
      </c>
      <c r="AH30" s="618"/>
      <c r="AI30" s="1308">
        <v>240</v>
      </c>
      <c r="AJ30" s="824">
        <f t="shared" si="6"/>
        <v>0</v>
      </c>
      <c r="AK30" s="633"/>
      <c r="AL30" s="633"/>
      <c r="AM30" s="633"/>
      <c r="AN30" s="825">
        <f t="shared" si="1"/>
        <v>240</v>
      </c>
      <c r="AO30" s="687"/>
      <c r="AP30" s="687"/>
      <c r="AQ30" s="687"/>
      <c r="AR30" s="825">
        <f t="shared" si="8"/>
        <v>240</v>
      </c>
      <c r="AS30" s="687"/>
      <c r="AT30" s="687"/>
      <c r="AU30" s="825">
        <f t="shared" si="7"/>
        <v>240</v>
      </c>
      <c r="AV30" s="825"/>
      <c r="AW30" s="825">
        <f t="shared" si="10"/>
        <v>240</v>
      </c>
      <c r="AX30" s="825"/>
      <c r="AY30" s="1305"/>
      <c r="AZ30" s="1305"/>
      <c r="BA30" s="1305"/>
      <c r="BB30" s="1305"/>
      <c r="BC30" s="1305"/>
      <c r="BD30" s="1305"/>
      <c r="BE30" s="1305"/>
      <c r="BF30" s="1305"/>
      <c r="BG30" s="1305"/>
      <c r="BH30" s="1305"/>
      <c r="BI30" s="825">
        <f>I30/4</f>
        <v>60</v>
      </c>
      <c r="BJ30" s="1305"/>
      <c r="BK30" s="1305"/>
      <c r="BL30" s="1305"/>
      <c r="BM30" s="1305"/>
      <c r="BN30" s="1305"/>
      <c r="BO30" s="1305"/>
      <c r="BP30" s="1305"/>
    </row>
    <row r="31" s="1265" customFormat="1" ht="31" customHeight="1" spans="1:68">
      <c r="A31" s="1304">
        <v>45757</v>
      </c>
      <c r="B31" s="822" t="s">
        <v>225</v>
      </c>
      <c r="C31" s="633" t="s">
        <v>226</v>
      </c>
      <c r="D31" s="825">
        <v>4500163177</v>
      </c>
      <c r="E31" s="633" t="s">
        <v>227</v>
      </c>
      <c r="F31" s="1305" t="s">
        <v>228</v>
      </c>
      <c r="G31" s="659" t="s">
        <v>68</v>
      </c>
      <c r="H31" s="633" t="s">
        <v>69</v>
      </c>
      <c r="I31" s="633">
        <v>720</v>
      </c>
      <c r="J31" s="633">
        <v>0</v>
      </c>
      <c r="K31" s="633">
        <v>12</v>
      </c>
      <c r="L31" s="827">
        <f t="shared" si="0"/>
        <v>60</v>
      </c>
      <c r="M31" s="828">
        <v>45792</v>
      </c>
      <c r="N31" s="828">
        <v>45789</v>
      </c>
      <c r="O31" s="824"/>
      <c r="P31" s="824" t="s">
        <v>113</v>
      </c>
      <c r="Q31" s="633"/>
      <c r="R31" s="829">
        <v>45758</v>
      </c>
      <c r="S31" s="829" t="s">
        <v>70</v>
      </c>
      <c r="T31" s="829">
        <v>45762</v>
      </c>
      <c r="U31" s="829"/>
      <c r="V31" s="829"/>
      <c r="W31" s="829"/>
      <c r="X31" s="822" t="s">
        <v>229</v>
      </c>
      <c r="Y31" s="828" t="s">
        <v>230</v>
      </c>
      <c r="Z31" s="1306">
        <v>4.18</v>
      </c>
      <c r="AA31" s="831">
        <f t="shared" si="9"/>
        <v>3009.6</v>
      </c>
      <c r="AC31" s="1307" t="s">
        <v>231</v>
      </c>
      <c r="AD31" s="633" t="s">
        <v>68</v>
      </c>
      <c r="AE31" s="633" t="s">
        <v>82</v>
      </c>
      <c r="AF31" s="633"/>
      <c r="AG31" s="618" t="s">
        <v>74</v>
      </c>
      <c r="AH31" s="618"/>
      <c r="AI31" s="1308" t="s">
        <v>87</v>
      </c>
      <c r="AJ31" s="824" t="e">
        <f t="shared" si="6"/>
        <v>#VALUE!</v>
      </c>
      <c r="AK31" s="633"/>
      <c r="AL31" s="633"/>
      <c r="AM31" s="633"/>
      <c r="AN31" s="825">
        <f t="shared" si="1"/>
        <v>720</v>
      </c>
      <c r="AO31" s="687"/>
      <c r="AP31" s="687"/>
      <c r="AQ31" s="687"/>
      <c r="AR31" s="825">
        <f t="shared" si="8"/>
        <v>720</v>
      </c>
      <c r="AS31" s="687"/>
      <c r="AT31" s="687"/>
      <c r="AU31" s="825">
        <f t="shared" si="7"/>
        <v>720</v>
      </c>
      <c r="AV31" s="825"/>
      <c r="AW31" s="825">
        <f t="shared" si="10"/>
        <v>720</v>
      </c>
      <c r="AX31" s="825"/>
      <c r="AY31" s="1305"/>
      <c r="AZ31" s="1305"/>
      <c r="BA31" s="1305"/>
      <c r="BB31" s="1305"/>
      <c r="BC31" s="1305"/>
      <c r="BD31" s="1305"/>
      <c r="BE31" s="1305"/>
      <c r="BF31" s="1305"/>
      <c r="BG31" s="1305"/>
      <c r="BH31" s="1305"/>
      <c r="BI31" s="1305"/>
      <c r="BJ31" s="1305"/>
      <c r="BK31" s="1305"/>
      <c r="BL31" s="1305"/>
      <c r="BM31" s="1305"/>
      <c r="BN31" s="1305"/>
      <c r="BO31" s="1305"/>
      <c r="BP31" s="1305"/>
    </row>
    <row r="32" s="1265" customFormat="1" ht="31" customHeight="1" spans="1:68">
      <c r="A32" s="1304">
        <v>45733</v>
      </c>
      <c r="B32" s="822" t="s">
        <v>169</v>
      </c>
      <c r="C32" s="633" t="s">
        <v>170</v>
      </c>
      <c r="D32" s="825">
        <v>4500160504</v>
      </c>
      <c r="E32" s="633">
        <v>9900923472</v>
      </c>
      <c r="F32" s="1305" t="s">
        <v>232</v>
      </c>
      <c r="G32" s="659" t="s">
        <v>172</v>
      </c>
      <c r="H32" s="633" t="s">
        <v>112</v>
      </c>
      <c r="I32" s="633">
        <v>10</v>
      </c>
      <c r="J32" s="633">
        <v>0</v>
      </c>
      <c r="K32" s="633">
        <v>2</v>
      </c>
      <c r="L32" s="827">
        <f t="shared" si="0"/>
        <v>5</v>
      </c>
      <c r="M32" s="828">
        <v>45793</v>
      </c>
      <c r="N32" s="828">
        <v>45789</v>
      </c>
      <c r="O32" s="824" t="s">
        <v>233</v>
      </c>
      <c r="P32" s="824" t="s">
        <v>113</v>
      </c>
      <c r="Q32" s="633"/>
      <c r="R32" s="829">
        <v>45748</v>
      </c>
      <c r="S32" s="829" t="s">
        <v>70</v>
      </c>
      <c r="T32" s="829">
        <v>45734</v>
      </c>
      <c r="U32" s="829"/>
      <c r="V32" s="829"/>
      <c r="W32" s="829"/>
      <c r="X32" s="628" t="s">
        <v>234</v>
      </c>
      <c r="Y32" s="828" t="s">
        <v>175</v>
      </c>
      <c r="Z32" s="1306">
        <v>4.1</v>
      </c>
      <c r="AA32" s="831">
        <f t="shared" si="9"/>
        <v>41</v>
      </c>
      <c r="AC32" s="1307" t="s">
        <v>235</v>
      </c>
      <c r="AD32" s="633" t="s">
        <v>172</v>
      </c>
      <c r="AE32" s="633" t="s">
        <v>82</v>
      </c>
      <c r="AF32" s="633"/>
      <c r="AG32" s="618" t="s">
        <v>74</v>
      </c>
      <c r="AH32" s="618"/>
      <c r="AI32" s="1308">
        <v>10</v>
      </c>
      <c r="AJ32" s="824">
        <f t="shared" si="6"/>
        <v>0</v>
      </c>
      <c r="AK32" s="633"/>
      <c r="AL32" s="633"/>
      <c r="AM32" s="633"/>
      <c r="AN32" s="825">
        <f t="shared" si="1"/>
        <v>10</v>
      </c>
      <c r="AO32" s="687"/>
      <c r="AP32" s="687"/>
      <c r="AQ32" s="687"/>
      <c r="AR32" s="825"/>
      <c r="AS32" s="687">
        <f>I32</f>
        <v>10</v>
      </c>
      <c r="AT32" s="687"/>
      <c r="AU32" s="825">
        <f t="shared" si="7"/>
        <v>10</v>
      </c>
      <c r="AV32" s="825"/>
      <c r="AW32" s="825">
        <f t="shared" si="10"/>
        <v>10</v>
      </c>
      <c r="AX32" s="825"/>
      <c r="AY32" s="1305"/>
      <c r="AZ32" s="1305"/>
      <c r="BA32" s="1305"/>
      <c r="BB32" s="1305"/>
      <c r="BC32" s="1305"/>
      <c r="BD32" s="1305"/>
      <c r="BE32" s="1305"/>
      <c r="BF32" s="1305"/>
      <c r="BG32" s="1305"/>
      <c r="BH32" s="1305"/>
      <c r="BI32" s="1305"/>
      <c r="BJ32" s="1305"/>
      <c r="BK32" s="1305"/>
      <c r="BL32" s="1305"/>
      <c r="BM32" s="1305"/>
      <c r="BN32" s="1305"/>
      <c r="BO32" s="1305"/>
      <c r="BP32" s="1305"/>
    </row>
    <row r="33" s="1265" customFormat="1" ht="31" customHeight="1" spans="1:68">
      <c r="A33" s="1304">
        <v>45733</v>
      </c>
      <c r="B33" s="822" t="s">
        <v>169</v>
      </c>
      <c r="C33" s="633" t="s">
        <v>170</v>
      </c>
      <c r="D33" s="825">
        <v>4500160504</v>
      </c>
      <c r="E33" s="633">
        <v>9900924260</v>
      </c>
      <c r="F33" s="1305" t="s">
        <v>236</v>
      </c>
      <c r="G33" s="659" t="s">
        <v>172</v>
      </c>
      <c r="H33" s="633" t="s">
        <v>112</v>
      </c>
      <c r="I33" s="633">
        <v>1996</v>
      </c>
      <c r="J33" s="633">
        <v>0</v>
      </c>
      <c r="K33" s="633">
        <v>2</v>
      </c>
      <c r="L33" s="827">
        <f t="shared" si="0"/>
        <v>998</v>
      </c>
      <c r="M33" s="828">
        <v>45793</v>
      </c>
      <c r="N33" s="828">
        <v>45789</v>
      </c>
      <c r="O33" s="824" t="s">
        <v>233</v>
      </c>
      <c r="P33" s="824" t="s">
        <v>113</v>
      </c>
      <c r="Q33" s="633"/>
      <c r="R33" s="829">
        <v>45748</v>
      </c>
      <c r="S33" s="829" t="s">
        <v>70</v>
      </c>
      <c r="T33" s="829">
        <v>45734</v>
      </c>
      <c r="U33" s="829"/>
      <c r="V33" s="829"/>
      <c r="W33" s="829"/>
      <c r="X33" s="628" t="s">
        <v>174</v>
      </c>
      <c r="Y33" s="828" t="s">
        <v>175</v>
      </c>
      <c r="Z33" s="1306">
        <v>4.1</v>
      </c>
      <c r="AA33" s="831">
        <f t="shared" si="9"/>
        <v>8183.6</v>
      </c>
      <c r="AC33" s="1307" t="s">
        <v>176</v>
      </c>
      <c r="AD33" s="633" t="s">
        <v>172</v>
      </c>
      <c r="AE33" s="633" t="s">
        <v>82</v>
      </c>
      <c r="AF33" s="633"/>
      <c r="AG33" s="618" t="s">
        <v>74</v>
      </c>
      <c r="AH33" s="618"/>
      <c r="AI33" s="1308">
        <f>1968+28</f>
        <v>1996</v>
      </c>
      <c r="AJ33" s="824">
        <f t="shared" si="6"/>
        <v>0</v>
      </c>
      <c r="AK33" s="633"/>
      <c r="AL33" s="633"/>
      <c r="AM33" s="633"/>
      <c r="AN33" s="825">
        <f t="shared" si="1"/>
        <v>1996</v>
      </c>
      <c r="AO33" s="687"/>
      <c r="AP33" s="687"/>
      <c r="AQ33" s="687"/>
      <c r="AR33" s="825"/>
      <c r="AS33" s="687">
        <f>I33</f>
        <v>1996</v>
      </c>
      <c r="AT33" s="687"/>
      <c r="AU33" s="825">
        <f t="shared" si="7"/>
        <v>1996</v>
      </c>
      <c r="AV33" s="825"/>
      <c r="AW33" s="825">
        <f t="shared" si="10"/>
        <v>1996</v>
      </c>
      <c r="AX33" s="825"/>
      <c r="AY33" s="1305"/>
      <c r="AZ33" s="1305"/>
      <c r="BA33" s="1305"/>
      <c r="BB33" s="1305"/>
      <c r="BC33" s="1305"/>
      <c r="BD33" s="1305"/>
      <c r="BE33" s="1305"/>
      <c r="BF33" s="1305"/>
      <c r="BG33" s="1305"/>
      <c r="BH33" s="1305"/>
      <c r="BI33" s="1305"/>
      <c r="BJ33" s="1305"/>
      <c r="BK33" s="1305"/>
      <c r="BL33" s="1305"/>
      <c r="BM33" s="1305"/>
      <c r="BN33" s="1305"/>
      <c r="BO33" s="1305"/>
      <c r="BP33" s="1305"/>
    </row>
    <row r="34" s="1265" customFormat="1" ht="31" customHeight="1" spans="1:68">
      <c r="A34" s="1304">
        <v>45744</v>
      </c>
      <c r="B34" s="822" t="s">
        <v>143</v>
      </c>
      <c r="C34" s="633" t="s">
        <v>98</v>
      </c>
      <c r="D34" s="825">
        <v>4500161761</v>
      </c>
      <c r="E34" s="1413" t="s">
        <v>237</v>
      </c>
      <c r="F34" s="1305" t="s">
        <v>238</v>
      </c>
      <c r="G34" s="659" t="s">
        <v>101</v>
      </c>
      <c r="H34" s="633" t="s">
        <v>102</v>
      </c>
      <c r="I34" s="633">
        <v>912</v>
      </c>
      <c r="J34" s="633">
        <v>0</v>
      </c>
      <c r="K34" s="633">
        <v>4</v>
      </c>
      <c r="L34" s="827">
        <f t="shared" si="0"/>
        <v>228</v>
      </c>
      <c r="M34" s="828">
        <v>45793</v>
      </c>
      <c r="N34" s="828">
        <v>45789</v>
      </c>
      <c r="O34" s="824" t="s">
        <v>239</v>
      </c>
      <c r="P34" s="824" t="s">
        <v>113</v>
      </c>
      <c r="Q34" s="633"/>
      <c r="R34" s="829" t="s">
        <v>147</v>
      </c>
      <c r="S34" s="829" t="s">
        <v>70</v>
      </c>
      <c r="T34" s="829" t="s">
        <v>148</v>
      </c>
      <c r="U34" s="829"/>
      <c r="V34" s="774" t="s">
        <v>148</v>
      </c>
      <c r="W34" s="829"/>
      <c r="X34" s="822" t="s">
        <v>149</v>
      </c>
      <c r="Y34" s="828" t="s">
        <v>106</v>
      </c>
      <c r="Z34" s="1306">
        <v>5</v>
      </c>
      <c r="AA34" s="831">
        <f t="shared" si="9"/>
        <v>4560</v>
      </c>
      <c r="AC34" s="632"/>
      <c r="AD34" s="633" t="s">
        <v>101</v>
      </c>
      <c r="AE34" s="633" t="s">
        <v>82</v>
      </c>
      <c r="AF34" s="633"/>
      <c r="AG34" s="618" t="s">
        <v>74</v>
      </c>
      <c r="AH34" s="618"/>
      <c r="AI34" s="1308">
        <v>912</v>
      </c>
      <c r="AJ34" s="824">
        <f t="shared" si="6"/>
        <v>0</v>
      </c>
      <c r="AK34" s="633"/>
      <c r="AL34" s="633"/>
      <c r="AM34" s="633"/>
      <c r="AN34" s="825">
        <f t="shared" si="1"/>
        <v>912</v>
      </c>
      <c r="AO34" s="687"/>
      <c r="AP34" s="687"/>
      <c r="AQ34" s="687"/>
      <c r="AR34" s="825">
        <f>I34</f>
        <v>912</v>
      </c>
      <c r="AS34" s="687"/>
      <c r="AT34" s="687"/>
      <c r="AU34" s="825">
        <f t="shared" si="7"/>
        <v>912</v>
      </c>
      <c r="AV34" s="825"/>
      <c r="AW34" s="825">
        <f t="shared" si="10"/>
        <v>912</v>
      </c>
      <c r="AX34" s="825"/>
      <c r="AY34" s="1305"/>
      <c r="AZ34" s="1305"/>
      <c r="BA34" s="1305"/>
      <c r="BB34" s="1305"/>
      <c r="BC34" s="1305"/>
      <c r="BD34" s="1305"/>
      <c r="BE34" s="1305"/>
      <c r="BF34" s="1305"/>
      <c r="BG34" s="1305"/>
      <c r="BH34" s="825">
        <f>I34/4</f>
        <v>228</v>
      </c>
      <c r="BI34" s="1305"/>
      <c r="BJ34" s="1305"/>
      <c r="BK34" s="1305"/>
      <c r="BL34" s="1305"/>
      <c r="BM34" s="1305"/>
      <c r="BN34" s="1305"/>
      <c r="BO34" s="1305"/>
      <c r="BP34" s="1305"/>
    </row>
    <row r="35" s="1265" customFormat="1" ht="31" customHeight="1" spans="1:68">
      <c r="A35" s="1304">
        <v>45742</v>
      </c>
      <c r="B35" s="822" t="s">
        <v>240</v>
      </c>
      <c r="C35" s="633" t="s">
        <v>241</v>
      </c>
      <c r="D35" s="825">
        <v>4500160993</v>
      </c>
      <c r="E35" s="633">
        <v>11098</v>
      </c>
      <c r="F35" s="1305" t="s">
        <v>242</v>
      </c>
      <c r="G35" s="659" t="s">
        <v>68</v>
      </c>
      <c r="H35" s="633" t="s">
        <v>69</v>
      </c>
      <c r="I35" s="633">
        <v>240</v>
      </c>
      <c r="J35" s="633">
        <v>0</v>
      </c>
      <c r="K35" s="633">
        <v>12</v>
      </c>
      <c r="L35" s="827">
        <f t="shared" si="0"/>
        <v>20</v>
      </c>
      <c r="M35" s="828">
        <v>45793</v>
      </c>
      <c r="N35" s="828">
        <v>45789</v>
      </c>
      <c r="O35" s="824"/>
      <c r="P35" s="824" t="s">
        <v>113</v>
      </c>
      <c r="Q35" s="633"/>
      <c r="R35" s="829">
        <v>45758</v>
      </c>
      <c r="S35" s="829" t="s">
        <v>70</v>
      </c>
      <c r="T35" s="829">
        <v>45762</v>
      </c>
      <c r="U35" s="829"/>
      <c r="V35" s="829"/>
      <c r="W35" s="829"/>
      <c r="X35" s="628" t="s">
        <v>243</v>
      </c>
      <c r="Y35" s="828" t="s">
        <v>244</v>
      </c>
      <c r="Z35" s="1306">
        <v>4.1</v>
      </c>
      <c r="AA35" s="831">
        <f t="shared" si="9"/>
        <v>984</v>
      </c>
      <c r="AC35" s="1307" t="s">
        <v>245</v>
      </c>
      <c r="AD35" s="633" t="s">
        <v>184</v>
      </c>
      <c r="AE35" s="633" t="s">
        <v>82</v>
      </c>
      <c r="AF35" s="633"/>
      <c r="AG35" s="618" t="s">
        <v>74</v>
      </c>
      <c r="AH35" s="618"/>
      <c r="AI35" s="1308">
        <v>240</v>
      </c>
      <c r="AJ35" s="824">
        <f t="shared" si="6"/>
        <v>0</v>
      </c>
      <c r="AK35" s="633"/>
      <c r="AL35" s="633"/>
      <c r="AM35" s="633"/>
      <c r="AN35" s="825">
        <f t="shared" si="1"/>
        <v>240</v>
      </c>
      <c r="AO35" s="687"/>
      <c r="AP35" s="687"/>
      <c r="AQ35" s="687"/>
      <c r="AR35" s="825"/>
      <c r="AS35" s="687">
        <f>I35</f>
        <v>240</v>
      </c>
      <c r="AT35" s="687"/>
      <c r="AU35" s="825">
        <f t="shared" si="7"/>
        <v>240</v>
      </c>
      <c r="AV35" s="825"/>
      <c r="AW35" s="825">
        <f t="shared" si="10"/>
        <v>240</v>
      </c>
      <c r="AX35" s="825"/>
      <c r="AY35" s="1305"/>
      <c r="AZ35" s="1305"/>
      <c r="BA35" s="1305"/>
      <c r="BB35" s="1305"/>
      <c r="BC35" s="1305"/>
      <c r="BD35" s="1305"/>
      <c r="BE35" s="1305"/>
      <c r="BF35" s="1305"/>
      <c r="BG35" s="1305"/>
      <c r="BH35" s="1305"/>
      <c r="BI35" s="1305"/>
      <c r="BJ35" s="1305"/>
      <c r="BK35" s="1305"/>
      <c r="BL35" s="1305"/>
      <c r="BM35" s="1305"/>
      <c r="BN35" s="1305"/>
      <c r="BO35" s="1305"/>
      <c r="BP35" s="1305"/>
    </row>
    <row r="36" s="1265" customFormat="1" ht="31" customHeight="1" spans="1:68">
      <c r="A36" s="1304">
        <v>45727</v>
      </c>
      <c r="B36" s="822" t="s">
        <v>246</v>
      </c>
      <c r="C36" s="633" t="s">
        <v>98</v>
      </c>
      <c r="D36" s="825">
        <v>4500159604</v>
      </c>
      <c r="E36" s="633" t="s">
        <v>247</v>
      </c>
      <c r="F36" s="1305" t="s">
        <v>248</v>
      </c>
      <c r="G36" s="659" t="s">
        <v>249</v>
      </c>
      <c r="H36" s="633" t="s">
        <v>250</v>
      </c>
      <c r="I36" s="633">
        <v>4704</v>
      </c>
      <c r="J36" s="633">
        <v>0</v>
      </c>
      <c r="K36" s="633">
        <v>4</v>
      </c>
      <c r="L36" s="827">
        <f t="shared" si="0"/>
        <v>1176</v>
      </c>
      <c r="M36" s="828">
        <v>45777</v>
      </c>
      <c r="N36" s="828">
        <v>45789</v>
      </c>
      <c r="O36" s="824"/>
      <c r="P36" s="824" t="s">
        <v>113</v>
      </c>
      <c r="Q36" s="633"/>
      <c r="R36" s="829">
        <v>45743</v>
      </c>
      <c r="S36" s="829" t="s">
        <v>104</v>
      </c>
      <c r="T36" s="829">
        <v>45749</v>
      </c>
      <c r="U36" s="829"/>
      <c r="V36" s="829"/>
      <c r="W36" s="829"/>
      <c r="X36" s="822" t="s">
        <v>251</v>
      </c>
      <c r="Y36" s="828" t="s">
        <v>252</v>
      </c>
      <c r="Z36" s="1306">
        <v>5.53</v>
      </c>
      <c r="AA36" s="831">
        <f t="shared" si="9"/>
        <v>26013.12</v>
      </c>
      <c r="AC36" s="632"/>
      <c r="AD36" s="633" t="s">
        <v>249</v>
      </c>
      <c r="AE36" s="633" t="s">
        <v>82</v>
      </c>
      <c r="AF36" s="633"/>
      <c r="AG36" s="618" t="s">
        <v>74</v>
      </c>
      <c r="AH36" s="618"/>
      <c r="AI36" s="1308" t="s">
        <v>87</v>
      </c>
      <c r="AJ36" s="824" t="e">
        <f t="shared" si="6"/>
        <v>#VALUE!</v>
      </c>
      <c r="AK36" s="633"/>
      <c r="AL36" s="633"/>
      <c r="AM36" s="633"/>
      <c r="AN36" s="825"/>
      <c r="AO36" s="687"/>
      <c r="AP36" s="687">
        <f>I36</f>
        <v>4704</v>
      </c>
      <c r="AQ36" s="687"/>
      <c r="AR36" s="825"/>
      <c r="AS36" s="687"/>
      <c r="AT36" s="687"/>
      <c r="AU36" s="825"/>
      <c r="AV36" s="825"/>
      <c r="AW36" s="825">
        <f t="shared" si="10"/>
        <v>4704</v>
      </c>
      <c r="AX36" s="825"/>
      <c r="AY36" s="1305"/>
      <c r="AZ36" s="1305"/>
      <c r="BA36" s="1305"/>
      <c r="BB36" s="1305"/>
      <c r="BC36" s="1305"/>
      <c r="BD36" s="1305"/>
      <c r="BE36" s="1305"/>
      <c r="BF36" s="1305">
        <f>I36</f>
        <v>4704</v>
      </c>
      <c r="BG36" s="1305">
        <f>I36</f>
        <v>4704</v>
      </c>
      <c r="BH36" s="825">
        <f>I36/4</f>
        <v>1176</v>
      </c>
      <c r="BI36" s="1305"/>
      <c r="BJ36" s="1305"/>
      <c r="BK36" s="1305"/>
      <c r="BL36" s="1305"/>
      <c r="BM36" s="1305"/>
      <c r="BN36" s="1305"/>
      <c r="BO36" s="1305"/>
      <c r="BP36" s="1305"/>
    </row>
    <row r="37" s="1265" customFormat="1" ht="31" customHeight="1" spans="1:68">
      <c r="A37" s="1304">
        <v>45709</v>
      </c>
      <c r="B37" s="822" t="s">
        <v>246</v>
      </c>
      <c r="C37" s="633" t="s">
        <v>98</v>
      </c>
      <c r="D37" s="825">
        <v>4500158149</v>
      </c>
      <c r="E37" s="633" t="s">
        <v>253</v>
      </c>
      <c r="F37" s="1305" t="s">
        <v>254</v>
      </c>
      <c r="G37" s="659" t="s">
        <v>249</v>
      </c>
      <c r="H37" s="633" t="s">
        <v>250</v>
      </c>
      <c r="I37" s="633">
        <v>3416</v>
      </c>
      <c r="J37" s="633">
        <v>0</v>
      </c>
      <c r="K37" s="633">
        <v>4</v>
      </c>
      <c r="L37" s="827">
        <f t="shared" si="0"/>
        <v>854</v>
      </c>
      <c r="M37" s="828">
        <v>45775</v>
      </c>
      <c r="N37" s="828">
        <v>45789</v>
      </c>
      <c r="O37" s="824" t="s">
        <v>146</v>
      </c>
      <c r="P37" s="824" t="s">
        <v>113</v>
      </c>
      <c r="Q37" s="633"/>
      <c r="R37" s="829">
        <v>45748</v>
      </c>
      <c r="S37" s="829" t="s">
        <v>104</v>
      </c>
      <c r="T37" s="829">
        <v>45749</v>
      </c>
      <c r="U37" s="829"/>
      <c r="V37" s="829"/>
      <c r="W37" s="829"/>
      <c r="X37" s="822" t="s">
        <v>255</v>
      </c>
      <c r="Y37" s="828" t="s">
        <v>252</v>
      </c>
      <c r="Z37" s="1306">
        <v>5.53</v>
      </c>
      <c r="AA37" s="831">
        <f t="shared" si="9"/>
        <v>18890.48</v>
      </c>
      <c r="AC37" s="632"/>
      <c r="AD37" s="633" t="s">
        <v>249</v>
      </c>
      <c r="AE37" s="633" t="s">
        <v>82</v>
      </c>
      <c r="AF37" s="633"/>
      <c r="AG37" s="618" t="s">
        <v>74</v>
      </c>
      <c r="AH37" s="618"/>
      <c r="AI37" s="1308" t="s">
        <v>87</v>
      </c>
      <c r="AJ37" s="824" t="e">
        <f t="shared" si="6"/>
        <v>#VALUE!</v>
      </c>
      <c r="AK37" s="633"/>
      <c r="AL37" s="633"/>
      <c r="AM37" s="633"/>
      <c r="AN37" s="825"/>
      <c r="AO37" s="687"/>
      <c r="AP37" s="687">
        <f>I37</f>
        <v>3416</v>
      </c>
      <c r="AQ37" s="687"/>
      <c r="AR37" s="825"/>
      <c r="AS37" s="687"/>
      <c r="AT37" s="687"/>
      <c r="AU37" s="825"/>
      <c r="AV37" s="825"/>
      <c r="AW37" s="825">
        <f t="shared" si="10"/>
        <v>3416</v>
      </c>
      <c r="AX37" s="825"/>
      <c r="AY37" s="1305"/>
      <c r="AZ37" s="1305"/>
      <c r="BA37" s="1305"/>
      <c r="BB37" s="1305"/>
      <c r="BC37" s="1305"/>
      <c r="BD37" s="1305"/>
      <c r="BE37" s="1305"/>
      <c r="BF37" s="1305">
        <f>I37</f>
        <v>3416</v>
      </c>
      <c r="BG37" s="1305">
        <f>I37</f>
        <v>3416</v>
      </c>
      <c r="BH37" s="825">
        <f>I37/4</f>
        <v>854</v>
      </c>
      <c r="BI37" s="1305"/>
      <c r="BJ37" s="1305"/>
      <c r="BK37" s="1305"/>
      <c r="BL37" s="1305"/>
      <c r="BM37" s="1305"/>
      <c r="BN37" s="1305"/>
      <c r="BO37" s="1305"/>
      <c r="BP37" s="1305"/>
    </row>
    <row r="38" s="1265" customFormat="1" ht="31" customHeight="1" spans="1:68">
      <c r="A38" s="1304">
        <v>45670</v>
      </c>
      <c r="B38" s="822" t="s">
        <v>256</v>
      </c>
      <c r="C38" s="633" t="s">
        <v>257</v>
      </c>
      <c r="D38" s="825">
        <v>4500155602</v>
      </c>
      <c r="E38" s="633" t="s">
        <v>258</v>
      </c>
      <c r="F38" s="1305" t="s">
        <v>259</v>
      </c>
      <c r="G38" s="659" t="s">
        <v>164</v>
      </c>
      <c r="H38" s="633" t="s">
        <v>112</v>
      </c>
      <c r="I38" s="633">
        <v>3008</v>
      </c>
      <c r="J38" s="633">
        <v>0</v>
      </c>
      <c r="K38" s="633">
        <v>8</v>
      </c>
      <c r="L38" s="827">
        <f t="shared" si="0"/>
        <v>376</v>
      </c>
      <c r="M38" s="828">
        <v>45796</v>
      </c>
      <c r="N38" s="828">
        <v>45792</v>
      </c>
      <c r="O38" s="824"/>
      <c r="P38" s="824" t="s">
        <v>113</v>
      </c>
      <c r="Q38" s="633"/>
      <c r="R38" s="829">
        <v>45670</v>
      </c>
      <c r="S38" s="829" t="s">
        <v>70</v>
      </c>
      <c r="T38" s="829" t="s">
        <v>165</v>
      </c>
      <c r="U38" s="829"/>
      <c r="V38" s="829"/>
      <c r="W38" s="829"/>
      <c r="X38" s="628" t="s">
        <v>260</v>
      </c>
      <c r="Y38" s="828" t="s">
        <v>261</v>
      </c>
      <c r="Z38" s="1306">
        <v>5</v>
      </c>
      <c r="AA38" s="831">
        <f t="shared" si="9"/>
        <v>15040</v>
      </c>
      <c r="AC38" s="1307" t="s">
        <v>262</v>
      </c>
      <c r="AD38" s="633" t="s">
        <v>164</v>
      </c>
      <c r="AE38" s="633" t="s">
        <v>82</v>
      </c>
      <c r="AF38" s="633"/>
      <c r="AG38" s="618" t="s">
        <v>74</v>
      </c>
      <c r="AH38" s="618"/>
      <c r="AI38" s="1308">
        <f>3000+8</f>
        <v>3008</v>
      </c>
      <c r="AJ38" s="824">
        <f t="shared" si="6"/>
        <v>0</v>
      </c>
      <c r="AK38" s="633"/>
      <c r="AL38" s="633"/>
      <c r="AM38" s="633"/>
      <c r="AN38" s="825">
        <f t="shared" ref="AN38:AN53" si="11">I38</f>
        <v>3008</v>
      </c>
      <c r="AO38" s="687"/>
      <c r="AP38" s="687"/>
      <c r="AQ38" s="687"/>
      <c r="AR38" s="825"/>
      <c r="AS38" s="687"/>
      <c r="AT38" s="687"/>
      <c r="AU38" s="825"/>
      <c r="AV38" s="825"/>
      <c r="AW38" s="825">
        <f t="shared" si="10"/>
        <v>3008</v>
      </c>
      <c r="AX38" s="825"/>
      <c r="AY38" s="1305"/>
      <c r="AZ38" s="1305"/>
      <c r="BA38" s="1305"/>
      <c r="BB38" s="1305"/>
      <c r="BC38" s="1305"/>
      <c r="BD38" s="825">
        <f>I38</f>
        <v>3008</v>
      </c>
      <c r="BE38" s="825">
        <f>I38</f>
        <v>3008</v>
      </c>
      <c r="BF38" s="1305"/>
      <c r="BG38" s="1305"/>
      <c r="BH38" s="1305"/>
      <c r="BI38" s="825">
        <f>I38/4</f>
        <v>752</v>
      </c>
      <c r="BJ38" s="1305"/>
      <c r="BK38" s="1305"/>
      <c r="BL38" s="1305"/>
      <c r="BM38" s="1305"/>
      <c r="BN38" s="1305"/>
      <c r="BO38" s="1305"/>
      <c r="BP38" s="1305"/>
    </row>
    <row r="39" s="1265" customFormat="1" ht="31" customHeight="1" spans="1:68">
      <c r="A39" s="1304">
        <v>45670</v>
      </c>
      <c r="B39" s="822" t="s">
        <v>256</v>
      </c>
      <c r="C39" s="633" t="s">
        <v>257</v>
      </c>
      <c r="D39" s="825">
        <v>4500155602</v>
      </c>
      <c r="E39" s="633" t="s">
        <v>263</v>
      </c>
      <c r="F39" s="1305" t="s">
        <v>264</v>
      </c>
      <c r="G39" s="659" t="s">
        <v>164</v>
      </c>
      <c r="H39" s="633" t="s">
        <v>112</v>
      </c>
      <c r="I39" s="633">
        <v>1504</v>
      </c>
      <c r="J39" s="633">
        <v>0</v>
      </c>
      <c r="K39" s="633">
        <v>8</v>
      </c>
      <c r="L39" s="827">
        <f t="shared" si="0"/>
        <v>188</v>
      </c>
      <c r="M39" s="828">
        <v>45796</v>
      </c>
      <c r="N39" s="828">
        <v>45792</v>
      </c>
      <c r="O39" s="824"/>
      <c r="P39" s="824" t="s">
        <v>113</v>
      </c>
      <c r="Q39" s="633"/>
      <c r="R39" s="829">
        <v>45670</v>
      </c>
      <c r="S39" s="829" t="s">
        <v>70</v>
      </c>
      <c r="T39" s="829" t="s">
        <v>165</v>
      </c>
      <c r="U39" s="829"/>
      <c r="V39" s="829"/>
      <c r="W39" s="829"/>
      <c r="X39" s="628" t="s">
        <v>260</v>
      </c>
      <c r="Y39" s="828" t="s">
        <v>261</v>
      </c>
      <c r="Z39" s="1306">
        <v>5</v>
      </c>
      <c r="AA39" s="831">
        <f t="shared" si="9"/>
        <v>7520</v>
      </c>
      <c r="AC39" s="1307" t="s">
        <v>265</v>
      </c>
      <c r="AD39" s="633" t="s">
        <v>164</v>
      </c>
      <c r="AE39" s="633" t="s">
        <v>82</v>
      </c>
      <c r="AF39" s="633"/>
      <c r="AG39" s="618" t="s">
        <v>74</v>
      </c>
      <c r="AH39" s="618"/>
      <c r="AI39" s="1308">
        <v>1504</v>
      </c>
      <c r="AJ39" s="824">
        <f t="shared" si="6"/>
        <v>0</v>
      </c>
      <c r="AK39" s="633"/>
      <c r="AL39" s="633"/>
      <c r="AM39" s="633"/>
      <c r="AN39" s="825">
        <f t="shared" si="11"/>
        <v>1504</v>
      </c>
      <c r="AO39" s="687"/>
      <c r="AP39" s="687"/>
      <c r="AQ39" s="687"/>
      <c r="AR39" s="825"/>
      <c r="AS39" s="687"/>
      <c r="AT39" s="687"/>
      <c r="AU39" s="825"/>
      <c r="AV39" s="825"/>
      <c r="AW39" s="825">
        <f t="shared" si="10"/>
        <v>1504</v>
      </c>
      <c r="AX39" s="825"/>
      <c r="AY39" s="1305"/>
      <c r="AZ39" s="1305"/>
      <c r="BA39" s="1305"/>
      <c r="BB39" s="1305"/>
      <c r="BC39" s="1305"/>
      <c r="BD39" s="825">
        <f>I39</f>
        <v>1504</v>
      </c>
      <c r="BE39" s="825">
        <f>I39</f>
        <v>1504</v>
      </c>
      <c r="BF39" s="1305"/>
      <c r="BG39" s="1305"/>
      <c r="BH39" s="1305"/>
      <c r="BI39" s="825">
        <f>I39/4</f>
        <v>376</v>
      </c>
      <c r="BJ39" s="1305"/>
      <c r="BK39" s="1305"/>
      <c r="BL39" s="1305"/>
      <c r="BM39" s="1305"/>
      <c r="BN39" s="1305"/>
      <c r="BO39" s="1305"/>
      <c r="BP39" s="1305"/>
    </row>
    <row r="40" s="1265" customFormat="1" ht="31" customHeight="1" spans="1:68">
      <c r="A40" s="1304">
        <v>45758</v>
      </c>
      <c r="B40" s="822" t="s">
        <v>266</v>
      </c>
      <c r="C40" s="633" t="s">
        <v>170</v>
      </c>
      <c r="D40" s="825">
        <v>4500163438</v>
      </c>
      <c r="E40" s="633">
        <v>3501527805</v>
      </c>
      <c r="F40" s="1305" t="s">
        <v>267</v>
      </c>
      <c r="G40" s="659" t="s">
        <v>68</v>
      </c>
      <c r="H40" s="633" t="s">
        <v>69</v>
      </c>
      <c r="I40" s="633">
        <v>1104</v>
      </c>
      <c r="J40" s="633">
        <v>0</v>
      </c>
      <c r="K40" s="633">
        <v>12</v>
      </c>
      <c r="L40" s="827">
        <f t="shared" si="0"/>
        <v>92</v>
      </c>
      <c r="M40" s="828">
        <v>45796</v>
      </c>
      <c r="N40" s="828">
        <v>45792</v>
      </c>
      <c r="O40" s="824" t="s">
        <v>268</v>
      </c>
      <c r="P40" s="824" t="s">
        <v>113</v>
      </c>
      <c r="Q40" s="633"/>
      <c r="R40" s="829">
        <v>45764</v>
      </c>
      <c r="S40" s="829" t="s">
        <v>70</v>
      </c>
      <c r="T40" s="829">
        <v>45764</v>
      </c>
      <c r="U40" s="829"/>
      <c r="V40" s="829"/>
      <c r="W40" s="829"/>
      <c r="X40" s="822" t="s">
        <v>269</v>
      </c>
      <c r="Y40" s="828" t="s">
        <v>270</v>
      </c>
      <c r="Z40" s="1306">
        <v>4.1</v>
      </c>
      <c r="AA40" s="831">
        <f t="shared" si="9"/>
        <v>4526.4</v>
      </c>
      <c r="AC40" s="1307" t="s">
        <v>271</v>
      </c>
      <c r="AD40" s="633" t="s">
        <v>184</v>
      </c>
      <c r="AE40" s="633" t="s">
        <v>82</v>
      </c>
      <c r="AF40" s="633"/>
      <c r="AG40" s="618" t="s">
        <v>74</v>
      </c>
      <c r="AH40" s="618"/>
      <c r="AI40" s="1308">
        <v>1104</v>
      </c>
      <c r="AJ40" s="824">
        <f t="shared" si="6"/>
        <v>0</v>
      </c>
      <c r="AK40" s="633"/>
      <c r="AL40" s="633"/>
      <c r="AM40" s="633"/>
      <c r="AN40" s="825">
        <f t="shared" si="11"/>
        <v>1104</v>
      </c>
      <c r="AO40" s="687"/>
      <c r="AP40" s="687"/>
      <c r="AQ40" s="687"/>
      <c r="AR40" s="825"/>
      <c r="AS40" s="687">
        <f>I40</f>
        <v>1104</v>
      </c>
      <c r="AT40" s="687"/>
      <c r="AU40" s="825">
        <f t="shared" ref="AU40:AU53" si="12">I40</f>
        <v>1104</v>
      </c>
      <c r="AV40" s="825"/>
      <c r="AW40" s="825">
        <f t="shared" si="10"/>
        <v>1104</v>
      </c>
      <c r="AX40" s="825"/>
      <c r="AY40" s="1305"/>
      <c r="AZ40" s="1305"/>
      <c r="BA40" s="1305"/>
      <c r="BB40" s="1305"/>
      <c r="BC40" s="1305"/>
      <c r="BD40" s="1305"/>
      <c r="BE40" s="1305"/>
      <c r="BF40" s="1305"/>
      <c r="BG40" s="1305"/>
      <c r="BH40" s="1305"/>
      <c r="BI40" s="1305"/>
      <c r="BJ40" s="1305"/>
      <c r="BK40" s="1305"/>
      <c r="BL40" s="1305"/>
      <c r="BM40" s="1305"/>
      <c r="BN40" s="1305"/>
      <c r="BO40" s="1305"/>
      <c r="BP40" s="1305"/>
    </row>
    <row r="41" s="1265" customFormat="1" ht="31" customHeight="1" spans="1:68">
      <c r="A41" s="1304">
        <v>45726</v>
      </c>
      <c r="B41" s="822" t="s">
        <v>97</v>
      </c>
      <c r="C41" s="633" t="s">
        <v>98</v>
      </c>
      <c r="D41" s="825">
        <v>4500159658</v>
      </c>
      <c r="E41" s="633" t="s">
        <v>272</v>
      </c>
      <c r="F41" s="1305" t="s">
        <v>273</v>
      </c>
      <c r="G41" s="659" t="s">
        <v>101</v>
      </c>
      <c r="H41" s="633" t="s">
        <v>102</v>
      </c>
      <c r="I41" s="633">
        <v>4960</v>
      </c>
      <c r="J41" s="633">
        <v>0</v>
      </c>
      <c r="K41" s="633">
        <v>4</v>
      </c>
      <c r="L41" s="827">
        <f t="shared" si="0"/>
        <v>1240</v>
      </c>
      <c r="M41" s="828">
        <v>45797</v>
      </c>
      <c r="N41" s="828">
        <v>45793</v>
      </c>
      <c r="O41" s="824" t="s">
        <v>274</v>
      </c>
      <c r="P41" s="824" t="s">
        <v>113</v>
      </c>
      <c r="Q41" s="633"/>
      <c r="R41" s="829">
        <v>45727</v>
      </c>
      <c r="S41" s="829" t="s">
        <v>104</v>
      </c>
      <c r="T41" s="829">
        <v>45727</v>
      </c>
      <c r="U41" s="829"/>
      <c r="V41" s="829" t="s">
        <v>191</v>
      </c>
      <c r="W41" s="829"/>
      <c r="X41" s="628" t="s">
        <v>192</v>
      </c>
      <c r="Y41" s="828" t="s">
        <v>106</v>
      </c>
      <c r="Z41" s="1306">
        <v>5</v>
      </c>
      <c r="AA41" s="831">
        <f t="shared" si="9"/>
        <v>24800</v>
      </c>
      <c r="AC41" s="632"/>
      <c r="AD41" s="633" t="s">
        <v>101</v>
      </c>
      <c r="AE41" s="633" t="s">
        <v>82</v>
      </c>
      <c r="AF41" s="633"/>
      <c r="AG41" s="618" t="s">
        <v>74</v>
      </c>
      <c r="AH41" s="618"/>
      <c r="AI41" s="1308" t="s">
        <v>87</v>
      </c>
      <c r="AJ41" s="824" t="e">
        <f t="shared" si="6"/>
        <v>#VALUE!</v>
      </c>
      <c r="AK41" s="633"/>
      <c r="AL41" s="633"/>
      <c r="AM41" s="633"/>
      <c r="AN41" s="825">
        <f t="shared" si="11"/>
        <v>4960</v>
      </c>
      <c r="AO41" s="687"/>
      <c r="AP41" s="687"/>
      <c r="AQ41" s="687"/>
      <c r="AR41" s="825">
        <f t="shared" ref="AR41:AR48" si="13">I41</f>
        <v>4960</v>
      </c>
      <c r="AS41" s="687"/>
      <c r="AT41" s="687"/>
      <c r="AU41" s="825">
        <f t="shared" si="12"/>
        <v>4960</v>
      </c>
      <c r="AV41" s="825"/>
      <c r="AW41" s="825">
        <f t="shared" si="10"/>
        <v>4960</v>
      </c>
      <c r="AX41" s="825"/>
      <c r="AY41" s="1305"/>
      <c r="AZ41" s="1305"/>
      <c r="BA41" s="1305"/>
      <c r="BB41" s="1305"/>
      <c r="BC41" s="1305"/>
      <c r="BD41" s="1305"/>
      <c r="BE41" s="1305"/>
      <c r="BF41" s="1305"/>
      <c r="BG41" s="1305"/>
      <c r="BH41" s="825">
        <f t="shared" ref="BH41:BH48" si="14">I41/4</f>
        <v>1240</v>
      </c>
      <c r="BI41" s="1305"/>
      <c r="BJ41" s="1305"/>
      <c r="BK41" s="1305"/>
      <c r="BL41" s="1305"/>
      <c r="BM41" s="1305"/>
      <c r="BN41" s="1305"/>
      <c r="BO41" s="1305"/>
      <c r="BP41" s="1305"/>
    </row>
    <row r="42" s="1265" customFormat="1" ht="31" customHeight="1" spans="1:68">
      <c r="A42" s="1304">
        <v>45726</v>
      </c>
      <c r="B42" s="822" t="s">
        <v>97</v>
      </c>
      <c r="C42" s="633" t="s">
        <v>98</v>
      </c>
      <c r="D42" s="825">
        <v>4500159658</v>
      </c>
      <c r="E42" s="633" t="s">
        <v>275</v>
      </c>
      <c r="F42" s="1305" t="s">
        <v>276</v>
      </c>
      <c r="G42" s="659" t="s">
        <v>101</v>
      </c>
      <c r="H42" s="633" t="s">
        <v>102</v>
      </c>
      <c r="I42" s="633">
        <v>4112</v>
      </c>
      <c r="J42" s="633">
        <v>0</v>
      </c>
      <c r="K42" s="633">
        <v>4</v>
      </c>
      <c r="L42" s="827">
        <f t="shared" si="0"/>
        <v>1028</v>
      </c>
      <c r="M42" s="828">
        <v>45797</v>
      </c>
      <c r="N42" s="828">
        <v>45793</v>
      </c>
      <c r="O42" s="824" t="s">
        <v>274</v>
      </c>
      <c r="P42" s="824" t="s">
        <v>113</v>
      </c>
      <c r="Q42" s="633"/>
      <c r="R42" s="829">
        <v>45727</v>
      </c>
      <c r="S42" s="829" t="s">
        <v>104</v>
      </c>
      <c r="T42" s="829">
        <v>45727</v>
      </c>
      <c r="U42" s="829"/>
      <c r="V42" s="829" t="s">
        <v>191</v>
      </c>
      <c r="W42" s="829"/>
      <c r="X42" s="628" t="s">
        <v>192</v>
      </c>
      <c r="Y42" s="828" t="s">
        <v>106</v>
      </c>
      <c r="Z42" s="1306">
        <v>5</v>
      </c>
      <c r="AA42" s="831">
        <f t="shared" si="9"/>
        <v>20560</v>
      </c>
      <c r="AC42" s="632"/>
      <c r="AD42" s="633" t="s">
        <v>101</v>
      </c>
      <c r="AE42" s="633" t="s">
        <v>82</v>
      </c>
      <c r="AF42" s="633"/>
      <c r="AG42" s="618" t="s">
        <v>74</v>
      </c>
      <c r="AH42" s="618"/>
      <c r="AI42" s="1308">
        <v>4112</v>
      </c>
      <c r="AJ42" s="824">
        <f t="shared" si="6"/>
        <v>0</v>
      </c>
      <c r="AK42" s="633"/>
      <c r="AL42" s="633"/>
      <c r="AM42" s="633"/>
      <c r="AN42" s="825">
        <f t="shared" si="11"/>
        <v>4112</v>
      </c>
      <c r="AO42" s="687"/>
      <c r="AP42" s="687"/>
      <c r="AQ42" s="687"/>
      <c r="AR42" s="825">
        <f t="shared" si="13"/>
        <v>4112</v>
      </c>
      <c r="AS42" s="687"/>
      <c r="AT42" s="687"/>
      <c r="AU42" s="825">
        <f t="shared" si="12"/>
        <v>4112</v>
      </c>
      <c r="AV42" s="825"/>
      <c r="AW42" s="825">
        <f t="shared" si="10"/>
        <v>4112</v>
      </c>
      <c r="AX42" s="825"/>
      <c r="AY42" s="1305"/>
      <c r="AZ42" s="1305"/>
      <c r="BA42" s="1305"/>
      <c r="BB42" s="1305"/>
      <c r="BC42" s="1305"/>
      <c r="BD42" s="1305"/>
      <c r="BE42" s="1305"/>
      <c r="BF42" s="1305"/>
      <c r="BG42" s="1305"/>
      <c r="BH42" s="825">
        <f t="shared" si="14"/>
        <v>1028</v>
      </c>
      <c r="BI42" s="1305"/>
      <c r="BJ42" s="1305"/>
      <c r="BK42" s="1305"/>
      <c r="BL42" s="1305"/>
      <c r="BM42" s="1305"/>
      <c r="BN42" s="1305"/>
      <c r="BO42" s="1305"/>
      <c r="BP42" s="1305"/>
    </row>
    <row r="43" s="1265" customFormat="1" ht="31" customHeight="1" spans="1:68">
      <c r="A43" s="1304">
        <v>45729</v>
      </c>
      <c r="B43" s="822" t="s">
        <v>277</v>
      </c>
      <c r="C43" s="633" t="s">
        <v>278</v>
      </c>
      <c r="D43" s="825">
        <v>4500160042</v>
      </c>
      <c r="E43" s="633">
        <v>14402521</v>
      </c>
      <c r="F43" s="1305" t="s">
        <v>279</v>
      </c>
      <c r="G43" s="659" t="s">
        <v>280</v>
      </c>
      <c r="H43" s="633" t="s">
        <v>281</v>
      </c>
      <c r="I43" s="633">
        <v>2656</v>
      </c>
      <c r="J43" s="633">
        <v>4</v>
      </c>
      <c r="K43" s="633">
        <v>16</v>
      </c>
      <c r="L43" s="827">
        <f t="shared" si="0"/>
        <v>166</v>
      </c>
      <c r="M43" s="828">
        <v>45797</v>
      </c>
      <c r="N43" s="828">
        <v>45793</v>
      </c>
      <c r="O43" s="824"/>
      <c r="P43" s="824" t="s">
        <v>113</v>
      </c>
      <c r="Q43" s="633"/>
      <c r="R43" s="829">
        <v>45740</v>
      </c>
      <c r="S43" s="829" t="s">
        <v>70</v>
      </c>
      <c r="T43" s="829" t="s">
        <v>70</v>
      </c>
      <c r="U43" s="829"/>
      <c r="V43" s="829"/>
      <c r="W43" s="829"/>
      <c r="X43" s="628" t="s">
        <v>282</v>
      </c>
      <c r="Y43" s="828" t="s">
        <v>283</v>
      </c>
      <c r="Z43" s="1306">
        <v>5</v>
      </c>
      <c r="AA43" s="831">
        <f t="shared" si="9"/>
        <v>13280</v>
      </c>
      <c r="AC43" s="1307" t="s">
        <v>284</v>
      </c>
      <c r="AD43" s="633" t="s">
        <v>280</v>
      </c>
      <c r="AE43" s="633" t="s">
        <v>82</v>
      </c>
      <c r="AF43" s="633"/>
      <c r="AG43" s="618" t="s">
        <v>74</v>
      </c>
      <c r="AH43" s="618"/>
      <c r="AI43" s="1308" t="s">
        <v>87</v>
      </c>
      <c r="AJ43" s="824" t="e">
        <f t="shared" si="6"/>
        <v>#VALUE!</v>
      </c>
      <c r="AK43" s="633"/>
      <c r="AL43" s="633"/>
      <c r="AM43" s="633"/>
      <c r="AN43" s="825">
        <f t="shared" si="11"/>
        <v>2656</v>
      </c>
      <c r="AO43" s="687"/>
      <c r="AP43" s="687"/>
      <c r="AQ43" s="687"/>
      <c r="AR43" s="825">
        <f t="shared" si="13"/>
        <v>2656</v>
      </c>
      <c r="AS43" s="687"/>
      <c r="AT43" s="687"/>
      <c r="AU43" s="825">
        <f t="shared" si="12"/>
        <v>2656</v>
      </c>
      <c r="AV43" s="825"/>
      <c r="AW43" s="825">
        <f t="shared" si="10"/>
        <v>2656</v>
      </c>
      <c r="AX43" s="825"/>
      <c r="AY43" s="1305"/>
      <c r="AZ43" s="1305"/>
      <c r="BA43" s="1305"/>
      <c r="BB43" s="1305"/>
      <c r="BC43" s="1305"/>
      <c r="BD43" s="1305"/>
      <c r="BE43" s="1305"/>
      <c r="BF43" s="1305"/>
      <c r="BG43" s="1305"/>
      <c r="BH43" s="825">
        <f t="shared" si="14"/>
        <v>664</v>
      </c>
      <c r="BI43" s="1305"/>
      <c r="BJ43" s="1305"/>
      <c r="BK43" s="1305"/>
      <c r="BL43" s="1305"/>
      <c r="BM43" s="1305"/>
      <c r="BN43" s="1305"/>
      <c r="BO43" s="1305"/>
      <c r="BP43" s="1305"/>
    </row>
    <row r="44" s="1265" customFormat="1" ht="31" customHeight="1" spans="1:68">
      <c r="A44" s="1304">
        <v>45744</v>
      </c>
      <c r="B44" s="822" t="s">
        <v>143</v>
      </c>
      <c r="C44" s="633" t="s">
        <v>98</v>
      </c>
      <c r="D44" s="825">
        <v>4500161762</v>
      </c>
      <c r="E44" s="633" t="s">
        <v>285</v>
      </c>
      <c r="F44" s="1305" t="s">
        <v>286</v>
      </c>
      <c r="G44" s="659" t="s">
        <v>101</v>
      </c>
      <c r="H44" s="633" t="s">
        <v>102</v>
      </c>
      <c r="I44" s="633">
        <v>608</v>
      </c>
      <c r="J44" s="633">
        <v>0</v>
      </c>
      <c r="K44" s="633">
        <v>4</v>
      </c>
      <c r="L44" s="827">
        <f t="shared" si="0"/>
        <v>152</v>
      </c>
      <c r="M44" s="828">
        <v>45797</v>
      </c>
      <c r="N44" s="828">
        <v>45793</v>
      </c>
      <c r="O44" s="824" t="s">
        <v>274</v>
      </c>
      <c r="P44" s="824" t="s">
        <v>113</v>
      </c>
      <c r="Q44" s="633"/>
      <c r="R44" s="829" t="s">
        <v>147</v>
      </c>
      <c r="S44" s="829" t="s">
        <v>70</v>
      </c>
      <c r="T44" s="829" t="s">
        <v>148</v>
      </c>
      <c r="U44" s="829"/>
      <c r="V44" s="774" t="s">
        <v>148</v>
      </c>
      <c r="W44" s="829"/>
      <c r="X44" s="822" t="s">
        <v>149</v>
      </c>
      <c r="Y44" s="828" t="s">
        <v>106</v>
      </c>
      <c r="Z44" s="1306">
        <v>5</v>
      </c>
      <c r="AA44" s="831">
        <f t="shared" si="9"/>
        <v>3040</v>
      </c>
      <c r="AC44" s="632"/>
      <c r="AD44" s="633" t="s">
        <v>101</v>
      </c>
      <c r="AE44" s="633" t="s">
        <v>82</v>
      </c>
      <c r="AF44" s="633"/>
      <c r="AG44" s="618" t="s">
        <v>74</v>
      </c>
      <c r="AH44" s="618"/>
      <c r="AI44" s="1308">
        <f>592+16</f>
        <v>608</v>
      </c>
      <c r="AJ44" s="824">
        <f t="shared" si="6"/>
        <v>0</v>
      </c>
      <c r="AK44" s="633"/>
      <c r="AL44" s="633"/>
      <c r="AM44" s="633"/>
      <c r="AN44" s="825">
        <f t="shared" si="11"/>
        <v>608</v>
      </c>
      <c r="AO44" s="687"/>
      <c r="AP44" s="687"/>
      <c r="AQ44" s="687"/>
      <c r="AR44" s="825">
        <f t="shared" si="13"/>
        <v>608</v>
      </c>
      <c r="AS44" s="687"/>
      <c r="AT44" s="687"/>
      <c r="AU44" s="825">
        <f t="shared" si="12"/>
        <v>608</v>
      </c>
      <c r="AV44" s="825"/>
      <c r="AW44" s="825">
        <f t="shared" si="10"/>
        <v>608</v>
      </c>
      <c r="AX44" s="825"/>
      <c r="AY44" s="1305"/>
      <c r="AZ44" s="1305"/>
      <c r="BA44" s="1305"/>
      <c r="BB44" s="1305"/>
      <c r="BC44" s="1305"/>
      <c r="BD44" s="1305"/>
      <c r="BE44" s="1305"/>
      <c r="BF44" s="1305"/>
      <c r="BG44" s="1305"/>
      <c r="BH44" s="825">
        <f t="shared" si="14"/>
        <v>152</v>
      </c>
      <c r="BI44" s="1305"/>
      <c r="BJ44" s="1305"/>
      <c r="BK44" s="1305"/>
      <c r="BL44" s="1305"/>
      <c r="BM44" s="1305"/>
      <c r="BN44" s="1305"/>
      <c r="BO44" s="1305"/>
      <c r="BP44" s="1305"/>
    </row>
    <row r="45" s="1265" customFormat="1" ht="31" customHeight="1" spans="1:68">
      <c r="A45" s="1304">
        <v>45744</v>
      </c>
      <c r="B45" s="822" t="s">
        <v>143</v>
      </c>
      <c r="C45" s="633" t="s">
        <v>98</v>
      </c>
      <c r="D45" s="825">
        <v>4500161762</v>
      </c>
      <c r="E45" s="633" t="s">
        <v>287</v>
      </c>
      <c r="F45" s="1305" t="s">
        <v>288</v>
      </c>
      <c r="G45" s="659" t="s">
        <v>101</v>
      </c>
      <c r="H45" s="633" t="s">
        <v>102</v>
      </c>
      <c r="I45" s="633">
        <v>608</v>
      </c>
      <c r="J45" s="633">
        <v>0</v>
      </c>
      <c r="K45" s="633">
        <v>4</v>
      </c>
      <c r="L45" s="827">
        <f t="shared" si="0"/>
        <v>152</v>
      </c>
      <c r="M45" s="828">
        <v>45797</v>
      </c>
      <c r="N45" s="828">
        <v>45793</v>
      </c>
      <c r="O45" s="824" t="s">
        <v>274</v>
      </c>
      <c r="P45" s="824" t="s">
        <v>113</v>
      </c>
      <c r="Q45" s="633"/>
      <c r="R45" s="829" t="s">
        <v>147</v>
      </c>
      <c r="S45" s="829" t="s">
        <v>70</v>
      </c>
      <c r="T45" s="829" t="s">
        <v>148</v>
      </c>
      <c r="U45" s="829"/>
      <c r="V45" s="774" t="s">
        <v>148</v>
      </c>
      <c r="W45" s="829"/>
      <c r="X45" s="822" t="s">
        <v>149</v>
      </c>
      <c r="Y45" s="828" t="s">
        <v>106</v>
      </c>
      <c r="Z45" s="1306">
        <v>5</v>
      </c>
      <c r="AA45" s="831">
        <f t="shared" si="9"/>
        <v>3040</v>
      </c>
      <c r="AC45" s="632"/>
      <c r="AD45" s="633" t="s">
        <v>101</v>
      </c>
      <c r="AE45" s="633" t="s">
        <v>82</v>
      </c>
      <c r="AF45" s="633"/>
      <c r="AG45" s="618" t="s">
        <v>74</v>
      </c>
      <c r="AH45" s="618"/>
      <c r="AI45" s="1308">
        <f>600+8</f>
        <v>608</v>
      </c>
      <c r="AJ45" s="824">
        <f t="shared" si="6"/>
        <v>0</v>
      </c>
      <c r="AK45" s="633"/>
      <c r="AL45" s="633"/>
      <c r="AM45" s="633"/>
      <c r="AN45" s="825">
        <f t="shared" si="11"/>
        <v>608</v>
      </c>
      <c r="AO45" s="687"/>
      <c r="AP45" s="687"/>
      <c r="AQ45" s="687"/>
      <c r="AR45" s="825">
        <f t="shared" si="13"/>
        <v>608</v>
      </c>
      <c r="AS45" s="687"/>
      <c r="AT45" s="687"/>
      <c r="AU45" s="825">
        <f t="shared" si="12"/>
        <v>608</v>
      </c>
      <c r="AV45" s="825"/>
      <c r="AW45" s="825">
        <f t="shared" si="10"/>
        <v>608</v>
      </c>
      <c r="AX45" s="825"/>
      <c r="AY45" s="1305"/>
      <c r="AZ45" s="1305"/>
      <c r="BA45" s="1305"/>
      <c r="BB45" s="1305"/>
      <c r="BC45" s="1305"/>
      <c r="BD45" s="1305"/>
      <c r="BE45" s="1305"/>
      <c r="BF45" s="1305"/>
      <c r="BG45" s="1305"/>
      <c r="BH45" s="825">
        <f t="shared" si="14"/>
        <v>152</v>
      </c>
      <c r="BI45" s="1305"/>
      <c r="BJ45" s="1305"/>
      <c r="BK45" s="1305"/>
      <c r="BL45" s="1305"/>
      <c r="BM45" s="1305"/>
      <c r="BN45" s="1305"/>
      <c r="BO45" s="1305"/>
      <c r="BP45" s="1305"/>
    </row>
    <row r="46" s="1265" customFormat="1" ht="31" customHeight="1" spans="1:68">
      <c r="A46" s="1304">
        <v>45744</v>
      </c>
      <c r="B46" s="822" t="s">
        <v>143</v>
      </c>
      <c r="C46" s="633" t="s">
        <v>98</v>
      </c>
      <c r="D46" s="825">
        <v>4500161762</v>
      </c>
      <c r="E46" s="633" t="s">
        <v>289</v>
      </c>
      <c r="F46" s="1305" t="s">
        <v>290</v>
      </c>
      <c r="G46" s="659" t="s">
        <v>101</v>
      </c>
      <c r="H46" s="633" t="s">
        <v>102</v>
      </c>
      <c r="I46" s="633">
        <v>616</v>
      </c>
      <c r="J46" s="633">
        <v>0</v>
      </c>
      <c r="K46" s="633">
        <v>4</v>
      </c>
      <c r="L46" s="827">
        <f t="shared" si="0"/>
        <v>154</v>
      </c>
      <c r="M46" s="828">
        <v>45797</v>
      </c>
      <c r="N46" s="828">
        <v>45793</v>
      </c>
      <c r="O46" s="824" t="s">
        <v>274</v>
      </c>
      <c r="P46" s="824" t="s">
        <v>113</v>
      </c>
      <c r="Q46" s="633"/>
      <c r="R46" s="829" t="s">
        <v>147</v>
      </c>
      <c r="S46" s="829" t="s">
        <v>70</v>
      </c>
      <c r="T46" s="829" t="s">
        <v>148</v>
      </c>
      <c r="U46" s="829"/>
      <c r="V46" s="774" t="s">
        <v>148</v>
      </c>
      <c r="W46" s="829"/>
      <c r="X46" s="822" t="s">
        <v>149</v>
      </c>
      <c r="Y46" s="828" t="s">
        <v>106</v>
      </c>
      <c r="Z46" s="1306">
        <v>5</v>
      </c>
      <c r="AA46" s="831">
        <f t="shared" si="9"/>
        <v>3080</v>
      </c>
      <c r="AC46" s="632"/>
      <c r="AD46" s="633" t="s">
        <v>101</v>
      </c>
      <c r="AE46" s="633" t="s">
        <v>82</v>
      </c>
      <c r="AF46" s="633"/>
      <c r="AG46" s="618" t="s">
        <v>74</v>
      </c>
      <c r="AH46" s="618"/>
      <c r="AI46" s="1308">
        <f>608+8</f>
        <v>616</v>
      </c>
      <c r="AJ46" s="824">
        <f t="shared" si="6"/>
        <v>0</v>
      </c>
      <c r="AK46" s="633"/>
      <c r="AL46" s="633"/>
      <c r="AM46" s="633"/>
      <c r="AN46" s="825">
        <f t="shared" si="11"/>
        <v>616</v>
      </c>
      <c r="AO46" s="687"/>
      <c r="AP46" s="687"/>
      <c r="AQ46" s="687"/>
      <c r="AR46" s="825">
        <f t="shared" si="13"/>
        <v>616</v>
      </c>
      <c r="AS46" s="687"/>
      <c r="AT46" s="687"/>
      <c r="AU46" s="825">
        <f t="shared" si="12"/>
        <v>616</v>
      </c>
      <c r="AV46" s="825"/>
      <c r="AW46" s="825">
        <f t="shared" si="10"/>
        <v>616</v>
      </c>
      <c r="AX46" s="825"/>
      <c r="AY46" s="1305"/>
      <c r="AZ46" s="1305"/>
      <c r="BA46" s="1305"/>
      <c r="BB46" s="1305"/>
      <c r="BC46" s="1305"/>
      <c r="BD46" s="1305"/>
      <c r="BE46" s="1305"/>
      <c r="BF46" s="1305"/>
      <c r="BG46" s="1305"/>
      <c r="BH46" s="825">
        <f t="shared" si="14"/>
        <v>154</v>
      </c>
      <c r="BI46" s="1305"/>
      <c r="BJ46" s="1305"/>
      <c r="BK46" s="1305"/>
      <c r="BL46" s="1305"/>
      <c r="BM46" s="1305"/>
      <c r="BN46" s="1305"/>
      <c r="BO46" s="1305"/>
      <c r="BP46" s="1305"/>
    </row>
    <row r="47" s="1265" customFormat="1" ht="31" customHeight="1" spans="1:68">
      <c r="A47" s="1304">
        <v>45744</v>
      </c>
      <c r="B47" s="822" t="s">
        <v>143</v>
      </c>
      <c r="C47" s="633" t="s">
        <v>98</v>
      </c>
      <c r="D47" s="825">
        <v>4500161762</v>
      </c>
      <c r="E47" s="633" t="s">
        <v>291</v>
      </c>
      <c r="F47" s="1305" t="s">
        <v>292</v>
      </c>
      <c r="G47" s="659" t="s">
        <v>101</v>
      </c>
      <c r="H47" s="633" t="s">
        <v>102</v>
      </c>
      <c r="I47" s="633">
        <v>792</v>
      </c>
      <c r="J47" s="633">
        <v>0</v>
      </c>
      <c r="K47" s="633">
        <v>4</v>
      </c>
      <c r="L47" s="827">
        <f t="shared" si="0"/>
        <v>198</v>
      </c>
      <c r="M47" s="828">
        <v>45797</v>
      </c>
      <c r="N47" s="828">
        <v>45793</v>
      </c>
      <c r="O47" s="824" t="s">
        <v>274</v>
      </c>
      <c r="P47" s="824" t="s">
        <v>113</v>
      </c>
      <c r="Q47" s="633"/>
      <c r="R47" s="829" t="s">
        <v>147</v>
      </c>
      <c r="S47" s="829" t="s">
        <v>70</v>
      </c>
      <c r="T47" s="829" t="s">
        <v>148</v>
      </c>
      <c r="U47" s="829"/>
      <c r="V47" s="774" t="s">
        <v>148</v>
      </c>
      <c r="W47" s="829"/>
      <c r="X47" s="822" t="s">
        <v>149</v>
      </c>
      <c r="Y47" s="828" t="s">
        <v>106</v>
      </c>
      <c r="Z47" s="1306">
        <v>5</v>
      </c>
      <c r="AA47" s="831">
        <f t="shared" si="9"/>
        <v>3960</v>
      </c>
      <c r="AC47" s="632" t="s">
        <v>293</v>
      </c>
      <c r="AD47" s="633" t="s">
        <v>101</v>
      </c>
      <c r="AE47" s="633" t="s">
        <v>82</v>
      </c>
      <c r="AF47" s="633"/>
      <c r="AG47" s="618" t="s">
        <v>74</v>
      </c>
      <c r="AH47" s="618"/>
      <c r="AI47" s="1308">
        <v>792</v>
      </c>
      <c r="AJ47" s="824">
        <f t="shared" si="6"/>
        <v>0</v>
      </c>
      <c r="AK47" s="633"/>
      <c r="AL47" s="633"/>
      <c r="AM47" s="633"/>
      <c r="AN47" s="825">
        <f t="shared" si="11"/>
        <v>792</v>
      </c>
      <c r="AO47" s="687"/>
      <c r="AP47" s="687"/>
      <c r="AQ47" s="687"/>
      <c r="AR47" s="825">
        <f t="shared" si="13"/>
        <v>792</v>
      </c>
      <c r="AS47" s="687"/>
      <c r="AT47" s="687"/>
      <c r="AU47" s="825">
        <f t="shared" si="12"/>
        <v>792</v>
      </c>
      <c r="AV47" s="825"/>
      <c r="AW47" s="825">
        <f t="shared" si="10"/>
        <v>792</v>
      </c>
      <c r="AX47" s="825"/>
      <c r="AY47" s="1305"/>
      <c r="AZ47" s="1305"/>
      <c r="BA47" s="1305"/>
      <c r="BB47" s="1305"/>
      <c r="BC47" s="1305"/>
      <c r="BD47" s="1305"/>
      <c r="BE47" s="1305"/>
      <c r="BF47" s="1305"/>
      <c r="BG47" s="1305"/>
      <c r="BH47" s="825">
        <f t="shared" si="14"/>
        <v>198</v>
      </c>
      <c r="BI47" s="1305"/>
      <c r="BJ47" s="1305"/>
      <c r="BK47" s="1305"/>
      <c r="BL47" s="1305"/>
      <c r="BM47" s="1305"/>
      <c r="BN47" s="1305"/>
      <c r="BO47" s="1305"/>
      <c r="BP47" s="1305"/>
    </row>
    <row r="48" s="1265" customFormat="1" ht="31" customHeight="1" spans="1:68">
      <c r="A48" s="1304">
        <v>45744</v>
      </c>
      <c r="B48" s="822" t="s">
        <v>143</v>
      </c>
      <c r="C48" s="633" t="s">
        <v>98</v>
      </c>
      <c r="D48" s="825">
        <v>4500161762</v>
      </c>
      <c r="E48" s="633" t="s">
        <v>294</v>
      </c>
      <c r="F48" s="1305" t="s">
        <v>295</v>
      </c>
      <c r="G48" s="659" t="s">
        <v>101</v>
      </c>
      <c r="H48" s="633" t="s">
        <v>102</v>
      </c>
      <c r="I48" s="633">
        <v>744</v>
      </c>
      <c r="J48" s="633">
        <v>0</v>
      </c>
      <c r="K48" s="633">
        <v>4</v>
      </c>
      <c r="L48" s="827">
        <f t="shared" si="0"/>
        <v>186</v>
      </c>
      <c r="M48" s="828">
        <v>45797</v>
      </c>
      <c r="N48" s="828">
        <v>45793</v>
      </c>
      <c r="O48" s="824" t="s">
        <v>274</v>
      </c>
      <c r="P48" s="824" t="s">
        <v>113</v>
      </c>
      <c r="Q48" s="633"/>
      <c r="R48" s="829" t="s">
        <v>147</v>
      </c>
      <c r="S48" s="829" t="s">
        <v>70</v>
      </c>
      <c r="T48" s="829" t="s">
        <v>148</v>
      </c>
      <c r="U48" s="829"/>
      <c r="V48" s="774" t="s">
        <v>148</v>
      </c>
      <c r="W48" s="829"/>
      <c r="X48" s="822" t="s">
        <v>149</v>
      </c>
      <c r="Y48" s="828" t="s">
        <v>106</v>
      </c>
      <c r="Z48" s="1306">
        <v>5</v>
      </c>
      <c r="AA48" s="831">
        <f t="shared" si="9"/>
        <v>3720</v>
      </c>
      <c r="AC48" s="632"/>
      <c r="AD48" s="633" t="s">
        <v>101</v>
      </c>
      <c r="AE48" s="633" t="s">
        <v>82</v>
      </c>
      <c r="AF48" s="633"/>
      <c r="AG48" s="618" t="s">
        <v>74</v>
      </c>
      <c r="AH48" s="618"/>
      <c r="AI48" s="1308">
        <f>740+4</f>
        <v>744</v>
      </c>
      <c r="AJ48" s="824">
        <f t="shared" si="6"/>
        <v>0</v>
      </c>
      <c r="AK48" s="633"/>
      <c r="AL48" s="633"/>
      <c r="AM48" s="633"/>
      <c r="AN48" s="825">
        <f t="shared" si="11"/>
        <v>744</v>
      </c>
      <c r="AO48" s="687"/>
      <c r="AP48" s="687"/>
      <c r="AQ48" s="687"/>
      <c r="AR48" s="825">
        <f t="shared" si="13"/>
        <v>744</v>
      </c>
      <c r="AS48" s="687"/>
      <c r="AT48" s="687"/>
      <c r="AU48" s="825">
        <f t="shared" si="12"/>
        <v>744</v>
      </c>
      <c r="AV48" s="825"/>
      <c r="AW48" s="825">
        <f t="shared" si="10"/>
        <v>744</v>
      </c>
      <c r="AX48" s="825"/>
      <c r="AY48" s="1305"/>
      <c r="AZ48" s="1305"/>
      <c r="BA48" s="1305"/>
      <c r="BB48" s="1305"/>
      <c r="BC48" s="1305"/>
      <c r="BD48" s="1305"/>
      <c r="BE48" s="1305"/>
      <c r="BF48" s="1305"/>
      <c r="BG48" s="1305"/>
      <c r="BH48" s="825">
        <f t="shared" si="14"/>
        <v>186</v>
      </c>
      <c r="BI48" s="1305"/>
      <c r="BJ48" s="1305"/>
      <c r="BK48" s="1305"/>
      <c r="BL48" s="1305"/>
      <c r="BM48" s="1305"/>
      <c r="BN48" s="1305"/>
      <c r="BO48" s="1305"/>
      <c r="BP48" s="1305"/>
    </row>
    <row r="49" s="1265" customFormat="1" ht="31" customHeight="1" spans="1:68">
      <c r="A49" s="1304">
        <v>45749</v>
      </c>
      <c r="B49" s="822" t="s">
        <v>296</v>
      </c>
      <c r="C49" s="633" t="s">
        <v>241</v>
      </c>
      <c r="D49" s="825">
        <v>4500162375</v>
      </c>
      <c r="E49" s="633">
        <v>20106</v>
      </c>
      <c r="F49" s="1305" t="s">
        <v>297</v>
      </c>
      <c r="G49" s="659" t="s">
        <v>68</v>
      </c>
      <c r="H49" s="633" t="s">
        <v>69</v>
      </c>
      <c r="I49" s="633">
        <v>252</v>
      </c>
      <c r="J49" s="633">
        <v>0</v>
      </c>
      <c r="K49" s="633">
        <v>12</v>
      </c>
      <c r="L49" s="827">
        <f t="shared" si="0"/>
        <v>21</v>
      </c>
      <c r="M49" s="828">
        <v>45797</v>
      </c>
      <c r="N49" s="828">
        <v>45793</v>
      </c>
      <c r="O49" s="824"/>
      <c r="P49" s="824" t="s">
        <v>113</v>
      </c>
      <c r="Q49" s="633"/>
      <c r="R49" s="829">
        <v>45750</v>
      </c>
      <c r="S49" s="829" t="s">
        <v>70</v>
      </c>
      <c r="T49" s="829">
        <v>45768</v>
      </c>
      <c r="U49" s="829"/>
      <c r="V49" s="829"/>
      <c r="W49" s="829"/>
      <c r="X49" s="628" t="s">
        <v>298</v>
      </c>
      <c r="Y49" s="828" t="s">
        <v>299</v>
      </c>
      <c r="Z49" s="1306">
        <v>4.1</v>
      </c>
      <c r="AA49" s="831">
        <f t="shared" si="9"/>
        <v>1033.2</v>
      </c>
      <c r="AC49" s="1307" t="s">
        <v>300</v>
      </c>
      <c r="AD49" s="633" t="s">
        <v>184</v>
      </c>
      <c r="AE49" s="633" t="s">
        <v>82</v>
      </c>
      <c r="AF49" s="633"/>
      <c r="AG49" s="618" t="s">
        <v>74</v>
      </c>
      <c r="AH49" s="618"/>
      <c r="AI49" s="1308">
        <v>252</v>
      </c>
      <c r="AJ49" s="824">
        <f t="shared" si="6"/>
        <v>0</v>
      </c>
      <c r="AK49" s="633"/>
      <c r="AL49" s="633"/>
      <c r="AM49" s="633"/>
      <c r="AN49" s="825">
        <f t="shared" si="11"/>
        <v>252</v>
      </c>
      <c r="AO49" s="687"/>
      <c r="AP49" s="687"/>
      <c r="AQ49" s="687"/>
      <c r="AR49" s="825"/>
      <c r="AS49" s="687">
        <f>I49</f>
        <v>252</v>
      </c>
      <c r="AT49" s="687"/>
      <c r="AU49" s="825">
        <f t="shared" si="12"/>
        <v>252</v>
      </c>
      <c r="AV49" s="825"/>
      <c r="AW49" s="825">
        <f t="shared" si="10"/>
        <v>252</v>
      </c>
      <c r="AX49" s="825"/>
      <c r="AY49" s="1305"/>
      <c r="AZ49" s="1305"/>
      <c r="BA49" s="1305"/>
      <c r="BB49" s="1305"/>
      <c r="BC49" s="1305"/>
      <c r="BD49" s="1305"/>
      <c r="BE49" s="1305"/>
      <c r="BF49" s="1305"/>
      <c r="BG49" s="1305"/>
      <c r="BH49" s="1305"/>
      <c r="BI49" s="1305"/>
      <c r="BJ49" s="1305"/>
      <c r="BK49" s="1305"/>
      <c r="BL49" s="1305"/>
      <c r="BM49" s="1305"/>
      <c r="BN49" s="1305"/>
      <c r="BO49" s="1305"/>
      <c r="BP49" s="1305"/>
    </row>
    <row r="50" s="1265" customFormat="1" ht="31" customHeight="1" spans="1:68">
      <c r="A50" s="1304">
        <v>45750</v>
      </c>
      <c r="B50" s="822" t="s">
        <v>301</v>
      </c>
      <c r="C50" s="633" t="s">
        <v>302</v>
      </c>
      <c r="D50" s="825">
        <v>4500162314</v>
      </c>
      <c r="E50" s="633">
        <v>5200006540</v>
      </c>
      <c r="F50" s="1305" t="s">
        <v>303</v>
      </c>
      <c r="G50" s="659" t="s">
        <v>156</v>
      </c>
      <c r="H50" s="633" t="s">
        <v>102</v>
      </c>
      <c r="I50" s="633">
        <v>3352</v>
      </c>
      <c r="J50" s="633">
        <v>0</v>
      </c>
      <c r="K50" s="633">
        <v>4</v>
      </c>
      <c r="L50" s="827">
        <f t="shared" si="0"/>
        <v>838</v>
      </c>
      <c r="M50" s="828">
        <v>45799</v>
      </c>
      <c r="N50" s="828">
        <v>45796</v>
      </c>
      <c r="O50" s="824"/>
      <c r="P50" s="824" t="s">
        <v>113</v>
      </c>
      <c r="Q50" s="633"/>
      <c r="R50" s="829">
        <v>45750</v>
      </c>
      <c r="S50" s="829" t="s">
        <v>70</v>
      </c>
      <c r="T50" s="829">
        <v>45768</v>
      </c>
      <c r="U50" s="829"/>
      <c r="V50" s="829"/>
      <c r="W50" s="829"/>
      <c r="X50" s="628" t="s">
        <v>304</v>
      </c>
      <c r="Y50" s="828" t="s">
        <v>305</v>
      </c>
      <c r="Z50" s="1306">
        <v>5.03</v>
      </c>
      <c r="AA50" s="831">
        <f t="shared" si="9"/>
        <v>16860.56</v>
      </c>
      <c r="AC50" s="1307" t="s">
        <v>306</v>
      </c>
      <c r="AD50" s="633" t="s">
        <v>156</v>
      </c>
      <c r="AE50" s="633" t="s">
        <v>82</v>
      </c>
      <c r="AF50" s="633"/>
      <c r="AG50" s="618" t="s">
        <v>74</v>
      </c>
      <c r="AH50" s="618"/>
      <c r="AI50" s="1308">
        <v>3352</v>
      </c>
      <c r="AJ50" s="824">
        <f t="shared" si="6"/>
        <v>0</v>
      </c>
      <c r="AK50" s="633"/>
      <c r="AL50" s="633"/>
      <c r="AM50" s="633"/>
      <c r="AN50" s="825">
        <f t="shared" si="11"/>
        <v>3352</v>
      </c>
      <c r="AO50" s="687"/>
      <c r="AP50" s="687"/>
      <c r="AQ50" s="687"/>
      <c r="AR50" s="825"/>
      <c r="AS50" s="687">
        <f>I50</f>
        <v>3352</v>
      </c>
      <c r="AT50" s="687"/>
      <c r="AU50" s="825">
        <f t="shared" si="12"/>
        <v>3352</v>
      </c>
      <c r="AV50" s="825"/>
      <c r="AW50" s="825">
        <f t="shared" si="10"/>
        <v>3352</v>
      </c>
      <c r="AX50" s="825"/>
      <c r="AY50" s="1305"/>
      <c r="AZ50" s="1305"/>
      <c r="BA50" s="1305"/>
      <c r="BB50" s="1305"/>
      <c r="BC50" s="1305"/>
      <c r="BD50" s="1305"/>
      <c r="BE50" s="1305"/>
      <c r="BF50" s="1305"/>
      <c r="BG50" s="1305"/>
      <c r="BH50" s="1305"/>
      <c r="BI50" s="825">
        <f>I50/4</f>
        <v>838</v>
      </c>
      <c r="BJ50" s="1305"/>
      <c r="BK50" s="1305"/>
      <c r="BL50" s="1305"/>
      <c r="BM50" s="1305"/>
      <c r="BN50" s="1305"/>
      <c r="BO50" s="1305"/>
      <c r="BP50" s="1305"/>
    </row>
    <row r="51" s="1265" customFormat="1" ht="31" customHeight="1" spans="1:68">
      <c r="A51" s="1304">
        <v>45722</v>
      </c>
      <c r="B51" s="822" t="s">
        <v>307</v>
      </c>
      <c r="C51" s="633" t="s">
        <v>98</v>
      </c>
      <c r="D51" s="825">
        <v>4500159089</v>
      </c>
      <c r="E51" s="633" t="s">
        <v>308</v>
      </c>
      <c r="F51" s="1305" t="s">
        <v>309</v>
      </c>
      <c r="G51" s="659" t="s">
        <v>68</v>
      </c>
      <c r="H51" s="633" t="s">
        <v>69</v>
      </c>
      <c r="I51" s="633">
        <v>2064</v>
      </c>
      <c r="J51" s="633">
        <v>0</v>
      </c>
      <c r="K51" s="633">
        <v>12</v>
      </c>
      <c r="L51" s="827">
        <f t="shared" si="0"/>
        <v>172</v>
      </c>
      <c r="M51" s="828">
        <v>45800</v>
      </c>
      <c r="N51" s="828">
        <f>M51-4</f>
        <v>45796</v>
      </c>
      <c r="O51" s="824"/>
      <c r="P51" s="824" t="s">
        <v>113</v>
      </c>
      <c r="Q51" s="633"/>
      <c r="R51" s="829">
        <v>45722</v>
      </c>
      <c r="S51" s="829" t="s">
        <v>70</v>
      </c>
      <c r="T51" s="829" t="s">
        <v>70</v>
      </c>
      <c r="U51" s="829"/>
      <c r="V51" s="829"/>
      <c r="W51" s="829"/>
      <c r="X51" s="822" t="s">
        <v>310</v>
      </c>
      <c r="Y51" s="828" t="s">
        <v>311</v>
      </c>
      <c r="Z51" s="1306">
        <v>4.1</v>
      </c>
      <c r="AA51" s="831">
        <f t="shared" si="9"/>
        <v>8462.4</v>
      </c>
      <c r="AC51" s="632"/>
      <c r="AD51" s="633" t="s">
        <v>68</v>
      </c>
      <c r="AE51" s="633" t="s">
        <v>82</v>
      </c>
      <c r="AF51" s="633"/>
      <c r="AG51" s="618" t="s">
        <v>74</v>
      </c>
      <c r="AH51" s="618"/>
      <c r="AI51" s="1308">
        <f>2040+24</f>
        <v>2064</v>
      </c>
      <c r="AJ51" s="824">
        <f t="shared" si="6"/>
        <v>0</v>
      </c>
      <c r="AK51" s="633"/>
      <c r="AL51" s="633"/>
      <c r="AM51" s="633"/>
      <c r="AN51" s="825">
        <f t="shared" si="11"/>
        <v>2064</v>
      </c>
      <c r="AO51" s="687"/>
      <c r="AP51" s="687"/>
      <c r="AQ51" s="687"/>
      <c r="AR51" s="825">
        <f>I51</f>
        <v>2064</v>
      </c>
      <c r="AS51" s="687"/>
      <c r="AT51" s="687"/>
      <c r="AU51" s="825">
        <f t="shared" si="12"/>
        <v>2064</v>
      </c>
      <c r="AV51" s="825"/>
      <c r="AW51" s="825">
        <f t="shared" si="10"/>
        <v>2064</v>
      </c>
      <c r="AX51" s="825"/>
      <c r="AY51" s="1305"/>
      <c r="AZ51" s="1305"/>
      <c r="BA51" s="1305"/>
      <c r="BB51" s="1305"/>
      <c r="BC51" s="1305"/>
      <c r="BD51" s="1305"/>
      <c r="BE51" s="1305"/>
      <c r="BF51" s="1305"/>
      <c r="BG51" s="1305"/>
      <c r="BH51" s="1305"/>
      <c r="BI51" s="1305"/>
      <c r="BJ51" s="1305"/>
      <c r="BK51" s="1305"/>
      <c r="BL51" s="1305"/>
      <c r="BM51" s="1305"/>
      <c r="BN51" s="1305"/>
      <c r="BO51" s="1305"/>
      <c r="BP51" s="1305"/>
    </row>
    <row r="52" s="1265" customFormat="1" ht="31" customHeight="1" spans="1:68">
      <c r="A52" s="1304">
        <v>45727</v>
      </c>
      <c r="B52" s="822" t="s">
        <v>312</v>
      </c>
      <c r="C52" s="633" t="s">
        <v>278</v>
      </c>
      <c r="D52" s="825">
        <v>4500159575</v>
      </c>
      <c r="E52" s="633" t="s">
        <v>313</v>
      </c>
      <c r="F52" s="1305" t="s">
        <v>314</v>
      </c>
      <c r="G52" s="659" t="s">
        <v>111</v>
      </c>
      <c r="H52" s="633" t="s">
        <v>112</v>
      </c>
      <c r="I52" s="633">
        <v>3008</v>
      </c>
      <c r="J52" s="633">
        <v>0</v>
      </c>
      <c r="K52" s="633">
        <v>16</v>
      </c>
      <c r="L52" s="827">
        <f t="shared" si="0"/>
        <v>188</v>
      </c>
      <c r="M52" s="828">
        <v>45800</v>
      </c>
      <c r="N52" s="828">
        <f>M52-4</f>
        <v>45796</v>
      </c>
      <c r="O52" s="824" t="s">
        <v>315</v>
      </c>
      <c r="P52" s="824" t="s">
        <v>113</v>
      </c>
      <c r="Q52" s="633"/>
      <c r="R52" s="829">
        <v>45727</v>
      </c>
      <c r="S52" s="829" t="s">
        <v>70</v>
      </c>
      <c r="T52" s="829">
        <v>45776</v>
      </c>
      <c r="U52" s="829"/>
      <c r="V52" s="829"/>
      <c r="W52" s="829"/>
      <c r="X52" s="628" t="s">
        <v>316</v>
      </c>
      <c r="Y52" s="828" t="s">
        <v>317</v>
      </c>
      <c r="Z52" s="1306">
        <v>4.39</v>
      </c>
      <c r="AA52" s="831">
        <f t="shared" si="9"/>
        <v>13205.12</v>
      </c>
      <c r="AC52" s="1307" t="s">
        <v>318</v>
      </c>
      <c r="AD52" s="633" t="s">
        <v>111</v>
      </c>
      <c r="AE52" s="633" t="s">
        <v>82</v>
      </c>
      <c r="AF52" s="633"/>
      <c r="AG52" s="618" t="s">
        <v>74</v>
      </c>
      <c r="AH52" s="618"/>
      <c r="AI52" s="1308">
        <f>2976+32</f>
        <v>3008</v>
      </c>
      <c r="AJ52" s="824">
        <f t="shared" si="6"/>
        <v>0</v>
      </c>
      <c r="AK52" s="633"/>
      <c r="AL52" s="633"/>
      <c r="AM52" s="633"/>
      <c r="AN52" s="825">
        <f t="shared" si="11"/>
        <v>3008</v>
      </c>
      <c r="AO52" s="687"/>
      <c r="AP52" s="687"/>
      <c r="AQ52" s="687"/>
      <c r="AR52" s="825">
        <f>I52</f>
        <v>3008</v>
      </c>
      <c r="AS52" s="687"/>
      <c r="AT52" s="687"/>
      <c r="AU52" s="825">
        <f t="shared" si="12"/>
        <v>3008</v>
      </c>
      <c r="AV52" s="825"/>
      <c r="AW52" s="825">
        <f t="shared" si="10"/>
        <v>3008</v>
      </c>
      <c r="AX52" s="825"/>
      <c r="AY52" s="1305"/>
      <c r="AZ52" s="1305"/>
      <c r="BA52" s="1305"/>
      <c r="BB52" s="1305"/>
      <c r="BC52" s="1305"/>
      <c r="BD52" s="1305"/>
      <c r="BE52" s="1305"/>
      <c r="BF52" s="1305"/>
      <c r="BG52" s="1305"/>
      <c r="BH52" s="825">
        <f>I52/4</f>
        <v>752</v>
      </c>
      <c r="BI52" s="1305"/>
      <c r="BJ52" s="1305"/>
      <c r="BK52" s="1305"/>
      <c r="BL52" s="1305"/>
      <c r="BM52" s="1305"/>
      <c r="BN52" s="1305"/>
      <c r="BO52" s="1305"/>
      <c r="BP52" s="1305"/>
    </row>
    <row r="53" s="1265" customFormat="1" ht="31" customHeight="1" spans="1:68">
      <c r="A53" s="1304">
        <v>45761</v>
      </c>
      <c r="B53" s="822" t="s">
        <v>319</v>
      </c>
      <c r="C53" s="633" t="s">
        <v>278</v>
      </c>
      <c r="D53" s="825">
        <v>4500163316</v>
      </c>
      <c r="E53" s="633" t="s">
        <v>320</v>
      </c>
      <c r="F53" s="1305" t="s">
        <v>321</v>
      </c>
      <c r="G53" s="659" t="s">
        <v>101</v>
      </c>
      <c r="H53" s="633" t="s">
        <v>102</v>
      </c>
      <c r="I53" s="633">
        <v>1608</v>
      </c>
      <c r="J53" s="633">
        <v>0</v>
      </c>
      <c r="K53" s="633">
        <v>4</v>
      </c>
      <c r="L53" s="827">
        <f t="shared" si="0"/>
        <v>402</v>
      </c>
      <c r="M53" s="828">
        <v>45800</v>
      </c>
      <c r="N53" s="828">
        <v>45796</v>
      </c>
      <c r="O53" s="824"/>
      <c r="P53" s="824" t="s">
        <v>113</v>
      </c>
      <c r="Q53" s="633"/>
      <c r="R53" s="829">
        <v>45758</v>
      </c>
      <c r="S53" s="829" t="s">
        <v>70</v>
      </c>
      <c r="T53" s="829">
        <v>45764</v>
      </c>
      <c r="U53" s="829"/>
      <c r="V53" s="829"/>
      <c r="W53" s="829"/>
      <c r="X53" s="822" t="s">
        <v>322</v>
      </c>
      <c r="Y53" s="828" t="s">
        <v>323</v>
      </c>
      <c r="Z53" s="1306">
        <v>5.1</v>
      </c>
      <c r="AA53" s="831">
        <f t="shared" si="9"/>
        <v>8200.8</v>
      </c>
      <c r="AC53" s="1307" t="s">
        <v>324</v>
      </c>
      <c r="AD53" s="633" t="s">
        <v>156</v>
      </c>
      <c r="AE53" s="633" t="s">
        <v>82</v>
      </c>
      <c r="AF53" s="633"/>
      <c r="AG53" s="618" t="s">
        <v>74</v>
      </c>
      <c r="AH53" s="618"/>
      <c r="AI53" s="1308">
        <v>1608</v>
      </c>
      <c r="AJ53" s="824">
        <f t="shared" si="6"/>
        <v>0</v>
      </c>
      <c r="AK53" s="633"/>
      <c r="AL53" s="633"/>
      <c r="AM53" s="633"/>
      <c r="AN53" s="825">
        <f t="shared" si="11"/>
        <v>1608</v>
      </c>
      <c r="AO53" s="687"/>
      <c r="AP53" s="687"/>
      <c r="AQ53" s="687"/>
      <c r="AR53" s="825"/>
      <c r="AS53" s="687">
        <f>I53</f>
        <v>1608</v>
      </c>
      <c r="AT53" s="687"/>
      <c r="AU53" s="825">
        <f t="shared" si="12"/>
        <v>1608</v>
      </c>
      <c r="AV53" s="825"/>
      <c r="AW53" s="825">
        <f t="shared" si="10"/>
        <v>1608</v>
      </c>
      <c r="AX53" s="825"/>
      <c r="AY53" s="1305"/>
      <c r="AZ53" s="1305"/>
      <c r="BA53" s="1305"/>
      <c r="BB53" s="1305"/>
      <c r="BC53" s="1305"/>
      <c r="BD53" s="1305"/>
      <c r="BE53" s="1305"/>
      <c r="BF53" s="1305"/>
      <c r="BG53" s="1305"/>
      <c r="BH53" s="1305"/>
      <c r="BI53" s="825">
        <f>I53/4</f>
        <v>402</v>
      </c>
      <c r="BJ53" s="1305"/>
      <c r="BK53" s="1305"/>
      <c r="BL53" s="1305"/>
      <c r="BM53" s="1305"/>
      <c r="BN53" s="1305"/>
      <c r="BO53" s="1305"/>
      <c r="BP53" s="1305"/>
    </row>
    <row r="54" s="1265" customFormat="1" ht="31" customHeight="1" spans="1:68">
      <c r="A54" s="1304">
        <v>45723</v>
      </c>
      <c r="B54" s="822" t="s">
        <v>325</v>
      </c>
      <c r="C54" s="633" t="s">
        <v>98</v>
      </c>
      <c r="D54" s="825">
        <v>4500159315</v>
      </c>
      <c r="E54" s="633" t="s">
        <v>326</v>
      </c>
      <c r="F54" s="1305" t="s">
        <v>327</v>
      </c>
      <c r="G54" s="659" t="s">
        <v>249</v>
      </c>
      <c r="H54" s="633" t="s">
        <v>250</v>
      </c>
      <c r="I54" s="633">
        <v>6000</v>
      </c>
      <c r="J54" s="633">
        <v>0</v>
      </c>
      <c r="K54" s="633">
        <v>4</v>
      </c>
      <c r="L54" s="827">
        <f t="shared" si="0"/>
        <v>1500</v>
      </c>
      <c r="M54" s="828">
        <v>45775</v>
      </c>
      <c r="N54" s="828">
        <v>45789</v>
      </c>
      <c r="O54" s="824"/>
      <c r="P54" s="824" t="s">
        <v>113</v>
      </c>
      <c r="Q54" s="633"/>
      <c r="R54" s="829">
        <v>45741</v>
      </c>
      <c r="S54" s="829" t="s">
        <v>104</v>
      </c>
      <c r="T54" s="829">
        <v>45749</v>
      </c>
      <c r="U54" s="829"/>
      <c r="V54" s="829"/>
      <c r="W54" s="829"/>
      <c r="X54" s="822" t="s">
        <v>328</v>
      </c>
      <c r="Y54" s="828" t="s">
        <v>252</v>
      </c>
      <c r="Z54" s="1306">
        <v>5.53</v>
      </c>
      <c r="AA54" s="831">
        <f t="shared" si="9"/>
        <v>33180</v>
      </c>
      <c r="AC54" s="632"/>
      <c r="AD54" s="633" t="s">
        <v>249</v>
      </c>
      <c r="AE54" s="633" t="s">
        <v>82</v>
      </c>
      <c r="AF54" s="633"/>
      <c r="AG54" s="618" t="s">
        <v>74</v>
      </c>
      <c r="AH54" s="618"/>
      <c r="AI54" s="1308">
        <v>6000</v>
      </c>
      <c r="AJ54" s="824">
        <f t="shared" si="6"/>
        <v>0</v>
      </c>
      <c r="AK54" s="633"/>
      <c r="AL54" s="633"/>
      <c r="AM54" s="633"/>
      <c r="AN54" s="825"/>
      <c r="AO54" s="687"/>
      <c r="AP54" s="687">
        <f>I54</f>
        <v>6000</v>
      </c>
      <c r="AQ54" s="687"/>
      <c r="AR54" s="825"/>
      <c r="AS54" s="687"/>
      <c r="AT54" s="687"/>
      <c r="AU54" s="825"/>
      <c r="AV54" s="825"/>
      <c r="AW54" s="825">
        <f t="shared" si="10"/>
        <v>6000</v>
      </c>
      <c r="AX54" s="825"/>
      <c r="AY54" s="1305"/>
      <c r="AZ54" s="1305"/>
      <c r="BA54" s="1305"/>
      <c r="BB54" s="1305"/>
      <c r="BC54" s="1305"/>
      <c r="BD54" s="1305"/>
      <c r="BE54" s="1305"/>
      <c r="BF54" s="1305">
        <f>I54</f>
        <v>6000</v>
      </c>
      <c r="BG54" s="1305">
        <f>I54</f>
        <v>6000</v>
      </c>
      <c r="BH54" s="825">
        <f>I54/4</f>
        <v>1500</v>
      </c>
      <c r="BI54" s="1305"/>
      <c r="BJ54" s="1305"/>
      <c r="BK54" s="1305"/>
      <c r="BL54" s="1305"/>
      <c r="BM54" s="1305"/>
      <c r="BN54" s="1305"/>
      <c r="BO54" s="1305"/>
      <c r="BP54" s="1305"/>
    </row>
    <row r="55" s="1265" customFormat="1" ht="31" customHeight="1" spans="1:68">
      <c r="A55" s="1304">
        <v>45695</v>
      </c>
      <c r="B55" s="822" t="s">
        <v>329</v>
      </c>
      <c r="C55" s="633" t="s">
        <v>302</v>
      </c>
      <c r="D55" s="825">
        <v>4500156861</v>
      </c>
      <c r="E55" s="633">
        <v>4400464930</v>
      </c>
      <c r="F55" s="1305" t="s">
        <v>330</v>
      </c>
      <c r="G55" s="659" t="s">
        <v>164</v>
      </c>
      <c r="H55" s="633" t="s">
        <v>112</v>
      </c>
      <c r="I55" s="633">
        <v>1000</v>
      </c>
      <c r="J55" s="633">
        <v>0</v>
      </c>
      <c r="K55" s="633">
        <v>8</v>
      </c>
      <c r="L55" s="827">
        <f t="shared" si="0"/>
        <v>125</v>
      </c>
      <c r="M55" s="828">
        <v>45799</v>
      </c>
      <c r="N55" s="828">
        <v>45796</v>
      </c>
      <c r="O55" s="824"/>
      <c r="P55" s="824" t="s">
        <v>113</v>
      </c>
      <c r="Q55" s="633"/>
      <c r="R55" s="829">
        <v>45696</v>
      </c>
      <c r="S55" s="829" t="s">
        <v>70</v>
      </c>
      <c r="T55" s="829" t="s">
        <v>331</v>
      </c>
      <c r="U55" s="829"/>
      <c r="V55" s="829"/>
      <c r="W55" s="829"/>
      <c r="X55" s="822" t="s">
        <v>332</v>
      </c>
      <c r="Y55" s="828" t="s">
        <v>261</v>
      </c>
      <c r="Z55" s="1306">
        <v>5</v>
      </c>
      <c r="AA55" s="831">
        <f t="shared" si="9"/>
        <v>5000</v>
      </c>
      <c r="AC55" s="1307" t="s">
        <v>333</v>
      </c>
      <c r="AD55" s="633" t="s">
        <v>164</v>
      </c>
      <c r="AE55" s="633" t="s">
        <v>82</v>
      </c>
      <c r="AF55" s="633"/>
      <c r="AG55" s="618" t="s">
        <v>74</v>
      </c>
      <c r="AH55" s="618"/>
      <c r="AI55" s="1308">
        <v>1000</v>
      </c>
      <c r="AJ55" s="824">
        <f t="shared" si="6"/>
        <v>0</v>
      </c>
      <c r="AK55" s="633"/>
      <c r="AL55" s="633"/>
      <c r="AM55" s="633"/>
      <c r="AN55" s="825">
        <f t="shared" ref="AN55:AN92" si="15">I55</f>
        <v>1000</v>
      </c>
      <c r="AO55" s="687"/>
      <c r="AP55" s="687"/>
      <c r="AQ55" s="687"/>
      <c r="AR55" s="825"/>
      <c r="AS55" s="687"/>
      <c r="AT55" s="687"/>
      <c r="AU55" s="825"/>
      <c r="AV55" s="825"/>
      <c r="AW55" s="825">
        <f t="shared" si="10"/>
        <v>1000</v>
      </c>
      <c r="AX55" s="825"/>
      <c r="AY55" s="1305"/>
      <c r="AZ55" s="1305"/>
      <c r="BA55" s="1305"/>
      <c r="BB55" s="1305"/>
      <c r="BC55" s="1305"/>
      <c r="BD55" s="825">
        <f>I55</f>
        <v>1000</v>
      </c>
      <c r="BE55" s="825">
        <f>I55</f>
        <v>1000</v>
      </c>
      <c r="BF55" s="1305"/>
      <c r="BG55" s="1305"/>
      <c r="BH55" s="825"/>
      <c r="BI55" s="825">
        <f>I55/4</f>
        <v>250</v>
      </c>
      <c r="BJ55" s="1305"/>
      <c r="BK55" s="1305"/>
      <c r="BL55" s="1305"/>
      <c r="BM55" s="1305"/>
      <c r="BN55" s="1305"/>
      <c r="BO55" s="1305"/>
      <c r="BP55" s="1305"/>
    </row>
    <row r="56" s="1265" customFormat="1" ht="31" customHeight="1" spans="1:68">
      <c r="A56" s="1304">
        <v>45741</v>
      </c>
      <c r="B56" s="822" t="s">
        <v>334</v>
      </c>
      <c r="C56" s="633" t="s">
        <v>335</v>
      </c>
      <c r="D56" s="825">
        <v>4500161312</v>
      </c>
      <c r="E56" s="633">
        <v>5907181238</v>
      </c>
      <c r="F56" s="1305" t="s">
        <v>336</v>
      </c>
      <c r="G56" s="659" t="s">
        <v>68</v>
      </c>
      <c r="H56" s="633" t="s">
        <v>69</v>
      </c>
      <c r="I56" s="633">
        <v>360</v>
      </c>
      <c r="J56" s="633">
        <v>0</v>
      </c>
      <c r="K56" s="633">
        <v>12</v>
      </c>
      <c r="L56" s="827">
        <f t="shared" si="0"/>
        <v>30</v>
      </c>
      <c r="M56" s="828">
        <v>45799</v>
      </c>
      <c r="N56" s="828">
        <v>45796</v>
      </c>
      <c r="O56" s="824"/>
      <c r="P56" s="824" t="s">
        <v>113</v>
      </c>
      <c r="Q56" s="633"/>
      <c r="R56" s="829" t="s">
        <v>337</v>
      </c>
      <c r="S56" s="829" t="s">
        <v>70</v>
      </c>
      <c r="T56" s="829" t="s">
        <v>338</v>
      </c>
      <c r="U56" s="829"/>
      <c r="V56" s="829"/>
      <c r="W56" s="829"/>
      <c r="X56" s="822" t="s">
        <v>339</v>
      </c>
      <c r="Y56" s="828" t="s">
        <v>340</v>
      </c>
      <c r="Z56" s="1306">
        <v>4.1</v>
      </c>
      <c r="AA56" s="831">
        <f t="shared" si="9"/>
        <v>1476</v>
      </c>
      <c r="AC56" s="1307" t="s">
        <v>341</v>
      </c>
      <c r="AD56" s="633" t="s">
        <v>184</v>
      </c>
      <c r="AE56" s="633" t="s">
        <v>82</v>
      </c>
      <c r="AF56" s="633"/>
      <c r="AG56" s="618" t="s">
        <v>74</v>
      </c>
      <c r="AH56" s="618"/>
      <c r="AI56" s="1308">
        <v>360</v>
      </c>
      <c r="AJ56" s="824">
        <f t="shared" si="6"/>
        <v>0</v>
      </c>
      <c r="AK56" s="633"/>
      <c r="AL56" s="633"/>
      <c r="AM56" s="633"/>
      <c r="AN56" s="825">
        <f t="shared" si="15"/>
        <v>360</v>
      </c>
      <c r="AO56" s="687"/>
      <c r="AP56" s="687"/>
      <c r="AQ56" s="687"/>
      <c r="AR56" s="825"/>
      <c r="AS56" s="687">
        <f>I56</f>
        <v>360</v>
      </c>
      <c r="AT56" s="687"/>
      <c r="AU56" s="825">
        <f t="shared" ref="AU56:AU83" si="16">I56</f>
        <v>360</v>
      </c>
      <c r="AV56" s="825"/>
      <c r="AW56" s="825">
        <f t="shared" si="10"/>
        <v>360</v>
      </c>
      <c r="AX56" s="825"/>
      <c r="AY56" s="1305"/>
      <c r="AZ56" s="1305"/>
      <c r="BA56" s="1305"/>
      <c r="BB56" s="1305"/>
      <c r="BC56" s="1305"/>
      <c r="BD56" s="1305"/>
      <c r="BE56" s="1305"/>
      <c r="BF56" s="1305"/>
      <c r="BG56" s="1305"/>
      <c r="BH56" s="1305"/>
      <c r="BI56" s="1305"/>
      <c r="BJ56" s="1305"/>
      <c r="BK56" s="1305"/>
      <c r="BL56" s="1305"/>
      <c r="BM56" s="1305"/>
      <c r="BN56" s="1305"/>
      <c r="BO56" s="1305"/>
      <c r="BP56" s="1305"/>
    </row>
    <row r="57" s="1265" customFormat="1" ht="31" customHeight="1" spans="1:68">
      <c r="A57" s="1304">
        <v>45741</v>
      </c>
      <c r="B57" s="822" t="s">
        <v>342</v>
      </c>
      <c r="C57" s="633" t="s">
        <v>343</v>
      </c>
      <c r="D57" s="825">
        <v>4500161302</v>
      </c>
      <c r="E57" s="633">
        <v>4407181237</v>
      </c>
      <c r="F57" s="1305" t="s">
        <v>344</v>
      </c>
      <c r="G57" s="659" t="s">
        <v>68</v>
      </c>
      <c r="H57" s="633" t="s">
        <v>69</v>
      </c>
      <c r="I57" s="633">
        <v>396</v>
      </c>
      <c r="J57" s="633">
        <v>0</v>
      </c>
      <c r="K57" s="633">
        <v>12</v>
      </c>
      <c r="L57" s="827">
        <f t="shared" si="0"/>
        <v>33</v>
      </c>
      <c r="M57" s="828">
        <v>45799</v>
      </c>
      <c r="N57" s="828">
        <v>45796</v>
      </c>
      <c r="O57" s="824"/>
      <c r="P57" s="824" t="s">
        <v>113</v>
      </c>
      <c r="Q57" s="633"/>
      <c r="R57" s="829" t="s">
        <v>337</v>
      </c>
      <c r="S57" s="829" t="s">
        <v>70</v>
      </c>
      <c r="T57" s="829">
        <v>45768</v>
      </c>
      <c r="U57" s="829"/>
      <c r="V57" s="829"/>
      <c r="W57" s="829"/>
      <c r="X57" s="822" t="s">
        <v>345</v>
      </c>
      <c r="Y57" s="828" t="s">
        <v>340</v>
      </c>
      <c r="Z57" s="1306">
        <v>4.1</v>
      </c>
      <c r="AA57" s="831">
        <f t="shared" si="9"/>
        <v>1623.6</v>
      </c>
      <c r="AC57" s="1307" t="s">
        <v>346</v>
      </c>
      <c r="AD57" s="633" t="s">
        <v>184</v>
      </c>
      <c r="AE57" s="633" t="s">
        <v>82</v>
      </c>
      <c r="AF57" s="633"/>
      <c r="AG57" s="618" t="s">
        <v>74</v>
      </c>
      <c r="AH57" s="618"/>
      <c r="AI57" s="1308">
        <v>396</v>
      </c>
      <c r="AJ57" s="824">
        <f t="shared" si="6"/>
        <v>0</v>
      </c>
      <c r="AK57" s="633"/>
      <c r="AL57" s="633"/>
      <c r="AM57" s="633"/>
      <c r="AN57" s="825">
        <f t="shared" si="15"/>
        <v>396</v>
      </c>
      <c r="AO57" s="687"/>
      <c r="AP57" s="687"/>
      <c r="AQ57" s="687"/>
      <c r="AR57" s="825"/>
      <c r="AS57" s="687">
        <f>I57</f>
        <v>396</v>
      </c>
      <c r="AT57" s="687"/>
      <c r="AU57" s="825">
        <f t="shared" si="16"/>
        <v>396</v>
      </c>
      <c r="AV57" s="825"/>
      <c r="AW57" s="825">
        <f t="shared" si="10"/>
        <v>396</v>
      </c>
      <c r="AX57" s="825"/>
      <c r="AY57" s="1305"/>
      <c r="AZ57" s="1305"/>
      <c r="BA57" s="1305"/>
      <c r="BB57" s="1305"/>
      <c r="BC57" s="1305"/>
      <c r="BD57" s="1305"/>
      <c r="BE57" s="1305"/>
      <c r="BF57" s="1305"/>
      <c r="BG57" s="1305"/>
      <c r="BH57" s="1305"/>
      <c r="BI57" s="1305"/>
      <c r="BJ57" s="1305"/>
      <c r="BK57" s="1305"/>
      <c r="BL57" s="1305"/>
      <c r="BM57" s="1305"/>
      <c r="BN57" s="1305"/>
      <c r="BO57" s="1305"/>
      <c r="BP57" s="1305"/>
    </row>
    <row r="58" s="1265" customFormat="1" ht="31" customHeight="1" spans="1:68">
      <c r="A58" s="1304">
        <v>45741</v>
      </c>
      <c r="B58" s="822" t="s">
        <v>347</v>
      </c>
      <c r="C58" s="633" t="s">
        <v>348</v>
      </c>
      <c r="D58" s="825">
        <v>4500161306</v>
      </c>
      <c r="E58" s="633">
        <v>8807181239</v>
      </c>
      <c r="F58" s="1305" t="s">
        <v>349</v>
      </c>
      <c r="G58" s="659" t="s">
        <v>68</v>
      </c>
      <c r="H58" s="633" t="s">
        <v>69</v>
      </c>
      <c r="I58" s="633">
        <v>540</v>
      </c>
      <c r="J58" s="633">
        <v>0</v>
      </c>
      <c r="K58" s="633">
        <v>12</v>
      </c>
      <c r="L58" s="827">
        <f t="shared" si="0"/>
        <v>45</v>
      </c>
      <c r="M58" s="828">
        <v>45799</v>
      </c>
      <c r="N58" s="828">
        <v>45796</v>
      </c>
      <c r="O58" s="824"/>
      <c r="P58" s="824" t="s">
        <v>113</v>
      </c>
      <c r="Q58" s="633"/>
      <c r="R58" s="829" t="s">
        <v>337</v>
      </c>
      <c r="S58" s="829" t="s">
        <v>70</v>
      </c>
      <c r="T58" s="829" t="s">
        <v>338</v>
      </c>
      <c r="U58" s="829"/>
      <c r="V58" s="829"/>
      <c r="W58" s="829"/>
      <c r="X58" s="822" t="s">
        <v>339</v>
      </c>
      <c r="Y58" s="828" t="s">
        <v>340</v>
      </c>
      <c r="Z58" s="1306">
        <v>4.1</v>
      </c>
      <c r="AA58" s="831">
        <f t="shared" si="9"/>
        <v>2214</v>
      </c>
      <c r="AC58" s="1307" t="s">
        <v>350</v>
      </c>
      <c r="AD58" s="633" t="s">
        <v>184</v>
      </c>
      <c r="AE58" s="633" t="s">
        <v>82</v>
      </c>
      <c r="AF58" s="633"/>
      <c r="AG58" s="618" t="s">
        <v>74</v>
      </c>
      <c r="AH58" s="618"/>
      <c r="AI58" s="1308">
        <v>540</v>
      </c>
      <c r="AJ58" s="824">
        <f t="shared" si="6"/>
        <v>0</v>
      </c>
      <c r="AK58" s="633"/>
      <c r="AL58" s="633"/>
      <c r="AM58" s="633"/>
      <c r="AN58" s="825">
        <f t="shared" si="15"/>
        <v>540</v>
      </c>
      <c r="AO58" s="687"/>
      <c r="AP58" s="687"/>
      <c r="AQ58" s="687"/>
      <c r="AR58" s="825"/>
      <c r="AS58" s="687">
        <f>I58</f>
        <v>540</v>
      </c>
      <c r="AT58" s="687"/>
      <c r="AU58" s="825">
        <f t="shared" si="16"/>
        <v>540</v>
      </c>
      <c r="AV58" s="825"/>
      <c r="AW58" s="825">
        <f t="shared" si="10"/>
        <v>540</v>
      </c>
      <c r="AX58" s="825"/>
      <c r="AY58" s="1305"/>
      <c r="AZ58" s="1305"/>
      <c r="BA58" s="1305"/>
      <c r="BB58" s="1305"/>
      <c r="BC58" s="1305"/>
      <c r="BD58" s="1305"/>
      <c r="BE58" s="1305"/>
      <c r="BF58" s="1305"/>
      <c r="BG58" s="1305"/>
      <c r="BH58" s="1305"/>
      <c r="BI58" s="1305"/>
      <c r="BJ58" s="1305"/>
      <c r="BK58" s="1305"/>
      <c r="BL58" s="1305"/>
      <c r="BM58" s="1305"/>
      <c r="BN58" s="1305"/>
      <c r="BO58" s="1305"/>
      <c r="BP58" s="1305"/>
    </row>
    <row r="59" s="1265" customFormat="1" ht="31" customHeight="1" spans="1:68">
      <c r="A59" s="1304">
        <v>45758</v>
      </c>
      <c r="B59" s="822" t="s">
        <v>351</v>
      </c>
      <c r="C59" s="633" t="s">
        <v>98</v>
      </c>
      <c r="D59" s="825">
        <v>4500163428</v>
      </c>
      <c r="E59" s="633" t="s">
        <v>352</v>
      </c>
      <c r="F59" s="1305" t="s">
        <v>353</v>
      </c>
      <c r="G59" s="659" t="s">
        <v>101</v>
      </c>
      <c r="H59" s="633" t="s">
        <v>102</v>
      </c>
      <c r="I59" s="633">
        <v>640</v>
      </c>
      <c r="J59" s="633">
        <v>0</v>
      </c>
      <c r="K59" s="633">
        <v>4</v>
      </c>
      <c r="L59" s="827">
        <f t="shared" si="0"/>
        <v>160</v>
      </c>
      <c r="M59" s="828">
        <v>45824</v>
      </c>
      <c r="N59" s="828">
        <v>45820</v>
      </c>
      <c r="O59" s="824"/>
      <c r="P59" s="824" t="s">
        <v>113</v>
      </c>
      <c r="Q59" s="633"/>
      <c r="R59" s="829">
        <v>45758</v>
      </c>
      <c r="S59" s="829" t="s">
        <v>70</v>
      </c>
      <c r="T59" s="829" t="s">
        <v>70</v>
      </c>
      <c r="U59" s="829"/>
      <c r="V59" s="829"/>
      <c r="W59" s="829"/>
      <c r="X59" s="822" t="s">
        <v>354</v>
      </c>
      <c r="Y59" s="828" t="s">
        <v>355</v>
      </c>
      <c r="Z59" s="1306">
        <v>5.1</v>
      </c>
      <c r="AA59" s="831">
        <f t="shared" si="9"/>
        <v>3264</v>
      </c>
      <c r="AC59" s="632" t="s">
        <v>356</v>
      </c>
      <c r="AD59" s="633" t="s">
        <v>101</v>
      </c>
      <c r="AE59" s="633" t="s">
        <v>82</v>
      </c>
      <c r="AF59" s="633"/>
      <c r="AG59" s="618" t="s">
        <v>74</v>
      </c>
      <c r="AH59" s="618"/>
      <c r="AI59" s="1308">
        <v>640</v>
      </c>
      <c r="AJ59" s="824">
        <f t="shared" si="6"/>
        <v>0</v>
      </c>
      <c r="AK59" s="633"/>
      <c r="AL59" s="633"/>
      <c r="AM59" s="633"/>
      <c r="AN59" s="825">
        <f t="shared" si="15"/>
        <v>640</v>
      </c>
      <c r="AO59" s="687"/>
      <c r="AP59" s="687"/>
      <c r="AQ59" s="687"/>
      <c r="AR59" s="825">
        <f>I59</f>
        <v>640</v>
      </c>
      <c r="AS59" s="687"/>
      <c r="AT59" s="687"/>
      <c r="AU59" s="825">
        <f t="shared" si="16"/>
        <v>640</v>
      </c>
      <c r="AV59" s="825"/>
      <c r="AW59" s="825">
        <f t="shared" si="10"/>
        <v>640</v>
      </c>
      <c r="AX59" s="825"/>
      <c r="AY59" s="1305"/>
      <c r="AZ59" s="1305"/>
      <c r="BA59" s="1305"/>
      <c r="BB59" s="1305"/>
      <c r="BC59" s="1305"/>
      <c r="BD59" s="1305"/>
      <c r="BE59" s="1305"/>
      <c r="BF59" s="1305"/>
      <c r="BG59" s="1305"/>
      <c r="BH59" s="825">
        <f>I59/4</f>
        <v>160</v>
      </c>
      <c r="BI59" s="1305"/>
      <c r="BJ59" s="1305"/>
      <c r="BK59" s="1305"/>
      <c r="BL59" s="1305"/>
      <c r="BM59" s="1305"/>
      <c r="BN59" s="1305"/>
      <c r="BO59" s="1305"/>
      <c r="BP59" s="1305"/>
    </row>
    <row r="60" s="1265" customFormat="1" ht="31" customHeight="1" spans="1:68">
      <c r="A60" s="1304">
        <v>45758</v>
      </c>
      <c r="B60" s="822" t="s">
        <v>351</v>
      </c>
      <c r="C60" s="633" t="s">
        <v>98</v>
      </c>
      <c r="D60" s="825">
        <v>4500163428</v>
      </c>
      <c r="E60" s="633" t="s">
        <v>357</v>
      </c>
      <c r="F60" s="1305" t="s">
        <v>358</v>
      </c>
      <c r="G60" s="659" t="s">
        <v>101</v>
      </c>
      <c r="H60" s="633" t="s">
        <v>102</v>
      </c>
      <c r="I60" s="633">
        <v>1440</v>
      </c>
      <c r="J60" s="633">
        <v>0</v>
      </c>
      <c r="K60" s="633">
        <v>4</v>
      </c>
      <c r="L60" s="827">
        <f t="shared" si="0"/>
        <v>360</v>
      </c>
      <c r="M60" s="828">
        <v>45824</v>
      </c>
      <c r="N60" s="828">
        <v>45820</v>
      </c>
      <c r="O60" s="824"/>
      <c r="P60" s="824" t="s">
        <v>113</v>
      </c>
      <c r="Q60" s="633"/>
      <c r="R60" s="829">
        <v>45758</v>
      </c>
      <c r="S60" s="829" t="s">
        <v>70</v>
      </c>
      <c r="T60" s="829" t="s">
        <v>70</v>
      </c>
      <c r="U60" s="829"/>
      <c r="V60" s="829"/>
      <c r="W60" s="829"/>
      <c r="X60" s="822" t="s">
        <v>354</v>
      </c>
      <c r="Y60" s="828" t="s">
        <v>355</v>
      </c>
      <c r="Z60" s="1306">
        <v>5.1</v>
      </c>
      <c r="AA60" s="831">
        <f t="shared" si="9"/>
        <v>7344</v>
      </c>
      <c r="AC60" s="632" t="s">
        <v>359</v>
      </c>
      <c r="AD60" s="633" t="s">
        <v>101</v>
      </c>
      <c r="AE60" s="633" t="s">
        <v>82</v>
      </c>
      <c r="AF60" s="633"/>
      <c r="AG60" s="618" t="s">
        <v>74</v>
      </c>
      <c r="AH60" s="618"/>
      <c r="AI60" s="1308">
        <v>1440</v>
      </c>
      <c r="AJ60" s="824">
        <f t="shared" si="6"/>
        <v>0</v>
      </c>
      <c r="AK60" s="633"/>
      <c r="AL60" s="633"/>
      <c r="AM60" s="633"/>
      <c r="AN60" s="825">
        <f t="shared" si="15"/>
        <v>1440</v>
      </c>
      <c r="AO60" s="687"/>
      <c r="AP60" s="687"/>
      <c r="AQ60" s="687"/>
      <c r="AR60" s="825">
        <f>I60</f>
        <v>1440</v>
      </c>
      <c r="AS60" s="687"/>
      <c r="AT60" s="687"/>
      <c r="AU60" s="825">
        <f t="shared" si="16"/>
        <v>1440</v>
      </c>
      <c r="AV60" s="825"/>
      <c r="AW60" s="825">
        <f t="shared" si="10"/>
        <v>1440</v>
      </c>
      <c r="AX60" s="825"/>
      <c r="AY60" s="1305"/>
      <c r="AZ60" s="1305"/>
      <c r="BA60" s="1305"/>
      <c r="BB60" s="1305"/>
      <c r="BC60" s="1305"/>
      <c r="BD60" s="1305"/>
      <c r="BE60" s="1305"/>
      <c r="BF60" s="1305"/>
      <c r="BG60" s="1305"/>
      <c r="BH60" s="825">
        <f>I60/4</f>
        <v>360</v>
      </c>
      <c r="BI60" s="1305"/>
      <c r="BJ60" s="1305"/>
      <c r="BK60" s="1305"/>
      <c r="BL60" s="1305"/>
      <c r="BM60" s="1305"/>
      <c r="BN60" s="1305"/>
      <c r="BO60" s="1305"/>
      <c r="BP60" s="1305"/>
    </row>
    <row r="61" s="1265" customFormat="1" ht="31" customHeight="1" spans="1:68">
      <c r="A61" s="1304">
        <v>45726</v>
      </c>
      <c r="B61" s="822" t="s">
        <v>97</v>
      </c>
      <c r="C61" s="633" t="s">
        <v>98</v>
      </c>
      <c r="D61" s="825">
        <v>4500159664</v>
      </c>
      <c r="E61" s="633" t="s">
        <v>360</v>
      </c>
      <c r="F61" s="1305" t="s">
        <v>361</v>
      </c>
      <c r="G61" s="659" t="s">
        <v>101</v>
      </c>
      <c r="H61" s="633" t="s">
        <v>102</v>
      </c>
      <c r="I61" s="633">
        <v>3304</v>
      </c>
      <c r="J61" s="633">
        <v>0</v>
      </c>
      <c r="K61" s="633">
        <v>4</v>
      </c>
      <c r="L61" s="827">
        <f t="shared" si="0"/>
        <v>826</v>
      </c>
      <c r="M61" s="828">
        <v>45803</v>
      </c>
      <c r="N61" s="828">
        <v>45799</v>
      </c>
      <c r="O61" s="824" t="s">
        <v>362</v>
      </c>
      <c r="P61" s="824" t="s">
        <v>113</v>
      </c>
      <c r="Q61" s="633"/>
      <c r="R61" s="829">
        <v>45727</v>
      </c>
      <c r="S61" s="829" t="s">
        <v>104</v>
      </c>
      <c r="T61" s="829">
        <v>45727</v>
      </c>
      <c r="U61" s="829"/>
      <c r="V61" s="829" t="s">
        <v>191</v>
      </c>
      <c r="W61" s="829"/>
      <c r="X61" s="628" t="s">
        <v>192</v>
      </c>
      <c r="Y61" s="828" t="s">
        <v>106</v>
      </c>
      <c r="Z61" s="1306">
        <v>5</v>
      </c>
      <c r="AA61" s="831">
        <f t="shared" si="9"/>
        <v>16520</v>
      </c>
      <c r="AC61" s="632"/>
      <c r="AD61" s="633" t="s">
        <v>101</v>
      </c>
      <c r="AE61" s="633" t="s">
        <v>82</v>
      </c>
      <c r="AF61" s="633"/>
      <c r="AG61" s="618" t="s">
        <v>74</v>
      </c>
      <c r="AH61" s="618"/>
      <c r="AI61" s="1308">
        <v>3304</v>
      </c>
      <c r="AJ61" s="824">
        <f t="shared" si="6"/>
        <v>0</v>
      </c>
      <c r="AK61" s="633"/>
      <c r="AL61" s="633"/>
      <c r="AM61" s="633"/>
      <c r="AN61" s="825">
        <f t="shared" si="15"/>
        <v>3304</v>
      </c>
      <c r="AO61" s="687"/>
      <c r="AP61" s="687"/>
      <c r="AQ61" s="687"/>
      <c r="AR61" s="825">
        <f>I61</f>
        <v>3304</v>
      </c>
      <c r="AS61" s="687"/>
      <c r="AT61" s="687"/>
      <c r="AU61" s="825">
        <f t="shared" si="16"/>
        <v>3304</v>
      </c>
      <c r="AV61" s="825"/>
      <c r="AW61" s="825">
        <f t="shared" si="10"/>
        <v>3304</v>
      </c>
      <c r="AX61" s="825"/>
      <c r="AY61" s="1305"/>
      <c r="AZ61" s="1305"/>
      <c r="BA61" s="1305"/>
      <c r="BB61" s="1305"/>
      <c r="BC61" s="1305"/>
      <c r="BD61" s="1305"/>
      <c r="BE61" s="1305"/>
      <c r="BF61" s="1305"/>
      <c r="BG61" s="1305"/>
      <c r="BH61" s="825">
        <f>I61/4</f>
        <v>826</v>
      </c>
      <c r="BI61" s="1305"/>
      <c r="BJ61" s="1305"/>
      <c r="BK61" s="1305"/>
      <c r="BL61" s="1305"/>
      <c r="BM61" s="1305"/>
      <c r="BN61" s="1305"/>
      <c r="BO61" s="1305"/>
      <c r="BP61" s="1305"/>
    </row>
    <row r="62" s="1265" customFormat="1" ht="31" customHeight="1" spans="1:68">
      <c r="A62" s="1304">
        <v>45726</v>
      </c>
      <c r="B62" s="822" t="s">
        <v>97</v>
      </c>
      <c r="C62" s="633" t="s">
        <v>98</v>
      </c>
      <c r="D62" s="825">
        <v>4500159664</v>
      </c>
      <c r="E62" s="633" t="s">
        <v>363</v>
      </c>
      <c r="F62" s="1305" t="s">
        <v>364</v>
      </c>
      <c r="G62" s="659" t="s">
        <v>101</v>
      </c>
      <c r="H62" s="633" t="s">
        <v>102</v>
      </c>
      <c r="I62" s="633">
        <v>3320</v>
      </c>
      <c r="J62" s="633">
        <v>0</v>
      </c>
      <c r="K62" s="633">
        <v>4</v>
      </c>
      <c r="L62" s="827">
        <f t="shared" si="0"/>
        <v>830</v>
      </c>
      <c r="M62" s="828">
        <v>45803</v>
      </c>
      <c r="N62" s="828">
        <v>45799</v>
      </c>
      <c r="O62" s="824" t="s">
        <v>362</v>
      </c>
      <c r="P62" s="824" t="s">
        <v>113</v>
      </c>
      <c r="Q62" s="633"/>
      <c r="R62" s="829">
        <v>45727</v>
      </c>
      <c r="S62" s="829" t="s">
        <v>104</v>
      </c>
      <c r="T62" s="829">
        <v>45727</v>
      </c>
      <c r="U62" s="829"/>
      <c r="V62" s="829" t="s">
        <v>191</v>
      </c>
      <c r="W62" s="829"/>
      <c r="X62" s="628" t="s">
        <v>192</v>
      </c>
      <c r="Y62" s="828" t="s">
        <v>106</v>
      </c>
      <c r="Z62" s="1306">
        <v>5</v>
      </c>
      <c r="AA62" s="831">
        <f t="shared" si="9"/>
        <v>16600</v>
      </c>
      <c r="AC62" s="632"/>
      <c r="AD62" s="633" t="s">
        <v>101</v>
      </c>
      <c r="AE62" s="633" t="s">
        <v>82</v>
      </c>
      <c r="AF62" s="633"/>
      <c r="AG62" s="618" t="s">
        <v>74</v>
      </c>
      <c r="AH62" s="618"/>
      <c r="AI62" s="1308">
        <v>3320</v>
      </c>
      <c r="AJ62" s="824">
        <f t="shared" si="6"/>
        <v>0</v>
      </c>
      <c r="AK62" s="633"/>
      <c r="AL62" s="633"/>
      <c r="AM62" s="633"/>
      <c r="AN62" s="825">
        <f t="shared" si="15"/>
        <v>3320</v>
      </c>
      <c r="AO62" s="687"/>
      <c r="AP62" s="687"/>
      <c r="AQ62" s="687"/>
      <c r="AR62" s="825">
        <f>I62</f>
        <v>3320</v>
      </c>
      <c r="AS62" s="687"/>
      <c r="AT62" s="687"/>
      <c r="AU62" s="825">
        <f t="shared" si="16"/>
        <v>3320</v>
      </c>
      <c r="AV62" s="825"/>
      <c r="AW62" s="825">
        <f t="shared" si="10"/>
        <v>3320</v>
      </c>
      <c r="AX62" s="825"/>
      <c r="AY62" s="1305"/>
      <c r="AZ62" s="1305"/>
      <c r="BA62" s="1305"/>
      <c r="BB62" s="1305"/>
      <c r="BC62" s="1305"/>
      <c r="BD62" s="1305"/>
      <c r="BE62" s="1305"/>
      <c r="BF62" s="1305"/>
      <c r="BG62" s="1305"/>
      <c r="BH62" s="825">
        <f>I62/4</f>
        <v>830</v>
      </c>
      <c r="BI62" s="1305"/>
      <c r="BJ62" s="1305"/>
      <c r="BK62" s="1305"/>
      <c r="BL62" s="1305"/>
      <c r="BM62" s="1305"/>
      <c r="BN62" s="1305"/>
      <c r="BO62" s="1305"/>
      <c r="BP62" s="1305"/>
    </row>
    <row r="63" s="1265" customFormat="1" ht="31" customHeight="1" spans="1:68">
      <c r="A63" s="1304">
        <v>45744</v>
      </c>
      <c r="B63" s="822" t="s">
        <v>143</v>
      </c>
      <c r="C63" s="633" t="s">
        <v>98</v>
      </c>
      <c r="D63" s="825">
        <v>4500161763</v>
      </c>
      <c r="E63" s="1413" t="s">
        <v>365</v>
      </c>
      <c r="F63" s="1305" t="s">
        <v>366</v>
      </c>
      <c r="G63" s="659" t="s">
        <v>101</v>
      </c>
      <c r="H63" s="633" t="s">
        <v>102</v>
      </c>
      <c r="I63" s="633">
        <v>912</v>
      </c>
      <c r="J63" s="633">
        <v>0</v>
      </c>
      <c r="K63" s="633">
        <v>4</v>
      </c>
      <c r="L63" s="827">
        <f t="shared" si="0"/>
        <v>228</v>
      </c>
      <c r="M63" s="828">
        <v>45803</v>
      </c>
      <c r="N63" s="828">
        <v>45799</v>
      </c>
      <c r="O63" s="824" t="s">
        <v>367</v>
      </c>
      <c r="P63" s="824" t="s">
        <v>113</v>
      </c>
      <c r="Q63" s="633"/>
      <c r="R63" s="829" t="s">
        <v>147</v>
      </c>
      <c r="S63" s="829" t="s">
        <v>70</v>
      </c>
      <c r="T63" s="829" t="s">
        <v>368</v>
      </c>
      <c r="U63" s="829"/>
      <c r="V63" s="774" t="s">
        <v>148</v>
      </c>
      <c r="W63" s="829"/>
      <c r="X63" s="822" t="s">
        <v>369</v>
      </c>
      <c r="Y63" s="828" t="s">
        <v>106</v>
      </c>
      <c r="Z63" s="1306">
        <v>5</v>
      </c>
      <c r="AA63" s="831">
        <f t="shared" si="9"/>
        <v>4560</v>
      </c>
      <c r="AC63" s="632"/>
      <c r="AD63" s="633" t="s">
        <v>101</v>
      </c>
      <c r="AE63" s="633" t="s">
        <v>82</v>
      </c>
      <c r="AF63" s="633"/>
      <c r="AG63" s="618" t="s">
        <v>74</v>
      </c>
      <c r="AH63" s="618"/>
      <c r="AI63" s="1308">
        <v>912</v>
      </c>
      <c r="AJ63" s="824">
        <f t="shared" si="6"/>
        <v>0</v>
      </c>
      <c r="AK63" s="633"/>
      <c r="AL63" s="633"/>
      <c r="AM63" s="633"/>
      <c r="AN63" s="825">
        <f t="shared" si="15"/>
        <v>912</v>
      </c>
      <c r="AO63" s="687"/>
      <c r="AP63" s="687"/>
      <c r="AQ63" s="687"/>
      <c r="AR63" s="825">
        <f>I63</f>
        <v>912</v>
      </c>
      <c r="AS63" s="687"/>
      <c r="AT63" s="687"/>
      <c r="AU63" s="825">
        <f t="shared" si="16"/>
        <v>912</v>
      </c>
      <c r="AV63" s="825"/>
      <c r="AW63" s="825">
        <f t="shared" si="10"/>
        <v>912</v>
      </c>
      <c r="AX63" s="825"/>
      <c r="AY63" s="1305"/>
      <c r="AZ63" s="1305"/>
      <c r="BA63" s="1305"/>
      <c r="BB63" s="1305"/>
      <c r="BC63" s="1305"/>
      <c r="BD63" s="1305"/>
      <c r="BE63" s="1305"/>
      <c r="BF63" s="1305"/>
      <c r="BG63" s="1305"/>
      <c r="BH63" s="825">
        <f>I63/4</f>
        <v>228</v>
      </c>
      <c r="BI63" s="1305"/>
      <c r="BJ63" s="1305"/>
      <c r="BK63" s="1305"/>
      <c r="BL63" s="1305"/>
      <c r="BM63" s="1305"/>
      <c r="BN63" s="1305"/>
      <c r="BO63" s="1305"/>
      <c r="BP63" s="1305"/>
    </row>
    <row r="64" s="1265" customFormat="1" ht="31" customHeight="1" spans="1:68">
      <c r="A64" s="1304">
        <v>45749</v>
      </c>
      <c r="B64" s="822" t="s">
        <v>370</v>
      </c>
      <c r="C64" s="633" t="s">
        <v>241</v>
      </c>
      <c r="D64" s="825">
        <v>4500162197</v>
      </c>
      <c r="E64" s="633">
        <v>32577893</v>
      </c>
      <c r="F64" s="1305" t="s">
        <v>371</v>
      </c>
      <c r="G64" s="659" t="s">
        <v>101</v>
      </c>
      <c r="H64" s="633" t="s">
        <v>102</v>
      </c>
      <c r="I64" s="633">
        <v>200</v>
      </c>
      <c r="J64" s="633">
        <v>0</v>
      </c>
      <c r="K64" s="633">
        <v>4</v>
      </c>
      <c r="L64" s="827">
        <f t="shared" si="0"/>
        <v>50</v>
      </c>
      <c r="M64" s="828">
        <v>45803</v>
      </c>
      <c r="N64" s="828">
        <v>45799</v>
      </c>
      <c r="O64" s="824" t="s">
        <v>362</v>
      </c>
      <c r="P64" s="824" t="s">
        <v>113</v>
      </c>
      <c r="Q64" s="633"/>
      <c r="R64" s="829">
        <v>45749</v>
      </c>
      <c r="S64" s="829" t="s">
        <v>70</v>
      </c>
      <c r="T64" s="829" t="s">
        <v>70</v>
      </c>
      <c r="U64" s="829"/>
      <c r="V64" s="829"/>
      <c r="W64" s="829"/>
      <c r="X64" s="628" t="s">
        <v>372</v>
      </c>
      <c r="Y64" s="828" t="s">
        <v>299</v>
      </c>
      <c r="Z64" s="1306">
        <v>4.3</v>
      </c>
      <c r="AA64" s="831">
        <f t="shared" si="9"/>
        <v>860</v>
      </c>
      <c r="AC64" s="1307" t="s">
        <v>373</v>
      </c>
      <c r="AD64" s="633" t="s">
        <v>156</v>
      </c>
      <c r="AE64" s="633" t="s">
        <v>82</v>
      </c>
      <c r="AF64" s="633"/>
      <c r="AG64" s="618" t="s">
        <v>74</v>
      </c>
      <c r="AH64" s="618"/>
      <c r="AI64" s="1308">
        <f>196+4</f>
        <v>200</v>
      </c>
      <c r="AJ64" s="824">
        <f t="shared" si="6"/>
        <v>0</v>
      </c>
      <c r="AK64" s="633"/>
      <c r="AL64" s="633"/>
      <c r="AM64" s="633"/>
      <c r="AN64" s="825">
        <f t="shared" si="15"/>
        <v>200</v>
      </c>
      <c r="AO64" s="687"/>
      <c r="AP64" s="687"/>
      <c r="AQ64" s="687"/>
      <c r="AR64" s="825"/>
      <c r="AS64" s="687">
        <f>I64</f>
        <v>200</v>
      </c>
      <c r="AT64" s="687"/>
      <c r="AU64" s="825">
        <f t="shared" si="16"/>
        <v>200</v>
      </c>
      <c r="AV64" s="825"/>
      <c r="AW64" s="825">
        <f t="shared" si="10"/>
        <v>200</v>
      </c>
      <c r="AX64" s="825"/>
      <c r="AY64" s="1305"/>
      <c r="AZ64" s="1305"/>
      <c r="BA64" s="1305"/>
      <c r="BB64" s="1305"/>
      <c r="BC64" s="1305"/>
      <c r="BD64" s="1305"/>
      <c r="BE64" s="1305"/>
      <c r="BF64" s="1305"/>
      <c r="BG64" s="1305"/>
      <c r="BH64" s="1305"/>
      <c r="BI64" s="825">
        <f>I64/4</f>
        <v>50</v>
      </c>
      <c r="BJ64" s="1305"/>
      <c r="BK64" s="1305"/>
      <c r="BL64" s="1305"/>
      <c r="BM64" s="1305"/>
      <c r="BN64" s="1305"/>
      <c r="BO64" s="1305"/>
      <c r="BP64" s="1305"/>
    </row>
    <row r="65" s="1265" customFormat="1" ht="31" customHeight="1" spans="1:68">
      <c r="A65" s="1304">
        <v>45749</v>
      </c>
      <c r="B65" s="822" t="s">
        <v>374</v>
      </c>
      <c r="C65" s="633" t="s">
        <v>375</v>
      </c>
      <c r="D65" s="825">
        <v>4500161573</v>
      </c>
      <c r="E65" s="633">
        <v>4100411993</v>
      </c>
      <c r="F65" s="1305" t="s">
        <v>376</v>
      </c>
      <c r="G65" s="659" t="s">
        <v>101</v>
      </c>
      <c r="H65" s="633" t="s">
        <v>112</v>
      </c>
      <c r="I65" s="633">
        <v>240</v>
      </c>
      <c r="J65" s="633">
        <v>0</v>
      </c>
      <c r="K65" s="633">
        <v>4</v>
      </c>
      <c r="L65" s="827">
        <f t="shared" si="0"/>
        <v>60</v>
      </c>
      <c r="M65" s="828">
        <v>45803</v>
      </c>
      <c r="N65" s="828">
        <v>45799</v>
      </c>
      <c r="O65" s="824"/>
      <c r="P65" s="824" t="s">
        <v>113</v>
      </c>
      <c r="Q65" s="633"/>
      <c r="R65" s="829">
        <v>45769</v>
      </c>
      <c r="S65" s="829" t="s">
        <v>70</v>
      </c>
      <c r="T65" s="829">
        <v>45765</v>
      </c>
      <c r="U65" s="829"/>
      <c r="V65" s="829"/>
      <c r="W65" s="829"/>
      <c r="X65" s="628" t="s">
        <v>377</v>
      </c>
      <c r="Y65" s="828" t="s">
        <v>244</v>
      </c>
      <c r="Z65" s="1306">
        <v>5.1</v>
      </c>
      <c r="AA65" s="831">
        <f t="shared" si="9"/>
        <v>1224</v>
      </c>
      <c r="AC65" s="1307" t="s">
        <v>378</v>
      </c>
      <c r="AD65" s="633" t="s">
        <v>156</v>
      </c>
      <c r="AE65" s="633" t="s">
        <v>82</v>
      </c>
      <c r="AF65" s="633"/>
      <c r="AG65" s="618" t="s">
        <v>74</v>
      </c>
      <c r="AH65" s="618"/>
      <c r="AI65" s="1308">
        <v>240</v>
      </c>
      <c r="AJ65" s="824">
        <f t="shared" si="6"/>
        <v>0</v>
      </c>
      <c r="AK65" s="633"/>
      <c r="AL65" s="633"/>
      <c r="AM65" s="633"/>
      <c r="AN65" s="825">
        <f t="shared" si="15"/>
        <v>240</v>
      </c>
      <c r="AO65" s="687"/>
      <c r="AP65" s="687"/>
      <c r="AQ65" s="687"/>
      <c r="AR65" s="825"/>
      <c r="AS65" s="687">
        <f>I65</f>
        <v>240</v>
      </c>
      <c r="AT65" s="687"/>
      <c r="AU65" s="825">
        <f t="shared" si="16"/>
        <v>240</v>
      </c>
      <c r="AV65" s="825"/>
      <c r="AW65" s="825">
        <f t="shared" si="10"/>
        <v>240</v>
      </c>
      <c r="AX65" s="825"/>
      <c r="AY65" s="1305"/>
      <c r="AZ65" s="1305"/>
      <c r="BA65" s="1305"/>
      <c r="BB65" s="1305"/>
      <c r="BC65" s="1305"/>
      <c r="BD65" s="1305"/>
      <c r="BE65" s="1305"/>
      <c r="BF65" s="1305"/>
      <c r="BG65" s="1305"/>
      <c r="BH65" s="1305"/>
      <c r="BI65" s="825">
        <f>I65/4</f>
        <v>60</v>
      </c>
      <c r="BJ65" s="1305"/>
      <c r="BK65" s="1305"/>
      <c r="BL65" s="1305"/>
      <c r="BM65" s="1305"/>
      <c r="BN65" s="1305"/>
      <c r="BO65" s="1305"/>
      <c r="BP65" s="1305"/>
    </row>
    <row r="66" s="1265" customFormat="1" ht="31" customHeight="1" spans="1:68">
      <c r="A66" s="1304">
        <v>45768</v>
      </c>
      <c r="B66" s="822" t="s">
        <v>379</v>
      </c>
      <c r="C66" s="633" t="s">
        <v>98</v>
      </c>
      <c r="D66" s="825">
        <v>4500164375</v>
      </c>
      <c r="E66" s="633" t="s">
        <v>380</v>
      </c>
      <c r="F66" s="1305" t="s">
        <v>381</v>
      </c>
      <c r="G66" s="659" t="s">
        <v>111</v>
      </c>
      <c r="H66" s="633" t="s">
        <v>112</v>
      </c>
      <c r="I66" s="633">
        <v>800</v>
      </c>
      <c r="J66" s="633">
        <v>0</v>
      </c>
      <c r="K66" s="633">
        <v>16</v>
      </c>
      <c r="L66" s="827">
        <f t="shared" si="0"/>
        <v>50</v>
      </c>
      <c r="M66" s="828">
        <v>45804</v>
      </c>
      <c r="N66" s="828">
        <v>45800</v>
      </c>
      <c r="O66" s="824"/>
      <c r="P66" s="824" t="s">
        <v>113</v>
      </c>
      <c r="Q66" s="633"/>
      <c r="R66" s="829">
        <v>45771</v>
      </c>
      <c r="S66" s="829" t="s">
        <v>70</v>
      </c>
      <c r="T66" s="829" t="s">
        <v>70</v>
      </c>
      <c r="U66" s="829"/>
      <c r="V66" s="829"/>
      <c r="W66" s="829"/>
      <c r="X66" s="822" t="s">
        <v>382</v>
      </c>
      <c r="Y66" s="828" t="s">
        <v>383</v>
      </c>
      <c r="Z66" s="1306">
        <v>2.634</v>
      </c>
      <c r="AA66" s="831">
        <f t="shared" si="9"/>
        <v>2107.2</v>
      </c>
      <c r="AC66" s="632"/>
      <c r="AD66" s="633" t="s">
        <v>111</v>
      </c>
      <c r="AE66" s="633" t="s">
        <v>82</v>
      </c>
      <c r="AF66" s="633"/>
      <c r="AG66" s="618" t="s">
        <v>74</v>
      </c>
      <c r="AH66" s="618"/>
      <c r="AI66" s="1308">
        <v>800</v>
      </c>
      <c r="AJ66" s="824">
        <f t="shared" si="6"/>
        <v>0</v>
      </c>
      <c r="AK66" s="633"/>
      <c r="AL66" s="633"/>
      <c r="AM66" s="633"/>
      <c r="AN66" s="825">
        <f t="shared" si="15"/>
        <v>800</v>
      </c>
      <c r="AO66" s="687"/>
      <c r="AP66" s="687"/>
      <c r="AQ66" s="687"/>
      <c r="AR66" s="825">
        <f>I66</f>
        <v>800</v>
      </c>
      <c r="AS66" s="687"/>
      <c r="AT66" s="687"/>
      <c r="AU66" s="825">
        <f t="shared" si="16"/>
        <v>800</v>
      </c>
      <c r="AV66" s="825"/>
      <c r="AW66" s="825">
        <f t="shared" si="10"/>
        <v>800</v>
      </c>
      <c r="AX66" s="825"/>
      <c r="AY66" s="1305"/>
      <c r="AZ66" s="1305"/>
      <c r="BA66" s="1305"/>
      <c r="BB66" s="1305"/>
      <c r="BC66" s="1305"/>
      <c r="BD66" s="1305"/>
      <c r="BE66" s="1305"/>
      <c r="BF66" s="1305"/>
      <c r="BG66" s="1305"/>
      <c r="BH66" s="825">
        <f>I66/4</f>
        <v>200</v>
      </c>
      <c r="BI66" s="1305"/>
      <c r="BJ66" s="1305"/>
      <c r="BK66" s="1305"/>
      <c r="BL66" s="1305"/>
      <c r="BM66" s="1305"/>
      <c r="BN66" s="1305"/>
      <c r="BO66" s="1305"/>
      <c r="BP66" s="1305"/>
    </row>
    <row r="67" s="1265" customFormat="1" ht="31" customHeight="1" spans="1:68">
      <c r="A67" s="1304">
        <v>45771</v>
      </c>
      <c r="B67" s="822" t="s">
        <v>153</v>
      </c>
      <c r="C67" s="633" t="s">
        <v>154</v>
      </c>
      <c r="D67" s="825">
        <v>4500164783</v>
      </c>
      <c r="E67" s="633">
        <v>5200006663</v>
      </c>
      <c r="F67" s="1305" t="s">
        <v>384</v>
      </c>
      <c r="G67" s="659" t="s">
        <v>385</v>
      </c>
      <c r="H67" s="633" t="s">
        <v>386</v>
      </c>
      <c r="I67" s="633">
        <v>1200</v>
      </c>
      <c r="J67" s="633">
        <v>0</v>
      </c>
      <c r="K67" s="633">
        <v>4</v>
      </c>
      <c r="L67" s="827">
        <f t="shared" si="0"/>
        <v>300</v>
      </c>
      <c r="M67" s="828">
        <v>45804</v>
      </c>
      <c r="N67" s="828">
        <v>45800</v>
      </c>
      <c r="O67" s="824"/>
      <c r="P67" s="824" t="s">
        <v>113</v>
      </c>
      <c r="Q67" s="633"/>
      <c r="R67" s="829">
        <v>45772</v>
      </c>
      <c r="S67" s="829" t="s">
        <v>70</v>
      </c>
      <c r="T67" s="829">
        <v>45783</v>
      </c>
      <c r="U67" s="829"/>
      <c r="V67" s="829"/>
      <c r="W67" s="829"/>
      <c r="X67" s="822" t="s">
        <v>387</v>
      </c>
      <c r="Y67" s="828" t="s">
        <v>388</v>
      </c>
      <c r="Z67" s="1306">
        <v>4.1</v>
      </c>
      <c r="AA67" s="831">
        <f t="shared" si="9"/>
        <v>4920</v>
      </c>
      <c r="AC67" s="1307" t="s">
        <v>389</v>
      </c>
      <c r="AD67" s="633" t="s">
        <v>390</v>
      </c>
      <c r="AE67" s="633" t="s">
        <v>82</v>
      </c>
      <c r="AF67" s="633"/>
      <c r="AG67" s="618" t="s">
        <v>74</v>
      </c>
      <c r="AH67" s="618"/>
      <c r="AI67" s="1308">
        <v>1200</v>
      </c>
      <c r="AJ67" s="824">
        <f t="shared" si="6"/>
        <v>0</v>
      </c>
      <c r="AK67" s="633"/>
      <c r="AL67" s="633"/>
      <c r="AM67" s="633"/>
      <c r="AN67" s="825">
        <f t="shared" si="15"/>
        <v>1200</v>
      </c>
      <c r="AO67" s="687"/>
      <c r="AP67" s="687"/>
      <c r="AQ67" s="687"/>
      <c r="AR67" s="825"/>
      <c r="AS67" s="687">
        <f>I67</f>
        <v>1200</v>
      </c>
      <c r="AT67" s="687"/>
      <c r="AU67" s="825">
        <f t="shared" si="16"/>
        <v>1200</v>
      </c>
      <c r="AV67" s="825"/>
      <c r="AW67" s="825">
        <f t="shared" si="10"/>
        <v>1200</v>
      </c>
      <c r="AX67" s="825"/>
      <c r="AY67" s="1305"/>
      <c r="AZ67" s="1305"/>
      <c r="BA67" s="1305"/>
      <c r="BB67" s="1305"/>
      <c r="BC67" s="1305"/>
      <c r="BD67" s="1305"/>
      <c r="BE67" s="1305"/>
      <c r="BF67" s="1305"/>
      <c r="BG67" s="1305"/>
      <c r="BH67" s="1305"/>
      <c r="BI67" s="825">
        <f>I67/4</f>
        <v>300</v>
      </c>
      <c r="BJ67" s="1305"/>
      <c r="BK67" s="1305"/>
      <c r="BL67" s="1305"/>
      <c r="BM67" s="1305"/>
      <c r="BN67" s="1305"/>
      <c r="BO67" s="1305"/>
      <c r="BP67" s="1305"/>
    </row>
    <row r="68" s="1265" customFormat="1" ht="31" customHeight="1" spans="1:68">
      <c r="A68" s="1304">
        <v>45740</v>
      </c>
      <c r="B68" s="822" t="s">
        <v>391</v>
      </c>
      <c r="C68" s="633" t="s">
        <v>154</v>
      </c>
      <c r="D68" s="825">
        <v>4500161168</v>
      </c>
      <c r="E68" s="633">
        <v>10355376</v>
      </c>
      <c r="F68" s="1305" t="s">
        <v>392</v>
      </c>
      <c r="G68" s="659" t="s">
        <v>101</v>
      </c>
      <c r="H68" s="633" t="s">
        <v>102</v>
      </c>
      <c r="I68" s="633">
        <v>540</v>
      </c>
      <c r="J68" s="633">
        <v>0</v>
      </c>
      <c r="K68" s="633">
        <v>4</v>
      </c>
      <c r="L68" s="827">
        <f t="shared" si="0"/>
        <v>135</v>
      </c>
      <c r="M68" s="828">
        <v>45807</v>
      </c>
      <c r="N68" s="828">
        <v>45803</v>
      </c>
      <c r="O68" s="824"/>
      <c r="P68" s="824" t="s">
        <v>113</v>
      </c>
      <c r="Q68" s="633"/>
      <c r="R68" s="829">
        <v>45772</v>
      </c>
      <c r="S68" s="829" t="s">
        <v>104</v>
      </c>
      <c r="T68" s="829">
        <v>45774</v>
      </c>
      <c r="U68" s="829"/>
      <c r="V68" s="829"/>
      <c r="W68" s="829"/>
      <c r="X68" s="628" t="s">
        <v>393</v>
      </c>
      <c r="Y68" s="828" t="s">
        <v>394</v>
      </c>
      <c r="Z68" s="1306">
        <v>5</v>
      </c>
      <c r="AA68" s="831">
        <f t="shared" si="9"/>
        <v>2700</v>
      </c>
      <c r="AC68" s="1307" t="s">
        <v>395</v>
      </c>
      <c r="AD68" s="633" t="s">
        <v>156</v>
      </c>
      <c r="AE68" s="633" t="s">
        <v>82</v>
      </c>
      <c r="AF68" s="633"/>
      <c r="AG68" s="618" t="s">
        <v>74</v>
      </c>
      <c r="AH68" s="618"/>
      <c r="AI68" s="1308">
        <v>540</v>
      </c>
      <c r="AJ68" s="824">
        <f t="shared" si="6"/>
        <v>0</v>
      </c>
      <c r="AK68" s="633"/>
      <c r="AL68" s="633"/>
      <c r="AM68" s="633"/>
      <c r="AN68" s="825">
        <f t="shared" si="15"/>
        <v>540</v>
      </c>
      <c r="AO68" s="687"/>
      <c r="AP68" s="687"/>
      <c r="AQ68" s="687"/>
      <c r="AR68" s="825"/>
      <c r="AS68" s="687">
        <f>I68</f>
        <v>540</v>
      </c>
      <c r="AT68" s="687"/>
      <c r="AU68" s="825">
        <f t="shared" si="16"/>
        <v>540</v>
      </c>
      <c r="AV68" s="825"/>
      <c r="AW68" s="825">
        <f t="shared" si="10"/>
        <v>540</v>
      </c>
      <c r="AX68" s="825"/>
      <c r="AY68" s="1305"/>
      <c r="AZ68" s="1305"/>
      <c r="BA68" s="1305"/>
      <c r="BB68" s="1305"/>
      <c r="BC68" s="1305"/>
      <c r="BD68" s="1305"/>
      <c r="BE68" s="1305"/>
      <c r="BF68" s="1305"/>
      <c r="BG68" s="1305"/>
      <c r="BH68" s="1305"/>
      <c r="BI68" s="825">
        <f>I68/4</f>
        <v>135</v>
      </c>
      <c r="BJ68" s="1305"/>
      <c r="BK68" s="1305"/>
      <c r="BL68" s="1305"/>
      <c r="BM68" s="1305"/>
      <c r="BN68" s="1305"/>
      <c r="BO68" s="1305"/>
      <c r="BP68" s="1305"/>
    </row>
    <row r="69" s="1265" customFormat="1" ht="31" customHeight="1" spans="1:68">
      <c r="A69" s="1304">
        <v>45744</v>
      </c>
      <c r="B69" s="822" t="s">
        <v>143</v>
      </c>
      <c r="C69" s="633" t="s">
        <v>98</v>
      </c>
      <c r="D69" s="825">
        <v>4500161764</v>
      </c>
      <c r="E69" s="1413" t="s">
        <v>396</v>
      </c>
      <c r="F69" s="1305" t="s">
        <v>397</v>
      </c>
      <c r="G69" s="659" t="s">
        <v>101</v>
      </c>
      <c r="H69" s="633" t="s">
        <v>102</v>
      </c>
      <c r="I69" s="633">
        <v>1104</v>
      </c>
      <c r="J69" s="633">
        <v>0</v>
      </c>
      <c r="K69" s="633">
        <v>4</v>
      </c>
      <c r="L69" s="827">
        <f t="shared" si="0"/>
        <v>276</v>
      </c>
      <c r="M69" s="828">
        <v>45807</v>
      </c>
      <c r="N69" s="828">
        <v>45803</v>
      </c>
      <c r="O69" s="824" t="s">
        <v>367</v>
      </c>
      <c r="P69" s="824" t="s">
        <v>113</v>
      </c>
      <c r="Q69" s="633"/>
      <c r="R69" s="829" t="s">
        <v>147</v>
      </c>
      <c r="S69" s="829" t="s">
        <v>70</v>
      </c>
      <c r="T69" s="829" t="s">
        <v>368</v>
      </c>
      <c r="U69" s="829"/>
      <c r="V69" s="774" t="s">
        <v>148</v>
      </c>
      <c r="W69" s="829"/>
      <c r="X69" s="822" t="s">
        <v>149</v>
      </c>
      <c r="Y69" s="828" t="s">
        <v>106</v>
      </c>
      <c r="Z69" s="1306">
        <v>5</v>
      </c>
      <c r="AA69" s="831">
        <f t="shared" si="9"/>
        <v>5520</v>
      </c>
      <c r="AC69" s="632"/>
      <c r="AD69" s="633" t="s">
        <v>101</v>
      </c>
      <c r="AE69" s="633" t="s">
        <v>82</v>
      </c>
      <c r="AF69" s="633"/>
      <c r="AG69" s="618" t="s">
        <v>74</v>
      </c>
      <c r="AH69" s="618"/>
      <c r="AI69" s="1308">
        <v>1104</v>
      </c>
      <c r="AJ69" s="824">
        <f t="shared" si="6"/>
        <v>0</v>
      </c>
      <c r="AK69" s="633"/>
      <c r="AL69" s="633"/>
      <c r="AM69" s="633"/>
      <c r="AN69" s="825">
        <f t="shared" si="15"/>
        <v>1104</v>
      </c>
      <c r="AO69" s="687"/>
      <c r="AP69" s="687"/>
      <c r="AQ69" s="687"/>
      <c r="AR69" s="825">
        <f>I69</f>
        <v>1104</v>
      </c>
      <c r="AS69" s="687"/>
      <c r="AT69" s="687"/>
      <c r="AU69" s="825">
        <f t="shared" si="16"/>
        <v>1104</v>
      </c>
      <c r="AV69" s="825"/>
      <c r="AW69" s="825">
        <f t="shared" si="10"/>
        <v>1104</v>
      </c>
      <c r="AX69" s="825"/>
      <c r="AY69" s="1305"/>
      <c r="AZ69" s="1305"/>
      <c r="BA69" s="1305"/>
      <c r="BB69" s="1305"/>
      <c r="BC69" s="1305"/>
      <c r="BD69" s="1305"/>
      <c r="BE69" s="1305"/>
      <c r="BF69" s="1305"/>
      <c r="BG69" s="1305"/>
      <c r="BH69" s="825">
        <f>I69/4</f>
        <v>276</v>
      </c>
      <c r="BI69" s="1305"/>
      <c r="BJ69" s="1305"/>
      <c r="BK69" s="1305"/>
      <c r="BL69" s="1305"/>
      <c r="BM69" s="1305"/>
      <c r="BN69" s="1305"/>
      <c r="BO69" s="1305"/>
      <c r="BP69" s="1305"/>
    </row>
    <row r="70" s="1265" customFormat="1" ht="31" customHeight="1" spans="1:68">
      <c r="A70" s="1304">
        <v>45758</v>
      </c>
      <c r="B70" s="822" t="s">
        <v>398</v>
      </c>
      <c r="C70" s="633" t="s">
        <v>399</v>
      </c>
      <c r="D70" s="825">
        <v>4500163040</v>
      </c>
      <c r="E70" s="633"/>
      <c r="F70" s="1305" t="s">
        <v>400</v>
      </c>
      <c r="G70" s="659" t="s">
        <v>68</v>
      </c>
      <c r="H70" s="633" t="s">
        <v>69</v>
      </c>
      <c r="I70" s="633">
        <v>240</v>
      </c>
      <c r="J70" s="633">
        <v>0</v>
      </c>
      <c r="K70" s="633">
        <v>12</v>
      </c>
      <c r="L70" s="827">
        <f t="shared" ref="L70:L133" si="17">I70/K70</f>
        <v>20</v>
      </c>
      <c r="M70" s="828">
        <v>45807</v>
      </c>
      <c r="N70" s="828">
        <v>45803</v>
      </c>
      <c r="O70" s="824"/>
      <c r="P70" s="824" t="s">
        <v>113</v>
      </c>
      <c r="Q70" s="633"/>
      <c r="R70" s="829">
        <v>45758</v>
      </c>
      <c r="S70" s="829" t="s">
        <v>70</v>
      </c>
      <c r="T70" s="829">
        <v>45761</v>
      </c>
      <c r="U70" s="829"/>
      <c r="V70" s="829"/>
      <c r="W70" s="829"/>
      <c r="X70" s="628" t="s">
        <v>401</v>
      </c>
      <c r="Y70" s="828" t="s">
        <v>402</v>
      </c>
      <c r="Z70" s="1306">
        <v>4.1</v>
      </c>
      <c r="AA70" s="831">
        <f t="shared" si="9"/>
        <v>984</v>
      </c>
      <c r="AC70" s="1307" t="s">
        <v>403</v>
      </c>
      <c r="AD70" s="633" t="s">
        <v>184</v>
      </c>
      <c r="AE70" s="633" t="s">
        <v>82</v>
      </c>
      <c r="AF70" s="633"/>
      <c r="AG70" s="618" t="s">
        <v>74</v>
      </c>
      <c r="AH70" s="618"/>
      <c r="AI70" s="1308">
        <v>240</v>
      </c>
      <c r="AJ70" s="824">
        <f t="shared" si="6"/>
        <v>0</v>
      </c>
      <c r="AK70" s="633"/>
      <c r="AL70" s="633"/>
      <c r="AM70" s="633"/>
      <c r="AN70" s="825">
        <f t="shared" si="15"/>
        <v>240</v>
      </c>
      <c r="AO70" s="687"/>
      <c r="AP70" s="687"/>
      <c r="AQ70" s="687"/>
      <c r="AR70" s="825"/>
      <c r="AS70" s="687">
        <f>I70</f>
        <v>240</v>
      </c>
      <c r="AT70" s="687"/>
      <c r="AU70" s="825">
        <f t="shared" si="16"/>
        <v>240</v>
      </c>
      <c r="AV70" s="825"/>
      <c r="AW70" s="825">
        <f t="shared" si="10"/>
        <v>240</v>
      </c>
      <c r="AX70" s="825"/>
      <c r="AY70" s="1305"/>
      <c r="AZ70" s="1305"/>
      <c r="BA70" s="1305"/>
      <c r="BB70" s="1305"/>
      <c r="BC70" s="1305"/>
      <c r="BD70" s="1305"/>
      <c r="BE70" s="1305"/>
      <c r="BF70" s="1305"/>
      <c r="BG70" s="1305"/>
      <c r="BH70" s="1305"/>
      <c r="BI70" s="1305"/>
      <c r="BJ70" s="1305"/>
      <c r="BK70" s="1305"/>
      <c r="BL70" s="1305"/>
      <c r="BM70" s="1305"/>
      <c r="BN70" s="1305"/>
      <c r="BO70" s="1305"/>
      <c r="BP70" s="1305"/>
    </row>
    <row r="71" s="1265" customFormat="1" ht="31" customHeight="1" spans="1:68">
      <c r="A71" s="1304">
        <v>45758</v>
      </c>
      <c r="B71" s="822" t="s">
        <v>404</v>
      </c>
      <c r="C71" s="633" t="s">
        <v>278</v>
      </c>
      <c r="D71" s="825">
        <v>4500163218</v>
      </c>
      <c r="E71" s="633" t="s">
        <v>405</v>
      </c>
      <c r="F71" s="1305" t="s">
        <v>406</v>
      </c>
      <c r="G71" s="659" t="s">
        <v>68</v>
      </c>
      <c r="H71" s="633" t="s">
        <v>69</v>
      </c>
      <c r="I71" s="633">
        <v>156</v>
      </c>
      <c r="J71" s="633">
        <v>0</v>
      </c>
      <c r="K71" s="633">
        <v>12</v>
      </c>
      <c r="L71" s="827">
        <f t="shared" si="17"/>
        <v>13</v>
      </c>
      <c r="M71" s="828">
        <v>45807</v>
      </c>
      <c r="N71" s="828">
        <v>45803</v>
      </c>
      <c r="O71" s="824"/>
      <c r="P71" s="824" t="s">
        <v>113</v>
      </c>
      <c r="Q71" s="633"/>
      <c r="R71" s="829">
        <v>45758</v>
      </c>
      <c r="S71" s="829" t="s">
        <v>70</v>
      </c>
      <c r="T71" s="829">
        <v>45775</v>
      </c>
      <c r="U71" s="829"/>
      <c r="V71" s="829"/>
      <c r="W71" s="829"/>
      <c r="X71" s="822" t="s">
        <v>407</v>
      </c>
      <c r="Y71" s="828" t="s">
        <v>408</v>
      </c>
      <c r="Z71" s="1306">
        <v>4.1</v>
      </c>
      <c r="AA71" s="831">
        <f t="shared" si="9"/>
        <v>639.6</v>
      </c>
      <c r="AC71" s="1307" t="s">
        <v>409</v>
      </c>
      <c r="AD71" s="633" t="s">
        <v>68</v>
      </c>
      <c r="AE71" s="633" t="s">
        <v>82</v>
      </c>
      <c r="AF71" s="633"/>
      <c r="AG71" s="618" t="s">
        <v>74</v>
      </c>
      <c r="AH71" s="618"/>
      <c r="AI71" s="1308">
        <v>156</v>
      </c>
      <c r="AJ71" s="824">
        <f t="shared" si="6"/>
        <v>0</v>
      </c>
      <c r="AK71" s="633"/>
      <c r="AL71" s="633"/>
      <c r="AM71" s="633"/>
      <c r="AN71" s="825">
        <f t="shared" si="15"/>
        <v>156</v>
      </c>
      <c r="AO71" s="687"/>
      <c r="AP71" s="687"/>
      <c r="AQ71" s="687"/>
      <c r="AR71" s="825">
        <f>I71</f>
        <v>156</v>
      </c>
      <c r="AS71" s="687"/>
      <c r="AT71" s="687"/>
      <c r="AU71" s="825">
        <f t="shared" si="16"/>
        <v>156</v>
      </c>
      <c r="AV71" s="825"/>
      <c r="AW71" s="825">
        <f t="shared" si="10"/>
        <v>156</v>
      </c>
      <c r="AX71" s="825"/>
      <c r="AY71" s="1305"/>
      <c r="AZ71" s="1305"/>
      <c r="BA71" s="1305"/>
      <c r="BB71" s="1305"/>
      <c r="BC71" s="1305"/>
      <c r="BD71" s="1305"/>
      <c r="BE71" s="1305"/>
      <c r="BF71" s="1305"/>
      <c r="BG71" s="1305"/>
      <c r="BH71" s="1305"/>
      <c r="BI71" s="1305"/>
      <c r="BJ71" s="1305"/>
      <c r="BK71" s="1305"/>
      <c r="BL71" s="1305"/>
      <c r="BM71" s="1305"/>
      <c r="BN71" s="1305"/>
      <c r="BO71" s="1305"/>
      <c r="BP71" s="1305"/>
    </row>
    <row r="72" s="1265" customFormat="1" ht="31" customHeight="1" spans="1:68">
      <c r="A72" s="1304">
        <v>45772</v>
      </c>
      <c r="B72" s="822" t="s">
        <v>410</v>
      </c>
      <c r="C72" s="633" t="s">
        <v>411</v>
      </c>
      <c r="D72" s="825">
        <v>4500164781</v>
      </c>
      <c r="E72" s="633"/>
      <c r="F72" s="1305" t="s">
        <v>412</v>
      </c>
      <c r="G72" s="659" t="s">
        <v>101</v>
      </c>
      <c r="H72" s="633" t="s">
        <v>102</v>
      </c>
      <c r="I72" s="633">
        <v>320</v>
      </c>
      <c r="J72" s="633">
        <v>0</v>
      </c>
      <c r="K72" s="633">
        <v>4</v>
      </c>
      <c r="L72" s="827">
        <f t="shared" si="17"/>
        <v>80</v>
      </c>
      <c r="M72" s="828">
        <v>45810</v>
      </c>
      <c r="N72" s="828">
        <v>45806</v>
      </c>
      <c r="O72" s="824"/>
      <c r="P72" s="824" t="s">
        <v>113</v>
      </c>
      <c r="Q72" s="633"/>
      <c r="R72" s="829">
        <v>45785</v>
      </c>
      <c r="S72" s="829" t="s">
        <v>70</v>
      </c>
      <c r="T72" s="829" t="s">
        <v>413</v>
      </c>
      <c r="U72" s="829"/>
      <c r="V72" s="829"/>
      <c r="W72" s="829"/>
      <c r="X72" s="628" t="s">
        <v>414</v>
      </c>
      <c r="Y72" s="828" t="s">
        <v>415</v>
      </c>
      <c r="Z72" s="1306">
        <v>5.1</v>
      </c>
      <c r="AA72" s="831">
        <f t="shared" si="9"/>
        <v>1632</v>
      </c>
      <c r="AC72" s="1307" t="s">
        <v>416</v>
      </c>
      <c r="AD72" s="633" t="s">
        <v>156</v>
      </c>
      <c r="AE72" s="633" t="s">
        <v>82</v>
      </c>
      <c r="AF72" s="633"/>
      <c r="AG72" s="618" t="s">
        <v>74</v>
      </c>
      <c r="AH72" s="618"/>
      <c r="AI72" s="1308">
        <v>320</v>
      </c>
      <c r="AJ72" s="824">
        <f t="shared" si="6"/>
        <v>0</v>
      </c>
      <c r="AK72" s="633"/>
      <c r="AL72" s="633"/>
      <c r="AM72" s="633"/>
      <c r="AN72" s="825">
        <f t="shared" si="15"/>
        <v>320</v>
      </c>
      <c r="AO72" s="687"/>
      <c r="AP72" s="687"/>
      <c r="AQ72" s="687"/>
      <c r="AR72" s="825"/>
      <c r="AS72" s="687">
        <f>I72</f>
        <v>320</v>
      </c>
      <c r="AT72" s="687"/>
      <c r="AU72" s="825">
        <f t="shared" si="16"/>
        <v>320</v>
      </c>
      <c r="AV72" s="825"/>
      <c r="AW72" s="825">
        <f t="shared" si="10"/>
        <v>320</v>
      </c>
      <c r="AX72" s="825"/>
      <c r="AY72" s="1305"/>
      <c r="AZ72" s="1305"/>
      <c r="BA72" s="1305"/>
      <c r="BB72" s="1305"/>
      <c r="BC72" s="1305"/>
      <c r="BD72" s="1305"/>
      <c r="BE72" s="1305"/>
      <c r="BF72" s="1305"/>
      <c r="BG72" s="1305"/>
      <c r="BH72" s="1305"/>
      <c r="BI72" s="825">
        <f>I72/4</f>
        <v>80</v>
      </c>
      <c r="BJ72" s="1305"/>
      <c r="BK72" s="1305"/>
      <c r="BL72" s="1305"/>
      <c r="BM72" s="1305"/>
      <c r="BN72" s="1305"/>
      <c r="BO72" s="1305"/>
      <c r="BP72" s="1305"/>
    </row>
    <row r="73" s="1265" customFormat="1" ht="31" customHeight="1" spans="1:68">
      <c r="A73" s="1304">
        <v>45763</v>
      </c>
      <c r="B73" s="822" t="s">
        <v>417</v>
      </c>
      <c r="C73" s="633" t="s">
        <v>241</v>
      </c>
      <c r="D73" s="825">
        <v>4500163205</v>
      </c>
      <c r="E73" s="633">
        <v>14675</v>
      </c>
      <c r="F73" s="1305" t="s">
        <v>418</v>
      </c>
      <c r="G73" s="659" t="s">
        <v>101</v>
      </c>
      <c r="H73" s="633" t="s">
        <v>102</v>
      </c>
      <c r="I73" s="633">
        <v>12</v>
      </c>
      <c r="J73" s="633">
        <v>0</v>
      </c>
      <c r="K73" s="633">
        <v>4</v>
      </c>
      <c r="L73" s="827">
        <f t="shared" si="17"/>
        <v>3</v>
      </c>
      <c r="M73" s="828">
        <v>45811</v>
      </c>
      <c r="N73" s="828">
        <v>45807</v>
      </c>
      <c r="O73" s="824"/>
      <c r="P73" s="824" t="s">
        <v>113</v>
      </c>
      <c r="Q73" s="633"/>
      <c r="R73" s="829">
        <v>45763</v>
      </c>
      <c r="S73" s="829" t="s">
        <v>70</v>
      </c>
      <c r="T73" s="829">
        <v>45789</v>
      </c>
      <c r="U73" s="829"/>
      <c r="V73" s="829"/>
      <c r="W73" s="829"/>
      <c r="X73" s="628" t="s">
        <v>419</v>
      </c>
      <c r="Y73" s="828" t="s">
        <v>299</v>
      </c>
      <c r="Z73" s="1306">
        <v>5.1</v>
      </c>
      <c r="AA73" s="831">
        <f t="shared" si="9"/>
        <v>61.2</v>
      </c>
      <c r="AC73" s="1307" t="s">
        <v>420</v>
      </c>
      <c r="AD73" s="633" t="s">
        <v>156</v>
      </c>
      <c r="AE73" s="633" t="s">
        <v>82</v>
      </c>
      <c r="AF73" s="633"/>
      <c r="AG73" s="618" t="s">
        <v>74</v>
      </c>
      <c r="AH73" s="618"/>
      <c r="AI73" s="1308">
        <v>12</v>
      </c>
      <c r="AJ73" s="824">
        <f t="shared" ref="AJ73:AJ92" si="18">AI73-I73</f>
        <v>0</v>
      </c>
      <c r="AK73" s="633"/>
      <c r="AL73" s="633"/>
      <c r="AM73" s="633"/>
      <c r="AN73" s="825">
        <f t="shared" si="15"/>
        <v>12</v>
      </c>
      <c r="AO73" s="687"/>
      <c r="AP73" s="687"/>
      <c r="AQ73" s="687"/>
      <c r="AR73" s="825"/>
      <c r="AS73" s="687">
        <f>I73</f>
        <v>12</v>
      </c>
      <c r="AT73" s="687"/>
      <c r="AU73" s="825">
        <f t="shared" si="16"/>
        <v>12</v>
      </c>
      <c r="AV73" s="825"/>
      <c r="AW73" s="825">
        <f t="shared" si="10"/>
        <v>12</v>
      </c>
      <c r="AX73" s="825"/>
      <c r="AY73" s="1305"/>
      <c r="AZ73" s="1305"/>
      <c r="BA73" s="1305"/>
      <c r="BB73" s="1305"/>
      <c r="BC73" s="1305"/>
      <c r="BD73" s="1305"/>
      <c r="BE73" s="1305"/>
      <c r="BF73" s="1305"/>
      <c r="BG73" s="1305"/>
      <c r="BH73" s="1305"/>
      <c r="BI73" s="825">
        <f>I73/4</f>
        <v>3</v>
      </c>
      <c r="BJ73" s="1305"/>
      <c r="BK73" s="1305"/>
      <c r="BL73" s="1305"/>
      <c r="BM73" s="1305"/>
      <c r="BN73" s="1305"/>
      <c r="BO73" s="1305"/>
      <c r="BP73" s="1305"/>
    </row>
    <row r="74" s="1265" customFormat="1" ht="31" customHeight="1" spans="1:68">
      <c r="A74" s="1304">
        <v>45763</v>
      </c>
      <c r="B74" s="822" t="s">
        <v>417</v>
      </c>
      <c r="C74" s="633" t="s">
        <v>241</v>
      </c>
      <c r="D74" s="825">
        <v>4500163205</v>
      </c>
      <c r="E74" s="633">
        <v>14675</v>
      </c>
      <c r="F74" s="1305" t="s">
        <v>421</v>
      </c>
      <c r="G74" s="659" t="s">
        <v>68</v>
      </c>
      <c r="H74" s="633" t="s">
        <v>69</v>
      </c>
      <c r="I74" s="633">
        <v>300</v>
      </c>
      <c r="J74" s="633">
        <v>0</v>
      </c>
      <c r="K74" s="633">
        <v>12</v>
      </c>
      <c r="L74" s="827">
        <f t="shared" si="17"/>
        <v>25</v>
      </c>
      <c r="M74" s="828">
        <v>45811</v>
      </c>
      <c r="N74" s="828">
        <v>45807</v>
      </c>
      <c r="O74" s="824"/>
      <c r="P74" s="824" t="s">
        <v>113</v>
      </c>
      <c r="Q74" s="633"/>
      <c r="R74" s="829">
        <v>45763</v>
      </c>
      <c r="S74" s="829" t="s">
        <v>70</v>
      </c>
      <c r="T74" s="829">
        <v>45789</v>
      </c>
      <c r="U74" s="829"/>
      <c r="V74" s="829"/>
      <c r="W74" s="829"/>
      <c r="X74" s="628" t="s">
        <v>422</v>
      </c>
      <c r="Y74" s="828" t="s">
        <v>299</v>
      </c>
      <c r="Z74" s="1306">
        <v>4.1</v>
      </c>
      <c r="AA74" s="831">
        <f t="shared" si="9"/>
        <v>1230</v>
      </c>
      <c r="AC74" s="1307" t="s">
        <v>420</v>
      </c>
      <c r="AD74" s="633" t="s">
        <v>184</v>
      </c>
      <c r="AE74" s="633" t="s">
        <v>82</v>
      </c>
      <c r="AF74" s="633"/>
      <c r="AG74" s="618" t="s">
        <v>74</v>
      </c>
      <c r="AH74" s="618"/>
      <c r="AI74" s="1308">
        <v>300</v>
      </c>
      <c r="AJ74" s="824">
        <f t="shared" si="18"/>
        <v>0</v>
      </c>
      <c r="AK74" s="633"/>
      <c r="AL74" s="633"/>
      <c r="AM74" s="633"/>
      <c r="AN74" s="825">
        <f t="shared" si="15"/>
        <v>300</v>
      </c>
      <c r="AO74" s="687"/>
      <c r="AP74" s="687"/>
      <c r="AQ74" s="687"/>
      <c r="AR74" s="825"/>
      <c r="AS74" s="687">
        <f>I74</f>
        <v>300</v>
      </c>
      <c r="AT74" s="687"/>
      <c r="AU74" s="825">
        <f t="shared" si="16"/>
        <v>300</v>
      </c>
      <c r="AV74" s="825"/>
      <c r="AW74" s="825">
        <f t="shared" si="10"/>
        <v>300</v>
      </c>
      <c r="AX74" s="825"/>
      <c r="AY74" s="1305"/>
      <c r="AZ74" s="1305"/>
      <c r="BA74" s="1305"/>
      <c r="BB74" s="1305"/>
      <c r="BC74" s="1305"/>
      <c r="BD74" s="1305"/>
      <c r="BE74" s="1305"/>
      <c r="BF74" s="1305"/>
      <c r="BG74" s="1305"/>
      <c r="BH74" s="1305"/>
      <c r="BI74" s="1305"/>
      <c r="BJ74" s="1305"/>
      <c r="BK74" s="1305"/>
      <c r="BL74" s="1305"/>
      <c r="BM74" s="1305"/>
      <c r="BN74" s="1305"/>
      <c r="BO74" s="1305"/>
      <c r="BP74" s="1305"/>
    </row>
    <row r="75" s="1265" customFormat="1" ht="31" customHeight="1" spans="1:68">
      <c r="A75" s="1304">
        <v>45765</v>
      </c>
      <c r="B75" s="822" t="s">
        <v>423</v>
      </c>
      <c r="C75" s="633" t="s">
        <v>424</v>
      </c>
      <c r="D75" s="825">
        <v>4500164226</v>
      </c>
      <c r="E75" s="633" t="s">
        <v>425</v>
      </c>
      <c r="F75" s="1305" t="s">
        <v>426</v>
      </c>
      <c r="G75" s="659" t="s">
        <v>101</v>
      </c>
      <c r="H75" s="633" t="s">
        <v>102</v>
      </c>
      <c r="I75" s="633">
        <v>960</v>
      </c>
      <c r="J75" s="633">
        <v>0</v>
      </c>
      <c r="K75" s="633">
        <v>4</v>
      </c>
      <c r="L75" s="827">
        <f t="shared" si="17"/>
        <v>240</v>
      </c>
      <c r="M75" s="828">
        <v>45811</v>
      </c>
      <c r="N75" s="828">
        <v>45807</v>
      </c>
      <c r="O75" s="824"/>
      <c r="P75" s="824" t="s">
        <v>113</v>
      </c>
      <c r="Q75" s="633"/>
      <c r="R75" s="829">
        <v>45772</v>
      </c>
      <c r="S75" s="829" t="s">
        <v>70</v>
      </c>
      <c r="T75" s="829">
        <v>45786</v>
      </c>
      <c r="U75" s="829"/>
      <c r="V75" s="829"/>
      <c r="W75" s="829"/>
      <c r="X75" s="628" t="s">
        <v>427</v>
      </c>
      <c r="Y75" s="828" t="s">
        <v>428</v>
      </c>
      <c r="Z75" s="1306">
        <v>5</v>
      </c>
      <c r="AA75" s="831">
        <f t="shared" si="9"/>
        <v>4800</v>
      </c>
      <c r="AC75" s="1307" t="s">
        <v>429</v>
      </c>
      <c r="AD75" s="633" t="s">
        <v>156</v>
      </c>
      <c r="AE75" s="633" t="s">
        <v>82</v>
      </c>
      <c r="AF75" s="633"/>
      <c r="AG75" s="618" t="s">
        <v>74</v>
      </c>
      <c r="AH75" s="618"/>
      <c r="AI75" s="1308">
        <v>960</v>
      </c>
      <c r="AJ75" s="824">
        <f t="shared" si="18"/>
        <v>0</v>
      </c>
      <c r="AK75" s="633"/>
      <c r="AL75" s="633"/>
      <c r="AM75" s="633"/>
      <c r="AN75" s="825">
        <f t="shared" si="15"/>
        <v>960</v>
      </c>
      <c r="AO75" s="687"/>
      <c r="AP75" s="687"/>
      <c r="AQ75" s="687"/>
      <c r="AR75" s="825"/>
      <c r="AS75" s="687">
        <f>I75</f>
        <v>960</v>
      </c>
      <c r="AT75" s="687"/>
      <c r="AU75" s="825">
        <f t="shared" si="16"/>
        <v>960</v>
      </c>
      <c r="AV75" s="825"/>
      <c r="AW75" s="825">
        <f t="shared" si="10"/>
        <v>960</v>
      </c>
      <c r="AX75" s="825"/>
      <c r="AY75" s="1305"/>
      <c r="AZ75" s="1305"/>
      <c r="BA75" s="1305"/>
      <c r="BB75" s="1305"/>
      <c r="BC75" s="1305"/>
      <c r="BD75" s="1305"/>
      <c r="BE75" s="1305"/>
      <c r="BF75" s="1305"/>
      <c r="BG75" s="1305"/>
      <c r="BH75" s="1305"/>
      <c r="BI75" s="825">
        <f>I75/4</f>
        <v>240</v>
      </c>
      <c r="BJ75" s="1305"/>
      <c r="BK75" s="1305"/>
      <c r="BL75" s="1305"/>
      <c r="BM75" s="1305"/>
      <c r="BN75" s="1305"/>
      <c r="BO75" s="1305"/>
      <c r="BP75" s="1305"/>
    </row>
    <row r="76" s="1265" customFormat="1" ht="31" customHeight="1" spans="1:68">
      <c r="A76" s="1304">
        <v>45761</v>
      </c>
      <c r="B76" s="822" t="s">
        <v>430</v>
      </c>
      <c r="C76" s="633" t="s">
        <v>76</v>
      </c>
      <c r="D76" s="825">
        <v>4500163518</v>
      </c>
      <c r="E76" s="633">
        <v>3006</v>
      </c>
      <c r="F76" s="1305" t="s">
        <v>431</v>
      </c>
      <c r="G76" s="659" t="s">
        <v>130</v>
      </c>
      <c r="H76" s="633" t="s">
        <v>131</v>
      </c>
      <c r="I76" s="633">
        <v>504</v>
      </c>
      <c r="J76" s="633">
        <v>0</v>
      </c>
      <c r="K76" s="633">
        <v>6</v>
      </c>
      <c r="L76" s="827">
        <f t="shared" si="17"/>
        <v>84</v>
      </c>
      <c r="M76" s="828">
        <v>45813</v>
      </c>
      <c r="N76" s="828">
        <v>45810</v>
      </c>
      <c r="O76" s="824"/>
      <c r="P76" s="824" t="s">
        <v>113</v>
      </c>
      <c r="Q76" s="633"/>
      <c r="R76" s="829">
        <v>45761</v>
      </c>
      <c r="S76" s="829" t="s">
        <v>70</v>
      </c>
      <c r="T76" s="829">
        <v>45768</v>
      </c>
      <c r="U76" s="829"/>
      <c r="V76" s="829"/>
      <c r="W76" s="829"/>
      <c r="X76" s="822" t="s">
        <v>432</v>
      </c>
      <c r="Y76" s="828" t="s">
        <v>80</v>
      </c>
      <c r="Z76" s="1306">
        <v>4.2099</v>
      </c>
      <c r="AA76" s="831">
        <f t="shared" si="9"/>
        <v>2121.7896</v>
      </c>
      <c r="AC76" s="1307" t="s">
        <v>433</v>
      </c>
      <c r="AD76" s="633" t="s">
        <v>130</v>
      </c>
      <c r="AE76" s="633" t="s">
        <v>82</v>
      </c>
      <c r="AF76" s="633"/>
      <c r="AG76" s="618" t="s">
        <v>74</v>
      </c>
      <c r="AH76" s="618"/>
      <c r="AI76" s="1308">
        <v>504</v>
      </c>
      <c r="AJ76" s="824">
        <f t="shared" si="18"/>
        <v>0</v>
      </c>
      <c r="AK76" s="633"/>
      <c r="AL76" s="633"/>
      <c r="AM76" s="633"/>
      <c r="AN76" s="825">
        <f t="shared" si="15"/>
        <v>504</v>
      </c>
      <c r="AO76" s="687"/>
      <c r="AP76" s="687"/>
      <c r="AQ76" s="687"/>
      <c r="AR76" s="825">
        <f>I76</f>
        <v>504</v>
      </c>
      <c r="AS76" s="687"/>
      <c r="AT76" s="687"/>
      <c r="AU76" s="825">
        <f t="shared" si="16"/>
        <v>504</v>
      </c>
      <c r="AV76" s="825"/>
      <c r="AW76" s="825">
        <f t="shared" si="10"/>
        <v>504</v>
      </c>
      <c r="AX76" s="825"/>
      <c r="AY76" s="1305"/>
      <c r="AZ76" s="1305"/>
      <c r="BA76" s="1305"/>
      <c r="BB76" s="1305"/>
      <c r="BC76" s="1305"/>
      <c r="BD76" s="1305"/>
      <c r="BE76" s="1305"/>
      <c r="BF76" s="1305"/>
      <c r="BG76" s="1305"/>
      <c r="BH76" s="1305"/>
      <c r="BI76" s="1305"/>
      <c r="BJ76" s="1305"/>
      <c r="BK76" s="1305"/>
      <c r="BL76" s="1305"/>
      <c r="BM76" s="1305"/>
      <c r="BN76" s="1305"/>
      <c r="BO76" s="1305"/>
      <c r="BP76" s="1305"/>
    </row>
    <row r="77" s="1265" customFormat="1" ht="31" customHeight="1" spans="1:68">
      <c r="A77" s="1304">
        <v>45756</v>
      </c>
      <c r="B77" s="822" t="s">
        <v>135</v>
      </c>
      <c r="C77" s="633" t="s">
        <v>128</v>
      </c>
      <c r="D77" s="825">
        <v>4500162968</v>
      </c>
      <c r="E77" s="633">
        <v>20768339</v>
      </c>
      <c r="F77" s="1305" t="s">
        <v>434</v>
      </c>
      <c r="G77" s="659" t="s">
        <v>68</v>
      </c>
      <c r="H77" s="633" t="s">
        <v>69</v>
      </c>
      <c r="I77" s="633">
        <v>1500</v>
      </c>
      <c r="J77" s="633">
        <v>0</v>
      </c>
      <c r="K77" s="633">
        <v>12</v>
      </c>
      <c r="L77" s="827">
        <f t="shared" si="17"/>
        <v>125</v>
      </c>
      <c r="M77" s="828">
        <v>45803</v>
      </c>
      <c r="N77" s="828">
        <v>45799</v>
      </c>
      <c r="O77" s="824"/>
      <c r="P77" s="824" t="s">
        <v>113</v>
      </c>
      <c r="Q77" s="633"/>
      <c r="R77" s="829">
        <v>45769</v>
      </c>
      <c r="S77" s="829" t="s">
        <v>104</v>
      </c>
      <c r="T77" s="829">
        <v>45783</v>
      </c>
      <c r="U77" s="829"/>
      <c r="V77" s="829"/>
      <c r="W77" s="829"/>
      <c r="X77" s="822" t="s">
        <v>435</v>
      </c>
      <c r="Y77" s="828" t="s">
        <v>133</v>
      </c>
      <c r="Z77" s="1306">
        <v>4.19</v>
      </c>
      <c r="AA77" s="831">
        <f t="shared" si="9"/>
        <v>6285</v>
      </c>
      <c r="AC77" s="1307" t="s">
        <v>436</v>
      </c>
      <c r="AD77" s="633" t="s">
        <v>68</v>
      </c>
      <c r="AE77" s="633" t="s">
        <v>82</v>
      </c>
      <c r="AF77" s="633"/>
      <c r="AG77" s="618" t="s">
        <v>74</v>
      </c>
      <c r="AH77" s="618"/>
      <c r="AI77" s="1308">
        <v>1500</v>
      </c>
      <c r="AJ77" s="824">
        <f t="shared" si="18"/>
        <v>0</v>
      </c>
      <c r="AK77" s="633"/>
      <c r="AL77" s="633"/>
      <c r="AM77" s="633"/>
      <c r="AN77" s="825">
        <f t="shared" si="15"/>
        <v>1500</v>
      </c>
      <c r="AO77" s="687"/>
      <c r="AP77" s="687"/>
      <c r="AQ77" s="687"/>
      <c r="AR77" s="825">
        <f>I77</f>
        <v>1500</v>
      </c>
      <c r="AS77" s="687"/>
      <c r="AT77" s="687"/>
      <c r="AU77" s="825">
        <f t="shared" si="16"/>
        <v>1500</v>
      </c>
      <c r="AV77" s="825"/>
      <c r="AW77" s="825">
        <f t="shared" si="10"/>
        <v>1500</v>
      </c>
      <c r="AX77" s="825"/>
      <c r="AY77" s="1305"/>
      <c r="AZ77" s="1305"/>
      <c r="BA77" s="1305"/>
      <c r="BB77" s="1305"/>
      <c r="BC77" s="1305"/>
      <c r="BD77" s="1305"/>
      <c r="BE77" s="1305"/>
      <c r="BF77" s="1305"/>
      <c r="BG77" s="1305"/>
      <c r="BH77" s="1305"/>
      <c r="BI77" s="1305"/>
      <c r="BJ77" s="1305"/>
      <c r="BK77" s="1305"/>
      <c r="BL77" s="1305"/>
      <c r="BM77" s="1305"/>
      <c r="BN77" s="1305"/>
      <c r="BO77" s="1305"/>
      <c r="BP77" s="1305"/>
    </row>
    <row r="78" s="1265" customFormat="1" ht="31" customHeight="1" spans="1:68">
      <c r="A78" s="1304">
        <v>45791</v>
      </c>
      <c r="B78" s="822"/>
      <c r="C78" s="633"/>
      <c r="D78" s="825" t="s">
        <v>437</v>
      </c>
      <c r="E78" s="633"/>
      <c r="F78" s="1305"/>
      <c r="G78" s="659" t="s">
        <v>68</v>
      </c>
      <c r="H78" s="633" t="s">
        <v>69</v>
      </c>
      <c r="I78" s="633">
        <v>168</v>
      </c>
      <c r="J78" s="633">
        <v>0</v>
      </c>
      <c r="K78" s="633">
        <v>12</v>
      </c>
      <c r="L78" s="827">
        <f t="shared" si="17"/>
        <v>14</v>
      </c>
      <c r="M78" s="828">
        <v>45806</v>
      </c>
      <c r="N78" s="828">
        <v>45803</v>
      </c>
      <c r="O78" s="824"/>
      <c r="P78" s="824" t="s">
        <v>113</v>
      </c>
      <c r="Q78" s="633"/>
      <c r="R78" s="829">
        <v>45791</v>
      </c>
      <c r="S78" s="829" t="s">
        <v>70</v>
      </c>
      <c r="T78" s="829" t="s">
        <v>70</v>
      </c>
      <c r="U78" s="829"/>
      <c r="V78" s="829"/>
      <c r="W78" s="829"/>
      <c r="X78" s="822" t="s">
        <v>84</v>
      </c>
      <c r="Y78" s="828" t="s">
        <v>92</v>
      </c>
      <c r="Z78" s="1306"/>
      <c r="AA78" s="831"/>
      <c r="AB78" s="1265"/>
      <c r="AC78" s="632" t="s">
        <v>438</v>
      </c>
      <c r="AD78" s="633" t="s">
        <v>68</v>
      </c>
      <c r="AE78" s="633" t="s">
        <v>82</v>
      </c>
      <c r="AF78" s="633"/>
      <c r="AG78" s="618" t="s">
        <v>74</v>
      </c>
      <c r="AH78" s="618"/>
      <c r="AI78" s="1308">
        <v>168</v>
      </c>
      <c r="AJ78" s="824">
        <f t="shared" si="18"/>
        <v>0</v>
      </c>
      <c r="AK78" s="633"/>
      <c r="AL78" s="633"/>
      <c r="AM78" s="633"/>
      <c r="AN78" s="825">
        <f t="shared" si="15"/>
        <v>168</v>
      </c>
      <c r="AO78" s="687"/>
      <c r="AP78" s="687"/>
      <c r="AQ78" s="687"/>
      <c r="AR78" s="825">
        <f>I78</f>
        <v>168</v>
      </c>
      <c r="AS78" s="687"/>
      <c r="AT78" s="687"/>
      <c r="AU78" s="825">
        <f t="shared" si="16"/>
        <v>168</v>
      </c>
      <c r="AV78" s="825"/>
      <c r="AW78" s="825">
        <f t="shared" si="10"/>
        <v>168</v>
      </c>
      <c r="AX78" s="825"/>
      <c r="AY78" s="1305"/>
      <c r="AZ78" s="1305"/>
      <c r="BA78" s="1305"/>
      <c r="BB78" s="1305"/>
      <c r="BC78" s="1305"/>
      <c r="BD78" s="1305"/>
      <c r="BE78" s="1305"/>
      <c r="BF78" s="1305"/>
      <c r="BG78" s="1305"/>
      <c r="BH78" s="1305"/>
      <c r="BI78" s="1305"/>
      <c r="BJ78" s="1305"/>
      <c r="BK78" s="1305"/>
      <c r="BL78" s="1305"/>
      <c r="BM78" s="1305"/>
      <c r="BN78" s="1305"/>
      <c r="BO78" s="1305"/>
      <c r="BP78" s="1305"/>
    </row>
    <row r="79" s="1265" customFormat="1" ht="31" customHeight="1" spans="1:68">
      <c r="A79" s="1304">
        <v>45764</v>
      </c>
      <c r="B79" s="822" t="s">
        <v>301</v>
      </c>
      <c r="C79" s="633" t="s">
        <v>302</v>
      </c>
      <c r="D79" s="825">
        <v>4500163334</v>
      </c>
      <c r="E79" s="633">
        <v>5200006584</v>
      </c>
      <c r="F79" s="1305" t="s">
        <v>439</v>
      </c>
      <c r="G79" s="659" t="s">
        <v>156</v>
      </c>
      <c r="H79" s="633" t="s">
        <v>102</v>
      </c>
      <c r="I79" s="633">
        <v>6700</v>
      </c>
      <c r="J79" s="633">
        <v>0</v>
      </c>
      <c r="K79" s="633">
        <v>4</v>
      </c>
      <c r="L79" s="827">
        <f t="shared" si="17"/>
        <v>1675</v>
      </c>
      <c r="M79" s="828">
        <v>45808</v>
      </c>
      <c r="N79" s="828">
        <v>45804</v>
      </c>
      <c r="O79" s="824"/>
      <c r="P79" s="824" t="s">
        <v>113</v>
      </c>
      <c r="Q79" s="633"/>
      <c r="R79" s="829">
        <v>45768</v>
      </c>
      <c r="S79" s="829" t="s">
        <v>70</v>
      </c>
      <c r="T79" s="829" t="s">
        <v>413</v>
      </c>
      <c r="U79" s="829"/>
      <c r="V79" s="829"/>
      <c r="W79" s="829"/>
      <c r="X79" s="822" t="s">
        <v>440</v>
      </c>
      <c r="Y79" s="1014" t="s">
        <v>305</v>
      </c>
      <c r="Z79" s="1306">
        <v>5.03</v>
      </c>
      <c r="AA79" s="831">
        <f t="shared" ref="AA79:AA84" si="19">Z79*I79</f>
        <v>33701</v>
      </c>
      <c r="AC79" s="1307" t="s">
        <v>441</v>
      </c>
      <c r="AD79" s="633" t="s">
        <v>156</v>
      </c>
      <c r="AE79" s="633" t="s">
        <v>82</v>
      </c>
      <c r="AF79" s="633"/>
      <c r="AG79" s="618" t="s">
        <v>74</v>
      </c>
      <c r="AH79" s="618"/>
      <c r="AI79" s="1308">
        <f>20+6680</f>
        <v>6700</v>
      </c>
      <c r="AJ79" s="824">
        <f t="shared" si="18"/>
        <v>0</v>
      </c>
      <c r="AK79" s="633"/>
      <c r="AL79" s="633"/>
      <c r="AM79" s="633"/>
      <c r="AN79" s="825">
        <f t="shared" si="15"/>
        <v>6700</v>
      </c>
      <c r="AO79" s="687"/>
      <c r="AP79" s="687"/>
      <c r="AQ79" s="687"/>
      <c r="AR79" s="825"/>
      <c r="AS79" s="687">
        <f>I79</f>
        <v>6700</v>
      </c>
      <c r="AT79" s="687"/>
      <c r="AU79" s="825">
        <f t="shared" si="16"/>
        <v>6700</v>
      </c>
      <c r="AV79" s="825"/>
      <c r="AW79" s="825">
        <f t="shared" si="10"/>
        <v>6700</v>
      </c>
      <c r="AX79" s="825"/>
      <c r="AY79" s="1305"/>
      <c r="AZ79" s="1305"/>
      <c r="BA79" s="1305"/>
      <c r="BB79" s="1305"/>
      <c r="BC79" s="1305"/>
      <c r="BD79" s="1305"/>
      <c r="BE79" s="1305"/>
      <c r="BF79" s="1305"/>
      <c r="BG79" s="1305"/>
      <c r="BH79" s="1305"/>
      <c r="BI79" s="825">
        <f>I79/4</f>
        <v>1675</v>
      </c>
      <c r="BJ79" s="1305"/>
      <c r="BK79" s="1305"/>
      <c r="BL79" s="1305"/>
      <c r="BM79" s="1305"/>
      <c r="BN79" s="1305"/>
      <c r="BO79" s="1305"/>
      <c r="BP79" s="1305"/>
    </row>
    <row r="80" s="1265" customFormat="1" ht="31" customHeight="1" spans="1:68">
      <c r="A80" s="1304">
        <v>45765</v>
      </c>
      <c r="B80" s="822" t="s">
        <v>442</v>
      </c>
      <c r="C80" s="633" t="s">
        <v>411</v>
      </c>
      <c r="D80" s="825">
        <v>4500163950</v>
      </c>
      <c r="E80" s="633"/>
      <c r="F80" s="1305" t="s">
        <v>443</v>
      </c>
      <c r="G80" s="659" t="s">
        <v>111</v>
      </c>
      <c r="H80" s="633" t="s">
        <v>112</v>
      </c>
      <c r="I80" s="633">
        <v>1600</v>
      </c>
      <c r="J80" s="633">
        <v>0</v>
      </c>
      <c r="K80" s="633">
        <v>16</v>
      </c>
      <c r="L80" s="827">
        <f t="shared" si="17"/>
        <v>100</v>
      </c>
      <c r="M80" s="828">
        <v>45810</v>
      </c>
      <c r="N80" s="828">
        <v>45806</v>
      </c>
      <c r="O80" s="824"/>
      <c r="P80" s="824" t="s">
        <v>113</v>
      </c>
      <c r="Q80" s="633"/>
      <c r="R80" s="829">
        <v>45777</v>
      </c>
      <c r="S80" s="829" t="s">
        <v>70</v>
      </c>
      <c r="T80" s="829">
        <v>45784</v>
      </c>
      <c r="U80" s="829"/>
      <c r="V80" s="829"/>
      <c r="W80" s="829"/>
      <c r="X80" s="628" t="s">
        <v>444</v>
      </c>
      <c r="Y80" s="828" t="s">
        <v>445</v>
      </c>
      <c r="Z80" s="1306">
        <v>4.39</v>
      </c>
      <c r="AA80" s="831">
        <f t="shared" si="19"/>
        <v>7024</v>
      </c>
      <c r="AC80" s="632" t="s">
        <v>446</v>
      </c>
      <c r="AD80" s="633" t="s">
        <v>447</v>
      </c>
      <c r="AE80" s="633" t="s">
        <v>82</v>
      </c>
      <c r="AF80" s="633"/>
      <c r="AG80" s="618" t="s">
        <v>74</v>
      </c>
      <c r="AH80" s="618"/>
      <c r="AI80" s="1308">
        <v>1600</v>
      </c>
      <c r="AJ80" s="824">
        <f t="shared" si="18"/>
        <v>0</v>
      </c>
      <c r="AK80" s="633"/>
      <c r="AL80" s="633"/>
      <c r="AM80" s="633"/>
      <c r="AN80" s="825">
        <f t="shared" si="15"/>
        <v>1600</v>
      </c>
      <c r="AO80" s="687"/>
      <c r="AP80" s="687"/>
      <c r="AQ80" s="687"/>
      <c r="AR80" s="825"/>
      <c r="AS80" s="687">
        <f>I80</f>
        <v>1600</v>
      </c>
      <c r="AT80" s="687"/>
      <c r="AU80" s="825">
        <f t="shared" si="16"/>
        <v>1600</v>
      </c>
      <c r="AV80" s="825"/>
      <c r="AW80" s="825">
        <f t="shared" si="10"/>
        <v>1600</v>
      </c>
      <c r="AX80" s="825"/>
      <c r="AY80" s="1305"/>
      <c r="AZ80" s="1305"/>
      <c r="BA80" s="1305"/>
      <c r="BB80" s="1305"/>
      <c r="BC80" s="1305"/>
      <c r="BD80" s="1305"/>
      <c r="BE80" s="1305"/>
      <c r="BF80" s="1305"/>
      <c r="BG80" s="1305"/>
      <c r="BH80" s="1305"/>
      <c r="BI80" s="825">
        <f>I80/4</f>
        <v>400</v>
      </c>
      <c r="BJ80" s="1305"/>
      <c r="BK80" s="1305"/>
      <c r="BL80" s="1305"/>
      <c r="BM80" s="1305"/>
      <c r="BN80" s="1305"/>
      <c r="BO80" s="1305"/>
      <c r="BP80" s="1305"/>
    </row>
    <row r="81" s="1265" customFormat="1" ht="31" customHeight="1" spans="1:68">
      <c r="A81" s="1304">
        <v>45769</v>
      </c>
      <c r="B81" s="822" t="s">
        <v>448</v>
      </c>
      <c r="C81" s="633" t="s">
        <v>399</v>
      </c>
      <c r="D81" s="825">
        <v>4500163874</v>
      </c>
      <c r="E81" s="633"/>
      <c r="F81" s="1305" t="s">
        <v>449</v>
      </c>
      <c r="G81" s="659" t="s">
        <v>130</v>
      </c>
      <c r="H81" s="633" t="s">
        <v>131</v>
      </c>
      <c r="I81" s="633">
        <v>480</v>
      </c>
      <c r="J81" s="633">
        <v>0</v>
      </c>
      <c r="K81" s="633">
        <v>6</v>
      </c>
      <c r="L81" s="827">
        <f t="shared" si="17"/>
        <v>80</v>
      </c>
      <c r="M81" s="828">
        <v>45812</v>
      </c>
      <c r="N81" s="828">
        <f>M81-4</f>
        <v>45808</v>
      </c>
      <c r="O81" s="824"/>
      <c r="P81" s="824" t="s">
        <v>113</v>
      </c>
      <c r="Q81" s="633"/>
      <c r="R81" s="829">
        <v>45774</v>
      </c>
      <c r="S81" s="829" t="s">
        <v>70</v>
      </c>
      <c r="T81" s="829">
        <v>45790</v>
      </c>
      <c r="U81" s="829"/>
      <c r="V81" s="829" t="s">
        <v>450</v>
      </c>
      <c r="W81" s="829"/>
      <c r="X81" s="628" t="s">
        <v>451</v>
      </c>
      <c r="Y81" s="828" t="s">
        <v>445</v>
      </c>
      <c r="Z81" s="1306">
        <v>4.2099</v>
      </c>
      <c r="AA81" s="831">
        <f t="shared" si="19"/>
        <v>2020.752</v>
      </c>
      <c r="AC81" s="1307" t="s">
        <v>452</v>
      </c>
      <c r="AD81" s="633" t="s">
        <v>453</v>
      </c>
      <c r="AE81" s="633" t="s">
        <v>82</v>
      </c>
      <c r="AF81" s="633"/>
      <c r="AG81" s="618" t="s">
        <v>74</v>
      </c>
      <c r="AH81" s="618"/>
      <c r="AI81" s="1308">
        <v>480</v>
      </c>
      <c r="AJ81" s="824">
        <f t="shared" si="18"/>
        <v>0</v>
      </c>
      <c r="AK81" s="633"/>
      <c r="AL81" s="633" t="s">
        <v>454</v>
      </c>
      <c r="AM81" s="633"/>
      <c r="AN81" s="825">
        <f t="shared" si="15"/>
        <v>480</v>
      </c>
      <c r="AO81" s="687"/>
      <c r="AP81" s="687"/>
      <c r="AQ81" s="687"/>
      <c r="AR81" s="825"/>
      <c r="AS81" s="687">
        <f>I81</f>
        <v>480</v>
      </c>
      <c r="AT81" s="687"/>
      <c r="AU81" s="825">
        <f t="shared" si="16"/>
        <v>480</v>
      </c>
      <c r="AV81" s="825"/>
      <c r="AW81" s="825">
        <f t="shared" si="10"/>
        <v>480</v>
      </c>
      <c r="AX81" s="825"/>
      <c r="AY81" s="1305"/>
      <c r="AZ81" s="1305"/>
      <c r="BA81" s="1305"/>
      <c r="BB81" s="1305"/>
      <c r="BC81" s="1305"/>
      <c r="BD81" s="1305"/>
      <c r="BE81" s="1305"/>
      <c r="BF81" s="1305"/>
      <c r="BG81" s="1305"/>
      <c r="BH81" s="1305"/>
      <c r="BI81" s="1305"/>
      <c r="BJ81" s="1305"/>
      <c r="BK81" s="1305"/>
      <c r="BL81" s="1305"/>
      <c r="BM81" s="1305"/>
      <c r="BN81" s="1305"/>
      <c r="BO81" s="1305"/>
      <c r="BP81" s="1305"/>
    </row>
    <row r="82" s="1265" customFormat="1" ht="31" customHeight="1" spans="1:68">
      <c r="A82" s="1304">
        <v>45768</v>
      </c>
      <c r="B82" s="822" t="s">
        <v>455</v>
      </c>
      <c r="C82" s="633" t="s">
        <v>241</v>
      </c>
      <c r="D82" s="825">
        <v>4500164402</v>
      </c>
      <c r="E82" s="633">
        <v>1310</v>
      </c>
      <c r="F82" s="1305" t="s">
        <v>456</v>
      </c>
      <c r="G82" s="659" t="s">
        <v>68</v>
      </c>
      <c r="H82" s="633" t="s">
        <v>69</v>
      </c>
      <c r="I82" s="633">
        <v>1800</v>
      </c>
      <c r="J82" s="633">
        <v>0</v>
      </c>
      <c r="K82" s="633">
        <v>12</v>
      </c>
      <c r="L82" s="827">
        <f t="shared" si="17"/>
        <v>150</v>
      </c>
      <c r="M82" s="828">
        <v>45814</v>
      </c>
      <c r="N82" s="828">
        <v>45810</v>
      </c>
      <c r="O82" s="824"/>
      <c r="P82" s="824" t="s">
        <v>113</v>
      </c>
      <c r="Q82" s="633"/>
      <c r="R82" s="829">
        <v>45768</v>
      </c>
      <c r="S82" s="829" t="s">
        <v>70</v>
      </c>
      <c r="T82" s="829">
        <v>45786</v>
      </c>
      <c r="U82" s="829"/>
      <c r="V82" s="829" t="s">
        <v>457</v>
      </c>
      <c r="W82" s="829"/>
      <c r="X82" s="628" t="s">
        <v>458</v>
      </c>
      <c r="Y82" s="828" t="s">
        <v>299</v>
      </c>
      <c r="Z82" s="1306">
        <v>4.1</v>
      </c>
      <c r="AA82" s="831">
        <f t="shared" si="19"/>
        <v>7380</v>
      </c>
      <c r="AC82" s="1307" t="s">
        <v>459</v>
      </c>
      <c r="AD82" s="633" t="s">
        <v>184</v>
      </c>
      <c r="AE82" s="633" t="s">
        <v>82</v>
      </c>
      <c r="AF82" s="633"/>
      <c r="AG82" s="618" t="s">
        <v>74</v>
      </c>
      <c r="AH82" s="618"/>
      <c r="AI82" s="1308">
        <v>1800</v>
      </c>
      <c r="AJ82" s="824">
        <f t="shared" si="18"/>
        <v>0</v>
      </c>
      <c r="AK82" s="633"/>
      <c r="AL82" s="633"/>
      <c r="AM82" s="633"/>
      <c r="AN82" s="825">
        <f t="shared" si="15"/>
        <v>1800</v>
      </c>
      <c r="AO82" s="687"/>
      <c r="AP82" s="687"/>
      <c r="AQ82" s="687"/>
      <c r="AR82" s="825"/>
      <c r="AS82" s="687">
        <f>I82</f>
        <v>1800</v>
      </c>
      <c r="AT82" s="687"/>
      <c r="AU82" s="825">
        <f t="shared" si="16"/>
        <v>1800</v>
      </c>
      <c r="AV82" s="825"/>
      <c r="AW82" s="825">
        <f t="shared" si="10"/>
        <v>1800</v>
      </c>
      <c r="AX82" s="825"/>
      <c r="AY82" s="1305"/>
      <c r="AZ82" s="1305"/>
      <c r="BA82" s="1305"/>
      <c r="BB82" s="1305"/>
      <c r="BC82" s="1305"/>
      <c r="BD82" s="1305"/>
      <c r="BE82" s="1305"/>
      <c r="BF82" s="1305"/>
      <c r="BG82" s="1305"/>
      <c r="BH82" s="1305"/>
      <c r="BI82" s="1305"/>
      <c r="BJ82" s="1305"/>
      <c r="BK82" s="1305"/>
      <c r="BL82" s="1305"/>
      <c r="BM82" s="1305"/>
      <c r="BN82" s="1305"/>
      <c r="BO82" s="1305"/>
      <c r="BP82" s="1305"/>
    </row>
    <row r="83" s="1265" customFormat="1" ht="31" customHeight="1" spans="1:68">
      <c r="A83" s="1304">
        <v>45765</v>
      </c>
      <c r="B83" s="822" t="s">
        <v>460</v>
      </c>
      <c r="C83" s="633" t="s">
        <v>278</v>
      </c>
      <c r="D83" s="825">
        <v>4500164250</v>
      </c>
      <c r="E83" s="633" t="s">
        <v>461</v>
      </c>
      <c r="F83" s="1305" t="s">
        <v>462</v>
      </c>
      <c r="G83" s="659" t="s">
        <v>68</v>
      </c>
      <c r="H83" s="633" t="s">
        <v>69</v>
      </c>
      <c r="I83" s="633">
        <v>504</v>
      </c>
      <c r="J83" s="633">
        <v>0</v>
      </c>
      <c r="K83" s="633">
        <v>12</v>
      </c>
      <c r="L83" s="827">
        <f t="shared" si="17"/>
        <v>42</v>
      </c>
      <c r="M83" s="828">
        <v>45814</v>
      </c>
      <c r="N83" s="828">
        <v>45810</v>
      </c>
      <c r="O83" s="824"/>
      <c r="P83" s="824" t="s">
        <v>113</v>
      </c>
      <c r="Q83" s="633"/>
      <c r="R83" s="829" t="s">
        <v>463</v>
      </c>
      <c r="S83" s="829" t="s">
        <v>104</v>
      </c>
      <c r="T83" s="829" t="s">
        <v>464</v>
      </c>
      <c r="U83" s="829"/>
      <c r="V83" s="829"/>
      <c r="W83" s="829"/>
      <c r="X83" s="822" t="s">
        <v>465</v>
      </c>
      <c r="Y83" s="828" t="s">
        <v>466</v>
      </c>
      <c r="Z83" s="1306">
        <v>4.1</v>
      </c>
      <c r="AA83" s="831">
        <f t="shared" si="19"/>
        <v>2066.4</v>
      </c>
      <c r="AC83" s="1307" t="s">
        <v>467</v>
      </c>
      <c r="AD83" s="633" t="s">
        <v>184</v>
      </c>
      <c r="AE83" s="633" t="s">
        <v>82</v>
      </c>
      <c r="AF83" s="633"/>
      <c r="AG83" s="618" t="s">
        <v>74</v>
      </c>
      <c r="AH83" s="618"/>
      <c r="AI83" s="1308">
        <v>504</v>
      </c>
      <c r="AJ83" s="824">
        <f t="shared" si="18"/>
        <v>0</v>
      </c>
      <c r="AK83" s="633"/>
      <c r="AL83" s="633"/>
      <c r="AM83" s="633"/>
      <c r="AN83" s="825">
        <f t="shared" si="15"/>
        <v>504</v>
      </c>
      <c r="AO83" s="687"/>
      <c r="AP83" s="687"/>
      <c r="AQ83" s="687"/>
      <c r="AR83" s="825"/>
      <c r="AS83" s="687">
        <f>I83</f>
        <v>504</v>
      </c>
      <c r="AT83" s="687"/>
      <c r="AU83" s="825">
        <f t="shared" si="16"/>
        <v>504</v>
      </c>
      <c r="AV83" s="825"/>
      <c r="AW83" s="825">
        <f t="shared" si="10"/>
        <v>504</v>
      </c>
      <c r="AX83" s="825"/>
      <c r="AY83" s="1305"/>
      <c r="AZ83" s="1305"/>
      <c r="BA83" s="1305"/>
      <c r="BB83" s="1305"/>
      <c r="BC83" s="1305"/>
      <c r="BD83" s="1305"/>
      <c r="BE83" s="1305"/>
      <c r="BF83" s="1305"/>
      <c r="BG83" s="1305"/>
      <c r="BH83" s="1305"/>
      <c r="BI83" s="1305"/>
      <c r="BJ83" s="1305"/>
      <c r="BK83" s="1305"/>
      <c r="BL83" s="1305"/>
      <c r="BM83" s="1305"/>
      <c r="BN83" s="1305"/>
      <c r="BO83" s="1305"/>
      <c r="BP83" s="1305"/>
    </row>
    <row r="84" s="1265" customFormat="1" ht="31" customHeight="1" spans="1:68">
      <c r="A84" s="1304">
        <v>45775</v>
      </c>
      <c r="B84" s="822" t="s">
        <v>468</v>
      </c>
      <c r="C84" s="633" t="s">
        <v>469</v>
      </c>
      <c r="D84" s="825">
        <v>4500164557</v>
      </c>
      <c r="E84" s="633">
        <v>47996</v>
      </c>
      <c r="F84" s="1305" t="s">
        <v>470</v>
      </c>
      <c r="G84" s="659" t="s">
        <v>68</v>
      </c>
      <c r="H84" s="633" t="s">
        <v>69</v>
      </c>
      <c r="I84" s="633">
        <v>504</v>
      </c>
      <c r="J84" s="633">
        <v>0</v>
      </c>
      <c r="K84" s="633">
        <v>12</v>
      </c>
      <c r="L84" s="827">
        <f t="shared" si="17"/>
        <v>42</v>
      </c>
      <c r="M84" s="828">
        <v>45814</v>
      </c>
      <c r="N84" s="828">
        <v>45810</v>
      </c>
      <c r="O84" s="824"/>
      <c r="P84" s="824" t="s">
        <v>113</v>
      </c>
      <c r="Q84" s="633"/>
      <c r="R84" s="829">
        <v>45775</v>
      </c>
      <c r="S84" s="829" t="s">
        <v>70</v>
      </c>
      <c r="T84" s="829">
        <v>45783</v>
      </c>
      <c r="U84" s="829"/>
      <c r="V84" s="829"/>
      <c r="W84" s="829"/>
      <c r="X84" s="628" t="s">
        <v>471</v>
      </c>
      <c r="Y84" s="828" t="s">
        <v>472</v>
      </c>
      <c r="Z84" s="1306">
        <v>4.18</v>
      </c>
      <c r="AA84" s="831">
        <f t="shared" si="19"/>
        <v>2106.72</v>
      </c>
      <c r="AC84" s="1307" t="s">
        <v>473</v>
      </c>
      <c r="AD84" s="633" t="s">
        <v>474</v>
      </c>
      <c r="AE84" s="633" t="s">
        <v>82</v>
      </c>
      <c r="AF84" s="633"/>
      <c r="AG84" s="618" t="s">
        <v>74</v>
      </c>
      <c r="AH84" s="618"/>
      <c r="AI84" s="1308">
        <v>504</v>
      </c>
      <c r="AJ84" s="824">
        <f t="shared" si="18"/>
        <v>0</v>
      </c>
      <c r="AK84" s="633"/>
      <c r="AL84" s="633"/>
      <c r="AM84" s="633"/>
      <c r="AN84" s="825">
        <f t="shared" si="15"/>
        <v>504</v>
      </c>
      <c r="AO84" s="687"/>
      <c r="AP84" s="687"/>
      <c r="AQ84" s="687"/>
      <c r="AR84" s="825"/>
      <c r="AS84" s="687"/>
      <c r="AT84" s="687"/>
      <c r="AU84" s="825"/>
      <c r="AV84" s="825"/>
      <c r="AW84" s="825">
        <f t="shared" si="10"/>
        <v>504</v>
      </c>
      <c r="AX84" s="825"/>
      <c r="AY84" s="1305"/>
      <c r="AZ84" s="1305"/>
      <c r="BA84" s="1305"/>
      <c r="BB84" s="1305"/>
      <c r="BC84" s="1305"/>
      <c r="BD84" s="1305">
        <f>I84</f>
        <v>504</v>
      </c>
      <c r="BE84" s="1305">
        <f>I84</f>
        <v>504</v>
      </c>
      <c r="BF84" s="1305"/>
      <c r="BG84" s="1305"/>
      <c r="BH84" s="1305"/>
      <c r="BI84" s="1305"/>
      <c r="BJ84" s="1305"/>
      <c r="BK84" s="1305"/>
      <c r="BL84" s="1305"/>
      <c r="BM84" s="1305"/>
      <c r="BN84" s="1305"/>
      <c r="BO84" s="1305"/>
      <c r="BP84" s="1305"/>
    </row>
    <row r="85" s="1265" customFormat="1" ht="31" customHeight="1" spans="1:68">
      <c r="A85" s="1304">
        <v>45784</v>
      </c>
      <c r="B85" s="822"/>
      <c r="C85" s="633"/>
      <c r="D85" s="825" t="s">
        <v>475</v>
      </c>
      <c r="E85" s="633"/>
      <c r="F85" s="1305"/>
      <c r="G85" s="659" t="s">
        <v>476</v>
      </c>
      <c r="H85" s="633" t="s">
        <v>477</v>
      </c>
      <c r="I85" s="633">
        <v>48</v>
      </c>
      <c r="J85" s="633">
        <v>0</v>
      </c>
      <c r="K85" s="633">
        <v>6</v>
      </c>
      <c r="L85" s="827">
        <f t="shared" si="17"/>
        <v>8</v>
      </c>
      <c r="M85" s="828">
        <v>45797</v>
      </c>
      <c r="N85" s="828">
        <v>45793</v>
      </c>
      <c r="O85" s="824"/>
      <c r="P85" s="824"/>
      <c r="Q85" s="633"/>
      <c r="R85" s="829">
        <v>45784</v>
      </c>
      <c r="S85" s="829" t="s">
        <v>70</v>
      </c>
      <c r="T85" s="829" t="s">
        <v>70</v>
      </c>
      <c r="U85" s="829"/>
      <c r="V85" s="829"/>
      <c r="W85" s="829"/>
      <c r="X85" s="822" t="s">
        <v>478</v>
      </c>
      <c r="Y85" s="828" t="s">
        <v>85</v>
      </c>
      <c r="Z85" s="1306"/>
      <c r="AA85" s="831"/>
      <c r="AB85" s="1265"/>
      <c r="AC85" s="632" t="s">
        <v>479</v>
      </c>
      <c r="AD85" s="1310" t="s">
        <v>480</v>
      </c>
      <c r="AE85" s="633" t="s">
        <v>82</v>
      </c>
      <c r="AF85" s="633"/>
      <c r="AG85" s="618" t="s">
        <v>74</v>
      </c>
      <c r="AH85" s="618"/>
      <c r="AI85" s="1308">
        <v>48</v>
      </c>
      <c r="AJ85" s="824">
        <f t="shared" si="18"/>
        <v>0</v>
      </c>
      <c r="AK85" s="633"/>
      <c r="AL85" s="633"/>
      <c r="AM85" s="633"/>
      <c r="AN85" s="825">
        <f t="shared" si="15"/>
        <v>48</v>
      </c>
      <c r="AO85" s="687"/>
      <c r="AP85" s="687"/>
      <c r="AQ85" s="687"/>
      <c r="AR85" s="1305"/>
      <c r="AS85" s="687">
        <f>I85</f>
        <v>48</v>
      </c>
      <c r="AT85" s="687"/>
      <c r="AU85" s="825">
        <f t="shared" ref="AU85:AU92" si="20">I85</f>
        <v>48</v>
      </c>
      <c r="AV85" s="825"/>
      <c r="AW85" s="825">
        <f t="shared" si="10"/>
        <v>48</v>
      </c>
      <c r="AX85" s="825"/>
      <c r="AY85" s="1305"/>
      <c r="AZ85" s="1305"/>
      <c r="BA85" s="1305"/>
      <c r="BB85" s="1305"/>
      <c r="BC85" s="1305"/>
      <c r="BD85" s="1305"/>
      <c r="BE85" s="1305"/>
      <c r="BF85" s="1305"/>
      <c r="BG85" s="1305"/>
      <c r="BH85" s="1305"/>
      <c r="BI85" s="1305"/>
      <c r="BJ85" s="1305"/>
      <c r="BK85" s="1305"/>
      <c r="BL85" s="1305"/>
      <c r="BM85" s="825"/>
      <c r="BN85" s="825">
        <f>I85</f>
        <v>48</v>
      </c>
      <c r="BO85" s="1305"/>
      <c r="BP85" s="1305"/>
    </row>
    <row r="86" s="1265" customFormat="1" ht="31" customHeight="1" spans="1:68">
      <c r="A86" s="1304">
        <v>45775</v>
      </c>
      <c r="B86" s="822" t="s">
        <v>143</v>
      </c>
      <c r="C86" s="633" t="s">
        <v>98</v>
      </c>
      <c r="D86" s="825">
        <v>4500162787</v>
      </c>
      <c r="E86" s="633" t="s">
        <v>481</v>
      </c>
      <c r="F86" s="1305" t="s">
        <v>482</v>
      </c>
      <c r="G86" s="659" t="s">
        <v>101</v>
      </c>
      <c r="H86" s="633" t="s">
        <v>102</v>
      </c>
      <c r="I86" s="633">
        <v>732</v>
      </c>
      <c r="J86" s="633">
        <v>0</v>
      </c>
      <c r="K86" s="633">
        <v>4</v>
      </c>
      <c r="L86" s="827">
        <f t="shared" si="17"/>
        <v>183</v>
      </c>
      <c r="M86" s="828">
        <v>45811</v>
      </c>
      <c r="N86" s="828">
        <v>45807</v>
      </c>
      <c r="O86" s="824"/>
      <c r="P86" s="824" t="s">
        <v>113</v>
      </c>
      <c r="Q86" s="633"/>
      <c r="R86" s="829" t="s">
        <v>483</v>
      </c>
      <c r="S86" s="829" t="s">
        <v>70</v>
      </c>
      <c r="T86" s="829" t="s">
        <v>148</v>
      </c>
      <c r="U86" s="829"/>
      <c r="V86" s="774" t="s">
        <v>148</v>
      </c>
      <c r="W86" s="829"/>
      <c r="X86" s="822" t="s">
        <v>484</v>
      </c>
      <c r="Y86" s="828" t="s">
        <v>106</v>
      </c>
      <c r="Z86" s="1306">
        <v>3.06</v>
      </c>
      <c r="AA86" s="831">
        <f t="shared" ref="AA86:AA92" si="21">Z86*I86</f>
        <v>2239.92</v>
      </c>
      <c r="AC86" s="632"/>
      <c r="AD86" s="633" t="s">
        <v>101</v>
      </c>
      <c r="AE86" s="633" t="s">
        <v>82</v>
      </c>
      <c r="AF86" s="633"/>
      <c r="AG86" s="618" t="s">
        <v>74</v>
      </c>
      <c r="AH86" s="618"/>
      <c r="AI86" s="1308">
        <f>728+4</f>
        <v>732</v>
      </c>
      <c r="AJ86" s="824">
        <f t="shared" si="18"/>
        <v>0</v>
      </c>
      <c r="AK86" s="633"/>
      <c r="AL86" s="633"/>
      <c r="AM86" s="633"/>
      <c r="AN86" s="825">
        <f t="shared" si="15"/>
        <v>732</v>
      </c>
      <c r="AO86" s="687"/>
      <c r="AP86" s="687"/>
      <c r="AQ86" s="687"/>
      <c r="AR86" s="825">
        <f t="shared" ref="AR86:AR92" si="22">I86</f>
        <v>732</v>
      </c>
      <c r="AS86" s="687"/>
      <c r="AT86" s="687"/>
      <c r="AU86" s="825">
        <f t="shared" si="20"/>
        <v>732</v>
      </c>
      <c r="AV86" s="825"/>
      <c r="AW86" s="551">
        <f t="shared" si="10"/>
        <v>732</v>
      </c>
      <c r="AX86" s="825"/>
      <c r="AY86" s="1305"/>
      <c r="AZ86" s="1305"/>
      <c r="BA86" s="1305"/>
      <c r="BB86" s="1305"/>
      <c r="BC86" s="1305"/>
      <c r="BD86" s="1305"/>
      <c r="BE86" s="1305"/>
      <c r="BF86" s="1305"/>
      <c r="BG86" s="1305"/>
      <c r="BH86" s="825">
        <f t="shared" ref="BH86:BH92" si="23">I86/4</f>
        <v>183</v>
      </c>
      <c r="BI86" s="1305"/>
      <c r="BJ86" s="1305"/>
      <c r="BK86" s="1305"/>
      <c r="BL86" s="1305"/>
      <c r="BM86" s="1305"/>
      <c r="BN86" s="1305"/>
      <c r="BO86" s="1305"/>
      <c r="BP86" s="1305"/>
    </row>
    <row r="87" s="1265" customFormat="1" ht="31" customHeight="1" spans="1:68">
      <c r="A87" s="1304">
        <v>45775</v>
      </c>
      <c r="B87" s="822" t="s">
        <v>143</v>
      </c>
      <c r="C87" s="633" t="s">
        <v>98</v>
      </c>
      <c r="D87" s="825">
        <v>4500162787</v>
      </c>
      <c r="E87" s="633" t="s">
        <v>485</v>
      </c>
      <c r="F87" s="1305" t="s">
        <v>486</v>
      </c>
      <c r="G87" s="659" t="s">
        <v>101</v>
      </c>
      <c r="H87" s="633" t="s">
        <v>102</v>
      </c>
      <c r="I87" s="633">
        <v>740</v>
      </c>
      <c r="J87" s="633">
        <v>0</v>
      </c>
      <c r="K87" s="633">
        <v>4</v>
      </c>
      <c r="L87" s="827">
        <f t="shared" si="17"/>
        <v>185</v>
      </c>
      <c r="M87" s="828">
        <v>45811</v>
      </c>
      <c r="N87" s="828">
        <v>45807</v>
      </c>
      <c r="O87" s="824"/>
      <c r="P87" s="824" t="s">
        <v>113</v>
      </c>
      <c r="Q87" s="633"/>
      <c r="R87" s="829" t="s">
        <v>483</v>
      </c>
      <c r="S87" s="829" t="s">
        <v>70</v>
      </c>
      <c r="T87" s="829" t="s">
        <v>148</v>
      </c>
      <c r="U87" s="829"/>
      <c r="V87" s="774" t="s">
        <v>148</v>
      </c>
      <c r="W87" s="829"/>
      <c r="X87" s="822" t="s">
        <v>484</v>
      </c>
      <c r="Y87" s="828" t="s">
        <v>106</v>
      </c>
      <c r="Z87" s="1306">
        <v>3.06</v>
      </c>
      <c r="AA87" s="831">
        <f t="shared" si="21"/>
        <v>2264.4</v>
      </c>
      <c r="AC87" s="632"/>
      <c r="AD87" s="633" t="s">
        <v>101</v>
      </c>
      <c r="AE87" s="633" t="s">
        <v>82</v>
      </c>
      <c r="AF87" s="633"/>
      <c r="AG87" s="618" t="s">
        <v>74</v>
      </c>
      <c r="AH87" s="618"/>
      <c r="AI87" s="1308">
        <v>740</v>
      </c>
      <c r="AJ87" s="824">
        <f t="shared" si="18"/>
        <v>0</v>
      </c>
      <c r="AK87" s="633"/>
      <c r="AL87" s="633"/>
      <c r="AM87" s="633"/>
      <c r="AN87" s="825">
        <f t="shared" si="15"/>
        <v>740</v>
      </c>
      <c r="AO87" s="687"/>
      <c r="AP87" s="687"/>
      <c r="AQ87" s="687"/>
      <c r="AR87" s="825">
        <f t="shared" si="22"/>
        <v>740</v>
      </c>
      <c r="AS87" s="687"/>
      <c r="AT87" s="687"/>
      <c r="AU87" s="825">
        <f t="shared" si="20"/>
        <v>740</v>
      </c>
      <c r="AV87" s="825"/>
      <c r="AW87" s="551">
        <f t="shared" si="10"/>
        <v>740</v>
      </c>
      <c r="AX87" s="825"/>
      <c r="AY87" s="1305"/>
      <c r="AZ87" s="1305"/>
      <c r="BA87" s="1305"/>
      <c r="BB87" s="1305"/>
      <c r="BC87" s="1305"/>
      <c r="BD87" s="1305"/>
      <c r="BE87" s="1305"/>
      <c r="BF87" s="1305"/>
      <c r="BG87" s="1305"/>
      <c r="BH87" s="825">
        <f t="shared" si="23"/>
        <v>185</v>
      </c>
      <c r="BI87" s="1305"/>
      <c r="BJ87" s="1305"/>
      <c r="BK87" s="1305"/>
      <c r="BL87" s="1305"/>
      <c r="BM87" s="1305"/>
      <c r="BN87" s="1305"/>
      <c r="BO87" s="1305"/>
      <c r="BP87" s="1305"/>
    </row>
    <row r="88" s="1265" customFormat="1" ht="31" customHeight="1" spans="1:68">
      <c r="A88" s="1304">
        <v>45775</v>
      </c>
      <c r="B88" s="822" t="s">
        <v>143</v>
      </c>
      <c r="C88" s="633" t="s">
        <v>98</v>
      </c>
      <c r="D88" s="825">
        <v>4500162787</v>
      </c>
      <c r="E88" s="633" t="s">
        <v>487</v>
      </c>
      <c r="F88" s="1305" t="s">
        <v>488</v>
      </c>
      <c r="G88" s="659" t="s">
        <v>101</v>
      </c>
      <c r="H88" s="633" t="s">
        <v>102</v>
      </c>
      <c r="I88" s="633">
        <v>656</v>
      </c>
      <c r="J88" s="633">
        <v>0</v>
      </c>
      <c r="K88" s="633">
        <v>4</v>
      </c>
      <c r="L88" s="827">
        <f t="shared" si="17"/>
        <v>164</v>
      </c>
      <c r="M88" s="828">
        <v>45811</v>
      </c>
      <c r="N88" s="828">
        <v>45807</v>
      </c>
      <c r="O88" s="824"/>
      <c r="P88" s="824" t="s">
        <v>113</v>
      </c>
      <c r="Q88" s="633"/>
      <c r="R88" s="829" t="s">
        <v>483</v>
      </c>
      <c r="S88" s="829" t="s">
        <v>70</v>
      </c>
      <c r="T88" s="829" t="s">
        <v>148</v>
      </c>
      <c r="U88" s="829"/>
      <c r="V88" s="774" t="s">
        <v>148</v>
      </c>
      <c r="W88" s="829"/>
      <c r="X88" s="822" t="s">
        <v>484</v>
      </c>
      <c r="Y88" s="828" t="s">
        <v>106</v>
      </c>
      <c r="Z88" s="1306">
        <v>3.06</v>
      </c>
      <c r="AA88" s="831">
        <f t="shared" si="21"/>
        <v>2007.36</v>
      </c>
      <c r="AC88" s="632"/>
      <c r="AD88" s="633" t="s">
        <v>101</v>
      </c>
      <c r="AE88" s="633" t="s">
        <v>82</v>
      </c>
      <c r="AF88" s="633"/>
      <c r="AG88" s="618" t="s">
        <v>74</v>
      </c>
      <c r="AH88" s="618"/>
      <c r="AI88" s="1308">
        <f>652+4</f>
        <v>656</v>
      </c>
      <c r="AJ88" s="824">
        <f t="shared" si="18"/>
        <v>0</v>
      </c>
      <c r="AK88" s="633"/>
      <c r="AL88" s="633"/>
      <c r="AM88" s="633"/>
      <c r="AN88" s="825">
        <f t="shared" si="15"/>
        <v>656</v>
      </c>
      <c r="AO88" s="687"/>
      <c r="AP88" s="687"/>
      <c r="AQ88" s="687"/>
      <c r="AR88" s="825">
        <f t="shared" si="22"/>
        <v>656</v>
      </c>
      <c r="AS88" s="687"/>
      <c r="AT88" s="687"/>
      <c r="AU88" s="825">
        <f t="shared" si="20"/>
        <v>656</v>
      </c>
      <c r="AV88" s="825"/>
      <c r="AW88" s="551">
        <f t="shared" si="10"/>
        <v>656</v>
      </c>
      <c r="AX88" s="825"/>
      <c r="AY88" s="1305"/>
      <c r="AZ88" s="1305"/>
      <c r="BA88" s="1305"/>
      <c r="BB88" s="1305"/>
      <c r="BC88" s="1305"/>
      <c r="BD88" s="1305"/>
      <c r="BE88" s="1305"/>
      <c r="BF88" s="1305"/>
      <c r="BG88" s="1305"/>
      <c r="BH88" s="825">
        <f t="shared" si="23"/>
        <v>164</v>
      </c>
      <c r="BI88" s="1305"/>
      <c r="BJ88" s="1305"/>
      <c r="BK88" s="1305"/>
      <c r="BL88" s="1305"/>
      <c r="BM88" s="1305"/>
      <c r="BN88" s="1305"/>
      <c r="BO88" s="1305"/>
      <c r="BP88" s="1305"/>
    </row>
    <row r="89" s="1265" customFormat="1" ht="31" customHeight="1" spans="1:68">
      <c r="A89" s="1304">
        <v>45775</v>
      </c>
      <c r="B89" s="822" t="s">
        <v>143</v>
      </c>
      <c r="C89" s="633" t="s">
        <v>98</v>
      </c>
      <c r="D89" s="825">
        <v>4500162787</v>
      </c>
      <c r="E89" s="633" t="s">
        <v>489</v>
      </c>
      <c r="F89" s="1305" t="s">
        <v>490</v>
      </c>
      <c r="G89" s="659" t="s">
        <v>101</v>
      </c>
      <c r="H89" s="633" t="s">
        <v>102</v>
      </c>
      <c r="I89" s="633">
        <v>848</v>
      </c>
      <c r="J89" s="633">
        <v>0</v>
      </c>
      <c r="K89" s="633">
        <v>4</v>
      </c>
      <c r="L89" s="827">
        <f t="shared" si="17"/>
        <v>212</v>
      </c>
      <c r="M89" s="828">
        <v>45811</v>
      </c>
      <c r="N89" s="828">
        <v>45807</v>
      </c>
      <c r="O89" s="824"/>
      <c r="P89" s="824" t="s">
        <v>113</v>
      </c>
      <c r="Q89" s="633"/>
      <c r="R89" s="829" t="s">
        <v>483</v>
      </c>
      <c r="S89" s="829" t="s">
        <v>70</v>
      </c>
      <c r="T89" s="829" t="s">
        <v>148</v>
      </c>
      <c r="U89" s="829"/>
      <c r="V89" s="774" t="s">
        <v>148</v>
      </c>
      <c r="W89" s="829"/>
      <c r="X89" s="822" t="s">
        <v>484</v>
      </c>
      <c r="Y89" s="828" t="s">
        <v>106</v>
      </c>
      <c r="Z89" s="1306">
        <v>3.06</v>
      </c>
      <c r="AA89" s="831">
        <f t="shared" si="21"/>
        <v>2594.88</v>
      </c>
      <c r="AC89" s="632"/>
      <c r="AD89" s="633" t="s">
        <v>101</v>
      </c>
      <c r="AE89" s="633" t="s">
        <v>82</v>
      </c>
      <c r="AF89" s="633"/>
      <c r="AG89" s="618" t="s">
        <v>74</v>
      </c>
      <c r="AH89" s="618"/>
      <c r="AI89" s="1308">
        <f>836+12</f>
        <v>848</v>
      </c>
      <c r="AJ89" s="824">
        <f t="shared" si="18"/>
        <v>0</v>
      </c>
      <c r="AK89" s="633"/>
      <c r="AL89" s="633"/>
      <c r="AM89" s="633"/>
      <c r="AN89" s="825">
        <f t="shared" si="15"/>
        <v>848</v>
      </c>
      <c r="AO89" s="687"/>
      <c r="AP89" s="687"/>
      <c r="AQ89" s="687"/>
      <c r="AR89" s="825">
        <f t="shared" si="22"/>
        <v>848</v>
      </c>
      <c r="AS89" s="687"/>
      <c r="AT89" s="687"/>
      <c r="AU89" s="825">
        <f t="shared" si="20"/>
        <v>848</v>
      </c>
      <c r="AV89" s="825"/>
      <c r="AW89" s="551">
        <f t="shared" si="10"/>
        <v>848</v>
      </c>
      <c r="AX89" s="825"/>
      <c r="AY89" s="1305"/>
      <c r="AZ89" s="1305"/>
      <c r="BA89" s="1305"/>
      <c r="BB89" s="1305"/>
      <c r="BC89" s="1305"/>
      <c r="BD89" s="1305"/>
      <c r="BE89" s="1305"/>
      <c r="BF89" s="1305"/>
      <c r="BG89" s="1305"/>
      <c r="BH89" s="825">
        <f t="shared" si="23"/>
        <v>212</v>
      </c>
      <c r="BI89" s="1305"/>
      <c r="BJ89" s="1305"/>
      <c r="BK89" s="1305"/>
      <c r="BL89" s="1305"/>
      <c r="BM89" s="1305"/>
      <c r="BN89" s="1305"/>
      <c r="BO89" s="1305"/>
      <c r="BP89" s="1305"/>
    </row>
    <row r="90" s="1265" customFormat="1" ht="31" customHeight="1" spans="1:68">
      <c r="A90" s="1304">
        <v>45775</v>
      </c>
      <c r="B90" s="822" t="s">
        <v>143</v>
      </c>
      <c r="C90" s="633" t="s">
        <v>98</v>
      </c>
      <c r="D90" s="825">
        <v>4500162787</v>
      </c>
      <c r="E90" s="633" t="s">
        <v>491</v>
      </c>
      <c r="F90" s="1305" t="s">
        <v>492</v>
      </c>
      <c r="G90" s="659" t="s">
        <v>101</v>
      </c>
      <c r="H90" s="633" t="s">
        <v>102</v>
      </c>
      <c r="I90" s="633">
        <v>796</v>
      </c>
      <c r="J90" s="633">
        <v>0</v>
      </c>
      <c r="K90" s="633">
        <v>4</v>
      </c>
      <c r="L90" s="827">
        <f t="shared" si="17"/>
        <v>199</v>
      </c>
      <c r="M90" s="828">
        <v>45811</v>
      </c>
      <c r="N90" s="828">
        <v>45807</v>
      </c>
      <c r="O90" s="824"/>
      <c r="P90" s="824" t="s">
        <v>113</v>
      </c>
      <c r="Q90" s="633"/>
      <c r="R90" s="829" t="s">
        <v>483</v>
      </c>
      <c r="S90" s="829" t="s">
        <v>70</v>
      </c>
      <c r="T90" s="829" t="s">
        <v>148</v>
      </c>
      <c r="U90" s="829"/>
      <c r="V90" s="774" t="s">
        <v>148</v>
      </c>
      <c r="W90" s="829"/>
      <c r="X90" s="822" t="s">
        <v>484</v>
      </c>
      <c r="Y90" s="828" t="s">
        <v>106</v>
      </c>
      <c r="Z90" s="1306">
        <v>3.06</v>
      </c>
      <c r="AA90" s="831">
        <f t="shared" si="21"/>
        <v>2435.76</v>
      </c>
      <c r="AC90" s="632"/>
      <c r="AD90" s="633" t="s">
        <v>101</v>
      </c>
      <c r="AE90" s="633" t="s">
        <v>82</v>
      </c>
      <c r="AF90" s="633"/>
      <c r="AG90" s="618" t="s">
        <v>74</v>
      </c>
      <c r="AH90" s="618"/>
      <c r="AI90" s="1308">
        <f>792+4</f>
        <v>796</v>
      </c>
      <c r="AJ90" s="824">
        <f t="shared" si="18"/>
        <v>0</v>
      </c>
      <c r="AK90" s="633"/>
      <c r="AL90" s="633"/>
      <c r="AM90" s="633"/>
      <c r="AN90" s="825">
        <f t="shared" si="15"/>
        <v>796</v>
      </c>
      <c r="AO90" s="687"/>
      <c r="AP90" s="687"/>
      <c r="AQ90" s="687"/>
      <c r="AR90" s="825">
        <f t="shared" si="22"/>
        <v>796</v>
      </c>
      <c r="AS90" s="687"/>
      <c r="AT90" s="687"/>
      <c r="AU90" s="825">
        <f t="shared" si="20"/>
        <v>796</v>
      </c>
      <c r="AV90" s="825"/>
      <c r="AW90" s="551">
        <f t="shared" si="10"/>
        <v>796</v>
      </c>
      <c r="AX90" s="825"/>
      <c r="AY90" s="1305"/>
      <c r="AZ90" s="1305"/>
      <c r="BA90" s="1305"/>
      <c r="BB90" s="1305"/>
      <c r="BC90" s="1305"/>
      <c r="BD90" s="1305"/>
      <c r="BE90" s="1305"/>
      <c r="BF90" s="1305"/>
      <c r="BG90" s="1305"/>
      <c r="BH90" s="825">
        <f t="shared" si="23"/>
        <v>199</v>
      </c>
      <c r="BI90" s="1305"/>
      <c r="BJ90" s="1305"/>
      <c r="BK90" s="1305"/>
      <c r="BL90" s="1305"/>
      <c r="BM90" s="1305"/>
      <c r="BN90" s="1305"/>
      <c r="BO90" s="1305"/>
      <c r="BP90" s="1305"/>
    </row>
    <row r="91" s="1265" customFormat="1" ht="31" customHeight="1" spans="1:68">
      <c r="A91" s="1304">
        <v>45771</v>
      </c>
      <c r="B91" s="822" t="s">
        <v>493</v>
      </c>
      <c r="C91" s="633" t="s">
        <v>278</v>
      </c>
      <c r="D91" s="825">
        <v>4500164759</v>
      </c>
      <c r="E91" s="633" t="s">
        <v>494</v>
      </c>
      <c r="F91" s="1305" t="s">
        <v>495</v>
      </c>
      <c r="G91" s="659" t="s">
        <v>280</v>
      </c>
      <c r="H91" s="633" t="s">
        <v>281</v>
      </c>
      <c r="I91" s="633">
        <v>512</v>
      </c>
      <c r="J91" s="633">
        <v>4</v>
      </c>
      <c r="K91" s="633">
        <v>16</v>
      </c>
      <c r="L91" s="827">
        <f t="shared" si="17"/>
        <v>32</v>
      </c>
      <c r="M91" s="828">
        <v>45812</v>
      </c>
      <c r="N91" s="828">
        <f>M91-4</f>
        <v>45808</v>
      </c>
      <c r="O91" s="824"/>
      <c r="P91" s="824" t="s">
        <v>113</v>
      </c>
      <c r="Q91" s="633"/>
      <c r="R91" s="829">
        <v>45784</v>
      </c>
      <c r="S91" s="829" t="s">
        <v>70</v>
      </c>
      <c r="T91" s="829" t="s">
        <v>496</v>
      </c>
      <c r="U91" s="829"/>
      <c r="V91" s="829"/>
      <c r="W91" s="829"/>
      <c r="X91" s="822" t="s">
        <v>497</v>
      </c>
      <c r="Y91" s="828" t="s">
        <v>283</v>
      </c>
      <c r="Z91" s="1306">
        <v>5</v>
      </c>
      <c r="AA91" s="831">
        <f t="shared" si="21"/>
        <v>2560</v>
      </c>
      <c r="AC91" s="1307" t="s">
        <v>498</v>
      </c>
      <c r="AD91" s="633" t="s">
        <v>280</v>
      </c>
      <c r="AE91" s="633" t="s">
        <v>82</v>
      </c>
      <c r="AF91" s="633"/>
      <c r="AG91" s="618" t="s">
        <v>74</v>
      </c>
      <c r="AH91" s="618"/>
      <c r="AI91" s="1308">
        <v>512</v>
      </c>
      <c r="AJ91" s="824">
        <f t="shared" si="18"/>
        <v>0</v>
      </c>
      <c r="AK91" s="633"/>
      <c r="AL91" s="633" t="s">
        <v>126</v>
      </c>
      <c r="AM91" s="633"/>
      <c r="AN91" s="825">
        <f t="shared" si="15"/>
        <v>512</v>
      </c>
      <c r="AO91" s="687"/>
      <c r="AP91" s="687"/>
      <c r="AQ91" s="687"/>
      <c r="AR91" s="825">
        <f t="shared" si="22"/>
        <v>512</v>
      </c>
      <c r="AS91" s="687"/>
      <c r="AT91" s="687"/>
      <c r="AU91" s="825">
        <f t="shared" si="20"/>
        <v>512</v>
      </c>
      <c r="AV91" s="825"/>
      <c r="AW91" s="825">
        <f>I91</f>
        <v>512</v>
      </c>
      <c r="AX91" s="825"/>
      <c r="AY91" s="1305"/>
      <c r="AZ91" s="1305"/>
      <c r="BA91" s="1305"/>
      <c r="BB91" s="1305"/>
      <c r="BC91" s="1305"/>
      <c r="BD91" s="1305"/>
      <c r="BE91" s="1305"/>
      <c r="BF91" s="1305"/>
      <c r="BG91" s="1305"/>
      <c r="BH91" s="825">
        <f t="shared" si="23"/>
        <v>128</v>
      </c>
      <c r="BI91" s="1305"/>
      <c r="BJ91" s="1305"/>
      <c r="BK91" s="1305"/>
      <c r="BL91" s="1305"/>
      <c r="BM91" s="1305"/>
      <c r="BN91" s="1305"/>
      <c r="BO91" s="1305"/>
      <c r="BP91" s="1305"/>
    </row>
    <row r="92" s="1265" customFormat="1" ht="31" customHeight="1" spans="1:68">
      <c r="A92" s="1304">
        <v>45750</v>
      </c>
      <c r="B92" s="822" t="s">
        <v>499</v>
      </c>
      <c r="C92" s="633" t="s">
        <v>500</v>
      </c>
      <c r="D92" s="825">
        <v>4500162474</v>
      </c>
      <c r="E92" s="633" t="s">
        <v>501</v>
      </c>
      <c r="F92" s="1305" t="s">
        <v>502</v>
      </c>
      <c r="G92" s="1311" t="s">
        <v>503</v>
      </c>
      <c r="H92" s="633" t="s">
        <v>112</v>
      </c>
      <c r="I92" s="633">
        <v>480</v>
      </c>
      <c r="J92" s="633">
        <v>0</v>
      </c>
      <c r="K92" s="1309">
        <v>16</v>
      </c>
      <c r="L92" s="827">
        <f t="shared" si="17"/>
        <v>30</v>
      </c>
      <c r="M92" s="828">
        <v>45792</v>
      </c>
      <c r="N92" s="828">
        <v>45810</v>
      </c>
      <c r="O92" s="824"/>
      <c r="P92" s="824" t="s">
        <v>113</v>
      </c>
      <c r="Q92" s="633"/>
      <c r="R92" s="829">
        <v>45762</v>
      </c>
      <c r="S92" s="829" t="s">
        <v>70</v>
      </c>
      <c r="T92" s="829">
        <v>45776</v>
      </c>
      <c r="U92" s="829"/>
      <c r="V92" s="829"/>
      <c r="W92" s="829"/>
      <c r="X92" s="822" t="s">
        <v>504</v>
      </c>
      <c r="Y92" s="828" t="s">
        <v>505</v>
      </c>
      <c r="Z92" s="1306">
        <v>4.39</v>
      </c>
      <c r="AA92" s="831">
        <f t="shared" si="21"/>
        <v>2107.2</v>
      </c>
      <c r="AC92" s="636" t="s">
        <v>506</v>
      </c>
      <c r="AD92" s="633" t="s">
        <v>111</v>
      </c>
      <c r="AE92" s="633" t="s">
        <v>82</v>
      </c>
      <c r="AF92" s="633"/>
      <c r="AG92" s="618" t="s">
        <v>74</v>
      </c>
      <c r="AH92" s="618"/>
      <c r="AI92" s="1308">
        <v>480</v>
      </c>
      <c r="AJ92" s="824">
        <f t="shared" si="18"/>
        <v>0</v>
      </c>
      <c r="AK92" s="633"/>
      <c r="AL92" s="633" t="s">
        <v>454</v>
      </c>
      <c r="AM92" s="633"/>
      <c r="AN92" s="825">
        <f t="shared" si="15"/>
        <v>480</v>
      </c>
      <c r="AO92" s="687"/>
      <c r="AP92" s="687"/>
      <c r="AQ92" s="687"/>
      <c r="AR92" s="825">
        <f t="shared" si="22"/>
        <v>480</v>
      </c>
      <c r="AS92" s="687"/>
      <c r="AT92" s="687"/>
      <c r="AU92" s="825">
        <f t="shared" si="20"/>
        <v>480</v>
      </c>
      <c r="AV92" s="825"/>
      <c r="AW92" s="825">
        <f>I92</f>
        <v>480</v>
      </c>
      <c r="AX92" s="825"/>
      <c r="AY92" s="1305"/>
      <c r="AZ92" s="1305"/>
      <c r="BA92" s="1305"/>
      <c r="BB92" s="1305"/>
      <c r="BC92" s="1305"/>
      <c r="BD92" s="1305"/>
      <c r="BE92" s="1305"/>
      <c r="BF92" s="1305"/>
      <c r="BG92" s="1305"/>
      <c r="BH92" s="825">
        <f t="shared" si="23"/>
        <v>120</v>
      </c>
      <c r="BI92" s="1305"/>
      <c r="BJ92" s="1305"/>
      <c r="BK92" s="1305"/>
      <c r="BL92" s="1305"/>
      <c r="BM92" s="1305"/>
      <c r="BN92" s="1305"/>
      <c r="BO92" s="1305"/>
      <c r="BP92" s="1305"/>
    </row>
    <row r="93" s="1265" customFormat="1" ht="31" customHeight="1" spans="1:68">
      <c r="A93" s="1304">
        <v>45763</v>
      </c>
      <c r="B93" s="822" t="s">
        <v>507</v>
      </c>
      <c r="C93" s="633" t="s">
        <v>411</v>
      </c>
      <c r="D93" s="825">
        <v>4500163782</v>
      </c>
      <c r="E93" s="633"/>
      <c r="F93" s="1305" t="s">
        <v>508</v>
      </c>
      <c r="G93" s="1311" t="s">
        <v>66</v>
      </c>
      <c r="H93" s="633" t="s">
        <v>509</v>
      </c>
      <c r="I93" s="633">
        <v>30</v>
      </c>
      <c r="J93" s="633">
        <v>0</v>
      </c>
      <c r="K93" s="1309">
        <v>1</v>
      </c>
      <c r="L93" s="827">
        <f t="shared" si="17"/>
        <v>30</v>
      </c>
      <c r="M93" s="828">
        <v>45814</v>
      </c>
      <c r="N93" s="828">
        <v>45810</v>
      </c>
      <c r="O93" s="824"/>
      <c r="P93" s="824" t="s">
        <v>113</v>
      </c>
      <c r="Q93" s="633" t="s">
        <v>510</v>
      </c>
      <c r="R93" s="829">
        <v>45786</v>
      </c>
      <c r="S93" s="829" t="s">
        <v>70</v>
      </c>
      <c r="T93" s="829">
        <v>45777</v>
      </c>
      <c r="U93" s="829"/>
      <c r="V93" s="829"/>
      <c r="W93" s="829"/>
      <c r="X93" s="822" t="s">
        <v>511</v>
      </c>
      <c r="Y93" s="828" t="s">
        <v>512</v>
      </c>
      <c r="Z93" s="1306">
        <v>0</v>
      </c>
      <c r="AA93" s="831">
        <f>Z93*L93</f>
        <v>0</v>
      </c>
      <c r="AC93" s="1307" t="s">
        <v>513</v>
      </c>
      <c r="AD93" s="618" t="s">
        <v>514</v>
      </c>
      <c r="AE93" s="633" t="s">
        <v>82</v>
      </c>
      <c r="AF93" s="633"/>
      <c r="AG93" s="618" t="s">
        <v>74</v>
      </c>
      <c r="AH93" s="618"/>
      <c r="AI93" s="1308">
        <v>540</v>
      </c>
      <c r="AJ93" s="824">
        <v>0</v>
      </c>
      <c r="AK93" s="633"/>
      <c r="AL93" s="633"/>
      <c r="AM93" s="633"/>
      <c r="AN93" s="825"/>
      <c r="AO93" s="687"/>
      <c r="AP93" s="687"/>
      <c r="AQ93" s="687"/>
      <c r="AR93" s="825"/>
      <c r="AS93" s="687"/>
      <c r="AT93" s="687"/>
      <c r="AU93" s="825"/>
      <c r="AV93" s="825"/>
      <c r="AW93" s="551">
        <f>I93</f>
        <v>30</v>
      </c>
      <c r="AX93" s="825"/>
      <c r="AY93" s="1305"/>
      <c r="AZ93" s="1305"/>
      <c r="BA93" s="1305"/>
      <c r="BB93" s="1305"/>
      <c r="BC93" s="1305"/>
      <c r="BD93" s="1305"/>
      <c r="BE93" s="1305"/>
      <c r="BF93" s="1305"/>
      <c r="BG93" s="1305"/>
      <c r="BH93" s="1305"/>
      <c r="BI93" s="1305"/>
      <c r="BJ93" s="1305"/>
      <c r="BK93" s="1305"/>
      <c r="BL93" s="1305"/>
      <c r="BM93" s="1305"/>
      <c r="BN93" s="1305"/>
      <c r="BO93" s="1305"/>
      <c r="BP93" s="1305"/>
    </row>
    <row r="94" s="1265" customFormat="1" ht="31" customHeight="1" spans="1:68">
      <c r="A94" s="1304">
        <v>45763</v>
      </c>
      <c r="B94" s="822" t="s">
        <v>507</v>
      </c>
      <c r="C94" s="633" t="s">
        <v>411</v>
      </c>
      <c r="D94" s="825">
        <v>4500163782</v>
      </c>
      <c r="E94" s="633"/>
      <c r="F94" s="1305" t="s">
        <v>508</v>
      </c>
      <c r="G94" s="1311" t="s">
        <v>515</v>
      </c>
      <c r="H94" s="633" t="s">
        <v>112</v>
      </c>
      <c r="I94" s="633">
        <v>540</v>
      </c>
      <c r="J94" s="633">
        <v>0</v>
      </c>
      <c r="K94" s="1309">
        <v>18</v>
      </c>
      <c r="L94" s="827">
        <f t="shared" si="17"/>
        <v>30</v>
      </c>
      <c r="M94" s="828">
        <v>45814</v>
      </c>
      <c r="N94" s="828">
        <v>45810</v>
      </c>
      <c r="O94" s="824"/>
      <c r="P94" s="824" t="s">
        <v>113</v>
      </c>
      <c r="Q94" s="633" t="s">
        <v>510</v>
      </c>
      <c r="R94" s="829">
        <v>45786</v>
      </c>
      <c r="S94" s="829" t="s">
        <v>70</v>
      </c>
      <c r="T94" s="829">
        <v>45777</v>
      </c>
      <c r="U94" s="829"/>
      <c r="V94" s="829"/>
      <c r="W94" s="829"/>
      <c r="X94" s="822" t="s">
        <v>511</v>
      </c>
      <c r="Y94" s="828" t="s">
        <v>512</v>
      </c>
      <c r="Z94" s="1306">
        <v>171.3</v>
      </c>
      <c r="AA94" s="831">
        <f>Z94*L94</f>
        <v>5139</v>
      </c>
      <c r="AC94" s="1307" t="s">
        <v>513</v>
      </c>
      <c r="AD94" s="618" t="s">
        <v>514</v>
      </c>
      <c r="AE94" s="633" t="s">
        <v>82</v>
      </c>
      <c r="AF94" s="633"/>
      <c r="AG94" s="618" t="s">
        <v>74</v>
      </c>
      <c r="AH94" s="618"/>
      <c r="AI94" s="1308">
        <v>0</v>
      </c>
      <c r="AJ94" s="824">
        <v>0</v>
      </c>
      <c r="AK94" s="633"/>
      <c r="AL94" s="633"/>
      <c r="AM94" s="633"/>
      <c r="AN94" s="825">
        <f>I94</f>
        <v>540</v>
      </c>
      <c r="AO94" s="687"/>
      <c r="AP94" s="687"/>
      <c r="AQ94" s="687"/>
      <c r="AR94" s="825"/>
      <c r="AS94" s="687">
        <f>I94</f>
        <v>540</v>
      </c>
      <c r="AT94" s="687"/>
      <c r="AU94" s="825">
        <f>I94</f>
        <v>540</v>
      </c>
      <c r="AV94" s="825"/>
      <c r="AW94" s="825">
        <f t="shared" ref="AW94:AW99" si="24">I94</f>
        <v>540</v>
      </c>
      <c r="AX94" s="825"/>
      <c r="AY94" s="1305"/>
      <c r="AZ94" s="1305"/>
      <c r="BA94" s="1305"/>
      <c r="BB94" s="1305"/>
      <c r="BC94" s="1305"/>
      <c r="BD94" s="1305"/>
      <c r="BE94" s="1305"/>
      <c r="BF94" s="1305"/>
      <c r="BG94" s="1305"/>
      <c r="BH94" s="1305"/>
      <c r="BI94" s="1305"/>
      <c r="BJ94" s="1305"/>
      <c r="BK94" s="1305"/>
      <c r="BL94" s="1305"/>
      <c r="BM94" s="1305"/>
      <c r="BN94" s="1305"/>
      <c r="BO94" s="1305">
        <f>I94/18</f>
        <v>30</v>
      </c>
      <c r="BP94" s="1305"/>
    </row>
    <row r="95" s="1265" customFormat="1" ht="31" customHeight="1" spans="1:68">
      <c r="A95" s="1304">
        <v>45755</v>
      </c>
      <c r="B95" s="822" t="s">
        <v>211</v>
      </c>
      <c r="C95" s="633" t="s">
        <v>212</v>
      </c>
      <c r="D95" s="825">
        <v>4500161438</v>
      </c>
      <c r="E95" s="633" t="s">
        <v>516</v>
      </c>
      <c r="F95" s="1305" t="s">
        <v>517</v>
      </c>
      <c r="G95" s="659" t="s">
        <v>518</v>
      </c>
      <c r="H95" s="633" t="s">
        <v>477</v>
      </c>
      <c r="I95" s="633">
        <v>600</v>
      </c>
      <c r="J95" s="633">
        <v>0</v>
      </c>
      <c r="K95" s="633">
        <v>6</v>
      </c>
      <c r="L95" s="827">
        <f t="shared" si="17"/>
        <v>100</v>
      </c>
      <c r="M95" s="828">
        <v>45805</v>
      </c>
      <c r="N95" s="828">
        <v>45814</v>
      </c>
      <c r="O95" s="824"/>
      <c r="P95" s="824" t="s">
        <v>113</v>
      </c>
      <c r="Q95" s="633" t="s">
        <v>519</v>
      </c>
      <c r="R95" s="829">
        <v>45755</v>
      </c>
      <c r="S95" s="829" t="s">
        <v>70</v>
      </c>
      <c r="T95" s="829">
        <v>45772</v>
      </c>
      <c r="U95" s="829"/>
      <c r="V95" s="829" t="s">
        <v>520</v>
      </c>
      <c r="W95" s="829"/>
      <c r="X95" s="628" t="s">
        <v>521</v>
      </c>
      <c r="Y95" s="828" t="s">
        <v>217</v>
      </c>
      <c r="Z95" s="1306">
        <v>8.9</v>
      </c>
      <c r="AA95" s="831">
        <f>Z95*I95</f>
        <v>5340</v>
      </c>
      <c r="AC95" s="1307" t="s">
        <v>522</v>
      </c>
      <c r="AD95" s="1310" t="s">
        <v>480</v>
      </c>
      <c r="AE95" s="633" t="s">
        <v>82</v>
      </c>
      <c r="AF95" s="633"/>
      <c r="AG95" s="618" t="s">
        <v>74</v>
      </c>
      <c r="AH95" s="618"/>
      <c r="AI95" s="1308">
        <f>I95</f>
        <v>600</v>
      </c>
      <c r="AJ95" s="824">
        <f t="shared" ref="AJ95:AJ158" si="25">AI95-I95</f>
        <v>0</v>
      </c>
      <c r="AK95" s="633"/>
      <c r="AL95" s="633"/>
      <c r="AM95" s="633"/>
      <c r="AN95" s="825">
        <f>I95</f>
        <v>600</v>
      </c>
      <c r="AO95" s="687"/>
      <c r="AP95" s="687"/>
      <c r="AQ95" s="687"/>
      <c r="AR95" s="825">
        <f>I95</f>
        <v>600</v>
      </c>
      <c r="AS95" s="687"/>
      <c r="AT95" s="687"/>
      <c r="AU95" s="825">
        <f>I95</f>
        <v>600</v>
      </c>
      <c r="AV95" s="825"/>
      <c r="AW95" s="825">
        <f t="shared" si="24"/>
        <v>600</v>
      </c>
      <c r="AX95" s="825"/>
      <c r="AY95" s="1305"/>
      <c r="AZ95" s="1305"/>
      <c r="BA95" s="1305"/>
      <c r="BB95" s="1305"/>
      <c r="BC95" s="1305"/>
      <c r="BD95" s="1305"/>
      <c r="BE95" s="1305"/>
      <c r="BF95" s="1305"/>
      <c r="BG95" s="1305"/>
      <c r="BH95" s="1305"/>
      <c r="BI95" s="1305"/>
      <c r="BJ95" s="1305"/>
      <c r="BK95" s="1305"/>
      <c r="BL95" s="1305"/>
      <c r="BM95" s="825"/>
      <c r="BN95" s="825">
        <f>I95</f>
        <v>600</v>
      </c>
      <c r="BO95" s="1305"/>
      <c r="BP95" s="1305"/>
    </row>
    <row r="96" s="1265" customFormat="1" ht="31" customHeight="1" spans="1:68">
      <c r="A96" s="1304">
        <v>45771</v>
      </c>
      <c r="B96" s="822" t="s">
        <v>523</v>
      </c>
      <c r="C96" s="633" t="s">
        <v>524</v>
      </c>
      <c r="D96" s="825">
        <v>4500164861</v>
      </c>
      <c r="E96" s="633">
        <v>50212500921</v>
      </c>
      <c r="F96" s="1305" t="s">
        <v>525</v>
      </c>
      <c r="G96" s="659" t="s">
        <v>68</v>
      </c>
      <c r="H96" s="633" t="s">
        <v>69</v>
      </c>
      <c r="I96" s="633">
        <v>1800</v>
      </c>
      <c r="J96" s="633">
        <v>0</v>
      </c>
      <c r="K96" s="633">
        <v>12</v>
      </c>
      <c r="L96" s="827">
        <f t="shared" si="17"/>
        <v>150</v>
      </c>
      <c r="M96" s="828">
        <v>45819</v>
      </c>
      <c r="N96" s="828">
        <v>45815</v>
      </c>
      <c r="O96" s="824"/>
      <c r="P96" s="824" t="s">
        <v>113</v>
      </c>
      <c r="Q96" s="633" t="s">
        <v>526</v>
      </c>
      <c r="R96" s="829">
        <v>45777</v>
      </c>
      <c r="S96" s="829" t="s">
        <v>70</v>
      </c>
      <c r="T96" s="829">
        <v>45800</v>
      </c>
      <c r="U96" s="829"/>
      <c r="V96" s="829" t="s">
        <v>527</v>
      </c>
      <c r="W96" s="829"/>
      <c r="X96" s="822" t="s">
        <v>528</v>
      </c>
      <c r="Y96" s="828" t="s">
        <v>529</v>
      </c>
      <c r="Z96" s="1306">
        <v>4.1456</v>
      </c>
      <c r="AA96" s="831">
        <f>Z96*I96</f>
        <v>7462.08</v>
      </c>
      <c r="AC96" s="1307" t="s">
        <v>530</v>
      </c>
      <c r="AD96" s="1312" t="s">
        <v>184</v>
      </c>
      <c r="AE96" s="633" t="s">
        <v>82</v>
      </c>
      <c r="AF96" s="633"/>
      <c r="AG96" s="618" t="s">
        <v>74</v>
      </c>
      <c r="AH96" s="618"/>
      <c r="AI96" s="1308">
        <v>1800</v>
      </c>
      <c r="AJ96" s="824">
        <f t="shared" si="25"/>
        <v>0</v>
      </c>
      <c r="AK96" s="633"/>
      <c r="AL96" s="633" t="s">
        <v>454</v>
      </c>
      <c r="AM96" s="633"/>
      <c r="AN96" s="825">
        <f>I96</f>
        <v>1800</v>
      </c>
      <c r="AO96" s="687"/>
      <c r="AP96" s="687"/>
      <c r="AQ96" s="687"/>
      <c r="AR96" s="825"/>
      <c r="AS96" s="687">
        <f>I96</f>
        <v>1800</v>
      </c>
      <c r="AT96" s="687"/>
      <c r="AU96" s="825">
        <f>I96</f>
        <v>1800</v>
      </c>
      <c r="AV96" s="825"/>
      <c r="AW96" s="825">
        <f t="shared" si="24"/>
        <v>1800</v>
      </c>
      <c r="AX96" s="825"/>
      <c r="AY96" s="1305"/>
      <c r="AZ96" s="1305"/>
      <c r="BA96" s="1305"/>
      <c r="BB96" s="1305"/>
      <c r="BC96" s="1305"/>
      <c r="BD96" s="1305"/>
      <c r="BE96" s="1305"/>
      <c r="BF96" s="1305"/>
      <c r="BG96" s="1305"/>
      <c r="BH96" s="1305"/>
      <c r="BI96" s="1305"/>
      <c r="BJ96" s="1305"/>
      <c r="BK96" s="1305"/>
      <c r="BL96" s="1305"/>
      <c r="BM96" s="1305"/>
      <c r="BN96" s="1305"/>
      <c r="BO96" s="1305"/>
      <c r="BP96" s="1305"/>
    </row>
    <row r="97" s="1265" customFormat="1" ht="31" customHeight="1" spans="1:68">
      <c r="A97" s="1304">
        <v>45765</v>
      </c>
      <c r="B97" s="822" t="s">
        <v>442</v>
      </c>
      <c r="C97" s="633" t="s">
        <v>411</v>
      </c>
      <c r="D97" s="825">
        <v>4500163950</v>
      </c>
      <c r="E97" s="633"/>
      <c r="F97" s="1305" t="s">
        <v>531</v>
      </c>
      <c r="G97" s="659" t="s">
        <v>66</v>
      </c>
      <c r="H97" s="633" t="s">
        <v>509</v>
      </c>
      <c r="I97" s="633">
        <v>80</v>
      </c>
      <c r="J97" s="633">
        <v>0</v>
      </c>
      <c r="K97" s="633">
        <v>1</v>
      </c>
      <c r="L97" s="827">
        <f t="shared" si="17"/>
        <v>80</v>
      </c>
      <c r="M97" s="828">
        <v>45810</v>
      </c>
      <c r="N97" s="828">
        <v>45806</v>
      </c>
      <c r="O97" s="824"/>
      <c r="P97" s="824" t="s">
        <v>113</v>
      </c>
      <c r="Q97" s="633"/>
      <c r="R97" s="829">
        <v>45777</v>
      </c>
      <c r="S97" s="829" t="s">
        <v>70</v>
      </c>
      <c r="T97" s="829">
        <v>45789</v>
      </c>
      <c r="U97" s="829"/>
      <c r="V97" s="829"/>
      <c r="W97" s="829"/>
      <c r="X97" s="628" t="s">
        <v>532</v>
      </c>
      <c r="Y97" s="828" t="s">
        <v>445</v>
      </c>
      <c r="Z97" s="1306">
        <v>0</v>
      </c>
      <c r="AA97" s="831">
        <f>Z97*L97</f>
        <v>0</v>
      </c>
      <c r="AC97" s="1313" t="s">
        <v>533</v>
      </c>
      <c r="AD97" s="618" t="s">
        <v>514</v>
      </c>
      <c r="AE97" s="633" t="s">
        <v>82</v>
      </c>
      <c r="AF97" s="633"/>
      <c r="AG97" s="618" t="s">
        <v>74</v>
      </c>
      <c r="AH97" s="618"/>
      <c r="AI97" s="1308">
        <v>0</v>
      </c>
      <c r="AJ97" s="824">
        <f t="shared" si="25"/>
        <v>-80</v>
      </c>
      <c r="AK97" s="633"/>
      <c r="AL97" s="633"/>
      <c r="AM97" s="633"/>
      <c r="AN97" s="825"/>
      <c r="AO97" s="687"/>
      <c r="AP97" s="687"/>
      <c r="AQ97" s="687"/>
      <c r="AR97" s="825"/>
      <c r="AS97" s="687"/>
      <c r="AT97" s="687"/>
      <c r="AU97" s="825"/>
      <c r="AV97" s="825"/>
      <c r="AW97" s="551">
        <f t="shared" si="24"/>
        <v>80</v>
      </c>
      <c r="AX97" s="825"/>
      <c r="AY97" s="1305"/>
      <c r="AZ97" s="1305"/>
      <c r="BA97" s="1305"/>
      <c r="BB97" s="1305"/>
      <c r="BC97" s="1305"/>
      <c r="BD97" s="1305"/>
      <c r="BE97" s="1305"/>
      <c r="BF97" s="1305"/>
      <c r="BG97" s="1305"/>
      <c r="BH97" s="1305"/>
      <c r="BI97" s="1305"/>
      <c r="BJ97" s="1305"/>
      <c r="BK97" s="1305"/>
      <c r="BL97" s="1305"/>
      <c r="BM97" s="1305"/>
      <c r="BN97" s="1305"/>
      <c r="BO97" s="1305"/>
      <c r="BP97" s="1305"/>
    </row>
    <row r="98" s="1265" customFormat="1" ht="31" customHeight="1" spans="1:68">
      <c r="A98" s="1304">
        <v>45765</v>
      </c>
      <c r="B98" s="822" t="s">
        <v>442</v>
      </c>
      <c r="C98" s="633" t="s">
        <v>411</v>
      </c>
      <c r="D98" s="825">
        <v>4500163950</v>
      </c>
      <c r="E98" s="633"/>
      <c r="F98" s="1305" t="s">
        <v>531</v>
      </c>
      <c r="G98" s="659" t="s">
        <v>515</v>
      </c>
      <c r="H98" s="633" t="s">
        <v>112</v>
      </c>
      <c r="I98" s="633">
        <v>1440</v>
      </c>
      <c r="J98" s="633">
        <v>0</v>
      </c>
      <c r="K98" s="633">
        <v>18</v>
      </c>
      <c r="L98" s="827">
        <f t="shared" si="17"/>
        <v>80</v>
      </c>
      <c r="M98" s="828">
        <v>45810</v>
      </c>
      <c r="N98" s="828">
        <v>45806</v>
      </c>
      <c r="O98" s="824"/>
      <c r="P98" s="824" t="s">
        <v>113</v>
      </c>
      <c r="Q98" s="633"/>
      <c r="R98" s="829">
        <v>45777</v>
      </c>
      <c r="S98" s="829" t="s">
        <v>70</v>
      </c>
      <c r="T98" s="829">
        <v>45789</v>
      </c>
      <c r="U98" s="829"/>
      <c r="V98" s="829"/>
      <c r="W98" s="829"/>
      <c r="X98" s="628" t="s">
        <v>532</v>
      </c>
      <c r="Y98" s="828" t="s">
        <v>445</v>
      </c>
      <c r="Z98" s="1306">
        <v>172.3098</v>
      </c>
      <c r="AA98" s="831">
        <f>Z98*L98</f>
        <v>13784.784</v>
      </c>
      <c r="AC98" s="632" t="s">
        <v>446</v>
      </c>
      <c r="AD98" s="618" t="s">
        <v>514</v>
      </c>
      <c r="AE98" s="633" t="s">
        <v>82</v>
      </c>
      <c r="AF98" s="633"/>
      <c r="AG98" s="618" t="s">
        <v>74</v>
      </c>
      <c r="AH98" s="618"/>
      <c r="AI98" s="1308">
        <v>1440</v>
      </c>
      <c r="AJ98" s="824">
        <f t="shared" si="25"/>
        <v>0</v>
      </c>
      <c r="AK98" s="633"/>
      <c r="AL98" s="633"/>
      <c r="AM98" s="633"/>
      <c r="AN98" s="825">
        <f t="shared" ref="AN98:AN128" si="26">I98</f>
        <v>1440</v>
      </c>
      <c r="AO98" s="687"/>
      <c r="AP98" s="687"/>
      <c r="AQ98" s="687"/>
      <c r="AR98" s="825"/>
      <c r="AS98" s="687">
        <f>I98</f>
        <v>1440</v>
      </c>
      <c r="AT98" s="687"/>
      <c r="AU98" s="825">
        <f>I98</f>
        <v>1440</v>
      </c>
      <c r="AV98" s="825"/>
      <c r="AW98" s="825">
        <f t="shared" si="24"/>
        <v>1440</v>
      </c>
      <c r="AX98" s="825"/>
      <c r="AY98" s="1305"/>
      <c r="AZ98" s="1305"/>
      <c r="BA98" s="1305"/>
      <c r="BB98" s="1305"/>
      <c r="BC98" s="1305"/>
      <c r="BD98" s="1305"/>
      <c r="BE98" s="1305"/>
      <c r="BF98" s="1305"/>
      <c r="BG98" s="1305"/>
      <c r="BH98" s="1305"/>
      <c r="BI98" s="1305"/>
      <c r="BJ98" s="1305"/>
      <c r="BK98" s="1305"/>
      <c r="BL98" s="1305"/>
      <c r="BM98" s="1305"/>
      <c r="BN98" s="1305"/>
      <c r="BO98" s="1305"/>
      <c r="BP98" s="1305"/>
    </row>
    <row r="99" s="1265" customFormat="1" ht="31" customHeight="1" spans="1:68">
      <c r="A99" s="1304">
        <v>45769</v>
      </c>
      <c r="B99" s="822" t="s">
        <v>534</v>
      </c>
      <c r="C99" s="633" t="s">
        <v>257</v>
      </c>
      <c r="D99" s="825">
        <v>4500164476</v>
      </c>
      <c r="E99" s="633">
        <v>4400474094</v>
      </c>
      <c r="F99" s="1305" t="s">
        <v>535</v>
      </c>
      <c r="G99" s="659" t="s">
        <v>164</v>
      </c>
      <c r="H99" s="633" t="s">
        <v>112</v>
      </c>
      <c r="I99" s="633">
        <v>1000</v>
      </c>
      <c r="J99" s="633">
        <v>0</v>
      </c>
      <c r="K99" s="633">
        <v>8</v>
      </c>
      <c r="L99" s="827">
        <f t="shared" si="17"/>
        <v>125</v>
      </c>
      <c r="M99" s="828">
        <v>45811</v>
      </c>
      <c r="N99" s="828">
        <v>45807</v>
      </c>
      <c r="O99" s="824"/>
      <c r="P99" s="824" t="s">
        <v>113</v>
      </c>
      <c r="Q99" s="633"/>
      <c r="R99" s="829">
        <v>45769</v>
      </c>
      <c r="S99" s="829" t="s">
        <v>70</v>
      </c>
      <c r="T99" s="829" t="s">
        <v>536</v>
      </c>
      <c r="U99" s="829"/>
      <c r="V99" s="829"/>
      <c r="W99" s="829"/>
      <c r="X99" s="822" t="s">
        <v>537</v>
      </c>
      <c r="Y99" s="828" t="s">
        <v>283</v>
      </c>
      <c r="Z99" s="1306">
        <v>5</v>
      </c>
      <c r="AA99" s="831">
        <f t="shared" ref="AA99:AA104" si="27">Z99*I99</f>
        <v>5000</v>
      </c>
      <c r="AC99" s="1307" t="s">
        <v>538</v>
      </c>
      <c r="AD99" s="1312" t="s">
        <v>164</v>
      </c>
      <c r="AE99" s="633" t="s">
        <v>82</v>
      </c>
      <c r="AF99" s="633"/>
      <c r="AG99" s="618" t="s">
        <v>74</v>
      </c>
      <c r="AH99" s="618"/>
      <c r="AI99" s="1308">
        <f>976+24</f>
        <v>1000</v>
      </c>
      <c r="AJ99" s="824">
        <f t="shared" si="25"/>
        <v>0</v>
      </c>
      <c r="AK99" s="633"/>
      <c r="AL99" s="633" t="s">
        <v>126</v>
      </c>
      <c r="AM99" s="633"/>
      <c r="AN99" s="825">
        <f t="shared" si="26"/>
        <v>1000</v>
      </c>
      <c r="AO99" s="687"/>
      <c r="AP99" s="687"/>
      <c r="AQ99" s="687"/>
      <c r="AR99" s="825"/>
      <c r="AS99" s="687"/>
      <c r="AT99" s="687"/>
      <c r="AU99" s="825"/>
      <c r="AV99" s="825"/>
      <c r="AW99" s="825">
        <f t="shared" si="24"/>
        <v>1000</v>
      </c>
      <c r="AX99" s="825"/>
      <c r="AY99" s="1305"/>
      <c r="AZ99" s="1305"/>
      <c r="BA99" s="1305"/>
      <c r="BB99" s="1305"/>
      <c r="BC99" s="1305"/>
      <c r="BD99" s="825">
        <f>I99</f>
        <v>1000</v>
      </c>
      <c r="BE99" s="825">
        <f>I99</f>
        <v>1000</v>
      </c>
      <c r="BF99" s="1305"/>
      <c r="BG99" s="1305"/>
      <c r="BH99" s="1305"/>
      <c r="BI99" s="825">
        <f>I99/4</f>
        <v>250</v>
      </c>
      <c r="BJ99" s="1305"/>
      <c r="BK99" s="1305"/>
      <c r="BL99" s="1305"/>
      <c r="BM99" s="1305"/>
      <c r="BN99" s="1305"/>
      <c r="BO99" s="1305"/>
      <c r="BP99" s="1305"/>
    </row>
    <row r="100" s="1265" customFormat="1" ht="31" customHeight="1" spans="1:68">
      <c r="A100" s="1304">
        <v>45714</v>
      </c>
      <c r="B100" s="822" t="s">
        <v>539</v>
      </c>
      <c r="C100" s="633" t="s">
        <v>399</v>
      </c>
      <c r="D100" s="825">
        <v>4500158623</v>
      </c>
      <c r="E100" s="633" t="s">
        <v>540</v>
      </c>
      <c r="F100" s="1305" t="s">
        <v>541</v>
      </c>
      <c r="G100" s="659" t="s">
        <v>68</v>
      </c>
      <c r="H100" s="633" t="s">
        <v>69</v>
      </c>
      <c r="I100" s="633">
        <v>492</v>
      </c>
      <c r="J100" s="633">
        <v>0</v>
      </c>
      <c r="K100" s="633">
        <v>12</v>
      </c>
      <c r="L100" s="827">
        <f t="shared" si="17"/>
        <v>41</v>
      </c>
      <c r="M100" s="828">
        <v>45813</v>
      </c>
      <c r="N100" s="828">
        <v>45810</v>
      </c>
      <c r="O100" s="824"/>
      <c r="P100" s="824" t="s">
        <v>113</v>
      </c>
      <c r="Q100" s="633"/>
      <c r="R100" s="829" t="s">
        <v>463</v>
      </c>
      <c r="S100" s="829" t="s">
        <v>104</v>
      </c>
      <c r="T100" s="829" t="s">
        <v>542</v>
      </c>
      <c r="U100" s="829"/>
      <c r="V100" s="829"/>
      <c r="W100" s="829"/>
      <c r="X100" s="628" t="s">
        <v>543</v>
      </c>
      <c r="Y100" s="828" t="s">
        <v>544</v>
      </c>
      <c r="Z100" s="1306">
        <v>4.1</v>
      </c>
      <c r="AA100" s="831">
        <f t="shared" si="27"/>
        <v>2017.2</v>
      </c>
      <c r="AC100" s="1307" t="s">
        <v>545</v>
      </c>
      <c r="AD100" s="1312" t="s">
        <v>184</v>
      </c>
      <c r="AE100" s="633" t="s">
        <v>82</v>
      </c>
      <c r="AF100" s="633"/>
      <c r="AG100" s="618" t="s">
        <v>74</v>
      </c>
      <c r="AH100" s="618"/>
      <c r="AI100" s="1308">
        <f>480+12</f>
        <v>492</v>
      </c>
      <c r="AJ100" s="824">
        <f t="shared" si="25"/>
        <v>0</v>
      </c>
      <c r="AK100" s="633"/>
      <c r="AL100" s="633"/>
      <c r="AM100" s="633"/>
      <c r="AN100" s="825">
        <f t="shared" si="26"/>
        <v>492</v>
      </c>
      <c r="AO100" s="687"/>
      <c r="AP100" s="687"/>
      <c r="AQ100" s="687"/>
      <c r="AR100" s="825"/>
      <c r="AS100" s="687">
        <f t="shared" ref="AS100:AS106" si="28">I100</f>
        <v>492</v>
      </c>
      <c r="AT100" s="687"/>
      <c r="AU100" s="825">
        <f t="shared" ref="AU100:AU120" si="29">I100</f>
        <v>492</v>
      </c>
      <c r="AV100" s="825"/>
      <c r="AW100" s="825">
        <f t="shared" ref="AW100:AW123" si="30">I100</f>
        <v>492</v>
      </c>
      <c r="AX100" s="825"/>
      <c r="AY100" s="1305"/>
      <c r="AZ100" s="1305"/>
      <c r="BA100" s="1305"/>
      <c r="BB100" s="1305"/>
      <c r="BC100" s="1305"/>
      <c r="BD100" s="1305"/>
      <c r="BE100" s="1305"/>
      <c r="BF100" s="1305"/>
      <c r="BG100" s="1305"/>
      <c r="BH100" s="1305"/>
      <c r="BI100" s="1305"/>
      <c r="BJ100" s="1305"/>
      <c r="BK100" s="1305"/>
      <c r="BL100" s="1305"/>
      <c r="BM100" s="1305"/>
      <c r="BN100" s="1305"/>
      <c r="BO100" s="1305"/>
      <c r="BP100" s="1305"/>
    </row>
    <row r="101" s="1265" customFormat="1" ht="31" customHeight="1" spans="1:68">
      <c r="A101" s="1304">
        <v>45714</v>
      </c>
      <c r="B101" s="822" t="s">
        <v>546</v>
      </c>
      <c r="C101" s="633" t="s">
        <v>411</v>
      </c>
      <c r="D101" s="825">
        <v>4500158623</v>
      </c>
      <c r="E101" s="633" t="s">
        <v>547</v>
      </c>
      <c r="F101" s="1305" t="s">
        <v>548</v>
      </c>
      <c r="G101" s="659" t="s">
        <v>68</v>
      </c>
      <c r="H101" s="633" t="s">
        <v>69</v>
      </c>
      <c r="I101" s="633">
        <v>492</v>
      </c>
      <c r="J101" s="633">
        <v>0</v>
      </c>
      <c r="K101" s="633">
        <v>12</v>
      </c>
      <c r="L101" s="827">
        <f t="shared" si="17"/>
        <v>41</v>
      </c>
      <c r="M101" s="828">
        <v>45813</v>
      </c>
      <c r="N101" s="828">
        <v>45810</v>
      </c>
      <c r="O101" s="824"/>
      <c r="P101" s="824" t="s">
        <v>113</v>
      </c>
      <c r="Q101" s="633"/>
      <c r="R101" s="829" t="s">
        <v>463</v>
      </c>
      <c r="S101" s="829" t="s">
        <v>104</v>
      </c>
      <c r="T101" s="829" t="s">
        <v>542</v>
      </c>
      <c r="U101" s="829"/>
      <c r="V101" s="829"/>
      <c r="W101" s="829"/>
      <c r="X101" s="628" t="s">
        <v>543</v>
      </c>
      <c r="Y101" s="828" t="s">
        <v>544</v>
      </c>
      <c r="Z101" s="1306">
        <v>4.1</v>
      </c>
      <c r="AA101" s="831">
        <f t="shared" si="27"/>
        <v>2017.2</v>
      </c>
      <c r="AC101" s="1307" t="s">
        <v>545</v>
      </c>
      <c r="AD101" s="1312" t="s">
        <v>184</v>
      </c>
      <c r="AE101" s="633" t="s">
        <v>82</v>
      </c>
      <c r="AF101" s="633"/>
      <c r="AG101" s="618" t="s">
        <v>74</v>
      </c>
      <c r="AH101" s="618"/>
      <c r="AI101" s="1308">
        <f>480+12</f>
        <v>492</v>
      </c>
      <c r="AJ101" s="824">
        <f t="shared" si="25"/>
        <v>0</v>
      </c>
      <c r="AK101" s="633"/>
      <c r="AL101" s="633"/>
      <c r="AM101" s="633"/>
      <c r="AN101" s="825">
        <f t="shared" si="26"/>
        <v>492</v>
      </c>
      <c r="AO101" s="687"/>
      <c r="AP101" s="687"/>
      <c r="AQ101" s="687"/>
      <c r="AR101" s="825"/>
      <c r="AS101" s="687">
        <f t="shared" si="28"/>
        <v>492</v>
      </c>
      <c r="AT101" s="687"/>
      <c r="AU101" s="825">
        <f t="shared" si="29"/>
        <v>492</v>
      </c>
      <c r="AV101" s="825"/>
      <c r="AW101" s="825">
        <f t="shared" si="30"/>
        <v>492</v>
      </c>
      <c r="AX101" s="825"/>
      <c r="AY101" s="1305"/>
      <c r="AZ101" s="1305"/>
      <c r="BA101" s="1305"/>
      <c r="BB101" s="1305"/>
      <c r="BC101" s="1305"/>
      <c r="BD101" s="1305"/>
      <c r="BE101" s="1305"/>
      <c r="BF101" s="1305"/>
      <c r="BG101" s="1305"/>
      <c r="BH101" s="1305"/>
      <c r="BI101" s="1305"/>
      <c r="BJ101" s="1305"/>
      <c r="BK101" s="1305"/>
      <c r="BL101" s="1305"/>
      <c r="BM101" s="1305"/>
      <c r="BN101" s="1305"/>
      <c r="BO101" s="1305"/>
      <c r="BP101" s="1305"/>
    </row>
    <row r="102" s="1265" customFormat="1" ht="31" customHeight="1" spans="1:68">
      <c r="A102" s="1304">
        <v>45720</v>
      </c>
      <c r="B102" s="822" t="s">
        <v>549</v>
      </c>
      <c r="C102" s="633" t="s">
        <v>278</v>
      </c>
      <c r="D102" s="825">
        <v>4500158582</v>
      </c>
      <c r="E102" s="633" t="s">
        <v>550</v>
      </c>
      <c r="F102" s="1305" t="s">
        <v>551</v>
      </c>
      <c r="G102" s="659" t="s">
        <v>68</v>
      </c>
      <c r="H102" s="633" t="s">
        <v>69</v>
      </c>
      <c r="I102" s="633">
        <v>1380</v>
      </c>
      <c r="J102" s="633">
        <v>0</v>
      </c>
      <c r="K102" s="633">
        <v>12</v>
      </c>
      <c r="L102" s="827">
        <f t="shared" si="17"/>
        <v>115</v>
      </c>
      <c r="M102" s="828">
        <v>45813</v>
      </c>
      <c r="N102" s="828">
        <v>45810</v>
      </c>
      <c r="O102" s="824"/>
      <c r="P102" s="824" t="s">
        <v>113</v>
      </c>
      <c r="Q102" s="633"/>
      <c r="R102" s="829" t="s">
        <v>552</v>
      </c>
      <c r="S102" s="829" t="s">
        <v>104</v>
      </c>
      <c r="T102" s="829">
        <v>45727</v>
      </c>
      <c r="U102" s="829"/>
      <c r="V102" s="829"/>
      <c r="W102" s="829"/>
      <c r="X102" s="628" t="s">
        <v>553</v>
      </c>
      <c r="Y102" s="828" t="s">
        <v>466</v>
      </c>
      <c r="Z102" s="1306">
        <v>4.1</v>
      </c>
      <c r="AA102" s="831">
        <f t="shared" si="27"/>
        <v>5658</v>
      </c>
      <c r="AC102" s="1307" t="s">
        <v>554</v>
      </c>
      <c r="AD102" s="1312" t="s">
        <v>68</v>
      </c>
      <c r="AE102" s="633" t="s">
        <v>82</v>
      </c>
      <c r="AF102" s="633"/>
      <c r="AG102" s="618" t="s">
        <v>74</v>
      </c>
      <c r="AH102" s="618"/>
      <c r="AI102" s="1308">
        <v>1380</v>
      </c>
      <c r="AJ102" s="824">
        <f t="shared" si="25"/>
        <v>0</v>
      </c>
      <c r="AK102" s="633"/>
      <c r="AL102" s="633"/>
      <c r="AM102" s="633"/>
      <c r="AN102" s="825">
        <f t="shared" si="26"/>
        <v>1380</v>
      </c>
      <c r="AO102" s="687"/>
      <c r="AP102" s="687"/>
      <c r="AQ102" s="687"/>
      <c r="AR102" s="825"/>
      <c r="AS102" s="687">
        <f t="shared" si="28"/>
        <v>1380</v>
      </c>
      <c r="AT102" s="687"/>
      <c r="AU102" s="825">
        <f t="shared" si="29"/>
        <v>1380</v>
      </c>
      <c r="AV102" s="825"/>
      <c r="AW102" s="825">
        <f t="shared" si="30"/>
        <v>1380</v>
      </c>
      <c r="AX102" s="825"/>
      <c r="AY102" s="1305"/>
      <c r="AZ102" s="1305"/>
      <c r="BA102" s="1305"/>
      <c r="BB102" s="1305"/>
      <c r="BC102" s="1305"/>
      <c r="BD102" s="1305"/>
      <c r="BE102" s="1305"/>
      <c r="BF102" s="1305"/>
      <c r="BG102" s="1305"/>
      <c r="BH102" s="1305"/>
      <c r="BI102" s="1305"/>
      <c r="BJ102" s="1305"/>
      <c r="BK102" s="1305"/>
      <c r="BL102" s="1305"/>
      <c r="BM102" s="1305"/>
      <c r="BN102" s="1305"/>
      <c r="BO102" s="1305"/>
      <c r="BP102" s="1305"/>
    </row>
    <row r="103" s="1265" customFormat="1" ht="31" customHeight="1" spans="1:68">
      <c r="A103" s="1304">
        <v>45720</v>
      </c>
      <c r="B103" s="822" t="s">
        <v>549</v>
      </c>
      <c r="C103" s="633" t="s">
        <v>154</v>
      </c>
      <c r="D103" s="825">
        <v>4500158582</v>
      </c>
      <c r="E103" s="633" t="s">
        <v>555</v>
      </c>
      <c r="F103" s="1305" t="s">
        <v>556</v>
      </c>
      <c r="G103" s="659" t="s">
        <v>68</v>
      </c>
      <c r="H103" s="633" t="s">
        <v>69</v>
      </c>
      <c r="I103" s="633">
        <v>756</v>
      </c>
      <c r="J103" s="633">
        <v>0</v>
      </c>
      <c r="K103" s="633">
        <v>12</v>
      </c>
      <c r="L103" s="827">
        <f t="shared" si="17"/>
        <v>63</v>
      </c>
      <c r="M103" s="828">
        <v>45813</v>
      </c>
      <c r="N103" s="828">
        <v>45810</v>
      </c>
      <c r="O103" s="824"/>
      <c r="P103" s="824" t="s">
        <v>113</v>
      </c>
      <c r="Q103" s="633"/>
      <c r="R103" s="829" t="s">
        <v>552</v>
      </c>
      <c r="S103" s="829" t="s">
        <v>104</v>
      </c>
      <c r="T103" s="829">
        <v>45727</v>
      </c>
      <c r="U103" s="829"/>
      <c r="V103" s="829"/>
      <c r="W103" s="829"/>
      <c r="X103" s="628" t="s">
        <v>553</v>
      </c>
      <c r="Y103" s="828" t="s">
        <v>466</v>
      </c>
      <c r="Z103" s="1306">
        <v>4.1</v>
      </c>
      <c r="AA103" s="831">
        <f t="shared" si="27"/>
        <v>3099.6</v>
      </c>
      <c r="AC103" s="1307" t="s">
        <v>554</v>
      </c>
      <c r="AD103" s="1312" t="s">
        <v>68</v>
      </c>
      <c r="AE103" s="633" t="s">
        <v>82</v>
      </c>
      <c r="AF103" s="633"/>
      <c r="AG103" s="618" t="s">
        <v>74</v>
      </c>
      <c r="AH103" s="618"/>
      <c r="AI103" s="1308">
        <v>756</v>
      </c>
      <c r="AJ103" s="824">
        <f t="shared" si="25"/>
        <v>0</v>
      </c>
      <c r="AK103" s="633"/>
      <c r="AL103" s="633"/>
      <c r="AM103" s="633"/>
      <c r="AN103" s="825">
        <f t="shared" si="26"/>
        <v>756</v>
      </c>
      <c r="AO103" s="687"/>
      <c r="AP103" s="687"/>
      <c r="AQ103" s="687"/>
      <c r="AR103" s="825"/>
      <c r="AS103" s="687">
        <f t="shared" si="28"/>
        <v>756</v>
      </c>
      <c r="AT103" s="687"/>
      <c r="AU103" s="825">
        <f t="shared" si="29"/>
        <v>756</v>
      </c>
      <c r="AV103" s="825"/>
      <c r="AW103" s="825">
        <f t="shared" si="30"/>
        <v>756</v>
      </c>
      <c r="AX103" s="825"/>
      <c r="AY103" s="1305"/>
      <c r="AZ103" s="1305"/>
      <c r="BA103" s="1305"/>
      <c r="BB103" s="1305"/>
      <c r="BC103" s="1305"/>
      <c r="BD103" s="1305"/>
      <c r="BE103" s="1305"/>
      <c r="BF103" s="1305"/>
      <c r="BG103" s="1305"/>
      <c r="BH103" s="1305"/>
      <c r="BI103" s="1305"/>
      <c r="BJ103" s="1305"/>
      <c r="BK103" s="1305"/>
      <c r="BL103" s="1305"/>
      <c r="BM103" s="1305"/>
      <c r="BN103" s="1305"/>
      <c r="BO103" s="1305"/>
      <c r="BP103" s="1305"/>
    </row>
    <row r="104" s="1265" customFormat="1" ht="31" customHeight="1" spans="1:68">
      <c r="A104" s="1304">
        <v>45720</v>
      </c>
      <c r="B104" s="822" t="s">
        <v>549</v>
      </c>
      <c r="C104" s="633" t="s">
        <v>302</v>
      </c>
      <c r="D104" s="825">
        <v>4500158582</v>
      </c>
      <c r="E104" s="633" t="s">
        <v>557</v>
      </c>
      <c r="F104" s="1305" t="s">
        <v>558</v>
      </c>
      <c r="G104" s="659" t="s">
        <v>68</v>
      </c>
      <c r="H104" s="633" t="s">
        <v>69</v>
      </c>
      <c r="I104" s="633">
        <v>492</v>
      </c>
      <c r="J104" s="633">
        <v>0</v>
      </c>
      <c r="K104" s="633">
        <v>12</v>
      </c>
      <c r="L104" s="827">
        <f t="shared" si="17"/>
        <v>41</v>
      </c>
      <c r="M104" s="828">
        <v>45813</v>
      </c>
      <c r="N104" s="828">
        <v>45810</v>
      </c>
      <c r="O104" s="824"/>
      <c r="P104" s="824" t="s">
        <v>113</v>
      </c>
      <c r="Q104" s="633"/>
      <c r="R104" s="829" t="s">
        <v>552</v>
      </c>
      <c r="S104" s="829" t="s">
        <v>104</v>
      </c>
      <c r="T104" s="829">
        <v>45727</v>
      </c>
      <c r="U104" s="829"/>
      <c r="V104" s="829"/>
      <c r="W104" s="829"/>
      <c r="X104" s="628" t="s">
        <v>553</v>
      </c>
      <c r="Y104" s="828" t="s">
        <v>466</v>
      </c>
      <c r="Z104" s="1306">
        <v>4.1</v>
      </c>
      <c r="AA104" s="831">
        <f t="shared" si="27"/>
        <v>2017.2</v>
      </c>
      <c r="AC104" s="1307" t="s">
        <v>554</v>
      </c>
      <c r="AD104" s="1312" t="s">
        <v>68</v>
      </c>
      <c r="AE104" s="633" t="s">
        <v>82</v>
      </c>
      <c r="AF104" s="633"/>
      <c r="AG104" s="618" t="s">
        <v>74</v>
      </c>
      <c r="AH104" s="618"/>
      <c r="AI104" s="1308">
        <v>492</v>
      </c>
      <c r="AJ104" s="824">
        <f t="shared" si="25"/>
        <v>0</v>
      </c>
      <c r="AK104" s="633"/>
      <c r="AL104" s="633" t="s">
        <v>454</v>
      </c>
      <c r="AM104" s="633"/>
      <c r="AN104" s="825">
        <f t="shared" si="26"/>
        <v>492</v>
      </c>
      <c r="AO104" s="687"/>
      <c r="AP104" s="687"/>
      <c r="AQ104" s="687"/>
      <c r="AR104" s="825"/>
      <c r="AS104" s="687">
        <f t="shared" si="28"/>
        <v>492</v>
      </c>
      <c r="AT104" s="687"/>
      <c r="AU104" s="825">
        <f t="shared" si="29"/>
        <v>492</v>
      </c>
      <c r="AV104" s="825"/>
      <c r="AW104" s="825">
        <f t="shared" si="30"/>
        <v>492</v>
      </c>
      <c r="AX104" s="825"/>
      <c r="AY104" s="1305"/>
      <c r="AZ104" s="1305"/>
      <c r="BA104" s="1305"/>
      <c r="BB104" s="1305"/>
      <c r="BC104" s="1305"/>
      <c r="BD104" s="1305"/>
      <c r="BE104" s="1305"/>
      <c r="BF104" s="1305"/>
      <c r="BG104" s="1305"/>
      <c r="BH104" s="1305"/>
      <c r="BI104" s="1305"/>
      <c r="BJ104" s="1305"/>
      <c r="BK104" s="1305"/>
      <c r="BL104" s="1305"/>
      <c r="BM104" s="1305"/>
      <c r="BN104" s="1305"/>
      <c r="BO104" s="1305"/>
      <c r="BP104" s="1305"/>
    </row>
    <row r="105" s="1265" customFormat="1" ht="31" customHeight="1" spans="1:68">
      <c r="A105" s="1304">
        <v>45763</v>
      </c>
      <c r="B105" s="822" t="s">
        <v>559</v>
      </c>
      <c r="C105" s="633" t="s">
        <v>343</v>
      </c>
      <c r="D105" s="825">
        <v>4500162780</v>
      </c>
      <c r="E105" s="633" t="s">
        <v>529</v>
      </c>
      <c r="F105" s="1305" t="s">
        <v>560</v>
      </c>
      <c r="G105" s="659" t="s">
        <v>561</v>
      </c>
      <c r="H105" s="633" t="s">
        <v>509</v>
      </c>
      <c r="I105" s="633">
        <v>504</v>
      </c>
      <c r="J105" s="633">
        <v>0</v>
      </c>
      <c r="K105" s="633">
        <v>18</v>
      </c>
      <c r="L105" s="827">
        <f t="shared" si="17"/>
        <v>28</v>
      </c>
      <c r="M105" s="828">
        <v>45813</v>
      </c>
      <c r="N105" s="828">
        <v>45810</v>
      </c>
      <c r="O105" s="824"/>
      <c r="P105" s="824" t="s">
        <v>113</v>
      </c>
      <c r="Q105" s="633"/>
      <c r="R105" s="829">
        <v>45763</v>
      </c>
      <c r="S105" s="829" t="s">
        <v>70</v>
      </c>
      <c r="T105" s="829">
        <v>45789</v>
      </c>
      <c r="U105" s="829"/>
      <c r="V105" s="829" t="s">
        <v>562</v>
      </c>
      <c r="W105" s="829"/>
      <c r="X105" s="628" t="s">
        <v>563</v>
      </c>
      <c r="Y105" s="828" t="s">
        <v>529</v>
      </c>
      <c r="Z105" s="1306">
        <v>175.3</v>
      </c>
      <c r="AA105" s="831">
        <f>Z105*L105</f>
        <v>4908.4</v>
      </c>
      <c r="AC105" s="1307" t="s">
        <v>564</v>
      </c>
      <c r="AD105" s="618" t="s">
        <v>565</v>
      </c>
      <c r="AE105" s="633" t="s">
        <v>82</v>
      </c>
      <c r="AF105" s="633"/>
      <c r="AG105" s="618" t="s">
        <v>74</v>
      </c>
      <c r="AH105" s="618"/>
      <c r="AI105" s="1308">
        <v>504</v>
      </c>
      <c r="AJ105" s="824">
        <f t="shared" si="25"/>
        <v>0</v>
      </c>
      <c r="AK105" s="633"/>
      <c r="AL105" s="633"/>
      <c r="AM105" s="633"/>
      <c r="AN105" s="825">
        <f t="shared" si="26"/>
        <v>504</v>
      </c>
      <c r="AO105" s="687"/>
      <c r="AP105" s="687"/>
      <c r="AQ105" s="687"/>
      <c r="AR105" s="825"/>
      <c r="AS105" s="687">
        <f t="shared" si="28"/>
        <v>504</v>
      </c>
      <c r="AT105" s="687"/>
      <c r="AU105" s="825">
        <f t="shared" si="29"/>
        <v>504</v>
      </c>
      <c r="AV105" s="825"/>
      <c r="AW105" s="825">
        <f t="shared" si="30"/>
        <v>504</v>
      </c>
      <c r="AX105" s="825"/>
      <c r="AY105" s="1305"/>
      <c r="AZ105" s="1305"/>
      <c r="BA105" s="1305"/>
      <c r="BB105" s="1305"/>
      <c r="BC105" s="1305"/>
      <c r="BD105" s="1305"/>
      <c r="BE105" s="1305"/>
      <c r="BF105" s="1305"/>
      <c r="BG105" s="1305"/>
      <c r="BH105" s="1305"/>
      <c r="BI105" s="1305"/>
      <c r="BJ105" s="1305"/>
      <c r="BK105" s="1305"/>
      <c r="BL105" s="1305"/>
      <c r="BM105" s="1305"/>
      <c r="BN105" s="1305"/>
      <c r="BO105" s="1305"/>
      <c r="BP105" s="1305"/>
    </row>
    <row r="106" s="1265" customFormat="1" ht="31" customHeight="1" spans="1:68">
      <c r="A106" s="1304">
        <v>45775</v>
      </c>
      <c r="B106" s="822" t="s">
        <v>566</v>
      </c>
      <c r="C106" s="633" t="s">
        <v>469</v>
      </c>
      <c r="D106" s="825">
        <v>4500164946</v>
      </c>
      <c r="E106" s="633" t="s">
        <v>567</v>
      </c>
      <c r="F106" s="1305" t="s">
        <v>568</v>
      </c>
      <c r="G106" s="659" t="s">
        <v>68</v>
      </c>
      <c r="H106" s="633" t="s">
        <v>69</v>
      </c>
      <c r="I106" s="633">
        <v>240</v>
      </c>
      <c r="J106" s="633">
        <v>0</v>
      </c>
      <c r="K106" s="633">
        <v>12</v>
      </c>
      <c r="L106" s="827">
        <f t="shared" si="17"/>
        <v>20</v>
      </c>
      <c r="M106" s="828">
        <v>45813</v>
      </c>
      <c r="N106" s="828">
        <v>45810</v>
      </c>
      <c r="O106" s="824"/>
      <c r="P106" s="824" t="s">
        <v>113</v>
      </c>
      <c r="Q106" s="633"/>
      <c r="R106" s="829">
        <v>45777</v>
      </c>
      <c r="S106" s="829" t="s">
        <v>70</v>
      </c>
      <c r="T106" s="829" t="s">
        <v>569</v>
      </c>
      <c r="U106" s="829"/>
      <c r="V106" s="829"/>
      <c r="W106" s="829"/>
      <c r="X106" s="822" t="s">
        <v>570</v>
      </c>
      <c r="Y106" s="828" t="s">
        <v>466</v>
      </c>
      <c r="Z106" s="1306">
        <v>4.1</v>
      </c>
      <c r="AA106" s="831">
        <f t="shared" ref="AA106:AA123" si="31">Z106*I106</f>
        <v>984</v>
      </c>
      <c r="AC106" s="1307" t="s">
        <v>571</v>
      </c>
      <c r="AD106" s="1312" t="s">
        <v>184</v>
      </c>
      <c r="AE106" s="633" t="s">
        <v>82</v>
      </c>
      <c r="AF106" s="633"/>
      <c r="AG106" s="618" t="s">
        <v>74</v>
      </c>
      <c r="AH106" s="618"/>
      <c r="AI106" s="1308">
        <v>240</v>
      </c>
      <c r="AJ106" s="824">
        <f t="shared" si="25"/>
        <v>0</v>
      </c>
      <c r="AK106" s="633"/>
      <c r="AL106" s="633"/>
      <c r="AM106" s="633"/>
      <c r="AN106" s="825">
        <f t="shared" si="26"/>
        <v>240</v>
      </c>
      <c r="AO106" s="687"/>
      <c r="AP106" s="687"/>
      <c r="AQ106" s="687"/>
      <c r="AR106" s="825"/>
      <c r="AS106" s="687">
        <f t="shared" si="28"/>
        <v>240</v>
      </c>
      <c r="AT106" s="687"/>
      <c r="AU106" s="825">
        <f t="shared" si="29"/>
        <v>240</v>
      </c>
      <c r="AV106" s="825"/>
      <c r="AW106" s="825">
        <f t="shared" si="30"/>
        <v>240</v>
      </c>
      <c r="AX106" s="825"/>
      <c r="AY106" s="1305"/>
      <c r="AZ106" s="1305"/>
      <c r="BA106" s="1305"/>
      <c r="BB106" s="1305"/>
      <c r="BC106" s="1305"/>
      <c r="BD106" s="1305"/>
      <c r="BE106" s="1305"/>
      <c r="BF106" s="1305"/>
      <c r="BG106" s="1305"/>
      <c r="BH106" s="1305"/>
      <c r="BI106" s="1305"/>
      <c r="BJ106" s="1305"/>
      <c r="BK106" s="1305"/>
      <c r="BL106" s="1305"/>
      <c r="BM106" s="1305"/>
      <c r="BN106" s="1305"/>
      <c r="BO106" s="1305"/>
      <c r="BP106" s="1305"/>
    </row>
    <row r="107" s="1265" customFormat="1" ht="31" customHeight="1" spans="1:68">
      <c r="A107" s="1304">
        <v>45768</v>
      </c>
      <c r="B107" s="822" t="s">
        <v>572</v>
      </c>
      <c r="C107" s="633" t="s">
        <v>573</v>
      </c>
      <c r="D107" s="825">
        <v>4500163230</v>
      </c>
      <c r="E107" s="633" t="s">
        <v>574</v>
      </c>
      <c r="F107" s="1305" t="s">
        <v>575</v>
      </c>
      <c r="G107" s="659" t="s">
        <v>111</v>
      </c>
      <c r="H107" s="633" t="s">
        <v>112</v>
      </c>
      <c r="I107" s="633">
        <v>1200</v>
      </c>
      <c r="J107" s="633">
        <v>0</v>
      </c>
      <c r="K107" s="633">
        <v>16</v>
      </c>
      <c r="L107" s="827">
        <f t="shared" si="17"/>
        <v>75</v>
      </c>
      <c r="M107" s="828">
        <v>45814</v>
      </c>
      <c r="N107" s="828">
        <v>45810</v>
      </c>
      <c r="O107" s="824"/>
      <c r="P107" s="824" t="s">
        <v>113</v>
      </c>
      <c r="Q107" s="610" t="s">
        <v>576</v>
      </c>
      <c r="R107" s="829">
        <v>45770</v>
      </c>
      <c r="S107" s="829" t="s">
        <v>70</v>
      </c>
      <c r="T107" s="829">
        <v>45768</v>
      </c>
      <c r="U107" s="829"/>
      <c r="V107" s="829"/>
      <c r="W107" s="829"/>
      <c r="X107" s="822" t="s">
        <v>577</v>
      </c>
      <c r="Y107" s="828" t="s">
        <v>578</v>
      </c>
      <c r="Z107" s="1306">
        <v>4.39</v>
      </c>
      <c r="AA107" s="831">
        <f t="shared" si="31"/>
        <v>5268</v>
      </c>
      <c r="AC107" s="1307" t="s">
        <v>579</v>
      </c>
      <c r="AD107" s="1312" t="s">
        <v>111</v>
      </c>
      <c r="AE107" s="633" t="s">
        <v>82</v>
      </c>
      <c r="AF107" s="633"/>
      <c r="AG107" s="618" t="s">
        <v>74</v>
      </c>
      <c r="AH107" s="618"/>
      <c r="AI107" s="1308">
        <v>1200</v>
      </c>
      <c r="AJ107" s="824">
        <f t="shared" si="25"/>
        <v>0</v>
      </c>
      <c r="AK107" s="633"/>
      <c r="AL107" s="633"/>
      <c r="AM107" s="633"/>
      <c r="AN107" s="825">
        <f t="shared" si="26"/>
        <v>1200</v>
      </c>
      <c r="AO107" s="687"/>
      <c r="AP107" s="687"/>
      <c r="AQ107" s="687"/>
      <c r="AR107" s="825">
        <f>I107</f>
        <v>1200</v>
      </c>
      <c r="AS107" s="687"/>
      <c r="AT107" s="687"/>
      <c r="AU107" s="825">
        <f t="shared" si="29"/>
        <v>1200</v>
      </c>
      <c r="AV107" s="825"/>
      <c r="AW107" s="825">
        <f t="shared" si="30"/>
        <v>1200</v>
      </c>
      <c r="AX107" s="825"/>
      <c r="AY107" s="1305"/>
      <c r="AZ107" s="1305"/>
      <c r="BA107" s="1305"/>
      <c r="BB107" s="1305"/>
      <c r="BC107" s="1305"/>
      <c r="BD107" s="1305"/>
      <c r="BE107" s="1305"/>
      <c r="BF107" s="1305"/>
      <c r="BG107" s="1305"/>
      <c r="BH107" s="825">
        <f>I107/4</f>
        <v>300</v>
      </c>
      <c r="BI107" s="1305"/>
      <c r="BJ107" s="1305"/>
      <c r="BK107" s="1305"/>
      <c r="BL107" s="1305"/>
      <c r="BM107" s="1305"/>
      <c r="BN107" s="1305"/>
      <c r="BO107" s="1305"/>
      <c r="BP107" s="1305"/>
    </row>
    <row r="108" s="1265" customFormat="1" ht="31" customHeight="1" spans="1:68">
      <c r="A108" s="1304">
        <v>45757</v>
      </c>
      <c r="B108" s="822" t="s">
        <v>580</v>
      </c>
      <c r="C108" s="633" t="s">
        <v>302</v>
      </c>
      <c r="D108" s="825">
        <v>4500163211</v>
      </c>
      <c r="E108" s="633">
        <v>2000007077</v>
      </c>
      <c r="F108" s="1305" t="s">
        <v>581</v>
      </c>
      <c r="G108" s="659" t="s">
        <v>518</v>
      </c>
      <c r="H108" s="633" t="s">
        <v>477</v>
      </c>
      <c r="I108" s="633">
        <v>5400</v>
      </c>
      <c r="J108" s="633">
        <v>0</v>
      </c>
      <c r="K108" s="633">
        <v>6</v>
      </c>
      <c r="L108" s="827">
        <f t="shared" si="17"/>
        <v>900</v>
      </c>
      <c r="M108" s="828">
        <v>45807</v>
      </c>
      <c r="N108" s="828">
        <v>45811</v>
      </c>
      <c r="O108" s="824" t="s">
        <v>582</v>
      </c>
      <c r="P108" s="824" t="s">
        <v>113</v>
      </c>
      <c r="Q108" s="633"/>
      <c r="R108" s="829">
        <v>45769</v>
      </c>
      <c r="S108" s="829" t="s">
        <v>70</v>
      </c>
      <c r="T108" s="829">
        <v>45786</v>
      </c>
      <c r="U108" s="829"/>
      <c r="V108" s="829"/>
      <c r="W108" s="829"/>
      <c r="X108" s="628" t="s">
        <v>583</v>
      </c>
      <c r="Y108" s="828" t="s">
        <v>305</v>
      </c>
      <c r="Z108" s="1306">
        <v>8.9</v>
      </c>
      <c r="AA108" s="831">
        <f t="shared" si="31"/>
        <v>48060</v>
      </c>
      <c r="AC108" s="1307" t="s">
        <v>584</v>
      </c>
      <c r="AD108" s="1310" t="s">
        <v>480</v>
      </c>
      <c r="AE108" s="633" t="s">
        <v>82</v>
      </c>
      <c r="AF108" s="633"/>
      <c r="AG108" s="618" t="s">
        <v>74</v>
      </c>
      <c r="AH108" s="618"/>
      <c r="AI108" s="1308">
        <f>I108</f>
        <v>5400</v>
      </c>
      <c r="AJ108" s="824">
        <f t="shared" si="25"/>
        <v>0</v>
      </c>
      <c r="AK108" s="633"/>
      <c r="AL108" s="633"/>
      <c r="AM108" s="633"/>
      <c r="AN108" s="825">
        <f t="shared" si="26"/>
        <v>5400</v>
      </c>
      <c r="AO108" s="687"/>
      <c r="AP108" s="687"/>
      <c r="AQ108" s="687"/>
      <c r="AR108" s="825"/>
      <c r="AS108" s="687">
        <f>I108</f>
        <v>5400</v>
      </c>
      <c r="AT108" s="687"/>
      <c r="AU108" s="825">
        <f t="shared" si="29"/>
        <v>5400</v>
      </c>
      <c r="AV108" s="825"/>
      <c r="AW108" s="825">
        <f t="shared" si="30"/>
        <v>5400</v>
      </c>
      <c r="AX108" s="825"/>
      <c r="AY108" s="1305"/>
      <c r="AZ108" s="1305"/>
      <c r="BA108" s="1305"/>
      <c r="BB108" s="1305"/>
      <c r="BC108" s="1305"/>
      <c r="BD108" s="1305"/>
      <c r="BE108" s="1305"/>
      <c r="BF108" s="1305"/>
      <c r="BG108" s="1305"/>
      <c r="BH108" s="1305"/>
      <c r="BI108" s="1305"/>
      <c r="BJ108" s="1305"/>
      <c r="BK108" s="1305"/>
      <c r="BL108" s="1305"/>
      <c r="BM108" s="825"/>
      <c r="BN108" s="825">
        <f>I108</f>
        <v>5400</v>
      </c>
      <c r="BO108" s="1305"/>
      <c r="BP108" s="1305"/>
    </row>
    <row r="109" s="1265" customFormat="1" ht="31" customHeight="1" spans="1:68">
      <c r="A109" s="1304">
        <v>45757</v>
      </c>
      <c r="B109" s="822" t="s">
        <v>585</v>
      </c>
      <c r="C109" s="633" t="s">
        <v>411</v>
      </c>
      <c r="D109" s="825">
        <v>4500163212</v>
      </c>
      <c r="E109" s="633">
        <v>2000007076</v>
      </c>
      <c r="F109" s="1305" t="s">
        <v>586</v>
      </c>
      <c r="G109" s="659" t="s">
        <v>518</v>
      </c>
      <c r="H109" s="633" t="s">
        <v>477</v>
      </c>
      <c r="I109" s="633">
        <v>3414</v>
      </c>
      <c r="J109" s="633">
        <v>0</v>
      </c>
      <c r="K109" s="633">
        <v>6</v>
      </c>
      <c r="L109" s="827">
        <f t="shared" si="17"/>
        <v>569</v>
      </c>
      <c r="M109" s="828">
        <v>45807</v>
      </c>
      <c r="N109" s="828">
        <v>45811</v>
      </c>
      <c r="O109" s="824"/>
      <c r="P109" s="824" t="s">
        <v>113</v>
      </c>
      <c r="Q109" s="633"/>
      <c r="R109" s="829">
        <v>45769</v>
      </c>
      <c r="S109" s="829" t="s">
        <v>70</v>
      </c>
      <c r="T109" s="829">
        <v>45786</v>
      </c>
      <c r="U109" s="829"/>
      <c r="V109" s="829"/>
      <c r="W109" s="829"/>
      <c r="X109" s="628" t="s">
        <v>587</v>
      </c>
      <c r="Y109" s="828" t="s">
        <v>305</v>
      </c>
      <c r="Z109" s="1306">
        <v>8.9</v>
      </c>
      <c r="AA109" s="831">
        <f t="shared" si="31"/>
        <v>30384.6</v>
      </c>
      <c r="AC109" s="1307" t="s">
        <v>588</v>
      </c>
      <c r="AD109" s="1310" t="s">
        <v>480</v>
      </c>
      <c r="AE109" s="633" t="s">
        <v>82</v>
      </c>
      <c r="AF109" s="633"/>
      <c r="AG109" s="618" t="s">
        <v>74</v>
      </c>
      <c r="AH109" s="618"/>
      <c r="AI109" s="1308">
        <f>3024</f>
        <v>3024</v>
      </c>
      <c r="AJ109" s="824">
        <f t="shared" si="25"/>
        <v>-390</v>
      </c>
      <c r="AK109" s="633"/>
      <c r="AL109" s="633"/>
      <c r="AM109" s="633"/>
      <c r="AN109" s="825">
        <f t="shared" si="26"/>
        <v>3414</v>
      </c>
      <c r="AO109" s="687"/>
      <c r="AP109" s="687"/>
      <c r="AQ109" s="687"/>
      <c r="AR109" s="825"/>
      <c r="AS109" s="687">
        <f>I109</f>
        <v>3414</v>
      </c>
      <c r="AT109" s="687"/>
      <c r="AU109" s="825">
        <f t="shared" si="29"/>
        <v>3414</v>
      </c>
      <c r="AV109" s="825"/>
      <c r="AW109" s="825">
        <f t="shared" si="30"/>
        <v>3414</v>
      </c>
      <c r="AX109" s="825"/>
      <c r="AY109" s="1305"/>
      <c r="AZ109" s="1305"/>
      <c r="BA109" s="1305"/>
      <c r="BB109" s="1305"/>
      <c r="BC109" s="1305"/>
      <c r="BD109" s="1305"/>
      <c r="BE109" s="1305"/>
      <c r="BF109" s="1305"/>
      <c r="BG109" s="1305"/>
      <c r="BH109" s="1305"/>
      <c r="BI109" s="1305"/>
      <c r="BJ109" s="1305"/>
      <c r="BK109" s="1305"/>
      <c r="BL109" s="1305"/>
      <c r="BM109" s="825"/>
      <c r="BN109" s="825">
        <f>I109</f>
        <v>3414</v>
      </c>
      <c r="BO109" s="1305"/>
      <c r="BP109" s="1305"/>
    </row>
    <row r="110" s="1265" customFormat="1" ht="31" customHeight="1" spans="1:68">
      <c r="A110" s="1304">
        <v>45784</v>
      </c>
      <c r="B110" s="822" t="s">
        <v>589</v>
      </c>
      <c r="C110" s="633" t="s">
        <v>590</v>
      </c>
      <c r="D110" s="825">
        <v>4500165640</v>
      </c>
      <c r="E110" s="633"/>
      <c r="F110" s="1305" t="s">
        <v>591</v>
      </c>
      <c r="G110" s="659" t="s">
        <v>68</v>
      </c>
      <c r="H110" s="633" t="s">
        <v>69</v>
      </c>
      <c r="I110" s="633">
        <v>792</v>
      </c>
      <c r="J110" s="633">
        <v>0</v>
      </c>
      <c r="K110" s="633">
        <v>12</v>
      </c>
      <c r="L110" s="827">
        <f t="shared" si="17"/>
        <v>66</v>
      </c>
      <c r="M110" s="828">
        <v>45818</v>
      </c>
      <c r="N110" s="828">
        <v>45814</v>
      </c>
      <c r="O110" s="824"/>
      <c r="P110" s="824" t="s">
        <v>113</v>
      </c>
      <c r="Q110" s="633"/>
      <c r="R110" s="829">
        <v>45786</v>
      </c>
      <c r="S110" s="829" t="s">
        <v>70</v>
      </c>
      <c r="T110" s="829">
        <v>18749</v>
      </c>
      <c r="U110" s="829"/>
      <c r="V110" s="829"/>
      <c r="W110" s="829"/>
      <c r="X110" s="628" t="s">
        <v>592</v>
      </c>
      <c r="Y110" s="828" t="s">
        <v>230</v>
      </c>
      <c r="Z110" s="1306">
        <v>4.1456</v>
      </c>
      <c r="AA110" s="831">
        <f t="shared" si="31"/>
        <v>3283.3152</v>
      </c>
      <c r="AC110" s="1307" t="s">
        <v>593</v>
      </c>
      <c r="AD110" s="1312" t="s">
        <v>68</v>
      </c>
      <c r="AE110" s="633" t="s">
        <v>82</v>
      </c>
      <c r="AF110" s="633"/>
      <c r="AG110" s="618" t="s">
        <v>74</v>
      </c>
      <c r="AH110" s="618"/>
      <c r="AI110" s="1308">
        <v>792</v>
      </c>
      <c r="AJ110" s="824">
        <f t="shared" si="25"/>
        <v>0</v>
      </c>
      <c r="AK110" s="633"/>
      <c r="AL110" s="633"/>
      <c r="AM110" s="633"/>
      <c r="AN110" s="825">
        <f t="shared" si="26"/>
        <v>792</v>
      </c>
      <c r="AO110" s="687"/>
      <c r="AP110" s="687"/>
      <c r="AQ110" s="687"/>
      <c r="AR110" s="825">
        <f>I110</f>
        <v>792</v>
      </c>
      <c r="AS110" s="687"/>
      <c r="AT110" s="687"/>
      <c r="AU110" s="825">
        <f t="shared" si="29"/>
        <v>792</v>
      </c>
      <c r="AV110" s="825"/>
      <c r="AW110" s="825">
        <f t="shared" si="30"/>
        <v>792</v>
      </c>
      <c r="AX110" s="825"/>
      <c r="AY110" s="1305"/>
      <c r="AZ110" s="1305"/>
      <c r="BA110" s="1305"/>
      <c r="BB110" s="1305"/>
      <c r="BC110" s="1305"/>
      <c r="BD110" s="1305"/>
      <c r="BE110" s="1305"/>
      <c r="BF110" s="1305"/>
      <c r="BG110" s="1305"/>
      <c r="BH110" s="1305"/>
      <c r="BI110" s="1305"/>
      <c r="BJ110" s="1305"/>
      <c r="BK110" s="1305"/>
      <c r="BL110" s="1305"/>
      <c r="BM110" s="1305"/>
      <c r="BN110" s="1305"/>
      <c r="BO110" s="1305"/>
      <c r="BP110" s="1305"/>
    </row>
    <row r="111" s="1265" customFormat="1" ht="31" customHeight="1" spans="1:68">
      <c r="A111" s="1304">
        <v>45774</v>
      </c>
      <c r="B111" s="822" t="s">
        <v>594</v>
      </c>
      <c r="C111" s="633" t="s">
        <v>98</v>
      </c>
      <c r="D111" s="825">
        <v>4500165209</v>
      </c>
      <c r="E111" s="633" t="s">
        <v>595</v>
      </c>
      <c r="F111" s="1305" t="s">
        <v>596</v>
      </c>
      <c r="G111" s="659" t="s">
        <v>111</v>
      </c>
      <c r="H111" s="633" t="s">
        <v>112</v>
      </c>
      <c r="I111" s="633">
        <v>48</v>
      </c>
      <c r="J111" s="633">
        <v>0</v>
      </c>
      <c r="K111" s="633">
        <v>16</v>
      </c>
      <c r="L111" s="827">
        <f t="shared" si="17"/>
        <v>3</v>
      </c>
      <c r="M111" s="828">
        <v>45817</v>
      </c>
      <c r="N111" s="828">
        <v>45820</v>
      </c>
      <c r="O111" s="824"/>
      <c r="P111" s="824" t="s">
        <v>113</v>
      </c>
      <c r="Q111" s="633"/>
      <c r="R111" s="829">
        <v>45784</v>
      </c>
      <c r="S111" s="829" t="s">
        <v>70</v>
      </c>
      <c r="T111" s="829" t="s">
        <v>70</v>
      </c>
      <c r="U111" s="829"/>
      <c r="V111" s="829"/>
      <c r="W111" s="829"/>
      <c r="X111" s="822" t="s">
        <v>597</v>
      </c>
      <c r="Y111" s="828" t="s">
        <v>383</v>
      </c>
      <c r="Z111" s="1306">
        <v>2.634</v>
      </c>
      <c r="AA111" s="831">
        <f t="shared" si="31"/>
        <v>126.432</v>
      </c>
      <c r="AC111" s="632"/>
      <c r="AD111" s="1312" t="s">
        <v>111</v>
      </c>
      <c r="AE111" s="633" t="s">
        <v>82</v>
      </c>
      <c r="AF111" s="633"/>
      <c r="AG111" s="618" t="s">
        <v>74</v>
      </c>
      <c r="AH111" s="618"/>
      <c r="AI111" s="1308">
        <v>48</v>
      </c>
      <c r="AJ111" s="824">
        <f t="shared" si="25"/>
        <v>0</v>
      </c>
      <c r="AK111" s="633"/>
      <c r="AL111" s="633"/>
      <c r="AM111" s="633"/>
      <c r="AN111" s="825">
        <f t="shared" si="26"/>
        <v>48</v>
      </c>
      <c r="AO111" s="687"/>
      <c r="AP111" s="687"/>
      <c r="AQ111" s="687"/>
      <c r="AR111" s="825">
        <f>I111</f>
        <v>48</v>
      </c>
      <c r="AS111" s="687"/>
      <c r="AT111" s="687"/>
      <c r="AU111" s="825">
        <f t="shared" si="29"/>
        <v>48</v>
      </c>
      <c r="AV111" s="825"/>
      <c r="AW111" s="825">
        <f t="shared" si="30"/>
        <v>48</v>
      </c>
      <c r="AX111" s="825"/>
      <c r="AY111" s="1305"/>
      <c r="AZ111" s="1305"/>
      <c r="BA111" s="1305"/>
      <c r="BB111" s="1305"/>
      <c r="BC111" s="1305"/>
      <c r="BD111" s="1305"/>
      <c r="BE111" s="1305"/>
      <c r="BF111" s="1305"/>
      <c r="BG111" s="1305"/>
      <c r="BH111" s="825">
        <f>I111/4</f>
        <v>12</v>
      </c>
      <c r="BI111" s="1305"/>
      <c r="BJ111" s="1305"/>
      <c r="BK111" s="1305"/>
      <c r="BL111" s="1305"/>
      <c r="BM111" s="1305"/>
      <c r="BN111" s="1305"/>
      <c r="BO111" s="1305"/>
      <c r="BP111" s="1305"/>
    </row>
    <row r="112" s="1265" customFormat="1" ht="31" customHeight="1" spans="1:68">
      <c r="A112" s="1304">
        <v>45774</v>
      </c>
      <c r="B112" s="822" t="s">
        <v>594</v>
      </c>
      <c r="C112" s="633" t="s">
        <v>98</v>
      </c>
      <c r="D112" s="825">
        <v>4500165209</v>
      </c>
      <c r="E112" s="633" t="s">
        <v>598</v>
      </c>
      <c r="F112" s="1305" t="s">
        <v>599</v>
      </c>
      <c r="G112" s="659" t="s">
        <v>111</v>
      </c>
      <c r="H112" s="633" t="s">
        <v>112</v>
      </c>
      <c r="I112" s="633">
        <v>16</v>
      </c>
      <c r="J112" s="633">
        <v>0</v>
      </c>
      <c r="K112" s="633">
        <v>16</v>
      </c>
      <c r="L112" s="827">
        <f t="shared" si="17"/>
        <v>1</v>
      </c>
      <c r="M112" s="828">
        <v>45817</v>
      </c>
      <c r="N112" s="828">
        <v>45820</v>
      </c>
      <c r="O112" s="824"/>
      <c r="P112" s="824" t="s">
        <v>113</v>
      </c>
      <c r="Q112" s="633"/>
      <c r="R112" s="829">
        <v>45784</v>
      </c>
      <c r="S112" s="829" t="s">
        <v>70</v>
      </c>
      <c r="T112" s="829" t="s">
        <v>70</v>
      </c>
      <c r="U112" s="829"/>
      <c r="V112" s="829"/>
      <c r="W112" s="829"/>
      <c r="X112" s="822" t="s">
        <v>597</v>
      </c>
      <c r="Y112" s="828" t="s">
        <v>383</v>
      </c>
      <c r="Z112" s="1306">
        <v>2.6338</v>
      </c>
      <c r="AA112" s="831">
        <f t="shared" si="31"/>
        <v>42.1408</v>
      </c>
      <c r="AC112" s="632"/>
      <c r="AD112" s="1312" t="s">
        <v>111</v>
      </c>
      <c r="AE112" s="633" t="s">
        <v>82</v>
      </c>
      <c r="AF112" s="633"/>
      <c r="AG112" s="618" t="s">
        <v>74</v>
      </c>
      <c r="AH112" s="618"/>
      <c r="AI112" s="1308">
        <v>16</v>
      </c>
      <c r="AJ112" s="824">
        <f t="shared" si="25"/>
        <v>0</v>
      </c>
      <c r="AK112" s="633"/>
      <c r="AL112" s="633"/>
      <c r="AM112" s="633"/>
      <c r="AN112" s="825">
        <f t="shared" si="26"/>
        <v>16</v>
      </c>
      <c r="AO112" s="687"/>
      <c r="AP112" s="687"/>
      <c r="AQ112" s="687"/>
      <c r="AR112" s="825">
        <f>I112</f>
        <v>16</v>
      </c>
      <c r="AS112" s="687"/>
      <c r="AT112" s="687"/>
      <c r="AU112" s="825">
        <f t="shared" si="29"/>
        <v>16</v>
      </c>
      <c r="AV112" s="825"/>
      <c r="AW112" s="825">
        <f t="shared" si="30"/>
        <v>16</v>
      </c>
      <c r="AX112" s="825"/>
      <c r="AY112" s="1305"/>
      <c r="AZ112" s="1305"/>
      <c r="BA112" s="1305"/>
      <c r="BB112" s="1305"/>
      <c r="BC112" s="1305"/>
      <c r="BD112" s="1305"/>
      <c r="BE112" s="1305"/>
      <c r="BF112" s="1305"/>
      <c r="BG112" s="1305"/>
      <c r="BH112" s="825">
        <f>I112/4</f>
        <v>4</v>
      </c>
      <c r="BI112" s="1305"/>
      <c r="BJ112" s="1305"/>
      <c r="BK112" s="1305"/>
      <c r="BL112" s="1305"/>
      <c r="BM112" s="1305"/>
      <c r="BN112" s="1305"/>
      <c r="BO112" s="1305"/>
      <c r="BP112" s="1305"/>
    </row>
    <row r="113" s="1265" customFormat="1" ht="31" customHeight="1" spans="1:68">
      <c r="A113" s="1304">
        <v>45774</v>
      </c>
      <c r="B113" s="822" t="s">
        <v>594</v>
      </c>
      <c r="C113" s="633" t="s">
        <v>98</v>
      </c>
      <c r="D113" s="825">
        <v>4500165209</v>
      </c>
      <c r="E113" s="633" t="s">
        <v>600</v>
      </c>
      <c r="F113" s="1305" t="s">
        <v>601</v>
      </c>
      <c r="G113" s="659" t="s">
        <v>111</v>
      </c>
      <c r="H113" s="633" t="s">
        <v>112</v>
      </c>
      <c r="I113" s="633">
        <v>128</v>
      </c>
      <c r="J113" s="633">
        <v>0</v>
      </c>
      <c r="K113" s="633">
        <v>16</v>
      </c>
      <c r="L113" s="827">
        <f t="shared" si="17"/>
        <v>8</v>
      </c>
      <c r="M113" s="828">
        <v>45817</v>
      </c>
      <c r="N113" s="828">
        <v>45820</v>
      </c>
      <c r="O113" s="824"/>
      <c r="P113" s="824" t="s">
        <v>113</v>
      </c>
      <c r="Q113" s="633"/>
      <c r="R113" s="829">
        <v>45784</v>
      </c>
      <c r="S113" s="829" t="s">
        <v>70</v>
      </c>
      <c r="T113" s="829" t="s">
        <v>70</v>
      </c>
      <c r="U113" s="829"/>
      <c r="V113" s="829"/>
      <c r="W113" s="829"/>
      <c r="X113" s="822" t="s">
        <v>597</v>
      </c>
      <c r="Y113" s="828" t="s">
        <v>383</v>
      </c>
      <c r="Z113" s="1306">
        <v>2.634</v>
      </c>
      <c r="AA113" s="831">
        <f t="shared" si="31"/>
        <v>337.152</v>
      </c>
      <c r="AC113" s="632"/>
      <c r="AD113" s="1312" t="s">
        <v>111</v>
      </c>
      <c r="AE113" s="633" t="s">
        <v>82</v>
      </c>
      <c r="AF113" s="633"/>
      <c r="AG113" s="618" t="s">
        <v>74</v>
      </c>
      <c r="AH113" s="618"/>
      <c r="AI113" s="1308">
        <v>128</v>
      </c>
      <c r="AJ113" s="824">
        <f t="shared" si="25"/>
        <v>0</v>
      </c>
      <c r="AK113" s="633"/>
      <c r="AL113" s="633"/>
      <c r="AM113" s="633"/>
      <c r="AN113" s="825">
        <f t="shared" si="26"/>
        <v>128</v>
      </c>
      <c r="AO113" s="687"/>
      <c r="AP113" s="687"/>
      <c r="AQ113" s="687"/>
      <c r="AR113" s="825">
        <f>I113</f>
        <v>128</v>
      </c>
      <c r="AS113" s="687"/>
      <c r="AT113" s="687"/>
      <c r="AU113" s="825">
        <f t="shared" si="29"/>
        <v>128</v>
      </c>
      <c r="AV113" s="825"/>
      <c r="AW113" s="825">
        <f t="shared" si="30"/>
        <v>128</v>
      </c>
      <c r="AX113" s="825"/>
      <c r="AY113" s="1305"/>
      <c r="AZ113" s="1305"/>
      <c r="BA113" s="1305"/>
      <c r="BB113" s="1305"/>
      <c r="BC113" s="1305"/>
      <c r="BD113" s="1305"/>
      <c r="BE113" s="1305"/>
      <c r="BF113" s="1305"/>
      <c r="BG113" s="1305"/>
      <c r="BH113" s="825">
        <f>I113/4</f>
        <v>32</v>
      </c>
      <c r="BI113" s="1305"/>
      <c r="BJ113" s="1305"/>
      <c r="BK113" s="1305"/>
      <c r="BL113" s="1305"/>
      <c r="BM113" s="1305"/>
      <c r="BN113" s="1305"/>
      <c r="BO113" s="1305"/>
      <c r="BP113" s="1305"/>
    </row>
    <row r="114" s="1265" customFormat="1" ht="31" customHeight="1" spans="1:68">
      <c r="A114" s="1304">
        <v>45735</v>
      </c>
      <c r="B114" s="822" t="s">
        <v>602</v>
      </c>
      <c r="C114" s="633" t="s">
        <v>98</v>
      </c>
      <c r="D114" s="825">
        <v>4500160726</v>
      </c>
      <c r="E114" s="633" t="s">
        <v>603</v>
      </c>
      <c r="F114" s="1305" t="s">
        <v>604</v>
      </c>
      <c r="G114" s="659" t="s">
        <v>111</v>
      </c>
      <c r="H114" s="633" t="s">
        <v>112</v>
      </c>
      <c r="I114" s="633">
        <v>1184</v>
      </c>
      <c r="J114" s="633">
        <v>0</v>
      </c>
      <c r="K114" s="633">
        <v>16</v>
      </c>
      <c r="L114" s="827">
        <f t="shared" si="17"/>
        <v>74</v>
      </c>
      <c r="M114" s="828">
        <v>45818</v>
      </c>
      <c r="N114" s="828">
        <v>45820</v>
      </c>
      <c r="O114" s="824"/>
      <c r="P114" s="824" t="s">
        <v>113</v>
      </c>
      <c r="Q114" s="633"/>
      <c r="R114" s="829">
        <v>45749</v>
      </c>
      <c r="S114" s="829" t="s">
        <v>70</v>
      </c>
      <c r="T114" s="829" t="s">
        <v>70</v>
      </c>
      <c r="U114" s="829"/>
      <c r="V114" s="829"/>
      <c r="W114" s="829"/>
      <c r="X114" s="822" t="s">
        <v>605</v>
      </c>
      <c r="Y114" s="828" t="s">
        <v>311</v>
      </c>
      <c r="Z114" s="1306">
        <v>4.39</v>
      </c>
      <c r="AA114" s="831">
        <f t="shared" si="31"/>
        <v>5197.76</v>
      </c>
      <c r="AC114" s="632"/>
      <c r="AD114" s="1312" t="s">
        <v>111</v>
      </c>
      <c r="AE114" s="633" t="s">
        <v>82</v>
      </c>
      <c r="AF114" s="633"/>
      <c r="AG114" s="618" t="s">
        <v>74</v>
      </c>
      <c r="AH114" s="618"/>
      <c r="AI114" s="1308">
        <v>1184</v>
      </c>
      <c r="AJ114" s="824">
        <f t="shared" si="25"/>
        <v>0</v>
      </c>
      <c r="AK114" s="633"/>
      <c r="AL114" s="633"/>
      <c r="AM114" s="633"/>
      <c r="AN114" s="825">
        <f t="shared" si="26"/>
        <v>1184</v>
      </c>
      <c r="AO114" s="687"/>
      <c r="AP114" s="687"/>
      <c r="AQ114" s="687"/>
      <c r="AR114" s="825">
        <f>I114</f>
        <v>1184</v>
      </c>
      <c r="AS114" s="687"/>
      <c r="AT114" s="687"/>
      <c r="AU114" s="825">
        <f t="shared" si="29"/>
        <v>1184</v>
      </c>
      <c r="AV114" s="825"/>
      <c r="AW114" s="825">
        <f t="shared" si="30"/>
        <v>1184</v>
      </c>
      <c r="AX114" s="825"/>
      <c r="AY114" s="1305"/>
      <c r="AZ114" s="1305"/>
      <c r="BA114" s="1305"/>
      <c r="BB114" s="1305"/>
      <c r="BC114" s="1305"/>
      <c r="BD114" s="1305"/>
      <c r="BE114" s="1305"/>
      <c r="BF114" s="1305"/>
      <c r="BG114" s="1305"/>
      <c r="BH114" s="825">
        <f>I114/4</f>
        <v>296</v>
      </c>
      <c r="BI114" s="1305"/>
      <c r="BJ114" s="1305"/>
      <c r="BK114" s="1305"/>
      <c r="BL114" s="1305"/>
      <c r="BM114" s="1305"/>
      <c r="BN114" s="1305"/>
      <c r="BO114" s="1305"/>
      <c r="BP114" s="1305"/>
    </row>
    <row r="115" s="1265" customFormat="1" ht="31" customHeight="1" spans="1:68">
      <c r="A115" s="1304">
        <v>45772</v>
      </c>
      <c r="B115" s="822" t="s">
        <v>606</v>
      </c>
      <c r="C115" s="633" t="s">
        <v>399</v>
      </c>
      <c r="D115" s="825">
        <v>4500164735</v>
      </c>
      <c r="E115" s="633"/>
      <c r="F115" s="1305" t="s">
        <v>607</v>
      </c>
      <c r="G115" s="659" t="s">
        <v>518</v>
      </c>
      <c r="H115" s="633" t="s">
        <v>477</v>
      </c>
      <c r="I115" s="633">
        <v>1002</v>
      </c>
      <c r="J115" s="633">
        <v>0</v>
      </c>
      <c r="K115" s="633">
        <v>6</v>
      </c>
      <c r="L115" s="827">
        <f t="shared" si="17"/>
        <v>167</v>
      </c>
      <c r="M115" s="828">
        <v>45813</v>
      </c>
      <c r="N115" s="828">
        <v>45814</v>
      </c>
      <c r="O115" s="824"/>
      <c r="P115" s="824" t="s">
        <v>113</v>
      </c>
      <c r="Q115" s="633"/>
      <c r="R115" s="829">
        <v>45772</v>
      </c>
      <c r="S115" s="829" t="s">
        <v>70</v>
      </c>
      <c r="T115" s="829">
        <v>45785</v>
      </c>
      <c r="U115" s="829"/>
      <c r="V115" s="829" t="s">
        <v>608</v>
      </c>
      <c r="W115" s="829"/>
      <c r="X115" s="822" t="s">
        <v>609</v>
      </c>
      <c r="Y115" s="828" t="s">
        <v>445</v>
      </c>
      <c r="Z115" s="1306">
        <v>8.1</v>
      </c>
      <c r="AA115" s="831">
        <f t="shared" si="31"/>
        <v>8116.2</v>
      </c>
      <c r="AC115" s="1307" t="s">
        <v>610</v>
      </c>
      <c r="AD115" s="1310" t="s">
        <v>480</v>
      </c>
      <c r="AE115" s="633" t="s">
        <v>82</v>
      </c>
      <c r="AF115" s="633"/>
      <c r="AG115" s="618" t="s">
        <v>74</v>
      </c>
      <c r="AH115" s="618"/>
      <c r="AI115" s="1308">
        <f>I115</f>
        <v>1002</v>
      </c>
      <c r="AJ115" s="824">
        <f t="shared" si="25"/>
        <v>0</v>
      </c>
      <c r="AK115" s="633"/>
      <c r="AL115" s="633"/>
      <c r="AM115" s="633"/>
      <c r="AN115" s="825">
        <f t="shared" si="26"/>
        <v>1002</v>
      </c>
      <c r="AO115" s="687"/>
      <c r="AP115" s="687"/>
      <c r="AQ115" s="687"/>
      <c r="AR115" s="825"/>
      <c r="AS115" s="687">
        <f>I115</f>
        <v>1002</v>
      </c>
      <c r="AT115" s="687"/>
      <c r="AU115" s="825">
        <f t="shared" si="29"/>
        <v>1002</v>
      </c>
      <c r="AV115" s="825"/>
      <c r="AW115" s="825">
        <f t="shared" si="30"/>
        <v>1002</v>
      </c>
      <c r="AX115" s="825"/>
      <c r="AY115" s="1305"/>
      <c r="AZ115" s="1305"/>
      <c r="BA115" s="1305"/>
      <c r="BB115" s="1305"/>
      <c r="BC115" s="1305"/>
      <c r="BD115" s="1305"/>
      <c r="BE115" s="1305"/>
      <c r="BF115" s="1305"/>
      <c r="BG115" s="1305"/>
      <c r="BH115" s="1305"/>
      <c r="BI115" s="1305"/>
      <c r="BJ115" s="1305"/>
      <c r="BK115" s="1305"/>
      <c r="BL115" s="1305"/>
      <c r="BM115" s="825"/>
      <c r="BN115" s="825">
        <f>I115</f>
        <v>1002</v>
      </c>
      <c r="BO115" s="1305"/>
      <c r="BP115" s="1305"/>
    </row>
    <row r="116" s="1265" customFormat="1" ht="31" customHeight="1" spans="1:68">
      <c r="A116" s="1304">
        <v>45768</v>
      </c>
      <c r="B116" s="822" t="s">
        <v>611</v>
      </c>
      <c r="C116" s="633" t="s">
        <v>612</v>
      </c>
      <c r="D116" s="825">
        <v>4500164331</v>
      </c>
      <c r="E116" s="633"/>
      <c r="F116" s="1305" t="s">
        <v>613</v>
      </c>
      <c r="G116" s="659" t="s">
        <v>68</v>
      </c>
      <c r="H116" s="633" t="s">
        <v>69</v>
      </c>
      <c r="I116" s="633">
        <v>1644</v>
      </c>
      <c r="J116" s="633">
        <v>0</v>
      </c>
      <c r="K116" s="633">
        <v>12</v>
      </c>
      <c r="L116" s="827">
        <f t="shared" si="17"/>
        <v>137</v>
      </c>
      <c r="M116" s="828">
        <v>45826</v>
      </c>
      <c r="N116" s="828">
        <v>45824</v>
      </c>
      <c r="O116" s="824"/>
      <c r="P116" s="824" t="s">
        <v>113</v>
      </c>
      <c r="Q116" s="633"/>
      <c r="R116" s="829">
        <v>45768</v>
      </c>
      <c r="S116" s="829" t="s">
        <v>70</v>
      </c>
      <c r="T116" s="829">
        <v>45786</v>
      </c>
      <c r="U116" s="829"/>
      <c r="V116" s="829"/>
      <c r="W116" s="829"/>
      <c r="X116" s="628" t="s">
        <v>614</v>
      </c>
      <c r="Y116" s="828" t="s">
        <v>615</v>
      </c>
      <c r="Z116" s="1306">
        <v>4.1</v>
      </c>
      <c r="AA116" s="831">
        <f t="shared" si="31"/>
        <v>6740.4</v>
      </c>
      <c r="AC116" s="632" t="s">
        <v>616</v>
      </c>
      <c r="AD116" s="1312" t="s">
        <v>68</v>
      </c>
      <c r="AE116" s="633" t="s">
        <v>82</v>
      </c>
      <c r="AF116" s="633"/>
      <c r="AG116" s="618" t="s">
        <v>74</v>
      </c>
      <c r="AH116" s="618"/>
      <c r="AI116" s="1308">
        <v>1644</v>
      </c>
      <c r="AJ116" s="824">
        <f t="shared" si="25"/>
        <v>0</v>
      </c>
      <c r="AK116" s="633"/>
      <c r="AL116" s="633"/>
      <c r="AM116" s="633"/>
      <c r="AN116" s="825">
        <f t="shared" si="26"/>
        <v>1644</v>
      </c>
      <c r="AO116" s="687"/>
      <c r="AP116" s="687"/>
      <c r="AQ116" s="687"/>
      <c r="AR116" s="825">
        <f>I116</f>
        <v>1644</v>
      </c>
      <c r="AS116" s="687"/>
      <c r="AT116" s="687"/>
      <c r="AU116" s="825">
        <f t="shared" si="29"/>
        <v>1644</v>
      </c>
      <c r="AV116" s="825"/>
      <c r="AW116" s="825">
        <f t="shared" si="30"/>
        <v>1644</v>
      </c>
      <c r="AX116" s="825"/>
      <c r="AY116" s="1305"/>
      <c r="AZ116" s="1305"/>
      <c r="BA116" s="1305"/>
      <c r="BB116" s="1305"/>
      <c r="BC116" s="1305"/>
      <c r="BD116" s="1305"/>
      <c r="BE116" s="1305"/>
      <c r="BF116" s="1305"/>
      <c r="BG116" s="1305"/>
      <c r="BH116" s="1305"/>
      <c r="BI116" s="1305"/>
      <c r="BJ116" s="1305"/>
      <c r="BK116" s="1305"/>
      <c r="BL116" s="1305"/>
      <c r="BM116" s="1305"/>
      <c r="BN116" s="1305"/>
      <c r="BO116" s="1305"/>
      <c r="BP116" s="1305"/>
    </row>
    <row r="117" s="1265" customFormat="1" ht="31" customHeight="1" spans="1:68">
      <c r="A117" s="1304">
        <v>45775</v>
      </c>
      <c r="B117" s="822" t="s">
        <v>143</v>
      </c>
      <c r="C117" s="633" t="s">
        <v>98</v>
      </c>
      <c r="D117" s="825">
        <v>4500162973</v>
      </c>
      <c r="E117" s="633" t="s">
        <v>617</v>
      </c>
      <c r="F117" s="1305" t="s">
        <v>618</v>
      </c>
      <c r="G117" s="659" t="s">
        <v>101</v>
      </c>
      <c r="H117" s="633" t="s">
        <v>102</v>
      </c>
      <c r="I117" s="633">
        <v>1184</v>
      </c>
      <c r="J117" s="633">
        <v>0</v>
      </c>
      <c r="K117" s="633">
        <v>4</v>
      </c>
      <c r="L117" s="827">
        <f t="shared" si="17"/>
        <v>296</v>
      </c>
      <c r="M117" s="828">
        <v>45819</v>
      </c>
      <c r="N117" s="828">
        <f>M117-4</f>
        <v>45815</v>
      </c>
      <c r="O117" s="824"/>
      <c r="P117" s="824" t="s">
        <v>113</v>
      </c>
      <c r="Q117" s="633"/>
      <c r="R117" s="829" t="s">
        <v>483</v>
      </c>
      <c r="S117" s="829" t="s">
        <v>70</v>
      </c>
      <c r="T117" s="829" t="s">
        <v>148</v>
      </c>
      <c r="U117" s="829"/>
      <c r="V117" s="774" t="s">
        <v>148</v>
      </c>
      <c r="W117" s="829"/>
      <c r="X117" s="822" t="s">
        <v>369</v>
      </c>
      <c r="Y117" s="828" t="s">
        <v>106</v>
      </c>
      <c r="Z117" s="1306">
        <v>3.06</v>
      </c>
      <c r="AA117" s="831">
        <f t="shared" si="31"/>
        <v>3623.04</v>
      </c>
      <c r="AC117" s="632"/>
      <c r="AD117" s="1312" t="s">
        <v>101</v>
      </c>
      <c r="AE117" s="633" t="s">
        <v>82</v>
      </c>
      <c r="AF117" s="633"/>
      <c r="AG117" s="618" t="s">
        <v>74</v>
      </c>
      <c r="AH117" s="618"/>
      <c r="AI117" s="1308">
        <v>1184</v>
      </c>
      <c r="AJ117" s="824">
        <f t="shared" si="25"/>
        <v>0</v>
      </c>
      <c r="AK117" s="633"/>
      <c r="AL117" s="633"/>
      <c r="AM117" s="633"/>
      <c r="AN117" s="825">
        <f t="shared" si="26"/>
        <v>1184</v>
      </c>
      <c r="AO117" s="687"/>
      <c r="AP117" s="687"/>
      <c r="AQ117" s="687"/>
      <c r="AR117" s="825">
        <f>I117</f>
        <v>1184</v>
      </c>
      <c r="AS117" s="687"/>
      <c r="AT117" s="687"/>
      <c r="AU117" s="825">
        <f t="shared" si="29"/>
        <v>1184</v>
      </c>
      <c r="AV117" s="825"/>
      <c r="AW117" s="825">
        <f t="shared" si="30"/>
        <v>1184</v>
      </c>
      <c r="AX117" s="825"/>
      <c r="AY117" s="1305"/>
      <c r="AZ117" s="1305"/>
      <c r="BA117" s="1305"/>
      <c r="BB117" s="1305"/>
      <c r="BC117" s="1305"/>
      <c r="BD117" s="1305"/>
      <c r="BE117" s="1305"/>
      <c r="BF117" s="1305"/>
      <c r="BG117" s="1305"/>
      <c r="BH117" s="825">
        <f>I117/4</f>
        <v>296</v>
      </c>
      <c r="BI117" s="1305"/>
      <c r="BJ117" s="1305"/>
      <c r="BK117" s="1305"/>
      <c r="BL117" s="1305"/>
      <c r="BM117" s="1305"/>
      <c r="BN117" s="1305"/>
      <c r="BO117" s="1305"/>
      <c r="BP117" s="1305"/>
    </row>
    <row r="118" s="1265" customFormat="1" ht="31" customHeight="1" spans="1:68">
      <c r="A118" s="1304">
        <v>45775</v>
      </c>
      <c r="B118" s="822" t="s">
        <v>143</v>
      </c>
      <c r="C118" s="633" t="s">
        <v>98</v>
      </c>
      <c r="D118" s="825">
        <v>4500162973</v>
      </c>
      <c r="E118" s="633" t="s">
        <v>619</v>
      </c>
      <c r="F118" s="1305" t="s">
        <v>620</v>
      </c>
      <c r="G118" s="659" t="s">
        <v>101</v>
      </c>
      <c r="H118" s="633" t="s">
        <v>102</v>
      </c>
      <c r="I118" s="633">
        <v>980</v>
      </c>
      <c r="J118" s="633">
        <v>0</v>
      </c>
      <c r="K118" s="633">
        <v>4</v>
      </c>
      <c r="L118" s="827">
        <f t="shared" si="17"/>
        <v>245</v>
      </c>
      <c r="M118" s="828">
        <v>45819</v>
      </c>
      <c r="N118" s="828">
        <f>M118-4</f>
        <v>45815</v>
      </c>
      <c r="O118" s="824"/>
      <c r="P118" s="824" t="s">
        <v>113</v>
      </c>
      <c r="Q118" s="633"/>
      <c r="R118" s="829" t="s">
        <v>483</v>
      </c>
      <c r="S118" s="829" t="s">
        <v>70</v>
      </c>
      <c r="T118" s="829" t="s">
        <v>148</v>
      </c>
      <c r="U118" s="829"/>
      <c r="V118" s="774" t="s">
        <v>148</v>
      </c>
      <c r="W118" s="829"/>
      <c r="X118" s="822" t="s">
        <v>369</v>
      </c>
      <c r="Y118" s="828" t="s">
        <v>106</v>
      </c>
      <c r="Z118" s="1306">
        <v>3.06</v>
      </c>
      <c r="AA118" s="831">
        <f t="shared" si="31"/>
        <v>2998.8</v>
      </c>
      <c r="AC118" s="632"/>
      <c r="AD118" s="1312" t="s">
        <v>101</v>
      </c>
      <c r="AE118" s="633" t="s">
        <v>82</v>
      </c>
      <c r="AF118" s="633"/>
      <c r="AG118" s="618" t="s">
        <v>74</v>
      </c>
      <c r="AH118" s="618"/>
      <c r="AI118" s="1308">
        <v>980</v>
      </c>
      <c r="AJ118" s="824">
        <f t="shared" si="25"/>
        <v>0</v>
      </c>
      <c r="AK118" s="633"/>
      <c r="AL118" s="633"/>
      <c r="AM118" s="633"/>
      <c r="AN118" s="825">
        <f t="shared" si="26"/>
        <v>980</v>
      </c>
      <c r="AO118" s="687"/>
      <c r="AP118" s="687"/>
      <c r="AQ118" s="687"/>
      <c r="AR118" s="825">
        <f>I118</f>
        <v>980</v>
      </c>
      <c r="AS118" s="687"/>
      <c r="AT118" s="687"/>
      <c r="AU118" s="825">
        <f t="shared" si="29"/>
        <v>980</v>
      </c>
      <c r="AV118" s="825"/>
      <c r="AW118" s="825">
        <f t="shared" si="30"/>
        <v>980</v>
      </c>
      <c r="AX118" s="825"/>
      <c r="AY118" s="1305"/>
      <c r="AZ118" s="1305"/>
      <c r="BA118" s="1305"/>
      <c r="BB118" s="1305"/>
      <c r="BC118" s="1305"/>
      <c r="BD118" s="1305"/>
      <c r="BE118" s="1305"/>
      <c r="BF118" s="1305"/>
      <c r="BG118" s="1305"/>
      <c r="BH118" s="825">
        <f>I118/4</f>
        <v>245</v>
      </c>
      <c r="BI118" s="1305"/>
      <c r="BJ118" s="1305"/>
      <c r="BK118" s="1305"/>
      <c r="BL118" s="1305"/>
      <c r="BM118" s="1305"/>
      <c r="BN118" s="1305"/>
      <c r="BO118" s="1305"/>
      <c r="BP118" s="1305"/>
    </row>
    <row r="119" s="1265" customFormat="1" ht="31" customHeight="1" spans="1:68">
      <c r="A119" s="1304">
        <v>45791</v>
      </c>
      <c r="B119" s="822" t="s">
        <v>621</v>
      </c>
      <c r="C119" s="633" t="s">
        <v>302</v>
      </c>
      <c r="D119" s="825">
        <v>4500169682</v>
      </c>
      <c r="E119" s="633">
        <v>5200006790</v>
      </c>
      <c r="F119" s="825" t="s">
        <v>622</v>
      </c>
      <c r="G119" s="659" t="s">
        <v>385</v>
      </c>
      <c r="H119" s="633" t="s">
        <v>386</v>
      </c>
      <c r="I119" s="633">
        <v>1880</v>
      </c>
      <c r="J119" s="633">
        <v>0</v>
      </c>
      <c r="K119" s="633">
        <v>4</v>
      </c>
      <c r="L119" s="827">
        <f t="shared" si="17"/>
        <v>470</v>
      </c>
      <c r="M119" s="828">
        <v>45819</v>
      </c>
      <c r="N119" s="828">
        <v>45815</v>
      </c>
      <c r="O119" s="824" t="s">
        <v>623</v>
      </c>
      <c r="P119" s="824" t="s">
        <v>113</v>
      </c>
      <c r="Q119" s="633"/>
      <c r="R119" s="829">
        <v>45789</v>
      </c>
      <c r="S119" s="829" t="s">
        <v>70</v>
      </c>
      <c r="T119" s="829" t="s">
        <v>624</v>
      </c>
      <c r="U119" s="829"/>
      <c r="V119" s="829"/>
      <c r="W119" s="829"/>
      <c r="X119" s="822" t="s">
        <v>625</v>
      </c>
      <c r="Y119" s="1014" t="s">
        <v>305</v>
      </c>
      <c r="Z119" s="1306">
        <v>4.1792</v>
      </c>
      <c r="AA119" s="831">
        <f t="shared" si="31"/>
        <v>7856.896</v>
      </c>
      <c r="AC119" s="1307" t="s">
        <v>626</v>
      </c>
      <c r="AD119" s="1309" t="s">
        <v>390</v>
      </c>
      <c r="AE119" s="633" t="s">
        <v>82</v>
      </c>
      <c r="AF119" s="633"/>
      <c r="AG119" s="618" t="s">
        <v>74</v>
      </c>
      <c r="AH119" s="618"/>
      <c r="AI119" s="1308">
        <v>1880</v>
      </c>
      <c r="AJ119" s="824">
        <f t="shared" si="25"/>
        <v>0</v>
      </c>
      <c r="AK119" s="633"/>
      <c r="AL119" s="633"/>
      <c r="AM119" s="633"/>
      <c r="AN119" s="825">
        <f t="shared" si="26"/>
        <v>1880</v>
      </c>
      <c r="AO119" s="687"/>
      <c r="AP119" s="687"/>
      <c r="AQ119" s="687"/>
      <c r="AR119" s="825"/>
      <c r="AS119" s="687">
        <f>I119</f>
        <v>1880</v>
      </c>
      <c r="AT119" s="687"/>
      <c r="AU119" s="825">
        <f t="shared" si="29"/>
        <v>1880</v>
      </c>
      <c r="AV119" s="825"/>
      <c r="AW119" s="825">
        <f t="shared" si="30"/>
        <v>1880</v>
      </c>
      <c r="AX119" s="825"/>
      <c r="AY119" s="1305"/>
      <c r="AZ119" s="1305"/>
      <c r="BA119" s="1305"/>
      <c r="BB119" s="1305"/>
      <c r="BC119" s="1305"/>
      <c r="BD119" s="1305"/>
      <c r="BE119" s="1305"/>
      <c r="BF119" s="1305"/>
      <c r="BG119" s="1305"/>
      <c r="BH119" s="1305"/>
      <c r="BI119" s="1305"/>
      <c r="BJ119" s="1305"/>
      <c r="BK119" s="1305"/>
      <c r="BL119" s="1305"/>
      <c r="BM119" s="1305"/>
      <c r="BN119" s="1305"/>
      <c r="BO119" s="1305"/>
      <c r="BP119" s="1305"/>
    </row>
    <row r="120" s="1265" customFormat="1" ht="31" customHeight="1" spans="1:68">
      <c r="A120" s="1304">
        <v>45769</v>
      </c>
      <c r="B120" s="822" t="s">
        <v>169</v>
      </c>
      <c r="C120" s="633" t="s">
        <v>170</v>
      </c>
      <c r="D120" s="825">
        <v>4500160810</v>
      </c>
      <c r="E120" s="633">
        <v>9900924261</v>
      </c>
      <c r="F120" s="1305" t="s">
        <v>627</v>
      </c>
      <c r="G120" s="659" t="s">
        <v>172</v>
      </c>
      <c r="H120" s="633" t="s">
        <v>112</v>
      </c>
      <c r="I120" s="633">
        <v>1996</v>
      </c>
      <c r="J120" s="633">
        <v>0</v>
      </c>
      <c r="K120" s="633">
        <v>2</v>
      </c>
      <c r="L120" s="827">
        <f t="shared" si="17"/>
        <v>998</v>
      </c>
      <c r="M120" s="828">
        <v>45821</v>
      </c>
      <c r="N120" s="828">
        <v>45817</v>
      </c>
      <c r="O120" s="824"/>
      <c r="P120" s="824" t="s">
        <v>113</v>
      </c>
      <c r="Q120" s="633"/>
      <c r="R120" s="829">
        <v>45784</v>
      </c>
      <c r="S120" s="829" t="s">
        <v>70</v>
      </c>
      <c r="T120" s="829" t="s">
        <v>628</v>
      </c>
      <c r="U120" s="829"/>
      <c r="V120" s="829"/>
      <c r="W120" s="829"/>
      <c r="X120" s="822" t="s">
        <v>629</v>
      </c>
      <c r="Y120" s="828" t="s">
        <v>175</v>
      </c>
      <c r="Z120" s="1306">
        <v>4.1</v>
      </c>
      <c r="AA120" s="831">
        <f t="shared" si="31"/>
        <v>8183.6</v>
      </c>
      <c r="AC120" s="1307" t="s">
        <v>630</v>
      </c>
      <c r="AD120" s="633" t="s">
        <v>172</v>
      </c>
      <c r="AE120" s="633" t="s">
        <v>82</v>
      </c>
      <c r="AF120" s="633"/>
      <c r="AG120" s="618" t="s">
        <v>74</v>
      </c>
      <c r="AH120" s="618"/>
      <c r="AI120" s="1308">
        <v>1996</v>
      </c>
      <c r="AJ120" s="824">
        <f t="shared" si="25"/>
        <v>0</v>
      </c>
      <c r="AK120" s="633"/>
      <c r="AL120" s="633"/>
      <c r="AM120" s="633"/>
      <c r="AN120" s="825">
        <f t="shared" si="26"/>
        <v>1996</v>
      </c>
      <c r="AO120" s="687"/>
      <c r="AP120" s="687"/>
      <c r="AQ120" s="687"/>
      <c r="AR120" s="825"/>
      <c r="AS120" s="687">
        <f>I120</f>
        <v>1996</v>
      </c>
      <c r="AT120" s="687"/>
      <c r="AU120" s="825">
        <f t="shared" si="29"/>
        <v>1996</v>
      </c>
      <c r="AV120" s="825"/>
      <c r="AW120" s="825">
        <f t="shared" si="30"/>
        <v>1996</v>
      </c>
      <c r="AX120" s="825"/>
      <c r="AY120" s="1305"/>
      <c r="AZ120" s="1305"/>
      <c r="BA120" s="1305"/>
      <c r="BB120" s="1305"/>
      <c r="BC120" s="1305"/>
      <c r="BD120" s="1305"/>
      <c r="BE120" s="1305"/>
      <c r="BF120" s="1305"/>
      <c r="BG120" s="1305"/>
      <c r="BH120" s="1305"/>
      <c r="BI120" s="1305"/>
      <c r="BJ120" s="1305"/>
      <c r="BK120" s="1305"/>
      <c r="BL120" s="1305"/>
      <c r="BM120" s="1305"/>
      <c r="BN120" s="1305"/>
      <c r="BO120" s="1305"/>
      <c r="BP120" s="1305"/>
    </row>
    <row r="121" s="1265" customFormat="1" ht="31" customHeight="1" spans="1:68">
      <c r="A121" s="1304">
        <v>45768</v>
      </c>
      <c r="B121" s="822" t="s">
        <v>256</v>
      </c>
      <c r="C121" s="633" t="s">
        <v>278</v>
      </c>
      <c r="D121" s="825">
        <v>4500164473</v>
      </c>
      <c r="E121" s="633">
        <v>4400474095</v>
      </c>
      <c r="F121" s="1305" t="s">
        <v>631</v>
      </c>
      <c r="G121" s="659" t="s">
        <v>164</v>
      </c>
      <c r="H121" s="633" t="s">
        <v>112</v>
      </c>
      <c r="I121" s="633">
        <v>3000</v>
      </c>
      <c r="J121" s="633">
        <v>0</v>
      </c>
      <c r="K121" s="633">
        <v>8</v>
      </c>
      <c r="L121" s="827">
        <f t="shared" si="17"/>
        <v>375</v>
      </c>
      <c r="M121" s="828">
        <v>45821</v>
      </c>
      <c r="N121" s="828">
        <v>45822</v>
      </c>
      <c r="O121" s="824"/>
      <c r="P121" s="824" t="s">
        <v>113</v>
      </c>
      <c r="Q121" s="633"/>
      <c r="R121" s="829">
        <v>45769</v>
      </c>
      <c r="S121" s="829" t="s">
        <v>70</v>
      </c>
      <c r="T121" s="829" t="s">
        <v>536</v>
      </c>
      <c r="U121" s="829"/>
      <c r="V121" s="829"/>
      <c r="W121" s="829"/>
      <c r="X121" s="822" t="s">
        <v>632</v>
      </c>
      <c r="Y121" s="828" t="s">
        <v>261</v>
      </c>
      <c r="Z121" s="1306">
        <v>5</v>
      </c>
      <c r="AA121" s="831">
        <f t="shared" si="31"/>
        <v>15000</v>
      </c>
      <c r="AC121" s="1307" t="s">
        <v>633</v>
      </c>
      <c r="AD121" s="633" t="s">
        <v>164</v>
      </c>
      <c r="AE121" s="633" t="s">
        <v>82</v>
      </c>
      <c r="AF121" s="633"/>
      <c r="AG121" s="618" t="s">
        <v>74</v>
      </c>
      <c r="AH121" s="618"/>
      <c r="AI121" s="1308">
        <v>3000</v>
      </c>
      <c r="AJ121" s="824">
        <f t="shared" si="25"/>
        <v>0</v>
      </c>
      <c r="AK121" s="633"/>
      <c r="AL121" s="633"/>
      <c r="AM121" s="633"/>
      <c r="AN121" s="825">
        <f t="shared" si="26"/>
        <v>3000</v>
      </c>
      <c r="AO121" s="687"/>
      <c r="AP121" s="687"/>
      <c r="AQ121" s="687"/>
      <c r="AR121" s="825"/>
      <c r="AS121" s="687"/>
      <c r="AT121" s="687"/>
      <c r="AU121" s="825"/>
      <c r="AV121" s="825"/>
      <c r="AW121" s="825">
        <f t="shared" si="30"/>
        <v>3000</v>
      </c>
      <c r="AX121" s="825"/>
      <c r="AY121" s="1305"/>
      <c r="AZ121" s="1305"/>
      <c r="BA121" s="1305"/>
      <c r="BB121" s="1305"/>
      <c r="BC121" s="1305"/>
      <c r="BD121" s="825">
        <f>I121</f>
        <v>3000</v>
      </c>
      <c r="BE121" s="825">
        <f>I121</f>
        <v>3000</v>
      </c>
      <c r="BF121" s="1305"/>
      <c r="BG121" s="1305"/>
      <c r="BH121" s="1305"/>
      <c r="BI121" s="825">
        <f>I121/4</f>
        <v>750</v>
      </c>
      <c r="BJ121" s="1305"/>
      <c r="BK121" s="1305"/>
      <c r="BL121" s="1305"/>
      <c r="BM121" s="1305"/>
      <c r="BN121" s="1305"/>
      <c r="BO121" s="1305"/>
      <c r="BP121" s="1305"/>
    </row>
    <row r="122" s="1265" customFormat="1" ht="31" customHeight="1" spans="1:68">
      <c r="A122" s="1304">
        <v>45790</v>
      </c>
      <c r="B122" s="822" t="s">
        <v>634</v>
      </c>
      <c r="C122" s="633" t="s">
        <v>469</v>
      </c>
      <c r="D122" s="825">
        <v>4500164022</v>
      </c>
      <c r="E122" s="633">
        <v>4500152584</v>
      </c>
      <c r="F122" s="1305" t="s">
        <v>635</v>
      </c>
      <c r="G122" s="659" t="s">
        <v>68</v>
      </c>
      <c r="H122" s="633" t="s">
        <v>69</v>
      </c>
      <c r="I122" s="633">
        <v>504</v>
      </c>
      <c r="J122" s="633">
        <v>0</v>
      </c>
      <c r="K122" s="633">
        <v>12</v>
      </c>
      <c r="L122" s="827">
        <f t="shared" si="17"/>
        <v>42</v>
      </c>
      <c r="M122" s="828">
        <v>45822</v>
      </c>
      <c r="N122" s="828">
        <v>45822</v>
      </c>
      <c r="O122" s="824"/>
      <c r="P122" s="824" t="s">
        <v>113</v>
      </c>
      <c r="Q122" s="633" t="s">
        <v>636</v>
      </c>
      <c r="R122" s="829">
        <v>45768</v>
      </c>
      <c r="S122" s="829" t="s">
        <v>70</v>
      </c>
      <c r="T122" s="829">
        <v>45776</v>
      </c>
      <c r="U122" s="829"/>
      <c r="V122" s="829"/>
      <c r="W122" s="829"/>
      <c r="X122" s="822" t="s">
        <v>637</v>
      </c>
      <c r="Y122" s="828" t="s">
        <v>638</v>
      </c>
      <c r="Z122" s="1306">
        <v>4.1</v>
      </c>
      <c r="AA122" s="831">
        <f t="shared" si="31"/>
        <v>2066.4</v>
      </c>
      <c r="AC122" s="1307" t="s">
        <v>639</v>
      </c>
      <c r="AD122" s="633" t="s">
        <v>474</v>
      </c>
      <c r="AE122" s="633" t="s">
        <v>82</v>
      </c>
      <c r="AF122" s="633"/>
      <c r="AG122" s="618" t="s">
        <v>74</v>
      </c>
      <c r="AH122" s="618"/>
      <c r="AI122" s="1308">
        <v>504</v>
      </c>
      <c r="AJ122" s="824">
        <f t="shared" si="25"/>
        <v>0</v>
      </c>
      <c r="AK122" s="633"/>
      <c r="AL122" s="633"/>
      <c r="AM122" s="633"/>
      <c r="AN122" s="825">
        <f t="shared" si="26"/>
        <v>504</v>
      </c>
      <c r="AO122" s="687"/>
      <c r="AP122" s="687"/>
      <c r="AQ122" s="687"/>
      <c r="AR122" s="825"/>
      <c r="AS122" s="687"/>
      <c r="AT122" s="687"/>
      <c r="AU122" s="825"/>
      <c r="AV122" s="825"/>
      <c r="AW122" s="825">
        <f t="shared" si="30"/>
        <v>504</v>
      </c>
      <c r="AX122" s="825"/>
      <c r="AY122" s="1305"/>
      <c r="AZ122" s="1305"/>
      <c r="BA122" s="1305"/>
      <c r="BB122" s="1305"/>
      <c r="BC122" s="1305"/>
      <c r="BD122" s="1305">
        <f>I122</f>
        <v>504</v>
      </c>
      <c r="BE122" s="1305">
        <f>I122</f>
        <v>504</v>
      </c>
      <c r="BF122" s="1305"/>
      <c r="BG122" s="1305"/>
      <c r="BH122" s="1305"/>
      <c r="BI122" s="1305"/>
      <c r="BJ122" s="1305"/>
      <c r="BK122" s="1305"/>
      <c r="BL122" s="1305"/>
      <c r="BM122" s="1305"/>
      <c r="BN122" s="1305"/>
      <c r="BO122" s="1305"/>
      <c r="BP122" s="1305"/>
    </row>
    <row r="123" s="1265" customFormat="1" ht="31" customHeight="1" spans="1:68">
      <c r="A123" s="1304">
        <v>45777</v>
      </c>
      <c r="B123" s="822" t="s">
        <v>640</v>
      </c>
      <c r="C123" s="633" t="s">
        <v>641</v>
      </c>
      <c r="D123" s="825">
        <v>4500165525</v>
      </c>
      <c r="E123" s="633"/>
      <c r="F123" s="1305" t="s">
        <v>642</v>
      </c>
      <c r="G123" s="659" t="s">
        <v>111</v>
      </c>
      <c r="H123" s="633" t="s">
        <v>112</v>
      </c>
      <c r="I123" s="633">
        <v>640</v>
      </c>
      <c r="J123" s="633">
        <v>0</v>
      </c>
      <c r="K123" s="633">
        <v>16</v>
      </c>
      <c r="L123" s="827">
        <f t="shared" si="17"/>
        <v>40</v>
      </c>
      <c r="M123" s="828">
        <v>45823</v>
      </c>
      <c r="N123" s="828">
        <v>45823</v>
      </c>
      <c r="O123" s="824"/>
      <c r="P123" s="824" t="s">
        <v>113</v>
      </c>
      <c r="Q123" s="633" t="s">
        <v>643</v>
      </c>
      <c r="R123" s="829">
        <v>45792</v>
      </c>
      <c r="S123" s="829" t="s">
        <v>70</v>
      </c>
      <c r="T123" s="829">
        <v>45792</v>
      </c>
      <c r="U123" s="829"/>
      <c r="V123" s="829"/>
      <c r="W123" s="829"/>
      <c r="X123" s="628" t="s">
        <v>644</v>
      </c>
      <c r="Y123" s="828" t="s">
        <v>645</v>
      </c>
      <c r="Z123" s="1306">
        <v>4.2542</v>
      </c>
      <c r="AA123" s="831">
        <f t="shared" si="31"/>
        <v>2722.688</v>
      </c>
      <c r="AC123" s="1307" t="s">
        <v>646</v>
      </c>
      <c r="AD123" s="633" t="s">
        <v>447</v>
      </c>
      <c r="AE123" s="633" t="s">
        <v>82</v>
      </c>
      <c r="AF123" s="633"/>
      <c r="AG123" s="618" t="s">
        <v>74</v>
      </c>
      <c r="AH123" s="618"/>
      <c r="AI123" s="1308">
        <v>640</v>
      </c>
      <c r="AJ123" s="824">
        <f t="shared" si="25"/>
        <v>0</v>
      </c>
      <c r="AK123" s="633"/>
      <c r="AL123" s="633"/>
      <c r="AM123" s="633"/>
      <c r="AN123" s="825">
        <f t="shared" si="26"/>
        <v>640</v>
      </c>
      <c r="AO123" s="687"/>
      <c r="AP123" s="687"/>
      <c r="AQ123" s="687"/>
      <c r="AR123" s="825"/>
      <c r="AS123" s="687">
        <f>I123</f>
        <v>640</v>
      </c>
      <c r="AT123" s="687"/>
      <c r="AU123" s="825">
        <f t="shared" ref="AU123:AU128" si="32">I123</f>
        <v>640</v>
      </c>
      <c r="AV123" s="825"/>
      <c r="AW123" s="825">
        <f t="shared" si="30"/>
        <v>640</v>
      </c>
      <c r="AX123" s="825"/>
      <c r="AY123" s="1305"/>
      <c r="AZ123" s="1305"/>
      <c r="BA123" s="1305"/>
      <c r="BB123" s="1305"/>
      <c r="BC123" s="1305"/>
      <c r="BD123" s="1305"/>
      <c r="BE123" s="1305"/>
      <c r="BF123" s="1305"/>
      <c r="BG123" s="1305"/>
      <c r="BH123" s="1305"/>
      <c r="BI123" s="825">
        <f>I123/4</f>
        <v>160</v>
      </c>
      <c r="BJ123" s="1305"/>
      <c r="BK123" s="1305"/>
      <c r="BL123" s="1305"/>
      <c r="BM123" s="1305"/>
      <c r="BN123" s="1305"/>
      <c r="BO123" s="1305"/>
      <c r="BP123" s="1305"/>
    </row>
    <row r="124" s="1265" customFormat="1" ht="31" customHeight="1" spans="1:68">
      <c r="A124" s="1304">
        <v>45818</v>
      </c>
      <c r="B124" s="822"/>
      <c r="C124" s="633"/>
      <c r="D124" s="825" t="s">
        <v>647</v>
      </c>
      <c r="E124" s="633"/>
      <c r="F124" s="1305"/>
      <c r="G124" s="659" t="s">
        <v>68</v>
      </c>
      <c r="H124" s="633" t="s">
        <v>69</v>
      </c>
      <c r="I124" s="633">
        <v>8</v>
      </c>
      <c r="J124" s="633">
        <v>0</v>
      </c>
      <c r="K124" s="633">
        <v>12</v>
      </c>
      <c r="L124" s="827">
        <f t="shared" si="17"/>
        <v>0.666666666666667</v>
      </c>
      <c r="M124" s="828">
        <v>45821</v>
      </c>
      <c r="N124" s="828">
        <v>45817</v>
      </c>
      <c r="O124" s="824"/>
      <c r="P124" s="824"/>
      <c r="Q124" s="633"/>
      <c r="R124" s="829" t="s">
        <v>70</v>
      </c>
      <c r="S124" s="829" t="s">
        <v>70</v>
      </c>
      <c r="T124" s="829" t="s">
        <v>70</v>
      </c>
      <c r="U124" s="829"/>
      <c r="V124" s="829"/>
      <c r="W124" s="829"/>
      <c r="X124" s="822" t="s">
        <v>648</v>
      </c>
      <c r="Y124" s="828" t="s">
        <v>85</v>
      </c>
      <c r="Z124" s="1306"/>
      <c r="AA124" s="831"/>
      <c r="AB124" s="1265"/>
      <c r="AC124" s="617" t="s">
        <v>649</v>
      </c>
      <c r="AD124" s="633" t="s">
        <v>184</v>
      </c>
      <c r="AE124" s="633" t="s">
        <v>73</v>
      </c>
      <c r="AF124" s="633"/>
      <c r="AG124" s="618" t="s">
        <v>74</v>
      </c>
      <c r="AH124" s="618"/>
      <c r="AI124" s="1308">
        <v>8</v>
      </c>
      <c r="AJ124" s="824">
        <f t="shared" si="25"/>
        <v>0</v>
      </c>
      <c r="AK124" s="633"/>
      <c r="AL124" s="633"/>
      <c r="AM124" s="633"/>
      <c r="AN124" s="825">
        <f t="shared" si="26"/>
        <v>8</v>
      </c>
      <c r="AO124" s="687"/>
      <c r="AP124" s="687"/>
      <c r="AQ124" s="687"/>
      <c r="AR124" s="825"/>
      <c r="AS124" s="687">
        <f>I124</f>
        <v>8</v>
      </c>
      <c r="AT124" s="687"/>
      <c r="AU124" s="825">
        <f t="shared" si="32"/>
        <v>8</v>
      </c>
      <c r="AV124" s="825"/>
      <c r="AW124" s="825"/>
      <c r="AX124" s="825"/>
      <c r="AY124" s="1305"/>
      <c r="AZ124" s="1305"/>
      <c r="BA124" s="1305"/>
      <c r="BB124" s="1305"/>
      <c r="BC124" s="1305"/>
      <c r="BD124" s="1305"/>
      <c r="BE124" s="1305"/>
      <c r="BF124" s="1305"/>
      <c r="BG124" s="1305"/>
      <c r="BH124" s="1305"/>
      <c r="BI124" s="1305"/>
      <c r="BJ124" s="1305"/>
      <c r="BK124" s="1305"/>
      <c r="BL124" s="1305"/>
      <c r="BM124" s="1305"/>
      <c r="BN124" s="1305"/>
      <c r="BO124" s="1305"/>
      <c r="BP124" s="1305"/>
    </row>
    <row r="125" s="1265" customFormat="1" ht="31" customHeight="1" spans="1:68">
      <c r="A125" s="1304">
        <v>45775</v>
      </c>
      <c r="B125" s="822" t="s">
        <v>650</v>
      </c>
      <c r="C125" s="633" t="s">
        <v>424</v>
      </c>
      <c r="D125" s="825">
        <v>4500160445</v>
      </c>
      <c r="E125" s="633">
        <v>300565966</v>
      </c>
      <c r="F125" s="1305" t="s">
        <v>651</v>
      </c>
      <c r="G125" s="659" t="s">
        <v>68</v>
      </c>
      <c r="H125" s="633" t="s">
        <v>69</v>
      </c>
      <c r="I125" s="633">
        <v>240</v>
      </c>
      <c r="J125" s="633">
        <v>0</v>
      </c>
      <c r="K125" s="633">
        <v>12</v>
      </c>
      <c r="L125" s="827">
        <f t="shared" si="17"/>
        <v>20</v>
      </c>
      <c r="M125" s="828">
        <v>45817</v>
      </c>
      <c r="N125" s="828">
        <v>45820</v>
      </c>
      <c r="O125" s="824"/>
      <c r="P125" s="824" t="s">
        <v>113</v>
      </c>
      <c r="Q125" s="633"/>
      <c r="R125" s="829">
        <v>45775</v>
      </c>
      <c r="S125" s="829" t="s">
        <v>70</v>
      </c>
      <c r="T125" s="829">
        <v>45790</v>
      </c>
      <c r="U125" s="829"/>
      <c r="V125" s="829"/>
      <c r="W125" s="829"/>
      <c r="X125" s="628" t="s">
        <v>652</v>
      </c>
      <c r="Y125" s="828" t="s">
        <v>428</v>
      </c>
      <c r="Z125" s="1306">
        <v>4.1</v>
      </c>
      <c r="AA125" s="831">
        <f t="shared" ref="AA125:AA156" si="33">Z125*I125</f>
        <v>984</v>
      </c>
      <c r="AC125" s="1307" t="s">
        <v>653</v>
      </c>
      <c r="AD125" s="633" t="s">
        <v>184</v>
      </c>
      <c r="AE125" s="633" t="s">
        <v>82</v>
      </c>
      <c r="AF125" s="633"/>
      <c r="AG125" s="618" t="s">
        <v>74</v>
      </c>
      <c r="AH125" s="618"/>
      <c r="AI125" s="1308">
        <v>240</v>
      </c>
      <c r="AJ125" s="824">
        <f t="shared" si="25"/>
        <v>0</v>
      </c>
      <c r="AK125" s="633"/>
      <c r="AL125" s="633"/>
      <c r="AM125" s="633"/>
      <c r="AN125" s="825">
        <f t="shared" si="26"/>
        <v>240</v>
      </c>
      <c r="AO125" s="687"/>
      <c r="AP125" s="687"/>
      <c r="AQ125" s="687"/>
      <c r="AR125" s="825"/>
      <c r="AS125" s="687">
        <f>I125</f>
        <v>240</v>
      </c>
      <c r="AT125" s="687"/>
      <c r="AU125" s="825">
        <f t="shared" si="32"/>
        <v>240</v>
      </c>
      <c r="AV125" s="825"/>
      <c r="AW125" s="825">
        <f>I125</f>
        <v>240</v>
      </c>
      <c r="AX125" s="825"/>
      <c r="AY125" s="1305"/>
      <c r="AZ125" s="1305"/>
      <c r="BA125" s="1305"/>
      <c r="BB125" s="1305"/>
      <c r="BC125" s="1305"/>
      <c r="BD125" s="1305"/>
      <c r="BE125" s="1305"/>
      <c r="BF125" s="1305"/>
      <c r="BG125" s="1305"/>
      <c r="BH125" s="1305"/>
      <c r="BI125" s="1305"/>
      <c r="BJ125" s="1305"/>
      <c r="BK125" s="1305"/>
      <c r="BL125" s="1305"/>
      <c r="BM125" s="1305"/>
      <c r="BN125" s="1305"/>
      <c r="BO125" s="1305"/>
      <c r="BP125" s="1305"/>
    </row>
    <row r="126" s="1265" customFormat="1" ht="31" customHeight="1" spans="1:68">
      <c r="A126" s="1304">
        <v>45779</v>
      </c>
      <c r="B126" s="822" t="s">
        <v>654</v>
      </c>
      <c r="C126" s="633" t="s">
        <v>98</v>
      </c>
      <c r="D126" s="825">
        <v>4500165547</v>
      </c>
      <c r="E126" s="633" t="s">
        <v>655</v>
      </c>
      <c r="F126" s="1305" t="s">
        <v>656</v>
      </c>
      <c r="G126" s="659" t="s">
        <v>111</v>
      </c>
      <c r="H126" s="633" t="s">
        <v>112</v>
      </c>
      <c r="I126" s="633">
        <v>432</v>
      </c>
      <c r="J126" s="633">
        <v>0</v>
      </c>
      <c r="K126" s="633">
        <v>16</v>
      </c>
      <c r="L126" s="827">
        <f t="shared" si="17"/>
        <v>27</v>
      </c>
      <c r="M126" s="828">
        <v>45821</v>
      </c>
      <c r="N126" s="828">
        <v>45821</v>
      </c>
      <c r="O126" s="824"/>
      <c r="P126" s="824" t="s">
        <v>113</v>
      </c>
      <c r="Q126" s="633"/>
      <c r="R126" s="829">
        <v>45796</v>
      </c>
      <c r="S126" s="829" t="s">
        <v>70</v>
      </c>
      <c r="T126" s="829" t="s">
        <v>70</v>
      </c>
      <c r="U126" s="829"/>
      <c r="V126" s="829"/>
      <c r="W126" s="829"/>
      <c r="X126" s="628" t="s">
        <v>657</v>
      </c>
      <c r="Y126" s="828" t="s">
        <v>658</v>
      </c>
      <c r="Z126" s="1306">
        <v>2.5525</v>
      </c>
      <c r="AA126" s="831">
        <f t="shared" si="33"/>
        <v>1102.68</v>
      </c>
      <c r="AC126" s="632"/>
      <c r="AD126" s="633" t="s">
        <v>111</v>
      </c>
      <c r="AE126" s="633" t="s">
        <v>82</v>
      </c>
      <c r="AF126" s="633"/>
      <c r="AG126" s="618" t="s">
        <v>74</v>
      </c>
      <c r="AH126" s="618"/>
      <c r="AI126" s="1308">
        <v>432</v>
      </c>
      <c r="AJ126" s="824">
        <f t="shared" si="25"/>
        <v>0</v>
      </c>
      <c r="AK126" s="633"/>
      <c r="AL126" s="633"/>
      <c r="AM126" s="633"/>
      <c r="AN126" s="825">
        <f t="shared" si="26"/>
        <v>432</v>
      </c>
      <c r="AO126" s="687"/>
      <c r="AP126" s="687"/>
      <c r="AQ126" s="687"/>
      <c r="AR126" s="825">
        <f>I126</f>
        <v>432</v>
      </c>
      <c r="AS126" s="687"/>
      <c r="AT126" s="687"/>
      <c r="AU126" s="825">
        <f t="shared" si="32"/>
        <v>432</v>
      </c>
      <c r="AV126" s="825"/>
      <c r="AW126" s="825">
        <f>I126</f>
        <v>432</v>
      </c>
      <c r="AX126" s="825"/>
      <c r="AY126" s="1305"/>
      <c r="AZ126" s="1305"/>
      <c r="BA126" s="1305"/>
      <c r="BB126" s="1305"/>
      <c r="BC126" s="1305"/>
      <c r="BD126" s="1305"/>
      <c r="BE126" s="1305"/>
      <c r="BF126" s="1305"/>
      <c r="BG126" s="1305"/>
      <c r="BH126" s="825">
        <f>I126/4</f>
        <v>108</v>
      </c>
      <c r="BI126" s="1305"/>
      <c r="BJ126" s="1305"/>
      <c r="BK126" s="1305"/>
      <c r="BL126" s="1305"/>
      <c r="BM126" s="1305"/>
      <c r="BN126" s="1305"/>
      <c r="BO126" s="1305"/>
      <c r="BP126" s="1305"/>
    </row>
    <row r="127" s="1265" customFormat="1" ht="31" customHeight="1" spans="1:68">
      <c r="A127" s="1304">
        <v>45772</v>
      </c>
      <c r="B127" s="822" t="s">
        <v>659</v>
      </c>
      <c r="C127" s="633" t="s">
        <v>660</v>
      </c>
      <c r="D127" s="825">
        <v>4500164995</v>
      </c>
      <c r="E127" s="633" t="s">
        <v>661</v>
      </c>
      <c r="F127" s="1305" t="s">
        <v>662</v>
      </c>
      <c r="G127" s="659" t="s">
        <v>111</v>
      </c>
      <c r="H127" s="633" t="s">
        <v>112</v>
      </c>
      <c r="I127" s="633">
        <v>512</v>
      </c>
      <c r="J127" s="633">
        <v>0</v>
      </c>
      <c r="K127" s="633">
        <v>16</v>
      </c>
      <c r="L127" s="827">
        <f t="shared" si="17"/>
        <v>32</v>
      </c>
      <c r="M127" s="828">
        <v>45817</v>
      </c>
      <c r="N127" s="828">
        <v>45822</v>
      </c>
      <c r="O127" s="824"/>
      <c r="P127" s="824" t="s">
        <v>113</v>
      </c>
      <c r="Q127" s="633" t="s">
        <v>663</v>
      </c>
      <c r="R127" s="829">
        <v>45783</v>
      </c>
      <c r="S127" s="829" t="s">
        <v>70</v>
      </c>
      <c r="T127" s="829">
        <v>45790</v>
      </c>
      <c r="U127" s="829"/>
      <c r="V127" s="829"/>
      <c r="W127" s="829"/>
      <c r="X127" s="628" t="s">
        <v>664</v>
      </c>
      <c r="Y127" s="828" t="s">
        <v>665</v>
      </c>
      <c r="Z127" s="1306">
        <v>4.39</v>
      </c>
      <c r="AA127" s="831">
        <f t="shared" si="33"/>
        <v>2247.68</v>
      </c>
      <c r="AC127" s="1307" t="s">
        <v>666</v>
      </c>
      <c r="AD127" s="633" t="s">
        <v>111</v>
      </c>
      <c r="AE127" s="633" t="s">
        <v>82</v>
      </c>
      <c r="AF127" s="633"/>
      <c r="AG127" s="618" t="s">
        <v>74</v>
      </c>
      <c r="AH127" s="618"/>
      <c r="AI127" s="1308">
        <v>512</v>
      </c>
      <c r="AJ127" s="824">
        <f t="shared" si="25"/>
        <v>0</v>
      </c>
      <c r="AK127" s="633"/>
      <c r="AL127" s="633"/>
      <c r="AM127" s="633"/>
      <c r="AN127" s="825">
        <f t="shared" si="26"/>
        <v>512</v>
      </c>
      <c r="AO127" s="687"/>
      <c r="AP127" s="687"/>
      <c r="AQ127" s="687"/>
      <c r="AR127" s="825">
        <f>I127</f>
        <v>512</v>
      </c>
      <c r="AS127" s="687"/>
      <c r="AT127" s="687"/>
      <c r="AU127" s="825">
        <f t="shared" si="32"/>
        <v>512</v>
      </c>
      <c r="AV127" s="825"/>
      <c r="AW127" s="834">
        <f>I127/24</f>
        <v>21.3333333333333</v>
      </c>
      <c r="AX127" s="825"/>
      <c r="AY127" s="1305"/>
      <c r="AZ127" s="1305"/>
      <c r="BA127" s="1305"/>
      <c r="BB127" s="1305"/>
      <c r="BC127" s="1305"/>
      <c r="BD127" s="1305"/>
      <c r="BE127" s="1305"/>
      <c r="BF127" s="1305"/>
      <c r="BG127" s="1305"/>
      <c r="BH127" s="825">
        <f>I127/4</f>
        <v>128</v>
      </c>
      <c r="BI127" s="1305"/>
      <c r="BJ127" s="1305"/>
      <c r="BK127" s="1305"/>
      <c r="BL127" s="1305"/>
      <c r="BM127" s="1305"/>
      <c r="BN127" s="1305"/>
      <c r="BO127" s="1305"/>
      <c r="BP127" s="1305"/>
    </row>
    <row r="128" s="1265" customFormat="1" ht="31" customHeight="1" spans="1:68">
      <c r="A128" s="1304">
        <v>45769</v>
      </c>
      <c r="B128" s="822" t="s">
        <v>667</v>
      </c>
      <c r="C128" s="633" t="s">
        <v>399</v>
      </c>
      <c r="D128" s="825">
        <v>4500164587</v>
      </c>
      <c r="E128" s="633">
        <v>2000007585</v>
      </c>
      <c r="F128" s="1305" t="s">
        <v>668</v>
      </c>
      <c r="G128" s="659" t="s">
        <v>518</v>
      </c>
      <c r="H128" s="633" t="s">
        <v>477</v>
      </c>
      <c r="I128" s="633">
        <v>900</v>
      </c>
      <c r="J128" s="633">
        <v>0</v>
      </c>
      <c r="K128" s="633">
        <v>6</v>
      </c>
      <c r="L128" s="827">
        <f t="shared" si="17"/>
        <v>150</v>
      </c>
      <c r="M128" s="828">
        <v>45818</v>
      </c>
      <c r="N128" s="828">
        <v>45824</v>
      </c>
      <c r="O128" s="824"/>
      <c r="P128" s="824" t="s">
        <v>113</v>
      </c>
      <c r="Q128" s="633"/>
      <c r="R128" s="829">
        <v>45804</v>
      </c>
      <c r="S128" s="829" t="s">
        <v>70</v>
      </c>
      <c r="T128" s="829">
        <v>45805</v>
      </c>
      <c r="U128" s="829"/>
      <c r="V128" s="829" t="s">
        <v>669</v>
      </c>
      <c r="W128" s="829"/>
      <c r="X128" s="628" t="s">
        <v>670</v>
      </c>
      <c r="Y128" s="828" t="s">
        <v>415</v>
      </c>
      <c r="Z128" s="1306">
        <v>8.1</v>
      </c>
      <c r="AA128" s="831">
        <f t="shared" si="33"/>
        <v>7290</v>
      </c>
      <c r="AC128" s="1307" t="s">
        <v>671</v>
      </c>
      <c r="AD128" s="633" t="s">
        <v>480</v>
      </c>
      <c r="AE128" s="633" t="s">
        <v>82</v>
      </c>
      <c r="AF128" s="633"/>
      <c r="AG128" s="618" t="s">
        <v>74</v>
      </c>
      <c r="AH128" s="618"/>
      <c r="AI128" s="1308">
        <f>840</f>
        <v>840</v>
      </c>
      <c r="AJ128" s="824">
        <f t="shared" si="25"/>
        <v>-60</v>
      </c>
      <c r="AK128" s="633"/>
      <c r="AL128" s="633"/>
      <c r="AM128" s="633"/>
      <c r="AN128" s="825">
        <f t="shared" si="26"/>
        <v>900</v>
      </c>
      <c r="AO128" s="687"/>
      <c r="AP128" s="687"/>
      <c r="AQ128" s="687"/>
      <c r="AR128" s="825"/>
      <c r="AS128" s="687">
        <f>I128</f>
        <v>900</v>
      </c>
      <c r="AT128" s="687"/>
      <c r="AU128" s="825">
        <f t="shared" si="32"/>
        <v>900</v>
      </c>
      <c r="AV128" s="825"/>
      <c r="AW128" s="825">
        <f t="shared" ref="AW128:AW145" si="34">I128</f>
        <v>900</v>
      </c>
      <c r="AX128" s="825"/>
      <c r="AY128" s="1305"/>
      <c r="AZ128" s="1305"/>
      <c r="BA128" s="1305"/>
      <c r="BB128" s="1305"/>
      <c r="BC128" s="1305"/>
      <c r="BD128" s="1305"/>
      <c r="BE128" s="1305"/>
      <c r="BF128" s="1305"/>
      <c r="BG128" s="1305"/>
      <c r="BH128" s="1305"/>
      <c r="BI128" s="1305"/>
      <c r="BJ128" s="1305"/>
      <c r="BK128" s="1305"/>
      <c r="BL128" s="1305"/>
      <c r="BM128" s="825"/>
      <c r="BN128" s="825">
        <f>I128</f>
        <v>900</v>
      </c>
      <c r="BO128" s="1305"/>
      <c r="BP128" s="1305"/>
    </row>
    <row r="129" s="1265" customFormat="1" ht="31" customHeight="1" spans="1:68">
      <c r="A129" s="1304">
        <v>45790</v>
      </c>
      <c r="B129" s="822" t="s">
        <v>672</v>
      </c>
      <c r="C129" s="633" t="s">
        <v>98</v>
      </c>
      <c r="D129" s="825">
        <v>4500166259</v>
      </c>
      <c r="E129" s="633" t="s">
        <v>673</v>
      </c>
      <c r="F129" s="1305" t="s">
        <v>674</v>
      </c>
      <c r="G129" s="659" t="s">
        <v>249</v>
      </c>
      <c r="H129" s="633" t="s">
        <v>250</v>
      </c>
      <c r="I129" s="633">
        <v>2972</v>
      </c>
      <c r="J129" s="633">
        <v>0</v>
      </c>
      <c r="K129" s="633">
        <v>4</v>
      </c>
      <c r="L129" s="827">
        <f t="shared" si="17"/>
        <v>743</v>
      </c>
      <c r="M129" s="828">
        <v>45824</v>
      </c>
      <c r="N129" s="828">
        <v>45824</v>
      </c>
      <c r="O129" s="824"/>
      <c r="P129" s="824" t="s">
        <v>113</v>
      </c>
      <c r="Q129" s="633"/>
      <c r="R129" s="829">
        <v>45796</v>
      </c>
      <c r="S129" s="829" t="s">
        <v>104</v>
      </c>
      <c r="T129" s="829">
        <v>45796</v>
      </c>
      <c r="U129" s="829"/>
      <c r="V129" s="829"/>
      <c r="W129" s="829"/>
      <c r="X129" s="822" t="s">
        <v>675</v>
      </c>
      <c r="Y129" s="828" t="s">
        <v>676</v>
      </c>
      <c r="Z129" s="1306">
        <v>3.318</v>
      </c>
      <c r="AA129" s="831">
        <f t="shared" si="33"/>
        <v>9861.096</v>
      </c>
      <c r="AC129" s="632"/>
      <c r="AD129" s="633" t="s">
        <v>249</v>
      </c>
      <c r="AE129" s="633" t="s">
        <v>82</v>
      </c>
      <c r="AF129" s="633"/>
      <c r="AG129" s="618" t="s">
        <v>74</v>
      </c>
      <c r="AH129" s="618"/>
      <c r="AI129" s="1308">
        <f>8+2964</f>
        <v>2972</v>
      </c>
      <c r="AJ129" s="824">
        <f t="shared" si="25"/>
        <v>0</v>
      </c>
      <c r="AK129" s="633"/>
      <c r="AL129" s="633"/>
      <c r="AM129" s="633"/>
      <c r="AN129" s="825"/>
      <c r="AO129" s="687"/>
      <c r="AP129" s="687">
        <f>I129</f>
        <v>2972</v>
      </c>
      <c r="AQ129" s="687"/>
      <c r="AR129" s="825"/>
      <c r="AS129" s="687"/>
      <c r="AT129" s="687"/>
      <c r="AU129" s="825"/>
      <c r="AV129" s="825"/>
      <c r="AW129" s="825">
        <f t="shared" si="34"/>
        <v>2972</v>
      </c>
      <c r="AX129" s="825"/>
      <c r="AY129" s="1305"/>
      <c r="AZ129" s="1305"/>
      <c r="BA129" s="1305"/>
      <c r="BB129" s="1305"/>
      <c r="BC129" s="1305"/>
      <c r="BD129" s="1305"/>
      <c r="BE129" s="1305"/>
      <c r="BF129" s="1305">
        <f>I129</f>
        <v>2972</v>
      </c>
      <c r="BG129" s="1305">
        <f>I129</f>
        <v>2972</v>
      </c>
      <c r="BH129" s="825">
        <f>I129/4</f>
        <v>743</v>
      </c>
      <c r="BI129" s="1305"/>
      <c r="BJ129" s="1305"/>
      <c r="BK129" s="1305"/>
      <c r="BL129" s="1305"/>
      <c r="BM129" s="1305"/>
      <c r="BN129" s="1305"/>
      <c r="BO129" s="1305"/>
      <c r="BP129" s="1305"/>
    </row>
    <row r="130" s="1265" customFormat="1" ht="31" customHeight="1" spans="1:68">
      <c r="A130" s="1304">
        <v>45723</v>
      </c>
      <c r="B130" s="822" t="s">
        <v>672</v>
      </c>
      <c r="C130" s="633" t="s">
        <v>98</v>
      </c>
      <c r="D130" s="825">
        <v>4500166249</v>
      </c>
      <c r="E130" s="633" t="s">
        <v>677</v>
      </c>
      <c r="F130" s="1305" t="s">
        <v>678</v>
      </c>
      <c r="G130" s="659" t="s">
        <v>249</v>
      </c>
      <c r="H130" s="633" t="s">
        <v>250</v>
      </c>
      <c r="I130" s="633">
        <v>2160</v>
      </c>
      <c r="J130" s="633">
        <v>0</v>
      </c>
      <c r="K130" s="633">
        <v>4</v>
      </c>
      <c r="L130" s="827">
        <f t="shared" si="17"/>
        <v>540</v>
      </c>
      <c r="M130" s="828">
        <v>45824</v>
      </c>
      <c r="N130" s="828">
        <v>45824</v>
      </c>
      <c r="O130" s="824"/>
      <c r="P130" s="824" t="s">
        <v>113</v>
      </c>
      <c r="Q130" s="633"/>
      <c r="R130" s="829">
        <v>45796</v>
      </c>
      <c r="S130" s="829" t="s">
        <v>104</v>
      </c>
      <c r="T130" s="829">
        <v>45796</v>
      </c>
      <c r="U130" s="829"/>
      <c r="V130" s="829"/>
      <c r="W130" s="829"/>
      <c r="X130" s="822" t="s">
        <v>675</v>
      </c>
      <c r="Y130" s="828" t="s">
        <v>252</v>
      </c>
      <c r="Z130" s="1306">
        <v>3.318</v>
      </c>
      <c r="AA130" s="831">
        <f t="shared" si="33"/>
        <v>7166.88</v>
      </c>
      <c r="AC130" s="632"/>
      <c r="AD130" s="633" t="s">
        <v>249</v>
      </c>
      <c r="AE130" s="633" t="s">
        <v>82</v>
      </c>
      <c r="AF130" s="633"/>
      <c r="AG130" s="618" t="s">
        <v>74</v>
      </c>
      <c r="AH130" s="618"/>
      <c r="AI130" s="1308">
        <v>2160</v>
      </c>
      <c r="AJ130" s="824">
        <f t="shared" si="25"/>
        <v>0</v>
      </c>
      <c r="AK130" s="633"/>
      <c r="AL130" s="633"/>
      <c r="AM130" s="633"/>
      <c r="AN130" s="825"/>
      <c r="AO130" s="687"/>
      <c r="AP130" s="687">
        <f>I130</f>
        <v>2160</v>
      </c>
      <c r="AQ130" s="687"/>
      <c r="AR130" s="825"/>
      <c r="AS130" s="687"/>
      <c r="AT130" s="687"/>
      <c r="AU130" s="825"/>
      <c r="AV130" s="825"/>
      <c r="AW130" s="825">
        <f t="shared" si="34"/>
        <v>2160</v>
      </c>
      <c r="AX130" s="825"/>
      <c r="AY130" s="1305"/>
      <c r="AZ130" s="1305"/>
      <c r="BA130" s="1305"/>
      <c r="BB130" s="1305"/>
      <c r="BC130" s="1305"/>
      <c r="BD130" s="1305"/>
      <c r="BE130" s="1305"/>
      <c r="BF130" s="1305">
        <f>I130</f>
        <v>2160</v>
      </c>
      <c r="BG130" s="1305">
        <f>I130</f>
        <v>2160</v>
      </c>
      <c r="BH130" s="825">
        <f>I130/4</f>
        <v>540</v>
      </c>
      <c r="BI130" s="1305"/>
      <c r="BJ130" s="1305"/>
      <c r="BK130" s="1305"/>
      <c r="BL130" s="1305"/>
      <c r="BM130" s="1305"/>
      <c r="BN130" s="1305"/>
      <c r="BO130" s="1305"/>
      <c r="BP130" s="1305"/>
    </row>
    <row r="131" s="1265" customFormat="1" ht="31" customHeight="1" spans="1:68">
      <c r="A131" s="1304">
        <v>45764</v>
      </c>
      <c r="B131" s="822" t="s">
        <v>679</v>
      </c>
      <c r="C131" s="633" t="s">
        <v>411</v>
      </c>
      <c r="D131" s="825">
        <v>4500164017</v>
      </c>
      <c r="E131" s="633">
        <v>5200006591</v>
      </c>
      <c r="F131" s="1305" t="s">
        <v>680</v>
      </c>
      <c r="G131" s="659" t="s">
        <v>156</v>
      </c>
      <c r="H131" s="633" t="s">
        <v>102</v>
      </c>
      <c r="I131" s="633">
        <v>1000</v>
      </c>
      <c r="J131" s="633">
        <v>0</v>
      </c>
      <c r="K131" s="633">
        <v>4</v>
      </c>
      <c r="L131" s="827">
        <f t="shared" si="17"/>
        <v>250</v>
      </c>
      <c r="M131" s="828">
        <v>45819</v>
      </c>
      <c r="N131" s="828">
        <v>45825</v>
      </c>
      <c r="O131" s="824"/>
      <c r="P131" s="824" t="s">
        <v>113</v>
      </c>
      <c r="Q131" s="633" t="s">
        <v>681</v>
      </c>
      <c r="R131" s="829">
        <v>45768</v>
      </c>
      <c r="S131" s="829" t="s">
        <v>70</v>
      </c>
      <c r="T131" s="829" t="s">
        <v>682</v>
      </c>
      <c r="U131" s="829"/>
      <c r="V131" s="829"/>
      <c r="W131" s="829"/>
      <c r="X131" s="628" t="s">
        <v>683</v>
      </c>
      <c r="Y131" s="828" t="s">
        <v>415</v>
      </c>
      <c r="Z131" s="1306">
        <v>5.03</v>
      </c>
      <c r="AA131" s="831">
        <f t="shared" si="33"/>
        <v>5030</v>
      </c>
      <c r="AC131" s="1307" t="s">
        <v>684</v>
      </c>
      <c r="AD131" s="633" t="s">
        <v>156</v>
      </c>
      <c r="AE131" s="633" t="s">
        <v>82</v>
      </c>
      <c r="AF131" s="633"/>
      <c r="AG131" s="618" t="s">
        <v>74</v>
      </c>
      <c r="AH131" s="618"/>
      <c r="AI131" s="1308">
        <v>1000</v>
      </c>
      <c r="AJ131" s="824">
        <f t="shared" si="25"/>
        <v>0</v>
      </c>
      <c r="AK131" s="633"/>
      <c r="AL131" s="633"/>
      <c r="AM131" s="633"/>
      <c r="AN131" s="825">
        <f>I131</f>
        <v>1000</v>
      </c>
      <c r="AO131" s="687"/>
      <c r="AP131" s="687"/>
      <c r="AQ131" s="687"/>
      <c r="AR131" s="825"/>
      <c r="AS131" s="687">
        <f>I131</f>
        <v>1000</v>
      </c>
      <c r="AT131" s="687"/>
      <c r="AU131" s="825">
        <f>I131</f>
        <v>1000</v>
      </c>
      <c r="AV131" s="825"/>
      <c r="AW131" s="825">
        <f t="shared" si="34"/>
        <v>1000</v>
      </c>
      <c r="AX131" s="825"/>
      <c r="AY131" s="1305"/>
      <c r="AZ131" s="1305"/>
      <c r="BA131" s="1305"/>
      <c r="BB131" s="1305"/>
      <c r="BC131" s="1305"/>
      <c r="BD131" s="1305"/>
      <c r="BE131" s="1305"/>
      <c r="BF131" s="1305"/>
      <c r="BG131" s="1305"/>
      <c r="BH131" s="1305"/>
      <c r="BI131" s="825">
        <f>I131/4</f>
        <v>250</v>
      </c>
      <c r="BJ131" s="1305"/>
      <c r="BK131" s="1305"/>
      <c r="BL131" s="1305"/>
      <c r="BM131" s="1305"/>
      <c r="BN131" s="1305"/>
      <c r="BO131" s="1305"/>
      <c r="BP131" s="1305"/>
    </row>
    <row r="132" s="1265" customFormat="1" ht="31" customHeight="1" spans="1:68">
      <c r="A132" s="1304">
        <v>45790</v>
      </c>
      <c r="B132" s="822" t="s">
        <v>672</v>
      </c>
      <c r="C132" s="633" t="s">
        <v>98</v>
      </c>
      <c r="D132" s="825">
        <v>4500166232</v>
      </c>
      <c r="E132" s="633" t="s">
        <v>685</v>
      </c>
      <c r="F132" s="1305" t="s">
        <v>686</v>
      </c>
      <c r="G132" s="659" t="s">
        <v>249</v>
      </c>
      <c r="H132" s="633" t="s">
        <v>250</v>
      </c>
      <c r="I132" s="633">
        <v>3012</v>
      </c>
      <c r="J132" s="633">
        <v>0</v>
      </c>
      <c r="K132" s="633">
        <v>4</v>
      </c>
      <c r="L132" s="827">
        <f t="shared" si="17"/>
        <v>753</v>
      </c>
      <c r="M132" s="828">
        <v>45824</v>
      </c>
      <c r="N132" s="828">
        <v>45826</v>
      </c>
      <c r="O132" s="824"/>
      <c r="P132" s="824" t="s">
        <v>113</v>
      </c>
      <c r="Q132" s="633"/>
      <c r="R132" s="829">
        <v>45796</v>
      </c>
      <c r="S132" s="829" t="s">
        <v>104</v>
      </c>
      <c r="T132" s="829">
        <v>45796</v>
      </c>
      <c r="U132" s="829"/>
      <c r="V132" s="829"/>
      <c r="W132" s="829"/>
      <c r="X132" s="822" t="s">
        <v>687</v>
      </c>
      <c r="Y132" s="828" t="s">
        <v>676</v>
      </c>
      <c r="Z132" s="1306">
        <v>3.318</v>
      </c>
      <c r="AA132" s="831">
        <f t="shared" si="33"/>
        <v>9993.816</v>
      </c>
      <c r="AC132" s="632"/>
      <c r="AD132" s="633" t="s">
        <v>249</v>
      </c>
      <c r="AE132" s="633" t="s">
        <v>82</v>
      </c>
      <c r="AF132" s="633"/>
      <c r="AG132" s="618" t="s">
        <v>74</v>
      </c>
      <c r="AH132" s="618"/>
      <c r="AI132" s="1308">
        <f>16+2996</f>
        <v>3012</v>
      </c>
      <c r="AJ132" s="824">
        <f t="shared" si="25"/>
        <v>0</v>
      </c>
      <c r="AK132" s="633"/>
      <c r="AL132" s="633"/>
      <c r="AM132" s="633"/>
      <c r="AN132" s="825"/>
      <c r="AO132" s="687"/>
      <c r="AP132" s="687">
        <f>I132</f>
        <v>3012</v>
      </c>
      <c r="AQ132" s="687"/>
      <c r="AR132" s="825"/>
      <c r="AS132" s="687"/>
      <c r="AT132" s="687"/>
      <c r="AU132" s="825"/>
      <c r="AV132" s="825"/>
      <c r="AW132" s="825">
        <f t="shared" si="34"/>
        <v>3012</v>
      </c>
      <c r="AX132" s="825"/>
      <c r="AY132" s="1305"/>
      <c r="AZ132" s="1305"/>
      <c r="BA132" s="1305"/>
      <c r="BB132" s="1305"/>
      <c r="BC132" s="1305"/>
      <c r="BD132" s="1305"/>
      <c r="BE132" s="1305"/>
      <c r="BF132" s="1305">
        <f>I132</f>
        <v>3012</v>
      </c>
      <c r="BG132" s="1305">
        <f>I132</f>
        <v>3012</v>
      </c>
      <c r="BH132" s="825">
        <f>I132/4</f>
        <v>753</v>
      </c>
      <c r="BI132" s="1305"/>
      <c r="BJ132" s="1305"/>
      <c r="BK132" s="1305"/>
      <c r="BL132" s="1305"/>
      <c r="BM132" s="1305"/>
      <c r="BN132" s="1305"/>
      <c r="BO132" s="1305"/>
      <c r="BP132" s="1305"/>
    </row>
    <row r="133" s="1265" customFormat="1" ht="31" customHeight="1" spans="1:68">
      <c r="A133" s="1304">
        <v>45791</v>
      </c>
      <c r="B133" s="822" t="s">
        <v>621</v>
      </c>
      <c r="C133" s="633" t="s">
        <v>302</v>
      </c>
      <c r="D133" s="825">
        <v>4500169682</v>
      </c>
      <c r="E133" s="633">
        <v>5200006790</v>
      </c>
      <c r="F133" s="1305" t="s">
        <v>688</v>
      </c>
      <c r="G133" s="659" t="s">
        <v>476</v>
      </c>
      <c r="H133" s="633" t="s">
        <v>477</v>
      </c>
      <c r="I133" s="633">
        <v>3180</v>
      </c>
      <c r="J133" s="633">
        <v>0</v>
      </c>
      <c r="K133" s="633">
        <v>6</v>
      </c>
      <c r="L133" s="827">
        <f t="shared" si="17"/>
        <v>530</v>
      </c>
      <c r="M133" s="828">
        <v>45819</v>
      </c>
      <c r="N133" s="828">
        <v>45815</v>
      </c>
      <c r="O133" s="824" t="s">
        <v>623</v>
      </c>
      <c r="P133" s="824" t="s">
        <v>113</v>
      </c>
      <c r="Q133" s="633" t="s">
        <v>689</v>
      </c>
      <c r="R133" s="829">
        <v>45789</v>
      </c>
      <c r="S133" s="829" t="s">
        <v>70</v>
      </c>
      <c r="T133" s="829" t="s">
        <v>690</v>
      </c>
      <c r="U133" s="829"/>
      <c r="V133" s="829"/>
      <c r="W133" s="829"/>
      <c r="X133" s="822" t="s">
        <v>691</v>
      </c>
      <c r="Y133" s="1014" t="s">
        <v>305</v>
      </c>
      <c r="Z133" s="1306">
        <v>8.1</v>
      </c>
      <c r="AA133" s="831">
        <f t="shared" si="33"/>
        <v>25758</v>
      </c>
      <c r="AC133" s="1307" t="s">
        <v>692</v>
      </c>
      <c r="AD133" s="633" t="s">
        <v>480</v>
      </c>
      <c r="AE133" s="633" t="s">
        <v>82</v>
      </c>
      <c r="AF133" s="633"/>
      <c r="AG133" s="618" t="s">
        <v>74</v>
      </c>
      <c r="AH133" s="618"/>
      <c r="AI133" s="1308">
        <v>3180</v>
      </c>
      <c r="AJ133" s="824">
        <f t="shared" si="25"/>
        <v>0</v>
      </c>
      <c r="AK133" s="633"/>
      <c r="AL133" s="633" t="s">
        <v>454</v>
      </c>
      <c r="AM133" s="633"/>
      <c r="AN133" s="825">
        <f t="shared" ref="AN133:AN161" si="35">I133</f>
        <v>3180</v>
      </c>
      <c r="AO133" s="687"/>
      <c r="AP133" s="687"/>
      <c r="AQ133" s="687"/>
      <c r="AR133" s="825"/>
      <c r="AS133" s="687">
        <f>I133</f>
        <v>3180</v>
      </c>
      <c r="AT133" s="687"/>
      <c r="AU133" s="825">
        <f t="shared" ref="AU133:AU147" si="36">I133</f>
        <v>3180</v>
      </c>
      <c r="AV133" s="825"/>
      <c r="AW133" s="825">
        <f t="shared" si="34"/>
        <v>3180</v>
      </c>
      <c r="AX133" s="825"/>
      <c r="AY133" s="1305"/>
      <c r="AZ133" s="1305"/>
      <c r="BA133" s="1305"/>
      <c r="BB133" s="1305"/>
      <c r="BC133" s="1305"/>
      <c r="BD133" s="1305"/>
      <c r="BE133" s="1305"/>
      <c r="BF133" s="1305"/>
      <c r="BG133" s="1305"/>
      <c r="BH133" s="1305"/>
      <c r="BI133" s="1305"/>
      <c r="BJ133" s="1305"/>
      <c r="BK133" s="1305"/>
      <c r="BL133" s="1305"/>
      <c r="BM133" s="825"/>
      <c r="BN133" s="825">
        <f>I133</f>
        <v>3180</v>
      </c>
      <c r="BO133" s="1305"/>
      <c r="BP133" s="1305"/>
    </row>
    <row r="134" s="1265" customFormat="1" ht="31" customHeight="1" spans="1:68">
      <c r="A134" s="1304">
        <v>45774</v>
      </c>
      <c r="B134" s="822" t="s">
        <v>693</v>
      </c>
      <c r="C134" s="633" t="s">
        <v>375</v>
      </c>
      <c r="D134" s="825">
        <v>4500160378</v>
      </c>
      <c r="E134" s="633">
        <v>164147</v>
      </c>
      <c r="F134" s="1305" t="s">
        <v>694</v>
      </c>
      <c r="G134" s="659" t="s">
        <v>68</v>
      </c>
      <c r="H134" s="633" t="s">
        <v>69</v>
      </c>
      <c r="I134" s="633">
        <v>600</v>
      </c>
      <c r="J134" s="633">
        <v>0</v>
      </c>
      <c r="K134" s="633">
        <v>12</v>
      </c>
      <c r="L134" s="827">
        <f t="shared" ref="L134:L197" si="37">I134/K134</f>
        <v>50</v>
      </c>
      <c r="M134" s="828">
        <v>45818</v>
      </c>
      <c r="N134" s="828">
        <v>45818</v>
      </c>
      <c r="O134" s="824"/>
      <c r="P134" s="824" t="s">
        <v>113</v>
      </c>
      <c r="Q134" s="633"/>
      <c r="R134" s="829">
        <v>45785</v>
      </c>
      <c r="S134" s="829" t="s">
        <v>70</v>
      </c>
      <c r="T134" s="829">
        <v>45791</v>
      </c>
      <c r="U134" s="829"/>
      <c r="V134" s="829"/>
      <c r="W134" s="829"/>
      <c r="X134" s="628" t="s">
        <v>695</v>
      </c>
      <c r="Y134" s="828" t="s">
        <v>696</v>
      </c>
      <c r="Z134" s="1306">
        <v>4.1456</v>
      </c>
      <c r="AA134" s="831">
        <f t="shared" si="33"/>
        <v>2487.36</v>
      </c>
      <c r="AC134" s="617" t="s">
        <v>697</v>
      </c>
      <c r="AD134" s="633" t="s">
        <v>184</v>
      </c>
      <c r="AE134" s="633" t="s">
        <v>82</v>
      </c>
      <c r="AF134" s="633"/>
      <c r="AG134" s="618" t="s">
        <v>74</v>
      </c>
      <c r="AH134" s="618"/>
      <c r="AI134" s="1308">
        <v>600</v>
      </c>
      <c r="AJ134" s="824">
        <f t="shared" si="25"/>
        <v>0</v>
      </c>
      <c r="AK134" s="633"/>
      <c r="AL134" s="633"/>
      <c r="AM134" s="633"/>
      <c r="AN134" s="825">
        <f t="shared" si="35"/>
        <v>600</v>
      </c>
      <c r="AO134" s="687"/>
      <c r="AP134" s="687"/>
      <c r="AQ134" s="687"/>
      <c r="AR134" s="825"/>
      <c r="AS134" s="687">
        <f>I134</f>
        <v>600</v>
      </c>
      <c r="AT134" s="687"/>
      <c r="AU134" s="825">
        <f t="shared" si="36"/>
        <v>600</v>
      </c>
      <c r="AV134" s="825"/>
      <c r="AW134" s="825">
        <f t="shared" si="34"/>
        <v>600</v>
      </c>
      <c r="AX134" s="825"/>
      <c r="AY134" s="1305"/>
      <c r="AZ134" s="1305"/>
      <c r="BA134" s="1305"/>
      <c r="BB134" s="1305"/>
      <c r="BC134" s="1305"/>
      <c r="BD134" s="1305"/>
      <c r="BE134" s="1305"/>
      <c r="BF134" s="1305"/>
      <c r="BG134" s="1305"/>
      <c r="BH134" s="1305"/>
      <c r="BI134" s="1305"/>
      <c r="BJ134" s="1305"/>
      <c r="BK134" s="1305"/>
      <c r="BL134" s="1305"/>
      <c r="BM134" s="1305"/>
      <c r="BN134" s="1305"/>
      <c r="BO134" s="1305"/>
      <c r="BP134" s="1305"/>
    </row>
    <row r="135" s="1265" customFormat="1" ht="31" customHeight="1" spans="1:68">
      <c r="A135" s="1304">
        <v>45775</v>
      </c>
      <c r="B135" s="822" t="s">
        <v>143</v>
      </c>
      <c r="C135" s="633" t="s">
        <v>98</v>
      </c>
      <c r="D135" s="825">
        <v>4500162819</v>
      </c>
      <c r="E135" s="633">
        <v>5510041521</v>
      </c>
      <c r="F135" s="1305" t="s">
        <v>698</v>
      </c>
      <c r="G135" s="659" t="s">
        <v>101</v>
      </c>
      <c r="H135" s="633" t="s">
        <v>102</v>
      </c>
      <c r="I135" s="633">
        <v>788</v>
      </c>
      <c r="J135" s="633">
        <v>0</v>
      </c>
      <c r="K135" s="633">
        <v>4</v>
      </c>
      <c r="L135" s="827">
        <f t="shared" si="37"/>
        <v>197</v>
      </c>
      <c r="M135" s="828">
        <v>45825</v>
      </c>
      <c r="N135" s="828">
        <v>45827</v>
      </c>
      <c r="O135" s="824"/>
      <c r="P135" s="824" t="s">
        <v>113</v>
      </c>
      <c r="Q135" s="633"/>
      <c r="R135" s="829" t="s">
        <v>483</v>
      </c>
      <c r="S135" s="829" t="s">
        <v>70</v>
      </c>
      <c r="T135" s="829" t="s">
        <v>699</v>
      </c>
      <c r="U135" s="829"/>
      <c r="V135" s="774" t="s">
        <v>148</v>
      </c>
      <c r="W135" s="829"/>
      <c r="X135" s="822" t="s">
        <v>484</v>
      </c>
      <c r="Y135" s="828" t="s">
        <v>106</v>
      </c>
      <c r="Z135" s="1306">
        <v>3.06</v>
      </c>
      <c r="AA135" s="831">
        <f t="shared" si="33"/>
        <v>2411.28</v>
      </c>
      <c r="AC135" s="632" t="s">
        <v>700</v>
      </c>
      <c r="AD135" s="633" t="s">
        <v>101</v>
      </c>
      <c r="AE135" s="633" t="s">
        <v>82</v>
      </c>
      <c r="AF135" s="633"/>
      <c r="AG135" s="618" t="s">
        <v>74</v>
      </c>
      <c r="AH135" s="618"/>
      <c r="AI135" s="1308">
        <v>788</v>
      </c>
      <c r="AJ135" s="824">
        <f t="shared" si="25"/>
        <v>0</v>
      </c>
      <c r="AK135" s="633"/>
      <c r="AL135" s="633"/>
      <c r="AM135" s="633"/>
      <c r="AN135" s="825">
        <f t="shared" si="35"/>
        <v>788</v>
      </c>
      <c r="AO135" s="687"/>
      <c r="AP135" s="687"/>
      <c r="AQ135" s="687"/>
      <c r="AR135" s="825">
        <f>I135</f>
        <v>788</v>
      </c>
      <c r="AS135" s="687"/>
      <c r="AT135" s="687"/>
      <c r="AU135" s="825">
        <f t="shared" si="36"/>
        <v>788</v>
      </c>
      <c r="AV135" s="825"/>
      <c r="AW135" s="825">
        <f t="shared" si="34"/>
        <v>788</v>
      </c>
      <c r="AX135" s="825"/>
      <c r="AY135" s="1305"/>
      <c r="AZ135" s="1305"/>
      <c r="BA135" s="1305"/>
      <c r="BB135" s="1305"/>
      <c r="BC135" s="1305"/>
      <c r="BD135" s="1305"/>
      <c r="BE135" s="1305"/>
      <c r="BF135" s="1305"/>
      <c r="BG135" s="1305"/>
      <c r="BH135" s="825">
        <f>I135/4</f>
        <v>197</v>
      </c>
      <c r="BI135" s="1305"/>
      <c r="BJ135" s="1305"/>
      <c r="BK135" s="1305"/>
      <c r="BL135" s="1305"/>
      <c r="BM135" s="1305"/>
      <c r="BN135" s="1305"/>
      <c r="BO135" s="1305"/>
      <c r="BP135" s="1305"/>
    </row>
    <row r="136" s="1265" customFormat="1" ht="31" customHeight="1" spans="1:68">
      <c r="A136" s="1304">
        <v>45775</v>
      </c>
      <c r="B136" s="822" t="s">
        <v>143</v>
      </c>
      <c r="C136" s="633" t="s">
        <v>98</v>
      </c>
      <c r="D136" s="825">
        <v>4500162819</v>
      </c>
      <c r="E136" s="633" t="s">
        <v>701</v>
      </c>
      <c r="F136" s="1305" t="s">
        <v>702</v>
      </c>
      <c r="G136" s="659" t="s">
        <v>101</v>
      </c>
      <c r="H136" s="633" t="s">
        <v>102</v>
      </c>
      <c r="I136" s="633">
        <v>788</v>
      </c>
      <c r="J136" s="633">
        <v>0</v>
      </c>
      <c r="K136" s="633">
        <v>4</v>
      </c>
      <c r="L136" s="827">
        <f t="shared" si="37"/>
        <v>197</v>
      </c>
      <c r="M136" s="828">
        <v>45825</v>
      </c>
      <c r="N136" s="828">
        <v>45827</v>
      </c>
      <c r="O136" s="824"/>
      <c r="P136" s="824" t="s">
        <v>113</v>
      </c>
      <c r="Q136" s="633"/>
      <c r="R136" s="829" t="s">
        <v>483</v>
      </c>
      <c r="S136" s="829" t="s">
        <v>70</v>
      </c>
      <c r="T136" s="829" t="s">
        <v>699</v>
      </c>
      <c r="U136" s="829"/>
      <c r="V136" s="774" t="s">
        <v>148</v>
      </c>
      <c r="W136" s="829"/>
      <c r="X136" s="822" t="s">
        <v>484</v>
      </c>
      <c r="Y136" s="828" t="s">
        <v>106</v>
      </c>
      <c r="Z136" s="1306">
        <v>3.06</v>
      </c>
      <c r="AA136" s="831">
        <f t="shared" si="33"/>
        <v>2411.28</v>
      </c>
      <c r="AC136" s="632"/>
      <c r="AD136" s="633" t="s">
        <v>101</v>
      </c>
      <c r="AE136" s="633" t="s">
        <v>82</v>
      </c>
      <c r="AF136" s="633"/>
      <c r="AG136" s="618" t="s">
        <v>74</v>
      </c>
      <c r="AH136" s="618"/>
      <c r="AI136" s="1308">
        <v>788</v>
      </c>
      <c r="AJ136" s="824">
        <f t="shared" si="25"/>
        <v>0</v>
      </c>
      <c r="AK136" s="633"/>
      <c r="AL136" s="633"/>
      <c r="AM136" s="633"/>
      <c r="AN136" s="825">
        <f t="shared" si="35"/>
        <v>788</v>
      </c>
      <c r="AO136" s="687"/>
      <c r="AP136" s="687"/>
      <c r="AQ136" s="687"/>
      <c r="AR136" s="825">
        <f>I136</f>
        <v>788</v>
      </c>
      <c r="AS136" s="687"/>
      <c r="AT136" s="687"/>
      <c r="AU136" s="825">
        <f t="shared" si="36"/>
        <v>788</v>
      </c>
      <c r="AV136" s="825"/>
      <c r="AW136" s="825">
        <f t="shared" si="34"/>
        <v>788</v>
      </c>
      <c r="AX136" s="825"/>
      <c r="AY136" s="1305"/>
      <c r="AZ136" s="1305"/>
      <c r="BA136" s="1305"/>
      <c r="BB136" s="1305"/>
      <c r="BC136" s="1305"/>
      <c r="BD136" s="1305"/>
      <c r="BE136" s="1305"/>
      <c r="BF136" s="1305"/>
      <c r="BG136" s="1305"/>
      <c r="BH136" s="825">
        <f>I136/4</f>
        <v>197</v>
      </c>
      <c r="BI136" s="1305"/>
      <c r="BJ136" s="1305"/>
      <c r="BK136" s="1305"/>
      <c r="BL136" s="1305"/>
      <c r="BM136" s="1305"/>
      <c r="BN136" s="1305"/>
      <c r="BO136" s="1305"/>
      <c r="BP136" s="1305"/>
    </row>
    <row r="137" s="1265" customFormat="1" ht="31" customHeight="1" spans="1:68">
      <c r="A137" s="1304">
        <v>45775</v>
      </c>
      <c r="B137" s="822" t="s">
        <v>143</v>
      </c>
      <c r="C137" s="633" t="s">
        <v>98</v>
      </c>
      <c r="D137" s="825">
        <v>4500162819</v>
      </c>
      <c r="E137" s="633" t="s">
        <v>703</v>
      </c>
      <c r="F137" s="1305" t="s">
        <v>704</v>
      </c>
      <c r="G137" s="659" t="s">
        <v>101</v>
      </c>
      <c r="H137" s="633" t="s">
        <v>102</v>
      </c>
      <c r="I137" s="633">
        <v>948</v>
      </c>
      <c r="J137" s="633">
        <v>0</v>
      </c>
      <c r="K137" s="633">
        <v>4</v>
      </c>
      <c r="L137" s="827">
        <f t="shared" si="37"/>
        <v>237</v>
      </c>
      <c r="M137" s="828">
        <v>45825</v>
      </c>
      <c r="N137" s="828">
        <v>45827</v>
      </c>
      <c r="O137" s="824"/>
      <c r="P137" s="824" t="s">
        <v>113</v>
      </c>
      <c r="Q137" s="633"/>
      <c r="R137" s="829" t="s">
        <v>483</v>
      </c>
      <c r="S137" s="829" t="s">
        <v>70</v>
      </c>
      <c r="T137" s="829" t="s">
        <v>699</v>
      </c>
      <c r="U137" s="829"/>
      <c r="V137" s="774" t="s">
        <v>148</v>
      </c>
      <c r="W137" s="829"/>
      <c r="X137" s="822" t="s">
        <v>484</v>
      </c>
      <c r="Y137" s="828" t="s">
        <v>106</v>
      </c>
      <c r="Z137" s="1306">
        <v>3.06</v>
      </c>
      <c r="AA137" s="831">
        <f t="shared" si="33"/>
        <v>2900.88</v>
      </c>
      <c r="AC137" s="632" t="s">
        <v>705</v>
      </c>
      <c r="AD137" s="633" t="s">
        <v>101</v>
      </c>
      <c r="AE137" s="633" t="s">
        <v>82</v>
      </c>
      <c r="AF137" s="633"/>
      <c r="AG137" s="618" t="s">
        <v>74</v>
      </c>
      <c r="AH137" s="618"/>
      <c r="AI137" s="1308">
        <v>948</v>
      </c>
      <c r="AJ137" s="824">
        <f t="shared" si="25"/>
        <v>0</v>
      </c>
      <c r="AK137" s="633"/>
      <c r="AL137" s="633"/>
      <c r="AM137" s="633"/>
      <c r="AN137" s="825">
        <f t="shared" si="35"/>
        <v>948</v>
      </c>
      <c r="AO137" s="687"/>
      <c r="AP137" s="687"/>
      <c r="AQ137" s="687"/>
      <c r="AR137" s="825">
        <f>I137</f>
        <v>948</v>
      </c>
      <c r="AS137" s="687"/>
      <c r="AT137" s="687"/>
      <c r="AU137" s="825">
        <f t="shared" si="36"/>
        <v>948</v>
      </c>
      <c r="AV137" s="825"/>
      <c r="AW137" s="825">
        <f t="shared" si="34"/>
        <v>948</v>
      </c>
      <c r="AX137" s="825"/>
      <c r="AY137" s="1305"/>
      <c r="AZ137" s="1305"/>
      <c r="BA137" s="1305"/>
      <c r="BB137" s="1305"/>
      <c r="BC137" s="1305"/>
      <c r="BD137" s="1305"/>
      <c r="BE137" s="1305"/>
      <c r="BF137" s="1305"/>
      <c r="BG137" s="1305"/>
      <c r="BH137" s="825">
        <f>I137/4</f>
        <v>237</v>
      </c>
      <c r="BI137" s="1305"/>
      <c r="BJ137" s="1305"/>
      <c r="BK137" s="1305"/>
      <c r="BL137" s="1305"/>
      <c r="BM137" s="1305"/>
      <c r="BN137" s="1305"/>
      <c r="BO137" s="1305"/>
      <c r="BP137" s="1305"/>
    </row>
    <row r="138" s="1265" customFormat="1" ht="31" customHeight="1" spans="1:68">
      <c r="A138" s="1304">
        <v>45775</v>
      </c>
      <c r="B138" s="822" t="s">
        <v>143</v>
      </c>
      <c r="C138" s="633" t="s">
        <v>98</v>
      </c>
      <c r="D138" s="825">
        <v>4500162819</v>
      </c>
      <c r="E138" s="633" t="s">
        <v>706</v>
      </c>
      <c r="F138" s="1305" t="s">
        <v>707</v>
      </c>
      <c r="G138" s="659" t="s">
        <v>101</v>
      </c>
      <c r="H138" s="633" t="s">
        <v>102</v>
      </c>
      <c r="I138" s="633">
        <v>1144</v>
      </c>
      <c r="J138" s="633">
        <v>0</v>
      </c>
      <c r="K138" s="633">
        <v>4</v>
      </c>
      <c r="L138" s="827">
        <f t="shared" si="37"/>
        <v>286</v>
      </c>
      <c r="M138" s="828">
        <v>45825</v>
      </c>
      <c r="N138" s="828">
        <v>45827</v>
      </c>
      <c r="O138" s="824"/>
      <c r="P138" s="824" t="s">
        <v>113</v>
      </c>
      <c r="Q138" s="633"/>
      <c r="R138" s="829" t="s">
        <v>483</v>
      </c>
      <c r="S138" s="829" t="s">
        <v>70</v>
      </c>
      <c r="T138" s="829" t="s">
        <v>699</v>
      </c>
      <c r="U138" s="829"/>
      <c r="V138" s="774" t="s">
        <v>148</v>
      </c>
      <c r="W138" s="829"/>
      <c r="X138" s="822" t="s">
        <v>484</v>
      </c>
      <c r="Y138" s="828" t="s">
        <v>106</v>
      </c>
      <c r="Z138" s="1306">
        <v>3.06</v>
      </c>
      <c r="AA138" s="831">
        <f t="shared" si="33"/>
        <v>3500.64</v>
      </c>
      <c r="AC138" s="632" t="s">
        <v>708</v>
      </c>
      <c r="AD138" s="633" t="s">
        <v>101</v>
      </c>
      <c r="AE138" s="633" t="s">
        <v>82</v>
      </c>
      <c r="AF138" s="633"/>
      <c r="AG138" s="618" t="s">
        <v>74</v>
      </c>
      <c r="AH138" s="618"/>
      <c r="AI138" s="1308">
        <v>1144</v>
      </c>
      <c r="AJ138" s="824">
        <f t="shared" si="25"/>
        <v>0</v>
      </c>
      <c r="AK138" s="633"/>
      <c r="AL138" s="633"/>
      <c r="AM138" s="633"/>
      <c r="AN138" s="825">
        <f t="shared" si="35"/>
        <v>1144</v>
      </c>
      <c r="AO138" s="687"/>
      <c r="AP138" s="687"/>
      <c r="AQ138" s="687"/>
      <c r="AR138" s="825">
        <f>I138</f>
        <v>1144</v>
      </c>
      <c r="AS138" s="687"/>
      <c r="AT138" s="687"/>
      <c r="AU138" s="825">
        <f t="shared" si="36"/>
        <v>1144</v>
      </c>
      <c r="AV138" s="825"/>
      <c r="AW138" s="825">
        <f t="shared" si="34"/>
        <v>1144</v>
      </c>
      <c r="AX138" s="825"/>
      <c r="AY138" s="1305"/>
      <c r="AZ138" s="1305"/>
      <c r="BA138" s="1305"/>
      <c r="BB138" s="1305"/>
      <c r="BC138" s="1305"/>
      <c r="BD138" s="1305"/>
      <c r="BE138" s="1305"/>
      <c r="BF138" s="1305"/>
      <c r="BG138" s="1305"/>
      <c r="BH138" s="825">
        <f>I138/4</f>
        <v>286</v>
      </c>
      <c r="BI138" s="1305"/>
      <c r="BJ138" s="1305"/>
      <c r="BK138" s="1305"/>
      <c r="BL138" s="1305"/>
      <c r="BM138" s="1305"/>
      <c r="BN138" s="1305"/>
      <c r="BO138" s="1305"/>
      <c r="BP138" s="1305"/>
    </row>
    <row r="139" s="1265" customFormat="1" ht="31" customHeight="1" spans="1:68">
      <c r="A139" s="1304">
        <v>45762</v>
      </c>
      <c r="B139" s="822" t="s">
        <v>143</v>
      </c>
      <c r="C139" s="633" t="s">
        <v>98</v>
      </c>
      <c r="D139" s="825">
        <v>4500162819</v>
      </c>
      <c r="E139" s="633" t="s">
        <v>709</v>
      </c>
      <c r="F139" s="1305" t="s">
        <v>710</v>
      </c>
      <c r="G139" s="659" t="s">
        <v>101</v>
      </c>
      <c r="H139" s="633" t="s">
        <v>102</v>
      </c>
      <c r="I139" s="633">
        <v>1220</v>
      </c>
      <c r="J139" s="633">
        <v>0</v>
      </c>
      <c r="K139" s="633">
        <v>4</v>
      </c>
      <c r="L139" s="827">
        <f t="shared" si="37"/>
        <v>305</v>
      </c>
      <c r="M139" s="828">
        <v>45825</v>
      </c>
      <c r="N139" s="828">
        <v>45827</v>
      </c>
      <c r="O139" s="824"/>
      <c r="P139" s="824" t="s">
        <v>113</v>
      </c>
      <c r="Q139" s="633"/>
      <c r="R139" s="829" t="s">
        <v>483</v>
      </c>
      <c r="S139" s="829" t="s">
        <v>70</v>
      </c>
      <c r="T139" s="829" t="s">
        <v>699</v>
      </c>
      <c r="U139" s="829"/>
      <c r="V139" s="774" t="s">
        <v>148</v>
      </c>
      <c r="W139" s="829"/>
      <c r="X139" s="822" t="s">
        <v>484</v>
      </c>
      <c r="Y139" s="828" t="s">
        <v>106</v>
      </c>
      <c r="Z139" s="1306">
        <v>3.06</v>
      </c>
      <c r="AA139" s="831">
        <f t="shared" si="33"/>
        <v>3733.2</v>
      </c>
      <c r="AC139" s="632"/>
      <c r="AD139" s="633" t="s">
        <v>101</v>
      </c>
      <c r="AE139" s="633" t="s">
        <v>82</v>
      </c>
      <c r="AF139" s="633"/>
      <c r="AG139" s="618" t="s">
        <v>74</v>
      </c>
      <c r="AH139" s="618"/>
      <c r="AI139" s="1308">
        <v>1220</v>
      </c>
      <c r="AJ139" s="824">
        <f t="shared" si="25"/>
        <v>0</v>
      </c>
      <c r="AK139" s="633"/>
      <c r="AL139" s="633"/>
      <c r="AM139" s="633"/>
      <c r="AN139" s="825">
        <f t="shared" si="35"/>
        <v>1220</v>
      </c>
      <c r="AO139" s="687"/>
      <c r="AP139" s="687"/>
      <c r="AQ139" s="687"/>
      <c r="AR139" s="825">
        <f>I139</f>
        <v>1220</v>
      </c>
      <c r="AS139" s="687"/>
      <c r="AT139" s="687"/>
      <c r="AU139" s="825">
        <f t="shared" si="36"/>
        <v>1220</v>
      </c>
      <c r="AV139" s="825"/>
      <c r="AW139" s="825">
        <f t="shared" si="34"/>
        <v>1220</v>
      </c>
      <c r="AX139" s="825"/>
      <c r="AY139" s="1305"/>
      <c r="AZ139" s="1305"/>
      <c r="BA139" s="1305"/>
      <c r="BB139" s="1305"/>
      <c r="BC139" s="1305"/>
      <c r="BD139" s="1305"/>
      <c r="BE139" s="1305"/>
      <c r="BF139" s="1305"/>
      <c r="BG139" s="1305"/>
      <c r="BH139" s="825">
        <f>I139/4</f>
        <v>305</v>
      </c>
      <c r="BI139" s="1305"/>
      <c r="BJ139" s="1305"/>
      <c r="BK139" s="1305"/>
      <c r="BL139" s="1305"/>
      <c r="BM139" s="1305"/>
      <c r="BN139" s="1305"/>
      <c r="BO139" s="1305"/>
      <c r="BP139" s="1305"/>
    </row>
    <row r="140" s="1265" customFormat="1" ht="31" customHeight="1" spans="1:68">
      <c r="A140" s="1304">
        <v>45740</v>
      </c>
      <c r="B140" s="822" t="s">
        <v>711</v>
      </c>
      <c r="C140" s="633" t="s">
        <v>154</v>
      </c>
      <c r="D140" s="825">
        <v>4500165600</v>
      </c>
      <c r="E140" s="633">
        <v>246989</v>
      </c>
      <c r="F140" s="1305" t="s">
        <v>712</v>
      </c>
      <c r="G140" s="659" t="s">
        <v>68</v>
      </c>
      <c r="H140" s="633" t="s">
        <v>69</v>
      </c>
      <c r="I140" s="633">
        <v>540</v>
      </c>
      <c r="J140" s="633">
        <v>0</v>
      </c>
      <c r="K140" s="633">
        <v>12</v>
      </c>
      <c r="L140" s="827">
        <f t="shared" si="37"/>
        <v>45</v>
      </c>
      <c r="M140" s="828">
        <v>45828</v>
      </c>
      <c r="N140" s="828">
        <v>45828</v>
      </c>
      <c r="O140" s="824"/>
      <c r="P140" s="824" t="s">
        <v>113</v>
      </c>
      <c r="Q140" s="633"/>
      <c r="R140" s="829">
        <v>45800</v>
      </c>
      <c r="S140" s="829" t="s">
        <v>70</v>
      </c>
      <c r="T140" s="829" t="s">
        <v>713</v>
      </c>
      <c r="U140" s="829"/>
      <c r="V140" s="829" t="s">
        <v>714</v>
      </c>
      <c r="W140" s="829"/>
      <c r="X140" s="628" t="s">
        <v>715</v>
      </c>
      <c r="Y140" s="828" t="s">
        <v>716</v>
      </c>
      <c r="Z140" s="1306">
        <v>4.1456</v>
      </c>
      <c r="AA140" s="831">
        <f t="shared" si="33"/>
        <v>2238.624</v>
      </c>
      <c r="AC140" s="1307" t="s">
        <v>717</v>
      </c>
      <c r="AD140" s="633" t="s">
        <v>184</v>
      </c>
      <c r="AE140" s="633" t="s">
        <v>82</v>
      </c>
      <c r="AF140" s="633"/>
      <c r="AG140" s="618" t="s">
        <v>74</v>
      </c>
      <c r="AH140" s="618"/>
      <c r="AI140" s="1308">
        <v>540</v>
      </c>
      <c r="AJ140" s="824">
        <f t="shared" si="25"/>
        <v>0</v>
      </c>
      <c r="AK140" s="633"/>
      <c r="AL140" s="633"/>
      <c r="AM140" s="633"/>
      <c r="AN140" s="825">
        <f t="shared" si="35"/>
        <v>540</v>
      </c>
      <c r="AO140" s="687"/>
      <c r="AP140" s="687"/>
      <c r="AQ140" s="687"/>
      <c r="AR140" s="825"/>
      <c r="AS140" s="687">
        <f>I140</f>
        <v>540</v>
      </c>
      <c r="AT140" s="687"/>
      <c r="AU140" s="825">
        <f t="shared" si="36"/>
        <v>540</v>
      </c>
      <c r="AV140" s="825"/>
      <c r="AW140" s="825">
        <f t="shared" si="34"/>
        <v>540</v>
      </c>
      <c r="AX140" s="825"/>
      <c r="AY140" s="1305"/>
      <c r="AZ140" s="1305"/>
      <c r="BA140" s="1305"/>
      <c r="BB140" s="1305"/>
      <c r="BC140" s="1305"/>
      <c r="BD140" s="1305"/>
      <c r="BE140" s="1305"/>
      <c r="BF140" s="1305"/>
      <c r="BG140" s="1305"/>
      <c r="BH140" s="1305"/>
      <c r="BI140" s="1305"/>
      <c r="BJ140" s="1305"/>
      <c r="BK140" s="1305"/>
      <c r="BL140" s="1305"/>
      <c r="BM140" s="1305"/>
      <c r="BN140" s="1305"/>
      <c r="BO140" s="1305"/>
      <c r="BP140" s="1305"/>
    </row>
    <row r="141" s="1265" customFormat="1" ht="31" customHeight="1" spans="1:68">
      <c r="A141" s="1304">
        <v>45771</v>
      </c>
      <c r="B141" s="822" t="s">
        <v>718</v>
      </c>
      <c r="C141" s="633" t="s">
        <v>411</v>
      </c>
      <c r="D141" s="825">
        <v>4500163632</v>
      </c>
      <c r="E141" s="633"/>
      <c r="F141" s="1305" t="s">
        <v>719</v>
      </c>
      <c r="G141" s="659" t="s">
        <v>111</v>
      </c>
      <c r="H141" s="633" t="s">
        <v>112</v>
      </c>
      <c r="I141" s="633">
        <v>640</v>
      </c>
      <c r="J141" s="633">
        <v>0</v>
      </c>
      <c r="K141" s="633">
        <v>16</v>
      </c>
      <c r="L141" s="827">
        <f t="shared" si="37"/>
        <v>40</v>
      </c>
      <c r="M141" s="828">
        <v>45826</v>
      </c>
      <c r="N141" s="828">
        <v>45829</v>
      </c>
      <c r="O141" s="824"/>
      <c r="P141" s="824" t="s">
        <v>113</v>
      </c>
      <c r="Q141" s="633"/>
      <c r="R141" s="829">
        <v>45797</v>
      </c>
      <c r="S141" s="829" t="s">
        <v>70</v>
      </c>
      <c r="T141" s="829">
        <v>45799</v>
      </c>
      <c r="U141" s="829"/>
      <c r="V141" s="829"/>
      <c r="W141" s="829"/>
      <c r="X141" s="822" t="s">
        <v>720</v>
      </c>
      <c r="Y141" s="828" t="s">
        <v>512</v>
      </c>
      <c r="Z141" s="1306">
        <v>4.2542</v>
      </c>
      <c r="AA141" s="831">
        <f t="shared" si="33"/>
        <v>2722.688</v>
      </c>
      <c r="AC141" s="1307" t="s">
        <v>721</v>
      </c>
      <c r="AD141" s="633" t="s">
        <v>447</v>
      </c>
      <c r="AE141" s="633" t="s">
        <v>82</v>
      </c>
      <c r="AF141" s="633"/>
      <c r="AG141" s="618" t="s">
        <v>74</v>
      </c>
      <c r="AH141" s="618"/>
      <c r="AI141" s="1308">
        <v>640</v>
      </c>
      <c r="AJ141" s="824">
        <f t="shared" si="25"/>
        <v>0</v>
      </c>
      <c r="AK141" s="633"/>
      <c r="AL141" s="633"/>
      <c r="AM141" s="633"/>
      <c r="AN141" s="825">
        <f t="shared" si="35"/>
        <v>640</v>
      </c>
      <c r="AO141" s="687"/>
      <c r="AP141" s="687"/>
      <c r="AQ141" s="687"/>
      <c r="AR141" s="825"/>
      <c r="AS141" s="687">
        <f>I141</f>
        <v>640</v>
      </c>
      <c r="AT141" s="687"/>
      <c r="AU141" s="825">
        <f t="shared" si="36"/>
        <v>640</v>
      </c>
      <c r="AV141" s="825"/>
      <c r="AW141" s="825">
        <f t="shared" si="34"/>
        <v>640</v>
      </c>
      <c r="AX141" s="825"/>
      <c r="AY141" s="1305"/>
      <c r="AZ141" s="1305"/>
      <c r="BA141" s="1305"/>
      <c r="BB141" s="1305"/>
      <c r="BC141" s="1305"/>
      <c r="BD141" s="1305"/>
      <c r="BE141" s="1305"/>
      <c r="BF141" s="1305"/>
      <c r="BG141" s="1305"/>
      <c r="BH141" s="1305"/>
      <c r="BI141" s="825">
        <f>I141/4</f>
        <v>160</v>
      </c>
      <c r="BJ141" s="1305"/>
      <c r="BK141" s="1305"/>
      <c r="BL141" s="1305"/>
      <c r="BM141" s="1305"/>
      <c r="BN141" s="1305"/>
      <c r="BO141" s="1305"/>
      <c r="BP141" s="1305"/>
    </row>
    <row r="142" s="1265" customFormat="1" ht="31" customHeight="1" spans="1:68">
      <c r="A142" s="1304">
        <v>45798</v>
      </c>
      <c r="B142" s="822" t="s">
        <v>722</v>
      </c>
      <c r="C142" s="633" t="s">
        <v>723</v>
      </c>
      <c r="D142" s="825">
        <v>4500165851</v>
      </c>
      <c r="E142" s="633" t="s">
        <v>724</v>
      </c>
      <c r="F142" s="1305" t="s">
        <v>725</v>
      </c>
      <c r="G142" s="659" t="s">
        <v>111</v>
      </c>
      <c r="H142" s="633" t="s">
        <v>112</v>
      </c>
      <c r="I142" s="633">
        <v>656</v>
      </c>
      <c r="J142" s="633">
        <v>0</v>
      </c>
      <c r="K142" s="633">
        <v>16</v>
      </c>
      <c r="L142" s="827">
        <f t="shared" si="37"/>
        <v>41</v>
      </c>
      <c r="M142" s="828">
        <v>45828</v>
      </c>
      <c r="N142" s="828">
        <v>45830</v>
      </c>
      <c r="O142" s="824"/>
      <c r="P142" s="824" t="s">
        <v>113</v>
      </c>
      <c r="Q142" s="633"/>
      <c r="R142" s="829">
        <v>45792</v>
      </c>
      <c r="S142" s="829" t="s">
        <v>70</v>
      </c>
      <c r="T142" s="829">
        <v>45789</v>
      </c>
      <c r="U142" s="829"/>
      <c r="V142" s="829"/>
      <c r="W142" s="829"/>
      <c r="X142" s="822" t="s">
        <v>726</v>
      </c>
      <c r="Y142" s="828" t="s">
        <v>727</v>
      </c>
      <c r="Z142" s="1306">
        <v>4.39</v>
      </c>
      <c r="AA142" s="831">
        <f t="shared" si="33"/>
        <v>2879.84</v>
      </c>
      <c r="AC142" s="1307" t="s">
        <v>728</v>
      </c>
      <c r="AD142" s="633" t="s">
        <v>111</v>
      </c>
      <c r="AE142" s="633" t="s">
        <v>82</v>
      </c>
      <c r="AF142" s="633"/>
      <c r="AG142" s="618" t="s">
        <v>74</v>
      </c>
      <c r="AH142" s="618"/>
      <c r="AI142" s="1308">
        <v>656</v>
      </c>
      <c r="AJ142" s="824">
        <f t="shared" si="25"/>
        <v>0</v>
      </c>
      <c r="AK142" s="633"/>
      <c r="AL142" s="633"/>
      <c r="AM142" s="633"/>
      <c r="AN142" s="825">
        <f t="shared" si="35"/>
        <v>656</v>
      </c>
      <c r="AO142" s="687"/>
      <c r="AP142" s="687"/>
      <c r="AQ142" s="687"/>
      <c r="AR142" s="825">
        <f>I142</f>
        <v>656</v>
      </c>
      <c r="AS142" s="687"/>
      <c r="AT142" s="687"/>
      <c r="AU142" s="825">
        <f t="shared" si="36"/>
        <v>656</v>
      </c>
      <c r="AV142" s="825"/>
      <c r="AW142" s="825">
        <f t="shared" si="34"/>
        <v>656</v>
      </c>
      <c r="AX142" s="825"/>
      <c r="AY142" s="1305"/>
      <c r="AZ142" s="1305"/>
      <c r="BA142" s="1305"/>
      <c r="BB142" s="1305"/>
      <c r="BC142" s="1305"/>
      <c r="BD142" s="1305"/>
      <c r="BE142" s="1305"/>
      <c r="BF142" s="1305"/>
      <c r="BG142" s="1305"/>
      <c r="BH142" s="825">
        <f>I142/4</f>
        <v>164</v>
      </c>
      <c r="BI142" s="1305"/>
      <c r="BJ142" s="1305"/>
      <c r="BK142" s="1305"/>
      <c r="BL142" s="1305"/>
      <c r="BM142" s="1305"/>
      <c r="BN142" s="1305"/>
      <c r="BO142" s="1305"/>
      <c r="BP142" s="1305"/>
    </row>
    <row r="143" s="1265" customFormat="1" ht="31" customHeight="1" spans="1:68">
      <c r="A143" s="1304">
        <v>45723</v>
      </c>
      <c r="B143" s="822" t="s">
        <v>729</v>
      </c>
      <c r="C143" s="633" t="s">
        <v>278</v>
      </c>
      <c r="D143" s="825">
        <v>4500159524</v>
      </c>
      <c r="E143" s="633" t="s">
        <v>730</v>
      </c>
      <c r="F143" s="1305" t="s">
        <v>731</v>
      </c>
      <c r="G143" s="659" t="s">
        <v>111</v>
      </c>
      <c r="H143" s="633" t="s">
        <v>112</v>
      </c>
      <c r="I143" s="633">
        <v>4736</v>
      </c>
      <c r="J143" s="633">
        <v>0</v>
      </c>
      <c r="K143" s="633">
        <v>16</v>
      </c>
      <c r="L143" s="827">
        <f t="shared" si="37"/>
        <v>296</v>
      </c>
      <c r="M143" s="828">
        <v>45824</v>
      </c>
      <c r="N143" s="828">
        <v>45830</v>
      </c>
      <c r="O143" s="824" t="s">
        <v>732</v>
      </c>
      <c r="P143" s="824" t="s">
        <v>113</v>
      </c>
      <c r="Q143" s="633"/>
      <c r="R143" s="829">
        <v>45727</v>
      </c>
      <c r="S143" s="829" t="s">
        <v>70</v>
      </c>
      <c r="T143" s="829" t="s">
        <v>70</v>
      </c>
      <c r="U143" s="829"/>
      <c r="V143" s="829"/>
      <c r="W143" s="829"/>
      <c r="X143" s="822" t="s">
        <v>733</v>
      </c>
      <c r="Y143" s="828" t="s">
        <v>734</v>
      </c>
      <c r="Z143" s="1306">
        <v>4.39</v>
      </c>
      <c r="AA143" s="831">
        <f t="shared" si="33"/>
        <v>20791.04</v>
      </c>
      <c r="AC143" s="1313" t="s">
        <v>735</v>
      </c>
      <c r="AD143" s="633" t="s">
        <v>111</v>
      </c>
      <c r="AE143" s="633" t="s">
        <v>82</v>
      </c>
      <c r="AF143" s="633"/>
      <c r="AG143" s="618" t="s">
        <v>74</v>
      </c>
      <c r="AH143" s="618"/>
      <c r="AI143" s="1308">
        <f>4704+32</f>
        <v>4736</v>
      </c>
      <c r="AJ143" s="824">
        <f t="shared" si="25"/>
        <v>0</v>
      </c>
      <c r="AK143" s="633"/>
      <c r="AL143" s="633"/>
      <c r="AM143" s="633"/>
      <c r="AN143" s="825">
        <f t="shared" si="35"/>
        <v>4736</v>
      </c>
      <c r="AO143" s="687"/>
      <c r="AP143" s="687"/>
      <c r="AQ143" s="687"/>
      <c r="AR143" s="825">
        <f>I143</f>
        <v>4736</v>
      </c>
      <c r="AS143" s="687"/>
      <c r="AT143" s="687"/>
      <c r="AU143" s="825">
        <f t="shared" si="36"/>
        <v>4736</v>
      </c>
      <c r="AV143" s="825"/>
      <c r="AW143" s="825">
        <f t="shared" si="34"/>
        <v>4736</v>
      </c>
      <c r="AX143" s="825"/>
      <c r="AY143" s="1305"/>
      <c r="AZ143" s="1305"/>
      <c r="BA143" s="1305"/>
      <c r="BB143" s="1305"/>
      <c r="BC143" s="1305"/>
      <c r="BD143" s="1305"/>
      <c r="BE143" s="1305"/>
      <c r="BF143" s="1305"/>
      <c r="BG143" s="1305"/>
      <c r="BH143" s="825">
        <f>I143/4</f>
        <v>1184</v>
      </c>
      <c r="BI143" s="1305"/>
      <c r="BJ143" s="1305"/>
      <c r="BK143" s="1305"/>
      <c r="BL143" s="1305"/>
      <c r="BM143" s="1305"/>
      <c r="BN143" s="1305"/>
      <c r="BO143" s="1305"/>
      <c r="BP143" s="1305"/>
    </row>
    <row r="144" s="1265" customFormat="1" ht="31" customHeight="1" spans="1:68">
      <c r="A144" s="1304">
        <v>45775</v>
      </c>
      <c r="B144" s="822" t="s">
        <v>729</v>
      </c>
      <c r="C144" s="633" t="s">
        <v>278</v>
      </c>
      <c r="D144" s="825">
        <v>4500159524</v>
      </c>
      <c r="E144" s="633" t="s">
        <v>736</v>
      </c>
      <c r="F144" s="1305" t="s">
        <v>737</v>
      </c>
      <c r="G144" s="659" t="s">
        <v>111</v>
      </c>
      <c r="H144" s="633" t="s">
        <v>112</v>
      </c>
      <c r="I144" s="633">
        <v>4736</v>
      </c>
      <c r="J144" s="633">
        <v>0</v>
      </c>
      <c r="K144" s="633">
        <v>16</v>
      </c>
      <c r="L144" s="827">
        <f t="shared" si="37"/>
        <v>296</v>
      </c>
      <c r="M144" s="828">
        <v>45824</v>
      </c>
      <c r="N144" s="828">
        <v>45830</v>
      </c>
      <c r="O144" s="824" t="s">
        <v>732</v>
      </c>
      <c r="P144" s="824" t="s">
        <v>113</v>
      </c>
      <c r="Q144" s="633"/>
      <c r="R144" s="829">
        <v>45727</v>
      </c>
      <c r="S144" s="829" t="s">
        <v>70</v>
      </c>
      <c r="T144" s="829" t="s">
        <v>70</v>
      </c>
      <c r="U144" s="829"/>
      <c r="V144" s="829"/>
      <c r="W144" s="829"/>
      <c r="X144" s="822" t="s">
        <v>733</v>
      </c>
      <c r="Y144" s="828" t="s">
        <v>734</v>
      </c>
      <c r="Z144" s="1306">
        <v>4.39</v>
      </c>
      <c r="AA144" s="831">
        <f t="shared" si="33"/>
        <v>20791.04</v>
      </c>
      <c r="AC144" s="1313" t="s">
        <v>735</v>
      </c>
      <c r="AD144" s="633" t="s">
        <v>111</v>
      </c>
      <c r="AE144" s="633" t="s">
        <v>82</v>
      </c>
      <c r="AF144" s="633"/>
      <c r="AG144" s="618" t="s">
        <v>74</v>
      </c>
      <c r="AH144" s="618"/>
      <c r="AI144" s="1308">
        <f>4544+192</f>
        <v>4736</v>
      </c>
      <c r="AJ144" s="824">
        <f t="shared" si="25"/>
        <v>0</v>
      </c>
      <c r="AK144" s="633"/>
      <c r="AL144" s="633"/>
      <c r="AM144" s="633"/>
      <c r="AN144" s="825">
        <f t="shared" si="35"/>
        <v>4736</v>
      </c>
      <c r="AO144" s="687"/>
      <c r="AP144" s="687"/>
      <c r="AQ144" s="687"/>
      <c r="AR144" s="825">
        <f>I144</f>
        <v>4736</v>
      </c>
      <c r="AS144" s="687"/>
      <c r="AT144" s="687"/>
      <c r="AU144" s="825">
        <f t="shared" si="36"/>
        <v>4736</v>
      </c>
      <c r="AV144" s="825"/>
      <c r="AW144" s="825">
        <f t="shared" si="34"/>
        <v>4736</v>
      </c>
      <c r="AX144" s="825"/>
      <c r="AY144" s="1305"/>
      <c r="AZ144" s="1305"/>
      <c r="BA144" s="1305"/>
      <c r="BB144" s="1305"/>
      <c r="BC144" s="1305"/>
      <c r="BD144" s="1305"/>
      <c r="BE144" s="1305"/>
      <c r="BF144" s="1305"/>
      <c r="BG144" s="1305"/>
      <c r="BH144" s="825">
        <f>I144/4</f>
        <v>1184</v>
      </c>
      <c r="BI144" s="1305"/>
      <c r="BJ144" s="1305"/>
      <c r="BK144" s="1305"/>
      <c r="BL144" s="1305"/>
      <c r="BM144" s="1305"/>
      <c r="BN144" s="1305"/>
      <c r="BO144" s="1305"/>
      <c r="BP144" s="1305"/>
    </row>
    <row r="145" s="1265" customFormat="1" ht="31" customHeight="1" spans="1:68">
      <c r="A145" s="1304">
        <v>45799</v>
      </c>
      <c r="B145" s="822" t="s">
        <v>738</v>
      </c>
      <c r="C145" s="633" t="s">
        <v>348</v>
      </c>
      <c r="D145" s="825">
        <v>4500167152</v>
      </c>
      <c r="E145" s="633" t="s">
        <v>739</v>
      </c>
      <c r="F145" s="1305" t="s">
        <v>740</v>
      </c>
      <c r="G145" s="659" t="s">
        <v>68</v>
      </c>
      <c r="H145" s="633" t="s">
        <v>69</v>
      </c>
      <c r="I145" s="633">
        <v>420</v>
      </c>
      <c r="J145" s="633">
        <v>0</v>
      </c>
      <c r="K145" s="633">
        <v>12</v>
      </c>
      <c r="L145" s="827">
        <f t="shared" si="37"/>
        <v>35</v>
      </c>
      <c r="M145" s="828">
        <v>45831</v>
      </c>
      <c r="N145" s="828">
        <v>45831</v>
      </c>
      <c r="O145" s="824"/>
      <c r="P145" s="824" t="s">
        <v>113</v>
      </c>
      <c r="Q145" s="633"/>
      <c r="R145" s="829">
        <v>45797</v>
      </c>
      <c r="S145" s="829" t="s">
        <v>70</v>
      </c>
      <c r="T145" s="829">
        <v>45807</v>
      </c>
      <c r="U145" s="829"/>
      <c r="V145" s="829"/>
      <c r="W145" s="829"/>
      <c r="X145" s="822" t="s">
        <v>741</v>
      </c>
      <c r="Y145" s="828" t="s">
        <v>529</v>
      </c>
      <c r="Z145" s="1306">
        <v>4.1456</v>
      </c>
      <c r="AA145" s="831">
        <f t="shared" si="33"/>
        <v>1741.152</v>
      </c>
      <c r="AC145" s="1307" t="s">
        <v>742</v>
      </c>
      <c r="AD145" s="633" t="s">
        <v>184</v>
      </c>
      <c r="AE145" s="633" t="s">
        <v>82</v>
      </c>
      <c r="AF145" s="633"/>
      <c r="AG145" s="618" t="s">
        <v>74</v>
      </c>
      <c r="AH145" s="618"/>
      <c r="AI145" s="1308">
        <v>420</v>
      </c>
      <c r="AJ145" s="824">
        <f t="shared" si="25"/>
        <v>0</v>
      </c>
      <c r="AK145" s="633"/>
      <c r="AL145" s="633"/>
      <c r="AM145" s="633"/>
      <c r="AN145" s="825">
        <f t="shared" si="35"/>
        <v>420</v>
      </c>
      <c r="AO145" s="687"/>
      <c r="AP145" s="687"/>
      <c r="AQ145" s="687"/>
      <c r="AR145" s="825"/>
      <c r="AS145" s="687">
        <f>I145</f>
        <v>420</v>
      </c>
      <c r="AT145" s="687"/>
      <c r="AU145" s="825">
        <f t="shared" si="36"/>
        <v>420</v>
      </c>
      <c r="AV145" s="825"/>
      <c r="AW145" s="551">
        <f t="shared" si="34"/>
        <v>420</v>
      </c>
      <c r="AX145" s="825"/>
      <c r="AY145" s="1305"/>
      <c r="AZ145" s="1305"/>
      <c r="BA145" s="1305"/>
      <c r="BB145" s="1305"/>
      <c r="BC145" s="1305"/>
      <c r="BD145" s="1305"/>
      <c r="BE145" s="1305"/>
      <c r="BF145" s="1305"/>
      <c r="BG145" s="1305"/>
      <c r="BH145" s="1305"/>
      <c r="BI145" s="1305"/>
      <c r="BJ145" s="1305"/>
      <c r="BK145" s="1305"/>
      <c r="BL145" s="1305"/>
      <c r="BM145" s="1305"/>
      <c r="BN145" s="1305"/>
      <c r="BO145" s="1305"/>
      <c r="BP145" s="1305"/>
    </row>
    <row r="146" s="1265" customFormat="1" ht="31" customHeight="1" spans="1:68">
      <c r="A146" s="1304">
        <v>45785</v>
      </c>
      <c r="B146" s="822" t="s">
        <v>743</v>
      </c>
      <c r="C146" s="633" t="s">
        <v>744</v>
      </c>
      <c r="D146" s="825">
        <v>4500165636</v>
      </c>
      <c r="E146" s="633">
        <v>5000001870</v>
      </c>
      <c r="F146" s="1305" t="s">
        <v>745</v>
      </c>
      <c r="G146" s="659" t="s">
        <v>130</v>
      </c>
      <c r="H146" s="633" t="s">
        <v>131</v>
      </c>
      <c r="I146" s="633">
        <v>1602</v>
      </c>
      <c r="J146" s="633">
        <v>0</v>
      </c>
      <c r="K146" s="633">
        <v>6</v>
      </c>
      <c r="L146" s="827">
        <f t="shared" si="37"/>
        <v>267</v>
      </c>
      <c r="M146" s="828">
        <v>45828</v>
      </c>
      <c r="N146" s="828">
        <v>45832</v>
      </c>
      <c r="O146" s="824" t="s">
        <v>746</v>
      </c>
      <c r="P146" s="824" t="s">
        <v>113</v>
      </c>
      <c r="Q146" s="633"/>
      <c r="R146" s="829">
        <v>45785</v>
      </c>
      <c r="S146" s="829" t="s">
        <v>104</v>
      </c>
      <c r="T146" s="829">
        <v>45791</v>
      </c>
      <c r="U146" s="829"/>
      <c r="V146" s="829"/>
      <c r="W146" s="829"/>
      <c r="X146" s="822" t="s">
        <v>747</v>
      </c>
      <c r="Y146" s="828" t="s">
        <v>748</v>
      </c>
      <c r="Z146" s="1306">
        <v>4.1</v>
      </c>
      <c r="AA146" s="831">
        <f t="shared" si="33"/>
        <v>6568.2</v>
      </c>
      <c r="AC146" s="1313" t="s">
        <v>749</v>
      </c>
      <c r="AD146" s="633" t="s">
        <v>130</v>
      </c>
      <c r="AE146" s="633" t="s">
        <v>82</v>
      </c>
      <c r="AF146" s="633"/>
      <c r="AG146" s="618" t="s">
        <v>74</v>
      </c>
      <c r="AH146" s="618"/>
      <c r="AI146" s="1308">
        <v>1602</v>
      </c>
      <c r="AJ146" s="824">
        <f t="shared" si="25"/>
        <v>0</v>
      </c>
      <c r="AK146" s="633"/>
      <c r="AL146" s="633"/>
      <c r="AM146" s="633"/>
      <c r="AN146" s="825">
        <f t="shared" si="35"/>
        <v>1602</v>
      </c>
      <c r="AO146" s="687"/>
      <c r="AP146" s="687"/>
      <c r="AQ146" s="687"/>
      <c r="AR146" s="825">
        <f>I146</f>
        <v>1602</v>
      </c>
      <c r="AS146" s="687"/>
      <c r="AT146" s="687"/>
      <c r="AU146" s="825"/>
      <c r="AV146" s="687">
        <f>I146</f>
        <v>1602</v>
      </c>
      <c r="AW146" s="825"/>
      <c r="AX146" s="834">
        <f>I146</f>
        <v>1602</v>
      </c>
      <c r="AY146" s="1305"/>
      <c r="AZ146" s="1305"/>
      <c r="BA146" s="1305"/>
      <c r="BB146" s="1305"/>
      <c r="BC146" s="1305"/>
      <c r="BD146" s="1305"/>
      <c r="BE146" s="1305"/>
      <c r="BF146" s="1305"/>
      <c r="BG146" s="1305"/>
      <c r="BH146" s="1305"/>
      <c r="BI146" s="1305"/>
      <c r="BJ146" s="1305"/>
      <c r="BK146" s="1305"/>
      <c r="BL146" s="1305"/>
      <c r="BM146" s="1305"/>
      <c r="BN146" s="1305"/>
      <c r="BO146" s="1305"/>
      <c r="BP146" s="1305"/>
    </row>
    <row r="147" s="1265" customFormat="1" ht="31" customHeight="1" spans="1:68">
      <c r="A147" s="1304">
        <v>45789</v>
      </c>
      <c r="B147" s="822" t="s">
        <v>743</v>
      </c>
      <c r="C147" s="633" t="s">
        <v>744</v>
      </c>
      <c r="D147" s="825">
        <v>4500165636</v>
      </c>
      <c r="E147" s="633">
        <v>5000001870</v>
      </c>
      <c r="F147" s="1305" t="s">
        <v>750</v>
      </c>
      <c r="G147" s="659" t="s">
        <v>130</v>
      </c>
      <c r="H147" s="633" t="s">
        <v>131</v>
      </c>
      <c r="I147" s="633">
        <v>96</v>
      </c>
      <c r="J147" s="633">
        <v>0</v>
      </c>
      <c r="K147" s="633">
        <v>6</v>
      </c>
      <c r="L147" s="827">
        <f t="shared" si="37"/>
        <v>16</v>
      </c>
      <c r="M147" s="828">
        <v>45828</v>
      </c>
      <c r="N147" s="828">
        <v>45832</v>
      </c>
      <c r="O147" s="824" t="s">
        <v>746</v>
      </c>
      <c r="P147" s="824" t="s">
        <v>113</v>
      </c>
      <c r="Q147" s="633"/>
      <c r="R147" s="829">
        <v>45785</v>
      </c>
      <c r="S147" s="829" t="s">
        <v>104</v>
      </c>
      <c r="T147" s="829">
        <v>45791</v>
      </c>
      <c r="U147" s="829"/>
      <c r="V147" s="829"/>
      <c r="W147" s="829"/>
      <c r="X147" s="822" t="s">
        <v>747</v>
      </c>
      <c r="Y147" s="828" t="s">
        <v>748</v>
      </c>
      <c r="Z147" s="1306">
        <v>4.1</v>
      </c>
      <c r="AA147" s="831">
        <f t="shared" si="33"/>
        <v>393.6</v>
      </c>
      <c r="AC147" s="1313" t="s">
        <v>749</v>
      </c>
      <c r="AD147" s="633" t="s">
        <v>130</v>
      </c>
      <c r="AE147" s="633" t="s">
        <v>82</v>
      </c>
      <c r="AF147" s="633"/>
      <c r="AG147" s="618" t="s">
        <v>74</v>
      </c>
      <c r="AH147" s="618"/>
      <c r="AI147" s="1308">
        <v>96</v>
      </c>
      <c r="AJ147" s="824">
        <f t="shared" si="25"/>
        <v>0</v>
      </c>
      <c r="AK147" s="633"/>
      <c r="AL147" s="633"/>
      <c r="AM147" s="633"/>
      <c r="AN147" s="825">
        <f t="shared" si="35"/>
        <v>96</v>
      </c>
      <c r="AO147" s="687"/>
      <c r="AP147" s="687"/>
      <c r="AQ147" s="687"/>
      <c r="AR147" s="825">
        <f>I147</f>
        <v>96</v>
      </c>
      <c r="AS147" s="687"/>
      <c r="AT147" s="687"/>
      <c r="AU147" s="825"/>
      <c r="AV147" s="687">
        <f>I147</f>
        <v>96</v>
      </c>
      <c r="AW147" s="825"/>
      <c r="AX147" s="834">
        <f>I147</f>
        <v>96</v>
      </c>
      <c r="AY147" s="1305"/>
      <c r="AZ147" s="1305"/>
      <c r="BA147" s="1305"/>
      <c r="BB147" s="1305"/>
      <c r="BC147" s="1305"/>
      <c r="BD147" s="1305"/>
      <c r="BE147" s="1305"/>
      <c r="BF147" s="1305"/>
      <c r="BG147" s="1305"/>
      <c r="BH147" s="1305"/>
      <c r="BI147" s="1305"/>
      <c r="BJ147" s="1305"/>
      <c r="BK147" s="1305"/>
      <c r="BL147" s="1305"/>
      <c r="BM147" s="1305"/>
      <c r="BN147" s="1305"/>
      <c r="BO147" s="1305"/>
      <c r="BP147" s="1305"/>
    </row>
    <row r="148" s="1265" customFormat="1" ht="31" customHeight="1" spans="1:68">
      <c r="A148" s="1304">
        <v>45762</v>
      </c>
      <c r="B148" s="822" t="s">
        <v>301</v>
      </c>
      <c r="C148" s="633" t="s">
        <v>302</v>
      </c>
      <c r="D148" s="825">
        <v>4500163394</v>
      </c>
      <c r="E148" s="633">
        <v>5200006588</v>
      </c>
      <c r="F148" s="1305" t="s">
        <v>751</v>
      </c>
      <c r="G148" s="659" t="s">
        <v>156</v>
      </c>
      <c r="H148" s="633" t="s">
        <v>102</v>
      </c>
      <c r="I148" s="633">
        <v>1852</v>
      </c>
      <c r="J148" s="633">
        <v>0</v>
      </c>
      <c r="K148" s="633">
        <v>4</v>
      </c>
      <c r="L148" s="827">
        <f t="shared" si="37"/>
        <v>463</v>
      </c>
      <c r="M148" s="828">
        <v>45824</v>
      </c>
      <c r="N148" s="828">
        <v>45827</v>
      </c>
      <c r="O148" s="824"/>
      <c r="P148" s="824" t="s">
        <v>113</v>
      </c>
      <c r="Q148" s="633"/>
      <c r="R148" s="829" t="s">
        <v>752</v>
      </c>
      <c r="S148" s="829" t="s">
        <v>70</v>
      </c>
      <c r="T148" s="829" t="s">
        <v>753</v>
      </c>
      <c r="U148" s="829"/>
      <c r="V148" s="829" t="s">
        <v>754</v>
      </c>
      <c r="W148" s="829"/>
      <c r="X148" s="628" t="s">
        <v>755</v>
      </c>
      <c r="Y148" s="1014" t="s">
        <v>305</v>
      </c>
      <c r="Z148" s="1306">
        <v>5.03</v>
      </c>
      <c r="AA148" s="831">
        <f t="shared" si="33"/>
        <v>9315.56</v>
      </c>
      <c r="AC148" s="632" t="s">
        <v>756</v>
      </c>
      <c r="AD148" s="633" t="s">
        <v>156</v>
      </c>
      <c r="AE148" s="633" t="s">
        <v>82</v>
      </c>
      <c r="AF148" s="633"/>
      <c r="AG148" s="618" t="s">
        <v>74</v>
      </c>
      <c r="AH148" s="618"/>
      <c r="AI148" s="1308">
        <f>1828+24</f>
        <v>1852</v>
      </c>
      <c r="AJ148" s="824">
        <f t="shared" si="25"/>
        <v>0</v>
      </c>
      <c r="AK148" s="633"/>
      <c r="AL148" s="633"/>
      <c r="AM148" s="633"/>
      <c r="AN148" s="825">
        <f t="shared" si="35"/>
        <v>1852</v>
      </c>
      <c r="AO148" s="687"/>
      <c r="AP148" s="687"/>
      <c r="AQ148" s="687"/>
      <c r="AR148" s="825"/>
      <c r="AS148" s="687">
        <f>I148</f>
        <v>1852</v>
      </c>
      <c r="AT148" s="687"/>
      <c r="AU148" s="825">
        <f t="shared" ref="AU148:AU163" si="38">I148</f>
        <v>1852</v>
      </c>
      <c r="AV148" s="825"/>
      <c r="AW148" s="825">
        <f t="shared" ref="AW146:AW163" si="39">I148</f>
        <v>1852</v>
      </c>
      <c r="AX148" s="825"/>
      <c r="AY148" s="1305"/>
      <c r="AZ148" s="1305"/>
      <c r="BA148" s="1305"/>
      <c r="BB148" s="1305"/>
      <c r="BC148" s="1305"/>
      <c r="BD148" s="1305"/>
      <c r="BE148" s="1305"/>
      <c r="BF148" s="1305"/>
      <c r="BG148" s="1305"/>
      <c r="BH148" s="1305"/>
      <c r="BI148" s="825">
        <f>I148/4</f>
        <v>463</v>
      </c>
      <c r="BJ148" s="1305"/>
      <c r="BK148" s="1305"/>
      <c r="BL148" s="1305"/>
      <c r="BM148" s="1305"/>
      <c r="BN148" s="1305"/>
      <c r="BO148" s="1305"/>
      <c r="BP148" s="1305"/>
    </row>
    <row r="149" s="1265" customFormat="1" ht="31" customHeight="1" spans="1:68">
      <c r="A149" s="1304">
        <v>45762</v>
      </c>
      <c r="B149" s="822" t="s">
        <v>757</v>
      </c>
      <c r="C149" s="633" t="s">
        <v>758</v>
      </c>
      <c r="D149" s="825">
        <v>4500163691</v>
      </c>
      <c r="E149" s="633" t="s">
        <v>759</v>
      </c>
      <c r="F149" s="1305" t="s">
        <v>760</v>
      </c>
      <c r="G149" s="659" t="s">
        <v>68</v>
      </c>
      <c r="H149" s="633" t="s">
        <v>69</v>
      </c>
      <c r="I149" s="633">
        <v>504</v>
      </c>
      <c r="J149" s="633">
        <v>0</v>
      </c>
      <c r="K149" s="633">
        <v>12</v>
      </c>
      <c r="L149" s="827">
        <f t="shared" si="37"/>
        <v>42</v>
      </c>
      <c r="M149" s="828">
        <v>45818</v>
      </c>
      <c r="N149" s="828">
        <v>45828</v>
      </c>
      <c r="O149" s="824" t="s">
        <v>761</v>
      </c>
      <c r="P149" s="824" t="s">
        <v>113</v>
      </c>
      <c r="Q149" s="633"/>
      <c r="R149" s="829">
        <v>45784</v>
      </c>
      <c r="S149" s="829" t="s">
        <v>70</v>
      </c>
      <c r="T149" s="829">
        <v>45813</v>
      </c>
      <c r="U149" s="829"/>
      <c r="V149" s="829"/>
      <c r="W149" s="829"/>
      <c r="X149" s="822" t="s">
        <v>762</v>
      </c>
      <c r="Y149" s="828" t="s">
        <v>529</v>
      </c>
      <c r="Z149" s="1306">
        <v>4.1</v>
      </c>
      <c r="AA149" s="831">
        <f t="shared" si="33"/>
        <v>2066.4</v>
      </c>
      <c r="AC149" s="632" t="s">
        <v>763</v>
      </c>
      <c r="AD149" s="633" t="s">
        <v>184</v>
      </c>
      <c r="AE149" s="633" t="s">
        <v>82</v>
      </c>
      <c r="AF149" s="633"/>
      <c r="AG149" s="618" t="s">
        <v>74</v>
      </c>
      <c r="AH149" s="618"/>
      <c r="AI149" s="1308">
        <v>504</v>
      </c>
      <c r="AJ149" s="824">
        <f t="shared" si="25"/>
        <v>0</v>
      </c>
      <c r="AK149" s="633"/>
      <c r="AL149" s="633"/>
      <c r="AM149" s="633"/>
      <c r="AN149" s="825">
        <f t="shared" si="35"/>
        <v>504</v>
      </c>
      <c r="AO149" s="687"/>
      <c r="AP149" s="687"/>
      <c r="AQ149" s="687"/>
      <c r="AR149" s="825"/>
      <c r="AS149" s="687">
        <f>I149</f>
        <v>504</v>
      </c>
      <c r="AT149" s="687"/>
      <c r="AU149" s="825">
        <f t="shared" si="38"/>
        <v>504</v>
      </c>
      <c r="AV149" s="825"/>
      <c r="AW149" s="825">
        <f t="shared" si="39"/>
        <v>504</v>
      </c>
      <c r="AX149" s="825"/>
      <c r="AY149" s="1305"/>
      <c r="AZ149" s="1305"/>
      <c r="BA149" s="1305"/>
      <c r="BB149" s="1305"/>
      <c r="BC149" s="1305"/>
      <c r="BD149" s="1305"/>
      <c r="BE149" s="1305"/>
      <c r="BF149" s="1305"/>
      <c r="BG149" s="1305"/>
      <c r="BH149" s="1305"/>
      <c r="BI149" s="1305"/>
      <c r="BJ149" s="1305"/>
      <c r="BK149" s="1305"/>
      <c r="BL149" s="1305"/>
      <c r="BM149" s="1305"/>
      <c r="BN149" s="1305"/>
      <c r="BO149" s="1305"/>
      <c r="BP149" s="1305"/>
    </row>
    <row r="150" s="1265" customFormat="1" ht="31" customHeight="1" spans="1:68">
      <c r="A150" s="1304">
        <v>45792</v>
      </c>
      <c r="B150" s="822" t="s">
        <v>764</v>
      </c>
      <c r="C150" s="633" t="s">
        <v>765</v>
      </c>
      <c r="D150" s="825">
        <v>4500166306</v>
      </c>
      <c r="E150" s="633" t="s">
        <v>766</v>
      </c>
      <c r="F150" s="1305" t="s">
        <v>767</v>
      </c>
      <c r="G150" s="659" t="s">
        <v>101</v>
      </c>
      <c r="H150" s="633" t="s">
        <v>102</v>
      </c>
      <c r="I150" s="633">
        <v>1000</v>
      </c>
      <c r="J150" s="633">
        <v>0</v>
      </c>
      <c r="K150" s="633">
        <v>4</v>
      </c>
      <c r="L150" s="827">
        <f t="shared" si="37"/>
        <v>250</v>
      </c>
      <c r="M150" s="828">
        <v>45831</v>
      </c>
      <c r="N150" s="828">
        <v>45831</v>
      </c>
      <c r="O150" s="824"/>
      <c r="P150" s="824" t="s">
        <v>113</v>
      </c>
      <c r="Q150" s="633"/>
      <c r="R150" s="829">
        <v>45806</v>
      </c>
      <c r="S150" s="829" t="s">
        <v>70</v>
      </c>
      <c r="T150" s="829">
        <v>45806</v>
      </c>
      <c r="U150" s="829"/>
      <c r="V150" s="829"/>
      <c r="W150" s="829"/>
      <c r="X150" s="628" t="s">
        <v>768</v>
      </c>
      <c r="Y150" s="828" t="s">
        <v>645</v>
      </c>
      <c r="Z150" s="1306">
        <v>4.2501</v>
      </c>
      <c r="AA150" s="831">
        <f t="shared" si="33"/>
        <v>4250.1</v>
      </c>
      <c r="AC150" s="617" t="s">
        <v>769</v>
      </c>
      <c r="AD150" s="633" t="s">
        <v>101</v>
      </c>
      <c r="AE150" s="633" t="s">
        <v>82</v>
      </c>
      <c r="AF150" s="633"/>
      <c r="AG150" s="618" t="s">
        <v>74</v>
      </c>
      <c r="AH150" s="618"/>
      <c r="AI150" s="1308">
        <v>1000</v>
      </c>
      <c r="AJ150" s="824">
        <f t="shared" si="25"/>
        <v>0</v>
      </c>
      <c r="AK150" s="633"/>
      <c r="AL150" s="633"/>
      <c r="AM150" s="633"/>
      <c r="AN150" s="825">
        <f t="shared" si="35"/>
        <v>1000</v>
      </c>
      <c r="AO150" s="687"/>
      <c r="AP150" s="687"/>
      <c r="AQ150" s="687"/>
      <c r="AR150" s="825">
        <f>I150</f>
        <v>1000</v>
      </c>
      <c r="AS150" s="687"/>
      <c r="AT150" s="687"/>
      <c r="AU150" s="825">
        <f t="shared" si="38"/>
        <v>1000</v>
      </c>
      <c r="AV150" s="825"/>
      <c r="AW150" s="825">
        <f t="shared" si="39"/>
        <v>1000</v>
      </c>
      <c r="AX150" s="825"/>
      <c r="AY150" s="1305"/>
      <c r="AZ150" s="1305"/>
      <c r="BA150" s="1305"/>
      <c r="BB150" s="1305"/>
      <c r="BC150" s="1305"/>
      <c r="BD150" s="1305"/>
      <c r="BE150" s="1305"/>
      <c r="BF150" s="1305"/>
      <c r="BG150" s="1305"/>
      <c r="BH150" s="825">
        <f>I150/4</f>
        <v>250</v>
      </c>
      <c r="BI150" s="1305"/>
      <c r="BJ150" s="1305"/>
      <c r="BK150" s="1305"/>
      <c r="BL150" s="1305"/>
      <c r="BM150" s="1305"/>
      <c r="BN150" s="1305"/>
      <c r="BO150" s="1305"/>
      <c r="BP150" s="1305"/>
    </row>
    <row r="151" s="1265" customFormat="1" ht="31" customHeight="1" spans="1:68">
      <c r="A151" s="1304">
        <v>45793</v>
      </c>
      <c r="B151" s="822" t="s">
        <v>770</v>
      </c>
      <c r="C151" s="633" t="s">
        <v>170</v>
      </c>
      <c r="D151" s="825">
        <v>4500166007</v>
      </c>
      <c r="E151" s="633">
        <v>3501527806</v>
      </c>
      <c r="F151" s="1305" t="s">
        <v>771</v>
      </c>
      <c r="G151" s="659" t="s">
        <v>68</v>
      </c>
      <c r="H151" s="633" t="s">
        <v>69</v>
      </c>
      <c r="I151" s="633">
        <v>828</v>
      </c>
      <c r="J151" s="633">
        <v>0</v>
      </c>
      <c r="K151" s="633">
        <v>12</v>
      </c>
      <c r="L151" s="827">
        <f t="shared" si="37"/>
        <v>69</v>
      </c>
      <c r="M151" s="828">
        <v>45831</v>
      </c>
      <c r="N151" s="828">
        <v>45831</v>
      </c>
      <c r="O151" s="824" t="s">
        <v>772</v>
      </c>
      <c r="P151" s="824" t="s">
        <v>113</v>
      </c>
      <c r="Q151" s="633"/>
      <c r="R151" s="829">
        <v>45799</v>
      </c>
      <c r="S151" s="829" t="s">
        <v>70</v>
      </c>
      <c r="T151" s="829">
        <v>45793</v>
      </c>
      <c r="U151" s="829"/>
      <c r="V151" s="829"/>
      <c r="W151" s="829"/>
      <c r="X151" s="822" t="s">
        <v>773</v>
      </c>
      <c r="Y151" s="828" t="s">
        <v>774</v>
      </c>
      <c r="Z151" s="1306">
        <v>4.1018</v>
      </c>
      <c r="AA151" s="831">
        <f t="shared" si="33"/>
        <v>3396.2904</v>
      </c>
      <c r="AC151" s="632" t="s">
        <v>775</v>
      </c>
      <c r="AD151" s="633" t="s">
        <v>184</v>
      </c>
      <c r="AE151" s="633" t="s">
        <v>82</v>
      </c>
      <c r="AF151" s="633"/>
      <c r="AG151" s="618" t="s">
        <v>74</v>
      </c>
      <c r="AH151" s="618"/>
      <c r="AI151" s="1308">
        <v>828</v>
      </c>
      <c r="AJ151" s="824">
        <f t="shared" si="25"/>
        <v>0</v>
      </c>
      <c r="AK151" s="633"/>
      <c r="AL151" s="633"/>
      <c r="AM151" s="633"/>
      <c r="AN151" s="825">
        <f t="shared" si="35"/>
        <v>828</v>
      </c>
      <c r="AO151" s="687"/>
      <c r="AP151" s="687"/>
      <c r="AQ151" s="687"/>
      <c r="AR151" s="825"/>
      <c r="AS151" s="687">
        <f>I151</f>
        <v>828</v>
      </c>
      <c r="AT151" s="687"/>
      <c r="AU151" s="825">
        <f t="shared" si="38"/>
        <v>828</v>
      </c>
      <c r="AV151" s="825"/>
      <c r="AW151" s="825">
        <f t="shared" si="39"/>
        <v>828</v>
      </c>
      <c r="AX151" s="825"/>
      <c r="AY151" s="1305"/>
      <c r="AZ151" s="1305"/>
      <c r="BA151" s="1305"/>
      <c r="BB151" s="1305"/>
      <c r="BC151" s="1305"/>
      <c r="BD151" s="1305"/>
      <c r="BE151" s="1305"/>
      <c r="BF151" s="1305"/>
      <c r="BG151" s="1305"/>
      <c r="BH151" s="1305"/>
      <c r="BI151" s="1305"/>
      <c r="BJ151" s="1305"/>
      <c r="BK151" s="1305"/>
      <c r="BL151" s="1305"/>
      <c r="BM151" s="1305"/>
      <c r="BN151" s="1305"/>
      <c r="BO151" s="1305"/>
      <c r="BP151" s="1305"/>
    </row>
    <row r="152" s="1265" customFormat="1" ht="31" customHeight="1" spans="1:68">
      <c r="A152" s="1304">
        <v>45797</v>
      </c>
      <c r="B152" s="822" t="s">
        <v>776</v>
      </c>
      <c r="C152" s="633" t="s">
        <v>170</v>
      </c>
      <c r="D152" s="825">
        <v>4500166281</v>
      </c>
      <c r="E152" s="1413" t="s">
        <v>777</v>
      </c>
      <c r="F152" s="1305" t="s">
        <v>778</v>
      </c>
      <c r="G152" s="659" t="s">
        <v>101</v>
      </c>
      <c r="H152" s="633" t="s">
        <v>102</v>
      </c>
      <c r="I152" s="633">
        <v>3384</v>
      </c>
      <c r="J152" s="633">
        <v>0</v>
      </c>
      <c r="K152" s="633">
        <v>4</v>
      </c>
      <c r="L152" s="827">
        <f t="shared" si="37"/>
        <v>846</v>
      </c>
      <c r="M152" s="828">
        <v>45832</v>
      </c>
      <c r="N152" s="828">
        <v>45831</v>
      </c>
      <c r="O152" s="824"/>
      <c r="P152" s="824" t="s">
        <v>113</v>
      </c>
      <c r="Q152" s="633"/>
      <c r="R152" s="829">
        <v>45803</v>
      </c>
      <c r="S152" s="829" t="s">
        <v>70</v>
      </c>
      <c r="T152" s="829">
        <v>45790</v>
      </c>
      <c r="U152" s="829"/>
      <c r="V152" s="829"/>
      <c r="W152" s="829"/>
      <c r="X152" s="822" t="s">
        <v>779</v>
      </c>
      <c r="Y152" s="828" t="s">
        <v>182</v>
      </c>
      <c r="Z152" s="1306">
        <v>4.2946</v>
      </c>
      <c r="AA152" s="831">
        <f t="shared" si="33"/>
        <v>14532.9264</v>
      </c>
      <c r="AC152" s="1307" t="s">
        <v>780</v>
      </c>
      <c r="AD152" s="633" t="s">
        <v>156</v>
      </c>
      <c r="AE152" s="633" t="s">
        <v>82</v>
      </c>
      <c r="AF152" s="633"/>
      <c r="AG152" s="618" t="s">
        <v>74</v>
      </c>
      <c r="AH152" s="618"/>
      <c r="AI152" s="1308">
        <v>3384</v>
      </c>
      <c r="AJ152" s="824">
        <f t="shared" si="25"/>
        <v>0</v>
      </c>
      <c r="AK152" s="633"/>
      <c r="AL152" s="633"/>
      <c r="AM152" s="633"/>
      <c r="AN152" s="825">
        <f t="shared" si="35"/>
        <v>3384</v>
      </c>
      <c r="AO152" s="687"/>
      <c r="AP152" s="687"/>
      <c r="AQ152" s="687"/>
      <c r="AR152" s="825"/>
      <c r="AS152" s="687">
        <f>I152</f>
        <v>3384</v>
      </c>
      <c r="AT152" s="687"/>
      <c r="AU152" s="825">
        <f t="shared" si="38"/>
        <v>3384</v>
      </c>
      <c r="AV152" s="825"/>
      <c r="AW152" s="825">
        <f t="shared" si="39"/>
        <v>3384</v>
      </c>
      <c r="AX152" s="825"/>
      <c r="AY152" s="1305"/>
      <c r="AZ152" s="1305"/>
      <c r="BA152" s="1305"/>
      <c r="BB152" s="1305"/>
      <c r="BC152" s="1305"/>
      <c r="BD152" s="1305"/>
      <c r="BE152" s="1305"/>
      <c r="BF152" s="1305"/>
      <c r="BG152" s="1305"/>
      <c r="BH152" s="1305"/>
      <c r="BI152" s="825">
        <f>I152/4</f>
        <v>846</v>
      </c>
      <c r="BJ152" s="1305"/>
      <c r="BK152" s="1305"/>
      <c r="BL152" s="1305"/>
      <c r="BM152" s="1305"/>
      <c r="BN152" s="1305"/>
      <c r="BO152" s="1305"/>
      <c r="BP152" s="1305"/>
    </row>
    <row r="153" s="1265" customFormat="1" ht="31" customHeight="1" spans="1:68">
      <c r="A153" s="1304">
        <v>45775</v>
      </c>
      <c r="B153" s="822" t="s">
        <v>781</v>
      </c>
      <c r="C153" s="633" t="s">
        <v>782</v>
      </c>
      <c r="D153" s="825">
        <v>4500167533</v>
      </c>
      <c r="E153" s="633"/>
      <c r="F153" s="1305" t="s">
        <v>783</v>
      </c>
      <c r="G153" s="659" t="s">
        <v>68</v>
      </c>
      <c r="H153" s="633" t="s">
        <v>69</v>
      </c>
      <c r="I153" s="633">
        <v>120</v>
      </c>
      <c r="J153" s="633">
        <v>0</v>
      </c>
      <c r="K153" s="633">
        <v>12</v>
      </c>
      <c r="L153" s="827">
        <f t="shared" si="37"/>
        <v>10</v>
      </c>
      <c r="M153" s="828">
        <v>45831</v>
      </c>
      <c r="N153" s="828">
        <v>45831</v>
      </c>
      <c r="O153" s="824"/>
      <c r="P153" s="824" t="s">
        <v>113</v>
      </c>
      <c r="Q153" s="633"/>
      <c r="R153" s="829">
        <v>45799</v>
      </c>
      <c r="S153" s="829" t="s">
        <v>70</v>
      </c>
      <c r="T153" s="829">
        <v>45805</v>
      </c>
      <c r="U153" s="829"/>
      <c r="V153" s="829"/>
      <c r="W153" s="829"/>
      <c r="X153" s="822" t="s">
        <v>784</v>
      </c>
      <c r="Y153" s="828" t="s">
        <v>529</v>
      </c>
      <c r="Z153" s="1306">
        <v>4.1456</v>
      </c>
      <c r="AA153" s="831">
        <f t="shared" si="33"/>
        <v>497.472</v>
      </c>
      <c r="AC153" s="1307" t="s">
        <v>785</v>
      </c>
      <c r="AD153" s="633" t="s">
        <v>68</v>
      </c>
      <c r="AE153" s="633" t="s">
        <v>82</v>
      </c>
      <c r="AF153" s="633"/>
      <c r="AG153" s="618" t="s">
        <v>74</v>
      </c>
      <c r="AH153" s="618"/>
      <c r="AI153" s="1308">
        <v>120</v>
      </c>
      <c r="AJ153" s="824">
        <f t="shared" si="25"/>
        <v>0</v>
      </c>
      <c r="AK153" s="633"/>
      <c r="AL153" s="633"/>
      <c r="AM153" s="633"/>
      <c r="AN153" s="825">
        <f t="shared" si="35"/>
        <v>120</v>
      </c>
      <c r="AO153" s="687"/>
      <c r="AP153" s="687"/>
      <c r="AQ153" s="687"/>
      <c r="AR153" s="825">
        <f>I153</f>
        <v>120</v>
      </c>
      <c r="AS153" s="687"/>
      <c r="AT153" s="687"/>
      <c r="AU153" s="825">
        <f t="shared" si="38"/>
        <v>120</v>
      </c>
      <c r="AV153" s="825"/>
      <c r="AW153" s="551">
        <f t="shared" si="39"/>
        <v>120</v>
      </c>
      <c r="AX153" s="825"/>
      <c r="AY153" s="1305"/>
      <c r="AZ153" s="1305"/>
      <c r="BA153" s="1305"/>
      <c r="BB153" s="1305"/>
      <c r="BC153" s="1305"/>
      <c r="BD153" s="1305"/>
      <c r="BE153" s="1305"/>
      <c r="BF153" s="1305"/>
      <c r="BG153" s="1305"/>
      <c r="BH153" s="1305"/>
      <c r="BI153" s="1305"/>
      <c r="BJ153" s="1305"/>
      <c r="BK153" s="1305"/>
      <c r="BL153" s="1305"/>
      <c r="BM153" s="1305"/>
      <c r="BN153" s="1305"/>
      <c r="BO153" s="1305"/>
      <c r="BP153" s="1305"/>
    </row>
    <row r="154" s="1265" customFormat="1" ht="31" customHeight="1" spans="1:68">
      <c r="A154" s="1304">
        <v>45796</v>
      </c>
      <c r="B154" s="822" t="s">
        <v>786</v>
      </c>
      <c r="C154" s="633" t="s">
        <v>411</v>
      </c>
      <c r="D154" s="825">
        <v>4500164834</v>
      </c>
      <c r="E154" s="633"/>
      <c r="F154" s="1305" t="s">
        <v>787</v>
      </c>
      <c r="G154" s="659" t="s">
        <v>111</v>
      </c>
      <c r="H154" s="633" t="s">
        <v>112</v>
      </c>
      <c r="I154" s="633">
        <v>608</v>
      </c>
      <c r="J154" s="633">
        <v>0</v>
      </c>
      <c r="K154" s="633">
        <v>16</v>
      </c>
      <c r="L154" s="827">
        <f t="shared" si="37"/>
        <v>38</v>
      </c>
      <c r="M154" s="828">
        <v>45833</v>
      </c>
      <c r="N154" s="828">
        <v>45833</v>
      </c>
      <c r="O154" s="824"/>
      <c r="P154" s="824" t="s">
        <v>113</v>
      </c>
      <c r="Q154" s="633"/>
      <c r="R154" s="829">
        <v>45777</v>
      </c>
      <c r="S154" s="829" t="s">
        <v>70</v>
      </c>
      <c r="T154" s="829">
        <v>45789</v>
      </c>
      <c r="U154" s="829"/>
      <c r="V154" s="829"/>
      <c r="W154" s="829"/>
      <c r="X154" s="822" t="s">
        <v>788</v>
      </c>
      <c r="Y154" s="828" t="s">
        <v>445</v>
      </c>
      <c r="Z154" s="1306">
        <v>4.39</v>
      </c>
      <c r="AA154" s="831">
        <f t="shared" si="33"/>
        <v>2669.12</v>
      </c>
      <c r="AC154" s="632" t="s">
        <v>789</v>
      </c>
      <c r="AD154" s="633" t="s">
        <v>447</v>
      </c>
      <c r="AE154" s="633" t="s">
        <v>82</v>
      </c>
      <c r="AF154" s="633"/>
      <c r="AG154" s="618" t="s">
        <v>74</v>
      </c>
      <c r="AH154" s="618"/>
      <c r="AI154" s="1308">
        <f>560+48</f>
        <v>608</v>
      </c>
      <c r="AJ154" s="824">
        <f t="shared" si="25"/>
        <v>0</v>
      </c>
      <c r="AK154" s="633"/>
      <c r="AL154" s="633"/>
      <c r="AM154" s="633"/>
      <c r="AN154" s="825">
        <f t="shared" si="35"/>
        <v>608</v>
      </c>
      <c r="AO154" s="687"/>
      <c r="AP154" s="687"/>
      <c r="AQ154" s="687"/>
      <c r="AR154" s="825"/>
      <c r="AS154" s="687">
        <f>I154</f>
        <v>608</v>
      </c>
      <c r="AT154" s="687"/>
      <c r="AU154" s="825">
        <f t="shared" si="38"/>
        <v>608</v>
      </c>
      <c r="AV154" s="825"/>
      <c r="AW154" s="825">
        <f t="shared" si="39"/>
        <v>608</v>
      </c>
      <c r="AX154" s="825"/>
      <c r="AY154" s="1305"/>
      <c r="AZ154" s="1305"/>
      <c r="BA154" s="1305"/>
      <c r="BB154" s="1305"/>
      <c r="BC154" s="1305"/>
      <c r="BD154" s="1305"/>
      <c r="BE154" s="1305"/>
      <c r="BF154" s="1305"/>
      <c r="BG154" s="1305"/>
      <c r="BH154" s="1305"/>
      <c r="BI154" s="825">
        <f>I154/4</f>
        <v>152</v>
      </c>
      <c r="BJ154" s="1305"/>
      <c r="BK154" s="1305"/>
      <c r="BL154" s="1305"/>
      <c r="BM154" s="1305"/>
      <c r="BN154" s="1305"/>
      <c r="BO154" s="1305"/>
      <c r="BP154" s="1305"/>
    </row>
    <row r="155" s="1265" customFormat="1" ht="31" customHeight="1" spans="1:68">
      <c r="A155" s="1304">
        <v>45790</v>
      </c>
      <c r="B155" s="822" t="s">
        <v>143</v>
      </c>
      <c r="C155" s="633" t="s">
        <v>98</v>
      </c>
      <c r="D155" s="825">
        <v>4500162827</v>
      </c>
      <c r="E155" s="633" t="s">
        <v>790</v>
      </c>
      <c r="F155" s="1305" t="s">
        <v>791</v>
      </c>
      <c r="G155" s="659" t="s">
        <v>101</v>
      </c>
      <c r="H155" s="633" t="s">
        <v>102</v>
      </c>
      <c r="I155" s="633">
        <v>1408</v>
      </c>
      <c r="J155" s="633">
        <v>0</v>
      </c>
      <c r="K155" s="633">
        <v>4</v>
      </c>
      <c r="L155" s="827">
        <f t="shared" si="37"/>
        <v>352</v>
      </c>
      <c r="M155" s="828">
        <v>45832</v>
      </c>
      <c r="N155" s="828">
        <v>45834</v>
      </c>
      <c r="O155" s="824"/>
      <c r="P155" s="824" t="s">
        <v>113</v>
      </c>
      <c r="Q155" s="633"/>
      <c r="R155" s="829" t="s">
        <v>483</v>
      </c>
      <c r="S155" s="829" t="s">
        <v>70</v>
      </c>
      <c r="T155" s="829">
        <v>45789</v>
      </c>
      <c r="U155" s="829"/>
      <c r="V155" s="774" t="s">
        <v>148</v>
      </c>
      <c r="W155" s="829"/>
      <c r="X155" s="822" t="s">
        <v>484</v>
      </c>
      <c r="Y155" s="828" t="s">
        <v>106</v>
      </c>
      <c r="Z155" s="1306">
        <v>3.06</v>
      </c>
      <c r="AA155" s="831">
        <f t="shared" si="33"/>
        <v>4308.48</v>
      </c>
      <c r="AC155" s="632" t="s">
        <v>792</v>
      </c>
      <c r="AD155" s="633" t="s">
        <v>101</v>
      </c>
      <c r="AE155" s="633" t="s">
        <v>82</v>
      </c>
      <c r="AF155" s="633"/>
      <c r="AG155" s="618" t="s">
        <v>74</v>
      </c>
      <c r="AH155" s="618"/>
      <c r="AI155" s="1308">
        <f>1404+4</f>
        <v>1408</v>
      </c>
      <c r="AJ155" s="824">
        <f t="shared" si="25"/>
        <v>0</v>
      </c>
      <c r="AK155" s="633"/>
      <c r="AL155" s="633"/>
      <c r="AM155" s="633"/>
      <c r="AN155" s="825">
        <f t="shared" si="35"/>
        <v>1408</v>
      </c>
      <c r="AO155" s="687"/>
      <c r="AP155" s="687"/>
      <c r="AQ155" s="687"/>
      <c r="AR155" s="825">
        <f>I155</f>
        <v>1408</v>
      </c>
      <c r="AS155" s="687"/>
      <c r="AT155" s="687"/>
      <c r="AU155" s="825">
        <f t="shared" si="38"/>
        <v>1408</v>
      </c>
      <c r="AV155" s="825"/>
      <c r="AW155" s="551">
        <f t="shared" si="39"/>
        <v>1408</v>
      </c>
      <c r="AX155" s="825"/>
      <c r="AY155" s="1305"/>
      <c r="AZ155" s="1305"/>
      <c r="BA155" s="1305"/>
      <c r="BB155" s="1305"/>
      <c r="BC155" s="1305"/>
      <c r="BD155" s="1305"/>
      <c r="BE155" s="1305"/>
      <c r="BF155" s="1305"/>
      <c r="BG155" s="1305"/>
      <c r="BH155" s="825">
        <f>I155/4</f>
        <v>352</v>
      </c>
      <c r="BI155" s="1305"/>
      <c r="BJ155" s="1305"/>
      <c r="BK155" s="1305"/>
      <c r="BL155" s="1305"/>
      <c r="BM155" s="1305"/>
      <c r="BN155" s="1305"/>
      <c r="BO155" s="1305"/>
      <c r="BP155" s="1305"/>
    </row>
    <row r="156" s="1265" customFormat="1" ht="31" customHeight="1" spans="1:68">
      <c r="A156" s="1304">
        <v>45790</v>
      </c>
      <c r="B156" s="822" t="s">
        <v>793</v>
      </c>
      <c r="C156" s="633" t="s">
        <v>302</v>
      </c>
      <c r="D156" s="825">
        <v>4500166177</v>
      </c>
      <c r="E156" s="633" t="s">
        <v>794</v>
      </c>
      <c r="F156" s="1305" t="s">
        <v>795</v>
      </c>
      <c r="G156" s="659" t="s">
        <v>111</v>
      </c>
      <c r="H156" s="633" t="s">
        <v>112</v>
      </c>
      <c r="I156" s="633">
        <v>348</v>
      </c>
      <c r="J156" s="633">
        <v>0</v>
      </c>
      <c r="K156" s="633">
        <v>4</v>
      </c>
      <c r="L156" s="827">
        <f t="shared" si="37"/>
        <v>87</v>
      </c>
      <c r="M156" s="828">
        <v>45831</v>
      </c>
      <c r="N156" s="828">
        <v>45834</v>
      </c>
      <c r="O156" s="824" t="s">
        <v>796</v>
      </c>
      <c r="P156" s="824" t="s">
        <v>113</v>
      </c>
      <c r="Q156" s="633"/>
      <c r="R156" s="829">
        <v>45805</v>
      </c>
      <c r="S156" s="829" t="s">
        <v>70</v>
      </c>
      <c r="T156" s="829" t="s">
        <v>797</v>
      </c>
      <c r="U156" s="829"/>
      <c r="V156" s="829"/>
      <c r="W156" s="829"/>
      <c r="X156" s="822" t="s">
        <v>798</v>
      </c>
      <c r="Y156" s="828" t="s">
        <v>799</v>
      </c>
      <c r="Z156" s="1306">
        <v>4.49</v>
      </c>
      <c r="AA156" s="831">
        <f t="shared" si="33"/>
        <v>1562.52</v>
      </c>
      <c r="AC156" s="617" t="s">
        <v>800</v>
      </c>
      <c r="AD156" s="633" t="s">
        <v>447</v>
      </c>
      <c r="AE156" s="633" t="s">
        <v>82</v>
      </c>
      <c r="AF156" s="633"/>
      <c r="AG156" s="618" t="s">
        <v>74</v>
      </c>
      <c r="AH156" s="618"/>
      <c r="AI156" s="1308">
        <f>344+4</f>
        <v>348</v>
      </c>
      <c r="AJ156" s="824">
        <f t="shared" si="25"/>
        <v>0</v>
      </c>
      <c r="AK156" s="633"/>
      <c r="AL156" s="633"/>
      <c r="AM156" s="633"/>
      <c r="AN156" s="825">
        <f t="shared" si="35"/>
        <v>348</v>
      </c>
      <c r="AO156" s="687"/>
      <c r="AP156" s="687"/>
      <c r="AQ156" s="687"/>
      <c r="AR156" s="825"/>
      <c r="AS156" s="687">
        <f>I156</f>
        <v>348</v>
      </c>
      <c r="AT156" s="687"/>
      <c r="AU156" s="825">
        <f t="shared" si="38"/>
        <v>348</v>
      </c>
      <c r="AV156" s="825"/>
      <c r="AW156" s="825">
        <f t="shared" si="39"/>
        <v>348</v>
      </c>
      <c r="AX156" s="825"/>
      <c r="AY156" s="1305"/>
      <c r="AZ156" s="1305"/>
      <c r="BA156" s="1305"/>
      <c r="BB156" s="1305"/>
      <c r="BC156" s="1305"/>
      <c r="BD156" s="1305"/>
      <c r="BE156" s="1305"/>
      <c r="BF156" s="1305"/>
      <c r="BG156" s="1305"/>
      <c r="BH156" s="1305"/>
      <c r="BI156" s="825">
        <f>I156/4</f>
        <v>87</v>
      </c>
      <c r="BJ156" s="1305"/>
      <c r="BK156" s="1305"/>
      <c r="BL156" s="1305"/>
      <c r="BM156" s="1305"/>
      <c r="BN156" s="1305"/>
      <c r="BO156" s="1305"/>
      <c r="BP156" s="1305"/>
    </row>
    <row r="157" s="1265" customFormat="1" ht="31" customHeight="1" spans="1:68">
      <c r="A157" s="1304">
        <v>45805</v>
      </c>
      <c r="B157" s="822"/>
      <c r="C157" s="633"/>
      <c r="D157" s="825" t="s">
        <v>801</v>
      </c>
      <c r="E157" s="633"/>
      <c r="F157" s="1305"/>
      <c r="G157" s="659" t="s">
        <v>68</v>
      </c>
      <c r="H157" s="633" t="s">
        <v>69</v>
      </c>
      <c r="I157" s="633">
        <v>168</v>
      </c>
      <c r="J157" s="633">
        <v>0</v>
      </c>
      <c r="K157" s="633">
        <v>12</v>
      </c>
      <c r="L157" s="827">
        <f t="shared" si="37"/>
        <v>14</v>
      </c>
      <c r="M157" s="828">
        <v>45838</v>
      </c>
      <c r="N157" s="828">
        <v>45834</v>
      </c>
      <c r="O157" s="824"/>
      <c r="P157" s="824" t="s">
        <v>113</v>
      </c>
      <c r="Q157" s="633"/>
      <c r="R157" s="829">
        <v>45805</v>
      </c>
      <c r="S157" s="829" t="s">
        <v>70</v>
      </c>
      <c r="T157" s="829" t="s">
        <v>70</v>
      </c>
      <c r="U157" s="829"/>
      <c r="V157" s="829"/>
      <c r="W157" s="829"/>
      <c r="X157" s="822" t="s">
        <v>84</v>
      </c>
      <c r="Y157" s="828" t="s">
        <v>85</v>
      </c>
      <c r="Z157" s="1306"/>
      <c r="AA157" s="831"/>
      <c r="AB157" s="1265"/>
      <c r="AC157" s="632" t="s">
        <v>802</v>
      </c>
      <c r="AD157" s="633" t="s">
        <v>68</v>
      </c>
      <c r="AE157" s="633" t="s">
        <v>82</v>
      </c>
      <c r="AF157" s="633"/>
      <c r="AG157" s="618" t="s">
        <v>74</v>
      </c>
      <c r="AH157" s="618"/>
      <c r="AI157" s="1308">
        <v>168</v>
      </c>
      <c r="AJ157" s="824">
        <f t="shared" si="25"/>
        <v>0</v>
      </c>
      <c r="AK157" s="633"/>
      <c r="AL157" s="633"/>
      <c r="AM157" s="633"/>
      <c r="AN157" s="825">
        <f t="shared" si="35"/>
        <v>168</v>
      </c>
      <c r="AO157" s="687"/>
      <c r="AP157" s="687"/>
      <c r="AQ157" s="687"/>
      <c r="AR157" s="825">
        <f>I157</f>
        <v>168</v>
      </c>
      <c r="AS157" s="687"/>
      <c r="AT157" s="687"/>
      <c r="AU157" s="825">
        <f t="shared" si="38"/>
        <v>168</v>
      </c>
      <c r="AV157" s="825"/>
      <c r="AW157" s="825">
        <f t="shared" si="39"/>
        <v>168</v>
      </c>
      <c r="AX157" s="825"/>
      <c r="AY157" s="1305"/>
      <c r="AZ157" s="1305"/>
      <c r="BA157" s="1305"/>
      <c r="BB157" s="1305"/>
      <c r="BC157" s="1305"/>
      <c r="BD157" s="1305"/>
      <c r="BE157" s="1305"/>
      <c r="BF157" s="1305"/>
      <c r="BG157" s="1305"/>
      <c r="BH157" s="1305"/>
      <c r="BI157" s="1305"/>
      <c r="BJ157" s="1305"/>
      <c r="BK157" s="1305"/>
      <c r="BL157" s="1305"/>
      <c r="BM157" s="1305"/>
      <c r="BN157" s="1305"/>
      <c r="BO157" s="1305"/>
      <c r="BP157" s="1305"/>
    </row>
    <row r="158" s="1265" customFormat="1" ht="31" customHeight="1" spans="1:68">
      <c r="A158" s="1304">
        <v>45771</v>
      </c>
      <c r="B158" s="822" t="s">
        <v>803</v>
      </c>
      <c r="C158" s="633" t="s">
        <v>804</v>
      </c>
      <c r="D158" s="825">
        <v>4500167451</v>
      </c>
      <c r="E158" s="633" t="s">
        <v>805</v>
      </c>
      <c r="F158" s="1305" t="s">
        <v>806</v>
      </c>
      <c r="G158" s="659" t="s">
        <v>111</v>
      </c>
      <c r="H158" s="633" t="s">
        <v>112</v>
      </c>
      <c r="I158" s="633">
        <v>560</v>
      </c>
      <c r="J158" s="633">
        <v>0</v>
      </c>
      <c r="K158" s="633">
        <v>16</v>
      </c>
      <c r="L158" s="827">
        <f t="shared" si="37"/>
        <v>35</v>
      </c>
      <c r="M158" s="828">
        <v>45829</v>
      </c>
      <c r="N158" s="828">
        <v>45835</v>
      </c>
      <c r="O158" s="824"/>
      <c r="P158" s="824" t="s">
        <v>113</v>
      </c>
      <c r="Q158" s="633"/>
      <c r="R158" s="829">
        <v>45803</v>
      </c>
      <c r="S158" s="829" t="s">
        <v>70</v>
      </c>
      <c r="T158" s="829" t="s">
        <v>70</v>
      </c>
      <c r="U158" s="829"/>
      <c r="V158" s="829"/>
      <c r="W158" s="829"/>
      <c r="X158" s="628" t="s">
        <v>807</v>
      </c>
      <c r="Y158" s="828" t="s">
        <v>230</v>
      </c>
      <c r="Z158" s="1306">
        <v>4.2542</v>
      </c>
      <c r="AA158" s="831">
        <f>Z158*I158</f>
        <v>2382.352</v>
      </c>
      <c r="AC158" s="617" t="s">
        <v>808</v>
      </c>
      <c r="AD158" s="633" t="s">
        <v>111</v>
      </c>
      <c r="AE158" s="633" t="s">
        <v>82</v>
      </c>
      <c r="AF158" s="633"/>
      <c r="AG158" s="618" t="s">
        <v>74</v>
      </c>
      <c r="AH158" s="618"/>
      <c r="AI158" s="1308">
        <f>512+48</f>
        <v>560</v>
      </c>
      <c r="AJ158" s="824">
        <f t="shared" si="25"/>
        <v>0</v>
      </c>
      <c r="AK158" s="633"/>
      <c r="AL158" s="633"/>
      <c r="AM158" s="633"/>
      <c r="AN158" s="825">
        <f t="shared" si="35"/>
        <v>560</v>
      </c>
      <c r="AO158" s="687"/>
      <c r="AP158" s="687"/>
      <c r="AQ158" s="687"/>
      <c r="AR158" s="825">
        <f>I158</f>
        <v>560</v>
      </c>
      <c r="AS158" s="687"/>
      <c r="AT158" s="687"/>
      <c r="AU158" s="825">
        <f t="shared" si="38"/>
        <v>560</v>
      </c>
      <c r="AV158" s="825"/>
      <c r="AW158" s="551">
        <f t="shared" si="39"/>
        <v>560</v>
      </c>
      <c r="AX158" s="825"/>
      <c r="AY158" s="1305"/>
      <c r="AZ158" s="1305"/>
      <c r="BA158" s="1305"/>
      <c r="BB158" s="1305"/>
      <c r="BC158" s="1305"/>
      <c r="BD158" s="1305"/>
      <c r="BE158" s="1305"/>
      <c r="BF158" s="1305"/>
      <c r="BG158" s="1305"/>
      <c r="BH158" s="825">
        <f>I158/4</f>
        <v>140</v>
      </c>
      <c r="BI158" s="1305"/>
      <c r="BJ158" s="1305"/>
      <c r="BK158" s="1305"/>
      <c r="BL158" s="1305"/>
      <c r="BM158" s="1305"/>
      <c r="BN158" s="1305"/>
      <c r="BO158" s="1305"/>
      <c r="BP158" s="1305"/>
    </row>
    <row r="159" s="1265" customFormat="1" ht="31" customHeight="1" spans="1:68">
      <c r="A159" s="1304">
        <v>45784</v>
      </c>
      <c r="B159" s="822" t="s">
        <v>809</v>
      </c>
      <c r="C159" s="633" t="s">
        <v>810</v>
      </c>
      <c r="D159" s="825">
        <v>4500167360</v>
      </c>
      <c r="E159" s="633" t="s">
        <v>811</v>
      </c>
      <c r="F159" s="1305" t="s">
        <v>812</v>
      </c>
      <c r="G159" s="659" t="s">
        <v>111</v>
      </c>
      <c r="H159" s="633" t="s">
        <v>112</v>
      </c>
      <c r="I159" s="633">
        <v>800</v>
      </c>
      <c r="J159" s="633">
        <v>0</v>
      </c>
      <c r="K159" s="633">
        <v>16</v>
      </c>
      <c r="L159" s="827">
        <f t="shared" si="37"/>
        <v>50</v>
      </c>
      <c r="M159" s="828">
        <v>45835</v>
      </c>
      <c r="N159" s="828">
        <v>45835</v>
      </c>
      <c r="O159" s="824"/>
      <c r="P159" s="824" t="s">
        <v>113</v>
      </c>
      <c r="Q159" s="633"/>
      <c r="R159" s="829">
        <v>45804</v>
      </c>
      <c r="S159" s="829" t="s">
        <v>70</v>
      </c>
      <c r="T159" s="829">
        <v>45805</v>
      </c>
      <c r="U159" s="829"/>
      <c r="V159" s="829"/>
      <c r="W159" s="829"/>
      <c r="X159" s="822" t="s">
        <v>813</v>
      </c>
      <c r="Y159" s="828" t="s">
        <v>230</v>
      </c>
      <c r="Z159" s="1306">
        <v>4.3451</v>
      </c>
      <c r="AA159" s="831">
        <f>Z159*I159</f>
        <v>3476.08</v>
      </c>
      <c r="AC159" s="1307" t="s">
        <v>814</v>
      </c>
      <c r="AD159" s="633" t="s">
        <v>111</v>
      </c>
      <c r="AE159" s="633" t="s">
        <v>82</v>
      </c>
      <c r="AF159" s="633"/>
      <c r="AG159" s="618" t="s">
        <v>74</v>
      </c>
      <c r="AH159" s="618"/>
      <c r="AI159" s="1308">
        <v>800</v>
      </c>
      <c r="AJ159" s="824">
        <f t="shared" ref="AJ159:AJ223" si="40">AI159-I159</f>
        <v>0</v>
      </c>
      <c r="AK159" s="633"/>
      <c r="AL159" s="633"/>
      <c r="AM159" s="633"/>
      <c r="AN159" s="825">
        <f t="shared" si="35"/>
        <v>800</v>
      </c>
      <c r="AO159" s="687"/>
      <c r="AP159" s="687"/>
      <c r="AQ159" s="687"/>
      <c r="AR159" s="825">
        <f>I159</f>
        <v>800</v>
      </c>
      <c r="AS159" s="687"/>
      <c r="AT159" s="687"/>
      <c r="AU159" s="825">
        <f t="shared" si="38"/>
        <v>800</v>
      </c>
      <c r="AV159" s="825"/>
      <c r="AW159" s="551">
        <f t="shared" si="39"/>
        <v>800</v>
      </c>
      <c r="AX159" s="825"/>
      <c r="AY159" s="1305"/>
      <c r="AZ159" s="1305"/>
      <c r="BA159" s="1305"/>
      <c r="BB159" s="1305"/>
      <c r="BC159" s="1305"/>
      <c r="BD159" s="1305"/>
      <c r="BE159" s="1305"/>
      <c r="BF159" s="1305"/>
      <c r="BG159" s="1305"/>
      <c r="BH159" s="825">
        <f>I159/4</f>
        <v>200</v>
      </c>
      <c r="BI159" s="1305"/>
      <c r="BJ159" s="1305"/>
      <c r="BK159" s="1305"/>
      <c r="BL159" s="1305"/>
      <c r="BM159" s="1305"/>
      <c r="BN159" s="1305"/>
      <c r="BO159" s="1305"/>
      <c r="BP159" s="1305"/>
    </row>
    <row r="160" s="1265" customFormat="1" ht="31" customHeight="1" spans="1:68">
      <c r="A160" s="1304">
        <v>45747</v>
      </c>
      <c r="B160" s="822" t="s">
        <v>815</v>
      </c>
      <c r="C160" s="633" t="s">
        <v>98</v>
      </c>
      <c r="D160" s="825">
        <v>4500161570</v>
      </c>
      <c r="E160" s="633" t="s">
        <v>816</v>
      </c>
      <c r="F160" s="1305" t="s">
        <v>817</v>
      </c>
      <c r="G160" s="659" t="s">
        <v>101</v>
      </c>
      <c r="H160" s="633" t="s">
        <v>102</v>
      </c>
      <c r="I160" s="633">
        <v>100</v>
      </c>
      <c r="J160" s="633">
        <v>0</v>
      </c>
      <c r="K160" s="633">
        <v>4</v>
      </c>
      <c r="L160" s="827">
        <f t="shared" si="37"/>
        <v>25</v>
      </c>
      <c r="M160" s="828">
        <v>45833</v>
      </c>
      <c r="N160" s="828">
        <v>45837</v>
      </c>
      <c r="O160" s="824"/>
      <c r="P160" s="824" t="s">
        <v>113</v>
      </c>
      <c r="Q160" s="633"/>
      <c r="R160" s="829">
        <v>45800</v>
      </c>
      <c r="S160" s="829" t="s">
        <v>70</v>
      </c>
      <c r="T160" s="829" t="s">
        <v>70</v>
      </c>
      <c r="U160" s="829"/>
      <c r="V160" s="829"/>
      <c r="W160" s="829"/>
      <c r="X160" s="822" t="s">
        <v>818</v>
      </c>
      <c r="Y160" s="828" t="s">
        <v>819</v>
      </c>
      <c r="Z160" s="1306">
        <v>5.1</v>
      </c>
      <c r="AA160" s="831">
        <f>Z160*I160</f>
        <v>510</v>
      </c>
      <c r="AC160" s="632"/>
      <c r="AD160" s="633" t="s">
        <v>101</v>
      </c>
      <c r="AE160" s="633" t="s">
        <v>82</v>
      </c>
      <c r="AF160" s="633"/>
      <c r="AG160" s="618" t="s">
        <v>74</v>
      </c>
      <c r="AH160" s="618"/>
      <c r="AI160" s="1308">
        <v>100</v>
      </c>
      <c r="AJ160" s="824">
        <f t="shared" si="40"/>
        <v>0</v>
      </c>
      <c r="AK160" s="633"/>
      <c r="AL160" s="633"/>
      <c r="AM160" s="633"/>
      <c r="AN160" s="825">
        <f t="shared" si="35"/>
        <v>100</v>
      </c>
      <c r="AO160" s="687"/>
      <c r="AP160" s="687"/>
      <c r="AQ160" s="687"/>
      <c r="AR160" s="825">
        <f>I160</f>
        <v>100</v>
      </c>
      <c r="AS160" s="687"/>
      <c r="AT160" s="687"/>
      <c r="AU160" s="825">
        <f t="shared" si="38"/>
        <v>100</v>
      </c>
      <c r="AV160" s="825"/>
      <c r="AW160" s="825">
        <f t="shared" si="39"/>
        <v>100</v>
      </c>
      <c r="AX160" s="825"/>
      <c r="AY160" s="1305"/>
      <c r="AZ160" s="1305"/>
      <c r="BA160" s="1305"/>
      <c r="BB160" s="1305"/>
      <c r="BC160" s="1305"/>
      <c r="BD160" s="1305"/>
      <c r="BE160" s="1305"/>
      <c r="BF160" s="1305"/>
      <c r="BG160" s="1305"/>
      <c r="BH160" s="825">
        <f>I160/4</f>
        <v>25</v>
      </c>
      <c r="BI160" s="1305"/>
      <c r="BJ160" s="1305"/>
      <c r="BK160" s="1305"/>
      <c r="BL160" s="1305"/>
      <c r="BM160" s="1305"/>
      <c r="BN160" s="1305"/>
      <c r="BO160" s="1305"/>
      <c r="BP160" s="1305"/>
    </row>
    <row r="161" s="1265" customFormat="1" ht="31" customHeight="1" spans="1:68">
      <c r="A161" s="1304">
        <v>45792</v>
      </c>
      <c r="B161" s="822" t="s">
        <v>815</v>
      </c>
      <c r="C161" s="633" t="s">
        <v>98</v>
      </c>
      <c r="D161" s="825">
        <v>4500161570</v>
      </c>
      <c r="E161" s="633" t="s">
        <v>820</v>
      </c>
      <c r="F161" s="1305" t="s">
        <v>821</v>
      </c>
      <c r="G161" s="659" t="s">
        <v>101</v>
      </c>
      <c r="H161" s="633" t="s">
        <v>102</v>
      </c>
      <c r="I161" s="633">
        <v>80</v>
      </c>
      <c r="J161" s="633">
        <v>0</v>
      </c>
      <c r="K161" s="633">
        <v>4</v>
      </c>
      <c r="L161" s="827">
        <f t="shared" si="37"/>
        <v>20</v>
      </c>
      <c r="M161" s="828">
        <v>45833</v>
      </c>
      <c r="N161" s="828">
        <v>45837</v>
      </c>
      <c r="O161" s="824"/>
      <c r="P161" s="824" t="s">
        <v>113</v>
      </c>
      <c r="Q161" s="633"/>
      <c r="R161" s="829">
        <v>45800</v>
      </c>
      <c r="S161" s="829" t="s">
        <v>70</v>
      </c>
      <c r="T161" s="829" t="s">
        <v>70</v>
      </c>
      <c r="U161" s="829"/>
      <c r="V161" s="829"/>
      <c r="W161" s="829"/>
      <c r="X161" s="822" t="s">
        <v>818</v>
      </c>
      <c r="Y161" s="828" t="s">
        <v>819</v>
      </c>
      <c r="Z161" s="1306">
        <v>5.12</v>
      </c>
      <c r="AA161" s="831">
        <f>Z161*I161</f>
        <v>409.6</v>
      </c>
      <c r="AC161" s="632"/>
      <c r="AD161" s="633" t="s">
        <v>101</v>
      </c>
      <c r="AE161" s="633" t="s">
        <v>82</v>
      </c>
      <c r="AF161" s="633"/>
      <c r="AG161" s="618" t="s">
        <v>74</v>
      </c>
      <c r="AH161" s="618"/>
      <c r="AI161" s="1308">
        <v>80</v>
      </c>
      <c r="AJ161" s="824">
        <f t="shared" si="40"/>
        <v>0</v>
      </c>
      <c r="AK161" s="633"/>
      <c r="AL161" s="633"/>
      <c r="AM161" s="633"/>
      <c r="AN161" s="825">
        <f t="shared" si="35"/>
        <v>80</v>
      </c>
      <c r="AO161" s="687"/>
      <c r="AP161" s="687"/>
      <c r="AQ161" s="687"/>
      <c r="AR161" s="825">
        <f>I161</f>
        <v>80</v>
      </c>
      <c r="AS161" s="687"/>
      <c r="AT161" s="687"/>
      <c r="AU161" s="825">
        <f t="shared" si="38"/>
        <v>80</v>
      </c>
      <c r="AV161" s="825"/>
      <c r="AW161" s="825">
        <f t="shared" si="39"/>
        <v>80</v>
      </c>
      <c r="AX161" s="825"/>
      <c r="AY161" s="1305"/>
      <c r="AZ161" s="1305"/>
      <c r="BA161" s="1305"/>
      <c r="BB161" s="1305"/>
      <c r="BC161" s="1305"/>
      <c r="BD161" s="1305"/>
      <c r="BE161" s="1305"/>
      <c r="BF161" s="1305"/>
      <c r="BG161" s="1305"/>
      <c r="BH161" s="825">
        <f>I161/4</f>
        <v>20</v>
      </c>
      <c r="BI161" s="1305"/>
      <c r="BJ161" s="1305"/>
      <c r="BK161" s="1305"/>
      <c r="BL161" s="1305"/>
      <c r="BM161" s="1305"/>
      <c r="BN161" s="1305"/>
      <c r="BO161" s="1305"/>
      <c r="BP161" s="1305"/>
    </row>
    <row r="162" s="1265" customFormat="1" ht="31" customHeight="1" spans="1:68">
      <c r="A162" s="1304">
        <v>45764</v>
      </c>
      <c r="B162" s="822" t="s">
        <v>679</v>
      </c>
      <c r="C162" s="633" t="s">
        <v>411</v>
      </c>
      <c r="D162" s="825">
        <v>4500164017</v>
      </c>
      <c r="E162" s="633">
        <v>5200006591</v>
      </c>
      <c r="F162" s="1305" t="s">
        <v>822</v>
      </c>
      <c r="G162" s="659" t="s">
        <v>823</v>
      </c>
      <c r="H162" s="633" t="s">
        <v>509</v>
      </c>
      <c r="I162" s="633">
        <v>200</v>
      </c>
      <c r="J162" s="633">
        <v>0</v>
      </c>
      <c r="K162" s="633">
        <v>1</v>
      </c>
      <c r="L162" s="827">
        <f t="shared" si="37"/>
        <v>200</v>
      </c>
      <c r="M162" s="828">
        <v>45819</v>
      </c>
      <c r="N162" s="828">
        <v>45825</v>
      </c>
      <c r="O162" s="824"/>
      <c r="P162" s="824" t="s">
        <v>113</v>
      </c>
      <c r="Q162" s="633" t="s">
        <v>681</v>
      </c>
      <c r="R162" s="829">
        <v>45768</v>
      </c>
      <c r="S162" s="829" t="s">
        <v>70</v>
      </c>
      <c r="T162" s="829">
        <v>45777</v>
      </c>
      <c r="U162" s="829"/>
      <c r="V162" s="829"/>
      <c r="W162" s="829"/>
      <c r="X162" s="628" t="s">
        <v>824</v>
      </c>
      <c r="Y162" s="828" t="s">
        <v>415</v>
      </c>
      <c r="Z162" s="1306">
        <v>0</v>
      </c>
      <c r="AA162" s="831">
        <f>Z162*L162</f>
        <v>0</v>
      </c>
      <c r="AC162" s="1307" t="s">
        <v>825</v>
      </c>
      <c r="AD162" s="633" t="s">
        <v>826</v>
      </c>
      <c r="AE162" s="633" t="s">
        <v>82</v>
      </c>
      <c r="AF162" s="633"/>
      <c r="AG162" s="618" t="s">
        <v>74</v>
      </c>
      <c r="AH162" s="618"/>
      <c r="AI162" s="1308">
        <f>I162</f>
        <v>200</v>
      </c>
      <c r="AJ162" s="824">
        <f t="shared" si="40"/>
        <v>0</v>
      </c>
      <c r="AK162" s="633"/>
      <c r="AL162" s="633"/>
      <c r="AM162" s="633"/>
      <c r="AN162" s="825"/>
      <c r="AO162" s="687"/>
      <c r="AP162" s="687"/>
      <c r="AQ162" s="687"/>
      <c r="AR162" s="825"/>
      <c r="AS162" s="687"/>
      <c r="AT162" s="687"/>
      <c r="AU162" s="825">
        <f t="shared" si="38"/>
        <v>200</v>
      </c>
      <c r="AV162" s="825"/>
      <c r="AW162" s="551">
        <f t="shared" si="39"/>
        <v>200</v>
      </c>
      <c r="AX162" s="825"/>
      <c r="AY162" s="1305"/>
      <c r="AZ162" s="1305"/>
      <c r="BA162" s="1305"/>
      <c r="BB162" s="1305"/>
      <c r="BC162" s="1305"/>
      <c r="BD162" s="1305"/>
      <c r="BE162" s="1305"/>
      <c r="BF162" s="1305"/>
      <c r="BG162" s="1305"/>
      <c r="BH162" s="1305"/>
      <c r="BI162" s="1305"/>
      <c r="BJ162" s="1305"/>
      <c r="BK162" s="1305"/>
      <c r="BL162" s="1305"/>
      <c r="BM162" s="1305"/>
      <c r="BN162" s="1305"/>
      <c r="BO162" s="1305"/>
      <c r="BP162" s="1305"/>
    </row>
    <row r="163" s="1265" customFormat="1" ht="31" customHeight="1" spans="1:68">
      <c r="A163" s="1304">
        <v>45764</v>
      </c>
      <c r="B163" s="822" t="s">
        <v>679</v>
      </c>
      <c r="C163" s="633" t="s">
        <v>411</v>
      </c>
      <c r="D163" s="825">
        <v>4500164017</v>
      </c>
      <c r="E163" s="633">
        <v>5200006591</v>
      </c>
      <c r="F163" s="1305" t="s">
        <v>822</v>
      </c>
      <c r="G163" s="659" t="s">
        <v>515</v>
      </c>
      <c r="H163" s="633" t="s">
        <v>112</v>
      </c>
      <c r="I163" s="633">
        <v>3600</v>
      </c>
      <c r="J163" s="633">
        <v>0</v>
      </c>
      <c r="K163" s="633">
        <v>18</v>
      </c>
      <c r="L163" s="827">
        <f t="shared" si="37"/>
        <v>200</v>
      </c>
      <c r="M163" s="828">
        <v>45819</v>
      </c>
      <c r="N163" s="828">
        <v>45825</v>
      </c>
      <c r="O163" s="824"/>
      <c r="P163" s="824" t="s">
        <v>113</v>
      </c>
      <c r="Q163" s="633" t="s">
        <v>681</v>
      </c>
      <c r="R163" s="829">
        <v>45768</v>
      </c>
      <c r="S163" s="829" t="s">
        <v>70</v>
      </c>
      <c r="T163" s="829">
        <v>45777</v>
      </c>
      <c r="U163" s="829"/>
      <c r="V163" s="829"/>
      <c r="W163" s="829"/>
      <c r="X163" s="628" t="s">
        <v>824</v>
      </c>
      <c r="Y163" s="828" t="s">
        <v>415</v>
      </c>
      <c r="Z163" s="1306">
        <v>172.2144</v>
      </c>
      <c r="AA163" s="831">
        <f>Z163*L163</f>
        <v>34442.88</v>
      </c>
      <c r="AC163" s="1307" t="s">
        <v>825</v>
      </c>
      <c r="AD163" s="633" t="s">
        <v>826</v>
      </c>
      <c r="AE163" s="633" t="s">
        <v>82</v>
      </c>
      <c r="AF163" s="633"/>
      <c r="AG163" s="618" t="s">
        <v>74</v>
      </c>
      <c r="AH163" s="618"/>
      <c r="AI163" s="1308">
        <v>3600</v>
      </c>
      <c r="AJ163" s="824">
        <f t="shared" si="40"/>
        <v>0</v>
      </c>
      <c r="AK163" s="633"/>
      <c r="AL163" s="633"/>
      <c r="AM163" s="633"/>
      <c r="AN163" s="825">
        <f>I163</f>
        <v>3600</v>
      </c>
      <c r="AO163" s="687"/>
      <c r="AP163" s="687"/>
      <c r="AQ163" s="687"/>
      <c r="AR163" s="825"/>
      <c r="AS163" s="687">
        <f>I163</f>
        <v>3600</v>
      </c>
      <c r="AT163" s="687"/>
      <c r="AU163" s="825">
        <f t="shared" si="38"/>
        <v>3600</v>
      </c>
      <c r="AV163" s="825"/>
      <c r="AW163" s="825">
        <f t="shared" si="39"/>
        <v>3600</v>
      </c>
      <c r="AX163" s="825"/>
      <c r="AY163" s="1305"/>
      <c r="AZ163" s="1305"/>
      <c r="BA163" s="1305"/>
      <c r="BB163" s="1305"/>
      <c r="BC163" s="1305"/>
      <c r="BD163" s="1305"/>
      <c r="BE163" s="1305"/>
      <c r="BF163" s="1305"/>
      <c r="BG163" s="1305"/>
      <c r="BH163" s="1305"/>
      <c r="BI163" s="1305"/>
      <c r="BJ163" s="1305"/>
      <c r="BK163" s="1305"/>
      <c r="BL163" s="1305"/>
      <c r="BM163" s="1305"/>
      <c r="BN163" s="1305"/>
      <c r="BO163" s="1305"/>
      <c r="BP163" s="1305"/>
    </row>
    <row r="164" s="1265" customFormat="1" ht="31" customHeight="1" spans="1:68">
      <c r="A164" s="1304">
        <v>45768</v>
      </c>
      <c r="B164" s="822" t="s">
        <v>827</v>
      </c>
      <c r="C164" s="633" t="s">
        <v>524</v>
      </c>
      <c r="D164" s="825">
        <v>4500164462</v>
      </c>
      <c r="E164" s="633">
        <v>7950403009</v>
      </c>
      <c r="F164" s="1305" t="s">
        <v>828</v>
      </c>
      <c r="G164" s="659" t="s">
        <v>829</v>
      </c>
      <c r="H164" s="633" t="s">
        <v>830</v>
      </c>
      <c r="I164" s="633">
        <v>64</v>
      </c>
      <c r="J164" s="633">
        <v>0</v>
      </c>
      <c r="K164" s="633">
        <v>1</v>
      </c>
      <c r="L164" s="827">
        <f t="shared" si="37"/>
        <v>64</v>
      </c>
      <c r="M164" s="828">
        <v>45827</v>
      </c>
      <c r="N164" s="828">
        <v>45825</v>
      </c>
      <c r="O164" s="824" t="s">
        <v>831</v>
      </c>
      <c r="P164" s="824" t="s">
        <v>113</v>
      </c>
      <c r="Q164" s="633" t="s">
        <v>832</v>
      </c>
      <c r="R164" s="829">
        <v>45792</v>
      </c>
      <c r="S164" s="829" t="s">
        <v>70</v>
      </c>
      <c r="T164" s="829">
        <v>45807</v>
      </c>
      <c r="U164" s="829"/>
      <c r="V164" s="829"/>
      <c r="W164" s="829"/>
      <c r="X164" s="628" t="s">
        <v>833</v>
      </c>
      <c r="Y164" s="828" t="s">
        <v>529</v>
      </c>
      <c r="Z164" s="1306">
        <v>0</v>
      </c>
      <c r="AA164" s="831">
        <v>0</v>
      </c>
      <c r="AB164" s="1265"/>
      <c r="AC164" s="1307" t="s">
        <v>834</v>
      </c>
      <c r="AD164" s="633" t="s">
        <v>829</v>
      </c>
      <c r="AE164" s="633" t="s">
        <v>82</v>
      </c>
      <c r="AF164" s="633"/>
      <c r="AG164" s="618" t="s">
        <v>74</v>
      </c>
      <c r="AH164" s="618"/>
      <c r="AI164" s="1308">
        <f>I164</f>
        <v>64</v>
      </c>
      <c r="AJ164" s="824">
        <f t="shared" si="40"/>
        <v>0</v>
      </c>
      <c r="AK164" s="633"/>
      <c r="AL164" s="633"/>
      <c r="AM164" s="633"/>
      <c r="AN164" s="825"/>
      <c r="AO164" s="687"/>
      <c r="AP164" s="687"/>
      <c r="AQ164" s="687"/>
      <c r="AR164" s="825"/>
      <c r="AS164" s="687"/>
      <c r="AT164" s="687"/>
      <c r="AU164" s="825"/>
      <c r="AV164" s="825"/>
      <c r="AW164" s="825"/>
      <c r="AX164" s="825"/>
      <c r="AY164" s="1305"/>
      <c r="AZ164" s="1305"/>
      <c r="BA164" s="1305"/>
      <c r="BB164" s="1305"/>
      <c r="BC164" s="1305"/>
      <c r="BD164" s="1305"/>
      <c r="BE164" s="1305"/>
      <c r="BF164" s="1305"/>
      <c r="BG164" s="1305"/>
      <c r="BH164" s="1305"/>
      <c r="BI164" s="1305"/>
      <c r="BJ164" s="1305"/>
      <c r="BK164" s="1305"/>
      <c r="BL164" s="1305"/>
      <c r="BM164" s="1305"/>
      <c r="BN164" s="1305"/>
      <c r="BO164" s="1305"/>
      <c r="BP164" s="1305"/>
    </row>
    <row r="165" s="1265" customFormat="1" ht="31" customHeight="1" spans="1:68">
      <c r="A165" s="1304">
        <v>45768</v>
      </c>
      <c r="B165" s="822" t="s">
        <v>827</v>
      </c>
      <c r="C165" s="633" t="s">
        <v>524</v>
      </c>
      <c r="D165" s="825">
        <v>4500164462</v>
      </c>
      <c r="E165" s="633">
        <v>7950403009</v>
      </c>
      <c r="F165" s="1305" t="s">
        <v>828</v>
      </c>
      <c r="G165" s="659" t="s">
        <v>515</v>
      </c>
      <c r="H165" s="633" t="s">
        <v>112</v>
      </c>
      <c r="I165" s="633">
        <v>4800</v>
      </c>
      <c r="J165" s="633">
        <v>0</v>
      </c>
      <c r="K165" s="633">
        <v>75</v>
      </c>
      <c r="L165" s="827">
        <f t="shared" si="37"/>
        <v>64</v>
      </c>
      <c r="M165" s="828">
        <v>45827</v>
      </c>
      <c r="N165" s="828">
        <v>45825</v>
      </c>
      <c r="O165" s="824" t="s">
        <v>831</v>
      </c>
      <c r="P165" s="824" t="s">
        <v>113</v>
      </c>
      <c r="Q165" s="633" t="s">
        <v>832</v>
      </c>
      <c r="R165" s="829">
        <v>45792</v>
      </c>
      <c r="S165" s="829" t="s">
        <v>70</v>
      </c>
      <c r="T165" s="829">
        <v>45807</v>
      </c>
      <c r="U165" s="829"/>
      <c r="V165" s="829"/>
      <c r="W165" s="829"/>
      <c r="X165" s="822"/>
      <c r="Y165" s="828" t="s">
        <v>529</v>
      </c>
      <c r="Z165" s="1306">
        <v>755</v>
      </c>
      <c r="AA165" s="831">
        <f>Z165*L165</f>
        <v>48320</v>
      </c>
      <c r="AC165" s="1307" t="s">
        <v>834</v>
      </c>
      <c r="AD165" s="633" t="s">
        <v>829</v>
      </c>
      <c r="AE165" s="633" t="s">
        <v>82</v>
      </c>
      <c r="AF165" s="633"/>
      <c r="AG165" s="618" t="s">
        <v>74</v>
      </c>
      <c r="AH165" s="618"/>
      <c r="AI165" s="1308">
        <f>I165</f>
        <v>4800</v>
      </c>
      <c r="AJ165" s="824">
        <f t="shared" si="40"/>
        <v>0</v>
      </c>
      <c r="AK165" s="633"/>
      <c r="AL165" s="633"/>
      <c r="AM165" s="633"/>
      <c r="AN165" s="825"/>
      <c r="AO165" s="687"/>
      <c r="AP165" s="687"/>
      <c r="AQ165" s="687">
        <f>I165</f>
        <v>4800</v>
      </c>
      <c r="AR165" s="825"/>
      <c r="AS165" s="687"/>
      <c r="AT165" s="687"/>
      <c r="AU165" s="825"/>
      <c r="AV165" s="825"/>
      <c r="AW165" s="825"/>
      <c r="AX165" s="825"/>
      <c r="AY165" s="1305"/>
      <c r="AZ165" s="1305"/>
      <c r="BA165" s="1305">
        <f>I165</f>
        <v>4800</v>
      </c>
      <c r="BB165" s="1305">
        <f>I165</f>
        <v>4800</v>
      </c>
      <c r="BC165" s="1305">
        <f>I165</f>
        <v>4800</v>
      </c>
      <c r="BD165" s="1305"/>
      <c r="BE165" s="1305"/>
      <c r="BF165" s="1305"/>
      <c r="BG165" s="1305"/>
      <c r="BH165" s="1305"/>
      <c r="BI165" s="1305"/>
      <c r="BJ165" s="1305"/>
      <c r="BK165" s="1305">
        <f>I165</f>
        <v>4800</v>
      </c>
      <c r="BL165" s="1305">
        <f>I165/5</f>
        <v>960</v>
      </c>
      <c r="BM165" s="1305"/>
      <c r="BN165" s="1305"/>
      <c r="BO165" s="1305"/>
      <c r="BP165" s="1305"/>
    </row>
    <row r="166" s="1265" customFormat="1" ht="31" customHeight="1" spans="1:68">
      <c r="A166" s="1304">
        <v>45797</v>
      </c>
      <c r="B166" s="822" t="s">
        <v>835</v>
      </c>
      <c r="C166" s="633" t="s">
        <v>836</v>
      </c>
      <c r="D166" s="825">
        <v>4500166647</v>
      </c>
      <c r="E166" s="633">
        <v>21209747</v>
      </c>
      <c r="F166" s="1305" t="s">
        <v>837</v>
      </c>
      <c r="G166" s="659" t="s">
        <v>518</v>
      </c>
      <c r="H166" s="633" t="s">
        <v>477</v>
      </c>
      <c r="I166" s="633">
        <v>1002</v>
      </c>
      <c r="J166" s="633">
        <v>0</v>
      </c>
      <c r="K166" s="633">
        <v>6</v>
      </c>
      <c r="L166" s="827">
        <f t="shared" si="37"/>
        <v>167</v>
      </c>
      <c r="M166" s="828">
        <v>45831</v>
      </c>
      <c r="N166" s="828">
        <v>45831</v>
      </c>
      <c r="O166" s="824"/>
      <c r="P166" s="824" t="s">
        <v>113</v>
      </c>
      <c r="Q166" s="633"/>
      <c r="R166" s="829">
        <v>45804</v>
      </c>
      <c r="S166" s="829" t="s">
        <v>70</v>
      </c>
      <c r="T166" s="829">
        <v>45804</v>
      </c>
      <c r="U166" s="829"/>
      <c r="V166" s="829"/>
      <c r="W166" s="829"/>
      <c r="X166" s="822" t="s">
        <v>838</v>
      </c>
      <c r="Y166" s="828" t="s">
        <v>839</v>
      </c>
      <c r="Z166" s="1306">
        <v>8.1</v>
      </c>
      <c r="AA166" s="831">
        <f t="shared" ref="AA166:AA177" si="41">Z166*I166</f>
        <v>8116.2</v>
      </c>
      <c r="AC166" s="617" t="s">
        <v>840</v>
      </c>
      <c r="AD166" s="633" t="s">
        <v>480</v>
      </c>
      <c r="AE166" s="633" t="s">
        <v>82</v>
      </c>
      <c r="AF166" s="633"/>
      <c r="AG166" s="618" t="s">
        <v>74</v>
      </c>
      <c r="AH166" s="618"/>
      <c r="AI166" s="1308">
        <f>I166</f>
        <v>1002</v>
      </c>
      <c r="AJ166" s="824">
        <f t="shared" si="40"/>
        <v>0</v>
      </c>
      <c r="AK166" s="633"/>
      <c r="AL166" s="633"/>
      <c r="AM166" s="633"/>
      <c r="AN166" s="825">
        <f t="shared" ref="AN166:AN177" si="42">I166</f>
        <v>1002</v>
      </c>
      <c r="AO166" s="687"/>
      <c r="AP166" s="687"/>
      <c r="AQ166" s="687"/>
      <c r="AR166" s="825"/>
      <c r="AS166" s="687">
        <f>I166</f>
        <v>1002</v>
      </c>
      <c r="AT166" s="687"/>
      <c r="AU166" s="825">
        <f>I166</f>
        <v>1002</v>
      </c>
      <c r="AV166" s="825"/>
      <c r="AW166" s="825">
        <f>I166</f>
        <v>1002</v>
      </c>
      <c r="AX166" s="825"/>
      <c r="AY166" s="1305"/>
      <c r="AZ166" s="1305"/>
      <c r="BA166" s="1305"/>
      <c r="BB166" s="1305"/>
      <c r="BC166" s="1305"/>
      <c r="BD166" s="1305"/>
      <c r="BE166" s="1305"/>
      <c r="BF166" s="1305"/>
      <c r="BG166" s="1305"/>
      <c r="BH166" s="1305"/>
      <c r="BI166" s="1305"/>
      <c r="BJ166" s="1305"/>
      <c r="BK166" s="1305"/>
      <c r="BL166" s="1305"/>
      <c r="BM166" s="825"/>
      <c r="BN166" s="825">
        <f>I166</f>
        <v>1002</v>
      </c>
      <c r="BO166" s="1305"/>
      <c r="BP166" s="1305"/>
    </row>
    <row r="167" s="1265" customFormat="1" ht="31" customHeight="1" spans="1:68">
      <c r="A167" s="1304">
        <v>45772</v>
      </c>
      <c r="B167" s="822" t="s">
        <v>841</v>
      </c>
      <c r="C167" s="633" t="s">
        <v>399</v>
      </c>
      <c r="D167" s="825">
        <v>4500166380</v>
      </c>
      <c r="E167" s="633" t="s">
        <v>842</v>
      </c>
      <c r="F167" s="1305" t="s">
        <v>843</v>
      </c>
      <c r="G167" s="659" t="s">
        <v>518</v>
      </c>
      <c r="H167" s="633" t="s">
        <v>477</v>
      </c>
      <c r="I167" s="633">
        <v>1620</v>
      </c>
      <c r="J167" s="633">
        <v>0</v>
      </c>
      <c r="K167" s="633">
        <v>6</v>
      </c>
      <c r="L167" s="827">
        <f t="shared" si="37"/>
        <v>270</v>
      </c>
      <c r="M167" s="828">
        <v>45832</v>
      </c>
      <c r="N167" s="828">
        <v>45832</v>
      </c>
      <c r="O167" s="824"/>
      <c r="P167" s="824" t="s">
        <v>113</v>
      </c>
      <c r="Q167" s="633"/>
      <c r="R167" s="829">
        <v>45799</v>
      </c>
      <c r="S167" s="829" t="s">
        <v>70</v>
      </c>
      <c r="T167" s="829">
        <v>45811</v>
      </c>
      <c r="U167" s="829"/>
      <c r="V167" s="829"/>
      <c r="W167" s="829"/>
      <c r="X167" s="628" t="s">
        <v>844</v>
      </c>
      <c r="Y167" s="828" t="s">
        <v>445</v>
      </c>
      <c r="Z167" s="1306">
        <v>8.1</v>
      </c>
      <c r="AA167" s="831">
        <f t="shared" si="41"/>
        <v>13122</v>
      </c>
      <c r="AC167" s="1307" t="s">
        <v>845</v>
      </c>
      <c r="AD167" s="633" t="s">
        <v>480</v>
      </c>
      <c r="AE167" s="633" t="s">
        <v>82</v>
      </c>
      <c r="AF167" s="633"/>
      <c r="AG167" s="618" t="s">
        <v>74</v>
      </c>
      <c r="AH167" s="618"/>
      <c r="AI167" s="1308">
        <f>I167</f>
        <v>1620</v>
      </c>
      <c r="AJ167" s="824">
        <f t="shared" si="40"/>
        <v>0</v>
      </c>
      <c r="AK167" s="633"/>
      <c r="AL167" s="633"/>
      <c r="AM167" s="633"/>
      <c r="AN167" s="825">
        <f t="shared" si="42"/>
        <v>1620</v>
      </c>
      <c r="AO167" s="687"/>
      <c r="AP167" s="687"/>
      <c r="AQ167" s="687"/>
      <c r="AR167" s="825"/>
      <c r="AS167" s="687">
        <f>I167</f>
        <v>1620</v>
      </c>
      <c r="AT167" s="687"/>
      <c r="AU167" s="825">
        <f>I167</f>
        <v>1620</v>
      </c>
      <c r="AV167" s="825"/>
      <c r="AW167" s="551">
        <f>I167</f>
        <v>1620</v>
      </c>
      <c r="AX167" s="825"/>
      <c r="AY167" s="1305"/>
      <c r="AZ167" s="1305"/>
      <c r="BA167" s="1305"/>
      <c r="BB167" s="1305"/>
      <c r="BC167" s="1305"/>
      <c r="BD167" s="1305"/>
      <c r="BE167" s="1305"/>
      <c r="BF167" s="1305"/>
      <c r="BG167" s="1305"/>
      <c r="BH167" s="1305"/>
      <c r="BI167" s="1305"/>
      <c r="BJ167" s="1305"/>
      <c r="BK167" s="1305"/>
      <c r="BL167" s="1305"/>
      <c r="BM167" s="825"/>
      <c r="BN167" s="825">
        <f>I167</f>
        <v>1620</v>
      </c>
      <c r="BO167" s="1305"/>
      <c r="BP167" s="1305"/>
    </row>
    <row r="168" s="1265" customFormat="1" ht="31" customHeight="1" spans="1:68">
      <c r="A168" s="1304">
        <v>45747</v>
      </c>
      <c r="B168" s="822" t="s">
        <v>846</v>
      </c>
      <c r="C168" s="633" t="s">
        <v>847</v>
      </c>
      <c r="D168" s="825">
        <v>4500166548</v>
      </c>
      <c r="E168" s="633" t="s">
        <v>848</v>
      </c>
      <c r="F168" s="1305" t="s">
        <v>849</v>
      </c>
      <c r="G168" s="659" t="s">
        <v>101</v>
      </c>
      <c r="H168" s="633" t="s">
        <v>102</v>
      </c>
      <c r="I168" s="633">
        <v>600</v>
      </c>
      <c r="J168" s="633">
        <v>0</v>
      </c>
      <c r="K168" s="633">
        <v>4</v>
      </c>
      <c r="L168" s="827">
        <f t="shared" si="37"/>
        <v>150</v>
      </c>
      <c r="M168" s="828">
        <v>45833</v>
      </c>
      <c r="N168" s="828">
        <v>45833</v>
      </c>
      <c r="O168" s="824"/>
      <c r="P168" s="824" t="s">
        <v>113</v>
      </c>
      <c r="Q168" s="633"/>
      <c r="R168" s="829">
        <v>45806</v>
      </c>
      <c r="S168" s="829" t="s">
        <v>70</v>
      </c>
      <c r="T168" s="829">
        <v>45824</v>
      </c>
      <c r="U168" s="829"/>
      <c r="V168" s="829"/>
      <c r="W168" s="829"/>
      <c r="X168" s="822" t="s">
        <v>850</v>
      </c>
      <c r="Y168" s="828" t="s">
        <v>851</v>
      </c>
      <c r="Z168" s="1306">
        <v>4.3</v>
      </c>
      <c r="AA168" s="831">
        <f t="shared" si="41"/>
        <v>2580</v>
      </c>
      <c r="AC168" s="617" t="s">
        <v>852</v>
      </c>
      <c r="AD168" s="633" t="s">
        <v>101</v>
      </c>
      <c r="AE168" s="633" t="s">
        <v>82</v>
      </c>
      <c r="AF168" s="633"/>
      <c r="AG168" s="618" t="s">
        <v>74</v>
      </c>
      <c r="AH168" s="618"/>
      <c r="AI168" s="1308">
        <v>600</v>
      </c>
      <c r="AJ168" s="824">
        <f t="shared" si="40"/>
        <v>0</v>
      </c>
      <c r="AK168" s="633"/>
      <c r="AL168" s="633"/>
      <c r="AM168" s="633"/>
      <c r="AN168" s="825">
        <f t="shared" si="42"/>
        <v>600</v>
      </c>
      <c r="AO168" s="687"/>
      <c r="AP168" s="687"/>
      <c r="AQ168" s="687"/>
      <c r="AR168" s="825">
        <f>I168</f>
        <v>600</v>
      </c>
      <c r="AS168" s="687"/>
      <c r="AT168" s="687"/>
      <c r="AU168" s="825">
        <f>I168</f>
        <v>600</v>
      </c>
      <c r="AV168" s="825"/>
      <c r="AW168" s="825">
        <f>I168</f>
        <v>600</v>
      </c>
      <c r="AX168" s="825"/>
      <c r="AY168" s="1305"/>
      <c r="AZ168" s="1305"/>
      <c r="BA168" s="1305"/>
      <c r="BB168" s="1305"/>
      <c r="BC168" s="1305"/>
      <c r="BD168" s="1305"/>
      <c r="BE168" s="1305"/>
      <c r="BF168" s="1305"/>
      <c r="BG168" s="1305"/>
      <c r="BH168" s="825">
        <f>I168/4</f>
        <v>150</v>
      </c>
      <c r="BI168" s="1305"/>
      <c r="BJ168" s="1305"/>
      <c r="BK168" s="1305"/>
      <c r="BL168" s="1305"/>
      <c r="BM168" s="1305"/>
      <c r="BN168" s="1305"/>
      <c r="BO168" s="1305"/>
      <c r="BP168" s="1305"/>
    </row>
    <row r="169" s="1265" customFormat="1" ht="31" customHeight="1" spans="1:68">
      <c r="A169" s="1304">
        <v>45791</v>
      </c>
      <c r="B169" s="822" t="s">
        <v>143</v>
      </c>
      <c r="C169" s="633" t="s">
        <v>98</v>
      </c>
      <c r="D169" s="825">
        <v>4500162962</v>
      </c>
      <c r="E169" s="633" t="s">
        <v>853</v>
      </c>
      <c r="F169" s="1305" t="s">
        <v>854</v>
      </c>
      <c r="G169" s="659" t="s">
        <v>101</v>
      </c>
      <c r="H169" s="633" t="s">
        <v>102</v>
      </c>
      <c r="I169" s="633">
        <v>1700</v>
      </c>
      <c r="J169" s="633">
        <v>0</v>
      </c>
      <c r="K169" s="633">
        <v>4</v>
      </c>
      <c r="L169" s="827">
        <f t="shared" si="37"/>
        <v>425</v>
      </c>
      <c r="M169" s="828">
        <v>45835</v>
      </c>
      <c r="N169" s="828">
        <v>45838</v>
      </c>
      <c r="O169" s="824" t="s">
        <v>855</v>
      </c>
      <c r="P169" s="824" t="s">
        <v>113</v>
      </c>
      <c r="Q169" s="633"/>
      <c r="R169" s="829" t="s">
        <v>483</v>
      </c>
      <c r="S169" s="829" t="s">
        <v>70</v>
      </c>
      <c r="T169" s="829" t="s">
        <v>699</v>
      </c>
      <c r="U169" s="829"/>
      <c r="V169" s="774" t="s">
        <v>148</v>
      </c>
      <c r="W169" s="829"/>
      <c r="X169" s="822" t="s">
        <v>484</v>
      </c>
      <c r="Y169" s="828" t="s">
        <v>106</v>
      </c>
      <c r="Z169" s="1306">
        <v>3.06</v>
      </c>
      <c r="AA169" s="831">
        <f t="shared" si="41"/>
        <v>5202</v>
      </c>
      <c r="AC169" s="632" t="s">
        <v>856</v>
      </c>
      <c r="AD169" s="633" t="s">
        <v>101</v>
      </c>
      <c r="AE169" s="633" t="s">
        <v>82</v>
      </c>
      <c r="AF169" s="633"/>
      <c r="AG169" s="618" t="s">
        <v>74</v>
      </c>
      <c r="AH169" s="618"/>
      <c r="AI169" s="1308">
        <f>1676+24</f>
        <v>1700</v>
      </c>
      <c r="AJ169" s="824">
        <f t="shared" si="40"/>
        <v>0</v>
      </c>
      <c r="AK169" s="633"/>
      <c r="AL169" s="633"/>
      <c r="AM169" s="633"/>
      <c r="AN169" s="825">
        <f t="shared" si="42"/>
        <v>1700</v>
      </c>
      <c r="AO169" s="687"/>
      <c r="AP169" s="687"/>
      <c r="AQ169" s="687"/>
      <c r="AR169" s="825">
        <f>I169</f>
        <v>1700</v>
      </c>
      <c r="AS169" s="687"/>
      <c r="AT169" s="687"/>
      <c r="AU169" s="825">
        <f>I169</f>
        <v>1700</v>
      </c>
      <c r="AV169" s="825"/>
      <c r="AW169" s="551">
        <f>I169</f>
        <v>1700</v>
      </c>
      <c r="AX169" s="825"/>
      <c r="AY169" s="1305"/>
      <c r="AZ169" s="1305"/>
      <c r="BA169" s="1305"/>
      <c r="BB169" s="1305"/>
      <c r="BC169" s="1305"/>
      <c r="BD169" s="1305"/>
      <c r="BE169" s="1305"/>
      <c r="BF169" s="1305"/>
      <c r="BG169" s="1305"/>
      <c r="BH169" s="825">
        <f>I169/4</f>
        <v>425</v>
      </c>
      <c r="BI169" s="1305"/>
      <c r="BJ169" s="1305"/>
      <c r="BK169" s="1305"/>
      <c r="BL169" s="1305"/>
      <c r="BM169" s="1305"/>
      <c r="BN169" s="1305"/>
      <c r="BO169" s="1305"/>
      <c r="BP169" s="1305"/>
    </row>
    <row r="170" s="1265" customFormat="1" ht="31" customHeight="1" spans="1:68">
      <c r="A170" s="1304">
        <v>45798</v>
      </c>
      <c r="B170" s="822" t="s">
        <v>857</v>
      </c>
      <c r="C170" s="633" t="s">
        <v>278</v>
      </c>
      <c r="D170" s="825">
        <v>4500166375</v>
      </c>
      <c r="E170" s="633" t="s">
        <v>858</v>
      </c>
      <c r="F170" s="1305" t="s">
        <v>859</v>
      </c>
      <c r="G170" s="659" t="s">
        <v>111</v>
      </c>
      <c r="H170" s="633" t="s">
        <v>112</v>
      </c>
      <c r="I170" s="633">
        <v>4000</v>
      </c>
      <c r="J170" s="633">
        <v>0</v>
      </c>
      <c r="K170" s="633">
        <v>16</v>
      </c>
      <c r="L170" s="827">
        <f t="shared" si="37"/>
        <v>250</v>
      </c>
      <c r="M170" s="828">
        <v>45835</v>
      </c>
      <c r="N170" s="828">
        <v>45835</v>
      </c>
      <c r="O170" s="824" t="s">
        <v>860</v>
      </c>
      <c r="P170" s="824" t="s">
        <v>113</v>
      </c>
      <c r="Q170" s="633" t="s">
        <v>861</v>
      </c>
      <c r="R170" s="829">
        <v>45794</v>
      </c>
      <c r="S170" s="829" t="s">
        <v>70</v>
      </c>
      <c r="T170" s="829" t="s">
        <v>862</v>
      </c>
      <c r="U170" s="829"/>
      <c r="V170" s="829"/>
      <c r="W170" s="829"/>
      <c r="X170" s="628" t="s">
        <v>863</v>
      </c>
      <c r="Y170" s="828" t="s">
        <v>864</v>
      </c>
      <c r="Z170" s="1306">
        <v>4.39</v>
      </c>
      <c r="AA170" s="831">
        <f t="shared" si="41"/>
        <v>17560</v>
      </c>
      <c r="AC170" s="632" t="s">
        <v>865</v>
      </c>
      <c r="AD170" s="633" t="s">
        <v>111</v>
      </c>
      <c r="AE170" s="633" t="s">
        <v>82</v>
      </c>
      <c r="AF170" s="633"/>
      <c r="AG170" s="618" t="s">
        <v>74</v>
      </c>
      <c r="AH170" s="618"/>
      <c r="AI170" s="1308">
        <v>4000</v>
      </c>
      <c r="AJ170" s="824">
        <f t="shared" si="40"/>
        <v>0</v>
      </c>
      <c r="AK170" s="633"/>
      <c r="AL170" s="633"/>
      <c r="AM170" s="633"/>
      <c r="AN170" s="825">
        <f t="shared" si="42"/>
        <v>4000</v>
      </c>
      <c r="AO170" s="687"/>
      <c r="AP170" s="687"/>
      <c r="AQ170" s="687"/>
      <c r="AR170" s="825">
        <f>I170</f>
        <v>4000</v>
      </c>
      <c r="AS170" s="687"/>
      <c r="AT170" s="687"/>
      <c r="AU170" s="825">
        <f>I170</f>
        <v>4000</v>
      </c>
      <c r="AV170" s="825"/>
      <c r="AW170" s="825">
        <f t="shared" ref="AW170:AW177" si="43">I170</f>
        <v>4000</v>
      </c>
      <c r="AX170" s="825"/>
      <c r="AY170" s="1305"/>
      <c r="AZ170" s="1305"/>
      <c r="BA170" s="1305"/>
      <c r="BB170" s="1305"/>
      <c r="BC170" s="1305"/>
      <c r="BD170" s="1305"/>
      <c r="BE170" s="1305"/>
      <c r="BF170" s="1305"/>
      <c r="BG170" s="1305"/>
      <c r="BH170" s="825">
        <f>I170/4</f>
        <v>1000</v>
      </c>
      <c r="BI170" s="1305"/>
      <c r="BJ170" s="1305"/>
      <c r="BK170" s="1305"/>
      <c r="BL170" s="1305"/>
      <c r="BM170" s="1305"/>
      <c r="BN170" s="1305"/>
      <c r="BO170" s="1305"/>
      <c r="BP170" s="1305"/>
    </row>
    <row r="171" s="1265" customFormat="1" ht="31" customHeight="1" spans="1:68">
      <c r="A171" s="1304">
        <v>45798</v>
      </c>
      <c r="B171" s="822" t="s">
        <v>866</v>
      </c>
      <c r="C171" s="633" t="s">
        <v>154</v>
      </c>
      <c r="D171" s="825">
        <v>4500166480</v>
      </c>
      <c r="E171" s="633">
        <v>4400483986</v>
      </c>
      <c r="F171" s="1305" t="s">
        <v>867</v>
      </c>
      <c r="G171" s="659" t="s">
        <v>164</v>
      </c>
      <c r="H171" s="633" t="s">
        <v>112</v>
      </c>
      <c r="I171" s="633">
        <v>3504</v>
      </c>
      <c r="J171" s="633">
        <v>0</v>
      </c>
      <c r="K171" s="633">
        <v>8</v>
      </c>
      <c r="L171" s="827">
        <f t="shared" si="37"/>
        <v>438</v>
      </c>
      <c r="M171" s="828">
        <v>45834</v>
      </c>
      <c r="N171" s="828">
        <v>45838</v>
      </c>
      <c r="O171" s="824"/>
      <c r="P171" s="824" t="s">
        <v>113</v>
      </c>
      <c r="Q171" s="633"/>
      <c r="R171" s="829">
        <v>45792</v>
      </c>
      <c r="S171" s="829" t="s">
        <v>70</v>
      </c>
      <c r="T171" s="829" t="s">
        <v>165</v>
      </c>
      <c r="U171" s="829"/>
      <c r="V171" s="829"/>
      <c r="W171" s="829"/>
      <c r="X171" s="628" t="s">
        <v>868</v>
      </c>
      <c r="Y171" s="828" t="s">
        <v>869</v>
      </c>
      <c r="Z171" s="1306">
        <v>4.2661</v>
      </c>
      <c r="AA171" s="831">
        <f t="shared" si="41"/>
        <v>14948.4144</v>
      </c>
      <c r="AC171" s="632" t="s">
        <v>870</v>
      </c>
      <c r="AD171" s="633" t="s">
        <v>164</v>
      </c>
      <c r="AE171" s="633" t="s">
        <v>82</v>
      </c>
      <c r="AF171" s="633"/>
      <c r="AG171" s="618" t="s">
        <v>74</v>
      </c>
      <c r="AH171" s="618"/>
      <c r="AI171" s="1308">
        <f>3480+24</f>
        <v>3504</v>
      </c>
      <c r="AJ171" s="824">
        <f t="shared" si="40"/>
        <v>0</v>
      </c>
      <c r="AK171" s="633"/>
      <c r="AL171" s="633"/>
      <c r="AM171" s="633"/>
      <c r="AN171" s="825">
        <f t="shared" si="42"/>
        <v>3504</v>
      </c>
      <c r="AO171" s="687"/>
      <c r="AP171" s="687"/>
      <c r="AQ171" s="687"/>
      <c r="AR171" s="825"/>
      <c r="AS171" s="687"/>
      <c r="AT171" s="687"/>
      <c r="AU171" s="825"/>
      <c r="AV171" s="825"/>
      <c r="AW171" s="825">
        <f t="shared" si="43"/>
        <v>3504</v>
      </c>
      <c r="AX171" s="825"/>
      <c r="AY171" s="1305"/>
      <c r="AZ171" s="1305"/>
      <c r="BA171" s="1305"/>
      <c r="BB171" s="1305"/>
      <c r="BC171" s="1305"/>
      <c r="BD171" s="825">
        <f>I171</f>
        <v>3504</v>
      </c>
      <c r="BE171" s="825">
        <f>I171</f>
        <v>3504</v>
      </c>
      <c r="BF171" s="1305"/>
      <c r="BG171" s="1305"/>
      <c r="BH171" s="1305"/>
      <c r="BI171" s="825">
        <f>I171/4</f>
        <v>876</v>
      </c>
      <c r="BJ171" s="1305"/>
      <c r="BK171" s="1305"/>
      <c r="BL171" s="1305"/>
      <c r="BM171" s="1305"/>
      <c r="BN171" s="1305"/>
      <c r="BO171" s="1305"/>
      <c r="BP171" s="1305"/>
    </row>
    <row r="172" s="1265" customFormat="1" ht="31" customHeight="1" spans="1:68">
      <c r="A172" s="1304">
        <v>45768</v>
      </c>
      <c r="B172" s="822" t="s">
        <v>871</v>
      </c>
      <c r="C172" s="633" t="s">
        <v>98</v>
      </c>
      <c r="D172" s="825">
        <v>4500164421</v>
      </c>
      <c r="E172" s="1413" t="s">
        <v>872</v>
      </c>
      <c r="F172" s="1305" t="s">
        <v>873</v>
      </c>
      <c r="G172" s="659" t="s">
        <v>101</v>
      </c>
      <c r="H172" s="633" t="s">
        <v>102</v>
      </c>
      <c r="I172" s="633">
        <v>1716</v>
      </c>
      <c r="J172" s="633">
        <v>0</v>
      </c>
      <c r="K172" s="633">
        <v>4</v>
      </c>
      <c r="L172" s="827">
        <f t="shared" si="37"/>
        <v>429</v>
      </c>
      <c r="M172" s="828">
        <v>45824</v>
      </c>
      <c r="N172" s="828">
        <v>45838</v>
      </c>
      <c r="O172" s="824"/>
      <c r="P172" s="824" t="s">
        <v>113</v>
      </c>
      <c r="Q172" s="633"/>
      <c r="R172" s="829">
        <v>45771</v>
      </c>
      <c r="S172" s="829" t="s">
        <v>70</v>
      </c>
      <c r="T172" s="829" t="s">
        <v>70</v>
      </c>
      <c r="U172" s="829"/>
      <c r="V172" s="829"/>
      <c r="W172" s="829"/>
      <c r="X172" s="822" t="s">
        <v>874</v>
      </c>
      <c r="Y172" s="828" t="s">
        <v>355</v>
      </c>
      <c r="Z172" s="1306">
        <v>3.06</v>
      </c>
      <c r="AA172" s="831">
        <f t="shared" si="41"/>
        <v>5250.96</v>
      </c>
      <c r="AC172" s="632" t="s">
        <v>875</v>
      </c>
      <c r="AD172" s="633" t="s">
        <v>101</v>
      </c>
      <c r="AE172" s="633" t="s">
        <v>82</v>
      </c>
      <c r="AF172" s="633"/>
      <c r="AG172" s="618" t="s">
        <v>74</v>
      </c>
      <c r="AH172" s="618"/>
      <c r="AI172" s="1308">
        <v>1716</v>
      </c>
      <c r="AJ172" s="824">
        <f t="shared" si="40"/>
        <v>0</v>
      </c>
      <c r="AK172" s="633"/>
      <c r="AL172" s="633"/>
      <c r="AM172" s="633"/>
      <c r="AN172" s="825">
        <f t="shared" si="42"/>
        <v>1716</v>
      </c>
      <c r="AO172" s="687"/>
      <c r="AP172" s="687"/>
      <c r="AQ172" s="687"/>
      <c r="AR172" s="825">
        <f>I172</f>
        <v>1716</v>
      </c>
      <c r="AS172" s="687"/>
      <c r="AT172" s="687"/>
      <c r="AU172" s="825">
        <f t="shared" ref="AU172:AU177" si="44">I172</f>
        <v>1716</v>
      </c>
      <c r="AV172" s="825"/>
      <c r="AW172" s="825">
        <f t="shared" si="43"/>
        <v>1716</v>
      </c>
      <c r="AX172" s="825"/>
      <c r="AY172" s="1305"/>
      <c r="AZ172" s="1305"/>
      <c r="BA172" s="1305"/>
      <c r="BB172" s="1305"/>
      <c r="BC172" s="1305"/>
      <c r="BD172" s="1305"/>
      <c r="BE172" s="1305"/>
      <c r="BF172" s="1305"/>
      <c r="BG172" s="1305"/>
      <c r="BH172" s="825">
        <f>I172/4</f>
        <v>429</v>
      </c>
      <c r="BI172" s="1305"/>
      <c r="BJ172" s="1305"/>
      <c r="BK172" s="1305"/>
      <c r="BL172" s="1305"/>
      <c r="BM172" s="1305"/>
      <c r="BN172" s="1305"/>
      <c r="BO172" s="1305"/>
      <c r="BP172" s="1305"/>
    </row>
    <row r="173" s="1265" customFormat="1" ht="31" customHeight="1" spans="1:68">
      <c r="A173" s="1304">
        <v>45798</v>
      </c>
      <c r="B173" s="822" t="s">
        <v>876</v>
      </c>
      <c r="C173" s="633" t="s">
        <v>98</v>
      </c>
      <c r="D173" s="825">
        <v>4500167106</v>
      </c>
      <c r="E173" s="633" t="s">
        <v>877</v>
      </c>
      <c r="F173" s="1305" t="s">
        <v>878</v>
      </c>
      <c r="G173" s="659" t="s">
        <v>207</v>
      </c>
      <c r="H173" s="633" t="s">
        <v>102</v>
      </c>
      <c r="I173" s="633">
        <v>692</v>
      </c>
      <c r="J173" s="633">
        <v>0</v>
      </c>
      <c r="K173" s="633">
        <v>4</v>
      </c>
      <c r="L173" s="827">
        <f t="shared" si="37"/>
        <v>173</v>
      </c>
      <c r="M173" s="828">
        <v>45839</v>
      </c>
      <c r="N173" s="828">
        <v>45839</v>
      </c>
      <c r="O173" s="824" t="s">
        <v>879</v>
      </c>
      <c r="P173" s="824" t="s">
        <v>113</v>
      </c>
      <c r="Q173" s="633"/>
      <c r="R173" s="829">
        <v>45814</v>
      </c>
      <c r="S173" s="829" t="s">
        <v>70</v>
      </c>
      <c r="T173" s="829" t="s">
        <v>70</v>
      </c>
      <c r="U173" s="829"/>
      <c r="V173" s="829"/>
      <c r="W173" s="829" t="s">
        <v>880</v>
      </c>
      <c r="X173" s="628" t="s">
        <v>881</v>
      </c>
      <c r="Y173" s="828" t="s">
        <v>882</v>
      </c>
      <c r="Z173" s="1306">
        <v>2.5402</v>
      </c>
      <c r="AA173" s="831">
        <f t="shared" si="41"/>
        <v>1757.8184</v>
      </c>
      <c r="AC173" s="617" t="s">
        <v>883</v>
      </c>
      <c r="AD173" s="633" t="s">
        <v>207</v>
      </c>
      <c r="AE173" s="633" t="s">
        <v>82</v>
      </c>
      <c r="AF173" s="633"/>
      <c r="AG173" s="618" t="s">
        <v>74</v>
      </c>
      <c r="AH173" s="618"/>
      <c r="AI173" s="1308">
        <v>692</v>
      </c>
      <c r="AJ173" s="824">
        <f t="shared" si="40"/>
        <v>0</v>
      </c>
      <c r="AK173" s="633"/>
      <c r="AL173" s="633"/>
      <c r="AM173" s="633"/>
      <c r="AN173" s="825">
        <f t="shared" si="42"/>
        <v>692</v>
      </c>
      <c r="AO173" s="687"/>
      <c r="AP173" s="687"/>
      <c r="AQ173" s="687"/>
      <c r="AR173" s="825">
        <f>I173</f>
        <v>692</v>
      </c>
      <c r="AS173" s="687"/>
      <c r="AT173" s="687"/>
      <c r="AU173" s="825">
        <f t="shared" si="44"/>
        <v>692</v>
      </c>
      <c r="AV173" s="825"/>
      <c r="AW173" s="825">
        <f t="shared" si="43"/>
        <v>692</v>
      </c>
      <c r="AX173" s="825"/>
      <c r="AY173" s="1305"/>
      <c r="AZ173" s="1305"/>
      <c r="BA173" s="1305"/>
      <c r="BB173" s="1305"/>
      <c r="BC173" s="1305"/>
      <c r="BD173" s="1305"/>
      <c r="BE173" s="1305"/>
      <c r="BF173" s="1305"/>
      <c r="BG173" s="1305"/>
      <c r="BH173" s="1305"/>
      <c r="BI173" s="1305"/>
      <c r="BJ173" s="1305"/>
      <c r="BK173" s="1305"/>
      <c r="BL173" s="1305"/>
      <c r="BM173" s="1305"/>
      <c r="BN173" s="1305"/>
      <c r="BO173" s="1305"/>
      <c r="BP173" s="1305"/>
    </row>
    <row r="174" s="1265" customFormat="1" ht="31" customHeight="1" spans="1:68">
      <c r="A174" s="1304">
        <v>45750</v>
      </c>
      <c r="B174" s="822" t="s">
        <v>884</v>
      </c>
      <c r="C174" s="633" t="s">
        <v>885</v>
      </c>
      <c r="D174" s="825">
        <v>4500162410</v>
      </c>
      <c r="E174" s="633" t="s">
        <v>886</v>
      </c>
      <c r="F174" s="1305" t="s">
        <v>887</v>
      </c>
      <c r="G174" s="659" t="s">
        <v>111</v>
      </c>
      <c r="H174" s="633" t="s">
        <v>112</v>
      </c>
      <c r="I174" s="633">
        <v>1200</v>
      </c>
      <c r="J174" s="633">
        <v>0</v>
      </c>
      <c r="K174" s="633">
        <v>16</v>
      </c>
      <c r="L174" s="827">
        <f t="shared" si="37"/>
        <v>75</v>
      </c>
      <c r="M174" s="828">
        <v>45830</v>
      </c>
      <c r="N174" s="828">
        <v>45826</v>
      </c>
      <c r="O174" s="824"/>
      <c r="P174" s="824" t="s">
        <v>113</v>
      </c>
      <c r="Q174" s="633"/>
      <c r="R174" s="829">
        <v>45762</v>
      </c>
      <c r="S174" s="829" t="s">
        <v>70</v>
      </c>
      <c r="T174" s="829">
        <v>45776</v>
      </c>
      <c r="U174" s="829"/>
      <c r="V174" s="829"/>
      <c r="W174" s="829"/>
      <c r="X174" s="822" t="s">
        <v>888</v>
      </c>
      <c r="Y174" s="828" t="s">
        <v>505</v>
      </c>
      <c r="Z174" s="1306">
        <v>4.39</v>
      </c>
      <c r="AA174" s="831">
        <f t="shared" si="41"/>
        <v>5268</v>
      </c>
      <c r="AC174" s="1307" t="s">
        <v>889</v>
      </c>
      <c r="AD174" s="633" t="s">
        <v>111</v>
      </c>
      <c r="AE174" s="633" t="s">
        <v>82</v>
      </c>
      <c r="AF174" s="633"/>
      <c r="AG174" s="618" t="s">
        <v>74</v>
      </c>
      <c r="AH174" s="618"/>
      <c r="AI174" s="1308">
        <v>1200</v>
      </c>
      <c r="AJ174" s="824">
        <f t="shared" si="40"/>
        <v>0</v>
      </c>
      <c r="AK174" s="633"/>
      <c r="AL174" s="633"/>
      <c r="AM174" s="633"/>
      <c r="AN174" s="825">
        <f t="shared" si="42"/>
        <v>1200</v>
      </c>
      <c r="AO174" s="687"/>
      <c r="AP174" s="687"/>
      <c r="AQ174" s="687"/>
      <c r="AR174" s="825">
        <f>I174</f>
        <v>1200</v>
      </c>
      <c r="AS174" s="687"/>
      <c r="AT174" s="687"/>
      <c r="AU174" s="825">
        <f t="shared" si="44"/>
        <v>1200</v>
      </c>
      <c r="AV174" s="825"/>
      <c r="AW174" s="825">
        <f t="shared" si="43"/>
        <v>1200</v>
      </c>
      <c r="AX174" s="825"/>
      <c r="AY174" s="1305"/>
      <c r="AZ174" s="1305"/>
      <c r="BA174" s="1305"/>
      <c r="BB174" s="1305"/>
      <c r="BC174" s="1305"/>
      <c r="BD174" s="1305"/>
      <c r="BE174" s="1305"/>
      <c r="BF174" s="1305"/>
      <c r="BG174" s="1305"/>
      <c r="BH174" s="825">
        <f>I174/4</f>
        <v>300</v>
      </c>
      <c r="BI174" s="1305"/>
      <c r="BJ174" s="1305"/>
      <c r="BK174" s="1305"/>
      <c r="BL174" s="1305"/>
      <c r="BM174" s="1305"/>
      <c r="BN174" s="1305"/>
      <c r="BO174" s="1305"/>
      <c r="BP174" s="1305"/>
    </row>
    <row r="175" s="1265" customFormat="1" ht="31" customHeight="1" spans="1:68">
      <c r="A175" s="1304">
        <v>45750</v>
      </c>
      <c r="B175" s="822" t="s">
        <v>499</v>
      </c>
      <c r="C175" s="633" t="s">
        <v>890</v>
      </c>
      <c r="D175" s="825">
        <v>4500162426</v>
      </c>
      <c r="E175" s="633" t="s">
        <v>891</v>
      </c>
      <c r="F175" s="1305" t="s">
        <v>892</v>
      </c>
      <c r="G175" s="659" t="s">
        <v>111</v>
      </c>
      <c r="H175" s="633" t="s">
        <v>112</v>
      </c>
      <c r="I175" s="633">
        <v>480</v>
      </c>
      <c r="J175" s="633">
        <v>0</v>
      </c>
      <c r="K175" s="633">
        <v>16</v>
      </c>
      <c r="L175" s="827">
        <f t="shared" si="37"/>
        <v>30</v>
      </c>
      <c r="M175" s="828">
        <v>45830</v>
      </c>
      <c r="N175" s="828">
        <v>45826</v>
      </c>
      <c r="O175" s="824"/>
      <c r="P175" s="824" t="s">
        <v>113</v>
      </c>
      <c r="Q175" s="633"/>
      <c r="R175" s="829">
        <v>45762</v>
      </c>
      <c r="S175" s="829" t="s">
        <v>70</v>
      </c>
      <c r="T175" s="829">
        <v>45776</v>
      </c>
      <c r="U175" s="829"/>
      <c r="V175" s="829"/>
      <c r="W175" s="829"/>
      <c r="X175" s="628" t="s">
        <v>893</v>
      </c>
      <c r="Y175" s="828" t="s">
        <v>505</v>
      </c>
      <c r="Z175" s="1306">
        <v>4.39</v>
      </c>
      <c r="AA175" s="831">
        <f t="shared" si="41"/>
        <v>2107.2</v>
      </c>
      <c r="AC175" s="1307" t="s">
        <v>894</v>
      </c>
      <c r="AD175" s="633" t="s">
        <v>111</v>
      </c>
      <c r="AE175" s="633" t="s">
        <v>82</v>
      </c>
      <c r="AF175" s="633"/>
      <c r="AG175" s="618" t="s">
        <v>74</v>
      </c>
      <c r="AH175" s="618"/>
      <c r="AI175" s="1308">
        <v>480</v>
      </c>
      <c r="AJ175" s="824">
        <f t="shared" si="40"/>
        <v>0</v>
      </c>
      <c r="AK175" s="633"/>
      <c r="AL175" s="633" t="s">
        <v>454</v>
      </c>
      <c r="AM175" s="633"/>
      <c r="AN175" s="825">
        <f t="shared" si="42"/>
        <v>480</v>
      </c>
      <c r="AO175" s="687"/>
      <c r="AP175" s="687"/>
      <c r="AQ175" s="687"/>
      <c r="AR175" s="825">
        <f>I175</f>
        <v>480</v>
      </c>
      <c r="AS175" s="687"/>
      <c r="AT175" s="687"/>
      <c r="AU175" s="825">
        <f t="shared" si="44"/>
        <v>480</v>
      </c>
      <c r="AV175" s="825"/>
      <c r="AW175" s="825">
        <f t="shared" si="43"/>
        <v>480</v>
      </c>
      <c r="AX175" s="825"/>
      <c r="AY175" s="1305"/>
      <c r="AZ175" s="1305"/>
      <c r="BA175" s="1305"/>
      <c r="BB175" s="1305"/>
      <c r="BC175" s="1305"/>
      <c r="BD175" s="1305"/>
      <c r="BE175" s="1305"/>
      <c r="BF175" s="1305"/>
      <c r="BG175" s="1305"/>
      <c r="BH175" s="825">
        <f>I175/4</f>
        <v>120</v>
      </c>
      <c r="BI175" s="1305"/>
      <c r="BJ175" s="1305"/>
      <c r="BK175" s="1305"/>
      <c r="BL175" s="1305"/>
      <c r="BM175" s="1305"/>
      <c r="BN175" s="1305"/>
      <c r="BO175" s="1305"/>
      <c r="BP175" s="1305"/>
    </row>
    <row r="176" s="1265" customFormat="1" ht="31" customHeight="1" spans="1:68">
      <c r="A176" s="1304">
        <v>45793</v>
      </c>
      <c r="B176" s="822" t="s">
        <v>895</v>
      </c>
      <c r="C176" s="633" t="s">
        <v>399</v>
      </c>
      <c r="D176" s="825">
        <v>4500166563</v>
      </c>
      <c r="E176" s="633"/>
      <c r="F176" s="1305" t="s">
        <v>896</v>
      </c>
      <c r="G176" s="659" t="s">
        <v>518</v>
      </c>
      <c r="H176" s="633" t="s">
        <v>477</v>
      </c>
      <c r="I176" s="633">
        <v>240</v>
      </c>
      <c r="J176" s="633">
        <v>0</v>
      </c>
      <c r="K176" s="633">
        <v>6</v>
      </c>
      <c r="L176" s="827">
        <f t="shared" si="37"/>
        <v>40</v>
      </c>
      <c r="M176" s="828">
        <v>45831</v>
      </c>
      <c r="N176" s="828">
        <v>45831</v>
      </c>
      <c r="O176" s="824"/>
      <c r="P176" s="824" t="s">
        <v>113</v>
      </c>
      <c r="Q176" s="633"/>
      <c r="R176" s="829">
        <v>45804</v>
      </c>
      <c r="S176" s="829" t="s">
        <v>70</v>
      </c>
      <c r="T176" s="829">
        <v>45805</v>
      </c>
      <c r="U176" s="829"/>
      <c r="V176" s="829"/>
      <c r="W176" s="829"/>
      <c r="X176" s="822" t="s">
        <v>897</v>
      </c>
      <c r="Y176" s="828" t="s">
        <v>898</v>
      </c>
      <c r="Z176" s="1306">
        <v>8.1</v>
      </c>
      <c r="AA176" s="831">
        <f t="shared" si="41"/>
        <v>1944</v>
      </c>
      <c r="AC176" s="617" t="s">
        <v>899</v>
      </c>
      <c r="AD176" s="633" t="s">
        <v>480</v>
      </c>
      <c r="AE176" s="633" t="s">
        <v>82</v>
      </c>
      <c r="AF176" s="633"/>
      <c r="AG176" s="618" t="s">
        <v>74</v>
      </c>
      <c r="AH176" s="618"/>
      <c r="AI176" s="1308">
        <v>0</v>
      </c>
      <c r="AJ176" s="824"/>
      <c r="AK176" s="633"/>
      <c r="AL176" s="633"/>
      <c r="AM176" s="633"/>
      <c r="AN176" s="825">
        <f t="shared" si="42"/>
        <v>240</v>
      </c>
      <c r="AO176" s="687"/>
      <c r="AP176" s="687"/>
      <c r="AQ176" s="687"/>
      <c r="AR176" s="825"/>
      <c r="AS176" s="687">
        <f>I176</f>
        <v>240</v>
      </c>
      <c r="AT176" s="687"/>
      <c r="AU176" s="825">
        <f t="shared" si="44"/>
        <v>240</v>
      </c>
      <c r="AV176" s="825"/>
      <c r="AW176" s="825">
        <f t="shared" si="43"/>
        <v>240</v>
      </c>
      <c r="AX176" s="825"/>
      <c r="AY176" s="1305"/>
      <c r="AZ176" s="1305"/>
      <c r="BA176" s="1305"/>
      <c r="BB176" s="1305"/>
      <c r="BC176" s="1305"/>
      <c r="BD176" s="1305"/>
      <c r="BE176" s="1305"/>
      <c r="BF176" s="1305"/>
      <c r="BG176" s="1305"/>
      <c r="BH176" s="1305"/>
      <c r="BI176" s="1305"/>
      <c r="BJ176" s="1305"/>
      <c r="BK176" s="1305"/>
      <c r="BL176" s="1305"/>
      <c r="BM176" s="825"/>
      <c r="BN176" s="825">
        <f>I176</f>
        <v>240</v>
      </c>
      <c r="BO176" s="1305"/>
      <c r="BP176" s="1305"/>
    </row>
    <row r="177" s="1265" customFormat="1" ht="31" customHeight="1" spans="1:68">
      <c r="A177" s="1304">
        <v>45777</v>
      </c>
      <c r="B177" s="822" t="s">
        <v>900</v>
      </c>
      <c r="C177" s="633" t="s">
        <v>469</v>
      </c>
      <c r="D177" s="825">
        <v>4500163986</v>
      </c>
      <c r="E177" s="633" t="s">
        <v>901</v>
      </c>
      <c r="F177" s="1305" t="s">
        <v>902</v>
      </c>
      <c r="G177" s="659" t="s">
        <v>68</v>
      </c>
      <c r="H177" s="633" t="s">
        <v>69</v>
      </c>
      <c r="I177" s="633">
        <v>504</v>
      </c>
      <c r="J177" s="633">
        <v>0</v>
      </c>
      <c r="K177" s="633">
        <v>12</v>
      </c>
      <c r="L177" s="827">
        <f t="shared" si="37"/>
        <v>42</v>
      </c>
      <c r="M177" s="828">
        <v>45838</v>
      </c>
      <c r="N177" s="828">
        <v>45838</v>
      </c>
      <c r="O177" s="824"/>
      <c r="P177" s="824" t="s">
        <v>113</v>
      </c>
      <c r="Q177" s="633"/>
      <c r="R177" s="829">
        <v>45789</v>
      </c>
      <c r="S177" s="829" t="s">
        <v>70</v>
      </c>
      <c r="T177" s="829" t="s">
        <v>903</v>
      </c>
      <c r="U177" s="829"/>
      <c r="V177" s="829"/>
      <c r="W177" s="829"/>
      <c r="X177" s="628" t="s">
        <v>904</v>
      </c>
      <c r="Y177" s="828" t="s">
        <v>905</v>
      </c>
      <c r="Z177" s="1306">
        <v>4.1456</v>
      </c>
      <c r="AA177" s="831">
        <f t="shared" si="41"/>
        <v>2089.3824</v>
      </c>
      <c r="AC177" s="632" t="s">
        <v>906</v>
      </c>
      <c r="AD177" s="633" t="s">
        <v>184</v>
      </c>
      <c r="AE177" s="633" t="s">
        <v>82</v>
      </c>
      <c r="AF177" s="633">
        <v>45840</v>
      </c>
      <c r="AG177" s="618" t="s">
        <v>74</v>
      </c>
      <c r="AH177" s="618"/>
      <c r="AI177" s="1308">
        <v>504</v>
      </c>
      <c r="AJ177" s="824">
        <f t="shared" si="40"/>
        <v>0</v>
      </c>
      <c r="AK177" s="633"/>
      <c r="AL177" s="633"/>
      <c r="AM177" s="633"/>
      <c r="AN177" s="825">
        <f t="shared" si="42"/>
        <v>504</v>
      </c>
      <c r="AO177" s="687"/>
      <c r="AP177" s="687"/>
      <c r="AQ177" s="687"/>
      <c r="AR177" s="825"/>
      <c r="AS177" s="687">
        <f>I177</f>
        <v>504</v>
      </c>
      <c r="AT177" s="687"/>
      <c r="AU177" s="825">
        <f t="shared" si="44"/>
        <v>504</v>
      </c>
      <c r="AV177" s="825"/>
      <c r="AW177" s="825">
        <f t="shared" si="43"/>
        <v>504</v>
      </c>
      <c r="AX177" s="825"/>
      <c r="AY177" s="1305"/>
      <c r="AZ177" s="1305"/>
      <c r="BA177" s="1305"/>
      <c r="BB177" s="1305"/>
      <c r="BC177" s="1305"/>
      <c r="BD177" s="1305"/>
      <c r="BE177" s="1305">
        <f>I177</f>
        <v>504</v>
      </c>
      <c r="BF177" s="1305"/>
      <c r="BG177" s="1305"/>
      <c r="BH177" s="1305"/>
      <c r="BI177" s="1305"/>
      <c r="BJ177" s="1305"/>
      <c r="BK177" s="1305"/>
      <c r="BL177" s="1305"/>
      <c r="BM177" s="1305"/>
      <c r="BN177" s="1305"/>
      <c r="BO177" s="1305"/>
      <c r="BP177" s="1305"/>
    </row>
    <row r="178" s="1265" customFormat="1" ht="31" customHeight="1" spans="1:68">
      <c r="A178" s="1304">
        <v>45771</v>
      </c>
      <c r="B178" s="822" t="s">
        <v>907</v>
      </c>
      <c r="C178" s="633" t="s">
        <v>170</v>
      </c>
      <c r="D178" s="825">
        <v>4500161400</v>
      </c>
      <c r="E178" s="633"/>
      <c r="F178" s="1305" t="s">
        <v>908</v>
      </c>
      <c r="G178" s="659" t="s">
        <v>909</v>
      </c>
      <c r="H178" s="633" t="s">
        <v>830</v>
      </c>
      <c r="I178" s="633">
        <v>72</v>
      </c>
      <c r="J178" s="633">
        <v>0</v>
      </c>
      <c r="K178" s="633">
        <v>1</v>
      </c>
      <c r="L178" s="827">
        <f t="shared" si="37"/>
        <v>72</v>
      </c>
      <c r="M178" s="828">
        <v>45835</v>
      </c>
      <c r="N178" s="828">
        <v>45838</v>
      </c>
      <c r="O178" s="824"/>
      <c r="P178" s="824" t="s">
        <v>113</v>
      </c>
      <c r="Q178" s="633"/>
      <c r="R178" s="829">
        <v>45790</v>
      </c>
      <c r="S178" s="829" t="s">
        <v>70</v>
      </c>
      <c r="T178" s="829" t="s">
        <v>70</v>
      </c>
      <c r="U178" s="829"/>
      <c r="V178" s="829"/>
      <c r="W178" s="829"/>
      <c r="X178" s="822" t="s">
        <v>910</v>
      </c>
      <c r="Y178" s="828" t="s">
        <v>911</v>
      </c>
      <c r="Z178" s="1306">
        <v>0</v>
      </c>
      <c r="AA178" s="831">
        <v>0</v>
      </c>
      <c r="AB178" s="1265"/>
      <c r="AC178" s="632" t="s">
        <v>912</v>
      </c>
      <c r="AD178" s="633" t="s">
        <v>909</v>
      </c>
      <c r="AE178" s="633" t="s">
        <v>82</v>
      </c>
      <c r="AF178" s="633"/>
      <c r="AG178" s="618" t="s">
        <v>74</v>
      </c>
      <c r="AH178" s="618"/>
      <c r="AI178" s="1308">
        <v>0</v>
      </c>
      <c r="AJ178" s="824"/>
      <c r="AK178" s="633"/>
      <c r="AL178" s="633"/>
      <c r="AM178" s="633"/>
      <c r="AN178" s="825"/>
      <c r="AO178" s="687"/>
      <c r="AP178" s="687"/>
      <c r="AQ178" s="687"/>
      <c r="AR178" s="825"/>
      <c r="AS178" s="687"/>
      <c r="AT178" s="687"/>
      <c r="AU178" s="825"/>
      <c r="AV178" s="825"/>
      <c r="AW178" s="825"/>
      <c r="AX178" s="825"/>
      <c r="AY178" s="1305"/>
      <c r="AZ178" s="1305"/>
      <c r="BA178" s="1305"/>
      <c r="BB178" s="1305"/>
      <c r="BC178" s="1305"/>
      <c r="BD178" s="1305"/>
      <c r="BE178" s="1305"/>
      <c r="BF178" s="1305"/>
      <c r="BG178" s="1305"/>
      <c r="BH178" s="1305"/>
      <c r="BI178" s="1305"/>
      <c r="BJ178" s="1305"/>
      <c r="BK178" s="1305"/>
      <c r="BL178" s="1305"/>
      <c r="BM178" s="1305"/>
      <c r="BN178" s="1305"/>
      <c r="BO178" s="1305"/>
      <c r="BP178" s="1305"/>
    </row>
    <row r="179" s="1265" customFormat="1" ht="31" customHeight="1" spans="1:68">
      <c r="A179" s="1304">
        <v>45775</v>
      </c>
      <c r="B179" s="822" t="s">
        <v>907</v>
      </c>
      <c r="C179" s="633" t="s">
        <v>170</v>
      </c>
      <c r="D179" s="825">
        <v>4500161400</v>
      </c>
      <c r="E179" s="633"/>
      <c r="F179" s="1305" t="s">
        <v>908</v>
      </c>
      <c r="G179" s="659" t="s">
        <v>515</v>
      </c>
      <c r="H179" s="633" t="s">
        <v>112</v>
      </c>
      <c r="I179" s="633">
        <v>5400</v>
      </c>
      <c r="J179" s="633">
        <v>0</v>
      </c>
      <c r="K179" s="633">
        <v>75</v>
      </c>
      <c r="L179" s="827">
        <f t="shared" si="37"/>
        <v>72</v>
      </c>
      <c r="M179" s="828">
        <v>45835</v>
      </c>
      <c r="N179" s="828">
        <v>45838</v>
      </c>
      <c r="O179" s="824"/>
      <c r="P179" s="824" t="s">
        <v>113</v>
      </c>
      <c r="Q179" s="633"/>
      <c r="R179" s="829">
        <v>45790</v>
      </c>
      <c r="S179" s="829" t="s">
        <v>70</v>
      </c>
      <c r="T179" s="829" t="s">
        <v>70</v>
      </c>
      <c r="U179" s="829"/>
      <c r="V179" s="829"/>
      <c r="W179" s="829"/>
      <c r="X179" s="822"/>
      <c r="Y179" s="828" t="s">
        <v>911</v>
      </c>
      <c r="Z179" s="1306">
        <v>762.5</v>
      </c>
      <c r="AA179" s="831">
        <f>Z179*L179</f>
        <v>54900</v>
      </c>
      <c r="AC179" s="632" t="s">
        <v>912</v>
      </c>
      <c r="AD179" s="633" t="s">
        <v>909</v>
      </c>
      <c r="AE179" s="633" t="s">
        <v>82</v>
      </c>
      <c r="AF179" s="633"/>
      <c r="AG179" s="618" t="s">
        <v>74</v>
      </c>
      <c r="AH179" s="618"/>
      <c r="AI179" s="1308">
        <v>0</v>
      </c>
      <c r="AJ179" s="824"/>
      <c r="AK179" s="633"/>
      <c r="AL179" s="633"/>
      <c r="AM179" s="633"/>
      <c r="AN179" s="825"/>
      <c r="AO179" s="687">
        <f>I179</f>
        <v>5400</v>
      </c>
      <c r="AP179" s="687"/>
      <c r="AQ179" s="687"/>
      <c r="AR179" s="825"/>
      <c r="AS179" s="687"/>
      <c r="AT179" s="687"/>
      <c r="AU179" s="825"/>
      <c r="AV179" s="825"/>
      <c r="AW179" s="825"/>
      <c r="AX179" s="825"/>
      <c r="AY179" s="1305"/>
      <c r="AZ179" s="1305"/>
      <c r="BA179" s="1305">
        <f>I179</f>
        <v>5400</v>
      </c>
      <c r="BB179" s="1305">
        <f>I179</f>
        <v>5400</v>
      </c>
      <c r="BC179" s="1305">
        <f>I179</f>
        <v>5400</v>
      </c>
      <c r="BD179" s="1305"/>
      <c r="BE179" s="1305"/>
      <c r="BF179" s="1305"/>
      <c r="BG179" s="1305"/>
      <c r="BH179" s="1305"/>
      <c r="BI179" s="1305"/>
      <c r="BJ179" s="1305"/>
      <c r="BK179" s="1305">
        <f>I179</f>
        <v>5400</v>
      </c>
      <c r="BL179" s="1305">
        <f>I179/5</f>
        <v>1080</v>
      </c>
      <c r="BM179" s="1305"/>
      <c r="BN179" s="1305"/>
      <c r="BO179" s="1305"/>
      <c r="BP179" s="1305"/>
    </row>
    <row r="180" s="1265" customFormat="1" ht="31" customHeight="1" spans="1:68">
      <c r="A180" s="1304">
        <v>45798</v>
      </c>
      <c r="B180" s="822" t="s">
        <v>913</v>
      </c>
      <c r="C180" s="633" t="s">
        <v>914</v>
      </c>
      <c r="D180" s="825">
        <v>4500166269</v>
      </c>
      <c r="E180" s="633"/>
      <c r="F180" s="1305" t="s">
        <v>915</v>
      </c>
      <c r="G180" s="659" t="s">
        <v>101</v>
      </c>
      <c r="H180" s="633" t="s">
        <v>102</v>
      </c>
      <c r="I180" s="633">
        <v>200</v>
      </c>
      <c r="J180" s="633">
        <v>0</v>
      </c>
      <c r="K180" s="633">
        <v>4</v>
      </c>
      <c r="L180" s="827">
        <f t="shared" si="37"/>
        <v>50</v>
      </c>
      <c r="M180" s="828">
        <v>45834</v>
      </c>
      <c r="N180" s="828">
        <v>45839</v>
      </c>
      <c r="O180" s="824"/>
      <c r="P180" s="824" t="s">
        <v>113</v>
      </c>
      <c r="Q180" s="633"/>
      <c r="R180" s="829">
        <v>45798</v>
      </c>
      <c r="S180" s="829" t="s">
        <v>70</v>
      </c>
      <c r="T180" s="829" t="s">
        <v>70</v>
      </c>
      <c r="U180" s="829"/>
      <c r="V180" s="829"/>
      <c r="W180" s="829"/>
      <c r="X180" s="822" t="s">
        <v>916</v>
      </c>
      <c r="Y180" s="828" t="s">
        <v>299</v>
      </c>
      <c r="Z180" s="1306">
        <v>4.3</v>
      </c>
      <c r="AA180" s="831">
        <f t="shared" ref="AA180:AA186" si="45">Z180*I180</f>
        <v>860</v>
      </c>
      <c r="AC180" s="632" t="s">
        <v>917</v>
      </c>
      <c r="AD180" s="633" t="s">
        <v>156</v>
      </c>
      <c r="AE180" s="633" t="s">
        <v>82</v>
      </c>
      <c r="AF180" s="633">
        <v>45840</v>
      </c>
      <c r="AG180" s="618" t="s">
        <v>74</v>
      </c>
      <c r="AH180" s="618"/>
      <c r="AI180" s="1308">
        <v>200</v>
      </c>
      <c r="AJ180" s="824">
        <f t="shared" si="40"/>
        <v>0</v>
      </c>
      <c r="AK180" s="633"/>
      <c r="AL180" s="633"/>
      <c r="AM180" s="633"/>
      <c r="AN180" s="825">
        <f t="shared" ref="AN180:AN186" si="46">I180</f>
        <v>200</v>
      </c>
      <c r="AO180" s="687"/>
      <c r="AP180" s="687"/>
      <c r="AQ180" s="687"/>
      <c r="AR180" s="825"/>
      <c r="AS180" s="687">
        <f>I180</f>
        <v>200</v>
      </c>
      <c r="AT180" s="687"/>
      <c r="AU180" s="825">
        <f>I180</f>
        <v>200</v>
      </c>
      <c r="AV180" s="825"/>
      <c r="AW180" s="551">
        <f t="shared" ref="AW180:AW186" si="47">I180</f>
        <v>200</v>
      </c>
      <c r="AX180" s="825"/>
      <c r="AY180" s="1305"/>
      <c r="AZ180" s="1305"/>
      <c r="BA180" s="1305"/>
      <c r="BB180" s="1305"/>
      <c r="BC180" s="1305"/>
      <c r="BD180" s="1305"/>
      <c r="BE180" s="1305"/>
      <c r="BF180" s="1305"/>
      <c r="BG180" s="1305"/>
      <c r="BH180" s="1305"/>
      <c r="BI180" s="825">
        <f>I180/4</f>
        <v>50</v>
      </c>
      <c r="BJ180" s="1305"/>
      <c r="BK180" s="1305"/>
      <c r="BL180" s="1305"/>
      <c r="BM180" s="1305"/>
      <c r="BN180" s="1305"/>
      <c r="BO180" s="1305"/>
      <c r="BP180" s="1305"/>
    </row>
    <row r="181" s="1265" customFormat="1" ht="31" customHeight="1" spans="1:68">
      <c r="A181" s="1304">
        <v>45798</v>
      </c>
      <c r="B181" s="822" t="s">
        <v>312</v>
      </c>
      <c r="C181" s="633" t="s">
        <v>278</v>
      </c>
      <c r="D181" s="825">
        <v>4500167191</v>
      </c>
      <c r="E181" s="633" t="s">
        <v>918</v>
      </c>
      <c r="F181" s="1305" t="s">
        <v>919</v>
      </c>
      <c r="G181" s="659" t="s">
        <v>518</v>
      </c>
      <c r="H181" s="633" t="s">
        <v>477</v>
      </c>
      <c r="I181" s="633">
        <v>8700</v>
      </c>
      <c r="J181" s="633">
        <v>0</v>
      </c>
      <c r="K181" s="633">
        <v>6</v>
      </c>
      <c r="L181" s="827">
        <f t="shared" si="37"/>
        <v>1450</v>
      </c>
      <c r="M181" s="828">
        <v>45839</v>
      </c>
      <c r="N181" s="828">
        <v>45839</v>
      </c>
      <c r="O181" s="824"/>
      <c r="P181" s="824" t="s">
        <v>113</v>
      </c>
      <c r="Q181" s="633"/>
      <c r="R181" s="829">
        <v>45798</v>
      </c>
      <c r="S181" s="829" t="s">
        <v>70</v>
      </c>
      <c r="T181" s="829">
        <v>45800</v>
      </c>
      <c r="U181" s="829"/>
      <c r="V181" s="829"/>
      <c r="W181" s="829" t="s">
        <v>920</v>
      </c>
      <c r="X181" s="628" t="s">
        <v>921</v>
      </c>
      <c r="Y181" s="828" t="s">
        <v>317</v>
      </c>
      <c r="Z181" s="1306">
        <v>8.1</v>
      </c>
      <c r="AA181" s="831">
        <f t="shared" si="45"/>
        <v>70470</v>
      </c>
      <c r="AC181" s="632" t="s">
        <v>922</v>
      </c>
      <c r="AD181" s="633" t="s">
        <v>480</v>
      </c>
      <c r="AE181" s="633" t="s">
        <v>82</v>
      </c>
      <c r="AF181" s="633">
        <v>45845</v>
      </c>
      <c r="AG181" s="618" t="s">
        <v>74</v>
      </c>
      <c r="AH181" s="618"/>
      <c r="AI181" s="773">
        <f>1512+7188</f>
        <v>8700</v>
      </c>
      <c r="AJ181" s="824">
        <f t="shared" si="40"/>
        <v>0</v>
      </c>
      <c r="AK181" s="633"/>
      <c r="AL181" s="633"/>
      <c r="AM181" s="633"/>
      <c r="AN181" s="825">
        <f t="shared" si="46"/>
        <v>8700</v>
      </c>
      <c r="AO181" s="687"/>
      <c r="AP181" s="687"/>
      <c r="AQ181" s="687"/>
      <c r="AR181" s="825"/>
      <c r="AS181" s="687">
        <f>I181</f>
        <v>8700</v>
      </c>
      <c r="AT181" s="687"/>
      <c r="AU181" s="825">
        <f>I181</f>
        <v>8700</v>
      </c>
      <c r="AV181" s="825"/>
      <c r="AW181" s="551">
        <f t="shared" si="47"/>
        <v>8700</v>
      </c>
      <c r="AX181" s="825"/>
      <c r="AY181" s="1305"/>
      <c r="AZ181" s="1305"/>
      <c r="BA181" s="1305"/>
      <c r="BB181" s="1305"/>
      <c r="BC181" s="1305"/>
      <c r="BD181" s="1305"/>
      <c r="BE181" s="1305"/>
      <c r="BF181" s="1305"/>
      <c r="BG181" s="1305"/>
      <c r="BH181" s="1305"/>
      <c r="BI181" s="1305"/>
      <c r="BJ181" s="1305"/>
      <c r="BK181" s="1305"/>
      <c r="BL181" s="1305"/>
      <c r="BM181" s="825"/>
      <c r="BN181" s="825">
        <f>I181</f>
        <v>8700</v>
      </c>
      <c r="BO181" s="1305"/>
      <c r="BP181" s="1305"/>
    </row>
    <row r="182" s="1265" customFormat="1" ht="31" customHeight="1" spans="1:68">
      <c r="A182" s="1304">
        <v>45790</v>
      </c>
      <c r="B182" s="822" t="s">
        <v>923</v>
      </c>
      <c r="C182" s="633" t="s">
        <v>278</v>
      </c>
      <c r="D182" s="825">
        <v>4500166275</v>
      </c>
      <c r="E182" s="633" t="s">
        <v>924</v>
      </c>
      <c r="F182" s="1305" t="s">
        <v>925</v>
      </c>
      <c r="G182" s="659" t="s">
        <v>926</v>
      </c>
      <c r="H182" s="633" t="s">
        <v>927</v>
      </c>
      <c r="I182" s="633">
        <v>504</v>
      </c>
      <c r="J182" s="633">
        <v>0</v>
      </c>
      <c r="K182" s="633">
        <v>12</v>
      </c>
      <c r="L182" s="827">
        <f t="shared" si="37"/>
        <v>42</v>
      </c>
      <c r="M182" s="828">
        <v>45839</v>
      </c>
      <c r="N182" s="828">
        <v>45839</v>
      </c>
      <c r="O182" s="824"/>
      <c r="P182" s="824" t="s">
        <v>113</v>
      </c>
      <c r="Q182" s="633"/>
      <c r="R182" s="829">
        <v>45811</v>
      </c>
      <c r="S182" s="829" t="s">
        <v>70</v>
      </c>
      <c r="T182" s="829">
        <v>45813</v>
      </c>
      <c r="U182" s="829"/>
      <c r="V182" s="829"/>
      <c r="W182" s="829"/>
      <c r="X182" s="822" t="s">
        <v>928</v>
      </c>
      <c r="Y182" s="828" t="s">
        <v>864</v>
      </c>
      <c r="Z182" s="1306">
        <v>4.5</v>
      </c>
      <c r="AA182" s="831">
        <f t="shared" si="45"/>
        <v>2268</v>
      </c>
      <c r="AC182" s="632" t="s">
        <v>929</v>
      </c>
      <c r="AD182" s="633" t="s">
        <v>926</v>
      </c>
      <c r="AE182" s="633" t="s">
        <v>82</v>
      </c>
      <c r="AF182" s="633"/>
      <c r="AG182" s="618" t="s">
        <v>74</v>
      </c>
      <c r="AH182" s="618"/>
      <c r="AI182" s="1308">
        <v>504</v>
      </c>
      <c r="AJ182" s="824">
        <f t="shared" si="40"/>
        <v>0</v>
      </c>
      <c r="AK182" s="633"/>
      <c r="AL182" s="633"/>
      <c r="AM182" s="633"/>
      <c r="AN182" s="825">
        <f t="shared" si="46"/>
        <v>504</v>
      </c>
      <c r="AO182" s="687"/>
      <c r="AP182" s="687"/>
      <c r="AQ182" s="687"/>
      <c r="AR182" s="825">
        <f>I182</f>
        <v>504</v>
      </c>
      <c r="AS182" s="687"/>
      <c r="AT182" s="687"/>
      <c r="AU182" s="825">
        <f>I182</f>
        <v>504</v>
      </c>
      <c r="AV182" s="825"/>
      <c r="AW182" s="825">
        <f t="shared" si="47"/>
        <v>504</v>
      </c>
      <c r="AX182" s="825"/>
      <c r="AY182" s="1305"/>
      <c r="AZ182" s="1305"/>
      <c r="BA182" s="1305"/>
      <c r="BB182" s="1305"/>
      <c r="BC182" s="1305"/>
      <c r="BD182" s="1305"/>
      <c r="BE182" s="1305"/>
      <c r="BF182" s="1305"/>
      <c r="BG182" s="1305"/>
      <c r="BH182" s="1305"/>
      <c r="BI182" s="1305"/>
      <c r="BJ182" s="1305"/>
      <c r="BK182" s="1305"/>
      <c r="BL182" s="1305"/>
      <c r="BM182" s="1305"/>
      <c r="BN182" s="1305"/>
      <c r="BO182" s="1305"/>
      <c r="BP182" s="1305"/>
    </row>
    <row r="183" s="1265" customFormat="1" ht="31" customHeight="1" spans="1:68">
      <c r="A183" s="1304">
        <v>45804</v>
      </c>
      <c r="B183" s="822" t="s">
        <v>930</v>
      </c>
      <c r="C183" s="633" t="s">
        <v>931</v>
      </c>
      <c r="D183" s="825">
        <v>4500168055</v>
      </c>
      <c r="E183" s="633"/>
      <c r="F183" s="1305" t="s">
        <v>932</v>
      </c>
      <c r="G183" s="659" t="s">
        <v>68</v>
      </c>
      <c r="H183" s="633" t="s">
        <v>69</v>
      </c>
      <c r="I183" s="633">
        <v>180</v>
      </c>
      <c r="J183" s="633">
        <v>0</v>
      </c>
      <c r="K183" s="633">
        <v>12</v>
      </c>
      <c r="L183" s="827">
        <f t="shared" si="37"/>
        <v>15</v>
      </c>
      <c r="M183" s="828">
        <v>45838</v>
      </c>
      <c r="N183" s="828">
        <v>45840</v>
      </c>
      <c r="O183" s="824"/>
      <c r="P183" s="824" t="s">
        <v>113</v>
      </c>
      <c r="Q183" s="633"/>
      <c r="R183" s="829">
        <v>45814</v>
      </c>
      <c r="S183" s="829" t="s">
        <v>70</v>
      </c>
      <c r="T183" s="829">
        <v>45813</v>
      </c>
      <c r="U183" s="829"/>
      <c r="V183" s="829"/>
      <c r="W183" s="829"/>
      <c r="X183" s="822" t="s">
        <v>933</v>
      </c>
      <c r="Y183" s="828" t="s">
        <v>529</v>
      </c>
      <c r="Z183" s="1306">
        <v>4.1018</v>
      </c>
      <c r="AA183" s="831">
        <f t="shared" si="45"/>
        <v>738.324</v>
      </c>
      <c r="AC183" s="632" t="s">
        <v>934</v>
      </c>
      <c r="AD183" s="633" t="s">
        <v>184</v>
      </c>
      <c r="AE183" s="633" t="s">
        <v>82</v>
      </c>
      <c r="AF183" s="633"/>
      <c r="AG183" s="618" t="s">
        <v>74</v>
      </c>
      <c r="AH183" s="618"/>
      <c r="AI183" s="1308">
        <v>180</v>
      </c>
      <c r="AJ183" s="824">
        <f t="shared" si="40"/>
        <v>0</v>
      </c>
      <c r="AK183" s="633"/>
      <c r="AL183" s="633"/>
      <c r="AM183" s="633"/>
      <c r="AN183" s="825">
        <f t="shared" si="46"/>
        <v>180</v>
      </c>
      <c r="AO183" s="687"/>
      <c r="AP183" s="687"/>
      <c r="AQ183" s="687"/>
      <c r="AR183" s="825"/>
      <c r="AS183" s="687">
        <f>I183</f>
        <v>180</v>
      </c>
      <c r="AT183" s="687"/>
      <c r="AU183" s="825">
        <f>I183</f>
        <v>180</v>
      </c>
      <c r="AV183" s="825"/>
      <c r="AW183" s="825">
        <f t="shared" si="47"/>
        <v>180</v>
      </c>
      <c r="AX183" s="825"/>
      <c r="AY183" s="1305"/>
      <c r="AZ183" s="1305"/>
      <c r="BA183" s="1305"/>
      <c r="BB183" s="1305"/>
      <c r="BC183" s="1305"/>
      <c r="BD183" s="1305"/>
      <c r="BE183" s="1305"/>
      <c r="BF183" s="1305"/>
      <c r="BG183" s="1305"/>
      <c r="BH183" s="1305"/>
      <c r="BI183" s="1305"/>
      <c r="BJ183" s="1305"/>
      <c r="BK183" s="1305"/>
      <c r="BL183" s="1305"/>
      <c r="BM183" s="1305"/>
      <c r="BN183" s="1305"/>
      <c r="BO183" s="1305"/>
      <c r="BP183" s="1305"/>
    </row>
    <row r="184" s="1265" customFormat="1" ht="31" customHeight="1" spans="1:68">
      <c r="A184" s="1304">
        <v>45803</v>
      </c>
      <c r="B184" s="822" t="s">
        <v>935</v>
      </c>
      <c r="C184" s="633" t="s">
        <v>302</v>
      </c>
      <c r="D184" s="825">
        <v>4500168001</v>
      </c>
      <c r="E184" s="633">
        <v>4400487406</v>
      </c>
      <c r="F184" s="1305" t="s">
        <v>936</v>
      </c>
      <c r="G184" s="659" t="s">
        <v>164</v>
      </c>
      <c r="H184" s="633" t="s">
        <v>937</v>
      </c>
      <c r="I184" s="633">
        <v>600</v>
      </c>
      <c r="J184" s="633">
        <v>0</v>
      </c>
      <c r="K184" s="633">
        <v>8</v>
      </c>
      <c r="L184" s="827">
        <f t="shared" si="37"/>
        <v>75</v>
      </c>
      <c r="M184" s="828">
        <v>45840</v>
      </c>
      <c r="N184" s="828">
        <v>45840</v>
      </c>
      <c r="O184" s="824"/>
      <c r="P184" s="824" t="s">
        <v>113</v>
      </c>
      <c r="Q184" s="633"/>
      <c r="R184" s="829">
        <v>45803</v>
      </c>
      <c r="S184" s="829" t="s">
        <v>70</v>
      </c>
      <c r="T184" s="829" t="s">
        <v>165</v>
      </c>
      <c r="U184" s="829"/>
      <c r="V184" s="829"/>
      <c r="W184" s="829"/>
      <c r="X184" s="822" t="s">
        <v>938</v>
      </c>
      <c r="Y184" s="828" t="s">
        <v>939</v>
      </c>
      <c r="Z184" s="1306">
        <v>4.2227</v>
      </c>
      <c r="AA184" s="831">
        <f t="shared" si="45"/>
        <v>2533.62</v>
      </c>
      <c r="AC184" s="632" t="s">
        <v>940</v>
      </c>
      <c r="AD184" s="1314" t="s">
        <v>164</v>
      </c>
      <c r="AE184" s="633" t="s">
        <v>82</v>
      </c>
      <c r="AF184" s="633"/>
      <c r="AG184" s="618" t="s">
        <v>74</v>
      </c>
      <c r="AH184" s="618"/>
      <c r="AI184" s="1308">
        <v>600</v>
      </c>
      <c r="AJ184" s="824">
        <f t="shared" si="40"/>
        <v>0</v>
      </c>
      <c r="AK184" s="633"/>
      <c r="AL184" s="633"/>
      <c r="AM184" s="633"/>
      <c r="AN184" s="825">
        <f t="shared" si="46"/>
        <v>600</v>
      </c>
      <c r="AO184" s="687"/>
      <c r="AP184" s="687"/>
      <c r="AQ184" s="687"/>
      <c r="AR184" s="825"/>
      <c r="AS184" s="687"/>
      <c r="AT184" s="687"/>
      <c r="AU184" s="825"/>
      <c r="AV184" s="825"/>
      <c r="AW184" s="825">
        <f t="shared" si="47"/>
        <v>600</v>
      </c>
      <c r="AX184" s="825"/>
      <c r="AY184" s="1305"/>
      <c r="AZ184" s="1305"/>
      <c r="BA184" s="1305"/>
      <c r="BB184" s="1305"/>
      <c r="BC184" s="1305"/>
      <c r="BD184" s="825">
        <f>I184</f>
        <v>600</v>
      </c>
      <c r="BE184" s="825">
        <f>I184</f>
        <v>600</v>
      </c>
      <c r="BF184" s="1305"/>
      <c r="BG184" s="1305"/>
      <c r="BH184" s="1305"/>
      <c r="BI184" s="825">
        <f>I184/4</f>
        <v>150</v>
      </c>
      <c r="BJ184" s="1305"/>
      <c r="BK184" s="1305"/>
      <c r="BL184" s="1305"/>
      <c r="BM184" s="1305"/>
      <c r="BN184" s="1305"/>
      <c r="BO184" s="1305"/>
      <c r="BP184" s="1305"/>
    </row>
    <row r="185" s="1265" customFormat="1" ht="31" customHeight="1" spans="1:68">
      <c r="A185" s="1304">
        <v>45806</v>
      </c>
      <c r="B185" s="822" t="s">
        <v>930</v>
      </c>
      <c r="C185" s="633" t="s">
        <v>931</v>
      </c>
      <c r="D185" s="825">
        <v>4500168463</v>
      </c>
      <c r="E185" s="633"/>
      <c r="F185" s="1305" t="s">
        <v>941</v>
      </c>
      <c r="G185" s="659" t="s">
        <v>68</v>
      </c>
      <c r="H185" s="633" t="s">
        <v>69</v>
      </c>
      <c r="I185" s="633">
        <v>240</v>
      </c>
      <c r="J185" s="633">
        <v>0</v>
      </c>
      <c r="K185" s="633">
        <v>12</v>
      </c>
      <c r="L185" s="827">
        <f t="shared" si="37"/>
        <v>20</v>
      </c>
      <c r="M185" s="828">
        <v>45840</v>
      </c>
      <c r="N185" s="828">
        <v>45840</v>
      </c>
      <c r="O185" s="824"/>
      <c r="P185" s="824" t="s">
        <v>113</v>
      </c>
      <c r="Q185" s="633"/>
      <c r="R185" s="829">
        <v>45814</v>
      </c>
      <c r="S185" s="829" t="s">
        <v>70</v>
      </c>
      <c r="T185" s="829">
        <v>45813</v>
      </c>
      <c r="U185" s="829"/>
      <c r="V185" s="829"/>
      <c r="W185" s="829"/>
      <c r="X185" s="822" t="s">
        <v>942</v>
      </c>
      <c r="Y185" s="828" t="s">
        <v>943</v>
      </c>
      <c r="Z185" s="1306">
        <v>4.1456</v>
      </c>
      <c r="AA185" s="831">
        <f t="shared" si="45"/>
        <v>994.944</v>
      </c>
      <c r="AC185" s="632" t="s">
        <v>944</v>
      </c>
      <c r="AD185" s="1315" t="s">
        <v>164</v>
      </c>
      <c r="AE185" s="633" t="s">
        <v>82</v>
      </c>
      <c r="AF185" s="633"/>
      <c r="AG185" s="618" t="s">
        <v>74</v>
      </c>
      <c r="AH185" s="618"/>
      <c r="AI185" s="1308">
        <v>240</v>
      </c>
      <c r="AJ185" s="824">
        <f t="shared" si="40"/>
        <v>0</v>
      </c>
      <c r="AK185" s="633"/>
      <c r="AL185" s="633"/>
      <c r="AM185" s="633"/>
      <c r="AN185" s="825">
        <f t="shared" si="46"/>
        <v>240</v>
      </c>
      <c r="AO185" s="687"/>
      <c r="AP185" s="687"/>
      <c r="AQ185" s="687"/>
      <c r="AR185" s="825"/>
      <c r="AS185" s="687">
        <f>I185</f>
        <v>240</v>
      </c>
      <c r="AT185" s="687"/>
      <c r="AU185" s="825">
        <f>I185</f>
        <v>240</v>
      </c>
      <c r="AV185" s="825"/>
      <c r="AW185" s="825">
        <f t="shared" si="47"/>
        <v>240</v>
      </c>
      <c r="AX185" s="825"/>
      <c r="AY185" s="1305"/>
      <c r="AZ185" s="1305"/>
      <c r="BA185" s="1305"/>
      <c r="BB185" s="1305"/>
      <c r="BC185" s="1305"/>
      <c r="BD185" s="1305"/>
      <c r="BE185" s="1305"/>
      <c r="BF185" s="1305"/>
      <c r="BG185" s="1305"/>
      <c r="BH185" s="1305"/>
      <c r="BI185" s="1305"/>
      <c r="BJ185" s="1305"/>
      <c r="BK185" s="1305"/>
      <c r="BL185" s="1305"/>
      <c r="BM185" s="1305"/>
      <c r="BN185" s="1305"/>
      <c r="BO185" s="1305"/>
      <c r="BP185" s="1305"/>
    </row>
    <row r="186" s="1265" customFormat="1" ht="31" customHeight="1" spans="1:68">
      <c r="A186" s="1304">
        <v>45808</v>
      </c>
      <c r="B186" s="822" t="s">
        <v>930</v>
      </c>
      <c r="C186" s="633" t="s">
        <v>931</v>
      </c>
      <c r="D186" s="825">
        <v>4500168594</v>
      </c>
      <c r="E186" s="633"/>
      <c r="F186" s="1305" t="s">
        <v>945</v>
      </c>
      <c r="G186" s="659" t="s">
        <v>68</v>
      </c>
      <c r="H186" s="633" t="s">
        <v>69</v>
      </c>
      <c r="I186" s="633">
        <v>120</v>
      </c>
      <c r="J186" s="633">
        <v>0</v>
      </c>
      <c r="K186" s="633">
        <v>12</v>
      </c>
      <c r="L186" s="827">
        <f t="shared" si="37"/>
        <v>10</v>
      </c>
      <c r="M186" s="828">
        <v>45840</v>
      </c>
      <c r="N186" s="828">
        <v>45840</v>
      </c>
      <c r="O186" s="824"/>
      <c r="P186" s="824" t="s">
        <v>113</v>
      </c>
      <c r="Q186" s="633"/>
      <c r="R186" s="829">
        <v>45814</v>
      </c>
      <c r="S186" s="829" t="s">
        <v>70</v>
      </c>
      <c r="T186" s="829">
        <v>45813</v>
      </c>
      <c r="U186" s="829"/>
      <c r="V186" s="829"/>
      <c r="W186" s="829"/>
      <c r="X186" s="822" t="s">
        <v>942</v>
      </c>
      <c r="Y186" s="828" t="s">
        <v>943</v>
      </c>
      <c r="Z186" s="1306">
        <v>4.1456</v>
      </c>
      <c r="AA186" s="831">
        <f t="shared" si="45"/>
        <v>497.472</v>
      </c>
      <c r="AC186" s="617" t="s">
        <v>946</v>
      </c>
      <c r="AD186" s="633" t="s">
        <v>184</v>
      </c>
      <c r="AE186" s="633" t="s">
        <v>82</v>
      </c>
      <c r="AF186" s="633"/>
      <c r="AG186" s="618" t="s">
        <v>74</v>
      </c>
      <c r="AH186" s="618"/>
      <c r="AI186" s="1308">
        <v>120</v>
      </c>
      <c r="AJ186" s="824">
        <f t="shared" si="40"/>
        <v>0</v>
      </c>
      <c r="AK186" s="633"/>
      <c r="AL186" s="633"/>
      <c r="AM186" s="633"/>
      <c r="AN186" s="825">
        <f t="shared" si="46"/>
        <v>120</v>
      </c>
      <c r="AO186" s="687"/>
      <c r="AP186" s="687"/>
      <c r="AQ186" s="687"/>
      <c r="AR186" s="825"/>
      <c r="AS186" s="687">
        <f>I186</f>
        <v>120</v>
      </c>
      <c r="AT186" s="687"/>
      <c r="AU186" s="825">
        <f>I186</f>
        <v>120</v>
      </c>
      <c r="AV186" s="825"/>
      <c r="AW186" s="825">
        <f t="shared" si="47"/>
        <v>120</v>
      </c>
      <c r="AX186" s="825"/>
      <c r="AY186" s="1305"/>
      <c r="AZ186" s="1305"/>
      <c r="BA186" s="1305"/>
      <c r="BB186" s="1305"/>
      <c r="BC186" s="1305"/>
      <c r="BD186" s="1305"/>
      <c r="BE186" s="1305"/>
      <c r="BF186" s="1305"/>
      <c r="BG186" s="1305"/>
      <c r="BH186" s="1305"/>
      <c r="BI186" s="1305"/>
      <c r="BJ186" s="1305"/>
      <c r="BK186" s="1305"/>
      <c r="BL186" s="1305"/>
      <c r="BM186" s="1305"/>
      <c r="BN186" s="1305"/>
      <c r="BO186" s="1305"/>
      <c r="BP186" s="1305"/>
    </row>
    <row r="187" s="1265" customFormat="1" ht="31" customHeight="1" spans="1:68">
      <c r="A187" s="1304">
        <v>45769</v>
      </c>
      <c r="B187" s="822" t="s">
        <v>947</v>
      </c>
      <c r="C187" s="633" t="s">
        <v>278</v>
      </c>
      <c r="D187" s="825">
        <v>4500164547</v>
      </c>
      <c r="E187" s="633" t="s">
        <v>948</v>
      </c>
      <c r="F187" s="1305" t="s">
        <v>949</v>
      </c>
      <c r="G187" s="659" t="s">
        <v>829</v>
      </c>
      <c r="H187" s="633" t="s">
        <v>830</v>
      </c>
      <c r="I187" s="633">
        <v>72</v>
      </c>
      <c r="J187" s="633">
        <v>0</v>
      </c>
      <c r="K187" s="633">
        <v>1</v>
      </c>
      <c r="L187" s="827">
        <f t="shared" si="37"/>
        <v>72</v>
      </c>
      <c r="M187" s="828">
        <v>45840</v>
      </c>
      <c r="N187" s="828">
        <v>45840</v>
      </c>
      <c r="O187" s="824" t="s">
        <v>950</v>
      </c>
      <c r="P187" s="824" t="s">
        <v>113</v>
      </c>
      <c r="Q187" s="633"/>
      <c r="R187" s="829">
        <v>45785</v>
      </c>
      <c r="S187" s="829" t="s">
        <v>70</v>
      </c>
      <c r="T187" s="829" t="s">
        <v>70</v>
      </c>
      <c r="U187" s="829"/>
      <c r="V187" s="829"/>
      <c r="W187" s="829"/>
      <c r="X187" s="822" t="s">
        <v>951</v>
      </c>
      <c r="Y187" s="828" t="s">
        <v>244</v>
      </c>
      <c r="Z187" s="1306">
        <v>755</v>
      </c>
      <c r="AA187" s="831">
        <f>Z187*L187</f>
        <v>54360</v>
      </c>
      <c r="AC187" s="617" t="s">
        <v>952</v>
      </c>
      <c r="AD187" s="633" t="s">
        <v>829</v>
      </c>
      <c r="AE187" s="633" t="s">
        <v>82</v>
      </c>
      <c r="AF187" s="633"/>
      <c r="AG187" s="618" t="s">
        <v>74</v>
      </c>
      <c r="AH187" s="618"/>
      <c r="AI187" s="1308">
        <v>0</v>
      </c>
      <c r="AJ187" s="824"/>
      <c r="AK187" s="633"/>
      <c r="AL187" s="633"/>
      <c r="AM187" s="633"/>
      <c r="AN187" s="825"/>
      <c r="AO187" s="687"/>
      <c r="AP187" s="687"/>
      <c r="AQ187" s="687"/>
      <c r="AR187" s="825"/>
      <c r="AS187" s="687"/>
      <c r="AT187" s="687"/>
      <c r="AU187" s="825"/>
      <c r="AV187" s="825"/>
      <c r="AW187" s="825"/>
      <c r="AX187" s="825"/>
      <c r="AY187" s="1305"/>
      <c r="AZ187" s="1305"/>
      <c r="BA187" s="1305"/>
      <c r="BB187" s="1305"/>
      <c r="BC187" s="1305"/>
      <c r="BD187" s="1305"/>
      <c r="BE187" s="1305"/>
      <c r="BF187" s="1305"/>
      <c r="BG187" s="1305"/>
      <c r="BH187" s="1305"/>
      <c r="BI187" s="1305"/>
      <c r="BJ187" s="1305"/>
      <c r="BK187" s="1305"/>
      <c r="BL187" s="1305"/>
      <c r="BM187" s="1305"/>
      <c r="BN187" s="1305"/>
      <c r="BO187" s="1305"/>
      <c r="BP187" s="1305"/>
    </row>
    <row r="188" s="1265" customFormat="1" ht="31" customHeight="1" spans="1:68">
      <c r="A188" s="1304">
        <v>45769</v>
      </c>
      <c r="B188" s="822" t="s">
        <v>947</v>
      </c>
      <c r="C188" s="633" t="s">
        <v>278</v>
      </c>
      <c r="D188" s="825">
        <v>4500164547</v>
      </c>
      <c r="E188" s="633" t="s">
        <v>948</v>
      </c>
      <c r="F188" s="1305" t="s">
        <v>949</v>
      </c>
      <c r="G188" s="659" t="s">
        <v>515</v>
      </c>
      <c r="H188" s="633" t="s">
        <v>112</v>
      </c>
      <c r="I188" s="633">
        <v>5400</v>
      </c>
      <c r="J188" s="633">
        <v>0</v>
      </c>
      <c r="K188" s="633">
        <v>75</v>
      </c>
      <c r="L188" s="827">
        <f t="shared" si="37"/>
        <v>72</v>
      </c>
      <c r="M188" s="828">
        <v>45840</v>
      </c>
      <c r="N188" s="828">
        <v>45840</v>
      </c>
      <c r="O188" s="824" t="s">
        <v>950</v>
      </c>
      <c r="P188" s="824" t="s">
        <v>113</v>
      </c>
      <c r="Q188" s="633"/>
      <c r="R188" s="829">
        <v>45785</v>
      </c>
      <c r="S188" s="829" t="s">
        <v>70</v>
      </c>
      <c r="T188" s="829" t="s">
        <v>70</v>
      </c>
      <c r="U188" s="829"/>
      <c r="V188" s="829"/>
      <c r="W188" s="829"/>
      <c r="X188" s="822"/>
      <c r="Y188" s="828" t="s">
        <v>244</v>
      </c>
      <c r="Z188" s="1306">
        <v>755</v>
      </c>
      <c r="AA188" s="831">
        <f>Z188*L188</f>
        <v>54360</v>
      </c>
      <c r="AC188" s="1313" t="s">
        <v>953</v>
      </c>
      <c r="AD188" s="633" t="s">
        <v>829</v>
      </c>
      <c r="AE188" s="633" t="s">
        <v>82</v>
      </c>
      <c r="AF188" s="633"/>
      <c r="AG188" s="618" t="s">
        <v>74</v>
      </c>
      <c r="AH188" s="618"/>
      <c r="AI188" s="1308">
        <v>0</v>
      </c>
      <c r="AJ188" s="824"/>
      <c r="AK188" s="633"/>
      <c r="AL188" s="633"/>
      <c r="AM188" s="633"/>
      <c r="AN188" s="825"/>
      <c r="AO188" s="687"/>
      <c r="AP188" s="687"/>
      <c r="AQ188" s="687">
        <f>I188</f>
        <v>5400</v>
      </c>
      <c r="AR188" s="825"/>
      <c r="AS188" s="687"/>
      <c r="AT188" s="687"/>
      <c r="AU188" s="825"/>
      <c r="AV188" s="825"/>
      <c r="AW188" s="825"/>
      <c r="AX188" s="825"/>
      <c r="AY188" s="1305"/>
      <c r="AZ188" s="1305"/>
      <c r="BA188" s="1305">
        <f>I188</f>
        <v>5400</v>
      </c>
      <c r="BB188" s="1305">
        <f>I188</f>
        <v>5400</v>
      </c>
      <c r="BC188" s="1305">
        <f>I188</f>
        <v>5400</v>
      </c>
      <c r="BD188" s="1305"/>
      <c r="BE188" s="1305"/>
      <c r="BF188" s="1305"/>
      <c r="BG188" s="1305"/>
      <c r="BH188" s="1305"/>
      <c r="BI188" s="1305"/>
      <c r="BJ188" s="1305"/>
      <c r="BK188" s="1305">
        <f>I188</f>
        <v>5400</v>
      </c>
      <c r="BL188" s="1305">
        <f>I188/5</f>
        <v>1080</v>
      </c>
      <c r="BM188" s="1305"/>
      <c r="BN188" s="1305"/>
      <c r="BO188" s="1305"/>
      <c r="BP188" s="1305"/>
    </row>
    <row r="189" s="1265" customFormat="1" ht="31" customHeight="1" spans="1:68">
      <c r="A189" s="1304">
        <v>45775</v>
      </c>
      <c r="B189" s="822" t="s">
        <v>143</v>
      </c>
      <c r="C189" s="633" t="s">
        <v>98</v>
      </c>
      <c r="D189" s="825">
        <v>4500162964</v>
      </c>
      <c r="E189" s="633" t="s">
        <v>954</v>
      </c>
      <c r="F189" s="1305" t="s">
        <v>955</v>
      </c>
      <c r="G189" s="659" t="s">
        <v>101</v>
      </c>
      <c r="H189" s="633" t="s">
        <v>102</v>
      </c>
      <c r="I189" s="633">
        <v>1504</v>
      </c>
      <c r="J189" s="633">
        <v>0</v>
      </c>
      <c r="K189" s="633">
        <v>4</v>
      </c>
      <c r="L189" s="827">
        <f t="shared" si="37"/>
        <v>376</v>
      </c>
      <c r="M189" s="828">
        <v>45838</v>
      </c>
      <c r="N189" s="828">
        <v>45841</v>
      </c>
      <c r="O189" s="824" t="s">
        <v>956</v>
      </c>
      <c r="P189" s="824" t="s">
        <v>113</v>
      </c>
      <c r="Q189" s="633"/>
      <c r="R189" s="829" t="s">
        <v>483</v>
      </c>
      <c r="S189" s="829" t="s">
        <v>70</v>
      </c>
      <c r="T189" s="829" t="s">
        <v>699</v>
      </c>
      <c r="U189" s="829"/>
      <c r="V189" s="774" t="s">
        <v>148</v>
      </c>
      <c r="W189" s="829"/>
      <c r="X189" s="822" t="s">
        <v>369</v>
      </c>
      <c r="Y189" s="828" t="s">
        <v>106</v>
      </c>
      <c r="Z189" s="1306">
        <v>3.06</v>
      </c>
      <c r="AA189" s="831">
        <f t="shared" ref="AA189:AA201" si="48">Z189*I189</f>
        <v>4602.24</v>
      </c>
      <c r="AC189" s="632" t="s">
        <v>957</v>
      </c>
      <c r="AD189" s="633" t="s">
        <v>101</v>
      </c>
      <c r="AE189" s="633" t="s">
        <v>82</v>
      </c>
      <c r="AF189" s="633"/>
      <c r="AG189" s="618" t="s">
        <v>74</v>
      </c>
      <c r="AH189" s="618"/>
      <c r="AI189" s="1308">
        <v>1504</v>
      </c>
      <c r="AJ189" s="824">
        <f t="shared" si="40"/>
        <v>0</v>
      </c>
      <c r="AK189" s="633"/>
      <c r="AL189" s="633"/>
      <c r="AM189" s="633"/>
      <c r="AN189" s="825">
        <f t="shared" ref="AN189:AN201" si="49">I189</f>
        <v>1504</v>
      </c>
      <c r="AO189" s="687"/>
      <c r="AP189" s="687"/>
      <c r="AQ189" s="687"/>
      <c r="AR189" s="825">
        <f>I189</f>
        <v>1504</v>
      </c>
      <c r="AS189" s="687"/>
      <c r="AT189" s="687"/>
      <c r="AU189" s="825">
        <f t="shared" ref="AU189:AU201" si="50">I189</f>
        <v>1504</v>
      </c>
      <c r="AV189" s="825"/>
      <c r="AW189" s="551">
        <f>I189</f>
        <v>1504</v>
      </c>
      <c r="AX189" s="825"/>
      <c r="AY189" s="1305"/>
      <c r="AZ189" s="1305"/>
      <c r="BA189" s="1305"/>
      <c r="BB189" s="1305"/>
      <c r="BC189" s="1305"/>
      <c r="BD189" s="1305"/>
      <c r="BE189" s="1305"/>
      <c r="BF189" s="1305"/>
      <c r="BG189" s="1305"/>
      <c r="BH189" s="825">
        <f>I189/4</f>
        <v>376</v>
      </c>
      <c r="BI189" s="1305"/>
      <c r="BJ189" s="1305"/>
      <c r="BK189" s="1305"/>
      <c r="BL189" s="1305"/>
      <c r="BM189" s="1305"/>
      <c r="BN189" s="1305"/>
      <c r="BO189" s="1305"/>
      <c r="BP189" s="1305"/>
    </row>
    <row r="190" s="1265" customFormat="1" ht="31" customHeight="1" spans="1:68">
      <c r="A190" s="1304">
        <v>45799</v>
      </c>
      <c r="B190" s="822" t="s">
        <v>143</v>
      </c>
      <c r="C190" s="633" t="s">
        <v>98</v>
      </c>
      <c r="D190" s="825">
        <v>4500167594</v>
      </c>
      <c r="E190" s="1413" t="s">
        <v>958</v>
      </c>
      <c r="F190" s="1305" t="s">
        <v>959</v>
      </c>
      <c r="G190" s="659" t="s">
        <v>101</v>
      </c>
      <c r="H190" s="633" t="s">
        <v>102</v>
      </c>
      <c r="I190" s="633">
        <v>2328</v>
      </c>
      <c r="J190" s="633">
        <v>0</v>
      </c>
      <c r="K190" s="633">
        <v>4</v>
      </c>
      <c r="L190" s="827">
        <f t="shared" si="37"/>
        <v>582</v>
      </c>
      <c r="M190" s="828">
        <v>45838</v>
      </c>
      <c r="N190" s="828">
        <v>45841</v>
      </c>
      <c r="O190" s="824" t="s">
        <v>960</v>
      </c>
      <c r="P190" s="824" t="s">
        <v>113</v>
      </c>
      <c r="Q190" s="633"/>
      <c r="R190" s="829" t="s">
        <v>961</v>
      </c>
      <c r="S190" s="829" t="s">
        <v>70</v>
      </c>
      <c r="T190" s="829" t="s">
        <v>699</v>
      </c>
      <c r="U190" s="829"/>
      <c r="V190" s="774" t="s">
        <v>148</v>
      </c>
      <c r="W190" s="829"/>
      <c r="X190" s="822" t="s">
        <v>149</v>
      </c>
      <c r="Y190" s="828" t="s">
        <v>106</v>
      </c>
      <c r="Z190" s="1306">
        <v>2.58</v>
      </c>
      <c r="AA190" s="831">
        <f t="shared" si="48"/>
        <v>6006.24</v>
      </c>
      <c r="AC190" s="632" t="s">
        <v>962</v>
      </c>
      <c r="AD190" s="633" t="s">
        <v>101</v>
      </c>
      <c r="AE190" s="633" t="s">
        <v>82</v>
      </c>
      <c r="AF190" s="633"/>
      <c r="AG190" s="618" t="s">
        <v>74</v>
      </c>
      <c r="AH190" s="618"/>
      <c r="AI190" s="1308">
        <v>2328</v>
      </c>
      <c r="AJ190" s="824">
        <f t="shared" si="40"/>
        <v>0</v>
      </c>
      <c r="AK190" s="633"/>
      <c r="AL190" s="633"/>
      <c r="AM190" s="633"/>
      <c r="AN190" s="825">
        <f t="shared" si="49"/>
        <v>2328</v>
      </c>
      <c r="AO190" s="687"/>
      <c r="AP190" s="687"/>
      <c r="AQ190" s="687"/>
      <c r="AR190" s="825">
        <f>I190</f>
        <v>2328</v>
      </c>
      <c r="AS190" s="687"/>
      <c r="AT190" s="687"/>
      <c r="AU190" s="825">
        <f t="shared" si="50"/>
        <v>2328</v>
      </c>
      <c r="AV190" s="825"/>
      <c r="AW190" s="551">
        <f>I190</f>
        <v>2328</v>
      </c>
      <c r="AX190" s="825"/>
      <c r="AY190" s="1305"/>
      <c r="AZ190" s="1305"/>
      <c r="BA190" s="1305"/>
      <c r="BB190" s="1305"/>
      <c r="BC190" s="1305"/>
      <c r="BD190" s="1305"/>
      <c r="BE190" s="1305"/>
      <c r="BF190" s="1305"/>
      <c r="BG190" s="1305"/>
      <c r="BH190" s="825">
        <f>I190/4</f>
        <v>582</v>
      </c>
      <c r="BI190" s="1305"/>
      <c r="BJ190" s="1305"/>
      <c r="BK190" s="1305"/>
      <c r="BL190" s="1305"/>
      <c r="BM190" s="1305"/>
      <c r="BN190" s="1305"/>
      <c r="BO190" s="1305"/>
      <c r="BP190" s="1305"/>
    </row>
    <row r="191" s="1265" customFormat="1" ht="31" customHeight="1" spans="1:68">
      <c r="A191" s="1304">
        <v>45799</v>
      </c>
      <c r="B191" s="822" t="s">
        <v>549</v>
      </c>
      <c r="C191" s="633" t="s">
        <v>278</v>
      </c>
      <c r="D191" s="825">
        <v>4500167501</v>
      </c>
      <c r="E191" s="633" t="s">
        <v>963</v>
      </c>
      <c r="F191" s="1305" t="s">
        <v>964</v>
      </c>
      <c r="G191" s="659" t="s">
        <v>68</v>
      </c>
      <c r="H191" s="633" t="s">
        <v>69</v>
      </c>
      <c r="I191" s="633">
        <v>492</v>
      </c>
      <c r="J191" s="633">
        <v>0</v>
      </c>
      <c r="K191" s="633">
        <v>12</v>
      </c>
      <c r="L191" s="827">
        <f t="shared" si="37"/>
        <v>41</v>
      </c>
      <c r="M191" s="828">
        <v>45838</v>
      </c>
      <c r="N191" s="828">
        <v>45842</v>
      </c>
      <c r="O191" s="824"/>
      <c r="P191" s="824" t="s">
        <v>113</v>
      </c>
      <c r="Q191" s="633"/>
      <c r="R191" s="829" t="s">
        <v>463</v>
      </c>
      <c r="S191" s="829" t="s">
        <v>104</v>
      </c>
      <c r="T191" s="829" t="s">
        <v>965</v>
      </c>
      <c r="U191" s="829"/>
      <c r="V191" s="829"/>
      <c r="W191" s="829"/>
      <c r="X191" s="822" t="s">
        <v>966</v>
      </c>
      <c r="Y191" s="828" t="s">
        <v>466</v>
      </c>
      <c r="Z191" s="1306">
        <v>4.1456</v>
      </c>
      <c r="AA191" s="831">
        <f t="shared" si="48"/>
        <v>2039.6352</v>
      </c>
      <c r="AC191" s="632" t="s">
        <v>967</v>
      </c>
      <c r="AD191" s="633" t="s">
        <v>184</v>
      </c>
      <c r="AE191" s="633" t="s">
        <v>82</v>
      </c>
      <c r="AF191" s="633"/>
      <c r="AG191" s="618" t="s">
        <v>74</v>
      </c>
      <c r="AH191" s="618"/>
      <c r="AI191" s="1308">
        <v>492</v>
      </c>
      <c r="AJ191" s="824">
        <f t="shared" si="40"/>
        <v>0</v>
      </c>
      <c r="AK191" s="633"/>
      <c r="AL191" s="633"/>
      <c r="AM191" s="633"/>
      <c r="AN191" s="825">
        <f t="shared" si="49"/>
        <v>492</v>
      </c>
      <c r="AO191" s="687"/>
      <c r="AP191" s="687"/>
      <c r="AQ191" s="687"/>
      <c r="AR191" s="825"/>
      <c r="AS191" s="687">
        <f>I191</f>
        <v>492</v>
      </c>
      <c r="AT191" s="687"/>
      <c r="AU191" s="825">
        <f t="shared" si="50"/>
        <v>492</v>
      </c>
      <c r="AV191" s="825"/>
      <c r="AW191" s="551">
        <f>I191</f>
        <v>492</v>
      </c>
      <c r="AX191" s="825"/>
      <c r="AY191" s="1305"/>
      <c r="AZ191" s="1305"/>
      <c r="BA191" s="1305"/>
      <c r="BB191" s="1305"/>
      <c r="BC191" s="1305"/>
      <c r="BD191" s="1305"/>
      <c r="BE191" s="1305"/>
      <c r="BF191" s="1305"/>
      <c r="BG191" s="1305"/>
      <c r="BH191" s="1305"/>
      <c r="BI191" s="1305"/>
      <c r="BJ191" s="1305"/>
      <c r="BK191" s="1305"/>
      <c r="BL191" s="1305"/>
      <c r="BM191" s="1305"/>
      <c r="BN191" s="1305"/>
      <c r="BO191" s="1305"/>
      <c r="BP191" s="1305"/>
    </row>
    <row r="192" s="1265" customFormat="1" ht="31" customHeight="1" spans="1:68">
      <c r="A192" s="1304">
        <v>45769</v>
      </c>
      <c r="B192" s="822" t="s">
        <v>404</v>
      </c>
      <c r="C192" s="633" t="s">
        <v>278</v>
      </c>
      <c r="D192" s="825">
        <v>4500163807</v>
      </c>
      <c r="E192" s="633">
        <v>240021</v>
      </c>
      <c r="F192" s="1305" t="s">
        <v>968</v>
      </c>
      <c r="G192" s="659" t="s">
        <v>68</v>
      </c>
      <c r="H192" s="633" t="s">
        <v>69</v>
      </c>
      <c r="I192" s="633">
        <v>252</v>
      </c>
      <c r="J192" s="633">
        <v>0</v>
      </c>
      <c r="K192" s="633">
        <v>12</v>
      </c>
      <c r="L192" s="827">
        <f t="shared" si="37"/>
        <v>21</v>
      </c>
      <c r="M192" s="828">
        <v>45842</v>
      </c>
      <c r="N192" s="828">
        <v>45842</v>
      </c>
      <c r="O192" s="824"/>
      <c r="P192" s="824" t="s">
        <v>113</v>
      </c>
      <c r="Q192" s="633"/>
      <c r="R192" s="829">
        <v>45769</v>
      </c>
      <c r="S192" s="829" t="s">
        <v>70</v>
      </c>
      <c r="T192" s="829">
        <v>45799</v>
      </c>
      <c r="U192" s="829"/>
      <c r="V192" s="829"/>
      <c r="W192" s="829"/>
      <c r="X192" s="822" t="s">
        <v>969</v>
      </c>
      <c r="Y192" s="828" t="s">
        <v>970</v>
      </c>
      <c r="Z192" s="1306">
        <v>4.1</v>
      </c>
      <c r="AA192" s="831">
        <f t="shared" si="48"/>
        <v>1033.2</v>
      </c>
      <c r="AC192" s="632" t="s">
        <v>971</v>
      </c>
      <c r="AD192" s="633" t="s">
        <v>68</v>
      </c>
      <c r="AE192" s="633" t="s">
        <v>82</v>
      </c>
      <c r="AF192" s="633"/>
      <c r="AG192" s="618" t="s">
        <v>74</v>
      </c>
      <c r="AH192" s="618"/>
      <c r="AI192" s="1308">
        <v>252</v>
      </c>
      <c r="AJ192" s="824">
        <f t="shared" si="40"/>
        <v>0</v>
      </c>
      <c r="AK192" s="633"/>
      <c r="AL192" s="633"/>
      <c r="AM192" s="633"/>
      <c r="AN192" s="825">
        <f t="shared" si="49"/>
        <v>252</v>
      </c>
      <c r="AO192" s="687"/>
      <c r="AP192" s="687"/>
      <c r="AQ192" s="687"/>
      <c r="AR192" s="825">
        <f>I192</f>
        <v>252</v>
      </c>
      <c r="AS192" s="687"/>
      <c r="AT192" s="687"/>
      <c r="AU192" s="825">
        <f t="shared" si="50"/>
        <v>252</v>
      </c>
      <c r="AV192" s="825"/>
      <c r="AW192" s="551">
        <f>I192</f>
        <v>252</v>
      </c>
      <c r="AX192" s="825"/>
      <c r="AY192" s="1305"/>
      <c r="AZ192" s="1305"/>
      <c r="BA192" s="1305"/>
      <c r="BB192" s="1305"/>
      <c r="BC192" s="1305"/>
      <c r="BD192" s="1305"/>
      <c r="BE192" s="1305"/>
      <c r="BF192" s="1305"/>
      <c r="BG192" s="1305"/>
      <c r="BH192" s="1305"/>
      <c r="BI192" s="1305"/>
      <c r="BJ192" s="1305"/>
      <c r="BK192" s="1305"/>
      <c r="BL192" s="1305"/>
      <c r="BM192" s="1305"/>
      <c r="BN192" s="1305"/>
      <c r="BO192" s="1305"/>
      <c r="BP192" s="1305"/>
    </row>
    <row r="193" s="1265" customFormat="1" ht="31" customHeight="1" spans="1:68">
      <c r="A193" s="1304">
        <v>45797</v>
      </c>
      <c r="B193" s="822" t="s">
        <v>972</v>
      </c>
      <c r="C193" s="633" t="s">
        <v>973</v>
      </c>
      <c r="D193" s="825">
        <v>4500166992</v>
      </c>
      <c r="E193" s="1413" t="s">
        <v>974</v>
      </c>
      <c r="F193" s="1305" t="s">
        <v>975</v>
      </c>
      <c r="G193" s="659" t="s">
        <v>68</v>
      </c>
      <c r="H193" s="633" t="s">
        <v>69</v>
      </c>
      <c r="I193" s="633">
        <v>636</v>
      </c>
      <c r="J193" s="633">
        <v>0</v>
      </c>
      <c r="K193" s="633">
        <v>12</v>
      </c>
      <c r="L193" s="827">
        <f t="shared" si="37"/>
        <v>53</v>
      </c>
      <c r="M193" s="828">
        <v>45842</v>
      </c>
      <c r="N193" s="828">
        <v>45842</v>
      </c>
      <c r="O193" s="824"/>
      <c r="P193" s="824" t="s">
        <v>113</v>
      </c>
      <c r="Q193" s="633"/>
      <c r="R193" s="829">
        <v>45797</v>
      </c>
      <c r="S193" s="829" t="s">
        <v>70</v>
      </c>
      <c r="T193" s="829">
        <v>45807</v>
      </c>
      <c r="U193" s="829"/>
      <c r="V193" s="829"/>
      <c r="W193" s="829"/>
      <c r="X193" s="628" t="s">
        <v>976</v>
      </c>
      <c r="Y193" s="828" t="s">
        <v>977</v>
      </c>
      <c r="Z193" s="1306">
        <v>4.1456</v>
      </c>
      <c r="AA193" s="831">
        <f t="shared" si="48"/>
        <v>2636.6016</v>
      </c>
      <c r="AC193" s="617" t="s">
        <v>978</v>
      </c>
      <c r="AD193" s="633" t="s">
        <v>184</v>
      </c>
      <c r="AE193" s="633" t="s">
        <v>82</v>
      </c>
      <c r="AF193" s="633"/>
      <c r="AG193" s="618" t="s">
        <v>74</v>
      </c>
      <c r="AH193" s="618"/>
      <c r="AI193" s="1308">
        <v>636</v>
      </c>
      <c r="AJ193" s="824">
        <f t="shared" si="40"/>
        <v>0</v>
      </c>
      <c r="AK193" s="633"/>
      <c r="AL193" s="633"/>
      <c r="AM193" s="633"/>
      <c r="AN193" s="825">
        <f t="shared" si="49"/>
        <v>636</v>
      </c>
      <c r="AO193" s="687"/>
      <c r="AP193" s="687"/>
      <c r="AQ193" s="687"/>
      <c r="AR193" s="825"/>
      <c r="AS193" s="687">
        <f>I193</f>
        <v>636</v>
      </c>
      <c r="AT193" s="687"/>
      <c r="AU193" s="825">
        <f t="shared" si="50"/>
        <v>636</v>
      </c>
      <c r="AV193" s="825"/>
      <c r="AW193" s="551">
        <f>I193</f>
        <v>636</v>
      </c>
      <c r="AX193" s="825"/>
      <c r="AY193" s="1305"/>
      <c r="AZ193" s="1305"/>
      <c r="BA193" s="1305"/>
      <c r="BB193" s="1305"/>
      <c r="BC193" s="1305"/>
      <c r="BD193" s="1305"/>
      <c r="BE193" s="1305"/>
      <c r="BF193" s="1305"/>
      <c r="BG193" s="1305"/>
      <c r="BH193" s="1305"/>
      <c r="BI193" s="1305"/>
      <c r="BJ193" s="1305"/>
      <c r="BK193" s="1305"/>
      <c r="BL193" s="1305"/>
      <c r="BM193" s="1305"/>
      <c r="BN193" s="1305"/>
      <c r="BO193" s="1305"/>
      <c r="BP193" s="1305"/>
    </row>
    <row r="194" s="1265" customFormat="1" ht="31" customHeight="1" spans="1:68">
      <c r="A194" s="1304">
        <v>45807</v>
      </c>
      <c r="B194" s="822" t="s">
        <v>979</v>
      </c>
      <c r="C194" s="633" t="s">
        <v>980</v>
      </c>
      <c r="D194" s="825">
        <v>4500168579</v>
      </c>
      <c r="E194" s="633"/>
      <c r="F194" s="1305" t="s">
        <v>981</v>
      </c>
      <c r="G194" s="659" t="s">
        <v>68</v>
      </c>
      <c r="H194" s="633" t="s">
        <v>69</v>
      </c>
      <c r="I194" s="633">
        <v>516</v>
      </c>
      <c r="J194" s="633">
        <v>0</v>
      </c>
      <c r="K194" s="633">
        <v>12</v>
      </c>
      <c r="L194" s="827">
        <f t="shared" si="37"/>
        <v>43</v>
      </c>
      <c r="M194" s="828">
        <v>45842</v>
      </c>
      <c r="N194" s="828">
        <v>45842</v>
      </c>
      <c r="O194" s="824"/>
      <c r="P194" s="824" t="s">
        <v>113</v>
      </c>
      <c r="Q194" s="633"/>
      <c r="R194" s="829">
        <v>45817</v>
      </c>
      <c r="S194" s="829" t="s">
        <v>70</v>
      </c>
      <c r="T194" s="829">
        <v>45825</v>
      </c>
      <c r="U194" s="829"/>
      <c r="V194" s="829"/>
      <c r="W194" s="829"/>
      <c r="X194" s="822" t="s">
        <v>982</v>
      </c>
      <c r="Y194" s="828" t="s">
        <v>415</v>
      </c>
      <c r="Z194" s="1306">
        <v>4.1456</v>
      </c>
      <c r="AA194" s="831">
        <f t="shared" si="48"/>
        <v>2139.1296</v>
      </c>
      <c r="AC194" s="632" t="s">
        <v>983</v>
      </c>
      <c r="AD194" s="633" t="s">
        <v>184</v>
      </c>
      <c r="AE194" s="633" t="s">
        <v>82</v>
      </c>
      <c r="AF194" s="633"/>
      <c r="AG194" s="618" t="s">
        <v>74</v>
      </c>
      <c r="AH194" s="618"/>
      <c r="AI194" s="1308">
        <v>516</v>
      </c>
      <c r="AJ194" s="824">
        <f t="shared" si="40"/>
        <v>0</v>
      </c>
      <c r="AK194" s="633"/>
      <c r="AL194" s="633"/>
      <c r="AM194" s="633"/>
      <c r="AN194" s="825">
        <f t="shared" si="49"/>
        <v>516</v>
      </c>
      <c r="AO194" s="687"/>
      <c r="AP194" s="687"/>
      <c r="AQ194" s="687"/>
      <c r="AR194" s="825"/>
      <c r="AS194" s="687">
        <f>I194</f>
        <v>516</v>
      </c>
      <c r="AT194" s="687"/>
      <c r="AU194" s="825">
        <f t="shared" si="50"/>
        <v>516</v>
      </c>
      <c r="AV194" s="825"/>
      <c r="AW194" s="825">
        <f t="shared" ref="AW194:AW201" si="51">I194</f>
        <v>516</v>
      </c>
      <c r="AX194" s="825"/>
      <c r="AY194" s="1305"/>
      <c r="AZ194" s="1305"/>
      <c r="BA194" s="1305"/>
      <c r="BB194" s="1305"/>
      <c r="BC194" s="1305"/>
      <c r="BD194" s="1305"/>
      <c r="BE194" s="1305"/>
      <c r="BF194" s="1305"/>
      <c r="BG194" s="1305"/>
      <c r="BH194" s="1305"/>
      <c r="BI194" s="1305"/>
      <c r="BJ194" s="1305"/>
      <c r="BK194" s="1305"/>
      <c r="BL194" s="1305"/>
      <c r="BM194" s="1305"/>
      <c r="BN194" s="1305"/>
      <c r="BO194" s="1305"/>
      <c r="BP194" s="1305"/>
    </row>
    <row r="195" s="1265" customFormat="1" ht="31" customHeight="1" spans="1:68">
      <c r="A195" s="1304">
        <v>45807</v>
      </c>
      <c r="B195" s="822" t="s">
        <v>984</v>
      </c>
      <c r="C195" s="633" t="s">
        <v>399</v>
      </c>
      <c r="D195" s="825">
        <v>4500168656</v>
      </c>
      <c r="E195" s="633"/>
      <c r="F195" s="1305" t="s">
        <v>985</v>
      </c>
      <c r="G195" s="659" t="s">
        <v>68</v>
      </c>
      <c r="H195" s="633" t="s">
        <v>69</v>
      </c>
      <c r="I195" s="633">
        <v>120</v>
      </c>
      <c r="J195" s="633">
        <v>0</v>
      </c>
      <c r="K195" s="633">
        <v>12</v>
      </c>
      <c r="L195" s="827">
        <f t="shared" si="37"/>
        <v>10</v>
      </c>
      <c r="M195" s="828">
        <v>45842</v>
      </c>
      <c r="N195" s="828">
        <v>45842</v>
      </c>
      <c r="O195" s="824"/>
      <c r="P195" s="824" t="s">
        <v>113</v>
      </c>
      <c r="Q195" s="633"/>
      <c r="R195" s="829">
        <v>45813</v>
      </c>
      <c r="S195" s="829" t="s">
        <v>70</v>
      </c>
      <c r="T195" s="829" t="s">
        <v>986</v>
      </c>
      <c r="U195" s="829"/>
      <c r="V195" s="829"/>
      <c r="W195" s="829"/>
      <c r="X195" s="822" t="s">
        <v>987</v>
      </c>
      <c r="Y195" s="828" t="s">
        <v>402</v>
      </c>
      <c r="Z195" s="1306">
        <v>4.1456</v>
      </c>
      <c r="AA195" s="831">
        <f t="shared" si="48"/>
        <v>497.472</v>
      </c>
      <c r="AC195" s="632" t="s">
        <v>988</v>
      </c>
      <c r="AD195" s="633" t="s">
        <v>184</v>
      </c>
      <c r="AE195" s="633" t="s">
        <v>82</v>
      </c>
      <c r="AF195" s="633"/>
      <c r="AG195" s="618" t="s">
        <v>74</v>
      </c>
      <c r="AH195" s="618"/>
      <c r="AI195" s="1308">
        <f>108+12</f>
        <v>120</v>
      </c>
      <c r="AJ195" s="824">
        <f t="shared" si="40"/>
        <v>0</v>
      </c>
      <c r="AK195" s="633"/>
      <c r="AL195" s="633"/>
      <c r="AM195" s="633"/>
      <c r="AN195" s="825">
        <f t="shared" si="49"/>
        <v>120</v>
      </c>
      <c r="AO195" s="687"/>
      <c r="AP195" s="687"/>
      <c r="AQ195" s="687"/>
      <c r="AR195" s="825"/>
      <c r="AS195" s="687">
        <f>I195</f>
        <v>120</v>
      </c>
      <c r="AT195" s="687"/>
      <c r="AU195" s="825">
        <f t="shared" si="50"/>
        <v>120</v>
      </c>
      <c r="AV195" s="825"/>
      <c r="AW195" s="825">
        <f t="shared" si="51"/>
        <v>120</v>
      </c>
      <c r="AX195" s="825"/>
      <c r="AY195" s="1305"/>
      <c r="AZ195" s="1305"/>
      <c r="BA195" s="1305"/>
      <c r="BB195" s="1305"/>
      <c r="BC195" s="1305"/>
      <c r="BD195" s="1305"/>
      <c r="BE195" s="1305"/>
      <c r="BF195" s="1305"/>
      <c r="BG195" s="1305"/>
      <c r="BH195" s="1305"/>
      <c r="BI195" s="1305"/>
      <c r="BJ195" s="1305"/>
      <c r="BK195" s="1305"/>
      <c r="BL195" s="1305"/>
      <c r="BM195" s="1305"/>
      <c r="BN195" s="1305"/>
      <c r="BO195" s="1305"/>
      <c r="BP195" s="1305"/>
    </row>
    <row r="196" s="1265" customFormat="1" ht="31" customHeight="1" spans="1:68">
      <c r="A196" s="1304">
        <v>45806</v>
      </c>
      <c r="B196" s="822" t="s">
        <v>143</v>
      </c>
      <c r="C196" s="633" t="s">
        <v>98</v>
      </c>
      <c r="D196" s="825">
        <v>4500168362</v>
      </c>
      <c r="E196" s="1413" t="s">
        <v>989</v>
      </c>
      <c r="F196" s="1305" t="s">
        <v>990</v>
      </c>
      <c r="G196" s="659" t="s">
        <v>101</v>
      </c>
      <c r="H196" s="633" t="s">
        <v>102</v>
      </c>
      <c r="I196" s="633">
        <v>1140</v>
      </c>
      <c r="J196" s="633">
        <v>0</v>
      </c>
      <c r="K196" s="633">
        <v>4</v>
      </c>
      <c r="L196" s="827">
        <f t="shared" si="37"/>
        <v>285</v>
      </c>
      <c r="M196" s="828">
        <v>45840</v>
      </c>
      <c r="N196" s="828">
        <v>45842</v>
      </c>
      <c r="O196" s="824" t="s">
        <v>991</v>
      </c>
      <c r="P196" s="824" t="s">
        <v>113</v>
      </c>
      <c r="Q196" s="633"/>
      <c r="R196" s="829" t="s">
        <v>147</v>
      </c>
      <c r="S196" s="829" t="s">
        <v>70</v>
      </c>
      <c r="T196" s="829" t="s">
        <v>148</v>
      </c>
      <c r="U196" s="829"/>
      <c r="V196" s="774" t="s">
        <v>148</v>
      </c>
      <c r="W196" s="829"/>
      <c r="X196" s="822" t="s">
        <v>992</v>
      </c>
      <c r="Y196" s="828" t="s">
        <v>106</v>
      </c>
      <c r="Z196" s="1306">
        <v>2.58</v>
      </c>
      <c r="AA196" s="831">
        <f t="shared" si="48"/>
        <v>2941.2</v>
      </c>
      <c r="AC196" s="632" t="s">
        <v>993</v>
      </c>
      <c r="AD196" s="633" t="s">
        <v>101</v>
      </c>
      <c r="AE196" s="633" t="s">
        <v>82</v>
      </c>
      <c r="AF196" s="633"/>
      <c r="AG196" s="618" t="s">
        <v>74</v>
      </c>
      <c r="AH196" s="618"/>
      <c r="AI196" s="1308">
        <v>1140</v>
      </c>
      <c r="AJ196" s="824">
        <f t="shared" si="40"/>
        <v>0</v>
      </c>
      <c r="AK196" s="633"/>
      <c r="AL196" s="633"/>
      <c r="AM196" s="633"/>
      <c r="AN196" s="825">
        <f t="shared" si="49"/>
        <v>1140</v>
      </c>
      <c r="AO196" s="687"/>
      <c r="AP196" s="687"/>
      <c r="AQ196" s="687"/>
      <c r="AR196" s="825">
        <f t="shared" ref="AR196:AR201" si="52">I196</f>
        <v>1140</v>
      </c>
      <c r="AS196" s="687"/>
      <c r="AT196" s="687"/>
      <c r="AU196" s="825">
        <f t="shared" si="50"/>
        <v>1140</v>
      </c>
      <c r="AV196" s="825"/>
      <c r="AW196" s="825">
        <f t="shared" si="51"/>
        <v>1140</v>
      </c>
      <c r="AX196" s="825"/>
      <c r="AY196" s="1305"/>
      <c r="AZ196" s="1305"/>
      <c r="BA196" s="1305"/>
      <c r="BB196" s="1305"/>
      <c r="BC196" s="1305"/>
      <c r="BD196" s="1305"/>
      <c r="BE196" s="1305"/>
      <c r="BF196" s="1305"/>
      <c r="BG196" s="1305"/>
      <c r="BH196" s="825">
        <f>I196/4</f>
        <v>285</v>
      </c>
      <c r="BI196" s="1305"/>
      <c r="BJ196" s="1305"/>
      <c r="BK196" s="1305"/>
      <c r="BL196" s="1305"/>
      <c r="BM196" s="1305"/>
      <c r="BN196" s="1305"/>
      <c r="BO196" s="1305"/>
      <c r="BP196" s="1305"/>
    </row>
    <row r="197" s="1265" customFormat="1" ht="31" customHeight="1" spans="1:68">
      <c r="A197" s="1304">
        <v>45806</v>
      </c>
      <c r="B197" s="822" t="s">
        <v>143</v>
      </c>
      <c r="C197" s="633" t="s">
        <v>98</v>
      </c>
      <c r="D197" s="825">
        <v>4500168362</v>
      </c>
      <c r="E197" s="1413" t="s">
        <v>994</v>
      </c>
      <c r="F197" s="1305" t="s">
        <v>995</v>
      </c>
      <c r="G197" s="659" t="s">
        <v>101</v>
      </c>
      <c r="H197" s="633" t="s">
        <v>102</v>
      </c>
      <c r="I197" s="633">
        <v>1248</v>
      </c>
      <c r="J197" s="633">
        <v>0</v>
      </c>
      <c r="K197" s="633">
        <v>4</v>
      </c>
      <c r="L197" s="827">
        <f t="shared" si="37"/>
        <v>312</v>
      </c>
      <c r="M197" s="828">
        <v>45840</v>
      </c>
      <c r="N197" s="828">
        <v>45842</v>
      </c>
      <c r="O197" s="824" t="s">
        <v>996</v>
      </c>
      <c r="P197" s="824" t="s">
        <v>113</v>
      </c>
      <c r="Q197" s="633"/>
      <c r="R197" s="829" t="s">
        <v>147</v>
      </c>
      <c r="S197" s="829" t="s">
        <v>70</v>
      </c>
      <c r="T197" s="829" t="s">
        <v>148</v>
      </c>
      <c r="U197" s="829"/>
      <c r="V197" s="774" t="s">
        <v>148</v>
      </c>
      <c r="W197" s="829"/>
      <c r="X197" s="822" t="s">
        <v>992</v>
      </c>
      <c r="Y197" s="828" t="s">
        <v>106</v>
      </c>
      <c r="Z197" s="1306">
        <v>2.58</v>
      </c>
      <c r="AA197" s="831">
        <f t="shared" si="48"/>
        <v>3219.84</v>
      </c>
      <c r="AC197" s="632" t="s">
        <v>997</v>
      </c>
      <c r="AD197" s="633" t="s">
        <v>101</v>
      </c>
      <c r="AE197" s="633" t="s">
        <v>82</v>
      </c>
      <c r="AF197" s="633"/>
      <c r="AG197" s="618" t="s">
        <v>74</v>
      </c>
      <c r="AH197" s="618"/>
      <c r="AI197" s="1308">
        <v>1248</v>
      </c>
      <c r="AJ197" s="824">
        <f t="shared" si="40"/>
        <v>0</v>
      </c>
      <c r="AK197" s="633"/>
      <c r="AL197" s="633"/>
      <c r="AM197" s="633"/>
      <c r="AN197" s="825">
        <f t="shared" si="49"/>
        <v>1248</v>
      </c>
      <c r="AO197" s="687"/>
      <c r="AP197" s="687"/>
      <c r="AQ197" s="687"/>
      <c r="AR197" s="825">
        <f t="shared" si="52"/>
        <v>1248</v>
      </c>
      <c r="AS197" s="687"/>
      <c r="AT197" s="687"/>
      <c r="AU197" s="825">
        <f t="shared" si="50"/>
        <v>1248</v>
      </c>
      <c r="AV197" s="825"/>
      <c r="AW197" s="825">
        <f t="shared" si="51"/>
        <v>1248</v>
      </c>
      <c r="AX197" s="825"/>
      <c r="AY197" s="1305"/>
      <c r="AZ197" s="1305"/>
      <c r="BA197" s="1305"/>
      <c r="BB197" s="1305"/>
      <c r="BC197" s="1305"/>
      <c r="BD197" s="1305"/>
      <c r="BE197" s="1305"/>
      <c r="BF197" s="1305"/>
      <c r="BG197" s="1305"/>
      <c r="BH197" s="825">
        <f>I197/4</f>
        <v>312</v>
      </c>
      <c r="BI197" s="1305"/>
      <c r="BJ197" s="1305"/>
      <c r="BK197" s="1305"/>
      <c r="BL197" s="1305"/>
      <c r="BM197" s="1305"/>
      <c r="BN197" s="1305"/>
      <c r="BO197" s="1305"/>
      <c r="BP197" s="1305"/>
    </row>
    <row r="198" s="1265" customFormat="1" ht="31" customHeight="1" spans="1:68">
      <c r="A198" s="1304">
        <v>45806</v>
      </c>
      <c r="B198" s="822" t="s">
        <v>143</v>
      </c>
      <c r="C198" s="633" t="s">
        <v>98</v>
      </c>
      <c r="D198" s="825">
        <v>4500168362</v>
      </c>
      <c r="E198" s="1413" t="s">
        <v>998</v>
      </c>
      <c r="F198" s="1305" t="s">
        <v>999</v>
      </c>
      <c r="G198" s="659" t="s">
        <v>101</v>
      </c>
      <c r="H198" s="633" t="s">
        <v>102</v>
      </c>
      <c r="I198" s="633">
        <v>1608</v>
      </c>
      <c r="J198" s="633">
        <v>0</v>
      </c>
      <c r="K198" s="633">
        <v>4</v>
      </c>
      <c r="L198" s="827">
        <f t="shared" ref="L198:L261" si="53">I198/K198</f>
        <v>402</v>
      </c>
      <c r="M198" s="828">
        <v>45840</v>
      </c>
      <c r="N198" s="828">
        <v>45842</v>
      </c>
      <c r="O198" s="824" t="s">
        <v>996</v>
      </c>
      <c r="P198" s="824" t="s">
        <v>113</v>
      </c>
      <c r="Q198" s="633"/>
      <c r="R198" s="829" t="s">
        <v>147</v>
      </c>
      <c r="S198" s="829" t="s">
        <v>70</v>
      </c>
      <c r="T198" s="829" t="s">
        <v>148</v>
      </c>
      <c r="U198" s="829"/>
      <c r="V198" s="774" t="s">
        <v>148</v>
      </c>
      <c r="W198" s="829"/>
      <c r="X198" s="822" t="s">
        <v>992</v>
      </c>
      <c r="Y198" s="828" t="s">
        <v>106</v>
      </c>
      <c r="Z198" s="1306">
        <v>2.58</v>
      </c>
      <c r="AA198" s="831">
        <f t="shared" si="48"/>
        <v>4148.64</v>
      </c>
      <c r="AC198" s="632" t="s">
        <v>1000</v>
      </c>
      <c r="AD198" s="633" t="s">
        <v>101</v>
      </c>
      <c r="AE198" s="633" t="s">
        <v>82</v>
      </c>
      <c r="AF198" s="633"/>
      <c r="AG198" s="618" t="s">
        <v>74</v>
      </c>
      <c r="AH198" s="618"/>
      <c r="AI198" s="1308">
        <v>1608</v>
      </c>
      <c r="AJ198" s="824">
        <f t="shared" si="40"/>
        <v>0</v>
      </c>
      <c r="AK198" s="633"/>
      <c r="AL198" s="633"/>
      <c r="AM198" s="633"/>
      <c r="AN198" s="825">
        <f t="shared" si="49"/>
        <v>1608</v>
      </c>
      <c r="AO198" s="687"/>
      <c r="AP198" s="687"/>
      <c r="AQ198" s="687"/>
      <c r="AR198" s="825">
        <f t="shared" si="52"/>
        <v>1608</v>
      </c>
      <c r="AS198" s="687"/>
      <c r="AT198" s="687"/>
      <c r="AU198" s="825">
        <f t="shared" si="50"/>
        <v>1608</v>
      </c>
      <c r="AV198" s="825"/>
      <c r="AW198" s="825">
        <f t="shared" si="51"/>
        <v>1608</v>
      </c>
      <c r="AX198" s="825"/>
      <c r="AY198" s="1305"/>
      <c r="AZ198" s="1305"/>
      <c r="BA198" s="1305"/>
      <c r="BB198" s="1305"/>
      <c r="BC198" s="1305"/>
      <c r="BD198" s="1305"/>
      <c r="BE198" s="1305"/>
      <c r="BF198" s="1305"/>
      <c r="BG198" s="1305"/>
      <c r="BH198" s="825">
        <f>I198/4</f>
        <v>402</v>
      </c>
      <c r="BI198" s="1305"/>
      <c r="BJ198" s="1305"/>
      <c r="BK198" s="1305"/>
      <c r="BL198" s="1305"/>
      <c r="BM198" s="1305"/>
      <c r="BN198" s="1305"/>
      <c r="BO198" s="1305"/>
      <c r="BP198" s="1305"/>
    </row>
    <row r="199" s="1265" customFormat="1" ht="31" customHeight="1" spans="1:68">
      <c r="A199" s="1304">
        <v>45806</v>
      </c>
      <c r="B199" s="822" t="s">
        <v>143</v>
      </c>
      <c r="C199" s="633" t="s">
        <v>98</v>
      </c>
      <c r="D199" s="825">
        <v>4500168362</v>
      </c>
      <c r="E199" s="1413" t="s">
        <v>1001</v>
      </c>
      <c r="F199" s="1305" t="s">
        <v>1002</v>
      </c>
      <c r="G199" s="659" t="s">
        <v>101</v>
      </c>
      <c r="H199" s="633" t="s">
        <v>102</v>
      </c>
      <c r="I199" s="633">
        <v>1132</v>
      </c>
      <c r="J199" s="633">
        <v>0</v>
      </c>
      <c r="K199" s="633">
        <v>4</v>
      </c>
      <c r="L199" s="827">
        <f t="shared" si="53"/>
        <v>283</v>
      </c>
      <c r="M199" s="828">
        <v>45840</v>
      </c>
      <c r="N199" s="828">
        <v>45842</v>
      </c>
      <c r="O199" s="824" t="s">
        <v>996</v>
      </c>
      <c r="P199" s="824" t="s">
        <v>113</v>
      </c>
      <c r="Q199" s="633"/>
      <c r="R199" s="829" t="s">
        <v>147</v>
      </c>
      <c r="S199" s="829" t="s">
        <v>70</v>
      </c>
      <c r="T199" s="829" t="s">
        <v>148</v>
      </c>
      <c r="U199" s="829"/>
      <c r="V199" s="774" t="s">
        <v>148</v>
      </c>
      <c r="W199" s="829"/>
      <c r="X199" s="822" t="s">
        <v>992</v>
      </c>
      <c r="Y199" s="828" t="s">
        <v>106</v>
      </c>
      <c r="Z199" s="1306">
        <v>2.58</v>
      </c>
      <c r="AA199" s="831">
        <f t="shared" si="48"/>
        <v>2920.56</v>
      </c>
      <c r="AC199" s="632" t="s">
        <v>1003</v>
      </c>
      <c r="AD199" s="633" t="s">
        <v>101</v>
      </c>
      <c r="AE199" s="633" t="s">
        <v>82</v>
      </c>
      <c r="AF199" s="633"/>
      <c r="AG199" s="618" t="s">
        <v>74</v>
      </c>
      <c r="AH199" s="618"/>
      <c r="AI199" s="1308">
        <v>1132</v>
      </c>
      <c r="AJ199" s="824">
        <f t="shared" si="40"/>
        <v>0</v>
      </c>
      <c r="AK199" s="633"/>
      <c r="AL199" s="633"/>
      <c r="AM199" s="633"/>
      <c r="AN199" s="825">
        <f t="shared" si="49"/>
        <v>1132</v>
      </c>
      <c r="AO199" s="687"/>
      <c r="AP199" s="687"/>
      <c r="AQ199" s="687"/>
      <c r="AR199" s="825">
        <f t="shared" si="52"/>
        <v>1132</v>
      </c>
      <c r="AS199" s="687"/>
      <c r="AT199" s="687"/>
      <c r="AU199" s="825">
        <f t="shared" si="50"/>
        <v>1132</v>
      </c>
      <c r="AV199" s="825"/>
      <c r="AW199" s="825">
        <f t="shared" si="51"/>
        <v>1132</v>
      </c>
      <c r="AX199" s="825"/>
      <c r="AY199" s="1305"/>
      <c r="AZ199" s="1305"/>
      <c r="BA199" s="1305"/>
      <c r="BB199" s="1305"/>
      <c r="BC199" s="1305"/>
      <c r="BD199" s="1305"/>
      <c r="BE199" s="1305"/>
      <c r="BF199" s="1305"/>
      <c r="BG199" s="1305"/>
      <c r="BH199" s="825">
        <f>I199/4</f>
        <v>283</v>
      </c>
      <c r="BI199" s="1305"/>
      <c r="BJ199" s="1305"/>
      <c r="BK199" s="1305"/>
      <c r="BL199" s="1305"/>
      <c r="BM199" s="1305"/>
      <c r="BN199" s="1305"/>
      <c r="BO199" s="1305"/>
      <c r="BP199" s="1305"/>
    </row>
    <row r="200" s="1265" customFormat="1" ht="31" customHeight="1" spans="1:68">
      <c r="A200" s="1304">
        <v>45800</v>
      </c>
      <c r="B200" s="822" t="s">
        <v>1004</v>
      </c>
      <c r="C200" s="633" t="s">
        <v>98</v>
      </c>
      <c r="D200" s="825">
        <v>4500167614</v>
      </c>
      <c r="E200" s="633" t="s">
        <v>1005</v>
      </c>
      <c r="F200" s="1305" t="s">
        <v>1006</v>
      </c>
      <c r="G200" s="659" t="s">
        <v>101</v>
      </c>
      <c r="H200" s="633" t="s">
        <v>102</v>
      </c>
      <c r="I200" s="633">
        <v>500</v>
      </c>
      <c r="J200" s="633">
        <v>0</v>
      </c>
      <c r="K200" s="633">
        <v>4</v>
      </c>
      <c r="L200" s="827">
        <f t="shared" si="53"/>
        <v>125</v>
      </c>
      <c r="M200" s="828">
        <v>45841</v>
      </c>
      <c r="N200" s="828">
        <v>45845</v>
      </c>
      <c r="O200" s="824"/>
      <c r="P200" s="824" t="s">
        <v>113</v>
      </c>
      <c r="Q200" s="633"/>
      <c r="R200" s="829">
        <v>45811</v>
      </c>
      <c r="S200" s="829" t="s">
        <v>70</v>
      </c>
      <c r="T200" s="829" t="s">
        <v>70</v>
      </c>
      <c r="U200" s="829"/>
      <c r="V200" s="829"/>
      <c r="W200" s="829"/>
      <c r="X200" s="822" t="s">
        <v>1007</v>
      </c>
      <c r="Y200" s="828" t="s">
        <v>882</v>
      </c>
      <c r="Z200" s="1306">
        <v>2.58</v>
      </c>
      <c r="AA200" s="831">
        <f t="shared" si="48"/>
        <v>1290</v>
      </c>
      <c r="AC200" s="632" t="s">
        <v>1008</v>
      </c>
      <c r="AD200" s="633" t="s">
        <v>101</v>
      </c>
      <c r="AE200" s="633" t="s">
        <v>82</v>
      </c>
      <c r="AF200" s="633"/>
      <c r="AG200" s="618" t="s">
        <v>74</v>
      </c>
      <c r="AH200" s="618"/>
      <c r="AI200" s="1308">
        <v>500</v>
      </c>
      <c r="AJ200" s="824">
        <f t="shared" si="40"/>
        <v>0</v>
      </c>
      <c r="AK200" s="633"/>
      <c r="AL200" s="633"/>
      <c r="AM200" s="633"/>
      <c r="AN200" s="825">
        <f t="shared" si="49"/>
        <v>500</v>
      </c>
      <c r="AO200" s="687"/>
      <c r="AP200" s="687"/>
      <c r="AQ200" s="687"/>
      <c r="AR200" s="825">
        <f t="shared" si="52"/>
        <v>500</v>
      </c>
      <c r="AS200" s="687"/>
      <c r="AT200" s="687"/>
      <c r="AU200" s="825">
        <f t="shared" si="50"/>
        <v>500</v>
      </c>
      <c r="AV200" s="825"/>
      <c r="AW200" s="825">
        <f t="shared" si="51"/>
        <v>500</v>
      </c>
      <c r="AX200" s="825"/>
      <c r="AY200" s="1305"/>
      <c r="AZ200" s="1305"/>
      <c r="BA200" s="1305"/>
      <c r="BB200" s="1305"/>
      <c r="BC200" s="1305"/>
      <c r="BD200" s="1305"/>
      <c r="BE200" s="1305"/>
      <c r="BF200" s="1305"/>
      <c r="BG200" s="1305"/>
      <c r="BH200" s="825">
        <f>I200/4</f>
        <v>125</v>
      </c>
      <c r="BI200" s="1305"/>
      <c r="BJ200" s="1305"/>
      <c r="BK200" s="1305"/>
      <c r="BL200" s="1305"/>
      <c r="BM200" s="1305"/>
      <c r="BN200" s="1305"/>
      <c r="BO200" s="1305"/>
      <c r="BP200" s="1305"/>
    </row>
    <row r="201" s="1265" customFormat="1" ht="31" customHeight="1" spans="1:68">
      <c r="A201" s="1304">
        <v>45798</v>
      </c>
      <c r="B201" s="822" t="s">
        <v>120</v>
      </c>
      <c r="C201" s="633" t="s">
        <v>98</v>
      </c>
      <c r="D201" s="825">
        <v>4500167444</v>
      </c>
      <c r="E201" s="633">
        <v>5200006828</v>
      </c>
      <c r="F201" s="1305" t="s">
        <v>1009</v>
      </c>
      <c r="G201" s="659" t="s">
        <v>123</v>
      </c>
      <c r="H201" s="633" t="s">
        <v>69</v>
      </c>
      <c r="I201" s="633">
        <v>996</v>
      </c>
      <c r="J201" s="633">
        <v>0</v>
      </c>
      <c r="K201" s="633">
        <v>12</v>
      </c>
      <c r="L201" s="827">
        <f t="shared" si="53"/>
        <v>83</v>
      </c>
      <c r="M201" s="828">
        <v>45843</v>
      </c>
      <c r="N201" s="828">
        <v>45848</v>
      </c>
      <c r="O201" s="824"/>
      <c r="P201" s="824" t="s">
        <v>113</v>
      </c>
      <c r="Q201" s="633"/>
      <c r="R201" s="829">
        <v>45798</v>
      </c>
      <c r="S201" s="829" t="s">
        <v>70</v>
      </c>
      <c r="T201" s="829" t="s">
        <v>70</v>
      </c>
      <c r="U201" s="829"/>
      <c r="V201" s="829"/>
      <c r="W201" s="829"/>
      <c r="X201" s="822" t="s">
        <v>1010</v>
      </c>
      <c r="Y201" s="828" t="s">
        <v>125</v>
      </c>
      <c r="Z201" s="1306">
        <v>2.4874</v>
      </c>
      <c r="AA201" s="831">
        <f t="shared" si="48"/>
        <v>2477.4504</v>
      </c>
      <c r="AC201" s="632" t="s">
        <v>1011</v>
      </c>
      <c r="AD201" s="633" t="s">
        <v>68</v>
      </c>
      <c r="AE201" s="633" t="s">
        <v>82</v>
      </c>
      <c r="AF201" s="633"/>
      <c r="AG201" s="618" t="s">
        <v>74</v>
      </c>
      <c r="AH201" s="618"/>
      <c r="AI201" s="1308">
        <v>996</v>
      </c>
      <c r="AJ201" s="824">
        <f t="shared" si="40"/>
        <v>0</v>
      </c>
      <c r="AK201" s="633"/>
      <c r="AL201" s="633"/>
      <c r="AM201" s="633"/>
      <c r="AN201" s="825">
        <f t="shared" si="49"/>
        <v>996</v>
      </c>
      <c r="AO201" s="687"/>
      <c r="AP201" s="687"/>
      <c r="AQ201" s="687"/>
      <c r="AR201" s="825">
        <f t="shared" si="52"/>
        <v>996</v>
      </c>
      <c r="AS201" s="687"/>
      <c r="AT201" s="687"/>
      <c r="AU201" s="825">
        <f t="shared" si="50"/>
        <v>996</v>
      </c>
      <c r="AV201" s="825"/>
      <c r="AW201" s="825">
        <f t="shared" si="51"/>
        <v>996</v>
      </c>
      <c r="AX201" s="825"/>
      <c r="AY201" s="1305"/>
      <c r="AZ201" s="1305"/>
      <c r="BA201" s="1305"/>
      <c r="BB201" s="1305"/>
      <c r="BC201" s="1305"/>
      <c r="BD201" s="1305"/>
      <c r="BE201" s="1305"/>
      <c r="BF201" s="1305"/>
      <c r="BG201" s="1305"/>
      <c r="BH201" s="1305"/>
      <c r="BI201" s="1305"/>
      <c r="BJ201" s="1305"/>
      <c r="BK201" s="1305"/>
      <c r="BL201" s="1305"/>
      <c r="BM201" s="1305"/>
      <c r="BN201" s="1305"/>
      <c r="BO201" s="1305"/>
      <c r="BP201" s="1305"/>
    </row>
    <row r="202" s="1265" customFormat="1" ht="31" customHeight="1" spans="1:68">
      <c r="A202" s="1304">
        <v>45771</v>
      </c>
      <c r="B202" s="822" t="s">
        <v>907</v>
      </c>
      <c r="C202" s="633" t="s">
        <v>170</v>
      </c>
      <c r="D202" s="825">
        <v>4500161371</v>
      </c>
      <c r="E202" s="633"/>
      <c r="F202" s="1305" t="s">
        <v>1012</v>
      </c>
      <c r="G202" s="659" t="s">
        <v>909</v>
      </c>
      <c r="H202" s="633" t="s">
        <v>830</v>
      </c>
      <c r="I202" s="633">
        <v>72</v>
      </c>
      <c r="J202" s="633">
        <v>0</v>
      </c>
      <c r="K202" s="633">
        <v>1</v>
      </c>
      <c r="L202" s="827">
        <f t="shared" si="53"/>
        <v>72</v>
      </c>
      <c r="M202" s="828">
        <v>45827</v>
      </c>
      <c r="N202" s="828">
        <v>45829</v>
      </c>
      <c r="O202" s="824" t="s">
        <v>1013</v>
      </c>
      <c r="P202" s="824" t="s">
        <v>113</v>
      </c>
      <c r="Q202" s="633" t="s">
        <v>1014</v>
      </c>
      <c r="R202" s="829">
        <v>45790</v>
      </c>
      <c r="S202" s="829" t="s">
        <v>70</v>
      </c>
      <c r="T202" s="829" t="s">
        <v>70</v>
      </c>
      <c r="U202" s="829"/>
      <c r="V202" s="829"/>
      <c r="W202" s="829"/>
      <c r="X202" s="822" t="s">
        <v>1015</v>
      </c>
      <c r="Y202" s="828" t="s">
        <v>911</v>
      </c>
      <c r="Z202" s="1306">
        <v>0</v>
      </c>
      <c r="AA202" s="831">
        <v>0</v>
      </c>
      <c r="AB202" s="1265"/>
      <c r="AC202" s="1307" t="s">
        <v>1016</v>
      </c>
      <c r="AD202" s="633" t="s">
        <v>909</v>
      </c>
      <c r="AE202" s="633" t="s">
        <v>82</v>
      </c>
      <c r="AF202" s="633"/>
      <c r="AG202" s="618" t="s">
        <v>74</v>
      </c>
      <c r="AH202" s="618"/>
      <c r="AI202" s="1308">
        <v>0</v>
      </c>
      <c r="AJ202" s="824"/>
      <c r="AK202" s="633"/>
      <c r="AL202" s="633"/>
      <c r="AM202" s="633"/>
      <c r="AN202" s="825"/>
      <c r="AO202" s="687"/>
      <c r="AP202" s="687"/>
      <c r="AQ202" s="687"/>
      <c r="AR202" s="825"/>
      <c r="AS202" s="687"/>
      <c r="AT202" s="687"/>
      <c r="AU202" s="825"/>
      <c r="AV202" s="825"/>
      <c r="AW202" s="825"/>
      <c r="AX202" s="825"/>
      <c r="AY202" s="1305"/>
      <c r="AZ202" s="1305"/>
      <c r="BA202" s="1305"/>
      <c r="BB202" s="1305"/>
      <c r="BC202" s="1305"/>
      <c r="BD202" s="1305"/>
      <c r="BE202" s="1305"/>
      <c r="BF202" s="1305"/>
      <c r="BG202" s="1305"/>
      <c r="BH202" s="1305"/>
      <c r="BI202" s="1305"/>
      <c r="BJ202" s="1305"/>
      <c r="BK202" s="1305"/>
      <c r="BL202" s="1305"/>
      <c r="BM202" s="1305"/>
      <c r="BN202" s="1305"/>
      <c r="BO202" s="1305"/>
      <c r="BP202" s="1305"/>
    </row>
    <row r="203" s="1265" customFormat="1" ht="31" customHeight="1" spans="1:68">
      <c r="A203" s="1304">
        <v>45775</v>
      </c>
      <c r="B203" s="822" t="s">
        <v>907</v>
      </c>
      <c r="C203" s="633" t="s">
        <v>170</v>
      </c>
      <c r="D203" s="825">
        <v>4500161371</v>
      </c>
      <c r="E203" s="633"/>
      <c r="F203" s="1305" t="s">
        <v>1012</v>
      </c>
      <c r="G203" s="659" t="s">
        <v>515</v>
      </c>
      <c r="H203" s="633" t="s">
        <v>112</v>
      </c>
      <c r="I203" s="633">
        <v>5400</v>
      </c>
      <c r="J203" s="633">
        <v>0</v>
      </c>
      <c r="K203" s="633">
        <v>75</v>
      </c>
      <c r="L203" s="827">
        <f t="shared" si="53"/>
        <v>72</v>
      </c>
      <c r="M203" s="828">
        <v>45827</v>
      </c>
      <c r="N203" s="828">
        <v>45829</v>
      </c>
      <c r="O203" s="824" t="s">
        <v>1013</v>
      </c>
      <c r="P203" s="824" t="s">
        <v>113</v>
      </c>
      <c r="Q203" s="633" t="s">
        <v>1014</v>
      </c>
      <c r="R203" s="829">
        <v>45790</v>
      </c>
      <c r="S203" s="829" t="s">
        <v>70</v>
      </c>
      <c r="T203" s="829" t="s">
        <v>70</v>
      </c>
      <c r="U203" s="829"/>
      <c r="V203" s="829"/>
      <c r="W203" s="829"/>
      <c r="X203" s="822"/>
      <c r="Y203" s="828" t="s">
        <v>911</v>
      </c>
      <c r="Z203" s="1306">
        <v>762.5</v>
      </c>
      <c r="AA203" s="831">
        <f>Z203*L203</f>
        <v>54900</v>
      </c>
      <c r="AC203" s="1307" t="s">
        <v>1016</v>
      </c>
      <c r="AD203" s="633" t="s">
        <v>909</v>
      </c>
      <c r="AE203" s="633" t="s">
        <v>82</v>
      </c>
      <c r="AF203" s="633"/>
      <c r="AG203" s="618" t="s">
        <v>74</v>
      </c>
      <c r="AH203" s="618"/>
      <c r="AI203" s="1308">
        <f>I203</f>
        <v>5400</v>
      </c>
      <c r="AJ203" s="824"/>
      <c r="AK203" s="633"/>
      <c r="AL203" s="633"/>
      <c r="AM203" s="633"/>
      <c r="AN203" s="825"/>
      <c r="AO203" s="687">
        <f>I203</f>
        <v>5400</v>
      </c>
      <c r="AP203" s="687"/>
      <c r="AQ203" s="687"/>
      <c r="AR203" s="825"/>
      <c r="AS203" s="687"/>
      <c r="AT203" s="687"/>
      <c r="AU203" s="825"/>
      <c r="AV203" s="825"/>
      <c r="AW203" s="825"/>
      <c r="AX203" s="825"/>
      <c r="AY203" s="1305"/>
      <c r="AZ203" s="1305"/>
      <c r="BA203" s="1305">
        <f>I203</f>
        <v>5400</v>
      </c>
      <c r="BB203" s="1305">
        <f>I203</f>
        <v>5400</v>
      </c>
      <c r="BC203" s="1305">
        <f>I203</f>
        <v>5400</v>
      </c>
      <c r="BD203" s="1305"/>
      <c r="BE203" s="1305"/>
      <c r="BF203" s="1305"/>
      <c r="BG203" s="1305"/>
      <c r="BH203" s="1305"/>
      <c r="BI203" s="1305"/>
      <c r="BJ203" s="1305"/>
      <c r="BK203" s="1305">
        <f>I203</f>
        <v>5400</v>
      </c>
      <c r="BL203" s="1305">
        <f>I203/5</f>
        <v>1080</v>
      </c>
      <c r="BM203" s="1305"/>
      <c r="BN203" s="1305"/>
      <c r="BO203" s="1305"/>
      <c r="BP203" s="1305"/>
    </row>
    <row r="204" s="1265" customFormat="1" ht="31" customHeight="1" spans="1:68">
      <c r="A204" s="1304">
        <v>45771</v>
      </c>
      <c r="B204" s="822" t="s">
        <v>907</v>
      </c>
      <c r="C204" s="633" t="s">
        <v>170</v>
      </c>
      <c r="D204" s="825">
        <v>4500161390</v>
      </c>
      <c r="E204" s="633"/>
      <c r="F204" s="1305" t="s">
        <v>1017</v>
      </c>
      <c r="G204" s="659" t="s">
        <v>909</v>
      </c>
      <c r="H204" s="633" t="s">
        <v>830</v>
      </c>
      <c r="I204" s="633">
        <v>72</v>
      </c>
      <c r="J204" s="633">
        <v>0</v>
      </c>
      <c r="K204" s="633">
        <v>1</v>
      </c>
      <c r="L204" s="827">
        <f t="shared" si="53"/>
        <v>72</v>
      </c>
      <c r="M204" s="828">
        <v>45831</v>
      </c>
      <c r="N204" s="828">
        <v>45832</v>
      </c>
      <c r="O204" s="824"/>
      <c r="P204" s="824" t="s">
        <v>113</v>
      </c>
      <c r="Q204" s="633"/>
      <c r="R204" s="829">
        <v>45790</v>
      </c>
      <c r="S204" s="829" t="s">
        <v>70</v>
      </c>
      <c r="T204" s="829" t="s">
        <v>70</v>
      </c>
      <c r="U204" s="829"/>
      <c r="V204" s="829"/>
      <c r="W204" s="829"/>
      <c r="X204" s="822" t="s">
        <v>910</v>
      </c>
      <c r="Y204" s="828" t="s">
        <v>911</v>
      </c>
      <c r="Z204" s="1306">
        <v>0</v>
      </c>
      <c r="AA204" s="831">
        <v>0</v>
      </c>
      <c r="AB204" s="1265"/>
      <c r="AC204" s="632" t="s">
        <v>1018</v>
      </c>
      <c r="AD204" s="633" t="s">
        <v>909</v>
      </c>
      <c r="AE204" s="633" t="s">
        <v>82</v>
      </c>
      <c r="AF204" s="633"/>
      <c r="AG204" s="618" t="s">
        <v>74</v>
      </c>
      <c r="AH204" s="618"/>
      <c r="AI204" s="1308">
        <v>0</v>
      </c>
      <c r="AJ204" s="824"/>
      <c r="AK204" s="633"/>
      <c r="AL204" s="633"/>
      <c r="AM204" s="633"/>
      <c r="AN204" s="825"/>
      <c r="AO204" s="687"/>
      <c r="AP204" s="687"/>
      <c r="AQ204" s="687"/>
      <c r="AR204" s="825"/>
      <c r="AS204" s="687"/>
      <c r="AT204" s="687"/>
      <c r="AU204" s="825"/>
      <c r="AV204" s="825"/>
      <c r="AW204" s="825"/>
      <c r="AX204" s="825"/>
      <c r="AY204" s="1305"/>
      <c r="AZ204" s="1305"/>
      <c r="BA204" s="1305"/>
      <c r="BB204" s="1305"/>
      <c r="BC204" s="1305"/>
      <c r="BD204" s="1305"/>
      <c r="BE204" s="1305"/>
      <c r="BF204" s="1305"/>
      <c r="BG204" s="1305"/>
      <c r="BH204" s="1305"/>
      <c r="BI204" s="1305"/>
      <c r="BJ204" s="1305"/>
      <c r="BK204" s="1305"/>
      <c r="BL204" s="1305"/>
      <c r="BM204" s="1305"/>
      <c r="BN204" s="1305"/>
      <c r="BO204" s="1305"/>
      <c r="BP204" s="1305"/>
    </row>
    <row r="205" s="1265" customFormat="1" ht="31" customHeight="1" spans="1:68">
      <c r="A205" s="1304">
        <v>45785</v>
      </c>
      <c r="B205" s="822" t="s">
        <v>907</v>
      </c>
      <c r="C205" s="633" t="s">
        <v>170</v>
      </c>
      <c r="D205" s="825">
        <v>4500161390</v>
      </c>
      <c r="E205" s="633"/>
      <c r="F205" s="1305" t="s">
        <v>1017</v>
      </c>
      <c r="G205" s="659" t="s">
        <v>515</v>
      </c>
      <c r="H205" s="633" t="s">
        <v>112</v>
      </c>
      <c r="I205" s="633">
        <v>5400</v>
      </c>
      <c r="J205" s="633">
        <v>0</v>
      </c>
      <c r="K205" s="633">
        <v>75</v>
      </c>
      <c r="L205" s="827">
        <f t="shared" si="53"/>
        <v>72</v>
      </c>
      <c r="M205" s="828">
        <v>45831</v>
      </c>
      <c r="N205" s="828">
        <v>45832</v>
      </c>
      <c r="O205" s="824"/>
      <c r="P205" s="824" t="s">
        <v>113</v>
      </c>
      <c r="Q205" s="633"/>
      <c r="R205" s="829">
        <v>45790</v>
      </c>
      <c r="S205" s="829" t="s">
        <v>70</v>
      </c>
      <c r="T205" s="829" t="s">
        <v>70</v>
      </c>
      <c r="U205" s="829"/>
      <c r="V205" s="829"/>
      <c r="W205" s="829"/>
      <c r="X205" s="822"/>
      <c r="Y205" s="828" t="s">
        <v>911</v>
      </c>
      <c r="Z205" s="1306">
        <v>762.5</v>
      </c>
      <c r="AA205" s="831">
        <f>Z205*L205</f>
        <v>54900</v>
      </c>
      <c r="AC205" s="632" t="s">
        <v>1018</v>
      </c>
      <c r="AD205" s="633" t="s">
        <v>909</v>
      </c>
      <c r="AE205" s="633" t="s">
        <v>82</v>
      </c>
      <c r="AF205" s="633"/>
      <c r="AG205" s="618" t="s">
        <v>74</v>
      </c>
      <c r="AH205" s="618"/>
      <c r="AI205" s="1308">
        <f>I205</f>
        <v>5400</v>
      </c>
      <c r="AJ205" s="824"/>
      <c r="AK205" s="633"/>
      <c r="AL205" s="633"/>
      <c r="AM205" s="633"/>
      <c r="AN205" s="825"/>
      <c r="AO205" s="687">
        <f>I205</f>
        <v>5400</v>
      </c>
      <c r="AP205" s="687"/>
      <c r="AQ205" s="687"/>
      <c r="AR205" s="825"/>
      <c r="AS205" s="687"/>
      <c r="AT205" s="687"/>
      <c r="AU205" s="825"/>
      <c r="AV205" s="825"/>
      <c r="AW205" s="825"/>
      <c r="AX205" s="825"/>
      <c r="AY205" s="1305"/>
      <c r="AZ205" s="1305"/>
      <c r="BA205" s="1305">
        <f>I205</f>
        <v>5400</v>
      </c>
      <c r="BB205" s="1305">
        <f>I205</f>
        <v>5400</v>
      </c>
      <c r="BC205" s="1305">
        <f>I205</f>
        <v>5400</v>
      </c>
      <c r="BD205" s="1305"/>
      <c r="BE205" s="1305"/>
      <c r="BF205" s="1305"/>
      <c r="BG205" s="1305"/>
      <c r="BH205" s="1305"/>
      <c r="BI205" s="1305"/>
      <c r="BJ205" s="1305"/>
      <c r="BK205" s="1305">
        <f>I205</f>
        <v>5400</v>
      </c>
      <c r="BL205" s="1305">
        <f>I205/5</f>
        <v>1080</v>
      </c>
      <c r="BM205" s="1305"/>
      <c r="BN205" s="1305"/>
      <c r="BO205" s="1305"/>
      <c r="BP205" s="1305"/>
    </row>
    <row r="206" s="1265" customFormat="1" ht="31" customHeight="1" spans="1:68">
      <c r="A206" s="1304">
        <v>45800</v>
      </c>
      <c r="B206" s="822" t="s">
        <v>1019</v>
      </c>
      <c r="C206" s="633" t="s">
        <v>399</v>
      </c>
      <c r="D206" s="825">
        <v>4500167713</v>
      </c>
      <c r="E206" s="633"/>
      <c r="F206" s="1305" t="s">
        <v>1020</v>
      </c>
      <c r="G206" s="659" t="s">
        <v>518</v>
      </c>
      <c r="H206" s="633" t="s">
        <v>477</v>
      </c>
      <c r="I206" s="633">
        <v>360</v>
      </c>
      <c r="J206" s="633">
        <v>0</v>
      </c>
      <c r="K206" s="633">
        <v>6</v>
      </c>
      <c r="L206" s="827">
        <f t="shared" si="53"/>
        <v>60</v>
      </c>
      <c r="M206" s="828">
        <v>45838</v>
      </c>
      <c r="N206" s="828">
        <v>45842</v>
      </c>
      <c r="O206" s="824"/>
      <c r="P206" s="824" t="s">
        <v>113</v>
      </c>
      <c r="Q206" s="633"/>
      <c r="R206" s="829">
        <v>45800</v>
      </c>
      <c r="S206" s="829" t="s">
        <v>70</v>
      </c>
      <c r="T206" s="829">
        <v>45813</v>
      </c>
      <c r="U206" s="829"/>
      <c r="V206" s="829"/>
      <c r="W206" s="829" t="s">
        <v>1021</v>
      </c>
      <c r="X206" s="822" t="s">
        <v>1022</v>
      </c>
      <c r="Y206" s="828" t="s">
        <v>445</v>
      </c>
      <c r="Z206" s="1306">
        <v>8.1</v>
      </c>
      <c r="AA206" s="831">
        <f t="shared" ref="AA206:AA215" si="54">Z206*I206</f>
        <v>2916</v>
      </c>
      <c r="AC206" s="632" t="s">
        <v>1023</v>
      </c>
      <c r="AD206" s="633" t="s">
        <v>480</v>
      </c>
      <c r="AE206" s="633" t="s">
        <v>82</v>
      </c>
      <c r="AF206" s="633"/>
      <c r="AG206" s="618" t="s">
        <v>74</v>
      </c>
      <c r="AH206" s="618"/>
      <c r="AI206" s="1308">
        <v>0</v>
      </c>
      <c r="AJ206" s="824"/>
      <c r="AK206" s="633"/>
      <c r="AL206" s="633"/>
      <c r="AM206" s="633"/>
      <c r="AN206" s="825">
        <f t="shared" ref="AN206:AN215" si="55">I206</f>
        <v>360</v>
      </c>
      <c r="AO206" s="687"/>
      <c r="AP206" s="687"/>
      <c r="AQ206" s="687"/>
      <c r="AR206" s="825"/>
      <c r="AS206" s="687">
        <f>I206</f>
        <v>360</v>
      </c>
      <c r="AT206" s="687"/>
      <c r="AU206" s="825">
        <f t="shared" ref="AU206:AU215" si="56">I206</f>
        <v>360</v>
      </c>
      <c r="AV206" s="825"/>
      <c r="AW206" s="551">
        <f t="shared" ref="AW206:AW215" si="57">I206</f>
        <v>360</v>
      </c>
      <c r="AX206" s="825"/>
      <c r="AY206" s="1305"/>
      <c r="AZ206" s="1305"/>
      <c r="BA206" s="1305"/>
      <c r="BB206" s="1305"/>
      <c r="BC206" s="1305"/>
      <c r="BD206" s="1305"/>
      <c r="BE206" s="1305"/>
      <c r="BF206" s="1305"/>
      <c r="BG206" s="1305"/>
      <c r="BH206" s="1305"/>
      <c r="BI206" s="1305"/>
      <c r="BJ206" s="1305"/>
      <c r="BK206" s="1305"/>
      <c r="BL206" s="1305"/>
      <c r="BM206" s="825"/>
      <c r="BN206" s="825">
        <f>I206</f>
        <v>360</v>
      </c>
      <c r="BO206" s="1305"/>
      <c r="BP206" s="1305"/>
    </row>
    <row r="207" s="1265" customFormat="1" ht="31" customHeight="1" spans="1:68">
      <c r="A207" s="1304">
        <v>45806</v>
      </c>
      <c r="B207" s="822" t="s">
        <v>1024</v>
      </c>
      <c r="C207" s="633" t="s">
        <v>399</v>
      </c>
      <c r="D207" s="825">
        <v>4500168264</v>
      </c>
      <c r="E207" s="633"/>
      <c r="F207" s="1305" t="s">
        <v>1025</v>
      </c>
      <c r="G207" s="659" t="s">
        <v>68</v>
      </c>
      <c r="H207" s="633" t="s">
        <v>69</v>
      </c>
      <c r="I207" s="633">
        <v>360</v>
      </c>
      <c r="J207" s="633">
        <v>0</v>
      </c>
      <c r="K207" s="633">
        <v>12</v>
      </c>
      <c r="L207" s="827">
        <f t="shared" si="53"/>
        <v>30</v>
      </c>
      <c r="M207" s="828">
        <v>45842</v>
      </c>
      <c r="N207" s="828">
        <v>45848</v>
      </c>
      <c r="O207" s="824"/>
      <c r="P207" s="824" t="s">
        <v>113</v>
      </c>
      <c r="Q207" s="633"/>
      <c r="R207" s="829">
        <v>45812</v>
      </c>
      <c r="S207" s="829" t="s">
        <v>70</v>
      </c>
      <c r="T207" s="829" t="s">
        <v>1026</v>
      </c>
      <c r="U207" s="829"/>
      <c r="V207" s="829"/>
      <c r="W207" s="829"/>
      <c r="X207" s="822" t="s">
        <v>1027</v>
      </c>
      <c r="Y207" s="828" t="s">
        <v>445</v>
      </c>
      <c r="Z207" s="1306">
        <v>4.1456</v>
      </c>
      <c r="AA207" s="831">
        <f t="shared" si="54"/>
        <v>1492.416</v>
      </c>
      <c r="AC207" s="632" t="s">
        <v>1028</v>
      </c>
      <c r="AD207" s="633" t="s">
        <v>184</v>
      </c>
      <c r="AE207" s="633" t="s">
        <v>82</v>
      </c>
      <c r="AF207" s="633"/>
      <c r="AG207" s="618" t="s">
        <v>74</v>
      </c>
      <c r="AH207" s="618"/>
      <c r="AI207" s="1308">
        <v>360</v>
      </c>
      <c r="AJ207" s="824">
        <f t="shared" si="40"/>
        <v>0</v>
      </c>
      <c r="AK207" s="633"/>
      <c r="AL207" s="633"/>
      <c r="AM207" s="633"/>
      <c r="AN207" s="825">
        <f t="shared" si="55"/>
        <v>360</v>
      </c>
      <c r="AO207" s="687"/>
      <c r="AP207" s="687"/>
      <c r="AQ207" s="687"/>
      <c r="AR207" s="825"/>
      <c r="AS207" s="687">
        <f>I207</f>
        <v>360</v>
      </c>
      <c r="AT207" s="687"/>
      <c r="AU207" s="825">
        <f t="shared" si="56"/>
        <v>360</v>
      </c>
      <c r="AV207" s="825"/>
      <c r="AW207" s="825">
        <f t="shared" si="57"/>
        <v>360</v>
      </c>
      <c r="AX207" s="825"/>
      <c r="AY207" s="1305"/>
      <c r="AZ207" s="1305"/>
      <c r="BA207" s="1305"/>
      <c r="BB207" s="1305"/>
      <c r="BC207" s="1305"/>
      <c r="BD207" s="1305"/>
      <c r="BE207" s="1305"/>
      <c r="BF207" s="1305"/>
      <c r="BG207" s="1305"/>
      <c r="BH207" s="1305"/>
      <c r="BI207" s="1305"/>
      <c r="BJ207" s="1305"/>
      <c r="BK207" s="1305"/>
      <c r="BL207" s="1305"/>
      <c r="BM207" s="1305"/>
      <c r="BN207" s="1305"/>
      <c r="BO207" s="1305"/>
      <c r="BP207" s="1305"/>
    </row>
    <row r="208" s="1265" customFormat="1" ht="31" customHeight="1" spans="1:68">
      <c r="A208" s="1304">
        <v>45806</v>
      </c>
      <c r="B208" s="822" t="s">
        <v>1024</v>
      </c>
      <c r="C208" s="633" t="s">
        <v>399</v>
      </c>
      <c r="D208" s="825">
        <v>4500168264</v>
      </c>
      <c r="E208" s="633"/>
      <c r="F208" s="1305" t="s">
        <v>1029</v>
      </c>
      <c r="G208" s="659" t="s">
        <v>518</v>
      </c>
      <c r="H208" s="633" t="s">
        <v>477</v>
      </c>
      <c r="I208" s="633">
        <v>300</v>
      </c>
      <c r="J208" s="633">
        <v>0</v>
      </c>
      <c r="K208" s="633">
        <v>6</v>
      </c>
      <c r="L208" s="827">
        <f t="shared" si="53"/>
        <v>50</v>
      </c>
      <c r="M208" s="828">
        <v>45842</v>
      </c>
      <c r="N208" s="828">
        <v>45848</v>
      </c>
      <c r="O208" s="824"/>
      <c r="P208" s="824" t="s">
        <v>113</v>
      </c>
      <c r="Q208" s="633"/>
      <c r="R208" s="829">
        <v>45812</v>
      </c>
      <c r="S208" s="829" t="s">
        <v>70</v>
      </c>
      <c r="T208" s="829" t="s">
        <v>1026</v>
      </c>
      <c r="U208" s="829"/>
      <c r="V208" s="829"/>
      <c r="W208" s="829"/>
      <c r="X208" s="822" t="s">
        <v>1030</v>
      </c>
      <c r="Y208" s="828" t="s">
        <v>445</v>
      </c>
      <c r="Z208" s="1306">
        <v>8.1</v>
      </c>
      <c r="AA208" s="831">
        <f t="shared" si="54"/>
        <v>2430</v>
      </c>
      <c r="AC208" s="632" t="s">
        <v>1028</v>
      </c>
      <c r="AD208" s="633" t="s">
        <v>480</v>
      </c>
      <c r="AE208" s="633" t="s">
        <v>82</v>
      </c>
      <c r="AF208" s="633"/>
      <c r="AG208" s="618" t="s">
        <v>74</v>
      </c>
      <c r="AH208" s="618"/>
      <c r="AI208" s="1308">
        <v>0</v>
      </c>
      <c r="AJ208" s="824"/>
      <c r="AK208" s="633"/>
      <c r="AL208" s="633"/>
      <c r="AM208" s="633"/>
      <c r="AN208" s="825">
        <f t="shared" si="55"/>
        <v>300</v>
      </c>
      <c r="AO208" s="687"/>
      <c r="AP208" s="687"/>
      <c r="AQ208" s="687"/>
      <c r="AR208" s="825"/>
      <c r="AS208" s="687">
        <f>I208</f>
        <v>300</v>
      </c>
      <c r="AT208" s="687"/>
      <c r="AU208" s="825">
        <f t="shared" si="56"/>
        <v>300</v>
      </c>
      <c r="AV208" s="825"/>
      <c r="AW208" s="825">
        <f t="shared" si="57"/>
        <v>300</v>
      </c>
      <c r="AX208" s="825"/>
      <c r="AY208" s="1305"/>
      <c r="AZ208" s="1305"/>
      <c r="BA208" s="1305"/>
      <c r="BB208" s="1305"/>
      <c r="BC208" s="1305"/>
      <c r="BD208" s="1305"/>
      <c r="BE208" s="1305"/>
      <c r="BF208" s="1305"/>
      <c r="BG208" s="1305"/>
      <c r="BH208" s="1305"/>
      <c r="BI208" s="1305"/>
      <c r="BJ208" s="1305"/>
      <c r="BK208" s="1305"/>
      <c r="BL208" s="1305"/>
      <c r="BM208" s="825"/>
      <c r="BN208" s="825">
        <f>I208</f>
        <v>300</v>
      </c>
      <c r="BO208" s="1305"/>
      <c r="BP208" s="1305"/>
    </row>
    <row r="209" s="1265" customFormat="1" ht="31" customHeight="1" spans="1:68">
      <c r="A209" s="1304">
        <v>45806</v>
      </c>
      <c r="B209" s="822" t="s">
        <v>1031</v>
      </c>
      <c r="C209" s="633" t="s">
        <v>399</v>
      </c>
      <c r="D209" s="825">
        <v>4500168249</v>
      </c>
      <c r="E209" s="633"/>
      <c r="F209" s="1305" t="s">
        <v>1032</v>
      </c>
      <c r="G209" s="659" t="s">
        <v>518</v>
      </c>
      <c r="H209" s="633" t="s">
        <v>477</v>
      </c>
      <c r="I209" s="633">
        <v>120</v>
      </c>
      <c r="J209" s="633">
        <v>0</v>
      </c>
      <c r="K209" s="633">
        <v>6</v>
      </c>
      <c r="L209" s="827">
        <f t="shared" si="53"/>
        <v>20</v>
      </c>
      <c r="M209" s="828">
        <v>45842</v>
      </c>
      <c r="N209" s="828">
        <v>45848</v>
      </c>
      <c r="O209" s="824"/>
      <c r="P209" s="824" t="s">
        <v>113</v>
      </c>
      <c r="Q209" s="633"/>
      <c r="R209" s="829">
        <v>45812</v>
      </c>
      <c r="S209" s="829" t="s">
        <v>70</v>
      </c>
      <c r="T209" s="829">
        <v>45818</v>
      </c>
      <c r="U209" s="829"/>
      <c r="V209" s="829"/>
      <c r="W209" s="829"/>
      <c r="X209" s="822" t="s">
        <v>1033</v>
      </c>
      <c r="Y209" s="828" t="s">
        <v>402</v>
      </c>
      <c r="Z209" s="1306">
        <v>8.1</v>
      </c>
      <c r="AA209" s="831">
        <f t="shared" si="54"/>
        <v>972</v>
      </c>
      <c r="AC209" s="617" t="s">
        <v>1034</v>
      </c>
      <c r="AD209" s="633" t="s">
        <v>480</v>
      </c>
      <c r="AE209" s="633" t="s">
        <v>82</v>
      </c>
      <c r="AF209" s="633"/>
      <c r="AG209" s="618" t="s">
        <v>74</v>
      </c>
      <c r="AH209" s="618"/>
      <c r="AI209" s="1308">
        <v>0</v>
      </c>
      <c r="AJ209" s="824"/>
      <c r="AK209" s="633"/>
      <c r="AL209" s="633"/>
      <c r="AM209" s="633"/>
      <c r="AN209" s="825">
        <f t="shared" si="55"/>
        <v>120</v>
      </c>
      <c r="AO209" s="687"/>
      <c r="AP209" s="687"/>
      <c r="AQ209" s="687"/>
      <c r="AR209" s="825"/>
      <c r="AS209" s="687">
        <f>I209</f>
        <v>120</v>
      </c>
      <c r="AT209" s="687"/>
      <c r="AU209" s="825">
        <f t="shared" si="56"/>
        <v>120</v>
      </c>
      <c r="AV209" s="825"/>
      <c r="AW209" s="825">
        <f t="shared" si="57"/>
        <v>120</v>
      </c>
      <c r="AX209" s="825"/>
      <c r="AY209" s="1305"/>
      <c r="AZ209" s="1305"/>
      <c r="BA209" s="1305"/>
      <c r="BB209" s="1305"/>
      <c r="BC209" s="1305"/>
      <c r="BD209" s="1305"/>
      <c r="BE209" s="1305"/>
      <c r="BF209" s="1305"/>
      <c r="BG209" s="1305"/>
      <c r="BH209" s="1305"/>
      <c r="BI209" s="1305"/>
      <c r="BJ209" s="1305"/>
      <c r="BK209" s="1305"/>
      <c r="BL209" s="1305"/>
      <c r="BM209" s="825"/>
      <c r="BN209" s="825">
        <f>I209</f>
        <v>120</v>
      </c>
      <c r="BO209" s="1305"/>
      <c r="BP209" s="1305"/>
    </row>
    <row r="210" s="1265" customFormat="1" ht="31" customHeight="1" spans="1:68">
      <c r="A210" s="1304">
        <v>45806</v>
      </c>
      <c r="B210" s="822" t="s">
        <v>1035</v>
      </c>
      <c r="C210" s="633" t="s">
        <v>399</v>
      </c>
      <c r="D210" s="825">
        <v>4500168288</v>
      </c>
      <c r="E210" s="633"/>
      <c r="F210" s="1305" t="s">
        <v>1036</v>
      </c>
      <c r="G210" s="659" t="s">
        <v>518</v>
      </c>
      <c r="H210" s="633" t="s">
        <v>477</v>
      </c>
      <c r="I210" s="633">
        <v>42</v>
      </c>
      <c r="J210" s="633">
        <v>0</v>
      </c>
      <c r="K210" s="633">
        <v>6</v>
      </c>
      <c r="L210" s="827">
        <f t="shared" si="53"/>
        <v>7</v>
      </c>
      <c r="M210" s="828">
        <v>45842</v>
      </c>
      <c r="N210" s="828">
        <v>45848</v>
      </c>
      <c r="O210" s="824"/>
      <c r="P210" s="824" t="s">
        <v>113</v>
      </c>
      <c r="Q210" s="633"/>
      <c r="R210" s="829">
        <v>45813</v>
      </c>
      <c r="S210" s="829" t="s">
        <v>70</v>
      </c>
      <c r="T210" s="829" t="s">
        <v>1037</v>
      </c>
      <c r="U210" s="829"/>
      <c r="V210" s="829"/>
      <c r="W210" s="829"/>
      <c r="X210" s="822" t="s">
        <v>1038</v>
      </c>
      <c r="Y210" s="828" t="s">
        <v>445</v>
      </c>
      <c r="Z210" s="1306">
        <v>8.1</v>
      </c>
      <c r="AA210" s="831">
        <f t="shared" si="54"/>
        <v>340.2</v>
      </c>
      <c r="AC210" s="617" t="s">
        <v>1034</v>
      </c>
      <c r="AD210" s="633" t="s">
        <v>480</v>
      </c>
      <c r="AE210" s="633" t="s">
        <v>82</v>
      </c>
      <c r="AF210" s="633"/>
      <c r="AG210" s="618" t="s">
        <v>74</v>
      </c>
      <c r="AH210" s="618"/>
      <c r="AI210" s="1308">
        <v>0</v>
      </c>
      <c r="AJ210" s="824"/>
      <c r="AK210" s="633"/>
      <c r="AL210" s="633"/>
      <c r="AM210" s="633"/>
      <c r="AN210" s="825">
        <f t="shared" si="55"/>
        <v>42</v>
      </c>
      <c r="AO210" s="687"/>
      <c r="AP210" s="687"/>
      <c r="AQ210" s="687"/>
      <c r="AR210" s="825"/>
      <c r="AS210" s="687">
        <f>I210</f>
        <v>42</v>
      </c>
      <c r="AT210" s="687"/>
      <c r="AU210" s="825">
        <f t="shared" si="56"/>
        <v>42</v>
      </c>
      <c r="AV210" s="825"/>
      <c r="AW210" s="825">
        <f t="shared" si="57"/>
        <v>42</v>
      </c>
      <c r="AX210" s="825"/>
      <c r="AY210" s="1305"/>
      <c r="AZ210" s="1305"/>
      <c r="BA210" s="1305"/>
      <c r="BB210" s="1305"/>
      <c r="BC210" s="1305"/>
      <c r="BD210" s="1305"/>
      <c r="BE210" s="1305"/>
      <c r="BF210" s="1305"/>
      <c r="BG210" s="1305"/>
      <c r="BH210" s="1305"/>
      <c r="BI210" s="1305"/>
      <c r="BJ210" s="1305"/>
      <c r="BK210" s="1305"/>
      <c r="BL210" s="1305"/>
      <c r="BM210" s="825"/>
      <c r="BN210" s="825">
        <f>I210</f>
        <v>42</v>
      </c>
      <c r="BO210" s="1305"/>
      <c r="BP210" s="1305"/>
    </row>
    <row r="211" s="1265" customFormat="1" ht="31" customHeight="1" spans="1:68">
      <c r="A211" s="1304">
        <v>45799</v>
      </c>
      <c r="B211" s="822" t="s">
        <v>143</v>
      </c>
      <c r="C211" s="633" t="s">
        <v>98</v>
      </c>
      <c r="D211" s="825">
        <v>4500167595</v>
      </c>
      <c r="E211" s="1413" t="s">
        <v>1039</v>
      </c>
      <c r="F211" s="1305" t="s">
        <v>1040</v>
      </c>
      <c r="G211" s="659" t="s">
        <v>101</v>
      </c>
      <c r="H211" s="633" t="s">
        <v>102</v>
      </c>
      <c r="I211" s="633">
        <v>1872</v>
      </c>
      <c r="J211" s="633">
        <v>0</v>
      </c>
      <c r="K211" s="633">
        <v>4</v>
      </c>
      <c r="L211" s="827">
        <f t="shared" si="53"/>
        <v>468</v>
      </c>
      <c r="M211" s="828">
        <v>45845</v>
      </c>
      <c r="N211" s="828">
        <v>45847</v>
      </c>
      <c r="O211" s="824" t="s">
        <v>1041</v>
      </c>
      <c r="P211" s="824" t="s">
        <v>113</v>
      </c>
      <c r="Q211" s="633"/>
      <c r="R211" s="829" t="s">
        <v>961</v>
      </c>
      <c r="S211" s="829" t="s">
        <v>70</v>
      </c>
      <c r="T211" s="829" t="s">
        <v>699</v>
      </c>
      <c r="U211" s="829"/>
      <c r="V211" s="774" t="s">
        <v>148</v>
      </c>
      <c r="W211" s="829"/>
      <c r="X211" s="822" t="s">
        <v>369</v>
      </c>
      <c r="Y211" s="828" t="s">
        <v>106</v>
      </c>
      <c r="Z211" s="1306">
        <v>2.58</v>
      </c>
      <c r="AA211" s="831">
        <f t="shared" si="54"/>
        <v>4829.76</v>
      </c>
      <c r="AC211" s="632" t="s">
        <v>1042</v>
      </c>
      <c r="AD211" s="633" t="s">
        <v>101</v>
      </c>
      <c r="AE211" s="633" t="s">
        <v>82</v>
      </c>
      <c r="AF211" s="633"/>
      <c r="AG211" s="618" t="s">
        <v>74</v>
      </c>
      <c r="AH211" s="618"/>
      <c r="AI211" s="1308">
        <f>4+1868</f>
        <v>1872</v>
      </c>
      <c r="AJ211" s="824">
        <f t="shared" si="40"/>
        <v>0</v>
      </c>
      <c r="AK211" s="633"/>
      <c r="AL211" s="633"/>
      <c r="AM211" s="633"/>
      <c r="AN211" s="825">
        <f t="shared" si="55"/>
        <v>1872</v>
      </c>
      <c r="AO211" s="687"/>
      <c r="AP211" s="687"/>
      <c r="AQ211" s="687"/>
      <c r="AR211" s="825">
        <f>I211</f>
        <v>1872</v>
      </c>
      <c r="AS211" s="687"/>
      <c r="AT211" s="687"/>
      <c r="AU211" s="825">
        <f t="shared" si="56"/>
        <v>1872</v>
      </c>
      <c r="AV211" s="825"/>
      <c r="AW211" s="551">
        <f t="shared" si="57"/>
        <v>1872</v>
      </c>
      <c r="AX211" s="825"/>
      <c r="AY211" s="1305"/>
      <c r="AZ211" s="1305"/>
      <c r="BA211" s="1305"/>
      <c r="BB211" s="1305"/>
      <c r="BC211" s="1305"/>
      <c r="BD211" s="1305"/>
      <c r="BE211" s="1305"/>
      <c r="BF211" s="1305"/>
      <c r="BG211" s="1305"/>
      <c r="BH211" s="825">
        <f>I211/4</f>
        <v>468</v>
      </c>
      <c r="BI211" s="1305"/>
      <c r="BJ211" s="1305"/>
      <c r="BK211" s="1305"/>
      <c r="BL211" s="1305"/>
      <c r="BM211" s="1305"/>
      <c r="BN211" s="1305"/>
      <c r="BO211" s="1305"/>
      <c r="BP211" s="1305"/>
    </row>
    <row r="212" s="1265" customFormat="1" ht="31" customHeight="1" spans="1:68">
      <c r="A212" s="1304">
        <v>45799</v>
      </c>
      <c r="B212" s="822" t="s">
        <v>143</v>
      </c>
      <c r="C212" s="633" t="s">
        <v>98</v>
      </c>
      <c r="D212" s="825">
        <v>4500167595</v>
      </c>
      <c r="E212" s="1413" t="s">
        <v>1043</v>
      </c>
      <c r="F212" s="1305" t="s">
        <v>1044</v>
      </c>
      <c r="G212" s="659" t="s">
        <v>101</v>
      </c>
      <c r="H212" s="633" t="s">
        <v>102</v>
      </c>
      <c r="I212" s="633">
        <v>2808</v>
      </c>
      <c r="J212" s="633">
        <v>0</v>
      </c>
      <c r="K212" s="633">
        <v>4</v>
      </c>
      <c r="L212" s="827">
        <f t="shared" si="53"/>
        <v>702</v>
      </c>
      <c r="M212" s="828">
        <v>45845</v>
      </c>
      <c r="N212" s="828">
        <v>45847</v>
      </c>
      <c r="O212" s="824" t="s">
        <v>1041</v>
      </c>
      <c r="P212" s="824" t="s">
        <v>113</v>
      </c>
      <c r="Q212" s="633"/>
      <c r="R212" s="829" t="s">
        <v>961</v>
      </c>
      <c r="S212" s="829" t="s">
        <v>70</v>
      </c>
      <c r="T212" s="829" t="s">
        <v>699</v>
      </c>
      <c r="U212" s="829"/>
      <c r="V212" s="774" t="s">
        <v>148</v>
      </c>
      <c r="W212" s="829"/>
      <c r="X212" s="822" t="s">
        <v>369</v>
      </c>
      <c r="Y212" s="828" t="s">
        <v>106</v>
      </c>
      <c r="Z212" s="1306">
        <v>2.58</v>
      </c>
      <c r="AA212" s="831">
        <f t="shared" si="54"/>
        <v>7244.64</v>
      </c>
      <c r="AC212" s="632" t="s">
        <v>1045</v>
      </c>
      <c r="AD212" s="633" t="s">
        <v>101</v>
      </c>
      <c r="AE212" s="633" t="s">
        <v>82</v>
      </c>
      <c r="AF212" s="633"/>
      <c r="AG212" s="618" t="s">
        <v>74</v>
      </c>
      <c r="AH212" s="618"/>
      <c r="AI212" s="1308">
        <f>700+2108</f>
        <v>2808</v>
      </c>
      <c r="AJ212" s="824">
        <f t="shared" si="40"/>
        <v>0</v>
      </c>
      <c r="AK212" s="633"/>
      <c r="AL212" s="633"/>
      <c r="AM212" s="633"/>
      <c r="AN212" s="825">
        <f t="shared" si="55"/>
        <v>2808</v>
      </c>
      <c r="AO212" s="687"/>
      <c r="AP212" s="687"/>
      <c r="AQ212" s="687"/>
      <c r="AR212" s="825">
        <f>I212</f>
        <v>2808</v>
      </c>
      <c r="AS212" s="687"/>
      <c r="AT212" s="687"/>
      <c r="AU212" s="825">
        <f t="shared" si="56"/>
        <v>2808</v>
      </c>
      <c r="AV212" s="825"/>
      <c r="AW212" s="551">
        <f t="shared" si="57"/>
        <v>2808</v>
      </c>
      <c r="AX212" s="825"/>
      <c r="AY212" s="1305"/>
      <c r="AZ212" s="1305"/>
      <c r="BA212" s="1305"/>
      <c r="BB212" s="1305"/>
      <c r="BC212" s="1305"/>
      <c r="BD212" s="1305"/>
      <c r="BE212" s="1305"/>
      <c r="BF212" s="1305"/>
      <c r="BG212" s="1305"/>
      <c r="BH212" s="825">
        <f>I212/4</f>
        <v>702</v>
      </c>
      <c r="BI212" s="1305"/>
      <c r="BJ212" s="1305"/>
      <c r="BK212" s="1305"/>
      <c r="BL212" s="1305"/>
      <c r="BM212" s="1305"/>
      <c r="BN212" s="1305"/>
      <c r="BO212" s="1305"/>
      <c r="BP212" s="1305"/>
    </row>
    <row r="213" s="1265" customFormat="1" ht="31" customHeight="1" spans="1:68">
      <c r="A213" s="1304">
        <v>45804</v>
      </c>
      <c r="B213" s="822" t="s">
        <v>493</v>
      </c>
      <c r="C213" s="633" t="s">
        <v>278</v>
      </c>
      <c r="D213" s="825">
        <v>4500167998</v>
      </c>
      <c r="E213" s="633" t="s">
        <v>1046</v>
      </c>
      <c r="F213" s="1305" t="s">
        <v>1047</v>
      </c>
      <c r="G213" s="659" t="s">
        <v>280</v>
      </c>
      <c r="H213" s="633" t="s">
        <v>281</v>
      </c>
      <c r="I213" s="633">
        <v>512</v>
      </c>
      <c r="J213" s="633">
        <v>4</v>
      </c>
      <c r="K213" s="633">
        <v>16</v>
      </c>
      <c r="L213" s="827">
        <f t="shared" si="53"/>
        <v>32</v>
      </c>
      <c r="M213" s="828">
        <v>45847</v>
      </c>
      <c r="N213" s="828">
        <v>45843</v>
      </c>
      <c r="O213" s="824"/>
      <c r="P213" s="824" t="s">
        <v>113</v>
      </c>
      <c r="Q213" s="633"/>
      <c r="R213" s="829">
        <v>45814</v>
      </c>
      <c r="S213" s="829" t="s">
        <v>70</v>
      </c>
      <c r="T213" s="829" t="s">
        <v>1048</v>
      </c>
      <c r="U213" s="829"/>
      <c r="V213" s="829"/>
      <c r="W213" s="829"/>
      <c r="X213" s="822" t="s">
        <v>1049</v>
      </c>
      <c r="Y213" s="828" t="s">
        <v>283</v>
      </c>
      <c r="Z213" s="1306">
        <v>5</v>
      </c>
      <c r="AA213" s="831">
        <f t="shared" si="54"/>
        <v>2560</v>
      </c>
      <c r="AC213" s="632" t="s">
        <v>1050</v>
      </c>
      <c r="AD213" s="633" t="s">
        <v>280</v>
      </c>
      <c r="AE213" s="633" t="s">
        <v>82</v>
      </c>
      <c r="AF213" s="633"/>
      <c r="AG213" s="618" t="s">
        <v>74</v>
      </c>
      <c r="AH213" s="618"/>
      <c r="AI213" s="1308">
        <f>496+16</f>
        <v>512</v>
      </c>
      <c r="AJ213" s="824">
        <f t="shared" si="40"/>
        <v>0</v>
      </c>
      <c r="AK213" s="633"/>
      <c r="AL213" s="633"/>
      <c r="AM213" s="633"/>
      <c r="AN213" s="825">
        <f t="shared" si="55"/>
        <v>512</v>
      </c>
      <c r="AO213" s="687"/>
      <c r="AP213" s="687"/>
      <c r="AQ213" s="687"/>
      <c r="AR213" s="825">
        <f>I213</f>
        <v>512</v>
      </c>
      <c r="AS213" s="687"/>
      <c r="AT213" s="687"/>
      <c r="AU213" s="825">
        <f t="shared" si="56"/>
        <v>512</v>
      </c>
      <c r="AV213" s="825"/>
      <c r="AW213" s="825">
        <f t="shared" si="57"/>
        <v>512</v>
      </c>
      <c r="AX213" s="825"/>
      <c r="AY213" s="1305"/>
      <c r="AZ213" s="1305"/>
      <c r="BA213" s="1305"/>
      <c r="BB213" s="1305"/>
      <c r="BC213" s="1305"/>
      <c r="BD213" s="1305"/>
      <c r="BE213" s="1305"/>
      <c r="BF213" s="1305"/>
      <c r="BG213" s="1305"/>
      <c r="BH213" s="825">
        <f>I213/4</f>
        <v>128</v>
      </c>
      <c r="BI213" s="1305"/>
      <c r="BJ213" s="1305"/>
      <c r="BK213" s="1305"/>
      <c r="BL213" s="1305"/>
      <c r="BM213" s="1305"/>
      <c r="BN213" s="1305"/>
      <c r="BO213" s="1305"/>
      <c r="BP213" s="1305"/>
    </row>
    <row r="214" s="1265" customFormat="1" ht="31" customHeight="1" spans="1:68">
      <c r="A214" s="1304">
        <v>45812</v>
      </c>
      <c r="B214" s="822" t="s">
        <v>143</v>
      </c>
      <c r="C214" s="633" t="s">
        <v>98</v>
      </c>
      <c r="D214" s="825">
        <v>4500168952</v>
      </c>
      <c r="E214" s="1413" t="s">
        <v>1051</v>
      </c>
      <c r="F214" s="1305" t="s">
        <v>1052</v>
      </c>
      <c r="G214" s="659" t="s">
        <v>207</v>
      </c>
      <c r="H214" s="633" t="s">
        <v>102</v>
      </c>
      <c r="I214" s="633">
        <v>248</v>
      </c>
      <c r="J214" s="633">
        <v>0</v>
      </c>
      <c r="K214" s="633">
        <v>4</v>
      </c>
      <c r="L214" s="827">
        <f t="shared" si="53"/>
        <v>62</v>
      </c>
      <c r="M214" s="828">
        <v>45847</v>
      </c>
      <c r="N214" s="828">
        <v>45849</v>
      </c>
      <c r="O214" s="824" t="s">
        <v>1053</v>
      </c>
      <c r="P214" s="824" t="s">
        <v>113</v>
      </c>
      <c r="Q214" s="633"/>
      <c r="R214" s="829" t="s">
        <v>1054</v>
      </c>
      <c r="S214" s="829" t="s">
        <v>70</v>
      </c>
      <c r="T214" s="829">
        <v>45826</v>
      </c>
      <c r="U214" s="829"/>
      <c r="V214" s="829"/>
      <c r="W214" s="829"/>
      <c r="X214" s="822" t="s">
        <v>1055</v>
      </c>
      <c r="Y214" s="828" t="s">
        <v>106</v>
      </c>
      <c r="Z214" s="1306">
        <v>2.5402</v>
      </c>
      <c r="AA214" s="831">
        <f t="shared" si="54"/>
        <v>629.9696</v>
      </c>
      <c r="AC214" s="632" t="s">
        <v>1056</v>
      </c>
      <c r="AD214" s="633" t="s">
        <v>207</v>
      </c>
      <c r="AE214" s="633" t="s">
        <v>82</v>
      </c>
      <c r="AF214" s="633"/>
      <c r="AG214" s="618" t="s">
        <v>74</v>
      </c>
      <c r="AH214" s="618"/>
      <c r="AI214" s="1308">
        <v>248</v>
      </c>
      <c r="AJ214" s="824">
        <f t="shared" si="40"/>
        <v>0</v>
      </c>
      <c r="AK214" s="633"/>
      <c r="AL214" s="633"/>
      <c r="AM214" s="633"/>
      <c r="AN214" s="825">
        <f t="shared" si="55"/>
        <v>248</v>
      </c>
      <c r="AO214" s="687"/>
      <c r="AP214" s="687"/>
      <c r="AQ214" s="687"/>
      <c r="AR214" s="825">
        <f>I214</f>
        <v>248</v>
      </c>
      <c r="AS214" s="687"/>
      <c r="AT214" s="687"/>
      <c r="AU214" s="825">
        <f t="shared" si="56"/>
        <v>248</v>
      </c>
      <c r="AV214" s="825"/>
      <c r="AW214" s="825">
        <f t="shared" si="57"/>
        <v>248</v>
      </c>
      <c r="AX214" s="825"/>
      <c r="AY214" s="1305"/>
      <c r="AZ214" s="1305"/>
      <c r="BA214" s="1305"/>
      <c r="BB214" s="1305"/>
      <c r="BC214" s="1305"/>
      <c r="BD214" s="1305"/>
      <c r="BE214" s="1305"/>
      <c r="BF214" s="1305"/>
      <c r="BG214" s="1305"/>
      <c r="BH214" s="1305"/>
      <c r="BI214" s="1305"/>
      <c r="BJ214" s="1305"/>
      <c r="BK214" s="1305"/>
      <c r="BL214" s="1305"/>
      <c r="BM214" s="1305"/>
      <c r="BN214" s="1305"/>
      <c r="BO214" s="1305"/>
      <c r="BP214" s="1305"/>
    </row>
    <row r="215" s="1265" customFormat="1" ht="31" customHeight="1" spans="1:68">
      <c r="A215" s="1304">
        <v>45814</v>
      </c>
      <c r="B215" s="822" t="s">
        <v>1057</v>
      </c>
      <c r="C215" s="633" t="s">
        <v>973</v>
      </c>
      <c r="D215" s="825">
        <v>4500169123</v>
      </c>
      <c r="E215" s="633">
        <v>4500061201</v>
      </c>
      <c r="F215" s="1305" t="s">
        <v>1058</v>
      </c>
      <c r="G215" s="659" t="s">
        <v>68</v>
      </c>
      <c r="H215" s="633" t="s">
        <v>69</v>
      </c>
      <c r="I215" s="633">
        <v>600</v>
      </c>
      <c r="J215" s="633">
        <v>0</v>
      </c>
      <c r="K215" s="633">
        <v>12</v>
      </c>
      <c r="L215" s="827">
        <f t="shared" si="53"/>
        <v>50</v>
      </c>
      <c r="M215" s="828">
        <v>45849</v>
      </c>
      <c r="N215" s="828">
        <v>45845</v>
      </c>
      <c r="O215" s="824"/>
      <c r="P215" s="824" t="s">
        <v>113</v>
      </c>
      <c r="Q215" s="633"/>
      <c r="R215" s="829">
        <v>45814</v>
      </c>
      <c r="S215" s="829" t="s">
        <v>70</v>
      </c>
      <c r="T215" s="829" t="s">
        <v>1059</v>
      </c>
      <c r="U215" s="829"/>
      <c r="V215" s="829"/>
      <c r="W215" s="829"/>
      <c r="X215" s="822" t="s">
        <v>1060</v>
      </c>
      <c r="Y215" s="828" t="s">
        <v>977</v>
      </c>
      <c r="Z215" s="1306">
        <v>4.1018</v>
      </c>
      <c r="AA215" s="831">
        <f t="shared" si="54"/>
        <v>2461.08</v>
      </c>
      <c r="AC215" s="1307" t="s">
        <v>1061</v>
      </c>
      <c r="AD215" s="633" t="s">
        <v>184</v>
      </c>
      <c r="AE215" s="633" t="s">
        <v>82</v>
      </c>
      <c r="AF215" s="633"/>
      <c r="AG215" s="618" t="s">
        <v>74</v>
      </c>
      <c r="AH215" s="618"/>
      <c r="AI215" s="1308">
        <f>588+12</f>
        <v>600</v>
      </c>
      <c r="AJ215" s="824">
        <f t="shared" si="40"/>
        <v>0</v>
      </c>
      <c r="AK215" s="633"/>
      <c r="AL215" s="633"/>
      <c r="AM215" s="633"/>
      <c r="AN215" s="825">
        <f t="shared" si="55"/>
        <v>600</v>
      </c>
      <c r="AO215" s="687"/>
      <c r="AP215" s="687"/>
      <c r="AQ215" s="687"/>
      <c r="AR215" s="825"/>
      <c r="AS215" s="687">
        <f>I215</f>
        <v>600</v>
      </c>
      <c r="AT215" s="687"/>
      <c r="AU215" s="825">
        <f t="shared" si="56"/>
        <v>600</v>
      </c>
      <c r="AV215" s="825"/>
      <c r="AW215" s="825">
        <f t="shared" si="57"/>
        <v>600</v>
      </c>
      <c r="AX215" s="825"/>
      <c r="AY215" s="1305"/>
      <c r="AZ215" s="1305"/>
      <c r="BA215" s="1305"/>
      <c r="BB215" s="1305"/>
      <c r="BC215" s="1305"/>
      <c r="BD215" s="1305"/>
      <c r="BE215" s="1305"/>
      <c r="BF215" s="1305"/>
      <c r="BG215" s="1305"/>
      <c r="BH215" s="1305"/>
      <c r="BI215" s="1305"/>
      <c r="BJ215" s="1305"/>
      <c r="BK215" s="1305"/>
      <c r="BL215" s="1305"/>
      <c r="BM215" s="1305"/>
      <c r="BN215" s="1305"/>
      <c r="BO215" s="1305"/>
      <c r="BP215" s="1305"/>
    </row>
    <row r="216" s="1265" customFormat="1" ht="31" customHeight="1" spans="1:68">
      <c r="A216" s="1304">
        <v>45771</v>
      </c>
      <c r="B216" s="822" t="s">
        <v>907</v>
      </c>
      <c r="C216" s="633" t="s">
        <v>170</v>
      </c>
      <c r="D216" s="825">
        <v>4500161406</v>
      </c>
      <c r="E216" s="1413" t="s">
        <v>1062</v>
      </c>
      <c r="F216" s="1305" t="s">
        <v>1063</v>
      </c>
      <c r="G216" s="659" t="s">
        <v>1064</v>
      </c>
      <c r="H216" s="633" t="s">
        <v>830</v>
      </c>
      <c r="I216" s="633">
        <v>24</v>
      </c>
      <c r="J216" s="633">
        <v>0</v>
      </c>
      <c r="K216" s="633">
        <v>1</v>
      </c>
      <c r="L216" s="827">
        <f t="shared" si="53"/>
        <v>24</v>
      </c>
      <c r="M216" s="828">
        <v>45850</v>
      </c>
      <c r="N216" s="828">
        <v>45846</v>
      </c>
      <c r="O216" s="824"/>
      <c r="P216" s="824" t="s">
        <v>113</v>
      </c>
      <c r="Q216" s="633"/>
      <c r="R216" s="829">
        <v>45790</v>
      </c>
      <c r="S216" s="829" t="s">
        <v>70</v>
      </c>
      <c r="T216" s="829" t="s">
        <v>70</v>
      </c>
      <c r="U216" s="829"/>
      <c r="V216" s="829"/>
      <c r="W216" s="829"/>
      <c r="X216" s="822" t="s">
        <v>1065</v>
      </c>
      <c r="Y216" s="828" t="s">
        <v>911</v>
      </c>
      <c r="Z216" s="1306">
        <v>0</v>
      </c>
      <c r="AA216" s="831">
        <v>0</v>
      </c>
      <c r="AB216" s="1265"/>
      <c r="AC216" s="632" t="s">
        <v>1066</v>
      </c>
      <c r="AD216" s="633" t="s">
        <v>1067</v>
      </c>
      <c r="AE216" s="633" t="s">
        <v>82</v>
      </c>
      <c r="AF216" s="633"/>
      <c r="AG216" s="618" t="s">
        <v>74</v>
      </c>
      <c r="AH216" s="618"/>
      <c r="AI216" s="1308">
        <v>0</v>
      </c>
      <c r="AJ216" s="824"/>
      <c r="AK216" s="633"/>
      <c r="AL216" s="633"/>
      <c r="AM216" s="633"/>
      <c r="AN216" s="825"/>
      <c r="AO216" s="687"/>
      <c r="AP216" s="687"/>
      <c r="AQ216" s="687"/>
      <c r="AR216" s="825"/>
      <c r="AS216" s="687"/>
      <c r="AT216" s="687"/>
      <c r="AU216" s="825"/>
      <c r="AV216" s="825"/>
      <c r="AW216" s="825"/>
      <c r="AX216" s="825"/>
      <c r="AY216" s="1305"/>
      <c r="AZ216" s="1305"/>
      <c r="BA216" s="1305"/>
      <c r="BB216" s="1305"/>
      <c r="BC216" s="1305"/>
      <c r="BD216" s="1305"/>
      <c r="BE216" s="1305"/>
      <c r="BF216" s="1305"/>
      <c r="BG216" s="1305"/>
      <c r="BH216" s="1305"/>
      <c r="BI216" s="1305"/>
      <c r="BJ216" s="1305"/>
      <c r="BK216" s="1305"/>
      <c r="BL216" s="1305"/>
      <c r="BM216" s="1305"/>
      <c r="BN216" s="1305"/>
      <c r="BO216" s="1305"/>
      <c r="BP216" s="1305"/>
    </row>
    <row r="217" s="1265" customFormat="1" ht="31" customHeight="1" spans="1:68">
      <c r="A217" s="1304">
        <v>45771</v>
      </c>
      <c r="B217" s="822" t="s">
        <v>907</v>
      </c>
      <c r="C217" s="633" t="s">
        <v>170</v>
      </c>
      <c r="D217" s="825">
        <v>4500161406</v>
      </c>
      <c r="E217" s="1413" t="s">
        <v>1062</v>
      </c>
      <c r="F217" s="1305" t="s">
        <v>1063</v>
      </c>
      <c r="G217" s="659" t="s">
        <v>515</v>
      </c>
      <c r="H217" s="633" t="s">
        <v>112</v>
      </c>
      <c r="I217" s="633">
        <v>2400</v>
      </c>
      <c r="J217" s="633">
        <v>0</v>
      </c>
      <c r="K217" s="633">
        <v>100</v>
      </c>
      <c r="L217" s="827">
        <f t="shared" si="53"/>
        <v>24</v>
      </c>
      <c r="M217" s="828">
        <v>45850</v>
      </c>
      <c r="N217" s="828">
        <v>45846</v>
      </c>
      <c r="O217" s="824"/>
      <c r="P217" s="824" t="s">
        <v>113</v>
      </c>
      <c r="Q217" s="633"/>
      <c r="R217" s="829">
        <v>45790</v>
      </c>
      <c r="S217" s="829" t="s">
        <v>70</v>
      </c>
      <c r="T217" s="829" t="s">
        <v>70</v>
      </c>
      <c r="U217" s="829"/>
      <c r="V217" s="829"/>
      <c r="W217" s="829"/>
      <c r="X217" s="822"/>
      <c r="Y217" s="828" t="s">
        <v>911</v>
      </c>
      <c r="Z217" s="1306">
        <v>1000</v>
      </c>
      <c r="AA217" s="831">
        <f>Z217*L217</f>
        <v>24000</v>
      </c>
      <c r="AC217" s="632" t="s">
        <v>1066</v>
      </c>
      <c r="AD217" s="633" t="s">
        <v>1067</v>
      </c>
      <c r="AE217" s="633" t="s">
        <v>82</v>
      </c>
      <c r="AF217" s="633"/>
      <c r="AG217" s="618" t="s">
        <v>74</v>
      </c>
      <c r="AH217" s="618"/>
      <c r="AI217" s="1308">
        <v>0</v>
      </c>
      <c r="AJ217" s="824"/>
      <c r="AK217" s="633"/>
      <c r="AL217" s="633"/>
      <c r="AM217" s="633"/>
      <c r="AN217" s="825"/>
      <c r="AO217" s="687">
        <f>I217</f>
        <v>2400</v>
      </c>
      <c r="AP217" s="687"/>
      <c r="AQ217" s="687"/>
      <c r="AR217" s="825"/>
      <c r="AS217" s="687"/>
      <c r="AT217" s="687"/>
      <c r="AU217" s="825"/>
      <c r="AV217" s="825"/>
      <c r="AW217" s="825"/>
      <c r="AX217" s="825"/>
      <c r="AY217" s="1305"/>
      <c r="AZ217" s="1305"/>
      <c r="BA217" s="1305">
        <f>I217</f>
        <v>2400</v>
      </c>
      <c r="BB217" s="1305">
        <f>I217</f>
        <v>2400</v>
      </c>
      <c r="BC217" s="1305">
        <f>I217</f>
        <v>2400</v>
      </c>
      <c r="BD217" s="1305"/>
      <c r="BE217" s="1305"/>
      <c r="BF217" s="1305"/>
      <c r="BG217" s="1305"/>
      <c r="BH217" s="1305"/>
      <c r="BI217" s="1305"/>
      <c r="BJ217" s="1305"/>
      <c r="BK217" s="1305">
        <f>I217</f>
        <v>2400</v>
      </c>
      <c r="BL217" s="1305">
        <f>I217/5</f>
        <v>480</v>
      </c>
      <c r="BM217" s="1305"/>
      <c r="BN217" s="1305"/>
      <c r="BO217" s="1305"/>
      <c r="BP217" s="1305"/>
    </row>
    <row r="218" s="1265" customFormat="1" ht="31" customHeight="1" spans="1:68">
      <c r="A218" s="1304">
        <v>45817</v>
      </c>
      <c r="B218" s="822" t="s">
        <v>143</v>
      </c>
      <c r="C218" s="633" t="s">
        <v>98</v>
      </c>
      <c r="D218" s="825">
        <v>4500169395</v>
      </c>
      <c r="E218" s="1413" t="s">
        <v>1068</v>
      </c>
      <c r="F218" s="1305" t="s">
        <v>1069</v>
      </c>
      <c r="G218" s="659" t="s">
        <v>101</v>
      </c>
      <c r="H218" s="633" t="s">
        <v>102</v>
      </c>
      <c r="I218" s="633">
        <v>1488</v>
      </c>
      <c r="J218" s="633">
        <v>0</v>
      </c>
      <c r="K218" s="633">
        <v>4</v>
      </c>
      <c r="L218" s="827">
        <f t="shared" si="53"/>
        <v>372</v>
      </c>
      <c r="M218" s="828">
        <v>45853</v>
      </c>
      <c r="N218" s="828">
        <f>M218-1</f>
        <v>45852</v>
      </c>
      <c r="O218" s="824" t="s">
        <v>1070</v>
      </c>
      <c r="P218" s="824" t="s">
        <v>113</v>
      </c>
      <c r="Q218" s="633"/>
      <c r="R218" s="829" t="s">
        <v>147</v>
      </c>
      <c r="S218" s="829" t="s">
        <v>70</v>
      </c>
      <c r="T218" s="829" t="s">
        <v>148</v>
      </c>
      <c r="U218" s="829"/>
      <c r="V218" s="774" t="s">
        <v>148</v>
      </c>
      <c r="W218" s="829"/>
      <c r="X218" s="822" t="s">
        <v>992</v>
      </c>
      <c r="Y218" s="828" t="s">
        <v>106</v>
      </c>
      <c r="Z218" s="1306">
        <v>2.58</v>
      </c>
      <c r="AA218" s="831">
        <f t="shared" ref="AA218:AA226" si="58">Z218*I218</f>
        <v>3839.04</v>
      </c>
      <c r="AC218" s="632" t="s">
        <v>1071</v>
      </c>
      <c r="AD218" s="633" t="s">
        <v>101</v>
      </c>
      <c r="AE218" s="633" t="s">
        <v>82</v>
      </c>
      <c r="AF218" s="633"/>
      <c r="AG218" s="618" t="s">
        <v>74</v>
      </c>
      <c r="AH218" s="618"/>
      <c r="AI218" s="1308">
        <v>1488</v>
      </c>
      <c r="AJ218" s="824">
        <f t="shared" si="40"/>
        <v>0</v>
      </c>
      <c r="AK218" s="633"/>
      <c r="AL218" s="633"/>
      <c r="AM218" s="633"/>
      <c r="AN218" s="825">
        <f t="shared" ref="AN218:AN226" si="59">I218</f>
        <v>1488</v>
      </c>
      <c r="AO218" s="687"/>
      <c r="AP218" s="687"/>
      <c r="AQ218" s="687"/>
      <c r="AR218" s="825">
        <f t="shared" ref="AR218:AR224" si="60">I218</f>
        <v>1488</v>
      </c>
      <c r="AS218" s="687"/>
      <c r="AT218" s="687"/>
      <c r="AU218" s="825">
        <f t="shared" ref="AU218:AU223" si="61">I218</f>
        <v>1488</v>
      </c>
      <c r="AV218" s="825"/>
      <c r="AW218" s="551">
        <f t="shared" ref="AW218:AW223" si="62">I218</f>
        <v>1488</v>
      </c>
      <c r="AX218" s="825"/>
      <c r="AY218" s="1305"/>
      <c r="AZ218" s="1305"/>
      <c r="BA218" s="1305"/>
      <c r="BB218" s="1305"/>
      <c r="BC218" s="1305"/>
      <c r="BD218" s="1305"/>
      <c r="BE218" s="1305"/>
      <c r="BF218" s="1305"/>
      <c r="BG218" s="1305"/>
      <c r="BH218" s="825">
        <f t="shared" ref="BH218:BH223" si="63">I218/4</f>
        <v>372</v>
      </c>
      <c r="BI218" s="1305"/>
      <c r="BJ218" s="1305"/>
      <c r="BK218" s="1305"/>
      <c r="BL218" s="1305"/>
      <c r="BM218" s="1305"/>
      <c r="BN218" s="1305"/>
      <c r="BO218" s="1305"/>
      <c r="BP218" s="1305"/>
    </row>
    <row r="219" s="1265" customFormat="1" ht="31" customHeight="1" spans="1:68">
      <c r="A219" s="1304">
        <v>45817</v>
      </c>
      <c r="B219" s="822" t="s">
        <v>143</v>
      </c>
      <c r="C219" s="633" t="s">
        <v>98</v>
      </c>
      <c r="D219" s="825">
        <v>4500169395</v>
      </c>
      <c r="E219" s="1413" t="s">
        <v>1072</v>
      </c>
      <c r="F219" s="1305" t="s">
        <v>1073</v>
      </c>
      <c r="G219" s="659" t="s">
        <v>101</v>
      </c>
      <c r="H219" s="633" t="s">
        <v>102</v>
      </c>
      <c r="I219" s="633">
        <v>1696</v>
      </c>
      <c r="J219" s="633">
        <v>0</v>
      </c>
      <c r="K219" s="633">
        <v>4</v>
      </c>
      <c r="L219" s="827">
        <f t="shared" si="53"/>
        <v>424</v>
      </c>
      <c r="M219" s="828">
        <v>45853</v>
      </c>
      <c r="N219" s="828">
        <f>M219-1</f>
        <v>45852</v>
      </c>
      <c r="O219" s="824" t="s">
        <v>1070</v>
      </c>
      <c r="P219" s="824" t="s">
        <v>113</v>
      </c>
      <c r="Q219" s="633"/>
      <c r="R219" s="829" t="s">
        <v>147</v>
      </c>
      <c r="S219" s="829" t="s">
        <v>70</v>
      </c>
      <c r="T219" s="829" t="s">
        <v>148</v>
      </c>
      <c r="U219" s="829"/>
      <c r="V219" s="774" t="s">
        <v>148</v>
      </c>
      <c r="W219" s="829"/>
      <c r="X219" s="822" t="s">
        <v>992</v>
      </c>
      <c r="Y219" s="828" t="s">
        <v>106</v>
      </c>
      <c r="Z219" s="1306">
        <v>2.58</v>
      </c>
      <c r="AA219" s="831">
        <f t="shared" si="58"/>
        <v>4375.68</v>
      </c>
      <c r="AC219" s="632" t="s">
        <v>1074</v>
      </c>
      <c r="AD219" s="633" t="s">
        <v>101</v>
      </c>
      <c r="AE219" s="633" t="s">
        <v>82</v>
      </c>
      <c r="AF219" s="633"/>
      <c r="AG219" s="618" t="s">
        <v>74</v>
      </c>
      <c r="AH219" s="618"/>
      <c r="AI219" s="1308">
        <v>1696</v>
      </c>
      <c r="AJ219" s="824">
        <f t="shared" si="40"/>
        <v>0</v>
      </c>
      <c r="AK219" s="633"/>
      <c r="AL219" s="633"/>
      <c r="AM219" s="633"/>
      <c r="AN219" s="825">
        <f t="shared" si="59"/>
        <v>1696</v>
      </c>
      <c r="AO219" s="687"/>
      <c r="AP219" s="687"/>
      <c r="AQ219" s="687"/>
      <c r="AR219" s="825">
        <f t="shared" si="60"/>
        <v>1696</v>
      </c>
      <c r="AS219" s="687"/>
      <c r="AT219" s="687"/>
      <c r="AU219" s="825">
        <f t="shared" si="61"/>
        <v>1696</v>
      </c>
      <c r="AV219" s="825"/>
      <c r="AW219" s="551">
        <f t="shared" si="62"/>
        <v>1696</v>
      </c>
      <c r="AX219" s="825"/>
      <c r="AY219" s="1305"/>
      <c r="AZ219" s="1305"/>
      <c r="BA219" s="1305"/>
      <c r="BB219" s="1305"/>
      <c r="BC219" s="1305"/>
      <c r="BD219" s="1305"/>
      <c r="BE219" s="1305"/>
      <c r="BF219" s="1305"/>
      <c r="BG219" s="1305"/>
      <c r="BH219" s="825">
        <f t="shared" si="63"/>
        <v>424</v>
      </c>
      <c r="BI219" s="1305"/>
      <c r="BJ219" s="1305"/>
      <c r="BK219" s="1305"/>
      <c r="BL219" s="1305"/>
      <c r="BM219" s="1305"/>
      <c r="BN219" s="1305"/>
      <c r="BO219" s="1305"/>
      <c r="BP219" s="1305"/>
    </row>
    <row r="220" s="1265" customFormat="1" ht="31" customHeight="1" spans="1:68">
      <c r="A220" s="1304">
        <v>45817</v>
      </c>
      <c r="B220" s="822" t="s">
        <v>143</v>
      </c>
      <c r="C220" s="633" t="s">
        <v>98</v>
      </c>
      <c r="D220" s="825">
        <v>4500169395</v>
      </c>
      <c r="E220" s="1413" t="s">
        <v>1075</v>
      </c>
      <c r="F220" s="1305" t="s">
        <v>1076</v>
      </c>
      <c r="G220" s="659" t="s">
        <v>101</v>
      </c>
      <c r="H220" s="633" t="s">
        <v>102</v>
      </c>
      <c r="I220" s="633">
        <v>1808</v>
      </c>
      <c r="J220" s="633">
        <v>0</v>
      </c>
      <c r="K220" s="633">
        <v>4</v>
      </c>
      <c r="L220" s="827">
        <f t="shared" si="53"/>
        <v>452</v>
      </c>
      <c r="M220" s="828">
        <v>45853</v>
      </c>
      <c r="N220" s="828">
        <f>M220-1</f>
        <v>45852</v>
      </c>
      <c r="O220" s="824" t="s">
        <v>1070</v>
      </c>
      <c r="P220" s="824" t="s">
        <v>113</v>
      </c>
      <c r="Q220" s="633"/>
      <c r="R220" s="829" t="s">
        <v>147</v>
      </c>
      <c r="S220" s="829" t="s">
        <v>70</v>
      </c>
      <c r="T220" s="829" t="s">
        <v>148</v>
      </c>
      <c r="U220" s="829"/>
      <c r="V220" s="774" t="s">
        <v>148</v>
      </c>
      <c r="W220" s="829"/>
      <c r="X220" s="822" t="s">
        <v>992</v>
      </c>
      <c r="Y220" s="828" t="s">
        <v>106</v>
      </c>
      <c r="Z220" s="1306">
        <v>2.58</v>
      </c>
      <c r="AA220" s="831">
        <f t="shared" si="58"/>
        <v>4664.64</v>
      </c>
      <c r="AC220" s="632" t="s">
        <v>1077</v>
      </c>
      <c r="AD220" s="633" t="s">
        <v>101</v>
      </c>
      <c r="AE220" s="633" t="s">
        <v>82</v>
      </c>
      <c r="AF220" s="633"/>
      <c r="AG220" s="618" t="s">
        <v>74</v>
      </c>
      <c r="AH220" s="618"/>
      <c r="AI220" s="1308">
        <v>1808</v>
      </c>
      <c r="AJ220" s="824">
        <f t="shared" si="40"/>
        <v>0</v>
      </c>
      <c r="AK220" s="633"/>
      <c r="AL220" s="633"/>
      <c r="AM220" s="633"/>
      <c r="AN220" s="825">
        <f t="shared" si="59"/>
        <v>1808</v>
      </c>
      <c r="AO220" s="687"/>
      <c r="AP220" s="687"/>
      <c r="AQ220" s="687"/>
      <c r="AR220" s="825">
        <f t="shared" si="60"/>
        <v>1808</v>
      </c>
      <c r="AS220" s="687"/>
      <c r="AT220" s="687"/>
      <c r="AU220" s="825">
        <f t="shared" si="61"/>
        <v>1808</v>
      </c>
      <c r="AV220" s="825"/>
      <c r="AW220" s="551">
        <f t="shared" si="62"/>
        <v>1808</v>
      </c>
      <c r="AX220" s="825"/>
      <c r="AY220" s="1305"/>
      <c r="AZ220" s="1305"/>
      <c r="BA220" s="1305"/>
      <c r="BB220" s="1305"/>
      <c r="BC220" s="1305"/>
      <c r="BD220" s="1305"/>
      <c r="BE220" s="1305"/>
      <c r="BF220" s="1305"/>
      <c r="BG220" s="1305"/>
      <c r="BH220" s="825">
        <f t="shared" si="63"/>
        <v>452</v>
      </c>
      <c r="BI220" s="1305"/>
      <c r="BJ220" s="1305"/>
      <c r="BK220" s="1305"/>
      <c r="BL220" s="1305"/>
      <c r="BM220" s="1305"/>
      <c r="BN220" s="1305"/>
      <c r="BO220" s="1305"/>
      <c r="BP220" s="1305"/>
    </row>
    <row r="221" s="1265" customFormat="1" ht="31" customHeight="1" spans="1:68">
      <c r="A221" s="1304">
        <v>45817</v>
      </c>
      <c r="B221" s="822" t="s">
        <v>143</v>
      </c>
      <c r="C221" s="633" t="s">
        <v>98</v>
      </c>
      <c r="D221" s="825">
        <v>4500169395</v>
      </c>
      <c r="E221" s="1413" t="s">
        <v>1078</v>
      </c>
      <c r="F221" s="1305" t="s">
        <v>1079</v>
      </c>
      <c r="G221" s="659" t="s">
        <v>101</v>
      </c>
      <c r="H221" s="633" t="s">
        <v>102</v>
      </c>
      <c r="I221" s="633">
        <v>1408</v>
      </c>
      <c r="J221" s="633">
        <v>0</v>
      </c>
      <c r="K221" s="633">
        <v>4</v>
      </c>
      <c r="L221" s="827">
        <f t="shared" si="53"/>
        <v>352</v>
      </c>
      <c r="M221" s="828">
        <v>45853</v>
      </c>
      <c r="N221" s="828">
        <f>M221-1</f>
        <v>45852</v>
      </c>
      <c r="O221" s="824" t="s">
        <v>1070</v>
      </c>
      <c r="P221" s="824" t="s">
        <v>113</v>
      </c>
      <c r="Q221" s="633"/>
      <c r="R221" s="829" t="s">
        <v>147</v>
      </c>
      <c r="S221" s="829" t="s">
        <v>70</v>
      </c>
      <c r="T221" s="829" t="s">
        <v>148</v>
      </c>
      <c r="U221" s="829"/>
      <c r="V221" s="774" t="s">
        <v>148</v>
      </c>
      <c r="W221" s="829"/>
      <c r="X221" s="822" t="s">
        <v>992</v>
      </c>
      <c r="Y221" s="828" t="s">
        <v>106</v>
      </c>
      <c r="Z221" s="1306">
        <v>2.58</v>
      </c>
      <c r="AA221" s="831">
        <f t="shared" si="58"/>
        <v>3632.64</v>
      </c>
      <c r="AC221" s="632" t="s">
        <v>1080</v>
      </c>
      <c r="AD221" s="633" t="s">
        <v>101</v>
      </c>
      <c r="AE221" s="633" t="s">
        <v>82</v>
      </c>
      <c r="AF221" s="633"/>
      <c r="AG221" s="618" t="s">
        <v>74</v>
      </c>
      <c r="AH221" s="618"/>
      <c r="AI221" s="1308">
        <v>1408</v>
      </c>
      <c r="AJ221" s="824">
        <f t="shared" si="40"/>
        <v>0</v>
      </c>
      <c r="AK221" s="633"/>
      <c r="AL221" s="633"/>
      <c r="AM221" s="633"/>
      <c r="AN221" s="825">
        <f t="shared" si="59"/>
        <v>1408</v>
      </c>
      <c r="AO221" s="687"/>
      <c r="AP221" s="687"/>
      <c r="AQ221" s="687"/>
      <c r="AR221" s="825">
        <f t="shared" si="60"/>
        <v>1408</v>
      </c>
      <c r="AS221" s="687"/>
      <c r="AT221" s="687"/>
      <c r="AU221" s="825">
        <f t="shared" si="61"/>
        <v>1408</v>
      </c>
      <c r="AV221" s="825"/>
      <c r="AW221" s="551">
        <f t="shared" si="62"/>
        <v>1408</v>
      </c>
      <c r="AX221" s="825"/>
      <c r="AY221" s="1305"/>
      <c r="AZ221" s="1305"/>
      <c r="BA221" s="1305"/>
      <c r="BB221" s="1305"/>
      <c r="BC221" s="1305"/>
      <c r="BD221" s="1305"/>
      <c r="BE221" s="1305"/>
      <c r="BF221" s="1305"/>
      <c r="BG221" s="1305"/>
      <c r="BH221" s="825">
        <f t="shared" si="63"/>
        <v>352</v>
      </c>
      <c r="BI221" s="1305"/>
      <c r="BJ221" s="1305"/>
      <c r="BK221" s="1305"/>
      <c r="BL221" s="1305"/>
      <c r="BM221" s="1305"/>
      <c r="BN221" s="1305"/>
      <c r="BO221" s="1305"/>
      <c r="BP221" s="1305"/>
    </row>
    <row r="222" s="1265" customFormat="1" ht="31" customHeight="1" spans="1:68">
      <c r="A222" s="1304">
        <v>45817</v>
      </c>
      <c r="B222" s="822" t="s">
        <v>143</v>
      </c>
      <c r="C222" s="633" t="s">
        <v>98</v>
      </c>
      <c r="D222" s="825">
        <v>4500169395</v>
      </c>
      <c r="E222" s="1413" t="s">
        <v>1081</v>
      </c>
      <c r="F222" s="1305" t="s">
        <v>1082</v>
      </c>
      <c r="G222" s="659" t="s">
        <v>101</v>
      </c>
      <c r="H222" s="633" t="s">
        <v>102</v>
      </c>
      <c r="I222" s="633">
        <v>1496</v>
      </c>
      <c r="J222" s="633">
        <v>0</v>
      </c>
      <c r="K222" s="633">
        <v>4</v>
      </c>
      <c r="L222" s="827">
        <f t="shared" si="53"/>
        <v>374</v>
      </c>
      <c r="M222" s="828">
        <v>45853</v>
      </c>
      <c r="N222" s="828">
        <f>M222-1</f>
        <v>45852</v>
      </c>
      <c r="O222" s="824" t="s">
        <v>1070</v>
      </c>
      <c r="P222" s="824" t="s">
        <v>113</v>
      </c>
      <c r="Q222" s="633"/>
      <c r="R222" s="829" t="s">
        <v>147</v>
      </c>
      <c r="S222" s="829" t="s">
        <v>70</v>
      </c>
      <c r="T222" s="829" t="s">
        <v>148</v>
      </c>
      <c r="U222" s="829"/>
      <c r="V222" s="774" t="s">
        <v>148</v>
      </c>
      <c r="W222" s="829"/>
      <c r="X222" s="822" t="s">
        <v>992</v>
      </c>
      <c r="Y222" s="828" t="s">
        <v>106</v>
      </c>
      <c r="Z222" s="1306">
        <v>2.58</v>
      </c>
      <c r="AA222" s="831">
        <f t="shared" si="58"/>
        <v>3859.68</v>
      </c>
      <c r="AC222" s="632" t="s">
        <v>1083</v>
      </c>
      <c r="AD222" s="633" t="s">
        <v>101</v>
      </c>
      <c r="AE222" s="633" t="s">
        <v>82</v>
      </c>
      <c r="AF222" s="633"/>
      <c r="AG222" s="618" t="s">
        <v>74</v>
      </c>
      <c r="AH222" s="618"/>
      <c r="AI222" s="1308">
        <v>1496</v>
      </c>
      <c r="AJ222" s="824">
        <f t="shared" si="40"/>
        <v>0</v>
      </c>
      <c r="AK222" s="633"/>
      <c r="AL222" s="633"/>
      <c r="AM222" s="633"/>
      <c r="AN222" s="825">
        <f t="shared" si="59"/>
        <v>1496</v>
      </c>
      <c r="AO222" s="687"/>
      <c r="AP222" s="687"/>
      <c r="AQ222" s="687"/>
      <c r="AR222" s="825">
        <f t="shared" si="60"/>
        <v>1496</v>
      </c>
      <c r="AS222" s="687"/>
      <c r="AT222" s="687"/>
      <c r="AU222" s="825">
        <f t="shared" si="61"/>
        <v>1496</v>
      </c>
      <c r="AV222" s="825"/>
      <c r="AW222" s="551">
        <f t="shared" si="62"/>
        <v>1496</v>
      </c>
      <c r="AX222" s="825"/>
      <c r="AY222" s="1305"/>
      <c r="AZ222" s="1305"/>
      <c r="BA222" s="1305"/>
      <c r="BB222" s="1305"/>
      <c r="BC222" s="1305"/>
      <c r="BD222" s="1305"/>
      <c r="BE222" s="1305"/>
      <c r="BF222" s="1305"/>
      <c r="BG222" s="1305"/>
      <c r="BH222" s="825">
        <f t="shared" si="63"/>
        <v>374</v>
      </c>
      <c r="BI222" s="1305"/>
      <c r="BJ222" s="1305"/>
      <c r="BK222" s="1305"/>
      <c r="BL222" s="1305"/>
      <c r="BM222" s="1305"/>
      <c r="BN222" s="1305"/>
      <c r="BO222" s="1305"/>
      <c r="BP222" s="1305"/>
    </row>
    <row r="223" s="1265" customFormat="1" ht="31" customHeight="1" spans="1:68">
      <c r="A223" s="1304">
        <v>45814</v>
      </c>
      <c r="B223" s="822" t="s">
        <v>277</v>
      </c>
      <c r="C223" s="633" t="s">
        <v>278</v>
      </c>
      <c r="D223" s="825">
        <v>4500159839</v>
      </c>
      <c r="E223" s="633">
        <v>14552407</v>
      </c>
      <c r="F223" s="1305" t="s">
        <v>1084</v>
      </c>
      <c r="G223" s="659" t="s">
        <v>280</v>
      </c>
      <c r="H223" s="633" t="s">
        <v>281</v>
      </c>
      <c r="I223" s="633">
        <v>1344</v>
      </c>
      <c r="J223" s="633">
        <v>4</v>
      </c>
      <c r="K223" s="633">
        <v>16</v>
      </c>
      <c r="L223" s="827">
        <f t="shared" si="53"/>
        <v>84</v>
      </c>
      <c r="M223" s="828">
        <v>45854</v>
      </c>
      <c r="N223" s="828">
        <v>45850</v>
      </c>
      <c r="O223" s="824"/>
      <c r="P223" s="824" t="s">
        <v>113</v>
      </c>
      <c r="Q223" s="633"/>
      <c r="R223" s="829">
        <v>45827</v>
      </c>
      <c r="S223" s="829" t="s">
        <v>70</v>
      </c>
      <c r="T223" s="829" t="s">
        <v>1085</v>
      </c>
      <c r="U223" s="829"/>
      <c r="V223" s="829" t="s">
        <v>1086</v>
      </c>
      <c r="W223" s="829"/>
      <c r="X223" s="822" t="s">
        <v>1087</v>
      </c>
      <c r="Y223" s="828" t="s">
        <v>283</v>
      </c>
      <c r="Z223" s="1306">
        <v>4.3217</v>
      </c>
      <c r="AA223" s="831">
        <f t="shared" si="58"/>
        <v>5808.3648</v>
      </c>
      <c r="AC223" s="632" t="s">
        <v>1088</v>
      </c>
      <c r="AD223" s="633" t="s">
        <v>280</v>
      </c>
      <c r="AE223" s="633" t="s">
        <v>82</v>
      </c>
      <c r="AF223" s="633"/>
      <c r="AG223" s="618" t="s">
        <v>74</v>
      </c>
      <c r="AH223" s="618"/>
      <c r="AI223" s="1308">
        <v>1344</v>
      </c>
      <c r="AJ223" s="824">
        <f t="shared" si="40"/>
        <v>0</v>
      </c>
      <c r="AK223" s="633"/>
      <c r="AL223" s="633"/>
      <c r="AM223" s="633"/>
      <c r="AN223" s="1316">
        <f t="shared" si="59"/>
        <v>1344</v>
      </c>
      <c r="AO223" s="687"/>
      <c r="AP223" s="687"/>
      <c r="AQ223" s="687"/>
      <c r="AR223" s="825">
        <f t="shared" si="60"/>
        <v>1344</v>
      </c>
      <c r="AS223" s="687"/>
      <c r="AT223" s="687"/>
      <c r="AU223" s="825">
        <f t="shared" si="61"/>
        <v>1344</v>
      </c>
      <c r="AV223" s="825"/>
      <c r="AW223" s="825">
        <f t="shared" si="62"/>
        <v>1344</v>
      </c>
      <c r="AX223" s="825"/>
      <c r="AY223" s="1305"/>
      <c r="AZ223" s="1305"/>
      <c r="BA223" s="1305"/>
      <c r="BB223" s="1305"/>
      <c r="BC223" s="1305"/>
      <c r="BD223" s="1305"/>
      <c r="BE223" s="1305"/>
      <c r="BF223" s="1305"/>
      <c r="BG223" s="1305"/>
      <c r="BH223" s="825">
        <f t="shared" si="63"/>
        <v>336</v>
      </c>
      <c r="BI223" s="1305"/>
      <c r="BJ223" s="1305"/>
      <c r="BK223" s="1305"/>
      <c r="BL223" s="1305"/>
      <c r="BM223" s="1305"/>
      <c r="BN223" s="1305"/>
      <c r="BO223" s="1305"/>
      <c r="BP223" s="1305"/>
    </row>
    <row r="224" s="1265" customFormat="1" ht="31" customHeight="1" spans="1:68">
      <c r="A224" s="1304">
        <v>45768</v>
      </c>
      <c r="B224" s="822" t="s">
        <v>827</v>
      </c>
      <c r="C224" s="633" t="s">
        <v>524</v>
      </c>
      <c r="D224" s="825">
        <v>4500164465</v>
      </c>
      <c r="E224" s="633">
        <v>7950403010</v>
      </c>
      <c r="F224" s="1305" t="s">
        <v>1089</v>
      </c>
      <c r="G224" s="659" t="s">
        <v>829</v>
      </c>
      <c r="H224" s="633" t="s">
        <v>830</v>
      </c>
      <c r="I224" s="633">
        <v>64</v>
      </c>
      <c r="J224" s="633">
        <v>0</v>
      </c>
      <c r="K224" s="633">
        <v>1</v>
      </c>
      <c r="L224" s="827">
        <f t="shared" si="53"/>
        <v>64</v>
      </c>
      <c r="M224" s="828">
        <v>45835</v>
      </c>
      <c r="N224" s="828">
        <v>45838</v>
      </c>
      <c r="O224" s="824"/>
      <c r="P224" s="824" t="s">
        <v>113</v>
      </c>
      <c r="Q224" s="633"/>
      <c r="R224" s="829">
        <v>45792</v>
      </c>
      <c r="S224" s="829" t="s">
        <v>70</v>
      </c>
      <c r="T224" s="829">
        <v>45807</v>
      </c>
      <c r="U224" s="829"/>
      <c r="V224" s="829"/>
      <c r="W224" s="829"/>
      <c r="X224" s="628" t="s">
        <v>1090</v>
      </c>
      <c r="Y224" s="828" t="s">
        <v>529</v>
      </c>
      <c r="Z224" s="1306">
        <v>0</v>
      </c>
      <c r="AA224" s="831">
        <v>0</v>
      </c>
      <c r="AB224" s="1265"/>
      <c r="AC224" s="632" t="s">
        <v>1091</v>
      </c>
      <c r="AD224" s="633" t="s">
        <v>829</v>
      </c>
      <c r="AE224" s="633" t="s">
        <v>82</v>
      </c>
      <c r="AF224" s="633"/>
      <c r="AG224" s="618" t="s">
        <v>74</v>
      </c>
      <c r="AH224" s="618"/>
      <c r="AI224" s="1308">
        <v>4800</v>
      </c>
      <c r="AJ224" s="824">
        <f>AI224-I225</f>
        <v>0</v>
      </c>
      <c r="AK224" s="633"/>
      <c r="AL224" s="633"/>
      <c r="AM224" s="633"/>
      <c r="AN224" s="825"/>
      <c r="AO224" s="687"/>
      <c r="AP224" s="687"/>
      <c r="AQ224" s="687"/>
      <c r="AR224" s="825"/>
      <c r="AS224" s="687"/>
      <c r="AT224" s="687"/>
      <c r="AU224" s="825"/>
      <c r="AV224" s="825"/>
      <c r="AW224" s="825"/>
      <c r="AX224" s="825"/>
      <c r="AY224" s="1305"/>
      <c r="AZ224" s="1305"/>
      <c r="BA224" s="1305"/>
      <c r="BB224" s="1305"/>
      <c r="BC224" s="1305"/>
      <c r="BD224" s="1305"/>
      <c r="BE224" s="1305"/>
      <c r="BF224" s="1305"/>
      <c r="BG224" s="1305"/>
      <c r="BH224" s="1305"/>
      <c r="BI224" s="1305"/>
      <c r="BJ224" s="1305"/>
      <c r="BK224" s="1305"/>
      <c r="BL224" s="1305"/>
      <c r="BM224" s="1305"/>
      <c r="BN224" s="1305"/>
      <c r="BO224" s="1305"/>
      <c r="BP224" s="1305"/>
    </row>
    <row r="225" s="1265" customFormat="1" ht="31" customHeight="1" spans="1:68">
      <c r="A225" s="1304">
        <v>45771</v>
      </c>
      <c r="B225" s="822" t="s">
        <v>827</v>
      </c>
      <c r="C225" s="633" t="s">
        <v>524</v>
      </c>
      <c r="D225" s="825">
        <v>4500164465</v>
      </c>
      <c r="E225" s="633">
        <v>7950403010</v>
      </c>
      <c r="F225" s="1305" t="s">
        <v>1089</v>
      </c>
      <c r="G225" s="659" t="s">
        <v>515</v>
      </c>
      <c r="H225" s="633" t="s">
        <v>112</v>
      </c>
      <c r="I225" s="633">
        <v>4800</v>
      </c>
      <c r="J225" s="633">
        <v>0</v>
      </c>
      <c r="K225" s="633">
        <v>75</v>
      </c>
      <c r="L225" s="827">
        <f t="shared" si="53"/>
        <v>64</v>
      </c>
      <c r="M225" s="828">
        <v>45835</v>
      </c>
      <c r="N225" s="828">
        <v>45838</v>
      </c>
      <c r="O225" s="824"/>
      <c r="P225" s="824" t="s">
        <v>113</v>
      </c>
      <c r="Q225" s="633"/>
      <c r="R225" s="829">
        <v>45792</v>
      </c>
      <c r="S225" s="829" t="s">
        <v>70</v>
      </c>
      <c r="T225" s="829">
        <v>45807</v>
      </c>
      <c r="U225" s="829"/>
      <c r="V225" s="829"/>
      <c r="W225" s="829"/>
      <c r="X225" s="822"/>
      <c r="Y225" s="828" t="s">
        <v>529</v>
      </c>
      <c r="Z225" s="1306">
        <v>755</v>
      </c>
      <c r="AA225" s="831">
        <f>Z225*L225</f>
        <v>48320</v>
      </c>
      <c r="AC225" s="632" t="s">
        <v>1091</v>
      </c>
      <c r="AD225" s="633" t="s">
        <v>829</v>
      </c>
      <c r="AE225" s="633" t="s">
        <v>82</v>
      </c>
      <c r="AF225" s="633"/>
      <c r="AG225" s="618" t="s">
        <v>74</v>
      </c>
      <c r="AH225" s="618"/>
      <c r="AI225" s="1308">
        <v>0</v>
      </c>
      <c r="AJ225" s="824">
        <v>0</v>
      </c>
      <c r="AK225" s="633"/>
      <c r="AL225" s="633"/>
      <c r="AM225" s="633"/>
      <c r="AN225" s="825"/>
      <c r="AO225" s="687"/>
      <c r="AP225" s="687"/>
      <c r="AQ225" s="687">
        <f>I225</f>
        <v>4800</v>
      </c>
      <c r="AR225" s="825"/>
      <c r="AS225" s="687"/>
      <c r="AT225" s="687"/>
      <c r="AU225" s="825"/>
      <c r="AV225" s="825"/>
      <c r="AW225" s="825"/>
      <c r="AX225" s="825"/>
      <c r="AY225" s="1305"/>
      <c r="AZ225" s="1305"/>
      <c r="BA225" s="1305">
        <f>I225</f>
        <v>4800</v>
      </c>
      <c r="BB225" s="1305">
        <f>I225</f>
        <v>4800</v>
      </c>
      <c r="BC225" s="1305">
        <f>I225</f>
        <v>4800</v>
      </c>
      <c r="BD225" s="1305"/>
      <c r="BE225" s="1305"/>
      <c r="BF225" s="1305"/>
      <c r="BG225" s="1305"/>
      <c r="BH225" s="1305"/>
      <c r="BI225" s="1305"/>
      <c r="BJ225" s="1305"/>
      <c r="BK225" s="1305">
        <f>I225</f>
        <v>4800</v>
      </c>
      <c r="BL225" s="1305">
        <f>I225/5</f>
        <v>960</v>
      </c>
      <c r="BM225" s="1305"/>
      <c r="BN225" s="1305"/>
      <c r="BO225" s="1305"/>
      <c r="BP225" s="1305"/>
    </row>
    <row r="226" s="1265" customFormat="1" ht="31" customHeight="1" spans="1:68">
      <c r="A226" s="1304">
        <v>45800</v>
      </c>
      <c r="B226" s="822" t="s">
        <v>312</v>
      </c>
      <c r="C226" s="633" t="s">
        <v>278</v>
      </c>
      <c r="D226" s="825">
        <v>4500167693</v>
      </c>
      <c r="E226" s="633" t="s">
        <v>1092</v>
      </c>
      <c r="F226" s="1305" t="s">
        <v>1093</v>
      </c>
      <c r="G226" s="659" t="s">
        <v>111</v>
      </c>
      <c r="H226" s="633" t="s">
        <v>112</v>
      </c>
      <c r="I226" s="633">
        <v>2560</v>
      </c>
      <c r="J226" s="633">
        <v>0</v>
      </c>
      <c r="K226" s="633">
        <v>16</v>
      </c>
      <c r="L226" s="827">
        <f t="shared" si="53"/>
        <v>160</v>
      </c>
      <c r="M226" s="828">
        <v>45849</v>
      </c>
      <c r="N226" s="828">
        <v>45849</v>
      </c>
      <c r="O226" s="824"/>
      <c r="P226" s="824" t="s">
        <v>113</v>
      </c>
      <c r="Q226" s="633"/>
      <c r="R226" s="829">
        <v>45800</v>
      </c>
      <c r="S226" s="829" t="s">
        <v>70</v>
      </c>
      <c r="T226" s="829" t="s">
        <v>70</v>
      </c>
      <c r="U226" s="829"/>
      <c r="V226" s="829"/>
      <c r="W226" s="829" t="s">
        <v>1094</v>
      </c>
      <c r="X226" s="822" t="s">
        <v>1095</v>
      </c>
      <c r="Y226" s="828" t="s">
        <v>317</v>
      </c>
      <c r="Z226" s="1306">
        <v>4.2542</v>
      </c>
      <c r="AA226" s="831">
        <f>Z226*I226</f>
        <v>10890.752</v>
      </c>
      <c r="AC226" s="617" t="s">
        <v>1096</v>
      </c>
      <c r="AD226" s="633" t="s">
        <v>111</v>
      </c>
      <c r="AE226" s="633" t="s">
        <v>82</v>
      </c>
      <c r="AF226" s="633"/>
      <c r="AG226" s="618" t="s">
        <v>74</v>
      </c>
      <c r="AH226" s="618"/>
      <c r="AI226" s="1308">
        <v>2560</v>
      </c>
      <c r="AJ226" s="824">
        <f>AI226-I226</f>
        <v>0</v>
      </c>
      <c r="AK226" s="633"/>
      <c r="AL226" s="633"/>
      <c r="AM226" s="633"/>
      <c r="AN226" s="825">
        <f>I226</f>
        <v>2560</v>
      </c>
      <c r="AO226" s="687"/>
      <c r="AP226" s="687"/>
      <c r="AQ226" s="687"/>
      <c r="AR226" s="825">
        <f>I226</f>
        <v>2560</v>
      </c>
      <c r="AS226" s="687"/>
      <c r="AT226" s="687"/>
      <c r="AU226" s="825">
        <f>I226</f>
        <v>2560</v>
      </c>
      <c r="AV226" s="825"/>
      <c r="AW226" s="551">
        <f>I226</f>
        <v>2560</v>
      </c>
      <c r="AX226" s="825"/>
      <c r="AY226" s="1305"/>
      <c r="AZ226" s="1305"/>
      <c r="BA226" s="1305"/>
      <c r="BB226" s="1305"/>
      <c r="BC226" s="1305"/>
      <c r="BD226" s="1305"/>
      <c r="BE226" s="1305"/>
      <c r="BF226" s="1305"/>
      <c r="BG226" s="1305"/>
      <c r="BH226" s="825">
        <f>I226/4</f>
        <v>640</v>
      </c>
      <c r="BI226" s="1305"/>
      <c r="BJ226" s="1305"/>
      <c r="BK226" s="1305"/>
      <c r="BL226" s="1305"/>
      <c r="BM226" s="1305"/>
      <c r="BN226" s="1305"/>
      <c r="BO226" s="1305"/>
      <c r="BP226" s="1305"/>
    </row>
    <row r="227" s="1265" customFormat="1" ht="31" customHeight="1" spans="1:68">
      <c r="A227" s="1304">
        <v>45771</v>
      </c>
      <c r="B227" s="822" t="s">
        <v>907</v>
      </c>
      <c r="C227" s="633" t="s">
        <v>170</v>
      </c>
      <c r="D227" s="825">
        <v>4500161402</v>
      </c>
      <c r="E227" s="1413" t="s">
        <v>1097</v>
      </c>
      <c r="F227" s="1305" t="s">
        <v>1098</v>
      </c>
      <c r="G227" s="659" t="s">
        <v>909</v>
      </c>
      <c r="H227" s="633" t="s">
        <v>830</v>
      </c>
      <c r="I227" s="633">
        <v>72</v>
      </c>
      <c r="J227" s="633">
        <v>0</v>
      </c>
      <c r="K227" s="633">
        <v>1</v>
      </c>
      <c r="L227" s="827">
        <f t="shared" si="53"/>
        <v>72</v>
      </c>
      <c r="M227" s="828">
        <v>45853</v>
      </c>
      <c r="N227" s="828">
        <v>45849</v>
      </c>
      <c r="O227" s="824"/>
      <c r="P227" s="824" t="s">
        <v>113</v>
      </c>
      <c r="Q227" s="633"/>
      <c r="R227" s="829">
        <v>45790</v>
      </c>
      <c r="S227" s="829" t="s">
        <v>70</v>
      </c>
      <c r="T227" s="829" t="s">
        <v>70</v>
      </c>
      <c r="U227" s="829"/>
      <c r="V227" s="829"/>
      <c r="W227" s="829"/>
      <c r="X227" s="822" t="s">
        <v>910</v>
      </c>
      <c r="Y227" s="828" t="s">
        <v>911</v>
      </c>
      <c r="Z227" s="1306">
        <v>0</v>
      </c>
      <c r="AA227" s="831">
        <v>0</v>
      </c>
      <c r="AB227" s="1265"/>
      <c r="AC227" s="632" t="s">
        <v>1099</v>
      </c>
      <c r="AD227" s="633" t="s">
        <v>909</v>
      </c>
      <c r="AE227" s="633" t="s">
        <v>82</v>
      </c>
      <c r="AF227" s="633"/>
      <c r="AG227" s="618" t="s">
        <v>74</v>
      </c>
      <c r="AH227" s="618"/>
      <c r="AI227" s="1308">
        <v>5400</v>
      </c>
      <c r="AJ227" s="824">
        <v>0</v>
      </c>
      <c r="AK227" s="633"/>
      <c r="AL227" s="633"/>
      <c r="AM227" s="633"/>
      <c r="AN227" s="825"/>
      <c r="AO227" s="687"/>
      <c r="AP227" s="687"/>
      <c r="AQ227" s="687"/>
      <c r="AR227" s="825"/>
      <c r="AS227" s="687"/>
      <c r="AT227" s="687"/>
      <c r="AU227" s="825"/>
      <c r="AV227" s="825"/>
      <c r="AW227" s="825"/>
      <c r="AX227" s="825"/>
      <c r="AY227" s="1305"/>
      <c r="AZ227" s="1305"/>
      <c r="BA227" s="1305"/>
      <c r="BB227" s="1305"/>
      <c r="BC227" s="1305"/>
      <c r="BD227" s="1305"/>
      <c r="BE227" s="1305"/>
      <c r="BF227" s="1305"/>
      <c r="BG227" s="1305"/>
      <c r="BH227" s="1305"/>
      <c r="BI227" s="1305"/>
      <c r="BJ227" s="1305"/>
      <c r="BK227" s="1305"/>
      <c r="BL227" s="1305"/>
      <c r="BM227" s="1305"/>
      <c r="BN227" s="1305"/>
      <c r="BO227" s="1305"/>
      <c r="BP227" s="1305"/>
    </row>
    <row r="228" s="1265" customFormat="1" ht="31" customHeight="1" spans="1:68">
      <c r="A228" s="1304">
        <v>45771</v>
      </c>
      <c r="B228" s="822" t="s">
        <v>907</v>
      </c>
      <c r="C228" s="633" t="s">
        <v>170</v>
      </c>
      <c r="D228" s="825">
        <v>4500161402</v>
      </c>
      <c r="E228" s="1413" t="s">
        <v>1097</v>
      </c>
      <c r="F228" s="1305" t="s">
        <v>1098</v>
      </c>
      <c r="G228" s="659" t="s">
        <v>515</v>
      </c>
      <c r="H228" s="633" t="s">
        <v>112</v>
      </c>
      <c r="I228" s="633">
        <v>5400</v>
      </c>
      <c r="J228" s="633">
        <v>0</v>
      </c>
      <c r="K228" s="633">
        <v>75</v>
      </c>
      <c r="L228" s="827">
        <f t="shared" si="53"/>
        <v>72</v>
      </c>
      <c r="M228" s="828">
        <v>45853</v>
      </c>
      <c r="N228" s="828">
        <v>45849</v>
      </c>
      <c r="O228" s="824"/>
      <c r="P228" s="824" t="s">
        <v>113</v>
      </c>
      <c r="Q228" s="633"/>
      <c r="R228" s="829">
        <v>45790</v>
      </c>
      <c r="S228" s="829" t="s">
        <v>70</v>
      </c>
      <c r="T228" s="829" t="s">
        <v>70</v>
      </c>
      <c r="U228" s="829"/>
      <c r="V228" s="829"/>
      <c r="W228" s="829"/>
      <c r="X228" s="822" t="s">
        <v>910</v>
      </c>
      <c r="Y228" s="828" t="s">
        <v>911</v>
      </c>
      <c r="Z228" s="1306">
        <v>762.5</v>
      </c>
      <c r="AA228" s="831">
        <f>Z228*L228</f>
        <v>54900</v>
      </c>
      <c r="AC228" s="632" t="s">
        <v>1099</v>
      </c>
      <c r="AD228" s="633" t="s">
        <v>909</v>
      </c>
      <c r="AE228" s="633" t="s">
        <v>82</v>
      </c>
      <c r="AF228" s="633"/>
      <c r="AG228" s="618" t="s">
        <v>74</v>
      </c>
      <c r="AH228" s="618"/>
      <c r="AI228" s="1308">
        <v>0</v>
      </c>
      <c r="AJ228" s="824">
        <v>0</v>
      </c>
      <c r="AK228" s="633"/>
      <c r="AL228" s="633"/>
      <c r="AM228" s="633"/>
      <c r="AN228" s="825"/>
      <c r="AO228" s="687">
        <f>I228</f>
        <v>5400</v>
      </c>
      <c r="AP228" s="687"/>
      <c r="AQ228" s="687"/>
      <c r="AR228" s="825"/>
      <c r="AS228" s="687"/>
      <c r="AT228" s="687"/>
      <c r="AU228" s="825"/>
      <c r="AV228" s="825"/>
      <c r="AW228" s="825"/>
      <c r="AX228" s="825"/>
      <c r="AY228" s="1305"/>
      <c r="AZ228" s="1305"/>
      <c r="BA228" s="1305">
        <f>I228</f>
        <v>5400</v>
      </c>
      <c r="BB228" s="1305">
        <f>I228</f>
        <v>5400</v>
      </c>
      <c r="BC228" s="1305">
        <f>I228</f>
        <v>5400</v>
      </c>
      <c r="BD228" s="1305"/>
      <c r="BE228" s="1305"/>
      <c r="BF228" s="1305"/>
      <c r="BG228" s="1305"/>
      <c r="BH228" s="1305"/>
      <c r="BI228" s="1305"/>
      <c r="BJ228" s="1305"/>
      <c r="BK228" s="1305">
        <f>I228</f>
        <v>5400</v>
      </c>
      <c r="BL228" s="1305">
        <f>I228/5</f>
        <v>1080</v>
      </c>
      <c r="BM228" s="1305"/>
      <c r="BN228" s="1305"/>
      <c r="BO228" s="1305"/>
      <c r="BP228" s="1305"/>
    </row>
    <row r="229" s="1265" customFormat="1" ht="31" customHeight="1" spans="1:68">
      <c r="A229" s="1304">
        <v>45783</v>
      </c>
      <c r="B229" s="822" t="s">
        <v>1100</v>
      </c>
      <c r="C229" s="633" t="s">
        <v>1101</v>
      </c>
      <c r="D229" s="825">
        <v>4500165563</v>
      </c>
      <c r="E229" s="1413" t="s">
        <v>1102</v>
      </c>
      <c r="F229" s="1305" t="s">
        <v>1103</v>
      </c>
      <c r="G229" s="659" t="s">
        <v>68</v>
      </c>
      <c r="H229" s="633" t="s">
        <v>69</v>
      </c>
      <c r="I229" s="633">
        <v>2652</v>
      </c>
      <c r="J229" s="633">
        <v>0</v>
      </c>
      <c r="K229" s="633">
        <v>12</v>
      </c>
      <c r="L229" s="827">
        <f t="shared" si="53"/>
        <v>221</v>
      </c>
      <c r="M229" s="828">
        <v>45874</v>
      </c>
      <c r="N229" s="828">
        <v>45870</v>
      </c>
      <c r="O229" s="824"/>
      <c r="P229" s="824" t="s">
        <v>113</v>
      </c>
      <c r="Q229" s="633"/>
      <c r="R229" s="829">
        <v>45806</v>
      </c>
      <c r="S229" s="829" t="s">
        <v>70</v>
      </c>
      <c r="T229" s="829">
        <v>45806</v>
      </c>
      <c r="U229" s="829"/>
      <c r="V229" s="829" t="s">
        <v>1104</v>
      </c>
      <c r="W229" s="829"/>
      <c r="X229" s="628" t="s">
        <v>1105</v>
      </c>
      <c r="Y229" s="828" t="s">
        <v>1106</v>
      </c>
      <c r="Z229" s="1306">
        <v>4.1456</v>
      </c>
      <c r="AA229" s="831">
        <f>Z229*I229</f>
        <v>10994.1312</v>
      </c>
      <c r="AC229" s="1307" t="s">
        <v>1107</v>
      </c>
      <c r="AD229" s="633" t="s">
        <v>184</v>
      </c>
      <c r="AE229" s="633" t="s">
        <v>82</v>
      </c>
      <c r="AF229" s="633"/>
      <c r="AG229" s="618" t="s">
        <v>74</v>
      </c>
      <c r="AH229" s="618"/>
      <c r="AI229" s="1308">
        <v>2652</v>
      </c>
      <c r="AJ229" s="824">
        <f>AI229-I229</f>
        <v>0</v>
      </c>
      <c r="AK229" s="633"/>
      <c r="AL229" s="633"/>
      <c r="AM229" s="633"/>
      <c r="AN229" s="825">
        <f>I229</f>
        <v>2652</v>
      </c>
      <c r="AO229" s="687"/>
      <c r="AP229" s="687"/>
      <c r="AQ229" s="687"/>
      <c r="AR229" s="825"/>
      <c r="AS229" s="687">
        <f>I229</f>
        <v>2652</v>
      </c>
      <c r="AT229" s="687"/>
      <c r="AU229" s="825">
        <f t="shared" ref="AU229:AU256" si="64">I229</f>
        <v>2652</v>
      </c>
      <c r="AV229" s="825"/>
      <c r="AW229" s="825">
        <f>I229</f>
        <v>2652</v>
      </c>
      <c r="AX229" s="825"/>
      <c r="AY229" s="1305"/>
      <c r="AZ229" s="1305"/>
      <c r="BA229" s="1305"/>
      <c r="BB229" s="1305"/>
      <c r="BC229" s="1305"/>
      <c r="BD229" s="1305"/>
      <c r="BE229" s="1305"/>
      <c r="BF229" s="1305"/>
      <c r="BG229" s="1305"/>
      <c r="BH229" s="1305"/>
      <c r="BI229" s="1305"/>
      <c r="BJ229" s="1305"/>
      <c r="BK229" s="1305"/>
      <c r="BL229" s="1305"/>
      <c r="BM229" s="1305"/>
      <c r="BN229" s="1305"/>
      <c r="BO229" s="1305"/>
      <c r="BP229" s="1305"/>
    </row>
    <row r="230" s="1265" customFormat="1" ht="31" customHeight="1" spans="1:68">
      <c r="A230" s="1304">
        <v>45805</v>
      </c>
      <c r="B230" s="822" t="s">
        <v>1108</v>
      </c>
      <c r="C230" s="633" t="s">
        <v>411</v>
      </c>
      <c r="D230" s="825">
        <v>4500166748</v>
      </c>
      <c r="E230" s="633"/>
      <c r="F230" s="1305" t="s">
        <v>1109</v>
      </c>
      <c r="G230" s="659" t="s">
        <v>66</v>
      </c>
      <c r="H230" s="633" t="s">
        <v>509</v>
      </c>
      <c r="I230" s="633">
        <v>20</v>
      </c>
      <c r="J230" s="633">
        <v>0</v>
      </c>
      <c r="K230" s="633">
        <v>1</v>
      </c>
      <c r="L230" s="827">
        <f t="shared" si="53"/>
        <v>20</v>
      </c>
      <c r="M230" s="828">
        <v>45841</v>
      </c>
      <c r="N230" s="828">
        <v>45846</v>
      </c>
      <c r="O230" s="824"/>
      <c r="P230" s="824" t="s">
        <v>113</v>
      </c>
      <c r="Q230" s="633"/>
      <c r="R230" s="829">
        <v>45806</v>
      </c>
      <c r="S230" s="829" t="s">
        <v>70</v>
      </c>
      <c r="T230" s="829">
        <v>45826</v>
      </c>
      <c r="U230" s="829"/>
      <c r="V230" s="829"/>
      <c r="W230" s="829"/>
      <c r="X230" s="628" t="s">
        <v>1110</v>
      </c>
      <c r="Y230" s="828" t="s">
        <v>445</v>
      </c>
      <c r="Z230" s="1306">
        <v>0</v>
      </c>
      <c r="AA230" s="831">
        <f>Z230*I230</f>
        <v>0</v>
      </c>
      <c r="AC230" s="1313" t="s">
        <v>1111</v>
      </c>
      <c r="AD230" s="633" t="s">
        <v>514</v>
      </c>
      <c r="AE230" s="633" t="s">
        <v>82</v>
      </c>
      <c r="AF230" s="633"/>
      <c r="AG230" s="618" t="s">
        <v>74</v>
      </c>
      <c r="AH230" s="618"/>
      <c r="AI230" s="1308">
        <v>360</v>
      </c>
      <c r="AJ230" s="824">
        <f>AI230-I231</f>
        <v>0</v>
      </c>
      <c r="AK230" s="633"/>
      <c r="AL230" s="633"/>
      <c r="AM230" s="633"/>
      <c r="AN230" s="825"/>
      <c r="AO230" s="687"/>
      <c r="AP230" s="687"/>
      <c r="AQ230" s="687"/>
      <c r="AR230" s="825"/>
      <c r="AS230" s="687"/>
      <c r="AT230" s="687"/>
      <c r="AU230" s="825">
        <f t="shared" si="64"/>
        <v>20</v>
      </c>
      <c r="AV230" s="825"/>
      <c r="AW230" s="551">
        <f>I230</f>
        <v>20</v>
      </c>
      <c r="AX230" s="825"/>
      <c r="AY230" s="1305"/>
      <c r="AZ230" s="1305"/>
      <c r="BA230" s="1305"/>
      <c r="BB230" s="1305"/>
      <c r="BC230" s="1305"/>
      <c r="BD230" s="1305"/>
      <c r="BE230" s="1305"/>
      <c r="BF230" s="1305"/>
      <c r="BG230" s="1305"/>
      <c r="BH230" s="1305"/>
      <c r="BI230" s="1305"/>
      <c r="BJ230" s="1305"/>
      <c r="BK230" s="1305"/>
      <c r="BL230" s="1305"/>
      <c r="BM230" s="1305"/>
      <c r="BN230" s="1305"/>
      <c r="BO230" s="1305">
        <f>I230</f>
        <v>20</v>
      </c>
      <c r="BP230" s="1305"/>
    </row>
    <row r="231" s="1265" customFormat="1" ht="31" customHeight="1" spans="1:68">
      <c r="A231" s="1304">
        <v>45805</v>
      </c>
      <c r="B231" s="822" t="s">
        <v>1108</v>
      </c>
      <c r="C231" s="633" t="s">
        <v>411</v>
      </c>
      <c r="D231" s="825">
        <v>4500166748</v>
      </c>
      <c r="E231" s="633"/>
      <c r="F231" s="1305" t="s">
        <v>1109</v>
      </c>
      <c r="G231" s="659" t="s">
        <v>515</v>
      </c>
      <c r="H231" s="633" t="s">
        <v>112</v>
      </c>
      <c r="I231" s="633">
        <v>360</v>
      </c>
      <c r="J231" s="633">
        <v>0</v>
      </c>
      <c r="K231" s="633">
        <v>18</v>
      </c>
      <c r="L231" s="827">
        <f t="shared" si="53"/>
        <v>20</v>
      </c>
      <c r="M231" s="828">
        <v>45841</v>
      </c>
      <c r="N231" s="828">
        <v>45846</v>
      </c>
      <c r="O231" s="824"/>
      <c r="P231" s="824" t="s">
        <v>113</v>
      </c>
      <c r="Q231" s="633"/>
      <c r="R231" s="829">
        <v>45806</v>
      </c>
      <c r="S231" s="829" t="s">
        <v>70</v>
      </c>
      <c r="T231" s="829">
        <v>45826</v>
      </c>
      <c r="U231" s="829"/>
      <c r="V231" s="829"/>
      <c r="W231" s="829"/>
      <c r="X231" s="822" t="s">
        <v>1112</v>
      </c>
      <c r="Y231" s="828" t="s">
        <v>445</v>
      </c>
      <c r="Z231" s="1306">
        <v>172.3098</v>
      </c>
      <c r="AA231" s="831">
        <f>Z231*L231</f>
        <v>3446.196</v>
      </c>
      <c r="AC231" s="632" t="s">
        <v>1113</v>
      </c>
      <c r="AD231" s="633" t="s">
        <v>514</v>
      </c>
      <c r="AE231" s="633" t="s">
        <v>82</v>
      </c>
      <c r="AF231" s="633"/>
      <c r="AG231" s="618" t="s">
        <v>74</v>
      </c>
      <c r="AH231" s="618"/>
      <c r="AI231" s="1308">
        <v>0</v>
      </c>
      <c r="AJ231" s="824">
        <v>0</v>
      </c>
      <c r="AK231" s="633"/>
      <c r="AL231" s="633"/>
      <c r="AM231" s="633"/>
      <c r="AN231" s="825">
        <f t="shared" ref="AN231:AN257" si="65">I231</f>
        <v>360</v>
      </c>
      <c r="AO231" s="687"/>
      <c r="AP231" s="687"/>
      <c r="AQ231" s="687"/>
      <c r="AR231" s="825"/>
      <c r="AS231" s="687">
        <f>I231</f>
        <v>360</v>
      </c>
      <c r="AT231" s="687"/>
      <c r="AU231" s="825">
        <f t="shared" si="64"/>
        <v>360</v>
      </c>
      <c r="AV231" s="825"/>
      <c r="AW231" s="825">
        <f t="shared" ref="AW231:AW242" si="66">I231</f>
        <v>360</v>
      </c>
      <c r="AX231" s="825"/>
      <c r="AY231" s="1305"/>
      <c r="AZ231" s="1305"/>
      <c r="BA231" s="1305"/>
      <c r="BB231" s="1305"/>
      <c r="BC231" s="1305"/>
      <c r="BD231" s="1305"/>
      <c r="BE231" s="1305"/>
      <c r="BF231" s="1305"/>
      <c r="BG231" s="1305"/>
      <c r="BH231" s="1305"/>
      <c r="BI231" s="1305"/>
      <c r="BJ231" s="1305"/>
      <c r="BK231" s="1305"/>
      <c r="BL231" s="1305"/>
      <c r="BM231" s="1305"/>
      <c r="BN231" s="1305"/>
      <c r="BO231" s="1305"/>
      <c r="BP231" s="1305"/>
    </row>
    <row r="232" s="1265" customFormat="1" ht="31" customHeight="1" spans="1:68">
      <c r="A232" s="1304">
        <v>45841</v>
      </c>
      <c r="B232" s="822"/>
      <c r="C232" s="633"/>
      <c r="D232" s="825" t="s">
        <v>1114</v>
      </c>
      <c r="E232" s="633"/>
      <c r="F232" s="1305"/>
      <c r="G232" s="659" t="s">
        <v>68</v>
      </c>
      <c r="H232" s="633" t="s">
        <v>69</v>
      </c>
      <c r="I232" s="633">
        <v>72</v>
      </c>
      <c r="J232" s="633">
        <v>0</v>
      </c>
      <c r="K232" s="633">
        <v>12</v>
      </c>
      <c r="L232" s="827">
        <f t="shared" si="53"/>
        <v>6</v>
      </c>
      <c r="M232" s="828">
        <v>45852</v>
      </c>
      <c r="N232" s="828">
        <v>45852</v>
      </c>
      <c r="O232" s="824"/>
      <c r="P232" s="824" t="s">
        <v>113</v>
      </c>
      <c r="Q232" s="633"/>
      <c r="R232" s="829" t="s">
        <v>70</v>
      </c>
      <c r="S232" s="829" t="s">
        <v>70</v>
      </c>
      <c r="T232" s="829" t="s">
        <v>70</v>
      </c>
      <c r="U232" s="829"/>
      <c r="V232" s="829"/>
      <c r="W232" s="829"/>
      <c r="X232" s="822" t="s">
        <v>1115</v>
      </c>
      <c r="Y232" s="828" t="s">
        <v>85</v>
      </c>
      <c r="Z232" s="1306"/>
      <c r="AA232" s="831"/>
      <c r="AB232" s="1265"/>
      <c r="AC232" s="617" t="s">
        <v>1116</v>
      </c>
      <c r="AD232" s="633" t="s">
        <v>68</v>
      </c>
      <c r="AE232" s="633" t="s">
        <v>82</v>
      </c>
      <c r="AF232" s="633"/>
      <c r="AG232" s="618" t="s">
        <v>74</v>
      </c>
      <c r="AH232" s="618"/>
      <c r="AI232" s="1308">
        <v>72</v>
      </c>
      <c r="AJ232" s="824">
        <v>0</v>
      </c>
      <c r="AK232" s="633"/>
      <c r="AL232" s="633"/>
      <c r="AM232" s="633"/>
      <c r="AN232" s="825">
        <f t="shared" si="65"/>
        <v>72</v>
      </c>
      <c r="AO232" s="687"/>
      <c r="AP232" s="687"/>
      <c r="AQ232" s="687"/>
      <c r="AR232" s="825">
        <f>I232</f>
        <v>72</v>
      </c>
      <c r="AS232" s="687"/>
      <c r="AT232" s="687"/>
      <c r="AU232" s="825">
        <f t="shared" si="64"/>
        <v>72</v>
      </c>
      <c r="AV232" s="825"/>
      <c r="AW232" s="825">
        <f t="shared" si="66"/>
        <v>72</v>
      </c>
      <c r="AX232" s="825"/>
      <c r="AY232" s="1305"/>
      <c r="AZ232" s="1305"/>
      <c r="BA232" s="1305"/>
      <c r="BB232" s="1305"/>
      <c r="BC232" s="1305"/>
      <c r="BD232" s="1305"/>
      <c r="BE232" s="1305"/>
      <c r="BF232" s="1305"/>
      <c r="BG232" s="1305"/>
      <c r="BH232" s="1305"/>
      <c r="BI232" s="1305"/>
      <c r="BJ232" s="1305"/>
      <c r="BK232" s="1305"/>
      <c r="BL232" s="1305"/>
      <c r="BM232" s="1305"/>
      <c r="BN232" s="1305"/>
      <c r="BO232" s="1305"/>
      <c r="BP232" s="1305"/>
    </row>
    <row r="233" s="1265" customFormat="1" ht="31" customHeight="1" spans="1:68">
      <c r="A233" s="1304">
        <v>45740</v>
      </c>
      <c r="B233" s="822" t="s">
        <v>169</v>
      </c>
      <c r="C233" s="633" t="s">
        <v>170</v>
      </c>
      <c r="D233" s="825">
        <v>4500160886</v>
      </c>
      <c r="E233" s="633">
        <v>9900924262</v>
      </c>
      <c r="F233" s="1305" t="s">
        <v>1117</v>
      </c>
      <c r="G233" s="659" t="s">
        <v>172</v>
      </c>
      <c r="H233" s="633" t="s">
        <v>112</v>
      </c>
      <c r="I233" s="633">
        <v>1596</v>
      </c>
      <c r="J233" s="633">
        <v>0</v>
      </c>
      <c r="K233" s="633">
        <v>2</v>
      </c>
      <c r="L233" s="827">
        <f t="shared" si="53"/>
        <v>798</v>
      </c>
      <c r="M233" s="828">
        <v>45849</v>
      </c>
      <c r="N233" s="828">
        <v>45853</v>
      </c>
      <c r="O233" s="824" t="s">
        <v>1118</v>
      </c>
      <c r="P233" s="824" t="s">
        <v>113</v>
      </c>
      <c r="Q233" s="633"/>
      <c r="R233" s="829">
        <v>45811</v>
      </c>
      <c r="S233" s="829" t="s">
        <v>70</v>
      </c>
      <c r="T233" s="829" t="s">
        <v>628</v>
      </c>
      <c r="U233" s="829"/>
      <c r="V233" s="829"/>
      <c r="W233" s="829"/>
      <c r="X233" s="822" t="s">
        <v>1119</v>
      </c>
      <c r="Y233" s="828" t="s">
        <v>175</v>
      </c>
      <c r="Z233" s="1306">
        <v>4.1</v>
      </c>
      <c r="AA233" s="831">
        <f t="shared" ref="AA233:AA257" si="67">Z233*I233</f>
        <v>6543.6</v>
      </c>
      <c r="AC233" s="632" t="s">
        <v>1120</v>
      </c>
      <c r="AD233" s="633" t="s">
        <v>172</v>
      </c>
      <c r="AE233" s="633" t="s">
        <v>82</v>
      </c>
      <c r="AF233" s="633"/>
      <c r="AG233" s="618" t="s">
        <v>74</v>
      </c>
      <c r="AH233" s="618"/>
      <c r="AI233" s="1308">
        <v>1596</v>
      </c>
      <c r="AJ233" s="824">
        <f t="shared" ref="AJ233:AJ261" si="68">AI233-I233</f>
        <v>0</v>
      </c>
      <c r="AK233" s="633"/>
      <c r="AL233" s="633"/>
      <c r="AM233" s="633"/>
      <c r="AN233" s="825">
        <f t="shared" si="65"/>
        <v>1596</v>
      </c>
      <c r="AO233" s="687"/>
      <c r="AP233" s="687"/>
      <c r="AQ233" s="687"/>
      <c r="AR233" s="825"/>
      <c r="AS233" s="687">
        <f>I233</f>
        <v>1596</v>
      </c>
      <c r="AT233" s="687"/>
      <c r="AU233" s="825">
        <f t="shared" si="64"/>
        <v>1596</v>
      </c>
      <c r="AV233" s="825"/>
      <c r="AW233" s="825">
        <f t="shared" si="66"/>
        <v>1596</v>
      </c>
      <c r="AX233" s="825"/>
      <c r="AY233" s="1305"/>
      <c r="AZ233" s="1305"/>
      <c r="BA233" s="1305"/>
      <c r="BB233" s="1305"/>
      <c r="BC233" s="1305"/>
      <c r="BD233" s="1305"/>
      <c r="BE233" s="1305"/>
      <c r="BF233" s="1305"/>
      <c r="BG233" s="1305"/>
      <c r="BH233" s="1305"/>
      <c r="BI233" s="1305"/>
      <c r="BJ233" s="1305"/>
      <c r="BK233" s="1305"/>
      <c r="BL233" s="1305"/>
      <c r="BM233" s="1305"/>
      <c r="BN233" s="1305"/>
      <c r="BO233" s="1305"/>
      <c r="BP233" s="1305"/>
    </row>
    <row r="234" s="1265" customFormat="1" ht="31" customHeight="1" spans="1:68">
      <c r="A234" s="1304">
        <v>45812</v>
      </c>
      <c r="B234" s="822" t="s">
        <v>143</v>
      </c>
      <c r="C234" s="633" t="s">
        <v>98</v>
      </c>
      <c r="D234" s="825">
        <v>4500168953</v>
      </c>
      <c r="E234" s="1413" t="s">
        <v>1121</v>
      </c>
      <c r="F234" s="1305" t="s">
        <v>1122</v>
      </c>
      <c r="G234" s="659" t="s">
        <v>207</v>
      </c>
      <c r="H234" s="633" t="s">
        <v>102</v>
      </c>
      <c r="I234" s="633">
        <v>352</v>
      </c>
      <c r="J234" s="633">
        <v>0</v>
      </c>
      <c r="K234" s="633">
        <v>4</v>
      </c>
      <c r="L234" s="827">
        <f t="shared" si="53"/>
        <v>88</v>
      </c>
      <c r="M234" s="828">
        <v>45854</v>
      </c>
      <c r="N234" s="828">
        <v>45859</v>
      </c>
      <c r="O234" s="824" t="s">
        <v>1123</v>
      </c>
      <c r="P234" s="824" t="s">
        <v>113</v>
      </c>
      <c r="Q234" s="633"/>
      <c r="R234" s="829" t="s">
        <v>1054</v>
      </c>
      <c r="S234" s="829" t="s">
        <v>70</v>
      </c>
      <c r="T234" s="829" t="s">
        <v>1124</v>
      </c>
      <c r="U234" s="829"/>
      <c r="V234" s="829"/>
      <c r="W234" s="829"/>
      <c r="X234" s="822" t="s">
        <v>1055</v>
      </c>
      <c r="Y234" s="828" t="s">
        <v>106</v>
      </c>
      <c r="Z234" s="1306">
        <v>2.5402</v>
      </c>
      <c r="AA234" s="831">
        <f t="shared" si="67"/>
        <v>894.1504</v>
      </c>
      <c r="AC234" s="632" t="s">
        <v>1125</v>
      </c>
      <c r="AD234" s="633" t="s">
        <v>207</v>
      </c>
      <c r="AE234" s="633" t="s">
        <v>82</v>
      </c>
      <c r="AF234" s="633"/>
      <c r="AG234" s="618" t="s">
        <v>74</v>
      </c>
      <c r="AH234" s="618"/>
      <c r="AI234" s="1308">
        <v>352</v>
      </c>
      <c r="AJ234" s="824">
        <f t="shared" si="68"/>
        <v>0</v>
      </c>
      <c r="AK234" s="633"/>
      <c r="AL234" s="633"/>
      <c r="AM234" s="633"/>
      <c r="AN234" s="825">
        <f t="shared" si="65"/>
        <v>352</v>
      </c>
      <c r="AO234" s="687"/>
      <c r="AP234" s="687"/>
      <c r="AQ234" s="687"/>
      <c r="AR234" s="825">
        <f t="shared" ref="AR234:AR239" si="69">I234</f>
        <v>352</v>
      </c>
      <c r="AS234" s="687"/>
      <c r="AT234" s="687"/>
      <c r="AU234" s="825">
        <f t="shared" si="64"/>
        <v>352</v>
      </c>
      <c r="AV234" s="825"/>
      <c r="AW234" s="825">
        <f t="shared" si="66"/>
        <v>352</v>
      </c>
      <c r="AX234" s="825"/>
      <c r="AY234" s="1305"/>
      <c r="AZ234" s="1305"/>
      <c r="BA234" s="1305"/>
      <c r="BB234" s="1305"/>
      <c r="BC234" s="1305"/>
      <c r="BD234" s="1305"/>
      <c r="BE234" s="1305"/>
      <c r="BF234" s="1305"/>
      <c r="BG234" s="1305"/>
      <c r="BH234" s="1305"/>
      <c r="BI234" s="1305"/>
      <c r="BJ234" s="1305"/>
      <c r="BK234" s="1305"/>
      <c r="BL234" s="1305"/>
      <c r="BM234" s="1305"/>
      <c r="BN234" s="1305"/>
      <c r="BO234" s="1305"/>
      <c r="BP234" s="1305"/>
    </row>
    <row r="235" s="1265" customFormat="1" ht="31" customHeight="1" spans="1:68">
      <c r="A235" s="1304">
        <v>45812</v>
      </c>
      <c r="B235" s="822" t="s">
        <v>143</v>
      </c>
      <c r="C235" s="633" t="s">
        <v>98</v>
      </c>
      <c r="D235" s="825">
        <v>4500168953</v>
      </c>
      <c r="E235" s="1413" t="s">
        <v>1126</v>
      </c>
      <c r="F235" s="1305" t="s">
        <v>1127</v>
      </c>
      <c r="G235" s="659" t="s">
        <v>207</v>
      </c>
      <c r="H235" s="633" t="s">
        <v>102</v>
      </c>
      <c r="I235" s="633">
        <v>120</v>
      </c>
      <c r="J235" s="633">
        <v>0</v>
      </c>
      <c r="K235" s="633">
        <v>4</v>
      </c>
      <c r="L235" s="827">
        <f t="shared" si="53"/>
        <v>30</v>
      </c>
      <c r="M235" s="828">
        <v>45854</v>
      </c>
      <c r="N235" s="828">
        <v>45859</v>
      </c>
      <c r="O235" s="824" t="s">
        <v>1123</v>
      </c>
      <c r="P235" s="824" t="s">
        <v>113</v>
      </c>
      <c r="Q235" s="633"/>
      <c r="R235" s="829" t="s">
        <v>1054</v>
      </c>
      <c r="S235" s="829" t="s">
        <v>70</v>
      </c>
      <c r="T235" s="829" t="s">
        <v>1124</v>
      </c>
      <c r="U235" s="829"/>
      <c r="V235" s="829"/>
      <c r="W235" s="829"/>
      <c r="X235" s="822" t="s">
        <v>1055</v>
      </c>
      <c r="Y235" s="828" t="s">
        <v>106</v>
      </c>
      <c r="Z235" s="1306">
        <v>2.5402</v>
      </c>
      <c r="AA235" s="831">
        <f t="shared" si="67"/>
        <v>304.824</v>
      </c>
      <c r="AC235" s="632" t="s">
        <v>1128</v>
      </c>
      <c r="AD235" s="633" t="s">
        <v>207</v>
      </c>
      <c r="AE235" s="633" t="s">
        <v>82</v>
      </c>
      <c r="AF235" s="633"/>
      <c r="AG235" s="618" t="s">
        <v>74</v>
      </c>
      <c r="AH235" s="618"/>
      <c r="AI235" s="1308">
        <v>120</v>
      </c>
      <c r="AJ235" s="824">
        <f t="shared" si="68"/>
        <v>0</v>
      </c>
      <c r="AK235" s="633"/>
      <c r="AL235" s="633"/>
      <c r="AM235" s="633"/>
      <c r="AN235" s="825">
        <f t="shared" si="65"/>
        <v>120</v>
      </c>
      <c r="AO235" s="687"/>
      <c r="AP235" s="687"/>
      <c r="AQ235" s="687"/>
      <c r="AR235" s="825">
        <f t="shared" si="69"/>
        <v>120</v>
      </c>
      <c r="AS235" s="687"/>
      <c r="AT235" s="687"/>
      <c r="AU235" s="825">
        <f t="shared" si="64"/>
        <v>120</v>
      </c>
      <c r="AV235" s="825"/>
      <c r="AW235" s="825">
        <f t="shared" si="66"/>
        <v>120</v>
      </c>
      <c r="AX235" s="825"/>
      <c r="AY235" s="1305"/>
      <c r="AZ235" s="1305"/>
      <c r="BA235" s="1305"/>
      <c r="BB235" s="1305"/>
      <c r="BC235" s="1305"/>
      <c r="BD235" s="1305"/>
      <c r="BE235" s="1305"/>
      <c r="BF235" s="1305"/>
      <c r="BG235" s="1305"/>
      <c r="BH235" s="1305"/>
      <c r="BI235" s="1305"/>
      <c r="BJ235" s="1305"/>
      <c r="BK235" s="1305"/>
      <c r="BL235" s="1305"/>
      <c r="BM235" s="1305"/>
      <c r="BN235" s="1305"/>
      <c r="BO235" s="1305"/>
      <c r="BP235" s="1305"/>
    </row>
    <row r="236" s="1265" customFormat="1" ht="31" customHeight="1" spans="1:68">
      <c r="A236" s="1304">
        <v>45812</v>
      </c>
      <c r="B236" s="822" t="s">
        <v>143</v>
      </c>
      <c r="C236" s="633" t="s">
        <v>98</v>
      </c>
      <c r="D236" s="825">
        <v>4500168953</v>
      </c>
      <c r="E236" s="1413" t="s">
        <v>1129</v>
      </c>
      <c r="F236" s="1305" t="s">
        <v>1130</v>
      </c>
      <c r="G236" s="659" t="s">
        <v>207</v>
      </c>
      <c r="H236" s="633" t="s">
        <v>102</v>
      </c>
      <c r="I236" s="633">
        <v>100</v>
      </c>
      <c r="J236" s="633">
        <v>0</v>
      </c>
      <c r="K236" s="633">
        <v>4</v>
      </c>
      <c r="L236" s="827">
        <f t="shared" si="53"/>
        <v>25</v>
      </c>
      <c r="M236" s="828">
        <v>45854</v>
      </c>
      <c r="N236" s="828">
        <v>45859</v>
      </c>
      <c r="O236" s="824" t="s">
        <v>1123</v>
      </c>
      <c r="P236" s="824" t="s">
        <v>113</v>
      </c>
      <c r="Q236" s="633"/>
      <c r="R236" s="829" t="s">
        <v>1054</v>
      </c>
      <c r="S236" s="829" t="s">
        <v>70</v>
      </c>
      <c r="T236" s="829" t="s">
        <v>1124</v>
      </c>
      <c r="U236" s="829"/>
      <c r="V236" s="829"/>
      <c r="W236" s="829"/>
      <c r="X236" s="822" t="s">
        <v>1055</v>
      </c>
      <c r="Y236" s="828" t="s">
        <v>106</v>
      </c>
      <c r="Z236" s="1306">
        <v>2.5402</v>
      </c>
      <c r="AA236" s="831">
        <f t="shared" si="67"/>
        <v>254.02</v>
      </c>
      <c r="AC236" s="632" t="s">
        <v>1131</v>
      </c>
      <c r="AD236" s="633" t="s">
        <v>207</v>
      </c>
      <c r="AE236" s="633" t="s">
        <v>82</v>
      </c>
      <c r="AF236" s="633"/>
      <c r="AG236" s="618" t="s">
        <v>74</v>
      </c>
      <c r="AH236" s="618"/>
      <c r="AI236" s="1308">
        <v>100</v>
      </c>
      <c r="AJ236" s="824">
        <f t="shared" si="68"/>
        <v>0</v>
      </c>
      <c r="AK236" s="633"/>
      <c r="AL236" s="633"/>
      <c r="AM236" s="633"/>
      <c r="AN236" s="825">
        <f t="shared" si="65"/>
        <v>100</v>
      </c>
      <c r="AO236" s="687"/>
      <c r="AP236" s="687"/>
      <c r="AQ236" s="687"/>
      <c r="AR236" s="825">
        <f t="shared" si="69"/>
        <v>100</v>
      </c>
      <c r="AS236" s="687"/>
      <c r="AT236" s="687"/>
      <c r="AU236" s="825">
        <f t="shared" si="64"/>
        <v>100</v>
      </c>
      <c r="AV236" s="825"/>
      <c r="AW236" s="825">
        <f t="shared" si="66"/>
        <v>100</v>
      </c>
      <c r="AX236" s="825"/>
      <c r="AY236" s="1305"/>
      <c r="AZ236" s="1305"/>
      <c r="BA236" s="1305"/>
      <c r="BB236" s="1305"/>
      <c r="BC236" s="1305"/>
      <c r="BD236" s="1305"/>
      <c r="BE236" s="1305"/>
      <c r="BF236" s="1305"/>
      <c r="BG236" s="1305"/>
      <c r="BH236" s="1305"/>
      <c r="BI236" s="1305"/>
      <c r="BJ236" s="1305"/>
      <c r="BK236" s="1305"/>
      <c r="BL236" s="1305"/>
      <c r="BM236" s="1305"/>
      <c r="BN236" s="1305"/>
      <c r="BO236" s="1305"/>
      <c r="BP236" s="1305"/>
    </row>
    <row r="237" s="1265" customFormat="1" ht="31" customHeight="1" spans="1:68">
      <c r="A237" s="1304">
        <v>45799</v>
      </c>
      <c r="B237" s="822" t="s">
        <v>143</v>
      </c>
      <c r="C237" s="633" t="s">
        <v>98</v>
      </c>
      <c r="D237" s="825">
        <v>4500167604</v>
      </c>
      <c r="E237" s="1413" t="s">
        <v>1132</v>
      </c>
      <c r="F237" s="1305" t="s">
        <v>1133</v>
      </c>
      <c r="G237" s="659" t="s">
        <v>101</v>
      </c>
      <c r="H237" s="633" t="s">
        <v>102</v>
      </c>
      <c r="I237" s="633">
        <v>2328</v>
      </c>
      <c r="J237" s="633">
        <v>0</v>
      </c>
      <c r="K237" s="633">
        <v>4</v>
      </c>
      <c r="L237" s="827">
        <f t="shared" si="53"/>
        <v>582</v>
      </c>
      <c r="M237" s="828">
        <v>45855</v>
      </c>
      <c r="N237" s="828">
        <v>45860</v>
      </c>
      <c r="O237" s="824" t="s">
        <v>1070</v>
      </c>
      <c r="P237" s="824" t="s">
        <v>113</v>
      </c>
      <c r="Q237" s="633"/>
      <c r="R237" s="829" t="s">
        <v>961</v>
      </c>
      <c r="S237" s="829" t="s">
        <v>70</v>
      </c>
      <c r="T237" s="829" t="s">
        <v>1134</v>
      </c>
      <c r="U237" s="829"/>
      <c r="V237" s="774" t="s">
        <v>148</v>
      </c>
      <c r="W237" s="829"/>
      <c r="X237" s="822" t="s">
        <v>149</v>
      </c>
      <c r="Y237" s="828" t="s">
        <v>106</v>
      </c>
      <c r="Z237" s="1306">
        <v>2.58</v>
      </c>
      <c r="AA237" s="831">
        <f t="shared" si="67"/>
        <v>6006.24</v>
      </c>
      <c r="AC237" s="632" t="s">
        <v>1135</v>
      </c>
      <c r="AD237" s="633" t="s">
        <v>101</v>
      </c>
      <c r="AE237" s="633" t="s">
        <v>82</v>
      </c>
      <c r="AF237" s="633"/>
      <c r="AG237" s="618" t="s">
        <v>74</v>
      </c>
      <c r="AH237" s="618"/>
      <c r="AI237" s="1308">
        <v>2328</v>
      </c>
      <c r="AJ237" s="824">
        <f t="shared" si="68"/>
        <v>0</v>
      </c>
      <c r="AK237" s="633"/>
      <c r="AL237" s="633"/>
      <c r="AM237" s="633"/>
      <c r="AN237" s="825">
        <f t="shared" si="65"/>
        <v>2328</v>
      </c>
      <c r="AO237" s="687"/>
      <c r="AP237" s="687"/>
      <c r="AQ237" s="687"/>
      <c r="AR237" s="825">
        <f t="shared" si="69"/>
        <v>2328</v>
      </c>
      <c r="AS237" s="687"/>
      <c r="AT237" s="687"/>
      <c r="AU237" s="825">
        <f t="shared" si="64"/>
        <v>2328</v>
      </c>
      <c r="AV237" s="825"/>
      <c r="AW237" s="551">
        <f t="shared" si="66"/>
        <v>2328</v>
      </c>
      <c r="AX237" s="825"/>
      <c r="AY237" s="1305"/>
      <c r="AZ237" s="1305"/>
      <c r="BA237" s="1305"/>
      <c r="BB237" s="1305"/>
      <c r="BC237" s="1305"/>
      <c r="BD237" s="1305"/>
      <c r="BE237" s="1305"/>
      <c r="BF237" s="1305"/>
      <c r="BG237" s="1305"/>
      <c r="BH237" s="825">
        <f>I237/4</f>
        <v>582</v>
      </c>
      <c r="BI237" s="1305"/>
      <c r="BJ237" s="1305"/>
      <c r="BK237" s="1305"/>
      <c r="BL237" s="1305"/>
      <c r="BM237" s="1305"/>
      <c r="BN237" s="1305"/>
      <c r="BO237" s="1305"/>
      <c r="BP237" s="1305"/>
    </row>
    <row r="238" s="1265" customFormat="1" ht="31" customHeight="1" spans="1:68">
      <c r="A238" s="1304">
        <v>45799</v>
      </c>
      <c r="B238" s="822" t="s">
        <v>143</v>
      </c>
      <c r="C238" s="633" t="s">
        <v>98</v>
      </c>
      <c r="D238" s="825">
        <v>4500167598</v>
      </c>
      <c r="E238" s="1413" t="s">
        <v>1136</v>
      </c>
      <c r="F238" s="1305" t="s">
        <v>1137</v>
      </c>
      <c r="G238" s="659" t="s">
        <v>101</v>
      </c>
      <c r="H238" s="633" t="s">
        <v>102</v>
      </c>
      <c r="I238" s="633">
        <v>1896</v>
      </c>
      <c r="J238" s="633">
        <v>0</v>
      </c>
      <c r="K238" s="633">
        <v>4</v>
      </c>
      <c r="L238" s="827">
        <f t="shared" si="53"/>
        <v>474</v>
      </c>
      <c r="M238" s="828">
        <v>45849</v>
      </c>
      <c r="N238" s="828">
        <v>45852</v>
      </c>
      <c r="O238" s="824" t="s">
        <v>1138</v>
      </c>
      <c r="P238" s="824" t="s">
        <v>113</v>
      </c>
      <c r="Q238" s="633"/>
      <c r="R238" s="829" t="s">
        <v>961</v>
      </c>
      <c r="S238" s="829" t="s">
        <v>70</v>
      </c>
      <c r="T238" s="829" t="s">
        <v>1134</v>
      </c>
      <c r="U238" s="829"/>
      <c r="V238" s="774" t="s">
        <v>148</v>
      </c>
      <c r="W238" s="829"/>
      <c r="X238" s="822" t="s">
        <v>149</v>
      </c>
      <c r="Y238" s="828" t="s">
        <v>106</v>
      </c>
      <c r="Z238" s="1306">
        <v>2.58</v>
      </c>
      <c r="AA238" s="831">
        <f t="shared" si="67"/>
        <v>4891.68</v>
      </c>
      <c r="AC238" s="632" t="s">
        <v>1139</v>
      </c>
      <c r="AD238" s="633" t="s">
        <v>101</v>
      </c>
      <c r="AE238" s="633" t="s">
        <v>82</v>
      </c>
      <c r="AF238" s="633"/>
      <c r="AG238" s="618" t="s">
        <v>74</v>
      </c>
      <c r="AH238" s="618"/>
      <c r="AI238" s="1308">
        <v>1896</v>
      </c>
      <c r="AJ238" s="824">
        <f t="shared" si="68"/>
        <v>0</v>
      </c>
      <c r="AK238" s="633"/>
      <c r="AL238" s="633"/>
      <c r="AM238" s="633"/>
      <c r="AN238" s="825">
        <f t="shared" si="65"/>
        <v>1896</v>
      </c>
      <c r="AO238" s="687"/>
      <c r="AP238" s="687"/>
      <c r="AQ238" s="687"/>
      <c r="AR238" s="825">
        <f t="shared" si="69"/>
        <v>1896</v>
      </c>
      <c r="AS238" s="687"/>
      <c r="AT238" s="687"/>
      <c r="AU238" s="825">
        <f t="shared" si="64"/>
        <v>1896</v>
      </c>
      <c r="AV238" s="825"/>
      <c r="AW238" s="551">
        <f t="shared" si="66"/>
        <v>1896</v>
      </c>
      <c r="AX238" s="825"/>
      <c r="AY238" s="1305"/>
      <c r="AZ238" s="1305"/>
      <c r="BA238" s="1305"/>
      <c r="BB238" s="1305"/>
      <c r="BC238" s="1305"/>
      <c r="BD238" s="1305"/>
      <c r="BE238" s="1305"/>
      <c r="BF238" s="1305"/>
      <c r="BG238" s="1305"/>
      <c r="BH238" s="825">
        <f>I238/4</f>
        <v>474</v>
      </c>
      <c r="BI238" s="1305"/>
      <c r="BJ238" s="1305"/>
      <c r="BK238" s="1305"/>
      <c r="BL238" s="1305"/>
      <c r="BM238" s="1305"/>
      <c r="BN238" s="1305"/>
      <c r="BO238" s="1305"/>
      <c r="BP238" s="1305"/>
    </row>
    <row r="239" s="1265" customFormat="1" ht="31" customHeight="1" spans="1:68">
      <c r="A239" s="1304">
        <v>45786</v>
      </c>
      <c r="B239" s="822" t="s">
        <v>1140</v>
      </c>
      <c r="C239" s="633" t="s">
        <v>278</v>
      </c>
      <c r="D239" s="825">
        <v>4500163581</v>
      </c>
      <c r="E239" s="633" t="s">
        <v>1141</v>
      </c>
      <c r="F239" s="1305" t="s">
        <v>1142</v>
      </c>
      <c r="G239" s="659" t="s">
        <v>101</v>
      </c>
      <c r="H239" s="633" t="s">
        <v>102</v>
      </c>
      <c r="I239" s="633">
        <v>1608</v>
      </c>
      <c r="J239" s="633">
        <v>0</v>
      </c>
      <c r="K239" s="633">
        <v>4</v>
      </c>
      <c r="L239" s="827">
        <f t="shared" si="53"/>
        <v>402</v>
      </c>
      <c r="M239" s="828">
        <v>45856</v>
      </c>
      <c r="N239" s="828">
        <v>45854</v>
      </c>
      <c r="O239" s="824"/>
      <c r="P239" s="824" t="s">
        <v>113</v>
      </c>
      <c r="Q239" s="633"/>
      <c r="R239" s="829">
        <v>45786</v>
      </c>
      <c r="S239" s="829" t="s">
        <v>70</v>
      </c>
      <c r="T239" s="829">
        <v>45786</v>
      </c>
      <c r="U239" s="829"/>
      <c r="V239" s="829"/>
      <c r="W239" s="829"/>
      <c r="X239" s="822" t="s">
        <v>1143</v>
      </c>
      <c r="Y239" s="828" t="s">
        <v>1144</v>
      </c>
      <c r="Z239" s="1306">
        <v>5</v>
      </c>
      <c r="AA239" s="831">
        <f t="shared" si="67"/>
        <v>8040</v>
      </c>
      <c r="AC239" s="632" t="s">
        <v>1145</v>
      </c>
      <c r="AD239" s="633" t="s">
        <v>101</v>
      </c>
      <c r="AE239" s="633" t="s">
        <v>82</v>
      </c>
      <c r="AF239" s="633"/>
      <c r="AG239" s="618" t="s">
        <v>74</v>
      </c>
      <c r="AH239" s="618"/>
      <c r="AI239" s="1308">
        <v>1608</v>
      </c>
      <c r="AJ239" s="824">
        <f t="shared" si="68"/>
        <v>0</v>
      </c>
      <c r="AK239" s="633"/>
      <c r="AL239" s="633"/>
      <c r="AM239" s="633"/>
      <c r="AN239" s="825">
        <f t="shared" si="65"/>
        <v>1608</v>
      </c>
      <c r="AO239" s="687"/>
      <c r="AP239" s="687"/>
      <c r="AQ239" s="687"/>
      <c r="AR239" s="825">
        <f t="shared" si="69"/>
        <v>1608</v>
      </c>
      <c r="AS239" s="687"/>
      <c r="AT239" s="687"/>
      <c r="AU239" s="825">
        <f t="shared" si="64"/>
        <v>1608</v>
      </c>
      <c r="AV239" s="825"/>
      <c r="AW239" s="825">
        <f t="shared" si="66"/>
        <v>1608</v>
      </c>
      <c r="AX239" s="825"/>
      <c r="AY239" s="1305"/>
      <c r="AZ239" s="1305"/>
      <c r="BA239" s="1305"/>
      <c r="BB239" s="1305"/>
      <c r="BC239" s="1305"/>
      <c r="BD239" s="1305"/>
      <c r="BE239" s="1305"/>
      <c r="BF239" s="1305"/>
      <c r="BG239" s="1305"/>
      <c r="BH239" s="825">
        <f>I239/4</f>
        <v>402</v>
      </c>
      <c r="BI239" s="1305"/>
      <c r="BJ239" s="1305"/>
      <c r="BK239" s="1305"/>
      <c r="BL239" s="1305"/>
      <c r="BM239" s="1305"/>
      <c r="BN239" s="1305"/>
      <c r="BO239" s="1305"/>
      <c r="BP239" s="1305"/>
    </row>
    <row r="240" s="1265" customFormat="1" ht="31" customHeight="1" spans="1:68">
      <c r="A240" s="1304">
        <v>45814</v>
      </c>
      <c r="B240" s="822" t="s">
        <v>1146</v>
      </c>
      <c r="C240" s="633" t="s">
        <v>170</v>
      </c>
      <c r="D240" s="825">
        <v>4500169319</v>
      </c>
      <c r="E240" s="633" t="s">
        <v>1147</v>
      </c>
      <c r="F240" s="1305" t="s">
        <v>1148</v>
      </c>
      <c r="G240" s="659" t="s">
        <v>68</v>
      </c>
      <c r="H240" s="633" t="s">
        <v>69</v>
      </c>
      <c r="I240" s="633">
        <v>132</v>
      </c>
      <c r="J240" s="633">
        <v>0</v>
      </c>
      <c r="K240" s="633">
        <v>12</v>
      </c>
      <c r="L240" s="827">
        <f t="shared" si="53"/>
        <v>11</v>
      </c>
      <c r="M240" s="828">
        <v>45856</v>
      </c>
      <c r="N240" s="828">
        <v>45854</v>
      </c>
      <c r="O240" s="824"/>
      <c r="P240" s="824" t="s">
        <v>113</v>
      </c>
      <c r="Q240" s="633"/>
      <c r="R240" s="829">
        <v>45824</v>
      </c>
      <c r="S240" s="829" t="s">
        <v>70</v>
      </c>
      <c r="T240" s="829">
        <v>45825</v>
      </c>
      <c r="U240" s="829"/>
      <c r="V240" s="829"/>
      <c r="W240" s="829"/>
      <c r="X240" s="822" t="s">
        <v>1149</v>
      </c>
      <c r="Y240" s="828" t="s">
        <v>1150</v>
      </c>
      <c r="Z240" s="1306">
        <v>4.1018</v>
      </c>
      <c r="AA240" s="831">
        <f t="shared" si="67"/>
        <v>541.4376</v>
      </c>
      <c r="AC240" s="1307" t="s">
        <v>1151</v>
      </c>
      <c r="AD240" s="633" t="s">
        <v>184</v>
      </c>
      <c r="AE240" s="633" t="s">
        <v>82</v>
      </c>
      <c r="AF240" s="633"/>
      <c r="AG240" s="618" t="s">
        <v>74</v>
      </c>
      <c r="AH240" s="618"/>
      <c r="AI240" s="1308">
        <v>132</v>
      </c>
      <c r="AJ240" s="824">
        <f t="shared" si="68"/>
        <v>0</v>
      </c>
      <c r="AK240" s="633"/>
      <c r="AL240" s="633"/>
      <c r="AM240" s="633"/>
      <c r="AN240" s="825">
        <f t="shared" si="65"/>
        <v>132</v>
      </c>
      <c r="AO240" s="687"/>
      <c r="AP240" s="687"/>
      <c r="AQ240" s="687"/>
      <c r="AR240" s="825"/>
      <c r="AS240" s="687">
        <f>I240</f>
        <v>132</v>
      </c>
      <c r="AT240" s="687"/>
      <c r="AU240" s="825">
        <f t="shared" si="64"/>
        <v>132</v>
      </c>
      <c r="AV240" s="825"/>
      <c r="AW240" s="551">
        <f t="shared" si="66"/>
        <v>132</v>
      </c>
      <c r="AX240" s="825"/>
      <c r="AY240" s="1305"/>
      <c r="AZ240" s="1305"/>
      <c r="BA240" s="1305"/>
      <c r="BB240" s="1305"/>
      <c r="BC240" s="1305"/>
      <c r="BD240" s="1305"/>
      <c r="BE240" s="1305"/>
      <c r="BF240" s="1305"/>
      <c r="BG240" s="1305"/>
      <c r="BH240" s="1305"/>
      <c r="BI240" s="1305"/>
      <c r="BJ240" s="1305"/>
      <c r="BK240" s="1305"/>
      <c r="BL240" s="1305"/>
      <c r="BM240" s="1305"/>
      <c r="BN240" s="1305"/>
      <c r="BO240" s="1305"/>
      <c r="BP240" s="1305"/>
    </row>
    <row r="241" s="1265" customFormat="1" ht="31" customHeight="1" spans="1:68">
      <c r="A241" s="1304">
        <v>45798</v>
      </c>
      <c r="B241" s="822" t="s">
        <v>312</v>
      </c>
      <c r="C241" s="633" t="s">
        <v>278</v>
      </c>
      <c r="D241" s="825">
        <v>4500167191</v>
      </c>
      <c r="E241" s="633" t="s">
        <v>1152</v>
      </c>
      <c r="F241" s="1305" t="s">
        <v>1153</v>
      </c>
      <c r="G241" s="659" t="s">
        <v>518</v>
      </c>
      <c r="H241" s="633" t="s">
        <v>477</v>
      </c>
      <c r="I241" s="633">
        <v>8700</v>
      </c>
      <c r="J241" s="633">
        <v>0</v>
      </c>
      <c r="K241" s="633">
        <v>6</v>
      </c>
      <c r="L241" s="827">
        <f t="shared" si="53"/>
        <v>1450</v>
      </c>
      <c r="M241" s="828">
        <v>45856</v>
      </c>
      <c r="N241" s="828">
        <v>45857</v>
      </c>
      <c r="O241" s="824"/>
      <c r="P241" s="824" t="s">
        <v>113</v>
      </c>
      <c r="Q241" s="633"/>
      <c r="R241" s="829">
        <v>45800</v>
      </c>
      <c r="S241" s="829" t="s">
        <v>70</v>
      </c>
      <c r="T241" s="829" t="s">
        <v>70</v>
      </c>
      <c r="U241" s="829"/>
      <c r="V241" s="829"/>
      <c r="W241" s="829" t="s">
        <v>1094</v>
      </c>
      <c r="X241" s="628" t="s">
        <v>921</v>
      </c>
      <c r="Y241" s="828" t="s">
        <v>317</v>
      </c>
      <c r="Z241" s="1306">
        <v>8.1</v>
      </c>
      <c r="AA241" s="831">
        <f t="shared" si="67"/>
        <v>70470</v>
      </c>
      <c r="AC241" s="617" t="s">
        <v>1154</v>
      </c>
      <c r="AD241" s="633" t="s">
        <v>480</v>
      </c>
      <c r="AE241" s="633" t="s">
        <v>82</v>
      </c>
      <c r="AF241" s="633"/>
      <c r="AG241" s="618" t="s">
        <v>74</v>
      </c>
      <c r="AH241" s="618"/>
      <c r="AI241" s="1308">
        <v>0</v>
      </c>
      <c r="AJ241" s="824"/>
      <c r="AK241" s="633"/>
      <c r="AL241" s="633"/>
      <c r="AM241" s="633"/>
      <c r="AN241" s="825">
        <f t="shared" si="65"/>
        <v>8700</v>
      </c>
      <c r="AO241" s="687"/>
      <c r="AP241" s="687"/>
      <c r="AQ241" s="687"/>
      <c r="AR241" s="825"/>
      <c r="AS241" s="687">
        <f>I241</f>
        <v>8700</v>
      </c>
      <c r="AT241" s="687"/>
      <c r="AU241" s="825">
        <f t="shared" si="64"/>
        <v>8700</v>
      </c>
      <c r="AV241" s="825"/>
      <c r="AW241" s="551">
        <f t="shared" si="66"/>
        <v>8700</v>
      </c>
      <c r="AX241" s="825"/>
      <c r="AY241" s="1305"/>
      <c r="AZ241" s="1305"/>
      <c r="BA241" s="1305"/>
      <c r="BB241" s="1305"/>
      <c r="BC241" s="1305"/>
      <c r="BD241" s="1305"/>
      <c r="BE241" s="1305"/>
      <c r="BF241" s="1305"/>
      <c r="BG241" s="1305"/>
      <c r="BH241" s="1305"/>
      <c r="BI241" s="1305"/>
      <c r="BJ241" s="1305"/>
      <c r="BK241" s="1305"/>
      <c r="BL241" s="1305"/>
      <c r="BM241" s="825"/>
      <c r="BN241" s="825">
        <f>I241</f>
        <v>8700</v>
      </c>
      <c r="BO241" s="1305"/>
      <c r="BP241" s="1305"/>
    </row>
    <row r="242" s="1265" customFormat="1" ht="31" customHeight="1" spans="1:68">
      <c r="A242" s="1304">
        <v>45813</v>
      </c>
      <c r="B242" s="822" t="s">
        <v>679</v>
      </c>
      <c r="C242" s="633" t="s">
        <v>411</v>
      </c>
      <c r="D242" s="825">
        <v>4500169038</v>
      </c>
      <c r="E242" s="633" t="s">
        <v>1155</v>
      </c>
      <c r="F242" s="1305" t="s">
        <v>1156</v>
      </c>
      <c r="G242" s="659" t="s">
        <v>156</v>
      </c>
      <c r="H242" s="633" t="s">
        <v>102</v>
      </c>
      <c r="I242" s="633">
        <v>504</v>
      </c>
      <c r="J242" s="633">
        <v>0</v>
      </c>
      <c r="K242" s="633">
        <v>4</v>
      </c>
      <c r="L242" s="827">
        <f t="shared" si="53"/>
        <v>126</v>
      </c>
      <c r="M242" s="828">
        <v>45859</v>
      </c>
      <c r="N242" s="828">
        <v>45857</v>
      </c>
      <c r="O242" s="824"/>
      <c r="P242" s="824" t="s">
        <v>113</v>
      </c>
      <c r="Q242" s="633"/>
      <c r="R242" s="829">
        <v>45813</v>
      </c>
      <c r="S242" s="829" t="s">
        <v>70</v>
      </c>
      <c r="T242" s="829" t="s">
        <v>1157</v>
      </c>
      <c r="U242" s="829"/>
      <c r="V242" s="829"/>
      <c r="W242" s="829"/>
      <c r="X242" s="822" t="s">
        <v>1158</v>
      </c>
      <c r="Y242" s="828" t="s">
        <v>415</v>
      </c>
      <c r="Z242" s="1306">
        <v>4.3</v>
      </c>
      <c r="AA242" s="831">
        <f t="shared" si="67"/>
        <v>2167.2</v>
      </c>
      <c r="AC242" s="632" t="s">
        <v>1159</v>
      </c>
      <c r="AD242" s="633" t="s">
        <v>156</v>
      </c>
      <c r="AE242" s="633" t="s">
        <v>82</v>
      </c>
      <c r="AF242" s="633"/>
      <c r="AG242" s="618" t="s">
        <v>74</v>
      </c>
      <c r="AH242" s="618"/>
      <c r="AI242" s="1308">
        <v>504</v>
      </c>
      <c r="AJ242" s="824">
        <f t="shared" si="68"/>
        <v>0</v>
      </c>
      <c r="AK242" s="633"/>
      <c r="AL242" s="633"/>
      <c r="AM242" s="633"/>
      <c r="AN242" s="825">
        <f t="shared" si="65"/>
        <v>504</v>
      </c>
      <c r="AO242" s="687"/>
      <c r="AP242" s="687"/>
      <c r="AQ242" s="687"/>
      <c r="AR242" s="825"/>
      <c r="AS242" s="687">
        <f>I242</f>
        <v>504</v>
      </c>
      <c r="AT242" s="687"/>
      <c r="AU242" s="825">
        <f t="shared" si="64"/>
        <v>504</v>
      </c>
      <c r="AV242" s="825"/>
      <c r="AW242" s="825">
        <f t="shared" si="66"/>
        <v>504</v>
      </c>
      <c r="AX242" s="825"/>
      <c r="AY242" s="1305"/>
      <c r="AZ242" s="1305"/>
      <c r="BA242" s="1305"/>
      <c r="BB242" s="1305"/>
      <c r="BC242" s="1305"/>
      <c r="BD242" s="1305"/>
      <c r="BE242" s="1305"/>
      <c r="BF242" s="1305"/>
      <c r="BG242" s="1305"/>
      <c r="BH242" s="1305"/>
      <c r="BI242" s="825">
        <f>I242/4</f>
        <v>126</v>
      </c>
      <c r="BJ242" s="1305"/>
      <c r="BK242" s="1305"/>
      <c r="BL242" s="1305"/>
      <c r="BM242" s="1305"/>
      <c r="BN242" s="1305"/>
      <c r="BO242" s="1305"/>
      <c r="BP242" s="1305"/>
    </row>
    <row r="243" s="1265" customFormat="1" ht="31" customHeight="1" spans="1:68">
      <c r="A243" s="1304">
        <v>45799</v>
      </c>
      <c r="B243" s="822" t="s">
        <v>143</v>
      </c>
      <c r="C243" s="633" t="s">
        <v>98</v>
      </c>
      <c r="D243" s="825">
        <v>4500167602</v>
      </c>
      <c r="E243" s="1413" t="s">
        <v>1160</v>
      </c>
      <c r="F243" s="1305" t="s">
        <v>1161</v>
      </c>
      <c r="G243" s="659" t="s">
        <v>101</v>
      </c>
      <c r="H243" s="633" t="s">
        <v>102</v>
      </c>
      <c r="I243" s="633">
        <v>2808</v>
      </c>
      <c r="J243" s="633">
        <v>0</v>
      </c>
      <c r="K243" s="633">
        <v>4</v>
      </c>
      <c r="L243" s="827">
        <f t="shared" si="53"/>
        <v>702</v>
      </c>
      <c r="M243" s="828">
        <v>45853</v>
      </c>
      <c r="N243" s="828">
        <v>45858</v>
      </c>
      <c r="O243" s="824" t="s">
        <v>1070</v>
      </c>
      <c r="P243" s="824" t="s">
        <v>113</v>
      </c>
      <c r="Q243" s="633"/>
      <c r="R243" s="829" t="s">
        <v>961</v>
      </c>
      <c r="S243" s="829" t="s">
        <v>70</v>
      </c>
      <c r="T243" s="829" t="s">
        <v>1134</v>
      </c>
      <c r="U243" s="829"/>
      <c r="V243" s="774" t="s">
        <v>148</v>
      </c>
      <c r="W243" s="829"/>
      <c r="X243" s="822" t="s">
        <v>149</v>
      </c>
      <c r="Y243" s="828" t="s">
        <v>106</v>
      </c>
      <c r="Z243" s="1306">
        <v>2.58</v>
      </c>
      <c r="AA243" s="831">
        <f t="shared" si="67"/>
        <v>7244.64</v>
      </c>
      <c r="AC243" s="632" t="s">
        <v>1162</v>
      </c>
      <c r="AD243" s="633" t="s">
        <v>101</v>
      </c>
      <c r="AE243" s="633" t="s">
        <v>82</v>
      </c>
      <c r="AF243" s="633"/>
      <c r="AG243" s="618" t="s">
        <v>74</v>
      </c>
      <c r="AH243" s="618"/>
      <c r="AI243" s="1308">
        <v>2808</v>
      </c>
      <c r="AJ243" s="824">
        <f t="shared" si="68"/>
        <v>0</v>
      </c>
      <c r="AK243" s="633"/>
      <c r="AL243" s="633"/>
      <c r="AM243" s="633"/>
      <c r="AN243" s="825">
        <f t="shared" si="65"/>
        <v>2808</v>
      </c>
      <c r="AO243" s="687"/>
      <c r="AP243" s="687"/>
      <c r="AQ243" s="687"/>
      <c r="AR243" s="825">
        <f t="shared" ref="AR243:AR249" si="70">I243</f>
        <v>2808</v>
      </c>
      <c r="AS243" s="687"/>
      <c r="AT243" s="687"/>
      <c r="AU243" s="825">
        <f t="shared" si="64"/>
        <v>2808</v>
      </c>
      <c r="AV243" s="825"/>
      <c r="AW243" s="551">
        <f t="shared" ref="AW243:AW256" si="71">I243</f>
        <v>2808</v>
      </c>
      <c r="AX243" s="825"/>
      <c r="AY243" s="1305"/>
      <c r="AZ243" s="1305"/>
      <c r="BA243" s="1305"/>
      <c r="BB243" s="1305"/>
      <c r="BC243" s="1305"/>
      <c r="BD243" s="1305"/>
      <c r="BE243" s="1305"/>
      <c r="BF243" s="1305"/>
      <c r="BG243" s="1305"/>
      <c r="BH243" s="825">
        <f t="shared" ref="BH243:BH255" si="72">I243/4</f>
        <v>702</v>
      </c>
      <c r="BI243" s="1305"/>
      <c r="BJ243" s="1305"/>
      <c r="BK243" s="1305"/>
      <c r="BL243" s="1305"/>
      <c r="BM243" s="1305"/>
      <c r="BN243" s="1305"/>
      <c r="BO243" s="1305"/>
      <c r="BP243" s="1305"/>
    </row>
    <row r="244" s="1265" customFormat="1" ht="31" customHeight="1" spans="1:68">
      <c r="A244" s="1304">
        <v>45799</v>
      </c>
      <c r="B244" s="822" t="s">
        <v>143</v>
      </c>
      <c r="C244" s="633" t="s">
        <v>98</v>
      </c>
      <c r="D244" s="825">
        <v>4500167605</v>
      </c>
      <c r="E244" s="1413" t="s">
        <v>1163</v>
      </c>
      <c r="F244" s="1305" t="s">
        <v>1164</v>
      </c>
      <c r="G244" s="659" t="s">
        <v>101</v>
      </c>
      <c r="H244" s="633" t="s">
        <v>102</v>
      </c>
      <c r="I244" s="633">
        <v>1568</v>
      </c>
      <c r="J244" s="633">
        <v>0</v>
      </c>
      <c r="K244" s="633">
        <v>4</v>
      </c>
      <c r="L244" s="827">
        <f t="shared" si="53"/>
        <v>392</v>
      </c>
      <c r="M244" s="828">
        <v>45859</v>
      </c>
      <c r="N244" s="828">
        <v>45864</v>
      </c>
      <c r="O244" s="824" t="s">
        <v>1165</v>
      </c>
      <c r="P244" s="824" t="s">
        <v>113</v>
      </c>
      <c r="Q244" s="633" t="s">
        <v>1166</v>
      </c>
      <c r="R244" s="829" t="s">
        <v>961</v>
      </c>
      <c r="S244" s="829" t="s">
        <v>70</v>
      </c>
      <c r="T244" s="829" t="s">
        <v>1134</v>
      </c>
      <c r="U244" s="829"/>
      <c r="V244" s="774" t="s">
        <v>148</v>
      </c>
      <c r="W244" s="829"/>
      <c r="X244" s="822" t="s">
        <v>149</v>
      </c>
      <c r="Y244" s="828" t="s">
        <v>106</v>
      </c>
      <c r="Z244" s="1306">
        <v>2.58</v>
      </c>
      <c r="AA244" s="831">
        <f t="shared" si="67"/>
        <v>4045.44</v>
      </c>
      <c r="AC244" s="632" t="s">
        <v>1167</v>
      </c>
      <c r="AD244" s="633" t="s">
        <v>101</v>
      </c>
      <c r="AE244" s="633" t="s">
        <v>82</v>
      </c>
      <c r="AF244" s="633"/>
      <c r="AG244" s="618" t="s">
        <v>74</v>
      </c>
      <c r="AH244" s="618"/>
      <c r="AI244" s="1308">
        <f>1564+4</f>
        <v>1568</v>
      </c>
      <c r="AJ244" s="824">
        <f t="shared" si="68"/>
        <v>0</v>
      </c>
      <c r="AK244" s="633"/>
      <c r="AL244" s="633"/>
      <c r="AM244" s="633"/>
      <c r="AN244" s="825">
        <f t="shared" si="65"/>
        <v>1568</v>
      </c>
      <c r="AO244" s="687"/>
      <c r="AP244" s="687"/>
      <c r="AQ244" s="687"/>
      <c r="AR244" s="825">
        <f t="shared" si="70"/>
        <v>1568</v>
      </c>
      <c r="AS244" s="687"/>
      <c r="AT244" s="687"/>
      <c r="AU244" s="825">
        <f t="shared" si="64"/>
        <v>1568</v>
      </c>
      <c r="AV244" s="825"/>
      <c r="AW244" s="551">
        <f t="shared" si="71"/>
        <v>1568</v>
      </c>
      <c r="AX244" s="825"/>
      <c r="AY244" s="1305"/>
      <c r="AZ244" s="1305"/>
      <c r="BA244" s="1305"/>
      <c r="BB244" s="1305"/>
      <c r="BC244" s="1305"/>
      <c r="BD244" s="1305"/>
      <c r="BE244" s="1305"/>
      <c r="BF244" s="1305"/>
      <c r="BG244" s="1305"/>
      <c r="BH244" s="825">
        <f t="shared" si="72"/>
        <v>392</v>
      </c>
      <c r="BI244" s="1305"/>
      <c r="BJ244" s="1305"/>
      <c r="BK244" s="1305"/>
      <c r="BL244" s="1305"/>
      <c r="BM244" s="1305"/>
      <c r="BN244" s="1305"/>
      <c r="BO244" s="1305"/>
      <c r="BP244" s="1305"/>
    </row>
    <row r="245" s="1265" customFormat="1" ht="31" customHeight="1" spans="1:68">
      <c r="A245" s="1304">
        <v>45799</v>
      </c>
      <c r="B245" s="822" t="s">
        <v>143</v>
      </c>
      <c r="C245" s="633" t="s">
        <v>98</v>
      </c>
      <c r="D245" s="825">
        <v>4500167605</v>
      </c>
      <c r="E245" s="1413" t="s">
        <v>1168</v>
      </c>
      <c r="F245" s="1305" t="s">
        <v>1169</v>
      </c>
      <c r="G245" s="659" t="s">
        <v>101</v>
      </c>
      <c r="H245" s="633" t="s">
        <v>102</v>
      </c>
      <c r="I245" s="633">
        <v>2016</v>
      </c>
      <c r="J245" s="633">
        <v>0</v>
      </c>
      <c r="K245" s="633">
        <v>4</v>
      </c>
      <c r="L245" s="827">
        <f t="shared" si="53"/>
        <v>504</v>
      </c>
      <c r="M245" s="828">
        <v>45859</v>
      </c>
      <c r="N245" s="828">
        <v>45864</v>
      </c>
      <c r="O245" s="824" t="s">
        <v>1165</v>
      </c>
      <c r="P245" s="824" t="s">
        <v>113</v>
      </c>
      <c r="Q245" s="633"/>
      <c r="R245" s="829" t="s">
        <v>961</v>
      </c>
      <c r="S245" s="829" t="s">
        <v>70</v>
      </c>
      <c r="T245" s="829" t="s">
        <v>1134</v>
      </c>
      <c r="U245" s="829"/>
      <c r="V245" s="774" t="s">
        <v>148</v>
      </c>
      <c r="W245" s="829"/>
      <c r="X245" s="822" t="s">
        <v>149</v>
      </c>
      <c r="Y245" s="828" t="s">
        <v>106</v>
      </c>
      <c r="Z245" s="1306">
        <v>2.58</v>
      </c>
      <c r="AA245" s="831">
        <f t="shared" si="67"/>
        <v>5201.28</v>
      </c>
      <c r="AC245" s="632" t="s">
        <v>1170</v>
      </c>
      <c r="AD245" s="633" t="s">
        <v>101</v>
      </c>
      <c r="AE245" s="633" t="s">
        <v>82</v>
      </c>
      <c r="AF245" s="633"/>
      <c r="AG245" s="618" t="s">
        <v>74</v>
      </c>
      <c r="AH245" s="618"/>
      <c r="AI245" s="1308">
        <f>2012+4</f>
        <v>2016</v>
      </c>
      <c r="AJ245" s="824">
        <f t="shared" si="68"/>
        <v>0</v>
      </c>
      <c r="AK245" s="633"/>
      <c r="AL245" s="633"/>
      <c r="AM245" s="633"/>
      <c r="AN245" s="825">
        <f t="shared" si="65"/>
        <v>2016</v>
      </c>
      <c r="AO245" s="687"/>
      <c r="AP245" s="687"/>
      <c r="AQ245" s="687"/>
      <c r="AR245" s="825">
        <f t="shared" si="70"/>
        <v>2016</v>
      </c>
      <c r="AS245" s="687"/>
      <c r="AT245" s="687"/>
      <c r="AU245" s="825">
        <f t="shared" si="64"/>
        <v>2016</v>
      </c>
      <c r="AV245" s="825"/>
      <c r="AW245" s="551">
        <f t="shared" si="71"/>
        <v>2016</v>
      </c>
      <c r="AX245" s="825"/>
      <c r="AY245" s="1305"/>
      <c r="AZ245" s="1305"/>
      <c r="BA245" s="1305"/>
      <c r="BB245" s="1305"/>
      <c r="BC245" s="1305"/>
      <c r="BD245" s="1305"/>
      <c r="BE245" s="1305"/>
      <c r="BF245" s="1305"/>
      <c r="BG245" s="1305"/>
      <c r="BH245" s="825">
        <f t="shared" si="72"/>
        <v>504</v>
      </c>
      <c r="BI245" s="1305"/>
      <c r="BJ245" s="1305"/>
      <c r="BK245" s="1305"/>
      <c r="BL245" s="1305"/>
      <c r="BM245" s="1305"/>
      <c r="BN245" s="1305"/>
      <c r="BO245" s="1305"/>
      <c r="BP245" s="1305"/>
    </row>
    <row r="246" s="1265" customFormat="1" ht="31" customHeight="1" spans="1:68">
      <c r="A246" s="1304">
        <v>45820</v>
      </c>
      <c r="B246" s="822" t="s">
        <v>143</v>
      </c>
      <c r="C246" s="633" t="s">
        <v>98</v>
      </c>
      <c r="D246" s="825">
        <v>4500169831</v>
      </c>
      <c r="E246" s="633"/>
      <c r="F246" s="1305" t="s">
        <v>1171</v>
      </c>
      <c r="G246" s="659" t="s">
        <v>101</v>
      </c>
      <c r="H246" s="633" t="s">
        <v>102</v>
      </c>
      <c r="I246" s="633">
        <v>2520</v>
      </c>
      <c r="J246" s="633">
        <v>0</v>
      </c>
      <c r="K246" s="633">
        <v>4</v>
      </c>
      <c r="L246" s="827">
        <f t="shared" si="53"/>
        <v>630</v>
      </c>
      <c r="M246" s="828">
        <v>45859</v>
      </c>
      <c r="N246" s="828">
        <v>45864</v>
      </c>
      <c r="O246" s="824" t="s">
        <v>1165</v>
      </c>
      <c r="P246" s="824" t="s">
        <v>113</v>
      </c>
      <c r="Q246" s="633"/>
      <c r="R246" s="829" t="s">
        <v>147</v>
      </c>
      <c r="S246" s="829" t="s">
        <v>70</v>
      </c>
      <c r="T246" s="829" t="s">
        <v>148</v>
      </c>
      <c r="U246" s="829"/>
      <c r="V246" s="774" t="s">
        <v>148</v>
      </c>
      <c r="W246" s="829"/>
      <c r="X246" s="822" t="s">
        <v>1172</v>
      </c>
      <c r="Y246" s="828" t="s">
        <v>106</v>
      </c>
      <c r="Z246" s="1306">
        <v>2.58</v>
      </c>
      <c r="AA246" s="831">
        <f t="shared" si="67"/>
        <v>6501.6</v>
      </c>
      <c r="AC246" s="632" t="s">
        <v>1173</v>
      </c>
      <c r="AD246" s="633" t="s">
        <v>101</v>
      </c>
      <c r="AE246" s="633" t="s">
        <v>82</v>
      </c>
      <c r="AF246" s="633"/>
      <c r="AG246" s="618" t="s">
        <v>74</v>
      </c>
      <c r="AH246" s="618"/>
      <c r="AI246" s="1308">
        <v>2520</v>
      </c>
      <c r="AJ246" s="824">
        <f t="shared" si="68"/>
        <v>0</v>
      </c>
      <c r="AK246" s="633"/>
      <c r="AL246" s="633"/>
      <c r="AM246" s="633"/>
      <c r="AN246" s="825">
        <f t="shared" si="65"/>
        <v>2520</v>
      </c>
      <c r="AO246" s="687"/>
      <c r="AP246" s="687"/>
      <c r="AQ246" s="687"/>
      <c r="AR246" s="825">
        <f t="shared" si="70"/>
        <v>2520</v>
      </c>
      <c r="AS246" s="687"/>
      <c r="AT246" s="687"/>
      <c r="AU246" s="825">
        <f t="shared" si="64"/>
        <v>2520</v>
      </c>
      <c r="AV246" s="825"/>
      <c r="AW246" s="551">
        <f t="shared" si="71"/>
        <v>2520</v>
      </c>
      <c r="AX246" s="825"/>
      <c r="AY246" s="1305"/>
      <c r="AZ246" s="1305"/>
      <c r="BA246" s="1305"/>
      <c r="BB246" s="1305"/>
      <c r="BC246" s="1305"/>
      <c r="BD246" s="1305"/>
      <c r="BE246" s="1305"/>
      <c r="BF246" s="1305"/>
      <c r="BG246" s="1305"/>
      <c r="BH246" s="825">
        <f t="shared" si="72"/>
        <v>630</v>
      </c>
      <c r="BI246" s="1305"/>
      <c r="BJ246" s="1305"/>
      <c r="BK246" s="1305"/>
      <c r="BL246" s="1305"/>
      <c r="BM246" s="1305"/>
      <c r="BN246" s="1305"/>
      <c r="BO246" s="1305"/>
      <c r="BP246" s="1305"/>
    </row>
    <row r="247" s="1265" customFormat="1" ht="31" customHeight="1" spans="1:68">
      <c r="A247" s="1304">
        <v>45820</v>
      </c>
      <c r="B247" s="822" t="s">
        <v>143</v>
      </c>
      <c r="C247" s="633" t="s">
        <v>98</v>
      </c>
      <c r="D247" s="825">
        <v>4500169831</v>
      </c>
      <c r="E247" s="633"/>
      <c r="F247" s="1305" t="s">
        <v>1174</v>
      </c>
      <c r="G247" s="659" t="s">
        <v>101</v>
      </c>
      <c r="H247" s="633" t="s">
        <v>102</v>
      </c>
      <c r="I247" s="633">
        <v>2088</v>
      </c>
      <c r="J247" s="633">
        <v>0</v>
      </c>
      <c r="K247" s="633">
        <v>4</v>
      </c>
      <c r="L247" s="827">
        <f t="shared" si="53"/>
        <v>522</v>
      </c>
      <c r="M247" s="828">
        <v>45859</v>
      </c>
      <c r="N247" s="828">
        <v>45864</v>
      </c>
      <c r="O247" s="824" t="s">
        <v>1165</v>
      </c>
      <c r="P247" s="824" t="s">
        <v>113</v>
      </c>
      <c r="Q247" s="633"/>
      <c r="R247" s="829" t="s">
        <v>147</v>
      </c>
      <c r="S247" s="829" t="s">
        <v>70</v>
      </c>
      <c r="T247" s="829" t="s">
        <v>148</v>
      </c>
      <c r="U247" s="829"/>
      <c r="V247" s="774" t="s">
        <v>148</v>
      </c>
      <c r="W247" s="829"/>
      <c r="X247" s="822" t="s">
        <v>1172</v>
      </c>
      <c r="Y247" s="828" t="s">
        <v>106</v>
      </c>
      <c r="Z247" s="1306">
        <v>2.58</v>
      </c>
      <c r="AA247" s="831">
        <f t="shared" si="67"/>
        <v>5387.04</v>
      </c>
      <c r="AC247" s="632" t="s">
        <v>1175</v>
      </c>
      <c r="AD247" s="633" t="s">
        <v>101</v>
      </c>
      <c r="AE247" s="633" t="s">
        <v>82</v>
      </c>
      <c r="AF247" s="633"/>
      <c r="AG247" s="618" t="s">
        <v>74</v>
      </c>
      <c r="AH247" s="618"/>
      <c r="AI247" s="1308">
        <f>2080+8</f>
        <v>2088</v>
      </c>
      <c r="AJ247" s="824">
        <f t="shared" si="68"/>
        <v>0</v>
      </c>
      <c r="AK247" s="633"/>
      <c r="AL247" s="633"/>
      <c r="AM247" s="633"/>
      <c r="AN247" s="825">
        <f t="shared" si="65"/>
        <v>2088</v>
      </c>
      <c r="AO247" s="687"/>
      <c r="AP247" s="687"/>
      <c r="AQ247" s="687"/>
      <c r="AR247" s="825">
        <f t="shared" si="70"/>
        <v>2088</v>
      </c>
      <c r="AS247" s="687"/>
      <c r="AT247" s="687"/>
      <c r="AU247" s="825">
        <f t="shared" si="64"/>
        <v>2088</v>
      </c>
      <c r="AV247" s="825"/>
      <c r="AW247" s="551">
        <f t="shared" si="71"/>
        <v>2088</v>
      </c>
      <c r="AX247" s="825"/>
      <c r="AY247" s="1305"/>
      <c r="AZ247" s="1305"/>
      <c r="BA247" s="1305"/>
      <c r="BB247" s="1305"/>
      <c r="BC247" s="1305"/>
      <c r="BD247" s="1305"/>
      <c r="BE247" s="1305"/>
      <c r="BF247" s="1305"/>
      <c r="BG247" s="1305"/>
      <c r="BH247" s="825">
        <f t="shared" si="72"/>
        <v>522</v>
      </c>
      <c r="BI247" s="1305"/>
      <c r="BJ247" s="1305"/>
      <c r="BK247" s="1305"/>
      <c r="BL247" s="1305"/>
      <c r="BM247" s="1305"/>
      <c r="BN247" s="1305"/>
      <c r="BO247" s="1305"/>
      <c r="BP247" s="1305"/>
    </row>
    <row r="248" s="1265" customFormat="1" ht="31" customHeight="1" spans="1:68">
      <c r="A248" s="1304">
        <v>45799</v>
      </c>
      <c r="B248" s="822" t="s">
        <v>143</v>
      </c>
      <c r="C248" s="633" t="s">
        <v>98</v>
      </c>
      <c r="D248" s="825">
        <v>4500167607</v>
      </c>
      <c r="E248" s="1413" t="s">
        <v>1176</v>
      </c>
      <c r="F248" s="1305" t="s">
        <v>1177</v>
      </c>
      <c r="G248" s="659" t="s">
        <v>101</v>
      </c>
      <c r="H248" s="633" t="s">
        <v>102</v>
      </c>
      <c r="I248" s="633">
        <v>1896</v>
      </c>
      <c r="J248" s="633">
        <v>0</v>
      </c>
      <c r="K248" s="633">
        <v>4</v>
      </c>
      <c r="L248" s="827">
        <f t="shared" si="53"/>
        <v>474</v>
      </c>
      <c r="M248" s="828">
        <v>45861</v>
      </c>
      <c r="N248" s="828">
        <v>45866</v>
      </c>
      <c r="O248" s="824" t="s">
        <v>1165</v>
      </c>
      <c r="P248" s="824" t="s">
        <v>113</v>
      </c>
      <c r="Q248" s="633"/>
      <c r="R248" s="829" t="s">
        <v>961</v>
      </c>
      <c r="S248" s="829" t="s">
        <v>70</v>
      </c>
      <c r="T248" s="829" t="s">
        <v>1134</v>
      </c>
      <c r="U248" s="829"/>
      <c r="V248" s="774" t="s">
        <v>148</v>
      </c>
      <c r="W248" s="829"/>
      <c r="X248" s="822" t="s">
        <v>149</v>
      </c>
      <c r="Y248" s="828" t="s">
        <v>106</v>
      </c>
      <c r="Z248" s="1306">
        <v>4.3</v>
      </c>
      <c r="AA248" s="831">
        <f t="shared" si="67"/>
        <v>8152.8</v>
      </c>
      <c r="AC248" s="632" t="s">
        <v>1178</v>
      </c>
      <c r="AD248" s="633" t="s">
        <v>101</v>
      </c>
      <c r="AE248" s="633" t="s">
        <v>82</v>
      </c>
      <c r="AF248" s="633"/>
      <c r="AG248" s="618" t="s">
        <v>74</v>
      </c>
      <c r="AH248" s="618"/>
      <c r="AI248" s="1308">
        <v>1896</v>
      </c>
      <c r="AJ248" s="824">
        <f t="shared" si="68"/>
        <v>0</v>
      </c>
      <c r="AK248" s="633"/>
      <c r="AL248" s="633"/>
      <c r="AM248" s="633"/>
      <c r="AN248" s="825">
        <f t="shared" si="65"/>
        <v>1896</v>
      </c>
      <c r="AO248" s="687"/>
      <c r="AP248" s="687"/>
      <c r="AQ248" s="687"/>
      <c r="AR248" s="825">
        <f t="shared" si="70"/>
        <v>1896</v>
      </c>
      <c r="AS248" s="687"/>
      <c r="AT248" s="687"/>
      <c r="AU248" s="825">
        <f t="shared" si="64"/>
        <v>1896</v>
      </c>
      <c r="AV248" s="825"/>
      <c r="AW248" s="551">
        <f t="shared" si="71"/>
        <v>1896</v>
      </c>
      <c r="AX248" s="825"/>
      <c r="AY248" s="1305"/>
      <c r="AZ248" s="1305"/>
      <c r="BA248" s="1305"/>
      <c r="BB248" s="1305"/>
      <c r="BC248" s="1305"/>
      <c r="BD248" s="1305"/>
      <c r="BE248" s="1305"/>
      <c r="BF248" s="1305"/>
      <c r="BG248" s="1305"/>
      <c r="BH248" s="825">
        <f t="shared" si="72"/>
        <v>474</v>
      </c>
      <c r="BI248" s="1305"/>
      <c r="BJ248" s="1305"/>
      <c r="BK248" s="1305"/>
      <c r="BL248" s="1305"/>
      <c r="BM248" s="1305"/>
      <c r="BN248" s="1305"/>
      <c r="BO248" s="1305"/>
      <c r="BP248" s="1305"/>
    </row>
    <row r="249" s="1265" customFormat="1" ht="31" customHeight="1" spans="1:68">
      <c r="A249" s="1304">
        <v>45799</v>
      </c>
      <c r="B249" s="822" t="s">
        <v>143</v>
      </c>
      <c r="C249" s="633" t="s">
        <v>98</v>
      </c>
      <c r="D249" s="825">
        <v>4500167609</v>
      </c>
      <c r="E249" s="1413" t="s">
        <v>1179</v>
      </c>
      <c r="F249" s="1305" t="s">
        <v>1180</v>
      </c>
      <c r="G249" s="659" t="s">
        <v>101</v>
      </c>
      <c r="H249" s="633" t="s">
        <v>102</v>
      </c>
      <c r="I249" s="633">
        <v>1880</v>
      </c>
      <c r="J249" s="633">
        <v>0</v>
      </c>
      <c r="K249" s="633">
        <v>4</v>
      </c>
      <c r="L249" s="827">
        <f t="shared" si="53"/>
        <v>470</v>
      </c>
      <c r="M249" s="828">
        <v>45863</v>
      </c>
      <c r="N249" s="828">
        <v>45868</v>
      </c>
      <c r="O249" s="824" t="s">
        <v>1181</v>
      </c>
      <c r="P249" s="824" t="s">
        <v>113</v>
      </c>
      <c r="Q249" s="633"/>
      <c r="R249" s="829" t="s">
        <v>961</v>
      </c>
      <c r="S249" s="829" t="s">
        <v>70</v>
      </c>
      <c r="T249" s="829" t="s">
        <v>1134</v>
      </c>
      <c r="U249" s="829"/>
      <c r="V249" s="774" t="s">
        <v>148</v>
      </c>
      <c r="W249" s="829"/>
      <c r="X249" s="822" t="s">
        <v>149</v>
      </c>
      <c r="Y249" s="828" t="s">
        <v>106</v>
      </c>
      <c r="Z249" s="1306">
        <v>4.3</v>
      </c>
      <c r="AA249" s="831">
        <f t="shared" si="67"/>
        <v>8084</v>
      </c>
      <c r="AC249" s="632" t="s">
        <v>1182</v>
      </c>
      <c r="AD249" s="633" t="s">
        <v>101</v>
      </c>
      <c r="AE249" s="633" t="s">
        <v>82</v>
      </c>
      <c r="AF249" s="633"/>
      <c r="AG249" s="618" t="s">
        <v>74</v>
      </c>
      <c r="AH249" s="618"/>
      <c r="AI249" s="1308">
        <f>1876+4</f>
        <v>1880</v>
      </c>
      <c r="AJ249" s="824">
        <f t="shared" si="68"/>
        <v>0</v>
      </c>
      <c r="AK249" s="633"/>
      <c r="AL249" s="633"/>
      <c r="AM249" s="633"/>
      <c r="AN249" s="825">
        <f t="shared" si="65"/>
        <v>1880</v>
      </c>
      <c r="AO249" s="687"/>
      <c r="AP249" s="687"/>
      <c r="AQ249" s="687"/>
      <c r="AR249" s="825">
        <f t="shared" si="70"/>
        <v>1880</v>
      </c>
      <c r="AS249" s="687"/>
      <c r="AT249" s="687"/>
      <c r="AU249" s="825">
        <f t="shared" si="64"/>
        <v>1880</v>
      </c>
      <c r="AV249" s="825"/>
      <c r="AW249" s="551">
        <f t="shared" si="71"/>
        <v>1880</v>
      </c>
      <c r="AX249" s="825"/>
      <c r="AY249" s="1305"/>
      <c r="AZ249" s="1305"/>
      <c r="BA249" s="1305"/>
      <c r="BB249" s="1305"/>
      <c r="BC249" s="1305"/>
      <c r="BD249" s="1305"/>
      <c r="BE249" s="1305"/>
      <c r="BF249" s="1305"/>
      <c r="BG249" s="1305"/>
      <c r="BH249" s="825">
        <f t="shared" si="72"/>
        <v>470</v>
      </c>
      <c r="BI249" s="1305"/>
      <c r="BJ249" s="1305"/>
      <c r="BK249" s="1305"/>
      <c r="BL249" s="1305"/>
      <c r="BM249" s="1305"/>
      <c r="BN249" s="1305"/>
      <c r="BO249" s="1305"/>
      <c r="BP249" s="1305"/>
    </row>
    <row r="250" s="1265" customFormat="1" ht="31" customHeight="1" spans="1:68">
      <c r="A250" s="1304">
        <v>45799</v>
      </c>
      <c r="B250" s="822" t="s">
        <v>143</v>
      </c>
      <c r="C250" s="633" t="s">
        <v>98</v>
      </c>
      <c r="D250" s="825">
        <v>4500167600</v>
      </c>
      <c r="E250" s="1413" t="s">
        <v>1183</v>
      </c>
      <c r="F250" s="1305" t="s">
        <v>1184</v>
      </c>
      <c r="G250" s="659" t="s">
        <v>101</v>
      </c>
      <c r="H250" s="633" t="s">
        <v>102</v>
      </c>
      <c r="I250" s="633">
        <v>1880</v>
      </c>
      <c r="J250" s="633">
        <v>0</v>
      </c>
      <c r="K250" s="633">
        <v>4</v>
      </c>
      <c r="L250" s="827">
        <f t="shared" si="53"/>
        <v>470</v>
      </c>
      <c r="M250" s="828">
        <v>45852</v>
      </c>
      <c r="N250" s="828">
        <v>45852</v>
      </c>
      <c r="O250" s="824" t="s">
        <v>1041</v>
      </c>
      <c r="P250" s="824" t="s">
        <v>113</v>
      </c>
      <c r="Q250" s="633"/>
      <c r="R250" s="829" t="s">
        <v>961</v>
      </c>
      <c r="S250" s="829" t="s">
        <v>70</v>
      </c>
      <c r="T250" s="829" t="s">
        <v>1134</v>
      </c>
      <c r="U250" s="829"/>
      <c r="V250" s="774" t="s">
        <v>148</v>
      </c>
      <c r="W250" s="829"/>
      <c r="X250" s="822" t="s">
        <v>149</v>
      </c>
      <c r="Y250" s="828" t="s">
        <v>106</v>
      </c>
      <c r="Z250" s="1306">
        <v>2.58</v>
      </c>
      <c r="AA250" s="831">
        <f t="shared" si="67"/>
        <v>4850.4</v>
      </c>
      <c r="AC250" s="632" t="s">
        <v>1185</v>
      </c>
      <c r="AD250" s="633" t="s">
        <v>101</v>
      </c>
      <c r="AE250" s="633" t="s">
        <v>82</v>
      </c>
      <c r="AF250" s="633"/>
      <c r="AG250" s="618" t="s">
        <v>74</v>
      </c>
      <c r="AH250" s="618"/>
      <c r="AI250" s="1308">
        <v>1880</v>
      </c>
      <c r="AJ250" s="824">
        <f t="shared" si="68"/>
        <v>0</v>
      </c>
      <c r="AK250" s="633"/>
      <c r="AL250" s="633"/>
      <c r="AM250" s="633"/>
      <c r="AN250" s="825">
        <f t="shared" si="65"/>
        <v>1880</v>
      </c>
      <c r="AO250" s="687"/>
      <c r="AP250" s="687"/>
      <c r="AQ250" s="687"/>
      <c r="AR250" s="825">
        <f t="shared" ref="AR250:AR255" si="73">I250</f>
        <v>1880</v>
      </c>
      <c r="AS250" s="687"/>
      <c r="AT250" s="687"/>
      <c r="AU250" s="825">
        <f t="shared" si="64"/>
        <v>1880</v>
      </c>
      <c r="AV250" s="825"/>
      <c r="AW250" s="551">
        <f t="shared" si="71"/>
        <v>1880</v>
      </c>
      <c r="AX250" s="825"/>
      <c r="AY250" s="1305"/>
      <c r="AZ250" s="1305"/>
      <c r="BA250" s="1305"/>
      <c r="BB250" s="1305"/>
      <c r="BC250" s="1305"/>
      <c r="BD250" s="1305"/>
      <c r="BE250" s="1305"/>
      <c r="BF250" s="1305"/>
      <c r="BG250" s="1305"/>
      <c r="BH250" s="825">
        <f t="shared" si="72"/>
        <v>470</v>
      </c>
      <c r="BI250" s="1305"/>
      <c r="BJ250" s="1305"/>
      <c r="BK250" s="1305"/>
      <c r="BL250" s="1305"/>
      <c r="BM250" s="1305"/>
      <c r="BN250" s="1305"/>
      <c r="BO250" s="1305"/>
      <c r="BP250" s="1305"/>
    </row>
    <row r="251" s="1265" customFormat="1" ht="31" customHeight="1" spans="1:68">
      <c r="A251" s="1304">
        <v>45799</v>
      </c>
      <c r="B251" s="822" t="s">
        <v>143</v>
      </c>
      <c r="C251" s="633" t="s">
        <v>98</v>
      </c>
      <c r="D251" s="825">
        <v>4500167600</v>
      </c>
      <c r="E251" s="1413" t="s">
        <v>1186</v>
      </c>
      <c r="F251" s="1305" t="s">
        <v>1187</v>
      </c>
      <c r="G251" s="659" t="s">
        <v>101</v>
      </c>
      <c r="H251" s="633" t="s">
        <v>102</v>
      </c>
      <c r="I251" s="633">
        <v>1872</v>
      </c>
      <c r="J251" s="633">
        <v>0</v>
      </c>
      <c r="K251" s="633">
        <v>4</v>
      </c>
      <c r="L251" s="827">
        <f t="shared" si="53"/>
        <v>468</v>
      </c>
      <c r="M251" s="828">
        <v>45852</v>
      </c>
      <c r="N251" s="828">
        <v>45852</v>
      </c>
      <c r="O251" s="824" t="s">
        <v>1041</v>
      </c>
      <c r="P251" s="824" t="s">
        <v>113</v>
      </c>
      <c r="Q251" s="633"/>
      <c r="R251" s="829" t="s">
        <v>961</v>
      </c>
      <c r="S251" s="829" t="s">
        <v>70</v>
      </c>
      <c r="T251" s="829" t="s">
        <v>1134</v>
      </c>
      <c r="U251" s="829"/>
      <c r="V251" s="774" t="s">
        <v>148</v>
      </c>
      <c r="W251" s="829"/>
      <c r="X251" s="822" t="s">
        <v>149</v>
      </c>
      <c r="Y251" s="828" t="s">
        <v>106</v>
      </c>
      <c r="Z251" s="1306">
        <v>2.58</v>
      </c>
      <c r="AA251" s="831">
        <f t="shared" si="67"/>
        <v>4829.76</v>
      </c>
      <c r="AC251" s="632" t="s">
        <v>1188</v>
      </c>
      <c r="AD251" s="633" t="s">
        <v>101</v>
      </c>
      <c r="AE251" s="633" t="s">
        <v>82</v>
      </c>
      <c r="AF251" s="633"/>
      <c r="AG251" s="618" t="s">
        <v>74</v>
      </c>
      <c r="AH251" s="618"/>
      <c r="AI251" s="1308">
        <v>1872</v>
      </c>
      <c r="AJ251" s="824">
        <f t="shared" si="68"/>
        <v>0</v>
      </c>
      <c r="AK251" s="633"/>
      <c r="AL251" s="633"/>
      <c r="AM251" s="633"/>
      <c r="AN251" s="825">
        <f t="shared" si="65"/>
        <v>1872</v>
      </c>
      <c r="AO251" s="687"/>
      <c r="AP251" s="687"/>
      <c r="AQ251" s="687"/>
      <c r="AR251" s="825">
        <f t="shared" si="73"/>
        <v>1872</v>
      </c>
      <c r="AS251" s="687"/>
      <c r="AT251" s="687"/>
      <c r="AU251" s="825">
        <f t="shared" si="64"/>
        <v>1872</v>
      </c>
      <c r="AV251" s="825"/>
      <c r="AW251" s="551">
        <f t="shared" si="71"/>
        <v>1872</v>
      </c>
      <c r="AX251" s="825"/>
      <c r="AY251" s="1305"/>
      <c r="AZ251" s="1305"/>
      <c r="BA251" s="1305"/>
      <c r="BB251" s="1305"/>
      <c r="BC251" s="1305"/>
      <c r="BD251" s="1305"/>
      <c r="BE251" s="1305"/>
      <c r="BF251" s="1305"/>
      <c r="BG251" s="1305"/>
      <c r="BH251" s="825">
        <f t="shared" si="72"/>
        <v>468</v>
      </c>
      <c r="BI251" s="1305"/>
      <c r="BJ251" s="1305"/>
      <c r="BK251" s="1305"/>
      <c r="BL251" s="1305"/>
      <c r="BM251" s="1305"/>
      <c r="BN251" s="1305"/>
      <c r="BO251" s="1305"/>
      <c r="BP251" s="1305"/>
    </row>
    <row r="252" s="1265" customFormat="1" ht="31" customHeight="1" spans="1:68">
      <c r="A252" s="1304">
        <v>45806</v>
      </c>
      <c r="B252" s="822" t="s">
        <v>143</v>
      </c>
      <c r="C252" s="633" t="s">
        <v>98</v>
      </c>
      <c r="D252" s="825">
        <v>4500168363</v>
      </c>
      <c r="E252" s="1413" t="s">
        <v>1189</v>
      </c>
      <c r="F252" s="1305" t="s">
        <v>1190</v>
      </c>
      <c r="G252" s="659" t="s">
        <v>101</v>
      </c>
      <c r="H252" s="633" t="s">
        <v>102</v>
      </c>
      <c r="I252" s="633">
        <v>1856</v>
      </c>
      <c r="J252" s="633">
        <v>0</v>
      </c>
      <c r="K252" s="633">
        <v>4</v>
      </c>
      <c r="L252" s="827">
        <f t="shared" si="53"/>
        <v>464</v>
      </c>
      <c r="M252" s="828">
        <v>45847</v>
      </c>
      <c r="N252" s="828">
        <v>45852</v>
      </c>
      <c r="O252" s="824" t="s">
        <v>1041</v>
      </c>
      <c r="P252" s="824" t="s">
        <v>113</v>
      </c>
      <c r="Q252" s="633"/>
      <c r="R252" s="829" t="s">
        <v>147</v>
      </c>
      <c r="S252" s="829" t="s">
        <v>70</v>
      </c>
      <c r="T252" s="829" t="s">
        <v>148</v>
      </c>
      <c r="U252" s="829"/>
      <c r="V252" s="774" t="s">
        <v>148</v>
      </c>
      <c r="W252" s="829"/>
      <c r="X252" s="822" t="s">
        <v>992</v>
      </c>
      <c r="Y252" s="828" t="s">
        <v>106</v>
      </c>
      <c r="Z252" s="1306">
        <v>2.58</v>
      </c>
      <c r="AA252" s="831">
        <f t="shared" si="67"/>
        <v>4788.48</v>
      </c>
      <c r="AC252" s="632" t="s">
        <v>1191</v>
      </c>
      <c r="AD252" s="633" t="s">
        <v>101</v>
      </c>
      <c r="AE252" s="633" t="s">
        <v>82</v>
      </c>
      <c r="AF252" s="633"/>
      <c r="AG252" s="618" t="s">
        <v>74</v>
      </c>
      <c r="AH252" s="618"/>
      <c r="AI252" s="1308">
        <f>1400+456</f>
        <v>1856</v>
      </c>
      <c r="AJ252" s="824">
        <f t="shared" si="68"/>
        <v>0</v>
      </c>
      <c r="AK252" s="633"/>
      <c r="AL252" s="633"/>
      <c r="AM252" s="633"/>
      <c r="AN252" s="825">
        <f t="shared" si="65"/>
        <v>1856</v>
      </c>
      <c r="AO252" s="687"/>
      <c r="AP252" s="687"/>
      <c r="AQ252" s="687"/>
      <c r="AR252" s="825">
        <f t="shared" si="73"/>
        <v>1856</v>
      </c>
      <c r="AS252" s="687"/>
      <c r="AT252" s="687"/>
      <c r="AU252" s="825">
        <f t="shared" si="64"/>
        <v>1856</v>
      </c>
      <c r="AV252" s="825"/>
      <c r="AW252" s="825">
        <f t="shared" si="71"/>
        <v>1856</v>
      </c>
      <c r="AX252" s="825"/>
      <c r="AY252" s="1305"/>
      <c r="AZ252" s="1305"/>
      <c r="BA252" s="1305"/>
      <c r="BB252" s="1305"/>
      <c r="BC252" s="1305"/>
      <c r="BD252" s="1305"/>
      <c r="BE252" s="1305"/>
      <c r="BF252" s="1305"/>
      <c r="BG252" s="1305"/>
      <c r="BH252" s="825">
        <f t="shared" si="72"/>
        <v>464</v>
      </c>
      <c r="BI252" s="1305"/>
      <c r="BJ252" s="1305"/>
      <c r="BK252" s="1305"/>
      <c r="BL252" s="1305"/>
      <c r="BM252" s="1305"/>
      <c r="BN252" s="1305"/>
      <c r="BO252" s="1305"/>
      <c r="BP252" s="1305"/>
    </row>
    <row r="253" s="1265" customFormat="1" ht="31" customHeight="1" spans="1:68">
      <c r="A253" s="1304">
        <v>45806</v>
      </c>
      <c r="B253" s="822" t="s">
        <v>143</v>
      </c>
      <c r="C253" s="633" t="s">
        <v>98</v>
      </c>
      <c r="D253" s="825">
        <v>4500168363</v>
      </c>
      <c r="E253" s="1413" t="s">
        <v>1192</v>
      </c>
      <c r="F253" s="1305" t="s">
        <v>1193</v>
      </c>
      <c r="G253" s="659" t="s">
        <v>101</v>
      </c>
      <c r="H253" s="633" t="s">
        <v>102</v>
      </c>
      <c r="I253" s="633">
        <v>2232</v>
      </c>
      <c r="J253" s="633">
        <v>0</v>
      </c>
      <c r="K253" s="633">
        <v>4</v>
      </c>
      <c r="L253" s="827">
        <f t="shared" si="53"/>
        <v>558</v>
      </c>
      <c r="M253" s="828">
        <v>45847</v>
      </c>
      <c r="N253" s="828">
        <v>45852</v>
      </c>
      <c r="O253" s="824" t="s">
        <v>1041</v>
      </c>
      <c r="P253" s="824" t="s">
        <v>113</v>
      </c>
      <c r="Q253" s="633"/>
      <c r="R253" s="829" t="s">
        <v>147</v>
      </c>
      <c r="S253" s="829" t="s">
        <v>70</v>
      </c>
      <c r="T253" s="829" t="s">
        <v>148</v>
      </c>
      <c r="U253" s="829"/>
      <c r="V253" s="774" t="s">
        <v>148</v>
      </c>
      <c r="W253" s="829"/>
      <c r="X253" s="822" t="s">
        <v>992</v>
      </c>
      <c r="Y253" s="828" t="s">
        <v>106</v>
      </c>
      <c r="Z253" s="1306">
        <v>2.58</v>
      </c>
      <c r="AA253" s="831">
        <f t="shared" si="67"/>
        <v>5758.56</v>
      </c>
      <c r="AC253" s="632" t="s">
        <v>1194</v>
      </c>
      <c r="AD253" s="633" t="s">
        <v>101</v>
      </c>
      <c r="AE253" s="633" t="s">
        <v>82</v>
      </c>
      <c r="AF253" s="633"/>
      <c r="AG253" s="618" t="s">
        <v>74</v>
      </c>
      <c r="AH253" s="618"/>
      <c r="AI253" s="1308">
        <f>4+2228</f>
        <v>2232</v>
      </c>
      <c r="AJ253" s="824">
        <f t="shared" si="68"/>
        <v>0</v>
      </c>
      <c r="AK253" s="633"/>
      <c r="AL253" s="633"/>
      <c r="AM253" s="633"/>
      <c r="AN253" s="825">
        <f t="shared" si="65"/>
        <v>2232</v>
      </c>
      <c r="AO253" s="687"/>
      <c r="AP253" s="687"/>
      <c r="AQ253" s="687"/>
      <c r="AR253" s="825">
        <f t="shared" si="73"/>
        <v>2232</v>
      </c>
      <c r="AS253" s="687"/>
      <c r="AT253" s="687"/>
      <c r="AU253" s="825">
        <f t="shared" si="64"/>
        <v>2232</v>
      </c>
      <c r="AV253" s="825"/>
      <c r="AW253" s="825">
        <f t="shared" si="71"/>
        <v>2232</v>
      </c>
      <c r="AX253" s="825"/>
      <c r="AY253" s="1305"/>
      <c r="AZ253" s="1305"/>
      <c r="BA253" s="1305"/>
      <c r="BB253" s="1305"/>
      <c r="BC253" s="1305"/>
      <c r="BD253" s="1305"/>
      <c r="BE253" s="1305"/>
      <c r="BF253" s="1305"/>
      <c r="BG253" s="1305"/>
      <c r="BH253" s="825">
        <f t="shared" si="72"/>
        <v>558</v>
      </c>
      <c r="BI253" s="1305"/>
      <c r="BJ253" s="1305"/>
      <c r="BK253" s="1305"/>
      <c r="BL253" s="1305"/>
      <c r="BM253" s="1305"/>
      <c r="BN253" s="1305"/>
      <c r="BO253" s="1305"/>
      <c r="BP253" s="1305"/>
    </row>
    <row r="254" s="1265" customFormat="1" ht="31" customHeight="1" spans="1:68">
      <c r="A254" s="1304">
        <v>45799</v>
      </c>
      <c r="B254" s="822" t="s">
        <v>143</v>
      </c>
      <c r="C254" s="633" t="s">
        <v>98</v>
      </c>
      <c r="D254" s="825">
        <v>4500167596</v>
      </c>
      <c r="E254" s="1413" t="s">
        <v>1195</v>
      </c>
      <c r="F254" s="1305" t="s">
        <v>1196</v>
      </c>
      <c r="G254" s="659" t="s">
        <v>101</v>
      </c>
      <c r="H254" s="633" t="s">
        <v>102</v>
      </c>
      <c r="I254" s="633">
        <v>1568</v>
      </c>
      <c r="J254" s="633">
        <v>0</v>
      </c>
      <c r="K254" s="633">
        <v>4</v>
      </c>
      <c r="L254" s="827">
        <f t="shared" si="53"/>
        <v>392</v>
      </c>
      <c r="M254" s="828">
        <v>45848</v>
      </c>
      <c r="N254" s="828">
        <v>45853</v>
      </c>
      <c r="O254" s="824" t="s">
        <v>1138</v>
      </c>
      <c r="P254" s="824" t="s">
        <v>113</v>
      </c>
      <c r="Q254" s="633"/>
      <c r="R254" s="829" t="s">
        <v>961</v>
      </c>
      <c r="S254" s="829" t="s">
        <v>70</v>
      </c>
      <c r="T254" s="829">
        <v>45826</v>
      </c>
      <c r="U254" s="829"/>
      <c r="V254" s="774" t="s">
        <v>148</v>
      </c>
      <c r="W254" s="829"/>
      <c r="X254" s="822" t="s">
        <v>149</v>
      </c>
      <c r="Y254" s="828" t="s">
        <v>106</v>
      </c>
      <c r="Z254" s="1306">
        <v>2.58</v>
      </c>
      <c r="AA254" s="831">
        <f t="shared" si="67"/>
        <v>4045.44</v>
      </c>
      <c r="AC254" s="632" t="s">
        <v>1197</v>
      </c>
      <c r="AD254" s="633" t="s">
        <v>101</v>
      </c>
      <c r="AE254" s="633" t="s">
        <v>82</v>
      </c>
      <c r="AF254" s="633"/>
      <c r="AG254" s="618" t="s">
        <v>74</v>
      </c>
      <c r="AH254" s="618"/>
      <c r="AI254" s="1308">
        <f>1564+4</f>
        <v>1568</v>
      </c>
      <c r="AJ254" s="824">
        <f t="shared" si="68"/>
        <v>0</v>
      </c>
      <c r="AK254" s="633"/>
      <c r="AL254" s="633"/>
      <c r="AM254" s="633"/>
      <c r="AN254" s="825">
        <f t="shared" si="65"/>
        <v>1568</v>
      </c>
      <c r="AO254" s="687"/>
      <c r="AP254" s="687"/>
      <c r="AQ254" s="687"/>
      <c r="AR254" s="825">
        <f t="shared" si="73"/>
        <v>1568</v>
      </c>
      <c r="AS254" s="687"/>
      <c r="AT254" s="687"/>
      <c r="AU254" s="825">
        <f t="shared" si="64"/>
        <v>1568</v>
      </c>
      <c r="AV254" s="825"/>
      <c r="AW254" s="551">
        <f t="shared" si="71"/>
        <v>1568</v>
      </c>
      <c r="AX254" s="825"/>
      <c r="AY254" s="1305"/>
      <c r="AZ254" s="1305"/>
      <c r="BA254" s="1305"/>
      <c r="BB254" s="1305"/>
      <c r="BC254" s="1305"/>
      <c r="BD254" s="1305"/>
      <c r="BE254" s="1305"/>
      <c r="BF254" s="1305"/>
      <c r="BG254" s="1305"/>
      <c r="BH254" s="825">
        <f t="shared" si="72"/>
        <v>392</v>
      </c>
      <c r="BI254" s="1305"/>
      <c r="BJ254" s="1305"/>
      <c r="BK254" s="1305"/>
      <c r="BL254" s="1305"/>
      <c r="BM254" s="1305"/>
      <c r="BN254" s="1305"/>
      <c r="BO254" s="1305"/>
      <c r="BP254" s="1305"/>
    </row>
    <row r="255" s="1265" customFormat="1" ht="31" customHeight="1" spans="1:68">
      <c r="A255" s="1304">
        <v>45799</v>
      </c>
      <c r="B255" s="822" t="s">
        <v>143</v>
      </c>
      <c r="C255" s="633" t="s">
        <v>98</v>
      </c>
      <c r="D255" s="825">
        <v>4500167596</v>
      </c>
      <c r="E255" s="1413" t="s">
        <v>1198</v>
      </c>
      <c r="F255" s="1305" t="s">
        <v>1199</v>
      </c>
      <c r="G255" s="659" t="s">
        <v>101</v>
      </c>
      <c r="H255" s="633" t="s">
        <v>102</v>
      </c>
      <c r="I255" s="633">
        <v>2016</v>
      </c>
      <c r="J255" s="633">
        <v>0</v>
      </c>
      <c r="K255" s="633">
        <v>4</v>
      </c>
      <c r="L255" s="827">
        <f t="shared" si="53"/>
        <v>504</v>
      </c>
      <c r="M255" s="828">
        <v>45848</v>
      </c>
      <c r="N255" s="828">
        <v>45853</v>
      </c>
      <c r="O255" s="824" t="s">
        <v>1138</v>
      </c>
      <c r="P255" s="824" t="s">
        <v>113</v>
      </c>
      <c r="Q255" s="633"/>
      <c r="R255" s="829" t="s">
        <v>961</v>
      </c>
      <c r="S255" s="829" t="s">
        <v>70</v>
      </c>
      <c r="T255" s="829">
        <v>45826</v>
      </c>
      <c r="U255" s="829"/>
      <c r="V255" s="774" t="s">
        <v>148</v>
      </c>
      <c r="W255" s="829"/>
      <c r="X255" s="822" t="s">
        <v>149</v>
      </c>
      <c r="Y255" s="828" t="s">
        <v>106</v>
      </c>
      <c r="Z255" s="1306">
        <v>2.58</v>
      </c>
      <c r="AA255" s="831">
        <f t="shared" si="67"/>
        <v>5201.28</v>
      </c>
      <c r="AC255" s="632" t="s">
        <v>1200</v>
      </c>
      <c r="AD255" s="633" t="s">
        <v>101</v>
      </c>
      <c r="AE255" s="633" t="s">
        <v>82</v>
      </c>
      <c r="AF255" s="633"/>
      <c r="AG255" s="618" t="s">
        <v>74</v>
      </c>
      <c r="AH255" s="618"/>
      <c r="AI255" s="1308">
        <v>2016</v>
      </c>
      <c r="AJ255" s="824">
        <f t="shared" si="68"/>
        <v>0</v>
      </c>
      <c r="AK255" s="633"/>
      <c r="AL255" s="633"/>
      <c r="AM255" s="633"/>
      <c r="AN255" s="825">
        <f t="shared" si="65"/>
        <v>2016</v>
      </c>
      <c r="AO255" s="687"/>
      <c r="AP255" s="687"/>
      <c r="AQ255" s="687"/>
      <c r="AR255" s="825">
        <f t="shared" si="73"/>
        <v>2016</v>
      </c>
      <c r="AS255" s="687"/>
      <c r="AT255" s="687"/>
      <c r="AU255" s="825">
        <f t="shared" si="64"/>
        <v>2016</v>
      </c>
      <c r="AV255" s="825"/>
      <c r="AW255" s="551">
        <f t="shared" si="71"/>
        <v>2016</v>
      </c>
      <c r="AX255" s="825"/>
      <c r="AY255" s="1305"/>
      <c r="AZ255" s="1305"/>
      <c r="BA255" s="1305"/>
      <c r="BB255" s="1305"/>
      <c r="BC255" s="1305"/>
      <c r="BD255" s="1305"/>
      <c r="BE255" s="1305"/>
      <c r="BF255" s="1305"/>
      <c r="BG255" s="1305"/>
      <c r="BH255" s="825">
        <f t="shared" si="72"/>
        <v>504</v>
      </c>
      <c r="BI255" s="1305"/>
      <c r="BJ255" s="1305"/>
      <c r="BK255" s="1305"/>
      <c r="BL255" s="1305"/>
      <c r="BM255" s="1305"/>
      <c r="BN255" s="1305"/>
      <c r="BO255" s="1305"/>
      <c r="BP255" s="1305"/>
    </row>
    <row r="256" s="1265" customFormat="1" ht="31" customHeight="1" spans="1:68">
      <c r="A256" s="1304">
        <v>45803</v>
      </c>
      <c r="B256" s="822" t="s">
        <v>1201</v>
      </c>
      <c r="C256" s="633" t="s">
        <v>524</v>
      </c>
      <c r="D256" s="825">
        <v>4500167907</v>
      </c>
      <c r="E256" s="633">
        <v>129631875</v>
      </c>
      <c r="F256" s="1305" t="s">
        <v>1202</v>
      </c>
      <c r="G256" s="659" t="s">
        <v>68</v>
      </c>
      <c r="H256" s="633" t="s">
        <v>69</v>
      </c>
      <c r="I256" s="633">
        <v>852</v>
      </c>
      <c r="J256" s="633">
        <v>0</v>
      </c>
      <c r="K256" s="633">
        <v>12</v>
      </c>
      <c r="L256" s="827">
        <f t="shared" si="53"/>
        <v>71</v>
      </c>
      <c r="M256" s="828">
        <v>45856</v>
      </c>
      <c r="N256" s="828">
        <v>45854</v>
      </c>
      <c r="O256" s="824"/>
      <c r="P256" s="824" t="s">
        <v>113</v>
      </c>
      <c r="Q256" s="633"/>
      <c r="R256" s="829">
        <v>45827</v>
      </c>
      <c r="S256" s="829" t="s">
        <v>70</v>
      </c>
      <c r="T256" s="829">
        <v>45833</v>
      </c>
      <c r="U256" s="829"/>
      <c r="V256" s="829"/>
      <c r="W256" s="829"/>
      <c r="X256" s="822" t="s">
        <v>1203</v>
      </c>
      <c r="Y256" s="828" t="s">
        <v>340</v>
      </c>
      <c r="Z256" s="1306">
        <v>4.1456</v>
      </c>
      <c r="AA256" s="831">
        <f t="shared" si="67"/>
        <v>3532.0512</v>
      </c>
      <c r="AC256" s="617" t="s">
        <v>1204</v>
      </c>
      <c r="AD256" s="633" t="s">
        <v>184</v>
      </c>
      <c r="AE256" s="633" t="s">
        <v>82</v>
      </c>
      <c r="AF256" s="633"/>
      <c r="AG256" s="618" t="s">
        <v>74</v>
      </c>
      <c r="AH256" s="618"/>
      <c r="AI256" s="1308">
        <f>852+12</f>
        <v>864</v>
      </c>
      <c r="AJ256" s="824">
        <f t="shared" si="68"/>
        <v>12</v>
      </c>
      <c r="AK256" s="633"/>
      <c r="AL256" s="633"/>
      <c r="AM256" s="633"/>
      <c r="AN256" s="825">
        <f t="shared" si="65"/>
        <v>852</v>
      </c>
      <c r="AO256" s="687"/>
      <c r="AP256" s="687"/>
      <c r="AQ256" s="687"/>
      <c r="AR256" s="825"/>
      <c r="AS256" s="687">
        <f>I256</f>
        <v>852</v>
      </c>
      <c r="AT256" s="687"/>
      <c r="AU256" s="825">
        <f t="shared" si="64"/>
        <v>852</v>
      </c>
      <c r="AV256" s="825"/>
      <c r="AW256" s="825">
        <f t="shared" si="71"/>
        <v>852</v>
      </c>
      <c r="AX256" s="825"/>
      <c r="AY256" s="1305"/>
      <c r="AZ256" s="1305"/>
      <c r="BA256" s="1305"/>
      <c r="BB256" s="1305"/>
      <c r="BC256" s="1305"/>
      <c r="BD256" s="1305"/>
      <c r="BE256" s="1305"/>
      <c r="BF256" s="1305"/>
      <c r="BG256" s="1305"/>
      <c r="BH256" s="1305"/>
      <c r="BI256" s="1305"/>
      <c r="BJ256" s="1305"/>
      <c r="BK256" s="1305"/>
      <c r="BL256" s="1305"/>
      <c r="BM256" s="1305"/>
      <c r="BN256" s="1305"/>
      <c r="BO256" s="1305"/>
      <c r="BP256" s="1305"/>
    </row>
    <row r="257" s="1265" customFormat="1" ht="31" customHeight="1" spans="1:68">
      <c r="A257" s="1304">
        <v>45771</v>
      </c>
      <c r="B257" s="822" t="s">
        <v>907</v>
      </c>
      <c r="C257" s="633" t="s">
        <v>170</v>
      </c>
      <c r="D257" s="825">
        <v>4500161405</v>
      </c>
      <c r="E257" s="1413" t="s">
        <v>1205</v>
      </c>
      <c r="F257" s="1305" t="s">
        <v>1206</v>
      </c>
      <c r="G257" s="659" t="s">
        <v>909</v>
      </c>
      <c r="H257" s="633" t="s">
        <v>830</v>
      </c>
      <c r="I257" s="633">
        <v>72</v>
      </c>
      <c r="J257" s="633">
        <v>0</v>
      </c>
      <c r="K257" s="633">
        <v>1</v>
      </c>
      <c r="L257" s="827">
        <f t="shared" si="53"/>
        <v>72</v>
      </c>
      <c r="M257" s="828">
        <v>45854</v>
      </c>
      <c r="N257" s="828">
        <v>45852</v>
      </c>
      <c r="O257" s="824"/>
      <c r="P257" s="824" t="s">
        <v>113</v>
      </c>
      <c r="Q257" s="633"/>
      <c r="R257" s="829">
        <v>45790</v>
      </c>
      <c r="S257" s="829" t="s">
        <v>70</v>
      </c>
      <c r="T257" s="829" t="s">
        <v>70</v>
      </c>
      <c r="U257" s="829"/>
      <c r="V257" s="829"/>
      <c r="W257" s="829"/>
      <c r="X257" s="822" t="s">
        <v>910</v>
      </c>
      <c r="Y257" s="828" t="s">
        <v>911</v>
      </c>
      <c r="Z257" s="1306">
        <v>0</v>
      </c>
      <c r="AA257" s="831">
        <v>0</v>
      </c>
      <c r="AB257" s="1265"/>
      <c r="AC257" s="617" t="s">
        <v>1207</v>
      </c>
      <c r="AD257" s="633" t="s">
        <v>909</v>
      </c>
      <c r="AE257" s="633" t="s">
        <v>82</v>
      </c>
      <c r="AF257" s="633"/>
      <c r="AG257" s="618"/>
      <c r="AH257" s="618"/>
      <c r="AI257" s="1308">
        <f>1500+600+900+2400</f>
        <v>5400</v>
      </c>
      <c r="AJ257" s="824">
        <f>AI257-I258</f>
        <v>0</v>
      </c>
      <c r="AK257" s="633"/>
      <c r="AL257" s="633"/>
      <c r="AM257" s="633"/>
      <c r="AN257" s="825"/>
      <c r="AO257" s="687"/>
      <c r="AP257" s="687"/>
      <c r="AQ257" s="687"/>
      <c r="AR257" s="825"/>
      <c r="AS257" s="687"/>
      <c r="AT257" s="687"/>
      <c r="AU257" s="825"/>
      <c r="AV257" s="825"/>
      <c r="AW257" s="825"/>
      <c r="AX257" s="825"/>
      <c r="AY257" s="1305"/>
      <c r="AZ257" s="1305"/>
      <c r="BA257" s="1305"/>
      <c r="BB257" s="1305"/>
      <c r="BC257" s="1305"/>
      <c r="BD257" s="1305"/>
      <c r="BE257" s="1305"/>
      <c r="BF257" s="1305"/>
      <c r="BG257" s="1305"/>
      <c r="BH257" s="1305"/>
      <c r="BI257" s="1305"/>
      <c r="BJ257" s="1305"/>
      <c r="BK257" s="1305"/>
      <c r="BL257" s="1305"/>
      <c r="BM257" s="1305"/>
      <c r="BN257" s="1305"/>
      <c r="BO257" s="1305"/>
      <c r="BP257" s="1305"/>
    </row>
    <row r="258" s="1265" customFormat="1" ht="31" customHeight="1" spans="1:68">
      <c r="A258" s="1304">
        <v>45771</v>
      </c>
      <c r="B258" s="822" t="s">
        <v>907</v>
      </c>
      <c r="C258" s="633" t="s">
        <v>170</v>
      </c>
      <c r="D258" s="825">
        <v>4500161405</v>
      </c>
      <c r="E258" s="1413" t="s">
        <v>1205</v>
      </c>
      <c r="F258" s="1305" t="s">
        <v>1206</v>
      </c>
      <c r="G258" s="659" t="s">
        <v>515</v>
      </c>
      <c r="H258" s="633" t="s">
        <v>112</v>
      </c>
      <c r="I258" s="633">
        <v>5400</v>
      </c>
      <c r="J258" s="633">
        <v>0</v>
      </c>
      <c r="K258" s="633">
        <v>75</v>
      </c>
      <c r="L258" s="827">
        <f t="shared" si="53"/>
        <v>72</v>
      </c>
      <c r="M258" s="828">
        <v>45854</v>
      </c>
      <c r="N258" s="828">
        <v>45852</v>
      </c>
      <c r="O258" s="824"/>
      <c r="P258" s="824" t="s">
        <v>113</v>
      </c>
      <c r="Q258" s="633"/>
      <c r="R258" s="829">
        <v>45790</v>
      </c>
      <c r="S258" s="829" t="s">
        <v>70</v>
      </c>
      <c r="T258" s="829" t="s">
        <v>70</v>
      </c>
      <c r="U258" s="829"/>
      <c r="V258" s="829"/>
      <c r="W258" s="829"/>
      <c r="X258" s="822" t="s">
        <v>910</v>
      </c>
      <c r="Y258" s="828" t="s">
        <v>911</v>
      </c>
      <c r="Z258" s="1306">
        <v>762.5</v>
      </c>
      <c r="AA258" s="831">
        <f>Z258*L258</f>
        <v>54900</v>
      </c>
      <c r="AC258" s="1313" t="s">
        <v>1208</v>
      </c>
      <c r="AD258" s="633" t="s">
        <v>909</v>
      </c>
      <c r="AE258" s="633" t="s">
        <v>82</v>
      </c>
      <c r="AF258" s="633"/>
      <c r="AG258" s="618"/>
      <c r="AH258" s="618"/>
      <c r="AI258" s="1308">
        <v>0</v>
      </c>
      <c r="AJ258" s="824">
        <v>0</v>
      </c>
      <c r="AK258" s="633"/>
      <c r="AL258" s="633"/>
      <c r="AM258" s="633"/>
      <c r="AN258" s="825"/>
      <c r="AO258" s="687">
        <f>I258</f>
        <v>5400</v>
      </c>
      <c r="AP258" s="687"/>
      <c r="AQ258" s="687"/>
      <c r="AR258" s="825"/>
      <c r="AS258" s="687"/>
      <c r="AT258" s="687"/>
      <c r="AU258" s="825"/>
      <c r="AV258" s="825"/>
      <c r="AW258" s="825"/>
      <c r="AX258" s="825"/>
      <c r="AY258" s="1305"/>
      <c r="AZ258" s="1305"/>
      <c r="BA258" s="1305">
        <f>I258</f>
        <v>5400</v>
      </c>
      <c r="BB258" s="1305">
        <f>I258</f>
        <v>5400</v>
      </c>
      <c r="BC258" s="1305">
        <f>I258</f>
        <v>5400</v>
      </c>
      <c r="BD258" s="1305"/>
      <c r="BE258" s="1305"/>
      <c r="BF258" s="1305"/>
      <c r="BG258" s="1305"/>
      <c r="BH258" s="1305"/>
      <c r="BI258" s="1305"/>
      <c r="BJ258" s="1305"/>
      <c r="BK258" s="1305">
        <f>I258</f>
        <v>5400</v>
      </c>
      <c r="BL258" s="1305">
        <f>I258/5</f>
        <v>1080</v>
      </c>
      <c r="BM258" s="1305"/>
      <c r="BN258" s="1305"/>
      <c r="BO258" s="1305"/>
      <c r="BP258" s="1305"/>
    </row>
    <row r="259" s="1265" customFormat="1" ht="31" customHeight="1" spans="1:68">
      <c r="A259" s="1304">
        <v>45805</v>
      </c>
      <c r="B259" s="822" t="s">
        <v>325</v>
      </c>
      <c r="C259" s="633" t="s">
        <v>98</v>
      </c>
      <c r="D259" s="825">
        <v>4500168202</v>
      </c>
      <c r="E259" s="633" t="s">
        <v>1209</v>
      </c>
      <c r="F259" s="1305" t="s">
        <v>1210</v>
      </c>
      <c r="G259" s="659" t="s">
        <v>249</v>
      </c>
      <c r="H259" s="633" t="s">
        <v>250</v>
      </c>
      <c r="I259" s="633">
        <v>2508</v>
      </c>
      <c r="J259" s="633">
        <v>0</v>
      </c>
      <c r="K259" s="633">
        <v>4</v>
      </c>
      <c r="L259" s="827">
        <f t="shared" si="53"/>
        <v>627</v>
      </c>
      <c r="M259" s="828">
        <v>45860</v>
      </c>
      <c r="N259" s="828">
        <v>45858</v>
      </c>
      <c r="O259" s="824"/>
      <c r="P259" s="824" t="s">
        <v>113</v>
      </c>
      <c r="Q259" s="633"/>
      <c r="R259" s="829">
        <v>45817</v>
      </c>
      <c r="S259" s="829" t="s">
        <v>104</v>
      </c>
      <c r="T259" s="829" t="s">
        <v>1211</v>
      </c>
      <c r="U259" s="829"/>
      <c r="V259" s="829"/>
      <c r="W259" s="829"/>
      <c r="X259" s="822" t="s">
        <v>1212</v>
      </c>
      <c r="Y259" s="828" t="s">
        <v>252</v>
      </c>
      <c r="Z259" s="1306">
        <v>3.318</v>
      </c>
      <c r="AA259" s="831">
        <f t="shared" ref="AA259:AA276" si="74">Z259*I259</f>
        <v>8321.544</v>
      </c>
      <c r="AC259" s="632" t="s">
        <v>1213</v>
      </c>
      <c r="AD259" s="633" t="s">
        <v>249</v>
      </c>
      <c r="AE259" s="633" t="s">
        <v>82</v>
      </c>
      <c r="AF259" s="633"/>
      <c r="AG259" s="618" t="s">
        <v>74</v>
      </c>
      <c r="AH259" s="618"/>
      <c r="AI259" s="1308">
        <v>2508</v>
      </c>
      <c r="AJ259" s="824">
        <f>AI259-I259</f>
        <v>0</v>
      </c>
      <c r="AK259" s="633"/>
      <c r="AL259" s="633"/>
      <c r="AM259" s="633"/>
      <c r="AN259" s="825"/>
      <c r="AO259" s="687"/>
      <c r="AP259" s="687">
        <f>I259</f>
        <v>2508</v>
      </c>
      <c r="AQ259" s="687"/>
      <c r="AR259" s="825"/>
      <c r="AS259" s="687"/>
      <c r="AT259" s="687"/>
      <c r="AU259" s="825"/>
      <c r="AV259" s="825"/>
      <c r="AW259" s="825">
        <f>I259</f>
        <v>2508</v>
      </c>
      <c r="AX259" s="825"/>
      <c r="AY259" s="1305"/>
      <c r="AZ259" s="1305"/>
      <c r="BA259" s="1305"/>
      <c r="BB259" s="1305"/>
      <c r="BC259" s="1305"/>
      <c r="BD259" s="1305"/>
      <c r="BE259" s="1305"/>
      <c r="BF259" s="1305">
        <f>I259</f>
        <v>2508</v>
      </c>
      <c r="BG259" s="1305">
        <f>I259</f>
        <v>2508</v>
      </c>
      <c r="BH259" s="825">
        <f>I259/4</f>
        <v>627</v>
      </c>
      <c r="BI259" s="1305"/>
      <c r="BJ259" s="1305"/>
      <c r="BK259" s="1305"/>
      <c r="BL259" s="1305"/>
      <c r="BM259" s="1305"/>
      <c r="BN259" s="1305"/>
      <c r="BO259" s="1305"/>
      <c r="BP259" s="1305"/>
    </row>
    <row r="260" s="1265" customFormat="1" ht="31" customHeight="1" spans="1:68">
      <c r="A260" s="1304">
        <v>45799</v>
      </c>
      <c r="B260" s="822" t="s">
        <v>1214</v>
      </c>
      <c r="C260" s="633" t="s">
        <v>524</v>
      </c>
      <c r="D260" s="825">
        <v>4500167249</v>
      </c>
      <c r="E260" s="633">
        <v>5040017</v>
      </c>
      <c r="F260" s="1305" t="s">
        <v>1215</v>
      </c>
      <c r="G260" s="659" t="s">
        <v>68</v>
      </c>
      <c r="H260" s="633" t="s">
        <v>69</v>
      </c>
      <c r="I260" s="633">
        <v>1800</v>
      </c>
      <c r="J260" s="633">
        <v>0</v>
      </c>
      <c r="K260" s="633">
        <v>12</v>
      </c>
      <c r="L260" s="827">
        <f t="shared" si="53"/>
        <v>150</v>
      </c>
      <c r="M260" s="828">
        <v>45859</v>
      </c>
      <c r="N260" s="828">
        <v>45859</v>
      </c>
      <c r="O260" s="824"/>
      <c r="P260" s="824" t="s">
        <v>113</v>
      </c>
      <c r="Q260" s="633"/>
      <c r="R260" s="829">
        <v>45831</v>
      </c>
      <c r="S260" s="829" t="s">
        <v>70</v>
      </c>
      <c r="T260" s="829">
        <v>45835</v>
      </c>
      <c r="U260" s="829"/>
      <c r="V260" s="829"/>
      <c r="W260" s="829"/>
      <c r="X260" s="628" t="s">
        <v>1216</v>
      </c>
      <c r="Y260" s="828" t="s">
        <v>340</v>
      </c>
      <c r="Z260" s="1306">
        <v>4.1456</v>
      </c>
      <c r="AA260" s="831">
        <f t="shared" si="74"/>
        <v>7462.08</v>
      </c>
      <c r="AC260" s="632" t="s">
        <v>1217</v>
      </c>
      <c r="AD260" s="633" t="s">
        <v>184</v>
      </c>
      <c r="AE260" s="633" t="s">
        <v>82</v>
      </c>
      <c r="AF260" s="633"/>
      <c r="AG260" s="618"/>
      <c r="AH260" s="618"/>
      <c r="AI260" s="1308">
        <v>1800</v>
      </c>
      <c r="AJ260" s="824">
        <f>AI260-I260</f>
        <v>0</v>
      </c>
      <c r="AK260" s="633"/>
      <c r="AL260" s="633"/>
      <c r="AM260" s="633"/>
      <c r="AN260" s="825">
        <f>I260</f>
        <v>1800</v>
      </c>
      <c r="AO260" s="687"/>
      <c r="AP260" s="687"/>
      <c r="AQ260" s="687"/>
      <c r="AR260" s="825"/>
      <c r="AS260" s="687">
        <f>I260</f>
        <v>1800</v>
      </c>
      <c r="AT260" s="687"/>
      <c r="AU260" s="825">
        <f t="shared" ref="AU260:AU267" si="75">I260</f>
        <v>1800</v>
      </c>
      <c r="AV260" s="825"/>
      <c r="AW260" s="825">
        <f>I260</f>
        <v>1800</v>
      </c>
      <c r="AX260" s="825"/>
      <c r="AY260" s="1305"/>
      <c r="AZ260" s="1305"/>
      <c r="BA260" s="1305"/>
      <c r="BB260" s="1305"/>
      <c r="BC260" s="1305"/>
      <c r="BD260" s="1305"/>
      <c r="BE260" s="1305"/>
      <c r="BF260" s="1305"/>
      <c r="BG260" s="1305"/>
      <c r="BH260" s="1305"/>
      <c r="BI260" s="1305"/>
      <c r="BJ260" s="1305"/>
      <c r="BK260" s="1305"/>
      <c r="BL260" s="1305"/>
      <c r="BM260" s="1305"/>
      <c r="BN260" s="1305"/>
      <c r="BO260" s="1305"/>
      <c r="BP260" s="1305"/>
    </row>
    <row r="261" s="1265" customFormat="1" ht="31" customHeight="1" spans="1:68">
      <c r="A261" s="1304">
        <v>45818</v>
      </c>
      <c r="B261" s="822" t="s">
        <v>1218</v>
      </c>
      <c r="C261" s="633" t="s">
        <v>399</v>
      </c>
      <c r="D261" s="825">
        <v>4500169530</v>
      </c>
      <c r="E261" s="633"/>
      <c r="F261" s="1305" t="s">
        <v>1219</v>
      </c>
      <c r="G261" s="659" t="s">
        <v>518</v>
      </c>
      <c r="H261" s="633" t="s">
        <v>477</v>
      </c>
      <c r="I261" s="633">
        <v>240</v>
      </c>
      <c r="J261" s="633">
        <v>0</v>
      </c>
      <c r="K261" s="633">
        <v>6</v>
      </c>
      <c r="L261" s="827">
        <f t="shared" ref="L261:L320" si="76">I261/K261</f>
        <v>40</v>
      </c>
      <c r="M261" s="828">
        <v>45863</v>
      </c>
      <c r="N261" s="828">
        <v>45861</v>
      </c>
      <c r="O261" s="824"/>
      <c r="P261" s="824" t="s">
        <v>113</v>
      </c>
      <c r="Q261" s="633"/>
      <c r="R261" s="829">
        <v>45818</v>
      </c>
      <c r="S261" s="829" t="s">
        <v>70</v>
      </c>
      <c r="T261" s="829" t="s">
        <v>1220</v>
      </c>
      <c r="U261" s="829"/>
      <c r="V261" s="829"/>
      <c r="W261" s="829"/>
      <c r="X261" s="822" t="s">
        <v>1221</v>
      </c>
      <c r="Y261" s="828" t="s">
        <v>402</v>
      </c>
      <c r="Z261" s="1306">
        <v>8.1</v>
      </c>
      <c r="AA261" s="831">
        <f t="shared" si="74"/>
        <v>1944</v>
      </c>
      <c r="AC261" s="617" t="s">
        <v>1222</v>
      </c>
      <c r="AD261" s="633" t="s">
        <v>480</v>
      </c>
      <c r="AE261" s="633" t="s">
        <v>82</v>
      </c>
      <c r="AF261" s="633"/>
      <c r="AG261" s="618"/>
      <c r="AH261" s="618"/>
      <c r="AI261" s="1308">
        <f>I261</f>
        <v>240</v>
      </c>
      <c r="AJ261" s="824">
        <f>AI261-I261</f>
        <v>0</v>
      </c>
      <c r="AK261" s="633"/>
      <c r="AL261" s="633"/>
      <c r="AM261" s="633"/>
      <c r="AN261" s="825">
        <f>I261</f>
        <v>240</v>
      </c>
      <c r="AO261" s="687"/>
      <c r="AP261" s="687"/>
      <c r="AQ261" s="687"/>
      <c r="AR261" s="825"/>
      <c r="AS261" s="687">
        <f>I261</f>
        <v>240</v>
      </c>
      <c r="AT261" s="687"/>
      <c r="AU261" s="825">
        <f t="shared" si="75"/>
        <v>240</v>
      </c>
      <c r="AV261" s="825"/>
      <c r="AW261" s="551">
        <f>I261</f>
        <v>240</v>
      </c>
      <c r="AX261" s="825"/>
      <c r="AY261" s="1305"/>
      <c r="AZ261" s="1305"/>
      <c r="BA261" s="1305"/>
      <c r="BB261" s="1305"/>
      <c r="BC261" s="1305"/>
      <c r="BD261" s="1305"/>
      <c r="BE261" s="1305"/>
      <c r="BF261" s="1305"/>
      <c r="BG261" s="1305"/>
      <c r="BH261" s="1305"/>
      <c r="BI261" s="1305"/>
      <c r="BJ261" s="1305"/>
      <c r="BK261" s="1305"/>
      <c r="BL261" s="1305"/>
      <c r="BM261" s="825"/>
      <c r="BN261" s="1305">
        <f>I261</f>
        <v>240</v>
      </c>
      <c r="BO261" s="1305"/>
      <c r="BP261" s="1305"/>
    </row>
    <row r="262" s="1265" customFormat="1" ht="31" customHeight="1" spans="1:68">
      <c r="A262" s="1304">
        <v>45775</v>
      </c>
      <c r="B262" s="822" t="s">
        <v>650</v>
      </c>
      <c r="C262" s="633" t="s">
        <v>424</v>
      </c>
      <c r="D262" s="825">
        <v>4500160470</v>
      </c>
      <c r="E262" s="633">
        <v>300565974</v>
      </c>
      <c r="F262" s="1305" t="s">
        <v>1223</v>
      </c>
      <c r="G262" s="659" t="s">
        <v>68</v>
      </c>
      <c r="H262" s="633" t="s">
        <v>69</v>
      </c>
      <c r="I262" s="633">
        <v>240</v>
      </c>
      <c r="J262" s="633">
        <v>0</v>
      </c>
      <c r="K262" s="633">
        <v>12</v>
      </c>
      <c r="L262" s="827">
        <f t="shared" si="76"/>
        <v>20</v>
      </c>
      <c r="M262" s="828">
        <v>45861</v>
      </c>
      <c r="N262" s="828">
        <v>45863</v>
      </c>
      <c r="O262" s="824"/>
      <c r="P262" s="824" t="s">
        <v>113</v>
      </c>
      <c r="Q262" s="633"/>
      <c r="R262" s="829">
        <v>45775</v>
      </c>
      <c r="S262" s="829" t="s">
        <v>70</v>
      </c>
      <c r="T262" s="829">
        <v>45790</v>
      </c>
      <c r="U262" s="829"/>
      <c r="V262" s="829"/>
      <c r="W262" s="829"/>
      <c r="X262" s="628" t="s">
        <v>1224</v>
      </c>
      <c r="Y262" s="828" t="s">
        <v>428</v>
      </c>
      <c r="Z262" s="1306">
        <v>4.1</v>
      </c>
      <c r="AA262" s="831">
        <f t="shared" si="74"/>
        <v>984</v>
      </c>
      <c r="AC262" s="632" t="s">
        <v>1225</v>
      </c>
      <c r="AD262" s="633" t="s">
        <v>184</v>
      </c>
      <c r="AE262" s="633" t="s">
        <v>82</v>
      </c>
      <c r="AF262" s="633"/>
      <c r="AG262" s="618"/>
      <c r="AH262" s="618"/>
      <c r="AI262" s="1308">
        <v>240</v>
      </c>
      <c r="AJ262" s="824">
        <f t="shared" ref="AJ262:AJ299" si="77">AI262-I262</f>
        <v>0</v>
      </c>
      <c r="AK262" s="633"/>
      <c r="AL262" s="633"/>
      <c r="AM262" s="633"/>
      <c r="AN262" s="825">
        <f t="shared" ref="AN262:AN268" si="78">I262</f>
        <v>240</v>
      </c>
      <c r="AO262" s="687"/>
      <c r="AP262" s="687"/>
      <c r="AQ262" s="687"/>
      <c r="AR262" s="825"/>
      <c r="AS262" s="687">
        <f>I262</f>
        <v>240</v>
      </c>
      <c r="AT262" s="687"/>
      <c r="AU262" s="825">
        <f t="shared" si="75"/>
        <v>240</v>
      </c>
      <c r="AV262" s="825"/>
      <c r="AW262" s="551">
        <f>I262</f>
        <v>240</v>
      </c>
      <c r="AX262" s="825"/>
      <c r="AY262" s="1305"/>
      <c r="AZ262" s="1305"/>
      <c r="BA262" s="1305"/>
      <c r="BB262" s="1305"/>
      <c r="BC262" s="1305"/>
      <c r="BD262" s="1305"/>
      <c r="BE262" s="1305"/>
      <c r="BF262" s="1305"/>
      <c r="BG262" s="1305"/>
      <c r="BH262" s="1305"/>
      <c r="BI262" s="1305"/>
      <c r="BJ262" s="1305"/>
      <c r="BK262" s="1305"/>
      <c r="BL262" s="1305"/>
      <c r="BM262" s="1305"/>
      <c r="BN262" s="1305"/>
      <c r="BO262" s="1305"/>
      <c r="BP262" s="1305"/>
    </row>
    <row r="263" s="1265" customFormat="1" ht="31" customHeight="1" spans="1:68">
      <c r="A263" s="1304">
        <v>45818</v>
      </c>
      <c r="B263" s="822" t="s">
        <v>1226</v>
      </c>
      <c r="C263" s="633" t="s">
        <v>1227</v>
      </c>
      <c r="D263" s="825">
        <v>4500169604</v>
      </c>
      <c r="E263" s="633"/>
      <c r="F263" s="1305" t="s">
        <v>1228</v>
      </c>
      <c r="G263" s="659" t="s">
        <v>68</v>
      </c>
      <c r="H263" s="633" t="s">
        <v>69</v>
      </c>
      <c r="I263" s="633">
        <v>108</v>
      </c>
      <c r="J263" s="633">
        <v>0</v>
      </c>
      <c r="K263" s="633">
        <v>12</v>
      </c>
      <c r="L263" s="827">
        <f t="shared" si="76"/>
        <v>9</v>
      </c>
      <c r="M263" s="828">
        <v>45863</v>
      </c>
      <c r="N263" s="828">
        <v>45864</v>
      </c>
      <c r="O263" s="824"/>
      <c r="P263" s="824" t="s">
        <v>113</v>
      </c>
      <c r="Q263" s="633"/>
      <c r="R263" s="829">
        <v>45832</v>
      </c>
      <c r="S263" s="829" t="s">
        <v>70</v>
      </c>
      <c r="T263" s="829">
        <v>45832</v>
      </c>
      <c r="U263" s="829"/>
      <c r="V263" s="829"/>
      <c r="W263" s="829"/>
      <c r="X263" s="822" t="s">
        <v>1229</v>
      </c>
      <c r="Y263" s="828" t="s">
        <v>529</v>
      </c>
      <c r="Z263" s="1306">
        <v>4.1018</v>
      </c>
      <c r="AA263" s="831">
        <f t="shared" si="74"/>
        <v>442.9944</v>
      </c>
      <c r="AC263" s="632" t="s">
        <v>1230</v>
      </c>
      <c r="AD263" s="633" t="s">
        <v>184</v>
      </c>
      <c r="AE263" s="633" t="s">
        <v>82</v>
      </c>
      <c r="AF263" s="633"/>
      <c r="AG263" s="618"/>
      <c r="AH263" s="618"/>
      <c r="AI263" s="1308">
        <v>108</v>
      </c>
      <c r="AJ263" s="824">
        <f t="shared" si="77"/>
        <v>0</v>
      </c>
      <c r="AK263" s="633"/>
      <c r="AL263" s="633"/>
      <c r="AM263" s="633"/>
      <c r="AN263" s="825">
        <f t="shared" si="78"/>
        <v>108</v>
      </c>
      <c r="AO263" s="687"/>
      <c r="AP263" s="687"/>
      <c r="AQ263" s="687"/>
      <c r="AR263" s="825"/>
      <c r="AS263" s="687">
        <f>I263</f>
        <v>108</v>
      </c>
      <c r="AT263" s="687"/>
      <c r="AU263" s="825">
        <f t="shared" si="75"/>
        <v>108</v>
      </c>
      <c r="AV263" s="825"/>
      <c r="AW263" s="551">
        <f>I263</f>
        <v>108</v>
      </c>
      <c r="AX263" s="825"/>
      <c r="AY263" s="1305"/>
      <c r="AZ263" s="1305"/>
      <c r="BA263" s="1305"/>
      <c r="BB263" s="1305"/>
      <c r="BC263" s="1305"/>
      <c r="BD263" s="1305"/>
      <c r="BE263" s="1305"/>
      <c r="BF263" s="1305"/>
      <c r="BG263" s="1305"/>
      <c r="BH263" s="1305"/>
      <c r="BI263" s="1305"/>
      <c r="BJ263" s="1305"/>
      <c r="BK263" s="1305"/>
      <c r="BL263" s="1305"/>
      <c r="BM263" s="1305"/>
      <c r="BN263" s="1305"/>
      <c r="BO263" s="1305"/>
      <c r="BP263" s="1305"/>
    </row>
    <row r="264" s="1265" customFormat="1" ht="31" customHeight="1" spans="1:68">
      <c r="A264" s="1304">
        <v>45807</v>
      </c>
      <c r="B264" s="822" t="s">
        <v>1231</v>
      </c>
      <c r="C264" s="633" t="s">
        <v>836</v>
      </c>
      <c r="D264" s="825">
        <v>4500168200</v>
      </c>
      <c r="E264" s="633" t="s">
        <v>1232</v>
      </c>
      <c r="F264" s="1305" t="s">
        <v>1233</v>
      </c>
      <c r="G264" s="659" t="s">
        <v>101</v>
      </c>
      <c r="H264" s="633" t="s">
        <v>102</v>
      </c>
      <c r="I264" s="633">
        <v>520</v>
      </c>
      <c r="J264" s="633">
        <v>0</v>
      </c>
      <c r="K264" s="633">
        <v>4</v>
      </c>
      <c r="L264" s="827">
        <f t="shared" si="76"/>
        <v>130</v>
      </c>
      <c r="M264" s="828">
        <v>45866</v>
      </c>
      <c r="N264" s="828">
        <v>45864</v>
      </c>
      <c r="O264" s="824"/>
      <c r="P264" s="824" t="s">
        <v>113</v>
      </c>
      <c r="Q264" s="633"/>
      <c r="R264" s="829">
        <v>45807</v>
      </c>
      <c r="S264" s="829" t="s">
        <v>70</v>
      </c>
      <c r="T264" s="829" t="s">
        <v>1234</v>
      </c>
      <c r="U264" s="829"/>
      <c r="V264" s="829"/>
      <c r="W264" s="829" t="s">
        <v>1235</v>
      </c>
      <c r="X264" s="628" t="s">
        <v>1236</v>
      </c>
      <c r="Y264" s="828" t="s">
        <v>1237</v>
      </c>
      <c r="Z264" s="1306">
        <v>4.3</v>
      </c>
      <c r="AA264" s="831">
        <f t="shared" si="74"/>
        <v>2236</v>
      </c>
      <c r="AC264" s="1307" t="s">
        <v>1238</v>
      </c>
      <c r="AD264" s="633" t="s">
        <v>156</v>
      </c>
      <c r="AE264" s="633" t="s">
        <v>82</v>
      </c>
      <c r="AF264" s="633"/>
      <c r="AG264" s="618"/>
      <c r="AH264" s="618"/>
      <c r="AI264" s="1308">
        <v>520</v>
      </c>
      <c r="AJ264" s="824">
        <f t="shared" si="77"/>
        <v>0</v>
      </c>
      <c r="AK264" s="633"/>
      <c r="AL264" s="633"/>
      <c r="AM264" s="633"/>
      <c r="AN264" s="825">
        <f t="shared" si="78"/>
        <v>520</v>
      </c>
      <c r="AO264" s="687"/>
      <c r="AP264" s="687"/>
      <c r="AQ264" s="687"/>
      <c r="AR264" s="825"/>
      <c r="AS264" s="687">
        <f>I264</f>
        <v>520</v>
      </c>
      <c r="AT264" s="687"/>
      <c r="AU264" s="825">
        <f t="shared" si="75"/>
        <v>520</v>
      </c>
      <c r="AV264" s="825"/>
      <c r="AW264" s="825">
        <f t="shared" ref="AW264:AW278" si="79">I264</f>
        <v>520</v>
      </c>
      <c r="AX264" s="825"/>
      <c r="AY264" s="1305"/>
      <c r="AZ264" s="1305"/>
      <c r="BA264" s="1305"/>
      <c r="BB264" s="1305"/>
      <c r="BC264" s="1305"/>
      <c r="BD264" s="1305"/>
      <c r="BE264" s="1305"/>
      <c r="BF264" s="1305"/>
      <c r="BG264" s="1305"/>
      <c r="BH264" s="1305"/>
      <c r="BI264" s="825">
        <f>I264/4</f>
        <v>130</v>
      </c>
      <c r="BJ264" s="1305"/>
      <c r="BK264" s="1305"/>
      <c r="BL264" s="1305"/>
      <c r="BM264" s="1305"/>
      <c r="BN264" s="1305"/>
      <c r="BO264" s="1305"/>
      <c r="BP264" s="1305"/>
    </row>
    <row r="265" s="1265" customFormat="1" ht="31" customHeight="1" spans="1:68">
      <c r="A265" s="1304">
        <v>45831</v>
      </c>
      <c r="B265" s="822" t="s">
        <v>1239</v>
      </c>
      <c r="C265" s="633"/>
      <c r="D265" s="825" t="s">
        <v>1240</v>
      </c>
      <c r="E265" s="633"/>
      <c r="F265" s="1305"/>
      <c r="G265" s="659" t="s">
        <v>101</v>
      </c>
      <c r="H265" s="633" t="s">
        <v>102</v>
      </c>
      <c r="I265" s="633">
        <v>2832</v>
      </c>
      <c r="J265" s="633">
        <v>0</v>
      </c>
      <c r="K265" s="633">
        <v>4</v>
      </c>
      <c r="L265" s="827">
        <f t="shared" si="76"/>
        <v>708</v>
      </c>
      <c r="M265" s="828">
        <v>45867</v>
      </c>
      <c r="N265" s="828">
        <v>45863</v>
      </c>
      <c r="O265" s="824"/>
      <c r="P265" s="824" t="s">
        <v>113</v>
      </c>
      <c r="Q265" s="633" t="s">
        <v>1241</v>
      </c>
      <c r="R265" s="829" t="s">
        <v>1242</v>
      </c>
      <c r="S265" s="829" t="s">
        <v>70</v>
      </c>
      <c r="T265" s="829" t="s">
        <v>70</v>
      </c>
      <c r="U265" s="829"/>
      <c r="V265" s="829"/>
      <c r="W265" s="829"/>
      <c r="X265" s="628" t="s">
        <v>1243</v>
      </c>
      <c r="Y265" s="828" t="s">
        <v>970</v>
      </c>
      <c r="Z265" s="1306">
        <v>4.11</v>
      </c>
      <c r="AA265" s="831">
        <f t="shared" si="74"/>
        <v>11639.52</v>
      </c>
      <c r="AC265" s="617" t="s">
        <v>1244</v>
      </c>
      <c r="AD265" s="633" t="s">
        <v>101</v>
      </c>
      <c r="AE265" s="633" t="s">
        <v>82</v>
      </c>
      <c r="AF265" s="633"/>
      <c r="AG265" s="618"/>
      <c r="AH265" s="618"/>
      <c r="AI265" s="1308">
        <v>2832</v>
      </c>
      <c r="AJ265" s="824">
        <f t="shared" si="77"/>
        <v>0</v>
      </c>
      <c r="AK265" s="633"/>
      <c r="AL265" s="633"/>
      <c r="AM265" s="633"/>
      <c r="AN265" s="825">
        <f t="shared" si="78"/>
        <v>2832</v>
      </c>
      <c r="AO265" s="687"/>
      <c r="AP265" s="687"/>
      <c r="AQ265" s="687"/>
      <c r="AR265" s="825">
        <f>I265</f>
        <v>2832</v>
      </c>
      <c r="AS265" s="687"/>
      <c r="AT265" s="687"/>
      <c r="AU265" s="825">
        <f t="shared" si="75"/>
        <v>2832</v>
      </c>
      <c r="AV265" s="825"/>
      <c r="AW265" s="825">
        <f t="shared" si="79"/>
        <v>2832</v>
      </c>
      <c r="AX265" s="825"/>
      <c r="AY265" s="1305"/>
      <c r="AZ265" s="1305"/>
      <c r="BA265" s="1305"/>
      <c r="BB265" s="1305"/>
      <c r="BC265" s="1305"/>
      <c r="BD265" s="1305"/>
      <c r="BE265" s="1305"/>
      <c r="BF265" s="1305"/>
      <c r="BG265" s="1305"/>
      <c r="BH265" s="825">
        <f>I265/4</f>
        <v>708</v>
      </c>
      <c r="BI265" s="1305"/>
      <c r="BJ265" s="1305"/>
      <c r="BK265" s="1305"/>
      <c r="BL265" s="1305"/>
      <c r="BM265" s="1305"/>
      <c r="BN265" s="1305"/>
      <c r="BO265" s="1305"/>
      <c r="BP265" s="1305"/>
    </row>
    <row r="266" s="1265" customFormat="1" ht="31" customHeight="1" spans="1:68">
      <c r="A266" s="1304">
        <v>45799</v>
      </c>
      <c r="B266" s="822" t="s">
        <v>1245</v>
      </c>
      <c r="C266" s="633" t="s">
        <v>524</v>
      </c>
      <c r="D266" s="825">
        <v>4500167318</v>
      </c>
      <c r="E266" s="633">
        <v>17047861</v>
      </c>
      <c r="F266" s="1305" t="s">
        <v>1246</v>
      </c>
      <c r="G266" s="659" t="s">
        <v>68</v>
      </c>
      <c r="H266" s="633" t="s">
        <v>69</v>
      </c>
      <c r="I266" s="633">
        <v>420</v>
      </c>
      <c r="J266" s="633">
        <v>0</v>
      </c>
      <c r="K266" s="633">
        <v>12</v>
      </c>
      <c r="L266" s="827">
        <f t="shared" si="76"/>
        <v>35</v>
      </c>
      <c r="M266" s="828">
        <v>45863</v>
      </c>
      <c r="N266" s="828">
        <v>45866</v>
      </c>
      <c r="O266" s="824"/>
      <c r="P266" s="824" t="s">
        <v>113</v>
      </c>
      <c r="Q266" s="633"/>
      <c r="R266" s="829">
        <v>45827</v>
      </c>
      <c r="S266" s="829" t="s">
        <v>70</v>
      </c>
      <c r="T266" s="829">
        <v>45832</v>
      </c>
      <c r="U266" s="829"/>
      <c r="V266" s="829"/>
      <c r="W266" s="829"/>
      <c r="X266" s="822" t="s">
        <v>1247</v>
      </c>
      <c r="Y266" s="828" t="s">
        <v>340</v>
      </c>
      <c r="Z266" s="1306">
        <v>4.1456</v>
      </c>
      <c r="AA266" s="831">
        <f t="shared" si="74"/>
        <v>1741.152</v>
      </c>
      <c r="AC266" s="632" t="s">
        <v>1248</v>
      </c>
      <c r="AD266" s="633" t="s">
        <v>184</v>
      </c>
      <c r="AE266" s="633" t="s">
        <v>82</v>
      </c>
      <c r="AF266" s="633"/>
      <c r="AG266" s="618"/>
      <c r="AH266" s="618"/>
      <c r="AI266" s="1308">
        <v>420</v>
      </c>
      <c r="AJ266" s="824">
        <f t="shared" si="77"/>
        <v>0</v>
      </c>
      <c r="AK266" s="633"/>
      <c r="AL266" s="633"/>
      <c r="AM266" s="633"/>
      <c r="AN266" s="825">
        <f t="shared" si="78"/>
        <v>420</v>
      </c>
      <c r="AO266" s="687"/>
      <c r="AP266" s="687"/>
      <c r="AQ266" s="687"/>
      <c r="AR266" s="825"/>
      <c r="AS266" s="687">
        <f>I266</f>
        <v>420</v>
      </c>
      <c r="AT266" s="687"/>
      <c r="AU266" s="825">
        <f t="shared" si="75"/>
        <v>420</v>
      </c>
      <c r="AV266" s="825"/>
      <c r="AW266" s="825">
        <f t="shared" si="79"/>
        <v>420</v>
      </c>
      <c r="AX266" s="825"/>
      <c r="AY266" s="1305"/>
      <c r="AZ266" s="1305"/>
      <c r="BA266" s="1305"/>
      <c r="BB266" s="1305"/>
      <c r="BC266" s="1305"/>
      <c r="BD266" s="1305"/>
      <c r="BE266" s="1305"/>
      <c r="BF266" s="1305"/>
      <c r="BG266" s="1305"/>
      <c r="BH266" s="1305"/>
      <c r="BI266" s="1305"/>
      <c r="BJ266" s="1305"/>
      <c r="BK266" s="1305"/>
      <c r="BL266" s="1305"/>
      <c r="BM266" s="1305"/>
      <c r="BN266" s="1305"/>
      <c r="BO266" s="1305"/>
      <c r="BP266" s="1305"/>
    </row>
    <row r="267" s="1265" customFormat="1" ht="31" customHeight="1" spans="1:68">
      <c r="A267" s="1304">
        <v>45771</v>
      </c>
      <c r="B267" s="822" t="s">
        <v>1249</v>
      </c>
      <c r="C267" s="633" t="s">
        <v>1250</v>
      </c>
      <c r="D267" s="825">
        <v>4500164774</v>
      </c>
      <c r="E267" s="633" t="s">
        <v>1251</v>
      </c>
      <c r="F267" s="1305" t="s">
        <v>1252</v>
      </c>
      <c r="G267" s="659" t="s">
        <v>68</v>
      </c>
      <c r="H267" s="633" t="s">
        <v>69</v>
      </c>
      <c r="I267" s="633">
        <v>120</v>
      </c>
      <c r="J267" s="633">
        <v>0</v>
      </c>
      <c r="K267" s="633">
        <v>12</v>
      </c>
      <c r="L267" s="827">
        <f t="shared" si="76"/>
        <v>10</v>
      </c>
      <c r="M267" s="828">
        <v>45859</v>
      </c>
      <c r="N267" s="828">
        <v>45866</v>
      </c>
      <c r="O267" s="824"/>
      <c r="P267" s="824" t="s">
        <v>113</v>
      </c>
      <c r="Q267" s="633"/>
      <c r="R267" s="829">
        <v>45833</v>
      </c>
      <c r="S267" s="829" t="s">
        <v>70</v>
      </c>
      <c r="T267" s="829">
        <v>45840</v>
      </c>
      <c r="U267" s="829"/>
      <c r="V267" s="829" t="s">
        <v>1253</v>
      </c>
      <c r="W267" s="829"/>
      <c r="X267" s="822" t="s">
        <v>1254</v>
      </c>
      <c r="Y267" s="828" t="s">
        <v>529</v>
      </c>
      <c r="Z267" s="1306">
        <v>4.1</v>
      </c>
      <c r="AA267" s="831">
        <f t="shared" si="74"/>
        <v>492</v>
      </c>
      <c r="AC267" s="632" t="s">
        <v>1255</v>
      </c>
      <c r="AD267" s="633" t="s">
        <v>184</v>
      </c>
      <c r="AE267" s="633" t="s">
        <v>82</v>
      </c>
      <c r="AF267" s="633"/>
      <c r="AG267" s="618"/>
      <c r="AH267" s="618"/>
      <c r="AI267" s="1308">
        <v>120</v>
      </c>
      <c r="AJ267" s="824">
        <f t="shared" si="77"/>
        <v>0</v>
      </c>
      <c r="AK267" s="633"/>
      <c r="AL267" s="633"/>
      <c r="AM267" s="633"/>
      <c r="AN267" s="825">
        <f t="shared" si="78"/>
        <v>120</v>
      </c>
      <c r="AO267" s="687"/>
      <c r="AP267" s="687"/>
      <c r="AQ267" s="687"/>
      <c r="AR267" s="825"/>
      <c r="AS267" s="687">
        <f>I267</f>
        <v>120</v>
      </c>
      <c r="AT267" s="687"/>
      <c r="AU267" s="825">
        <f t="shared" si="75"/>
        <v>120</v>
      </c>
      <c r="AV267" s="825"/>
      <c r="AW267" s="825">
        <f t="shared" si="79"/>
        <v>120</v>
      </c>
      <c r="AX267" s="825"/>
      <c r="AY267" s="1305"/>
      <c r="AZ267" s="1305"/>
      <c r="BA267" s="1305"/>
      <c r="BB267" s="1305"/>
      <c r="BC267" s="1305"/>
      <c r="BD267" s="1305"/>
      <c r="BE267" s="1305"/>
      <c r="BF267" s="1305"/>
      <c r="BG267" s="1305"/>
      <c r="BH267" s="1305"/>
      <c r="BI267" s="1305"/>
      <c r="BJ267" s="1305"/>
      <c r="BK267" s="1305"/>
      <c r="BL267" s="1305"/>
      <c r="BM267" s="1305"/>
      <c r="BN267" s="1305"/>
      <c r="BO267" s="1305"/>
      <c r="BP267" s="1305"/>
    </row>
    <row r="268" s="1265" customFormat="1" ht="31" customHeight="1" spans="1:68">
      <c r="A268" s="1304">
        <v>45834</v>
      </c>
      <c r="B268" s="822" t="s">
        <v>325</v>
      </c>
      <c r="C268" s="633" t="s">
        <v>98</v>
      </c>
      <c r="D268" s="825">
        <v>4500171338</v>
      </c>
      <c r="E268" s="633" t="s">
        <v>1256</v>
      </c>
      <c r="F268" s="1305" t="s">
        <v>1257</v>
      </c>
      <c r="G268" s="659" t="s">
        <v>249</v>
      </c>
      <c r="H268" s="633" t="s">
        <v>250</v>
      </c>
      <c r="I268" s="633">
        <v>3780</v>
      </c>
      <c r="J268" s="633">
        <v>0</v>
      </c>
      <c r="K268" s="633">
        <v>4</v>
      </c>
      <c r="L268" s="827">
        <f t="shared" si="76"/>
        <v>945</v>
      </c>
      <c r="M268" s="828">
        <v>45868</v>
      </c>
      <c r="N268" s="828">
        <v>45866</v>
      </c>
      <c r="O268" s="824"/>
      <c r="P268" s="824" t="s">
        <v>113</v>
      </c>
      <c r="Q268" s="633"/>
      <c r="R268" s="829">
        <v>45834</v>
      </c>
      <c r="S268" s="829" t="s">
        <v>104</v>
      </c>
      <c r="T268" s="829">
        <v>45845</v>
      </c>
      <c r="U268" s="829"/>
      <c r="V268" s="829"/>
      <c r="W268" s="829"/>
      <c r="X268" s="822" t="s">
        <v>1258</v>
      </c>
      <c r="Y268" s="828" t="s">
        <v>252</v>
      </c>
      <c r="Z268" s="1306">
        <v>2.8063</v>
      </c>
      <c r="AA268" s="831">
        <f t="shared" si="74"/>
        <v>10607.814</v>
      </c>
      <c r="AC268" s="632" t="s">
        <v>1259</v>
      </c>
      <c r="AD268" s="633" t="s">
        <v>249</v>
      </c>
      <c r="AE268" s="633" t="s">
        <v>82</v>
      </c>
      <c r="AF268" s="633"/>
      <c r="AG268" s="618" t="s">
        <v>74</v>
      </c>
      <c r="AH268" s="618"/>
      <c r="AI268" s="1308">
        <v>3780</v>
      </c>
      <c r="AJ268" s="824">
        <f t="shared" si="77"/>
        <v>0</v>
      </c>
      <c r="AK268" s="633"/>
      <c r="AL268" s="633"/>
      <c r="AM268" s="633"/>
      <c r="AN268" s="825"/>
      <c r="AO268" s="687"/>
      <c r="AP268" s="687">
        <f>I268</f>
        <v>3780</v>
      </c>
      <c r="AQ268" s="687"/>
      <c r="AR268" s="825"/>
      <c r="AS268" s="687"/>
      <c r="AT268" s="687"/>
      <c r="AU268" s="825"/>
      <c r="AV268" s="825"/>
      <c r="AW268" s="825">
        <f t="shared" si="79"/>
        <v>3780</v>
      </c>
      <c r="AX268" s="825"/>
      <c r="AY268" s="1305"/>
      <c r="AZ268" s="1305"/>
      <c r="BA268" s="1305"/>
      <c r="BB268" s="1305"/>
      <c r="BC268" s="1305"/>
      <c r="BD268" s="1305"/>
      <c r="BE268" s="1305"/>
      <c r="BF268" s="1305">
        <f>I268</f>
        <v>3780</v>
      </c>
      <c r="BG268" s="1305">
        <f>I268</f>
        <v>3780</v>
      </c>
      <c r="BH268" s="825">
        <f>I268/4</f>
        <v>945</v>
      </c>
      <c r="BI268" s="1305"/>
      <c r="BJ268" s="1305"/>
      <c r="BK268" s="1305"/>
      <c r="BL268" s="1305"/>
      <c r="BM268" s="1305"/>
      <c r="BN268" s="1305"/>
      <c r="BO268" s="1305"/>
      <c r="BP268" s="1305"/>
    </row>
    <row r="269" s="1265" customFormat="1" ht="31" customHeight="1" spans="1:68">
      <c r="A269" s="1304">
        <v>45825</v>
      </c>
      <c r="B269" s="822" t="s">
        <v>871</v>
      </c>
      <c r="C269" s="633" t="s">
        <v>98</v>
      </c>
      <c r="D269" s="825">
        <v>4500170270</v>
      </c>
      <c r="E269" s="633" t="s">
        <v>1260</v>
      </c>
      <c r="F269" s="1305" t="s">
        <v>1261</v>
      </c>
      <c r="G269" s="659" t="s">
        <v>101</v>
      </c>
      <c r="H269" s="633" t="s">
        <v>102</v>
      </c>
      <c r="I269" s="633">
        <v>1360</v>
      </c>
      <c r="J269" s="633">
        <v>0</v>
      </c>
      <c r="K269" s="633">
        <v>4</v>
      </c>
      <c r="L269" s="827">
        <f t="shared" si="76"/>
        <v>340</v>
      </c>
      <c r="M269" s="828">
        <v>45869</v>
      </c>
      <c r="N269" s="828">
        <v>45867</v>
      </c>
      <c r="O269" s="824"/>
      <c r="P269" s="824" t="s">
        <v>113</v>
      </c>
      <c r="Q269" s="633"/>
      <c r="R269" s="829">
        <v>45825</v>
      </c>
      <c r="S269" s="829" t="s">
        <v>70</v>
      </c>
      <c r="T269" s="829" t="s">
        <v>70</v>
      </c>
      <c r="U269" s="829"/>
      <c r="V269" s="829"/>
      <c r="W269" s="829"/>
      <c r="X269" s="822" t="s">
        <v>1262</v>
      </c>
      <c r="Y269" s="828" t="s">
        <v>355</v>
      </c>
      <c r="Z269" s="1306">
        <v>2.58</v>
      </c>
      <c r="AA269" s="831">
        <f t="shared" si="74"/>
        <v>3508.8</v>
      </c>
      <c r="AC269" s="632" t="s">
        <v>1263</v>
      </c>
      <c r="AD269" s="633" t="s">
        <v>101</v>
      </c>
      <c r="AE269" s="633" t="s">
        <v>82</v>
      </c>
      <c r="AF269" s="633"/>
      <c r="AG269" s="618"/>
      <c r="AH269" s="618"/>
      <c r="AI269" s="1308">
        <v>1360</v>
      </c>
      <c r="AJ269" s="824">
        <f t="shared" si="77"/>
        <v>0</v>
      </c>
      <c r="AK269" s="633"/>
      <c r="AL269" s="633"/>
      <c r="AM269" s="633"/>
      <c r="AN269" s="825">
        <f t="shared" ref="AN269:AN281" si="80">I269</f>
        <v>1360</v>
      </c>
      <c r="AO269" s="687"/>
      <c r="AP269" s="687"/>
      <c r="AQ269" s="687"/>
      <c r="AR269" s="825">
        <f>I269</f>
        <v>1360</v>
      </c>
      <c r="AS269" s="687"/>
      <c r="AT269" s="687"/>
      <c r="AU269" s="825">
        <f>I269</f>
        <v>1360</v>
      </c>
      <c r="AV269" s="825"/>
      <c r="AW269" s="825">
        <f t="shared" si="79"/>
        <v>1360</v>
      </c>
      <c r="AX269" s="825"/>
      <c r="AY269" s="1305"/>
      <c r="AZ269" s="1305"/>
      <c r="BA269" s="1305"/>
      <c r="BB269" s="1305"/>
      <c r="BC269" s="1305"/>
      <c r="BD269" s="1305"/>
      <c r="BE269" s="1305"/>
      <c r="BF269" s="1305"/>
      <c r="BG269" s="1305"/>
      <c r="BH269" s="825">
        <f>I269/4</f>
        <v>340</v>
      </c>
      <c r="BI269" s="1305"/>
      <c r="BJ269" s="1305"/>
      <c r="BK269" s="1305"/>
      <c r="BL269" s="1305"/>
      <c r="BM269" s="1305"/>
      <c r="BN269" s="1305"/>
      <c r="BO269" s="1305"/>
      <c r="BP269" s="1305"/>
    </row>
    <row r="270" s="1265" customFormat="1" ht="31" customHeight="1" spans="1:68">
      <c r="A270" s="1304">
        <v>45792</v>
      </c>
      <c r="B270" s="822" t="s">
        <v>866</v>
      </c>
      <c r="C270" s="633" t="s">
        <v>154</v>
      </c>
      <c r="D270" s="825">
        <v>4500166481</v>
      </c>
      <c r="E270" s="633">
        <v>4400483989</v>
      </c>
      <c r="F270" s="1305" t="s">
        <v>1264</v>
      </c>
      <c r="G270" s="659" t="s">
        <v>164</v>
      </c>
      <c r="H270" s="633" t="s">
        <v>112</v>
      </c>
      <c r="I270" s="633">
        <v>1504</v>
      </c>
      <c r="J270" s="633">
        <v>0</v>
      </c>
      <c r="K270" s="633">
        <v>8</v>
      </c>
      <c r="L270" s="827">
        <f t="shared" si="76"/>
        <v>188</v>
      </c>
      <c r="M270" s="828">
        <v>45863</v>
      </c>
      <c r="N270" s="828">
        <v>45866</v>
      </c>
      <c r="O270" s="824"/>
      <c r="P270" s="824" t="s">
        <v>113</v>
      </c>
      <c r="Q270" s="633"/>
      <c r="R270" s="829">
        <v>45792</v>
      </c>
      <c r="S270" s="829" t="s">
        <v>70</v>
      </c>
      <c r="T270" s="829" t="s">
        <v>1265</v>
      </c>
      <c r="U270" s="829"/>
      <c r="V270" s="829"/>
      <c r="W270" s="829"/>
      <c r="X270" s="628" t="s">
        <v>1266</v>
      </c>
      <c r="Y270" s="828" t="s">
        <v>869</v>
      </c>
      <c r="Z270" s="1306">
        <v>4.2227</v>
      </c>
      <c r="AA270" s="831">
        <f t="shared" si="74"/>
        <v>6350.9408</v>
      </c>
      <c r="AC270" s="1307" t="s">
        <v>1267</v>
      </c>
      <c r="AD270" s="633" t="s">
        <v>164</v>
      </c>
      <c r="AE270" s="633" t="s">
        <v>82</v>
      </c>
      <c r="AF270" s="633"/>
      <c r="AG270" s="618" t="s">
        <v>74</v>
      </c>
      <c r="AH270" s="618"/>
      <c r="AI270" s="1308">
        <v>1504</v>
      </c>
      <c r="AJ270" s="824">
        <f t="shared" si="77"/>
        <v>0</v>
      </c>
      <c r="AK270" s="633"/>
      <c r="AL270" s="633"/>
      <c r="AM270" s="633"/>
      <c r="AN270" s="825">
        <f t="shared" si="80"/>
        <v>1504</v>
      </c>
      <c r="AO270" s="687"/>
      <c r="AP270" s="687"/>
      <c r="AQ270" s="687"/>
      <c r="AR270" s="825"/>
      <c r="AS270" s="687"/>
      <c r="AT270" s="687"/>
      <c r="AU270" s="825"/>
      <c r="AV270" s="825"/>
      <c r="AW270" s="825">
        <f t="shared" si="79"/>
        <v>1504</v>
      </c>
      <c r="AX270" s="825"/>
      <c r="AY270" s="1305"/>
      <c r="AZ270" s="1305"/>
      <c r="BA270" s="1305"/>
      <c r="BB270" s="1305"/>
      <c r="BC270" s="1305"/>
      <c r="BD270" s="825">
        <f>I270</f>
        <v>1504</v>
      </c>
      <c r="BE270" s="825">
        <f>I270</f>
        <v>1504</v>
      </c>
      <c r="BF270" s="1305"/>
      <c r="BG270" s="1305"/>
      <c r="BH270" s="1305"/>
      <c r="BI270" s="825">
        <f>I270/4</f>
        <v>376</v>
      </c>
      <c r="BJ270" s="1305"/>
      <c r="BK270" s="1305"/>
      <c r="BL270" s="1305"/>
      <c r="BM270" s="1305"/>
      <c r="BN270" s="1305"/>
      <c r="BO270" s="1305"/>
      <c r="BP270" s="1305"/>
    </row>
    <row r="271" s="1265" customFormat="1" ht="31" customHeight="1" spans="1:68">
      <c r="A271" s="1304">
        <v>45826</v>
      </c>
      <c r="B271" s="822" t="s">
        <v>266</v>
      </c>
      <c r="C271" s="633" t="s">
        <v>170</v>
      </c>
      <c r="D271" s="825">
        <v>4500168979</v>
      </c>
      <c r="E271" s="633">
        <v>3501527807</v>
      </c>
      <c r="F271" s="1305" t="s">
        <v>1268</v>
      </c>
      <c r="G271" s="659" t="s">
        <v>68</v>
      </c>
      <c r="H271" s="633" t="s">
        <v>69</v>
      </c>
      <c r="I271" s="633">
        <v>828</v>
      </c>
      <c r="J271" s="633">
        <v>0</v>
      </c>
      <c r="K271" s="633">
        <v>12</v>
      </c>
      <c r="L271" s="827">
        <f t="shared" si="76"/>
        <v>69</v>
      </c>
      <c r="M271" s="828">
        <v>45860</v>
      </c>
      <c r="N271" s="828">
        <v>45860</v>
      </c>
      <c r="O271" s="824" t="s">
        <v>1269</v>
      </c>
      <c r="P271" s="824" t="s">
        <v>74</v>
      </c>
      <c r="Q271" s="633"/>
      <c r="R271" s="829">
        <v>45826</v>
      </c>
      <c r="S271" s="829" t="s">
        <v>70</v>
      </c>
      <c r="T271" s="829">
        <v>45834</v>
      </c>
      <c r="U271" s="829"/>
      <c r="V271" s="829"/>
      <c r="W271" s="829"/>
      <c r="X271" s="822" t="s">
        <v>1270</v>
      </c>
      <c r="Y271" s="828" t="s">
        <v>270</v>
      </c>
      <c r="Z271" s="1306">
        <v>4.1018</v>
      </c>
      <c r="AA271" s="831">
        <f t="shared" si="74"/>
        <v>3396.2904</v>
      </c>
      <c r="AC271" s="1307" t="s">
        <v>1271</v>
      </c>
      <c r="AD271" s="633" t="s">
        <v>184</v>
      </c>
      <c r="AE271" s="633" t="s">
        <v>82</v>
      </c>
      <c r="AF271" s="633" t="s">
        <v>74</v>
      </c>
      <c r="AG271" s="618"/>
      <c r="AH271" s="618"/>
      <c r="AI271" s="1308">
        <v>828</v>
      </c>
      <c r="AJ271" s="824">
        <f t="shared" si="77"/>
        <v>0</v>
      </c>
      <c r="AK271" s="633"/>
      <c r="AL271" s="633"/>
      <c r="AM271" s="633"/>
      <c r="AN271" s="825">
        <f t="shared" si="80"/>
        <v>828</v>
      </c>
      <c r="AO271" s="687"/>
      <c r="AP271" s="687"/>
      <c r="AQ271" s="687"/>
      <c r="AR271" s="825"/>
      <c r="AS271" s="687">
        <f>I271</f>
        <v>828</v>
      </c>
      <c r="AT271" s="687"/>
      <c r="AU271" s="825">
        <f t="shared" ref="AU271:AU295" si="81">I271</f>
        <v>828</v>
      </c>
      <c r="AV271" s="825"/>
      <c r="AW271" s="825">
        <f t="shared" si="79"/>
        <v>828</v>
      </c>
      <c r="AX271" s="825"/>
      <c r="AY271" s="1305"/>
      <c r="AZ271" s="1305"/>
      <c r="BA271" s="1305"/>
      <c r="BB271" s="1305"/>
      <c r="BC271" s="1305"/>
      <c r="BD271" s="1305"/>
      <c r="BE271" s="1305"/>
      <c r="BF271" s="1305"/>
      <c r="BG271" s="1305"/>
      <c r="BH271" s="1305"/>
      <c r="BI271" s="825"/>
      <c r="BJ271" s="1305"/>
      <c r="BK271" s="1305"/>
      <c r="BL271" s="1305"/>
      <c r="BM271" s="1305"/>
      <c r="BN271" s="1305"/>
      <c r="BO271" s="1305"/>
      <c r="BP271" s="1305"/>
    </row>
    <row r="272" s="1265" customFormat="1" ht="31" customHeight="1" spans="1:68">
      <c r="A272" s="1304">
        <v>45813</v>
      </c>
      <c r="B272" s="822" t="s">
        <v>1272</v>
      </c>
      <c r="C272" s="633" t="s">
        <v>98</v>
      </c>
      <c r="D272" s="825">
        <v>4500169087</v>
      </c>
      <c r="E272" s="633" t="s">
        <v>1273</v>
      </c>
      <c r="F272" s="1305" t="s">
        <v>1274</v>
      </c>
      <c r="G272" s="659" t="s">
        <v>101</v>
      </c>
      <c r="H272" s="633" t="s">
        <v>102</v>
      </c>
      <c r="I272" s="633">
        <v>1200</v>
      </c>
      <c r="J272" s="633">
        <v>0</v>
      </c>
      <c r="K272" s="633">
        <v>4</v>
      </c>
      <c r="L272" s="827">
        <f t="shared" si="76"/>
        <v>300</v>
      </c>
      <c r="M272" s="828">
        <v>45863</v>
      </c>
      <c r="N272" s="828">
        <v>45857</v>
      </c>
      <c r="O272" s="824"/>
      <c r="P272" s="824" t="s">
        <v>113</v>
      </c>
      <c r="Q272" s="633" t="s">
        <v>1275</v>
      </c>
      <c r="R272" s="829" t="s">
        <v>1276</v>
      </c>
      <c r="S272" s="829" t="s">
        <v>104</v>
      </c>
      <c r="T272" s="829">
        <v>45824</v>
      </c>
      <c r="U272" s="829"/>
      <c r="V272" s="829"/>
      <c r="W272" s="829"/>
      <c r="X272" s="822" t="s">
        <v>1277</v>
      </c>
      <c r="Y272" s="828" t="s">
        <v>1278</v>
      </c>
      <c r="Z272" s="1306">
        <v>2.5501</v>
      </c>
      <c r="AA272" s="831">
        <f t="shared" si="74"/>
        <v>3060.12</v>
      </c>
      <c r="AC272" s="632" t="s">
        <v>1279</v>
      </c>
      <c r="AD272" s="633" t="s">
        <v>101</v>
      </c>
      <c r="AE272" s="633" t="s">
        <v>82</v>
      </c>
      <c r="AF272" s="633"/>
      <c r="AG272" s="618"/>
      <c r="AH272" s="618"/>
      <c r="AI272" s="1308">
        <v>1200</v>
      </c>
      <c r="AJ272" s="824">
        <f t="shared" si="77"/>
        <v>0</v>
      </c>
      <c r="AK272" s="633"/>
      <c r="AL272" s="633"/>
      <c r="AM272" s="633"/>
      <c r="AN272" s="825">
        <f t="shared" si="80"/>
        <v>1200</v>
      </c>
      <c r="AO272" s="687"/>
      <c r="AP272" s="687"/>
      <c r="AQ272" s="687"/>
      <c r="AR272" s="825">
        <f>I272</f>
        <v>1200</v>
      </c>
      <c r="AS272" s="687"/>
      <c r="AT272" s="687"/>
      <c r="AU272" s="825">
        <f t="shared" si="81"/>
        <v>1200</v>
      </c>
      <c r="AV272" s="825"/>
      <c r="AW272" s="825">
        <f t="shared" si="79"/>
        <v>1200</v>
      </c>
      <c r="AX272" s="825"/>
      <c r="AY272" s="1305"/>
      <c r="AZ272" s="1305"/>
      <c r="BA272" s="1305"/>
      <c r="BB272" s="1305"/>
      <c r="BC272" s="1305"/>
      <c r="BD272" s="1305"/>
      <c r="BE272" s="1305"/>
      <c r="BF272" s="1305"/>
      <c r="BG272" s="1305"/>
      <c r="BH272" s="825">
        <f>I272/4</f>
        <v>300</v>
      </c>
      <c r="BI272" s="825"/>
      <c r="BJ272" s="1305"/>
      <c r="BK272" s="1305"/>
      <c r="BL272" s="1305"/>
      <c r="BM272" s="1305"/>
      <c r="BN272" s="1305"/>
      <c r="BO272" s="1305"/>
      <c r="BP272" s="1305"/>
    </row>
    <row r="273" s="1265" customFormat="1" ht="31" customHeight="1" spans="1:68">
      <c r="A273" s="1304">
        <v>45789</v>
      </c>
      <c r="B273" s="822" t="s">
        <v>1280</v>
      </c>
      <c r="C273" s="633" t="s">
        <v>524</v>
      </c>
      <c r="D273" s="825">
        <v>4500165982</v>
      </c>
      <c r="E273" s="633">
        <v>61971743</v>
      </c>
      <c r="F273" s="1305" t="s">
        <v>1281</v>
      </c>
      <c r="G273" s="659" t="s">
        <v>68</v>
      </c>
      <c r="H273" s="633" t="s">
        <v>69</v>
      </c>
      <c r="I273" s="633">
        <v>3000</v>
      </c>
      <c r="J273" s="633">
        <v>0</v>
      </c>
      <c r="K273" s="633">
        <v>12</v>
      </c>
      <c r="L273" s="827">
        <f t="shared" si="76"/>
        <v>250</v>
      </c>
      <c r="M273" s="828">
        <v>45863</v>
      </c>
      <c r="N273" s="828">
        <v>45861</v>
      </c>
      <c r="O273" s="824"/>
      <c r="P273" s="824" t="s">
        <v>113</v>
      </c>
      <c r="Q273" s="633"/>
      <c r="R273" s="829">
        <v>45812</v>
      </c>
      <c r="S273" s="829" t="s">
        <v>70</v>
      </c>
      <c r="T273" s="829" t="s">
        <v>1282</v>
      </c>
      <c r="U273" s="829"/>
      <c r="V273" s="829"/>
      <c r="W273" s="829"/>
      <c r="X273" s="628" t="s">
        <v>1283</v>
      </c>
      <c r="Y273" s="828" t="s">
        <v>1284</v>
      </c>
      <c r="Z273" s="1306">
        <v>4.1403</v>
      </c>
      <c r="AA273" s="831">
        <f t="shared" si="74"/>
        <v>12420.9</v>
      </c>
      <c r="AC273" s="1307" t="s">
        <v>1285</v>
      </c>
      <c r="AD273" s="633" t="s">
        <v>184</v>
      </c>
      <c r="AE273" s="633" t="s">
        <v>82</v>
      </c>
      <c r="AF273" s="633"/>
      <c r="AG273" s="618" t="s">
        <v>74</v>
      </c>
      <c r="AH273" s="618"/>
      <c r="AI273" s="1308">
        <v>3000</v>
      </c>
      <c r="AJ273" s="824">
        <f t="shared" si="77"/>
        <v>0</v>
      </c>
      <c r="AK273" s="633"/>
      <c r="AL273" s="633"/>
      <c r="AM273" s="633"/>
      <c r="AN273" s="825">
        <f t="shared" si="80"/>
        <v>3000</v>
      </c>
      <c r="AO273" s="687"/>
      <c r="AP273" s="687"/>
      <c r="AQ273" s="687"/>
      <c r="AR273" s="825"/>
      <c r="AS273" s="687">
        <f>I273</f>
        <v>3000</v>
      </c>
      <c r="AT273" s="687"/>
      <c r="AU273" s="825">
        <f t="shared" si="81"/>
        <v>3000</v>
      </c>
      <c r="AV273" s="825"/>
      <c r="AW273" s="825">
        <f t="shared" si="79"/>
        <v>3000</v>
      </c>
      <c r="AX273" s="825"/>
      <c r="AY273" s="1305"/>
      <c r="AZ273" s="1305"/>
      <c r="BA273" s="1305"/>
      <c r="BB273" s="1305"/>
      <c r="BC273" s="1305"/>
      <c r="BD273" s="1305"/>
      <c r="BE273" s="1305"/>
      <c r="BF273" s="1305"/>
      <c r="BG273" s="1305"/>
      <c r="BH273" s="1305"/>
      <c r="BI273" s="825"/>
      <c r="BJ273" s="1305"/>
      <c r="BK273" s="1305"/>
      <c r="BL273" s="1305"/>
      <c r="BM273" s="1305"/>
      <c r="BN273" s="1305"/>
      <c r="BO273" s="1305"/>
      <c r="BP273" s="1305"/>
    </row>
    <row r="274" s="1265" customFormat="1" ht="31" customHeight="1" spans="1:68">
      <c r="A274" s="1304">
        <v>45785</v>
      </c>
      <c r="B274" s="822" t="s">
        <v>1280</v>
      </c>
      <c r="C274" s="633" t="s">
        <v>524</v>
      </c>
      <c r="D274" s="825">
        <v>4500164920</v>
      </c>
      <c r="E274" s="633">
        <v>61963726</v>
      </c>
      <c r="F274" s="1305" t="s">
        <v>1286</v>
      </c>
      <c r="G274" s="659" t="s">
        <v>68</v>
      </c>
      <c r="H274" s="633" t="s">
        <v>69</v>
      </c>
      <c r="I274" s="633">
        <v>240</v>
      </c>
      <c r="J274" s="633">
        <v>0</v>
      </c>
      <c r="K274" s="633">
        <v>12</v>
      </c>
      <c r="L274" s="827">
        <f t="shared" si="76"/>
        <v>20</v>
      </c>
      <c r="M274" s="828">
        <v>45863</v>
      </c>
      <c r="N274" s="828">
        <v>45861</v>
      </c>
      <c r="O274" s="824"/>
      <c r="P274" s="824" t="s">
        <v>113</v>
      </c>
      <c r="Q274" s="633"/>
      <c r="R274" s="829">
        <v>45812</v>
      </c>
      <c r="S274" s="829" t="s">
        <v>70</v>
      </c>
      <c r="T274" s="829" t="s">
        <v>1282</v>
      </c>
      <c r="U274" s="829"/>
      <c r="V274" s="829"/>
      <c r="W274" s="829"/>
      <c r="X274" s="628" t="s">
        <v>1287</v>
      </c>
      <c r="Y274" s="828" t="s">
        <v>529</v>
      </c>
      <c r="Z274" s="1306">
        <v>4.1</v>
      </c>
      <c r="AA274" s="831">
        <f t="shared" si="74"/>
        <v>984</v>
      </c>
      <c r="AC274" s="1307" t="s">
        <v>1288</v>
      </c>
      <c r="AD274" s="633" t="s">
        <v>184</v>
      </c>
      <c r="AE274" s="633" t="s">
        <v>82</v>
      </c>
      <c r="AF274" s="633"/>
      <c r="AG274" s="618" t="s">
        <v>74</v>
      </c>
      <c r="AH274" s="618"/>
      <c r="AI274" s="1308">
        <v>240</v>
      </c>
      <c r="AJ274" s="824">
        <f t="shared" si="77"/>
        <v>0</v>
      </c>
      <c r="AK274" s="633"/>
      <c r="AL274" s="633"/>
      <c r="AM274" s="633"/>
      <c r="AN274" s="825">
        <f t="shared" si="80"/>
        <v>240</v>
      </c>
      <c r="AO274" s="687"/>
      <c r="AP274" s="687"/>
      <c r="AQ274" s="687"/>
      <c r="AR274" s="825"/>
      <c r="AS274" s="687">
        <f>I274</f>
        <v>240</v>
      </c>
      <c r="AT274" s="687"/>
      <c r="AU274" s="825">
        <f t="shared" si="81"/>
        <v>240</v>
      </c>
      <c r="AV274" s="825"/>
      <c r="AW274" s="825">
        <f t="shared" si="79"/>
        <v>240</v>
      </c>
      <c r="AX274" s="825"/>
      <c r="AY274" s="1305"/>
      <c r="AZ274" s="1305"/>
      <c r="BA274" s="1305"/>
      <c r="BB274" s="1305"/>
      <c r="BC274" s="1305"/>
      <c r="BD274" s="1305"/>
      <c r="BE274" s="1305"/>
      <c r="BF274" s="1305"/>
      <c r="BG274" s="1305"/>
      <c r="BH274" s="1305"/>
      <c r="BI274" s="825"/>
      <c r="BJ274" s="1305"/>
      <c r="BK274" s="1305"/>
      <c r="BL274" s="1305"/>
      <c r="BM274" s="1305"/>
      <c r="BN274" s="1305"/>
      <c r="BO274" s="1305"/>
      <c r="BP274" s="1305"/>
    </row>
    <row r="275" s="1265" customFormat="1" ht="31" customHeight="1" spans="1:68">
      <c r="A275" s="1304">
        <v>45820</v>
      </c>
      <c r="B275" s="822" t="s">
        <v>143</v>
      </c>
      <c r="C275" s="633" t="s">
        <v>98</v>
      </c>
      <c r="D275" s="825">
        <v>4500169834</v>
      </c>
      <c r="E275" s="1413" t="s">
        <v>1289</v>
      </c>
      <c r="F275" s="1305" t="s">
        <v>1290</v>
      </c>
      <c r="G275" s="659" t="s">
        <v>101</v>
      </c>
      <c r="H275" s="633" t="s">
        <v>102</v>
      </c>
      <c r="I275" s="633">
        <v>1688</v>
      </c>
      <c r="J275" s="633">
        <v>0</v>
      </c>
      <c r="K275" s="633">
        <v>4</v>
      </c>
      <c r="L275" s="827">
        <f t="shared" si="76"/>
        <v>422</v>
      </c>
      <c r="M275" s="828">
        <v>45867</v>
      </c>
      <c r="N275" s="828">
        <v>45873</v>
      </c>
      <c r="O275" s="824" t="s">
        <v>1291</v>
      </c>
      <c r="P275" s="824" t="s">
        <v>113</v>
      </c>
      <c r="Q275" s="633"/>
      <c r="R275" s="829" t="s">
        <v>147</v>
      </c>
      <c r="S275" s="829" t="s">
        <v>70</v>
      </c>
      <c r="T275" s="829" t="s">
        <v>148</v>
      </c>
      <c r="U275" s="829"/>
      <c r="V275" s="774" t="s">
        <v>148</v>
      </c>
      <c r="W275" s="829"/>
      <c r="X275" s="822" t="s">
        <v>1172</v>
      </c>
      <c r="Y275" s="828" t="s">
        <v>106</v>
      </c>
      <c r="Z275" s="1306">
        <v>2.58</v>
      </c>
      <c r="AA275" s="831">
        <f t="shared" si="74"/>
        <v>4355.04</v>
      </c>
      <c r="AC275" s="632" t="s">
        <v>1292</v>
      </c>
      <c r="AD275" s="633" t="s">
        <v>101</v>
      </c>
      <c r="AE275" s="633" t="s">
        <v>82</v>
      </c>
      <c r="AF275" s="633"/>
      <c r="AG275" s="618"/>
      <c r="AH275" s="618"/>
      <c r="AI275" s="1308">
        <v>1688</v>
      </c>
      <c r="AJ275" s="824">
        <f t="shared" si="77"/>
        <v>0</v>
      </c>
      <c r="AK275" s="633"/>
      <c r="AL275" s="633"/>
      <c r="AM275" s="633"/>
      <c r="AN275" s="825">
        <f t="shared" si="80"/>
        <v>1688</v>
      </c>
      <c r="AO275" s="687"/>
      <c r="AP275" s="687"/>
      <c r="AQ275" s="687"/>
      <c r="AR275" s="825">
        <f t="shared" ref="AR275:AR281" si="82">I275</f>
        <v>1688</v>
      </c>
      <c r="AS275" s="687"/>
      <c r="AT275" s="687"/>
      <c r="AU275" s="825">
        <f t="shared" si="81"/>
        <v>1688</v>
      </c>
      <c r="AV275" s="825"/>
      <c r="AW275" s="551">
        <f t="shared" si="79"/>
        <v>1688</v>
      </c>
      <c r="AX275" s="825"/>
      <c r="AY275" s="1305"/>
      <c r="AZ275" s="1305"/>
      <c r="BA275" s="1305"/>
      <c r="BB275" s="1305"/>
      <c r="BC275" s="1305"/>
      <c r="BD275" s="1305"/>
      <c r="BE275" s="1305"/>
      <c r="BF275" s="1305"/>
      <c r="BG275" s="1305"/>
      <c r="BH275" s="825">
        <f>I275/4</f>
        <v>422</v>
      </c>
      <c r="BI275" s="825"/>
      <c r="BJ275" s="1305"/>
      <c r="BK275" s="1305"/>
      <c r="BL275" s="1305"/>
      <c r="BM275" s="1305"/>
      <c r="BN275" s="1305"/>
      <c r="BO275" s="1305"/>
      <c r="BP275" s="1305"/>
    </row>
    <row r="276" s="1265" customFormat="1" ht="31" customHeight="1" spans="1:68">
      <c r="A276" s="1304">
        <v>45820</v>
      </c>
      <c r="B276" s="822" t="s">
        <v>143</v>
      </c>
      <c r="C276" s="633" t="s">
        <v>98</v>
      </c>
      <c r="D276" s="825">
        <v>4500169834</v>
      </c>
      <c r="E276" s="1413" t="s">
        <v>1293</v>
      </c>
      <c r="F276" s="1305" t="s">
        <v>1294</v>
      </c>
      <c r="G276" s="659" t="s">
        <v>101</v>
      </c>
      <c r="H276" s="633" t="s">
        <v>102</v>
      </c>
      <c r="I276" s="633">
        <v>1580</v>
      </c>
      <c r="J276" s="633">
        <v>0</v>
      </c>
      <c r="K276" s="633">
        <v>4</v>
      </c>
      <c r="L276" s="827">
        <f t="shared" si="76"/>
        <v>395</v>
      </c>
      <c r="M276" s="828">
        <v>45867</v>
      </c>
      <c r="N276" s="828">
        <v>45873</v>
      </c>
      <c r="O276" s="824" t="s">
        <v>1291</v>
      </c>
      <c r="P276" s="824" t="s">
        <v>113</v>
      </c>
      <c r="Q276" s="633"/>
      <c r="R276" s="829" t="s">
        <v>147</v>
      </c>
      <c r="S276" s="829" t="s">
        <v>70</v>
      </c>
      <c r="T276" s="829" t="s">
        <v>148</v>
      </c>
      <c r="U276" s="829"/>
      <c r="V276" s="774" t="s">
        <v>148</v>
      </c>
      <c r="W276" s="829"/>
      <c r="X276" s="822" t="s">
        <v>1172</v>
      </c>
      <c r="Y276" s="828" t="s">
        <v>106</v>
      </c>
      <c r="Z276" s="1306">
        <v>2.58</v>
      </c>
      <c r="AA276" s="831">
        <f t="shared" si="74"/>
        <v>4076.4</v>
      </c>
      <c r="AC276" s="632" t="s">
        <v>1295</v>
      </c>
      <c r="AD276" s="633" t="s">
        <v>101</v>
      </c>
      <c r="AE276" s="633" t="s">
        <v>82</v>
      </c>
      <c r="AF276" s="633"/>
      <c r="AG276" s="618"/>
      <c r="AH276" s="618"/>
      <c r="AI276" s="1308">
        <v>1580</v>
      </c>
      <c r="AJ276" s="824">
        <f t="shared" si="77"/>
        <v>0</v>
      </c>
      <c r="AK276" s="633"/>
      <c r="AL276" s="633"/>
      <c r="AM276" s="633"/>
      <c r="AN276" s="825">
        <f t="shared" si="80"/>
        <v>1580</v>
      </c>
      <c r="AO276" s="687"/>
      <c r="AP276" s="687"/>
      <c r="AQ276" s="687"/>
      <c r="AR276" s="825">
        <f t="shared" si="82"/>
        <v>1580</v>
      </c>
      <c r="AS276" s="687"/>
      <c r="AT276" s="687"/>
      <c r="AU276" s="825">
        <f t="shared" si="81"/>
        <v>1580</v>
      </c>
      <c r="AV276" s="825"/>
      <c r="AW276" s="551">
        <f t="shared" si="79"/>
        <v>1580</v>
      </c>
      <c r="AX276" s="825"/>
      <c r="AY276" s="1305"/>
      <c r="AZ276" s="1305"/>
      <c r="BA276" s="1305"/>
      <c r="BB276" s="1305"/>
      <c r="BC276" s="1305"/>
      <c r="BD276" s="1305"/>
      <c r="BE276" s="1305"/>
      <c r="BF276" s="1305"/>
      <c r="BG276" s="1305"/>
      <c r="BH276" s="825">
        <f>I276/4</f>
        <v>395</v>
      </c>
      <c r="BI276" s="825"/>
      <c r="BJ276" s="1305"/>
      <c r="BK276" s="1305"/>
      <c r="BL276" s="1305"/>
      <c r="BM276" s="1305"/>
      <c r="BN276" s="1305"/>
      <c r="BO276" s="1305"/>
      <c r="BP276" s="1305"/>
    </row>
    <row r="277" s="1265" customFormat="1" ht="31" customHeight="1" spans="1:68">
      <c r="A277" s="1304">
        <v>45820</v>
      </c>
      <c r="B277" s="822" t="s">
        <v>143</v>
      </c>
      <c r="C277" s="633" t="s">
        <v>98</v>
      </c>
      <c r="D277" s="825">
        <v>4500169834</v>
      </c>
      <c r="E277" s="1413" t="s">
        <v>1296</v>
      </c>
      <c r="F277" s="1305" t="s">
        <v>1297</v>
      </c>
      <c r="G277" s="659" t="s">
        <v>101</v>
      </c>
      <c r="H277" s="633" t="s">
        <v>102</v>
      </c>
      <c r="I277" s="633">
        <v>1680</v>
      </c>
      <c r="J277" s="633">
        <v>0</v>
      </c>
      <c r="K277" s="633">
        <v>4</v>
      </c>
      <c r="L277" s="827">
        <f t="shared" si="76"/>
        <v>420</v>
      </c>
      <c r="M277" s="828">
        <v>45867</v>
      </c>
      <c r="N277" s="828">
        <v>45873</v>
      </c>
      <c r="O277" s="824" t="s">
        <v>1291</v>
      </c>
      <c r="P277" s="824" t="s">
        <v>113</v>
      </c>
      <c r="Q277" s="633"/>
      <c r="R277" s="829" t="s">
        <v>147</v>
      </c>
      <c r="S277" s="829" t="s">
        <v>70</v>
      </c>
      <c r="T277" s="829" t="s">
        <v>148</v>
      </c>
      <c r="U277" s="829"/>
      <c r="V277" s="774" t="s">
        <v>148</v>
      </c>
      <c r="W277" s="829"/>
      <c r="X277" s="822" t="s">
        <v>1172</v>
      </c>
      <c r="Y277" s="828" t="s">
        <v>106</v>
      </c>
      <c r="Z277" s="1306">
        <v>2.58</v>
      </c>
      <c r="AA277" s="831">
        <f t="shared" ref="AA277:AA296" si="83">Z277*I277</f>
        <v>4334.4</v>
      </c>
      <c r="AC277" s="632" t="s">
        <v>1298</v>
      </c>
      <c r="AD277" s="633" t="s">
        <v>101</v>
      </c>
      <c r="AE277" s="633" t="s">
        <v>82</v>
      </c>
      <c r="AF277" s="633"/>
      <c r="AG277" s="618"/>
      <c r="AH277" s="618"/>
      <c r="AI277" s="1308">
        <v>1680</v>
      </c>
      <c r="AJ277" s="824">
        <f t="shared" si="77"/>
        <v>0</v>
      </c>
      <c r="AK277" s="633"/>
      <c r="AL277" s="633"/>
      <c r="AM277" s="633"/>
      <c r="AN277" s="825">
        <f t="shared" si="80"/>
        <v>1680</v>
      </c>
      <c r="AO277" s="687"/>
      <c r="AP277" s="687"/>
      <c r="AQ277" s="687"/>
      <c r="AR277" s="825">
        <f t="shared" si="82"/>
        <v>1680</v>
      </c>
      <c r="AS277" s="687"/>
      <c r="AT277" s="687"/>
      <c r="AU277" s="825">
        <f t="shared" si="81"/>
        <v>1680</v>
      </c>
      <c r="AV277" s="825"/>
      <c r="AW277" s="551">
        <f t="shared" si="79"/>
        <v>1680</v>
      </c>
      <c r="AX277" s="825"/>
      <c r="AY277" s="1305"/>
      <c r="AZ277" s="1305"/>
      <c r="BA277" s="1305"/>
      <c r="BB277" s="1305"/>
      <c r="BC277" s="1305"/>
      <c r="BD277" s="1305"/>
      <c r="BE277" s="1305"/>
      <c r="BF277" s="1305"/>
      <c r="BG277" s="1305"/>
      <c r="BH277" s="825">
        <f>I277/4</f>
        <v>420</v>
      </c>
      <c r="BI277" s="825"/>
      <c r="BJ277" s="1305"/>
      <c r="BK277" s="1305"/>
      <c r="BL277" s="1305"/>
      <c r="BM277" s="1305"/>
      <c r="BN277" s="1305"/>
      <c r="BO277" s="1305"/>
      <c r="BP277" s="1305"/>
    </row>
    <row r="278" s="1265" customFormat="1" ht="31" customHeight="1" spans="1:68">
      <c r="A278" s="1304">
        <v>45820</v>
      </c>
      <c r="B278" s="822" t="s">
        <v>143</v>
      </c>
      <c r="C278" s="633" t="s">
        <v>98</v>
      </c>
      <c r="D278" s="825">
        <v>4500169834</v>
      </c>
      <c r="E278" s="1413" t="s">
        <v>1299</v>
      </c>
      <c r="F278" s="1305" t="s">
        <v>1300</v>
      </c>
      <c r="G278" s="659" t="s">
        <v>101</v>
      </c>
      <c r="H278" s="633" t="s">
        <v>102</v>
      </c>
      <c r="I278" s="633">
        <v>1232</v>
      </c>
      <c r="J278" s="633">
        <v>0</v>
      </c>
      <c r="K278" s="633">
        <v>4</v>
      </c>
      <c r="L278" s="827">
        <f t="shared" si="76"/>
        <v>308</v>
      </c>
      <c r="M278" s="828">
        <v>45867</v>
      </c>
      <c r="N278" s="828">
        <v>45873</v>
      </c>
      <c r="O278" s="824" t="s">
        <v>1291</v>
      </c>
      <c r="P278" s="824" t="s">
        <v>113</v>
      </c>
      <c r="Q278" s="633"/>
      <c r="R278" s="829" t="s">
        <v>147</v>
      </c>
      <c r="S278" s="829" t="s">
        <v>70</v>
      </c>
      <c r="T278" s="829" t="s">
        <v>148</v>
      </c>
      <c r="U278" s="829"/>
      <c r="V278" s="774" t="s">
        <v>148</v>
      </c>
      <c r="W278" s="829"/>
      <c r="X278" s="822" t="s">
        <v>1172</v>
      </c>
      <c r="Y278" s="828" t="s">
        <v>106</v>
      </c>
      <c r="Z278" s="1306">
        <v>2.58</v>
      </c>
      <c r="AA278" s="831">
        <f t="shared" si="83"/>
        <v>3178.56</v>
      </c>
      <c r="AC278" s="632" t="s">
        <v>1301</v>
      </c>
      <c r="AD278" s="633" t="s">
        <v>101</v>
      </c>
      <c r="AE278" s="633" t="s">
        <v>82</v>
      </c>
      <c r="AF278" s="633"/>
      <c r="AG278" s="618"/>
      <c r="AH278" s="618"/>
      <c r="AI278" s="1308">
        <v>1232</v>
      </c>
      <c r="AJ278" s="824">
        <f t="shared" si="77"/>
        <v>0</v>
      </c>
      <c r="AK278" s="633"/>
      <c r="AL278" s="633"/>
      <c r="AM278" s="633"/>
      <c r="AN278" s="825">
        <f t="shared" si="80"/>
        <v>1232</v>
      </c>
      <c r="AO278" s="687"/>
      <c r="AP278" s="687"/>
      <c r="AQ278" s="687"/>
      <c r="AR278" s="825">
        <f t="shared" si="82"/>
        <v>1232</v>
      </c>
      <c r="AS278" s="687"/>
      <c r="AT278" s="687"/>
      <c r="AU278" s="825">
        <f t="shared" si="81"/>
        <v>1232</v>
      </c>
      <c r="AV278" s="825"/>
      <c r="AW278" s="551">
        <f t="shared" si="79"/>
        <v>1232</v>
      </c>
      <c r="AX278" s="825"/>
      <c r="AY278" s="1305"/>
      <c r="AZ278" s="1305"/>
      <c r="BA278" s="1305"/>
      <c r="BB278" s="1305"/>
      <c r="BC278" s="1305"/>
      <c r="BD278" s="1305"/>
      <c r="BE278" s="1305"/>
      <c r="BF278" s="1305"/>
      <c r="BG278" s="1305"/>
      <c r="BH278" s="825">
        <f>I278/4</f>
        <v>308</v>
      </c>
      <c r="BI278" s="825"/>
      <c r="BJ278" s="1305"/>
      <c r="BK278" s="1305"/>
      <c r="BL278" s="1305"/>
      <c r="BM278" s="1305"/>
      <c r="BN278" s="1305"/>
      <c r="BO278" s="1305"/>
      <c r="BP278" s="1305"/>
    </row>
    <row r="279" s="1265" customFormat="1" ht="31" customHeight="1" spans="1:68">
      <c r="A279" s="1304">
        <v>45828</v>
      </c>
      <c r="B279" s="822" t="s">
        <v>139</v>
      </c>
      <c r="C279" s="633" t="s">
        <v>76</v>
      </c>
      <c r="D279" s="825">
        <v>4500170843</v>
      </c>
      <c r="E279" s="633">
        <v>20862339</v>
      </c>
      <c r="F279" s="1305" t="s">
        <v>1302</v>
      </c>
      <c r="G279" s="659" t="s">
        <v>518</v>
      </c>
      <c r="H279" s="633" t="s">
        <v>477</v>
      </c>
      <c r="I279" s="633">
        <v>354</v>
      </c>
      <c r="J279" s="633">
        <v>0</v>
      </c>
      <c r="K279" s="633">
        <v>6</v>
      </c>
      <c r="L279" s="827">
        <f t="shared" si="76"/>
        <v>59</v>
      </c>
      <c r="M279" s="828">
        <v>45870</v>
      </c>
      <c r="N279" s="828">
        <v>45868</v>
      </c>
      <c r="O279" s="824"/>
      <c r="P279" s="824" t="s">
        <v>113</v>
      </c>
      <c r="Q279" s="633"/>
      <c r="R279" s="829">
        <v>45828</v>
      </c>
      <c r="S279" s="829" t="s">
        <v>104</v>
      </c>
      <c r="T279" s="829" t="s">
        <v>1303</v>
      </c>
      <c r="U279" s="829"/>
      <c r="V279" s="829"/>
      <c r="W279" s="829"/>
      <c r="X279" s="628" t="s">
        <v>1304</v>
      </c>
      <c r="Y279" s="828" t="s">
        <v>133</v>
      </c>
      <c r="Z279" s="1306">
        <v>7.4117</v>
      </c>
      <c r="AA279" s="831">
        <f t="shared" si="83"/>
        <v>2623.7418</v>
      </c>
      <c r="AC279" s="1307" t="s">
        <v>1305</v>
      </c>
      <c r="AD279" s="633" t="s">
        <v>1306</v>
      </c>
      <c r="AE279" s="633" t="s">
        <v>82</v>
      </c>
      <c r="AF279" s="633"/>
      <c r="AG279" s="618"/>
      <c r="AH279" s="618"/>
      <c r="AI279" s="1308">
        <f>I279</f>
        <v>354</v>
      </c>
      <c r="AJ279" s="824">
        <f t="shared" si="77"/>
        <v>0</v>
      </c>
      <c r="AK279" s="633"/>
      <c r="AL279" s="633"/>
      <c r="AM279" s="633"/>
      <c r="AN279" s="825">
        <f t="shared" ref="AN279:AN296" si="84">I279</f>
        <v>354</v>
      </c>
      <c r="AO279" s="687"/>
      <c r="AP279" s="687"/>
      <c r="AQ279" s="687"/>
      <c r="AR279" s="825">
        <f t="shared" si="82"/>
        <v>354</v>
      </c>
      <c r="AS279" s="687"/>
      <c r="AT279" s="687"/>
      <c r="AU279" s="825">
        <f t="shared" si="81"/>
        <v>354</v>
      </c>
      <c r="AV279" s="825"/>
      <c r="AW279" s="825">
        <f t="shared" ref="AW279:AW295" si="85">I279</f>
        <v>354</v>
      </c>
      <c r="AX279" s="825"/>
      <c r="AY279" s="1305"/>
      <c r="AZ279" s="1305"/>
      <c r="BA279" s="1305"/>
      <c r="BB279" s="1305"/>
      <c r="BC279" s="1305"/>
      <c r="BD279" s="1305"/>
      <c r="BE279" s="1305"/>
      <c r="BF279" s="1305"/>
      <c r="BG279" s="1305"/>
      <c r="BH279" s="1305"/>
      <c r="BI279" s="825"/>
      <c r="BJ279" s="1305"/>
      <c r="BK279" s="1305"/>
      <c r="BL279" s="1305"/>
      <c r="BM279" s="825"/>
      <c r="BN279" s="1305">
        <f>I279</f>
        <v>354</v>
      </c>
      <c r="BO279" s="1305"/>
      <c r="BP279" s="1305"/>
    </row>
    <row r="280" s="1265" customFormat="1" ht="31" customHeight="1" spans="1:68">
      <c r="A280" s="1304">
        <v>45828</v>
      </c>
      <c r="B280" s="822" t="s">
        <v>135</v>
      </c>
      <c r="C280" s="633" t="s">
        <v>128</v>
      </c>
      <c r="D280" s="825">
        <v>4500170842</v>
      </c>
      <c r="E280" s="633">
        <v>20862333</v>
      </c>
      <c r="F280" s="1305" t="s">
        <v>1307</v>
      </c>
      <c r="G280" s="659" t="s">
        <v>518</v>
      </c>
      <c r="H280" s="633" t="s">
        <v>477</v>
      </c>
      <c r="I280" s="633">
        <v>3246</v>
      </c>
      <c r="J280" s="633">
        <v>0</v>
      </c>
      <c r="K280" s="633">
        <v>6</v>
      </c>
      <c r="L280" s="827">
        <f t="shared" si="76"/>
        <v>541</v>
      </c>
      <c r="M280" s="828">
        <v>45870</v>
      </c>
      <c r="N280" s="828">
        <v>45868</v>
      </c>
      <c r="O280" s="824"/>
      <c r="P280" s="824" t="s">
        <v>113</v>
      </c>
      <c r="Q280" s="633"/>
      <c r="R280" s="829">
        <v>45828</v>
      </c>
      <c r="S280" s="829" t="s">
        <v>104</v>
      </c>
      <c r="T280" s="829" t="s">
        <v>1282</v>
      </c>
      <c r="U280" s="829"/>
      <c r="V280" s="829"/>
      <c r="W280" s="829"/>
      <c r="X280" s="628" t="s">
        <v>1308</v>
      </c>
      <c r="Y280" s="828" t="s">
        <v>133</v>
      </c>
      <c r="Z280" s="1306">
        <v>6.8865</v>
      </c>
      <c r="AA280" s="831">
        <f t="shared" si="83"/>
        <v>22353.579</v>
      </c>
      <c r="AC280" s="1307" t="s">
        <v>1309</v>
      </c>
      <c r="AD280" s="633" t="s">
        <v>1306</v>
      </c>
      <c r="AE280" s="633" t="s">
        <v>82</v>
      </c>
      <c r="AF280" s="633"/>
      <c r="AG280" s="618"/>
      <c r="AH280" s="618"/>
      <c r="AI280" s="1308">
        <f>I280</f>
        <v>3246</v>
      </c>
      <c r="AJ280" s="824">
        <f t="shared" si="77"/>
        <v>0</v>
      </c>
      <c r="AK280" s="633"/>
      <c r="AL280" s="633"/>
      <c r="AM280" s="633"/>
      <c r="AN280" s="825">
        <f t="shared" si="84"/>
        <v>3246</v>
      </c>
      <c r="AO280" s="687"/>
      <c r="AP280" s="687"/>
      <c r="AQ280" s="687"/>
      <c r="AR280" s="825">
        <f t="shared" si="82"/>
        <v>3246</v>
      </c>
      <c r="AS280" s="687"/>
      <c r="AT280" s="687"/>
      <c r="AU280" s="825">
        <f t="shared" si="81"/>
        <v>3246</v>
      </c>
      <c r="AV280" s="825"/>
      <c r="AW280" s="825">
        <f t="shared" si="85"/>
        <v>3246</v>
      </c>
      <c r="AX280" s="825"/>
      <c r="AY280" s="1305"/>
      <c r="AZ280" s="1305"/>
      <c r="BA280" s="1305"/>
      <c r="BB280" s="1305"/>
      <c r="BC280" s="1305"/>
      <c r="BD280" s="1305"/>
      <c r="BE280" s="1305"/>
      <c r="BF280" s="1305"/>
      <c r="BG280" s="1305"/>
      <c r="BH280" s="1305"/>
      <c r="BI280" s="825"/>
      <c r="BJ280" s="1305"/>
      <c r="BK280" s="1305"/>
      <c r="BL280" s="1305"/>
      <c r="BM280" s="825"/>
      <c r="BN280" s="1305">
        <f>I280</f>
        <v>3246</v>
      </c>
      <c r="BO280" s="1305"/>
      <c r="BP280" s="1305"/>
    </row>
    <row r="281" s="1265" customFormat="1" ht="31" customHeight="1" spans="1:68">
      <c r="A281" s="1304">
        <v>45838</v>
      </c>
      <c r="B281" s="822" t="s">
        <v>404</v>
      </c>
      <c r="C281" s="633" t="s">
        <v>278</v>
      </c>
      <c r="D281" s="825">
        <v>4500164207</v>
      </c>
      <c r="E281" s="633">
        <v>240150</v>
      </c>
      <c r="F281" s="1305" t="s">
        <v>1310</v>
      </c>
      <c r="G281" s="659" t="s">
        <v>68</v>
      </c>
      <c r="H281" s="633" t="s">
        <v>69</v>
      </c>
      <c r="I281" s="633">
        <v>300</v>
      </c>
      <c r="J281" s="633">
        <v>0</v>
      </c>
      <c r="K281" s="633">
        <v>12</v>
      </c>
      <c r="L281" s="827">
        <f t="shared" si="76"/>
        <v>25</v>
      </c>
      <c r="M281" s="828">
        <v>45870</v>
      </c>
      <c r="N281" s="828">
        <v>45868</v>
      </c>
      <c r="O281" s="824"/>
      <c r="P281" s="824" t="s">
        <v>113</v>
      </c>
      <c r="Q281" s="633"/>
      <c r="R281" s="829">
        <v>45838</v>
      </c>
      <c r="S281" s="829" t="s">
        <v>70</v>
      </c>
      <c r="T281" s="829">
        <v>45838</v>
      </c>
      <c r="U281" s="829"/>
      <c r="V281" s="829"/>
      <c r="W281" s="829"/>
      <c r="X281" s="822" t="s">
        <v>1311</v>
      </c>
      <c r="Y281" s="828">
        <v>300150</v>
      </c>
      <c r="Z281" s="1306">
        <v>4.1456</v>
      </c>
      <c r="AA281" s="831">
        <f t="shared" si="83"/>
        <v>1243.68</v>
      </c>
      <c r="AC281" s="1307" t="s">
        <v>1312</v>
      </c>
      <c r="AD281" s="633" t="s">
        <v>68</v>
      </c>
      <c r="AE281" s="633" t="s">
        <v>82</v>
      </c>
      <c r="AF281" s="633"/>
      <c r="AG281" s="618"/>
      <c r="AH281" s="618"/>
      <c r="AI281" s="1308">
        <v>300</v>
      </c>
      <c r="AJ281" s="824">
        <f t="shared" si="77"/>
        <v>0</v>
      </c>
      <c r="AK281" s="633"/>
      <c r="AL281" s="633"/>
      <c r="AM281" s="633"/>
      <c r="AN281" s="825">
        <f t="shared" si="84"/>
        <v>300</v>
      </c>
      <c r="AO281" s="687"/>
      <c r="AP281" s="687"/>
      <c r="AQ281" s="687"/>
      <c r="AR281" s="825">
        <f t="shared" si="82"/>
        <v>300</v>
      </c>
      <c r="AS281" s="687"/>
      <c r="AT281" s="687"/>
      <c r="AU281" s="825">
        <f t="shared" si="81"/>
        <v>300</v>
      </c>
      <c r="AV281" s="825"/>
      <c r="AW281" s="825">
        <f t="shared" si="85"/>
        <v>300</v>
      </c>
      <c r="AX281" s="825"/>
      <c r="AY281" s="1305"/>
      <c r="AZ281" s="1305"/>
      <c r="BA281" s="1305"/>
      <c r="BB281" s="1305"/>
      <c r="BC281" s="1305"/>
      <c r="BD281" s="1305"/>
      <c r="BE281" s="1305"/>
      <c r="BF281" s="1305"/>
      <c r="BG281" s="1305"/>
      <c r="BH281" s="1305"/>
      <c r="BI281" s="825"/>
      <c r="BJ281" s="1305"/>
      <c r="BK281" s="1305"/>
      <c r="BL281" s="1305"/>
      <c r="BM281" s="1305"/>
      <c r="BN281" s="1305"/>
      <c r="BO281" s="1305"/>
      <c r="BP281" s="1305"/>
    </row>
    <row r="282" s="1265" customFormat="1" ht="31" customHeight="1" spans="1:68">
      <c r="A282" s="1304">
        <v>45826</v>
      </c>
      <c r="B282" s="822" t="s">
        <v>1313</v>
      </c>
      <c r="C282" s="633" t="s">
        <v>170</v>
      </c>
      <c r="D282" s="825">
        <v>4500170357</v>
      </c>
      <c r="E282" s="633" t="s">
        <v>1314</v>
      </c>
      <c r="F282" s="1305" t="s">
        <v>1315</v>
      </c>
      <c r="G282" s="659" t="s">
        <v>101</v>
      </c>
      <c r="H282" s="633" t="s">
        <v>102</v>
      </c>
      <c r="I282" s="633">
        <v>616</v>
      </c>
      <c r="J282" s="633">
        <v>0</v>
      </c>
      <c r="K282" s="633">
        <v>4</v>
      </c>
      <c r="L282" s="827">
        <f t="shared" si="76"/>
        <v>154</v>
      </c>
      <c r="M282" s="828">
        <v>45870</v>
      </c>
      <c r="N282" s="828">
        <v>45869</v>
      </c>
      <c r="O282" s="824"/>
      <c r="P282" s="824" t="s">
        <v>113</v>
      </c>
      <c r="Q282" s="633"/>
      <c r="R282" s="829">
        <v>45826</v>
      </c>
      <c r="S282" s="829" t="s">
        <v>70</v>
      </c>
      <c r="T282" s="829">
        <v>45838</v>
      </c>
      <c r="U282" s="829"/>
      <c r="V282" s="829"/>
      <c r="W282" s="829" t="s">
        <v>1316</v>
      </c>
      <c r="X282" s="822" t="s">
        <v>1317</v>
      </c>
      <c r="Y282" s="828" t="s">
        <v>1318</v>
      </c>
      <c r="Z282" s="1306">
        <v>4.3</v>
      </c>
      <c r="AA282" s="831">
        <f t="shared" si="83"/>
        <v>2648.8</v>
      </c>
      <c r="AC282" s="1307" t="s">
        <v>1319</v>
      </c>
      <c r="AD282" s="633" t="s">
        <v>156</v>
      </c>
      <c r="AE282" s="633" t="s">
        <v>82</v>
      </c>
      <c r="AF282" s="633"/>
      <c r="AG282" s="618"/>
      <c r="AH282" s="618"/>
      <c r="AI282" s="1308">
        <v>616</v>
      </c>
      <c r="AJ282" s="824">
        <f t="shared" si="77"/>
        <v>0</v>
      </c>
      <c r="AK282" s="633"/>
      <c r="AL282" s="633"/>
      <c r="AM282" s="633"/>
      <c r="AN282" s="825">
        <f t="shared" si="84"/>
        <v>616</v>
      </c>
      <c r="AO282" s="687"/>
      <c r="AP282" s="687"/>
      <c r="AQ282" s="687"/>
      <c r="AR282" s="825"/>
      <c r="AS282" s="687">
        <f>I282</f>
        <v>616</v>
      </c>
      <c r="AT282" s="687"/>
      <c r="AU282" s="825">
        <f t="shared" si="81"/>
        <v>616</v>
      </c>
      <c r="AV282" s="825"/>
      <c r="AW282" s="825">
        <f t="shared" si="85"/>
        <v>616</v>
      </c>
      <c r="AX282" s="825"/>
      <c r="AY282" s="1305"/>
      <c r="AZ282" s="1305"/>
      <c r="BA282" s="1305"/>
      <c r="BB282" s="1305"/>
      <c r="BC282" s="1305"/>
      <c r="BD282" s="1305"/>
      <c r="BE282" s="1305"/>
      <c r="BF282" s="1305"/>
      <c r="BG282" s="1305"/>
      <c r="BH282" s="1305"/>
      <c r="BI282" s="825">
        <f>I282/4</f>
        <v>154</v>
      </c>
      <c r="BJ282" s="1305"/>
      <c r="BK282" s="1305"/>
      <c r="BL282" s="1305"/>
      <c r="BM282" s="1305"/>
      <c r="BN282" s="1305"/>
      <c r="BO282" s="1305"/>
      <c r="BP282" s="1305"/>
    </row>
    <row r="283" s="1265" customFormat="1" ht="31" customHeight="1" spans="1:68">
      <c r="A283" s="1304">
        <v>45828</v>
      </c>
      <c r="B283" s="822" t="s">
        <v>1320</v>
      </c>
      <c r="C283" s="633" t="s">
        <v>411</v>
      </c>
      <c r="D283" s="825">
        <v>4500170840</v>
      </c>
      <c r="E283" s="633"/>
      <c r="F283" s="1305" t="s">
        <v>1321</v>
      </c>
      <c r="G283" s="659" t="s">
        <v>68</v>
      </c>
      <c r="H283" s="633" t="s">
        <v>69</v>
      </c>
      <c r="I283" s="633">
        <v>996</v>
      </c>
      <c r="J283" s="633">
        <v>0</v>
      </c>
      <c r="K283" s="633">
        <v>12</v>
      </c>
      <c r="L283" s="827">
        <f t="shared" si="76"/>
        <v>83</v>
      </c>
      <c r="M283" s="828">
        <v>45870</v>
      </c>
      <c r="N283" s="828">
        <v>45870</v>
      </c>
      <c r="O283" s="824" t="s">
        <v>1322</v>
      </c>
      <c r="P283" s="824" t="s">
        <v>113</v>
      </c>
      <c r="Q283" s="633"/>
      <c r="R283" s="829">
        <v>45840</v>
      </c>
      <c r="S283" s="829" t="s">
        <v>70</v>
      </c>
      <c r="T283" s="829">
        <v>45845</v>
      </c>
      <c r="U283" s="829"/>
      <c r="V283" s="829" t="s">
        <v>1323</v>
      </c>
      <c r="W283" s="829" t="s">
        <v>1324</v>
      </c>
      <c r="X283" s="822" t="s">
        <v>1325</v>
      </c>
      <c r="Y283" s="828" t="s">
        <v>415</v>
      </c>
      <c r="Z283" s="1306">
        <v>4.1456</v>
      </c>
      <c r="AA283" s="831">
        <f t="shared" si="83"/>
        <v>4129.0176</v>
      </c>
      <c r="AC283" s="1307" t="s">
        <v>1326</v>
      </c>
      <c r="AD283" s="633" t="s">
        <v>184</v>
      </c>
      <c r="AE283" s="633" t="s">
        <v>82</v>
      </c>
      <c r="AF283" s="633"/>
      <c r="AG283" s="618"/>
      <c r="AH283" s="618"/>
      <c r="AI283" s="1308">
        <v>996</v>
      </c>
      <c r="AJ283" s="824">
        <f t="shared" si="77"/>
        <v>0</v>
      </c>
      <c r="AK283" s="633"/>
      <c r="AL283" s="633"/>
      <c r="AM283" s="633"/>
      <c r="AN283" s="825">
        <f t="shared" si="84"/>
        <v>996</v>
      </c>
      <c r="AO283" s="687"/>
      <c r="AP283" s="687"/>
      <c r="AQ283" s="687"/>
      <c r="AR283" s="825"/>
      <c r="AS283" s="687">
        <f>I283</f>
        <v>996</v>
      </c>
      <c r="AT283" s="687"/>
      <c r="AU283" s="825">
        <f t="shared" si="81"/>
        <v>996</v>
      </c>
      <c r="AV283" s="825"/>
      <c r="AW283" s="825">
        <f t="shared" si="85"/>
        <v>996</v>
      </c>
      <c r="AX283" s="825"/>
      <c r="AY283" s="1305"/>
      <c r="AZ283" s="1305"/>
      <c r="BA283" s="1305"/>
      <c r="BB283" s="1305"/>
      <c r="BC283" s="1305"/>
      <c r="BD283" s="1305"/>
      <c r="BE283" s="1305"/>
      <c r="BF283" s="1305"/>
      <c r="BG283" s="1305"/>
      <c r="BH283" s="1305"/>
      <c r="BI283" s="825"/>
      <c r="BJ283" s="1305"/>
      <c r="BK283" s="1305"/>
      <c r="BL283" s="1305"/>
      <c r="BM283" s="1305"/>
      <c r="BN283" s="1305"/>
      <c r="BO283" s="1305"/>
      <c r="BP283" s="1305"/>
    </row>
    <row r="284" s="1265" customFormat="1" ht="31" customHeight="1" spans="1:68">
      <c r="A284" s="1304">
        <v>45826</v>
      </c>
      <c r="B284" s="822" t="s">
        <v>1327</v>
      </c>
      <c r="C284" s="633" t="s">
        <v>524</v>
      </c>
      <c r="D284" s="825">
        <v>4500170311</v>
      </c>
      <c r="E284" s="633"/>
      <c r="F284" s="1305" t="s">
        <v>1328</v>
      </c>
      <c r="G284" s="659" t="s">
        <v>68</v>
      </c>
      <c r="H284" s="633" t="s">
        <v>69</v>
      </c>
      <c r="I284" s="633">
        <v>312</v>
      </c>
      <c r="J284" s="633">
        <v>0</v>
      </c>
      <c r="K284" s="633">
        <v>12</v>
      </c>
      <c r="L284" s="827">
        <f t="shared" si="76"/>
        <v>26</v>
      </c>
      <c r="M284" s="828">
        <v>45870</v>
      </c>
      <c r="N284" s="828">
        <v>45873</v>
      </c>
      <c r="O284" s="824" t="s">
        <v>1329</v>
      </c>
      <c r="P284" s="824" t="s">
        <v>113</v>
      </c>
      <c r="Q284" s="633"/>
      <c r="R284" s="829">
        <v>45840</v>
      </c>
      <c r="S284" s="829" t="s">
        <v>70</v>
      </c>
      <c r="T284" s="829">
        <v>45848</v>
      </c>
      <c r="U284" s="829"/>
      <c r="V284" s="829"/>
      <c r="W284" s="829"/>
      <c r="X284" s="822" t="s">
        <v>1330</v>
      </c>
      <c r="Y284" s="828" t="s">
        <v>340</v>
      </c>
      <c r="Z284" s="1306">
        <v>4.1456</v>
      </c>
      <c r="AA284" s="831">
        <f t="shared" si="83"/>
        <v>1293.4272</v>
      </c>
      <c r="AC284" s="1307" t="s">
        <v>1331</v>
      </c>
      <c r="AD284" s="633" t="s">
        <v>68</v>
      </c>
      <c r="AE284" s="633" t="s">
        <v>82</v>
      </c>
      <c r="AF284" s="633"/>
      <c r="AG284" s="618"/>
      <c r="AH284" s="618"/>
      <c r="AI284" s="1308">
        <v>312</v>
      </c>
      <c r="AJ284" s="824">
        <f t="shared" si="77"/>
        <v>0</v>
      </c>
      <c r="AK284" s="633"/>
      <c r="AL284" s="633"/>
      <c r="AM284" s="633"/>
      <c r="AN284" s="825">
        <f t="shared" si="84"/>
        <v>312</v>
      </c>
      <c r="AO284" s="687"/>
      <c r="AP284" s="687"/>
      <c r="AQ284" s="687"/>
      <c r="AR284" s="825"/>
      <c r="AS284" s="687">
        <f>I284</f>
        <v>312</v>
      </c>
      <c r="AT284" s="687"/>
      <c r="AU284" s="825">
        <f t="shared" si="81"/>
        <v>312</v>
      </c>
      <c r="AV284" s="825"/>
      <c r="AW284" s="825">
        <f t="shared" si="85"/>
        <v>312</v>
      </c>
      <c r="AX284" s="825"/>
      <c r="AY284" s="1305"/>
      <c r="AZ284" s="1305"/>
      <c r="BA284" s="1305"/>
      <c r="BB284" s="1305"/>
      <c r="BC284" s="1305"/>
      <c r="BD284" s="1305"/>
      <c r="BE284" s="1305"/>
      <c r="BF284" s="1305"/>
      <c r="BG284" s="1305"/>
      <c r="BH284" s="1305"/>
      <c r="BI284" s="825"/>
      <c r="BJ284" s="1305"/>
      <c r="BK284" s="1305"/>
      <c r="BL284" s="1305"/>
      <c r="BM284" s="1305"/>
      <c r="BN284" s="1305"/>
      <c r="BO284" s="1305"/>
      <c r="BP284" s="1305"/>
    </row>
    <row r="285" s="1265" customFormat="1" ht="31" customHeight="1" spans="1:68">
      <c r="A285" s="1304">
        <v>45826</v>
      </c>
      <c r="B285" s="822" t="s">
        <v>1332</v>
      </c>
      <c r="C285" s="633" t="s">
        <v>590</v>
      </c>
      <c r="D285" s="825">
        <v>4500170501</v>
      </c>
      <c r="E285" s="633"/>
      <c r="F285" s="1305" t="s">
        <v>1333</v>
      </c>
      <c r="G285" s="659" t="s">
        <v>68</v>
      </c>
      <c r="H285" s="633" t="s">
        <v>69</v>
      </c>
      <c r="I285" s="633">
        <v>504</v>
      </c>
      <c r="J285" s="633">
        <v>0</v>
      </c>
      <c r="K285" s="633">
        <v>12</v>
      </c>
      <c r="L285" s="827">
        <f t="shared" si="76"/>
        <v>42</v>
      </c>
      <c r="M285" s="828">
        <v>45873</v>
      </c>
      <c r="N285" s="828">
        <v>45873</v>
      </c>
      <c r="O285" s="824"/>
      <c r="P285" s="824" t="s">
        <v>113</v>
      </c>
      <c r="Q285" s="633"/>
      <c r="R285" s="829">
        <v>45834</v>
      </c>
      <c r="S285" s="829" t="s">
        <v>70</v>
      </c>
      <c r="T285" s="829" t="s">
        <v>1334</v>
      </c>
      <c r="U285" s="829"/>
      <c r="V285" s="829"/>
      <c r="W285" s="829"/>
      <c r="X285" s="822" t="s">
        <v>1335</v>
      </c>
      <c r="Y285" s="828" t="s">
        <v>230</v>
      </c>
      <c r="Z285" s="1306">
        <v>4.1456</v>
      </c>
      <c r="AA285" s="831">
        <f t="shared" si="83"/>
        <v>2089.3824</v>
      </c>
      <c r="AC285" s="1307" t="s">
        <v>1336</v>
      </c>
      <c r="AD285" s="633" t="s">
        <v>68</v>
      </c>
      <c r="AE285" s="633" t="s">
        <v>82</v>
      </c>
      <c r="AF285" s="633"/>
      <c r="AG285" s="618"/>
      <c r="AH285" s="618"/>
      <c r="AI285" s="1308">
        <v>504</v>
      </c>
      <c r="AJ285" s="824">
        <f t="shared" ref="AJ285:AJ296" si="86">AI285-I285</f>
        <v>0</v>
      </c>
      <c r="AK285" s="633"/>
      <c r="AL285" s="633"/>
      <c r="AM285" s="633"/>
      <c r="AN285" s="825">
        <f t="shared" si="84"/>
        <v>504</v>
      </c>
      <c r="AO285" s="687"/>
      <c r="AP285" s="687"/>
      <c r="AQ285" s="687"/>
      <c r="AR285" s="825">
        <f>I285</f>
        <v>504</v>
      </c>
      <c r="AS285" s="687"/>
      <c r="AT285" s="687"/>
      <c r="AU285" s="825">
        <f t="shared" si="81"/>
        <v>504</v>
      </c>
      <c r="AV285" s="825"/>
      <c r="AW285" s="825">
        <f t="shared" si="85"/>
        <v>504</v>
      </c>
      <c r="AX285" s="825"/>
      <c r="AY285" s="1305"/>
      <c r="AZ285" s="1305"/>
      <c r="BA285" s="1305"/>
      <c r="BB285" s="1305"/>
      <c r="BC285" s="1305"/>
      <c r="BD285" s="1305"/>
      <c r="BE285" s="1305"/>
      <c r="BF285" s="1305"/>
      <c r="BG285" s="1305"/>
      <c r="BH285" s="1305"/>
      <c r="BI285" s="825"/>
      <c r="BJ285" s="1305"/>
      <c r="BK285" s="1305"/>
      <c r="BL285" s="1305"/>
      <c r="BM285" s="1305"/>
      <c r="BN285" s="1305"/>
      <c r="BO285" s="1305"/>
      <c r="BP285" s="1305"/>
    </row>
    <row r="286" s="1265" customFormat="1" ht="31" customHeight="1" spans="1:68">
      <c r="A286" s="1304">
        <v>45838</v>
      </c>
      <c r="B286" s="822" t="s">
        <v>1337</v>
      </c>
      <c r="C286" s="633" t="s">
        <v>931</v>
      </c>
      <c r="D286" s="825">
        <v>4500172103</v>
      </c>
      <c r="E286" s="633"/>
      <c r="F286" s="1305" t="s">
        <v>1338</v>
      </c>
      <c r="G286" s="659" t="s">
        <v>68</v>
      </c>
      <c r="H286" s="633" t="s">
        <v>69</v>
      </c>
      <c r="I286" s="633">
        <v>600</v>
      </c>
      <c r="J286" s="633">
        <v>0</v>
      </c>
      <c r="K286" s="633">
        <v>12</v>
      </c>
      <c r="L286" s="827">
        <f t="shared" si="76"/>
        <v>50</v>
      </c>
      <c r="M286" s="828">
        <v>45874</v>
      </c>
      <c r="N286" s="828">
        <v>45870</v>
      </c>
      <c r="O286" s="824"/>
      <c r="P286" s="824" t="s">
        <v>113</v>
      </c>
      <c r="Q286" s="633"/>
      <c r="R286" s="829">
        <v>45845</v>
      </c>
      <c r="S286" s="829" t="s">
        <v>70</v>
      </c>
      <c r="T286" s="829" t="s">
        <v>1339</v>
      </c>
      <c r="U286" s="829"/>
      <c r="V286" s="829"/>
      <c r="W286" s="829"/>
      <c r="X286" s="628" t="s">
        <v>1340</v>
      </c>
      <c r="Y286" s="828" t="s">
        <v>943</v>
      </c>
      <c r="Z286" s="1306">
        <v>4.1456</v>
      </c>
      <c r="AA286" s="831">
        <f t="shared" si="83"/>
        <v>2487.36</v>
      </c>
      <c r="AC286" s="632" t="s">
        <v>1341</v>
      </c>
      <c r="AD286" s="633" t="s">
        <v>184</v>
      </c>
      <c r="AE286" s="633" t="s">
        <v>82</v>
      </c>
      <c r="AF286" s="633"/>
      <c r="AG286" s="618"/>
      <c r="AH286" s="618"/>
      <c r="AI286" s="1308">
        <v>600</v>
      </c>
      <c r="AJ286" s="824">
        <f t="shared" si="86"/>
        <v>0</v>
      </c>
      <c r="AK286" s="633"/>
      <c r="AL286" s="633"/>
      <c r="AM286" s="633"/>
      <c r="AN286" s="825">
        <f t="shared" si="84"/>
        <v>600</v>
      </c>
      <c r="AO286" s="687"/>
      <c r="AP286" s="687"/>
      <c r="AQ286" s="687"/>
      <c r="AR286" s="825"/>
      <c r="AS286" s="687">
        <f>I286</f>
        <v>600</v>
      </c>
      <c r="AT286" s="687"/>
      <c r="AU286" s="825">
        <f t="shared" si="81"/>
        <v>600</v>
      </c>
      <c r="AV286" s="825"/>
      <c r="AW286" s="825">
        <f t="shared" si="85"/>
        <v>600</v>
      </c>
      <c r="AX286" s="825"/>
      <c r="AY286" s="1305"/>
      <c r="AZ286" s="1305"/>
      <c r="BA286" s="1305"/>
      <c r="BB286" s="1305"/>
      <c r="BC286" s="1305"/>
      <c r="BD286" s="1305"/>
      <c r="BE286" s="1305"/>
      <c r="BF286" s="1305"/>
      <c r="BG286" s="1305"/>
      <c r="BH286" s="1305"/>
      <c r="BI286" s="825"/>
      <c r="BJ286" s="1305"/>
      <c r="BK286" s="1305"/>
      <c r="BL286" s="1305"/>
      <c r="BM286" s="1305"/>
      <c r="BN286" s="1305"/>
      <c r="BO286" s="1305"/>
      <c r="BP286" s="1305"/>
    </row>
    <row r="287" s="1265" customFormat="1" ht="31" customHeight="1" spans="1:68">
      <c r="A287" s="1304">
        <v>45785</v>
      </c>
      <c r="B287" s="822" t="s">
        <v>1342</v>
      </c>
      <c r="C287" s="633" t="s">
        <v>1343</v>
      </c>
      <c r="D287" s="825">
        <v>4500165405</v>
      </c>
      <c r="E287" s="633" t="s">
        <v>1344</v>
      </c>
      <c r="F287" s="1305" t="s">
        <v>1345</v>
      </c>
      <c r="G287" s="659" t="s">
        <v>68</v>
      </c>
      <c r="H287" s="633" t="s">
        <v>69</v>
      </c>
      <c r="I287" s="633">
        <v>816</v>
      </c>
      <c r="J287" s="633">
        <v>0</v>
      </c>
      <c r="K287" s="633">
        <v>12</v>
      </c>
      <c r="L287" s="827">
        <f t="shared" si="76"/>
        <v>68</v>
      </c>
      <c r="M287" s="828">
        <v>45874</v>
      </c>
      <c r="N287" s="828">
        <v>45870</v>
      </c>
      <c r="O287" s="824"/>
      <c r="P287" s="824" t="s">
        <v>113</v>
      </c>
      <c r="Q287" s="633"/>
      <c r="R287" s="829">
        <v>45785</v>
      </c>
      <c r="S287" s="829" t="s">
        <v>70</v>
      </c>
      <c r="T287" s="829">
        <v>45853</v>
      </c>
      <c r="U287" s="829"/>
      <c r="V287" s="829"/>
      <c r="W287" s="829"/>
      <c r="X287" s="628" t="s">
        <v>1346</v>
      </c>
      <c r="Y287" s="828" t="s">
        <v>1347</v>
      </c>
      <c r="Z287" s="1306">
        <v>4.2386</v>
      </c>
      <c r="AA287" s="831">
        <f t="shared" si="83"/>
        <v>3458.6976</v>
      </c>
      <c r="AC287" s="1307" t="s">
        <v>1348</v>
      </c>
      <c r="AD287" s="633" t="s">
        <v>68</v>
      </c>
      <c r="AE287" s="633" t="s">
        <v>82</v>
      </c>
      <c r="AF287" s="633"/>
      <c r="AG287" s="618"/>
      <c r="AH287" s="618"/>
      <c r="AI287" s="1308">
        <v>816</v>
      </c>
      <c r="AJ287" s="824">
        <f t="shared" si="86"/>
        <v>0</v>
      </c>
      <c r="AK287" s="633"/>
      <c r="AL287" s="633"/>
      <c r="AM287" s="633"/>
      <c r="AN287" s="825">
        <f t="shared" si="84"/>
        <v>816</v>
      </c>
      <c r="AO287" s="687"/>
      <c r="AP287" s="687"/>
      <c r="AQ287" s="687"/>
      <c r="AR287" s="825">
        <f t="shared" ref="AR287:AR296" si="87">I287</f>
        <v>816</v>
      </c>
      <c r="AS287" s="687"/>
      <c r="AT287" s="687"/>
      <c r="AU287" s="825">
        <f t="shared" si="81"/>
        <v>816</v>
      </c>
      <c r="AV287" s="825"/>
      <c r="AW287" s="825">
        <f t="shared" si="85"/>
        <v>816</v>
      </c>
      <c r="AX287" s="825"/>
      <c r="AY287" s="1305"/>
      <c r="AZ287" s="1305"/>
      <c r="BA287" s="1305"/>
      <c r="BB287" s="1305"/>
      <c r="BC287" s="1305"/>
      <c r="BD287" s="1305"/>
      <c r="BE287" s="1305"/>
      <c r="BF287" s="1305"/>
      <c r="BG287" s="1305"/>
      <c r="BH287" s="1305"/>
      <c r="BI287" s="825"/>
      <c r="BJ287" s="1305"/>
      <c r="BK287" s="1305"/>
      <c r="BL287" s="1305"/>
      <c r="BM287" s="1305"/>
      <c r="BN287" s="1305"/>
      <c r="BO287" s="1305"/>
      <c r="BP287" s="1305"/>
    </row>
    <row r="288" s="1265" customFormat="1" ht="31" customHeight="1" spans="1:68">
      <c r="A288" s="1304">
        <v>45790</v>
      </c>
      <c r="B288" s="822" t="s">
        <v>1342</v>
      </c>
      <c r="C288" s="633" t="s">
        <v>1343</v>
      </c>
      <c r="D288" s="825">
        <v>4500165405</v>
      </c>
      <c r="E288" s="633" t="s">
        <v>1349</v>
      </c>
      <c r="F288" s="1305" t="s">
        <v>1350</v>
      </c>
      <c r="G288" s="659" t="s">
        <v>68</v>
      </c>
      <c r="H288" s="633" t="s">
        <v>69</v>
      </c>
      <c r="I288" s="633">
        <v>1188</v>
      </c>
      <c r="J288" s="633">
        <v>0</v>
      </c>
      <c r="K288" s="633">
        <v>12</v>
      </c>
      <c r="L288" s="827">
        <f t="shared" si="76"/>
        <v>99</v>
      </c>
      <c r="M288" s="828">
        <v>45874</v>
      </c>
      <c r="N288" s="828">
        <v>45870</v>
      </c>
      <c r="O288" s="824"/>
      <c r="P288" s="824" t="s">
        <v>113</v>
      </c>
      <c r="Q288" s="633"/>
      <c r="R288" s="829">
        <v>45785</v>
      </c>
      <c r="S288" s="829" t="s">
        <v>70</v>
      </c>
      <c r="T288" s="829">
        <v>45853</v>
      </c>
      <c r="U288" s="829"/>
      <c r="V288" s="829"/>
      <c r="W288" s="829"/>
      <c r="X288" s="628" t="s">
        <v>1346</v>
      </c>
      <c r="Y288" s="828" t="s">
        <v>1347</v>
      </c>
      <c r="Z288" s="1306">
        <v>4.2386</v>
      </c>
      <c r="AA288" s="831">
        <f t="shared" si="83"/>
        <v>5035.4568</v>
      </c>
      <c r="AC288" s="1307" t="s">
        <v>1348</v>
      </c>
      <c r="AD288" s="633" t="s">
        <v>68</v>
      </c>
      <c r="AE288" s="633" t="s">
        <v>82</v>
      </c>
      <c r="AF288" s="633"/>
      <c r="AG288" s="618"/>
      <c r="AH288" s="618"/>
      <c r="AI288" s="1308">
        <v>1188</v>
      </c>
      <c r="AJ288" s="824">
        <f t="shared" si="86"/>
        <v>0</v>
      </c>
      <c r="AK288" s="633"/>
      <c r="AL288" s="633"/>
      <c r="AM288" s="633"/>
      <c r="AN288" s="825">
        <f t="shared" si="84"/>
        <v>1188</v>
      </c>
      <c r="AO288" s="687"/>
      <c r="AP288" s="687"/>
      <c r="AQ288" s="687"/>
      <c r="AR288" s="563">
        <f t="shared" si="87"/>
        <v>1188</v>
      </c>
      <c r="AS288" s="563"/>
      <c r="AT288" s="563"/>
      <c r="AU288" s="825">
        <f t="shared" si="81"/>
        <v>1188</v>
      </c>
      <c r="AV288" s="825"/>
      <c r="AW288" s="563">
        <f t="shared" si="85"/>
        <v>1188</v>
      </c>
      <c r="AX288" s="563"/>
      <c r="AY288" s="1305"/>
      <c r="AZ288" s="1305"/>
      <c r="BA288" s="1305"/>
      <c r="BB288" s="1305"/>
      <c r="BC288" s="1305"/>
      <c r="BD288" s="1305"/>
      <c r="BE288" s="1305"/>
      <c r="BF288" s="1305"/>
      <c r="BG288" s="1305"/>
      <c r="BH288" s="1305"/>
      <c r="BI288" s="825"/>
      <c r="BJ288" s="1305"/>
      <c r="BK288" s="1305"/>
      <c r="BL288" s="1305"/>
      <c r="BM288" s="1305"/>
      <c r="BN288" s="1305"/>
      <c r="BO288" s="1305"/>
      <c r="BP288" s="1305"/>
    </row>
    <row r="289" s="1265" customFormat="1" ht="31" customHeight="1" spans="1:68">
      <c r="A289" s="1304">
        <v>45834</v>
      </c>
      <c r="B289" s="822" t="s">
        <v>351</v>
      </c>
      <c r="C289" s="633" t="s">
        <v>98</v>
      </c>
      <c r="D289" s="825">
        <v>4500171377</v>
      </c>
      <c r="E289" s="633" t="s">
        <v>1351</v>
      </c>
      <c r="F289" s="1305" t="s">
        <v>1352</v>
      </c>
      <c r="G289" s="659" t="s">
        <v>101</v>
      </c>
      <c r="H289" s="633" t="s">
        <v>102</v>
      </c>
      <c r="I289" s="633">
        <v>644</v>
      </c>
      <c r="J289" s="633">
        <v>0</v>
      </c>
      <c r="K289" s="633">
        <v>4</v>
      </c>
      <c r="L289" s="827">
        <f t="shared" si="76"/>
        <v>161</v>
      </c>
      <c r="M289" s="828">
        <v>45878</v>
      </c>
      <c r="N289" s="828">
        <v>45874</v>
      </c>
      <c r="O289" s="824" t="s">
        <v>1353</v>
      </c>
      <c r="P289" s="824" t="s">
        <v>113</v>
      </c>
      <c r="Q289" s="633"/>
      <c r="R289" s="829">
        <v>45834</v>
      </c>
      <c r="S289" s="829" t="s">
        <v>70</v>
      </c>
      <c r="T289" s="829" t="s">
        <v>70</v>
      </c>
      <c r="U289" s="829"/>
      <c r="V289" s="829"/>
      <c r="W289" s="829"/>
      <c r="X289" s="822" t="s">
        <v>354</v>
      </c>
      <c r="Y289" s="828" t="s">
        <v>355</v>
      </c>
      <c r="Z289" s="1306">
        <v>2.58</v>
      </c>
      <c r="AA289" s="831">
        <f t="shared" si="83"/>
        <v>1661.52</v>
      </c>
      <c r="AC289" s="632" t="s">
        <v>1354</v>
      </c>
      <c r="AD289" s="633" t="s">
        <v>101</v>
      </c>
      <c r="AE289" s="633" t="s">
        <v>82</v>
      </c>
      <c r="AF289" s="633"/>
      <c r="AG289" s="618"/>
      <c r="AH289" s="618"/>
      <c r="AI289" s="1308">
        <v>644</v>
      </c>
      <c r="AJ289" s="824">
        <f t="shared" si="86"/>
        <v>0</v>
      </c>
      <c r="AK289" s="633"/>
      <c r="AL289" s="633"/>
      <c r="AM289" s="633"/>
      <c r="AN289" s="825">
        <f t="shared" si="84"/>
        <v>644</v>
      </c>
      <c r="AO289" s="687"/>
      <c r="AP289" s="687"/>
      <c r="AQ289" s="687"/>
      <c r="AR289" s="825">
        <f t="shared" si="87"/>
        <v>644</v>
      </c>
      <c r="AS289" s="687"/>
      <c r="AT289" s="687"/>
      <c r="AU289" s="825">
        <f t="shared" si="81"/>
        <v>644</v>
      </c>
      <c r="AV289" s="825"/>
      <c r="AW289" s="825">
        <f t="shared" si="85"/>
        <v>644</v>
      </c>
      <c r="AX289" s="825"/>
      <c r="AY289" s="1305"/>
      <c r="AZ289" s="1305"/>
      <c r="BA289" s="1305"/>
      <c r="BB289" s="1305"/>
      <c r="BC289" s="1305"/>
      <c r="BD289" s="1305"/>
      <c r="BE289" s="1305"/>
      <c r="BF289" s="1305"/>
      <c r="BG289" s="1305"/>
      <c r="BH289" s="825">
        <f>I289/4</f>
        <v>161</v>
      </c>
      <c r="BI289" s="825"/>
      <c r="BJ289" s="1305"/>
      <c r="BK289" s="1305"/>
      <c r="BL289" s="1305"/>
      <c r="BM289" s="1305"/>
      <c r="BN289" s="1305"/>
      <c r="BO289" s="1305"/>
      <c r="BP289" s="1305"/>
    </row>
    <row r="290" s="1265" customFormat="1" ht="31" customHeight="1" spans="1:68">
      <c r="A290" s="1304">
        <v>45834</v>
      </c>
      <c r="B290" s="822" t="s">
        <v>351</v>
      </c>
      <c r="C290" s="633" t="s">
        <v>98</v>
      </c>
      <c r="D290" s="825">
        <v>4500171377</v>
      </c>
      <c r="E290" s="633" t="s">
        <v>1355</v>
      </c>
      <c r="F290" s="1305" t="s">
        <v>1356</v>
      </c>
      <c r="G290" s="659" t="s">
        <v>101</v>
      </c>
      <c r="H290" s="633" t="s">
        <v>102</v>
      </c>
      <c r="I290" s="633">
        <v>692</v>
      </c>
      <c r="J290" s="633">
        <v>0</v>
      </c>
      <c r="K290" s="633">
        <v>4</v>
      </c>
      <c r="L290" s="827">
        <f t="shared" si="76"/>
        <v>173</v>
      </c>
      <c r="M290" s="828">
        <v>45878</v>
      </c>
      <c r="N290" s="828">
        <v>45874</v>
      </c>
      <c r="O290" s="824" t="s">
        <v>1353</v>
      </c>
      <c r="P290" s="824" t="s">
        <v>113</v>
      </c>
      <c r="Q290" s="633"/>
      <c r="R290" s="829">
        <v>45834</v>
      </c>
      <c r="S290" s="829" t="s">
        <v>70</v>
      </c>
      <c r="T290" s="829" t="s">
        <v>70</v>
      </c>
      <c r="U290" s="829"/>
      <c r="V290" s="829"/>
      <c r="W290" s="829"/>
      <c r="X290" s="822" t="s">
        <v>354</v>
      </c>
      <c r="Y290" s="828" t="s">
        <v>355</v>
      </c>
      <c r="Z290" s="1306">
        <v>2.58</v>
      </c>
      <c r="AA290" s="831">
        <f t="shared" si="83"/>
        <v>1785.36</v>
      </c>
      <c r="AC290" s="632" t="s">
        <v>1357</v>
      </c>
      <c r="AD290" s="633" t="s">
        <v>101</v>
      </c>
      <c r="AE290" s="633" t="s">
        <v>82</v>
      </c>
      <c r="AF290" s="633"/>
      <c r="AG290" s="618"/>
      <c r="AH290" s="618"/>
      <c r="AI290" s="1308">
        <v>692</v>
      </c>
      <c r="AJ290" s="824">
        <f t="shared" si="86"/>
        <v>0</v>
      </c>
      <c r="AK290" s="633"/>
      <c r="AL290" s="633"/>
      <c r="AM290" s="633"/>
      <c r="AN290" s="825">
        <f t="shared" si="84"/>
        <v>692</v>
      </c>
      <c r="AO290" s="687"/>
      <c r="AP290" s="687"/>
      <c r="AQ290" s="687"/>
      <c r="AR290" s="825">
        <f t="shared" si="87"/>
        <v>692</v>
      </c>
      <c r="AS290" s="687"/>
      <c r="AT290" s="687"/>
      <c r="AU290" s="825">
        <f t="shared" si="81"/>
        <v>692</v>
      </c>
      <c r="AV290" s="825"/>
      <c r="AW290" s="825">
        <f t="shared" si="85"/>
        <v>692</v>
      </c>
      <c r="AX290" s="825"/>
      <c r="AY290" s="1305"/>
      <c r="AZ290" s="1305"/>
      <c r="BA290" s="1305"/>
      <c r="BB290" s="1305"/>
      <c r="BC290" s="1305"/>
      <c r="BD290" s="1305"/>
      <c r="BE290" s="1305"/>
      <c r="BF290" s="1305"/>
      <c r="BG290" s="1305"/>
      <c r="BH290" s="825">
        <f>I290/4</f>
        <v>173</v>
      </c>
      <c r="BI290" s="825"/>
      <c r="BJ290" s="1305"/>
      <c r="BK290" s="1305"/>
      <c r="BL290" s="1305"/>
      <c r="BM290" s="1305"/>
      <c r="BN290" s="1305"/>
      <c r="BO290" s="1305"/>
      <c r="BP290" s="1305"/>
    </row>
    <row r="291" s="1265" customFormat="1" ht="31" customHeight="1" spans="1:68">
      <c r="A291" s="1304">
        <v>45834</v>
      </c>
      <c r="B291" s="822" t="s">
        <v>351</v>
      </c>
      <c r="C291" s="633" t="s">
        <v>98</v>
      </c>
      <c r="D291" s="825">
        <v>4500171377</v>
      </c>
      <c r="E291" s="633" t="s">
        <v>1358</v>
      </c>
      <c r="F291" s="1305" t="s">
        <v>1359</v>
      </c>
      <c r="G291" s="659" t="s">
        <v>101</v>
      </c>
      <c r="H291" s="633" t="s">
        <v>102</v>
      </c>
      <c r="I291" s="633">
        <v>116</v>
      </c>
      <c r="J291" s="633">
        <v>0</v>
      </c>
      <c r="K291" s="633">
        <v>4</v>
      </c>
      <c r="L291" s="827">
        <f t="shared" si="76"/>
        <v>29</v>
      </c>
      <c r="M291" s="828">
        <v>45878</v>
      </c>
      <c r="N291" s="828">
        <v>45874</v>
      </c>
      <c r="O291" s="824" t="s">
        <v>1353</v>
      </c>
      <c r="P291" s="824" t="s">
        <v>113</v>
      </c>
      <c r="Q291" s="633"/>
      <c r="R291" s="829">
        <v>45834</v>
      </c>
      <c r="S291" s="829" t="s">
        <v>70</v>
      </c>
      <c r="T291" s="829" t="s">
        <v>70</v>
      </c>
      <c r="U291" s="829"/>
      <c r="V291" s="829"/>
      <c r="W291" s="829"/>
      <c r="X291" s="822" t="s">
        <v>354</v>
      </c>
      <c r="Y291" s="828" t="s">
        <v>355</v>
      </c>
      <c r="Z291" s="1306">
        <v>4.3</v>
      </c>
      <c r="AA291" s="831">
        <f t="shared" si="83"/>
        <v>498.8</v>
      </c>
      <c r="AC291" s="632" t="s">
        <v>1360</v>
      </c>
      <c r="AD291" s="633" t="s">
        <v>101</v>
      </c>
      <c r="AE291" s="633" t="s">
        <v>82</v>
      </c>
      <c r="AF291" s="633"/>
      <c r="AG291" s="618"/>
      <c r="AH291" s="618"/>
      <c r="AI291" s="1308">
        <v>116</v>
      </c>
      <c r="AJ291" s="824">
        <f t="shared" si="86"/>
        <v>0</v>
      </c>
      <c r="AK291" s="633"/>
      <c r="AL291" s="633"/>
      <c r="AM291" s="633"/>
      <c r="AN291" s="825">
        <f t="shared" si="84"/>
        <v>116</v>
      </c>
      <c r="AO291" s="687"/>
      <c r="AP291" s="687"/>
      <c r="AQ291" s="687"/>
      <c r="AR291" s="825">
        <f t="shared" si="87"/>
        <v>116</v>
      </c>
      <c r="AS291" s="687"/>
      <c r="AT291" s="687"/>
      <c r="AU291" s="825">
        <f t="shared" si="81"/>
        <v>116</v>
      </c>
      <c r="AV291" s="825"/>
      <c r="AW291" s="825">
        <f t="shared" si="85"/>
        <v>116</v>
      </c>
      <c r="AX291" s="825"/>
      <c r="AY291" s="1305"/>
      <c r="AZ291" s="1305"/>
      <c r="BA291" s="1305"/>
      <c r="BB291" s="1305"/>
      <c r="BC291" s="1305"/>
      <c r="BD291" s="1305"/>
      <c r="BE291" s="1305"/>
      <c r="BF291" s="1305"/>
      <c r="BG291" s="1305"/>
      <c r="BH291" s="825">
        <f>I291/4</f>
        <v>29</v>
      </c>
      <c r="BI291" s="825"/>
      <c r="BJ291" s="1305"/>
      <c r="BK291" s="1305"/>
      <c r="BL291" s="1305"/>
      <c r="BM291" s="1305"/>
      <c r="BN291" s="1305"/>
      <c r="BO291" s="1305"/>
      <c r="BP291" s="1305"/>
    </row>
    <row r="292" s="1265" customFormat="1" ht="31" customHeight="1" spans="1:68">
      <c r="A292" s="1304">
        <v>45853</v>
      </c>
      <c r="B292" s="822"/>
      <c r="C292" s="633"/>
      <c r="D292" s="825" t="s">
        <v>1361</v>
      </c>
      <c r="E292" s="633"/>
      <c r="F292" s="1305"/>
      <c r="G292" s="659" t="s">
        <v>68</v>
      </c>
      <c r="H292" s="633" t="s">
        <v>69</v>
      </c>
      <c r="I292" s="633">
        <v>192</v>
      </c>
      <c r="J292" s="633">
        <v>0</v>
      </c>
      <c r="K292" s="633">
        <v>12</v>
      </c>
      <c r="L292" s="827">
        <f t="shared" si="76"/>
        <v>16</v>
      </c>
      <c r="M292" s="828">
        <v>45868</v>
      </c>
      <c r="N292" s="828">
        <v>45864</v>
      </c>
      <c r="O292" s="824"/>
      <c r="P292" s="824" t="s">
        <v>113</v>
      </c>
      <c r="Q292" s="633"/>
      <c r="R292" s="829" t="s">
        <v>1242</v>
      </c>
      <c r="S292" s="829" t="s">
        <v>70</v>
      </c>
      <c r="T292" s="829" t="s">
        <v>70</v>
      </c>
      <c r="U292" s="829"/>
      <c r="V292" s="829"/>
      <c r="W292" s="829"/>
      <c r="X292" s="822" t="s">
        <v>84</v>
      </c>
      <c r="Y292" s="828" t="s">
        <v>85</v>
      </c>
      <c r="Z292" s="1306">
        <v>2.5432</v>
      </c>
      <c r="AA292" s="831">
        <f t="shared" si="83"/>
        <v>488.2944</v>
      </c>
      <c r="AC292" s="1307" t="s">
        <v>1362</v>
      </c>
      <c r="AD292" s="633" t="s">
        <v>68</v>
      </c>
      <c r="AE292" s="633" t="s">
        <v>82</v>
      </c>
      <c r="AF292" s="633"/>
      <c r="AG292" s="618"/>
      <c r="AH292" s="618"/>
      <c r="AI292" s="1308">
        <v>192</v>
      </c>
      <c r="AJ292" s="824">
        <f t="shared" si="86"/>
        <v>0</v>
      </c>
      <c r="AK292" s="633"/>
      <c r="AL292" s="633"/>
      <c r="AM292" s="633"/>
      <c r="AN292" s="825">
        <f t="shared" si="84"/>
        <v>192</v>
      </c>
      <c r="AO292" s="687"/>
      <c r="AP292" s="687"/>
      <c r="AQ292" s="687"/>
      <c r="AR292" s="825">
        <f t="shared" si="87"/>
        <v>192</v>
      </c>
      <c r="AS292" s="687"/>
      <c r="AT292" s="687"/>
      <c r="AU292" s="825">
        <f t="shared" si="81"/>
        <v>192</v>
      </c>
      <c r="AV292" s="825"/>
      <c r="AW292" s="551">
        <f t="shared" si="85"/>
        <v>192</v>
      </c>
      <c r="AX292" s="825"/>
      <c r="AY292" s="1305"/>
      <c r="AZ292" s="1305"/>
      <c r="BA292" s="1305"/>
      <c r="BB292" s="1305"/>
      <c r="BC292" s="1305"/>
      <c r="BD292" s="1305"/>
      <c r="BE292" s="1305"/>
      <c r="BF292" s="1305"/>
      <c r="BG292" s="1305"/>
      <c r="BH292" s="1305"/>
      <c r="BI292" s="825"/>
      <c r="BJ292" s="1305"/>
      <c r="BK292" s="1305"/>
      <c r="BL292" s="1305"/>
      <c r="BM292" s="1305"/>
      <c r="BN292" s="1305"/>
      <c r="BO292" s="1305"/>
      <c r="BP292" s="1305"/>
    </row>
    <row r="293" s="1265" customFormat="1" ht="31" customHeight="1" spans="1:68">
      <c r="A293" s="1304">
        <v>45813</v>
      </c>
      <c r="B293" s="822" t="s">
        <v>1272</v>
      </c>
      <c r="C293" s="633" t="s">
        <v>98</v>
      </c>
      <c r="D293" s="825">
        <v>4500169101</v>
      </c>
      <c r="E293" s="633">
        <v>15777186</v>
      </c>
      <c r="F293" s="1305" t="s">
        <v>1363</v>
      </c>
      <c r="G293" s="659" t="s">
        <v>1364</v>
      </c>
      <c r="H293" s="633" t="s">
        <v>1365</v>
      </c>
      <c r="I293" s="633">
        <v>196</v>
      </c>
      <c r="J293" s="633">
        <v>0</v>
      </c>
      <c r="K293" s="633">
        <v>4</v>
      </c>
      <c r="L293" s="827">
        <f t="shared" si="76"/>
        <v>49</v>
      </c>
      <c r="M293" s="828">
        <v>45868</v>
      </c>
      <c r="N293" s="828">
        <v>45871</v>
      </c>
      <c r="O293" s="824"/>
      <c r="P293" s="824" t="s">
        <v>113</v>
      </c>
      <c r="Q293" s="633"/>
      <c r="R293" s="829" t="s">
        <v>1276</v>
      </c>
      <c r="S293" s="829" t="s">
        <v>104</v>
      </c>
      <c r="T293" s="829">
        <v>45825</v>
      </c>
      <c r="U293" s="829"/>
      <c r="V293" s="829"/>
      <c r="W293" s="829"/>
      <c r="X293" s="822" t="s">
        <v>1366</v>
      </c>
      <c r="Y293" s="828" t="s">
        <v>1278</v>
      </c>
      <c r="Z293" s="1306">
        <v>4.1576</v>
      </c>
      <c r="AA293" s="831">
        <f t="shared" si="83"/>
        <v>814.8896</v>
      </c>
      <c r="AC293" s="632" t="s">
        <v>1367</v>
      </c>
      <c r="AD293" s="633" t="s">
        <v>1364</v>
      </c>
      <c r="AE293" s="633" t="s">
        <v>82</v>
      </c>
      <c r="AF293" s="633"/>
      <c r="AG293" s="618"/>
      <c r="AH293" s="618"/>
      <c r="AI293" s="1308">
        <v>196</v>
      </c>
      <c r="AJ293" s="824">
        <f t="shared" si="86"/>
        <v>0</v>
      </c>
      <c r="AK293" s="633"/>
      <c r="AL293" s="633"/>
      <c r="AM293" s="633"/>
      <c r="AN293" s="825">
        <f t="shared" si="84"/>
        <v>196</v>
      </c>
      <c r="AO293" s="687"/>
      <c r="AP293" s="687"/>
      <c r="AQ293" s="687"/>
      <c r="AR293" s="825">
        <f t="shared" si="87"/>
        <v>196</v>
      </c>
      <c r="AS293" s="687"/>
      <c r="AT293" s="687"/>
      <c r="AU293" s="825">
        <f t="shared" si="81"/>
        <v>196</v>
      </c>
      <c r="AV293" s="825"/>
      <c r="AW293" s="825">
        <f t="shared" si="85"/>
        <v>196</v>
      </c>
      <c r="AX293" s="825"/>
      <c r="AY293" s="1305"/>
      <c r="AZ293" s="1305"/>
      <c r="BA293" s="1305"/>
      <c r="BB293" s="1305"/>
      <c r="BC293" s="1305"/>
      <c r="BD293" s="1305"/>
      <c r="BE293" s="1305"/>
      <c r="BF293" s="1305"/>
      <c r="BG293" s="1305"/>
      <c r="BH293" s="1305"/>
      <c r="BI293" s="825"/>
      <c r="BJ293" s="1305"/>
      <c r="BK293" s="1305"/>
      <c r="BL293" s="1305"/>
      <c r="BM293" s="1305"/>
      <c r="BN293" s="1305"/>
      <c r="BO293" s="1305"/>
      <c r="BP293" s="1305"/>
    </row>
    <row r="294" s="1265" customFormat="1" ht="31" customHeight="1" spans="1:68">
      <c r="A294" s="1304">
        <v>45824</v>
      </c>
      <c r="B294" s="822" t="s">
        <v>1368</v>
      </c>
      <c r="C294" s="633" t="s">
        <v>98</v>
      </c>
      <c r="D294" s="825">
        <v>4500170076</v>
      </c>
      <c r="E294" s="633" t="s">
        <v>1369</v>
      </c>
      <c r="F294" s="1305" t="s">
        <v>1370</v>
      </c>
      <c r="G294" s="659" t="s">
        <v>68</v>
      </c>
      <c r="H294" s="633" t="s">
        <v>69</v>
      </c>
      <c r="I294" s="633">
        <v>744</v>
      </c>
      <c r="J294" s="633">
        <v>0</v>
      </c>
      <c r="K294" s="633">
        <v>12</v>
      </c>
      <c r="L294" s="827">
        <f t="shared" si="76"/>
        <v>62</v>
      </c>
      <c r="M294" s="828">
        <v>45868</v>
      </c>
      <c r="N294" s="828">
        <v>45873</v>
      </c>
      <c r="O294" s="824"/>
      <c r="P294" s="824" t="s">
        <v>113</v>
      </c>
      <c r="Q294" s="633"/>
      <c r="R294" s="829">
        <v>45825</v>
      </c>
      <c r="S294" s="829" t="s">
        <v>70</v>
      </c>
      <c r="T294" s="829" t="s">
        <v>70</v>
      </c>
      <c r="U294" s="829"/>
      <c r="V294" s="829"/>
      <c r="W294" s="829"/>
      <c r="X294" s="822" t="s">
        <v>1371</v>
      </c>
      <c r="Y294" s="828" t="s">
        <v>1372</v>
      </c>
      <c r="Z294" s="1306">
        <v>2.5432</v>
      </c>
      <c r="AA294" s="831">
        <f t="shared" si="83"/>
        <v>1892.1408</v>
      </c>
      <c r="AC294" s="632" t="s">
        <v>1373</v>
      </c>
      <c r="AD294" s="633" t="s">
        <v>68</v>
      </c>
      <c r="AE294" s="633" t="s">
        <v>82</v>
      </c>
      <c r="AF294" s="633"/>
      <c r="AG294" s="618"/>
      <c r="AH294" s="618"/>
      <c r="AI294" s="1308">
        <v>744</v>
      </c>
      <c r="AJ294" s="824">
        <f t="shared" si="86"/>
        <v>0</v>
      </c>
      <c r="AK294" s="633"/>
      <c r="AL294" s="633"/>
      <c r="AM294" s="633"/>
      <c r="AN294" s="825">
        <f t="shared" si="84"/>
        <v>744</v>
      </c>
      <c r="AO294" s="687"/>
      <c r="AP294" s="687"/>
      <c r="AQ294" s="687"/>
      <c r="AR294" s="825">
        <f t="shared" si="87"/>
        <v>744</v>
      </c>
      <c r="AS294" s="687"/>
      <c r="AT294" s="687"/>
      <c r="AU294" s="825">
        <f t="shared" si="81"/>
        <v>744</v>
      </c>
      <c r="AV294" s="825"/>
      <c r="AW294" s="825">
        <f t="shared" si="85"/>
        <v>744</v>
      </c>
      <c r="AX294" s="825"/>
      <c r="AY294" s="1305"/>
      <c r="AZ294" s="1305"/>
      <c r="BA294" s="1305"/>
      <c r="BB294" s="1305"/>
      <c r="BC294" s="1305"/>
      <c r="BD294" s="1305"/>
      <c r="BE294" s="1305"/>
      <c r="BF294" s="1305"/>
      <c r="BG294" s="1305"/>
      <c r="BH294" s="1305"/>
      <c r="BI294" s="825"/>
      <c r="BJ294" s="1305"/>
      <c r="BK294" s="1305"/>
      <c r="BL294" s="1305"/>
      <c r="BM294" s="1305"/>
      <c r="BN294" s="1305"/>
      <c r="BO294" s="1305"/>
      <c r="BP294" s="1305"/>
    </row>
    <row r="295" s="1265" customFormat="1" ht="31" customHeight="1" spans="1:68">
      <c r="A295" s="1304">
        <v>45826</v>
      </c>
      <c r="B295" s="822" t="s">
        <v>127</v>
      </c>
      <c r="C295" s="633" t="s">
        <v>128</v>
      </c>
      <c r="D295" s="825">
        <v>4500170489</v>
      </c>
      <c r="E295" s="633">
        <v>84439</v>
      </c>
      <c r="F295" s="1305" t="s">
        <v>1374</v>
      </c>
      <c r="G295" s="659" t="s">
        <v>130</v>
      </c>
      <c r="H295" s="633" t="s">
        <v>131</v>
      </c>
      <c r="I295" s="633">
        <v>2400</v>
      </c>
      <c r="J295" s="633">
        <v>0</v>
      </c>
      <c r="K295" s="633">
        <v>6</v>
      </c>
      <c r="L295" s="827">
        <f t="shared" si="76"/>
        <v>400</v>
      </c>
      <c r="M295" s="828">
        <v>45874</v>
      </c>
      <c r="N295" s="828">
        <v>45874</v>
      </c>
      <c r="O295" s="824"/>
      <c r="P295" s="824" t="s">
        <v>113</v>
      </c>
      <c r="Q295" s="633"/>
      <c r="R295" s="829">
        <v>45831</v>
      </c>
      <c r="S295" s="829" t="s">
        <v>70</v>
      </c>
      <c r="T295" s="829" t="s">
        <v>1375</v>
      </c>
      <c r="U295" s="829"/>
      <c r="V295" s="829"/>
      <c r="W295" s="829"/>
      <c r="X295" s="822" t="s">
        <v>1376</v>
      </c>
      <c r="Y295" s="828" t="s">
        <v>217</v>
      </c>
      <c r="Z295" s="1306">
        <v>4.2099</v>
      </c>
      <c r="AA295" s="831">
        <f t="shared" si="83"/>
        <v>10103.76</v>
      </c>
      <c r="AC295" s="1307" t="s">
        <v>1377</v>
      </c>
      <c r="AD295" s="633" t="s">
        <v>130</v>
      </c>
      <c r="AE295" s="633" t="s">
        <v>82</v>
      </c>
      <c r="AF295" s="633"/>
      <c r="AG295" s="618"/>
      <c r="AH295" s="618"/>
      <c r="AI295" s="1308">
        <v>2400</v>
      </c>
      <c r="AJ295" s="824">
        <f t="shared" si="86"/>
        <v>0</v>
      </c>
      <c r="AK295" s="633"/>
      <c r="AL295" s="633"/>
      <c r="AM295" s="633"/>
      <c r="AN295" s="825">
        <f t="shared" si="84"/>
        <v>2400</v>
      </c>
      <c r="AO295" s="687"/>
      <c r="AP295" s="687"/>
      <c r="AQ295" s="687"/>
      <c r="AR295" s="825">
        <f t="shared" si="87"/>
        <v>2400</v>
      </c>
      <c r="AS295" s="687"/>
      <c r="AT295" s="687"/>
      <c r="AU295" s="825">
        <f t="shared" si="81"/>
        <v>2400</v>
      </c>
      <c r="AV295" s="825"/>
      <c r="AW295" s="825">
        <f t="shared" si="85"/>
        <v>2400</v>
      </c>
      <c r="AX295" s="825"/>
      <c r="AY295" s="1305"/>
      <c r="AZ295" s="1305"/>
      <c r="BA295" s="1305"/>
      <c r="BB295" s="1305"/>
      <c r="BC295" s="1305"/>
      <c r="BD295" s="1305"/>
      <c r="BE295" s="1305"/>
      <c r="BF295" s="1305"/>
      <c r="BG295" s="1305"/>
      <c r="BH295" s="1305"/>
      <c r="BI295" s="825"/>
      <c r="BJ295" s="1305"/>
      <c r="BK295" s="1305"/>
      <c r="BL295" s="1305"/>
      <c r="BM295" s="1305"/>
      <c r="BN295" s="1305"/>
      <c r="BO295" s="1305"/>
      <c r="BP295" s="1305"/>
    </row>
    <row r="296" s="1265" customFormat="1" ht="31" customHeight="1" spans="1:68">
      <c r="A296" s="1304">
        <v>45769</v>
      </c>
      <c r="B296" s="822" t="s">
        <v>947</v>
      </c>
      <c r="C296" s="633" t="s">
        <v>278</v>
      </c>
      <c r="D296" s="825">
        <v>4500164549</v>
      </c>
      <c r="E296" s="633" t="s">
        <v>1378</v>
      </c>
      <c r="F296" s="1305" t="s">
        <v>1379</v>
      </c>
      <c r="G296" s="659" t="s">
        <v>829</v>
      </c>
      <c r="H296" s="633" t="s">
        <v>830</v>
      </c>
      <c r="I296" s="633">
        <v>24</v>
      </c>
      <c r="J296" s="633">
        <v>0</v>
      </c>
      <c r="K296" s="633">
        <v>1</v>
      </c>
      <c r="L296" s="827">
        <f t="shared" si="76"/>
        <v>24</v>
      </c>
      <c r="M296" s="828">
        <v>45868</v>
      </c>
      <c r="N296" s="828">
        <v>45868</v>
      </c>
      <c r="O296" s="824"/>
      <c r="P296" s="824" t="s">
        <v>113</v>
      </c>
      <c r="Q296" s="633"/>
      <c r="R296" s="829">
        <v>45785</v>
      </c>
      <c r="S296" s="829" t="s">
        <v>70</v>
      </c>
      <c r="T296" s="829" t="s">
        <v>70</v>
      </c>
      <c r="U296" s="829"/>
      <c r="V296" s="829"/>
      <c r="W296" s="829"/>
      <c r="X296" s="822" t="s">
        <v>1380</v>
      </c>
      <c r="Y296" s="828" t="s">
        <v>244</v>
      </c>
      <c r="Z296" s="1306">
        <v>0</v>
      </c>
      <c r="AA296" s="831">
        <f>Z296*L296</f>
        <v>0</v>
      </c>
      <c r="AC296" s="1307" t="s">
        <v>1381</v>
      </c>
      <c r="AD296" s="633" t="s">
        <v>829</v>
      </c>
      <c r="AE296" s="633" t="s">
        <v>82</v>
      </c>
      <c r="AF296" s="633"/>
      <c r="AG296" s="618"/>
      <c r="AH296" s="618"/>
      <c r="AI296" s="1308">
        <v>1800</v>
      </c>
      <c r="AJ296" s="824">
        <v>0</v>
      </c>
      <c r="AK296" s="633"/>
      <c r="AL296" s="633"/>
      <c r="AM296" s="633"/>
      <c r="AN296" s="825"/>
      <c r="AO296" s="687"/>
      <c r="AP296" s="687"/>
      <c r="AQ296" s="687"/>
      <c r="AR296" s="825"/>
      <c r="AS296" s="687"/>
      <c r="AT296" s="687"/>
      <c r="AU296" s="825"/>
      <c r="AV296" s="825"/>
      <c r="AW296" s="825"/>
      <c r="AX296" s="825"/>
      <c r="AY296" s="1305"/>
      <c r="AZ296" s="1305"/>
      <c r="BA296" s="1305"/>
      <c r="BB296" s="1305"/>
      <c r="BC296" s="1305"/>
      <c r="BD296" s="1305"/>
      <c r="BE296" s="1305"/>
      <c r="BF296" s="1305"/>
      <c r="BG296" s="1305"/>
      <c r="BH296" s="1305"/>
      <c r="BI296" s="825"/>
      <c r="BJ296" s="1305"/>
      <c r="BK296" s="1305"/>
      <c r="BL296" s="1305"/>
      <c r="BM296" s="1305"/>
      <c r="BN296" s="1305"/>
      <c r="BO296" s="1305"/>
      <c r="BP296" s="1305"/>
    </row>
    <row r="297" s="1265" customFormat="1" ht="31" customHeight="1" spans="1:68">
      <c r="A297" s="1304">
        <v>45827</v>
      </c>
      <c r="B297" s="822" t="s">
        <v>549</v>
      </c>
      <c r="C297" s="633" t="s">
        <v>278</v>
      </c>
      <c r="D297" s="825">
        <v>4500170602</v>
      </c>
      <c r="E297" s="633" t="s">
        <v>1382</v>
      </c>
      <c r="F297" s="1305" t="s">
        <v>1383</v>
      </c>
      <c r="G297" s="659" t="s">
        <v>68</v>
      </c>
      <c r="H297" s="633" t="s">
        <v>69</v>
      </c>
      <c r="I297" s="633">
        <v>492</v>
      </c>
      <c r="J297" s="633">
        <v>0</v>
      </c>
      <c r="K297" s="633">
        <v>12</v>
      </c>
      <c r="L297" s="827">
        <f t="shared" si="76"/>
        <v>41</v>
      </c>
      <c r="M297" s="828">
        <v>45873</v>
      </c>
      <c r="N297" s="828">
        <v>45875</v>
      </c>
      <c r="O297" s="824"/>
      <c r="P297" s="824" t="s">
        <v>113</v>
      </c>
      <c r="Q297" s="633"/>
      <c r="R297" s="829" t="s">
        <v>463</v>
      </c>
      <c r="S297" s="829" t="s">
        <v>104</v>
      </c>
      <c r="T297" s="829">
        <v>45846</v>
      </c>
      <c r="U297" s="829"/>
      <c r="V297" s="829"/>
      <c r="W297" s="829"/>
      <c r="X297" s="822" t="s">
        <v>1384</v>
      </c>
      <c r="Y297" s="828" t="s">
        <v>466</v>
      </c>
      <c r="Z297" s="1306">
        <v>4.1456</v>
      </c>
      <c r="AA297" s="831">
        <f t="shared" ref="AA297:AA309" si="88">Z297*I297</f>
        <v>2039.6352</v>
      </c>
      <c r="AC297" s="1313" t="s">
        <v>1385</v>
      </c>
      <c r="AD297" s="633" t="s">
        <v>184</v>
      </c>
      <c r="AE297" s="633" t="s">
        <v>82</v>
      </c>
      <c r="AF297" s="633"/>
      <c r="AG297" s="618"/>
      <c r="AH297" s="618"/>
      <c r="AI297" s="1308">
        <v>492</v>
      </c>
      <c r="AJ297" s="824">
        <f t="shared" ref="AJ297:AJ322" si="89">AI297-I297</f>
        <v>0</v>
      </c>
      <c r="AK297" s="633"/>
      <c r="AL297" s="633"/>
      <c r="AM297" s="633"/>
      <c r="AN297" s="825">
        <f t="shared" ref="AN297:AN309" si="90">I297</f>
        <v>492</v>
      </c>
      <c r="AO297" s="687"/>
      <c r="AP297" s="687"/>
      <c r="AQ297" s="687"/>
      <c r="AR297" s="825"/>
      <c r="AS297" s="687">
        <f>I297</f>
        <v>492</v>
      </c>
      <c r="AT297" s="687"/>
      <c r="AU297" s="825">
        <f t="shared" ref="AU297:AU309" si="91">I297</f>
        <v>492</v>
      </c>
      <c r="AV297" s="825"/>
      <c r="AW297" s="825">
        <f t="shared" ref="AW297:AW309" si="92">I297</f>
        <v>492</v>
      </c>
      <c r="AX297" s="825"/>
      <c r="AY297" s="1305"/>
      <c r="AZ297" s="1305"/>
      <c r="BA297" s="1305"/>
      <c r="BB297" s="1305"/>
      <c r="BC297" s="1305"/>
      <c r="BD297" s="1305"/>
      <c r="BE297" s="1305"/>
      <c r="BF297" s="1305"/>
      <c r="BG297" s="1305"/>
      <c r="BH297" s="1305"/>
      <c r="BI297" s="825"/>
      <c r="BJ297" s="1305"/>
      <c r="BK297" s="1305"/>
      <c r="BL297" s="1305"/>
      <c r="BM297" s="1305"/>
      <c r="BN297" s="1305"/>
      <c r="BO297" s="1305"/>
      <c r="BP297" s="1305"/>
    </row>
    <row r="298" s="1265" customFormat="1" ht="31" customHeight="1" spans="1:68">
      <c r="A298" s="1304">
        <v>45827</v>
      </c>
      <c r="B298" s="822" t="s">
        <v>549</v>
      </c>
      <c r="C298" s="633" t="s">
        <v>154</v>
      </c>
      <c r="D298" s="825">
        <v>4500170602</v>
      </c>
      <c r="E298" s="633" t="s">
        <v>1386</v>
      </c>
      <c r="F298" s="1305" t="s">
        <v>1387</v>
      </c>
      <c r="G298" s="659" t="s">
        <v>68</v>
      </c>
      <c r="H298" s="633" t="s">
        <v>69</v>
      </c>
      <c r="I298" s="633">
        <v>492</v>
      </c>
      <c r="J298" s="633">
        <v>0</v>
      </c>
      <c r="K298" s="633">
        <v>12</v>
      </c>
      <c r="L298" s="827">
        <f t="shared" si="76"/>
        <v>41</v>
      </c>
      <c r="M298" s="828">
        <v>45873</v>
      </c>
      <c r="N298" s="828">
        <v>45875</v>
      </c>
      <c r="O298" s="824"/>
      <c r="P298" s="824" t="s">
        <v>113</v>
      </c>
      <c r="Q298" s="633"/>
      <c r="R298" s="829" t="s">
        <v>463</v>
      </c>
      <c r="S298" s="829" t="s">
        <v>104</v>
      </c>
      <c r="T298" s="829">
        <v>45846</v>
      </c>
      <c r="U298" s="829"/>
      <c r="V298" s="829"/>
      <c r="W298" s="829"/>
      <c r="X298" s="822" t="s">
        <v>1384</v>
      </c>
      <c r="Y298" s="828" t="s">
        <v>466</v>
      </c>
      <c r="Z298" s="1306">
        <v>4.1456</v>
      </c>
      <c r="AA298" s="831">
        <f t="shared" si="88"/>
        <v>2039.6352</v>
      </c>
      <c r="AC298" s="1313" t="s">
        <v>1385</v>
      </c>
      <c r="AD298" s="633" t="s">
        <v>184</v>
      </c>
      <c r="AE298" s="633" t="s">
        <v>82</v>
      </c>
      <c r="AF298" s="633"/>
      <c r="AG298" s="618"/>
      <c r="AH298" s="618"/>
      <c r="AI298" s="1308">
        <v>492</v>
      </c>
      <c r="AJ298" s="824">
        <f t="shared" si="89"/>
        <v>0</v>
      </c>
      <c r="AK298" s="633"/>
      <c r="AL298" s="633"/>
      <c r="AM298" s="633"/>
      <c r="AN298" s="825">
        <f t="shared" si="90"/>
        <v>492</v>
      </c>
      <c r="AO298" s="687"/>
      <c r="AP298" s="687"/>
      <c r="AQ298" s="687"/>
      <c r="AR298" s="825"/>
      <c r="AS298" s="687">
        <f>I298</f>
        <v>492</v>
      </c>
      <c r="AT298" s="687"/>
      <c r="AU298" s="825">
        <f t="shared" si="91"/>
        <v>492</v>
      </c>
      <c r="AV298" s="825"/>
      <c r="AW298" s="825">
        <f t="shared" si="92"/>
        <v>492</v>
      </c>
      <c r="AX298" s="825"/>
      <c r="AY298" s="1305"/>
      <c r="AZ298" s="1305"/>
      <c r="BA298" s="1305"/>
      <c r="BB298" s="1305"/>
      <c r="BC298" s="1305"/>
      <c r="BD298" s="1305"/>
      <c r="BE298" s="1305"/>
      <c r="BF298" s="1305"/>
      <c r="BG298" s="1305"/>
      <c r="BH298" s="1305"/>
      <c r="BI298" s="825"/>
      <c r="BJ298" s="1305"/>
      <c r="BK298" s="1305"/>
      <c r="BL298" s="1305"/>
      <c r="BM298" s="1305"/>
      <c r="BN298" s="1305"/>
      <c r="BO298" s="1305"/>
      <c r="BP298" s="1305"/>
    </row>
    <row r="299" s="1265" customFormat="1" ht="31" customHeight="1" spans="1:68">
      <c r="A299" s="1304">
        <v>45827</v>
      </c>
      <c r="B299" s="822" t="s">
        <v>549</v>
      </c>
      <c r="C299" s="633" t="s">
        <v>302</v>
      </c>
      <c r="D299" s="825">
        <v>4500170602</v>
      </c>
      <c r="E299" s="633" t="s">
        <v>1388</v>
      </c>
      <c r="F299" s="1305" t="s">
        <v>1389</v>
      </c>
      <c r="G299" s="659" t="s">
        <v>68</v>
      </c>
      <c r="H299" s="633" t="s">
        <v>69</v>
      </c>
      <c r="I299" s="633">
        <v>492</v>
      </c>
      <c r="J299" s="633">
        <v>0</v>
      </c>
      <c r="K299" s="633">
        <v>12</v>
      </c>
      <c r="L299" s="827">
        <f t="shared" si="76"/>
        <v>41</v>
      </c>
      <c r="M299" s="828">
        <v>45873</v>
      </c>
      <c r="N299" s="828">
        <v>45875</v>
      </c>
      <c r="O299" s="824"/>
      <c r="P299" s="824" t="s">
        <v>113</v>
      </c>
      <c r="Q299" s="633"/>
      <c r="R299" s="829" t="s">
        <v>463</v>
      </c>
      <c r="S299" s="829" t="s">
        <v>104</v>
      </c>
      <c r="T299" s="829">
        <v>45846</v>
      </c>
      <c r="U299" s="829"/>
      <c r="V299" s="829"/>
      <c r="W299" s="829"/>
      <c r="X299" s="822" t="s">
        <v>1384</v>
      </c>
      <c r="Y299" s="828" t="s">
        <v>466</v>
      </c>
      <c r="Z299" s="1306">
        <v>4.1456</v>
      </c>
      <c r="AA299" s="831">
        <f t="shared" si="88"/>
        <v>2039.6352</v>
      </c>
      <c r="AC299" s="1313" t="s">
        <v>1385</v>
      </c>
      <c r="AD299" s="633" t="s">
        <v>184</v>
      </c>
      <c r="AE299" s="633" t="s">
        <v>82</v>
      </c>
      <c r="AF299" s="633"/>
      <c r="AG299" s="618"/>
      <c r="AH299" s="618"/>
      <c r="AI299" s="1308">
        <v>492</v>
      </c>
      <c r="AJ299" s="824">
        <f t="shared" si="89"/>
        <v>0</v>
      </c>
      <c r="AK299" s="633"/>
      <c r="AL299" s="633"/>
      <c r="AM299" s="633"/>
      <c r="AN299" s="825">
        <f t="shared" si="90"/>
        <v>492</v>
      </c>
      <c r="AO299" s="687"/>
      <c r="AP299" s="687"/>
      <c r="AQ299" s="687"/>
      <c r="AR299" s="825"/>
      <c r="AS299" s="687">
        <f>I299</f>
        <v>492</v>
      </c>
      <c r="AT299" s="687"/>
      <c r="AU299" s="825">
        <f t="shared" si="91"/>
        <v>492</v>
      </c>
      <c r="AV299" s="825"/>
      <c r="AW299" s="825">
        <f t="shared" si="92"/>
        <v>492</v>
      </c>
      <c r="AX299" s="825"/>
      <c r="AY299" s="1305"/>
      <c r="AZ299" s="1305"/>
      <c r="BA299" s="1305"/>
      <c r="BB299" s="1305"/>
      <c r="BC299" s="1305"/>
      <c r="BD299" s="1305"/>
      <c r="BE299" s="1305"/>
      <c r="BF299" s="1305"/>
      <c r="BG299" s="1305"/>
      <c r="BH299" s="1305"/>
      <c r="BI299" s="825"/>
      <c r="BJ299" s="1305"/>
      <c r="BK299" s="1305"/>
      <c r="BL299" s="1305"/>
      <c r="BM299" s="1305"/>
      <c r="BN299" s="1305"/>
      <c r="BO299" s="1305"/>
      <c r="BP299" s="1305"/>
    </row>
    <row r="300" s="1265" customFormat="1" ht="31" customHeight="1" spans="1:68">
      <c r="A300" s="1304">
        <v>45827</v>
      </c>
      <c r="B300" s="822" t="s">
        <v>143</v>
      </c>
      <c r="C300" s="633" t="s">
        <v>98</v>
      </c>
      <c r="D300" s="825">
        <v>4500170589</v>
      </c>
      <c r="E300" s="1413" t="s">
        <v>1390</v>
      </c>
      <c r="F300" s="1305" t="s">
        <v>1391</v>
      </c>
      <c r="G300" s="659" t="s">
        <v>101</v>
      </c>
      <c r="H300" s="633" t="s">
        <v>102</v>
      </c>
      <c r="I300" s="633">
        <v>1824</v>
      </c>
      <c r="J300" s="633">
        <v>0</v>
      </c>
      <c r="K300" s="633">
        <v>4</v>
      </c>
      <c r="L300" s="827">
        <f t="shared" si="76"/>
        <v>456</v>
      </c>
      <c r="M300" s="828">
        <v>45876</v>
      </c>
      <c r="N300" s="828">
        <v>45875</v>
      </c>
      <c r="O300" s="824" t="s">
        <v>1392</v>
      </c>
      <c r="P300" s="824" t="s">
        <v>113</v>
      </c>
      <c r="Q300" s="633"/>
      <c r="R300" s="829" t="s">
        <v>147</v>
      </c>
      <c r="S300" s="829" t="s">
        <v>70</v>
      </c>
      <c r="T300" s="829" t="s">
        <v>1393</v>
      </c>
      <c r="U300" s="829"/>
      <c r="V300" s="774" t="s">
        <v>148</v>
      </c>
      <c r="W300" s="829" t="s">
        <v>1394</v>
      </c>
      <c r="X300" s="822" t="s">
        <v>1395</v>
      </c>
      <c r="Y300" s="828" t="s">
        <v>106</v>
      </c>
      <c r="Z300" s="1306">
        <v>2.58</v>
      </c>
      <c r="AA300" s="831">
        <f t="shared" si="88"/>
        <v>4705.92</v>
      </c>
      <c r="AC300" s="632" t="s">
        <v>1396</v>
      </c>
      <c r="AD300" s="633" t="s">
        <v>101</v>
      </c>
      <c r="AE300" s="633" t="s">
        <v>82</v>
      </c>
      <c r="AF300" s="633"/>
      <c r="AG300" s="618"/>
      <c r="AH300" s="618"/>
      <c r="AI300" s="1308">
        <v>1824</v>
      </c>
      <c r="AJ300" s="824">
        <f t="shared" si="89"/>
        <v>0</v>
      </c>
      <c r="AK300" s="633"/>
      <c r="AL300" s="633"/>
      <c r="AM300" s="633"/>
      <c r="AN300" s="825">
        <f t="shared" si="90"/>
        <v>1824</v>
      </c>
      <c r="AO300" s="687"/>
      <c r="AP300" s="687"/>
      <c r="AQ300" s="687"/>
      <c r="AR300" s="825">
        <f>I300</f>
        <v>1824</v>
      </c>
      <c r="AS300" s="687"/>
      <c r="AT300" s="687"/>
      <c r="AU300" s="825">
        <f t="shared" si="91"/>
        <v>1824</v>
      </c>
      <c r="AV300" s="825"/>
      <c r="AW300" s="825">
        <f t="shared" si="92"/>
        <v>1824</v>
      </c>
      <c r="AX300" s="825"/>
      <c r="AY300" s="1305"/>
      <c r="AZ300" s="1305"/>
      <c r="BA300" s="1305"/>
      <c r="BB300" s="1305"/>
      <c r="BC300" s="1305"/>
      <c r="BD300" s="1305"/>
      <c r="BE300" s="1305"/>
      <c r="BF300" s="1305"/>
      <c r="BG300" s="1305"/>
      <c r="BH300" s="825">
        <f>I300/4</f>
        <v>456</v>
      </c>
      <c r="BI300" s="825"/>
      <c r="BJ300" s="1305"/>
      <c r="BK300" s="1305"/>
      <c r="BL300" s="1305"/>
      <c r="BM300" s="1305"/>
      <c r="BN300" s="1305"/>
      <c r="BO300" s="1305"/>
      <c r="BP300" s="1305"/>
    </row>
    <row r="301" s="1265" customFormat="1" ht="31" customHeight="1" spans="1:68">
      <c r="A301" s="1304">
        <v>45827</v>
      </c>
      <c r="B301" s="822" t="s">
        <v>143</v>
      </c>
      <c r="C301" s="633" t="s">
        <v>98</v>
      </c>
      <c r="D301" s="825">
        <v>4500170589</v>
      </c>
      <c r="E301" s="1413" t="s">
        <v>1397</v>
      </c>
      <c r="F301" s="1305" t="s">
        <v>1398</v>
      </c>
      <c r="G301" s="659" t="s">
        <v>101</v>
      </c>
      <c r="H301" s="633" t="s">
        <v>102</v>
      </c>
      <c r="I301" s="633">
        <v>2204</v>
      </c>
      <c r="J301" s="633">
        <v>0</v>
      </c>
      <c r="K301" s="633">
        <v>4</v>
      </c>
      <c r="L301" s="827">
        <f t="shared" si="76"/>
        <v>551</v>
      </c>
      <c r="M301" s="828">
        <v>45876</v>
      </c>
      <c r="N301" s="828">
        <v>45875</v>
      </c>
      <c r="O301" s="824" t="s">
        <v>1399</v>
      </c>
      <c r="P301" s="824" t="s">
        <v>113</v>
      </c>
      <c r="Q301" s="633"/>
      <c r="R301" s="829" t="s">
        <v>147</v>
      </c>
      <c r="S301" s="829" t="s">
        <v>70</v>
      </c>
      <c r="T301" s="829" t="s">
        <v>1393</v>
      </c>
      <c r="U301" s="829"/>
      <c r="V301" s="774" t="s">
        <v>148</v>
      </c>
      <c r="W301" s="829" t="s">
        <v>1394</v>
      </c>
      <c r="X301" s="822" t="s">
        <v>1395</v>
      </c>
      <c r="Y301" s="828" t="s">
        <v>106</v>
      </c>
      <c r="Z301" s="1306">
        <v>2.58</v>
      </c>
      <c r="AA301" s="831">
        <f t="shared" si="88"/>
        <v>5686.32</v>
      </c>
      <c r="AC301" s="632" t="s">
        <v>1400</v>
      </c>
      <c r="AD301" s="633" t="s">
        <v>101</v>
      </c>
      <c r="AE301" s="633" t="s">
        <v>82</v>
      </c>
      <c r="AF301" s="633"/>
      <c r="AG301" s="618"/>
      <c r="AH301" s="618"/>
      <c r="AI301" s="1308">
        <v>2204</v>
      </c>
      <c r="AJ301" s="824">
        <f t="shared" si="89"/>
        <v>0</v>
      </c>
      <c r="AK301" s="633"/>
      <c r="AL301" s="633"/>
      <c r="AM301" s="633"/>
      <c r="AN301" s="825">
        <f t="shared" si="90"/>
        <v>2204</v>
      </c>
      <c r="AO301" s="687"/>
      <c r="AP301" s="687"/>
      <c r="AQ301" s="687"/>
      <c r="AR301" s="825">
        <f>I301</f>
        <v>2204</v>
      </c>
      <c r="AS301" s="687"/>
      <c r="AT301" s="687"/>
      <c r="AU301" s="825">
        <f t="shared" si="91"/>
        <v>2204</v>
      </c>
      <c r="AV301" s="825"/>
      <c r="AW301" s="825">
        <f t="shared" si="92"/>
        <v>2204</v>
      </c>
      <c r="AX301" s="825"/>
      <c r="AY301" s="1305"/>
      <c r="AZ301" s="1305"/>
      <c r="BA301" s="1305"/>
      <c r="BB301" s="1305"/>
      <c r="BC301" s="1305"/>
      <c r="BD301" s="1305"/>
      <c r="BE301" s="1305"/>
      <c r="BF301" s="1305"/>
      <c r="BG301" s="1305"/>
      <c r="BH301" s="825">
        <f>I301/4</f>
        <v>551</v>
      </c>
      <c r="BI301" s="825"/>
      <c r="BJ301" s="1305"/>
      <c r="BK301" s="1305"/>
      <c r="BL301" s="1305"/>
      <c r="BM301" s="1305"/>
      <c r="BN301" s="1305"/>
      <c r="BO301" s="1305"/>
      <c r="BP301" s="1305"/>
    </row>
    <row r="302" s="1265" customFormat="1" ht="31" customHeight="1" spans="1:68">
      <c r="A302" s="1304">
        <v>45828</v>
      </c>
      <c r="B302" s="822" t="s">
        <v>1401</v>
      </c>
      <c r="C302" s="633" t="s">
        <v>411</v>
      </c>
      <c r="D302" s="825">
        <v>4500170761</v>
      </c>
      <c r="E302" s="633"/>
      <c r="F302" s="1305" t="s">
        <v>1402</v>
      </c>
      <c r="G302" s="659" t="s">
        <v>101</v>
      </c>
      <c r="H302" s="633" t="s">
        <v>102</v>
      </c>
      <c r="I302" s="633">
        <v>504</v>
      </c>
      <c r="J302" s="633">
        <v>0</v>
      </c>
      <c r="K302" s="633">
        <v>4</v>
      </c>
      <c r="L302" s="827">
        <f t="shared" si="76"/>
        <v>126</v>
      </c>
      <c r="M302" s="828">
        <v>45877</v>
      </c>
      <c r="N302" s="828">
        <v>45875</v>
      </c>
      <c r="O302" s="824"/>
      <c r="P302" s="824" t="s">
        <v>113</v>
      </c>
      <c r="Q302" s="633"/>
      <c r="R302" s="829">
        <v>45828</v>
      </c>
      <c r="S302" s="829" t="s">
        <v>70</v>
      </c>
      <c r="T302" s="829" t="s">
        <v>1403</v>
      </c>
      <c r="U302" s="829"/>
      <c r="V302" s="829"/>
      <c r="W302" s="829"/>
      <c r="X302" s="822" t="s">
        <v>1404</v>
      </c>
      <c r="Y302" s="828" t="s">
        <v>415</v>
      </c>
      <c r="Z302" s="1306">
        <v>4.3</v>
      </c>
      <c r="AA302" s="831">
        <f t="shared" si="88"/>
        <v>2167.2</v>
      </c>
      <c r="AC302" s="1307" t="s">
        <v>1405</v>
      </c>
      <c r="AD302" s="633" t="s">
        <v>156</v>
      </c>
      <c r="AE302" s="633" t="s">
        <v>82</v>
      </c>
      <c r="AF302" s="633"/>
      <c r="AG302" s="618"/>
      <c r="AH302" s="618"/>
      <c r="AI302" s="1308">
        <v>504</v>
      </c>
      <c r="AJ302" s="824">
        <f t="shared" si="89"/>
        <v>0</v>
      </c>
      <c r="AK302" s="633"/>
      <c r="AL302" s="633"/>
      <c r="AM302" s="633"/>
      <c r="AN302" s="825">
        <f t="shared" si="90"/>
        <v>504</v>
      </c>
      <c r="AO302" s="687"/>
      <c r="AP302" s="687"/>
      <c r="AQ302" s="687"/>
      <c r="AR302" s="825"/>
      <c r="AS302" s="687">
        <f>I302</f>
        <v>504</v>
      </c>
      <c r="AT302" s="687"/>
      <c r="AU302" s="825">
        <f t="shared" si="91"/>
        <v>504</v>
      </c>
      <c r="AV302" s="825"/>
      <c r="AW302" s="825">
        <f t="shared" si="92"/>
        <v>504</v>
      </c>
      <c r="AX302" s="825"/>
      <c r="AY302" s="1305"/>
      <c r="AZ302" s="1305"/>
      <c r="BA302" s="1305"/>
      <c r="BB302" s="1305"/>
      <c r="BC302" s="1305"/>
      <c r="BD302" s="1305"/>
      <c r="BE302" s="1305"/>
      <c r="BF302" s="1305"/>
      <c r="BG302" s="1305"/>
      <c r="BH302" s="1305"/>
      <c r="BI302" s="825">
        <f>I302/4</f>
        <v>126</v>
      </c>
      <c r="BJ302" s="1305"/>
      <c r="BK302" s="1305"/>
      <c r="BL302" s="1305"/>
      <c r="BM302" s="1305"/>
      <c r="BN302" s="1305"/>
      <c r="BO302" s="1305"/>
      <c r="BP302" s="1305"/>
    </row>
    <row r="303" s="1265" customFormat="1" ht="31" customHeight="1" spans="1:68">
      <c r="A303" s="1304">
        <v>45740</v>
      </c>
      <c r="B303" s="822" t="s">
        <v>169</v>
      </c>
      <c r="C303" s="633" t="s">
        <v>170</v>
      </c>
      <c r="D303" s="825">
        <v>4500160891</v>
      </c>
      <c r="E303" s="633">
        <v>9900924263</v>
      </c>
      <c r="F303" s="1305" t="s">
        <v>1406</v>
      </c>
      <c r="G303" s="659" t="s">
        <v>172</v>
      </c>
      <c r="H303" s="633" t="s">
        <v>112</v>
      </c>
      <c r="I303" s="633">
        <v>2388</v>
      </c>
      <c r="J303" s="633">
        <v>0</v>
      </c>
      <c r="K303" s="633">
        <v>2</v>
      </c>
      <c r="L303" s="827">
        <f t="shared" si="76"/>
        <v>1194</v>
      </c>
      <c r="M303" s="828">
        <v>45877</v>
      </c>
      <c r="N303" s="828">
        <v>45878</v>
      </c>
      <c r="O303" s="824" t="s">
        <v>1407</v>
      </c>
      <c r="P303" s="824" t="s">
        <v>113</v>
      </c>
      <c r="Q303" s="633"/>
      <c r="R303" s="829">
        <v>45839</v>
      </c>
      <c r="S303" s="829" t="s">
        <v>70</v>
      </c>
      <c r="T303" s="829" t="s">
        <v>628</v>
      </c>
      <c r="U303" s="829"/>
      <c r="V303" s="829"/>
      <c r="W303" s="829"/>
      <c r="X303" s="822" t="s">
        <v>1119</v>
      </c>
      <c r="Y303" s="828" t="s">
        <v>175</v>
      </c>
      <c r="Z303" s="1306">
        <v>4.1</v>
      </c>
      <c r="AA303" s="831">
        <f t="shared" si="88"/>
        <v>9790.8</v>
      </c>
      <c r="AC303" s="632" t="s">
        <v>1408</v>
      </c>
      <c r="AD303" s="633" t="s">
        <v>172</v>
      </c>
      <c r="AE303" s="633" t="s">
        <v>82</v>
      </c>
      <c r="AF303" s="633"/>
      <c r="AG303" s="618"/>
      <c r="AH303" s="618"/>
      <c r="AI303" s="1308">
        <v>2388</v>
      </c>
      <c r="AJ303" s="824">
        <f t="shared" si="89"/>
        <v>0</v>
      </c>
      <c r="AK303" s="633"/>
      <c r="AL303" s="633"/>
      <c r="AM303" s="633"/>
      <c r="AN303" s="825">
        <f t="shared" si="90"/>
        <v>2388</v>
      </c>
      <c r="AO303" s="687"/>
      <c r="AP303" s="687"/>
      <c r="AQ303" s="687"/>
      <c r="AR303" s="825"/>
      <c r="AS303" s="687">
        <f>I303</f>
        <v>2388</v>
      </c>
      <c r="AT303" s="687"/>
      <c r="AU303" s="825">
        <f t="shared" si="91"/>
        <v>2388</v>
      </c>
      <c r="AV303" s="825"/>
      <c r="AW303" s="825">
        <f t="shared" si="92"/>
        <v>2388</v>
      </c>
      <c r="AX303" s="825"/>
      <c r="AY303" s="1305"/>
      <c r="AZ303" s="1305"/>
      <c r="BA303" s="1305"/>
      <c r="BB303" s="1305"/>
      <c r="BC303" s="1305"/>
      <c r="BD303" s="1305"/>
      <c r="BE303" s="1305"/>
      <c r="BF303" s="1305"/>
      <c r="BG303" s="1305"/>
      <c r="BH303" s="1305"/>
      <c r="BI303" s="825"/>
      <c r="BJ303" s="1305"/>
      <c r="BK303" s="1305"/>
      <c r="BL303" s="1305"/>
      <c r="BM303" s="1305"/>
      <c r="BN303" s="1305"/>
      <c r="BO303" s="1305"/>
      <c r="BP303" s="1305"/>
    </row>
    <row r="304" s="1265" customFormat="1" ht="31" customHeight="1" spans="1:68">
      <c r="A304" s="1304">
        <v>45828</v>
      </c>
      <c r="B304" s="822" t="s">
        <v>1409</v>
      </c>
      <c r="C304" s="633" t="s">
        <v>524</v>
      </c>
      <c r="D304" s="825">
        <v>4500170750</v>
      </c>
      <c r="E304" s="633"/>
      <c r="F304" s="1305" t="s">
        <v>1410</v>
      </c>
      <c r="G304" s="659" t="s">
        <v>68</v>
      </c>
      <c r="H304" s="633" t="s">
        <v>69</v>
      </c>
      <c r="I304" s="633">
        <v>300</v>
      </c>
      <c r="J304" s="633">
        <v>0</v>
      </c>
      <c r="K304" s="633">
        <v>12</v>
      </c>
      <c r="L304" s="827">
        <f t="shared" si="76"/>
        <v>25</v>
      </c>
      <c r="M304" s="828">
        <v>45877</v>
      </c>
      <c r="N304" s="828">
        <v>45874</v>
      </c>
      <c r="O304" s="824"/>
      <c r="P304" s="824" t="s">
        <v>113</v>
      </c>
      <c r="Q304" s="633" t="s">
        <v>1411</v>
      </c>
      <c r="R304" s="829">
        <v>45841</v>
      </c>
      <c r="S304" s="829" t="s">
        <v>70</v>
      </c>
      <c r="T304" s="829">
        <v>45849</v>
      </c>
      <c r="U304" s="829"/>
      <c r="V304" s="829"/>
      <c r="W304" s="829"/>
      <c r="X304" s="628" t="s">
        <v>1412</v>
      </c>
      <c r="Y304" s="828" t="s">
        <v>340</v>
      </c>
      <c r="Z304" s="1306">
        <v>4.1456</v>
      </c>
      <c r="AA304" s="831">
        <f t="shared" si="88"/>
        <v>1243.68</v>
      </c>
      <c r="AC304" s="632" t="s">
        <v>1413</v>
      </c>
      <c r="AD304" s="633" t="s">
        <v>184</v>
      </c>
      <c r="AE304" s="633" t="s">
        <v>82</v>
      </c>
      <c r="AF304" s="633"/>
      <c r="AG304" s="618"/>
      <c r="AH304" s="618"/>
      <c r="AI304" s="1308">
        <v>300</v>
      </c>
      <c r="AJ304" s="824">
        <f t="shared" si="89"/>
        <v>0</v>
      </c>
      <c r="AK304" s="633"/>
      <c r="AL304" s="633"/>
      <c r="AM304" s="633"/>
      <c r="AN304" s="825">
        <f t="shared" si="90"/>
        <v>300</v>
      </c>
      <c r="AO304" s="687"/>
      <c r="AP304" s="687"/>
      <c r="AQ304" s="687"/>
      <c r="AR304" s="825"/>
      <c r="AS304" s="687">
        <f>I304</f>
        <v>300</v>
      </c>
      <c r="AT304" s="687"/>
      <c r="AU304" s="825">
        <f t="shared" si="91"/>
        <v>300</v>
      </c>
      <c r="AV304" s="825"/>
      <c r="AW304" s="825">
        <f t="shared" si="92"/>
        <v>300</v>
      </c>
      <c r="AX304" s="825"/>
      <c r="AY304" s="1305"/>
      <c r="AZ304" s="1305"/>
      <c r="BA304" s="1305"/>
      <c r="BB304" s="1305"/>
      <c r="BC304" s="1305"/>
      <c r="BD304" s="1305"/>
      <c r="BE304" s="1305"/>
      <c r="BF304" s="1305"/>
      <c r="BG304" s="1305"/>
      <c r="BH304" s="1305"/>
      <c r="BI304" s="825"/>
      <c r="BJ304" s="1305"/>
      <c r="BK304" s="1305"/>
      <c r="BL304" s="1305"/>
      <c r="BM304" s="1305"/>
      <c r="BN304" s="1305"/>
      <c r="BO304" s="1305"/>
      <c r="BP304" s="1305"/>
    </row>
    <row r="305" s="1265" customFormat="1" ht="31" customHeight="1" spans="1:68">
      <c r="A305" s="1304">
        <v>45824</v>
      </c>
      <c r="B305" s="822" t="s">
        <v>205</v>
      </c>
      <c r="C305" s="633" t="s">
        <v>1414</v>
      </c>
      <c r="D305" s="825">
        <v>4500170119</v>
      </c>
      <c r="E305" s="633">
        <v>217405827</v>
      </c>
      <c r="F305" s="1305" t="s">
        <v>1415</v>
      </c>
      <c r="G305" s="659" t="s">
        <v>207</v>
      </c>
      <c r="H305" s="633" t="s">
        <v>102</v>
      </c>
      <c r="I305" s="633">
        <v>1172</v>
      </c>
      <c r="J305" s="633">
        <v>0</v>
      </c>
      <c r="K305" s="633">
        <v>4</v>
      </c>
      <c r="L305" s="827">
        <f t="shared" si="76"/>
        <v>293</v>
      </c>
      <c r="M305" s="828">
        <v>45878</v>
      </c>
      <c r="N305" s="828">
        <v>45876</v>
      </c>
      <c r="O305" s="824"/>
      <c r="P305" s="824" t="s">
        <v>113</v>
      </c>
      <c r="Q305" s="633"/>
      <c r="R305" s="829">
        <v>45839</v>
      </c>
      <c r="S305" s="829" t="s">
        <v>70</v>
      </c>
      <c r="T305" s="829" t="s">
        <v>70</v>
      </c>
      <c r="U305" s="829"/>
      <c r="V305" s="829"/>
      <c r="W305" s="829"/>
      <c r="X305" s="822" t="s">
        <v>208</v>
      </c>
      <c r="Y305" s="828" t="s">
        <v>209</v>
      </c>
      <c r="Z305" s="1306">
        <v>2.5075</v>
      </c>
      <c r="AA305" s="831">
        <f t="shared" si="88"/>
        <v>2938.79</v>
      </c>
      <c r="AC305" s="632"/>
      <c r="AD305" s="633" t="s">
        <v>207</v>
      </c>
      <c r="AE305" s="633" t="s">
        <v>82</v>
      </c>
      <c r="AF305" s="633"/>
      <c r="AG305" s="618"/>
      <c r="AH305" s="618"/>
      <c r="AI305" s="1308">
        <v>1172</v>
      </c>
      <c r="AJ305" s="824">
        <f t="shared" si="89"/>
        <v>0</v>
      </c>
      <c r="AK305" s="633"/>
      <c r="AL305" s="633"/>
      <c r="AM305" s="633"/>
      <c r="AN305" s="825">
        <f t="shared" si="90"/>
        <v>1172</v>
      </c>
      <c r="AO305" s="687"/>
      <c r="AP305" s="687"/>
      <c r="AQ305" s="687"/>
      <c r="AR305" s="825">
        <f>I305</f>
        <v>1172</v>
      </c>
      <c r="AS305" s="687"/>
      <c r="AT305" s="687"/>
      <c r="AU305" s="825">
        <f t="shared" si="91"/>
        <v>1172</v>
      </c>
      <c r="AV305" s="825"/>
      <c r="AW305" s="825">
        <f t="shared" si="92"/>
        <v>1172</v>
      </c>
      <c r="AX305" s="825"/>
      <c r="AY305" s="1305"/>
      <c r="AZ305" s="1305"/>
      <c r="BA305" s="1305"/>
      <c r="BB305" s="1305"/>
      <c r="BC305" s="1305"/>
      <c r="BD305" s="1305"/>
      <c r="BE305" s="1305"/>
      <c r="BF305" s="1305"/>
      <c r="BG305" s="1305"/>
      <c r="BH305" s="1305"/>
      <c r="BI305" s="825"/>
      <c r="BJ305" s="1305"/>
      <c r="BK305" s="1305"/>
      <c r="BL305" s="1305"/>
      <c r="BM305" s="1305"/>
      <c r="BN305" s="1305"/>
      <c r="BO305" s="1305"/>
      <c r="BP305" s="1305"/>
    </row>
    <row r="306" s="1265" customFormat="1" ht="31" customHeight="1" spans="1:68">
      <c r="A306" s="1304">
        <v>45824</v>
      </c>
      <c r="B306" s="822" t="s">
        <v>205</v>
      </c>
      <c r="C306" s="633" t="s">
        <v>1414</v>
      </c>
      <c r="D306" s="825">
        <v>4500170092</v>
      </c>
      <c r="E306" s="633">
        <v>217405708</v>
      </c>
      <c r="F306" s="1305" t="s">
        <v>1416</v>
      </c>
      <c r="G306" s="659" t="s">
        <v>207</v>
      </c>
      <c r="H306" s="633" t="s">
        <v>102</v>
      </c>
      <c r="I306" s="633">
        <v>1172</v>
      </c>
      <c r="J306" s="633">
        <v>0</v>
      </c>
      <c r="K306" s="633">
        <v>4</v>
      </c>
      <c r="L306" s="827">
        <f t="shared" si="76"/>
        <v>293</v>
      </c>
      <c r="M306" s="828">
        <v>45878</v>
      </c>
      <c r="N306" s="828">
        <v>45876</v>
      </c>
      <c r="O306" s="824"/>
      <c r="P306" s="824" t="s">
        <v>113</v>
      </c>
      <c r="Q306" s="633"/>
      <c r="R306" s="829">
        <v>45839</v>
      </c>
      <c r="S306" s="829" t="s">
        <v>70</v>
      </c>
      <c r="T306" s="829" t="s">
        <v>70</v>
      </c>
      <c r="U306" s="829"/>
      <c r="V306" s="829"/>
      <c r="W306" s="829"/>
      <c r="X306" s="822" t="s">
        <v>208</v>
      </c>
      <c r="Y306" s="828" t="s">
        <v>209</v>
      </c>
      <c r="Z306" s="1306">
        <v>2.6096</v>
      </c>
      <c r="AA306" s="831">
        <f t="shared" si="88"/>
        <v>3058.4512</v>
      </c>
      <c r="AC306" s="632" t="s">
        <v>1417</v>
      </c>
      <c r="AD306" s="633" t="s">
        <v>207</v>
      </c>
      <c r="AE306" s="633" t="s">
        <v>82</v>
      </c>
      <c r="AF306" s="633"/>
      <c r="AG306" s="618"/>
      <c r="AH306" s="618"/>
      <c r="AI306" s="1308">
        <v>1172</v>
      </c>
      <c r="AJ306" s="824">
        <f t="shared" si="89"/>
        <v>0</v>
      </c>
      <c r="AK306" s="633"/>
      <c r="AL306" s="633"/>
      <c r="AM306" s="633"/>
      <c r="AN306" s="825">
        <f t="shared" si="90"/>
        <v>1172</v>
      </c>
      <c r="AO306" s="687"/>
      <c r="AP306" s="687"/>
      <c r="AQ306" s="687"/>
      <c r="AR306" s="825">
        <f>I306</f>
        <v>1172</v>
      </c>
      <c r="AS306" s="687"/>
      <c r="AT306" s="687"/>
      <c r="AU306" s="825">
        <f t="shared" si="91"/>
        <v>1172</v>
      </c>
      <c r="AV306" s="825"/>
      <c r="AW306" s="825">
        <f t="shared" si="92"/>
        <v>1172</v>
      </c>
      <c r="AX306" s="825"/>
      <c r="AY306" s="1305"/>
      <c r="AZ306" s="1305"/>
      <c r="BA306" s="1305"/>
      <c r="BB306" s="1305"/>
      <c r="BC306" s="1305"/>
      <c r="BD306" s="1305"/>
      <c r="BE306" s="1305"/>
      <c r="BF306" s="1305"/>
      <c r="BG306" s="1305"/>
      <c r="BH306" s="1305"/>
      <c r="BI306" s="825"/>
      <c r="BJ306" s="1305"/>
      <c r="BK306" s="1305"/>
      <c r="BL306" s="1305"/>
      <c r="BM306" s="1305"/>
      <c r="BN306" s="1305"/>
      <c r="BO306" s="1305"/>
      <c r="BP306" s="1305"/>
    </row>
    <row r="307" s="1265" customFormat="1" ht="31" customHeight="1" spans="1:68">
      <c r="A307" s="1304">
        <v>45827</v>
      </c>
      <c r="B307" s="822" t="s">
        <v>205</v>
      </c>
      <c r="C307" s="633" t="s">
        <v>98</v>
      </c>
      <c r="D307" s="825">
        <v>4500170515</v>
      </c>
      <c r="E307" s="633" t="s">
        <v>1418</v>
      </c>
      <c r="F307" s="1305" t="s">
        <v>1419</v>
      </c>
      <c r="G307" s="659" t="s">
        <v>207</v>
      </c>
      <c r="H307" s="633" t="s">
        <v>102</v>
      </c>
      <c r="I307" s="633">
        <v>1952</v>
      </c>
      <c r="J307" s="633">
        <v>0</v>
      </c>
      <c r="K307" s="633">
        <v>4</v>
      </c>
      <c r="L307" s="827">
        <f t="shared" si="76"/>
        <v>488</v>
      </c>
      <c r="M307" s="828">
        <v>45880</v>
      </c>
      <c r="N307" s="828">
        <v>45878</v>
      </c>
      <c r="O307" s="824"/>
      <c r="P307" s="824" t="s">
        <v>113</v>
      </c>
      <c r="Q307" s="633"/>
      <c r="R307" s="829">
        <v>45842</v>
      </c>
      <c r="S307" s="829" t="s">
        <v>70</v>
      </c>
      <c r="T307" s="829" t="s">
        <v>70</v>
      </c>
      <c r="U307" s="829"/>
      <c r="V307" s="829"/>
      <c r="W307" s="829"/>
      <c r="X307" s="822" t="s">
        <v>1420</v>
      </c>
      <c r="Y307" s="828" t="s">
        <v>209</v>
      </c>
      <c r="Z307" s="1306">
        <v>2.6096</v>
      </c>
      <c r="AA307" s="831">
        <f t="shared" si="88"/>
        <v>5093.9392</v>
      </c>
      <c r="AC307" s="632" t="s">
        <v>1421</v>
      </c>
      <c r="AD307" s="633" t="s">
        <v>207</v>
      </c>
      <c r="AE307" s="633" t="s">
        <v>82</v>
      </c>
      <c r="AF307" s="633"/>
      <c r="AG307" s="618"/>
      <c r="AH307" s="618"/>
      <c r="AI307" s="1308">
        <v>1952</v>
      </c>
      <c r="AJ307" s="824">
        <f t="shared" si="89"/>
        <v>0</v>
      </c>
      <c r="AK307" s="633"/>
      <c r="AL307" s="633"/>
      <c r="AM307" s="633"/>
      <c r="AN307" s="825">
        <f t="shared" si="90"/>
        <v>1952</v>
      </c>
      <c r="AO307" s="687"/>
      <c r="AP307" s="687"/>
      <c r="AQ307" s="687"/>
      <c r="AR307" s="825">
        <f>I307</f>
        <v>1952</v>
      </c>
      <c r="AS307" s="687"/>
      <c r="AT307" s="687"/>
      <c r="AU307" s="825">
        <f t="shared" si="91"/>
        <v>1952</v>
      </c>
      <c r="AV307" s="825"/>
      <c r="AW307" s="825">
        <f t="shared" si="92"/>
        <v>1952</v>
      </c>
      <c r="AX307" s="825"/>
      <c r="AY307" s="1305"/>
      <c r="AZ307" s="1305"/>
      <c r="BA307" s="1305"/>
      <c r="BB307" s="1305"/>
      <c r="BC307" s="1305"/>
      <c r="BD307" s="1305"/>
      <c r="BE307" s="1305"/>
      <c r="BF307" s="1305"/>
      <c r="BG307" s="1305"/>
      <c r="BH307" s="1305"/>
      <c r="BI307" s="825"/>
      <c r="BJ307" s="1305"/>
      <c r="BK307" s="1305"/>
      <c r="BL307" s="1305"/>
      <c r="BM307" s="1305"/>
      <c r="BN307" s="1305"/>
      <c r="BO307" s="1305"/>
      <c r="BP307" s="1305"/>
    </row>
    <row r="308" s="1265" customFormat="1" ht="31" customHeight="1" spans="1:68">
      <c r="A308" s="1304">
        <v>45827</v>
      </c>
      <c r="B308" s="822" t="s">
        <v>205</v>
      </c>
      <c r="C308" s="633" t="s">
        <v>98</v>
      </c>
      <c r="D308" s="825">
        <v>4500170515</v>
      </c>
      <c r="E308" s="633" t="s">
        <v>1422</v>
      </c>
      <c r="F308" s="1305" t="s">
        <v>1423</v>
      </c>
      <c r="G308" s="659" t="s">
        <v>207</v>
      </c>
      <c r="H308" s="633" t="s">
        <v>102</v>
      </c>
      <c r="I308" s="633">
        <v>1052</v>
      </c>
      <c r="J308" s="633">
        <v>0</v>
      </c>
      <c r="K308" s="633">
        <v>4</v>
      </c>
      <c r="L308" s="827">
        <f t="shared" si="76"/>
        <v>263</v>
      </c>
      <c r="M308" s="828">
        <v>45880</v>
      </c>
      <c r="N308" s="828">
        <v>45878</v>
      </c>
      <c r="O308" s="824"/>
      <c r="P308" s="824" t="s">
        <v>113</v>
      </c>
      <c r="Q308" s="633"/>
      <c r="R308" s="829">
        <v>45842</v>
      </c>
      <c r="S308" s="829" t="s">
        <v>70</v>
      </c>
      <c r="T308" s="829" t="s">
        <v>70</v>
      </c>
      <c r="U308" s="829"/>
      <c r="V308" s="829"/>
      <c r="W308" s="829"/>
      <c r="X308" s="822" t="s">
        <v>1420</v>
      </c>
      <c r="Y308" s="828" t="s">
        <v>209</v>
      </c>
      <c r="Z308" s="1306">
        <v>2.6096</v>
      </c>
      <c r="AA308" s="831">
        <f t="shared" si="88"/>
        <v>2745.2992</v>
      </c>
      <c r="AC308" s="632" t="s">
        <v>1424</v>
      </c>
      <c r="AD308" s="633" t="s">
        <v>207</v>
      </c>
      <c r="AE308" s="633" t="s">
        <v>82</v>
      </c>
      <c r="AF308" s="633"/>
      <c r="AG308" s="618"/>
      <c r="AH308" s="618"/>
      <c r="AI308" s="1308">
        <v>1052</v>
      </c>
      <c r="AJ308" s="824">
        <f t="shared" si="89"/>
        <v>0</v>
      </c>
      <c r="AK308" s="633"/>
      <c r="AL308" s="633"/>
      <c r="AM308" s="633"/>
      <c r="AN308" s="825">
        <f t="shared" si="90"/>
        <v>1052</v>
      </c>
      <c r="AO308" s="687"/>
      <c r="AP308" s="687"/>
      <c r="AQ308" s="687"/>
      <c r="AR308" s="825">
        <f>I308</f>
        <v>1052</v>
      </c>
      <c r="AS308" s="687"/>
      <c r="AT308" s="687"/>
      <c r="AU308" s="825">
        <f t="shared" si="91"/>
        <v>1052</v>
      </c>
      <c r="AV308" s="825"/>
      <c r="AW308" s="825">
        <f t="shared" si="92"/>
        <v>1052</v>
      </c>
      <c r="AX308" s="825"/>
      <c r="AY308" s="1305"/>
      <c r="AZ308" s="1305"/>
      <c r="BA308" s="1305"/>
      <c r="BB308" s="1305"/>
      <c r="BC308" s="1305"/>
      <c r="BD308" s="1305"/>
      <c r="BE308" s="1305"/>
      <c r="BF308" s="1305"/>
      <c r="BG308" s="1305"/>
      <c r="BH308" s="1305"/>
      <c r="BI308" s="825"/>
      <c r="BJ308" s="1305"/>
      <c r="BK308" s="1305"/>
      <c r="BL308" s="1305"/>
      <c r="BM308" s="1305"/>
      <c r="BN308" s="1305"/>
      <c r="BO308" s="1305"/>
      <c r="BP308" s="1305"/>
    </row>
    <row r="309" s="1265" customFormat="1" ht="31" customHeight="1" spans="1:68">
      <c r="A309" s="1304">
        <v>45820</v>
      </c>
      <c r="B309" s="822" t="s">
        <v>143</v>
      </c>
      <c r="C309" s="633" t="s">
        <v>98</v>
      </c>
      <c r="D309" s="825">
        <v>4500169834</v>
      </c>
      <c r="E309" s="1413" t="s">
        <v>1425</v>
      </c>
      <c r="F309" s="1305" t="s">
        <v>1426</v>
      </c>
      <c r="G309" s="659" t="s">
        <v>101</v>
      </c>
      <c r="H309" s="633" t="s">
        <v>102</v>
      </c>
      <c r="I309" s="633">
        <v>1484</v>
      </c>
      <c r="J309" s="633">
        <v>0</v>
      </c>
      <c r="K309" s="633">
        <v>4</v>
      </c>
      <c r="L309" s="827">
        <f t="shared" si="76"/>
        <v>371</v>
      </c>
      <c r="M309" s="828">
        <v>45867</v>
      </c>
      <c r="N309" s="828">
        <v>45873</v>
      </c>
      <c r="O309" s="824" t="s">
        <v>1427</v>
      </c>
      <c r="P309" s="824" t="s">
        <v>113</v>
      </c>
      <c r="Q309" s="633"/>
      <c r="R309" s="829" t="s">
        <v>147</v>
      </c>
      <c r="S309" s="829" t="s">
        <v>70</v>
      </c>
      <c r="T309" s="829" t="s">
        <v>148</v>
      </c>
      <c r="U309" s="829"/>
      <c r="V309" s="774" t="s">
        <v>148</v>
      </c>
      <c r="W309" s="829"/>
      <c r="X309" s="822" t="s">
        <v>1172</v>
      </c>
      <c r="Y309" s="828" t="s">
        <v>106</v>
      </c>
      <c r="Z309" s="1306">
        <v>2.58</v>
      </c>
      <c r="AA309" s="831">
        <f t="shared" si="88"/>
        <v>3828.72</v>
      </c>
      <c r="AC309" s="632" t="s">
        <v>1428</v>
      </c>
      <c r="AD309" s="633" t="s">
        <v>101</v>
      </c>
      <c r="AE309" s="633" t="s">
        <v>82</v>
      </c>
      <c r="AF309" s="633"/>
      <c r="AG309" s="618"/>
      <c r="AH309" s="618"/>
      <c r="AI309" s="1308">
        <f>1480</f>
        <v>1480</v>
      </c>
      <c r="AJ309" s="824">
        <f t="shared" si="89"/>
        <v>-4</v>
      </c>
      <c r="AK309" s="633"/>
      <c r="AL309" s="633"/>
      <c r="AM309" s="633"/>
      <c r="AN309" s="825">
        <f t="shared" si="90"/>
        <v>1484</v>
      </c>
      <c r="AO309" s="687"/>
      <c r="AP309" s="687"/>
      <c r="AQ309" s="687"/>
      <c r="AR309" s="825">
        <f>I309</f>
        <v>1484</v>
      </c>
      <c r="AS309" s="687"/>
      <c r="AT309" s="687"/>
      <c r="AU309" s="825">
        <f t="shared" si="91"/>
        <v>1484</v>
      </c>
      <c r="AV309" s="825"/>
      <c r="AW309" s="551">
        <f t="shared" si="92"/>
        <v>1484</v>
      </c>
      <c r="AX309" s="825"/>
      <c r="AY309" s="1305"/>
      <c r="AZ309" s="1305"/>
      <c r="BA309" s="1305"/>
      <c r="BB309" s="1305"/>
      <c r="BC309" s="1305"/>
      <c r="BD309" s="1305"/>
      <c r="BE309" s="1305"/>
      <c r="BF309" s="1305"/>
      <c r="BG309" s="1305"/>
      <c r="BH309" s="825">
        <f>I309/4</f>
        <v>371</v>
      </c>
      <c r="BI309" s="825"/>
      <c r="BJ309" s="1305"/>
      <c r="BK309" s="1305"/>
      <c r="BL309" s="1305"/>
      <c r="BM309" s="1305"/>
      <c r="BN309" s="1305"/>
      <c r="BO309" s="1305"/>
      <c r="BP309" s="1305"/>
    </row>
    <row r="310" s="1265" customFormat="1" ht="31" customHeight="1" spans="1:68">
      <c r="A310" s="1304">
        <v>45769</v>
      </c>
      <c r="B310" s="822" t="s">
        <v>947</v>
      </c>
      <c r="C310" s="633" t="s">
        <v>278</v>
      </c>
      <c r="D310" s="825">
        <v>4500164549</v>
      </c>
      <c r="E310" s="633" t="s">
        <v>1378</v>
      </c>
      <c r="F310" s="1305" t="s">
        <v>1379</v>
      </c>
      <c r="G310" s="659" t="s">
        <v>515</v>
      </c>
      <c r="H310" s="633" t="s">
        <v>112</v>
      </c>
      <c r="I310" s="633">
        <v>1800</v>
      </c>
      <c r="J310" s="633">
        <v>0</v>
      </c>
      <c r="K310" s="633">
        <v>75</v>
      </c>
      <c r="L310" s="827">
        <f t="shared" si="76"/>
        <v>24</v>
      </c>
      <c r="M310" s="828">
        <v>45868</v>
      </c>
      <c r="N310" s="828">
        <v>45868</v>
      </c>
      <c r="O310" s="824"/>
      <c r="P310" s="824" t="s">
        <v>113</v>
      </c>
      <c r="Q310" s="633"/>
      <c r="R310" s="829">
        <v>45785</v>
      </c>
      <c r="S310" s="829" t="s">
        <v>70</v>
      </c>
      <c r="T310" s="829" t="s">
        <v>70</v>
      </c>
      <c r="U310" s="829"/>
      <c r="V310" s="829"/>
      <c r="W310" s="829"/>
      <c r="X310" s="822"/>
      <c r="Y310" s="828" t="s">
        <v>244</v>
      </c>
      <c r="Z310" s="1306">
        <v>762.5</v>
      </c>
      <c r="AA310" s="831">
        <f>Z310*L310</f>
        <v>18300</v>
      </c>
      <c r="AC310" s="1307" t="s">
        <v>1381</v>
      </c>
      <c r="AD310" s="633" t="s">
        <v>829</v>
      </c>
      <c r="AE310" s="633" t="s">
        <v>82</v>
      </c>
      <c r="AF310" s="633"/>
      <c r="AG310" s="618"/>
      <c r="AH310" s="618"/>
      <c r="AI310" s="1308">
        <v>0</v>
      </c>
      <c r="AJ310" s="824">
        <f t="shared" si="89"/>
        <v>-1800</v>
      </c>
      <c r="AK310" s="633"/>
      <c r="AL310" s="633"/>
      <c r="AM310" s="633"/>
      <c r="AN310" s="825"/>
      <c r="AO310" s="687"/>
      <c r="AP310" s="687"/>
      <c r="AQ310" s="687">
        <f>I310</f>
        <v>1800</v>
      </c>
      <c r="AR310" s="825"/>
      <c r="AS310" s="687"/>
      <c r="AT310" s="687"/>
      <c r="AU310" s="825"/>
      <c r="AV310" s="825"/>
      <c r="AW310" s="825"/>
      <c r="AX310" s="825"/>
      <c r="AY310" s="1305"/>
      <c r="AZ310" s="1305"/>
      <c r="BA310" s="1305">
        <f>I310</f>
        <v>1800</v>
      </c>
      <c r="BB310" s="1305">
        <f>I310</f>
        <v>1800</v>
      </c>
      <c r="BC310" s="1305">
        <f>I310</f>
        <v>1800</v>
      </c>
      <c r="BD310" s="1305"/>
      <c r="BE310" s="1305"/>
      <c r="BF310" s="1305"/>
      <c r="BG310" s="1305"/>
      <c r="BH310" s="1305"/>
      <c r="BI310" s="825"/>
      <c r="BJ310" s="1305"/>
      <c r="BK310" s="1305">
        <f>I310</f>
        <v>1800</v>
      </c>
      <c r="BL310" s="1305">
        <f>I310/5</f>
        <v>360</v>
      </c>
      <c r="BM310" s="1305"/>
      <c r="BN310" s="1305"/>
      <c r="BO310" s="1305"/>
      <c r="BP310" s="1305"/>
    </row>
    <row r="311" s="1265" customFormat="1" ht="31" customHeight="1" spans="1:68">
      <c r="A311" s="1304">
        <v>45869</v>
      </c>
      <c r="B311" s="822" t="s">
        <v>1429</v>
      </c>
      <c r="C311" s="633" t="s">
        <v>411</v>
      </c>
      <c r="D311" s="825">
        <v>4500175657</v>
      </c>
      <c r="E311" s="633">
        <v>5200007336</v>
      </c>
      <c r="F311" s="1305" t="s">
        <v>1430</v>
      </c>
      <c r="G311" s="659" t="s">
        <v>1431</v>
      </c>
      <c r="H311" s="633" t="s">
        <v>1432</v>
      </c>
      <c r="I311" s="633">
        <v>100</v>
      </c>
      <c r="J311" s="633">
        <v>0</v>
      </c>
      <c r="K311" s="633">
        <v>50</v>
      </c>
      <c r="L311" s="827">
        <f t="shared" si="76"/>
        <v>2</v>
      </c>
      <c r="M311" s="828">
        <v>45871</v>
      </c>
      <c r="N311" s="828">
        <f>M311-4</f>
        <v>45867</v>
      </c>
      <c r="O311" s="824"/>
      <c r="P311" s="824" t="s">
        <v>113</v>
      </c>
      <c r="Q311" s="633"/>
      <c r="R311" s="829">
        <v>45861</v>
      </c>
      <c r="S311" s="829" t="s">
        <v>70</v>
      </c>
      <c r="T311" s="829" t="s">
        <v>70</v>
      </c>
      <c r="U311" s="829"/>
      <c r="V311" s="829"/>
      <c r="W311" s="829"/>
      <c r="X311" s="822" t="s">
        <v>1433</v>
      </c>
      <c r="Y311" s="828" t="s">
        <v>415</v>
      </c>
      <c r="Z311" s="1306">
        <v>0.1221</v>
      </c>
      <c r="AA311" s="831">
        <f>Z311*I311</f>
        <v>12.21</v>
      </c>
      <c r="AC311" s="632"/>
      <c r="AD311" s="633" t="s">
        <v>73</v>
      </c>
      <c r="AE311" s="633" t="s">
        <v>73</v>
      </c>
      <c r="AF311" s="633"/>
      <c r="AG311" s="618"/>
      <c r="AH311" s="618"/>
      <c r="AI311" s="1308">
        <f>I311</f>
        <v>100</v>
      </c>
      <c r="AJ311" s="824">
        <f t="shared" si="89"/>
        <v>0</v>
      </c>
      <c r="AK311" s="633"/>
      <c r="AL311" s="633"/>
      <c r="AM311" s="633"/>
      <c r="AN311" s="825">
        <f>I311</f>
        <v>100</v>
      </c>
      <c r="AO311" s="687"/>
      <c r="AP311" s="687"/>
      <c r="AQ311" s="687"/>
      <c r="AR311" s="825"/>
      <c r="AS311" s="687"/>
      <c r="AT311" s="687"/>
      <c r="AU311" s="825"/>
      <c r="AV311" s="825"/>
      <c r="AW311" s="825"/>
      <c r="AX311" s="825"/>
      <c r="AY311" s="1305"/>
      <c r="AZ311" s="1305"/>
      <c r="BA311" s="1305"/>
      <c r="BB311" s="1305"/>
      <c r="BC311" s="1305"/>
      <c r="BD311" s="1305"/>
      <c r="BE311" s="1305"/>
      <c r="BF311" s="1305"/>
      <c r="BG311" s="1305"/>
      <c r="BH311" s="825">
        <f>I311/4</f>
        <v>25</v>
      </c>
      <c r="BI311" s="825"/>
      <c r="BJ311" s="1305"/>
      <c r="BK311" s="1305"/>
      <c r="BL311" s="1305"/>
      <c r="BM311" s="1305"/>
      <c r="BN311" s="1305"/>
      <c r="BO311" s="1305"/>
      <c r="BP311" s="1305"/>
    </row>
    <row r="312" s="1265" customFormat="1" ht="31" customHeight="1" spans="1:68">
      <c r="A312" s="1304">
        <v>45834</v>
      </c>
      <c r="B312" s="822" t="s">
        <v>1337</v>
      </c>
      <c r="C312" s="633" t="s">
        <v>931</v>
      </c>
      <c r="D312" s="825">
        <v>4500171286</v>
      </c>
      <c r="E312" s="633"/>
      <c r="F312" s="1305" t="s">
        <v>1434</v>
      </c>
      <c r="G312" s="659" t="s">
        <v>68</v>
      </c>
      <c r="H312" s="633" t="s">
        <v>69</v>
      </c>
      <c r="I312" s="633">
        <v>120</v>
      </c>
      <c r="J312" s="633">
        <v>0</v>
      </c>
      <c r="K312" s="633">
        <v>12</v>
      </c>
      <c r="L312" s="827">
        <f t="shared" si="76"/>
        <v>10</v>
      </c>
      <c r="M312" s="828">
        <v>45870</v>
      </c>
      <c r="N312" s="828">
        <v>45875</v>
      </c>
      <c r="O312" s="824"/>
      <c r="P312" s="824" t="s">
        <v>113</v>
      </c>
      <c r="Q312" s="633"/>
      <c r="R312" s="829">
        <v>45846</v>
      </c>
      <c r="S312" s="829" t="s">
        <v>70</v>
      </c>
      <c r="T312" s="829" t="s">
        <v>1435</v>
      </c>
      <c r="U312" s="829"/>
      <c r="V312" s="829"/>
      <c r="W312" s="829"/>
      <c r="X312" s="822" t="s">
        <v>1436</v>
      </c>
      <c r="Y312" s="828" t="s">
        <v>943</v>
      </c>
      <c r="Z312" s="1306">
        <v>4.1456</v>
      </c>
      <c r="AA312" s="831">
        <f>Z312*I312</f>
        <v>497.472</v>
      </c>
      <c r="AC312" s="632" t="s">
        <v>1437</v>
      </c>
      <c r="AD312" s="633" t="s">
        <v>184</v>
      </c>
      <c r="AE312" s="633" t="s">
        <v>82</v>
      </c>
      <c r="AF312" s="633"/>
      <c r="AG312" s="618"/>
      <c r="AH312" s="618"/>
      <c r="AI312" s="1308">
        <v>120</v>
      </c>
      <c r="AJ312" s="824">
        <f t="shared" si="89"/>
        <v>0</v>
      </c>
      <c r="AK312" s="633"/>
      <c r="AL312" s="633"/>
      <c r="AM312" s="633"/>
      <c r="AN312" s="825">
        <f>I312</f>
        <v>120</v>
      </c>
      <c r="AO312" s="687"/>
      <c r="AP312" s="687"/>
      <c r="AQ312" s="687"/>
      <c r="AR312" s="825"/>
      <c r="AS312" s="687">
        <f>I312</f>
        <v>120</v>
      </c>
      <c r="AT312" s="687"/>
      <c r="AU312" s="825">
        <f t="shared" ref="AU311:AU319" si="93">I312</f>
        <v>120</v>
      </c>
      <c r="AV312" s="825"/>
      <c r="AW312" s="825">
        <f>I312</f>
        <v>120</v>
      </c>
      <c r="AX312" s="825"/>
      <c r="AY312" s="1305"/>
      <c r="AZ312" s="1305"/>
      <c r="BA312" s="1305"/>
      <c r="BB312" s="1305"/>
      <c r="BC312" s="1305"/>
      <c r="BD312" s="1305"/>
      <c r="BE312" s="1305"/>
      <c r="BF312" s="1305"/>
      <c r="BG312" s="1305"/>
      <c r="BH312" s="1305"/>
      <c r="BI312" s="825"/>
      <c r="BJ312" s="1305"/>
      <c r="BK312" s="1305"/>
      <c r="BL312" s="1305"/>
      <c r="BM312" s="1305"/>
      <c r="BN312" s="1305"/>
      <c r="BO312" s="1305"/>
      <c r="BP312" s="1305"/>
    </row>
    <row r="313" s="1265" customFormat="1" ht="31" customHeight="1" spans="1:68">
      <c r="A313" s="1304">
        <v>45826</v>
      </c>
      <c r="B313" s="822" t="s">
        <v>211</v>
      </c>
      <c r="C313" s="633" t="s">
        <v>212</v>
      </c>
      <c r="D313" s="825">
        <v>4500170405</v>
      </c>
      <c r="E313" s="633" t="s">
        <v>1438</v>
      </c>
      <c r="F313" s="1305" t="s">
        <v>1439</v>
      </c>
      <c r="G313" s="659" t="s">
        <v>111</v>
      </c>
      <c r="H313" s="633" t="s">
        <v>112</v>
      </c>
      <c r="I313" s="633">
        <v>368</v>
      </c>
      <c r="J313" s="633">
        <v>0</v>
      </c>
      <c r="K313" s="633">
        <v>16</v>
      </c>
      <c r="L313" s="827">
        <f t="shared" si="76"/>
        <v>23</v>
      </c>
      <c r="M313" s="828">
        <v>45881</v>
      </c>
      <c r="N313" s="828">
        <v>45880</v>
      </c>
      <c r="O313" s="824"/>
      <c r="P313" s="824" t="s">
        <v>113</v>
      </c>
      <c r="Q313" s="633"/>
      <c r="R313" s="829">
        <v>45827</v>
      </c>
      <c r="S313" s="829" t="s">
        <v>70</v>
      </c>
      <c r="T313" s="829">
        <v>45841</v>
      </c>
      <c r="U313" s="829"/>
      <c r="V313" s="829"/>
      <c r="W313" s="829"/>
      <c r="X313" s="822" t="s">
        <v>1440</v>
      </c>
      <c r="Y313" s="828" t="s">
        <v>217</v>
      </c>
      <c r="Z313" s="1306">
        <v>4.2114</v>
      </c>
      <c r="AA313" s="831">
        <f t="shared" ref="AA313:AA322" si="94">Z313*I313</f>
        <v>1549.7952</v>
      </c>
      <c r="AC313" s="1307" t="s">
        <v>1441</v>
      </c>
      <c r="AD313" s="633" t="s">
        <v>111</v>
      </c>
      <c r="AE313" s="633" t="s">
        <v>82</v>
      </c>
      <c r="AF313" s="633"/>
      <c r="AG313" s="618"/>
      <c r="AH313" s="618"/>
      <c r="AI313" s="1308">
        <v>368</v>
      </c>
      <c r="AJ313" s="824">
        <f t="shared" si="89"/>
        <v>0</v>
      </c>
      <c r="AK313" s="633"/>
      <c r="AL313" s="633"/>
      <c r="AM313" s="633"/>
      <c r="AN313" s="825">
        <f t="shared" ref="AN313:AN319" si="95">I313</f>
        <v>368</v>
      </c>
      <c r="AO313" s="687"/>
      <c r="AP313" s="687"/>
      <c r="AQ313" s="687"/>
      <c r="AR313" s="825">
        <f t="shared" ref="AR313:AR319" si="96">I313</f>
        <v>368</v>
      </c>
      <c r="AS313" s="687"/>
      <c r="AT313" s="687"/>
      <c r="AU313" s="825">
        <f t="shared" si="93"/>
        <v>368</v>
      </c>
      <c r="AV313" s="825"/>
      <c r="AW313" s="825">
        <f t="shared" ref="AW313:AW323" si="97">I313</f>
        <v>368</v>
      </c>
      <c r="AX313" s="825"/>
      <c r="AY313" s="1305"/>
      <c r="AZ313" s="1305"/>
      <c r="BA313" s="1305"/>
      <c r="BB313" s="1305"/>
      <c r="BC313" s="1305"/>
      <c r="BD313" s="1305"/>
      <c r="BE313" s="1305"/>
      <c r="BF313" s="1305"/>
      <c r="BG313" s="1305"/>
      <c r="BH313" s="825">
        <f>I313/4</f>
        <v>92</v>
      </c>
      <c r="BI313" s="825"/>
      <c r="BJ313" s="1305"/>
      <c r="BK313" s="1305"/>
      <c r="BL313" s="1305"/>
      <c r="BM313" s="1305"/>
      <c r="BN313" s="1305"/>
      <c r="BO313" s="1305"/>
      <c r="BP313" s="1305"/>
    </row>
    <row r="314" s="1265" customFormat="1" ht="31" customHeight="1" spans="1:68">
      <c r="A314" s="1304">
        <v>45832</v>
      </c>
      <c r="B314" s="822" t="s">
        <v>876</v>
      </c>
      <c r="C314" s="633" t="s">
        <v>98</v>
      </c>
      <c r="D314" s="825">
        <v>4500169184</v>
      </c>
      <c r="E314" s="633" t="s">
        <v>1442</v>
      </c>
      <c r="F314" s="1305" t="s">
        <v>1443</v>
      </c>
      <c r="G314" s="659" t="s">
        <v>207</v>
      </c>
      <c r="H314" s="633" t="s">
        <v>102</v>
      </c>
      <c r="I314" s="633">
        <v>692</v>
      </c>
      <c r="J314" s="633">
        <v>0</v>
      </c>
      <c r="K314" s="633">
        <v>4</v>
      </c>
      <c r="L314" s="827">
        <f t="shared" si="76"/>
        <v>173</v>
      </c>
      <c r="M314" s="828">
        <v>45881</v>
      </c>
      <c r="N314" s="828">
        <v>45881</v>
      </c>
      <c r="O314" s="824" t="s">
        <v>1444</v>
      </c>
      <c r="P314" s="824" t="s">
        <v>113</v>
      </c>
      <c r="Q314" s="633"/>
      <c r="R314" s="829">
        <v>45832</v>
      </c>
      <c r="S314" s="829" t="s">
        <v>70</v>
      </c>
      <c r="T314" s="829" t="s">
        <v>70</v>
      </c>
      <c r="U314" s="829"/>
      <c r="V314" s="829"/>
      <c r="W314" s="829"/>
      <c r="X314" s="822" t="s">
        <v>1445</v>
      </c>
      <c r="Y314" s="828" t="s">
        <v>1446</v>
      </c>
      <c r="Z314" s="1306">
        <v>2.5402</v>
      </c>
      <c r="AA314" s="831">
        <f t="shared" si="94"/>
        <v>1757.8184</v>
      </c>
      <c r="AC314" s="632" t="s">
        <v>1447</v>
      </c>
      <c r="AD314" s="633" t="s">
        <v>207</v>
      </c>
      <c r="AE314" s="618" t="s">
        <v>82</v>
      </c>
      <c r="AF314" s="633"/>
      <c r="AG314" s="618"/>
      <c r="AH314" s="618"/>
      <c r="AI314" s="1308">
        <v>692</v>
      </c>
      <c r="AJ314" s="824">
        <f t="shared" si="89"/>
        <v>0</v>
      </c>
      <c r="AK314" s="633"/>
      <c r="AL314" s="633"/>
      <c r="AM314" s="633"/>
      <c r="AN314" s="825">
        <f t="shared" si="95"/>
        <v>692</v>
      </c>
      <c r="AO314" s="687"/>
      <c r="AP314" s="687"/>
      <c r="AQ314" s="687"/>
      <c r="AR314" s="825">
        <f t="shared" si="96"/>
        <v>692</v>
      </c>
      <c r="AS314" s="687"/>
      <c r="AT314" s="687"/>
      <c r="AU314" s="825">
        <f t="shared" si="93"/>
        <v>692</v>
      </c>
      <c r="AV314" s="825"/>
      <c r="AW314" s="825">
        <f t="shared" si="97"/>
        <v>692</v>
      </c>
      <c r="AX314" s="825"/>
      <c r="AY314" s="1305"/>
      <c r="AZ314" s="1305"/>
      <c r="BA314" s="1305"/>
      <c r="BB314" s="1305"/>
      <c r="BC314" s="1305"/>
      <c r="BD314" s="1305"/>
      <c r="BE314" s="1305"/>
      <c r="BF314" s="1305"/>
      <c r="BG314" s="1305"/>
      <c r="BH314" s="1305"/>
      <c r="BI314" s="825"/>
      <c r="BJ314" s="1305"/>
      <c r="BK314" s="1305"/>
      <c r="BL314" s="1305"/>
      <c r="BM314" s="1305"/>
      <c r="BN314" s="1305"/>
      <c r="BO314" s="1305"/>
      <c r="BP314" s="1305"/>
    </row>
    <row r="315" s="1265" customFormat="1" ht="31" customHeight="1" spans="1:68">
      <c r="A315" s="1304">
        <v>45827</v>
      </c>
      <c r="B315" s="822" t="s">
        <v>143</v>
      </c>
      <c r="C315" s="633" t="s">
        <v>98</v>
      </c>
      <c r="D315" s="825">
        <v>4500170593</v>
      </c>
      <c r="E315" s="1413" t="s">
        <v>1448</v>
      </c>
      <c r="F315" s="1305" t="s">
        <v>1449</v>
      </c>
      <c r="G315" s="659" t="s">
        <v>101</v>
      </c>
      <c r="H315" s="633" t="s">
        <v>102</v>
      </c>
      <c r="I315" s="633">
        <v>1468</v>
      </c>
      <c r="J315" s="633">
        <v>0</v>
      </c>
      <c r="K315" s="633">
        <v>4</v>
      </c>
      <c r="L315" s="827">
        <f t="shared" si="76"/>
        <v>367</v>
      </c>
      <c r="M315" s="828">
        <v>45881</v>
      </c>
      <c r="N315" s="828">
        <v>45885</v>
      </c>
      <c r="O315" s="824"/>
      <c r="P315" s="824" t="s">
        <v>113</v>
      </c>
      <c r="Q315" s="633"/>
      <c r="R315" s="829" t="s">
        <v>147</v>
      </c>
      <c r="S315" s="829" t="s">
        <v>70</v>
      </c>
      <c r="T315" s="829" t="s">
        <v>1393</v>
      </c>
      <c r="U315" s="829"/>
      <c r="V315" s="774" t="s">
        <v>148</v>
      </c>
      <c r="W315" s="829"/>
      <c r="X315" s="822" t="s">
        <v>1450</v>
      </c>
      <c r="Y315" s="828" t="s">
        <v>106</v>
      </c>
      <c r="Z315" s="1306">
        <v>2.58</v>
      </c>
      <c r="AA315" s="831">
        <f t="shared" si="94"/>
        <v>3787.44</v>
      </c>
      <c r="AC315" s="632" t="s">
        <v>1451</v>
      </c>
      <c r="AD315" s="633" t="s">
        <v>101</v>
      </c>
      <c r="AE315" s="633" t="s">
        <v>82</v>
      </c>
      <c r="AF315" s="633"/>
      <c r="AG315" s="618"/>
      <c r="AH315" s="618"/>
      <c r="AI315" s="1308">
        <v>1468</v>
      </c>
      <c r="AJ315" s="824">
        <f t="shared" si="89"/>
        <v>0</v>
      </c>
      <c r="AK315" s="633"/>
      <c r="AL315" s="633"/>
      <c r="AM315" s="633"/>
      <c r="AN315" s="825">
        <f t="shared" si="95"/>
        <v>1468</v>
      </c>
      <c r="AO315" s="687"/>
      <c r="AP315" s="687"/>
      <c r="AQ315" s="687"/>
      <c r="AR315" s="825">
        <f t="shared" si="96"/>
        <v>1468</v>
      </c>
      <c r="AS315" s="687"/>
      <c r="AT315" s="687"/>
      <c r="AU315" s="825">
        <f t="shared" si="93"/>
        <v>1468</v>
      </c>
      <c r="AV315" s="825"/>
      <c r="AW315" s="825">
        <f t="shared" si="97"/>
        <v>1468</v>
      </c>
      <c r="AX315" s="825"/>
      <c r="AY315" s="1305"/>
      <c r="AZ315" s="1305"/>
      <c r="BA315" s="1305"/>
      <c r="BB315" s="1305"/>
      <c r="BC315" s="1305"/>
      <c r="BD315" s="1305"/>
      <c r="BE315" s="1305"/>
      <c r="BF315" s="1305"/>
      <c r="BG315" s="1305"/>
      <c r="BH315" s="825">
        <f t="shared" ref="BH315:BH321" si="98">I315/4</f>
        <v>367</v>
      </c>
      <c r="BI315" s="825"/>
      <c r="BJ315" s="1305"/>
      <c r="BK315" s="1305"/>
      <c r="BL315" s="1305"/>
      <c r="BM315" s="1305"/>
      <c r="BN315" s="1305"/>
      <c r="BO315" s="1305"/>
      <c r="BP315" s="1305"/>
    </row>
    <row r="316" s="1265" customFormat="1" ht="31" customHeight="1" spans="1:68">
      <c r="A316" s="1304">
        <v>45827</v>
      </c>
      <c r="B316" s="822" t="s">
        <v>143</v>
      </c>
      <c r="C316" s="633" t="s">
        <v>98</v>
      </c>
      <c r="D316" s="825">
        <v>4500170593</v>
      </c>
      <c r="E316" s="1413" t="s">
        <v>1452</v>
      </c>
      <c r="F316" s="1305" t="s">
        <v>1453</v>
      </c>
      <c r="G316" s="659" t="s">
        <v>101</v>
      </c>
      <c r="H316" s="633" t="s">
        <v>102</v>
      </c>
      <c r="I316" s="633">
        <v>1476</v>
      </c>
      <c r="J316" s="633">
        <v>0</v>
      </c>
      <c r="K316" s="633">
        <v>4</v>
      </c>
      <c r="L316" s="827">
        <f t="shared" si="76"/>
        <v>369</v>
      </c>
      <c r="M316" s="828">
        <v>45881</v>
      </c>
      <c r="N316" s="828">
        <v>45885</v>
      </c>
      <c r="O316" s="824"/>
      <c r="P316" s="824" t="s">
        <v>113</v>
      </c>
      <c r="Q316" s="633"/>
      <c r="R316" s="829" t="s">
        <v>147</v>
      </c>
      <c r="S316" s="829" t="s">
        <v>70</v>
      </c>
      <c r="T316" s="829" t="s">
        <v>1393</v>
      </c>
      <c r="U316" s="829"/>
      <c r="V316" s="774" t="s">
        <v>148</v>
      </c>
      <c r="W316" s="829"/>
      <c r="X316" s="822" t="s">
        <v>1450</v>
      </c>
      <c r="Y316" s="828" t="s">
        <v>106</v>
      </c>
      <c r="Z316" s="1306">
        <v>2.58</v>
      </c>
      <c r="AA316" s="831">
        <f t="shared" si="94"/>
        <v>3808.08</v>
      </c>
      <c r="AC316" s="632" t="s">
        <v>1454</v>
      </c>
      <c r="AD316" s="633" t="s">
        <v>101</v>
      </c>
      <c r="AE316" s="633" t="s">
        <v>82</v>
      </c>
      <c r="AF316" s="633"/>
      <c r="AG316" s="618"/>
      <c r="AH316" s="618"/>
      <c r="AI316" s="1308">
        <v>1476</v>
      </c>
      <c r="AJ316" s="824">
        <f t="shared" si="89"/>
        <v>0</v>
      </c>
      <c r="AK316" s="633"/>
      <c r="AL316" s="633"/>
      <c r="AM316" s="633"/>
      <c r="AN316" s="825">
        <f t="shared" si="95"/>
        <v>1476</v>
      </c>
      <c r="AO316" s="687"/>
      <c r="AP316" s="687"/>
      <c r="AQ316" s="687"/>
      <c r="AR316" s="825">
        <f t="shared" si="96"/>
        <v>1476</v>
      </c>
      <c r="AS316" s="687"/>
      <c r="AT316" s="687"/>
      <c r="AU316" s="825">
        <f t="shared" si="93"/>
        <v>1476</v>
      </c>
      <c r="AV316" s="825"/>
      <c r="AW316" s="825">
        <f t="shared" si="97"/>
        <v>1476</v>
      </c>
      <c r="AX316" s="825"/>
      <c r="AY316" s="1305"/>
      <c r="AZ316" s="1305"/>
      <c r="BA316" s="1305"/>
      <c r="BB316" s="1305"/>
      <c r="BC316" s="1305"/>
      <c r="BD316" s="1305"/>
      <c r="BE316" s="1305"/>
      <c r="BF316" s="1305"/>
      <c r="BG316" s="1305"/>
      <c r="BH316" s="825">
        <f t="shared" si="98"/>
        <v>369</v>
      </c>
      <c r="BI316" s="825"/>
      <c r="BJ316" s="1305"/>
      <c r="BK316" s="1305"/>
      <c r="BL316" s="1305"/>
      <c r="BM316" s="1305"/>
      <c r="BN316" s="1305"/>
      <c r="BO316" s="1305"/>
      <c r="BP316" s="1305"/>
    </row>
    <row r="317" s="1265" customFormat="1" ht="31" customHeight="1" spans="1:68">
      <c r="A317" s="1304">
        <v>45827</v>
      </c>
      <c r="B317" s="822" t="s">
        <v>143</v>
      </c>
      <c r="C317" s="633" t="s">
        <v>98</v>
      </c>
      <c r="D317" s="825">
        <v>4500170593</v>
      </c>
      <c r="E317" s="1413" t="s">
        <v>1455</v>
      </c>
      <c r="F317" s="1305" t="s">
        <v>1456</v>
      </c>
      <c r="G317" s="659" t="s">
        <v>101</v>
      </c>
      <c r="H317" s="633" t="s">
        <v>102</v>
      </c>
      <c r="I317" s="633">
        <v>992</v>
      </c>
      <c r="J317" s="633">
        <v>0</v>
      </c>
      <c r="K317" s="633">
        <v>4</v>
      </c>
      <c r="L317" s="827">
        <f t="shared" si="76"/>
        <v>248</v>
      </c>
      <c r="M317" s="828">
        <v>45881</v>
      </c>
      <c r="N317" s="828">
        <v>45885</v>
      </c>
      <c r="O317" s="824"/>
      <c r="P317" s="824" t="s">
        <v>113</v>
      </c>
      <c r="Q317" s="633"/>
      <c r="R317" s="829" t="s">
        <v>147</v>
      </c>
      <c r="S317" s="829" t="s">
        <v>70</v>
      </c>
      <c r="T317" s="829" t="s">
        <v>1393</v>
      </c>
      <c r="U317" s="829"/>
      <c r="V317" s="774" t="s">
        <v>148</v>
      </c>
      <c r="W317" s="829"/>
      <c r="X317" s="822" t="s">
        <v>1450</v>
      </c>
      <c r="Y317" s="828" t="s">
        <v>106</v>
      </c>
      <c r="Z317" s="1306">
        <v>2.58</v>
      </c>
      <c r="AA317" s="831">
        <f t="shared" si="94"/>
        <v>2559.36</v>
      </c>
      <c r="AC317" s="632" t="s">
        <v>1457</v>
      </c>
      <c r="AD317" s="633" t="s">
        <v>101</v>
      </c>
      <c r="AE317" s="633" t="s">
        <v>82</v>
      </c>
      <c r="AF317" s="633"/>
      <c r="AG317" s="618"/>
      <c r="AH317" s="618"/>
      <c r="AI317" s="1308">
        <v>992</v>
      </c>
      <c r="AJ317" s="824">
        <f t="shared" si="89"/>
        <v>0</v>
      </c>
      <c r="AK317" s="633"/>
      <c r="AL317" s="633"/>
      <c r="AM317" s="633"/>
      <c r="AN317" s="825">
        <f t="shared" si="95"/>
        <v>992</v>
      </c>
      <c r="AO317" s="687"/>
      <c r="AP317" s="687"/>
      <c r="AQ317" s="687"/>
      <c r="AR317" s="825">
        <f t="shared" si="96"/>
        <v>992</v>
      </c>
      <c r="AS317" s="687"/>
      <c r="AT317" s="687"/>
      <c r="AU317" s="825">
        <f t="shared" si="93"/>
        <v>992</v>
      </c>
      <c r="AV317" s="825"/>
      <c r="AW317" s="825">
        <f t="shared" si="97"/>
        <v>992</v>
      </c>
      <c r="AX317" s="825"/>
      <c r="AY317" s="1305"/>
      <c r="AZ317" s="1305"/>
      <c r="BA317" s="1305"/>
      <c r="BB317" s="1305"/>
      <c r="BC317" s="1305"/>
      <c r="BD317" s="1305"/>
      <c r="BE317" s="1305"/>
      <c r="BF317" s="1305"/>
      <c r="BG317" s="1305"/>
      <c r="BH317" s="825">
        <f t="shared" si="98"/>
        <v>248</v>
      </c>
      <c r="BI317" s="825"/>
      <c r="BJ317" s="1305"/>
      <c r="BK317" s="1305"/>
      <c r="BL317" s="1305"/>
      <c r="BM317" s="1305"/>
      <c r="BN317" s="1305"/>
      <c r="BO317" s="1305"/>
      <c r="BP317" s="1305"/>
    </row>
    <row r="318" s="1265" customFormat="1" ht="31" customHeight="1" spans="1:68">
      <c r="A318" s="1304">
        <v>45827</v>
      </c>
      <c r="B318" s="822" t="s">
        <v>143</v>
      </c>
      <c r="C318" s="633" t="s">
        <v>98</v>
      </c>
      <c r="D318" s="825">
        <v>4500170593</v>
      </c>
      <c r="E318" s="1413" t="s">
        <v>1458</v>
      </c>
      <c r="F318" s="1305" t="s">
        <v>1459</v>
      </c>
      <c r="G318" s="659" t="s">
        <v>101</v>
      </c>
      <c r="H318" s="633" t="s">
        <v>102</v>
      </c>
      <c r="I318" s="633">
        <v>1276</v>
      </c>
      <c r="J318" s="633">
        <v>0</v>
      </c>
      <c r="K318" s="633">
        <v>4</v>
      </c>
      <c r="L318" s="827">
        <f t="shared" si="76"/>
        <v>319</v>
      </c>
      <c r="M318" s="828">
        <v>45881</v>
      </c>
      <c r="N318" s="828">
        <v>45885</v>
      </c>
      <c r="O318" s="824"/>
      <c r="P318" s="824" t="s">
        <v>113</v>
      </c>
      <c r="Q318" s="633"/>
      <c r="R318" s="829" t="s">
        <v>147</v>
      </c>
      <c r="S318" s="829" t="s">
        <v>70</v>
      </c>
      <c r="T318" s="829" t="s">
        <v>1393</v>
      </c>
      <c r="U318" s="829"/>
      <c r="V318" s="774" t="s">
        <v>148</v>
      </c>
      <c r="W318" s="829"/>
      <c r="X318" s="822" t="s">
        <v>1450</v>
      </c>
      <c r="Y318" s="828" t="s">
        <v>106</v>
      </c>
      <c r="Z318" s="1306">
        <v>2.58</v>
      </c>
      <c r="AA318" s="831">
        <f t="shared" si="94"/>
        <v>3292.08</v>
      </c>
      <c r="AC318" s="632" t="s">
        <v>1460</v>
      </c>
      <c r="AD318" s="633" t="s">
        <v>101</v>
      </c>
      <c r="AE318" s="633" t="s">
        <v>82</v>
      </c>
      <c r="AF318" s="633"/>
      <c r="AG318" s="618"/>
      <c r="AH318" s="618"/>
      <c r="AI318" s="1308">
        <v>1276</v>
      </c>
      <c r="AJ318" s="824">
        <f t="shared" si="89"/>
        <v>0</v>
      </c>
      <c r="AK318" s="633"/>
      <c r="AL318" s="633"/>
      <c r="AM318" s="633"/>
      <c r="AN318" s="825">
        <f t="shared" si="95"/>
        <v>1276</v>
      </c>
      <c r="AO318" s="687"/>
      <c r="AP318" s="687"/>
      <c r="AQ318" s="687"/>
      <c r="AR318" s="825">
        <f t="shared" si="96"/>
        <v>1276</v>
      </c>
      <c r="AS318" s="687"/>
      <c r="AT318" s="687"/>
      <c r="AU318" s="825">
        <f t="shared" si="93"/>
        <v>1276</v>
      </c>
      <c r="AV318" s="825"/>
      <c r="AW318" s="825">
        <f t="shared" si="97"/>
        <v>1276</v>
      </c>
      <c r="AX318" s="825"/>
      <c r="AY318" s="1305"/>
      <c r="AZ318" s="1305"/>
      <c r="BA318" s="1305"/>
      <c r="BB318" s="1305"/>
      <c r="BC318" s="1305"/>
      <c r="BD318" s="1305"/>
      <c r="BE318" s="1305"/>
      <c r="BF318" s="1305"/>
      <c r="BG318" s="1305"/>
      <c r="BH318" s="825">
        <f t="shared" si="98"/>
        <v>319</v>
      </c>
      <c r="BI318" s="825"/>
      <c r="BJ318" s="1305"/>
      <c r="BK318" s="1305"/>
      <c r="BL318" s="1305"/>
      <c r="BM318" s="1305"/>
      <c r="BN318" s="1305"/>
      <c r="BO318" s="1305"/>
      <c r="BP318" s="1305"/>
    </row>
    <row r="319" s="1265" customFormat="1" ht="31" customHeight="1" spans="1:68">
      <c r="A319" s="1304">
        <v>45827</v>
      </c>
      <c r="B319" s="822" t="s">
        <v>143</v>
      </c>
      <c r="C319" s="633" t="s">
        <v>98</v>
      </c>
      <c r="D319" s="825">
        <v>4500170593</v>
      </c>
      <c r="E319" s="1413" t="s">
        <v>1461</v>
      </c>
      <c r="F319" s="1305" t="s">
        <v>1462</v>
      </c>
      <c r="G319" s="659" t="s">
        <v>101</v>
      </c>
      <c r="H319" s="633" t="s">
        <v>102</v>
      </c>
      <c r="I319" s="633">
        <v>1200</v>
      </c>
      <c r="J319" s="633">
        <v>0</v>
      </c>
      <c r="K319" s="633">
        <v>4</v>
      </c>
      <c r="L319" s="827">
        <f t="shared" si="76"/>
        <v>300</v>
      </c>
      <c r="M319" s="828">
        <v>45881</v>
      </c>
      <c r="N319" s="828">
        <v>45885</v>
      </c>
      <c r="O319" s="824"/>
      <c r="P319" s="824" t="s">
        <v>113</v>
      </c>
      <c r="Q319" s="633"/>
      <c r="R319" s="829" t="s">
        <v>147</v>
      </c>
      <c r="S319" s="829" t="s">
        <v>70</v>
      </c>
      <c r="T319" s="829" t="s">
        <v>1393</v>
      </c>
      <c r="U319" s="829"/>
      <c r="V319" s="774" t="s">
        <v>148</v>
      </c>
      <c r="W319" s="829"/>
      <c r="X319" s="822" t="s">
        <v>1450</v>
      </c>
      <c r="Y319" s="828" t="s">
        <v>106</v>
      </c>
      <c r="Z319" s="1306">
        <v>2.58</v>
      </c>
      <c r="AA319" s="831">
        <f t="shared" si="94"/>
        <v>3096</v>
      </c>
      <c r="AC319" s="632" t="s">
        <v>1463</v>
      </c>
      <c r="AD319" s="633" t="s">
        <v>101</v>
      </c>
      <c r="AE319" s="633" t="s">
        <v>82</v>
      </c>
      <c r="AF319" s="633"/>
      <c r="AG319" s="618"/>
      <c r="AH319" s="618"/>
      <c r="AI319" s="1308">
        <v>1200</v>
      </c>
      <c r="AJ319" s="824">
        <f t="shared" si="89"/>
        <v>0</v>
      </c>
      <c r="AK319" s="633"/>
      <c r="AL319" s="633"/>
      <c r="AM319" s="633"/>
      <c r="AN319" s="825">
        <f t="shared" si="95"/>
        <v>1200</v>
      </c>
      <c r="AO319" s="687"/>
      <c r="AP319" s="687"/>
      <c r="AQ319" s="687"/>
      <c r="AR319" s="825">
        <f t="shared" si="96"/>
        <v>1200</v>
      </c>
      <c r="AS319" s="687"/>
      <c r="AT319" s="687"/>
      <c r="AU319" s="825">
        <f t="shared" si="93"/>
        <v>1200</v>
      </c>
      <c r="AV319" s="825"/>
      <c r="AW319" s="825">
        <f t="shared" si="97"/>
        <v>1200</v>
      </c>
      <c r="AX319" s="825"/>
      <c r="AY319" s="1305"/>
      <c r="AZ319" s="1305"/>
      <c r="BA319" s="1305"/>
      <c r="BB319" s="1305"/>
      <c r="BC319" s="1305"/>
      <c r="BD319" s="1305"/>
      <c r="BE319" s="1305"/>
      <c r="BF319" s="1305"/>
      <c r="BG319" s="1305"/>
      <c r="BH319" s="825">
        <f t="shared" si="98"/>
        <v>300</v>
      </c>
      <c r="BI319" s="825"/>
      <c r="BJ319" s="1305"/>
      <c r="BK319" s="1305"/>
      <c r="BL319" s="1305"/>
      <c r="BM319" s="1305"/>
      <c r="BN319" s="1305"/>
      <c r="BO319" s="1305"/>
      <c r="BP319" s="1305"/>
    </row>
    <row r="320" s="1265" customFormat="1" ht="31" customHeight="1" spans="1:68">
      <c r="A320" s="1304">
        <v>45828</v>
      </c>
      <c r="B320" s="822" t="s">
        <v>325</v>
      </c>
      <c r="C320" s="633" t="s">
        <v>98</v>
      </c>
      <c r="D320" s="825">
        <v>4500170675</v>
      </c>
      <c r="E320" s="633" t="s">
        <v>1464</v>
      </c>
      <c r="F320" s="1305" t="s">
        <v>1465</v>
      </c>
      <c r="G320" s="659" t="s">
        <v>249</v>
      </c>
      <c r="H320" s="633" t="s">
        <v>250</v>
      </c>
      <c r="I320" s="633">
        <v>1264</v>
      </c>
      <c r="J320" s="633">
        <v>0</v>
      </c>
      <c r="K320" s="633">
        <v>4</v>
      </c>
      <c r="L320" s="827">
        <f t="shared" si="76"/>
        <v>316</v>
      </c>
      <c r="M320" s="828">
        <v>45880</v>
      </c>
      <c r="N320" s="828">
        <v>45878</v>
      </c>
      <c r="O320" s="824"/>
      <c r="P320" s="824" t="s">
        <v>113</v>
      </c>
      <c r="Q320" s="633"/>
      <c r="R320" s="829">
        <v>45846</v>
      </c>
      <c r="S320" s="829" t="s">
        <v>104</v>
      </c>
      <c r="T320" s="829">
        <v>45862</v>
      </c>
      <c r="U320" s="829"/>
      <c r="V320" s="829"/>
      <c r="W320" s="829"/>
      <c r="X320" s="822" t="s">
        <v>1466</v>
      </c>
      <c r="Y320" s="828" t="s">
        <v>252</v>
      </c>
      <c r="Z320" s="1306">
        <v>2.8063</v>
      </c>
      <c r="AA320" s="831">
        <f t="shared" si="94"/>
        <v>3547.1632</v>
      </c>
      <c r="AC320" s="632" t="s">
        <v>1467</v>
      </c>
      <c r="AD320" s="633" t="s">
        <v>249</v>
      </c>
      <c r="AE320" s="633" t="s">
        <v>82</v>
      </c>
      <c r="AF320" s="633"/>
      <c r="AG320" s="618" t="s">
        <v>74</v>
      </c>
      <c r="AH320" s="618"/>
      <c r="AI320" s="1308">
        <v>1264</v>
      </c>
      <c r="AJ320" s="824">
        <f t="shared" si="89"/>
        <v>0</v>
      </c>
      <c r="AK320" s="633"/>
      <c r="AL320" s="633"/>
      <c r="AM320" s="633"/>
      <c r="AN320" s="825"/>
      <c r="AO320" s="687"/>
      <c r="AP320" s="687">
        <f>I320</f>
        <v>1264</v>
      </c>
      <c r="AQ320" s="687"/>
      <c r="AR320" s="825"/>
      <c r="AS320" s="687"/>
      <c r="AT320" s="687"/>
      <c r="AU320" s="825"/>
      <c r="AV320" s="825"/>
      <c r="AW320" s="825">
        <f t="shared" si="97"/>
        <v>1264</v>
      </c>
      <c r="AX320" s="825"/>
      <c r="AY320" s="1305"/>
      <c r="AZ320" s="1305"/>
      <c r="BA320" s="1305"/>
      <c r="BB320" s="1305"/>
      <c r="BC320" s="1305"/>
      <c r="BD320" s="1305"/>
      <c r="BE320" s="1305"/>
      <c r="BF320" s="1305">
        <f>I320</f>
        <v>1264</v>
      </c>
      <c r="BG320" s="1305">
        <f>I320</f>
        <v>1264</v>
      </c>
      <c r="BH320" s="825">
        <f t="shared" si="98"/>
        <v>316</v>
      </c>
      <c r="BI320" s="825"/>
      <c r="BJ320" s="1305"/>
      <c r="BK320" s="1305"/>
      <c r="BL320" s="1305"/>
      <c r="BM320" s="1305"/>
      <c r="BN320" s="1305"/>
      <c r="BO320" s="1305"/>
      <c r="BP320" s="1305"/>
    </row>
    <row r="321" s="1265" customFormat="1" ht="31" customHeight="1" spans="1:68">
      <c r="A321" s="1304">
        <v>45827</v>
      </c>
      <c r="B321" s="822" t="s">
        <v>325</v>
      </c>
      <c r="C321" s="633" t="s">
        <v>98</v>
      </c>
      <c r="D321" s="825">
        <v>4500170533</v>
      </c>
      <c r="E321" s="633" t="s">
        <v>1468</v>
      </c>
      <c r="F321" s="1305" t="s">
        <v>1469</v>
      </c>
      <c r="G321" s="659" t="s">
        <v>249</v>
      </c>
      <c r="H321" s="633" t="s">
        <v>250</v>
      </c>
      <c r="I321" s="633">
        <v>1692</v>
      </c>
      <c r="J321" s="633">
        <v>0</v>
      </c>
      <c r="K321" s="633">
        <v>4</v>
      </c>
      <c r="L321" s="827">
        <f t="shared" ref="L311:L379" si="99">I321/K321</f>
        <v>423</v>
      </c>
      <c r="M321" s="828">
        <v>45880</v>
      </c>
      <c r="N321" s="828">
        <v>45878</v>
      </c>
      <c r="O321" s="824"/>
      <c r="P321" s="824" t="s">
        <v>113</v>
      </c>
      <c r="Q321" s="633"/>
      <c r="R321" s="829">
        <v>45838</v>
      </c>
      <c r="S321" s="829" t="s">
        <v>104</v>
      </c>
      <c r="T321" s="829">
        <v>45862</v>
      </c>
      <c r="U321" s="829"/>
      <c r="V321" s="829"/>
      <c r="W321" s="829"/>
      <c r="X321" s="822" t="s">
        <v>1470</v>
      </c>
      <c r="Y321" s="828" t="s">
        <v>252</v>
      </c>
      <c r="Z321" s="1306">
        <v>2.8095</v>
      </c>
      <c r="AA321" s="831">
        <f t="shared" si="94"/>
        <v>4753.674</v>
      </c>
      <c r="AC321" s="632" t="s">
        <v>1471</v>
      </c>
      <c r="AD321" s="633" t="s">
        <v>249</v>
      </c>
      <c r="AE321" s="633" t="s">
        <v>82</v>
      </c>
      <c r="AF321" s="633"/>
      <c r="AG321" s="618" t="s">
        <v>74</v>
      </c>
      <c r="AH321" s="618"/>
      <c r="AI321" s="1308">
        <v>1692</v>
      </c>
      <c r="AJ321" s="824">
        <f t="shared" si="89"/>
        <v>0</v>
      </c>
      <c r="AK321" s="633"/>
      <c r="AL321" s="633"/>
      <c r="AM321" s="633"/>
      <c r="AN321" s="825"/>
      <c r="AO321" s="687"/>
      <c r="AP321" s="687">
        <f>I321</f>
        <v>1692</v>
      </c>
      <c r="AQ321" s="687"/>
      <c r="AR321" s="825"/>
      <c r="AS321" s="687"/>
      <c r="AT321" s="687"/>
      <c r="AU321" s="825"/>
      <c r="AV321" s="825"/>
      <c r="AW321" s="825">
        <f t="shared" si="97"/>
        <v>1692</v>
      </c>
      <c r="AX321" s="825"/>
      <c r="AY321" s="1305"/>
      <c r="AZ321" s="1305"/>
      <c r="BA321" s="1305"/>
      <c r="BB321" s="1305"/>
      <c r="BC321" s="1305"/>
      <c r="BD321" s="1305"/>
      <c r="BE321" s="1305"/>
      <c r="BF321" s="1305">
        <f>I321</f>
        <v>1692</v>
      </c>
      <c r="BG321" s="1305">
        <f>I321</f>
        <v>1692</v>
      </c>
      <c r="BH321" s="825">
        <f t="shared" si="98"/>
        <v>423</v>
      </c>
      <c r="BI321" s="825"/>
      <c r="BJ321" s="1305"/>
      <c r="BK321" s="1305"/>
      <c r="BL321" s="1305"/>
      <c r="BM321" s="1305"/>
      <c r="BN321" s="1305"/>
      <c r="BO321" s="1305"/>
      <c r="BP321" s="1305"/>
    </row>
    <row r="322" s="1265" customFormat="1" ht="31" customHeight="1" spans="1:68">
      <c r="A322" s="1304">
        <v>45768</v>
      </c>
      <c r="B322" s="822" t="s">
        <v>1472</v>
      </c>
      <c r="C322" s="633" t="s">
        <v>524</v>
      </c>
      <c r="D322" s="825">
        <v>4500167348</v>
      </c>
      <c r="E322" s="633">
        <v>5251217122</v>
      </c>
      <c r="F322" s="1305" t="s">
        <v>1473</v>
      </c>
      <c r="G322" s="659" t="s">
        <v>68</v>
      </c>
      <c r="H322" s="633" t="s">
        <v>69</v>
      </c>
      <c r="I322" s="633">
        <v>3900</v>
      </c>
      <c r="J322" s="633">
        <v>0</v>
      </c>
      <c r="K322" s="633">
        <v>12</v>
      </c>
      <c r="L322" s="827">
        <f t="shared" si="99"/>
        <v>325</v>
      </c>
      <c r="M322" s="828">
        <v>45887</v>
      </c>
      <c r="N322" s="828">
        <v>45883</v>
      </c>
      <c r="O322" s="824" t="s">
        <v>1474</v>
      </c>
      <c r="P322" s="824" t="s">
        <v>113</v>
      </c>
      <c r="Q322" s="633"/>
      <c r="R322" s="829">
        <v>45800</v>
      </c>
      <c r="S322" s="829" t="s">
        <v>70</v>
      </c>
      <c r="T322" s="829">
        <v>45861</v>
      </c>
      <c r="U322" s="829"/>
      <c r="V322" s="829" t="s">
        <v>1475</v>
      </c>
      <c r="W322" s="829" t="s">
        <v>1476</v>
      </c>
      <c r="X322" s="628" t="s">
        <v>1477</v>
      </c>
      <c r="Y322" s="828" t="s">
        <v>340</v>
      </c>
      <c r="Z322" s="1306">
        <v>4.1403</v>
      </c>
      <c r="AA322" s="831">
        <f t="shared" si="94"/>
        <v>16147.17</v>
      </c>
      <c r="AC322" s="1307" t="s">
        <v>1478</v>
      </c>
      <c r="AD322" s="633" t="s">
        <v>184</v>
      </c>
      <c r="AE322" s="633" t="s">
        <v>82</v>
      </c>
      <c r="AF322" s="633"/>
      <c r="AG322" s="618"/>
      <c r="AH322" s="618"/>
      <c r="AI322" s="1308">
        <f>3864+36</f>
        <v>3900</v>
      </c>
      <c r="AJ322" s="824">
        <f t="shared" si="89"/>
        <v>0</v>
      </c>
      <c r="AK322" s="633"/>
      <c r="AL322" s="633"/>
      <c r="AM322" s="633"/>
      <c r="AN322" s="825">
        <f>I322</f>
        <v>3900</v>
      </c>
      <c r="AO322" s="687"/>
      <c r="AP322" s="687"/>
      <c r="AQ322" s="687"/>
      <c r="AR322" s="825"/>
      <c r="AS322" s="687">
        <f>I322</f>
        <v>3900</v>
      </c>
      <c r="AT322" s="687"/>
      <c r="AU322" s="825">
        <f t="shared" ref="AU322:AU327" si="100">I322</f>
        <v>3900</v>
      </c>
      <c r="AV322" s="825"/>
      <c r="AW322" s="551">
        <f t="shared" si="97"/>
        <v>3900</v>
      </c>
      <c r="AX322" s="825"/>
      <c r="AY322" s="1305"/>
      <c r="AZ322" s="1305"/>
      <c r="BA322" s="1305"/>
      <c r="BB322" s="1305"/>
      <c r="BC322" s="1305"/>
      <c r="BD322" s="1305"/>
      <c r="BE322" s="1305"/>
      <c r="BF322" s="1305"/>
      <c r="BG322" s="1305"/>
      <c r="BH322" s="1305"/>
      <c r="BI322" s="825"/>
      <c r="BJ322" s="1305"/>
      <c r="BK322" s="1305"/>
      <c r="BL322" s="1305"/>
      <c r="BM322" s="1305"/>
      <c r="BN322" s="1305"/>
      <c r="BO322" s="1305"/>
      <c r="BP322" s="1305"/>
    </row>
    <row r="323" s="1265" customFormat="1" ht="31" customHeight="1" spans="1:68">
      <c r="A323" s="1304">
        <v>45762</v>
      </c>
      <c r="B323" s="822" t="s">
        <v>1479</v>
      </c>
      <c r="C323" s="633" t="s">
        <v>411</v>
      </c>
      <c r="D323" s="825">
        <v>4500163718</v>
      </c>
      <c r="E323" s="633"/>
      <c r="F323" s="1305" t="s">
        <v>1480</v>
      </c>
      <c r="G323" s="659" t="s">
        <v>66</v>
      </c>
      <c r="H323" s="633" t="s">
        <v>509</v>
      </c>
      <c r="I323" s="633">
        <v>8</v>
      </c>
      <c r="J323" s="633">
        <v>0</v>
      </c>
      <c r="K323" s="633">
        <v>1</v>
      </c>
      <c r="L323" s="827">
        <f t="shared" si="99"/>
        <v>8</v>
      </c>
      <c r="M323" s="828">
        <v>45884</v>
      </c>
      <c r="N323" s="828">
        <v>45880</v>
      </c>
      <c r="O323" s="824"/>
      <c r="P323" s="824" t="s">
        <v>113</v>
      </c>
      <c r="Q323" s="633"/>
      <c r="R323" s="829" t="s">
        <v>1481</v>
      </c>
      <c r="S323" s="829" t="s">
        <v>70</v>
      </c>
      <c r="T323" s="829" t="s">
        <v>1482</v>
      </c>
      <c r="U323" s="829"/>
      <c r="V323" s="829" t="s">
        <v>1483</v>
      </c>
      <c r="W323" s="829"/>
      <c r="X323" s="822" t="s">
        <v>1484</v>
      </c>
      <c r="Y323" s="828" t="s">
        <v>512</v>
      </c>
      <c r="Z323" s="1306">
        <v>0</v>
      </c>
      <c r="AA323" s="831">
        <f>Z323*L323</f>
        <v>0</v>
      </c>
      <c r="AC323" s="1307" t="s">
        <v>1485</v>
      </c>
      <c r="AD323" s="633" t="s">
        <v>514</v>
      </c>
      <c r="AE323" s="633" t="s">
        <v>82</v>
      </c>
      <c r="AF323" s="633"/>
      <c r="AG323" s="618"/>
      <c r="AH323" s="618"/>
      <c r="AI323" s="1308">
        <v>144</v>
      </c>
      <c r="AJ323" s="824">
        <v>0</v>
      </c>
      <c r="AK323" s="633"/>
      <c r="AL323" s="633"/>
      <c r="AM323" s="633"/>
      <c r="AN323" s="825"/>
      <c r="AO323" s="687"/>
      <c r="AP323" s="687"/>
      <c r="AQ323" s="687"/>
      <c r="AR323" s="825"/>
      <c r="AS323" s="687">
        <f>I323</f>
        <v>8</v>
      </c>
      <c r="AT323" s="687"/>
      <c r="AU323" s="825">
        <f t="shared" si="100"/>
        <v>8</v>
      </c>
      <c r="AV323" s="825"/>
      <c r="AW323" s="825">
        <f t="shared" ref="AW323:AW327" si="101">I323</f>
        <v>8</v>
      </c>
      <c r="AX323" s="825"/>
      <c r="AY323" s="1305"/>
      <c r="AZ323" s="1305"/>
      <c r="BA323" s="1305"/>
      <c r="BB323" s="1305"/>
      <c r="BC323" s="1305"/>
      <c r="BD323" s="1305"/>
      <c r="BE323" s="1305"/>
      <c r="BF323" s="1305"/>
      <c r="BG323" s="1305"/>
      <c r="BH323" s="1305"/>
      <c r="BI323" s="825"/>
      <c r="BJ323" s="1305"/>
      <c r="BK323" s="1305"/>
      <c r="BL323" s="1305"/>
      <c r="BM323" s="1305"/>
      <c r="BN323" s="1305"/>
      <c r="BO323" s="1305"/>
      <c r="BP323" s="1305"/>
    </row>
    <row r="324" s="1265" customFormat="1" ht="31" customHeight="1" spans="1:68">
      <c r="A324" s="1304">
        <v>45762</v>
      </c>
      <c r="B324" s="822" t="s">
        <v>1479</v>
      </c>
      <c r="C324" s="633" t="s">
        <v>411</v>
      </c>
      <c r="D324" s="825">
        <v>4500163718</v>
      </c>
      <c r="E324" s="633"/>
      <c r="F324" s="1305" t="s">
        <v>1480</v>
      </c>
      <c r="G324" s="659" t="s">
        <v>515</v>
      </c>
      <c r="H324" s="633" t="s">
        <v>112</v>
      </c>
      <c r="I324" s="633">
        <v>144</v>
      </c>
      <c r="J324" s="633">
        <v>0</v>
      </c>
      <c r="K324" s="633">
        <v>18</v>
      </c>
      <c r="L324" s="827">
        <f t="shared" si="99"/>
        <v>8</v>
      </c>
      <c r="M324" s="828">
        <v>45884</v>
      </c>
      <c r="N324" s="828">
        <v>45880</v>
      </c>
      <c r="O324" s="824"/>
      <c r="P324" s="824" t="s">
        <v>113</v>
      </c>
      <c r="Q324" s="633"/>
      <c r="R324" s="829" t="s">
        <v>1481</v>
      </c>
      <c r="S324" s="829" t="s">
        <v>70</v>
      </c>
      <c r="T324" s="829" t="s">
        <v>1482</v>
      </c>
      <c r="U324" s="829"/>
      <c r="V324" s="829" t="s">
        <v>1483</v>
      </c>
      <c r="W324" s="829"/>
      <c r="X324" s="822" t="s">
        <v>1484</v>
      </c>
      <c r="Y324" s="828" t="s">
        <v>512</v>
      </c>
      <c r="Z324" s="1306">
        <v>172.3098</v>
      </c>
      <c r="AA324" s="831">
        <f>Z324*L324</f>
        <v>1378.4784</v>
      </c>
      <c r="AC324" s="1307" t="s">
        <v>1485</v>
      </c>
      <c r="AD324" s="633" t="s">
        <v>514</v>
      </c>
      <c r="AE324" s="633" t="s">
        <v>82</v>
      </c>
      <c r="AF324" s="633"/>
      <c r="AG324" s="618"/>
      <c r="AH324" s="618"/>
      <c r="AI324" s="1308">
        <v>0</v>
      </c>
      <c r="AJ324" s="824">
        <v>0</v>
      </c>
      <c r="AK324" s="633"/>
      <c r="AL324" s="633"/>
      <c r="AM324" s="633"/>
      <c r="AN324" s="825">
        <f>I324</f>
        <v>144</v>
      </c>
      <c r="AO324" s="687"/>
      <c r="AP324" s="687"/>
      <c r="AQ324" s="687"/>
      <c r="AR324" s="825"/>
      <c r="AS324" s="687">
        <f>I324</f>
        <v>144</v>
      </c>
      <c r="AT324" s="687"/>
      <c r="AU324" s="825">
        <f t="shared" si="100"/>
        <v>144</v>
      </c>
      <c r="AV324" s="825"/>
      <c r="AW324" s="825">
        <f t="shared" si="101"/>
        <v>144</v>
      </c>
      <c r="AX324" s="825"/>
      <c r="AY324" s="1305"/>
      <c r="AZ324" s="1305"/>
      <c r="BA324" s="1305"/>
      <c r="BB324" s="1305"/>
      <c r="BC324" s="1305"/>
      <c r="BD324" s="1305"/>
      <c r="BE324" s="1305"/>
      <c r="BF324" s="1305"/>
      <c r="BG324" s="1305"/>
      <c r="BH324" s="1305"/>
      <c r="BI324" s="825"/>
      <c r="BJ324" s="1305"/>
      <c r="BK324" s="1305"/>
      <c r="BL324" s="1305"/>
      <c r="BM324" s="1305"/>
      <c r="BN324" s="1305"/>
      <c r="BO324" s="1305"/>
      <c r="BP324" s="1305"/>
    </row>
    <row r="325" s="1265" customFormat="1" ht="31" customHeight="1" spans="1:68">
      <c r="A325" s="1304">
        <v>45762</v>
      </c>
      <c r="B325" s="822" t="s">
        <v>1479</v>
      </c>
      <c r="C325" s="633" t="s">
        <v>411</v>
      </c>
      <c r="D325" s="825">
        <v>4500163648</v>
      </c>
      <c r="E325" s="633"/>
      <c r="F325" s="1305" t="s">
        <v>1486</v>
      </c>
      <c r="G325" s="659" t="s">
        <v>66</v>
      </c>
      <c r="H325" s="633" t="s">
        <v>509</v>
      </c>
      <c r="I325" s="633">
        <v>30</v>
      </c>
      <c r="J325" s="633">
        <v>0</v>
      </c>
      <c r="K325" s="633">
        <v>1</v>
      </c>
      <c r="L325" s="827">
        <f t="shared" si="99"/>
        <v>30</v>
      </c>
      <c r="M325" s="828">
        <v>45884</v>
      </c>
      <c r="N325" s="828">
        <v>45880</v>
      </c>
      <c r="O325" s="824"/>
      <c r="P325" s="824" t="s">
        <v>113</v>
      </c>
      <c r="Q325" s="633"/>
      <c r="R325" s="829" t="s">
        <v>1481</v>
      </c>
      <c r="S325" s="829" t="s">
        <v>70</v>
      </c>
      <c r="T325" s="829" t="s">
        <v>1482</v>
      </c>
      <c r="U325" s="829"/>
      <c r="V325" s="829" t="s">
        <v>1483</v>
      </c>
      <c r="W325" s="829"/>
      <c r="X325" s="822" t="s">
        <v>1484</v>
      </c>
      <c r="Y325" s="828" t="s">
        <v>512</v>
      </c>
      <c r="Z325" s="1306"/>
      <c r="AA325" s="831"/>
      <c r="AB325" s="1265"/>
      <c r="AC325" s="1307" t="s">
        <v>1487</v>
      </c>
      <c r="AD325" s="633" t="s">
        <v>514</v>
      </c>
      <c r="AE325" s="633" t="s">
        <v>82</v>
      </c>
      <c r="AF325" s="633"/>
      <c r="AG325" s="618"/>
      <c r="AH325" s="618"/>
      <c r="AI325" s="1308">
        <v>540</v>
      </c>
      <c r="AJ325" s="824">
        <v>0</v>
      </c>
      <c r="AK325" s="633"/>
      <c r="AL325" s="633"/>
      <c r="AM325" s="633"/>
      <c r="AN325" s="825"/>
      <c r="AO325" s="687"/>
      <c r="AP325" s="687"/>
      <c r="AQ325" s="687"/>
      <c r="AR325" s="825"/>
      <c r="AS325" s="687"/>
      <c r="AT325" s="687"/>
      <c r="AU325" s="825">
        <f t="shared" si="100"/>
        <v>30</v>
      </c>
      <c r="AV325" s="825"/>
      <c r="AW325" s="551">
        <f t="shared" si="101"/>
        <v>30</v>
      </c>
      <c r="AX325" s="825"/>
      <c r="AY325" s="1305"/>
      <c r="AZ325" s="1305"/>
      <c r="BA325" s="1305"/>
      <c r="BB325" s="1305"/>
      <c r="BC325" s="1305"/>
      <c r="BD325" s="1305"/>
      <c r="BE325" s="1305"/>
      <c r="BF325" s="1305"/>
      <c r="BG325" s="1305"/>
      <c r="BH325" s="1305"/>
      <c r="BI325" s="825"/>
      <c r="BJ325" s="1305"/>
      <c r="BK325" s="1305"/>
      <c r="BL325" s="1305"/>
      <c r="BM325" s="1305"/>
      <c r="BN325" s="1305"/>
      <c r="BO325" s="1305"/>
      <c r="BP325" s="1305"/>
    </row>
    <row r="326" s="1265" customFormat="1" ht="31" customHeight="1" spans="1:68">
      <c r="A326" s="1304">
        <v>45762</v>
      </c>
      <c r="B326" s="822" t="s">
        <v>1479</v>
      </c>
      <c r="C326" s="633" t="s">
        <v>411</v>
      </c>
      <c r="D326" s="825">
        <v>4500163648</v>
      </c>
      <c r="E326" s="633"/>
      <c r="F326" s="1305" t="s">
        <v>1486</v>
      </c>
      <c r="G326" s="659" t="s">
        <v>515</v>
      </c>
      <c r="H326" s="633" t="s">
        <v>112</v>
      </c>
      <c r="I326" s="633">
        <v>540</v>
      </c>
      <c r="J326" s="633">
        <v>0</v>
      </c>
      <c r="K326" s="633">
        <v>18</v>
      </c>
      <c r="L326" s="827">
        <f t="shared" si="99"/>
        <v>30</v>
      </c>
      <c r="M326" s="828">
        <v>45884</v>
      </c>
      <c r="N326" s="828">
        <v>45880</v>
      </c>
      <c r="O326" s="824"/>
      <c r="P326" s="824" t="s">
        <v>113</v>
      </c>
      <c r="Q326" s="633"/>
      <c r="R326" s="829" t="s">
        <v>1481</v>
      </c>
      <c r="S326" s="829" t="s">
        <v>70</v>
      </c>
      <c r="T326" s="829" t="s">
        <v>1482</v>
      </c>
      <c r="U326" s="829"/>
      <c r="V326" s="829" t="s">
        <v>1483</v>
      </c>
      <c r="W326" s="829"/>
      <c r="X326" s="822" t="s">
        <v>1484</v>
      </c>
      <c r="Y326" s="828" t="s">
        <v>512</v>
      </c>
      <c r="Z326" s="1306">
        <v>172.3098</v>
      </c>
      <c r="AA326" s="831">
        <f>Z326*L326</f>
        <v>5169.294</v>
      </c>
      <c r="AC326" s="1307" t="s">
        <v>1487</v>
      </c>
      <c r="AD326" s="633" t="s">
        <v>514</v>
      </c>
      <c r="AE326" s="633" t="s">
        <v>82</v>
      </c>
      <c r="AF326" s="633"/>
      <c r="AG326" s="618"/>
      <c r="AH326" s="618"/>
      <c r="AI326" s="1308">
        <v>0</v>
      </c>
      <c r="AJ326" s="824">
        <v>0</v>
      </c>
      <c r="AK326" s="633"/>
      <c r="AL326" s="633"/>
      <c r="AM326" s="633"/>
      <c r="AN326" s="825">
        <f>I326</f>
        <v>540</v>
      </c>
      <c r="AO326" s="687"/>
      <c r="AP326" s="687"/>
      <c r="AQ326" s="687"/>
      <c r="AR326" s="825"/>
      <c r="AS326" s="687">
        <f>I326</f>
        <v>540</v>
      </c>
      <c r="AT326" s="687"/>
      <c r="AU326" s="825">
        <f t="shared" si="100"/>
        <v>540</v>
      </c>
      <c r="AV326" s="825"/>
      <c r="AW326" s="825">
        <f t="shared" si="101"/>
        <v>540</v>
      </c>
      <c r="AX326" s="825"/>
      <c r="AY326" s="1305"/>
      <c r="AZ326" s="1305"/>
      <c r="BA326" s="1305"/>
      <c r="BB326" s="1305"/>
      <c r="BC326" s="1305"/>
      <c r="BD326" s="1305"/>
      <c r="BE326" s="1305"/>
      <c r="BF326" s="1305"/>
      <c r="BG326" s="1305"/>
      <c r="BH326" s="1305"/>
      <c r="BI326" s="825"/>
      <c r="BJ326" s="1305"/>
      <c r="BK326" s="1305"/>
      <c r="BL326" s="1305"/>
      <c r="BM326" s="1305"/>
      <c r="BN326" s="1305"/>
      <c r="BO326" s="1305">
        <f>I326/18</f>
        <v>30</v>
      </c>
      <c r="BP326" s="1305"/>
    </row>
    <row r="327" s="1265" customFormat="1" ht="31" customHeight="1" spans="1:68">
      <c r="A327" s="1304">
        <v>45827</v>
      </c>
      <c r="B327" s="822" t="s">
        <v>75</v>
      </c>
      <c r="C327" s="633" t="s">
        <v>76</v>
      </c>
      <c r="D327" s="825">
        <v>4500170550</v>
      </c>
      <c r="E327" s="633" t="s">
        <v>1488</v>
      </c>
      <c r="F327" s="1305" t="s">
        <v>1489</v>
      </c>
      <c r="G327" s="659" t="s">
        <v>111</v>
      </c>
      <c r="H327" s="633" t="s">
        <v>112</v>
      </c>
      <c r="I327" s="633">
        <v>192</v>
      </c>
      <c r="J327" s="633">
        <v>0</v>
      </c>
      <c r="K327" s="633">
        <v>16</v>
      </c>
      <c r="L327" s="827">
        <f t="shared" si="99"/>
        <v>12</v>
      </c>
      <c r="M327" s="828">
        <v>45886</v>
      </c>
      <c r="N327" s="828">
        <v>45884</v>
      </c>
      <c r="O327" s="824"/>
      <c r="P327" s="824" t="s">
        <v>113</v>
      </c>
      <c r="Q327" s="633"/>
      <c r="R327" s="829">
        <v>45827</v>
      </c>
      <c r="S327" s="829" t="s">
        <v>70</v>
      </c>
      <c r="T327" s="829">
        <v>45827</v>
      </c>
      <c r="U327" s="829"/>
      <c r="V327" s="829"/>
      <c r="W327" s="829"/>
      <c r="X327" s="822" t="s">
        <v>1490</v>
      </c>
      <c r="Y327" s="828" t="s">
        <v>80</v>
      </c>
      <c r="Z327" s="1306">
        <v>4.2114</v>
      </c>
      <c r="AA327" s="831">
        <f>Z327*I327</f>
        <v>808.5888</v>
      </c>
      <c r="AC327" s="632" t="s">
        <v>1491</v>
      </c>
      <c r="AD327" s="633" t="s">
        <v>111</v>
      </c>
      <c r="AE327" s="633" t="s">
        <v>82</v>
      </c>
      <c r="AF327" s="633"/>
      <c r="AG327" s="618"/>
      <c r="AH327" s="618"/>
      <c r="AI327" s="1308">
        <v>192</v>
      </c>
      <c r="AJ327" s="824">
        <f>AI327-I327</f>
        <v>0</v>
      </c>
      <c r="AK327" s="633"/>
      <c r="AL327" s="633"/>
      <c r="AM327" s="633"/>
      <c r="AN327" s="825">
        <f>I327</f>
        <v>192</v>
      </c>
      <c r="AO327" s="687"/>
      <c r="AP327" s="687"/>
      <c r="AQ327" s="687"/>
      <c r="AR327" s="825">
        <f>I327</f>
        <v>192</v>
      </c>
      <c r="AS327" s="687"/>
      <c r="AT327" s="687"/>
      <c r="AU327" s="825">
        <f t="shared" si="100"/>
        <v>192</v>
      </c>
      <c r="AV327" s="825"/>
      <c r="AW327" s="825">
        <f t="shared" si="101"/>
        <v>192</v>
      </c>
      <c r="AX327" s="825"/>
      <c r="AY327" s="1305"/>
      <c r="AZ327" s="1305"/>
      <c r="BA327" s="1305"/>
      <c r="BB327" s="1305"/>
      <c r="BC327" s="1305"/>
      <c r="BD327" s="1305"/>
      <c r="BE327" s="1305"/>
      <c r="BF327" s="1305"/>
      <c r="BG327" s="1305"/>
      <c r="BH327" s="825">
        <f>I327/4</f>
        <v>48</v>
      </c>
      <c r="BI327" s="825"/>
      <c r="BJ327" s="1305"/>
      <c r="BK327" s="1305"/>
      <c r="BL327" s="1305"/>
      <c r="BM327" s="1305"/>
      <c r="BN327" s="1305"/>
      <c r="BO327" s="1305"/>
      <c r="BP327" s="1305"/>
    </row>
    <row r="328" s="1265" customFormat="1" ht="31" customHeight="1" spans="1:68">
      <c r="A328" s="1304">
        <v>45678</v>
      </c>
      <c r="B328" s="822" t="s">
        <v>1492</v>
      </c>
      <c r="C328" s="633" t="s">
        <v>98</v>
      </c>
      <c r="D328" s="825">
        <v>4500156322</v>
      </c>
      <c r="E328" s="1413" t="s">
        <v>1493</v>
      </c>
      <c r="F328" s="1305" t="s">
        <v>1494</v>
      </c>
      <c r="G328" s="659" t="s">
        <v>909</v>
      </c>
      <c r="H328" s="633" t="s">
        <v>830</v>
      </c>
      <c r="I328" s="633">
        <v>72</v>
      </c>
      <c r="J328" s="633">
        <v>0</v>
      </c>
      <c r="K328" s="633">
        <v>1</v>
      </c>
      <c r="L328" s="827">
        <f t="shared" si="99"/>
        <v>72</v>
      </c>
      <c r="M328" s="828">
        <v>45888</v>
      </c>
      <c r="N328" s="828">
        <v>45885</v>
      </c>
      <c r="O328" s="824" t="s">
        <v>1495</v>
      </c>
      <c r="P328" s="824" t="s">
        <v>113</v>
      </c>
      <c r="Q328" s="633"/>
      <c r="R328" s="829">
        <v>45832</v>
      </c>
      <c r="S328" s="829" t="s">
        <v>70</v>
      </c>
      <c r="T328" s="829" t="s">
        <v>70</v>
      </c>
      <c r="U328" s="829"/>
      <c r="V328" s="829"/>
      <c r="W328" s="829"/>
      <c r="X328" s="628" t="s">
        <v>1496</v>
      </c>
      <c r="Y328" s="828" t="s">
        <v>911</v>
      </c>
      <c r="Z328" s="1306">
        <v>0</v>
      </c>
      <c r="AA328" s="831">
        <f>Z328*L328</f>
        <v>0</v>
      </c>
      <c r="AC328" s="632" t="s">
        <v>1497</v>
      </c>
      <c r="AD328" s="633" t="s">
        <v>1498</v>
      </c>
      <c r="AE328" s="633" t="s">
        <v>82</v>
      </c>
      <c r="AF328" s="633"/>
      <c r="AG328" s="618"/>
      <c r="AH328" s="618"/>
      <c r="AI328" s="1308">
        <f>640+1960+2800</f>
        <v>5400</v>
      </c>
      <c r="AJ328" s="824">
        <f>AI328-I329</f>
        <v>0</v>
      </c>
      <c r="AK328" s="633"/>
      <c r="AL328" s="633"/>
      <c r="AM328" s="633"/>
      <c r="AN328" s="825"/>
      <c r="AO328" s="687">
        <v>0</v>
      </c>
      <c r="AP328" s="687"/>
      <c r="AQ328" s="687"/>
      <c r="AR328" s="825"/>
      <c r="AS328" s="687"/>
      <c r="AT328" s="687"/>
      <c r="AU328" s="825"/>
      <c r="AV328" s="825"/>
      <c r="AW328" s="825"/>
      <c r="AX328" s="825"/>
      <c r="AY328" s="1305"/>
      <c r="AZ328" s="1305"/>
      <c r="BA328" s="1305"/>
      <c r="BB328" s="1305"/>
      <c r="BC328" s="1305"/>
      <c r="BD328" s="1305"/>
      <c r="BE328" s="1305"/>
      <c r="BF328" s="1305"/>
      <c r="BG328" s="1305"/>
      <c r="BH328" s="1305"/>
      <c r="BI328" s="825"/>
      <c r="BJ328" s="1305"/>
      <c r="BK328" s="1305"/>
      <c r="BL328" s="1305"/>
      <c r="BM328" s="1305"/>
      <c r="BN328" s="1305"/>
      <c r="BO328" s="1305"/>
      <c r="BP328" s="1305"/>
    </row>
    <row r="329" s="1265" customFormat="1" ht="31" customHeight="1" spans="1:68">
      <c r="A329" s="1304">
        <v>45678</v>
      </c>
      <c r="B329" s="822" t="s">
        <v>1492</v>
      </c>
      <c r="C329" s="633" t="s">
        <v>98</v>
      </c>
      <c r="D329" s="825">
        <v>4500156322</v>
      </c>
      <c r="E329" s="1413" t="s">
        <v>1493</v>
      </c>
      <c r="F329" s="1305" t="s">
        <v>1494</v>
      </c>
      <c r="G329" s="659">
        <v>77673</v>
      </c>
      <c r="H329" s="633" t="s">
        <v>112</v>
      </c>
      <c r="I329" s="633">
        <v>5400</v>
      </c>
      <c r="J329" s="633">
        <v>0</v>
      </c>
      <c r="K329" s="633">
        <v>75</v>
      </c>
      <c r="L329" s="827">
        <f t="shared" si="99"/>
        <v>72</v>
      </c>
      <c r="M329" s="828">
        <v>45888</v>
      </c>
      <c r="N329" s="828">
        <v>45885</v>
      </c>
      <c r="O329" s="824" t="s">
        <v>1495</v>
      </c>
      <c r="P329" s="824" t="s">
        <v>113</v>
      </c>
      <c r="Q329" s="633"/>
      <c r="R329" s="829">
        <v>45832</v>
      </c>
      <c r="S329" s="829" t="s">
        <v>70</v>
      </c>
      <c r="T329" s="829" t="s">
        <v>70</v>
      </c>
      <c r="U329" s="829"/>
      <c r="V329" s="829"/>
      <c r="W329" s="829"/>
      <c r="X329" s="822"/>
      <c r="Y329" s="828" t="s">
        <v>911</v>
      </c>
      <c r="Z329" s="1306">
        <v>762.5</v>
      </c>
      <c r="AA329" s="831">
        <f>Z329*L329</f>
        <v>54900</v>
      </c>
      <c r="AC329" s="632" t="s">
        <v>1497</v>
      </c>
      <c r="AD329" s="633" t="s">
        <v>1498</v>
      </c>
      <c r="AE329" s="633" t="s">
        <v>82</v>
      </c>
      <c r="AF329" s="633"/>
      <c r="AG329" s="618"/>
      <c r="AH329" s="618"/>
      <c r="AI329" s="1308">
        <v>0</v>
      </c>
      <c r="AJ329" s="824">
        <v>0</v>
      </c>
      <c r="AK329" s="633"/>
      <c r="AL329" s="633"/>
      <c r="AM329" s="633"/>
      <c r="AN329" s="825"/>
      <c r="AO329" s="687">
        <f>I329</f>
        <v>5400</v>
      </c>
      <c r="AP329" s="687"/>
      <c r="AQ329" s="687"/>
      <c r="AR329" s="825"/>
      <c r="AS329" s="687"/>
      <c r="AT329" s="687"/>
      <c r="AU329" s="825"/>
      <c r="AV329" s="825"/>
      <c r="AW329" s="825"/>
      <c r="AX329" s="825"/>
      <c r="AY329" s="1305"/>
      <c r="AZ329" s="1305"/>
      <c r="BA329" s="1305">
        <f>I329</f>
        <v>5400</v>
      </c>
      <c r="BB329" s="1305">
        <f>I329</f>
        <v>5400</v>
      </c>
      <c r="BC329" s="1305">
        <f>I329</f>
        <v>5400</v>
      </c>
      <c r="BD329" s="1305"/>
      <c r="BE329" s="1305"/>
      <c r="BF329" s="1305"/>
      <c r="BG329" s="1305"/>
      <c r="BH329" s="1305"/>
      <c r="BI329" s="825"/>
      <c r="BJ329" s="1305"/>
      <c r="BK329" s="1305">
        <f>I329</f>
        <v>5400</v>
      </c>
      <c r="BL329" s="1305">
        <f>I329/5</f>
        <v>1080</v>
      </c>
      <c r="BM329" s="1305"/>
      <c r="BN329" s="1305"/>
      <c r="BO329" s="1305"/>
      <c r="BP329" s="1305"/>
    </row>
    <row r="330" s="1265" customFormat="1" ht="31" customHeight="1" spans="1:68">
      <c r="A330" s="1304">
        <v>45828</v>
      </c>
      <c r="B330" s="822" t="s">
        <v>325</v>
      </c>
      <c r="C330" s="633" t="s">
        <v>98</v>
      </c>
      <c r="D330" s="825">
        <v>4500170676</v>
      </c>
      <c r="E330" s="633" t="s">
        <v>1499</v>
      </c>
      <c r="F330" s="1305" t="s">
        <v>1500</v>
      </c>
      <c r="G330" s="659" t="s">
        <v>249</v>
      </c>
      <c r="H330" s="633" t="s">
        <v>250</v>
      </c>
      <c r="I330" s="633">
        <v>1736</v>
      </c>
      <c r="J330" s="633">
        <v>0</v>
      </c>
      <c r="K330" s="633">
        <v>4</v>
      </c>
      <c r="L330" s="827">
        <f t="shared" si="99"/>
        <v>434</v>
      </c>
      <c r="M330" s="828">
        <v>45883</v>
      </c>
      <c r="N330" s="828">
        <v>45880</v>
      </c>
      <c r="O330" s="824"/>
      <c r="P330" s="824" t="s">
        <v>113</v>
      </c>
      <c r="Q330" s="633"/>
      <c r="R330" s="829">
        <v>45854</v>
      </c>
      <c r="S330" s="829" t="s">
        <v>104</v>
      </c>
      <c r="T330" s="829">
        <v>45854</v>
      </c>
      <c r="U330" s="829"/>
      <c r="V330" s="829"/>
      <c r="W330" s="829"/>
      <c r="X330" s="822" t="s">
        <v>1501</v>
      </c>
      <c r="Y330" s="828" t="s">
        <v>252</v>
      </c>
      <c r="Z330" s="1306">
        <v>2.8095</v>
      </c>
      <c r="AA330" s="831">
        <f t="shared" ref="AA330:AA335" si="102">Z330*I330</f>
        <v>4877.292</v>
      </c>
      <c r="AC330" s="632" t="s">
        <v>1502</v>
      </c>
      <c r="AD330" s="633" t="s">
        <v>249</v>
      </c>
      <c r="AE330" s="633" t="s">
        <v>82</v>
      </c>
      <c r="AF330" s="633"/>
      <c r="AG330" s="618" t="s">
        <v>74</v>
      </c>
      <c r="AH330" s="618"/>
      <c r="AI330" s="1308">
        <v>1736</v>
      </c>
      <c r="AJ330" s="824">
        <f t="shared" ref="AJ330:AJ353" si="103">AI330-I330</f>
        <v>0</v>
      </c>
      <c r="AK330" s="633"/>
      <c r="AL330" s="633"/>
      <c r="AM330" s="633"/>
      <c r="AN330" s="825"/>
      <c r="AO330" s="687"/>
      <c r="AP330" s="687">
        <f>I330</f>
        <v>1736</v>
      </c>
      <c r="AQ330" s="687"/>
      <c r="AR330" s="825"/>
      <c r="AS330" s="687"/>
      <c r="AT330" s="687"/>
      <c r="AU330" s="825"/>
      <c r="AV330" s="825"/>
      <c r="AW330" s="825">
        <f t="shared" ref="AW330:AW335" si="104">I330</f>
        <v>1736</v>
      </c>
      <c r="AX330" s="825"/>
      <c r="AY330" s="1305"/>
      <c r="AZ330" s="1305"/>
      <c r="BA330" s="1305"/>
      <c r="BB330" s="1305"/>
      <c r="BC330" s="1305"/>
      <c r="BD330" s="1305"/>
      <c r="BE330" s="1305"/>
      <c r="BF330" s="1305">
        <f>I330</f>
        <v>1736</v>
      </c>
      <c r="BG330" s="1305">
        <f>I330</f>
        <v>1736</v>
      </c>
      <c r="BH330" s="825">
        <f>I330/4</f>
        <v>434</v>
      </c>
      <c r="BI330" s="825"/>
      <c r="BJ330" s="1305"/>
      <c r="BK330" s="1305"/>
      <c r="BL330" s="1305"/>
      <c r="BM330" s="1305"/>
      <c r="BN330" s="1305"/>
      <c r="BO330" s="1305"/>
      <c r="BP330" s="1305"/>
    </row>
    <row r="331" s="1265" customFormat="1" ht="31" customHeight="1" spans="1:68">
      <c r="A331" s="1304">
        <v>45841</v>
      </c>
      <c r="B331" s="822" t="s">
        <v>1503</v>
      </c>
      <c r="C331" s="633" t="s">
        <v>98</v>
      </c>
      <c r="D331" s="825">
        <v>4500172566</v>
      </c>
      <c r="E331" s="633" t="s">
        <v>1504</v>
      </c>
      <c r="F331" s="1305" t="s">
        <v>1505</v>
      </c>
      <c r="G331" s="659" t="s">
        <v>68</v>
      </c>
      <c r="H331" s="633" t="s">
        <v>69</v>
      </c>
      <c r="I331" s="633">
        <v>24360</v>
      </c>
      <c r="J331" s="633">
        <v>0</v>
      </c>
      <c r="K331" s="633">
        <v>12</v>
      </c>
      <c r="L331" s="827">
        <f t="shared" si="99"/>
        <v>2030</v>
      </c>
      <c r="M331" s="828">
        <v>45887</v>
      </c>
      <c r="N331" s="828">
        <v>45883</v>
      </c>
      <c r="O331" s="824"/>
      <c r="P331" s="824" t="s">
        <v>113</v>
      </c>
      <c r="Q331" s="633"/>
      <c r="R331" s="829">
        <v>45841</v>
      </c>
      <c r="S331" s="829" t="s">
        <v>104</v>
      </c>
      <c r="T331" s="829">
        <v>45868</v>
      </c>
      <c r="U331" s="829"/>
      <c r="V331" s="829"/>
      <c r="W331" s="829"/>
      <c r="X331" s="822" t="s">
        <v>1506</v>
      </c>
      <c r="Y331" s="828" t="s">
        <v>1507</v>
      </c>
      <c r="Z331" s="1306">
        <v>2.4778</v>
      </c>
      <c r="AA331" s="831">
        <f t="shared" si="102"/>
        <v>60359.208</v>
      </c>
      <c r="AC331" s="632" t="s">
        <v>1508</v>
      </c>
      <c r="AD331" s="633" t="s">
        <v>68</v>
      </c>
      <c r="AE331" s="633" t="s">
        <v>82</v>
      </c>
      <c r="AF331" s="633"/>
      <c r="AG331" s="618"/>
      <c r="AH331" s="618"/>
      <c r="AI331" s="1308">
        <f>84+24276</f>
        <v>24360</v>
      </c>
      <c r="AJ331" s="824">
        <f t="shared" si="103"/>
        <v>0</v>
      </c>
      <c r="AK331" s="633"/>
      <c r="AL331" s="633"/>
      <c r="AM331" s="633"/>
      <c r="AN331" s="825">
        <f>I331</f>
        <v>24360</v>
      </c>
      <c r="AO331" s="687"/>
      <c r="AP331" s="687"/>
      <c r="AQ331" s="687"/>
      <c r="AR331" s="825">
        <f>I331</f>
        <v>24360</v>
      </c>
      <c r="AS331" s="687"/>
      <c r="AT331" s="687"/>
      <c r="AU331" s="825">
        <f>I331</f>
        <v>24360</v>
      </c>
      <c r="AV331" s="825"/>
      <c r="AW331" s="825">
        <f t="shared" si="104"/>
        <v>24360</v>
      </c>
      <c r="AX331" s="825"/>
      <c r="AY331" s="1305"/>
      <c r="AZ331" s="1305"/>
      <c r="BA331" s="1305"/>
      <c r="BB331" s="1305"/>
      <c r="BC331" s="1305"/>
      <c r="BD331" s="1305"/>
      <c r="BE331" s="1305"/>
      <c r="BF331" s="1305"/>
      <c r="BG331" s="1305"/>
      <c r="BH331" s="1305"/>
      <c r="BI331" s="825"/>
      <c r="BJ331" s="1305"/>
      <c r="BK331" s="1305"/>
      <c r="BL331" s="1305"/>
      <c r="BM331" s="1305"/>
      <c r="BN331" s="1305"/>
      <c r="BO331" s="1305"/>
      <c r="BP331" s="1305"/>
    </row>
    <row r="332" s="1265" customFormat="1" ht="31" customHeight="1" spans="1:68">
      <c r="A332" s="1304">
        <v>45826</v>
      </c>
      <c r="B332" s="822" t="s">
        <v>169</v>
      </c>
      <c r="C332" s="633" t="s">
        <v>170</v>
      </c>
      <c r="D332" s="825">
        <v>4500170471</v>
      </c>
      <c r="E332" s="633">
        <v>2700951954</v>
      </c>
      <c r="F332" s="1305" t="s">
        <v>1509</v>
      </c>
      <c r="G332" s="659" t="s">
        <v>172</v>
      </c>
      <c r="H332" s="633" t="s">
        <v>112</v>
      </c>
      <c r="I332" s="633">
        <v>1300</v>
      </c>
      <c r="J332" s="633">
        <v>0</v>
      </c>
      <c r="K332" s="633">
        <v>2</v>
      </c>
      <c r="L332" s="827">
        <f t="shared" si="99"/>
        <v>650</v>
      </c>
      <c r="M332" s="828">
        <v>45889</v>
      </c>
      <c r="N332" s="828">
        <v>45887</v>
      </c>
      <c r="O332" s="824" t="s">
        <v>1510</v>
      </c>
      <c r="P332" s="824" t="s">
        <v>113</v>
      </c>
      <c r="Q332" s="633"/>
      <c r="R332" s="829">
        <v>45845</v>
      </c>
      <c r="S332" s="829" t="s">
        <v>70</v>
      </c>
      <c r="T332" s="829" t="s">
        <v>1511</v>
      </c>
      <c r="U332" s="829"/>
      <c r="V332" s="829"/>
      <c r="W332" s="829"/>
      <c r="X332" s="822" t="s">
        <v>1512</v>
      </c>
      <c r="Y332" s="828" t="s">
        <v>175</v>
      </c>
      <c r="Z332" s="1306">
        <v>4.2018</v>
      </c>
      <c r="AA332" s="831">
        <f t="shared" si="102"/>
        <v>5462.34</v>
      </c>
      <c r="AC332" s="636" t="s">
        <v>1513</v>
      </c>
      <c r="AD332" s="633" t="s">
        <v>172</v>
      </c>
      <c r="AE332" s="633" t="s">
        <v>82</v>
      </c>
      <c r="AF332" s="633"/>
      <c r="AG332" s="618"/>
      <c r="AH332" s="618"/>
      <c r="AI332" s="1308">
        <v>1300</v>
      </c>
      <c r="AJ332" s="824">
        <f t="shared" si="103"/>
        <v>0</v>
      </c>
      <c r="AK332" s="633"/>
      <c r="AL332" s="633"/>
      <c r="AM332" s="633"/>
      <c r="AN332" s="825">
        <f>I332</f>
        <v>1300</v>
      </c>
      <c r="AO332" s="687"/>
      <c r="AP332" s="687"/>
      <c r="AQ332" s="687"/>
      <c r="AR332" s="825"/>
      <c r="AS332" s="687">
        <f>I332</f>
        <v>1300</v>
      </c>
      <c r="AT332" s="687"/>
      <c r="AU332" s="825">
        <f>I332</f>
        <v>1300</v>
      </c>
      <c r="AV332" s="825"/>
      <c r="AW332" s="825">
        <f t="shared" si="104"/>
        <v>1300</v>
      </c>
      <c r="AX332" s="825"/>
      <c r="AY332" s="1305"/>
      <c r="AZ332" s="1305"/>
      <c r="BA332" s="1305"/>
      <c r="BB332" s="1305"/>
      <c r="BC332" s="1305"/>
      <c r="BD332" s="1305"/>
      <c r="BE332" s="1305"/>
      <c r="BF332" s="1305"/>
      <c r="BG332" s="1305"/>
      <c r="BH332" s="1305"/>
      <c r="BI332" s="825"/>
      <c r="BJ332" s="1305"/>
      <c r="BK332" s="1305"/>
      <c r="BL332" s="1305"/>
      <c r="BM332" s="1305"/>
      <c r="BN332" s="1305"/>
      <c r="BO332" s="1305"/>
      <c r="BP332" s="1305"/>
    </row>
    <row r="333" s="1265" customFormat="1" ht="31" customHeight="1" spans="1:68">
      <c r="A333" s="1304">
        <v>45828</v>
      </c>
      <c r="B333" s="822" t="s">
        <v>143</v>
      </c>
      <c r="C333" s="633" t="s">
        <v>98</v>
      </c>
      <c r="D333" s="825">
        <v>4500170698</v>
      </c>
      <c r="E333" s="1413" t="s">
        <v>1514</v>
      </c>
      <c r="F333" s="1305" t="s">
        <v>1515</v>
      </c>
      <c r="G333" s="659" t="s">
        <v>101</v>
      </c>
      <c r="H333" s="633" t="s">
        <v>102</v>
      </c>
      <c r="I333" s="633">
        <v>1780</v>
      </c>
      <c r="J333" s="633">
        <v>0</v>
      </c>
      <c r="K333" s="633">
        <v>4</v>
      </c>
      <c r="L333" s="827">
        <f t="shared" si="99"/>
        <v>445</v>
      </c>
      <c r="M333" s="828">
        <v>45890</v>
      </c>
      <c r="N333" s="828">
        <v>45887</v>
      </c>
      <c r="O333" s="824"/>
      <c r="P333" s="824" t="s">
        <v>113</v>
      </c>
      <c r="Q333" s="633"/>
      <c r="R333" s="829" t="s">
        <v>147</v>
      </c>
      <c r="S333" s="829" t="s">
        <v>70</v>
      </c>
      <c r="T333" s="829" t="s">
        <v>1516</v>
      </c>
      <c r="U333" s="829"/>
      <c r="V333" s="774" t="s">
        <v>148</v>
      </c>
      <c r="W333" s="829"/>
      <c r="X333" s="822" t="s">
        <v>1395</v>
      </c>
      <c r="Y333" s="828" t="s">
        <v>106</v>
      </c>
      <c r="Z333" s="1306">
        <v>2.58</v>
      </c>
      <c r="AA333" s="831">
        <f t="shared" si="102"/>
        <v>4592.4</v>
      </c>
      <c r="AC333" s="632" t="s">
        <v>1517</v>
      </c>
      <c r="AD333" s="633" t="s">
        <v>101</v>
      </c>
      <c r="AE333" s="633" t="s">
        <v>82</v>
      </c>
      <c r="AF333" s="633"/>
      <c r="AG333" s="618"/>
      <c r="AH333" s="618"/>
      <c r="AI333" s="1308">
        <v>1780</v>
      </c>
      <c r="AJ333" s="824">
        <f t="shared" si="103"/>
        <v>0</v>
      </c>
      <c r="AK333" s="633"/>
      <c r="AL333" s="633"/>
      <c r="AM333" s="633"/>
      <c r="AN333" s="825">
        <f>I333</f>
        <v>1780</v>
      </c>
      <c r="AO333" s="687"/>
      <c r="AP333" s="687"/>
      <c r="AQ333" s="687"/>
      <c r="AR333" s="825">
        <f>I333</f>
        <v>1780</v>
      </c>
      <c r="AS333" s="687"/>
      <c r="AT333" s="687"/>
      <c r="AU333" s="825">
        <f>I333</f>
        <v>1780</v>
      </c>
      <c r="AV333" s="825"/>
      <c r="AW333" s="825">
        <f t="shared" si="104"/>
        <v>1780</v>
      </c>
      <c r="AX333" s="825"/>
      <c r="AY333" s="1305"/>
      <c r="AZ333" s="1305"/>
      <c r="BA333" s="1305"/>
      <c r="BB333" s="1305"/>
      <c r="BC333" s="1305"/>
      <c r="BD333" s="1305"/>
      <c r="BE333" s="1305"/>
      <c r="BF333" s="1305"/>
      <c r="BG333" s="1305"/>
      <c r="BH333" s="825">
        <f>I333/4</f>
        <v>445</v>
      </c>
      <c r="BI333" s="825"/>
      <c r="BJ333" s="1305"/>
      <c r="BK333" s="1305"/>
      <c r="BL333" s="1305"/>
      <c r="BM333" s="1305"/>
      <c r="BN333" s="1305"/>
      <c r="BO333" s="1305"/>
      <c r="BP333" s="1305"/>
    </row>
    <row r="334" s="1265" customFormat="1" ht="31" customHeight="1" spans="1:68">
      <c r="A334" s="1304">
        <v>45828</v>
      </c>
      <c r="B334" s="822" t="s">
        <v>143</v>
      </c>
      <c r="C334" s="633" t="s">
        <v>98</v>
      </c>
      <c r="D334" s="825">
        <v>4500170698</v>
      </c>
      <c r="E334" s="1413" t="s">
        <v>1518</v>
      </c>
      <c r="F334" s="1305" t="s">
        <v>1519</v>
      </c>
      <c r="G334" s="659" t="s">
        <v>101</v>
      </c>
      <c r="H334" s="633" t="s">
        <v>102</v>
      </c>
      <c r="I334" s="633">
        <v>1472</v>
      </c>
      <c r="J334" s="633">
        <v>0</v>
      </c>
      <c r="K334" s="633">
        <v>4</v>
      </c>
      <c r="L334" s="827">
        <f t="shared" si="99"/>
        <v>368</v>
      </c>
      <c r="M334" s="828">
        <v>45890</v>
      </c>
      <c r="N334" s="828">
        <v>45887</v>
      </c>
      <c r="O334" s="824"/>
      <c r="P334" s="824" t="s">
        <v>113</v>
      </c>
      <c r="Q334" s="633"/>
      <c r="R334" s="829" t="s">
        <v>147</v>
      </c>
      <c r="S334" s="829" t="s">
        <v>70</v>
      </c>
      <c r="T334" s="829" t="s">
        <v>1516</v>
      </c>
      <c r="U334" s="829"/>
      <c r="V334" s="774" t="s">
        <v>148</v>
      </c>
      <c r="W334" s="829"/>
      <c r="X334" s="822" t="s">
        <v>1395</v>
      </c>
      <c r="Y334" s="828" t="s">
        <v>106</v>
      </c>
      <c r="Z334" s="1306">
        <v>2.58</v>
      </c>
      <c r="AA334" s="831">
        <f t="shared" si="102"/>
        <v>3797.76</v>
      </c>
      <c r="AC334" s="632" t="s">
        <v>1520</v>
      </c>
      <c r="AD334" s="633" t="s">
        <v>101</v>
      </c>
      <c r="AE334" s="633" t="s">
        <v>82</v>
      </c>
      <c r="AF334" s="633"/>
      <c r="AG334" s="618"/>
      <c r="AH334" s="618"/>
      <c r="AI334" s="1308">
        <v>1472</v>
      </c>
      <c r="AJ334" s="824">
        <f t="shared" si="103"/>
        <v>0</v>
      </c>
      <c r="AK334" s="633"/>
      <c r="AL334" s="633"/>
      <c r="AM334" s="633"/>
      <c r="AN334" s="825">
        <f>I334</f>
        <v>1472</v>
      </c>
      <c r="AO334" s="687"/>
      <c r="AP334" s="687"/>
      <c r="AQ334" s="687"/>
      <c r="AR334" s="825">
        <f>I334</f>
        <v>1472</v>
      </c>
      <c r="AS334" s="687"/>
      <c r="AT334" s="687"/>
      <c r="AU334" s="825">
        <f>I334</f>
        <v>1472</v>
      </c>
      <c r="AV334" s="825"/>
      <c r="AW334" s="825">
        <f t="shared" si="104"/>
        <v>1472</v>
      </c>
      <c r="AX334" s="825"/>
      <c r="AY334" s="1305"/>
      <c r="AZ334" s="1305"/>
      <c r="BA334" s="1305"/>
      <c r="BB334" s="1305"/>
      <c r="BC334" s="1305"/>
      <c r="BD334" s="1305"/>
      <c r="BE334" s="1305"/>
      <c r="BF334" s="1305"/>
      <c r="BG334" s="1305"/>
      <c r="BH334" s="825">
        <f>I334/4</f>
        <v>368</v>
      </c>
      <c r="BI334" s="825"/>
      <c r="BJ334" s="1305"/>
      <c r="BK334" s="1305"/>
      <c r="BL334" s="1305"/>
      <c r="BM334" s="1305"/>
      <c r="BN334" s="1305"/>
      <c r="BO334" s="1305"/>
      <c r="BP334" s="1305"/>
    </row>
    <row r="335" s="1265" customFormat="1" ht="31" customHeight="1" spans="1:68">
      <c r="A335" s="1304">
        <v>45838</v>
      </c>
      <c r="B335" s="822" t="s">
        <v>404</v>
      </c>
      <c r="C335" s="633" t="s">
        <v>278</v>
      </c>
      <c r="D335" s="825">
        <v>4500164293</v>
      </c>
      <c r="E335" s="633">
        <v>240199</v>
      </c>
      <c r="F335" s="1305" t="s">
        <v>1521</v>
      </c>
      <c r="G335" s="659" t="s">
        <v>68</v>
      </c>
      <c r="H335" s="633" t="s">
        <v>69</v>
      </c>
      <c r="I335" s="633">
        <v>108</v>
      </c>
      <c r="J335" s="633">
        <v>0</v>
      </c>
      <c r="K335" s="633">
        <v>12</v>
      </c>
      <c r="L335" s="827">
        <f t="shared" si="99"/>
        <v>9</v>
      </c>
      <c r="M335" s="828">
        <v>45891</v>
      </c>
      <c r="N335" s="828">
        <v>45887</v>
      </c>
      <c r="O335" s="824"/>
      <c r="P335" s="824" t="s">
        <v>113</v>
      </c>
      <c r="Q335" s="633"/>
      <c r="R335" s="829">
        <v>45838</v>
      </c>
      <c r="S335" s="829" t="s">
        <v>70</v>
      </c>
      <c r="T335" s="829">
        <v>45838</v>
      </c>
      <c r="U335" s="829"/>
      <c r="V335" s="829"/>
      <c r="W335" s="829"/>
      <c r="X335" s="822" t="s">
        <v>1522</v>
      </c>
      <c r="Y335" s="828" t="s">
        <v>970</v>
      </c>
      <c r="Z335" s="1306">
        <v>4.1456</v>
      </c>
      <c r="AA335" s="831">
        <f t="shared" si="102"/>
        <v>447.7248</v>
      </c>
      <c r="AC335" s="1307" t="s">
        <v>1523</v>
      </c>
      <c r="AD335" s="633" t="s">
        <v>68</v>
      </c>
      <c r="AE335" s="633" t="s">
        <v>82</v>
      </c>
      <c r="AF335" s="633"/>
      <c r="AG335" s="618"/>
      <c r="AH335" s="618"/>
      <c r="AI335" s="1308">
        <v>108</v>
      </c>
      <c r="AJ335" s="824">
        <f t="shared" si="103"/>
        <v>0</v>
      </c>
      <c r="AK335" s="633"/>
      <c r="AL335" s="633"/>
      <c r="AM335" s="633"/>
      <c r="AN335" s="825">
        <f>I335</f>
        <v>108</v>
      </c>
      <c r="AO335" s="687"/>
      <c r="AP335" s="687"/>
      <c r="AQ335" s="687"/>
      <c r="AR335" s="825">
        <f>I335</f>
        <v>108</v>
      </c>
      <c r="AS335" s="687"/>
      <c r="AT335" s="687"/>
      <c r="AU335" s="825">
        <f>I335</f>
        <v>108</v>
      </c>
      <c r="AV335" s="825"/>
      <c r="AW335" s="825">
        <f t="shared" si="104"/>
        <v>108</v>
      </c>
      <c r="AX335" s="825"/>
      <c r="AY335" s="1305"/>
      <c r="AZ335" s="1305"/>
      <c r="BA335" s="1305"/>
      <c r="BB335" s="1305"/>
      <c r="BC335" s="1305"/>
      <c r="BD335" s="1305"/>
      <c r="BE335" s="1305"/>
      <c r="BF335" s="1305"/>
      <c r="BG335" s="1305"/>
      <c r="BH335" s="1305"/>
      <c r="BI335" s="825"/>
      <c r="BJ335" s="1305"/>
      <c r="BK335" s="1305"/>
      <c r="BL335" s="1305"/>
      <c r="BM335" s="1305"/>
      <c r="BN335" s="1305"/>
      <c r="BO335" s="1305"/>
      <c r="BP335" s="1305"/>
    </row>
    <row r="336" s="1265" customFormat="1" ht="31" customHeight="1" spans="1:68">
      <c r="A336" s="1304">
        <v>45827</v>
      </c>
      <c r="B336" s="822" t="s">
        <v>325</v>
      </c>
      <c r="C336" s="633" t="s">
        <v>98</v>
      </c>
      <c r="D336" s="825">
        <v>4500170547</v>
      </c>
      <c r="E336" s="633" t="s">
        <v>1524</v>
      </c>
      <c r="F336" s="1305" t="s">
        <v>1525</v>
      </c>
      <c r="G336" s="659" t="s">
        <v>249</v>
      </c>
      <c r="H336" s="633" t="s">
        <v>250</v>
      </c>
      <c r="I336" s="633">
        <v>6432</v>
      </c>
      <c r="J336" s="633">
        <v>0</v>
      </c>
      <c r="K336" s="633">
        <v>4</v>
      </c>
      <c r="L336" s="827">
        <f t="shared" si="99"/>
        <v>1608</v>
      </c>
      <c r="M336" s="828">
        <v>45889</v>
      </c>
      <c r="N336" s="828">
        <v>45887</v>
      </c>
      <c r="O336" s="824"/>
      <c r="P336" s="824" t="s">
        <v>113</v>
      </c>
      <c r="Q336" s="633"/>
      <c r="R336" s="829">
        <v>45838</v>
      </c>
      <c r="S336" s="829" t="s">
        <v>104</v>
      </c>
      <c r="T336" s="829">
        <v>45881</v>
      </c>
      <c r="U336" s="829"/>
      <c r="V336" s="829"/>
      <c r="W336" s="829"/>
      <c r="X336" s="822" t="s">
        <v>1258</v>
      </c>
      <c r="Y336" s="828" t="s">
        <v>252</v>
      </c>
      <c r="Z336" s="1306">
        <v>2.7951</v>
      </c>
      <c r="AA336" s="831">
        <f t="shared" ref="AA336:AA352" si="105">Z336*I336</f>
        <v>17978.0832</v>
      </c>
      <c r="AC336" s="632" t="s">
        <v>1526</v>
      </c>
      <c r="AD336" s="633" t="s">
        <v>249</v>
      </c>
      <c r="AE336" s="633" t="s">
        <v>82</v>
      </c>
      <c r="AF336" s="633"/>
      <c r="AG336" s="618" t="s">
        <v>74</v>
      </c>
      <c r="AH336" s="618"/>
      <c r="AI336" s="1308">
        <f>4320+2112</f>
        <v>6432</v>
      </c>
      <c r="AJ336" s="824">
        <f t="shared" si="103"/>
        <v>0</v>
      </c>
      <c r="AK336" s="633"/>
      <c r="AL336" s="633"/>
      <c r="AM336" s="633"/>
      <c r="AN336" s="825"/>
      <c r="AO336" s="687"/>
      <c r="AP336" s="687">
        <f>I336</f>
        <v>6432</v>
      </c>
      <c r="AQ336" s="687"/>
      <c r="AR336" s="825"/>
      <c r="AS336" s="687"/>
      <c r="AT336" s="687"/>
      <c r="AU336" s="825"/>
      <c r="AV336" s="825"/>
      <c r="AW336" s="825">
        <f t="shared" ref="AW336:AW354" si="106">I336</f>
        <v>6432</v>
      </c>
      <c r="AX336" s="825"/>
      <c r="AY336" s="1305"/>
      <c r="AZ336" s="1305"/>
      <c r="BA336" s="1305"/>
      <c r="BB336" s="1305"/>
      <c r="BC336" s="1305"/>
      <c r="BD336" s="1305"/>
      <c r="BE336" s="1305"/>
      <c r="BF336" s="1305">
        <f>I336</f>
        <v>6432</v>
      </c>
      <c r="BG336" s="1305">
        <f>I336</f>
        <v>6432</v>
      </c>
      <c r="BH336" s="825">
        <f>I336/4</f>
        <v>1608</v>
      </c>
      <c r="BI336" s="825"/>
      <c r="BJ336" s="1305"/>
      <c r="BK336" s="1305"/>
      <c r="BL336" s="1305"/>
      <c r="BM336" s="1305"/>
      <c r="BN336" s="1305"/>
      <c r="BO336" s="1305"/>
      <c r="BP336" s="1305"/>
    </row>
    <row r="337" s="1265" customFormat="1" ht="31" customHeight="1" spans="1:68">
      <c r="A337" s="1304">
        <v>45831</v>
      </c>
      <c r="B337" s="822" t="s">
        <v>135</v>
      </c>
      <c r="C337" s="633" t="s">
        <v>128</v>
      </c>
      <c r="D337" s="825">
        <v>4500170993</v>
      </c>
      <c r="E337" s="633">
        <v>20862334</v>
      </c>
      <c r="F337" s="1305" t="s">
        <v>1527</v>
      </c>
      <c r="G337" s="659" t="s">
        <v>518</v>
      </c>
      <c r="H337" s="633" t="s">
        <v>477</v>
      </c>
      <c r="I337" s="633">
        <v>1350</v>
      </c>
      <c r="J337" s="633">
        <v>0</v>
      </c>
      <c r="K337" s="633">
        <v>6</v>
      </c>
      <c r="L337" s="827">
        <f t="shared" si="99"/>
        <v>225</v>
      </c>
      <c r="M337" s="828">
        <v>45891</v>
      </c>
      <c r="N337" s="828">
        <v>45887</v>
      </c>
      <c r="O337" s="824"/>
      <c r="P337" s="824" t="s">
        <v>113</v>
      </c>
      <c r="Q337" s="633"/>
      <c r="R337" s="829">
        <v>45828</v>
      </c>
      <c r="S337" s="829" t="s">
        <v>104</v>
      </c>
      <c r="T337" s="829" t="s">
        <v>1303</v>
      </c>
      <c r="U337" s="829"/>
      <c r="V337" s="829"/>
      <c r="W337" s="829"/>
      <c r="X337" s="628" t="s">
        <v>1528</v>
      </c>
      <c r="Y337" s="828" t="s">
        <v>133</v>
      </c>
      <c r="Z337" s="1306">
        <v>7.0773</v>
      </c>
      <c r="AA337" s="831">
        <f t="shared" si="105"/>
        <v>9554.355</v>
      </c>
      <c r="AC337" s="1313" t="s">
        <v>1529</v>
      </c>
      <c r="AD337" s="633" t="s">
        <v>1306</v>
      </c>
      <c r="AE337" s="633" t="s">
        <v>82</v>
      </c>
      <c r="AF337" s="633"/>
      <c r="AG337" s="618"/>
      <c r="AH337" s="618"/>
      <c r="AI337" s="1308">
        <v>1350</v>
      </c>
      <c r="AJ337" s="824">
        <f t="shared" si="103"/>
        <v>0</v>
      </c>
      <c r="AK337" s="633"/>
      <c r="AL337" s="633"/>
      <c r="AM337" s="633"/>
      <c r="AN337" s="825">
        <f t="shared" ref="AN337:AN349" si="107">I337</f>
        <v>1350</v>
      </c>
      <c r="AO337" s="687"/>
      <c r="AP337" s="687"/>
      <c r="AQ337" s="687"/>
      <c r="AR337" s="825">
        <f>I337</f>
        <v>1350</v>
      </c>
      <c r="AS337" s="687"/>
      <c r="AT337" s="687"/>
      <c r="AU337" s="825">
        <f>I337</f>
        <v>1350</v>
      </c>
      <c r="AV337" s="825"/>
      <c r="AW337" s="825">
        <f t="shared" si="106"/>
        <v>1350</v>
      </c>
      <c r="AX337" s="825"/>
      <c r="AY337" s="1305"/>
      <c r="AZ337" s="1305"/>
      <c r="BA337" s="1305"/>
      <c r="BB337" s="1305"/>
      <c r="BC337" s="1305"/>
      <c r="BD337" s="1305"/>
      <c r="BE337" s="1305"/>
      <c r="BF337" s="1305"/>
      <c r="BG337" s="1305"/>
      <c r="BH337" s="1305"/>
      <c r="BI337" s="825"/>
      <c r="BJ337" s="1305"/>
      <c r="BK337" s="1305"/>
      <c r="BL337" s="1305"/>
      <c r="BM337" s="825"/>
      <c r="BN337" s="1305">
        <f>I337</f>
        <v>1350</v>
      </c>
      <c r="BO337" s="1305"/>
      <c r="BP337" s="1305"/>
    </row>
    <row r="338" s="1265" customFormat="1" ht="31" customHeight="1" spans="1:68">
      <c r="A338" s="1304">
        <v>45831</v>
      </c>
      <c r="B338" s="822" t="s">
        <v>135</v>
      </c>
      <c r="C338" s="633" t="s">
        <v>128</v>
      </c>
      <c r="D338" s="825">
        <v>4500170993</v>
      </c>
      <c r="E338" s="633">
        <v>20862335</v>
      </c>
      <c r="F338" s="1305" t="s">
        <v>1530</v>
      </c>
      <c r="G338" s="659" t="s">
        <v>518</v>
      </c>
      <c r="H338" s="633" t="s">
        <v>477</v>
      </c>
      <c r="I338" s="633">
        <v>1350</v>
      </c>
      <c r="J338" s="633">
        <v>0</v>
      </c>
      <c r="K338" s="633">
        <v>6</v>
      </c>
      <c r="L338" s="827">
        <f t="shared" si="99"/>
        <v>225</v>
      </c>
      <c r="M338" s="828">
        <v>45891</v>
      </c>
      <c r="N338" s="828">
        <v>45887</v>
      </c>
      <c r="O338" s="824"/>
      <c r="P338" s="824" t="s">
        <v>113</v>
      </c>
      <c r="Q338" s="633"/>
      <c r="R338" s="829">
        <v>45828</v>
      </c>
      <c r="S338" s="829" t="s">
        <v>104</v>
      </c>
      <c r="T338" s="829" t="s">
        <v>1303</v>
      </c>
      <c r="U338" s="829"/>
      <c r="V338" s="829"/>
      <c r="W338" s="829"/>
      <c r="X338" s="628" t="s">
        <v>1528</v>
      </c>
      <c r="Y338" s="828" t="s">
        <v>133</v>
      </c>
      <c r="Z338" s="1306">
        <v>7.0773</v>
      </c>
      <c r="AA338" s="831">
        <f t="shared" si="105"/>
        <v>9554.355</v>
      </c>
      <c r="AC338" s="1313" t="s">
        <v>1529</v>
      </c>
      <c r="AD338" s="633" t="s">
        <v>1306</v>
      </c>
      <c r="AE338" s="633" t="s">
        <v>82</v>
      </c>
      <c r="AF338" s="633"/>
      <c r="AG338" s="618"/>
      <c r="AH338" s="618"/>
      <c r="AI338" s="1308">
        <v>1350</v>
      </c>
      <c r="AJ338" s="824">
        <f t="shared" si="103"/>
        <v>0</v>
      </c>
      <c r="AK338" s="633"/>
      <c r="AL338" s="633"/>
      <c r="AM338" s="633"/>
      <c r="AN338" s="825">
        <f t="shared" si="107"/>
        <v>1350</v>
      </c>
      <c r="AO338" s="687"/>
      <c r="AP338" s="687"/>
      <c r="AQ338" s="687"/>
      <c r="AR338" s="825">
        <f>I338</f>
        <v>1350</v>
      </c>
      <c r="AS338" s="687"/>
      <c r="AT338" s="687"/>
      <c r="AU338" s="825">
        <f>I338</f>
        <v>1350</v>
      </c>
      <c r="AV338" s="825"/>
      <c r="AW338" s="825">
        <f t="shared" si="106"/>
        <v>1350</v>
      </c>
      <c r="AX338" s="825"/>
      <c r="AY338" s="1305"/>
      <c r="AZ338" s="1305"/>
      <c r="BA338" s="1305"/>
      <c r="BB338" s="1305"/>
      <c r="BC338" s="1305"/>
      <c r="BD338" s="1305"/>
      <c r="BE338" s="1305"/>
      <c r="BF338" s="1305"/>
      <c r="BG338" s="1305"/>
      <c r="BH338" s="1305"/>
      <c r="BI338" s="825"/>
      <c r="BJ338" s="1305"/>
      <c r="BK338" s="1305"/>
      <c r="BL338" s="1305"/>
      <c r="BM338" s="825"/>
      <c r="BN338" s="1305">
        <f>I338</f>
        <v>1350</v>
      </c>
      <c r="BO338" s="1305"/>
      <c r="BP338" s="1305"/>
    </row>
    <row r="339" s="1265" customFormat="1" ht="31" customHeight="1" spans="1:68">
      <c r="A339" s="1304">
        <v>45831</v>
      </c>
      <c r="B339" s="822" t="s">
        <v>139</v>
      </c>
      <c r="C339" s="633" t="s">
        <v>76</v>
      </c>
      <c r="D339" s="825">
        <v>4500170994</v>
      </c>
      <c r="E339" s="633">
        <v>20862340</v>
      </c>
      <c r="F339" s="1305" t="s">
        <v>1531</v>
      </c>
      <c r="G339" s="659" t="s">
        <v>518</v>
      </c>
      <c r="H339" s="633" t="s">
        <v>477</v>
      </c>
      <c r="I339" s="633">
        <v>150</v>
      </c>
      <c r="J339" s="633">
        <v>0</v>
      </c>
      <c r="K339" s="633">
        <v>6</v>
      </c>
      <c r="L339" s="827">
        <f t="shared" si="99"/>
        <v>25</v>
      </c>
      <c r="M339" s="828">
        <v>45891</v>
      </c>
      <c r="N339" s="828">
        <v>45887</v>
      </c>
      <c r="O339" s="824"/>
      <c r="P339" s="824" t="s">
        <v>113</v>
      </c>
      <c r="Q339" s="633"/>
      <c r="R339" s="829">
        <v>45828</v>
      </c>
      <c r="S339" s="829" t="s">
        <v>104</v>
      </c>
      <c r="T339" s="829" t="s">
        <v>1303</v>
      </c>
      <c r="U339" s="829"/>
      <c r="V339" s="829"/>
      <c r="W339" s="829"/>
      <c r="X339" s="628" t="s">
        <v>1304</v>
      </c>
      <c r="Y339" s="828" t="s">
        <v>133</v>
      </c>
      <c r="Z339" s="1306">
        <v>7.4117</v>
      </c>
      <c r="AA339" s="831">
        <f t="shared" si="105"/>
        <v>1111.755</v>
      </c>
      <c r="AC339" s="1313" t="s">
        <v>1532</v>
      </c>
      <c r="AD339" s="633" t="s">
        <v>1306</v>
      </c>
      <c r="AE339" s="633" t="s">
        <v>82</v>
      </c>
      <c r="AF339" s="633"/>
      <c r="AG339" s="618"/>
      <c r="AH339" s="618"/>
      <c r="AI339" s="1308">
        <v>150</v>
      </c>
      <c r="AJ339" s="824">
        <f t="shared" si="103"/>
        <v>0</v>
      </c>
      <c r="AK339" s="633"/>
      <c r="AL339" s="633"/>
      <c r="AM339" s="633"/>
      <c r="AN339" s="825">
        <f t="shared" si="107"/>
        <v>150</v>
      </c>
      <c r="AO339" s="687"/>
      <c r="AP339" s="687"/>
      <c r="AQ339" s="687"/>
      <c r="AR339" s="825">
        <f>I339</f>
        <v>150</v>
      </c>
      <c r="AS339" s="687"/>
      <c r="AT339" s="687"/>
      <c r="AU339" s="825">
        <f>I339</f>
        <v>150</v>
      </c>
      <c r="AV339" s="825"/>
      <c r="AW339" s="825">
        <f t="shared" si="106"/>
        <v>150</v>
      </c>
      <c r="AX339" s="825"/>
      <c r="AY339" s="1305"/>
      <c r="AZ339" s="1305"/>
      <c r="BA339" s="1305"/>
      <c r="BB339" s="1305"/>
      <c r="BC339" s="1305"/>
      <c r="BD339" s="1305"/>
      <c r="BE339" s="1305"/>
      <c r="BF339" s="1305"/>
      <c r="BG339" s="1305"/>
      <c r="BH339" s="1305"/>
      <c r="BI339" s="825"/>
      <c r="BJ339" s="1305"/>
      <c r="BK339" s="1305"/>
      <c r="BL339" s="1305"/>
      <c r="BM339" s="825"/>
      <c r="BN339" s="1305">
        <f>I339</f>
        <v>150</v>
      </c>
      <c r="BO339" s="1305"/>
      <c r="BP339" s="1305"/>
    </row>
    <row r="340" s="1265" customFormat="1" ht="31" customHeight="1" spans="1:68">
      <c r="A340" s="1304">
        <v>45831</v>
      </c>
      <c r="B340" s="822" t="s">
        <v>139</v>
      </c>
      <c r="C340" s="633" t="s">
        <v>76</v>
      </c>
      <c r="D340" s="825">
        <v>4500170994</v>
      </c>
      <c r="E340" s="633">
        <v>20862341</v>
      </c>
      <c r="F340" s="1305" t="s">
        <v>1533</v>
      </c>
      <c r="G340" s="659" t="s">
        <v>518</v>
      </c>
      <c r="H340" s="633" t="s">
        <v>477</v>
      </c>
      <c r="I340" s="633">
        <v>150</v>
      </c>
      <c r="J340" s="633">
        <v>0</v>
      </c>
      <c r="K340" s="633">
        <v>6</v>
      </c>
      <c r="L340" s="827">
        <f t="shared" si="99"/>
        <v>25</v>
      </c>
      <c r="M340" s="828">
        <v>45891</v>
      </c>
      <c r="N340" s="828">
        <v>45887</v>
      </c>
      <c r="O340" s="824"/>
      <c r="P340" s="824" t="s">
        <v>113</v>
      </c>
      <c r="Q340" s="633"/>
      <c r="R340" s="829">
        <v>45828</v>
      </c>
      <c r="S340" s="829" t="s">
        <v>104</v>
      </c>
      <c r="T340" s="829" t="s">
        <v>1303</v>
      </c>
      <c r="U340" s="829"/>
      <c r="V340" s="829"/>
      <c r="W340" s="829"/>
      <c r="X340" s="628" t="s">
        <v>1304</v>
      </c>
      <c r="Y340" s="828" t="s">
        <v>133</v>
      </c>
      <c r="Z340" s="1306">
        <v>7.4117</v>
      </c>
      <c r="AA340" s="831">
        <f t="shared" si="105"/>
        <v>1111.755</v>
      </c>
      <c r="AC340" s="1313" t="s">
        <v>1532</v>
      </c>
      <c r="AD340" s="633" t="s">
        <v>1306</v>
      </c>
      <c r="AE340" s="633" t="s">
        <v>82</v>
      </c>
      <c r="AF340" s="633"/>
      <c r="AG340" s="618"/>
      <c r="AH340" s="618"/>
      <c r="AI340" s="1308">
        <v>150</v>
      </c>
      <c r="AJ340" s="824">
        <f t="shared" si="103"/>
        <v>0</v>
      </c>
      <c r="AK340" s="633"/>
      <c r="AL340" s="633"/>
      <c r="AM340" s="633"/>
      <c r="AN340" s="825">
        <f t="shared" si="107"/>
        <v>150</v>
      </c>
      <c r="AO340" s="687"/>
      <c r="AP340" s="687"/>
      <c r="AQ340" s="687"/>
      <c r="AR340" s="825">
        <f>I340</f>
        <v>150</v>
      </c>
      <c r="AS340" s="687"/>
      <c r="AT340" s="687"/>
      <c r="AU340" s="825">
        <f>I340</f>
        <v>150</v>
      </c>
      <c r="AV340" s="825"/>
      <c r="AW340" s="825">
        <f t="shared" si="106"/>
        <v>150</v>
      </c>
      <c r="AX340" s="825"/>
      <c r="AY340" s="1305"/>
      <c r="AZ340" s="1305"/>
      <c r="BA340" s="1305"/>
      <c r="BB340" s="1305"/>
      <c r="BC340" s="1305"/>
      <c r="BD340" s="1305"/>
      <c r="BE340" s="1305"/>
      <c r="BF340" s="1305"/>
      <c r="BG340" s="1305"/>
      <c r="BH340" s="1305"/>
      <c r="BI340" s="825"/>
      <c r="BJ340" s="1305"/>
      <c r="BK340" s="1305"/>
      <c r="BL340" s="1305"/>
      <c r="BM340" s="825"/>
      <c r="BN340" s="1305">
        <f>I340</f>
        <v>150</v>
      </c>
      <c r="BO340" s="1305"/>
      <c r="BP340" s="1305"/>
    </row>
    <row r="341" s="1265" customFormat="1" ht="31" customHeight="1" spans="1:68">
      <c r="A341" s="1304">
        <v>45833</v>
      </c>
      <c r="B341" s="822" t="s">
        <v>1534</v>
      </c>
      <c r="C341" s="633" t="s">
        <v>524</v>
      </c>
      <c r="D341" s="825">
        <v>4500167877</v>
      </c>
      <c r="E341" s="633">
        <v>24727</v>
      </c>
      <c r="F341" s="1305" t="s">
        <v>1535</v>
      </c>
      <c r="G341" s="659" t="s">
        <v>68</v>
      </c>
      <c r="H341" s="633" t="s">
        <v>69</v>
      </c>
      <c r="I341" s="633">
        <v>1032</v>
      </c>
      <c r="J341" s="633">
        <v>0</v>
      </c>
      <c r="K341" s="633">
        <v>12</v>
      </c>
      <c r="L341" s="827">
        <f t="shared" si="99"/>
        <v>86</v>
      </c>
      <c r="M341" s="828">
        <v>45883</v>
      </c>
      <c r="N341" s="828">
        <v>45888</v>
      </c>
      <c r="O341" s="824"/>
      <c r="P341" s="824" t="s">
        <v>113</v>
      </c>
      <c r="Q341" s="633"/>
      <c r="R341" s="829">
        <v>45860</v>
      </c>
      <c r="S341" s="829" t="s">
        <v>70</v>
      </c>
      <c r="T341" s="829">
        <v>45856</v>
      </c>
      <c r="U341" s="829"/>
      <c r="V341" s="829"/>
      <c r="W341" s="829"/>
      <c r="X341" s="822" t="s">
        <v>1536</v>
      </c>
      <c r="Y341" s="828" t="s">
        <v>340</v>
      </c>
      <c r="Z341" s="1306">
        <v>4.1456</v>
      </c>
      <c r="AA341" s="831">
        <f t="shared" si="105"/>
        <v>4278.2592</v>
      </c>
      <c r="AC341" s="1307" t="s">
        <v>1537</v>
      </c>
      <c r="AD341" s="633" t="s">
        <v>184</v>
      </c>
      <c r="AE341" s="633" t="s">
        <v>82</v>
      </c>
      <c r="AF341" s="633"/>
      <c r="AG341" s="618"/>
      <c r="AH341" s="618"/>
      <c r="AI341" s="1308">
        <v>1032</v>
      </c>
      <c r="AJ341" s="824">
        <f t="shared" si="103"/>
        <v>0</v>
      </c>
      <c r="AK341" s="633"/>
      <c r="AL341" s="633"/>
      <c r="AM341" s="633"/>
      <c r="AN341" s="825">
        <f t="shared" si="107"/>
        <v>1032</v>
      </c>
      <c r="AO341" s="687"/>
      <c r="AP341" s="687"/>
      <c r="AQ341" s="687"/>
      <c r="AR341" s="825"/>
      <c r="AS341" s="687">
        <f>I341</f>
        <v>1032</v>
      </c>
      <c r="AT341" s="687"/>
      <c r="AU341" s="825">
        <f>I341</f>
        <v>1032</v>
      </c>
      <c r="AV341" s="825"/>
      <c r="AW341" s="825">
        <f t="shared" si="106"/>
        <v>1032</v>
      </c>
      <c r="AX341" s="825"/>
      <c r="AY341" s="1305"/>
      <c r="AZ341" s="1305"/>
      <c r="BA341" s="1305"/>
      <c r="BB341" s="1305"/>
      <c r="BC341" s="1305"/>
      <c r="BD341" s="1305"/>
      <c r="BE341" s="1305"/>
      <c r="BF341" s="1305"/>
      <c r="BG341" s="1305"/>
      <c r="BH341" s="1305"/>
      <c r="BI341" s="825"/>
      <c r="BJ341" s="1305"/>
      <c r="BK341" s="1305"/>
      <c r="BL341" s="1305"/>
      <c r="BM341" s="1305"/>
      <c r="BN341" s="1305"/>
      <c r="BO341" s="1305"/>
      <c r="BP341" s="1305"/>
    </row>
    <row r="342" s="1265" customFormat="1" ht="31" customHeight="1" spans="1:68">
      <c r="A342" s="1304">
        <v>45833</v>
      </c>
      <c r="B342" s="822" t="s">
        <v>935</v>
      </c>
      <c r="C342" s="633" t="s">
        <v>302</v>
      </c>
      <c r="D342" s="825">
        <v>4500171158</v>
      </c>
      <c r="E342" s="633">
        <v>4400494477</v>
      </c>
      <c r="F342" s="1305" t="s">
        <v>1538</v>
      </c>
      <c r="G342" s="659" t="s">
        <v>164</v>
      </c>
      <c r="H342" s="633" t="s">
        <v>937</v>
      </c>
      <c r="I342" s="633">
        <v>2104</v>
      </c>
      <c r="J342" s="633">
        <v>0</v>
      </c>
      <c r="K342" s="633">
        <v>8</v>
      </c>
      <c r="L342" s="827">
        <f t="shared" si="99"/>
        <v>263</v>
      </c>
      <c r="M342" s="828">
        <v>45894</v>
      </c>
      <c r="N342" s="828">
        <v>45890</v>
      </c>
      <c r="O342" s="824"/>
      <c r="P342" s="824" t="s">
        <v>113</v>
      </c>
      <c r="Q342" s="633"/>
      <c r="R342" s="829">
        <v>45833</v>
      </c>
      <c r="S342" s="829" t="s">
        <v>70</v>
      </c>
      <c r="T342" s="829" t="s">
        <v>165</v>
      </c>
      <c r="U342" s="829"/>
      <c r="V342" s="829"/>
      <c r="W342" s="829"/>
      <c r="X342" s="822" t="s">
        <v>1539</v>
      </c>
      <c r="Y342" s="828" t="s">
        <v>939</v>
      </c>
      <c r="Z342" s="1306">
        <v>4.2714</v>
      </c>
      <c r="AA342" s="831">
        <f t="shared" si="105"/>
        <v>8987.0256</v>
      </c>
      <c r="AC342" s="632" t="s">
        <v>1540</v>
      </c>
      <c r="AD342" s="633" t="s">
        <v>164</v>
      </c>
      <c r="AE342" s="633" t="s">
        <v>82</v>
      </c>
      <c r="AF342" s="633"/>
      <c r="AG342" s="618"/>
      <c r="AH342" s="618"/>
      <c r="AI342" s="1308">
        <v>2104</v>
      </c>
      <c r="AJ342" s="824">
        <f t="shared" si="103"/>
        <v>0</v>
      </c>
      <c r="AK342" s="633"/>
      <c r="AL342" s="633"/>
      <c r="AM342" s="633"/>
      <c r="AN342" s="825">
        <f t="shared" si="107"/>
        <v>2104</v>
      </c>
      <c r="AO342" s="687"/>
      <c r="AP342" s="687"/>
      <c r="AQ342" s="687"/>
      <c r="AR342" s="825"/>
      <c r="AS342" s="687"/>
      <c r="AT342" s="687"/>
      <c r="AU342" s="825"/>
      <c r="AV342" s="825"/>
      <c r="AW342" s="825">
        <f t="shared" si="106"/>
        <v>2104</v>
      </c>
      <c r="AX342" s="825"/>
      <c r="AY342" s="1305"/>
      <c r="AZ342" s="1305"/>
      <c r="BA342" s="1305"/>
      <c r="BB342" s="1305"/>
      <c r="BC342" s="1305"/>
      <c r="BD342" s="1305">
        <f>I342</f>
        <v>2104</v>
      </c>
      <c r="BE342" s="1305">
        <f>I342</f>
        <v>2104</v>
      </c>
      <c r="BF342" s="1305"/>
      <c r="BG342" s="1305"/>
      <c r="BH342" s="1305"/>
      <c r="BI342" s="825">
        <f>I342/4</f>
        <v>526</v>
      </c>
      <c r="BJ342" s="1305"/>
      <c r="BK342" s="1305"/>
      <c r="BL342" s="1305"/>
      <c r="BM342" s="1305"/>
      <c r="BN342" s="1305"/>
      <c r="BO342" s="1305"/>
      <c r="BP342" s="1305"/>
    </row>
    <row r="343" s="1265" customFormat="1" ht="31" customHeight="1" spans="1:68">
      <c r="A343" s="1304">
        <v>45827</v>
      </c>
      <c r="B343" s="822" t="s">
        <v>75</v>
      </c>
      <c r="C343" s="633" t="s">
        <v>76</v>
      </c>
      <c r="D343" s="825">
        <v>4500170549</v>
      </c>
      <c r="E343" s="633" t="s">
        <v>1541</v>
      </c>
      <c r="F343" s="1305" t="s">
        <v>1542</v>
      </c>
      <c r="G343" s="659" t="s">
        <v>111</v>
      </c>
      <c r="H343" s="633" t="s">
        <v>112</v>
      </c>
      <c r="I343" s="633">
        <v>608</v>
      </c>
      <c r="J343" s="633">
        <v>0</v>
      </c>
      <c r="K343" s="633">
        <v>16</v>
      </c>
      <c r="L343" s="827">
        <f t="shared" si="99"/>
        <v>38</v>
      </c>
      <c r="M343" s="828">
        <v>45894</v>
      </c>
      <c r="N343" s="828">
        <v>45891</v>
      </c>
      <c r="O343" s="824"/>
      <c r="P343" s="824" t="s">
        <v>113</v>
      </c>
      <c r="Q343" s="633"/>
      <c r="R343" s="829">
        <v>45827</v>
      </c>
      <c r="S343" s="829" t="s">
        <v>70</v>
      </c>
      <c r="T343" s="829">
        <v>45827</v>
      </c>
      <c r="U343" s="829"/>
      <c r="V343" s="829"/>
      <c r="W343" s="829"/>
      <c r="X343" s="822" t="s">
        <v>1490</v>
      </c>
      <c r="Y343" s="828" t="s">
        <v>80</v>
      </c>
      <c r="Z343" s="1306">
        <v>4.2114</v>
      </c>
      <c r="AA343" s="831">
        <f t="shared" si="105"/>
        <v>2560.5312</v>
      </c>
      <c r="AC343" s="1307" t="s">
        <v>1543</v>
      </c>
      <c r="AD343" s="633" t="s">
        <v>111</v>
      </c>
      <c r="AE343" s="633" t="s">
        <v>82</v>
      </c>
      <c r="AF343" s="633"/>
      <c r="AG343" s="618"/>
      <c r="AH343" s="618"/>
      <c r="AI343" s="1308">
        <v>608</v>
      </c>
      <c r="AJ343" s="824">
        <f t="shared" si="103"/>
        <v>0</v>
      </c>
      <c r="AK343" s="633"/>
      <c r="AL343" s="633"/>
      <c r="AM343" s="633"/>
      <c r="AN343" s="825">
        <f t="shared" si="107"/>
        <v>608</v>
      </c>
      <c r="AO343" s="687"/>
      <c r="AP343" s="687"/>
      <c r="AQ343" s="687"/>
      <c r="AR343" s="825">
        <f>I343</f>
        <v>608</v>
      </c>
      <c r="AS343" s="687"/>
      <c r="AT343" s="687"/>
      <c r="AU343" s="825">
        <f>I343</f>
        <v>608</v>
      </c>
      <c r="AV343" s="825"/>
      <c r="AW343" s="825">
        <f t="shared" si="106"/>
        <v>608</v>
      </c>
      <c r="AX343" s="825"/>
      <c r="AY343" s="1305"/>
      <c r="AZ343" s="1305"/>
      <c r="BA343" s="1305"/>
      <c r="BB343" s="1305"/>
      <c r="BC343" s="1305"/>
      <c r="BD343" s="1305"/>
      <c r="BE343" s="1305"/>
      <c r="BF343" s="1305"/>
      <c r="BG343" s="1305"/>
      <c r="BH343" s="825">
        <f>I343/4</f>
        <v>152</v>
      </c>
      <c r="BI343" s="825"/>
      <c r="BJ343" s="1305"/>
      <c r="BK343" s="1305"/>
      <c r="BL343" s="1305"/>
      <c r="BM343" s="1305"/>
      <c r="BN343" s="1305"/>
      <c r="BO343" s="1305"/>
      <c r="BP343" s="1305"/>
    </row>
    <row r="344" s="1265" customFormat="1" ht="31" customHeight="1" spans="1:68">
      <c r="A344" s="1304">
        <v>45847</v>
      </c>
      <c r="B344" s="822" t="s">
        <v>1544</v>
      </c>
      <c r="C344" s="633" t="s">
        <v>257</v>
      </c>
      <c r="D344" s="825">
        <v>4500173265</v>
      </c>
      <c r="E344" s="633" t="s">
        <v>1545</v>
      </c>
      <c r="F344" s="1305" t="s">
        <v>1546</v>
      </c>
      <c r="G344" s="659" t="s">
        <v>164</v>
      </c>
      <c r="H344" s="633" t="s">
        <v>112</v>
      </c>
      <c r="I344" s="633">
        <v>2000</v>
      </c>
      <c r="J344" s="633">
        <v>0</v>
      </c>
      <c r="K344" s="633">
        <v>8</v>
      </c>
      <c r="L344" s="827">
        <f t="shared" si="99"/>
        <v>250</v>
      </c>
      <c r="M344" s="828">
        <v>45895</v>
      </c>
      <c r="N344" s="828">
        <v>45891</v>
      </c>
      <c r="O344" s="824"/>
      <c r="P344" s="824" t="s">
        <v>113</v>
      </c>
      <c r="Q344" s="633"/>
      <c r="R344" s="829">
        <v>45847</v>
      </c>
      <c r="S344" s="829" t="s">
        <v>70</v>
      </c>
      <c r="T344" s="829" t="s">
        <v>1547</v>
      </c>
      <c r="U344" s="829"/>
      <c r="V344" s="829"/>
      <c r="W344" s="829"/>
      <c r="X344" s="628" t="s">
        <v>1548</v>
      </c>
      <c r="Y344" s="828" t="s">
        <v>1549</v>
      </c>
      <c r="Z344" s="1306">
        <v>4.2714</v>
      </c>
      <c r="AA344" s="831">
        <f t="shared" si="105"/>
        <v>8542.8</v>
      </c>
      <c r="AC344" s="1307" t="s">
        <v>1550</v>
      </c>
      <c r="AD344" s="633" t="s">
        <v>164</v>
      </c>
      <c r="AE344" s="633" t="s">
        <v>82</v>
      </c>
      <c r="AF344" s="633"/>
      <c r="AG344" s="618"/>
      <c r="AH344" s="618"/>
      <c r="AI344" s="1308">
        <v>2000</v>
      </c>
      <c r="AJ344" s="824">
        <f t="shared" si="103"/>
        <v>0</v>
      </c>
      <c r="AK344" s="633"/>
      <c r="AL344" s="633"/>
      <c r="AM344" s="633"/>
      <c r="AN344" s="825">
        <f t="shared" si="107"/>
        <v>2000</v>
      </c>
      <c r="AO344" s="687"/>
      <c r="AP344" s="687"/>
      <c r="AQ344" s="687"/>
      <c r="AR344" s="825"/>
      <c r="AS344" s="687"/>
      <c r="AT344" s="687"/>
      <c r="AU344" s="825"/>
      <c r="AV344" s="825"/>
      <c r="AW344" s="825">
        <f t="shared" si="106"/>
        <v>2000</v>
      </c>
      <c r="AX344" s="825"/>
      <c r="AY344" s="1305"/>
      <c r="AZ344" s="1305"/>
      <c r="BA344" s="1305"/>
      <c r="BB344" s="1305"/>
      <c r="BC344" s="1305"/>
      <c r="BD344" s="1305">
        <f>I344</f>
        <v>2000</v>
      </c>
      <c r="BE344" s="1305">
        <f>I344</f>
        <v>2000</v>
      </c>
      <c r="BF344" s="1305"/>
      <c r="BG344" s="1305"/>
      <c r="BH344" s="1305"/>
      <c r="BI344" s="825">
        <f>I344/4</f>
        <v>500</v>
      </c>
      <c r="BJ344" s="1305"/>
      <c r="BK344" s="1305"/>
      <c r="BL344" s="1305"/>
      <c r="BM344" s="1305"/>
      <c r="BN344" s="1305"/>
      <c r="BO344" s="1305"/>
      <c r="BP344" s="1305"/>
    </row>
    <row r="345" s="1265" customFormat="1" ht="31" customHeight="1" spans="1:68">
      <c r="A345" s="1304">
        <v>45828</v>
      </c>
      <c r="B345" s="822" t="s">
        <v>143</v>
      </c>
      <c r="C345" s="633" t="s">
        <v>98</v>
      </c>
      <c r="D345" s="825">
        <v>4500170706</v>
      </c>
      <c r="E345" s="1413" t="s">
        <v>1551</v>
      </c>
      <c r="F345" s="1305" t="s">
        <v>1552</v>
      </c>
      <c r="G345" s="659" t="s">
        <v>101</v>
      </c>
      <c r="H345" s="633" t="s">
        <v>102</v>
      </c>
      <c r="I345" s="633">
        <v>1184</v>
      </c>
      <c r="J345" s="633">
        <v>0</v>
      </c>
      <c r="K345" s="633">
        <v>4</v>
      </c>
      <c r="L345" s="827">
        <f t="shared" si="99"/>
        <v>296</v>
      </c>
      <c r="M345" s="828">
        <v>45896</v>
      </c>
      <c r="N345" s="828">
        <v>45892</v>
      </c>
      <c r="O345" s="824"/>
      <c r="P345" s="824" t="s">
        <v>113</v>
      </c>
      <c r="Q345" s="1317">
        <v>45909</v>
      </c>
      <c r="R345" s="829" t="s">
        <v>147</v>
      </c>
      <c r="S345" s="829" t="s">
        <v>70</v>
      </c>
      <c r="T345" s="829" t="s">
        <v>1516</v>
      </c>
      <c r="U345" s="829"/>
      <c r="V345" s="774" t="s">
        <v>148</v>
      </c>
      <c r="W345" s="829"/>
      <c r="X345" s="822" t="s">
        <v>1395</v>
      </c>
      <c r="Y345" s="828" t="s">
        <v>106</v>
      </c>
      <c r="Z345" s="1306">
        <v>2.58</v>
      </c>
      <c r="AA345" s="831">
        <f t="shared" si="105"/>
        <v>3054.72</v>
      </c>
      <c r="AC345" s="632" t="s">
        <v>1553</v>
      </c>
      <c r="AD345" s="633" t="s">
        <v>101</v>
      </c>
      <c r="AE345" s="633" t="s">
        <v>82</v>
      </c>
      <c r="AF345" s="633"/>
      <c r="AG345" s="618"/>
      <c r="AH345" s="618"/>
      <c r="AI345" s="1308">
        <v>1184</v>
      </c>
      <c r="AJ345" s="824">
        <f t="shared" si="103"/>
        <v>0</v>
      </c>
      <c r="AK345" s="633"/>
      <c r="AL345" s="633"/>
      <c r="AM345" s="633"/>
      <c r="AN345" s="825">
        <f t="shared" si="107"/>
        <v>1184</v>
      </c>
      <c r="AO345" s="687"/>
      <c r="AP345" s="687"/>
      <c r="AQ345" s="687"/>
      <c r="AR345" s="825">
        <f>I345</f>
        <v>1184</v>
      </c>
      <c r="AS345" s="687"/>
      <c r="AT345" s="687"/>
      <c r="AU345" s="825">
        <f>I345</f>
        <v>1184</v>
      </c>
      <c r="AV345" s="825"/>
      <c r="AW345" s="825">
        <f t="shared" si="106"/>
        <v>1184</v>
      </c>
      <c r="AX345" s="825"/>
      <c r="AY345" s="1305"/>
      <c r="AZ345" s="1305"/>
      <c r="BA345" s="1305"/>
      <c r="BB345" s="1305"/>
      <c r="BC345" s="1305"/>
      <c r="BD345" s="1305"/>
      <c r="BE345" s="1305"/>
      <c r="BF345" s="1305"/>
      <c r="BG345" s="1305"/>
      <c r="BH345" s="825">
        <f t="shared" ref="BH345:BH350" si="108">I345/4</f>
        <v>296</v>
      </c>
      <c r="BI345" s="825"/>
      <c r="BJ345" s="1305"/>
      <c r="BK345" s="1305"/>
      <c r="BL345" s="1305"/>
      <c r="BM345" s="1305"/>
      <c r="BN345" s="1305"/>
      <c r="BO345" s="1305"/>
      <c r="BP345" s="1305"/>
    </row>
    <row r="346" s="1265" customFormat="1" ht="31" customHeight="1" spans="1:68">
      <c r="A346" s="1304">
        <v>45828</v>
      </c>
      <c r="B346" s="822" t="s">
        <v>143</v>
      </c>
      <c r="C346" s="633" t="s">
        <v>98</v>
      </c>
      <c r="D346" s="825">
        <v>4500170706</v>
      </c>
      <c r="E346" s="1413" t="s">
        <v>1554</v>
      </c>
      <c r="F346" s="1305" t="s">
        <v>1555</v>
      </c>
      <c r="G346" s="659" t="s">
        <v>101</v>
      </c>
      <c r="H346" s="633" t="s">
        <v>102</v>
      </c>
      <c r="I346" s="633">
        <v>1192</v>
      </c>
      <c r="J346" s="633">
        <v>0</v>
      </c>
      <c r="K346" s="633">
        <v>4</v>
      </c>
      <c r="L346" s="827">
        <f t="shared" si="99"/>
        <v>298</v>
      </c>
      <c r="M346" s="828">
        <v>45896</v>
      </c>
      <c r="N346" s="828">
        <v>45892</v>
      </c>
      <c r="O346" s="824"/>
      <c r="P346" s="824" t="s">
        <v>113</v>
      </c>
      <c r="Q346" s="1317">
        <v>45909</v>
      </c>
      <c r="R346" s="829" t="s">
        <v>147</v>
      </c>
      <c r="S346" s="829" t="s">
        <v>70</v>
      </c>
      <c r="T346" s="829" t="s">
        <v>1516</v>
      </c>
      <c r="U346" s="829"/>
      <c r="V346" s="774" t="s">
        <v>148</v>
      </c>
      <c r="W346" s="829"/>
      <c r="X346" s="822" t="s">
        <v>1395</v>
      </c>
      <c r="Y346" s="828" t="s">
        <v>106</v>
      </c>
      <c r="Z346" s="1306">
        <v>2.58</v>
      </c>
      <c r="AA346" s="831">
        <f t="shared" si="105"/>
        <v>3075.36</v>
      </c>
      <c r="AC346" s="632" t="s">
        <v>1556</v>
      </c>
      <c r="AD346" s="633" t="s">
        <v>101</v>
      </c>
      <c r="AE346" s="633" t="s">
        <v>82</v>
      </c>
      <c r="AF346" s="633"/>
      <c r="AG346" s="618"/>
      <c r="AH346" s="618"/>
      <c r="AI346" s="1308">
        <v>1192</v>
      </c>
      <c r="AJ346" s="824">
        <f t="shared" si="103"/>
        <v>0</v>
      </c>
      <c r="AK346" s="633"/>
      <c r="AL346" s="633"/>
      <c r="AM346" s="633"/>
      <c r="AN346" s="825">
        <f t="shared" si="107"/>
        <v>1192</v>
      </c>
      <c r="AO346" s="687"/>
      <c r="AP346" s="687"/>
      <c r="AQ346" s="687"/>
      <c r="AR346" s="825">
        <f>I346</f>
        <v>1192</v>
      </c>
      <c r="AS346" s="687"/>
      <c r="AT346" s="687"/>
      <c r="AU346" s="825">
        <f>I346</f>
        <v>1192</v>
      </c>
      <c r="AV346" s="825"/>
      <c r="AW346" s="825">
        <f t="shared" si="106"/>
        <v>1192</v>
      </c>
      <c r="AX346" s="825"/>
      <c r="AY346" s="1305"/>
      <c r="AZ346" s="1305"/>
      <c r="BA346" s="1305"/>
      <c r="BB346" s="1305"/>
      <c r="BC346" s="1305"/>
      <c r="BD346" s="1305"/>
      <c r="BE346" s="1305"/>
      <c r="BF346" s="1305"/>
      <c r="BG346" s="1305"/>
      <c r="BH346" s="825">
        <f t="shared" si="108"/>
        <v>298</v>
      </c>
      <c r="BI346" s="825"/>
      <c r="BJ346" s="1305"/>
      <c r="BK346" s="1305"/>
      <c r="BL346" s="1305"/>
      <c r="BM346" s="1305"/>
      <c r="BN346" s="1305"/>
      <c r="BO346" s="1305"/>
      <c r="BP346" s="1305"/>
    </row>
    <row r="347" s="1265" customFormat="1" ht="31" customHeight="1" spans="1:68">
      <c r="A347" s="1304">
        <v>45828</v>
      </c>
      <c r="B347" s="822" t="s">
        <v>143</v>
      </c>
      <c r="C347" s="633" t="s">
        <v>98</v>
      </c>
      <c r="D347" s="825">
        <v>4500170706</v>
      </c>
      <c r="E347" s="1413" t="s">
        <v>1557</v>
      </c>
      <c r="F347" s="1305" t="s">
        <v>1558</v>
      </c>
      <c r="G347" s="659" t="s">
        <v>101</v>
      </c>
      <c r="H347" s="633" t="s">
        <v>102</v>
      </c>
      <c r="I347" s="633">
        <v>500</v>
      </c>
      <c r="J347" s="633">
        <v>0</v>
      </c>
      <c r="K347" s="633">
        <v>4</v>
      </c>
      <c r="L347" s="827">
        <f t="shared" si="99"/>
        <v>125</v>
      </c>
      <c r="M347" s="828">
        <v>45896</v>
      </c>
      <c r="N347" s="828">
        <v>45892</v>
      </c>
      <c r="O347" s="824"/>
      <c r="P347" s="824" t="s">
        <v>113</v>
      </c>
      <c r="Q347" s="1317">
        <v>45909</v>
      </c>
      <c r="R347" s="829" t="s">
        <v>147</v>
      </c>
      <c r="S347" s="829" t="s">
        <v>70</v>
      </c>
      <c r="T347" s="829" t="s">
        <v>1516</v>
      </c>
      <c r="U347" s="829"/>
      <c r="V347" s="774" t="s">
        <v>148</v>
      </c>
      <c r="W347" s="829"/>
      <c r="X347" s="822" t="s">
        <v>1395</v>
      </c>
      <c r="Y347" s="828" t="s">
        <v>106</v>
      </c>
      <c r="Z347" s="1306">
        <v>2.58</v>
      </c>
      <c r="AA347" s="831">
        <f t="shared" si="105"/>
        <v>1290</v>
      </c>
      <c r="AC347" s="632" t="s">
        <v>1559</v>
      </c>
      <c r="AD347" s="633" t="s">
        <v>101</v>
      </c>
      <c r="AE347" s="633" t="s">
        <v>82</v>
      </c>
      <c r="AF347" s="633"/>
      <c r="AG347" s="618"/>
      <c r="AH347" s="618"/>
      <c r="AI347" s="1308">
        <v>500</v>
      </c>
      <c r="AJ347" s="824">
        <f t="shared" si="103"/>
        <v>0</v>
      </c>
      <c r="AK347" s="633"/>
      <c r="AL347" s="633"/>
      <c r="AM347" s="633"/>
      <c r="AN347" s="825">
        <f t="shared" si="107"/>
        <v>500</v>
      </c>
      <c r="AO347" s="687"/>
      <c r="AP347" s="687"/>
      <c r="AQ347" s="687"/>
      <c r="AR347" s="825">
        <f>I347</f>
        <v>500</v>
      </c>
      <c r="AS347" s="687"/>
      <c r="AT347" s="687"/>
      <c r="AU347" s="825">
        <f>I347</f>
        <v>500</v>
      </c>
      <c r="AV347" s="825"/>
      <c r="AW347" s="825">
        <f t="shared" si="106"/>
        <v>500</v>
      </c>
      <c r="AX347" s="825"/>
      <c r="AY347" s="1305"/>
      <c r="AZ347" s="1305"/>
      <c r="BA347" s="1305"/>
      <c r="BB347" s="1305"/>
      <c r="BC347" s="1305"/>
      <c r="BD347" s="1305"/>
      <c r="BE347" s="1305"/>
      <c r="BF347" s="1305"/>
      <c r="BG347" s="1305"/>
      <c r="BH347" s="825">
        <f t="shared" si="108"/>
        <v>125</v>
      </c>
      <c r="BI347" s="825"/>
      <c r="BJ347" s="1305"/>
      <c r="BK347" s="1305"/>
      <c r="BL347" s="1305"/>
      <c r="BM347" s="1305"/>
      <c r="BN347" s="1305"/>
      <c r="BO347" s="1305"/>
      <c r="BP347" s="1305"/>
    </row>
    <row r="348" s="1265" customFormat="1" ht="31" customHeight="1" spans="1:68">
      <c r="A348" s="1304">
        <v>45828</v>
      </c>
      <c r="B348" s="822" t="s">
        <v>143</v>
      </c>
      <c r="C348" s="633" t="s">
        <v>98</v>
      </c>
      <c r="D348" s="825">
        <v>4500170706</v>
      </c>
      <c r="E348" s="1413" t="s">
        <v>1560</v>
      </c>
      <c r="F348" s="1305" t="s">
        <v>1561</v>
      </c>
      <c r="G348" s="659" t="s">
        <v>101</v>
      </c>
      <c r="H348" s="633" t="s">
        <v>102</v>
      </c>
      <c r="I348" s="633">
        <v>500</v>
      </c>
      <c r="J348" s="633">
        <v>0</v>
      </c>
      <c r="K348" s="633">
        <v>4</v>
      </c>
      <c r="L348" s="827">
        <f t="shared" si="99"/>
        <v>125</v>
      </c>
      <c r="M348" s="828">
        <v>45896</v>
      </c>
      <c r="N348" s="828">
        <v>45892</v>
      </c>
      <c r="O348" s="824"/>
      <c r="P348" s="824" t="s">
        <v>113</v>
      </c>
      <c r="Q348" s="1317">
        <v>45909</v>
      </c>
      <c r="R348" s="829" t="s">
        <v>147</v>
      </c>
      <c r="S348" s="829" t="s">
        <v>70</v>
      </c>
      <c r="T348" s="829" t="s">
        <v>1516</v>
      </c>
      <c r="U348" s="829"/>
      <c r="V348" s="774" t="s">
        <v>148</v>
      </c>
      <c r="W348" s="829"/>
      <c r="X348" s="822" t="s">
        <v>1395</v>
      </c>
      <c r="Y348" s="828" t="s">
        <v>106</v>
      </c>
      <c r="Z348" s="1306">
        <v>2.58</v>
      </c>
      <c r="AA348" s="831">
        <f t="shared" si="105"/>
        <v>1290</v>
      </c>
      <c r="AC348" s="632" t="s">
        <v>1562</v>
      </c>
      <c r="AD348" s="633" t="s">
        <v>101</v>
      </c>
      <c r="AE348" s="633" t="s">
        <v>82</v>
      </c>
      <c r="AF348" s="633"/>
      <c r="AG348" s="618"/>
      <c r="AH348" s="618"/>
      <c r="AI348" s="1308">
        <v>500</v>
      </c>
      <c r="AJ348" s="824">
        <f t="shared" si="103"/>
        <v>0</v>
      </c>
      <c r="AK348" s="633"/>
      <c r="AL348" s="633"/>
      <c r="AM348" s="633"/>
      <c r="AN348" s="825">
        <f t="shared" si="107"/>
        <v>500</v>
      </c>
      <c r="AO348" s="687"/>
      <c r="AP348" s="687"/>
      <c r="AQ348" s="687"/>
      <c r="AR348" s="825">
        <f>I348</f>
        <v>500</v>
      </c>
      <c r="AS348" s="687"/>
      <c r="AT348" s="687"/>
      <c r="AU348" s="825">
        <f>I348</f>
        <v>500</v>
      </c>
      <c r="AV348" s="825"/>
      <c r="AW348" s="825">
        <f t="shared" si="106"/>
        <v>500</v>
      </c>
      <c r="AX348" s="825"/>
      <c r="AY348" s="1305"/>
      <c r="AZ348" s="1305"/>
      <c r="BA348" s="1305"/>
      <c r="BB348" s="1305"/>
      <c r="BC348" s="1305"/>
      <c r="BD348" s="1305"/>
      <c r="BE348" s="1305"/>
      <c r="BF348" s="1305"/>
      <c r="BG348" s="1305"/>
      <c r="BH348" s="825">
        <f t="shared" si="108"/>
        <v>125</v>
      </c>
      <c r="BI348" s="825"/>
      <c r="BJ348" s="1305"/>
      <c r="BK348" s="1305"/>
      <c r="BL348" s="1305"/>
      <c r="BM348" s="1305"/>
      <c r="BN348" s="1305"/>
      <c r="BO348" s="1305"/>
      <c r="BP348" s="1305"/>
    </row>
    <row r="349" s="1265" customFormat="1" ht="31" customHeight="1" spans="1:68">
      <c r="A349" s="1304">
        <v>45828</v>
      </c>
      <c r="B349" s="822" t="s">
        <v>143</v>
      </c>
      <c r="C349" s="633" t="s">
        <v>98</v>
      </c>
      <c r="D349" s="825">
        <v>4500170706</v>
      </c>
      <c r="E349" s="1413" t="s">
        <v>1563</v>
      </c>
      <c r="F349" s="1305" t="s">
        <v>1564</v>
      </c>
      <c r="G349" s="659" t="s">
        <v>101</v>
      </c>
      <c r="H349" s="633" t="s">
        <v>102</v>
      </c>
      <c r="I349" s="633">
        <v>500</v>
      </c>
      <c r="J349" s="633">
        <v>0</v>
      </c>
      <c r="K349" s="633">
        <v>4</v>
      </c>
      <c r="L349" s="827">
        <f t="shared" si="99"/>
        <v>125</v>
      </c>
      <c r="M349" s="828">
        <v>45896</v>
      </c>
      <c r="N349" s="828">
        <v>45892</v>
      </c>
      <c r="O349" s="824"/>
      <c r="P349" s="824" t="s">
        <v>113</v>
      </c>
      <c r="Q349" s="1317">
        <v>45909</v>
      </c>
      <c r="R349" s="829" t="s">
        <v>147</v>
      </c>
      <c r="S349" s="829" t="s">
        <v>70</v>
      </c>
      <c r="T349" s="829" t="s">
        <v>1516</v>
      </c>
      <c r="U349" s="829"/>
      <c r="V349" s="774" t="s">
        <v>148</v>
      </c>
      <c r="W349" s="829"/>
      <c r="X349" s="822" t="s">
        <v>1395</v>
      </c>
      <c r="Y349" s="828" t="s">
        <v>106</v>
      </c>
      <c r="Z349" s="1306">
        <v>2.58</v>
      </c>
      <c r="AA349" s="831">
        <f t="shared" si="105"/>
        <v>1290</v>
      </c>
      <c r="AC349" s="632" t="s">
        <v>1565</v>
      </c>
      <c r="AD349" s="633" t="s">
        <v>101</v>
      </c>
      <c r="AE349" s="633" t="s">
        <v>82</v>
      </c>
      <c r="AF349" s="633"/>
      <c r="AG349" s="618"/>
      <c r="AH349" s="618"/>
      <c r="AI349" s="1308">
        <v>500</v>
      </c>
      <c r="AJ349" s="824">
        <f t="shared" si="103"/>
        <v>0</v>
      </c>
      <c r="AK349" s="633"/>
      <c r="AL349" s="633"/>
      <c r="AM349" s="633"/>
      <c r="AN349" s="825">
        <f t="shared" si="107"/>
        <v>500</v>
      </c>
      <c r="AO349" s="687"/>
      <c r="AP349" s="687"/>
      <c r="AQ349" s="687"/>
      <c r="AR349" s="825">
        <f>I349</f>
        <v>500</v>
      </c>
      <c r="AS349" s="687"/>
      <c r="AT349" s="687"/>
      <c r="AU349" s="825">
        <f>I349</f>
        <v>500</v>
      </c>
      <c r="AV349" s="825"/>
      <c r="AW349" s="825">
        <f t="shared" si="106"/>
        <v>500</v>
      </c>
      <c r="AX349" s="825"/>
      <c r="AY349" s="1305"/>
      <c r="AZ349" s="1305"/>
      <c r="BA349" s="1305"/>
      <c r="BB349" s="1305"/>
      <c r="BC349" s="1305"/>
      <c r="BD349" s="1305"/>
      <c r="BE349" s="1305"/>
      <c r="BF349" s="1305"/>
      <c r="BG349" s="1305"/>
      <c r="BH349" s="825">
        <f t="shared" si="108"/>
        <v>125</v>
      </c>
      <c r="BI349" s="825"/>
      <c r="BJ349" s="1305"/>
      <c r="BK349" s="1305"/>
      <c r="BL349" s="1305"/>
      <c r="BM349" s="1305"/>
      <c r="BN349" s="1305"/>
      <c r="BO349" s="1305"/>
      <c r="BP349" s="1305"/>
    </row>
    <row r="350" s="1265" customFormat="1" ht="31" customHeight="1" spans="1:68">
      <c r="A350" s="1304">
        <v>45828</v>
      </c>
      <c r="B350" s="822" t="s">
        <v>325</v>
      </c>
      <c r="C350" s="633" t="s">
        <v>98</v>
      </c>
      <c r="D350" s="825">
        <v>4500170678</v>
      </c>
      <c r="E350" s="633" t="s">
        <v>1566</v>
      </c>
      <c r="F350" s="1305" t="s">
        <v>1567</v>
      </c>
      <c r="G350" s="659" t="s">
        <v>249</v>
      </c>
      <c r="H350" s="633" t="s">
        <v>250</v>
      </c>
      <c r="I350" s="633">
        <v>3368</v>
      </c>
      <c r="J350" s="633">
        <v>0</v>
      </c>
      <c r="K350" s="633">
        <v>4</v>
      </c>
      <c r="L350" s="827">
        <f t="shared" si="99"/>
        <v>842</v>
      </c>
      <c r="M350" s="828">
        <v>45890</v>
      </c>
      <c r="N350" s="828">
        <v>45888</v>
      </c>
      <c r="O350" s="824"/>
      <c r="P350" s="824" t="s">
        <v>113</v>
      </c>
      <c r="Q350" s="633"/>
      <c r="R350" s="829">
        <v>45853</v>
      </c>
      <c r="S350" s="829" t="s">
        <v>104</v>
      </c>
      <c r="T350" s="829">
        <v>45853</v>
      </c>
      <c r="U350" s="829"/>
      <c r="V350" s="829"/>
      <c r="W350" s="829"/>
      <c r="X350" s="822" t="s">
        <v>1568</v>
      </c>
      <c r="Y350" s="828" t="s">
        <v>252</v>
      </c>
      <c r="Z350" s="1306">
        <v>2.8095</v>
      </c>
      <c r="AA350" s="831">
        <f t="shared" si="105"/>
        <v>9462.396</v>
      </c>
      <c r="AC350" s="632" t="s">
        <v>1569</v>
      </c>
      <c r="AD350" s="633" t="s">
        <v>249</v>
      </c>
      <c r="AE350" s="633" t="s">
        <v>82</v>
      </c>
      <c r="AF350" s="633"/>
      <c r="AG350" s="618"/>
      <c r="AH350" s="618"/>
      <c r="AI350" s="1308">
        <f>1440+1928</f>
        <v>3368</v>
      </c>
      <c r="AJ350" s="824">
        <f t="shared" si="103"/>
        <v>0</v>
      </c>
      <c r="AK350" s="633"/>
      <c r="AL350" s="633"/>
      <c r="AM350" s="633"/>
      <c r="AN350" s="825"/>
      <c r="AO350" s="687"/>
      <c r="AP350" s="687">
        <f>I350</f>
        <v>3368</v>
      </c>
      <c r="AQ350" s="687"/>
      <c r="AR350" s="825"/>
      <c r="AS350" s="687"/>
      <c r="AT350" s="687"/>
      <c r="AU350" s="825"/>
      <c r="AV350" s="825"/>
      <c r="AW350" s="825">
        <f t="shared" si="106"/>
        <v>3368</v>
      </c>
      <c r="AX350" s="825"/>
      <c r="AY350" s="1305"/>
      <c r="AZ350" s="1305"/>
      <c r="BA350" s="1305"/>
      <c r="BB350" s="1305"/>
      <c r="BC350" s="1305"/>
      <c r="BD350" s="1305"/>
      <c r="BE350" s="1305"/>
      <c r="BF350" s="1305">
        <f>I350</f>
        <v>3368</v>
      </c>
      <c r="BG350" s="1305">
        <f>I350</f>
        <v>3368</v>
      </c>
      <c r="BH350" s="825">
        <f t="shared" si="108"/>
        <v>842</v>
      </c>
      <c r="BI350" s="825"/>
      <c r="BJ350" s="1305"/>
      <c r="BK350" s="1305"/>
      <c r="BL350" s="1305"/>
      <c r="BM350" s="1305"/>
      <c r="BN350" s="1305"/>
      <c r="BO350" s="1305"/>
      <c r="BP350" s="1305"/>
    </row>
    <row r="351" s="1265" customFormat="1" ht="31" customHeight="1" spans="1:68">
      <c r="A351" s="1304">
        <v>45840</v>
      </c>
      <c r="B351" s="822" t="s">
        <v>135</v>
      </c>
      <c r="C351" s="633" t="s">
        <v>128</v>
      </c>
      <c r="D351" s="825">
        <v>4500172403</v>
      </c>
      <c r="E351" s="633">
        <v>20862336</v>
      </c>
      <c r="F351" s="1305" t="s">
        <v>1570</v>
      </c>
      <c r="G351" s="659" t="s">
        <v>518</v>
      </c>
      <c r="H351" s="633" t="s">
        <v>477</v>
      </c>
      <c r="I351" s="633">
        <v>1350</v>
      </c>
      <c r="J351" s="633">
        <v>0</v>
      </c>
      <c r="K351" s="633">
        <v>6</v>
      </c>
      <c r="L351" s="827">
        <f t="shared" si="99"/>
        <v>225</v>
      </c>
      <c r="M351" s="828">
        <v>45901</v>
      </c>
      <c r="N351" s="828">
        <v>45891</v>
      </c>
      <c r="O351" s="824"/>
      <c r="P351" s="824" t="s">
        <v>113</v>
      </c>
      <c r="Q351" s="633" t="s">
        <v>1571</v>
      </c>
      <c r="R351" s="829">
        <v>45870</v>
      </c>
      <c r="S351" s="829" t="s">
        <v>104</v>
      </c>
      <c r="T351" s="829">
        <v>45877</v>
      </c>
      <c r="U351" s="829"/>
      <c r="V351" s="829"/>
      <c r="W351" s="829"/>
      <c r="X351" s="628" t="s">
        <v>1528</v>
      </c>
      <c r="Y351" s="828" t="s">
        <v>133</v>
      </c>
      <c r="Z351" s="1306">
        <v>7.0773</v>
      </c>
      <c r="AA351" s="831">
        <f t="shared" si="105"/>
        <v>9554.355</v>
      </c>
      <c r="AC351" s="1307" t="s">
        <v>1572</v>
      </c>
      <c r="AD351" s="633" t="s">
        <v>1306</v>
      </c>
      <c r="AE351" s="633" t="s">
        <v>82</v>
      </c>
      <c r="AF351" s="633"/>
      <c r="AG351" s="618"/>
      <c r="AH351" s="618"/>
      <c r="AI351" s="1308">
        <v>1350</v>
      </c>
      <c r="AJ351" s="824">
        <f t="shared" si="103"/>
        <v>0</v>
      </c>
      <c r="AK351" s="633"/>
      <c r="AL351" s="633"/>
      <c r="AM351" s="633"/>
      <c r="AN351" s="825">
        <f>I351</f>
        <v>1350</v>
      </c>
      <c r="AO351" s="687"/>
      <c r="AP351" s="687"/>
      <c r="AQ351" s="687"/>
      <c r="AR351" s="825">
        <f>I351</f>
        <v>1350</v>
      </c>
      <c r="AS351" s="687"/>
      <c r="AT351" s="687"/>
      <c r="AU351" s="825">
        <f>I351</f>
        <v>1350</v>
      </c>
      <c r="AV351" s="825"/>
      <c r="AW351" s="825">
        <f t="shared" si="106"/>
        <v>1350</v>
      </c>
      <c r="AX351" s="825"/>
      <c r="AY351" s="1305"/>
      <c r="AZ351" s="1305"/>
      <c r="BA351" s="1305"/>
      <c r="BB351" s="1305"/>
      <c r="BC351" s="1305"/>
      <c r="BD351" s="1305"/>
      <c r="BE351" s="1305"/>
      <c r="BF351" s="1305"/>
      <c r="BG351" s="1305"/>
      <c r="BH351" s="1305"/>
      <c r="BI351" s="825"/>
      <c r="BJ351" s="1305"/>
      <c r="BK351" s="1305"/>
      <c r="BL351" s="1305"/>
      <c r="BM351" s="825"/>
      <c r="BN351" s="1305">
        <f>I351</f>
        <v>1350</v>
      </c>
      <c r="BO351" s="1305"/>
      <c r="BP351" s="1305"/>
    </row>
    <row r="352" s="1265" customFormat="1" ht="31" customHeight="1" spans="1:68">
      <c r="A352" s="1304">
        <v>45840</v>
      </c>
      <c r="B352" s="822" t="s">
        <v>139</v>
      </c>
      <c r="C352" s="633" t="s">
        <v>76</v>
      </c>
      <c r="D352" s="825">
        <v>4500172405</v>
      </c>
      <c r="E352" s="633">
        <v>20862342</v>
      </c>
      <c r="F352" s="1305" t="s">
        <v>1573</v>
      </c>
      <c r="G352" s="659" t="s">
        <v>518</v>
      </c>
      <c r="H352" s="633" t="s">
        <v>477</v>
      </c>
      <c r="I352" s="633">
        <v>150</v>
      </c>
      <c r="J352" s="633">
        <v>0</v>
      </c>
      <c r="K352" s="633">
        <v>6</v>
      </c>
      <c r="L352" s="827">
        <f t="shared" si="99"/>
        <v>25</v>
      </c>
      <c r="M352" s="828">
        <v>45901</v>
      </c>
      <c r="N352" s="828">
        <v>45891</v>
      </c>
      <c r="O352" s="824"/>
      <c r="P352" s="824" t="s">
        <v>113</v>
      </c>
      <c r="Q352" s="633" t="s">
        <v>1571</v>
      </c>
      <c r="R352" s="829">
        <v>45869</v>
      </c>
      <c r="S352" s="829" t="s">
        <v>104</v>
      </c>
      <c r="T352" s="829">
        <v>45880</v>
      </c>
      <c r="U352" s="829"/>
      <c r="V352" s="829"/>
      <c r="W352" s="829"/>
      <c r="X352" s="628" t="s">
        <v>1304</v>
      </c>
      <c r="Y352" s="828" t="s">
        <v>133</v>
      </c>
      <c r="Z352" s="1306">
        <v>7.4117</v>
      </c>
      <c r="AA352" s="831">
        <f t="shared" si="105"/>
        <v>1111.755</v>
      </c>
      <c r="AC352" s="1307" t="s">
        <v>1574</v>
      </c>
      <c r="AD352" s="633" t="s">
        <v>1306</v>
      </c>
      <c r="AE352" s="633" t="s">
        <v>82</v>
      </c>
      <c r="AF352" s="633"/>
      <c r="AG352" s="618"/>
      <c r="AH352" s="618"/>
      <c r="AI352" s="1308">
        <v>150</v>
      </c>
      <c r="AJ352" s="824">
        <f t="shared" si="103"/>
        <v>0</v>
      </c>
      <c r="AK352" s="633"/>
      <c r="AL352" s="633"/>
      <c r="AM352" s="633"/>
      <c r="AN352" s="825">
        <f>I352</f>
        <v>150</v>
      </c>
      <c r="AO352" s="687"/>
      <c r="AP352" s="687"/>
      <c r="AQ352" s="687"/>
      <c r="AR352" s="825">
        <f>I352</f>
        <v>150</v>
      </c>
      <c r="AS352" s="687"/>
      <c r="AT352" s="687"/>
      <c r="AU352" s="825">
        <f>I352</f>
        <v>150</v>
      </c>
      <c r="AV352" s="825"/>
      <c r="AW352" s="825">
        <f t="shared" si="106"/>
        <v>150</v>
      </c>
      <c r="AX352" s="825"/>
      <c r="AY352" s="1305"/>
      <c r="AZ352" s="1305"/>
      <c r="BA352" s="1305"/>
      <c r="BB352" s="1305"/>
      <c r="BC352" s="1305"/>
      <c r="BD352" s="1305"/>
      <c r="BE352" s="1305"/>
      <c r="BF352" s="1305"/>
      <c r="BG352" s="1305"/>
      <c r="BH352" s="1305"/>
      <c r="BI352" s="825"/>
      <c r="BJ352" s="1305"/>
      <c r="BK352" s="1305"/>
      <c r="BL352" s="1305"/>
      <c r="BM352" s="825"/>
      <c r="BN352" s="1305">
        <f>I352</f>
        <v>150</v>
      </c>
      <c r="BO352" s="1305"/>
      <c r="BP352" s="1305"/>
    </row>
    <row r="353" s="1265" customFormat="1" ht="31" customHeight="1" spans="1:69">
      <c r="A353" s="1304">
        <v>45678</v>
      </c>
      <c r="B353" s="822" t="s">
        <v>1492</v>
      </c>
      <c r="C353" s="633" t="s">
        <v>98</v>
      </c>
      <c r="D353" s="825">
        <v>4500156313</v>
      </c>
      <c r="E353" s="1413" t="s">
        <v>1575</v>
      </c>
      <c r="F353" s="1305" t="s">
        <v>1576</v>
      </c>
      <c r="G353" s="659" t="s">
        <v>909</v>
      </c>
      <c r="H353" s="633" t="s">
        <v>830</v>
      </c>
      <c r="I353" s="633">
        <v>72</v>
      </c>
      <c r="J353" s="633">
        <v>0</v>
      </c>
      <c r="K353" s="633">
        <v>1</v>
      </c>
      <c r="L353" s="827">
        <f t="shared" si="99"/>
        <v>72</v>
      </c>
      <c r="M353" s="828">
        <v>45890</v>
      </c>
      <c r="N353" s="828">
        <v>45887</v>
      </c>
      <c r="O353" s="824"/>
      <c r="P353" s="824" t="s">
        <v>113</v>
      </c>
      <c r="Q353" s="633"/>
      <c r="R353" s="829">
        <v>45832</v>
      </c>
      <c r="S353" s="829" t="s">
        <v>70</v>
      </c>
      <c r="T353" s="829" t="s">
        <v>70</v>
      </c>
      <c r="U353" s="829"/>
      <c r="V353" s="829"/>
      <c r="W353" s="829"/>
      <c r="X353" s="628" t="s">
        <v>1577</v>
      </c>
      <c r="Y353" s="828" t="s">
        <v>911</v>
      </c>
      <c r="Z353" s="1306">
        <v>0</v>
      </c>
      <c r="AA353" s="831">
        <f>Z353*L353</f>
        <v>0</v>
      </c>
      <c r="AC353" s="617" t="s">
        <v>1578</v>
      </c>
      <c r="AD353" s="633" t="s">
        <v>1498</v>
      </c>
      <c r="AE353" s="633" t="s">
        <v>82</v>
      </c>
      <c r="AF353" s="633"/>
      <c r="AG353" s="618"/>
      <c r="AH353" s="618"/>
      <c r="AI353" s="1308">
        <f>2840+2560</f>
        <v>5400</v>
      </c>
      <c r="AJ353" s="824">
        <v>0</v>
      </c>
      <c r="AK353" s="633"/>
      <c r="AL353" s="633"/>
      <c r="AM353" s="633"/>
      <c r="AN353" s="825"/>
      <c r="AO353" s="687">
        <v>0</v>
      </c>
      <c r="AP353" s="687"/>
      <c r="AQ353" s="687"/>
      <c r="AR353" s="825"/>
      <c r="AS353" s="687"/>
      <c r="AT353" s="687"/>
      <c r="AU353" s="825"/>
      <c r="AV353" s="825"/>
      <c r="AW353" s="825"/>
      <c r="AX353" s="825"/>
      <c r="AY353" s="1305"/>
      <c r="AZ353" s="1305"/>
      <c r="BA353" s="1305"/>
      <c r="BB353" s="1305"/>
      <c r="BC353" s="1305"/>
      <c r="BD353" s="1305"/>
      <c r="BE353" s="1305"/>
      <c r="BF353" s="1305"/>
      <c r="BG353" s="1305"/>
      <c r="BH353" s="1305"/>
      <c r="BI353" s="825"/>
      <c r="BJ353" s="1305"/>
      <c r="BK353" s="1305"/>
      <c r="BL353" s="1305"/>
      <c r="BM353" s="1305"/>
      <c r="BN353" s="1305"/>
      <c r="BO353" s="1305"/>
      <c r="BP353" s="1305"/>
    </row>
    <row r="354" s="1265" customFormat="1" ht="31" customHeight="1" spans="1:69">
      <c r="A354" s="1304">
        <v>45678</v>
      </c>
      <c r="B354" s="822" t="s">
        <v>1492</v>
      </c>
      <c r="C354" s="633" t="s">
        <v>98</v>
      </c>
      <c r="D354" s="825">
        <v>4500156313</v>
      </c>
      <c r="E354" s="1413" t="s">
        <v>1575</v>
      </c>
      <c r="F354" s="1305" t="s">
        <v>1576</v>
      </c>
      <c r="G354" s="659">
        <v>77673</v>
      </c>
      <c r="H354" s="633" t="s">
        <v>112</v>
      </c>
      <c r="I354" s="633">
        <v>5400</v>
      </c>
      <c r="J354" s="633">
        <v>0</v>
      </c>
      <c r="K354" s="633">
        <v>75</v>
      </c>
      <c r="L354" s="827">
        <f t="shared" si="99"/>
        <v>72</v>
      </c>
      <c r="M354" s="828">
        <v>45890</v>
      </c>
      <c r="N354" s="828">
        <v>45887</v>
      </c>
      <c r="O354" s="824"/>
      <c r="P354" s="824" t="s">
        <v>113</v>
      </c>
      <c r="Q354" s="633"/>
      <c r="R354" s="829">
        <v>45832</v>
      </c>
      <c r="S354" s="829" t="s">
        <v>70</v>
      </c>
      <c r="T354" s="829" t="s">
        <v>70</v>
      </c>
      <c r="U354" s="829"/>
      <c r="V354" s="829"/>
      <c r="W354" s="829"/>
      <c r="X354" s="822"/>
      <c r="Y354" s="828" t="s">
        <v>911</v>
      </c>
      <c r="Z354" s="1306">
        <v>762.5</v>
      </c>
      <c r="AA354" s="831">
        <f>Z354*L354</f>
        <v>54900</v>
      </c>
      <c r="AC354" s="617" t="s">
        <v>1578</v>
      </c>
      <c r="AD354" s="633" t="s">
        <v>1498</v>
      </c>
      <c r="AE354" s="633" t="s">
        <v>82</v>
      </c>
      <c r="AF354" s="633"/>
      <c r="AG354" s="618"/>
      <c r="AH354" s="618"/>
      <c r="AI354" s="1308">
        <v>0</v>
      </c>
      <c r="AJ354" s="824">
        <v>0</v>
      </c>
      <c r="AK354" s="633"/>
      <c r="AL354" s="633"/>
      <c r="AM354" s="633"/>
      <c r="AN354" s="825"/>
      <c r="AO354" s="687">
        <f>I354</f>
        <v>5400</v>
      </c>
      <c r="AP354" s="687"/>
      <c r="AQ354" s="687"/>
      <c r="AR354" s="825"/>
      <c r="AS354" s="687"/>
      <c r="AT354" s="687"/>
      <c r="AU354" s="825"/>
      <c r="AV354" s="825"/>
      <c r="AW354" s="825"/>
      <c r="AX354" s="825"/>
      <c r="AY354" s="1305"/>
      <c r="AZ354" s="1305"/>
      <c r="BA354" s="1305">
        <f>I354</f>
        <v>5400</v>
      </c>
      <c r="BB354" s="1305">
        <f>I354</f>
        <v>5400</v>
      </c>
      <c r="BC354" s="1305">
        <f>I354</f>
        <v>5400</v>
      </c>
      <c r="BD354" s="1305"/>
      <c r="BE354" s="1305"/>
      <c r="BF354" s="1305"/>
      <c r="BG354" s="1305"/>
      <c r="BH354" s="1305"/>
      <c r="BI354" s="825"/>
      <c r="BJ354" s="1305"/>
      <c r="BK354" s="1305">
        <f>I354</f>
        <v>5400</v>
      </c>
      <c r="BL354" s="1305">
        <f>I354/5</f>
        <v>1080</v>
      </c>
      <c r="BM354" s="1305"/>
      <c r="BN354" s="1305"/>
      <c r="BO354" s="1305"/>
      <c r="BP354" s="1305"/>
    </row>
    <row r="355" s="1265" customFormat="1" ht="31" customHeight="1" spans="1:69">
      <c r="A355" s="1304">
        <v>45775</v>
      </c>
      <c r="B355" s="822" t="s">
        <v>1579</v>
      </c>
      <c r="C355" s="633" t="s">
        <v>399</v>
      </c>
      <c r="D355" s="825">
        <v>4500167721</v>
      </c>
      <c r="E355" s="633">
        <v>5510041521</v>
      </c>
      <c r="F355" s="1305" t="s">
        <v>1580</v>
      </c>
      <c r="G355" s="659">
        <v>77673</v>
      </c>
      <c r="H355" s="633" t="s">
        <v>1581</v>
      </c>
      <c r="I355" s="633">
        <v>1350</v>
      </c>
      <c r="J355" s="633">
        <v>0</v>
      </c>
      <c r="K355" s="633">
        <v>75</v>
      </c>
      <c r="L355" s="827">
        <f t="shared" si="99"/>
        <v>18</v>
      </c>
      <c r="M355" s="828">
        <v>45889</v>
      </c>
      <c r="N355" s="828">
        <v>45885</v>
      </c>
      <c r="O355" s="824" t="s">
        <v>950</v>
      </c>
      <c r="P355" s="824" t="s">
        <v>113</v>
      </c>
      <c r="Q355" s="633"/>
      <c r="R355" s="829">
        <v>45786</v>
      </c>
      <c r="S355" s="829" t="s">
        <v>70</v>
      </c>
      <c r="T355" s="829" t="s">
        <v>70</v>
      </c>
      <c r="U355" s="829"/>
      <c r="V355" s="829"/>
      <c r="W355" s="829"/>
      <c r="X355" s="822" t="s">
        <v>1582</v>
      </c>
      <c r="Y355" s="828" t="s">
        <v>1583</v>
      </c>
      <c r="Z355" s="1306">
        <v>787.0306</v>
      </c>
      <c r="AA355" s="831">
        <f>Z355*L356</f>
        <v>14166.5508</v>
      </c>
      <c r="AC355" s="617" t="s">
        <v>1584</v>
      </c>
      <c r="AD355" s="633" t="s">
        <v>829</v>
      </c>
      <c r="AE355" s="633" t="s">
        <v>82</v>
      </c>
      <c r="AF355" s="633"/>
      <c r="AG355" s="618"/>
      <c r="AH355" s="618"/>
      <c r="AI355" s="1308">
        <f>1200+150</f>
        <v>1350</v>
      </c>
      <c r="AJ355" s="824">
        <f>AI355-I355</f>
        <v>0</v>
      </c>
      <c r="AK355" s="633"/>
      <c r="AL355" s="633"/>
      <c r="AM355" s="633"/>
      <c r="AN355" s="825"/>
      <c r="AO355" s="687"/>
      <c r="AP355" s="687"/>
      <c r="AQ355" s="687">
        <f>I355</f>
        <v>1350</v>
      </c>
      <c r="AR355" s="825"/>
      <c r="AS355" s="687"/>
      <c r="AT355" s="687"/>
      <c r="AU355" s="825"/>
      <c r="AV355" s="825"/>
      <c r="AW355" s="825">
        <f>I355</f>
        <v>1350</v>
      </c>
      <c r="AX355" s="825"/>
      <c r="AY355" s="1305"/>
      <c r="AZ355" s="1305"/>
      <c r="BA355" s="1305">
        <f>I355</f>
        <v>1350</v>
      </c>
      <c r="BB355" s="1305">
        <f>I355</f>
        <v>1350</v>
      </c>
      <c r="BC355" s="1305">
        <f>I355</f>
        <v>1350</v>
      </c>
      <c r="BD355" s="1305"/>
      <c r="BE355" s="1305"/>
      <c r="BF355" s="1305"/>
      <c r="BG355" s="1305"/>
      <c r="BH355" s="1305"/>
      <c r="BI355" s="825"/>
      <c r="BJ355" s="1305"/>
      <c r="BK355" s="1305"/>
      <c r="BL355" s="1305"/>
      <c r="BM355" s="1305"/>
      <c r="BN355" s="1305"/>
      <c r="BO355" s="1305"/>
      <c r="BP355" s="1305"/>
    </row>
    <row r="356" s="1265" customFormat="1" ht="31" customHeight="1" spans="1:69">
      <c r="A356" s="1304">
        <v>45791</v>
      </c>
      <c r="B356" s="822" t="s">
        <v>1579</v>
      </c>
      <c r="C356" s="633" t="s">
        <v>399</v>
      </c>
      <c r="D356" s="825">
        <v>4500167721</v>
      </c>
      <c r="E356" s="633">
        <v>5510041521</v>
      </c>
      <c r="F356" s="1305" t="s">
        <v>1580</v>
      </c>
      <c r="G356" s="659" t="s">
        <v>829</v>
      </c>
      <c r="H356" s="633" t="s">
        <v>830</v>
      </c>
      <c r="I356" s="633">
        <v>18</v>
      </c>
      <c r="J356" s="633">
        <v>0</v>
      </c>
      <c r="K356" s="633">
        <v>1</v>
      </c>
      <c r="L356" s="827">
        <f t="shared" si="99"/>
        <v>18</v>
      </c>
      <c r="M356" s="828">
        <v>45889</v>
      </c>
      <c r="N356" s="828">
        <v>45885</v>
      </c>
      <c r="O356" s="824" t="s">
        <v>950</v>
      </c>
      <c r="P356" s="824" t="s">
        <v>113</v>
      </c>
      <c r="Q356" s="633"/>
      <c r="R356" s="829">
        <v>45786</v>
      </c>
      <c r="S356" s="829" t="s">
        <v>70</v>
      </c>
      <c r="T356" s="829" t="s">
        <v>70</v>
      </c>
      <c r="U356" s="829"/>
      <c r="V356" s="829"/>
      <c r="W356" s="829"/>
      <c r="X356" s="822" t="s">
        <v>1582</v>
      </c>
      <c r="Y356" s="828" t="s">
        <v>1583</v>
      </c>
      <c r="Z356" s="1306">
        <v>0</v>
      </c>
      <c r="AA356" s="831">
        <f t="shared" ref="AA356:AA364" si="109">Z356*L356</f>
        <v>0</v>
      </c>
      <c r="AC356" s="617" t="s">
        <v>1584</v>
      </c>
      <c r="AD356" s="633" t="s">
        <v>829</v>
      </c>
      <c r="AE356" s="633" t="s">
        <v>82</v>
      </c>
      <c r="AF356" s="633"/>
      <c r="AG356" s="618"/>
      <c r="AH356" s="618"/>
      <c r="AI356" s="1308">
        <v>0</v>
      </c>
      <c r="AJ356" s="824">
        <v>0</v>
      </c>
      <c r="AK356" s="633"/>
      <c r="AL356" s="633"/>
      <c r="AM356" s="633"/>
      <c r="AN356" s="825"/>
      <c r="AO356" s="687"/>
      <c r="AP356" s="687"/>
      <c r="AQ356" s="687"/>
      <c r="AR356" s="825"/>
      <c r="AS356" s="687"/>
      <c r="AT356" s="687"/>
      <c r="AU356" s="825"/>
      <c r="AV356" s="825"/>
      <c r="AW356" s="825"/>
      <c r="AX356" s="825"/>
      <c r="AY356" s="1305"/>
      <c r="AZ356" s="1305"/>
      <c r="BA356" s="1305"/>
      <c r="BB356" s="1305"/>
      <c r="BC356" s="1305"/>
      <c r="BD356" s="1305"/>
      <c r="BE356" s="1305"/>
      <c r="BF356" s="1305"/>
      <c r="BG356" s="1305"/>
      <c r="BH356" s="1305"/>
      <c r="BI356" s="825"/>
      <c r="BJ356" s="1305"/>
      <c r="BK356" s="1305"/>
      <c r="BL356" s="1305"/>
      <c r="BM356" s="1305"/>
      <c r="BN356" s="1305"/>
      <c r="BO356" s="1305"/>
      <c r="BP356" s="1305"/>
    </row>
    <row r="357" s="1265" customFormat="1" ht="31" customHeight="1" spans="1:69">
      <c r="A357" s="1304">
        <v>45678</v>
      </c>
      <c r="B357" s="822" t="s">
        <v>1492</v>
      </c>
      <c r="C357" s="633" t="s">
        <v>98</v>
      </c>
      <c r="D357" s="825">
        <v>4500156314</v>
      </c>
      <c r="E357" s="1413" t="s">
        <v>1585</v>
      </c>
      <c r="F357" s="1305" t="s">
        <v>1586</v>
      </c>
      <c r="G357" s="659" t="s">
        <v>909</v>
      </c>
      <c r="H357" s="633" t="s">
        <v>830</v>
      </c>
      <c r="I357" s="633">
        <v>72</v>
      </c>
      <c r="J357" s="633">
        <v>0</v>
      </c>
      <c r="K357" s="633">
        <v>1</v>
      </c>
      <c r="L357" s="827">
        <f t="shared" si="99"/>
        <v>72</v>
      </c>
      <c r="M357" s="828">
        <v>45891</v>
      </c>
      <c r="N357" s="828">
        <v>45887</v>
      </c>
      <c r="O357" s="824"/>
      <c r="P357" s="824" t="s">
        <v>113</v>
      </c>
      <c r="Q357" s="633"/>
      <c r="R357" s="829">
        <v>45832</v>
      </c>
      <c r="S357" s="829" t="s">
        <v>70</v>
      </c>
      <c r="T357" s="829" t="s">
        <v>70</v>
      </c>
      <c r="U357" s="829"/>
      <c r="V357" s="829"/>
      <c r="W357" s="829"/>
      <c r="X357" s="628" t="s">
        <v>1587</v>
      </c>
      <c r="Y357" s="828" t="s">
        <v>911</v>
      </c>
      <c r="Z357" s="1306">
        <v>0</v>
      </c>
      <c r="AA357" s="831">
        <f t="shared" si="109"/>
        <v>0</v>
      </c>
      <c r="AC357" s="632" t="s">
        <v>1588</v>
      </c>
      <c r="AD357" s="633" t="s">
        <v>1498</v>
      </c>
      <c r="AE357" s="633" t="s">
        <v>82</v>
      </c>
      <c r="AF357" s="633"/>
      <c r="AG357" s="618"/>
      <c r="AH357" s="618"/>
      <c r="AI357" s="1308">
        <f>1920+3160+320</f>
        <v>5400</v>
      </c>
      <c r="AJ357" s="824">
        <v>0</v>
      </c>
      <c r="AK357" s="633"/>
      <c r="AL357" s="633"/>
      <c r="AM357" s="633"/>
      <c r="AN357" s="825"/>
      <c r="AO357" s="687">
        <v>0</v>
      </c>
      <c r="AP357" s="687"/>
      <c r="AQ357" s="687"/>
      <c r="AR357" s="825"/>
      <c r="AS357" s="687"/>
      <c r="AT357" s="687"/>
      <c r="AU357" s="825"/>
      <c r="AV357" s="825"/>
      <c r="AW357" s="825"/>
      <c r="AX357" s="825"/>
      <c r="AY357" s="1305"/>
      <c r="AZ357" s="1305"/>
      <c r="BA357" s="1305"/>
      <c r="BB357" s="1305"/>
      <c r="BC357" s="1305"/>
      <c r="BD357" s="1305"/>
      <c r="BE357" s="1305"/>
      <c r="BF357" s="1305"/>
      <c r="BG357" s="1305"/>
      <c r="BH357" s="1305"/>
      <c r="BI357" s="825"/>
      <c r="BJ357" s="1305"/>
      <c r="BK357" s="1305"/>
      <c r="BL357" s="1305"/>
      <c r="BM357" s="1305"/>
      <c r="BN357" s="1305"/>
      <c r="BO357" s="1305"/>
      <c r="BP357" s="1305"/>
    </row>
    <row r="358" s="1265" customFormat="1" ht="31" customHeight="1" spans="1:69">
      <c r="A358" s="1304">
        <v>45678</v>
      </c>
      <c r="B358" s="822" t="s">
        <v>1492</v>
      </c>
      <c r="C358" s="633" t="s">
        <v>98</v>
      </c>
      <c r="D358" s="825">
        <v>4500156314</v>
      </c>
      <c r="E358" s="1413" t="s">
        <v>1585</v>
      </c>
      <c r="F358" s="1305" t="s">
        <v>1586</v>
      </c>
      <c r="G358" s="659">
        <v>77673</v>
      </c>
      <c r="H358" s="633" t="s">
        <v>112</v>
      </c>
      <c r="I358" s="633">
        <v>5400</v>
      </c>
      <c r="J358" s="633">
        <v>0</v>
      </c>
      <c r="K358" s="633">
        <v>75</v>
      </c>
      <c r="L358" s="827">
        <f t="shared" si="99"/>
        <v>72</v>
      </c>
      <c r="M358" s="828">
        <v>45891</v>
      </c>
      <c r="N358" s="828">
        <v>45887</v>
      </c>
      <c r="O358" s="824"/>
      <c r="P358" s="824" t="s">
        <v>113</v>
      </c>
      <c r="Q358" s="633"/>
      <c r="R358" s="829">
        <v>45832</v>
      </c>
      <c r="S358" s="829" t="s">
        <v>70</v>
      </c>
      <c r="T358" s="829" t="s">
        <v>70</v>
      </c>
      <c r="U358" s="829"/>
      <c r="V358" s="829"/>
      <c r="W358" s="829"/>
      <c r="X358" s="822"/>
      <c r="Y358" s="828" t="s">
        <v>911</v>
      </c>
      <c r="Z358" s="1306">
        <v>762.5</v>
      </c>
      <c r="AA358" s="831">
        <f t="shared" si="109"/>
        <v>54900</v>
      </c>
      <c r="AC358" s="632" t="s">
        <v>1588</v>
      </c>
      <c r="AD358" s="633" t="s">
        <v>1498</v>
      </c>
      <c r="AE358" s="633" t="s">
        <v>82</v>
      </c>
      <c r="AF358" s="633"/>
      <c r="AG358" s="618"/>
      <c r="AH358" s="618"/>
      <c r="AI358" s="1308">
        <v>0</v>
      </c>
      <c r="AJ358" s="824">
        <v>0</v>
      </c>
      <c r="AK358" s="633"/>
      <c r="AL358" s="633"/>
      <c r="AM358" s="633"/>
      <c r="AN358" s="825"/>
      <c r="AO358" s="687">
        <f>I358</f>
        <v>5400</v>
      </c>
      <c r="AP358" s="687"/>
      <c r="AQ358" s="687"/>
      <c r="AR358" s="825"/>
      <c r="AS358" s="687"/>
      <c r="AT358" s="687"/>
      <c r="AU358" s="825"/>
      <c r="AV358" s="825"/>
      <c r="AW358" s="825"/>
      <c r="AX358" s="825"/>
      <c r="AY358" s="1305"/>
      <c r="AZ358" s="1305"/>
      <c r="BA358" s="1305">
        <f>I358</f>
        <v>5400</v>
      </c>
      <c r="BB358" s="1305">
        <f>I358</f>
        <v>5400</v>
      </c>
      <c r="BC358" s="1305">
        <f>I358</f>
        <v>5400</v>
      </c>
      <c r="BD358" s="1305"/>
      <c r="BE358" s="1305"/>
      <c r="BF358" s="1305"/>
      <c r="BG358" s="1305"/>
      <c r="BH358" s="1305"/>
      <c r="BI358" s="825"/>
      <c r="BJ358" s="1305"/>
      <c r="BK358" s="1305">
        <f>I358</f>
        <v>5400</v>
      </c>
      <c r="BL358" s="1305">
        <f>I358/5</f>
        <v>1080</v>
      </c>
      <c r="BM358" s="1305"/>
      <c r="BN358" s="1305"/>
      <c r="BO358" s="1305"/>
      <c r="BP358" s="1305"/>
    </row>
    <row r="359" s="1265" customFormat="1" ht="31" customHeight="1" spans="1:69">
      <c r="A359" s="1304">
        <v>45678</v>
      </c>
      <c r="B359" s="822" t="s">
        <v>1492</v>
      </c>
      <c r="C359" s="633" t="s">
        <v>98</v>
      </c>
      <c r="D359" s="825">
        <v>4500156323</v>
      </c>
      <c r="E359" s="1413" t="s">
        <v>1589</v>
      </c>
      <c r="F359" s="1305" t="s">
        <v>1590</v>
      </c>
      <c r="G359" s="659" t="s">
        <v>909</v>
      </c>
      <c r="H359" s="633" t="s">
        <v>830</v>
      </c>
      <c r="I359" s="633">
        <v>72</v>
      </c>
      <c r="J359" s="633">
        <v>0</v>
      </c>
      <c r="K359" s="633">
        <v>1</v>
      </c>
      <c r="L359" s="827">
        <f t="shared" si="99"/>
        <v>72</v>
      </c>
      <c r="M359" s="828">
        <v>45896</v>
      </c>
      <c r="N359" s="828">
        <v>45892</v>
      </c>
      <c r="O359" s="824"/>
      <c r="P359" s="824" t="s">
        <v>113</v>
      </c>
      <c r="Q359" s="633"/>
      <c r="R359" s="829">
        <v>45832</v>
      </c>
      <c r="S359" s="829" t="s">
        <v>70</v>
      </c>
      <c r="T359" s="829" t="s">
        <v>70</v>
      </c>
      <c r="U359" s="829"/>
      <c r="V359" s="829"/>
      <c r="W359" s="829"/>
      <c r="X359" s="628" t="s">
        <v>1591</v>
      </c>
      <c r="Y359" s="828" t="s">
        <v>911</v>
      </c>
      <c r="Z359" s="1306">
        <v>0</v>
      </c>
      <c r="AA359" s="831">
        <f t="shared" si="109"/>
        <v>0</v>
      </c>
      <c r="AC359" s="632" t="s">
        <v>1592</v>
      </c>
      <c r="AD359" s="633" t="s">
        <v>1498</v>
      </c>
      <c r="AE359" s="633" t="s">
        <v>82</v>
      </c>
      <c r="AF359" s="633"/>
      <c r="AG359" s="618"/>
      <c r="AH359" s="618"/>
      <c r="AI359" s="1308">
        <f>1280+2240+1740+140</f>
        <v>5400</v>
      </c>
      <c r="AJ359" s="824">
        <v>0</v>
      </c>
      <c r="AK359" s="633"/>
      <c r="AL359" s="633"/>
      <c r="AM359" s="633"/>
      <c r="AN359" s="825"/>
      <c r="AO359" s="687">
        <v>0</v>
      </c>
      <c r="AP359" s="687"/>
      <c r="AQ359" s="687"/>
      <c r="AR359" s="825"/>
      <c r="AS359" s="687"/>
      <c r="AT359" s="687"/>
      <c r="AU359" s="825"/>
      <c r="AV359" s="825"/>
      <c r="AW359" s="825"/>
      <c r="AX359" s="825"/>
      <c r="AY359" s="1305"/>
      <c r="AZ359" s="1305"/>
      <c r="BA359" s="1305"/>
      <c r="BB359" s="1305"/>
      <c r="BC359" s="1305"/>
      <c r="BD359" s="1305"/>
      <c r="BE359" s="1305"/>
      <c r="BF359" s="1305"/>
      <c r="BG359" s="1305"/>
      <c r="BH359" s="1305"/>
      <c r="BI359" s="825"/>
      <c r="BJ359" s="1305"/>
      <c r="BK359" s="1305"/>
      <c r="BL359" s="1305"/>
      <c r="BM359" s="1305"/>
      <c r="BN359" s="1305"/>
      <c r="BO359" s="1305"/>
      <c r="BP359" s="1305"/>
    </row>
    <row r="360" s="1265" customFormat="1" ht="31" customHeight="1" spans="1:69">
      <c r="A360" s="1304">
        <v>45678</v>
      </c>
      <c r="B360" s="822" t="s">
        <v>1492</v>
      </c>
      <c r="C360" s="633" t="s">
        <v>98</v>
      </c>
      <c r="D360" s="825">
        <v>4500156323</v>
      </c>
      <c r="E360" s="1413" t="s">
        <v>1589</v>
      </c>
      <c r="F360" s="1305" t="s">
        <v>1590</v>
      </c>
      <c r="G360" s="659">
        <v>77673</v>
      </c>
      <c r="H360" s="633" t="s">
        <v>112</v>
      </c>
      <c r="I360" s="633">
        <v>5400</v>
      </c>
      <c r="J360" s="633">
        <v>0</v>
      </c>
      <c r="K360" s="633">
        <v>75</v>
      </c>
      <c r="L360" s="827">
        <f t="shared" si="99"/>
        <v>72</v>
      </c>
      <c r="M360" s="828">
        <v>45896</v>
      </c>
      <c r="N360" s="828">
        <v>45892</v>
      </c>
      <c r="O360" s="824"/>
      <c r="P360" s="824" t="s">
        <v>113</v>
      </c>
      <c r="Q360" s="633"/>
      <c r="R360" s="829">
        <v>45832</v>
      </c>
      <c r="S360" s="829" t="s">
        <v>70</v>
      </c>
      <c r="T360" s="829" t="s">
        <v>70</v>
      </c>
      <c r="U360" s="829"/>
      <c r="V360" s="829"/>
      <c r="W360" s="829"/>
      <c r="X360" s="822"/>
      <c r="Y360" s="828" t="s">
        <v>911</v>
      </c>
      <c r="Z360" s="1306">
        <v>762.5</v>
      </c>
      <c r="AA360" s="831">
        <f t="shared" si="109"/>
        <v>54900</v>
      </c>
      <c r="AC360" s="632" t="s">
        <v>1592</v>
      </c>
      <c r="AD360" s="633" t="s">
        <v>1498</v>
      </c>
      <c r="AE360" s="633" t="s">
        <v>82</v>
      </c>
      <c r="AF360" s="633"/>
      <c r="AG360" s="618"/>
      <c r="AH360" s="618"/>
      <c r="AI360" s="1308">
        <v>0</v>
      </c>
      <c r="AJ360" s="824">
        <v>0</v>
      </c>
      <c r="AK360" s="633"/>
      <c r="AL360" s="633"/>
      <c r="AM360" s="633"/>
      <c r="AN360" s="825"/>
      <c r="AO360" s="687">
        <f>I360</f>
        <v>5400</v>
      </c>
      <c r="AP360" s="687"/>
      <c r="AQ360" s="687"/>
      <c r="AR360" s="825"/>
      <c r="AS360" s="687"/>
      <c r="AT360" s="687"/>
      <c r="AU360" s="825"/>
      <c r="AV360" s="825"/>
      <c r="AW360" s="825"/>
      <c r="AX360" s="825"/>
      <c r="AY360" s="1305"/>
      <c r="AZ360" s="1305"/>
      <c r="BA360" s="1305">
        <f>I360</f>
        <v>5400</v>
      </c>
      <c r="BB360" s="1305">
        <f>I360</f>
        <v>5400</v>
      </c>
      <c r="BC360" s="1305">
        <f>I360</f>
        <v>5400</v>
      </c>
      <c r="BD360" s="1305"/>
      <c r="BE360" s="1305"/>
      <c r="BF360" s="1305"/>
      <c r="BG360" s="1305"/>
      <c r="BH360" s="1305"/>
      <c r="BI360" s="825"/>
      <c r="BJ360" s="1305"/>
      <c r="BK360" s="1305">
        <f>I360</f>
        <v>5400</v>
      </c>
      <c r="BL360" s="1305">
        <f>I360/5</f>
        <v>1080</v>
      </c>
      <c r="BM360" s="1305"/>
      <c r="BN360" s="1305"/>
      <c r="BO360" s="1305"/>
      <c r="BP360" s="1305"/>
    </row>
    <row r="361" s="1265" customFormat="1" ht="31" customHeight="1" spans="1:69">
      <c r="A361" s="1304">
        <v>45678</v>
      </c>
      <c r="B361" s="822" t="s">
        <v>1492</v>
      </c>
      <c r="C361" s="633" t="s">
        <v>98</v>
      </c>
      <c r="D361" s="825">
        <v>4500156326</v>
      </c>
      <c r="E361" s="1413" t="s">
        <v>1593</v>
      </c>
      <c r="F361" s="1305" t="s">
        <v>1594</v>
      </c>
      <c r="G361" s="659" t="s">
        <v>909</v>
      </c>
      <c r="H361" s="633" t="s">
        <v>830</v>
      </c>
      <c r="I361" s="633">
        <v>72</v>
      </c>
      <c r="J361" s="633">
        <v>0</v>
      </c>
      <c r="K361" s="633">
        <v>1</v>
      </c>
      <c r="L361" s="827">
        <f t="shared" si="99"/>
        <v>72</v>
      </c>
      <c r="M361" s="828">
        <v>45896</v>
      </c>
      <c r="N361" s="828">
        <v>45894</v>
      </c>
      <c r="O361" s="824"/>
      <c r="P361" s="824" t="s">
        <v>113</v>
      </c>
      <c r="Q361" s="633"/>
      <c r="R361" s="829">
        <v>45832</v>
      </c>
      <c r="S361" s="829" t="s">
        <v>70</v>
      </c>
      <c r="T361" s="829" t="s">
        <v>70</v>
      </c>
      <c r="U361" s="829"/>
      <c r="V361" s="829"/>
      <c r="W361" s="829"/>
      <c r="X361" s="628" t="s">
        <v>1595</v>
      </c>
      <c r="Y361" s="828" t="s">
        <v>911</v>
      </c>
      <c r="Z361" s="1306">
        <v>0</v>
      </c>
      <c r="AA361" s="831">
        <f t="shared" si="109"/>
        <v>0</v>
      </c>
      <c r="AC361" s="617" t="s">
        <v>1596</v>
      </c>
      <c r="AD361" s="633" t="s">
        <v>1498</v>
      </c>
      <c r="AE361" s="633" t="s">
        <v>82</v>
      </c>
      <c r="AF361" s="633"/>
      <c r="AG361" s="618"/>
      <c r="AH361" s="618"/>
      <c r="AI361" s="1308">
        <f>2280+3120</f>
        <v>5400</v>
      </c>
      <c r="AJ361" s="824">
        <v>0</v>
      </c>
      <c r="AK361" s="633"/>
      <c r="AL361" s="633"/>
      <c r="AM361" s="633"/>
      <c r="AN361" s="825"/>
      <c r="AO361" s="687">
        <v>0</v>
      </c>
      <c r="AP361" s="687"/>
      <c r="AQ361" s="687"/>
      <c r="AR361" s="825"/>
      <c r="AS361" s="687"/>
      <c r="AT361" s="687"/>
      <c r="AU361" s="825"/>
      <c r="AV361" s="825"/>
      <c r="AW361" s="825"/>
      <c r="AX361" s="825"/>
      <c r="AY361" s="1305"/>
      <c r="AZ361" s="1305"/>
      <c r="BA361" s="1305"/>
      <c r="BB361" s="1305"/>
      <c r="BC361" s="1305"/>
      <c r="BD361" s="1305"/>
      <c r="BE361" s="1305"/>
      <c r="BF361" s="1305"/>
      <c r="BG361" s="1305"/>
      <c r="BH361" s="1305"/>
      <c r="BI361" s="825"/>
      <c r="BJ361" s="1305"/>
      <c r="BK361" s="1305"/>
      <c r="BL361" s="1305"/>
      <c r="BM361" s="1305"/>
      <c r="BN361" s="1305"/>
      <c r="BO361" s="1305"/>
      <c r="BP361" s="1305"/>
    </row>
    <row r="362" s="1265" customFormat="1" ht="31" customHeight="1" spans="1:69">
      <c r="A362" s="1304">
        <v>45678</v>
      </c>
      <c r="B362" s="822" t="s">
        <v>1492</v>
      </c>
      <c r="C362" s="633" t="s">
        <v>98</v>
      </c>
      <c r="D362" s="825">
        <v>4500156326</v>
      </c>
      <c r="E362" s="1413" t="s">
        <v>1593</v>
      </c>
      <c r="F362" s="1305" t="s">
        <v>1594</v>
      </c>
      <c r="G362" s="659">
        <v>77673</v>
      </c>
      <c r="H362" s="633" t="s">
        <v>112</v>
      </c>
      <c r="I362" s="633">
        <v>5400</v>
      </c>
      <c r="J362" s="633">
        <v>0</v>
      </c>
      <c r="K362" s="633">
        <v>75</v>
      </c>
      <c r="L362" s="827">
        <f t="shared" si="99"/>
        <v>72</v>
      </c>
      <c r="M362" s="828">
        <v>45896</v>
      </c>
      <c r="N362" s="828">
        <v>45894</v>
      </c>
      <c r="O362" s="824"/>
      <c r="P362" s="824" t="s">
        <v>113</v>
      </c>
      <c r="Q362" s="633"/>
      <c r="R362" s="829">
        <v>45832</v>
      </c>
      <c r="S362" s="829" t="s">
        <v>70</v>
      </c>
      <c r="T362" s="829" t="s">
        <v>70</v>
      </c>
      <c r="U362" s="829"/>
      <c r="V362" s="829"/>
      <c r="W362" s="829"/>
      <c r="X362" s="822"/>
      <c r="Y362" s="828" t="s">
        <v>911</v>
      </c>
      <c r="Z362" s="1306">
        <v>762.5</v>
      </c>
      <c r="AA362" s="831">
        <f t="shared" si="109"/>
        <v>54900</v>
      </c>
      <c r="AC362" s="617" t="s">
        <v>1596</v>
      </c>
      <c r="AD362" s="633" t="s">
        <v>1498</v>
      </c>
      <c r="AE362" s="633" t="s">
        <v>82</v>
      </c>
      <c r="AF362" s="633"/>
      <c r="AG362" s="618"/>
      <c r="AH362" s="618"/>
      <c r="AI362" s="1308">
        <v>0</v>
      </c>
      <c r="AJ362" s="824">
        <v>0</v>
      </c>
      <c r="AK362" s="633"/>
      <c r="AL362" s="633"/>
      <c r="AM362" s="633"/>
      <c r="AN362" s="825"/>
      <c r="AO362" s="687">
        <f>I362</f>
        <v>5400</v>
      </c>
      <c r="AP362" s="687"/>
      <c r="AQ362" s="687"/>
      <c r="AR362" s="825"/>
      <c r="AS362" s="687"/>
      <c r="AT362" s="687"/>
      <c r="AU362" s="825"/>
      <c r="AV362" s="825"/>
      <c r="AW362" s="825"/>
      <c r="AX362" s="825"/>
      <c r="AY362" s="1305"/>
      <c r="AZ362" s="1305"/>
      <c r="BA362" s="1305">
        <f>I362</f>
        <v>5400</v>
      </c>
      <c r="BB362" s="1305">
        <f>I362</f>
        <v>5400</v>
      </c>
      <c r="BC362" s="1305">
        <f>I362</f>
        <v>5400</v>
      </c>
      <c r="BD362" s="1305"/>
      <c r="BE362" s="1305"/>
      <c r="BF362" s="1305"/>
      <c r="BG362" s="1305"/>
      <c r="BH362" s="1305"/>
      <c r="BI362" s="825"/>
      <c r="BJ362" s="1305"/>
      <c r="BK362" s="1305">
        <f>I362</f>
        <v>5400</v>
      </c>
      <c r="BL362" s="1305">
        <f>I362/5</f>
        <v>1080</v>
      </c>
      <c r="BM362" s="1305"/>
      <c r="BN362" s="1305"/>
      <c r="BO362" s="1305"/>
      <c r="BP362" s="1305"/>
    </row>
    <row r="363" s="1265" customFormat="1" ht="31" customHeight="1" spans="1:69">
      <c r="A363" s="660">
        <v>45678</v>
      </c>
      <c r="B363" s="661" t="s">
        <v>1492</v>
      </c>
      <c r="C363" s="662" t="s">
        <v>98</v>
      </c>
      <c r="D363" s="663">
        <v>4500156301</v>
      </c>
      <c r="E363" s="1414" t="s">
        <v>1597</v>
      </c>
      <c r="F363" s="663" t="s">
        <v>1598</v>
      </c>
      <c r="G363" s="659" t="s">
        <v>909</v>
      </c>
      <c r="H363" s="662" t="s">
        <v>830</v>
      </c>
      <c r="I363" s="662">
        <v>72</v>
      </c>
      <c r="J363" s="662">
        <v>0</v>
      </c>
      <c r="K363" s="662">
        <v>1</v>
      </c>
      <c r="L363" s="665">
        <f t="shared" si="99"/>
        <v>72</v>
      </c>
      <c r="M363" s="666">
        <v>45891</v>
      </c>
      <c r="N363" s="666">
        <v>45887</v>
      </c>
      <c r="O363" s="664"/>
      <c r="P363" s="824" t="s">
        <v>113</v>
      </c>
      <c r="Q363" s="662"/>
      <c r="R363" s="667">
        <v>45832</v>
      </c>
      <c r="S363" s="667" t="s">
        <v>70</v>
      </c>
      <c r="T363" s="667" t="s">
        <v>70</v>
      </c>
      <c r="U363" s="667"/>
      <c r="V363" s="667"/>
      <c r="W363" s="667"/>
      <c r="X363" s="661" t="s">
        <v>1599</v>
      </c>
      <c r="Y363" s="666" t="s">
        <v>911</v>
      </c>
      <c r="Z363" s="1318">
        <v>0</v>
      </c>
      <c r="AA363" s="634">
        <f t="shared" si="109"/>
        <v>0</v>
      </c>
      <c r="AC363" s="617" t="s">
        <v>1600</v>
      </c>
      <c r="AD363" s="633" t="s">
        <v>1498</v>
      </c>
      <c r="AE363" s="662" t="s">
        <v>82</v>
      </c>
      <c r="AF363" s="662"/>
      <c r="AG363" s="662"/>
      <c r="AH363" s="662"/>
      <c r="AI363" s="664">
        <f>3200+2200</f>
        <v>5400</v>
      </c>
      <c r="AJ363" s="664">
        <v>0</v>
      </c>
      <c r="AK363" s="662"/>
      <c r="AL363" s="662"/>
      <c r="AM363" s="662"/>
      <c r="AN363" s="1265"/>
      <c r="AO363" s="1265"/>
      <c r="AP363" s="1265"/>
      <c r="AQ363" s="1265"/>
      <c r="AR363" s="1265"/>
      <c r="AS363" s="1265"/>
      <c r="AT363" s="1265"/>
      <c r="AU363" s="1265"/>
      <c r="AV363" s="825"/>
      <c r="AW363" s="1265"/>
      <c r="AX363" s="1265"/>
      <c r="AY363" s="1265"/>
      <c r="AZ363" s="1265"/>
      <c r="BA363" s="1265"/>
      <c r="BB363" s="1265"/>
      <c r="BC363" s="1265"/>
      <c r="BD363" s="548"/>
      <c r="BE363" s="548"/>
      <c r="BF363" s="1265"/>
      <c r="BG363" s="1265"/>
      <c r="BH363" s="548"/>
      <c r="BI363" s="548"/>
      <c r="BJ363" s="1265"/>
      <c r="BK363" s="1265"/>
      <c r="BL363" s="1265"/>
      <c r="BM363" s="548"/>
      <c r="BN363" s="548"/>
      <c r="BO363" s="1265"/>
      <c r="BP363" s="1265"/>
      <c r="BQ363" s="663"/>
    </row>
    <row r="364" s="1265" customFormat="1" ht="31" customHeight="1" spans="1:69">
      <c r="A364" s="660">
        <v>45678</v>
      </c>
      <c r="B364" s="661" t="s">
        <v>1492</v>
      </c>
      <c r="C364" s="662" t="s">
        <v>98</v>
      </c>
      <c r="D364" s="663">
        <v>4500156301</v>
      </c>
      <c r="E364" s="1414" t="s">
        <v>1597</v>
      </c>
      <c r="F364" s="663" t="s">
        <v>1598</v>
      </c>
      <c r="G364" s="659">
        <v>77673</v>
      </c>
      <c r="H364" s="662" t="s">
        <v>112</v>
      </c>
      <c r="I364" s="662">
        <v>5400</v>
      </c>
      <c r="J364" s="662">
        <v>0</v>
      </c>
      <c r="K364" s="662">
        <v>75</v>
      </c>
      <c r="L364" s="665">
        <f t="shared" si="99"/>
        <v>72</v>
      </c>
      <c r="M364" s="666">
        <v>45891</v>
      </c>
      <c r="N364" s="666">
        <v>45887</v>
      </c>
      <c r="O364" s="664"/>
      <c r="P364" s="824" t="s">
        <v>113</v>
      </c>
      <c r="Q364" s="662"/>
      <c r="R364" s="667">
        <v>45832</v>
      </c>
      <c r="S364" s="667" t="s">
        <v>70</v>
      </c>
      <c r="T364" s="667" t="s">
        <v>70</v>
      </c>
      <c r="U364" s="667"/>
      <c r="V364" s="667"/>
      <c r="W364" s="667"/>
      <c r="X364" s="661"/>
      <c r="Y364" s="666" t="s">
        <v>911</v>
      </c>
      <c r="Z364" s="1318">
        <v>762.5</v>
      </c>
      <c r="AA364" s="634">
        <f t="shared" si="109"/>
        <v>54900</v>
      </c>
      <c r="AC364" s="617" t="s">
        <v>1600</v>
      </c>
      <c r="AD364" s="633" t="s">
        <v>1498</v>
      </c>
      <c r="AE364" s="662" t="s">
        <v>82</v>
      </c>
      <c r="AF364" s="662"/>
      <c r="AG364" s="662"/>
      <c r="AH364" s="662"/>
      <c r="AI364" s="664">
        <v>0</v>
      </c>
      <c r="AJ364" s="664">
        <v>0</v>
      </c>
      <c r="AK364" s="662"/>
      <c r="AL364" s="662"/>
      <c r="AM364" s="662"/>
      <c r="AN364" s="1265"/>
      <c r="AO364" s="663">
        <f>I364</f>
        <v>5400</v>
      </c>
      <c r="AV364" s="825"/>
      <c r="AW364" s="1265"/>
      <c r="AX364" s="1265"/>
      <c r="AY364" s="1265"/>
      <c r="AZ364" s="1265"/>
      <c r="BA364" s="663">
        <f>I364</f>
        <v>5400</v>
      </c>
      <c r="BB364" s="663">
        <f>I364</f>
        <v>5400</v>
      </c>
      <c r="BC364" s="1319">
        <f>I364</f>
        <v>5400</v>
      </c>
      <c r="BD364" s="548"/>
      <c r="BE364" s="548"/>
      <c r="BF364" s="1265"/>
      <c r="BG364" s="1265"/>
      <c r="BH364" s="548"/>
      <c r="BI364" s="548"/>
      <c r="BJ364" s="1265"/>
      <c r="BK364" s="1319">
        <f>I364</f>
        <v>5400</v>
      </c>
      <c r="BL364" s="1319">
        <f>I364/5</f>
        <v>1080</v>
      </c>
      <c r="BM364" s="548"/>
      <c r="BN364" s="548"/>
      <c r="BO364" s="1265"/>
      <c r="BP364" s="1265"/>
      <c r="BQ364" s="663"/>
    </row>
    <row r="365" s="1265" customFormat="1" ht="31" customHeight="1" spans="1:69">
      <c r="A365" s="660">
        <v>45827</v>
      </c>
      <c r="B365" s="661" t="s">
        <v>75</v>
      </c>
      <c r="C365" s="662" t="s">
        <v>76</v>
      </c>
      <c r="D365" s="663">
        <v>4500170560</v>
      </c>
      <c r="E365" s="662">
        <v>29028752</v>
      </c>
      <c r="F365" s="663" t="s">
        <v>1601</v>
      </c>
      <c r="G365" s="659" t="s">
        <v>111</v>
      </c>
      <c r="H365" s="662" t="s">
        <v>112</v>
      </c>
      <c r="I365" s="662">
        <v>608</v>
      </c>
      <c r="J365" s="662">
        <v>0</v>
      </c>
      <c r="K365" s="662">
        <v>16</v>
      </c>
      <c r="L365" s="665">
        <f t="shared" si="99"/>
        <v>38</v>
      </c>
      <c r="M365" s="666">
        <v>45903</v>
      </c>
      <c r="N365" s="666">
        <v>45899</v>
      </c>
      <c r="O365" s="664"/>
      <c r="P365" s="824" t="s">
        <v>113</v>
      </c>
      <c r="Q365" s="662" t="s">
        <v>1602</v>
      </c>
      <c r="R365" s="667">
        <v>45827</v>
      </c>
      <c r="S365" s="667" t="s">
        <v>70</v>
      </c>
      <c r="T365" s="667">
        <v>45827</v>
      </c>
      <c r="U365" s="667"/>
      <c r="V365" s="667"/>
      <c r="W365" s="667"/>
      <c r="X365" s="661" t="s">
        <v>1603</v>
      </c>
      <c r="Y365" s="666" t="s">
        <v>80</v>
      </c>
      <c r="Z365" s="1318">
        <v>4.2114</v>
      </c>
      <c r="AA365" s="634">
        <f t="shared" ref="AA365:AA377" si="110">Z365*I365</f>
        <v>2560.5312</v>
      </c>
      <c r="AC365" s="638" t="s">
        <v>1604</v>
      </c>
      <c r="AD365" s="633" t="s">
        <v>111</v>
      </c>
      <c r="AE365" s="662" t="s">
        <v>82</v>
      </c>
      <c r="AF365" s="662"/>
      <c r="AG365" s="662"/>
      <c r="AH365" s="662"/>
      <c r="AI365" s="664">
        <f>560+32+16</f>
        <v>608</v>
      </c>
      <c r="AJ365" s="664">
        <f t="shared" ref="AJ365:AJ377" si="111">AI365-I365</f>
        <v>0</v>
      </c>
      <c r="AK365" s="662"/>
      <c r="AL365" s="662"/>
      <c r="AM365" s="662"/>
      <c r="AN365" s="663">
        <f>I365</f>
        <v>608</v>
      </c>
      <c r="AR365" s="663">
        <f>I365</f>
        <v>608</v>
      </c>
      <c r="AU365" s="825">
        <f>I365</f>
        <v>608</v>
      </c>
      <c r="AV365" s="825"/>
      <c r="AW365" s="663">
        <f t="shared" ref="AW365:AW377" si="112">I365</f>
        <v>608</v>
      </c>
      <c r="BD365" s="548"/>
      <c r="BE365" s="548"/>
      <c r="BF365" s="1265"/>
      <c r="BG365" s="1265"/>
      <c r="BH365" s="825">
        <f>I365/4</f>
        <v>152</v>
      </c>
      <c r="BI365" s="548"/>
      <c r="BJ365" s="1265"/>
      <c r="BK365" s="1265"/>
      <c r="BL365" s="1265"/>
      <c r="BM365" s="548"/>
      <c r="BN365" s="548"/>
      <c r="BO365" s="1265"/>
      <c r="BP365" s="1265"/>
      <c r="BQ365" s="663"/>
    </row>
    <row r="366" s="1265" customFormat="1" ht="31" customHeight="1" spans="1:69">
      <c r="A366" s="660">
        <v>45827</v>
      </c>
      <c r="B366" s="661" t="s">
        <v>75</v>
      </c>
      <c r="C366" s="662" t="s">
        <v>76</v>
      </c>
      <c r="D366" s="663">
        <v>4500170563</v>
      </c>
      <c r="E366" s="662">
        <v>29028755</v>
      </c>
      <c r="F366" s="663" t="s">
        <v>1605</v>
      </c>
      <c r="G366" s="659" t="s">
        <v>111</v>
      </c>
      <c r="H366" s="662" t="s">
        <v>112</v>
      </c>
      <c r="I366" s="662">
        <v>192</v>
      </c>
      <c r="J366" s="662">
        <v>0</v>
      </c>
      <c r="K366" s="662">
        <v>16</v>
      </c>
      <c r="L366" s="665">
        <f t="shared" si="99"/>
        <v>12</v>
      </c>
      <c r="M366" s="666">
        <v>45903</v>
      </c>
      <c r="N366" s="666">
        <v>45899</v>
      </c>
      <c r="O366" s="664"/>
      <c r="P366" s="824" t="s">
        <v>113</v>
      </c>
      <c r="Q366" s="662"/>
      <c r="R366" s="667">
        <v>45827</v>
      </c>
      <c r="S366" s="667" t="s">
        <v>70</v>
      </c>
      <c r="T366" s="667">
        <v>45827</v>
      </c>
      <c r="U366" s="667"/>
      <c r="V366" s="667"/>
      <c r="W366" s="667"/>
      <c r="X366" s="661" t="s">
        <v>1603</v>
      </c>
      <c r="Y366" s="666" t="s">
        <v>80</v>
      </c>
      <c r="Z366" s="1318">
        <v>4.2114</v>
      </c>
      <c r="AA366" s="634">
        <f t="shared" si="110"/>
        <v>808.5888</v>
      </c>
      <c r="AC366" s="638" t="s">
        <v>1606</v>
      </c>
      <c r="AD366" s="633" t="s">
        <v>111</v>
      </c>
      <c r="AE366" s="662" t="s">
        <v>82</v>
      </c>
      <c r="AF366" s="662"/>
      <c r="AG366" s="662"/>
      <c r="AH366" s="662"/>
      <c r="AI366" s="664">
        <f>176+16</f>
        <v>192</v>
      </c>
      <c r="AJ366" s="664">
        <f t="shared" si="111"/>
        <v>0</v>
      </c>
      <c r="AK366" s="662"/>
      <c r="AL366" s="662"/>
      <c r="AM366" s="662"/>
      <c r="AN366" s="663">
        <f>I366</f>
        <v>192</v>
      </c>
      <c r="AR366" s="663">
        <f>I366</f>
        <v>192</v>
      </c>
      <c r="AU366" s="825">
        <f>I366</f>
        <v>192</v>
      </c>
      <c r="AV366" s="825"/>
      <c r="AW366" s="663">
        <f t="shared" si="112"/>
        <v>192</v>
      </c>
      <c r="BD366" s="548"/>
      <c r="BE366" s="548"/>
      <c r="BF366" s="1265"/>
      <c r="BG366" s="1265"/>
      <c r="BH366" s="825">
        <f>I366/4</f>
        <v>48</v>
      </c>
      <c r="BI366" s="548"/>
      <c r="BJ366" s="1265"/>
      <c r="BK366" s="1265"/>
      <c r="BL366" s="1265"/>
      <c r="BM366" s="548"/>
      <c r="BN366" s="548"/>
      <c r="BO366" s="1265"/>
      <c r="BP366" s="1265"/>
      <c r="BQ366" s="663"/>
    </row>
    <row r="367" s="1265" customFormat="1" ht="31" customHeight="1" spans="1:69">
      <c r="A367" s="660">
        <v>45854</v>
      </c>
      <c r="B367" s="661" t="s">
        <v>325</v>
      </c>
      <c r="C367" s="662" t="s">
        <v>98</v>
      </c>
      <c r="D367" s="663">
        <v>4500174008</v>
      </c>
      <c r="E367" s="662" t="s">
        <v>1607</v>
      </c>
      <c r="F367" s="663" t="s">
        <v>1608</v>
      </c>
      <c r="G367" s="659" t="s">
        <v>249</v>
      </c>
      <c r="H367" s="662" t="s">
        <v>250</v>
      </c>
      <c r="I367" s="662">
        <v>10000</v>
      </c>
      <c r="J367" s="662">
        <v>0</v>
      </c>
      <c r="K367" s="662">
        <v>4</v>
      </c>
      <c r="L367" s="665">
        <f t="shared" si="99"/>
        <v>2500</v>
      </c>
      <c r="M367" s="1320">
        <v>45903</v>
      </c>
      <c r="N367" s="1320">
        <f>M367-4</f>
        <v>45899</v>
      </c>
      <c r="O367" s="664"/>
      <c r="P367" s="824" t="s">
        <v>113</v>
      </c>
      <c r="Q367" s="662"/>
      <c r="R367" s="667">
        <v>45877</v>
      </c>
      <c r="S367" s="667" t="s">
        <v>104</v>
      </c>
      <c r="T367" s="667">
        <v>45861</v>
      </c>
      <c r="U367" s="667"/>
      <c r="V367" s="667" t="s">
        <v>1609</v>
      </c>
      <c r="W367" s="667"/>
      <c r="X367" s="1321" t="s">
        <v>1610</v>
      </c>
      <c r="Y367" s="666" t="s">
        <v>252</v>
      </c>
      <c r="Z367" s="1318">
        <v>2.7832</v>
      </c>
      <c r="AA367" s="634">
        <f t="shared" si="110"/>
        <v>27832</v>
      </c>
      <c r="AC367" s="638" t="s">
        <v>1611</v>
      </c>
      <c r="AD367" s="633" t="s">
        <v>249</v>
      </c>
      <c r="AE367" s="662" t="s">
        <v>82</v>
      </c>
      <c r="AF367" s="662"/>
      <c r="AG367" s="662"/>
      <c r="AH367" s="662"/>
      <c r="AI367" s="664">
        <f>1400+4200+4376+24</f>
        <v>10000</v>
      </c>
      <c r="AJ367" s="664">
        <f t="shared" si="111"/>
        <v>0</v>
      </c>
      <c r="AK367" s="662"/>
      <c r="AL367" s="662"/>
      <c r="AM367" s="662"/>
      <c r="AN367" s="1265"/>
      <c r="AO367" s="1265"/>
      <c r="AP367" s="663">
        <f>I367</f>
        <v>10000</v>
      </c>
      <c r="AV367" s="825"/>
      <c r="AW367" s="663">
        <f t="shared" si="112"/>
        <v>10000</v>
      </c>
      <c r="BD367" s="548"/>
      <c r="BE367" s="548"/>
      <c r="BF367" s="663">
        <f>I367</f>
        <v>10000</v>
      </c>
      <c r="BG367" s="663">
        <f>I367</f>
        <v>10000</v>
      </c>
      <c r="BH367" s="825">
        <f>I367/4</f>
        <v>2500</v>
      </c>
      <c r="BI367" s="548"/>
      <c r="BJ367" s="1265"/>
      <c r="BK367" s="1265"/>
      <c r="BL367" s="1265"/>
      <c r="BM367" s="548"/>
      <c r="BN367" s="548"/>
      <c r="BO367" s="1265"/>
      <c r="BP367" s="1265"/>
      <c r="BQ367" s="663"/>
    </row>
    <row r="368" s="1265" customFormat="1" ht="31" customHeight="1" spans="1:69">
      <c r="A368" s="660">
        <v>45862</v>
      </c>
      <c r="B368" s="661" t="s">
        <v>143</v>
      </c>
      <c r="C368" s="662" t="s">
        <v>98</v>
      </c>
      <c r="D368" s="663">
        <v>4500174958</v>
      </c>
      <c r="E368" s="1414" t="s">
        <v>1612</v>
      </c>
      <c r="F368" s="663" t="s">
        <v>1613</v>
      </c>
      <c r="G368" s="659" t="s">
        <v>101</v>
      </c>
      <c r="H368" s="662" t="s">
        <v>102</v>
      </c>
      <c r="I368" s="662">
        <v>500</v>
      </c>
      <c r="J368" s="662">
        <v>0</v>
      </c>
      <c r="K368" s="662">
        <v>4</v>
      </c>
      <c r="L368" s="665">
        <f t="shared" si="99"/>
        <v>125</v>
      </c>
      <c r="M368" s="666">
        <v>45904</v>
      </c>
      <c r="N368" s="666">
        <v>45901</v>
      </c>
      <c r="O368" s="664" t="s">
        <v>1614</v>
      </c>
      <c r="P368" s="824" t="s">
        <v>113</v>
      </c>
      <c r="Q368" s="662"/>
      <c r="R368" s="667" t="s">
        <v>147</v>
      </c>
      <c r="S368" s="667" t="s">
        <v>70</v>
      </c>
      <c r="T368" s="667" t="s">
        <v>1615</v>
      </c>
      <c r="U368" s="667"/>
      <c r="V368" s="667" t="s">
        <v>148</v>
      </c>
      <c r="W368" s="667"/>
      <c r="X368" s="661" t="s">
        <v>1395</v>
      </c>
      <c r="Y368" s="666" t="s">
        <v>106</v>
      </c>
      <c r="Z368" s="1318">
        <v>2.58</v>
      </c>
      <c r="AA368" s="634">
        <f t="shared" si="110"/>
        <v>1290</v>
      </c>
      <c r="AC368" s="638" t="s">
        <v>1616</v>
      </c>
      <c r="AD368" s="633" t="s">
        <v>101</v>
      </c>
      <c r="AE368" s="662" t="s">
        <v>82</v>
      </c>
      <c r="AF368" s="662"/>
      <c r="AG368" s="662"/>
      <c r="AH368" s="662"/>
      <c r="AI368" s="664">
        <v>500</v>
      </c>
      <c r="AJ368" s="664">
        <f t="shared" si="111"/>
        <v>0</v>
      </c>
      <c r="AK368" s="662"/>
      <c r="AL368" s="662"/>
      <c r="AM368" s="662"/>
      <c r="AN368" s="663">
        <f t="shared" ref="AN368:AN377" si="113">I368</f>
        <v>500</v>
      </c>
      <c r="AR368" s="663">
        <f>I368</f>
        <v>500</v>
      </c>
      <c r="AU368" s="825">
        <f>I368</f>
        <v>500</v>
      </c>
      <c r="AV368" s="825"/>
      <c r="AW368" s="663">
        <f t="shared" si="112"/>
        <v>500</v>
      </c>
      <c r="BD368" s="548"/>
      <c r="BE368" s="548"/>
      <c r="BF368" s="1265"/>
      <c r="BG368" s="1265"/>
      <c r="BH368" s="825">
        <f>I368/4</f>
        <v>125</v>
      </c>
      <c r="BI368" s="548"/>
      <c r="BJ368" s="1265"/>
      <c r="BK368" s="1265"/>
      <c r="BL368" s="1265"/>
      <c r="BM368" s="548"/>
      <c r="BN368" s="548"/>
      <c r="BO368" s="1265"/>
      <c r="BP368" s="1265"/>
      <c r="BQ368" s="663"/>
    </row>
    <row r="369" s="1265" customFormat="1" ht="31" customHeight="1" spans="1:69">
      <c r="A369" s="660">
        <v>45862</v>
      </c>
      <c r="B369" s="661" t="s">
        <v>143</v>
      </c>
      <c r="C369" s="662" t="s">
        <v>98</v>
      </c>
      <c r="D369" s="663">
        <v>4500174958</v>
      </c>
      <c r="E369" s="1414" t="s">
        <v>1617</v>
      </c>
      <c r="F369" s="663" t="s">
        <v>1618</v>
      </c>
      <c r="G369" s="659" t="s">
        <v>101</v>
      </c>
      <c r="H369" s="662" t="s">
        <v>102</v>
      </c>
      <c r="I369" s="662">
        <v>500</v>
      </c>
      <c r="J369" s="662">
        <v>0</v>
      </c>
      <c r="K369" s="662">
        <v>4</v>
      </c>
      <c r="L369" s="665">
        <f t="shared" si="99"/>
        <v>125</v>
      </c>
      <c r="M369" s="666">
        <v>45904</v>
      </c>
      <c r="N369" s="666">
        <v>45901</v>
      </c>
      <c r="O369" s="664" t="s">
        <v>1614</v>
      </c>
      <c r="P369" s="824" t="s">
        <v>113</v>
      </c>
      <c r="Q369" s="662"/>
      <c r="R369" s="667" t="s">
        <v>147</v>
      </c>
      <c r="S369" s="667" t="s">
        <v>70</v>
      </c>
      <c r="T369" s="667" t="s">
        <v>1615</v>
      </c>
      <c r="U369" s="667"/>
      <c r="V369" s="667" t="s">
        <v>148</v>
      </c>
      <c r="W369" s="667"/>
      <c r="X369" s="661" t="s">
        <v>1395</v>
      </c>
      <c r="Y369" s="666" t="s">
        <v>106</v>
      </c>
      <c r="Z369" s="1318">
        <v>2.58</v>
      </c>
      <c r="AA369" s="634">
        <f t="shared" si="110"/>
        <v>1290</v>
      </c>
      <c r="AC369" s="638" t="s">
        <v>1619</v>
      </c>
      <c r="AD369" s="633" t="s">
        <v>101</v>
      </c>
      <c r="AE369" s="662" t="s">
        <v>82</v>
      </c>
      <c r="AF369" s="662"/>
      <c r="AG369" s="662"/>
      <c r="AH369" s="662"/>
      <c r="AI369" s="664">
        <v>500</v>
      </c>
      <c r="AJ369" s="664">
        <f t="shared" si="111"/>
        <v>0</v>
      </c>
      <c r="AK369" s="662"/>
      <c r="AL369" s="662"/>
      <c r="AM369" s="662"/>
      <c r="AN369" s="663">
        <f t="shared" si="113"/>
        <v>500</v>
      </c>
      <c r="AR369" s="663">
        <f>I369</f>
        <v>500</v>
      </c>
      <c r="AU369" s="825">
        <f>I369</f>
        <v>500</v>
      </c>
      <c r="AV369" s="825"/>
      <c r="AW369" s="663">
        <f t="shared" si="112"/>
        <v>500</v>
      </c>
      <c r="BD369" s="548"/>
      <c r="BE369" s="548"/>
      <c r="BF369" s="1265"/>
      <c r="BG369" s="1265"/>
      <c r="BH369" s="825">
        <f>I369/4</f>
        <v>125</v>
      </c>
      <c r="BI369" s="548"/>
      <c r="BJ369" s="1265"/>
      <c r="BK369" s="1265"/>
      <c r="BL369" s="1265"/>
      <c r="BM369" s="548"/>
      <c r="BN369" s="548"/>
      <c r="BO369" s="1265"/>
      <c r="BP369" s="1265"/>
      <c r="BQ369" s="663"/>
    </row>
    <row r="370" s="1265" customFormat="1" ht="31" customHeight="1" spans="1:69">
      <c r="A370" s="660">
        <v>45868</v>
      </c>
      <c r="B370" s="661" t="s">
        <v>1620</v>
      </c>
      <c r="C370" s="662" t="s">
        <v>278</v>
      </c>
      <c r="D370" s="663">
        <v>4500175570</v>
      </c>
      <c r="E370" s="662">
        <v>4400494419</v>
      </c>
      <c r="F370" s="663" t="s">
        <v>1621</v>
      </c>
      <c r="G370" s="659" t="s">
        <v>164</v>
      </c>
      <c r="H370" s="662" t="s">
        <v>112</v>
      </c>
      <c r="I370" s="662">
        <v>5000</v>
      </c>
      <c r="J370" s="662">
        <v>0</v>
      </c>
      <c r="K370" s="662">
        <v>8</v>
      </c>
      <c r="L370" s="665">
        <f t="shared" si="99"/>
        <v>625</v>
      </c>
      <c r="M370" s="666">
        <v>45905</v>
      </c>
      <c r="N370" s="666">
        <v>45901</v>
      </c>
      <c r="O370" s="664"/>
      <c r="P370" s="824" t="s">
        <v>113</v>
      </c>
      <c r="Q370" s="662"/>
      <c r="R370" s="667">
        <v>45876</v>
      </c>
      <c r="S370" s="667" t="s">
        <v>70</v>
      </c>
      <c r="T370" s="667" t="s">
        <v>165</v>
      </c>
      <c r="U370" s="667"/>
      <c r="V370" s="667"/>
      <c r="W370" s="667"/>
      <c r="X370" s="661" t="s">
        <v>1622</v>
      </c>
      <c r="Y370" s="666" t="s">
        <v>1549</v>
      </c>
      <c r="Z370" s="1318">
        <v>4.1988</v>
      </c>
      <c r="AA370" s="634">
        <f t="shared" si="110"/>
        <v>20994</v>
      </c>
      <c r="AC370" s="638" t="s">
        <v>1623</v>
      </c>
      <c r="AD370" s="633" t="s">
        <v>164</v>
      </c>
      <c r="AE370" s="662" t="s">
        <v>82</v>
      </c>
      <c r="AF370" s="662"/>
      <c r="AG370" s="662"/>
      <c r="AH370" s="662"/>
      <c r="AI370" s="664">
        <f>4976+24</f>
        <v>5000</v>
      </c>
      <c r="AJ370" s="664">
        <f t="shared" si="111"/>
        <v>0</v>
      </c>
      <c r="AK370" s="662"/>
      <c r="AL370" s="662"/>
      <c r="AM370" s="662"/>
      <c r="AN370" s="663">
        <f t="shared" si="113"/>
        <v>5000</v>
      </c>
      <c r="AV370" s="825"/>
      <c r="AW370" s="663">
        <f t="shared" si="112"/>
        <v>5000</v>
      </c>
      <c r="BD370" s="663">
        <f>I370</f>
        <v>5000</v>
      </c>
      <c r="BE370" s="663">
        <f>I370</f>
        <v>5000</v>
      </c>
      <c r="BH370" s="548"/>
      <c r="BI370" s="825">
        <f>I370/4</f>
        <v>1250</v>
      </c>
      <c r="BM370" s="548"/>
      <c r="BN370" s="548"/>
      <c r="BO370" s="1265"/>
      <c r="BP370" s="1265"/>
      <c r="BQ370" s="663"/>
    </row>
    <row r="371" s="1265" customFormat="1" ht="31" customHeight="1" spans="1:69">
      <c r="A371" s="660">
        <v>45839</v>
      </c>
      <c r="B371" s="661" t="s">
        <v>729</v>
      </c>
      <c r="C371" s="662" t="s">
        <v>278</v>
      </c>
      <c r="D371" s="663">
        <v>4500172155</v>
      </c>
      <c r="E371" s="662" t="s">
        <v>1624</v>
      </c>
      <c r="F371" s="663" t="s">
        <v>1625</v>
      </c>
      <c r="G371" s="659" t="s">
        <v>111</v>
      </c>
      <c r="H371" s="662" t="s">
        <v>112</v>
      </c>
      <c r="I371" s="662">
        <v>7200</v>
      </c>
      <c r="J371" s="662">
        <v>0</v>
      </c>
      <c r="K371" s="662">
        <v>16</v>
      </c>
      <c r="L371" s="665">
        <f t="shared" si="99"/>
        <v>450</v>
      </c>
      <c r="M371" s="666">
        <v>45905</v>
      </c>
      <c r="N371" s="666">
        <v>45901</v>
      </c>
      <c r="O371" s="664"/>
      <c r="P371" s="824" t="s">
        <v>113</v>
      </c>
      <c r="Q371" s="662"/>
      <c r="R371" s="667">
        <v>45839</v>
      </c>
      <c r="S371" s="667" t="s">
        <v>70</v>
      </c>
      <c r="T371" s="667" t="s">
        <v>70</v>
      </c>
      <c r="U371" s="667"/>
      <c r="V371" s="667"/>
      <c r="W371" s="667"/>
      <c r="X371" s="661" t="s">
        <v>1626</v>
      </c>
      <c r="Y371" s="666" t="s">
        <v>1627</v>
      </c>
      <c r="Z371" s="1318">
        <v>4.2303</v>
      </c>
      <c r="AA371" s="634">
        <f t="shared" si="110"/>
        <v>30458.16</v>
      </c>
      <c r="AC371" s="638" t="s">
        <v>1628</v>
      </c>
      <c r="AD371" s="633" t="s">
        <v>111</v>
      </c>
      <c r="AE371" s="662" t="s">
        <v>82</v>
      </c>
      <c r="AF371" s="662"/>
      <c r="AG371" s="662"/>
      <c r="AH371" s="662"/>
      <c r="AI371" s="664">
        <f>6048+944+192+16</f>
        <v>7200</v>
      </c>
      <c r="AJ371" s="664">
        <f t="shared" si="111"/>
        <v>0</v>
      </c>
      <c r="AK371" s="662"/>
      <c r="AL371" s="662"/>
      <c r="AM371" s="662"/>
      <c r="AN371" s="663">
        <f t="shared" si="113"/>
        <v>7200</v>
      </c>
      <c r="AR371" s="663">
        <f t="shared" ref="AR371:AR376" si="114">I371</f>
        <v>7200</v>
      </c>
      <c r="AU371" s="825">
        <f t="shared" ref="AU371:AU376" si="115">I371</f>
        <v>7200</v>
      </c>
      <c r="AV371" s="825"/>
      <c r="AW371" s="663">
        <f t="shared" si="112"/>
        <v>7200</v>
      </c>
      <c r="BD371" s="548"/>
      <c r="BE371" s="548"/>
      <c r="BF371" s="1265"/>
      <c r="BG371" s="1265"/>
      <c r="BH371" s="825">
        <f>I371/4</f>
        <v>1800</v>
      </c>
      <c r="BI371" s="548"/>
      <c r="BJ371" s="1265"/>
      <c r="BK371" s="1265"/>
      <c r="BL371" s="1265"/>
      <c r="BM371" s="548"/>
      <c r="BN371" s="548"/>
      <c r="BO371" s="1265"/>
      <c r="BP371" s="1265"/>
      <c r="BQ371" s="663"/>
    </row>
    <row r="372" s="1265" customFormat="1" ht="31" customHeight="1" spans="1:69">
      <c r="A372" s="660">
        <v>45860</v>
      </c>
      <c r="B372" s="661" t="s">
        <v>225</v>
      </c>
      <c r="C372" s="662" t="s">
        <v>226</v>
      </c>
      <c r="D372" s="663">
        <v>4500174635</v>
      </c>
      <c r="E372" s="662" t="s">
        <v>1629</v>
      </c>
      <c r="F372" s="663" t="s">
        <v>1630</v>
      </c>
      <c r="G372" s="659" t="s">
        <v>68</v>
      </c>
      <c r="H372" s="633" t="s">
        <v>69</v>
      </c>
      <c r="I372" s="662">
        <v>840</v>
      </c>
      <c r="J372" s="662">
        <v>0</v>
      </c>
      <c r="K372" s="662">
        <v>12</v>
      </c>
      <c r="L372" s="665">
        <f t="shared" si="99"/>
        <v>70</v>
      </c>
      <c r="M372" s="666">
        <v>45905</v>
      </c>
      <c r="N372" s="666">
        <v>45901</v>
      </c>
      <c r="O372" s="664"/>
      <c r="P372" s="824" t="s">
        <v>113</v>
      </c>
      <c r="Q372" s="662"/>
      <c r="R372" s="667">
        <v>45860</v>
      </c>
      <c r="S372" s="667" t="s">
        <v>70</v>
      </c>
      <c r="T372" s="667">
        <v>45880</v>
      </c>
      <c r="U372" s="667"/>
      <c r="V372" s="667"/>
      <c r="W372" s="667"/>
      <c r="X372" s="1321" t="s">
        <v>1631</v>
      </c>
      <c r="Y372" s="666" t="s">
        <v>230</v>
      </c>
      <c r="Z372" s="1318">
        <v>4.1456</v>
      </c>
      <c r="AA372" s="634">
        <f t="shared" si="110"/>
        <v>3482.304</v>
      </c>
      <c r="AC372" s="638" t="s">
        <v>1632</v>
      </c>
      <c r="AD372" s="633" t="s">
        <v>68</v>
      </c>
      <c r="AE372" s="662" t="s">
        <v>82</v>
      </c>
      <c r="AF372" s="662"/>
      <c r="AG372" s="662"/>
      <c r="AH372" s="662"/>
      <c r="AI372" s="664">
        <v>840</v>
      </c>
      <c r="AJ372" s="664">
        <f t="shared" si="111"/>
        <v>0</v>
      </c>
      <c r="AK372" s="662"/>
      <c r="AL372" s="662"/>
      <c r="AM372" s="662"/>
      <c r="AN372" s="663">
        <f t="shared" si="113"/>
        <v>840</v>
      </c>
      <c r="AR372" s="663">
        <f t="shared" si="114"/>
        <v>840</v>
      </c>
      <c r="AU372" s="825">
        <f t="shared" si="115"/>
        <v>840</v>
      </c>
      <c r="AV372" s="825"/>
      <c r="AW372" s="663">
        <f t="shared" si="112"/>
        <v>840</v>
      </c>
      <c r="BD372" s="548"/>
      <c r="BE372" s="548"/>
      <c r="BF372" s="1265"/>
      <c r="BG372" s="1265"/>
      <c r="BH372" s="548"/>
      <c r="BI372" s="548"/>
      <c r="BJ372" s="1265"/>
      <c r="BK372" s="1265"/>
      <c r="BL372" s="1265"/>
      <c r="BM372" s="548"/>
      <c r="BN372" s="548"/>
      <c r="BO372" s="1265"/>
      <c r="BP372" s="1265"/>
      <c r="BQ372" s="663"/>
    </row>
    <row r="373" s="1265" customFormat="1" ht="31" customHeight="1" spans="1:69">
      <c r="A373" s="660">
        <v>45840</v>
      </c>
      <c r="B373" s="661" t="s">
        <v>139</v>
      </c>
      <c r="C373" s="662" t="s">
        <v>76</v>
      </c>
      <c r="D373" s="663">
        <v>4500172408</v>
      </c>
      <c r="E373" s="662">
        <v>20862343</v>
      </c>
      <c r="F373" s="663" t="s">
        <v>1633</v>
      </c>
      <c r="G373" s="659" t="s">
        <v>518</v>
      </c>
      <c r="H373" s="662" t="s">
        <v>477</v>
      </c>
      <c r="I373" s="662">
        <v>234</v>
      </c>
      <c r="J373" s="662">
        <v>0</v>
      </c>
      <c r="K373" s="662">
        <v>6</v>
      </c>
      <c r="L373" s="665">
        <f t="shared" si="99"/>
        <v>39</v>
      </c>
      <c r="M373" s="666">
        <v>45908</v>
      </c>
      <c r="N373" s="666">
        <v>45901</v>
      </c>
      <c r="O373" s="664"/>
      <c r="P373" s="824" t="s">
        <v>113</v>
      </c>
      <c r="Q373" s="662" t="s">
        <v>1571</v>
      </c>
      <c r="R373" s="667">
        <v>45877</v>
      </c>
      <c r="S373" s="667" t="s">
        <v>104</v>
      </c>
      <c r="T373" s="667">
        <v>45877</v>
      </c>
      <c r="U373" s="667"/>
      <c r="V373" s="667"/>
      <c r="W373" s="667"/>
      <c r="X373" s="661" t="s">
        <v>1634</v>
      </c>
      <c r="Y373" s="666" t="s">
        <v>133</v>
      </c>
      <c r="Z373" s="1318">
        <v>7.4117</v>
      </c>
      <c r="AA373" s="634">
        <f t="shared" si="110"/>
        <v>1734.3378</v>
      </c>
      <c r="AC373" s="638" t="s">
        <v>1635</v>
      </c>
      <c r="AD373" s="633" t="s">
        <v>1306</v>
      </c>
      <c r="AE373" s="662" t="s">
        <v>82</v>
      </c>
      <c r="AF373" s="662"/>
      <c r="AG373" s="662"/>
      <c r="AH373" s="662"/>
      <c r="AI373" s="664">
        <v>234</v>
      </c>
      <c r="AJ373" s="664">
        <f t="shared" si="111"/>
        <v>0</v>
      </c>
      <c r="AK373" s="662"/>
      <c r="AL373" s="662"/>
      <c r="AM373" s="662"/>
      <c r="AN373" s="663">
        <f t="shared" si="113"/>
        <v>234</v>
      </c>
      <c r="AR373" s="663">
        <f t="shared" si="114"/>
        <v>234</v>
      </c>
      <c r="AU373" s="825">
        <f t="shared" si="115"/>
        <v>234</v>
      </c>
      <c r="AV373" s="825"/>
      <c r="AW373" s="663">
        <f t="shared" si="112"/>
        <v>234</v>
      </c>
      <c r="BD373" s="548"/>
      <c r="BE373" s="548"/>
      <c r="BF373" s="1265"/>
      <c r="BG373" s="1265"/>
      <c r="BH373" s="548"/>
      <c r="BI373" s="548"/>
      <c r="BJ373" s="1265"/>
      <c r="BK373" s="1265"/>
      <c r="BL373" s="1265"/>
      <c r="BM373" s="548"/>
      <c r="BN373" s="663">
        <f>I373</f>
        <v>234</v>
      </c>
      <c r="BQ373" s="663"/>
    </row>
    <row r="374" s="1265" customFormat="1" ht="31" customHeight="1" spans="1:69">
      <c r="A374" s="660">
        <v>45840</v>
      </c>
      <c r="B374" s="661" t="s">
        <v>135</v>
      </c>
      <c r="C374" s="662" t="s">
        <v>128</v>
      </c>
      <c r="D374" s="663">
        <v>4500172407</v>
      </c>
      <c r="E374" s="662">
        <v>20862337</v>
      </c>
      <c r="F374" s="663" t="s">
        <v>1636</v>
      </c>
      <c r="G374" s="659" t="s">
        <v>518</v>
      </c>
      <c r="H374" s="662" t="s">
        <v>477</v>
      </c>
      <c r="I374" s="662">
        <v>2166</v>
      </c>
      <c r="J374" s="662">
        <v>0</v>
      </c>
      <c r="K374" s="662">
        <v>6</v>
      </c>
      <c r="L374" s="665">
        <f t="shared" si="99"/>
        <v>361</v>
      </c>
      <c r="M374" s="666">
        <v>45908</v>
      </c>
      <c r="N374" s="666">
        <v>45901</v>
      </c>
      <c r="O374" s="664"/>
      <c r="P374" s="824" t="s">
        <v>113</v>
      </c>
      <c r="Q374" s="662" t="s">
        <v>1571</v>
      </c>
      <c r="R374" s="667">
        <v>45877</v>
      </c>
      <c r="S374" s="667" t="s">
        <v>104</v>
      </c>
      <c r="T374" s="667">
        <v>45875</v>
      </c>
      <c r="U374" s="667"/>
      <c r="V374" s="667"/>
      <c r="W374" s="667"/>
      <c r="X374" s="661" t="s">
        <v>1634</v>
      </c>
      <c r="Y374" s="666" t="s">
        <v>133</v>
      </c>
      <c r="Z374" s="1318">
        <v>7.0773</v>
      </c>
      <c r="AA374" s="634">
        <f t="shared" si="110"/>
        <v>15329.4318</v>
      </c>
      <c r="AC374" s="638" t="s">
        <v>1637</v>
      </c>
      <c r="AD374" s="633" t="s">
        <v>1306</v>
      </c>
      <c r="AE374" s="662" t="s">
        <v>82</v>
      </c>
      <c r="AF374" s="662"/>
      <c r="AG374" s="662"/>
      <c r="AH374" s="662"/>
      <c r="AI374" s="664">
        <v>2166</v>
      </c>
      <c r="AJ374" s="664">
        <f t="shared" si="111"/>
        <v>0</v>
      </c>
      <c r="AK374" s="662"/>
      <c r="AL374" s="662"/>
      <c r="AM374" s="662"/>
      <c r="AN374" s="663">
        <f t="shared" si="113"/>
        <v>2166</v>
      </c>
      <c r="AR374" s="663">
        <f t="shared" si="114"/>
        <v>2166</v>
      </c>
      <c r="AU374" s="825">
        <f t="shared" si="115"/>
        <v>2166</v>
      </c>
      <c r="AV374" s="825"/>
      <c r="AW374" s="663">
        <f t="shared" si="112"/>
        <v>2166</v>
      </c>
      <c r="BD374" s="548"/>
      <c r="BE374" s="548"/>
      <c r="BF374" s="1265"/>
      <c r="BG374" s="1265"/>
      <c r="BH374" s="548"/>
      <c r="BI374" s="548"/>
      <c r="BJ374" s="1265"/>
      <c r="BK374" s="1265"/>
      <c r="BL374" s="1265"/>
      <c r="BM374" s="548"/>
      <c r="BN374" s="663">
        <f>I374</f>
        <v>2166</v>
      </c>
      <c r="BQ374" s="663"/>
    </row>
    <row r="375" s="1265" customFormat="1" ht="31" customHeight="1" spans="1:69">
      <c r="A375" s="660">
        <v>45842</v>
      </c>
      <c r="B375" s="661" t="s">
        <v>120</v>
      </c>
      <c r="C375" s="662" t="s">
        <v>98</v>
      </c>
      <c r="D375" s="663">
        <v>4500172730</v>
      </c>
      <c r="E375" s="662">
        <v>5200007204</v>
      </c>
      <c r="F375" s="663" t="s">
        <v>1638</v>
      </c>
      <c r="G375" s="659" t="s">
        <v>123</v>
      </c>
      <c r="H375" s="633" t="s">
        <v>69</v>
      </c>
      <c r="I375" s="662">
        <v>1992</v>
      </c>
      <c r="J375" s="662">
        <v>0</v>
      </c>
      <c r="K375" s="662">
        <v>12</v>
      </c>
      <c r="L375" s="665">
        <f t="shared" si="99"/>
        <v>166</v>
      </c>
      <c r="M375" s="666">
        <v>45908</v>
      </c>
      <c r="N375" s="666">
        <v>45904</v>
      </c>
      <c r="O375" s="664"/>
      <c r="P375" s="824" t="s">
        <v>113</v>
      </c>
      <c r="Q375" s="662"/>
      <c r="R375" s="667">
        <v>45842</v>
      </c>
      <c r="S375" s="667" t="s">
        <v>70</v>
      </c>
      <c r="T375" s="667" t="s">
        <v>70</v>
      </c>
      <c r="U375" s="667"/>
      <c r="V375" s="667"/>
      <c r="W375" s="667"/>
      <c r="X375" s="661" t="s">
        <v>1639</v>
      </c>
      <c r="Y375" s="666" t="s">
        <v>1640</v>
      </c>
      <c r="Z375" s="1318">
        <v>2.4874</v>
      </c>
      <c r="AA375" s="634">
        <f t="shared" si="110"/>
        <v>4954.9008</v>
      </c>
      <c r="AC375" s="638" t="s">
        <v>1641</v>
      </c>
      <c r="AD375" s="633" t="s">
        <v>68</v>
      </c>
      <c r="AE375" s="662" t="s">
        <v>82</v>
      </c>
      <c r="AF375" s="662"/>
      <c r="AG375" s="662"/>
      <c r="AH375" s="662"/>
      <c r="AI375" s="664">
        <f>1944+48</f>
        <v>1992</v>
      </c>
      <c r="AJ375" s="664">
        <f t="shared" si="111"/>
        <v>0</v>
      </c>
      <c r="AK375" s="662"/>
      <c r="AL375" s="662"/>
      <c r="AM375" s="662"/>
      <c r="AN375" s="663">
        <f t="shared" si="113"/>
        <v>1992</v>
      </c>
      <c r="AR375" s="663">
        <f t="shared" si="114"/>
        <v>1992</v>
      </c>
      <c r="AU375" s="825">
        <f t="shared" si="115"/>
        <v>1992</v>
      </c>
      <c r="AV375" s="825"/>
      <c r="AW375" s="663">
        <f t="shared" si="112"/>
        <v>1992</v>
      </c>
      <c r="BD375" s="548"/>
      <c r="BE375" s="548"/>
      <c r="BF375" s="1265"/>
      <c r="BG375" s="1265"/>
      <c r="BH375" s="548"/>
      <c r="BI375" s="548"/>
      <c r="BJ375" s="1265"/>
      <c r="BK375" s="1265"/>
      <c r="BL375" s="1265"/>
      <c r="BM375" s="548"/>
      <c r="BN375" s="548"/>
      <c r="BO375" s="1265"/>
      <c r="BP375" s="1265"/>
      <c r="BQ375" s="663"/>
    </row>
    <row r="376" s="1265" customFormat="1" ht="31" customHeight="1" spans="1:69">
      <c r="A376" s="660">
        <v>45848</v>
      </c>
      <c r="B376" s="661" t="s">
        <v>1642</v>
      </c>
      <c r="C376" s="662" t="s">
        <v>723</v>
      </c>
      <c r="D376" s="663">
        <v>4500173266</v>
      </c>
      <c r="E376" s="662" t="s">
        <v>1643</v>
      </c>
      <c r="F376" s="663" t="s">
        <v>1644</v>
      </c>
      <c r="G376" s="659" t="s">
        <v>111</v>
      </c>
      <c r="H376" s="662" t="s">
        <v>112</v>
      </c>
      <c r="I376" s="662">
        <v>560</v>
      </c>
      <c r="J376" s="662">
        <v>0</v>
      </c>
      <c r="K376" s="662">
        <v>16</v>
      </c>
      <c r="L376" s="665">
        <f t="shared" si="99"/>
        <v>35</v>
      </c>
      <c r="M376" s="666">
        <v>45908</v>
      </c>
      <c r="N376" s="666">
        <v>45904</v>
      </c>
      <c r="O376" s="664"/>
      <c r="P376" s="824" t="s">
        <v>113</v>
      </c>
      <c r="Q376" s="662"/>
      <c r="R376" s="667">
        <v>45848</v>
      </c>
      <c r="S376" s="667" t="s">
        <v>70</v>
      </c>
      <c r="T376" s="667" t="s">
        <v>1645</v>
      </c>
      <c r="U376" s="667"/>
      <c r="V376" s="667"/>
      <c r="W376" s="667"/>
      <c r="X376" s="661" t="s">
        <v>1646</v>
      </c>
      <c r="Y376" s="666" t="s">
        <v>217</v>
      </c>
      <c r="Z376" s="1318">
        <v>4.2114</v>
      </c>
      <c r="AA376" s="634">
        <f t="shared" si="110"/>
        <v>2358.384</v>
      </c>
      <c r="AC376" s="638" t="s">
        <v>1647</v>
      </c>
      <c r="AD376" s="633" t="s">
        <v>111</v>
      </c>
      <c r="AE376" s="662" t="s">
        <v>82</v>
      </c>
      <c r="AF376" s="662"/>
      <c r="AG376" s="662"/>
      <c r="AH376" s="662"/>
      <c r="AI376" s="664">
        <v>560</v>
      </c>
      <c r="AJ376" s="664">
        <f t="shared" si="111"/>
        <v>0</v>
      </c>
      <c r="AK376" s="662"/>
      <c r="AL376" s="662"/>
      <c r="AM376" s="662"/>
      <c r="AN376" s="663">
        <f t="shared" si="113"/>
        <v>560</v>
      </c>
      <c r="AR376" s="663">
        <f t="shared" si="114"/>
        <v>560</v>
      </c>
      <c r="AU376" s="825">
        <f t="shared" si="115"/>
        <v>560</v>
      </c>
      <c r="AV376" s="825"/>
      <c r="AW376" s="663">
        <f t="shared" si="112"/>
        <v>560</v>
      </c>
      <c r="BD376" s="548"/>
      <c r="BE376" s="548"/>
      <c r="BF376" s="1265"/>
      <c r="BG376" s="1265"/>
      <c r="BH376" s="825">
        <f>I376/4</f>
        <v>140</v>
      </c>
      <c r="BI376" s="548"/>
      <c r="BJ376" s="1265"/>
      <c r="BK376" s="1265"/>
      <c r="BL376" s="1265"/>
      <c r="BM376" s="548"/>
      <c r="BN376" s="548"/>
      <c r="BO376" s="1265"/>
      <c r="BP376" s="1265"/>
      <c r="BQ376" s="663"/>
    </row>
    <row r="377" s="1265" customFormat="1" ht="31" customHeight="1" spans="1:69">
      <c r="A377" s="660">
        <v>45678</v>
      </c>
      <c r="B377" s="661" t="s">
        <v>1492</v>
      </c>
      <c r="C377" s="662" t="s">
        <v>98</v>
      </c>
      <c r="D377" s="663">
        <v>4500156325</v>
      </c>
      <c r="E377" s="1414" t="s">
        <v>1648</v>
      </c>
      <c r="F377" s="663" t="s">
        <v>1649</v>
      </c>
      <c r="G377" s="659" t="s">
        <v>909</v>
      </c>
      <c r="H377" s="662" t="s">
        <v>830</v>
      </c>
      <c r="I377" s="662">
        <v>72</v>
      </c>
      <c r="J377" s="662">
        <v>0</v>
      </c>
      <c r="K377" s="662">
        <v>1</v>
      </c>
      <c r="L377" s="665">
        <f t="shared" si="99"/>
        <v>72</v>
      </c>
      <c r="M377" s="666">
        <v>45897</v>
      </c>
      <c r="N377" s="666">
        <v>45894</v>
      </c>
      <c r="O377" s="664"/>
      <c r="P377" s="824" t="s">
        <v>113</v>
      </c>
      <c r="Q377" s="662"/>
      <c r="R377" s="667">
        <v>45832</v>
      </c>
      <c r="S377" s="667" t="s">
        <v>70</v>
      </c>
      <c r="T377" s="667" t="s">
        <v>70</v>
      </c>
      <c r="U377" s="667"/>
      <c r="V377" s="667"/>
      <c r="W377" s="667"/>
      <c r="X377" s="661" t="s">
        <v>1599</v>
      </c>
      <c r="Y377" s="666" t="s">
        <v>911</v>
      </c>
      <c r="Z377" s="1318">
        <v>0</v>
      </c>
      <c r="AA377" s="634">
        <f t="shared" ref="AA377:AA382" si="116">Z377*L377</f>
        <v>0</v>
      </c>
      <c r="AC377" s="638" t="s">
        <v>1650</v>
      </c>
      <c r="AD377" s="633" t="s">
        <v>1498</v>
      </c>
      <c r="AE377" s="662" t="s">
        <v>82</v>
      </c>
      <c r="AF377" s="662"/>
      <c r="AG377" s="662"/>
      <c r="AH377" s="662"/>
      <c r="AI377" s="664">
        <f>3520+1880</f>
        <v>5400</v>
      </c>
      <c r="AJ377" s="664">
        <v>0</v>
      </c>
      <c r="AK377" s="662"/>
      <c r="AL377" s="662"/>
      <c r="AM377" s="662"/>
      <c r="AN377" s="1265"/>
      <c r="AO377" s="663">
        <v>0</v>
      </c>
      <c r="AP377" s="1265"/>
      <c r="AQ377" s="1265"/>
      <c r="AR377" s="1265"/>
      <c r="AS377" s="1265"/>
      <c r="AT377" s="1265"/>
      <c r="AU377" s="1265"/>
      <c r="AV377" s="825"/>
      <c r="AW377" s="1265"/>
      <c r="AX377" s="1265"/>
      <c r="AY377" s="1265"/>
      <c r="AZ377" s="1265"/>
      <c r="BA377" s="1265"/>
      <c r="BB377" s="1265"/>
      <c r="BC377" s="1265"/>
      <c r="BD377" s="548"/>
      <c r="BE377" s="548"/>
      <c r="BF377" s="1265"/>
      <c r="BG377" s="1265"/>
      <c r="BH377" s="548"/>
      <c r="BI377" s="548"/>
      <c r="BJ377" s="1265"/>
      <c r="BK377" s="1265"/>
      <c r="BL377" s="1265"/>
      <c r="BM377" s="548"/>
      <c r="BN377" s="548"/>
      <c r="BO377" s="1265"/>
      <c r="BP377" s="1265"/>
      <c r="BQ377" s="663"/>
    </row>
    <row r="378" s="1265" customFormat="1" ht="31" customHeight="1" spans="1:69">
      <c r="A378" s="660">
        <v>45678</v>
      </c>
      <c r="B378" s="661" t="s">
        <v>1492</v>
      </c>
      <c r="C378" s="662" t="s">
        <v>98</v>
      </c>
      <c r="D378" s="663">
        <v>4500156325</v>
      </c>
      <c r="E378" s="1414" t="s">
        <v>1648</v>
      </c>
      <c r="F378" s="663" t="s">
        <v>1649</v>
      </c>
      <c r="G378" s="659">
        <v>77673</v>
      </c>
      <c r="H378" s="662" t="s">
        <v>112</v>
      </c>
      <c r="I378" s="662">
        <v>5400</v>
      </c>
      <c r="J378" s="662">
        <v>0</v>
      </c>
      <c r="K378" s="662">
        <v>75</v>
      </c>
      <c r="L378" s="665">
        <f t="shared" si="99"/>
        <v>72</v>
      </c>
      <c r="M378" s="666">
        <v>45897</v>
      </c>
      <c r="N378" s="666">
        <v>45894</v>
      </c>
      <c r="O378" s="664"/>
      <c r="P378" s="824" t="s">
        <v>113</v>
      </c>
      <c r="Q378" s="662"/>
      <c r="R378" s="667">
        <v>45832</v>
      </c>
      <c r="S378" s="667" t="s">
        <v>70</v>
      </c>
      <c r="T378" s="667" t="s">
        <v>70</v>
      </c>
      <c r="U378" s="667"/>
      <c r="V378" s="667"/>
      <c r="W378" s="667"/>
      <c r="X378" s="661"/>
      <c r="Y378" s="666" t="s">
        <v>911</v>
      </c>
      <c r="Z378" s="1318">
        <v>762.5</v>
      </c>
      <c r="AA378" s="634">
        <f t="shared" si="116"/>
        <v>54900</v>
      </c>
      <c r="AC378" s="638" t="s">
        <v>1650</v>
      </c>
      <c r="AD378" s="633" t="s">
        <v>1498</v>
      </c>
      <c r="AE378" s="662" t="s">
        <v>82</v>
      </c>
      <c r="AF378" s="662"/>
      <c r="AG378" s="662"/>
      <c r="AH378" s="662"/>
      <c r="AI378" s="664">
        <v>0</v>
      </c>
      <c r="AJ378" s="664">
        <v>0</v>
      </c>
      <c r="AK378" s="662"/>
      <c r="AL378" s="662"/>
      <c r="AM378" s="662"/>
      <c r="AN378" s="1265"/>
      <c r="AO378" s="663">
        <f>I378</f>
        <v>5400</v>
      </c>
      <c r="AV378" s="825"/>
      <c r="AW378" s="1265"/>
      <c r="AX378" s="1265"/>
      <c r="AY378" s="1265"/>
      <c r="AZ378" s="1265"/>
      <c r="BA378" s="663">
        <f>I378</f>
        <v>5400</v>
      </c>
      <c r="BB378" s="663">
        <f>I378</f>
        <v>5400</v>
      </c>
      <c r="BC378" s="1319">
        <f>I378</f>
        <v>5400</v>
      </c>
      <c r="BD378" s="548"/>
      <c r="BE378" s="548"/>
      <c r="BF378" s="1265"/>
      <c r="BG378" s="1265"/>
      <c r="BH378" s="548"/>
      <c r="BI378" s="548"/>
      <c r="BJ378" s="1265"/>
      <c r="BK378" s="1319">
        <f>I378</f>
        <v>5400</v>
      </c>
      <c r="BL378" s="1319">
        <f>I378/5</f>
        <v>1080</v>
      </c>
      <c r="BM378" s="548"/>
      <c r="BN378" s="548"/>
      <c r="BO378" s="1265"/>
      <c r="BP378" s="1265"/>
      <c r="BQ378" s="663"/>
    </row>
    <row r="379" s="1265" customFormat="1" ht="31" customHeight="1" spans="1:69">
      <c r="A379" s="660">
        <v>45678</v>
      </c>
      <c r="B379" s="661" t="s">
        <v>1492</v>
      </c>
      <c r="C379" s="662" t="s">
        <v>98</v>
      </c>
      <c r="D379" s="663">
        <v>4500156324</v>
      </c>
      <c r="E379" s="1414" t="s">
        <v>1651</v>
      </c>
      <c r="F379" s="663" t="s">
        <v>1652</v>
      </c>
      <c r="G379" s="659" t="s">
        <v>909</v>
      </c>
      <c r="H379" s="662" t="s">
        <v>830</v>
      </c>
      <c r="I379" s="662">
        <v>72</v>
      </c>
      <c r="J379" s="662">
        <v>0</v>
      </c>
      <c r="K379" s="662">
        <v>1</v>
      </c>
      <c r="L379" s="665">
        <f t="shared" ref="L379:L442" si="117">I379/K379</f>
        <v>72</v>
      </c>
      <c r="M379" s="666">
        <v>45898</v>
      </c>
      <c r="N379" s="666">
        <f>M379-4</f>
        <v>45894</v>
      </c>
      <c r="O379" s="664"/>
      <c r="P379" s="824" t="s">
        <v>113</v>
      </c>
      <c r="Q379" s="662"/>
      <c r="R379" s="667">
        <v>45832</v>
      </c>
      <c r="S379" s="667" t="s">
        <v>70</v>
      </c>
      <c r="T379" s="667" t="s">
        <v>70</v>
      </c>
      <c r="U379" s="667"/>
      <c r="V379" s="667"/>
      <c r="W379" s="667"/>
      <c r="X379" s="661" t="s">
        <v>1653</v>
      </c>
      <c r="Y379" s="666" t="s">
        <v>911</v>
      </c>
      <c r="Z379" s="1318">
        <v>0</v>
      </c>
      <c r="AA379" s="634">
        <f t="shared" si="116"/>
        <v>0</v>
      </c>
      <c r="AC379" s="648" t="s">
        <v>1654</v>
      </c>
      <c r="AD379" s="633" t="s">
        <v>1498</v>
      </c>
      <c r="AE379" s="662" t="s">
        <v>82</v>
      </c>
      <c r="AF379" s="662"/>
      <c r="AG379" s="662"/>
      <c r="AH379" s="662"/>
      <c r="AI379" s="664">
        <f>1920+3480</f>
        <v>5400</v>
      </c>
      <c r="AJ379" s="664">
        <f>AI379-I380</f>
        <v>0</v>
      </c>
      <c r="AK379" s="662"/>
      <c r="AL379" s="662"/>
      <c r="AM379" s="662"/>
      <c r="AN379" s="1265"/>
      <c r="AO379" s="663">
        <v>0</v>
      </c>
      <c r="AP379" s="1265"/>
      <c r="AQ379" s="1265"/>
      <c r="AR379" s="1265"/>
      <c r="AS379" s="1265"/>
      <c r="AT379" s="1265"/>
      <c r="AU379" s="1265"/>
      <c r="AV379" s="825"/>
      <c r="AW379" s="1265"/>
      <c r="AX379" s="1265"/>
      <c r="AY379" s="1265"/>
      <c r="AZ379" s="1265"/>
      <c r="BA379" s="1265"/>
      <c r="BB379" s="1265"/>
      <c r="BC379" s="1265"/>
      <c r="BD379" s="548"/>
      <c r="BE379" s="548"/>
      <c r="BF379" s="1265"/>
      <c r="BG379" s="1265"/>
      <c r="BH379" s="548"/>
      <c r="BI379" s="548"/>
      <c r="BJ379" s="1265"/>
      <c r="BK379" s="1265"/>
      <c r="BL379" s="1265"/>
      <c r="BM379" s="548"/>
      <c r="BN379" s="548"/>
      <c r="BO379" s="1265"/>
      <c r="BP379" s="1265"/>
      <c r="BQ379" s="663"/>
    </row>
    <row r="380" s="1265" customFormat="1" ht="31" customHeight="1" spans="1:69">
      <c r="A380" s="660">
        <v>45678</v>
      </c>
      <c r="B380" s="661" t="s">
        <v>1492</v>
      </c>
      <c r="C380" s="662" t="s">
        <v>98</v>
      </c>
      <c r="D380" s="663">
        <v>4500156324</v>
      </c>
      <c r="E380" s="1414" t="s">
        <v>1651</v>
      </c>
      <c r="F380" s="663" t="s">
        <v>1652</v>
      </c>
      <c r="G380" s="659">
        <v>77673</v>
      </c>
      <c r="H380" s="662" t="s">
        <v>112</v>
      </c>
      <c r="I380" s="662">
        <v>5400</v>
      </c>
      <c r="J380" s="662">
        <v>0</v>
      </c>
      <c r="K380" s="662">
        <v>75</v>
      </c>
      <c r="L380" s="665">
        <f t="shared" si="117"/>
        <v>72</v>
      </c>
      <c r="M380" s="666">
        <v>45898</v>
      </c>
      <c r="N380" s="666">
        <f>M380-4</f>
        <v>45894</v>
      </c>
      <c r="O380" s="664"/>
      <c r="P380" s="824" t="s">
        <v>113</v>
      </c>
      <c r="Q380" s="662"/>
      <c r="R380" s="667">
        <v>45832</v>
      </c>
      <c r="S380" s="667" t="s">
        <v>70</v>
      </c>
      <c r="T380" s="667" t="s">
        <v>70</v>
      </c>
      <c r="U380" s="667"/>
      <c r="V380" s="667"/>
      <c r="W380" s="667"/>
      <c r="X380" s="661"/>
      <c r="Y380" s="666" t="s">
        <v>911</v>
      </c>
      <c r="Z380" s="1318">
        <v>762.5</v>
      </c>
      <c r="AA380" s="634">
        <f t="shared" si="116"/>
        <v>54900</v>
      </c>
      <c r="AC380" s="648" t="s">
        <v>1654</v>
      </c>
      <c r="AD380" s="633" t="s">
        <v>1498</v>
      </c>
      <c r="AE380" s="662" t="s">
        <v>82</v>
      </c>
      <c r="AF380" s="662"/>
      <c r="AG380" s="662"/>
      <c r="AH380" s="662"/>
      <c r="AI380" s="664">
        <v>0</v>
      </c>
      <c r="AJ380" s="664">
        <v>0</v>
      </c>
      <c r="AK380" s="662"/>
      <c r="AL380" s="662"/>
      <c r="AM380" s="662"/>
      <c r="AN380" s="1265"/>
      <c r="AO380" s="663">
        <f>I380</f>
        <v>5400</v>
      </c>
      <c r="AV380" s="825"/>
      <c r="AW380" s="1265"/>
      <c r="AX380" s="1265"/>
      <c r="AY380" s="1265"/>
      <c r="AZ380" s="1265"/>
      <c r="BA380" s="663">
        <f>I380</f>
        <v>5400</v>
      </c>
      <c r="BB380" s="663">
        <f>I380</f>
        <v>5400</v>
      </c>
      <c r="BC380" s="1319">
        <f>I380</f>
        <v>5400</v>
      </c>
      <c r="BD380" s="548"/>
      <c r="BE380" s="548"/>
      <c r="BF380" s="1265"/>
      <c r="BG380" s="1265"/>
      <c r="BH380" s="548"/>
      <c r="BI380" s="548"/>
      <c r="BJ380" s="1265"/>
      <c r="BK380" s="1319">
        <f>I380</f>
        <v>5400</v>
      </c>
      <c r="BL380" s="1319">
        <f>I380/5</f>
        <v>1080</v>
      </c>
      <c r="BM380" s="548"/>
      <c r="BN380" s="548"/>
      <c r="BO380" s="1265"/>
      <c r="BP380" s="1265"/>
      <c r="BQ380" s="663"/>
    </row>
    <row r="381" s="1265" customFormat="1" ht="31" customHeight="1" spans="1:69">
      <c r="A381" s="660">
        <v>45678</v>
      </c>
      <c r="B381" s="661" t="s">
        <v>1492</v>
      </c>
      <c r="C381" s="662" t="s">
        <v>98</v>
      </c>
      <c r="D381" s="663">
        <v>4500156328</v>
      </c>
      <c r="E381" s="1414" t="s">
        <v>1655</v>
      </c>
      <c r="F381" s="663" t="s">
        <v>1656</v>
      </c>
      <c r="G381" s="659" t="s">
        <v>909</v>
      </c>
      <c r="H381" s="662" t="s">
        <v>830</v>
      </c>
      <c r="I381" s="662">
        <v>72</v>
      </c>
      <c r="J381" s="662">
        <v>0</v>
      </c>
      <c r="K381" s="662">
        <v>1</v>
      </c>
      <c r="L381" s="665">
        <f t="shared" si="117"/>
        <v>72</v>
      </c>
      <c r="M381" s="666">
        <v>45898</v>
      </c>
      <c r="N381" s="666">
        <v>45894</v>
      </c>
      <c r="O381" s="664"/>
      <c r="P381" s="824" t="s">
        <v>113</v>
      </c>
      <c r="Q381" s="662"/>
      <c r="R381" s="667">
        <v>45832</v>
      </c>
      <c r="S381" s="667" t="s">
        <v>70</v>
      </c>
      <c r="T381" s="667" t="s">
        <v>70</v>
      </c>
      <c r="U381" s="667"/>
      <c r="V381" s="667"/>
      <c r="W381" s="667"/>
      <c r="X381" s="661" t="s">
        <v>1653</v>
      </c>
      <c r="Y381" s="666" t="s">
        <v>911</v>
      </c>
      <c r="Z381" s="1318">
        <v>0</v>
      </c>
      <c r="AA381" s="634">
        <f t="shared" si="116"/>
        <v>0</v>
      </c>
      <c r="AC381" s="638" t="s">
        <v>1657</v>
      </c>
      <c r="AD381" s="633" t="s">
        <v>1498</v>
      </c>
      <c r="AE381" s="662" t="s">
        <v>82</v>
      </c>
      <c r="AF381" s="662"/>
      <c r="AG381" s="662"/>
      <c r="AH381" s="662"/>
      <c r="AI381" s="664">
        <f>2880+2520</f>
        <v>5400</v>
      </c>
      <c r="AJ381" s="664">
        <v>0</v>
      </c>
      <c r="AK381" s="662"/>
      <c r="AL381" s="662"/>
      <c r="AM381" s="662"/>
      <c r="AN381" s="1265"/>
      <c r="AO381" s="663">
        <v>0</v>
      </c>
      <c r="AP381" s="1265"/>
      <c r="AQ381" s="1265"/>
      <c r="AR381" s="1265"/>
      <c r="AS381" s="1265"/>
      <c r="AT381" s="1265"/>
      <c r="AU381" s="1265"/>
      <c r="AV381" s="825"/>
      <c r="AW381" s="1265"/>
      <c r="AX381" s="1265"/>
      <c r="AY381" s="1265"/>
      <c r="AZ381" s="1265"/>
      <c r="BA381" s="1265"/>
      <c r="BB381" s="1265"/>
      <c r="BC381" s="1265"/>
      <c r="BD381" s="548"/>
      <c r="BE381" s="548"/>
      <c r="BF381" s="1265"/>
      <c r="BG381" s="1265"/>
      <c r="BH381" s="548"/>
      <c r="BI381" s="548"/>
      <c r="BJ381" s="1265"/>
      <c r="BK381" s="1265"/>
      <c r="BL381" s="1265"/>
      <c r="BM381" s="548"/>
      <c r="BN381" s="548"/>
      <c r="BO381" s="1265"/>
      <c r="BP381" s="1265"/>
      <c r="BQ381" s="663"/>
    </row>
    <row r="382" s="1265" customFormat="1" ht="31" customHeight="1" spans="1:69">
      <c r="A382" s="660">
        <v>45678</v>
      </c>
      <c r="B382" s="661" t="s">
        <v>1492</v>
      </c>
      <c r="C382" s="662" t="s">
        <v>98</v>
      </c>
      <c r="D382" s="663">
        <v>4500156328</v>
      </c>
      <c r="E382" s="1414" t="s">
        <v>1655</v>
      </c>
      <c r="F382" s="663" t="s">
        <v>1656</v>
      </c>
      <c r="G382" s="659">
        <v>77673</v>
      </c>
      <c r="H382" s="662" t="s">
        <v>112</v>
      </c>
      <c r="I382" s="662">
        <v>5400</v>
      </c>
      <c r="J382" s="662">
        <v>0</v>
      </c>
      <c r="K382" s="662">
        <v>75</v>
      </c>
      <c r="L382" s="665">
        <f t="shared" si="117"/>
        <v>72</v>
      </c>
      <c r="M382" s="666">
        <v>45898</v>
      </c>
      <c r="N382" s="666">
        <v>45894</v>
      </c>
      <c r="O382" s="664"/>
      <c r="P382" s="824" t="s">
        <v>113</v>
      </c>
      <c r="Q382" s="662"/>
      <c r="R382" s="667">
        <v>45832</v>
      </c>
      <c r="S382" s="667" t="s">
        <v>70</v>
      </c>
      <c r="T382" s="667" t="s">
        <v>70</v>
      </c>
      <c r="U382" s="667"/>
      <c r="V382" s="667"/>
      <c r="W382" s="667"/>
      <c r="X382" s="661"/>
      <c r="Y382" s="666" t="s">
        <v>911</v>
      </c>
      <c r="Z382" s="1318">
        <v>762.5</v>
      </c>
      <c r="AA382" s="634">
        <f t="shared" si="116"/>
        <v>54900</v>
      </c>
      <c r="AC382" s="638" t="s">
        <v>1657</v>
      </c>
      <c r="AD382" s="633" t="s">
        <v>1498</v>
      </c>
      <c r="AE382" s="662" t="s">
        <v>82</v>
      </c>
      <c r="AF382" s="662"/>
      <c r="AG382" s="662"/>
      <c r="AH382" s="662"/>
      <c r="AI382" s="664">
        <v>0</v>
      </c>
      <c r="AJ382" s="664">
        <v>0</v>
      </c>
      <c r="AK382" s="662"/>
      <c r="AL382" s="662"/>
      <c r="AM382" s="662"/>
      <c r="AN382" s="1265"/>
      <c r="AO382" s="663">
        <f>I382</f>
        <v>5400</v>
      </c>
      <c r="AV382" s="825"/>
      <c r="AW382" s="1265"/>
      <c r="AX382" s="1265"/>
      <c r="AY382" s="1265"/>
      <c r="AZ382" s="1265"/>
      <c r="BA382" s="663">
        <f>I382</f>
        <v>5400</v>
      </c>
      <c r="BB382" s="663">
        <f>I382</f>
        <v>5400</v>
      </c>
      <c r="BC382" s="1319">
        <f>I382</f>
        <v>5400</v>
      </c>
      <c r="BD382" s="548"/>
      <c r="BE382" s="548"/>
      <c r="BF382" s="1265"/>
      <c r="BG382" s="1265"/>
      <c r="BH382" s="548"/>
      <c r="BI382" s="548"/>
      <c r="BJ382" s="1265"/>
      <c r="BK382" s="1319">
        <f>I382</f>
        <v>5400</v>
      </c>
      <c r="BL382" s="1319">
        <f>I382/5</f>
        <v>1080</v>
      </c>
      <c r="BM382" s="548"/>
      <c r="BN382" s="548"/>
      <c r="BO382" s="1265"/>
      <c r="BP382" s="1265"/>
      <c r="BQ382" s="663"/>
    </row>
    <row r="383" s="1265" customFormat="1" ht="31" customHeight="1" spans="1:69">
      <c r="A383" s="660">
        <v>45861</v>
      </c>
      <c r="B383" s="661" t="s">
        <v>325</v>
      </c>
      <c r="C383" s="662" t="s">
        <v>98</v>
      </c>
      <c r="D383" s="663">
        <v>4500174721</v>
      </c>
      <c r="E383" s="662" t="s">
        <v>1658</v>
      </c>
      <c r="F383" s="663" t="s">
        <v>1659</v>
      </c>
      <c r="G383" s="659" t="s">
        <v>249</v>
      </c>
      <c r="H383" s="662" t="s">
        <v>250</v>
      </c>
      <c r="I383" s="662">
        <v>2944</v>
      </c>
      <c r="J383" s="662">
        <v>0</v>
      </c>
      <c r="K383" s="662">
        <v>4</v>
      </c>
      <c r="L383" s="665">
        <f t="shared" si="117"/>
        <v>736</v>
      </c>
      <c r="M383" s="1320">
        <v>45908</v>
      </c>
      <c r="N383" s="666">
        <v>45905</v>
      </c>
      <c r="O383" s="664"/>
      <c r="P383" s="824" t="s">
        <v>113</v>
      </c>
      <c r="Q383" s="662"/>
      <c r="R383" s="667">
        <v>45874</v>
      </c>
      <c r="S383" s="667" t="s">
        <v>104</v>
      </c>
      <c r="T383" s="667">
        <v>45881</v>
      </c>
      <c r="U383" s="667"/>
      <c r="V383" s="667" t="s">
        <v>1609</v>
      </c>
      <c r="W383" s="667"/>
      <c r="X383" s="661" t="s">
        <v>1660</v>
      </c>
      <c r="Y383" s="666" t="s">
        <v>252</v>
      </c>
      <c r="Z383" s="1318">
        <v>2.8095</v>
      </c>
      <c r="AA383" s="634">
        <f t="shared" ref="AA383:AA389" si="118">Z383*I383</f>
        <v>8271.168</v>
      </c>
      <c r="AC383" s="638" t="s">
        <v>1661</v>
      </c>
      <c r="AD383" s="633" t="s">
        <v>249</v>
      </c>
      <c r="AE383" s="662" t="s">
        <v>82</v>
      </c>
      <c r="AF383" s="662"/>
      <c r="AG383" s="662"/>
      <c r="AH383" s="662"/>
      <c r="AI383" s="664">
        <f>2940+4</f>
        <v>2944</v>
      </c>
      <c r="AJ383" s="664">
        <f t="shared" ref="AJ383:AJ390" si="119">AI383-I383</f>
        <v>0</v>
      </c>
      <c r="AK383" s="662"/>
      <c r="AL383" s="662"/>
      <c r="AM383" s="662"/>
      <c r="AN383" s="1265"/>
      <c r="AO383" s="1265"/>
      <c r="AP383" s="663">
        <f>I383</f>
        <v>2944</v>
      </c>
      <c r="AV383" s="825"/>
      <c r="AW383" s="663">
        <f t="shared" ref="AW383:AW389" si="120">I383</f>
        <v>2944</v>
      </c>
      <c r="BD383" s="548"/>
      <c r="BE383" s="548"/>
      <c r="BF383" s="663">
        <f>I383</f>
        <v>2944</v>
      </c>
      <c r="BG383" s="663">
        <f>I383</f>
        <v>2944</v>
      </c>
      <c r="BH383" s="825">
        <f>I383/4</f>
        <v>736</v>
      </c>
      <c r="BI383" s="548"/>
      <c r="BJ383" s="1265"/>
      <c r="BK383" s="1265"/>
      <c r="BL383" s="1265"/>
      <c r="BM383" s="548"/>
      <c r="BN383" s="548"/>
      <c r="BO383" s="1265"/>
      <c r="BP383" s="1265"/>
      <c r="BQ383" s="663"/>
    </row>
    <row r="384" s="1265" customFormat="1" ht="31" customHeight="1" spans="1:69">
      <c r="A384" s="660">
        <v>45866</v>
      </c>
      <c r="B384" s="661" t="s">
        <v>325</v>
      </c>
      <c r="C384" s="662" t="s">
        <v>98</v>
      </c>
      <c r="D384" s="663">
        <v>4500175215</v>
      </c>
      <c r="E384" s="662" t="s">
        <v>1662</v>
      </c>
      <c r="F384" s="663" t="s">
        <v>1663</v>
      </c>
      <c r="G384" s="659" t="s">
        <v>249</v>
      </c>
      <c r="H384" s="662" t="s">
        <v>250</v>
      </c>
      <c r="I384" s="662">
        <v>4632</v>
      </c>
      <c r="J384" s="662">
        <v>0</v>
      </c>
      <c r="K384" s="662">
        <v>4</v>
      </c>
      <c r="L384" s="665">
        <f t="shared" si="117"/>
        <v>1158</v>
      </c>
      <c r="M384" s="1320">
        <v>45908</v>
      </c>
      <c r="N384" s="666">
        <v>45905</v>
      </c>
      <c r="O384" s="664"/>
      <c r="P384" s="824" t="s">
        <v>113</v>
      </c>
      <c r="Q384" s="662"/>
      <c r="R384" s="667">
        <v>45877</v>
      </c>
      <c r="S384" s="667" t="s">
        <v>104</v>
      </c>
      <c r="T384" s="667">
        <v>45889</v>
      </c>
      <c r="U384" s="667"/>
      <c r="V384" s="667" t="s">
        <v>1609</v>
      </c>
      <c r="W384" s="667"/>
      <c r="X384" s="661" t="s">
        <v>1664</v>
      </c>
      <c r="Y384" s="666" t="s">
        <v>252</v>
      </c>
      <c r="Z384" s="1318">
        <v>2.8063</v>
      </c>
      <c r="AA384" s="634">
        <f t="shared" si="118"/>
        <v>12998.7816</v>
      </c>
      <c r="AC384" s="638" t="s">
        <v>1665</v>
      </c>
      <c r="AD384" s="633" t="s">
        <v>249</v>
      </c>
      <c r="AE384" s="662" t="s">
        <v>82</v>
      </c>
      <c r="AF384" s="662"/>
      <c r="AG384" s="662"/>
      <c r="AH384" s="662"/>
      <c r="AI384" s="664">
        <f>4608+24</f>
        <v>4632</v>
      </c>
      <c r="AJ384" s="664">
        <f t="shared" si="119"/>
        <v>0</v>
      </c>
      <c r="AK384" s="662"/>
      <c r="AL384" s="662"/>
      <c r="AM384" s="662"/>
      <c r="AN384" s="1265"/>
      <c r="AO384" s="1265"/>
      <c r="AP384" s="663">
        <f>I384</f>
        <v>4632</v>
      </c>
      <c r="AV384" s="825"/>
      <c r="AW384" s="663">
        <f t="shared" si="120"/>
        <v>4632</v>
      </c>
      <c r="BD384" s="548"/>
      <c r="BE384" s="548"/>
      <c r="BF384" s="663">
        <f>I384</f>
        <v>4632</v>
      </c>
      <c r="BG384" s="663">
        <f>I384</f>
        <v>4632</v>
      </c>
      <c r="BH384" s="825">
        <f>I384/4</f>
        <v>1158</v>
      </c>
      <c r="BI384" s="548"/>
      <c r="BJ384" s="1265"/>
      <c r="BK384" s="1265"/>
      <c r="BL384" s="1265"/>
      <c r="BM384" s="548"/>
      <c r="BN384" s="548"/>
      <c r="BO384" s="1265"/>
      <c r="BP384" s="1265"/>
      <c r="BQ384" s="663"/>
    </row>
    <row r="385" s="1265" customFormat="1" ht="31" customHeight="1" spans="1:69">
      <c r="A385" s="660">
        <v>45862</v>
      </c>
      <c r="B385" s="661" t="s">
        <v>143</v>
      </c>
      <c r="C385" s="662" t="s">
        <v>98</v>
      </c>
      <c r="D385" s="663">
        <v>4500174959</v>
      </c>
      <c r="E385" s="1414" t="s">
        <v>1666</v>
      </c>
      <c r="F385" s="663" t="s">
        <v>1667</v>
      </c>
      <c r="G385" s="659" t="s">
        <v>101</v>
      </c>
      <c r="H385" s="662" t="s">
        <v>102</v>
      </c>
      <c r="I385" s="662">
        <v>500</v>
      </c>
      <c r="J385" s="662">
        <v>0</v>
      </c>
      <c r="K385" s="662">
        <v>4</v>
      </c>
      <c r="L385" s="665">
        <f t="shared" si="117"/>
        <v>125</v>
      </c>
      <c r="M385" s="666">
        <v>45910</v>
      </c>
      <c r="N385" s="666">
        <v>45906</v>
      </c>
      <c r="O385" s="664" t="s">
        <v>1668</v>
      </c>
      <c r="P385" s="824" t="s">
        <v>113</v>
      </c>
      <c r="Q385" s="662"/>
      <c r="R385" s="667" t="s">
        <v>147</v>
      </c>
      <c r="S385" s="667" t="s">
        <v>70</v>
      </c>
      <c r="T385" s="667" t="s">
        <v>1615</v>
      </c>
      <c r="U385" s="667"/>
      <c r="V385" s="667" t="s">
        <v>148</v>
      </c>
      <c r="W385" s="667"/>
      <c r="X385" s="661" t="s">
        <v>1395</v>
      </c>
      <c r="Y385" s="666" t="s">
        <v>106</v>
      </c>
      <c r="Z385" s="1318">
        <v>2.58</v>
      </c>
      <c r="AA385" s="634">
        <f t="shared" si="118"/>
        <v>1290</v>
      </c>
      <c r="AC385" s="638" t="s">
        <v>1669</v>
      </c>
      <c r="AD385" s="633" t="s">
        <v>101</v>
      </c>
      <c r="AE385" s="662" t="s">
        <v>82</v>
      </c>
      <c r="AF385" s="662"/>
      <c r="AG385" s="662"/>
      <c r="AH385" s="662"/>
      <c r="AI385" s="664">
        <v>500</v>
      </c>
      <c r="AJ385" s="664">
        <f t="shared" si="119"/>
        <v>0</v>
      </c>
      <c r="AK385" s="662"/>
      <c r="AL385" s="662"/>
      <c r="AM385" s="662"/>
      <c r="AN385" s="663">
        <f>I385</f>
        <v>500</v>
      </c>
      <c r="AR385" s="663">
        <f>I385</f>
        <v>500</v>
      </c>
      <c r="AU385" s="825">
        <f>I385</f>
        <v>500</v>
      </c>
      <c r="AV385" s="825"/>
      <c r="AW385" s="663">
        <f t="shared" si="120"/>
        <v>500</v>
      </c>
      <c r="BD385" s="548"/>
      <c r="BE385" s="548"/>
      <c r="BF385" s="1265"/>
      <c r="BG385" s="1265"/>
      <c r="BH385" s="825">
        <f>I385/4</f>
        <v>125</v>
      </c>
      <c r="BI385" s="548"/>
      <c r="BJ385" s="1265"/>
      <c r="BK385" s="1265"/>
      <c r="BL385" s="1265"/>
      <c r="BM385" s="548"/>
      <c r="BN385" s="548"/>
      <c r="BO385" s="1265"/>
      <c r="BP385" s="1265"/>
      <c r="BQ385" s="663"/>
    </row>
    <row r="386" s="1265" customFormat="1" ht="31" customHeight="1" spans="1:69">
      <c r="A386" s="660">
        <v>45862</v>
      </c>
      <c r="B386" s="661" t="s">
        <v>143</v>
      </c>
      <c r="C386" s="662" t="s">
        <v>98</v>
      </c>
      <c r="D386" s="663">
        <v>4500174959</v>
      </c>
      <c r="E386" s="1414" t="s">
        <v>1670</v>
      </c>
      <c r="F386" s="663" t="s">
        <v>1671</v>
      </c>
      <c r="G386" s="659" t="s">
        <v>101</v>
      </c>
      <c r="H386" s="662" t="s">
        <v>102</v>
      </c>
      <c r="I386" s="662">
        <v>500</v>
      </c>
      <c r="J386" s="662">
        <v>0</v>
      </c>
      <c r="K386" s="662">
        <v>4</v>
      </c>
      <c r="L386" s="665">
        <f t="shared" si="117"/>
        <v>125</v>
      </c>
      <c r="M386" s="666">
        <v>45910</v>
      </c>
      <c r="N386" s="666">
        <v>45906</v>
      </c>
      <c r="O386" s="664" t="s">
        <v>1668</v>
      </c>
      <c r="P386" s="824" t="s">
        <v>113</v>
      </c>
      <c r="Q386" s="662"/>
      <c r="R386" s="667" t="s">
        <v>147</v>
      </c>
      <c r="S386" s="667" t="s">
        <v>70</v>
      </c>
      <c r="T386" s="667" t="s">
        <v>1615</v>
      </c>
      <c r="U386" s="667"/>
      <c r="V386" s="667" t="s">
        <v>148</v>
      </c>
      <c r="W386" s="667"/>
      <c r="X386" s="661" t="s">
        <v>1395</v>
      </c>
      <c r="Y386" s="666" t="s">
        <v>106</v>
      </c>
      <c r="Z386" s="1318">
        <v>2.58</v>
      </c>
      <c r="AA386" s="634">
        <f t="shared" si="118"/>
        <v>1290</v>
      </c>
      <c r="AC386" s="638" t="s">
        <v>1672</v>
      </c>
      <c r="AD386" s="633" t="s">
        <v>101</v>
      </c>
      <c r="AE386" s="662" t="s">
        <v>82</v>
      </c>
      <c r="AF386" s="662"/>
      <c r="AG386" s="662"/>
      <c r="AH386" s="662"/>
      <c r="AI386" s="664">
        <v>500</v>
      </c>
      <c r="AJ386" s="664">
        <f t="shared" si="119"/>
        <v>0</v>
      </c>
      <c r="AK386" s="662"/>
      <c r="AL386" s="662"/>
      <c r="AM386" s="662"/>
      <c r="AN386" s="663">
        <f>I386</f>
        <v>500</v>
      </c>
      <c r="AR386" s="663">
        <f>I386</f>
        <v>500</v>
      </c>
      <c r="AU386" s="825">
        <f>I386</f>
        <v>500</v>
      </c>
      <c r="AV386" s="825"/>
      <c r="AW386" s="663">
        <f t="shared" si="120"/>
        <v>500</v>
      </c>
      <c r="BD386" s="548"/>
      <c r="BE386" s="548"/>
      <c r="BF386" s="1265"/>
      <c r="BG386" s="1265"/>
      <c r="BH386" s="825">
        <f>I386/4</f>
        <v>125</v>
      </c>
      <c r="BI386" s="548"/>
      <c r="BJ386" s="1265"/>
      <c r="BK386" s="1265"/>
      <c r="BL386" s="1265"/>
      <c r="BM386" s="548"/>
      <c r="BN386" s="548"/>
      <c r="BO386" s="1265"/>
      <c r="BP386" s="1265"/>
      <c r="BQ386" s="663"/>
    </row>
    <row r="387" s="1265" customFormat="1" ht="31" customHeight="1" spans="1:69">
      <c r="A387" s="660">
        <v>45861</v>
      </c>
      <c r="B387" s="661" t="s">
        <v>1673</v>
      </c>
      <c r="C387" s="662" t="s">
        <v>98</v>
      </c>
      <c r="D387" s="663">
        <v>4500174833</v>
      </c>
      <c r="E387" s="662" t="s">
        <v>1674</v>
      </c>
      <c r="F387" s="663" t="s">
        <v>1675</v>
      </c>
      <c r="G387" s="659" t="s">
        <v>68</v>
      </c>
      <c r="H387" s="633" t="s">
        <v>69</v>
      </c>
      <c r="I387" s="662">
        <v>2100</v>
      </c>
      <c r="J387" s="662">
        <v>0</v>
      </c>
      <c r="K387" s="662">
        <v>12</v>
      </c>
      <c r="L387" s="665">
        <f t="shared" si="117"/>
        <v>175</v>
      </c>
      <c r="M387" s="666">
        <v>45912</v>
      </c>
      <c r="N387" s="666">
        <v>45908</v>
      </c>
      <c r="O387" s="664"/>
      <c r="P387" s="824" t="s">
        <v>113</v>
      </c>
      <c r="Q387" s="662"/>
      <c r="R387" s="667">
        <v>45868</v>
      </c>
      <c r="S387" s="667" t="s">
        <v>104</v>
      </c>
      <c r="T387" s="667">
        <v>45876</v>
      </c>
      <c r="U387" s="667"/>
      <c r="V387" s="667" t="s">
        <v>18</v>
      </c>
      <c r="W387" s="667"/>
      <c r="X387" s="1321" t="s">
        <v>1676</v>
      </c>
      <c r="Y387" s="666" t="s">
        <v>882</v>
      </c>
      <c r="Z387" s="1318">
        <v>2.442</v>
      </c>
      <c r="AA387" s="634">
        <f t="shared" si="118"/>
        <v>5128.2</v>
      </c>
      <c r="AC387" s="638" t="s">
        <v>1677</v>
      </c>
      <c r="AD387" s="633" t="s">
        <v>68</v>
      </c>
      <c r="AE387" s="662" t="s">
        <v>82</v>
      </c>
      <c r="AF387" s="662"/>
      <c r="AG387" s="662"/>
      <c r="AH387" s="662"/>
      <c r="AI387" s="664">
        <f>792+1284+24</f>
        <v>2100</v>
      </c>
      <c r="AJ387" s="664">
        <f t="shared" si="119"/>
        <v>0</v>
      </c>
      <c r="AK387" s="662"/>
      <c r="AL387" s="662"/>
      <c r="AM387" s="662"/>
      <c r="AN387" s="663">
        <f>I387</f>
        <v>2100</v>
      </c>
      <c r="AR387" s="663">
        <f>I387</f>
        <v>2100</v>
      </c>
      <c r="AU387" s="825">
        <f>I387</f>
        <v>2100</v>
      </c>
      <c r="AV387" s="825"/>
      <c r="AW387" s="551">
        <f t="shared" si="120"/>
        <v>2100</v>
      </c>
      <c r="BD387" s="548"/>
      <c r="BE387" s="548"/>
      <c r="BF387" s="1265"/>
      <c r="BG387" s="1265"/>
      <c r="BH387" s="548"/>
      <c r="BI387" s="548"/>
      <c r="BJ387" s="1265"/>
      <c r="BK387" s="1265"/>
      <c r="BL387" s="1265"/>
      <c r="BM387" s="548"/>
      <c r="BN387" s="548"/>
      <c r="BO387" s="1265"/>
      <c r="BP387" s="1265"/>
      <c r="BQ387" s="663"/>
    </row>
    <row r="388" s="1265" customFormat="1" ht="31" customHeight="1" spans="1:69">
      <c r="A388" s="660">
        <v>45861</v>
      </c>
      <c r="B388" s="661" t="s">
        <v>1673</v>
      </c>
      <c r="C388" s="662" t="s">
        <v>98</v>
      </c>
      <c r="D388" s="663">
        <v>4500174833</v>
      </c>
      <c r="E388" s="662" t="s">
        <v>1678</v>
      </c>
      <c r="F388" s="663" t="s">
        <v>1679</v>
      </c>
      <c r="G388" s="659" t="s">
        <v>68</v>
      </c>
      <c r="H388" s="633" t="s">
        <v>69</v>
      </c>
      <c r="I388" s="662">
        <v>900</v>
      </c>
      <c r="J388" s="662">
        <v>0</v>
      </c>
      <c r="K388" s="662">
        <v>12</v>
      </c>
      <c r="L388" s="665">
        <f t="shared" si="117"/>
        <v>75</v>
      </c>
      <c r="M388" s="666">
        <v>45912</v>
      </c>
      <c r="N388" s="666">
        <v>45908</v>
      </c>
      <c r="O388" s="664"/>
      <c r="P388" s="824" t="s">
        <v>113</v>
      </c>
      <c r="Q388" s="662"/>
      <c r="R388" s="667">
        <v>45868</v>
      </c>
      <c r="S388" s="667" t="s">
        <v>104</v>
      </c>
      <c r="T388" s="667">
        <v>45876</v>
      </c>
      <c r="U388" s="667"/>
      <c r="V388" s="667" t="s">
        <v>18</v>
      </c>
      <c r="W388" s="667"/>
      <c r="X388" s="628" t="s">
        <v>1680</v>
      </c>
      <c r="Y388" s="666" t="s">
        <v>882</v>
      </c>
      <c r="Z388" s="1318">
        <v>2.442</v>
      </c>
      <c r="AA388" s="634">
        <f t="shared" si="118"/>
        <v>2197.8</v>
      </c>
      <c r="AC388" s="638" t="s">
        <v>1681</v>
      </c>
      <c r="AD388" s="633" t="s">
        <v>68</v>
      </c>
      <c r="AE388" s="662" t="s">
        <v>82</v>
      </c>
      <c r="AF388" s="662"/>
      <c r="AG388" s="662"/>
      <c r="AH388" s="662"/>
      <c r="AI388" s="664">
        <v>900</v>
      </c>
      <c r="AJ388" s="664">
        <f t="shared" si="119"/>
        <v>0</v>
      </c>
      <c r="AK388" s="662"/>
      <c r="AL388" s="662"/>
      <c r="AM388" s="662"/>
      <c r="AN388" s="663">
        <f>I388</f>
        <v>900</v>
      </c>
      <c r="AR388" s="663">
        <f>I388</f>
        <v>900</v>
      </c>
      <c r="AU388" s="825">
        <f>I388</f>
        <v>900</v>
      </c>
      <c r="AV388" s="825"/>
      <c r="AW388" s="551">
        <f t="shared" si="120"/>
        <v>900</v>
      </c>
      <c r="BD388" s="548"/>
      <c r="BE388" s="548"/>
      <c r="BF388" s="1265"/>
      <c r="BG388" s="1265"/>
      <c r="BH388" s="548"/>
      <c r="BI388" s="548"/>
      <c r="BJ388" s="1265"/>
      <c r="BK388" s="1265"/>
      <c r="BL388" s="1265"/>
      <c r="BM388" s="548"/>
      <c r="BN388" s="548"/>
      <c r="BO388" s="1265"/>
      <c r="BP388" s="1265"/>
      <c r="BQ388" s="663"/>
    </row>
    <row r="389" s="1265" customFormat="1" ht="31" customHeight="1" spans="1:69">
      <c r="A389" s="660">
        <v>45870</v>
      </c>
      <c r="B389" s="661" t="s">
        <v>1409</v>
      </c>
      <c r="C389" s="662" t="s">
        <v>524</v>
      </c>
      <c r="D389" s="663">
        <v>4500175843</v>
      </c>
      <c r="E389" s="662"/>
      <c r="F389" s="663" t="s">
        <v>1682</v>
      </c>
      <c r="G389" s="659" t="s">
        <v>68</v>
      </c>
      <c r="H389" s="633" t="s">
        <v>69</v>
      </c>
      <c r="I389" s="662">
        <v>180</v>
      </c>
      <c r="J389" s="662">
        <v>0</v>
      </c>
      <c r="K389" s="662">
        <v>12</v>
      </c>
      <c r="L389" s="665">
        <f t="shared" si="117"/>
        <v>15</v>
      </c>
      <c r="M389" s="666">
        <v>45912</v>
      </c>
      <c r="N389" s="666">
        <v>45908</v>
      </c>
      <c r="O389" s="664"/>
      <c r="P389" s="824" t="s">
        <v>113</v>
      </c>
      <c r="Q389" s="662"/>
      <c r="R389" s="667">
        <v>45875</v>
      </c>
      <c r="S389" s="667" t="s">
        <v>70</v>
      </c>
      <c r="T389" s="667">
        <v>45881</v>
      </c>
      <c r="U389" s="667"/>
      <c r="V389" s="667"/>
      <c r="W389" s="667"/>
      <c r="X389" s="661" t="s">
        <v>1683</v>
      </c>
      <c r="Y389" s="666" t="s">
        <v>340</v>
      </c>
      <c r="Z389" s="1318">
        <v>4.1456</v>
      </c>
      <c r="AA389" s="634">
        <f t="shared" si="118"/>
        <v>746.208</v>
      </c>
      <c r="AC389" s="638" t="s">
        <v>1684</v>
      </c>
      <c r="AD389" s="633" t="s">
        <v>184</v>
      </c>
      <c r="AE389" s="662" t="s">
        <v>82</v>
      </c>
      <c r="AF389" s="662"/>
      <c r="AG389" s="662"/>
      <c r="AH389" s="662"/>
      <c r="AI389" s="664">
        <f>168+12</f>
        <v>180</v>
      </c>
      <c r="AJ389" s="664">
        <f t="shared" si="119"/>
        <v>0</v>
      </c>
      <c r="AK389" s="662"/>
      <c r="AL389" s="662"/>
      <c r="AM389" s="662"/>
      <c r="AN389" s="663">
        <f>I389</f>
        <v>180</v>
      </c>
      <c r="AS389" s="687">
        <f>I389</f>
        <v>180</v>
      </c>
      <c r="AT389" s="687"/>
      <c r="AU389" s="825">
        <f>I389</f>
        <v>180</v>
      </c>
      <c r="AV389" s="825"/>
      <c r="AW389" s="663">
        <f t="shared" si="120"/>
        <v>180</v>
      </c>
      <c r="BD389" s="548"/>
      <c r="BE389" s="548"/>
      <c r="BF389" s="1265"/>
      <c r="BG389" s="1265"/>
      <c r="BH389" s="548"/>
      <c r="BI389" s="548"/>
      <c r="BJ389" s="1265"/>
      <c r="BK389" s="1265"/>
      <c r="BL389" s="1265"/>
      <c r="BM389" s="548"/>
      <c r="BN389" s="548"/>
      <c r="BO389" s="1265"/>
      <c r="BP389" s="1265"/>
      <c r="BQ389" s="663"/>
    </row>
    <row r="390" s="1265" customFormat="1" ht="31" customHeight="1" spans="1:69">
      <c r="A390" s="641">
        <v>45678</v>
      </c>
      <c r="B390" s="642" t="s">
        <v>1492</v>
      </c>
      <c r="C390" s="246" t="s">
        <v>98</v>
      </c>
      <c r="D390" s="551">
        <v>4500156330</v>
      </c>
      <c r="E390" s="1415" t="s">
        <v>1685</v>
      </c>
      <c r="F390" s="551" t="s">
        <v>1686</v>
      </c>
      <c r="G390" s="659" t="s">
        <v>909</v>
      </c>
      <c r="H390" s="246" t="s">
        <v>830</v>
      </c>
      <c r="I390" s="246">
        <v>72</v>
      </c>
      <c r="J390" s="246">
        <v>0</v>
      </c>
      <c r="K390" s="246">
        <v>1</v>
      </c>
      <c r="L390" s="644">
        <f t="shared" si="117"/>
        <v>72</v>
      </c>
      <c r="M390" s="645">
        <v>45906</v>
      </c>
      <c r="N390" s="645">
        <v>45902</v>
      </c>
      <c r="O390" s="643"/>
      <c r="P390" s="824" t="s">
        <v>113</v>
      </c>
      <c r="Q390" s="246"/>
      <c r="R390" s="646">
        <v>45832</v>
      </c>
      <c r="S390" s="646" t="s">
        <v>70</v>
      </c>
      <c r="T390" s="646" t="s">
        <v>70</v>
      </c>
      <c r="U390" s="646"/>
      <c r="V390" s="646"/>
      <c r="W390" s="646"/>
      <c r="X390" s="642" t="s">
        <v>1653</v>
      </c>
      <c r="Y390" s="645" t="s">
        <v>911</v>
      </c>
      <c r="Z390" s="657">
        <v>0</v>
      </c>
      <c r="AA390" s="647">
        <f>Z390*L390</f>
        <v>0</v>
      </c>
      <c r="AC390" s="648" t="s">
        <v>1687</v>
      </c>
      <c r="AD390" s="633" t="s">
        <v>1498</v>
      </c>
      <c r="AE390" s="246" t="s">
        <v>82</v>
      </c>
      <c r="AF390" s="246"/>
      <c r="AG390" s="246"/>
      <c r="AH390" s="246"/>
      <c r="AI390" s="643">
        <f>1560</f>
        <v>1560</v>
      </c>
      <c r="AJ390" s="643">
        <f t="shared" si="119"/>
        <v>1488</v>
      </c>
      <c r="AK390" s="246"/>
      <c r="AL390" s="246"/>
      <c r="AM390" s="246"/>
      <c r="AN390" s="1265"/>
      <c r="AO390" s="551">
        <v>0</v>
      </c>
      <c r="AP390" s="1265"/>
      <c r="AQ390" s="1265"/>
      <c r="AR390" s="1265"/>
      <c r="AS390" s="1265"/>
      <c r="AT390" s="1265"/>
      <c r="AU390" s="1265"/>
      <c r="AV390" s="825"/>
      <c r="AW390" s="1265"/>
      <c r="AX390" s="1265"/>
      <c r="AY390" s="1265"/>
      <c r="AZ390" s="1265"/>
      <c r="BA390" s="1265"/>
      <c r="BB390" s="1265"/>
      <c r="BC390" s="1265"/>
      <c r="BD390" s="548"/>
      <c r="BE390" s="548"/>
      <c r="BF390" s="1265"/>
      <c r="BG390" s="1265"/>
      <c r="BH390" s="548"/>
      <c r="BI390" s="548"/>
      <c r="BJ390" s="1265"/>
      <c r="BK390" s="1265"/>
      <c r="BL390" s="1265"/>
      <c r="BM390" s="548"/>
      <c r="BN390" s="548"/>
      <c r="BO390" s="1265"/>
      <c r="BP390" s="1265"/>
      <c r="BQ390" s="551"/>
    </row>
    <row r="391" s="1265" customFormat="1" ht="31" customHeight="1" spans="1:69">
      <c r="A391" s="641">
        <v>45678</v>
      </c>
      <c r="B391" s="642" t="s">
        <v>1492</v>
      </c>
      <c r="C391" s="246" t="s">
        <v>98</v>
      </c>
      <c r="D391" s="551">
        <v>4500156330</v>
      </c>
      <c r="E391" s="1415" t="s">
        <v>1685</v>
      </c>
      <c r="F391" s="551" t="s">
        <v>1686</v>
      </c>
      <c r="G391" s="659">
        <v>77673</v>
      </c>
      <c r="H391" s="246" t="s">
        <v>112</v>
      </c>
      <c r="I391" s="246">
        <v>5400</v>
      </c>
      <c r="J391" s="246">
        <v>0</v>
      </c>
      <c r="K391" s="246">
        <v>75</v>
      </c>
      <c r="L391" s="644">
        <f t="shared" si="117"/>
        <v>72</v>
      </c>
      <c r="M391" s="645">
        <v>45906</v>
      </c>
      <c r="N391" s="645">
        <v>45902</v>
      </c>
      <c r="O391" s="643"/>
      <c r="P391" s="824" t="s">
        <v>113</v>
      </c>
      <c r="Q391" s="246"/>
      <c r="R391" s="646">
        <v>45832</v>
      </c>
      <c r="S391" s="646" t="s">
        <v>70</v>
      </c>
      <c r="T391" s="646" t="s">
        <v>70</v>
      </c>
      <c r="U391" s="646"/>
      <c r="V391" s="646"/>
      <c r="W391" s="646"/>
      <c r="X391" s="642"/>
      <c r="Y391" s="645" t="s">
        <v>911</v>
      </c>
      <c r="Z391" s="657">
        <v>762.5</v>
      </c>
      <c r="AA391" s="647">
        <f>Z391*L391</f>
        <v>54900</v>
      </c>
      <c r="AC391" s="648" t="s">
        <v>1687</v>
      </c>
      <c r="AD391" s="633" t="s">
        <v>1498</v>
      </c>
      <c r="AE391" s="246" t="s">
        <v>82</v>
      </c>
      <c r="AF391" s="246"/>
      <c r="AG391" s="246"/>
      <c r="AH391" s="246"/>
      <c r="AI391" s="643">
        <v>0</v>
      </c>
      <c r="AJ391" s="643">
        <v>0</v>
      </c>
      <c r="AK391" s="246"/>
      <c r="AL391" s="246"/>
      <c r="AM391" s="246"/>
      <c r="AN391" s="1265"/>
      <c r="AO391" s="551">
        <f>I391</f>
        <v>5400</v>
      </c>
      <c r="AV391" s="825"/>
      <c r="AW391" s="1265"/>
      <c r="AX391" s="1265"/>
      <c r="AY391" s="1265"/>
      <c r="AZ391" s="1265"/>
      <c r="BA391" s="551">
        <f>I391</f>
        <v>5400</v>
      </c>
      <c r="BB391" s="551">
        <f>I391</f>
        <v>5400</v>
      </c>
      <c r="BC391" s="708">
        <f>I391</f>
        <v>5400</v>
      </c>
      <c r="BD391" s="548"/>
      <c r="BE391" s="548"/>
      <c r="BF391" s="1265"/>
      <c r="BG391" s="1265"/>
      <c r="BH391" s="548"/>
      <c r="BI391" s="548"/>
      <c r="BJ391" s="1265"/>
      <c r="BK391" s="708">
        <f>I391</f>
        <v>5400</v>
      </c>
      <c r="BL391" s="708">
        <f>I391/5</f>
        <v>1080</v>
      </c>
      <c r="BM391" s="548"/>
      <c r="BN391" s="548"/>
      <c r="BO391" s="1265"/>
      <c r="BP391" s="1265"/>
      <c r="BQ391" s="551"/>
    </row>
    <row r="392" s="1265" customFormat="1" ht="31" customHeight="1" spans="1:69">
      <c r="A392" s="660">
        <v>45678</v>
      </c>
      <c r="B392" s="661" t="s">
        <v>1492</v>
      </c>
      <c r="C392" s="662" t="s">
        <v>98</v>
      </c>
      <c r="D392" s="663">
        <v>4500156315</v>
      </c>
      <c r="E392" s="1414" t="s">
        <v>1688</v>
      </c>
      <c r="F392" s="663" t="s">
        <v>1689</v>
      </c>
      <c r="G392" s="659" t="s">
        <v>909</v>
      </c>
      <c r="H392" s="662" t="s">
        <v>830</v>
      </c>
      <c r="I392" s="662">
        <v>72</v>
      </c>
      <c r="J392" s="662">
        <v>0</v>
      </c>
      <c r="K392" s="662">
        <v>1</v>
      </c>
      <c r="L392" s="665">
        <f t="shared" si="117"/>
        <v>72</v>
      </c>
      <c r="M392" s="666">
        <v>45896</v>
      </c>
      <c r="N392" s="666">
        <v>45892</v>
      </c>
      <c r="O392" s="664"/>
      <c r="P392" s="824" t="s">
        <v>113</v>
      </c>
      <c r="Q392" s="662"/>
      <c r="R392" s="667">
        <v>45832</v>
      </c>
      <c r="S392" s="667" t="s">
        <v>70</v>
      </c>
      <c r="T392" s="667" t="s">
        <v>70</v>
      </c>
      <c r="U392" s="667"/>
      <c r="V392" s="667"/>
      <c r="W392" s="667"/>
      <c r="X392" s="661" t="s">
        <v>1599</v>
      </c>
      <c r="Y392" s="666" t="s">
        <v>911</v>
      </c>
      <c r="Z392" s="1318">
        <v>0</v>
      </c>
      <c r="AA392" s="634">
        <f>Z392*L392</f>
        <v>0</v>
      </c>
      <c r="AC392" s="638" t="s">
        <v>1690</v>
      </c>
      <c r="AD392" s="633" t="s">
        <v>1498</v>
      </c>
      <c r="AE392" s="662" t="s">
        <v>82</v>
      </c>
      <c r="AF392" s="662"/>
      <c r="AG392" s="662"/>
      <c r="AH392" s="662"/>
      <c r="AI392" s="664">
        <f>1200+2720+1480</f>
        <v>5400</v>
      </c>
      <c r="AJ392" s="664">
        <v>0</v>
      </c>
      <c r="AK392" s="662"/>
      <c r="AL392" s="662"/>
      <c r="AM392" s="662"/>
      <c r="AN392" s="1265"/>
      <c r="AO392" s="663">
        <v>0</v>
      </c>
      <c r="AP392" s="1265"/>
      <c r="AQ392" s="1265"/>
      <c r="AR392" s="1265"/>
      <c r="AS392" s="1265"/>
      <c r="AT392" s="1265"/>
      <c r="AU392" s="1265"/>
      <c r="AV392" s="825"/>
      <c r="AW392" s="1265"/>
      <c r="AX392" s="1265"/>
      <c r="AY392" s="1265"/>
      <c r="AZ392" s="1265"/>
      <c r="BA392" s="1265"/>
      <c r="BB392" s="1265"/>
      <c r="BC392" s="1265"/>
      <c r="BD392" s="548"/>
      <c r="BE392" s="548"/>
      <c r="BF392" s="1265"/>
      <c r="BG392" s="1265"/>
      <c r="BH392" s="548"/>
      <c r="BI392" s="548"/>
      <c r="BJ392" s="1265"/>
      <c r="BK392" s="1265"/>
      <c r="BL392" s="1265"/>
      <c r="BM392" s="548"/>
      <c r="BN392" s="548"/>
      <c r="BO392" s="1265"/>
      <c r="BP392" s="1265"/>
      <c r="BQ392" s="663"/>
    </row>
    <row r="393" s="1265" customFormat="1" ht="31" customHeight="1" spans="1:69">
      <c r="A393" s="660">
        <v>45678</v>
      </c>
      <c r="B393" s="661" t="s">
        <v>1492</v>
      </c>
      <c r="C393" s="662" t="s">
        <v>98</v>
      </c>
      <c r="D393" s="663">
        <v>4500156315</v>
      </c>
      <c r="E393" s="1414" t="s">
        <v>1688</v>
      </c>
      <c r="F393" s="663" t="s">
        <v>1689</v>
      </c>
      <c r="G393" s="659">
        <v>77673</v>
      </c>
      <c r="H393" s="662" t="s">
        <v>112</v>
      </c>
      <c r="I393" s="662">
        <v>5400</v>
      </c>
      <c r="J393" s="662">
        <v>0</v>
      </c>
      <c r="K393" s="662">
        <v>75</v>
      </c>
      <c r="L393" s="665">
        <f t="shared" si="117"/>
        <v>72</v>
      </c>
      <c r="M393" s="666">
        <v>45896</v>
      </c>
      <c r="N393" s="666">
        <v>45892</v>
      </c>
      <c r="O393" s="664"/>
      <c r="P393" s="824" t="s">
        <v>113</v>
      </c>
      <c r="Q393" s="662"/>
      <c r="R393" s="667">
        <v>45832</v>
      </c>
      <c r="S393" s="667" t="s">
        <v>70</v>
      </c>
      <c r="T393" s="667" t="s">
        <v>70</v>
      </c>
      <c r="U393" s="667"/>
      <c r="V393" s="667"/>
      <c r="W393" s="667"/>
      <c r="X393" s="661"/>
      <c r="Y393" s="666" t="s">
        <v>911</v>
      </c>
      <c r="Z393" s="1318">
        <v>762.5</v>
      </c>
      <c r="AA393" s="634">
        <f>Z393*L393</f>
        <v>54900</v>
      </c>
      <c r="AC393" s="638" t="s">
        <v>1690</v>
      </c>
      <c r="AD393" s="633" t="s">
        <v>1498</v>
      </c>
      <c r="AE393" s="662" t="s">
        <v>82</v>
      </c>
      <c r="AF393" s="662"/>
      <c r="AG393" s="662"/>
      <c r="AH393" s="662"/>
      <c r="AI393" s="664">
        <v>0</v>
      </c>
      <c r="AJ393" s="664">
        <v>0</v>
      </c>
      <c r="AK393" s="662"/>
      <c r="AL393" s="662"/>
      <c r="AM393" s="662"/>
      <c r="AN393" s="1265"/>
      <c r="AO393" s="663">
        <f>I393</f>
        <v>5400</v>
      </c>
      <c r="AV393" s="825"/>
      <c r="AW393" s="1265"/>
      <c r="AX393" s="1265"/>
      <c r="AY393" s="1265"/>
      <c r="AZ393" s="1265"/>
      <c r="BA393" s="663">
        <f>I393</f>
        <v>5400</v>
      </c>
      <c r="BB393" s="663">
        <f>I393</f>
        <v>5400</v>
      </c>
      <c r="BC393" s="1319">
        <f>I393</f>
        <v>5400</v>
      </c>
      <c r="BD393" s="548"/>
      <c r="BE393" s="548"/>
      <c r="BF393" s="1265"/>
      <c r="BG393" s="1265"/>
      <c r="BH393" s="548"/>
      <c r="BI393" s="548"/>
      <c r="BJ393" s="1265"/>
      <c r="BK393" s="1319">
        <f>I393</f>
        <v>5400</v>
      </c>
      <c r="BL393" s="1319">
        <f>I393/5</f>
        <v>1080</v>
      </c>
      <c r="BM393" s="548"/>
      <c r="BN393" s="548"/>
      <c r="BO393" s="1265"/>
      <c r="BP393" s="1265"/>
      <c r="BQ393" s="663"/>
    </row>
    <row r="394" s="1265" customFormat="1" ht="31" customHeight="1" spans="1:69">
      <c r="A394" s="660">
        <v>45852</v>
      </c>
      <c r="B394" s="661" t="s">
        <v>1691</v>
      </c>
      <c r="C394" s="662" t="s">
        <v>1692</v>
      </c>
      <c r="D394" s="663">
        <v>4500173750</v>
      </c>
      <c r="E394" s="662"/>
      <c r="F394" s="663" t="s">
        <v>1693</v>
      </c>
      <c r="G394" s="659" t="s">
        <v>68</v>
      </c>
      <c r="H394" s="633" t="s">
        <v>69</v>
      </c>
      <c r="I394" s="662">
        <v>504</v>
      </c>
      <c r="J394" s="662">
        <v>0</v>
      </c>
      <c r="K394" s="662">
        <v>12</v>
      </c>
      <c r="L394" s="665">
        <f t="shared" si="117"/>
        <v>42</v>
      </c>
      <c r="M394" s="666">
        <v>45909</v>
      </c>
      <c r="N394" s="666">
        <v>45905</v>
      </c>
      <c r="O394" s="664"/>
      <c r="P394" s="824" t="s">
        <v>113</v>
      </c>
      <c r="Q394" s="662"/>
      <c r="R394" s="667">
        <v>45868</v>
      </c>
      <c r="S394" s="667" t="s">
        <v>1694</v>
      </c>
      <c r="T394" s="667">
        <v>45876</v>
      </c>
      <c r="U394" s="667"/>
      <c r="V394" s="667"/>
      <c r="W394" s="667"/>
      <c r="X394" s="661" t="s">
        <v>1695</v>
      </c>
      <c r="Y394" s="666" t="s">
        <v>529</v>
      </c>
      <c r="Z394" s="1318">
        <v>4.1018</v>
      </c>
      <c r="AA394" s="634">
        <f>Z394*I394</f>
        <v>2067.3072</v>
      </c>
      <c r="AC394" s="638" t="s">
        <v>1696</v>
      </c>
      <c r="AD394" s="633" t="s">
        <v>184</v>
      </c>
      <c r="AE394" s="662" t="s">
        <v>82</v>
      </c>
      <c r="AF394" s="662"/>
      <c r="AG394" s="662"/>
      <c r="AH394" s="662"/>
      <c r="AI394" s="664">
        <v>504</v>
      </c>
      <c r="AJ394" s="664">
        <f>AI394-I394</f>
        <v>0</v>
      </c>
      <c r="AK394" s="662"/>
      <c r="AL394" s="662"/>
      <c r="AM394" s="662"/>
      <c r="AN394" s="663">
        <f>I394</f>
        <v>504</v>
      </c>
      <c r="AS394" s="687">
        <f>I394</f>
        <v>504</v>
      </c>
      <c r="AT394" s="687"/>
      <c r="AU394" s="825">
        <f>I394</f>
        <v>504</v>
      </c>
      <c r="AV394" s="825"/>
      <c r="AW394" s="663">
        <f>I394</f>
        <v>504</v>
      </c>
      <c r="BD394" s="548"/>
      <c r="BE394" s="548"/>
      <c r="BF394" s="1265"/>
      <c r="BG394" s="1265"/>
      <c r="BH394" s="548"/>
      <c r="BI394" s="548"/>
      <c r="BJ394" s="1265"/>
      <c r="BK394" s="1265"/>
      <c r="BL394" s="1265"/>
      <c r="BM394" s="548"/>
      <c r="BN394" s="548"/>
      <c r="BO394" s="1265"/>
      <c r="BP394" s="1265"/>
      <c r="BQ394" s="663"/>
    </row>
    <row r="395" s="1265" customFormat="1" ht="31" customHeight="1" spans="1:69">
      <c r="A395" s="641">
        <v>45866</v>
      </c>
      <c r="B395" s="642" t="s">
        <v>325</v>
      </c>
      <c r="C395" s="246" t="s">
        <v>98</v>
      </c>
      <c r="D395" s="551">
        <v>4500175217</v>
      </c>
      <c r="E395" s="246" t="s">
        <v>1697</v>
      </c>
      <c r="F395" s="551" t="s">
        <v>1698</v>
      </c>
      <c r="G395" s="659" t="s">
        <v>249</v>
      </c>
      <c r="H395" s="246" t="s">
        <v>250</v>
      </c>
      <c r="I395" s="246">
        <v>7000</v>
      </c>
      <c r="J395" s="246">
        <v>0</v>
      </c>
      <c r="K395" s="246">
        <v>4</v>
      </c>
      <c r="L395" s="644">
        <f t="shared" si="117"/>
        <v>1750</v>
      </c>
      <c r="M395" s="742">
        <v>45910</v>
      </c>
      <c r="N395" s="645">
        <v>45908</v>
      </c>
      <c r="O395" s="643"/>
      <c r="P395" s="824" t="s">
        <v>113</v>
      </c>
      <c r="Q395" s="246"/>
      <c r="R395" s="646">
        <v>45877</v>
      </c>
      <c r="S395" s="646" t="s">
        <v>104</v>
      </c>
      <c r="T395" s="646">
        <v>45889</v>
      </c>
      <c r="U395" s="646"/>
      <c r="V395" s="646" t="s">
        <v>1609</v>
      </c>
      <c r="W395" s="646"/>
      <c r="X395" s="642" t="s">
        <v>1664</v>
      </c>
      <c r="Y395" s="645" t="s">
        <v>252</v>
      </c>
      <c r="Z395" s="657">
        <v>2.7951</v>
      </c>
      <c r="AA395" s="647">
        <f>Z395*I395</f>
        <v>19565.7</v>
      </c>
      <c r="AC395" s="648" t="s">
        <v>1699</v>
      </c>
      <c r="AD395" s="633" t="s">
        <v>249</v>
      </c>
      <c r="AE395" s="246" t="s">
        <v>82</v>
      </c>
      <c r="AF395" s="246"/>
      <c r="AG395" s="246"/>
      <c r="AH395" s="246"/>
      <c r="AI395" s="643">
        <v>7000</v>
      </c>
      <c r="AJ395" s="643">
        <f>AI395-I395</f>
        <v>0</v>
      </c>
      <c r="AK395" s="246"/>
      <c r="AL395" s="246"/>
      <c r="AM395" s="246"/>
      <c r="AN395" s="1265"/>
      <c r="AO395" s="1265"/>
      <c r="AP395" s="551">
        <f>I395</f>
        <v>7000</v>
      </c>
      <c r="AV395" s="825"/>
      <c r="AW395" s="551">
        <f>I395</f>
        <v>7000</v>
      </c>
      <c r="BD395" s="548"/>
      <c r="BE395" s="548"/>
      <c r="BF395" s="551">
        <f>I395</f>
        <v>7000</v>
      </c>
      <c r="BG395" s="551">
        <f>I395</f>
        <v>7000</v>
      </c>
      <c r="BH395" s="825">
        <f>I395/4</f>
        <v>1750</v>
      </c>
      <c r="BI395" s="548"/>
      <c r="BJ395" s="1265"/>
      <c r="BK395" s="1265"/>
      <c r="BL395" s="1265"/>
      <c r="BM395" s="548"/>
      <c r="BN395" s="548"/>
      <c r="BO395" s="1265"/>
      <c r="BP395" s="1265"/>
      <c r="BQ395" s="551"/>
    </row>
    <row r="396" s="1265" customFormat="1" ht="31" customHeight="1" spans="1:69">
      <c r="A396" s="660">
        <v>45792</v>
      </c>
      <c r="B396" s="661" t="s">
        <v>743</v>
      </c>
      <c r="C396" s="662" t="s">
        <v>744</v>
      </c>
      <c r="D396" s="663">
        <v>4500165636</v>
      </c>
      <c r="E396" s="662">
        <v>5000001870</v>
      </c>
      <c r="F396" s="663" t="s">
        <v>1700</v>
      </c>
      <c r="G396" s="659" t="s">
        <v>130</v>
      </c>
      <c r="H396" s="662" t="s">
        <v>131</v>
      </c>
      <c r="I396" s="662">
        <v>402</v>
      </c>
      <c r="J396" s="662">
        <v>0</v>
      </c>
      <c r="K396" s="662">
        <v>6</v>
      </c>
      <c r="L396" s="665">
        <f t="shared" si="117"/>
        <v>67</v>
      </c>
      <c r="M396" s="666">
        <v>45910</v>
      </c>
      <c r="N396" s="666">
        <v>45906</v>
      </c>
      <c r="O396" s="664"/>
      <c r="P396" s="824" t="s">
        <v>113</v>
      </c>
      <c r="Q396" s="662"/>
      <c r="R396" s="667">
        <v>45785</v>
      </c>
      <c r="S396" s="829" t="s">
        <v>104</v>
      </c>
      <c r="T396" s="667">
        <v>45761</v>
      </c>
      <c r="U396" s="667"/>
      <c r="V396" s="667" t="s">
        <v>1701</v>
      </c>
      <c r="W396" s="667"/>
      <c r="X396" s="661" t="s">
        <v>747</v>
      </c>
      <c r="Y396" s="666" t="s">
        <v>748</v>
      </c>
      <c r="Z396" s="1318">
        <v>4.1576</v>
      </c>
      <c r="AA396" s="634">
        <f>Z396*I396</f>
        <v>1671.3552</v>
      </c>
      <c r="AC396" s="638" t="s">
        <v>1702</v>
      </c>
      <c r="AD396" s="633" t="s">
        <v>130</v>
      </c>
      <c r="AE396" s="662" t="s">
        <v>82</v>
      </c>
      <c r="AF396" s="662"/>
      <c r="AG396" s="662"/>
      <c r="AH396" s="662"/>
      <c r="AI396" s="664">
        <v>402</v>
      </c>
      <c r="AJ396" s="664">
        <f>AI396-I396</f>
        <v>0</v>
      </c>
      <c r="AK396" s="662"/>
      <c r="AL396" s="662"/>
      <c r="AM396" s="662"/>
      <c r="AN396" s="663">
        <f>I396</f>
        <v>402</v>
      </c>
      <c r="AR396" s="663">
        <f>I396</f>
        <v>402</v>
      </c>
      <c r="AU396" s="825"/>
      <c r="AV396" s="687">
        <f>I396</f>
        <v>402</v>
      </c>
      <c r="AX396" s="834">
        <f>I396</f>
        <v>402</v>
      </c>
      <c r="BD396" s="548"/>
      <c r="BE396" s="548"/>
      <c r="BF396" s="1265"/>
      <c r="BG396" s="1265"/>
      <c r="BH396" s="548"/>
      <c r="BI396" s="548"/>
      <c r="BJ396" s="1265"/>
      <c r="BK396" s="1265"/>
      <c r="BL396" s="1265"/>
      <c r="BM396" s="548"/>
      <c r="BN396" s="548"/>
      <c r="BO396" s="1265"/>
      <c r="BP396" s="1265"/>
      <c r="BQ396" s="663"/>
    </row>
    <row r="397" s="1265" customFormat="1" ht="31" customHeight="1" spans="1:69">
      <c r="A397" s="660">
        <v>45678</v>
      </c>
      <c r="B397" s="661" t="s">
        <v>1492</v>
      </c>
      <c r="C397" s="662" t="s">
        <v>98</v>
      </c>
      <c r="D397" s="663">
        <v>4500156319</v>
      </c>
      <c r="E397" s="1414" t="s">
        <v>1703</v>
      </c>
      <c r="F397" s="663" t="s">
        <v>1704</v>
      </c>
      <c r="G397" s="659" t="s">
        <v>909</v>
      </c>
      <c r="H397" s="662" t="s">
        <v>830</v>
      </c>
      <c r="I397" s="662">
        <v>72</v>
      </c>
      <c r="J397" s="662">
        <v>0</v>
      </c>
      <c r="K397" s="662">
        <v>1</v>
      </c>
      <c r="L397" s="665">
        <f t="shared" si="117"/>
        <v>72</v>
      </c>
      <c r="M397" s="666">
        <v>45912</v>
      </c>
      <c r="N397" s="666">
        <v>45908</v>
      </c>
      <c r="O397" s="664"/>
      <c r="P397" s="824" t="s">
        <v>113</v>
      </c>
      <c r="Q397" s="662"/>
      <c r="R397" s="667">
        <v>45832</v>
      </c>
      <c r="S397" s="667" t="s">
        <v>70</v>
      </c>
      <c r="T397" s="667" t="s">
        <v>70</v>
      </c>
      <c r="U397" s="667"/>
      <c r="V397" s="667"/>
      <c r="W397" s="667"/>
      <c r="X397" s="661" t="s">
        <v>1599</v>
      </c>
      <c r="Y397" s="666" t="s">
        <v>911</v>
      </c>
      <c r="Z397" s="1318">
        <v>0</v>
      </c>
      <c r="AA397" s="634">
        <f t="shared" ref="AA397:AA404" si="121">Z397*L397</f>
        <v>0</v>
      </c>
      <c r="AC397" s="638" t="s">
        <v>1705</v>
      </c>
      <c r="AD397" s="633" t="s">
        <v>1498</v>
      </c>
      <c r="AE397" s="662" t="s">
        <v>82</v>
      </c>
      <c r="AF397" s="662"/>
      <c r="AG397" s="662"/>
      <c r="AH397" s="662"/>
      <c r="AI397" s="664">
        <f>1320+4080</f>
        <v>5400</v>
      </c>
      <c r="AJ397" s="664">
        <v>0</v>
      </c>
      <c r="AK397" s="662"/>
      <c r="AL397" s="662"/>
      <c r="AM397" s="662"/>
      <c r="AN397" s="1265"/>
      <c r="AO397" s="663">
        <v>0</v>
      </c>
      <c r="AP397" s="1265"/>
      <c r="AQ397" s="1265"/>
      <c r="AR397" s="1265"/>
      <c r="AS397" s="1265"/>
      <c r="AT397" s="1265"/>
      <c r="AU397" s="1265"/>
      <c r="AV397" s="825"/>
      <c r="AW397" s="1265"/>
      <c r="AX397" s="1265"/>
      <c r="AY397" s="1265"/>
      <c r="AZ397" s="1265"/>
      <c r="BA397" s="1265"/>
      <c r="BB397" s="1265"/>
      <c r="BC397" s="1265"/>
      <c r="BD397" s="548"/>
      <c r="BE397" s="548"/>
      <c r="BF397" s="1265"/>
      <c r="BG397" s="1265"/>
      <c r="BH397" s="548"/>
      <c r="BI397" s="548"/>
      <c r="BJ397" s="1265"/>
      <c r="BK397" s="1265"/>
      <c r="BL397" s="1265"/>
      <c r="BM397" s="548"/>
      <c r="BN397" s="548"/>
      <c r="BO397" s="1265"/>
      <c r="BP397" s="1265"/>
      <c r="BQ397" s="663"/>
    </row>
    <row r="398" s="1265" customFormat="1" ht="31" customHeight="1" spans="1:69">
      <c r="A398" s="660">
        <v>45678</v>
      </c>
      <c r="B398" s="661" t="s">
        <v>1492</v>
      </c>
      <c r="C398" s="662" t="s">
        <v>98</v>
      </c>
      <c r="D398" s="663">
        <v>4500156319</v>
      </c>
      <c r="E398" s="1414" t="s">
        <v>1703</v>
      </c>
      <c r="F398" s="663" t="s">
        <v>1704</v>
      </c>
      <c r="G398" s="643">
        <v>77673</v>
      </c>
      <c r="H398" s="662" t="s">
        <v>112</v>
      </c>
      <c r="I398" s="662">
        <v>5400</v>
      </c>
      <c r="J398" s="662">
        <v>0</v>
      </c>
      <c r="K398" s="662">
        <v>75</v>
      </c>
      <c r="L398" s="665">
        <f t="shared" si="117"/>
        <v>72</v>
      </c>
      <c r="M398" s="666">
        <v>45912</v>
      </c>
      <c r="N398" s="666">
        <v>45908</v>
      </c>
      <c r="O398" s="664"/>
      <c r="P398" s="824" t="s">
        <v>113</v>
      </c>
      <c r="Q398" s="662"/>
      <c r="R398" s="667">
        <v>45832</v>
      </c>
      <c r="S398" s="667" t="s">
        <v>70</v>
      </c>
      <c r="T398" s="667" t="s">
        <v>70</v>
      </c>
      <c r="U398" s="667"/>
      <c r="V398" s="667"/>
      <c r="W398" s="667"/>
      <c r="X398" s="661"/>
      <c r="Y398" s="666" t="s">
        <v>911</v>
      </c>
      <c r="Z398" s="1318">
        <v>762.5</v>
      </c>
      <c r="AA398" s="634">
        <f t="shared" si="121"/>
        <v>54900</v>
      </c>
      <c r="AC398" s="638" t="s">
        <v>1705</v>
      </c>
      <c r="AD398" s="633" t="s">
        <v>1498</v>
      </c>
      <c r="AE398" s="662" t="s">
        <v>82</v>
      </c>
      <c r="AF398" s="662"/>
      <c r="AG398" s="662"/>
      <c r="AH398" s="662"/>
      <c r="AI398" s="664">
        <v>0</v>
      </c>
      <c r="AJ398" s="664">
        <v>0</v>
      </c>
      <c r="AK398" s="662"/>
      <c r="AL398" s="662"/>
      <c r="AM398" s="662"/>
      <c r="AN398" s="1265"/>
      <c r="AO398" s="663">
        <f>I398</f>
        <v>5400</v>
      </c>
      <c r="AV398" s="825"/>
      <c r="AW398" s="1265"/>
      <c r="AX398" s="1265"/>
      <c r="AY398" s="1265"/>
      <c r="AZ398" s="1265"/>
      <c r="BA398" s="663">
        <f>I398</f>
        <v>5400</v>
      </c>
      <c r="BB398" s="663">
        <f>I398</f>
        <v>5400</v>
      </c>
      <c r="BC398" s="1319">
        <f>I398</f>
        <v>5400</v>
      </c>
      <c r="BD398" s="548"/>
      <c r="BE398" s="548"/>
      <c r="BF398" s="1265"/>
      <c r="BG398" s="1265"/>
      <c r="BH398" s="548"/>
      <c r="BI398" s="548"/>
      <c r="BJ398" s="1265"/>
      <c r="BK398" s="1319">
        <f>I398</f>
        <v>5400</v>
      </c>
      <c r="BL398" s="1319">
        <f>I398/5</f>
        <v>1080</v>
      </c>
      <c r="BM398" s="548"/>
      <c r="BN398" s="548"/>
      <c r="BO398" s="1265"/>
      <c r="BP398" s="1265"/>
      <c r="BQ398" s="663"/>
    </row>
    <row r="399" s="1265" customFormat="1" ht="31" customHeight="1" spans="1:69">
      <c r="A399" s="660">
        <v>45678</v>
      </c>
      <c r="B399" s="661" t="s">
        <v>1492</v>
      </c>
      <c r="C399" s="662" t="s">
        <v>98</v>
      </c>
      <c r="D399" s="663">
        <v>4500156318</v>
      </c>
      <c r="E399" s="1414" t="s">
        <v>1706</v>
      </c>
      <c r="F399" s="663" t="s">
        <v>1707</v>
      </c>
      <c r="G399" s="659" t="s">
        <v>909</v>
      </c>
      <c r="H399" s="662" t="s">
        <v>830</v>
      </c>
      <c r="I399" s="662">
        <v>72</v>
      </c>
      <c r="J399" s="662">
        <v>0</v>
      </c>
      <c r="K399" s="662">
        <v>1</v>
      </c>
      <c r="L399" s="665">
        <f t="shared" si="117"/>
        <v>72</v>
      </c>
      <c r="M399" s="666">
        <v>45912</v>
      </c>
      <c r="N399" s="666">
        <v>45908</v>
      </c>
      <c r="O399" s="664"/>
      <c r="P399" s="824" t="s">
        <v>113</v>
      </c>
      <c r="Q399" s="662"/>
      <c r="R399" s="667">
        <v>45832</v>
      </c>
      <c r="S399" s="667" t="s">
        <v>70</v>
      </c>
      <c r="T399" s="667" t="s">
        <v>70</v>
      </c>
      <c r="U399" s="667"/>
      <c r="V399" s="667"/>
      <c r="W399" s="667"/>
      <c r="X399" s="661" t="s">
        <v>1599</v>
      </c>
      <c r="Y399" s="666" t="s">
        <v>911</v>
      </c>
      <c r="Z399" s="1318">
        <v>0</v>
      </c>
      <c r="AA399" s="634">
        <f t="shared" si="121"/>
        <v>0</v>
      </c>
      <c r="AC399" s="638" t="s">
        <v>1708</v>
      </c>
      <c r="AD399" s="633" t="s">
        <v>1498</v>
      </c>
      <c r="AE399" s="662" t="s">
        <v>82</v>
      </c>
      <c r="AF399" s="662"/>
      <c r="AG399" s="662"/>
      <c r="AH399" s="662"/>
      <c r="AI399" s="664">
        <v>5400</v>
      </c>
      <c r="AJ399" s="664">
        <v>0</v>
      </c>
      <c r="AK399" s="662"/>
      <c r="AL399" s="662"/>
      <c r="AM399" s="662"/>
      <c r="AN399" s="1265"/>
      <c r="AO399" s="663">
        <v>0</v>
      </c>
      <c r="AP399" s="1265"/>
      <c r="AQ399" s="1265"/>
      <c r="AR399" s="1265"/>
      <c r="AS399" s="1265"/>
      <c r="AT399" s="1265"/>
      <c r="AU399" s="1265"/>
      <c r="AV399" s="825"/>
      <c r="AW399" s="1265"/>
      <c r="AX399" s="1265"/>
      <c r="AY399" s="1265"/>
      <c r="AZ399" s="1265"/>
      <c r="BA399" s="1265"/>
      <c r="BB399" s="1265"/>
      <c r="BC399" s="1265"/>
      <c r="BD399" s="548"/>
      <c r="BE399" s="548"/>
      <c r="BF399" s="1265"/>
      <c r="BG399" s="1265"/>
      <c r="BH399" s="548"/>
      <c r="BI399" s="548"/>
      <c r="BJ399" s="1265"/>
      <c r="BK399" s="1265"/>
      <c r="BL399" s="1265"/>
      <c r="BM399" s="548"/>
      <c r="BN399" s="548"/>
      <c r="BO399" s="1265"/>
      <c r="BP399" s="1265"/>
      <c r="BQ399" s="663"/>
    </row>
    <row r="400" s="1265" customFormat="1" ht="31" customHeight="1" spans="1:69">
      <c r="A400" s="660">
        <v>45678</v>
      </c>
      <c r="B400" s="661" t="s">
        <v>1492</v>
      </c>
      <c r="C400" s="662" t="s">
        <v>98</v>
      </c>
      <c r="D400" s="663">
        <v>4500156318</v>
      </c>
      <c r="E400" s="1414" t="s">
        <v>1706</v>
      </c>
      <c r="F400" s="663" t="s">
        <v>1707</v>
      </c>
      <c r="G400" s="659">
        <v>77673</v>
      </c>
      <c r="H400" s="662" t="s">
        <v>112</v>
      </c>
      <c r="I400" s="662">
        <v>5400</v>
      </c>
      <c r="J400" s="662">
        <v>0</v>
      </c>
      <c r="K400" s="662">
        <v>75</v>
      </c>
      <c r="L400" s="665">
        <f t="shared" si="117"/>
        <v>72</v>
      </c>
      <c r="M400" s="666">
        <v>45912</v>
      </c>
      <c r="N400" s="666">
        <v>45908</v>
      </c>
      <c r="O400" s="664"/>
      <c r="P400" s="824" t="s">
        <v>113</v>
      </c>
      <c r="Q400" s="662"/>
      <c r="R400" s="667">
        <v>45832</v>
      </c>
      <c r="S400" s="667" t="s">
        <v>70</v>
      </c>
      <c r="T400" s="667" t="s">
        <v>70</v>
      </c>
      <c r="U400" s="667"/>
      <c r="V400" s="667"/>
      <c r="W400" s="667"/>
      <c r="X400" s="661"/>
      <c r="Y400" s="666" t="s">
        <v>911</v>
      </c>
      <c r="Z400" s="1318">
        <v>762.5</v>
      </c>
      <c r="AA400" s="634">
        <f t="shared" si="121"/>
        <v>54900</v>
      </c>
      <c r="AC400" s="638" t="s">
        <v>1708</v>
      </c>
      <c r="AD400" s="633" t="s">
        <v>1498</v>
      </c>
      <c r="AE400" s="662" t="s">
        <v>82</v>
      </c>
      <c r="AF400" s="662"/>
      <c r="AG400" s="662"/>
      <c r="AH400" s="662"/>
      <c r="AI400" s="664">
        <v>0</v>
      </c>
      <c r="AJ400" s="664">
        <v>0</v>
      </c>
      <c r="AK400" s="662"/>
      <c r="AL400" s="662"/>
      <c r="AM400" s="662"/>
      <c r="AN400" s="1265"/>
      <c r="AO400" s="663">
        <f>I400</f>
        <v>5400</v>
      </c>
      <c r="AV400" s="825"/>
      <c r="AW400" s="1265"/>
      <c r="AX400" s="1265"/>
      <c r="AY400" s="1265"/>
      <c r="AZ400" s="1265"/>
      <c r="BA400" s="663">
        <f>I400</f>
        <v>5400</v>
      </c>
      <c r="BB400" s="663">
        <f>I400</f>
        <v>5400</v>
      </c>
      <c r="BC400" s="1319">
        <f>I400</f>
        <v>5400</v>
      </c>
      <c r="BD400" s="548"/>
      <c r="BE400" s="548"/>
      <c r="BF400" s="1265"/>
      <c r="BG400" s="1265"/>
      <c r="BH400" s="548"/>
      <c r="BI400" s="548"/>
      <c r="BJ400" s="1265"/>
      <c r="BK400" s="1319">
        <f>I400</f>
        <v>5400</v>
      </c>
      <c r="BL400" s="1319">
        <f>I400/5</f>
        <v>1080</v>
      </c>
      <c r="BM400" s="548"/>
      <c r="BN400" s="548"/>
      <c r="BO400" s="1265"/>
      <c r="BP400" s="1265"/>
      <c r="BQ400" s="663"/>
    </row>
    <row r="401" s="1265" customFormat="1" ht="31" customHeight="1" spans="1:69">
      <c r="A401" s="660">
        <v>45678</v>
      </c>
      <c r="B401" s="661" t="s">
        <v>1492</v>
      </c>
      <c r="C401" s="662" t="s">
        <v>98</v>
      </c>
      <c r="D401" s="663">
        <v>4500156332</v>
      </c>
      <c r="E401" s="1414" t="s">
        <v>1709</v>
      </c>
      <c r="F401" s="663" t="s">
        <v>1710</v>
      </c>
      <c r="G401" s="659" t="s">
        <v>909</v>
      </c>
      <c r="H401" s="662" t="s">
        <v>830</v>
      </c>
      <c r="I401" s="662">
        <v>72</v>
      </c>
      <c r="J401" s="662">
        <v>0</v>
      </c>
      <c r="K401" s="662">
        <v>1</v>
      </c>
      <c r="L401" s="665">
        <f t="shared" si="117"/>
        <v>72</v>
      </c>
      <c r="M401" s="666">
        <v>45912</v>
      </c>
      <c r="N401" s="666">
        <v>45908</v>
      </c>
      <c r="O401" s="664"/>
      <c r="P401" s="824" t="s">
        <v>113</v>
      </c>
      <c r="Q401" s="662"/>
      <c r="R401" s="667">
        <v>45832</v>
      </c>
      <c r="S401" s="667" t="s">
        <v>70</v>
      </c>
      <c r="T401" s="667" t="s">
        <v>70</v>
      </c>
      <c r="U401" s="667"/>
      <c r="V401" s="667"/>
      <c r="W401" s="667"/>
      <c r="X401" s="661" t="s">
        <v>1599</v>
      </c>
      <c r="Y401" s="666" t="s">
        <v>911</v>
      </c>
      <c r="Z401" s="1318">
        <v>0</v>
      </c>
      <c r="AA401" s="634">
        <f t="shared" si="121"/>
        <v>0</v>
      </c>
      <c r="AC401" s="638" t="s">
        <v>1711</v>
      </c>
      <c r="AD401" s="633" t="s">
        <v>1498</v>
      </c>
      <c r="AE401" s="662" t="s">
        <v>82</v>
      </c>
      <c r="AF401" s="662"/>
      <c r="AG401" s="662"/>
      <c r="AH401" s="662"/>
      <c r="AI401" s="664">
        <f>960+2970+1470</f>
        <v>5400</v>
      </c>
      <c r="AJ401" s="664">
        <v>0</v>
      </c>
      <c r="AK401" s="662"/>
      <c r="AL401" s="662"/>
      <c r="AM401" s="662"/>
      <c r="AN401" s="1265"/>
      <c r="AO401" s="663">
        <v>0</v>
      </c>
      <c r="AP401" s="1265"/>
      <c r="AQ401" s="1265"/>
      <c r="AR401" s="1265"/>
      <c r="AS401" s="1265"/>
      <c r="AT401" s="1265"/>
      <c r="AU401" s="1265"/>
      <c r="AV401" s="825"/>
      <c r="AW401" s="1265"/>
      <c r="AX401" s="1265"/>
      <c r="AY401" s="1265"/>
      <c r="AZ401" s="1265"/>
      <c r="BA401" s="1265"/>
      <c r="BB401" s="1265"/>
      <c r="BC401" s="1265"/>
      <c r="BD401" s="548"/>
      <c r="BE401" s="548"/>
      <c r="BF401" s="1265"/>
      <c r="BG401" s="1265"/>
      <c r="BH401" s="548"/>
      <c r="BI401" s="548"/>
      <c r="BJ401" s="1265"/>
      <c r="BK401" s="1265"/>
      <c r="BL401" s="1265"/>
      <c r="BM401" s="548"/>
      <c r="BN401" s="548"/>
      <c r="BO401" s="1265"/>
      <c r="BP401" s="1265"/>
      <c r="BQ401" s="663"/>
    </row>
    <row r="402" s="1265" customFormat="1" ht="31" customHeight="1" spans="1:69">
      <c r="A402" s="660">
        <v>45678</v>
      </c>
      <c r="B402" s="661" t="s">
        <v>1492</v>
      </c>
      <c r="C402" s="662" t="s">
        <v>98</v>
      </c>
      <c r="D402" s="663">
        <v>4500156332</v>
      </c>
      <c r="E402" s="1414" t="s">
        <v>1709</v>
      </c>
      <c r="F402" s="663" t="s">
        <v>1710</v>
      </c>
      <c r="G402" s="659">
        <v>77673</v>
      </c>
      <c r="H402" s="662" t="s">
        <v>112</v>
      </c>
      <c r="I402" s="662">
        <v>5400</v>
      </c>
      <c r="J402" s="662">
        <v>0</v>
      </c>
      <c r="K402" s="662">
        <v>75</v>
      </c>
      <c r="L402" s="665">
        <f t="shared" si="117"/>
        <v>72</v>
      </c>
      <c r="M402" s="666">
        <v>45912</v>
      </c>
      <c r="N402" s="666">
        <v>45908</v>
      </c>
      <c r="O402" s="664"/>
      <c r="P402" s="824" t="s">
        <v>113</v>
      </c>
      <c r="Q402" s="662"/>
      <c r="R402" s="667">
        <v>45832</v>
      </c>
      <c r="S402" s="667" t="s">
        <v>70</v>
      </c>
      <c r="T402" s="667" t="s">
        <v>70</v>
      </c>
      <c r="U402" s="667"/>
      <c r="V402" s="667"/>
      <c r="W402" s="667"/>
      <c r="X402" s="661"/>
      <c r="Y402" s="666" t="s">
        <v>911</v>
      </c>
      <c r="Z402" s="1318">
        <v>762.5</v>
      </c>
      <c r="AA402" s="634">
        <f t="shared" si="121"/>
        <v>54900</v>
      </c>
      <c r="AC402" s="638" t="s">
        <v>1711</v>
      </c>
      <c r="AD402" s="633" t="s">
        <v>1498</v>
      </c>
      <c r="AE402" s="662" t="s">
        <v>82</v>
      </c>
      <c r="AF402" s="662"/>
      <c r="AG402" s="662"/>
      <c r="AH402" s="662"/>
      <c r="AI402" s="664">
        <v>0</v>
      </c>
      <c r="AJ402" s="664">
        <v>0</v>
      </c>
      <c r="AK402" s="662"/>
      <c r="AL402" s="662"/>
      <c r="AM402" s="662"/>
      <c r="AN402" s="1265"/>
      <c r="AO402" s="663">
        <f>I402</f>
        <v>5400</v>
      </c>
      <c r="AV402" s="825"/>
      <c r="AW402" s="1265"/>
      <c r="AX402" s="1265"/>
      <c r="AY402" s="1265"/>
      <c r="AZ402" s="1265"/>
      <c r="BA402" s="663">
        <f>I402</f>
        <v>5400</v>
      </c>
      <c r="BB402" s="663">
        <f>I402</f>
        <v>5400</v>
      </c>
      <c r="BC402" s="1319">
        <f>I402</f>
        <v>5400</v>
      </c>
      <c r="BD402" s="548"/>
      <c r="BE402" s="548"/>
      <c r="BF402" s="1265"/>
      <c r="BG402" s="1265"/>
      <c r="BH402" s="548"/>
      <c r="BI402" s="548"/>
      <c r="BJ402" s="1265"/>
      <c r="BK402" s="1319">
        <f>I402</f>
        <v>5400</v>
      </c>
      <c r="BL402" s="1319">
        <f>I402/5</f>
        <v>1080</v>
      </c>
      <c r="BM402" s="548"/>
      <c r="BN402" s="548"/>
      <c r="BO402" s="1265"/>
      <c r="BP402" s="1265"/>
      <c r="BQ402" s="663"/>
    </row>
    <row r="403" s="1265" customFormat="1" ht="31" customHeight="1" spans="1:69">
      <c r="A403" s="660">
        <v>45678</v>
      </c>
      <c r="B403" s="661" t="s">
        <v>1492</v>
      </c>
      <c r="C403" s="662" t="s">
        <v>98</v>
      </c>
      <c r="D403" s="663">
        <v>4500156334</v>
      </c>
      <c r="E403" s="1414" t="s">
        <v>1712</v>
      </c>
      <c r="F403" s="663" t="s">
        <v>1713</v>
      </c>
      <c r="G403" s="659" t="s">
        <v>909</v>
      </c>
      <c r="H403" s="662" t="s">
        <v>830</v>
      </c>
      <c r="I403" s="662">
        <v>72</v>
      </c>
      <c r="J403" s="662">
        <v>0</v>
      </c>
      <c r="K403" s="662">
        <v>1</v>
      </c>
      <c r="L403" s="665">
        <f t="shared" si="117"/>
        <v>72</v>
      </c>
      <c r="M403" s="666">
        <v>45915</v>
      </c>
      <c r="N403" s="666">
        <v>45911</v>
      </c>
      <c r="O403" s="664"/>
      <c r="P403" s="824" t="s">
        <v>113</v>
      </c>
      <c r="Q403" s="662"/>
      <c r="R403" s="667">
        <v>45832</v>
      </c>
      <c r="S403" s="667" t="s">
        <v>70</v>
      </c>
      <c r="T403" s="667" t="s">
        <v>70</v>
      </c>
      <c r="U403" s="667"/>
      <c r="V403" s="667"/>
      <c r="W403" s="667"/>
      <c r="X403" s="661" t="s">
        <v>1599</v>
      </c>
      <c r="Y403" s="666" t="s">
        <v>911</v>
      </c>
      <c r="Z403" s="1318">
        <v>0</v>
      </c>
      <c r="AA403" s="634">
        <f t="shared" si="121"/>
        <v>0</v>
      </c>
      <c r="AC403" s="638" t="s">
        <v>1714</v>
      </c>
      <c r="AD403" s="633" t="s">
        <v>1498</v>
      </c>
      <c r="AE403" s="662" t="s">
        <v>82</v>
      </c>
      <c r="AF403" s="662"/>
      <c r="AG403" s="662"/>
      <c r="AH403" s="662"/>
      <c r="AI403" s="664">
        <f>5100+300</f>
        <v>5400</v>
      </c>
      <c r="AJ403" s="664">
        <v>0</v>
      </c>
      <c r="AK403" s="662"/>
      <c r="AL403" s="662"/>
      <c r="AM403" s="662"/>
      <c r="AN403" s="1265"/>
      <c r="AO403" s="663">
        <v>0</v>
      </c>
      <c r="AP403" s="1265"/>
      <c r="AQ403" s="1265"/>
      <c r="AR403" s="1265"/>
      <c r="AS403" s="1265"/>
      <c r="AT403" s="1265"/>
      <c r="AU403" s="1265"/>
      <c r="AV403" s="825"/>
      <c r="AW403" s="1265"/>
      <c r="AX403" s="1265"/>
      <c r="AY403" s="1265"/>
      <c r="AZ403" s="1265"/>
      <c r="BA403" s="1265"/>
      <c r="BB403" s="1265"/>
      <c r="BC403" s="1265"/>
      <c r="BD403" s="548"/>
      <c r="BE403" s="548"/>
      <c r="BF403" s="1265"/>
      <c r="BG403" s="1265"/>
      <c r="BH403" s="548"/>
      <c r="BI403" s="548"/>
      <c r="BJ403" s="1265"/>
      <c r="BK403" s="1265"/>
      <c r="BL403" s="1265"/>
      <c r="BM403" s="548"/>
      <c r="BN403" s="548"/>
      <c r="BO403" s="1265"/>
      <c r="BP403" s="1265"/>
      <c r="BQ403" s="663"/>
    </row>
    <row r="404" s="1265" customFormat="1" ht="31" customHeight="1" spans="1:69">
      <c r="A404" s="660">
        <v>45678</v>
      </c>
      <c r="B404" s="661" t="s">
        <v>1492</v>
      </c>
      <c r="C404" s="662" t="s">
        <v>98</v>
      </c>
      <c r="D404" s="663">
        <v>4500156334</v>
      </c>
      <c r="E404" s="1414" t="s">
        <v>1712</v>
      </c>
      <c r="F404" s="663" t="s">
        <v>1713</v>
      </c>
      <c r="G404" s="643">
        <v>77673</v>
      </c>
      <c r="H404" s="662" t="s">
        <v>112</v>
      </c>
      <c r="I404" s="662">
        <v>5400</v>
      </c>
      <c r="J404" s="662">
        <v>0</v>
      </c>
      <c r="K404" s="662">
        <v>75</v>
      </c>
      <c r="L404" s="665">
        <f t="shared" si="117"/>
        <v>72</v>
      </c>
      <c r="M404" s="666">
        <v>45915</v>
      </c>
      <c r="N404" s="666">
        <v>45911</v>
      </c>
      <c r="O404" s="664"/>
      <c r="P404" s="824" t="s">
        <v>113</v>
      </c>
      <c r="Q404" s="662"/>
      <c r="R404" s="667">
        <v>45832</v>
      </c>
      <c r="S404" s="667" t="s">
        <v>70</v>
      </c>
      <c r="T404" s="667" t="s">
        <v>70</v>
      </c>
      <c r="U404" s="667"/>
      <c r="V404" s="667"/>
      <c r="W404" s="667"/>
      <c r="X404" s="661"/>
      <c r="Y404" s="666" t="s">
        <v>911</v>
      </c>
      <c r="Z404" s="1318">
        <v>762.5</v>
      </c>
      <c r="AA404" s="634">
        <f t="shared" si="121"/>
        <v>54900</v>
      </c>
      <c r="AC404" s="638" t="s">
        <v>1714</v>
      </c>
      <c r="AD404" s="633" t="s">
        <v>1498</v>
      </c>
      <c r="AE404" s="662" t="s">
        <v>82</v>
      </c>
      <c r="AF404" s="662"/>
      <c r="AG404" s="662"/>
      <c r="AH404" s="662"/>
      <c r="AI404" s="664">
        <v>0</v>
      </c>
      <c r="AJ404" s="664">
        <v>0</v>
      </c>
      <c r="AK404" s="662"/>
      <c r="AL404" s="662"/>
      <c r="AM404" s="662"/>
      <c r="AN404" s="1265"/>
      <c r="AO404" s="663">
        <f>I404</f>
        <v>5400</v>
      </c>
      <c r="AV404" s="825"/>
      <c r="AW404" s="1265"/>
      <c r="AX404" s="1265"/>
      <c r="AY404" s="1265"/>
      <c r="AZ404" s="1265"/>
      <c r="BA404" s="663">
        <f>I404</f>
        <v>5400</v>
      </c>
      <c r="BB404" s="663">
        <f>I404</f>
        <v>5400</v>
      </c>
      <c r="BC404" s="1319">
        <f>I404</f>
        <v>5400</v>
      </c>
      <c r="BD404" s="548"/>
      <c r="BE404" s="548"/>
      <c r="BF404" s="1265"/>
      <c r="BG404" s="1265"/>
      <c r="BH404" s="548"/>
      <c r="BI404" s="548"/>
      <c r="BJ404" s="1265"/>
      <c r="BK404" s="1319">
        <f>I404</f>
        <v>5400</v>
      </c>
      <c r="BL404" s="1319">
        <f>I404/5</f>
        <v>1080</v>
      </c>
      <c r="BM404" s="548"/>
      <c r="BN404" s="548"/>
      <c r="BO404" s="1265"/>
      <c r="BP404" s="1265"/>
      <c r="BQ404" s="663"/>
    </row>
    <row r="405" s="1265" customFormat="1" ht="31" customHeight="1" spans="1:69">
      <c r="A405" s="660">
        <v>45854</v>
      </c>
      <c r="B405" s="661" t="s">
        <v>325</v>
      </c>
      <c r="C405" s="662" t="s">
        <v>98</v>
      </c>
      <c r="D405" s="663">
        <v>4500173789</v>
      </c>
      <c r="E405" s="662" t="s">
        <v>1715</v>
      </c>
      <c r="F405" s="663" t="s">
        <v>1716</v>
      </c>
      <c r="G405" s="659" t="s">
        <v>249</v>
      </c>
      <c r="H405" s="662" t="s">
        <v>250</v>
      </c>
      <c r="I405" s="662">
        <v>5000</v>
      </c>
      <c r="J405" s="662">
        <v>0</v>
      </c>
      <c r="K405" s="662">
        <v>4</v>
      </c>
      <c r="L405" s="665">
        <f t="shared" si="117"/>
        <v>1250</v>
      </c>
      <c r="M405" s="1320">
        <v>45917</v>
      </c>
      <c r="N405" s="666">
        <v>45913</v>
      </c>
      <c r="O405" s="664"/>
      <c r="P405" s="824" t="s">
        <v>113</v>
      </c>
      <c r="Q405" s="662" t="s">
        <v>1717</v>
      </c>
      <c r="R405" s="667">
        <v>45880</v>
      </c>
      <c r="S405" s="667" t="s">
        <v>104</v>
      </c>
      <c r="T405" s="667">
        <v>46267</v>
      </c>
      <c r="U405" s="667"/>
      <c r="V405" s="667" t="s">
        <v>1609</v>
      </c>
      <c r="W405" s="667"/>
      <c r="X405" s="661" t="s">
        <v>1718</v>
      </c>
      <c r="Y405" s="666" t="s">
        <v>252</v>
      </c>
      <c r="Z405" s="1318">
        <v>2.7951</v>
      </c>
      <c r="AA405" s="634">
        <f t="shared" ref="AA405:AA410" si="122">Z405*I405</f>
        <v>13975.5</v>
      </c>
      <c r="AC405" s="638" t="s">
        <v>1719</v>
      </c>
      <c r="AD405" s="633" t="s">
        <v>249</v>
      </c>
      <c r="AE405" s="662" t="s">
        <v>82</v>
      </c>
      <c r="AF405" s="662"/>
      <c r="AG405" s="662"/>
      <c r="AH405" s="662"/>
      <c r="AI405" s="664">
        <f>4976+24</f>
        <v>5000</v>
      </c>
      <c r="AJ405" s="664">
        <f t="shared" ref="AJ405:AJ410" si="123">AI405-I405</f>
        <v>0</v>
      </c>
      <c r="AK405" s="662"/>
      <c r="AL405" s="662"/>
      <c r="AM405" s="662"/>
      <c r="AN405" s="663"/>
      <c r="AO405" s="663"/>
      <c r="AP405" s="663">
        <f>I405</f>
        <v>5000</v>
      </c>
      <c r="AQ405" s="663"/>
      <c r="AR405" s="663"/>
      <c r="AS405" s="663"/>
      <c r="AT405" s="663"/>
      <c r="AU405" s="663"/>
      <c r="AV405" s="825"/>
      <c r="AW405" s="663">
        <f t="shared" ref="AW405:AW410" si="124">I405</f>
        <v>5000</v>
      </c>
      <c r="AX405" s="663"/>
      <c r="AY405" s="663"/>
      <c r="AZ405" s="663"/>
      <c r="BA405" s="663"/>
      <c r="BB405" s="663"/>
      <c r="BC405" s="663"/>
      <c r="BD405" s="663"/>
      <c r="BE405" s="663"/>
      <c r="BF405" s="663">
        <f>I405</f>
        <v>5000</v>
      </c>
      <c r="BG405" s="663">
        <f>I405</f>
        <v>5000</v>
      </c>
      <c r="BH405" s="825">
        <f>I405/4</f>
        <v>1250</v>
      </c>
      <c r="BI405" s="663"/>
      <c r="BJ405" s="663"/>
      <c r="BK405" s="663"/>
      <c r="BL405" s="663"/>
      <c r="BM405" s="663"/>
      <c r="BN405" s="663"/>
      <c r="BO405" s="663"/>
      <c r="BP405" s="663"/>
      <c r="BQ405" s="663"/>
    </row>
    <row r="406" s="1265" customFormat="1" ht="31" customHeight="1" spans="1:69">
      <c r="A406" s="660">
        <v>45683</v>
      </c>
      <c r="B406" s="661" t="s">
        <v>1720</v>
      </c>
      <c r="C406" s="662" t="s">
        <v>98</v>
      </c>
      <c r="D406" s="663">
        <v>4500156471</v>
      </c>
      <c r="E406" s="662">
        <v>86468</v>
      </c>
      <c r="F406" s="663" t="s">
        <v>1721</v>
      </c>
      <c r="G406" s="659" t="s">
        <v>111</v>
      </c>
      <c r="H406" s="662" t="s">
        <v>112</v>
      </c>
      <c r="I406" s="662">
        <v>912</v>
      </c>
      <c r="J406" s="662">
        <v>0</v>
      </c>
      <c r="K406" s="662">
        <v>16</v>
      </c>
      <c r="L406" s="665">
        <f t="shared" si="117"/>
        <v>57</v>
      </c>
      <c r="M406" s="1320">
        <v>45918</v>
      </c>
      <c r="N406" s="1320">
        <v>45915</v>
      </c>
      <c r="O406" s="664"/>
      <c r="P406" s="824" t="s">
        <v>113</v>
      </c>
      <c r="Q406" s="662"/>
      <c r="R406" s="667">
        <v>45683</v>
      </c>
      <c r="S406" s="667" t="s">
        <v>104</v>
      </c>
      <c r="T406" s="667">
        <v>45869</v>
      </c>
      <c r="U406" s="667"/>
      <c r="V406" s="667"/>
      <c r="W406" s="667"/>
      <c r="X406" s="1321" t="s">
        <v>1722</v>
      </c>
      <c r="Y406" s="666" t="s">
        <v>1723</v>
      </c>
      <c r="Z406" s="1322">
        <v>2.634</v>
      </c>
      <c r="AA406" s="1323">
        <f t="shared" si="122"/>
        <v>2402.208</v>
      </c>
      <c r="AC406" s="638" t="s">
        <v>1724</v>
      </c>
      <c r="AD406" s="633" t="s">
        <v>111</v>
      </c>
      <c r="AE406" s="662" t="s">
        <v>82</v>
      </c>
      <c r="AF406" s="662"/>
      <c r="AG406" s="662"/>
      <c r="AH406" s="662"/>
      <c r="AI406" s="664">
        <f>880+32</f>
        <v>912</v>
      </c>
      <c r="AJ406" s="664">
        <f t="shared" si="123"/>
        <v>0</v>
      </c>
      <c r="AK406" s="662"/>
      <c r="AL406" s="662"/>
      <c r="AM406" s="662"/>
      <c r="AN406" s="663">
        <f t="shared" ref="AN406:AN413" si="125">I406</f>
        <v>912</v>
      </c>
      <c r="AR406" s="663">
        <f>I406</f>
        <v>912</v>
      </c>
      <c r="AU406" s="825">
        <f>I406</f>
        <v>912</v>
      </c>
      <c r="AV406" s="825"/>
      <c r="AW406" s="663">
        <f t="shared" si="124"/>
        <v>912</v>
      </c>
      <c r="BD406" s="548"/>
      <c r="BE406" s="548"/>
      <c r="BF406" s="1265"/>
      <c r="BG406" s="1265"/>
      <c r="BH406" s="825">
        <f>I406/4</f>
        <v>228</v>
      </c>
      <c r="BI406" s="548"/>
      <c r="BJ406" s="1265"/>
      <c r="BK406" s="1265"/>
      <c r="BL406" s="1265"/>
      <c r="BM406" s="548"/>
      <c r="BN406" s="548"/>
      <c r="BO406" s="1265"/>
      <c r="BP406" s="1265"/>
      <c r="BQ406" s="663"/>
    </row>
    <row r="407" s="1265" customFormat="1" ht="31" customHeight="1" spans="1:69">
      <c r="A407" s="660">
        <v>45868</v>
      </c>
      <c r="B407" s="661" t="s">
        <v>1544</v>
      </c>
      <c r="C407" s="662" t="s">
        <v>257</v>
      </c>
      <c r="D407" s="663">
        <v>4500175150</v>
      </c>
      <c r="E407" s="662" t="s">
        <v>1544</v>
      </c>
      <c r="F407" s="663" t="s">
        <v>1725</v>
      </c>
      <c r="G407" s="659" t="s">
        <v>164</v>
      </c>
      <c r="H407" s="662" t="s">
        <v>112</v>
      </c>
      <c r="I407" s="662">
        <v>4000</v>
      </c>
      <c r="J407" s="662">
        <v>0</v>
      </c>
      <c r="K407" s="662">
        <v>8</v>
      </c>
      <c r="L407" s="665">
        <f t="shared" si="117"/>
        <v>500</v>
      </c>
      <c r="M407" s="666">
        <v>45919</v>
      </c>
      <c r="N407" s="666">
        <v>45915</v>
      </c>
      <c r="O407" s="664"/>
      <c r="P407" s="824" t="s">
        <v>113</v>
      </c>
      <c r="Q407" s="662"/>
      <c r="R407" s="667">
        <v>45863</v>
      </c>
      <c r="S407" s="667" t="s">
        <v>70</v>
      </c>
      <c r="T407" s="667" t="s">
        <v>165</v>
      </c>
      <c r="U407" s="667"/>
      <c r="V407" s="667"/>
      <c r="W407" s="667"/>
      <c r="X407" s="661" t="s">
        <v>1726</v>
      </c>
      <c r="Y407" s="666" t="s">
        <v>1549</v>
      </c>
      <c r="Z407" s="1318">
        <v>4.2475</v>
      </c>
      <c r="AA407" s="634">
        <f t="shared" si="122"/>
        <v>16990</v>
      </c>
      <c r="AC407" s="638" t="s">
        <v>1727</v>
      </c>
      <c r="AD407" s="633" t="s">
        <v>164</v>
      </c>
      <c r="AE407" s="662" t="s">
        <v>82</v>
      </c>
      <c r="AF407" s="662"/>
      <c r="AG407" s="662"/>
      <c r="AH407" s="662"/>
      <c r="AI407" s="664">
        <f>2520+1448+32</f>
        <v>4000</v>
      </c>
      <c r="AJ407" s="664">
        <f t="shared" si="123"/>
        <v>0</v>
      </c>
      <c r="AK407" s="662"/>
      <c r="AL407" s="662"/>
      <c r="AM407" s="662"/>
      <c r="AN407" s="663">
        <f t="shared" si="125"/>
        <v>4000</v>
      </c>
      <c r="AV407" s="825"/>
      <c r="AW407" s="663">
        <f t="shared" si="124"/>
        <v>4000</v>
      </c>
      <c r="BD407" s="663">
        <f>I407</f>
        <v>4000</v>
      </c>
      <c r="BE407" s="663">
        <f>I407</f>
        <v>4000</v>
      </c>
      <c r="BH407" s="548"/>
      <c r="BI407" s="825">
        <f>I407/4</f>
        <v>1000</v>
      </c>
      <c r="BM407" s="548"/>
      <c r="BN407" s="548"/>
      <c r="BO407" s="1265"/>
      <c r="BP407" s="1265"/>
      <c r="BQ407" s="663"/>
    </row>
    <row r="408" s="1265" customFormat="1" ht="31" customHeight="1" spans="1:69">
      <c r="A408" s="660">
        <v>45870</v>
      </c>
      <c r="B408" s="661" t="s">
        <v>1728</v>
      </c>
      <c r="C408" s="662" t="s">
        <v>154</v>
      </c>
      <c r="D408" s="663">
        <v>4500175788</v>
      </c>
      <c r="E408" s="662"/>
      <c r="F408" s="663" t="s">
        <v>1729</v>
      </c>
      <c r="G408" s="659" t="s">
        <v>164</v>
      </c>
      <c r="H408" s="662" t="s">
        <v>112</v>
      </c>
      <c r="I408" s="662">
        <v>1352</v>
      </c>
      <c r="J408" s="662">
        <v>0</v>
      </c>
      <c r="K408" s="662">
        <v>8</v>
      </c>
      <c r="L408" s="665">
        <f t="shared" si="117"/>
        <v>169</v>
      </c>
      <c r="M408" s="666">
        <v>45919</v>
      </c>
      <c r="N408" s="666">
        <v>45915</v>
      </c>
      <c r="O408" s="664"/>
      <c r="P408" s="824" t="s">
        <v>113</v>
      </c>
      <c r="Q408" s="662"/>
      <c r="R408" s="667">
        <v>45880</v>
      </c>
      <c r="S408" s="667" t="s">
        <v>70</v>
      </c>
      <c r="T408" s="667" t="s">
        <v>1730</v>
      </c>
      <c r="U408" s="667"/>
      <c r="V408" s="667"/>
      <c r="W408" s="667"/>
      <c r="X408" s="1321" t="s">
        <v>1731</v>
      </c>
      <c r="Y408" s="666" t="s">
        <v>1549</v>
      </c>
      <c r="Z408" s="1318">
        <v>4.2714</v>
      </c>
      <c r="AA408" s="634">
        <f t="shared" si="122"/>
        <v>5774.9328</v>
      </c>
      <c r="AC408" s="638" t="s">
        <v>1732</v>
      </c>
      <c r="AD408" s="633" t="s">
        <v>164</v>
      </c>
      <c r="AE408" s="662" t="s">
        <v>82</v>
      </c>
      <c r="AF408" s="662"/>
      <c r="AG408" s="662"/>
      <c r="AH408" s="662"/>
      <c r="AI408" s="664">
        <f>1328+24</f>
        <v>1352</v>
      </c>
      <c r="AJ408" s="664">
        <f t="shared" si="123"/>
        <v>0</v>
      </c>
      <c r="AK408" s="662"/>
      <c r="AL408" s="662"/>
      <c r="AM408" s="662"/>
      <c r="AN408" s="663">
        <f t="shared" si="125"/>
        <v>1352</v>
      </c>
      <c r="AV408" s="825"/>
      <c r="AW408" s="663">
        <f t="shared" si="124"/>
        <v>1352</v>
      </c>
      <c r="BD408" s="663">
        <f>I408</f>
        <v>1352</v>
      </c>
      <c r="BE408" s="663">
        <f>I408</f>
        <v>1352</v>
      </c>
      <c r="BH408" s="548"/>
      <c r="BI408" s="825">
        <f>I408/4</f>
        <v>338</v>
      </c>
      <c r="BM408" s="548"/>
      <c r="BN408" s="548"/>
      <c r="BO408" s="1265"/>
      <c r="BP408" s="1265"/>
      <c r="BQ408" s="663"/>
    </row>
    <row r="409" s="1265" customFormat="1" ht="31" customHeight="1" spans="1:69">
      <c r="A409" s="660">
        <v>45848</v>
      </c>
      <c r="B409" s="661" t="s">
        <v>75</v>
      </c>
      <c r="C409" s="662" t="s">
        <v>76</v>
      </c>
      <c r="D409" s="663">
        <v>4500173275</v>
      </c>
      <c r="E409" s="662">
        <v>29216695</v>
      </c>
      <c r="F409" s="663" t="s">
        <v>1733</v>
      </c>
      <c r="G409" s="659" t="s">
        <v>111</v>
      </c>
      <c r="H409" s="662" t="s">
        <v>112</v>
      </c>
      <c r="I409" s="1324">
        <v>608</v>
      </c>
      <c r="J409" s="662">
        <v>0</v>
      </c>
      <c r="K409" s="662">
        <v>16</v>
      </c>
      <c r="L409" s="665">
        <f t="shared" si="117"/>
        <v>38</v>
      </c>
      <c r="M409" s="666">
        <v>45919</v>
      </c>
      <c r="N409" s="666">
        <v>45915</v>
      </c>
      <c r="O409" s="664"/>
      <c r="P409" s="824" t="s">
        <v>113</v>
      </c>
      <c r="Q409" s="662"/>
      <c r="R409" s="667">
        <v>45848</v>
      </c>
      <c r="S409" s="667" t="s">
        <v>70</v>
      </c>
      <c r="T409" s="667">
        <v>45868</v>
      </c>
      <c r="U409" s="667"/>
      <c r="V409" s="667"/>
      <c r="W409" s="667"/>
      <c r="X409" s="1321" t="s">
        <v>1734</v>
      </c>
      <c r="Y409" s="666" t="s">
        <v>1735</v>
      </c>
      <c r="Z409" s="1318">
        <v>4.2114</v>
      </c>
      <c r="AA409" s="634">
        <f t="shared" si="122"/>
        <v>2560.5312</v>
      </c>
      <c r="AC409" s="676" t="s">
        <v>1736</v>
      </c>
      <c r="AD409" s="633" t="s">
        <v>111</v>
      </c>
      <c r="AE409" s="662" t="s">
        <v>82</v>
      </c>
      <c r="AF409" s="662"/>
      <c r="AG409" s="662"/>
      <c r="AH409" s="662"/>
      <c r="AI409" s="664">
        <f>576+32</f>
        <v>608</v>
      </c>
      <c r="AJ409" s="664">
        <f t="shared" si="123"/>
        <v>0</v>
      </c>
      <c r="AK409" s="662"/>
      <c r="AL409" s="662"/>
      <c r="AM409" s="662"/>
      <c r="AN409" s="663">
        <f t="shared" si="125"/>
        <v>608</v>
      </c>
      <c r="AR409" s="663">
        <f>I409</f>
        <v>608</v>
      </c>
      <c r="AU409" s="825">
        <f>I409</f>
        <v>608</v>
      </c>
      <c r="AV409" s="825"/>
      <c r="AW409" s="663">
        <f t="shared" si="124"/>
        <v>608</v>
      </c>
      <c r="BD409" s="548"/>
      <c r="BE409" s="548"/>
      <c r="BF409" s="1265"/>
      <c r="BG409" s="1265"/>
      <c r="BH409" s="825">
        <f t="shared" ref="BH409:BH414" si="126">I409/4</f>
        <v>152</v>
      </c>
      <c r="BI409" s="548"/>
      <c r="BJ409" s="1265"/>
      <c r="BK409" s="1265"/>
      <c r="BL409" s="1265"/>
      <c r="BM409" s="548"/>
      <c r="BN409" s="548"/>
      <c r="BO409" s="1265"/>
      <c r="BP409" s="1265"/>
      <c r="BQ409" s="663"/>
    </row>
    <row r="410" s="1265" customFormat="1" ht="31" customHeight="1" spans="1:69">
      <c r="A410" s="660">
        <v>45848</v>
      </c>
      <c r="B410" s="661" t="s">
        <v>75</v>
      </c>
      <c r="C410" s="662" t="s">
        <v>76</v>
      </c>
      <c r="D410" s="663">
        <v>4500173275</v>
      </c>
      <c r="E410" s="662">
        <v>29216696</v>
      </c>
      <c r="F410" s="663" t="s">
        <v>1737</v>
      </c>
      <c r="G410" s="659" t="s">
        <v>111</v>
      </c>
      <c r="H410" s="662" t="s">
        <v>112</v>
      </c>
      <c r="I410" s="1324">
        <v>192</v>
      </c>
      <c r="J410" s="662">
        <v>0</v>
      </c>
      <c r="K410" s="662">
        <v>16</v>
      </c>
      <c r="L410" s="665">
        <f t="shared" si="117"/>
        <v>12</v>
      </c>
      <c r="M410" s="666">
        <v>45919</v>
      </c>
      <c r="N410" s="666">
        <v>45915</v>
      </c>
      <c r="O410" s="664"/>
      <c r="P410" s="824" t="s">
        <v>113</v>
      </c>
      <c r="Q410" s="662"/>
      <c r="R410" s="667">
        <v>45848</v>
      </c>
      <c r="S410" s="667" t="s">
        <v>70</v>
      </c>
      <c r="T410" s="667">
        <v>45868</v>
      </c>
      <c r="U410" s="667"/>
      <c r="V410" s="667"/>
      <c r="W410" s="667"/>
      <c r="X410" s="1321" t="s">
        <v>1734</v>
      </c>
      <c r="Y410" s="666" t="s">
        <v>1735</v>
      </c>
      <c r="Z410" s="1318">
        <v>4.2542</v>
      </c>
      <c r="AA410" s="634">
        <f t="shared" si="122"/>
        <v>816.8064</v>
      </c>
      <c r="AC410" s="676" t="s">
        <v>1736</v>
      </c>
      <c r="AD410" s="633" t="s">
        <v>111</v>
      </c>
      <c r="AE410" s="662" t="s">
        <v>82</v>
      </c>
      <c r="AF410" s="662"/>
      <c r="AG410" s="662"/>
      <c r="AH410" s="662"/>
      <c r="AI410" s="664">
        <f>176+16</f>
        <v>192</v>
      </c>
      <c r="AJ410" s="664">
        <f t="shared" si="123"/>
        <v>0</v>
      </c>
      <c r="AK410" s="662"/>
      <c r="AL410" s="662"/>
      <c r="AM410" s="662"/>
      <c r="AN410" s="663">
        <f t="shared" si="125"/>
        <v>192</v>
      </c>
      <c r="AR410" s="663">
        <f>I410</f>
        <v>192</v>
      </c>
      <c r="AU410" s="825">
        <f>I410</f>
        <v>192</v>
      </c>
      <c r="AV410" s="825"/>
      <c r="AW410" s="663">
        <f t="shared" si="124"/>
        <v>192</v>
      </c>
      <c r="BD410" s="548"/>
      <c r="BE410" s="548"/>
      <c r="BF410" s="1265"/>
      <c r="BG410" s="1265"/>
      <c r="BH410" s="825">
        <f t="shared" si="126"/>
        <v>48</v>
      </c>
      <c r="BI410" s="548"/>
      <c r="BJ410" s="1265"/>
      <c r="BK410" s="1265"/>
      <c r="BL410" s="1265"/>
      <c r="BM410" s="548"/>
      <c r="BN410" s="548"/>
      <c r="BO410" s="1265"/>
      <c r="BP410" s="1265"/>
      <c r="BQ410" s="663"/>
    </row>
    <row r="411" s="1265" customFormat="1" ht="31" customHeight="1" spans="1:69">
      <c r="A411" s="660">
        <v>45877</v>
      </c>
      <c r="B411" s="661" t="s">
        <v>143</v>
      </c>
      <c r="C411" s="662" t="s">
        <v>98</v>
      </c>
      <c r="D411" s="663">
        <v>4500176396</v>
      </c>
      <c r="E411" s="1414" t="s">
        <v>1738</v>
      </c>
      <c r="F411" s="663" t="s">
        <v>1739</v>
      </c>
      <c r="G411" s="659" t="s">
        <v>101</v>
      </c>
      <c r="H411" s="662" t="s">
        <v>102</v>
      </c>
      <c r="I411" s="662">
        <v>500</v>
      </c>
      <c r="J411" s="662">
        <v>0</v>
      </c>
      <c r="K411" s="662">
        <v>4</v>
      </c>
      <c r="L411" s="665">
        <f t="shared" si="117"/>
        <v>125</v>
      </c>
      <c r="M411" s="666">
        <v>45917</v>
      </c>
      <c r="N411" s="666">
        <v>45913</v>
      </c>
      <c r="O411" s="664" t="s">
        <v>1740</v>
      </c>
      <c r="P411" s="824" t="s">
        <v>113</v>
      </c>
      <c r="Q411" s="662"/>
      <c r="R411" s="667" t="s">
        <v>147</v>
      </c>
      <c r="S411" s="667" t="s">
        <v>70</v>
      </c>
      <c r="T411" s="667" t="s">
        <v>1741</v>
      </c>
      <c r="U411" s="667"/>
      <c r="V411" s="667" t="s">
        <v>148</v>
      </c>
      <c r="W411" s="667"/>
      <c r="X411" s="661" t="s">
        <v>1395</v>
      </c>
      <c r="Y411" s="666" t="s">
        <v>106</v>
      </c>
      <c r="Z411" s="1318">
        <v>2.58</v>
      </c>
      <c r="AA411" s="634">
        <f t="shared" ref="AA405:AA444" si="127">Z411*I411</f>
        <v>1290</v>
      </c>
      <c r="AC411" s="638" t="s">
        <v>1742</v>
      </c>
      <c r="AD411" s="633" t="s">
        <v>101</v>
      </c>
      <c r="AE411" s="662" t="s">
        <v>82</v>
      </c>
      <c r="AF411" s="662"/>
      <c r="AG411" s="662"/>
      <c r="AH411" s="662"/>
      <c r="AI411" s="664">
        <f>4+496</f>
        <v>500</v>
      </c>
      <c r="AJ411" s="664">
        <f t="shared" ref="AJ405:AJ471" si="128">AI411-I411</f>
        <v>0</v>
      </c>
      <c r="AK411" s="662"/>
      <c r="AL411" s="662"/>
      <c r="AM411" s="662"/>
      <c r="AN411" s="663">
        <f t="shared" si="125"/>
        <v>500</v>
      </c>
      <c r="AO411" s="663"/>
      <c r="AP411" s="663"/>
      <c r="AQ411" s="663"/>
      <c r="AR411" s="663">
        <f>I411</f>
        <v>500</v>
      </c>
      <c r="AS411" s="663"/>
      <c r="AT411" s="663"/>
      <c r="AU411" s="825">
        <f>I411</f>
        <v>500</v>
      </c>
      <c r="AV411" s="825"/>
      <c r="AW411" s="663">
        <f t="shared" ref="AW402:AW426" si="129">I411</f>
        <v>500</v>
      </c>
      <c r="AX411" s="663"/>
      <c r="AY411" s="663"/>
      <c r="AZ411" s="663"/>
      <c r="BA411" s="663"/>
      <c r="BB411" s="663"/>
      <c r="BC411" s="663"/>
      <c r="BD411" s="663"/>
      <c r="BE411" s="663"/>
      <c r="BF411" s="663"/>
      <c r="BG411" s="663"/>
      <c r="BH411" s="825">
        <f t="shared" si="126"/>
        <v>125</v>
      </c>
      <c r="BI411" s="663"/>
      <c r="BJ411" s="663"/>
      <c r="BK411" s="663"/>
      <c r="BL411" s="663"/>
      <c r="BM411" s="663"/>
      <c r="BN411" s="663"/>
      <c r="BO411" s="663"/>
      <c r="BP411" s="663"/>
      <c r="BQ411" s="663"/>
    </row>
    <row r="412" s="1265" customFormat="1" ht="31" customHeight="1" spans="1:69">
      <c r="A412" s="660">
        <v>45877</v>
      </c>
      <c r="B412" s="661" t="s">
        <v>143</v>
      </c>
      <c r="C412" s="662" t="s">
        <v>98</v>
      </c>
      <c r="D412" s="663">
        <v>4500176396</v>
      </c>
      <c r="E412" s="1414" t="s">
        <v>1743</v>
      </c>
      <c r="F412" s="663" t="s">
        <v>1744</v>
      </c>
      <c r="G412" s="659" t="s">
        <v>101</v>
      </c>
      <c r="H412" s="662" t="s">
        <v>102</v>
      </c>
      <c r="I412" s="662">
        <v>500</v>
      </c>
      <c r="J412" s="662">
        <v>0</v>
      </c>
      <c r="K412" s="662">
        <v>4</v>
      </c>
      <c r="L412" s="665">
        <f t="shared" si="117"/>
        <v>125</v>
      </c>
      <c r="M412" s="666">
        <v>45917</v>
      </c>
      <c r="N412" s="666">
        <v>45913</v>
      </c>
      <c r="O412" s="664" t="s">
        <v>1740</v>
      </c>
      <c r="P412" s="824" t="s">
        <v>113</v>
      </c>
      <c r="Q412" s="662"/>
      <c r="R412" s="667" t="s">
        <v>147</v>
      </c>
      <c r="S412" s="667" t="s">
        <v>70</v>
      </c>
      <c r="T412" s="667" t="s">
        <v>1741</v>
      </c>
      <c r="U412" s="667"/>
      <c r="V412" s="667" t="s">
        <v>148</v>
      </c>
      <c r="W412" s="667"/>
      <c r="X412" s="661" t="s">
        <v>1395</v>
      </c>
      <c r="Y412" s="666" t="s">
        <v>106</v>
      </c>
      <c r="Z412" s="1318">
        <v>2.58</v>
      </c>
      <c r="AA412" s="634">
        <f t="shared" si="127"/>
        <v>1290</v>
      </c>
      <c r="AC412" s="638" t="s">
        <v>1745</v>
      </c>
      <c r="AD412" s="633" t="s">
        <v>101</v>
      </c>
      <c r="AE412" s="662" t="s">
        <v>82</v>
      </c>
      <c r="AF412" s="662"/>
      <c r="AG412" s="662"/>
      <c r="AH412" s="662"/>
      <c r="AI412" s="664">
        <f>12+488</f>
        <v>500</v>
      </c>
      <c r="AJ412" s="664">
        <f t="shared" si="128"/>
        <v>0</v>
      </c>
      <c r="AK412" s="662"/>
      <c r="AL412" s="662"/>
      <c r="AM412" s="662"/>
      <c r="AN412" s="663">
        <f t="shared" si="125"/>
        <v>500</v>
      </c>
      <c r="AO412" s="663"/>
      <c r="AP412" s="663"/>
      <c r="AQ412" s="663"/>
      <c r="AR412" s="663">
        <f>I412</f>
        <v>500</v>
      </c>
      <c r="AS412" s="663"/>
      <c r="AT412" s="663"/>
      <c r="AU412" s="825">
        <f>I412</f>
        <v>500</v>
      </c>
      <c r="AV412" s="825"/>
      <c r="AW412" s="663">
        <f t="shared" si="129"/>
        <v>500</v>
      </c>
      <c r="AX412" s="663"/>
      <c r="AY412" s="663"/>
      <c r="AZ412" s="663"/>
      <c r="BA412" s="663"/>
      <c r="BB412" s="663"/>
      <c r="BC412" s="663"/>
      <c r="BD412" s="663"/>
      <c r="BE412" s="663"/>
      <c r="BF412" s="663"/>
      <c r="BG412" s="663"/>
      <c r="BH412" s="825">
        <f t="shared" si="126"/>
        <v>125</v>
      </c>
      <c r="BI412" s="663"/>
      <c r="BJ412" s="663"/>
      <c r="BK412" s="663"/>
      <c r="BL412" s="663"/>
      <c r="BM412" s="663"/>
      <c r="BN412" s="663"/>
      <c r="BO412" s="663"/>
      <c r="BP412" s="663"/>
      <c r="BQ412" s="663"/>
    </row>
    <row r="413" s="1265" customFormat="1" ht="31" customHeight="1" spans="1:69">
      <c r="A413" s="660">
        <v>45877</v>
      </c>
      <c r="B413" s="661" t="s">
        <v>143</v>
      </c>
      <c r="C413" s="662" t="s">
        <v>98</v>
      </c>
      <c r="D413" s="663">
        <v>4500176396</v>
      </c>
      <c r="E413" s="1414" t="s">
        <v>1746</v>
      </c>
      <c r="F413" s="663" t="s">
        <v>1747</v>
      </c>
      <c r="G413" s="659" t="s">
        <v>101</v>
      </c>
      <c r="H413" s="662" t="s">
        <v>102</v>
      </c>
      <c r="I413" s="662">
        <v>500</v>
      </c>
      <c r="J413" s="662">
        <v>0</v>
      </c>
      <c r="K413" s="662">
        <v>4</v>
      </c>
      <c r="L413" s="665">
        <f t="shared" si="117"/>
        <v>125</v>
      </c>
      <c r="M413" s="666">
        <v>45917</v>
      </c>
      <c r="N413" s="666">
        <v>45913</v>
      </c>
      <c r="O413" s="664" t="s">
        <v>1740</v>
      </c>
      <c r="P413" s="824" t="s">
        <v>113</v>
      </c>
      <c r="Q413" s="662"/>
      <c r="R413" s="667" t="s">
        <v>147</v>
      </c>
      <c r="S413" s="667" t="s">
        <v>70</v>
      </c>
      <c r="T413" s="667" t="s">
        <v>1741</v>
      </c>
      <c r="U413" s="667"/>
      <c r="V413" s="667" t="s">
        <v>148</v>
      </c>
      <c r="W413" s="667"/>
      <c r="X413" s="661" t="s">
        <v>1395</v>
      </c>
      <c r="Y413" s="666" t="s">
        <v>106</v>
      </c>
      <c r="Z413" s="1318">
        <v>2.58</v>
      </c>
      <c r="AA413" s="634">
        <f t="shared" si="127"/>
        <v>1290</v>
      </c>
      <c r="AC413" s="638" t="s">
        <v>1748</v>
      </c>
      <c r="AD413" s="633" t="s">
        <v>101</v>
      </c>
      <c r="AE413" s="662" t="s">
        <v>82</v>
      </c>
      <c r="AF413" s="662"/>
      <c r="AG413" s="662"/>
      <c r="AH413" s="662"/>
      <c r="AI413" s="664">
        <f>8+492</f>
        <v>500</v>
      </c>
      <c r="AJ413" s="664">
        <f t="shared" si="128"/>
        <v>0</v>
      </c>
      <c r="AK413" s="662"/>
      <c r="AL413" s="662"/>
      <c r="AM413" s="662"/>
      <c r="AN413" s="663">
        <f t="shared" si="125"/>
        <v>500</v>
      </c>
      <c r="AO413" s="663"/>
      <c r="AP413" s="663"/>
      <c r="AQ413" s="663"/>
      <c r="AR413" s="663">
        <f>I413</f>
        <v>500</v>
      </c>
      <c r="AS413" s="663"/>
      <c r="AT413" s="663"/>
      <c r="AU413" s="825">
        <f>I413</f>
        <v>500</v>
      </c>
      <c r="AV413" s="825"/>
      <c r="AW413" s="663">
        <f t="shared" si="129"/>
        <v>500</v>
      </c>
      <c r="AX413" s="663"/>
      <c r="AY413" s="663"/>
      <c r="AZ413" s="663"/>
      <c r="BA413" s="663"/>
      <c r="BB413" s="663"/>
      <c r="BC413" s="663"/>
      <c r="BD413" s="663"/>
      <c r="BE413" s="663"/>
      <c r="BF413" s="663"/>
      <c r="BG413" s="663"/>
      <c r="BH413" s="825">
        <f t="shared" si="126"/>
        <v>125</v>
      </c>
      <c r="BI413" s="663"/>
      <c r="BJ413" s="663"/>
      <c r="BK413" s="663"/>
      <c r="BL413" s="663"/>
      <c r="BM413" s="663"/>
      <c r="BN413" s="663"/>
      <c r="BO413" s="663"/>
      <c r="BP413" s="663"/>
      <c r="BQ413" s="663"/>
    </row>
    <row r="414" s="1265" customFormat="1" ht="31" customHeight="1" spans="1:69">
      <c r="A414" s="660">
        <v>45869</v>
      </c>
      <c r="B414" s="661" t="s">
        <v>325</v>
      </c>
      <c r="C414" s="662" t="s">
        <v>98</v>
      </c>
      <c r="D414" s="663">
        <v>4500175701</v>
      </c>
      <c r="E414" s="662" t="s">
        <v>1749</v>
      </c>
      <c r="F414" s="663" t="s">
        <v>1750</v>
      </c>
      <c r="G414" s="659" t="s">
        <v>249</v>
      </c>
      <c r="H414" s="662" t="s">
        <v>250</v>
      </c>
      <c r="I414" s="662">
        <v>10000</v>
      </c>
      <c r="J414" s="662">
        <v>0</v>
      </c>
      <c r="K414" s="662">
        <v>4</v>
      </c>
      <c r="L414" s="665">
        <f t="shared" si="117"/>
        <v>2500</v>
      </c>
      <c r="M414" s="1320">
        <v>45918</v>
      </c>
      <c r="N414" s="666">
        <v>45915</v>
      </c>
      <c r="O414" s="664"/>
      <c r="P414" s="824" t="s">
        <v>113</v>
      </c>
      <c r="Q414" s="662"/>
      <c r="R414" s="667">
        <v>45874</v>
      </c>
      <c r="S414" s="667" t="s">
        <v>104</v>
      </c>
      <c r="T414" s="667">
        <v>46267</v>
      </c>
      <c r="U414" s="667"/>
      <c r="V414" s="667" t="s">
        <v>1609</v>
      </c>
      <c r="W414" s="667"/>
      <c r="X414" s="661" t="s">
        <v>1751</v>
      </c>
      <c r="Y414" s="666" t="s">
        <v>252</v>
      </c>
      <c r="Z414" s="1318">
        <v>2.78321</v>
      </c>
      <c r="AA414" s="634">
        <f t="shared" si="127"/>
        <v>27832.1</v>
      </c>
      <c r="AC414" s="638" t="s">
        <v>1752</v>
      </c>
      <c r="AD414" s="633" t="s">
        <v>249</v>
      </c>
      <c r="AE414" s="662" t="s">
        <v>82</v>
      </c>
      <c r="AF414" s="662"/>
      <c r="AG414" s="662"/>
      <c r="AH414" s="662"/>
      <c r="AI414" s="664">
        <f>4320+24+5656</f>
        <v>10000</v>
      </c>
      <c r="AJ414" s="664">
        <f t="shared" si="128"/>
        <v>0</v>
      </c>
      <c r="AK414" s="662"/>
      <c r="AL414" s="662"/>
      <c r="AM414" s="662"/>
      <c r="AN414" s="663"/>
      <c r="AO414" s="663"/>
      <c r="AP414" s="663">
        <f>I414</f>
        <v>10000</v>
      </c>
      <c r="AQ414" s="663"/>
      <c r="AR414" s="663"/>
      <c r="AS414" s="663"/>
      <c r="AT414" s="663"/>
      <c r="AU414" s="663"/>
      <c r="AV414" s="825"/>
      <c r="AW414" s="663">
        <f t="shared" si="129"/>
        <v>10000</v>
      </c>
      <c r="AX414" s="663"/>
      <c r="AY414" s="663"/>
      <c r="AZ414" s="663"/>
      <c r="BA414" s="663"/>
      <c r="BB414" s="663"/>
      <c r="BC414" s="663"/>
      <c r="BD414" s="663"/>
      <c r="BE414" s="663"/>
      <c r="BF414" s="663">
        <f>I414</f>
        <v>10000</v>
      </c>
      <c r="BG414" s="663">
        <f>I414</f>
        <v>10000</v>
      </c>
      <c r="BH414" s="825">
        <f t="shared" si="126"/>
        <v>2500</v>
      </c>
      <c r="BI414" s="663"/>
      <c r="BJ414" s="663"/>
      <c r="BK414" s="663"/>
      <c r="BL414" s="663"/>
      <c r="BM414" s="663"/>
      <c r="BN414" s="663"/>
      <c r="BO414" s="663"/>
      <c r="BP414" s="663"/>
      <c r="BQ414" s="663"/>
    </row>
    <row r="415" s="1265" customFormat="1" ht="31" customHeight="1" spans="1:69">
      <c r="A415" s="660">
        <v>45863</v>
      </c>
      <c r="B415" s="661" t="s">
        <v>1620</v>
      </c>
      <c r="C415" s="662" t="s">
        <v>278</v>
      </c>
      <c r="D415" s="663">
        <v>4500175137</v>
      </c>
      <c r="E415" s="662" t="s">
        <v>1753</v>
      </c>
      <c r="F415" s="663" t="s">
        <v>1754</v>
      </c>
      <c r="G415" s="659" t="s">
        <v>164</v>
      </c>
      <c r="H415" s="662" t="s">
        <v>112</v>
      </c>
      <c r="I415" s="662">
        <v>6000</v>
      </c>
      <c r="J415" s="662">
        <v>0</v>
      </c>
      <c r="K415" s="662">
        <v>8</v>
      </c>
      <c r="L415" s="665">
        <f t="shared" si="117"/>
        <v>750</v>
      </c>
      <c r="M415" s="666">
        <v>45919</v>
      </c>
      <c r="N415" s="666">
        <f>M415-4</f>
        <v>45915</v>
      </c>
      <c r="O415" s="664"/>
      <c r="P415" s="824" t="s">
        <v>113</v>
      </c>
      <c r="Q415" s="662" t="s">
        <v>1755</v>
      </c>
      <c r="R415" s="667">
        <v>45863</v>
      </c>
      <c r="S415" s="667" t="s">
        <v>70</v>
      </c>
      <c r="T415" s="667" t="s">
        <v>165</v>
      </c>
      <c r="U415" s="667"/>
      <c r="V415" s="667"/>
      <c r="W415" s="667"/>
      <c r="X415" s="661" t="s">
        <v>1726</v>
      </c>
      <c r="Y415" s="666" t="s">
        <v>1549</v>
      </c>
      <c r="Z415" s="1318">
        <v>4.2475</v>
      </c>
      <c r="AA415" s="634">
        <f t="shared" si="127"/>
        <v>25485</v>
      </c>
      <c r="AC415" s="638" t="s">
        <v>1756</v>
      </c>
      <c r="AD415" s="633" t="s">
        <v>164</v>
      </c>
      <c r="AE415" s="662" t="s">
        <v>82</v>
      </c>
      <c r="AF415" s="662"/>
      <c r="AG415" s="662"/>
      <c r="AH415" s="662"/>
      <c r="AI415" s="664">
        <v>6000</v>
      </c>
      <c r="AJ415" s="664">
        <f t="shared" si="128"/>
        <v>0</v>
      </c>
      <c r="AK415" s="662"/>
      <c r="AL415" s="662"/>
      <c r="AM415" s="662"/>
      <c r="AN415" s="663">
        <f t="shared" ref="AN415:AN421" si="130">I415</f>
        <v>6000</v>
      </c>
      <c r="AO415" s="663"/>
      <c r="AP415" s="663"/>
      <c r="AQ415" s="663"/>
      <c r="AR415" s="663"/>
      <c r="AS415" s="663"/>
      <c r="AT415" s="663"/>
      <c r="AU415" s="663"/>
      <c r="AV415" s="825"/>
      <c r="AW415" s="663">
        <f t="shared" si="129"/>
        <v>6000</v>
      </c>
      <c r="AX415" s="663"/>
      <c r="AY415" s="663"/>
      <c r="AZ415" s="663"/>
      <c r="BA415" s="663"/>
      <c r="BB415" s="663"/>
      <c r="BC415" s="663"/>
      <c r="BD415" s="663">
        <f>I415</f>
        <v>6000</v>
      </c>
      <c r="BE415" s="663">
        <f>I415</f>
        <v>6000</v>
      </c>
      <c r="BF415" s="663"/>
      <c r="BG415" s="663"/>
      <c r="BH415" s="663"/>
      <c r="BI415" s="825">
        <f>I415/4</f>
        <v>1500</v>
      </c>
      <c r="BJ415" s="663"/>
      <c r="BK415" s="663"/>
      <c r="BL415" s="663"/>
      <c r="BM415" s="663"/>
      <c r="BN415" s="663"/>
      <c r="BO415" s="663"/>
      <c r="BP415" s="663"/>
      <c r="BQ415" s="663"/>
    </row>
    <row r="416" s="1265" customFormat="1" ht="31" customHeight="1" spans="1:69">
      <c r="A416" s="660">
        <v>45863</v>
      </c>
      <c r="B416" s="661" t="s">
        <v>1620</v>
      </c>
      <c r="C416" s="662" t="s">
        <v>278</v>
      </c>
      <c r="D416" s="663">
        <v>4500175136</v>
      </c>
      <c r="E416" s="662" t="s">
        <v>1757</v>
      </c>
      <c r="F416" s="663" t="s">
        <v>1758</v>
      </c>
      <c r="G416" s="659" t="s">
        <v>164</v>
      </c>
      <c r="H416" s="662" t="s">
        <v>112</v>
      </c>
      <c r="I416" s="662">
        <v>8000</v>
      </c>
      <c r="J416" s="662">
        <v>0</v>
      </c>
      <c r="K416" s="662">
        <v>8</v>
      </c>
      <c r="L416" s="665">
        <f t="shared" si="117"/>
        <v>1000</v>
      </c>
      <c r="M416" s="666">
        <v>45919</v>
      </c>
      <c r="N416" s="666">
        <f>M416-4</f>
        <v>45915</v>
      </c>
      <c r="O416" s="664"/>
      <c r="P416" s="824" t="s">
        <v>113</v>
      </c>
      <c r="Q416" s="662" t="s">
        <v>1755</v>
      </c>
      <c r="R416" s="667">
        <v>45863</v>
      </c>
      <c r="S416" s="667" t="s">
        <v>70</v>
      </c>
      <c r="T416" s="667" t="s">
        <v>165</v>
      </c>
      <c r="U416" s="667"/>
      <c r="V416" s="667"/>
      <c r="W416" s="667"/>
      <c r="X416" s="661" t="s">
        <v>1726</v>
      </c>
      <c r="Y416" s="666" t="s">
        <v>1549</v>
      </c>
      <c r="Z416" s="1318">
        <v>4.2475</v>
      </c>
      <c r="AA416" s="634">
        <f t="shared" si="127"/>
        <v>33980</v>
      </c>
      <c r="AC416" s="638" t="s">
        <v>1759</v>
      </c>
      <c r="AD416" s="633" t="s">
        <v>164</v>
      </c>
      <c r="AE416" s="662" t="s">
        <v>82</v>
      </c>
      <c r="AF416" s="662"/>
      <c r="AG416" s="662"/>
      <c r="AH416" s="662"/>
      <c r="AI416" s="664">
        <v>8000</v>
      </c>
      <c r="AJ416" s="664">
        <f t="shared" si="128"/>
        <v>0</v>
      </c>
      <c r="AK416" s="662"/>
      <c r="AL416" s="662"/>
      <c r="AM416" s="662"/>
      <c r="AN416" s="663">
        <f t="shared" si="130"/>
        <v>8000</v>
      </c>
      <c r="AV416" s="825"/>
      <c r="AW416" s="663">
        <f t="shared" si="129"/>
        <v>8000</v>
      </c>
      <c r="BD416" s="663">
        <f>I416</f>
        <v>8000</v>
      </c>
      <c r="BE416" s="663">
        <f>I416</f>
        <v>8000</v>
      </c>
      <c r="BH416" s="548"/>
      <c r="BI416" s="825">
        <f>I416/4</f>
        <v>2000</v>
      </c>
      <c r="BM416" s="548"/>
      <c r="BN416" s="548"/>
      <c r="BO416" s="1265"/>
      <c r="BP416" s="1265"/>
      <c r="BQ416" s="663"/>
    </row>
    <row r="417" s="1265" customFormat="1" ht="31" customHeight="1" spans="1:99">
      <c r="A417" s="660">
        <v>45870</v>
      </c>
      <c r="B417" s="661" t="s">
        <v>1728</v>
      </c>
      <c r="C417" s="662" t="s">
        <v>154</v>
      </c>
      <c r="D417" s="663">
        <v>4500175793</v>
      </c>
      <c r="E417" s="662">
        <v>4400503611</v>
      </c>
      <c r="F417" s="663" t="s">
        <v>1760</v>
      </c>
      <c r="G417" s="659" t="s">
        <v>164</v>
      </c>
      <c r="H417" s="662" t="s">
        <v>112</v>
      </c>
      <c r="I417" s="662">
        <v>1648</v>
      </c>
      <c r="J417" s="662">
        <v>0</v>
      </c>
      <c r="K417" s="662">
        <v>8</v>
      </c>
      <c r="L417" s="665">
        <f t="shared" si="117"/>
        <v>206</v>
      </c>
      <c r="M417" s="666">
        <v>45919</v>
      </c>
      <c r="N417" s="666">
        <f>M417-4</f>
        <v>45915</v>
      </c>
      <c r="O417" s="664"/>
      <c r="P417" s="824" t="s">
        <v>113</v>
      </c>
      <c r="Q417" s="662"/>
      <c r="R417" s="667">
        <v>45880</v>
      </c>
      <c r="S417" s="667" t="s">
        <v>70</v>
      </c>
      <c r="T417" s="667" t="s">
        <v>1730</v>
      </c>
      <c r="U417" s="667"/>
      <c r="V417" s="667"/>
      <c r="W417" s="667"/>
      <c r="X417" s="661" t="s">
        <v>1731</v>
      </c>
      <c r="Y417" s="666" t="s">
        <v>1549</v>
      </c>
      <c r="Z417" s="1318">
        <v>4.2714</v>
      </c>
      <c r="AA417" s="634">
        <f t="shared" si="127"/>
        <v>7039.2672</v>
      </c>
      <c r="AC417" s="638" t="s">
        <v>1761</v>
      </c>
      <c r="AD417" s="633" t="s">
        <v>164</v>
      </c>
      <c r="AE417" s="662" t="s">
        <v>82</v>
      </c>
      <c r="AF417" s="662"/>
      <c r="AG417" s="662"/>
      <c r="AH417" s="662"/>
      <c r="AI417" s="664">
        <v>1648</v>
      </c>
      <c r="AJ417" s="664">
        <f t="shared" si="128"/>
        <v>0</v>
      </c>
      <c r="AK417" s="662"/>
      <c r="AL417" s="662"/>
      <c r="AM417" s="662"/>
      <c r="AN417" s="663">
        <f t="shared" si="130"/>
        <v>1648</v>
      </c>
      <c r="AV417" s="825"/>
      <c r="AW417" s="663">
        <f t="shared" si="129"/>
        <v>1648</v>
      </c>
      <c r="BD417" s="663">
        <f>I417</f>
        <v>1648</v>
      </c>
      <c r="BE417" s="663">
        <f>I417</f>
        <v>1648</v>
      </c>
      <c r="BH417" s="548"/>
      <c r="BI417" s="825">
        <f>I417/4</f>
        <v>412</v>
      </c>
      <c r="BM417" s="548"/>
      <c r="BN417" s="548"/>
      <c r="BO417" s="1265"/>
      <c r="BP417" s="1265"/>
      <c r="BQ417" s="663"/>
    </row>
    <row r="418" s="1265" customFormat="1" ht="31" customHeight="1" spans="1:99">
      <c r="A418" s="660">
        <v>45883</v>
      </c>
      <c r="B418" s="661" t="s">
        <v>448</v>
      </c>
      <c r="C418" s="662" t="s">
        <v>399</v>
      </c>
      <c r="D418" s="663">
        <v>4500176886</v>
      </c>
      <c r="E418" s="662"/>
      <c r="F418" s="663" t="s">
        <v>1762</v>
      </c>
      <c r="G418" s="659" t="s">
        <v>130</v>
      </c>
      <c r="H418" s="662" t="s">
        <v>131</v>
      </c>
      <c r="I418" s="662">
        <v>960</v>
      </c>
      <c r="J418" s="662">
        <v>0</v>
      </c>
      <c r="K418" s="662">
        <v>6</v>
      </c>
      <c r="L418" s="665">
        <f t="shared" si="117"/>
        <v>160</v>
      </c>
      <c r="M418" s="666">
        <v>45920</v>
      </c>
      <c r="N418" s="666">
        <v>45916</v>
      </c>
      <c r="O418" s="664"/>
      <c r="P418" s="824" t="s">
        <v>113</v>
      </c>
      <c r="Q418" s="662"/>
      <c r="R418" s="667">
        <v>45884</v>
      </c>
      <c r="S418" s="667" t="s">
        <v>70</v>
      </c>
      <c r="T418" s="667">
        <v>45889</v>
      </c>
      <c r="U418" s="667"/>
      <c r="V418" s="667"/>
      <c r="W418" s="667"/>
      <c r="X418" s="661" t="s">
        <v>1763</v>
      </c>
      <c r="Y418" s="666" t="s">
        <v>445</v>
      </c>
      <c r="Z418" s="1318">
        <v>4.2099</v>
      </c>
      <c r="AA418" s="634">
        <f t="shared" si="127"/>
        <v>4041.504</v>
      </c>
      <c r="AC418" s="638" t="s">
        <v>1764</v>
      </c>
      <c r="AD418" s="633" t="s">
        <v>453</v>
      </c>
      <c r="AE418" s="662" t="s">
        <v>82</v>
      </c>
      <c r="AF418" s="662"/>
      <c r="AG418" s="662"/>
      <c r="AH418" s="662"/>
      <c r="AI418" s="664">
        <v>960</v>
      </c>
      <c r="AJ418" s="664">
        <f t="shared" si="128"/>
        <v>0</v>
      </c>
      <c r="AK418" s="662"/>
      <c r="AL418" s="662"/>
      <c r="AM418" s="662"/>
      <c r="AN418" s="663">
        <f t="shared" si="130"/>
        <v>960</v>
      </c>
      <c r="AS418" s="687">
        <f>I418</f>
        <v>960</v>
      </c>
      <c r="AT418" s="687"/>
      <c r="AU418" s="825">
        <f>I418</f>
        <v>960</v>
      </c>
      <c r="AV418" s="825"/>
      <c r="AW418" s="663">
        <f t="shared" si="129"/>
        <v>960</v>
      </c>
      <c r="BD418" s="548"/>
      <c r="BE418" s="548"/>
      <c r="BF418" s="1265"/>
      <c r="BG418" s="1265"/>
      <c r="BH418" s="548"/>
      <c r="BI418" s="548"/>
      <c r="BJ418" s="1265"/>
      <c r="BK418" s="1265"/>
      <c r="BL418" s="1265"/>
      <c r="BM418" s="548"/>
      <c r="BN418" s="548"/>
      <c r="BO418" s="1265"/>
      <c r="BP418" s="1265"/>
      <c r="BQ418" s="663"/>
    </row>
    <row r="419" s="1265" customFormat="1" ht="31" customHeight="1" spans="1:99">
      <c r="A419" s="660">
        <v>45883</v>
      </c>
      <c r="B419" s="661" t="s">
        <v>448</v>
      </c>
      <c r="C419" s="662" t="s">
        <v>399</v>
      </c>
      <c r="D419" s="663">
        <v>4500176886</v>
      </c>
      <c r="E419" s="662"/>
      <c r="F419" s="663" t="s">
        <v>1765</v>
      </c>
      <c r="G419" s="659" t="s">
        <v>518</v>
      </c>
      <c r="H419" s="662" t="s">
        <v>477</v>
      </c>
      <c r="I419" s="662">
        <v>420</v>
      </c>
      <c r="J419" s="662">
        <v>0</v>
      </c>
      <c r="K419" s="662">
        <v>6</v>
      </c>
      <c r="L419" s="665">
        <f t="shared" si="117"/>
        <v>70</v>
      </c>
      <c r="M419" s="666">
        <v>45920</v>
      </c>
      <c r="N419" s="666">
        <v>45916</v>
      </c>
      <c r="O419" s="664"/>
      <c r="P419" s="824" t="s">
        <v>113</v>
      </c>
      <c r="Q419" s="662"/>
      <c r="R419" s="667">
        <v>45884</v>
      </c>
      <c r="S419" s="667" t="s">
        <v>70</v>
      </c>
      <c r="T419" s="667">
        <v>45889</v>
      </c>
      <c r="U419" s="667"/>
      <c r="V419" s="667"/>
      <c r="W419" s="667"/>
      <c r="X419" s="661" t="s">
        <v>1766</v>
      </c>
      <c r="Y419" s="666" t="s">
        <v>445</v>
      </c>
      <c r="Z419" s="1318">
        <v>7.1628</v>
      </c>
      <c r="AA419" s="634">
        <f t="shared" si="127"/>
        <v>3008.376</v>
      </c>
      <c r="AC419" s="638" t="s">
        <v>1764</v>
      </c>
      <c r="AD419" s="633" t="s">
        <v>480</v>
      </c>
      <c r="AE419" s="662" t="s">
        <v>82</v>
      </c>
      <c r="AF419" s="662"/>
      <c r="AG419" s="662"/>
      <c r="AH419" s="662"/>
      <c r="AI419" s="664">
        <v>420</v>
      </c>
      <c r="AJ419" s="664">
        <f t="shared" si="128"/>
        <v>0</v>
      </c>
      <c r="AK419" s="662"/>
      <c r="AL419" s="662"/>
      <c r="AM419" s="662"/>
      <c r="AN419" s="663">
        <f t="shared" si="130"/>
        <v>420</v>
      </c>
      <c r="AS419" s="687">
        <f>I419</f>
        <v>420</v>
      </c>
      <c r="AT419" s="687"/>
      <c r="AU419" s="825">
        <f>I419</f>
        <v>420</v>
      </c>
      <c r="AV419" s="825"/>
      <c r="AW419" s="663">
        <f t="shared" si="129"/>
        <v>420</v>
      </c>
      <c r="BD419" s="548"/>
      <c r="BE419" s="548"/>
      <c r="BF419" s="1265"/>
      <c r="BG419" s="1265"/>
      <c r="BH419" s="548"/>
      <c r="BI419" s="548"/>
      <c r="BJ419" s="1265"/>
      <c r="BK419" s="1265"/>
      <c r="BL419" s="1265"/>
      <c r="BM419" s="548"/>
      <c r="BN419" s="663">
        <f>I419</f>
        <v>420</v>
      </c>
      <c r="BQ419" s="663"/>
    </row>
    <row r="420" s="1265" customFormat="1" ht="31" customHeight="1" spans="1:99">
      <c r="A420" s="660">
        <v>45862</v>
      </c>
      <c r="B420" s="661" t="s">
        <v>1767</v>
      </c>
      <c r="C420" s="662" t="s">
        <v>1768</v>
      </c>
      <c r="D420" s="663">
        <v>4500174903</v>
      </c>
      <c r="E420" s="662"/>
      <c r="F420" s="663" t="s">
        <v>1769</v>
      </c>
      <c r="G420" s="659" t="s">
        <v>111</v>
      </c>
      <c r="H420" s="662" t="s">
        <v>112</v>
      </c>
      <c r="I420" s="662">
        <v>304</v>
      </c>
      <c r="J420" s="662">
        <v>0</v>
      </c>
      <c r="K420" s="662">
        <v>16</v>
      </c>
      <c r="L420" s="665">
        <f t="shared" si="117"/>
        <v>19</v>
      </c>
      <c r="M420" s="666">
        <v>45922</v>
      </c>
      <c r="N420" s="666">
        <v>45918</v>
      </c>
      <c r="O420" s="664"/>
      <c r="P420" s="824" t="s">
        <v>113</v>
      </c>
      <c r="Q420" s="662"/>
      <c r="R420" s="667">
        <v>45868</v>
      </c>
      <c r="S420" s="667" t="s">
        <v>70</v>
      </c>
      <c r="T420" s="667" t="s">
        <v>70</v>
      </c>
      <c r="U420" s="667"/>
      <c r="V420" s="667"/>
      <c r="W420" s="667"/>
      <c r="X420" s="661" t="s">
        <v>1770</v>
      </c>
      <c r="Y420" s="666" t="s">
        <v>217</v>
      </c>
      <c r="Z420" s="1318">
        <v>4.2878</v>
      </c>
      <c r="AA420" s="634">
        <f t="shared" si="127"/>
        <v>1303.4912</v>
      </c>
      <c r="AC420" s="638" t="s">
        <v>1771</v>
      </c>
      <c r="AD420" s="633" t="s">
        <v>111</v>
      </c>
      <c r="AE420" s="662" t="s">
        <v>82</v>
      </c>
      <c r="AF420" s="662"/>
      <c r="AG420" s="662"/>
      <c r="AH420" s="662"/>
      <c r="AI420" s="664">
        <v>304</v>
      </c>
      <c r="AJ420" s="664">
        <f t="shared" si="128"/>
        <v>0</v>
      </c>
      <c r="AK420" s="662"/>
      <c r="AL420" s="662"/>
      <c r="AM420" s="662"/>
      <c r="AN420" s="663">
        <f t="shared" si="130"/>
        <v>304</v>
      </c>
      <c r="AO420" s="663"/>
      <c r="AP420" s="663"/>
      <c r="AQ420" s="663"/>
      <c r="AR420" s="663">
        <f>I420</f>
        <v>304</v>
      </c>
      <c r="AS420" s="663"/>
      <c r="AT420" s="663"/>
      <c r="AU420" s="825">
        <f>I420</f>
        <v>304</v>
      </c>
      <c r="AV420" s="825"/>
      <c r="AW420" s="663">
        <f t="shared" si="129"/>
        <v>304</v>
      </c>
      <c r="AX420" s="663"/>
      <c r="AY420" s="663"/>
      <c r="AZ420" s="663"/>
      <c r="BA420" s="663"/>
      <c r="BB420" s="663"/>
      <c r="BC420" s="663"/>
      <c r="BD420" s="663"/>
      <c r="BE420" s="663"/>
      <c r="BF420" s="663"/>
      <c r="BG420" s="663"/>
      <c r="BH420" s="825">
        <f>I420/4</f>
        <v>76</v>
      </c>
      <c r="BI420" s="663"/>
      <c r="BJ420" s="663"/>
      <c r="BK420" s="663"/>
      <c r="BL420" s="663"/>
      <c r="BM420" s="663"/>
      <c r="BN420" s="663"/>
      <c r="BO420" s="663"/>
      <c r="BP420" s="663"/>
      <c r="BQ420" s="663"/>
    </row>
    <row r="421" s="1265" customFormat="1" ht="31" customHeight="1" spans="1:99">
      <c r="A421" s="660">
        <v>45863</v>
      </c>
      <c r="B421" s="661" t="s">
        <v>1772</v>
      </c>
      <c r="C421" s="662" t="s">
        <v>278</v>
      </c>
      <c r="D421" s="663">
        <v>4500175085</v>
      </c>
      <c r="E421" s="662" t="s">
        <v>1773</v>
      </c>
      <c r="F421" s="663" t="s">
        <v>1774</v>
      </c>
      <c r="G421" s="246" t="s">
        <v>280</v>
      </c>
      <c r="H421" s="662" t="s">
        <v>281</v>
      </c>
      <c r="I421" s="662">
        <v>512</v>
      </c>
      <c r="J421" s="662">
        <v>4</v>
      </c>
      <c r="K421" s="662">
        <v>16</v>
      </c>
      <c r="L421" s="665">
        <f t="shared" si="117"/>
        <v>32</v>
      </c>
      <c r="M421" s="666">
        <v>45922</v>
      </c>
      <c r="N421" s="666">
        <v>45918</v>
      </c>
      <c r="O421" s="664"/>
      <c r="P421" s="824" t="s">
        <v>113</v>
      </c>
      <c r="Q421" s="667" t="s">
        <v>1775</v>
      </c>
      <c r="R421" s="667">
        <v>45894</v>
      </c>
      <c r="S421" s="667" t="s">
        <v>70</v>
      </c>
      <c r="T421" s="667" t="s">
        <v>70</v>
      </c>
      <c r="U421" s="667"/>
      <c r="V421" s="667"/>
      <c r="W421" s="661"/>
      <c r="X421" s="661" t="s">
        <v>1776</v>
      </c>
      <c r="Y421" s="634" t="s">
        <v>299</v>
      </c>
      <c r="Z421" s="662">
        <v>4.3217</v>
      </c>
      <c r="AA421" s="634">
        <f t="shared" si="127"/>
        <v>2212.7104</v>
      </c>
      <c r="AC421" s="638" t="s">
        <v>1777</v>
      </c>
      <c r="AD421" s="633" t="s">
        <v>280</v>
      </c>
      <c r="AE421" s="662" t="s">
        <v>82</v>
      </c>
      <c r="AF421" s="662"/>
      <c r="AG421" s="662"/>
      <c r="AH421" s="662"/>
      <c r="AI421" s="662">
        <v>512</v>
      </c>
      <c r="AJ421" s="664">
        <f t="shared" si="128"/>
        <v>0</v>
      </c>
      <c r="AK421" s="662"/>
      <c r="AL421" s="662"/>
      <c r="AM421" s="663"/>
      <c r="AN421" s="663">
        <v>512</v>
      </c>
      <c r="AO421" s="1265"/>
      <c r="AP421" s="1265"/>
      <c r="AQ421" s="1265"/>
      <c r="AR421" s="663">
        <f>I421</f>
        <v>512</v>
      </c>
      <c r="AS421" s="663"/>
      <c r="AT421" s="663"/>
      <c r="AU421" s="825">
        <f>I421</f>
        <v>512</v>
      </c>
      <c r="AV421" s="825"/>
      <c r="AW421" s="663">
        <f t="shared" si="129"/>
        <v>512</v>
      </c>
      <c r="AX421" s="663"/>
      <c r="AY421" s="1265"/>
      <c r="AZ421" s="1265"/>
      <c r="BA421" s="1265"/>
      <c r="BB421" s="1265"/>
      <c r="BC421" s="1265"/>
      <c r="BD421" s="548"/>
      <c r="BE421" s="548"/>
      <c r="BF421" s="1265"/>
      <c r="BG421" s="1265"/>
      <c r="BH421" s="825">
        <f>I421/4</f>
        <v>128</v>
      </c>
      <c r="BI421" s="548"/>
      <c r="BJ421" s="1265"/>
      <c r="BK421" s="1265"/>
      <c r="BL421" s="1265"/>
      <c r="BM421" s="548"/>
      <c r="BN421" s="548"/>
      <c r="BO421" s="1265"/>
      <c r="BP421" s="1265"/>
      <c r="BQ421" s="663"/>
      <c r="BR421" s="1265"/>
      <c r="BS421" s="1265"/>
      <c r="BT421" s="1265"/>
      <c r="BU421" s="1265"/>
      <c r="BV421" s="1265"/>
      <c r="BW421" s="1265"/>
      <c r="BX421" s="1265"/>
      <c r="BY421" s="1265"/>
      <c r="BZ421" s="1265"/>
      <c r="CA421" s="1265"/>
      <c r="CB421" s="1265"/>
      <c r="CC421" s="1265"/>
      <c r="CD421" s="1265"/>
      <c r="CE421" s="1265"/>
      <c r="CF421" s="1265"/>
      <c r="CG421" s="1265"/>
      <c r="CH421" s="669"/>
      <c r="CI421" s="669"/>
      <c r="CJ421" s="669"/>
      <c r="CK421" s="669"/>
      <c r="CL421" s="669"/>
      <c r="CM421" s="1265"/>
      <c r="CN421" s="1265"/>
      <c r="CO421" s="1265"/>
      <c r="CP421" s="669"/>
      <c r="CQ421" s="669"/>
      <c r="CR421" s="669"/>
      <c r="CS421" s="669"/>
      <c r="CT421" s="669"/>
      <c r="CU421" s="669"/>
    </row>
    <row r="422" s="1265" customFormat="1" ht="31" customHeight="1" spans="1:99">
      <c r="A422" s="660">
        <v>45880</v>
      </c>
      <c r="B422" s="661" t="s">
        <v>379</v>
      </c>
      <c r="C422" s="662" t="s">
        <v>98</v>
      </c>
      <c r="D422" s="663">
        <v>4500176521</v>
      </c>
      <c r="E422" s="662" t="s">
        <v>1778</v>
      </c>
      <c r="F422" s="663" t="s">
        <v>1779</v>
      </c>
      <c r="G422" s="659" t="s">
        <v>111</v>
      </c>
      <c r="H422" s="662" t="s">
        <v>112</v>
      </c>
      <c r="I422" s="662">
        <v>1808</v>
      </c>
      <c r="J422" s="662">
        <v>0</v>
      </c>
      <c r="K422" s="662">
        <v>16</v>
      </c>
      <c r="L422" s="665">
        <f t="shared" si="117"/>
        <v>113</v>
      </c>
      <c r="M422" s="666">
        <v>45922</v>
      </c>
      <c r="N422" s="666">
        <v>45918</v>
      </c>
      <c r="O422" s="664"/>
      <c r="P422" s="824" t="s">
        <v>113</v>
      </c>
      <c r="Q422" s="662"/>
      <c r="R422" s="667">
        <v>45888</v>
      </c>
      <c r="S422" s="667" t="s">
        <v>70</v>
      </c>
      <c r="T422" s="667" t="s">
        <v>70</v>
      </c>
      <c r="U422" s="667"/>
      <c r="V422" s="667"/>
      <c r="W422" s="667"/>
      <c r="X422" s="661" t="s">
        <v>1780</v>
      </c>
      <c r="Y422" s="666" t="s">
        <v>1781</v>
      </c>
      <c r="Z422" s="1318">
        <v>2.5525</v>
      </c>
      <c r="AA422" s="634">
        <f t="shared" si="127"/>
        <v>4614.92</v>
      </c>
      <c r="AC422" s="638" t="s">
        <v>1782</v>
      </c>
      <c r="AD422" s="633" t="s">
        <v>111</v>
      </c>
      <c r="AE422" s="662" t="s">
        <v>82</v>
      </c>
      <c r="AF422" s="662"/>
      <c r="AG422" s="662"/>
      <c r="AH422" s="662"/>
      <c r="AI422" s="664">
        <v>1808</v>
      </c>
      <c r="AJ422" s="664">
        <f t="shared" si="128"/>
        <v>0</v>
      </c>
      <c r="AK422" s="662"/>
      <c r="AL422" s="662"/>
      <c r="AM422" s="662"/>
      <c r="AN422" s="663">
        <f>I422</f>
        <v>1808</v>
      </c>
      <c r="AO422" s="663"/>
      <c r="AP422" s="663"/>
      <c r="AQ422" s="663"/>
      <c r="AR422" s="663">
        <f>I422</f>
        <v>1808</v>
      </c>
      <c r="AS422" s="663"/>
      <c r="AT422" s="663"/>
      <c r="AU422" s="825">
        <f>I422</f>
        <v>1808</v>
      </c>
      <c r="AV422" s="825"/>
      <c r="AW422" s="663">
        <f t="shared" si="129"/>
        <v>1808</v>
      </c>
      <c r="AX422" s="663"/>
      <c r="AY422" s="663"/>
      <c r="AZ422" s="663"/>
      <c r="BA422" s="663"/>
      <c r="BB422" s="663"/>
      <c r="BC422" s="663"/>
      <c r="BD422" s="663"/>
      <c r="BE422" s="663"/>
      <c r="BF422" s="663"/>
      <c r="BG422" s="663"/>
      <c r="BH422" s="825">
        <f>I422/4</f>
        <v>452</v>
      </c>
      <c r="BI422" s="663"/>
      <c r="BJ422" s="663"/>
      <c r="BK422" s="663"/>
      <c r="BL422" s="663"/>
      <c r="BM422" s="663"/>
      <c r="BN422" s="663"/>
      <c r="BO422" s="663"/>
      <c r="BP422" s="663"/>
      <c r="BQ422" s="663"/>
    </row>
    <row r="423" s="1265" customFormat="1" ht="31" customHeight="1" spans="1:99">
      <c r="A423" s="660">
        <v>45883</v>
      </c>
      <c r="B423" s="661" t="s">
        <v>935</v>
      </c>
      <c r="C423" s="662" t="s">
        <v>302</v>
      </c>
      <c r="D423" s="663">
        <v>4500176964</v>
      </c>
      <c r="E423" s="662">
        <v>4400503841</v>
      </c>
      <c r="F423" s="663" t="s">
        <v>1783</v>
      </c>
      <c r="G423" s="659" t="s">
        <v>164</v>
      </c>
      <c r="H423" s="662" t="s">
        <v>112</v>
      </c>
      <c r="I423" s="662">
        <v>1400</v>
      </c>
      <c r="J423" s="662">
        <v>0</v>
      </c>
      <c r="K423" s="662">
        <v>8</v>
      </c>
      <c r="L423" s="665">
        <f t="shared" si="117"/>
        <v>175</v>
      </c>
      <c r="M423" s="666">
        <v>45924</v>
      </c>
      <c r="N423" s="666">
        <v>45920</v>
      </c>
      <c r="O423" s="664"/>
      <c r="P423" s="824" t="s">
        <v>113</v>
      </c>
      <c r="Q423" s="662"/>
      <c r="R423" s="667">
        <v>45883</v>
      </c>
      <c r="S423" s="667" t="s">
        <v>70</v>
      </c>
      <c r="T423" s="667" t="s">
        <v>165</v>
      </c>
      <c r="U423" s="667"/>
      <c r="V423" s="667"/>
      <c r="W423" s="667"/>
      <c r="X423" s="661" t="s">
        <v>1784</v>
      </c>
      <c r="Y423" s="666" t="s">
        <v>1549</v>
      </c>
      <c r="Z423" s="1318">
        <v>4.2227</v>
      </c>
      <c r="AA423" s="634">
        <f t="shared" si="127"/>
        <v>5911.78</v>
      </c>
      <c r="AC423" s="638" t="s">
        <v>1785</v>
      </c>
      <c r="AD423" s="633" t="s">
        <v>164</v>
      </c>
      <c r="AE423" s="662" t="s">
        <v>82</v>
      </c>
      <c r="AF423" s="662"/>
      <c r="AG423" s="662"/>
      <c r="AH423" s="662"/>
      <c r="AI423" s="664">
        <v>1400</v>
      </c>
      <c r="AJ423" s="664">
        <f t="shared" si="128"/>
        <v>0</v>
      </c>
      <c r="AK423" s="662"/>
      <c r="AL423" s="662"/>
      <c r="AM423" s="662"/>
      <c r="AN423" s="663">
        <f>I423</f>
        <v>1400</v>
      </c>
      <c r="AV423" s="825"/>
      <c r="AW423" s="663">
        <f t="shared" si="129"/>
        <v>1400</v>
      </c>
      <c r="BD423" s="663">
        <f>I423</f>
        <v>1400</v>
      </c>
      <c r="BE423" s="663">
        <f>I423</f>
        <v>1400</v>
      </c>
      <c r="BH423" s="548"/>
      <c r="BI423" s="825">
        <f>I423/4</f>
        <v>350</v>
      </c>
      <c r="BM423" s="548"/>
      <c r="BN423" s="548"/>
      <c r="BO423" s="1265"/>
      <c r="BP423" s="1265"/>
      <c r="BQ423" s="663"/>
    </row>
    <row r="424" s="1265" customFormat="1" ht="31" customHeight="1" spans="1:99">
      <c r="A424" s="660">
        <v>45869</v>
      </c>
      <c r="B424" s="661" t="s">
        <v>325</v>
      </c>
      <c r="C424" s="662" t="s">
        <v>98</v>
      </c>
      <c r="D424" s="663">
        <v>4500175702</v>
      </c>
      <c r="E424" s="662" t="s">
        <v>1786</v>
      </c>
      <c r="F424" s="663" t="s">
        <v>1787</v>
      </c>
      <c r="G424" s="659" t="s">
        <v>249</v>
      </c>
      <c r="H424" s="662" t="s">
        <v>250</v>
      </c>
      <c r="I424" s="662">
        <v>20000</v>
      </c>
      <c r="J424" s="662">
        <v>0</v>
      </c>
      <c r="K424" s="662">
        <v>4</v>
      </c>
      <c r="L424" s="665">
        <f t="shared" si="117"/>
        <v>5000</v>
      </c>
      <c r="M424" s="666">
        <v>45918</v>
      </c>
      <c r="N424" s="666">
        <v>45915</v>
      </c>
      <c r="O424" s="664"/>
      <c r="P424" s="824" t="s">
        <v>113</v>
      </c>
      <c r="Q424" s="662"/>
      <c r="R424" s="667">
        <v>45888</v>
      </c>
      <c r="S424" s="667" t="s">
        <v>104</v>
      </c>
      <c r="T424" s="667">
        <v>46267</v>
      </c>
      <c r="U424" s="667"/>
      <c r="V424" s="667" t="s">
        <v>1609</v>
      </c>
      <c r="W424" s="667"/>
      <c r="X424" s="661" t="s">
        <v>1664</v>
      </c>
      <c r="Y424" s="666" t="s">
        <v>252</v>
      </c>
      <c r="Z424" s="1318">
        <v>2.7734</v>
      </c>
      <c r="AA424" s="634">
        <f t="shared" si="127"/>
        <v>55468</v>
      </c>
      <c r="AC424" s="638" t="s">
        <v>1788</v>
      </c>
      <c r="AD424" s="633" t="s">
        <v>249</v>
      </c>
      <c r="AE424" s="662" t="s">
        <v>82</v>
      </c>
      <c r="AF424" s="662"/>
      <c r="AG424" s="662"/>
      <c r="AH424" s="662"/>
      <c r="AI424" s="664">
        <f>9360+10640</f>
        <v>20000</v>
      </c>
      <c r="AJ424" s="664">
        <f t="shared" si="128"/>
        <v>0</v>
      </c>
      <c r="AK424" s="662"/>
      <c r="AL424" s="662"/>
      <c r="AM424" s="662"/>
      <c r="AN424" s="1265"/>
      <c r="AO424" s="1265"/>
      <c r="AP424" s="663">
        <f>I424</f>
        <v>20000</v>
      </c>
      <c r="AV424" s="825"/>
      <c r="AW424" s="663">
        <f t="shared" si="129"/>
        <v>20000</v>
      </c>
      <c r="BD424" s="548"/>
      <c r="BE424" s="548"/>
      <c r="BF424" s="663">
        <f>I424</f>
        <v>20000</v>
      </c>
      <c r="BG424" s="663">
        <f>I424</f>
        <v>20000</v>
      </c>
      <c r="BH424" s="825">
        <f>I424/4</f>
        <v>5000</v>
      </c>
      <c r="BI424" s="548"/>
      <c r="BJ424" s="1265"/>
      <c r="BK424" s="1265"/>
      <c r="BL424" s="1265"/>
      <c r="BM424" s="548"/>
      <c r="BN424" s="548"/>
      <c r="BO424" s="1265"/>
      <c r="BP424" s="1265"/>
      <c r="BQ424" s="663"/>
    </row>
    <row r="425" s="1265" customFormat="1" ht="31" customHeight="1" spans="1:99">
      <c r="A425" s="660">
        <v>45861</v>
      </c>
      <c r="B425" s="661" t="s">
        <v>211</v>
      </c>
      <c r="C425" s="662" t="s">
        <v>212</v>
      </c>
      <c r="D425" s="663">
        <v>4500174818</v>
      </c>
      <c r="E425" s="662" t="s">
        <v>1789</v>
      </c>
      <c r="F425" s="663" t="s">
        <v>1790</v>
      </c>
      <c r="G425" s="659" t="s">
        <v>518</v>
      </c>
      <c r="H425" s="662" t="s">
        <v>477</v>
      </c>
      <c r="I425" s="662">
        <v>300</v>
      </c>
      <c r="J425" s="662">
        <v>0</v>
      </c>
      <c r="K425" s="662">
        <v>6</v>
      </c>
      <c r="L425" s="665">
        <f t="shared" si="117"/>
        <v>50</v>
      </c>
      <c r="M425" s="666">
        <v>45919</v>
      </c>
      <c r="N425" s="666">
        <f>M425-4</f>
        <v>45915</v>
      </c>
      <c r="O425" s="664"/>
      <c r="P425" s="824" t="s">
        <v>113</v>
      </c>
      <c r="Q425" s="662"/>
      <c r="R425" s="667">
        <v>45862</v>
      </c>
      <c r="S425" s="667" t="s">
        <v>70</v>
      </c>
      <c r="T425" s="667" t="s">
        <v>1791</v>
      </c>
      <c r="U425" s="667"/>
      <c r="V425" s="667" t="s">
        <v>215</v>
      </c>
      <c r="W425" s="667"/>
      <c r="X425" s="661" t="s">
        <v>1792</v>
      </c>
      <c r="Y425" s="666" t="s">
        <v>1793</v>
      </c>
      <c r="Z425" s="1318">
        <v>7.0456</v>
      </c>
      <c r="AA425" s="634">
        <f t="shared" si="127"/>
        <v>2113.68</v>
      </c>
      <c r="AC425" s="676" t="s">
        <v>1794</v>
      </c>
      <c r="AD425" s="633" t="s">
        <v>1306</v>
      </c>
      <c r="AE425" s="662" t="s">
        <v>82</v>
      </c>
      <c r="AF425" s="662"/>
      <c r="AG425" s="662"/>
      <c r="AH425" s="662"/>
      <c r="AI425" s="664">
        <f>282+18</f>
        <v>300</v>
      </c>
      <c r="AJ425" s="664">
        <f t="shared" si="128"/>
        <v>0</v>
      </c>
      <c r="AK425" s="662"/>
      <c r="AL425" s="662"/>
      <c r="AM425" s="662"/>
      <c r="AN425" s="663">
        <f t="shared" ref="AN425:AN430" si="131">I425</f>
        <v>300</v>
      </c>
      <c r="AR425" s="663">
        <f t="shared" ref="AR425:AR430" si="132">I425</f>
        <v>300</v>
      </c>
      <c r="AU425" s="825">
        <f t="shared" ref="AU425:AU430" si="133">I425</f>
        <v>300</v>
      </c>
      <c r="AV425" s="825"/>
      <c r="AW425" s="663">
        <f t="shared" si="129"/>
        <v>300</v>
      </c>
      <c r="BD425" s="548"/>
      <c r="BE425" s="548"/>
      <c r="BF425" s="1265"/>
      <c r="BG425" s="1265"/>
      <c r="BH425" s="548"/>
      <c r="BI425" s="548"/>
      <c r="BJ425" s="1265"/>
      <c r="BK425" s="1265"/>
      <c r="BL425" s="1265"/>
      <c r="BM425" s="548"/>
      <c r="BN425" s="663">
        <f>I425</f>
        <v>300</v>
      </c>
      <c r="BQ425" s="663"/>
    </row>
    <row r="426" s="1265" customFormat="1" ht="31" customHeight="1" spans="1:99">
      <c r="A426" s="660">
        <v>45847</v>
      </c>
      <c r="B426" s="661" t="s">
        <v>1795</v>
      </c>
      <c r="C426" s="662" t="s">
        <v>847</v>
      </c>
      <c r="D426" s="663">
        <v>4500173189</v>
      </c>
      <c r="E426" s="662"/>
      <c r="F426" s="663" t="s">
        <v>1796</v>
      </c>
      <c r="G426" s="659" t="s">
        <v>101</v>
      </c>
      <c r="H426" s="662" t="s">
        <v>102</v>
      </c>
      <c r="I426" s="662">
        <v>8336</v>
      </c>
      <c r="J426" s="662">
        <v>0</v>
      </c>
      <c r="K426" s="662">
        <v>4</v>
      </c>
      <c r="L426" s="665">
        <f t="shared" si="117"/>
        <v>2084</v>
      </c>
      <c r="M426" s="666">
        <v>45923</v>
      </c>
      <c r="N426" s="666">
        <v>45919</v>
      </c>
      <c r="O426" s="664"/>
      <c r="P426" s="824" t="s">
        <v>113</v>
      </c>
      <c r="Q426" s="662"/>
      <c r="R426" s="667">
        <v>45847</v>
      </c>
      <c r="S426" s="667" t="s">
        <v>70</v>
      </c>
      <c r="T426" s="667" t="s">
        <v>1797</v>
      </c>
      <c r="U426" s="667"/>
      <c r="V426" s="667"/>
      <c r="W426" s="667"/>
      <c r="X426" s="661" t="s">
        <v>1798</v>
      </c>
      <c r="Y426" s="666" t="s">
        <v>615</v>
      </c>
      <c r="Z426" s="1318">
        <v>4.276</v>
      </c>
      <c r="AA426" s="634">
        <f t="shared" si="127"/>
        <v>35644.736</v>
      </c>
      <c r="AC426" s="638" t="s">
        <v>1799</v>
      </c>
      <c r="AD426" s="633" t="s">
        <v>101</v>
      </c>
      <c r="AE426" s="662" t="s">
        <v>82</v>
      </c>
      <c r="AF426" s="662"/>
      <c r="AG426" s="662"/>
      <c r="AH426" s="662"/>
      <c r="AI426" s="664">
        <f>2576+5760</f>
        <v>8336</v>
      </c>
      <c r="AJ426" s="664">
        <f t="shared" si="128"/>
        <v>0</v>
      </c>
      <c r="AK426" s="662"/>
      <c r="AL426" s="662"/>
      <c r="AM426" s="662"/>
      <c r="AN426" s="663">
        <f t="shared" si="131"/>
        <v>8336</v>
      </c>
      <c r="AR426" s="663">
        <f t="shared" si="132"/>
        <v>8336</v>
      </c>
      <c r="AU426" s="825">
        <f t="shared" si="133"/>
        <v>8336</v>
      </c>
      <c r="AV426" s="825"/>
      <c r="AW426" s="663">
        <f t="shared" si="129"/>
        <v>8336</v>
      </c>
      <c r="BD426" s="548"/>
      <c r="BE426" s="548"/>
      <c r="BF426" s="1265"/>
      <c r="BG426" s="1265"/>
      <c r="BH426" s="825">
        <f>I426/4</f>
        <v>2084</v>
      </c>
      <c r="BI426" s="548"/>
      <c r="BJ426" s="1265"/>
      <c r="BK426" s="1265"/>
      <c r="BL426" s="1265"/>
      <c r="BM426" s="548"/>
      <c r="BN426" s="548"/>
      <c r="BO426" s="1265"/>
      <c r="BP426" s="1265"/>
      <c r="BQ426" s="663"/>
    </row>
    <row r="427" s="1265" customFormat="1" ht="31" customHeight="1" spans="1:99">
      <c r="A427" s="660">
        <v>45862</v>
      </c>
      <c r="B427" s="661" t="s">
        <v>1800</v>
      </c>
      <c r="C427" s="662" t="s">
        <v>744</v>
      </c>
      <c r="D427" s="663">
        <v>4500174847</v>
      </c>
      <c r="E427" s="662" t="s">
        <v>1801</v>
      </c>
      <c r="F427" s="663" t="s">
        <v>1802</v>
      </c>
      <c r="G427" s="659" t="s">
        <v>130</v>
      </c>
      <c r="H427" s="662" t="s">
        <v>131</v>
      </c>
      <c r="I427" s="662">
        <v>1368</v>
      </c>
      <c r="J427" s="662">
        <v>0</v>
      </c>
      <c r="K427" s="662">
        <v>6</v>
      </c>
      <c r="L427" s="665">
        <f t="shared" si="117"/>
        <v>228</v>
      </c>
      <c r="M427" s="666">
        <v>45925</v>
      </c>
      <c r="N427" s="666">
        <v>45922</v>
      </c>
      <c r="O427" s="664"/>
      <c r="P427" s="824" t="s">
        <v>113</v>
      </c>
      <c r="Q427" s="662"/>
      <c r="R427" s="667">
        <v>45862</v>
      </c>
      <c r="S427" s="829" t="s">
        <v>104</v>
      </c>
      <c r="T427" s="667" t="s">
        <v>1803</v>
      </c>
      <c r="U427" s="667"/>
      <c r="V427" s="667"/>
      <c r="W427" s="667"/>
      <c r="X427" s="661" t="s">
        <v>1804</v>
      </c>
      <c r="Y427" s="666" t="s">
        <v>1805</v>
      </c>
      <c r="Z427" s="1318">
        <v>4.1576</v>
      </c>
      <c r="AA427" s="634">
        <f t="shared" si="127"/>
        <v>5687.5968</v>
      </c>
      <c r="AC427" s="638" t="s">
        <v>1806</v>
      </c>
      <c r="AD427" s="633" t="s">
        <v>130</v>
      </c>
      <c r="AE427" s="662" t="s">
        <v>82</v>
      </c>
      <c r="AF427" s="662"/>
      <c r="AG427" s="662"/>
      <c r="AH427" s="662"/>
      <c r="AI427" s="664">
        <v>1368</v>
      </c>
      <c r="AJ427" s="664">
        <f t="shared" si="128"/>
        <v>0</v>
      </c>
      <c r="AK427" s="662"/>
      <c r="AL427" s="662"/>
      <c r="AM427" s="662"/>
      <c r="AN427" s="663">
        <f t="shared" si="131"/>
        <v>1368</v>
      </c>
      <c r="AR427" s="663">
        <f t="shared" si="132"/>
        <v>1368</v>
      </c>
      <c r="AU427" s="825"/>
      <c r="AV427" s="687">
        <f>I427</f>
        <v>1368</v>
      </c>
      <c r="AX427" s="834">
        <f>I427</f>
        <v>1368</v>
      </c>
      <c r="BD427" s="548"/>
      <c r="BE427" s="548"/>
      <c r="BF427" s="1265"/>
      <c r="BG427" s="1265"/>
      <c r="BH427" s="548"/>
      <c r="BI427" s="548"/>
      <c r="BJ427" s="1265"/>
      <c r="BK427" s="1265"/>
      <c r="BL427" s="1265"/>
      <c r="BM427" s="548"/>
      <c r="BN427" s="548"/>
      <c r="BO427" s="1265"/>
      <c r="BP427" s="1265"/>
      <c r="BQ427" s="663"/>
    </row>
    <row r="428" s="1265" customFormat="1" ht="31" customHeight="1" spans="1:99">
      <c r="A428" s="660">
        <v>45862</v>
      </c>
      <c r="B428" s="661" t="s">
        <v>1800</v>
      </c>
      <c r="C428" s="662" t="s">
        <v>744</v>
      </c>
      <c r="D428" s="663">
        <v>4500174847</v>
      </c>
      <c r="E428" s="662" t="s">
        <v>1801</v>
      </c>
      <c r="F428" s="663" t="s">
        <v>1807</v>
      </c>
      <c r="G428" s="659" t="s">
        <v>130</v>
      </c>
      <c r="H428" s="662" t="s">
        <v>131</v>
      </c>
      <c r="I428" s="662">
        <v>240</v>
      </c>
      <c r="J428" s="662">
        <v>0</v>
      </c>
      <c r="K428" s="662">
        <v>6</v>
      </c>
      <c r="L428" s="665">
        <f t="shared" si="117"/>
        <v>40</v>
      </c>
      <c r="M428" s="666">
        <v>45925</v>
      </c>
      <c r="N428" s="666">
        <v>45922</v>
      </c>
      <c r="O428" s="664"/>
      <c r="P428" s="824" t="s">
        <v>113</v>
      </c>
      <c r="Q428" s="662"/>
      <c r="R428" s="667">
        <v>45862</v>
      </c>
      <c r="S428" s="829" t="s">
        <v>104</v>
      </c>
      <c r="T428" s="667" t="s">
        <v>1803</v>
      </c>
      <c r="U428" s="667"/>
      <c r="V428" s="667"/>
      <c r="W428" s="667"/>
      <c r="X428" s="661" t="s">
        <v>1804</v>
      </c>
      <c r="Y428" s="666" t="s">
        <v>1805</v>
      </c>
      <c r="Z428" s="1318">
        <v>4.1576</v>
      </c>
      <c r="AA428" s="634">
        <f t="shared" si="127"/>
        <v>997.824</v>
      </c>
      <c r="AC428" s="638" t="s">
        <v>1806</v>
      </c>
      <c r="AD428" s="633" t="s">
        <v>130</v>
      </c>
      <c r="AE428" s="662" t="s">
        <v>82</v>
      </c>
      <c r="AF428" s="662"/>
      <c r="AG428" s="662"/>
      <c r="AH428" s="662"/>
      <c r="AI428" s="664">
        <v>240</v>
      </c>
      <c r="AJ428" s="664">
        <f t="shared" si="128"/>
        <v>0</v>
      </c>
      <c r="AK428" s="662"/>
      <c r="AL428" s="662"/>
      <c r="AM428" s="662"/>
      <c r="AN428" s="663">
        <f t="shared" si="131"/>
        <v>240</v>
      </c>
      <c r="AR428" s="663">
        <f t="shared" si="132"/>
        <v>240</v>
      </c>
      <c r="AU428" s="825"/>
      <c r="AV428" s="687">
        <f>I428</f>
        <v>240</v>
      </c>
      <c r="AX428" s="834">
        <f>I428</f>
        <v>240</v>
      </c>
      <c r="BD428" s="548"/>
      <c r="BE428" s="548"/>
      <c r="BF428" s="1265"/>
      <c r="BG428" s="1265"/>
      <c r="BH428" s="548"/>
      <c r="BI428" s="548"/>
      <c r="BJ428" s="1265"/>
      <c r="BK428" s="1265"/>
      <c r="BL428" s="1265"/>
      <c r="BM428" s="548"/>
      <c r="BN428" s="548"/>
      <c r="BO428" s="1265"/>
      <c r="BP428" s="1265"/>
      <c r="BQ428" s="663"/>
    </row>
    <row r="429" s="1265" customFormat="1" ht="31" customHeight="1" spans="1:99">
      <c r="A429" s="660">
        <v>45877</v>
      </c>
      <c r="B429" s="661" t="s">
        <v>143</v>
      </c>
      <c r="C429" s="662" t="s">
        <v>98</v>
      </c>
      <c r="D429" s="663">
        <v>4500176397</v>
      </c>
      <c r="E429" s="1414" t="s">
        <v>1808</v>
      </c>
      <c r="F429" s="663" t="s">
        <v>1809</v>
      </c>
      <c r="G429" s="659" t="s">
        <v>101</v>
      </c>
      <c r="H429" s="662" t="s">
        <v>102</v>
      </c>
      <c r="I429" s="662">
        <v>544</v>
      </c>
      <c r="J429" s="662">
        <v>0</v>
      </c>
      <c r="K429" s="662">
        <v>4</v>
      </c>
      <c r="L429" s="665">
        <f t="shared" si="117"/>
        <v>136</v>
      </c>
      <c r="M429" s="666">
        <v>45925</v>
      </c>
      <c r="N429" s="666">
        <v>45922</v>
      </c>
      <c r="O429" s="664" t="s">
        <v>1810</v>
      </c>
      <c r="P429" s="824" t="s">
        <v>113</v>
      </c>
      <c r="Q429" s="662"/>
      <c r="R429" s="667" t="s">
        <v>147</v>
      </c>
      <c r="S429" s="667" t="s">
        <v>70</v>
      </c>
      <c r="T429" s="667" t="s">
        <v>1741</v>
      </c>
      <c r="U429" s="667"/>
      <c r="V429" s="667" t="s">
        <v>148</v>
      </c>
      <c r="W429" s="667"/>
      <c r="X429" s="661" t="s">
        <v>1395</v>
      </c>
      <c r="Y429" s="666" t="s">
        <v>106</v>
      </c>
      <c r="Z429" s="1318">
        <v>2.58</v>
      </c>
      <c r="AA429" s="634">
        <f t="shared" si="127"/>
        <v>1403.52</v>
      </c>
      <c r="AC429" s="638" t="s">
        <v>1811</v>
      </c>
      <c r="AD429" s="633" t="s">
        <v>101</v>
      </c>
      <c r="AE429" s="662" t="s">
        <v>82</v>
      </c>
      <c r="AF429" s="662"/>
      <c r="AG429" s="662"/>
      <c r="AH429" s="662"/>
      <c r="AI429" s="664">
        <v>544</v>
      </c>
      <c r="AJ429" s="664">
        <f t="shared" si="128"/>
        <v>0</v>
      </c>
      <c r="AK429" s="662"/>
      <c r="AL429" s="662"/>
      <c r="AM429" s="662"/>
      <c r="AN429" s="663">
        <f t="shared" si="131"/>
        <v>544</v>
      </c>
      <c r="AR429" s="663">
        <f t="shared" si="132"/>
        <v>544</v>
      </c>
      <c r="AU429" s="825">
        <f t="shared" si="133"/>
        <v>544</v>
      </c>
      <c r="AV429" s="825"/>
      <c r="AW429" s="663">
        <f t="shared" ref="AW429:AW444" si="134">I429</f>
        <v>544</v>
      </c>
      <c r="BD429" s="548"/>
      <c r="BE429" s="548"/>
      <c r="BF429" s="1265"/>
      <c r="BG429" s="1265"/>
      <c r="BH429" s="825">
        <f>I429/4</f>
        <v>136</v>
      </c>
      <c r="BI429" s="548"/>
      <c r="BJ429" s="1265"/>
      <c r="BK429" s="1265"/>
      <c r="BL429" s="1265"/>
      <c r="BM429" s="548"/>
      <c r="BN429" s="548"/>
      <c r="BO429" s="1265"/>
      <c r="BP429" s="1265"/>
      <c r="BQ429" s="663"/>
    </row>
    <row r="430" s="1265" customFormat="1" ht="31" customHeight="1" spans="1:99">
      <c r="A430" s="660">
        <v>45877</v>
      </c>
      <c r="B430" s="661" t="s">
        <v>143</v>
      </c>
      <c r="C430" s="662" t="s">
        <v>98</v>
      </c>
      <c r="D430" s="663">
        <v>4500176397</v>
      </c>
      <c r="E430" s="1414" t="s">
        <v>1812</v>
      </c>
      <c r="F430" s="663" t="s">
        <v>1813</v>
      </c>
      <c r="G430" s="659" t="s">
        <v>101</v>
      </c>
      <c r="H430" s="662" t="s">
        <v>102</v>
      </c>
      <c r="I430" s="662">
        <v>760</v>
      </c>
      <c r="J430" s="662">
        <v>0</v>
      </c>
      <c r="K430" s="662">
        <v>4</v>
      </c>
      <c r="L430" s="665">
        <f t="shared" si="117"/>
        <v>190</v>
      </c>
      <c r="M430" s="666">
        <v>45925</v>
      </c>
      <c r="N430" s="666">
        <v>45922</v>
      </c>
      <c r="O430" s="664" t="s">
        <v>1810</v>
      </c>
      <c r="P430" s="824" t="s">
        <v>113</v>
      </c>
      <c r="Q430" s="662"/>
      <c r="R430" s="667" t="s">
        <v>147</v>
      </c>
      <c r="S430" s="667" t="s">
        <v>70</v>
      </c>
      <c r="T430" s="667" t="s">
        <v>1741</v>
      </c>
      <c r="U430" s="667"/>
      <c r="V430" s="667" t="s">
        <v>148</v>
      </c>
      <c r="W430" s="667"/>
      <c r="X430" s="661" t="s">
        <v>1395</v>
      </c>
      <c r="Y430" s="666" t="s">
        <v>106</v>
      </c>
      <c r="Z430" s="1318">
        <v>2.58</v>
      </c>
      <c r="AA430" s="634">
        <f t="shared" si="127"/>
        <v>1960.8</v>
      </c>
      <c r="AC430" s="638" t="s">
        <v>1814</v>
      </c>
      <c r="AD430" s="633" t="s">
        <v>101</v>
      </c>
      <c r="AE430" s="662" t="s">
        <v>82</v>
      </c>
      <c r="AF430" s="662"/>
      <c r="AG430" s="662"/>
      <c r="AH430" s="662"/>
      <c r="AI430" s="664">
        <v>760</v>
      </c>
      <c r="AJ430" s="664">
        <f t="shared" si="128"/>
        <v>0</v>
      </c>
      <c r="AK430" s="662"/>
      <c r="AL430" s="662"/>
      <c r="AM430" s="662"/>
      <c r="AN430" s="663">
        <f t="shared" si="131"/>
        <v>760</v>
      </c>
      <c r="AR430" s="663">
        <f t="shared" si="132"/>
        <v>760</v>
      </c>
      <c r="AU430" s="825">
        <f t="shared" si="133"/>
        <v>760</v>
      </c>
      <c r="AV430" s="825"/>
      <c r="AW430" s="663">
        <f t="shared" si="134"/>
        <v>760</v>
      </c>
      <c r="BD430" s="548"/>
      <c r="BE430" s="548"/>
      <c r="BF430" s="1265"/>
      <c r="BG430" s="1265"/>
      <c r="BH430" s="825">
        <f>I430/4</f>
        <v>190</v>
      </c>
      <c r="BI430" s="548"/>
      <c r="BJ430" s="1265"/>
      <c r="BK430" s="1265"/>
      <c r="BL430" s="1265"/>
      <c r="BM430" s="548"/>
      <c r="BN430" s="548"/>
      <c r="BO430" s="1265"/>
      <c r="BP430" s="1265"/>
      <c r="BQ430" s="663"/>
    </row>
    <row r="431" s="1265" customFormat="1" ht="31" customHeight="1" spans="1:99">
      <c r="A431" s="660">
        <v>45880</v>
      </c>
      <c r="B431" s="661" t="s">
        <v>325</v>
      </c>
      <c r="C431" s="662" t="s">
        <v>98</v>
      </c>
      <c r="D431" s="663">
        <v>4500176563</v>
      </c>
      <c r="E431" s="662" t="s">
        <v>1815</v>
      </c>
      <c r="F431" s="663" t="s">
        <v>1816</v>
      </c>
      <c r="G431" s="659" t="s">
        <v>249</v>
      </c>
      <c r="H431" s="662" t="s">
        <v>250</v>
      </c>
      <c r="I431" s="662">
        <v>3000</v>
      </c>
      <c r="J431" s="662">
        <v>0</v>
      </c>
      <c r="K431" s="662">
        <v>4</v>
      </c>
      <c r="L431" s="665">
        <f t="shared" si="117"/>
        <v>750</v>
      </c>
      <c r="M431" s="666">
        <v>45925</v>
      </c>
      <c r="N431" s="666">
        <v>45922</v>
      </c>
      <c r="O431" s="664"/>
      <c r="P431" s="824" t="s">
        <v>113</v>
      </c>
      <c r="Q431" s="662"/>
      <c r="R431" s="667">
        <v>45894</v>
      </c>
      <c r="S431" s="667" t="s">
        <v>104</v>
      </c>
      <c r="T431" s="667">
        <v>45915</v>
      </c>
      <c r="U431" s="667"/>
      <c r="V431" s="667" t="s">
        <v>1609</v>
      </c>
      <c r="W431" s="667"/>
      <c r="X431" s="661" t="s">
        <v>1664</v>
      </c>
      <c r="Y431" s="666" t="s">
        <v>252</v>
      </c>
      <c r="Z431" s="1318">
        <v>2.8063</v>
      </c>
      <c r="AA431" s="634">
        <f t="shared" si="127"/>
        <v>8418.9</v>
      </c>
      <c r="AC431" s="638" t="s">
        <v>1817</v>
      </c>
      <c r="AD431" s="633" t="s">
        <v>249</v>
      </c>
      <c r="AE431" s="662" t="s">
        <v>82</v>
      </c>
      <c r="AF431" s="662"/>
      <c r="AG431" s="662"/>
      <c r="AH431" s="662"/>
      <c r="AI431" s="664">
        <v>3000</v>
      </c>
      <c r="AJ431" s="664">
        <f t="shared" si="128"/>
        <v>0</v>
      </c>
      <c r="AK431" s="662"/>
      <c r="AL431" s="662"/>
      <c r="AM431" s="662"/>
      <c r="AN431" s="1265"/>
      <c r="AO431" s="1265"/>
      <c r="AP431" s="663">
        <f>I431</f>
        <v>3000</v>
      </c>
      <c r="AV431" s="825"/>
      <c r="AW431" s="663">
        <f t="shared" si="134"/>
        <v>3000</v>
      </c>
      <c r="BD431" s="548"/>
      <c r="BE431" s="548"/>
      <c r="BF431" s="663">
        <f>I431</f>
        <v>3000</v>
      </c>
      <c r="BG431" s="663">
        <f>I431</f>
        <v>3000</v>
      </c>
      <c r="BH431" s="825">
        <f>I431/4</f>
        <v>750</v>
      </c>
      <c r="BI431" s="548"/>
      <c r="BJ431" s="1265"/>
      <c r="BK431" s="1265"/>
      <c r="BL431" s="1265"/>
      <c r="BM431" s="548"/>
      <c r="BN431" s="548"/>
      <c r="BO431" s="1265"/>
      <c r="BP431" s="1265"/>
      <c r="BQ431" s="663"/>
    </row>
    <row r="432" s="1265" customFormat="1" ht="31" customHeight="1" spans="1:99">
      <c r="A432" s="660">
        <v>45881</v>
      </c>
      <c r="B432" s="661" t="s">
        <v>1728</v>
      </c>
      <c r="C432" s="662" t="s">
        <v>154</v>
      </c>
      <c r="D432" s="663">
        <v>4500176746</v>
      </c>
      <c r="E432" s="662">
        <v>4400502983</v>
      </c>
      <c r="F432" s="663" t="s">
        <v>1818</v>
      </c>
      <c r="G432" s="659" t="s">
        <v>164</v>
      </c>
      <c r="H432" s="662" t="s">
        <v>112</v>
      </c>
      <c r="I432" s="662">
        <v>5984</v>
      </c>
      <c r="J432" s="662">
        <v>0</v>
      </c>
      <c r="K432" s="662">
        <v>8</v>
      </c>
      <c r="L432" s="665">
        <f t="shared" si="117"/>
        <v>748</v>
      </c>
      <c r="M432" s="666">
        <v>45925</v>
      </c>
      <c r="N432" s="666">
        <v>45922</v>
      </c>
      <c r="O432" s="664"/>
      <c r="P432" s="824" t="s">
        <v>113</v>
      </c>
      <c r="Q432" s="662"/>
      <c r="R432" s="667">
        <v>45881</v>
      </c>
      <c r="S432" s="667" t="s">
        <v>70</v>
      </c>
      <c r="T432" s="667" t="s">
        <v>1730</v>
      </c>
      <c r="U432" s="667"/>
      <c r="V432" s="667"/>
      <c r="W432" s="667"/>
      <c r="X432" s="661" t="s">
        <v>1819</v>
      </c>
      <c r="Y432" s="666" t="s">
        <v>1549</v>
      </c>
      <c r="Z432" s="1318">
        <v>4.2475</v>
      </c>
      <c r="AA432" s="634">
        <f t="shared" si="127"/>
        <v>25417.04</v>
      </c>
      <c r="AC432" s="638" t="s">
        <v>1820</v>
      </c>
      <c r="AD432" s="633" t="s">
        <v>164</v>
      </c>
      <c r="AE432" s="662" t="s">
        <v>82</v>
      </c>
      <c r="AF432" s="662"/>
      <c r="AG432" s="662"/>
      <c r="AH432" s="662"/>
      <c r="AI432" s="664">
        <f>5856+128</f>
        <v>5984</v>
      </c>
      <c r="AJ432" s="664">
        <f t="shared" si="128"/>
        <v>0</v>
      </c>
      <c r="AK432" s="662"/>
      <c r="AL432" s="662"/>
      <c r="AM432" s="662"/>
      <c r="AN432" s="663">
        <f>I432</f>
        <v>5984</v>
      </c>
      <c r="AV432" s="825"/>
      <c r="AW432" s="663">
        <f t="shared" si="134"/>
        <v>5984</v>
      </c>
      <c r="BD432" s="663">
        <f>I432</f>
        <v>5984</v>
      </c>
      <c r="BE432" s="663">
        <f>I432</f>
        <v>5984</v>
      </c>
      <c r="BH432" s="548"/>
      <c r="BI432" s="825">
        <f>I432/4</f>
        <v>1496</v>
      </c>
      <c r="BM432" s="548"/>
      <c r="BN432" s="548"/>
      <c r="BO432" s="1265"/>
      <c r="BP432" s="1265"/>
      <c r="BQ432" s="663"/>
    </row>
    <row r="433" s="1265" customFormat="1" ht="31" customHeight="1" spans="1:69">
      <c r="A433" s="660">
        <v>45889</v>
      </c>
      <c r="B433" s="661" t="s">
        <v>143</v>
      </c>
      <c r="C433" s="662" t="s">
        <v>98</v>
      </c>
      <c r="D433" s="663">
        <v>4500177448</v>
      </c>
      <c r="E433" s="1414" t="s">
        <v>1821</v>
      </c>
      <c r="F433" s="663" t="s">
        <v>1822</v>
      </c>
      <c r="G433" s="659" t="s">
        <v>101</v>
      </c>
      <c r="H433" s="662" t="s">
        <v>102</v>
      </c>
      <c r="I433" s="662">
        <v>1772</v>
      </c>
      <c r="J433" s="662">
        <v>0</v>
      </c>
      <c r="K433" s="662">
        <v>4</v>
      </c>
      <c r="L433" s="665">
        <f t="shared" si="117"/>
        <v>443</v>
      </c>
      <c r="M433" s="666">
        <v>45925</v>
      </c>
      <c r="N433" s="666">
        <v>45922</v>
      </c>
      <c r="O433" s="664" t="s">
        <v>1823</v>
      </c>
      <c r="P433" s="824" t="s">
        <v>113</v>
      </c>
      <c r="Q433" s="662" t="s">
        <v>1824</v>
      </c>
      <c r="R433" s="667" t="s">
        <v>147</v>
      </c>
      <c r="S433" s="667" t="s">
        <v>70</v>
      </c>
      <c r="T433" s="667" t="s">
        <v>1825</v>
      </c>
      <c r="U433" s="667"/>
      <c r="V433" s="667" t="s">
        <v>148</v>
      </c>
      <c r="W433" s="667"/>
      <c r="X433" s="661" t="s">
        <v>1395</v>
      </c>
      <c r="Y433" s="666" t="s">
        <v>106</v>
      </c>
      <c r="Z433" s="1318">
        <v>2.58</v>
      </c>
      <c r="AA433" s="634">
        <f t="shared" si="127"/>
        <v>4571.76</v>
      </c>
      <c r="AC433" s="638" t="s">
        <v>1826</v>
      </c>
      <c r="AD433" s="633" t="s">
        <v>101</v>
      </c>
      <c r="AE433" s="662" t="s">
        <v>82</v>
      </c>
      <c r="AF433" s="662"/>
      <c r="AG433" s="662"/>
      <c r="AH433" s="662"/>
      <c r="AI433" s="664">
        <v>1772</v>
      </c>
      <c r="AJ433" s="664">
        <f t="shared" si="128"/>
        <v>0</v>
      </c>
      <c r="AK433" s="662"/>
      <c r="AL433" s="662"/>
      <c r="AM433" s="662"/>
      <c r="AN433" s="663">
        <f>I433</f>
        <v>1772</v>
      </c>
      <c r="AR433" s="663">
        <f>I433</f>
        <v>1772</v>
      </c>
      <c r="AU433" s="825">
        <f>I433</f>
        <v>1772</v>
      </c>
      <c r="AV433" s="825"/>
      <c r="AW433" s="663">
        <f t="shared" si="134"/>
        <v>1772</v>
      </c>
      <c r="BD433" s="548"/>
      <c r="BE433" s="548"/>
      <c r="BF433" s="1265"/>
      <c r="BG433" s="1265"/>
      <c r="BH433" s="825">
        <f>I433/4</f>
        <v>443</v>
      </c>
      <c r="BI433" s="548"/>
      <c r="BJ433" s="1265"/>
      <c r="BK433" s="1265"/>
      <c r="BL433" s="1265"/>
      <c r="BM433" s="548"/>
      <c r="BN433" s="548"/>
      <c r="BO433" s="1265"/>
      <c r="BP433" s="1265"/>
      <c r="BQ433" s="663"/>
    </row>
    <row r="434" s="1265" customFormat="1" ht="31" customHeight="1" spans="1:69">
      <c r="A434" s="660">
        <v>45889</v>
      </c>
      <c r="B434" s="661" t="s">
        <v>143</v>
      </c>
      <c r="C434" s="662" t="s">
        <v>98</v>
      </c>
      <c r="D434" s="663">
        <v>4500177448</v>
      </c>
      <c r="E434" s="1414" t="s">
        <v>1827</v>
      </c>
      <c r="F434" s="663" t="s">
        <v>1828</v>
      </c>
      <c r="G434" s="659" t="s">
        <v>101</v>
      </c>
      <c r="H434" s="662" t="s">
        <v>102</v>
      </c>
      <c r="I434" s="662">
        <v>1184</v>
      </c>
      <c r="J434" s="662">
        <v>0</v>
      </c>
      <c r="K434" s="662">
        <v>4</v>
      </c>
      <c r="L434" s="665">
        <f t="shared" si="117"/>
        <v>296</v>
      </c>
      <c r="M434" s="666">
        <v>45925</v>
      </c>
      <c r="N434" s="666">
        <v>45922</v>
      </c>
      <c r="O434" s="664" t="s">
        <v>1823</v>
      </c>
      <c r="P434" s="824" t="s">
        <v>113</v>
      </c>
      <c r="Q434" s="662" t="s">
        <v>1824</v>
      </c>
      <c r="R434" s="667" t="s">
        <v>147</v>
      </c>
      <c r="S434" s="667" t="s">
        <v>70</v>
      </c>
      <c r="T434" s="667" t="s">
        <v>1825</v>
      </c>
      <c r="U434" s="667"/>
      <c r="V434" s="667" t="s">
        <v>148</v>
      </c>
      <c r="W434" s="667"/>
      <c r="X434" s="661" t="s">
        <v>1395</v>
      </c>
      <c r="Y434" s="666" t="s">
        <v>106</v>
      </c>
      <c r="Z434" s="1318">
        <v>2.58</v>
      </c>
      <c r="AA434" s="634">
        <f t="shared" si="127"/>
        <v>3054.72</v>
      </c>
      <c r="AC434" s="638" t="s">
        <v>1829</v>
      </c>
      <c r="AD434" s="633" t="s">
        <v>101</v>
      </c>
      <c r="AE434" s="662" t="s">
        <v>82</v>
      </c>
      <c r="AF434" s="662"/>
      <c r="AG434" s="662"/>
      <c r="AH434" s="662"/>
      <c r="AI434" s="664">
        <v>1184</v>
      </c>
      <c r="AJ434" s="664">
        <f t="shared" si="128"/>
        <v>0</v>
      </c>
      <c r="AK434" s="662"/>
      <c r="AL434" s="662"/>
      <c r="AM434" s="662"/>
      <c r="AN434" s="663">
        <f>I434</f>
        <v>1184</v>
      </c>
      <c r="AR434" s="663">
        <f>I434</f>
        <v>1184</v>
      </c>
      <c r="AU434" s="825">
        <f>I434</f>
        <v>1184</v>
      </c>
      <c r="AV434" s="825"/>
      <c r="AW434" s="663">
        <f t="shared" si="134"/>
        <v>1184</v>
      </c>
      <c r="BD434" s="548"/>
      <c r="BE434" s="548"/>
      <c r="BF434" s="1265"/>
      <c r="BG434" s="1265"/>
      <c r="BH434" s="825">
        <f>I434/4</f>
        <v>296</v>
      </c>
      <c r="BI434" s="548"/>
      <c r="BJ434" s="1265"/>
      <c r="BK434" s="1265"/>
      <c r="BL434" s="1265"/>
      <c r="BM434" s="548"/>
      <c r="BN434" s="548"/>
      <c r="BO434" s="1265"/>
      <c r="BP434" s="1265"/>
      <c r="BQ434" s="663"/>
    </row>
    <row r="435" s="1265" customFormat="1" ht="31" customHeight="1" spans="1:69">
      <c r="A435" s="660">
        <v>45887</v>
      </c>
      <c r="B435" s="661" t="s">
        <v>325</v>
      </c>
      <c r="C435" s="662" t="s">
        <v>98</v>
      </c>
      <c r="D435" s="663">
        <v>4500177142</v>
      </c>
      <c r="E435" s="662" t="s">
        <v>1830</v>
      </c>
      <c r="F435" s="663" t="s">
        <v>1831</v>
      </c>
      <c r="G435" s="659" t="s">
        <v>249</v>
      </c>
      <c r="H435" s="662" t="s">
        <v>250</v>
      </c>
      <c r="I435" s="662">
        <v>10000</v>
      </c>
      <c r="J435" s="662">
        <v>0</v>
      </c>
      <c r="K435" s="662">
        <v>4</v>
      </c>
      <c r="L435" s="665">
        <f t="shared" si="117"/>
        <v>2500</v>
      </c>
      <c r="M435" s="666">
        <v>45925</v>
      </c>
      <c r="N435" s="666">
        <v>45922</v>
      </c>
      <c r="O435" s="664"/>
      <c r="P435" s="824" t="s">
        <v>113</v>
      </c>
      <c r="Q435" s="662"/>
      <c r="R435" s="667">
        <v>45894</v>
      </c>
      <c r="S435" s="667" t="s">
        <v>104</v>
      </c>
      <c r="T435" s="667">
        <v>45917</v>
      </c>
      <c r="U435" s="667"/>
      <c r="V435" s="667"/>
      <c r="W435" s="667"/>
      <c r="X435" s="661" t="s">
        <v>1832</v>
      </c>
      <c r="Y435" s="666" t="s">
        <v>252</v>
      </c>
      <c r="Z435" s="1318">
        <v>2.7832</v>
      </c>
      <c r="AA435" s="634">
        <f t="shared" si="127"/>
        <v>27832</v>
      </c>
      <c r="AC435" s="638" t="s">
        <v>1833</v>
      </c>
      <c r="AD435" s="633" t="s">
        <v>249</v>
      </c>
      <c r="AE435" s="662" t="s">
        <v>82</v>
      </c>
      <c r="AF435" s="662"/>
      <c r="AG435" s="662"/>
      <c r="AH435" s="662"/>
      <c r="AI435" s="664">
        <v>10000</v>
      </c>
      <c r="AJ435" s="664">
        <f t="shared" si="128"/>
        <v>0</v>
      </c>
      <c r="AK435" s="662"/>
      <c r="AL435" s="662"/>
      <c r="AM435" s="662"/>
      <c r="AN435" s="1265"/>
      <c r="AO435" s="1265"/>
      <c r="AP435" s="663">
        <f>I435</f>
        <v>10000</v>
      </c>
      <c r="AV435" s="825"/>
      <c r="AW435" s="663">
        <f t="shared" si="134"/>
        <v>10000</v>
      </c>
      <c r="BD435" s="548"/>
      <c r="BE435" s="548"/>
      <c r="BF435" s="663">
        <f>I435</f>
        <v>10000</v>
      </c>
      <c r="BG435" s="663">
        <f>I435</f>
        <v>10000</v>
      </c>
      <c r="BH435" s="825">
        <f>I435/4</f>
        <v>2500</v>
      </c>
      <c r="BI435" s="548"/>
      <c r="BJ435" s="1265"/>
      <c r="BK435" s="1265"/>
      <c r="BL435" s="1265"/>
      <c r="BM435" s="548"/>
      <c r="BN435" s="548"/>
      <c r="BO435" s="1265"/>
      <c r="BP435" s="1265"/>
      <c r="BQ435" s="663"/>
    </row>
    <row r="436" s="1265" customFormat="1" ht="31" customHeight="1" spans="1:69">
      <c r="A436" s="660">
        <v>45897</v>
      </c>
      <c r="B436" s="661" t="s">
        <v>143</v>
      </c>
      <c r="C436" s="662" t="s">
        <v>98</v>
      </c>
      <c r="D436" s="663">
        <v>4500178132</v>
      </c>
      <c r="E436" s="1414" t="s">
        <v>1834</v>
      </c>
      <c r="F436" s="663" t="s">
        <v>1835</v>
      </c>
      <c r="G436" s="659" t="s">
        <v>101</v>
      </c>
      <c r="H436" s="662" t="s">
        <v>102</v>
      </c>
      <c r="I436" s="662">
        <v>6512</v>
      </c>
      <c r="J436" s="662">
        <v>0</v>
      </c>
      <c r="K436" s="662">
        <v>4</v>
      </c>
      <c r="L436" s="665">
        <f t="shared" si="117"/>
        <v>1628</v>
      </c>
      <c r="M436" s="666">
        <v>45925</v>
      </c>
      <c r="N436" s="666">
        <v>45922</v>
      </c>
      <c r="O436" s="664" t="s">
        <v>1836</v>
      </c>
      <c r="P436" s="824" t="s">
        <v>113</v>
      </c>
      <c r="Q436" s="662" t="s">
        <v>1824</v>
      </c>
      <c r="R436" s="667" t="s">
        <v>147</v>
      </c>
      <c r="S436" s="667" t="s">
        <v>70</v>
      </c>
      <c r="T436" s="667">
        <v>45908</v>
      </c>
      <c r="U436" s="667"/>
      <c r="V436" s="667" t="s">
        <v>148</v>
      </c>
      <c r="W436" s="667"/>
      <c r="X436" s="661" t="s">
        <v>1450</v>
      </c>
      <c r="Y436" s="666" t="s">
        <v>106</v>
      </c>
      <c r="Z436" s="1318">
        <v>2.5438</v>
      </c>
      <c r="AA436" s="634">
        <f t="shared" si="127"/>
        <v>16565.2256</v>
      </c>
      <c r="AC436" s="638" t="s">
        <v>1837</v>
      </c>
      <c r="AD436" s="633" t="s">
        <v>101</v>
      </c>
      <c r="AE436" s="662" t="s">
        <v>82</v>
      </c>
      <c r="AF436" s="662"/>
      <c r="AG436" s="662"/>
      <c r="AH436" s="662"/>
      <c r="AI436" s="664">
        <v>6512</v>
      </c>
      <c r="AJ436" s="664">
        <f t="shared" si="128"/>
        <v>0</v>
      </c>
      <c r="AK436" s="662"/>
      <c r="AL436" s="662"/>
      <c r="AM436" s="662"/>
      <c r="AN436" s="663">
        <f t="shared" ref="AN436:AN444" si="135">I436</f>
        <v>6512</v>
      </c>
      <c r="AR436" s="663">
        <f>I436</f>
        <v>6512</v>
      </c>
      <c r="AU436" s="825">
        <f t="shared" ref="AU436:AU443" si="136">I436</f>
        <v>6512</v>
      </c>
      <c r="AV436" s="825"/>
      <c r="AW436" s="663">
        <f t="shared" si="134"/>
        <v>6512</v>
      </c>
      <c r="BD436" s="548"/>
      <c r="BE436" s="548"/>
      <c r="BF436" s="1265"/>
      <c r="BG436" s="1265"/>
      <c r="BH436" s="825">
        <f>I436/4</f>
        <v>1628</v>
      </c>
      <c r="BI436" s="548"/>
      <c r="BJ436" s="1265"/>
      <c r="BK436" s="1265"/>
      <c r="BL436" s="1265"/>
      <c r="BM436" s="548"/>
      <c r="BN436" s="548"/>
      <c r="BO436" s="1265"/>
      <c r="BP436" s="1265"/>
      <c r="BQ436" s="663"/>
    </row>
    <row r="437" s="1265" customFormat="1" ht="31" customHeight="1" spans="1:69">
      <c r="A437" s="660">
        <v>45855</v>
      </c>
      <c r="B437" s="661" t="s">
        <v>1838</v>
      </c>
      <c r="C437" s="662" t="s">
        <v>524</v>
      </c>
      <c r="D437" s="663">
        <v>4500174112</v>
      </c>
      <c r="E437" s="662">
        <v>24724</v>
      </c>
      <c r="F437" s="663" t="s">
        <v>1839</v>
      </c>
      <c r="G437" s="659" t="s">
        <v>68</v>
      </c>
      <c r="H437" s="633" t="s">
        <v>69</v>
      </c>
      <c r="I437" s="662">
        <v>600</v>
      </c>
      <c r="J437" s="662">
        <v>0</v>
      </c>
      <c r="K437" s="662">
        <v>12</v>
      </c>
      <c r="L437" s="665">
        <f t="shared" si="117"/>
        <v>50</v>
      </c>
      <c r="M437" s="666">
        <v>45925</v>
      </c>
      <c r="N437" s="666">
        <v>45922</v>
      </c>
      <c r="O437" s="664"/>
      <c r="P437" s="824" t="s">
        <v>113</v>
      </c>
      <c r="Q437" s="662"/>
      <c r="R437" s="667">
        <v>45901</v>
      </c>
      <c r="S437" s="667" t="s">
        <v>70</v>
      </c>
      <c r="T437" s="667">
        <v>45905</v>
      </c>
      <c r="U437" s="667"/>
      <c r="V437" s="667"/>
      <c r="W437" s="667"/>
      <c r="X437" s="661" t="s">
        <v>1840</v>
      </c>
      <c r="Y437" s="666" t="s">
        <v>340</v>
      </c>
      <c r="Z437" s="1318">
        <v>4.1018</v>
      </c>
      <c r="AA437" s="634">
        <f t="shared" si="127"/>
        <v>2461.08</v>
      </c>
      <c r="AC437" s="638" t="s">
        <v>1841</v>
      </c>
      <c r="AD437" s="633" t="s">
        <v>184</v>
      </c>
      <c r="AE437" s="662" t="s">
        <v>82</v>
      </c>
      <c r="AF437" s="662"/>
      <c r="AG437" s="662"/>
      <c r="AH437" s="662"/>
      <c r="AI437" s="664">
        <v>600</v>
      </c>
      <c r="AJ437" s="664">
        <f t="shared" si="128"/>
        <v>0</v>
      </c>
      <c r="AK437" s="662"/>
      <c r="AL437" s="662"/>
      <c r="AM437" s="662"/>
      <c r="AN437" s="663">
        <f t="shared" si="135"/>
        <v>600</v>
      </c>
      <c r="AS437" s="687">
        <f>I437</f>
        <v>600</v>
      </c>
      <c r="AT437" s="687"/>
      <c r="AU437" s="825">
        <f t="shared" si="136"/>
        <v>600</v>
      </c>
      <c r="AV437" s="825"/>
      <c r="AW437" s="663">
        <f t="shared" si="134"/>
        <v>600</v>
      </c>
      <c r="BD437" s="548"/>
      <c r="BE437" s="548"/>
      <c r="BF437" s="1265"/>
      <c r="BG437" s="1265"/>
      <c r="BH437" s="548"/>
      <c r="BI437" s="548"/>
      <c r="BJ437" s="1265"/>
      <c r="BK437" s="1265"/>
      <c r="BL437" s="1265"/>
      <c r="BM437" s="548"/>
      <c r="BN437" s="548"/>
      <c r="BO437" s="1265"/>
      <c r="BP437" s="1265"/>
      <c r="BQ437" s="663"/>
    </row>
    <row r="438" s="1265" customFormat="1" ht="31" customHeight="1" spans="1:69">
      <c r="A438" s="660">
        <v>45877</v>
      </c>
      <c r="B438" s="661" t="s">
        <v>143</v>
      </c>
      <c r="C438" s="662" t="s">
        <v>98</v>
      </c>
      <c r="D438" s="663">
        <v>4500176398</v>
      </c>
      <c r="E438" s="1414" t="s">
        <v>1842</v>
      </c>
      <c r="F438" s="663" t="s">
        <v>1843</v>
      </c>
      <c r="G438" s="659" t="s">
        <v>101</v>
      </c>
      <c r="H438" s="662" t="s">
        <v>102</v>
      </c>
      <c r="I438" s="662">
        <v>500</v>
      </c>
      <c r="J438" s="662">
        <v>0</v>
      </c>
      <c r="K438" s="662">
        <v>4</v>
      </c>
      <c r="L438" s="665">
        <f t="shared" si="117"/>
        <v>125</v>
      </c>
      <c r="M438" s="666">
        <v>45929</v>
      </c>
      <c r="N438" s="666">
        <v>45925</v>
      </c>
      <c r="O438" s="664" t="s">
        <v>1836</v>
      </c>
      <c r="P438" s="824" t="s">
        <v>113</v>
      </c>
      <c r="Q438" s="662"/>
      <c r="R438" s="667" t="s">
        <v>147</v>
      </c>
      <c r="S438" s="667" t="s">
        <v>70</v>
      </c>
      <c r="T438" s="667" t="s">
        <v>1741</v>
      </c>
      <c r="U438" s="667"/>
      <c r="V438" s="667" t="s">
        <v>148</v>
      </c>
      <c r="W438" s="667"/>
      <c r="X438" s="661" t="s">
        <v>1395</v>
      </c>
      <c r="Y438" s="666" t="s">
        <v>106</v>
      </c>
      <c r="Z438" s="1318">
        <v>2.58</v>
      </c>
      <c r="AA438" s="634">
        <f t="shared" si="127"/>
        <v>1290</v>
      </c>
      <c r="AC438" s="638" t="s">
        <v>1844</v>
      </c>
      <c r="AD438" s="633" t="s">
        <v>101</v>
      </c>
      <c r="AE438" s="662" t="s">
        <v>82</v>
      </c>
      <c r="AF438" s="662"/>
      <c r="AG438" s="662"/>
      <c r="AH438" s="662"/>
      <c r="AI438" s="664">
        <v>500</v>
      </c>
      <c r="AJ438" s="664">
        <f t="shared" si="128"/>
        <v>0</v>
      </c>
      <c r="AK438" s="662"/>
      <c r="AL438" s="662"/>
      <c r="AM438" s="662"/>
      <c r="AN438" s="663">
        <f t="shared" si="135"/>
        <v>500</v>
      </c>
      <c r="AR438" s="663">
        <f>I438</f>
        <v>500</v>
      </c>
      <c r="AU438" s="825">
        <f t="shared" si="136"/>
        <v>500</v>
      </c>
      <c r="AV438" s="825"/>
      <c r="AW438" s="663">
        <f t="shared" si="134"/>
        <v>500</v>
      </c>
      <c r="BD438" s="548"/>
      <c r="BE438" s="548"/>
      <c r="BF438" s="1265"/>
      <c r="BG438" s="1265"/>
      <c r="BH438" s="825">
        <f>I438/4</f>
        <v>125</v>
      </c>
      <c r="BI438" s="548"/>
      <c r="BJ438" s="1265"/>
      <c r="BK438" s="1265"/>
      <c r="BL438" s="1265"/>
      <c r="BM438" s="548"/>
      <c r="BN438" s="548"/>
      <c r="BO438" s="1265"/>
      <c r="BP438" s="1265"/>
      <c r="BQ438" s="663"/>
    </row>
    <row r="439" s="1265" customFormat="1" ht="31" customHeight="1" spans="1:69">
      <c r="A439" s="660">
        <v>45842</v>
      </c>
      <c r="B439" s="661" t="s">
        <v>211</v>
      </c>
      <c r="C439" s="662" t="s">
        <v>212</v>
      </c>
      <c r="D439" s="663">
        <v>4500172714</v>
      </c>
      <c r="E439" s="662" t="s">
        <v>1845</v>
      </c>
      <c r="F439" s="663" t="s">
        <v>1846</v>
      </c>
      <c r="G439" s="659" t="s">
        <v>111</v>
      </c>
      <c r="H439" s="662" t="s">
        <v>112</v>
      </c>
      <c r="I439" s="662">
        <v>368</v>
      </c>
      <c r="J439" s="662">
        <v>0</v>
      </c>
      <c r="K439" s="662">
        <v>16</v>
      </c>
      <c r="L439" s="665">
        <f t="shared" si="117"/>
        <v>23</v>
      </c>
      <c r="M439" s="666">
        <v>45922</v>
      </c>
      <c r="N439" s="666">
        <v>45918</v>
      </c>
      <c r="O439" s="664"/>
      <c r="P439" s="824" t="s">
        <v>113</v>
      </c>
      <c r="Q439" s="662"/>
      <c r="R439" s="667">
        <v>45842</v>
      </c>
      <c r="S439" s="667" t="s">
        <v>70</v>
      </c>
      <c r="T439" s="667" t="s">
        <v>1847</v>
      </c>
      <c r="U439" s="667"/>
      <c r="V439" s="667" t="s">
        <v>1848</v>
      </c>
      <c r="W439" s="667"/>
      <c r="X439" s="661" t="s">
        <v>1849</v>
      </c>
      <c r="Y439" s="666" t="s">
        <v>1793</v>
      </c>
      <c r="Z439" s="1318">
        <v>4.2114</v>
      </c>
      <c r="AA439" s="634">
        <f t="shared" si="127"/>
        <v>1549.7952</v>
      </c>
      <c r="AC439" s="638" t="s">
        <v>1850</v>
      </c>
      <c r="AD439" s="633" t="s">
        <v>111</v>
      </c>
      <c r="AE439" s="662" t="s">
        <v>82</v>
      </c>
      <c r="AF439" s="662"/>
      <c r="AG439" s="662"/>
      <c r="AH439" s="662"/>
      <c r="AI439" s="664">
        <v>368</v>
      </c>
      <c r="AJ439" s="664">
        <f t="shared" si="128"/>
        <v>0</v>
      </c>
      <c r="AK439" s="662"/>
      <c r="AL439" s="662"/>
      <c r="AM439" s="662"/>
      <c r="AN439" s="663">
        <f t="shared" si="135"/>
        <v>368</v>
      </c>
      <c r="AR439" s="663">
        <f>I439</f>
        <v>368</v>
      </c>
      <c r="AU439" s="825">
        <f t="shared" si="136"/>
        <v>368</v>
      </c>
      <c r="AV439" s="825"/>
      <c r="AW439" s="663">
        <f t="shared" si="134"/>
        <v>368</v>
      </c>
      <c r="BD439" s="548"/>
      <c r="BE439" s="548"/>
      <c r="BF439" s="1265"/>
      <c r="BG439" s="1265"/>
      <c r="BH439" s="825">
        <f>I439/4</f>
        <v>92</v>
      </c>
      <c r="BI439" s="548"/>
      <c r="BJ439" s="1265"/>
      <c r="BK439" s="1265"/>
      <c r="BL439" s="1265"/>
      <c r="BM439" s="548"/>
      <c r="BN439" s="548"/>
      <c r="BO439" s="1265"/>
      <c r="BP439" s="1265"/>
      <c r="BQ439" s="663"/>
    </row>
    <row r="440" s="1265" customFormat="1" ht="31" customHeight="1" spans="1:69">
      <c r="A440" s="660">
        <v>45840</v>
      </c>
      <c r="B440" s="661" t="s">
        <v>139</v>
      </c>
      <c r="C440" s="662" t="s">
        <v>76</v>
      </c>
      <c r="D440" s="663">
        <v>4500172411</v>
      </c>
      <c r="E440" s="662">
        <v>20862344</v>
      </c>
      <c r="F440" s="663" t="s">
        <v>1851</v>
      </c>
      <c r="G440" s="659" t="s">
        <v>518</v>
      </c>
      <c r="H440" s="662" t="s">
        <v>477</v>
      </c>
      <c r="I440" s="662">
        <v>150</v>
      </c>
      <c r="J440" s="662">
        <v>0</v>
      </c>
      <c r="K440" s="662">
        <v>6</v>
      </c>
      <c r="L440" s="665">
        <f t="shared" si="117"/>
        <v>25</v>
      </c>
      <c r="M440" s="666">
        <v>45930</v>
      </c>
      <c r="N440" s="666">
        <v>45915</v>
      </c>
      <c r="O440" s="664"/>
      <c r="P440" s="824" t="s">
        <v>113</v>
      </c>
      <c r="Q440" s="662" t="s">
        <v>1571</v>
      </c>
      <c r="R440" s="667">
        <v>45897</v>
      </c>
      <c r="S440" s="667" t="s">
        <v>104</v>
      </c>
      <c r="T440" s="667">
        <v>45915</v>
      </c>
      <c r="U440" s="667"/>
      <c r="V440" s="667"/>
      <c r="W440" s="667"/>
      <c r="X440" s="661" t="s">
        <v>1634</v>
      </c>
      <c r="Y440" s="666" t="s">
        <v>133</v>
      </c>
      <c r="Z440" s="1318">
        <v>7.4117</v>
      </c>
      <c r="AA440" s="634">
        <f t="shared" si="127"/>
        <v>1111.755</v>
      </c>
      <c r="AC440" s="676" t="s">
        <v>1852</v>
      </c>
      <c r="AD440" s="633" t="s">
        <v>1306</v>
      </c>
      <c r="AE440" s="662" t="s">
        <v>82</v>
      </c>
      <c r="AF440" s="662"/>
      <c r="AG440" s="662"/>
      <c r="AH440" s="662"/>
      <c r="AI440" s="664">
        <v>150</v>
      </c>
      <c r="AJ440" s="664">
        <f t="shared" si="128"/>
        <v>0</v>
      </c>
      <c r="AK440" s="662"/>
      <c r="AL440" s="662"/>
      <c r="AM440" s="662"/>
      <c r="AN440" s="663">
        <f t="shared" si="135"/>
        <v>150</v>
      </c>
      <c r="AR440" s="663">
        <f>I440</f>
        <v>150</v>
      </c>
      <c r="AU440" s="825">
        <f t="shared" si="136"/>
        <v>150</v>
      </c>
      <c r="AV440" s="825"/>
      <c r="AW440" s="663">
        <f t="shared" si="134"/>
        <v>150</v>
      </c>
      <c r="BD440" s="548"/>
      <c r="BE440" s="548"/>
      <c r="BF440" s="1265"/>
      <c r="BG440" s="1265"/>
      <c r="BH440" s="548"/>
      <c r="BI440" s="548"/>
      <c r="BJ440" s="1265"/>
      <c r="BK440" s="1265"/>
      <c r="BL440" s="1265"/>
      <c r="BM440" s="548"/>
      <c r="BN440" s="663">
        <f>I440</f>
        <v>150</v>
      </c>
      <c r="BQ440" s="663"/>
    </row>
    <row r="441" s="1265" customFormat="1" ht="31" customHeight="1" spans="1:69">
      <c r="A441" s="660">
        <v>45840</v>
      </c>
      <c r="B441" s="661" t="s">
        <v>135</v>
      </c>
      <c r="C441" s="662" t="s">
        <v>128</v>
      </c>
      <c r="D441" s="663">
        <v>4500172409</v>
      </c>
      <c r="E441" s="662">
        <v>20862338</v>
      </c>
      <c r="F441" s="663" t="s">
        <v>1853</v>
      </c>
      <c r="G441" s="659" t="s">
        <v>518</v>
      </c>
      <c r="H441" s="662" t="s">
        <v>477</v>
      </c>
      <c r="I441" s="662">
        <v>1350</v>
      </c>
      <c r="J441" s="662">
        <v>0</v>
      </c>
      <c r="K441" s="662">
        <v>6</v>
      </c>
      <c r="L441" s="665">
        <f t="shared" si="117"/>
        <v>225</v>
      </c>
      <c r="M441" s="666">
        <v>45930</v>
      </c>
      <c r="N441" s="666">
        <v>45915</v>
      </c>
      <c r="O441" s="664"/>
      <c r="P441" s="824" t="s">
        <v>113</v>
      </c>
      <c r="Q441" s="662" t="s">
        <v>1571</v>
      </c>
      <c r="R441" s="667">
        <v>45897</v>
      </c>
      <c r="S441" s="667" t="s">
        <v>104</v>
      </c>
      <c r="T441" s="667">
        <v>45915</v>
      </c>
      <c r="U441" s="667"/>
      <c r="V441" s="667"/>
      <c r="W441" s="667"/>
      <c r="X441" s="661" t="s">
        <v>1854</v>
      </c>
      <c r="Y441" s="666" t="s">
        <v>133</v>
      </c>
      <c r="Z441" s="1318">
        <v>7.0815</v>
      </c>
      <c r="AA441" s="634">
        <f t="shared" si="127"/>
        <v>9560.025</v>
      </c>
      <c r="AC441" s="676" t="s">
        <v>1855</v>
      </c>
      <c r="AD441" s="633" t="s">
        <v>1306</v>
      </c>
      <c r="AE441" s="662" t="s">
        <v>82</v>
      </c>
      <c r="AF441" s="662"/>
      <c r="AG441" s="662"/>
      <c r="AH441" s="662"/>
      <c r="AI441" s="664">
        <v>1350</v>
      </c>
      <c r="AJ441" s="664">
        <f t="shared" si="128"/>
        <v>0</v>
      </c>
      <c r="AK441" s="662"/>
      <c r="AL441" s="662"/>
      <c r="AM441" s="662"/>
      <c r="AN441" s="663">
        <f t="shared" si="135"/>
        <v>1350</v>
      </c>
      <c r="AR441" s="663">
        <f>I441</f>
        <v>1350</v>
      </c>
      <c r="AU441" s="825">
        <f t="shared" si="136"/>
        <v>1350</v>
      </c>
      <c r="AV441" s="825"/>
      <c r="AW441" s="663">
        <f t="shared" si="134"/>
        <v>1350</v>
      </c>
      <c r="BD441" s="548"/>
      <c r="BE441" s="548"/>
      <c r="BF441" s="1265"/>
      <c r="BG441" s="1265"/>
      <c r="BH441" s="548"/>
      <c r="BI441" s="548"/>
      <c r="BJ441" s="1265"/>
      <c r="BK441" s="1265"/>
      <c r="BL441" s="1265"/>
      <c r="BM441" s="548"/>
      <c r="BN441" s="663">
        <f>I441</f>
        <v>1350</v>
      </c>
      <c r="BQ441" s="663"/>
    </row>
    <row r="442" s="1265" customFormat="1" ht="31" customHeight="1" spans="1:69">
      <c r="A442" s="660">
        <v>45887</v>
      </c>
      <c r="B442" s="661" t="s">
        <v>1856</v>
      </c>
      <c r="C442" s="662" t="s">
        <v>1857</v>
      </c>
      <c r="D442" s="663">
        <v>4500177210</v>
      </c>
      <c r="E442" s="662" t="s">
        <v>1858</v>
      </c>
      <c r="F442" s="663" t="s">
        <v>1859</v>
      </c>
      <c r="G442" s="659" t="s">
        <v>68</v>
      </c>
      <c r="H442" s="633" t="s">
        <v>69</v>
      </c>
      <c r="I442" s="662">
        <v>528</v>
      </c>
      <c r="J442" s="662">
        <v>0</v>
      </c>
      <c r="K442" s="662">
        <v>12</v>
      </c>
      <c r="L442" s="665">
        <f t="shared" si="117"/>
        <v>44</v>
      </c>
      <c r="M442" s="666">
        <v>45925</v>
      </c>
      <c r="N442" s="666">
        <v>45922</v>
      </c>
      <c r="O442" s="664"/>
      <c r="P442" s="824" t="s">
        <v>113</v>
      </c>
      <c r="Q442" s="662"/>
      <c r="R442" s="667">
        <v>45896</v>
      </c>
      <c r="S442" s="667" t="s">
        <v>70</v>
      </c>
      <c r="T442" s="667">
        <v>45898</v>
      </c>
      <c r="U442" s="667"/>
      <c r="V442" s="667"/>
      <c r="W442" s="667"/>
      <c r="X442" s="661" t="s">
        <v>1860</v>
      </c>
      <c r="Y442" s="666" t="s">
        <v>529</v>
      </c>
      <c r="Z442" s="1318">
        <v>4.1018</v>
      </c>
      <c r="AA442" s="634">
        <f t="shared" si="127"/>
        <v>2165.7504</v>
      </c>
      <c r="AC442" s="638" t="s">
        <v>1861</v>
      </c>
      <c r="AD442" s="633" t="s">
        <v>184</v>
      </c>
      <c r="AE442" s="662" t="s">
        <v>82</v>
      </c>
      <c r="AF442" s="662"/>
      <c r="AG442" s="662"/>
      <c r="AH442" s="662"/>
      <c r="AI442" s="664">
        <v>528</v>
      </c>
      <c r="AJ442" s="664">
        <f t="shared" si="128"/>
        <v>0</v>
      </c>
      <c r="AK442" s="662"/>
      <c r="AL442" s="662"/>
      <c r="AM442" s="662"/>
      <c r="AN442" s="663">
        <f t="shared" si="135"/>
        <v>528</v>
      </c>
      <c r="AS442" s="663">
        <f>I442</f>
        <v>528</v>
      </c>
      <c r="AT442" s="663"/>
      <c r="AU442" s="825">
        <f t="shared" si="136"/>
        <v>528</v>
      </c>
      <c r="AV442" s="825"/>
      <c r="AW442" s="663">
        <f t="shared" si="134"/>
        <v>528</v>
      </c>
      <c r="BD442" s="548"/>
      <c r="BE442" s="548"/>
      <c r="BF442" s="1265"/>
      <c r="BG442" s="1265"/>
      <c r="BH442" s="548"/>
      <c r="BI442" s="548"/>
      <c r="BJ442" s="1265"/>
      <c r="BK442" s="1265"/>
      <c r="BL442" s="1265"/>
      <c r="BM442" s="548"/>
      <c r="BN442" s="548"/>
      <c r="BO442" s="1265"/>
      <c r="BP442" s="1265"/>
      <c r="BQ442" s="663"/>
    </row>
    <row r="443" s="1265" customFormat="1" ht="31" customHeight="1" spans="1:69">
      <c r="A443" s="660">
        <v>45898</v>
      </c>
      <c r="B443" s="661" t="s">
        <v>523</v>
      </c>
      <c r="C443" s="662" t="s">
        <v>524</v>
      </c>
      <c r="D443" s="663">
        <v>4500178210</v>
      </c>
      <c r="E443" s="662"/>
      <c r="F443" s="663" t="s">
        <v>1862</v>
      </c>
      <c r="G443" s="659" t="s">
        <v>68</v>
      </c>
      <c r="H443" s="633" t="s">
        <v>69</v>
      </c>
      <c r="I443" s="662">
        <v>4800</v>
      </c>
      <c r="J443" s="662">
        <v>0</v>
      </c>
      <c r="K443" s="662">
        <v>12</v>
      </c>
      <c r="L443" s="665">
        <f t="shared" ref="L443:L506" si="137">I443/K443</f>
        <v>400</v>
      </c>
      <c r="M443" s="666">
        <v>45929</v>
      </c>
      <c r="N443" s="666">
        <v>45925</v>
      </c>
      <c r="O443" s="664"/>
      <c r="P443" s="824" t="s">
        <v>113</v>
      </c>
      <c r="Q443" s="662"/>
      <c r="R443" s="667">
        <v>45898</v>
      </c>
      <c r="S443" s="667" t="s">
        <v>70</v>
      </c>
      <c r="T443" s="667" t="s">
        <v>1863</v>
      </c>
      <c r="U443" s="667"/>
      <c r="V443" s="667" t="s">
        <v>527</v>
      </c>
      <c r="W443" s="667"/>
      <c r="X443" s="661" t="s">
        <v>1864</v>
      </c>
      <c r="Y443" s="666" t="s">
        <v>529</v>
      </c>
      <c r="Z443" s="1318">
        <v>4.1403</v>
      </c>
      <c r="AA443" s="634">
        <f t="shared" si="127"/>
        <v>19873.44</v>
      </c>
      <c r="AC443" s="638" t="s">
        <v>1865</v>
      </c>
      <c r="AD443" s="633" t="s">
        <v>184</v>
      </c>
      <c r="AE443" s="662" t="s">
        <v>82</v>
      </c>
      <c r="AF443" s="662"/>
      <c r="AG443" s="662"/>
      <c r="AH443" s="662"/>
      <c r="AI443" s="664">
        <f>3360+1416+24</f>
        <v>4800</v>
      </c>
      <c r="AJ443" s="664">
        <f t="shared" si="128"/>
        <v>0</v>
      </c>
      <c r="AK443" s="662"/>
      <c r="AL443" s="662"/>
      <c r="AM443" s="662"/>
      <c r="AN443" s="663">
        <f t="shared" si="135"/>
        <v>4800</v>
      </c>
      <c r="AS443" s="663">
        <f>I443</f>
        <v>4800</v>
      </c>
      <c r="AT443" s="663"/>
      <c r="AU443" s="825">
        <f t="shared" si="136"/>
        <v>4800</v>
      </c>
      <c r="AV443" s="825"/>
      <c r="AW443" s="663">
        <f t="shared" si="134"/>
        <v>4800</v>
      </c>
      <c r="BD443" s="548"/>
      <c r="BE443" s="548"/>
      <c r="BF443" s="1265"/>
      <c r="BG443" s="1265"/>
      <c r="BH443" s="548"/>
      <c r="BI443" s="548"/>
      <c r="BJ443" s="1265"/>
      <c r="BK443" s="1265"/>
      <c r="BL443" s="1265"/>
      <c r="BM443" s="548"/>
      <c r="BN443" s="548"/>
      <c r="BO443" s="1265"/>
      <c r="BP443" s="1265"/>
      <c r="BQ443" s="663"/>
    </row>
    <row r="444" s="1265" customFormat="1" ht="31" customHeight="1" spans="1:69">
      <c r="A444" s="660">
        <v>45882</v>
      </c>
      <c r="B444" s="661" t="s">
        <v>325</v>
      </c>
      <c r="C444" s="662" t="s">
        <v>98</v>
      </c>
      <c r="D444" s="663">
        <v>4500176828</v>
      </c>
      <c r="E444" s="662" t="s">
        <v>1866</v>
      </c>
      <c r="F444" s="663" t="s">
        <v>1867</v>
      </c>
      <c r="G444" s="659" t="s">
        <v>249</v>
      </c>
      <c r="H444" s="662" t="s">
        <v>250</v>
      </c>
      <c r="I444" s="662">
        <v>4056</v>
      </c>
      <c r="J444" s="662">
        <v>0</v>
      </c>
      <c r="K444" s="662">
        <v>4</v>
      </c>
      <c r="L444" s="665">
        <f t="shared" si="137"/>
        <v>1014</v>
      </c>
      <c r="M444" s="666">
        <v>45929</v>
      </c>
      <c r="N444" s="666">
        <v>45925</v>
      </c>
      <c r="O444" s="664"/>
      <c r="P444" s="824" t="s">
        <v>113</v>
      </c>
      <c r="Q444" s="662"/>
      <c r="R444" s="667">
        <v>45894</v>
      </c>
      <c r="S444" s="667" t="s">
        <v>104</v>
      </c>
      <c r="T444" s="667">
        <v>45903</v>
      </c>
      <c r="U444" s="667"/>
      <c r="V444" s="667" t="s">
        <v>1609</v>
      </c>
      <c r="W444" s="667"/>
      <c r="X444" s="661" t="s">
        <v>1868</v>
      </c>
      <c r="Y444" s="666" t="s">
        <v>252</v>
      </c>
      <c r="Z444" s="1318">
        <v>2.8063</v>
      </c>
      <c r="AA444" s="634">
        <f t="shared" si="127"/>
        <v>11382.3528</v>
      </c>
      <c r="AC444" s="638" t="s">
        <v>1869</v>
      </c>
      <c r="AD444" s="633" t="s">
        <v>249</v>
      </c>
      <c r="AE444" s="662" t="s">
        <v>82</v>
      </c>
      <c r="AF444" s="662"/>
      <c r="AG444" s="662"/>
      <c r="AH444" s="662"/>
      <c r="AI444" s="664">
        <v>4056</v>
      </c>
      <c r="AJ444" s="664">
        <f t="shared" si="128"/>
        <v>0</v>
      </c>
      <c r="AK444" s="662"/>
      <c r="AL444" s="662"/>
      <c r="AM444" s="662"/>
      <c r="AN444" s="1265"/>
      <c r="AO444" s="1265"/>
      <c r="AP444" s="663">
        <f>I444</f>
        <v>4056</v>
      </c>
      <c r="AV444" s="825"/>
      <c r="AW444" s="663">
        <f t="shared" si="134"/>
        <v>4056</v>
      </c>
      <c r="BD444" s="548"/>
      <c r="BE444" s="548"/>
      <c r="BF444" s="663">
        <f>I444</f>
        <v>4056</v>
      </c>
      <c r="BG444" s="663">
        <f>I444</f>
        <v>4056</v>
      </c>
      <c r="BH444" s="825">
        <f>I444/4</f>
        <v>1014</v>
      </c>
      <c r="BI444" s="548"/>
      <c r="BJ444" s="1265"/>
      <c r="BK444" s="1265"/>
      <c r="BL444" s="1265"/>
      <c r="BM444" s="548"/>
      <c r="BN444" s="548"/>
      <c r="BO444" s="1265"/>
      <c r="BP444" s="1265"/>
      <c r="BQ444" s="663"/>
    </row>
    <row r="445" s="1265" customFormat="1" ht="31" customHeight="1" spans="1:69">
      <c r="A445" s="660">
        <v>45855</v>
      </c>
      <c r="B445" s="661" t="s">
        <v>549</v>
      </c>
      <c r="C445" s="662" t="s">
        <v>278</v>
      </c>
      <c r="D445" s="663">
        <v>4500174199</v>
      </c>
      <c r="E445" s="662" t="s">
        <v>1870</v>
      </c>
      <c r="F445" s="663" t="s">
        <v>1871</v>
      </c>
      <c r="G445" s="659" t="s">
        <v>518</v>
      </c>
      <c r="H445" s="662" t="s">
        <v>477</v>
      </c>
      <c r="I445" s="662">
        <v>732</v>
      </c>
      <c r="J445" s="662">
        <v>0</v>
      </c>
      <c r="K445" s="662">
        <v>6</v>
      </c>
      <c r="L445" s="665">
        <f t="shared" si="137"/>
        <v>122</v>
      </c>
      <c r="M445" s="666">
        <v>45930</v>
      </c>
      <c r="N445" s="666">
        <v>45926</v>
      </c>
      <c r="O445" s="664"/>
      <c r="P445" s="824" t="s">
        <v>113</v>
      </c>
      <c r="Q445" s="662"/>
      <c r="R445" s="667" t="s">
        <v>463</v>
      </c>
      <c r="S445" s="667" t="s">
        <v>104</v>
      </c>
      <c r="T445" s="667" t="s">
        <v>1872</v>
      </c>
      <c r="U445" s="667"/>
      <c r="V445" s="667"/>
      <c r="W445" s="667"/>
      <c r="X445" s="661" t="s">
        <v>1873</v>
      </c>
      <c r="Y445" s="666" t="s">
        <v>466</v>
      </c>
      <c r="Z445" s="1318">
        <v>6.8326</v>
      </c>
      <c r="AA445" s="634">
        <f t="shared" ref="AA445:AA471" si="138">Z445*I445</f>
        <v>5001.4632</v>
      </c>
      <c r="AC445" s="685" t="s">
        <v>1874</v>
      </c>
      <c r="AD445" s="633" t="s">
        <v>1875</v>
      </c>
      <c r="AE445" s="662" t="s">
        <v>82</v>
      </c>
      <c r="AF445" s="662"/>
      <c r="AG445" s="662"/>
      <c r="AH445" s="662"/>
      <c r="AI445" s="664">
        <v>732</v>
      </c>
      <c r="AJ445" s="664">
        <f t="shared" si="128"/>
        <v>0</v>
      </c>
      <c r="AK445" s="662"/>
      <c r="AL445" s="662"/>
      <c r="AM445" s="662"/>
      <c r="AN445" s="663">
        <f>I445</f>
        <v>732</v>
      </c>
      <c r="AR445" s="663">
        <f>I445</f>
        <v>732</v>
      </c>
      <c r="AU445" s="825">
        <f t="shared" ref="AU445:AU457" si="139">I445</f>
        <v>732</v>
      </c>
      <c r="AV445" s="825"/>
      <c r="AW445" s="663">
        <f t="shared" ref="AW445:AW471" si="140">I445</f>
        <v>732</v>
      </c>
      <c r="BD445" s="548"/>
      <c r="BE445" s="548"/>
      <c r="BF445" s="1265"/>
      <c r="BG445" s="1265"/>
      <c r="BH445" s="548"/>
      <c r="BI445" s="548"/>
      <c r="BJ445" s="1265"/>
      <c r="BK445" s="1265"/>
      <c r="BL445" s="1265"/>
      <c r="BM445" s="548"/>
      <c r="BN445" s="663">
        <f>I445</f>
        <v>732</v>
      </c>
      <c r="BQ445" s="663"/>
    </row>
    <row r="446" s="1265" customFormat="1" ht="31" customHeight="1" spans="1:69">
      <c r="A446" s="660">
        <v>45855</v>
      </c>
      <c r="B446" s="661" t="s">
        <v>549</v>
      </c>
      <c r="C446" s="662" t="s">
        <v>154</v>
      </c>
      <c r="D446" s="663">
        <v>4500174199</v>
      </c>
      <c r="E446" s="662" t="s">
        <v>1876</v>
      </c>
      <c r="F446" s="663" t="s">
        <v>1877</v>
      </c>
      <c r="G446" s="659" t="s">
        <v>518</v>
      </c>
      <c r="H446" s="662" t="s">
        <v>477</v>
      </c>
      <c r="I446" s="662">
        <v>504</v>
      </c>
      <c r="J446" s="662">
        <v>0</v>
      </c>
      <c r="K446" s="662">
        <v>6</v>
      </c>
      <c r="L446" s="665">
        <f t="shared" si="137"/>
        <v>84</v>
      </c>
      <c r="M446" s="666">
        <v>45930</v>
      </c>
      <c r="N446" s="666">
        <v>45926</v>
      </c>
      <c r="O446" s="664"/>
      <c r="P446" s="824" t="s">
        <v>113</v>
      </c>
      <c r="Q446" s="662"/>
      <c r="R446" s="667" t="s">
        <v>463</v>
      </c>
      <c r="S446" s="667" t="s">
        <v>104</v>
      </c>
      <c r="T446" s="667" t="s">
        <v>1872</v>
      </c>
      <c r="U446" s="667"/>
      <c r="V446" s="667"/>
      <c r="W446" s="667"/>
      <c r="X446" s="661" t="s">
        <v>1873</v>
      </c>
      <c r="Y446" s="666" t="s">
        <v>466</v>
      </c>
      <c r="Z446" s="1318">
        <v>6.8326</v>
      </c>
      <c r="AA446" s="634">
        <f t="shared" si="138"/>
        <v>3443.6304</v>
      </c>
      <c r="AC446" s="685" t="s">
        <v>1874</v>
      </c>
      <c r="AD446" s="633" t="s">
        <v>1875</v>
      </c>
      <c r="AE446" s="662" t="s">
        <v>82</v>
      </c>
      <c r="AF446" s="662"/>
      <c r="AG446" s="662"/>
      <c r="AH446" s="662"/>
      <c r="AI446" s="664">
        <v>504</v>
      </c>
      <c r="AJ446" s="664">
        <f t="shared" si="128"/>
        <v>0</v>
      </c>
      <c r="AK446" s="662"/>
      <c r="AL446" s="662"/>
      <c r="AM446" s="662"/>
      <c r="AN446" s="663">
        <f t="shared" ref="AN446:AN459" si="141">I446</f>
        <v>504</v>
      </c>
      <c r="AR446" s="663">
        <f>I446</f>
        <v>504</v>
      </c>
      <c r="AU446" s="825">
        <f t="shared" si="139"/>
        <v>504</v>
      </c>
      <c r="AV446" s="825"/>
      <c r="AW446" s="663">
        <f t="shared" si="140"/>
        <v>504</v>
      </c>
      <c r="BD446" s="548"/>
      <c r="BE446" s="548"/>
      <c r="BF446" s="1265"/>
      <c r="BG446" s="1265"/>
      <c r="BH446" s="548"/>
      <c r="BI446" s="548"/>
      <c r="BJ446" s="1265"/>
      <c r="BK446" s="1265"/>
      <c r="BL446" s="1265"/>
      <c r="BM446" s="548"/>
      <c r="BN446" s="663">
        <f>I446</f>
        <v>504</v>
      </c>
      <c r="BQ446" s="663"/>
    </row>
    <row r="447" s="1265" customFormat="1" ht="31" customHeight="1" spans="1:69">
      <c r="A447" s="660">
        <v>45855</v>
      </c>
      <c r="B447" s="661" t="s">
        <v>549</v>
      </c>
      <c r="C447" s="662" t="s">
        <v>302</v>
      </c>
      <c r="D447" s="663">
        <v>4500174199</v>
      </c>
      <c r="E447" s="662" t="s">
        <v>1878</v>
      </c>
      <c r="F447" s="663" t="s">
        <v>1879</v>
      </c>
      <c r="G447" s="659" t="s">
        <v>518</v>
      </c>
      <c r="H447" s="662" t="s">
        <v>477</v>
      </c>
      <c r="I447" s="662">
        <v>504</v>
      </c>
      <c r="J447" s="662">
        <v>0</v>
      </c>
      <c r="K447" s="662">
        <v>6</v>
      </c>
      <c r="L447" s="665">
        <f t="shared" si="137"/>
        <v>84</v>
      </c>
      <c r="M447" s="666">
        <v>45930</v>
      </c>
      <c r="N447" s="666">
        <v>45926</v>
      </c>
      <c r="O447" s="664"/>
      <c r="P447" s="824" t="s">
        <v>113</v>
      </c>
      <c r="Q447" s="662"/>
      <c r="R447" s="667" t="s">
        <v>463</v>
      </c>
      <c r="S447" s="667" t="s">
        <v>104</v>
      </c>
      <c r="T447" s="667" t="s">
        <v>1872</v>
      </c>
      <c r="U447" s="667"/>
      <c r="V447" s="667"/>
      <c r="W447" s="667"/>
      <c r="X447" s="661" t="s">
        <v>1873</v>
      </c>
      <c r="Y447" s="666" t="s">
        <v>466</v>
      </c>
      <c r="Z447" s="1318">
        <v>6.8326</v>
      </c>
      <c r="AA447" s="634">
        <f t="shared" si="138"/>
        <v>3443.6304</v>
      </c>
      <c r="AC447" s="685" t="s">
        <v>1874</v>
      </c>
      <c r="AD447" s="633" t="s">
        <v>1875</v>
      </c>
      <c r="AE447" s="662" t="s">
        <v>82</v>
      </c>
      <c r="AF447" s="662"/>
      <c r="AG447" s="662"/>
      <c r="AH447" s="662"/>
      <c r="AI447" s="664">
        <v>504</v>
      </c>
      <c r="AJ447" s="664">
        <f t="shared" si="128"/>
        <v>0</v>
      </c>
      <c r="AK447" s="662"/>
      <c r="AL447" s="662"/>
      <c r="AM447" s="662"/>
      <c r="AN447" s="663">
        <f t="shared" si="141"/>
        <v>504</v>
      </c>
      <c r="AR447" s="663">
        <f>I447</f>
        <v>504</v>
      </c>
      <c r="AU447" s="825">
        <f t="shared" si="139"/>
        <v>504</v>
      </c>
      <c r="AW447" s="663">
        <f t="shared" si="140"/>
        <v>504</v>
      </c>
      <c r="BD447" s="548"/>
      <c r="BE447" s="548"/>
      <c r="BF447" s="1265"/>
      <c r="BG447" s="1265"/>
      <c r="BH447" s="548"/>
      <c r="BI447" s="548"/>
      <c r="BJ447" s="1265"/>
      <c r="BK447" s="1265"/>
      <c r="BL447" s="1265"/>
      <c r="BM447" s="548"/>
      <c r="BN447" s="663">
        <f>I447</f>
        <v>504</v>
      </c>
      <c r="BQ447" s="663"/>
    </row>
    <row r="448" s="1265" customFormat="1" ht="31" customHeight="1" spans="1:69">
      <c r="A448" s="660">
        <v>45855</v>
      </c>
      <c r="B448" s="661" t="s">
        <v>549</v>
      </c>
      <c r="C448" s="662" t="s">
        <v>278</v>
      </c>
      <c r="D448" s="663">
        <v>4500174199</v>
      </c>
      <c r="E448" s="662" t="s">
        <v>1880</v>
      </c>
      <c r="F448" s="663" t="s">
        <v>1881</v>
      </c>
      <c r="G448" s="659" t="s">
        <v>518</v>
      </c>
      <c r="H448" s="662" t="s">
        <v>477</v>
      </c>
      <c r="I448" s="662">
        <v>1056</v>
      </c>
      <c r="J448" s="662">
        <v>0</v>
      </c>
      <c r="K448" s="662">
        <v>6</v>
      </c>
      <c r="L448" s="665">
        <f t="shared" si="137"/>
        <v>176</v>
      </c>
      <c r="M448" s="666">
        <v>45930</v>
      </c>
      <c r="N448" s="666">
        <v>45926</v>
      </c>
      <c r="O448" s="664"/>
      <c r="P448" s="824" t="s">
        <v>113</v>
      </c>
      <c r="Q448" s="662"/>
      <c r="R448" s="667" t="s">
        <v>463</v>
      </c>
      <c r="S448" s="667" t="s">
        <v>104</v>
      </c>
      <c r="T448" s="667" t="s">
        <v>1872</v>
      </c>
      <c r="U448" s="667"/>
      <c r="V448" s="667"/>
      <c r="W448" s="667"/>
      <c r="X448" s="661" t="s">
        <v>1873</v>
      </c>
      <c r="Y448" s="666" t="s">
        <v>466</v>
      </c>
      <c r="Z448" s="1318">
        <v>6.8326</v>
      </c>
      <c r="AA448" s="634">
        <f t="shared" si="138"/>
        <v>7215.2256</v>
      </c>
      <c r="AC448" s="685" t="s">
        <v>1874</v>
      </c>
      <c r="AD448" s="633" t="s">
        <v>1875</v>
      </c>
      <c r="AE448" s="662" t="s">
        <v>82</v>
      </c>
      <c r="AF448" s="662"/>
      <c r="AG448" s="662"/>
      <c r="AH448" s="662"/>
      <c r="AI448" s="664">
        <v>1056</v>
      </c>
      <c r="AJ448" s="664">
        <f t="shared" si="128"/>
        <v>0</v>
      </c>
      <c r="AK448" s="662"/>
      <c r="AL448" s="662"/>
      <c r="AM448" s="662"/>
      <c r="AN448" s="663">
        <f t="shared" si="141"/>
        <v>1056</v>
      </c>
      <c r="AR448" s="663">
        <f>I448</f>
        <v>1056</v>
      </c>
      <c r="AU448" s="825">
        <f t="shared" si="139"/>
        <v>1056</v>
      </c>
      <c r="AW448" s="663">
        <f t="shared" si="140"/>
        <v>1056</v>
      </c>
      <c r="BD448" s="548"/>
      <c r="BE448" s="548"/>
      <c r="BF448" s="1265"/>
      <c r="BG448" s="1265"/>
      <c r="BH448" s="548"/>
      <c r="BI448" s="548"/>
      <c r="BJ448" s="1265"/>
      <c r="BK448" s="1265"/>
      <c r="BL448" s="1265"/>
      <c r="BM448" s="548"/>
      <c r="BN448" s="663">
        <f>I448</f>
        <v>1056</v>
      </c>
      <c r="BQ448" s="663"/>
    </row>
    <row r="449" s="1265" customFormat="1" ht="31" customHeight="1" spans="1:99">
      <c r="A449" s="660">
        <v>45855</v>
      </c>
      <c r="B449" s="661" t="s">
        <v>549</v>
      </c>
      <c r="C449" s="662" t="s">
        <v>154</v>
      </c>
      <c r="D449" s="663">
        <v>4500174199</v>
      </c>
      <c r="E449" s="662" t="s">
        <v>1882</v>
      </c>
      <c r="F449" s="663" t="s">
        <v>1883</v>
      </c>
      <c r="G449" s="659" t="s">
        <v>518</v>
      </c>
      <c r="H449" s="662" t="s">
        <v>477</v>
      </c>
      <c r="I449" s="662">
        <v>516</v>
      </c>
      <c r="J449" s="662">
        <v>0</v>
      </c>
      <c r="K449" s="662">
        <v>6</v>
      </c>
      <c r="L449" s="665">
        <f t="shared" si="137"/>
        <v>86</v>
      </c>
      <c r="M449" s="666">
        <v>45930</v>
      </c>
      <c r="N449" s="666">
        <v>45926</v>
      </c>
      <c r="O449" s="664"/>
      <c r="P449" s="824" t="s">
        <v>113</v>
      </c>
      <c r="Q449" s="662"/>
      <c r="R449" s="667" t="s">
        <v>463</v>
      </c>
      <c r="S449" s="667" t="s">
        <v>104</v>
      </c>
      <c r="T449" s="667" t="s">
        <v>1872</v>
      </c>
      <c r="U449" s="667"/>
      <c r="V449" s="667"/>
      <c r="W449" s="667"/>
      <c r="X449" s="661" t="s">
        <v>1873</v>
      </c>
      <c r="Y449" s="666" t="s">
        <v>466</v>
      </c>
      <c r="Z449" s="1318">
        <v>6.8326</v>
      </c>
      <c r="AA449" s="634">
        <f t="shared" si="138"/>
        <v>3525.6216</v>
      </c>
      <c r="AC449" s="685" t="s">
        <v>1884</v>
      </c>
      <c r="AD449" s="633" t="s">
        <v>1875</v>
      </c>
      <c r="AE449" s="662" t="s">
        <v>82</v>
      </c>
      <c r="AF449" s="662"/>
      <c r="AG449" s="662"/>
      <c r="AH449" s="662"/>
      <c r="AI449" s="664">
        <v>516</v>
      </c>
      <c r="AJ449" s="664">
        <f t="shared" si="128"/>
        <v>0</v>
      </c>
      <c r="AK449" s="662"/>
      <c r="AL449" s="662"/>
      <c r="AM449" s="662"/>
      <c r="AN449" s="663">
        <f t="shared" si="141"/>
        <v>516</v>
      </c>
      <c r="AR449" s="663">
        <f>I449</f>
        <v>516</v>
      </c>
      <c r="AU449" s="825">
        <f t="shared" si="139"/>
        <v>516</v>
      </c>
      <c r="AW449" s="663">
        <f t="shared" si="140"/>
        <v>516</v>
      </c>
      <c r="BD449" s="548"/>
      <c r="BE449" s="548"/>
      <c r="BF449" s="1265"/>
      <c r="BG449" s="1265"/>
      <c r="BH449" s="548"/>
      <c r="BI449" s="548"/>
      <c r="BJ449" s="1265"/>
      <c r="BK449" s="1265"/>
      <c r="BL449" s="1265"/>
      <c r="BM449" s="548"/>
      <c r="BN449" s="663">
        <f>I449</f>
        <v>516</v>
      </c>
      <c r="BQ449" s="663"/>
    </row>
    <row r="450" s="1265" customFormat="1" ht="31" customHeight="1" spans="1:99">
      <c r="A450" s="660">
        <v>45855</v>
      </c>
      <c r="B450" s="661" t="s">
        <v>549</v>
      </c>
      <c r="C450" s="662" t="s">
        <v>154</v>
      </c>
      <c r="D450" s="663">
        <v>4500174199</v>
      </c>
      <c r="E450" s="662" t="s">
        <v>1876</v>
      </c>
      <c r="F450" s="663" t="s">
        <v>1885</v>
      </c>
      <c r="G450" s="659" t="s">
        <v>68</v>
      </c>
      <c r="H450" s="633" t="s">
        <v>69</v>
      </c>
      <c r="I450" s="662">
        <v>816</v>
      </c>
      <c r="J450" s="662">
        <v>0</v>
      </c>
      <c r="K450" s="662">
        <v>12</v>
      </c>
      <c r="L450" s="665">
        <f t="shared" si="137"/>
        <v>68</v>
      </c>
      <c r="M450" s="666">
        <v>45930</v>
      </c>
      <c r="N450" s="666">
        <v>45926</v>
      </c>
      <c r="O450" s="664"/>
      <c r="P450" s="824" t="s">
        <v>113</v>
      </c>
      <c r="Q450" s="662"/>
      <c r="R450" s="667" t="s">
        <v>463</v>
      </c>
      <c r="S450" s="667" t="s">
        <v>104</v>
      </c>
      <c r="T450" s="667" t="s">
        <v>1886</v>
      </c>
      <c r="U450" s="667"/>
      <c r="V450" s="667"/>
      <c r="W450" s="667"/>
      <c r="X450" s="661" t="s">
        <v>1887</v>
      </c>
      <c r="Y450" s="666" t="s">
        <v>466</v>
      </c>
      <c r="Z450" s="1318">
        <v>4.1456</v>
      </c>
      <c r="AA450" s="634">
        <f t="shared" si="138"/>
        <v>3382.8096</v>
      </c>
      <c r="AC450" s="676" t="s">
        <v>1888</v>
      </c>
      <c r="AD450" s="633" t="s">
        <v>184</v>
      </c>
      <c r="AE450" s="662" t="s">
        <v>82</v>
      </c>
      <c r="AF450" s="662"/>
      <c r="AG450" s="662"/>
      <c r="AH450" s="662"/>
      <c r="AI450" s="664">
        <v>816</v>
      </c>
      <c r="AJ450" s="664">
        <f t="shared" si="128"/>
        <v>0</v>
      </c>
      <c r="AK450" s="662"/>
      <c r="AL450" s="662"/>
      <c r="AM450" s="662"/>
      <c r="AN450" s="663">
        <f t="shared" si="141"/>
        <v>816</v>
      </c>
      <c r="AS450" s="663">
        <f>I450</f>
        <v>816</v>
      </c>
      <c r="AT450" s="663"/>
      <c r="AU450" s="825">
        <f t="shared" si="139"/>
        <v>816</v>
      </c>
      <c r="AW450" s="663">
        <f t="shared" si="140"/>
        <v>816</v>
      </c>
      <c r="BD450" s="548"/>
      <c r="BE450" s="548"/>
      <c r="BF450" s="1265"/>
      <c r="BG450" s="1265"/>
      <c r="BH450" s="548"/>
      <c r="BI450" s="548"/>
      <c r="BJ450" s="1265"/>
      <c r="BK450" s="1265"/>
      <c r="BL450" s="1265"/>
      <c r="BM450" s="548"/>
      <c r="BN450" s="548"/>
      <c r="BO450" s="1265"/>
      <c r="BP450" s="1265"/>
      <c r="BQ450" s="663"/>
    </row>
    <row r="451" s="1265" customFormat="1" ht="31" customHeight="1" spans="1:99">
      <c r="A451" s="660">
        <v>45855</v>
      </c>
      <c r="B451" s="661" t="s">
        <v>549</v>
      </c>
      <c r="C451" s="662" t="s">
        <v>278</v>
      </c>
      <c r="D451" s="663">
        <v>4500174199</v>
      </c>
      <c r="E451" s="662" t="s">
        <v>1880</v>
      </c>
      <c r="F451" s="663" t="s">
        <v>1889</v>
      </c>
      <c r="G451" s="246" t="s">
        <v>68</v>
      </c>
      <c r="H451" s="633" t="s">
        <v>69</v>
      </c>
      <c r="I451" s="662">
        <v>516</v>
      </c>
      <c r="J451" s="662">
        <v>0</v>
      </c>
      <c r="K451" s="662">
        <v>12</v>
      </c>
      <c r="L451" s="665">
        <f t="shared" si="137"/>
        <v>43</v>
      </c>
      <c r="M451" s="666">
        <v>45930</v>
      </c>
      <c r="N451" s="666">
        <v>45926</v>
      </c>
      <c r="O451" s="664"/>
      <c r="P451" s="824" t="s">
        <v>113</v>
      </c>
      <c r="Q451" s="662"/>
      <c r="R451" s="667" t="s">
        <v>463</v>
      </c>
      <c r="S451" s="667" t="s">
        <v>104</v>
      </c>
      <c r="T451" s="667" t="s">
        <v>1886</v>
      </c>
      <c r="U451" s="667"/>
      <c r="V451" s="667"/>
      <c r="W451" s="667"/>
      <c r="X451" s="1321" t="s">
        <v>1887</v>
      </c>
      <c r="Y451" s="666" t="s">
        <v>466</v>
      </c>
      <c r="Z451" s="1318">
        <v>4.1456</v>
      </c>
      <c r="AA451" s="634">
        <f t="shared" si="138"/>
        <v>2139.1296</v>
      </c>
      <c r="AC451" s="685" t="s">
        <v>1884</v>
      </c>
      <c r="AD451" s="633" t="s">
        <v>184</v>
      </c>
      <c r="AE451" s="662" t="s">
        <v>82</v>
      </c>
      <c r="AF451" s="662"/>
      <c r="AG451" s="662"/>
      <c r="AH451" s="662"/>
      <c r="AI451" s="664">
        <v>516</v>
      </c>
      <c r="AJ451" s="664">
        <f t="shared" si="128"/>
        <v>0</v>
      </c>
      <c r="AK451" s="662"/>
      <c r="AL451" s="662"/>
      <c r="AM451" s="662"/>
      <c r="AN451" s="663">
        <f t="shared" si="141"/>
        <v>516</v>
      </c>
      <c r="AS451" s="663">
        <f>I451</f>
        <v>516</v>
      </c>
      <c r="AT451" s="663"/>
      <c r="AU451" s="825">
        <f t="shared" si="139"/>
        <v>516</v>
      </c>
      <c r="AW451" s="663">
        <f t="shared" si="140"/>
        <v>516</v>
      </c>
      <c r="BD451" s="548"/>
      <c r="BE451" s="548"/>
      <c r="BF451" s="1265"/>
      <c r="BG451" s="1265"/>
      <c r="BH451" s="548"/>
      <c r="BI451" s="548"/>
      <c r="BJ451" s="1265"/>
      <c r="BK451" s="1265"/>
      <c r="BL451" s="1265"/>
      <c r="BM451" s="548"/>
      <c r="BN451" s="548"/>
      <c r="BO451" s="1265"/>
      <c r="BP451" s="1265"/>
      <c r="BQ451" s="663"/>
    </row>
    <row r="452" s="1265" customFormat="1" ht="31" customHeight="1" spans="1:99">
      <c r="A452" s="660">
        <v>45894</v>
      </c>
      <c r="B452" s="661" t="s">
        <v>312</v>
      </c>
      <c r="C452" s="662" t="s">
        <v>278</v>
      </c>
      <c r="D452" s="663">
        <v>4500177765</v>
      </c>
      <c r="E452" s="662" t="s">
        <v>1890</v>
      </c>
      <c r="F452" s="663" t="s">
        <v>1891</v>
      </c>
      <c r="G452" s="246" t="s">
        <v>111</v>
      </c>
      <c r="H452" s="662" t="s">
        <v>112</v>
      </c>
      <c r="I452" s="662">
        <v>4000</v>
      </c>
      <c r="J452" s="662">
        <v>0</v>
      </c>
      <c r="K452" s="662">
        <v>16</v>
      </c>
      <c r="L452" s="665">
        <f t="shared" si="137"/>
        <v>250</v>
      </c>
      <c r="M452" s="666">
        <v>45930</v>
      </c>
      <c r="N452" s="666">
        <v>45926</v>
      </c>
      <c r="O452" s="664"/>
      <c r="P452" s="824" t="s">
        <v>113</v>
      </c>
      <c r="Q452" s="667"/>
      <c r="R452" s="667">
        <v>45898</v>
      </c>
      <c r="S452" s="667" t="s">
        <v>70</v>
      </c>
      <c r="T452" s="667" t="s">
        <v>1892</v>
      </c>
      <c r="U452" s="667"/>
      <c r="V452" s="661"/>
      <c r="W452" s="661"/>
      <c r="X452" s="661" t="s">
        <v>1893</v>
      </c>
      <c r="Y452" s="634" t="s">
        <v>1894</v>
      </c>
      <c r="Z452" s="1318">
        <v>4.2489</v>
      </c>
      <c r="AA452" s="634">
        <f t="shared" si="138"/>
        <v>16995.6</v>
      </c>
      <c r="AC452" s="676" t="s">
        <v>1895</v>
      </c>
      <c r="AD452" s="633" t="s">
        <v>111</v>
      </c>
      <c r="AE452" s="662" t="s">
        <v>82</v>
      </c>
      <c r="AF452" s="662"/>
      <c r="AG452" s="662"/>
      <c r="AH452" s="662"/>
      <c r="AI452" s="662">
        <v>4000</v>
      </c>
      <c r="AJ452" s="664">
        <f t="shared" si="128"/>
        <v>0</v>
      </c>
      <c r="AK452" s="662"/>
      <c r="AL452" s="662"/>
      <c r="AM452" s="663"/>
      <c r="AN452" s="663">
        <f t="shared" si="141"/>
        <v>4000</v>
      </c>
      <c r="AR452" s="663">
        <f>I452</f>
        <v>4000</v>
      </c>
      <c r="AS452" s="663"/>
      <c r="AT452" s="663"/>
      <c r="AU452" s="825">
        <f t="shared" si="139"/>
        <v>4000</v>
      </c>
      <c r="AW452" s="663">
        <f t="shared" si="140"/>
        <v>4000</v>
      </c>
      <c r="AX452" s="663"/>
      <c r="AY452" s="1265"/>
      <c r="AZ452" s="1265"/>
      <c r="BA452" s="1265"/>
      <c r="BB452" s="1265"/>
      <c r="BC452" s="1265"/>
      <c r="BD452" s="663"/>
      <c r="BE452" s="663"/>
      <c r="BF452" s="1265"/>
      <c r="BG452" s="1265"/>
      <c r="BH452" s="825">
        <f>I452/4</f>
        <v>1000</v>
      </c>
      <c r="BI452" s="663"/>
      <c r="BJ452" s="1265"/>
      <c r="BK452" s="1265"/>
      <c r="BL452" s="1265"/>
      <c r="BM452" s="548"/>
      <c r="BN452" s="548"/>
      <c r="BO452" s="1265"/>
      <c r="BP452" s="1265"/>
      <c r="BQ452" s="663"/>
      <c r="BR452" s="1265"/>
      <c r="BS452" s="1265"/>
      <c r="BT452" s="1265"/>
      <c r="BU452" s="1265"/>
      <c r="BV452" s="1265"/>
      <c r="BW452" s="1265"/>
      <c r="BX452" s="1265"/>
      <c r="BY452" s="1265"/>
      <c r="BZ452" s="1265"/>
      <c r="CA452" s="1265"/>
      <c r="CB452" s="1265"/>
      <c r="CC452" s="1265"/>
      <c r="CD452" s="1265"/>
      <c r="CE452" s="1265"/>
      <c r="CF452" s="1265"/>
      <c r="CG452" s="1265"/>
      <c r="CH452" s="669"/>
      <c r="CI452" s="669"/>
      <c r="CJ452" s="669"/>
      <c r="CK452" s="669"/>
      <c r="CL452" s="669"/>
      <c r="CM452" s="1265"/>
      <c r="CN452" s="1265"/>
      <c r="CO452" s="1265"/>
      <c r="CP452" s="669"/>
      <c r="CQ452" s="669"/>
      <c r="CR452" s="669"/>
      <c r="CS452" s="669"/>
      <c r="CT452" s="669"/>
      <c r="CU452" s="669"/>
    </row>
    <row r="453" s="1265" customFormat="1" ht="31" customHeight="1" spans="1:99">
      <c r="A453" s="660">
        <v>45897</v>
      </c>
      <c r="B453" s="661" t="s">
        <v>1896</v>
      </c>
      <c r="C453" s="662" t="s">
        <v>399</v>
      </c>
      <c r="D453" s="663">
        <v>4500178109</v>
      </c>
      <c r="E453" s="662"/>
      <c r="F453" s="663" t="s">
        <v>1897</v>
      </c>
      <c r="G453" s="246" t="s">
        <v>68</v>
      </c>
      <c r="H453" s="633" t="s">
        <v>69</v>
      </c>
      <c r="I453" s="662">
        <v>432</v>
      </c>
      <c r="J453" s="662">
        <v>0</v>
      </c>
      <c r="K453" s="662">
        <v>12</v>
      </c>
      <c r="L453" s="665">
        <f t="shared" si="137"/>
        <v>36</v>
      </c>
      <c r="M453" s="666">
        <v>45930</v>
      </c>
      <c r="N453" s="666">
        <v>45926</v>
      </c>
      <c r="O453" s="664"/>
      <c r="P453" s="824" t="s">
        <v>113</v>
      </c>
      <c r="Q453" s="667"/>
      <c r="R453" s="667">
        <v>45898</v>
      </c>
      <c r="S453" s="667" t="s">
        <v>70</v>
      </c>
      <c r="T453" s="667">
        <v>45903</v>
      </c>
      <c r="U453" s="667"/>
      <c r="V453" s="661"/>
      <c r="W453" s="661"/>
      <c r="X453" s="661" t="s">
        <v>1898</v>
      </c>
      <c r="Y453" s="634" t="s">
        <v>445</v>
      </c>
      <c r="Z453" s="1318">
        <v>4.1456</v>
      </c>
      <c r="AA453" s="634">
        <f t="shared" si="138"/>
        <v>1790.8992</v>
      </c>
      <c r="AC453" s="676" t="s">
        <v>1899</v>
      </c>
      <c r="AD453" s="633" t="s">
        <v>184</v>
      </c>
      <c r="AE453" s="662" t="s">
        <v>82</v>
      </c>
      <c r="AF453" s="662"/>
      <c r="AG453" s="662"/>
      <c r="AH453" s="662"/>
      <c r="AI453" s="662">
        <v>432</v>
      </c>
      <c r="AJ453" s="664">
        <f t="shared" si="128"/>
        <v>0</v>
      </c>
      <c r="AK453" s="662"/>
      <c r="AL453" s="662"/>
      <c r="AM453" s="663"/>
      <c r="AN453" s="663">
        <f t="shared" si="141"/>
        <v>432</v>
      </c>
      <c r="AR453" s="663"/>
      <c r="AS453" s="663">
        <f>I453</f>
        <v>432</v>
      </c>
      <c r="AT453" s="663"/>
      <c r="AU453" s="825">
        <f t="shared" si="139"/>
        <v>432</v>
      </c>
      <c r="AW453" s="663">
        <f t="shared" si="140"/>
        <v>432</v>
      </c>
      <c r="AX453" s="663"/>
      <c r="AY453" s="1265"/>
      <c r="AZ453" s="1265"/>
      <c r="BA453" s="1265"/>
      <c r="BB453" s="1265"/>
      <c r="BC453" s="1265"/>
      <c r="BD453" s="663"/>
      <c r="BE453" s="663"/>
      <c r="BF453" s="1265"/>
      <c r="BG453" s="1265"/>
      <c r="BH453" s="663"/>
      <c r="BI453" s="663"/>
      <c r="BJ453" s="1265"/>
      <c r="BK453" s="1265"/>
      <c r="BL453" s="1265"/>
      <c r="BM453" s="548"/>
      <c r="BN453" s="548"/>
      <c r="BO453" s="1265"/>
      <c r="BP453" s="1265"/>
      <c r="BQ453" s="663"/>
      <c r="BR453" s="1265"/>
      <c r="BS453" s="1265"/>
      <c r="BT453" s="1265"/>
      <c r="BU453" s="1265"/>
      <c r="BV453" s="1265"/>
      <c r="BW453" s="1265"/>
      <c r="BX453" s="1265"/>
      <c r="BY453" s="1265"/>
      <c r="BZ453" s="1265"/>
      <c r="CA453" s="1265"/>
      <c r="CB453" s="1265"/>
      <c r="CC453" s="1265"/>
      <c r="CD453" s="1265"/>
      <c r="CE453" s="1265"/>
      <c r="CF453" s="1265"/>
      <c r="CG453" s="1265"/>
      <c r="CH453" s="669"/>
      <c r="CI453" s="669"/>
      <c r="CJ453" s="669"/>
      <c r="CK453" s="669"/>
      <c r="CL453" s="669"/>
      <c r="CM453" s="1265"/>
      <c r="CN453" s="1265"/>
      <c r="CO453" s="1265"/>
      <c r="CP453" s="669"/>
      <c r="CQ453" s="669"/>
      <c r="CR453" s="669"/>
      <c r="CS453" s="669"/>
      <c r="CT453" s="669"/>
      <c r="CU453" s="669"/>
    </row>
    <row r="454" s="1265" customFormat="1" ht="31" customHeight="1" spans="1:99">
      <c r="A454" s="660">
        <v>45897</v>
      </c>
      <c r="B454" s="661" t="s">
        <v>143</v>
      </c>
      <c r="C454" s="662" t="s">
        <v>98</v>
      </c>
      <c r="D454" s="663">
        <v>4500178136</v>
      </c>
      <c r="E454" s="1414" t="s">
        <v>1900</v>
      </c>
      <c r="F454" s="663" t="s">
        <v>1901</v>
      </c>
      <c r="G454" s="246" t="s">
        <v>101</v>
      </c>
      <c r="H454" s="662" t="s">
        <v>102</v>
      </c>
      <c r="I454" s="662">
        <v>11840</v>
      </c>
      <c r="J454" s="662">
        <v>0</v>
      </c>
      <c r="K454" s="662">
        <v>4</v>
      </c>
      <c r="L454" s="665">
        <f t="shared" si="137"/>
        <v>2960</v>
      </c>
      <c r="M454" s="666">
        <v>45930</v>
      </c>
      <c r="N454" s="666">
        <v>45926</v>
      </c>
      <c r="O454" s="664" t="s">
        <v>1836</v>
      </c>
      <c r="P454" s="824" t="s">
        <v>113</v>
      </c>
      <c r="Q454" s="662"/>
      <c r="R454" s="667" t="s">
        <v>147</v>
      </c>
      <c r="S454" s="667" t="s">
        <v>70</v>
      </c>
      <c r="T454" s="667">
        <v>45908</v>
      </c>
      <c r="U454" s="667"/>
      <c r="V454" s="667" t="s">
        <v>148</v>
      </c>
      <c r="W454" s="661"/>
      <c r="X454" s="661" t="s">
        <v>1450</v>
      </c>
      <c r="Y454" s="634" t="s">
        <v>106</v>
      </c>
      <c r="Z454" s="1318">
        <v>2.5439</v>
      </c>
      <c r="AA454" s="634">
        <f t="shared" si="138"/>
        <v>30119.776</v>
      </c>
      <c r="AC454" s="638" t="s">
        <v>1902</v>
      </c>
      <c r="AD454" s="633" t="s">
        <v>101</v>
      </c>
      <c r="AE454" s="662" t="s">
        <v>82</v>
      </c>
      <c r="AF454" s="662"/>
      <c r="AG454" s="662"/>
      <c r="AH454" s="662"/>
      <c r="AI454" s="664">
        <f>3920+7920</f>
        <v>11840</v>
      </c>
      <c r="AJ454" s="664">
        <f t="shared" si="128"/>
        <v>0</v>
      </c>
      <c r="AK454" s="662"/>
      <c r="AL454" s="662"/>
      <c r="AM454" s="663"/>
      <c r="AN454" s="663">
        <f t="shared" si="141"/>
        <v>11840</v>
      </c>
      <c r="AR454" s="663">
        <f>I454</f>
        <v>11840</v>
      </c>
      <c r="AS454" s="663"/>
      <c r="AT454" s="663"/>
      <c r="AU454" s="825">
        <f t="shared" si="139"/>
        <v>11840</v>
      </c>
      <c r="AW454" s="663">
        <f t="shared" si="140"/>
        <v>11840</v>
      </c>
      <c r="AX454" s="663"/>
      <c r="AY454" s="1265"/>
      <c r="AZ454" s="1265"/>
      <c r="BA454" s="1265"/>
      <c r="BB454" s="1265"/>
      <c r="BC454" s="1265"/>
      <c r="BD454" s="663"/>
      <c r="BE454" s="663"/>
      <c r="BF454" s="1265"/>
      <c r="BG454" s="1265"/>
      <c r="BH454" s="825">
        <f>I454/4</f>
        <v>2960</v>
      </c>
      <c r="BI454" s="663"/>
      <c r="BJ454" s="1265"/>
      <c r="BK454" s="1265"/>
      <c r="BL454" s="1265"/>
      <c r="BM454" s="548"/>
      <c r="BN454" s="548"/>
      <c r="BO454" s="1265"/>
      <c r="BP454" s="1265"/>
      <c r="BQ454" s="663"/>
      <c r="BR454" s="1265"/>
      <c r="BS454" s="1265"/>
      <c r="BT454" s="1265"/>
      <c r="BU454" s="1265"/>
      <c r="BV454" s="1265"/>
      <c r="BW454" s="1265"/>
      <c r="BX454" s="1265"/>
      <c r="BY454" s="1265"/>
      <c r="BZ454" s="1265"/>
      <c r="CA454" s="1265"/>
      <c r="CB454" s="1265"/>
      <c r="CC454" s="1265"/>
      <c r="CD454" s="1265"/>
      <c r="CE454" s="1265"/>
      <c r="CF454" s="1265"/>
      <c r="CG454" s="1265"/>
      <c r="CH454" s="669"/>
      <c r="CI454" s="669"/>
      <c r="CJ454" s="669"/>
      <c r="CK454" s="669"/>
      <c r="CL454" s="669"/>
      <c r="CM454" s="1265"/>
      <c r="CN454" s="1265"/>
      <c r="CO454" s="1265"/>
      <c r="CP454" s="669"/>
      <c r="CQ454" s="669"/>
      <c r="CR454" s="669"/>
      <c r="CS454" s="669"/>
      <c r="CT454" s="669"/>
      <c r="CU454" s="669"/>
    </row>
    <row r="455" s="1265" customFormat="1" ht="31" customHeight="1" spans="1:99">
      <c r="A455" s="660">
        <v>45897</v>
      </c>
      <c r="B455" s="661" t="s">
        <v>143</v>
      </c>
      <c r="C455" s="662" t="s">
        <v>98</v>
      </c>
      <c r="D455" s="663">
        <v>4500178136</v>
      </c>
      <c r="E455" s="1414" t="s">
        <v>1903</v>
      </c>
      <c r="F455" s="663" t="s">
        <v>1904</v>
      </c>
      <c r="G455" s="246" t="s">
        <v>101</v>
      </c>
      <c r="H455" s="662" t="s">
        <v>102</v>
      </c>
      <c r="I455" s="662">
        <v>8744</v>
      </c>
      <c r="J455" s="662">
        <v>0</v>
      </c>
      <c r="K455" s="662">
        <v>4</v>
      </c>
      <c r="L455" s="665">
        <f t="shared" si="137"/>
        <v>2186</v>
      </c>
      <c r="M455" s="666">
        <v>45930</v>
      </c>
      <c r="N455" s="666">
        <v>45926</v>
      </c>
      <c r="O455" s="664" t="s">
        <v>1836</v>
      </c>
      <c r="P455" s="824" t="s">
        <v>113</v>
      </c>
      <c r="Q455" s="662"/>
      <c r="R455" s="667" t="s">
        <v>147</v>
      </c>
      <c r="S455" s="667" t="s">
        <v>70</v>
      </c>
      <c r="T455" s="667">
        <v>45908</v>
      </c>
      <c r="U455" s="667"/>
      <c r="V455" s="667" t="s">
        <v>148</v>
      </c>
      <c r="W455" s="661"/>
      <c r="X455" s="661" t="s">
        <v>1450</v>
      </c>
      <c r="Y455" s="634" t="s">
        <v>106</v>
      </c>
      <c r="Z455" s="1318">
        <v>2.5439</v>
      </c>
      <c r="AA455" s="634">
        <f t="shared" si="138"/>
        <v>22243.8616</v>
      </c>
      <c r="AC455" s="638" t="s">
        <v>1905</v>
      </c>
      <c r="AD455" s="633" t="s">
        <v>101</v>
      </c>
      <c r="AE455" s="662" t="s">
        <v>82</v>
      </c>
      <c r="AF455" s="662"/>
      <c r="AG455" s="662"/>
      <c r="AH455" s="662"/>
      <c r="AI455" s="664">
        <f>1440+1440+5144+720</f>
        <v>8744</v>
      </c>
      <c r="AJ455" s="664">
        <f t="shared" si="128"/>
        <v>0</v>
      </c>
      <c r="AK455" s="662"/>
      <c r="AL455" s="662"/>
      <c r="AM455" s="663"/>
      <c r="AN455" s="663">
        <f t="shared" si="141"/>
        <v>8744</v>
      </c>
      <c r="AR455" s="663">
        <f>I455</f>
        <v>8744</v>
      </c>
      <c r="AS455" s="663"/>
      <c r="AT455" s="663"/>
      <c r="AU455" s="825">
        <f t="shared" si="139"/>
        <v>8744</v>
      </c>
      <c r="AW455" s="663">
        <f t="shared" si="140"/>
        <v>8744</v>
      </c>
      <c r="AX455" s="663"/>
      <c r="AY455" s="1265"/>
      <c r="AZ455" s="1265"/>
      <c r="BA455" s="1265"/>
      <c r="BB455" s="1265"/>
      <c r="BC455" s="1265"/>
      <c r="BD455" s="663"/>
      <c r="BE455" s="663"/>
      <c r="BF455" s="1265"/>
      <c r="BG455" s="1265"/>
      <c r="BH455" s="825">
        <f>I455/4</f>
        <v>2186</v>
      </c>
      <c r="BI455" s="663"/>
      <c r="BJ455" s="1265"/>
      <c r="BK455" s="1265"/>
      <c r="BL455" s="1265"/>
      <c r="BM455" s="548"/>
      <c r="BN455" s="548"/>
      <c r="BO455" s="1265"/>
      <c r="BP455" s="1265"/>
      <c r="BQ455" s="663"/>
      <c r="BR455" s="1265"/>
      <c r="BS455" s="1265"/>
      <c r="BT455" s="1265"/>
      <c r="BU455" s="1265"/>
      <c r="BV455" s="1265"/>
      <c r="BW455" s="1265"/>
      <c r="BX455" s="1265"/>
      <c r="BY455" s="1265"/>
      <c r="BZ455" s="1265"/>
      <c r="CA455" s="1265"/>
      <c r="CB455" s="1265"/>
      <c r="CC455" s="1265"/>
      <c r="CD455" s="1265"/>
      <c r="CE455" s="1265"/>
      <c r="CF455" s="1265"/>
      <c r="CG455" s="1265"/>
      <c r="CH455" s="669"/>
      <c r="CI455" s="669"/>
      <c r="CJ455" s="669"/>
      <c r="CK455" s="669"/>
      <c r="CL455" s="669"/>
      <c r="CM455" s="1265"/>
      <c r="CN455" s="1265"/>
      <c r="CO455" s="1265"/>
      <c r="CP455" s="669"/>
      <c r="CQ455" s="669"/>
      <c r="CR455" s="669"/>
      <c r="CS455" s="669"/>
      <c r="CT455" s="669"/>
      <c r="CU455" s="669"/>
    </row>
    <row r="456" s="1265" customFormat="1" ht="31" customHeight="1" spans="1:99">
      <c r="A456" s="660">
        <v>45861</v>
      </c>
      <c r="B456" s="661" t="s">
        <v>1906</v>
      </c>
      <c r="C456" s="662" t="s">
        <v>154</v>
      </c>
      <c r="D456" s="663">
        <v>4500174753</v>
      </c>
      <c r="E456" s="662">
        <v>5200007285</v>
      </c>
      <c r="F456" s="663" t="s">
        <v>1907</v>
      </c>
      <c r="G456" s="246" t="s">
        <v>156</v>
      </c>
      <c r="H456" s="662" t="s">
        <v>102</v>
      </c>
      <c r="I456" s="662">
        <v>2400</v>
      </c>
      <c r="J456" s="662">
        <v>0</v>
      </c>
      <c r="K456" s="662">
        <v>4</v>
      </c>
      <c r="L456" s="665">
        <f t="shared" si="137"/>
        <v>600</v>
      </c>
      <c r="M456" s="666">
        <v>45930</v>
      </c>
      <c r="N456" s="666">
        <v>45926</v>
      </c>
      <c r="O456" s="664"/>
      <c r="P456" s="824" t="s">
        <v>113</v>
      </c>
      <c r="Q456" s="662"/>
      <c r="R456" s="667">
        <v>45861</v>
      </c>
      <c r="S456" s="667" t="s">
        <v>70</v>
      </c>
      <c r="T456" s="667">
        <v>45861</v>
      </c>
      <c r="U456" s="667"/>
      <c r="V456" s="667"/>
      <c r="W456" s="667"/>
      <c r="X456" s="1321" t="s">
        <v>1908</v>
      </c>
      <c r="Y456" s="666" t="s">
        <v>977</v>
      </c>
      <c r="Z456" s="1318">
        <v>4.3</v>
      </c>
      <c r="AA456" s="634">
        <f t="shared" si="138"/>
        <v>10320</v>
      </c>
      <c r="AC456" s="676" t="s">
        <v>1909</v>
      </c>
      <c r="AD456" s="633" t="s">
        <v>156</v>
      </c>
      <c r="AE456" s="662" t="s">
        <v>82</v>
      </c>
      <c r="AF456" s="662"/>
      <c r="AG456" s="662"/>
      <c r="AH456" s="662"/>
      <c r="AI456" s="664">
        <v>2400</v>
      </c>
      <c r="AJ456" s="664">
        <f t="shared" si="128"/>
        <v>0</v>
      </c>
      <c r="AK456" s="662"/>
      <c r="AL456" s="662"/>
      <c r="AM456" s="662"/>
      <c r="AN456" s="663">
        <f t="shared" si="141"/>
        <v>2400</v>
      </c>
      <c r="AS456" s="663">
        <f>I456</f>
        <v>2400</v>
      </c>
      <c r="AT456" s="663"/>
      <c r="AU456" s="825">
        <f t="shared" si="139"/>
        <v>2400</v>
      </c>
      <c r="AW456" s="663">
        <f t="shared" si="140"/>
        <v>2400</v>
      </c>
      <c r="BD456" s="548"/>
      <c r="BE456" s="548"/>
      <c r="BF456" s="1265"/>
      <c r="BG456" s="1265"/>
      <c r="BH456" s="548"/>
      <c r="BI456" s="825">
        <f>I456/4</f>
        <v>600</v>
      </c>
      <c r="BM456" s="548"/>
      <c r="BN456" s="548"/>
      <c r="BO456" s="1265"/>
      <c r="BP456" s="1265"/>
      <c r="BQ456" s="663"/>
    </row>
    <row r="457" s="1265" customFormat="1" ht="31" customHeight="1" spans="1:99">
      <c r="A457" s="660">
        <v>45880</v>
      </c>
      <c r="B457" s="661" t="s">
        <v>1906</v>
      </c>
      <c r="C457" s="662" t="s">
        <v>154</v>
      </c>
      <c r="D457" s="663">
        <v>4500176443</v>
      </c>
      <c r="E457" s="662">
        <v>5200007404</v>
      </c>
      <c r="F457" s="663" t="s">
        <v>1910</v>
      </c>
      <c r="G457" s="246" t="s">
        <v>156</v>
      </c>
      <c r="H457" s="662" t="s">
        <v>102</v>
      </c>
      <c r="I457" s="662">
        <v>800</v>
      </c>
      <c r="J457" s="662">
        <v>0</v>
      </c>
      <c r="K457" s="662">
        <v>4</v>
      </c>
      <c r="L457" s="665">
        <f t="shared" si="137"/>
        <v>200</v>
      </c>
      <c r="M457" s="666">
        <v>45930</v>
      </c>
      <c r="N457" s="666">
        <v>45926</v>
      </c>
      <c r="O457" s="664"/>
      <c r="P457" s="824" t="s">
        <v>113</v>
      </c>
      <c r="Q457" s="662"/>
      <c r="R457" s="667">
        <v>45889</v>
      </c>
      <c r="S457" s="667" t="s">
        <v>70</v>
      </c>
      <c r="T457" s="667" t="s">
        <v>1911</v>
      </c>
      <c r="U457" s="667"/>
      <c r="V457" s="667"/>
      <c r="W457" s="667"/>
      <c r="X457" s="661" t="s">
        <v>1912</v>
      </c>
      <c r="Y457" s="666" t="s">
        <v>388</v>
      </c>
      <c r="Z457" s="1318">
        <v>4.3</v>
      </c>
      <c r="AA457" s="634">
        <f t="shared" si="138"/>
        <v>3440</v>
      </c>
      <c r="AC457" s="676" t="s">
        <v>1913</v>
      </c>
      <c r="AD457" s="633" t="s">
        <v>156</v>
      </c>
      <c r="AE457" s="662" t="s">
        <v>82</v>
      </c>
      <c r="AF457" s="662"/>
      <c r="AG457" s="662"/>
      <c r="AH457" s="662"/>
      <c r="AI457" s="664">
        <v>800</v>
      </c>
      <c r="AJ457" s="664">
        <f t="shared" si="128"/>
        <v>0</v>
      </c>
      <c r="AK457" s="662"/>
      <c r="AL457" s="662"/>
      <c r="AM457" s="662"/>
      <c r="AN457" s="663">
        <f t="shared" si="141"/>
        <v>800</v>
      </c>
      <c r="AS457" s="663">
        <f>I457</f>
        <v>800</v>
      </c>
      <c r="AT457" s="663"/>
      <c r="AU457" s="825">
        <f t="shared" si="139"/>
        <v>800</v>
      </c>
      <c r="AW457" s="663">
        <f t="shared" si="140"/>
        <v>800</v>
      </c>
      <c r="BD457" s="548"/>
      <c r="BE457" s="548"/>
      <c r="BF457" s="1265"/>
      <c r="BG457" s="1265"/>
      <c r="BH457" s="548"/>
      <c r="BI457" s="825">
        <f>I457/4</f>
        <v>200</v>
      </c>
      <c r="BM457" s="548"/>
      <c r="BN457" s="548"/>
      <c r="BO457" s="1265"/>
      <c r="BP457" s="1265"/>
      <c r="BQ457" s="663"/>
    </row>
    <row r="458" s="1265" customFormat="1" ht="31" customHeight="1" spans="1:99">
      <c r="A458" s="660">
        <v>45869</v>
      </c>
      <c r="B458" s="661" t="s">
        <v>325</v>
      </c>
      <c r="C458" s="662" t="s">
        <v>98</v>
      </c>
      <c r="D458" s="663">
        <v>4500175703</v>
      </c>
      <c r="E458" s="662" t="s">
        <v>1914</v>
      </c>
      <c r="F458" s="663" t="s">
        <v>1915</v>
      </c>
      <c r="G458" s="659" t="s">
        <v>249</v>
      </c>
      <c r="H458" s="662" t="s">
        <v>250</v>
      </c>
      <c r="I458" s="662">
        <v>10000</v>
      </c>
      <c r="J458" s="662">
        <v>0</v>
      </c>
      <c r="K458" s="662">
        <v>4</v>
      </c>
      <c r="L458" s="665">
        <f t="shared" si="137"/>
        <v>2500</v>
      </c>
      <c r="M458" s="1320">
        <v>45930</v>
      </c>
      <c r="N458" s="666">
        <v>45926</v>
      </c>
      <c r="O458" s="664"/>
      <c r="P458" s="824" t="s">
        <v>113</v>
      </c>
      <c r="Q458" s="662"/>
      <c r="R458" s="667">
        <v>45894</v>
      </c>
      <c r="S458" s="667" t="s">
        <v>104</v>
      </c>
      <c r="T458" s="667">
        <v>45903</v>
      </c>
      <c r="U458" s="667"/>
      <c r="V458" s="667" t="s">
        <v>1609</v>
      </c>
      <c r="W458" s="667"/>
      <c r="X458" s="661" t="s">
        <v>1664</v>
      </c>
      <c r="Y458" s="666" t="s">
        <v>252</v>
      </c>
      <c r="Z458" s="1318">
        <v>2.7832</v>
      </c>
      <c r="AA458" s="634">
        <f t="shared" si="138"/>
        <v>27832</v>
      </c>
      <c r="AC458" s="638" t="s">
        <v>1916</v>
      </c>
      <c r="AD458" s="633" t="s">
        <v>249</v>
      </c>
      <c r="AE458" s="662" t="s">
        <v>82</v>
      </c>
      <c r="AF458" s="1325"/>
      <c r="AG458" s="1265"/>
      <c r="AH458" s="1265"/>
      <c r="AI458" s="664">
        <f>5040+4960</f>
        <v>10000</v>
      </c>
      <c r="AJ458" s="664">
        <f t="shared" si="128"/>
        <v>0</v>
      </c>
      <c r="AK458" s="1326"/>
      <c r="AL458" s="663"/>
      <c r="AM458" s="1326"/>
      <c r="AN458" s="1265"/>
      <c r="AO458" s="1265"/>
      <c r="AP458" s="663">
        <f>I458</f>
        <v>10000</v>
      </c>
      <c r="AW458" s="663">
        <f t="shared" si="140"/>
        <v>10000</v>
      </c>
      <c r="BD458" s="548"/>
      <c r="BE458" s="548"/>
      <c r="BF458" s="663">
        <f>I458</f>
        <v>10000</v>
      </c>
      <c r="BG458" s="663">
        <f>I458</f>
        <v>10000</v>
      </c>
      <c r="BH458" s="825">
        <f>I458/4</f>
        <v>2500</v>
      </c>
      <c r="BI458" s="548"/>
      <c r="BJ458" s="1265"/>
      <c r="BK458" s="1265"/>
      <c r="BL458" s="1265"/>
      <c r="BM458" s="548"/>
      <c r="BN458" s="548"/>
      <c r="BO458" s="1265"/>
      <c r="BP458" s="1265"/>
      <c r="BQ458" s="663"/>
    </row>
    <row r="459" s="1265" customFormat="1" ht="31" customHeight="1" spans="1:99">
      <c r="A459" s="660">
        <v>45863</v>
      </c>
      <c r="B459" s="661" t="s">
        <v>1772</v>
      </c>
      <c r="C459" s="662" t="s">
        <v>278</v>
      </c>
      <c r="D459" s="663">
        <v>4500175112</v>
      </c>
      <c r="E459" s="662" t="s">
        <v>1917</v>
      </c>
      <c r="F459" s="663" t="s">
        <v>1918</v>
      </c>
      <c r="G459" s="246" t="s">
        <v>280</v>
      </c>
      <c r="H459" s="662" t="s">
        <v>281</v>
      </c>
      <c r="I459" s="662">
        <v>512</v>
      </c>
      <c r="J459" s="662">
        <v>4</v>
      </c>
      <c r="K459" s="662">
        <v>16</v>
      </c>
      <c r="L459" s="665">
        <f t="shared" si="137"/>
        <v>32</v>
      </c>
      <c r="M459" s="666">
        <v>45939</v>
      </c>
      <c r="N459" s="666">
        <v>45936</v>
      </c>
      <c r="O459" s="664" t="s">
        <v>1919</v>
      </c>
      <c r="P459" s="824" t="s">
        <v>113</v>
      </c>
      <c r="Q459" s="667"/>
      <c r="R459" s="667">
        <v>45892</v>
      </c>
      <c r="S459" s="667" t="s">
        <v>70</v>
      </c>
      <c r="T459" s="667" t="s">
        <v>1741</v>
      </c>
      <c r="U459" s="667"/>
      <c r="V459" s="661"/>
      <c r="W459" s="661"/>
      <c r="X459" s="661" t="s">
        <v>1920</v>
      </c>
      <c r="Y459" s="634" t="s">
        <v>299</v>
      </c>
      <c r="Z459" s="1318">
        <v>4.3632</v>
      </c>
      <c r="AA459" s="634">
        <f t="shared" si="138"/>
        <v>2233.9584</v>
      </c>
      <c r="AC459" s="676" t="s">
        <v>1921</v>
      </c>
      <c r="AD459" s="633" t="s">
        <v>280</v>
      </c>
      <c r="AE459" s="662" t="s">
        <v>82</v>
      </c>
      <c r="AF459" s="662"/>
      <c r="AG459" s="662"/>
      <c r="AH459" s="662"/>
      <c r="AI459" s="662">
        <v>512</v>
      </c>
      <c r="AJ459" s="664">
        <f t="shared" si="128"/>
        <v>0</v>
      </c>
      <c r="AK459" s="662"/>
      <c r="AL459" s="662"/>
      <c r="AM459" s="663"/>
      <c r="AN459" s="663">
        <f>I459</f>
        <v>512</v>
      </c>
      <c r="AR459" s="663">
        <f>I459</f>
        <v>512</v>
      </c>
      <c r="AS459" s="663"/>
      <c r="AT459" s="663"/>
      <c r="AU459" s="825">
        <f>I459</f>
        <v>512</v>
      </c>
      <c r="AW459" s="663">
        <f t="shared" si="140"/>
        <v>512</v>
      </c>
      <c r="AX459" s="663"/>
      <c r="AY459" s="1265"/>
      <c r="AZ459" s="1265"/>
      <c r="BA459" s="1265"/>
      <c r="BB459" s="1265"/>
      <c r="BC459" s="1265"/>
      <c r="BD459" s="548"/>
      <c r="BE459" s="548"/>
      <c r="BF459" s="1265"/>
      <c r="BG459" s="1265"/>
      <c r="BH459" s="825">
        <f>I459/4</f>
        <v>128</v>
      </c>
      <c r="BI459" s="548"/>
      <c r="BJ459" s="1265"/>
      <c r="BK459" s="1265"/>
      <c r="BL459" s="1265"/>
      <c r="BM459" s="548"/>
      <c r="BN459" s="548"/>
      <c r="BO459" s="1265"/>
      <c r="BP459" s="1265"/>
      <c r="BQ459" s="663"/>
      <c r="BR459" s="1265"/>
      <c r="BS459" s="1265"/>
      <c r="BT459" s="1265"/>
      <c r="BU459" s="1265"/>
      <c r="BV459" s="1265"/>
      <c r="BW459" s="1265"/>
      <c r="BX459" s="1265"/>
      <c r="BY459" s="1265"/>
      <c r="BZ459" s="1265"/>
      <c r="CA459" s="1265"/>
      <c r="CB459" s="1265"/>
      <c r="CC459" s="1265"/>
      <c r="CD459" s="1265"/>
      <c r="CE459" s="1265"/>
      <c r="CF459" s="1265"/>
      <c r="CG459" s="1265"/>
      <c r="CH459" s="669"/>
      <c r="CI459" s="669"/>
      <c r="CJ459" s="669"/>
      <c r="CK459" s="669"/>
      <c r="CL459" s="669"/>
      <c r="CM459" s="1265"/>
      <c r="CN459" s="1265"/>
      <c r="CO459" s="1265"/>
      <c r="CP459" s="669"/>
      <c r="CQ459" s="669"/>
      <c r="CR459" s="669"/>
      <c r="CS459" s="669"/>
      <c r="CT459" s="669"/>
      <c r="CU459" s="669"/>
    </row>
    <row r="460" s="1265" customFormat="1" ht="31" customHeight="1" spans="1:99">
      <c r="A460" s="660">
        <v>45890</v>
      </c>
      <c r="B460" s="661" t="s">
        <v>1922</v>
      </c>
      <c r="C460" s="662" t="s">
        <v>154</v>
      </c>
      <c r="D460" s="663">
        <v>4500177502</v>
      </c>
      <c r="E460" s="662" t="s">
        <v>1923</v>
      </c>
      <c r="F460" s="663" t="s">
        <v>1924</v>
      </c>
      <c r="G460" s="246" t="s">
        <v>68</v>
      </c>
      <c r="H460" s="633" t="s">
        <v>69</v>
      </c>
      <c r="I460" s="662">
        <v>492</v>
      </c>
      <c r="J460" s="662">
        <v>0</v>
      </c>
      <c r="K460" s="662">
        <v>12</v>
      </c>
      <c r="L460" s="665">
        <f t="shared" si="137"/>
        <v>41</v>
      </c>
      <c r="M460" s="666">
        <v>45939</v>
      </c>
      <c r="N460" s="666">
        <v>45936</v>
      </c>
      <c r="O460" s="664" t="s">
        <v>1919</v>
      </c>
      <c r="P460" s="824" t="s">
        <v>113</v>
      </c>
      <c r="Q460" s="667">
        <v>45949</v>
      </c>
      <c r="R460" s="667" t="s">
        <v>463</v>
      </c>
      <c r="S460" s="667" t="s">
        <v>104</v>
      </c>
      <c r="T460" s="1327" t="s">
        <v>1925</v>
      </c>
      <c r="U460" s="1327"/>
      <c r="V460" s="667"/>
      <c r="W460" s="661"/>
      <c r="X460" s="1321" t="s">
        <v>1926</v>
      </c>
      <c r="Y460" s="634" t="s">
        <v>466</v>
      </c>
      <c r="Z460" s="1318">
        <v>4.1456</v>
      </c>
      <c r="AA460" s="634">
        <f t="shared" si="138"/>
        <v>2039.6352</v>
      </c>
      <c r="AC460" s="676" t="s">
        <v>1927</v>
      </c>
      <c r="AD460" s="633" t="s">
        <v>184</v>
      </c>
      <c r="AE460" s="662" t="s">
        <v>82</v>
      </c>
      <c r="AF460" s="662"/>
      <c r="AG460" s="662"/>
      <c r="AH460" s="662"/>
      <c r="AI460" s="662">
        <v>492</v>
      </c>
      <c r="AJ460" s="664">
        <f t="shared" si="128"/>
        <v>0</v>
      </c>
      <c r="AK460" s="662"/>
      <c r="AL460" s="662"/>
      <c r="AM460" s="663"/>
      <c r="AN460" s="663">
        <f>I460</f>
        <v>492</v>
      </c>
      <c r="AR460" s="663"/>
      <c r="AS460" s="663">
        <f>I460</f>
        <v>492</v>
      </c>
      <c r="AT460" s="663"/>
      <c r="AU460" s="825">
        <f>I460</f>
        <v>492</v>
      </c>
      <c r="AW460" s="663">
        <f t="shared" si="140"/>
        <v>492</v>
      </c>
      <c r="AX460" s="663"/>
      <c r="AY460" s="1265"/>
      <c r="AZ460" s="1265"/>
      <c r="BA460" s="1265"/>
      <c r="BB460" s="1265"/>
      <c r="BC460" s="1265"/>
      <c r="BD460" s="548"/>
      <c r="BE460" s="548"/>
      <c r="BF460" s="1265"/>
      <c r="BG460" s="1265"/>
      <c r="BH460" s="663"/>
      <c r="BI460" s="548"/>
      <c r="BJ460" s="1265"/>
      <c r="BK460" s="1265"/>
      <c r="BL460" s="1265"/>
      <c r="BM460" s="548"/>
      <c r="BN460" s="548"/>
      <c r="BO460" s="1265"/>
      <c r="BP460" s="1265"/>
      <c r="BQ460" s="663"/>
      <c r="BR460" s="1265"/>
      <c r="BS460" s="1265"/>
      <c r="BT460" s="1265"/>
      <c r="BU460" s="1265"/>
      <c r="BV460" s="1265"/>
      <c r="BW460" s="1265"/>
      <c r="BX460" s="1265"/>
      <c r="BY460" s="1265"/>
      <c r="BZ460" s="1265"/>
      <c r="CA460" s="1265"/>
      <c r="CB460" s="1265"/>
      <c r="CC460" s="1265"/>
      <c r="CD460" s="1265"/>
      <c r="CE460" s="1265"/>
      <c r="CF460" s="1265"/>
      <c r="CG460" s="1265"/>
      <c r="CH460" s="669"/>
      <c r="CI460" s="669"/>
      <c r="CJ460" s="669"/>
      <c r="CK460" s="669"/>
      <c r="CL460" s="669"/>
      <c r="CM460" s="1265"/>
      <c r="CN460" s="1265"/>
      <c r="CO460" s="1265"/>
      <c r="CP460" s="669"/>
      <c r="CQ460" s="669"/>
      <c r="CR460" s="669"/>
      <c r="CS460" s="669"/>
      <c r="CT460" s="669"/>
      <c r="CU460" s="669"/>
    </row>
    <row r="461" s="1265" customFormat="1" ht="31" customHeight="1" spans="1:99">
      <c r="A461" s="660">
        <v>45898</v>
      </c>
      <c r="B461" s="661" t="s">
        <v>1928</v>
      </c>
      <c r="C461" s="662" t="s">
        <v>424</v>
      </c>
      <c r="D461" s="663">
        <v>4500178337</v>
      </c>
      <c r="E461" s="662"/>
      <c r="F461" s="663" t="s">
        <v>1929</v>
      </c>
      <c r="G461" s="659" t="s">
        <v>101</v>
      </c>
      <c r="H461" s="662" t="s">
        <v>102</v>
      </c>
      <c r="I461" s="662">
        <v>2000</v>
      </c>
      <c r="J461" s="662">
        <v>0</v>
      </c>
      <c r="K461" s="662">
        <v>4</v>
      </c>
      <c r="L461" s="665">
        <f t="shared" si="137"/>
        <v>500</v>
      </c>
      <c r="M461" s="666">
        <v>45940</v>
      </c>
      <c r="N461" s="666">
        <v>45936</v>
      </c>
      <c r="O461" s="664"/>
      <c r="P461" s="824" t="s">
        <v>113</v>
      </c>
      <c r="Q461" s="667"/>
      <c r="R461" s="667">
        <v>45905</v>
      </c>
      <c r="S461" s="667" t="s">
        <v>70</v>
      </c>
      <c r="T461" s="667" t="s">
        <v>1930</v>
      </c>
      <c r="U461" s="667"/>
      <c r="V461" s="667"/>
      <c r="W461" s="661"/>
      <c r="X461" s="661" t="s">
        <v>1931</v>
      </c>
      <c r="Y461" s="634" t="s">
        <v>696</v>
      </c>
      <c r="Z461" s="1318">
        <v>4.2501</v>
      </c>
      <c r="AA461" s="634">
        <f t="shared" si="138"/>
        <v>8500.2</v>
      </c>
      <c r="AC461" s="676" t="s">
        <v>1932</v>
      </c>
      <c r="AD461" s="633" t="s">
        <v>156</v>
      </c>
      <c r="AE461" s="662" t="s">
        <v>82</v>
      </c>
      <c r="AF461" s="662"/>
      <c r="AG461" s="662"/>
      <c r="AH461" s="662"/>
      <c r="AI461" s="664">
        <v>2000</v>
      </c>
      <c r="AJ461" s="664">
        <f t="shared" si="128"/>
        <v>0</v>
      </c>
      <c r="AK461" s="662"/>
      <c r="AL461" s="662"/>
      <c r="AM461" s="663"/>
      <c r="AN461" s="663">
        <f>I461</f>
        <v>2000</v>
      </c>
      <c r="AR461" s="663"/>
      <c r="AS461" s="663">
        <f>I461</f>
        <v>2000</v>
      </c>
      <c r="AT461" s="663"/>
      <c r="AU461" s="825">
        <f>I461</f>
        <v>2000</v>
      </c>
      <c r="AW461" s="663">
        <f t="shared" si="140"/>
        <v>2000</v>
      </c>
      <c r="AX461" s="663"/>
      <c r="AY461" s="1265"/>
      <c r="AZ461" s="1265"/>
      <c r="BA461" s="1265"/>
      <c r="BB461" s="1265"/>
      <c r="BC461" s="1265"/>
      <c r="BD461" s="548"/>
      <c r="BE461" s="548"/>
      <c r="BF461" s="1265"/>
      <c r="BG461" s="1265"/>
      <c r="BH461" s="663"/>
      <c r="BI461" s="825">
        <f>I461/4</f>
        <v>500</v>
      </c>
      <c r="BM461" s="548"/>
      <c r="BN461" s="548"/>
      <c r="BO461" s="1265"/>
      <c r="BP461" s="1265"/>
      <c r="BQ461" s="663"/>
      <c r="BR461" s="1265"/>
      <c r="BS461" s="1265"/>
      <c r="BT461" s="1265"/>
      <c r="BU461" s="1265"/>
      <c r="BV461" s="1265"/>
      <c r="BW461" s="1265"/>
      <c r="BX461" s="1265"/>
      <c r="BY461" s="1265"/>
      <c r="BZ461" s="1265"/>
      <c r="CA461" s="1265"/>
      <c r="CB461" s="1265"/>
      <c r="CC461" s="1265"/>
      <c r="CD461" s="1265"/>
      <c r="CE461" s="1265"/>
      <c r="CF461" s="1265"/>
      <c r="CG461" s="1265"/>
      <c r="CH461" s="669"/>
      <c r="CI461" s="669"/>
      <c r="CJ461" s="669"/>
      <c r="CK461" s="669"/>
      <c r="CL461" s="669"/>
      <c r="CM461" s="1265"/>
      <c r="CN461" s="1265"/>
      <c r="CO461" s="1265"/>
      <c r="CP461" s="669"/>
      <c r="CQ461" s="669"/>
      <c r="CR461" s="669"/>
      <c r="CS461" s="669"/>
      <c r="CT461" s="669"/>
      <c r="CU461" s="669"/>
    </row>
    <row r="462" s="1265" customFormat="1" ht="31" customHeight="1" spans="1:99">
      <c r="A462" s="660">
        <v>45891</v>
      </c>
      <c r="B462" s="661" t="s">
        <v>351</v>
      </c>
      <c r="C462" s="662" t="s">
        <v>98</v>
      </c>
      <c r="D462" s="663">
        <v>4500177678</v>
      </c>
      <c r="E462" s="662" t="s">
        <v>1933</v>
      </c>
      <c r="F462" s="663" t="s">
        <v>1934</v>
      </c>
      <c r="G462" s="659" t="s">
        <v>101</v>
      </c>
      <c r="H462" s="662" t="s">
        <v>102</v>
      </c>
      <c r="I462" s="662">
        <v>1240</v>
      </c>
      <c r="J462" s="662">
        <v>0</v>
      </c>
      <c r="K462" s="662">
        <v>4</v>
      </c>
      <c r="L462" s="665">
        <f t="shared" si="137"/>
        <v>310</v>
      </c>
      <c r="M462" s="666">
        <v>45943</v>
      </c>
      <c r="N462" s="666">
        <v>45939</v>
      </c>
      <c r="O462" s="664" t="s">
        <v>1919</v>
      </c>
      <c r="P462" s="824" t="s">
        <v>113</v>
      </c>
      <c r="Q462" s="667"/>
      <c r="R462" s="667">
        <v>45891</v>
      </c>
      <c r="S462" s="667" t="s">
        <v>70</v>
      </c>
      <c r="T462" s="667" t="s">
        <v>70</v>
      </c>
      <c r="U462" s="667"/>
      <c r="V462" s="661"/>
      <c r="W462" s="661"/>
      <c r="X462" s="661" t="s">
        <v>354</v>
      </c>
      <c r="Y462" s="634" t="s">
        <v>355</v>
      </c>
      <c r="Z462" s="1318">
        <v>2.6435</v>
      </c>
      <c r="AA462" s="634">
        <f t="shared" si="138"/>
        <v>3277.94</v>
      </c>
      <c r="AC462" s="638" t="s">
        <v>1935</v>
      </c>
      <c r="AD462" s="633" t="s">
        <v>101</v>
      </c>
      <c r="AE462" s="662" t="s">
        <v>82</v>
      </c>
      <c r="AF462" s="662"/>
      <c r="AG462" s="662"/>
      <c r="AH462" s="662"/>
      <c r="AI462" s="664">
        <v>1240</v>
      </c>
      <c r="AJ462" s="664">
        <f t="shared" si="128"/>
        <v>0</v>
      </c>
      <c r="AK462" s="662"/>
      <c r="AL462" s="662"/>
      <c r="AM462" s="663"/>
      <c r="AN462" s="663">
        <f>I462</f>
        <v>1240</v>
      </c>
      <c r="AR462" s="663">
        <f>I462</f>
        <v>1240</v>
      </c>
      <c r="AS462" s="663"/>
      <c r="AT462" s="663"/>
      <c r="AU462" s="825">
        <f>I462</f>
        <v>1240</v>
      </c>
      <c r="AW462" s="663">
        <f t="shared" si="140"/>
        <v>1240</v>
      </c>
      <c r="AX462" s="663"/>
      <c r="AY462" s="1265"/>
      <c r="AZ462" s="1265"/>
      <c r="BA462" s="1265"/>
      <c r="BB462" s="1265"/>
      <c r="BC462" s="1265"/>
      <c r="BD462" s="663"/>
      <c r="BE462" s="663"/>
      <c r="BF462" s="1265"/>
      <c r="BG462" s="1265"/>
      <c r="BH462" s="825">
        <f>I462/4</f>
        <v>310</v>
      </c>
      <c r="BI462" s="663"/>
      <c r="BJ462" s="1265"/>
      <c r="BK462" s="1265"/>
      <c r="BL462" s="1265"/>
      <c r="BM462" s="548"/>
      <c r="BN462" s="548"/>
      <c r="BO462" s="1265"/>
      <c r="BP462" s="1265"/>
      <c r="BQ462" s="663"/>
      <c r="BR462" s="1265"/>
      <c r="BS462" s="1265"/>
      <c r="BT462" s="1265"/>
      <c r="BU462" s="1265"/>
      <c r="BV462" s="1265"/>
      <c r="BW462" s="1265"/>
      <c r="BX462" s="1265"/>
      <c r="BY462" s="1265"/>
      <c r="BZ462" s="1265"/>
      <c r="CA462" s="1265"/>
      <c r="CB462" s="1265"/>
      <c r="CC462" s="1265"/>
      <c r="CD462" s="1265"/>
      <c r="CE462" s="1265"/>
      <c r="CF462" s="1265"/>
      <c r="CG462" s="1265"/>
      <c r="CH462" s="669"/>
      <c r="CI462" s="669"/>
      <c r="CJ462" s="669"/>
      <c r="CK462" s="669"/>
      <c r="CL462" s="669"/>
      <c r="CM462" s="1265"/>
      <c r="CN462" s="1265"/>
      <c r="CO462" s="1265"/>
      <c r="CP462" s="669"/>
      <c r="CQ462" s="669"/>
      <c r="CR462" s="669"/>
      <c r="CS462" s="669"/>
      <c r="CT462" s="669"/>
      <c r="CU462" s="669"/>
    </row>
    <row r="463" s="1265" customFormat="1" ht="31" customHeight="1" spans="1:99">
      <c r="A463" s="660">
        <v>45882</v>
      </c>
      <c r="B463" s="661" t="s">
        <v>1620</v>
      </c>
      <c r="C463" s="662" t="s">
        <v>278</v>
      </c>
      <c r="D463" s="663">
        <v>4500176570</v>
      </c>
      <c r="E463" s="662" t="s">
        <v>1936</v>
      </c>
      <c r="F463" s="663" t="s">
        <v>1937</v>
      </c>
      <c r="G463" s="659" t="s">
        <v>164</v>
      </c>
      <c r="H463" s="662" t="s">
        <v>112</v>
      </c>
      <c r="I463" s="662">
        <v>2000</v>
      </c>
      <c r="J463" s="662">
        <v>0</v>
      </c>
      <c r="K463" s="662">
        <v>8</v>
      </c>
      <c r="L463" s="665">
        <f t="shared" si="137"/>
        <v>250</v>
      </c>
      <c r="M463" s="666">
        <v>45943</v>
      </c>
      <c r="N463" s="666">
        <v>45939</v>
      </c>
      <c r="O463" s="664" t="s">
        <v>1919</v>
      </c>
      <c r="P463" s="824" t="s">
        <v>113</v>
      </c>
      <c r="Q463" s="667"/>
      <c r="R463" s="667">
        <v>45882</v>
      </c>
      <c r="S463" s="667" t="s">
        <v>70</v>
      </c>
      <c r="T463" s="667" t="s">
        <v>165</v>
      </c>
      <c r="U463" s="667"/>
      <c r="V463" s="661"/>
      <c r="W463" s="661"/>
      <c r="X463" s="661" t="s">
        <v>1938</v>
      </c>
      <c r="Y463" s="634" t="s">
        <v>1549</v>
      </c>
      <c r="Z463" s="1318">
        <v>4.2227</v>
      </c>
      <c r="AA463" s="634">
        <f t="shared" si="138"/>
        <v>8445.4</v>
      </c>
      <c r="AC463" s="676" t="s">
        <v>1939</v>
      </c>
      <c r="AD463" s="633" t="s">
        <v>164</v>
      </c>
      <c r="AE463" s="662" t="s">
        <v>82</v>
      </c>
      <c r="AF463" s="662"/>
      <c r="AG463" s="662"/>
      <c r="AH463" s="662"/>
      <c r="AI463" s="662">
        <f>1968+32</f>
        <v>2000</v>
      </c>
      <c r="AJ463" s="664">
        <f t="shared" si="128"/>
        <v>0</v>
      </c>
      <c r="AK463" s="662"/>
      <c r="AL463" s="662"/>
      <c r="AM463" s="663"/>
      <c r="AN463" s="663">
        <f>I463</f>
        <v>2000</v>
      </c>
      <c r="AO463" s="663"/>
      <c r="AP463" s="663"/>
      <c r="AQ463" s="663"/>
      <c r="AR463" s="663"/>
      <c r="AS463" s="663"/>
      <c r="AT463" s="663"/>
      <c r="AU463" s="663"/>
      <c r="AV463" s="1328"/>
      <c r="AW463" s="663">
        <f t="shared" si="140"/>
        <v>2000</v>
      </c>
      <c r="AX463" s="663"/>
      <c r="AY463" s="1328"/>
      <c r="AZ463" s="1328"/>
      <c r="BA463" s="1328"/>
      <c r="BB463" s="1328"/>
      <c r="BC463" s="1328"/>
      <c r="BD463" s="663">
        <f>I463</f>
        <v>2000</v>
      </c>
      <c r="BE463" s="663">
        <f>I463</f>
        <v>2000</v>
      </c>
      <c r="BF463" s="1328"/>
      <c r="BG463" s="1328"/>
      <c r="BH463" s="663"/>
      <c r="BI463" s="825">
        <f>I463/4</f>
        <v>500</v>
      </c>
      <c r="BJ463" s="1328"/>
      <c r="BK463" s="1328"/>
      <c r="BL463" s="1328"/>
      <c r="BM463" s="1328"/>
      <c r="BN463" s="663"/>
      <c r="BO463" s="1328"/>
      <c r="BP463" s="1328"/>
      <c r="BQ463" s="1265"/>
      <c r="BR463" s="1265"/>
      <c r="BS463" s="1265"/>
      <c r="BT463" s="1265"/>
      <c r="BU463" s="1265"/>
      <c r="BV463" s="1265"/>
      <c r="BW463" s="1265"/>
      <c r="BX463" s="1265"/>
      <c r="BY463" s="1265"/>
      <c r="BZ463" s="1265"/>
      <c r="CA463" s="1265"/>
      <c r="CB463" s="1265"/>
      <c r="CC463" s="1265"/>
      <c r="CD463" s="1265"/>
      <c r="CE463" s="1265"/>
      <c r="CF463" s="1265"/>
      <c r="CG463" s="1265"/>
      <c r="CH463" s="669"/>
      <c r="CI463" s="669"/>
      <c r="CJ463" s="669"/>
      <c r="CK463" s="669"/>
      <c r="CL463" s="669"/>
      <c r="CM463" s="1265"/>
      <c r="CN463" s="1265"/>
      <c r="CO463" s="1265"/>
      <c r="CP463" s="669"/>
      <c r="CQ463" s="669"/>
      <c r="CR463" s="669"/>
      <c r="CS463" s="669"/>
      <c r="CT463" s="669"/>
      <c r="CU463" s="669"/>
    </row>
    <row r="464" s="1265" customFormat="1" ht="31" customHeight="1" spans="1:99">
      <c r="A464" s="660">
        <v>45898</v>
      </c>
      <c r="B464" s="661" t="s">
        <v>1906</v>
      </c>
      <c r="C464" s="662" t="s">
        <v>154</v>
      </c>
      <c r="D464" s="663">
        <v>4500178223</v>
      </c>
      <c r="E464" s="662">
        <v>5200007581</v>
      </c>
      <c r="F464" s="663" t="s">
        <v>1940</v>
      </c>
      <c r="G464" s="659" t="s">
        <v>156</v>
      </c>
      <c r="H464" s="662" t="s">
        <v>102</v>
      </c>
      <c r="I464" s="662">
        <v>2400</v>
      </c>
      <c r="J464" s="662">
        <v>0</v>
      </c>
      <c r="K464" s="662">
        <v>4</v>
      </c>
      <c r="L464" s="665">
        <f t="shared" si="137"/>
        <v>600</v>
      </c>
      <c r="M464" s="666">
        <v>45943</v>
      </c>
      <c r="N464" s="666">
        <v>45939</v>
      </c>
      <c r="O464" s="664"/>
      <c r="P464" s="824" t="s">
        <v>113</v>
      </c>
      <c r="Q464" s="667"/>
      <c r="R464" s="667">
        <v>46270</v>
      </c>
      <c r="S464" s="667" t="s">
        <v>70</v>
      </c>
      <c r="T464" s="667">
        <v>45912</v>
      </c>
      <c r="U464" s="667"/>
      <c r="V464" s="661"/>
      <c r="W464" s="661"/>
      <c r="X464" s="1321" t="s">
        <v>1908</v>
      </c>
      <c r="Y464" s="634" t="s">
        <v>1237</v>
      </c>
      <c r="Z464" s="1318">
        <v>4.3</v>
      </c>
      <c r="AA464" s="634">
        <f t="shared" si="138"/>
        <v>10320</v>
      </c>
      <c r="AC464" s="676" t="s">
        <v>1941</v>
      </c>
      <c r="AD464" s="633" t="s">
        <v>156</v>
      </c>
      <c r="AE464" s="662" t="s">
        <v>82</v>
      </c>
      <c r="AF464" s="662"/>
      <c r="AG464" s="662"/>
      <c r="AH464" s="662"/>
      <c r="AI464" s="664">
        <f>2396+4</f>
        <v>2400</v>
      </c>
      <c r="AJ464" s="664">
        <f t="shared" si="128"/>
        <v>0</v>
      </c>
      <c r="AK464" s="662"/>
      <c r="AL464" s="662"/>
      <c r="AM464" s="663"/>
      <c r="AN464" s="663">
        <f t="shared" ref="AN463:AN473" si="142">I464</f>
        <v>2400</v>
      </c>
      <c r="AO464" s="663"/>
      <c r="AP464" s="663"/>
      <c r="AQ464" s="663"/>
      <c r="AR464" s="663"/>
      <c r="AS464" s="663">
        <f>I464</f>
        <v>2400</v>
      </c>
      <c r="AT464" s="663"/>
      <c r="AU464" s="663">
        <f>I464</f>
        <v>2400</v>
      </c>
      <c r="AV464" s="1328"/>
      <c r="AW464" s="663">
        <f t="shared" si="140"/>
        <v>2400</v>
      </c>
      <c r="AX464" s="663"/>
      <c r="AY464" s="1328"/>
      <c r="AZ464" s="1328"/>
      <c r="BA464" s="1328"/>
      <c r="BB464" s="1328"/>
      <c r="BC464" s="1328"/>
      <c r="BD464" s="663"/>
      <c r="BE464" s="663"/>
      <c r="BF464" s="1328"/>
      <c r="BG464" s="1328"/>
      <c r="BH464" s="663"/>
      <c r="BI464" s="825">
        <f>I464/4</f>
        <v>600</v>
      </c>
      <c r="BJ464" s="1328"/>
      <c r="BK464" s="1328"/>
      <c r="BL464" s="1328"/>
      <c r="BM464" s="1328"/>
      <c r="BN464" s="663"/>
      <c r="BO464" s="1328"/>
      <c r="BP464" s="1328"/>
      <c r="BQ464" s="1265"/>
      <c r="BR464" s="1265"/>
      <c r="BS464" s="1265"/>
      <c r="BT464" s="1265"/>
      <c r="BU464" s="1265"/>
      <c r="BV464" s="1265"/>
      <c r="BW464" s="1265"/>
      <c r="BX464" s="1265"/>
      <c r="BY464" s="1265"/>
      <c r="BZ464" s="1265"/>
      <c r="CA464" s="1265"/>
      <c r="CB464" s="1265"/>
      <c r="CC464" s="1265"/>
      <c r="CD464" s="1265"/>
      <c r="CE464" s="1265"/>
      <c r="CF464" s="1265"/>
      <c r="CG464" s="1265"/>
      <c r="CH464" s="669"/>
      <c r="CI464" s="669"/>
      <c r="CJ464" s="669"/>
      <c r="CK464" s="669"/>
      <c r="CL464" s="669"/>
      <c r="CM464" s="1265"/>
      <c r="CN464" s="1265"/>
      <c r="CO464" s="1265"/>
      <c r="CP464" s="669"/>
      <c r="CQ464" s="669"/>
      <c r="CR464" s="669"/>
      <c r="CS464" s="669"/>
      <c r="CT464" s="669"/>
      <c r="CU464" s="669"/>
    </row>
    <row r="465" s="1265" customFormat="1" ht="31" customHeight="1" spans="1:99">
      <c r="A465" s="660">
        <v>45896</v>
      </c>
      <c r="B465" s="661" t="s">
        <v>1544</v>
      </c>
      <c r="C465" s="662" t="s">
        <v>257</v>
      </c>
      <c r="D465" s="663">
        <v>4500177870</v>
      </c>
      <c r="E465" s="662">
        <v>4400505160</v>
      </c>
      <c r="F465" s="663" t="s">
        <v>1942</v>
      </c>
      <c r="G465" s="659" t="s">
        <v>164</v>
      </c>
      <c r="H465" s="662" t="s">
        <v>112</v>
      </c>
      <c r="I465" s="662">
        <v>1504</v>
      </c>
      <c r="J465" s="662">
        <v>0</v>
      </c>
      <c r="K465" s="662">
        <v>8</v>
      </c>
      <c r="L465" s="665">
        <f t="shared" si="137"/>
        <v>188</v>
      </c>
      <c r="M465" s="666">
        <v>45944</v>
      </c>
      <c r="N465" s="666">
        <v>45940</v>
      </c>
      <c r="O465" s="664"/>
      <c r="P465" s="824" t="s">
        <v>113</v>
      </c>
      <c r="Q465" s="667"/>
      <c r="R465" s="667">
        <v>45896</v>
      </c>
      <c r="S465" s="667" t="s">
        <v>70</v>
      </c>
      <c r="T465" s="667" t="s">
        <v>1943</v>
      </c>
      <c r="U465" s="667"/>
      <c r="V465" s="661"/>
      <c r="W465" s="661"/>
      <c r="X465" s="661" t="s">
        <v>1944</v>
      </c>
      <c r="Y465" s="634" t="s">
        <v>1549</v>
      </c>
      <c r="Z465" s="1318">
        <v>4.3748</v>
      </c>
      <c r="AA465" s="634">
        <f t="shared" si="138"/>
        <v>6579.6992</v>
      </c>
      <c r="AC465" s="676" t="s">
        <v>1945</v>
      </c>
      <c r="AD465" s="633" t="s">
        <v>164</v>
      </c>
      <c r="AE465" s="662" t="s">
        <v>82</v>
      </c>
      <c r="AF465" s="662"/>
      <c r="AG465" s="662"/>
      <c r="AH465" s="662"/>
      <c r="AI465" s="662">
        <v>1504</v>
      </c>
      <c r="AJ465" s="664">
        <f t="shared" si="128"/>
        <v>0</v>
      </c>
      <c r="AK465" s="662"/>
      <c r="AL465" s="662"/>
      <c r="AM465" s="663"/>
      <c r="AN465" s="663">
        <f t="shared" si="142"/>
        <v>1504</v>
      </c>
      <c r="AO465" s="663"/>
      <c r="AP465" s="663"/>
      <c r="AQ465" s="663"/>
      <c r="AR465" s="663"/>
      <c r="AS465" s="663"/>
      <c r="AT465" s="663"/>
      <c r="AU465" s="663"/>
      <c r="AV465" s="1328"/>
      <c r="AW465" s="663">
        <f t="shared" si="140"/>
        <v>1504</v>
      </c>
      <c r="AX465" s="663"/>
      <c r="AY465" s="1328"/>
      <c r="AZ465" s="1328"/>
      <c r="BA465" s="1328"/>
      <c r="BB465" s="1328"/>
      <c r="BC465" s="1328"/>
      <c r="BD465" s="663">
        <f>I465</f>
        <v>1504</v>
      </c>
      <c r="BE465" s="663">
        <f>I465</f>
        <v>1504</v>
      </c>
      <c r="BF465" s="1328"/>
      <c r="BG465" s="1328"/>
      <c r="BH465" s="663"/>
      <c r="BI465" s="825">
        <f>I465/4</f>
        <v>376</v>
      </c>
      <c r="BJ465" s="1328"/>
      <c r="BK465" s="1328"/>
      <c r="BL465" s="1328"/>
      <c r="BM465" s="1328"/>
      <c r="BN465" s="663"/>
      <c r="BO465" s="1328"/>
      <c r="BP465" s="1328"/>
      <c r="BQ465" s="1265"/>
      <c r="BR465" s="1265"/>
      <c r="BS465" s="1265"/>
      <c r="BT465" s="1265"/>
      <c r="BU465" s="1265"/>
      <c r="BV465" s="1265"/>
      <c r="BW465" s="1265"/>
      <c r="BX465" s="1265"/>
      <c r="BY465" s="1265"/>
      <c r="BZ465" s="1265"/>
      <c r="CA465" s="1265"/>
      <c r="CB465" s="1265"/>
      <c r="CC465" s="1265"/>
      <c r="CD465" s="1265"/>
      <c r="CE465" s="1265"/>
      <c r="CF465" s="1265"/>
      <c r="CG465" s="1265"/>
      <c r="CH465" s="669"/>
      <c r="CI465" s="669"/>
      <c r="CJ465" s="669"/>
      <c r="CK465" s="669"/>
      <c r="CL465" s="669"/>
      <c r="CM465" s="1265"/>
      <c r="CN465" s="1265"/>
      <c r="CO465" s="1265"/>
      <c r="CP465" s="669"/>
      <c r="CQ465" s="669"/>
      <c r="CR465" s="669"/>
      <c r="CS465" s="669"/>
      <c r="CT465" s="669"/>
      <c r="CU465" s="669"/>
    </row>
    <row r="466" s="1265" customFormat="1" ht="31" customHeight="1" spans="1:99">
      <c r="A466" s="660">
        <v>45897</v>
      </c>
      <c r="B466" s="661" t="s">
        <v>379</v>
      </c>
      <c r="C466" s="662" t="s">
        <v>98</v>
      </c>
      <c r="D466" s="663">
        <v>4500177767</v>
      </c>
      <c r="E466" s="662" t="s">
        <v>1946</v>
      </c>
      <c r="F466" s="663" t="s">
        <v>1947</v>
      </c>
      <c r="G466" s="659" t="s">
        <v>111</v>
      </c>
      <c r="H466" s="662" t="s">
        <v>112</v>
      </c>
      <c r="I466" s="662">
        <v>1920</v>
      </c>
      <c r="J466" s="662">
        <v>0</v>
      </c>
      <c r="K466" s="662">
        <v>16</v>
      </c>
      <c r="L466" s="665">
        <f t="shared" si="137"/>
        <v>120</v>
      </c>
      <c r="M466" s="666">
        <v>45944</v>
      </c>
      <c r="N466" s="666">
        <v>45940</v>
      </c>
      <c r="O466" s="664"/>
      <c r="P466" s="824" t="s">
        <v>113</v>
      </c>
      <c r="Q466" s="667"/>
      <c r="R466" s="667">
        <v>45918</v>
      </c>
      <c r="S466" s="667" t="s">
        <v>70</v>
      </c>
      <c r="T466" s="667" t="s">
        <v>70</v>
      </c>
      <c r="U466" s="667"/>
      <c r="V466" s="661"/>
      <c r="W466" s="661"/>
      <c r="X466" s="661" t="s">
        <v>1780</v>
      </c>
      <c r="Y466" s="634" t="s">
        <v>1781</v>
      </c>
      <c r="Z466" s="1318">
        <v>2.5525</v>
      </c>
      <c r="AA466" s="634">
        <f t="shared" si="138"/>
        <v>4900.8</v>
      </c>
      <c r="AC466" s="638" t="s">
        <v>1948</v>
      </c>
      <c r="AD466" s="633" t="s">
        <v>111</v>
      </c>
      <c r="AE466" s="662" t="s">
        <v>82</v>
      </c>
      <c r="AF466" s="662"/>
      <c r="AG466" s="662"/>
      <c r="AH466" s="662"/>
      <c r="AI466" s="662">
        <f>1888+32</f>
        <v>1920</v>
      </c>
      <c r="AJ466" s="664">
        <f t="shared" si="128"/>
        <v>0</v>
      </c>
      <c r="AK466" s="662"/>
      <c r="AL466" s="662"/>
      <c r="AM466" s="663"/>
      <c r="AN466" s="663">
        <f t="shared" si="142"/>
        <v>1920</v>
      </c>
      <c r="AO466" s="663"/>
      <c r="AP466" s="663"/>
      <c r="AQ466" s="663"/>
      <c r="AR466" s="663">
        <f>I466</f>
        <v>1920</v>
      </c>
      <c r="AS466" s="663"/>
      <c r="AT466" s="663"/>
      <c r="AU466" s="663">
        <f t="shared" ref="AU466:AU473" si="143">I466</f>
        <v>1920</v>
      </c>
      <c r="AV466" s="1328"/>
      <c r="AW466" s="663">
        <f t="shared" si="140"/>
        <v>1920</v>
      </c>
      <c r="AX466" s="663"/>
      <c r="AY466" s="1328"/>
      <c r="AZ466" s="1328"/>
      <c r="BA466" s="1328"/>
      <c r="BB466" s="1328"/>
      <c r="BC466" s="1328"/>
      <c r="BD466" s="663"/>
      <c r="BE466" s="663"/>
      <c r="BF466" s="1328"/>
      <c r="BG466" s="1328"/>
      <c r="BH466" s="825">
        <f>I466/4</f>
        <v>480</v>
      </c>
      <c r="BI466" s="663"/>
      <c r="BJ466" s="1328"/>
      <c r="BK466" s="1328"/>
      <c r="BL466" s="1328"/>
      <c r="BM466" s="1328"/>
      <c r="BN466" s="663"/>
      <c r="BO466" s="1328"/>
      <c r="BP466" s="1328"/>
      <c r="BQ466" s="1265"/>
      <c r="BR466" s="1265"/>
      <c r="BS466" s="1265"/>
      <c r="BT466" s="1265"/>
      <c r="BU466" s="1265"/>
      <c r="BV466" s="1265"/>
      <c r="BW466" s="1265"/>
      <c r="BX466" s="1265"/>
      <c r="BY466" s="1265"/>
      <c r="BZ466" s="1265"/>
      <c r="CA466" s="1265"/>
      <c r="CB466" s="1265"/>
      <c r="CC466" s="1265"/>
      <c r="CD466" s="1265"/>
      <c r="CE466" s="1265"/>
      <c r="CF466" s="1265"/>
      <c r="CG466" s="1265"/>
      <c r="CH466" s="669"/>
      <c r="CI466" s="669"/>
      <c r="CJ466" s="669"/>
      <c r="CK466" s="669"/>
      <c r="CL466" s="669"/>
      <c r="CM466" s="1265"/>
      <c r="CN466" s="1265"/>
      <c r="CO466" s="1265"/>
      <c r="CP466" s="669"/>
      <c r="CQ466" s="669"/>
      <c r="CR466" s="669"/>
      <c r="CS466" s="669"/>
      <c r="CT466" s="669"/>
      <c r="CU466" s="669"/>
    </row>
    <row r="467" s="1265" customFormat="1" ht="31" customHeight="1" spans="1:99">
      <c r="A467" s="660">
        <v>45897</v>
      </c>
      <c r="B467" s="661" t="s">
        <v>1332</v>
      </c>
      <c r="C467" s="662" t="s">
        <v>590</v>
      </c>
      <c r="D467" s="663">
        <v>4500178095</v>
      </c>
      <c r="E467" s="662"/>
      <c r="F467" s="663" t="s">
        <v>1949</v>
      </c>
      <c r="G467" s="659" t="s">
        <v>68</v>
      </c>
      <c r="H467" s="633" t="s">
        <v>69</v>
      </c>
      <c r="I467" s="662">
        <v>1500</v>
      </c>
      <c r="J467" s="662">
        <v>0</v>
      </c>
      <c r="K467" s="662">
        <v>12</v>
      </c>
      <c r="L467" s="665">
        <f t="shared" si="137"/>
        <v>125</v>
      </c>
      <c r="M467" s="666">
        <v>45945</v>
      </c>
      <c r="N467" s="666">
        <v>45941</v>
      </c>
      <c r="O467" s="664"/>
      <c r="P467" s="824" t="s">
        <v>113</v>
      </c>
      <c r="Q467" s="667"/>
      <c r="R467" s="667">
        <v>45897</v>
      </c>
      <c r="S467" s="667"/>
      <c r="T467" s="667">
        <v>45905</v>
      </c>
      <c r="U467" s="667"/>
      <c r="V467" s="661"/>
      <c r="W467" s="661"/>
      <c r="X467" s="1321" t="s">
        <v>1950</v>
      </c>
      <c r="Y467" s="634" t="s">
        <v>230</v>
      </c>
      <c r="Z467" s="1318">
        <v>4.1456</v>
      </c>
      <c r="AA467" s="634">
        <f t="shared" si="138"/>
        <v>6218.4</v>
      </c>
      <c r="AC467" s="676" t="s">
        <v>1951</v>
      </c>
      <c r="AD467" s="633" t="s">
        <v>68</v>
      </c>
      <c r="AE467" s="662" t="s">
        <v>82</v>
      </c>
      <c r="AF467" s="662"/>
      <c r="AG467" s="662"/>
      <c r="AH467" s="662"/>
      <c r="AI467" s="662">
        <v>1500</v>
      </c>
      <c r="AJ467" s="664">
        <f t="shared" si="128"/>
        <v>0</v>
      </c>
      <c r="AK467" s="662"/>
      <c r="AL467" s="662"/>
      <c r="AM467" s="663"/>
      <c r="AN467" s="663">
        <f t="shared" si="142"/>
        <v>1500</v>
      </c>
      <c r="AO467" s="663"/>
      <c r="AP467" s="663"/>
      <c r="AQ467" s="663"/>
      <c r="AR467" s="663">
        <f>I467</f>
        <v>1500</v>
      </c>
      <c r="AS467" s="663"/>
      <c r="AT467" s="663"/>
      <c r="AU467" s="663">
        <f t="shared" si="143"/>
        <v>1500</v>
      </c>
      <c r="AV467" s="1328"/>
      <c r="AW467" s="663">
        <f t="shared" si="140"/>
        <v>1500</v>
      </c>
      <c r="AX467" s="663"/>
      <c r="AY467" s="1328"/>
      <c r="AZ467" s="1328"/>
      <c r="BA467" s="1328"/>
      <c r="BB467" s="1328"/>
      <c r="BC467" s="1328"/>
      <c r="BD467" s="663"/>
      <c r="BE467" s="663"/>
      <c r="BF467" s="1328"/>
      <c r="BG467" s="1328"/>
      <c r="BH467" s="663"/>
      <c r="BI467" s="663"/>
      <c r="BJ467" s="1328"/>
      <c r="BK467" s="1328"/>
      <c r="BL467" s="1328"/>
      <c r="BM467" s="1328"/>
      <c r="BN467" s="663"/>
      <c r="BO467" s="1328"/>
      <c r="BP467" s="1328"/>
      <c r="BQ467" s="1265"/>
      <c r="BR467" s="1265"/>
      <c r="BS467" s="1265"/>
      <c r="BT467" s="1265"/>
      <c r="BU467" s="1265"/>
      <c r="BV467" s="1265"/>
      <c r="BW467" s="1265"/>
      <c r="BX467" s="1265"/>
      <c r="BY467" s="1265"/>
      <c r="BZ467" s="1265"/>
      <c r="CA467" s="1265"/>
      <c r="CB467" s="1265"/>
      <c r="CC467" s="1265"/>
      <c r="CD467" s="1265"/>
      <c r="CE467" s="1265"/>
      <c r="CF467" s="1265"/>
      <c r="CG467" s="1265"/>
      <c r="CH467" s="669"/>
      <c r="CI467" s="669"/>
      <c r="CJ467" s="669"/>
      <c r="CK467" s="669"/>
      <c r="CL467" s="669"/>
      <c r="CM467" s="1265"/>
      <c r="CN467" s="1265"/>
      <c r="CO467" s="1265"/>
      <c r="CP467" s="669"/>
      <c r="CQ467" s="669"/>
      <c r="CR467" s="669"/>
      <c r="CS467" s="669"/>
      <c r="CT467" s="669"/>
      <c r="CU467" s="669"/>
    </row>
    <row r="468" s="1265" customFormat="1" ht="31" customHeight="1" spans="1:99">
      <c r="A468" s="660">
        <v>45897</v>
      </c>
      <c r="B468" s="661" t="s">
        <v>143</v>
      </c>
      <c r="C468" s="662" t="s">
        <v>98</v>
      </c>
      <c r="D468" s="663">
        <v>4500178138</v>
      </c>
      <c r="E468" s="1414" t="s">
        <v>1952</v>
      </c>
      <c r="F468" s="663" t="s">
        <v>1953</v>
      </c>
      <c r="G468" s="659" t="s">
        <v>101</v>
      </c>
      <c r="H468" s="662" t="s">
        <v>102</v>
      </c>
      <c r="I468" s="662">
        <v>7372</v>
      </c>
      <c r="J468" s="662">
        <v>0</v>
      </c>
      <c r="K468" s="662">
        <v>4</v>
      </c>
      <c r="L468" s="665">
        <f t="shared" si="137"/>
        <v>1843</v>
      </c>
      <c r="M468" s="666">
        <v>45945</v>
      </c>
      <c r="N468" s="666">
        <v>45941</v>
      </c>
      <c r="O468" s="664" t="s">
        <v>1954</v>
      </c>
      <c r="P468" s="824" t="s">
        <v>113</v>
      </c>
      <c r="Q468" s="662" t="s">
        <v>1824</v>
      </c>
      <c r="R468" s="667" t="s">
        <v>147</v>
      </c>
      <c r="S468" s="667" t="s">
        <v>70</v>
      </c>
      <c r="T468" s="667">
        <v>45908</v>
      </c>
      <c r="U468" s="667"/>
      <c r="V468" s="667" t="s">
        <v>148</v>
      </c>
      <c r="W468" s="661"/>
      <c r="X468" s="661" t="s">
        <v>1450</v>
      </c>
      <c r="Y468" s="634" t="s">
        <v>106</v>
      </c>
      <c r="Z468" s="1318">
        <v>2.5656</v>
      </c>
      <c r="AA468" s="634">
        <f t="shared" si="138"/>
        <v>18913.6032</v>
      </c>
      <c r="AC468" s="638" t="s">
        <v>1955</v>
      </c>
      <c r="AD468" s="633" t="s">
        <v>101</v>
      </c>
      <c r="AE468" s="662" t="s">
        <v>82</v>
      </c>
      <c r="AF468" s="662"/>
      <c r="AG468" s="662"/>
      <c r="AH468" s="662"/>
      <c r="AI468" s="662">
        <f>3052+4320</f>
        <v>7372</v>
      </c>
      <c r="AJ468" s="664">
        <f t="shared" si="128"/>
        <v>0</v>
      </c>
      <c r="AK468" s="662"/>
      <c r="AL468" s="662"/>
      <c r="AM468" s="663"/>
      <c r="AN468" s="663">
        <f t="shared" si="142"/>
        <v>7372</v>
      </c>
      <c r="AO468" s="663"/>
      <c r="AP468" s="663"/>
      <c r="AQ468" s="663"/>
      <c r="AR468" s="663">
        <f>I468</f>
        <v>7372</v>
      </c>
      <c r="AS468" s="663"/>
      <c r="AT468" s="663"/>
      <c r="AU468" s="663">
        <f t="shared" si="143"/>
        <v>7372</v>
      </c>
      <c r="AV468" s="1328"/>
      <c r="AW468" s="663">
        <f t="shared" si="140"/>
        <v>7372</v>
      </c>
      <c r="AX468" s="663"/>
      <c r="AY468" s="1328"/>
      <c r="AZ468" s="1328"/>
      <c r="BA468" s="1328"/>
      <c r="BB468" s="1328"/>
      <c r="BC468" s="1328"/>
      <c r="BD468" s="663"/>
      <c r="BE468" s="663"/>
      <c r="BF468" s="1328"/>
      <c r="BG468" s="1328"/>
      <c r="BH468" s="825">
        <f>I468/4</f>
        <v>1843</v>
      </c>
      <c r="BI468" s="663"/>
      <c r="BJ468" s="1328"/>
      <c r="BK468" s="1328"/>
      <c r="BL468" s="1328"/>
      <c r="BM468" s="1328"/>
      <c r="BN468" s="663"/>
      <c r="BO468" s="1328"/>
      <c r="BP468" s="1328"/>
      <c r="BQ468" s="1265"/>
      <c r="BR468" s="1265"/>
      <c r="BS468" s="1265"/>
      <c r="BT468" s="1265"/>
      <c r="BU468" s="1265"/>
      <c r="BV468" s="1265"/>
      <c r="BW468" s="1265"/>
      <c r="BX468" s="1265"/>
      <c r="BY468" s="1265"/>
      <c r="BZ468" s="1265"/>
      <c r="CA468" s="1265"/>
      <c r="CB468" s="1265"/>
      <c r="CC468" s="1265"/>
      <c r="CD468" s="1265"/>
      <c r="CE468" s="1265"/>
      <c r="CF468" s="1265"/>
      <c r="CG468" s="1265"/>
      <c r="CH468" s="669"/>
      <c r="CI468" s="669"/>
      <c r="CJ468" s="669"/>
      <c r="CK468" s="669"/>
      <c r="CL468" s="669"/>
      <c r="CM468" s="1265"/>
      <c r="CN468" s="1265"/>
      <c r="CO468" s="1265"/>
      <c r="CP468" s="669"/>
      <c r="CQ468" s="669"/>
      <c r="CR468" s="669"/>
      <c r="CS468" s="669"/>
      <c r="CT468" s="669"/>
      <c r="CU468" s="669"/>
    </row>
    <row r="469" s="1265" customFormat="1" ht="31" customHeight="1" spans="1:99">
      <c r="A469" s="660">
        <v>45881</v>
      </c>
      <c r="B469" s="661" t="s">
        <v>549</v>
      </c>
      <c r="C469" s="662" t="s">
        <v>278</v>
      </c>
      <c r="D469" s="663">
        <v>4500176637</v>
      </c>
      <c r="E469" s="662" t="s">
        <v>1956</v>
      </c>
      <c r="F469" s="663" t="s">
        <v>1957</v>
      </c>
      <c r="G469" s="659" t="s">
        <v>68</v>
      </c>
      <c r="H469" s="633" t="s">
        <v>69</v>
      </c>
      <c r="I469" s="662">
        <v>1248</v>
      </c>
      <c r="J469" s="662">
        <v>0</v>
      </c>
      <c r="K469" s="662">
        <v>12</v>
      </c>
      <c r="L469" s="665">
        <f t="shared" si="137"/>
        <v>104</v>
      </c>
      <c r="M469" s="666">
        <v>45946</v>
      </c>
      <c r="N469" s="666">
        <v>45943</v>
      </c>
      <c r="O469" s="664"/>
      <c r="P469" s="824" t="s">
        <v>113</v>
      </c>
      <c r="Q469" s="667"/>
      <c r="R469" s="1327" t="s">
        <v>463</v>
      </c>
      <c r="S469" s="667" t="s">
        <v>104</v>
      </c>
      <c r="T469" s="667" t="s">
        <v>1958</v>
      </c>
      <c r="U469" s="667"/>
      <c r="V469" s="661"/>
      <c r="W469" s="661"/>
      <c r="X469" s="661" t="s">
        <v>1959</v>
      </c>
      <c r="Y469" s="634" t="s">
        <v>466</v>
      </c>
      <c r="Z469" s="1318">
        <v>4.1456</v>
      </c>
      <c r="AA469" s="634">
        <f t="shared" si="138"/>
        <v>5173.7088</v>
      </c>
      <c r="AC469" s="676" t="s">
        <v>1960</v>
      </c>
      <c r="AD469" s="633" t="s">
        <v>184</v>
      </c>
      <c r="AE469" s="662" t="s">
        <v>82</v>
      </c>
      <c r="AF469" s="662"/>
      <c r="AG469" s="662"/>
      <c r="AH469" s="662"/>
      <c r="AI469" s="662">
        <v>1248</v>
      </c>
      <c r="AJ469" s="664">
        <f t="shared" si="128"/>
        <v>0</v>
      </c>
      <c r="AK469" s="662"/>
      <c r="AL469" s="662"/>
      <c r="AM469" s="663"/>
      <c r="AN469" s="663">
        <f t="shared" si="142"/>
        <v>1248</v>
      </c>
      <c r="AO469" s="663"/>
      <c r="AP469" s="663"/>
      <c r="AQ469" s="663"/>
      <c r="AR469" s="663"/>
      <c r="AS469" s="663">
        <f>I469</f>
        <v>1248</v>
      </c>
      <c r="AT469" s="663"/>
      <c r="AU469" s="663">
        <f t="shared" si="143"/>
        <v>1248</v>
      </c>
      <c r="AV469" s="1328"/>
      <c r="AW469" s="663">
        <f t="shared" si="140"/>
        <v>1248</v>
      </c>
      <c r="AX469" s="663"/>
      <c r="AY469" s="1328"/>
      <c r="AZ469" s="1328"/>
      <c r="BA469" s="1328"/>
      <c r="BB469" s="1328"/>
      <c r="BC469" s="1328"/>
      <c r="BD469" s="663"/>
      <c r="BE469" s="663"/>
      <c r="BF469" s="1328"/>
      <c r="BG469" s="1328"/>
      <c r="BH469" s="663"/>
      <c r="BI469" s="663"/>
      <c r="BJ469" s="1328"/>
      <c r="BK469" s="1328"/>
      <c r="BL469" s="1328"/>
      <c r="BM469" s="1328"/>
      <c r="BN469" s="663"/>
      <c r="BO469" s="1328"/>
      <c r="BP469" s="1328"/>
      <c r="BQ469" s="1265"/>
      <c r="BR469" s="1265"/>
      <c r="BS469" s="1265"/>
      <c r="BT469" s="1265"/>
      <c r="BU469" s="1265"/>
      <c r="BV469" s="1265"/>
      <c r="BW469" s="1265"/>
      <c r="BX469" s="1265"/>
      <c r="BY469" s="1265"/>
      <c r="BZ469" s="1265"/>
      <c r="CA469" s="1265"/>
      <c r="CB469" s="1265"/>
      <c r="CC469" s="1265"/>
      <c r="CD469" s="1265"/>
      <c r="CE469" s="1265"/>
      <c r="CF469" s="1265"/>
      <c r="CG469" s="1265"/>
      <c r="CH469" s="669"/>
      <c r="CI469" s="669"/>
      <c r="CJ469" s="669"/>
      <c r="CK469" s="669"/>
      <c r="CL469" s="669"/>
      <c r="CM469" s="1265"/>
      <c r="CN469" s="1265"/>
      <c r="CO469" s="1265"/>
      <c r="CP469" s="669"/>
      <c r="CQ469" s="669"/>
      <c r="CR469" s="669"/>
      <c r="CS469" s="669"/>
      <c r="CT469" s="669"/>
      <c r="CU469" s="669"/>
    </row>
    <row r="470" s="1265" customFormat="1" ht="31" customHeight="1" spans="1:99">
      <c r="A470" s="660">
        <v>45881</v>
      </c>
      <c r="B470" s="661" t="s">
        <v>549</v>
      </c>
      <c r="C470" s="662" t="s">
        <v>154</v>
      </c>
      <c r="D470" s="663">
        <v>4500176637</v>
      </c>
      <c r="E470" s="662" t="s">
        <v>1961</v>
      </c>
      <c r="F470" s="663" t="s">
        <v>1962</v>
      </c>
      <c r="G470" s="659" t="s">
        <v>68</v>
      </c>
      <c r="H470" s="633" t="s">
        <v>69</v>
      </c>
      <c r="I470" s="662">
        <v>492</v>
      </c>
      <c r="J470" s="662">
        <v>0</v>
      </c>
      <c r="K470" s="662">
        <v>12</v>
      </c>
      <c r="L470" s="665">
        <f t="shared" si="137"/>
        <v>41</v>
      </c>
      <c r="M470" s="666">
        <v>45946</v>
      </c>
      <c r="N470" s="666">
        <v>45943</v>
      </c>
      <c r="O470" s="664"/>
      <c r="P470" s="824" t="s">
        <v>113</v>
      </c>
      <c r="Q470" s="667"/>
      <c r="R470" s="1327" t="s">
        <v>463</v>
      </c>
      <c r="S470" s="667" t="s">
        <v>104</v>
      </c>
      <c r="T470" s="667" t="s">
        <v>1958</v>
      </c>
      <c r="U470" s="667"/>
      <c r="V470" s="661"/>
      <c r="W470" s="661"/>
      <c r="X470" s="661" t="s">
        <v>1959</v>
      </c>
      <c r="Y470" s="634" t="s">
        <v>466</v>
      </c>
      <c r="Z470" s="1318">
        <v>4.1456</v>
      </c>
      <c r="AA470" s="634">
        <f t="shared" si="138"/>
        <v>2039.6352</v>
      </c>
      <c r="AC470" s="685" t="s">
        <v>1963</v>
      </c>
      <c r="AD470" s="633" t="s">
        <v>184</v>
      </c>
      <c r="AE470" s="662" t="s">
        <v>82</v>
      </c>
      <c r="AF470" s="662"/>
      <c r="AG470" s="662"/>
      <c r="AH470" s="662"/>
      <c r="AI470" s="662">
        <f>468+24</f>
        <v>492</v>
      </c>
      <c r="AJ470" s="664">
        <f t="shared" si="128"/>
        <v>0</v>
      </c>
      <c r="AK470" s="662"/>
      <c r="AL470" s="662"/>
      <c r="AM470" s="663"/>
      <c r="AN470" s="663">
        <f t="shared" si="142"/>
        <v>492</v>
      </c>
      <c r="AO470" s="663"/>
      <c r="AP470" s="663"/>
      <c r="AQ470" s="663"/>
      <c r="AR470" s="663"/>
      <c r="AS470" s="663">
        <f>I470</f>
        <v>492</v>
      </c>
      <c r="AT470" s="663"/>
      <c r="AU470" s="663">
        <f t="shared" si="143"/>
        <v>492</v>
      </c>
      <c r="AV470" s="1328"/>
      <c r="AW470" s="663">
        <f t="shared" si="140"/>
        <v>492</v>
      </c>
      <c r="AX470" s="663"/>
      <c r="AY470" s="1328"/>
      <c r="AZ470" s="1328"/>
      <c r="BA470" s="1328"/>
      <c r="BB470" s="1328"/>
      <c r="BC470" s="1328"/>
      <c r="BD470" s="663"/>
      <c r="BE470" s="663"/>
      <c r="BF470" s="1328"/>
      <c r="BG470" s="1328"/>
      <c r="BH470" s="663"/>
      <c r="BI470" s="663"/>
      <c r="BJ470" s="1328"/>
      <c r="BK470" s="1328"/>
      <c r="BL470" s="1328"/>
      <c r="BM470" s="1328"/>
      <c r="BN470" s="663"/>
      <c r="BO470" s="1328"/>
      <c r="BP470" s="1328"/>
      <c r="BQ470" s="1265"/>
      <c r="BR470" s="1265"/>
      <c r="BS470" s="1265"/>
      <c r="BT470" s="1265"/>
      <c r="BU470" s="1265"/>
      <c r="BV470" s="1265"/>
      <c r="BW470" s="1265"/>
      <c r="BX470" s="1265"/>
      <c r="BY470" s="1265"/>
      <c r="BZ470" s="1265"/>
      <c r="CA470" s="1265"/>
      <c r="CB470" s="1265"/>
      <c r="CC470" s="1265"/>
      <c r="CD470" s="1265"/>
      <c r="CE470" s="1265"/>
      <c r="CF470" s="1265"/>
      <c r="CG470" s="1265"/>
      <c r="CH470" s="669"/>
      <c r="CI470" s="669"/>
      <c r="CJ470" s="669"/>
      <c r="CK470" s="669"/>
      <c r="CL470" s="669"/>
      <c r="CM470" s="1265"/>
      <c r="CN470" s="1265"/>
      <c r="CO470" s="1265"/>
      <c r="CP470" s="669"/>
      <c r="CQ470" s="669"/>
      <c r="CR470" s="669"/>
      <c r="CS470" s="669"/>
      <c r="CT470" s="669"/>
      <c r="CU470" s="669"/>
    </row>
    <row r="471" s="1265" customFormat="1" ht="31" customHeight="1" spans="1:99">
      <c r="A471" s="660">
        <v>45881</v>
      </c>
      <c r="B471" s="661" t="s">
        <v>549</v>
      </c>
      <c r="C471" s="662" t="s">
        <v>302</v>
      </c>
      <c r="D471" s="663">
        <v>4500176637</v>
      </c>
      <c r="E471" s="662" t="s">
        <v>1964</v>
      </c>
      <c r="F471" s="663" t="s">
        <v>1965</v>
      </c>
      <c r="G471" s="659" t="s">
        <v>68</v>
      </c>
      <c r="H471" s="633" t="s">
        <v>69</v>
      </c>
      <c r="I471" s="662">
        <v>504</v>
      </c>
      <c r="J471" s="662">
        <v>0</v>
      </c>
      <c r="K471" s="662">
        <v>12</v>
      </c>
      <c r="L471" s="665">
        <f t="shared" si="137"/>
        <v>42</v>
      </c>
      <c r="M471" s="666">
        <v>45946</v>
      </c>
      <c r="N471" s="666">
        <v>45943</v>
      </c>
      <c r="O471" s="664"/>
      <c r="P471" s="824" t="s">
        <v>113</v>
      </c>
      <c r="Q471" s="667"/>
      <c r="R471" s="1327" t="s">
        <v>463</v>
      </c>
      <c r="S471" s="667" t="s">
        <v>104</v>
      </c>
      <c r="T471" s="667" t="s">
        <v>1958</v>
      </c>
      <c r="U471" s="667"/>
      <c r="V471" s="661"/>
      <c r="W471" s="661"/>
      <c r="X471" s="661" t="s">
        <v>1959</v>
      </c>
      <c r="Y471" s="634" t="s">
        <v>466</v>
      </c>
      <c r="Z471" s="1318">
        <v>4.1456</v>
      </c>
      <c r="AA471" s="634">
        <f t="shared" si="138"/>
        <v>2089.3824</v>
      </c>
      <c r="AC471" s="685" t="s">
        <v>1963</v>
      </c>
      <c r="AD471" s="633" t="s">
        <v>184</v>
      </c>
      <c r="AE471" s="662" t="s">
        <v>82</v>
      </c>
      <c r="AF471" s="662"/>
      <c r="AG471" s="662"/>
      <c r="AH471" s="662"/>
      <c r="AI471" s="662">
        <v>504</v>
      </c>
      <c r="AJ471" s="664">
        <f t="shared" si="128"/>
        <v>0</v>
      </c>
      <c r="AK471" s="662"/>
      <c r="AL471" s="662"/>
      <c r="AM471" s="663"/>
      <c r="AN471" s="663">
        <f t="shared" si="142"/>
        <v>504</v>
      </c>
      <c r="AO471" s="663"/>
      <c r="AP471" s="663"/>
      <c r="AQ471" s="663"/>
      <c r="AR471" s="663"/>
      <c r="AS471" s="663">
        <f>I471</f>
        <v>504</v>
      </c>
      <c r="AT471" s="663"/>
      <c r="AU471" s="663">
        <f t="shared" si="143"/>
        <v>504</v>
      </c>
      <c r="AV471" s="1328"/>
      <c r="AW471" s="663">
        <f t="shared" si="140"/>
        <v>504</v>
      </c>
      <c r="AX471" s="663"/>
      <c r="AY471" s="1328"/>
      <c r="AZ471" s="1328"/>
      <c r="BA471" s="1328"/>
      <c r="BB471" s="1328"/>
      <c r="BC471" s="1328"/>
      <c r="BD471" s="663"/>
      <c r="BE471" s="663"/>
      <c r="BF471" s="1328"/>
      <c r="BG471" s="1328"/>
      <c r="BH471" s="663"/>
      <c r="BI471" s="663"/>
      <c r="BJ471" s="1328"/>
      <c r="BK471" s="1328"/>
      <c r="BL471" s="1328"/>
      <c r="BM471" s="1328"/>
      <c r="BN471" s="663"/>
      <c r="BO471" s="1328"/>
      <c r="BP471" s="1328"/>
      <c r="BQ471" s="1265"/>
      <c r="BR471" s="1265"/>
      <c r="BS471" s="1265"/>
      <c r="BT471" s="1265"/>
      <c r="BU471" s="1265"/>
      <c r="BV471" s="1265"/>
      <c r="BW471" s="1265"/>
      <c r="BX471" s="1265"/>
      <c r="BY471" s="1265"/>
      <c r="BZ471" s="1265"/>
      <c r="CA471" s="1265"/>
      <c r="CB471" s="1265"/>
      <c r="CC471" s="1265"/>
      <c r="CD471" s="1265"/>
      <c r="CE471" s="1265"/>
      <c r="CF471" s="1265"/>
      <c r="CG471" s="1265"/>
      <c r="CH471" s="669"/>
      <c r="CI471" s="669"/>
      <c r="CJ471" s="669"/>
      <c r="CK471" s="669"/>
      <c r="CL471" s="669"/>
      <c r="CM471" s="1265"/>
      <c r="CN471" s="1265"/>
      <c r="CO471" s="1265"/>
      <c r="CP471" s="669"/>
      <c r="CQ471" s="669"/>
      <c r="CR471" s="669"/>
      <c r="CS471" s="669"/>
      <c r="CT471" s="669"/>
      <c r="CU471" s="669"/>
    </row>
    <row r="472" s="1265" customFormat="1" ht="31" customHeight="1" spans="1:99">
      <c r="A472" s="660">
        <v>45904</v>
      </c>
      <c r="B472" s="661" t="s">
        <v>827</v>
      </c>
      <c r="C472" s="662" t="s">
        <v>524</v>
      </c>
      <c r="D472" s="663">
        <v>4500178828</v>
      </c>
      <c r="E472" s="662" t="s">
        <v>1966</v>
      </c>
      <c r="F472" s="663" t="s">
        <v>1967</v>
      </c>
      <c r="G472" s="659" t="s">
        <v>829</v>
      </c>
      <c r="H472" s="662" t="s">
        <v>830</v>
      </c>
      <c r="I472" s="662">
        <v>64</v>
      </c>
      <c r="J472" s="662">
        <v>0</v>
      </c>
      <c r="K472" s="662">
        <v>1</v>
      </c>
      <c r="L472" s="665">
        <f t="shared" si="137"/>
        <v>64</v>
      </c>
      <c r="M472" s="666">
        <v>45940</v>
      </c>
      <c r="N472" s="666">
        <v>45936</v>
      </c>
      <c r="O472" s="664"/>
      <c r="P472" s="824" t="s">
        <v>113</v>
      </c>
      <c r="Q472" s="667"/>
      <c r="R472" s="667">
        <v>45904</v>
      </c>
      <c r="S472" s="667" t="s">
        <v>70</v>
      </c>
      <c r="T472" s="667" t="s">
        <v>1968</v>
      </c>
      <c r="U472" s="667"/>
      <c r="V472" s="667"/>
      <c r="W472" s="661"/>
      <c r="X472" s="661" t="s">
        <v>1969</v>
      </c>
      <c r="Y472" s="634" t="s">
        <v>529</v>
      </c>
      <c r="Z472" s="1318">
        <v>0</v>
      </c>
      <c r="AA472" s="634">
        <f>Z472*L472</f>
        <v>0</v>
      </c>
      <c r="AC472" s="676" t="s">
        <v>1970</v>
      </c>
      <c r="AD472" s="633" t="s">
        <v>829</v>
      </c>
      <c r="AE472" s="662" t="s">
        <v>82</v>
      </c>
      <c r="AF472" s="662"/>
      <c r="AG472" s="662"/>
      <c r="AH472" s="662"/>
      <c r="AI472" s="662">
        <f>40+4760</f>
        <v>4800</v>
      </c>
      <c r="AJ472" s="664">
        <v>0</v>
      </c>
      <c r="AK472" s="662"/>
      <c r="AL472" s="662"/>
      <c r="AM472" s="663"/>
      <c r="AN472" s="663"/>
      <c r="AO472" s="1328"/>
      <c r="AP472" s="1328"/>
      <c r="AQ472" s="1328"/>
      <c r="AR472" s="663"/>
      <c r="AS472" s="663"/>
      <c r="AT472" s="663"/>
      <c r="AU472" s="663"/>
      <c r="AV472" s="1328"/>
      <c r="AW472" s="663"/>
      <c r="AX472" s="663"/>
      <c r="AY472" s="1328"/>
      <c r="AZ472" s="663"/>
      <c r="BA472" s="1328"/>
      <c r="BB472" s="1328"/>
      <c r="BC472" s="1328"/>
      <c r="BD472" s="663"/>
      <c r="BE472" s="663"/>
      <c r="BF472" s="1328"/>
      <c r="BG472" s="1328"/>
      <c r="BH472" s="663"/>
      <c r="BI472" s="663"/>
      <c r="BJ472" s="1328"/>
      <c r="BK472" s="1328"/>
      <c r="BL472" s="1328"/>
      <c r="BM472" s="1328"/>
      <c r="BN472" s="663"/>
      <c r="BO472" s="1328"/>
      <c r="BP472" s="1328"/>
      <c r="BQ472" s="1265"/>
      <c r="BR472" s="1265"/>
      <c r="BS472" s="1265"/>
      <c r="BT472" s="1265"/>
      <c r="BU472" s="1265"/>
      <c r="BV472" s="1265"/>
      <c r="BW472" s="1265"/>
      <c r="BX472" s="1265"/>
      <c r="BY472" s="1265"/>
      <c r="BZ472" s="1265"/>
      <c r="CA472" s="1265"/>
      <c r="CB472" s="1265"/>
      <c r="CC472" s="1265"/>
      <c r="CD472" s="1265"/>
      <c r="CE472" s="1265"/>
      <c r="CF472" s="1265"/>
      <c r="CG472" s="1265"/>
      <c r="CH472" s="669"/>
      <c r="CI472" s="669"/>
      <c r="CJ472" s="669"/>
      <c r="CK472" s="669"/>
      <c r="CL472" s="669"/>
      <c r="CM472" s="1265"/>
      <c r="CN472" s="1265"/>
      <c r="CO472" s="1265"/>
      <c r="CP472" s="669"/>
      <c r="CQ472" s="669"/>
      <c r="CR472" s="669"/>
      <c r="CS472" s="669"/>
      <c r="CT472" s="669"/>
      <c r="CU472" s="669"/>
    </row>
    <row r="473" s="1265" customFormat="1" ht="31" customHeight="1" spans="1:99">
      <c r="A473" s="660">
        <v>45904</v>
      </c>
      <c r="B473" s="661" t="s">
        <v>827</v>
      </c>
      <c r="C473" s="662" t="s">
        <v>524</v>
      </c>
      <c r="D473" s="663">
        <v>4500178828</v>
      </c>
      <c r="E473" s="662" t="s">
        <v>1966</v>
      </c>
      <c r="F473" s="663" t="s">
        <v>1967</v>
      </c>
      <c r="G473" s="659">
        <v>77673</v>
      </c>
      <c r="H473" s="662" t="s">
        <v>112</v>
      </c>
      <c r="I473" s="662">
        <v>4800</v>
      </c>
      <c r="J473" s="662">
        <v>0</v>
      </c>
      <c r="K473" s="662">
        <v>75</v>
      </c>
      <c r="L473" s="665">
        <f t="shared" si="137"/>
        <v>64</v>
      </c>
      <c r="M473" s="666">
        <v>45940</v>
      </c>
      <c r="N473" s="666">
        <v>45936</v>
      </c>
      <c r="O473" s="664"/>
      <c r="P473" s="824" t="s">
        <v>113</v>
      </c>
      <c r="Q473" s="667"/>
      <c r="R473" s="667">
        <v>45904</v>
      </c>
      <c r="S473" s="667" t="s">
        <v>70</v>
      </c>
      <c r="T473" s="667" t="s">
        <v>1968</v>
      </c>
      <c r="U473" s="667"/>
      <c r="V473" s="667"/>
      <c r="W473" s="661"/>
      <c r="X473" s="661" t="s">
        <v>1969</v>
      </c>
      <c r="Y473" s="634" t="s">
        <v>529</v>
      </c>
      <c r="Z473" s="1318">
        <v>588.0268</v>
      </c>
      <c r="AA473" s="634">
        <f>Z473*L473</f>
        <v>37633.7152</v>
      </c>
      <c r="AC473" s="676" t="s">
        <v>1970</v>
      </c>
      <c r="AD473" s="633" t="s">
        <v>829</v>
      </c>
      <c r="AE473" s="662" t="s">
        <v>82</v>
      </c>
      <c r="AF473" s="662"/>
      <c r="AG473" s="662"/>
      <c r="AH473" s="662"/>
      <c r="AI473" s="662">
        <v>0</v>
      </c>
      <c r="AJ473" s="664">
        <v>0</v>
      </c>
      <c r="AK473" s="662"/>
      <c r="AL473" s="662"/>
      <c r="AM473" s="663"/>
      <c r="AN473" s="663"/>
      <c r="AO473" s="663"/>
      <c r="AP473" s="1328"/>
      <c r="AQ473" s="663">
        <f>I473</f>
        <v>4800</v>
      </c>
      <c r="AR473" s="663"/>
      <c r="AS473" s="663"/>
      <c r="AT473" s="663"/>
      <c r="AU473" s="663"/>
      <c r="AV473" s="1328"/>
      <c r="AW473" s="663"/>
      <c r="AX473" s="663"/>
      <c r="AY473" s="1328"/>
      <c r="AZ473" s="663"/>
      <c r="BA473" s="663">
        <f>I473</f>
        <v>4800</v>
      </c>
      <c r="BB473" s="663">
        <f>I473</f>
        <v>4800</v>
      </c>
      <c r="BC473" s="663">
        <f>I473</f>
        <v>4800</v>
      </c>
      <c r="BD473" s="663"/>
      <c r="BE473" s="663"/>
      <c r="BF473" s="1328"/>
      <c r="BG473" s="1328"/>
      <c r="BH473" s="663"/>
      <c r="BI473" s="663"/>
      <c r="BJ473" s="1328"/>
      <c r="BK473" s="663">
        <f>I473</f>
        <v>4800</v>
      </c>
      <c r="BL473" s="663">
        <f>I473/5</f>
        <v>960</v>
      </c>
      <c r="BM473" s="1328"/>
      <c r="BN473" s="663"/>
      <c r="BO473" s="1328"/>
      <c r="BP473" s="1328"/>
      <c r="BQ473" s="1265"/>
      <c r="BR473" s="1265"/>
      <c r="BS473" s="1265"/>
      <c r="BT473" s="1265"/>
      <c r="BU473" s="1265"/>
      <c r="BV473" s="1265"/>
      <c r="BW473" s="1265"/>
      <c r="BX473" s="1265"/>
      <c r="BY473" s="1265"/>
      <c r="BZ473" s="1265"/>
      <c r="CA473" s="1265"/>
      <c r="CB473" s="1265"/>
      <c r="CC473" s="1265"/>
      <c r="CD473" s="1265"/>
      <c r="CE473" s="1265"/>
      <c r="CF473" s="1265"/>
      <c r="CG473" s="1265"/>
      <c r="CH473" s="669"/>
      <c r="CI473" s="669"/>
      <c r="CJ473" s="669"/>
      <c r="CK473" s="669"/>
      <c r="CL473" s="669"/>
      <c r="CM473" s="1265"/>
      <c r="CN473" s="1265"/>
      <c r="CO473" s="1265"/>
      <c r="CP473" s="669"/>
      <c r="CQ473" s="669"/>
      <c r="CR473" s="669"/>
      <c r="CS473" s="669"/>
      <c r="CT473" s="669"/>
      <c r="CU473" s="669"/>
    </row>
    <row r="474" s="1265" customFormat="1" ht="31" customHeight="1" spans="1:99">
      <c r="A474" s="660">
        <v>45910</v>
      </c>
      <c r="B474" s="661" t="s">
        <v>1971</v>
      </c>
      <c r="C474" s="662" t="s">
        <v>810</v>
      </c>
      <c r="D474" s="663">
        <v>4500179170</v>
      </c>
      <c r="E474" s="662"/>
      <c r="F474" s="663" t="s">
        <v>1972</v>
      </c>
      <c r="G474" s="659" t="s">
        <v>111</v>
      </c>
      <c r="H474" s="662" t="s">
        <v>112</v>
      </c>
      <c r="I474" s="662">
        <v>512</v>
      </c>
      <c r="J474" s="662">
        <v>0</v>
      </c>
      <c r="K474" s="662">
        <v>16</v>
      </c>
      <c r="L474" s="665">
        <f t="shared" si="137"/>
        <v>32</v>
      </c>
      <c r="M474" s="1320">
        <v>45947</v>
      </c>
      <c r="N474" s="1320">
        <v>45944</v>
      </c>
      <c r="O474" s="664"/>
      <c r="P474" s="824" t="s">
        <v>113</v>
      </c>
      <c r="Q474" s="667" t="s">
        <v>1973</v>
      </c>
      <c r="R474" s="667">
        <v>45910</v>
      </c>
      <c r="S474" s="667" t="s">
        <v>70</v>
      </c>
      <c r="T474" s="667" t="s">
        <v>1974</v>
      </c>
      <c r="U474" s="667"/>
      <c r="V474" s="661"/>
      <c r="W474" s="661"/>
      <c r="X474" s="661" t="s">
        <v>1975</v>
      </c>
      <c r="Y474" s="634" t="s">
        <v>230</v>
      </c>
      <c r="Z474" s="1318">
        <v>4.3451</v>
      </c>
      <c r="AA474" s="634">
        <f>Z474*I474</f>
        <v>2224.6912</v>
      </c>
      <c r="AC474" s="676" t="s">
        <v>1976</v>
      </c>
      <c r="AD474" s="633" t="s">
        <v>111</v>
      </c>
      <c r="AE474" s="662" t="s">
        <v>82</v>
      </c>
      <c r="AF474" s="662"/>
      <c r="AG474" s="662"/>
      <c r="AH474" s="662"/>
      <c r="AI474" s="662">
        <v>512</v>
      </c>
      <c r="AJ474" s="664">
        <f>AI474-I474</f>
        <v>0</v>
      </c>
      <c r="AK474" s="662"/>
      <c r="AL474" s="662"/>
      <c r="AM474" s="663"/>
      <c r="AN474" s="663">
        <f>I474</f>
        <v>512</v>
      </c>
      <c r="AO474" s="1328"/>
      <c r="AP474" s="1328"/>
      <c r="AQ474" s="1328"/>
      <c r="AR474" s="663">
        <f>I474</f>
        <v>512</v>
      </c>
      <c r="AS474" s="663"/>
      <c r="AT474" s="663"/>
      <c r="AU474" s="663">
        <f>I474</f>
        <v>512</v>
      </c>
      <c r="AV474" s="1328"/>
      <c r="AW474" s="663">
        <f>I474</f>
        <v>512</v>
      </c>
      <c r="AX474" s="671"/>
      <c r="AY474" s="1328"/>
      <c r="AZ474" s="1328"/>
      <c r="BA474" s="1328"/>
      <c r="BB474" s="1328"/>
      <c r="BC474" s="1328"/>
      <c r="BD474" s="663"/>
      <c r="BE474" s="663"/>
      <c r="BF474" s="1328"/>
      <c r="BG474" s="1328"/>
      <c r="BH474" s="825">
        <f>I474/4</f>
        <v>128</v>
      </c>
      <c r="BI474" s="663"/>
      <c r="BJ474" s="1328"/>
      <c r="BK474" s="1328"/>
      <c r="BL474" s="1328"/>
      <c r="BM474" s="1328"/>
      <c r="BN474" s="663"/>
      <c r="BO474" s="1328"/>
      <c r="BP474" s="1328"/>
      <c r="BQ474" s="1265"/>
      <c r="BR474" s="1265"/>
      <c r="BS474" s="1265"/>
      <c r="BT474" s="1265"/>
      <c r="BU474" s="1265"/>
      <c r="BV474" s="1265"/>
      <c r="BW474" s="1265"/>
      <c r="BX474" s="1265"/>
      <c r="BY474" s="1265"/>
      <c r="BZ474" s="1265"/>
      <c r="CA474" s="1265"/>
      <c r="CB474" s="1265"/>
      <c r="CC474" s="1265"/>
      <c r="CD474" s="1265"/>
      <c r="CE474" s="1265"/>
      <c r="CF474" s="1265"/>
      <c r="CG474" s="1265"/>
      <c r="CH474" s="669"/>
      <c r="CI474" s="669"/>
      <c r="CJ474" s="669"/>
      <c r="CK474" s="669"/>
      <c r="CL474" s="669"/>
      <c r="CM474" s="1265"/>
      <c r="CN474" s="1265"/>
      <c r="CO474" s="1265"/>
      <c r="CP474" s="669"/>
      <c r="CQ474" s="669"/>
      <c r="CR474" s="669"/>
      <c r="CS474" s="669"/>
      <c r="CT474" s="669"/>
      <c r="CU474" s="669"/>
    </row>
    <row r="475" s="1265" customFormat="1" ht="31" customHeight="1" spans="1:99">
      <c r="A475" s="660">
        <v>45941</v>
      </c>
      <c r="B475" s="661" t="s">
        <v>177</v>
      </c>
      <c r="C475" s="662" t="s">
        <v>170</v>
      </c>
      <c r="D475" s="663">
        <v>4500181466</v>
      </c>
      <c r="E475" s="662" t="s">
        <v>1977</v>
      </c>
      <c r="F475" s="663" t="s">
        <v>1978</v>
      </c>
      <c r="G475" s="659" t="s">
        <v>172</v>
      </c>
      <c r="H475" s="662" t="s">
        <v>112</v>
      </c>
      <c r="I475" s="662">
        <v>5000</v>
      </c>
      <c r="J475" s="662">
        <v>0</v>
      </c>
      <c r="K475" s="662">
        <v>2</v>
      </c>
      <c r="L475" s="665">
        <f t="shared" si="137"/>
        <v>2500</v>
      </c>
      <c r="M475" s="666">
        <v>45941</v>
      </c>
      <c r="N475" s="666">
        <v>45937</v>
      </c>
      <c r="O475" s="664"/>
      <c r="P475" s="824" t="s">
        <v>113</v>
      </c>
      <c r="Q475" s="667"/>
      <c r="R475" s="667" t="s">
        <v>1979</v>
      </c>
      <c r="S475" s="667" t="s">
        <v>70</v>
      </c>
      <c r="T475" s="667" t="s">
        <v>1980</v>
      </c>
      <c r="U475" s="667"/>
      <c r="V475" s="661"/>
      <c r="W475" s="661"/>
      <c r="X475" s="661" t="s">
        <v>1981</v>
      </c>
      <c r="Y475" s="634" t="s">
        <v>1318</v>
      </c>
      <c r="Z475" s="1318">
        <v>4.1964</v>
      </c>
      <c r="AA475" s="634">
        <f>Z475*I475</f>
        <v>20982</v>
      </c>
      <c r="AC475" s="676" t="s">
        <v>1982</v>
      </c>
      <c r="AD475" s="633" t="s">
        <v>172</v>
      </c>
      <c r="AE475" s="662" t="s">
        <v>82</v>
      </c>
      <c r="AF475" s="662"/>
      <c r="AG475" s="662"/>
      <c r="AH475" s="662"/>
      <c r="AI475" s="662"/>
      <c r="AJ475" s="664">
        <f>AI475-I475</f>
        <v>-5000</v>
      </c>
      <c r="AK475" s="662"/>
      <c r="AL475" s="662"/>
      <c r="AM475" s="663"/>
      <c r="AN475" s="663">
        <f>I475</f>
        <v>5000</v>
      </c>
      <c r="AO475" s="1328"/>
      <c r="AP475" s="1328"/>
      <c r="AQ475" s="1328"/>
      <c r="AR475" s="663"/>
      <c r="AS475" s="663">
        <f>I475</f>
        <v>5000</v>
      </c>
      <c r="AT475" s="663"/>
      <c r="AU475" s="663">
        <f>I475</f>
        <v>5000</v>
      </c>
      <c r="AV475" s="1328"/>
      <c r="AW475" s="663">
        <f>I475</f>
        <v>5000</v>
      </c>
      <c r="AX475" s="663"/>
      <c r="AY475" s="1328"/>
      <c r="AZ475" s="1328"/>
      <c r="BA475" s="1328"/>
      <c r="BB475" s="1328"/>
      <c r="BC475" s="1328"/>
      <c r="BD475" s="663"/>
      <c r="BE475" s="663"/>
      <c r="BF475" s="1328"/>
      <c r="BG475" s="1328"/>
      <c r="BH475" s="663"/>
      <c r="BI475" s="663"/>
      <c r="BJ475" s="1328"/>
      <c r="BK475" s="1328"/>
      <c r="BL475" s="1328"/>
      <c r="BM475" s="1328"/>
      <c r="BN475" s="663"/>
      <c r="BO475" s="1328"/>
      <c r="BP475" s="1328"/>
      <c r="BQ475" s="1265"/>
      <c r="BR475" s="1265"/>
      <c r="BS475" s="1265"/>
      <c r="BT475" s="1265"/>
      <c r="BU475" s="1265"/>
      <c r="BV475" s="1265"/>
      <c r="BW475" s="1265"/>
      <c r="BX475" s="1265"/>
      <c r="BY475" s="1265"/>
      <c r="BZ475" s="1265"/>
      <c r="CA475" s="1265"/>
      <c r="CB475" s="1265"/>
      <c r="CC475" s="1265"/>
      <c r="CD475" s="1265"/>
      <c r="CE475" s="1265"/>
      <c r="CF475" s="1265"/>
      <c r="CG475" s="1265"/>
      <c r="CH475" s="669"/>
      <c r="CI475" s="669"/>
      <c r="CJ475" s="669"/>
      <c r="CK475" s="669"/>
      <c r="CL475" s="669"/>
      <c r="CM475" s="1265"/>
      <c r="CN475" s="1265"/>
      <c r="CO475" s="1265"/>
      <c r="CP475" s="669"/>
      <c r="CQ475" s="669"/>
      <c r="CR475" s="669"/>
      <c r="CS475" s="669"/>
      <c r="CT475" s="669"/>
      <c r="CU475" s="669"/>
    </row>
    <row r="476" s="1265" customFormat="1" ht="31" customHeight="1" spans="1:99">
      <c r="A476" s="660">
        <v>45881</v>
      </c>
      <c r="B476" s="661" t="s">
        <v>549</v>
      </c>
      <c r="C476" s="662" t="s">
        <v>278</v>
      </c>
      <c r="D476" s="663">
        <v>4500176637</v>
      </c>
      <c r="E476" s="662" t="s">
        <v>1983</v>
      </c>
      <c r="F476" s="663" t="s">
        <v>1984</v>
      </c>
      <c r="G476" s="659" t="s">
        <v>518</v>
      </c>
      <c r="H476" s="662" t="s">
        <v>477</v>
      </c>
      <c r="I476" s="662">
        <v>1182</v>
      </c>
      <c r="J476" s="662">
        <v>0</v>
      </c>
      <c r="K476" s="662">
        <v>6</v>
      </c>
      <c r="L476" s="665">
        <f t="shared" si="137"/>
        <v>197</v>
      </c>
      <c r="M476" s="666">
        <v>45946</v>
      </c>
      <c r="N476" s="666">
        <v>45943</v>
      </c>
      <c r="O476" s="664"/>
      <c r="P476" s="824" t="s">
        <v>113</v>
      </c>
      <c r="Q476" s="667"/>
      <c r="R476" s="667" t="s">
        <v>463</v>
      </c>
      <c r="S476" s="667" t="s">
        <v>104</v>
      </c>
      <c r="T476" s="667" t="s">
        <v>1985</v>
      </c>
      <c r="U476" s="667"/>
      <c r="V476" s="661"/>
      <c r="W476" s="661"/>
      <c r="X476" s="661" t="s">
        <v>1986</v>
      </c>
      <c r="Y476" s="634" t="s">
        <v>466</v>
      </c>
      <c r="Z476" s="1318">
        <v>6.8326</v>
      </c>
      <c r="AA476" s="634">
        <f>Z476*I476</f>
        <v>8076.1332</v>
      </c>
      <c r="AC476" s="676" t="s">
        <v>1960</v>
      </c>
      <c r="AD476" s="633" t="s">
        <v>1875</v>
      </c>
      <c r="AE476" s="662" t="s">
        <v>82</v>
      </c>
      <c r="AF476" s="662"/>
      <c r="AG476" s="662"/>
      <c r="AH476" s="662"/>
      <c r="AI476" s="662">
        <v>1182</v>
      </c>
      <c r="AJ476" s="664">
        <f>AI476-I476</f>
        <v>0</v>
      </c>
      <c r="AK476" s="662"/>
      <c r="AL476" s="662"/>
      <c r="AM476" s="663"/>
      <c r="AN476" s="663">
        <f>I476</f>
        <v>1182</v>
      </c>
      <c r="AO476" s="1328"/>
      <c r="AP476" s="1328"/>
      <c r="AQ476" s="1328"/>
      <c r="AR476" s="663">
        <f>I476</f>
        <v>1182</v>
      </c>
      <c r="AS476" s="663"/>
      <c r="AT476" s="663"/>
      <c r="AU476" s="663">
        <f>I476</f>
        <v>1182</v>
      </c>
      <c r="AV476" s="1328"/>
      <c r="AW476" s="663">
        <f>I476</f>
        <v>1182</v>
      </c>
      <c r="AX476" s="663"/>
      <c r="AY476" s="1328"/>
      <c r="AZ476" s="1328"/>
      <c r="BA476" s="1328"/>
      <c r="BB476" s="1328"/>
      <c r="BC476" s="1328"/>
      <c r="BD476" s="663"/>
      <c r="BE476" s="663"/>
      <c r="BF476" s="1328"/>
      <c r="BG476" s="1328"/>
      <c r="BH476" s="663"/>
      <c r="BI476" s="663"/>
      <c r="BJ476" s="1328"/>
      <c r="BK476" s="1328"/>
      <c r="BL476" s="1328"/>
      <c r="BM476" s="663"/>
      <c r="BN476" s="663">
        <f>I476</f>
        <v>1182</v>
      </c>
      <c r="BO476" s="1328"/>
      <c r="BP476" s="1328"/>
      <c r="BQ476" s="1265"/>
      <c r="BR476" s="1265"/>
      <c r="BS476" s="1265"/>
      <c r="BT476" s="1265"/>
      <c r="BU476" s="1265"/>
      <c r="BV476" s="1265"/>
      <c r="BW476" s="1265"/>
      <c r="BX476" s="1265"/>
      <c r="BY476" s="1265"/>
      <c r="BZ476" s="1265"/>
      <c r="CA476" s="1265"/>
      <c r="CB476" s="1265"/>
      <c r="CC476" s="1265"/>
      <c r="CD476" s="1265"/>
      <c r="CE476" s="1265"/>
      <c r="CF476" s="1265"/>
      <c r="CG476" s="1265"/>
      <c r="CH476" s="669"/>
      <c r="CI476" s="669"/>
      <c r="CJ476" s="669"/>
      <c r="CK476" s="669"/>
      <c r="CL476" s="669"/>
      <c r="CM476" s="1265"/>
      <c r="CN476" s="1265"/>
      <c r="CO476" s="1265"/>
      <c r="CP476" s="669"/>
      <c r="CQ476" s="669"/>
      <c r="CR476" s="669"/>
      <c r="CS476" s="669"/>
      <c r="CT476" s="669"/>
      <c r="CU476" s="669"/>
    </row>
    <row r="477" s="1265" customFormat="1" ht="31" customHeight="1" spans="1:99">
      <c r="A477" s="660">
        <v>45881</v>
      </c>
      <c r="B477" s="661" t="s">
        <v>549</v>
      </c>
      <c r="C477" s="662" t="s">
        <v>154</v>
      </c>
      <c r="D477" s="663">
        <v>4500176637</v>
      </c>
      <c r="E477" s="662" t="s">
        <v>1961</v>
      </c>
      <c r="F477" s="663" t="s">
        <v>1987</v>
      </c>
      <c r="G477" s="659" t="s">
        <v>518</v>
      </c>
      <c r="H477" s="662" t="s">
        <v>477</v>
      </c>
      <c r="I477" s="662">
        <v>780</v>
      </c>
      <c r="J477" s="662">
        <v>0</v>
      </c>
      <c r="K477" s="662">
        <v>6</v>
      </c>
      <c r="L477" s="665">
        <f t="shared" si="137"/>
        <v>130</v>
      </c>
      <c r="M477" s="666">
        <v>45946</v>
      </c>
      <c r="N477" s="666">
        <v>45943</v>
      </c>
      <c r="O477" s="664"/>
      <c r="P477" s="824" t="s">
        <v>113</v>
      </c>
      <c r="Q477" s="667"/>
      <c r="R477" s="667" t="s">
        <v>463</v>
      </c>
      <c r="S477" s="667" t="s">
        <v>104</v>
      </c>
      <c r="T477" s="667" t="s">
        <v>1985</v>
      </c>
      <c r="U477" s="667"/>
      <c r="V477" s="661"/>
      <c r="W477" s="661"/>
      <c r="X477" s="661" t="s">
        <v>1986</v>
      </c>
      <c r="Y477" s="634" t="s">
        <v>466</v>
      </c>
      <c r="Z477" s="1318">
        <v>7.1628</v>
      </c>
      <c r="AA477" s="634">
        <f>Z477*I477</f>
        <v>5586.984</v>
      </c>
      <c r="AC477" s="676" t="s">
        <v>1988</v>
      </c>
      <c r="AD477" s="633" t="s">
        <v>1875</v>
      </c>
      <c r="AE477" s="662" t="s">
        <v>82</v>
      </c>
      <c r="AF477" s="662"/>
      <c r="AG477" s="662"/>
      <c r="AH477" s="662"/>
      <c r="AI477" s="662">
        <v>780</v>
      </c>
      <c r="AJ477" s="664">
        <f>AI477-I477</f>
        <v>0</v>
      </c>
      <c r="AK477" s="662"/>
      <c r="AL477" s="662"/>
      <c r="AM477" s="663"/>
      <c r="AN477" s="663">
        <f>I477</f>
        <v>780</v>
      </c>
      <c r="AO477" s="1328"/>
      <c r="AP477" s="1328"/>
      <c r="AQ477" s="1328"/>
      <c r="AR477" s="663">
        <f>I477</f>
        <v>780</v>
      </c>
      <c r="AS477" s="663"/>
      <c r="AT477" s="663"/>
      <c r="AU477" s="663">
        <f>I477</f>
        <v>780</v>
      </c>
      <c r="AV477" s="1328"/>
      <c r="AW477" s="663">
        <f>I477</f>
        <v>780</v>
      </c>
      <c r="AX477" s="663"/>
      <c r="AY477" s="1328"/>
      <c r="AZ477" s="1328"/>
      <c r="BA477" s="1328"/>
      <c r="BB477" s="1328"/>
      <c r="BC477" s="1328"/>
      <c r="BD477" s="663"/>
      <c r="BE477" s="663"/>
      <c r="BF477" s="1328"/>
      <c r="BG477" s="1328"/>
      <c r="BH477" s="663"/>
      <c r="BI477" s="663"/>
      <c r="BJ477" s="1328"/>
      <c r="BK477" s="1328"/>
      <c r="BL477" s="1328"/>
      <c r="BM477" s="663"/>
      <c r="BN477" s="663">
        <f>I477</f>
        <v>780</v>
      </c>
      <c r="BO477" s="1328"/>
      <c r="BP477" s="1328"/>
      <c r="BQ477" s="1265"/>
      <c r="BR477" s="1265"/>
      <c r="BS477" s="1265"/>
      <c r="BT477" s="1265"/>
      <c r="BU477" s="1265"/>
      <c r="BV477" s="1265"/>
      <c r="BW477" s="1265"/>
      <c r="BX477" s="1265"/>
      <c r="BY477" s="1265"/>
      <c r="BZ477" s="1265"/>
      <c r="CA477" s="1265"/>
      <c r="CB477" s="1265"/>
      <c r="CC477" s="1265"/>
      <c r="CD477" s="1265"/>
      <c r="CE477" s="1265"/>
      <c r="CF477" s="1265"/>
      <c r="CG477" s="1265"/>
      <c r="CH477" s="669"/>
      <c r="CI477" s="669"/>
      <c r="CJ477" s="669"/>
      <c r="CK477" s="669"/>
      <c r="CL477" s="669"/>
      <c r="CM477" s="1265"/>
      <c r="CN477" s="1265"/>
      <c r="CO477" s="1265"/>
      <c r="CP477" s="669"/>
      <c r="CQ477" s="669"/>
      <c r="CR477" s="669"/>
      <c r="CS477" s="669"/>
      <c r="CT477" s="669"/>
      <c r="CU477" s="669"/>
    </row>
    <row r="478" s="1265" customFormat="1" ht="31" customHeight="1" spans="1:99">
      <c r="A478" s="660">
        <v>45890</v>
      </c>
      <c r="B478" s="661" t="s">
        <v>1989</v>
      </c>
      <c r="C478" s="662" t="s">
        <v>278</v>
      </c>
      <c r="D478" s="663">
        <v>4500177504</v>
      </c>
      <c r="E478" s="662" t="s">
        <v>1990</v>
      </c>
      <c r="F478" s="663" t="s">
        <v>1991</v>
      </c>
      <c r="G478" s="659" t="s">
        <v>518</v>
      </c>
      <c r="H478" s="662" t="s">
        <v>477</v>
      </c>
      <c r="I478" s="662">
        <v>720</v>
      </c>
      <c r="J478" s="662">
        <v>0</v>
      </c>
      <c r="K478" s="662">
        <v>6</v>
      </c>
      <c r="L478" s="665">
        <f t="shared" si="137"/>
        <v>120</v>
      </c>
      <c r="M478" s="666">
        <v>45946</v>
      </c>
      <c r="N478" s="666">
        <v>45943</v>
      </c>
      <c r="O478" s="664"/>
      <c r="P478" s="824" t="s">
        <v>113</v>
      </c>
      <c r="Q478" s="667"/>
      <c r="R478" s="667" t="s">
        <v>1992</v>
      </c>
      <c r="S478" s="667" t="s">
        <v>104</v>
      </c>
      <c r="T478" s="667" t="s">
        <v>1993</v>
      </c>
      <c r="U478" s="667"/>
      <c r="V478" s="661"/>
      <c r="W478" s="661"/>
      <c r="X478" s="661" t="s">
        <v>1994</v>
      </c>
      <c r="Y478" s="634" t="s">
        <v>466</v>
      </c>
      <c r="Z478" s="1318">
        <v>7.1628</v>
      </c>
      <c r="AA478" s="634">
        <f>Z478*I478</f>
        <v>5157.216</v>
      </c>
      <c r="AC478" s="676" t="s">
        <v>1995</v>
      </c>
      <c r="AD478" s="633" t="s">
        <v>1996</v>
      </c>
      <c r="AE478" s="662" t="s">
        <v>82</v>
      </c>
      <c r="AF478" s="662"/>
      <c r="AG478" s="662"/>
      <c r="AH478" s="662"/>
      <c r="AI478" s="662">
        <v>720</v>
      </c>
      <c r="AJ478" s="664">
        <f>AI478-I478</f>
        <v>0</v>
      </c>
      <c r="AK478" s="662"/>
      <c r="AL478" s="662"/>
      <c r="AM478" s="663"/>
      <c r="AN478" s="663">
        <f>I478</f>
        <v>720</v>
      </c>
      <c r="AO478" s="1328"/>
      <c r="AP478" s="1328"/>
      <c r="AQ478" s="1328"/>
      <c r="AR478" s="663"/>
      <c r="AS478" s="663">
        <f>I478</f>
        <v>720</v>
      </c>
      <c r="AT478" s="663"/>
      <c r="AU478" s="663">
        <f>I478</f>
        <v>720</v>
      </c>
      <c r="AV478" s="1328"/>
      <c r="AW478" s="663">
        <f>I478</f>
        <v>720</v>
      </c>
      <c r="AX478" s="663"/>
      <c r="AY478" s="1328"/>
      <c r="AZ478" s="1328"/>
      <c r="BA478" s="1328"/>
      <c r="BB478" s="1328"/>
      <c r="BC478" s="1328"/>
      <c r="BD478" s="663"/>
      <c r="BE478" s="663"/>
      <c r="BF478" s="1328"/>
      <c r="BG478" s="1328"/>
      <c r="BH478" s="663"/>
      <c r="BI478" s="663"/>
      <c r="BJ478" s="1328"/>
      <c r="BK478" s="1328"/>
      <c r="BL478" s="1328"/>
      <c r="BM478" s="663"/>
      <c r="BN478" s="663">
        <f>I478</f>
        <v>720</v>
      </c>
      <c r="BO478" s="1328"/>
      <c r="BP478" s="1328"/>
      <c r="BQ478" s="1265"/>
      <c r="BR478" s="1265"/>
      <c r="BS478" s="1265"/>
      <c r="BT478" s="1265"/>
      <c r="BU478" s="1265"/>
      <c r="BV478" s="1265"/>
      <c r="BW478" s="1265"/>
      <c r="BX478" s="1265"/>
      <c r="BY478" s="1265"/>
      <c r="BZ478" s="1265"/>
      <c r="CA478" s="1265"/>
      <c r="CB478" s="1265"/>
      <c r="CC478" s="1265"/>
      <c r="CD478" s="1265"/>
      <c r="CE478" s="1265"/>
      <c r="CF478" s="1265"/>
      <c r="CG478" s="1265"/>
      <c r="CH478" s="669"/>
      <c r="CI478" s="669"/>
      <c r="CJ478" s="669"/>
      <c r="CK478" s="669"/>
      <c r="CL478" s="669"/>
      <c r="CM478" s="1265"/>
      <c r="CN478" s="1265"/>
      <c r="CO478" s="1265"/>
      <c r="CP478" s="669"/>
      <c r="CQ478" s="669"/>
      <c r="CR478" s="669"/>
      <c r="CS478" s="669"/>
      <c r="CT478" s="669"/>
      <c r="CU478" s="669"/>
    </row>
    <row r="479" s="1265" customFormat="1" ht="31" customHeight="1" spans="1:99">
      <c r="A479" s="660">
        <v>45887</v>
      </c>
      <c r="B479" s="661" t="s">
        <v>325</v>
      </c>
      <c r="C479" s="662" t="s">
        <v>98</v>
      </c>
      <c r="D479" s="663">
        <v>4500177143</v>
      </c>
      <c r="E479" s="662" t="s">
        <v>1997</v>
      </c>
      <c r="F479" s="663" t="s">
        <v>1998</v>
      </c>
      <c r="G479" s="659" t="s">
        <v>249</v>
      </c>
      <c r="H479" s="662" t="s">
        <v>250</v>
      </c>
      <c r="I479" s="662">
        <v>43000</v>
      </c>
      <c r="J479" s="662">
        <v>0</v>
      </c>
      <c r="K479" s="662">
        <v>4</v>
      </c>
      <c r="L479" s="665">
        <f t="shared" si="137"/>
        <v>10750</v>
      </c>
      <c r="M479" s="666">
        <v>45947</v>
      </c>
      <c r="N479" s="666">
        <v>45943</v>
      </c>
      <c r="O479" s="664"/>
      <c r="P479" s="824" t="s">
        <v>113</v>
      </c>
      <c r="Q479" s="667"/>
      <c r="R479" s="667">
        <v>45915</v>
      </c>
      <c r="S479" s="667" t="s">
        <v>104</v>
      </c>
      <c r="T479" s="667" t="s">
        <v>1999</v>
      </c>
      <c r="U479" s="667"/>
      <c r="V479" s="661" t="s">
        <v>2000</v>
      </c>
      <c r="W479" s="661"/>
      <c r="X479" s="661" t="s">
        <v>1664</v>
      </c>
      <c r="Y479" s="634" t="s">
        <v>252</v>
      </c>
      <c r="Z479" s="1318">
        <v>2.7734</v>
      </c>
      <c r="AA479" s="634">
        <f t="shared" ref="AA475:AA512" si="144">Z479*I479</f>
        <v>119256.2</v>
      </c>
      <c r="AC479" s="638" t="s">
        <v>2001</v>
      </c>
      <c r="AD479" s="633" t="s">
        <v>249</v>
      </c>
      <c r="AE479" s="662" t="s">
        <v>82</v>
      </c>
      <c r="AF479" s="662"/>
      <c r="AG479" s="662"/>
      <c r="AH479" s="662"/>
      <c r="AI479" s="662">
        <f>7920+10080+19440+4840+720</f>
        <v>43000</v>
      </c>
      <c r="AJ479" s="664">
        <f t="shared" ref="AJ475:AJ490" si="145">AI479-I479</f>
        <v>0</v>
      </c>
      <c r="AK479" s="662"/>
      <c r="AL479" s="662"/>
      <c r="AM479" s="663"/>
      <c r="AN479" s="663"/>
      <c r="AO479" s="1328"/>
      <c r="AP479" s="663">
        <f>I479</f>
        <v>43000</v>
      </c>
      <c r="AQ479" s="1328"/>
      <c r="AR479" s="663"/>
      <c r="AS479" s="663"/>
      <c r="AT479" s="663"/>
      <c r="AU479" s="663"/>
      <c r="AV479" s="1328"/>
      <c r="AW479" s="663">
        <f t="shared" ref="AW475:AW501" si="146">I479</f>
        <v>43000</v>
      </c>
      <c r="AX479" s="663"/>
      <c r="AY479" s="1328"/>
      <c r="AZ479" s="1328"/>
      <c r="BA479" s="1328"/>
      <c r="BB479" s="1328"/>
      <c r="BC479" s="1328"/>
      <c r="BD479" s="663"/>
      <c r="BE479" s="663"/>
      <c r="BF479" s="663">
        <f>I479</f>
        <v>43000</v>
      </c>
      <c r="BG479" s="663">
        <f>I479</f>
        <v>43000</v>
      </c>
      <c r="BH479" s="825">
        <f>I479/4</f>
        <v>10750</v>
      </c>
      <c r="BI479" s="663"/>
      <c r="BJ479" s="1328"/>
      <c r="BK479" s="1328"/>
      <c r="BL479" s="1328"/>
      <c r="BM479" s="1328"/>
      <c r="BN479" s="663"/>
      <c r="BO479" s="1328"/>
      <c r="BP479" s="1328"/>
      <c r="BQ479" s="1265"/>
      <c r="BR479" s="1265"/>
      <c r="BS479" s="1265"/>
      <c r="BT479" s="1265"/>
      <c r="BU479" s="1265"/>
      <c r="BV479" s="1265"/>
      <c r="BW479" s="1265"/>
      <c r="BX479" s="1265"/>
      <c r="BY479" s="1265"/>
      <c r="BZ479" s="1265"/>
      <c r="CA479" s="1265"/>
      <c r="CB479" s="1265"/>
      <c r="CC479" s="1265"/>
      <c r="CD479" s="1265"/>
      <c r="CE479" s="1265"/>
      <c r="CF479" s="1265"/>
      <c r="CG479" s="1265"/>
      <c r="CH479" s="669"/>
      <c r="CI479" s="669"/>
      <c r="CJ479" s="669"/>
      <c r="CK479" s="669"/>
      <c r="CL479" s="669"/>
      <c r="CM479" s="1265"/>
      <c r="CN479" s="1265"/>
      <c r="CO479" s="1265"/>
      <c r="CP479" s="669"/>
      <c r="CQ479" s="669"/>
      <c r="CR479" s="669"/>
      <c r="CS479" s="669"/>
      <c r="CT479" s="669"/>
      <c r="CU479" s="669"/>
    </row>
    <row r="480" s="1265" customFormat="1" ht="31" customHeight="1" spans="1:99">
      <c r="A480" s="660">
        <v>45890</v>
      </c>
      <c r="B480" s="661" t="s">
        <v>205</v>
      </c>
      <c r="C480" s="662" t="s">
        <v>98</v>
      </c>
      <c r="D480" s="663">
        <v>4500177486</v>
      </c>
      <c r="E480" s="662">
        <v>218056833</v>
      </c>
      <c r="F480" s="663" t="s">
        <v>2002</v>
      </c>
      <c r="G480" s="659" t="s">
        <v>207</v>
      </c>
      <c r="H480" s="662" t="s">
        <v>102</v>
      </c>
      <c r="I480" s="662">
        <v>3252</v>
      </c>
      <c r="J480" s="662">
        <v>0</v>
      </c>
      <c r="K480" s="662">
        <v>4</v>
      </c>
      <c r="L480" s="665">
        <f t="shared" si="137"/>
        <v>813</v>
      </c>
      <c r="M480" s="666">
        <v>45950</v>
      </c>
      <c r="N480" s="666">
        <v>45946</v>
      </c>
      <c r="O480" s="664"/>
      <c r="P480" s="824" t="s">
        <v>113</v>
      </c>
      <c r="Q480" s="667"/>
      <c r="R480" s="667">
        <v>45909</v>
      </c>
      <c r="S480" s="667" t="s">
        <v>70</v>
      </c>
      <c r="T480" s="667" t="s">
        <v>70</v>
      </c>
      <c r="U480" s="667"/>
      <c r="V480" s="661"/>
      <c r="W480" s="661"/>
      <c r="X480" s="661" t="s">
        <v>208</v>
      </c>
      <c r="Y480" s="634" t="s">
        <v>2003</v>
      </c>
      <c r="Z480" s="1318">
        <v>2.6065</v>
      </c>
      <c r="AA480" s="634">
        <f t="shared" si="144"/>
        <v>8476.338</v>
      </c>
      <c r="AC480" s="638" t="s">
        <v>2004</v>
      </c>
      <c r="AD480" s="633" t="s">
        <v>207</v>
      </c>
      <c r="AE480" s="662" t="s">
        <v>82</v>
      </c>
      <c r="AF480" s="662"/>
      <c r="AG480" s="662"/>
      <c r="AH480" s="662"/>
      <c r="AI480" s="662">
        <v>3252</v>
      </c>
      <c r="AJ480" s="664">
        <f t="shared" si="145"/>
        <v>0</v>
      </c>
      <c r="AK480" s="662"/>
      <c r="AL480" s="662"/>
      <c r="AM480" s="663"/>
      <c r="AN480" s="663">
        <f t="shared" ref="AN480:AN487" si="147">I480</f>
        <v>3252</v>
      </c>
      <c r="AO480" s="1328"/>
      <c r="AP480" s="1328"/>
      <c r="AQ480" s="1328"/>
      <c r="AR480" s="663">
        <f>I480</f>
        <v>3252</v>
      </c>
      <c r="AS480" s="663"/>
      <c r="AT480" s="663"/>
      <c r="AU480" s="663">
        <f>I480</f>
        <v>3252</v>
      </c>
      <c r="AV480" s="1328"/>
      <c r="AW480" s="663">
        <f t="shared" si="146"/>
        <v>3252</v>
      </c>
      <c r="AX480" s="663"/>
      <c r="AY480" s="1328"/>
      <c r="AZ480" s="1328"/>
      <c r="BA480" s="1328"/>
      <c r="BB480" s="1328"/>
      <c r="BC480" s="1328"/>
      <c r="BD480" s="663"/>
      <c r="BE480" s="663"/>
      <c r="BF480" s="1328"/>
      <c r="BG480" s="1328"/>
      <c r="BH480" s="663"/>
      <c r="BI480" s="663"/>
      <c r="BJ480" s="1328"/>
      <c r="BK480" s="1328"/>
      <c r="BL480" s="1328"/>
      <c r="BM480" s="1328"/>
      <c r="BN480" s="663"/>
      <c r="BO480" s="1328"/>
      <c r="BP480" s="1328"/>
      <c r="BQ480" s="1265"/>
      <c r="BR480" s="1265"/>
      <c r="BS480" s="1265"/>
      <c r="BT480" s="1265"/>
      <c r="BU480" s="1265"/>
      <c r="BV480" s="1265"/>
      <c r="BW480" s="1265"/>
      <c r="BX480" s="1265"/>
      <c r="BY480" s="1265"/>
      <c r="BZ480" s="1265"/>
      <c r="CA480" s="1265"/>
      <c r="CB480" s="1265"/>
      <c r="CC480" s="1265"/>
      <c r="CD480" s="1265"/>
      <c r="CE480" s="1265"/>
      <c r="CF480" s="1265"/>
      <c r="CG480" s="1265"/>
      <c r="CH480" s="669"/>
      <c r="CI480" s="669"/>
      <c r="CJ480" s="669"/>
      <c r="CK480" s="669"/>
      <c r="CL480" s="669"/>
      <c r="CM480" s="1265"/>
      <c r="CN480" s="1265"/>
      <c r="CO480" s="1265"/>
      <c r="CP480" s="669"/>
      <c r="CQ480" s="669"/>
      <c r="CR480" s="669"/>
      <c r="CS480" s="669"/>
      <c r="CT480" s="669"/>
      <c r="CU480" s="669"/>
    </row>
    <row r="481" s="1265" customFormat="1" ht="31" customHeight="1" spans="1:99">
      <c r="A481" s="660">
        <v>45890</v>
      </c>
      <c r="B481" s="661" t="s">
        <v>205</v>
      </c>
      <c r="C481" s="662" t="s">
        <v>98</v>
      </c>
      <c r="D481" s="663">
        <v>4500177487</v>
      </c>
      <c r="E481" s="662">
        <v>218056858</v>
      </c>
      <c r="F481" s="663" t="s">
        <v>2005</v>
      </c>
      <c r="G481" s="659" t="s">
        <v>207</v>
      </c>
      <c r="H481" s="662" t="s">
        <v>102</v>
      </c>
      <c r="I481" s="662">
        <v>1748</v>
      </c>
      <c r="J481" s="662">
        <v>0</v>
      </c>
      <c r="K481" s="662">
        <v>4</v>
      </c>
      <c r="L481" s="665">
        <f t="shared" si="137"/>
        <v>437</v>
      </c>
      <c r="M481" s="666">
        <v>45950</v>
      </c>
      <c r="N481" s="666">
        <v>45946</v>
      </c>
      <c r="O481" s="664"/>
      <c r="P481" s="824" t="s">
        <v>113</v>
      </c>
      <c r="Q481" s="667"/>
      <c r="R481" s="667">
        <v>45909</v>
      </c>
      <c r="S481" s="667" t="s">
        <v>70</v>
      </c>
      <c r="T481" s="667" t="s">
        <v>70</v>
      </c>
      <c r="U481" s="667"/>
      <c r="V481" s="661"/>
      <c r="W481" s="661"/>
      <c r="X481" s="661" t="s">
        <v>208</v>
      </c>
      <c r="Y481" s="634" t="s">
        <v>2003</v>
      </c>
      <c r="Z481" s="1318">
        <v>2.6096</v>
      </c>
      <c r="AA481" s="634">
        <f t="shared" si="144"/>
        <v>4561.5808</v>
      </c>
      <c r="AC481" s="638" t="s">
        <v>2006</v>
      </c>
      <c r="AD481" s="633" t="s">
        <v>207</v>
      </c>
      <c r="AE481" s="662" t="s">
        <v>82</v>
      </c>
      <c r="AF481" s="662"/>
      <c r="AG481" s="662"/>
      <c r="AH481" s="662"/>
      <c r="AI481" s="662">
        <v>1748</v>
      </c>
      <c r="AJ481" s="664">
        <f t="shared" si="145"/>
        <v>0</v>
      </c>
      <c r="AK481" s="662"/>
      <c r="AL481" s="662"/>
      <c r="AM481" s="663"/>
      <c r="AN481" s="663">
        <f t="shared" si="147"/>
        <v>1748</v>
      </c>
      <c r="AO481" s="1328"/>
      <c r="AP481" s="1328"/>
      <c r="AQ481" s="1328"/>
      <c r="AR481" s="663">
        <f>I481</f>
        <v>1748</v>
      </c>
      <c r="AS481" s="663"/>
      <c r="AT481" s="663"/>
      <c r="AU481" s="663">
        <f>I481</f>
        <v>1748</v>
      </c>
      <c r="AV481" s="1328"/>
      <c r="AW481" s="663">
        <f t="shared" si="146"/>
        <v>1748</v>
      </c>
      <c r="AX481" s="663"/>
      <c r="AY481" s="1328"/>
      <c r="AZ481" s="1328"/>
      <c r="BA481" s="1328"/>
      <c r="BB481" s="1328"/>
      <c r="BC481" s="1328"/>
      <c r="BD481" s="663"/>
      <c r="BE481" s="663"/>
      <c r="BF481" s="1328"/>
      <c r="BG481" s="1328"/>
      <c r="BH481" s="663"/>
      <c r="BI481" s="663"/>
      <c r="BJ481" s="1328"/>
      <c r="BK481" s="1328"/>
      <c r="BL481" s="1328"/>
      <c r="BM481" s="1328"/>
      <c r="BN481" s="663"/>
      <c r="BO481" s="1328"/>
      <c r="BP481" s="1328"/>
      <c r="BQ481" s="1265"/>
      <c r="BR481" s="1265"/>
      <c r="BS481" s="1265"/>
      <c r="BT481" s="1265"/>
      <c r="BU481" s="1265"/>
      <c r="BV481" s="1265"/>
      <c r="BW481" s="1265"/>
      <c r="BX481" s="1265"/>
      <c r="BY481" s="1265"/>
      <c r="BZ481" s="1265"/>
      <c r="CA481" s="1265"/>
      <c r="CB481" s="1265"/>
      <c r="CC481" s="1265"/>
      <c r="CD481" s="1265"/>
      <c r="CE481" s="1265"/>
      <c r="CF481" s="1265"/>
      <c r="CG481" s="1265"/>
      <c r="CH481" s="669"/>
      <c r="CI481" s="669"/>
      <c r="CJ481" s="669"/>
      <c r="CK481" s="669"/>
      <c r="CL481" s="669"/>
      <c r="CM481" s="1265"/>
      <c r="CN481" s="1265"/>
      <c r="CO481" s="1265"/>
      <c r="CP481" s="669"/>
      <c r="CQ481" s="669"/>
      <c r="CR481" s="669"/>
      <c r="CS481" s="669"/>
      <c r="CT481" s="669"/>
      <c r="CU481" s="669"/>
    </row>
    <row r="482" s="1265" customFormat="1" ht="31" customHeight="1" spans="1:99">
      <c r="A482" s="660">
        <v>45896</v>
      </c>
      <c r="B482" s="661" t="s">
        <v>1620</v>
      </c>
      <c r="C482" s="662" t="s">
        <v>278</v>
      </c>
      <c r="D482" s="663">
        <v>4500177886</v>
      </c>
      <c r="E482" s="662">
        <v>4400505159</v>
      </c>
      <c r="F482" s="663" t="s">
        <v>2007</v>
      </c>
      <c r="G482" s="659" t="s">
        <v>164</v>
      </c>
      <c r="H482" s="662" t="s">
        <v>112</v>
      </c>
      <c r="I482" s="662">
        <v>5000</v>
      </c>
      <c r="J482" s="662">
        <v>0</v>
      </c>
      <c r="K482" s="662">
        <v>8</v>
      </c>
      <c r="L482" s="665">
        <f t="shared" si="137"/>
        <v>625</v>
      </c>
      <c r="M482" s="666">
        <v>45950</v>
      </c>
      <c r="N482" s="666">
        <v>45946</v>
      </c>
      <c r="O482" s="664"/>
      <c r="P482" s="824" t="s">
        <v>113</v>
      </c>
      <c r="Q482" s="667"/>
      <c r="R482" s="667">
        <v>45896</v>
      </c>
      <c r="S482" s="667" t="s">
        <v>70</v>
      </c>
      <c r="T482" s="667" t="s">
        <v>1943</v>
      </c>
      <c r="U482" s="667"/>
      <c r="V482" s="661"/>
      <c r="W482" s="661"/>
      <c r="X482" s="661" t="s">
        <v>2008</v>
      </c>
      <c r="Y482" s="634" t="s">
        <v>1549</v>
      </c>
      <c r="Z482" s="1318">
        <v>4.3508</v>
      </c>
      <c r="AA482" s="634">
        <f t="shared" si="144"/>
        <v>21754</v>
      </c>
      <c r="AC482" s="676" t="s">
        <v>2009</v>
      </c>
      <c r="AD482" s="633" t="s">
        <v>164</v>
      </c>
      <c r="AE482" s="662" t="s">
        <v>82</v>
      </c>
      <c r="AF482" s="662"/>
      <c r="AG482" s="662"/>
      <c r="AH482" s="662"/>
      <c r="AI482" s="662">
        <v>5000</v>
      </c>
      <c r="AJ482" s="664">
        <f t="shared" si="145"/>
        <v>0</v>
      </c>
      <c r="AK482" s="662"/>
      <c r="AL482" s="662"/>
      <c r="AM482" s="663"/>
      <c r="AN482" s="663">
        <f t="shared" si="147"/>
        <v>5000</v>
      </c>
      <c r="AO482" s="1328"/>
      <c r="AP482" s="1328"/>
      <c r="AQ482" s="1328"/>
      <c r="AR482" s="663"/>
      <c r="AS482" s="663"/>
      <c r="AT482" s="663"/>
      <c r="AU482" s="663"/>
      <c r="AV482" s="1328"/>
      <c r="AW482" s="663">
        <f t="shared" si="146"/>
        <v>5000</v>
      </c>
      <c r="AX482" s="663"/>
      <c r="AY482" s="1328"/>
      <c r="AZ482" s="1328"/>
      <c r="BA482" s="1328"/>
      <c r="BB482" s="1328"/>
      <c r="BC482" s="1328"/>
      <c r="BD482" s="663">
        <f>I482</f>
        <v>5000</v>
      </c>
      <c r="BE482" s="663">
        <f>I482</f>
        <v>5000</v>
      </c>
      <c r="BF482" s="1328"/>
      <c r="BG482" s="1328"/>
      <c r="BH482" s="663"/>
      <c r="BI482" s="825">
        <f>I482/4</f>
        <v>1250</v>
      </c>
      <c r="BJ482" s="1328"/>
      <c r="BK482" s="1328"/>
      <c r="BL482" s="1328"/>
      <c r="BM482" s="1328"/>
      <c r="BN482" s="663"/>
      <c r="BO482" s="1328"/>
      <c r="BP482" s="1328"/>
      <c r="BQ482" s="1265"/>
      <c r="BR482" s="1265"/>
      <c r="BS482" s="1265"/>
      <c r="BT482" s="1265"/>
      <c r="BU482" s="1265"/>
      <c r="BV482" s="1265"/>
      <c r="BW482" s="1265"/>
      <c r="BX482" s="1265"/>
      <c r="BY482" s="1265"/>
      <c r="BZ482" s="1265"/>
      <c r="CA482" s="1265"/>
      <c r="CB482" s="1265"/>
      <c r="CC482" s="1265"/>
      <c r="CD482" s="1265"/>
      <c r="CE482" s="1265"/>
      <c r="CF482" s="1265"/>
      <c r="CG482" s="1265"/>
      <c r="CH482" s="669"/>
      <c r="CI482" s="669"/>
      <c r="CJ482" s="669"/>
      <c r="CK482" s="669"/>
      <c r="CL482" s="669"/>
      <c r="CM482" s="1265"/>
      <c r="CN482" s="1265"/>
      <c r="CO482" s="1265"/>
      <c r="CP482" s="669"/>
      <c r="CQ482" s="669"/>
      <c r="CR482" s="669"/>
      <c r="CS482" s="669"/>
      <c r="CT482" s="669"/>
      <c r="CU482" s="669"/>
    </row>
    <row r="483" s="1265" customFormat="1" ht="31" customHeight="1" spans="1:99">
      <c r="A483" s="660">
        <v>45896</v>
      </c>
      <c r="B483" s="661" t="s">
        <v>1620</v>
      </c>
      <c r="C483" s="662" t="s">
        <v>278</v>
      </c>
      <c r="D483" s="663">
        <v>4500177873</v>
      </c>
      <c r="E483" s="662">
        <v>4400505158</v>
      </c>
      <c r="F483" s="663" t="s">
        <v>2010</v>
      </c>
      <c r="G483" s="659" t="s">
        <v>164</v>
      </c>
      <c r="H483" s="662" t="s">
        <v>112</v>
      </c>
      <c r="I483" s="1324">
        <v>4504</v>
      </c>
      <c r="J483" s="662">
        <v>0</v>
      </c>
      <c r="K483" s="662">
        <v>8</v>
      </c>
      <c r="L483" s="665">
        <f t="shared" si="137"/>
        <v>563</v>
      </c>
      <c r="M483" s="666">
        <v>45950</v>
      </c>
      <c r="N483" s="666">
        <v>45946</v>
      </c>
      <c r="O483" s="664"/>
      <c r="P483" s="824" t="s">
        <v>113</v>
      </c>
      <c r="Q483" s="667"/>
      <c r="R483" s="667">
        <v>45896</v>
      </c>
      <c r="S483" s="667" t="s">
        <v>70</v>
      </c>
      <c r="T483" s="667" t="s">
        <v>1943</v>
      </c>
      <c r="U483" s="667"/>
      <c r="V483" s="661"/>
      <c r="W483" s="661"/>
      <c r="X483" s="1321" t="s">
        <v>2008</v>
      </c>
      <c r="Y483" s="634" t="s">
        <v>1549</v>
      </c>
      <c r="Z483" s="1318">
        <v>4.2661</v>
      </c>
      <c r="AA483" s="634">
        <f t="shared" si="144"/>
        <v>19214.5144</v>
      </c>
      <c r="AC483" s="638" t="s">
        <v>2011</v>
      </c>
      <c r="AD483" s="633" t="s">
        <v>164</v>
      </c>
      <c r="AE483" s="662" t="s">
        <v>82</v>
      </c>
      <c r="AF483" s="662"/>
      <c r="AG483" s="662"/>
      <c r="AH483" s="662"/>
      <c r="AI483" s="662">
        <f>4176+328</f>
        <v>4504</v>
      </c>
      <c r="AJ483" s="664">
        <f t="shared" si="145"/>
        <v>0</v>
      </c>
      <c r="AK483" s="662"/>
      <c r="AL483" s="662"/>
      <c r="AM483" s="663"/>
      <c r="AN483" s="663">
        <f t="shared" si="147"/>
        <v>4504</v>
      </c>
      <c r="AO483" s="1328"/>
      <c r="AP483" s="1328"/>
      <c r="AQ483" s="1328"/>
      <c r="AR483" s="663"/>
      <c r="AS483" s="663"/>
      <c r="AT483" s="663"/>
      <c r="AU483" s="663"/>
      <c r="AV483" s="1328"/>
      <c r="AW483" s="663">
        <f t="shared" si="146"/>
        <v>4504</v>
      </c>
      <c r="AX483" s="663"/>
      <c r="AY483" s="1328"/>
      <c r="AZ483" s="1328"/>
      <c r="BA483" s="1328"/>
      <c r="BB483" s="1328"/>
      <c r="BC483" s="1328"/>
      <c r="BD483" s="663">
        <f>I483</f>
        <v>4504</v>
      </c>
      <c r="BE483" s="663">
        <f>I483</f>
        <v>4504</v>
      </c>
      <c r="BF483" s="1328"/>
      <c r="BG483" s="1328"/>
      <c r="BH483" s="663"/>
      <c r="BI483" s="825">
        <f>I483/4</f>
        <v>1126</v>
      </c>
      <c r="BJ483" s="1328"/>
      <c r="BK483" s="1328"/>
      <c r="BL483" s="1328"/>
      <c r="BM483" s="1328"/>
      <c r="BN483" s="663"/>
      <c r="BO483" s="1328"/>
      <c r="BP483" s="1328"/>
      <c r="BQ483" s="1265"/>
      <c r="BR483" s="1265"/>
      <c r="BS483" s="1265"/>
      <c r="BT483" s="1265"/>
      <c r="BU483" s="1265"/>
      <c r="BV483" s="1265"/>
      <c r="BW483" s="1265"/>
      <c r="BX483" s="1265"/>
      <c r="BY483" s="1265"/>
      <c r="BZ483" s="1265"/>
      <c r="CA483" s="1265"/>
      <c r="CB483" s="1265"/>
      <c r="CC483" s="1265"/>
      <c r="CD483" s="1265"/>
      <c r="CE483" s="1265"/>
      <c r="CF483" s="1265"/>
      <c r="CG483" s="1265"/>
      <c r="CH483" s="669"/>
      <c r="CI483" s="669"/>
      <c r="CJ483" s="669"/>
      <c r="CK483" s="669"/>
      <c r="CL483" s="669"/>
      <c r="CM483" s="1265"/>
      <c r="CN483" s="1265"/>
      <c r="CO483" s="1265"/>
      <c r="CP483" s="669"/>
      <c r="CQ483" s="669"/>
      <c r="CR483" s="669"/>
      <c r="CS483" s="669"/>
      <c r="CT483" s="669"/>
      <c r="CU483" s="669"/>
    </row>
    <row r="484" s="1265" customFormat="1" ht="31" customHeight="1" spans="1:99">
      <c r="A484" s="660">
        <v>45897</v>
      </c>
      <c r="B484" s="661" t="s">
        <v>143</v>
      </c>
      <c r="C484" s="662" t="s">
        <v>98</v>
      </c>
      <c r="D484" s="663">
        <v>4500178140</v>
      </c>
      <c r="E484" s="1414" t="s">
        <v>2012</v>
      </c>
      <c r="F484" s="663" t="s">
        <v>2013</v>
      </c>
      <c r="G484" s="659" t="s">
        <v>101</v>
      </c>
      <c r="H484" s="662" t="s">
        <v>102</v>
      </c>
      <c r="I484" s="662">
        <v>6812</v>
      </c>
      <c r="J484" s="662">
        <v>0</v>
      </c>
      <c r="K484" s="662">
        <v>4</v>
      </c>
      <c r="L484" s="665">
        <f t="shared" si="137"/>
        <v>1703</v>
      </c>
      <c r="M484" s="666">
        <v>45950</v>
      </c>
      <c r="N484" s="666">
        <v>45946</v>
      </c>
      <c r="O484" s="674">
        <v>45950</v>
      </c>
      <c r="P484" s="824" t="s">
        <v>113</v>
      </c>
      <c r="Q484" s="662" t="s">
        <v>1824</v>
      </c>
      <c r="R484" s="667" t="s">
        <v>147</v>
      </c>
      <c r="S484" s="667" t="s">
        <v>70</v>
      </c>
      <c r="T484" s="667">
        <v>45908</v>
      </c>
      <c r="U484" s="667"/>
      <c r="V484" s="667" t="s">
        <v>148</v>
      </c>
      <c r="W484" s="661"/>
      <c r="X484" s="661" t="s">
        <v>1450</v>
      </c>
      <c r="Y484" s="634" t="s">
        <v>106</v>
      </c>
      <c r="Z484" s="1318">
        <v>2.5656</v>
      </c>
      <c r="AA484" s="634">
        <f t="shared" si="144"/>
        <v>17476.8672</v>
      </c>
      <c r="AC484" s="638" t="s">
        <v>2014</v>
      </c>
      <c r="AD484" s="633" t="s">
        <v>101</v>
      </c>
      <c r="AE484" s="662" t="s">
        <v>82</v>
      </c>
      <c r="AF484" s="662"/>
      <c r="AG484" s="662"/>
      <c r="AH484" s="662"/>
      <c r="AI484" s="662">
        <v>6812</v>
      </c>
      <c r="AJ484" s="664">
        <f t="shared" si="145"/>
        <v>0</v>
      </c>
      <c r="AK484" s="662"/>
      <c r="AL484" s="662"/>
      <c r="AM484" s="663"/>
      <c r="AN484" s="663">
        <f t="shared" si="147"/>
        <v>6812</v>
      </c>
      <c r="AO484" s="1328"/>
      <c r="AP484" s="1328"/>
      <c r="AQ484" s="1328"/>
      <c r="AR484" s="663">
        <f>I484</f>
        <v>6812</v>
      </c>
      <c r="AS484" s="663"/>
      <c r="AT484" s="663"/>
      <c r="AU484" s="663">
        <f>I484</f>
        <v>6812</v>
      </c>
      <c r="AV484" s="1328"/>
      <c r="AW484" s="663">
        <f t="shared" si="146"/>
        <v>6812</v>
      </c>
      <c r="AX484" s="663"/>
      <c r="AY484" s="1328"/>
      <c r="AZ484" s="1328"/>
      <c r="BA484" s="1328"/>
      <c r="BB484" s="1328"/>
      <c r="BC484" s="1328"/>
      <c r="BD484" s="663"/>
      <c r="BE484" s="663"/>
      <c r="BF484" s="1328"/>
      <c r="BG484" s="1328"/>
      <c r="BH484" s="825">
        <f>I484/4</f>
        <v>1703</v>
      </c>
      <c r="BI484" s="663"/>
      <c r="BJ484" s="1328"/>
      <c r="BK484" s="1328"/>
      <c r="BL484" s="1328"/>
      <c r="BM484" s="1328"/>
      <c r="BN484" s="663"/>
      <c r="BO484" s="1328"/>
      <c r="BP484" s="1328"/>
      <c r="BQ484" s="1265"/>
      <c r="BR484" s="1265"/>
      <c r="BS484" s="1265"/>
      <c r="BT484" s="1265"/>
      <c r="BU484" s="1265"/>
      <c r="BV484" s="1265"/>
      <c r="BW484" s="1265"/>
      <c r="BX484" s="1265"/>
      <c r="BY484" s="1265"/>
      <c r="BZ484" s="1265"/>
      <c r="CA484" s="1265"/>
      <c r="CB484" s="1265"/>
      <c r="CC484" s="1265"/>
      <c r="CD484" s="1265"/>
      <c r="CE484" s="1265"/>
      <c r="CF484" s="1265"/>
      <c r="CG484" s="1265"/>
      <c r="CH484" s="669"/>
      <c r="CI484" s="669"/>
      <c r="CJ484" s="669"/>
      <c r="CK484" s="669"/>
      <c r="CL484" s="669"/>
      <c r="CM484" s="1265"/>
      <c r="CN484" s="1265"/>
      <c r="CO484" s="1265"/>
      <c r="CP484" s="669"/>
      <c r="CQ484" s="669"/>
      <c r="CR484" s="669"/>
      <c r="CS484" s="669"/>
      <c r="CT484" s="669"/>
      <c r="CU484" s="669"/>
    </row>
    <row r="485" s="1265" customFormat="1" ht="31" customHeight="1" spans="1:99">
      <c r="A485" s="660">
        <v>45898</v>
      </c>
      <c r="B485" s="661" t="s">
        <v>2015</v>
      </c>
      <c r="C485" s="662" t="s">
        <v>836</v>
      </c>
      <c r="D485" s="663">
        <v>4500178326</v>
      </c>
      <c r="E485" s="662">
        <v>7196179861</v>
      </c>
      <c r="F485" s="663" t="s">
        <v>2016</v>
      </c>
      <c r="G485" s="659" t="s">
        <v>68</v>
      </c>
      <c r="H485" s="633" t="s">
        <v>69</v>
      </c>
      <c r="I485" s="662">
        <v>5244</v>
      </c>
      <c r="J485" s="662">
        <v>0</v>
      </c>
      <c r="K485" s="662">
        <v>12</v>
      </c>
      <c r="L485" s="665">
        <f t="shared" si="137"/>
        <v>437</v>
      </c>
      <c r="M485" s="666">
        <v>45950</v>
      </c>
      <c r="N485" s="666">
        <v>45946</v>
      </c>
      <c r="O485" s="664"/>
      <c r="P485" s="824" t="s">
        <v>113</v>
      </c>
      <c r="Q485" s="667"/>
      <c r="R485" s="667">
        <v>45909</v>
      </c>
      <c r="S485" s="667" t="s">
        <v>70</v>
      </c>
      <c r="T485" s="667" t="s">
        <v>2017</v>
      </c>
      <c r="U485" s="667"/>
      <c r="V485" s="667"/>
      <c r="W485" s="661" t="s">
        <v>2018</v>
      </c>
      <c r="X485" s="1321" t="s">
        <v>2019</v>
      </c>
      <c r="Y485" s="634" t="s">
        <v>388</v>
      </c>
      <c r="Z485" s="1318">
        <v>4.1403</v>
      </c>
      <c r="AA485" s="634">
        <f t="shared" si="144"/>
        <v>21711.7332</v>
      </c>
      <c r="AC485" s="676" t="s">
        <v>2020</v>
      </c>
      <c r="AD485" s="633" t="s">
        <v>184</v>
      </c>
      <c r="AE485" s="662" t="s">
        <v>82</v>
      </c>
      <c r="AF485" s="662"/>
      <c r="AG485" s="662"/>
      <c r="AH485" s="662"/>
      <c r="AI485" s="662">
        <f>5004+240</f>
        <v>5244</v>
      </c>
      <c r="AJ485" s="664">
        <f t="shared" si="145"/>
        <v>0</v>
      </c>
      <c r="AK485" s="662"/>
      <c r="AL485" s="662"/>
      <c r="AM485" s="663"/>
      <c r="AN485" s="663">
        <f t="shared" si="147"/>
        <v>5244</v>
      </c>
      <c r="AO485" s="1328"/>
      <c r="AP485" s="1328"/>
      <c r="AQ485" s="1328"/>
      <c r="AR485" s="663"/>
      <c r="AS485" s="663">
        <f>I485</f>
        <v>5244</v>
      </c>
      <c r="AT485" s="663"/>
      <c r="AU485" s="663">
        <f>I485</f>
        <v>5244</v>
      </c>
      <c r="AV485" s="1328"/>
      <c r="AW485" s="663">
        <f t="shared" si="146"/>
        <v>5244</v>
      </c>
      <c r="AX485" s="663"/>
      <c r="AY485" s="1328"/>
      <c r="AZ485" s="1328"/>
      <c r="BA485" s="1328"/>
      <c r="BB485" s="1328"/>
      <c r="BC485" s="1328"/>
      <c r="BD485" s="663"/>
      <c r="BE485" s="663"/>
      <c r="BF485" s="1328"/>
      <c r="BG485" s="1328"/>
      <c r="BH485" s="663"/>
      <c r="BI485" s="663"/>
      <c r="BJ485" s="1328"/>
      <c r="BK485" s="1328"/>
      <c r="BL485" s="1328"/>
      <c r="BM485" s="1328"/>
      <c r="BN485" s="663"/>
      <c r="BO485" s="1328"/>
      <c r="BP485" s="1328"/>
      <c r="BQ485" s="1265"/>
      <c r="BR485" s="1265"/>
      <c r="BS485" s="1265"/>
      <c r="BT485" s="1265"/>
      <c r="BU485" s="1265"/>
      <c r="BV485" s="1265"/>
      <c r="BW485" s="1265"/>
      <c r="BX485" s="1265"/>
      <c r="BY485" s="1265"/>
      <c r="BZ485" s="1265"/>
      <c r="CA485" s="1265"/>
      <c r="CB485" s="1265"/>
      <c r="CC485" s="1265"/>
      <c r="CD485" s="1265"/>
      <c r="CE485" s="1265"/>
      <c r="CF485" s="1265"/>
      <c r="CG485" s="1265"/>
      <c r="CH485" s="669"/>
      <c r="CI485" s="669"/>
      <c r="CJ485" s="669"/>
      <c r="CK485" s="669"/>
      <c r="CL485" s="669"/>
      <c r="CM485" s="1265"/>
      <c r="CN485" s="1265"/>
      <c r="CO485" s="1265"/>
      <c r="CP485" s="669"/>
      <c r="CQ485" s="669"/>
      <c r="CR485" s="669"/>
      <c r="CS485" s="669"/>
      <c r="CT485" s="669"/>
      <c r="CU485" s="669"/>
    </row>
    <row r="486" s="1265" customFormat="1" ht="31" customHeight="1" spans="1:99">
      <c r="A486" s="660">
        <v>45902</v>
      </c>
      <c r="B486" s="661" t="s">
        <v>871</v>
      </c>
      <c r="C486" s="662" t="s">
        <v>98</v>
      </c>
      <c r="D486" s="663">
        <v>4500178510</v>
      </c>
      <c r="E486" s="662" t="s">
        <v>2021</v>
      </c>
      <c r="F486" s="663" t="s">
        <v>2022</v>
      </c>
      <c r="G486" s="659" t="s">
        <v>101</v>
      </c>
      <c r="H486" s="662" t="s">
        <v>102</v>
      </c>
      <c r="I486" s="662">
        <v>4000</v>
      </c>
      <c r="J486" s="662">
        <v>0</v>
      </c>
      <c r="K486" s="662">
        <v>4</v>
      </c>
      <c r="L486" s="665">
        <f t="shared" si="137"/>
        <v>1000</v>
      </c>
      <c r="M486" s="666">
        <v>45950</v>
      </c>
      <c r="N486" s="666">
        <v>45946</v>
      </c>
      <c r="O486" s="664"/>
      <c r="P486" s="824" t="s">
        <v>113</v>
      </c>
      <c r="Q486" s="667"/>
      <c r="R486" s="667">
        <v>45902</v>
      </c>
      <c r="S486" s="667" t="s">
        <v>70</v>
      </c>
      <c r="T486" s="667" t="s">
        <v>70</v>
      </c>
      <c r="U486" s="667"/>
      <c r="V486" s="661"/>
      <c r="W486" s="661"/>
      <c r="X486" s="661" t="s">
        <v>354</v>
      </c>
      <c r="Y486" s="634" t="s">
        <v>355</v>
      </c>
      <c r="Z486" s="1318">
        <v>2.5768</v>
      </c>
      <c r="AA486" s="634">
        <f t="shared" si="144"/>
        <v>10307.2</v>
      </c>
      <c r="AC486" s="638" t="s">
        <v>2023</v>
      </c>
      <c r="AD486" s="633" t="s">
        <v>101</v>
      </c>
      <c r="AE486" s="662" t="s">
        <v>82</v>
      </c>
      <c r="AF486" s="662"/>
      <c r="AG486" s="662"/>
      <c r="AH486" s="662"/>
      <c r="AI486" s="662">
        <f>3980+20</f>
        <v>4000</v>
      </c>
      <c r="AJ486" s="664">
        <f t="shared" si="145"/>
        <v>0</v>
      </c>
      <c r="AK486" s="662"/>
      <c r="AL486" s="662"/>
      <c r="AM486" s="663"/>
      <c r="AN486" s="663">
        <f t="shared" si="147"/>
        <v>4000</v>
      </c>
      <c r="AO486" s="1328"/>
      <c r="AP486" s="1328"/>
      <c r="AQ486" s="1328"/>
      <c r="AR486" s="663">
        <f>I486</f>
        <v>4000</v>
      </c>
      <c r="AS486" s="663"/>
      <c r="AT486" s="663"/>
      <c r="AU486" s="663">
        <f>I486</f>
        <v>4000</v>
      </c>
      <c r="AV486" s="1328"/>
      <c r="AW486" s="663">
        <f t="shared" si="146"/>
        <v>4000</v>
      </c>
      <c r="AX486" s="663"/>
      <c r="AY486" s="1328"/>
      <c r="AZ486" s="1328"/>
      <c r="BA486" s="1328"/>
      <c r="BB486" s="1328"/>
      <c r="BC486" s="1328"/>
      <c r="BD486" s="663"/>
      <c r="BE486" s="663"/>
      <c r="BF486" s="1328"/>
      <c r="BG486" s="1328"/>
      <c r="BH486" s="825">
        <f>I486/4</f>
        <v>1000</v>
      </c>
      <c r="BI486" s="663"/>
      <c r="BJ486" s="1328"/>
      <c r="BK486" s="1328"/>
      <c r="BL486" s="1328"/>
      <c r="BM486" s="1328"/>
      <c r="BN486" s="663"/>
      <c r="BO486" s="1328"/>
      <c r="BP486" s="1328"/>
      <c r="BQ486" s="1265"/>
      <c r="BR486" s="1265"/>
      <c r="BS486" s="1265"/>
      <c r="BT486" s="1265"/>
      <c r="BU486" s="1265"/>
      <c r="BV486" s="1265"/>
      <c r="BW486" s="1265"/>
      <c r="BX486" s="1265"/>
      <c r="BY486" s="1265"/>
      <c r="BZ486" s="1265"/>
      <c r="CA486" s="1265"/>
      <c r="CB486" s="1265"/>
      <c r="CC486" s="1265"/>
      <c r="CD486" s="1265"/>
      <c r="CE486" s="1265"/>
      <c r="CF486" s="1265"/>
      <c r="CG486" s="1265"/>
      <c r="CH486" s="669"/>
      <c r="CI486" s="669"/>
      <c r="CJ486" s="669"/>
      <c r="CK486" s="669"/>
      <c r="CL486" s="669"/>
      <c r="CM486" s="1265"/>
      <c r="CN486" s="1265"/>
      <c r="CO486" s="1265"/>
      <c r="CP486" s="669"/>
      <c r="CQ486" s="669"/>
      <c r="CR486" s="669"/>
      <c r="CS486" s="669"/>
      <c r="CT486" s="669"/>
      <c r="CU486" s="669"/>
    </row>
    <row r="487" s="1265" customFormat="1" ht="31" customHeight="1" spans="1:99">
      <c r="A487" s="660">
        <v>45887</v>
      </c>
      <c r="B487" s="661" t="s">
        <v>325</v>
      </c>
      <c r="C487" s="662" t="s">
        <v>98</v>
      </c>
      <c r="D487" s="663">
        <v>4500177144</v>
      </c>
      <c r="E487" s="662" t="s">
        <v>2024</v>
      </c>
      <c r="F487" s="663" t="s">
        <v>2025</v>
      </c>
      <c r="G487" s="659" t="s">
        <v>249</v>
      </c>
      <c r="H487" s="662" t="s">
        <v>250</v>
      </c>
      <c r="I487" s="662">
        <v>17000</v>
      </c>
      <c r="J487" s="662">
        <v>0</v>
      </c>
      <c r="K487" s="662">
        <v>4</v>
      </c>
      <c r="L487" s="665">
        <f t="shared" si="137"/>
        <v>4250</v>
      </c>
      <c r="M487" s="666">
        <v>45954</v>
      </c>
      <c r="N487" s="666">
        <v>45950</v>
      </c>
      <c r="O487" s="664"/>
      <c r="P487" s="824" t="s">
        <v>113</v>
      </c>
      <c r="Q487" s="667"/>
      <c r="R487" s="667">
        <v>45915</v>
      </c>
      <c r="S487" s="667" t="s">
        <v>104</v>
      </c>
      <c r="T487" s="667" t="s">
        <v>1999</v>
      </c>
      <c r="U487" s="667"/>
      <c r="V487" s="661" t="s">
        <v>2000</v>
      </c>
      <c r="W487" s="661"/>
      <c r="X487" s="1321" t="s">
        <v>2026</v>
      </c>
      <c r="Y487" s="634" t="s">
        <v>252</v>
      </c>
      <c r="Z487" s="1318">
        <v>2.7832</v>
      </c>
      <c r="AA487" s="634">
        <f t="shared" si="144"/>
        <v>47314.4</v>
      </c>
      <c r="AC487" s="638" t="s">
        <v>2027</v>
      </c>
      <c r="AD487" s="633" t="s">
        <v>249</v>
      </c>
      <c r="AE487" s="662" t="s">
        <v>82</v>
      </c>
      <c r="AF487" s="662"/>
      <c r="AG487" s="662"/>
      <c r="AH487" s="662"/>
      <c r="AI487" s="662">
        <f>8740+8260</f>
        <v>17000</v>
      </c>
      <c r="AJ487" s="664">
        <f t="shared" si="145"/>
        <v>0</v>
      </c>
      <c r="AK487" s="662"/>
      <c r="AL487" s="662"/>
      <c r="AM487" s="663"/>
      <c r="AN487" s="663"/>
      <c r="AO487" s="1328"/>
      <c r="AP487" s="663">
        <f>I487</f>
        <v>17000</v>
      </c>
      <c r="AQ487" s="1328"/>
      <c r="AR487" s="663"/>
      <c r="AS487" s="663"/>
      <c r="AT487" s="663"/>
      <c r="AU487" s="663"/>
      <c r="AV487" s="1328"/>
      <c r="AW487" s="663">
        <f t="shared" si="146"/>
        <v>17000</v>
      </c>
      <c r="AX487" s="663"/>
      <c r="AY487" s="1328"/>
      <c r="AZ487" s="1328"/>
      <c r="BA487" s="1328"/>
      <c r="BB487" s="1328"/>
      <c r="BC487" s="1328"/>
      <c r="BD487" s="663"/>
      <c r="BE487" s="663"/>
      <c r="BF487" s="663">
        <f>I487</f>
        <v>17000</v>
      </c>
      <c r="BG487" s="663">
        <f>I487</f>
        <v>17000</v>
      </c>
      <c r="BH487" s="825">
        <f>I487/4</f>
        <v>4250</v>
      </c>
      <c r="BI487" s="663"/>
      <c r="BJ487" s="1328"/>
      <c r="BK487" s="1328"/>
      <c r="BL487" s="1328"/>
      <c r="BM487" s="1328"/>
      <c r="BN487" s="663"/>
      <c r="BO487" s="1328"/>
      <c r="BP487" s="1328"/>
      <c r="BQ487" s="1265"/>
      <c r="BR487" s="1265"/>
      <c r="BS487" s="1265"/>
      <c r="BT487" s="1265"/>
      <c r="BU487" s="1265"/>
      <c r="BV487" s="1265"/>
      <c r="BW487" s="1265"/>
      <c r="BX487" s="1265"/>
      <c r="BY487" s="1265"/>
      <c r="BZ487" s="1265"/>
      <c r="CA487" s="1265"/>
      <c r="CB487" s="1265"/>
      <c r="CC487" s="1265"/>
      <c r="CD487" s="1265"/>
      <c r="CE487" s="1265"/>
      <c r="CF487" s="1265"/>
      <c r="CG487" s="1265"/>
      <c r="CH487" s="669"/>
      <c r="CI487" s="669"/>
      <c r="CJ487" s="669"/>
      <c r="CK487" s="669"/>
      <c r="CL487" s="669"/>
      <c r="CM487" s="1265"/>
      <c r="CN487" s="1265"/>
      <c r="CO487" s="1265"/>
      <c r="CP487" s="669"/>
      <c r="CQ487" s="669"/>
      <c r="CR487" s="669"/>
      <c r="CS487" s="669"/>
      <c r="CT487" s="669"/>
      <c r="CU487" s="669"/>
    </row>
    <row r="488" s="1265" customFormat="1" ht="31" customHeight="1" spans="1:99">
      <c r="A488" s="660">
        <v>45908</v>
      </c>
      <c r="B488" s="661" t="s">
        <v>225</v>
      </c>
      <c r="C488" s="662" t="s">
        <v>226</v>
      </c>
      <c r="D488" s="663">
        <v>4500179037</v>
      </c>
      <c r="E488" s="662" t="s">
        <v>2028</v>
      </c>
      <c r="F488" s="663" t="s">
        <v>2029</v>
      </c>
      <c r="G488" s="659" t="s">
        <v>68</v>
      </c>
      <c r="H488" s="633" t="s">
        <v>69</v>
      </c>
      <c r="I488" s="662">
        <v>1200</v>
      </c>
      <c r="J488" s="662">
        <v>0</v>
      </c>
      <c r="K488" s="662">
        <v>12</v>
      </c>
      <c r="L488" s="665">
        <f t="shared" si="137"/>
        <v>100</v>
      </c>
      <c r="M488" s="666">
        <v>45955</v>
      </c>
      <c r="N488" s="666">
        <v>45951</v>
      </c>
      <c r="O488" s="664"/>
      <c r="P488" s="824" t="s">
        <v>113</v>
      </c>
      <c r="Q488" s="667"/>
      <c r="R488" s="667">
        <v>45908</v>
      </c>
      <c r="S488" s="667" t="s">
        <v>70</v>
      </c>
      <c r="T488" s="667" t="s">
        <v>2030</v>
      </c>
      <c r="U488" s="667"/>
      <c r="V488" s="661"/>
      <c r="W488" s="661"/>
      <c r="X488" s="661" t="s">
        <v>2031</v>
      </c>
      <c r="Y488" s="634" t="s">
        <v>230</v>
      </c>
      <c r="Z488" s="1318">
        <v>4.1403</v>
      </c>
      <c r="AA488" s="634">
        <f t="shared" si="144"/>
        <v>4968.36</v>
      </c>
      <c r="AC488" s="676" t="s">
        <v>2032</v>
      </c>
      <c r="AD488" s="633" t="s">
        <v>68</v>
      </c>
      <c r="AE488" s="662" t="s">
        <v>82</v>
      </c>
      <c r="AF488" s="662"/>
      <c r="AG488" s="662"/>
      <c r="AH488" s="662"/>
      <c r="AI488" s="662">
        <v>1200</v>
      </c>
      <c r="AJ488" s="664">
        <f t="shared" ref="AJ488:AJ505" si="148">AI488-I488</f>
        <v>0</v>
      </c>
      <c r="AK488" s="662"/>
      <c r="AL488" s="662"/>
      <c r="AM488" s="663"/>
      <c r="AN488" s="663">
        <f>I488</f>
        <v>1200</v>
      </c>
      <c r="AO488" s="1328"/>
      <c r="AP488" s="1328"/>
      <c r="AQ488" s="1328"/>
      <c r="AR488" s="663">
        <f>I488</f>
        <v>1200</v>
      </c>
      <c r="AS488" s="663"/>
      <c r="AT488" s="663"/>
      <c r="AU488" s="663">
        <f t="shared" ref="AU488:AU502" si="149">I488</f>
        <v>1200</v>
      </c>
      <c r="AV488" s="1328"/>
      <c r="AW488" s="663">
        <f t="shared" si="146"/>
        <v>1200</v>
      </c>
      <c r="AX488" s="663"/>
      <c r="AY488" s="1328"/>
      <c r="AZ488" s="663"/>
      <c r="BA488" s="1328"/>
      <c r="BB488" s="1328"/>
      <c r="BC488" s="1328"/>
      <c r="BD488" s="663"/>
      <c r="BE488" s="663"/>
      <c r="BF488" s="663"/>
      <c r="BG488" s="663"/>
      <c r="BH488" s="663"/>
      <c r="BI488" s="663"/>
      <c r="BJ488" s="1328"/>
      <c r="BK488" s="1328"/>
      <c r="BL488" s="1328"/>
      <c r="BM488" s="1328"/>
      <c r="BN488" s="663"/>
      <c r="BO488" s="1328"/>
      <c r="BP488" s="1328"/>
      <c r="BQ488" s="1265"/>
      <c r="BR488" s="1265"/>
      <c r="BS488" s="1265"/>
      <c r="BT488" s="1265"/>
      <c r="BU488" s="1265"/>
      <c r="BV488" s="1265"/>
      <c r="BW488" s="1265"/>
      <c r="BX488" s="1265"/>
      <c r="BY488" s="1265"/>
      <c r="BZ488" s="1265"/>
      <c r="CA488" s="1265"/>
      <c r="CB488" s="1265"/>
      <c r="CC488" s="1265"/>
      <c r="CD488" s="1265"/>
      <c r="CE488" s="1265"/>
      <c r="CF488" s="1265"/>
      <c r="CG488" s="1265"/>
      <c r="CH488" s="669"/>
      <c r="CI488" s="669"/>
      <c r="CJ488" s="669"/>
      <c r="CK488" s="669"/>
      <c r="CL488" s="669"/>
      <c r="CM488" s="1265"/>
      <c r="CN488" s="1265"/>
      <c r="CO488" s="1265"/>
      <c r="CP488" s="669"/>
      <c r="CQ488" s="669"/>
      <c r="CR488" s="669"/>
      <c r="CS488" s="669"/>
      <c r="CT488" s="669"/>
      <c r="CU488" s="669"/>
    </row>
    <row r="489" s="1265" customFormat="1" ht="31" customHeight="1" spans="1:99">
      <c r="A489" s="660">
        <v>45902</v>
      </c>
      <c r="B489" s="661" t="s">
        <v>2033</v>
      </c>
      <c r="C489" s="662" t="s">
        <v>399</v>
      </c>
      <c r="D489" s="663">
        <v>4500178401</v>
      </c>
      <c r="E489" s="662">
        <v>5200007619</v>
      </c>
      <c r="F489" s="663" t="s">
        <v>2034</v>
      </c>
      <c r="G489" s="659" t="s">
        <v>385</v>
      </c>
      <c r="H489" s="633" t="s">
        <v>386</v>
      </c>
      <c r="I489" s="1324">
        <v>2000</v>
      </c>
      <c r="J489" s="662">
        <v>0</v>
      </c>
      <c r="K489" s="662">
        <v>4</v>
      </c>
      <c r="L489" s="665">
        <f t="shared" si="137"/>
        <v>500</v>
      </c>
      <c r="M489" s="666">
        <v>45957</v>
      </c>
      <c r="N489" s="666">
        <v>45953</v>
      </c>
      <c r="O489" s="664"/>
      <c r="P489" s="824" t="s">
        <v>113</v>
      </c>
      <c r="Q489" s="667"/>
      <c r="R489" s="667">
        <v>45924</v>
      </c>
      <c r="S489" s="667" t="s">
        <v>70</v>
      </c>
      <c r="T489" s="667" t="s">
        <v>2035</v>
      </c>
      <c r="U489" s="667"/>
      <c r="V489" s="661"/>
      <c r="W489" s="661"/>
      <c r="X489" s="661" t="s">
        <v>2036</v>
      </c>
      <c r="Y489" s="634" t="s">
        <v>2037</v>
      </c>
      <c r="Z489" s="1318">
        <v>4.1739</v>
      </c>
      <c r="AA489" s="634">
        <f t="shared" si="144"/>
        <v>8347.8</v>
      </c>
      <c r="AC489" s="676" t="s">
        <v>2038</v>
      </c>
      <c r="AD489" s="1309" t="s">
        <v>390</v>
      </c>
      <c r="AE489" s="662" t="s">
        <v>82</v>
      </c>
      <c r="AF489" s="662"/>
      <c r="AG489" s="662"/>
      <c r="AH489" s="662"/>
      <c r="AI489" s="662">
        <v>2000</v>
      </c>
      <c r="AJ489" s="664">
        <f t="shared" si="148"/>
        <v>0</v>
      </c>
      <c r="AK489" s="662"/>
      <c r="AL489" s="662"/>
      <c r="AM489" s="663"/>
      <c r="AN489" s="663">
        <f t="shared" ref="AN488:AN548" si="150">I489</f>
        <v>2000</v>
      </c>
      <c r="AO489" s="1328"/>
      <c r="AP489" s="1328"/>
      <c r="AQ489" s="1328"/>
      <c r="AR489" s="663"/>
      <c r="AS489" s="663">
        <f>I489</f>
        <v>2000</v>
      </c>
      <c r="AT489" s="663"/>
      <c r="AU489" s="663">
        <f t="shared" si="149"/>
        <v>2000</v>
      </c>
      <c r="AV489" s="1328"/>
      <c r="AW489" s="663">
        <f t="shared" si="146"/>
        <v>2000</v>
      </c>
      <c r="AX489" s="663"/>
      <c r="AY489" s="1328"/>
      <c r="AZ489" s="663"/>
      <c r="BA489" s="1328"/>
      <c r="BB489" s="1328"/>
      <c r="BC489" s="1328"/>
      <c r="BD489" s="663"/>
      <c r="BE489" s="663"/>
      <c r="BF489" s="663"/>
      <c r="BG489" s="663"/>
      <c r="BH489" s="663"/>
      <c r="BI489" s="663"/>
      <c r="BJ489" s="1328"/>
      <c r="BK489" s="1328"/>
      <c r="BL489" s="1328"/>
      <c r="BM489" s="1328"/>
      <c r="BN489" s="663"/>
      <c r="BO489" s="1328"/>
      <c r="BP489" s="1328"/>
      <c r="BQ489" s="1265"/>
      <c r="BR489" s="1265"/>
      <c r="BS489" s="1265"/>
      <c r="BT489" s="1265"/>
      <c r="BU489" s="1265"/>
      <c r="BV489" s="1265"/>
      <c r="BW489" s="1265"/>
      <c r="BX489" s="1265"/>
      <c r="BY489" s="1265"/>
      <c r="BZ489" s="1265"/>
      <c r="CA489" s="1265"/>
      <c r="CB489" s="1265"/>
      <c r="CC489" s="1265"/>
      <c r="CD489" s="1265"/>
      <c r="CE489" s="1265"/>
      <c r="CF489" s="1265"/>
      <c r="CG489" s="1265"/>
      <c r="CH489" s="669"/>
      <c r="CI489" s="669"/>
      <c r="CJ489" s="669"/>
      <c r="CK489" s="669"/>
      <c r="CL489" s="669"/>
      <c r="CM489" s="1265"/>
      <c r="CN489" s="1265"/>
      <c r="CO489" s="1265"/>
      <c r="CP489" s="669"/>
      <c r="CQ489" s="669"/>
      <c r="CR489" s="669"/>
      <c r="CS489" s="669"/>
      <c r="CT489" s="669"/>
      <c r="CU489" s="669"/>
    </row>
    <row r="490" s="1265" customFormat="1" ht="31" customHeight="1" spans="1:99">
      <c r="A490" s="660">
        <v>45902</v>
      </c>
      <c r="B490" s="661" t="s">
        <v>2033</v>
      </c>
      <c r="C490" s="662" t="s">
        <v>399</v>
      </c>
      <c r="D490" s="663">
        <v>4500178401</v>
      </c>
      <c r="E490" s="662">
        <v>5200007619</v>
      </c>
      <c r="F490" s="663" t="s">
        <v>2039</v>
      </c>
      <c r="G490" s="659" t="s">
        <v>476</v>
      </c>
      <c r="H490" s="662" t="s">
        <v>477</v>
      </c>
      <c r="I490" s="662">
        <v>1500</v>
      </c>
      <c r="J490" s="662">
        <v>0</v>
      </c>
      <c r="K490" s="662">
        <v>6</v>
      </c>
      <c r="L490" s="665">
        <f t="shared" si="137"/>
        <v>250</v>
      </c>
      <c r="M490" s="666">
        <v>45957</v>
      </c>
      <c r="N490" s="666">
        <v>45953</v>
      </c>
      <c r="O490" s="664"/>
      <c r="P490" s="824" t="s">
        <v>113</v>
      </c>
      <c r="Q490" s="667"/>
      <c r="R490" s="667">
        <v>45924</v>
      </c>
      <c r="S490" s="667" t="s">
        <v>70</v>
      </c>
      <c r="T490" s="667" t="s">
        <v>2035</v>
      </c>
      <c r="U490" s="667"/>
      <c r="V490" s="661"/>
      <c r="W490" s="661"/>
      <c r="X490" s="661" t="s">
        <v>2040</v>
      </c>
      <c r="Y490" s="634" t="s">
        <v>2037</v>
      </c>
      <c r="Z490" s="1318">
        <v>6.8326</v>
      </c>
      <c r="AA490" s="634">
        <f t="shared" si="144"/>
        <v>10248.9</v>
      </c>
      <c r="AC490" s="676" t="s">
        <v>2038</v>
      </c>
      <c r="AD490" s="633" t="s">
        <v>480</v>
      </c>
      <c r="AE490" s="662" t="s">
        <v>82</v>
      </c>
      <c r="AF490" s="662"/>
      <c r="AG490" s="662"/>
      <c r="AH490" s="662"/>
      <c r="AI490" s="662">
        <v>1500</v>
      </c>
      <c r="AJ490" s="664">
        <f t="shared" si="148"/>
        <v>0</v>
      </c>
      <c r="AK490" s="662"/>
      <c r="AL490" s="662"/>
      <c r="AM490" s="663"/>
      <c r="AN490" s="663">
        <f t="shared" si="150"/>
        <v>1500</v>
      </c>
      <c r="AO490" s="1328"/>
      <c r="AP490" s="1328"/>
      <c r="AQ490" s="1328"/>
      <c r="AR490" s="663"/>
      <c r="AS490" s="663">
        <f>I490</f>
        <v>1500</v>
      </c>
      <c r="AT490" s="663"/>
      <c r="AU490" s="663">
        <f t="shared" si="149"/>
        <v>1500</v>
      </c>
      <c r="AV490" s="1328"/>
      <c r="AW490" s="663">
        <f t="shared" si="146"/>
        <v>1500</v>
      </c>
      <c r="AX490" s="663"/>
      <c r="AY490" s="1328"/>
      <c r="AZ490" s="663"/>
      <c r="BA490" s="1328"/>
      <c r="BB490" s="1328"/>
      <c r="BC490" s="1328"/>
      <c r="BD490" s="663"/>
      <c r="BE490" s="663"/>
      <c r="BF490" s="663"/>
      <c r="BG490" s="663"/>
      <c r="BH490" s="663"/>
      <c r="BI490" s="663"/>
      <c r="BJ490" s="1328"/>
      <c r="BK490" s="1328"/>
      <c r="BL490" s="1328"/>
      <c r="BM490" s="663"/>
      <c r="BN490" s="663">
        <f>I490</f>
        <v>1500</v>
      </c>
      <c r="BO490" s="1328"/>
      <c r="BP490" s="1328"/>
      <c r="BQ490" s="1265"/>
      <c r="BR490" s="1265"/>
      <c r="BS490" s="1265"/>
      <c r="BT490" s="1265"/>
      <c r="BU490" s="1265"/>
      <c r="BV490" s="1265"/>
      <c r="BW490" s="1265"/>
      <c r="BX490" s="1265"/>
      <c r="BY490" s="1265"/>
      <c r="BZ490" s="1265"/>
      <c r="CA490" s="1265"/>
      <c r="CB490" s="1265"/>
      <c r="CC490" s="1265"/>
      <c r="CD490" s="1265"/>
      <c r="CE490" s="1265"/>
      <c r="CF490" s="1265"/>
      <c r="CG490" s="1265"/>
      <c r="CH490" s="669"/>
      <c r="CI490" s="669"/>
      <c r="CJ490" s="669"/>
      <c r="CK490" s="669"/>
      <c r="CL490" s="669"/>
      <c r="CM490" s="1265"/>
      <c r="CN490" s="1265"/>
      <c r="CO490" s="1265"/>
      <c r="CP490" s="669"/>
      <c r="CQ490" s="669"/>
      <c r="CR490" s="669"/>
      <c r="CS490" s="669"/>
      <c r="CT490" s="669"/>
      <c r="CU490" s="669"/>
    </row>
    <row r="491" s="1265" customFormat="1" ht="31" customHeight="1" spans="1:99">
      <c r="A491" s="660">
        <v>45910</v>
      </c>
      <c r="B491" s="661" t="s">
        <v>448</v>
      </c>
      <c r="C491" s="662" t="s">
        <v>399</v>
      </c>
      <c r="D491" s="663">
        <v>4500179231</v>
      </c>
      <c r="E491" s="662"/>
      <c r="F491" s="663" t="s">
        <v>2041</v>
      </c>
      <c r="G491" s="659" t="s">
        <v>130</v>
      </c>
      <c r="H491" s="662" t="s">
        <v>131</v>
      </c>
      <c r="I491" s="662">
        <v>1002</v>
      </c>
      <c r="J491" s="662">
        <v>0</v>
      </c>
      <c r="K491" s="662">
        <v>6</v>
      </c>
      <c r="L491" s="665">
        <f t="shared" si="137"/>
        <v>167</v>
      </c>
      <c r="M491" s="666">
        <v>45957</v>
      </c>
      <c r="N491" s="666">
        <v>45953</v>
      </c>
      <c r="O491" s="664"/>
      <c r="P491" s="824" t="s">
        <v>113</v>
      </c>
      <c r="Q491" s="667"/>
      <c r="R491" s="667">
        <v>45915</v>
      </c>
      <c r="S491" s="667" t="s">
        <v>70</v>
      </c>
      <c r="T491" s="667" t="s">
        <v>457</v>
      </c>
      <c r="U491" s="667"/>
      <c r="V491" s="661"/>
      <c r="W491" s="661"/>
      <c r="X491" s="661" t="s">
        <v>2042</v>
      </c>
      <c r="Y491" s="634" t="s">
        <v>445</v>
      </c>
      <c r="Z491" s="1318">
        <v>4.1576</v>
      </c>
      <c r="AA491" s="634">
        <f t="shared" si="144"/>
        <v>4165.9152</v>
      </c>
      <c r="AC491" s="676" t="s">
        <v>2043</v>
      </c>
      <c r="AD491" s="633" t="s">
        <v>453</v>
      </c>
      <c r="AE491" s="662" t="s">
        <v>82</v>
      </c>
      <c r="AF491" s="662"/>
      <c r="AG491" s="662"/>
      <c r="AH491" s="662"/>
      <c r="AI491" s="662">
        <v>1002</v>
      </c>
      <c r="AJ491" s="664">
        <f t="shared" si="148"/>
        <v>0</v>
      </c>
      <c r="AK491" s="662"/>
      <c r="AL491" s="662"/>
      <c r="AM491" s="663"/>
      <c r="AN491" s="663">
        <f t="shared" si="150"/>
        <v>1002</v>
      </c>
      <c r="AO491" s="1328"/>
      <c r="AP491" s="1328"/>
      <c r="AQ491" s="1328"/>
      <c r="AR491" s="663"/>
      <c r="AS491" s="663">
        <f>I491</f>
        <v>1002</v>
      </c>
      <c r="AT491" s="663"/>
      <c r="AU491" s="663">
        <f t="shared" si="149"/>
        <v>1002</v>
      </c>
      <c r="AV491" s="1328"/>
      <c r="AW491" s="663">
        <f t="shared" si="146"/>
        <v>1002</v>
      </c>
      <c r="AX491" s="671"/>
      <c r="AY491" s="1328"/>
      <c r="AZ491" s="563"/>
      <c r="BA491" s="563"/>
      <c r="BB491" s="563"/>
      <c r="BC491" s="563"/>
      <c r="BD491" s="563"/>
      <c r="BE491" s="663"/>
      <c r="BF491" s="1328"/>
      <c r="BG491" s="1328"/>
      <c r="BH491" s="663"/>
      <c r="BI491" s="663"/>
      <c r="BJ491" s="1328"/>
      <c r="BK491" s="1328"/>
      <c r="BL491" s="1328"/>
      <c r="BM491" s="1328"/>
      <c r="BN491" s="663"/>
      <c r="BO491" s="1328"/>
      <c r="BP491" s="1328"/>
      <c r="BQ491" s="1265"/>
      <c r="BR491" s="1265"/>
      <c r="BS491" s="1265"/>
      <c r="BT491" s="1265"/>
      <c r="BU491" s="1265"/>
      <c r="BV491" s="1265"/>
      <c r="BW491" s="1265"/>
      <c r="BX491" s="1265"/>
      <c r="BY491" s="1265"/>
      <c r="BZ491" s="1265"/>
      <c r="CA491" s="1265"/>
      <c r="CB491" s="1265"/>
      <c r="CC491" s="1265"/>
      <c r="CD491" s="1265"/>
      <c r="CE491" s="1265"/>
      <c r="CF491" s="1265"/>
      <c r="CG491" s="1265"/>
      <c r="CH491" s="669"/>
      <c r="CI491" s="669"/>
      <c r="CJ491" s="669"/>
      <c r="CK491" s="669"/>
      <c r="CL491" s="669"/>
      <c r="CM491" s="1265"/>
      <c r="CN491" s="1265"/>
      <c r="CO491" s="1265"/>
      <c r="CP491" s="669"/>
      <c r="CQ491" s="669"/>
      <c r="CR491" s="669"/>
      <c r="CS491" s="669"/>
      <c r="CT491" s="669"/>
      <c r="CU491" s="669"/>
    </row>
    <row r="492" s="1265" customFormat="1" ht="31" customHeight="1" spans="1:99">
      <c r="A492" s="660">
        <v>45898</v>
      </c>
      <c r="B492" s="661" t="s">
        <v>307</v>
      </c>
      <c r="C492" s="662" t="s">
        <v>98</v>
      </c>
      <c r="D492" s="663">
        <v>4500178273</v>
      </c>
      <c r="E492" s="1414" t="s">
        <v>2044</v>
      </c>
      <c r="F492" s="663" t="s">
        <v>2045</v>
      </c>
      <c r="G492" s="659" t="s">
        <v>68</v>
      </c>
      <c r="H492" s="633" t="s">
        <v>69</v>
      </c>
      <c r="I492" s="662">
        <v>6000</v>
      </c>
      <c r="J492" s="662">
        <v>0</v>
      </c>
      <c r="K492" s="662">
        <v>12</v>
      </c>
      <c r="L492" s="665">
        <f t="shared" si="137"/>
        <v>500</v>
      </c>
      <c r="M492" s="666">
        <v>45958</v>
      </c>
      <c r="N492" s="666">
        <f>M492-4</f>
        <v>45954</v>
      </c>
      <c r="O492" s="664"/>
      <c r="P492" s="824" t="s">
        <v>113</v>
      </c>
      <c r="Q492" s="662" t="s">
        <v>2046</v>
      </c>
      <c r="R492" s="667">
        <v>45901</v>
      </c>
      <c r="S492" s="667" t="s">
        <v>70</v>
      </c>
      <c r="T492" s="667" t="s">
        <v>70</v>
      </c>
      <c r="U492" s="667"/>
      <c r="V492" s="661"/>
      <c r="W492" s="661"/>
      <c r="X492" s="661" t="s">
        <v>2047</v>
      </c>
      <c r="Y492" s="634" t="s">
        <v>882</v>
      </c>
      <c r="Z492" s="1318">
        <v>2.4842</v>
      </c>
      <c r="AA492" s="634">
        <f t="shared" si="144"/>
        <v>14905.2</v>
      </c>
      <c r="AC492" s="638" t="s">
        <v>2048</v>
      </c>
      <c r="AD492" s="633" t="s">
        <v>68</v>
      </c>
      <c r="AE492" s="662" t="s">
        <v>82</v>
      </c>
      <c r="AF492" s="662"/>
      <c r="AG492" s="662"/>
      <c r="AH492" s="662"/>
      <c r="AI492" s="662">
        <v>6000</v>
      </c>
      <c r="AJ492" s="664">
        <f t="shared" si="148"/>
        <v>0</v>
      </c>
      <c r="AK492" s="662"/>
      <c r="AL492" s="662"/>
      <c r="AM492" s="663"/>
      <c r="AN492" s="663">
        <f t="shared" si="150"/>
        <v>6000</v>
      </c>
      <c r="AO492" s="1328"/>
      <c r="AP492" s="1328"/>
      <c r="AQ492" s="1328"/>
      <c r="AR492" s="663">
        <f>I492</f>
        <v>6000</v>
      </c>
      <c r="AS492" s="663"/>
      <c r="AT492" s="663"/>
      <c r="AU492" s="663">
        <f t="shared" si="149"/>
        <v>6000</v>
      </c>
      <c r="AV492" s="1328"/>
      <c r="AW492" s="663">
        <f t="shared" si="146"/>
        <v>6000</v>
      </c>
      <c r="AX492" s="663"/>
      <c r="AY492" s="1328"/>
      <c r="AZ492" s="687"/>
      <c r="BA492" s="687"/>
      <c r="BB492" s="687"/>
      <c r="BC492" s="687"/>
      <c r="BD492" s="687"/>
      <c r="BE492" s="663"/>
      <c r="BF492" s="663"/>
      <c r="BG492" s="663"/>
      <c r="BH492" s="663"/>
      <c r="BI492" s="663"/>
      <c r="BJ492" s="1328"/>
      <c r="BK492" s="1328"/>
      <c r="BL492" s="1328"/>
      <c r="BM492" s="1328"/>
      <c r="BN492" s="663"/>
      <c r="BO492" s="1328"/>
      <c r="BP492" s="1328"/>
      <c r="BQ492" s="1265"/>
      <c r="BR492" s="1265"/>
      <c r="BS492" s="1265"/>
      <c r="BT492" s="1265"/>
      <c r="BU492" s="1265"/>
      <c r="BV492" s="1265"/>
      <c r="BW492" s="1265"/>
      <c r="BX492" s="1265"/>
      <c r="BY492" s="1265"/>
      <c r="BZ492" s="1265"/>
      <c r="CA492" s="1265"/>
      <c r="CB492" s="1265"/>
      <c r="CC492" s="1265"/>
      <c r="CD492" s="1265"/>
      <c r="CE492" s="1265"/>
      <c r="CF492" s="1265"/>
      <c r="CG492" s="1265"/>
      <c r="CH492" s="669"/>
      <c r="CI492" s="669"/>
      <c r="CJ492" s="669"/>
      <c r="CK492" s="669"/>
      <c r="CL492" s="669"/>
      <c r="CM492" s="1265"/>
      <c r="CN492" s="1265"/>
      <c r="CO492" s="1265"/>
      <c r="CP492" s="669"/>
      <c r="CQ492" s="669"/>
      <c r="CR492" s="669"/>
      <c r="CS492" s="669"/>
      <c r="CT492" s="669"/>
      <c r="CU492" s="669"/>
    </row>
    <row r="493" s="1265" customFormat="1" ht="31" customHeight="1" spans="1:99">
      <c r="A493" s="660">
        <v>45897</v>
      </c>
      <c r="B493" s="661" t="s">
        <v>143</v>
      </c>
      <c r="C493" s="662" t="s">
        <v>98</v>
      </c>
      <c r="D493" s="663">
        <v>4500178142</v>
      </c>
      <c r="E493" s="1414" t="s">
        <v>2049</v>
      </c>
      <c r="F493" s="663" t="s">
        <v>2050</v>
      </c>
      <c r="G493" s="659" t="s">
        <v>101</v>
      </c>
      <c r="H493" s="662" t="s">
        <v>102</v>
      </c>
      <c r="I493" s="662">
        <v>13052</v>
      </c>
      <c r="J493" s="662">
        <v>0</v>
      </c>
      <c r="K493" s="662">
        <v>4</v>
      </c>
      <c r="L493" s="665">
        <f t="shared" si="137"/>
        <v>3263</v>
      </c>
      <c r="M493" s="666">
        <v>45960</v>
      </c>
      <c r="N493" s="666">
        <v>45957</v>
      </c>
      <c r="O493" s="674">
        <v>45960</v>
      </c>
      <c r="P493" s="824" t="s">
        <v>113</v>
      </c>
      <c r="Q493" s="662" t="s">
        <v>1824</v>
      </c>
      <c r="R493" s="667" t="s">
        <v>147</v>
      </c>
      <c r="S493" s="667" t="s">
        <v>70</v>
      </c>
      <c r="T493" s="667">
        <v>45908</v>
      </c>
      <c r="U493" s="667"/>
      <c r="V493" s="667" t="s">
        <v>148</v>
      </c>
      <c r="W493" s="661"/>
      <c r="X493" s="661" t="s">
        <v>1450</v>
      </c>
      <c r="Y493" s="634" t="s">
        <v>106</v>
      </c>
      <c r="Z493" s="1318">
        <v>2.6435</v>
      </c>
      <c r="AA493" s="634">
        <f t="shared" si="144"/>
        <v>34502.962</v>
      </c>
      <c r="AC493" s="638" t="s">
        <v>2051</v>
      </c>
      <c r="AD493" s="633" t="s">
        <v>101</v>
      </c>
      <c r="AE493" s="662" t="s">
        <v>82</v>
      </c>
      <c r="AF493" s="662"/>
      <c r="AG493" s="662"/>
      <c r="AH493" s="662"/>
      <c r="AI493" s="662">
        <f>8012+5040</f>
        <v>13052</v>
      </c>
      <c r="AJ493" s="662">
        <f t="shared" si="148"/>
        <v>0</v>
      </c>
      <c r="AK493" s="662"/>
      <c r="AL493" s="662"/>
      <c r="AM493" s="663"/>
      <c r="AN493" s="663">
        <f t="shared" si="150"/>
        <v>13052</v>
      </c>
      <c r="AO493" s="1328"/>
      <c r="AP493" s="1328"/>
      <c r="AQ493" s="1328"/>
      <c r="AR493" s="663">
        <f t="shared" ref="AR493:AR498" si="151">I493</f>
        <v>13052</v>
      </c>
      <c r="AS493" s="663"/>
      <c r="AT493" s="663"/>
      <c r="AU493" s="663">
        <f t="shared" si="149"/>
        <v>13052</v>
      </c>
      <c r="AV493" s="1328"/>
      <c r="AW493" s="663">
        <f t="shared" si="146"/>
        <v>13052</v>
      </c>
      <c r="AX493" s="663"/>
      <c r="AY493" s="1328"/>
      <c r="AZ493" s="687"/>
      <c r="BA493" s="687"/>
      <c r="BB493" s="687"/>
      <c r="BC493" s="687"/>
      <c r="BD493" s="687"/>
      <c r="BE493" s="663"/>
      <c r="BF493" s="663"/>
      <c r="BG493" s="663"/>
      <c r="BH493" s="825">
        <f t="shared" ref="BH493:BH498" si="152">I493/4</f>
        <v>3263</v>
      </c>
      <c r="BI493" s="663"/>
      <c r="BJ493" s="1328"/>
      <c r="BK493" s="1328"/>
      <c r="BL493" s="1328"/>
      <c r="BM493" s="1328"/>
      <c r="BN493" s="663"/>
      <c r="BO493" s="1328"/>
      <c r="BP493" s="1328"/>
      <c r="BQ493" s="1265"/>
      <c r="BR493" s="1265"/>
      <c r="BS493" s="1265"/>
      <c r="BT493" s="1265"/>
      <c r="BU493" s="1265"/>
      <c r="BV493" s="1265"/>
      <c r="BW493" s="1265"/>
      <c r="BX493" s="1265"/>
      <c r="BY493" s="1265"/>
      <c r="BZ493" s="1265"/>
      <c r="CA493" s="1265"/>
      <c r="CB493" s="1265"/>
      <c r="CC493" s="1265"/>
      <c r="CD493" s="1265"/>
      <c r="CE493" s="1265"/>
      <c r="CF493" s="1265"/>
      <c r="CG493" s="1265"/>
      <c r="CH493" s="669"/>
      <c r="CI493" s="669"/>
      <c r="CJ493" s="669"/>
      <c r="CK493" s="669"/>
      <c r="CL493" s="669"/>
      <c r="CM493" s="1265"/>
      <c r="CN493" s="1265"/>
      <c r="CO493" s="1265"/>
      <c r="CP493" s="669"/>
      <c r="CQ493" s="669"/>
      <c r="CR493" s="669"/>
      <c r="CS493" s="669"/>
      <c r="CT493" s="669"/>
      <c r="CU493" s="669"/>
    </row>
    <row r="494" s="1265" customFormat="1" ht="31" customHeight="1" spans="1:99">
      <c r="A494" s="660">
        <v>45897</v>
      </c>
      <c r="B494" s="661" t="s">
        <v>143</v>
      </c>
      <c r="C494" s="662" t="s">
        <v>98</v>
      </c>
      <c r="D494" s="663">
        <v>4500178142</v>
      </c>
      <c r="E494" s="1414" t="s">
        <v>2052</v>
      </c>
      <c r="F494" s="663" t="s">
        <v>2053</v>
      </c>
      <c r="G494" s="659" t="s">
        <v>101</v>
      </c>
      <c r="H494" s="662" t="s">
        <v>102</v>
      </c>
      <c r="I494" s="662">
        <v>10192</v>
      </c>
      <c r="J494" s="662">
        <v>0</v>
      </c>
      <c r="K494" s="662">
        <v>4</v>
      </c>
      <c r="L494" s="665">
        <f t="shared" si="137"/>
        <v>2548</v>
      </c>
      <c r="M494" s="666">
        <v>45960</v>
      </c>
      <c r="N494" s="666">
        <v>45957</v>
      </c>
      <c r="O494" s="674">
        <v>45960</v>
      </c>
      <c r="P494" s="824" t="s">
        <v>113</v>
      </c>
      <c r="Q494" s="662" t="s">
        <v>1824</v>
      </c>
      <c r="R494" s="667" t="s">
        <v>147</v>
      </c>
      <c r="S494" s="667" t="s">
        <v>70</v>
      </c>
      <c r="T494" s="667">
        <v>45908</v>
      </c>
      <c r="U494" s="667"/>
      <c r="V494" s="667" t="s">
        <v>148</v>
      </c>
      <c r="W494" s="661"/>
      <c r="X494" s="661" t="s">
        <v>1450</v>
      </c>
      <c r="Y494" s="634" t="s">
        <v>106</v>
      </c>
      <c r="Z494" s="1318">
        <v>2.6435</v>
      </c>
      <c r="AA494" s="634">
        <f t="shared" si="144"/>
        <v>26942.552</v>
      </c>
      <c r="AC494" s="638" t="s">
        <v>2054</v>
      </c>
      <c r="AD494" s="633" t="s">
        <v>101</v>
      </c>
      <c r="AE494" s="662" t="s">
        <v>82</v>
      </c>
      <c r="AF494" s="662"/>
      <c r="AG494" s="662"/>
      <c r="AH494" s="662"/>
      <c r="AI494" s="662">
        <v>10192</v>
      </c>
      <c r="AJ494" s="662">
        <f t="shared" si="148"/>
        <v>0</v>
      </c>
      <c r="AK494" s="662"/>
      <c r="AL494" s="662"/>
      <c r="AM494" s="663"/>
      <c r="AN494" s="663">
        <f t="shared" si="150"/>
        <v>10192</v>
      </c>
      <c r="AO494" s="1328"/>
      <c r="AP494" s="1328"/>
      <c r="AQ494" s="1328"/>
      <c r="AR494" s="663">
        <f t="shared" si="151"/>
        <v>10192</v>
      </c>
      <c r="AS494" s="663"/>
      <c r="AT494" s="663"/>
      <c r="AU494" s="663">
        <f t="shared" si="149"/>
        <v>10192</v>
      </c>
      <c r="AV494" s="1328"/>
      <c r="AW494" s="663">
        <f t="shared" si="146"/>
        <v>10192</v>
      </c>
      <c r="AX494" s="663"/>
      <c r="AY494" s="1328"/>
      <c r="AZ494" s="687"/>
      <c r="BA494" s="687"/>
      <c r="BB494" s="687"/>
      <c r="BC494" s="687"/>
      <c r="BD494" s="687"/>
      <c r="BE494" s="663"/>
      <c r="BF494" s="663"/>
      <c r="BG494" s="663"/>
      <c r="BH494" s="825">
        <f t="shared" si="152"/>
        <v>2548</v>
      </c>
      <c r="BI494" s="663"/>
      <c r="BJ494" s="1328"/>
      <c r="BK494" s="1328"/>
      <c r="BL494" s="1328"/>
      <c r="BM494" s="1328"/>
      <c r="BN494" s="663"/>
      <c r="BO494" s="1328"/>
      <c r="BP494" s="1328"/>
      <c r="BQ494" s="1265"/>
      <c r="BR494" s="1265"/>
      <c r="BS494" s="1265"/>
      <c r="BT494" s="1265"/>
      <c r="BU494" s="1265"/>
      <c r="BV494" s="1265"/>
      <c r="BW494" s="1265"/>
      <c r="BX494" s="1265"/>
      <c r="BY494" s="1265"/>
      <c r="BZ494" s="1265"/>
      <c r="CA494" s="1265"/>
      <c r="CB494" s="1265"/>
      <c r="CC494" s="1265"/>
      <c r="CD494" s="1265"/>
      <c r="CE494" s="1265"/>
      <c r="CF494" s="1265"/>
      <c r="CG494" s="1265"/>
      <c r="CH494" s="669"/>
      <c r="CI494" s="669"/>
      <c r="CJ494" s="669"/>
      <c r="CK494" s="669"/>
      <c r="CL494" s="669"/>
      <c r="CM494" s="1265"/>
      <c r="CN494" s="1265"/>
      <c r="CO494" s="1265"/>
      <c r="CP494" s="669"/>
      <c r="CQ494" s="669"/>
      <c r="CR494" s="669"/>
      <c r="CS494" s="669"/>
      <c r="CT494" s="669"/>
      <c r="CU494" s="669"/>
    </row>
    <row r="495" s="1265" customFormat="1" ht="31" customHeight="1" spans="1:99">
      <c r="A495" s="660">
        <v>45912</v>
      </c>
      <c r="B495" s="661" t="s">
        <v>143</v>
      </c>
      <c r="C495" s="662" t="s">
        <v>98</v>
      </c>
      <c r="D495" s="663">
        <v>4500179418</v>
      </c>
      <c r="E495" s="1414" t="s">
        <v>2055</v>
      </c>
      <c r="F495" s="663" t="s">
        <v>2056</v>
      </c>
      <c r="G495" s="659" t="s">
        <v>101</v>
      </c>
      <c r="H495" s="662" t="s">
        <v>102</v>
      </c>
      <c r="I495" s="662">
        <v>3840</v>
      </c>
      <c r="J495" s="662">
        <v>0</v>
      </c>
      <c r="K495" s="662">
        <v>4</v>
      </c>
      <c r="L495" s="665">
        <f t="shared" si="137"/>
        <v>960</v>
      </c>
      <c r="M495" s="666">
        <v>45960</v>
      </c>
      <c r="N495" s="666">
        <v>45957</v>
      </c>
      <c r="O495" s="674">
        <v>45960</v>
      </c>
      <c r="P495" s="824" t="s">
        <v>113</v>
      </c>
      <c r="Q495" s="662"/>
      <c r="R495" s="667" t="s">
        <v>147</v>
      </c>
      <c r="S495" s="667" t="s">
        <v>70</v>
      </c>
      <c r="T495" s="667">
        <v>45926</v>
      </c>
      <c r="U495" s="667"/>
      <c r="V495" s="667" t="s">
        <v>148</v>
      </c>
      <c r="W495" s="661"/>
      <c r="X495" s="661" t="s">
        <v>1395</v>
      </c>
      <c r="Y495" s="634" t="s">
        <v>106</v>
      </c>
      <c r="Z495" s="1318">
        <v>2.5768</v>
      </c>
      <c r="AA495" s="634">
        <f t="shared" si="144"/>
        <v>9894.912</v>
      </c>
      <c r="AC495" s="638" t="s">
        <v>2057</v>
      </c>
      <c r="AD495" s="633" t="s">
        <v>101</v>
      </c>
      <c r="AE495" s="662" t="s">
        <v>82</v>
      </c>
      <c r="AF495" s="662"/>
      <c r="AG495" s="662"/>
      <c r="AH495" s="662"/>
      <c r="AI495" s="662">
        <v>3840</v>
      </c>
      <c r="AJ495" s="662">
        <f t="shared" si="148"/>
        <v>0</v>
      </c>
      <c r="AK495" s="662"/>
      <c r="AL495" s="662"/>
      <c r="AM495" s="663"/>
      <c r="AN495" s="663">
        <f t="shared" si="150"/>
        <v>3840</v>
      </c>
      <c r="AO495" s="1328"/>
      <c r="AP495" s="1328"/>
      <c r="AQ495" s="1328"/>
      <c r="AR495" s="663">
        <f t="shared" si="151"/>
        <v>3840</v>
      </c>
      <c r="AS495" s="663"/>
      <c r="AT495" s="663"/>
      <c r="AU495" s="663">
        <f t="shared" si="149"/>
        <v>3840</v>
      </c>
      <c r="AV495" s="1328"/>
      <c r="AW495" s="663">
        <f t="shared" si="146"/>
        <v>3840</v>
      </c>
      <c r="AX495" s="663"/>
      <c r="AY495" s="1328"/>
      <c r="AZ495" s="563"/>
      <c r="BA495" s="563"/>
      <c r="BB495" s="563"/>
      <c r="BC495" s="563"/>
      <c r="BD495" s="563"/>
      <c r="BE495" s="663"/>
      <c r="BF495" s="663"/>
      <c r="BG495" s="663"/>
      <c r="BH495" s="825">
        <f t="shared" si="152"/>
        <v>960</v>
      </c>
      <c r="BI495" s="663"/>
      <c r="BJ495" s="1328"/>
      <c r="BK495" s="1328"/>
      <c r="BL495" s="1328"/>
      <c r="BM495" s="1328"/>
      <c r="BN495" s="663"/>
      <c r="BO495" s="1328"/>
      <c r="BP495" s="1328"/>
      <c r="BQ495" s="1265"/>
      <c r="BR495" s="1265"/>
      <c r="BS495" s="1265"/>
      <c r="BT495" s="1265"/>
      <c r="BU495" s="1265"/>
      <c r="BV495" s="1265"/>
      <c r="BW495" s="1265"/>
      <c r="BX495" s="1265"/>
      <c r="BY495" s="1265"/>
      <c r="BZ495" s="1265"/>
      <c r="CA495" s="1265"/>
      <c r="CB495" s="1265"/>
      <c r="CC495" s="1265"/>
      <c r="CD495" s="1265"/>
      <c r="CE495" s="1265"/>
      <c r="CF495" s="1265"/>
      <c r="CG495" s="1265"/>
      <c r="CH495" s="669"/>
      <c r="CI495" s="669"/>
      <c r="CJ495" s="669"/>
      <c r="CK495" s="669"/>
      <c r="CL495" s="669"/>
      <c r="CM495" s="1265"/>
      <c r="CN495" s="1265"/>
      <c r="CO495" s="1265"/>
      <c r="CP495" s="669"/>
      <c r="CQ495" s="669"/>
      <c r="CR495" s="669"/>
      <c r="CS495" s="669"/>
      <c r="CT495" s="669"/>
      <c r="CU495" s="669"/>
    </row>
    <row r="496" s="1265" customFormat="1" ht="31" customHeight="1" spans="1:99">
      <c r="A496" s="660">
        <v>45912</v>
      </c>
      <c r="B496" s="661" t="s">
        <v>143</v>
      </c>
      <c r="C496" s="662" t="s">
        <v>98</v>
      </c>
      <c r="D496" s="663">
        <v>4500179418</v>
      </c>
      <c r="E496" s="1414" t="s">
        <v>2058</v>
      </c>
      <c r="F496" s="663" t="s">
        <v>2059</v>
      </c>
      <c r="G496" s="659" t="s">
        <v>101</v>
      </c>
      <c r="H496" s="662" t="s">
        <v>102</v>
      </c>
      <c r="I496" s="662">
        <v>3200</v>
      </c>
      <c r="J496" s="662">
        <v>0</v>
      </c>
      <c r="K496" s="662">
        <v>4</v>
      </c>
      <c r="L496" s="665">
        <f t="shared" si="137"/>
        <v>800</v>
      </c>
      <c r="M496" s="666">
        <v>45960</v>
      </c>
      <c r="N496" s="666">
        <v>45957</v>
      </c>
      <c r="O496" s="674">
        <v>45960</v>
      </c>
      <c r="P496" s="824" t="s">
        <v>113</v>
      </c>
      <c r="Q496" s="662" t="s">
        <v>1824</v>
      </c>
      <c r="R496" s="667" t="s">
        <v>147</v>
      </c>
      <c r="S496" s="667" t="s">
        <v>70</v>
      </c>
      <c r="T496" s="667">
        <v>45926</v>
      </c>
      <c r="U496" s="667"/>
      <c r="V496" s="667" t="s">
        <v>148</v>
      </c>
      <c r="W496" s="661"/>
      <c r="X496" s="661" t="s">
        <v>1395</v>
      </c>
      <c r="Y496" s="634" t="s">
        <v>106</v>
      </c>
      <c r="Z496" s="1318">
        <v>2.5768</v>
      </c>
      <c r="AA496" s="634">
        <f t="shared" si="144"/>
        <v>8245.76</v>
      </c>
      <c r="AC496" s="638" t="s">
        <v>2060</v>
      </c>
      <c r="AD496" s="633" t="s">
        <v>101</v>
      </c>
      <c r="AE496" s="662" t="s">
        <v>82</v>
      </c>
      <c r="AF496" s="662"/>
      <c r="AG496" s="662"/>
      <c r="AH496" s="662"/>
      <c r="AI496" s="662">
        <v>3200</v>
      </c>
      <c r="AJ496" s="662">
        <f t="shared" si="148"/>
        <v>0</v>
      </c>
      <c r="AK496" s="662"/>
      <c r="AL496" s="662"/>
      <c r="AM496" s="663"/>
      <c r="AN496" s="663">
        <f t="shared" si="150"/>
        <v>3200</v>
      </c>
      <c r="AO496" s="1328"/>
      <c r="AP496" s="1328"/>
      <c r="AQ496" s="1328"/>
      <c r="AR496" s="663">
        <f t="shared" si="151"/>
        <v>3200</v>
      </c>
      <c r="AS496" s="663"/>
      <c r="AT496" s="663"/>
      <c r="AU496" s="663">
        <f t="shared" si="149"/>
        <v>3200</v>
      </c>
      <c r="AV496" s="1328"/>
      <c r="AW496" s="663">
        <f t="shared" si="146"/>
        <v>3200</v>
      </c>
      <c r="AX496" s="663"/>
      <c r="AY496" s="1328"/>
      <c r="AZ496" s="687"/>
      <c r="BA496" s="687"/>
      <c r="BB496" s="687"/>
      <c r="BC496" s="687"/>
      <c r="BD496" s="687"/>
      <c r="BE496" s="663"/>
      <c r="BF496" s="663"/>
      <c r="BG496" s="663"/>
      <c r="BH496" s="825">
        <f t="shared" si="152"/>
        <v>800</v>
      </c>
      <c r="BI496" s="663"/>
      <c r="BJ496" s="1328"/>
      <c r="BK496" s="1328"/>
      <c r="BL496" s="1328"/>
      <c r="BM496" s="1328"/>
      <c r="BN496" s="663"/>
      <c r="BO496" s="1328"/>
      <c r="BP496" s="1328"/>
      <c r="BQ496" s="1265"/>
      <c r="BR496" s="1265"/>
      <c r="BS496" s="1265"/>
      <c r="BT496" s="1265"/>
      <c r="BU496" s="1265"/>
      <c r="BV496" s="1265"/>
      <c r="BW496" s="1265"/>
      <c r="BX496" s="1265"/>
      <c r="BY496" s="1265"/>
      <c r="BZ496" s="1265"/>
      <c r="CA496" s="1265"/>
      <c r="CB496" s="1265"/>
      <c r="CC496" s="1265"/>
      <c r="CD496" s="1265"/>
      <c r="CE496" s="1265"/>
      <c r="CF496" s="1265"/>
      <c r="CG496" s="1265"/>
      <c r="CH496" s="669"/>
      <c r="CI496" s="669"/>
      <c r="CJ496" s="669"/>
      <c r="CK496" s="669"/>
      <c r="CL496" s="669"/>
      <c r="CM496" s="1265"/>
      <c r="CN496" s="1265"/>
      <c r="CO496" s="1265"/>
      <c r="CP496" s="669"/>
      <c r="CQ496" s="669"/>
      <c r="CR496" s="669"/>
      <c r="CS496" s="669"/>
      <c r="CT496" s="669"/>
      <c r="CU496" s="669"/>
    </row>
    <row r="497" s="1265" customFormat="1" ht="31" customHeight="1" spans="1:99">
      <c r="A497" s="660">
        <v>45912</v>
      </c>
      <c r="B497" s="661" t="s">
        <v>143</v>
      </c>
      <c r="C497" s="662" t="s">
        <v>98</v>
      </c>
      <c r="D497" s="663">
        <v>4500179418</v>
      </c>
      <c r="E497" s="1414" t="s">
        <v>2061</v>
      </c>
      <c r="F497" s="663" t="s">
        <v>2062</v>
      </c>
      <c r="G497" s="659" t="s">
        <v>101</v>
      </c>
      <c r="H497" s="662" t="s">
        <v>102</v>
      </c>
      <c r="I497" s="662">
        <v>3520</v>
      </c>
      <c r="J497" s="662">
        <v>0</v>
      </c>
      <c r="K497" s="662">
        <v>4</v>
      </c>
      <c r="L497" s="665">
        <f t="shared" si="137"/>
        <v>880</v>
      </c>
      <c r="M497" s="666">
        <v>45960</v>
      </c>
      <c r="N497" s="666">
        <v>45957</v>
      </c>
      <c r="O497" s="674">
        <v>45960</v>
      </c>
      <c r="P497" s="824" t="s">
        <v>113</v>
      </c>
      <c r="Q497" s="662"/>
      <c r="R497" s="667" t="s">
        <v>147</v>
      </c>
      <c r="S497" s="667" t="s">
        <v>70</v>
      </c>
      <c r="T497" s="667">
        <v>45926</v>
      </c>
      <c r="U497" s="667"/>
      <c r="V497" s="667" t="s">
        <v>148</v>
      </c>
      <c r="W497" s="661"/>
      <c r="X497" s="661" t="s">
        <v>1395</v>
      </c>
      <c r="Y497" s="634" t="s">
        <v>106</v>
      </c>
      <c r="Z497" s="1318">
        <v>2.5768</v>
      </c>
      <c r="AA497" s="634">
        <f t="shared" si="144"/>
        <v>9070.336</v>
      </c>
      <c r="AC497" s="638" t="s">
        <v>2063</v>
      </c>
      <c r="AD497" s="633" t="s">
        <v>101</v>
      </c>
      <c r="AE497" s="662" t="s">
        <v>82</v>
      </c>
      <c r="AF497" s="662"/>
      <c r="AG497" s="662"/>
      <c r="AH497" s="662"/>
      <c r="AI497" s="662">
        <v>3520</v>
      </c>
      <c r="AJ497" s="662">
        <f t="shared" si="148"/>
        <v>0</v>
      </c>
      <c r="AK497" s="662"/>
      <c r="AL497" s="662"/>
      <c r="AM497" s="663"/>
      <c r="AN497" s="663">
        <f t="shared" si="150"/>
        <v>3520</v>
      </c>
      <c r="AO497" s="1328"/>
      <c r="AP497" s="1328"/>
      <c r="AQ497" s="1328"/>
      <c r="AR497" s="663">
        <f t="shared" si="151"/>
        <v>3520</v>
      </c>
      <c r="AS497" s="663"/>
      <c r="AT497" s="663"/>
      <c r="AU497" s="663">
        <f t="shared" si="149"/>
        <v>3520</v>
      </c>
      <c r="AV497" s="1328"/>
      <c r="AW497" s="663">
        <f t="shared" si="146"/>
        <v>3520</v>
      </c>
      <c r="AX497" s="663"/>
      <c r="AY497" s="1328"/>
      <c r="AZ497" s="687"/>
      <c r="BA497" s="687"/>
      <c r="BB497" s="687"/>
      <c r="BC497" s="687"/>
      <c r="BD497" s="687"/>
      <c r="BE497" s="663"/>
      <c r="BF497" s="663"/>
      <c r="BG497" s="663"/>
      <c r="BH497" s="825">
        <f t="shared" si="152"/>
        <v>880</v>
      </c>
      <c r="BI497" s="663"/>
      <c r="BJ497" s="1328"/>
      <c r="BK497" s="1328"/>
      <c r="BL497" s="1328"/>
      <c r="BM497" s="1328"/>
      <c r="BN497" s="663"/>
      <c r="BO497" s="1328"/>
      <c r="BP497" s="1328"/>
      <c r="BQ497" s="1265"/>
      <c r="BR497" s="1265"/>
      <c r="BS497" s="1265"/>
      <c r="BT497" s="1265"/>
      <c r="BU497" s="1265"/>
      <c r="BV497" s="1265"/>
      <c r="BW497" s="1265"/>
      <c r="BX497" s="1265"/>
      <c r="BY497" s="1265"/>
      <c r="BZ497" s="1265"/>
      <c r="CA497" s="1265"/>
      <c r="CB497" s="1265"/>
      <c r="CC497" s="1265"/>
      <c r="CD497" s="1265"/>
      <c r="CE497" s="1265"/>
      <c r="CF497" s="1265"/>
      <c r="CG497" s="1265"/>
      <c r="CH497" s="669"/>
      <c r="CI497" s="669"/>
      <c r="CJ497" s="669"/>
      <c r="CK497" s="669"/>
      <c r="CL497" s="669"/>
      <c r="CM497" s="1265"/>
      <c r="CN497" s="1265"/>
      <c r="CO497" s="1265"/>
      <c r="CP497" s="669"/>
      <c r="CQ497" s="669"/>
      <c r="CR497" s="669"/>
      <c r="CS497" s="669"/>
      <c r="CT497" s="669"/>
      <c r="CU497" s="669"/>
    </row>
    <row r="498" s="1265" customFormat="1" ht="31" customHeight="1" spans="1:99">
      <c r="A498" s="660">
        <v>45912</v>
      </c>
      <c r="B498" s="661" t="s">
        <v>143</v>
      </c>
      <c r="C498" s="662" t="s">
        <v>98</v>
      </c>
      <c r="D498" s="663">
        <v>4500179418</v>
      </c>
      <c r="E498" s="1414" t="s">
        <v>2064</v>
      </c>
      <c r="F498" s="663" t="s">
        <v>2065</v>
      </c>
      <c r="G498" s="659" t="s">
        <v>101</v>
      </c>
      <c r="H498" s="662" t="s">
        <v>102</v>
      </c>
      <c r="I498" s="662">
        <v>2560</v>
      </c>
      <c r="J498" s="662">
        <v>0</v>
      </c>
      <c r="K498" s="662">
        <v>4</v>
      </c>
      <c r="L498" s="665">
        <f t="shared" si="137"/>
        <v>640</v>
      </c>
      <c r="M498" s="666">
        <v>45960</v>
      </c>
      <c r="N498" s="666">
        <v>45957</v>
      </c>
      <c r="O498" s="674">
        <v>45960</v>
      </c>
      <c r="P498" s="824" t="s">
        <v>113</v>
      </c>
      <c r="Q498" s="662"/>
      <c r="R498" s="667" t="s">
        <v>147</v>
      </c>
      <c r="S498" s="667" t="s">
        <v>70</v>
      </c>
      <c r="T498" s="667">
        <v>45926</v>
      </c>
      <c r="U498" s="667"/>
      <c r="V498" s="667" t="s">
        <v>148</v>
      </c>
      <c r="W498" s="661"/>
      <c r="X498" s="661" t="s">
        <v>1395</v>
      </c>
      <c r="Y498" s="634" t="s">
        <v>106</v>
      </c>
      <c r="Z498" s="1318">
        <v>2.58</v>
      </c>
      <c r="AA498" s="634">
        <f t="shared" si="144"/>
        <v>6604.8</v>
      </c>
      <c r="AC498" s="638" t="s">
        <v>2066</v>
      </c>
      <c r="AD498" s="633" t="s">
        <v>101</v>
      </c>
      <c r="AE498" s="662" t="s">
        <v>82</v>
      </c>
      <c r="AF498" s="662"/>
      <c r="AG498" s="662"/>
      <c r="AH498" s="662"/>
      <c r="AI498" s="662">
        <v>2560</v>
      </c>
      <c r="AJ498" s="662">
        <f t="shared" si="148"/>
        <v>0</v>
      </c>
      <c r="AK498" s="662"/>
      <c r="AL498" s="662"/>
      <c r="AM498" s="663"/>
      <c r="AN498" s="663">
        <f t="shared" si="150"/>
        <v>2560</v>
      </c>
      <c r="AO498" s="1328"/>
      <c r="AP498" s="1328"/>
      <c r="AQ498" s="1328"/>
      <c r="AR498" s="663">
        <f t="shared" si="151"/>
        <v>2560</v>
      </c>
      <c r="AS498" s="663"/>
      <c r="AT498" s="663"/>
      <c r="AU498" s="663">
        <f t="shared" si="149"/>
        <v>2560</v>
      </c>
      <c r="AV498" s="1328"/>
      <c r="AW498" s="663">
        <f t="shared" si="146"/>
        <v>2560</v>
      </c>
      <c r="AX498" s="663"/>
      <c r="AY498" s="1328"/>
      <c r="AZ498" s="687"/>
      <c r="BA498" s="687"/>
      <c r="BB498" s="687"/>
      <c r="BC498" s="687"/>
      <c r="BD498" s="687"/>
      <c r="BE498" s="663"/>
      <c r="BF498" s="663"/>
      <c r="BG498" s="663"/>
      <c r="BH498" s="825">
        <f t="shared" si="152"/>
        <v>640</v>
      </c>
      <c r="BI498" s="663"/>
      <c r="BJ498" s="1328"/>
      <c r="BK498" s="1328"/>
      <c r="BL498" s="1328"/>
      <c r="BM498" s="1328"/>
      <c r="BN498" s="663"/>
      <c r="BO498" s="1328"/>
      <c r="BP498" s="1328"/>
      <c r="BQ498" s="1265"/>
      <c r="BR498" s="1265"/>
      <c r="BS498" s="1265"/>
      <c r="BT498" s="1265"/>
      <c r="BU498" s="1265"/>
      <c r="BV498" s="1265"/>
      <c r="BW498" s="1265"/>
      <c r="BX498" s="1265"/>
      <c r="BY498" s="1265"/>
      <c r="BZ498" s="1265"/>
      <c r="CA498" s="1265"/>
      <c r="CB498" s="1265"/>
      <c r="CC498" s="1265"/>
      <c r="CD498" s="1265"/>
      <c r="CE498" s="1265"/>
      <c r="CF498" s="1265"/>
      <c r="CG498" s="1265"/>
      <c r="CH498" s="669"/>
      <c r="CI498" s="669"/>
      <c r="CJ498" s="669"/>
      <c r="CK498" s="669"/>
      <c r="CL498" s="669"/>
      <c r="CM498" s="1265"/>
      <c r="CN498" s="1265"/>
      <c r="CO498" s="1265"/>
      <c r="CP498" s="669"/>
      <c r="CQ498" s="669"/>
      <c r="CR498" s="669"/>
      <c r="CS498" s="669"/>
      <c r="CT498" s="669"/>
      <c r="CU498" s="669"/>
    </row>
    <row r="499" s="1265" customFormat="1" ht="31" customHeight="1" spans="1:99">
      <c r="A499" s="660">
        <v>45897</v>
      </c>
      <c r="B499" s="661" t="s">
        <v>169</v>
      </c>
      <c r="C499" s="662" t="s">
        <v>170</v>
      </c>
      <c r="D499" s="663">
        <v>4500178170</v>
      </c>
      <c r="E499" s="662"/>
      <c r="F499" s="663" t="s">
        <v>2067</v>
      </c>
      <c r="G499" s="659" t="s">
        <v>172</v>
      </c>
      <c r="H499" s="662" t="s">
        <v>112</v>
      </c>
      <c r="I499" s="662">
        <v>5000</v>
      </c>
      <c r="J499" s="662">
        <v>0</v>
      </c>
      <c r="K499" s="662">
        <v>2</v>
      </c>
      <c r="L499" s="665">
        <f t="shared" si="137"/>
        <v>2500</v>
      </c>
      <c r="M499" s="666">
        <v>45960</v>
      </c>
      <c r="N499" s="666">
        <v>45957</v>
      </c>
      <c r="O499" s="664" t="s">
        <v>2068</v>
      </c>
      <c r="P499" s="824" t="s">
        <v>113</v>
      </c>
      <c r="Q499" s="667" t="s">
        <v>2069</v>
      </c>
      <c r="R499" s="667">
        <v>45915</v>
      </c>
      <c r="S499" s="667" t="s">
        <v>70</v>
      </c>
      <c r="T499" s="667" t="s">
        <v>1511</v>
      </c>
      <c r="U499" s="667"/>
      <c r="V499" s="661"/>
      <c r="W499" s="661"/>
      <c r="X499" s="661" t="s">
        <v>2070</v>
      </c>
      <c r="Y499" s="634" t="s">
        <v>2071</v>
      </c>
      <c r="Z499" s="1318">
        <v>4.2525</v>
      </c>
      <c r="AA499" s="634">
        <f t="shared" si="144"/>
        <v>21262.5</v>
      </c>
      <c r="AC499" s="638" t="s">
        <v>2072</v>
      </c>
      <c r="AD499" s="633" t="s">
        <v>172</v>
      </c>
      <c r="AE499" s="662" t="s">
        <v>82</v>
      </c>
      <c r="AF499" s="662"/>
      <c r="AG499" s="662"/>
      <c r="AH499" s="662"/>
      <c r="AI499" s="662">
        <f>4980+20</f>
        <v>5000</v>
      </c>
      <c r="AJ499" s="664">
        <f t="shared" si="148"/>
        <v>0</v>
      </c>
      <c r="AK499" s="662"/>
      <c r="AL499" s="662"/>
      <c r="AM499" s="663"/>
      <c r="AN499" s="663">
        <f t="shared" si="150"/>
        <v>5000</v>
      </c>
      <c r="AO499" s="1328"/>
      <c r="AP499" s="1328"/>
      <c r="AQ499" s="1328"/>
      <c r="AR499" s="663"/>
      <c r="AS499" s="663">
        <f>I499</f>
        <v>5000</v>
      </c>
      <c r="AT499" s="663"/>
      <c r="AU499" s="663">
        <f t="shared" si="149"/>
        <v>5000</v>
      </c>
      <c r="AV499" s="1328"/>
      <c r="AW499" s="663">
        <f t="shared" si="146"/>
        <v>5000</v>
      </c>
      <c r="AX499" s="663"/>
      <c r="AY499" s="1328"/>
      <c r="AZ499" s="563"/>
      <c r="BA499" s="563"/>
      <c r="BB499" s="563"/>
      <c r="BC499" s="563"/>
      <c r="BD499" s="563"/>
      <c r="BE499" s="663"/>
      <c r="BF499" s="663"/>
      <c r="BG499" s="663"/>
      <c r="BH499" s="663"/>
      <c r="BI499" s="663"/>
      <c r="BJ499" s="1328"/>
      <c r="BK499" s="1328"/>
      <c r="BL499" s="1328"/>
      <c r="BM499" s="1328"/>
      <c r="BN499" s="663"/>
      <c r="BO499" s="1328"/>
      <c r="BP499" s="1328"/>
      <c r="BQ499" s="1265"/>
      <c r="BR499" s="1265"/>
      <c r="BS499" s="1265"/>
      <c r="BT499" s="1265"/>
      <c r="BU499" s="1265"/>
      <c r="BV499" s="1265"/>
      <c r="BW499" s="1265"/>
      <c r="BX499" s="1265"/>
      <c r="BY499" s="1265"/>
      <c r="BZ499" s="1265"/>
      <c r="CA499" s="1265"/>
      <c r="CB499" s="1265"/>
      <c r="CC499" s="1265"/>
      <c r="CD499" s="1265"/>
      <c r="CE499" s="1265"/>
      <c r="CF499" s="1265"/>
      <c r="CG499" s="1265"/>
      <c r="CH499" s="669"/>
      <c r="CI499" s="669"/>
      <c r="CJ499" s="669"/>
      <c r="CK499" s="669"/>
      <c r="CL499" s="669"/>
      <c r="CM499" s="1265"/>
      <c r="CN499" s="1265"/>
      <c r="CO499" s="1265"/>
      <c r="CP499" s="669"/>
      <c r="CQ499" s="669"/>
      <c r="CR499" s="669"/>
      <c r="CS499" s="669"/>
      <c r="CT499" s="669"/>
      <c r="CU499" s="669"/>
    </row>
    <row r="500" s="1265" customFormat="1" ht="31" customHeight="1" spans="1:99">
      <c r="A500" s="660">
        <v>45882</v>
      </c>
      <c r="B500" s="661" t="s">
        <v>1544</v>
      </c>
      <c r="C500" s="662" t="s">
        <v>257</v>
      </c>
      <c r="D500" s="663">
        <v>4500176519</v>
      </c>
      <c r="E500" s="662">
        <v>4400501778</v>
      </c>
      <c r="F500" s="663" t="s">
        <v>2073</v>
      </c>
      <c r="G500" s="659" t="s">
        <v>164</v>
      </c>
      <c r="H500" s="662" t="s">
        <v>112</v>
      </c>
      <c r="I500" s="662">
        <v>1504</v>
      </c>
      <c r="J500" s="662">
        <v>0</v>
      </c>
      <c r="K500" s="662">
        <v>8</v>
      </c>
      <c r="L500" s="665">
        <f t="shared" si="137"/>
        <v>188</v>
      </c>
      <c r="M500" s="666">
        <v>45961</v>
      </c>
      <c r="N500" s="666">
        <v>45957</v>
      </c>
      <c r="O500" s="664"/>
      <c r="P500" s="824" t="s">
        <v>113</v>
      </c>
      <c r="Q500" s="667"/>
      <c r="R500" s="667">
        <v>45882</v>
      </c>
      <c r="S500" s="667" t="s">
        <v>70</v>
      </c>
      <c r="T500" s="667" t="s">
        <v>165</v>
      </c>
      <c r="U500" s="667"/>
      <c r="V500" s="661"/>
      <c r="W500" s="661"/>
      <c r="X500" s="661" t="s">
        <v>1938</v>
      </c>
      <c r="Y500" s="634" t="s">
        <v>1549</v>
      </c>
      <c r="Z500" s="1318">
        <v>4.2714</v>
      </c>
      <c r="AA500" s="634">
        <f t="shared" si="144"/>
        <v>6424.1856</v>
      </c>
      <c r="AC500" s="638" t="s">
        <v>2074</v>
      </c>
      <c r="AD500" s="633" t="s">
        <v>164</v>
      </c>
      <c r="AE500" s="662" t="s">
        <v>82</v>
      </c>
      <c r="AF500" s="662"/>
      <c r="AG500" s="662"/>
      <c r="AH500" s="662"/>
      <c r="AI500" s="662">
        <v>1504</v>
      </c>
      <c r="AJ500" s="662">
        <f t="shared" si="148"/>
        <v>0</v>
      </c>
      <c r="AK500" s="662"/>
      <c r="AL500" s="662"/>
      <c r="AM500" s="663"/>
      <c r="AN500" s="663">
        <f t="shared" si="150"/>
        <v>1504</v>
      </c>
      <c r="AO500" s="1328"/>
      <c r="AP500" s="1328"/>
      <c r="AQ500" s="1328"/>
      <c r="AR500" s="663"/>
      <c r="AS500" s="663"/>
      <c r="AT500" s="663"/>
      <c r="AU500" s="663"/>
      <c r="AV500" s="1328"/>
      <c r="AW500" s="663">
        <f t="shared" si="146"/>
        <v>1504</v>
      </c>
      <c r="AX500" s="663"/>
      <c r="AY500" s="1328"/>
      <c r="AZ500" s="687"/>
      <c r="BA500" s="687"/>
      <c r="BB500" s="687"/>
      <c r="BC500" s="687"/>
      <c r="BD500" s="687">
        <f>I500</f>
        <v>1504</v>
      </c>
      <c r="BE500" s="663">
        <f>I500</f>
        <v>1504</v>
      </c>
      <c r="BF500" s="1328"/>
      <c r="BG500" s="1328"/>
      <c r="BH500" s="663"/>
      <c r="BI500" s="825">
        <f>I500/4</f>
        <v>376</v>
      </c>
      <c r="BJ500" s="1328"/>
      <c r="BK500" s="1328"/>
      <c r="BL500" s="1328"/>
      <c r="BM500" s="1328"/>
      <c r="BN500" s="663"/>
      <c r="BO500" s="1328"/>
      <c r="BP500" s="1328"/>
      <c r="BQ500" s="1265"/>
      <c r="BR500" s="1265"/>
      <c r="BS500" s="1265"/>
      <c r="BT500" s="1265"/>
      <c r="BU500" s="1265"/>
      <c r="BV500" s="1265"/>
      <c r="BW500" s="1265"/>
      <c r="BX500" s="1265"/>
      <c r="BY500" s="1265"/>
      <c r="BZ500" s="1265"/>
      <c r="CA500" s="1265"/>
      <c r="CB500" s="1265"/>
      <c r="CC500" s="1265"/>
      <c r="CD500" s="1265"/>
      <c r="CE500" s="1265"/>
      <c r="CF500" s="1265"/>
      <c r="CG500" s="1265"/>
      <c r="CH500" s="669"/>
      <c r="CI500" s="669"/>
      <c r="CJ500" s="669"/>
      <c r="CK500" s="669"/>
      <c r="CL500" s="669"/>
      <c r="CM500" s="1265"/>
      <c r="CN500" s="1265"/>
      <c r="CO500" s="1265"/>
      <c r="CP500" s="669"/>
      <c r="CQ500" s="669"/>
      <c r="CR500" s="669"/>
      <c r="CS500" s="669"/>
      <c r="CT500" s="669"/>
      <c r="CU500" s="669"/>
    </row>
    <row r="501" s="1265" customFormat="1" ht="31" customHeight="1" spans="1:99">
      <c r="A501" s="660">
        <v>45882</v>
      </c>
      <c r="B501" s="661" t="s">
        <v>1620</v>
      </c>
      <c r="C501" s="662" t="s">
        <v>278</v>
      </c>
      <c r="D501" s="663">
        <v>4500176740</v>
      </c>
      <c r="E501" s="662" t="s">
        <v>2075</v>
      </c>
      <c r="F501" s="663" t="s">
        <v>2076</v>
      </c>
      <c r="G501" s="659" t="s">
        <v>164</v>
      </c>
      <c r="H501" s="662" t="s">
        <v>112</v>
      </c>
      <c r="I501" s="662">
        <v>6000</v>
      </c>
      <c r="J501" s="662">
        <v>0</v>
      </c>
      <c r="K501" s="662">
        <v>8</v>
      </c>
      <c r="L501" s="665">
        <f t="shared" si="137"/>
        <v>750</v>
      </c>
      <c r="M501" s="666">
        <v>45961</v>
      </c>
      <c r="N501" s="666">
        <v>45957</v>
      </c>
      <c r="O501" s="664"/>
      <c r="P501" s="824" t="s">
        <v>113</v>
      </c>
      <c r="Q501" s="667"/>
      <c r="R501" s="667">
        <v>45882</v>
      </c>
      <c r="S501" s="667" t="s">
        <v>70</v>
      </c>
      <c r="T501" s="667" t="s">
        <v>165</v>
      </c>
      <c r="U501" s="667"/>
      <c r="V501" s="661"/>
      <c r="W501" s="661"/>
      <c r="X501" s="661" t="s">
        <v>1938</v>
      </c>
      <c r="Y501" s="634" t="s">
        <v>1549</v>
      </c>
      <c r="Z501" s="1318">
        <v>4.2475</v>
      </c>
      <c r="AA501" s="634">
        <f t="shared" si="144"/>
        <v>25485</v>
      </c>
      <c r="AC501" s="638" t="s">
        <v>2077</v>
      </c>
      <c r="AD501" s="633" t="s">
        <v>164</v>
      </c>
      <c r="AE501" s="662" t="s">
        <v>82</v>
      </c>
      <c r="AF501" s="662"/>
      <c r="AG501" s="662"/>
      <c r="AH501" s="662"/>
      <c r="AI501" s="662">
        <f>2880+3120</f>
        <v>6000</v>
      </c>
      <c r="AJ501" s="662">
        <f t="shared" si="148"/>
        <v>0</v>
      </c>
      <c r="AK501" s="662"/>
      <c r="AL501" s="662"/>
      <c r="AM501" s="663"/>
      <c r="AN501" s="663">
        <f t="shared" si="150"/>
        <v>6000</v>
      </c>
      <c r="AO501" s="1328"/>
      <c r="AP501" s="1328"/>
      <c r="AQ501" s="1328"/>
      <c r="AR501" s="663"/>
      <c r="AS501" s="663"/>
      <c r="AT501" s="663"/>
      <c r="AU501" s="663"/>
      <c r="AV501" s="1328"/>
      <c r="AW501" s="663">
        <f t="shared" si="146"/>
        <v>6000</v>
      </c>
      <c r="AX501" s="663"/>
      <c r="AY501" s="1328"/>
      <c r="AZ501" s="687"/>
      <c r="BA501" s="687"/>
      <c r="BB501" s="687"/>
      <c r="BC501" s="687"/>
      <c r="BD501" s="687">
        <f>I501</f>
        <v>6000</v>
      </c>
      <c r="BE501" s="663">
        <f>I501</f>
        <v>6000</v>
      </c>
      <c r="BF501" s="1328"/>
      <c r="BG501" s="1328"/>
      <c r="BH501" s="663"/>
      <c r="BI501" s="825">
        <f>I501/4</f>
        <v>1500</v>
      </c>
      <c r="BJ501" s="1328"/>
      <c r="BK501" s="1328"/>
      <c r="BL501" s="1328"/>
      <c r="BM501" s="1328"/>
      <c r="BN501" s="663"/>
      <c r="BO501" s="1328"/>
      <c r="BP501" s="1328"/>
      <c r="BQ501" s="1265"/>
      <c r="BR501" s="1265"/>
      <c r="BS501" s="1265"/>
      <c r="BT501" s="1265"/>
      <c r="BU501" s="1265"/>
      <c r="BV501" s="1265"/>
      <c r="BW501" s="1265"/>
      <c r="BX501" s="1265"/>
      <c r="BY501" s="1265"/>
      <c r="BZ501" s="1265"/>
      <c r="CA501" s="1265"/>
      <c r="CB501" s="1265"/>
      <c r="CC501" s="1265"/>
      <c r="CD501" s="1265"/>
      <c r="CE501" s="1265"/>
      <c r="CF501" s="1265"/>
      <c r="CG501" s="1265"/>
      <c r="CH501" s="669"/>
      <c r="CI501" s="669"/>
      <c r="CJ501" s="669"/>
      <c r="CK501" s="669"/>
      <c r="CL501" s="669"/>
      <c r="CM501" s="1265"/>
      <c r="CN501" s="1265"/>
      <c r="CO501" s="1265"/>
      <c r="CP501" s="669"/>
      <c r="CQ501" s="669"/>
      <c r="CR501" s="669"/>
      <c r="CS501" s="669"/>
      <c r="CT501" s="669"/>
      <c r="CU501" s="669"/>
    </row>
    <row r="502" s="1265" customFormat="1" ht="31" customHeight="1" spans="1:99">
      <c r="A502" s="660">
        <v>45905</v>
      </c>
      <c r="B502" s="661" t="s">
        <v>307</v>
      </c>
      <c r="C502" s="662" t="s">
        <v>98</v>
      </c>
      <c r="D502" s="663">
        <v>4500178974</v>
      </c>
      <c r="E502" s="1414" t="s">
        <v>2078</v>
      </c>
      <c r="F502" s="663" t="s">
        <v>2079</v>
      </c>
      <c r="G502" s="659" t="s">
        <v>68</v>
      </c>
      <c r="H502" s="633" t="s">
        <v>69</v>
      </c>
      <c r="I502" s="662">
        <v>1572</v>
      </c>
      <c r="J502" s="662">
        <v>0</v>
      </c>
      <c r="K502" s="662">
        <v>12</v>
      </c>
      <c r="L502" s="665">
        <f t="shared" si="137"/>
        <v>131</v>
      </c>
      <c r="M502" s="666">
        <v>45968</v>
      </c>
      <c r="N502" s="666">
        <v>45964</v>
      </c>
      <c r="O502" s="664"/>
      <c r="P502" s="824" t="s">
        <v>113</v>
      </c>
      <c r="Q502" s="667"/>
      <c r="R502" s="667">
        <v>45917</v>
      </c>
      <c r="S502" s="667" t="s">
        <v>70</v>
      </c>
      <c r="T502" s="667" t="s">
        <v>70</v>
      </c>
      <c r="U502" s="667"/>
      <c r="V502" s="661"/>
      <c r="W502" s="661"/>
      <c r="X502" s="661" t="s">
        <v>2080</v>
      </c>
      <c r="Y502" s="634" t="s">
        <v>882</v>
      </c>
      <c r="Z502" s="1318">
        <v>2.4842</v>
      </c>
      <c r="AA502" s="634">
        <f t="shared" si="144"/>
        <v>3905.1624</v>
      </c>
      <c r="AC502" s="638" t="s">
        <v>2081</v>
      </c>
      <c r="AD502" s="633" t="s">
        <v>68</v>
      </c>
      <c r="AE502" s="662" t="s">
        <v>82</v>
      </c>
      <c r="AF502" s="662"/>
      <c r="AG502" s="662"/>
      <c r="AH502" s="662"/>
      <c r="AI502" s="662">
        <v>1572</v>
      </c>
      <c r="AJ502" s="664">
        <f t="shared" ref="AJ502:AJ515" si="153">AI502-I502</f>
        <v>0</v>
      </c>
      <c r="AK502" s="662"/>
      <c r="AL502" s="662"/>
      <c r="AM502" s="663"/>
      <c r="AN502" s="663">
        <f t="shared" si="150"/>
        <v>1572</v>
      </c>
      <c r="AO502" s="1328"/>
      <c r="AP502" s="1328"/>
      <c r="AQ502" s="1328"/>
      <c r="AR502" s="663">
        <f>I502</f>
        <v>1572</v>
      </c>
      <c r="AS502" s="663"/>
      <c r="AT502" s="663"/>
      <c r="AU502" s="663">
        <f t="shared" ref="AU502:AU515" si="154">I502</f>
        <v>1572</v>
      </c>
      <c r="AV502" s="1328"/>
      <c r="AW502" s="663">
        <f t="shared" ref="AW502:AW515" si="155">I502</f>
        <v>1572</v>
      </c>
      <c r="AX502" s="663"/>
      <c r="AY502" s="1328"/>
      <c r="AZ502" s="687"/>
      <c r="BA502" s="687"/>
      <c r="BB502" s="687"/>
      <c r="BC502" s="687"/>
      <c r="BD502" s="687"/>
      <c r="BE502" s="663"/>
      <c r="BF502" s="1328"/>
      <c r="BG502" s="1328"/>
      <c r="BH502" s="663"/>
      <c r="BI502" s="663"/>
      <c r="BJ502" s="1328"/>
      <c r="BK502" s="1328"/>
      <c r="BL502" s="1328"/>
      <c r="BM502" s="1328"/>
      <c r="BN502" s="663"/>
      <c r="BO502" s="1328"/>
      <c r="BP502" s="1328"/>
      <c r="BQ502" s="1265"/>
      <c r="BR502" s="1265"/>
      <c r="BS502" s="1265"/>
      <c r="BT502" s="1265"/>
      <c r="BU502" s="1265"/>
      <c r="BV502" s="1265"/>
      <c r="BW502" s="1265"/>
      <c r="BX502" s="1265"/>
      <c r="BY502" s="1265"/>
      <c r="BZ502" s="1265"/>
      <c r="CA502" s="1265"/>
      <c r="CB502" s="1265"/>
      <c r="CC502" s="1265"/>
      <c r="CD502" s="1265"/>
      <c r="CE502" s="1265"/>
      <c r="CF502" s="1265"/>
      <c r="CG502" s="1265"/>
      <c r="CH502" s="669"/>
      <c r="CI502" s="669"/>
      <c r="CJ502" s="669"/>
      <c r="CK502" s="669"/>
      <c r="CL502" s="669"/>
      <c r="CM502" s="1265"/>
      <c r="CN502" s="1265"/>
      <c r="CO502" s="1265"/>
      <c r="CP502" s="669"/>
      <c r="CQ502" s="669"/>
      <c r="CR502" s="669"/>
      <c r="CS502" s="669"/>
      <c r="CT502" s="669"/>
      <c r="CU502" s="669"/>
    </row>
    <row r="503" s="1265" customFormat="1" ht="31" customHeight="1" spans="1:99">
      <c r="A503" s="660">
        <v>45912</v>
      </c>
      <c r="B503" s="661" t="s">
        <v>143</v>
      </c>
      <c r="C503" s="662" t="s">
        <v>98</v>
      </c>
      <c r="D503" s="663">
        <v>4500179419</v>
      </c>
      <c r="E503" s="1414" t="s">
        <v>2082</v>
      </c>
      <c r="F503" s="663" t="s">
        <v>2083</v>
      </c>
      <c r="G503" s="659" t="s">
        <v>101</v>
      </c>
      <c r="H503" s="662" t="s">
        <v>102</v>
      </c>
      <c r="I503" s="662">
        <v>3520</v>
      </c>
      <c r="J503" s="662">
        <v>0</v>
      </c>
      <c r="K503" s="662">
        <v>4</v>
      </c>
      <c r="L503" s="665">
        <f t="shared" si="137"/>
        <v>880</v>
      </c>
      <c r="M503" s="666">
        <v>45968</v>
      </c>
      <c r="N503" s="666">
        <v>45964</v>
      </c>
      <c r="O503" s="664" t="s">
        <v>2084</v>
      </c>
      <c r="P503" s="824" t="s">
        <v>113</v>
      </c>
      <c r="Q503" s="662"/>
      <c r="R503" s="667" t="s">
        <v>147</v>
      </c>
      <c r="S503" s="667" t="s">
        <v>70</v>
      </c>
      <c r="T503" s="667">
        <v>45926</v>
      </c>
      <c r="U503" s="667"/>
      <c r="V503" s="667" t="s">
        <v>148</v>
      </c>
      <c r="W503" s="661"/>
      <c r="X503" s="661" t="s">
        <v>1395</v>
      </c>
      <c r="Y503" s="634" t="s">
        <v>106</v>
      </c>
      <c r="Z503" s="1318">
        <v>2.5768</v>
      </c>
      <c r="AA503" s="634">
        <f t="shared" si="144"/>
        <v>9070.336</v>
      </c>
      <c r="AC503" s="638" t="s">
        <v>2085</v>
      </c>
      <c r="AD503" s="633" t="s">
        <v>101</v>
      </c>
      <c r="AE503" s="662" t="s">
        <v>82</v>
      </c>
      <c r="AF503" s="662"/>
      <c r="AG503" s="662"/>
      <c r="AH503" s="662"/>
      <c r="AI503" s="662">
        <v>3520</v>
      </c>
      <c r="AJ503" s="662">
        <f t="shared" si="153"/>
        <v>0</v>
      </c>
      <c r="AK503" s="662"/>
      <c r="AL503" s="662"/>
      <c r="AM503" s="663"/>
      <c r="AN503" s="663">
        <f t="shared" si="150"/>
        <v>3520</v>
      </c>
      <c r="AO503" s="1328"/>
      <c r="AP503" s="1328"/>
      <c r="AQ503" s="1328"/>
      <c r="AR503" s="663">
        <f>I503</f>
        <v>3520</v>
      </c>
      <c r="AS503" s="663"/>
      <c r="AT503" s="663"/>
      <c r="AU503" s="663">
        <f t="shared" si="154"/>
        <v>3520</v>
      </c>
      <c r="AV503" s="1328"/>
      <c r="AW503" s="663">
        <f t="shared" si="155"/>
        <v>3520</v>
      </c>
      <c r="AX503" s="663"/>
      <c r="AY503" s="1328"/>
      <c r="AZ503" s="563"/>
      <c r="BA503" s="563"/>
      <c r="BB503" s="563"/>
      <c r="BC503" s="563"/>
      <c r="BD503" s="563"/>
      <c r="BE503" s="663"/>
      <c r="BF503" s="1328"/>
      <c r="BG503" s="1328"/>
      <c r="BH503" s="825">
        <f>I503/4</f>
        <v>880</v>
      </c>
      <c r="BI503" s="663"/>
      <c r="BJ503" s="1328"/>
      <c r="BK503" s="1328"/>
      <c r="BL503" s="1328"/>
      <c r="BM503" s="1328"/>
      <c r="BN503" s="663"/>
      <c r="BO503" s="1328"/>
      <c r="BP503" s="1328"/>
      <c r="BQ503" s="1265"/>
      <c r="BR503" s="1265"/>
      <c r="BS503" s="1265"/>
      <c r="BT503" s="1265"/>
      <c r="BU503" s="1265"/>
      <c r="BV503" s="1265"/>
      <c r="BW503" s="1265"/>
      <c r="BX503" s="1265"/>
      <c r="BY503" s="1265"/>
      <c r="BZ503" s="1265"/>
      <c r="CA503" s="1265"/>
      <c r="CB503" s="1265"/>
      <c r="CC503" s="1265"/>
      <c r="CD503" s="1265"/>
      <c r="CE503" s="1265"/>
      <c r="CF503" s="1265"/>
      <c r="CG503" s="1265"/>
      <c r="CH503" s="669"/>
      <c r="CI503" s="669"/>
      <c r="CJ503" s="669"/>
      <c r="CK503" s="669"/>
      <c r="CL503" s="669"/>
      <c r="CM503" s="1265"/>
      <c r="CN503" s="1265"/>
      <c r="CO503" s="1265"/>
      <c r="CP503" s="669"/>
      <c r="CQ503" s="669"/>
      <c r="CR503" s="669"/>
      <c r="CS503" s="669"/>
      <c r="CT503" s="669"/>
      <c r="CU503" s="669"/>
    </row>
    <row r="504" s="1265" customFormat="1" ht="31" customHeight="1" spans="1:99">
      <c r="A504" s="660">
        <v>45912</v>
      </c>
      <c r="B504" s="661" t="s">
        <v>143</v>
      </c>
      <c r="C504" s="662" t="s">
        <v>98</v>
      </c>
      <c r="D504" s="663">
        <v>4500179419</v>
      </c>
      <c r="E504" s="1414" t="s">
        <v>2086</v>
      </c>
      <c r="F504" s="663" t="s">
        <v>2087</v>
      </c>
      <c r="G504" s="659" t="s">
        <v>101</v>
      </c>
      <c r="H504" s="662" t="s">
        <v>102</v>
      </c>
      <c r="I504" s="662">
        <v>1920</v>
      </c>
      <c r="J504" s="662">
        <v>0</v>
      </c>
      <c r="K504" s="662">
        <v>4</v>
      </c>
      <c r="L504" s="665">
        <f t="shared" si="137"/>
        <v>480</v>
      </c>
      <c r="M504" s="666">
        <v>45968</v>
      </c>
      <c r="N504" s="666">
        <v>45964</v>
      </c>
      <c r="O504" s="664" t="s">
        <v>2084</v>
      </c>
      <c r="P504" s="824" t="s">
        <v>113</v>
      </c>
      <c r="Q504" s="662"/>
      <c r="R504" s="667" t="s">
        <v>147</v>
      </c>
      <c r="S504" s="667" t="s">
        <v>70</v>
      </c>
      <c r="T504" s="667">
        <v>45926</v>
      </c>
      <c r="U504" s="667"/>
      <c r="V504" s="667" t="s">
        <v>148</v>
      </c>
      <c r="W504" s="661"/>
      <c r="X504" s="661" t="s">
        <v>1395</v>
      </c>
      <c r="Y504" s="634" t="s">
        <v>106</v>
      </c>
      <c r="Z504" s="1318">
        <v>2.58</v>
      </c>
      <c r="AA504" s="634">
        <f t="shared" si="144"/>
        <v>4953.6</v>
      </c>
      <c r="AC504" s="638" t="s">
        <v>2088</v>
      </c>
      <c r="AD504" s="633" t="s">
        <v>101</v>
      </c>
      <c r="AE504" s="662" t="s">
        <v>82</v>
      </c>
      <c r="AF504" s="662"/>
      <c r="AG504" s="662"/>
      <c r="AH504" s="662"/>
      <c r="AI504" s="662">
        <v>1920</v>
      </c>
      <c r="AJ504" s="662">
        <f t="shared" si="153"/>
        <v>0</v>
      </c>
      <c r="AK504" s="662"/>
      <c r="AL504" s="662"/>
      <c r="AM504" s="663"/>
      <c r="AN504" s="663">
        <f t="shared" si="150"/>
        <v>1920</v>
      </c>
      <c r="AO504" s="1328"/>
      <c r="AP504" s="1328"/>
      <c r="AQ504" s="1328"/>
      <c r="AR504" s="663">
        <f>I504</f>
        <v>1920</v>
      </c>
      <c r="AS504" s="663"/>
      <c r="AT504" s="663"/>
      <c r="AU504" s="663">
        <f t="shared" si="154"/>
        <v>1920</v>
      </c>
      <c r="AV504" s="1328"/>
      <c r="AW504" s="663">
        <f t="shared" si="155"/>
        <v>1920</v>
      </c>
      <c r="AX504" s="663"/>
      <c r="AY504" s="1328"/>
      <c r="AZ504" s="687"/>
      <c r="BA504" s="687"/>
      <c r="BB504" s="687"/>
      <c r="BC504" s="687"/>
      <c r="BD504" s="687"/>
      <c r="BE504" s="663"/>
      <c r="BF504" s="1328"/>
      <c r="BG504" s="1328"/>
      <c r="BH504" s="825">
        <f>I504/4</f>
        <v>480</v>
      </c>
      <c r="BI504" s="663"/>
      <c r="BJ504" s="1328"/>
      <c r="BK504" s="1328"/>
      <c r="BL504" s="1328"/>
      <c r="BM504" s="1328"/>
      <c r="BN504" s="663"/>
      <c r="BO504" s="1328"/>
      <c r="BP504" s="1328"/>
      <c r="BQ504" s="1265"/>
      <c r="BR504" s="1265"/>
      <c r="BS504" s="1265"/>
      <c r="BT504" s="1265"/>
      <c r="BU504" s="1265"/>
      <c r="BV504" s="1265"/>
      <c r="BW504" s="1265"/>
      <c r="BX504" s="1265"/>
      <c r="BY504" s="1265"/>
      <c r="BZ504" s="1265"/>
      <c r="CA504" s="1265"/>
      <c r="CB504" s="1265"/>
      <c r="CC504" s="1265"/>
      <c r="CD504" s="1265"/>
      <c r="CE504" s="1265"/>
      <c r="CF504" s="1265"/>
      <c r="CG504" s="1265"/>
      <c r="CH504" s="669"/>
      <c r="CI504" s="669"/>
      <c r="CJ504" s="669"/>
      <c r="CK504" s="669"/>
      <c r="CL504" s="669"/>
      <c r="CM504" s="1265"/>
      <c r="CN504" s="1265"/>
      <c r="CO504" s="1265"/>
      <c r="CP504" s="669"/>
      <c r="CQ504" s="669"/>
      <c r="CR504" s="669"/>
      <c r="CS504" s="669"/>
      <c r="CT504" s="669"/>
      <c r="CU504" s="669"/>
    </row>
    <row r="505" s="1265" customFormat="1" ht="31" customHeight="1" spans="1:99">
      <c r="A505" s="660">
        <v>45919</v>
      </c>
      <c r="B505" s="661" t="s">
        <v>127</v>
      </c>
      <c r="C505" s="662" t="s">
        <v>128</v>
      </c>
      <c r="D505" s="663">
        <v>4500179872</v>
      </c>
      <c r="E505" s="662">
        <v>85018</v>
      </c>
      <c r="F505" s="663" t="s">
        <v>2089</v>
      </c>
      <c r="G505" s="659" t="s">
        <v>130</v>
      </c>
      <c r="H505" s="662" t="s">
        <v>131</v>
      </c>
      <c r="I505" s="662">
        <v>3000</v>
      </c>
      <c r="J505" s="662">
        <v>0</v>
      </c>
      <c r="K505" s="662">
        <v>6</v>
      </c>
      <c r="L505" s="665">
        <f t="shared" si="137"/>
        <v>500</v>
      </c>
      <c r="M505" s="666">
        <v>45968</v>
      </c>
      <c r="N505" s="666">
        <v>45964</v>
      </c>
      <c r="O505" s="664"/>
      <c r="P505" s="824" t="s">
        <v>113</v>
      </c>
      <c r="Q505" s="667"/>
      <c r="R505" s="667">
        <v>45919</v>
      </c>
      <c r="S505" s="667" t="s">
        <v>70</v>
      </c>
      <c r="T505" s="667" t="s">
        <v>2090</v>
      </c>
      <c r="U505" s="667"/>
      <c r="V505" s="667"/>
      <c r="W505" s="661"/>
      <c r="X505" s="661" t="s">
        <v>2091</v>
      </c>
      <c r="Y505" s="634" t="s">
        <v>217</v>
      </c>
      <c r="Z505" s="1318">
        <v>4.2046</v>
      </c>
      <c r="AA505" s="634">
        <f t="shared" si="144"/>
        <v>12613.8</v>
      </c>
      <c r="AC505" s="638" t="s">
        <v>2092</v>
      </c>
      <c r="AD505" s="633" t="s">
        <v>130</v>
      </c>
      <c r="AE505" s="662" t="s">
        <v>82</v>
      </c>
      <c r="AF505" s="662"/>
      <c r="AG505" s="662"/>
      <c r="AH505" s="662"/>
      <c r="AI505" s="662">
        <v>3000</v>
      </c>
      <c r="AJ505" s="664">
        <f t="shared" si="153"/>
        <v>0</v>
      </c>
      <c r="AK505" s="662"/>
      <c r="AL505" s="662"/>
      <c r="AM505" s="663"/>
      <c r="AN505" s="663">
        <f t="shared" si="150"/>
        <v>3000</v>
      </c>
      <c r="AO505" s="1328"/>
      <c r="AP505" s="1328"/>
      <c r="AQ505" s="1328"/>
      <c r="AR505" s="663">
        <f>I505</f>
        <v>3000</v>
      </c>
      <c r="AS505" s="663"/>
      <c r="AT505" s="663"/>
      <c r="AU505" s="663">
        <f t="shared" si="154"/>
        <v>3000</v>
      </c>
      <c r="AV505" s="1328"/>
      <c r="AW505" s="663">
        <f t="shared" si="155"/>
        <v>3000</v>
      </c>
      <c r="AX505" s="663"/>
      <c r="AY505" s="1328"/>
      <c r="AZ505" s="687"/>
      <c r="BA505" s="687"/>
      <c r="BB505" s="687"/>
      <c r="BC505" s="687"/>
      <c r="BD505" s="687"/>
      <c r="BE505" s="663"/>
      <c r="BF505" s="1328"/>
      <c r="BG505" s="1328"/>
      <c r="BH505" s="663"/>
      <c r="BI505" s="663"/>
      <c r="BJ505" s="1328"/>
      <c r="BK505" s="1328"/>
      <c r="BL505" s="1328"/>
      <c r="BM505" s="1328"/>
      <c r="BN505" s="663"/>
      <c r="BO505" s="1328"/>
      <c r="BP505" s="1328"/>
      <c r="BQ505" s="1265"/>
      <c r="BR505" s="1265"/>
      <c r="BS505" s="1265"/>
      <c r="BT505" s="1265"/>
      <c r="BU505" s="1265"/>
      <c r="BV505" s="1265"/>
      <c r="BW505" s="1265"/>
      <c r="BX505" s="1265"/>
      <c r="BY505" s="1265"/>
      <c r="BZ505" s="1265"/>
      <c r="CA505" s="1265"/>
      <c r="CB505" s="1265"/>
      <c r="CC505" s="1265"/>
      <c r="CD505" s="1265"/>
      <c r="CE505" s="1265"/>
      <c r="CF505" s="1265"/>
      <c r="CG505" s="1265"/>
      <c r="CH505" s="669"/>
      <c r="CI505" s="669"/>
      <c r="CJ505" s="669"/>
      <c r="CK505" s="669"/>
      <c r="CL505" s="669"/>
      <c r="CM505" s="1265"/>
      <c r="CN505" s="1265"/>
      <c r="CO505" s="1265"/>
      <c r="CP505" s="669"/>
      <c r="CQ505" s="669"/>
      <c r="CR505" s="669"/>
      <c r="CS505" s="669"/>
      <c r="CT505" s="669"/>
      <c r="CU505" s="669"/>
    </row>
    <row r="506" s="1265" customFormat="1" ht="31" customHeight="1" spans="1:99">
      <c r="A506" s="660">
        <v>45917</v>
      </c>
      <c r="B506" s="661" t="s">
        <v>549</v>
      </c>
      <c r="C506" s="662" t="s">
        <v>154</v>
      </c>
      <c r="D506" s="663">
        <v>4500179736</v>
      </c>
      <c r="E506" s="662" t="s">
        <v>2093</v>
      </c>
      <c r="F506" s="663" t="s">
        <v>2094</v>
      </c>
      <c r="G506" s="659" t="s">
        <v>68</v>
      </c>
      <c r="H506" s="633" t="s">
        <v>69</v>
      </c>
      <c r="I506" s="662">
        <v>504</v>
      </c>
      <c r="J506" s="662">
        <v>0</v>
      </c>
      <c r="K506" s="662">
        <v>12</v>
      </c>
      <c r="L506" s="665">
        <f t="shared" si="137"/>
        <v>42</v>
      </c>
      <c r="M506" s="666">
        <v>45968</v>
      </c>
      <c r="N506" s="666">
        <v>45964</v>
      </c>
      <c r="O506" s="664"/>
      <c r="P506" s="824" t="s">
        <v>113</v>
      </c>
      <c r="Q506" s="667"/>
      <c r="R506" s="667" t="s">
        <v>2095</v>
      </c>
      <c r="S506" s="667" t="s">
        <v>104</v>
      </c>
      <c r="T506" s="667" t="s">
        <v>2096</v>
      </c>
      <c r="U506" s="667"/>
      <c r="V506" s="667"/>
      <c r="W506" s="661"/>
      <c r="X506" s="661" t="s">
        <v>2097</v>
      </c>
      <c r="Y506" s="634" t="s">
        <v>466</v>
      </c>
      <c r="Z506" s="1318">
        <v>4.1456</v>
      </c>
      <c r="AA506" s="634">
        <f t="shared" si="144"/>
        <v>2089.3824</v>
      </c>
      <c r="AC506" s="638" t="s">
        <v>2098</v>
      </c>
      <c r="AD506" s="633" t="s">
        <v>184</v>
      </c>
      <c r="AE506" s="662" t="s">
        <v>82</v>
      </c>
      <c r="AF506" s="662"/>
      <c r="AG506" s="662"/>
      <c r="AH506" s="662"/>
      <c r="AI506" s="662">
        <v>504</v>
      </c>
      <c r="AJ506" s="664">
        <f t="shared" si="153"/>
        <v>0</v>
      </c>
      <c r="AK506" s="662"/>
      <c r="AL506" s="662"/>
      <c r="AM506" s="663"/>
      <c r="AN506" s="663">
        <f t="shared" si="150"/>
        <v>504</v>
      </c>
      <c r="AO506" s="1328"/>
      <c r="AP506" s="1328"/>
      <c r="AQ506" s="1328"/>
      <c r="AR506" s="663"/>
      <c r="AS506" s="663">
        <f>I506</f>
        <v>504</v>
      </c>
      <c r="AT506" s="663"/>
      <c r="AU506" s="663">
        <f t="shared" si="154"/>
        <v>504</v>
      </c>
      <c r="AV506" s="1328"/>
      <c r="AW506" s="663">
        <f t="shared" si="155"/>
        <v>504</v>
      </c>
      <c r="AX506" s="663"/>
      <c r="AY506" s="1328"/>
      <c r="AZ506" s="687"/>
      <c r="BA506" s="687"/>
      <c r="BB506" s="687"/>
      <c r="BC506" s="687"/>
      <c r="BD506" s="687"/>
      <c r="BE506" s="663"/>
      <c r="BF506" s="1328"/>
      <c r="BG506" s="1328"/>
      <c r="BH506" s="663"/>
      <c r="BI506" s="663"/>
      <c r="BJ506" s="1328"/>
      <c r="BK506" s="1328"/>
      <c r="BL506" s="1328"/>
      <c r="BM506" s="1328"/>
      <c r="BN506" s="663"/>
      <c r="BO506" s="1328"/>
      <c r="BP506" s="1328"/>
      <c r="BQ506" s="1265"/>
      <c r="BR506" s="1265"/>
      <c r="BS506" s="1265"/>
      <c r="BT506" s="1265"/>
      <c r="BU506" s="1265"/>
      <c r="BV506" s="1265"/>
      <c r="BW506" s="1265"/>
      <c r="BX506" s="1265"/>
      <c r="BY506" s="1265"/>
      <c r="BZ506" s="1265"/>
      <c r="CA506" s="1265"/>
      <c r="CB506" s="1265"/>
      <c r="CC506" s="1265"/>
      <c r="CD506" s="1265"/>
      <c r="CE506" s="1265"/>
      <c r="CF506" s="1265"/>
      <c r="CG506" s="1265"/>
      <c r="CH506" s="669"/>
      <c r="CI506" s="669"/>
      <c r="CJ506" s="669"/>
      <c r="CK506" s="669"/>
      <c r="CL506" s="669"/>
      <c r="CM506" s="1265"/>
      <c r="CN506" s="1265"/>
      <c r="CO506" s="1265"/>
      <c r="CP506" s="669"/>
      <c r="CQ506" s="669"/>
      <c r="CR506" s="669"/>
      <c r="CS506" s="669"/>
      <c r="CT506" s="669"/>
      <c r="CU506" s="669"/>
    </row>
    <row r="507" s="1265" customFormat="1" ht="31" customHeight="1" spans="1:99">
      <c r="A507" s="660">
        <v>45910</v>
      </c>
      <c r="B507" s="661" t="s">
        <v>1971</v>
      </c>
      <c r="C507" s="662" t="s">
        <v>810</v>
      </c>
      <c r="D507" s="663">
        <v>4500179170</v>
      </c>
      <c r="E507" s="662"/>
      <c r="F507" s="663" t="s">
        <v>2099</v>
      </c>
      <c r="G507" s="659" t="s">
        <v>111</v>
      </c>
      <c r="H507" s="662" t="s">
        <v>112</v>
      </c>
      <c r="I507" s="662">
        <v>1888</v>
      </c>
      <c r="J507" s="662">
        <v>0</v>
      </c>
      <c r="K507" s="662">
        <v>16</v>
      </c>
      <c r="L507" s="665">
        <f t="shared" ref="L507:L515" si="156">I507/K507</f>
        <v>118</v>
      </c>
      <c r="M507" s="1320">
        <v>45968</v>
      </c>
      <c r="N507" s="1320">
        <v>45964</v>
      </c>
      <c r="O507" s="664"/>
      <c r="P507" s="824" t="s">
        <v>113</v>
      </c>
      <c r="Q507" s="667"/>
      <c r="R507" s="667">
        <v>45910</v>
      </c>
      <c r="S507" s="667" t="s">
        <v>70</v>
      </c>
      <c r="T507" s="667" t="s">
        <v>1974</v>
      </c>
      <c r="U507" s="667"/>
      <c r="V507" s="661"/>
      <c r="W507" s="661"/>
      <c r="X507" s="661" t="s">
        <v>1975</v>
      </c>
      <c r="Y507" s="634" t="s">
        <v>230</v>
      </c>
      <c r="Z507" s="1318">
        <v>4.3451</v>
      </c>
      <c r="AA507" s="634">
        <f t="shared" si="144"/>
        <v>8203.5488</v>
      </c>
      <c r="AC507" s="638" t="s">
        <v>2100</v>
      </c>
      <c r="AD507" s="633" t="s">
        <v>111</v>
      </c>
      <c r="AE507" s="662" t="s">
        <v>82</v>
      </c>
      <c r="AF507" s="662"/>
      <c r="AG507" s="662"/>
      <c r="AH507" s="662"/>
      <c r="AI507" s="662">
        <v>1888</v>
      </c>
      <c r="AJ507" s="664">
        <f t="shared" si="153"/>
        <v>0</v>
      </c>
      <c r="AK507" s="662"/>
      <c r="AL507" s="662"/>
      <c r="AM507" s="663"/>
      <c r="AN507" s="663">
        <f t="shared" si="150"/>
        <v>1888</v>
      </c>
      <c r="AO507" s="1328"/>
      <c r="AP507" s="1328"/>
      <c r="AQ507" s="1328"/>
      <c r="AR507" s="663">
        <f t="shared" ref="AR507:AR512" si="157">I507</f>
        <v>1888</v>
      </c>
      <c r="AS507" s="663"/>
      <c r="AT507" s="663"/>
      <c r="AU507" s="663">
        <f t="shared" si="154"/>
        <v>1888</v>
      </c>
      <c r="AV507" s="1328"/>
      <c r="AW507" s="663">
        <f t="shared" si="155"/>
        <v>1888</v>
      </c>
      <c r="AX507" s="663"/>
      <c r="AY507" s="1328"/>
      <c r="AZ507" s="563"/>
      <c r="BA507" s="563"/>
      <c r="BB507" s="563"/>
      <c r="BC507" s="563"/>
      <c r="BD507" s="563"/>
      <c r="BE507" s="663"/>
      <c r="BF507" s="1328"/>
      <c r="BG507" s="1328"/>
      <c r="BH507" s="825">
        <f>I507/4</f>
        <v>472</v>
      </c>
      <c r="BI507" s="663"/>
      <c r="BJ507" s="1328"/>
      <c r="BK507" s="1328"/>
      <c r="BL507" s="1328"/>
      <c r="BM507" s="1328"/>
      <c r="BN507" s="663"/>
      <c r="BO507" s="1328"/>
      <c r="BP507" s="1328"/>
      <c r="BQ507" s="1265"/>
      <c r="BR507" s="1265"/>
      <c r="BS507" s="1265"/>
      <c r="BT507" s="1265"/>
      <c r="BU507" s="1265"/>
      <c r="BV507" s="1265"/>
      <c r="BW507" s="1265"/>
      <c r="BX507" s="1265"/>
      <c r="BY507" s="1265"/>
      <c r="BZ507" s="1265"/>
      <c r="CA507" s="1265"/>
      <c r="CB507" s="1265"/>
      <c r="CC507" s="1265"/>
      <c r="CD507" s="1265"/>
      <c r="CE507" s="1265"/>
      <c r="CF507" s="1265"/>
      <c r="CG507" s="1265"/>
      <c r="CH507" s="669"/>
      <c r="CI507" s="669"/>
      <c r="CJ507" s="669"/>
      <c r="CK507" s="669"/>
      <c r="CL507" s="669"/>
      <c r="CM507" s="1265"/>
      <c r="CN507" s="1265"/>
      <c r="CO507" s="1265"/>
      <c r="CP507" s="669"/>
      <c r="CQ507" s="669"/>
      <c r="CR507" s="669"/>
      <c r="CS507" s="669"/>
      <c r="CT507" s="669"/>
      <c r="CU507" s="669"/>
    </row>
    <row r="508" s="1265" customFormat="1" ht="31" customHeight="1" spans="1:99">
      <c r="A508" s="660">
        <v>45922</v>
      </c>
      <c r="B508" s="661" t="s">
        <v>2101</v>
      </c>
      <c r="C508" s="662" t="s">
        <v>2102</v>
      </c>
      <c r="D508" s="663">
        <v>4500180054</v>
      </c>
      <c r="E508" s="662" t="s">
        <v>2103</v>
      </c>
      <c r="F508" s="663" t="s">
        <v>2104</v>
      </c>
      <c r="G508" s="659" t="s">
        <v>68</v>
      </c>
      <c r="H508" s="633" t="s">
        <v>69</v>
      </c>
      <c r="I508" s="662">
        <v>504</v>
      </c>
      <c r="J508" s="662">
        <v>0</v>
      </c>
      <c r="K508" s="662">
        <v>12</v>
      </c>
      <c r="L508" s="665">
        <f t="shared" si="156"/>
        <v>42</v>
      </c>
      <c r="M508" s="666">
        <v>45968</v>
      </c>
      <c r="N508" s="666">
        <v>45964</v>
      </c>
      <c r="O508" s="664"/>
      <c r="P508" s="824" t="s">
        <v>113</v>
      </c>
      <c r="Q508" s="667"/>
      <c r="R508" s="667">
        <v>45922</v>
      </c>
      <c r="S508" s="667" t="s">
        <v>70</v>
      </c>
      <c r="T508" s="667" t="s">
        <v>70</v>
      </c>
      <c r="U508" s="667"/>
      <c r="V508" s="661"/>
      <c r="W508" s="661"/>
      <c r="X508" s="661" t="s">
        <v>2105</v>
      </c>
      <c r="Y508" s="634" t="s">
        <v>230</v>
      </c>
      <c r="Z508" s="1318">
        <v>4.2386</v>
      </c>
      <c r="AA508" s="634">
        <f t="shared" si="144"/>
        <v>2136.2544</v>
      </c>
      <c r="AC508" s="676" t="s">
        <v>2106</v>
      </c>
      <c r="AD508" s="633" t="s">
        <v>68</v>
      </c>
      <c r="AE508" s="662" t="s">
        <v>82</v>
      </c>
      <c r="AF508" s="662"/>
      <c r="AG508" s="662"/>
      <c r="AH508" s="662"/>
      <c r="AI508" s="662">
        <v>504</v>
      </c>
      <c r="AJ508" s="664">
        <f t="shared" si="153"/>
        <v>0</v>
      </c>
      <c r="AK508" s="662"/>
      <c r="AL508" s="662"/>
      <c r="AM508" s="663"/>
      <c r="AN508" s="663">
        <f t="shared" si="150"/>
        <v>504</v>
      </c>
      <c r="AO508" s="1328"/>
      <c r="AP508" s="1328"/>
      <c r="AQ508" s="1328"/>
      <c r="AR508" s="663">
        <f t="shared" si="157"/>
        <v>504</v>
      </c>
      <c r="AS508" s="663"/>
      <c r="AT508" s="663"/>
      <c r="AU508" s="663">
        <f t="shared" si="154"/>
        <v>504</v>
      </c>
      <c r="AV508" s="1328"/>
      <c r="AW508" s="663">
        <f t="shared" si="155"/>
        <v>504</v>
      </c>
      <c r="AX508" s="663"/>
      <c r="AY508" s="1328"/>
      <c r="AZ508" s="687"/>
      <c r="BA508" s="687"/>
      <c r="BB508" s="687"/>
      <c r="BC508" s="687"/>
      <c r="BD508" s="687"/>
      <c r="BE508" s="663"/>
      <c r="BF508" s="1328"/>
      <c r="BG508" s="1328"/>
      <c r="BH508" s="663"/>
      <c r="BI508" s="663"/>
      <c r="BJ508" s="1328"/>
      <c r="BK508" s="1328"/>
      <c r="BL508" s="1328"/>
      <c r="BM508" s="1328"/>
      <c r="BN508" s="663"/>
      <c r="BO508" s="1328"/>
      <c r="BP508" s="1328"/>
      <c r="BQ508" s="1265"/>
      <c r="BR508" s="1265"/>
      <c r="BS508" s="1265"/>
      <c r="BT508" s="1265"/>
      <c r="BU508" s="1265"/>
      <c r="BV508" s="1265"/>
      <c r="BW508" s="1265"/>
      <c r="BX508" s="1265"/>
      <c r="BY508" s="1265"/>
      <c r="BZ508" s="1265"/>
      <c r="CA508" s="1265"/>
      <c r="CB508" s="1265"/>
      <c r="CC508" s="1265"/>
      <c r="CD508" s="1265"/>
      <c r="CE508" s="1265"/>
      <c r="CF508" s="1265"/>
      <c r="CG508" s="1265"/>
      <c r="CH508" s="669"/>
      <c r="CI508" s="669"/>
      <c r="CJ508" s="669"/>
      <c r="CK508" s="669"/>
      <c r="CL508" s="669"/>
      <c r="CM508" s="1265"/>
      <c r="CN508" s="1265"/>
      <c r="CO508" s="1265"/>
      <c r="CP508" s="669"/>
      <c r="CQ508" s="669"/>
      <c r="CR508" s="669"/>
      <c r="CS508" s="669"/>
      <c r="CT508" s="669"/>
      <c r="CU508" s="669"/>
    </row>
    <row r="509" s="1265" customFormat="1" ht="31" customHeight="1" spans="1:99">
      <c r="A509" s="660">
        <v>45908</v>
      </c>
      <c r="B509" s="661" t="s">
        <v>729</v>
      </c>
      <c r="C509" s="662" t="s">
        <v>278</v>
      </c>
      <c r="D509" s="663">
        <v>4500178992</v>
      </c>
      <c r="E509" s="662" t="s">
        <v>2107</v>
      </c>
      <c r="F509" s="663" t="s">
        <v>2108</v>
      </c>
      <c r="G509" s="659" t="s">
        <v>111</v>
      </c>
      <c r="H509" s="662" t="s">
        <v>112</v>
      </c>
      <c r="I509" s="662">
        <v>14688</v>
      </c>
      <c r="J509" s="662">
        <v>0</v>
      </c>
      <c r="K509" s="662">
        <v>16</v>
      </c>
      <c r="L509" s="665">
        <f t="shared" si="156"/>
        <v>918</v>
      </c>
      <c r="M509" s="666">
        <v>45971</v>
      </c>
      <c r="N509" s="666">
        <v>45967</v>
      </c>
      <c r="O509" s="664"/>
      <c r="P509" s="824" t="s">
        <v>113</v>
      </c>
      <c r="Q509" s="667"/>
      <c r="R509" s="667">
        <v>45908</v>
      </c>
      <c r="S509" s="667" t="s">
        <v>70</v>
      </c>
      <c r="T509" s="667" t="s">
        <v>70</v>
      </c>
      <c r="U509" s="667"/>
      <c r="V509" s="661"/>
      <c r="W509" s="661"/>
      <c r="X509" s="661" t="s">
        <v>2109</v>
      </c>
      <c r="Y509" s="634" t="s">
        <v>1627</v>
      </c>
      <c r="Z509" s="1318">
        <v>4.2104</v>
      </c>
      <c r="AA509" s="634">
        <f t="shared" si="144"/>
        <v>61842.3552</v>
      </c>
      <c r="AC509" s="638" t="s">
        <v>2110</v>
      </c>
      <c r="AD509" s="633" t="s">
        <v>111</v>
      </c>
      <c r="AE509" s="662" t="s">
        <v>82</v>
      </c>
      <c r="AF509" s="662"/>
      <c r="AG509" s="662"/>
      <c r="AH509" s="662"/>
      <c r="AI509" s="662">
        <v>14688</v>
      </c>
      <c r="AJ509" s="664">
        <f t="shared" si="153"/>
        <v>0</v>
      </c>
      <c r="AK509" s="662"/>
      <c r="AL509" s="662"/>
      <c r="AM509" s="663"/>
      <c r="AN509" s="663">
        <f t="shared" si="150"/>
        <v>14688</v>
      </c>
      <c r="AO509" s="1328"/>
      <c r="AP509" s="1328"/>
      <c r="AQ509" s="1328"/>
      <c r="AR509" s="663">
        <f t="shared" si="157"/>
        <v>14688</v>
      </c>
      <c r="AS509" s="663"/>
      <c r="AT509" s="663"/>
      <c r="AU509" s="663">
        <f t="shared" si="154"/>
        <v>14688</v>
      </c>
      <c r="AV509" s="1328"/>
      <c r="AW509" s="663">
        <f t="shared" si="155"/>
        <v>14688</v>
      </c>
      <c r="AX509" s="663"/>
      <c r="AY509" s="1328"/>
      <c r="AZ509" s="687"/>
      <c r="BA509" s="687"/>
      <c r="BB509" s="687"/>
      <c r="BC509" s="687"/>
      <c r="BD509" s="687"/>
      <c r="BE509" s="663"/>
      <c r="BF509" s="1328"/>
      <c r="BG509" s="1328"/>
      <c r="BH509" s="825">
        <f>I509/4</f>
        <v>3672</v>
      </c>
      <c r="BI509" s="663"/>
      <c r="BJ509" s="1328"/>
      <c r="BK509" s="1328"/>
      <c r="BL509" s="1328"/>
      <c r="BM509" s="1328"/>
      <c r="BN509" s="663"/>
      <c r="BO509" s="1328"/>
      <c r="BP509" s="1328"/>
      <c r="BQ509" s="1265"/>
      <c r="BR509" s="1265"/>
      <c r="BS509" s="1265"/>
      <c r="BT509" s="1265"/>
      <c r="BU509" s="1265"/>
      <c r="BV509" s="1265"/>
      <c r="BW509" s="1265"/>
      <c r="BX509" s="1265"/>
      <c r="BY509" s="1265"/>
      <c r="BZ509" s="1265"/>
      <c r="CA509" s="1265"/>
      <c r="CB509" s="1265"/>
      <c r="CC509" s="1265"/>
      <c r="CD509" s="1265"/>
      <c r="CE509" s="1265"/>
      <c r="CF509" s="1265"/>
      <c r="CG509" s="1265"/>
      <c r="CH509" s="669"/>
      <c r="CI509" s="669"/>
      <c r="CJ509" s="669"/>
      <c r="CK509" s="669"/>
      <c r="CL509" s="669"/>
      <c r="CM509" s="1265"/>
      <c r="CN509" s="1265"/>
      <c r="CO509" s="1265"/>
      <c r="CP509" s="669"/>
      <c r="CQ509" s="669"/>
      <c r="CR509" s="669"/>
      <c r="CS509" s="669"/>
      <c r="CT509" s="669"/>
      <c r="CU509" s="669"/>
    </row>
    <row r="510" s="1265" customFormat="1" ht="31" customHeight="1" spans="1:99">
      <c r="A510" s="660">
        <v>45902</v>
      </c>
      <c r="B510" s="661" t="s">
        <v>2111</v>
      </c>
      <c r="C510" s="662" t="s">
        <v>98</v>
      </c>
      <c r="D510" s="663">
        <v>4500178515</v>
      </c>
      <c r="E510" s="662">
        <v>218139603</v>
      </c>
      <c r="F510" s="663" t="s">
        <v>2112</v>
      </c>
      <c r="G510" s="659" t="s">
        <v>207</v>
      </c>
      <c r="H510" s="662" t="s">
        <v>102</v>
      </c>
      <c r="I510" s="662">
        <v>3252</v>
      </c>
      <c r="J510" s="662">
        <v>0</v>
      </c>
      <c r="K510" s="662">
        <v>4</v>
      </c>
      <c r="L510" s="665">
        <f t="shared" si="156"/>
        <v>813</v>
      </c>
      <c r="M510" s="666">
        <v>45972</v>
      </c>
      <c r="N510" s="666">
        <v>45968</v>
      </c>
      <c r="O510" s="664"/>
      <c r="P510" s="824" t="s">
        <v>113</v>
      </c>
      <c r="Q510" s="667"/>
      <c r="R510" s="667">
        <v>45902</v>
      </c>
      <c r="S510" s="667" t="s">
        <v>70</v>
      </c>
      <c r="T510" s="667" t="s">
        <v>70</v>
      </c>
      <c r="U510" s="667"/>
      <c r="V510" s="661"/>
      <c r="W510" s="661"/>
      <c r="X510" s="661" t="s">
        <v>208</v>
      </c>
      <c r="Y510" s="634" t="s">
        <v>2113</v>
      </c>
      <c r="Z510" s="1318">
        <v>2.6065</v>
      </c>
      <c r="AA510" s="634">
        <f t="shared" si="144"/>
        <v>8476.338</v>
      </c>
      <c r="AC510" s="638" t="s">
        <v>2114</v>
      </c>
      <c r="AD510" s="633" t="s">
        <v>207</v>
      </c>
      <c r="AE510" s="662" t="s">
        <v>82</v>
      </c>
      <c r="AF510" s="662"/>
      <c r="AG510" s="662"/>
      <c r="AH510" s="662"/>
      <c r="AI510" s="662">
        <f>1200+2052</f>
        <v>3252</v>
      </c>
      <c r="AJ510" s="664">
        <f t="shared" si="153"/>
        <v>0</v>
      </c>
      <c r="AK510" s="662"/>
      <c r="AL510" s="662"/>
      <c r="AM510" s="663"/>
      <c r="AN510" s="663">
        <f t="shared" si="150"/>
        <v>3252</v>
      </c>
      <c r="AO510" s="1328"/>
      <c r="AP510" s="1328"/>
      <c r="AQ510" s="1328"/>
      <c r="AR510" s="663">
        <f t="shared" si="157"/>
        <v>3252</v>
      </c>
      <c r="AS510" s="663"/>
      <c r="AT510" s="663"/>
      <c r="AU510" s="663">
        <f t="shared" si="154"/>
        <v>3252</v>
      </c>
      <c r="AV510" s="1328"/>
      <c r="AW510" s="663">
        <f t="shared" si="155"/>
        <v>3252</v>
      </c>
      <c r="AX510" s="663"/>
      <c r="AY510" s="1328"/>
      <c r="AZ510" s="687"/>
      <c r="BA510" s="687"/>
      <c r="BB510" s="687"/>
      <c r="BC510" s="687"/>
      <c r="BD510" s="687"/>
      <c r="BE510" s="663"/>
      <c r="BF510" s="663"/>
      <c r="BG510" s="663"/>
      <c r="BH510" s="663"/>
      <c r="BI510" s="663"/>
      <c r="BJ510" s="1328"/>
      <c r="BK510" s="1328"/>
      <c r="BL510" s="1328"/>
      <c r="BM510" s="1328"/>
      <c r="BN510" s="663"/>
      <c r="BO510" s="1328"/>
      <c r="BP510" s="1328"/>
      <c r="BQ510" s="1265"/>
      <c r="BR510" s="1265"/>
      <c r="BS510" s="1265"/>
      <c r="BT510" s="1265"/>
      <c r="BU510" s="1265"/>
      <c r="BV510" s="1265"/>
      <c r="BW510" s="1265"/>
      <c r="BX510" s="1265"/>
      <c r="BY510" s="1265"/>
      <c r="BZ510" s="1265"/>
      <c r="CA510" s="1265"/>
      <c r="CB510" s="1265"/>
      <c r="CC510" s="1265"/>
      <c r="CD510" s="1265"/>
      <c r="CE510" s="1265"/>
      <c r="CF510" s="1265"/>
      <c r="CG510" s="1265"/>
      <c r="CH510" s="669"/>
      <c r="CI510" s="669"/>
      <c r="CJ510" s="669"/>
      <c r="CK510" s="669"/>
      <c r="CL510" s="669"/>
      <c r="CM510" s="1265"/>
      <c r="CN510" s="1265"/>
      <c r="CO510" s="1265"/>
      <c r="CP510" s="669"/>
      <c r="CQ510" s="669"/>
      <c r="CR510" s="669"/>
      <c r="CS510" s="669"/>
      <c r="CT510" s="669"/>
      <c r="CU510" s="669"/>
    </row>
    <row r="511" s="1265" customFormat="1" ht="31" customHeight="1" spans="1:99">
      <c r="A511" s="660">
        <v>45902</v>
      </c>
      <c r="B511" s="661" t="s">
        <v>205</v>
      </c>
      <c r="C511" s="662" t="s">
        <v>98</v>
      </c>
      <c r="D511" s="663">
        <v>4500178517</v>
      </c>
      <c r="E511" s="662">
        <v>218139605</v>
      </c>
      <c r="F511" s="663" t="s">
        <v>2115</v>
      </c>
      <c r="G511" s="659" t="s">
        <v>207</v>
      </c>
      <c r="H511" s="662" t="s">
        <v>102</v>
      </c>
      <c r="I511" s="662">
        <v>1752</v>
      </c>
      <c r="J511" s="662">
        <v>0</v>
      </c>
      <c r="K511" s="662">
        <v>4</v>
      </c>
      <c r="L511" s="665">
        <f t="shared" si="156"/>
        <v>438</v>
      </c>
      <c r="M511" s="666">
        <v>45972</v>
      </c>
      <c r="N511" s="666">
        <v>45968</v>
      </c>
      <c r="O511" s="664"/>
      <c r="P511" s="824" t="s">
        <v>113</v>
      </c>
      <c r="Q511" s="667"/>
      <c r="R511" s="667">
        <v>45902</v>
      </c>
      <c r="S511" s="667" t="s">
        <v>70</v>
      </c>
      <c r="T511" s="667" t="s">
        <v>70</v>
      </c>
      <c r="U511" s="667"/>
      <c r="V511" s="661"/>
      <c r="W511" s="661"/>
      <c r="X511" s="661" t="s">
        <v>208</v>
      </c>
      <c r="Y511" s="634" t="s">
        <v>2003</v>
      </c>
      <c r="Z511" s="1318">
        <v>2.6096</v>
      </c>
      <c r="AA511" s="634">
        <f t="shared" si="144"/>
        <v>4572.0192</v>
      </c>
      <c r="AC511" s="638" t="s">
        <v>2116</v>
      </c>
      <c r="AD511" s="633" t="s">
        <v>207</v>
      </c>
      <c r="AE511" s="662" t="s">
        <v>82</v>
      </c>
      <c r="AF511" s="662"/>
      <c r="AG511" s="662"/>
      <c r="AH511" s="662"/>
      <c r="AI511" s="662">
        <v>1752</v>
      </c>
      <c r="AJ511" s="664">
        <f t="shared" si="153"/>
        <v>0</v>
      </c>
      <c r="AK511" s="662"/>
      <c r="AL511" s="662"/>
      <c r="AM511" s="663"/>
      <c r="AN511" s="663">
        <f t="shared" si="150"/>
        <v>1752</v>
      </c>
      <c r="AO511" s="1328"/>
      <c r="AP511" s="1328"/>
      <c r="AQ511" s="1328"/>
      <c r="AR511" s="663">
        <f t="shared" si="157"/>
        <v>1752</v>
      </c>
      <c r="AS511" s="663"/>
      <c r="AT511" s="663"/>
      <c r="AU511" s="663">
        <f t="shared" si="154"/>
        <v>1752</v>
      </c>
      <c r="AV511" s="1328"/>
      <c r="AW511" s="663">
        <f t="shared" si="155"/>
        <v>1752</v>
      </c>
      <c r="AX511" s="663"/>
      <c r="AY511" s="1328"/>
      <c r="AZ511" s="563"/>
      <c r="BA511" s="563"/>
      <c r="BB511" s="563"/>
      <c r="BC511" s="563"/>
      <c r="BD511" s="563"/>
      <c r="BE511" s="663"/>
      <c r="BF511" s="663"/>
      <c r="BG511" s="663"/>
      <c r="BH511" s="663"/>
      <c r="BI511" s="663"/>
      <c r="BJ511" s="1328"/>
      <c r="BK511" s="1328"/>
      <c r="BL511" s="1328"/>
      <c r="BM511" s="1328"/>
      <c r="BN511" s="663"/>
      <c r="BO511" s="1328"/>
      <c r="BP511" s="1328"/>
      <c r="BQ511" s="1265"/>
      <c r="BR511" s="1265"/>
      <c r="BS511" s="1265"/>
      <c r="BT511" s="1265"/>
      <c r="BU511" s="1265"/>
      <c r="BV511" s="1265"/>
      <c r="BW511" s="1265"/>
      <c r="BX511" s="1265"/>
      <c r="BY511" s="1265"/>
      <c r="BZ511" s="1265"/>
      <c r="CA511" s="1265"/>
      <c r="CB511" s="1265"/>
      <c r="CC511" s="1265"/>
      <c r="CD511" s="1265"/>
      <c r="CE511" s="1265"/>
      <c r="CF511" s="1265"/>
      <c r="CG511" s="1265"/>
      <c r="CH511" s="669"/>
      <c r="CI511" s="669"/>
      <c r="CJ511" s="669"/>
      <c r="CK511" s="669"/>
      <c r="CL511" s="669"/>
      <c r="CM511" s="1265"/>
      <c r="CN511" s="1265"/>
      <c r="CO511" s="1265"/>
      <c r="CP511" s="669"/>
      <c r="CQ511" s="669"/>
      <c r="CR511" s="669"/>
      <c r="CS511" s="669"/>
      <c r="CT511" s="669"/>
      <c r="CU511" s="669"/>
    </row>
    <row r="512" s="1265" customFormat="1" ht="31" customHeight="1" spans="1:99">
      <c r="A512" s="660">
        <v>45911</v>
      </c>
      <c r="B512" s="661" t="s">
        <v>211</v>
      </c>
      <c r="C512" s="662" t="s">
        <v>212</v>
      </c>
      <c r="D512" s="663">
        <v>4500179336</v>
      </c>
      <c r="E512" s="662" t="s">
        <v>2117</v>
      </c>
      <c r="F512" s="663" t="s">
        <v>2118</v>
      </c>
      <c r="G512" s="659" t="s">
        <v>111</v>
      </c>
      <c r="H512" s="662" t="s">
        <v>112</v>
      </c>
      <c r="I512" s="662">
        <v>368</v>
      </c>
      <c r="J512" s="662">
        <v>0</v>
      </c>
      <c r="K512" s="662">
        <v>16</v>
      </c>
      <c r="L512" s="665">
        <f t="shared" si="156"/>
        <v>23</v>
      </c>
      <c r="M512" s="666">
        <v>45975</v>
      </c>
      <c r="N512" s="666">
        <v>45971</v>
      </c>
      <c r="O512" s="664"/>
      <c r="P512" s="824" t="s">
        <v>113</v>
      </c>
      <c r="Q512" s="667"/>
      <c r="R512" s="667">
        <v>45911</v>
      </c>
      <c r="S512" s="667" t="s">
        <v>70</v>
      </c>
      <c r="T512" s="667" t="s">
        <v>2119</v>
      </c>
      <c r="U512" s="667"/>
      <c r="V512" s="661"/>
      <c r="W512" s="661"/>
      <c r="X512" s="661" t="s">
        <v>2120</v>
      </c>
      <c r="Y512" s="634" t="s">
        <v>1793</v>
      </c>
      <c r="Z512" s="1318">
        <v>4.2114</v>
      </c>
      <c r="AA512" s="634">
        <f t="shared" si="144"/>
        <v>1549.7952</v>
      </c>
      <c r="AC512" s="638" t="s">
        <v>2121</v>
      </c>
      <c r="AD512" s="633" t="s">
        <v>111</v>
      </c>
      <c r="AE512" s="662" t="s">
        <v>82</v>
      </c>
      <c r="AF512" s="662"/>
      <c r="AG512" s="662"/>
      <c r="AH512" s="662"/>
      <c r="AI512" s="662">
        <v>368</v>
      </c>
      <c r="AJ512" s="664">
        <f t="shared" si="153"/>
        <v>0</v>
      </c>
      <c r="AK512" s="662"/>
      <c r="AL512" s="662"/>
      <c r="AM512" s="663"/>
      <c r="AN512" s="663">
        <f t="shared" si="150"/>
        <v>368</v>
      </c>
      <c r="AO512" s="1328"/>
      <c r="AP512" s="1328"/>
      <c r="AQ512" s="1328"/>
      <c r="AR512" s="663">
        <f t="shared" si="157"/>
        <v>368</v>
      </c>
      <c r="AS512" s="663"/>
      <c r="AT512" s="663"/>
      <c r="AU512" s="663">
        <f t="shared" si="154"/>
        <v>368</v>
      </c>
      <c r="AV512" s="1328"/>
      <c r="AW512" s="663">
        <f t="shared" si="155"/>
        <v>368</v>
      </c>
      <c r="AX512" s="663"/>
      <c r="AY512" s="1328"/>
      <c r="AZ512" s="687"/>
      <c r="BA512" s="687"/>
      <c r="BB512" s="687"/>
      <c r="BC512" s="687"/>
      <c r="BD512" s="687"/>
      <c r="BE512" s="663"/>
      <c r="BF512" s="663"/>
      <c r="BG512" s="663"/>
      <c r="BH512" s="825">
        <f>I512/4</f>
        <v>92</v>
      </c>
      <c r="BI512" s="663"/>
      <c r="BJ512" s="1328"/>
      <c r="BK512" s="1328"/>
      <c r="BL512" s="1328"/>
      <c r="BM512" s="1328"/>
      <c r="BN512" s="663"/>
      <c r="BO512" s="1328"/>
      <c r="BP512" s="1328"/>
      <c r="BQ512" s="1265"/>
      <c r="BR512" s="1265"/>
      <c r="BS512" s="1265"/>
      <c r="BT512" s="1265"/>
      <c r="BU512" s="1265"/>
      <c r="BV512" s="1265"/>
      <c r="BW512" s="1265"/>
      <c r="BX512" s="1265"/>
      <c r="BY512" s="1265"/>
      <c r="BZ512" s="1265"/>
      <c r="CA512" s="1265"/>
      <c r="CB512" s="1265"/>
      <c r="CC512" s="1265"/>
      <c r="CD512" s="1265"/>
      <c r="CE512" s="1265"/>
      <c r="CF512" s="1265"/>
      <c r="CG512" s="1265"/>
      <c r="CH512" s="669"/>
      <c r="CI512" s="669"/>
      <c r="CJ512" s="669"/>
      <c r="CK512" s="669"/>
      <c r="CL512" s="669"/>
      <c r="CM512" s="1265"/>
      <c r="CN512" s="1265"/>
      <c r="CO512" s="1265"/>
      <c r="CP512" s="669"/>
      <c r="CQ512" s="669"/>
      <c r="CR512" s="669"/>
      <c r="CS512" s="669"/>
      <c r="CT512" s="669"/>
      <c r="CU512" s="669"/>
    </row>
    <row r="513" s="1265" customFormat="1" ht="31" customHeight="1" spans="1:99">
      <c r="A513" s="660">
        <v>45863</v>
      </c>
      <c r="B513" s="661" t="s">
        <v>2122</v>
      </c>
      <c r="C513" s="662" t="s">
        <v>524</v>
      </c>
      <c r="D513" s="663" t="s">
        <v>2123</v>
      </c>
      <c r="E513" s="662" t="s">
        <v>2124</v>
      </c>
      <c r="F513" s="663" t="s">
        <v>2125</v>
      </c>
      <c r="G513" s="659" t="s">
        <v>68</v>
      </c>
      <c r="H513" s="633" t="s">
        <v>69</v>
      </c>
      <c r="I513" s="662">
        <v>108</v>
      </c>
      <c r="J513" s="662">
        <v>0</v>
      </c>
      <c r="K513" s="662">
        <v>12</v>
      </c>
      <c r="L513" s="665">
        <f t="shared" si="156"/>
        <v>9</v>
      </c>
      <c r="M513" s="666">
        <v>45897</v>
      </c>
      <c r="N513" s="666">
        <v>45894</v>
      </c>
      <c r="O513" s="664"/>
      <c r="P513" s="664"/>
      <c r="Q513" s="662"/>
      <c r="R513" s="667" t="s">
        <v>2126</v>
      </c>
      <c r="S513" s="667" t="s">
        <v>104</v>
      </c>
      <c r="T513" s="667" t="s">
        <v>2127</v>
      </c>
      <c r="U513" s="667"/>
      <c r="V513" s="667"/>
      <c r="W513" s="667"/>
      <c r="X513" s="661" t="s">
        <v>2128</v>
      </c>
      <c r="Y513" s="666" t="s">
        <v>2129</v>
      </c>
      <c r="Z513" s="1318"/>
      <c r="AA513" s="634"/>
      <c r="AB513" s="1265"/>
      <c r="AC513" s="638"/>
      <c r="AD513" s="633" t="s">
        <v>184</v>
      </c>
      <c r="AE513" s="662" t="s">
        <v>73</v>
      </c>
      <c r="AF513" s="662"/>
      <c r="AG513" s="662"/>
      <c r="AH513" s="662"/>
      <c r="AI513" s="664"/>
      <c r="AJ513" s="664">
        <f t="shared" si="153"/>
        <v>-108</v>
      </c>
      <c r="AK513" s="662"/>
      <c r="AL513" s="662"/>
      <c r="AM513" s="662"/>
      <c r="AN513" s="663">
        <f t="shared" si="150"/>
        <v>108</v>
      </c>
      <c r="AO513" s="1328"/>
      <c r="AP513" s="1328"/>
      <c r="AQ513" s="1328"/>
      <c r="AR513" s="1328"/>
      <c r="AS513" s="663">
        <f>I513</f>
        <v>108</v>
      </c>
      <c r="AT513" s="663"/>
      <c r="AU513" s="663">
        <f t="shared" si="154"/>
        <v>108</v>
      </c>
      <c r="AV513" s="1328"/>
      <c r="AW513" s="551">
        <f t="shared" si="155"/>
        <v>108</v>
      </c>
      <c r="AX513" s="663"/>
      <c r="AY513" s="1328"/>
      <c r="AZ513" s="663"/>
      <c r="BA513" s="687"/>
      <c r="BB513" s="687"/>
      <c r="BC513" s="687"/>
      <c r="BD513" s="687"/>
      <c r="BE513" s="663"/>
      <c r="BF513" s="1328"/>
      <c r="BG513" s="1328"/>
      <c r="BH513" s="663"/>
      <c r="BI513" s="663"/>
      <c r="BJ513" s="1328"/>
      <c r="BK513" s="1328"/>
      <c r="BL513" s="1328"/>
      <c r="BM513" s="663"/>
      <c r="BN513" s="663"/>
      <c r="BO513" s="1328"/>
      <c r="BP513" s="1328"/>
    </row>
    <row r="514" s="1265" customFormat="1" ht="31" customHeight="1" spans="1:99">
      <c r="A514" s="660">
        <v>45915</v>
      </c>
      <c r="B514" s="661"/>
      <c r="C514" s="662"/>
      <c r="D514" s="663" t="s">
        <v>2130</v>
      </c>
      <c r="E514" s="662"/>
      <c r="F514" s="1328"/>
      <c r="G514" s="659" t="s">
        <v>476</v>
      </c>
      <c r="H514" s="662" t="s">
        <v>477</v>
      </c>
      <c r="I514" s="662">
        <v>60</v>
      </c>
      <c r="J514" s="662">
        <v>0</v>
      </c>
      <c r="K514" s="662">
        <v>6</v>
      </c>
      <c r="L514" s="665">
        <f t="shared" si="156"/>
        <v>10</v>
      </c>
      <c r="M514" s="666">
        <v>45929</v>
      </c>
      <c r="N514" s="666">
        <v>45925</v>
      </c>
      <c r="O514" s="664"/>
      <c r="P514" s="664"/>
      <c r="Q514" s="662"/>
      <c r="R514" s="667">
        <v>45915</v>
      </c>
      <c r="S514" s="667" t="s">
        <v>70</v>
      </c>
      <c r="T514" s="667" t="s">
        <v>70</v>
      </c>
      <c r="U514" s="667"/>
      <c r="V514" s="667"/>
      <c r="W514" s="667"/>
      <c r="X514" s="661" t="s">
        <v>478</v>
      </c>
      <c r="Y514" s="666" t="s">
        <v>85</v>
      </c>
      <c r="Z514" s="1318"/>
      <c r="AA514" s="634"/>
      <c r="AB514" s="1265"/>
      <c r="AC514" s="676" t="s">
        <v>2131</v>
      </c>
      <c r="AD514" s="633" t="s">
        <v>480</v>
      </c>
      <c r="AE514" s="662" t="s">
        <v>82</v>
      </c>
      <c r="AF514" s="662"/>
      <c r="AG514" s="662"/>
      <c r="AH514" s="662"/>
      <c r="AI514" s="664">
        <v>60</v>
      </c>
      <c r="AJ514" s="664">
        <f t="shared" si="153"/>
        <v>0</v>
      </c>
      <c r="AK514" s="662"/>
      <c r="AL514" s="662"/>
      <c r="AM514" s="662"/>
      <c r="AN514" s="663">
        <f t="shared" si="150"/>
        <v>60</v>
      </c>
      <c r="AO514" s="1328"/>
      <c r="AP514" s="1328"/>
      <c r="AQ514" s="1328"/>
      <c r="AR514" s="1328"/>
      <c r="AS514" s="663">
        <f>I514</f>
        <v>60</v>
      </c>
      <c r="AT514" s="663"/>
      <c r="AU514" s="663">
        <f t="shared" si="154"/>
        <v>60</v>
      </c>
      <c r="AV514" s="1328"/>
      <c r="AW514" s="663">
        <f t="shared" si="155"/>
        <v>60</v>
      </c>
      <c r="AX514" s="1328"/>
      <c r="AY514" s="1328"/>
      <c r="AZ514" s="687"/>
      <c r="BA514" s="687"/>
      <c r="BB514" s="687"/>
      <c r="BC514" s="687"/>
      <c r="BD514" s="687"/>
      <c r="BE514" s="663"/>
      <c r="BF514" s="1328"/>
      <c r="BG514" s="1328"/>
      <c r="BH514" s="663"/>
      <c r="BI514" s="663"/>
      <c r="BJ514" s="1328"/>
      <c r="BK514" s="1328"/>
      <c r="BL514" s="1328"/>
      <c r="BM514" s="663"/>
      <c r="BN514" s="663">
        <f>I514</f>
        <v>60</v>
      </c>
      <c r="BO514" s="1328"/>
      <c r="BP514" s="1328"/>
    </row>
    <row r="515" s="1265" customFormat="1" ht="31" customHeight="1" spans="1:99">
      <c r="A515" s="660">
        <v>45929</v>
      </c>
      <c r="B515" s="661"/>
      <c r="C515" s="662"/>
      <c r="D515" s="663" t="s">
        <v>2132</v>
      </c>
      <c r="E515" s="662"/>
      <c r="F515" s="1328"/>
      <c r="G515" s="659" t="s">
        <v>68</v>
      </c>
      <c r="H515" s="633" t="s">
        <v>69</v>
      </c>
      <c r="I515" s="662">
        <v>192</v>
      </c>
      <c r="J515" s="662">
        <v>0</v>
      </c>
      <c r="K515" s="662">
        <v>12</v>
      </c>
      <c r="L515" s="665">
        <f t="shared" si="156"/>
        <v>16</v>
      </c>
      <c r="M515" s="666">
        <v>45950</v>
      </c>
      <c r="N515" s="666">
        <v>45946</v>
      </c>
      <c r="O515" s="664"/>
      <c r="P515" s="662"/>
      <c r="Q515" s="667"/>
      <c r="R515" s="667">
        <v>45929</v>
      </c>
      <c r="S515" s="667" t="s">
        <v>70</v>
      </c>
      <c r="T515" s="667" t="s">
        <v>70</v>
      </c>
      <c r="U515" s="667"/>
      <c r="V515" s="661"/>
      <c r="W515" s="661"/>
      <c r="X515" s="661" t="s">
        <v>84</v>
      </c>
      <c r="Y515" s="634" t="s">
        <v>85</v>
      </c>
      <c r="Z515" s="1318"/>
      <c r="AA515" s="634"/>
      <c r="AB515" s="1265"/>
      <c r="AC515" s="676" t="s">
        <v>2133</v>
      </c>
      <c r="AD515" s="633" t="s">
        <v>68</v>
      </c>
      <c r="AE515" s="662" t="s">
        <v>82</v>
      </c>
      <c r="AF515" s="662"/>
      <c r="AG515" s="662"/>
      <c r="AH515" s="662"/>
      <c r="AI515" s="662">
        <v>192</v>
      </c>
      <c r="AJ515" s="664">
        <f t="shared" si="153"/>
        <v>0</v>
      </c>
      <c r="AK515" s="662"/>
      <c r="AL515" s="662"/>
      <c r="AM515" s="663"/>
      <c r="AN515" s="663">
        <f t="shared" si="150"/>
        <v>192</v>
      </c>
      <c r="AO515" s="1328"/>
      <c r="AP515" s="1328"/>
      <c r="AQ515" s="1328"/>
      <c r="AR515" s="663">
        <f>I515</f>
        <v>192</v>
      </c>
      <c r="AS515" s="663"/>
      <c r="AT515" s="663"/>
      <c r="AU515" s="663">
        <f t="shared" si="154"/>
        <v>192</v>
      </c>
      <c r="AV515" s="1328"/>
      <c r="AW515" s="663">
        <f t="shared" si="155"/>
        <v>192</v>
      </c>
      <c r="AX515" s="663"/>
      <c r="AY515" s="1328"/>
      <c r="AZ515" s="563"/>
      <c r="BA515" s="563"/>
      <c r="BB515" s="563"/>
      <c r="BC515" s="563"/>
      <c r="BD515" s="563"/>
      <c r="BE515" s="663"/>
      <c r="BF515" s="1328"/>
      <c r="BG515" s="1328"/>
      <c r="BH515" s="663"/>
      <c r="BI515" s="663"/>
      <c r="BJ515" s="1328"/>
      <c r="BK515" s="1328"/>
      <c r="BL515" s="1328"/>
      <c r="BM515" s="663"/>
      <c r="BN515" s="663"/>
      <c r="BO515" s="1328"/>
      <c r="BP515" s="1328"/>
      <c r="BQ515" s="1265"/>
      <c r="BR515" s="1265"/>
      <c r="BS515" s="1265"/>
      <c r="BT515" s="1265"/>
      <c r="BU515" s="1265"/>
      <c r="BV515" s="1265"/>
      <c r="BW515" s="1265"/>
      <c r="BX515" s="1265"/>
      <c r="BY515" s="1265"/>
      <c r="BZ515" s="1265"/>
      <c r="CA515" s="1265"/>
      <c r="CB515" s="1265"/>
      <c r="CC515" s="1265"/>
      <c r="CD515" s="1265"/>
      <c r="CE515" s="1265"/>
      <c r="CF515" s="1265"/>
      <c r="CG515" s="1265"/>
      <c r="CH515" s="669"/>
      <c r="CI515" s="669"/>
      <c r="CJ515" s="669"/>
      <c r="CK515" s="669"/>
      <c r="CL515" s="669"/>
      <c r="CM515" s="1265"/>
      <c r="CN515" s="1265"/>
      <c r="CO515" s="1265"/>
      <c r="CP515" s="669"/>
      <c r="CQ515" s="669"/>
      <c r="CR515" s="669"/>
      <c r="CS515" s="669"/>
      <c r="CT515" s="669"/>
      <c r="CU515" s="669"/>
    </row>
    <row r="516" s="1265" customFormat="1" ht="31" customHeight="1" spans="1:99">
      <c r="A516" s="660">
        <v>45911</v>
      </c>
      <c r="B516" s="661" t="s">
        <v>211</v>
      </c>
      <c r="C516" s="662" t="s">
        <v>212</v>
      </c>
      <c r="D516" s="663">
        <v>4500179336</v>
      </c>
      <c r="E516" s="662" t="s">
        <v>2117</v>
      </c>
      <c r="F516" s="663" t="s">
        <v>2134</v>
      </c>
      <c r="G516" s="659" t="s">
        <v>518</v>
      </c>
      <c r="H516" s="662" t="s">
        <v>477</v>
      </c>
      <c r="I516" s="662">
        <v>720</v>
      </c>
      <c r="J516" s="662">
        <v>0</v>
      </c>
      <c r="K516" s="662">
        <v>6</v>
      </c>
      <c r="L516" s="665">
        <f t="shared" ref="L477:L579" si="158">I516/K516</f>
        <v>120</v>
      </c>
      <c r="M516" s="666">
        <v>45975</v>
      </c>
      <c r="N516" s="666">
        <v>45971</v>
      </c>
      <c r="O516" s="664"/>
      <c r="P516" s="824" t="s">
        <v>113</v>
      </c>
      <c r="Q516" s="667"/>
      <c r="R516" s="667">
        <v>45911</v>
      </c>
      <c r="S516" s="667" t="s">
        <v>70</v>
      </c>
      <c r="T516" s="667" t="s">
        <v>2119</v>
      </c>
      <c r="U516" s="667"/>
      <c r="V516" s="661" t="s">
        <v>520</v>
      </c>
      <c r="W516" s="661"/>
      <c r="X516" s="661" t="s">
        <v>2135</v>
      </c>
      <c r="Y516" s="634" t="s">
        <v>1793</v>
      </c>
      <c r="Z516" s="1318">
        <v>6.5552</v>
      </c>
      <c r="AA516" s="634">
        <f t="shared" ref="AA490:AA569" si="159">Z516*I516</f>
        <v>4719.744</v>
      </c>
      <c r="AC516" s="638" t="s">
        <v>2121</v>
      </c>
      <c r="AD516" s="633" t="s">
        <v>1875</v>
      </c>
      <c r="AE516" s="662" t="s">
        <v>82</v>
      </c>
      <c r="AF516" s="662"/>
      <c r="AG516" s="662"/>
      <c r="AH516" s="662"/>
      <c r="AI516" s="662">
        <v>720</v>
      </c>
      <c r="AJ516" s="664">
        <f t="shared" ref="AJ512:AJ529" si="160">AI516-I516</f>
        <v>0</v>
      </c>
      <c r="AK516" s="662"/>
      <c r="AL516" s="662"/>
      <c r="AM516" s="663"/>
      <c r="AN516" s="663">
        <f t="shared" si="150"/>
        <v>720</v>
      </c>
      <c r="AO516" s="1328"/>
      <c r="AP516" s="1328"/>
      <c r="AQ516" s="1328"/>
      <c r="AR516" s="663">
        <f>I516</f>
        <v>720</v>
      </c>
      <c r="AS516" s="663"/>
      <c r="AT516" s="663"/>
      <c r="AU516" s="663">
        <f t="shared" ref="AU505:AU539" si="161">I516</f>
        <v>720</v>
      </c>
      <c r="AV516" s="1328"/>
      <c r="AW516" s="663">
        <f t="shared" ref="AW512:AW524" si="162">I516</f>
        <v>720</v>
      </c>
      <c r="AX516" s="663"/>
      <c r="AY516" s="1328"/>
      <c r="AZ516" s="687"/>
      <c r="BA516" s="687"/>
      <c r="BB516" s="687"/>
      <c r="BC516" s="687"/>
      <c r="BD516" s="687"/>
      <c r="BE516" s="663"/>
      <c r="BF516" s="663"/>
      <c r="BG516" s="663"/>
      <c r="BH516" s="663"/>
      <c r="BI516" s="663"/>
      <c r="BJ516" s="1328"/>
      <c r="BK516" s="1328"/>
      <c r="BL516" s="1328"/>
      <c r="BM516" s="663"/>
      <c r="BN516" s="663">
        <f>I516</f>
        <v>720</v>
      </c>
      <c r="BO516" s="1328"/>
      <c r="BP516" s="1328"/>
      <c r="BQ516" s="1265"/>
      <c r="BR516" s="1265"/>
      <c r="BS516" s="1265"/>
      <c r="BT516" s="1265"/>
      <c r="BU516" s="1265"/>
      <c r="BV516" s="1265"/>
      <c r="BW516" s="1265"/>
      <c r="BX516" s="1265"/>
      <c r="BY516" s="1265"/>
      <c r="BZ516" s="1265"/>
      <c r="CA516" s="1265"/>
      <c r="CB516" s="1265"/>
      <c r="CC516" s="1265"/>
      <c r="CD516" s="1265"/>
      <c r="CE516" s="1265"/>
      <c r="CF516" s="1265"/>
      <c r="CG516" s="1265"/>
      <c r="CH516" s="669"/>
      <c r="CI516" s="669"/>
      <c r="CJ516" s="669"/>
      <c r="CK516" s="669"/>
      <c r="CL516" s="669"/>
      <c r="CM516" s="1265"/>
      <c r="CN516" s="1265"/>
      <c r="CO516" s="1265"/>
      <c r="CP516" s="669"/>
      <c r="CQ516" s="669"/>
      <c r="CR516" s="669"/>
      <c r="CS516" s="669"/>
      <c r="CT516" s="669"/>
      <c r="CU516" s="669"/>
    </row>
    <row r="517" s="1265" customFormat="1" ht="31" customHeight="1" spans="1:99">
      <c r="A517" s="660">
        <v>45919</v>
      </c>
      <c r="B517" s="661" t="s">
        <v>143</v>
      </c>
      <c r="C517" s="662" t="s">
        <v>98</v>
      </c>
      <c r="D517" s="663">
        <v>4500179921</v>
      </c>
      <c r="E517" s="1414" t="s">
        <v>2136</v>
      </c>
      <c r="F517" s="663" t="s">
        <v>2137</v>
      </c>
      <c r="G517" s="659" t="s">
        <v>101</v>
      </c>
      <c r="H517" s="662" t="s">
        <v>102</v>
      </c>
      <c r="I517" s="662">
        <v>6720</v>
      </c>
      <c r="J517" s="662">
        <v>0</v>
      </c>
      <c r="K517" s="662">
        <v>4</v>
      </c>
      <c r="L517" s="665">
        <f t="shared" si="158"/>
        <v>1680</v>
      </c>
      <c r="M517" s="666">
        <v>45975</v>
      </c>
      <c r="N517" s="666">
        <v>45971</v>
      </c>
      <c r="O517" s="664" t="s">
        <v>2138</v>
      </c>
      <c r="P517" s="824" t="s">
        <v>113</v>
      </c>
      <c r="Q517" s="662"/>
      <c r="R517" s="667" t="s">
        <v>147</v>
      </c>
      <c r="S517" s="667" t="s">
        <v>70</v>
      </c>
      <c r="T517" s="667">
        <v>45950</v>
      </c>
      <c r="U517" s="667"/>
      <c r="V517" s="667" t="s">
        <v>148</v>
      </c>
      <c r="W517" s="661"/>
      <c r="X517" s="661" t="s">
        <v>2139</v>
      </c>
      <c r="Y517" s="634" t="s">
        <v>106</v>
      </c>
      <c r="Z517" s="1318">
        <v>2.5439</v>
      </c>
      <c r="AA517" s="634">
        <f t="shared" si="159"/>
        <v>17095.008</v>
      </c>
      <c r="AC517" s="638" t="s">
        <v>2140</v>
      </c>
      <c r="AD517" s="633" t="s">
        <v>101</v>
      </c>
      <c r="AE517" s="662" t="s">
        <v>82</v>
      </c>
      <c r="AF517" s="662"/>
      <c r="AG517" s="662"/>
      <c r="AH517" s="662"/>
      <c r="AI517" s="662">
        <f>3120+3600</f>
        <v>6720</v>
      </c>
      <c r="AJ517" s="662">
        <f t="shared" si="160"/>
        <v>0</v>
      </c>
      <c r="AK517" s="662"/>
      <c r="AL517" s="662"/>
      <c r="AM517" s="663"/>
      <c r="AN517" s="663">
        <f t="shared" si="150"/>
        <v>6720</v>
      </c>
      <c r="AO517" s="1328"/>
      <c r="AP517" s="1328"/>
      <c r="AQ517" s="1328"/>
      <c r="AR517" s="663">
        <f t="shared" ref="AR517:AR529" si="163">I517</f>
        <v>6720</v>
      </c>
      <c r="AS517" s="663"/>
      <c r="AT517" s="663"/>
      <c r="AU517" s="663">
        <f t="shared" si="161"/>
        <v>6720</v>
      </c>
      <c r="AV517" s="1328"/>
      <c r="AW517" s="663">
        <f t="shared" si="162"/>
        <v>6720</v>
      </c>
      <c r="AX517" s="663"/>
      <c r="AY517" s="1328"/>
      <c r="AZ517" s="687"/>
      <c r="BA517" s="687"/>
      <c r="BB517" s="687"/>
      <c r="BC517" s="687"/>
      <c r="BD517" s="687"/>
      <c r="BE517" s="663"/>
      <c r="BF517" s="663"/>
      <c r="BG517" s="663"/>
      <c r="BH517" s="825">
        <f t="shared" ref="BH517:BH524" si="164">I517/4</f>
        <v>1680</v>
      </c>
      <c r="BI517" s="663"/>
      <c r="BJ517" s="1328"/>
      <c r="BK517" s="1328"/>
      <c r="BL517" s="1328"/>
      <c r="BM517" s="663"/>
      <c r="BN517" s="663"/>
      <c r="BO517" s="1328"/>
      <c r="BP517" s="1328"/>
      <c r="BQ517" s="1265"/>
      <c r="BR517" s="1265"/>
      <c r="BS517" s="1265"/>
      <c r="BT517" s="1265"/>
      <c r="BU517" s="1265"/>
      <c r="BV517" s="1265"/>
      <c r="BW517" s="1265"/>
      <c r="BX517" s="1265"/>
      <c r="BY517" s="1265"/>
      <c r="BZ517" s="1265"/>
      <c r="CA517" s="1265"/>
      <c r="CB517" s="1265"/>
      <c r="CC517" s="1265"/>
      <c r="CD517" s="1265"/>
      <c r="CE517" s="1265"/>
      <c r="CF517" s="1265"/>
      <c r="CG517" s="1265"/>
      <c r="CH517" s="669"/>
      <c r="CI517" s="669"/>
      <c r="CJ517" s="669"/>
      <c r="CK517" s="669"/>
      <c r="CL517" s="669"/>
      <c r="CM517" s="1265"/>
      <c r="CN517" s="1265"/>
      <c r="CO517" s="1265"/>
      <c r="CP517" s="669"/>
      <c r="CQ517" s="669"/>
      <c r="CR517" s="669"/>
      <c r="CS517" s="669"/>
      <c r="CT517" s="669"/>
      <c r="CU517" s="669"/>
    </row>
    <row r="518" s="1265" customFormat="1" ht="31" customHeight="1" spans="1:99">
      <c r="A518" s="660">
        <v>45919</v>
      </c>
      <c r="B518" s="661" t="s">
        <v>143</v>
      </c>
      <c r="C518" s="662" t="s">
        <v>98</v>
      </c>
      <c r="D518" s="663">
        <v>4500179921</v>
      </c>
      <c r="E518" s="1414" t="s">
        <v>2141</v>
      </c>
      <c r="F518" s="663" t="s">
        <v>2142</v>
      </c>
      <c r="G518" s="659" t="s">
        <v>101</v>
      </c>
      <c r="H518" s="662" t="s">
        <v>102</v>
      </c>
      <c r="I518" s="662">
        <v>5760</v>
      </c>
      <c r="J518" s="662">
        <v>0</v>
      </c>
      <c r="K518" s="662">
        <v>4</v>
      </c>
      <c r="L518" s="665">
        <f t="shared" si="158"/>
        <v>1440</v>
      </c>
      <c r="M518" s="666">
        <v>45975</v>
      </c>
      <c r="N518" s="666">
        <v>45971</v>
      </c>
      <c r="O518" s="664" t="s">
        <v>2138</v>
      </c>
      <c r="P518" s="824" t="s">
        <v>113</v>
      </c>
      <c r="Q518" s="662"/>
      <c r="R518" s="667" t="s">
        <v>147</v>
      </c>
      <c r="S518" s="667" t="s">
        <v>70</v>
      </c>
      <c r="T518" s="667">
        <v>45950</v>
      </c>
      <c r="U518" s="667"/>
      <c r="V518" s="667" t="s">
        <v>148</v>
      </c>
      <c r="W518" s="661"/>
      <c r="X518" s="661" t="s">
        <v>2139</v>
      </c>
      <c r="Y518" s="634" t="s">
        <v>106</v>
      </c>
      <c r="Z518" s="1318">
        <v>2.5439</v>
      </c>
      <c r="AA518" s="634">
        <f t="shared" si="159"/>
        <v>14652.864</v>
      </c>
      <c r="AC518" s="638" t="s">
        <v>2143</v>
      </c>
      <c r="AD518" s="633" t="s">
        <v>101</v>
      </c>
      <c r="AE518" s="662" t="s">
        <v>82</v>
      </c>
      <c r="AF518" s="662"/>
      <c r="AG518" s="662"/>
      <c r="AH518" s="662"/>
      <c r="AI518" s="662">
        <v>5760</v>
      </c>
      <c r="AJ518" s="662">
        <f t="shared" si="160"/>
        <v>0</v>
      </c>
      <c r="AK518" s="662"/>
      <c r="AL518" s="662"/>
      <c r="AM518" s="663"/>
      <c r="AN518" s="663">
        <f t="shared" si="150"/>
        <v>5760</v>
      </c>
      <c r="AO518" s="1328"/>
      <c r="AP518" s="1328"/>
      <c r="AQ518" s="1328"/>
      <c r="AR518" s="663">
        <f t="shared" si="163"/>
        <v>5760</v>
      </c>
      <c r="AS518" s="663"/>
      <c r="AT518" s="663"/>
      <c r="AU518" s="663">
        <f t="shared" si="161"/>
        <v>5760</v>
      </c>
      <c r="AV518" s="1328"/>
      <c r="AW518" s="663">
        <f t="shared" si="162"/>
        <v>5760</v>
      </c>
      <c r="AX518" s="663"/>
      <c r="AY518" s="1328"/>
      <c r="AZ518" s="687"/>
      <c r="BA518" s="687"/>
      <c r="BB518" s="687"/>
      <c r="BC518" s="687"/>
      <c r="BD518" s="687"/>
      <c r="BE518" s="663"/>
      <c r="BF518" s="663"/>
      <c r="BG518" s="663"/>
      <c r="BH518" s="825">
        <f t="shared" si="164"/>
        <v>1440</v>
      </c>
      <c r="BI518" s="663"/>
      <c r="BJ518" s="1328"/>
      <c r="BK518" s="1328"/>
      <c r="BL518" s="1328"/>
      <c r="BM518" s="663"/>
      <c r="BN518" s="663"/>
      <c r="BO518" s="1328"/>
      <c r="BP518" s="1328"/>
      <c r="BQ518" s="1265"/>
      <c r="BR518" s="1265"/>
      <c r="BS518" s="1265"/>
      <c r="BT518" s="1265"/>
      <c r="BU518" s="1265"/>
      <c r="BV518" s="1265"/>
      <c r="BW518" s="1265"/>
      <c r="BX518" s="1265"/>
      <c r="BY518" s="1265"/>
      <c r="BZ518" s="1265"/>
      <c r="CA518" s="1265"/>
      <c r="CB518" s="1265"/>
      <c r="CC518" s="1265"/>
      <c r="CD518" s="1265"/>
      <c r="CE518" s="1265"/>
      <c r="CF518" s="1265"/>
      <c r="CG518" s="1265"/>
      <c r="CH518" s="669"/>
      <c r="CI518" s="669"/>
      <c r="CJ518" s="669"/>
      <c r="CK518" s="669"/>
      <c r="CL518" s="669"/>
      <c r="CM518" s="1265"/>
      <c r="CN518" s="1265"/>
      <c r="CO518" s="1265"/>
      <c r="CP518" s="669"/>
      <c r="CQ518" s="669"/>
      <c r="CR518" s="669"/>
      <c r="CS518" s="669"/>
      <c r="CT518" s="669"/>
      <c r="CU518" s="669"/>
    </row>
    <row r="519" s="1265" customFormat="1" ht="31" customHeight="1" spans="1:99">
      <c r="A519" s="660">
        <v>45919</v>
      </c>
      <c r="B519" s="661" t="s">
        <v>143</v>
      </c>
      <c r="C519" s="662" t="s">
        <v>98</v>
      </c>
      <c r="D519" s="663">
        <v>4500179921</v>
      </c>
      <c r="E519" s="1414" t="s">
        <v>2144</v>
      </c>
      <c r="F519" s="663" t="s">
        <v>2145</v>
      </c>
      <c r="G519" s="659" t="s">
        <v>101</v>
      </c>
      <c r="H519" s="662" t="s">
        <v>102</v>
      </c>
      <c r="I519" s="662">
        <v>4800</v>
      </c>
      <c r="J519" s="662">
        <v>0</v>
      </c>
      <c r="K519" s="662">
        <v>4</v>
      </c>
      <c r="L519" s="665">
        <f t="shared" si="158"/>
        <v>1200</v>
      </c>
      <c r="M519" s="666">
        <v>45975</v>
      </c>
      <c r="N519" s="666">
        <v>45971</v>
      </c>
      <c r="O519" s="664" t="s">
        <v>2138</v>
      </c>
      <c r="P519" s="824" t="s">
        <v>113</v>
      </c>
      <c r="Q519" s="662"/>
      <c r="R519" s="667" t="s">
        <v>147</v>
      </c>
      <c r="S519" s="667" t="s">
        <v>70</v>
      </c>
      <c r="T519" s="667">
        <v>45950</v>
      </c>
      <c r="U519" s="667"/>
      <c r="V519" s="667" t="s">
        <v>148</v>
      </c>
      <c r="W519" s="661"/>
      <c r="X519" s="661" t="s">
        <v>2139</v>
      </c>
      <c r="Y519" s="634" t="s">
        <v>106</v>
      </c>
      <c r="Z519" s="1318">
        <v>2.5439</v>
      </c>
      <c r="AA519" s="634">
        <f t="shared" si="159"/>
        <v>12210.72</v>
      </c>
      <c r="AC519" s="638" t="s">
        <v>2146</v>
      </c>
      <c r="AD519" s="633" t="s">
        <v>101</v>
      </c>
      <c r="AE519" s="662" t="s">
        <v>82</v>
      </c>
      <c r="AF519" s="662"/>
      <c r="AG519" s="662"/>
      <c r="AH519" s="662"/>
      <c r="AI519" s="662">
        <v>4800</v>
      </c>
      <c r="AJ519" s="662">
        <f t="shared" si="160"/>
        <v>0</v>
      </c>
      <c r="AK519" s="662"/>
      <c r="AL519" s="662"/>
      <c r="AM519" s="663"/>
      <c r="AN519" s="663">
        <f t="shared" si="150"/>
        <v>4800</v>
      </c>
      <c r="AO519" s="1328"/>
      <c r="AP519" s="1328"/>
      <c r="AQ519" s="1328"/>
      <c r="AR519" s="663">
        <f t="shared" si="163"/>
        <v>4800</v>
      </c>
      <c r="AS519" s="663"/>
      <c r="AT519" s="663"/>
      <c r="AU519" s="663">
        <f t="shared" si="161"/>
        <v>4800</v>
      </c>
      <c r="AV519" s="1328"/>
      <c r="AW519" s="663">
        <f t="shared" si="162"/>
        <v>4800</v>
      </c>
      <c r="AX519" s="663"/>
      <c r="AY519" s="1328"/>
      <c r="AZ519" s="563"/>
      <c r="BA519" s="563"/>
      <c r="BB519" s="563"/>
      <c r="BC519" s="563"/>
      <c r="BD519" s="563"/>
      <c r="BE519" s="663"/>
      <c r="BF519" s="663"/>
      <c r="BG519" s="663"/>
      <c r="BH519" s="825">
        <f t="shared" si="164"/>
        <v>1200</v>
      </c>
      <c r="BI519" s="663"/>
      <c r="BJ519" s="1328"/>
      <c r="BK519" s="1328"/>
      <c r="BL519" s="1328"/>
      <c r="BM519" s="663"/>
      <c r="BN519" s="663"/>
      <c r="BO519" s="1328"/>
      <c r="BP519" s="1328"/>
      <c r="BQ519" s="1265"/>
      <c r="BR519" s="1265"/>
      <c r="BS519" s="1265"/>
      <c r="BT519" s="1265"/>
      <c r="BU519" s="1265"/>
      <c r="BV519" s="1265"/>
      <c r="BW519" s="1265"/>
      <c r="BX519" s="1265"/>
      <c r="BY519" s="1265"/>
      <c r="BZ519" s="1265"/>
      <c r="CA519" s="1265"/>
      <c r="CB519" s="1265"/>
      <c r="CC519" s="1265"/>
      <c r="CD519" s="1265"/>
      <c r="CE519" s="1265"/>
      <c r="CF519" s="1265"/>
      <c r="CG519" s="1265"/>
      <c r="CH519" s="669"/>
      <c r="CI519" s="669"/>
      <c r="CJ519" s="669"/>
      <c r="CK519" s="669"/>
      <c r="CL519" s="669"/>
      <c r="CM519" s="1265"/>
      <c r="CN519" s="1265"/>
      <c r="CO519" s="1265"/>
      <c r="CP519" s="669"/>
      <c r="CQ519" s="669"/>
      <c r="CR519" s="669"/>
      <c r="CS519" s="669"/>
      <c r="CT519" s="669"/>
      <c r="CU519" s="669"/>
    </row>
    <row r="520" s="1265" customFormat="1" ht="31" customHeight="1" spans="1:99">
      <c r="A520" s="660">
        <v>45919</v>
      </c>
      <c r="B520" s="661" t="s">
        <v>143</v>
      </c>
      <c r="C520" s="662" t="s">
        <v>98</v>
      </c>
      <c r="D520" s="663">
        <v>4500179921</v>
      </c>
      <c r="E520" s="1414" t="s">
        <v>2147</v>
      </c>
      <c r="F520" s="663" t="s">
        <v>2148</v>
      </c>
      <c r="G520" s="659" t="s">
        <v>101</v>
      </c>
      <c r="H520" s="662" t="s">
        <v>102</v>
      </c>
      <c r="I520" s="662">
        <v>4480</v>
      </c>
      <c r="J520" s="662">
        <v>0</v>
      </c>
      <c r="K520" s="662">
        <v>4</v>
      </c>
      <c r="L520" s="665">
        <f t="shared" si="158"/>
        <v>1120</v>
      </c>
      <c r="M520" s="666">
        <v>45975</v>
      </c>
      <c r="N520" s="666">
        <v>45971</v>
      </c>
      <c r="O520" s="664" t="s">
        <v>2138</v>
      </c>
      <c r="P520" s="824" t="s">
        <v>113</v>
      </c>
      <c r="Q520" s="662"/>
      <c r="R520" s="667" t="s">
        <v>147</v>
      </c>
      <c r="S520" s="667" t="s">
        <v>70</v>
      </c>
      <c r="T520" s="667">
        <v>45950</v>
      </c>
      <c r="U520" s="667"/>
      <c r="V520" s="667" t="s">
        <v>148</v>
      </c>
      <c r="W520" s="661"/>
      <c r="X520" s="661" t="s">
        <v>2139</v>
      </c>
      <c r="Y520" s="634" t="s">
        <v>106</v>
      </c>
      <c r="Z520" s="1318">
        <v>2.5439</v>
      </c>
      <c r="AA520" s="634">
        <f t="shared" si="159"/>
        <v>11396.672</v>
      </c>
      <c r="AC520" s="638" t="s">
        <v>2149</v>
      </c>
      <c r="AD520" s="633" t="s">
        <v>101</v>
      </c>
      <c r="AE520" s="662" t="s">
        <v>82</v>
      </c>
      <c r="AF520" s="662"/>
      <c r="AG520" s="662"/>
      <c r="AH520" s="662"/>
      <c r="AI520" s="662">
        <v>4480</v>
      </c>
      <c r="AJ520" s="662">
        <f t="shared" si="160"/>
        <v>0</v>
      </c>
      <c r="AK520" s="662"/>
      <c r="AL520" s="662"/>
      <c r="AM520" s="663"/>
      <c r="AN520" s="663">
        <f t="shared" si="150"/>
        <v>4480</v>
      </c>
      <c r="AO520" s="1328"/>
      <c r="AP520" s="1328"/>
      <c r="AQ520" s="1328"/>
      <c r="AR520" s="663">
        <f t="shared" si="163"/>
        <v>4480</v>
      </c>
      <c r="AS520" s="663"/>
      <c r="AT520" s="663"/>
      <c r="AU520" s="663">
        <f t="shared" si="161"/>
        <v>4480</v>
      </c>
      <c r="AV520" s="1328"/>
      <c r="AW520" s="663">
        <f t="shared" si="162"/>
        <v>4480</v>
      </c>
      <c r="AX520" s="663"/>
      <c r="AY520" s="1328"/>
      <c r="AZ520" s="687"/>
      <c r="BA520" s="687"/>
      <c r="BB520" s="687"/>
      <c r="BC520" s="687"/>
      <c r="BD520" s="687"/>
      <c r="BE520" s="663"/>
      <c r="BF520" s="663"/>
      <c r="BG520" s="663"/>
      <c r="BH520" s="825">
        <f t="shared" si="164"/>
        <v>1120</v>
      </c>
      <c r="BI520" s="663"/>
      <c r="BJ520" s="1328"/>
      <c r="BK520" s="1328"/>
      <c r="BL520" s="1328"/>
      <c r="BM520" s="663"/>
      <c r="BN520" s="663"/>
      <c r="BO520" s="1328"/>
      <c r="BP520" s="1328"/>
      <c r="BQ520" s="1265"/>
      <c r="BR520" s="1265"/>
      <c r="BS520" s="1265"/>
      <c r="BT520" s="1265"/>
      <c r="BU520" s="1265"/>
      <c r="BV520" s="1265"/>
      <c r="BW520" s="1265"/>
      <c r="BX520" s="1265"/>
      <c r="BY520" s="1265"/>
      <c r="BZ520" s="1265"/>
      <c r="CA520" s="1265"/>
      <c r="CB520" s="1265"/>
      <c r="CC520" s="1265"/>
      <c r="CD520" s="1265"/>
      <c r="CE520" s="1265"/>
      <c r="CF520" s="1265"/>
      <c r="CG520" s="1265"/>
      <c r="CH520" s="669"/>
      <c r="CI520" s="669"/>
      <c r="CJ520" s="669"/>
      <c r="CK520" s="669"/>
      <c r="CL520" s="669"/>
      <c r="CM520" s="1265"/>
      <c r="CN520" s="1265"/>
      <c r="CO520" s="1265"/>
      <c r="CP520" s="669"/>
      <c r="CQ520" s="669"/>
      <c r="CR520" s="669"/>
      <c r="CS520" s="669"/>
      <c r="CT520" s="669"/>
      <c r="CU520" s="669"/>
    </row>
    <row r="521" s="1265" customFormat="1" ht="31" customHeight="1" spans="1:99">
      <c r="A521" s="660">
        <v>45919</v>
      </c>
      <c r="B521" s="661" t="s">
        <v>143</v>
      </c>
      <c r="C521" s="662" t="s">
        <v>98</v>
      </c>
      <c r="D521" s="663">
        <v>4500179921</v>
      </c>
      <c r="E521" s="1414" t="s">
        <v>2150</v>
      </c>
      <c r="F521" s="663" t="s">
        <v>2151</v>
      </c>
      <c r="G521" s="659" t="s">
        <v>101</v>
      </c>
      <c r="H521" s="662" t="s">
        <v>102</v>
      </c>
      <c r="I521" s="662">
        <v>3520</v>
      </c>
      <c r="J521" s="662">
        <v>0</v>
      </c>
      <c r="K521" s="662">
        <v>4</v>
      </c>
      <c r="L521" s="665">
        <f t="shared" si="158"/>
        <v>880</v>
      </c>
      <c r="M521" s="666">
        <v>45975</v>
      </c>
      <c r="N521" s="666">
        <v>45971</v>
      </c>
      <c r="O521" s="664" t="s">
        <v>2138</v>
      </c>
      <c r="P521" s="824" t="s">
        <v>113</v>
      </c>
      <c r="Q521" s="667"/>
      <c r="R521" s="667" t="s">
        <v>147</v>
      </c>
      <c r="S521" s="667" t="s">
        <v>70</v>
      </c>
      <c r="T521" s="667">
        <v>45950</v>
      </c>
      <c r="U521" s="667"/>
      <c r="V521" s="667" t="s">
        <v>148</v>
      </c>
      <c r="W521" s="661"/>
      <c r="X521" s="661" t="s">
        <v>2139</v>
      </c>
      <c r="Y521" s="634" t="s">
        <v>106</v>
      </c>
      <c r="Z521" s="1318">
        <v>2.5439</v>
      </c>
      <c r="AA521" s="634">
        <f t="shared" si="159"/>
        <v>8954.528</v>
      </c>
      <c r="AC521" s="638" t="s">
        <v>2152</v>
      </c>
      <c r="AD521" s="633" t="s">
        <v>101</v>
      </c>
      <c r="AE521" s="662" t="s">
        <v>82</v>
      </c>
      <c r="AF521" s="662"/>
      <c r="AG521" s="662"/>
      <c r="AH521" s="662"/>
      <c r="AI521" s="662">
        <v>3520</v>
      </c>
      <c r="AJ521" s="662">
        <f t="shared" si="160"/>
        <v>0</v>
      </c>
      <c r="AK521" s="662"/>
      <c r="AL521" s="662"/>
      <c r="AM521" s="663"/>
      <c r="AN521" s="663">
        <f t="shared" si="150"/>
        <v>3520</v>
      </c>
      <c r="AO521" s="1328"/>
      <c r="AP521" s="1328"/>
      <c r="AQ521" s="1328"/>
      <c r="AR521" s="663">
        <f t="shared" si="163"/>
        <v>3520</v>
      </c>
      <c r="AS521" s="663"/>
      <c r="AT521" s="663"/>
      <c r="AU521" s="663">
        <f t="shared" si="161"/>
        <v>3520</v>
      </c>
      <c r="AV521" s="1328"/>
      <c r="AW521" s="663">
        <f t="shared" si="162"/>
        <v>3520</v>
      </c>
      <c r="AX521" s="663"/>
      <c r="AY521" s="1328"/>
      <c r="AZ521" s="687"/>
      <c r="BA521" s="687"/>
      <c r="BB521" s="687"/>
      <c r="BC521" s="687"/>
      <c r="BD521" s="687"/>
      <c r="BE521" s="663"/>
      <c r="BF521" s="663"/>
      <c r="BG521" s="663"/>
      <c r="BH521" s="825">
        <f t="shared" si="164"/>
        <v>880</v>
      </c>
      <c r="BI521" s="663"/>
      <c r="BJ521" s="1328"/>
      <c r="BK521" s="1328"/>
      <c r="BL521" s="1328"/>
      <c r="BM521" s="663"/>
      <c r="BN521" s="663"/>
      <c r="BO521" s="1328"/>
      <c r="BP521" s="1328"/>
      <c r="BQ521" s="1265"/>
      <c r="BR521" s="1265"/>
      <c r="BS521" s="1265"/>
      <c r="BT521" s="1265"/>
      <c r="BU521" s="1265"/>
      <c r="BV521" s="1265"/>
      <c r="BW521" s="1265"/>
      <c r="BX521" s="1265"/>
      <c r="BY521" s="1265"/>
      <c r="BZ521" s="1265"/>
      <c r="CA521" s="1265"/>
      <c r="CB521" s="1265"/>
      <c r="CC521" s="1265"/>
      <c r="CD521" s="1265"/>
      <c r="CE521" s="1265"/>
      <c r="CF521" s="1265"/>
      <c r="CG521" s="1265"/>
      <c r="CH521" s="669"/>
      <c r="CI521" s="669"/>
      <c r="CJ521" s="669"/>
      <c r="CK521" s="669"/>
      <c r="CL521" s="669"/>
      <c r="CM521" s="1265"/>
      <c r="CN521" s="1265"/>
      <c r="CO521" s="1265"/>
      <c r="CP521" s="669"/>
      <c r="CQ521" s="669"/>
      <c r="CR521" s="669"/>
      <c r="CS521" s="669"/>
      <c r="CT521" s="669"/>
      <c r="CU521" s="669"/>
    </row>
    <row r="522" s="1265" customFormat="1" ht="31" customHeight="1" spans="1:99">
      <c r="A522" s="660">
        <v>45919</v>
      </c>
      <c r="B522" s="661" t="s">
        <v>143</v>
      </c>
      <c r="C522" s="662" t="s">
        <v>98</v>
      </c>
      <c r="D522" s="663">
        <v>4500179921</v>
      </c>
      <c r="E522" s="1414" t="s">
        <v>2153</v>
      </c>
      <c r="F522" s="663" t="s">
        <v>2154</v>
      </c>
      <c r="G522" s="659" t="s">
        <v>101</v>
      </c>
      <c r="H522" s="662" t="s">
        <v>102</v>
      </c>
      <c r="I522" s="662">
        <v>4160</v>
      </c>
      <c r="J522" s="662">
        <v>0</v>
      </c>
      <c r="K522" s="662">
        <v>4</v>
      </c>
      <c r="L522" s="665">
        <f t="shared" si="158"/>
        <v>1040</v>
      </c>
      <c r="M522" s="666">
        <v>45975</v>
      </c>
      <c r="N522" s="666">
        <v>45971</v>
      </c>
      <c r="O522" s="664" t="s">
        <v>2138</v>
      </c>
      <c r="P522" s="824" t="s">
        <v>113</v>
      </c>
      <c r="Q522" s="667"/>
      <c r="R522" s="667" t="s">
        <v>147</v>
      </c>
      <c r="S522" s="667" t="s">
        <v>70</v>
      </c>
      <c r="T522" s="667">
        <v>45950</v>
      </c>
      <c r="U522" s="667"/>
      <c r="V522" s="667" t="s">
        <v>148</v>
      </c>
      <c r="W522" s="661"/>
      <c r="X522" s="661" t="s">
        <v>2139</v>
      </c>
      <c r="Y522" s="634" t="s">
        <v>106</v>
      </c>
      <c r="Z522" s="1318">
        <v>2.5439</v>
      </c>
      <c r="AA522" s="634">
        <f t="shared" si="159"/>
        <v>10582.624</v>
      </c>
      <c r="AC522" s="638"/>
      <c r="AD522" s="633" t="s">
        <v>101</v>
      </c>
      <c r="AE522" s="662" t="s">
        <v>82</v>
      </c>
      <c r="AF522" s="662"/>
      <c r="AG522" s="662"/>
      <c r="AH522" s="662"/>
      <c r="AI522" s="662">
        <f>3600+560</f>
        <v>4160</v>
      </c>
      <c r="AJ522" s="662">
        <f t="shared" si="160"/>
        <v>0</v>
      </c>
      <c r="AK522" s="662"/>
      <c r="AL522" s="662"/>
      <c r="AM522" s="663"/>
      <c r="AN522" s="663">
        <f t="shared" si="150"/>
        <v>4160</v>
      </c>
      <c r="AO522" s="1328"/>
      <c r="AP522" s="1328"/>
      <c r="AQ522" s="1328"/>
      <c r="AR522" s="663">
        <f t="shared" si="163"/>
        <v>4160</v>
      </c>
      <c r="AS522" s="663"/>
      <c r="AT522" s="663"/>
      <c r="AU522" s="663">
        <f t="shared" si="161"/>
        <v>4160</v>
      </c>
      <c r="AV522" s="1328"/>
      <c r="AW522" s="663">
        <f t="shared" si="162"/>
        <v>4160</v>
      </c>
      <c r="AX522" s="663"/>
      <c r="AY522" s="1328"/>
      <c r="AZ522" s="687"/>
      <c r="BA522" s="687"/>
      <c r="BB522" s="687"/>
      <c r="BC522" s="687"/>
      <c r="BD522" s="687"/>
      <c r="BE522" s="663"/>
      <c r="BF522" s="663"/>
      <c r="BG522" s="663"/>
      <c r="BH522" s="825">
        <f t="shared" si="164"/>
        <v>1040</v>
      </c>
      <c r="BI522" s="663"/>
      <c r="BJ522" s="1328"/>
      <c r="BK522" s="1328"/>
      <c r="BL522" s="1328"/>
      <c r="BM522" s="663"/>
      <c r="BN522" s="663"/>
      <c r="BO522" s="1328"/>
      <c r="BP522" s="1328"/>
      <c r="BQ522" s="1265"/>
      <c r="BR522" s="1265"/>
      <c r="BS522" s="1265"/>
      <c r="BT522" s="1265"/>
      <c r="BU522" s="1265"/>
      <c r="BV522" s="1265"/>
      <c r="BW522" s="1265"/>
      <c r="BX522" s="1265"/>
      <c r="BY522" s="1265"/>
      <c r="BZ522" s="1265"/>
      <c r="CA522" s="1265"/>
      <c r="CB522" s="1265"/>
      <c r="CC522" s="1265"/>
      <c r="CD522" s="1265"/>
      <c r="CE522" s="1265"/>
      <c r="CF522" s="1265"/>
      <c r="CG522" s="1265"/>
      <c r="CH522" s="669"/>
      <c r="CI522" s="669"/>
      <c r="CJ522" s="669"/>
      <c r="CK522" s="669"/>
      <c r="CL522" s="669"/>
      <c r="CM522" s="1265"/>
      <c r="CN522" s="1265"/>
      <c r="CO522" s="1265"/>
      <c r="CP522" s="669"/>
      <c r="CQ522" s="669"/>
      <c r="CR522" s="669"/>
      <c r="CS522" s="669"/>
      <c r="CT522" s="669"/>
      <c r="CU522" s="669"/>
    </row>
    <row r="523" s="1265" customFormat="1" ht="31" customHeight="1" spans="1:99">
      <c r="A523" s="660">
        <v>45919</v>
      </c>
      <c r="B523" s="661" t="s">
        <v>143</v>
      </c>
      <c r="C523" s="662" t="s">
        <v>98</v>
      </c>
      <c r="D523" s="663">
        <v>4500179921</v>
      </c>
      <c r="E523" s="1414" t="s">
        <v>2155</v>
      </c>
      <c r="F523" s="663" t="s">
        <v>2156</v>
      </c>
      <c r="G523" s="659" t="s">
        <v>101</v>
      </c>
      <c r="H523" s="662" t="s">
        <v>102</v>
      </c>
      <c r="I523" s="662">
        <v>5440</v>
      </c>
      <c r="J523" s="662">
        <v>0</v>
      </c>
      <c r="K523" s="662">
        <v>4</v>
      </c>
      <c r="L523" s="665">
        <f t="shared" si="158"/>
        <v>1360</v>
      </c>
      <c r="M523" s="666">
        <v>45975</v>
      </c>
      <c r="N523" s="666">
        <v>45971</v>
      </c>
      <c r="O523" s="664" t="s">
        <v>2138</v>
      </c>
      <c r="P523" s="824" t="s">
        <v>113</v>
      </c>
      <c r="Q523" s="667"/>
      <c r="R523" s="667" t="s">
        <v>147</v>
      </c>
      <c r="S523" s="667" t="s">
        <v>70</v>
      </c>
      <c r="T523" s="667">
        <v>45950</v>
      </c>
      <c r="U523" s="667"/>
      <c r="V523" s="667" t="s">
        <v>148</v>
      </c>
      <c r="W523" s="661"/>
      <c r="X523" s="661" t="s">
        <v>2139</v>
      </c>
      <c r="Y523" s="634" t="s">
        <v>106</v>
      </c>
      <c r="Z523" s="1318">
        <v>2.514</v>
      </c>
      <c r="AA523" s="634">
        <f t="shared" si="159"/>
        <v>13676.16</v>
      </c>
      <c r="AC523" s="638" t="s">
        <v>2157</v>
      </c>
      <c r="AD523" s="633" t="s">
        <v>101</v>
      </c>
      <c r="AE523" s="662" t="s">
        <v>82</v>
      </c>
      <c r="AF523" s="662"/>
      <c r="AG523" s="662"/>
      <c r="AH523" s="662"/>
      <c r="AI523" s="662">
        <v>5440</v>
      </c>
      <c r="AJ523" s="662">
        <f t="shared" si="160"/>
        <v>0</v>
      </c>
      <c r="AK523" s="662"/>
      <c r="AL523" s="662"/>
      <c r="AM523" s="663"/>
      <c r="AN523" s="663">
        <f t="shared" si="150"/>
        <v>5440</v>
      </c>
      <c r="AO523" s="1328"/>
      <c r="AP523" s="1328"/>
      <c r="AQ523" s="1328"/>
      <c r="AR523" s="663">
        <f t="shared" si="163"/>
        <v>5440</v>
      </c>
      <c r="AS523" s="663"/>
      <c r="AT523" s="663"/>
      <c r="AU523" s="663">
        <f t="shared" si="161"/>
        <v>5440</v>
      </c>
      <c r="AV523" s="1328"/>
      <c r="AW523" s="663">
        <f t="shared" si="162"/>
        <v>5440</v>
      </c>
      <c r="AX523" s="663"/>
      <c r="AY523" s="1328"/>
      <c r="AZ523" s="563"/>
      <c r="BA523" s="563"/>
      <c r="BB523" s="563"/>
      <c r="BC523" s="563"/>
      <c r="BD523" s="563"/>
      <c r="BE523" s="663"/>
      <c r="BF523" s="663"/>
      <c r="BG523" s="663"/>
      <c r="BH523" s="825">
        <f t="shared" si="164"/>
        <v>1360</v>
      </c>
      <c r="BI523" s="663"/>
      <c r="BJ523" s="1328"/>
      <c r="BK523" s="1328"/>
      <c r="BL523" s="1328"/>
      <c r="BM523" s="663"/>
      <c r="BN523" s="663"/>
      <c r="BO523" s="1328"/>
      <c r="BP523" s="1328"/>
      <c r="BQ523" s="1265"/>
      <c r="BR523" s="1265"/>
      <c r="BS523" s="1265"/>
      <c r="BT523" s="1265"/>
      <c r="BU523" s="1265"/>
      <c r="BV523" s="1265"/>
      <c r="BW523" s="1265"/>
      <c r="BX523" s="1265"/>
      <c r="BY523" s="1265"/>
      <c r="BZ523" s="1265"/>
      <c r="CA523" s="1265"/>
      <c r="CB523" s="1265"/>
      <c r="CC523" s="1265"/>
      <c r="CD523" s="1265"/>
      <c r="CE523" s="1265"/>
      <c r="CF523" s="1265"/>
      <c r="CG523" s="1265"/>
      <c r="CH523" s="669"/>
      <c r="CI523" s="669"/>
      <c r="CJ523" s="669"/>
      <c r="CK523" s="669"/>
      <c r="CL523" s="669"/>
      <c r="CM523" s="1265"/>
      <c r="CN523" s="1265"/>
      <c r="CO523" s="1265"/>
      <c r="CP523" s="669"/>
      <c r="CQ523" s="669"/>
      <c r="CR523" s="669"/>
      <c r="CS523" s="669"/>
      <c r="CT523" s="669"/>
      <c r="CU523" s="669"/>
    </row>
    <row r="524" s="1265" customFormat="1" ht="31" customHeight="1" spans="1:99">
      <c r="A524" s="660">
        <v>45925</v>
      </c>
      <c r="B524" s="661" t="s">
        <v>1772</v>
      </c>
      <c r="C524" s="662" t="s">
        <v>278</v>
      </c>
      <c r="D524" s="663">
        <v>4500180232</v>
      </c>
      <c r="E524" s="662" t="s">
        <v>2158</v>
      </c>
      <c r="F524" s="663" t="s">
        <v>2159</v>
      </c>
      <c r="G524" s="659" t="s">
        <v>280</v>
      </c>
      <c r="H524" s="662" t="s">
        <v>281</v>
      </c>
      <c r="I524" s="662">
        <v>512</v>
      </c>
      <c r="J524" s="662">
        <v>4</v>
      </c>
      <c r="K524" s="662">
        <v>16</v>
      </c>
      <c r="L524" s="665">
        <f t="shared" si="158"/>
        <v>32</v>
      </c>
      <c r="M524" s="1320">
        <v>45977</v>
      </c>
      <c r="N524" s="1320">
        <v>45975</v>
      </c>
      <c r="O524" s="664"/>
      <c r="P524" s="824" t="s">
        <v>113</v>
      </c>
      <c r="Q524" s="667"/>
      <c r="R524" s="667">
        <v>45925</v>
      </c>
      <c r="S524" s="667" t="s">
        <v>70</v>
      </c>
      <c r="T524" s="667" t="s">
        <v>70</v>
      </c>
      <c r="U524" s="667"/>
      <c r="V524" s="661"/>
      <c r="W524" s="661"/>
      <c r="X524" s="661" t="s">
        <v>2160</v>
      </c>
      <c r="Y524" s="634" t="s">
        <v>299</v>
      </c>
      <c r="Z524" s="1318">
        <v>4.3217</v>
      </c>
      <c r="AA524" s="634">
        <f t="shared" si="159"/>
        <v>2212.7104</v>
      </c>
      <c r="AC524" s="1329" t="s">
        <v>2161</v>
      </c>
      <c r="AD524" s="633" t="s">
        <v>280</v>
      </c>
      <c r="AE524" s="662" t="s">
        <v>82</v>
      </c>
      <c r="AF524" s="662"/>
      <c r="AG524" s="662"/>
      <c r="AH524" s="662"/>
      <c r="AI524" s="662">
        <v>512</v>
      </c>
      <c r="AJ524" s="664">
        <f t="shared" si="160"/>
        <v>0</v>
      </c>
      <c r="AK524" s="662"/>
      <c r="AL524" s="662"/>
      <c r="AM524" s="663"/>
      <c r="AN524" s="663">
        <f t="shared" si="150"/>
        <v>512</v>
      </c>
      <c r="AO524" s="1328"/>
      <c r="AP524" s="1328"/>
      <c r="AQ524" s="1328"/>
      <c r="AR524" s="663">
        <f t="shared" si="163"/>
        <v>512</v>
      </c>
      <c r="AS524" s="663"/>
      <c r="AT524" s="663"/>
      <c r="AU524" s="663">
        <f t="shared" si="161"/>
        <v>512</v>
      </c>
      <c r="AV524" s="1328"/>
      <c r="AW524" s="663">
        <f t="shared" si="162"/>
        <v>512</v>
      </c>
      <c r="AX524" s="663"/>
      <c r="AY524" s="1328"/>
      <c r="AZ524" s="687"/>
      <c r="BA524" s="687"/>
      <c r="BB524" s="687"/>
      <c r="BC524" s="687"/>
      <c r="BD524" s="687"/>
      <c r="BE524" s="663"/>
      <c r="BF524" s="1328"/>
      <c r="BG524" s="1328"/>
      <c r="BH524" s="825">
        <f t="shared" si="164"/>
        <v>128</v>
      </c>
      <c r="BI524" s="663"/>
      <c r="BJ524" s="1328"/>
      <c r="BK524" s="1328"/>
      <c r="BL524" s="1328"/>
      <c r="BM524" s="663"/>
      <c r="BN524" s="663"/>
      <c r="BO524" s="1328"/>
      <c r="BP524" s="1328"/>
      <c r="BQ524" s="1265"/>
      <c r="BR524" s="1265"/>
      <c r="BS524" s="1265"/>
      <c r="BT524" s="1265"/>
      <c r="BU524" s="1265"/>
      <c r="BV524" s="1265"/>
      <c r="BW524" s="1265"/>
      <c r="BX524" s="1265"/>
      <c r="BY524" s="1265"/>
      <c r="BZ524" s="1265"/>
      <c r="CA524" s="1265"/>
      <c r="CB524" s="1265"/>
      <c r="CC524" s="1265"/>
      <c r="CD524" s="1265"/>
      <c r="CE524" s="1265"/>
      <c r="CF524" s="1265"/>
      <c r="CG524" s="1265"/>
      <c r="CH524" s="669"/>
      <c r="CI524" s="669"/>
      <c r="CJ524" s="669"/>
      <c r="CK524" s="669"/>
      <c r="CL524" s="669"/>
      <c r="CM524" s="1265"/>
      <c r="CN524" s="1265"/>
      <c r="CO524" s="1265"/>
      <c r="CP524" s="669"/>
      <c r="CQ524" s="669"/>
      <c r="CR524" s="669"/>
      <c r="CS524" s="669"/>
      <c r="CT524" s="669"/>
      <c r="CU524" s="669"/>
    </row>
    <row r="525" s="1265" customFormat="1" ht="31" customHeight="1" spans="1:99">
      <c r="A525" s="660">
        <v>45912</v>
      </c>
      <c r="B525" s="661" t="s">
        <v>404</v>
      </c>
      <c r="C525" s="662" t="s">
        <v>278</v>
      </c>
      <c r="D525" s="663">
        <v>4500179424</v>
      </c>
      <c r="E525" s="662">
        <v>122989</v>
      </c>
      <c r="F525" s="663" t="s">
        <v>2162</v>
      </c>
      <c r="G525" s="659" t="s">
        <v>68</v>
      </c>
      <c r="H525" s="633" t="s">
        <v>69</v>
      </c>
      <c r="I525" s="662">
        <v>504</v>
      </c>
      <c r="J525" s="662">
        <v>0</v>
      </c>
      <c r="K525" s="662">
        <v>12</v>
      </c>
      <c r="L525" s="665">
        <f t="shared" si="158"/>
        <v>42</v>
      </c>
      <c r="M525" s="666">
        <v>45978</v>
      </c>
      <c r="N525" s="666">
        <v>45974</v>
      </c>
      <c r="O525" s="664"/>
      <c r="P525" s="824" t="s">
        <v>113</v>
      </c>
      <c r="Q525" s="667"/>
      <c r="R525" s="667">
        <v>45912</v>
      </c>
      <c r="S525" s="667" t="s">
        <v>70</v>
      </c>
      <c r="T525" s="667" t="s">
        <v>2163</v>
      </c>
      <c r="U525" s="667"/>
      <c r="V525" s="661"/>
      <c r="W525" s="661"/>
      <c r="X525" s="1321" t="s">
        <v>2164</v>
      </c>
      <c r="Y525" s="634" t="s">
        <v>505</v>
      </c>
      <c r="Z525" s="1318">
        <v>4.2386</v>
      </c>
      <c r="AA525" s="634">
        <f t="shared" si="159"/>
        <v>2136.2544</v>
      </c>
      <c r="AC525" s="638" t="s">
        <v>2165</v>
      </c>
      <c r="AD525" s="633" t="s">
        <v>68</v>
      </c>
      <c r="AE525" s="662" t="s">
        <v>82</v>
      </c>
      <c r="AF525" s="662"/>
      <c r="AG525" s="662"/>
      <c r="AH525" s="662"/>
      <c r="AI525" s="662">
        <v>504</v>
      </c>
      <c r="AJ525" s="664">
        <f t="shared" si="160"/>
        <v>0</v>
      </c>
      <c r="AK525" s="662"/>
      <c r="AL525" s="662"/>
      <c r="AM525" s="663"/>
      <c r="AN525" s="663">
        <f t="shared" si="150"/>
        <v>504</v>
      </c>
      <c r="AO525" s="1328"/>
      <c r="AP525" s="1328"/>
      <c r="AQ525" s="1328"/>
      <c r="AR525" s="663">
        <f t="shared" si="163"/>
        <v>504</v>
      </c>
      <c r="AS525" s="663"/>
      <c r="AT525" s="663"/>
      <c r="AU525" s="663">
        <f t="shared" si="161"/>
        <v>504</v>
      </c>
      <c r="AV525" s="1328"/>
      <c r="AW525" s="663">
        <f t="shared" ref="AW518:AW539" si="165">I525</f>
        <v>504</v>
      </c>
      <c r="AX525" s="663"/>
      <c r="AY525" s="1328"/>
      <c r="AZ525" s="687"/>
      <c r="BA525" s="687"/>
      <c r="BB525" s="687"/>
      <c r="BC525" s="687"/>
      <c r="BD525" s="687"/>
      <c r="BE525" s="663"/>
      <c r="BF525" s="663"/>
      <c r="BG525" s="663"/>
      <c r="BH525" s="663"/>
      <c r="BI525" s="663"/>
      <c r="BJ525" s="1328"/>
      <c r="BK525" s="1328"/>
      <c r="BL525" s="1328"/>
      <c r="BM525" s="663"/>
      <c r="BN525" s="663"/>
      <c r="BO525" s="1328"/>
      <c r="BP525" s="1328"/>
      <c r="BQ525" s="1265"/>
      <c r="BR525" s="1265"/>
      <c r="BS525" s="1265"/>
      <c r="BT525" s="1265"/>
      <c r="BU525" s="1265"/>
      <c r="BV525" s="1265"/>
      <c r="BW525" s="1265"/>
      <c r="BX525" s="1265"/>
      <c r="BY525" s="1265"/>
      <c r="BZ525" s="1265"/>
      <c r="CA525" s="1265"/>
      <c r="CB525" s="1265"/>
      <c r="CC525" s="1265"/>
      <c r="CD525" s="1265"/>
      <c r="CE525" s="1265"/>
      <c r="CF525" s="1265"/>
      <c r="CG525" s="1265"/>
      <c r="CH525" s="669"/>
      <c r="CI525" s="669"/>
      <c r="CJ525" s="669"/>
      <c r="CK525" s="669"/>
      <c r="CL525" s="669"/>
      <c r="CM525" s="1265"/>
      <c r="CN525" s="1265"/>
      <c r="CO525" s="1265"/>
      <c r="CP525" s="669"/>
      <c r="CQ525" s="669"/>
      <c r="CR525" s="669"/>
      <c r="CS525" s="669"/>
      <c r="CT525" s="669"/>
      <c r="CU525" s="669"/>
    </row>
    <row r="526" s="1265" customFormat="1" ht="31" customHeight="1" spans="1:99">
      <c r="A526" s="660">
        <v>45891</v>
      </c>
      <c r="B526" s="661" t="s">
        <v>205</v>
      </c>
      <c r="C526" s="662" t="s">
        <v>98</v>
      </c>
      <c r="D526" s="663">
        <v>4500177588</v>
      </c>
      <c r="E526" s="662">
        <v>218057645</v>
      </c>
      <c r="F526" s="663" t="s">
        <v>2166</v>
      </c>
      <c r="G526" s="659" t="s">
        <v>207</v>
      </c>
      <c r="H526" s="662" t="s">
        <v>102</v>
      </c>
      <c r="I526" s="662">
        <v>1952</v>
      </c>
      <c r="J526" s="662">
        <v>0</v>
      </c>
      <c r="K526" s="662">
        <v>4</v>
      </c>
      <c r="L526" s="665">
        <f t="shared" si="158"/>
        <v>488</v>
      </c>
      <c r="M526" s="666">
        <v>45979</v>
      </c>
      <c r="N526" s="666">
        <v>45975</v>
      </c>
      <c r="O526" s="664"/>
      <c r="P526" s="824" t="s">
        <v>113</v>
      </c>
      <c r="Q526" s="667"/>
      <c r="R526" s="667">
        <v>45940</v>
      </c>
      <c r="S526" s="667" t="s">
        <v>70</v>
      </c>
      <c r="T526" s="667" t="s">
        <v>70</v>
      </c>
      <c r="U526" s="667"/>
      <c r="V526" s="661"/>
      <c r="W526" s="661"/>
      <c r="X526" s="661" t="s">
        <v>208</v>
      </c>
      <c r="Y526" s="634" t="s">
        <v>2003</v>
      </c>
      <c r="Z526" s="1318">
        <v>2.6096</v>
      </c>
      <c r="AA526" s="634">
        <f t="shared" si="159"/>
        <v>5093.9392</v>
      </c>
      <c r="AC526" s="638" t="s">
        <v>2167</v>
      </c>
      <c r="AD526" s="633" t="s">
        <v>207</v>
      </c>
      <c r="AE526" s="662" t="s">
        <v>82</v>
      </c>
      <c r="AF526" s="662"/>
      <c r="AG526" s="662"/>
      <c r="AH526" s="662"/>
      <c r="AI526" s="662">
        <v>1952</v>
      </c>
      <c r="AJ526" s="664">
        <f t="shared" si="160"/>
        <v>0</v>
      </c>
      <c r="AK526" s="662"/>
      <c r="AL526" s="662"/>
      <c r="AM526" s="663"/>
      <c r="AN526" s="663">
        <f t="shared" si="150"/>
        <v>1952</v>
      </c>
      <c r="AO526" s="1328"/>
      <c r="AP526" s="1328"/>
      <c r="AQ526" s="1328"/>
      <c r="AR526" s="663">
        <f t="shared" si="163"/>
        <v>1952</v>
      </c>
      <c r="AS526" s="663"/>
      <c r="AT526" s="663"/>
      <c r="AU526" s="663">
        <f t="shared" si="161"/>
        <v>1952</v>
      </c>
      <c r="AV526" s="1328"/>
      <c r="AW526" s="663">
        <f t="shared" si="165"/>
        <v>1952</v>
      </c>
      <c r="AX526" s="663"/>
      <c r="AY526" s="1328"/>
      <c r="AZ526" s="687"/>
      <c r="BA526" s="687"/>
      <c r="BB526" s="687"/>
      <c r="BC526" s="687"/>
      <c r="BD526" s="687"/>
      <c r="BE526" s="663"/>
      <c r="BF526" s="1328"/>
      <c r="BG526" s="1328"/>
      <c r="BH526" s="663"/>
      <c r="BI526" s="663"/>
      <c r="BJ526" s="1328"/>
      <c r="BK526" s="1328"/>
      <c r="BL526" s="1328"/>
      <c r="BM526" s="663"/>
      <c r="BN526" s="663"/>
      <c r="BO526" s="1328"/>
      <c r="BP526" s="1328"/>
      <c r="BQ526" s="1265"/>
      <c r="BR526" s="1265"/>
      <c r="BS526" s="1265"/>
      <c r="BT526" s="1265"/>
      <c r="BU526" s="1265"/>
      <c r="BV526" s="1265"/>
      <c r="BW526" s="1265"/>
      <c r="BX526" s="1265"/>
      <c r="BY526" s="1265"/>
      <c r="BZ526" s="1265"/>
      <c r="CA526" s="1265"/>
      <c r="CB526" s="1265"/>
      <c r="CC526" s="1265"/>
      <c r="CD526" s="1265"/>
      <c r="CE526" s="1265"/>
      <c r="CF526" s="1265"/>
      <c r="CG526" s="1265"/>
      <c r="CH526" s="669"/>
      <c r="CI526" s="669"/>
      <c r="CJ526" s="669"/>
      <c r="CK526" s="669"/>
      <c r="CL526" s="669"/>
      <c r="CM526" s="1265"/>
      <c r="CN526" s="1265"/>
      <c r="CO526" s="1265"/>
      <c r="CP526" s="669"/>
      <c r="CQ526" s="669"/>
      <c r="CR526" s="669"/>
      <c r="CS526" s="669"/>
      <c r="CT526" s="669"/>
      <c r="CU526" s="669"/>
    </row>
    <row r="527" s="1265" customFormat="1" ht="31" customHeight="1" spans="1:99">
      <c r="A527" s="660">
        <v>45891</v>
      </c>
      <c r="B527" s="661" t="s">
        <v>205</v>
      </c>
      <c r="C527" s="662" t="s">
        <v>98</v>
      </c>
      <c r="D527" s="663">
        <v>4500177589</v>
      </c>
      <c r="E527" s="662">
        <v>218057656</v>
      </c>
      <c r="F527" s="663" t="s">
        <v>2168</v>
      </c>
      <c r="G527" s="659" t="s">
        <v>207</v>
      </c>
      <c r="H527" s="662" t="s">
        <v>102</v>
      </c>
      <c r="I527" s="662">
        <v>1048</v>
      </c>
      <c r="J527" s="662">
        <v>0</v>
      </c>
      <c r="K527" s="662">
        <v>4</v>
      </c>
      <c r="L527" s="665">
        <f t="shared" si="158"/>
        <v>262</v>
      </c>
      <c r="M527" s="666">
        <v>45979</v>
      </c>
      <c r="N527" s="666">
        <v>45975</v>
      </c>
      <c r="O527" s="664"/>
      <c r="P527" s="824" t="s">
        <v>113</v>
      </c>
      <c r="Q527" s="667"/>
      <c r="R527" s="667">
        <v>45940</v>
      </c>
      <c r="S527" s="667" t="s">
        <v>70</v>
      </c>
      <c r="T527" s="667" t="s">
        <v>70</v>
      </c>
      <c r="U527" s="667"/>
      <c r="V527" s="661"/>
      <c r="W527" s="661"/>
      <c r="X527" s="661" t="s">
        <v>208</v>
      </c>
      <c r="Y527" s="634" t="s">
        <v>2003</v>
      </c>
      <c r="Z527" s="1318">
        <v>2.6096</v>
      </c>
      <c r="AA527" s="634">
        <f t="shared" si="159"/>
        <v>2734.8608</v>
      </c>
      <c r="AC527" s="638" t="s">
        <v>2169</v>
      </c>
      <c r="AD527" s="633" t="s">
        <v>207</v>
      </c>
      <c r="AE527" s="662" t="s">
        <v>82</v>
      </c>
      <c r="AF527" s="662"/>
      <c r="AG527" s="662"/>
      <c r="AH527" s="662"/>
      <c r="AI527" s="662">
        <v>1048</v>
      </c>
      <c r="AJ527" s="664">
        <f t="shared" si="160"/>
        <v>0</v>
      </c>
      <c r="AK527" s="662"/>
      <c r="AL527" s="662"/>
      <c r="AM527" s="663"/>
      <c r="AN527" s="663">
        <f t="shared" si="150"/>
        <v>1048</v>
      </c>
      <c r="AO527" s="1328"/>
      <c r="AP527" s="1328"/>
      <c r="AQ527" s="1328"/>
      <c r="AR527" s="663">
        <f t="shared" si="163"/>
        <v>1048</v>
      </c>
      <c r="AS527" s="663"/>
      <c r="AT527" s="663"/>
      <c r="AU527" s="663">
        <f t="shared" si="161"/>
        <v>1048</v>
      </c>
      <c r="AV527" s="1328"/>
      <c r="AW527" s="663">
        <f t="shared" si="165"/>
        <v>1048</v>
      </c>
      <c r="AX527" s="663"/>
      <c r="AY527" s="1328"/>
      <c r="AZ527" s="563"/>
      <c r="BA527" s="563"/>
      <c r="BB527" s="563"/>
      <c r="BC527" s="563"/>
      <c r="BD527" s="563"/>
      <c r="BE527" s="663"/>
      <c r="BF527" s="1328"/>
      <c r="BG527" s="1328"/>
      <c r="BH527" s="663"/>
      <c r="BI527" s="663"/>
      <c r="BJ527" s="1328"/>
      <c r="BK527" s="1328"/>
      <c r="BL527" s="1328"/>
      <c r="BM527" s="663"/>
      <c r="BN527" s="663"/>
      <c r="BO527" s="1328"/>
      <c r="BP527" s="1328"/>
      <c r="BQ527" s="1265"/>
      <c r="BR527" s="1265"/>
      <c r="BS527" s="1265"/>
      <c r="BT527" s="1265"/>
      <c r="BU527" s="1265"/>
      <c r="BV527" s="1265"/>
      <c r="BW527" s="1265"/>
      <c r="BX527" s="1265"/>
      <c r="BY527" s="1265"/>
      <c r="BZ527" s="1265"/>
      <c r="CA527" s="1265"/>
      <c r="CB527" s="1265"/>
      <c r="CC527" s="1265"/>
      <c r="CD527" s="1265"/>
      <c r="CE527" s="1265"/>
      <c r="CF527" s="1265"/>
      <c r="CG527" s="1265"/>
      <c r="CH527" s="669"/>
      <c r="CI527" s="669"/>
      <c r="CJ527" s="669"/>
      <c r="CK527" s="669"/>
      <c r="CL527" s="669"/>
      <c r="CM527" s="1265"/>
      <c r="CN527" s="1265"/>
      <c r="CO527" s="1265"/>
      <c r="CP527" s="669"/>
      <c r="CQ527" s="669"/>
      <c r="CR527" s="669"/>
      <c r="CS527" s="669"/>
      <c r="CT527" s="669"/>
      <c r="CU527" s="669"/>
    </row>
    <row r="528" s="1265" customFormat="1" ht="31" customHeight="1" spans="1:99">
      <c r="A528" s="660">
        <v>45912</v>
      </c>
      <c r="B528" s="661" t="s">
        <v>1332</v>
      </c>
      <c r="C528" s="662" t="s">
        <v>590</v>
      </c>
      <c r="D528" s="1319">
        <v>4500180194</v>
      </c>
      <c r="E528" s="662"/>
      <c r="F528" s="663" t="s">
        <v>2170</v>
      </c>
      <c r="G528" s="659" t="s">
        <v>68</v>
      </c>
      <c r="H528" s="633" t="s">
        <v>69</v>
      </c>
      <c r="I528" s="662">
        <v>1008</v>
      </c>
      <c r="J528" s="662">
        <v>0</v>
      </c>
      <c r="K528" s="662">
        <v>12</v>
      </c>
      <c r="L528" s="665">
        <f t="shared" si="158"/>
        <v>84</v>
      </c>
      <c r="M528" s="1320">
        <v>45979</v>
      </c>
      <c r="N528" s="1320">
        <v>45975</v>
      </c>
      <c r="O528" s="664"/>
      <c r="P528" s="824" t="s">
        <v>113</v>
      </c>
      <c r="Q528" s="667"/>
      <c r="R528" s="667">
        <v>45923</v>
      </c>
      <c r="S528" s="667" t="s">
        <v>70</v>
      </c>
      <c r="T528" s="667" t="s">
        <v>2171</v>
      </c>
      <c r="U528" s="667"/>
      <c r="V528" s="661"/>
      <c r="W528" s="661"/>
      <c r="X528" s="1321" t="s">
        <v>2172</v>
      </c>
      <c r="Y528" s="634" t="s">
        <v>230</v>
      </c>
      <c r="Z528" s="1318">
        <v>4.18</v>
      </c>
      <c r="AA528" s="634">
        <f t="shared" si="159"/>
        <v>4213.44</v>
      </c>
      <c r="AC528" s="638" t="s">
        <v>2173</v>
      </c>
      <c r="AD528" s="633" t="s">
        <v>68</v>
      </c>
      <c r="AE528" s="662" t="s">
        <v>82</v>
      </c>
      <c r="AF528" s="662"/>
      <c r="AG528" s="662"/>
      <c r="AH528" s="662"/>
      <c r="AI528" s="662">
        <v>1008</v>
      </c>
      <c r="AJ528" s="664">
        <f t="shared" si="160"/>
        <v>0</v>
      </c>
      <c r="AK528" s="662"/>
      <c r="AL528" s="662"/>
      <c r="AM528" s="663"/>
      <c r="AN528" s="663">
        <f t="shared" si="150"/>
        <v>1008</v>
      </c>
      <c r="AO528" s="1328"/>
      <c r="AP528" s="1328"/>
      <c r="AQ528" s="1328"/>
      <c r="AR528" s="663">
        <f t="shared" si="163"/>
        <v>1008</v>
      </c>
      <c r="AS528" s="663"/>
      <c r="AT528" s="663"/>
      <c r="AU528" s="663">
        <f t="shared" si="161"/>
        <v>1008</v>
      </c>
      <c r="AV528" s="1328"/>
      <c r="AW528" s="663">
        <f t="shared" si="165"/>
        <v>1008</v>
      </c>
      <c r="AX528" s="671"/>
      <c r="AY528" s="1328"/>
      <c r="AZ528" s="687"/>
      <c r="BA528" s="687"/>
      <c r="BB528" s="687"/>
      <c r="BC528" s="687"/>
      <c r="BD528" s="687"/>
      <c r="BE528" s="663"/>
      <c r="BF528" s="1328"/>
      <c r="BG528" s="1328"/>
      <c r="BH528" s="663"/>
      <c r="BI528" s="663"/>
      <c r="BJ528" s="1328"/>
      <c r="BK528" s="1328"/>
      <c r="BL528" s="1328"/>
      <c r="BM528" s="663"/>
      <c r="BN528" s="663"/>
      <c r="BO528" s="1328"/>
      <c r="BP528" s="1328"/>
      <c r="BQ528" s="1265"/>
      <c r="BR528" s="1265"/>
      <c r="BS528" s="1265"/>
      <c r="BT528" s="1265"/>
      <c r="BU528" s="1265"/>
      <c r="BV528" s="1265"/>
      <c r="BW528" s="1265"/>
      <c r="BX528" s="1265"/>
      <c r="BY528" s="1265"/>
      <c r="BZ528" s="1265"/>
      <c r="CA528" s="1265"/>
      <c r="CB528" s="1265"/>
      <c r="CC528" s="1265"/>
      <c r="CD528" s="1265"/>
      <c r="CE528" s="1265"/>
      <c r="CF528" s="1265"/>
      <c r="CG528" s="1265"/>
      <c r="CH528" s="669"/>
      <c r="CI528" s="669"/>
      <c r="CJ528" s="669"/>
      <c r="CK528" s="669"/>
      <c r="CL528" s="669"/>
      <c r="CM528" s="1265"/>
      <c r="CN528" s="1265"/>
      <c r="CO528" s="1265"/>
      <c r="CP528" s="669"/>
      <c r="CQ528" s="669"/>
      <c r="CR528" s="669"/>
      <c r="CS528" s="669"/>
      <c r="CT528" s="669"/>
      <c r="CU528" s="669"/>
    </row>
    <row r="529" s="1265" customFormat="1" ht="31" customHeight="1" spans="1:99">
      <c r="A529" s="660">
        <v>45912</v>
      </c>
      <c r="B529" s="661" t="s">
        <v>1332</v>
      </c>
      <c r="C529" s="662" t="s">
        <v>590</v>
      </c>
      <c r="D529" s="1319">
        <v>4500180194</v>
      </c>
      <c r="E529" s="662"/>
      <c r="F529" s="663" t="s">
        <v>2174</v>
      </c>
      <c r="G529" s="659" t="s">
        <v>68</v>
      </c>
      <c r="H529" s="633" t="s">
        <v>69</v>
      </c>
      <c r="I529" s="662">
        <v>804</v>
      </c>
      <c r="J529" s="662">
        <v>0</v>
      </c>
      <c r="K529" s="662">
        <v>12</v>
      </c>
      <c r="L529" s="665">
        <f t="shared" si="158"/>
        <v>67</v>
      </c>
      <c r="M529" s="1320">
        <v>45979</v>
      </c>
      <c r="N529" s="1320">
        <v>45975</v>
      </c>
      <c r="O529" s="664"/>
      <c r="P529" s="824" t="s">
        <v>113</v>
      </c>
      <c r="Q529" s="667"/>
      <c r="R529" s="667">
        <v>45923</v>
      </c>
      <c r="S529" s="667" t="s">
        <v>70</v>
      </c>
      <c r="T529" s="667" t="s">
        <v>2171</v>
      </c>
      <c r="U529" s="667"/>
      <c r="V529" s="661"/>
      <c r="W529" s="661"/>
      <c r="X529" s="1321" t="s">
        <v>2172</v>
      </c>
      <c r="Y529" s="634" t="s">
        <v>230</v>
      </c>
      <c r="Z529" s="1318">
        <v>4.18</v>
      </c>
      <c r="AA529" s="634">
        <f t="shared" si="159"/>
        <v>3360.72</v>
      </c>
      <c r="AC529" s="638" t="s">
        <v>2173</v>
      </c>
      <c r="AD529" s="633" t="s">
        <v>68</v>
      </c>
      <c r="AE529" s="662" t="s">
        <v>82</v>
      </c>
      <c r="AF529" s="662"/>
      <c r="AG529" s="662"/>
      <c r="AH529" s="662"/>
      <c r="AI529" s="662">
        <v>804</v>
      </c>
      <c r="AJ529" s="664">
        <f t="shared" si="160"/>
        <v>0</v>
      </c>
      <c r="AK529" s="662"/>
      <c r="AL529" s="662"/>
      <c r="AM529" s="663"/>
      <c r="AN529" s="663">
        <f t="shared" si="150"/>
        <v>804</v>
      </c>
      <c r="AO529" s="1328"/>
      <c r="AP529" s="1328"/>
      <c r="AQ529" s="1328"/>
      <c r="AR529" s="663">
        <f t="shared" si="163"/>
        <v>804</v>
      </c>
      <c r="AS529" s="663"/>
      <c r="AT529" s="663"/>
      <c r="AU529" s="663">
        <f t="shared" si="161"/>
        <v>804</v>
      </c>
      <c r="AV529" s="1328"/>
      <c r="AW529" s="663">
        <f t="shared" si="165"/>
        <v>804</v>
      </c>
      <c r="AX529" s="671"/>
      <c r="AY529" s="1328"/>
      <c r="AZ529" s="687"/>
      <c r="BA529" s="687"/>
      <c r="BB529" s="687"/>
      <c r="BC529" s="687"/>
      <c r="BD529" s="687"/>
      <c r="BE529" s="663"/>
      <c r="BF529" s="1328"/>
      <c r="BG529" s="1328"/>
      <c r="BH529" s="663"/>
      <c r="BI529" s="663"/>
      <c r="BJ529" s="1328"/>
      <c r="BK529" s="1328"/>
      <c r="BL529" s="1328"/>
      <c r="BM529" s="663"/>
      <c r="BN529" s="663"/>
      <c r="BO529" s="1328"/>
      <c r="BP529" s="1328"/>
      <c r="BQ529" s="1265"/>
      <c r="BR529" s="1265"/>
      <c r="BS529" s="1265"/>
      <c r="BT529" s="1265"/>
      <c r="BU529" s="1265"/>
      <c r="BV529" s="1265"/>
      <c r="BW529" s="1265"/>
      <c r="BX529" s="1265"/>
      <c r="BY529" s="1265"/>
      <c r="BZ529" s="1265"/>
      <c r="CA529" s="1265"/>
      <c r="CB529" s="1265"/>
      <c r="CC529" s="1265"/>
      <c r="CD529" s="1265"/>
      <c r="CE529" s="1265"/>
      <c r="CF529" s="1265"/>
      <c r="CG529" s="1265"/>
      <c r="CH529" s="669"/>
      <c r="CI529" s="669"/>
      <c r="CJ529" s="669"/>
      <c r="CK529" s="669"/>
      <c r="CL529" s="669"/>
      <c r="CM529" s="1265"/>
      <c r="CN529" s="1265"/>
      <c r="CO529" s="1265"/>
      <c r="CP529" s="669"/>
      <c r="CQ529" s="669"/>
      <c r="CR529" s="669"/>
      <c r="CS529" s="669"/>
      <c r="CT529" s="669"/>
      <c r="CU529" s="669"/>
    </row>
    <row r="530" s="1265" customFormat="1" ht="31" customHeight="1" spans="1:99">
      <c r="A530" s="660">
        <v>45919</v>
      </c>
      <c r="B530" s="661" t="s">
        <v>606</v>
      </c>
      <c r="C530" s="662" t="s">
        <v>399</v>
      </c>
      <c r="D530" s="663">
        <v>4500179936</v>
      </c>
      <c r="E530" s="662">
        <v>2236250204</v>
      </c>
      <c r="F530" s="663" t="s">
        <v>2175</v>
      </c>
      <c r="G530" s="659" t="s">
        <v>68</v>
      </c>
      <c r="H530" s="633" t="s">
        <v>69</v>
      </c>
      <c r="I530" s="662">
        <v>5004</v>
      </c>
      <c r="J530" s="662">
        <v>0</v>
      </c>
      <c r="K530" s="662">
        <v>12</v>
      </c>
      <c r="L530" s="665">
        <f t="shared" si="158"/>
        <v>417</v>
      </c>
      <c r="M530" s="666">
        <v>45981</v>
      </c>
      <c r="N530" s="666">
        <v>45977</v>
      </c>
      <c r="O530" s="664"/>
      <c r="P530" s="824" t="s">
        <v>113</v>
      </c>
      <c r="Q530" s="667"/>
      <c r="R530" s="667">
        <v>45940</v>
      </c>
      <c r="S530" s="667" t="s">
        <v>70</v>
      </c>
      <c r="T530" s="667" t="s">
        <v>457</v>
      </c>
      <c r="U530" s="667"/>
      <c r="V530" s="661"/>
      <c r="W530" s="661"/>
      <c r="X530" s="661" t="s">
        <v>2176</v>
      </c>
      <c r="Y530" s="634" t="s">
        <v>445</v>
      </c>
      <c r="Z530" s="1318">
        <v>4.2333</v>
      </c>
      <c r="AA530" s="634">
        <f t="shared" si="159"/>
        <v>21183.4332</v>
      </c>
      <c r="AC530" s="638" t="s">
        <v>2177</v>
      </c>
      <c r="AD530" s="633" t="s">
        <v>184</v>
      </c>
      <c r="AE530" s="662" t="s">
        <v>82</v>
      </c>
      <c r="AF530" s="662"/>
      <c r="AG530" s="662"/>
      <c r="AH530" s="662"/>
      <c r="AI530" s="662">
        <v>5004</v>
      </c>
      <c r="AJ530" s="664">
        <f t="shared" ref="AJ530:AJ583" si="166">AI530-I530</f>
        <v>0</v>
      </c>
      <c r="AK530" s="662"/>
      <c r="AL530" s="662"/>
      <c r="AM530" s="663"/>
      <c r="AN530" s="663">
        <f t="shared" si="150"/>
        <v>5004</v>
      </c>
      <c r="AO530" s="1328"/>
      <c r="AP530" s="1328"/>
      <c r="AQ530" s="1328"/>
      <c r="AR530" s="663"/>
      <c r="AS530" s="663">
        <f>I530</f>
        <v>5004</v>
      </c>
      <c r="AT530" s="663"/>
      <c r="AU530" s="663">
        <f t="shared" si="161"/>
        <v>5004</v>
      </c>
      <c r="AV530" s="1328"/>
      <c r="AW530" s="663">
        <f t="shared" si="165"/>
        <v>5004</v>
      </c>
      <c r="AX530" s="663"/>
      <c r="AY530" s="1328"/>
      <c r="AZ530" s="687"/>
      <c r="BA530" s="687"/>
      <c r="BB530" s="687"/>
      <c r="BC530" s="687"/>
      <c r="BD530" s="687"/>
      <c r="BE530" s="663"/>
      <c r="BF530" s="1328"/>
      <c r="BG530" s="1328"/>
      <c r="BH530" s="663"/>
      <c r="BI530" s="663"/>
      <c r="BJ530" s="1328"/>
      <c r="BK530" s="1328"/>
      <c r="BL530" s="1328"/>
      <c r="BM530" s="663"/>
      <c r="BN530" s="663"/>
      <c r="BO530" s="1328"/>
      <c r="BP530" s="1328"/>
      <c r="BQ530" s="1265"/>
      <c r="BR530" s="1265"/>
      <c r="BS530" s="1265"/>
      <c r="BT530" s="1265"/>
      <c r="BU530" s="1265"/>
      <c r="BV530" s="1265"/>
      <c r="BW530" s="1265"/>
      <c r="BX530" s="1265"/>
      <c r="BY530" s="1265"/>
      <c r="BZ530" s="1265"/>
      <c r="CA530" s="1265"/>
      <c r="CB530" s="1265"/>
      <c r="CC530" s="1265"/>
      <c r="CD530" s="1265"/>
      <c r="CE530" s="1265"/>
      <c r="CF530" s="1265"/>
      <c r="CG530" s="1265"/>
      <c r="CH530" s="669"/>
      <c r="CI530" s="669"/>
      <c r="CJ530" s="669"/>
      <c r="CK530" s="669"/>
      <c r="CL530" s="669"/>
      <c r="CM530" s="1265"/>
      <c r="CN530" s="1265"/>
      <c r="CO530" s="1265"/>
      <c r="CP530" s="669"/>
      <c r="CQ530" s="669"/>
      <c r="CR530" s="669"/>
      <c r="CS530" s="669"/>
      <c r="CT530" s="669"/>
      <c r="CU530" s="669"/>
    </row>
    <row r="531" s="1265" customFormat="1" ht="31" customHeight="1" spans="1:99">
      <c r="A531" s="660">
        <v>45929</v>
      </c>
      <c r="B531" s="661" t="s">
        <v>379</v>
      </c>
      <c r="C531" s="662" t="s">
        <v>98</v>
      </c>
      <c r="D531" s="663">
        <v>4500177771</v>
      </c>
      <c r="E531" s="662" t="s">
        <v>2178</v>
      </c>
      <c r="F531" s="663" t="s">
        <v>2179</v>
      </c>
      <c r="G531" s="659" t="s">
        <v>111</v>
      </c>
      <c r="H531" s="662" t="s">
        <v>112</v>
      </c>
      <c r="I531" s="662">
        <v>2080</v>
      </c>
      <c r="J531" s="662">
        <v>0</v>
      </c>
      <c r="K531" s="662">
        <v>16</v>
      </c>
      <c r="L531" s="665">
        <f t="shared" si="158"/>
        <v>130</v>
      </c>
      <c r="M531" s="666">
        <v>45981</v>
      </c>
      <c r="N531" s="666">
        <v>45977</v>
      </c>
      <c r="O531" s="664"/>
      <c r="P531" s="824" t="s">
        <v>113</v>
      </c>
      <c r="Q531" s="667"/>
      <c r="R531" s="667">
        <v>45940</v>
      </c>
      <c r="S531" s="667" t="s">
        <v>70</v>
      </c>
      <c r="T531" s="667" t="s">
        <v>70</v>
      </c>
      <c r="U531" s="667"/>
      <c r="V531" s="661"/>
      <c r="W531" s="661"/>
      <c r="X531" s="661" t="s">
        <v>1780</v>
      </c>
      <c r="Y531" s="634" t="s">
        <v>1781</v>
      </c>
      <c r="Z531" s="1318">
        <v>2.5525</v>
      </c>
      <c r="AA531" s="634">
        <f t="shared" si="159"/>
        <v>5309.2</v>
      </c>
      <c r="AC531" s="638" t="s">
        <v>2180</v>
      </c>
      <c r="AD531" s="633" t="s">
        <v>111</v>
      </c>
      <c r="AE531" s="662" t="s">
        <v>82</v>
      </c>
      <c r="AF531" s="662"/>
      <c r="AG531" s="662"/>
      <c r="AH531" s="662"/>
      <c r="AI531" s="662">
        <v>2080</v>
      </c>
      <c r="AJ531" s="664">
        <f t="shared" si="166"/>
        <v>0</v>
      </c>
      <c r="AK531" s="662"/>
      <c r="AL531" s="662"/>
      <c r="AM531" s="663"/>
      <c r="AN531" s="663">
        <f t="shared" si="150"/>
        <v>2080</v>
      </c>
      <c r="AO531" s="1328"/>
      <c r="AP531" s="1328"/>
      <c r="AQ531" s="1328"/>
      <c r="AR531" s="663">
        <f t="shared" ref="AR531:AR541" si="167">I531</f>
        <v>2080</v>
      </c>
      <c r="AS531" s="663"/>
      <c r="AT531" s="663"/>
      <c r="AU531" s="663">
        <f t="shared" si="161"/>
        <v>2080</v>
      </c>
      <c r="AV531" s="1328"/>
      <c r="AW531" s="663">
        <f t="shared" si="165"/>
        <v>2080</v>
      </c>
      <c r="AX531" s="663"/>
      <c r="AY531" s="1328"/>
      <c r="AZ531" s="563"/>
      <c r="BA531" s="563"/>
      <c r="BB531" s="563"/>
      <c r="BC531" s="563"/>
      <c r="BD531" s="563"/>
      <c r="BE531" s="663"/>
      <c r="BF531" s="1328"/>
      <c r="BG531" s="1328"/>
      <c r="BH531" s="825">
        <f>I531/4</f>
        <v>520</v>
      </c>
      <c r="BI531" s="663"/>
      <c r="BJ531" s="1328"/>
      <c r="BK531" s="1328"/>
      <c r="BL531" s="1328"/>
      <c r="BM531" s="663"/>
      <c r="BN531" s="663"/>
      <c r="BO531" s="1328"/>
      <c r="BP531" s="1328"/>
      <c r="BQ531" s="1265"/>
      <c r="BR531" s="1265"/>
      <c r="BS531" s="1265"/>
      <c r="BT531" s="1265"/>
      <c r="BU531" s="1265"/>
      <c r="BV531" s="1265"/>
      <c r="BW531" s="1265"/>
      <c r="BX531" s="1265"/>
      <c r="BY531" s="1265"/>
      <c r="BZ531" s="1265"/>
      <c r="CA531" s="1265"/>
      <c r="CB531" s="1265"/>
      <c r="CC531" s="1265"/>
      <c r="CD531" s="1265"/>
      <c r="CE531" s="1265"/>
      <c r="CF531" s="1265"/>
      <c r="CG531" s="1265"/>
      <c r="CH531" s="669"/>
      <c r="CI531" s="669"/>
      <c r="CJ531" s="669"/>
      <c r="CK531" s="669"/>
      <c r="CL531" s="669"/>
      <c r="CM531" s="1265"/>
      <c r="CN531" s="1265"/>
      <c r="CO531" s="1265"/>
      <c r="CP531" s="669"/>
      <c r="CQ531" s="669"/>
      <c r="CR531" s="669"/>
      <c r="CS531" s="669"/>
      <c r="CT531" s="669"/>
      <c r="CU531" s="669"/>
    </row>
    <row r="532" s="1265" customFormat="1" ht="31" customHeight="1" spans="1:99">
      <c r="A532" s="660">
        <v>45930</v>
      </c>
      <c r="B532" s="661" t="s">
        <v>143</v>
      </c>
      <c r="C532" s="662" t="s">
        <v>98</v>
      </c>
      <c r="D532" s="663">
        <v>4500181115</v>
      </c>
      <c r="E532" s="1414" t="s">
        <v>2181</v>
      </c>
      <c r="F532" s="663" t="s">
        <v>2182</v>
      </c>
      <c r="G532" s="659" t="s">
        <v>101</v>
      </c>
      <c r="H532" s="662" t="s">
        <v>102</v>
      </c>
      <c r="I532" s="662">
        <v>2240</v>
      </c>
      <c r="J532" s="662">
        <v>0</v>
      </c>
      <c r="K532" s="662">
        <v>4</v>
      </c>
      <c r="L532" s="665">
        <f t="shared" si="158"/>
        <v>560</v>
      </c>
      <c r="M532" s="666">
        <v>45981</v>
      </c>
      <c r="N532" s="666">
        <v>45977</v>
      </c>
      <c r="O532" s="674" t="s">
        <v>2183</v>
      </c>
      <c r="P532" s="824" t="s">
        <v>113</v>
      </c>
      <c r="Q532" s="667"/>
      <c r="R532" s="667" t="s">
        <v>2184</v>
      </c>
      <c r="S532" s="667" t="s">
        <v>70</v>
      </c>
      <c r="T532" s="667" t="s">
        <v>148</v>
      </c>
      <c r="U532" s="667"/>
      <c r="V532" s="667" t="s">
        <v>148</v>
      </c>
      <c r="W532" s="661"/>
      <c r="X532" s="661" t="s">
        <v>1395</v>
      </c>
      <c r="Y532" s="634" t="s">
        <v>106</v>
      </c>
      <c r="Z532" s="1318">
        <v>2.5656</v>
      </c>
      <c r="AA532" s="634">
        <f t="shared" si="159"/>
        <v>5746.944</v>
      </c>
      <c r="AB532" s="663"/>
      <c r="AC532" s="638" t="s">
        <v>2185</v>
      </c>
      <c r="AD532" s="633" t="s">
        <v>101</v>
      </c>
      <c r="AE532" s="662" t="s">
        <v>82</v>
      </c>
      <c r="AF532" s="662"/>
      <c r="AG532" s="662"/>
      <c r="AH532" s="662"/>
      <c r="AI532" s="662">
        <v>2240</v>
      </c>
      <c r="AJ532" s="662">
        <f t="shared" si="166"/>
        <v>0</v>
      </c>
      <c r="AK532" s="662"/>
      <c r="AL532" s="662"/>
      <c r="AM532" s="663"/>
      <c r="AN532" s="663">
        <f t="shared" si="150"/>
        <v>2240</v>
      </c>
      <c r="AO532" s="1328"/>
      <c r="AP532" s="1328"/>
      <c r="AQ532" s="1328"/>
      <c r="AR532" s="663">
        <f t="shared" si="167"/>
        <v>2240</v>
      </c>
      <c r="AS532" s="663"/>
      <c r="AT532" s="663"/>
      <c r="AU532" s="663">
        <f t="shared" si="161"/>
        <v>2240</v>
      </c>
      <c r="AV532" s="663"/>
      <c r="AW532" s="663">
        <f t="shared" si="165"/>
        <v>2240</v>
      </c>
      <c r="AX532" s="663"/>
      <c r="AY532" s="663"/>
      <c r="AZ532" s="687"/>
      <c r="BA532" s="687"/>
      <c r="BB532" s="687"/>
      <c r="BC532" s="687"/>
      <c r="BD532" s="687"/>
      <c r="BE532" s="663"/>
      <c r="BF532" s="663"/>
      <c r="BG532" s="663"/>
      <c r="BH532" s="825">
        <f>I532/4</f>
        <v>560</v>
      </c>
      <c r="BI532" s="663"/>
      <c r="BJ532" s="663"/>
      <c r="BK532" s="663"/>
      <c r="BL532" s="663"/>
      <c r="BM532" s="663"/>
      <c r="BN532" s="663"/>
      <c r="BO532" s="663"/>
      <c r="BP532" s="663"/>
      <c r="BQ532" s="663"/>
      <c r="BR532" s="663"/>
      <c r="BS532" s="663"/>
      <c r="BT532" s="663"/>
      <c r="BU532" s="663"/>
      <c r="BV532" s="663"/>
      <c r="BW532" s="663"/>
      <c r="BX532" s="663"/>
      <c r="BY532" s="663"/>
      <c r="BZ532" s="663"/>
      <c r="CA532" s="663"/>
      <c r="CB532" s="663"/>
      <c r="CC532" s="663"/>
      <c r="CD532" s="663"/>
      <c r="CE532" s="663"/>
      <c r="CF532" s="663"/>
      <c r="CG532" s="663"/>
      <c r="CH532" s="669"/>
      <c r="CI532" s="669"/>
      <c r="CJ532" s="669"/>
      <c r="CK532" s="669"/>
      <c r="CL532" s="669"/>
      <c r="CM532" s="663"/>
      <c r="CN532" s="663"/>
      <c r="CO532" s="663"/>
      <c r="CP532" s="669"/>
      <c r="CQ532" s="669"/>
      <c r="CR532" s="669"/>
      <c r="CS532" s="669"/>
      <c r="CT532" s="669"/>
      <c r="CU532" s="669"/>
    </row>
    <row r="533" s="1265" customFormat="1" ht="31" customHeight="1" spans="1:99">
      <c r="A533" s="660">
        <v>45930</v>
      </c>
      <c r="B533" s="661" t="s">
        <v>143</v>
      </c>
      <c r="C533" s="662" t="s">
        <v>98</v>
      </c>
      <c r="D533" s="663">
        <v>4500181115</v>
      </c>
      <c r="E533" s="1414" t="s">
        <v>2186</v>
      </c>
      <c r="F533" s="663" t="s">
        <v>2187</v>
      </c>
      <c r="G533" s="659" t="s">
        <v>101</v>
      </c>
      <c r="H533" s="662" t="s">
        <v>102</v>
      </c>
      <c r="I533" s="662">
        <v>2880</v>
      </c>
      <c r="J533" s="662">
        <v>0</v>
      </c>
      <c r="K533" s="662">
        <v>4</v>
      </c>
      <c r="L533" s="665">
        <f t="shared" si="158"/>
        <v>720</v>
      </c>
      <c r="M533" s="666">
        <v>45981</v>
      </c>
      <c r="N533" s="666">
        <v>45977</v>
      </c>
      <c r="O533" s="674" t="s">
        <v>2183</v>
      </c>
      <c r="P533" s="824" t="s">
        <v>113</v>
      </c>
      <c r="Q533" s="667"/>
      <c r="R533" s="667" t="s">
        <v>2184</v>
      </c>
      <c r="S533" s="667" t="s">
        <v>70</v>
      </c>
      <c r="T533" s="667" t="s">
        <v>148</v>
      </c>
      <c r="U533" s="667"/>
      <c r="V533" s="667" t="s">
        <v>148</v>
      </c>
      <c r="W533" s="661"/>
      <c r="X533" s="661" t="s">
        <v>1395</v>
      </c>
      <c r="Y533" s="634" t="s">
        <v>106</v>
      </c>
      <c r="Z533" s="1318">
        <v>2.5656</v>
      </c>
      <c r="AA533" s="634">
        <f t="shared" si="159"/>
        <v>7388.928</v>
      </c>
      <c r="AB533" s="663"/>
      <c r="AC533" s="638" t="s">
        <v>2188</v>
      </c>
      <c r="AD533" s="633" t="s">
        <v>101</v>
      </c>
      <c r="AE533" s="662" t="s">
        <v>82</v>
      </c>
      <c r="AF533" s="662"/>
      <c r="AG533" s="662"/>
      <c r="AH533" s="662"/>
      <c r="AI533" s="662">
        <v>2880</v>
      </c>
      <c r="AJ533" s="662">
        <f t="shared" si="166"/>
        <v>0</v>
      </c>
      <c r="AK533" s="662"/>
      <c r="AL533" s="662"/>
      <c r="AM533" s="663"/>
      <c r="AN533" s="663">
        <f t="shared" si="150"/>
        <v>2880</v>
      </c>
      <c r="AO533" s="1328"/>
      <c r="AP533" s="1328"/>
      <c r="AQ533" s="1328"/>
      <c r="AR533" s="663">
        <f t="shared" si="167"/>
        <v>2880</v>
      </c>
      <c r="AS533" s="663"/>
      <c r="AT533" s="663"/>
      <c r="AU533" s="663">
        <f t="shared" si="161"/>
        <v>2880</v>
      </c>
      <c r="AV533" s="663"/>
      <c r="AW533" s="663">
        <f t="shared" si="165"/>
        <v>2880</v>
      </c>
      <c r="AX533" s="663"/>
      <c r="AY533" s="663"/>
      <c r="AZ533" s="687"/>
      <c r="BA533" s="687"/>
      <c r="BB533" s="687"/>
      <c r="BC533" s="687"/>
      <c r="BD533" s="687"/>
      <c r="BE533" s="663"/>
      <c r="BF533" s="663"/>
      <c r="BG533" s="663"/>
      <c r="BH533" s="825">
        <f>I533/4</f>
        <v>720</v>
      </c>
      <c r="BI533" s="663"/>
      <c r="BJ533" s="663"/>
      <c r="BK533" s="663"/>
      <c r="BL533" s="663"/>
      <c r="BM533" s="663"/>
      <c r="BN533" s="663"/>
      <c r="BO533" s="663"/>
      <c r="BP533" s="663"/>
      <c r="BQ533" s="663"/>
      <c r="BR533" s="663"/>
      <c r="BS533" s="663"/>
      <c r="BT533" s="663"/>
      <c r="BU533" s="663"/>
      <c r="BV533" s="663"/>
      <c r="BW533" s="663"/>
      <c r="BX533" s="663"/>
      <c r="BY533" s="663"/>
      <c r="BZ533" s="663"/>
      <c r="CA533" s="663"/>
      <c r="CB533" s="663"/>
      <c r="CC533" s="663"/>
      <c r="CD533" s="663"/>
      <c r="CE533" s="663"/>
      <c r="CF533" s="663"/>
      <c r="CG533" s="663"/>
      <c r="CH533" s="669"/>
      <c r="CI533" s="669"/>
      <c r="CJ533" s="669"/>
      <c r="CK533" s="669"/>
      <c r="CL533" s="669"/>
      <c r="CM533" s="663"/>
      <c r="CN533" s="663"/>
      <c r="CO533" s="663"/>
      <c r="CP533" s="669"/>
      <c r="CQ533" s="669"/>
      <c r="CR533" s="669"/>
      <c r="CS533" s="669"/>
      <c r="CT533" s="669"/>
      <c r="CU533" s="669"/>
    </row>
    <row r="534" s="1265" customFormat="1" ht="31" customHeight="1" spans="1:99">
      <c r="A534" s="660">
        <v>45930</v>
      </c>
      <c r="B534" s="661" t="s">
        <v>143</v>
      </c>
      <c r="C534" s="662" t="s">
        <v>98</v>
      </c>
      <c r="D534" s="663">
        <v>4500181115</v>
      </c>
      <c r="E534" s="1414" t="s">
        <v>2189</v>
      </c>
      <c r="F534" s="663" t="s">
        <v>2190</v>
      </c>
      <c r="G534" s="659" t="s">
        <v>101</v>
      </c>
      <c r="H534" s="662" t="s">
        <v>102</v>
      </c>
      <c r="I534" s="662">
        <v>2560</v>
      </c>
      <c r="J534" s="662">
        <v>0</v>
      </c>
      <c r="K534" s="662">
        <v>4</v>
      </c>
      <c r="L534" s="665">
        <f t="shared" si="158"/>
        <v>640</v>
      </c>
      <c r="M534" s="666">
        <v>45981</v>
      </c>
      <c r="N534" s="666">
        <v>45977</v>
      </c>
      <c r="O534" s="674" t="s">
        <v>2183</v>
      </c>
      <c r="P534" s="824" t="s">
        <v>113</v>
      </c>
      <c r="Q534" s="667"/>
      <c r="R534" s="667" t="s">
        <v>2184</v>
      </c>
      <c r="S534" s="667" t="s">
        <v>70</v>
      </c>
      <c r="T534" s="667" t="s">
        <v>148</v>
      </c>
      <c r="U534" s="667"/>
      <c r="V534" s="667" t="s">
        <v>148</v>
      </c>
      <c r="W534" s="661"/>
      <c r="X534" s="661" t="s">
        <v>1395</v>
      </c>
      <c r="Y534" s="634" t="s">
        <v>106</v>
      </c>
      <c r="Z534" s="1318">
        <v>2.5656</v>
      </c>
      <c r="AA534" s="634">
        <f t="shared" si="159"/>
        <v>6567.936</v>
      </c>
      <c r="AB534" s="663"/>
      <c r="AC534" s="638" t="s">
        <v>2191</v>
      </c>
      <c r="AD534" s="633" t="s">
        <v>101</v>
      </c>
      <c r="AE534" s="662" t="s">
        <v>82</v>
      </c>
      <c r="AF534" s="662"/>
      <c r="AG534" s="662"/>
      <c r="AH534" s="662"/>
      <c r="AI534" s="662">
        <v>2560</v>
      </c>
      <c r="AJ534" s="662">
        <f t="shared" si="166"/>
        <v>0</v>
      </c>
      <c r="AK534" s="662"/>
      <c r="AL534" s="662"/>
      <c r="AM534" s="663"/>
      <c r="AN534" s="663">
        <f t="shared" si="150"/>
        <v>2560</v>
      </c>
      <c r="AO534" s="1328"/>
      <c r="AP534" s="1328"/>
      <c r="AQ534" s="1328"/>
      <c r="AR534" s="663">
        <f t="shared" si="167"/>
        <v>2560</v>
      </c>
      <c r="AS534" s="663"/>
      <c r="AT534" s="663"/>
      <c r="AU534" s="663">
        <f t="shared" si="161"/>
        <v>2560</v>
      </c>
      <c r="AV534" s="663"/>
      <c r="AW534" s="663">
        <f t="shared" si="165"/>
        <v>2560</v>
      </c>
      <c r="AX534" s="663"/>
      <c r="AY534" s="663"/>
      <c r="AZ534" s="687"/>
      <c r="BA534" s="687"/>
      <c r="BB534" s="687"/>
      <c r="BC534" s="687"/>
      <c r="BD534" s="687"/>
      <c r="BE534" s="663"/>
      <c r="BF534" s="663"/>
      <c r="BG534" s="663"/>
      <c r="BH534" s="825">
        <f>I534/4</f>
        <v>640</v>
      </c>
      <c r="BI534" s="663"/>
      <c r="BJ534" s="663"/>
      <c r="BK534" s="663"/>
      <c r="BL534" s="663"/>
      <c r="BM534" s="663"/>
      <c r="BN534" s="663"/>
      <c r="BO534" s="663"/>
      <c r="BP534" s="663"/>
      <c r="BQ534" s="663"/>
      <c r="BR534" s="663"/>
      <c r="BS534" s="663"/>
      <c r="BT534" s="663"/>
      <c r="BU534" s="663"/>
      <c r="BV534" s="663"/>
      <c r="BW534" s="663"/>
      <c r="BX534" s="663"/>
      <c r="BY534" s="663"/>
      <c r="BZ534" s="663"/>
      <c r="CA534" s="663"/>
      <c r="CB534" s="663"/>
      <c r="CC534" s="663"/>
      <c r="CD534" s="663"/>
      <c r="CE534" s="663"/>
      <c r="CF534" s="663"/>
      <c r="CG534" s="663"/>
      <c r="CH534" s="669"/>
      <c r="CI534" s="669"/>
      <c r="CJ534" s="669"/>
      <c r="CK534" s="669"/>
      <c r="CL534" s="669"/>
      <c r="CM534" s="663"/>
      <c r="CN534" s="663"/>
      <c r="CO534" s="663"/>
      <c r="CP534" s="669"/>
      <c r="CQ534" s="669"/>
      <c r="CR534" s="669"/>
      <c r="CS534" s="669"/>
      <c r="CT534" s="669"/>
      <c r="CU534" s="669"/>
    </row>
    <row r="535" s="1265" customFormat="1" ht="31" customHeight="1" spans="1:99">
      <c r="A535" s="660">
        <v>45940</v>
      </c>
      <c r="B535" s="661" t="s">
        <v>120</v>
      </c>
      <c r="C535" s="662" t="s">
        <v>98</v>
      </c>
      <c r="D535" s="663">
        <v>4500181255</v>
      </c>
      <c r="E535" s="662" t="s">
        <v>121</v>
      </c>
      <c r="F535" s="663" t="s">
        <v>2192</v>
      </c>
      <c r="G535" s="659" t="s">
        <v>123</v>
      </c>
      <c r="H535" s="633" t="s">
        <v>69</v>
      </c>
      <c r="I535" s="662">
        <v>3000</v>
      </c>
      <c r="J535" s="662">
        <v>0</v>
      </c>
      <c r="K535" s="662">
        <v>12</v>
      </c>
      <c r="L535" s="665">
        <f t="shared" si="158"/>
        <v>250</v>
      </c>
      <c r="M535" s="666">
        <v>45981</v>
      </c>
      <c r="N535" s="666">
        <v>45977</v>
      </c>
      <c r="O535" s="664"/>
      <c r="P535" s="824" t="s">
        <v>113</v>
      </c>
      <c r="Q535" s="667"/>
      <c r="R535" s="667">
        <v>45940</v>
      </c>
      <c r="S535" s="667" t="s">
        <v>70</v>
      </c>
      <c r="T535" s="667" t="s">
        <v>70</v>
      </c>
      <c r="U535" s="667"/>
      <c r="V535" s="661"/>
      <c r="W535" s="661"/>
      <c r="X535" s="661" t="s">
        <v>2193</v>
      </c>
      <c r="Y535" s="634" t="s">
        <v>1640</v>
      </c>
      <c r="Z535" s="1318">
        <v>2.4579</v>
      </c>
      <c r="AA535" s="634">
        <f t="shared" si="159"/>
        <v>7373.7</v>
      </c>
      <c r="AC535" s="638" t="s">
        <v>2194</v>
      </c>
      <c r="AD535" s="633" t="s">
        <v>68</v>
      </c>
      <c r="AE535" s="662" t="s">
        <v>82</v>
      </c>
      <c r="AF535" s="662"/>
      <c r="AG535" s="662"/>
      <c r="AH535" s="662"/>
      <c r="AI535" s="662">
        <v>3000</v>
      </c>
      <c r="AJ535" s="664">
        <f t="shared" si="166"/>
        <v>0</v>
      </c>
      <c r="AK535" s="662"/>
      <c r="AL535" s="662"/>
      <c r="AM535" s="662"/>
      <c r="AN535" s="663">
        <f t="shared" si="150"/>
        <v>3000</v>
      </c>
      <c r="AO535" s="1328"/>
      <c r="AP535" s="1328"/>
      <c r="AQ535" s="1328"/>
      <c r="AR535" s="663">
        <f t="shared" si="167"/>
        <v>3000</v>
      </c>
      <c r="AS535" s="663"/>
      <c r="AT535" s="663"/>
      <c r="AU535" s="663">
        <f t="shared" si="161"/>
        <v>3000</v>
      </c>
      <c r="AV535" s="1328"/>
      <c r="AW535" s="663">
        <f t="shared" si="165"/>
        <v>3000</v>
      </c>
      <c r="AX535" s="663"/>
      <c r="AY535" s="1328"/>
      <c r="AZ535" s="563"/>
      <c r="BA535" s="563"/>
      <c r="BB535" s="563"/>
      <c r="BC535" s="563"/>
      <c r="BD535" s="563"/>
      <c r="BE535" s="663"/>
      <c r="BF535" s="1328"/>
      <c r="BG535" s="1328"/>
      <c r="BH535" s="663"/>
      <c r="BI535" s="663"/>
      <c r="BJ535" s="1328"/>
      <c r="BK535" s="1328"/>
      <c r="BL535" s="1328"/>
      <c r="BM535" s="663"/>
      <c r="BN535" s="663"/>
      <c r="BO535" s="1328"/>
      <c r="BP535" s="1328"/>
      <c r="BQ535" s="1265"/>
      <c r="BR535" s="1265"/>
      <c r="BS535" s="1265"/>
      <c r="BT535" s="1265"/>
      <c r="BU535" s="1265"/>
      <c r="BV535" s="1265"/>
      <c r="BW535" s="1265"/>
      <c r="BX535" s="1265"/>
      <c r="BY535" s="1265"/>
      <c r="BZ535" s="1265"/>
      <c r="CA535" s="1265"/>
      <c r="CB535" s="1265"/>
      <c r="CC535" s="1265"/>
      <c r="CD535" s="1265"/>
      <c r="CE535" s="1265"/>
      <c r="CF535" s="1265"/>
      <c r="CG535" s="1265"/>
      <c r="CH535" s="669"/>
      <c r="CI535" s="669"/>
      <c r="CJ535" s="669"/>
      <c r="CK535" s="669"/>
      <c r="CL535" s="669"/>
      <c r="CM535" s="1265"/>
      <c r="CN535" s="1265"/>
      <c r="CO535" s="1265"/>
      <c r="CP535" s="669"/>
      <c r="CQ535" s="669"/>
      <c r="CR535" s="669"/>
      <c r="CS535" s="669"/>
      <c r="CT535" s="669"/>
      <c r="CU535" s="669"/>
    </row>
    <row r="536" s="1265" customFormat="1" ht="31" customHeight="1" spans="1:99">
      <c r="A536" s="660">
        <v>45957</v>
      </c>
      <c r="B536" s="661" t="s">
        <v>312</v>
      </c>
      <c r="C536" s="662" t="s">
        <v>278</v>
      </c>
      <c r="D536" s="663">
        <v>4500183275</v>
      </c>
      <c r="E536" s="662" t="s">
        <v>2195</v>
      </c>
      <c r="F536" s="663" t="s">
        <v>2196</v>
      </c>
      <c r="G536" s="659" t="s">
        <v>111</v>
      </c>
      <c r="H536" s="662" t="s">
        <v>112</v>
      </c>
      <c r="I536" s="662">
        <v>3200</v>
      </c>
      <c r="J536" s="662">
        <v>0</v>
      </c>
      <c r="K536" s="662">
        <v>16</v>
      </c>
      <c r="L536" s="665">
        <f t="shared" si="158"/>
        <v>200</v>
      </c>
      <c r="M536" s="666">
        <v>45985</v>
      </c>
      <c r="N536" s="666">
        <v>45981</v>
      </c>
      <c r="O536" s="664"/>
      <c r="P536" s="824" t="s">
        <v>113</v>
      </c>
      <c r="Q536" s="667"/>
      <c r="R536" s="667">
        <v>45957</v>
      </c>
      <c r="S536" s="667" t="s">
        <v>70</v>
      </c>
      <c r="T536" s="667" t="s">
        <v>2197</v>
      </c>
      <c r="U536" s="667"/>
      <c r="V536" s="661"/>
      <c r="W536" s="661"/>
      <c r="X536" s="661" t="s">
        <v>2198</v>
      </c>
      <c r="Y536" s="634" t="s">
        <v>2199</v>
      </c>
      <c r="Z536" s="1318">
        <v>4.2489</v>
      </c>
      <c r="AA536" s="634">
        <f t="shared" si="159"/>
        <v>13596.48</v>
      </c>
      <c r="AC536" s="1330" t="s">
        <v>2200</v>
      </c>
      <c r="AD536" s="633" t="s">
        <v>111</v>
      </c>
      <c r="AE536" s="662" t="s">
        <v>82</v>
      </c>
      <c r="AF536" s="662"/>
      <c r="AG536" s="662"/>
      <c r="AH536" s="662"/>
      <c r="AI536" s="662">
        <v>3200</v>
      </c>
      <c r="AJ536" s="664">
        <f t="shared" si="166"/>
        <v>0</v>
      </c>
      <c r="AK536" s="662"/>
      <c r="AL536" s="662"/>
      <c r="AM536" s="662"/>
      <c r="AN536" s="663">
        <f t="shared" si="150"/>
        <v>3200</v>
      </c>
      <c r="AO536" s="1328"/>
      <c r="AP536" s="1328"/>
      <c r="AQ536" s="1328"/>
      <c r="AR536" s="663">
        <f t="shared" si="167"/>
        <v>3200</v>
      </c>
      <c r="AS536" s="663"/>
      <c r="AT536" s="663"/>
      <c r="AU536" s="663">
        <f t="shared" si="161"/>
        <v>3200</v>
      </c>
      <c r="AV536" s="1328"/>
      <c r="AW536" s="663">
        <f t="shared" si="165"/>
        <v>3200</v>
      </c>
      <c r="AX536" s="663"/>
      <c r="AY536" s="1328"/>
      <c r="AZ536" s="687"/>
      <c r="BA536" s="687"/>
      <c r="BB536" s="687"/>
      <c r="BC536" s="687"/>
      <c r="BD536" s="687"/>
      <c r="BE536" s="663"/>
      <c r="BF536" s="1328"/>
      <c r="BG536" s="1328"/>
      <c r="BH536" s="825">
        <f>I536/4</f>
        <v>800</v>
      </c>
      <c r="BI536" s="663"/>
      <c r="BJ536" s="1328"/>
      <c r="BK536" s="1328"/>
      <c r="BL536" s="1328"/>
      <c r="BM536" s="663"/>
      <c r="BN536" s="663"/>
      <c r="BO536" s="1328"/>
      <c r="BP536" s="1328"/>
      <c r="BQ536" s="1265"/>
      <c r="BR536" s="1265"/>
      <c r="BS536" s="1265"/>
      <c r="BT536" s="1265"/>
      <c r="BU536" s="1265"/>
      <c r="BV536" s="1265"/>
      <c r="BW536" s="1265"/>
      <c r="BX536" s="1265"/>
      <c r="BY536" s="1265"/>
      <c r="BZ536" s="1265"/>
      <c r="CA536" s="1265"/>
      <c r="CB536" s="1265"/>
      <c r="CC536" s="1265"/>
      <c r="CD536" s="1265"/>
      <c r="CE536" s="1265"/>
      <c r="CF536" s="1265"/>
      <c r="CG536" s="1265"/>
      <c r="CH536" s="669"/>
      <c r="CI536" s="669"/>
      <c r="CJ536" s="669"/>
      <c r="CK536" s="669"/>
      <c r="CL536" s="669"/>
      <c r="CM536" s="1265"/>
      <c r="CN536" s="1265"/>
      <c r="CO536" s="1265"/>
      <c r="CP536" s="669"/>
      <c r="CQ536" s="669"/>
      <c r="CR536" s="669"/>
      <c r="CS536" s="669"/>
      <c r="CT536" s="669"/>
      <c r="CU536" s="669"/>
    </row>
    <row r="537" s="1265" customFormat="1" ht="31" customHeight="1" spans="1:99">
      <c r="A537" s="660">
        <v>45918</v>
      </c>
      <c r="B537" s="661" t="s">
        <v>211</v>
      </c>
      <c r="C537" s="662" t="s">
        <v>212</v>
      </c>
      <c r="D537" s="663">
        <v>4500179825</v>
      </c>
      <c r="E537" s="662" t="s">
        <v>2201</v>
      </c>
      <c r="F537" s="663" t="s">
        <v>2202</v>
      </c>
      <c r="G537" s="659" t="s">
        <v>111</v>
      </c>
      <c r="H537" s="662" t="s">
        <v>112</v>
      </c>
      <c r="I537" s="662">
        <v>960</v>
      </c>
      <c r="J537" s="662">
        <v>0</v>
      </c>
      <c r="K537" s="662">
        <v>16</v>
      </c>
      <c r="L537" s="665">
        <f t="shared" si="158"/>
        <v>60</v>
      </c>
      <c r="M537" s="666">
        <v>45985</v>
      </c>
      <c r="N537" s="666">
        <v>45981</v>
      </c>
      <c r="O537" s="664"/>
      <c r="P537" s="824" t="s">
        <v>113</v>
      </c>
      <c r="Q537" s="667"/>
      <c r="R537" s="667">
        <v>45918</v>
      </c>
      <c r="S537" s="667" t="s">
        <v>70</v>
      </c>
      <c r="T537" s="667" t="s">
        <v>2203</v>
      </c>
      <c r="U537" s="667"/>
      <c r="V537" s="661"/>
      <c r="W537" s="661"/>
      <c r="X537" s="661" t="s">
        <v>2204</v>
      </c>
      <c r="Y537" s="634" t="s">
        <v>1793</v>
      </c>
      <c r="Z537" s="1318">
        <v>4.2114</v>
      </c>
      <c r="AA537" s="634">
        <f t="shared" si="159"/>
        <v>4042.944</v>
      </c>
      <c r="AC537" s="638" t="s">
        <v>2205</v>
      </c>
      <c r="AD537" s="633" t="s">
        <v>111</v>
      </c>
      <c r="AE537" s="662" t="s">
        <v>82</v>
      </c>
      <c r="AF537" s="662"/>
      <c r="AG537" s="662"/>
      <c r="AH537" s="662"/>
      <c r="AI537" s="662">
        <v>960</v>
      </c>
      <c r="AJ537" s="664">
        <f t="shared" si="166"/>
        <v>0</v>
      </c>
      <c r="AK537" s="662"/>
      <c r="AL537" s="662"/>
      <c r="AM537" s="663"/>
      <c r="AN537" s="663">
        <f t="shared" si="150"/>
        <v>960</v>
      </c>
      <c r="AO537" s="1328"/>
      <c r="AP537" s="1328"/>
      <c r="AQ537" s="1328"/>
      <c r="AR537" s="663">
        <f t="shared" si="167"/>
        <v>960</v>
      </c>
      <c r="AS537" s="663"/>
      <c r="AT537" s="663"/>
      <c r="AU537" s="663">
        <f t="shared" si="161"/>
        <v>960</v>
      </c>
      <c r="AV537" s="1328"/>
      <c r="AW537" s="663">
        <f t="shared" si="165"/>
        <v>960</v>
      </c>
      <c r="AX537" s="663"/>
      <c r="AY537" s="1328"/>
      <c r="AZ537" s="687"/>
      <c r="BA537" s="687"/>
      <c r="BB537" s="687"/>
      <c r="BC537" s="687"/>
      <c r="BD537" s="687"/>
      <c r="BE537" s="663"/>
      <c r="BF537" s="1328"/>
      <c r="BG537" s="1328"/>
      <c r="BH537" s="825">
        <f>I537/4</f>
        <v>240</v>
      </c>
      <c r="BI537" s="663"/>
      <c r="BJ537" s="1328"/>
      <c r="BK537" s="1328"/>
      <c r="BL537" s="1328"/>
      <c r="BM537" s="663"/>
      <c r="BN537" s="663"/>
      <c r="BO537" s="1328"/>
      <c r="BP537" s="1328"/>
      <c r="BQ537" s="1265"/>
      <c r="BR537" s="1265"/>
      <c r="BS537" s="1265"/>
      <c r="BT537" s="1265"/>
      <c r="BU537" s="1265"/>
      <c r="BV537" s="1265"/>
      <c r="BW537" s="1265"/>
      <c r="BX537" s="1265"/>
      <c r="BY537" s="1265"/>
      <c r="BZ537" s="1265"/>
      <c r="CA537" s="1265"/>
      <c r="CB537" s="1265"/>
      <c r="CC537" s="1265"/>
      <c r="CD537" s="1265"/>
      <c r="CE537" s="1265"/>
      <c r="CF537" s="1265"/>
      <c r="CG537" s="1265"/>
      <c r="CH537" s="669"/>
      <c r="CI537" s="669"/>
      <c r="CJ537" s="669"/>
      <c r="CK537" s="669"/>
      <c r="CL537" s="669"/>
      <c r="CM537" s="1265"/>
      <c r="CN537" s="1265"/>
      <c r="CO537" s="1265"/>
      <c r="CP537" s="669"/>
      <c r="CQ537" s="669"/>
      <c r="CR537" s="669"/>
      <c r="CS537" s="669"/>
      <c r="CT537" s="669"/>
      <c r="CU537" s="669"/>
    </row>
    <row r="538" s="1265" customFormat="1" ht="31" customHeight="1" spans="1:99">
      <c r="A538" s="641">
        <v>45925</v>
      </c>
      <c r="B538" s="642" t="s">
        <v>2206</v>
      </c>
      <c r="C538" s="246" t="s">
        <v>1343</v>
      </c>
      <c r="D538" s="551">
        <v>4500180424</v>
      </c>
      <c r="E538" s="246" t="s">
        <v>2207</v>
      </c>
      <c r="F538" s="551" t="s">
        <v>2208</v>
      </c>
      <c r="G538" s="659" t="s">
        <v>68</v>
      </c>
      <c r="H538" s="633" t="s">
        <v>69</v>
      </c>
      <c r="I538" s="246">
        <v>600</v>
      </c>
      <c r="J538" s="246">
        <v>0</v>
      </c>
      <c r="K538" s="246">
        <v>12</v>
      </c>
      <c r="L538" s="644">
        <f t="shared" si="158"/>
        <v>50</v>
      </c>
      <c r="M538" s="742">
        <v>45985</v>
      </c>
      <c r="N538" s="742">
        <v>45981</v>
      </c>
      <c r="O538" s="643"/>
      <c r="P538" s="824" t="s">
        <v>113</v>
      </c>
      <c r="Q538" s="646"/>
      <c r="R538" s="646">
        <v>45926</v>
      </c>
      <c r="S538" s="646" t="s">
        <v>70</v>
      </c>
      <c r="T538" s="646" t="s">
        <v>2209</v>
      </c>
      <c r="U538" s="646"/>
      <c r="V538" s="646"/>
      <c r="W538" s="642"/>
      <c r="X538" s="749" t="s">
        <v>2210</v>
      </c>
      <c r="Y538" s="647" t="s">
        <v>217</v>
      </c>
      <c r="Z538" s="657">
        <v>4.1018</v>
      </c>
      <c r="AA538" s="647">
        <f t="shared" si="159"/>
        <v>2461.08</v>
      </c>
      <c r="AC538" s="648" t="s">
        <v>2211</v>
      </c>
      <c r="AD538" s="633" t="s">
        <v>68</v>
      </c>
      <c r="AE538" s="246" t="s">
        <v>82</v>
      </c>
      <c r="AF538" s="246"/>
      <c r="AG538" s="246"/>
      <c r="AH538" s="246"/>
      <c r="AI538" s="246">
        <v>600</v>
      </c>
      <c r="AJ538" s="643">
        <f t="shared" si="166"/>
        <v>0</v>
      </c>
      <c r="AK538" s="246"/>
      <c r="AL538" s="246"/>
      <c r="AM538" s="551"/>
      <c r="AN538" s="551">
        <f t="shared" si="150"/>
        <v>600</v>
      </c>
      <c r="AO538" s="1328"/>
      <c r="AP538" s="1328"/>
      <c r="AQ538" s="1328"/>
      <c r="AR538" s="551">
        <f t="shared" si="167"/>
        <v>600</v>
      </c>
      <c r="AS538" s="551"/>
      <c r="AT538" s="551"/>
      <c r="AU538" s="551">
        <f t="shared" si="161"/>
        <v>600</v>
      </c>
      <c r="AV538" s="551"/>
      <c r="AW538" s="551">
        <f t="shared" si="165"/>
        <v>600</v>
      </c>
      <c r="AX538" s="551"/>
      <c r="AY538" s="1331"/>
      <c r="AZ538" s="551"/>
      <c r="BA538" s="1331"/>
      <c r="BB538" s="1331"/>
      <c r="BC538" s="1331"/>
      <c r="BD538" s="551"/>
      <c r="BE538" s="551"/>
      <c r="BF538" s="1331"/>
      <c r="BG538" s="1331"/>
      <c r="BH538" s="551"/>
      <c r="BI538" s="551"/>
      <c r="BJ538" s="1331"/>
      <c r="BK538" s="1331"/>
      <c r="BL538" s="1331"/>
      <c r="BM538" s="551"/>
      <c r="BN538" s="551"/>
      <c r="BO538" s="1331"/>
      <c r="BP538" s="1331"/>
      <c r="BQ538" s="1265"/>
      <c r="BR538" s="1265"/>
      <c r="BS538" s="1265"/>
      <c r="BT538" s="1265"/>
      <c r="BU538" s="1265"/>
      <c r="BV538" s="1265"/>
      <c r="BW538" s="1265"/>
      <c r="BX538" s="1265"/>
      <c r="BY538" s="1265"/>
      <c r="BZ538" s="1265"/>
      <c r="CA538" s="1265"/>
      <c r="CB538" s="1265"/>
      <c r="CC538" s="1265"/>
      <c r="CD538" s="1265"/>
      <c r="CE538" s="1265"/>
      <c r="CF538" s="1265"/>
      <c r="CG538" s="1265"/>
      <c r="CH538" s="650"/>
      <c r="CI538" s="650"/>
      <c r="CJ538" s="650"/>
      <c r="CK538" s="650"/>
      <c r="CL538" s="650"/>
      <c r="CM538" s="1265"/>
      <c r="CN538" s="1265"/>
      <c r="CO538" s="1265"/>
      <c r="CP538" s="650"/>
      <c r="CQ538" s="650"/>
      <c r="CR538" s="650"/>
      <c r="CS538" s="650"/>
      <c r="CT538" s="650"/>
      <c r="CU538" s="650"/>
    </row>
    <row r="539" s="1265" customFormat="1" ht="31" customHeight="1" spans="1:99">
      <c r="A539" s="641">
        <v>45925</v>
      </c>
      <c r="B539" s="642" t="s">
        <v>2206</v>
      </c>
      <c r="C539" s="246" t="s">
        <v>1343</v>
      </c>
      <c r="D539" s="551">
        <v>4500180424</v>
      </c>
      <c r="E539" s="246" t="s">
        <v>2207</v>
      </c>
      <c r="F539" s="551" t="s">
        <v>2212</v>
      </c>
      <c r="G539" s="659" t="s">
        <v>68</v>
      </c>
      <c r="H539" s="633" t="s">
        <v>69</v>
      </c>
      <c r="I539" s="246">
        <v>1404</v>
      </c>
      <c r="J539" s="246">
        <v>0</v>
      </c>
      <c r="K539" s="246">
        <v>12</v>
      </c>
      <c r="L539" s="644">
        <f t="shared" si="158"/>
        <v>117</v>
      </c>
      <c r="M539" s="742">
        <v>45985</v>
      </c>
      <c r="N539" s="742">
        <v>45981</v>
      </c>
      <c r="O539" s="643"/>
      <c r="P539" s="824" t="s">
        <v>113</v>
      </c>
      <c r="Q539" s="646"/>
      <c r="R539" s="646">
        <v>45926</v>
      </c>
      <c r="S539" s="646" t="s">
        <v>70</v>
      </c>
      <c r="T539" s="646" t="s">
        <v>2209</v>
      </c>
      <c r="U539" s="646"/>
      <c r="V539" s="646"/>
      <c r="W539" s="642"/>
      <c r="X539" s="749" t="s">
        <v>2210</v>
      </c>
      <c r="Y539" s="647" t="s">
        <v>217</v>
      </c>
      <c r="Z539" s="657">
        <v>4.2386</v>
      </c>
      <c r="AA539" s="647">
        <f t="shared" si="159"/>
        <v>5950.9944</v>
      </c>
      <c r="AC539" s="648" t="s">
        <v>2211</v>
      </c>
      <c r="AD539" s="633" t="s">
        <v>68</v>
      </c>
      <c r="AE539" s="246" t="s">
        <v>82</v>
      </c>
      <c r="AF539" s="246"/>
      <c r="AG539" s="246"/>
      <c r="AH539" s="246"/>
      <c r="AI539" s="246">
        <v>1404</v>
      </c>
      <c r="AJ539" s="643">
        <f t="shared" si="166"/>
        <v>0</v>
      </c>
      <c r="AK539" s="246"/>
      <c r="AL539" s="246"/>
      <c r="AM539" s="551"/>
      <c r="AN539" s="551">
        <f t="shared" si="150"/>
        <v>1404</v>
      </c>
      <c r="AO539" s="1328"/>
      <c r="AP539" s="1328"/>
      <c r="AQ539" s="1328"/>
      <c r="AR539" s="551">
        <f t="shared" si="167"/>
        <v>1404</v>
      </c>
      <c r="AS539" s="551"/>
      <c r="AT539" s="551"/>
      <c r="AU539" s="551">
        <f t="shared" si="161"/>
        <v>1404</v>
      </c>
      <c r="AV539" s="551"/>
      <c r="AW539" s="551">
        <f t="shared" si="165"/>
        <v>1404</v>
      </c>
      <c r="AX539" s="551"/>
      <c r="AY539" s="1331"/>
      <c r="AZ539" s="551"/>
      <c r="BA539" s="1331"/>
      <c r="BB539" s="1331"/>
      <c r="BC539" s="1331"/>
      <c r="BD539" s="551"/>
      <c r="BE539" s="551"/>
      <c r="BF539" s="1331"/>
      <c r="BG539" s="1331"/>
      <c r="BH539" s="551"/>
      <c r="BI539" s="551"/>
      <c r="BJ539" s="1331"/>
      <c r="BK539" s="1331"/>
      <c r="BL539" s="1331"/>
      <c r="BM539" s="551"/>
      <c r="BN539" s="551"/>
      <c r="BO539" s="1331"/>
      <c r="BP539" s="1331"/>
      <c r="BQ539" s="1265"/>
      <c r="BR539" s="1265"/>
      <c r="BS539" s="1265"/>
      <c r="BT539" s="1265"/>
      <c r="BU539" s="1265"/>
      <c r="BV539" s="1265"/>
      <c r="BW539" s="1265"/>
      <c r="BX539" s="1265"/>
      <c r="BY539" s="1265"/>
      <c r="BZ539" s="1265"/>
      <c r="CA539" s="1265"/>
      <c r="CB539" s="1265"/>
      <c r="CC539" s="1265"/>
      <c r="CD539" s="1265"/>
      <c r="CE539" s="1265"/>
      <c r="CF539" s="1265"/>
      <c r="CG539" s="1265"/>
      <c r="CH539" s="650"/>
      <c r="CI539" s="650"/>
      <c r="CJ539" s="650"/>
      <c r="CK539" s="650"/>
      <c r="CL539" s="650"/>
      <c r="CM539" s="1265"/>
      <c r="CN539" s="1265"/>
      <c r="CO539" s="1265"/>
      <c r="CP539" s="650"/>
      <c r="CQ539" s="650"/>
      <c r="CR539" s="650"/>
      <c r="CS539" s="650"/>
      <c r="CT539" s="650"/>
      <c r="CU539" s="650"/>
    </row>
    <row r="540" s="1265" customFormat="1" ht="31" customHeight="1" spans="1:99">
      <c r="A540" s="660">
        <v>45909</v>
      </c>
      <c r="B540" s="661" t="s">
        <v>1800</v>
      </c>
      <c r="C540" s="662" t="s">
        <v>744</v>
      </c>
      <c r="D540" s="663">
        <v>4500178919</v>
      </c>
      <c r="E540" s="662">
        <v>5000001988</v>
      </c>
      <c r="F540" s="663" t="s">
        <v>2213</v>
      </c>
      <c r="G540" s="659" t="s">
        <v>130</v>
      </c>
      <c r="H540" s="662" t="s">
        <v>131</v>
      </c>
      <c r="I540" s="662">
        <v>504</v>
      </c>
      <c r="J540" s="662">
        <v>0</v>
      </c>
      <c r="K540" s="662">
        <v>6</v>
      </c>
      <c r="L540" s="665">
        <f t="shared" si="158"/>
        <v>84</v>
      </c>
      <c r="M540" s="666">
        <v>45986</v>
      </c>
      <c r="N540" s="666">
        <v>45982</v>
      </c>
      <c r="O540" s="664"/>
      <c r="P540" s="824" t="s">
        <v>113</v>
      </c>
      <c r="Q540" s="667"/>
      <c r="R540" s="667">
        <v>45960</v>
      </c>
      <c r="S540" s="829" t="s">
        <v>104</v>
      </c>
      <c r="T540" s="667" t="s">
        <v>2214</v>
      </c>
      <c r="U540" s="667"/>
      <c r="V540" s="661"/>
      <c r="W540" s="661"/>
      <c r="X540" s="1321" t="s">
        <v>2215</v>
      </c>
      <c r="Y540" s="634" t="s">
        <v>1805</v>
      </c>
      <c r="Z540" s="1318">
        <v>4.1576</v>
      </c>
      <c r="AA540" s="634">
        <f t="shared" si="159"/>
        <v>2095.4304</v>
      </c>
      <c r="AC540" s="638" t="s">
        <v>2216</v>
      </c>
      <c r="AD540" s="633" t="s">
        <v>2217</v>
      </c>
      <c r="AE540" s="662" t="s">
        <v>82</v>
      </c>
      <c r="AF540" s="662"/>
      <c r="AG540" s="662"/>
      <c r="AH540" s="662"/>
      <c r="AI540" s="662">
        <v>504</v>
      </c>
      <c r="AJ540" s="664">
        <f t="shared" si="166"/>
        <v>0</v>
      </c>
      <c r="AK540" s="662"/>
      <c r="AL540" s="662"/>
      <c r="AM540" s="663"/>
      <c r="AN540" s="663">
        <f t="shared" si="150"/>
        <v>504</v>
      </c>
      <c r="AO540" s="1328"/>
      <c r="AP540" s="1328"/>
      <c r="AQ540" s="1328"/>
      <c r="AR540" s="663">
        <f t="shared" si="167"/>
        <v>504</v>
      </c>
      <c r="AS540" s="663"/>
      <c r="AT540" s="663"/>
      <c r="AU540" s="663"/>
      <c r="AV540" s="663">
        <f>I540</f>
        <v>504</v>
      </c>
      <c r="AW540" s="663"/>
      <c r="AX540" s="834">
        <f>I540</f>
        <v>504</v>
      </c>
      <c r="AY540" s="1328"/>
      <c r="AZ540" s="687"/>
      <c r="BA540" s="687"/>
      <c r="BB540" s="687"/>
      <c r="BC540" s="687"/>
      <c r="BD540" s="687"/>
      <c r="BE540" s="663"/>
      <c r="BF540" s="1328"/>
      <c r="BG540" s="1328"/>
      <c r="BH540" s="663"/>
      <c r="BI540" s="663"/>
      <c r="BJ540" s="1328"/>
      <c r="BK540" s="1328"/>
      <c r="BL540" s="1328"/>
      <c r="BM540" s="663"/>
      <c r="BN540" s="663"/>
      <c r="BO540" s="1328"/>
      <c r="BP540" s="1328"/>
      <c r="BQ540" s="1265"/>
      <c r="BR540" s="1265"/>
      <c r="BS540" s="1265"/>
      <c r="BT540" s="1265"/>
      <c r="BU540" s="1265"/>
      <c r="BV540" s="1265"/>
      <c r="BW540" s="1265"/>
      <c r="BX540" s="1265"/>
      <c r="BY540" s="1265"/>
      <c r="BZ540" s="1265"/>
      <c r="CA540" s="1265"/>
      <c r="CB540" s="1265"/>
      <c r="CC540" s="1265"/>
      <c r="CD540" s="1265"/>
      <c r="CE540" s="1265"/>
      <c r="CF540" s="1265"/>
      <c r="CG540" s="1265"/>
      <c r="CH540" s="669"/>
      <c r="CI540" s="669"/>
      <c r="CJ540" s="669"/>
      <c r="CK540" s="669"/>
      <c r="CL540" s="669"/>
      <c r="CM540" s="1265"/>
      <c r="CN540" s="1265"/>
      <c r="CO540" s="1265"/>
      <c r="CP540" s="669"/>
      <c r="CQ540" s="669"/>
      <c r="CR540" s="669"/>
      <c r="CS540" s="669"/>
      <c r="CT540" s="669"/>
      <c r="CU540" s="669"/>
    </row>
    <row r="541" s="1265" customFormat="1" ht="31" customHeight="1" spans="1:99">
      <c r="A541" s="660">
        <v>45909</v>
      </c>
      <c r="B541" s="661" t="s">
        <v>1800</v>
      </c>
      <c r="C541" s="662" t="s">
        <v>744</v>
      </c>
      <c r="D541" s="663">
        <v>4500178919</v>
      </c>
      <c r="E541" s="662">
        <v>5000001988</v>
      </c>
      <c r="F541" s="663" t="s">
        <v>2218</v>
      </c>
      <c r="G541" s="659" t="s">
        <v>130</v>
      </c>
      <c r="H541" s="662" t="s">
        <v>131</v>
      </c>
      <c r="I541" s="662">
        <v>1680</v>
      </c>
      <c r="J541" s="662">
        <v>0</v>
      </c>
      <c r="K541" s="662">
        <v>6</v>
      </c>
      <c r="L541" s="665">
        <f t="shared" si="158"/>
        <v>280</v>
      </c>
      <c r="M541" s="666">
        <v>45986</v>
      </c>
      <c r="N541" s="666">
        <v>45982</v>
      </c>
      <c r="O541" s="664"/>
      <c r="P541" s="824" t="s">
        <v>113</v>
      </c>
      <c r="Q541" s="667"/>
      <c r="R541" s="667">
        <v>45960</v>
      </c>
      <c r="S541" s="829" t="s">
        <v>104</v>
      </c>
      <c r="T541" s="667" t="s">
        <v>2214</v>
      </c>
      <c r="U541" s="667"/>
      <c r="V541" s="661"/>
      <c r="W541" s="661"/>
      <c r="X541" s="1321" t="s">
        <v>2215</v>
      </c>
      <c r="Y541" s="634" t="s">
        <v>1805</v>
      </c>
      <c r="Z541" s="1318">
        <v>4.1576</v>
      </c>
      <c r="AA541" s="634">
        <f t="shared" si="159"/>
        <v>6984.768</v>
      </c>
      <c r="AC541" s="638" t="s">
        <v>2216</v>
      </c>
      <c r="AD541" s="633" t="s">
        <v>2217</v>
      </c>
      <c r="AE541" s="662" t="s">
        <v>82</v>
      </c>
      <c r="AF541" s="662"/>
      <c r="AG541" s="662"/>
      <c r="AH541" s="662"/>
      <c r="AI541" s="662">
        <v>1680</v>
      </c>
      <c r="AJ541" s="664">
        <f t="shared" si="166"/>
        <v>0</v>
      </c>
      <c r="AK541" s="662"/>
      <c r="AL541" s="662"/>
      <c r="AM541" s="663"/>
      <c r="AN541" s="663">
        <f t="shared" si="150"/>
        <v>1680</v>
      </c>
      <c r="AO541" s="1328"/>
      <c r="AP541" s="1328"/>
      <c r="AQ541" s="1328"/>
      <c r="AR541" s="663">
        <f t="shared" si="167"/>
        <v>1680</v>
      </c>
      <c r="AS541" s="663"/>
      <c r="AT541" s="663"/>
      <c r="AU541" s="663"/>
      <c r="AV541" s="663">
        <f>I541</f>
        <v>1680</v>
      </c>
      <c r="AW541" s="663"/>
      <c r="AX541" s="834">
        <f>I541</f>
        <v>1680</v>
      </c>
      <c r="AY541" s="1328"/>
      <c r="AZ541" s="563"/>
      <c r="BA541" s="563"/>
      <c r="BB541" s="563"/>
      <c r="BC541" s="563"/>
      <c r="BD541" s="563"/>
      <c r="BE541" s="663"/>
      <c r="BF541" s="1328"/>
      <c r="BG541" s="1328"/>
      <c r="BH541" s="663"/>
      <c r="BI541" s="663"/>
      <c r="BJ541" s="1328"/>
      <c r="BK541" s="1328"/>
      <c r="BL541" s="1328"/>
      <c r="BM541" s="663"/>
      <c r="BN541" s="663"/>
      <c r="BO541" s="1328"/>
      <c r="BP541" s="1328"/>
      <c r="BQ541" s="1265"/>
      <c r="BR541" s="1265"/>
      <c r="BS541" s="1265"/>
      <c r="BT541" s="1265"/>
      <c r="BU541" s="1265"/>
      <c r="BV541" s="1265"/>
      <c r="BW541" s="1265"/>
      <c r="BX541" s="1265"/>
      <c r="BY541" s="1265"/>
      <c r="BZ541" s="1265"/>
      <c r="CA541" s="1265"/>
      <c r="CB541" s="1265"/>
      <c r="CC541" s="1265"/>
      <c r="CD541" s="1265"/>
      <c r="CE541" s="1265"/>
      <c r="CF541" s="1265"/>
      <c r="CG541" s="1265"/>
      <c r="CH541" s="669"/>
      <c r="CI541" s="669"/>
      <c r="CJ541" s="669"/>
      <c r="CK541" s="669"/>
      <c r="CL541" s="669"/>
      <c r="CM541" s="1265"/>
      <c r="CN541" s="1265"/>
      <c r="CO541" s="1265"/>
      <c r="CP541" s="669"/>
      <c r="CQ541" s="669"/>
      <c r="CR541" s="669"/>
      <c r="CS541" s="669"/>
      <c r="CT541" s="669"/>
      <c r="CU541" s="669"/>
    </row>
    <row r="542" s="1265" customFormat="1" ht="31" customHeight="1" spans="1:99">
      <c r="A542" s="660">
        <v>45911</v>
      </c>
      <c r="B542" s="661" t="s">
        <v>2219</v>
      </c>
      <c r="C542" s="662" t="s">
        <v>2220</v>
      </c>
      <c r="D542" s="663">
        <v>4500179260</v>
      </c>
      <c r="E542" s="662" t="s">
        <v>2221</v>
      </c>
      <c r="F542" s="663" t="s">
        <v>2222</v>
      </c>
      <c r="G542" s="659" t="s">
        <v>68</v>
      </c>
      <c r="H542" s="633" t="s">
        <v>69</v>
      </c>
      <c r="I542" s="662">
        <v>10008</v>
      </c>
      <c r="J542" s="662">
        <v>0</v>
      </c>
      <c r="K542" s="662">
        <v>12</v>
      </c>
      <c r="L542" s="665">
        <f t="shared" si="158"/>
        <v>834</v>
      </c>
      <c r="M542" s="666">
        <v>45986</v>
      </c>
      <c r="N542" s="666">
        <v>45982</v>
      </c>
      <c r="O542" s="664"/>
      <c r="P542" s="824" t="s">
        <v>113</v>
      </c>
      <c r="Q542" s="667"/>
      <c r="R542" s="667">
        <v>45967</v>
      </c>
      <c r="S542" s="667" t="s">
        <v>70</v>
      </c>
      <c r="T542" s="667" t="s">
        <v>2223</v>
      </c>
      <c r="U542" s="667"/>
      <c r="V542" s="661"/>
      <c r="W542" s="661"/>
      <c r="X542" s="1321" t="s">
        <v>2224</v>
      </c>
      <c r="Y542" s="634" t="s">
        <v>943</v>
      </c>
      <c r="Z542" s="1318">
        <v>4.135</v>
      </c>
      <c r="AA542" s="634">
        <f t="shared" si="159"/>
        <v>41383.08</v>
      </c>
      <c r="AC542" s="638" t="s">
        <v>2225</v>
      </c>
      <c r="AD542" s="633" t="s">
        <v>184</v>
      </c>
      <c r="AE542" s="662" t="s">
        <v>82</v>
      </c>
      <c r="AF542" s="662"/>
      <c r="AG542" s="662"/>
      <c r="AH542" s="662"/>
      <c r="AI542" s="662">
        <v>10008</v>
      </c>
      <c r="AJ542" s="664">
        <f t="shared" si="166"/>
        <v>0</v>
      </c>
      <c r="AK542" s="662"/>
      <c r="AL542" s="662"/>
      <c r="AM542" s="663"/>
      <c r="AN542" s="663">
        <f t="shared" si="150"/>
        <v>10008</v>
      </c>
      <c r="AO542" s="1328"/>
      <c r="AP542" s="1328"/>
      <c r="AQ542" s="1328"/>
      <c r="AR542" s="663"/>
      <c r="AS542" s="663">
        <f>I542</f>
        <v>10008</v>
      </c>
      <c r="AT542" s="663"/>
      <c r="AU542" s="663">
        <f>I542</f>
        <v>10008</v>
      </c>
      <c r="AV542" s="663"/>
      <c r="AW542" s="663">
        <f>I542</f>
        <v>10008</v>
      </c>
      <c r="AX542" s="671"/>
      <c r="AY542" s="1328"/>
      <c r="AZ542" s="663"/>
      <c r="BA542" s="1328"/>
      <c r="BB542" s="1328"/>
      <c r="BC542" s="1328"/>
      <c r="BD542" s="663"/>
      <c r="BE542" s="663"/>
      <c r="BF542" s="1328"/>
      <c r="BG542" s="1328"/>
      <c r="BH542" s="663"/>
      <c r="BI542" s="663"/>
      <c r="BJ542" s="1328"/>
      <c r="BK542" s="1328"/>
      <c r="BL542" s="1328"/>
      <c r="BM542" s="663"/>
      <c r="BN542" s="663"/>
      <c r="BO542" s="1328"/>
      <c r="BP542" s="1328"/>
      <c r="BQ542" s="1265"/>
      <c r="BR542" s="1265"/>
      <c r="BS542" s="1265"/>
      <c r="BT542" s="1265"/>
      <c r="BU542" s="1265"/>
      <c r="BV542" s="1265"/>
      <c r="BW542" s="1265"/>
      <c r="BX542" s="1265"/>
      <c r="BY542" s="1265"/>
      <c r="BZ542" s="1265"/>
      <c r="CA542" s="1265"/>
      <c r="CB542" s="1265"/>
      <c r="CC542" s="1265"/>
      <c r="CD542" s="1265"/>
      <c r="CE542" s="1265"/>
      <c r="CF542" s="1265"/>
      <c r="CG542" s="1265"/>
      <c r="CH542" s="669"/>
      <c r="CI542" s="669"/>
      <c r="CJ542" s="669"/>
      <c r="CK542" s="669"/>
      <c r="CL542" s="669"/>
      <c r="CM542" s="1265"/>
      <c r="CN542" s="1265"/>
      <c r="CO542" s="1265"/>
      <c r="CP542" s="669"/>
      <c r="CQ542" s="669"/>
      <c r="CR542" s="669"/>
      <c r="CS542" s="669"/>
      <c r="CT542" s="669"/>
      <c r="CU542" s="669"/>
    </row>
    <row r="543" s="1265" customFormat="1" ht="31" customHeight="1" spans="1:99">
      <c r="A543" s="660">
        <v>45912</v>
      </c>
      <c r="B543" s="661" t="s">
        <v>169</v>
      </c>
      <c r="C543" s="662" t="s">
        <v>170</v>
      </c>
      <c r="D543" s="663">
        <v>4500179455</v>
      </c>
      <c r="E543" s="662">
        <v>2700959705</v>
      </c>
      <c r="F543" s="663" t="s">
        <v>2226</v>
      </c>
      <c r="G543" s="659" t="s">
        <v>172</v>
      </c>
      <c r="H543" s="662" t="s">
        <v>112</v>
      </c>
      <c r="I543" s="662">
        <v>18000</v>
      </c>
      <c r="J543" s="662">
        <v>0</v>
      </c>
      <c r="K543" s="662">
        <v>2</v>
      </c>
      <c r="L543" s="665">
        <f t="shared" si="158"/>
        <v>9000</v>
      </c>
      <c r="M543" s="666">
        <v>45986</v>
      </c>
      <c r="N543" s="666">
        <v>45982</v>
      </c>
      <c r="O543" s="664"/>
      <c r="P543" s="824" t="s">
        <v>113</v>
      </c>
      <c r="Q543" s="667"/>
      <c r="R543" s="667">
        <v>45946</v>
      </c>
      <c r="S543" s="667" t="s">
        <v>70</v>
      </c>
      <c r="T543" s="667" t="s">
        <v>1980</v>
      </c>
      <c r="U543" s="667"/>
      <c r="V543" s="661"/>
      <c r="W543" s="661"/>
      <c r="X543" s="661" t="s">
        <v>2070</v>
      </c>
      <c r="Y543" s="634" t="s">
        <v>2071</v>
      </c>
      <c r="Z543" s="1318">
        <v>4.2525</v>
      </c>
      <c r="AA543" s="634">
        <f t="shared" si="159"/>
        <v>76545</v>
      </c>
      <c r="AC543" s="638" t="s">
        <v>2227</v>
      </c>
      <c r="AD543" s="633" t="s">
        <v>172</v>
      </c>
      <c r="AE543" s="662" t="s">
        <v>82</v>
      </c>
      <c r="AF543" s="662"/>
      <c r="AG543" s="662"/>
      <c r="AH543" s="662"/>
      <c r="AI543" s="662">
        <f>13440+4560</f>
        <v>18000</v>
      </c>
      <c r="AJ543" s="664">
        <f t="shared" si="166"/>
        <v>0</v>
      </c>
      <c r="AK543" s="662"/>
      <c r="AL543" s="662"/>
      <c r="AM543" s="663"/>
      <c r="AN543" s="663">
        <f t="shared" si="150"/>
        <v>18000</v>
      </c>
      <c r="AO543" s="1328"/>
      <c r="AP543" s="1328"/>
      <c r="AQ543" s="1328"/>
      <c r="AR543" s="663"/>
      <c r="AS543" s="663">
        <f>I543</f>
        <v>18000</v>
      </c>
      <c r="AT543" s="663"/>
      <c r="AU543" s="663">
        <f>I543</f>
        <v>18000</v>
      </c>
      <c r="AV543" s="663"/>
      <c r="AW543" s="663">
        <f>I543</f>
        <v>18000</v>
      </c>
      <c r="AX543" s="671"/>
      <c r="AY543" s="1328"/>
      <c r="AZ543" s="663"/>
      <c r="BA543" s="1328"/>
      <c r="BB543" s="1328"/>
      <c r="BC543" s="1328"/>
      <c r="BD543" s="663"/>
      <c r="BE543" s="663"/>
      <c r="BF543" s="1328"/>
      <c r="BG543" s="1328"/>
      <c r="BH543" s="663"/>
      <c r="BI543" s="663"/>
      <c r="BJ543" s="1328"/>
      <c r="BK543" s="1328"/>
      <c r="BL543" s="1328"/>
      <c r="BM543" s="663"/>
      <c r="BN543" s="663"/>
      <c r="BO543" s="1328"/>
      <c r="BP543" s="1328"/>
      <c r="BQ543" s="1265"/>
      <c r="BR543" s="1265"/>
      <c r="BS543" s="1265"/>
      <c r="BT543" s="1265"/>
      <c r="BU543" s="1265"/>
      <c r="BV543" s="1265"/>
      <c r="BW543" s="1265"/>
      <c r="BX543" s="1265"/>
      <c r="BY543" s="1265"/>
      <c r="BZ543" s="1265"/>
      <c r="CA543" s="1265"/>
      <c r="CB543" s="1265"/>
      <c r="CC543" s="1265"/>
      <c r="CD543" s="1265"/>
      <c r="CE543" s="1265"/>
      <c r="CF543" s="1265"/>
      <c r="CG543" s="1265"/>
      <c r="CH543" s="669"/>
      <c r="CI543" s="669"/>
      <c r="CJ543" s="669"/>
      <c r="CK543" s="669"/>
      <c r="CL543" s="669"/>
      <c r="CM543" s="1265"/>
      <c r="CN543" s="1265"/>
      <c r="CO543" s="1265"/>
      <c r="CP543" s="669"/>
      <c r="CQ543" s="669"/>
      <c r="CR543" s="669"/>
      <c r="CS543" s="669"/>
      <c r="CT543" s="669"/>
      <c r="CU543" s="669"/>
    </row>
    <row r="544" s="1265" customFormat="1" ht="31" customHeight="1" spans="1:99">
      <c r="A544" s="660">
        <v>45929</v>
      </c>
      <c r="B544" s="661" t="s">
        <v>1728</v>
      </c>
      <c r="C544" s="662" t="s">
        <v>154</v>
      </c>
      <c r="D544" s="663">
        <v>4500180792</v>
      </c>
      <c r="E544" s="662" t="s">
        <v>2228</v>
      </c>
      <c r="F544" s="663" t="s">
        <v>2229</v>
      </c>
      <c r="G544" s="659" t="s">
        <v>164</v>
      </c>
      <c r="H544" s="662" t="s">
        <v>112</v>
      </c>
      <c r="I544" s="662">
        <v>2000</v>
      </c>
      <c r="J544" s="662">
        <v>0</v>
      </c>
      <c r="K544" s="662">
        <v>8</v>
      </c>
      <c r="L544" s="665">
        <f t="shared" si="158"/>
        <v>250</v>
      </c>
      <c r="M544" s="666">
        <v>45986</v>
      </c>
      <c r="N544" s="666">
        <v>45982</v>
      </c>
      <c r="O544" s="664"/>
      <c r="P544" s="824" t="s">
        <v>113</v>
      </c>
      <c r="Q544" s="667"/>
      <c r="R544" s="667">
        <v>45941</v>
      </c>
      <c r="S544" s="667" t="s">
        <v>70</v>
      </c>
      <c r="T544" s="667" t="s">
        <v>2230</v>
      </c>
      <c r="U544" s="667"/>
      <c r="V544" s="661"/>
      <c r="W544" s="661" t="s">
        <v>2231</v>
      </c>
      <c r="X544" s="661" t="s">
        <v>2232</v>
      </c>
      <c r="Y544" s="634" t="s">
        <v>1549</v>
      </c>
      <c r="Z544" s="1318">
        <v>4.2714</v>
      </c>
      <c r="AA544" s="634">
        <f t="shared" si="159"/>
        <v>8542.8</v>
      </c>
      <c r="AC544" s="638" t="s">
        <v>2233</v>
      </c>
      <c r="AD544" s="633" t="s">
        <v>164</v>
      </c>
      <c r="AE544" s="662" t="s">
        <v>82</v>
      </c>
      <c r="AF544" s="662"/>
      <c r="AG544" s="662"/>
      <c r="AH544" s="662"/>
      <c r="AI544" s="662">
        <v>2000</v>
      </c>
      <c r="AJ544" s="662">
        <f t="shared" si="166"/>
        <v>0</v>
      </c>
      <c r="AK544" s="662"/>
      <c r="AL544" s="662"/>
      <c r="AM544" s="663"/>
      <c r="AN544" s="663">
        <f t="shared" si="150"/>
        <v>2000</v>
      </c>
      <c r="AO544" s="1328"/>
      <c r="AP544" s="1328"/>
      <c r="AQ544" s="1328"/>
      <c r="AR544" s="663"/>
      <c r="AS544" s="663"/>
      <c r="AT544" s="663"/>
      <c r="AU544" s="663"/>
      <c r="AV544" s="663"/>
      <c r="AW544" s="663">
        <f>I544</f>
        <v>2000</v>
      </c>
      <c r="AX544" s="663"/>
      <c r="AY544" s="1328"/>
      <c r="AZ544" s="663"/>
      <c r="BA544" s="1328"/>
      <c r="BB544" s="1328"/>
      <c r="BC544" s="1328"/>
      <c r="BD544" s="663">
        <f>I544</f>
        <v>2000</v>
      </c>
      <c r="BE544" s="663">
        <f>I544</f>
        <v>2000</v>
      </c>
      <c r="BF544" s="1328"/>
      <c r="BG544" s="1328"/>
      <c r="BH544" s="663"/>
      <c r="BI544" s="825">
        <f>I544/4</f>
        <v>500</v>
      </c>
      <c r="BJ544" s="1328"/>
      <c r="BK544" s="1328"/>
      <c r="BL544" s="1328"/>
      <c r="BM544" s="663"/>
      <c r="BN544" s="663"/>
      <c r="BO544" s="1328"/>
      <c r="BP544" s="1328"/>
      <c r="BQ544" s="1265"/>
      <c r="BR544" s="1265"/>
      <c r="BS544" s="1265"/>
      <c r="BT544" s="1265"/>
      <c r="BU544" s="1265"/>
      <c r="BV544" s="1265"/>
      <c r="BW544" s="1265"/>
      <c r="BX544" s="1265"/>
      <c r="BY544" s="1265"/>
      <c r="BZ544" s="1265"/>
      <c r="CA544" s="1265"/>
      <c r="CB544" s="1265"/>
      <c r="CC544" s="1265"/>
      <c r="CD544" s="1265"/>
      <c r="CE544" s="1265"/>
      <c r="CF544" s="1265"/>
      <c r="CG544" s="1265"/>
      <c r="CH544" s="669"/>
      <c r="CI544" s="669"/>
      <c r="CJ544" s="669"/>
      <c r="CK544" s="669"/>
      <c r="CL544" s="669"/>
      <c r="CM544" s="1265"/>
      <c r="CN544" s="1265"/>
      <c r="CO544" s="1265"/>
      <c r="CP544" s="669"/>
      <c r="CQ544" s="669"/>
      <c r="CR544" s="669"/>
      <c r="CS544" s="669"/>
      <c r="CT544" s="669"/>
      <c r="CU544" s="669"/>
    </row>
    <row r="545" s="1265" customFormat="1" ht="31" customHeight="1" spans="1:99">
      <c r="A545" s="660">
        <v>45929</v>
      </c>
      <c r="B545" s="661" t="s">
        <v>2033</v>
      </c>
      <c r="C545" s="662" t="s">
        <v>399</v>
      </c>
      <c r="D545" s="663">
        <v>4500180519</v>
      </c>
      <c r="E545" s="662" t="s">
        <v>2234</v>
      </c>
      <c r="F545" s="663" t="s">
        <v>2235</v>
      </c>
      <c r="G545" s="659" t="s">
        <v>385</v>
      </c>
      <c r="H545" s="633" t="s">
        <v>386</v>
      </c>
      <c r="I545" s="662">
        <v>4400</v>
      </c>
      <c r="J545" s="662">
        <v>0</v>
      </c>
      <c r="K545" s="662">
        <v>4</v>
      </c>
      <c r="L545" s="665">
        <f t="shared" si="158"/>
        <v>1100</v>
      </c>
      <c r="M545" s="666">
        <v>45988</v>
      </c>
      <c r="N545" s="666">
        <v>45985</v>
      </c>
      <c r="O545" s="664"/>
      <c r="P545" s="824" t="s">
        <v>113</v>
      </c>
      <c r="Q545" s="667"/>
      <c r="R545" s="667">
        <v>45947</v>
      </c>
      <c r="S545" s="667" t="s">
        <v>70</v>
      </c>
      <c r="T545" s="667" t="s">
        <v>2035</v>
      </c>
      <c r="U545" s="667"/>
      <c r="V545" s="667"/>
      <c r="W545" s="661"/>
      <c r="X545" s="661" t="s">
        <v>2236</v>
      </c>
      <c r="Y545" s="634" t="s">
        <v>305</v>
      </c>
      <c r="Z545" s="1318">
        <v>4.1739</v>
      </c>
      <c r="AA545" s="634">
        <f t="shared" si="159"/>
        <v>18365.16</v>
      </c>
      <c r="AC545" s="676" t="s">
        <v>2237</v>
      </c>
      <c r="AD545" s="1309" t="s">
        <v>390</v>
      </c>
      <c r="AE545" s="662" t="s">
        <v>82</v>
      </c>
      <c r="AF545" s="662"/>
      <c r="AG545" s="662"/>
      <c r="AH545" s="662"/>
      <c r="AI545" s="662">
        <v>4400</v>
      </c>
      <c r="AJ545" s="664">
        <f t="shared" si="166"/>
        <v>0</v>
      </c>
      <c r="AK545" s="662"/>
      <c r="AL545" s="662"/>
      <c r="AM545" s="663"/>
      <c r="AN545" s="663">
        <f t="shared" si="150"/>
        <v>4400</v>
      </c>
      <c r="AO545" s="1328"/>
      <c r="AP545" s="1328"/>
      <c r="AQ545" s="1328"/>
      <c r="AR545" s="663"/>
      <c r="AS545" s="663">
        <f>I545</f>
        <v>4400</v>
      </c>
      <c r="AT545" s="663"/>
      <c r="AU545" s="663">
        <f>I545</f>
        <v>4400</v>
      </c>
      <c r="AV545" s="663"/>
      <c r="AW545" s="663">
        <f>I545</f>
        <v>4400</v>
      </c>
      <c r="AX545" s="671"/>
      <c r="AY545" s="1328"/>
      <c r="AZ545" s="663"/>
      <c r="BA545" s="1328"/>
      <c r="BB545" s="1328"/>
      <c r="BC545" s="1328"/>
      <c r="BD545" s="663"/>
      <c r="BE545" s="663"/>
      <c r="BF545" s="1328"/>
      <c r="BG545" s="1328"/>
      <c r="BH545" s="663"/>
      <c r="BI545" s="663"/>
      <c r="BJ545" s="1328"/>
      <c r="BK545" s="1328"/>
      <c r="BL545" s="1328"/>
      <c r="BM545" s="663"/>
      <c r="BN545" s="663"/>
      <c r="BO545" s="1328"/>
      <c r="BP545" s="1328"/>
      <c r="BQ545" s="1265"/>
      <c r="BR545" s="1265"/>
      <c r="BS545" s="1265"/>
      <c r="BT545" s="1265"/>
      <c r="BU545" s="1265"/>
      <c r="BV545" s="1265"/>
      <c r="BW545" s="1265"/>
      <c r="BX545" s="1265"/>
      <c r="BY545" s="1265"/>
      <c r="BZ545" s="1265"/>
      <c r="CA545" s="1265"/>
      <c r="CB545" s="1265"/>
      <c r="CC545" s="1265"/>
      <c r="CD545" s="1265"/>
      <c r="CE545" s="1265"/>
      <c r="CF545" s="1265"/>
      <c r="CG545" s="1265"/>
      <c r="CH545" s="669"/>
      <c r="CI545" s="669"/>
      <c r="CJ545" s="669"/>
      <c r="CK545" s="669"/>
      <c r="CL545" s="669"/>
      <c r="CM545" s="1265"/>
      <c r="CN545" s="1265"/>
      <c r="CO545" s="1265"/>
      <c r="CP545" s="669"/>
      <c r="CQ545" s="669"/>
      <c r="CR545" s="669"/>
      <c r="CS545" s="669"/>
      <c r="CT545" s="669"/>
      <c r="CU545" s="669"/>
    </row>
    <row r="546" s="1265" customFormat="1" ht="31" customHeight="1" spans="1:99">
      <c r="A546" s="641">
        <v>45905</v>
      </c>
      <c r="B546" s="642" t="s">
        <v>1800</v>
      </c>
      <c r="C546" s="246" t="s">
        <v>744</v>
      </c>
      <c r="D546" s="551">
        <v>4500178919</v>
      </c>
      <c r="E546" s="246">
        <v>5000001988</v>
      </c>
      <c r="F546" s="551" t="s">
        <v>2238</v>
      </c>
      <c r="G546" s="659" t="s">
        <v>518</v>
      </c>
      <c r="H546" s="246" t="s">
        <v>477</v>
      </c>
      <c r="I546" s="246">
        <v>10008</v>
      </c>
      <c r="J546" s="246">
        <v>0</v>
      </c>
      <c r="K546" s="246">
        <v>6</v>
      </c>
      <c r="L546" s="644">
        <f t="shared" si="158"/>
        <v>1668</v>
      </c>
      <c r="M546" s="645">
        <v>45986</v>
      </c>
      <c r="N546" s="645">
        <v>45982</v>
      </c>
      <c r="O546" s="643"/>
      <c r="P546" s="824" t="s">
        <v>113</v>
      </c>
      <c r="Q546" s="646"/>
      <c r="R546" s="646">
        <v>45960</v>
      </c>
      <c r="S546" s="829" t="s">
        <v>104</v>
      </c>
      <c r="T546" s="646" t="s">
        <v>2239</v>
      </c>
      <c r="U546" s="646"/>
      <c r="V546" s="646"/>
      <c r="W546" s="642"/>
      <c r="X546" s="642" t="s">
        <v>2240</v>
      </c>
      <c r="Y546" s="647" t="s">
        <v>1805</v>
      </c>
      <c r="Z546" s="657">
        <v>6.3409</v>
      </c>
      <c r="AA546" s="647">
        <f t="shared" si="159"/>
        <v>63459.7272</v>
      </c>
      <c r="AB546" s="551"/>
      <c r="AC546" s="638" t="s">
        <v>2216</v>
      </c>
      <c r="AD546" s="633" t="s">
        <v>2241</v>
      </c>
      <c r="AE546" s="246" t="s">
        <v>82</v>
      </c>
      <c r="AF546" s="246"/>
      <c r="AG546" s="246"/>
      <c r="AH546" s="246"/>
      <c r="AI546" s="246">
        <f>5472+4536</f>
        <v>10008</v>
      </c>
      <c r="AJ546" s="246">
        <f t="shared" si="166"/>
        <v>0</v>
      </c>
      <c r="AK546" s="246"/>
      <c r="AL546" s="246"/>
      <c r="AM546" s="551"/>
      <c r="AN546" s="551">
        <f t="shared" si="150"/>
        <v>10008</v>
      </c>
      <c r="AO546" s="1328"/>
      <c r="AP546" s="1328"/>
      <c r="AQ546" s="1328"/>
      <c r="AR546" s="551">
        <f>I546</f>
        <v>10008</v>
      </c>
      <c r="AS546" s="551"/>
      <c r="AT546" s="551"/>
      <c r="AU546" s="551"/>
      <c r="AV546" s="551">
        <f>I546</f>
        <v>10008</v>
      </c>
      <c r="AW546" s="551"/>
      <c r="AX546" s="834">
        <f>I546</f>
        <v>10008</v>
      </c>
      <c r="AY546" s="551"/>
      <c r="AZ546" s="551"/>
      <c r="BA546" s="551"/>
      <c r="BB546" s="551"/>
      <c r="BC546" s="551"/>
      <c r="BD546" s="551"/>
      <c r="BE546" s="551"/>
      <c r="BF546" s="551"/>
      <c r="BG546" s="551"/>
      <c r="BH546" s="551"/>
      <c r="BI546" s="551"/>
      <c r="BJ546" s="551"/>
      <c r="BK546" s="551"/>
      <c r="BL546" s="551"/>
      <c r="BM546" s="551"/>
      <c r="BN546" s="551">
        <f>I546</f>
        <v>10008</v>
      </c>
      <c r="BO546" s="551"/>
      <c r="BP546" s="551"/>
      <c r="BQ546" s="551"/>
      <c r="BR546" s="551"/>
      <c r="BS546" s="551"/>
      <c r="BT546" s="551"/>
      <c r="BU546" s="551"/>
      <c r="BV546" s="551"/>
      <c r="BW546" s="551"/>
      <c r="BX546" s="551"/>
      <c r="BY546" s="551"/>
      <c r="BZ546" s="551"/>
      <c r="CA546" s="551"/>
      <c r="CB546" s="551"/>
      <c r="CC546" s="551"/>
      <c r="CD546" s="551"/>
      <c r="CE546" s="551"/>
      <c r="CF546" s="551"/>
      <c r="CG546" s="551"/>
      <c r="CH546" s="650"/>
      <c r="CI546" s="650"/>
      <c r="CJ546" s="650"/>
      <c r="CK546" s="650"/>
      <c r="CL546" s="650"/>
      <c r="CM546" s="551"/>
      <c r="CN546" s="551"/>
      <c r="CO546" s="551"/>
      <c r="CP546" s="650"/>
      <c r="CQ546" s="650"/>
      <c r="CR546" s="650"/>
      <c r="CS546" s="650"/>
      <c r="CT546" s="650"/>
      <c r="CU546" s="650"/>
    </row>
    <row r="547" s="1265" customFormat="1" ht="31" customHeight="1" spans="1:99">
      <c r="A547" s="641">
        <v>45909</v>
      </c>
      <c r="B547" s="642" t="s">
        <v>1800</v>
      </c>
      <c r="C547" s="246" t="s">
        <v>744</v>
      </c>
      <c r="D547" s="551">
        <v>4500178919</v>
      </c>
      <c r="E547" s="246">
        <v>5000001988</v>
      </c>
      <c r="F547" s="551" t="s">
        <v>2242</v>
      </c>
      <c r="G547" s="659" t="s">
        <v>518</v>
      </c>
      <c r="H547" s="246" t="s">
        <v>477</v>
      </c>
      <c r="I547" s="246">
        <v>660</v>
      </c>
      <c r="J547" s="246">
        <v>0</v>
      </c>
      <c r="K547" s="246">
        <v>6</v>
      </c>
      <c r="L547" s="644">
        <f t="shared" si="158"/>
        <v>110</v>
      </c>
      <c r="M547" s="645">
        <v>45986</v>
      </c>
      <c r="N547" s="645">
        <v>45982</v>
      </c>
      <c r="O547" s="643"/>
      <c r="P547" s="824" t="s">
        <v>113</v>
      </c>
      <c r="Q547" s="646"/>
      <c r="R547" s="646">
        <v>45960</v>
      </c>
      <c r="S547" s="829" t="s">
        <v>104</v>
      </c>
      <c r="T547" s="646" t="s">
        <v>2239</v>
      </c>
      <c r="U547" s="646"/>
      <c r="V547" s="646"/>
      <c r="W547" s="642"/>
      <c r="X547" s="642" t="s">
        <v>2240</v>
      </c>
      <c r="Y547" s="647" t="s">
        <v>1805</v>
      </c>
      <c r="Z547" s="657">
        <v>6.3409</v>
      </c>
      <c r="AA547" s="647">
        <f t="shared" si="159"/>
        <v>4184.994</v>
      </c>
      <c r="AB547" s="551"/>
      <c r="AC547" s="638" t="s">
        <v>2216</v>
      </c>
      <c r="AD547" s="633" t="s">
        <v>2241</v>
      </c>
      <c r="AE547" s="246" t="s">
        <v>82</v>
      </c>
      <c r="AF547" s="246"/>
      <c r="AG547" s="246"/>
      <c r="AH547" s="246"/>
      <c r="AI547" s="246">
        <v>660</v>
      </c>
      <c r="AJ547" s="246">
        <f t="shared" si="166"/>
        <v>0</v>
      </c>
      <c r="AK547" s="246"/>
      <c r="AL547" s="246"/>
      <c r="AM547" s="551"/>
      <c r="AN547" s="551">
        <f t="shared" si="150"/>
        <v>660</v>
      </c>
      <c r="AO547" s="1328"/>
      <c r="AP547" s="1328"/>
      <c r="AQ547" s="1328"/>
      <c r="AR547" s="551">
        <f>I547</f>
        <v>660</v>
      </c>
      <c r="AS547" s="551"/>
      <c r="AT547" s="551"/>
      <c r="AU547" s="551"/>
      <c r="AV547" s="551">
        <f>I547</f>
        <v>660</v>
      </c>
      <c r="AW547" s="551"/>
      <c r="AX547" s="834">
        <f>I547</f>
        <v>660</v>
      </c>
      <c r="AY547" s="551"/>
      <c r="AZ547" s="551"/>
      <c r="BA547" s="551"/>
      <c r="BB547" s="551"/>
      <c r="BC547" s="551"/>
      <c r="BD547" s="551"/>
      <c r="BE547" s="551"/>
      <c r="BF547" s="551"/>
      <c r="BG547" s="551"/>
      <c r="BH547" s="551"/>
      <c r="BI547" s="551"/>
      <c r="BJ547" s="551"/>
      <c r="BK547" s="551"/>
      <c r="BL547" s="551"/>
      <c r="BM547" s="551"/>
      <c r="BN547" s="551">
        <f>I547</f>
        <v>660</v>
      </c>
      <c r="BO547" s="551"/>
      <c r="BP547" s="551"/>
      <c r="BQ547" s="551"/>
      <c r="BR547" s="551"/>
      <c r="BS547" s="551"/>
      <c r="BT547" s="551"/>
      <c r="BU547" s="551"/>
      <c r="BV547" s="551"/>
      <c r="BW547" s="551"/>
      <c r="BX547" s="551"/>
      <c r="BY547" s="551"/>
      <c r="BZ547" s="551"/>
      <c r="CA547" s="551"/>
      <c r="CB547" s="551"/>
      <c r="CC547" s="551"/>
      <c r="CD547" s="551"/>
      <c r="CE547" s="551"/>
      <c r="CF547" s="551"/>
      <c r="CG547" s="551"/>
      <c r="CH547" s="650"/>
      <c r="CI547" s="650"/>
      <c r="CJ547" s="650"/>
      <c r="CK547" s="650"/>
      <c r="CL547" s="650"/>
      <c r="CM547" s="551"/>
      <c r="CN547" s="551"/>
      <c r="CO547" s="551"/>
      <c r="CP547" s="650"/>
      <c r="CQ547" s="650"/>
      <c r="CR547" s="650"/>
      <c r="CS547" s="650"/>
      <c r="CT547" s="650"/>
      <c r="CU547" s="650"/>
    </row>
    <row r="548" s="1265" customFormat="1" ht="31" customHeight="1" spans="1:99">
      <c r="A548" s="641">
        <v>45946</v>
      </c>
      <c r="B548" s="642" t="s">
        <v>143</v>
      </c>
      <c r="C548" s="246" t="s">
        <v>98</v>
      </c>
      <c r="D548" s="551">
        <v>4500182101</v>
      </c>
      <c r="E548" s="1415" t="s">
        <v>2243</v>
      </c>
      <c r="F548" s="551" t="s">
        <v>2244</v>
      </c>
      <c r="G548" s="659" t="s">
        <v>101</v>
      </c>
      <c r="H548" s="246" t="s">
        <v>102</v>
      </c>
      <c r="I548" s="246">
        <v>4160</v>
      </c>
      <c r="J548" s="246">
        <v>0</v>
      </c>
      <c r="K548" s="246">
        <v>4</v>
      </c>
      <c r="L548" s="644">
        <f t="shared" si="158"/>
        <v>1040</v>
      </c>
      <c r="M548" s="645">
        <v>45989</v>
      </c>
      <c r="N548" s="645">
        <v>45985</v>
      </c>
      <c r="O548" s="643" t="s">
        <v>2245</v>
      </c>
      <c r="P548" s="824" t="s">
        <v>113</v>
      </c>
      <c r="Q548" s="646"/>
      <c r="R548" s="646" t="s">
        <v>2184</v>
      </c>
      <c r="S548" s="646" t="s">
        <v>70</v>
      </c>
      <c r="T548" s="646">
        <v>45959</v>
      </c>
      <c r="U548" s="646"/>
      <c r="V548" s="646" t="s">
        <v>148</v>
      </c>
      <c r="W548" s="642"/>
      <c r="X548" s="642" t="s">
        <v>1395</v>
      </c>
      <c r="Y548" s="647" t="s">
        <v>106</v>
      </c>
      <c r="Z548" s="657">
        <v>2.5439</v>
      </c>
      <c r="AA548" s="647">
        <f t="shared" si="159"/>
        <v>10582.624</v>
      </c>
      <c r="AB548" s="551"/>
      <c r="AC548" s="648"/>
      <c r="AD548" s="633" t="s">
        <v>101</v>
      </c>
      <c r="AE548" s="246" t="s">
        <v>82</v>
      </c>
      <c r="AF548" s="246"/>
      <c r="AG548" s="246"/>
      <c r="AH548" s="246"/>
      <c r="AI548" s="246">
        <f>1440+2720</f>
        <v>4160</v>
      </c>
      <c r="AJ548" s="246">
        <f t="shared" si="166"/>
        <v>0</v>
      </c>
      <c r="AK548" s="246"/>
      <c r="AL548" s="246"/>
      <c r="AM548" s="551"/>
      <c r="AN548" s="551">
        <f t="shared" ref="AN548:AN557" si="168">I548</f>
        <v>4160</v>
      </c>
      <c r="AO548" s="1328"/>
      <c r="AP548" s="1328"/>
      <c r="AQ548" s="1328"/>
      <c r="AR548" s="551">
        <f t="shared" ref="AR548:AR558" si="169">I548</f>
        <v>4160</v>
      </c>
      <c r="AS548" s="551"/>
      <c r="AT548" s="551"/>
      <c r="AU548" s="551">
        <f t="shared" ref="AU548:AU560" si="170">I548</f>
        <v>4160</v>
      </c>
      <c r="AV548" s="551"/>
      <c r="AW548" s="551">
        <f t="shared" ref="AW548:AW560" si="171">I548</f>
        <v>4160</v>
      </c>
      <c r="AX548" s="651"/>
      <c r="AY548" s="551"/>
      <c r="AZ548" s="551"/>
      <c r="BA548" s="551"/>
      <c r="BB548" s="551"/>
      <c r="BC548" s="551"/>
      <c r="BD548" s="551"/>
      <c r="BE548" s="551"/>
      <c r="BF548" s="551"/>
      <c r="BG548" s="551"/>
      <c r="BH548" s="825">
        <f t="shared" ref="BH548:BH555" si="172">I548/4</f>
        <v>1040</v>
      </c>
      <c r="BI548" s="551"/>
      <c r="BJ548" s="551"/>
      <c r="BK548" s="551"/>
      <c r="BL548" s="551"/>
      <c r="BM548" s="551"/>
      <c r="BN548" s="551"/>
      <c r="BO548" s="551"/>
      <c r="BP548" s="551"/>
      <c r="BQ548" s="551"/>
      <c r="BR548" s="551"/>
      <c r="BS548" s="551"/>
      <c r="BT548" s="551"/>
      <c r="BU548" s="551"/>
      <c r="BV548" s="551"/>
      <c r="BW548" s="551"/>
      <c r="BX548" s="551"/>
      <c r="BY548" s="551"/>
      <c r="BZ548" s="551"/>
      <c r="CA548" s="551"/>
      <c r="CB548" s="551"/>
      <c r="CC548" s="551"/>
      <c r="CD548" s="551"/>
      <c r="CE548" s="551"/>
      <c r="CF548" s="551"/>
      <c r="CG548" s="551"/>
      <c r="CH548" s="650"/>
      <c r="CI548" s="650"/>
      <c r="CJ548" s="650"/>
      <c r="CK548" s="650"/>
      <c r="CL548" s="650"/>
      <c r="CM548" s="551"/>
      <c r="CN548" s="551"/>
      <c r="CO548" s="551"/>
      <c r="CP548" s="650"/>
      <c r="CQ548" s="650"/>
      <c r="CR548" s="650"/>
      <c r="CS548" s="650"/>
      <c r="CT548" s="650"/>
      <c r="CU548" s="650"/>
    </row>
    <row r="549" s="1265" customFormat="1" ht="31" customHeight="1" spans="1:99">
      <c r="A549" s="641">
        <v>45946</v>
      </c>
      <c r="B549" s="642" t="s">
        <v>143</v>
      </c>
      <c r="C549" s="246" t="s">
        <v>98</v>
      </c>
      <c r="D549" s="551">
        <v>4500182101</v>
      </c>
      <c r="E549" s="1415" t="s">
        <v>2246</v>
      </c>
      <c r="F549" s="551" t="s">
        <v>2247</v>
      </c>
      <c r="G549" s="659" t="s">
        <v>101</v>
      </c>
      <c r="H549" s="246" t="s">
        <v>102</v>
      </c>
      <c r="I549" s="246">
        <v>5760</v>
      </c>
      <c r="J549" s="246">
        <v>0</v>
      </c>
      <c r="K549" s="246">
        <v>4</v>
      </c>
      <c r="L549" s="644">
        <f t="shared" si="158"/>
        <v>1440</v>
      </c>
      <c r="M549" s="645">
        <v>45989</v>
      </c>
      <c r="N549" s="645">
        <v>45985</v>
      </c>
      <c r="O549" s="643" t="s">
        <v>2245</v>
      </c>
      <c r="P549" s="824" t="s">
        <v>113</v>
      </c>
      <c r="Q549" s="646"/>
      <c r="R549" s="646" t="s">
        <v>2184</v>
      </c>
      <c r="S549" s="646" t="s">
        <v>70</v>
      </c>
      <c r="T549" s="646">
        <v>45959</v>
      </c>
      <c r="U549" s="646"/>
      <c r="V549" s="646" t="s">
        <v>148</v>
      </c>
      <c r="W549" s="642"/>
      <c r="X549" s="642" t="s">
        <v>1395</v>
      </c>
      <c r="Y549" s="647" t="s">
        <v>106</v>
      </c>
      <c r="Z549" s="657">
        <v>2.5439</v>
      </c>
      <c r="AA549" s="647">
        <f t="shared" si="159"/>
        <v>14652.864</v>
      </c>
      <c r="AB549" s="551"/>
      <c r="AC549" s="648"/>
      <c r="AD549" s="633" t="s">
        <v>101</v>
      </c>
      <c r="AE549" s="246" t="s">
        <v>82</v>
      </c>
      <c r="AF549" s="246"/>
      <c r="AG549" s="246"/>
      <c r="AH549" s="246"/>
      <c r="AI549" s="246">
        <v>5760</v>
      </c>
      <c r="AJ549" s="246">
        <f t="shared" si="166"/>
        <v>0</v>
      </c>
      <c r="AK549" s="246"/>
      <c r="AL549" s="246"/>
      <c r="AM549" s="551"/>
      <c r="AN549" s="551">
        <f t="shared" si="168"/>
        <v>5760</v>
      </c>
      <c r="AO549" s="1328"/>
      <c r="AP549" s="1328"/>
      <c r="AQ549" s="1328"/>
      <c r="AR549" s="551">
        <f t="shared" si="169"/>
        <v>5760</v>
      </c>
      <c r="AS549" s="551"/>
      <c r="AT549" s="551"/>
      <c r="AU549" s="551">
        <f t="shared" si="170"/>
        <v>5760</v>
      </c>
      <c r="AV549" s="551"/>
      <c r="AW549" s="551">
        <f t="shared" si="171"/>
        <v>5760</v>
      </c>
      <c r="AX549" s="651"/>
      <c r="AY549" s="551"/>
      <c r="AZ549" s="551"/>
      <c r="BA549" s="551"/>
      <c r="BB549" s="551"/>
      <c r="BC549" s="551"/>
      <c r="BD549" s="551"/>
      <c r="BE549" s="551"/>
      <c r="BF549" s="551"/>
      <c r="BG549" s="551"/>
      <c r="BH549" s="825">
        <f t="shared" si="172"/>
        <v>1440</v>
      </c>
      <c r="BI549" s="551"/>
      <c r="BJ549" s="551"/>
      <c r="BK549" s="551"/>
      <c r="BL549" s="551"/>
      <c r="BM549" s="551"/>
      <c r="BN549" s="551"/>
      <c r="BO549" s="551"/>
      <c r="BP549" s="551"/>
      <c r="BQ549" s="551"/>
      <c r="BR549" s="551"/>
      <c r="BS549" s="551"/>
      <c r="BT549" s="551"/>
      <c r="BU549" s="551"/>
      <c r="BV549" s="551"/>
      <c r="BW549" s="551"/>
      <c r="BX549" s="551"/>
      <c r="BY549" s="551"/>
      <c r="BZ549" s="551"/>
      <c r="CA549" s="551"/>
      <c r="CB549" s="551"/>
      <c r="CC549" s="551"/>
      <c r="CD549" s="551"/>
      <c r="CE549" s="551"/>
      <c r="CF549" s="551"/>
      <c r="CG549" s="551"/>
      <c r="CH549" s="650"/>
      <c r="CI549" s="650"/>
      <c r="CJ549" s="650"/>
      <c r="CK549" s="650"/>
      <c r="CL549" s="650"/>
      <c r="CM549" s="551"/>
      <c r="CN549" s="551"/>
      <c r="CO549" s="551"/>
      <c r="CP549" s="650"/>
      <c r="CQ549" s="650"/>
      <c r="CR549" s="650"/>
      <c r="CS549" s="650"/>
      <c r="CT549" s="650"/>
      <c r="CU549" s="650"/>
    </row>
    <row r="550" s="1265" customFormat="1" ht="31" customHeight="1" spans="1:99">
      <c r="A550" s="641">
        <v>45946</v>
      </c>
      <c r="B550" s="642" t="s">
        <v>143</v>
      </c>
      <c r="C550" s="246" t="s">
        <v>98</v>
      </c>
      <c r="D550" s="551">
        <v>4500182101</v>
      </c>
      <c r="E550" s="1415" t="s">
        <v>2248</v>
      </c>
      <c r="F550" s="551" t="s">
        <v>2249</v>
      </c>
      <c r="G550" s="659" t="s">
        <v>101</v>
      </c>
      <c r="H550" s="246" t="s">
        <v>102</v>
      </c>
      <c r="I550" s="246">
        <v>5760</v>
      </c>
      <c r="J550" s="246">
        <v>0</v>
      </c>
      <c r="K550" s="246">
        <v>4</v>
      </c>
      <c r="L550" s="644">
        <f t="shared" si="158"/>
        <v>1440</v>
      </c>
      <c r="M550" s="645">
        <v>45989</v>
      </c>
      <c r="N550" s="645">
        <v>45985</v>
      </c>
      <c r="O550" s="643" t="s">
        <v>2245</v>
      </c>
      <c r="P550" s="824" t="s">
        <v>113</v>
      </c>
      <c r="Q550" s="646"/>
      <c r="R550" s="646" t="s">
        <v>2184</v>
      </c>
      <c r="S550" s="646" t="s">
        <v>70</v>
      </c>
      <c r="T550" s="646">
        <v>45959</v>
      </c>
      <c r="U550" s="646"/>
      <c r="V550" s="646" t="s">
        <v>148</v>
      </c>
      <c r="W550" s="642"/>
      <c r="X550" s="642" t="s">
        <v>1395</v>
      </c>
      <c r="Y550" s="647" t="s">
        <v>106</v>
      </c>
      <c r="Z550" s="657">
        <v>2.5439</v>
      </c>
      <c r="AA550" s="647">
        <f t="shared" si="159"/>
        <v>14652.864</v>
      </c>
      <c r="AB550" s="551"/>
      <c r="AC550" s="648"/>
      <c r="AD550" s="633" t="s">
        <v>101</v>
      </c>
      <c r="AE550" s="246" t="s">
        <v>82</v>
      </c>
      <c r="AF550" s="246"/>
      <c r="AG550" s="246"/>
      <c r="AH550" s="246"/>
      <c r="AI550" s="246">
        <v>5760</v>
      </c>
      <c r="AJ550" s="246">
        <f t="shared" si="166"/>
        <v>0</v>
      </c>
      <c r="AK550" s="246"/>
      <c r="AL550" s="246"/>
      <c r="AM550" s="551"/>
      <c r="AN550" s="551">
        <f t="shared" si="168"/>
        <v>5760</v>
      </c>
      <c r="AO550" s="1328"/>
      <c r="AP550" s="1328"/>
      <c r="AQ550" s="1328"/>
      <c r="AR550" s="551">
        <f t="shared" si="169"/>
        <v>5760</v>
      </c>
      <c r="AS550" s="551"/>
      <c r="AT550" s="551"/>
      <c r="AU550" s="551">
        <f t="shared" si="170"/>
        <v>5760</v>
      </c>
      <c r="AV550" s="551"/>
      <c r="AW550" s="551">
        <f t="shared" si="171"/>
        <v>5760</v>
      </c>
      <c r="AX550" s="651"/>
      <c r="AY550" s="551"/>
      <c r="AZ550" s="551"/>
      <c r="BA550" s="551"/>
      <c r="BB550" s="551"/>
      <c r="BC550" s="551"/>
      <c r="BD550" s="551"/>
      <c r="BE550" s="551"/>
      <c r="BF550" s="551"/>
      <c r="BG550" s="551"/>
      <c r="BH550" s="825">
        <f t="shared" si="172"/>
        <v>1440</v>
      </c>
      <c r="BI550" s="551"/>
      <c r="BJ550" s="551"/>
      <c r="BK550" s="551"/>
      <c r="BL550" s="551"/>
      <c r="BM550" s="551"/>
      <c r="BN550" s="551"/>
      <c r="BO550" s="551"/>
      <c r="BP550" s="551"/>
      <c r="BQ550" s="551"/>
      <c r="BR550" s="551"/>
      <c r="BS550" s="551"/>
      <c r="BT550" s="551"/>
      <c r="BU550" s="551"/>
      <c r="BV550" s="551"/>
      <c r="BW550" s="551"/>
      <c r="BX550" s="551"/>
      <c r="BY550" s="551"/>
      <c r="BZ550" s="551"/>
      <c r="CA550" s="551"/>
      <c r="CB550" s="551"/>
      <c r="CC550" s="551"/>
      <c r="CD550" s="551"/>
      <c r="CE550" s="551"/>
      <c r="CF550" s="551"/>
      <c r="CG550" s="551"/>
      <c r="CH550" s="650"/>
      <c r="CI550" s="650"/>
      <c r="CJ550" s="650"/>
      <c r="CK550" s="650"/>
      <c r="CL550" s="650"/>
      <c r="CM550" s="551"/>
      <c r="CN550" s="551"/>
      <c r="CO550" s="551"/>
      <c r="CP550" s="650"/>
      <c r="CQ550" s="650"/>
      <c r="CR550" s="650"/>
      <c r="CS550" s="650"/>
      <c r="CT550" s="650"/>
      <c r="CU550" s="650"/>
    </row>
    <row r="551" s="1265" customFormat="1" ht="31" customHeight="1" spans="1:99">
      <c r="A551" s="641">
        <v>45946</v>
      </c>
      <c r="B551" s="642" t="s">
        <v>143</v>
      </c>
      <c r="C551" s="246" t="s">
        <v>98</v>
      </c>
      <c r="D551" s="551">
        <v>4500182101</v>
      </c>
      <c r="E551" s="1415" t="s">
        <v>2250</v>
      </c>
      <c r="F551" s="551" t="s">
        <v>2251</v>
      </c>
      <c r="G551" s="659" t="s">
        <v>101</v>
      </c>
      <c r="H551" s="246" t="s">
        <v>102</v>
      </c>
      <c r="I551" s="246">
        <v>4480</v>
      </c>
      <c r="J551" s="246">
        <v>0</v>
      </c>
      <c r="K551" s="246">
        <v>4</v>
      </c>
      <c r="L551" s="644">
        <f t="shared" si="158"/>
        <v>1120</v>
      </c>
      <c r="M551" s="645">
        <v>45989</v>
      </c>
      <c r="N551" s="645">
        <v>45985</v>
      </c>
      <c r="O551" s="643" t="s">
        <v>2245</v>
      </c>
      <c r="P551" s="824" t="s">
        <v>113</v>
      </c>
      <c r="Q551" s="646"/>
      <c r="R551" s="646" t="s">
        <v>2184</v>
      </c>
      <c r="S551" s="646" t="s">
        <v>70</v>
      </c>
      <c r="T551" s="646">
        <v>45959</v>
      </c>
      <c r="U551" s="646"/>
      <c r="V551" s="646" t="s">
        <v>148</v>
      </c>
      <c r="W551" s="642"/>
      <c r="X551" s="642" t="s">
        <v>1395</v>
      </c>
      <c r="Y551" s="647" t="s">
        <v>106</v>
      </c>
      <c r="Z551" s="657">
        <v>2.5439</v>
      </c>
      <c r="AA551" s="647">
        <f t="shared" si="159"/>
        <v>11396.672</v>
      </c>
      <c r="AB551" s="551"/>
      <c r="AC551" s="648"/>
      <c r="AD551" s="633" t="s">
        <v>101</v>
      </c>
      <c r="AE551" s="246" t="s">
        <v>82</v>
      </c>
      <c r="AF551" s="246"/>
      <c r="AG551" s="246"/>
      <c r="AH551" s="246"/>
      <c r="AI551" s="246">
        <v>4480</v>
      </c>
      <c r="AJ551" s="246">
        <f t="shared" si="166"/>
        <v>0</v>
      </c>
      <c r="AK551" s="246"/>
      <c r="AL551" s="246"/>
      <c r="AM551" s="551"/>
      <c r="AN551" s="551">
        <f t="shared" si="168"/>
        <v>4480</v>
      </c>
      <c r="AO551" s="1328"/>
      <c r="AP551" s="1328"/>
      <c r="AQ551" s="1328"/>
      <c r="AR551" s="551">
        <f t="shared" si="169"/>
        <v>4480</v>
      </c>
      <c r="AS551" s="551"/>
      <c r="AT551" s="551"/>
      <c r="AU551" s="551">
        <f t="shared" si="170"/>
        <v>4480</v>
      </c>
      <c r="AV551" s="551"/>
      <c r="AW551" s="551">
        <f t="shared" si="171"/>
        <v>4480</v>
      </c>
      <c r="AX551" s="651"/>
      <c r="AY551" s="551"/>
      <c r="AZ551" s="551"/>
      <c r="BA551" s="551"/>
      <c r="BB551" s="551"/>
      <c r="BC551" s="551"/>
      <c r="BD551" s="551"/>
      <c r="BE551" s="551"/>
      <c r="BF551" s="551"/>
      <c r="BG551" s="551"/>
      <c r="BH551" s="825">
        <f t="shared" si="172"/>
        <v>1120</v>
      </c>
      <c r="BI551" s="551"/>
      <c r="BJ551" s="551"/>
      <c r="BK551" s="551"/>
      <c r="BL551" s="551"/>
      <c r="BM551" s="551"/>
      <c r="BN551" s="551"/>
      <c r="BO551" s="551"/>
      <c r="BP551" s="551"/>
      <c r="BQ551" s="551"/>
      <c r="BR551" s="551"/>
      <c r="BS551" s="551"/>
      <c r="BT551" s="551"/>
      <c r="BU551" s="551"/>
      <c r="BV551" s="551"/>
      <c r="BW551" s="551"/>
      <c r="BX551" s="551"/>
      <c r="BY551" s="551"/>
      <c r="BZ551" s="551"/>
      <c r="CA551" s="551"/>
      <c r="CB551" s="551"/>
      <c r="CC551" s="551"/>
      <c r="CD551" s="551"/>
      <c r="CE551" s="551"/>
      <c r="CF551" s="551"/>
      <c r="CG551" s="551"/>
      <c r="CH551" s="650"/>
      <c r="CI551" s="650"/>
      <c r="CJ551" s="650"/>
      <c r="CK551" s="650"/>
      <c r="CL551" s="650"/>
      <c r="CM551" s="551"/>
      <c r="CN551" s="551"/>
      <c r="CO551" s="551"/>
      <c r="CP551" s="650"/>
      <c r="CQ551" s="650"/>
      <c r="CR551" s="650"/>
      <c r="CS551" s="650"/>
      <c r="CT551" s="650"/>
      <c r="CU551" s="650"/>
    </row>
    <row r="552" s="1265" customFormat="1" ht="31" customHeight="1" spans="1:99">
      <c r="A552" s="641">
        <v>45946</v>
      </c>
      <c r="B552" s="642" t="s">
        <v>143</v>
      </c>
      <c r="C552" s="246" t="s">
        <v>98</v>
      </c>
      <c r="D552" s="551">
        <v>4500182101</v>
      </c>
      <c r="E552" s="1415" t="s">
        <v>2252</v>
      </c>
      <c r="F552" s="551" t="s">
        <v>2253</v>
      </c>
      <c r="G552" s="659" t="s">
        <v>101</v>
      </c>
      <c r="H552" s="246" t="s">
        <v>102</v>
      </c>
      <c r="I552" s="246">
        <v>4160</v>
      </c>
      <c r="J552" s="246">
        <v>0</v>
      </c>
      <c r="K552" s="246">
        <v>4</v>
      </c>
      <c r="L552" s="644">
        <f t="shared" si="158"/>
        <v>1040</v>
      </c>
      <c r="M552" s="645">
        <v>45989</v>
      </c>
      <c r="N552" s="645">
        <v>45985</v>
      </c>
      <c r="O552" s="643" t="s">
        <v>2245</v>
      </c>
      <c r="P552" s="824" t="s">
        <v>113</v>
      </c>
      <c r="Q552" s="646"/>
      <c r="R552" s="646" t="s">
        <v>2184</v>
      </c>
      <c r="S552" s="646" t="s">
        <v>70</v>
      </c>
      <c r="T552" s="646">
        <v>45959</v>
      </c>
      <c r="U552" s="646"/>
      <c r="V552" s="646" t="s">
        <v>148</v>
      </c>
      <c r="W552" s="642"/>
      <c r="X552" s="642" t="s">
        <v>1395</v>
      </c>
      <c r="Y552" s="647" t="s">
        <v>106</v>
      </c>
      <c r="Z552" s="657">
        <v>2.5439</v>
      </c>
      <c r="AA552" s="647">
        <f t="shared" si="159"/>
        <v>10582.624</v>
      </c>
      <c r="AB552" s="551"/>
      <c r="AC552" s="648"/>
      <c r="AD552" s="633" t="s">
        <v>101</v>
      </c>
      <c r="AE552" s="246" t="s">
        <v>82</v>
      </c>
      <c r="AF552" s="246"/>
      <c r="AG552" s="246"/>
      <c r="AH552" s="246"/>
      <c r="AI552" s="246">
        <v>4160</v>
      </c>
      <c r="AJ552" s="246">
        <f t="shared" si="166"/>
        <v>0</v>
      </c>
      <c r="AK552" s="246"/>
      <c r="AL552" s="246"/>
      <c r="AM552" s="551"/>
      <c r="AN552" s="551">
        <f t="shared" si="168"/>
        <v>4160</v>
      </c>
      <c r="AO552" s="1328"/>
      <c r="AP552" s="1328"/>
      <c r="AQ552" s="1328"/>
      <c r="AR552" s="551">
        <f t="shared" si="169"/>
        <v>4160</v>
      </c>
      <c r="AS552" s="551"/>
      <c r="AT552" s="551"/>
      <c r="AU552" s="551">
        <f t="shared" si="170"/>
        <v>4160</v>
      </c>
      <c r="AV552" s="551"/>
      <c r="AW552" s="551">
        <f t="shared" si="171"/>
        <v>4160</v>
      </c>
      <c r="AX552" s="651"/>
      <c r="AY552" s="551"/>
      <c r="AZ552" s="551"/>
      <c r="BA552" s="551"/>
      <c r="BB552" s="551"/>
      <c r="BC552" s="551"/>
      <c r="BD552" s="551"/>
      <c r="BE552" s="551"/>
      <c r="BF552" s="551"/>
      <c r="BG552" s="551"/>
      <c r="BH552" s="825">
        <f t="shared" si="172"/>
        <v>1040</v>
      </c>
      <c r="BI552" s="551"/>
      <c r="BJ552" s="551"/>
      <c r="BK552" s="551"/>
      <c r="BL552" s="551"/>
      <c r="BM552" s="551"/>
      <c r="BN552" s="551"/>
      <c r="BO552" s="551"/>
      <c r="BP552" s="551"/>
      <c r="BQ552" s="551"/>
      <c r="BR552" s="551"/>
      <c r="BS552" s="551"/>
      <c r="BT552" s="551"/>
      <c r="BU552" s="551"/>
      <c r="BV552" s="551"/>
      <c r="BW552" s="551"/>
      <c r="BX552" s="551"/>
      <c r="BY552" s="551"/>
      <c r="BZ552" s="551"/>
      <c r="CA552" s="551"/>
      <c r="CB552" s="551"/>
      <c r="CC552" s="551"/>
      <c r="CD552" s="551"/>
      <c r="CE552" s="551"/>
      <c r="CF552" s="551"/>
      <c r="CG552" s="551"/>
      <c r="CH552" s="650"/>
      <c r="CI552" s="650"/>
      <c r="CJ552" s="650"/>
      <c r="CK552" s="650"/>
      <c r="CL552" s="650"/>
      <c r="CM552" s="551"/>
      <c r="CN552" s="551"/>
      <c r="CO552" s="551"/>
      <c r="CP552" s="650"/>
      <c r="CQ552" s="650"/>
      <c r="CR552" s="650"/>
      <c r="CS552" s="650"/>
      <c r="CT552" s="650"/>
      <c r="CU552" s="650"/>
    </row>
    <row r="553" s="1265" customFormat="1" ht="31" customHeight="1" spans="1:99">
      <c r="A553" s="641">
        <v>45946</v>
      </c>
      <c r="B553" s="642" t="s">
        <v>143</v>
      </c>
      <c r="C553" s="246" t="s">
        <v>98</v>
      </c>
      <c r="D553" s="551">
        <v>4500182101</v>
      </c>
      <c r="E553" s="1415" t="s">
        <v>2254</v>
      </c>
      <c r="F553" s="551" t="s">
        <v>2255</v>
      </c>
      <c r="G553" s="659" t="s">
        <v>101</v>
      </c>
      <c r="H553" s="246" t="s">
        <v>102</v>
      </c>
      <c r="I553" s="246">
        <v>3200</v>
      </c>
      <c r="J553" s="246">
        <v>0</v>
      </c>
      <c r="K553" s="246">
        <v>4</v>
      </c>
      <c r="L553" s="644">
        <f t="shared" si="158"/>
        <v>800</v>
      </c>
      <c r="M553" s="645">
        <v>45989</v>
      </c>
      <c r="N553" s="645">
        <v>45985</v>
      </c>
      <c r="O553" s="643" t="s">
        <v>2245</v>
      </c>
      <c r="P553" s="824" t="s">
        <v>113</v>
      </c>
      <c r="Q553" s="646"/>
      <c r="R553" s="646" t="s">
        <v>2184</v>
      </c>
      <c r="S553" s="646" t="s">
        <v>70</v>
      </c>
      <c r="T553" s="646">
        <v>45959</v>
      </c>
      <c r="U553" s="646"/>
      <c r="V553" s="646" t="s">
        <v>148</v>
      </c>
      <c r="W553" s="642"/>
      <c r="X553" s="642" t="s">
        <v>1395</v>
      </c>
      <c r="Y553" s="647" t="s">
        <v>106</v>
      </c>
      <c r="Z553" s="657">
        <v>2.5439</v>
      </c>
      <c r="AA553" s="647">
        <f t="shared" si="159"/>
        <v>8140.48</v>
      </c>
      <c r="AB553" s="551"/>
      <c r="AC553" s="648"/>
      <c r="AD553" s="633" t="s">
        <v>101</v>
      </c>
      <c r="AE553" s="246" t="s">
        <v>82</v>
      </c>
      <c r="AF553" s="246"/>
      <c r="AG553" s="246"/>
      <c r="AH553" s="246"/>
      <c r="AI553" s="246">
        <f>1440+1760</f>
        <v>3200</v>
      </c>
      <c r="AJ553" s="246">
        <f t="shared" si="166"/>
        <v>0</v>
      </c>
      <c r="AK553" s="246"/>
      <c r="AL553" s="246"/>
      <c r="AM553" s="551"/>
      <c r="AN553" s="551">
        <f t="shared" si="168"/>
        <v>3200</v>
      </c>
      <c r="AO553" s="1328"/>
      <c r="AP553" s="1328"/>
      <c r="AQ553" s="1328"/>
      <c r="AR553" s="551">
        <f t="shared" si="169"/>
        <v>3200</v>
      </c>
      <c r="AS553" s="551"/>
      <c r="AT553" s="551"/>
      <c r="AU553" s="551">
        <f t="shared" si="170"/>
        <v>3200</v>
      </c>
      <c r="AV553" s="551"/>
      <c r="AW553" s="551">
        <f t="shared" si="171"/>
        <v>3200</v>
      </c>
      <c r="AX553" s="651"/>
      <c r="AY553" s="551"/>
      <c r="AZ553" s="551"/>
      <c r="BA553" s="551"/>
      <c r="BB553" s="551"/>
      <c r="BC553" s="551"/>
      <c r="BD553" s="551"/>
      <c r="BE553" s="551"/>
      <c r="BF553" s="551"/>
      <c r="BG553" s="551"/>
      <c r="BH553" s="825">
        <f t="shared" si="172"/>
        <v>800</v>
      </c>
      <c r="BI553" s="551"/>
      <c r="BJ553" s="551"/>
      <c r="BK553" s="551"/>
      <c r="BL553" s="551"/>
      <c r="BM553" s="551"/>
      <c r="BN553" s="551"/>
      <c r="BO553" s="551"/>
      <c r="BP553" s="551"/>
      <c r="BQ553" s="551"/>
      <c r="BR553" s="551"/>
      <c r="BS553" s="551"/>
      <c r="BT553" s="551"/>
      <c r="BU553" s="551"/>
      <c r="BV553" s="551"/>
      <c r="BW553" s="551"/>
      <c r="BX553" s="551"/>
      <c r="BY553" s="551"/>
      <c r="BZ553" s="551"/>
      <c r="CA553" s="551"/>
      <c r="CB553" s="551"/>
      <c r="CC553" s="551"/>
      <c r="CD553" s="551"/>
      <c r="CE553" s="551"/>
      <c r="CF553" s="551"/>
      <c r="CG553" s="551"/>
      <c r="CH553" s="650"/>
      <c r="CI553" s="650"/>
      <c r="CJ553" s="650"/>
      <c r="CK553" s="650"/>
      <c r="CL553" s="650"/>
      <c r="CM553" s="551"/>
      <c r="CN553" s="551"/>
      <c r="CO553" s="551"/>
      <c r="CP553" s="650"/>
      <c r="CQ553" s="650"/>
      <c r="CR553" s="650"/>
      <c r="CS553" s="650"/>
      <c r="CT553" s="650"/>
      <c r="CU553" s="650"/>
    </row>
    <row r="554" s="1265" customFormat="1" ht="31" customHeight="1" spans="1:99">
      <c r="A554" s="641">
        <v>45946</v>
      </c>
      <c r="B554" s="642" t="s">
        <v>143</v>
      </c>
      <c r="C554" s="246" t="s">
        <v>98</v>
      </c>
      <c r="D554" s="551">
        <v>4500182101</v>
      </c>
      <c r="E554" s="1415" t="s">
        <v>2256</v>
      </c>
      <c r="F554" s="551" t="s">
        <v>2257</v>
      </c>
      <c r="G554" s="659" t="s">
        <v>101</v>
      </c>
      <c r="H554" s="246" t="s">
        <v>102</v>
      </c>
      <c r="I554" s="246">
        <v>3520</v>
      </c>
      <c r="J554" s="246">
        <v>0</v>
      </c>
      <c r="K554" s="246">
        <v>4</v>
      </c>
      <c r="L554" s="644">
        <f t="shared" si="158"/>
        <v>880</v>
      </c>
      <c r="M554" s="645">
        <v>45989</v>
      </c>
      <c r="N554" s="645">
        <v>45985</v>
      </c>
      <c r="O554" s="643" t="s">
        <v>2245</v>
      </c>
      <c r="P554" s="824" t="s">
        <v>113</v>
      </c>
      <c r="Q554" s="646"/>
      <c r="R554" s="646" t="s">
        <v>2184</v>
      </c>
      <c r="S554" s="646" t="s">
        <v>70</v>
      </c>
      <c r="T554" s="646">
        <v>45959</v>
      </c>
      <c r="U554" s="646"/>
      <c r="V554" s="646" t="s">
        <v>148</v>
      </c>
      <c r="W554" s="642"/>
      <c r="X554" s="642" t="s">
        <v>1395</v>
      </c>
      <c r="Y554" s="647" t="s">
        <v>106</v>
      </c>
      <c r="Z554" s="657">
        <v>2.5439</v>
      </c>
      <c r="AA554" s="647">
        <f t="shared" si="159"/>
        <v>8954.528</v>
      </c>
      <c r="AB554" s="551"/>
      <c r="AC554" s="648"/>
      <c r="AD554" s="633" t="s">
        <v>101</v>
      </c>
      <c r="AE554" s="246" t="s">
        <v>82</v>
      </c>
      <c r="AF554" s="246"/>
      <c r="AG554" s="246"/>
      <c r="AH554" s="246"/>
      <c r="AI554" s="246">
        <v>3520</v>
      </c>
      <c r="AJ554" s="246">
        <f t="shared" si="166"/>
        <v>0</v>
      </c>
      <c r="AK554" s="246"/>
      <c r="AL554" s="246"/>
      <c r="AM554" s="551"/>
      <c r="AN554" s="551">
        <f t="shared" si="168"/>
        <v>3520</v>
      </c>
      <c r="AO554" s="1328"/>
      <c r="AP554" s="1328"/>
      <c r="AQ554" s="1328"/>
      <c r="AR554" s="551">
        <f t="shared" si="169"/>
        <v>3520</v>
      </c>
      <c r="AS554" s="551"/>
      <c r="AT554" s="551"/>
      <c r="AU554" s="551">
        <f t="shared" si="170"/>
        <v>3520</v>
      </c>
      <c r="AV554" s="551"/>
      <c r="AW554" s="551">
        <f t="shared" si="171"/>
        <v>3520</v>
      </c>
      <c r="AX554" s="651"/>
      <c r="AY554" s="551"/>
      <c r="AZ554" s="551"/>
      <c r="BA554" s="551"/>
      <c r="BB554" s="551"/>
      <c r="BC554" s="551"/>
      <c r="BD554" s="551"/>
      <c r="BE554" s="551"/>
      <c r="BF554" s="551"/>
      <c r="BG554" s="551"/>
      <c r="BH554" s="825">
        <f t="shared" si="172"/>
        <v>880</v>
      </c>
      <c r="BI554" s="551"/>
      <c r="BJ554" s="551"/>
      <c r="BK554" s="551"/>
      <c r="BL554" s="551"/>
      <c r="BM554" s="551"/>
      <c r="BN554" s="551"/>
      <c r="BO554" s="551"/>
      <c r="BP554" s="551"/>
      <c r="BQ554" s="551"/>
      <c r="BR554" s="551"/>
      <c r="BS554" s="551"/>
      <c r="BT554" s="551"/>
      <c r="BU554" s="551"/>
      <c r="BV554" s="551"/>
      <c r="BW554" s="551"/>
      <c r="BX554" s="551"/>
      <c r="BY554" s="551"/>
      <c r="BZ554" s="551"/>
      <c r="CA554" s="551"/>
      <c r="CB554" s="551"/>
      <c r="CC554" s="551"/>
      <c r="CD554" s="551"/>
      <c r="CE554" s="551"/>
      <c r="CF554" s="551"/>
      <c r="CG554" s="551"/>
      <c r="CH554" s="650"/>
      <c r="CI554" s="650"/>
      <c r="CJ554" s="650"/>
      <c r="CK554" s="650"/>
      <c r="CL554" s="650"/>
      <c r="CM554" s="551"/>
      <c r="CN554" s="551"/>
      <c r="CO554" s="551"/>
      <c r="CP554" s="650"/>
      <c r="CQ554" s="650"/>
      <c r="CR554" s="650"/>
      <c r="CS554" s="650"/>
      <c r="CT554" s="650"/>
      <c r="CU554" s="650"/>
    </row>
    <row r="555" s="1265" customFormat="1" ht="31" customHeight="1" spans="1:99">
      <c r="A555" s="641">
        <v>45925</v>
      </c>
      <c r="B555" s="642" t="s">
        <v>871</v>
      </c>
      <c r="C555" s="246" t="s">
        <v>98</v>
      </c>
      <c r="D555" s="551">
        <v>4500180252</v>
      </c>
      <c r="E555" s="246" t="s">
        <v>2258</v>
      </c>
      <c r="F555" s="551" t="s">
        <v>2259</v>
      </c>
      <c r="G555" s="659" t="s">
        <v>101</v>
      </c>
      <c r="H555" s="246" t="s">
        <v>102</v>
      </c>
      <c r="I555" s="246">
        <v>3200</v>
      </c>
      <c r="J555" s="246">
        <v>0</v>
      </c>
      <c r="K555" s="246">
        <v>4</v>
      </c>
      <c r="L555" s="644">
        <f t="shared" si="158"/>
        <v>800</v>
      </c>
      <c r="M555" s="645">
        <v>45991</v>
      </c>
      <c r="N555" s="645">
        <v>45989</v>
      </c>
      <c r="O555" s="643"/>
      <c r="P555" s="824" t="s">
        <v>113</v>
      </c>
      <c r="Q555" s="646"/>
      <c r="R555" s="646">
        <v>45924</v>
      </c>
      <c r="S555" s="646" t="s">
        <v>70</v>
      </c>
      <c r="T555" s="646" t="s">
        <v>70</v>
      </c>
      <c r="U555" s="646"/>
      <c r="V555" s="646" t="s">
        <v>70</v>
      </c>
      <c r="W555" s="642"/>
      <c r="X555" s="642" t="s">
        <v>2260</v>
      </c>
      <c r="Y555" s="647" t="s">
        <v>355</v>
      </c>
      <c r="Z555" s="657">
        <v>2.5768</v>
      </c>
      <c r="AA555" s="647">
        <f t="shared" si="159"/>
        <v>8245.76</v>
      </c>
      <c r="AC555" s="648"/>
      <c r="AD555" s="633" t="s">
        <v>101</v>
      </c>
      <c r="AE555" s="246" t="s">
        <v>82</v>
      </c>
      <c r="AF555" s="246"/>
      <c r="AG555" s="246"/>
      <c r="AH555" s="246"/>
      <c r="AI555" s="246">
        <f>720+2480</f>
        <v>3200</v>
      </c>
      <c r="AJ555" s="246">
        <f t="shared" si="166"/>
        <v>0</v>
      </c>
      <c r="AK555" s="246"/>
      <c r="AL555" s="246"/>
      <c r="AM555" s="551"/>
      <c r="AN555" s="551">
        <f t="shared" si="168"/>
        <v>3200</v>
      </c>
      <c r="AO555" s="1328"/>
      <c r="AP555" s="1328"/>
      <c r="AQ555" s="1328"/>
      <c r="AR555" s="551">
        <f t="shared" si="169"/>
        <v>3200</v>
      </c>
      <c r="AS555" s="551"/>
      <c r="AT555" s="551"/>
      <c r="AU555" s="551">
        <f t="shared" si="170"/>
        <v>3200</v>
      </c>
      <c r="AV555" s="551"/>
      <c r="AW555" s="551">
        <f t="shared" si="171"/>
        <v>3200</v>
      </c>
      <c r="AX555" s="651"/>
      <c r="AY555" s="1331"/>
      <c r="AZ555" s="551"/>
      <c r="BA555" s="1331"/>
      <c r="BB555" s="1331"/>
      <c r="BC555" s="1331"/>
      <c r="BD555" s="551"/>
      <c r="BE555" s="551"/>
      <c r="BF555" s="1331"/>
      <c r="BG555" s="1331"/>
      <c r="BH555" s="825">
        <f t="shared" si="172"/>
        <v>800</v>
      </c>
      <c r="BI555" s="551"/>
      <c r="BJ555" s="1331"/>
      <c r="BK555" s="1331"/>
      <c r="BL555" s="1331"/>
      <c r="BM555" s="551"/>
      <c r="BN555" s="551"/>
      <c r="BO555" s="1331"/>
      <c r="BP555" s="1331"/>
      <c r="BQ555" s="1265"/>
      <c r="BR555" s="1265"/>
      <c r="BS555" s="1265"/>
      <c r="BT555" s="1265"/>
      <c r="BU555" s="1265"/>
      <c r="BV555" s="1265"/>
      <c r="BW555" s="1265"/>
      <c r="BX555" s="1265"/>
      <c r="BY555" s="1265"/>
      <c r="BZ555" s="1265"/>
      <c r="CA555" s="1265"/>
      <c r="CB555" s="1265"/>
      <c r="CC555" s="1265"/>
      <c r="CD555" s="1265"/>
      <c r="CE555" s="1265"/>
      <c r="CF555" s="1265"/>
      <c r="CG555" s="1265"/>
      <c r="CH555" s="650"/>
      <c r="CI555" s="650"/>
      <c r="CJ555" s="650"/>
      <c r="CK555" s="650"/>
      <c r="CL555" s="650"/>
      <c r="CM555" s="1265"/>
      <c r="CN555" s="1265"/>
      <c r="CO555" s="1265"/>
      <c r="CP555" s="650"/>
      <c r="CQ555" s="650"/>
      <c r="CR555" s="650"/>
      <c r="CS555" s="650"/>
      <c r="CT555" s="650"/>
      <c r="CU555" s="650"/>
    </row>
    <row r="556" s="1265" customFormat="1" ht="34" customHeight="1" spans="1:99">
      <c r="A556" s="641">
        <v>45950</v>
      </c>
      <c r="B556" s="642" t="s">
        <v>135</v>
      </c>
      <c r="C556" s="246" t="s">
        <v>128</v>
      </c>
      <c r="D556" s="551">
        <v>4500182434</v>
      </c>
      <c r="E556" s="246">
        <v>21098930</v>
      </c>
      <c r="F556" s="551" t="s">
        <v>2261</v>
      </c>
      <c r="G556" s="659" t="s">
        <v>68</v>
      </c>
      <c r="H556" s="633" t="s">
        <v>69</v>
      </c>
      <c r="I556" s="246">
        <v>4200</v>
      </c>
      <c r="J556" s="246">
        <v>0</v>
      </c>
      <c r="K556" s="246">
        <v>12</v>
      </c>
      <c r="L556" s="644">
        <f t="shared" si="158"/>
        <v>350</v>
      </c>
      <c r="M556" s="645">
        <v>45992</v>
      </c>
      <c r="N556" s="645">
        <f>M556-4</f>
        <v>45988</v>
      </c>
      <c r="O556" s="643"/>
      <c r="P556" s="824" t="s">
        <v>113</v>
      </c>
      <c r="Q556" s="646"/>
      <c r="R556" s="646">
        <v>45960</v>
      </c>
      <c r="S556" s="646" t="s">
        <v>70</v>
      </c>
      <c r="T556" s="646" t="s">
        <v>2262</v>
      </c>
      <c r="U556" s="646"/>
      <c r="V556" s="646"/>
      <c r="W556" s="642"/>
      <c r="X556" s="642" t="s">
        <v>2263</v>
      </c>
      <c r="Y556" s="647" t="s">
        <v>133</v>
      </c>
      <c r="Z556" s="657">
        <v>4.2333</v>
      </c>
      <c r="AA556" s="647">
        <f t="shared" si="159"/>
        <v>17779.86</v>
      </c>
      <c r="AB556" s="551"/>
      <c r="AC556" s="658" t="s">
        <v>2264</v>
      </c>
      <c r="AD556" s="633" t="s">
        <v>68</v>
      </c>
      <c r="AE556" s="246" t="s">
        <v>82</v>
      </c>
      <c r="AF556" s="246"/>
      <c r="AG556" s="246"/>
      <c r="AH556" s="246"/>
      <c r="AI556" s="246">
        <v>4200</v>
      </c>
      <c r="AJ556" s="643">
        <f t="shared" si="166"/>
        <v>0</v>
      </c>
      <c r="AK556" s="246"/>
      <c r="AL556" s="246"/>
      <c r="AM556" s="551"/>
      <c r="AN556" s="551">
        <f t="shared" si="168"/>
        <v>4200</v>
      </c>
      <c r="AO556" s="1328"/>
      <c r="AP556" s="1328"/>
      <c r="AQ556" s="1328"/>
      <c r="AR556" s="551">
        <f t="shared" si="169"/>
        <v>4200</v>
      </c>
      <c r="AS556" s="551"/>
      <c r="AT556" s="551"/>
      <c r="AU556" s="551">
        <f t="shared" si="170"/>
        <v>4200</v>
      </c>
      <c r="AV556" s="551"/>
      <c r="AW556" s="551">
        <f t="shared" si="171"/>
        <v>4200</v>
      </c>
      <c r="AX556" s="651"/>
      <c r="AY556" s="551"/>
      <c r="AZ556" s="551"/>
      <c r="BA556" s="551"/>
      <c r="BB556" s="551"/>
      <c r="BC556" s="551"/>
      <c r="BD556" s="551"/>
      <c r="BE556" s="551"/>
      <c r="BF556" s="551"/>
      <c r="BG556" s="551"/>
      <c r="BH556" s="551"/>
      <c r="BI556" s="551"/>
      <c r="BJ556" s="551"/>
      <c r="BK556" s="551"/>
      <c r="BL556" s="551"/>
      <c r="BM556" s="551"/>
      <c r="BN556" s="551"/>
      <c r="BO556" s="551"/>
      <c r="BP556" s="551"/>
      <c r="BQ556" s="551"/>
      <c r="BR556" s="551"/>
      <c r="BS556" s="551"/>
      <c r="BT556" s="551"/>
      <c r="BU556" s="551"/>
      <c r="BV556" s="551"/>
      <c r="BW556" s="551"/>
      <c r="BX556" s="551"/>
      <c r="BY556" s="551"/>
      <c r="BZ556" s="551"/>
      <c r="CA556" s="551"/>
      <c r="CB556" s="551"/>
      <c r="CC556" s="551"/>
      <c r="CD556" s="551"/>
      <c r="CE556" s="551"/>
      <c r="CF556" s="551"/>
      <c r="CG556" s="551"/>
      <c r="CH556" s="650"/>
      <c r="CI556" s="650"/>
      <c r="CJ556" s="650"/>
      <c r="CK556" s="650"/>
      <c r="CL556" s="650"/>
      <c r="CM556" s="551"/>
      <c r="CN556" s="551"/>
      <c r="CO556" s="551"/>
      <c r="CP556" s="650"/>
      <c r="CQ556" s="650"/>
      <c r="CR556" s="650"/>
      <c r="CS556" s="650"/>
      <c r="CT556" s="650"/>
      <c r="CU556" s="650"/>
    </row>
    <row r="557" s="1265" customFormat="1" ht="34" customHeight="1" spans="1:99">
      <c r="A557" s="641">
        <v>45950</v>
      </c>
      <c r="B557" s="642" t="s">
        <v>139</v>
      </c>
      <c r="C557" s="246" t="s">
        <v>76</v>
      </c>
      <c r="D557" s="551">
        <v>4500182442</v>
      </c>
      <c r="E557" s="246">
        <v>21098931</v>
      </c>
      <c r="F557" s="551" t="s">
        <v>2265</v>
      </c>
      <c r="G557" s="659" t="s">
        <v>68</v>
      </c>
      <c r="H557" s="633" t="s">
        <v>69</v>
      </c>
      <c r="I557" s="246">
        <v>420</v>
      </c>
      <c r="J557" s="246">
        <v>0</v>
      </c>
      <c r="K557" s="246">
        <v>12</v>
      </c>
      <c r="L557" s="644">
        <f t="shared" si="158"/>
        <v>35</v>
      </c>
      <c r="M557" s="645">
        <v>45992</v>
      </c>
      <c r="N557" s="645">
        <f>M557-4</f>
        <v>45988</v>
      </c>
      <c r="O557" s="643"/>
      <c r="P557" s="824" t="s">
        <v>113</v>
      </c>
      <c r="Q557" s="646"/>
      <c r="R557" s="646">
        <v>45960</v>
      </c>
      <c r="S557" s="646" t="s">
        <v>70</v>
      </c>
      <c r="T557" s="646" t="s">
        <v>2266</v>
      </c>
      <c r="U557" s="646"/>
      <c r="V557" s="646"/>
      <c r="W557" s="642"/>
      <c r="X557" s="642" t="s">
        <v>2267</v>
      </c>
      <c r="Y557" s="647" t="s">
        <v>133</v>
      </c>
      <c r="Z557" s="657">
        <v>4.2386</v>
      </c>
      <c r="AA557" s="647">
        <f t="shared" si="159"/>
        <v>1780.212</v>
      </c>
      <c r="AB557" s="551"/>
      <c r="AC557" s="648" t="s">
        <v>2268</v>
      </c>
      <c r="AD557" s="633" t="s">
        <v>68</v>
      </c>
      <c r="AE557" s="246" t="s">
        <v>82</v>
      </c>
      <c r="AF557" s="246"/>
      <c r="AG557" s="246"/>
      <c r="AH557" s="246"/>
      <c r="AI557" s="246">
        <v>420</v>
      </c>
      <c r="AJ557" s="643">
        <f t="shared" si="166"/>
        <v>0</v>
      </c>
      <c r="AK557" s="246"/>
      <c r="AL557" s="246"/>
      <c r="AM557" s="551"/>
      <c r="AN557" s="551">
        <f t="shared" si="168"/>
        <v>420</v>
      </c>
      <c r="AO557" s="1328"/>
      <c r="AP557" s="1328"/>
      <c r="AQ557" s="1328"/>
      <c r="AR557" s="551">
        <f t="shared" si="169"/>
        <v>420</v>
      </c>
      <c r="AS557" s="551"/>
      <c r="AT557" s="551"/>
      <c r="AU557" s="551">
        <f t="shared" si="170"/>
        <v>420</v>
      </c>
      <c r="AV557" s="551"/>
      <c r="AW557" s="551">
        <f t="shared" si="171"/>
        <v>420</v>
      </c>
      <c r="AX557" s="651"/>
      <c r="AY557" s="551"/>
      <c r="AZ557" s="551"/>
      <c r="BA557" s="551"/>
      <c r="BB557" s="551"/>
      <c r="BC557" s="551"/>
      <c r="BD557" s="551"/>
      <c r="BE557" s="551"/>
      <c r="BF557" s="551"/>
      <c r="BG557" s="551"/>
      <c r="BH557" s="551"/>
      <c r="BI557" s="551"/>
      <c r="BJ557" s="551"/>
      <c r="BK557" s="551"/>
      <c r="BL557" s="551"/>
      <c r="BM557" s="551"/>
      <c r="BN557" s="551"/>
      <c r="BO557" s="551"/>
      <c r="BP557" s="551"/>
      <c r="BQ557" s="551"/>
      <c r="BR557" s="551"/>
      <c r="BS557" s="551"/>
      <c r="BT557" s="551"/>
      <c r="BU557" s="551"/>
      <c r="BV557" s="551"/>
      <c r="BW557" s="551"/>
      <c r="BX557" s="551"/>
      <c r="BY557" s="551"/>
      <c r="BZ557" s="551"/>
      <c r="CA557" s="551"/>
      <c r="CB557" s="551"/>
      <c r="CC557" s="551"/>
      <c r="CD557" s="551"/>
      <c r="CE557" s="551"/>
      <c r="CF557" s="551"/>
      <c r="CG557" s="551"/>
      <c r="CH557" s="650"/>
      <c r="CI557" s="650"/>
      <c r="CJ557" s="650"/>
      <c r="CK557" s="650"/>
      <c r="CL557" s="650"/>
      <c r="CM557" s="551"/>
      <c r="CN557" s="551"/>
      <c r="CO557" s="551"/>
      <c r="CP557" s="650"/>
      <c r="CQ557" s="650"/>
      <c r="CR557" s="650"/>
      <c r="CS557" s="650"/>
      <c r="CT557" s="650"/>
      <c r="CU557" s="650"/>
    </row>
    <row r="558" s="1265" customFormat="1" ht="34" customHeight="1" spans="1:99">
      <c r="A558" s="641">
        <v>45959</v>
      </c>
      <c r="B558" s="642" t="s">
        <v>325</v>
      </c>
      <c r="C558" s="246" t="s">
        <v>98</v>
      </c>
      <c r="D558" s="551">
        <v>4500183607</v>
      </c>
      <c r="E558" s="246" t="s">
        <v>2269</v>
      </c>
      <c r="F558" s="551" t="s">
        <v>2270</v>
      </c>
      <c r="G558" s="659" t="s">
        <v>249</v>
      </c>
      <c r="H558" s="246" t="s">
        <v>250</v>
      </c>
      <c r="I558" s="246">
        <v>10516</v>
      </c>
      <c r="J558" s="246">
        <v>0</v>
      </c>
      <c r="K558" s="246">
        <v>4</v>
      </c>
      <c r="L558" s="644">
        <f t="shared" si="158"/>
        <v>2629</v>
      </c>
      <c r="M558" s="645">
        <v>45992</v>
      </c>
      <c r="N558" s="645">
        <f>M558-4</f>
        <v>45988</v>
      </c>
      <c r="O558" s="643" t="s">
        <v>2271</v>
      </c>
      <c r="P558" s="824" t="s">
        <v>113</v>
      </c>
      <c r="Q558" s="646"/>
      <c r="R558" s="646">
        <v>45959</v>
      </c>
      <c r="S558" s="646" t="s">
        <v>104</v>
      </c>
      <c r="T558" s="646" t="s">
        <v>2272</v>
      </c>
      <c r="U558" s="646"/>
      <c r="V558" s="646"/>
      <c r="W558" s="642"/>
      <c r="X558" s="642" t="s">
        <v>2273</v>
      </c>
      <c r="Y558" s="647" t="s">
        <v>252</v>
      </c>
      <c r="Z558" s="657">
        <v>2.7832</v>
      </c>
      <c r="AA558" s="647">
        <f t="shared" si="159"/>
        <v>29268.1312</v>
      </c>
      <c r="AB558" s="551"/>
      <c r="AC558" s="648"/>
      <c r="AD558" s="633" t="s">
        <v>249</v>
      </c>
      <c r="AE558" s="246" t="s">
        <v>82</v>
      </c>
      <c r="AF558" s="246"/>
      <c r="AG558" s="246"/>
      <c r="AH558" s="246">
        <v>1</v>
      </c>
      <c r="AI558" s="246">
        <f>1440+9076</f>
        <v>10516</v>
      </c>
      <c r="AJ558" s="643">
        <f t="shared" si="166"/>
        <v>0</v>
      </c>
      <c r="AK558" s="246"/>
      <c r="AL558" s="246"/>
      <c r="AM558" s="551"/>
      <c r="AN558" s="551"/>
      <c r="AO558" s="551"/>
      <c r="AP558" s="551">
        <f>I558</f>
        <v>10516</v>
      </c>
      <c r="AQ558" s="551"/>
      <c r="AR558" s="551">
        <f t="shared" si="169"/>
        <v>10516</v>
      </c>
      <c r="AS558" s="551"/>
      <c r="AT558" s="551"/>
      <c r="AU558" s="551">
        <f t="shared" si="170"/>
        <v>10516</v>
      </c>
      <c r="AV558" s="551"/>
      <c r="AW558" s="551">
        <f t="shared" si="171"/>
        <v>10516</v>
      </c>
      <c r="AX558" s="651"/>
      <c r="AY558" s="551"/>
      <c r="AZ558" s="551"/>
      <c r="BA558" s="551"/>
      <c r="BB558" s="551"/>
      <c r="BC558" s="551"/>
      <c r="BD558" s="551"/>
      <c r="BE558" s="551"/>
      <c r="BF558" s="551">
        <f>I558</f>
        <v>10516</v>
      </c>
      <c r="BG558" s="551">
        <f>I558</f>
        <v>10516</v>
      </c>
      <c r="BH558" s="825">
        <f>I558/4</f>
        <v>2629</v>
      </c>
      <c r="BI558" s="551"/>
      <c r="BJ558" s="551"/>
      <c r="BK558" s="551"/>
      <c r="BL558" s="551"/>
      <c r="BM558" s="551"/>
      <c r="BN558" s="551"/>
      <c r="BO558" s="551"/>
      <c r="BP558" s="551"/>
      <c r="BQ558" s="551"/>
      <c r="BR558" s="551"/>
      <c r="BS558" s="551"/>
      <c r="BT558" s="551"/>
      <c r="BU558" s="551"/>
      <c r="BV558" s="551"/>
      <c r="BW558" s="551"/>
      <c r="BX558" s="551"/>
      <c r="BY558" s="551"/>
      <c r="BZ558" s="551"/>
      <c r="CA558" s="551"/>
      <c r="CB558" s="551"/>
      <c r="CC558" s="551"/>
      <c r="CD558" s="551"/>
      <c r="CE558" s="551"/>
      <c r="CF558" s="551"/>
      <c r="CG558" s="551"/>
      <c r="CH558" s="650"/>
      <c r="CI558" s="650"/>
      <c r="CJ558" s="650"/>
      <c r="CK558" s="650"/>
      <c r="CL558" s="650"/>
      <c r="CM558" s="551"/>
      <c r="CN558" s="551"/>
      <c r="CO558" s="551"/>
      <c r="CP558" s="650"/>
      <c r="CQ558" s="650"/>
      <c r="CR558" s="650"/>
      <c r="CS558" s="650"/>
      <c r="CT558" s="650"/>
      <c r="CU558" s="650"/>
    </row>
    <row r="559" s="1265" customFormat="1" ht="31" customHeight="1" spans="1:99">
      <c r="A559" s="641">
        <v>45943</v>
      </c>
      <c r="B559" s="1332" t="s">
        <v>650</v>
      </c>
      <c r="C559" s="246" t="s">
        <v>424</v>
      </c>
      <c r="D559" s="551">
        <v>4500176686</v>
      </c>
      <c r="E559" s="246">
        <v>300581433</v>
      </c>
      <c r="F559" s="551" t="s">
        <v>2274</v>
      </c>
      <c r="G559" s="659" t="s">
        <v>207</v>
      </c>
      <c r="H559" s="246" t="s">
        <v>102</v>
      </c>
      <c r="I559" s="246">
        <v>360</v>
      </c>
      <c r="J559" s="246">
        <v>0</v>
      </c>
      <c r="K559" s="246">
        <v>4</v>
      </c>
      <c r="L559" s="644">
        <f t="shared" si="158"/>
        <v>90</v>
      </c>
      <c r="M559" s="645">
        <v>45993</v>
      </c>
      <c r="N559" s="645">
        <f>M559-4</f>
        <v>45989</v>
      </c>
      <c r="O559" s="643"/>
      <c r="P559" s="824" t="s">
        <v>113</v>
      </c>
      <c r="Q559" s="646"/>
      <c r="R559" s="646">
        <v>45946</v>
      </c>
      <c r="S559" s="646" t="s">
        <v>70</v>
      </c>
      <c r="T559" s="646" t="s">
        <v>2275</v>
      </c>
      <c r="U559" s="646"/>
      <c r="V559" s="642"/>
      <c r="W559" s="642"/>
      <c r="X559" s="642" t="s">
        <v>2276</v>
      </c>
      <c r="Y559" s="647" t="s">
        <v>428</v>
      </c>
      <c r="Z559" s="657">
        <v>4.2337</v>
      </c>
      <c r="AA559" s="647">
        <f t="shared" si="159"/>
        <v>1524.132</v>
      </c>
      <c r="AB559" s="551"/>
      <c r="AC559" s="658" t="s">
        <v>2277</v>
      </c>
      <c r="AD559" s="633" t="s">
        <v>390</v>
      </c>
      <c r="AE559" s="246" t="s">
        <v>82</v>
      </c>
      <c r="AF559" s="246"/>
      <c r="AG559" s="246"/>
      <c r="AH559" s="246"/>
      <c r="AI559" s="246">
        <v>360</v>
      </c>
      <c r="AJ559" s="643">
        <f t="shared" si="166"/>
        <v>0</v>
      </c>
      <c r="AK559" s="246"/>
      <c r="AL559" s="246"/>
      <c r="AM559" s="551"/>
      <c r="AN559" s="551">
        <f t="shared" ref="AN559:AN570" si="173">I559</f>
        <v>360</v>
      </c>
      <c r="AO559" s="551"/>
      <c r="AP559" s="551"/>
      <c r="AQ559" s="551"/>
      <c r="AR559" s="551"/>
      <c r="AS559" s="551">
        <f>I559</f>
        <v>360</v>
      </c>
      <c r="AT559" s="551"/>
      <c r="AU559" s="551">
        <f t="shared" si="170"/>
        <v>360</v>
      </c>
      <c r="AV559" s="551"/>
      <c r="AW559" s="551">
        <f t="shared" si="171"/>
        <v>360</v>
      </c>
      <c r="AX559" s="651"/>
      <c r="AY559" s="551"/>
      <c r="AZ559" s="551"/>
      <c r="BA559" s="551"/>
      <c r="BB559" s="551"/>
      <c r="BC559" s="551"/>
      <c r="BD559" s="551"/>
      <c r="BE559" s="551"/>
      <c r="BF559" s="551"/>
      <c r="BG559" s="551"/>
      <c r="BH559" s="551"/>
      <c r="BI559" s="551"/>
      <c r="BJ559" s="551"/>
      <c r="BK559" s="551"/>
      <c r="BL559" s="551"/>
      <c r="BM559" s="551"/>
      <c r="BN559" s="551"/>
      <c r="BO559" s="551"/>
      <c r="BP559" s="551"/>
      <c r="BQ559" s="551"/>
      <c r="BR559" s="551"/>
      <c r="BS559" s="551"/>
      <c r="BT559" s="551"/>
      <c r="BU559" s="551"/>
      <c r="BV559" s="551"/>
      <c r="BW559" s="551"/>
      <c r="BX559" s="551"/>
      <c r="BY559" s="551"/>
      <c r="BZ559" s="551"/>
      <c r="CA559" s="551"/>
      <c r="CB559" s="551"/>
      <c r="CC559" s="551"/>
      <c r="CD559" s="551"/>
      <c r="CE559" s="551"/>
      <c r="CF559" s="551"/>
      <c r="CG559" s="551"/>
      <c r="CH559" s="650"/>
      <c r="CI559" s="650"/>
      <c r="CJ559" s="650"/>
      <c r="CK559" s="650"/>
      <c r="CL559" s="650"/>
      <c r="CM559" s="551"/>
      <c r="CN559" s="551"/>
      <c r="CO559" s="551"/>
      <c r="CP559" s="650"/>
      <c r="CQ559" s="650"/>
      <c r="CR559" s="650"/>
      <c r="CS559" s="650"/>
      <c r="CT559" s="650"/>
      <c r="CU559" s="650"/>
    </row>
    <row r="560" s="1265" customFormat="1" ht="31" customHeight="1" spans="1:99">
      <c r="A560" s="641">
        <v>45928</v>
      </c>
      <c r="B560" s="642" t="s">
        <v>549</v>
      </c>
      <c r="C560" s="246" t="s">
        <v>278</v>
      </c>
      <c r="D560" s="551">
        <v>4500180754</v>
      </c>
      <c r="E560" s="246" t="s">
        <v>2278</v>
      </c>
      <c r="F560" s="551" t="s">
        <v>2279</v>
      </c>
      <c r="G560" s="659" t="s">
        <v>68</v>
      </c>
      <c r="H560" s="633" t="s">
        <v>69</v>
      </c>
      <c r="I560" s="246">
        <v>1068</v>
      </c>
      <c r="J560" s="246">
        <v>0</v>
      </c>
      <c r="K560" s="246">
        <v>12</v>
      </c>
      <c r="L560" s="644">
        <f t="shared" si="158"/>
        <v>89</v>
      </c>
      <c r="M560" s="645">
        <v>45995</v>
      </c>
      <c r="N560" s="645">
        <f>M560-3</f>
        <v>45992</v>
      </c>
      <c r="O560" s="643"/>
      <c r="P560" s="824" t="s">
        <v>113</v>
      </c>
      <c r="Q560" s="646"/>
      <c r="R560" s="646" t="s">
        <v>463</v>
      </c>
      <c r="S560" s="646" t="s">
        <v>104</v>
      </c>
      <c r="T560" s="772" t="s">
        <v>2280</v>
      </c>
      <c r="U560" s="772"/>
      <c r="V560" s="646"/>
      <c r="W560" s="642"/>
      <c r="X560" s="749" t="s">
        <v>2281</v>
      </c>
      <c r="Y560" s="647" t="s">
        <v>466</v>
      </c>
      <c r="Z560" s="657">
        <v>4.135</v>
      </c>
      <c r="AA560" s="647">
        <f t="shared" si="159"/>
        <v>4416.18</v>
      </c>
      <c r="AC560" s="658" t="s">
        <v>2282</v>
      </c>
      <c r="AD560" s="633" t="s">
        <v>184</v>
      </c>
      <c r="AE560" s="246" t="s">
        <v>82</v>
      </c>
      <c r="AF560" s="246"/>
      <c r="AG560" s="246"/>
      <c r="AH560" s="246">
        <v>1</v>
      </c>
      <c r="AI560" s="246">
        <v>1068</v>
      </c>
      <c r="AJ560" s="643">
        <f t="shared" si="166"/>
        <v>0</v>
      </c>
      <c r="AK560" s="246"/>
      <c r="AL560" s="246"/>
      <c r="AM560" s="551"/>
      <c r="AN560" s="551">
        <f t="shared" si="173"/>
        <v>1068</v>
      </c>
      <c r="AO560" s="551"/>
      <c r="AP560" s="551"/>
      <c r="AQ560" s="551"/>
      <c r="AR560" s="551"/>
      <c r="AS560" s="551">
        <f>I560</f>
        <v>1068</v>
      </c>
      <c r="AT560" s="551"/>
      <c r="AU560" s="551">
        <f t="shared" si="170"/>
        <v>1068</v>
      </c>
      <c r="AV560" s="551"/>
      <c r="AW560" s="551">
        <f t="shared" si="171"/>
        <v>1068</v>
      </c>
      <c r="AX560" s="651"/>
      <c r="AY560" s="1331"/>
      <c r="AZ560" s="551"/>
      <c r="BA560" s="1331"/>
      <c r="BB560" s="1331"/>
      <c r="BC560" s="1331"/>
      <c r="BD560" s="551"/>
      <c r="BE560" s="551"/>
      <c r="BF560" s="1331"/>
      <c r="BG560" s="1331"/>
      <c r="BH560" s="551"/>
      <c r="BI560" s="551"/>
      <c r="BJ560" s="1331"/>
      <c r="BK560" s="1331"/>
      <c r="BL560" s="1331"/>
      <c r="BM560" s="551"/>
      <c r="BN560" s="551"/>
      <c r="BO560" s="1331"/>
      <c r="BP560" s="1331"/>
      <c r="BQ560" s="1265"/>
      <c r="BR560" s="1265"/>
      <c r="BS560" s="1265"/>
      <c r="BT560" s="1265"/>
      <c r="BU560" s="1265"/>
      <c r="BV560" s="1265"/>
      <c r="BW560" s="1265"/>
      <c r="BX560" s="1265"/>
      <c r="BY560" s="1265"/>
      <c r="BZ560" s="1265"/>
      <c r="CA560" s="1265"/>
      <c r="CB560" s="1265"/>
      <c r="CC560" s="1265"/>
      <c r="CD560" s="1265"/>
      <c r="CE560" s="1265"/>
      <c r="CF560" s="1265"/>
      <c r="CG560" s="1265"/>
      <c r="CH560" s="650"/>
      <c r="CI560" s="650"/>
      <c r="CJ560" s="650"/>
      <c r="CK560" s="650"/>
      <c r="CL560" s="650"/>
      <c r="CM560" s="1265"/>
      <c r="CN560" s="1265"/>
      <c r="CO560" s="1265"/>
      <c r="CP560" s="650"/>
      <c r="CQ560" s="650"/>
      <c r="CR560" s="650"/>
      <c r="CS560" s="650"/>
      <c r="CT560" s="650"/>
      <c r="CU560" s="650"/>
    </row>
    <row r="561" s="1265" customFormat="1" ht="31" customHeight="1" spans="1:99">
      <c r="A561" s="641">
        <v>45905</v>
      </c>
      <c r="B561" s="642" t="s">
        <v>1800</v>
      </c>
      <c r="C561" s="246" t="s">
        <v>744</v>
      </c>
      <c r="D561" s="551">
        <v>4500178919</v>
      </c>
      <c r="E561" s="246">
        <v>5000001988</v>
      </c>
      <c r="F561" s="551" t="s">
        <v>2283</v>
      </c>
      <c r="G561" s="659" t="s">
        <v>518</v>
      </c>
      <c r="H561" s="246" t="s">
        <v>477</v>
      </c>
      <c r="I561" s="246">
        <v>10002</v>
      </c>
      <c r="J561" s="246">
        <v>0</v>
      </c>
      <c r="K561" s="246">
        <v>6</v>
      </c>
      <c r="L561" s="644">
        <f t="shared" si="158"/>
        <v>1667</v>
      </c>
      <c r="M561" s="645">
        <v>45996</v>
      </c>
      <c r="N561" s="645">
        <v>45992</v>
      </c>
      <c r="O561" s="643"/>
      <c r="P561" s="824" t="s">
        <v>113</v>
      </c>
      <c r="Q561" s="646"/>
      <c r="R561" s="646">
        <v>45960</v>
      </c>
      <c r="S561" s="829" t="s">
        <v>104</v>
      </c>
      <c r="T561" s="646" t="s">
        <v>2239</v>
      </c>
      <c r="U561" s="646"/>
      <c r="V561" s="642"/>
      <c r="W561" s="642"/>
      <c r="X561" s="642" t="s">
        <v>2240</v>
      </c>
      <c r="Y561" s="647" t="s">
        <v>1805</v>
      </c>
      <c r="Z561" s="657">
        <v>6.3409</v>
      </c>
      <c r="AA561" s="647">
        <f t="shared" si="159"/>
        <v>63421.6818</v>
      </c>
      <c r="AC561" s="648" t="s">
        <v>2284</v>
      </c>
      <c r="AD561" s="633" t="s">
        <v>2241</v>
      </c>
      <c r="AE561" s="246" t="s">
        <v>82</v>
      </c>
      <c r="AF561" s="246"/>
      <c r="AG561" s="246"/>
      <c r="AH561" s="246">
        <v>1</v>
      </c>
      <c r="AI561" s="246">
        <f>534+9450+18</f>
        <v>10002</v>
      </c>
      <c r="AJ561" s="643">
        <f t="shared" si="166"/>
        <v>0</v>
      </c>
      <c r="AK561" s="246"/>
      <c r="AL561" s="246"/>
      <c r="AM561" s="551"/>
      <c r="AN561" s="551">
        <f t="shared" si="173"/>
        <v>10002</v>
      </c>
      <c r="AO561" s="551"/>
      <c r="AP561" s="551"/>
      <c r="AQ561" s="551"/>
      <c r="AR561" s="551">
        <f>I561</f>
        <v>10002</v>
      </c>
      <c r="AS561" s="551"/>
      <c r="AT561" s="551"/>
      <c r="AU561" s="551"/>
      <c r="AV561" s="551">
        <f>I561</f>
        <v>10002</v>
      </c>
      <c r="AW561" s="551"/>
      <c r="AX561" s="834">
        <f>I561</f>
        <v>10002</v>
      </c>
      <c r="AY561" s="1331"/>
      <c r="AZ561" s="551"/>
      <c r="BA561" s="1331"/>
      <c r="BB561" s="1331"/>
      <c r="BC561" s="1331"/>
      <c r="BD561" s="551"/>
      <c r="BE561" s="551"/>
      <c r="BF561" s="1331"/>
      <c r="BG561" s="1331"/>
      <c r="BH561" s="551"/>
      <c r="BI561" s="551"/>
      <c r="BJ561" s="1331"/>
      <c r="BK561" s="1331"/>
      <c r="BL561" s="1331"/>
      <c r="BM561" s="551"/>
      <c r="BN561" s="551">
        <f>I561</f>
        <v>10002</v>
      </c>
      <c r="BO561" s="1331"/>
      <c r="BP561" s="1331"/>
      <c r="BQ561" s="1265"/>
      <c r="BR561" s="1265"/>
      <c r="BS561" s="1265"/>
      <c r="BT561" s="1265"/>
      <c r="BU561" s="1265"/>
      <c r="BV561" s="1265"/>
      <c r="BW561" s="1265"/>
      <c r="BX561" s="1265"/>
      <c r="BY561" s="1265"/>
      <c r="BZ561" s="1265"/>
      <c r="CA561" s="1265"/>
      <c r="CB561" s="1265"/>
      <c r="CC561" s="1265"/>
      <c r="CD561" s="1265"/>
      <c r="CE561" s="1265"/>
      <c r="CF561" s="1265"/>
      <c r="CG561" s="1265"/>
      <c r="CH561" s="650"/>
      <c r="CI561" s="650"/>
      <c r="CJ561" s="650"/>
      <c r="CK561" s="650"/>
      <c r="CL561" s="650"/>
      <c r="CM561" s="1265"/>
      <c r="CN561" s="1265"/>
      <c r="CO561" s="1265"/>
      <c r="CP561" s="650"/>
      <c r="CQ561" s="650"/>
      <c r="CR561" s="650"/>
      <c r="CS561" s="650"/>
      <c r="CT561" s="650"/>
      <c r="CU561" s="650"/>
    </row>
    <row r="562" s="1265" customFormat="1" ht="31" customHeight="1" spans="1:99">
      <c r="A562" s="641">
        <v>45930</v>
      </c>
      <c r="B562" s="642" t="s">
        <v>2285</v>
      </c>
      <c r="C562" s="246" t="s">
        <v>2286</v>
      </c>
      <c r="D562" s="551">
        <v>4500181141</v>
      </c>
      <c r="E562" s="246" t="s">
        <v>2287</v>
      </c>
      <c r="F562" s="551" t="s">
        <v>2288</v>
      </c>
      <c r="G562" s="659" t="s">
        <v>68</v>
      </c>
      <c r="H562" s="633" t="s">
        <v>69</v>
      </c>
      <c r="I562" s="246">
        <v>408</v>
      </c>
      <c r="J562" s="246">
        <v>0</v>
      </c>
      <c r="K562" s="246">
        <v>12</v>
      </c>
      <c r="L562" s="644">
        <f t="shared" si="158"/>
        <v>34</v>
      </c>
      <c r="M562" s="645">
        <v>45996</v>
      </c>
      <c r="N562" s="645">
        <v>45992</v>
      </c>
      <c r="O562" s="643"/>
      <c r="P562" s="824" t="s">
        <v>113</v>
      </c>
      <c r="Q562" s="646"/>
      <c r="R562" s="646">
        <v>45930</v>
      </c>
      <c r="S562" s="646" t="s">
        <v>70</v>
      </c>
      <c r="T562" s="646" t="s">
        <v>2289</v>
      </c>
      <c r="U562" s="646"/>
      <c r="V562" s="642"/>
      <c r="W562" s="642"/>
      <c r="X562" s="642" t="s">
        <v>2290</v>
      </c>
      <c r="Y562" s="647" t="s">
        <v>529</v>
      </c>
      <c r="Z562" s="657">
        <v>4.1018</v>
      </c>
      <c r="AA562" s="647">
        <f t="shared" si="159"/>
        <v>1673.5344</v>
      </c>
      <c r="AB562" s="551"/>
      <c r="AC562" s="648" t="s">
        <v>2291</v>
      </c>
      <c r="AD562" s="633" t="s">
        <v>184</v>
      </c>
      <c r="AE562" s="246" t="s">
        <v>82</v>
      </c>
      <c r="AF562" s="246"/>
      <c r="AG562" s="246"/>
      <c r="AH562" s="246">
        <v>1</v>
      </c>
      <c r="AI562" s="246">
        <v>408</v>
      </c>
      <c r="AJ562" s="643">
        <f t="shared" si="166"/>
        <v>0</v>
      </c>
      <c r="AK562" s="246"/>
      <c r="AL562" s="246"/>
      <c r="AM562" s="551"/>
      <c r="AN562" s="551">
        <f t="shared" si="173"/>
        <v>408</v>
      </c>
      <c r="AO562" s="551"/>
      <c r="AP562" s="551"/>
      <c r="AQ562" s="551"/>
      <c r="AR562" s="551"/>
      <c r="AS562" s="551">
        <f>I562</f>
        <v>408</v>
      </c>
      <c r="AT562" s="551"/>
      <c r="AU562" s="551">
        <f t="shared" ref="AU562:AU569" si="174">I562</f>
        <v>408</v>
      </c>
      <c r="AV562" s="551"/>
      <c r="AW562" s="551">
        <f t="shared" ref="AW562:AW569" si="175">I562</f>
        <v>408</v>
      </c>
      <c r="AX562" s="651"/>
      <c r="AY562" s="551"/>
      <c r="AZ562" s="551"/>
      <c r="BA562" s="551"/>
      <c r="BB562" s="551"/>
      <c r="BC562" s="551"/>
      <c r="BD562" s="551"/>
      <c r="BE562" s="551"/>
      <c r="BF562" s="551"/>
      <c r="BG562" s="551"/>
      <c r="BH562" s="551"/>
      <c r="BI562" s="551"/>
      <c r="BJ562" s="551"/>
      <c r="BK562" s="551"/>
      <c r="BL562" s="551"/>
      <c r="BM562" s="551"/>
      <c r="BN562" s="551"/>
      <c r="BO562" s="551"/>
      <c r="BP562" s="551"/>
      <c r="BQ562" s="551"/>
      <c r="BR562" s="551"/>
      <c r="BS562" s="551"/>
      <c r="BT562" s="551"/>
      <c r="BU562" s="551"/>
      <c r="BV562" s="551"/>
      <c r="BW562" s="551"/>
      <c r="BX562" s="551"/>
      <c r="BY562" s="551"/>
      <c r="BZ562" s="551"/>
      <c r="CA562" s="551"/>
      <c r="CB562" s="551"/>
      <c r="CC562" s="551"/>
      <c r="CD562" s="551"/>
      <c r="CE562" s="551"/>
      <c r="CF562" s="551"/>
      <c r="CG562" s="551"/>
      <c r="CH562" s="650"/>
      <c r="CI562" s="650"/>
      <c r="CJ562" s="650"/>
      <c r="CK562" s="650"/>
      <c r="CL562" s="650"/>
      <c r="CM562" s="551"/>
      <c r="CN562" s="551"/>
      <c r="CO562" s="551"/>
      <c r="CP562" s="650"/>
      <c r="CQ562" s="650"/>
      <c r="CR562" s="650"/>
      <c r="CS562" s="650"/>
      <c r="CT562" s="650"/>
      <c r="CU562" s="650"/>
    </row>
    <row r="563" s="1265" customFormat="1" ht="31" customHeight="1" spans="1:99">
      <c r="A563" s="641">
        <v>45944</v>
      </c>
      <c r="B563" s="1332" t="s">
        <v>211</v>
      </c>
      <c r="C563" s="246" t="s">
        <v>212</v>
      </c>
      <c r="D563" s="551">
        <v>4500181824</v>
      </c>
      <c r="E563" s="246" t="s">
        <v>2292</v>
      </c>
      <c r="F563" s="551" t="s">
        <v>2293</v>
      </c>
      <c r="G563" s="659" t="s">
        <v>111</v>
      </c>
      <c r="H563" s="246" t="s">
        <v>112</v>
      </c>
      <c r="I563" s="246">
        <v>576</v>
      </c>
      <c r="J563" s="246">
        <v>0</v>
      </c>
      <c r="K563" s="246">
        <v>16</v>
      </c>
      <c r="L563" s="644">
        <f t="shared" si="158"/>
        <v>36</v>
      </c>
      <c r="M563" s="645">
        <v>45996</v>
      </c>
      <c r="N563" s="645">
        <v>45992</v>
      </c>
      <c r="O563" s="643"/>
      <c r="P563" s="824" t="s">
        <v>113</v>
      </c>
      <c r="Q563" s="646"/>
      <c r="R563" s="646">
        <v>45944</v>
      </c>
      <c r="S563" s="646" t="s">
        <v>70</v>
      </c>
      <c r="T563" s="646" t="s">
        <v>2294</v>
      </c>
      <c r="U563" s="646"/>
      <c r="V563" s="642"/>
      <c r="W563" s="642"/>
      <c r="X563" s="642" t="s">
        <v>2295</v>
      </c>
      <c r="Y563" s="647" t="s">
        <v>1793</v>
      </c>
      <c r="Z563" s="657">
        <v>4.2114</v>
      </c>
      <c r="AA563" s="647">
        <f t="shared" si="159"/>
        <v>2425.7664</v>
      </c>
      <c r="AB563" s="551"/>
      <c r="AC563" s="658" t="s">
        <v>2296</v>
      </c>
      <c r="AD563" s="633" t="s">
        <v>111</v>
      </c>
      <c r="AE563" s="246" t="s">
        <v>82</v>
      </c>
      <c r="AF563" s="246"/>
      <c r="AG563" s="246"/>
      <c r="AH563" s="246">
        <v>1</v>
      </c>
      <c r="AI563" s="246">
        <v>576</v>
      </c>
      <c r="AJ563" s="643">
        <f t="shared" si="166"/>
        <v>0</v>
      </c>
      <c r="AK563" s="246"/>
      <c r="AL563" s="246"/>
      <c r="AM563" s="551"/>
      <c r="AN563" s="551">
        <f t="shared" si="173"/>
        <v>576</v>
      </c>
      <c r="AO563" s="551"/>
      <c r="AP563" s="551"/>
      <c r="AQ563" s="551"/>
      <c r="AR563" s="551">
        <f t="shared" ref="AR563:AR569" si="176">I563</f>
        <v>576</v>
      </c>
      <c r="AS563" s="551"/>
      <c r="AT563" s="551"/>
      <c r="AU563" s="551">
        <f t="shared" si="174"/>
        <v>576</v>
      </c>
      <c r="AV563" s="551"/>
      <c r="AW563" s="551">
        <f t="shared" si="175"/>
        <v>576</v>
      </c>
      <c r="AX563" s="651"/>
      <c r="AY563" s="551"/>
      <c r="AZ563" s="551"/>
      <c r="BA563" s="551"/>
      <c r="BB563" s="551"/>
      <c r="BC563" s="551"/>
      <c r="BD563" s="551"/>
      <c r="BE563" s="551"/>
      <c r="BF563" s="551"/>
      <c r="BG563" s="551"/>
      <c r="BH563" s="825">
        <f>I563/4</f>
        <v>144</v>
      </c>
      <c r="BI563" s="551"/>
      <c r="BJ563" s="551"/>
      <c r="BK563" s="551"/>
      <c r="BL563" s="551"/>
      <c r="BM563" s="551"/>
      <c r="BN563" s="551"/>
      <c r="BO563" s="551"/>
      <c r="BP563" s="551"/>
      <c r="BQ563" s="551"/>
      <c r="BR563" s="551"/>
      <c r="BS563" s="551"/>
      <c r="BT563" s="551"/>
      <c r="BU563" s="551"/>
      <c r="BV563" s="551"/>
      <c r="BW563" s="551"/>
      <c r="BX563" s="551"/>
      <c r="BY563" s="551"/>
      <c r="BZ563" s="551"/>
      <c r="CA563" s="551"/>
      <c r="CB563" s="551"/>
      <c r="CC563" s="551"/>
      <c r="CD563" s="551"/>
      <c r="CE563" s="551"/>
      <c r="CF563" s="551"/>
      <c r="CG563" s="551"/>
      <c r="CH563" s="650"/>
      <c r="CI563" s="650"/>
      <c r="CJ563" s="650"/>
      <c r="CK563" s="650"/>
      <c r="CL563" s="650"/>
      <c r="CM563" s="551"/>
      <c r="CN563" s="551"/>
      <c r="CO563" s="551"/>
      <c r="CP563" s="650"/>
      <c r="CQ563" s="650"/>
      <c r="CR563" s="650"/>
      <c r="CS563" s="650"/>
      <c r="CT563" s="650"/>
      <c r="CU563" s="650"/>
    </row>
    <row r="564" s="1265" customFormat="1" ht="31" customHeight="1" spans="1:99">
      <c r="A564" s="641">
        <v>45944</v>
      </c>
      <c r="B564" s="1332" t="s">
        <v>211</v>
      </c>
      <c r="C564" s="246" t="s">
        <v>212</v>
      </c>
      <c r="D564" s="551">
        <v>4500181824</v>
      </c>
      <c r="E564" s="246" t="s">
        <v>2292</v>
      </c>
      <c r="F564" s="551" t="s">
        <v>2297</v>
      </c>
      <c r="G564" s="659" t="s">
        <v>518</v>
      </c>
      <c r="H564" s="246" t="s">
        <v>477</v>
      </c>
      <c r="I564" s="246">
        <v>300</v>
      </c>
      <c r="J564" s="246">
        <v>0</v>
      </c>
      <c r="K564" s="246">
        <v>6</v>
      </c>
      <c r="L564" s="644">
        <f t="shared" si="158"/>
        <v>50</v>
      </c>
      <c r="M564" s="645">
        <v>45996</v>
      </c>
      <c r="N564" s="645">
        <v>45992</v>
      </c>
      <c r="O564" s="643"/>
      <c r="P564" s="824" t="s">
        <v>113</v>
      </c>
      <c r="Q564" s="646"/>
      <c r="R564" s="646">
        <v>45944</v>
      </c>
      <c r="S564" s="646" t="s">
        <v>70</v>
      </c>
      <c r="T564" s="646" t="s">
        <v>2294</v>
      </c>
      <c r="U564" s="646"/>
      <c r="V564" s="642"/>
      <c r="W564" s="642"/>
      <c r="X564" s="642" t="s">
        <v>2298</v>
      </c>
      <c r="Y564" s="647" t="s">
        <v>1793</v>
      </c>
      <c r="Z564" s="657">
        <v>6.5552</v>
      </c>
      <c r="AA564" s="647">
        <f t="shared" si="159"/>
        <v>1966.56</v>
      </c>
      <c r="AB564" s="551"/>
      <c r="AC564" s="658" t="s">
        <v>2296</v>
      </c>
      <c r="AD564" s="633" t="s">
        <v>2241</v>
      </c>
      <c r="AE564" s="246" t="s">
        <v>82</v>
      </c>
      <c r="AF564" s="246"/>
      <c r="AG564" s="246"/>
      <c r="AH564" s="246">
        <v>1</v>
      </c>
      <c r="AI564" s="246">
        <v>300</v>
      </c>
      <c r="AJ564" s="643">
        <f t="shared" si="166"/>
        <v>0</v>
      </c>
      <c r="AK564" s="246"/>
      <c r="AL564" s="246"/>
      <c r="AM564" s="551"/>
      <c r="AN564" s="551">
        <f t="shared" si="173"/>
        <v>300</v>
      </c>
      <c r="AO564" s="551"/>
      <c r="AP564" s="551"/>
      <c r="AQ564" s="551"/>
      <c r="AR564" s="551">
        <f t="shared" si="176"/>
        <v>300</v>
      </c>
      <c r="AS564" s="551"/>
      <c r="AT564" s="551"/>
      <c r="AU564" s="551">
        <f t="shared" si="174"/>
        <v>300</v>
      </c>
      <c r="AV564" s="551"/>
      <c r="AW564" s="551">
        <f t="shared" si="175"/>
        <v>300</v>
      </c>
      <c r="AX564" s="651"/>
      <c r="AY564" s="551"/>
      <c r="AZ564" s="551"/>
      <c r="BA564" s="551"/>
      <c r="BB564" s="551"/>
      <c r="BC564" s="551"/>
      <c r="BD564" s="551"/>
      <c r="BE564" s="551"/>
      <c r="BF564" s="551"/>
      <c r="BG564" s="551"/>
      <c r="BH564" s="551"/>
      <c r="BI564" s="551"/>
      <c r="BJ564" s="551"/>
      <c r="BK564" s="551"/>
      <c r="BL564" s="551"/>
      <c r="BM564" s="551"/>
      <c r="BN564" s="551">
        <f>I564</f>
        <v>300</v>
      </c>
      <c r="BO564" s="551"/>
      <c r="BP564" s="551"/>
      <c r="BQ564" s="551"/>
      <c r="BR564" s="551"/>
      <c r="BS564" s="551"/>
      <c r="BT564" s="551"/>
      <c r="BU564" s="551"/>
      <c r="BV564" s="551"/>
      <c r="BW564" s="551"/>
      <c r="BX564" s="551"/>
      <c r="BY564" s="551"/>
      <c r="BZ564" s="551"/>
      <c r="CA564" s="551"/>
      <c r="CB564" s="551"/>
      <c r="CC564" s="551"/>
      <c r="CD564" s="551"/>
      <c r="CE564" s="551"/>
      <c r="CF564" s="551"/>
      <c r="CG564" s="551"/>
      <c r="CH564" s="650"/>
      <c r="CI564" s="650"/>
      <c r="CJ564" s="650"/>
      <c r="CK564" s="650"/>
      <c r="CL564" s="650"/>
      <c r="CM564" s="551"/>
      <c r="CN564" s="551"/>
      <c r="CO564" s="551"/>
      <c r="CP564" s="650"/>
      <c r="CQ564" s="650"/>
      <c r="CR564" s="650"/>
      <c r="CS564" s="650"/>
      <c r="CT564" s="650"/>
      <c r="CU564" s="650"/>
    </row>
    <row r="565" s="1265" customFormat="1" ht="31" customHeight="1" spans="1:99">
      <c r="A565" s="641">
        <v>45960</v>
      </c>
      <c r="B565" s="1332" t="s">
        <v>143</v>
      </c>
      <c r="C565" s="246" t="s">
        <v>98</v>
      </c>
      <c r="D565" s="551">
        <v>4500183715</v>
      </c>
      <c r="E565" s="1416" t="s">
        <v>2299</v>
      </c>
      <c r="F565" s="551" t="s">
        <v>2300</v>
      </c>
      <c r="G565" s="659" t="s">
        <v>101</v>
      </c>
      <c r="H565" s="246" t="s">
        <v>102</v>
      </c>
      <c r="I565" s="246">
        <v>3520</v>
      </c>
      <c r="J565" s="246">
        <v>0</v>
      </c>
      <c r="K565" s="246">
        <v>4</v>
      </c>
      <c r="L565" s="644">
        <f t="shared" si="158"/>
        <v>880</v>
      </c>
      <c r="M565" s="645">
        <v>45996</v>
      </c>
      <c r="N565" s="645">
        <v>45992</v>
      </c>
      <c r="O565" s="643"/>
      <c r="P565" s="824" t="s">
        <v>113</v>
      </c>
      <c r="Q565" s="646"/>
      <c r="R565" s="646" t="s">
        <v>2184</v>
      </c>
      <c r="S565" s="646" t="s">
        <v>70</v>
      </c>
      <c r="T565" s="646" t="s">
        <v>148</v>
      </c>
      <c r="U565" s="646"/>
      <c r="V565" s="646"/>
      <c r="W565" s="642"/>
      <c r="X565" s="642" t="s">
        <v>1395</v>
      </c>
      <c r="Y565" s="647" t="s">
        <v>106</v>
      </c>
      <c r="Z565" s="657">
        <v>2.5439</v>
      </c>
      <c r="AA565" s="647">
        <f t="shared" si="159"/>
        <v>8954.528</v>
      </c>
      <c r="AB565" s="551"/>
      <c r="AC565" s="648"/>
      <c r="AD565" s="633" t="s">
        <v>101</v>
      </c>
      <c r="AE565" s="246" t="s">
        <v>82</v>
      </c>
      <c r="AF565" s="246"/>
      <c r="AG565" s="246"/>
      <c r="AH565" s="246">
        <v>1</v>
      </c>
      <c r="AI565" s="246">
        <v>3520</v>
      </c>
      <c r="AJ565" s="643">
        <f t="shared" si="166"/>
        <v>0</v>
      </c>
      <c r="AK565" s="246"/>
      <c r="AL565" s="246"/>
      <c r="AM565" s="551"/>
      <c r="AN565" s="551">
        <f t="shared" si="173"/>
        <v>3520</v>
      </c>
      <c r="AO565" s="551"/>
      <c r="AP565" s="551"/>
      <c r="AQ565" s="551"/>
      <c r="AR565" s="551">
        <f t="shared" si="176"/>
        <v>3520</v>
      </c>
      <c r="AS565" s="551"/>
      <c r="AT565" s="551"/>
      <c r="AU565" s="551">
        <f t="shared" si="174"/>
        <v>3520</v>
      </c>
      <c r="AV565" s="551"/>
      <c r="AW565" s="551">
        <f t="shared" si="175"/>
        <v>3520</v>
      </c>
      <c r="AX565" s="651"/>
      <c r="AY565" s="551"/>
      <c r="AZ565" s="551"/>
      <c r="BA565" s="551"/>
      <c r="BB565" s="551"/>
      <c r="BC565" s="551"/>
      <c r="BD565" s="551"/>
      <c r="BE565" s="551"/>
      <c r="BF565" s="551"/>
      <c r="BG565" s="551"/>
      <c r="BH565" s="825">
        <f>I565/4</f>
        <v>880</v>
      </c>
      <c r="BI565" s="551"/>
      <c r="BJ565" s="551"/>
      <c r="BK565" s="551"/>
      <c r="BL565" s="551"/>
      <c r="BM565" s="551"/>
      <c r="BN565" s="551"/>
      <c r="BO565" s="551"/>
      <c r="BP565" s="551"/>
      <c r="BQ565" s="551"/>
      <c r="BR565" s="551"/>
      <c r="BS565" s="551"/>
      <c r="BT565" s="551"/>
      <c r="BU565" s="551"/>
      <c r="BV565" s="551"/>
      <c r="BW565" s="551"/>
      <c r="BX565" s="551"/>
      <c r="BY565" s="551"/>
      <c r="BZ565" s="551"/>
      <c r="CA565" s="551"/>
      <c r="CB565" s="551"/>
      <c r="CC565" s="551"/>
      <c r="CD565" s="551"/>
      <c r="CE565" s="551"/>
      <c r="CF565" s="551"/>
      <c r="CG565" s="551"/>
      <c r="CH565" s="650"/>
      <c r="CI565" s="650"/>
      <c r="CJ565" s="650"/>
      <c r="CK565" s="650"/>
      <c r="CL565" s="650"/>
      <c r="CM565" s="551"/>
      <c r="CN565" s="551"/>
      <c r="CO565" s="551"/>
      <c r="CP565" s="650"/>
      <c r="CQ565" s="650"/>
      <c r="CR565" s="650"/>
      <c r="CS565" s="650"/>
      <c r="CT565" s="650"/>
      <c r="CU565" s="650"/>
    </row>
    <row r="566" s="1265" customFormat="1" ht="31" customHeight="1" spans="1:99">
      <c r="A566" s="641">
        <v>45960</v>
      </c>
      <c r="B566" s="1332" t="s">
        <v>143</v>
      </c>
      <c r="C566" s="246" t="s">
        <v>98</v>
      </c>
      <c r="D566" s="551">
        <v>4500183715</v>
      </c>
      <c r="E566" s="1415" t="s">
        <v>2301</v>
      </c>
      <c r="F566" s="551" t="s">
        <v>2302</v>
      </c>
      <c r="G566" s="659" t="s">
        <v>101</v>
      </c>
      <c r="H566" s="246" t="s">
        <v>102</v>
      </c>
      <c r="I566" s="246">
        <v>3840</v>
      </c>
      <c r="J566" s="246">
        <v>0</v>
      </c>
      <c r="K566" s="246">
        <v>4</v>
      </c>
      <c r="L566" s="644">
        <f t="shared" si="158"/>
        <v>960</v>
      </c>
      <c r="M566" s="645">
        <v>45996</v>
      </c>
      <c r="N566" s="645">
        <v>45992</v>
      </c>
      <c r="O566" s="643"/>
      <c r="P566" s="824" t="s">
        <v>113</v>
      </c>
      <c r="Q566" s="646"/>
      <c r="R566" s="646" t="s">
        <v>2184</v>
      </c>
      <c r="S566" s="646" t="s">
        <v>70</v>
      </c>
      <c r="T566" s="646" t="s">
        <v>148</v>
      </c>
      <c r="U566" s="646"/>
      <c r="V566" s="646"/>
      <c r="W566" s="642"/>
      <c r="X566" s="642" t="s">
        <v>1395</v>
      </c>
      <c r="Y566" s="647" t="s">
        <v>106</v>
      </c>
      <c r="Z566" s="657">
        <v>2.5439</v>
      </c>
      <c r="AA566" s="647">
        <f t="shared" si="159"/>
        <v>9768.576</v>
      </c>
      <c r="AB566" s="551"/>
      <c r="AC566" s="648"/>
      <c r="AD566" s="633" t="s">
        <v>101</v>
      </c>
      <c r="AE566" s="246" t="s">
        <v>82</v>
      </c>
      <c r="AF566" s="246"/>
      <c r="AG566" s="246"/>
      <c r="AH566" s="246">
        <v>1</v>
      </c>
      <c r="AI566" s="246">
        <f>720+3120</f>
        <v>3840</v>
      </c>
      <c r="AJ566" s="643">
        <f t="shared" si="166"/>
        <v>0</v>
      </c>
      <c r="AK566" s="246"/>
      <c r="AL566" s="246"/>
      <c r="AM566" s="551"/>
      <c r="AN566" s="551">
        <f t="shared" si="173"/>
        <v>3840</v>
      </c>
      <c r="AO566" s="551"/>
      <c r="AP566" s="551"/>
      <c r="AQ566" s="551"/>
      <c r="AR566" s="551">
        <f t="shared" si="176"/>
        <v>3840</v>
      </c>
      <c r="AS566" s="551"/>
      <c r="AT566" s="551"/>
      <c r="AU566" s="551">
        <f t="shared" si="174"/>
        <v>3840</v>
      </c>
      <c r="AV566" s="551"/>
      <c r="AW566" s="551">
        <f t="shared" si="175"/>
        <v>3840</v>
      </c>
      <c r="AX566" s="651"/>
      <c r="AY566" s="551"/>
      <c r="AZ566" s="551"/>
      <c r="BA566" s="551"/>
      <c r="BB566" s="551"/>
      <c r="BC566" s="551"/>
      <c r="BD566" s="551"/>
      <c r="BE566" s="551"/>
      <c r="BF566" s="551"/>
      <c r="BG566" s="551"/>
      <c r="BH566" s="825">
        <f>I566/4</f>
        <v>960</v>
      </c>
      <c r="BI566" s="551"/>
      <c r="BJ566" s="551"/>
      <c r="BK566" s="551"/>
      <c r="BL566" s="551"/>
      <c r="BM566" s="551"/>
      <c r="BN566" s="551"/>
      <c r="BO566" s="551"/>
      <c r="BP566" s="551"/>
      <c r="BQ566" s="551"/>
      <c r="BR566" s="551"/>
      <c r="BS566" s="551"/>
      <c r="BT566" s="551"/>
      <c r="BU566" s="551"/>
      <c r="BV566" s="551"/>
      <c r="BW566" s="551"/>
      <c r="BX566" s="551"/>
      <c r="BY566" s="551"/>
      <c r="BZ566" s="551"/>
      <c r="CA566" s="551"/>
      <c r="CB566" s="551"/>
      <c r="CC566" s="551"/>
      <c r="CD566" s="551"/>
      <c r="CE566" s="551"/>
      <c r="CF566" s="551"/>
      <c r="CG566" s="551"/>
      <c r="CH566" s="650"/>
      <c r="CI566" s="650"/>
      <c r="CJ566" s="650"/>
      <c r="CK566" s="650"/>
      <c r="CL566" s="650"/>
      <c r="CM566" s="551"/>
      <c r="CN566" s="551"/>
      <c r="CO566" s="551"/>
      <c r="CP566" s="650"/>
      <c r="CQ566" s="650"/>
      <c r="CR566" s="650"/>
      <c r="CS566" s="650"/>
      <c r="CT566" s="650"/>
      <c r="CU566" s="650"/>
    </row>
    <row r="567" s="1265" customFormat="1" ht="31" customHeight="1" spans="1:99">
      <c r="A567" s="641">
        <v>45960</v>
      </c>
      <c r="B567" s="1332" t="s">
        <v>143</v>
      </c>
      <c r="C567" s="246" t="s">
        <v>98</v>
      </c>
      <c r="D567" s="551">
        <v>4500183715</v>
      </c>
      <c r="E567" s="1415" t="s">
        <v>2303</v>
      </c>
      <c r="F567" s="551" t="s">
        <v>2304</v>
      </c>
      <c r="G567" s="659" t="s">
        <v>101</v>
      </c>
      <c r="H567" s="246" t="s">
        <v>102</v>
      </c>
      <c r="I567" s="246">
        <v>4160</v>
      </c>
      <c r="J567" s="246">
        <v>0</v>
      </c>
      <c r="K567" s="246">
        <v>4</v>
      </c>
      <c r="L567" s="644">
        <f t="shared" si="158"/>
        <v>1040</v>
      </c>
      <c r="M567" s="645">
        <v>45996</v>
      </c>
      <c r="N567" s="645">
        <v>45992</v>
      </c>
      <c r="O567" s="643"/>
      <c r="P567" s="824" t="s">
        <v>113</v>
      </c>
      <c r="Q567" s="646"/>
      <c r="R567" s="646" t="s">
        <v>2184</v>
      </c>
      <c r="S567" s="646" t="s">
        <v>70</v>
      </c>
      <c r="T567" s="646" t="s">
        <v>148</v>
      </c>
      <c r="U567" s="646"/>
      <c r="V567" s="646"/>
      <c r="W567" s="642"/>
      <c r="X567" s="642" t="s">
        <v>1395</v>
      </c>
      <c r="Y567" s="647" t="s">
        <v>106</v>
      </c>
      <c r="Z567" s="657">
        <v>2.5439</v>
      </c>
      <c r="AA567" s="647">
        <f t="shared" si="159"/>
        <v>10582.624</v>
      </c>
      <c r="AB567" s="551"/>
      <c r="AC567" s="648"/>
      <c r="AD567" s="633" t="s">
        <v>101</v>
      </c>
      <c r="AE567" s="246" t="s">
        <v>82</v>
      </c>
      <c r="AF567" s="246"/>
      <c r="AG567" s="246"/>
      <c r="AH567" s="246">
        <v>1</v>
      </c>
      <c r="AI567" s="246">
        <v>4160</v>
      </c>
      <c r="AJ567" s="643">
        <f t="shared" si="166"/>
        <v>0</v>
      </c>
      <c r="AK567" s="246"/>
      <c r="AL567" s="246"/>
      <c r="AM567" s="551"/>
      <c r="AN567" s="551">
        <f t="shared" si="173"/>
        <v>4160</v>
      </c>
      <c r="AO567" s="551"/>
      <c r="AP567" s="551"/>
      <c r="AQ567" s="551"/>
      <c r="AR567" s="551">
        <f t="shared" si="176"/>
        <v>4160</v>
      </c>
      <c r="AS567" s="551"/>
      <c r="AT567" s="551"/>
      <c r="AU567" s="551">
        <f t="shared" si="174"/>
        <v>4160</v>
      </c>
      <c r="AV567" s="551"/>
      <c r="AW567" s="551">
        <f t="shared" si="175"/>
        <v>4160</v>
      </c>
      <c r="AX567" s="651"/>
      <c r="AY567" s="551"/>
      <c r="AZ567" s="551"/>
      <c r="BA567" s="551"/>
      <c r="BB567" s="551"/>
      <c r="BC567" s="551"/>
      <c r="BD567" s="551"/>
      <c r="BE567" s="551"/>
      <c r="BF567" s="551"/>
      <c r="BG567" s="551"/>
      <c r="BH567" s="825">
        <f>I567/4</f>
        <v>1040</v>
      </c>
      <c r="BI567" s="551"/>
      <c r="BJ567" s="551"/>
      <c r="BK567" s="551"/>
      <c r="BL567" s="551"/>
      <c r="BM567" s="551"/>
      <c r="BN567" s="551"/>
      <c r="BO567" s="551"/>
      <c r="BP567" s="551"/>
      <c r="BQ567" s="551"/>
      <c r="BR567" s="551"/>
      <c r="BS567" s="551"/>
      <c r="BT567" s="551"/>
      <c r="BU567" s="551"/>
      <c r="BV567" s="551"/>
      <c r="BW567" s="551"/>
      <c r="BX567" s="551"/>
      <c r="BY567" s="551"/>
      <c r="BZ567" s="551"/>
      <c r="CA567" s="551"/>
      <c r="CB567" s="551"/>
      <c r="CC567" s="551"/>
      <c r="CD567" s="551"/>
      <c r="CE567" s="551"/>
      <c r="CF567" s="551"/>
      <c r="CG567" s="551"/>
      <c r="CH567" s="650"/>
      <c r="CI567" s="650"/>
      <c r="CJ567" s="650"/>
      <c r="CK567" s="650"/>
      <c r="CL567" s="650"/>
      <c r="CM567" s="551"/>
      <c r="CN567" s="551"/>
      <c r="CO567" s="551"/>
      <c r="CP567" s="650"/>
      <c r="CQ567" s="650"/>
      <c r="CR567" s="650"/>
      <c r="CS567" s="650"/>
      <c r="CT567" s="650"/>
      <c r="CU567" s="650"/>
    </row>
    <row r="568" s="1265" customFormat="1" ht="31" customHeight="1" spans="1:99">
      <c r="A568" s="641">
        <v>45960</v>
      </c>
      <c r="B568" s="1332" t="s">
        <v>143</v>
      </c>
      <c r="C568" s="246" t="s">
        <v>98</v>
      </c>
      <c r="D568" s="551">
        <v>4500183715</v>
      </c>
      <c r="E568" s="1415" t="s">
        <v>2305</v>
      </c>
      <c r="F568" s="551" t="s">
        <v>2306</v>
      </c>
      <c r="G568" s="659" t="s">
        <v>101</v>
      </c>
      <c r="H568" s="246" t="s">
        <v>102</v>
      </c>
      <c r="I568" s="246">
        <v>5760</v>
      </c>
      <c r="J568" s="246">
        <v>0</v>
      </c>
      <c r="K568" s="246">
        <v>4</v>
      </c>
      <c r="L568" s="644">
        <f t="shared" si="158"/>
        <v>1440</v>
      </c>
      <c r="M568" s="645">
        <v>45996</v>
      </c>
      <c r="N568" s="645">
        <v>45992</v>
      </c>
      <c r="O568" s="643"/>
      <c r="P568" s="824" t="s">
        <v>113</v>
      </c>
      <c r="Q568" s="646"/>
      <c r="R568" s="646" t="s">
        <v>2184</v>
      </c>
      <c r="S568" s="646" t="s">
        <v>70</v>
      </c>
      <c r="T568" s="646" t="s">
        <v>148</v>
      </c>
      <c r="U568" s="646"/>
      <c r="V568" s="646"/>
      <c r="W568" s="642"/>
      <c r="X568" s="642" t="s">
        <v>1395</v>
      </c>
      <c r="Y568" s="647" t="s">
        <v>106</v>
      </c>
      <c r="Z568" s="657">
        <v>2.5439</v>
      </c>
      <c r="AA568" s="647">
        <f t="shared" si="159"/>
        <v>14652.864</v>
      </c>
      <c r="AB568" s="551"/>
      <c r="AC568" s="648"/>
      <c r="AD568" s="633" t="s">
        <v>101</v>
      </c>
      <c r="AE568" s="246" t="s">
        <v>82</v>
      </c>
      <c r="AF568" s="246"/>
      <c r="AG568" s="246"/>
      <c r="AH568" s="246">
        <v>1</v>
      </c>
      <c r="AI568" s="246">
        <v>5760</v>
      </c>
      <c r="AJ568" s="643">
        <f t="shared" si="166"/>
        <v>0</v>
      </c>
      <c r="AK568" s="246"/>
      <c r="AL568" s="246"/>
      <c r="AM568" s="551"/>
      <c r="AN568" s="551">
        <f t="shared" si="173"/>
        <v>5760</v>
      </c>
      <c r="AO568" s="551"/>
      <c r="AP568" s="551"/>
      <c r="AQ568" s="551"/>
      <c r="AR568" s="551">
        <f t="shared" si="176"/>
        <v>5760</v>
      </c>
      <c r="AS568" s="551"/>
      <c r="AT568" s="551"/>
      <c r="AU568" s="551">
        <f t="shared" si="174"/>
        <v>5760</v>
      </c>
      <c r="AV568" s="551"/>
      <c r="AW568" s="551">
        <f t="shared" si="175"/>
        <v>5760</v>
      </c>
      <c r="AX568" s="651"/>
      <c r="AY568" s="551"/>
      <c r="AZ568" s="551"/>
      <c r="BA568" s="551"/>
      <c r="BB568" s="551"/>
      <c r="BC568" s="551"/>
      <c r="BD568" s="551"/>
      <c r="BE568" s="551"/>
      <c r="BF568" s="551"/>
      <c r="BG568" s="551"/>
      <c r="BH568" s="825">
        <f>I568/4</f>
        <v>1440</v>
      </c>
      <c r="BI568" s="551"/>
      <c r="BJ568" s="551"/>
      <c r="BK568" s="551"/>
      <c r="BL568" s="551"/>
      <c r="BM568" s="551"/>
      <c r="BN568" s="551"/>
      <c r="BO568" s="551"/>
      <c r="BP568" s="551"/>
      <c r="BQ568" s="551"/>
      <c r="BR568" s="551"/>
      <c r="BS568" s="551"/>
      <c r="BT568" s="551"/>
      <c r="BU568" s="551"/>
      <c r="BV568" s="551"/>
      <c r="BW568" s="551"/>
      <c r="BX568" s="551"/>
      <c r="BY568" s="551"/>
      <c r="BZ568" s="551"/>
      <c r="CA568" s="551"/>
      <c r="CB568" s="551"/>
      <c r="CC568" s="551"/>
      <c r="CD568" s="551"/>
      <c r="CE568" s="551"/>
      <c r="CF568" s="551"/>
      <c r="CG568" s="551"/>
      <c r="CH568" s="650"/>
      <c r="CI568" s="650"/>
      <c r="CJ568" s="650"/>
      <c r="CK568" s="650"/>
      <c r="CL568" s="650"/>
      <c r="CM568" s="551"/>
      <c r="CN568" s="551"/>
      <c r="CO568" s="551"/>
      <c r="CP568" s="650"/>
      <c r="CQ568" s="650"/>
      <c r="CR568" s="650"/>
      <c r="CS568" s="650"/>
      <c r="CT568" s="650"/>
      <c r="CU568" s="650"/>
    </row>
    <row r="569" s="1265" customFormat="1" ht="31" customHeight="1" spans="1:99">
      <c r="A569" s="641">
        <v>45960</v>
      </c>
      <c r="B569" s="1332" t="s">
        <v>143</v>
      </c>
      <c r="C569" s="246" t="s">
        <v>98</v>
      </c>
      <c r="D569" s="551">
        <v>4500183715</v>
      </c>
      <c r="E569" s="1415" t="s">
        <v>2307</v>
      </c>
      <c r="F569" s="551" t="s">
        <v>2308</v>
      </c>
      <c r="G569" s="659" t="s">
        <v>101</v>
      </c>
      <c r="H569" s="246" t="s">
        <v>102</v>
      </c>
      <c r="I569" s="246">
        <v>6720</v>
      </c>
      <c r="J569" s="246">
        <v>0</v>
      </c>
      <c r="K569" s="246">
        <v>4</v>
      </c>
      <c r="L569" s="644">
        <f t="shared" si="158"/>
        <v>1680</v>
      </c>
      <c r="M569" s="645">
        <v>45996</v>
      </c>
      <c r="N569" s="645">
        <v>45992</v>
      </c>
      <c r="O569" s="643"/>
      <c r="P569" s="824" t="s">
        <v>113</v>
      </c>
      <c r="Q569" s="646"/>
      <c r="R569" s="646" t="s">
        <v>2184</v>
      </c>
      <c r="S569" s="646" t="s">
        <v>70</v>
      </c>
      <c r="T569" s="646" t="s">
        <v>148</v>
      </c>
      <c r="U569" s="646"/>
      <c r="V569" s="646"/>
      <c r="W569" s="642"/>
      <c r="X569" s="642" t="s">
        <v>1395</v>
      </c>
      <c r="Y569" s="647" t="s">
        <v>106</v>
      </c>
      <c r="Z569" s="657">
        <v>2.5439</v>
      </c>
      <c r="AA569" s="647">
        <f t="shared" si="159"/>
        <v>17095.008</v>
      </c>
      <c r="AB569" s="551"/>
      <c r="AC569" s="648"/>
      <c r="AD569" s="633" t="s">
        <v>101</v>
      </c>
      <c r="AE569" s="246" t="s">
        <v>82</v>
      </c>
      <c r="AF569" s="246"/>
      <c r="AG569" s="246"/>
      <c r="AH569" s="246">
        <v>1</v>
      </c>
      <c r="AI569" s="246">
        <f>6000+720</f>
        <v>6720</v>
      </c>
      <c r="AJ569" s="643">
        <f t="shared" si="166"/>
        <v>0</v>
      </c>
      <c r="AK569" s="246"/>
      <c r="AL569" s="246"/>
      <c r="AM569" s="551"/>
      <c r="AN569" s="551">
        <f t="shared" si="173"/>
        <v>6720</v>
      </c>
      <c r="AO569" s="551"/>
      <c r="AP569" s="551"/>
      <c r="AQ569" s="551"/>
      <c r="AR569" s="551">
        <f t="shared" si="176"/>
        <v>6720</v>
      </c>
      <c r="AS569" s="551"/>
      <c r="AT569" s="551"/>
      <c r="AU569" s="551">
        <f t="shared" si="174"/>
        <v>6720</v>
      </c>
      <c r="AV569" s="551"/>
      <c r="AW569" s="551">
        <f t="shared" si="175"/>
        <v>6720</v>
      </c>
      <c r="AX569" s="651"/>
      <c r="AY569" s="551"/>
      <c r="AZ569" s="551"/>
      <c r="BA569" s="551"/>
      <c r="BB569" s="551"/>
      <c r="BC569" s="551"/>
      <c r="BD569" s="551"/>
      <c r="BE569" s="551"/>
      <c r="BF569" s="551"/>
      <c r="BG569" s="551"/>
      <c r="BH569" s="825">
        <f>I569/4</f>
        <v>1680</v>
      </c>
      <c r="BI569" s="551"/>
      <c r="BJ569" s="551"/>
      <c r="BK569" s="551"/>
      <c r="BL569" s="551"/>
      <c r="BM569" s="551"/>
      <c r="BN569" s="551"/>
      <c r="BO569" s="551"/>
      <c r="BP569" s="551"/>
      <c r="BQ569" s="551"/>
      <c r="BR569" s="551"/>
      <c r="BS569" s="551"/>
      <c r="BT569" s="551"/>
      <c r="BU569" s="551"/>
      <c r="BV569" s="551"/>
      <c r="BW569" s="551"/>
      <c r="BX569" s="551"/>
      <c r="BY569" s="551"/>
      <c r="BZ569" s="551"/>
      <c r="CA569" s="551"/>
      <c r="CB569" s="551"/>
      <c r="CC569" s="551"/>
      <c r="CD569" s="551"/>
      <c r="CE569" s="551"/>
      <c r="CF569" s="551"/>
      <c r="CG569" s="551"/>
      <c r="CH569" s="650"/>
      <c r="CI569" s="650"/>
      <c r="CJ569" s="650"/>
      <c r="CK569" s="650"/>
      <c r="CL569" s="650"/>
      <c r="CM569" s="551"/>
      <c r="CN569" s="551"/>
      <c r="CO569" s="551"/>
      <c r="CP569" s="650"/>
      <c r="CQ569" s="650"/>
      <c r="CR569" s="650"/>
      <c r="CS569" s="650"/>
      <c r="CT569" s="650"/>
      <c r="CU569" s="650"/>
    </row>
    <row r="570" s="1265" customFormat="1" ht="31" customHeight="1" spans="1:99">
      <c r="A570" s="641">
        <v>45957</v>
      </c>
      <c r="B570" s="642" t="s">
        <v>139</v>
      </c>
      <c r="C570" s="246" t="s">
        <v>76</v>
      </c>
      <c r="D570" s="551">
        <v>4500183185</v>
      </c>
      <c r="E570" s="246">
        <v>21201494</v>
      </c>
      <c r="F570" s="551" t="s">
        <v>2309</v>
      </c>
      <c r="G570" s="659" t="s">
        <v>68</v>
      </c>
      <c r="H570" s="633" t="s">
        <v>69</v>
      </c>
      <c r="I570" s="246">
        <v>120</v>
      </c>
      <c r="J570" s="246">
        <v>0</v>
      </c>
      <c r="K570" s="246">
        <v>12</v>
      </c>
      <c r="L570" s="644">
        <f t="shared" si="158"/>
        <v>10</v>
      </c>
      <c r="M570" s="645">
        <v>45999</v>
      </c>
      <c r="N570" s="645">
        <v>45995</v>
      </c>
      <c r="O570" s="643"/>
      <c r="P570" s="824" t="s">
        <v>113</v>
      </c>
      <c r="Q570" s="646"/>
      <c r="R570" s="646">
        <v>45967</v>
      </c>
      <c r="S570" s="646" t="s">
        <v>104</v>
      </c>
      <c r="T570" s="646" t="s">
        <v>2310</v>
      </c>
      <c r="U570" s="646"/>
      <c r="V570" s="642"/>
      <c r="W570" s="642"/>
      <c r="X570" s="642" t="s">
        <v>2311</v>
      </c>
      <c r="Y570" s="647" t="s">
        <v>133</v>
      </c>
      <c r="Z570" s="657">
        <v>4.2552</v>
      </c>
      <c r="AA570" s="647">
        <f t="shared" ref="AA570:AA583" si="177">Z570*I570</f>
        <v>510.624</v>
      </c>
      <c r="AC570" s="658" t="s">
        <v>2312</v>
      </c>
      <c r="AD570" s="633" t="s">
        <v>68</v>
      </c>
      <c r="AE570" s="246" t="s">
        <v>82</v>
      </c>
      <c r="AF570" s="246"/>
      <c r="AG570" s="246"/>
      <c r="AH570" s="246">
        <v>1</v>
      </c>
      <c r="AI570" s="246">
        <v>120</v>
      </c>
      <c r="AJ570" s="643">
        <f t="shared" si="166"/>
        <v>0</v>
      </c>
      <c r="AK570" s="246"/>
      <c r="AL570" s="246"/>
      <c r="AM570" s="551"/>
      <c r="AN570" s="551">
        <f t="shared" ref="AN570:AN583" si="178">I570</f>
        <v>120</v>
      </c>
      <c r="AO570" s="551"/>
      <c r="AP570" s="551"/>
      <c r="AQ570" s="551"/>
      <c r="AR570" s="551">
        <f t="shared" ref="AR570:AR580" si="179">I570</f>
        <v>120</v>
      </c>
      <c r="AS570" s="551"/>
      <c r="AT570" s="551"/>
      <c r="AU570" s="551">
        <f t="shared" ref="AU570:AU580" si="180">I570</f>
        <v>120</v>
      </c>
      <c r="AV570" s="551"/>
      <c r="AW570" s="551">
        <f t="shared" ref="AW570:AW580" si="181">I570</f>
        <v>120</v>
      </c>
      <c r="AX570" s="651"/>
      <c r="AY570" s="1331"/>
      <c r="AZ570" s="1331"/>
      <c r="BA570" s="551"/>
      <c r="BB570" s="551"/>
      <c r="BC570" s="551"/>
      <c r="BD570" s="551"/>
      <c r="BE570" s="551"/>
      <c r="BF570" s="551"/>
      <c r="BG570" s="551"/>
      <c r="BH570" s="551"/>
      <c r="BI570" s="551"/>
      <c r="BJ570" s="1331"/>
      <c r="BK570" s="1331"/>
      <c r="BL570" s="1331"/>
      <c r="BM570" s="551"/>
      <c r="BN570" s="551"/>
      <c r="BO570" s="1331"/>
      <c r="BP570" s="1331"/>
      <c r="BQ570" s="1265"/>
      <c r="BR570" s="1265"/>
      <c r="BS570" s="1265"/>
      <c r="BT570" s="1265"/>
      <c r="BU570" s="1265"/>
      <c r="BV570" s="1265"/>
      <c r="BW570" s="1265"/>
      <c r="BX570" s="1265"/>
      <c r="BY570" s="1265"/>
      <c r="BZ570" s="1265"/>
      <c r="CA570" s="1265"/>
      <c r="CB570" s="1265"/>
      <c r="CC570" s="1265"/>
      <c r="CD570" s="1265"/>
      <c r="CE570" s="1265"/>
      <c r="CF570" s="1265"/>
      <c r="CG570" s="1265"/>
      <c r="CH570" s="650"/>
      <c r="CI570" s="650"/>
      <c r="CJ570" s="650"/>
      <c r="CK570" s="650"/>
      <c r="CL570" s="650"/>
      <c r="CM570" s="1265"/>
      <c r="CN570" s="1265"/>
      <c r="CO570" s="1265"/>
      <c r="CP570" s="650"/>
      <c r="CQ570" s="650"/>
      <c r="CR570" s="650"/>
      <c r="CS570" s="650"/>
      <c r="CT570" s="650"/>
      <c r="CU570" s="650"/>
    </row>
    <row r="571" s="1265" customFormat="1" ht="31" customHeight="1" spans="1:99">
      <c r="A571" s="641">
        <v>45957</v>
      </c>
      <c r="B571" s="642" t="s">
        <v>135</v>
      </c>
      <c r="C571" s="246" t="s">
        <v>76</v>
      </c>
      <c r="D571" s="551">
        <v>4500183184</v>
      </c>
      <c r="E571" s="246">
        <v>21201489</v>
      </c>
      <c r="F571" s="551" t="s">
        <v>2313</v>
      </c>
      <c r="G571" s="659" t="s">
        <v>68</v>
      </c>
      <c r="H571" s="633" t="s">
        <v>69</v>
      </c>
      <c r="I571" s="246">
        <v>1380</v>
      </c>
      <c r="J571" s="246">
        <v>0</v>
      </c>
      <c r="K571" s="246">
        <v>12</v>
      </c>
      <c r="L571" s="644">
        <f t="shared" si="158"/>
        <v>115</v>
      </c>
      <c r="M571" s="645">
        <v>45999</v>
      </c>
      <c r="N571" s="645">
        <v>45995</v>
      </c>
      <c r="O571" s="643"/>
      <c r="P571" s="824" t="s">
        <v>113</v>
      </c>
      <c r="Q571" s="646"/>
      <c r="R571" s="646">
        <v>45967</v>
      </c>
      <c r="S571" s="646" t="s">
        <v>104</v>
      </c>
      <c r="T571" s="646" t="s">
        <v>2310</v>
      </c>
      <c r="U571" s="646"/>
      <c r="V571" s="642"/>
      <c r="W571" s="642"/>
      <c r="X571" s="642" t="s">
        <v>2314</v>
      </c>
      <c r="Y571" s="647" t="s">
        <v>133</v>
      </c>
      <c r="Z571" s="657">
        <v>4.1185</v>
      </c>
      <c r="AA571" s="647">
        <f t="shared" si="177"/>
        <v>5683.53</v>
      </c>
      <c r="AC571" s="658" t="s">
        <v>2315</v>
      </c>
      <c r="AD571" s="633" t="s">
        <v>68</v>
      </c>
      <c r="AE571" s="246" t="s">
        <v>82</v>
      </c>
      <c r="AF571" s="246"/>
      <c r="AG571" s="246"/>
      <c r="AH571" s="246">
        <v>1</v>
      </c>
      <c r="AI571" s="246">
        <v>1380</v>
      </c>
      <c r="AJ571" s="643">
        <f t="shared" si="166"/>
        <v>0</v>
      </c>
      <c r="AK571" s="246"/>
      <c r="AL571" s="246"/>
      <c r="AM571" s="551"/>
      <c r="AN571" s="551">
        <f t="shared" si="178"/>
        <v>1380</v>
      </c>
      <c r="AO571" s="551"/>
      <c r="AP571" s="551"/>
      <c r="AQ571" s="551"/>
      <c r="AR571" s="551">
        <f t="shared" si="179"/>
        <v>1380</v>
      </c>
      <c r="AS571" s="551"/>
      <c r="AT571" s="551"/>
      <c r="AU571" s="551">
        <f t="shared" si="180"/>
        <v>1380</v>
      </c>
      <c r="AV571" s="551"/>
      <c r="AW571" s="551">
        <f t="shared" si="181"/>
        <v>1380</v>
      </c>
      <c r="AX571" s="651"/>
      <c r="AY571" s="1331"/>
      <c r="AZ571" s="1331"/>
      <c r="BA571" s="551"/>
      <c r="BB571" s="551"/>
      <c r="BC571" s="551"/>
      <c r="BD571" s="551"/>
      <c r="BE571" s="551"/>
      <c r="BF571" s="551"/>
      <c r="BG571" s="551"/>
      <c r="BH571" s="551"/>
      <c r="BI571" s="551"/>
      <c r="BJ571" s="1331"/>
      <c r="BK571" s="1331"/>
      <c r="BL571" s="1331"/>
      <c r="BM571" s="551"/>
      <c r="BN571" s="551"/>
      <c r="BO571" s="1331"/>
      <c r="BP571" s="1331"/>
      <c r="BQ571" s="1265"/>
      <c r="BR571" s="1265"/>
      <c r="BS571" s="1265"/>
      <c r="BT571" s="1265"/>
      <c r="BU571" s="1265"/>
      <c r="BV571" s="1265"/>
      <c r="BW571" s="1265"/>
      <c r="BX571" s="1265"/>
      <c r="BY571" s="1265"/>
      <c r="BZ571" s="1265"/>
      <c r="CA571" s="1265"/>
      <c r="CB571" s="1265"/>
      <c r="CC571" s="1265"/>
      <c r="CD571" s="1265"/>
      <c r="CE571" s="1265"/>
      <c r="CF571" s="1265"/>
      <c r="CG571" s="1265"/>
      <c r="CH571" s="650"/>
      <c r="CI571" s="650"/>
      <c r="CJ571" s="650"/>
      <c r="CK571" s="650"/>
      <c r="CL571" s="650"/>
      <c r="CM571" s="1265"/>
      <c r="CN571" s="1265"/>
      <c r="CO571" s="1265"/>
      <c r="CP571" s="650"/>
      <c r="CQ571" s="650"/>
      <c r="CR571" s="650"/>
      <c r="CS571" s="650"/>
      <c r="CT571" s="650"/>
      <c r="CU571" s="650"/>
    </row>
    <row r="572" s="1265" customFormat="1" ht="31" customHeight="1" spans="1:99">
      <c r="A572" s="641">
        <v>45960</v>
      </c>
      <c r="B572" s="1332" t="s">
        <v>2316</v>
      </c>
      <c r="C572" s="246" t="s">
        <v>98</v>
      </c>
      <c r="D572" s="551">
        <v>4500183696</v>
      </c>
      <c r="E572" s="1415" t="s">
        <v>2317</v>
      </c>
      <c r="F572" s="551" t="s">
        <v>2318</v>
      </c>
      <c r="G572" s="659" t="s">
        <v>101</v>
      </c>
      <c r="H572" s="246" t="s">
        <v>102</v>
      </c>
      <c r="I572" s="246">
        <v>208</v>
      </c>
      <c r="J572" s="246">
        <v>0</v>
      </c>
      <c r="K572" s="246">
        <v>4</v>
      </c>
      <c r="L572" s="644">
        <f t="shared" si="158"/>
        <v>52</v>
      </c>
      <c r="M572" s="645">
        <v>45999</v>
      </c>
      <c r="N572" s="645">
        <v>45995</v>
      </c>
      <c r="O572" s="643"/>
      <c r="P572" s="824" t="s">
        <v>113</v>
      </c>
      <c r="Q572" s="646"/>
      <c r="R572" s="646">
        <v>45967</v>
      </c>
      <c r="S572" s="646" t="s">
        <v>104</v>
      </c>
      <c r="T572" s="642" t="s">
        <v>2319</v>
      </c>
      <c r="U572" s="642"/>
      <c r="V572" s="642"/>
      <c r="W572" s="642"/>
      <c r="X572" s="642" t="s">
        <v>2320</v>
      </c>
      <c r="Y572" s="647" t="s">
        <v>819</v>
      </c>
      <c r="Z572" s="657">
        <v>2.5439</v>
      </c>
      <c r="AA572" s="647">
        <f t="shared" si="177"/>
        <v>529.1312</v>
      </c>
      <c r="AB572" s="551"/>
      <c r="AC572" s="648"/>
      <c r="AD572" s="633" t="s">
        <v>101</v>
      </c>
      <c r="AE572" s="246" t="s">
        <v>82</v>
      </c>
      <c r="AF572" s="246"/>
      <c r="AG572" s="246"/>
      <c r="AH572" s="246">
        <v>1</v>
      </c>
      <c r="AI572" s="246">
        <v>208</v>
      </c>
      <c r="AJ572" s="643">
        <f t="shared" si="166"/>
        <v>0</v>
      </c>
      <c r="AK572" s="246"/>
      <c r="AL572" s="246"/>
      <c r="AM572" s="551"/>
      <c r="AN572" s="551">
        <f t="shared" si="178"/>
        <v>208</v>
      </c>
      <c r="AO572" s="551"/>
      <c r="AP572" s="551"/>
      <c r="AQ572" s="551"/>
      <c r="AR572" s="551">
        <f t="shared" si="179"/>
        <v>208</v>
      </c>
      <c r="AS572" s="551"/>
      <c r="AT572" s="551"/>
      <c r="AU572" s="551">
        <f t="shared" si="180"/>
        <v>208</v>
      </c>
      <c r="AV572" s="551"/>
      <c r="AW572" s="551">
        <f t="shared" si="181"/>
        <v>208</v>
      </c>
      <c r="AX572" s="651"/>
      <c r="AY572" s="551"/>
      <c r="AZ572" s="551"/>
      <c r="BA572" s="551"/>
      <c r="BB572" s="551"/>
      <c r="BC572" s="551"/>
      <c r="BD572" s="551"/>
      <c r="BE572" s="551"/>
      <c r="BF572" s="551"/>
      <c r="BG572" s="551"/>
      <c r="BH572" s="825">
        <f>I572/4</f>
        <v>52</v>
      </c>
      <c r="BI572" s="551"/>
      <c r="BJ572" s="551"/>
      <c r="BK572" s="551"/>
      <c r="BL572" s="551"/>
      <c r="BM572" s="551"/>
      <c r="BN572" s="551"/>
      <c r="BO572" s="551"/>
      <c r="BP572" s="551"/>
      <c r="BQ572" s="551"/>
      <c r="BR572" s="551"/>
      <c r="BS572" s="551"/>
      <c r="BT572" s="551"/>
      <c r="BU572" s="551"/>
      <c r="BV572" s="551"/>
      <c r="BW572" s="551"/>
      <c r="BX572" s="551"/>
      <c r="BY572" s="551"/>
      <c r="BZ572" s="551"/>
      <c r="CA572" s="551"/>
      <c r="CB572" s="551"/>
      <c r="CC572" s="551"/>
      <c r="CD572" s="551"/>
      <c r="CE572" s="551"/>
      <c r="CF572" s="551"/>
      <c r="CG572" s="551"/>
      <c r="CH572" s="650"/>
      <c r="CI572" s="650"/>
      <c r="CJ572" s="650"/>
      <c r="CK572" s="650"/>
      <c r="CL572" s="650"/>
      <c r="CM572" s="551"/>
      <c r="CN572" s="551"/>
      <c r="CO572" s="551"/>
      <c r="CP572" s="650"/>
      <c r="CQ572" s="650"/>
      <c r="CR572" s="650"/>
      <c r="CS572" s="650"/>
      <c r="CT572" s="650"/>
      <c r="CU572" s="650"/>
    </row>
    <row r="573" s="1265" customFormat="1" ht="31" customHeight="1" spans="1:99">
      <c r="A573" s="641">
        <v>45960</v>
      </c>
      <c r="B573" s="1332" t="s">
        <v>2316</v>
      </c>
      <c r="C573" s="246" t="s">
        <v>98</v>
      </c>
      <c r="D573" s="551">
        <v>4500183696</v>
      </c>
      <c r="E573" s="1417" t="s">
        <v>2321</v>
      </c>
      <c r="F573" s="551" t="s">
        <v>2322</v>
      </c>
      <c r="G573" s="659" t="s">
        <v>101</v>
      </c>
      <c r="H573" s="246" t="s">
        <v>102</v>
      </c>
      <c r="I573" s="246">
        <v>324</v>
      </c>
      <c r="J573" s="246">
        <v>0</v>
      </c>
      <c r="K573" s="246">
        <v>4</v>
      </c>
      <c r="L573" s="644">
        <f t="shared" si="158"/>
        <v>81</v>
      </c>
      <c r="M573" s="645">
        <v>45999</v>
      </c>
      <c r="N573" s="645">
        <v>45995</v>
      </c>
      <c r="O573" s="643"/>
      <c r="P573" s="824" t="s">
        <v>113</v>
      </c>
      <c r="Q573" s="646"/>
      <c r="R573" s="646">
        <v>45967</v>
      </c>
      <c r="S573" s="646" t="s">
        <v>104</v>
      </c>
      <c r="T573" s="642" t="s">
        <v>2319</v>
      </c>
      <c r="U573" s="642"/>
      <c r="V573" s="642"/>
      <c r="W573" s="642"/>
      <c r="X573" s="642" t="s">
        <v>2320</v>
      </c>
      <c r="Y573" s="647" t="s">
        <v>819</v>
      </c>
      <c r="Z573" s="657">
        <v>2.5439</v>
      </c>
      <c r="AA573" s="647">
        <f t="shared" si="177"/>
        <v>824.2236</v>
      </c>
      <c r="AC573" s="648"/>
      <c r="AD573" s="633" t="s">
        <v>101</v>
      </c>
      <c r="AE573" s="246" t="s">
        <v>82</v>
      </c>
      <c r="AF573" s="246"/>
      <c r="AG573" s="246"/>
      <c r="AH573" s="246">
        <v>1</v>
      </c>
      <c r="AI573" s="246">
        <v>324</v>
      </c>
      <c r="AJ573" s="643">
        <f t="shared" si="166"/>
        <v>0</v>
      </c>
      <c r="AK573" s="246"/>
      <c r="AL573" s="246"/>
      <c r="AM573" s="551"/>
      <c r="AN573" s="551">
        <f t="shared" si="178"/>
        <v>324</v>
      </c>
      <c r="AO573" s="551"/>
      <c r="AP573" s="551"/>
      <c r="AQ573" s="551"/>
      <c r="AR573" s="551">
        <f t="shared" si="179"/>
        <v>324</v>
      </c>
      <c r="AS573" s="551"/>
      <c r="AT573" s="551"/>
      <c r="AU573" s="551">
        <f t="shared" si="180"/>
        <v>324</v>
      </c>
      <c r="AV573" s="551"/>
      <c r="AW573" s="551">
        <f t="shared" si="181"/>
        <v>324</v>
      </c>
      <c r="AX573" s="651"/>
      <c r="AY573" s="1331"/>
      <c r="AZ573" s="1331"/>
      <c r="BA573" s="551"/>
      <c r="BB573" s="551"/>
      <c r="BC573" s="551"/>
      <c r="BD573" s="551"/>
      <c r="BE573" s="551"/>
      <c r="BF573" s="551"/>
      <c r="BG573" s="551"/>
      <c r="BH573" s="825">
        <f>I573/4</f>
        <v>81</v>
      </c>
      <c r="BI573" s="551"/>
      <c r="BJ573" s="1331"/>
      <c r="BK573" s="1331"/>
      <c r="BL573" s="1331"/>
      <c r="BM573" s="551"/>
      <c r="BN573" s="551"/>
      <c r="BO573" s="1331"/>
      <c r="BP573" s="1331"/>
      <c r="BQ573" s="1265"/>
      <c r="BR573" s="1265"/>
      <c r="BS573" s="1265"/>
      <c r="BT573" s="1265"/>
      <c r="BU573" s="1265"/>
      <c r="BV573" s="1265"/>
      <c r="BW573" s="1265"/>
      <c r="BX573" s="1265"/>
      <c r="BY573" s="1265"/>
      <c r="BZ573" s="1265"/>
      <c r="CA573" s="1265"/>
      <c r="CB573" s="1265"/>
      <c r="CC573" s="1265"/>
      <c r="CD573" s="1265"/>
      <c r="CE573" s="1265"/>
      <c r="CF573" s="1265"/>
      <c r="CG573" s="1265"/>
      <c r="CH573" s="650"/>
      <c r="CI573" s="650"/>
      <c r="CJ573" s="650"/>
      <c r="CK573" s="650"/>
      <c r="CL573" s="650"/>
      <c r="CM573" s="1265"/>
      <c r="CN573" s="1265"/>
      <c r="CO573" s="1265"/>
      <c r="CP573" s="650"/>
      <c r="CQ573" s="650"/>
      <c r="CR573" s="650"/>
      <c r="CS573" s="650"/>
      <c r="CT573" s="650"/>
      <c r="CU573" s="650"/>
    </row>
    <row r="574" s="1265" customFormat="1" ht="31" customHeight="1" spans="1:99">
      <c r="A574" s="641">
        <v>45960</v>
      </c>
      <c r="B574" s="1332" t="s">
        <v>2316</v>
      </c>
      <c r="C574" s="246" t="s">
        <v>98</v>
      </c>
      <c r="D574" s="551">
        <v>4500183696</v>
      </c>
      <c r="E574" s="1417" t="s">
        <v>2323</v>
      </c>
      <c r="F574" s="551" t="s">
        <v>2324</v>
      </c>
      <c r="G574" s="659" t="s">
        <v>101</v>
      </c>
      <c r="H574" s="246" t="s">
        <v>102</v>
      </c>
      <c r="I574" s="246">
        <v>244</v>
      </c>
      <c r="J574" s="246">
        <v>0</v>
      </c>
      <c r="K574" s="246">
        <v>4</v>
      </c>
      <c r="L574" s="644">
        <f t="shared" si="158"/>
        <v>61</v>
      </c>
      <c r="M574" s="645">
        <v>45999</v>
      </c>
      <c r="N574" s="645">
        <v>45995</v>
      </c>
      <c r="O574" s="643"/>
      <c r="P574" s="824" t="s">
        <v>113</v>
      </c>
      <c r="Q574" s="646"/>
      <c r="R574" s="646">
        <v>45967</v>
      </c>
      <c r="S574" s="646" t="s">
        <v>104</v>
      </c>
      <c r="T574" s="642" t="s">
        <v>2319</v>
      </c>
      <c r="U574" s="642"/>
      <c r="V574" s="642"/>
      <c r="W574" s="642"/>
      <c r="X574" s="642" t="s">
        <v>2320</v>
      </c>
      <c r="Y574" s="647" t="s">
        <v>819</v>
      </c>
      <c r="Z574" s="657">
        <v>2.5439</v>
      </c>
      <c r="AA574" s="647">
        <f t="shared" si="177"/>
        <v>620.7116</v>
      </c>
      <c r="AC574" s="648"/>
      <c r="AD574" s="633" t="s">
        <v>101</v>
      </c>
      <c r="AE574" s="246" t="s">
        <v>82</v>
      </c>
      <c r="AF574" s="246"/>
      <c r="AG574" s="246"/>
      <c r="AH574" s="246">
        <v>1</v>
      </c>
      <c r="AI574" s="246">
        <v>244</v>
      </c>
      <c r="AJ574" s="643">
        <f t="shared" si="166"/>
        <v>0</v>
      </c>
      <c r="AK574" s="246"/>
      <c r="AL574" s="246"/>
      <c r="AM574" s="551"/>
      <c r="AN574" s="551">
        <f t="shared" si="178"/>
        <v>244</v>
      </c>
      <c r="AO574" s="551"/>
      <c r="AP574" s="551"/>
      <c r="AQ574" s="551"/>
      <c r="AR574" s="551">
        <f t="shared" si="179"/>
        <v>244</v>
      </c>
      <c r="AS574" s="551"/>
      <c r="AT574" s="551"/>
      <c r="AU574" s="551">
        <f t="shared" si="180"/>
        <v>244</v>
      </c>
      <c r="AV574" s="551"/>
      <c r="AW574" s="551">
        <f t="shared" si="181"/>
        <v>244</v>
      </c>
      <c r="AX574" s="651"/>
      <c r="AY574" s="1331"/>
      <c r="AZ574" s="1331"/>
      <c r="BA574" s="551"/>
      <c r="BB574" s="551"/>
      <c r="BC574" s="551"/>
      <c r="BD574" s="551"/>
      <c r="BE574" s="551"/>
      <c r="BF574" s="551"/>
      <c r="BG574" s="551"/>
      <c r="BH574" s="825">
        <f>I574/4</f>
        <v>61</v>
      </c>
      <c r="BI574" s="551"/>
      <c r="BJ574" s="1331"/>
      <c r="BK574" s="1331"/>
      <c r="BL574" s="1331"/>
      <c r="BM574" s="551"/>
      <c r="BN574" s="551"/>
      <c r="BO574" s="1331"/>
      <c r="BP574" s="1331"/>
      <c r="BQ574" s="1265"/>
      <c r="BR574" s="1265"/>
      <c r="BS574" s="1265"/>
      <c r="BT574" s="1265"/>
      <c r="BU574" s="1265"/>
      <c r="BV574" s="1265"/>
      <c r="BW574" s="1265"/>
      <c r="BX574" s="1265"/>
      <c r="BY574" s="1265"/>
      <c r="BZ574" s="1265"/>
      <c r="CA574" s="1265"/>
      <c r="CB574" s="1265"/>
      <c r="CC574" s="1265"/>
      <c r="CD574" s="1265"/>
      <c r="CE574" s="1265"/>
      <c r="CF574" s="1265"/>
      <c r="CG574" s="1265"/>
      <c r="CH574" s="650"/>
      <c r="CI574" s="650"/>
      <c r="CJ574" s="650"/>
      <c r="CK574" s="650"/>
      <c r="CL574" s="650"/>
      <c r="CM574" s="1265"/>
      <c r="CN574" s="1265"/>
      <c r="CO574" s="1265"/>
      <c r="CP574" s="650"/>
      <c r="CQ574" s="650"/>
      <c r="CR574" s="650"/>
      <c r="CS574" s="650"/>
      <c r="CT574" s="650"/>
      <c r="CU574" s="650"/>
    </row>
    <row r="575" s="1265" customFormat="1" ht="31" customHeight="1" spans="1:99">
      <c r="A575" s="641">
        <v>45960</v>
      </c>
      <c r="B575" s="1332" t="s">
        <v>2316</v>
      </c>
      <c r="C575" s="246" t="s">
        <v>98</v>
      </c>
      <c r="D575" s="551">
        <v>4500183696</v>
      </c>
      <c r="E575" s="1417" t="s">
        <v>2325</v>
      </c>
      <c r="F575" s="551" t="s">
        <v>2326</v>
      </c>
      <c r="G575" s="659" t="s">
        <v>101</v>
      </c>
      <c r="H575" s="246" t="s">
        <v>102</v>
      </c>
      <c r="I575" s="246">
        <v>204</v>
      </c>
      <c r="J575" s="246">
        <v>0</v>
      </c>
      <c r="K575" s="246">
        <v>4</v>
      </c>
      <c r="L575" s="644">
        <f t="shared" si="158"/>
        <v>51</v>
      </c>
      <c r="M575" s="645">
        <v>45999</v>
      </c>
      <c r="N575" s="645">
        <v>45995</v>
      </c>
      <c r="O575" s="643"/>
      <c r="P575" s="824" t="s">
        <v>113</v>
      </c>
      <c r="Q575" s="646"/>
      <c r="R575" s="646">
        <v>45967</v>
      </c>
      <c r="S575" s="646" t="s">
        <v>104</v>
      </c>
      <c r="T575" s="642" t="s">
        <v>2319</v>
      </c>
      <c r="U575" s="642"/>
      <c r="V575" s="642"/>
      <c r="W575" s="642"/>
      <c r="X575" s="642" t="s">
        <v>2320</v>
      </c>
      <c r="Y575" s="647" t="s">
        <v>819</v>
      </c>
      <c r="Z575" s="657">
        <v>2.5439</v>
      </c>
      <c r="AA575" s="647">
        <f t="shared" si="177"/>
        <v>518.9556</v>
      </c>
      <c r="AC575" s="648"/>
      <c r="AD575" s="633" t="s">
        <v>101</v>
      </c>
      <c r="AE575" s="246" t="s">
        <v>82</v>
      </c>
      <c r="AF575" s="246"/>
      <c r="AG575" s="246"/>
      <c r="AH575" s="246">
        <v>1</v>
      </c>
      <c r="AI575" s="246">
        <v>204</v>
      </c>
      <c r="AJ575" s="643">
        <f t="shared" si="166"/>
        <v>0</v>
      </c>
      <c r="AK575" s="246"/>
      <c r="AL575" s="246"/>
      <c r="AM575" s="551"/>
      <c r="AN575" s="551">
        <f t="shared" si="178"/>
        <v>204</v>
      </c>
      <c r="AO575" s="551"/>
      <c r="AP575" s="551"/>
      <c r="AQ575" s="551"/>
      <c r="AR575" s="551">
        <f t="shared" si="179"/>
        <v>204</v>
      </c>
      <c r="AS575" s="551"/>
      <c r="AT575" s="551"/>
      <c r="AU575" s="551">
        <f t="shared" si="180"/>
        <v>204</v>
      </c>
      <c r="AV575" s="551"/>
      <c r="AW575" s="551">
        <f t="shared" si="181"/>
        <v>204</v>
      </c>
      <c r="AX575" s="651"/>
      <c r="AY575" s="1331"/>
      <c r="AZ575" s="1331"/>
      <c r="BA575" s="551"/>
      <c r="BB575" s="551"/>
      <c r="BC575" s="551"/>
      <c r="BD575" s="551"/>
      <c r="BE575" s="551"/>
      <c r="BF575" s="551"/>
      <c r="BG575" s="551"/>
      <c r="BH575" s="825">
        <f>I575/4</f>
        <v>51</v>
      </c>
      <c r="BI575" s="551"/>
      <c r="BJ575" s="1331"/>
      <c r="BK575" s="1331"/>
      <c r="BL575" s="1331"/>
      <c r="BM575" s="551"/>
      <c r="BN575" s="551"/>
      <c r="BO575" s="1331"/>
      <c r="BP575" s="1331"/>
      <c r="BQ575" s="1265"/>
      <c r="BR575" s="1265"/>
      <c r="BS575" s="1265"/>
      <c r="BT575" s="1265"/>
      <c r="BU575" s="1265"/>
      <c r="BV575" s="1265"/>
      <c r="BW575" s="1265"/>
      <c r="BX575" s="1265"/>
      <c r="BY575" s="1265"/>
      <c r="BZ575" s="1265"/>
      <c r="CA575" s="1265"/>
      <c r="CB575" s="1265"/>
      <c r="CC575" s="1265"/>
      <c r="CD575" s="1265"/>
      <c r="CE575" s="1265"/>
      <c r="CF575" s="1265"/>
      <c r="CG575" s="1265"/>
      <c r="CH575" s="650"/>
      <c r="CI575" s="650"/>
      <c r="CJ575" s="650"/>
      <c r="CK575" s="650"/>
      <c r="CL575" s="650"/>
      <c r="CM575" s="1265"/>
      <c r="CN575" s="1265"/>
      <c r="CO575" s="1265"/>
      <c r="CP575" s="650"/>
      <c r="CQ575" s="650"/>
      <c r="CR575" s="650"/>
      <c r="CS575" s="650"/>
      <c r="CT575" s="650"/>
      <c r="CU575" s="650"/>
    </row>
    <row r="576" s="1265" customFormat="1" ht="31" customHeight="1" spans="1:99">
      <c r="A576" s="641">
        <v>45960</v>
      </c>
      <c r="B576" s="1332" t="s">
        <v>2316</v>
      </c>
      <c r="C576" s="246" t="s">
        <v>98</v>
      </c>
      <c r="D576" s="551">
        <v>4500183696</v>
      </c>
      <c r="E576" s="1415" t="s">
        <v>2327</v>
      </c>
      <c r="F576" s="551" t="s">
        <v>2328</v>
      </c>
      <c r="G576" s="659" t="s">
        <v>101</v>
      </c>
      <c r="H576" s="246" t="s">
        <v>102</v>
      </c>
      <c r="I576" s="246">
        <v>220</v>
      </c>
      <c r="J576" s="246">
        <v>0</v>
      </c>
      <c r="K576" s="246">
        <v>4</v>
      </c>
      <c r="L576" s="644">
        <f t="shared" si="158"/>
        <v>55</v>
      </c>
      <c r="M576" s="645">
        <v>45999</v>
      </c>
      <c r="N576" s="645">
        <v>45995</v>
      </c>
      <c r="O576" s="643"/>
      <c r="P576" s="824" t="s">
        <v>113</v>
      </c>
      <c r="Q576" s="646"/>
      <c r="R576" s="646">
        <v>45967</v>
      </c>
      <c r="S576" s="646" t="s">
        <v>104</v>
      </c>
      <c r="T576" s="642" t="s">
        <v>2319</v>
      </c>
      <c r="U576" s="642"/>
      <c r="V576" s="642"/>
      <c r="W576" s="642"/>
      <c r="X576" s="642" t="s">
        <v>2320</v>
      </c>
      <c r="Y576" s="647" t="s">
        <v>819</v>
      </c>
      <c r="Z576" s="657">
        <v>2.5439</v>
      </c>
      <c r="AA576" s="647">
        <f t="shared" si="177"/>
        <v>559.658</v>
      </c>
      <c r="AC576" s="648"/>
      <c r="AD576" s="633" t="s">
        <v>101</v>
      </c>
      <c r="AE576" s="246" t="s">
        <v>82</v>
      </c>
      <c r="AF576" s="246"/>
      <c r="AG576" s="246"/>
      <c r="AH576" s="246">
        <v>1</v>
      </c>
      <c r="AI576" s="246">
        <v>220</v>
      </c>
      <c r="AJ576" s="643">
        <f t="shared" si="166"/>
        <v>0</v>
      </c>
      <c r="AK576" s="246"/>
      <c r="AL576" s="246"/>
      <c r="AM576" s="551"/>
      <c r="AN576" s="551">
        <f t="shared" si="178"/>
        <v>220</v>
      </c>
      <c r="AO576" s="551"/>
      <c r="AP576" s="551"/>
      <c r="AQ576" s="551"/>
      <c r="AR576" s="551">
        <f t="shared" si="179"/>
        <v>220</v>
      </c>
      <c r="AS576" s="551"/>
      <c r="AT576" s="551"/>
      <c r="AU576" s="551">
        <f t="shared" si="180"/>
        <v>220</v>
      </c>
      <c r="AV576" s="551"/>
      <c r="AW576" s="551">
        <f t="shared" si="181"/>
        <v>220</v>
      </c>
      <c r="AX576" s="651"/>
      <c r="AY576" s="1331"/>
      <c r="AZ576" s="1331"/>
      <c r="BA576" s="551"/>
      <c r="BB576" s="551"/>
      <c r="BC576" s="551"/>
      <c r="BD576" s="551"/>
      <c r="BE576" s="551"/>
      <c r="BF576" s="551"/>
      <c r="BG576" s="551"/>
      <c r="BH576" s="825">
        <f>I576/4</f>
        <v>55</v>
      </c>
      <c r="BI576" s="551"/>
      <c r="BJ576" s="1331"/>
      <c r="BK576" s="1331"/>
      <c r="BL576" s="1331"/>
      <c r="BM576" s="551"/>
      <c r="BN576" s="551"/>
      <c r="BO576" s="1331"/>
      <c r="BP576" s="1331"/>
      <c r="BQ576" s="1265"/>
      <c r="BR576" s="1265"/>
      <c r="BS576" s="1265"/>
      <c r="BT576" s="1265"/>
      <c r="BU576" s="1265"/>
      <c r="BV576" s="1265"/>
      <c r="BW576" s="1265"/>
      <c r="BX576" s="1265"/>
      <c r="BY576" s="1265"/>
      <c r="BZ576" s="1265"/>
      <c r="CA576" s="1265"/>
      <c r="CB576" s="1265"/>
      <c r="CC576" s="1265"/>
      <c r="CD576" s="1265"/>
      <c r="CE576" s="1265"/>
      <c r="CF576" s="1265"/>
      <c r="CG576" s="1265"/>
      <c r="CH576" s="650"/>
      <c r="CI576" s="650"/>
      <c r="CJ576" s="650"/>
      <c r="CK576" s="650"/>
      <c r="CL576" s="650"/>
      <c r="CM576" s="1265"/>
      <c r="CN576" s="1265"/>
      <c r="CO576" s="1265"/>
      <c r="CP576" s="650"/>
      <c r="CQ576" s="650"/>
      <c r="CR576" s="650"/>
      <c r="CS576" s="650"/>
      <c r="CT576" s="650"/>
      <c r="CU576" s="650"/>
    </row>
    <row r="577" s="1265" customFormat="1" ht="31" customHeight="1" spans="1:99">
      <c r="A577" s="641">
        <v>45925</v>
      </c>
      <c r="B577" s="642" t="s">
        <v>606</v>
      </c>
      <c r="C577" s="246" t="s">
        <v>399</v>
      </c>
      <c r="D577" s="551">
        <v>4500180297</v>
      </c>
      <c r="E577" s="246">
        <v>2236250206</v>
      </c>
      <c r="F577" s="551" t="s">
        <v>2329</v>
      </c>
      <c r="G577" s="659" t="s">
        <v>68</v>
      </c>
      <c r="H577" s="633" t="s">
        <v>69</v>
      </c>
      <c r="I577" s="246">
        <v>2004</v>
      </c>
      <c r="J577" s="246">
        <v>0</v>
      </c>
      <c r="K577" s="246">
        <v>12</v>
      </c>
      <c r="L577" s="644">
        <f t="shared" si="158"/>
        <v>167</v>
      </c>
      <c r="M577" s="645">
        <v>45999</v>
      </c>
      <c r="N577" s="645">
        <v>45995</v>
      </c>
      <c r="O577" s="643"/>
      <c r="P577" s="824" t="s">
        <v>113</v>
      </c>
      <c r="Q577" s="646"/>
      <c r="R577" s="646">
        <v>45940</v>
      </c>
      <c r="S577" s="646" t="s">
        <v>70</v>
      </c>
      <c r="T577" s="646" t="s">
        <v>2330</v>
      </c>
      <c r="U577" s="646"/>
      <c r="V577" s="642"/>
      <c r="W577" s="642"/>
      <c r="X577" s="642" t="s">
        <v>2331</v>
      </c>
      <c r="Y577" s="647" t="s">
        <v>445</v>
      </c>
      <c r="Z577" s="657">
        <v>4.135</v>
      </c>
      <c r="AA577" s="647">
        <f t="shared" si="177"/>
        <v>8286.54</v>
      </c>
      <c r="AC577" s="658" t="s">
        <v>2332</v>
      </c>
      <c r="AD577" s="633" t="s">
        <v>184</v>
      </c>
      <c r="AE577" s="246" t="s">
        <v>82</v>
      </c>
      <c r="AF577" s="246"/>
      <c r="AG577" s="246"/>
      <c r="AH577" s="246">
        <v>1</v>
      </c>
      <c r="AI577" s="246">
        <f>720+1284</f>
        <v>2004</v>
      </c>
      <c r="AJ577" s="643">
        <f t="shared" si="166"/>
        <v>0</v>
      </c>
      <c r="AK577" s="246"/>
      <c r="AL577" s="246"/>
      <c r="AM577" s="551"/>
      <c r="AN577" s="551">
        <f t="shared" si="178"/>
        <v>2004</v>
      </c>
      <c r="AO577" s="1331"/>
      <c r="AP577" s="551"/>
      <c r="AQ577" s="1331"/>
      <c r="AR577" s="551"/>
      <c r="AS577" s="551">
        <f>I577</f>
        <v>2004</v>
      </c>
      <c r="AT577" s="551"/>
      <c r="AU577" s="551">
        <f t="shared" si="180"/>
        <v>2004</v>
      </c>
      <c r="AV577" s="551"/>
      <c r="AW577" s="551">
        <f t="shared" si="181"/>
        <v>2004</v>
      </c>
      <c r="AX577" s="651"/>
      <c r="AY577" s="1331"/>
      <c r="AZ577" s="551"/>
      <c r="BA577" s="1331"/>
      <c r="BB577" s="1331"/>
      <c r="BC577" s="1331"/>
      <c r="BD577" s="551"/>
      <c r="BE577" s="551"/>
      <c r="BF577" s="1331"/>
      <c r="BG577" s="1331"/>
      <c r="BH577" s="551"/>
      <c r="BI577" s="551"/>
      <c r="BJ577" s="1331"/>
      <c r="BK577" s="1331"/>
      <c r="BL577" s="1331"/>
      <c r="BM577" s="551"/>
      <c r="BN577" s="551"/>
      <c r="BO577" s="1331"/>
      <c r="BP577" s="1331"/>
      <c r="BQ577" s="1265"/>
      <c r="BR577" s="1265"/>
      <c r="BS577" s="1265"/>
      <c r="BT577" s="1265"/>
      <c r="BU577" s="1265"/>
      <c r="BV577" s="1265"/>
      <c r="BW577" s="1265"/>
      <c r="BX577" s="1265"/>
      <c r="BY577" s="1265"/>
      <c r="BZ577" s="1265"/>
      <c r="CA577" s="1265"/>
      <c r="CB577" s="1265"/>
      <c r="CC577" s="1265"/>
      <c r="CD577" s="1265"/>
      <c r="CE577" s="1265"/>
      <c r="CF577" s="1265"/>
      <c r="CG577" s="1265"/>
      <c r="CH577" s="650"/>
      <c r="CI577" s="650"/>
      <c r="CJ577" s="650"/>
      <c r="CK577" s="650"/>
      <c r="CL577" s="650"/>
      <c r="CM577" s="1265"/>
      <c r="CN577" s="1265"/>
      <c r="CO577" s="1265"/>
      <c r="CP577" s="650"/>
      <c r="CQ577" s="650"/>
      <c r="CR577" s="650"/>
      <c r="CS577" s="650"/>
      <c r="CT577" s="650"/>
      <c r="CU577" s="650"/>
    </row>
    <row r="578" s="1265" customFormat="1" ht="31" customHeight="1" spans="1:99">
      <c r="A578" s="641">
        <v>45930</v>
      </c>
      <c r="B578" s="642" t="s">
        <v>876</v>
      </c>
      <c r="C578" s="246" t="s">
        <v>98</v>
      </c>
      <c r="D578" s="551">
        <v>4500181122</v>
      </c>
      <c r="E578" s="246" t="s">
        <v>2333</v>
      </c>
      <c r="F578" s="551" t="s">
        <v>2334</v>
      </c>
      <c r="G578" s="659" t="s">
        <v>207</v>
      </c>
      <c r="H578" s="246" t="s">
        <v>102</v>
      </c>
      <c r="I578" s="246">
        <v>356</v>
      </c>
      <c r="J578" s="246">
        <v>0</v>
      </c>
      <c r="K578" s="246">
        <v>4</v>
      </c>
      <c r="L578" s="644">
        <f t="shared" si="158"/>
        <v>89</v>
      </c>
      <c r="M578" s="645">
        <v>46001</v>
      </c>
      <c r="N578" s="645">
        <v>45997</v>
      </c>
      <c r="O578" s="643" t="s">
        <v>2335</v>
      </c>
      <c r="P578" s="824" t="s">
        <v>113</v>
      </c>
      <c r="Q578" s="646"/>
      <c r="R578" s="646">
        <v>45964</v>
      </c>
      <c r="S578" s="646" t="s">
        <v>70</v>
      </c>
      <c r="T578" s="646" t="s">
        <v>70</v>
      </c>
      <c r="U578" s="646"/>
      <c r="V578" s="642"/>
      <c r="W578" s="642"/>
      <c r="X578" s="642" t="s">
        <v>2336</v>
      </c>
      <c r="Y578" s="647" t="s">
        <v>882</v>
      </c>
      <c r="Z578" s="657">
        <v>2.5402</v>
      </c>
      <c r="AA578" s="647">
        <f t="shared" si="177"/>
        <v>904.3112</v>
      </c>
      <c r="AB578" s="551"/>
      <c r="AC578" s="658" t="s">
        <v>2337</v>
      </c>
      <c r="AD578" s="633" t="s">
        <v>207</v>
      </c>
      <c r="AE578" s="246" t="s">
        <v>82</v>
      </c>
      <c r="AF578" s="246"/>
      <c r="AG578" s="246"/>
      <c r="AH578" s="246">
        <v>1</v>
      </c>
      <c r="AI578" s="246">
        <v>356</v>
      </c>
      <c r="AJ578" s="643">
        <f t="shared" si="166"/>
        <v>0</v>
      </c>
      <c r="AK578" s="246"/>
      <c r="AL578" s="246"/>
      <c r="AM578" s="551"/>
      <c r="AN578" s="551">
        <f t="shared" si="178"/>
        <v>356</v>
      </c>
      <c r="AO578" s="551"/>
      <c r="AP578" s="551"/>
      <c r="AQ578" s="551"/>
      <c r="AR578" s="551">
        <f>I578</f>
        <v>356</v>
      </c>
      <c r="AS578" s="551"/>
      <c r="AT578" s="551"/>
      <c r="AU578" s="551">
        <f t="shared" si="180"/>
        <v>356</v>
      </c>
      <c r="AV578" s="551"/>
      <c r="AW578" s="551">
        <f t="shared" si="181"/>
        <v>356</v>
      </c>
      <c r="AX578" s="651"/>
      <c r="AY578" s="551"/>
      <c r="AZ578" s="551"/>
      <c r="BA578" s="551"/>
      <c r="BB578" s="551"/>
      <c r="BC578" s="551"/>
      <c r="BD578" s="551"/>
      <c r="BE578" s="551"/>
      <c r="BF578" s="551"/>
      <c r="BG578" s="551"/>
      <c r="BH578" s="551"/>
      <c r="BI578" s="551"/>
      <c r="BJ578" s="551"/>
      <c r="BK578" s="551"/>
      <c r="BL578" s="551"/>
      <c r="BM578" s="551"/>
      <c r="BN578" s="551"/>
      <c r="BO578" s="551"/>
      <c r="BP578" s="551"/>
      <c r="BQ578" s="551"/>
      <c r="BR578" s="551"/>
      <c r="BS578" s="551"/>
      <c r="BT578" s="551"/>
      <c r="BU578" s="551"/>
      <c r="BV578" s="551"/>
      <c r="BW578" s="551"/>
      <c r="BX578" s="551"/>
      <c r="BY578" s="551"/>
      <c r="BZ578" s="551"/>
      <c r="CA578" s="551"/>
      <c r="CB578" s="551"/>
      <c r="CC578" s="551"/>
      <c r="CD578" s="551"/>
      <c r="CE578" s="551"/>
      <c r="CF578" s="551"/>
      <c r="CG578" s="551"/>
      <c r="CH578" s="650"/>
      <c r="CI578" s="650"/>
      <c r="CJ578" s="650"/>
      <c r="CK578" s="650"/>
      <c r="CL578" s="650"/>
      <c r="CM578" s="551"/>
      <c r="CN578" s="551"/>
      <c r="CO578" s="551"/>
      <c r="CP578" s="650"/>
      <c r="CQ578" s="650"/>
      <c r="CR578" s="650"/>
      <c r="CS578" s="650"/>
      <c r="CT578" s="650"/>
      <c r="CU578" s="650"/>
    </row>
    <row r="579" s="1265" customFormat="1" ht="31" customHeight="1" spans="1:99">
      <c r="A579" s="641">
        <v>45965</v>
      </c>
      <c r="B579" s="642" t="s">
        <v>143</v>
      </c>
      <c r="C579" s="246" t="s">
        <v>98</v>
      </c>
      <c r="D579" s="551">
        <v>4500184386</v>
      </c>
      <c r="E579" s="1415" t="s">
        <v>2338</v>
      </c>
      <c r="F579" s="551" t="s">
        <v>2339</v>
      </c>
      <c r="G579" s="659" t="s">
        <v>101</v>
      </c>
      <c r="H579" s="246" t="s">
        <v>102</v>
      </c>
      <c r="I579" s="246">
        <v>4800</v>
      </c>
      <c r="J579" s="246">
        <v>0</v>
      </c>
      <c r="K579" s="246">
        <v>4</v>
      </c>
      <c r="L579" s="644">
        <f t="shared" si="158"/>
        <v>1200</v>
      </c>
      <c r="M579" s="645">
        <v>46002</v>
      </c>
      <c r="N579" s="645">
        <v>45999</v>
      </c>
      <c r="O579" s="643"/>
      <c r="P579" s="824" t="s">
        <v>113</v>
      </c>
      <c r="Q579" s="646"/>
      <c r="R579" s="646" t="s">
        <v>2184</v>
      </c>
      <c r="S579" s="646" t="s">
        <v>70</v>
      </c>
      <c r="T579" s="646" t="s">
        <v>148</v>
      </c>
      <c r="U579" s="646"/>
      <c r="V579" s="646"/>
      <c r="W579" s="642"/>
      <c r="X579" s="642" t="s">
        <v>1395</v>
      </c>
      <c r="Y579" s="647" t="s">
        <v>106</v>
      </c>
      <c r="Z579" s="657">
        <v>2.5768</v>
      </c>
      <c r="AA579" s="647">
        <f t="shared" si="177"/>
        <v>12368.64</v>
      </c>
      <c r="AB579" s="551"/>
      <c r="AC579" s="648"/>
      <c r="AD579" s="633" t="s">
        <v>101</v>
      </c>
      <c r="AE579" s="246" t="s">
        <v>82</v>
      </c>
      <c r="AF579" s="246"/>
      <c r="AG579" s="246"/>
      <c r="AH579" s="246">
        <v>1</v>
      </c>
      <c r="AI579" s="246">
        <f>1200+3600</f>
        <v>4800</v>
      </c>
      <c r="AJ579" s="643">
        <f t="shared" si="166"/>
        <v>0</v>
      </c>
      <c r="AK579" s="246"/>
      <c r="AL579" s="246"/>
      <c r="AM579" s="551"/>
      <c r="AN579" s="551">
        <f t="shared" si="178"/>
        <v>4800</v>
      </c>
      <c r="AO579" s="551"/>
      <c r="AP579" s="551"/>
      <c r="AQ579" s="551"/>
      <c r="AR579" s="551">
        <f>I579</f>
        <v>4800</v>
      </c>
      <c r="AS579" s="551"/>
      <c r="AT579" s="551"/>
      <c r="AU579" s="551">
        <f t="shared" si="180"/>
        <v>4800</v>
      </c>
      <c r="AV579" s="551"/>
      <c r="AW579" s="551">
        <f t="shared" si="181"/>
        <v>4800</v>
      </c>
      <c r="AX579" s="651"/>
      <c r="AY579" s="551"/>
      <c r="AZ579" s="551"/>
      <c r="BA579" s="551"/>
      <c r="BB579" s="551"/>
      <c r="BC579" s="551"/>
      <c r="BD579" s="551"/>
      <c r="BE579" s="551"/>
      <c r="BF579" s="551"/>
      <c r="BG579" s="551"/>
      <c r="BH579" s="825">
        <f>I579/4</f>
        <v>1200</v>
      </c>
      <c r="BI579" s="551"/>
      <c r="BJ579" s="551"/>
      <c r="BK579" s="551"/>
      <c r="BL579" s="551"/>
      <c r="BM579" s="551"/>
      <c r="BN579" s="551"/>
      <c r="BO579" s="551"/>
      <c r="BP579" s="551"/>
      <c r="BQ579" s="551"/>
      <c r="BR579" s="551"/>
      <c r="BS579" s="551"/>
      <c r="BT579" s="551"/>
      <c r="BU579" s="551"/>
      <c r="BV579" s="551"/>
      <c r="BW579" s="551"/>
      <c r="BX579" s="551"/>
      <c r="BY579" s="551"/>
      <c r="BZ579" s="551"/>
      <c r="CA579" s="551"/>
      <c r="CB579" s="551"/>
      <c r="CC579" s="551"/>
      <c r="CD579" s="551"/>
      <c r="CE579" s="551"/>
      <c r="CF579" s="551"/>
      <c r="CG579" s="551"/>
      <c r="CH579" s="650"/>
      <c r="CI579" s="650"/>
      <c r="CJ579" s="650"/>
      <c r="CK579" s="650"/>
      <c r="CL579" s="650"/>
      <c r="CM579" s="551"/>
      <c r="CN579" s="551"/>
      <c r="CO579" s="551"/>
      <c r="CP579" s="650"/>
      <c r="CQ579" s="650"/>
      <c r="CR579" s="650"/>
      <c r="CS579" s="650"/>
      <c r="CT579" s="650"/>
      <c r="CU579" s="650"/>
    </row>
    <row r="580" s="1265" customFormat="1" ht="31" customHeight="1" spans="1:99">
      <c r="A580" s="641">
        <v>45965</v>
      </c>
      <c r="B580" s="642" t="s">
        <v>143</v>
      </c>
      <c r="C580" s="246" t="s">
        <v>98</v>
      </c>
      <c r="D580" s="551">
        <v>4500184386</v>
      </c>
      <c r="E580" s="1415" t="s">
        <v>2340</v>
      </c>
      <c r="F580" s="551" t="s">
        <v>2341</v>
      </c>
      <c r="G580" s="659" t="s">
        <v>101</v>
      </c>
      <c r="H580" s="246" t="s">
        <v>102</v>
      </c>
      <c r="I580" s="246">
        <v>6400</v>
      </c>
      <c r="J580" s="246">
        <v>0</v>
      </c>
      <c r="K580" s="246">
        <v>4</v>
      </c>
      <c r="L580" s="644">
        <f t="shared" ref="L580:L643" si="182">I580/K580</f>
        <v>1600</v>
      </c>
      <c r="M580" s="645">
        <v>46002</v>
      </c>
      <c r="N580" s="645">
        <v>45999</v>
      </c>
      <c r="O580" s="643"/>
      <c r="P580" s="824" t="s">
        <v>113</v>
      </c>
      <c r="Q580" s="646"/>
      <c r="R580" s="646" t="s">
        <v>2184</v>
      </c>
      <c r="S580" s="646" t="s">
        <v>70</v>
      </c>
      <c r="T580" s="646" t="s">
        <v>148</v>
      </c>
      <c r="U580" s="646"/>
      <c r="V580" s="646"/>
      <c r="W580" s="642"/>
      <c r="X580" s="642" t="s">
        <v>1395</v>
      </c>
      <c r="Y580" s="647" t="s">
        <v>106</v>
      </c>
      <c r="Z580" s="657">
        <v>2.5656</v>
      </c>
      <c r="AA580" s="647">
        <f t="shared" si="177"/>
        <v>16419.84</v>
      </c>
      <c r="AB580" s="551"/>
      <c r="AC580" s="648"/>
      <c r="AD580" s="633" t="s">
        <v>101</v>
      </c>
      <c r="AE580" s="246" t="s">
        <v>82</v>
      </c>
      <c r="AF580" s="246"/>
      <c r="AG580" s="246"/>
      <c r="AH580" s="246">
        <v>1</v>
      </c>
      <c r="AI580" s="246">
        <v>6400</v>
      </c>
      <c r="AJ580" s="643">
        <f t="shared" si="166"/>
        <v>0</v>
      </c>
      <c r="AK580" s="246"/>
      <c r="AL580" s="246"/>
      <c r="AM580" s="551"/>
      <c r="AN580" s="551">
        <f t="shared" si="178"/>
        <v>6400</v>
      </c>
      <c r="AO580" s="551"/>
      <c r="AP580" s="551"/>
      <c r="AQ580" s="551"/>
      <c r="AR580" s="551">
        <f t="shared" ref="AR580:AR585" si="183">I580</f>
        <v>6400</v>
      </c>
      <c r="AS580" s="551"/>
      <c r="AT580" s="551"/>
      <c r="AU580" s="551">
        <f t="shared" si="180"/>
        <v>6400</v>
      </c>
      <c r="AV580" s="551"/>
      <c r="AW580" s="551">
        <f t="shared" si="181"/>
        <v>6400</v>
      </c>
      <c r="AX580" s="651"/>
      <c r="AY580" s="551"/>
      <c r="AZ580" s="551"/>
      <c r="BA580" s="551"/>
      <c r="BB580" s="551"/>
      <c r="BC580" s="551"/>
      <c r="BD580" s="551"/>
      <c r="BE580" s="551"/>
      <c r="BF580" s="551"/>
      <c r="BG580" s="551"/>
      <c r="BH580" s="825">
        <f>I580/4</f>
        <v>1600</v>
      </c>
      <c r="BI580" s="551"/>
      <c r="BJ580" s="551"/>
      <c r="BK580" s="551"/>
      <c r="BL580" s="551"/>
      <c r="BM580" s="551"/>
      <c r="BN580" s="551"/>
      <c r="BO580" s="551"/>
      <c r="BP580" s="551"/>
      <c r="BQ580" s="551"/>
      <c r="BR580" s="551"/>
      <c r="BS580" s="551"/>
      <c r="BT580" s="551"/>
      <c r="BU580" s="551"/>
      <c r="BV580" s="551"/>
      <c r="BW580" s="551"/>
      <c r="BX580" s="551"/>
      <c r="BY580" s="551"/>
      <c r="BZ580" s="551"/>
      <c r="CA580" s="551"/>
      <c r="CB580" s="551"/>
      <c r="CC580" s="551"/>
      <c r="CD580" s="551"/>
      <c r="CE580" s="551"/>
      <c r="CF580" s="551"/>
      <c r="CG580" s="551"/>
      <c r="CH580" s="650"/>
      <c r="CI580" s="650"/>
      <c r="CJ580" s="650"/>
      <c r="CK580" s="650"/>
      <c r="CL580" s="650"/>
      <c r="CM580" s="551"/>
      <c r="CN580" s="551"/>
      <c r="CO580" s="551"/>
      <c r="CP580" s="650"/>
      <c r="CQ580" s="650"/>
      <c r="CR580" s="650"/>
      <c r="CS580" s="650"/>
      <c r="CT580" s="650"/>
      <c r="CU580" s="650"/>
    </row>
    <row r="581" s="1265" customFormat="1" ht="31" customHeight="1" spans="1:99">
      <c r="A581" s="641">
        <v>45905</v>
      </c>
      <c r="B581" s="642" t="s">
        <v>1800</v>
      </c>
      <c r="C581" s="246" t="s">
        <v>744</v>
      </c>
      <c r="D581" s="551">
        <v>4500178919</v>
      </c>
      <c r="E581" s="246">
        <v>5000001988</v>
      </c>
      <c r="F581" s="551" t="s">
        <v>2342</v>
      </c>
      <c r="G581" s="659" t="s">
        <v>518</v>
      </c>
      <c r="H581" s="246" t="s">
        <v>477</v>
      </c>
      <c r="I581" s="246">
        <v>10002</v>
      </c>
      <c r="J581" s="246">
        <v>0</v>
      </c>
      <c r="K581" s="246">
        <v>6</v>
      </c>
      <c r="L581" s="644">
        <f t="shared" si="182"/>
        <v>1667</v>
      </c>
      <c r="M581" s="645">
        <v>46003</v>
      </c>
      <c r="N581" s="645">
        <v>45999</v>
      </c>
      <c r="O581" s="643"/>
      <c r="P581" s="824" t="s">
        <v>113</v>
      </c>
      <c r="Q581" s="646"/>
      <c r="R581" s="646">
        <v>45960</v>
      </c>
      <c r="S581" s="829" t="s">
        <v>104</v>
      </c>
      <c r="T581" s="646" t="s">
        <v>2239</v>
      </c>
      <c r="U581" s="646"/>
      <c r="V581" s="642"/>
      <c r="W581" s="642"/>
      <c r="X581" s="642" t="s">
        <v>2240</v>
      </c>
      <c r="Y581" s="647" t="s">
        <v>1805</v>
      </c>
      <c r="Z581" s="657">
        <v>6.3409</v>
      </c>
      <c r="AA581" s="647">
        <f t="shared" si="177"/>
        <v>63421.6818</v>
      </c>
      <c r="AC581" s="698" t="s">
        <v>2343</v>
      </c>
      <c r="AD581" s="633" t="s">
        <v>2241</v>
      </c>
      <c r="AE581" s="246" t="s">
        <v>82</v>
      </c>
      <c r="AF581" s="246"/>
      <c r="AG581" s="246"/>
      <c r="AH581" s="246">
        <v>1</v>
      </c>
      <c r="AI581" s="246">
        <v>10002</v>
      </c>
      <c r="AJ581" s="643">
        <f t="shared" si="166"/>
        <v>0</v>
      </c>
      <c r="AK581" s="246"/>
      <c r="AL581" s="246"/>
      <c r="AM581" s="551"/>
      <c r="AN581" s="551">
        <f t="shared" si="178"/>
        <v>10002</v>
      </c>
      <c r="AO581" s="1331"/>
      <c r="AP581" s="551"/>
      <c r="AQ581" s="1331"/>
      <c r="AR581" s="551">
        <f t="shared" si="183"/>
        <v>10002</v>
      </c>
      <c r="AS581" s="551"/>
      <c r="AT581" s="551"/>
      <c r="AU581" s="551"/>
      <c r="AV581" s="551">
        <f>I581</f>
        <v>10002</v>
      </c>
      <c r="AW581" s="551"/>
      <c r="AX581" s="834">
        <f>I581</f>
        <v>10002</v>
      </c>
      <c r="AY581" s="1331"/>
      <c r="AZ581" s="551"/>
      <c r="BA581" s="1331"/>
      <c r="BB581" s="1331"/>
      <c r="BC581" s="1331"/>
      <c r="BD581" s="551"/>
      <c r="BE581" s="551"/>
      <c r="BF581" s="1331"/>
      <c r="BG581" s="1331"/>
      <c r="BH581" s="551"/>
      <c r="BI581" s="551"/>
      <c r="BJ581" s="1331"/>
      <c r="BK581" s="1331"/>
      <c r="BL581" s="1331"/>
      <c r="BM581" s="551"/>
      <c r="BN581" s="551">
        <f>I581</f>
        <v>10002</v>
      </c>
      <c r="BO581" s="1331"/>
      <c r="BP581" s="1331"/>
      <c r="BQ581" s="1265"/>
      <c r="BR581" s="1265"/>
      <c r="BS581" s="1265"/>
      <c r="BT581" s="1265"/>
      <c r="BU581" s="1265"/>
      <c r="BV581" s="1265"/>
      <c r="BW581" s="1265"/>
      <c r="BX581" s="1265"/>
      <c r="BY581" s="1265"/>
      <c r="BZ581" s="1265"/>
      <c r="CA581" s="1265"/>
      <c r="CB581" s="1265"/>
      <c r="CC581" s="1265"/>
      <c r="CD581" s="1265"/>
      <c r="CE581" s="1265"/>
      <c r="CF581" s="1265"/>
      <c r="CG581" s="1265"/>
      <c r="CH581" s="650"/>
      <c r="CI581" s="650"/>
      <c r="CJ581" s="650"/>
      <c r="CK581" s="650"/>
      <c r="CL581" s="650"/>
      <c r="CM581" s="1265"/>
      <c r="CN581" s="1265"/>
      <c r="CO581" s="1265"/>
      <c r="CP581" s="650"/>
      <c r="CQ581" s="650"/>
      <c r="CR581" s="650"/>
      <c r="CS581" s="650"/>
      <c r="CT581" s="650"/>
      <c r="CU581" s="650"/>
    </row>
    <row r="582" s="1265" customFormat="1" ht="31" customHeight="1" spans="1:99">
      <c r="A582" s="641">
        <v>45953</v>
      </c>
      <c r="B582" s="642" t="s">
        <v>325</v>
      </c>
      <c r="C582" s="246" t="s">
        <v>98</v>
      </c>
      <c r="D582" s="551">
        <v>4500182971</v>
      </c>
      <c r="E582" s="246" t="s">
        <v>2344</v>
      </c>
      <c r="F582" s="551" t="s">
        <v>2345</v>
      </c>
      <c r="G582" s="659" t="s">
        <v>249</v>
      </c>
      <c r="H582" s="246" t="s">
        <v>250</v>
      </c>
      <c r="I582" s="246">
        <v>14484</v>
      </c>
      <c r="J582" s="246">
        <v>0</v>
      </c>
      <c r="K582" s="246">
        <v>4</v>
      </c>
      <c r="L582" s="644">
        <f t="shared" si="182"/>
        <v>3621</v>
      </c>
      <c r="M582" s="645">
        <v>46003</v>
      </c>
      <c r="N582" s="645">
        <v>45999</v>
      </c>
      <c r="O582" s="643" t="s">
        <v>2271</v>
      </c>
      <c r="P582" s="824" t="s">
        <v>113</v>
      </c>
      <c r="Q582" s="646"/>
      <c r="R582" s="646">
        <v>45967</v>
      </c>
      <c r="S582" s="646" t="s">
        <v>104</v>
      </c>
      <c r="T582" s="646">
        <v>45967</v>
      </c>
      <c r="U582" s="646"/>
      <c r="V582" s="642" t="s">
        <v>2346</v>
      </c>
      <c r="W582" s="642"/>
      <c r="X582" s="749" t="s">
        <v>2347</v>
      </c>
      <c r="Y582" s="647" t="s">
        <v>252</v>
      </c>
      <c r="Z582" s="657">
        <v>2.7832</v>
      </c>
      <c r="AA582" s="647">
        <f t="shared" si="177"/>
        <v>40311.8688</v>
      </c>
      <c r="AB582" s="551"/>
      <c r="AC582" s="648"/>
      <c r="AD582" s="633" t="s">
        <v>249</v>
      </c>
      <c r="AE582" s="246" t="s">
        <v>82</v>
      </c>
      <c r="AF582" s="246"/>
      <c r="AG582" s="246"/>
      <c r="AH582" s="246">
        <v>1</v>
      </c>
      <c r="AI582" s="246">
        <f>5124+9360</f>
        <v>14484</v>
      </c>
      <c r="AJ582" s="643">
        <f t="shared" si="166"/>
        <v>0</v>
      </c>
      <c r="AK582" s="246"/>
      <c r="AL582" s="246"/>
      <c r="AM582" s="551"/>
      <c r="AN582" s="551"/>
      <c r="AO582" s="551"/>
      <c r="AP582" s="551">
        <f>I582</f>
        <v>14484</v>
      </c>
      <c r="AQ582" s="551"/>
      <c r="AR582" s="551"/>
      <c r="AS582" s="551"/>
      <c r="AT582" s="551"/>
      <c r="AU582" s="551"/>
      <c r="AV582" s="551"/>
      <c r="AW582" s="551">
        <f t="shared" ref="AW582:AW589" si="184">I582</f>
        <v>14484</v>
      </c>
      <c r="AX582" s="651"/>
      <c r="AY582" s="551"/>
      <c r="AZ582" s="551"/>
      <c r="BA582" s="551"/>
      <c r="BB582" s="551"/>
      <c r="BC582" s="551"/>
      <c r="BD582" s="551"/>
      <c r="BE582" s="551"/>
      <c r="BF582" s="551">
        <f>I582</f>
        <v>14484</v>
      </c>
      <c r="BG582" s="551">
        <f>I582</f>
        <v>14484</v>
      </c>
      <c r="BH582" s="825">
        <f>I582/4</f>
        <v>3621</v>
      </c>
      <c r="BI582" s="551"/>
      <c r="BJ582" s="551"/>
      <c r="BK582" s="551"/>
      <c r="BL582" s="551"/>
      <c r="BM582" s="551"/>
      <c r="BN582" s="551"/>
      <c r="BO582" s="551"/>
      <c r="BP582" s="551"/>
      <c r="BQ582" s="551"/>
      <c r="BR582" s="551"/>
      <c r="BS582" s="551"/>
      <c r="BT582" s="551"/>
      <c r="BU582" s="551"/>
      <c r="BV582" s="551"/>
      <c r="BW582" s="551"/>
      <c r="BX582" s="551"/>
      <c r="BY582" s="551"/>
      <c r="BZ582" s="551"/>
      <c r="CA582" s="551"/>
      <c r="CB582" s="551"/>
      <c r="CC582" s="551"/>
      <c r="CD582" s="551"/>
      <c r="CE582" s="551"/>
      <c r="CF582" s="551"/>
      <c r="CG582" s="551"/>
      <c r="CH582" s="650"/>
      <c r="CI582" s="650"/>
      <c r="CJ582" s="650"/>
      <c r="CK582" s="650"/>
      <c r="CL582" s="650"/>
      <c r="CM582" s="551"/>
      <c r="CN582" s="551"/>
      <c r="CO582" s="551"/>
      <c r="CP582" s="650"/>
      <c r="CQ582" s="650"/>
      <c r="CR582" s="650"/>
      <c r="CS582" s="650"/>
      <c r="CT582" s="650"/>
      <c r="CU582" s="650"/>
    </row>
    <row r="583" s="1265" customFormat="1" ht="31" customHeight="1" spans="1:99">
      <c r="A583" s="641">
        <v>45960</v>
      </c>
      <c r="B583" s="642" t="s">
        <v>325</v>
      </c>
      <c r="C583" s="246" t="s">
        <v>98</v>
      </c>
      <c r="D583" s="551">
        <v>4500183690</v>
      </c>
      <c r="E583" s="246" t="s">
        <v>2348</v>
      </c>
      <c r="F583" s="551" t="s">
        <v>2349</v>
      </c>
      <c r="G583" s="659" t="s">
        <v>249</v>
      </c>
      <c r="H583" s="246" t="s">
        <v>250</v>
      </c>
      <c r="I583" s="246">
        <v>5000</v>
      </c>
      <c r="J583" s="246">
        <v>0</v>
      </c>
      <c r="K583" s="246">
        <v>4</v>
      </c>
      <c r="L583" s="644">
        <f t="shared" si="182"/>
        <v>1250</v>
      </c>
      <c r="M583" s="645">
        <v>46003</v>
      </c>
      <c r="N583" s="645">
        <v>45999</v>
      </c>
      <c r="O583" s="643" t="s">
        <v>2271</v>
      </c>
      <c r="P583" s="824" t="s">
        <v>113</v>
      </c>
      <c r="Q583" s="646"/>
      <c r="R583" s="646">
        <v>45967</v>
      </c>
      <c r="S583" s="646" t="s">
        <v>104</v>
      </c>
      <c r="T583" s="646">
        <v>45965</v>
      </c>
      <c r="U583" s="646"/>
      <c r="V583" s="642" t="s">
        <v>2346</v>
      </c>
      <c r="W583" s="642"/>
      <c r="X583" s="642" t="s">
        <v>2350</v>
      </c>
      <c r="Y583" s="647" t="s">
        <v>252</v>
      </c>
      <c r="Z583" s="657">
        <v>2.7951</v>
      </c>
      <c r="AA583" s="647">
        <f t="shared" si="177"/>
        <v>13975.5</v>
      </c>
      <c r="AB583" s="551"/>
      <c r="AC583" s="648"/>
      <c r="AD583" s="633" t="s">
        <v>249</v>
      </c>
      <c r="AE583" s="246" t="s">
        <v>82</v>
      </c>
      <c r="AF583" s="246"/>
      <c r="AG583" s="246"/>
      <c r="AH583" s="246">
        <v>1</v>
      </c>
      <c r="AI583" s="246">
        <f>3600+1400</f>
        <v>5000</v>
      </c>
      <c r="AJ583" s="643">
        <f t="shared" si="166"/>
        <v>0</v>
      </c>
      <c r="AK583" s="246"/>
      <c r="AL583" s="246"/>
      <c r="AM583" s="551"/>
      <c r="AN583" s="551"/>
      <c r="AO583" s="551"/>
      <c r="AP583" s="551">
        <f>I583</f>
        <v>5000</v>
      </c>
      <c r="AQ583" s="551"/>
      <c r="AR583" s="551"/>
      <c r="AS583" s="551"/>
      <c r="AT583" s="551"/>
      <c r="AU583" s="551"/>
      <c r="AV583" s="551"/>
      <c r="AW583" s="551">
        <f t="shared" si="184"/>
        <v>5000</v>
      </c>
      <c r="AX583" s="651"/>
      <c r="AY583" s="551"/>
      <c r="AZ583" s="551"/>
      <c r="BA583" s="551"/>
      <c r="BB583" s="551"/>
      <c r="BC583" s="551"/>
      <c r="BD583" s="551"/>
      <c r="BE583" s="551"/>
      <c r="BF583" s="551">
        <f>I583</f>
        <v>5000</v>
      </c>
      <c r="BG583" s="551">
        <f>I583</f>
        <v>5000</v>
      </c>
      <c r="BH583" s="825">
        <f>I583/4</f>
        <v>1250</v>
      </c>
      <c r="BI583" s="551"/>
      <c r="BJ583" s="551"/>
      <c r="BK583" s="551"/>
      <c r="BL583" s="551"/>
      <c r="BM583" s="551"/>
      <c r="BN583" s="551"/>
      <c r="BO583" s="551"/>
      <c r="BP583" s="551"/>
      <c r="BQ583" s="551"/>
      <c r="BR583" s="551"/>
      <c r="BS583" s="551"/>
      <c r="BT583" s="551"/>
      <c r="BU583" s="551"/>
      <c r="BV583" s="551"/>
      <c r="BW583" s="551"/>
      <c r="BX583" s="551"/>
      <c r="BY583" s="551"/>
      <c r="BZ583" s="551"/>
      <c r="CA583" s="551"/>
      <c r="CB583" s="551"/>
      <c r="CC583" s="551"/>
      <c r="CD583" s="551"/>
      <c r="CE583" s="551"/>
      <c r="CF583" s="551"/>
      <c r="CG583" s="551"/>
      <c r="CH583" s="650"/>
      <c r="CI583" s="650"/>
      <c r="CJ583" s="650"/>
      <c r="CK583" s="650"/>
      <c r="CL583" s="650"/>
      <c r="CM583" s="551"/>
      <c r="CN583" s="551"/>
      <c r="CO583" s="551"/>
      <c r="CP583" s="650"/>
      <c r="CQ583" s="650"/>
      <c r="CR583" s="650"/>
      <c r="CS583" s="650"/>
      <c r="CT583" s="650"/>
      <c r="CU583" s="650"/>
    </row>
    <row r="584" s="1265" customFormat="1" ht="31" customHeight="1" spans="1:99">
      <c r="A584" s="641">
        <v>45971</v>
      </c>
      <c r="B584" s="642"/>
      <c r="C584" s="246"/>
      <c r="D584" s="551" t="s">
        <v>2351</v>
      </c>
      <c r="E584" s="246"/>
      <c r="F584" s="1331"/>
      <c r="G584" s="659" t="s">
        <v>476</v>
      </c>
      <c r="H584" s="246" t="s">
        <v>477</v>
      </c>
      <c r="I584" s="246">
        <v>150</v>
      </c>
      <c r="J584" s="246">
        <v>0</v>
      </c>
      <c r="K584" s="246">
        <v>6</v>
      </c>
      <c r="L584" s="644">
        <f t="shared" si="182"/>
        <v>25</v>
      </c>
      <c r="M584" s="645">
        <v>45985</v>
      </c>
      <c r="N584" s="645">
        <v>45981</v>
      </c>
      <c r="O584" s="643"/>
      <c r="P584" s="246"/>
      <c r="Q584" s="646"/>
      <c r="R584" s="646"/>
      <c r="S584" s="646"/>
      <c r="T584" s="646"/>
      <c r="U584" s="646"/>
      <c r="V584" s="646"/>
      <c r="W584" s="642"/>
      <c r="X584" s="642" t="s">
        <v>2352</v>
      </c>
      <c r="Y584" s="647" t="s">
        <v>92</v>
      </c>
      <c r="Z584" s="657"/>
      <c r="AA584" s="647"/>
      <c r="AB584" s="1265"/>
      <c r="AC584" s="648" t="s">
        <v>2353</v>
      </c>
      <c r="AD584" s="633" t="s">
        <v>480</v>
      </c>
      <c r="AE584" s="662" t="s">
        <v>82</v>
      </c>
      <c r="AF584" s="246"/>
      <c r="AG584" s="246"/>
      <c r="AH584" s="246"/>
      <c r="AI584" s="246"/>
      <c r="AJ584" s="643"/>
      <c r="AK584" s="246"/>
      <c r="AL584" s="246"/>
      <c r="AM584" s="551"/>
      <c r="AN584" s="551">
        <f>I584</f>
        <v>150</v>
      </c>
      <c r="AO584" s="1331"/>
      <c r="AP584" s="551"/>
      <c r="AQ584" s="1331"/>
      <c r="AR584" s="551"/>
      <c r="AS584" s="551">
        <f>I584</f>
        <v>150</v>
      </c>
      <c r="AT584" s="551"/>
      <c r="AU584" s="551">
        <f>I584</f>
        <v>150</v>
      </c>
      <c r="AV584" s="551"/>
      <c r="AW584" s="551">
        <f t="shared" si="184"/>
        <v>150</v>
      </c>
      <c r="AX584" s="551"/>
      <c r="AY584" s="1331"/>
      <c r="AZ584" s="551"/>
      <c r="BA584" s="1331"/>
      <c r="BB584" s="1331"/>
      <c r="BC584" s="1331"/>
      <c r="BD584" s="551"/>
      <c r="BE584" s="551"/>
      <c r="BF584" s="1331"/>
      <c r="BG584" s="1331"/>
      <c r="BH584" s="551"/>
      <c r="BI584" s="551"/>
      <c r="BJ584" s="1331"/>
      <c r="BK584" s="1331"/>
      <c r="BL584" s="1331"/>
      <c r="BM584" s="551"/>
      <c r="BN584" s="551">
        <f>I584</f>
        <v>150</v>
      </c>
      <c r="BO584" s="1331"/>
      <c r="BP584" s="1331"/>
      <c r="BQ584" s="1265"/>
      <c r="BR584" s="1265"/>
      <c r="BS584" s="1265"/>
      <c r="BT584" s="1265"/>
      <c r="BU584" s="1265"/>
      <c r="BV584" s="1265"/>
      <c r="BW584" s="1265"/>
      <c r="BX584" s="1265"/>
      <c r="BY584" s="1265"/>
      <c r="BZ584" s="1265"/>
      <c r="CA584" s="1265"/>
      <c r="CB584" s="1265"/>
      <c r="CC584" s="1265"/>
      <c r="CD584" s="1265"/>
      <c r="CE584" s="1265"/>
      <c r="CF584" s="1265"/>
      <c r="CG584" s="1265"/>
      <c r="CH584" s="650"/>
      <c r="CI584" s="650"/>
      <c r="CJ584" s="650"/>
      <c r="CK584" s="650"/>
      <c r="CL584" s="650"/>
      <c r="CM584" s="1265"/>
      <c r="CN584" s="1265"/>
      <c r="CO584" s="1265"/>
      <c r="CP584" s="650"/>
      <c r="CQ584" s="650"/>
      <c r="CR584" s="650"/>
      <c r="CS584" s="650"/>
      <c r="CT584" s="650"/>
      <c r="CU584" s="650"/>
    </row>
    <row r="585" s="1265" customFormat="1" ht="31" customHeight="1" spans="1:99">
      <c r="A585" s="641">
        <v>45985</v>
      </c>
      <c r="B585" s="642"/>
      <c r="C585" s="246"/>
      <c r="D585" s="551" t="s">
        <v>2354</v>
      </c>
      <c r="E585" s="246"/>
      <c r="F585" s="551" t="s">
        <v>2355</v>
      </c>
      <c r="G585" s="659" t="s">
        <v>68</v>
      </c>
      <c r="H585" s="633" t="s">
        <v>69</v>
      </c>
      <c r="I585" s="246">
        <v>192</v>
      </c>
      <c r="J585" s="246">
        <v>0</v>
      </c>
      <c r="K585" s="246">
        <v>12</v>
      </c>
      <c r="L585" s="644">
        <f t="shared" si="182"/>
        <v>16</v>
      </c>
      <c r="M585" s="645">
        <v>46004</v>
      </c>
      <c r="N585" s="645">
        <v>46000</v>
      </c>
      <c r="O585" s="643"/>
      <c r="P585" s="246"/>
      <c r="Q585" s="646"/>
      <c r="R585" s="646"/>
      <c r="S585" s="646"/>
      <c r="T585" s="646"/>
      <c r="U585" s="646"/>
      <c r="V585" s="642"/>
      <c r="W585" s="642"/>
      <c r="X585" s="642" t="s">
        <v>2356</v>
      </c>
      <c r="Y585" s="647" t="s">
        <v>92</v>
      </c>
      <c r="Z585" s="657"/>
      <c r="AA585" s="647"/>
      <c r="AB585" s="551"/>
      <c r="AC585" s="658" t="s">
        <v>2357</v>
      </c>
      <c r="AD585" s="633" t="s">
        <v>68</v>
      </c>
      <c r="AE585" s="633" t="s">
        <v>82</v>
      </c>
      <c r="AF585" s="246"/>
      <c r="AG585" s="246"/>
      <c r="AH585" s="246"/>
      <c r="AI585" s="246">
        <v>192</v>
      </c>
      <c r="AJ585" s="643">
        <f>AI585-I585</f>
        <v>0</v>
      </c>
      <c r="AK585" s="246"/>
      <c r="AL585" s="246"/>
      <c r="AM585" s="551"/>
      <c r="AN585" s="551">
        <f>I585</f>
        <v>192</v>
      </c>
      <c r="AO585" s="551"/>
      <c r="AP585" s="551"/>
      <c r="AQ585" s="551"/>
      <c r="AR585" s="825">
        <f t="shared" si="183"/>
        <v>192</v>
      </c>
      <c r="AS585" s="687"/>
      <c r="AT585" s="687"/>
      <c r="AU585" s="825">
        <f>I585</f>
        <v>192</v>
      </c>
      <c r="AV585" s="551"/>
      <c r="AW585" s="551">
        <f t="shared" si="184"/>
        <v>192</v>
      </c>
      <c r="AX585" s="651"/>
      <c r="AY585" s="551"/>
      <c r="AZ585" s="663"/>
      <c r="BA585" s="551"/>
      <c r="BB585" s="551"/>
      <c r="BC585" s="551"/>
      <c r="BD585" s="551"/>
      <c r="BE585" s="551"/>
      <c r="BF585" s="551"/>
      <c r="BG585" s="551"/>
      <c r="BH585" s="551"/>
      <c r="BI585" s="551"/>
      <c r="BJ585" s="551"/>
      <c r="BK585" s="551"/>
      <c r="BL585" s="551"/>
      <c r="BM585" s="551"/>
      <c r="BN585" s="551"/>
      <c r="BO585" s="551"/>
      <c r="BP585" s="551"/>
      <c r="BQ585" s="551"/>
      <c r="BR585" s="551"/>
      <c r="BS585" s="551"/>
      <c r="BT585" s="551"/>
      <c r="BU585" s="551"/>
      <c r="BV585" s="551"/>
      <c r="BW585" s="551"/>
      <c r="BX585" s="551"/>
      <c r="BY585" s="551"/>
      <c r="BZ585" s="551"/>
      <c r="CA585" s="551"/>
      <c r="CB585" s="551"/>
      <c r="CC585" s="551"/>
      <c r="CD585" s="551"/>
      <c r="CE585" s="551"/>
      <c r="CF585" s="551"/>
      <c r="CG585" s="551"/>
      <c r="CH585" s="650"/>
      <c r="CI585" s="650"/>
      <c r="CJ585" s="650"/>
      <c r="CK585" s="650"/>
      <c r="CL585" s="650"/>
      <c r="CM585" s="551"/>
      <c r="CN585" s="551"/>
      <c r="CO585" s="551"/>
      <c r="CP585" s="650"/>
      <c r="CQ585" s="650"/>
      <c r="CR585" s="650"/>
      <c r="CS585" s="650"/>
      <c r="CT585" s="650"/>
      <c r="CU585" s="650"/>
    </row>
    <row r="586" s="1265" customFormat="1" ht="31" customHeight="1" spans="1:99">
      <c r="A586" s="641">
        <v>45929</v>
      </c>
      <c r="B586" s="642" t="s">
        <v>1472</v>
      </c>
      <c r="C586" s="246" t="s">
        <v>524</v>
      </c>
      <c r="D586" s="551">
        <v>4500180866</v>
      </c>
      <c r="E586" s="246">
        <v>5251218587</v>
      </c>
      <c r="F586" s="551" t="s">
        <v>2358</v>
      </c>
      <c r="G586" s="659" t="s">
        <v>130</v>
      </c>
      <c r="H586" s="246" t="s">
        <v>131</v>
      </c>
      <c r="I586" s="246">
        <v>1980</v>
      </c>
      <c r="J586" s="246">
        <v>0</v>
      </c>
      <c r="K586" s="246">
        <v>6</v>
      </c>
      <c r="L586" s="644">
        <f t="shared" si="182"/>
        <v>330</v>
      </c>
      <c r="M586" s="645">
        <v>46006</v>
      </c>
      <c r="N586" s="645">
        <v>46002</v>
      </c>
      <c r="O586" s="643"/>
      <c r="P586" s="824" t="s">
        <v>113</v>
      </c>
      <c r="Q586" s="646"/>
      <c r="R586" s="646">
        <v>45929</v>
      </c>
      <c r="S586" s="646" t="s">
        <v>70</v>
      </c>
      <c r="T586" s="646" t="s">
        <v>2359</v>
      </c>
      <c r="U586" s="646"/>
      <c r="V586" s="642"/>
      <c r="W586" s="642"/>
      <c r="X586" s="749" t="s">
        <v>2360</v>
      </c>
      <c r="Y586" s="647" t="s">
        <v>340</v>
      </c>
      <c r="Z586" s="657">
        <v>4.2099</v>
      </c>
      <c r="AA586" s="647">
        <f t="shared" ref="AA586:AA638" si="185">Z586*I586</f>
        <v>8335.602</v>
      </c>
      <c r="AB586" s="551"/>
      <c r="AC586" s="648" t="s">
        <v>2361</v>
      </c>
      <c r="AD586" s="633" t="s">
        <v>453</v>
      </c>
      <c r="AE586" s="246" t="s">
        <v>82</v>
      </c>
      <c r="AF586" s="246"/>
      <c r="AG586" s="246"/>
      <c r="AH586" s="246">
        <v>1</v>
      </c>
      <c r="AI586" s="246">
        <v>1980</v>
      </c>
      <c r="AJ586" s="643">
        <f>AI586-I586</f>
        <v>0</v>
      </c>
      <c r="AK586" s="246"/>
      <c r="AL586" s="246"/>
      <c r="AM586" s="551"/>
      <c r="AN586" s="551">
        <f t="shared" ref="AN586:AN642" si="186">I586</f>
        <v>1980</v>
      </c>
      <c r="AO586" s="551"/>
      <c r="AP586" s="551"/>
      <c r="AQ586" s="551"/>
      <c r="AR586" s="551"/>
      <c r="AS586" s="551">
        <f>I586</f>
        <v>1980</v>
      </c>
      <c r="AT586" s="551"/>
      <c r="AU586" s="551">
        <f>I586</f>
        <v>1980</v>
      </c>
      <c r="AV586" s="551"/>
      <c r="AW586" s="551">
        <f t="shared" si="184"/>
        <v>1980</v>
      </c>
      <c r="AX586" s="651"/>
      <c r="AY586" s="551"/>
      <c r="AZ586" s="663"/>
      <c r="BA586" s="551"/>
      <c r="BB586" s="551"/>
      <c r="BC586" s="551"/>
      <c r="BD586" s="551"/>
      <c r="BE586" s="551"/>
      <c r="BF586" s="551"/>
      <c r="BG586" s="551"/>
      <c r="BH586" s="551"/>
      <c r="BI586" s="551"/>
      <c r="BJ586" s="551"/>
      <c r="BK586" s="551"/>
      <c r="BL586" s="551"/>
      <c r="BM586" s="551"/>
      <c r="BN586" s="551"/>
      <c r="BO586" s="551"/>
      <c r="BP586" s="551"/>
      <c r="BQ586" s="551"/>
      <c r="BR586" s="551"/>
      <c r="BS586" s="551"/>
      <c r="BT586" s="551"/>
      <c r="BU586" s="551"/>
      <c r="BV586" s="551"/>
      <c r="BW586" s="551"/>
      <c r="BX586" s="551"/>
      <c r="BY586" s="551"/>
      <c r="BZ586" s="551"/>
      <c r="CA586" s="551"/>
      <c r="CB586" s="551"/>
      <c r="CC586" s="551"/>
      <c r="CD586" s="551"/>
      <c r="CE586" s="551"/>
      <c r="CF586" s="551"/>
      <c r="CG586" s="551"/>
      <c r="CH586" s="650"/>
      <c r="CI586" s="650"/>
      <c r="CJ586" s="650"/>
      <c r="CK586" s="650"/>
      <c r="CL586" s="650"/>
      <c r="CM586" s="551"/>
      <c r="CN586" s="551"/>
      <c r="CO586" s="551"/>
      <c r="CP586" s="650"/>
      <c r="CQ586" s="650"/>
      <c r="CR586" s="650"/>
      <c r="CS586" s="650"/>
      <c r="CT586" s="650"/>
      <c r="CU586" s="650"/>
    </row>
    <row r="587" s="1265" customFormat="1" ht="31" customHeight="1" spans="1:99">
      <c r="A587" s="641">
        <v>45952</v>
      </c>
      <c r="B587" s="642" t="s">
        <v>2362</v>
      </c>
      <c r="C587" s="246" t="s">
        <v>524</v>
      </c>
      <c r="D587" s="551">
        <v>4500182578</v>
      </c>
      <c r="E587" s="246" t="s">
        <v>2363</v>
      </c>
      <c r="F587" s="551" t="s">
        <v>2364</v>
      </c>
      <c r="G587" s="659" t="s">
        <v>68</v>
      </c>
      <c r="H587" s="633" t="s">
        <v>69</v>
      </c>
      <c r="I587" s="246">
        <v>432</v>
      </c>
      <c r="J587" s="246">
        <v>0</v>
      </c>
      <c r="K587" s="246">
        <v>12</v>
      </c>
      <c r="L587" s="644">
        <f t="shared" si="182"/>
        <v>36</v>
      </c>
      <c r="M587" s="645">
        <v>46006</v>
      </c>
      <c r="N587" s="645">
        <v>46002</v>
      </c>
      <c r="O587" s="643"/>
      <c r="P587" s="824" t="s">
        <v>113</v>
      </c>
      <c r="Q587" s="646"/>
      <c r="R587" s="646">
        <v>45971</v>
      </c>
      <c r="S587" s="646" t="s">
        <v>70</v>
      </c>
      <c r="T587" s="646" t="s">
        <v>2365</v>
      </c>
      <c r="U587" s="646"/>
      <c r="V587" s="642"/>
      <c r="W587" s="642"/>
      <c r="X587" s="642" t="s">
        <v>2366</v>
      </c>
      <c r="Y587" s="647" t="s">
        <v>529</v>
      </c>
      <c r="Z587" s="657">
        <v>4.1018</v>
      </c>
      <c r="AA587" s="647">
        <f t="shared" si="185"/>
        <v>1771.9776</v>
      </c>
      <c r="AC587" s="699" t="s">
        <v>2367</v>
      </c>
      <c r="AD587" s="633" t="s">
        <v>184</v>
      </c>
      <c r="AE587" s="246" t="s">
        <v>82</v>
      </c>
      <c r="AF587" s="246"/>
      <c r="AG587" s="246"/>
      <c r="AH587" s="246">
        <v>1</v>
      </c>
      <c r="AI587" s="246">
        <v>432</v>
      </c>
      <c r="AJ587" s="643">
        <f>AI587-I587</f>
        <v>0</v>
      </c>
      <c r="AK587" s="246"/>
      <c r="AL587" s="246" t="s">
        <v>2368</v>
      </c>
      <c r="AM587" s="551"/>
      <c r="AN587" s="551">
        <f t="shared" si="186"/>
        <v>432</v>
      </c>
      <c r="AO587" s="1331"/>
      <c r="AP587" s="551"/>
      <c r="AQ587" s="1331"/>
      <c r="AR587" s="551"/>
      <c r="AS587" s="551">
        <f>I587</f>
        <v>432</v>
      </c>
      <c r="AT587" s="551"/>
      <c r="AU587" s="551">
        <f>I587</f>
        <v>432</v>
      </c>
      <c r="AV587" s="551"/>
      <c r="AW587" s="551">
        <f t="shared" si="184"/>
        <v>432</v>
      </c>
      <c r="AX587" s="651"/>
      <c r="AY587" s="1331"/>
      <c r="AZ587" s="551"/>
      <c r="BA587" s="1331"/>
      <c r="BB587" s="1331"/>
      <c r="BC587" s="1331"/>
      <c r="BD587" s="551"/>
      <c r="BE587" s="551"/>
      <c r="BF587" s="1331"/>
      <c r="BG587" s="1331"/>
      <c r="BH587" s="551"/>
      <c r="BI587" s="551"/>
      <c r="BJ587" s="1331"/>
      <c r="BK587" s="1331"/>
      <c r="BL587" s="1331"/>
      <c r="BM587" s="551"/>
      <c r="BN587" s="551"/>
      <c r="BO587" s="1331"/>
      <c r="BP587" s="1331"/>
      <c r="BQ587" s="1265"/>
      <c r="BR587" s="1265"/>
      <c r="BS587" s="1265"/>
      <c r="BT587" s="1265"/>
      <c r="BU587" s="1265"/>
      <c r="BV587" s="1265"/>
      <c r="BW587" s="1265"/>
      <c r="BX587" s="1265"/>
      <c r="BY587" s="1265"/>
      <c r="BZ587" s="1265"/>
      <c r="CA587" s="1265"/>
      <c r="CB587" s="1265"/>
      <c r="CC587" s="1265"/>
      <c r="CD587" s="1265"/>
      <c r="CE587" s="1265"/>
      <c r="CF587" s="1265"/>
      <c r="CG587" s="1265"/>
      <c r="CH587" s="650"/>
      <c r="CI587" s="650"/>
      <c r="CJ587" s="650"/>
      <c r="CK587" s="650"/>
      <c r="CL587" s="650"/>
      <c r="CM587" s="1265"/>
      <c r="CN587" s="1265"/>
      <c r="CO587" s="1265"/>
      <c r="CP587" s="650"/>
      <c r="CQ587" s="650"/>
      <c r="CR587" s="650"/>
      <c r="CS587" s="650"/>
      <c r="CT587" s="650"/>
      <c r="CU587" s="650"/>
    </row>
    <row r="588" s="1265" customFormat="1" ht="31" customHeight="1" spans="1:99">
      <c r="A588" s="641">
        <v>45975</v>
      </c>
      <c r="B588" s="642" t="s">
        <v>211</v>
      </c>
      <c r="C588" s="246" t="s">
        <v>212</v>
      </c>
      <c r="D588" s="551">
        <v>4500185736</v>
      </c>
      <c r="E588" s="246" t="s">
        <v>2369</v>
      </c>
      <c r="F588" s="551" t="s">
        <v>2370</v>
      </c>
      <c r="G588" s="659" t="s">
        <v>111</v>
      </c>
      <c r="H588" s="246" t="s">
        <v>112</v>
      </c>
      <c r="I588" s="246">
        <v>1200</v>
      </c>
      <c r="J588" s="246">
        <v>0</v>
      </c>
      <c r="K588" s="246">
        <v>16</v>
      </c>
      <c r="L588" s="644">
        <f t="shared" si="182"/>
        <v>75</v>
      </c>
      <c r="M588" s="645">
        <v>46006</v>
      </c>
      <c r="N588" s="645">
        <v>46002</v>
      </c>
      <c r="O588" s="643" t="s">
        <v>2371</v>
      </c>
      <c r="P588" s="824" t="s">
        <v>113</v>
      </c>
      <c r="Q588" s="646"/>
      <c r="R588" s="646">
        <v>45975</v>
      </c>
      <c r="S588" s="646" t="s">
        <v>70</v>
      </c>
      <c r="T588" s="646" t="s">
        <v>2372</v>
      </c>
      <c r="U588" s="646"/>
      <c r="V588" s="642" t="s">
        <v>2373</v>
      </c>
      <c r="W588" s="642"/>
      <c r="X588" s="642" t="s">
        <v>2374</v>
      </c>
      <c r="Y588" s="647" t="s">
        <v>1793</v>
      </c>
      <c r="Z588" s="700">
        <v>4.1983</v>
      </c>
      <c r="AA588" s="647">
        <f t="shared" si="185"/>
        <v>5037.96</v>
      </c>
      <c r="AB588" s="551"/>
      <c r="AC588" s="658" t="s">
        <v>2375</v>
      </c>
      <c r="AD588" s="633" t="s">
        <v>111</v>
      </c>
      <c r="AE588" s="246" t="s">
        <v>82</v>
      </c>
      <c r="AF588" s="246"/>
      <c r="AG588" s="246"/>
      <c r="AH588" s="618">
        <v>1</v>
      </c>
      <c r="AI588" s="246">
        <v>1200</v>
      </c>
      <c r="AJ588" s="643">
        <f>AI588-I588</f>
        <v>0</v>
      </c>
      <c r="AK588" s="246"/>
      <c r="AL588" s="246"/>
      <c r="AM588" s="551"/>
      <c r="AN588" s="551">
        <f t="shared" si="186"/>
        <v>1200</v>
      </c>
      <c r="AO588" s="1331"/>
      <c r="AP588" s="1331"/>
      <c r="AQ588" s="1331"/>
      <c r="AR588" s="551">
        <f>I588</f>
        <v>1200</v>
      </c>
      <c r="AS588" s="551"/>
      <c r="AT588" s="551"/>
      <c r="AU588" s="551">
        <f>I588</f>
        <v>1200</v>
      </c>
      <c r="AV588" s="551"/>
      <c r="AW588" s="551">
        <f t="shared" si="184"/>
        <v>1200</v>
      </c>
      <c r="AX588" s="651"/>
      <c r="AY588" s="551"/>
      <c r="AZ588" s="551"/>
      <c r="BA588" s="551"/>
      <c r="BB588" s="551"/>
      <c r="BC588" s="551"/>
      <c r="BD588" s="551"/>
      <c r="BE588" s="551"/>
      <c r="BF588" s="551"/>
      <c r="BG588" s="551"/>
      <c r="BH588" s="825">
        <f>I588/4</f>
        <v>300</v>
      </c>
      <c r="BI588" s="551"/>
      <c r="BJ588" s="551"/>
      <c r="BK588" s="551"/>
      <c r="BL588" s="551"/>
      <c r="BM588" s="551"/>
      <c r="BN588" s="551"/>
      <c r="BO588" s="551"/>
      <c r="BP588" s="551"/>
      <c r="BQ588" s="551"/>
      <c r="BR588" s="551"/>
      <c r="BS588" s="551"/>
      <c r="BT588" s="551"/>
      <c r="BU588" s="551"/>
      <c r="BV588" s="551"/>
      <c r="BW588" s="551"/>
      <c r="BX588" s="551"/>
      <c r="BY588" s="551"/>
      <c r="BZ588" s="551"/>
      <c r="CA588" s="551"/>
      <c r="CB588" s="551"/>
      <c r="CC588" s="551"/>
      <c r="CD588" s="551"/>
      <c r="CE588" s="551"/>
      <c r="CF588" s="551"/>
      <c r="CG588" s="551"/>
      <c r="CH588" s="650"/>
      <c r="CI588" s="650"/>
      <c r="CJ588" s="650"/>
      <c r="CK588" s="650"/>
      <c r="CL588" s="650"/>
      <c r="CM588" s="551"/>
      <c r="CN588" s="551"/>
      <c r="CO588" s="551"/>
      <c r="CP588" s="650"/>
      <c r="CQ588" s="650"/>
      <c r="CR588" s="650"/>
      <c r="CS588" s="650"/>
      <c r="CT588" s="650"/>
      <c r="CU588" s="650"/>
    </row>
    <row r="589" s="1265" customFormat="1" ht="31" customHeight="1" spans="1:99">
      <c r="A589" s="641">
        <v>45975</v>
      </c>
      <c r="B589" s="642" t="s">
        <v>211</v>
      </c>
      <c r="C589" s="246" t="s">
        <v>212</v>
      </c>
      <c r="D589" s="551">
        <v>4500185736</v>
      </c>
      <c r="E589" s="246" t="s">
        <v>2369</v>
      </c>
      <c r="F589" s="551" t="s">
        <v>2376</v>
      </c>
      <c r="G589" s="659" t="s">
        <v>518</v>
      </c>
      <c r="H589" s="246" t="s">
        <v>477</v>
      </c>
      <c r="I589" s="246">
        <v>576</v>
      </c>
      <c r="J589" s="246">
        <v>0</v>
      </c>
      <c r="K589" s="246">
        <v>6</v>
      </c>
      <c r="L589" s="644">
        <f t="shared" si="182"/>
        <v>96</v>
      </c>
      <c r="M589" s="645">
        <v>46006</v>
      </c>
      <c r="N589" s="645">
        <v>46002</v>
      </c>
      <c r="O589" s="643" t="s">
        <v>2371</v>
      </c>
      <c r="P589" s="824" t="s">
        <v>113</v>
      </c>
      <c r="Q589" s="646"/>
      <c r="R589" s="646">
        <v>45975</v>
      </c>
      <c r="S589" s="646" t="s">
        <v>70</v>
      </c>
      <c r="T589" s="646" t="s">
        <v>2294</v>
      </c>
      <c r="U589" s="646"/>
      <c r="V589" s="642" t="s">
        <v>2373</v>
      </c>
      <c r="W589" s="642"/>
      <c r="X589" s="642" t="s">
        <v>2377</v>
      </c>
      <c r="Y589" s="647" t="s">
        <v>1793</v>
      </c>
      <c r="Z589" s="700">
        <v>7.0238</v>
      </c>
      <c r="AA589" s="647">
        <f t="shared" si="185"/>
        <v>4045.7088</v>
      </c>
      <c r="AB589" s="551"/>
      <c r="AC589" s="658" t="s">
        <v>2375</v>
      </c>
      <c r="AD589" s="633" t="s">
        <v>2241</v>
      </c>
      <c r="AE589" s="246" t="s">
        <v>82</v>
      </c>
      <c r="AF589" s="246"/>
      <c r="AG589" s="246"/>
      <c r="AH589" s="618">
        <v>1</v>
      </c>
      <c r="AI589" s="246">
        <v>576</v>
      </c>
      <c r="AJ589" s="643">
        <f>AI589-I589</f>
        <v>0</v>
      </c>
      <c r="AK589" s="246"/>
      <c r="AL589" s="246"/>
      <c r="AM589" s="551"/>
      <c r="AN589" s="551">
        <f t="shared" si="186"/>
        <v>576</v>
      </c>
      <c r="AO589" s="1331"/>
      <c r="AP589" s="1331"/>
      <c r="AQ589" s="1331"/>
      <c r="AR589" s="551">
        <f>I589</f>
        <v>576</v>
      </c>
      <c r="AS589" s="551"/>
      <c r="AT589" s="551"/>
      <c r="AU589" s="551"/>
      <c r="AV589" s="551">
        <f>I589</f>
        <v>576</v>
      </c>
      <c r="AW589" s="551">
        <f t="shared" si="184"/>
        <v>576</v>
      </c>
      <c r="AX589" s="651"/>
      <c r="AY589" s="551"/>
      <c r="AZ589" s="551"/>
      <c r="BA589" s="551"/>
      <c r="BB589" s="551"/>
      <c r="BC589" s="551"/>
      <c r="BD589" s="551"/>
      <c r="BE589" s="551"/>
      <c r="BF589" s="551"/>
      <c r="BG589" s="551"/>
      <c r="BH589" s="551"/>
      <c r="BI589" s="551"/>
      <c r="BJ589" s="551"/>
      <c r="BK589" s="551"/>
      <c r="BL589" s="551"/>
      <c r="BM589" s="551"/>
      <c r="BN589" s="551">
        <f>I589</f>
        <v>576</v>
      </c>
      <c r="BO589" s="551"/>
      <c r="BP589" s="551"/>
      <c r="BQ589" s="551"/>
      <c r="BR589" s="551"/>
      <c r="BS589" s="551"/>
      <c r="BT589" s="551"/>
      <c r="BU589" s="551"/>
      <c r="BV589" s="551"/>
      <c r="BW589" s="551"/>
      <c r="BX589" s="551"/>
      <c r="BY589" s="551"/>
      <c r="BZ589" s="551"/>
      <c r="CA589" s="551"/>
      <c r="CB589" s="551"/>
      <c r="CC589" s="551"/>
      <c r="CD589" s="551"/>
      <c r="CE589" s="551"/>
      <c r="CF589" s="551"/>
      <c r="CG589" s="551"/>
      <c r="CH589" s="650"/>
      <c r="CI589" s="650"/>
      <c r="CJ589" s="650"/>
      <c r="CK589" s="650"/>
      <c r="CL589" s="650"/>
      <c r="CM589" s="551"/>
      <c r="CN589" s="551"/>
      <c r="CO589" s="551"/>
      <c r="CP589" s="650"/>
      <c r="CQ589" s="650"/>
      <c r="CR589" s="650"/>
      <c r="CS589" s="650"/>
      <c r="CT589" s="650"/>
      <c r="CU589" s="650"/>
    </row>
    <row r="590" s="1265" customFormat="1" ht="31" customHeight="1" spans="1:99">
      <c r="A590" s="641">
        <v>45952</v>
      </c>
      <c r="B590" s="642" t="s">
        <v>1620</v>
      </c>
      <c r="C590" s="246" t="s">
        <v>278</v>
      </c>
      <c r="D590" s="551">
        <v>4500182619</v>
      </c>
      <c r="E590" s="246"/>
      <c r="F590" s="551" t="s">
        <v>2378</v>
      </c>
      <c r="G590" s="659" t="s">
        <v>164</v>
      </c>
      <c r="H590" s="246" t="s">
        <v>112</v>
      </c>
      <c r="I590" s="246">
        <v>4504</v>
      </c>
      <c r="J590" s="246">
        <v>0</v>
      </c>
      <c r="K590" s="246">
        <v>8</v>
      </c>
      <c r="L590" s="644">
        <f t="shared" si="182"/>
        <v>563</v>
      </c>
      <c r="M590" s="645">
        <v>46007</v>
      </c>
      <c r="N590" s="645">
        <v>46003</v>
      </c>
      <c r="O590" s="643"/>
      <c r="P590" s="824" t="s">
        <v>113</v>
      </c>
      <c r="Q590" s="646"/>
      <c r="R590" s="646">
        <v>45964</v>
      </c>
      <c r="S590" s="646" t="s">
        <v>70</v>
      </c>
      <c r="T590" s="646" t="s">
        <v>165</v>
      </c>
      <c r="U590" s="646"/>
      <c r="V590" s="642"/>
      <c r="W590" s="642"/>
      <c r="X590" s="642" t="s">
        <v>2379</v>
      </c>
      <c r="Y590" s="647" t="s">
        <v>1549</v>
      </c>
      <c r="Z590" s="657">
        <v>4.2174</v>
      </c>
      <c r="AA590" s="647">
        <f t="shared" si="185"/>
        <v>18995.1696</v>
      </c>
      <c r="AC590" s="658" t="s">
        <v>2380</v>
      </c>
      <c r="AD590" s="633" t="s">
        <v>2381</v>
      </c>
      <c r="AE590" s="246" t="s">
        <v>82</v>
      </c>
      <c r="AF590" s="246"/>
      <c r="AG590" s="246"/>
      <c r="AH590" s="246">
        <v>1</v>
      </c>
      <c r="AI590" s="246">
        <v>4504</v>
      </c>
      <c r="AJ590" s="246">
        <f t="shared" ref="AJ590:AJ614" si="187">AI590-I590</f>
        <v>0</v>
      </c>
      <c r="AK590" s="246"/>
      <c r="AL590" s="246"/>
      <c r="AM590" s="551"/>
      <c r="AN590" s="551">
        <f t="shared" si="186"/>
        <v>4504</v>
      </c>
      <c r="AO590" s="1331"/>
      <c r="AP590" s="551"/>
      <c r="AQ590" s="1331"/>
      <c r="AR590" s="551"/>
      <c r="AS590" s="551">
        <f>I590</f>
        <v>4504</v>
      </c>
      <c r="AT590" s="551"/>
      <c r="AU590" s="551">
        <f>I590</f>
        <v>4504</v>
      </c>
      <c r="AV590" s="551"/>
      <c r="AW590" s="551">
        <f t="shared" ref="AW590:AW595" si="188">I590</f>
        <v>4504</v>
      </c>
      <c r="AX590" s="651"/>
      <c r="AY590" s="1331"/>
      <c r="AZ590" s="551"/>
      <c r="BA590" s="1331"/>
      <c r="BB590" s="1331"/>
      <c r="BC590" s="1331"/>
      <c r="BD590" s="663"/>
      <c r="BE590" s="663"/>
      <c r="BF590" s="1331"/>
      <c r="BG590" s="1331"/>
      <c r="BH590" s="551"/>
      <c r="BI590" s="825">
        <f>I590/4</f>
        <v>1126</v>
      </c>
      <c r="BJ590" s="1331"/>
      <c r="BK590" s="1331"/>
      <c r="BL590" s="1331"/>
      <c r="BM590" s="551"/>
      <c r="BN590" s="551"/>
      <c r="BO590" s="1331"/>
      <c r="BP590" s="1331"/>
      <c r="BQ590" s="1265"/>
      <c r="BR590" s="1265"/>
      <c r="BS590" s="1265"/>
      <c r="BT590" s="1265"/>
      <c r="BU590" s="1265"/>
      <c r="BV590" s="1265"/>
      <c r="BW590" s="1265"/>
      <c r="BX590" s="1265"/>
      <c r="BY590" s="1265"/>
      <c r="BZ590" s="1265"/>
      <c r="CA590" s="1265"/>
      <c r="CB590" s="1265"/>
      <c r="CC590" s="1265"/>
      <c r="CD590" s="1265"/>
      <c r="CE590" s="1265"/>
      <c r="CF590" s="1265"/>
      <c r="CG590" s="1265"/>
      <c r="CH590" s="650"/>
      <c r="CI590" s="650"/>
      <c r="CJ590" s="650"/>
      <c r="CK590" s="650"/>
      <c r="CL590" s="650"/>
      <c r="CM590" s="1265"/>
      <c r="CN590" s="1265"/>
      <c r="CO590" s="1265"/>
      <c r="CP590" s="650"/>
      <c r="CQ590" s="650"/>
      <c r="CR590" s="650"/>
      <c r="CS590" s="650"/>
      <c r="CT590" s="650"/>
      <c r="CU590" s="650"/>
    </row>
    <row r="591" s="1265" customFormat="1" ht="31" customHeight="1" spans="1:99">
      <c r="A591" s="641">
        <v>45959</v>
      </c>
      <c r="B591" s="642" t="s">
        <v>312</v>
      </c>
      <c r="C591" s="246" t="s">
        <v>278</v>
      </c>
      <c r="D591" s="551">
        <v>4500183596</v>
      </c>
      <c r="E591" s="246" t="s">
        <v>2382</v>
      </c>
      <c r="F591" s="551" t="s">
        <v>2383</v>
      </c>
      <c r="G591" s="659" t="s">
        <v>111</v>
      </c>
      <c r="H591" s="246" t="s">
        <v>112</v>
      </c>
      <c r="I591" s="246">
        <v>4000</v>
      </c>
      <c r="J591" s="246">
        <v>0</v>
      </c>
      <c r="K591" s="246">
        <v>16</v>
      </c>
      <c r="L591" s="644">
        <f t="shared" si="182"/>
        <v>250</v>
      </c>
      <c r="M591" s="645">
        <v>46007</v>
      </c>
      <c r="N591" s="645">
        <v>46003</v>
      </c>
      <c r="O591" s="643"/>
      <c r="P591" s="824" t="s">
        <v>113</v>
      </c>
      <c r="Q591" s="646"/>
      <c r="R591" s="646">
        <v>45959</v>
      </c>
      <c r="S591" s="646" t="s">
        <v>70</v>
      </c>
      <c r="T591" s="646" t="s">
        <v>2197</v>
      </c>
      <c r="U591" s="646"/>
      <c r="V591" s="642"/>
      <c r="W591" s="642"/>
      <c r="X591" s="642" t="s">
        <v>2384</v>
      </c>
      <c r="Y591" s="647" t="s">
        <v>2199</v>
      </c>
      <c r="Z591" s="657">
        <v>4.2489</v>
      </c>
      <c r="AA591" s="647">
        <f t="shared" si="185"/>
        <v>16995.6</v>
      </c>
      <c r="AB591" s="551"/>
      <c r="AC591" s="658" t="s">
        <v>2385</v>
      </c>
      <c r="AD591" s="633" t="s">
        <v>111</v>
      </c>
      <c r="AE591" s="246" t="s">
        <v>82</v>
      </c>
      <c r="AF591" s="246"/>
      <c r="AG591" s="246"/>
      <c r="AH591" s="618">
        <v>1</v>
      </c>
      <c r="AI591" s="246">
        <v>4000</v>
      </c>
      <c r="AJ591" s="643">
        <f t="shared" si="187"/>
        <v>0</v>
      </c>
      <c r="AK591" s="246"/>
      <c r="AL591" s="246"/>
      <c r="AM591" s="551"/>
      <c r="AN591" s="551">
        <f t="shared" si="186"/>
        <v>4000</v>
      </c>
      <c r="AO591" s="1331"/>
      <c r="AP591" s="1331"/>
      <c r="AQ591" s="1331"/>
      <c r="AR591" s="551">
        <f>I591</f>
        <v>4000</v>
      </c>
      <c r="AS591" s="551"/>
      <c r="AT591" s="551"/>
      <c r="AU591" s="551">
        <f t="shared" ref="AU590:AU595" si="189">I591</f>
        <v>4000</v>
      </c>
      <c r="AV591" s="551"/>
      <c r="AW591" s="551">
        <f t="shared" si="188"/>
        <v>4000</v>
      </c>
      <c r="AX591" s="651"/>
      <c r="AY591" s="551"/>
      <c r="AZ591" s="551"/>
      <c r="BA591" s="551"/>
      <c r="BB591" s="551"/>
      <c r="BC591" s="551"/>
      <c r="BD591" s="551"/>
      <c r="BE591" s="551"/>
      <c r="BF591" s="551"/>
      <c r="BG591" s="551"/>
      <c r="BH591" s="825">
        <f>I591/4</f>
        <v>1000</v>
      </c>
      <c r="BI591" s="551"/>
      <c r="BJ591" s="551"/>
      <c r="BK591" s="551"/>
      <c r="BL591" s="551"/>
      <c r="BM591" s="551"/>
      <c r="BN591" s="551"/>
      <c r="BO591" s="551"/>
      <c r="BP591" s="551"/>
      <c r="BQ591" s="551"/>
      <c r="BR591" s="551"/>
      <c r="BS591" s="551"/>
      <c r="BT591" s="551"/>
      <c r="BU591" s="551"/>
      <c r="BV591" s="551"/>
      <c r="BW591" s="551"/>
      <c r="BX591" s="551"/>
      <c r="BY591" s="551"/>
      <c r="BZ591" s="551"/>
      <c r="CA591" s="551"/>
      <c r="CB591" s="551"/>
      <c r="CC591" s="551"/>
      <c r="CD591" s="551"/>
      <c r="CE591" s="551"/>
      <c r="CF591" s="551"/>
      <c r="CG591" s="551"/>
      <c r="CH591" s="650"/>
      <c r="CI591" s="650"/>
      <c r="CJ591" s="650"/>
      <c r="CK591" s="650"/>
      <c r="CL591" s="650"/>
      <c r="CM591" s="551"/>
      <c r="CN591" s="551"/>
      <c r="CO591" s="551"/>
      <c r="CP591" s="650"/>
      <c r="CQ591" s="650"/>
      <c r="CR591" s="650"/>
      <c r="CS591" s="650"/>
      <c r="CT591" s="650"/>
      <c r="CU591" s="650"/>
    </row>
    <row r="592" s="1265" customFormat="1" ht="31" customHeight="1" spans="1:99">
      <c r="A592" s="641">
        <v>45964</v>
      </c>
      <c r="B592" s="642" t="s">
        <v>135</v>
      </c>
      <c r="C592" s="246" t="s">
        <v>128</v>
      </c>
      <c r="D592" s="1333">
        <v>4500184103</v>
      </c>
      <c r="E592" s="246">
        <v>21158671</v>
      </c>
      <c r="F592" s="551" t="s">
        <v>2386</v>
      </c>
      <c r="G592" s="659" t="s">
        <v>68</v>
      </c>
      <c r="H592" s="633" t="s">
        <v>69</v>
      </c>
      <c r="I592" s="246">
        <v>1380</v>
      </c>
      <c r="J592" s="246">
        <v>0</v>
      </c>
      <c r="K592" s="246">
        <v>12</v>
      </c>
      <c r="L592" s="644">
        <f t="shared" si="182"/>
        <v>115</v>
      </c>
      <c r="M592" s="645">
        <v>46007</v>
      </c>
      <c r="N592" s="645">
        <v>46003</v>
      </c>
      <c r="O592" s="643"/>
      <c r="P592" s="824" t="s">
        <v>113</v>
      </c>
      <c r="Q592" s="646"/>
      <c r="R592" s="646">
        <v>45975</v>
      </c>
      <c r="S592" s="646" t="s">
        <v>70</v>
      </c>
      <c r="T592" s="646" t="s">
        <v>2387</v>
      </c>
      <c r="U592" s="646"/>
      <c r="V592" s="642"/>
      <c r="W592" s="642"/>
      <c r="X592" s="642" t="s">
        <v>2388</v>
      </c>
      <c r="Y592" s="647" t="s">
        <v>133</v>
      </c>
      <c r="Z592" s="657">
        <v>4.2552</v>
      </c>
      <c r="AA592" s="647">
        <f t="shared" si="185"/>
        <v>5872.176</v>
      </c>
      <c r="AB592" s="551"/>
      <c r="AC592" s="658" t="s">
        <v>2389</v>
      </c>
      <c r="AD592" s="633" t="s">
        <v>68</v>
      </c>
      <c r="AE592" s="246" t="s">
        <v>82</v>
      </c>
      <c r="AF592" s="246"/>
      <c r="AG592" s="246"/>
      <c r="AH592" s="618">
        <v>1</v>
      </c>
      <c r="AI592" s="246">
        <v>1380</v>
      </c>
      <c r="AJ592" s="643">
        <f t="shared" si="187"/>
        <v>0</v>
      </c>
      <c r="AK592" s="246"/>
      <c r="AL592" s="246"/>
      <c r="AM592" s="551"/>
      <c r="AN592" s="551">
        <f t="shared" si="186"/>
        <v>1380</v>
      </c>
      <c r="AO592" s="1331"/>
      <c r="AP592" s="1331"/>
      <c r="AQ592" s="1331"/>
      <c r="AR592" s="551">
        <f>I592</f>
        <v>1380</v>
      </c>
      <c r="AS592" s="551"/>
      <c r="AT592" s="551"/>
      <c r="AU592" s="551">
        <f t="shared" si="189"/>
        <v>1380</v>
      </c>
      <c r="AV592" s="551"/>
      <c r="AW592" s="551">
        <f t="shared" si="188"/>
        <v>1380</v>
      </c>
      <c r="AX592" s="651"/>
      <c r="AY592" s="551"/>
      <c r="AZ592" s="551"/>
      <c r="BA592" s="551"/>
      <c r="BB592" s="551"/>
      <c r="BC592" s="551"/>
      <c r="BD592" s="551"/>
      <c r="BE592" s="551"/>
      <c r="BF592" s="551"/>
      <c r="BG592" s="551"/>
      <c r="BH592" s="551"/>
      <c r="BI592" s="551"/>
      <c r="BJ592" s="551"/>
      <c r="BK592" s="551"/>
      <c r="BL592" s="551"/>
      <c r="BM592" s="551"/>
      <c r="BN592" s="551"/>
      <c r="BO592" s="551"/>
      <c r="BP592" s="551"/>
      <c r="BQ592" s="551"/>
      <c r="BR592" s="551"/>
      <c r="BS592" s="551"/>
      <c r="BT592" s="551"/>
      <c r="BU592" s="551"/>
      <c r="BV592" s="551"/>
      <c r="BW592" s="551"/>
      <c r="BX592" s="551"/>
      <c r="BY592" s="551"/>
      <c r="BZ592" s="551"/>
      <c r="CA592" s="551"/>
      <c r="CB592" s="551"/>
      <c r="CC592" s="551"/>
      <c r="CD592" s="551"/>
      <c r="CE592" s="551"/>
      <c r="CF592" s="551"/>
      <c r="CG592" s="551"/>
      <c r="CH592" s="650"/>
      <c r="CI592" s="650"/>
      <c r="CJ592" s="650"/>
      <c r="CK592" s="650"/>
      <c r="CL592" s="650"/>
      <c r="CM592" s="551"/>
      <c r="CN592" s="551"/>
      <c r="CO592" s="551"/>
      <c r="CP592" s="650"/>
      <c r="CQ592" s="650"/>
      <c r="CR592" s="650"/>
      <c r="CS592" s="650"/>
      <c r="CT592" s="650"/>
      <c r="CU592" s="650"/>
    </row>
    <row r="593" s="1265" customFormat="1" ht="31" customHeight="1" spans="1:99">
      <c r="A593" s="641">
        <v>45964</v>
      </c>
      <c r="B593" s="642" t="s">
        <v>139</v>
      </c>
      <c r="C593" s="246" t="s">
        <v>76</v>
      </c>
      <c r="D593" s="1333">
        <v>4500184105</v>
      </c>
      <c r="E593" s="246">
        <v>21158677</v>
      </c>
      <c r="F593" s="551" t="s">
        <v>2390</v>
      </c>
      <c r="G593" s="659" t="s">
        <v>68</v>
      </c>
      <c r="H593" s="633" t="s">
        <v>69</v>
      </c>
      <c r="I593" s="246">
        <v>120</v>
      </c>
      <c r="J593" s="246">
        <v>0</v>
      </c>
      <c r="K593" s="246">
        <v>12</v>
      </c>
      <c r="L593" s="644">
        <f t="shared" si="182"/>
        <v>10</v>
      </c>
      <c r="M593" s="645">
        <v>46007</v>
      </c>
      <c r="N593" s="645">
        <v>46003</v>
      </c>
      <c r="O593" s="643"/>
      <c r="P593" s="824" t="s">
        <v>113</v>
      </c>
      <c r="Q593" s="646"/>
      <c r="R593" s="646">
        <v>45975</v>
      </c>
      <c r="S593" s="646" t="s">
        <v>104</v>
      </c>
      <c r="T593" s="646" t="s">
        <v>2310</v>
      </c>
      <c r="U593" s="646"/>
      <c r="V593" s="642"/>
      <c r="W593" s="642"/>
      <c r="X593" s="642" t="s">
        <v>2391</v>
      </c>
      <c r="Y593" s="647" t="s">
        <v>133</v>
      </c>
      <c r="Z593" s="657">
        <v>4.1185</v>
      </c>
      <c r="AA593" s="647">
        <f t="shared" si="185"/>
        <v>494.22</v>
      </c>
      <c r="AB593" s="551"/>
      <c r="AC593" s="658" t="s">
        <v>2392</v>
      </c>
      <c r="AD593" s="633" t="s">
        <v>68</v>
      </c>
      <c r="AE593" s="246" t="s">
        <v>82</v>
      </c>
      <c r="AF593" s="246"/>
      <c r="AG593" s="246"/>
      <c r="AH593" s="618">
        <v>1</v>
      </c>
      <c r="AI593" s="246">
        <v>120</v>
      </c>
      <c r="AJ593" s="643">
        <f t="shared" si="187"/>
        <v>0</v>
      </c>
      <c r="AK593" s="246"/>
      <c r="AL593" s="246"/>
      <c r="AM593" s="551"/>
      <c r="AN593" s="551">
        <f t="shared" si="186"/>
        <v>120</v>
      </c>
      <c r="AO593" s="1331"/>
      <c r="AP593" s="1331"/>
      <c r="AQ593" s="1331"/>
      <c r="AR593" s="551">
        <f>I593</f>
        <v>120</v>
      </c>
      <c r="AS593" s="551"/>
      <c r="AT593" s="551"/>
      <c r="AU593" s="551">
        <f t="shared" si="189"/>
        <v>120</v>
      </c>
      <c r="AV593" s="551"/>
      <c r="AW593" s="551">
        <f t="shared" si="188"/>
        <v>120</v>
      </c>
      <c r="AX593" s="651"/>
      <c r="AY593" s="551"/>
      <c r="AZ593" s="551"/>
      <c r="BA593" s="551"/>
      <c r="BB593" s="551"/>
      <c r="BC593" s="551"/>
      <c r="BD593" s="551"/>
      <c r="BE593" s="551"/>
      <c r="BF593" s="551"/>
      <c r="BG593" s="551"/>
      <c r="BH593" s="551"/>
      <c r="BI593" s="551"/>
      <c r="BJ593" s="551"/>
      <c r="BK593" s="551"/>
      <c r="BL593" s="551"/>
      <c r="BM593" s="551"/>
      <c r="BN593" s="551"/>
      <c r="BO593" s="551"/>
      <c r="BP593" s="551"/>
      <c r="BQ593" s="551"/>
      <c r="BR593" s="551"/>
      <c r="BS593" s="551"/>
      <c r="BT593" s="551"/>
      <c r="BU593" s="551"/>
      <c r="BV593" s="551"/>
      <c r="BW593" s="551"/>
      <c r="BX593" s="551"/>
      <c r="BY593" s="551"/>
      <c r="BZ593" s="551"/>
      <c r="CA593" s="551"/>
      <c r="CB593" s="551"/>
      <c r="CC593" s="551"/>
      <c r="CD593" s="551"/>
      <c r="CE593" s="551"/>
      <c r="CF593" s="551"/>
      <c r="CG593" s="551"/>
      <c r="CH593" s="650"/>
      <c r="CI593" s="650"/>
      <c r="CJ593" s="650"/>
      <c r="CK593" s="650"/>
      <c r="CL593" s="650"/>
      <c r="CM593" s="551"/>
      <c r="CN593" s="551"/>
      <c r="CO593" s="551"/>
      <c r="CP593" s="650"/>
      <c r="CQ593" s="650"/>
      <c r="CR593" s="650"/>
      <c r="CS593" s="650"/>
      <c r="CT593" s="650"/>
      <c r="CU593" s="650"/>
    </row>
    <row r="594" s="1265" customFormat="1" ht="31" customHeight="1" spans="1:99">
      <c r="A594" s="641">
        <v>45904</v>
      </c>
      <c r="B594" s="642" t="s">
        <v>2393</v>
      </c>
      <c r="C594" s="246" t="s">
        <v>2394</v>
      </c>
      <c r="D594" s="551">
        <v>4500178856</v>
      </c>
      <c r="E594" s="246"/>
      <c r="F594" s="551" t="s">
        <v>2395</v>
      </c>
      <c r="G594" s="659" t="s">
        <v>68</v>
      </c>
      <c r="H594" s="633" t="s">
        <v>69</v>
      </c>
      <c r="I594" s="246">
        <v>1008</v>
      </c>
      <c r="J594" s="246">
        <v>0</v>
      </c>
      <c r="K594" s="246">
        <v>12</v>
      </c>
      <c r="L594" s="644">
        <f t="shared" si="182"/>
        <v>84</v>
      </c>
      <c r="M594" s="645">
        <v>46008</v>
      </c>
      <c r="N594" s="645">
        <v>46004</v>
      </c>
      <c r="O594" s="643"/>
      <c r="P594" s="824" t="s">
        <v>113</v>
      </c>
      <c r="Q594" s="646"/>
      <c r="R594" s="646">
        <v>45971</v>
      </c>
      <c r="S594" s="646" t="s">
        <v>70</v>
      </c>
      <c r="T594" s="646" t="s">
        <v>2396</v>
      </c>
      <c r="U594" s="646"/>
      <c r="V594" s="642"/>
      <c r="W594" s="642"/>
      <c r="X594" s="642" t="s">
        <v>2397</v>
      </c>
      <c r="Y594" s="647" t="s">
        <v>2398</v>
      </c>
      <c r="Z594" s="657">
        <v>4.1018</v>
      </c>
      <c r="AA594" s="647">
        <f t="shared" si="185"/>
        <v>4134.6144</v>
      </c>
      <c r="AB594" s="551"/>
      <c r="AC594" s="648" t="s">
        <v>2399</v>
      </c>
      <c r="AD594" s="633" t="s">
        <v>184</v>
      </c>
      <c r="AE594" s="246" t="s">
        <v>82</v>
      </c>
      <c r="AF594" s="246"/>
      <c r="AG594" s="246"/>
      <c r="AH594" s="246">
        <v>1</v>
      </c>
      <c r="AI594" s="246">
        <v>1008</v>
      </c>
      <c r="AJ594" s="643">
        <f t="shared" si="187"/>
        <v>0</v>
      </c>
      <c r="AK594" s="246"/>
      <c r="AL594" s="246"/>
      <c r="AM594" s="551"/>
      <c r="AN594" s="551">
        <f t="shared" si="186"/>
        <v>1008</v>
      </c>
      <c r="AO594" s="551"/>
      <c r="AP594" s="551"/>
      <c r="AQ594" s="551"/>
      <c r="AR594" s="551"/>
      <c r="AS594" s="551">
        <f>I594</f>
        <v>1008</v>
      </c>
      <c r="AT594" s="551"/>
      <c r="AU594" s="551">
        <f t="shared" si="189"/>
        <v>1008</v>
      </c>
      <c r="AV594" s="551"/>
      <c r="AW594" s="708">
        <f t="shared" si="188"/>
        <v>1008</v>
      </c>
      <c r="AX594" s="651"/>
      <c r="AY594" s="551"/>
      <c r="AZ594" s="551"/>
      <c r="BA594" s="551"/>
      <c r="BB594" s="551"/>
      <c r="BC594" s="551"/>
      <c r="BD594" s="551"/>
      <c r="BE594" s="551"/>
      <c r="BF594" s="551"/>
      <c r="BG594" s="551"/>
      <c r="BH594" s="551"/>
      <c r="BI594" s="551"/>
      <c r="BJ594" s="551"/>
      <c r="BK594" s="551"/>
      <c r="BL594" s="551"/>
      <c r="BM594" s="551"/>
      <c r="BN594" s="551"/>
      <c r="BO594" s="551"/>
      <c r="BP594" s="551"/>
      <c r="BQ594" s="551"/>
      <c r="BR594" s="551"/>
      <c r="BS594" s="551"/>
      <c r="BT594" s="551"/>
      <c r="BU594" s="551"/>
      <c r="BV594" s="551"/>
      <c r="BW594" s="551"/>
      <c r="BX594" s="551"/>
      <c r="BY594" s="551"/>
      <c r="BZ594" s="551"/>
      <c r="CA594" s="551"/>
      <c r="CB594" s="551"/>
      <c r="CC594" s="551"/>
      <c r="CD594" s="551"/>
      <c r="CE594" s="551"/>
      <c r="CF594" s="551"/>
      <c r="CG594" s="551"/>
      <c r="CH594" s="650"/>
      <c r="CI594" s="650"/>
      <c r="CJ594" s="650"/>
      <c r="CK594" s="650"/>
      <c r="CL594" s="650"/>
      <c r="CM594" s="551"/>
      <c r="CN594" s="551"/>
      <c r="CO594" s="551"/>
      <c r="CP594" s="650"/>
      <c r="CQ594" s="650"/>
      <c r="CR594" s="650"/>
      <c r="CS594" s="650"/>
      <c r="CT594" s="650"/>
      <c r="CU594" s="650"/>
    </row>
    <row r="595" s="1265" customFormat="1" ht="31" customHeight="1" spans="1:99">
      <c r="A595" s="641">
        <v>45965</v>
      </c>
      <c r="B595" s="642" t="s">
        <v>143</v>
      </c>
      <c r="C595" s="246" t="s">
        <v>98</v>
      </c>
      <c r="D595" s="551">
        <v>4500184389</v>
      </c>
      <c r="E595" s="1415" t="s">
        <v>2400</v>
      </c>
      <c r="F595" s="551" t="s">
        <v>2401</v>
      </c>
      <c r="G595" s="659" t="s">
        <v>101</v>
      </c>
      <c r="H595" s="246" t="s">
        <v>102</v>
      </c>
      <c r="I595" s="246">
        <v>8000</v>
      </c>
      <c r="J595" s="246">
        <v>0</v>
      </c>
      <c r="K595" s="246">
        <v>4</v>
      </c>
      <c r="L595" s="644">
        <f t="shared" si="182"/>
        <v>2000</v>
      </c>
      <c r="M595" s="645">
        <v>46009</v>
      </c>
      <c r="N595" s="645">
        <v>46006</v>
      </c>
      <c r="O595" s="643"/>
      <c r="P595" s="824" t="s">
        <v>113</v>
      </c>
      <c r="Q595" s="646"/>
      <c r="R595" s="646" t="s">
        <v>2184</v>
      </c>
      <c r="S595" s="646" t="s">
        <v>70</v>
      </c>
      <c r="T595" s="646" t="s">
        <v>148</v>
      </c>
      <c r="U595" s="646"/>
      <c r="V595" s="646"/>
      <c r="W595" s="642"/>
      <c r="X595" s="642" t="s">
        <v>1395</v>
      </c>
      <c r="Y595" s="647" t="s">
        <v>106</v>
      </c>
      <c r="Z595" s="657">
        <v>2.5656</v>
      </c>
      <c r="AA595" s="647">
        <f t="shared" si="185"/>
        <v>20524.8</v>
      </c>
      <c r="AB595" s="551"/>
      <c r="AC595" s="658" t="s">
        <v>2402</v>
      </c>
      <c r="AD595" s="633" t="s">
        <v>101</v>
      </c>
      <c r="AE595" s="246" t="s">
        <v>82</v>
      </c>
      <c r="AF595" s="246"/>
      <c r="AG595" s="246"/>
      <c r="AH595" s="246">
        <v>1</v>
      </c>
      <c r="AI595" s="246">
        <v>8000</v>
      </c>
      <c r="AJ595" s="643">
        <f t="shared" si="187"/>
        <v>0</v>
      </c>
      <c r="AK595" s="246"/>
      <c r="AL595" s="246"/>
      <c r="AM595" s="551"/>
      <c r="AN595" s="551">
        <f t="shared" si="186"/>
        <v>8000</v>
      </c>
      <c r="AO595" s="551"/>
      <c r="AP595" s="551"/>
      <c r="AQ595" s="551"/>
      <c r="AR595" s="551">
        <f>I595</f>
        <v>8000</v>
      </c>
      <c r="AS595" s="551"/>
      <c r="AT595" s="551"/>
      <c r="AU595" s="551">
        <f t="shared" si="189"/>
        <v>8000</v>
      </c>
      <c r="AV595" s="551"/>
      <c r="AW595" s="551">
        <f t="shared" ref="AW595:AW602" si="190">I595</f>
        <v>8000</v>
      </c>
      <c r="AX595" s="651"/>
      <c r="AY595" s="551"/>
      <c r="AZ595" s="551"/>
      <c r="BA595" s="551"/>
      <c r="BB595" s="551"/>
      <c r="BC595" s="551"/>
      <c r="BD595" s="551"/>
      <c r="BE595" s="551"/>
      <c r="BF595" s="551"/>
      <c r="BG595" s="551"/>
      <c r="BH595" s="825">
        <f t="shared" ref="BH595:BH601" si="191">I595/4</f>
        <v>2000</v>
      </c>
      <c r="BI595" s="551"/>
      <c r="BJ595" s="551"/>
      <c r="BK595" s="551"/>
      <c r="BL595" s="551"/>
      <c r="BM595" s="551"/>
      <c r="BN595" s="551"/>
      <c r="BO595" s="551"/>
      <c r="BP595" s="551"/>
      <c r="BQ595" s="551"/>
      <c r="BR595" s="551"/>
      <c r="BS595" s="551"/>
      <c r="BT595" s="551"/>
      <c r="BU595" s="551"/>
      <c r="BV595" s="551"/>
      <c r="BW595" s="551"/>
      <c r="BX595" s="551"/>
      <c r="BY595" s="551"/>
      <c r="BZ595" s="551"/>
      <c r="CA595" s="551"/>
      <c r="CB595" s="551"/>
      <c r="CC595" s="551"/>
      <c r="CD595" s="551"/>
      <c r="CE595" s="551"/>
      <c r="CF595" s="551"/>
      <c r="CG595" s="551"/>
      <c r="CH595" s="650"/>
      <c r="CI595" s="650"/>
      <c r="CJ595" s="650"/>
      <c r="CK595" s="650"/>
      <c r="CL595" s="650"/>
      <c r="CM595" s="551"/>
      <c r="CN595" s="551"/>
      <c r="CO595" s="551"/>
      <c r="CP595" s="650"/>
      <c r="CQ595" s="650"/>
      <c r="CR595" s="650"/>
      <c r="CS595" s="650"/>
      <c r="CT595" s="650"/>
      <c r="CU595" s="650"/>
    </row>
    <row r="596" s="1265" customFormat="1" ht="31" customHeight="1" spans="1:99">
      <c r="A596" s="641">
        <v>45965</v>
      </c>
      <c r="B596" s="642" t="s">
        <v>143</v>
      </c>
      <c r="C596" s="246" t="s">
        <v>98</v>
      </c>
      <c r="D596" s="551">
        <v>4500184389</v>
      </c>
      <c r="E596" s="1415" t="s">
        <v>2403</v>
      </c>
      <c r="F596" s="551" t="s">
        <v>2404</v>
      </c>
      <c r="G596" s="659" t="s">
        <v>101</v>
      </c>
      <c r="H596" s="246" t="s">
        <v>102</v>
      </c>
      <c r="I596" s="246">
        <v>6720</v>
      </c>
      <c r="J596" s="246">
        <v>0</v>
      </c>
      <c r="K596" s="246">
        <v>4</v>
      </c>
      <c r="L596" s="644">
        <f t="shared" si="182"/>
        <v>1680</v>
      </c>
      <c r="M596" s="645">
        <v>46009</v>
      </c>
      <c r="N596" s="645">
        <v>46006</v>
      </c>
      <c r="O596" s="643"/>
      <c r="P596" s="824" t="s">
        <v>113</v>
      </c>
      <c r="Q596" s="646"/>
      <c r="R596" s="646" t="s">
        <v>2184</v>
      </c>
      <c r="S596" s="646" t="s">
        <v>70</v>
      </c>
      <c r="T596" s="646" t="s">
        <v>148</v>
      </c>
      <c r="U596" s="646"/>
      <c r="V596" s="646"/>
      <c r="W596" s="642"/>
      <c r="X596" s="642" t="s">
        <v>1395</v>
      </c>
      <c r="Y596" s="647" t="s">
        <v>106</v>
      </c>
      <c r="Z596" s="657">
        <v>2.5656</v>
      </c>
      <c r="AA596" s="647">
        <f t="shared" si="185"/>
        <v>17240.832</v>
      </c>
      <c r="AB596" s="551"/>
      <c r="AC596" s="658" t="s">
        <v>2405</v>
      </c>
      <c r="AD596" s="633" t="s">
        <v>101</v>
      </c>
      <c r="AE596" s="246" t="s">
        <v>82</v>
      </c>
      <c r="AF596" s="246"/>
      <c r="AG596" s="246"/>
      <c r="AH596" s="246">
        <v>1</v>
      </c>
      <c r="AI596" s="246">
        <v>6720</v>
      </c>
      <c r="AJ596" s="643">
        <f t="shared" si="187"/>
        <v>0</v>
      </c>
      <c r="AK596" s="246"/>
      <c r="AL596" s="246"/>
      <c r="AM596" s="551"/>
      <c r="AN596" s="551">
        <f t="shared" si="186"/>
        <v>6720</v>
      </c>
      <c r="AO596" s="551"/>
      <c r="AP596" s="551"/>
      <c r="AQ596" s="551"/>
      <c r="AR596" s="551">
        <f t="shared" ref="AR596:AR605" si="192">I596</f>
        <v>6720</v>
      </c>
      <c r="AS596" s="551"/>
      <c r="AT596" s="551"/>
      <c r="AU596" s="551">
        <f t="shared" ref="AU596:AU602" si="193">I596</f>
        <v>6720</v>
      </c>
      <c r="AV596" s="551"/>
      <c r="AW596" s="551">
        <f t="shared" si="190"/>
        <v>6720</v>
      </c>
      <c r="AX596" s="651"/>
      <c r="AY596" s="551"/>
      <c r="AZ596" s="551"/>
      <c r="BA596" s="551"/>
      <c r="BB596" s="551"/>
      <c r="BC596" s="551"/>
      <c r="BD596" s="551"/>
      <c r="BE596" s="551"/>
      <c r="BF596" s="551"/>
      <c r="BG596" s="551"/>
      <c r="BH596" s="825">
        <f t="shared" si="191"/>
        <v>1680</v>
      </c>
      <c r="BI596" s="551"/>
      <c r="BJ596" s="551"/>
      <c r="BK596" s="551"/>
      <c r="BL596" s="551"/>
      <c r="BM596" s="551"/>
      <c r="BN596" s="551"/>
      <c r="BO596" s="551"/>
      <c r="BP596" s="551"/>
      <c r="BQ596" s="551"/>
      <c r="BR596" s="551"/>
      <c r="BS596" s="551"/>
      <c r="BT596" s="551"/>
      <c r="BU596" s="551"/>
      <c r="BV596" s="551"/>
      <c r="BW596" s="551"/>
      <c r="BX596" s="551"/>
      <c r="BY596" s="551"/>
      <c r="BZ596" s="551"/>
      <c r="CA596" s="551"/>
      <c r="CB596" s="551"/>
      <c r="CC596" s="551"/>
      <c r="CD596" s="551"/>
      <c r="CE596" s="551"/>
      <c r="CF596" s="551"/>
      <c r="CG596" s="551"/>
      <c r="CH596" s="650"/>
      <c r="CI596" s="650"/>
      <c r="CJ596" s="650"/>
      <c r="CK596" s="650"/>
      <c r="CL596" s="650"/>
      <c r="CM596" s="551"/>
      <c r="CN596" s="551"/>
      <c r="CO596" s="551"/>
      <c r="CP596" s="650"/>
      <c r="CQ596" s="650"/>
      <c r="CR596" s="650"/>
      <c r="CS596" s="650"/>
      <c r="CT596" s="650"/>
      <c r="CU596" s="650"/>
    </row>
    <row r="597" s="1265" customFormat="1" ht="31" customHeight="1" spans="1:99">
      <c r="A597" s="641">
        <v>45965</v>
      </c>
      <c r="B597" s="642" t="s">
        <v>143</v>
      </c>
      <c r="C597" s="246" t="s">
        <v>98</v>
      </c>
      <c r="D597" s="551">
        <v>4500184389</v>
      </c>
      <c r="E597" s="1415" t="s">
        <v>2406</v>
      </c>
      <c r="F597" s="551" t="s">
        <v>2407</v>
      </c>
      <c r="G597" s="659" t="s">
        <v>101</v>
      </c>
      <c r="H597" s="246" t="s">
        <v>102</v>
      </c>
      <c r="I597" s="246">
        <v>5440</v>
      </c>
      <c r="J597" s="246">
        <v>0</v>
      </c>
      <c r="K597" s="246">
        <v>4</v>
      </c>
      <c r="L597" s="644">
        <f t="shared" si="182"/>
        <v>1360</v>
      </c>
      <c r="M597" s="645">
        <v>46009</v>
      </c>
      <c r="N597" s="645">
        <v>46006</v>
      </c>
      <c r="O597" s="643"/>
      <c r="P597" s="824" t="s">
        <v>113</v>
      </c>
      <c r="Q597" s="646"/>
      <c r="R597" s="646" t="s">
        <v>2184</v>
      </c>
      <c r="S597" s="646" t="s">
        <v>70</v>
      </c>
      <c r="T597" s="646" t="s">
        <v>148</v>
      </c>
      <c r="U597" s="646"/>
      <c r="V597" s="646"/>
      <c r="W597" s="642"/>
      <c r="X597" s="642" t="s">
        <v>1395</v>
      </c>
      <c r="Y597" s="647" t="s">
        <v>106</v>
      </c>
      <c r="Z597" s="657">
        <v>2.5656</v>
      </c>
      <c r="AA597" s="647">
        <f t="shared" si="185"/>
        <v>13956.864</v>
      </c>
      <c r="AB597" s="551"/>
      <c r="AC597" s="658" t="s">
        <v>2408</v>
      </c>
      <c r="AD597" s="633" t="s">
        <v>101</v>
      </c>
      <c r="AE597" s="246" t="s">
        <v>82</v>
      </c>
      <c r="AF597" s="246"/>
      <c r="AG597" s="246"/>
      <c r="AH597" s="246">
        <v>1</v>
      </c>
      <c r="AI597" s="246">
        <f>1440+4000</f>
        <v>5440</v>
      </c>
      <c r="AJ597" s="643">
        <f t="shared" si="187"/>
        <v>0</v>
      </c>
      <c r="AK597" s="246"/>
      <c r="AL597" s="246"/>
      <c r="AM597" s="551"/>
      <c r="AN597" s="551">
        <f t="shared" si="186"/>
        <v>5440</v>
      </c>
      <c r="AO597" s="551"/>
      <c r="AP597" s="551"/>
      <c r="AQ597" s="551"/>
      <c r="AR597" s="551">
        <f t="shared" si="192"/>
        <v>5440</v>
      </c>
      <c r="AS597" s="551"/>
      <c r="AT597" s="551"/>
      <c r="AU597" s="551">
        <f t="shared" si="193"/>
        <v>5440</v>
      </c>
      <c r="AV597" s="551"/>
      <c r="AW597" s="551">
        <f t="shared" si="190"/>
        <v>5440</v>
      </c>
      <c r="AX597" s="651"/>
      <c r="AY597" s="551"/>
      <c r="AZ597" s="551"/>
      <c r="BA597" s="551"/>
      <c r="BB597" s="551"/>
      <c r="BC597" s="551"/>
      <c r="BD597" s="551"/>
      <c r="BE597" s="551"/>
      <c r="BF597" s="551"/>
      <c r="BG597" s="551"/>
      <c r="BH597" s="825">
        <f t="shared" si="191"/>
        <v>1360</v>
      </c>
      <c r="BI597" s="551"/>
      <c r="BJ597" s="551"/>
      <c r="BK597" s="551"/>
      <c r="BL597" s="551"/>
      <c r="BM597" s="551"/>
      <c r="BN597" s="551"/>
      <c r="BO597" s="551"/>
      <c r="BP597" s="551"/>
      <c r="BQ597" s="551"/>
      <c r="BR597" s="551"/>
      <c r="BS597" s="551"/>
      <c r="BT597" s="551"/>
      <c r="BU597" s="551"/>
      <c r="BV597" s="551"/>
      <c r="BW597" s="551"/>
      <c r="BX597" s="551"/>
      <c r="BY597" s="551"/>
      <c r="BZ597" s="551"/>
      <c r="CA597" s="551"/>
      <c r="CB597" s="551"/>
      <c r="CC597" s="551"/>
      <c r="CD597" s="551"/>
      <c r="CE597" s="551"/>
      <c r="CF597" s="551"/>
      <c r="CG597" s="551"/>
      <c r="CH597" s="650"/>
      <c r="CI597" s="650"/>
      <c r="CJ597" s="650"/>
      <c r="CK597" s="650"/>
      <c r="CL597" s="650"/>
      <c r="CM597" s="551"/>
      <c r="CN597" s="551"/>
      <c r="CO597" s="551"/>
      <c r="CP597" s="650"/>
      <c r="CQ597" s="650"/>
      <c r="CR597" s="650"/>
      <c r="CS597" s="650"/>
      <c r="CT597" s="650"/>
      <c r="CU597" s="650"/>
    </row>
    <row r="598" s="1265" customFormat="1" ht="31" customHeight="1" spans="1:99">
      <c r="A598" s="641">
        <v>45965</v>
      </c>
      <c r="B598" s="642" t="s">
        <v>143</v>
      </c>
      <c r="C598" s="246" t="s">
        <v>98</v>
      </c>
      <c r="D598" s="551">
        <v>4500184389</v>
      </c>
      <c r="E598" s="1415" t="s">
        <v>2409</v>
      </c>
      <c r="F598" s="551" t="s">
        <v>2410</v>
      </c>
      <c r="G598" s="659" t="s">
        <v>101</v>
      </c>
      <c r="H598" s="246" t="s">
        <v>102</v>
      </c>
      <c r="I598" s="246">
        <v>5440</v>
      </c>
      <c r="J598" s="246">
        <v>0</v>
      </c>
      <c r="K598" s="246">
        <v>4</v>
      </c>
      <c r="L598" s="644">
        <f t="shared" si="182"/>
        <v>1360</v>
      </c>
      <c r="M598" s="645">
        <v>46009</v>
      </c>
      <c r="N598" s="645">
        <v>46006</v>
      </c>
      <c r="O598" s="643"/>
      <c r="P598" s="824" t="s">
        <v>113</v>
      </c>
      <c r="Q598" s="646"/>
      <c r="R598" s="646" t="s">
        <v>2184</v>
      </c>
      <c r="S598" s="646" t="s">
        <v>70</v>
      </c>
      <c r="T598" s="646" t="s">
        <v>148</v>
      </c>
      <c r="U598" s="646"/>
      <c r="V598" s="646"/>
      <c r="W598" s="642"/>
      <c r="X598" s="642" t="s">
        <v>1395</v>
      </c>
      <c r="Y598" s="647" t="s">
        <v>106</v>
      </c>
      <c r="Z598" s="657">
        <v>2.5656</v>
      </c>
      <c r="AA598" s="647">
        <f t="shared" si="185"/>
        <v>13956.864</v>
      </c>
      <c r="AB598" s="551"/>
      <c r="AC598" s="658" t="s">
        <v>2411</v>
      </c>
      <c r="AD598" s="633" t="s">
        <v>101</v>
      </c>
      <c r="AE598" s="246" t="s">
        <v>82</v>
      </c>
      <c r="AF598" s="246"/>
      <c r="AG598" s="246"/>
      <c r="AH598" s="246">
        <v>1</v>
      </c>
      <c r="AI598" s="246">
        <v>5440</v>
      </c>
      <c r="AJ598" s="643">
        <f t="shared" si="187"/>
        <v>0</v>
      </c>
      <c r="AK598" s="246"/>
      <c r="AL598" s="246"/>
      <c r="AM598" s="551"/>
      <c r="AN598" s="551">
        <f t="shared" si="186"/>
        <v>5440</v>
      </c>
      <c r="AO598" s="551"/>
      <c r="AP598" s="551"/>
      <c r="AQ598" s="551"/>
      <c r="AR598" s="551">
        <f t="shared" si="192"/>
        <v>5440</v>
      </c>
      <c r="AS598" s="551"/>
      <c r="AT598" s="551"/>
      <c r="AU598" s="551">
        <f t="shared" si="193"/>
        <v>5440</v>
      </c>
      <c r="AV598" s="551"/>
      <c r="AW598" s="551">
        <f t="shared" si="190"/>
        <v>5440</v>
      </c>
      <c r="AX598" s="651"/>
      <c r="AY598" s="551"/>
      <c r="AZ598" s="551"/>
      <c r="BA598" s="551"/>
      <c r="BB598" s="551"/>
      <c r="BC598" s="551"/>
      <c r="BD598" s="551"/>
      <c r="BE598" s="551"/>
      <c r="BF598" s="551"/>
      <c r="BG598" s="551"/>
      <c r="BH598" s="825">
        <f t="shared" si="191"/>
        <v>1360</v>
      </c>
      <c r="BI598" s="551"/>
      <c r="BJ598" s="551"/>
      <c r="BK598" s="551"/>
      <c r="BL598" s="551"/>
      <c r="BM598" s="551"/>
      <c r="BN598" s="551"/>
      <c r="BO598" s="551"/>
      <c r="BP598" s="551"/>
      <c r="BQ598" s="551"/>
      <c r="BR598" s="551"/>
      <c r="BS598" s="551"/>
      <c r="BT598" s="551"/>
      <c r="BU598" s="551"/>
      <c r="BV598" s="551"/>
      <c r="BW598" s="551"/>
      <c r="BX598" s="551"/>
      <c r="BY598" s="551"/>
      <c r="BZ598" s="551"/>
      <c r="CA598" s="551"/>
      <c r="CB598" s="551"/>
      <c r="CC598" s="551"/>
      <c r="CD598" s="551"/>
      <c r="CE598" s="551"/>
      <c r="CF598" s="551"/>
      <c r="CG598" s="551"/>
      <c r="CH598" s="650"/>
      <c r="CI598" s="650"/>
      <c r="CJ598" s="650"/>
      <c r="CK598" s="650"/>
      <c r="CL598" s="650"/>
      <c r="CM598" s="551"/>
      <c r="CN598" s="551"/>
      <c r="CO598" s="551"/>
      <c r="CP598" s="650"/>
      <c r="CQ598" s="650"/>
      <c r="CR598" s="650"/>
      <c r="CS598" s="650"/>
      <c r="CT598" s="650"/>
      <c r="CU598" s="650"/>
    </row>
    <row r="599" s="1265" customFormat="1" ht="31" customHeight="1" spans="1:99">
      <c r="A599" s="641">
        <v>45965</v>
      </c>
      <c r="B599" s="642" t="s">
        <v>143</v>
      </c>
      <c r="C599" s="246" t="s">
        <v>98</v>
      </c>
      <c r="D599" s="551">
        <v>4500184389</v>
      </c>
      <c r="E599" s="1415" t="s">
        <v>2412</v>
      </c>
      <c r="F599" s="551" t="s">
        <v>2413</v>
      </c>
      <c r="G599" s="659" t="s">
        <v>101</v>
      </c>
      <c r="H599" s="246" t="s">
        <v>102</v>
      </c>
      <c r="I599" s="246">
        <v>4160</v>
      </c>
      <c r="J599" s="246">
        <v>0</v>
      </c>
      <c r="K599" s="246">
        <v>4</v>
      </c>
      <c r="L599" s="644">
        <f t="shared" si="182"/>
        <v>1040</v>
      </c>
      <c r="M599" s="645">
        <v>46009</v>
      </c>
      <c r="N599" s="645">
        <v>46006</v>
      </c>
      <c r="O599" s="643"/>
      <c r="P599" s="824" t="s">
        <v>113</v>
      </c>
      <c r="Q599" s="646"/>
      <c r="R599" s="646" t="s">
        <v>2184</v>
      </c>
      <c r="S599" s="646" t="s">
        <v>70</v>
      </c>
      <c r="T599" s="646" t="s">
        <v>148</v>
      </c>
      <c r="U599" s="646"/>
      <c r="V599" s="646"/>
      <c r="W599" s="642"/>
      <c r="X599" s="642" t="s">
        <v>1395</v>
      </c>
      <c r="Y599" s="647" t="s">
        <v>106</v>
      </c>
      <c r="Z599" s="657">
        <v>2.5768</v>
      </c>
      <c r="AA599" s="647">
        <f t="shared" si="185"/>
        <v>10719.488</v>
      </c>
      <c r="AB599" s="551"/>
      <c r="AC599" s="658" t="s">
        <v>2414</v>
      </c>
      <c r="AD599" s="633" t="s">
        <v>101</v>
      </c>
      <c r="AE599" s="246" t="s">
        <v>82</v>
      </c>
      <c r="AF599" s="246"/>
      <c r="AG599" s="246"/>
      <c r="AH599" s="246">
        <v>1</v>
      </c>
      <c r="AI599" s="246">
        <f>2880+1280</f>
        <v>4160</v>
      </c>
      <c r="AJ599" s="643">
        <f t="shared" si="187"/>
        <v>0</v>
      </c>
      <c r="AK599" s="246"/>
      <c r="AL599" s="246"/>
      <c r="AM599" s="551"/>
      <c r="AN599" s="551">
        <f t="shared" si="186"/>
        <v>4160</v>
      </c>
      <c r="AO599" s="551"/>
      <c r="AP599" s="551"/>
      <c r="AQ599" s="551"/>
      <c r="AR599" s="551">
        <f t="shared" si="192"/>
        <v>4160</v>
      </c>
      <c r="AS599" s="551"/>
      <c r="AT599" s="551"/>
      <c r="AU599" s="551">
        <f t="shared" si="193"/>
        <v>4160</v>
      </c>
      <c r="AV599" s="551"/>
      <c r="AW599" s="551">
        <f t="shared" si="190"/>
        <v>4160</v>
      </c>
      <c r="AX599" s="651"/>
      <c r="AY599" s="551"/>
      <c r="AZ599" s="551"/>
      <c r="BA599" s="551"/>
      <c r="BB599" s="551"/>
      <c r="BC599" s="551"/>
      <c r="BD599" s="551"/>
      <c r="BE599" s="551"/>
      <c r="BF599" s="551"/>
      <c r="BG599" s="551"/>
      <c r="BH599" s="825">
        <f t="shared" si="191"/>
        <v>1040</v>
      </c>
      <c r="BI599" s="551"/>
      <c r="BJ599" s="551"/>
      <c r="BK599" s="551"/>
      <c r="BL599" s="551"/>
      <c r="BM599" s="551"/>
      <c r="BN599" s="551"/>
      <c r="BO599" s="551"/>
      <c r="BP599" s="551"/>
      <c r="BQ599" s="551"/>
      <c r="BR599" s="551"/>
      <c r="BS599" s="551"/>
      <c r="BT599" s="551"/>
      <c r="BU599" s="551"/>
      <c r="BV599" s="551"/>
      <c r="BW599" s="551"/>
      <c r="BX599" s="551"/>
      <c r="BY599" s="551"/>
      <c r="BZ599" s="551"/>
      <c r="CA599" s="551"/>
      <c r="CB599" s="551"/>
      <c r="CC599" s="551"/>
      <c r="CD599" s="551"/>
      <c r="CE599" s="551"/>
      <c r="CF599" s="551"/>
      <c r="CG599" s="551"/>
      <c r="CH599" s="650"/>
      <c r="CI599" s="650"/>
      <c r="CJ599" s="650"/>
      <c r="CK599" s="650"/>
      <c r="CL599" s="650"/>
      <c r="CM599" s="551"/>
      <c r="CN599" s="551"/>
      <c r="CO599" s="551"/>
      <c r="CP599" s="650"/>
      <c r="CQ599" s="650"/>
      <c r="CR599" s="650"/>
      <c r="CS599" s="650"/>
      <c r="CT599" s="650"/>
      <c r="CU599" s="650"/>
    </row>
    <row r="600" s="1265" customFormat="1" ht="31" customHeight="1" spans="1:99">
      <c r="A600" s="641">
        <v>45965</v>
      </c>
      <c r="B600" s="642" t="s">
        <v>143</v>
      </c>
      <c r="C600" s="246" t="s">
        <v>98</v>
      </c>
      <c r="D600" s="551">
        <v>4500184389</v>
      </c>
      <c r="E600" s="1415" t="s">
        <v>2415</v>
      </c>
      <c r="F600" s="551" t="s">
        <v>2416</v>
      </c>
      <c r="G600" s="659" t="s">
        <v>101</v>
      </c>
      <c r="H600" s="246" t="s">
        <v>102</v>
      </c>
      <c r="I600" s="246">
        <v>7040</v>
      </c>
      <c r="J600" s="246">
        <v>0</v>
      </c>
      <c r="K600" s="246">
        <v>4</v>
      </c>
      <c r="L600" s="644">
        <f t="shared" si="182"/>
        <v>1760</v>
      </c>
      <c r="M600" s="645">
        <v>46009</v>
      </c>
      <c r="N600" s="645">
        <v>46006</v>
      </c>
      <c r="O600" s="643"/>
      <c r="P600" s="824" t="s">
        <v>113</v>
      </c>
      <c r="Q600" s="646"/>
      <c r="R600" s="646" t="s">
        <v>2184</v>
      </c>
      <c r="S600" s="646" t="s">
        <v>70</v>
      </c>
      <c r="T600" s="646" t="s">
        <v>148</v>
      </c>
      <c r="U600" s="646"/>
      <c r="V600" s="646"/>
      <c r="W600" s="642"/>
      <c r="X600" s="642" t="s">
        <v>1395</v>
      </c>
      <c r="Y600" s="647" t="s">
        <v>106</v>
      </c>
      <c r="Z600" s="657">
        <v>2.5656</v>
      </c>
      <c r="AA600" s="647">
        <f t="shared" si="185"/>
        <v>18061.824</v>
      </c>
      <c r="AB600" s="551"/>
      <c r="AC600" s="658" t="s">
        <v>2417</v>
      </c>
      <c r="AD600" s="633" t="s">
        <v>101</v>
      </c>
      <c r="AE600" s="246" t="s">
        <v>82</v>
      </c>
      <c r="AF600" s="246"/>
      <c r="AG600" s="246"/>
      <c r="AH600" s="246">
        <v>1</v>
      </c>
      <c r="AI600" s="246">
        <v>7040</v>
      </c>
      <c r="AJ600" s="643">
        <f t="shared" si="187"/>
        <v>0</v>
      </c>
      <c r="AK600" s="246"/>
      <c r="AL600" s="246"/>
      <c r="AM600" s="551"/>
      <c r="AN600" s="551">
        <f t="shared" si="186"/>
        <v>7040</v>
      </c>
      <c r="AO600" s="551"/>
      <c r="AP600" s="551"/>
      <c r="AQ600" s="551"/>
      <c r="AR600" s="551">
        <f t="shared" si="192"/>
        <v>7040</v>
      </c>
      <c r="AS600" s="551"/>
      <c r="AT600" s="551"/>
      <c r="AU600" s="551">
        <f t="shared" si="193"/>
        <v>7040</v>
      </c>
      <c r="AV600" s="551"/>
      <c r="AW600" s="551">
        <f t="shared" si="190"/>
        <v>7040</v>
      </c>
      <c r="AX600" s="651"/>
      <c r="AY600" s="551"/>
      <c r="AZ600" s="551"/>
      <c r="BA600" s="551"/>
      <c r="BB600" s="551"/>
      <c r="BC600" s="551"/>
      <c r="BD600" s="551"/>
      <c r="BE600" s="551"/>
      <c r="BF600" s="551"/>
      <c r="BG600" s="551"/>
      <c r="BH600" s="825">
        <f t="shared" si="191"/>
        <v>1760</v>
      </c>
      <c r="BI600" s="551"/>
      <c r="BJ600" s="551"/>
      <c r="BK600" s="551"/>
      <c r="BL600" s="551"/>
      <c r="BM600" s="551"/>
      <c r="BN600" s="551"/>
      <c r="BO600" s="551"/>
      <c r="BP600" s="551"/>
      <c r="BQ600" s="551"/>
      <c r="BR600" s="551"/>
      <c r="BS600" s="551"/>
      <c r="BT600" s="551"/>
      <c r="BU600" s="551"/>
      <c r="BV600" s="551"/>
      <c r="BW600" s="551"/>
      <c r="BX600" s="551"/>
      <c r="BY600" s="551"/>
      <c r="BZ600" s="551"/>
      <c r="CA600" s="551"/>
      <c r="CB600" s="551"/>
      <c r="CC600" s="551"/>
      <c r="CD600" s="551"/>
      <c r="CE600" s="551"/>
      <c r="CF600" s="551"/>
      <c r="CG600" s="551"/>
      <c r="CH600" s="650"/>
      <c r="CI600" s="650"/>
      <c r="CJ600" s="650"/>
      <c r="CK600" s="650"/>
      <c r="CL600" s="650"/>
      <c r="CM600" s="551"/>
      <c r="CN600" s="551"/>
      <c r="CO600" s="551"/>
      <c r="CP600" s="650"/>
      <c r="CQ600" s="650"/>
      <c r="CR600" s="650"/>
      <c r="CS600" s="650"/>
      <c r="CT600" s="650"/>
      <c r="CU600" s="650"/>
    </row>
    <row r="601" s="1265" customFormat="1" ht="31" customHeight="1" spans="1:99">
      <c r="A601" s="641">
        <v>45965</v>
      </c>
      <c r="B601" s="642" t="s">
        <v>143</v>
      </c>
      <c r="C601" s="246" t="s">
        <v>98</v>
      </c>
      <c r="D601" s="551">
        <v>4500184389</v>
      </c>
      <c r="E601" s="1415" t="s">
        <v>2418</v>
      </c>
      <c r="F601" s="551" t="s">
        <v>2419</v>
      </c>
      <c r="G601" s="659" t="s">
        <v>101</v>
      </c>
      <c r="H601" s="246" t="s">
        <v>102</v>
      </c>
      <c r="I601" s="246">
        <v>4800</v>
      </c>
      <c r="J601" s="246">
        <v>0</v>
      </c>
      <c r="K601" s="246">
        <v>4</v>
      </c>
      <c r="L601" s="644">
        <f t="shared" si="182"/>
        <v>1200</v>
      </c>
      <c r="M601" s="645">
        <v>46009</v>
      </c>
      <c r="N601" s="645">
        <v>46006</v>
      </c>
      <c r="O601" s="643"/>
      <c r="P601" s="824" t="s">
        <v>113</v>
      </c>
      <c r="Q601" s="646"/>
      <c r="R601" s="646" t="s">
        <v>2184</v>
      </c>
      <c r="S601" s="646" t="s">
        <v>70</v>
      </c>
      <c r="T601" s="646" t="s">
        <v>148</v>
      </c>
      <c r="U601" s="646"/>
      <c r="V601" s="646"/>
      <c r="W601" s="642"/>
      <c r="X601" s="642" t="s">
        <v>1395</v>
      </c>
      <c r="Y601" s="647" t="s">
        <v>106</v>
      </c>
      <c r="Z601" s="657">
        <v>2.5768</v>
      </c>
      <c r="AA601" s="647">
        <f t="shared" si="185"/>
        <v>12368.64</v>
      </c>
      <c r="AB601" s="551"/>
      <c r="AC601" s="698" t="s">
        <v>2420</v>
      </c>
      <c r="AD601" s="633" t="s">
        <v>101</v>
      </c>
      <c r="AE601" s="246" t="s">
        <v>82</v>
      </c>
      <c r="AF601" s="246"/>
      <c r="AG601" s="246"/>
      <c r="AH601" s="246">
        <v>1</v>
      </c>
      <c r="AI601" s="246">
        <v>4800</v>
      </c>
      <c r="AJ601" s="643">
        <f t="shared" si="187"/>
        <v>0</v>
      </c>
      <c r="AK601" s="246"/>
      <c r="AL601" s="246"/>
      <c r="AM601" s="551"/>
      <c r="AN601" s="551">
        <f t="shared" si="186"/>
        <v>4800</v>
      </c>
      <c r="AO601" s="551"/>
      <c r="AP601" s="551"/>
      <c r="AQ601" s="551"/>
      <c r="AR601" s="551">
        <f t="shared" si="192"/>
        <v>4800</v>
      </c>
      <c r="AS601" s="551"/>
      <c r="AT601" s="551"/>
      <c r="AU601" s="551">
        <f t="shared" si="193"/>
        <v>4800</v>
      </c>
      <c r="AV601" s="551"/>
      <c r="AW601" s="551">
        <f t="shared" si="190"/>
        <v>4800</v>
      </c>
      <c r="AX601" s="651"/>
      <c r="AY601" s="551"/>
      <c r="AZ601" s="551"/>
      <c r="BA601" s="551"/>
      <c r="BB601" s="551"/>
      <c r="BC601" s="551"/>
      <c r="BD601" s="551"/>
      <c r="BE601" s="551"/>
      <c r="BF601" s="551"/>
      <c r="BG601" s="551"/>
      <c r="BH601" s="825">
        <f t="shared" si="191"/>
        <v>1200</v>
      </c>
      <c r="BI601" s="551"/>
      <c r="BJ601" s="551"/>
      <c r="BK601" s="551"/>
      <c r="BL601" s="551"/>
      <c r="BM601" s="551"/>
      <c r="BN601" s="551"/>
      <c r="BO601" s="551"/>
      <c r="BP601" s="551"/>
      <c r="BQ601" s="551"/>
      <c r="BR601" s="551"/>
      <c r="BS601" s="551"/>
      <c r="BT601" s="551"/>
      <c r="BU601" s="551"/>
      <c r="BV601" s="551"/>
      <c r="BW601" s="551"/>
      <c r="BX601" s="551"/>
      <c r="BY601" s="551"/>
      <c r="BZ601" s="551"/>
      <c r="CA601" s="551"/>
      <c r="CB601" s="551"/>
      <c r="CC601" s="551"/>
      <c r="CD601" s="551"/>
      <c r="CE601" s="551"/>
      <c r="CF601" s="551"/>
      <c r="CG601" s="551"/>
      <c r="CH601" s="650"/>
      <c r="CI601" s="650"/>
      <c r="CJ601" s="650"/>
      <c r="CK601" s="650"/>
      <c r="CL601" s="650"/>
      <c r="CM601" s="551"/>
      <c r="CN601" s="551"/>
      <c r="CO601" s="551"/>
      <c r="CP601" s="650"/>
      <c r="CQ601" s="650"/>
      <c r="CR601" s="650"/>
      <c r="CS601" s="650"/>
      <c r="CT601" s="650"/>
      <c r="CU601" s="650"/>
    </row>
    <row r="602" s="1265" customFormat="1" ht="31" customHeight="1" spans="1:99">
      <c r="A602" s="641">
        <v>45905</v>
      </c>
      <c r="B602" s="642" t="s">
        <v>1800</v>
      </c>
      <c r="C602" s="246" t="s">
        <v>744</v>
      </c>
      <c r="D602" s="551">
        <v>4500178919</v>
      </c>
      <c r="E602" s="246">
        <v>5000001988</v>
      </c>
      <c r="F602" s="551" t="s">
        <v>2421</v>
      </c>
      <c r="G602" s="659" t="s">
        <v>518</v>
      </c>
      <c r="H602" s="246" t="s">
        <v>477</v>
      </c>
      <c r="I602" s="246">
        <v>9996</v>
      </c>
      <c r="J602" s="246">
        <v>0</v>
      </c>
      <c r="K602" s="246">
        <v>6</v>
      </c>
      <c r="L602" s="644">
        <f t="shared" si="182"/>
        <v>1666</v>
      </c>
      <c r="M602" s="645">
        <v>46010</v>
      </c>
      <c r="N602" s="645">
        <v>46006</v>
      </c>
      <c r="O602" s="643"/>
      <c r="P602" s="824" t="s">
        <v>113</v>
      </c>
      <c r="Q602" s="646"/>
      <c r="R602" s="646">
        <v>45960</v>
      </c>
      <c r="S602" s="829" t="s">
        <v>104</v>
      </c>
      <c r="T602" s="646" t="s">
        <v>2239</v>
      </c>
      <c r="U602" s="646"/>
      <c r="V602" s="642"/>
      <c r="W602" s="642"/>
      <c r="X602" s="642" t="s">
        <v>2240</v>
      </c>
      <c r="Y602" s="647" t="s">
        <v>1805</v>
      </c>
      <c r="Z602" s="657">
        <v>6.3409</v>
      </c>
      <c r="AA602" s="647">
        <f t="shared" si="185"/>
        <v>63383.6364</v>
      </c>
      <c r="AC602" s="698" t="s">
        <v>2422</v>
      </c>
      <c r="AD602" s="633" t="s">
        <v>2241</v>
      </c>
      <c r="AE602" s="246" t="s">
        <v>82</v>
      </c>
      <c r="AF602" s="246"/>
      <c r="AG602" s="246"/>
      <c r="AH602" s="246">
        <v>1</v>
      </c>
      <c r="AI602" s="246">
        <f>4536+3888+1296+276</f>
        <v>9996</v>
      </c>
      <c r="AJ602" s="643">
        <f t="shared" si="187"/>
        <v>0</v>
      </c>
      <c r="AK602" s="246"/>
      <c r="AL602" s="246"/>
      <c r="AM602" s="551"/>
      <c r="AN602" s="551">
        <f t="shared" si="186"/>
        <v>9996</v>
      </c>
      <c r="AO602" s="1331"/>
      <c r="AP602" s="551"/>
      <c r="AQ602" s="1331"/>
      <c r="AR602" s="551">
        <f t="shared" si="192"/>
        <v>9996</v>
      </c>
      <c r="AS602" s="551"/>
      <c r="AT602" s="551"/>
      <c r="AU602" s="551"/>
      <c r="AV602" s="551">
        <f>I602</f>
        <v>9996</v>
      </c>
      <c r="AW602" s="551"/>
      <c r="AX602" s="834">
        <f>I602</f>
        <v>9996</v>
      </c>
      <c r="AY602" s="1331"/>
      <c r="AZ602" s="551"/>
      <c r="BA602" s="1331"/>
      <c r="BB602" s="1331"/>
      <c r="BC602" s="1331"/>
      <c r="BD602" s="551"/>
      <c r="BE602" s="551"/>
      <c r="BF602" s="1331"/>
      <c r="BG602" s="1331"/>
      <c r="BH602" s="551"/>
      <c r="BI602" s="551"/>
      <c r="BJ602" s="1331"/>
      <c r="BK602" s="1331"/>
      <c r="BL602" s="1331"/>
      <c r="BM602" s="551"/>
      <c r="BN602" s="551">
        <f>I602</f>
        <v>9996</v>
      </c>
      <c r="BO602" s="1331"/>
      <c r="BP602" s="1331"/>
      <c r="BQ602" s="1265"/>
      <c r="BR602" s="1265"/>
      <c r="BS602" s="1265"/>
      <c r="BT602" s="1265"/>
      <c r="BU602" s="1265"/>
      <c r="BV602" s="1265"/>
      <c r="BW602" s="1265"/>
      <c r="BX602" s="1265"/>
      <c r="BY602" s="1265"/>
      <c r="BZ602" s="1265"/>
      <c r="CA602" s="1265"/>
      <c r="CB602" s="1265"/>
      <c r="CC602" s="1265"/>
      <c r="CD602" s="1265"/>
      <c r="CE602" s="1265"/>
      <c r="CF602" s="1265"/>
      <c r="CG602" s="1265"/>
      <c r="CH602" s="650"/>
      <c r="CI602" s="650"/>
      <c r="CJ602" s="650"/>
      <c r="CK602" s="650"/>
      <c r="CL602" s="650"/>
      <c r="CM602" s="1265"/>
      <c r="CN602" s="1265"/>
      <c r="CO602" s="1265"/>
      <c r="CP602" s="650"/>
      <c r="CQ602" s="650"/>
      <c r="CR602" s="650"/>
      <c r="CS602" s="650"/>
      <c r="CT602" s="650"/>
      <c r="CU602" s="650"/>
    </row>
    <row r="603" s="1265" customFormat="1" ht="31" customHeight="1" spans="1:99">
      <c r="A603" s="641">
        <v>45953</v>
      </c>
      <c r="B603" s="642" t="s">
        <v>2423</v>
      </c>
      <c r="C603" s="246" t="s">
        <v>469</v>
      </c>
      <c r="D603" s="551">
        <v>4500182863</v>
      </c>
      <c r="E603" s="246">
        <v>50876</v>
      </c>
      <c r="F603" s="551" t="s">
        <v>2424</v>
      </c>
      <c r="G603" s="659" t="s">
        <v>68</v>
      </c>
      <c r="H603" s="633" t="s">
        <v>69</v>
      </c>
      <c r="I603" s="246">
        <v>192</v>
      </c>
      <c r="J603" s="246">
        <v>0</v>
      </c>
      <c r="K603" s="246">
        <v>12</v>
      </c>
      <c r="L603" s="644">
        <f t="shared" si="182"/>
        <v>16</v>
      </c>
      <c r="M603" s="645">
        <v>46009</v>
      </c>
      <c r="N603" s="645">
        <v>46006</v>
      </c>
      <c r="O603" s="643"/>
      <c r="P603" s="824" t="s">
        <v>113</v>
      </c>
      <c r="Q603" s="646"/>
      <c r="R603" s="646">
        <v>45953</v>
      </c>
      <c r="S603" s="646" t="s">
        <v>70</v>
      </c>
      <c r="T603" s="646" t="s">
        <v>2425</v>
      </c>
      <c r="U603" s="646"/>
      <c r="V603" s="642"/>
      <c r="W603" s="642"/>
      <c r="X603" s="642" t="s">
        <v>2426</v>
      </c>
      <c r="Y603" s="647" t="s">
        <v>2427</v>
      </c>
      <c r="Z603" s="657">
        <v>4.18</v>
      </c>
      <c r="AA603" s="647">
        <f t="shared" si="185"/>
        <v>802.56</v>
      </c>
      <c r="AB603" s="551"/>
      <c r="AC603" s="658" t="s">
        <v>2428</v>
      </c>
      <c r="AD603" s="633" t="s">
        <v>2429</v>
      </c>
      <c r="AE603" s="246" t="s">
        <v>82</v>
      </c>
      <c r="AF603" s="246"/>
      <c r="AG603" s="246"/>
      <c r="AH603" s="246">
        <v>1</v>
      </c>
      <c r="AI603" s="246">
        <v>192</v>
      </c>
      <c r="AJ603" s="643">
        <f t="shared" si="187"/>
        <v>0</v>
      </c>
      <c r="AK603" s="246"/>
      <c r="AL603" s="246"/>
      <c r="AM603" s="551"/>
      <c r="AN603" s="551">
        <f t="shared" si="186"/>
        <v>192</v>
      </c>
      <c r="AO603" s="551"/>
      <c r="AP603" s="551"/>
      <c r="AQ603" s="551"/>
      <c r="AR603" s="551"/>
      <c r="AS603" s="551"/>
      <c r="AT603" s="551"/>
      <c r="AU603" s="551"/>
      <c r="AV603" s="551"/>
      <c r="AW603" s="551">
        <f t="shared" ref="AW603:AW614" si="194">I603</f>
        <v>192</v>
      </c>
      <c r="AX603" s="651"/>
      <c r="AY603" s="551"/>
      <c r="AZ603" s="551"/>
      <c r="BA603" s="551"/>
      <c r="BB603" s="551"/>
      <c r="BC603" s="551"/>
      <c r="BD603" s="551">
        <f>I603</f>
        <v>192</v>
      </c>
      <c r="BE603" s="551">
        <f>I603</f>
        <v>192</v>
      </c>
      <c r="BF603" s="551"/>
      <c r="BG603" s="551"/>
      <c r="BH603" s="551"/>
      <c r="BI603" s="551"/>
      <c r="BJ603" s="551"/>
      <c r="BK603" s="551"/>
      <c r="BL603" s="551"/>
      <c r="BM603" s="551"/>
      <c r="BN603" s="551"/>
      <c r="BO603" s="551"/>
      <c r="BP603" s="551"/>
      <c r="BQ603" s="551"/>
      <c r="BR603" s="551"/>
      <c r="BS603" s="551"/>
      <c r="BT603" s="551"/>
      <c r="BU603" s="551"/>
      <c r="BV603" s="551"/>
      <c r="BW603" s="551"/>
      <c r="BX603" s="551"/>
      <c r="BY603" s="551"/>
      <c r="BZ603" s="551"/>
      <c r="CA603" s="551"/>
      <c r="CB603" s="551"/>
      <c r="CC603" s="551"/>
      <c r="CD603" s="551"/>
      <c r="CE603" s="551"/>
      <c r="CF603" s="551"/>
      <c r="CG603" s="551"/>
      <c r="CH603" s="650"/>
      <c r="CI603" s="650"/>
      <c r="CJ603" s="650"/>
      <c r="CK603" s="650"/>
      <c r="CL603" s="650"/>
      <c r="CM603" s="551"/>
      <c r="CN603" s="551"/>
      <c r="CO603" s="551"/>
      <c r="CP603" s="650"/>
      <c r="CQ603" s="650"/>
      <c r="CR603" s="650"/>
      <c r="CS603" s="650"/>
      <c r="CT603" s="650"/>
      <c r="CU603" s="650"/>
    </row>
    <row r="604" s="1265" customFormat="1" ht="31" customHeight="1" spans="1:99">
      <c r="A604" s="641">
        <v>45958</v>
      </c>
      <c r="B604" s="642" t="s">
        <v>2430</v>
      </c>
      <c r="C604" s="246" t="s">
        <v>170</v>
      </c>
      <c r="D604" s="551">
        <v>4500183410</v>
      </c>
      <c r="E604" s="246" t="s">
        <v>2431</v>
      </c>
      <c r="F604" s="551" t="s">
        <v>2432</v>
      </c>
      <c r="G604" s="659" t="s">
        <v>68</v>
      </c>
      <c r="H604" s="633" t="s">
        <v>69</v>
      </c>
      <c r="I604" s="246">
        <v>600</v>
      </c>
      <c r="J604" s="246">
        <v>0</v>
      </c>
      <c r="K604" s="246">
        <v>12</v>
      </c>
      <c r="L604" s="644">
        <f t="shared" si="182"/>
        <v>50</v>
      </c>
      <c r="M604" s="645">
        <v>46009</v>
      </c>
      <c r="N604" s="645">
        <v>46006</v>
      </c>
      <c r="O604" s="643"/>
      <c r="P604" s="824" t="s">
        <v>113</v>
      </c>
      <c r="Q604" s="646"/>
      <c r="R604" s="646">
        <v>45965</v>
      </c>
      <c r="S604" s="646" t="s">
        <v>70</v>
      </c>
      <c r="T604" s="646" t="s">
        <v>2433</v>
      </c>
      <c r="U604" s="646"/>
      <c r="V604" s="642"/>
      <c r="W604" s="642"/>
      <c r="X604" s="642" t="s">
        <v>2434</v>
      </c>
      <c r="Y604" s="647" t="s">
        <v>1318</v>
      </c>
      <c r="Z604" s="657">
        <v>4.1623</v>
      </c>
      <c r="AA604" s="647">
        <f t="shared" si="185"/>
        <v>2497.38</v>
      </c>
      <c r="AC604" s="658" t="s">
        <v>2435</v>
      </c>
      <c r="AD604" s="633" t="s">
        <v>184</v>
      </c>
      <c r="AE604" s="246" t="s">
        <v>82</v>
      </c>
      <c r="AF604" s="246"/>
      <c r="AG604" s="246"/>
      <c r="AH604" s="246">
        <v>1</v>
      </c>
      <c r="AI604" s="246">
        <v>600</v>
      </c>
      <c r="AJ604" s="643">
        <f t="shared" si="187"/>
        <v>0</v>
      </c>
      <c r="AK604" s="246"/>
      <c r="AL604" s="246"/>
      <c r="AM604" s="551"/>
      <c r="AN604" s="551">
        <f t="shared" si="186"/>
        <v>600</v>
      </c>
      <c r="AO604" s="551"/>
      <c r="AP604" s="551"/>
      <c r="AQ604" s="551"/>
      <c r="AR604" s="551"/>
      <c r="AS604" s="551">
        <f>I604</f>
        <v>600</v>
      </c>
      <c r="AT604" s="551"/>
      <c r="AU604" s="551">
        <f t="shared" ref="AU604:AU614" si="195">I604</f>
        <v>600</v>
      </c>
      <c r="AV604" s="551"/>
      <c r="AW604" s="551">
        <f t="shared" si="194"/>
        <v>600</v>
      </c>
      <c r="AX604" s="651"/>
      <c r="AY604" s="1331"/>
      <c r="AZ604" s="551"/>
      <c r="BA604" s="1331"/>
      <c r="BB604" s="1331"/>
      <c r="BC604" s="1331"/>
      <c r="BD604" s="551"/>
      <c r="BE604" s="551"/>
      <c r="BF604" s="1331"/>
      <c r="BG604" s="1331"/>
      <c r="BH604" s="551"/>
      <c r="BI604" s="551"/>
      <c r="BJ604" s="1331"/>
      <c r="BK604" s="1331"/>
      <c r="BL604" s="1331"/>
      <c r="BM604" s="551"/>
      <c r="BN604" s="551"/>
      <c r="BO604" s="1331"/>
      <c r="BP604" s="1331"/>
      <c r="BQ604" s="1265"/>
      <c r="BR604" s="1265"/>
      <c r="BS604" s="1265"/>
      <c r="BT604" s="1265"/>
      <c r="BU604" s="1265"/>
      <c r="BV604" s="1265"/>
      <c r="BW604" s="1265"/>
      <c r="BX604" s="1265"/>
      <c r="BY604" s="1265"/>
      <c r="BZ604" s="1265"/>
      <c r="CA604" s="1265"/>
      <c r="CB604" s="1265"/>
      <c r="CC604" s="1265"/>
      <c r="CD604" s="1265"/>
      <c r="CE604" s="1265"/>
      <c r="CF604" s="1265"/>
      <c r="CG604" s="1265"/>
      <c r="CH604" s="650"/>
      <c r="CI604" s="650"/>
      <c r="CJ604" s="650"/>
      <c r="CK604" s="650"/>
      <c r="CL604" s="650"/>
      <c r="CM604" s="1265"/>
      <c r="CN604" s="1265"/>
      <c r="CO604" s="1265"/>
      <c r="CP604" s="650"/>
      <c r="CQ604" s="650"/>
      <c r="CR604" s="650"/>
      <c r="CS604" s="650"/>
      <c r="CT604" s="650"/>
      <c r="CU604" s="650"/>
    </row>
    <row r="605" s="1265" customFormat="1" ht="31" customHeight="1" spans="1:99">
      <c r="A605" s="641">
        <v>45961</v>
      </c>
      <c r="B605" s="642" t="s">
        <v>1922</v>
      </c>
      <c r="C605" s="246" t="s">
        <v>154</v>
      </c>
      <c r="D605" s="551">
        <v>4500183904</v>
      </c>
      <c r="E605" s="246" t="s">
        <v>2436</v>
      </c>
      <c r="F605" s="1331" t="s">
        <v>2437</v>
      </c>
      <c r="G605" s="659" t="s">
        <v>68</v>
      </c>
      <c r="H605" s="633" t="s">
        <v>69</v>
      </c>
      <c r="I605" s="246">
        <v>576</v>
      </c>
      <c r="J605" s="246">
        <v>0</v>
      </c>
      <c r="K605" s="246">
        <v>12</v>
      </c>
      <c r="L605" s="644">
        <f t="shared" si="182"/>
        <v>48</v>
      </c>
      <c r="M605" s="645">
        <v>46009</v>
      </c>
      <c r="N605" s="645">
        <v>46006</v>
      </c>
      <c r="O605" s="643"/>
      <c r="P605" s="824" t="s">
        <v>113</v>
      </c>
      <c r="Q605" s="646"/>
      <c r="R605" s="646" t="s">
        <v>552</v>
      </c>
      <c r="S605" s="646" t="s">
        <v>70</v>
      </c>
      <c r="T605" s="646" t="s">
        <v>2438</v>
      </c>
      <c r="U605" s="646"/>
      <c r="V605" s="642"/>
      <c r="W605" s="642"/>
      <c r="X605" s="642" t="s">
        <v>2439</v>
      </c>
      <c r="Y605" s="647" t="s">
        <v>466</v>
      </c>
      <c r="Z605" s="657">
        <v>4.1623</v>
      </c>
      <c r="AA605" s="647">
        <f t="shared" si="185"/>
        <v>2397.4848</v>
      </c>
      <c r="AC605" s="658" t="s">
        <v>2440</v>
      </c>
      <c r="AD605" s="633" t="s">
        <v>184</v>
      </c>
      <c r="AE605" s="246" t="s">
        <v>82</v>
      </c>
      <c r="AF605" s="246"/>
      <c r="AG605" s="246"/>
      <c r="AH605" s="246">
        <v>1</v>
      </c>
      <c r="AI605" s="246">
        <v>576</v>
      </c>
      <c r="AJ605" s="643">
        <f t="shared" si="187"/>
        <v>0</v>
      </c>
      <c r="AK605" s="246"/>
      <c r="AL605" s="246"/>
      <c r="AM605" s="551"/>
      <c r="AN605" s="551">
        <f t="shared" si="186"/>
        <v>576</v>
      </c>
      <c r="AO605" s="551"/>
      <c r="AP605" s="551"/>
      <c r="AQ605" s="551"/>
      <c r="AR605" s="551"/>
      <c r="AS605" s="551">
        <f>I605</f>
        <v>576</v>
      </c>
      <c r="AT605" s="551"/>
      <c r="AU605" s="551">
        <f t="shared" si="195"/>
        <v>576</v>
      </c>
      <c r="AV605" s="551"/>
      <c r="AW605" s="551">
        <f t="shared" si="194"/>
        <v>576</v>
      </c>
      <c r="AX605" s="651"/>
      <c r="AY605" s="1331"/>
      <c r="AZ605" s="551"/>
      <c r="BA605" s="1331"/>
      <c r="BB605" s="1331"/>
      <c r="BC605" s="1331"/>
      <c r="BD605" s="551"/>
      <c r="BE605" s="551"/>
      <c r="BF605" s="1331"/>
      <c r="BG605" s="1331"/>
      <c r="BH605" s="551"/>
      <c r="BI605" s="551"/>
      <c r="BJ605" s="1331"/>
      <c r="BK605" s="1331"/>
      <c r="BL605" s="1331"/>
      <c r="BM605" s="551"/>
      <c r="BN605" s="551"/>
      <c r="BO605" s="1331"/>
      <c r="BP605" s="1331"/>
      <c r="BQ605" s="1265"/>
      <c r="BR605" s="1265"/>
      <c r="BS605" s="1265"/>
      <c r="BT605" s="1265"/>
      <c r="BU605" s="1265"/>
      <c r="BV605" s="1265"/>
      <c r="BW605" s="1265"/>
      <c r="BX605" s="1265"/>
      <c r="BY605" s="1265"/>
      <c r="BZ605" s="1265"/>
      <c r="CA605" s="1265"/>
      <c r="CB605" s="1265"/>
      <c r="CC605" s="1265"/>
      <c r="CD605" s="1265"/>
      <c r="CE605" s="1265"/>
      <c r="CF605" s="1265"/>
      <c r="CG605" s="1265"/>
      <c r="CH605" s="650"/>
      <c r="CI605" s="650"/>
      <c r="CJ605" s="650"/>
      <c r="CK605" s="650"/>
      <c r="CL605" s="650"/>
      <c r="CM605" s="1265"/>
      <c r="CN605" s="1265"/>
      <c r="CO605" s="1265"/>
      <c r="CP605" s="650"/>
      <c r="CQ605" s="650"/>
      <c r="CR605" s="650"/>
      <c r="CS605" s="650"/>
      <c r="CT605" s="650"/>
      <c r="CU605" s="650"/>
    </row>
    <row r="606" s="1265" customFormat="1" ht="31" customHeight="1" spans="1:99">
      <c r="A606" s="641">
        <v>45945</v>
      </c>
      <c r="B606" s="642" t="s">
        <v>2441</v>
      </c>
      <c r="C606" s="246" t="s">
        <v>241</v>
      </c>
      <c r="D606" s="551">
        <v>4500182014</v>
      </c>
      <c r="E606" s="246">
        <v>20119</v>
      </c>
      <c r="F606" s="551" t="s">
        <v>2442</v>
      </c>
      <c r="G606" s="659" t="s">
        <v>68</v>
      </c>
      <c r="H606" s="633" t="s">
        <v>69</v>
      </c>
      <c r="I606" s="246">
        <v>480</v>
      </c>
      <c r="J606" s="246">
        <v>0</v>
      </c>
      <c r="K606" s="246">
        <v>12</v>
      </c>
      <c r="L606" s="644">
        <f t="shared" si="182"/>
        <v>40</v>
      </c>
      <c r="M606" s="645">
        <v>46010</v>
      </c>
      <c r="N606" s="645">
        <v>46006</v>
      </c>
      <c r="O606" s="643"/>
      <c r="P606" s="824" t="s">
        <v>113</v>
      </c>
      <c r="Q606" s="646"/>
      <c r="R606" s="646">
        <v>45946</v>
      </c>
      <c r="S606" s="646" t="s">
        <v>70</v>
      </c>
      <c r="T606" s="646" t="s">
        <v>2443</v>
      </c>
      <c r="U606" s="646"/>
      <c r="V606" s="642"/>
      <c r="W606" s="642"/>
      <c r="X606" s="749" t="s">
        <v>2444</v>
      </c>
      <c r="Y606" s="647" t="s">
        <v>299</v>
      </c>
      <c r="Z606" s="657">
        <v>4.1456</v>
      </c>
      <c r="AA606" s="647">
        <f t="shared" si="185"/>
        <v>1989.888</v>
      </c>
      <c r="AB606" s="551"/>
      <c r="AC606" s="658" t="s">
        <v>2445</v>
      </c>
      <c r="AD606" s="633" t="s">
        <v>184</v>
      </c>
      <c r="AE606" s="246" t="s">
        <v>82</v>
      </c>
      <c r="AF606" s="246"/>
      <c r="AG606" s="246"/>
      <c r="AH606" s="246">
        <v>1</v>
      </c>
      <c r="AI606" s="246">
        <v>480</v>
      </c>
      <c r="AJ606" s="643">
        <f t="shared" si="187"/>
        <v>0</v>
      </c>
      <c r="AK606" s="246"/>
      <c r="AL606" s="246"/>
      <c r="AM606" s="551"/>
      <c r="AN606" s="551">
        <f t="shared" si="186"/>
        <v>480</v>
      </c>
      <c r="AO606" s="551"/>
      <c r="AP606" s="551"/>
      <c r="AQ606" s="551"/>
      <c r="AR606" s="551"/>
      <c r="AS606" s="551">
        <f>I606</f>
        <v>480</v>
      </c>
      <c r="AT606" s="551"/>
      <c r="AU606" s="551">
        <f t="shared" si="195"/>
        <v>480</v>
      </c>
      <c r="AV606" s="551"/>
      <c r="AW606" s="708">
        <f t="shared" si="194"/>
        <v>480</v>
      </c>
      <c r="AX606" s="651"/>
      <c r="AY606" s="551"/>
      <c r="AZ606" s="551"/>
      <c r="BA606" s="551"/>
      <c r="BB606" s="551"/>
      <c r="BC606" s="551"/>
      <c r="BD606" s="551"/>
      <c r="BE606" s="551"/>
      <c r="BF606" s="551"/>
      <c r="BG606" s="551"/>
      <c r="BH606" s="551"/>
      <c r="BI606" s="551"/>
      <c r="BJ606" s="551"/>
      <c r="BK606" s="551"/>
      <c r="BL606" s="551"/>
      <c r="BM606" s="551"/>
      <c r="BN606" s="551"/>
      <c r="BO606" s="551"/>
      <c r="BP606" s="551"/>
      <c r="BQ606" s="551"/>
      <c r="BR606" s="551"/>
      <c r="BS606" s="551"/>
      <c r="BT606" s="551"/>
      <c r="BU606" s="551"/>
      <c r="BV606" s="551"/>
      <c r="BW606" s="551"/>
      <c r="BX606" s="551"/>
      <c r="BY606" s="551"/>
      <c r="BZ606" s="551"/>
      <c r="CA606" s="551"/>
      <c r="CB606" s="551"/>
      <c r="CC606" s="551"/>
      <c r="CD606" s="551"/>
      <c r="CE606" s="551"/>
      <c r="CF606" s="551"/>
      <c r="CG606" s="551"/>
      <c r="CH606" s="650"/>
      <c r="CI606" s="650"/>
      <c r="CJ606" s="650"/>
      <c r="CK606" s="650"/>
      <c r="CL606" s="650"/>
      <c r="CM606" s="551"/>
      <c r="CN606" s="551"/>
      <c r="CO606" s="551"/>
      <c r="CP606" s="650"/>
      <c r="CQ606" s="650"/>
      <c r="CR606" s="650"/>
      <c r="CS606" s="650"/>
      <c r="CT606" s="650"/>
      <c r="CU606" s="650"/>
    </row>
    <row r="607" s="1265" customFormat="1" ht="31" customHeight="1" spans="1:99">
      <c r="A607" s="641">
        <v>45940</v>
      </c>
      <c r="B607" s="642" t="s">
        <v>120</v>
      </c>
      <c r="C607" s="246" t="s">
        <v>98</v>
      </c>
      <c r="D607" s="551">
        <v>4500181257</v>
      </c>
      <c r="E607" s="246" t="s">
        <v>121</v>
      </c>
      <c r="F607" s="551" t="s">
        <v>2446</v>
      </c>
      <c r="G607" s="659" t="s">
        <v>123</v>
      </c>
      <c r="H607" s="633" t="s">
        <v>69</v>
      </c>
      <c r="I607" s="246">
        <v>3000</v>
      </c>
      <c r="J607" s="246">
        <v>0</v>
      </c>
      <c r="K607" s="246">
        <v>12</v>
      </c>
      <c r="L607" s="644">
        <f t="shared" si="182"/>
        <v>250</v>
      </c>
      <c r="M607" s="645">
        <v>46011</v>
      </c>
      <c r="N607" s="645">
        <v>46007</v>
      </c>
      <c r="O607" s="643"/>
      <c r="P607" s="824" t="s">
        <v>113</v>
      </c>
      <c r="Q607" s="646"/>
      <c r="R607" s="646">
        <v>45940</v>
      </c>
      <c r="S607" s="646" t="s">
        <v>70</v>
      </c>
      <c r="T607" s="646" t="s">
        <v>70</v>
      </c>
      <c r="U607" s="646"/>
      <c r="V607" s="642"/>
      <c r="W607" s="642"/>
      <c r="X607" s="642" t="s">
        <v>2193</v>
      </c>
      <c r="Y607" s="647" t="s">
        <v>1640</v>
      </c>
      <c r="Z607" s="657">
        <v>2.4842</v>
      </c>
      <c r="AA607" s="647">
        <f t="shared" si="185"/>
        <v>7452.6</v>
      </c>
      <c r="AB607" s="551"/>
      <c r="AC607" s="648"/>
      <c r="AD607" s="633" t="s">
        <v>68</v>
      </c>
      <c r="AE607" s="246" t="s">
        <v>82</v>
      </c>
      <c r="AF607" s="246"/>
      <c r="AG607" s="246"/>
      <c r="AH607" s="246">
        <v>1</v>
      </c>
      <c r="AI607" s="246">
        <v>3000</v>
      </c>
      <c r="AJ607" s="643">
        <f t="shared" si="187"/>
        <v>0</v>
      </c>
      <c r="AK607" s="246"/>
      <c r="AL607" s="246"/>
      <c r="AM607" s="551"/>
      <c r="AN607" s="551">
        <f t="shared" si="186"/>
        <v>3000</v>
      </c>
      <c r="AO607" s="551"/>
      <c r="AP607" s="551"/>
      <c r="AQ607" s="551"/>
      <c r="AR607" s="551">
        <f>I607</f>
        <v>3000</v>
      </c>
      <c r="AS607" s="551"/>
      <c r="AT607" s="551"/>
      <c r="AU607" s="551">
        <f t="shared" si="195"/>
        <v>3000</v>
      </c>
      <c r="AV607" s="551"/>
      <c r="AW607" s="551">
        <f t="shared" si="194"/>
        <v>3000</v>
      </c>
      <c r="AX607" s="651"/>
      <c r="AY607" s="551"/>
      <c r="AZ607" s="551"/>
      <c r="BA607" s="551"/>
      <c r="BB607" s="551"/>
      <c r="BC607" s="551"/>
      <c r="BD607" s="551"/>
      <c r="BE607" s="551"/>
      <c r="BF607" s="551"/>
      <c r="BG607" s="551"/>
      <c r="BH607" s="551"/>
      <c r="BI607" s="551"/>
      <c r="BJ607" s="551"/>
      <c r="BK607" s="551"/>
      <c r="BL607" s="551"/>
      <c r="BM607" s="551"/>
      <c r="BN607" s="551"/>
      <c r="BO607" s="551"/>
      <c r="BP607" s="551"/>
      <c r="BQ607" s="551"/>
      <c r="BR607" s="551"/>
      <c r="BS607" s="551"/>
      <c r="BT607" s="551"/>
      <c r="BU607" s="551"/>
      <c r="BV607" s="551"/>
      <c r="BW607" s="551"/>
      <c r="BX607" s="551"/>
      <c r="BY607" s="551"/>
      <c r="BZ607" s="551"/>
      <c r="CA607" s="551"/>
      <c r="CB607" s="551"/>
      <c r="CC607" s="551"/>
      <c r="CD607" s="551"/>
      <c r="CE607" s="551"/>
      <c r="CF607" s="551"/>
      <c r="CG607" s="551"/>
      <c r="CH607" s="650"/>
      <c r="CI607" s="650"/>
      <c r="CJ607" s="650"/>
      <c r="CK607" s="650"/>
      <c r="CL607" s="650"/>
      <c r="CM607" s="551"/>
      <c r="CN607" s="551"/>
      <c r="CO607" s="551"/>
      <c r="CP607" s="650"/>
      <c r="CQ607" s="650"/>
      <c r="CR607" s="650"/>
      <c r="CS607" s="650"/>
      <c r="CT607" s="650"/>
      <c r="CU607" s="650"/>
    </row>
    <row r="608" s="1265" customFormat="1" ht="31" customHeight="1" spans="1:99">
      <c r="A608" s="641">
        <v>45964</v>
      </c>
      <c r="B608" s="642" t="s">
        <v>1272</v>
      </c>
      <c r="C608" s="246" t="s">
        <v>98</v>
      </c>
      <c r="D608" s="551">
        <v>4500184164</v>
      </c>
      <c r="E608" s="246">
        <v>16000287</v>
      </c>
      <c r="F608" s="551" t="s">
        <v>2447</v>
      </c>
      <c r="G608" s="659" t="s">
        <v>1364</v>
      </c>
      <c r="H608" s="246" t="s">
        <v>1365</v>
      </c>
      <c r="I608" s="246">
        <v>240</v>
      </c>
      <c r="J608" s="246">
        <v>0</v>
      </c>
      <c r="K608" s="246">
        <v>4</v>
      </c>
      <c r="L608" s="644">
        <f t="shared" si="182"/>
        <v>60</v>
      </c>
      <c r="M608" s="742">
        <v>46013</v>
      </c>
      <c r="N608" s="742">
        <v>46009</v>
      </c>
      <c r="O608" s="643"/>
      <c r="P608" s="824" t="s">
        <v>113</v>
      </c>
      <c r="Q608" s="646"/>
      <c r="R608" s="646" t="s">
        <v>1276</v>
      </c>
      <c r="S608" s="646" t="s">
        <v>104</v>
      </c>
      <c r="T608" s="646" t="s">
        <v>2448</v>
      </c>
      <c r="U608" s="646"/>
      <c r="V608" s="642"/>
      <c r="W608" s="642"/>
      <c r="X608" s="642" t="s">
        <v>2449</v>
      </c>
      <c r="Y608" s="647" t="s">
        <v>1278</v>
      </c>
      <c r="Z608" s="657">
        <v>2.5392</v>
      </c>
      <c r="AA608" s="647">
        <f t="shared" si="185"/>
        <v>609.408</v>
      </c>
      <c r="AB608" s="551"/>
      <c r="AC608" s="648"/>
      <c r="AD608" s="633" t="s">
        <v>1364</v>
      </c>
      <c r="AE608" s="633" t="s">
        <v>82</v>
      </c>
      <c r="AF608" s="246"/>
      <c r="AG608" s="246"/>
      <c r="AH608" s="246">
        <v>1</v>
      </c>
      <c r="AI608" s="643">
        <f>I608</f>
        <v>240</v>
      </c>
      <c r="AJ608" s="643">
        <f t="shared" si="187"/>
        <v>0</v>
      </c>
      <c r="AK608" s="246"/>
      <c r="AL608" s="246"/>
      <c r="AM608" s="551"/>
      <c r="AN608" s="551">
        <f t="shared" si="186"/>
        <v>240</v>
      </c>
      <c r="AO608" s="551"/>
      <c r="AP608" s="551"/>
      <c r="AQ608" s="551"/>
      <c r="AR608" s="551">
        <f>I608</f>
        <v>240</v>
      </c>
      <c r="AS608" s="551"/>
      <c r="AT608" s="551"/>
      <c r="AU608" s="551">
        <f t="shared" si="195"/>
        <v>240</v>
      </c>
      <c r="AV608" s="551"/>
      <c r="AW608" s="551">
        <f t="shared" si="194"/>
        <v>240</v>
      </c>
      <c r="AX608" s="651"/>
      <c r="AY608" s="551"/>
      <c r="AZ608" s="551"/>
      <c r="BA608" s="551"/>
      <c r="BB608" s="551"/>
      <c r="BC608" s="551"/>
      <c r="BD608" s="551"/>
      <c r="BE608" s="551"/>
      <c r="BF608" s="551"/>
      <c r="BG608" s="551"/>
      <c r="BH608" s="551"/>
      <c r="BI608" s="551"/>
      <c r="BJ608" s="551"/>
      <c r="BK608" s="551"/>
      <c r="BL608" s="551"/>
      <c r="BM608" s="551"/>
      <c r="BN608" s="551"/>
      <c r="BO608" s="551"/>
      <c r="BP608" s="551"/>
      <c r="BQ608" s="551"/>
      <c r="BR608" s="551"/>
      <c r="BS608" s="551"/>
      <c r="BT608" s="551"/>
      <c r="BU608" s="551"/>
      <c r="BV608" s="551"/>
      <c r="BW608" s="551"/>
      <c r="BX608" s="551"/>
      <c r="BY608" s="551"/>
      <c r="BZ608" s="551"/>
      <c r="CA608" s="551"/>
      <c r="CB608" s="551"/>
      <c r="CC608" s="551"/>
      <c r="CD608" s="551"/>
      <c r="CE608" s="551"/>
      <c r="CF608" s="551"/>
      <c r="CG608" s="551"/>
      <c r="CH608" s="650"/>
      <c r="CI608" s="650"/>
      <c r="CJ608" s="650"/>
      <c r="CK608" s="650"/>
      <c r="CL608" s="650"/>
      <c r="CM608" s="551"/>
      <c r="CN608" s="551"/>
      <c r="CO608" s="551"/>
      <c r="CP608" s="650"/>
      <c r="CQ608" s="650"/>
      <c r="CR608" s="650"/>
      <c r="CS608" s="650"/>
      <c r="CT608" s="650"/>
      <c r="CU608" s="650"/>
    </row>
    <row r="609" s="1265" customFormat="1" ht="31" customHeight="1" spans="1:99">
      <c r="A609" s="641">
        <v>45941</v>
      </c>
      <c r="B609" s="1332" t="s">
        <v>1327</v>
      </c>
      <c r="C609" s="246" t="s">
        <v>524</v>
      </c>
      <c r="D609" s="551">
        <v>4500181556</v>
      </c>
      <c r="E609" s="246"/>
      <c r="F609" s="551" t="s">
        <v>2450</v>
      </c>
      <c r="G609" s="659" t="s">
        <v>68</v>
      </c>
      <c r="H609" s="633" t="s">
        <v>69</v>
      </c>
      <c r="I609" s="246">
        <v>348</v>
      </c>
      <c r="J609" s="246">
        <v>0</v>
      </c>
      <c r="K609" s="246">
        <v>12</v>
      </c>
      <c r="L609" s="644">
        <f t="shared" si="182"/>
        <v>29</v>
      </c>
      <c r="M609" s="742">
        <v>46013</v>
      </c>
      <c r="N609" s="742">
        <v>46009</v>
      </c>
      <c r="O609" s="643"/>
      <c r="P609" s="824" t="s">
        <v>113</v>
      </c>
      <c r="Q609" s="646"/>
      <c r="R609" s="646">
        <v>45943</v>
      </c>
      <c r="S609" s="646" t="s">
        <v>70</v>
      </c>
      <c r="T609" s="646" t="s">
        <v>2451</v>
      </c>
      <c r="U609" s="646"/>
      <c r="V609" s="642"/>
      <c r="W609" s="642"/>
      <c r="X609" s="642" t="s">
        <v>2452</v>
      </c>
      <c r="Y609" s="647" t="s">
        <v>340</v>
      </c>
      <c r="Z609" s="657">
        <v>4.1018</v>
      </c>
      <c r="AA609" s="647">
        <f t="shared" si="185"/>
        <v>1427.4264</v>
      </c>
      <c r="AB609" s="551"/>
      <c r="AC609" s="658" t="s">
        <v>2453</v>
      </c>
      <c r="AD609" s="633" t="s">
        <v>184</v>
      </c>
      <c r="AE609" s="246" t="s">
        <v>82</v>
      </c>
      <c r="AF609" s="246"/>
      <c r="AG609" s="246"/>
      <c r="AH609" s="246">
        <v>1</v>
      </c>
      <c r="AI609" s="246">
        <v>348</v>
      </c>
      <c r="AJ609" s="643">
        <f t="shared" si="187"/>
        <v>0</v>
      </c>
      <c r="AK609" s="246"/>
      <c r="AL609" s="246"/>
      <c r="AM609" s="551"/>
      <c r="AN609" s="551">
        <f t="shared" si="186"/>
        <v>348</v>
      </c>
      <c r="AO609" s="551"/>
      <c r="AP609" s="551"/>
      <c r="AQ609" s="551"/>
      <c r="AR609" s="551"/>
      <c r="AS609" s="551">
        <f>I609</f>
        <v>348</v>
      </c>
      <c r="AT609" s="551"/>
      <c r="AU609" s="551">
        <f t="shared" si="195"/>
        <v>348</v>
      </c>
      <c r="AV609" s="551"/>
      <c r="AW609" s="551">
        <f t="shared" si="194"/>
        <v>348</v>
      </c>
      <c r="AX609" s="651"/>
      <c r="AY609" s="551"/>
      <c r="AZ609" s="551"/>
      <c r="BA609" s="551"/>
      <c r="BB609" s="551"/>
      <c r="BC609" s="551"/>
      <c r="BD609" s="551"/>
      <c r="BE609" s="551"/>
      <c r="BF609" s="551"/>
      <c r="BG609" s="551"/>
      <c r="BH609" s="551"/>
      <c r="BI609" s="551"/>
      <c r="BJ609" s="551"/>
      <c r="BK609" s="551"/>
      <c r="BL609" s="551"/>
      <c r="BM609" s="551"/>
      <c r="BN609" s="551"/>
      <c r="BO609" s="551"/>
      <c r="BP609" s="551"/>
      <c r="BQ609" s="551"/>
      <c r="BR609" s="551"/>
      <c r="BS609" s="551"/>
      <c r="BT609" s="551"/>
      <c r="BU609" s="551"/>
      <c r="BV609" s="551"/>
      <c r="BW609" s="551"/>
      <c r="BX609" s="551"/>
      <c r="BY609" s="551"/>
      <c r="BZ609" s="551"/>
      <c r="CA609" s="551"/>
      <c r="CB609" s="551"/>
      <c r="CC609" s="551"/>
      <c r="CD609" s="551"/>
      <c r="CE609" s="551"/>
      <c r="CF609" s="551"/>
      <c r="CG609" s="551"/>
      <c r="CH609" s="650"/>
      <c r="CI609" s="650"/>
      <c r="CJ609" s="650"/>
      <c r="CK609" s="650"/>
      <c r="CL609" s="650"/>
      <c r="CM609" s="551"/>
      <c r="CN609" s="551"/>
      <c r="CO609" s="551"/>
      <c r="CP609" s="650"/>
      <c r="CQ609" s="650"/>
      <c r="CR609" s="650"/>
      <c r="CS609" s="650"/>
      <c r="CT609" s="650"/>
      <c r="CU609" s="650"/>
    </row>
    <row r="610" s="1265" customFormat="1" ht="31" customHeight="1" spans="1:99">
      <c r="A610" s="1334">
        <v>45965</v>
      </c>
      <c r="B610" s="696" t="s">
        <v>2454</v>
      </c>
      <c r="C610" s="693" t="s">
        <v>335</v>
      </c>
      <c r="D610" s="1335">
        <v>4500184422</v>
      </c>
      <c r="E610" s="1336">
        <v>5907187951</v>
      </c>
      <c r="F610" s="1335" t="s">
        <v>2455</v>
      </c>
      <c r="G610" s="659" t="s">
        <v>68</v>
      </c>
      <c r="H610" s="633" t="s">
        <v>69</v>
      </c>
      <c r="I610" s="246">
        <v>252</v>
      </c>
      <c r="J610" s="246">
        <v>0</v>
      </c>
      <c r="K610" s="246">
        <v>12</v>
      </c>
      <c r="L610" s="644">
        <f t="shared" si="182"/>
        <v>21</v>
      </c>
      <c r="M610" s="645">
        <v>46013</v>
      </c>
      <c r="N610" s="645">
        <v>46009</v>
      </c>
      <c r="O610" s="643"/>
      <c r="P610" s="824" t="s">
        <v>113</v>
      </c>
      <c r="Q610" s="646"/>
      <c r="R610" s="646">
        <v>45974</v>
      </c>
      <c r="S610" s="646" t="s">
        <v>70</v>
      </c>
      <c r="T610" s="646" t="s">
        <v>2456</v>
      </c>
      <c r="U610" s="646"/>
      <c r="V610" s="642"/>
      <c r="W610" s="642"/>
      <c r="X610" s="642" t="s">
        <v>2457</v>
      </c>
      <c r="Y610" s="694" t="s">
        <v>340</v>
      </c>
      <c r="Z610" s="657">
        <v>4.1623</v>
      </c>
      <c r="AA610" s="647">
        <f t="shared" si="185"/>
        <v>1048.8996</v>
      </c>
      <c r="AB610" s="551"/>
      <c r="AC610" s="658" t="s">
        <v>2458</v>
      </c>
      <c r="AD610" s="633" t="s">
        <v>184</v>
      </c>
      <c r="AE610" s="246" t="s">
        <v>82</v>
      </c>
      <c r="AF610" s="246"/>
      <c r="AG610" s="246"/>
      <c r="AH610" s="246">
        <v>1</v>
      </c>
      <c r="AI610" s="246">
        <v>252</v>
      </c>
      <c r="AJ610" s="643">
        <f t="shared" si="187"/>
        <v>0</v>
      </c>
      <c r="AK610" s="246"/>
      <c r="AL610" s="246"/>
      <c r="AM610" s="551"/>
      <c r="AN610" s="551">
        <f t="shared" si="186"/>
        <v>252</v>
      </c>
      <c r="AO610" s="551"/>
      <c r="AP610" s="551"/>
      <c r="AQ610" s="551"/>
      <c r="AR610" s="551"/>
      <c r="AS610" s="551">
        <f>I610</f>
        <v>252</v>
      </c>
      <c r="AT610" s="551"/>
      <c r="AU610" s="551">
        <f t="shared" si="195"/>
        <v>252</v>
      </c>
      <c r="AV610" s="551"/>
      <c r="AW610" s="551">
        <f t="shared" si="194"/>
        <v>252</v>
      </c>
      <c r="AX610" s="651"/>
      <c r="AY610" s="551"/>
      <c r="AZ610" s="551"/>
      <c r="BA610" s="551"/>
      <c r="BB610" s="551"/>
      <c r="BC610" s="551"/>
      <c r="BD610" s="551"/>
      <c r="BE610" s="551"/>
      <c r="BF610" s="551"/>
      <c r="BG610" s="551"/>
      <c r="BH610" s="551"/>
      <c r="BI610" s="551"/>
      <c r="BJ610" s="551"/>
      <c r="BK610" s="551"/>
      <c r="BL610" s="551"/>
      <c r="BM610" s="551"/>
      <c r="BN610" s="551"/>
      <c r="BO610" s="551"/>
      <c r="BP610" s="551"/>
      <c r="BQ610" s="551"/>
      <c r="BR610" s="551"/>
      <c r="BS610" s="551"/>
      <c r="BT610" s="551"/>
      <c r="BU610" s="551"/>
      <c r="BV610" s="551"/>
      <c r="BW610" s="551"/>
      <c r="BX610" s="551"/>
      <c r="BY610" s="551"/>
      <c r="BZ610" s="551"/>
      <c r="CA610" s="551"/>
      <c r="CB610" s="551"/>
      <c r="CC610" s="551"/>
      <c r="CD610" s="551"/>
      <c r="CE610" s="551"/>
      <c r="CF610" s="551"/>
      <c r="CG610" s="551"/>
      <c r="CH610" s="650"/>
      <c r="CI610" s="650"/>
      <c r="CJ610" s="650"/>
      <c r="CK610" s="650"/>
      <c r="CL610" s="650"/>
      <c r="CM610" s="551"/>
      <c r="CN610" s="551"/>
      <c r="CO610" s="551"/>
      <c r="CP610" s="650"/>
      <c r="CQ610" s="650"/>
      <c r="CR610" s="650"/>
      <c r="CS610" s="650"/>
      <c r="CT610" s="650"/>
      <c r="CU610" s="650"/>
    </row>
    <row r="611" s="1265" customFormat="1" ht="31" customHeight="1" spans="1:99">
      <c r="A611" s="1334">
        <v>45968</v>
      </c>
      <c r="B611" s="696" t="s">
        <v>135</v>
      </c>
      <c r="C611" s="693" t="s">
        <v>128</v>
      </c>
      <c r="D611" s="1337">
        <v>4500184776</v>
      </c>
      <c r="E611" s="1336">
        <v>21201490</v>
      </c>
      <c r="F611" s="1335" t="s">
        <v>2459</v>
      </c>
      <c r="G611" s="659" t="s">
        <v>68</v>
      </c>
      <c r="H611" s="633" t="s">
        <v>69</v>
      </c>
      <c r="I611" s="246">
        <v>1380</v>
      </c>
      <c r="J611" s="246">
        <v>0</v>
      </c>
      <c r="K611" s="246">
        <v>12</v>
      </c>
      <c r="L611" s="644">
        <f t="shared" si="182"/>
        <v>115</v>
      </c>
      <c r="M611" s="645">
        <v>46013</v>
      </c>
      <c r="N611" s="645">
        <v>46009</v>
      </c>
      <c r="O611" s="643"/>
      <c r="P611" s="824" t="s">
        <v>113</v>
      </c>
      <c r="Q611" s="646"/>
      <c r="R611" s="646">
        <v>45982</v>
      </c>
      <c r="S611" s="646" t="s">
        <v>104</v>
      </c>
      <c r="T611" s="646" t="s">
        <v>2310</v>
      </c>
      <c r="U611" s="646"/>
      <c r="V611" s="642"/>
      <c r="W611" s="642"/>
      <c r="X611" s="642" t="s">
        <v>2460</v>
      </c>
      <c r="Y611" s="694" t="s">
        <v>133</v>
      </c>
      <c r="Z611" s="657">
        <v>4.2552</v>
      </c>
      <c r="AA611" s="647">
        <f t="shared" si="185"/>
        <v>5872.176</v>
      </c>
      <c r="AB611" s="551"/>
      <c r="AC611" s="658" t="s">
        <v>2461</v>
      </c>
      <c r="AD611" s="633" t="s">
        <v>68</v>
      </c>
      <c r="AE611" s="246" t="s">
        <v>82</v>
      </c>
      <c r="AF611" s="246"/>
      <c r="AG611" s="246"/>
      <c r="AH611" s="246">
        <v>1</v>
      </c>
      <c r="AI611" s="246">
        <v>1380</v>
      </c>
      <c r="AJ611" s="643">
        <f t="shared" si="187"/>
        <v>0</v>
      </c>
      <c r="AK611" s="246"/>
      <c r="AL611" s="246" t="s">
        <v>2368</v>
      </c>
      <c r="AM611" s="551"/>
      <c r="AN611" s="551">
        <f t="shared" si="186"/>
        <v>1380</v>
      </c>
      <c r="AO611" s="551"/>
      <c r="AP611" s="551"/>
      <c r="AQ611" s="551"/>
      <c r="AR611" s="551">
        <f>I611</f>
        <v>1380</v>
      </c>
      <c r="AS611" s="551"/>
      <c r="AT611" s="551"/>
      <c r="AU611" s="551">
        <f t="shared" si="195"/>
        <v>1380</v>
      </c>
      <c r="AV611" s="551"/>
      <c r="AW611" s="551">
        <f t="shared" si="194"/>
        <v>1380</v>
      </c>
      <c r="AX611" s="651"/>
      <c r="AY611" s="551"/>
      <c r="AZ611" s="551"/>
      <c r="BA611" s="551"/>
      <c r="BB611" s="551"/>
      <c r="BC611" s="551"/>
      <c r="BD611" s="551"/>
      <c r="BE611" s="551"/>
      <c r="BF611" s="551"/>
      <c r="BG611" s="551"/>
      <c r="BH611" s="551"/>
      <c r="BI611" s="551"/>
      <c r="BJ611" s="551"/>
      <c r="BK611" s="551"/>
      <c r="BL611" s="551"/>
      <c r="BM611" s="551"/>
      <c r="BN611" s="551"/>
      <c r="BO611" s="551"/>
      <c r="BP611" s="551"/>
      <c r="BQ611" s="551"/>
      <c r="BR611" s="551"/>
      <c r="BS611" s="551"/>
      <c r="BT611" s="551"/>
      <c r="BU611" s="551"/>
      <c r="BV611" s="551"/>
      <c r="BW611" s="551"/>
      <c r="BX611" s="551"/>
      <c r="BY611" s="551"/>
      <c r="BZ611" s="551"/>
      <c r="CA611" s="551"/>
      <c r="CB611" s="551"/>
      <c r="CC611" s="551"/>
      <c r="CD611" s="551"/>
      <c r="CE611" s="551"/>
      <c r="CF611" s="551"/>
      <c r="CG611" s="551"/>
      <c r="CH611" s="650"/>
      <c r="CI611" s="650"/>
      <c r="CJ611" s="650"/>
      <c r="CK611" s="650"/>
      <c r="CL611" s="650"/>
      <c r="CM611" s="551"/>
      <c r="CN611" s="551"/>
      <c r="CO611" s="551"/>
      <c r="CP611" s="650"/>
      <c r="CQ611" s="650"/>
      <c r="CR611" s="650"/>
      <c r="CS611" s="650"/>
      <c r="CT611" s="650"/>
      <c r="CU611" s="650"/>
    </row>
    <row r="612" s="1265" customFormat="1" ht="31" customHeight="1" spans="1:99">
      <c r="A612" s="1334">
        <v>45968</v>
      </c>
      <c r="B612" s="696" t="s">
        <v>139</v>
      </c>
      <c r="C612" s="693" t="s">
        <v>76</v>
      </c>
      <c r="D612" s="1335">
        <v>4500184779</v>
      </c>
      <c r="E612" s="1336">
        <v>21201495</v>
      </c>
      <c r="F612" s="1335" t="s">
        <v>2462</v>
      </c>
      <c r="G612" s="659" t="s">
        <v>68</v>
      </c>
      <c r="H612" s="633" t="s">
        <v>69</v>
      </c>
      <c r="I612" s="246">
        <v>120</v>
      </c>
      <c r="J612" s="246">
        <v>0</v>
      </c>
      <c r="K612" s="246">
        <v>12</v>
      </c>
      <c r="L612" s="644">
        <f t="shared" si="182"/>
        <v>10</v>
      </c>
      <c r="M612" s="645">
        <v>46013</v>
      </c>
      <c r="N612" s="645">
        <v>46009</v>
      </c>
      <c r="O612" s="643"/>
      <c r="P612" s="824" t="s">
        <v>113</v>
      </c>
      <c r="Q612" s="646"/>
      <c r="R612" s="646">
        <v>45982</v>
      </c>
      <c r="S612" s="646" t="s">
        <v>104</v>
      </c>
      <c r="T612" s="646" t="s">
        <v>2310</v>
      </c>
      <c r="U612" s="646"/>
      <c r="V612" s="642"/>
      <c r="W612" s="642"/>
      <c r="X612" s="642" t="s">
        <v>2463</v>
      </c>
      <c r="Y612" s="694" t="s">
        <v>133</v>
      </c>
      <c r="Z612" s="657">
        <v>4.1185</v>
      </c>
      <c r="AA612" s="647">
        <f t="shared" si="185"/>
        <v>494.22</v>
      </c>
      <c r="AB612" s="551"/>
      <c r="AC612" s="658" t="s">
        <v>2464</v>
      </c>
      <c r="AD612" s="633" t="s">
        <v>68</v>
      </c>
      <c r="AE612" s="246" t="s">
        <v>82</v>
      </c>
      <c r="AF612" s="246"/>
      <c r="AG612" s="246"/>
      <c r="AH612" s="246">
        <v>1</v>
      </c>
      <c r="AI612" s="246">
        <v>120</v>
      </c>
      <c r="AJ612" s="643">
        <f t="shared" si="187"/>
        <v>0</v>
      </c>
      <c r="AK612" s="246"/>
      <c r="AL612" s="246" t="s">
        <v>2368</v>
      </c>
      <c r="AM612" s="551"/>
      <c r="AN612" s="551">
        <f t="shared" si="186"/>
        <v>120</v>
      </c>
      <c r="AO612" s="551"/>
      <c r="AP612" s="551"/>
      <c r="AQ612" s="551"/>
      <c r="AR612" s="551">
        <f>I612</f>
        <v>120</v>
      </c>
      <c r="AS612" s="551"/>
      <c r="AT612" s="551"/>
      <c r="AU612" s="551">
        <f t="shared" si="195"/>
        <v>120</v>
      </c>
      <c r="AV612" s="551"/>
      <c r="AW612" s="551">
        <f t="shared" si="194"/>
        <v>120</v>
      </c>
      <c r="AX612" s="651"/>
      <c r="AY612" s="551"/>
      <c r="AZ612" s="551"/>
      <c r="BA612" s="551"/>
      <c r="BB612" s="551"/>
      <c r="BC612" s="551"/>
      <c r="BD612" s="551"/>
      <c r="BE612" s="551"/>
      <c r="BF612" s="551"/>
      <c r="BG612" s="551"/>
      <c r="BH612" s="551"/>
      <c r="BI612" s="551"/>
      <c r="BJ612" s="551"/>
      <c r="BK612" s="551"/>
      <c r="BL612" s="551"/>
      <c r="BM612" s="551"/>
      <c r="BN612" s="551"/>
      <c r="BO612" s="551"/>
      <c r="BP612" s="551"/>
      <c r="BQ612" s="551"/>
      <c r="BR612" s="551"/>
      <c r="BS612" s="551"/>
      <c r="BT612" s="551"/>
      <c r="BU612" s="551"/>
      <c r="BV612" s="551"/>
      <c r="BW612" s="551"/>
      <c r="BX612" s="551"/>
      <c r="BY612" s="551"/>
      <c r="BZ612" s="551"/>
      <c r="CA612" s="551"/>
      <c r="CB612" s="551"/>
      <c r="CC612" s="551"/>
      <c r="CD612" s="551"/>
      <c r="CE612" s="551"/>
      <c r="CF612" s="551"/>
      <c r="CG612" s="551"/>
      <c r="CH612" s="650"/>
      <c r="CI612" s="650"/>
      <c r="CJ612" s="650"/>
      <c r="CK612" s="650"/>
      <c r="CL612" s="650"/>
      <c r="CM612" s="551"/>
      <c r="CN612" s="551"/>
      <c r="CO612" s="551"/>
      <c r="CP612" s="650"/>
      <c r="CQ612" s="650"/>
      <c r="CR612" s="650"/>
      <c r="CS612" s="650"/>
      <c r="CT612" s="650"/>
      <c r="CU612" s="650"/>
    </row>
    <row r="613" s="1265" customFormat="1" ht="31" customHeight="1" spans="1:99">
      <c r="A613" s="641">
        <v>45965</v>
      </c>
      <c r="B613" s="642" t="s">
        <v>2465</v>
      </c>
      <c r="C613" s="246" t="s">
        <v>348</v>
      </c>
      <c r="D613" s="551">
        <v>4500184316</v>
      </c>
      <c r="E613" s="246">
        <v>8807187952</v>
      </c>
      <c r="F613" s="551" t="s">
        <v>2466</v>
      </c>
      <c r="G613" s="659" t="s">
        <v>68</v>
      </c>
      <c r="H613" s="633" t="s">
        <v>69</v>
      </c>
      <c r="I613" s="246">
        <v>360</v>
      </c>
      <c r="J613" s="246">
        <v>0</v>
      </c>
      <c r="K613" s="246">
        <v>12</v>
      </c>
      <c r="L613" s="644">
        <f t="shared" si="182"/>
        <v>30</v>
      </c>
      <c r="M613" s="645">
        <v>46013</v>
      </c>
      <c r="N613" s="645">
        <v>46009</v>
      </c>
      <c r="O613" s="643"/>
      <c r="P613" s="824" t="s">
        <v>113</v>
      </c>
      <c r="Q613" s="646"/>
      <c r="R613" s="646">
        <v>45974</v>
      </c>
      <c r="S613" s="646" t="s">
        <v>70</v>
      </c>
      <c r="T613" s="646" t="s">
        <v>2467</v>
      </c>
      <c r="U613" s="646"/>
      <c r="V613" s="642"/>
      <c r="W613" s="642"/>
      <c r="X613" s="642" t="s">
        <v>2468</v>
      </c>
      <c r="Y613" s="647" t="s">
        <v>340</v>
      </c>
      <c r="Z613" s="657">
        <v>4.1623</v>
      </c>
      <c r="AA613" s="647">
        <f t="shared" si="185"/>
        <v>1498.428</v>
      </c>
      <c r="AB613" s="551"/>
      <c r="AC613" s="658" t="s">
        <v>2469</v>
      </c>
      <c r="AD613" s="633" t="s">
        <v>184</v>
      </c>
      <c r="AE613" s="246" t="s">
        <v>82</v>
      </c>
      <c r="AF613" s="246"/>
      <c r="AG613" s="246"/>
      <c r="AH613" s="618">
        <v>1</v>
      </c>
      <c r="AI613" s="246">
        <v>360</v>
      </c>
      <c r="AJ613" s="643">
        <f t="shared" si="187"/>
        <v>0</v>
      </c>
      <c r="AK613" s="246"/>
      <c r="AL613" s="246"/>
      <c r="AM613" s="551"/>
      <c r="AN613" s="551">
        <f t="shared" si="186"/>
        <v>360</v>
      </c>
      <c r="AO613" s="1331"/>
      <c r="AP613" s="1331"/>
      <c r="AQ613" s="1331"/>
      <c r="AR613" s="551"/>
      <c r="AS613" s="551">
        <f>I613</f>
        <v>360</v>
      </c>
      <c r="AT613" s="551"/>
      <c r="AU613" s="551">
        <f t="shared" si="195"/>
        <v>360</v>
      </c>
      <c r="AV613" s="551"/>
      <c r="AW613" s="551">
        <f t="shared" si="194"/>
        <v>360</v>
      </c>
      <c r="AX613" s="651"/>
      <c r="AY613" s="551"/>
      <c r="AZ613" s="551"/>
      <c r="BA613" s="551"/>
      <c r="BB613" s="551"/>
      <c r="BC613" s="551"/>
      <c r="BD613" s="551"/>
      <c r="BE613" s="551"/>
      <c r="BF613" s="551"/>
      <c r="BG613" s="551"/>
      <c r="BH613" s="551"/>
      <c r="BI613" s="551"/>
      <c r="BJ613" s="551"/>
      <c r="BK613" s="551"/>
      <c r="BL613" s="551"/>
      <c r="BM613" s="551"/>
      <c r="BN613" s="551"/>
      <c r="BO613" s="551"/>
      <c r="BP613" s="551"/>
      <c r="BQ613" s="551"/>
      <c r="BR613" s="551"/>
      <c r="BS613" s="551"/>
      <c r="BT613" s="551"/>
      <c r="BU613" s="551"/>
      <c r="BV613" s="551"/>
      <c r="BW613" s="551"/>
      <c r="BX613" s="551"/>
      <c r="BY613" s="551"/>
      <c r="BZ613" s="551"/>
      <c r="CA613" s="551"/>
      <c r="CB613" s="551"/>
      <c r="CC613" s="551"/>
      <c r="CD613" s="551"/>
      <c r="CE613" s="551"/>
      <c r="CF613" s="551"/>
      <c r="CG613" s="551"/>
      <c r="CH613" s="650"/>
      <c r="CI613" s="650"/>
      <c r="CJ613" s="650"/>
      <c r="CK613" s="650"/>
      <c r="CL613" s="650"/>
      <c r="CM613" s="551"/>
      <c r="CN613" s="551"/>
      <c r="CO613" s="551"/>
      <c r="CP613" s="650"/>
      <c r="CQ613" s="650"/>
      <c r="CR613" s="650"/>
      <c r="CS613" s="650"/>
      <c r="CT613" s="650"/>
      <c r="CU613" s="650"/>
    </row>
    <row r="614" s="1265" customFormat="1" ht="31" customHeight="1" spans="1:99">
      <c r="A614" s="641">
        <v>45965</v>
      </c>
      <c r="B614" s="642" t="s">
        <v>2470</v>
      </c>
      <c r="C614" s="246" t="s">
        <v>343</v>
      </c>
      <c r="D614" s="551">
        <v>4500184355</v>
      </c>
      <c r="E614" s="246">
        <v>4407187950</v>
      </c>
      <c r="F614" s="551" t="s">
        <v>2471</v>
      </c>
      <c r="G614" s="659" t="s">
        <v>68</v>
      </c>
      <c r="H614" s="633" t="s">
        <v>69</v>
      </c>
      <c r="I614" s="246">
        <v>300</v>
      </c>
      <c r="J614" s="246">
        <v>0</v>
      </c>
      <c r="K614" s="246">
        <v>12</v>
      </c>
      <c r="L614" s="644">
        <f t="shared" si="182"/>
        <v>25</v>
      </c>
      <c r="M614" s="645">
        <v>46013</v>
      </c>
      <c r="N614" s="645">
        <v>46009</v>
      </c>
      <c r="O614" s="643"/>
      <c r="P614" s="824" t="s">
        <v>113</v>
      </c>
      <c r="Q614" s="646"/>
      <c r="R614" s="646">
        <v>45974</v>
      </c>
      <c r="S614" s="646" t="s">
        <v>70</v>
      </c>
      <c r="T614" s="646" t="s">
        <v>2467</v>
      </c>
      <c r="U614" s="646"/>
      <c r="V614" s="642"/>
      <c r="W614" s="642"/>
      <c r="X614" s="642" t="s">
        <v>2468</v>
      </c>
      <c r="Y614" s="647" t="s">
        <v>340</v>
      </c>
      <c r="Z614" s="657">
        <v>4.1623</v>
      </c>
      <c r="AA614" s="647">
        <f t="shared" si="185"/>
        <v>1248.69</v>
      </c>
      <c r="AB614" s="551"/>
      <c r="AC614" s="658" t="s">
        <v>2472</v>
      </c>
      <c r="AD614" s="633" t="s">
        <v>184</v>
      </c>
      <c r="AE614" s="246" t="s">
        <v>82</v>
      </c>
      <c r="AF614" s="246"/>
      <c r="AG614" s="246"/>
      <c r="AH614" s="618">
        <v>1</v>
      </c>
      <c r="AI614" s="246">
        <v>300</v>
      </c>
      <c r="AJ614" s="643">
        <f t="shared" si="187"/>
        <v>0</v>
      </c>
      <c r="AK614" s="246"/>
      <c r="AL614" s="246"/>
      <c r="AM614" s="551"/>
      <c r="AN614" s="551">
        <f t="shared" si="186"/>
        <v>300</v>
      </c>
      <c r="AO614" s="1331"/>
      <c r="AP614" s="1331"/>
      <c r="AQ614" s="1331"/>
      <c r="AR614" s="551"/>
      <c r="AS614" s="551">
        <f>I614</f>
        <v>300</v>
      </c>
      <c r="AT614" s="551"/>
      <c r="AU614" s="551">
        <f t="shared" si="195"/>
        <v>300</v>
      </c>
      <c r="AV614" s="551"/>
      <c r="AW614" s="551">
        <f t="shared" si="194"/>
        <v>300</v>
      </c>
      <c r="AX614" s="651"/>
      <c r="AY614" s="551"/>
      <c r="AZ614" s="551"/>
      <c r="BA614" s="551"/>
      <c r="BB614" s="551"/>
      <c r="BC614" s="551"/>
      <c r="BD614" s="551"/>
      <c r="BE614" s="551"/>
      <c r="BF614" s="551"/>
      <c r="BG614" s="551"/>
      <c r="BH614" s="551"/>
      <c r="BI614" s="551"/>
      <c r="BJ614" s="551"/>
      <c r="BK614" s="551"/>
      <c r="BL614" s="551"/>
      <c r="BM614" s="551"/>
      <c r="BN614" s="551"/>
      <c r="BO614" s="551"/>
      <c r="BP614" s="551"/>
      <c r="BQ614" s="551"/>
      <c r="BR614" s="551"/>
      <c r="BS614" s="551"/>
      <c r="BT614" s="551"/>
      <c r="BU614" s="551"/>
      <c r="BV614" s="551"/>
      <c r="BW614" s="551"/>
      <c r="BX614" s="551"/>
      <c r="BY614" s="551"/>
      <c r="BZ614" s="551"/>
      <c r="CA614" s="551"/>
      <c r="CB614" s="551"/>
      <c r="CC614" s="551"/>
      <c r="CD614" s="551"/>
      <c r="CE614" s="551"/>
      <c r="CF614" s="551"/>
      <c r="CG614" s="551"/>
      <c r="CH614" s="650"/>
      <c r="CI614" s="650"/>
      <c r="CJ614" s="650"/>
      <c r="CK614" s="650"/>
      <c r="CL614" s="650"/>
      <c r="CM614" s="551"/>
      <c r="CN614" s="551"/>
      <c r="CO614" s="551"/>
      <c r="CP614" s="650"/>
      <c r="CQ614" s="650"/>
      <c r="CR614" s="650"/>
      <c r="CS614" s="650"/>
      <c r="CT614" s="650"/>
      <c r="CU614" s="650"/>
    </row>
    <row r="615" s="1265" customFormat="1" ht="31" customHeight="1" spans="1:99">
      <c r="A615" s="641">
        <v>45959</v>
      </c>
      <c r="B615" s="642" t="s">
        <v>312</v>
      </c>
      <c r="C615" s="246" t="s">
        <v>278</v>
      </c>
      <c r="D615" s="551">
        <v>4500183596</v>
      </c>
      <c r="E615" s="246" t="s">
        <v>2473</v>
      </c>
      <c r="F615" s="551" t="s">
        <v>2474</v>
      </c>
      <c r="G615" s="659" t="s">
        <v>111</v>
      </c>
      <c r="H615" s="246" t="s">
        <v>112</v>
      </c>
      <c r="I615" s="246">
        <v>4160</v>
      </c>
      <c r="J615" s="246">
        <v>0</v>
      </c>
      <c r="K615" s="246">
        <v>16</v>
      </c>
      <c r="L615" s="644">
        <f t="shared" si="182"/>
        <v>260</v>
      </c>
      <c r="M615" s="645">
        <v>46014</v>
      </c>
      <c r="N615" s="645">
        <v>46010</v>
      </c>
      <c r="O615" s="643"/>
      <c r="P615" s="824" t="s">
        <v>113</v>
      </c>
      <c r="Q615" s="646"/>
      <c r="R615" s="646">
        <v>45959</v>
      </c>
      <c r="S615" s="646" t="s">
        <v>70</v>
      </c>
      <c r="T615" s="646" t="s">
        <v>2197</v>
      </c>
      <c r="U615" s="646"/>
      <c r="V615" s="642"/>
      <c r="W615" s="642"/>
      <c r="X615" s="642" t="s">
        <v>2384</v>
      </c>
      <c r="Y615" s="647" t="s">
        <v>2199</v>
      </c>
      <c r="Z615" s="657">
        <v>4.2489</v>
      </c>
      <c r="AA615" s="647">
        <f t="shared" si="185"/>
        <v>17675.424</v>
      </c>
      <c r="AB615" s="551"/>
      <c r="AC615" s="658" t="s">
        <v>2475</v>
      </c>
      <c r="AD615" s="633" t="s">
        <v>111</v>
      </c>
      <c r="AE615" s="246" t="s">
        <v>82</v>
      </c>
      <c r="AF615" s="246"/>
      <c r="AG615" s="246"/>
      <c r="AH615" s="618">
        <v>1</v>
      </c>
      <c r="AI615" s="246">
        <f>1440+2720</f>
        <v>4160</v>
      </c>
      <c r="AJ615" s="643">
        <f t="shared" ref="AJ595:AJ637" si="196">AI615-I615</f>
        <v>0</v>
      </c>
      <c r="AK615" s="246"/>
      <c r="AL615" s="246"/>
      <c r="AM615" s="551"/>
      <c r="AN615" s="551">
        <f t="shared" si="186"/>
        <v>4160</v>
      </c>
      <c r="AO615" s="1331"/>
      <c r="AP615" s="1331"/>
      <c r="AQ615" s="1331"/>
      <c r="AR615" s="551">
        <f>I615</f>
        <v>4160</v>
      </c>
      <c r="AS615" s="551"/>
      <c r="AT615" s="551"/>
      <c r="AU615" s="551">
        <f t="shared" ref="AU615:AU627" si="197">I615</f>
        <v>4160</v>
      </c>
      <c r="AV615" s="551"/>
      <c r="AW615" s="551">
        <f t="shared" ref="AW602:AW627" si="198">I615</f>
        <v>4160</v>
      </c>
      <c r="AX615" s="651"/>
      <c r="AY615" s="551"/>
      <c r="AZ615" s="551"/>
      <c r="BA615" s="551"/>
      <c r="BB615" s="551"/>
      <c r="BC615" s="551"/>
      <c r="BD615" s="551"/>
      <c r="BE615" s="551"/>
      <c r="BF615" s="551"/>
      <c r="BG615" s="551"/>
      <c r="BH615" s="825">
        <f>I615/4</f>
        <v>1040</v>
      </c>
      <c r="BI615" s="551"/>
      <c r="BJ615" s="551"/>
      <c r="BK615" s="551"/>
      <c r="BL615" s="551"/>
      <c r="BM615" s="551"/>
      <c r="BN615" s="551"/>
      <c r="BO615" s="551"/>
      <c r="BP615" s="551"/>
      <c r="BQ615" s="551"/>
      <c r="BR615" s="551"/>
      <c r="BS615" s="551"/>
      <c r="BT615" s="551"/>
      <c r="BU615" s="551"/>
      <c r="BV615" s="551"/>
      <c r="BW615" s="551"/>
      <c r="BX615" s="551"/>
      <c r="BY615" s="551"/>
      <c r="BZ615" s="551"/>
      <c r="CA615" s="551"/>
      <c r="CB615" s="551"/>
      <c r="CC615" s="551"/>
      <c r="CD615" s="551"/>
      <c r="CE615" s="551"/>
      <c r="CF615" s="551"/>
      <c r="CG615" s="551"/>
      <c r="CH615" s="650"/>
      <c r="CI615" s="650"/>
      <c r="CJ615" s="650"/>
      <c r="CK615" s="650"/>
      <c r="CL615" s="650"/>
      <c r="CM615" s="551"/>
      <c r="CN615" s="551"/>
      <c r="CO615" s="551"/>
      <c r="CP615" s="650"/>
      <c r="CQ615" s="650"/>
      <c r="CR615" s="650"/>
      <c r="CS615" s="650"/>
      <c r="CT615" s="650"/>
      <c r="CU615" s="650"/>
    </row>
    <row r="616" s="1265" customFormat="1" ht="31" customHeight="1" spans="1:99">
      <c r="A616" s="1008">
        <v>45928</v>
      </c>
      <c r="B616" s="628" t="s">
        <v>499</v>
      </c>
      <c r="C616" s="618" t="s">
        <v>500</v>
      </c>
      <c r="D616" s="687">
        <v>4500180758</v>
      </c>
      <c r="E616" s="618" t="s">
        <v>501</v>
      </c>
      <c r="F616" s="687" t="s">
        <v>2476</v>
      </c>
      <c r="G616" s="659" t="s">
        <v>111</v>
      </c>
      <c r="H616" s="618" t="s">
        <v>112</v>
      </c>
      <c r="I616" s="618">
        <v>1760</v>
      </c>
      <c r="J616" s="618">
        <v>0</v>
      </c>
      <c r="K616" s="618">
        <v>16</v>
      </c>
      <c r="L616" s="1011">
        <f t="shared" si="182"/>
        <v>110</v>
      </c>
      <c r="M616" s="1338">
        <v>46016</v>
      </c>
      <c r="N616" s="1338">
        <v>46013</v>
      </c>
      <c r="O616" s="773"/>
      <c r="P616" s="824" t="s">
        <v>113</v>
      </c>
      <c r="Q616" s="774"/>
      <c r="R616" s="774">
        <v>45973</v>
      </c>
      <c r="S616" s="774" t="s">
        <v>70</v>
      </c>
      <c r="T616" s="774" t="s">
        <v>2477</v>
      </c>
      <c r="U616" s="774"/>
      <c r="V616" s="628"/>
      <c r="W616" s="628"/>
      <c r="X616" s="728" t="s">
        <v>2478</v>
      </c>
      <c r="Y616" s="1014" t="s">
        <v>2398</v>
      </c>
      <c r="Z616" s="1339">
        <v>4.2542</v>
      </c>
      <c r="AA616" s="1014">
        <f t="shared" si="185"/>
        <v>7487.392</v>
      </c>
      <c r="AC616" s="1077" t="s">
        <v>2479</v>
      </c>
      <c r="AD616" s="633" t="s">
        <v>111</v>
      </c>
      <c r="AE616" s="618" t="s">
        <v>82</v>
      </c>
      <c r="AF616" s="618"/>
      <c r="AG616" s="618"/>
      <c r="AH616" s="618">
        <v>1</v>
      </c>
      <c r="AI616" s="618">
        <v>1808</v>
      </c>
      <c r="AJ616" s="773">
        <f t="shared" si="196"/>
        <v>48</v>
      </c>
      <c r="AK616" s="618"/>
      <c r="AL616" s="618"/>
      <c r="AM616" s="687"/>
      <c r="AN616" s="687">
        <f t="shared" si="186"/>
        <v>1760</v>
      </c>
      <c r="AO616" s="687"/>
      <c r="AP616" s="687"/>
      <c r="AQ616" s="687"/>
      <c r="AR616" s="687">
        <f>I616</f>
        <v>1760</v>
      </c>
      <c r="AS616" s="563"/>
      <c r="AT616" s="563"/>
      <c r="AU616" s="563">
        <f t="shared" si="197"/>
        <v>1760</v>
      </c>
      <c r="AV616" s="687"/>
      <c r="AW616" s="687">
        <f t="shared" si="198"/>
        <v>1760</v>
      </c>
      <c r="AX616" s="1016"/>
      <c r="AY616" s="1265"/>
      <c r="AZ616" s="1265"/>
      <c r="BA616" s="687"/>
      <c r="BB616" s="687"/>
      <c r="BC616" s="687"/>
      <c r="BD616" s="563"/>
      <c r="BE616" s="563"/>
      <c r="BF616" s="687"/>
      <c r="BG616" s="687"/>
      <c r="BH616" s="825">
        <f>I616/4</f>
        <v>440</v>
      </c>
      <c r="BI616" s="687"/>
      <c r="BJ616" s="1265"/>
      <c r="BK616" s="1265"/>
      <c r="BL616" s="1265"/>
      <c r="BM616" s="1265"/>
      <c r="BN616" s="548"/>
      <c r="BO616" s="1265"/>
      <c r="BP616" s="1265"/>
      <c r="BQ616" s="1265"/>
      <c r="BR616" s="1265"/>
      <c r="BS616" s="1265"/>
      <c r="BT616" s="1265"/>
      <c r="BU616" s="1265"/>
      <c r="BV616" s="1265"/>
      <c r="BW616" s="1265"/>
      <c r="BX616" s="1265"/>
      <c r="BY616" s="1265"/>
      <c r="BZ616" s="1265"/>
      <c r="CA616" s="1265"/>
      <c r="CB616" s="1265"/>
      <c r="CC616" s="1265"/>
      <c r="CD616" s="1265"/>
      <c r="CE616" s="1265"/>
      <c r="CF616" s="1265"/>
      <c r="CG616" s="1265"/>
      <c r="CH616" s="1020"/>
      <c r="CI616" s="1020"/>
      <c r="CJ616" s="1020"/>
      <c r="CK616" s="1020"/>
      <c r="CL616" s="1020"/>
      <c r="CM616" s="1265"/>
      <c r="CN616" s="1265"/>
      <c r="CO616" s="1265"/>
      <c r="CP616" s="1020"/>
      <c r="CQ616" s="1020"/>
      <c r="CR616" s="1020"/>
      <c r="CS616" s="1020"/>
      <c r="CT616" s="1020"/>
      <c r="CU616" s="1020"/>
    </row>
    <row r="617" s="1265" customFormat="1" ht="31" customHeight="1" spans="1:99">
      <c r="A617" s="1008">
        <v>45928</v>
      </c>
      <c r="B617" s="628" t="s">
        <v>884</v>
      </c>
      <c r="C617" s="618" t="s">
        <v>885</v>
      </c>
      <c r="D617" s="687">
        <v>4500180717</v>
      </c>
      <c r="E617" s="618" t="s">
        <v>886</v>
      </c>
      <c r="F617" s="687" t="s">
        <v>2480</v>
      </c>
      <c r="G617" s="659" t="s">
        <v>111</v>
      </c>
      <c r="H617" s="618" t="s">
        <v>112</v>
      </c>
      <c r="I617" s="1340">
        <v>2800</v>
      </c>
      <c r="J617" s="618">
        <v>0</v>
      </c>
      <c r="K617" s="618">
        <v>16</v>
      </c>
      <c r="L617" s="1011">
        <f t="shared" si="182"/>
        <v>175</v>
      </c>
      <c r="M617" s="1338">
        <v>46006</v>
      </c>
      <c r="N617" s="1338">
        <v>46004</v>
      </c>
      <c r="O617" s="773"/>
      <c r="P617" s="824" t="s">
        <v>113</v>
      </c>
      <c r="Q617" s="774"/>
      <c r="R617" s="774">
        <v>45973</v>
      </c>
      <c r="S617" s="774" t="s">
        <v>70</v>
      </c>
      <c r="T617" s="774" t="s">
        <v>2481</v>
      </c>
      <c r="U617" s="774"/>
      <c r="V617" s="628"/>
      <c r="W617" s="628"/>
      <c r="X617" s="728" t="s">
        <v>2482</v>
      </c>
      <c r="Y617" s="1014" t="s">
        <v>2398</v>
      </c>
      <c r="Z617" s="1339">
        <v>4.2542</v>
      </c>
      <c r="AA617" s="1014">
        <f t="shared" si="185"/>
        <v>11911.76</v>
      </c>
      <c r="AC617" s="1077" t="s">
        <v>2483</v>
      </c>
      <c r="AD617" s="633" t="s">
        <v>111</v>
      </c>
      <c r="AE617" s="618" t="s">
        <v>82</v>
      </c>
      <c r="AF617" s="618"/>
      <c r="AG617" s="618"/>
      <c r="AH617" s="618">
        <v>1</v>
      </c>
      <c r="AI617" s="618">
        <v>2800</v>
      </c>
      <c r="AJ617" s="773">
        <f t="shared" si="196"/>
        <v>0</v>
      </c>
      <c r="AK617" s="618"/>
      <c r="AL617" s="618" t="s">
        <v>2368</v>
      </c>
      <c r="AM617" s="687"/>
      <c r="AN617" s="687">
        <f t="shared" si="186"/>
        <v>2800</v>
      </c>
      <c r="AO617" s="687"/>
      <c r="AP617" s="687"/>
      <c r="AQ617" s="687"/>
      <c r="AR617" s="687">
        <f>I617</f>
        <v>2800</v>
      </c>
      <c r="AS617" s="563"/>
      <c r="AT617" s="563"/>
      <c r="AU617" s="563">
        <f t="shared" si="197"/>
        <v>2800</v>
      </c>
      <c r="AV617" s="687"/>
      <c r="AW617" s="687">
        <f t="shared" si="198"/>
        <v>2800</v>
      </c>
      <c r="AX617" s="1016"/>
      <c r="AY617" s="1265"/>
      <c r="AZ617" s="1265"/>
      <c r="BA617" s="687"/>
      <c r="BB617" s="687"/>
      <c r="BC617" s="687"/>
      <c r="BD617" s="563"/>
      <c r="BE617" s="563"/>
      <c r="BF617" s="687"/>
      <c r="BG617" s="687"/>
      <c r="BH617" s="825">
        <f>I617/4</f>
        <v>700</v>
      </c>
      <c r="BI617" s="687"/>
      <c r="BJ617" s="1265"/>
      <c r="BK617" s="1265"/>
      <c r="BL617" s="1265"/>
      <c r="BM617" s="1265"/>
      <c r="BN617" s="548"/>
      <c r="BO617" s="1265"/>
      <c r="BP617" s="1265"/>
      <c r="BQ617" s="1265"/>
      <c r="BR617" s="1265"/>
      <c r="BS617" s="1265"/>
      <c r="BT617" s="1265"/>
      <c r="BU617" s="1265"/>
      <c r="BV617" s="1265"/>
      <c r="BW617" s="1265"/>
      <c r="BX617" s="1265"/>
      <c r="BY617" s="1265"/>
      <c r="BZ617" s="1265"/>
      <c r="CA617" s="1265"/>
      <c r="CB617" s="1265"/>
      <c r="CC617" s="1265"/>
      <c r="CD617" s="1265"/>
      <c r="CE617" s="1265"/>
      <c r="CF617" s="1265"/>
      <c r="CG617" s="1265"/>
      <c r="CH617" s="1020"/>
      <c r="CI617" s="1020"/>
      <c r="CJ617" s="1020"/>
      <c r="CK617" s="1020"/>
      <c r="CL617" s="1020"/>
      <c r="CM617" s="1265"/>
      <c r="CN617" s="1265"/>
      <c r="CO617" s="1265"/>
      <c r="CP617" s="1020"/>
      <c r="CQ617" s="1020"/>
      <c r="CR617" s="1020"/>
      <c r="CS617" s="1020"/>
      <c r="CT617" s="1020"/>
      <c r="CU617" s="1020"/>
    </row>
    <row r="618" s="1265" customFormat="1" ht="31" customHeight="1" spans="1:99">
      <c r="A618" s="1008">
        <v>45928</v>
      </c>
      <c r="B618" s="628" t="s">
        <v>499</v>
      </c>
      <c r="C618" s="618" t="s">
        <v>890</v>
      </c>
      <c r="D618" s="687">
        <v>4500180735</v>
      </c>
      <c r="E618" s="618" t="s">
        <v>2484</v>
      </c>
      <c r="F618" s="687" t="s">
        <v>2485</v>
      </c>
      <c r="G618" s="659" t="s">
        <v>111</v>
      </c>
      <c r="H618" s="618" t="s">
        <v>112</v>
      </c>
      <c r="I618" s="618">
        <v>1760</v>
      </c>
      <c r="J618" s="618">
        <v>0</v>
      </c>
      <c r="K618" s="618">
        <v>16</v>
      </c>
      <c r="L618" s="1011">
        <f t="shared" si="182"/>
        <v>110</v>
      </c>
      <c r="M618" s="1338">
        <v>46006</v>
      </c>
      <c r="N618" s="1338">
        <v>46004</v>
      </c>
      <c r="O618" s="773"/>
      <c r="P618" s="824" t="s">
        <v>113</v>
      </c>
      <c r="Q618" s="774"/>
      <c r="R618" s="774">
        <v>45973</v>
      </c>
      <c r="S618" s="774" t="s">
        <v>70</v>
      </c>
      <c r="T618" s="774" t="s">
        <v>2481</v>
      </c>
      <c r="U618" s="774"/>
      <c r="V618" s="628"/>
      <c r="W618" s="628"/>
      <c r="X618" s="728" t="s">
        <v>2486</v>
      </c>
      <c r="Y618" s="1014" t="s">
        <v>2398</v>
      </c>
      <c r="Z618" s="1339">
        <v>4.2114</v>
      </c>
      <c r="AA618" s="1014">
        <f t="shared" si="185"/>
        <v>7412.064</v>
      </c>
      <c r="AC618" s="1077"/>
      <c r="AD618" s="633" t="s">
        <v>111</v>
      </c>
      <c r="AE618" s="618" t="s">
        <v>82</v>
      </c>
      <c r="AF618" s="618"/>
      <c r="AG618" s="618"/>
      <c r="AH618" s="618">
        <v>1</v>
      </c>
      <c r="AI618" s="618">
        <v>1808</v>
      </c>
      <c r="AJ618" s="773">
        <f t="shared" si="196"/>
        <v>48</v>
      </c>
      <c r="AK618" s="618"/>
      <c r="AL618" s="618" t="s">
        <v>2368</v>
      </c>
      <c r="AM618" s="687"/>
      <c r="AN618" s="687">
        <f t="shared" si="186"/>
        <v>1760</v>
      </c>
      <c r="AO618" s="687"/>
      <c r="AP618" s="687"/>
      <c r="AQ618" s="687"/>
      <c r="AR618" s="687">
        <f>I618</f>
        <v>1760</v>
      </c>
      <c r="AS618" s="563"/>
      <c r="AT618" s="563"/>
      <c r="AU618" s="563">
        <f t="shared" si="197"/>
        <v>1760</v>
      </c>
      <c r="AV618" s="687"/>
      <c r="AW618" s="687">
        <f t="shared" si="198"/>
        <v>1760</v>
      </c>
      <c r="AX618" s="1016"/>
      <c r="AY618" s="1265"/>
      <c r="AZ618" s="1265"/>
      <c r="BA618" s="687"/>
      <c r="BB618" s="687"/>
      <c r="BC618" s="687"/>
      <c r="BD618" s="563"/>
      <c r="BE618" s="563"/>
      <c r="BF618" s="687"/>
      <c r="BG618" s="687"/>
      <c r="BH618" s="825">
        <f>I618/4</f>
        <v>440</v>
      </c>
      <c r="BI618" s="687"/>
      <c r="BJ618" s="1265"/>
      <c r="BK618" s="1265"/>
      <c r="BL618" s="1265"/>
      <c r="BM618" s="1265"/>
      <c r="BN618" s="548"/>
      <c r="BO618" s="1265"/>
      <c r="BP618" s="1265"/>
      <c r="BQ618" s="1265"/>
      <c r="BR618" s="1265"/>
      <c r="BS618" s="1265"/>
      <c r="BT618" s="1265"/>
      <c r="BU618" s="1265"/>
      <c r="BV618" s="1265"/>
      <c r="BW618" s="1265"/>
      <c r="BX618" s="1265"/>
      <c r="BY618" s="1265"/>
      <c r="BZ618" s="1265"/>
      <c r="CA618" s="1265"/>
      <c r="CB618" s="1265"/>
      <c r="CC618" s="1265"/>
      <c r="CD618" s="1265"/>
      <c r="CE618" s="1265"/>
      <c r="CF618" s="1265"/>
      <c r="CG618" s="1265"/>
      <c r="CH618" s="1020"/>
      <c r="CI618" s="1020"/>
      <c r="CJ618" s="1020"/>
      <c r="CK618" s="1020"/>
      <c r="CL618" s="1020"/>
      <c r="CM618" s="1265"/>
      <c r="CN618" s="1265"/>
      <c r="CO618" s="1265"/>
      <c r="CP618" s="1020"/>
      <c r="CQ618" s="1020"/>
      <c r="CR618" s="1020"/>
      <c r="CS618" s="1020"/>
      <c r="CT618" s="1020"/>
      <c r="CU618" s="1020"/>
    </row>
    <row r="619" s="1265" customFormat="1" ht="31" customHeight="1" spans="1:99">
      <c r="A619" s="641">
        <v>45950</v>
      </c>
      <c r="B619" s="642" t="s">
        <v>2487</v>
      </c>
      <c r="C619" s="246" t="s">
        <v>154</v>
      </c>
      <c r="D619" s="551">
        <v>4500181926</v>
      </c>
      <c r="E619" s="246" t="s">
        <v>2488</v>
      </c>
      <c r="F619" s="551" t="s">
        <v>2489</v>
      </c>
      <c r="G619" s="659" t="s">
        <v>68</v>
      </c>
      <c r="H619" s="633" t="s">
        <v>69</v>
      </c>
      <c r="I619" s="246">
        <v>600</v>
      </c>
      <c r="J619" s="246">
        <v>0</v>
      </c>
      <c r="K619" s="246">
        <v>12</v>
      </c>
      <c r="L619" s="644">
        <f t="shared" si="182"/>
        <v>50</v>
      </c>
      <c r="M619" s="645">
        <v>46009</v>
      </c>
      <c r="N619" s="645">
        <v>46006</v>
      </c>
      <c r="O619" s="643"/>
      <c r="P619" s="824" t="s">
        <v>113</v>
      </c>
      <c r="Q619" s="646"/>
      <c r="R619" s="646">
        <v>45950</v>
      </c>
      <c r="S619" s="646" t="s">
        <v>70</v>
      </c>
      <c r="T619" s="646" t="s">
        <v>2490</v>
      </c>
      <c r="U619" s="646"/>
      <c r="V619" s="642"/>
      <c r="W619" s="642"/>
      <c r="X619" s="642" t="s">
        <v>2491</v>
      </c>
      <c r="Y619" s="647" t="s">
        <v>2492</v>
      </c>
      <c r="Z619" s="657">
        <v>4.1456</v>
      </c>
      <c r="AA619" s="647">
        <f t="shared" si="185"/>
        <v>2487.36</v>
      </c>
      <c r="AB619" s="551"/>
      <c r="AC619" s="658" t="s">
        <v>2493</v>
      </c>
      <c r="AD619" s="633" t="s">
        <v>184</v>
      </c>
      <c r="AE619" s="246" t="s">
        <v>82</v>
      </c>
      <c r="AF619" s="246"/>
      <c r="AG619" s="246"/>
      <c r="AH619" s="618">
        <v>1</v>
      </c>
      <c r="AI619" s="246">
        <v>600</v>
      </c>
      <c r="AJ619" s="643">
        <f t="shared" si="196"/>
        <v>0</v>
      </c>
      <c r="AK619" s="246"/>
      <c r="AL619" s="246"/>
      <c r="AM619" s="551"/>
      <c r="AN619" s="551">
        <f t="shared" si="186"/>
        <v>600</v>
      </c>
      <c r="AO619" s="551"/>
      <c r="AP619" s="551"/>
      <c r="AQ619" s="551"/>
      <c r="AR619" s="551"/>
      <c r="AS619" s="551">
        <f>I619</f>
        <v>600</v>
      </c>
      <c r="AT619" s="551"/>
      <c r="AU619" s="551">
        <f t="shared" si="197"/>
        <v>600</v>
      </c>
      <c r="AV619" s="551"/>
      <c r="AW619" s="551">
        <f t="shared" si="198"/>
        <v>600</v>
      </c>
      <c r="AX619" s="651"/>
      <c r="AY619" s="551"/>
      <c r="AZ619" s="551"/>
      <c r="BA619" s="551"/>
      <c r="BB619" s="551"/>
      <c r="BC619" s="551"/>
      <c r="BD619" s="551"/>
      <c r="BE619" s="551"/>
      <c r="BF619" s="551"/>
      <c r="BG619" s="551"/>
      <c r="BH619" s="551"/>
      <c r="BI619" s="551"/>
      <c r="BJ619" s="551"/>
      <c r="BK619" s="551"/>
      <c r="BL619" s="551"/>
      <c r="BM619" s="551"/>
      <c r="BN619" s="551"/>
      <c r="BO619" s="551"/>
      <c r="BP619" s="551"/>
      <c r="BQ619" s="551"/>
      <c r="BR619" s="551"/>
      <c r="BS619" s="551"/>
      <c r="BT619" s="551"/>
      <c r="BU619" s="551"/>
      <c r="BV619" s="551"/>
      <c r="BW619" s="551"/>
      <c r="BX619" s="551"/>
      <c r="BY619" s="551"/>
      <c r="BZ619" s="551"/>
      <c r="CA619" s="551"/>
      <c r="CB619" s="551"/>
      <c r="CC619" s="551"/>
      <c r="CD619" s="551"/>
      <c r="CE619" s="551"/>
      <c r="CF619" s="551"/>
      <c r="CG619" s="551"/>
      <c r="CH619" s="650"/>
      <c r="CI619" s="650"/>
      <c r="CJ619" s="650"/>
      <c r="CK619" s="650"/>
      <c r="CL619" s="650"/>
      <c r="CM619" s="551"/>
      <c r="CN619" s="551"/>
      <c r="CO619" s="551"/>
      <c r="CP619" s="650"/>
      <c r="CQ619" s="650"/>
      <c r="CR619" s="650"/>
      <c r="CS619" s="650"/>
      <c r="CT619" s="650"/>
      <c r="CU619" s="650"/>
    </row>
    <row r="620" s="1265" customFormat="1" ht="31" customHeight="1" spans="1:99">
      <c r="A620" s="641">
        <v>45958</v>
      </c>
      <c r="B620" s="642" t="s">
        <v>404</v>
      </c>
      <c r="C620" s="246" t="s">
        <v>278</v>
      </c>
      <c r="D620" s="551">
        <v>4500183436</v>
      </c>
      <c r="E620" s="246">
        <v>195861</v>
      </c>
      <c r="F620" s="551" t="s">
        <v>2494</v>
      </c>
      <c r="G620" s="659" t="s">
        <v>68</v>
      </c>
      <c r="H620" s="633" t="s">
        <v>69</v>
      </c>
      <c r="I620" s="656">
        <v>708</v>
      </c>
      <c r="J620" s="246">
        <v>0</v>
      </c>
      <c r="K620" s="246">
        <v>12</v>
      </c>
      <c r="L620" s="644">
        <f t="shared" si="182"/>
        <v>59</v>
      </c>
      <c r="M620" s="645">
        <v>46009</v>
      </c>
      <c r="N620" s="645">
        <v>46006</v>
      </c>
      <c r="O620" s="643"/>
      <c r="P620" s="824" t="s">
        <v>113</v>
      </c>
      <c r="Q620" s="646"/>
      <c r="R620" s="646">
        <v>45965</v>
      </c>
      <c r="S620" s="646" t="s">
        <v>70</v>
      </c>
      <c r="T620" s="646" t="s">
        <v>2495</v>
      </c>
      <c r="U620" s="646"/>
      <c r="V620" s="642"/>
      <c r="W620" s="642"/>
      <c r="X620" s="642" t="s">
        <v>2496</v>
      </c>
      <c r="Y620" s="647" t="s">
        <v>1106</v>
      </c>
      <c r="Z620" s="657">
        <v>4.1623</v>
      </c>
      <c r="AA620" s="647">
        <f t="shared" si="185"/>
        <v>2946.9084</v>
      </c>
      <c r="AB620" s="551"/>
      <c r="AC620" s="658" t="s">
        <v>2497</v>
      </c>
      <c r="AD620" s="633" t="s">
        <v>68</v>
      </c>
      <c r="AE620" s="246" t="s">
        <v>82</v>
      </c>
      <c r="AF620" s="246"/>
      <c r="AG620" s="246"/>
      <c r="AH620" s="618">
        <v>1</v>
      </c>
      <c r="AI620" s="246">
        <v>708</v>
      </c>
      <c r="AJ620" s="643">
        <f t="shared" si="196"/>
        <v>0</v>
      </c>
      <c r="AK620" s="246"/>
      <c r="AL620" s="246"/>
      <c r="AM620" s="551"/>
      <c r="AN620" s="551">
        <f t="shared" si="186"/>
        <v>708</v>
      </c>
      <c r="AO620" s="551"/>
      <c r="AP620" s="551"/>
      <c r="AQ620" s="551"/>
      <c r="AR620" s="551">
        <f>I620</f>
        <v>708</v>
      </c>
      <c r="AS620" s="551"/>
      <c r="AT620" s="551"/>
      <c r="AU620" s="551">
        <f t="shared" si="197"/>
        <v>708</v>
      </c>
      <c r="AV620" s="551"/>
      <c r="AW620" s="551">
        <f t="shared" si="198"/>
        <v>708</v>
      </c>
      <c r="AX620" s="651"/>
      <c r="AY620" s="551"/>
      <c r="AZ620" s="551"/>
      <c r="BA620" s="551"/>
      <c r="BB620" s="551"/>
      <c r="BC620" s="551"/>
      <c r="BD620" s="551"/>
      <c r="BE620" s="551"/>
      <c r="BF620" s="551"/>
      <c r="BG620" s="551"/>
      <c r="BH620" s="551"/>
      <c r="BI620" s="551"/>
      <c r="BJ620" s="551"/>
      <c r="BK620" s="551"/>
      <c r="BL620" s="551"/>
      <c r="BM620" s="551"/>
      <c r="BN620" s="551"/>
      <c r="BO620" s="551"/>
      <c r="BP620" s="551"/>
      <c r="BQ620" s="551"/>
      <c r="BR620" s="551"/>
      <c r="BS620" s="551"/>
      <c r="BT620" s="551"/>
      <c r="BU620" s="551"/>
      <c r="BV620" s="551"/>
      <c r="BW620" s="551"/>
      <c r="BX620" s="551"/>
      <c r="BY620" s="551"/>
      <c r="BZ620" s="551"/>
      <c r="CA620" s="551"/>
      <c r="CB620" s="551"/>
      <c r="CC620" s="551"/>
      <c r="CD620" s="551"/>
      <c r="CE620" s="551"/>
      <c r="CF620" s="551"/>
      <c r="CG620" s="551"/>
      <c r="CH620" s="650"/>
      <c r="CI620" s="650"/>
      <c r="CJ620" s="650"/>
      <c r="CK620" s="650"/>
      <c r="CL620" s="650"/>
      <c r="CM620" s="551"/>
      <c r="CN620" s="551"/>
      <c r="CO620" s="551"/>
      <c r="CP620" s="650"/>
      <c r="CQ620" s="650"/>
      <c r="CR620" s="650"/>
      <c r="CS620" s="650"/>
      <c r="CT620" s="650"/>
      <c r="CU620" s="650"/>
    </row>
    <row r="621" s="1265" customFormat="1" ht="31" customHeight="1" spans="1:99">
      <c r="A621" s="641">
        <v>45964</v>
      </c>
      <c r="B621" s="642" t="s">
        <v>1272</v>
      </c>
      <c r="C621" s="246" t="s">
        <v>98</v>
      </c>
      <c r="D621" s="551">
        <v>4500184162</v>
      </c>
      <c r="E621" s="246">
        <v>16000286</v>
      </c>
      <c r="F621" s="551" t="s">
        <v>2498</v>
      </c>
      <c r="G621" s="659" t="s">
        <v>101</v>
      </c>
      <c r="H621" s="246" t="s">
        <v>102</v>
      </c>
      <c r="I621" s="246">
        <v>1200</v>
      </c>
      <c r="J621" s="246">
        <v>0</v>
      </c>
      <c r="K621" s="246">
        <v>4</v>
      </c>
      <c r="L621" s="644">
        <f t="shared" si="182"/>
        <v>300</v>
      </c>
      <c r="M621" s="645">
        <v>46013</v>
      </c>
      <c r="N621" s="645">
        <v>46009</v>
      </c>
      <c r="O621" s="643"/>
      <c r="P621" s="824" t="s">
        <v>113</v>
      </c>
      <c r="Q621" s="646"/>
      <c r="R621" s="646" t="s">
        <v>1276</v>
      </c>
      <c r="S621" s="646" t="s">
        <v>104</v>
      </c>
      <c r="T621" s="646">
        <v>46000</v>
      </c>
      <c r="U621" s="646"/>
      <c r="V621" s="642" t="s">
        <v>2499</v>
      </c>
      <c r="W621" s="642"/>
      <c r="X621" s="642" t="s">
        <v>2500</v>
      </c>
      <c r="Y621" s="647" t="s">
        <v>1278</v>
      </c>
      <c r="Z621" s="657">
        <v>2.5501</v>
      </c>
      <c r="AA621" s="647">
        <f t="shared" si="185"/>
        <v>3060.12</v>
      </c>
      <c r="AB621" s="551"/>
      <c r="AC621" s="648"/>
      <c r="AD621" s="633" t="s">
        <v>101</v>
      </c>
      <c r="AE621" s="246" t="s">
        <v>82</v>
      </c>
      <c r="AF621" s="246"/>
      <c r="AG621" s="246"/>
      <c r="AH621" s="618">
        <v>1</v>
      </c>
      <c r="AI621" s="246">
        <v>1200</v>
      </c>
      <c r="AJ621" s="643">
        <f t="shared" si="196"/>
        <v>0</v>
      </c>
      <c r="AK621" s="246"/>
      <c r="AL621" s="246"/>
      <c r="AM621" s="551"/>
      <c r="AN621" s="551">
        <f t="shared" si="186"/>
        <v>1200</v>
      </c>
      <c r="AO621" s="551"/>
      <c r="AP621" s="551"/>
      <c r="AQ621" s="551"/>
      <c r="AR621" s="551">
        <f>I621</f>
        <v>1200</v>
      </c>
      <c r="AS621" s="551"/>
      <c r="AT621" s="551"/>
      <c r="AU621" s="551">
        <f t="shared" si="197"/>
        <v>1200</v>
      </c>
      <c r="AV621" s="551"/>
      <c r="AW621" s="551">
        <f t="shared" si="198"/>
        <v>1200</v>
      </c>
      <c r="AX621" s="651"/>
      <c r="AY621" s="551"/>
      <c r="AZ621" s="551"/>
      <c r="BA621" s="551"/>
      <c r="BB621" s="551"/>
      <c r="BC621" s="551"/>
      <c r="BD621" s="551"/>
      <c r="BE621" s="551"/>
      <c r="BF621" s="551"/>
      <c r="BG621" s="551"/>
      <c r="BH621" s="825">
        <f>I621/4</f>
        <v>300</v>
      </c>
      <c r="BI621" s="551"/>
      <c r="BJ621" s="551"/>
      <c r="BK621" s="551"/>
      <c r="BL621" s="551"/>
      <c r="BM621" s="551"/>
      <c r="BN621" s="551"/>
      <c r="BO621" s="551"/>
      <c r="BP621" s="551"/>
      <c r="BQ621" s="551"/>
      <c r="BR621" s="551"/>
      <c r="BS621" s="551"/>
      <c r="BT621" s="551"/>
      <c r="BU621" s="551"/>
      <c r="BV621" s="551"/>
      <c r="BW621" s="551"/>
      <c r="BX621" s="551"/>
      <c r="BY621" s="551"/>
      <c r="BZ621" s="551"/>
      <c r="CA621" s="551"/>
      <c r="CB621" s="551"/>
      <c r="CC621" s="551"/>
      <c r="CD621" s="551"/>
      <c r="CE621" s="551"/>
      <c r="CF621" s="551"/>
      <c r="CG621" s="551"/>
      <c r="CH621" s="650"/>
      <c r="CI621" s="650"/>
      <c r="CJ621" s="650"/>
      <c r="CK621" s="650"/>
      <c r="CL621" s="650"/>
      <c r="CM621" s="551"/>
      <c r="CN621" s="551"/>
      <c r="CO621" s="551"/>
      <c r="CP621" s="650"/>
      <c r="CQ621" s="650"/>
      <c r="CR621" s="650"/>
      <c r="CS621" s="650"/>
      <c r="CT621" s="650"/>
      <c r="CU621" s="650"/>
    </row>
    <row r="622" s="1265" customFormat="1" ht="31" customHeight="1" spans="1:99">
      <c r="A622" s="641">
        <v>45951</v>
      </c>
      <c r="B622" s="642" t="s">
        <v>2501</v>
      </c>
      <c r="C622" s="246" t="s">
        <v>154</v>
      </c>
      <c r="D622" s="551">
        <v>4500181932</v>
      </c>
      <c r="E622" s="246">
        <v>249710</v>
      </c>
      <c r="F622" s="551" t="s">
        <v>2502</v>
      </c>
      <c r="G622" s="659" t="s">
        <v>68</v>
      </c>
      <c r="H622" s="633" t="s">
        <v>69</v>
      </c>
      <c r="I622" s="246">
        <v>480</v>
      </c>
      <c r="J622" s="246">
        <v>0</v>
      </c>
      <c r="K622" s="246">
        <v>12</v>
      </c>
      <c r="L622" s="644">
        <f t="shared" si="182"/>
        <v>40</v>
      </c>
      <c r="M622" s="645">
        <v>46013</v>
      </c>
      <c r="N622" s="645">
        <v>46009</v>
      </c>
      <c r="O622" s="643"/>
      <c r="P622" s="824" t="s">
        <v>113</v>
      </c>
      <c r="Q622" s="646"/>
      <c r="R622" s="646">
        <v>45953</v>
      </c>
      <c r="S622" s="646" t="s">
        <v>70</v>
      </c>
      <c r="T622" s="646" t="s">
        <v>2503</v>
      </c>
      <c r="U622" s="646"/>
      <c r="V622" s="642"/>
      <c r="W622" s="642"/>
      <c r="X622" s="642" t="s">
        <v>2504</v>
      </c>
      <c r="Y622" s="647" t="s">
        <v>2492</v>
      </c>
      <c r="Z622" s="657">
        <v>4.1456</v>
      </c>
      <c r="AA622" s="647">
        <f t="shared" si="185"/>
        <v>1989.888</v>
      </c>
      <c r="AB622" s="551"/>
      <c r="AC622" s="658" t="s">
        <v>2505</v>
      </c>
      <c r="AD622" s="633" t="s">
        <v>184</v>
      </c>
      <c r="AE622" s="246" t="s">
        <v>82</v>
      </c>
      <c r="AF622" s="246"/>
      <c r="AG622" s="246"/>
      <c r="AH622" s="618">
        <v>1</v>
      </c>
      <c r="AI622" s="246">
        <v>480</v>
      </c>
      <c r="AJ622" s="643">
        <f t="shared" si="196"/>
        <v>0</v>
      </c>
      <c r="AK622" s="246"/>
      <c r="AL622" s="246"/>
      <c r="AM622" s="551"/>
      <c r="AN622" s="551">
        <f t="shared" si="186"/>
        <v>480</v>
      </c>
      <c r="AO622" s="551"/>
      <c r="AP622" s="551"/>
      <c r="AQ622" s="551"/>
      <c r="AR622" s="551"/>
      <c r="AS622" s="551">
        <f>I622</f>
        <v>480</v>
      </c>
      <c r="AT622" s="551"/>
      <c r="AU622" s="551">
        <f t="shared" si="197"/>
        <v>480</v>
      </c>
      <c r="AV622" s="551"/>
      <c r="AW622" s="551">
        <f t="shared" si="198"/>
        <v>480</v>
      </c>
      <c r="AX622" s="651"/>
      <c r="AY622" s="551"/>
      <c r="AZ622" s="551"/>
      <c r="BA622" s="551"/>
      <c r="BB622" s="551"/>
      <c r="BC622" s="551"/>
      <c r="BD622" s="551"/>
      <c r="BE622" s="551"/>
      <c r="BF622" s="551"/>
      <c r="BG622" s="551"/>
      <c r="BH622" s="551"/>
      <c r="BI622" s="551"/>
      <c r="BJ622" s="551"/>
      <c r="BK622" s="551"/>
      <c r="BL622" s="551"/>
      <c r="BM622" s="551"/>
      <c r="BN622" s="551"/>
      <c r="BO622" s="551"/>
      <c r="BP622" s="551"/>
      <c r="BQ622" s="551"/>
      <c r="BR622" s="551"/>
      <c r="BS622" s="551"/>
      <c r="BT622" s="551"/>
      <c r="BU622" s="551"/>
      <c r="BV622" s="551"/>
      <c r="BW622" s="551"/>
      <c r="BX622" s="551"/>
      <c r="BY622" s="551"/>
      <c r="BZ622" s="551"/>
      <c r="CA622" s="551"/>
      <c r="CB622" s="551"/>
      <c r="CC622" s="551"/>
      <c r="CD622" s="551"/>
      <c r="CE622" s="551"/>
      <c r="CF622" s="551"/>
      <c r="CG622" s="551"/>
      <c r="CH622" s="650"/>
      <c r="CI622" s="650"/>
      <c r="CJ622" s="650"/>
      <c r="CK622" s="650"/>
      <c r="CL622" s="650"/>
      <c r="CM622" s="551"/>
      <c r="CN622" s="551"/>
      <c r="CO622" s="551"/>
      <c r="CP622" s="650"/>
      <c r="CQ622" s="650"/>
      <c r="CR622" s="650"/>
      <c r="CS622" s="650"/>
      <c r="CT622" s="650"/>
      <c r="CU622" s="650"/>
    </row>
    <row r="623" s="1265" customFormat="1" ht="31" customHeight="1" spans="1:99">
      <c r="A623" s="641">
        <v>45955</v>
      </c>
      <c r="B623" s="642" t="s">
        <v>2506</v>
      </c>
      <c r="C623" s="246" t="s">
        <v>198</v>
      </c>
      <c r="D623" s="551">
        <v>4500183178</v>
      </c>
      <c r="E623" s="246">
        <v>5200007934</v>
      </c>
      <c r="F623" s="551" t="s">
        <v>2507</v>
      </c>
      <c r="G623" s="659" t="s">
        <v>156</v>
      </c>
      <c r="H623" s="246" t="s">
        <v>102</v>
      </c>
      <c r="I623" s="246">
        <v>1520</v>
      </c>
      <c r="J623" s="246">
        <v>0</v>
      </c>
      <c r="K623" s="246">
        <v>4</v>
      </c>
      <c r="L623" s="644">
        <f t="shared" si="182"/>
        <v>380</v>
      </c>
      <c r="M623" s="645">
        <v>46014</v>
      </c>
      <c r="N623" s="645">
        <v>46010</v>
      </c>
      <c r="O623" s="643"/>
      <c r="P623" s="824" t="s">
        <v>113</v>
      </c>
      <c r="Q623" s="646"/>
      <c r="R623" s="646">
        <v>45957</v>
      </c>
      <c r="S623" s="646" t="s">
        <v>70</v>
      </c>
      <c r="T623" s="646" t="s">
        <v>1911</v>
      </c>
      <c r="U623" s="646"/>
      <c r="V623" s="642"/>
      <c r="W623" s="642"/>
      <c r="X623" s="642" t="s">
        <v>2508</v>
      </c>
      <c r="Y623" s="647" t="s">
        <v>1237</v>
      </c>
      <c r="Z623" s="657">
        <v>4.3</v>
      </c>
      <c r="AA623" s="647">
        <f t="shared" si="185"/>
        <v>6536</v>
      </c>
      <c r="AB623" s="551"/>
      <c r="AC623" s="648" t="s">
        <v>2509</v>
      </c>
      <c r="AD623" s="633" t="s">
        <v>156</v>
      </c>
      <c r="AE623" s="246" t="s">
        <v>82</v>
      </c>
      <c r="AF623" s="246"/>
      <c r="AG623" s="246"/>
      <c r="AH623" s="618">
        <v>1</v>
      </c>
      <c r="AI623" s="246">
        <v>1520</v>
      </c>
      <c r="AJ623" s="643">
        <f t="shared" si="196"/>
        <v>0</v>
      </c>
      <c r="AK623" s="246"/>
      <c r="AL623" s="246"/>
      <c r="AM623" s="551"/>
      <c r="AN623" s="551">
        <f t="shared" si="186"/>
        <v>1520</v>
      </c>
      <c r="AO623" s="551"/>
      <c r="AP623" s="551"/>
      <c r="AQ623" s="551"/>
      <c r="AR623" s="551"/>
      <c r="AS623" s="551">
        <f>I623</f>
        <v>1520</v>
      </c>
      <c r="AT623" s="551"/>
      <c r="AU623" s="551">
        <f t="shared" si="197"/>
        <v>1520</v>
      </c>
      <c r="AV623" s="1331"/>
      <c r="AW623" s="551">
        <f t="shared" si="198"/>
        <v>1520</v>
      </c>
      <c r="AX623" s="651"/>
      <c r="AY623" s="551"/>
      <c r="AZ623" s="551"/>
      <c r="BA623" s="551"/>
      <c r="BB623" s="551"/>
      <c r="BC623" s="551"/>
      <c r="BD623" s="551"/>
      <c r="BE623" s="551"/>
      <c r="BF623" s="551"/>
      <c r="BG623" s="551"/>
      <c r="BH623" s="551"/>
      <c r="BI623" s="825">
        <f>I623/4</f>
        <v>380</v>
      </c>
      <c r="BJ623" s="551"/>
      <c r="BK623" s="551"/>
      <c r="BL623" s="551"/>
      <c r="BM623" s="551"/>
      <c r="BN623" s="551"/>
      <c r="BO623" s="551"/>
      <c r="BP623" s="551"/>
      <c r="BQ623" s="551"/>
      <c r="BR623" s="551"/>
      <c r="BS623" s="551"/>
      <c r="BT623" s="551"/>
      <c r="BU623" s="551"/>
      <c r="BV623" s="551"/>
      <c r="BW623" s="551"/>
      <c r="BX623" s="551"/>
      <c r="BY623" s="551"/>
      <c r="BZ623" s="551"/>
      <c r="CA623" s="551"/>
      <c r="CB623" s="551"/>
      <c r="CC623" s="551"/>
      <c r="CD623" s="551"/>
      <c r="CE623" s="551"/>
      <c r="CF623" s="551"/>
      <c r="CG623" s="551"/>
      <c r="CH623" s="650"/>
      <c r="CI623" s="650"/>
      <c r="CJ623" s="650"/>
      <c r="CK623" s="650"/>
      <c r="CL623" s="650"/>
      <c r="CM623" s="551"/>
      <c r="CN623" s="551"/>
      <c r="CO623" s="551"/>
      <c r="CP623" s="650"/>
      <c r="CQ623" s="650"/>
      <c r="CR623" s="650"/>
      <c r="CS623" s="650"/>
      <c r="CT623" s="650"/>
      <c r="CU623" s="650"/>
    </row>
    <row r="624" s="1265" customFormat="1" ht="31" customHeight="1" spans="1:99">
      <c r="A624" s="641">
        <v>45968</v>
      </c>
      <c r="B624" s="642" t="s">
        <v>523</v>
      </c>
      <c r="C624" s="246" t="s">
        <v>524</v>
      </c>
      <c r="D624" s="551">
        <v>4500184791</v>
      </c>
      <c r="E624" s="246">
        <v>50212600121</v>
      </c>
      <c r="F624" s="551" t="s">
        <v>2510</v>
      </c>
      <c r="G624" s="659" t="s">
        <v>68</v>
      </c>
      <c r="H624" s="633" t="s">
        <v>69</v>
      </c>
      <c r="I624" s="246">
        <v>4320</v>
      </c>
      <c r="J624" s="246">
        <v>0</v>
      </c>
      <c r="K624" s="246">
        <v>12</v>
      </c>
      <c r="L624" s="644">
        <f t="shared" si="182"/>
        <v>360</v>
      </c>
      <c r="M624" s="645">
        <v>46015</v>
      </c>
      <c r="N624" s="645">
        <v>46011</v>
      </c>
      <c r="O624" s="643"/>
      <c r="P624" s="824" t="s">
        <v>113</v>
      </c>
      <c r="Q624" s="646"/>
      <c r="R624" s="646">
        <v>45973</v>
      </c>
      <c r="S624" s="646" t="s">
        <v>104</v>
      </c>
      <c r="T624" s="646" t="s">
        <v>2511</v>
      </c>
      <c r="U624" s="646"/>
      <c r="V624" s="642"/>
      <c r="W624" s="642"/>
      <c r="X624" s="749" t="s">
        <v>2512</v>
      </c>
      <c r="Y624" s="647" t="s">
        <v>529</v>
      </c>
      <c r="Z624" s="657">
        <v>4.1131</v>
      </c>
      <c r="AA624" s="647">
        <f t="shared" si="185"/>
        <v>17768.592</v>
      </c>
      <c r="AB624" s="551"/>
      <c r="AC624" s="658" t="s">
        <v>2513</v>
      </c>
      <c r="AD624" s="633" t="s">
        <v>184</v>
      </c>
      <c r="AE624" s="246" t="s">
        <v>82</v>
      </c>
      <c r="AF624" s="246"/>
      <c r="AG624" s="246"/>
      <c r="AH624" s="618">
        <v>1</v>
      </c>
      <c r="AI624" s="246">
        <f>1440+2880</f>
        <v>4320</v>
      </c>
      <c r="AJ624" s="246">
        <f t="shared" si="196"/>
        <v>0</v>
      </c>
      <c r="AK624" s="246"/>
      <c r="AL624" s="246" t="s">
        <v>2368</v>
      </c>
      <c r="AM624" s="551"/>
      <c r="AN624" s="551">
        <f t="shared" si="186"/>
        <v>4320</v>
      </c>
      <c r="AO624" s="551"/>
      <c r="AP624" s="551"/>
      <c r="AQ624" s="551"/>
      <c r="AR624" s="551"/>
      <c r="AS624" s="551">
        <f>I624</f>
        <v>4320</v>
      </c>
      <c r="AT624" s="551"/>
      <c r="AU624" s="551">
        <f t="shared" si="197"/>
        <v>4320</v>
      </c>
      <c r="AV624" s="551"/>
      <c r="AW624" s="551">
        <f t="shared" si="198"/>
        <v>4320</v>
      </c>
      <c r="AX624" s="651"/>
      <c r="AY624" s="551"/>
      <c r="AZ624" s="551"/>
      <c r="BA624" s="551"/>
      <c r="BB624" s="551"/>
      <c r="BC624" s="551"/>
      <c r="BD624" s="551"/>
      <c r="BE624" s="551"/>
      <c r="BF624" s="551"/>
      <c r="BG624" s="551"/>
      <c r="BH624" s="551"/>
      <c r="BI624" s="551"/>
      <c r="BJ624" s="551"/>
      <c r="BK624" s="551"/>
      <c r="BL624" s="551"/>
      <c r="BM624" s="551"/>
      <c r="BN624" s="551"/>
      <c r="BO624" s="551"/>
      <c r="BP624" s="551"/>
      <c r="BQ624" s="551"/>
      <c r="BR624" s="551"/>
      <c r="BS624" s="551"/>
      <c r="BT624" s="551"/>
      <c r="BU624" s="551"/>
      <c r="BV624" s="551"/>
      <c r="BW624" s="551"/>
      <c r="BX624" s="551"/>
      <c r="BY624" s="551"/>
      <c r="BZ624" s="551"/>
      <c r="CA624" s="551"/>
      <c r="CB624" s="551"/>
      <c r="CC624" s="551"/>
      <c r="CD624" s="551"/>
      <c r="CE624" s="551"/>
      <c r="CF624" s="551"/>
      <c r="CG624" s="551"/>
      <c r="CH624" s="650"/>
      <c r="CI624" s="650"/>
      <c r="CJ624" s="650"/>
      <c r="CK624" s="650"/>
      <c r="CL624" s="650"/>
      <c r="CM624" s="551"/>
      <c r="CN624" s="551"/>
      <c r="CO624" s="551"/>
      <c r="CP624" s="650"/>
      <c r="CQ624" s="650"/>
      <c r="CR624" s="650"/>
      <c r="CS624" s="650"/>
      <c r="CT624" s="650"/>
      <c r="CU624" s="650"/>
    </row>
    <row r="625" s="1265" customFormat="1" ht="31" customHeight="1" spans="1:99">
      <c r="A625" s="641">
        <v>45916</v>
      </c>
      <c r="B625" s="642" t="s">
        <v>729</v>
      </c>
      <c r="C625" s="246" t="s">
        <v>278</v>
      </c>
      <c r="D625" s="551">
        <v>4500179611</v>
      </c>
      <c r="E625" s="246" t="s">
        <v>2514</v>
      </c>
      <c r="F625" s="551" t="s">
        <v>2515</v>
      </c>
      <c r="G625" s="659" t="s">
        <v>111</v>
      </c>
      <c r="H625" s="246" t="s">
        <v>112</v>
      </c>
      <c r="I625" s="246">
        <v>9520</v>
      </c>
      <c r="J625" s="246">
        <v>0</v>
      </c>
      <c r="K625" s="246">
        <v>16</v>
      </c>
      <c r="L625" s="644">
        <f t="shared" si="182"/>
        <v>595</v>
      </c>
      <c r="M625" s="645">
        <v>46016</v>
      </c>
      <c r="N625" s="645">
        <v>46013</v>
      </c>
      <c r="O625" s="643"/>
      <c r="P625" s="824" t="s">
        <v>113</v>
      </c>
      <c r="Q625" s="646"/>
      <c r="R625" s="646">
        <v>45916</v>
      </c>
      <c r="S625" s="646" t="s">
        <v>70</v>
      </c>
      <c r="T625" s="646" t="s">
        <v>70</v>
      </c>
      <c r="U625" s="646"/>
      <c r="V625" s="642"/>
      <c r="W625" s="642"/>
      <c r="X625" s="642" t="s">
        <v>2516</v>
      </c>
      <c r="Y625" s="647" t="s">
        <v>1627</v>
      </c>
      <c r="Z625" s="657">
        <v>4.2303</v>
      </c>
      <c r="AA625" s="647">
        <f t="shared" si="185"/>
        <v>40272.456</v>
      </c>
      <c r="AC625" s="658" t="s">
        <v>2517</v>
      </c>
      <c r="AD625" s="633" t="s">
        <v>111</v>
      </c>
      <c r="AE625" s="246" t="s">
        <v>82</v>
      </c>
      <c r="AF625" s="246"/>
      <c r="AG625" s="246"/>
      <c r="AH625" s="618">
        <v>1</v>
      </c>
      <c r="AI625" s="246">
        <v>9520</v>
      </c>
      <c r="AJ625" s="643">
        <f t="shared" si="196"/>
        <v>0</v>
      </c>
      <c r="AK625" s="246"/>
      <c r="AL625" s="246"/>
      <c r="AM625" s="551"/>
      <c r="AN625" s="551">
        <f t="shared" si="186"/>
        <v>9520</v>
      </c>
      <c r="AO625" s="1331"/>
      <c r="AP625" s="551"/>
      <c r="AQ625" s="1331"/>
      <c r="AR625" s="551">
        <f t="shared" ref="AR625:AR630" si="199">I625</f>
        <v>9520</v>
      </c>
      <c r="AS625" s="551"/>
      <c r="AT625" s="551"/>
      <c r="AU625" s="551">
        <f t="shared" si="197"/>
        <v>9520</v>
      </c>
      <c r="AV625" s="551"/>
      <c r="AW625" s="551">
        <f t="shared" si="198"/>
        <v>9520</v>
      </c>
      <c r="AX625" s="651"/>
      <c r="AY625" s="1331"/>
      <c r="AZ625" s="1331"/>
      <c r="BA625" s="1331"/>
      <c r="BB625" s="1331"/>
      <c r="BC625" s="1331"/>
      <c r="BD625" s="551"/>
      <c r="BE625" s="551"/>
      <c r="BF625" s="1331"/>
      <c r="BG625" s="1331"/>
      <c r="BH625" s="825">
        <f>I625/4</f>
        <v>2380</v>
      </c>
      <c r="BI625" s="551"/>
      <c r="BJ625" s="1331"/>
      <c r="BK625" s="1331"/>
      <c r="BL625" s="1331"/>
      <c r="BM625" s="551"/>
      <c r="BN625" s="551"/>
      <c r="BO625" s="1331"/>
      <c r="BP625" s="1331"/>
      <c r="BQ625" s="1265"/>
      <c r="BR625" s="1265"/>
      <c r="BS625" s="1265"/>
      <c r="BT625" s="1265"/>
      <c r="BU625" s="1265"/>
      <c r="BV625" s="1265"/>
      <c r="BW625" s="1265"/>
      <c r="BX625" s="1265"/>
      <c r="BY625" s="1265"/>
      <c r="BZ625" s="1265"/>
      <c r="CA625" s="1265"/>
      <c r="CB625" s="1265"/>
      <c r="CC625" s="1265"/>
      <c r="CD625" s="1265"/>
      <c r="CE625" s="1265"/>
      <c r="CF625" s="1265"/>
      <c r="CG625" s="1265"/>
      <c r="CH625" s="650"/>
      <c r="CI625" s="650"/>
      <c r="CJ625" s="650"/>
      <c r="CK625" s="650"/>
      <c r="CL625" s="650"/>
      <c r="CM625" s="1265"/>
      <c r="CN625" s="1265"/>
      <c r="CO625" s="1265"/>
      <c r="CP625" s="650"/>
      <c r="CQ625" s="650"/>
      <c r="CR625" s="650"/>
      <c r="CS625" s="650"/>
      <c r="CT625" s="650"/>
      <c r="CU625" s="650"/>
    </row>
    <row r="626" s="1265" customFormat="1" ht="31" customHeight="1" spans="1:99">
      <c r="A626" s="641">
        <v>45916</v>
      </c>
      <c r="B626" s="642" t="s">
        <v>729</v>
      </c>
      <c r="C626" s="246" t="s">
        <v>278</v>
      </c>
      <c r="D626" s="551">
        <v>4500179611</v>
      </c>
      <c r="E626" s="246" t="s">
        <v>2518</v>
      </c>
      <c r="F626" s="551" t="s">
        <v>2519</v>
      </c>
      <c r="G626" s="659" t="s">
        <v>111</v>
      </c>
      <c r="H626" s="246" t="s">
        <v>112</v>
      </c>
      <c r="I626" s="246">
        <v>9520</v>
      </c>
      <c r="J626" s="246">
        <v>0</v>
      </c>
      <c r="K626" s="246">
        <v>16</v>
      </c>
      <c r="L626" s="644">
        <f t="shared" si="182"/>
        <v>595</v>
      </c>
      <c r="M626" s="645">
        <v>46016</v>
      </c>
      <c r="N626" s="645">
        <v>46013</v>
      </c>
      <c r="O626" s="643"/>
      <c r="P626" s="824" t="s">
        <v>113</v>
      </c>
      <c r="Q626" s="646"/>
      <c r="R626" s="646">
        <v>45916</v>
      </c>
      <c r="S626" s="646" t="s">
        <v>70</v>
      </c>
      <c r="T626" s="646" t="s">
        <v>70</v>
      </c>
      <c r="U626" s="646"/>
      <c r="V626" s="642"/>
      <c r="W626" s="642"/>
      <c r="X626" s="642" t="s">
        <v>2516</v>
      </c>
      <c r="Y626" s="647" t="s">
        <v>1627</v>
      </c>
      <c r="Z626" s="657">
        <v>4.2303</v>
      </c>
      <c r="AA626" s="647">
        <f t="shared" si="185"/>
        <v>40272.456</v>
      </c>
      <c r="AC626" s="658" t="s">
        <v>2517</v>
      </c>
      <c r="AD626" s="633" t="s">
        <v>111</v>
      </c>
      <c r="AE626" s="246" t="s">
        <v>82</v>
      </c>
      <c r="AF626" s="246"/>
      <c r="AG626" s="246"/>
      <c r="AH626" s="618">
        <v>1</v>
      </c>
      <c r="AI626" s="246">
        <f>9488+32</f>
        <v>9520</v>
      </c>
      <c r="AJ626" s="643">
        <f t="shared" si="196"/>
        <v>0</v>
      </c>
      <c r="AK626" s="246"/>
      <c r="AL626" s="246"/>
      <c r="AM626" s="551"/>
      <c r="AN626" s="551">
        <f t="shared" si="186"/>
        <v>9520</v>
      </c>
      <c r="AO626" s="1331"/>
      <c r="AP626" s="551"/>
      <c r="AQ626" s="1331"/>
      <c r="AR626" s="551">
        <f t="shared" si="199"/>
        <v>9520</v>
      </c>
      <c r="AS626" s="551"/>
      <c r="AT626" s="551"/>
      <c r="AU626" s="551">
        <f t="shared" si="197"/>
        <v>9520</v>
      </c>
      <c r="AV626" s="551"/>
      <c r="AW626" s="551">
        <f t="shared" si="198"/>
        <v>9520</v>
      </c>
      <c r="AX626" s="651"/>
      <c r="AY626" s="1331"/>
      <c r="AZ626" s="1331"/>
      <c r="BA626" s="1331"/>
      <c r="BB626" s="1331"/>
      <c r="BC626" s="1331"/>
      <c r="BD626" s="551"/>
      <c r="BE626" s="551"/>
      <c r="BF626" s="1331"/>
      <c r="BG626" s="1331"/>
      <c r="BH626" s="825">
        <f>I626/4</f>
        <v>2380</v>
      </c>
      <c r="BI626" s="551"/>
      <c r="BJ626" s="1331"/>
      <c r="BK626" s="1331"/>
      <c r="BL626" s="1331"/>
      <c r="BM626" s="551"/>
      <c r="BN626" s="551"/>
      <c r="BO626" s="1331"/>
      <c r="BP626" s="1331"/>
      <c r="BQ626" s="1265"/>
      <c r="BR626" s="1265"/>
      <c r="BS626" s="1265"/>
      <c r="BT626" s="1265"/>
      <c r="BU626" s="1265"/>
      <c r="BV626" s="1265"/>
      <c r="BW626" s="1265"/>
      <c r="BX626" s="1265"/>
      <c r="BY626" s="1265"/>
      <c r="BZ626" s="1265"/>
      <c r="CA626" s="1265"/>
      <c r="CB626" s="1265"/>
      <c r="CC626" s="1265"/>
      <c r="CD626" s="1265"/>
      <c r="CE626" s="1265"/>
      <c r="CF626" s="1265"/>
      <c r="CG626" s="1265"/>
      <c r="CH626" s="650"/>
      <c r="CI626" s="650"/>
      <c r="CJ626" s="650"/>
      <c r="CK626" s="650"/>
      <c r="CL626" s="650"/>
      <c r="CM626" s="1265"/>
      <c r="CN626" s="1265"/>
      <c r="CO626" s="1265"/>
      <c r="CP626" s="650"/>
      <c r="CQ626" s="650"/>
      <c r="CR626" s="650"/>
      <c r="CS626" s="650"/>
      <c r="CT626" s="650"/>
      <c r="CU626" s="650"/>
    </row>
    <row r="627" s="1265" customFormat="1" ht="31" customHeight="1" spans="1:99">
      <c r="A627" s="641">
        <v>45975</v>
      </c>
      <c r="B627" s="642" t="s">
        <v>803</v>
      </c>
      <c r="C627" s="246" t="s">
        <v>804</v>
      </c>
      <c r="D627" s="551">
        <v>4500185573</v>
      </c>
      <c r="E627" s="246"/>
      <c r="F627" s="551" t="s">
        <v>2520</v>
      </c>
      <c r="G627" s="659" t="s">
        <v>111</v>
      </c>
      <c r="H627" s="246" t="s">
        <v>112</v>
      </c>
      <c r="I627" s="704">
        <v>560</v>
      </c>
      <c r="J627" s="246">
        <v>0</v>
      </c>
      <c r="K627" s="246">
        <v>16</v>
      </c>
      <c r="L627" s="644">
        <f t="shared" si="182"/>
        <v>35</v>
      </c>
      <c r="M627" s="645">
        <v>46016</v>
      </c>
      <c r="N627" s="645">
        <v>46013</v>
      </c>
      <c r="O627" s="643"/>
      <c r="P627" s="824" t="s">
        <v>113</v>
      </c>
      <c r="Q627" s="646"/>
      <c r="R627" s="646">
        <v>45975</v>
      </c>
      <c r="S627" s="646" t="s">
        <v>104</v>
      </c>
      <c r="T627" s="646">
        <v>45975</v>
      </c>
      <c r="U627" s="646"/>
      <c r="V627" s="642"/>
      <c r="W627" s="642"/>
      <c r="X627" s="642" t="s">
        <v>2521</v>
      </c>
      <c r="Y627" s="647" t="s">
        <v>230</v>
      </c>
      <c r="Z627" s="657">
        <v>4.2114</v>
      </c>
      <c r="AA627" s="647">
        <f t="shared" si="185"/>
        <v>2358.384</v>
      </c>
      <c r="AC627" s="658" t="s">
        <v>2522</v>
      </c>
      <c r="AD627" s="633" t="s">
        <v>111</v>
      </c>
      <c r="AE627" s="246" t="s">
        <v>82</v>
      </c>
      <c r="AF627" s="246"/>
      <c r="AG627" s="246"/>
      <c r="AH627" s="618">
        <v>1</v>
      </c>
      <c r="AI627" s="246">
        <v>560</v>
      </c>
      <c r="AJ627" s="643">
        <f t="shared" si="196"/>
        <v>0</v>
      </c>
      <c r="AK627" s="246"/>
      <c r="AL627" s="246"/>
      <c r="AM627" s="551"/>
      <c r="AN627" s="551">
        <f t="shared" si="186"/>
        <v>560</v>
      </c>
      <c r="AO627" s="1331"/>
      <c r="AP627" s="551"/>
      <c r="AQ627" s="1331"/>
      <c r="AR627" s="551">
        <f t="shared" si="199"/>
        <v>560</v>
      </c>
      <c r="AS627" s="551"/>
      <c r="AT627" s="551"/>
      <c r="AU627" s="551">
        <f t="shared" si="197"/>
        <v>560</v>
      </c>
      <c r="AV627" s="551"/>
      <c r="AW627" s="551">
        <f t="shared" si="198"/>
        <v>560</v>
      </c>
      <c r="AX627" s="651"/>
      <c r="AY627" s="1331"/>
      <c r="AZ627" s="551"/>
      <c r="BA627" s="1331"/>
      <c r="BB627" s="1331"/>
      <c r="BC627" s="1331"/>
      <c r="BD627" s="551"/>
      <c r="BE627" s="551"/>
      <c r="BF627" s="1331"/>
      <c r="BG627" s="1331"/>
      <c r="BH627" s="825">
        <f>I627/4</f>
        <v>140</v>
      </c>
      <c r="BI627" s="551"/>
      <c r="BJ627" s="1331"/>
      <c r="BK627" s="1331"/>
      <c r="BL627" s="1331"/>
      <c r="BM627" s="551"/>
      <c r="BN627" s="551"/>
      <c r="BO627" s="1331"/>
      <c r="BP627" s="1331"/>
      <c r="BQ627" s="1265"/>
      <c r="BR627" s="1265"/>
      <c r="BS627" s="1265"/>
      <c r="BT627" s="1265"/>
      <c r="BU627" s="1265"/>
      <c r="BV627" s="1265"/>
      <c r="BW627" s="1265"/>
      <c r="BX627" s="1265"/>
      <c r="BY627" s="1265"/>
      <c r="BZ627" s="1265"/>
      <c r="CA627" s="1265"/>
      <c r="CB627" s="1265"/>
      <c r="CC627" s="1265"/>
      <c r="CD627" s="1265"/>
      <c r="CE627" s="1265"/>
      <c r="CF627" s="1265"/>
      <c r="CG627" s="1265"/>
      <c r="CH627" s="650"/>
      <c r="CI627" s="650"/>
      <c r="CJ627" s="650"/>
      <c r="CK627" s="650"/>
      <c r="CL627" s="650"/>
      <c r="CM627" s="1265"/>
      <c r="CN627" s="1265"/>
      <c r="CO627" s="1265"/>
      <c r="CP627" s="650"/>
      <c r="CQ627" s="650"/>
      <c r="CR627" s="650"/>
      <c r="CS627" s="650"/>
      <c r="CT627" s="650"/>
      <c r="CU627" s="650"/>
    </row>
    <row r="628" s="1265" customFormat="1" ht="31" customHeight="1" spans="1:99">
      <c r="A628" s="641">
        <v>45905</v>
      </c>
      <c r="B628" s="642" t="s">
        <v>1800</v>
      </c>
      <c r="C628" s="246" t="s">
        <v>744</v>
      </c>
      <c r="D628" s="551">
        <v>4500178919</v>
      </c>
      <c r="E628" s="246">
        <v>5000001988</v>
      </c>
      <c r="F628" s="551" t="s">
        <v>2523</v>
      </c>
      <c r="G628" s="659" t="s">
        <v>518</v>
      </c>
      <c r="H628" s="246" t="s">
        <v>477</v>
      </c>
      <c r="I628" s="246">
        <v>9996</v>
      </c>
      <c r="J628" s="246">
        <v>0</v>
      </c>
      <c r="K628" s="246">
        <v>6</v>
      </c>
      <c r="L628" s="644">
        <f t="shared" si="182"/>
        <v>1666</v>
      </c>
      <c r="M628" s="645">
        <v>46017</v>
      </c>
      <c r="N628" s="645">
        <v>46013</v>
      </c>
      <c r="O628" s="643"/>
      <c r="P628" s="824" t="s">
        <v>113</v>
      </c>
      <c r="Q628" s="646"/>
      <c r="R628" s="646">
        <v>45960</v>
      </c>
      <c r="S628" s="829" t="s">
        <v>104</v>
      </c>
      <c r="T628" s="646" t="s">
        <v>2239</v>
      </c>
      <c r="U628" s="646"/>
      <c r="V628" s="642"/>
      <c r="W628" s="642"/>
      <c r="X628" s="642" t="s">
        <v>2240</v>
      </c>
      <c r="Y628" s="647" t="s">
        <v>1805</v>
      </c>
      <c r="Z628" s="657">
        <v>6.3409</v>
      </c>
      <c r="AA628" s="647">
        <f t="shared" si="185"/>
        <v>63383.6364</v>
      </c>
      <c r="AC628" s="698" t="s">
        <v>2422</v>
      </c>
      <c r="AD628" s="633" t="s">
        <v>2241</v>
      </c>
      <c r="AE628" s="246" t="s">
        <v>82</v>
      </c>
      <c r="AF628" s="246"/>
      <c r="AG628" s="246"/>
      <c r="AH628" s="618">
        <v>1</v>
      </c>
      <c r="AI628" s="246">
        <f>3888+5136+972</f>
        <v>9996</v>
      </c>
      <c r="AJ628" s="643">
        <f t="shared" si="196"/>
        <v>0</v>
      </c>
      <c r="AK628" s="246"/>
      <c r="AL628" s="246"/>
      <c r="AM628" s="551"/>
      <c r="AN628" s="551">
        <f t="shared" si="186"/>
        <v>9996</v>
      </c>
      <c r="AO628" s="1331"/>
      <c r="AP628" s="551"/>
      <c r="AQ628" s="1331"/>
      <c r="AR628" s="551">
        <f t="shared" si="199"/>
        <v>9996</v>
      </c>
      <c r="AS628" s="551"/>
      <c r="AT628" s="551"/>
      <c r="AU628" s="551"/>
      <c r="AV628" s="551">
        <f>I628</f>
        <v>9996</v>
      </c>
      <c r="AW628" s="551"/>
      <c r="AX628" s="651">
        <f>I628</f>
        <v>9996</v>
      </c>
      <c r="AY628" s="1331"/>
      <c r="AZ628" s="1331"/>
      <c r="BA628" s="1331"/>
      <c r="BB628" s="1331"/>
      <c r="BC628" s="1331"/>
      <c r="BD628" s="551"/>
      <c r="BE628" s="551"/>
      <c r="BF628" s="1331"/>
      <c r="BG628" s="1331"/>
      <c r="BH628" s="551"/>
      <c r="BI628" s="551"/>
      <c r="BJ628" s="1331"/>
      <c r="BK628" s="1331"/>
      <c r="BL628" s="1331"/>
      <c r="BM628" s="551"/>
      <c r="BN628" s="551">
        <f>I628</f>
        <v>9996</v>
      </c>
      <c r="BO628" s="1331"/>
      <c r="BP628" s="1331"/>
      <c r="BQ628" s="1265"/>
      <c r="BR628" s="1265"/>
      <c r="BS628" s="1265"/>
      <c r="BT628" s="1265"/>
      <c r="BU628" s="1265"/>
      <c r="BV628" s="1265"/>
      <c r="BW628" s="1265"/>
      <c r="BX628" s="1265"/>
      <c r="BY628" s="1265"/>
      <c r="BZ628" s="1265"/>
      <c r="CA628" s="1265"/>
      <c r="CB628" s="1265"/>
      <c r="CC628" s="1265"/>
      <c r="CD628" s="1265"/>
      <c r="CE628" s="1265"/>
      <c r="CF628" s="1265"/>
      <c r="CG628" s="1265"/>
      <c r="CH628" s="650"/>
      <c r="CI628" s="650"/>
      <c r="CJ628" s="650"/>
      <c r="CK628" s="650"/>
      <c r="CL628" s="650"/>
      <c r="CM628" s="1265"/>
      <c r="CN628" s="1265"/>
      <c r="CO628" s="1265"/>
      <c r="CP628" s="650"/>
      <c r="CQ628" s="650"/>
      <c r="CR628" s="650"/>
      <c r="CS628" s="650"/>
      <c r="CT628" s="650"/>
      <c r="CU628" s="650"/>
    </row>
    <row r="629" s="1265" customFormat="1" ht="31" customHeight="1" spans="1:99">
      <c r="A629" s="641">
        <v>45905</v>
      </c>
      <c r="B629" s="642" t="s">
        <v>1800</v>
      </c>
      <c r="C629" s="246" t="s">
        <v>744</v>
      </c>
      <c r="D629" s="551">
        <v>4500178919</v>
      </c>
      <c r="E629" s="246">
        <v>5000001988</v>
      </c>
      <c r="F629" s="551" t="s">
        <v>2524</v>
      </c>
      <c r="G629" s="659" t="s">
        <v>130</v>
      </c>
      <c r="H629" s="246" t="s">
        <v>131</v>
      </c>
      <c r="I629" s="246">
        <v>6000</v>
      </c>
      <c r="J629" s="246">
        <v>0</v>
      </c>
      <c r="K629" s="246">
        <v>6</v>
      </c>
      <c r="L629" s="644">
        <f t="shared" si="182"/>
        <v>1000</v>
      </c>
      <c r="M629" s="645">
        <v>46017</v>
      </c>
      <c r="N629" s="645">
        <v>46013</v>
      </c>
      <c r="O629" s="643"/>
      <c r="P629" s="824" t="s">
        <v>113</v>
      </c>
      <c r="Q629" s="646"/>
      <c r="R629" s="646">
        <v>45960</v>
      </c>
      <c r="S629" s="829" t="s">
        <v>104</v>
      </c>
      <c r="T629" s="646" t="s">
        <v>2239</v>
      </c>
      <c r="U629" s="646"/>
      <c r="V629" s="642"/>
      <c r="W629" s="642"/>
      <c r="X629" s="642" t="s">
        <v>2215</v>
      </c>
      <c r="Y629" s="647" t="s">
        <v>1805</v>
      </c>
      <c r="Z629" s="657">
        <v>4.1576</v>
      </c>
      <c r="AA629" s="647">
        <f t="shared" si="185"/>
        <v>24945.6</v>
      </c>
      <c r="AC629" s="698" t="s">
        <v>2525</v>
      </c>
      <c r="AD629" s="633" t="s">
        <v>2217</v>
      </c>
      <c r="AE629" s="246" t="s">
        <v>82</v>
      </c>
      <c r="AF629" s="246"/>
      <c r="AG629" s="246"/>
      <c r="AH629" s="618">
        <v>1</v>
      </c>
      <c r="AI629" s="246">
        <v>6000</v>
      </c>
      <c r="AJ629" s="643">
        <v>0</v>
      </c>
      <c r="AK629" s="246"/>
      <c r="AL629" s="246"/>
      <c r="AM629" s="551"/>
      <c r="AN629" s="551">
        <f t="shared" si="186"/>
        <v>6000</v>
      </c>
      <c r="AO629" s="551"/>
      <c r="AP629" s="551"/>
      <c r="AQ629" s="551"/>
      <c r="AR629" s="551">
        <f t="shared" si="199"/>
        <v>6000</v>
      </c>
      <c r="AS629" s="551"/>
      <c r="AT629" s="551"/>
      <c r="AU629" s="551"/>
      <c r="AV629" s="551">
        <f>I629</f>
        <v>6000</v>
      </c>
      <c r="AW629" s="551"/>
      <c r="AX629" s="651">
        <f>I629</f>
        <v>6000</v>
      </c>
      <c r="AY629" s="1331"/>
      <c r="AZ629" s="1331"/>
      <c r="BA629" s="1331"/>
      <c r="BB629" s="1331"/>
      <c r="BC629" s="1331"/>
      <c r="BD629" s="551"/>
      <c r="BE629" s="551"/>
      <c r="BF629" s="1331"/>
      <c r="BG629" s="1331"/>
      <c r="BH629" s="551"/>
      <c r="BI629" s="551"/>
      <c r="BJ629" s="1331"/>
      <c r="BK629" s="1331"/>
      <c r="BL629" s="1331"/>
      <c r="BM629" s="551"/>
      <c r="BN629" s="551"/>
      <c r="BO629" s="1331"/>
      <c r="BP629" s="1331"/>
      <c r="BQ629" s="1265"/>
      <c r="BR629" s="1265"/>
      <c r="BS629" s="1265"/>
      <c r="BT629" s="1265"/>
      <c r="BU629" s="1265"/>
      <c r="BV629" s="1265"/>
      <c r="BW629" s="1265"/>
      <c r="BX629" s="1265"/>
      <c r="BY629" s="1265"/>
      <c r="BZ629" s="1265"/>
      <c r="CA629" s="1265"/>
      <c r="CB629" s="1265"/>
      <c r="CC629" s="1265"/>
      <c r="CD629" s="1265"/>
      <c r="CE629" s="1265"/>
      <c r="CF629" s="1265"/>
      <c r="CG629" s="1265"/>
      <c r="CH629" s="650"/>
      <c r="CI629" s="650"/>
      <c r="CJ629" s="650"/>
      <c r="CK629" s="650"/>
      <c r="CL629" s="650"/>
      <c r="CM629" s="1265"/>
      <c r="CN629" s="1265"/>
      <c r="CO629" s="1265"/>
      <c r="CP629" s="650"/>
      <c r="CQ629" s="650"/>
      <c r="CR629" s="650"/>
      <c r="CS629" s="650"/>
      <c r="CT629" s="650"/>
      <c r="CU629" s="650"/>
    </row>
    <row r="630" s="1265" customFormat="1" ht="34" customHeight="1" spans="1:99">
      <c r="A630" s="641">
        <v>45905</v>
      </c>
      <c r="B630" s="642" t="s">
        <v>1800</v>
      </c>
      <c r="C630" s="246" t="s">
        <v>744</v>
      </c>
      <c r="D630" s="551">
        <v>4500178919</v>
      </c>
      <c r="E630" s="246">
        <v>5000001988</v>
      </c>
      <c r="F630" s="551" t="s">
        <v>2526</v>
      </c>
      <c r="G630" s="659" t="s">
        <v>518</v>
      </c>
      <c r="H630" s="246" t="s">
        <v>477</v>
      </c>
      <c r="I630" s="704">
        <v>2004</v>
      </c>
      <c r="J630" s="246">
        <v>0</v>
      </c>
      <c r="K630" s="246">
        <v>6</v>
      </c>
      <c r="L630" s="644">
        <f t="shared" si="182"/>
        <v>334</v>
      </c>
      <c r="M630" s="645">
        <v>46017</v>
      </c>
      <c r="N630" s="645">
        <v>46013</v>
      </c>
      <c r="O630" s="643"/>
      <c r="P630" s="824" t="s">
        <v>113</v>
      </c>
      <c r="Q630" s="646"/>
      <c r="R630" s="646">
        <v>45960</v>
      </c>
      <c r="S630" s="829" t="s">
        <v>104</v>
      </c>
      <c r="T630" s="646" t="s">
        <v>2239</v>
      </c>
      <c r="U630" s="646"/>
      <c r="V630" s="642"/>
      <c r="W630" s="642"/>
      <c r="X630" s="642" t="s">
        <v>2240</v>
      </c>
      <c r="Y630" s="647" t="s">
        <v>1805</v>
      </c>
      <c r="Z630" s="657">
        <v>6.3409</v>
      </c>
      <c r="AA630" s="647">
        <f t="shared" si="185"/>
        <v>12707.1636</v>
      </c>
      <c r="AC630" s="698" t="s">
        <v>2422</v>
      </c>
      <c r="AD630" s="633" t="s">
        <v>2241</v>
      </c>
      <c r="AE630" s="246" t="s">
        <v>82</v>
      </c>
      <c r="AF630" s="246"/>
      <c r="AG630" s="246"/>
      <c r="AH630" s="618">
        <v>1</v>
      </c>
      <c r="AI630" s="246">
        <v>2004</v>
      </c>
      <c r="AJ630" s="643">
        <f t="shared" si="196"/>
        <v>0</v>
      </c>
      <c r="AK630" s="246"/>
      <c r="AL630" s="246"/>
      <c r="AM630" s="551"/>
      <c r="AN630" s="551">
        <f t="shared" si="186"/>
        <v>2004</v>
      </c>
      <c r="AO630" s="551"/>
      <c r="AP630" s="551"/>
      <c r="AQ630" s="551"/>
      <c r="AR630" s="551">
        <f t="shared" si="199"/>
        <v>2004</v>
      </c>
      <c r="AS630" s="551"/>
      <c r="AT630" s="551"/>
      <c r="AU630" s="551"/>
      <c r="AV630" s="551">
        <f>I630</f>
        <v>2004</v>
      </c>
      <c r="AW630" s="551"/>
      <c r="AX630" s="651">
        <f>I630</f>
        <v>2004</v>
      </c>
      <c r="AY630" s="1331"/>
      <c r="AZ630" s="1331"/>
      <c r="BA630" s="1331"/>
      <c r="BB630" s="1331"/>
      <c r="BC630" s="1331"/>
      <c r="BD630" s="551"/>
      <c r="BE630" s="551"/>
      <c r="BF630" s="1331"/>
      <c r="BG630" s="1331"/>
      <c r="BH630" s="551"/>
      <c r="BI630" s="551"/>
      <c r="BJ630" s="1331"/>
      <c r="BK630" s="1331"/>
      <c r="BL630" s="1331"/>
      <c r="BM630" s="551"/>
      <c r="BN630" s="551">
        <f>I630</f>
        <v>2004</v>
      </c>
      <c r="BO630" s="1331"/>
      <c r="BP630" s="1331"/>
      <c r="BQ630" s="1265"/>
      <c r="BR630" s="1265"/>
      <c r="BS630" s="1265"/>
      <c r="BT630" s="1265"/>
      <c r="BU630" s="1265"/>
      <c r="BV630" s="1265"/>
      <c r="BW630" s="1265"/>
      <c r="BX630" s="1265"/>
      <c r="BY630" s="1265"/>
      <c r="BZ630" s="1265"/>
      <c r="CA630" s="1265"/>
      <c r="CB630" s="1265"/>
      <c r="CC630" s="1265"/>
      <c r="CD630" s="1265"/>
      <c r="CE630" s="1265"/>
      <c r="CF630" s="1265"/>
      <c r="CG630" s="1265"/>
      <c r="CH630" s="650"/>
      <c r="CI630" s="650"/>
      <c r="CJ630" s="650"/>
      <c r="CK630" s="650"/>
      <c r="CL630" s="650"/>
      <c r="CM630" s="1265"/>
      <c r="CN630" s="1265"/>
      <c r="CO630" s="1265"/>
      <c r="CP630" s="650"/>
      <c r="CQ630" s="650"/>
      <c r="CR630" s="650"/>
      <c r="CS630" s="650"/>
      <c r="CT630" s="650"/>
      <c r="CU630" s="650"/>
    </row>
    <row r="631" s="1265" customFormat="1" ht="31" customHeight="1" spans="1:99">
      <c r="A631" s="641">
        <v>45954</v>
      </c>
      <c r="B631" s="642" t="s">
        <v>2527</v>
      </c>
      <c r="C631" s="246" t="s">
        <v>2528</v>
      </c>
      <c r="D631" s="551">
        <v>4500182689</v>
      </c>
      <c r="E631" s="246" t="s">
        <v>2529</v>
      </c>
      <c r="F631" s="551" t="s">
        <v>2530</v>
      </c>
      <c r="G631" s="659" t="s">
        <v>111</v>
      </c>
      <c r="H631" s="246" t="s">
        <v>112</v>
      </c>
      <c r="I631" s="246">
        <v>1200</v>
      </c>
      <c r="J631" s="246">
        <v>0</v>
      </c>
      <c r="K631" s="246">
        <v>16</v>
      </c>
      <c r="L631" s="644">
        <f t="shared" si="182"/>
        <v>75</v>
      </c>
      <c r="M631" s="645">
        <v>46017</v>
      </c>
      <c r="N631" s="645">
        <v>46013</v>
      </c>
      <c r="O631" s="643"/>
      <c r="P631" s="824" t="s">
        <v>113</v>
      </c>
      <c r="Q631" s="646"/>
      <c r="R631" s="646">
        <v>45959</v>
      </c>
      <c r="S631" s="646" t="s">
        <v>70</v>
      </c>
      <c r="T631" s="646" t="s">
        <v>2531</v>
      </c>
      <c r="U631" s="646"/>
      <c r="V631" s="642"/>
      <c r="W631" s="642"/>
      <c r="X631" s="749" t="s">
        <v>2532</v>
      </c>
      <c r="Y631" s="647" t="s">
        <v>2533</v>
      </c>
      <c r="Z631" s="657">
        <v>4.2542</v>
      </c>
      <c r="AA631" s="647">
        <f t="shared" si="185"/>
        <v>5105.04</v>
      </c>
      <c r="AB631" s="551"/>
      <c r="AC631" s="658" t="s">
        <v>2534</v>
      </c>
      <c r="AD631" s="633" t="s">
        <v>447</v>
      </c>
      <c r="AE631" s="246" t="s">
        <v>82</v>
      </c>
      <c r="AF631" s="246"/>
      <c r="AG631" s="246"/>
      <c r="AH631" s="618">
        <v>1</v>
      </c>
      <c r="AI631" s="246">
        <f>1168+32</f>
        <v>1200</v>
      </c>
      <c r="AJ631" s="643">
        <f t="shared" si="196"/>
        <v>0</v>
      </c>
      <c r="AK631" s="246"/>
      <c r="AL631" s="246"/>
      <c r="AM631" s="551"/>
      <c r="AN631" s="551">
        <f t="shared" si="186"/>
        <v>1200</v>
      </c>
      <c r="AO631" s="551"/>
      <c r="AP631" s="551"/>
      <c r="AQ631" s="551"/>
      <c r="AR631" s="551"/>
      <c r="AS631" s="551">
        <f>I631</f>
        <v>1200</v>
      </c>
      <c r="AT631" s="551"/>
      <c r="AU631" s="551">
        <f>I631</f>
        <v>1200</v>
      </c>
      <c r="AV631" s="551"/>
      <c r="AW631" s="551">
        <f t="shared" ref="AW631:AW637" si="200">I631</f>
        <v>1200</v>
      </c>
      <c r="AX631" s="651"/>
      <c r="AY631" s="551"/>
      <c r="AZ631" s="551"/>
      <c r="BA631" s="551"/>
      <c r="BB631" s="551"/>
      <c r="BC631" s="551"/>
      <c r="BD631" s="551"/>
      <c r="BE631" s="551"/>
      <c r="BF631" s="551"/>
      <c r="BG631" s="551"/>
      <c r="BH631" s="551"/>
      <c r="BI631" s="825">
        <f>I631/4</f>
        <v>300</v>
      </c>
      <c r="BJ631" s="551"/>
      <c r="BK631" s="551"/>
      <c r="BL631" s="551"/>
      <c r="BM631" s="551"/>
      <c r="BN631" s="551"/>
      <c r="BO631" s="551"/>
      <c r="BP631" s="551"/>
      <c r="BQ631" s="551"/>
      <c r="BR631" s="551"/>
      <c r="BS631" s="551"/>
      <c r="BT631" s="551"/>
      <c r="BU631" s="551"/>
      <c r="BV631" s="551"/>
      <c r="BW631" s="551"/>
      <c r="BX631" s="551"/>
      <c r="BY631" s="551"/>
      <c r="BZ631" s="551"/>
      <c r="CA631" s="551"/>
      <c r="CB631" s="551"/>
      <c r="CC631" s="551"/>
      <c r="CD631" s="551"/>
      <c r="CE631" s="551"/>
      <c r="CF631" s="551"/>
      <c r="CG631" s="551"/>
      <c r="CH631" s="650"/>
      <c r="CI631" s="650"/>
      <c r="CJ631" s="650"/>
      <c r="CK631" s="650"/>
      <c r="CL631" s="650"/>
      <c r="CM631" s="551"/>
      <c r="CN631" s="551"/>
      <c r="CO631" s="551"/>
      <c r="CP631" s="650"/>
      <c r="CQ631" s="650"/>
      <c r="CR631" s="650"/>
      <c r="CS631" s="650"/>
      <c r="CT631" s="650"/>
      <c r="CU631" s="650"/>
    </row>
    <row r="632" s="1265" customFormat="1" ht="31" customHeight="1" spans="1:99">
      <c r="A632" s="641">
        <v>45982</v>
      </c>
      <c r="B632" s="642" t="s">
        <v>523</v>
      </c>
      <c r="C632" s="246" t="s">
        <v>524</v>
      </c>
      <c r="D632" s="551">
        <v>4500186484</v>
      </c>
      <c r="E632" s="246"/>
      <c r="F632" s="551" t="s">
        <v>2535</v>
      </c>
      <c r="G632" s="659" t="s">
        <v>2536</v>
      </c>
      <c r="H632" s="246" t="s">
        <v>2537</v>
      </c>
      <c r="I632" s="246">
        <v>30</v>
      </c>
      <c r="J632" s="246">
        <v>0</v>
      </c>
      <c r="K632" s="246">
        <v>1</v>
      </c>
      <c r="L632" s="644">
        <f t="shared" si="182"/>
        <v>30</v>
      </c>
      <c r="M632" s="645">
        <v>46015</v>
      </c>
      <c r="N632" s="645">
        <v>46011</v>
      </c>
      <c r="O632" s="643"/>
      <c r="P632" s="824" t="s">
        <v>113</v>
      </c>
      <c r="Q632" s="646"/>
      <c r="R632" s="646">
        <v>45988</v>
      </c>
      <c r="S632" s="646" t="s">
        <v>70</v>
      </c>
      <c r="T632" s="772" t="s">
        <v>2538</v>
      </c>
      <c r="U632" s="772"/>
      <c r="V632" s="642"/>
      <c r="W632" s="642"/>
      <c r="X632" s="749" t="s">
        <v>2539</v>
      </c>
      <c r="Y632" s="647" t="s">
        <v>529</v>
      </c>
      <c r="Z632" s="657">
        <v>28.5531</v>
      </c>
      <c r="AA632" s="647">
        <f t="shared" si="185"/>
        <v>856.593</v>
      </c>
      <c r="AB632" s="551"/>
      <c r="AC632" s="648"/>
      <c r="AD632" s="633" t="s">
        <v>73</v>
      </c>
      <c r="AE632" s="633" t="s">
        <v>73</v>
      </c>
      <c r="AF632" s="246"/>
      <c r="AG632" s="246"/>
      <c r="AH632" s="246">
        <v>1</v>
      </c>
      <c r="AI632" s="246">
        <v>30</v>
      </c>
      <c r="AJ632" s="246">
        <f t="shared" si="196"/>
        <v>0</v>
      </c>
      <c r="AK632" s="246"/>
      <c r="AL632" s="246"/>
      <c r="AM632" s="551"/>
      <c r="AN632" s="551">
        <f t="shared" si="186"/>
        <v>30</v>
      </c>
      <c r="AO632" s="551"/>
      <c r="AP632" s="551"/>
      <c r="AQ632" s="551"/>
      <c r="AR632" s="551">
        <f>I632</f>
        <v>30</v>
      </c>
      <c r="AS632" s="551"/>
      <c r="AT632" s="551"/>
      <c r="AU632" s="551">
        <f>I632</f>
        <v>30</v>
      </c>
      <c r="AV632" s="551"/>
      <c r="AW632" s="551">
        <f t="shared" si="200"/>
        <v>30</v>
      </c>
      <c r="AX632" s="651"/>
      <c r="AY632" s="551"/>
      <c r="AZ632" s="551"/>
      <c r="BA632" s="551"/>
      <c r="BB632" s="551"/>
      <c r="BC632" s="551"/>
      <c r="BD632" s="551"/>
      <c r="BE632" s="551"/>
      <c r="BF632" s="551"/>
      <c r="BG632" s="551"/>
      <c r="BH632" s="551"/>
      <c r="BI632" s="551"/>
      <c r="BJ632" s="551"/>
      <c r="BK632" s="551"/>
      <c r="BL632" s="551"/>
      <c r="BM632" s="551"/>
      <c r="BN632" s="551"/>
      <c r="BO632" s="551"/>
      <c r="BP632" s="551"/>
      <c r="BQ632" s="551"/>
      <c r="BR632" s="551"/>
      <c r="BS632" s="551"/>
      <c r="BT632" s="551"/>
      <c r="BU632" s="551"/>
      <c r="BV632" s="551"/>
      <c r="BW632" s="551"/>
      <c r="BX632" s="551"/>
      <c r="BY632" s="551"/>
      <c r="BZ632" s="551"/>
      <c r="CA632" s="551"/>
      <c r="CB632" s="551"/>
      <c r="CC632" s="551"/>
      <c r="CD632" s="551"/>
      <c r="CE632" s="551"/>
      <c r="CF632" s="551"/>
      <c r="CG632" s="551"/>
      <c r="CH632" s="650"/>
      <c r="CI632" s="650"/>
      <c r="CJ632" s="650"/>
      <c r="CK632" s="650"/>
      <c r="CL632" s="650"/>
      <c r="CM632" s="551"/>
      <c r="CN632" s="551"/>
      <c r="CO632" s="551"/>
      <c r="CP632" s="650"/>
      <c r="CQ632" s="650"/>
      <c r="CR632" s="650"/>
      <c r="CS632" s="650"/>
      <c r="CT632" s="650"/>
      <c r="CU632" s="650"/>
    </row>
    <row r="633" s="1265" customFormat="1" ht="31" customHeight="1" spans="1:99">
      <c r="A633" s="641">
        <v>45958</v>
      </c>
      <c r="B633" s="642" t="s">
        <v>2540</v>
      </c>
      <c r="C633" s="246" t="s">
        <v>98</v>
      </c>
      <c r="D633" s="551">
        <v>4500183330</v>
      </c>
      <c r="E633" s="246">
        <v>4864</v>
      </c>
      <c r="F633" s="551" t="s">
        <v>2541</v>
      </c>
      <c r="G633" s="659" t="s">
        <v>68</v>
      </c>
      <c r="H633" s="633" t="s">
        <v>69</v>
      </c>
      <c r="I633" s="704">
        <v>600</v>
      </c>
      <c r="J633" s="246">
        <v>0</v>
      </c>
      <c r="K633" s="246">
        <v>12</v>
      </c>
      <c r="L633" s="644">
        <f t="shared" si="182"/>
        <v>50</v>
      </c>
      <c r="M633" s="645">
        <v>46016</v>
      </c>
      <c r="N633" s="645">
        <v>46013</v>
      </c>
      <c r="O633" s="643"/>
      <c r="P633" s="824" t="s">
        <v>113</v>
      </c>
      <c r="Q633" s="646"/>
      <c r="R633" s="646">
        <v>45981</v>
      </c>
      <c r="S633" s="646" t="s">
        <v>70</v>
      </c>
      <c r="T633" s="646" t="s">
        <v>70</v>
      </c>
      <c r="U633" s="646"/>
      <c r="V633" s="642"/>
      <c r="W633" s="642"/>
      <c r="X633" s="642" t="s">
        <v>2542</v>
      </c>
      <c r="Y633" s="647" t="s">
        <v>2543</v>
      </c>
      <c r="Z633" s="657">
        <v>2.4974</v>
      </c>
      <c r="AA633" s="647">
        <f t="shared" si="185"/>
        <v>1498.44</v>
      </c>
      <c r="AB633" s="551"/>
      <c r="AC633" s="658" t="s">
        <v>2544</v>
      </c>
      <c r="AD633" s="633" t="s">
        <v>68</v>
      </c>
      <c r="AE633" s="246" t="s">
        <v>82</v>
      </c>
      <c r="AF633" s="246"/>
      <c r="AG633" s="246"/>
      <c r="AH633" s="246">
        <v>1</v>
      </c>
      <c r="AI633" s="246">
        <v>600</v>
      </c>
      <c r="AJ633" s="246">
        <f t="shared" si="196"/>
        <v>0</v>
      </c>
      <c r="AK633" s="246"/>
      <c r="AL633" s="246"/>
      <c r="AM633" s="551"/>
      <c r="AN633" s="551">
        <f t="shared" si="186"/>
        <v>600</v>
      </c>
      <c r="AO633" s="551"/>
      <c r="AP633" s="551"/>
      <c r="AQ633" s="551"/>
      <c r="AR633" s="551">
        <f>I633</f>
        <v>600</v>
      </c>
      <c r="AS633" s="551"/>
      <c r="AT633" s="551"/>
      <c r="AU633" s="551">
        <f>I633</f>
        <v>600</v>
      </c>
      <c r="AV633" s="551"/>
      <c r="AW633" s="551">
        <f t="shared" si="200"/>
        <v>600</v>
      </c>
      <c r="AX633" s="651"/>
      <c r="AY633" s="551"/>
      <c r="AZ633" s="551"/>
      <c r="BA633" s="551"/>
      <c r="BB633" s="551"/>
      <c r="BC633" s="551"/>
      <c r="BD633" s="551"/>
      <c r="BE633" s="551"/>
      <c r="BF633" s="551"/>
      <c r="BG633" s="551"/>
      <c r="BH633" s="551"/>
      <c r="BI633" s="551"/>
      <c r="BJ633" s="551"/>
      <c r="BK633" s="551"/>
      <c r="BL633" s="551"/>
      <c r="BM633" s="551"/>
      <c r="BN633" s="551"/>
      <c r="BO633" s="551"/>
      <c r="BP633" s="551"/>
      <c r="BQ633" s="551"/>
      <c r="BR633" s="551"/>
      <c r="BS633" s="551"/>
      <c r="BT633" s="551"/>
      <c r="BU633" s="551"/>
      <c r="BV633" s="551"/>
      <c r="BW633" s="551"/>
      <c r="BX633" s="551"/>
      <c r="BY633" s="551"/>
      <c r="BZ633" s="551"/>
      <c r="CA633" s="551"/>
      <c r="CB633" s="551"/>
      <c r="CC633" s="551"/>
      <c r="CD633" s="551"/>
      <c r="CE633" s="551"/>
      <c r="CF633" s="551"/>
      <c r="CG633" s="551"/>
      <c r="CH633" s="650"/>
      <c r="CI633" s="650"/>
      <c r="CJ633" s="650"/>
      <c r="CK633" s="650"/>
      <c r="CL633" s="650"/>
      <c r="CM633" s="551"/>
      <c r="CN633" s="551"/>
      <c r="CO633" s="551"/>
      <c r="CP633" s="650"/>
      <c r="CQ633" s="650"/>
      <c r="CR633" s="650"/>
      <c r="CS633" s="650"/>
      <c r="CT633" s="650"/>
      <c r="CU633" s="650"/>
    </row>
    <row r="634" s="1265" customFormat="1" ht="31" customHeight="1" spans="1:99">
      <c r="A634" s="641">
        <v>45912</v>
      </c>
      <c r="B634" s="642" t="s">
        <v>2545</v>
      </c>
      <c r="C634" s="246" t="s">
        <v>2286</v>
      </c>
      <c r="D634" s="551">
        <v>4500179359</v>
      </c>
      <c r="E634" s="246" t="s">
        <v>2546</v>
      </c>
      <c r="F634" s="551" t="s">
        <v>2547</v>
      </c>
      <c r="G634" s="659" t="s">
        <v>68</v>
      </c>
      <c r="H634" s="633" t="s">
        <v>69</v>
      </c>
      <c r="I634" s="246">
        <v>5004</v>
      </c>
      <c r="J634" s="246">
        <v>0</v>
      </c>
      <c r="K634" s="246">
        <v>12</v>
      </c>
      <c r="L634" s="644">
        <f t="shared" si="182"/>
        <v>417</v>
      </c>
      <c r="M634" s="645">
        <v>46016</v>
      </c>
      <c r="N634" s="645">
        <v>46013</v>
      </c>
      <c r="O634" s="643"/>
      <c r="P634" s="824" t="s">
        <v>113</v>
      </c>
      <c r="Q634" s="646"/>
      <c r="R634" s="646">
        <v>45919</v>
      </c>
      <c r="S634" s="646" t="s">
        <v>70</v>
      </c>
      <c r="T634" s="646" t="s">
        <v>2289</v>
      </c>
      <c r="U634" s="646"/>
      <c r="V634" s="642"/>
      <c r="W634" s="642"/>
      <c r="X634" s="642" t="s">
        <v>2548</v>
      </c>
      <c r="Y634" s="647" t="s">
        <v>529</v>
      </c>
      <c r="Z634" s="657">
        <v>4.1403</v>
      </c>
      <c r="AA634" s="647">
        <f t="shared" si="185"/>
        <v>20718.0612</v>
      </c>
      <c r="AC634" s="658" t="s">
        <v>2549</v>
      </c>
      <c r="AD634" s="633" t="s">
        <v>184</v>
      </c>
      <c r="AE634" s="246" t="s">
        <v>82</v>
      </c>
      <c r="AF634" s="246"/>
      <c r="AG634" s="246"/>
      <c r="AH634" s="246">
        <v>1</v>
      </c>
      <c r="AI634" s="246">
        <v>5004</v>
      </c>
      <c r="AJ634" s="643">
        <f t="shared" si="196"/>
        <v>0</v>
      </c>
      <c r="AK634" s="246"/>
      <c r="AL634" s="246"/>
      <c r="AM634" s="551"/>
      <c r="AN634" s="551">
        <f t="shared" si="186"/>
        <v>5004</v>
      </c>
      <c r="AO634" s="1331"/>
      <c r="AP634" s="551"/>
      <c r="AQ634" s="1331"/>
      <c r="AR634" s="551"/>
      <c r="AS634" s="551">
        <f>I634</f>
        <v>5004</v>
      </c>
      <c r="AT634" s="551"/>
      <c r="AU634" s="551">
        <f>I634</f>
        <v>5004</v>
      </c>
      <c r="AV634" s="551"/>
      <c r="AW634" s="551">
        <f t="shared" si="200"/>
        <v>5004</v>
      </c>
      <c r="AX634" s="651"/>
      <c r="AY634" s="1331"/>
      <c r="AZ634" s="1331"/>
      <c r="BA634" s="1331"/>
      <c r="BB634" s="1331"/>
      <c r="BC634" s="1331"/>
      <c r="BD634" s="551"/>
      <c r="BE634" s="551"/>
      <c r="BF634" s="1331"/>
      <c r="BG634" s="1331"/>
      <c r="BH634" s="551"/>
      <c r="BI634" s="551"/>
      <c r="BJ634" s="1331"/>
      <c r="BK634" s="1331"/>
      <c r="BL634" s="1331"/>
      <c r="BM634" s="551"/>
      <c r="BN634" s="551"/>
      <c r="BO634" s="1331"/>
      <c r="BP634" s="1331"/>
      <c r="BQ634" s="1265"/>
      <c r="BR634" s="1265"/>
      <c r="BS634" s="1265"/>
      <c r="BT634" s="1265"/>
      <c r="BU634" s="1265"/>
      <c r="BV634" s="1265"/>
      <c r="BW634" s="1265"/>
      <c r="BX634" s="1265"/>
      <c r="BY634" s="1265"/>
      <c r="BZ634" s="1265"/>
      <c r="CA634" s="1265"/>
      <c r="CB634" s="1265"/>
      <c r="CC634" s="1265"/>
      <c r="CD634" s="1265"/>
      <c r="CE634" s="1265"/>
      <c r="CF634" s="1265"/>
      <c r="CG634" s="1265"/>
      <c r="CH634" s="650"/>
      <c r="CI634" s="650"/>
      <c r="CJ634" s="650"/>
      <c r="CK634" s="650"/>
      <c r="CL634" s="650"/>
      <c r="CM634" s="1265"/>
      <c r="CN634" s="1265"/>
      <c r="CO634" s="1265"/>
      <c r="CP634" s="650"/>
      <c r="CQ634" s="650"/>
      <c r="CR634" s="650"/>
      <c r="CS634" s="650"/>
      <c r="CT634" s="650"/>
      <c r="CU634" s="650"/>
    </row>
    <row r="635" s="1265" customFormat="1" ht="31" customHeight="1" spans="1:99">
      <c r="A635" s="641">
        <v>45951</v>
      </c>
      <c r="B635" s="642" t="s">
        <v>2550</v>
      </c>
      <c r="C635" s="246" t="s">
        <v>98</v>
      </c>
      <c r="D635" s="551">
        <v>4500182502</v>
      </c>
      <c r="E635" s="246">
        <v>116986319</v>
      </c>
      <c r="F635" s="551" t="s">
        <v>2551</v>
      </c>
      <c r="G635" s="659" t="s">
        <v>2552</v>
      </c>
      <c r="H635" s="246" t="s">
        <v>477</v>
      </c>
      <c r="I635" s="246">
        <v>9464</v>
      </c>
      <c r="J635" s="246">
        <v>0</v>
      </c>
      <c r="K635" s="246">
        <v>8</v>
      </c>
      <c r="L635" s="644">
        <f t="shared" si="182"/>
        <v>1183</v>
      </c>
      <c r="M635" s="645">
        <v>46017</v>
      </c>
      <c r="N635" s="645">
        <v>46013</v>
      </c>
      <c r="O635" s="643"/>
      <c r="P635" s="824" t="s">
        <v>113</v>
      </c>
      <c r="Q635" s="646"/>
      <c r="R635" s="646">
        <v>45951</v>
      </c>
      <c r="S635" s="646" t="s">
        <v>70</v>
      </c>
      <c r="T635" s="646" t="s">
        <v>70</v>
      </c>
      <c r="U635" s="646"/>
      <c r="V635" s="642"/>
      <c r="W635" s="642"/>
      <c r="X635" s="642" t="s">
        <v>2553</v>
      </c>
      <c r="Y635" s="647" t="s">
        <v>2554</v>
      </c>
      <c r="Z635" s="657">
        <v>4.14</v>
      </c>
      <c r="AA635" s="647">
        <f t="shared" si="185"/>
        <v>39180.96</v>
      </c>
      <c r="AB635" s="551"/>
      <c r="AC635" s="658" t="s">
        <v>2555</v>
      </c>
      <c r="AD635" s="633" t="s">
        <v>2556</v>
      </c>
      <c r="AE635" s="246" t="s">
        <v>82</v>
      </c>
      <c r="AF635" s="246"/>
      <c r="AG635" s="246"/>
      <c r="AH635" s="246">
        <v>1</v>
      </c>
      <c r="AI635" s="246">
        <v>9464</v>
      </c>
      <c r="AJ635" s="643">
        <f t="shared" si="196"/>
        <v>0</v>
      </c>
      <c r="AK635" s="246"/>
      <c r="AL635" s="246"/>
      <c r="AM635" s="551"/>
      <c r="AN635" s="551">
        <f t="shared" si="186"/>
        <v>9464</v>
      </c>
      <c r="AO635" s="551"/>
      <c r="AP635" s="551"/>
      <c r="AQ635" s="551"/>
      <c r="AR635" s="551"/>
      <c r="AS635" s="551"/>
      <c r="AT635" s="551"/>
      <c r="AU635" s="551">
        <f t="shared" ref="AU635:AU640" si="201">I635</f>
        <v>9464</v>
      </c>
      <c r="AV635" s="551"/>
      <c r="AW635" s="551">
        <f t="shared" si="200"/>
        <v>9464</v>
      </c>
      <c r="AX635" s="651"/>
      <c r="AY635" s="551"/>
      <c r="AZ635" s="551">
        <f>I635</f>
        <v>9464</v>
      </c>
      <c r="BA635" s="551"/>
      <c r="BB635" s="551"/>
      <c r="BC635" s="551"/>
      <c r="BD635" s="551"/>
      <c r="BE635" s="551"/>
      <c r="BF635" s="551"/>
      <c r="BG635" s="551"/>
      <c r="BH635" s="551"/>
      <c r="BI635" s="551"/>
      <c r="BJ635" s="551"/>
      <c r="BK635" s="551"/>
      <c r="BL635" s="551"/>
      <c r="BM635" s="551">
        <f>I635</f>
        <v>9464</v>
      </c>
      <c r="BN635" s="551"/>
      <c r="BO635" s="551"/>
      <c r="BP635" s="551"/>
      <c r="BQ635" s="551"/>
      <c r="BR635" s="551"/>
      <c r="BS635" s="551"/>
      <c r="BT635" s="551"/>
      <c r="BU635" s="551"/>
      <c r="BV635" s="551"/>
      <c r="BW635" s="551"/>
      <c r="BX635" s="551"/>
      <c r="BY635" s="551"/>
      <c r="BZ635" s="551"/>
      <c r="CA635" s="551"/>
      <c r="CB635" s="551"/>
      <c r="CC635" s="551"/>
      <c r="CD635" s="551"/>
      <c r="CE635" s="551"/>
      <c r="CF635" s="551"/>
      <c r="CG635" s="551"/>
      <c r="CH635" s="650"/>
      <c r="CI635" s="650"/>
      <c r="CJ635" s="650"/>
      <c r="CK635" s="650"/>
      <c r="CL635" s="650"/>
      <c r="CM635" s="551"/>
      <c r="CN635" s="551"/>
      <c r="CO635" s="551"/>
      <c r="CP635" s="650"/>
      <c r="CQ635" s="650"/>
      <c r="CR635" s="650"/>
      <c r="CS635" s="650"/>
      <c r="CT635" s="650"/>
      <c r="CU635" s="650"/>
    </row>
    <row r="636" s="1265" customFormat="1" ht="31" customHeight="1" spans="1:99">
      <c r="A636" s="641">
        <v>46002</v>
      </c>
      <c r="B636" s="642"/>
      <c r="C636" s="246"/>
      <c r="D636" s="551" t="s">
        <v>2557</v>
      </c>
      <c r="E636" s="246"/>
      <c r="F636" s="551" t="s">
        <v>2558</v>
      </c>
      <c r="G636" s="659" t="s">
        <v>68</v>
      </c>
      <c r="H636" s="633" t="s">
        <v>69</v>
      </c>
      <c r="I636" s="246">
        <v>156</v>
      </c>
      <c r="J636" s="246">
        <v>0</v>
      </c>
      <c r="K636" s="246">
        <v>12</v>
      </c>
      <c r="L636" s="644">
        <f t="shared" si="182"/>
        <v>13</v>
      </c>
      <c r="M636" s="645">
        <v>46017</v>
      </c>
      <c r="N636" s="645">
        <v>46013</v>
      </c>
      <c r="O636" s="643"/>
      <c r="P636" s="824" t="s">
        <v>113</v>
      </c>
      <c r="Q636" s="646"/>
      <c r="R636" s="646"/>
      <c r="S636" s="646"/>
      <c r="T636" s="646"/>
      <c r="U636" s="646"/>
      <c r="V636" s="642"/>
      <c r="W636" s="642"/>
      <c r="X636" s="642" t="s">
        <v>2356</v>
      </c>
      <c r="Y636" s="647"/>
      <c r="Z636" s="657"/>
      <c r="AA636" s="647"/>
      <c r="AB636" s="551"/>
      <c r="AC636" s="658" t="s">
        <v>2559</v>
      </c>
      <c r="AD636" s="633" t="s">
        <v>68</v>
      </c>
      <c r="AE636" s="633" t="s">
        <v>82</v>
      </c>
      <c r="AF636" s="246"/>
      <c r="AG636" s="246"/>
      <c r="AH636" s="246">
        <v>1</v>
      </c>
      <c r="AI636" s="246">
        <v>156</v>
      </c>
      <c r="AJ636" s="643"/>
      <c r="AK636" s="246"/>
      <c r="AL636" s="246"/>
      <c r="AM636" s="551"/>
      <c r="AN636" s="551">
        <f t="shared" si="186"/>
        <v>156</v>
      </c>
      <c r="AO636" s="551"/>
      <c r="AP636" s="551"/>
      <c r="AQ636" s="551"/>
      <c r="AR636" s="551">
        <f>I636</f>
        <v>156</v>
      </c>
      <c r="AS636" s="551"/>
      <c r="AT636" s="551"/>
      <c r="AU636" s="551">
        <f t="shared" si="201"/>
        <v>156</v>
      </c>
      <c r="AV636" s="551"/>
      <c r="AW636" s="551">
        <f t="shared" si="200"/>
        <v>156</v>
      </c>
      <c r="AX636" s="651"/>
      <c r="AY636" s="551"/>
      <c r="AZ636" s="551"/>
      <c r="BA636" s="551"/>
      <c r="BB636" s="551"/>
      <c r="BC636" s="551"/>
      <c r="BD636" s="551"/>
      <c r="BE636" s="551"/>
      <c r="BF636" s="551"/>
      <c r="BG636" s="551"/>
      <c r="BH636" s="551"/>
      <c r="BI636" s="551"/>
      <c r="BJ636" s="551"/>
      <c r="BK636" s="551"/>
      <c r="BL636" s="551"/>
      <c r="BM636" s="551"/>
      <c r="BN636" s="551"/>
      <c r="BO636" s="551"/>
      <c r="BP636" s="551"/>
      <c r="BQ636" s="551"/>
      <c r="BR636" s="551"/>
      <c r="BS636" s="551"/>
      <c r="BT636" s="551"/>
      <c r="BU636" s="551"/>
      <c r="BV636" s="551"/>
      <c r="BW636" s="551"/>
      <c r="BX636" s="551"/>
      <c r="BY636" s="551"/>
      <c r="BZ636" s="551"/>
      <c r="CA636" s="551"/>
      <c r="CB636" s="551"/>
      <c r="CC636" s="551"/>
      <c r="CD636" s="551"/>
      <c r="CE636" s="551"/>
      <c r="CF636" s="551"/>
      <c r="CG636" s="551"/>
      <c r="CH636" s="650"/>
      <c r="CI636" s="650"/>
      <c r="CJ636" s="650"/>
      <c r="CK636" s="650"/>
      <c r="CL636" s="650"/>
      <c r="CM636" s="551"/>
      <c r="CN636" s="551"/>
      <c r="CO636" s="551"/>
      <c r="CP636" s="650"/>
      <c r="CQ636" s="650"/>
      <c r="CR636" s="650"/>
      <c r="CS636" s="650"/>
      <c r="CT636" s="650"/>
      <c r="CU636" s="650"/>
    </row>
    <row r="637" s="1265" customFormat="1" ht="31" customHeight="1" spans="1:99">
      <c r="A637" s="641">
        <v>45978</v>
      </c>
      <c r="B637" s="642" t="s">
        <v>404</v>
      </c>
      <c r="C637" s="246" t="s">
        <v>278</v>
      </c>
      <c r="D637" s="551">
        <v>4500185851</v>
      </c>
      <c r="E637" s="246">
        <v>196069</v>
      </c>
      <c r="F637" s="551" t="s">
        <v>2560</v>
      </c>
      <c r="G637" s="659" t="s">
        <v>68</v>
      </c>
      <c r="H637" s="633" t="s">
        <v>69</v>
      </c>
      <c r="I637" s="246">
        <v>708</v>
      </c>
      <c r="J637" s="246">
        <v>0</v>
      </c>
      <c r="K637" s="246">
        <v>12</v>
      </c>
      <c r="L637" s="644">
        <f t="shared" si="182"/>
        <v>59</v>
      </c>
      <c r="M637" s="645">
        <v>46020</v>
      </c>
      <c r="N637" s="645">
        <v>46016</v>
      </c>
      <c r="O637" s="643"/>
      <c r="P637" s="824" t="s">
        <v>113</v>
      </c>
      <c r="Q637" s="646"/>
      <c r="R637" s="646">
        <v>45978</v>
      </c>
      <c r="S637" s="646" t="s">
        <v>70</v>
      </c>
      <c r="T637" s="646" t="s">
        <v>70</v>
      </c>
      <c r="U637" s="646"/>
      <c r="V637" s="642"/>
      <c r="W637" s="642"/>
      <c r="X637" s="642" t="s">
        <v>2561</v>
      </c>
      <c r="Y637" s="647" t="s">
        <v>505</v>
      </c>
      <c r="Z637" s="657">
        <v>4.1623</v>
      </c>
      <c r="AA637" s="647">
        <f t="shared" ref="AA637:AA649" si="202">Z637*I637</f>
        <v>2946.9084</v>
      </c>
      <c r="AB637" s="551"/>
      <c r="AC637" s="648" t="s">
        <v>2562</v>
      </c>
      <c r="AD637" s="633" t="s">
        <v>68</v>
      </c>
      <c r="AE637" s="246" t="s">
        <v>82</v>
      </c>
      <c r="AF637" s="246"/>
      <c r="AG637" s="246"/>
      <c r="AH637" s="246">
        <v>1</v>
      </c>
      <c r="AI637" s="246">
        <v>708</v>
      </c>
      <c r="AJ637" s="643">
        <f>AI637-I637</f>
        <v>0</v>
      </c>
      <c r="AK637" s="246"/>
      <c r="AL637" s="246"/>
      <c r="AM637" s="551"/>
      <c r="AN637" s="551">
        <f t="shared" si="186"/>
        <v>708</v>
      </c>
      <c r="AO637" s="551"/>
      <c r="AP637" s="551"/>
      <c r="AQ637" s="551"/>
      <c r="AR637" s="551">
        <f t="shared" ref="AR637:AR644" si="203">I637</f>
        <v>708</v>
      </c>
      <c r="AS637" s="551"/>
      <c r="AT637" s="551"/>
      <c r="AU637" s="551">
        <f t="shared" si="201"/>
        <v>708</v>
      </c>
      <c r="AV637" s="551"/>
      <c r="AW637" s="551">
        <f t="shared" si="200"/>
        <v>708</v>
      </c>
      <c r="AX637" s="651"/>
      <c r="AY637" s="551"/>
      <c r="AZ637" s="551"/>
      <c r="BA637" s="551"/>
      <c r="BB637" s="551"/>
      <c r="BC637" s="551"/>
      <c r="BD637" s="551"/>
      <c r="BE637" s="551"/>
      <c r="BF637" s="551"/>
      <c r="BG637" s="551"/>
      <c r="BH637" s="551"/>
      <c r="BI637" s="551"/>
      <c r="BJ637" s="551"/>
      <c r="BK637" s="551"/>
      <c r="BL637" s="551"/>
      <c r="BM637" s="551"/>
      <c r="BN637" s="551"/>
      <c r="BO637" s="551"/>
      <c r="BP637" s="551"/>
      <c r="BQ637" s="551"/>
      <c r="BR637" s="551"/>
      <c r="BS637" s="551"/>
      <c r="BT637" s="551"/>
      <c r="BU637" s="551"/>
      <c r="BV637" s="551"/>
      <c r="BW637" s="551"/>
      <c r="BX637" s="551"/>
      <c r="BY637" s="551"/>
      <c r="BZ637" s="551"/>
      <c r="CA637" s="551"/>
      <c r="CB637" s="551"/>
      <c r="CC637" s="551"/>
      <c r="CD637" s="551"/>
      <c r="CE637" s="551"/>
      <c r="CF637" s="551"/>
      <c r="CG637" s="551"/>
      <c r="CH637" s="650"/>
      <c r="CI637" s="650"/>
      <c r="CJ637" s="650"/>
      <c r="CK637" s="650"/>
      <c r="CL637" s="650"/>
      <c r="CM637" s="551"/>
      <c r="CN637" s="551"/>
      <c r="CO637" s="551"/>
      <c r="CP637" s="650"/>
      <c r="CQ637" s="650"/>
      <c r="CR637" s="650"/>
      <c r="CS637" s="650"/>
      <c r="CT637" s="650"/>
      <c r="CU637" s="650"/>
    </row>
    <row r="638" s="1265" customFormat="1" ht="31" customHeight="1" spans="1:99">
      <c r="A638" s="641">
        <v>45978</v>
      </c>
      <c r="B638" s="642" t="s">
        <v>139</v>
      </c>
      <c r="C638" s="246" t="s">
        <v>76</v>
      </c>
      <c r="D638" s="551">
        <v>4500185865</v>
      </c>
      <c r="E638" s="246">
        <v>21201496</v>
      </c>
      <c r="F638" s="551" t="s">
        <v>2563</v>
      </c>
      <c r="G638" s="659" t="s">
        <v>68</v>
      </c>
      <c r="H638" s="633" t="s">
        <v>69</v>
      </c>
      <c r="I638" s="704">
        <v>120</v>
      </c>
      <c r="J638" s="246">
        <v>0</v>
      </c>
      <c r="K638" s="246">
        <v>12</v>
      </c>
      <c r="L638" s="644">
        <f t="shared" si="182"/>
        <v>10</v>
      </c>
      <c r="M638" s="645">
        <v>46020</v>
      </c>
      <c r="N638" s="645">
        <v>46016</v>
      </c>
      <c r="O638" s="643"/>
      <c r="P638" s="824" t="s">
        <v>113</v>
      </c>
      <c r="Q638" s="646"/>
      <c r="R638" s="646">
        <v>45989</v>
      </c>
      <c r="S638" s="646" t="s">
        <v>104</v>
      </c>
      <c r="T638" s="646" t="s">
        <v>2564</v>
      </c>
      <c r="U638" s="646"/>
      <c r="V638" s="642"/>
      <c r="W638" s="642"/>
      <c r="X638" s="749" t="s">
        <v>2565</v>
      </c>
      <c r="Y638" s="647" t="s">
        <v>133</v>
      </c>
      <c r="Z638" s="657">
        <v>4.2552</v>
      </c>
      <c r="AA638" s="647">
        <f t="shared" si="202"/>
        <v>510.624</v>
      </c>
      <c r="AB638" s="551"/>
      <c r="AC638" s="658" t="s">
        <v>2566</v>
      </c>
      <c r="AD638" s="633" t="s">
        <v>68</v>
      </c>
      <c r="AE638" s="246" t="s">
        <v>82</v>
      </c>
      <c r="AF638" s="246"/>
      <c r="AG638" s="246"/>
      <c r="AH638" s="246">
        <v>1</v>
      </c>
      <c r="AI638" s="246">
        <f>108+12</f>
        <v>120</v>
      </c>
      <c r="AJ638" s="643">
        <f>AI638-I638</f>
        <v>0</v>
      </c>
      <c r="AK638" s="246"/>
      <c r="AL638" s="246" t="s">
        <v>2368</v>
      </c>
      <c r="AM638" s="551"/>
      <c r="AN638" s="551">
        <f t="shared" si="186"/>
        <v>120</v>
      </c>
      <c r="AO638" s="551"/>
      <c r="AP638" s="551"/>
      <c r="AQ638" s="551"/>
      <c r="AR638" s="551">
        <f t="shared" si="203"/>
        <v>120</v>
      </c>
      <c r="AS638" s="551"/>
      <c r="AT638" s="551"/>
      <c r="AU638" s="551">
        <f t="shared" si="201"/>
        <v>120</v>
      </c>
      <c r="AV638" s="551"/>
      <c r="AW638" s="551">
        <f t="shared" ref="AW637:AW645" si="204">I638</f>
        <v>120</v>
      </c>
      <c r="AX638" s="651"/>
      <c r="AY638" s="551"/>
      <c r="AZ638" s="551"/>
      <c r="BA638" s="551"/>
      <c r="BB638" s="551"/>
      <c r="BC638" s="551"/>
      <c r="BD638" s="551"/>
      <c r="BE638" s="551"/>
      <c r="BF638" s="551"/>
      <c r="BG638" s="551"/>
      <c r="BH638" s="551"/>
      <c r="BI638" s="551"/>
      <c r="BJ638" s="551"/>
      <c r="BK638" s="551"/>
      <c r="BL638" s="551"/>
      <c r="BM638" s="551"/>
      <c r="BN638" s="551"/>
      <c r="BO638" s="551"/>
      <c r="BP638" s="551"/>
      <c r="BQ638" s="551"/>
      <c r="BR638" s="551"/>
      <c r="BS638" s="551"/>
      <c r="BT638" s="551"/>
      <c r="BU638" s="551"/>
      <c r="BV638" s="551"/>
      <c r="BW638" s="551"/>
      <c r="BX638" s="551"/>
      <c r="BY638" s="551"/>
      <c r="BZ638" s="551"/>
      <c r="CA638" s="551"/>
      <c r="CB638" s="551"/>
      <c r="CC638" s="551"/>
      <c r="CD638" s="551"/>
      <c r="CE638" s="551"/>
      <c r="CF638" s="551"/>
      <c r="CG638" s="551"/>
      <c r="CH638" s="650"/>
      <c r="CI638" s="650"/>
      <c r="CJ638" s="650"/>
      <c r="CK638" s="650"/>
      <c r="CL638" s="650"/>
      <c r="CM638" s="551"/>
      <c r="CN638" s="551"/>
      <c r="CO638" s="551"/>
      <c r="CP638" s="650"/>
      <c r="CQ638" s="650"/>
      <c r="CR638" s="650"/>
      <c r="CS638" s="650"/>
      <c r="CT638" s="650"/>
      <c r="CU638" s="650"/>
    </row>
    <row r="639" s="1265" customFormat="1" ht="31" customHeight="1" spans="1:99">
      <c r="A639" s="641">
        <v>45978</v>
      </c>
      <c r="B639" s="642" t="s">
        <v>135</v>
      </c>
      <c r="C639" s="246" t="s">
        <v>128</v>
      </c>
      <c r="D639" s="551">
        <v>4500185863</v>
      </c>
      <c r="E639" s="246">
        <v>21201491</v>
      </c>
      <c r="F639" s="551" t="s">
        <v>2567</v>
      </c>
      <c r="G639" s="659" t="s">
        <v>68</v>
      </c>
      <c r="H639" s="633" t="s">
        <v>69</v>
      </c>
      <c r="I639" s="704">
        <v>1380</v>
      </c>
      <c r="J639" s="246">
        <v>0</v>
      </c>
      <c r="K639" s="246">
        <v>12</v>
      </c>
      <c r="L639" s="644">
        <f t="shared" si="182"/>
        <v>115</v>
      </c>
      <c r="M639" s="645">
        <v>46020</v>
      </c>
      <c r="N639" s="645">
        <v>46016</v>
      </c>
      <c r="O639" s="643"/>
      <c r="P639" s="824" t="s">
        <v>113</v>
      </c>
      <c r="Q639" s="646"/>
      <c r="R639" s="646">
        <v>45989</v>
      </c>
      <c r="S639" s="646" t="s">
        <v>104</v>
      </c>
      <c r="T639" s="646" t="s">
        <v>2564</v>
      </c>
      <c r="U639" s="646"/>
      <c r="V639" s="642"/>
      <c r="W639" s="642"/>
      <c r="X639" s="749" t="s">
        <v>2568</v>
      </c>
      <c r="Y639" s="647" t="s">
        <v>133</v>
      </c>
      <c r="Z639" s="657">
        <v>4.1185</v>
      </c>
      <c r="AA639" s="647">
        <f t="shared" si="202"/>
        <v>5683.53</v>
      </c>
      <c r="AB639" s="551"/>
      <c r="AC639" s="658" t="s">
        <v>2569</v>
      </c>
      <c r="AD639" s="633" t="s">
        <v>68</v>
      </c>
      <c r="AE639" s="246" t="s">
        <v>82</v>
      </c>
      <c r="AF639" s="246"/>
      <c r="AG639" s="246"/>
      <c r="AH639" s="246">
        <v>1</v>
      </c>
      <c r="AI639" s="246">
        <f>1344+36</f>
        <v>1380</v>
      </c>
      <c r="AJ639" s="643">
        <f>AI639-I639</f>
        <v>0</v>
      </c>
      <c r="AK639" s="246"/>
      <c r="AL639" s="246" t="s">
        <v>2368</v>
      </c>
      <c r="AM639" s="551"/>
      <c r="AN639" s="551">
        <f t="shared" si="186"/>
        <v>1380</v>
      </c>
      <c r="AO639" s="551"/>
      <c r="AP639" s="551"/>
      <c r="AQ639" s="551"/>
      <c r="AR639" s="551">
        <f t="shared" si="203"/>
        <v>1380</v>
      </c>
      <c r="AS639" s="551"/>
      <c r="AT639" s="551"/>
      <c r="AU639" s="551">
        <f t="shared" si="201"/>
        <v>1380</v>
      </c>
      <c r="AV639" s="551"/>
      <c r="AW639" s="551">
        <f t="shared" si="204"/>
        <v>1380</v>
      </c>
      <c r="AX639" s="651"/>
      <c r="AY639" s="551"/>
      <c r="AZ639" s="551"/>
      <c r="BA639" s="551"/>
      <c r="BB639" s="551"/>
      <c r="BC639" s="551"/>
      <c r="BD639" s="551"/>
      <c r="BE639" s="551"/>
      <c r="BF639" s="551"/>
      <c r="BG639" s="551"/>
      <c r="BH639" s="551"/>
      <c r="BI639" s="551"/>
      <c r="BJ639" s="551"/>
      <c r="BK639" s="551"/>
      <c r="BL639" s="551"/>
      <c r="BM639" s="551"/>
      <c r="BN639" s="551"/>
      <c r="BO639" s="551"/>
      <c r="BP639" s="551"/>
      <c r="BQ639" s="551"/>
      <c r="BR639" s="551"/>
      <c r="BS639" s="551"/>
      <c r="BT639" s="551"/>
      <c r="BU639" s="551"/>
      <c r="BV639" s="551"/>
      <c r="BW639" s="551"/>
      <c r="BX639" s="551"/>
      <c r="BY639" s="551"/>
      <c r="BZ639" s="551"/>
      <c r="CA639" s="551"/>
      <c r="CB639" s="551"/>
      <c r="CC639" s="551"/>
      <c r="CD639" s="551"/>
      <c r="CE639" s="551"/>
      <c r="CF639" s="551"/>
      <c r="CG639" s="551"/>
      <c r="CH639" s="650"/>
      <c r="CI639" s="650"/>
      <c r="CJ639" s="650"/>
      <c r="CK639" s="650"/>
      <c r="CL639" s="650"/>
      <c r="CM639" s="551"/>
      <c r="CN639" s="551"/>
      <c r="CO639" s="551"/>
      <c r="CP639" s="650"/>
      <c r="CQ639" s="650"/>
      <c r="CR639" s="650"/>
      <c r="CS639" s="650"/>
      <c r="CT639" s="650"/>
      <c r="CU639" s="650"/>
    </row>
    <row r="640" s="1265" customFormat="1" ht="31" customHeight="1" spans="1:99">
      <c r="A640" s="641">
        <v>45979</v>
      </c>
      <c r="B640" s="642" t="s">
        <v>225</v>
      </c>
      <c r="C640" s="246" t="s">
        <v>226</v>
      </c>
      <c r="D640" s="551">
        <v>4500184690</v>
      </c>
      <c r="E640" s="246" t="s">
        <v>2570</v>
      </c>
      <c r="F640" s="551" t="s">
        <v>2571</v>
      </c>
      <c r="G640" s="659" t="s">
        <v>68</v>
      </c>
      <c r="H640" s="633" t="s">
        <v>69</v>
      </c>
      <c r="I640" s="246">
        <v>3000</v>
      </c>
      <c r="J640" s="246">
        <v>0</v>
      </c>
      <c r="K640" s="246">
        <v>12</v>
      </c>
      <c r="L640" s="644">
        <f t="shared" si="182"/>
        <v>250</v>
      </c>
      <c r="M640" s="645">
        <v>46020</v>
      </c>
      <c r="N640" s="645">
        <v>46016</v>
      </c>
      <c r="O640" s="643"/>
      <c r="P640" s="824" t="s">
        <v>113</v>
      </c>
      <c r="Q640" s="646"/>
      <c r="R640" s="646">
        <v>45967</v>
      </c>
      <c r="S640" s="646" t="s">
        <v>70</v>
      </c>
      <c r="T640" s="646" t="s">
        <v>2572</v>
      </c>
      <c r="U640" s="646"/>
      <c r="V640" s="642"/>
      <c r="W640" s="642"/>
      <c r="X640" s="642" t="s">
        <v>2573</v>
      </c>
      <c r="Y640" s="647" t="s">
        <v>230</v>
      </c>
      <c r="Z640" s="657">
        <v>4.1569</v>
      </c>
      <c r="AA640" s="647">
        <f t="shared" si="202"/>
        <v>12470.7</v>
      </c>
      <c r="AB640" s="551"/>
      <c r="AC640" s="648" t="s">
        <v>2574</v>
      </c>
      <c r="AD640" s="633" t="s">
        <v>68</v>
      </c>
      <c r="AE640" s="246" t="s">
        <v>82</v>
      </c>
      <c r="AF640" s="246"/>
      <c r="AG640" s="246"/>
      <c r="AH640" s="246">
        <v>1</v>
      </c>
      <c r="AI640" s="246">
        <v>3000</v>
      </c>
      <c r="AJ640" s="643">
        <f>AI640-I640</f>
        <v>0</v>
      </c>
      <c r="AK640" s="246"/>
      <c r="AL640" s="246" t="s">
        <v>2368</v>
      </c>
      <c r="AM640" s="551"/>
      <c r="AN640" s="551">
        <f t="shared" si="186"/>
        <v>3000</v>
      </c>
      <c r="AO640" s="551"/>
      <c r="AP640" s="551"/>
      <c r="AQ640" s="551"/>
      <c r="AR640" s="551">
        <f t="shared" si="203"/>
        <v>3000</v>
      </c>
      <c r="AS640" s="551"/>
      <c r="AT640" s="551"/>
      <c r="AU640" s="551">
        <f t="shared" si="201"/>
        <v>3000</v>
      </c>
      <c r="AV640" s="551"/>
      <c r="AW640" s="551">
        <f t="shared" si="204"/>
        <v>3000</v>
      </c>
      <c r="AX640" s="651"/>
      <c r="AY640" s="551"/>
      <c r="AZ640" s="551"/>
      <c r="BA640" s="551"/>
      <c r="BB640" s="551"/>
      <c r="BC640" s="551"/>
      <c r="BD640" s="551"/>
      <c r="BE640" s="551"/>
      <c r="BF640" s="551"/>
      <c r="BG640" s="551"/>
      <c r="BH640" s="551"/>
      <c r="BI640" s="551"/>
      <c r="BJ640" s="551"/>
      <c r="BK640" s="551"/>
      <c r="BL640" s="551"/>
      <c r="BM640" s="551"/>
      <c r="BN640" s="551"/>
      <c r="BO640" s="551"/>
      <c r="BP640" s="551"/>
      <c r="BQ640" s="551"/>
      <c r="BR640" s="551"/>
      <c r="BS640" s="551"/>
      <c r="BT640" s="551"/>
      <c r="BU640" s="551"/>
      <c r="BV640" s="551"/>
      <c r="BW640" s="551"/>
      <c r="BX640" s="551"/>
      <c r="BY640" s="551"/>
      <c r="BZ640" s="551"/>
      <c r="CA640" s="551"/>
      <c r="CB640" s="551"/>
      <c r="CC640" s="551"/>
      <c r="CD640" s="551"/>
      <c r="CE640" s="551"/>
      <c r="CF640" s="551"/>
      <c r="CG640" s="551"/>
      <c r="CH640" s="650"/>
      <c r="CI640" s="650"/>
      <c r="CJ640" s="650"/>
      <c r="CK640" s="650"/>
      <c r="CL640" s="650"/>
      <c r="CM640" s="551"/>
      <c r="CN640" s="551"/>
      <c r="CO640" s="551"/>
      <c r="CP640" s="650"/>
      <c r="CQ640" s="650"/>
      <c r="CR640" s="650"/>
      <c r="CS640" s="650"/>
      <c r="CT640" s="650"/>
      <c r="CU640" s="650"/>
    </row>
    <row r="641" s="1265" customFormat="1" ht="31" customHeight="1" spans="1:99">
      <c r="A641" s="641">
        <v>45952</v>
      </c>
      <c r="B641" s="642" t="s">
        <v>2575</v>
      </c>
      <c r="C641" s="246" t="s">
        <v>98</v>
      </c>
      <c r="D641" s="551">
        <v>4500182775</v>
      </c>
      <c r="E641" s="246" t="s">
        <v>2576</v>
      </c>
      <c r="F641" s="551" t="s">
        <v>2577</v>
      </c>
      <c r="G641" s="659" t="s">
        <v>111</v>
      </c>
      <c r="H641" s="246" t="s">
        <v>112</v>
      </c>
      <c r="I641" s="704">
        <v>432</v>
      </c>
      <c r="J641" s="246">
        <v>0</v>
      </c>
      <c r="K641" s="246">
        <v>16</v>
      </c>
      <c r="L641" s="644">
        <f t="shared" si="182"/>
        <v>27</v>
      </c>
      <c r="M641" s="645">
        <v>46020</v>
      </c>
      <c r="N641" s="645">
        <v>46016</v>
      </c>
      <c r="O641" s="643"/>
      <c r="P641" s="824" t="s">
        <v>113</v>
      </c>
      <c r="Q641" s="646"/>
      <c r="R641" s="646">
        <v>45965</v>
      </c>
      <c r="S641" s="646" t="s">
        <v>104</v>
      </c>
      <c r="T641" s="646" t="s">
        <v>2578</v>
      </c>
      <c r="U641" s="646"/>
      <c r="V641" s="642"/>
      <c r="W641" s="642"/>
      <c r="X641" s="642" t="s">
        <v>2579</v>
      </c>
      <c r="Y641" s="647" t="s">
        <v>882</v>
      </c>
      <c r="Z641" s="657">
        <v>2.5727</v>
      </c>
      <c r="AA641" s="647">
        <f t="shared" si="202"/>
        <v>1111.4064</v>
      </c>
      <c r="AB641" s="551"/>
      <c r="AC641" s="648"/>
      <c r="AD641" s="633" t="s">
        <v>111</v>
      </c>
      <c r="AE641" s="246" t="s">
        <v>82</v>
      </c>
      <c r="AF641" s="246"/>
      <c r="AG641" s="246"/>
      <c r="AH641" s="246">
        <v>1</v>
      </c>
      <c r="AI641" s="246">
        <f>416+16</f>
        <v>432</v>
      </c>
      <c r="AJ641" s="643">
        <f t="shared" ref="AJ641:AJ654" si="205">AI641-I641</f>
        <v>0</v>
      </c>
      <c r="AK641" s="246"/>
      <c r="AL641" s="246"/>
      <c r="AM641" s="551"/>
      <c r="AN641" s="551">
        <f t="shared" ref="AN641:AN663" si="206">I641</f>
        <v>432</v>
      </c>
      <c r="AO641" s="551"/>
      <c r="AP641" s="551"/>
      <c r="AQ641" s="551"/>
      <c r="AR641" s="551">
        <f t="shared" si="203"/>
        <v>432</v>
      </c>
      <c r="AS641" s="551"/>
      <c r="AT641" s="551"/>
      <c r="AU641" s="551">
        <f t="shared" ref="AU641:AU648" si="207">I641</f>
        <v>432</v>
      </c>
      <c r="AV641" s="551"/>
      <c r="AW641" s="551">
        <f t="shared" si="204"/>
        <v>432</v>
      </c>
      <c r="AX641" s="651"/>
      <c r="AY641" s="551"/>
      <c r="AZ641" s="551"/>
      <c r="BA641" s="551"/>
      <c r="BB641" s="551"/>
      <c r="BC641" s="551"/>
      <c r="BD641" s="551"/>
      <c r="BE641" s="551"/>
      <c r="BF641" s="551"/>
      <c r="BG641" s="551"/>
      <c r="BH641" s="825">
        <f>I641/4</f>
        <v>108</v>
      </c>
      <c r="BI641" s="551"/>
      <c r="BJ641" s="551"/>
      <c r="BK641" s="551"/>
      <c r="BL641" s="551"/>
      <c r="BM641" s="551"/>
      <c r="BN641" s="551"/>
      <c r="BO641" s="551"/>
      <c r="BP641" s="551"/>
      <c r="BQ641" s="551"/>
      <c r="BR641" s="551"/>
      <c r="BS641" s="551"/>
      <c r="BT641" s="551"/>
      <c r="BU641" s="551"/>
      <c r="BV641" s="551"/>
      <c r="BW641" s="551"/>
      <c r="BX641" s="551"/>
      <c r="BY641" s="551"/>
      <c r="BZ641" s="551"/>
      <c r="CA641" s="551"/>
      <c r="CB641" s="551"/>
      <c r="CC641" s="551"/>
      <c r="CD641" s="551"/>
      <c r="CE641" s="551"/>
      <c r="CF641" s="551"/>
      <c r="CG641" s="551"/>
      <c r="CH641" s="650"/>
      <c r="CI641" s="650"/>
      <c r="CJ641" s="650"/>
      <c r="CK641" s="650"/>
      <c r="CL641" s="650"/>
      <c r="CM641" s="551"/>
      <c r="CN641" s="551"/>
      <c r="CO641" s="551"/>
      <c r="CP641" s="650"/>
      <c r="CQ641" s="650"/>
      <c r="CR641" s="650"/>
      <c r="CS641" s="650"/>
      <c r="CT641" s="650"/>
      <c r="CU641" s="650"/>
    </row>
    <row r="642" s="1265" customFormat="1" ht="31" customHeight="1" spans="1:99">
      <c r="A642" s="641">
        <v>45940</v>
      </c>
      <c r="B642" s="642" t="s">
        <v>143</v>
      </c>
      <c r="C642" s="246" t="s">
        <v>98</v>
      </c>
      <c r="D642" s="551">
        <v>4500181327</v>
      </c>
      <c r="E642" s="1415" t="s">
        <v>2580</v>
      </c>
      <c r="F642" s="551" t="s">
        <v>2581</v>
      </c>
      <c r="G642" s="659" t="s">
        <v>101</v>
      </c>
      <c r="H642" s="246" t="s">
        <v>102</v>
      </c>
      <c r="I642" s="246">
        <v>4480</v>
      </c>
      <c r="J642" s="246">
        <v>0</v>
      </c>
      <c r="K642" s="246">
        <v>4</v>
      </c>
      <c r="L642" s="644">
        <f t="shared" ref="L642:L651" si="208">I642/K642</f>
        <v>1120</v>
      </c>
      <c r="M642" s="645">
        <v>46021</v>
      </c>
      <c r="N642" s="645">
        <v>46017</v>
      </c>
      <c r="O642" s="643"/>
      <c r="P642" s="824" t="s">
        <v>113</v>
      </c>
      <c r="Q642" s="646"/>
      <c r="R642" s="646" t="s">
        <v>2184</v>
      </c>
      <c r="S642" s="646" t="s">
        <v>70</v>
      </c>
      <c r="T642" s="646" t="s">
        <v>148</v>
      </c>
      <c r="U642" s="646"/>
      <c r="V642" s="646"/>
      <c r="W642" s="642"/>
      <c r="X642" s="642" t="s">
        <v>1395</v>
      </c>
      <c r="Y642" s="647" t="s">
        <v>106</v>
      </c>
      <c r="Z642" s="657">
        <v>2.5537</v>
      </c>
      <c r="AA642" s="647">
        <f t="shared" si="202"/>
        <v>11440.576</v>
      </c>
      <c r="AB642" s="551"/>
      <c r="AC642" s="658" t="s">
        <v>2582</v>
      </c>
      <c r="AD642" s="633" t="s">
        <v>101</v>
      </c>
      <c r="AE642" s="246" t="s">
        <v>82</v>
      </c>
      <c r="AF642" s="246"/>
      <c r="AG642" s="246"/>
      <c r="AH642" s="246">
        <v>1</v>
      </c>
      <c r="AI642" s="246">
        <v>4480</v>
      </c>
      <c r="AJ642" s="246">
        <f t="shared" si="205"/>
        <v>0</v>
      </c>
      <c r="AK642" s="246"/>
      <c r="AL642" s="246"/>
      <c r="AM642" s="551"/>
      <c r="AN642" s="551">
        <f t="shared" si="206"/>
        <v>4480</v>
      </c>
      <c r="AO642" s="551"/>
      <c r="AP642" s="551"/>
      <c r="AQ642" s="551"/>
      <c r="AR642" s="551">
        <f t="shared" si="203"/>
        <v>4480</v>
      </c>
      <c r="AS642" s="551"/>
      <c r="AT642" s="551"/>
      <c r="AU642" s="551">
        <f t="shared" si="207"/>
        <v>4480</v>
      </c>
      <c r="AV642" s="551"/>
      <c r="AW642" s="551">
        <f t="shared" si="204"/>
        <v>4480</v>
      </c>
      <c r="AX642" s="651"/>
      <c r="AY642" s="551"/>
      <c r="AZ642" s="551"/>
      <c r="BA642" s="551"/>
      <c r="BB642" s="551"/>
      <c r="BC642" s="551"/>
      <c r="BD642" s="551"/>
      <c r="BE642" s="551"/>
      <c r="BF642" s="551"/>
      <c r="BG642" s="551" t="s">
        <v>2583</v>
      </c>
      <c r="BH642" s="825">
        <f>I642/4</f>
        <v>1120</v>
      </c>
      <c r="BI642" s="551"/>
      <c r="BJ642" s="551"/>
      <c r="BK642" s="551"/>
      <c r="BL642" s="551"/>
      <c r="BM642" s="551"/>
      <c r="BN642" s="551"/>
      <c r="BO642" s="551"/>
      <c r="BP642" s="551"/>
      <c r="BQ642" s="551"/>
      <c r="BR642" s="551"/>
      <c r="BS642" s="551"/>
      <c r="BT642" s="551"/>
      <c r="BU642" s="551"/>
      <c r="BV642" s="551"/>
      <c r="BW642" s="551"/>
      <c r="BX642" s="551"/>
      <c r="BY642" s="551"/>
      <c r="BZ642" s="551"/>
      <c r="CA642" s="551"/>
      <c r="CB642" s="551"/>
      <c r="CC642" s="551"/>
      <c r="CD642" s="551"/>
      <c r="CE642" s="551"/>
      <c r="CF642" s="551"/>
      <c r="CG642" s="551"/>
      <c r="CH642" s="650"/>
      <c r="CI642" s="650"/>
      <c r="CJ642" s="650"/>
      <c r="CK642" s="650"/>
      <c r="CL642" s="650"/>
      <c r="CM642" s="551"/>
      <c r="CN642" s="551"/>
      <c r="CO642" s="551"/>
      <c r="CP642" s="650"/>
      <c r="CQ642" s="650"/>
      <c r="CR642" s="650"/>
      <c r="CS642" s="650"/>
      <c r="CT642" s="650"/>
      <c r="CU642" s="650"/>
    </row>
    <row r="643" s="1265" customFormat="1" ht="31" customHeight="1" spans="1:99">
      <c r="A643" s="641">
        <v>45940</v>
      </c>
      <c r="B643" s="642" t="s">
        <v>143</v>
      </c>
      <c r="C643" s="246" t="s">
        <v>98</v>
      </c>
      <c r="D643" s="551">
        <v>4500181327</v>
      </c>
      <c r="E643" s="1415" t="s">
        <v>2584</v>
      </c>
      <c r="F643" s="551" t="s">
        <v>2585</v>
      </c>
      <c r="G643" s="659" t="s">
        <v>101</v>
      </c>
      <c r="H643" s="246" t="s">
        <v>102</v>
      </c>
      <c r="I643" s="246">
        <v>2240</v>
      </c>
      <c r="J643" s="246">
        <v>0</v>
      </c>
      <c r="K643" s="246">
        <v>4</v>
      </c>
      <c r="L643" s="644">
        <f t="shared" si="208"/>
        <v>560</v>
      </c>
      <c r="M643" s="645">
        <v>46021</v>
      </c>
      <c r="N643" s="645">
        <v>46017</v>
      </c>
      <c r="O643" s="643"/>
      <c r="P643" s="824" t="s">
        <v>113</v>
      </c>
      <c r="Q643" s="646"/>
      <c r="R643" s="646" t="s">
        <v>2184</v>
      </c>
      <c r="S643" s="646" t="s">
        <v>70</v>
      </c>
      <c r="T643" s="646" t="s">
        <v>148</v>
      </c>
      <c r="U643" s="646"/>
      <c r="V643" s="646"/>
      <c r="W643" s="642"/>
      <c r="X643" s="642" t="s">
        <v>1395</v>
      </c>
      <c r="Y643" s="647" t="s">
        <v>106</v>
      </c>
      <c r="Z643" s="657">
        <v>2.5537</v>
      </c>
      <c r="AA643" s="647">
        <f t="shared" si="202"/>
        <v>5720.288</v>
      </c>
      <c r="AB643" s="551"/>
      <c r="AC643" s="698" t="s">
        <v>2586</v>
      </c>
      <c r="AD643" s="633" t="s">
        <v>101</v>
      </c>
      <c r="AE643" s="246" t="s">
        <v>82</v>
      </c>
      <c r="AF643" s="246"/>
      <c r="AG643" s="246"/>
      <c r="AH643" s="246">
        <v>1</v>
      </c>
      <c r="AI643" s="246">
        <v>2240</v>
      </c>
      <c r="AJ643" s="246">
        <f t="shared" si="205"/>
        <v>0</v>
      </c>
      <c r="AK643" s="246"/>
      <c r="AL643" s="246"/>
      <c r="AM643" s="551"/>
      <c r="AN643" s="551">
        <f t="shared" si="206"/>
        <v>2240</v>
      </c>
      <c r="AO643" s="551"/>
      <c r="AP643" s="551"/>
      <c r="AQ643" s="551"/>
      <c r="AR643" s="551">
        <f t="shared" si="203"/>
        <v>2240</v>
      </c>
      <c r="AS643" s="551"/>
      <c r="AT643" s="551"/>
      <c r="AU643" s="551">
        <f t="shared" si="207"/>
        <v>2240</v>
      </c>
      <c r="AV643" s="551"/>
      <c r="AW643" s="551">
        <f t="shared" si="204"/>
        <v>2240</v>
      </c>
      <c r="AX643" s="651"/>
      <c r="AY643" s="551"/>
      <c r="AZ643" s="551"/>
      <c r="BA643" s="551"/>
      <c r="BB643" s="551"/>
      <c r="BC643" s="551"/>
      <c r="BD643" s="551"/>
      <c r="BE643" s="551"/>
      <c r="BF643" s="551"/>
      <c r="BG643" s="551"/>
      <c r="BH643" s="825">
        <f>I643/4</f>
        <v>560</v>
      </c>
      <c r="BI643" s="551"/>
      <c r="BJ643" s="551"/>
      <c r="BK643" s="551"/>
      <c r="BL643" s="551"/>
      <c r="BM643" s="551"/>
      <c r="BN643" s="551"/>
      <c r="BO643" s="551"/>
      <c r="BP643" s="551"/>
      <c r="BQ643" s="551"/>
      <c r="BR643" s="551"/>
      <c r="BS643" s="551"/>
      <c r="BT643" s="551"/>
      <c r="BU643" s="551"/>
      <c r="BV643" s="551"/>
      <c r="BW643" s="551"/>
      <c r="BX643" s="551"/>
      <c r="BY643" s="551"/>
      <c r="BZ643" s="551"/>
      <c r="CA643" s="551"/>
      <c r="CB643" s="551"/>
      <c r="CC643" s="551"/>
      <c r="CD643" s="551"/>
      <c r="CE643" s="551"/>
      <c r="CF643" s="551"/>
      <c r="CG643" s="551"/>
      <c r="CH643" s="650"/>
      <c r="CI643" s="650"/>
      <c r="CJ643" s="650"/>
      <c r="CK643" s="650"/>
      <c r="CL643" s="650"/>
      <c r="CM643" s="551"/>
      <c r="CN643" s="551"/>
      <c r="CO643" s="551"/>
      <c r="CP643" s="650"/>
      <c r="CQ643" s="650"/>
      <c r="CR643" s="650"/>
      <c r="CS643" s="650"/>
      <c r="CT643" s="650"/>
      <c r="CU643" s="650"/>
    </row>
    <row r="644" s="1265" customFormat="1" ht="31" customHeight="1" spans="1:99">
      <c r="A644" s="641">
        <v>45940</v>
      </c>
      <c r="B644" s="642" t="s">
        <v>143</v>
      </c>
      <c r="C644" s="246" t="s">
        <v>98</v>
      </c>
      <c r="D644" s="551">
        <v>4500181327</v>
      </c>
      <c r="E644" s="1415" t="s">
        <v>2587</v>
      </c>
      <c r="F644" s="551" t="s">
        <v>2588</v>
      </c>
      <c r="G644" s="659" t="s">
        <v>101</v>
      </c>
      <c r="H644" s="246" t="s">
        <v>102</v>
      </c>
      <c r="I644" s="246">
        <v>1920</v>
      </c>
      <c r="J644" s="246">
        <v>0</v>
      </c>
      <c r="K644" s="246">
        <v>4</v>
      </c>
      <c r="L644" s="644">
        <f t="shared" si="208"/>
        <v>480</v>
      </c>
      <c r="M644" s="645">
        <v>46021</v>
      </c>
      <c r="N644" s="645">
        <v>46017</v>
      </c>
      <c r="O644" s="643"/>
      <c r="P644" s="824" t="s">
        <v>113</v>
      </c>
      <c r="Q644" s="646"/>
      <c r="R644" s="646" t="s">
        <v>2184</v>
      </c>
      <c r="S644" s="646" t="s">
        <v>70</v>
      </c>
      <c r="T644" s="646" t="s">
        <v>148</v>
      </c>
      <c r="U644" s="646"/>
      <c r="V644" s="646"/>
      <c r="W644" s="642"/>
      <c r="X644" s="642" t="s">
        <v>1395</v>
      </c>
      <c r="Y644" s="647" t="s">
        <v>106</v>
      </c>
      <c r="Z644" s="657">
        <v>2.5537</v>
      </c>
      <c r="AA644" s="647">
        <f t="shared" si="202"/>
        <v>4903.104</v>
      </c>
      <c r="AB644" s="551"/>
      <c r="AC644" s="698" t="s">
        <v>2586</v>
      </c>
      <c r="AD644" s="633" t="s">
        <v>101</v>
      </c>
      <c r="AE644" s="246" t="s">
        <v>82</v>
      </c>
      <c r="AF644" s="246"/>
      <c r="AG644" s="246"/>
      <c r="AH644" s="246">
        <v>1</v>
      </c>
      <c r="AI644" s="246">
        <v>1920</v>
      </c>
      <c r="AJ644" s="246">
        <f t="shared" si="205"/>
        <v>0</v>
      </c>
      <c r="AK644" s="246"/>
      <c r="AL644" s="246"/>
      <c r="AM644" s="551"/>
      <c r="AN644" s="551">
        <f t="shared" si="206"/>
        <v>1920</v>
      </c>
      <c r="AO644" s="551"/>
      <c r="AP644" s="551"/>
      <c r="AQ644" s="551"/>
      <c r="AR644" s="551">
        <f t="shared" si="203"/>
        <v>1920</v>
      </c>
      <c r="AS644" s="551"/>
      <c r="AT644" s="551"/>
      <c r="AU644" s="551">
        <f t="shared" si="207"/>
        <v>1920</v>
      </c>
      <c r="AV644" s="551"/>
      <c r="AW644" s="551">
        <f t="shared" si="204"/>
        <v>1920</v>
      </c>
      <c r="AX644" s="651"/>
      <c r="AY644" s="551"/>
      <c r="AZ644" s="551"/>
      <c r="BA644" s="551"/>
      <c r="BB644" s="551"/>
      <c r="BC644" s="551"/>
      <c r="BD644" s="551"/>
      <c r="BE644" s="551"/>
      <c r="BF644" s="551"/>
      <c r="BG644" s="551"/>
      <c r="BH644" s="825">
        <f>I644/4</f>
        <v>480</v>
      </c>
      <c r="BI644" s="551"/>
      <c r="BJ644" s="551"/>
      <c r="BK644" s="551"/>
      <c r="BL644" s="551"/>
      <c r="BM644" s="551"/>
      <c r="BN644" s="551"/>
      <c r="BO644" s="551"/>
      <c r="BP644" s="551"/>
      <c r="BQ644" s="551"/>
      <c r="BR644" s="551"/>
      <c r="BS644" s="551"/>
      <c r="BT644" s="551"/>
      <c r="BU644" s="551"/>
      <c r="BV644" s="551"/>
      <c r="BW644" s="551"/>
      <c r="BX644" s="551"/>
      <c r="BY644" s="551"/>
      <c r="BZ644" s="551"/>
      <c r="CA644" s="551"/>
      <c r="CB644" s="551"/>
      <c r="CC644" s="551"/>
      <c r="CD644" s="551"/>
      <c r="CE644" s="551"/>
      <c r="CF644" s="551"/>
      <c r="CG644" s="551"/>
      <c r="CH644" s="650"/>
      <c r="CI644" s="650"/>
      <c r="CJ644" s="650"/>
      <c r="CK644" s="650"/>
      <c r="CL644" s="650"/>
      <c r="CM644" s="551"/>
      <c r="CN644" s="551"/>
      <c r="CO644" s="551"/>
      <c r="CP644" s="650"/>
      <c r="CQ644" s="650"/>
      <c r="CR644" s="650"/>
      <c r="CS644" s="650"/>
      <c r="CT644" s="650"/>
      <c r="CU644" s="650"/>
    </row>
    <row r="645" s="1265" customFormat="1" ht="31" customHeight="1" spans="1:99">
      <c r="A645" s="641">
        <v>45967</v>
      </c>
      <c r="B645" s="642" t="s">
        <v>549</v>
      </c>
      <c r="C645" s="246" t="s">
        <v>278</v>
      </c>
      <c r="D645" s="551">
        <v>4500184581</v>
      </c>
      <c r="E645" s="246" t="s">
        <v>2589</v>
      </c>
      <c r="F645" s="551" t="s">
        <v>2590</v>
      </c>
      <c r="G645" s="659" t="s">
        <v>68</v>
      </c>
      <c r="H645" s="633" t="s">
        <v>69</v>
      </c>
      <c r="I645" s="246">
        <v>2460</v>
      </c>
      <c r="J645" s="246">
        <v>0</v>
      </c>
      <c r="K645" s="246">
        <v>12</v>
      </c>
      <c r="L645" s="644">
        <f t="shared" si="208"/>
        <v>205</v>
      </c>
      <c r="M645" s="645">
        <v>46021</v>
      </c>
      <c r="N645" s="645">
        <v>46017</v>
      </c>
      <c r="O645" s="643"/>
      <c r="P645" s="824" t="s">
        <v>113</v>
      </c>
      <c r="Q645" s="646" t="s">
        <v>2591</v>
      </c>
      <c r="R645" s="646" t="s">
        <v>463</v>
      </c>
      <c r="S645" s="646" t="s">
        <v>70</v>
      </c>
      <c r="T645" s="646" t="s">
        <v>2438</v>
      </c>
      <c r="U645" s="646"/>
      <c r="V645" s="646"/>
      <c r="W645" s="642"/>
      <c r="X645" s="642" t="s">
        <v>2592</v>
      </c>
      <c r="Y645" s="647" t="s">
        <v>466</v>
      </c>
      <c r="Z645" s="657">
        <v>4.1623</v>
      </c>
      <c r="AA645" s="647">
        <f t="shared" si="202"/>
        <v>10239.258</v>
      </c>
      <c r="AB645" s="551"/>
      <c r="AC645" s="648" t="s">
        <v>2593</v>
      </c>
      <c r="AD645" s="633" t="s">
        <v>184</v>
      </c>
      <c r="AE645" s="246" t="s">
        <v>82</v>
      </c>
      <c r="AF645" s="246"/>
      <c r="AG645" s="246"/>
      <c r="AH645" s="246">
        <v>1</v>
      </c>
      <c r="AI645" s="246">
        <f>24+756+1680</f>
        <v>2460</v>
      </c>
      <c r="AJ645" s="643">
        <f t="shared" si="205"/>
        <v>0</v>
      </c>
      <c r="AK645" s="246"/>
      <c r="AL645" s="246" t="s">
        <v>454</v>
      </c>
      <c r="AM645" s="551"/>
      <c r="AN645" s="551">
        <f t="shared" si="206"/>
        <v>2460</v>
      </c>
      <c r="AO645" s="551"/>
      <c r="AP645" s="551"/>
      <c r="AQ645" s="551"/>
      <c r="AR645" s="551"/>
      <c r="AS645" s="551">
        <f>I645</f>
        <v>2460</v>
      </c>
      <c r="AT645" s="551"/>
      <c r="AU645" s="551">
        <f t="shared" si="207"/>
        <v>2460</v>
      </c>
      <c r="AV645" s="551"/>
      <c r="AW645" s="551">
        <f t="shared" si="204"/>
        <v>2460</v>
      </c>
      <c r="AX645" s="651"/>
      <c r="AY645" s="551"/>
      <c r="AZ645" s="551"/>
      <c r="BA645" s="551"/>
      <c r="BB645" s="551"/>
      <c r="BC645" s="551"/>
      <c r="BD645" s="551"/>
      <c r="BE645" s="551"/>
      <c r="BF645" s="551"/>
      <c r="BG645" s="551"/>
      <c r="BH645" s="551"/>
      <c r="BI645" s="551"/>
      <c r="BJ645" s="551"/>
      <c r="BK645" s="551"/>
      <c r="BL645" s="551"/>
      <c r="BM645" s="551"/>
      <c r="BN645" s="551"/>
      <c r="BO645" s="551"/>
      <c r="BP645" s="551"/>
      <c r="BQ645" s="551"/>
      <c r="BR645" s="551"/>
      <c r="BS645" s="551"/>
      <c r="BT645" s="551"/>
      <c r="BU645" s="551"/>
      <c r="BV645" s="551"/>
      <c r="BW645" s="551"/>
      <c r="BX645" s="551"/>
      <c r="BY645" s="551"/>
      <c r="BZ645" s="551"/>
      <c r="CA645" s="551"/>
      <c r="CB645" s="551"/>
      <c r="CC645" s="551"/>
      <c r="CD645" s="551"/>
      <c r="CE645" s="551"/>
      <c r="CF645" s="551"/>
      <c r="CG645" s="551"/>
      <c r="CH645" s="650"/>
      <c r="CI645" s="650"/>
      <c r="CJ645" s="650"/>
      <c r="CK645" s="650"/>
      <c r="CL645" s="650"/>
      <c r="CM645" s="551"/>
      <c r="CN645" s="551"/>
      <c r="CO645" s="551"/>
      <c r="CP645" s="650"/>
      <c r="CQ645" s="650"/>
      <c r="CR645" s="650"/>
      <c r="CS645" s="650"/>
      <c r="CT645" s="650"/>
      <c r="CU645" s="650"/>
    </row>
    <row r="646" s="1265" customFormat="1" ht="31" customHeight="1" spans="1:99">
      <c r="A646" s="641">
        <v>45961</v>
      </c>
      <c r="B646" s="642" t="s">
        <v>2594</v>
      </c>
      <c r="C646" s="246" t="s">
        <v>2595</v>
      </c>
      <c r="D646" s="551">
        <v>4500183983</v>
      </c>
      <c r="E646" s="246"/>
      <c r="F646" s="551" t="s">
        <v>2596</v>
      </c>
      <c r="G646" s="659" t="s">
        <v>68</v>
      </c>
      <c r="H646" s="633" t="s">
        <v>69</v>
      </c>
      <c r="I646" s="246">
        <v>3600</v>
      </c>
      <c r="J646" s="246">
        <v>0</v>
      </c>
      <c r="K646" s="246">
        <v>12</v>
      </c>
      <c r="L646" s="644">
        <f t="shared" si="208"/>
        <v>300</v>
      </c>
      <c r="M646" s="645">
        <v>46021</v>
      </c>
      <c r="N646" s="645">
        <v>46017</v>
      </c>
      <c r="O646" s="643"/>
      <c r="P646" s="824" t="s">
        <v>113</v>
      </c>
      <c r="Q646" s="646"/>
      <c r="R646" s="646">
        <v>45978</v>
      </c>
      <c r="S646" s="646" t="s">
        <v>70</v>
      </c>
      <c r="T646" s="646" t="s">
        <v>2289</v>
      </c>
      <c r="U646" s="646"/>
      <c r="V646" s="646"/>
      <c r="W646" s="642"/>
      <c r="X646" s="642" t="s">
        <v>2597</v>
      </c>
      <c r="Y646" s="647" t="s">
        <v>529</v>
      </c>
      <c r="Z646" s="657">
        <v>4.1569</v>
      </c>
      <c r="AA646" s="647">
        <f t="shared" si="202"/>
        <v>14964.84</v>
      </c>
      <c r="AB646" s="551"/>
      <c r="AC646" s="648" t="s">
        <v>2598</v>
      </c>
      <c r="AD646" s="633" t="s">
        <v>184</v>
      </c>
      <c r="AE646" s="246" t="s">
        <v>82</v>
      </c>
      <c r="AF646" s="246"/>
      <c r="AG646" s="246"/>
      <c r="AH646" s="246">
        <v>1</v>
      </c>
      <c r="AI646" s="246">
        <v>3600</v>
      </c>
      <c r="AJ646" s="643">
        <f t="shared" si="205"/>
        <v>0</v>
      </c>
      <c r="AK646" s="246"/>
      <c r="AL646" s="246" t="s">
        <v>454</v>
      </c>
      <c r="AM646" s="551"/>
      <c r="AN646" s="551">
        <f t="shared" si="206"/>
        <v>3600</v>
      </c>
      <c r="AO646" s="551"/>
      <c r="AP646" s="551"/>
      <c r="AQ646" s="551"/>
      <c r="AR646" s="551"/>
      <c r="AS646" s="551">
        <f>I646</f>
        <v>3600</v>
      </c>
      <c r="AT646" s="551"/>
      <c r="AU646" s="551">
        <f t="shared" ref="AU646:AU663" si="209">I646</f>
        <v>3600</v>
      </c>
      <c r="AV646" s="551"/>
      <c r="AW646" s="551">
        <f t="shared" ref="AW646:AW663" si="210">I646</f>
        <v>3600</v>
      </c>
      <c r="AX646" s="651"/>
      <c r="AY646" s="551"/>
      <c r="AZ646" s="551"/>
      <c r="BA646" s="551"/>
      <c r="BB646" s="551"/>
      <c r="BC646" s="551"/>
      <c r="BD646" s="551"/>
      <c r="BE646" s="551"/>
      <c r="BF646" s="551"/>
      <c r="BG646" s="551"/>
      <c r="BH646" s="551"/>
      <c r="BI646" s="551"/>
      <c r="BJ646" s="551"/>
      <c r="BK646" s="551"/>
      <c r="BL646" s="551"/>
      <c r="BM646" s="551"/>
      <c r="BN646" s="551"/>
      <c r="BO646" s="551"/>
      <c r="BP646" s="551"/>
      <c r="BQ646" s="551"/>
      <c r="BR646" s="551"/>
      <c r="BS646" s="551"/>
      <c r="BT646" s="551"/>
      <c r="BU646" s="551"/>
      <c r="BV646" s="551"/>
      <c r="BW646" s="551"/>
      <c r="BX646" s="551"/>
      <c r="BY646" s="551"/>
      <c r="BZ646" s="551"/>
      <c r="CA646" s="551"/>
      <c r="CB646" s="551"/>
      <c r="CC646" s="551"/>
      <c r="CD646" s="551"/>
      <c r="CE646" s="551"/>
      <c r="CF646" s="551"/>
      <c r="CG646" s="551"/>
      <c r="CH646" s="650"/>
      <c r="CI646" s="650"/>
      <c r="CJ646" s="650"/>
      <c r="CK646" s="650"/>
      <c r="CL646" s="650"/>
      <c r="CM646" s="551"/>
      <c r="CN646" s="551"/>
      <c r="CO646" s="551"/>
      <c r="CP646" s="650"/>
      <c r="CQ646" s="650"/>
      <c r="CR646" s="650"/>
      <c r="CS646" s="650"/>
      <c r="CT646" s="650"/>
      <c r="CU646" s="650"/>
    </row>
    <row r="647" s="1265" customFormat="1" ht="31" customHeight="1" spans="1:99">
      <c r="A647" s="641">
        <v>45964</v>
      </c>
      <c r="B647" s="642" t="s">
        <v>448</v>
      </c>
      <c r="C647" s="246" t="s">
        <v>399</v>
      </c>
      <c r="D647" s="551">
        <v>4500184256</v>
      </c>
      <c r="E647" s="246"/>
      <c r="F647" s="551" t="s">
        <v>2599</v>
      </c>
      <c r="G647" s="659" t="s">
        <v>130</v>
      </c>
      <c r="H647" s="246" t="s">
        <v>131</v>
      </c>
      <c r="I647" s="246">
        <v>1800</v>
      </c>
      <c r="J647" s="246">
        <v>0</v>
      </c>
      <c r="K647" s="246">
        <v>6</v>
      </c>
      <c r="L647" s="644">
        <f t="shared" si="208"/>
        <v>300</v>
      </c>
      <c r="M647" s="645">
        <v>46021</v>
      </c>
      <c r="N647" s="645">
        <v>46017</v>
      </c>
      <c r="O647" s="643"/>
      <c r="P647" s="824" t="s">
        <v>113</v>
      </c>
      <c r="Q647" s="646"/>
      <c r="R647" s="646">
        <v>45978</v>
      </c>
      <c r="S647" s="646" t="s">
        <v>70</v>
      </c>
      <c r="T647" s="646" t="s">
        <v>2600</v>
      </c>
      <c r="U647" s="646"/>
      <c r="V647" s="646"/>
      <c r="W647" s="642"/>
      <c r="X647" s="642" t="s">
        <v>2601</v>
      </c>
      <c r="Y647" s="647" t="s">
        <v>445</v>
      </c>
      <c r="Z647" s="657">
        <v>4.2266</v>
      </c>
      <c r="AA647" s="647">
        <f t="shared" si="202"/>
        <v>7607.88</v>
      </c>
      <c r="AB647" s="551"/>
      <c r="AC647" s="648" t="s">
        <v>2602</v>
      </c>
      <c r="AD647" s="633" t="s">
        <v>453</v>
      </c>
      <c r="AE647" s="246" t="s">
        <v>82</v>
      </c>
      <c r="AF647" s="246"/>
      <c r="AG647" s="246"/>
      <c r="AH647" s="246">
        <v>1</v>
      </c>
      <c r="AI647" s="246">
        <f>18+1782</f>
        <v>1800</v>
      </c>
      <c r="AJ647" s="643">
        <f t="shared" si="205"/>
        <v>0</v>
      </c>
      <c r="AK647" s="246"/>
      <c r="AL647" s="246"/>
      <c r="AM647" s="551"/>
      <c r="AN647" s="551">
        <f t="shared" si="206"/>
        <v>1800</v>
      </c>
      <c r="AO647" s="551"/>
      <c r="AP647" s="551"/>
      <c r="AQ647" s="551"/>
      <c r="AR647" s="551"/>
      <c r="AS647" s="551">
        <f>I647</f>
        <v>1800</v>
      </c>
      <c r="AT647" s="551"/>
      <c r="AU647" s="551">
        <f t="shared" si="209"/>
        <v>1800</v>
      </c>
      <c r="AV647" s="551"/>
      <c r="AW647" s="551">
        <f t="shared" si="210"/>
        <v>1800</v>
      </c>
      <c r="AX647" s="651"/>
      <c r="AY647" s="551"/>
      <c r="AZ647" s="551"/>
      <c r="BA647" s="551"/>
      <c r="BB647" s="551"/>
      <c r="BC647" s="551"/>
      <c r="BD647" s="551"/>
      <c r="BE647" s="551"/>
      <c r="BF647" s="551"/>
      <c r="BG647" s="551"/>
      <c r="BH647" s="551"/>
      <c r="BI647" s="551"/>
      <c r="BJ647" s="551"/>
      <c r="BK647" s="551"/>
      <c r="BL647" s="551"/>
      <c r="BM647" s="551"/>
      <c r="BN647" s="551"/>
      <c r="BO647" s="551"/>
      <c r="BP647" s="551"/>
      <c r="BQ647" s="551"/>
      <c r="BR647" s="551"/>
      <c r="BS647" s="551"/>
      <c r="BT647" s="551"/>
      <c r="BU647" s="551"/>
      <c r="BV647" s="551"/>
      <c r="BW647" s="551"/>
      <c r="BX647" s="551"/>
      <c r="BY647" s="551"/>
      <c r="BZ647" s="551"/>
      <c r="CA647" s="551"/>
      <c r="CB647" s="551"/>
      <c r="CC647" s="551"/>
      <c r="CD647" s="551"/>
      <c r="CE647" s="551"/>
      <c r="CF647" s="551"/>
      <c r="CG647" s="551"/>
      <c r="CH647" s="650"/>
      <c r="CI647" s="650"/>
      <c r="CJ647" s="650"/>
      <c r="CK647" s="650"/>
      <c r="CL647" s="650"/>
      <c r="CM647" s="551"/>
      <c r="CN647" s="551"/>
      <c r="CO647" s="551"/>
      <c r="CP647" s="650"/>
      <c r="CQ647" s="650"/>
      <c r="CR647" s="650"/>
      <c r="CS647" s="650"/>
      <c r="CT647" s="650"/>
      <c r="CU647" s="650"/>
    </row>
    <row r="648" s="1265" customFormat="1" ht="31" customHeight="1" spans="1:99">
      <c r="A648" s="641">
        <v>45940</v>
      </c>
      <c r="B648" s="642" t="s">
        <v>143</v>
      </c>
      <c r="C648" s="246" t="s">
        <v>98</v>
      </c>
      <c r="D648" s="551">
        <v>4500181327</v>
      </c>
      <c r="E648" s="1415" t="s">
        <v>2603</v>
      </c>
      <c r="F648" s="551" t="s">
        <v>2604</v>
      </c>
      <c r="G648" s="659" t="s">
        <v>101</v>
      </c>
      <c r="H648" s="246" t="s">
        <v>102</v>
      </c>
      <c r="I648" s="246">
        <v>1280</v>
      </c>
      <c r="J648" s="246">
        <v>0</v>
      </c>
      <c r="K648" s="246">
        <v>4</v>
      </c>
      <c r="L648" s="644">
        <f t="shared" si="208"/>
        <v>320</v>
      </c>
      <c r="M648" s="645">
        <v>46021</v>
      </c>
      <c r="N648" s="645">
        <v>46017</v>
      </c>
      <c r="O648" s="643"/>
      <c r="P648" s="824" t="s">
        <v>113</v>
      </c>
      <c r="Q648" s="646"/>
      <c r="R648" s="646" t="s">
        <v>2184</v>
      </c>
      <c r="S648" s="646" t="s">
        <v>70</v>
      </c>
      <c r="T648" s="646" t="s">
        <v>148</v>
      </c>
      <c r="U648" s="646"/>
      <c r="V648" s="646"/>
      <c r="W648" s="642"/>
      <c r="X648" s="642" t="s">
        <v>1395</v>
      </c>
      <c r="Y648" s="647" t="s">
        <v>106</v>
      </c>
      <c r="Z648" s="657">
        <v>2.5537</v>
      </c>
      <c r="AA648" s="647">
        <f t="shared" si="202"/>
        <v>3268.736</v>
      </c>
      <c r="AB648" s="551"/>
      <c r="AC648" s="698" t="s">
        <v>2586</v>
      </c>
      <c r="AD648" s="633" t="s">
        <v>101</v>
      </c>
      <c r="AE648" s="246" t="s">
        <v>82</v>
      </c>
      <c r="AF648" s="246"/>
      <c r="AG648" s="246"/>
      <c r="AH648" s="246">
        <v>1</v>
      </c>
      <c r="AI648" s="246">
        <v>1280</v>
      </c>
      <c r="AJ648" s="246">
        <f t="shared" si="205"/>
        <v>0</v>
      </c>
      <c r="AK648" s="246"/>
      <c r="AL648" s="246"/>
      <c r="AM648" s="551"/>
      <c r="AN648" s="551">
        <f t="shared" si="206"/>
        <v>1280</v>
      </c>
      <c r="AO648" s="551"/>
      <c r="AP648" s="551"/>
      <c r="AQ648" s="551"/>
      <c r="AR648" s="551">
        <f>I648</f>
        <v>1280</v>
      </c>
      <c r="AS648" s="551"/>
      <c r="AT648" s="551"/>
      <c r="AU648" s="551">
        <f t="shared" si="209"/>
        <v>1280</v>
      </c>
      <c r="AV648" s="551"/>
      <c r="AW648" s="551">
        <f t="shared" si="210"/>
        <v>1280</v>
      </c>
      <c r="AX648" s="651"/>
      <c r="AY648" s="551"/>
      <c r="AZ648" s="551"/>
      <c r="BA648" s="551"/>
      <c r="BB648" s="551"/>
      <c r="BC648" s="551"/>
      <c r="BD648" s="551"/>
      <c r="BE648" s="551"/>
      <c r="BF648" s="551"/>
      <c r="BG648" s="551"/>
      <c r="BH648" s="825">
        <f>I648/4</f>
        <v>320</v>
      </c>
      <c r="BI648" s="551"/>
      <c r="BJ648" s="551"/>
      <c r="BK648" s="551"/>
      <c r="BL648" s="551"/>
      <c r="BM648" s="551"/>
      <c r="BN648" s="551"/>
      <c r="BO648" s="551"/>
      <c r="BP648" s="551"/>
      <c r="BQ648" s="551"/>
      <c r="BR648" s="551"/>
      <c r="BS648" s="551"/>
      <c r="BT648" s="551"/>
      <c r="BU648" s="551"/>
      <c r="BV648" s="551"/>
      <c r="BW648" s="551"/>
      <c r="BX648" s="551"/>
      <c r="BY648" s="551"/>
      <c r="BZ648" s="551"/>
      <c r="CA648" s="551"/>
      <c r="CB648" s="551"/>
      <c r="CC648" s="551"/>
      <c r="CD648" s="551"/>
      <c r="CE648" s="551"/>
      <c r="CF648" s="551"/>
      <c r="CG648" s="551"/>
      <c r="CH648" s="650"/>
      <c r="CI648" s="650"/>
      <c r="CJ648" s="650"/>
      <c r="CK648" s="650"/>
      <c r="CL648" s="650"/>
      <c r="CM648" s="551"/>
      <c r="CN648" s="551"/>
      <c r="CO648" s="551"/>
      <c r="CP648" s="650"/>
      <c r="CQ648" s="650"/>
      <c r="CR648" s="650"/>
      <c r="CS648" s="650"/>
      <c r="CT648" s="650"/>
      <c r="CU648" s="650"/>
    </row>
    <row r="649" s="1265" customFormat="1" ht="31" customHeight="1" spans="1:99">
      <c r="A649" s="641">
        <v>45964</v>
      </c>
      <c r="B649" s="642" t="s">
        <v>448</v>
      </c>
      <c r="C649" s="246" t="s">
        <v>399</v>
      </c>
      <c r="D649" s="1333">
        <v>4500184204</v>
      </c>
      <c r="E649" s="246"/>
      <c r="F649" s="551" t="s">
        <v>2605</v>
      </c>
      <c r="G649" s="659" t="s">
        <v>130</v>
      </c>
      <c r="H649" s="246" t="s">
        <v>131</v>
      </c>
      <c r="I649" s="246">
        <v>960</v>
      </c>
      <c r="J649" s="246">
        <v>0</v>
      </c>
      <c r="K649" s="246">
        <v>6</v>
      </c>
      <c r="L649" s="644">
        <f t="shared" si="208"/>
        <v>160</v>
      </c>
      <c r="M649" s="645">
        <v>46021</v>
      </c>
      <c r="N649" s="645">
        <v>46017</v>
      </c>
      <c r="O649" s="643"/>
      <c r="P649" s="824" t="s">
        <v>113</v>
      </c>
      <c r="Q649" s="646"/>
      <c r="R649" s="646">
        <v>45978</v>
      </c>
      <c r="S649" s="646" t="s">
        <v>70</v>
      </c>
      <c r="T649" s="646" t="s">
        <v>2606</v>
      </c>
      <c r="U649" s="646"/>
      <c r="V649" s="646"/>
      <c r="W649" s="642"/>
      <c r="X649" s="749" t="s">
        <v>2607</v>
      </c>
      <c r="Y649" s="647" t="s">
        <v>445</v>
      </c>
      <c r="Z649" s="657">
        <v>4.2266</v>
      </c>
      <c r="AA649" s="647">
        <f t="shared" si="202"/>
        <v>4057.536</v>
      </c>
      <c r="AB649" s="551"/>
      <c r="AC649" s="648" t="s">
        <v>2608</v>
      </c>
      <c r="AD649" s="633" t="s">
        <v>453</v>
      </c>
      <c r="AE649" s="246" t="s">
        <v>82</v>
      </c>
      <c r="AF649" s="246"/>
      <c r="AG649" s="246"/>
      <c r="AH649" s="246">
        <v>1</v>
      </c>
      <c r="AI649" s="246">
        <v>960</v>
      </c>
      <c r="AJ649" s="643">
        <f t="shared" si="205"/>
        <v>0</v>
      </c>
      <c r="AK649" s="246"/>
      <c r="AL649" s="246"/>
      <c r="AM649" s="551"/>
      <c r="AN649" s="551">
        <f t="shared" si="206"/>
        <v>960</v>
      </c>
      <c r="AO649" s="551"/>
      <c r="AP649" s="551"/>
      <c r="AQ649" s="551"/>
      <c r="AR649" s="551"/>
      <c r="AS649" s="551">
        <f>I649</f>
        <v>960</v>
      </c>
      <c r="AT649" s="551"/>
      <c r="AU649" s="551">
        <f t="shared" si="209"/>
        <v>960</v>
      </c>
      <c r="AV649" s="551"/>
      <c r="AW649" s="551">
        <f t="shared" si="210"/>
        <v>960</v>
      </c>
      <c r="AX649" s="651"/>
      <c r="AY649" s="551"/>
      <c r="AZ649" s="551"/>
      <c r="BA649" s="551"/>
      <c r="BB649" s="551"/>
      <c r="BC649" s="551"/>
      <c r="BD649" s="551"/>
      <c r="BE649" s="551"/>
      <c r="BF649" s="551"/>
      <c r="BG649" s="551"/>
      <c r="BH649" s="551"/>
      <c r="BI649" s="551"/>
      <c r="BJ649" s="551"/>
      <c r="BK649" s="551"/>
      <c r="BL649" s="551"/>
      <c r="BM649" s="551"/>
      <c r="BN649" s="551"/>
      <c r="BO649" s="551"/>
      <c r="BP649" s="551"/>
      <c r="BQ649" s="551"/>
      <c r="BR649" s="551"/>
      <c r="BS649" s="551"/>
      <c r="BT649" s="551"/>
      <c r="BU649" s="551"/>
      <c r="BV649" s="551"/>
      <c r="BW649" s="551"/>
      <c r="BX649" s="551"/>
      <c r="BY649" s="551"/>
      <c r="BZ649" s="551"/>
      <c r="CA649" s="551"/>
      <c r="CB649" s="551"/>
      <c r="CC649" s="551"/>
      <c r="CD649" s="551"/>
      <c r="CE649" s="551"/>
      <c r="CF649" s="551"/>
      <c r="CG649" s="551"/>
      <c r="CH649" s="650"/>
      <c r="CI649" s="650"/>
      <c r="CJ649" s="650"/>
      <c r="CK649" s="650"/>
      <c r="CL649" s="650"/>
      <c r="CM649" s="551"/>
      <c r="CN649" s="551"/>
      <c r="CO649" s="551"/>
      <c r="CP649" s="650"/>
      <c r="CQ649" s="650"/>
      <c r="CR649" s="650"/>
      <c r="CS649" s="650"/>
      <c r="CT649" s="650"/>
      <c r="CU649" s="650"/>
    </row>
    <row r="650" s="1265" customFormat="1" ht="31" customHeight="1" spans="1:99">
      <c r="A650" s="641">
        <v>45940</v>
      </c>
      <c r="B650" s="642" t="s">
        <v>143</v>
      </c>
      <c r="C650" s="246" t="s">
        <v>98</v>
      </c>
      <c r="D650" s="551">
        <v>4500181327</v>
      </c>
      <c r="E650" s="1415" t="s">
        <v>2609</v>
      </c>
      <c r="F650" s="551" t="s">
        <v>2610</v>
      </c>
      <c r="G650" s="659" t="s">
        <v>101</v>
      </c>
      <c r="H650" s="246" t="s">
        <v>102</v>
      </c>
      <c r="I650" s="246">
        <v>640</v>
      </c>
      <c r="J650" s="246">
        <v>0</v>
      </c>
      <c r="K650" s="246">
        <v>4</v>
      </c>
      <c r="L650" s="644">
        <f t="shared" si="208"/>
        <v>160</v>
      </c>
      <c r="M650" s="645">
        <v>46022</v>
      </c>
      <c r="N650" s="645">
        <v>46018</v>
      </c>
      <c r="O650" s="643"/>
      <c r="P650" s="824" t="s">
        <v>113</v>
      </c>
      <c r="Q650" s="646"/>
      <c r="R650" s="646" t="s">
        <v>2184</v>
      </c>
      <c r="S650" s="646" t="s">
        <v>70</v>
      </c>
      <c r="T650" s="646" t="s">
        <v>148</v>
      </c>
      <c r="U650" s="646"/>
      <c r="V650" s="646"/>
      <c r="W650" s="642"/>
      <c r="X650" s="642" t="s">
        <v>1395</v>
      </c>
      <c r="Y650" s="647" t="s">
        <v>106</v>
      </c>
      <c r="Z650" s="657">
        <v>2.5537</v>
      </c>
      <c r="AA650" s="647">
        <f t="shared" ref="AA650:AA663" si="211">Z650*I650</f>
        <v>1634.368</v>
      </c>
      <c r="AB650" s="551"/>
      <c r="AC650" s="658" t="s">
        <v>2611</v>
      </c>
      <c r="AD650" s="633" t="s">
        <v>101</v>
      </c>
      <c r="AE650" s="246" t="s">
        <v>82</v>
      </c>
      <c r="AF650" s="246"/>
      <c r="AG650" s="246"/>
      <c r="AH650" s="246">
        <v>1</v>
      </c>
      <c r="AI650" s="246">
        <v>640</v>
      </c>
      <c r="AJ650" s="246">
        <f t="shared" si="205"/>
        <v>0</v>
      </c>
      <c r="AK650" s="246"/>
      <c r="AL650" s="246"/>
      <c r="AM650" s="551"/>
      <c r="AN650" s="551">
        <f t="shared" si="206"/>
        <v>640</v>
      </c>
      <c r="AO650" s="551"/>
      <c r="AP650" s="551"/>
      <c r="AQ650" s="551"/>
      <c r="AR650" s="551">
        <f>I650</f>
        <v>640</v>
      </c>
      <c r="AS650" s="551"/>
      <c r="AT650" s="551"/>
      <c r="AU650" s="551">
        <f t="shared" si="209"/>
        <v>640</v>
      </c>
      <c r="AV650" s="551"/>
      <c r="AW650" s="551">
        <f t="shared" si="210"/>
        <v>640</v>
      </c>
      <c r="AX650" s="651"/>
      <c r="AY650" s="551"/>
      <c r="AZ650" s="551"/>
      <c r="BA650" s="551"/>
      <c r="BB650" s="551"/>
      <c r="BC650" s="551"/>
      <c r="BD650" s="551"/>
      <c r="BE650" s="551"/>
      <c r="BF650" s="551"/>
      <c r="BG650" s="551"/>
      <c r="BH650" s="825">
        <f>I650/4</f>
        <v>160</v>
      </c>
      <c r="BI650" s="551"/>
      <c r="BJ650" s="551"/>
      <c r="BK650" s="551"/>
      <c r="BL650" s="551"/>
      <c r="BM650" s="551"/>
      <c r="BN650" s="551"/>
      <c r="BO650" s="551"/>
      <c r="BP650" s="551"/>
      <c r="BQ650" s="551"/>
      <c r="BR650" s="551"/>
      <c r="BS650" s="551"/>
      <c r="BT650" s="551"/>
      <c r="BU650" s="551"/>
      <c r="BV650" s="551"/>
      <c r="BW650" s="551"/>
      <c r="BX650" s="551"/>
      <c r="BY650" s="551"/>
      <c r="BZ650" s="551"/>
      <c r="CA650" s="551"/>
      <c r="CB650" s="551"/>
      <c r="CC650" s="551"/>
      <c r="CD650" s="551"/>
      <c r="CE650" s="551"/>
      <c r="CF650" s="551"/>
      <c r="CG650" s="551"/>
      <c r="CH650" s="650"/>
      <c r="CI650" s="650"/>
      <c r="CJ650" s="650"/>
      <c r="CK650" s="650"/>
      <c r="CL650" s="650"/>
      <c r="CM650" s="551"/>
      <c r="CN650" s="551"/>
      <c r="CO650" s="551"/>
      <c r="CP650" s="650"/>
      <c r="CQ650" s="650"/>
      <c r="CR650" s="650"/>
      <c r="CS650" s="650"/>
      <c r="CT650" s="650"/>
      <c r="CU650" s="650"/>
    </row>
    <row r="651" s="1265" customFormat="1" ht="31" customHeight="1" spans="1:99">
      <c r="A651" s="641">
        <v>45940</v>
      </c>
      <c r="B651" s="642" t="s">
        <v>143</v>
      </c>
      <c r="C651" s="246" t="s">
        <v>98</v>
      </c>
      <c r="D651" s="551">
        <v>4500181327</v>
      </c>
      <c r="E651" s="1415" t="s">
        <v>2612</v>
      </c>
      <c r="F651" s="551" t="s">
        <v>2613</v>
      </c>
      <c r="G651" s="659" t="s">
        <v>101</v>
      </c>
      <c r="H651" s="246" t="s">
        <v>102</v>
      </c>
      <c r="I651" s="246">
        <v>1920</v>
      </c>
      <c r="J651" s="246">
        <v>0</v>
      </c>
      <c r="K651" s="246">
        <v>4</v>
      </c>
      <c r="L651" s="644">
        <f t="shared" si="208"/>
        <v>480</v>
      </c>
      <c r="M651" s="645">
        <v>46022</v>
      </c>
      <c r="N651" s="645">
        <v>46018</v>
      </c>
      <c r="O651" s="643"/>
      <c r="P651" s="824" t="s">
        <v>113</v>
      </c>
      <c r="Q651" s="646"/>
      <c r="R651" s="646" t="s">
        <v>2184</v>
      </c>
      <c r="S651" s="646" t="s">
        <v>70</v>
      </c>
      <c r="T651" s="646" t="s">
        <v>148</v>
      </c>
      <c r="U651" s="646"/>
      <c r="V651" s="646"/>
      <c r="W651" s="642"/>
      <c r="X651" s="642" t="s">
        <v>1395</v>
      </c>
      <c r="Y651" s="647" t="s">
        <v>106</v>
      </c>
      <c r="Z651" s="657">
        <v>2.5537</v>
      </c>
      <c r="AA651" s="647">
        <f t="shared" si="211"/>
        <v>4903.104</v>
      </c>
      <c r="AB651" s="551"/>
      <c r="AC651" s="698" t="s">
        <v>2586</v>
      </c>
      <c r="AD651" s="633" t="s">
        <v>101</v>
      </c>
      <c r="AE651" s="246" t="s">
        <v>82</v>
      </c>
      <c r="AF651" s="246"/>
      <c r="AG651" s="246"/>
      <c r="AH651" s="246">
        <v>1</v>
      </c>
      <c r="AI651" s="246">
        <v>1920</v>
      </c>
      <c r="AJ651" s="246">
        <f t="shared" si="205"/>
        <v>0</v>
      </c>
      <c r="AK651" s="246"/>
      <c r="AL651" s="246"/>
      <c r="AM651" s="551"/>
      <c r="AN651" s="551">
        <f t="shared" si="206"/>
        <v>1920</v>
      </c>
      <c r="AO651" s="551"/>
      <c r="AP651" s="551"/>
      <c r="AQ651" s="551"/>
      <c r="AR651" s="551">
        <f>I651</f>
        <v>1920</v>
      </c>
      <c r="AS651" s="551"/>
      <c r="AT651" s="551"/>
      <c r="AU651" s="551">
        <f t="shared" si="209"/>
        <v>1920</v>
      </c>
      <c r="AV651" s="551"/>
      <c r="AW651" s="551">
        <f t="shared" si="210"/>
        <v>1920</v>
      </c>
      <c r="AX651" s="651"/>
      <c r="AY651" s="551"/>
      <c r="AZ651" s="551"/>
      <c r="BA651" s="551"/>
      <c r="BB651" s="551"/>
      <c r="BC651" s="551"/>
      <c r="BD651" s="551"/>
      <c r="BE651" s="551"/>
      <c r="BF651" s="551"/>
      <c r="BG651" s="551"/>
      <c r="BH651" s="825">
        <f>I651/4</f>
        <v>480</v>
      </c>
      <c r="BI651" s="551"/>
      <c r="BJ651" s="551"/>
      <c r="BK651" s="551"/>
      <c r="BL651" s="551"/>
      <c r="BM651" s="551"/>
      <c r="BN651" s="551"/>
      <c r="BO651" s="551"/>
      <c r="BP651" s="551"/>
      <c r="BQ651" s="551"/>
      <c r="BR651" s="551"/>
      <c r="BS651" s="551"/>
      <c r="BT651" s="551"/>
      <c r="BU651" s="551"/>
      <c r="BV651" s="551"/>
      <c r="BW651" s="551"/>
      <c r="BX651" s="551"/>
      <c r="BY651" s="551"/>
      <c r="BZ651" s="551"/>
      <c r="CA651" s="551"/>
      <c r="CB651" s="551"/>
      <c r="CC651" s="551"/>
      <c r="CD651" s="551"/>
      <c r="CE651" s="551"/>
      <c r="CF651" s="551"/>
      <c r="CG651" s="551"/>
      <c r="CH651" s="650"/>
      <c r="CI651" s="650"/>
      <c r="CJ651" s="650"/>
      <c r="CK651" s="650"/>
      <c r="CL651" s="650"/>
      <c r="CM651" s="551"/>
      <c r="CN651" s="551"/>
      <c r="CO651" s="551"/>
      <c r="CP651" s="650"/>
      <c r="CQ651" s="650"/>
      <c r="CR651" s="650"/>
      <c r="CS651" s="650"/>
      <c r="CT651" s="650"/>
      <c r="CU651" s="650"/>
    </row>
    <row r="652" s="1265" customFormat="1" ht="31" customHeight="1" spans="1:99">
      <c r="A652" s="641">
        <v>45940</v>
      </c>
      <c r="B652" s="642" t="s">
        <v>143</v>
      </c>
      <c r="C652" s="246" t="s">
        <v>98</v>
      </c>
      <c r="D652" s="551">
        <v>4500181327</v>
      </c>
      <c r="E652" s="1415" t="s">
        <v>2614</v>
      </c>
      <c r="F652" s="551" t="s">
        <v>2615</v>
      </c>
      <c r="G652" s="659" t="s">
        <v>101</v>
      </c>
      <c r="H652" s="246" t="s">
        <v>102</v>
      </c>
      <c r="I652" s="246">
        <v>960</v>
      </c>
      <c r="J652" s="246">
        <v>0</v>
      </c>
      <c r="K652" s="246">
        <v>4</v>
      </c>
      <c r="L652" s="644">
        <f t="shared" ref="L652:L663" si="212">I652/K652</f>
        <v>240</v>
      </c>
      <c r="M652" s="645">
        <v>46022</v>
      </c>
      <c r="N652" s="645">
        <v>46018</v>
      </c>
      <c r="O652" s="643"/>
      <c r="P652" s="824" t="s">
        <v>113</v>
      </c>
      <c r="Q652" s="646"/>
      <c r="R652" s="646" t="s">
        <v>2184</v>
      </c>
      <c r="S652" s="646" t="s">
        <v>70</v>
      </c>
      <c r="T652" s="646" t="s">
        <v>148</v>
      </c>
      <c r="U652" s="646"/>
      <c r="V652" s="646"/>
      <c r="W652" s="642"/>
      <c r="X652" s="642" t="s">
        <v>1395</v>
      </c>
      <c r="Y652" s="647" t="s">
        <v>106</v>
      </c>
      <c r="Z652" s="657">
        <v>2.5537</v>
      </c>
      <c r="AA652" s="647">
        <f t="shared" si="211"/>
        <v>2451.552</v>
      </c>
      <c r="AB652" s="551"/>
      <c r="AC652" s="698" t="s">
        <v>2586</v>
      </c>
      <c r="AD652" s="633" t="s">
        <v>101</v>
      </c>
      <c r="AE652" s="246" t="s">
        <v>82</v>
      </c>
      <c r="AF652" s="246"/>
      <c r="AG652" s="246"/>
      <c r="AH652" s="246">
        <v>1</v>
      </c>
      <c r="AI652" s="246">
        <v>960</v>
      </c>
      <c r="AJ652" s="246">
        <f t="shared" si="205"/>
        <v>0</v>
      </c>
      <c r="AK652" s="246"/>
      <c r="AL652" s="246"/>
      <c r="AM652" s="551"/>
      <c r="AN652" s="551">
        <f t="shared" si="206"/>
        <v>960</v>
      </c>
      <c r="AO652" s="551"/>
      <c r="AP652" s="551"/>
      <c r="AQ652" s="551"/>
      <c r="AR652" s="551">
        <f>I652</f>
        <v>960</v>
      </c>
      <c r="AS652" s="551"/>
      <c r="AT652" s="551"/>
      <c r="AU652" s="551">
        <f t="shared" si="209"/>
        <v>960</v>
      </c>
      <c r="AV652" s="551"/>
      <c r="AW652" s="551">
        <f t="shared" si="210"/>
        <v>960</v>
      </c>
      <c r="AX652" s="651"/>
      <c r="AY652" s="551"/>
      <c r="AZ652" s="551"/>
      <c r="BA652" s="551"/>
      <c r="BB652" s="551"/>
      <c r="BC652" s="551"/>
      <c r="BD652" s="551"/>
      <c r="BE652" s="551"/>
      <c r="BF652" s="551"/>
      <c r="BG652" s="551"/>
      <c r="BH652" s="825">
        <f>I652/4</f>
        <v>240</v>
      </c>
      <c r="BI652" s="551"/>
      <c r="BJ652" s="551"/>
      <c r="BK652" s="551"/>
      <c r="BL652" s="551"/>
      <c r="BM652" s="551"/>
      <c r="BN652" s="551"/>
      <c r="BO652" s="551"/>
      <c r="BP652" s="551"/>
      <c r="BQ652" s="551"/>
      <c r="BR652" s="551"/>
      <c r="BS652" s="551"/>
      <c r="BT652" s="551"/>
      <c r="BU652" s="551"/>
      <c r="BV652" s="551"/>
      <c r="BW652" s="551"/>
      <c r="BX652" s="551"/>
      <c r="BY652" s="551"/>
      <c r="BZ652" s="551"/>
      <c r="CA652" s="551"/>
      <c r="CB652" s="551"/>
      <c r="CC652" s="551"/>
      <c r="CD652" s="551"/>
      <c r="CE652" s="551"/>
      <c r="CF652" s="551"/>
      <c r="CG652" s="551"/>
      <c r="CH652" s="650"/>
      <c r="CI652" s="650"/>
      <c r="CJ652" s="650"/>
      <c r="CK652" s="650"/>
      <c r="CL652" s="650"/>
      <c r="CM652" s="551"/>
      <c r="CN652" s="551"/>
      <c r="CO652" s="551"/>
      <c r="CP652" s="650"/>
      <c r="CQ652" s="650"/>
      <c r="CR652" s="650"/>
      <c r="CS652" s="650"/>
      <c r="CT652" s="650"/>
      <c r="CU652" s="650"/>
    </row>
    <row r="653" s="1265" customFormat="1" ht="31" customHeight="1" spans="1:99">
      <c r="A653" s="641">
        <v>45975</v>
      </c>
      <c r="B653" s="642" t="s">
        <v>935</v>
      </c>
      <c r="C653" s="246" t="s">
        <v>302</v>
      </c>
      <c r="D653" s="1333">
        <v>4500185790</v>
      </c>
      <c r="E653" s="246">
        <v>4400520724</v>
      </c>
      <c r="F653" s="551" t="s">
        <v>2616</v>
      </c>
      <c r="G653" s="659" t="s">
        <v>164</v>
      </c>
      <c r="H653" s="246" t="s">
        <v>112</v>
      </c>
      <c r="I653" s="246">
        <v>1200</v>
      </c>
      <c r="J653" s="246">
        <v>0</v>
      </c>
      <c r="K653" s="246">
        <v>8</v>
      </c>
      <c r="L653" s="644">
        <f t="shared" si="212"/>
        <v>150</v>
      </c>
      <c r="M653" s="645">
        <v>46022</v>
      </c>
      <c r="N653" s="645">
        <v>46018</v>
      </c>
      <c r="O653" s="643"/>
      <c r="P653" s="824" t="s">
        <v>113</v>
      </c>
      <c r="Q653" s="646"/>
      <c r="R653" s="646">
        <v>45975</v>
      </c>
      <c r="S653" s="646" t="s">
        <v>70</v>
      </c>
      <c r="T653" s="646" t="s">
        <v>165</v>
      </c>
      <c r="U653" s="646"/>
      <c r="V653" s="646"/>
      <c r="W653" s="642"/>
      <c r="X653" s="642" t="s">
        <v>2617</v>
      </c>
      <c r="Y653" s="647" t="s">
        <v>1549</v>
      </c>
      <c r="Z653" s="657">
        <v>4.2714</v>
      </c>
      <c r="AA653" s="647">
        <f t="shared" si="211"/>
        <v>5125.68</v>
      </c>
      <c r="AB653" s="551"/>
      <c r="AC653" s="648" t="s">
        <v>2618</v>
      </c>
      <c r="AD653" s="633" t="s">
        <v>2381</v>
      </c>
      <c r="AE653" s="246" t="s">
        <v>82</v>
      </c>
      <c r="AF653" s="246"/>
      <c r="AG653" s="246"/>
      <c r="AH653" s="246">
        <v>1</v>
      </c>
      <c r="AI653" s="246">
        <v>1200</v>
      </c>
      <c r="AJ653" s="246">
        <f t="shared" si="205"/>
        <v>0</v>
      </c>
      <c r="AK653" s="246"/>
      <c r="AL653" s="246"/>
      <c r="AM653" s="551"/>
      <c r="AN653" s="551">
        <f t="shared" si="206"/>
        <v>1200</v>
      </c>
      <c r="AO653" s="551"/>
      <c r="AP653" s="551"/>
      <c r="AQ653" s="551"/>
      <c r="AR653" s="551"/>
      <c r="AS653" s="551">
        <f>I653</f>
        <v>1200</v>
      </c>
      <c r="AT653" s="551"/>
      <c r="AU653" s="551">
        <f t="shared" si="209"/>
        <v>1200</v>
      </c>
      <c r="AV653" s="551"/>
      <c r="AW653" s="551">
        <f t="shared" si="210"/>
        <v>1200</v>
      </c>
      <c r="AX653" s="651"/>
      <c r="AY653" s="551"/>
      <c r="AZ653" s="551"/>
      <c r="BA653" s="551"/>
      <c r="BB653" s="551"/>
      <c r="BC653" s="551"/>
      <c r="BD653" s="551"/>
      <c r="BE653" s="551"/>
      <c r="BF653" s="551"/>
      <c r="BG653" s="551"/>
      <c r="BH653" s="551"/>
      <c r="BI653" s="825">
        <f>I653/4</f>
        <v>300</v>
      </c>
      <c r="BJ653" s="551"/>
      <c r="BK653" s="551"/>
      <c r="BL653" s="551"/>
      <c r="BM653" s="551"/>
      <c r="BN653" s="551"/>
      <c r="BO653" s="551"/>
      <c r="BP653" s="551"/>
      <c r="BQ653" s="551"/>
      <c r="BR653" s="551"/>
      <c r="BS653" s="551"/>
      <c r="BT653" s="551"/>
      <c r="BU653" s="551"/>
      <c r="BV653" s="551"/>
      <c r="BW653" s="551"/>
      <c r="BX653" s="551"/>
      <c r="BY653" s="551"/>
      <c r="BZ653" s="551"/>
      <c r="CA653" s="551"/>
      <c r="CB653" s="551"/>
      <c r="CC653" s="551"/>
      <c r="CD653" s="551"/>
      <c r="CE653" s="551"/>
      <c r="CF653" s="551"/>
      <c r="CG653" s="551"/>
      <c r="CH653" s="650"/>
      <c r="CI653" s="650"/>
      <c r="CJ653" s="650"/>
      <c r="CK653" s="650"/>
      <c r="CL653" s="650"/>
      <c r="CM653" s="551"/>
      <c r="CN653" s="551"/>
      <c r="CO653" s="551"/>
      <c r="CP653" s="650"/>
      <c r="CQ653" s="650"/>
      <c r="CR653" s="650"/>
      <c r="CS653" s="650"/>
      <c r="CT653" s="650"/>
      <c r="CU653" s="650"/>
    </row>
    <row r="654" s="1265" customFormat="1" ht="31" customHeight="1" spans="1:99">
      <c r="A654" s="641">
        <v>45978</v>
      </c>
      <c r="B654" s="642" t="s">
        <v>1620</v>
      </c>
      <c r="C654" s="246" t="s">
        <v>278</v>
      </c>
      <c r="D654" s="551">
        <v>4500185868</v>
      </c>
      <c r="E654" s="246">
        <v>4400518294</v>
      </c>
      <c r="F654" s="551" t="s">
        <v>2619</v>
      </c>
      <c r="G654" s="659" t="s">
        <v>164</v>
      </c>
      <c r="H654" s="246" t="s">
        <v>112</v>
      </c>
      <c r="I654" s="246">
        <v>4504</v>
      </c>
      <c r="J654" s="246">
        <v>0</v>
      </c>
      <c r="K654" s="246">
        <v>8</v>
      </c>
      <c r="L654" s="644">
        <f t="shared" si="212"/>
        <v>563</v>
      </c>
      <c r="M654" s="645">
        <v>46027</v>
      </c>
      <c r="N654" s="645">
        <v>46023</v>
      </c>
      <c r="O654" s="643"/>
      <c r="P654" s="824" t="s">
        <v>113</v>
      </c>
      <c r="Q654" s="646"/>
      <c r="R654" s="646">
        <v>45987</v>
      </c>
      <c r="S654" s="646" t="s">
        <v>70</v>
      </c>
      <c r="T654" s="646" t="s">
        <v>165</v>
      </c>
      <c r="U654" s="646"/>
      <c r="V654" s="646"/>
      <c r="W654" s="642"/>
      <c r="X654" s="642" t="s">
        <v>2620</v>
      </c>
      <c r="Y654" s="647" t="s">
        <v>1549</v>
      </c>
      <c r="Z654" s="657">
        <v>4.2174</v>
      </c>
      <c r="AA654" s="647">
        <f t="shared" si="211"/>
        <v>18995.1696</v>
      </c>
      <c r="AB654" s="551"/>
      <c r="AC654" s="648" t="s">
        <v>2621</v>
      </c>
      <c r="AD654" s="633" t="s">
        <v>2381</v>
      </c>
      <c r="AE654" s="246" t="s">
        <v>82</v>
      </c>
      <c r="AF654" s="246"/>
      <c r="AG654" s="246"/>
      <c r="AH654" s="246">
        <v>1</v>
      </c>
      <c r="AI654" s="246">
        <f>4472+32</f>
        <v>4504</v>
      </c>
      <c r="AJ654" s="246">
        <f t="shared" si="205"/>
        <v>0</v>
      </c>
      <c r="AK654" s="246"/>
      <c r="AL654" s="246"/>
      <c r="AM654" s="551"/>
      <c r="AN654" s="551">
        <f t="shared" si="206"/>
        <v>4504</v>
      </c>
      <c r="AO654" s="551"/>
      <c r="AP654" s="551"/>
      <c r="AQ654" s="551"/>
      <c r="AR654" s="551"/>
      <c r="AS654" s="551">
        <f>I654</f>
        <v>4504</v>
      </c>
      <c r="AT654" s="551"/>
      <c r="AU654" s="551">
        <f t="shared" si="209"/>
        <v>4504</v>
      </c>
      <c r="AV654" s="551"/>
      <c r="AW654" s="551">
        <f t="shared" si="210"/>
        <v>4504</v>
      </c>
      <c r="AX654" s="651"/>
      <c r="AY654" s="551"/>
      <c r="AZ654" s="551"/>
      <c r="BA654" s="551"/>
      <c r="BB654" s="551"/>
      <c r="BC654" s="551"/>
      <c r="BD654" s="551"/>
      <c r="BE654" s="551"/>
      <c r="BF654" s="551"/>
      <c r="BG654" s="551"/>
      <c r="BH654" s="551"/>
      <c r="BI654" s="825">
        <f>I654/4</f>
        <v>1126</v>
      </c>
      <c r="BJ654" s="551"/>
      <c r="BK654" s="551"/>
      <c r="BL654" s="551"/>
      <c r="BM654" s="551"/>
      <c r="BN654" s="551"/>
      <c r="BO654" s="551"/>
      <c r="BP654" s="551"/>
      <c r="BQ654" s="551"/>
      <c r="BR654" s="551"/>
      <c r="BS654" s="551"/>
      <c r="BT654" s="551"/>
      <c r="BU654" s="551"/>
      <c r="BV654" s="551"/>
      <c r="BW654" s="551"/>
      <c r="BX654" s="551"/>
      <c r="BY654" s="551"/>
      <c r="BZ654" s="551"/>
      <c r="CA654" s="551"/>
      <c r="CB654" s="551"/>
      <c r="CC654" s="551"/>
      <c r="CD654" s="551"/>
      <c r="CE654" s="551"/>
      <c r="CF654" s="551"/>
      <c r="CG654" s="551"/>
      <c r="CH654" s="650"/>
      <c r="CI654" s="650"/>
      <c r="CJ654" s="650"/>
      <c r="CK654" s="650"/>
      <c r="CL654" s="650"/>
      <c r="CM654" s="551"/>
      <c r="CN654" s="551"/>
      <c r="CO654" s="551"/>
      <c r="CP654" s="650"/>
      <c r="CQ654" s="650"/>
      <c r="CR654" s="650"/>
      <c r="CS654" s="650"/>
      <c r="CT654" s="650"/>
      <c r="CU654" s="650"/>
    </row>
    <row r="655" s="1265" customFormat="1" ht="31" customHeight="1" spans="1:99">
      <c r="A655" s="641">
        <v>45980</v>
      </c>
      <c r="B655" s="642" t="s">
        <v>2622</v>
      </c>
      <c r="C655" s="246" t="s">
        <v>98</v>
      </c>
      <c r="D655" s="551">
        <v>4500186184</v>
      </c>
      <c r="E655" s="656">
        <v>40799199</v>
      </c>
      <c r="F655" s="551" t="s">
        <v>2623</v>
      </c>
      <c r="G655" s="659" t="s">
        <v>2624</v>
      </c>
      <c r="H655" s="246" t="s">
        <v>2625</v>
      </c>
      <c r="I655" s="656">
        <v>888</v>
      </c>
      <c r="J655" s="246">
        <v>0</v>
      </c>
      <c r="K655" s="246">
        <v>8</v>
      </c>
      <c r="L655" s="644">
        <f t="shared" si="212"/>
        <v>111</v>
      </c>
      <c r="M655" s="645">
        <v>46027</v>
      </c>
      <c r="N655" s="645">
        <v>46023</v>
      </c>
      <c r="O655" s="643"/>
      <c r="P655" s="824" t="s">
        <v>113</v>
      </c>
      <c r="Q655" s="646"/>
      <c r="R655" s="646">
        <v>46001</v>
      </c>
      <c r="S655" s="646" t="s">
        <v>70</v>
      </c>
      <c r="T655" s="646" t="s">
        <v>1435</v>
      </c>
      <c r="U655" s="646"/>
      <c r="V655" s="646"/>
      <c r="W655" s="642"/>
      <c r="X655" s="642" t="s">
        <v>2626</v>
      </c>
      <c r="Y655" s="647" t="s">
        <v>270</v>
      </c>
      <c r="Z655" s="657">
        <v>2.5469</v>
      </c>
      <c r="AA655" s="647">
        <f t="shared" si="211"/>
        <v>2261.6472</v>
      </c>
      <c r="AB655" s="551"/>
      <c r="AC655" s="658" t="s">
        <v>2627</v>
      </c>
      <c r="AD655" s="633" t="s">
        <v>2628</v>
      </c>
      <c r="AE655" s="246" t="s">
        <v>82</v>
      </c>
      <c r="AF655" s="246"/>
      <c r="AG655" s="246"/>
      <c r="AH655" s="246" t="s">
        <v>2629</v>
      </c>
      <c r="AI655" s="246">
        <v>888</v>
      </c>
      <c r="AJ655" s="246"/>
      <c r="AK655" s="246"/>
      <c r="AL655" s="246" t="s">
        <v>2368</v>
      </c>
      <c r="AM655" s="551"/>
      <c r="AN655" s="551">
        <f t="shared" si="206"/>
        <v>888</v>
      </c>
      <c r="AO655" s="551"/>
      <c r="AP655" s="551"/>
      <c r="AQ655" s="551"/>
      <c r="AR655" s="551"/>
      <c r="AS655" s="551">
        <f t="shared" ref="AS653:AS658" si="213">I655</f>
        <v>888</v>
      </c>
      <c r="AT655" s="551"/>
      <c r="AU655" s="551">
        <f t="shared" si="209"/>
        <v>888</v>
      </c>
      <c r="AV655" s="551"/>
      <c r="AW655" s="551">
        <f t="shared" si="210"/>
        <v>888</v>
      </c>
      <c r="AX655" s="651"/>
      <c r="AY655" s="551"/>
      <c r="AZ655" s="551"/>
      <c r="BA655" s="551"/>
      <c r="BB655" s="551"/>
      <c r="BC655" s="551"/>
      <c r="BD655" s="551"/>
      <c r="BE655" s="551"/>
      <c r="BF655" s="551"/>
      <c r="BG655" s="551"/>
      <c r="BH655" s="551"/>
      <c r="BI655" s="551"/>
      <c r="BJ655" s="551">
        <f>L655</f>
        <v>111</v>
      </c>
      <c r="BK655" s="551"/>
      <c r="BL655" s="551"/>
      <c r="BM655" s="551"/>
      <c r="BN655" s="551"/>
      <c r="BO655" s="551"/>
      <c r="BP655" s="551"/>
      <c r="BQ655" s="551"/>
      <c r="BR655" s="551"/>
      <c r="BS655" s="551"/>
      <c r="BT655" s="551"/>
      <c r="BU655" s="551"/>
      <c r="BV655" s="551"/>
      <c r="BW655" s="551"/>
      <c r="BX655" s="551"/>
      <c r="BY655" s="551"/>
      <c r="BZ655" s="551"/>
      <c r="CA655" s="551"/>
      <c r="CB655" s="551"/>
      <c r="CC655" s="551"/>
      <c r="CD655" s="551"/>
      <c r="CE655" s="551"/>
      <c r="CF655" s="551"/>
      <c r="CG655" s="551"/>
      <c r="CH655" s="650"/>
      <c r="CI655" s="650"/>
      <c r="CJ655" s="650"/>
      <c r="CK655" s="650"/>
      <c r="CL655" s="650"/>
      <c r="CM655" s="551"/>
      <c r="CN655" s="551"/>
      <c r="CO655" s="551"/>
      <c r="CP655" s="650"/>
      <c r="CQ655" s="650"/>
      <c r="CR655" s="650"/>
      <c r="CS655" s="650"/>
      <c r="CT655" s="650"/>
      <c r="CU655" s="650"/>
    </row>
    <row r="656" s="1265" customFormat="1" ht="31" customHeight="1" spans="1:99">
      <c r="A656" s="641">
        <v>46001</v>
      </c>
      <c r="B656" s="642" t="s">
        <v>2622</v>
      </c>
      <c r="C656" s="246" t="s">
        <v>98</v>
      </c>
      <c r="D656" s="551">
        <v>4500188579</v>
      </c>
      <c r="E656" s="246">
        <v>40799200</v>
      </c>
      <c r="F656" s="551" t="s">
        <v>2630</v>
      </c>
      <c r="G656" s="659" t="s">
        <v>2624</v>
      </c>
      <c r="H656" s="246" t="s">
        <v>2625</v>
      </c>
      <c r="I656" s="246">
        <v>408</v>
      </c>
      <c r="J656" s="246">
        <v>0</v>
      </c>
      <c r="K656" s="246">
        <v>8</v>
      </c>
      <c r="L656" s="644">
        <f t="shared" si="212"/>
        <v>51</v>
      </c>
      <c r="M656" s="645">
        <v>46027</v>
      </c>
      <c r="N656" s="645">
        <v>46023</v>
      </c>
      <c r="O656" s="1341" t="s">
        <v>2631</v>
      </c>
      <c r="P656" s="824" t="s">
        <v>113</v>
      </c>
      <c r="Q656" s="646"/>
      <c r="R656" s="646">
        <v>46001</v>
      </c>
      <c r="S656" s="646" t="s">
        <v>104</v>
      </c>
      <c r="T656" s="646" t="s">
        <v>2632</v>
      </c>
      <c r="U656" s="646"/>
      <c r="V656" s="646"/>
      <c r="W656" s="642"/>
      <c r="X656" s="642" t="s">
        <v>2633</v>
      </c>
      <c r="Y656" s="647" t="s">
        <v>270</v>
      </c>
      <c r="Z656" s="657">
        <v>2.55</v>
      </c>
      <c r="AA656" s="647">
        <f t="shared" si="211"/>
        <v>1040.4</v>
      </c>
      <c r="AB656" s="551"/>
      <c r="AC656" s="658" t="s">
        <v>2634</v>
      </c>
      <c r="AD656" s="633" t="s">
        <v>2628</v>
      </c>
      <c r="AE656" s="246" t="s">
        <v>82</v>
      </c>
      <c r="AF656" s="246"/>
      <c r="AG656" s="246"/>
      <c r="AH656" s="246">
        <v>1</v>
      </c>
      <c r="AI656" s="246">
        <v>408</v>
      </c>
      <c r="AJ656" s="246"/>
      <c r="AK656" s="246"/>
      <c r="AL656" s="246" t="s">
        <v>2368</v>
      </c>
      <c r="AM656" s="551"/>
      <c r="AN656" s="551">
        <f t="shared" si="206"/>
        <v>408</v>
      </c>
      <c r="AO656" s="551"/>
      <c r="AP656" s="551"/>
      <c r="AQ656" s="551"/>
      <c r="AR656" s="551"/>
      <c r="AS656" s="551">
        <f t="shared" si="213"/>
        <v>408</v>
      </c>
      <c r="AT656" s="551"/>
      <c r="AU656" s="551">
        <f t="shared" si="209"/>
        <v>408</v>
      </c>
      <c r="AV656" s="551"/>
      <c r="AW656" s="551">
        <f t="shared" si="210"/>
        <v>408</v>
      </c>
      <c r="AX656" s="651"/>
      <c r="AY656" s="551"/>
      <c r="AZ656" s="551"/>
      <c r="BA656" s="551"/>
      <c r="BB656" s="551"/>
      <c r="BC656" s="551"/>
      <c r="BD656" s="551"/>
      <c r="BE656" s="551"/>
      <c r="BF656" s="551"/>
      <c r="BG656" s="551"/>
      <c r="BH656" s="551"/>
      <c r="BI656" s="551"/>
      <c r="BJ656" s="551">
        <f>L656</f>
        <v>51</v>
      </c>
      <c r="BK656" s="551"/>
      <c r="BL656" s="551"/>
      <c r="BM656" s="551"/>
      <c r="BN656" s="551"/>
      <c r="BO656" s="551"/>
      <c r="BP656" s="551"/>
      <c r="BQ656" s="551"/>
      <c r="BR656" s="551"/>
      <c r="BS656" s="551"/>
      <c r="BT656" s="551"/>
      <c r="BU656" s="551"/>
      <c r="BV656" s="551"/>
      <c r="BW656" s="551"/>
      <c r="BX656" s="551"/>
      <c r="BY656" s="551"/>
      <c r="BZ656" s="551"/>
      <c r="CA656" s="551"/>
      <c r="CB656" s="551"/>
      <c r="CC656" s="551"/>
      <c r="CD656" s="551"/>
      <c r="CE656" s="551"/>
      <c r="CF656" s="551"/>
      <c r="CG656" s="551"/>
      <c r="CH656" s="650"/>
      <c r="CI656" s="650"/>
      <c r="CJ656" s="650"/>
      <c r="CK656" s="650"/>
      <c r="CL656" s="650"/>
      <c r="CM656" s="551"/>
      <c r="CN656" s="551"/>
      <c r="CO656" s="551"/>
      <c r="CP656" s="650"/>
      <c r="CQ656" s="650"/>
      <c r="CR656" s="650"/>
      <c r="CS656" s="650"/>
      <c r="CT656" s="650"/>
      <c r="CU656" s="650"/>
    </row>
    <row r="657" s="1265" customFormat="1" ht="31" customHeight="1" spans="1:99">
      <c r="A657" s="641">
        <v>46001</v>
      </c>
      <c r="B657" s="642" t="s">
        <v>2622</v>
      </c>
      <c r="C657" s="246" t="s">
        <v>98</v>
      </c>
      <c r="D657" s="551">
        <v>4500188596</v>
      </c>
      <c r="E657" s="246">
        <v>40799203</v>
      </c>
      <c r="F657" s="551" t="s">
        <v>2635</v>
      </c>
      <c r="G657" s="659" t="s">
        <v>2624</v>
      </c>
      <c r="H657" s="246" t="s">
        <v>2625</v>
      </c>
      <c r="I657" s="246">
        <v>752</v>
      </c>
      <c r="J657" s="246">
        <v>0</v>
      </c>
      <c r="K657" s="246">
        <v>8</v>
      </c>
      <c r="L657" s="644">
        <f t="shared" si="212"/>
        <v>94</v>
      </c>
      <c r="M657" s="645">
        <v>46027</v>
      </c>
      <c r="N657" s="645">
        <v>46023</v>
      </c>
      <c r="O657" s="1341" t="s">
        <v>2631</v>
      </c>
      <c r="P657" s="824" t="s">
        <v>113</v>
      </c>
      <c r="Q657" s="646"/>
      <c r="R657" s="646">
        <v>46001</v>
      </c>
      <c r="S657" s="646" t="s">
        <v>104</v>
      </c>
      <c r="T657" s="646" t="s">
        <v>2632</v>
      </c>
      <c r="U657" s="646"/>
      <c r="V657" s="646"/>
      <c r="W657" s="642"/>
      <c r="X657" s="642" t="s">
        <v>2633</v>
      </c>
      <c r="Y657" s="647" t="s">
        <v>270</v>
      </c>
      <c r="Z657" s="657">
        <v>2.55</v>
      </c>
      <c r="AA657" s="647">
        <f t="shared" si="211"/>
        <v>1917.6</v>
      </c>
      <c r="AB657" s="551"/>
      <c r="AC657" s="658" t="s">
        <v>2636</v>
      </c>
      <c r="AD657" s="633" t="s">
        <v>2628</v>
      </c>
      <c r="AE657" s="246" t="s">
        <v>82</v>
      </c>
      <c r="AF657" s="246"/>
      <c r="AG657" s="246"/>
      <c r="AH657" s="246">
        <v>1</v>
      </c>
      <c r="AI657" s="246">
        <v>752</v>
      </c>
      <c r="AJ657" s="246"/>
      <c r="AK657" s="246"/>
      <c r="AL657" s="246" t="s">
        <v>2368</v>
      </c>
      <c r="AM657" s="551"/>
      <c r="AN657" s="551">
        <f t="shared" si="206"/>
        <v>752</v>
      </c>
      <c r="AO657" s="551"/>
      <c r="AP657" s="551"/>
      <c r="AQ657" s="551"/>
      <c r="AR657" s="551"/>
      <c r="AS657" s="551">
        <f t="shared" si="213"/>
        <v>752</v>
      </c>
      <c r="AT657" s="551"/>
      <c r="AU657" s="551">
        <f t="shared" si="209"/>
        <v>752</v>
      </c>
      <c r="AV657" s="551"/>
      <c r="AW657" s="551">
        <f t="shared" si="210"/>
        <v>752</v>
      </c>
      <c r="AX657" s="651"/>
      <c r="AY657" s="551"/>
      <c r="AZ657" s="551"/>
      <c r="BA657" s="551"/>
      <c r="BB657" s="551"/>
      <c r="BC657" s="551"/>
      <c r="BD657" s="551"/>
      <c r="BE657" s="551"/>
      <c r="BF657" s="551"/>
      <c r="BG657" s="551"/>
      <c r="BH657" s="551"/>
      <c r="BI657" s="551"/>
      <c r="BJ657" s="551">
        <f>L657</f>
        <v>94</v>
      </c>
      <c r="BK657" s="551"/>
      <c r="BL657" s="551"/>
      <c r="BM657" s="551"/>
      <c r="BN657" s="551"/>
      <c r="BO657" s="551"/>
      <c r="BP657" s="551"/>
      <c r="BQ657" s="551"/>
      <c r="BR657" s="551"/>
      <c r="BS657" s="551"/>
      <c r="BT657" s="551"/>
      <c r="BU657" s="551"/>
      <c r="BV657" s="551"/>
      <c r="BW657" s="551"/>
      <c r="BX657" s="551"/>
      <c r="BY657" s="551"/>
      <c r="BZ657" s="551"/>
      <c r="CA657" s="551"/>
      <c r="CB657" s="551"/>
      <c r="CC657" s="551"/>
      <c r="CD657" s="551"/>
      <c r="CE657" s="551"/>
      <c r="CF657" s="551"/>
      <c r="CG657" s="551"/>
      <c r="CH657" s="650"/>
      <c r="CI657" s="650"/>
      <c r="CJ657" s="650"/>
      <c r="CK657" s="650"/>
      <c r="CL657" s="650"/>
      <c r="CM657" s="551"/>
      <c r="CN657" s="551"/>
      <c r="CO657" s="551"/>
      <c r="CP657" s="650"/>
      <c r="CQ657" s="650"/>
      <c r="CR657" s="650"/>
      <c r="CS657" s="650"/>
      <c r="CT657" s="650"/>
      <c r="CU657" s="650"/>
    </row>
    <row r="658" s="1265" customFormat="1" ht="31" customHeight="1" spans="1:99">
      <c r="A658" s="641">
        <v>45971</v>
      </c>
      <c r="B658" s="642" t="s">
        <v>2637</v>
      </c>
      <c r="C658" s="246" t="s">
        <v>469</v>
      </c>
      <c r="D658" s="551">
        <v>4500185039</v>
      </c>
      <c r="E658" s="246">
        <v>4500157038</v>
      </c>
      <c r="F658" s="551" t="s">
        <v>2638</v>
      </c>
      <c r="G658" s="659" t="s">
        <v>68</v>
      </c>
      <c r="H658" s="633" t="s">
        <v>69</v>
      </c>
      <c r="I658" s="246">
        <v>2400</v>
      </c>
      <c r="J658" s="246">
        <v>0</v>
      </c>
      <c r="K658" s="246">
        <v>12</v>
      </c>
      <c r="L658" s="644">
        <f t="shared" si="212"/>
        <v>200</v>
      </c>
      <c r="M658" s="645">
        <v>46028</v>
      </c>
      <c r="N658" s="645">
        <v>46024</v>
      </c>
      <c r="O658" s="643"/>
      <c r="P658" s="824" t="s">
        <v>113</v>
      </c>
      <c r="Q658" s="646"/>
      <c r="R658" s="646">
        <v>45972</v>
      </c>
      <c r="S658" s="646" t="s">
        <v>70</v>
      </c>
      <c r="T658" s="646" t="s">
        <v>2639</v>
      </c>
      <c r="U658" s="646"/>
      <c r="V658" s="646"/>
      <c r="W658" s="642"/>
      <c r="X658" s="642" t="s">
        <v>2640</v>
      </c>
      <c r="Y658" s="647" t="s">
        <v>505</v>
      </c>
      <c r="Z658" s="657">
        <v>4.1569</v>
      </c>
      <c r="AA658" s="647">
        <f t="shared" si="211"/>
        <v>9976.56</v>
      </c>
      <c r="AB658" s="551"/>
      <c r="AC658" s="648" t="s">
        <v>2641</v>
      </c>
      <c r="AD658" s="633" t="s">
        <v>184</v>
      </c>
      <c r="AE658" s="246" t="s">
        <v>82</v>
      </c>
      <c r="AF658" s="246"/>
      <c r="AG658" s="246"/>
      <c r="AH658" s="246">
        <v>1</v>
      </c>
      <c r="AI658" s="246">
        <v>2400</v>
      </c>
      <c r="AJ658" s="643">
        <f t="shared" ref="AJ658:AJ670" si="214">AI658-I658</f>
        <v>0</v>
      </c>
      <c r="AK658" s="246"/>
      <c r="AL658" s="246"/>
      <c r="AM658" s="551"/>
      <c r="AN658" s="551">
        <f t="shared" si="206"/>
        <v>2400</v>
      </c>
      <c r="AO658" s="551"/>
      <c r="AP658" s="551"/>
      <c r="AQ658" s="551"/>
      <c r="AR658" s="551"/>
      <c r="AS658" s="551">
        <f t="shared" si="213"/>
        <v>2400</v>
      </c>
      <c r="AT658" s="551"/>
      <c r="AU658" s="551">
        <f t="shared" si="209"/>
        <v>2400</v>
      </c>
      <c r="AV658" s="551"/>
      <c r="AW658" s="551">
        <f t="shared" si="210"/>
        <v>2400</v>
      </c>
      <c r="AX658" s="651"/>
      <c r="AY658" s="551"/>
      <c r="AZ658" s="551"/>
      <c r="BA658" s="551"/>
      <c r="BB658" s="551"/>
      <c r="BC658" s="551"/>
      <c r="BD658" s="551"/>
      <c r="BE658" s="551"/>
      <c r="BF658" s="551"/>
      <c r="BG658" s="551"/>
      <c r="BH658" s="551"/>
      <c r="BI658" s="551"/>
      <c r="BJ658" s="551"/>
      <c r="BK658" s="551"/>
      <c r="BL658" s="551"/>
      <c r="BM658" s="551"/>
      <c r="BN658" s="551"/>
      <c r="BO658" s="551"/>
      <c r="BP658" s="551"/>
      <c r="BQ658" s="551"/>
      <c r="BR658" s="551"/>
      <c r="BS658" s="551"/>
      <c r="BT658" s="551"/>
      <c r="BU658" s="551"/>
      <c r="BV658" s="551"/>
      <c r="BW658" s="551"/>
      <c r="BX658" s="551"/>
      <c r="BY658" s="551"/>
      <c r="BZ658" s="551"/>
      <c r="CA658" s="551"/>
      <c r="CB658" s="551"/>
      <c r="CC658" s="551"/>
      <c r="CD658" s="551"/>
      <c r="CE658" s="551"/>
      <c r="CF658" s="551"/>
      <c r="CG658" s="551"/>
      <c r="CH658" s="650"/>
      <c r="CI658" s="650"/>
      <c r="CJ658" s="650"/>
      <c r="CK658" s="650"/>
      <c r="CL658" s="650"/>
      <c r="CM658" s="551"/>
      <c r="CN658" s="551"/>
      <c r="CO658" s="551"/>
      <c r="CP658" s="650"/>
      <c r="CQ658" s="650"/>
      <c r="CR658" s="650"/>
      <c r="CS658" s="650"/>
      <c r="CT658" s="650"/>
      <c r="CU658" s="650"/>
    </row>
    <row r="659" s="1265" customFormat="1" ht="31" customHeight="1" spans="1:99">
      <c r="A659" s="641">
        <v>45986</v>
      </c>
      <c r="B659" s="642" t="s">
        <v>611</v>
      </c>
      <c r="C659" s="246" t="s">
        <v>612</v>
      </c>
      <c r="D659" s="551">
        <v>4500186877</v>
      </c>
      <c r="E659" s="246"/>
      <c r="F659" s="551" t="s">
        <v>2642</v>
      </c>
      <c r="G659" s="659" t="s">
        <v>68</v>
      </c>
      <c r="H659" s="633" t="s">
        <v>69</v>
      </c>
      <c r="I659" s="246">
        <v>804</v>
      </c>
      <c r="J659" s="246">
        <v>0</v>
      </c>
      <c r="K659" s="246">
        <v>12</v>
      </c>
      <c r="L659" s="644">
        <f t="shared" si="212"/>
        <v>67</v>
      </c>
      <c r="M659" s="645">
        <v>46028</v>
      </c>
      <c r="N659" s="645">
        <v>46024</v>
      </c>
      <c r="O659" s="643"/>
      <c r="P659" s="824" t="s">
        <v>113</v>
      </c>
      <c r="Q659" s="646"/>
      <c r="R659" s="646">
        <v>45989</v>
      </c>
      <c r="S659" s="646" t="s">
        <v>70</v>
      </c>
      <c r="T659" s="646" t="s">
        <v>2643</v>
      </c>
      <c r="U659" s="646"/>
      <c r="V659" s="646"/>
      <c r="W659" s="642"/>
      <c r="X659" s="749" t="s">
        <v>2644</v>
      </c>
      <c r="Y659" s="647" t="s">
        <v>615</v>
      </c>
      <c r="Z659" s="657">
        <v>4.1623</v>
      </c>
      <c r="AA659" s="647">
        <f t="shared" si="211"/>
        <v>3346.4892</v>
      </c>
      <c r="AB659" s="551"/>
      <c r="AC659" s="705" t="s">
        <v>2645</v>
      </c>
      <c r="AD659" s="633" t="s">
        <v>68</v>
      </c>
      <c r="AE659" s="246" t="s">
        <v>82</v>
      </c>
      <c r="AF659" s="246"/>
      <c r="AG659" s="246"/>
      <c r="AH659" s="246">
        <v>1</v>
      </c>
      <c r="AI659" s="246">
        <v>804</v>
      </c>
      <c r="AJ659" s="643">
        <f t="shared" si="214"/>
        <v>0</v>
      </c>
      <c r="AK659" s="246"/>
      <c r="AL659" s="246" t="s">
        <v>2368</v>
      </c>
      <c r="AM659" s="551"/>
      <c r="AN659" s="551">
        <f t="shared" si="206"/>
        <v>804</v>
      </c>
      <c r="AO659" s="551"/>
      <c r="AP659" s="551"/>
      <c r="AQ659" s="551"/>
      <c r="AR659" s="551">
        <f>I659</f>
        <v>804</v>
      </c>
      <c r="AS659" s="551"/>
      <c r="AT659" s="551"/>
      <c r="AU659" s="551">
        <f t="shared" si="209"/>
        <v>804</v>
      </c>
      <c r="AV659" s="551"/>
      <c r="AW659" s="551">
        <f t="shared" si="210"/>
        <v>804</v>
      </c>
      <c r="AX659" s="651"/>
      <c r="AY659" s="551"/>
      <c r="AZ659" s="551"/>
      <c r="BA659" s="551"/>
      <c r="BB659" s="551"/>
      <c r="BC659" s="551"/>
      <c r="BD659" s="551"/>
      <c r="BE659" s="551"/>
      <c r="BF659" s="551"/>
      <c r="BG659" s="551"/>
      <c r="BH659" s="551"/>
      <c r="BI659" s="551"/>
      <c r="BJ659" s="551"/>
      <c r="BK659" s="551"/>
      <c r="BL659" s="551"/>
      <c r="BM659" s="551"/>
      <c r="BN659" s="551"/>
      <c r="BO659" s="551"/>
      <c r="BP659" s="551"/>
      <c r="BQ659" s="551"/>
      <c r="BR659" s="551"/>
      <c r="BS659" s="551"/>
      <c r="BT659" s="551"/>
      <c r="BU659" s="551"/>
      <c r="BV659" s="551"/>
      <c r="BW659" s="551"/>
      <c r="BX659" s="551"/>
      <c r="BY659" s="551"/>
      <c r="BZ659" s="551"/>
      <c r="CA659" s="551"/>
      <c r="CB659" s="551"/>
      <c r="CC659" s="551"/>
      <c r="CD659" s="551"/>
      <c r="CE659" s="551"/>
      <c r="CF659" s="551"/>
      <c r="CG659" s="551"/>
      <c r="CH659" s="650"/>
      <c r="CI659" s="650"/>
      <c r="CJ659" s="650"/>
      <c r="CK659" s="650"/>
      <c r="CL659" s="650"/>
      <c r="CM659" s="551"/>
      <c r="CN659" s="551"/>
      <c r="CO659" s="551"/>
      <c r="CP659" s="650"/>
      <c r="CQ659" s="650"/>
      <c r="CR659" s="650"/>
      <c r="CS659" s="650"/>
      <c r="CT659" s="650"/>
      <c r="CU659" s="650"/>
    </row>
    <row r="660" s="1265" customFormat="1" ht="31" customHeight="1" spans="1:99">
      <c r="A660" s="641">
        <v>45987</v>
      </c>
      <c r="B660" s="642" t="s">
        <v>312</v>
      </c>
      <c r="C660" s="246" t="s">
        <v>278</v>
      </c>
      <c r="D660" s="551">
        <v>4500185474</v>
      </c>
      <c r="E660" s="246" t="s">
        <v>2646</v>
      </c>
      <c r="F660" s="551" t="s">
        <v>2647</v>
      </c>
      <c r="G660" s="659" t="s">
        <v>111</v>
      </c>
      <c r="H660" s="246" t="s">
        <v>112</v>
      </c>
      <c r="I660" s="246">
        <v>4000</v>
      </c>
      <c r="J660" s="246">
        <v>0</v>
      </c>
      <c r="K660" s="246">
        <v>16</v>
      </c>
      <c r="L660" s="644">
        <f t="shared" si="212"/>
        <v>250</v>
      </c>
      <c r="M660" s="645">
        <v>46028</v>
      </c>
      <c r="N660" s="645">
        <v>46024</v>
      </c>
      <c r="O660" s="643"/>
      <c r="P660" s="824" t="s">
        <v>113</v>
      </c>
      <c r="Q660" s="646"/>
      <c r="R660" s="646">
        <v>45987</v>
      </c>
      <c r="S660" s="646" t="s">
        <v>70</v>
      </c>
      <c r="T660" s="646" t="s">
        <v>2648</v>
      </c>
      <c r="U660" s="646"/>
      <c r="V660" s="646"/>
      <c r="W660" s="642"/>
      <c r="X660" s="642" t="s">
        <v>2649</v>
      </c>
      <c r="Y660" s="647" t="s">
        <v>2199</v>
      </c>
      <c r="Z660" s="657">
        <v>4.2489</v>
      </c>
      <c r="AA660" s="647">
        <f t="shared" si="211"/>
        <v>16995.6</v>
      </c>
      <c r="AB660" s="551"/>
      <c r="AC660" s="648" t="s">
        <v>2650</v>
      </c>
      <c r="AD660" s="633" t="s">
        <v>111</v>
      </c>
      <c r="AE660" s="246" t="s">
        <v>82</v>
      </c>
      <c r="AF660" s="246"/>
      <c r="AG660" s="246"/>
      <c r="AH660" s="246">
        <v>1</v>
      </c>
      <c r="AI660" s="246">
        <v>4000</v>
      </c>
      <c r="AJ660" s="643">
        <f t="shared" si="214"/>
        <v>0</v>
      </c>
      <c r="AK660" s="246"/>
      <c r="AL660" s="246"/>
      <c r="AM660" s="551"/>
      <c r="AN660" s="551">
        <f t="shared" si="206"/>
        <v>4000</v>
      </c>
      <c r="AO660" s="551"/>
      <c r="AP660" s="551"/>
      <c r="AQ660" s="551"/>
      <c r="AR660" s="551">
        <f>I660</f>
        <v>4000</v>
      </c>
      <c r="AS660" s="551"/>
      <c r="AT660" s="551"/>
      <c r="AU660" s="551">
        <f t="shared" si="209"/>
        <v>4000</v>
      </c>
      <c r="AV660" s="551"/>
      <c r="AW660" s="551">
        <f t="shared" si="210"/>
        <v>4000</v>
      </c>
      <c r="AX660" s="651"/>
      <c r="AY660" s="551"/>
      <c r="AZ660" s="551"/>
      <c r="BA660" s="551"/>
      <c r="BB660" s="551"/>
      <c r="BC660" s="551"/>
      <c r="BD660" s="551"/>
      <c r="BE660" s="551"/>
      <c r="BF660" s="551"/>
      <c r="BG660" s="551"/>
      <c r="BH660" s="825">
        <f>I660/4</f>
        <v>1000</v>
      </c>
      <c r="BI660" s="551"/>
      <c r="BJ660" s="551"/>
      <c r="BK660" s="551"/>
      <c r="BL660" s="551"/>
      <c r="BM660" s="551"/>
      <c r="BN660" s="551"/>
      <c r="BO660" s="551"/>
      <c r="BP660" s="551"/>
      <c r="BQ660" s="551"/>
      <c r="BR660" s="551"/>
      <c r="BS660" s="551"/>
      <c r="BT660" s="551"/>
      <c r="BU660" s="551"/>
      <c r="BV660" s="551"/>
      <c r="BW660" s="551"/>
      <c r="BX660" s="551"/>
      <c r="BY660" s="551"/>
      <c r="BZ660" s="551"/>
      <c r="CA660" s="551"/>
      <c r="CB660" s="551"/>
      <c r="CC660" s="551"/>
      <c r="CD660" s="551"/>
      <c r="CE660" s="551"/>
      <c r="CF660" s="551"/>
      <c r="CG660" s="551"/>
      <c r="CH660" s="650"/>
      <c r="CI660" s="650"/>
      <c r="CJ660" s="650"/>
      <c r="CK660" s="650"/>
      <c r="CL660" s="650"/>
      <c r="CM660" s="551"/>
      <c r="CN660" s="551"/>
      <c r="CO660" s="551"/>
      <c r="CP660" s="650"/>
      <c r="CQ660" s="650"/>
      <c r="CR660" s="650"/>
      <c r="CS660" s="650"/>
      <c r="CT660" s="650"/>
      <c r="CU660" s="650"/>
    </row>
    <row r="661" s="1265" customFormat="1" ht="31" customHeight="1" spans="1:99">
      <c r="A661" s="641">
        <v>45953</v>
      </c>
      <c r="B661" s="642" t="s">
        <v>2651</v>
      </c>
      <c r="C661" s="246" t="s">
        <v>302</v>
      </c>
      <c r="D661" s="551">
        <v>4500182683</v>
      </c>
      <c r="E661" s="246">
        <v>5200008007</v>
      </c>
      <c r="F661" s="551" t="s">
        <v>2652</v>
      </c>
      <c r="G661" s="659" t="s">
        <v>156</v>
      </c>
      <c r="H661" s="246" t="s">
        <v>102</v>
      </c>
      <c r="I661" s="246">
        <v>3400</v>
      </c>
      <c r="J661" s="246">
        <v>0</v>
      </c>
      <c r="K661" s="246">
        <v>4</v>
      </c>
      <c r="L661" s="644">
        <f t="shared" si="212"/>
        <v>850</v>
      </c>
      <c r="M661" s="645">
        <v>46029</v>
      </c>
      <c r="N661" s="645">
        <v>46025</v>
      </c>
      <c r="O661" s="643"/>
      <c r="P661" s="824" t="s">
        <v>113</v>
      </c>
      <c r="Q661" s="646"/>
      <c r="R661" s="646">
        <v>45960</v>
      </c>
      <c r="S661" s="646" t="s">
        <v>70</v>
      </c>
      <c r="T661" s="646" t="s">
        <v>70</v>
      </c>
      <c r="U661" s="646"/>
      <c r="V661" s="642"/>
      <c r="W661" s="642"/>
      <c r="X661" s="642" t="s">
        <v>2653</v>
      </c>
      <c r="Y661" s="1014" t="s">
        <v>305</v>
      </c>
      <c r="Z661" s="657">
        <v>4.2946</v>
      </c>
      <c r="AA661" s="647">
        <f t="shared" si="211"/>
        <v>14601.64</v>
      </c>
      <c r="AB661" s="551"/>
      <c r="AC661" s="648" t="s">
        <v>2654</v>
      </c>
      <c r="AD661" s="633" t="s">
        <v>156</v>
      </c>
      <c r="AE661" s="246" t="s">
        <v>82</v>
      </c>
      <c r="AF661" s="246"/>
      <c r="AG661" s="246"/>
      <c r="AH661" s="246">
        <v>1</v>
      </c>
      <c r="AI661" s="246">
        <v>3400</v>
      </c>
      <c r="AJ661" s="246">
        <f t="shared" si="214"/>
        <v>0</v>
      </c>
      <c r="AK661" s="246"/>
      <c r="AL661" s="246"/>
      <c r="AM661" s="551"/>
      <c r="AN661" s="551">
        <f t="shared" si="206"/>
        <v>3400</v>
      </c>
      <c r="AO661" s="1331"/>
      <c r="AP661" s="1331"/>
      <c r="AQ661" s="1331"/>
      <c r="AR661" s="551"/>
      <c r="AS661" s="551">
        <f>I661</f>
        <v>3400</v>
      </c>
      <c r="AT661" s="551"/>
      <c r="AU661" s="551">
        <f t="shared" si="209"/>
        <v>3400</v>
      </c>
      <c r="AV661" s="551"/>
      <c r="AW661" s="551">
        <f t="shared" si="210"/>
        <v>3400</v>
      </c>
      <c r="AX661" s="651"/>
      <c r="AY661" s="551"/>
      <c r="AZ661" s="551"/>
      <c r="BA661" s="551"/>
      <c r="BB661" s="551"/>
      <c r="BC661" s="551"/>
      <c r="BD661" s="551"/>
      <c r="BE661" s="551"/>
      <c r="BF661" s="551"/>
      <c r="BG661" s="551"/>
      <c r="BH661" s="551"/>
      <c r="BI661" s="825">
        <f>I661/4</f>
        <v>850</v>
      </c>
      <c r="BJ661" s="551"/>
      <c r="BK661" s="551"/>
      <c r="BL661" s="551"/>
      <c r="BM661" s="551"/>
      <c r="BN661" s="551"/>
      <c r="BO661" s="551"/>
      <c r="BP661" s="551"/>
      <c r="BQ661" s="551"/>
      <c r="BR661" s="551"/>
      <c r="BS661" s="551"/>
      <c r="BT661" s="551"/>
      <c r="BU661" s="551"/>
      <c r="BV661" s="551"/>
      <c r="BW661" s="551"/>
      <c r="BX661" s="551"/>
      <c r="BY661" s="551"/>
      <c r="BZ661" s="551"/>
      <c r="CA661" s="551"/>
      <c r="CB661" s="551"/>
      <c r="CC661" s="551"/>
      <c r="CD661" s="551"/>
      <c r="CE661" s="551"/>
      <c r="CF661" s="551"/>
      <c r="CG661" s="551"/>
      <c r="CH661" s="650"/>
      <c r="CI661" s="650"/>
      <c r="CJ661" s="650"/>
      <c r="CK661" s="650"/>
      <c r="CL661" s="650"/>
      <c r="CM661" s="551"/>
      <c r="CN661" s="551"/>
      <c r="CO661" s="551"/>
      <c r="CP661" s="650"/>
      <c r="CQ661" s="650"/>
      <c r="CR661" s="650"/>
      <c r="CS661" s="650"/>
      <c r="CT661" s="650"/>
      <c r="CU661" s="650"/>
    </row>
    <row r="662" s="1265" customFormat="1" ht="31" customHeight="1" spans="1:99">
      <c r="A662" s="641">
        <v>46013</v>
      </c>
      <c r="B662" s="642" t="s">
        <v>2655</v>
      </c>
      <c r="C662" s="246" t="s">
        <v>2656</v>
      </c>
      <c r="D662" s="551">
        <v>4500189510</v>
      </c>
      <c r="E662" s="246"/>
      <c r="F662" s="551" t="s">
        <v>2657</v>
      </c>
      <c r="G662" s="659" t="s">
        <v>111</v>
      </c>
      <c r="H662" s="246" t="s">
        <v>112</v>
      </c>
      <c r="I662" s="246">
        <v>96</v>
      </c>
      <c r="J662" s="246">
        <v>0</v>
      </c>
      <c r="K662" s="246">
        <v>16</v>
      </c>
      <c r="L662" s="644">
        <f t="shared" si="212"/>
        <v>6</v>
      </c>
      <c r="M662" s="645">
        <v>46006</v>
      </c>
      <c r="N662" s="645">
        <v>46002</v>
      </c>
      <c r="O662" s="643" t="s">
        <v>2658</v>
      </c>
      <c r="P662" s="824" t="s">
        <v>113</v>
      </c>
      <c r="Q662" s="646"/>
      <c r="R662" s="646">
        <v>45973</v>
      </c>
      <c r="S662" s="646" t="s">
        <v>70</v>
      </c>
      <c r="T662" s="646" t="s">
        <v>2659</v>
      </c>
      <c r="U662" s="646"/>
      <c r="V662" s="642"/>
      <c r="W662" s="642"/>
      <c r="X662" s="642" t="s">
        <v>2660</v>
      </c>
      <c r="Y662" s="647" t="s">
        <v>2398</v>
      </c>
      <c r="Z662" s="657">
        <v>4.2542</v>
      </c>
      <c r="AA662" s="647">
        <f t="shared" si="211"/>
        <v>408.4032</v>
      </c>
      <c r="AB662" s="551"/>
      <c r="AC662" s="648"/>
      <c r="AD662" s="633" t="s">
        <v>111</v>
      </c>
      <c r="AE662" s="246" t="s">
        <v>82</v>
      </c>
      <c r="AF662" s="246"/>
      <c r="AG662" s="246"/>
      <c r="AH662" s="246">
        <v>1</v>
      </c>
      <c r="AI662" s="246"/>
      <c r="AJ662" s="246">
        <f t="shared" si="214"/>
        <v>-96</v>
      </c>
      <c r="AK662" s="246"/>
      <c r="AL662" s="246"/>
      <c r="AM662" s="551"/>
      <c r="AN662" s="551">
        <f t="shared" si="206"/>
        <v>96</v>
      </c>
      <c r="AO662" s="1331"/>
      <c r="AP662" s="1331"/>
      <c r="AQ662" s="1331"/>
      <c r="AR662" s="551">
        <f>I662</f>
        <v>96</v>
      </c>
      <c r="AS662" s="551"/>
      <c r="AT662" s="551"/>
      <c r="AU662" s="551">
        <f t="shared" si="209"/>
        <v>96</v>
      </c>
      <c r="AV662" s="551"/>
      <c r="AW662" s="551">
        <f t="shared" si="210"/>
        <v>96</v>
      </c>
      <c r="AX662" s="651"/>
      <c r="AY662" s="551"/>
      <c r="AZ662" s="551"/>
      <c r="BA662" s="551"/>
      <c r="BB662" s="551"/>
      <c r="BC662" s="551"/>
      <c r="BD662" s="551"/>
      <c r="BE662" s="551"/>
      <c r="BF662" s="551"/>
      <c r="BG662" s="551"/>
      <c r="BH662" s="825">
        <f>I662/4</f>
        <v>24</v>
      </c>
      <c r="BI662" s="551"/>
      <c r="BJ662" s="551"/>
      <c r="BK662" s="551"/>
      <c r="BL662" s="551"/>
      <c r="BM662" s="551"/>
      <c r="BN662" s="551"/>
      <c r="BO662" s="551"/>
      <c r="BP662" s="551"/>
      <c r="BQ662" s="551"/>
      <c r="BR662" s="551"/>
      <c r="BS662" s="551"/>
      <c r="BT662" s="551"/>
      <c r="BU662" s="551"/>
      <c r="BV662" s="551"/>
      <c r="BW662" s="551"/>
      <c r="BX662" s="551"/>
      <c r="BY662" s="551"/>
      <c r="BZ662" s="551"/>
      <c r="CA662" s="551"/>
      <c r="CB662" s="551"/>
      <c r="CC662" s="551"/>
      <c r="CD662" s="551"/>
      <c r="CE662" s="551"/>
      <c r="CF662" s="551"/>
      <c r="CG662" s="551"/>
      <c r="CH662" s="650"/>
      <c r="CI662" s="650"/>
      <c r="CJ662" s="650"/>
      <c r="CK662" s="650"/>
      <c r="CL662" s="650"/>
      <c r="CM662" s="551"/>
      <c r="CN662" s="551"/>
      <c r="CO662" s="551"/>
      <c r="CP662" s="650"/>
      <c r="CQ662" s="650"/>
      <c r="CR662" s="650"/>
      <c r="CS662" s="650"/>
      <c r="CT662" s="650"/>
      <c r="CU662" s="650"/>
    </row>
    <row r="663" s="1265" customFormat="1" ht="31" customHeight="1" spans="1:99">
      <c r="A663" s="641">
        <v>45965</v>
      </c>
      <c r="B663" s="642" t="s">
        <v>1201</v>
      </c>
      <c r="C663" s="246" t="s">
        <v>524</v>
      </c>
      <c r="D663" s="551">
        <v>4500184293</v>
      </c>
      <c r="E663" s="246"/>
      <c r="F663" s="551" t="s">
        <v>2661</v>
      </c>
      <c r="G663" s="659" t="s">
        <v>68</v>
      </c>
      <c r="H663" s="633" t="s">
        <v>69</v>
      </c>
      <c r="I663" s="246">
        <v>600</v>
      </c>
      <c r="J663" s="246">
        <v>0</v>
      </c>
      <c r="K663" s="246">
        <v>12</v>
      </c>
      <c r="L663" s="644">
        <f t="shared" si="212"/>
        <v>50</v>
      </c>
      <c r="M663" s="645">
        <v>46007</v>
      </c>
      <c r="N663" s="645">
        <v>46052</v>
      </c>
      <c r="O663" s="643"/>
      <c r="P663" s="824" t="s">
        <v>113</v>
      </c>
      <c r="Q663" s="646"/>
      <c r="R663" s="646">
        <v>46026</v>
      </c>
      <c r="S663" s="646" t="s">
        <v>70</v>
      </c>
      <c r="T663" s="646" t="s">
        <v>2662</v>
      </c>
      <c r="U663" s="646"/>
      <c r="V663" s="642"/>
      <c r="W663" s="642"/>
      <c r="X663" s="642" t="s">
        <v>2663</v>
      </c>
      <c r="Y663" s="647" t="s">
        <v>340</v>
      </c>
      <c r="Z663" s="657">
        <v>4.1623</v>
      </c>
      <c r="AA663" s="647">
        <f t="shared" si="211"/>
        <v>2497.38</v>
      </c>
      <c r="AB663" s="551"/>
      <c r="AC663" s="648"/>
      <c r="AD663" s="633" t="s">
        <v>184</v>
      </c>
      <c r="AE663" s="246" t="s">
        <v>82</v>
      </c>
      <c r="AF663" s="246"/>
      <c r="AG663" s="246"/>
      <c r="AH663" s="246">
        <v>1</v>
      </c>
      <c r="AI663" s="246">
        <v>600</v>
      </c>
      <c r="AJ663" s="246">
        <f t="shared" si="214"/>
        <v>0</v>
      </c>
      <c r="AK663" s="246"/>
      <c r="AL663" s="246"/>
      <c r="AM663" s="551"/>
      <c r="AN663" s="551">
        <f t="shared" si="206"/>
        <v>600</v>
      </c>
      <c r="AO663" s="1331"/>
      <c r="AP663" s="1331"/>
      <c r="AQ663" s="1331"/>
      <c r="AR663" s="551"/>
      <c r="AS663" s="551">
        <f>I663</f>
        <v>600</v>
      </c>
      <c r="AT663" s="551"/>
      <c r="AU663" s="825">
        <f t="shared" si="209"/>
        <v>600</v>
      </c>
      <c r="AV663" s="551"/>
      <c r="AW663" s="551">
        <f t="shared" si="210"/>
        <v>600</v>
      </c>
      <c r="AX663" s="651"/>
      <c r="AY663" s="551"/>
      <c r="AZ663" s="551"/>
      <c r="BA663" s="551"/>
      <c r="BB663" s="551"/>
      <c r="BC663" s="551"/>
      <c r="BD663" s="551"/>
      <c r="BE663" s="551"/>
      <c r="BF663" s="551"/>
      <c r="BG663" s="551"/>
      <c r="BH663" s="551"/>
      <c r="BI663" s="551"/>
      <c r="BJ663" s="551"/>
      <c r="BK663" s="551"/>
      <c r="BL663" s="551"/>
      <c r="BM663" s="551"/>
      <c r="BN663" s="551"/>
      <c r="BO663" s="551"/>
      <c r="BP663" s="551"/>
      <c r="BQ663" s="551"/>
      <c r="BR663" s="551"/>
      <c r="BS663" s="551"/>
      <c r="BT663" s="551"/>
      <c r="BU663" s="551"/>
      <c r="BV663" s="551"/>
      <c r="BW663" s="551"/>
      <c r="BX663" s="551"/>
      <c r="BY663" s="551"/>
      <c r="BZ663" s="551"/>
      <c r="CA663" s="551"/>
      <c r="CB663" s="551"/>
      <c r="CC663" s="551"/>
      <c r="CD663" s="551"/>
      <c r="CE663" s="551"/>
      <c r="CF663" s="551"/>
      <c r="CG663" s="551"/>
      <c r="CH663" s="650"/>
      <c r="CI663" s="650"/>
      <c r="CJ663" s="650"/>
      <c r="CK663" s="650"/>
      <c r="CL663" s="650"/>
      <c r="CM663" s="551"/>
      <c r="CN663" s="551"/>
      <c r="CO663" s="551"/>
      <c r="CP663" s="650"/>
      <c r="CQ663" s="650"/>
      <c r="CR663" s="650"/>
      <c r="CS663" s="650"/>
      <c r="CT663" s="650"/>
      <c r="CU663" s="650"/>
    </row>
    <row r="664" s="1265" customFormat="1" ht="31" customHeight="1" spans="1:99">
      <c r="A664" s="641">
        <v>45978</v>
      </c>
      <c r="B664" s="642" t="s">
        <v>1492</v>
      </c>
      <c r="C664" s="246" t="s">
        <v>98</v>
      </c>
      <c r="D664" s="551">
        <v>4500185916</v>
      </c>
      <c r="E664" s="1415" t="s">
        <v>2664</v>
      </c>
      <c r="F664" s="551" t="s">
        <v>2665</v>
      </c>
      <c r="G664" s="659" t="s">
        <v>2666</v>
      </c>
      <c r="H664" s="633" t="s">
        <v>69</v>
      </c>
      <c r="I664" s="246">
        <v>5400</v>
      </c>
      <c r="J664" s="246">
        <v>0</v>
      </c>
      <c r="K664" s="246">
        <v>75</v>
      </c>
      <c r="L664" s="644">
        <v>72</v>
      </c>
      <c r="M664" s="645">
        <v>46028</v>
      </c>
      <c r="N664" s="645">
        <v>46024</v>
      </c>
      <c r="O664" s="643"/>
      <c r="P664" s="824" t="s">
        <v>113</v>
      </c>
      <c r="Q664" s="646"/>
      <c r="R664" s="646" t="s">
        <v>2667</v>
      </c>
      <c r="S664" s="646" t="s">
        <v>70</v>
      </c>
      <c r="T664" s="646" t="s">
        <v>70</v>
      </c>
      <c r="U664" s="646"/>
      <c r="V664" s="642"/>
      <c r="W664" s="642"/>
      <c r="X664" s="642" t="s">
        <v>2668</v>
      </c>
      <c r="Y664" s="647" t="s">
        <v>911</v>
      </c>
      <c r="Z664" s="657">
        <v>359.3436</v>
      </c>
      <c r="AA664" s="647">
        <v>25872.7392</v>
      </c>
      <c r="AB664" s="551"/>
      <c r="AC664" s="658" t="s">
        <v>2669</v>
      </c>
      <c r="AD664" s="633" t="s">
        <v>1498</v>
      </c>
      <c r="AE664" s="246" t="s">
        <v>82</v>
      </c>
      <c r="AF664" s="246"/>
      <c r="AG664" s="246"/>
      <c r="AH664" s="246">
        <v>1</v>
      </c>
      <c r="AI664" s="246"/>
      <c r="AJ664" s="246">
        <f t="shared" si="214"/>
        <v>-5400</v>
      </c>
      <c r="AK664" s="246"/>
      <c r="AL664" s="246"/>
      <c r="AM664" s="551"/>
      <c r="AN664" s="551"/>
      <c r="AO664" s="1331">
        <f>I664</f>
        <v>5400</v>
      </c>
      <c r="AP664" s="1331"/>
      <c r="AQ664" s="1331"/>
      <c r="AR664" s="551"/>
      <c r="AS664" s="551"/>
      <c r="AT664" s="551"/>
      <c r="AU664" s="551"/>
      <c r="AV664" s="551"/>
      <c r="AW664" s="551"/>
      <c r="AX664" s="651"/>
      <c r="AY664" s="551"/>
      <c r="AZ664" s="551"/>
      <c r="BA664" s="551">
        <f>I664</f>
        <v>5400</v>
      </c>
      <c r="BB664" s="551">
        <f>I664</f>
        <v>5400</v>
      </c>
      <c r="BC664" s="551">
        <f>I664</f>
        <v>5400</v>
      </c>
      <c r="BD664" s="551"/>
      <c r="BE664" s="551"/>
      <c r="BF664" s="551"/>
      <c r="BG664" s="551"/>
      <c r="BH664" s="551"/>
      <c r="BI664" s="551"/>
      <c r="BJ664" s="551"/>
      <c r="BK664" s="551">
        <f>I664</f>
        <v>5400</v>
      </c>
      <c r="BL664" s="551">
        <f>I664/5</f>
        <v>1080</v>
      </c>
      <c r="BM664" s="551"/>
      <c r="BN664" s="551"/>
      <c r="BO664" s="551"/>
      <c r="BP664" s="551"/>
      <c r="BQ664" s="551"/>
      <c r="BR664" s="551"/>
      <c r="BS664" s="551"/>
      <c r="BT664" s="551"/>
      <c r="BU664" s="551"/>
      <c r="BV664" s="551"/>
      <c r="BW664" s="551"/>
      <c r="BX664" s="551"/>
      <c r="BY664" s="551"/>
      <c r="BZ664" s="551"/>
      <c r="CA664" s="551"/>
      <c r="CB664" s="551"/>
      <c r="CC664" s="551"/>
      <c r="CD664" s="551"/>
      <c r="CE664" s="551"/>
      <c r="CF664" s="551"/>
      <c r="CG664" s="551"/>
      <c r="CH664" s="650"/>
      <c r="CI664" s="650"/>
      <c r="CJ664" s="650"/>
      <c r="CK664" s="650"/>
      <c r="CL664" s="650"/>
      <c r="CM664" s="551"/>
      <c r="CN664" s="551"/>
      <c r="CO664" s="551"/>
      <c r="CP664" s="650"/>
      <c r="CQ664" s="650"/>
      <c r="CR664" s="650"/>
      <c r="CS664" s="650"/>
      <c r="CT664" s="650"/>
      <c r="CU664" s="650"/>
    </row>
    <row r="665" s="1265" customFormat="1" ht="31" customHeight="1" spans="1:99">
      <c r="A665" s="641">
        <v>45960</v>
      </c>
      <c r="B665" s="642" t="s">
        <v>325</v>
      </c>
      <c r="C665" s="246" t="s">
        <v>98</v>
      </c>
      <c r="D665" s="551">
        <v>4500183692</v>
      </c>
      <c r="E665" s="246" t="s">
        <v>2670</v>
      </c>
      <c r="F665" s="551" t="s">
        <v>2671</v>
      </c>
      <c r="G665" s="659" t="s">
        <v>249</v>
      </c>
      <c r="H665" s="246" t="s">
        <v>250</v>
      </c>
      <c r="I665" s="246">
        <v>5000</v>
      </c>
      <c r="J665" s="246">
        <v>0</v>
      </c>
      <c r="K665" s="246">
        <v>4</v>
      </c>
      <c r="L665" s="644">
        <f t="shared" ref="L664:L711" si="215">I665/K665</f>
        <v>1250</v>
      </c>
      <c r="M665" s="645">
        <v>46030</v>
      </c>
      <c r="N665" s="645">
        <v>46027</v>
      </c>
      <c r="O665" s="643" t="s">
        <v>2271</v>
      </c>
      <c r="P665" s="824" t="s">
        <v>113</v>
      </c>
      <c r="Q665" s="646"/>
      <c r="R665" s="646">
        <v>45999</v>
      </c>
      <c r="S665" s="646" t="s">
        <v>104</v>
      </c>
      <c r="T665" s="646">
        <v>45975</v>
      </c>
      <c r="U665" s="646"/>
      <c r="V665" s="642" t="s">
        <v>2346</v>
      </c>
      <c r="W665" s="642"/>
      <c r="X665" s="642" t="s">
        <v>2350</v>
      </c>
      <c r="Y665" s="647" t="s">
        <v>252</v>
      </c>
      <c r="Z665" s="657">
        <v>2.7832</v>
      </c>
      <c r="AA665" s="647">
        <f>Z665*I665</f>
        <v>13916</v>
      </c>
      <c r="AB665" s="551"/>
      <c r="AC665" s="658" t="s">
        <v>2672</v>
      </c>
      <c r="AD665" s="633" t="s">
        <v>249</v>
      </c>
      <c r="AE665" s="246" t="s">
        <v>82</v>
      </c>
      <c r="AF665" s="246"/>
      <c r="AG665" s="246"/>
      <c r="AH665" s="246">
        <v>1</v>
      </c>
      <c r="AI665" s="246">
        <f>4320+680</f>
        <v>5000</v>
      </c>
      <c r="AJ665" s="246">
        <f t="shared" si="214"/>
        <v>0</v>
      </c>
      <c r="AK665" s="246"/>
      <c r="AL665" s="246"/>
      <c r="AM665" s="551"/>
      <c r="AN665" s="551"/>
      <c r="AO665" s="1331"/>
      <c r="AP665" s="1331">
        <f>I665</f>
        <v>5000</v>
      </c>
      <c r="AQ665" s="1331"/>
      <c r="AR665" s="551"/>
      <c r="AS665" s="551"/>
      <c r="AT665" s="551"/>
      <c r="AU665" s="551"/>
      <c r="AV665" s="551"/>
      <c r="AW665" s="551">
        <f t="shared" ref="AW664:AW672" si="216">I665</f>
        <v>5000</v>
      </c>
      <c r="AX665" s="651"/>
      <c r="AY665" s="551"/>
      <c r="AZ665" s="551"/>
      <c r="BA665" s="551"/>
      <c r="BB665" s="551"/>
      <c r="BC665" s="551"/>
      <c r="BD665" s="551"/>
      <c r="BE665" s="551"/>
      <c r="BF665" s="551">
        <f>I665</f>
        <v>5000</v>
      </c>
      <c r="BG665" s="551">
        <f>I665</f>
        <v>5000</v>
      </c>
      <c r="BH665" s="825">
        <f>I665/4</f>
        <v>1250</v>
      </c>
      <c r="BI665" s="551"/>
      <c r="BJ665" s="551"/>
      <c r="BK665" s="551"/>
      <c r="BL665" s="551"/>
      <c r="BM665" s="551"/>
      <c r="BN665" s="551"/>
      <c r="BO665" s="551"/>
      <c r="BP665" s="551"/>
      <c r="BQ665" s="551"/>
      <c r="BR665" s="551"/>
      <c r="BS665" s="551"/>
      <c r="BT665" s="551"/>
      <c r="BU665" s="551"/>
      <c r="BV665" s="551"/>
      <c r="BW665" s="551"/>
      <c r="BX665" s="551"/>
      <c r="BY665" s="551"/>
      <c r="BZ665" s="551"/>
      <c r="CA665" s="551"/>
      <c r="CB665" s="551"/>
      <c r="CC665" s="551"/>
      <c r="CD665" s="551"/>
      <c r="CE665" s="551"/>
      <c r="CF665" s="551"/>
      <c r="CG665" s="551"/>
      <c r="CH665" s="650"/>
      <c r="CI665" s="650"/>
      <c r="CJ665" s="650"/>
      <c r="CK665" s="650"/>
      <c r="CL665" s="650"/>
      <c r="CM665" s="551"/>
      <c r="CN665" s="551"/>
      <c r="CO665" s="551"/>
      <c r="CP665" s="650"/>
      <c r="CQ665" s="650"/>
      <c r="CR665" s="650"/>
      <c r="CS665" s="650"/>
      <c r="CT665" s="650"/>
      <c r="CU665" s="650"/>
    </row>
    <row r="666" s="1265" customFormat="1" ht="31" customHeight="1" spans="1:99">
      <c r="A666" s="641">
        <v>45980</v>
      </c>
      <c r="B666" s="642" t="s">
        <v>2673</v>
      </c>
      <c r="C666" s="246" t="s">
        <v>98</v>
      </c>
      <c r="D666" s="551">
        <v>4500186227</v>
      </c>
      <c r="E666" s="246">
        <v>273145</v>
      </c>
      <c r="F666" s="551" t="s">
        <v>2674</v>
      </c>
      <c r="G666" s="659" t="s">
        <v>68</v>
      </c>
      <c r="H666" s="633" t="s">
        <v>69</v>
      </c>
      <c r="I666" s="246">
        <v>3996</v>
      </c>
      <c r="J666" s="246">
        <v>0</v>
      </c>
      <c r="K666" s="246">
        <v>12</v>
      </c>
      <c r="L666" s="644">
        <f t="shared" si="215"/>
        <v>333</v>
      </c>
      <c r="M666" s="645">
        <v>46030</v>
      </c>
      <c r="N666" s="645">
        <v>46027</v>
      </c>
      <c r="O666" s="643" t="s">
        <v>2675</v>
      </c>
      <c r="P666" s="824" t="s">
        <v>113</v>
      </c>
      <c r="Q666" s="646"/>
      <c r="R666" s="646">
        <v>45982</v>
      </c>
      <c r="S666" s="646" t="s">
        <v>104</v>
      </c>
      <c r="T666" s="646" t="s">
        <v>2676</v>
      </c>
      <c r="U666" s="646"/>
      <c r="V666" s="642"/>
      <c r="W666" s="642"/>
      <c r="X666" s="642" t="s">
        <v>2677</v>
      </c>
      <c r="Y666" s="647" t="s">
        <v>2678</v>
      </c>
      <c r="Z666" s="657">
        <v>2.5499</v>
      </c>
      <c r="AA666" s="647">
        <f>Z666*I666</f>
        <v>10189.4004</v>
      </c>
      <c r="AB666" s="551"/>
      <c r="AC666" s="658" t="s">
        <v>2679</v>
      </c>
      <c r="AD666" s="633" t="s">
        <v>68</v>
      </c>
      <c r="AE666" s="246" t="s">
        <v>82</v>
      </c>
      <c r="AF666" s="246"/>
      <c r="AG666" s="246"/>
      <c r="AH666" s="246">
        <v>1</v>
      </c>
      <c r="AI666" s="246">
        <f>1008+2988</f>
        <v>3996</v>
      </c>
      <c r="AJ666" s="246">
        <f t="shared" si="214"/>
        <v>0</v>
      </c>
      <c r="AK666" s="246"/>
      <c r="AL666" s="246" t="s">
        <v>454</v>
      </c>
      <c r="AM666" s="551"/>
      <c r="AN666" s="551">
        <f>I666</f>
        <v>3996</v>
      </c>
      <c r="AO666" s="1331"/>
      <c r="AP666" s="1331"/>
      <c r="AQ666" s="1331"/>
      <c r="AR666" s="551">
        <f>I666</f>
        <v>3996</v>
      </c>
      <c r="AS666" s="551"/>
      <c r="AT666" s="551"/>
      <c r="AU666" s="551">
        <f>I666</f>
        <v>3996</v>
      </c>
      <c r="AV666" s="551"/>
      <c r="AW666" s="551">
        <f t="shared" si="216"/>
        <v>3996</v>
      </c>
      <c r="AX666" s="651"/>
      <c r="AY666" s="551"/>
      <c r="AZ666" s="551"/>
      <c r="BA666" s="551"/>
      <c r="BB666" s="551"/>
      <c r="BC666" s="551"/>
      <c r="BD666" s="551"/>
      <c r="BE666" s="551"/>
      <c r="BF666" s="551"/>
      <c r="BG666" s="551"/>
      <c r="BH666" s="551"/>
      <c r="BI666" s="551"/>
      <c r="BJ666" s="551"/>
      <c r="BK666" s="551"/>
      <c r="BL666" s="551"/>
      <c r="BM666" s="551"/>
      <c r="BN666" s="551"/>
      <c r="BO666" s="551"/>
      <c r="BP666" s="551"/>
      <c r="BQ666" s="551"/>
      <c r="BR666" s="551"/>
      <c r="BS666" s="551"/>
      <c r="BT666" s="551"/>
      <c r="BU666" s="551"/>
      <c r="BV666" s="551"/>
      <c r="BW666" s="551"/>
      <c r="BX666" s="551"/>
      <c r="BY666" s="551"/>
      <c r="BZ666" s="551"/>
      <c r="CA666" s="551"/>
      <c r="CB666" s="551"/>
      <c r="CC666" s="551"/>
      <c r="CD666" s="551"/>
      <c r="CE666" s="551"/>
      <c r="CF666" s="551"/>
      <c r="CG666" s="551"/>
      <c r="CH666" s="650"/>
      <c r="CI666" s="650"/>
      <c r="CJ666" s="650"/>
      <c r="CK666" s="650"/>
      <c r="CL666" s="650"/>
      <c r="CM666" s="551"/>
      <c r="CN666" s="551"/>
      <c r="CO666" s="551"/>
      <c r="CP666" s="650"/>
      <c r="CQ666" s="650"/>
      <c r="CR666" s="650"/>
      <c r="CS666" s="650"/>
      <c r="CT666" s="650"/>
      <c r="CU666" s="650"/>
    </row>
    <row r="667" s="1265" customFormat="1" ht="31" customHeight="1" spans="1:99">
      <c r="A667" s="641">
        <v>45987</v>
      </c>
      <c r="B667" s="642" t="s">
        <v>211</v>
      </c>
      <c r="C667" s="246" t="s">
        <v>212</v>
      </c>
      <c r="D667" s="551">
        <v>4500187090</v>
      </c>
      <c r="E667" s="246" t="s">
        <v>2680</v>
      </c>
      <c r="F667" s="551" t="s">
        <v>2681</v>
      </c>
      <c r="G667" s="659" t="s">
        <v>111</v>
      </c>
      <c r="H667" s="246" t="s">
        <v>112</v>
      </c>
      <c r="I667" s="246">
        <v>1808</v>
      </c>
      <c r="J667" s="246">
        <v>0</v>
      </c>
      <c r="K667" s="246">
        <v>16</v>
      </c>
      <c r="L667" s="644">
        <f t="shared" si="215"/>
        <v>113</v>
      </c>
      <c r="M667" s="645">
        <v>46030</v>
      </c>
      <c r="N667" s="645">
        <v>46027</v>
      </c>
      <c r="O667" s="643"/>
      <c r="P667" s="824" t="s">
        <v>113</v>
      </c>
      <c r="Q667" s="646"/>
      <c r="R667" s="646">
        <v>45987</v>
      </c>
      <c r="S667" s="646" t="s">
        <v>70</v>
      </c>
      <c r="T667" s="646" t="s">
        <v>2372</v>
      </c>
      <c r="U667" s="646"/>
      <c r="V667" s="642"/>
      <c r="W667" s="642"/>
      <c r="X667" s="642" t="s">
        <v>2682</v>
      </c>
      <c r="Y667" s="647" t="s">
        <v>1793</v>
      </c>
      <c r="Z667" s="657">
        <v>4.2114</v>
      </c>
      <c r="AA667" s="647">
        <f>Z667*I667</f>
        <v>7614.2112</v>
      </c>
      <c r="AB667" s="551"/>
      <c r="AC667" s="648" t="s">
        <v>2683</v>
      </c>
      <c r="AD667" s="633" t="s">
        <v>111</v>
      </c>
      <c r="AE667" s="246" t="s">
        <v>82</v>
      </c>
      <c r="AF667" s="246"/>
      <c r="AG667" s="246"/>
      <c r="AH667" s="246">
        <v>1</v>
      </c>
      <c r="AI667" s="246">
        <v>1808</v>
      </c>
      <c r="AJ667" s="246">
        <f t="shared" si="214"/>
        <v>0</v>
      </c>
      <c r="AK667" s="246"/>
      <c r="AL667" s="246"/>
      <c r="AM667" s="551"/>
      <c r="AN667" s="551">
        <f>I667</f>
        <v>1808</v>
      </c>
      <c r="AO667" s="1331"/>
      <c r="AP667" s="1331"/>
      <c r="AQ667" s="1331"/>
      <c r="AR667" s="551">
        <f>I667</f>
        <v>1808</v>
      </c>
      <c r="AS667" s="551"/>
      <c r="AT667" s="551"/>
      <c r="AU667" s="551">
        <f>I667</f>
        <v>1808</v>
      </c>
      <c r="AV667" s="551"/>
      <c r="AW667" s="551">
        <f t="shared" si="216"/>
        <v>1808</v>
      </c>
      <c r="AX667" s="651"/>
      <c r="AY667" s="551"/>
      <c r="AZ667" s="551"/>
      <c r="BA667" s="551"/>
      <c r="BB667" s="551"/>
      <c r="BC667" s="551"/>
      <c r="BD667" s="551"/>
      <c r="BE667" s="551"/>
      <c r="BF667" s="551"/>
      <c r="BG667" s="551"/>
      <c r="BH667" s="825">
        <f>I667/4</f>
        <v>452</v>
      </c>
      <c r="BI667" s="551"/>
      <c r="BJ667" s="551"/>
      <c r="BK667" s="551"/>
      <c r="BL667" s="551"/>
      <c r="BM667" s="551"/>
      <c r="BN667" s="551"/>
      <c r="BO667" s="551"/>
      <c r="BP667" s="551"/>
      <c r="BQ667" s="551"/>
      <c r="BR667" s="551"/>
      <c r="BS667" s="551"/>
      <c r="BT667" s="551"/>
      <c r="BU667" s="551"/>
      <c r="BV667" s="551"/>
      <c r="BW667" s="551"/>
      <c r="BX667" s="551"/>
      <c r="BY667" s="551"/>
      <c r="BZ667" s="551"/>
      <c r="CA667" s="551"/>
      <c r="CB667" s="551"/>
      <c r="CC667" s="551"/>
      <c r="CD667" s="551"/>
      <c r="CE667" s="551"/>
      <c r="CF667" s="551"/>
      <c r="CG667" s="551"/>
      <c r="CH667" s="650"/>
      <c r="CI667" s="650"/>
      <c r="CJ667" s="650"/>
      <c r="CK667" s="650"/>
      <c r="CL667" s="650"/>
      <c r="CM667" s="551"/>
      <c r="CN667" s="551"/>
      <c r="CO667" s="551"/>
      <c r="CP667" s="650"/>
      <c r="CQ667" s="650"/>
      <c r="CR667" s="650"/>
      <c r="CS667" s="650"/>
      <c r="CT667" s="650"/>
      <c r="CU667" s="650"/>
    </row>
    <row r="668" s="1265" customFormat="1" ht="31" customHeight="1" spans="1:99">
      <c r="A668" s="641">
        <v>45987</v>
      </c>
      <c r="B668" s="642" t="s">
        <v>211</v>
      </c>
      <c r="C668" s="246" t="s">
        <v>212</v>
      </c>
      <c r="D668" s="551">
        <v>4500187090</v>
      </c>
      <c r="E668" s="246" t="s">
        <v>2680</v>
      </c>
      <c r="F668" s="551" t="s">
        <v>2684</v>
      </c>
      <c r="G668" s="659" t="s">
        <v>518</v>
      </c>
      <c r="H668" s="246" t="s">
        <v>477</v>
      </c>
      <c r="I668" s="246">
        <v>720</v>
      </c>
      <c r="J668" s="246">
        <v>0</v>
      </c>
      <c r="K668" s="246">
        <v>6</v>
      </c>
      <c r="L668" s="644">
        <f t="shared" si="215"/>
        <v>120</v>
      </c>
      <c r="M668" s="645">
        <v>46030</v>
      </c>
      <c r="N668" s="645">
        <v>46027</v>
      </c>
      <c r="O668" s="643"/>
      <c r="P668" s="824" t="s">
        <v>113</v>
      </c>
      <c r="Q668" s="646"/>
      <c r="R668" s="646">
        <v>45987</v>
      </c>
      <c r="S668" s="646" t="s">
        <v>70</v>
      </c>
      <c r="T668" s="646" t="s">
        <v>1791</v>
      </c>
      <c r="U668" s="646"/>
      <c r="V668" s="642"/>
      <c r="W668" s="642"/>
      <c r="X668" s="642" t="s">
        <v>2685</v>
      </c>
      <c r="Y668" s="647" t="s">
        <v>1793</v>
      </c>
      <c r="Z668" s="657">
        <v>7.0456</v>
      </c>
      <c r="AA668" s="647">
        <f>Z668*I668</f>
        <v>5072.832</v>
      </c>
      <c r="AB668" s="551"/>
      <c r="AC668" s="648"/>
      <c r="AD668" s="633" t="s">
        <v>2241</v>
      </c>
      <c r="AE668" s="246" t="s">
        <v>82</v>
      </c>
      <c r="AF668" s="246"/>
      <c r="AG668" s="246"/>
      <c r="AH668" s="246">
        <v>1</v>
      </c>
      <c r="AI668" s="246">
        <v>720</v>
      </c>
      <c r="AJ668" s="246">
        <f t="shared" si="214"/>
        <v>0</v>
      </c>
      <c r="AK668" s="246"/>
      <c r="AL668" s="246"/>
      <c r="AM668" s="551"/>
      <c r="AN668" s="551">
        <f>I668</f>
        <v>720</v>
      </c>
      <c r="AO668" s="1331"/>
      <c r="AP668" s="1331"/>
      <c r="AQ668" s="1331"/>
      <c r="AR668" s="551">
        <f>I668</f>
        <v>720</v>
      </c>
      <c r="AS668" s="551"/>
      <c r="AT668" s="551"/>
      <c r="AU668" s="551"/>
      <c r="AV668" s="551">
        <f>I668</f>
        <v>720</v>
      </c>
      <c r="AW668" s="551">
        <f t="shared" si="216"/>
        <v>720</v>
      </c>
      <c r="AX668" s="651"/>
      <c r="AY668" s="551"/>
      <c r="AZ668" s="551"/>
      <c r="BA668" s="551"/>
      <c r="BB668" s="551"/>
      <c r="BC668" s="551"/>
      <c r="BD668" s="551"/>
      <c r="BE668" s="551"/>
      <c r="BF668" s="551"/>
      <c r="BG668" s="551"/>
      <c r="BH668" s="551"/>
      <c r="BI668" s="551"/>
      <c r="BJ668" s="551"/>
      <c r="BK668" s="551"/>
      <c r="BL668" s="551"/>
      <c r="BM668" s="551"/>
      <c r="BN668" s="551">
        <f>I668</f>
        <v>720</v>
      </c>
      <c r="BO668" s="551"/>
      <c r="BP668" s="551"/>
      <c r="BQ668" s="551"/>
      <c r="BR668" s="551"/>
      <c r="BS668" s="551"/>
      <c r="BT668" s="551"/>
      <c r="BU668" s="551"/>
      <c r="BV668" s="551"/>
      <c r="BW668" s="551"/>
      <c r="BX668" s="551"/>
      <c r="BY668" s="551"/>
      <c r="BZ668" s="551"/>
      <c r="CA668" s="551"/>
      <c r="CB668" s="551"/>
      <c r="CC668" s="551"/>
      <c r="CD668" s="551"/>
      <c r="CE668" s="551"/>
      <c r="CF668" s="551"/>
      <c r="CG668" s="551"/>
      <c r="CH668" s="650"/>
      <c r="CI668" s="650"/>
      <c r="CJ668" s="650"/>
      <c r="CK668" s="650"/>
      <c r="CL668" s="650"/>
      <c r="CM668" s="551"/>
      <c r="CN668" s="551"/>
      <c r="CO668" s="551"/>
      <c r="CP668" s="650"/>
      <c r="CQ668" s="650"/>
      <c r="CR668" s="650"/>
      <c r="CS668" s="650"/>
      <c r="CT668" s="650"/>
      <c r="CU668" s="650"/>
    </row>
    <row r="669" s="1265" customFormat="1" ht="31" customHeight="1" spans="1:99">
      <c r="A669" s="641">
        <v>45946</v>
      </c>
      <c r="B669" s="642" t="s">
        <v>379</v>
      </c>
      <c r="C669" s="246" t="s">
        <v>98</v>
      </c>
      <c r="D669" s="551">
        <v>4500182145</v>
      </c>
      <c r="E669" s="246" t="s">
        <v>2686</v>
      </c>
      <c r="F669" s="551" t="s">
        <v>2687</v>
      </c>
      <c r="G669" s="659" t="s">
        <v>111</v>
      </c>
      <c r="H669" s="246" t="s">
        <v>112</v>
      </c>
      <c r="I669" s="246">
        <v>10400</v>
      </c>
      <c r="J669" s="246">
        <v>0</v>
      </c>
      <c r="K669" s="246">
        <v>16</v>
      </c>
      <c r="L669" s="644">
        <f t="shared" si="215"/>
        <v>650</v>
      </c>
      <c r="M669" s="645">
        <v>46031</v>
      </c>
      <c r="N669" s="645">
        <v>46027</v>
      </c>
      <c r="O669" s="643"/>
      <c r="P669" s="824" t="s">
        <v>113</v>
      </c>
      <c r="Q669" s="646"/>
      <c r="R669" s="646">
        <v>45987</v>
      </c>
      <c r="S669" s="646" t="s">
        <v>70</v>
      </c>
      <c r="T669" s="646" t="s">
        <v>70</v>
      </c>
      <c r="U669" s="646"/>
      <c r="V669" s="642"/>
      <c r="W669" s="642"/>
      <c r="X669" s="642" t="s">
        <v>1780</v>
      </c>
      <c r="Y669" s="647" t="s">
        <v>1781</v>
      </c>
      <c r="Z669" s="657">
        <v>2.5262</v>
      </c>
      <c r="AA669" s="647">
        <f t="shared" ref="AA669:AA683" si="217">Z669*I669</f>
        <v>26272.48</v>
      </c>
      <c r="AB669" s="551"/>
      <c r="AC669" s="658" t="s">
        <v>2688</v>
      </c>
      <c r="AD669" s="633" t="s">
        <v>111</v>
      </c>
      <c r="AE669" s="246" t="s">
        <v>82</v>
      </c>
      <c r="AF669" s="246"/>
      <c r="AG669" s="246"/>
      <c r="AH669" s="246">
        <v>1</v>
      </c>
      <c r="AI669" s="246">
        <v>10400</v>
      </c>
      <c r="AJ669" s="246">
        <f t="shared" si="214"/>
        <v>0</v>
      </c>
      <c r="AK669" s="246"/>
      <c r="AL669" s="246"/>
      <c r="AM669" s="551"/>
      <c r="AN669" s="551">
        <f t="shared" ref="AN669:AN685" si="218">I669</f>
        <v>10400</v>
      </c>
      <c r="AO669" s="1331"/>
      <c r="AP669" s="1331"/>
      <c r="AQ669" s="1331"/>
      <c r="AR669" s="551">
        <f>I669</f>
        <v>10400</v>
      </c>
      <c r="AS669" s="551"/>
      <c r="AT669" s="551"/>
      <c r="AU669" s="551">
        <f>I669</f>
        <v>10400</v>
      </c>
      <c r="AV669" s="551"/>
      <c r="AW669" s="551">
        <f t="shared" si="216"/>
        <v>10400</v>
      </c>
      <c r="AX669" s="651"/>
      <c r="AY669" s="551"/>
      <c r="AZ669" s="551"/>
      <c r="BA669" s="551"/>
      <c r="BB669" s="551"/>
      <c r="BC669" s="551"/>
      <c r="BD669" s="551"/>
      <c r="BE669" s="551"/>
      <c r="BF669" s="551"/>
      <c r="BG669" s="551"/>
      <c r="BH669" s="825">
        <f>I669/4</f>
        <v>2600</v>
      </c>
      <c r="BI669" s="551"/>
      <c r="BJ669" s="551"/>
      <c r="BK669" s="551"/>
      <c r="BL669" s="551"/>
      <c r="BM669" s="551"/>
      <c r="BN669" s="551"/>
      <c r="BO669" s="551"/>
      <c r="BP669" s="551"/>
      <c r="BQ669" s="551"/>
      <c r="BR669" s="551"/>
      <c r="BS669" s="551"/>
      <c r="BT669" s="551"/>
      <c r="BU669" s="551"/>
      <c r="BV669" s="551"/>
      <c r="BW669" s="551"/>
      <c r="BX669" s="551"/>
      <c r="BY669" s="551"/>
      <c r="BZ669" s="551"/>
      <c r="CA669" s="551"/>
      <c r="CB669" s="551"/>
      <c r="CC669" s="551"/>
      <c r="CD669" s="551"/>
      <c r="CE669" s="551"/>
      <c r="CF669" s="551"/>
      <c r="CG669" s="551"/>
      <c r="CH669" s="650"/>
      <c r="CI669" s="650"/>
      <c r="CJ669" s="650"/>
      <c r="CK669" s="650"/>
      <c r="CL669" s="650"/>
      <c r="CM669" s="551"/>
      <c r="CN669" s="551"/>
      <c r="CO669" s="551"/>
      <c r="CP669" s="650"/>
      <c r="CQ669" s="650"/>
      <c r="CR669" s="650"/>
      <c r="CS669" s="650"/>
      <c r="CT669" s="650"/>
      <c r="CU669" s="650"/>
    </row>
    <row r="670" s="1265" customFormat="1" ht="31" customHeight="1" spans="1:99">
      <c r="A670" s="641">
        <v>45947</v>
      </c>
      <c r="B670" s="642" t="s">
        <v>1989</v>
      </c>
      <c r="C670" s="246" t="s">
        <v>302</v>
      </c>
      <c r="D670" s="551">
        <v>4500182290</v>
      </c>
      <c r="E670" s="246" t="s">
        <v>2689</v>
      </c>
      <c r="F670" s="551" t="s">
        <v>2690</v>
      </c>
      <c r="G670" s="659" t="s">
        <v>518</v>
      </c>
      <c r="H670" s="246" t="s">
        <v>477</v>
      </c>
      <c r="I670" s="246">
        <v>504</v>
      </c>
      <c r="J670" s="246">
        <v>0</v>
      </c>
      <c r="K670" s="246">
        <v>6</v>
      </c>
      <c r="L670" s="644">
        <f t="shared" si="215"/>
        <v>84</v>
      </c>
      <c r="M670" s="645">
        <v>46031</v>
      </c>
      <c r="N670" s="645">
        <v>46027</v>
      </c>
      <c r="O670" s="643"/>
      <c r="P670" s="824" t="s">
        <v>113</v>
      </c>
      <c r="Q670" s="646"/>
      <c r="R670" s="646" t="s">
        <v>1992</v>
      </c>
      <c r="S670" s="646" t="s">
        <v>70</v>
      </c>
      <c r="T670" s="646" t="s">
        <v>2691</v>
      </c>
      <c r="U670" s="646"/>
      <c r="V670" s="642"/>
      <c r="W670" s="642"/>
      <c r="X670" s="642" t="s">
        <v>2692</v>
      </c>
      <c r="Y670" s="647" t="s">
        <v>466</v>
      </c>
      <c r="Z670" s="657">
        <v>7.1628</v>
      </c>
      <c r="AA670" s="647">
        <f t="shared" si="217"/>
        <v>3610.0512</v>
      </c>
      <c r="AB670" s="551"/>
      <c r="AC670" s="648"/>
      <c r="AD670" s="633" t="s">
        <v>480</v>
      </c>
      <c r="AE670" s="246" t="s">
        <v>82</v>
      </c>
      <c r="AF670" s="246"/>
      <c r="AG670" s="246"/>
      <c r="AH670" s="246">
        <v>1</v>
      </c>
      <c r="AI670" s="246">
        <f>492+12</f>
        <v>504</v>
      </c>
      <c r="AJ670" s="246">
        <f t="shared" si="214"/>
        <v>0</v>
      </c>
      <c r="AK670" s="246"/>
      <c r="AL670" s="246"/>
      <c r="AM670" s="551"/>
      <c r="AN670" s="551">
        <f t="shared" si="218"/>
        <v>504</v>
      </c>
      <c r="AO670" s="1331"/>
      <c r="AP670" s="1331"/>
      <c r="AQ670" s="1331"/>
      <c r="AR670" s="551"/>
      <c r="AS670" s="551">
        <f>I670</f>
        <v>504</v>
      </c>
      <c r="AT670" s="551"/>
      <c r="AU670" s="551">
        <f>I670</f>
        <v>504</v>
      </c>
      <c r="AV670" s="551"/>
      <c r="AW670" s="551">
        <f t="shared" si="216"/>
        <v>504</v>
      </c>
      <c r="AX670" s="651"/>
      <c r="AY670" s="551"/>
      <c r="AZ670" s="551"/>
      <c r="BA670" s="551"/>
      <c r="BB670" s="551"/>
      <c r="BC670" s="551"/>
      <c r="BD670" s="551"/>
      <c r="BE670" s="551"/>
      <c r="BF670" s="551"/>
      <c r="BG670" s="551"/>
      <c r="BH670" s="551"/>
      <c r="BI670" s="551"/>
      <c r="BJ670" s="551"/>
      <c r="BK670" s="551"/>
      <c r="BL670" s="551"/>
      <c r="BM670" s="551"/>
      <c r="BN670" s="551">
        <f>I670</f>
        <v>504</v>
      </c>
      <c r="BO670" s="551"/>
      <c r="BP670" s="551"/>
      <c r="BQ670" s="551"/>
      <c r="BR670" s="551"/>
      <c r="BS670" s="551"/>
      <c r="BT670" s="551"/>
      <c r="BU670" s="551"/>
      <c r="BV670" s="551"/>
      <c r="BW670" s="551"/>
      <c r="BX670" s="551"/>
      <c r="BY670" s="551"/>
      <c r="BZ670" s="551"/>
      <c r="CA670" s="551"/>
      <c r="CB670" s="551"/>
      <c r="CC670" s="551"/>
      <c r="CD670" s="551"/>
      <c r="CE670" s="551"/>
      <c r="CF670" s="551"/>
      <c r="CG670" s="551"/>
      <c r="CH670" s="650"/>
      <c r="CI670" s="650"/>
      <c r="CJ670" s="650"/>
      <c r="CK670" s="650"/>
      <c r="CL670" s="650"/>
      <c r="CM670" s="551"/>
      <c r="CN670" s="551"/>
      <c r="CO670" s="551"/>
      <c r="CP670" s="650"/>
      <c r="CQ670" s="650"/>
      <c r="CR670" s="650"/>
      <c r="CS670" s="650"/>
      <c r="CT670" s="650"/>
      <c r="CU670" s="650"/>
    </row>
    <row r="671" s="1265" customFormat="1" ht="31" customHeight="1" spans="1:99">
      <c r="A671" s="641">
        <v>45953</v>
      </c>
      <c r="B671" s="642" t="s">
        <v>1673</v>
      </c>
      <c r="C671" s="246" t="s">
        <v>98</v>
      </c>
      <c r="D671" s="551">
        <v>4500182822</v>
      </c>
      <c r="E671" s="246">
        <v>2052407</v>
      </c>
      <c r="F671" s="551" t="s">
        <v>2693</v>
      </c>
      <c r="G671" s="659" t="s">
        <v>68</v>
      </c>
      <c r="H671" s="633" t="s">
        <v>69</v>
      </c>
      <c r="I671" s="246">
        <v>1128</v>
      </c>
      <c r="J671" s="246">
        <v>0</v>
      </c>
      <c r="K671" s="246">
        <v>12</v>
      </c>
      <c r="L671" s="644">
        <f t="shared" si="215"/>
        <v>94</v>
      </c>
      <c r="M671" s="645">
        <v>46031</v>
      </c>
      <c r="N671" s="645">
        <v>46027</v>
      </c>
      <c r="O671" s="643"/>
      <c r="P671" s="824" t="s">
        <v>113</v>
      </c>
      <c r="Q671" s="646"/>
      <c r="R671" s="646">
        <v>45953</v>
      </c>
      <c r="S671" s="646" t="s">
        <v>70</v>
      </c>
      <c r="T671" s="646" t="s">
        <v>2694</v>
      </c>
      <c r="U671" s="646"/>
      <c r="V671" s="642"/>
      <c r="W671" s="642"/>
      <c r="X671" s="642" t="s">
        <v>2695</v>
      </c>
      <c r="Y671" s="647" t="s">
        <v>882</v>
      </c>
      <c r="Z671" s="657">
        <v>2.4874</v>
      </c>
      <c r="AA671" s="647">
        <f t="shared" si="217"/>
        <v>2805.7872</v>
      </c>
      <c r="AB671" s="551"/>
      <c r="AC671" s="658" t="s">
        <v>2696</v>
      </c>
      <c r="AD671" s="633" t="s">
        <v>68</v>
      </c>
      <c r="AE671" s="246" t="s">
        <v>82</v>
      </c>
      <c r="AF671" s="246"/>
      <c r="AG671" s="246"/>
      <c r="AH671" s="246">
        <v>1</v>
      </c>
      <c r="AI671" s="246">
        <v>1128</v>
      </c>
      <c r="AJ671" s="246">
        <f t="shared" ref="AJ669:AJ692" si="219">AI671-I671</f>
        <v>0</v>
      </c>
      <c r="AK671" s="246"/>
      <c r="AL671" s="246" t="s">
        <v>2368</v>
      </c>
      <c r="AM671" s="551"/>
      <c r="AN671" s="551">
        <f t="shared" si="218"/>
        <v>1128</v>
      </c>
      <c r="AO671" s="1331"/>
      <c r="AP671" s="1331"/>
      <c r="AQ671" s="1331"/>
      <c r="AR671" s="551">
        <f>I671</f>
        <v>1128</v>
      </c>
      <c r="AS671" s="551"/>
      <c r="AT671" s="551"/>
      <c r="AU671" s="551">
        <f>I671</f>
        <v>1128</v>
      </c>
      <c r="AV671" s="551"/>
      <c r="AW671" s="551">
        <f t="shared" si="216"/>
        <v>1128</v>
      </c>
      <c r="AX671" s="651"/>
      <c r="AY671" s="551"/>
      <c r="AZ671" s="551"/>
      <c r="BA671" s="551"/>
      <c r="BB671" s="551"/>
      <c r="BC671" s="551"/>
      <c r="BD671" s="551"/>
      <c r="BE671" s="551"/>
      <c r="BF671" s="551"/>
      <c r="BG671" s="551"/>
      <c r="BH671" s="551"/>
      <c r="BI671" s="551"/>
      <c r="BJ671" s="551"/>
      <c r="BK671" s="551"/>
      <c r="BL671" s="551"/>
      <c r="BM671" s="551"/>
      <c r="BN671" s="551"/>
      <c r="BO671" s="551"/>
      <c r="BP671" s="551"/>
      <c r="BQ671" s="551"/>
      <c r="BR671" s="551"/>
      <c r="BS671" s="551"/>
      <c r="BT671" s="551"/>
      <c r="BU671" s="551"/>
      <c r="BV671" s="551"/>
      <c r="BW671" s="551"/>
      <c r="BX671" s="551"/>
      <c r="BY671" s="551"/>
      <c r="BZ671" s="551"/>
      <c r="CA671" s="551"/>
      <c r="CB671" s="551"/>
      <c r="CC671" s="551"/>
      <c r="CD671" s="551"/>
      <c r="CE671" s="551"/>
      <c r="CF671" s="551"/>
      <c r="CG671" s="551"/>
      <c r="CH671" s="650"/>
      <c r="CI671" s="650"/>
      <c r="CJ671" s="650"/>
      <c r="CK671" s="650"/>
      <c r="CL671" s="650"/>
      <c r="CM671" s="551"/>
      <c r="CN671" s="551"/>
      <c r="CO671" s="551"/>
      <c r="CP671" s="650"/>
      <c r="CQ671" s="650"/>
      <c r="CR671" s="650"/>
      <c r="CS671" s="650"/>
      <c r="CT671" s="650"/>
      <c r="CU671" s="650"/>
    </row>
    <row r="672" s="1265" customFormat="1" ht="31" customHeight="1" spans="1:99">
      <c r="A672" s="641">
        <v>45953</v>
      </c>
      <c r="B672" s="642" t="s">
        <v>1673</v>
      </c>
      <c r="C672" s="246" t="s">
        <v>98</v>
      </c>
      <c r="D672" s="551">
        <v>4500182822</v>
      </c>
      <c r="E672" s="246">
        <v>2052408</v>
      </c>
      <c r="F672" s="551" t="s">
        <v>2697</v>
      </c>
      <c r="G672" s="659" t="s">
        <v>68</v>
      </c>
      <c r="H672" s="633" t="s">
        <v>69</v>
      </c>
      <c r="I672" s="246">
        <v>384</v>
      </c>
      <c r="J672" s="246">
        <v>0</v>
      </c>
      <c r="K672" s="246">
        <v>12</v>
      </c>
      <c r="L672" s="644">
        <f t="shared" si="215"/>
        <v>32</v>
      </c>
      <c r="M672" s="645">
        <v>46031</v>
      </c>
      <c r="N672" s="645">
        <v>46027</v>
      </c>
      <c r="O672" s="643"/>
      <c r="P672" s="824" t="s">
        <v>113</v>
      </c>
      <c r="Q672" s="646"/>
      <c r="R672" s="646">
        <v>45953</v>
      </c>
      <c r="S672" s="646" t="s">
        <v>70</v>
      </c>
      <c r="T672" s="646" t="s">
        <v>2694</v>
      </c>
      <c r="U672" s="646"/>
      <c r="V672" s="642"/>
      <c r="W672" s="642"/>
      <c r="X672" s="642" t="s">
        <v>2695</v>
      </c>
      <c r="Y672" s="647" t="s">
        <v>882</v>
      </c>
      <c r="Z672" s="657">
        <v>2.4874</v>
      </c>
      <c r="AA672" s="647">
        <f t="shared" si="217"/>
        <v>955.1616</v>
      </c>
      <c r="AB672" s="551"/>
      <c r="AC672" s="658" t="s">
        <v>2698</v>
      </c>
      <c r="AD672" s="633" t="s">
        <v>68</v>
      </c>
      <c r="AE672" s="246" t="s">
        <v>82</v>
      </c>
      <c r="AF672" s="246"/>
      <c r="AG672" s="246"/>
      <c r="AH672" s="246">
        <v>1</v>
      </c>
      <c r="AI672" s="246">
        <v>384</v>
      </c>
      <c r="AJ672" s="246">
        <f t="shared" si="219"/>
        <v>0</v>
      </c>
      <c r="AK672" s="246"/>
      <c r="AL672" s="246" t="s">
        <v>2368</v>
      </c>
      <c r="AM672" s="551"/>
      <c r="AN672" s="551">
        <f t="shared" si="218"/>
        <v>384</v>
      </c>
      <c r="AO672" s="1331"/>
      <c r="AP672" s="1331"/>
      <c r="AQ672" s="1331"/>
      <c r="AR672" s="551">
        <f>I672</f>
        <v>384</v>
      </c>
      <c r="AS672" s="551"/>
      <c r="AT672" s="551"/>
      <c r="AU672" s="551">
        <f>I672</f>
        <v>384</v>
      </c>
      <c r="AV672" s="551"/>
      <c r="AW672" s="551">
        <f t="shared" si="216"/>
        <v>384</v>
      </c>
      <c r="AX672" s="651"/>
      <c r="AY672" s="551"/>
      <c r="AZ672" s="551"/>
      <c r="BA672" s="551"/>
      <c r="BB672" s="551"/>
      <c r="BC672" s="551"/>
      <c r="BD672" s="551"/>
      <c r="BE672" s="551"/>
      <c r="BF672" s="551"/>
      <c r="BG672" s="551"/>
      <c r="BH672" s="551"/>
      <c r="BI672" s="551"/>
      <c r="BJ672" s="551"/>
      <c r="BK672" s="551"/>
      <c r="BL672" s="551"/>
      <c r="BM672" s="551"/>
      <c r="BN672" s="551"/>
      <c r="BO672" s="551"/>
      <c r="BP672" s="551"/>
      <c r="BQ672" s="551"/>
      <c r="BR672" s="551"/>
      <c r="BS672" s="551"/>
      <c r="BT672" s="551"/>
      <c r="BU672" s="551"/>
      <c r="BV672" s="551"/>
      <c r="BW672" s="551"/>
      <c r="BX672" s="551"/>
      <c r="BY672" s="551"/>
      <c r="BZ672" s="551"/>
      <c r="CA672" s="551"/>
      <c r="CB672" s="551"/>
      <c r="CC672" s="551"/>
      <c r="CD672" s="551"/>
      <c r="CE672" s="551"/>
      <c r="CF672" s="551"/>
      <c r="CG672" s="551"/>
      <c r="CH672" s="650"/>
      <c r="CI672" s="650"/>
      <c r="CJ672" s="650"/>
      <c r="CK672" s="650"/>
      <c r="CL672" s="650"/>
      <c r="CM672" s="551"/>
      <c r="CN672" s="551"/>
      <c r="CO672" s="551"/>
      <c r="CP672" s="650"/>
      <c r="CQ672" s="650"/>
      <c r="CR672" s="650"/>
      <c r="CS672" s="650"/>
      <c r="CT672" s="650"/>
      <c r="CU672" s="650"/>
    </row>
    <row r="673" s="1265" customFormat="1" ht="31" customHeight="1" spans="1:99">
      <c r="A673" s="641">
        <v>45957</v>
      </c>
      <c r="B673" s="642" t="s">
        <v>2699</v>
      </c>
      <c r="C673" s="246" t="s">
        <v>170</v>
      </c>
      <c r="D673" s="551">
        <v>4500183001</v>
      </c>
      <c r="E673" s="246" t="s">
        <v>2700</v>
      </c>
      <c r="F673" s="551" t="s">
        <v>2701</v>
      </c>
      <c r="G673" s="659" t="s">
        <v>2702</v>
      </c>
      <c r="H673" s="246" t="s">
        <v>2703</v>
      </c>
      <c r="I673" s="246">
        <v>132</v>
      </c>
      <c r="J673" s="246">
        <v>0</v>
      </c>
      <c r="K673" s="246">
        <v>6</v>
      </c>
      <c r="L673" s="644">
        <f t="shared" si="215"/>
        <v>22</v>
      </c>
      <c r="M673" s="645">
        <v>46031</v>
      </c>
      <c r="N673" s="645">
        <v>46027</v>
      </c>
      <c r="O673" s="643"/>
      <c r="P673" s="824" t="s">
        <v>113</v>
      </c>
      <c r="Q673" s="646"/>
      <c r="R673" s="646">
        <v>45995</v>
      </c>
      <c r="S673" s="646" t="s">
        <v>70</v>
      </c>
      <c r="T673" s="646" t="s">
        <v>70</v>
      </c>
      <c r="U673" s="646"/>
      <c r="V673" s="642"/>
      <c r="W673" s="642"/>
      <c r="X673" s="642" t="s">
        <v>2704</v>
      </c>
      <c r="Y673" s="647" t="s">
        <v>182</v>
      </c>
      <c r="Z673" s="657">
        <v>7.1628</v>
      </c>
      <c r="AA673" s="647">
        <f t="shared" si="217"/>
        <v>945.4896</v>
      </c>
      <c r="AB673" s="551"/>
      <c r="AC673" s="648"/>
      <c r="AD673" s="633" t="s">
        <v>2705</v>
      </c>
      <c r="AE673" s="246" t="s">
        <v>82</v>
      </c>
      <c r="AF673" s="246"/>
      <c r="AG673" s="246"/>
      <c r="AH673" s="246">
        <v>1</v>
      </c>
      <c r="AI673" s="246">
        <v>132</v>
      </c>
      <c r="AJ673" s="246">
        <f t="shared" si="219"/>
        <v>0</v>
      </c>
      <c r="AK673" s="246"/>
      <c r="AL673" s="246" t="s">
        <v>2368</v>
      </c>
      <c r="AM673" s="551"/>
      <c r="AN673" s="551">
        <f t="shared" si="218"/>
        <v>132</v>
      </c>
      <c r="AO673" s="1331"/>
      <c r="AP673" s="1331"/>
      <c r="AQ673" s="1331"/>
      <c r="AR673" s="551"/>
      <c r="AS673" s="551">
        <f t="shared" ref="AS673:AS679" si="220">I673</f>
        <v>132</v>
      </c>
      <c r="AT673" s="551"/>
      <c r="AU673" s="551">
        <f t="shared" ref="AU673:AU684" si="221">I673</f>
        <v>132</v>
      </c>
      <c r="AV673" s="551"/>
      <c r="AW673" s="551">
        <f t="shared" ref="AW673:AW684" si="222">I673</f>
        <v>132</v>
      </c>
      <c r="AX673" s="651"/>
      <c r="AY673" s="551"/>
      <c r="AZ673" s="551"/>
      <c r="BA673" s="551"/>
      <c r="BB673" s="551"/>
      <c r="BC673" s="551"/>
      <c r="BD673" s="551"/>
      <c r="BE673" s="551"/>
      <c r="BF673" s="551"/>
      <c r="BG673" s="551"/>
      <c r="BH673" s="551"/>
      <c r="BI673" s="551"/>
      <c r="BJ673" s="551"/>
      <c r="BK673" s="551"/>
      <c r="BL673" s="551"/>
      <c r="BM673" s="551">
        <f t="shared" ref="BM673:BM678" si="223">I673</f>
        <v>132</v>
      </c>
      <c r="BN673" s="551"/>
      <c r="BO673" s="551"/>
      <c r="BP673" s="551"/>
      <c r="BQ673" s="551"/>
      <c r="BR673" s="551"/>
      <c r="BS673" s="551"/>
      <c r="BT673" s="551"/>
      <c r="BU673" s="551"/>
      <c r="BV673" s="551"/>
      <c r="BW673" s="551"/>
      <c r="BX673" s="551"/>
      <c r="BY673" s="551"/>
      <c r="BZ673" s="551"/>
      <c r="CA673" s="551"/>
      <c r="CB673" s="551"/>
      <c r="CC673" s="551"/>
      <c r="CD673" s="551"/>
      <c r="CE673" s="551"/>
      <c r="CF673" s="551"/>
      <c r="CG673" s="551"/>
      <c r="CH673" s="650"/>
      <c r="CI673" s="650"/>
      <c r="CJ673" s="650"/>
      <c r="CK673" s="650"/>
      <c r="CL673" s="650"/>
      <c r="CM673" s="551"/>
      <c r="CN673" s="551"/>
      <c r="CO673" s="551"/>
      <c r="CP673" s="650"/>
      <c r="CQ673" s="650"/>
      <c r="CR673" s="650"/>
      <c r="CS673" s="650"/>
      <c r="CT673" s="650"/>
      <c r="CU673" s="650"/>
    </row>
    <row r="674" s="1265" customFormat="1" ht="31" customHeight="1" spans="1:99">
      <c r="A674" s="641">
        <v>45957</v>
      </c>
      <c r="B674" s="642" t="s">
        <v>2699</v>
      </c>
      <c r="C674" s="246" t="s">
        <v>170</v>
      </c>
      <c r="D674" s="551">
        <v>4500183001</v>
      </c>
      <c r="E674" s="246" t="s">
        <v>2700</v>
      </c>
      <c r="F674" s="551" t="s">
        <v>2706</v>
      </c>
      <c r="G674" s="659" t="s">
        <v>2702</v>
      </c>
      <c r="H674" s="246" t="s">
        <v>477</v>
      </c>
      <c r="I674" s="246">
        <v>132</v>
      </c>
      <c r="J674" s="246">
        <v>0</v>
      </c>
      <c r="K674" s="246">
        <v>6</v>
      </c>
      <c r="L674" s="644">
        <f t="shared" si="215"/>
        <v>22</v>
      </c>
      <c r="M674" s="645">
        <v>46031</v>
      </c>
      <c r="N674" s="645">
        <v>46027</v>
      </c>
      <c r="O674" s="643"/>
      <c r="P674" s="824" t="s">
        <v>113</v>
      </c>
      <c r="Q674" s="646"/>
      <c r="R674" s="646">
        <v>45995</v>
      </c>
      <c r="S674" s="646" t="s">
        <v>70</v>
      </c>
      <c r="T674" s="646" t="s">
        <v>70</v>
      </c>
      <c r="U674" s="646"/>
      <c r="V674" s="642"/>
      <c r="W674" s="642"/>
      <c r="X674" s="642" t="s">
        <v>2704</v>
      </c>
      <c r="Y674" s="647" t="s">
        <v>182</v>
      </c>
      <c r="Z674" s="657">
        <v>7.1628</v>
      </c>
      <c r="AA674" s="647">
        <f t="shared" si="217"/>
        <v>945.4896</v>
      </c>
      <c r="AB674" s="551"/>
      <c r="AC674" s="648"/>
      <c r="AD674" s="633" t="s">
        <v>2705</v>
      </c>
      <c r="AE674" s="246" t="s">
        <v>82</v>
      </c>
      <c r="AF674" s="246"/>
      <c r="AG674" s="246"/>
      <c r="AH674" s="246">
        <v>1</v>
      </c>
      <c r="AI674" s="246">
        <v>132</v>
      </c>
      <c r="AJ674" s="246">
        <f t="shared" si="219"/>
        <v>0</v>
      </c>
      <c r="AK674" s="246"/>
      <c r="AL674" s="246" t="s">
        <v>2368</v>
      </c>
      <c r="AM674" s="551"/>
      <c r="AN674" s="551">
        <f t="shared" si="218"/>
        <v>132</v>
      </c>
      <c r="AO674" s="1331"/>
      <c r="AP674" s="1331"/>
      <c r="AQ674" s="1331"/>
      <c r="AR674" s="551"/>
      <c r="AS674" s="551">
        <f t="shared" si="220"/>
        <v>132</v>
      </c>
      <c r="AT674" s="551"/>
      <c r="AU674" s="551">
        <f t="shared" si="221"/>
        <v>132</v>
      </c>
      <c r="AV674" s="551"/>
      <c r="AW674" s="551">
        <f t="shared" si="222"/>
        <v>132</v>
      </c>
      <c r="AX674" s="651"/>
      <c r="AY674" s="551"/>
      <c r="AZ674" s="551"/>
      <c r="BA674" s="551"/>
      <c r="BB674" s="551"/>
      <c r="BC674" s="551"/>
      <c r="BD674" s="551"/>
      <c r="BE674" s="551"/>
      <c r="BF674" s="551"/>
      <c r="BG674" s="551"/>
      <c r="BH674" s="551"/>
      <c r="BI674" s="551"/>
      <c r="BJ674" s="551"/>
      <c r="BK674" s="551"/>
      <c r="BL674" s="551"/>
      <c r="BM674" s="551">
        <f t="shared" si="223"/>
        <v>132</v>
      </c>
      <c r="BN674" s="551"/>
      <c r="BO674" s="551"/>
      <c r="BP674" s="551"/>
      <c r="BQ674" s="551"/>
      <c r="BR674" s="551"/>
      <c r="BS674" s="551"/>
      <c r="BT674" s="551"/>
      <c r="BU674" s="551"/>
      <c r="BV674" s="551"/>
      <c r="BW674" s="551"/>
      <c r="BX674" s="551"/>
      <c r="BY674" s="551"/>
      <c r="BZ674" s="551"/>
      <c r="CA674" s="551"/>
      <c r="CB674" s="551"/>
      <c r="CC674" s="551"/>
      <c r="CD674" s="551"/>
      <c r="CE674" s="551"/>
      <c r="CF674" s="551"/>
      <c r="CG674" s="551"/>
      <c r="CH674" s="650"/>
      <c r="CI674" s="650"/>
      <c r="CJ674" s="650"/>
      <c r="CK674" s="650"/>
      <c r="CL674" s="650"/>
      <c r="CM674" s="551"/>
      <c r="CN674" s="551"/>
      <c r="CO674" s="551"/>
      <c r="CP674" s="650"/>
      <c r="CQ674" s="650"/>
      <c r="CR674" s="650"/>
      <c r="CS674" s="650"/>
      <c r="CT674" s="650"/>
      <c r="CU674" s="650"/>
    </row>
    <row r="675" s="1265" customFormat="1" ht="31" customHeight="1" spans="1:99">
      <c r="A675" s="641">
        <v>45957</v>
      </c>
      <c r="B675" s="642" t="s">
        <v>2707</v>
      </c>
      <c r="C675" s="246" t="s">
        <v>170</v>
      </c>
      <c r="D675" s="551">
        <v>4500183043</v>
      </c>
      <c r="E675" s="246" t="s">
        <v>2708</v>
      </c>
      <c r="F675" s="551" t="s">
        <v>2709</v>
      </c>
      <c r="G675" s="659" t="s">
        <v>2702</v>
      </c>
      <c r="H675" s="246" t="s">
        <v>477</v>
      </c>
      <c r="I675" s="246">
        <v>720</v>
      </c>
      <c r="J675" s="246">
        <v>0</v>
      </c>
      <c r="K675" s="246">
        <v>6</v>
      </c>
      <c r="L675" s="644">
        <f t="shared" si="215"/>
        <v>120</v>
      </c>
      <c r="M675" s="645">
        <v>46031</v>
      </c>
      <c r="N675" s="645">
        <v>46027</v>
      </c>
      <c r="O675" s="643"/>
      <c r="P675" s="824" t="s">
        <v>113</v>
      </c>
      <c r="Q675" s="646"/>
      <c r="R675" s="646">
        <v>45995</v>
      </c>
      <c r="S675" s="646" t="s">
        <v>70</v>
      </c>
      <c r="T675" s="646" t="s">
        <v>70</v>
      </c>
      <c r="U675" s="646"/>
      <c r="V675" s="642"/>
      <c r="W675" s="642"/>
      <c r="X675" s="642" t="s">
        <v>2710</v>
      </c>
      <c r="Y675" s="647" t="s">
        <v>182</v>
      </c>
      <c r="Z675" s="657">
        <v>7.1628</v>
      </c>
      <c r="AA675" s="647">
        <f t="shared" si="217"/>
        <v>5157.216</v>
      </c>
      <c r="AB675" s="551"/>
      <c r="AC675" s="648"/>
      <c r="AD675" s="633" t="s">
        <v>2705</v>
      </c>
      <c r="AE675" s="246" t="s">
        <v>82</v>
      </c>
      <c r="AF675" s="246"/>
      <c r="AG675" s="246"/>
      <c r="AH675" s="246">
        <v>1</v>
      </c>
      <c r="AI675" s="246">
        <v>720</v>
      </c>
      <c r="AJ675" s="246">
        <f t="shared" si="219"/>
        <v>0</v>
      </c>
      <c r="AK675" s="246"/>
      <c r="AL675" s="246"/>
      <c r="AM675" s="551"/>
      <c r="AN675" s="551">
        <f t="shared" si="218"/>
        <v>720</v>
      </c>
      <c r="AO675" s="1331"/>
      <c r="AP675" s="1331"/>
      <c r="AQ675" s="1331"/>
      <c r="AR675" s="551"/>
      <c r="AS675" s="551">
        <f t="shared" si="220"/>
        <v>720</v>
      </c>
      <c r="AT675" s="551"/>
      <c r="AU675" s="551">
        <f t="shared" si="221"/>
        <v>720</v>
      </c>
      <c r="AV675" s="551"/>
      <c r="AW675" s="551">
        <f t="shared" si="222"/>
        <v>720</v>
      </c>
      <c r="AX675" s="651"/>
      <c r="AY675" s="551"/>
      <c r="AZ675" s="551"/>
      <c r="BA675" s="551"/>
      <c r="BB675" s="551"/>
      <c r="BC675" s="551"/>
      <c r="BD675" s="551"/>
      <c r="BE675" s="551"/>
      <c r="BF675" s="551"/>
      <c r="BG675" s="551"/>
      <c r="BH675" s="551"/>
      <c r="BI675" s="551"/>
      <c r="BJ675" s="551"/>
      <c r="BK675" s="551"/>
      <c r="BL675" s="551"/>
      <c r="BM675" s="551">
        <f t="shared" si="223"/>
        <v>720</v>
      </c>
      <c r="BN675" s="551"/>
      <c r="BO675" s="551"/>
      <c r="BP675" s="551"/>
      <c r="BQ675" s="551"/>
      <c r="BR675" s="551"/>
      <c r="BS675" s="551"/>
      <c r="BT675" s="551"/>
      <c r="BU675" s="551"/>
      <c r="BV675" s="551"/>
      <c r="BW675" s="551"/>
      <c r="BX675" s="551"/>
      <c r="BY675" s="551"/>
      <c r="BZ675" s="551"/>
      <c r="CA675" s="551"/>
      <c r="CB675" s="551"/>
      <c r="CC675" s="551"/>
      <c r="CD675" s="551"/>
      <c r="CE675" s="551"/>
      <c r="CF675" s="551"/>
      <c r="CG675" s="551"/>
      <c r="CH675" s="650"/>
      <c r="CI675" s="650"/>
      <c r="CJ675" s="650"/>
      <c r="CK675" s="650"/>
      <c r="CL675" s="650"/>
      <c r="CM675" s="551"/>
      <c r="CN675" s="551"/>
      <c r="CO675" s="551"/>
      <c r="CP675" s="650"/>
      <c r="CQ675" s="650"/>
      <c r="CR675" s="650"/>
      <c r="CS675" s="650"/>
      <c r="CT675" s="650"/>
      <c r="CU675" s="650"/>
    </row>
    <row r="676" s="1265" customFormat="1" ht="31" customHeight="1" spans="1:99">
      <c r="A676" s="641">
        <v>45957</v>
      </c>
      <c r="B676" s="642" t="s">
        <v>2699</v>
      </c>
      <c r="C676" s="246" t="s">
        <v>170</v>
      </c>
      <c r="D676" s="551">
        <v>4500183051</v>
      </c>
      <c r="E676" s="246" t="s">
        <v>2711</v>
      </c>
      <c r="F676" s="551" t="s">
        <v>2712</v>
      </c>
      <c r="G676" s="659" t="s">
        <v>2702</v>
      </c>
      <c r="H676" s="246" t="s">
        <v>477</v>
      </c>
      <c r="I676" s="246">
        <v>180</v>
      </c>
      <c r="J676" s="246">
        <v>0</v>
      </c>
      <c r="K676" s="246">
        <v>6</v>
      </c>
      <c r="L676" s="644">
        <f t="shared" si="215"/>
        <v>30</v>
      </c>
      <c r="M676" s="645">
        <v>46031</v>
      </c>
      <c r="N676" s="645">
        <v>46027</v>
      </c>
      <c r="O676" s="643"/>
      <c r="P676" s="824" t="s">
        <v>113</v>
      </c>
      <c r="Q676" s="646"/>
      <c r="R676" s="646">
        <v>45995</v>
      </c>
      <c r="S676" s="646" t="s">
        <v>70</v>
      </c>
      <c r="T676" s="646" t="s">
        <v>70</v>
      </c>
      <c r="U676" s="646"/>
      <c r="V676" s="642"/>
      <c r="W676" s="642"/>
      <c r="X676" s="642" t="s">
        <v>2710</v>
      </c>
      <c r="Y676" s="647" t="s">
        <v>182</v>
      </c>
      <c r="Z676" s="657">
        <v>6.8326</v>
      </c>
      <c r="AA676" s="647">
        <f t="shared" si="217"/>
        <v>1229.868</v>
      </c>
      <c r="AB676" s="551"/>
      <c r="AC676" s="648"/>
      <c r="AD676" s="633" t="s">
        <v>2705</v>
      </c>
      <c r="AE676" s="246" t="s">
        <v>82</v>
      </c>
      <c r="AF676" s="246"/>
      <c r="AG676" s="246"/>
      <c r="AH676" s="246">
        <v>1</v>
      </c>
      <c r="AI676" s="246">
        <v>180</v>
      </c>
      <c r="AJ676" s="246">
        <f t="shared" si="219"/>
        <v>0</v>
      </c>
      <c r="AK676" s="246"/>
      <c r="AL676" s="246"/>
      <c r="AM676" s="551"/>
      <c r="AN676" s="551">
        <f t="shared" si="218"/>
        <v>180</v>
      </c>
      <c r="AO676" s="1331"/>
      <c r="AP676" s="1331"/>
      <c r="AQ676" s="1331"/>
      <c r="AR676" s="551"/>
      <c r="AS676" s="551">
        <f t="shared" si="220"/>
        <v>180</v>
      </c>
      <c r="AT676" s="551"/>
      <c r="AU676" s="551">
        <f t="shared" si="221"/>
        <v>180</v>
      </c>
      <c r="AV676" s="551"/>
      <c r="AW676" s="551">
        <f t="shared" si="222"/>
        <v>180</v>
      </c>
      <c r="AX676" s="651"/>
      <c r="AY676" s="551"/>
      <c r="AZ676" s="551"/>
      <c r="BA676" s="551"/>
      <c r="BB676" s="551"/>
      <c r="BC676" s="551"/>
      <c r="BD676" s="551"/>
      <c r="BE676" s="551"/>
      <c r="BF676" s="551"/>
      <c r="BG676" s="551"/>
      <c r="BH676" s="551"/>
      <c r="BI676" s="551"/>
      <c r="BJ676" s="551"/>
      <c r="BK676" s="551"/>
      <c r="BL676" s="551"/>
      <c r="BM676" s="551">
        <f t="shared" si="223"/>
        <v>180</v>
      </c>
      <c r="BN676" s="551"/>
      <c r="BO676" s="551"/>
      <c r="BP676" s="551"/>
      <c r="BQ676" s="551"/>
      <c r="BR676" s="551"/>
      <c r="BS676" s="551"/>
      <c r="BT676" s="551"/>
      <c r="BU676" s="551"/>
      <c r="BV676" s="551"/>
      <c r="BW676" s="551"/>
      <c r="BX676" s="551"/>
      <c r="BY676" s="551"/>
      <c r="BZ676" s="551"/>
      <c r="CA676" s="551"/>
      <c r="CB676" s="551"/>
      <c r="CC676" s="551"/>
      <c r="CD676" s="551"/>
      <c r="CE676" s="551"/>
      <c r="CF676" s="551"/>
      <c r="CG676" s="551"/>
      <c r="CH676" s="650"/>
      <c r="CI676" s="650"/>
      <c r="CJ676" s="650"/>
      <c r="CK676" s="650"/>
      <c r="CL676" s="650"/>
      <c r="CM676" s="551"/>
      <c r="CN676" s="551"/>
      <c r="CO676" s="551"/>
      <c r="CP676" s="650"/>
      <c r="CQ676" s="650"/>
      <c r="CR676" s="650"/>
      <c r="CS676" s="650"/>
      <c r="CT676" s="650"/>
      <c r="CU676" s="650"/>
    </row>
    <row r="677" s="1265" customFormat="1" ht="31" customHeight="1" spans="1:99">
      <c r="A677" s="641">
        <v>45957</v>
      </c>
      <c r="B677" s="642" t="s">
        <v>2699</v>
      </c>
      <c r="C677" s="246" t="s">
        <v>170</v>
      </c>
      <c r="D677" s="551">
        <v>4500183051</v>
      </c>
      <c r="E677" s="246" t="s">
        <v>2711</v>
      </c>
      <c r="F677" s="551" t="s">
        <v>2713</v>
      </c>
      <c r="G677" s="659" t="s">
        <v>2702</v>
      </c>
      <c r="H677" s="246" t="s">
        <v>477</v>
      </c>
      <c r="I677" s="246">
        <v>720</v>
      </c>
      <c r="J677" s="246">
        <v>0</v>
      </c>
      <c r="K677" s="246">
        <v>6</v>
      </c>
      <c r="L677" s="644">
        <f t="shared" si="215"/>
        <v>120</v>
      </c>
      <c r="M677" s="645">
        <v>46031</v>
      </c>
      <c r="N677" s="645">
        <v>46027</v>
      </c>
      <c r="O677" s="643"/>
      <c r="P677" s="824" t="s">
        <v>113</v>
      </c>
      <c r="Q677" s="646"/>
      <c r="R677" s="646">
        <v>45995</v>
      </c>
      <c r="S677" s="646" t="s">
        <v>70</v>
      </c>
      <c r="T677" s="646" t="s">
        <v>70</v>
      </c>
      <c r="U677" s="646"/>
      <c r="V677" s="642"/>
      <c r="W677" s="642"/>
      <c r="X677" s="642" t="s">
        <v>2710</v>
      </c>
      <c r="Y677" s="647" t="s">
        <v>182</v>
      </c>
      <c r="Z677" s="657">
        <v>6.8326</v>
      </c>
      <c r="AA677" s="647">
        <f t="shared" si="217"/>
        <v>4919.472</v>
      </c>
      <c r="AB677" s="551"/>
      <c r="AC677" s="648"/>
      <c r="AD677" s="633" t="s">
        <v>2705</v>
      </c>
      <c r="AE677" s="246" t="s">
        <v>82</v>
      </c>
      <c r="AF677" s="246"/>
      <c r="AG677" s="246"/>
      <c r="AH677" s="246">
        <v>1</v>
      </c>
      <c r="AI677" s="246">
        <f>708+12</f>
        <v>720</v>
      </c>
      <c r="AJ677" s="246">
        <f t="shared" si="219"/>
        <v>0</v>
      </c>
      <c r="AK677" s="246"/>
      <c r="AL677" s="246"/>
      <c r="AM677" s="551"/>
      <c r="AN677" s="551">
        <f t="shared" si="218"/>
        <v>720</v>
      </c>
      <c r="AO677" s="1331"/>
      <c r="AP677" s="1331"/>
      <c r="AQ677" s="1331"/>
      <c r="AR677" s="551"/>
      <c r="AS677" s="551">
        <f t="shared" si="220"/>
        <v>720</v>
      </c>
      <c r="AT677" s="551"/>
      <c r="AU677" s="551">
        <f t="shared" si="221"/>
        <v>720</v>
      </c>
      <c r="AV677" s="551"/>
      <c r="AW677" s="551">
        <f t="shared" si="222"/>
        <v>720</v>
      </c>
      <c r="AX677" s="651"/>
      <c r="AY677" s="551"/>
      <c r="AZ677" s="551"/>
      <c r="BA677" s="551"/>
      <c r="BB677" s="551"/>
      <c r="BC677" s="551"/>
      <c r="BD677" s="551"/>
      <c r="BE677" s="551"/>
      <c r="BF677" s="551"/>
      <c r="BG677" s="551"/>
      <c r="BH677" s="551"/>
      <c r="BI677" s="551"/>
      <c r="BJ677" s="551"/>
      <c r="BK677" s="551"/>
      <c r="BL677" s="551"/>
      <c r="BM677" s="551">
        <f t="shared" si="223"/>
        <v>720</v>
      </c>
      <c r="BN677" s="551"/>
      <c r="BO677" s="551"/>
      <c r="BP677" s="551"/>
      <c r="BQ677" s="551"/>
      <c r="BR677" s="551"/>
      <c r="BS677" s="551"/>
      <c r="BT677" s="551"/>
      <c r="BU677" s="551"/>
      <c r="BV677" s="551"/>
      <c r="BW677" s="551"/>
      <c r="BX677" s="551"/>
      <c r="BY677" s="551"/>
      <c r="BZ677" s="551"/>
      <c r="CA677" s="551"/>
      <c r="CB677" s="551"/>
      <c r="CC677" s="551"/>
      <c r="CD677" s="551"/>
      <c r="CE677" s="551"/>
      <c r="CF677" s="551"/>
      <c r="CG677" s="551"/>
      <c r="CH677" s="650"/>
      <c r="CI677" s="650"/>
      <c r="CJ677" s="650"/>
      <c r="CK677" s="650"/>
      <c r="CL677" s="650"/>
      <c r="CM677" s="551"/>
      <c r="CN677" s="551"/>
      <c r="CO677" s="551"/>
      <c r="CP677" s="650"/>
      <c r="CQ677" s="650"/>
      <c r="CR677" s="650"/>
      <c r="CS677" s="650"/>
      <c r="CT677" s="650"/>
      <c r="CU677" s="650"/>
    </row>
    <row r="678" s="1265" customFormat="1" ht="31" customHeight="1" spans="1:99">
      <c r="A678" s="641">
        <v>45957</v>
      </c>
      <c r="B678" s="642" t="s">
        <v>2699</v>
      </c>
      <c r="C678" s="246" t="s">
        <v>170</v>
      </c>
      <c r="D678" s="551">
        <v>4500183051</v>
      </c>
      <c r="E678" s="246" t="s">
        <v>2711</v>
      </c>
      <c r="F678" s="551" t="s">
        <v>2714</v>
      </c>
      <c r="G678" s="659" t="s">
        <v>2702</v>
      </c>
      <c r="H678" s="246" t="s">
        <v>477</v>
      </c>
      <c r="I678" s="246">
        <v>180</v>
      </c>
      <c r="J678" s="246">
        <v>0</v>
      </c>
      <c r="K678" s="246">
        <v>6</v>
      </c>
      <c r="L678" s="644">
        <f t="shared" si="215"/>
        <v>30</v>
      </c>
      <c r="M678" s="645">
        <v>46031</v>
      </c>
      <c r="N678" s="645">
        <v>46027</v>
      </c>
      <c r="O678" s="643"/>
      <c r="P678" s="824" t="s">
        <v>113</v>
      </c>
      <c r="Q678" s="646"/>
      <c r="R678" s="646">
        <v>45995</v>
      </c>
      <c r="S678" s="646" t="s">
        <v>70</v>
      </c>
      <c r="T678" s="646" t="s">
        <v>70</v>
      </c>
      <c r="U678" s="646"/>
      <c r="V678" s="642"/>
      <c r="W678" s="642"/>
      <c r="X678" s="642" t="s">
        <v>2710</v>
      </c>
      <c r="Y678" s="647" t="s">
        <v>182</v>
      </c>
      <c r="Z678" s="657">
        <v>6.8326</v>
      </c>
      <c r="AA678" s="647">
        <f t="shared" si="217"/>
        <v>1229.868</v>
      </c>
      <c r="AB678" s="551"/>
      <c r="AC678" s="648"/>
      <c r="AD678" s="633" t="s">
        <v>2705</v>
      </c>
      <c r="AE678" s="246" t="s">
        <v>82</v>
      </c>
      <c r="AF678" s="246"/>
      <c r="AG678" s="246"/>
      <c r="AH678" s="246">
        <v>1</v>
      </c>
      <c r="AI678" s="246">
        <v>180</v>
      </c>
      <c r="AJ678" s="246">
        <f t="shared" si="219"/>
        <v>0</v>
      </c>
      <c r="AK678" s="246"/>
      <c r="AL678" s="246"/>
      <c r="AM678" s="551"/>
      <c r="AN678" s="551">
        <f t="shared" si="218"/>
        <v>180</v>
      </c>
      <c r="AO678" s="1331"/>
      <c r="AP678" s="1331"/>
      <c r="AQ678" s="1331"/>
      <c r="AR678" s="551"/>
      <c r="AS678" s="551">
        <f t="shared" si="220"/>
        <v>180</v>
      </c>
      <c r="AT678" s="551"/>
      <c r="AU678" s="551">
        <f t="shared" si="221"/>
        <v>180</v>
      </c>
      <c r="AV678" s="551"/>
      <c r="AW678" s="551">
        <f t="shared" si="222"/>
        <v>180</v>
      </c>
      <c r="AX678" s="651"/>
      <c r="AY678" s="551"/>
      <c r="AZ678" s="551"/>
      <c r="BA678" s="551"/>
      <c r="BB678" s="551"/>
      <c r="BC678" s="551"/>
      <c r="BD678" s="551"/>
      <c r="BE678" s="551"/>
      <c r="BF678" s="551"/>
      <c r="BG678" s="551"/>
      <c r="BH678" s="551"/>
      <c r="BI678" s="551"/>
      <c r="BJ678" s="551"/>
      <c r="BK678" s="551"/>
      <c r="BL678" s="551"/>
      <c r="BM678" s="551">
        <f t="shared" si="223"/>
        <v>180</v>
      </c>
      <c r="BN678" s="551"/>
      <c r="BO678" s="551"/>
      <c r="BP678" s="551"/>
      <c r="BQ678" s="551"/>
      <c r="BR678" s="551"/>
      <c r="BS678" s="551"/>
      <c r="BT678" s="551"/>
      <c r="BU678" s="551"/>
      <c r="BV678" s="551"/>
      <c r="BW678" s="551"/>
      <c r="BX678" s="551"/>
      <c r="BY678" s="551"/>
      <c r="BZ678" s="551"/>
      <c r="CA678" s="551"/>
      <c r="CB678" s="551"/>
      <c r="CC678" s="551"/>
      <c r="CD678" s="551"/>
      <c r="CE678" s="551"/>
      <c r="CF678" s="551"/>
      <c r="CG678" s="551"/>
      <c r="CH678" s="650"/>
      <c r="CI678" s="650"/>
      <c r="CJ678" s="650"/>
      <c r="CK678" s="650"/>
      <c r="CL678" s="650"/>
      <c r="CM678" s="551"/>
      <c r="CN678" s="551"/>
      <c r="CO678" s="551"/>
      <c r="CP678" s="650"/>
      <c r="CQ678" s="650"/>
      <c r="CR678" s="650"/>
      <c r="CS678" s="650"/>
      <c r="CT678" s="650"/>
      <c r="CU678" s="650"/>
    </row>
    <row r="679" s="1265" customFormat="1" ht="31" customHeight="1" spans="1:99">
      <c r="A679" s="641">
        <v>45968</v>
      </c>
      <c r="B679" s="642" t="s">
        <v>738</v>
      </c>
      <c r="C679" s="246" t="s">
        <v>348</v>
      </c>
      <c r="D679" s="551">
        <v>4500183616</v>
      </c>
      <c r="E679" s="246" t="s">
        <v>2715</v>
      </c>
      <c r="F679" s="551" t="s">
        <v>2716</v>
      </c>
      <c r="G679" s="659" t="s">
        <v>68</v>
      </c>
      <c r="H679" s="633" t="s">
        <v>69</v>
      </c>
      <c r="I679" s="246">
        <v>1560</v>
      </c>
      <c r="J679" s="246">
        <v>0</v>
      </c>
      <c r="K679" s="246">
        <v>12</v>
      </c>
      <c r="L679" s="644">
        <f t="shared" si="215"/>
        <v>130</v>
      </c>
      <c r="M679" s="645">
        <v>46031</v>
      </c>
      <c r="N679" s="645">
        <v>46027</v>
      </c>
      <c r="O679" s="643"/>
      <c r="P679" s="824" t="s">
        <v>113</v>
      </c>
      <c r="Q679" s="646"/>
      <c r="R679" s="646">
        <v>45995</v>
      </c>
      <c r="S679" s="646" t="s">
        <v>70</v>
      </c>
      <c r="T679" s="646" t="s">
        <v>2717</v>
      </c>
      <c r="U679" s="646"/>
      <c r="V679" s="642"/>
      <c r="W679" s="642"/>
      <c r="X679" s="642" t="s">
        <v>2718</v>
      </c>
      <c r="Y679" s="647" t="s">
        <v>529</v>
      </c>
      <c r="Z679" s="657">
        <v>4.1623</v>
      </c>
      <c r="AA679" s="647">
        <f t="shared" si="217"/>
        <v>6493.188</v>
      </c>
      <c r="AB679" s="551"/>
      <c r="AC679" s="648"/>
      <c r="AD679" s="633" t="s">
        <v>184</v>
      </c>
      <c r="AE679" s="246" t="s">
        <v>82</v>
      </c>
      <c r="AF679" s="246"/>
      <c r="AG679" s="246"/>
      <c r="AH679" s="246">
        <v>1</v>
      </c>
      <c r="AI679" s="246">
        <v>1560</v>
      </c>
      <c r="AJ679" s="246">
        <f t="shared" si="219"/>
        <v>0</v>
      </c>
      <c r="AK679" s="246"/>
      <c r="AL679" s="246" t="s">
        <v>2368</v>
      </c>
      <c r="AM679" s="551"/>
      <c r="AN679" s="551">
        <f t="shared" si="218"/>
        <v>1560</v>
      </c>
      <c r="AO679" s="1331"/>
      <c r="AP679" s="1331"/>
      <c r="AQ679" s="1331"/>
      <c r="AR679" s="551"/>
      <c r="AS679" s="551">
        <f t="shared" si="220"/>
        <v>1560</v>
      </c>
      <c r="AT679" s="551"/>
      <c r="AU679" s="551">
        <f t="shared" si="221"/>
        <v>1560</v>
      </c>
      <c r="AV679" s="551"/>
      <c r="AW679" s="551">
        <f t="shared" si="222"/>
        <v>1560</v>
      </c>
      <c r="AX679" s="651"/>
      <c r="AY679" s="551"/>
      <c r="AZ679" s="551"/>
      <c r="BA679" s="551"/>
      <c r="BB679" s="551"/>
      <c r="BC679" s="551"/>
      <c r="BD679" s="551"/>
      <c r="BE679" s="551"/>
      <c r="BF679" s="551"/>
      <c r="BG679" s="551"/>
      <c r="BH679" s="551"/>
      <c r="BI679" s="551"/>
      <c r="BJ679" s="551"/>
      <c r="BK679" s="551"/>
      <c r="BL679" s="551"/>
      <c r="BM679" s="551"/>
      <c r="BN679" s="551"/>
      <c r="BO679" s="551"/>
      <c r="BP679" s="551"/>
      <c r="BQ679" s="551"/>
      <c r="BR679" s="551"/>
      <c r="BS679" s="551"/>
      <c r="BT679" s="551"/>
      <c r="BU679" s="551"/>
      <c r="BV679" s="551"/>
      <c r="BW679" s="551"/>
      <c r="BX679" s="551"/>
      <c r="BY679" s="551"/>
      <c r="BZ679" s="551"/>
      <c r="CA679" s="551"/>
      <c r="CB679" s="551"/>
      <c r="CC679" s="551"/>
      <c r="CD679" s="551"/>
      <c r="CE679" s="551"/>
      <c r="CF679" s="551"/>
      <c r="CG679" s="551"/>
      <c r="CH679" s="650"/>
      <c r="CI679" s="650"/>
      <c r="CJ679" s="650"/>
      <c r="CK679" s="650"/>
      <c r="CL679" s="650"/>
      <c r="CM679" s="551"/>
      <c r="CN679" s="551"/>
      <c r="CO679" s="551"/>
      <c r="CP679" s="650"/>
      <c r="CQ679" s="650"/>
      <c r="CR679" s="650"/>
      <c r="CS679" s="650"/>
      <c r="CT679" s="650"/>
      <c r="CU679" s="650"/>
    </row>
    <row r="680" s="1265" customFormat="1" ht="31" customHeight="1" spans="1:99">
      <c r="A680" s="641">
        <v>45978</v>
      </c>
      <c r="B680" s="642" t="s">
        <v>219</v>
      </c>
      <c r="C680" s="246" t="s">
        <v>220</v>
      </c>
      <c r="D680" s="551">
        <v>4500185972</v>
      </c>
      <c r="E680" s="246" t="s">
        <v>2719</v>
      </c>
      <c r="F680" s="551" t="s">
        <v>2720</v>
      </c>
      <c r="G680" s="659" t="s">
        <v>111</v>
      </c>
      <c r="H680" s="246" t="s">
        <v>112</v>
      </c>
      <c r="I680" s="246">
        <v>336</v>
      </c>
      <c r="J680" s="246">
        <v>0</v>
      </c>
      <c r="K680" s="246">
        <v>16</v>
      </c>
      <c r="L680" s="644">
        <f t="shared" si="215"/>
        <v>21</v>
      </c>
      <c r="M680" s="645">
        <v>46031</v>
      </c>
      <c r="N680" s="645">
        <v>46027</v>
      </c>
      <c r="O680" s="643"/>
      <c r="P680" s="824" t="s">
        <v>113</v>
      </c>
      <c r="Q680" s="646"/>
      <c r="R680" s="646">
        <v>45978</v>
      </c>
      <c r="S680" s="646" t="s">
        <v>70</v>
      </c>
      <c r="T680" s="646" t="s">
        <v>2721</v>
      </c>
      <c r="U680" s="646"/>
      <c r="V680" s="642"/>
      <c r="W680" s="642"/>
      <c r="X680" s="642" t="s">
        <v>2722</v>
      </c>
      <c r="Y680" s="647" t="s">
        <v>1793</v>
      </c>
      <c r="Z680" s="657">
        <v>4.2542</v>
      </c>
      <c r="AA680" s="647">
        <f t="shared" si="217"/>
        <v>1429.4112</v>
      </c>
      <c r="AB680" s="551"/>
      <c r="AC680" s="648" t="s">
        <v>2723</v>
      </c>
      <c r="AD680" s="633" t="s">
        <v>111</v>
      </c>
      <c r="AE680" s="246" t="s">
        <v>82</v>
      </c>
      <c r="AF680" s="246"/>
      <c r="AG680" s="246"/>
      <c r="AH680" s="246">
        <v>1</v>
      </c>
      <c r="AI680" s="246">
        <v>336</v>
      </c>
      <c r="AJ680" s="246">
        <f t="shared" si="219"/>
        <v>0</v>
      </c>
      <c r="AK680" s="246"/>
      <c r="AL680" s="246"/>
      <c r="AM680" s="551"/>
      <c r="AN680" s="551">
        <f t="shared" si="218"/>
        <v>336</v>
      </c>
      <c r="AO680" s="1331"/>
      <c r="AP680" s="1331"/>
      <c r="AQ680" s="1331"/>
      <c r="AR680" s="551">
        <f>I680</f>
        <v>336</v>
      </c>
      <c r="AS680" s="551"/>
      <c r="AT680" s="551"/>
      <c r="AU680" s="551">
        <f t="shared" si="221"/>
        <v>336</v>
      </c>
      <c r="AV680" s="551"/>
      <c r="AW680" s="551">
        <f t="shared" si="222"/>
        <v>336</v>
      </c>
      <c r="AX680" s="651"/>
      <c r="AY680" s="551"/>
      <c r="AZ680" s="551"/>
      <c r="BA680" s="551"/>
      <c r="BB680" s="551"/>
      <c r="BC680" s="551"/>
      <c r="BD680" s="551"/>
      <c r="BE680" s="551"/>
      <c r="BF680" s="551"/>
      <c r="BG680" s="551"/>
      <c r="BH680" s="825">
        <f>I680/4</f>
        <v>84</v>
      </c>
      <c r="BI680" s="551"/>
      <c r="BJ680" s="551"/>
      <c r="BK680" s="551"/>
      <c r="BL680" s="551"/>
      <c r="BM680" s="551"/>
      <c r="BN680" s="551"/>
      <c r="BO680" s="551"/>
      <c r="BP680" s="551"/>
      <c r="BQ680" s="551"/>
      <c r="BR680" s="551"/>
      <c r="BS680" s="551"/>
      <c r="BT680" s="551"/>
      <c r="BU680" s="551"/>
      <c r="BV680" s="551"/>
      <c r="BW680" s="551"/>
      <c r="BX680" s="551"/>
      <c r="BY680" s="551"/>
      <c r="BZ680" s="551"/>
      <c r="CA680" s="551"/>
      <c r="CB680" s="551"/>
      <c r="CC680" s="551"/>
      <c r="CD680" s="551"/>
      <c r="CE680" s="551"/>
      <c r="CF680" s="551"/>
      <c r="CG680" s="551"/>
      <c r="CH680" s="650"/>
      <c r="CI680" s="650"/>
      <c r="CJ680" s="650"/>
      <c r="CK680" s="650"/>
      <c r="CL680" s="650"/>
      <c r="CM680" s="551"/>
      <c r="CN680" s="551"/>
      <c r="CO680" s="551"/>
      <c r="CP680" s="650"/>
      <c r="CQ680" s="650"/>
      <c r="CR680" s="650"/>
      <c r="CS680" s="650"/>
      <c r="CT680" s="650"/>
      <c r="CU680" s="650"/>
    </row>
    <row r="681" s="1265" customFormat="1" ht="31" customHeight="1" spans="1:99">
      <c r="A681" s="641">
        <v>45987</v>
      </c>
      <c r="B681" s="642" t="s">
        <v>1906</v>
      </c>
      <c r="C681" s="246" t="s">
        <v>154</v>
      </c>
      <c r="D681" s="551">
        <v>4500187023</v>
      </c>
      <c r="E681" s="246">
        <v>5200007969</v>
      </c>
      <c r="F681" s="551" t="s">
        <v>2724</v>
      </c>
      <c r="G681" s="659" t="s">
        <v>156</v>
      </c>
      <c r="H681" s="246" t="s">
        <v>102</v>
      </c>
      <c r="I681" s="246">
        <v>2400</v>
      </c>
      <c r="J681" s="246">
        <v>0</v>
      </c>
      <c r="K681" s="246">
        <v>4</v>
      </c>
      <c r="L681" s="644">
        <f t="shared" si="215"/>
        <v>600</v>
      </c>
      <c r="M681" s="645">
        <v>46031</v>
      </c>
      <c r="N681" s="645">
        <v>46027</v>
      </c>
      <c r="O681" s="643"/>
      <c r="P681" s="824" t="s">
        <v>113</v>
      </c>
      <c r="Q681" s="646"/>
      <c r="R681" s="646">
        <v>45987</v>
      </c>
      <c r="S681" s="646" t="s">
        <v>70</v>
      </c>
      <c r="T681" s="646" t="s">
        <v>2725</v>
      </c>
      <c r="U681" s="646"/>
      <c r="V681" s="642"/>
      <c r="W681" s="642"/>
      <c r="X681" s="642" t="s">
        <v>2726</v>
      </c>
      <c r="Y681" s="647" t="s">
        <v>1237</v>
      </c>
      <c r="Z681" s="657">
        <v>4.3</v>
      </c>
      <c r="AA681" s="647">
        <f t="shared" si="217"/>
        <v>10320</v>
      </c>
      <c r="AB681" s="551"/>
      <c r="AC681" s="648" t="s">
        <v>2727</v>
      </c>
      <c r="AD681" s="633" t="s">
        <v>156</v>
      </c>
      <c r="AE681" s="246" t="s">
        <v>82</v>
      </c>
      <c r="AF681" s="246"/>
      <c r="AG681" s="246"/>
      <c r="AH681" s="246">
        <v>1</v>
      </c>
      <c r="AI681" s="246">
        <f>2160+240</f>
        <v>2400</v>
      </c>
      <c r="AJ681" s="246">
        <f t="shared" si="219"/>
        <v>0</v>
      </c>
      <c r="AK681" s="246"/>
      <c r="AL681" s="246" t="s">
        <v>2368</v>
      </c>
      <c r="AM681" s="551"/>
      <c r="AN681" s="551">
        <f t="shared" si="218"/>
        <v>2400</v>
      </c>
      <c r="AO681" s="1331"/>
      <c r="AP681" s="1331"/>
      <c r="AQ681" s="1331"/>
      <c r="AR681" s="551"/>
      <c r="AS681" s="551">
        <f>I681</f>
        <v>2400</v>
      </c>
      <c r="AT681" s="551"/>
      <c r="AU681" s="551">
        <f t="shared" si="221"/>
        <v>2400</v>
      </c>
      <c r="AV681" s="551"/>
      <c r="AW681" s="551">
        <f t="shared" si="222"/>
        <v>2400</v>
      </c>
      <c r="AX681" s="651"/>
      <c r="AY681" s="551"/>
      <c r="AZ681" s="551"/>
      <c r="BA681" s="551"/>
      <c r="BB681" s="551"/>
      <c r="BC681" s="551"/>
      <c r="BD681" s="551"/>
      <c r="BE681" s="551"/>
      <c r="BF681" s="551"/>
      <c r="BG681" s="551"/>
      <c r="BH681" s="551"/>
      <c r="BI681" s="825">
        <f>I681/4</f>
        <v>600</v>
      </c>
      <c r="BJ681" s="551"/>
      <c r="BK681" s="551"/>
      <c r="BL681" s="551"/>
      <c r="BM681" s="551"/>
      <c r="BN681" s="551"/>
      <c r="BO681" s="551"/>
      <c r="BP681" s="551"/>
      <c r="BQ681" s="551"/>
      <c r="BR681" s="551"/>
      <c r="BS681" s="551"/>
      <c r="BT681" s="551"/>
      <c r="BU681" s="551"/>
      <c r="BV681" s="551"/>
      <c r="BW681" s="551"/>
      <c r="BX681" s="551"/>
      <c r="BY681" s="551"/>
      <c r="BZ681" s="551"/>
      <c r="CA681" s="551"/>
      <c r="CB681" s="551"/>
      <c r="CC681" s="551"/>
      <c r="CD681" s="551"/>
      <c r="CE681" s="551"/>
      <c r="CF681" s="551"/>
      <c r="CG681" s="551"/>
      <c r="CH681" s="650"/>
      <c r="CI681" s="650"/>
      <c r="CJ681" s="650"/>
      <c r="CK681" s="650"/>
      <c r="CL681" s="650"/>
      <c r="CM681" s="551"/>
      <c r="CN681" s="551"/>
      <c r="CO681" s="551"/>
      <c r="CP681" s="650"/>
      <c r="CQ681" s="650"/>
      <c r="CR681" s="650"/>
      <c r="CS681" s="650"/>
      <c r="CT681" s="650"/>
      <c r="CU681" s="650"/>
    </row>
    <row r="682" s="1265" customFormat="1" ht="31" customHeight="1" spans="1:99">
      <c r="A682" s="641">
        <v>45990</v>
      </c>
      <c r="B682" s="642" t="s">
        <v>1620</v>
      </c>
      <c r="C682" s="246" t="s">
        <v>278</v>
      </c>
      <c r="D682" s="551">
        <v>4500187430</v>
      </c>
      <c r="E682" s="246">
        <v>4400528012</v>
      </c>
      <c r="F682" s="551" t="s">
        <v>2728</v>
      </c>
      <c r="G682" s="659" t="s">
        <v>164</v>
      </c>
      <c r="H682" s="246" t="s">
        <v>112</v>
      </c>
      <c r="I682" s="246">
        <v>2000</v>
      </c>
      <c r="J682" s="246">
        <v>0</v>
      </c>
      <c r="K682" s="246">
        <v>8</v>
      </c>
      <c r="L682" s="644">
        <f t="shared" si="215"/>
        <v>250</v>
      </c>
      <c r="M682" s="645">
        <v>46032</v>
      </c>
      <c r="N682" s="645">
        <v>46028</v>
      </c>
      <c r="O682" s="643"/>
      <c r="P682" s="824" t="s">
        <v>113</v>
      </c>
      <c r="Q682" s="646"/>
      <c r="R682" s="646">
        <v>45990</v>
      </c>
      <c r="S682" s="646" t="s">
        <v>70</v>
      </c>
      <c r="T682" s="646" t="s">
        <v>165</v>
      </c>
      <c r="U682" s="646"/>
      <c r="V682" s="642"/>
      <c r="W682" s="642"/>
      <c r="X682" s="642" t="s">
        <v>2729</v>
      </c>
      <c r="Y682" s="647" t="s">
        <v>1549</v>
      </c>
      <c r="Z682" s="657">
        <v>4.2714</v>
      </c>
      <c r="AA682" s="647">
        <f t="shared" si="217"/>
        <v>8542.8</v>
      </c>
      <c r="AB682" s="551"/>
      <c r="AC682" s="648" t="s">
        <v>2730</v>
      </c>
      <c r="AD682" s="633" t="s">
        <v>2381</v>
      </c>
      <c r="AE682" s="246" t="s">
        <v>82</v>
      </c>
      <c r="AF682" s="246"/>
      <c r="AG682" s="246"/>
      <c r="AH682" s="246">
        <v>1</v>
      </c>
      <c r="AI682" s="246">
        <v>2000</v>
      </c>
      <c r="AJ682" s="246">
        <f t="shared" si="219"/>
        <v>0</v>
      </c>
      <c r="AK682" s="246"/>
      <c r="AL682" s="246"/>
      <c r="AM682" s="551"/>
      <c r="AN682" s="551">
        <f t="shared" si="218"/>
        <v>2000</v>
      </c>
      <c r="AO682" s="1331"/>
      <c r="AP682" s="1331"/>
      <c r="AQ682" s="1331"/>
      <c r="AR682" s="551"/>
      <c r="AS682" s="551">
        <f>I682</f>
        <v>2000</v>
      </c>
      <c r="AT682" s="551"/>
      <c r="AU682" s="551">
        <f t="shared" si="221"/>
        <v>2000</v>
      </c>
      <c r="AV682" s="551"/>
      <c r="AW682" s="551">
        <f t="shared" si="222"/>
        <v>2000</v>
      </c>
      <c r="AX682" s="651"/>
      <c r="AY682" s="551"/>
      <c r="AZ682" s="551"/>
      <c r="BA682" s="551"/>
      <c r="BB682" s="551"/>
      <c r="BC682" s="551"/>
      <c r="BD682" s="551"/>
      <c r="BE682" s="551"/>
      <c r="BF682" s="551"/>
      <c r="BG682" s="551"/>
      <c r="BH682" s="551"/>
      <c r="BI682" s="825">
        <f>I682/4</f>
        <v>500</v>
      </c>
      <c r="BJ682" s="551"/>
      <c r="BK682" s="551"/>
      <c r="BL682" s="551"/>
      <c r="BM682" s="551"/>
      <c r="BN682" s="551"/>
      <c r="BO682" s="551"/>
      <c r="BP682" s="551"/>
      <c r="BQ682" s="551"/>
      <c r="BR682" s="551"/>
      <c r="BS682" s="551"/>
      <c r="BT682" s="551"/>
      <c r="BU682" s="551"/>
      <c r="BV682" s="551"/>
      <c r="BW682" s="551"/>
      <c r="BX682" s="551"/>
      <c r="BY682" s="551"/>
      <c r="BZ682" s="551"/>
      <c r="CA682" s="551"/>
      <c r="CB682" s="551"/>
      <c r="CC682" s="551"/>
      <c r="CD682" s="551"/>
      <c r="CE682" s="551"/>
      <c r="CF682" s="551"/>
      <c r="CG682" s="551"/>
      <c r="CH682" s="650"/>
      <c r="CI682" s="650"/>
      <c r="CJ682" s="650"/>
      <c r="CK682" s="650"/>
      <c r="CL682" s="650"/>
      <c r="CM682" s="551"/>
      <c r="CN682" s="551"/>
      <c r="CO682" s="551"/>
      <c r="CP682" s="650"/>
      <c r="CQ682" s="650"/>
      <c r="CR682" s="650"/>
      <c r="CS682" s="650"/>
      <c r="CT682" s="650"/>
      <c r="CU682" s="650"/>
    </row>
    <row r="683" s="1265" customFormat="1" ht="31" customHeight="1" spans="1:99">
      <c r="A683" s="641">
        <v>45990</v>
      </c>
      <c r="B683" s="642" t="s">
        <v>1544</v>
      </c>
      <c r="C683" s="246" t="s">
        <v>257</v>
      </c>
      <c r="D683" s="551">
        <v>4500187445</v>
      </c>
      <c r="E683" s="246">
        <v>4400528011</v>
      </c>
      <c r="F683" s="551" t="s">
        <v>2731</v>
      </c>
      <c r="G683" s="659" t="s">
        <v>164</v>
      </c>
      <c r="H683" s="246" t="s">
        <v>112</v>
      </c>
      <c r="I683" s="246">
        <v>504</v>
      </c>
      <c r="J683" s="246">
        <v>0</v>
      </c>
      <c r="K683" s="246">
        <v>8</v>
      </c>
      <c r="L683" s="644">
        <f t="shared" si="215"/>
        <v>63</v>
      </c>
      <c r="M683" s="645">
        <v>46032</v>
      </c>
      <c r="N683" s="645">
        <v>46028</v>
      </c>
      <c r="O683" s="643"/>
      <c r="P683" s="824" t="s">
        <v>113</v>
      </c>
      <c r="Q683" s="646"/>
      <c r="R683" s="646">
        <v>45990</v>
      </c>
      <c r="S683" s="646" t="s">
        <v>70</v>
      </c>
      <c r="T683" s="646" t="s">
        <v>165</v>
      </c>
      <c r="U683" s="646"/>
      <c r="V683" s="642"/>
      <c r="W683" s="642"/>
      <c r="X683" s="628" t="s">
        <v>2732</v>
      </c>
      <c r="Y683" s="647" t="s">
        <v>1549</v>
      </c>
      <c r="Z683" s="657">
        <v>4.2714</v>
      </c>
      <c r="AA683" s="647">
        <f t="shared" si="217"/>
        <v>2152.7856</v>
      </c>
      <c r="AB683" s="551"/>
      <c r="AC683" s="648" t="s">
        <v>2733</v>
      </c>
      <c r="AD683" s="633" t="s">
        <v>2381</v>
      </c>
      <c r="AE683" s="246" t="s">
        <v>82</v>
      </c>
      <c r="AF683" s="246"/>
      <c r="AG683" s="246"/>
      <c r="AH683" s="246">
        <v>1</v>
      </c>
      <c r="AI683" s="246">
        <v>504</v>
      </c>
      <c r="AJ683" s="246">
        <f t="shared" si="219"/>
        <v>0</v>
      </c>
      <c r="AK683" s="246"/>
      <c r="AL683" s="246"/>
      <c r="AM683" s="551"/>
      <c r="AN683" s="551">
        <f t="shared" si="218"/>
        <v>504</v>
      </c>
      <c r="AO683" s="1331"/>
      <c r="AP683" s="1331"/>
      <c r="AQ683" s="1331"/>
      <c r="AR683" s="551"/>
      <c r="AS683" s="551">
        <f>I683</f>
        <v>504</v>
      </c>
      <c r="AT683" s="551"/>
      <c r="AU683" s="551">
        <f t="shared" si="221"/>
        <v>504</v>
      </c>
      <c r="AV683" s="551"/>
      <c r="AW683" s="551">
        <f t="shared" si="222"/>
        <v>504</v>
      </c>
      <c r="AX683" s="651"/>
      <c r="AY683" s="551"/>
      <c r="AZ683" s="551"/>
      <c r="BA683" s="551"/>
      <c r="BB683" s="551"/>
      <c r="BC683" s="551"/>
      <c r="BD683" s="551"/>
      <c r="BE683" s="551"/>
      <c r="BF683" s="551"/>
      <c r="BG683" s="551"/>
      <c r="BH683" s="551"/>
      <c r="BI683" s="825">
        <f>I683/4</f>
        <v>126</v>
      </c>
      <c r="BJ683" s="551"/>
      <c r="BK683" s="551"/>
      <c r="BL683" s="551"/>
      <c r="BM683" s="551"/>
      <c r="BN683" s="551"/>
      <c r="BO683" s="551"/>
      <c r="BP683" s="551"/>
      <c r="BQ683" s="551"/>
      <c r="BR683" s="551"/>
      <c r="BS683" s="551"/>
      <c r="BT683" s="551"/>
      <c r="BU683" s="551"/>
      <c r="BV683" s="551"/>
      <c r="BW683" s="551"/>
      <c r="BX683" s="551"/>
      <c r="BY683" s="551"/>
      <c r="BZ683" s="551"/>
      <c r="CA683" s="551"/>
      <c r="CB683" s="551"/>
      <c r="CC683" s="551"/>
      <c r="CD683" s="551"/>
      <c r="CE683" s="551"/>
      <c r="CF683" s="551"/>
      <c r="CG683" s="551"/>
      <c r="CH683" s="650"/>
      <c r="CI683" s="650"/>
      <c r="CJ683" s="650"/>
      <c r="CK683" s="650"/>
      <c r="CL683" s="650"/>
      <c r="CM683" s="551"/>
      <c r="CN683" s="551"/>
      <c r="CO683" s="551"/>
      <c r="CP683" s="650"/>
      <c r="CQ683" s="650"/>
      <c r="CR683" s="650"/>
      <c r="CS683" s="650"/>
      <c r="CT683" s="650"/>
      <c r="CU683" s="650"/>
    </row>
    <row r="684" s="1265" customFormat="1" ht="31" customHeight="1" spans="1:99">
      <c r="A684" s="641">
        <v>45985</v>
      </c>
      <c r="B684" s="642" t="s">
        <v>2734</v>
      </c>
      <c r="C684" s="246" t="s">
        <v>98</v>
      </c>
      <c r="D684" s="551">
        <v>4500186676</v>
      </c>
      <c r="E684" s="246">
        <v>60265478</v>
      </c>
      <c r="F684" s="551" t="s">
        <v>2735</v>
      </c>
      <c r="G684" s="659" t="s">
        <v>2736</v>
      </c>
      <c r="H684" s="246" t="s">
        <v>2737</v>
      </c>
      <c r="I684" s="246">
        <v>3000</v>
      </c>
      <c r="J684" s="246">
        <v>0</v>
      </c>
      <c r="K684" s="246">
        <v>8</v>
      </c>
      <c r="L684" s="644">
        <f t="shared" si="215"/>
        <v>375</v>
      </c>
      <c r="M684" s="645">
        <v>46034</v>
      </c>
      <c r="N684" s="645">
        <v>46030</v>
      </c>
      <c r="O684" s="643"/>
      <c r="P684" s="824" t="s">
        <v>113</v>
      </c>
      <c r="Q684" s="646"/>
      <c r="R684" s="646">
        <v>45985</v>
      </c>
      <c r="S684" s="646" t="s">
        <v>70</v>
      </c>
      <c r="T684" s="646" t="s">
        <v>2738</v>
      </c>
      <c r="U684" s="646"/>
      <c r="V684" s="642"/>
      <c r="W684" s="642"/>
      <c r="X684" s="628" t="s">
        <v>2739</v>
      </c>
      <c r="Y684" s="647" t="s">
        <v>2678</v>
      </c>
      <c r="Z684" s="657">
        <v>3.9826</v>
      </c>
      <c r="AA684" s="647">
        <f>Z684*L684</f>
        <v>1493.475</v>
      </c>
      <c r="AB684" s="551"/>
      <c r="AC684" s="658" t="s">
        <v>2740</v>
      </c>
      <c r="AD684" s="633" t="s">
        <v>2741</v>
      </c>
      <c r="AE684" s="246" t="s">
        <v>82</v>
      </c>
      <c r="AF684" s="246"/>
      <c r="AG684" s="246"/>
      <c r="AH684" s="246">
        <v>1</v>
      </c>
      <c r="AI684" s="246">
        <v>3000</v>
      </c>
      <c r="AJ684" s="246">
        <f t="shared" si="219"/>
        <v>0</v>
      </c>
      <c r="AK684" s="246"/>
      <c r="AL684" s="246" t="s">
        <v>2368</v>
      </c>
      <c r="AM684" s="551"/>
      <c r="AN684" s="551">
        <f t="shared" si="218"/>
        <v>3000</v>
      </c>
      <c r="AO684" s="1331"/>
      <c r="AP684" s="1331"/>
      <c r="AQ684" s="1331"/>
      <c r="AR684" s="551">
        <f>I684</f>
        <v>3000</v>
      </c>
      <c r="AS684" s="551"/>
      <c r="AT684" s="551"/>
      <c r="AU684" s="551">
        <f t="shared" ref="AU684:AU692" si="224">I684</f>
        <v>3000</v>
      </c>
      <c r="AV684" s="551"/>
      <c r="AW684" s="551">
        <f t="shared" ref="AW684:AW695" si="225">I684</f>
        <v>3000</v>
      </c>
      <c r="AX684" s="651"/>
      <c r="AY684" s="551"/>
      <c r="AZ684" s="551"/>
      <c r="BA684" s="551"/>
      <c r="BB684" s="551"/>
      <c r="BC684" s="551"/>
      <c r="BD684" s="551"/>
      <c r="BE684" s="551"/>
      <c r="BF684" s="551"/>
      <c r="BG684" s="551"/>
      <c r="BH684" s="551"/>
      <c r="BI684" s="551"/>
      <c r="BJ684" s="551"/>
      <c r="BK684" s="551"/>
      <c r="BL684" s="551"/>
      <c r="BM684" s="551"/>
      <c r="BN684" s="551">
        <f>I684</f>
        <v>3000</v>
      </c>
      <c r="BO684" s="551"/>
      <c r="BP684" s="551"/>
      <c r="BQ684" s="551"/>
      <c r="BR684" s="551"/>
      <c r="BS684" s="551"/>
      <c r="BT684" s="551"/>
      <c r="BU684" s="551"/>
      <c r="BV684" s="551"/>
      <c r="BW684" s="551"/>
      <c r="BX684" s="551"/>
      <c r="BY684" s="551"/>
      <c r="BZ684" s="551"/>
      <c r="CA684" s="551"/>
      <c r="CB684" s="551"/>
      <c r="CC684" s="551"/>
      <c r="CD684" s="551"/>
      <c r="CE684" s="551"/>
      <c r="CF684" s="551"/>
      <c r="CG684" s="551"/>
      <c r="CH684" s="650"/>
      <c r="CI684" s="650"/>
      <c r="CJ684" s="650"/>
      <c r="CK684" s="650"/>
      <c r="CL684" s="650"/>
      <c r="CM684" s="551"/>
      <c r="CN684" s="551"/>
      <c r="CO684" s="551"/>
      <c r="CP684" s="650"/>
      <c r="CQ684" s="650"/>
      <c r="CR684" s="650"/>
      <c r="CS684" s="650"/>
      <c r="CT684" s="650"/>
      <c r="CU684" s="650"/>
    </row>
    <row r="685" s="1265" customFormat="1" ht="31" customHeight="1" spans="1:99">
      <c r="A685" s="641">
        <v>45985</v>
      </c>
      <c r="B685" s="642" t="s">
        <v>2734</v>
      </c>
      <c r="C685" s="246" t="s">
        <v>98</v>
      </c>
      <c r="D685" s="551">
        <v>4500186676</v>
      </c>
      <c r="E685" s="246">
        <v>60265481</v>
      </c>
      <c r="F685" s="551" t="s">
        <v>2742</v>
      </c>
      <c r="G685" s="659" t="s">
        <v>2736</v>
      </c>
      <c r="H685" s="246" t="s">
        <v>2737</v>
      </c>
      <c r="I685" s="246">
        <v>1600</v>
      </c>
      <c r="J685" s="246">
        <v>0</v>
      </c>
      <c r="K685" s="246">
        <v>8</v>
      </c>
      <c r="L685" s="644">
        <f t="shared" si="215"/>
        <v>200</v>
      </c>
      <c r="M685" s="645">
        <v>46034</v>
      </c>
      <c r="N685" s="645">
        <v>46030</v>
      </c>
      <c r="O685" s="643"/>
      <c r="P685" s="824" t="s">
        <v>113</v>
      </c>
      <c r="Q685" s="646"/>
      <c r="R685" s="646">
        <v>45985</v>
      </c>
      <c r="S685" s="646" t="s">
        <v>70</v>
      </c>
      <c r="T685" s="646" t="s">
        <v>2738</v>
      </c>
      <c r="U685" s="646"/>
      <c r="V685" s="642"/>
      <c r="W685" s="642"/>
      <c r="X685" s="628" t="s">
        <v>2739</v>
      </c>
      <c r="Y685" s="647" t="s">
        <v>2678</v>
      </c>
      <c r="Z685" s="657">
        <v>4.0996</v>
      </c>
      <c r="AA685" s="647">
        <f>Z685*L685</f>
        <v>819.92</v>
      </c>
      <c r="AB685" s="551"/>
      <c r="AC685" s="658" t="s">
        <v>2740</v>
      </c>
      <c r="AD685" s="633" t="s">
        <v>2741</v>
      </c>
      <c r="AE685" s="246" t="s">
        <v>82</v>
      </c>
      <c r="AF685" s="246"/>
      <c r="AG685" s="246"/>
      <c r="AH685" s="246">
        <v>1</v>
      </c>
      <c r="AI685" s="246">
        <v>1600</v>
      </c>
      <c r="AJ685" s="246">
        <f t="shared" si="219"/>
        <v>0</v>
      </c>
      <c r="AK685" s="246"/>
      <c r="AL685" s="246" t="s">
        <v>2368</v>
      </c>
      <c r="AM685" s="551"/>
      <c r="AN685" s="551">
        <f t="shared" si="218"/>
        <v>1600</v>
      </c>
      <c r="AO685" s="1331"/>
      <c r="AP685" s="1331"/>
      <c r="AQ685" s="1331"/>
      <c r="AR685" s="551">
        <f>I685</f>
        <v>1600</v>
      </c>
      <c r="AS685" s="551"/>
      <c r="AT685" s="551"/>
      <c r="AU685" s="551">
        <f t="shared" si="224"/>
        <v>1600</v>
      </c>
      <c r="AV685" s="551"/>
      <c r="AW685" s="551">
        <f t="shared" si="225"/>
        <v>1600</v>
      </c>
      <c r="AX685" s="651"/>
      <c r="AY685" s="551"/>
      <c r="AZ685" s="551"/>
      <c r="BA685" s="551"/>
      <c r="BB685" s="551"/>
      <c r="BC685" s="551"/>
      <c r="BD685" s="551"/>
      <c r="BE685" s="551"/>
      <c r="BF685" s="551"/>
      <c r="BG685" s="551"/>
      <c r="BH685" s="551"/>
      <c r="BI685" s="551"/>
      <c r="BJ685" s="551"/>
      <c r="BK685" s="551"/>
      <c r="BL685" s="551"/>
      <c r="BM685" s="551"/>
      <c r="BN685" s="551">
        <f>I685</f>
        <v>1600</v>
      </c>
      <c r="BO685" s="551"/>
      <c r="BP685" s="551"/>
      <c r="BQ685" s="551"/>
      <c r="BR685" s="551"/>
      <c r="BS685" s="551"/>
      <c r="BT685" s="551"/>
      <c r="BU685" s="551"/>
      <c r="BV685" s="551"/>
      <c r="BW685" s="551"/>
      <c r="BX685" s="551"/>
      <c r="BY685" s="551"/>
      <c r="BZ685" s="551"/>
      <c r="CA685" s="551"/>
      <c r="CB685" s="551"/>
      <c r="CC685" s="551"/>
      <c r="CD685" s="551"/>
      <c r="CE685" s="551"/>
      <c r="CF685" s="551"/>
      <c r="CG685" s="551"/>
      <c r="CH685" s="650"/>
      <c r="CI685" s="650"/>
      <c r="CJ685" s="650"/>
      <c r="CK685" s="650"/>
      <c r="CL685" s="650"/>
      <c r="CM685" s="551"/>
      <c r="CN685" s="551"/>
      <c r="CO685" s="551"/>
      <c r="CP685" s="650"/>
      <c r="CQ685" s="650"/>
      <c r="CR685" s="650"/>
      <c r="CS685" s="650"/>
      <c r="CT685" s="650"/>
      <c r="CU685" s="650"/>
    </row>
    <row r="686" s="1265" customFormat="1" ht="31" customHeight="1" spans="1:99">
      <c r="A686" s="641">
        <v>45988</v>
      </c>
      <c r="B686" s="642" t="s">
        <v>143</v>
      </c>
      <c r="C686" s="246" t="s">
        <v>98</v>
      </c>
      <c r="D686" s="551">
        <v>4500187244</v>
      </c>
      <c r="E686" s="1415" t="s">
        <v>2743</v>
      </c>
      <c r="F686" s="551" t="s">
        <v>2744</v>
      </c>
      <c r="G686" s="659" t="s">
        <v>101</v>
      </c>
      <c r="H686" s="246" t="s">
        <v>102</v>
      </c>
      <c r="I686" s="246">
        <v>9280</v>
      </c>
      <c r="J686" s="246">
        <v>0</v>
      </c>
      <c r="K686" s="246">
        <v>4</v>
      </c>
      <c r="L686" s="644">
        <f t="shared" si="215"/>
        <v>2320</v>
      </c>
      <c r="M686" s="645">
        <v>46034</v>
      </c>
      <c r="N686" s="645">
        <v>46030</v>
      </c>
      <c r="O686" s="643" t="s">
        <v>2745</v>
      </c>
      <c r="P686" s="824" t="s">
        <v>113</v>
      </c>
      <c r="Q686" s="646"/>
      <c r="R686" s="646" t="s">
        <v>2184</v>
      </c>
      <c r="S686" s="646" t="s">
        <v>70</v>
      </c>
      <c r="T686" s="646" t="s">
        <v>148</v>
      </c>
      <c r="U686" s="646"/>
      <c r="V686" s="642"/>
      <c r="W686" s="642"/>
      <c r="X686" s="642" t="s">
        <v>1395</v>
      </c>
      <c r="Y686" s="647" t="s">
        <v>106</v>
      </c>
      <c r="Z686" s="657">
        <v>2.5656</v>
      </c>
      <c r="AA686" s="647">
        <f t="shared" ref="AA686:AA692" si="226">Z686*I686</f>
        <v>23808.768</v>
      </c>
      <c r="AB686" s="551"/>
      <c r="AC686" s="658" t="s">
        <v>2746</v>
      </c>
      <c r="AD686" s="633" t="s">
        <v>101</v>
      </c>
      <c r="AE686" s="246" t="s">
        <v>82</v>
      </c>
      <c r="AF686" s="246"/>
      <c r="AG686" s="246"/>
      <c r="AH686" s="246">
        <v>1</v>
      </c>
      <c r="AI686" s="246">
        <f>7280+2000</f>
        <v>9280</v>
      </c>
      <c r="AJ686" s="246">
        <f t="shared" si="219"/>
        <v>0</v>
      </c>
      <c r="AK686" s="246"/>
      <c r="AL686" s="246" t="s">
        <v>2368</v>
      </c>
      <c r="AM686" s="551"/>
      <c r="AN686" s="551">
        <f t="shared" ref="AN686:AN692" si="227">I686</f>
        <v>9280</v>
      </c>
      <c r="AO686" s="1331"/>
      <c r="AP686" s="1331"/>
      <c r="AQ686" s="1331"/>
      <c r="AR686" s="551">
        <f t="shared" ref="AR686:AR692" si="228">I686</f>
        <v>9280</v>
      </c>
      <c r="AS686" s="551"/>
      <c r="AT686" s="551"/>
      <c r="AU686" s="551">
        <f t="shared" si="224"/>
        <v>9280</v>
      </c>
      <c r="AV686" s="551"/>
      <c r="AW686" s="551">
        <f t="shared" si="225"/>
        <v>9280</v>
      </c>
      <c r="AX686" s="651"/>
      <c r="AY686" s="551"/>
      <c r="AZ686" s="551"/>
      <c r="BA686" s="551"/>
      <c r="BB686" s="551"/>
      <c r="BC686" s="551"/>
      <c r="BD686" s="551"/>
      <c r="BE686" s="551"/>
      <c r="BF686" s="551"/>
      <c r="BG686" s="551"/>
      <c r="BH686" s="825">
        <f t="shared" ref="BH686:BH691" si="229">I686/4</f>
        <v>2320</v>
      </c>
      <c r="BI686" s="551"/>
      <c r="BJ686" s="551"/>
      <c r="BK686" s="551"/>
      <c r="BL686" s="551"/>
      <c r="BM686" s="551"/>
      <c r="BN686" s="551"/>
      <c r="BO686" s="551"/>
      <c r="BP686" s="551"/>
      <c r="BQ686" s="551"/>
      <c r="BR686" s="551"/>
      <c r="BS686" s="551"/>
      <c r="BT686" s="551"/>
      <c r="BU686" s="551"/>
      <c r="BV686" s="551"/>
      <c r="BW686" s="551"/>
      <c r="BX686" s="551"/>
      <c r="BY686" s="551"/>
      <c r="BZ686" s="551"/>
      <c r="CA686" s="551"/>
      <c r="CB686" s="551"/>
      <c r="CC686" s="551"/>
      <c r="CD686" s="551"/>
      <c r="CE686" s="551"/>
      <c r="CF686" s="551"/>
      <c r="CG686" s="551"/>
      <c r="CH686" s="650"/>
      <c r="CI686" s="650"/>
      <c r="CJ686" s="650"/>
      <c r="CK686" s="650"/>
      <c r="CL686" s="650"/>
      <c r="CM686" s="551"/>
      <c r="CN686" s="551"/>
      <c r="CO686" s="551"/>
      <c r="CP686" s="650"/>
      <c r="CQ686" s="650"/>
      <c r="CR686" s="650"/>
      <c r="CS686" s="650"/>
      <c r="CT686" s="650"/>
      <c r="CU686" s="650"/>
    </row>
    <row r="687" s="1265" customFormat="1" ht="31" customHeight="1" spans="1:99">
      <c r="A687" s="641">
        <v>45988</v>
      </c>
      <c r="B687" s="642" t="s">
        <v>143</v>
      </c>
      <c r="C687" s="246" t="s">
        <v>98</v>
      </c>
      <c r="D687" s="551">
        <v>4500187244</v>
      </c>
      <c r="E687" s="1415" t="s">
        <v>2747</v>
      </c>
      <c r="F687" s="551" t="s">
        <v>2748</v>
      </c>
      <c r="G687" s="659" t="s">
        <v>101</v>
      </c>
      <c r="H687" s="246" t="s">
        <v>102</v>
      </c>
      <c r="I687" s="246">
        <v>4160</v>
      </c>
      <c r="J687" s="246">
        <v>0</v>
      </c>
      <c r="K687" s="246">
        <v>4</v>
      </c>
      <c r="L687" s="644">
        <f t="shared" si="215"/>
        <v>1040</v>
      </c>
      <c r="M687" s="645">
        <v>46034</v>
      </c>
      <c r="N687" s="645">
        <v>46030</v>
      </c>
      <c r="O687" s="643" t="s">
        <v>2745</v>
      </c>
      <c r="P687" s="824" t="s">
        <v>113</v>
      </c>
      <c r="Q687" s="646"/>
      <c r="R687" s="646" t="s">
        <v>2184</v>
      </c>
      <c r="S687" s="646" t="s">
        <v>70</v>
      </c>
      <c r="T687" s="646" t="s">
        <v>148</v>
      </c>
      <c r="U687" s="646"/>
      <c r="V687" s="642"/>
      <c r="W687" s="642"/>
      <c r="X687" s="642" t="s">
        <v>1395</v>
      </c>
      <c r="Y687" s="647" t="s">
        <v>106</v>
      </c>
      <c r="Z687" s="657">
        <v>2.5768</v>
      </c>
      <c r="AA687" s="647">
        <f t="shared" si="226"/>
        <v>10719.488</v>
      </c>
      <c r="AB687" s="551"/>
      <c r="AC687" s="658" t="s">
        <v>2749</v>
      </c>
      <c r="AD687" s="633" t="s">
        <v>101</v>
      </c>
      <c r="AE687" s="246" t="s">
        <v>82</v>
      </c>
      <c r="AF687" s="246"/>
      <c r="AG687" s="246"/>
      <c r="AH687" s="246">
        <v>1</v>
      </c>
      <c r="AI687" s="246">
        <v>4160</v>
      </c>
      <c r="AJ687" s="246">
        <f t="shared" si="219"/>
        <v>0</v>
      </c>
      <c r="AK687" s="246"/>
      <c r="AL687" s="246" t="s">
        <v>2368</v>
      </c>
      <c r="AM687" s="551"/>
      <c r="AN687" s="551">
        <f t="shared" si="227"/>
        <v>4160</v>
      </c>
      <c r="AO687" s="1331"/>
      <c r="AP687" s="1331"/>
      <c r="AQ687" s="1331"/>
      <c r="AR687" s="551">
        <f t="shared" si="228"/>
        <v>4160</v>
      </c>
      <c r="AS687" s="551"/>
      <c r="AT687" s="551"/>
      <c r="AU687" s="551">
        <f t="shared" si="224"/>
        <v>4160</v>
      </c>
      <c r="AV687" s="551"/>
      <c r="AW687" s="551">
        <f t="shared" si="225"/>
        <v>4160</v>
      </c>
      <c r="AX687" s="651"/>
      <c r="AY687" s="551"/>
      <c r="AZ687" s="551"/>
      <c r="BA687" s="551"/>
      <c r="BB687" s="551"/>
      <c r="BC687" s="551"/>
      <c r="BD687" s="551"/>
      <c r="BE687" s="551"/>
      <c r="BF687" s="551"/>
      <c r="BG687" s="551"/>
      <c r="BH687" s="825">
        <f t="shared" si="229"/>
        <v>1040</v>
      </c>
      <c r="BI687" s="551"/>
      <c r="BJ687" s="551"/>
      <c r="BK687" s="551"/>
      <c r="BL687" s="551"/>
      <c r="BM687" s="551"/>
      <c r="BN687" s="551"/>
      <c r="BO687" s="551"/>
      <c r="BP687" s="551"/>
      <c r="BQ687" s="551"/>
      <c r="BR687" s="551"/>
      <c r="BS687" s="551"/>
      <c r="BT687" s="551"/>
      <c r="BU687" s="551"/>
      <c r="BV687" s="551"/>
      <c r="BW687" s="551"/>
      <c r="BX687" s="551"/>
      <c r="BY687" s="551"/>
      <c r="BZ687" s="551"/>
      <c r="CA687" s="551"/>
      <c r="CB687" s="551"/>
      <c r="CC687" s="551"/>
      <c r="CD687" s="551"/>
      <c r="CE687" s="551"/>
      <c r="CF687" s="551"/>
      <c r="CG687" s="551"/>
      <c r="CH687" s="650"/>
      <c r="CI687" s="650"/>
      <c r="CJ687" s="650"/>
      <c r="CK687" s="650"/>
      <c r="CL687" s="650"/>
      <c r="CM687" s="551"/>
      <c r="CN687" s="551"/>
      <c r="CO687" s="551"/>
      <c r="CP687" s="650"/>
      <c r="CQ687" s="650"/>
      <c r="CR687" s="650"/>
      <c r="CS687" s="650"/>
      <c r="CT687" s="650"/>
      <c r="CU687" s="650"/>
    </row>
    <row r="688" s="1265" customFormat="1" ht="31" customHeight="1" spans="1:99">
      <c r="A688" s="641">
        <v>45988</v>
      </c>
      <c r="B688" s="642" t="s">
        <v>143</v>
      </c>
      <c r="C688" s="246" t="s">
        <v>98</v>
      </c>
      <c r="D688" s="551">
        <v>4500187244</v>
      </c>
      <c r="E688" s="1415" t="s">
        <v>2750</v>
      </c>
      <c r="F688" s="551" t="s">
        <v>2751</v>
      </c>
      <c r="G688" s="659" t="s">
        <v>101</v>
      </c>
      <c r="H688" s="246" t="s">
        <v>102</v>
      </c>
      <c r="I688" s="246">
        <v>5760</v>
      </c>
      <c r="J688" s="246">
        <v>0</v>
      </c>
      <c r="K688" s="246">
        <v>4</v>
      </c>
      <c r="L688" s="644">
        <f t="shared" si="215"/>
        <v>1440</v>
      </c>
      <c r="M688" s="645">
        <v>46034</v>
      </c>
      <c r="N688" s="645">
        <v>46030</v>
      </c>
      <c r="O688" s="643" t="s">
        <v>2745</v>
      </c>
      <c r="P688" s="824" t="s">
        <v>113</v>
      </c>
      <c r="Q688" s="646"/>
      <c r="R688" s="646" t="s">
        <v>2184</v>
      </c>
      <c r="S688" s="646" t="s">
        <v>70</v>
      </c>
      <c r="T688" s="646" t="s">
        <v>148</v>
      </c>
      <c r="U688" s="646"/>
      <c r="V688" s="642"/>
      <c r="W688" s="642"/>
      <c r="X688" s="642" t="s">
        <v>1395</v>
      </c>
      <c r="Y688" s="647" t="s">
        <v>106</v>
      </c>
      <c r="Z688" s="657">
        <v>2.5656</v>
      </c>
      <c r="AA688" s="647">
        <f t="shared" si="226"/>
        <v>14777.856</v>
      </c>
      <c r="AB688" s="551"/>
      <c r="AC688" s="658" t="s">
        <v>2752</v>
      </c>
      <c r="AD688" s="633" t="s">
        <v>101</v>
      </c>
      <c r="AE688" s="246" t="s">
        <v>82</v>
      </c>
      <c r="AF688" s="246"/>
      <c r="AG688" s="246"/>
      <c r="AH688" s="246">
        <v>1</v>
      </c>
      <c r="AI688" s="246">
        <v>5760</v>
      </c>
      <c r="AJ688" s="246">
        <f t="shared" si="219"/>
        <v>0</v>
      </c>
      <c r="AK688" s="246"/>
      <c r="AL688" s="246" t="s">
        <v>2368</v>
      </c>
      <c r="AM688" s="551"/>
      <c r="AN688" s="551">
        <f t="shared" si="227"/>
        <v>5760</v>
      </c>
      <c r="AO688" s="1331"/>
      <c r="AP688" s="1331"/>
      <c r="AQ688" s="1331"/>
      <c r="AR688" s="551">
        <f t="shared" si="228"/>
        <v>5760</v>
      </c>
      <c r="AS688" s="551"/>
      <c r="AT688" s="551"/>
      <c r="AU688" s="551">
        <f t="shared" si="224"/>
        <v>5760</v>
      </c>
      <c r="AV688" s="551"/>
      <c r="AW688" s="551">
        <f t="shared" si="225"/>
        <v>5760</v>
      </c>
      <c r="AX688" s="651"/>
      <c r="AY688" s="551"/>
      <c r="AZ688" s="551"/>
      <c r="BA688" s="551"/>
      <c r="BB688" s="551"/>
      <c r="BC688" s="551"/>
      <c r="BD688" s="551"/>
      <c r="BE688" s="551"/>
      <c r="BF688" s="551"/>
      <c r="BG688" s="551"/>
      <c r="BH688" s="825">
        <f t="shared" si="229"/>
        <v>1440</v>
      </c>
      <c r="BI688" s="551"/>
      <c r="BJ688" s="551"/>
      <c r="BK688" s="551"/>
      <c r="BL688" s="551"/>
      <c r="BM688" s="551"/>
      <c r="BN688" s="551"/>
      <c r="BO688" s="551"/>
      <c r="BP688" s="551"/>
      <c r="BQ688" s="551"/>
      <c r="BR688" s="551"/>
      <c r="BS688" s="551"/>
      <c r="BT688" s="551"/>
      <c r="BU688" s="551"/>
      <c r="BV688" s="551"/>
      <c r="BW688" s="551"/>
      <c r="BX688" s="551"/>
      <c r="BY688" s="551"/>
      <c r="BZ688" s="551"/>
      <c r="CA688" s="551"/>
      <c r="CB688" s="551"/>
      <c r="CC688" s="551"/>
      <c r="CD688" s="551"/>
      <c r="CE688" s="551"/>
      <c r="CF688" s="551"/>
      <c r="CG688" s="551"/>
      <c r="CH688" s="650"/>
      <c r="CI688" s="650"/>
      <c r="CJ688" s="650"/>
      <c r="CK688" s="650"/>
      <c r="CL688" s="650"/>
      <c r="CM688" s="551"/>
      <c r="CN688" s="551"/>
      <c r="CO688" s="551"/>
      <c r="CP688" s="650"/>
      <c r="CQ688" s="650"/>
      <c r="CR688" s="650"/>
      <c r="CS688" s="650"/>
      <c r="CT688" s="650"/>
      <c r="CU688" s="650"/>
    </row>
    <row r="689" s="1265" customFormat="1" ht="31" customHeight="1" spans="1:99">
      <c r="A689" s="641">
        <v>45988</v>
      </c>
      <c r="B689" s="642" t="s">
        <v>143</v>
      </c>
      <c r="C689" s="246" t="s">
        <v>98</v>
      </c>
      <c r="D689" s="551">
        <v>4500187244</v>
      </c>
      <c r="E689" s="1415" t="s">
        <v>2753</v>
      </c>
      <c r="F689" s="551" t="s">
        <v>2754</v>
      </c>
      <c r="G689" s="659" t="s">
        <v>101</v>
      </c>
      <c r="H689" s="246" t="s">
        <v>102</v>
      </c>
      <c r="I689" s="246">
        <v>10240</v>
      </c>
      <c r="J689" s="246">
        <v>0</v>
      </c>
      <c r="K689" s="246">
        <v>4</v>
      </c>
      <c r="L689" s="644">
        <f t="shared" si="215"/>
        <v>2560</v>
      </c>
      <c r="M689" s="645">
        <v>46034</v>
      </c>
      <c r="N689" s="645">
        <v>46030</v>
      </c>
      <c r="O689" s="643" t="s">
        <v>2755</v>
      </c>
      <c r="P689" s="824" t="s">
        <v>113</v>
      </c>
      <c r="Q689" s="646"/>
      <c r="R689" s="646" t="s">
        <v>2184</v>
      </c>
      <c r="S689" s="646" t="s">
        <v>70</v>
      </c>
      <c r="T689" s="646" t="s">
        <v>148</v>
      </c>
      <c r="U689" s="646"/>
      <c r="V689" s="642"/>
      <c r="W689" s="642"/>
      <c r="X689" s="642" t="s">
        <v>1395</v>
      </c>
      <c r="Y689" s="647" t="s">
        <v>106</v>
      </c>
      <c r="Z689" s="657">
        <v>2.5537</v>
      </c>
      <c r="AA689" s="647">
        <f t="shared" si="226"/>
        <v>26149.888</v>
      </c>
      <c r="AB689" s="551"/>
      <c r="AC689" s="698" t="s">
        <v>2756</v>
      </c>
      <c r="AD689" s="633" t="s">
        <v>101</v>
      </c>
      <c r="AE689" s="246" t="s">
        <v>82</v>
      </c>
      <c r="AF689" s="246"/>
      <c r="AG689" s="246"/>
      <c r="AH689" s="246">
        <v>1</v>
      </c>
      <c r="AI689" s="246">
        <v>10240</v>
      </c>
      <c r="AJ689" s="246">
        <f t="shared" si="219"/>
        <v>0</v>
      </c>
      <c r="AK689" s="246"/>
      <c r="AL689" s="246" t="s">
        <v>2368</v>
      </c>
      <c r="AM689" s="551"/>
      <c r="AN689" s="551">
        <f t="shared" si="227"/>
        <v>10240</v>
      </c>
      <c r="AO689" s="1331"/>
      <c r="AP689" s="1331"/>
      <c r="AQ689" s="1331"/>
      <c r="AR689" s="551">
        <f t="shared" si="228"/>
        <v>10240</v>
      </c>
      <c r="AS689" s="551"/>
      <c r="AT689" s="551"/>
      <c r="AU689" s="551">
        <f t="shared" si="224"/>
        <v>10240</v>
      </c>
      <c r="AV689" s="551"/>
      <c r="AW689" s="551">
        <f t="shared" si="225"/>
        <v>10240</v>
      </c>
      <c r="AX689" s="651"/>
      <c r="AY689" s="551"/>
      <c r="AZ689" s="551"/>
      <c r="BA689" s="551"/>
      <c r="BB689" s="551"/>
      <c r="BC689" s="551"/>
      <c r="BD689" s="551"/>
      <c r="BE689" s="551"/>
      <c r="BF689" s="551"/>
      <c r="BG689" s="551"/>
      <c r="BH689" s="825">
        <f t="shared" si="229"/>
        <v>2560</v>
      </c>
      <c r="BI689" s="551"/>
      <c r="BJ689" s="551"/>
      <c r="BK689" s="551"/>
      <c r="BL689" s="551"/>
      <c r="BM689" s="551"/>
      <c r="BN689" s="551"/>
      <c r="BO689" s="551"/>
      <c r="BP689" s="551"/>
      <c r="BQ689" s="551"/>
      <c r="BR689" s="551"/>
      <c r="BS689" s="551"/>
      <c r="BT689" s="551"/>
      <c r="BU689" s="551"/>
      <c r="BV689" s="551"/>
      <c r="BW689" s="551"/>
      <c r="BX689" s="551"/>
      <c r="BY689" s="551"/>
      <c r="BZ689" s="551"/>
      <c r="CA689" s="551"/>
      <c r="CB689" s="551"/>
      <c r="CC689" s="551"/>
      <c r="CD689" s="551"/>
      <c r="CE689" s="551"/>
      <c r="CF689" s="551"/>
      <c r="CG689" s="551"/>
      <c r="CH689" s="650"/>
      <c r="CI689" s="650"/>
      <c r="CJ689" s="650"/>
      <c r="CK689" s="650"/>
      <c r="CL689" s="650"/>
      <c r="CM689" s="551"/>
      <c r="CN689" s="551"/>
      <c r="CO689" s="551"/>
      <c r="CP689" s="650"/>
      <c r="CQ689" s="650"/>
      <c r="CR689" s="650"/>
      <c r="CS689" s="650"/>
      <c r="CT689" s="650"/>
      <c r="CU689" s="650"/>
    </row>
    <row r="690" s="1265" customFormat="1" ht="31" customHeight="1" spans="1:99">
      <c r="A690" s="641">
        <v>45988</v>
      </c>
      <c r="B690" s="642" t="s">
        <v>143</v>
      </c>
      <c r="C690" s="246" t="s">
        <v>98</v>
      </c>
      <c r="D690" s="551">
        <v>4500187244</v>
      </c>
      <c r="E690" s="1415" t="s">
        <v>2757</v>
      </c>
      <c r="F690" s="551" t="s">
        <v>2758</v>
      </c>
      <c r="G690" s="659" t="s">
        <v>101</v>
      </c>
      <c r="H690" s="246" t="s">
        <v>102</v>
      </c>
      <c r="I690" s="246">
        <v>3200</v>
      </c>
      <c r="J690" s="246">
        <v>0</v>
      </c>
      <c r="K690" s="246">
        <v>4</v>
      </c>
      <c r="L690" s="644">
        <f t="shared" si="215"/>
        <v>800</v>
      </c>
      <c r="M690" s="645">
        <v>46034</v>
      </c>
      <c r="N690" s="645">
        <v>46030</v>
      </c>
      <c r="O690" s="643" t="s">
        <v>2745</v>
      </c>
      <c r="P690" s="824" t="s">
        <v>113</v>
      </c>
      <c r="Q690" s="646"/>
      <c r="R690" s="646" t="s">
        <v>2184</v>
      </c>
      <c r="S690" s="646" t="s">
        <v>70</v>
      </c>
      <c r="T690" s="646" t="s">
        <v>148</v>
      </c>
      <c r="U690" s="646"/>
      <c r="V690" s="642"/>
      <c r="W690" s="642"/>
      <c r="X690" s="642" t="s">
        <v>1395</v>
      </c>
      <c r="Y690" s="647" t="s">
        <v>106</v>
      </c>
      <c r="Z690" s="657">
        <v>2.5768</v>
      </c>
      <c r="AA690" s="647">
        <f t="shared" si="226"/>
        <v>8245.76</v>
      </c>
      <c r="AB690" s="551"/>
      <c r="AC690" s="658" t="s">
        <v>2759</v>
      </c>
      <c r="AD690" s="633" t="s">
        <v>101</v>
      </c>
      <c r="AE690" s="246" t="s">
        <v>82</v>
      </c>
      <c r="AF690" s="246"/>
      <c r="AG690" s="246"/>
      <c r="AH690" s="246">
        <v>1</v>
      </c>
      <c r="AI690" s="246">
        <v>3200</v>
      </c>
      <c r="AJ690" s="246">
        <f t="shared" si="219"/>
        <v>0</v>
      </c>
      <c r="AK690" s="246"/>
      <c r="AL690" s="246" t="s">
        <v>2368</v>
      </c>
      <c r="AM690" s="551"/>
      <c r="AN690" s="551">
        <f t="shared" si="227"/>
        <v>3200</v>
      </c>
      <c r="AO690" s="1331"/>
      <c r="AP690" s="1331"/>
      <c r="AQ690" s="1331"/>
      <c r="AR690" s="551">
        <f t="shared" si="228"/>
        <v>3200</v>
      </c>
      <c r="AS690" s="551"/>
      <c r="AT690" s="551"/>
      <c r="AU690" s="551">
        <f t="shared" si="224"/>
        <v>3200</v>
      </c>
      <c r="AV690" s="551"/>
      <c r="AW690" s="551">
        <f t="shared" si="225"/>
        <v>3200</v>
      </c>
      <c r="AX690" s="651"/>
      <c r="AY690" s="551"/>
      <c r="AZ690" s="551"/>
      <c r="BA690" s="551"/>
      <c r="BB690" s="551"/>
      <c r="BC690" s="551"/>
      <c r="BD690" s="551"/>
      <c r="BE690" s="551"/>
      <c r="BF690" s="551"/>
      <c r="BG690" s="551"/>
      <c r="BH690" s="825">
        <f t="shared" si="229"/>
        <v>800</v>
      </c>
      <c r="BI690" s="551"/>
      <c r="BJ690" s="551"/>
      <c r="BK690" s="551"/>
      <c r="BL690" s="551"/>
      <c r="BM690" s="551"/>
      <c r="BN690" s="551"/>
      <c r="BO690" s="551"/>
      <c r="BP690" s="551"/>
      <c r="BQ690" s="551"/>
      <c r="BR690" s="551"/>
      <c r="BS690" s="551"/>
      <c r="BT690" s="551"/>
      <c r="BU690" s="551"/>
      <c r="BV690" s="551"/>
      <c r="BW690" s="551"/>
      <c r="BX690" s="551"/>
      <c r="BY690" s="551"/>
      <c r="BZ690" s="551"/>
      <c r="CA690" s="551"/>
      <c r="CB690" s="551"/>
      <c r="CC690" s="551"/>
      <c r="CD690" s="551"/>
      <c r="CE690" s="551"/>
      <c r="CF690" s="551"/>
      <c r="CG690" s="551"/>
      <c r="CH690" s="650"/>
      <c r="CI690" s="650"/>
      <c r="CJ690" s="650"/>
      <c r="CK690" s="650"/>
      <c r="CL690" s="650"/>
      <c r="CM690" s="551"/>
      <c r="CN690" s="551"/>
      <c r="CO690" s="551"/>
      <c r="CP690" s="650"/>
      <c r="CQ690" s="650"/>
      <c r="CR690" s="650"/>
      <c r="CS690" s="650"/>
      <c r="CT690" s="650"/>
      <c r="CU690" s="650"/>
    </row>
    <row r="691" s="1265" customFormat="1" ht="31" customHeight="1" spans="1:99">
      <c r="A691" s="641">
        <v>45994</v>
      </c>
      <c r="B691" s="642" t="s">
        <v>2760</v>
      </c>
      <c r="C691" s="246" t="s">
        <v>2761</v>
      </c>
      <c r="D691" s="551">
        <v>4500187931</v>
      </c>
      <c r="E691" s="246"/>
      <c r="F691" s="551" t="s">
        <v>2762</v>
      </c>
      <c r="G691" s="659" t="s">
        <v>101</v>
      </c>
      <c r="H691" s="246" t="s">
        <v>102</v>
      </c>
      <c r="I691" s="246">
        <v>208</v>
      </c>
      <c r="J691" s="246">
        <v>0</v>
      </c>
      <c r="K691" s="246">
        <v>4</v>
      </c>
      <c r="L691" s="644">
        <f t="shared" si="215"/>
        <v>52</v>
      </c>
      <c r="M691" s="645">
        <v>46034</v>
      </c>
      <c r="N691" s="645">
        <v>46030</v>
      </c>
      <c r="O691" s="643"/>
      <c r="P691" s="824" t="s">
        <v>113</v>
      </c>
      <c r="Q691" s="646"/>
      <c r="R691" s="646">
        <v>45995</v>
      </c>
      <c r="S691" s="646" t="s">
        <v>70</v>
      </c>
      <c r="T691" s="646" t="s">
        <v>70</v>
      </c>
      <c r="U691" s="646"/>
      <c r="V691" s="642"/>
      <c r="W691" s="642"/>
      <c r="X691" s="642" t="s">
        <v>2763</v>
      </c>
      <c r="Y691" s="647" t="s">
        <v>1793</v>
      </c>
      <c r="Z691" s="657">
        <v>4.2501</v>
      </c>
      <c r="AA691" s="647">
        <f t="shared" si="226"/>
        <v>884.0208</v>
      </c>
      <c r="AB691" s="551"/>
      <c r="AC691" s="648" t="s">
        <v>2764</v>
      </c>
      <c r="AD691" s="633" t="s">
        <v>101</v>
      </c>
      <c r="AE691" s="246" t="s">
        <v>82</v>
      </c>
      <c r="AF691" s="246"/>
      <c r="AG691" s="246"/>
      <c r="AH691" s="246">
        <v>1</v>
      </c>
      <c r="AI691" s="246">
        <v>208</v>
      </c>
      <c r="AJ691" s="246">
        <f t="shared" si="219"/>
        <v>0</v>
      </c>
      <c r="AK691" s="246"/>
      <c r="AL691" s="246"/>
      <c r="AM691" s="551"/>
      <c r="AN691" s="551">
        <f t="shared" si="227"/>
        <v>208</v>
      </c>
      <c r="AO691" s="1331"/>
      <c r="AP691" s="1331"/>
      <c r="AQ691" s="1331"/>
      <c r="AR691" s="551">
        <f t="shared" si="228"/>
        <v>208</v>
      </c>
      <c r="AS691" s="551"/>
      <c r="AT691" s="551"/>
      <c r="AU691" s="551">
        <f t="shared" si="224"/>
        <v>208</v>
      </c>
      <c r="AV691" s="551"/>
      <c r="AW691" s="551">
        <f t="shared" si="225"/>
        <v>208</v>
      </c>
      <c r="AX691" s="651"/>
      <c r="AY691" s="551"/>
      <c r="AZ691" s="551"/>
      <c r="BA691" s="551"/>
      <c r="BB691" s="551"/>
      <c r="BC691" s="551"/>
      <c r="BD691" s="551"/>
      <c r="BE691" s="551"/>
      <c r="BF691" s="551"/>
      <c r="BG691" s="551"/>
      <c r="BH691" s="825">
        <f t="shared" si="229"/>
        <v>52</v>
      </c>
      <c r="BI691" s="551"/>
      <c r="BJ691" s="551"/>
      <c r="BK691" s="551"/>
      <c r="BL691" s="551"/>
      <c r="BM691" s="551"/>
      <c r="BN691" s="551"/>
      <c r="BO691" s="551"/>
      <c r="BP691" s="551"/>
      <c r="BQ691" s="551"/>
      <c r="BR691" s="551"/>
      <c r="BS691" s="551"/>
      <c r="BT691" s="551"/>
      <c r="BU691" s="551"/>
      <c r="BV691" s="551"/>
      <c r="BW691" s="551"/>
      <c r="BX691" s="551"/>
      <c r="BY691" s="551"/>
      <c r="BZ691" s="551"/>
      <c r="CA691" s="551"/>
      <c r="CB691" s="551"/>
      <c r="CC691" s="551"/>
      <c r="CD691" s="551"/>
      <c r="CE691" s="551"/>
      <c r="CF691" s="551"/>
      <c r="CG691" s="551"/>
      <c r="CH691" s="650"/>
      <c r="CI691" s="650"/>
      <c r="CJ691" s="650"/>
      <c r="CK691" s="650"/>
      <c r="CL691" s="650"/>
      <c r="CM691" s="551"/>
      <c r="CN691" s="551"/>
      <c r="CO691" s="551"/>
      <c r="CP691" s="650"/>
      <c r="CQ691" s="650"/>
      <c r="CR691" s="650"/>
      <c r="CS691" s="650"/>
      <c r="CT691" s="650"/>
      <c r="CU691" s="650"/>
    </row>
    <row r="692" s="1265" customFormat="1" ht="31" customHeight="1" spans="1:99">
      <c r="A692" s="641">
        <v>45951</v>
      </c>
      <c r="B692" s="642" t="s">
        <v>2765</v>
      </c>
      <c r="C692" s="246" t="s">
        <v>170</v>
      </c>
      <c r="D692" s="551">
        <v>4500182548</v>
      </c>
      <c r="E692" s="246">
        <v>942104</v>
      </c>
      <c r="F692" s="551" t="s">
        <v>2766</v>
      </c>
      <c r="G692" s="659" t="s">
        <v>101</v>
      </c>
      <c r="H692" s="246" t="s">
        <v>102</v>
      </c>
      <c r="I692" s="246">
        <v>320</v>
      </c>
      <c r="J692" s="246">
        <v>0</v>
      </c>
      <c r="K692" s="246">
        <v>4</v>
      </c>
      <c r="L692" s="644">
        <f t="shared" si="215"/>
        <v>80</v>
      </c>
      <c r="M692" s="645">
        <v>46034</v>
      </c>
      <c r="N692" s="645">
        <v>46030</v>
      </c>
      <c r="O692" s="643"/>
      <c r="P692" s="824" t="s">
        <v>113</v>
      </c>
      <c r="Q692" s="646"/>
      <c r="R692" s="646">
        <v>45961</v>
      </c>
      <c r="S692" s="646" t="s">
        <v>70</v>
      </c>
      <c r="T692" s="646">
        <v>45951</v>
      </c>
      <c r="U692" s="646"/>
      <c r="V692" s="642" t="s">
        <v>457</v>
      </c>
      <c r="W692" s="642"/>
      <c r="X692" s="642" t="s">
        <v>2767</v>
      </c>
      <c r="Y692" s="647" t="s">
        <v>1318</v>
      </c>
      <c r="Z692" s="657">
        <v>4.3</v>
      </c>
      <c r="AA692" s="647">
        <f t="shared" si="226"/>
        <v>1376</v>
      </c>
      <c r="AB692" s="551"/>
      <c r="AC692" s="648"/>
      <c r="AD692" s="633" t="s">
        <v>101</v>
      </c>
      <c r="AE692" s="246" t="s">
        <v>82</v>
      </c>
      <c r="AF692" s="246"/>
      <c r="AG692" s="246"/>
      <c r="AH692" s="246">
        <v>1</v>
      </c>
      <c r="AI692" s="246">
        <v>320</v>
      </c>
      <c r="AJ692" s="246">
        <f t="shared" si="219"/>
        <v>0</v>
      </c>
      <c r="AK692" s="246"/>
      <c r="AL692" s="246"/>
      <c r="AM692" s="551"/>
      <c r="AN692" s="551">
        <f t="shared" si="227"/>
        <v>320</v>
      </c>
      <c r="AO692" s="1331"/>
      <c r="AP692" s="1331"/>
      <c r="AQ692" s="1331"/>
      <c r="AR692" s="551">
        <f t="shared" si="228"/>
        <v>320</v>
      </c>
      <c r="AS692" s="551"/>
      <c r="AT692" s="551"/>
      <c r="AU692" s="551">
        <f t="shared" si="224"/>
        <v>320</v>
      </c>
      <c r="AV692" s="551"/>
      <c r="AW692" s="551">
        <f t="shared" si="225"/>
        <v>320</v>
      </c>
      <c r="AX692" s="651"/>
      <c r="AY692" s="551"/>
      <c r="AZ692" s="551"/>
      <c r="BA692" s="551"/>
      <c r="BB692" s="551"/>
      <c r="BC692" s="551"/>
      <c r="BD692" s="551"/>
      <c r="BE692" s="551"/>
      <c r="BF692" s="551"/>
      <c r="BG692" s="551"/>
      <c r="BH692" s="825"/>
      <c r="BI692" s="825">
        <f>I692/4</f>
        <v>80</v>
      </c>
      <c r="BJ692" s="551"/>
      <c r="BK692" s="551"/>
      <c r="BL692" s="551"/>
      <c r="BM692" s="551"/>
      <c r="BN692" s="551"/>
      <c r="BO692" s="551"/>
      <c r="BP692" s="551"/>
      <c r="BQ692" s="551"/>
      <c r="BR692" s="551"/>
      <c r="BS692" s="551"/>
      <c r="BT692" s="551"/>
      <c r="BU692" s="551"/>
      <c r="BV692" s="551"/>
      <c r="BW692" s="551"/>
      <c r="BX692" s="551"/>
      <c r="BY692" s="551"/>
      <c r="BZ692" s="551"/>
      <c r="CA692" s="551"/>
      <c r="CB692" s="551"/>
      <c r="CC692" s="551"/>
      <c r="CD692" s="551"/>
      <c r="CE692" s="551"/>
      <c r="CF692" s="551"/>
      <c r="CG692" s="551"/>
      <c r="CH692" s="650"/>
      <c r="CI692" s="650"/>
      <c r="CJ692" s="650"/>
      <c r="CK692" s="650"/>
      <c r="CL692" s="650"/>
      <c r="CM692" s="551"/>
      <c r="CN692" s="551"/>
      <c r="CO692" s="551"/>
      <c r="CP692" s="650"/>
      <c r="CQ692" s="650"/>
      <c r="CR692" s="650"/>
      <c r="CS692" s="650"/>
      <c r="CT692" s="650"/>
      <c r="CU692" s="650"/>
    </row>
    <row r="693" s="1265" customFormat="1" ht="31" customHeight="1" spans="1:99">
      <c r="A693" s="641">
        <v>45989</v>
      </c>
      <c r="B693" s="642" t="s">
        <v>325</v>
      </c>
      <c r="C693" s="246" t="s">
        <v>98</v>
      </c>
      <c r="D693" s="551">
        <v>4500187335</v>
      </c>
      <c r="E693" s="246" t="s">
        <v>2768</v>
      </c>
      <c r="F693" s="551" t="s">
        <v>2769</v>
      </c>
      <c r="G693" s="659" t="s">
        <v>249</v>
      </c>
      <c r="H693" s="246" t="s">
        <v>250</v>
      </c>
      <c r="I693" s="246">
        <v>9000</v>
      </c>
      <c r="J693" s="246">
        <v>0</v>
      </c>
      <c r="K693" s="246">
        <v>4</v>
      </c>
      <c r="L693" s="644">
        <f t="shared" si="215"/>
        <v>2250</v>
      </c>
      <c r="M693" s="645">
        <v>46035</v>
      </c>
      <c r="N693" s="645">
        <f>M693-4</f>
        <v>46031</v>
      </c>
      <c r="O693" s="643"/>
      <c r="P693" s="824" t="s">
        <v>113</v>
      </c>
      <c r="Q693" s="646"/>
      <c r="R693" s="646">
        <v>46006</v>
      </c>
      <c r="S693" s="646" t="s">
        <v>104</v>
      </c>
      <c r="T693" s="646">
        <v>46013</v>
      </c>
      <c r="U693" s="646"/>
      <c r="V693" s="642"/>
      <c r="W693" s="642"/>
      <c r="X693" s="642" t="s">
        <v>2770</v>
      </c>
      <c r="Y693" s="647" t="s">
        <v>252</v>
      </c>
      <c r="Z693" s="657">
        <v>2.7832</v>
      </c>
      <c r="AA693" s="647">
        <f t="shared" ref="AA687:AA710" si="230">Z693*I693</f>
        <v>25048.8</v>
      </c>
      <c r="AB693" s="551"/>
      <c r="AC693" s="658" t="s">
        <v>2771</v>
      </c>
      <c r="AD693" s="633" t="s">
        <v>249</v>
      </c>
      <c r="AE693" s="246" t="s">
        <v>82</v>
      </c>
      <c r="AF693" s="246"/>
      <c r="AG693" s="246"/>
      <c r="AH693" s="246"/>
      <c r="AI693" s="246">
        <f>2880+6120</f>
        <v>9000</v>
      </c>
      <c r="AJ693" s="246">
        <f t="shared" ref="AJ685:AJ739" si="231">AI693-I693</f>
        <v>0</v>
      </c>
      <c r="AK693" s="246"/>
      <c r="AL693" s="246"/>
      <c r="AM693" s="551"/>
      <c r="AN693" s="551"/>
      <c r="AO693" s="1331"/>
      <c r="AP693" s="1331">
        <f>I693</f>
        <v>9000</v>
      </c>
      <c r="AQ693" s="1331"/>
      <c r="AR693" s="551"/>
      <c r="AS693" s="551"/>
      <c r="AT693" s="551"/>
      <c r="AU693" s="551"/>
      <c r="AV693" s="551"/>
      <c r="AW693" s="551">
        <f t="shared" si="225"/>
        <v>9000</v>
      </c>
      <c r="AX693" s="651"/>
      <c r="AY693" s="551"/>
      <c r="AZ693" s="551"/>
      <c r="BA693" s="551"/>
      <c r="BB693" s="551"/>
      <c r="BC693" s="551"/>
      <c r="BD693" s="551"/>
      <c r="BE693" s="551"/>
      <c r="BF693" s="551">
        <f>I693</f>
        <v>9000</v>
      </c>
      <c r="BG693" s="551">
        <f>I693</f>
        <v>9000</v>
      </c>
      <c r="BH693" s="825">
        <f>I693/4</f>
        <v>2250</v>
      </c>
      <c r="BI693" s="551"/>
      <c r="BJ693" s="551"/>
      <c r="BK693" s="551"/>
      <c r="BL693" s="551"/>
      <c r="BM693" s="551"/>
      <c r="BN693" s="551"/>
      <c r="BO693" s="551"/>
      <c r="BP693" s="551"/>
      <c r="BQ693" s="551"/>
      <c r="BR693" s="551"/>
      <c r="BS693" s="551"/>
      <c r="BT693" s="551"/>
      <c r="BU693" s="551"/>
      <c r="BV693" s="551"/>
      <c r="BW693" s="551"/>
      <c r="BX693" s="551"/>
      <c r="BY693" s="551"/>
      <c r="BZ693" s="551"/>
      <c r="CA693" s="551"/>
      <c r="CB693" s="551"/>
      <c r="CC693" s="551"/>
      <c r="CD693" s="551"/>
      <c r="CE693" s="551"/>
      <c r="CF693" s="551"/>
      <c r="CG693" s="551"/>
      <c r="CH693" s="650"/>
      <c r="CI693" s="650"/>
      <c r="CJ693" s="650"/>
      <c r="CK693" s="650"/>
      <c r="CL693" s="650"/>
      <c r="CM693" s="551"/>
      <c r="CN693" s="551"/>
      <c r="CO693" s="551"/>
      <c r="CP693" s="650"/>
      <c r="CQ693" s="650"/>
      <c r="CR693" s="650"/>
      <c r="CS693" s="650"/>
      <c r="CT693" s="650"/>
      <c r="CU693" s="650"/>
    </row>
    <row r="694" s="1265" customFormat="1" ht="31" customHeight="1" spans="1:99">
      <c r="A694" s="641">
        <v>45968</v>
      </c>
      <c r="B694" s="642" t="s">
        <v>876</v>
      </c>
      <c r="C694" s="246" t="s">
        <v>98</v>
      </c>
      <c r="D694" s="551">
        <v>4500184978</v>
      </c>
      <c r="E694" s="246" t="s">
        <v>2772</v>
      </c>
      <c r="F694" s="551" t="s">
        <v>2773</v>
      </c>
      <c r="G694" s="659" t="s">
        <v>207</v>
      </c>
      <c r="H694" s="246" t="s">
        <v>102</v>
      </c>
      <c r="I694" s="246">
        <v>1256</v>
      </c>
      <c r="J694" s="246">
        <v>0</v>
      </c>
      <c r="K694" s="246">
        <v>4</v>
      </c>
      <c r="L694" s="644">
        <f t="shared" si="215"/>
        <v>314</v>
      </c>
      <c r="M694" s="645">
        <v>46036</v>
      </c>
      <c r="N694" s="645">
        <v>46032</v>
      </c>
      <c r="O694" s="643"/>
      <c r="P694" s="824" t="s">
        <v>113</v>
      </c>
      <c r="Q694" s="646"/>
      <c r="R694" s="646">
        <v>45985</v>
      </c>
      <c r="S694" s="646" t="s">
        <v>70</v>
      </c>
      <c r="T694" s="646" t="s">
        <v>70</v>
      </c>
      <c r="U694" s="646"/>
      <c r="V694" s="642"/>
      <c r="W694" s="642"/>
      <c r="X694" s="642" t="s">
        <v>2774</v>
      </c>
      <c r="Y694" s="647" t="s">
        <v>882</v>
      </c>
      <c r="Z694" s="657">
        <v>2.5502</v>
      </c>
      <c r="AA694" s="647">
        <f t="shared" si="230"/>
        <v>3203.0512</v>
      </c>
      <c r="AB694" s="551"/>
      <c r="AC694" s="658" t="s">
        <v>2775</v>
      </c>
      <c r="AD694" s="633" t="s">
        <v>207</v>
      </c>
      <c r="AE694" s="246" t="s">
        <v>82</v>
      </c>
      <c r="AF694" s="246"/>
      <c r="AG694" s="246"/>
      <c r="AH694" s="246">
        <v>1</v>
      </c>
      <c r="AI694" s="246">
        <v>1256</v>
      </c>
      <c r="AJ694" s="246">
        <f t="shared" si="231"/>
        <v>0</v>
      </c>
      <c r="AK694" s="246"/>
      <c r="AL694" s="246"/>
      <c r="AM694" s="551"/>
      <c r="AN694" s="551">
        <f>I694</f>
        <v>1256</v>
      </c>
      <c r="AO694" s="1331"/>
      <c r="AP694" s="1331"/>
      <c r="AQ694" s="1331"/>
      <c r="AR694" s="551">
        <f>I694</f>
        <v>1256</v>
      </c>
      <c r="AS694" s="551"/>
      <c r="AT694" s="551"/>
      <c r="AU694" s="551">
        <f>I694</f>
        <v>1256</v>
      </c>
      <c r="AV694" s="551"/>
      <c r="AW694" s="551">
        <f t="shared" si="225"/>
        <v>1256</v>
      </c>
      <c r="AX694" s="651"/>
      <c r="AY694" s="551"/>
      <c r="AZ694" s="551"/>
      <c r="BA694" s="551"/>
      <c r="BB694" s="551"/>
      <c r="BC694" s="551"/>
      <c r="BD694" s="551"/>
      <c r="BE694" s="551"/>
      <c r="BF694" s="551"/>
      <c r="BG694" s="551"/>
      <c r="BH694" s="551"/>
      <c r="BI694" s="551"/>
      <c r="BJ694" s="551"/>
      <c r="BK694" s="551"/>
      <c r="BL694" s="551"/>
      <c r="BM694" s="551"/>
      <c r="BN694" s="551"/>
      <c r="BO694" s="551"/>
      <c r="BP694" s="551"/>
      <c r="BQ694" s="551"/>
      <c r="BR694" s="551"/>
      <c r="BS694" s="551"/>
      <c r="BT694" s="551"/>
      <c r="BU694" s="551"/>
      <c r="BV694" s="551"/>
      <c r="BW694" s="551"/>
      <c r="BX694" s="551"/>
      <c r="BY694" s="551"/>
      <c r="BZ694" s="551"/>
      <c r="CA694" s="551"/>
      <c r="CB694" s="551"/>
      <c r="CC694" s="551"/>
      <c r="CD694" s="551"/>
      <c r="CE694" s="551"/>
      <c r="CF694" s="551"/>
      <c r="CG694" s="551"/>
      <c r="CH694" s="650"/>
      <c r="CI694" s="650"/>
      <c r="CJ694" s="650"/>
      <c r="CK694" s="650"/>
      <c r="CL694" s="650"/>
      <c r="CM694" s="551"/>
      <c r="CN694" s="551"/>
      <c r="CO694" s="551"/>
      <c r="CP694" s="650"/>
      <c r="CQ694" s="650"/>
      <c r="CR694" s="650"/>
      <c r="CS694" s="650"/>
      <c r="CT694" s="650"/>
      <c r="CU694" s="650"/>
    </row>
    <row r="695" s="1265" customFormat="1" ht="31" customHeight="1" spans="1:99">
      <c r="A695" s="641">
        <v>45946</v>
      </c>
      <c r="B695" s="642" t="s">
        <v>1429</v>
      </c>
      <c r="C695" s="246" t="s">
        <v>411</v>
      </c>
      <c r="D695" s="551">
        <v>4500182177</v>
      </c>
      <c r="E695" s="246">
        <v>5200007981</v>
      </c>
      <c r="F695" s="551" t="s">
        <v>2776</v>
      </c>
      <c r="G695" s="659" t="s">
        <v>156</v>
      </c>
      <c r="H695" s="246" t="s">
        <v>102</v>
      </c>
      <c r="I695" s="246">
        <v>1200</v>
      </c>
      <c r="J695" s="246">
        <v>0</v>
      </c>
      <c r="K695" s="246">
        <v>4</v>
      </c>
      <c r="L695" s="644">
        <f t="shared" si="215"/>
        <v>300</v>
      </c>
      <c r="M695" s="645">
        <v>46037</v>
      </c>
      <c r="N695" s="645">
        <v>46034</v>
      </c>
      <c r="O695" s="643"/>
      <c r="P695" s="824" t="s">
        <v>113</v>
      </c>
      <c r="Q695" s="646"/>
      <c r="R695" s="646">
        <v>45947</v>
      </c>
      <c r="S695" s="646" t="s">
        <v>70</v>
      </c>
      <c r="T695" s="646" t="s">
        <v>2777</v>
      </c>
      <c r="U695" s="646"/>
      <c r="V695" s="642"/>
      <c r="W695" s="642"/>
      <c r="X695" s="642" t="s">
        <v>2778</v>
      </c>
      <c r="Y695" s="647" t="s">
        <v>415</v>
      </c>
      <c r="Z695" s="657">
        <v>4.3</v>
      </c>
      <c r="AA695" s="647">
        <f t="shared" si="230"/>
        <v>5160</v>
      </c>
      <c r="AB695" s="551"/>
      <c r="AC695" s="648" t="s">
        <v>2779</v>
      </c>
      <c r="AD695" s="633" t="s">
        <v>156</v>
      </c>
      <c r="AE695" s="246" t="s">
        <v>82</v>
      </c>
      <c r="AF695" s="246"/>
      <c r="AG695" s="246"/>
      <c r="AH695" s="246">
        <v>1</v>
      </c>
      <c r="AI695" s="246">
        <v>1200</v>
      </c>
      <c r="AJ695" s="246">
        <f t="shared" si="231"/>
        <v>0</v>
      </c>
      <c r="AK695" s="246"/>
      <c r="AL695" s="246" t="s">
        <v>2368</v>
      </c>
      <c r="AM695" s="551"/>
      <c r="AN695" s="551">
        <f t="shared" ref="AN695:AN708" si="232">I695</f>
        <v>1200</v>
      </c>
      <c r="AO695" s="1331"/>
      <c r="AP695" s="1331"/>
      <c r="AQ695" s="1331"/>
      <c r="AR695" s="551"/>
      <c r="AS695" s="551">
        <f>I695</f>
        <v>1200</v>
      </c>
      <c r="AT695" s="551"/>
      <c r="AU695" s="551">
        <f>I695</f>
        <v>1200</v>
      </c>
      <c r="AV695" s="551"/>
      <c r="AW695" s="551">
        <f t="shared" si="225"/>
        <v>1200</v>
      </c>
      <c r="AX695" s="651"/>
      <c r="AY695" s="551"/>
      <c r="AZ695" s="551"/>
      <c r="BA695" s="551"/>
      <c r="BB695" s="551"/>
      <c r="BC695" s="551"/>
      <c r="BD695" s="551"/>
      <c r="BE695" s="551"/>
      <c r="BF695" s="551"/>
      <c r="BG695" s="551"/>
      <c r="BH695" s="551"/>
      <c r="BI695" s="825">
        <f>I695/4</f>
        <v>300</v>
      </c>
      <c r="BJ695" s="551"/>
      <c r="BK695" s="551"/>
      <c r="BL695" s="551"/>
      <c r="BM695" s="551"/>
      <c r="BN695" s="551"/>
      <c r="BO695" s="551"/>
      <c r="BP695" s="551"/>
      <c r="BQ695" s="551"/>
      <c r="BR695" s="551"/>
      <c r="BS695" s="551"/>
      <c r="BT695" s="551"/>
      <c r="BU695" s="551"/>
      <c r="BV695" s="551"/>
      <c r="BW695" s="551"/>
      <c r="BX695" s="551"/>
      <c r="BY695" s="551"/>
      <c r="BZ695" s="551"/>
      <c r="CA695" s="551"/>
      <c r="CB695" s="551"/>
      <c r="CC695" s="551"/>
      <c r="CD695" s="551"/>
      <c r="CE695" s="551"/>
      <c r="CF695" s="551"/>
      <c r="CG695" s="551"/>
      <c r="CH695" s="650"/>
      <c r="CI695" s="650"/>
      <c r="CJ695" s="650"/>
      <c r="CK695" s="650"/>
      <c r="CL695" s="650"/>
      <c r="CM695" s="551"/>
      <c r="CN695" s="551"/>
      <c r="CO695" s="551"/>
      <c r="CP695" s="650"/>
      <c r="CQ695" s="650"/>
      <c r="CR695" s="650"/>
      <c r="CS695" s="650"/>
      <c r="CT695" s="650"/>
      <c r="CU695" s="650"/>
    </row>
    <row r="696" s="1265" customFormat="1" ht="31" customHeight="1" spans="1:99">
      <c r="A696" s="641">
        <v>45952</v>
      </c>
      <c r="B696" s="642" t="s">
        <v>1800</v>
      </c>
      <c r="C696" s="246" t="s">
        <v>744</v>
      </c>
      <c r="D696" s="551">
        <v>4500178919</v>
      </c>
      <c r="E696" s="246">
        <v>5000001988</v>
      </c>
      <c r="F696" s="551" t="s">
        <v>2780</v>
      </c>
      <c r="G696" s="659" t="s">
        <v>518</v>
      </c>
      <c r="H696" s="246" t="s">
        <v>477</v>
      </c>
      <c r="I696" s="246">
        <v>660</v>
      </c>
      <c r="J696" s="246">
        <v>0</v>
      </c>
      <c r="K696" s="246">
        <v>6</v>
      </c>
      <c r="L696" s="644">
        <f t="shared" si="215"/>
        <v>110</v>
      </c>
      <c r="M696" s="645">
        <v>46037</v>
      </c>
      <c r="N696" s="645">
        <v>46034</v>
      </c>
      <c r="O696" s="643"/>
      <c r="P696" s="824" t="s">
        <v>113</v>
      </c>
      <c r="Q696" s="646"/>
      <c r="R696" s="646">
        <v>45960</v>
      </c>
      <c r="S696" s="829" t="s">
        <v>104</v>
      </c>
      <c r="T696" s="646" t="s">
        <v>2239</v>
      </c>
      <c r="U696" s="646"/>
      <c r="V696" s="642"/>
      <c r="W696" s="642"/>
      <c r="X696" s="642" t="s">
        <v>2240</v>
      </c>
      <c r="Y696" s="647" t="s">
        <v>1805</v>
      </c>
      <c r="Z696" s="657">
        <v>6.34</v>
      </c>
      <c r="AA696" s="647">
        <f t="shared" si="230"/>
        <v>4184.4</v>
      </c>
      <c r="AB696" s="551"/>
      <c r="AC696" s="698" t="s">
        <v>2422</v>
      </c>
      <c r="AD696" s="633" t="s">
        <v>2241</v>
      </c>
      <c r="AE696" s="246" t="s">
        <v>82</v>
      </c>
      <c r="AF696" s="246"/>
      <c r="AG696" s="246"/>
      <c r="AH696" s="246">
        <v>1</v>
      </c>
      <c r="AI696" s="246">
        <v>660</v>
      </c>
      <c r="AJ696" s="246">
        <f t="shared" si="231"/>
        <v>0</v>
      </c>
      <c r="AK696" s="246"/>
      <c r="AL696" s="246"/>
      <c r="AM696" s="551"/>
      <c r="AN696" s="551">
        <f t="shared" si="232"/>
        <v>660</v>
      </c>
      <c r="AO696" s="1331"/>
      <c r="AP696" s="1331"/>
      <c r="AQ696" s="1331"/>
      <c r="AR696" s="551">
        <f>I696</f>
        <v>660</v>
      </c>
      <c r="AS696" s="551"/>
      <c r="AT696" s="551"/>
      <c r="AU696" s="551"/>
      <c r="AV696" s="551">
        <f>I696</f>
        <v>660</v>
      </c>
      <c r="AW696" s="551"/>
      <c r="AX696" s="651">
        <f>I696</f>
        <v>660</v>
      </c>
      <c r="AY696" s="551"/>
      <c r="AZ696" s="551"/>
      <c r="BA696" s="551"/>
      <c r="BB696" s="551"/>
      <c r="BC696" s="551"/>
      <c r="BD696" s="551"/>
      <c r="BE696" s="551"/>
      <c r="BF696" s="551"/>
      <c r="BG696" s="551"/>
      <c r="BH696" s="551"/>
      <c r="BI696" s="551"/>
      <c r="BJ696" s="551"/>
      <c r="BK696" s="551"/>
      <c r="BL696" s="551"/>
      <c r="BM696" s="551"/>
      <c r="BN696" s="551">
        <f>I696</f>
        <v>660</v>
      </c>
      <c r="BO696" s="551"/>
      <c r="BP696" s="551"/>
      <c r="BQ696" s="551"/>
      <c r="BR696" s="551"/>
      <c r="BS696" s="551"/>
      <c r="BT696" s="551"/>
      <c r="BU696" s="551"/>
      <c r="BV696" s="551"/>
      <c r="BW696" s="551"/>
      <c r="BX696" s="551"/>
      <c r="BY696" s="551"/>
      <c r="BZ696" s="551"/>
      <c r="CA696" s="551"/>
      <c r="CB696" s="551"/>
      <c r="CC696" s="551"/>
      <c r="CD696" s="551"/>
      <c r="CE696" s="551"/>
      <c r="CF696" s="551"/>
      <c r="CG696" s="551"/>
      <c r="CH696" s="650"/>
      <c r="CI696" s="650"/>
      <c r="CJ696" s="650"/>
      <c r="CK696" s="650"/>
      <c r="CL696" s="650"/>
      <c r="CM696" s="551"/>
      <c r="CN696" s="551"/>
      <c r="CO696" s="551"/>
      <c r="CP696" s="650"/>
      <c r="CQ696" s="650"/>
      <c r="CR696" s="650"/>
      <c r="CS696" s="650"/>
      <c r="CT696" s="650"/>
      <c r="CU696" s="650"/>
    </row>
    <row r="697" s="1265" customFormat="1" ht="31" customHeight="1" spans="1:99">
      <c r="A697" s="641">
        <v>45952</v>
      </c>
      <c r="B697" s="642" t="s">
        <v>1800</v>
      </c>
      <c r="C697" s="246" t="s">
        <v>744</v>
      </c>
      <c r="D697" s="551">
        <v>4500178919</v>
      </c>
      <c r="E697" s="246">
        <v>5000001988</v>
      </c>
      <c r="F697" s="551" t="s">
        <v>2781</v>
      </c>
      <c r="G697" s="659" t="s">
        <v>130</v>
      </c>
      <c r="H697" s="246" t="s">
        <v>131</v>
      </c>
      <c r="I697" s="246">
        <v>960</v>
      </c>
      <c r="J697" s="246">
        <v>0</v>
      </c>
      <c r="K697" s="246">
        <v>6</v>
      </c>
      <c r="L697" s="644">
        <f t="shared" si="215"/>
        <v>160</v>
      </c>
      <c r="M697" s="645">
        <v>46037</v>
      </c>
      <c r="N697" s="645">
        <v>46034</v>
      </c>
      <c r="O697" s="643"/>
      <c r="P697" s="824" t="s">
        <v>113</v>
      </c>
      <c r="Q697" s="646"/>
      <c r="R697" s="646">
        <v>45960</v>
      </c>
      <c r="S697" s="829" t="s">
        <v>104</v>
      </c>
      <c r="T697" s="646" t="s">
        <v>2239</v>
      </c>
      <c r="U697" s="646"/>
      <c r="V697" s="642"/>
      <c r="W697" s="642"/>
      <c r="X697" s="642" t="s">
        <v>2215</v>
      </c>
      <c r="Y697" s="647" t="s">
        <v>1805</v>
      </c>
      <c r="Z697" s="657">
        <v>4.147</v>
      </c>
      <c r="AA697" s="647">
        <f t="shared" si="230"/>
        <v>3981.12</v>
      </c>
      <c r="AB697" s="551"/>
      <c r="AC697" s="698" t="s">
        <v>2782</v>
      </c>
      <c r="AD697" s="633" t="s">
        <v>2217</v>
      </c>
      <c r="AE697" s="246" t="s">
        <v>82</v>
      </c>
      <c r="AF697" s="246"/>
      <c r="AG697" s="246"/>
      <c r="AH697" s="246">
        <v>1</v>
      </c>
      <c r="AI697" s="246">
        <v>960</v>
      </c>
      <c r="AJ697" s="246">
        <f t="shared" si="231"/>
        <v>0</v>
      </c>
      <c r="AK697" s="246"/>
      <c r="AL697" s="246"/>
      <c r="AM697" s="551"/>
      <c r="AN697" s="551">
        <f t="shared" si="232"/>
        <v>960</v>
      </c>
      <c r="AO697" s="1331"/>
      <c r="AP697" s="1331"/>
      <c r="AQ697" s="1331"/>
      <c r="AR697" s="551">
        <f>I697</f>
        <v>960</v>
      </c>
      <c r="AS697" s="551"/>
      <c r="AT697" s="551"/>
      <c r="AU697" s="551"/>
      <c r="AV697" s="551">
        <f>I697</f>
        <v>960</v>
      </c>
      <c r="AW697" s="551"/>
      <c r="AX697" s="651">
        <f>I697</f>
        <v>960</v>
      </c>
      <c r="AY697" s="551"/>
      <c r="AZ697" s="551"/>
      <c r="BA697" s="551"/>
      <c r="BB697" s="551"/>
      <c r="BC697" s="551"/>
      <c r="BD697" s="551"/>
      <c r="BE697" s="551"/>
      <c r="BF697" s="551"/>
      <c r="BG697" s="551"/>
      <c r="BH697" s="551"/>
      <c r="BI697" s="551"/>
      <c r="BJ697" s="551"/>
      <c r="BK697" s="551"/>
      <c r="BL697" s="551"/>
      <c r="BM697" s="551"/>
      <c r="BN697" s="551"/>
      <c r="BO697" s="551"/>
      <c r="BP697" s="551"/>
      <c r="BQ697" s="551"/>
      <c r="BR697" s="551"/>
      <c r="BS697" s="551"/>
      <c r="BT697" s="551"/>
      <c r="BU697" s="551"/>
      <c r="BV697" s="551"/>
      <c r="BW697" s="551"/>
      <c r="BX697" s="551"/>
      <c r="BY697" s="551"/>
      <c r="BZ697" s="551"/>
      <c r="CA697" s="551"/>
      <c r="CB697" s="551"/>
      <c r="CC697" s="551"/>
      <c r="CD697" s="551"/>
      <c r="CE697" s="551"/>
      <c r="CF697" s="551"/>
      <c r="CG697" s="551"/>
      <c r="CH697" s="650"/>
      <c r="CI697" s="650"/>
      <c r="CJ697" s="650"/>
      <c r="CK697" s="650"/>
      <c r="CL697" s="650"/>
      <c r="CM697" s="551"/>
      <c r="CN697" s="551"/>
      <c r="CO697" s="551"/>
      <c r="CP697" s="650"/>
      <c r="CQ697" s="650"/>
      <c r="CR697" s="650"/>
      <c r="CS697" s="650"/>
      <c r="CT697" s="650"/>
      <c r="CU697" s="650"/>
    </row>
    <row r="698" s="1265" customFormat="1" ht="31" customHeight="1" spans="1:99">
      <c r="A698" s="641">
        <v>45952</v>
      </c>
      <c r="B698" s="642" t="s">
        <v>1800</v>
      </c>
      <c r="C698" s="246" t="s">
        <v>744</v>
      </c>
      <c r="D698" s="551">
        <v>4500178919</v>
      </c>
      <c r="E698" s="246">
        <v>5000001988</v>
      </c>
      <c r="F698" s="551" t="s">
        <v>2783</v>
      </c>
      <c r="G698" s="659" t="s">
        <v>130</v>
      </c>
      <c r="H698" s="246" t="s">
        <v>131</v>
      </c>
      <c r="I698" s="246">
        <v>3600</v>
      </c>
      <c r="J698" s="246">
        <v>0</v>
      </c>
      <c r="K698" s="246">
        <v>6</v>
      </c>
      <c r="L698" s="644">
        <f t="shared" si="215"/>
        <v>600</v>
      </c>
      <c r="M698" s="645">
        <v>46037</v>
      </c>
      <c r="N698" s="645">
        <v>46034</v>
      </c>
      <c r="O698" s="643"/>
      <c r="P698" s="824" t="s">
        <v>113</v>
      </c>
      <c r="Q698" s="646"/>
      <c r="R698" s="646">
        <v>45960</v>
      </c>
      <c r="S698" s="829" t="s">
        <v>104</v>
      </c>
      <c r="T698" s="646" t="s">
        <v>2239</v>
      </c>
      <c r="U698" s="646"/>
      <c r="V698" s="642"/>
      <c r="W698" s="642"/>
      <c r="X698" s="642" t="s">
        <v>2215</v>
      </c>
      <c r="Y698" s="647" t="s">
        <v>1805</v>
      </c>
      <c r="Z698" s="657">
        <v>4.147</v>
      </c>
      <c r="AA698" s="647">
        <f t="shared" si="230"/>
        <v>14929.2</v>
      </c>
      <c r="AB698" s="551"/>
      <c r="AC698" s="698" t="s">
        <v>2782</v>
      </c>
      <c r="AD698" s="633" t="s">
        <v>2217</v>
      </c>
      <c r="AE698" s="246" t="s">
        <v>82</v>
      </c>
      <c r="AF698" s="246"/>
      <c r="AG698" s="246"/>
      <c r="AH698" s="246">
        <v>1</v>
      </c>
      <c r="AI698" s="246">
        <v>3600</v>
      </c>
      <c r="AJ698" s="246">
        <f t="shared" si="231"/>
        <v>0</v>
      </c>
      <c r="AK698" s="246"/>
      <c r="AL698" s="246"/>
      <c r="AM698" s="551"/>
      <c r="AN698" s="551">
        <f t="shared" si="232"/>
        <v>3600</v>
      </c>
      <c r="AO698" s="1331"/>
      <c r="AP698" s="1331"/>
      <c r="AQ698" s="1331"/>
      <c r="AR698" s="551">
        <f>I698</f>
        <v>3600</v>
      </c>
      <c r="AS698" s="551"/>
      <c r="AT698" s="551"/>
      <c r="AU698" s="551"/>
      <c r="AV698" s="551">
        <f>I698</f>
        <v>3600</v>
      </c>
      <c r="AW698" s="551"/>
      <c r="AX698" s="651">
        <f>I698</f>
        <v>3600</v>
      </c>
      <c r="AY698" s="551"/>
      <c r="AZ698" s="551"/>
      <c r="BA698" s="551"/>
      <c r="BB698" s="551"/>
      <c r="BC698" s="551"/>
      <c r="BD698" s="551"/>
      <c r="BE698" s="551"/>
      <c r="BF698" s="551"/>
      <c r="BG698" s="551"/>
      <c r="BH698" s="551"/>
      <c r="BI698" s="551"/>
      <c r="BJ698" s="551"/>
      <c r="BK698" s="551"/>
      <c r="BL698" s="551"/>
      <c r="BM698" s="551"/>
      <c r="BN698" s="551"/>
      <c r="BO698" s="551"/>
      <c r="BP698" s="551"/>
      <c r="BQ698" s="551"/>
      <c r="BR698" s="551"/>
      <c r="BS698" s="551"/>
      <c r="BT698" s="551"/>
      <c r="BU698" s="551"/>
      <c r="BV698" s="551"/>
      <c r="BW698" s="551"/>
      <c r="BX698" s="551"/>
      <c r="BY698" s="551"/>
      <c r="BZ698" s="551"/>
      <c r="CA698" s="551"/>
      <c r="CB698" s="551"/>
      <c r="CC698" s="551"/>
      <c r="CD698" s="551"/>
      <c r="CE698" s="551"/>
      <c r="CF698" s="551"/>
      <c r="CG698" s="551"/>
      <c r="CH698" s="650"/>
      <c r="CI698" s="650"/>
      <c r="CJ698" s="650"/>
      <c r="CK698" s="650"/>
      <c r="CL698" s="650"/>
      <c r="CM698" s="551"/>
      <c r="CN698" s="551"/>
      <c r="CO698" s="551"/>
      <c r="CP698" s="650"/>
      <c r="CQ698" s="650"/>
      <c r="CR698" s="650"/>
      <c r="CS698" s="650"/>
      <c r="CT698" s="650"/>
      <c r="CU698" s="650"/>
    </row>
    <row r="699" s="1265" customFormat="1" ht="31" customHeight="1" spans="1:99">
      <c r="A699" s="641">
        <v>45959</v>
      </c>
      <c r="B699" s="642" t="s">
        <v>2784</v>
      </c>
      <c r="C699" s="246" t="s">
        <v>847</v>
      </c>
      <c r="D699" s="551">
        <v>4500183488</v>
      </c>
      <c r="E699" s="246" t="s">
        <v>2785</v>
      </c>
      <c r="F699" s="551" t="s">
        <v>2786</v>
      </c>
      <c r="G699" s="659" t="s">
        <v>68</v>
      </c>
      <c r="H699" s="633" t="s">
        <v>69</v>
      </c>
      <c r="I699" s="246">
        <v>1092</v>
      </c>
      <c r="J699" s="246">
        <v>0</v>
      </c>
      <c r="K699" s="246">
        <v>12</v>
      </c>
      <c r="L699" s="644">
        <f t="shared" si="215"/>
        <v>91</v>
      </c>
      <c r="M699" s="645">
        <v>46037</v>
      </c>
      <c r="N699" s="645">
        <v>46034</v>
      </c>
      <c r="O699" s="643"/>
      <c r="P699" s="824" t="s">
        <v>113</v>
      </c>
      <c r="Q699" s="646"/>
      <c r="R699" s="646">
        <v>45959</v>
      </c>
      <c r="S699" s="646" t="s">
        <v>70</v>
      </c>
      <c r="T699" s="999" t="s">
        <v>2787</v>
      </c>
      <c r="U699" s="999"/>
      <c r="V699" s="642"/>
      <c r="W699" s="642"/>
      <c r="X699" s="628" t="s">
        <v>2788</v>
      </c>
      <c r="Y699" s="647" t="s">
        <v>2789</v>
      </c>
      <c r="Z699" s="657">
        <v>4.1623</v>
      </c>
      <c r="AA699" s="647">
        <f t="shared" si="230"/>
        <v>4545.2316</v>
      </c>
      <c r="AB699" s="551"/>
      <c r="AC699" s="648" t="s">
        <v>2790</v>
      </c>
      <c r="AD699" s="633" t="s">
        <v>184</v>
      </c>
      <c r="AE699" s="246" t="s">
        <v>82</v>
      </c>
      <c r="AF699" s="246"/>
      <c r="AG699" s="246"/>
      <c r="AH699" s="246">
        <v>1</v>
      </c>
      <c r="AI699" s="246">
        <v>1092</v>
      </c>
      <c r="AJ699" s="246">
        <f t="shared" si="231"/>
        <v>0</v>
      </c>
      <c r="AK699" s="246"/>
      <c r="AL699" s="246" t="s">
        <v>2368</v>
      </c>
      <c r="AM699" s="551"/>
      <c r="AN699" s="551">
        <f t="shared" si="232"/>
        <v>1092</v>
      </c>
      <c r="AO699" s="1331"/>
      <c r="AP699" s="1331"/>
      <c r="AQ699" s="1331"/>
      <c r="AR699" s="551"/>
      <c r="AS699" s="551">
        <f>I699</f>
        <v>1092</v>
      </c>
      <c r="AT699" s="551"/>
      <c r="AU699" s="551">
        <f>I699</f>
        <v>1092</v>
      </c>
      <c r="AV699" s="551"/>
      <c r="AW699" s="551">
        <f>I699</f>
        <v>1092</v>
      </c>
      <c r="AX699" s="651"/>
      <c r="AY699" s="551"/>
      <c r="AZ699" s="551"/>
      <c r="BA699" s="551"/>
      <c r="BB699" s="551"/>
      <c r="BC699" s="551"/>
      <c r="BD699" s="551"/>
      <c r="BE699" s="551"/>
      <c r="BF699" s="551"/>
      <c r="BG699" s="551"/>
      <c r="BH699" s="551"/>
      <c r="BI699" s="551"/>
      <c r="BJ699" s="551"/>
      <c r="BK699" s="551"/>
      <c r="BL699" s="551"/>
      <c r="BM699" s="551"/>
      <c r="BN699" s="551"/>
      <c r="BO699" s="551"/>
      <c r="BP699" s="551"/>
      <c r="BQ699" s="551"/>
      <c r="BR699" s="551"/>
      <c r="BS699" s="551"/>
      <c r="BT699" s="551"/>
      <c r="BU699" s="551"/>
      <c r="BV699" s="551"/>
      <c r="BW699" s="551"/>
      <c r="BX699" s="551"/>
      <c r="BY699" s="551"/>
      <c r="BZ699" s="551"/>
      <c r="CA699" s="551"/>
      <c r="CB699" s="551"/>
      <c r="CC699" s="551"/>
      <c r="CD699" s="551"/>
      <c r="CE699" s="551"/>
      <c r="CF699" s="551"/>
      <c r="CG699" s="551"/>
      <c r="CH699" s="650"/>
      <c r="CI699" s="650"/>
      <c r="CJ699" s="650"/>
      <c r="CK699" s="650"/>
      <c r="CL699" s="650"/>
      <c r="CM699" s="551"/>
      <c r="CN699" s="551"/>
      <c r="CO699" s="551"/>
      <c r="CP699" s="650"/>
      <c r="CQ699" s="650"/>
      <c r="CR699" s="650"/>
      <c r="CS699" s="650"/>
      <c r="CT699" s="650"/>
      <c r="CU699" s="650"/>
    </row>
    <row r="700" s="1265" customFormat="1" ht="31" customHeight="1" spans="1:99">
      <c r="A700" s="641">
        <v>45961</v>
      </c>
      <c r="B700" s="642" t="s">
        <v>1800</v>
      </c>
      <c r="C700" s="246" t="s">
        <v>744</v>
      </c>
      <c r="D700" s="551">
        <v>4500178919</v>
      </c>
      <c r="E700" s="246">
        <v>5000001988</v>
      </c>
      <c r="F700" s="551" t="s">
        <v>2791</v>
      </c>
      <c r="G700" s="659" t="s">
        <v>518</v>
      </c>
      <c r="H700" s="246" t="s">
        <v>477</v>
      </c>
      <c r="I700" s="246">
        <v>1800</v>
      </c>
      <c r="J700" s="246">
        <v>0</v>
      </c>
      <c r="K700" s="246">
        <v>6</v>
      </c>
      <c r="L700" s="644">
        <f t="shared" si="215"/>
        <v>300</v>
      </c>
      <c r="M700" s="645">
        <v>46037</v>
      </c>
      <c r="N700" s="645">
        <v>46034</v>
      </c>
      <c r="O700" s="643"/>
      <c r="P700" s="824" t="s">
        <v>113</v>
      </c>
      <c r="Q700" s="646"/>
      <c r="R700" s="646">
        <v>45960</v>
      </c>
      <c r="S700" s="829" t="s">
        <v>104</v>
      </c>
      <c r="T700" s="646" t="s">
        <v>2239</v>
      </c>
      <c r="U700" s="646"/>
      <c r="V700" s="642"/>
      <c r="W700" s="642"/>
      <c r="X700" s="642" t="s">
        <v>2240</v>
      </c>
      <c r="Y700" s="647" t="s">
        <v>1805</v>
      </c>
      <c r="Z700" s="657">
        <v>6.3409</v>
      </c>
      <c r="AA700" s="647">
        <f t="shared" si="230"/>
        <v>11413.62</v>
      </c>
      <c r="AB700" s="551"/>
      <c r="AC700" s="698" t="s">
        <v>2422</v>
      </c>
      <c r="AD700" s="633" t="s">
        <v>2241</v>
      </c>
      <c r="AE700" s="246" t="s">
        <v>82</v>
      </c>
      <c r="AF700" s="246"/>
      <c r="AG700" s="246"/>
      <c r="AH700" s="246">
        <v>1</v>
      </c>
      <c r="AI700" s="246">
        <v>1800</v>
      </c>
      <c r="AJ700" s="246">
        <f t="shared" si="231"/>
        <v>0</v>
      </c>
      <c r="AK700" s="246"/>
      <c r="AL700" s="246"/>
      <c r="AM700" s="551"/>
      <c r="AN700" s="551">
        <f t="shared" si="232"/>
        <v>1800</v>
      </c>
      <c r="AO700" s="1331"/>
      <c r="AP700" s="1331"/>
      <c r="AQ700" s="1331"/>
      <c r="AR700" s="551">
        <f>I700</f>
        <v>1800</v>
      </c>
      <c r="AS700" s="551"/>
      <c r="AT700" s="551"/>
      <c r="AU700" s="551"/>
      <c r="AV700" s="551">
        <f>I700</f>
        <v>1800</v>
      </c>
      <c r="AW700" s="551"/>
      <c r="AX700" s="651">
        <f>I700</f>
        <v>1800</v>
      </c>
      <c r="AY700" s="551"/>
      <c r="AZ700" s="551"/>
      <c r="BA700" s="551"/>
      <c r="BB700" s="551"/>
      <c r="BC700" s="551"/>
      <c r="BD700" s="551"/>
      <c r="BE700" s="551"/>
      <c r="BF700" s="551"/>
      <c r="BG700" s="551"/>
      <c r="BH700" s="551"/>
      <c r="BI700" s="551"/>
      <c r="BJ700" s="551"/>
      <c r="BK700" s="551"/>
      <c r="BL700" s="551"/>
      <c r="BM700" s="551"/>
      <c r="BN700" s="551">
        <f>I700</f>
        <v>1800</v>
      </c>
      <c r="BO700" s="551"/>
      <c r="BP700" s="551"/>
      <c r="BQ700" s="551"/>
      <c r="BR700" s="551"/>
      <c r="BS700" s="551"/>
      <c r="BT700" s="551"/>
      <c r="BU700" s="551"/>
      <c r="BV700" s="551"/>
      <c r="BW700" s="551"/>
      <c r="BX700" s="551"/>
      <c r="BY700" s="551"/>
      <c r="BZ700" s="551"/>
      <c r="CA700" s="551"/>
      <c r="CB700" s="551"/>
      <c r="CC700" s="551"/>
      <c r="CD700" s="551"/>
      <c r="CE700" s="551"/>
      <c r="CF700" s="551"/>
      <c r="CG700" s="551"/>
      <c r="CH700" s="650"/>
      <c r="CI700" s="650"/>
      <c r="CJ700" s="650"/>
      <c r="CK700" s="650"/>
      <c r="CL700" s="650"/>
      <c r="CM700" s="551"/>
      <c r="CN700" s="551"/>
      <c r="CO700" s="551"/>
      <c r="CP700" s="650"/>
      <c r="CQ700" s="650"/>
      <c r="CR700" s="650"/>
      <c r="CS700" s="650"/>
      <c r="CT700" s="650"/>
      <c r="CU700" s="650"/>
    </row>
    <row r="701" s="1265" customFormat="1" ht="31" customHeight="1" spans="1:99">
      <c r="A701" s="641">
        <v>45965</v>
      </c>
      <c r="B701" s="642" t="s">
        <v>572</v>
      </c>
      <c r="C701" s="246" t="s">
        <v>573</v>
      </c>
      <c r="D701" s="551">
        <v>4500184304</v>
      </c>
      <c r="E701" s="246"/>
      <c r="F701" s="551" t="s">
        <v>2792</v>
      </c>
      <c r="G701" s="659" t="s">
        <v>111</v>
      </c>
      <c r="H701" s="246" t="s">
        <v>112</v>
      </c>
      <c r="I701" s="246">
        <v>608</v>
      </c>
      <c r="J701" s="246">
        <v>0</v>
      </c>
      <c r="K701" s="246">
        <v>16</v>
      </c>
      <c r="L701" s="644">
        <f t="shared" si="215"/>
        <v>38</v>
      </c>
      <c r="M701" s="645">
        <v>46037</v>
      </c>
      <c r="N701" s="645">
        <v>46034</v>
      </c>
      <c r="O701" s="643"/>
      <c r="P701" s="824" t="s">
        <v>113</v>
      </c>
      <c r="Q701" s="646"/>
      <c r="R701" s="646">
        <v>45965</v>
      </c>
      <c r="S701" s="646" t="s">
        <v>70</v>
      </c>
      <c r="T701" s="646" t="s">
        <v>457</v>
      </c>
      <c r="U701" s="646"/>
      <c r="V701" s="642"/>
      <c r="W701" s="642"/>
      <c r="X701" s="642" t="s">
        <v>2793</v>
      </c>
      <c r="Y701" s="647" t="s">
        <v>578</v>
      </c>
      <c r="Z701" s="657">
        <v>4.2542</v>
      </c>
      <c r="AA701" s="647">
        <f t="shared" si="230"/>
        <v>2586.5536</v>
      </c>
      <c r="AB701" s="551"/>
      <c r="AC701" s="648"/>
      <c r="AD701" s="633" t="s">
        <v>111</v>
      </c>
      <c r="AE701" s="246" t="s">
        <v>82</v>
      </c>
      <c r="AF701" s="246"/>
      <c r="AG701" s="246"/>
      <c r="AH701" s="246">
        <v>1</v>
      </c>
      <c r="AI701" s="246">
        <v>608</v>
      </c>
      <c r="AJ701" s="246">
        <f t="shared" si="231"/>
        <v>0</v>
      </c>
      <c r="AK701" s="246"/>
      <c r="AL701" s="246" t="s">
        <v>2368</v>
      </c>
      <c r="AM701" s="551"/>
      <c r="AN701" s="551">
        <f t="shared" si="232"/>
        <v>608</v>
      </c>
      <c r="AO701" s="1331"/>
      <c r="AP701" s="1331"/>
      <c r="AQ701" s="1331"/>
      <c r="AR701" s="551">
        <f>I701</f>
        <v>608</v>
      </c>
      <c r="AS701" s="551"/>
      <c r="AT701" s="551"/>
      <c r="AU701" s="551">
        <f>I701</f>
        <v>608</v>
      </c>
      <c r="AV701" s="551"/>
      <c r="AW701" s="551">
        <f>I701</f>
        <v>608</v>
      </c>
      <c r="AX701" s="651"/>
      <c r="AY701" s="551"/>
      <c r="AZ701" s="551"/>
      <c r="BA701" s="551"/>
      <c r="BB701" s="551"/>
      <c r="BC701" s="551"/>
      <c r="BD701" s="551"/>
      <c r="BE701" s="551"/>
      <c r="BF701" s="551"/>
      <c r="BG701" s="551"/>
      <c r="BH701" s="825">
        <f>I701/4</f>
        <v>152</v>
      </c>
      <c r="BI701" s="551"/>
      <c r="BJ701" s="551"/>
      <c r="BK701" s="551"/>
      <c r="BL701" s="551"/>
      <c r="BM701" s="551"/>
      <c r="BN701" s="551"/>
      <c r="BO701" s="551"/>
      <c r="BP701" s="551"/>
      <c r="BQ701" s="551"/>
      <c r="BR701" s="551"/>
      <c r="BS701" s="551"/>
      <c r="BT701" s="551"/>
      <c r="BU701" s="551"/>
      <c r="BV701" s="551"/>
      <c r="BW701" s="551"/>
      <c r="BX701" s="551"/>
      <c r="BY701" s="551"/>
      <c r="BZ701" s="551"/>
      <c r="CA701" s="551"/>
      <c r="CB701" s="551"/>
      <c r="CC701" s="551"/>
      <c r="CD701" s="551"/>
      <c r="CE701" s="551"/>
      <c r="CF701" s="551"/>
      <c r="CG701" s="551"/>
      <c r="CH701" s="650"/>
      <c r="CI701" s="650"/>
      <c r="CJ701" s="650"/>
      <c r="CK701" s="650"/>
      <c r="CL701" s="650"/>
      <c r="CM701" s="551"/>
      <c r="CN701" s="551"/>
      <c r="CO701" s="551"/>
      <c r="CP701" s="650"/>
      <c r="CQ701" s="650"/>
      <c r="CR701" s="650"/>
      <c r="CS701" s="650"/>
      <c r="CT701" s="650"/>
      <c r="CU701" s="650"/>
    </row>
    <row r="702" s="1265" customFormat="1" ht="31" customHeight="1" spans="1:99">
      <c r="A702" s="641">
        <v>45974</v>
      </c>
      <c r="B702" s="642" t="s">
        <v>1800</v>
      </c>
      <c r="C702" s="246" t="s">
        <v>744</v>
      </c>
      <c r="D702" s="551">
        <v>4500178919</v>
      </c>
      <c r="E702" s="246">
        <v>5000001988</v>
      </c>
      <c r="F702" s="551" t="s">
        <v>2794</v>
      </c>
      <c r="G702" s="659" t="s">
        <v>518</v>
      </c>
      <c r="H702" s="246" t="s">
        <v>477</v>
      </c>
      <c r="I702" s="246">
        <v>1200</v>
      </c>
      <c r="J702" s="246">
        <v>0</v>
      </c>
      <c r="K702" s="246">
        <v>6</v>
      </c>
      <c r="L702" s="644">
        <f t="shared" si="215"/>
        <v>200</v>
      </c>
      <c r="M702" s="645">
        <v>46037</v>
      </c>
      <c r="N702" s="645">
        <v>46034</v>
      </c>
      <c r="O702" s="643"/>
      <c r="P702" s="824" t="s">
        <v>113</v>
      </c>
      <c r="Q702" s="646"/>
      <c r="R702" s="646">
        <v>45960</v>
      </c>
      <c r="S702" s="829" t="s">
        <v>104</v>
      </c>
      <c r="T702" s="646" t="s">
        <v>2239</v>
      </c>
      <c r="U702" s="646"/>
      <c r="V702" s="642"/>
      <c r="W702" s="642"/>
      <c r="X702" s="642" t="s">
        <v>2795</v>
      </c>
      <c r="Y702" s="647" t="s">
        <v>1805</v>
      </c>
      <c r="Z702" s="657">
        <v>6.3409</v>
      </c>
      <c r="AA702" s="647">
        <f t="shared" si="230"/>
        <v>7609.08</v>
      </c>
      <c r="AB702" s="551"/>
      <c r="AC702" s="698" t="s">
        <v>2422</v>
      </c>
      <c r="AD702" s="633" t="s">
        <v>2241</v>
      </c>
      <c r="AE702" s="246" t="s">
        <v>82</v>
      </c>
      <c r="AF702" s="246"/>
      <c r="AG702" s="246"/>
      <c r="AH702" s="246">
        <v>1</v>
      </c>
      <c r="AI702" s="246">
        <v>1200</v>
      </c>
      <c r="AJ702" s="246">
        <f t="shared" si="231"/>
        <v>0</v>
      </c>
      <c r="AK702" s="246"/>
      <c r="AL702" s="246"/>
      <c r="AM702" s="551"/>
      <c r="AN702" s="551">
        <f t="shared" si="232"/>
        <v>1200</v>
      </c>
      <c r="AO702" s="1331"/>
      <c r="AP702" s="1331"/>
      <c r="AQ702" s="1331"/>
      <c r="AR702" s="551">
        <f>I702</f>
        <v>1200</v>
      </c>
      <c r="AS702" s="551"/>
      <c r="AT702" s="551"/>
      <c r="AU702" s="551"/>
      <c r="AV702" s="551">
        <f>I702</f>
        <v>1200</v>
      </c>
      <c r="AW702" s="551"/>
      <c r="AX702" s="651">
        <f>I702</f>
        <v>1200</v>
      </c>
      <c r="AY702" s="551"/>
      <c r="AZ702" s="551"/>
      <c r="BA702" s="551"/>
      <c r="BB702" s="551"/>
      <c r="BC702" s="551"/>
      <c r="BD702" s="551"/>
      <c r="BE702" s="551"/>
      <c r="BF702" s="551"/>
      <c r="BG702" s="551"/>
      <c r="BH702" s="551"/>
      <c r="BI702" s="551"/>
      <c r="BJ702" s="551"/>
      <c r="BK702" s="551"/>
      <c r="BL702" s="551"/>
      <c r="BM702" s="551"/>
      <c r="BN702" s="551">
        <f>I702</f>
        <v>1200</v>
      </c>
      <c r="BO702" s="551"/>
      <c r="BP702" s="551"/>
      <c r="BQ702" s="551"/>
      <c r="BR702" s="551"/>
      <c r="BS702" s="551"/>
      <c r="BT702" s="551"/>
      <c r="BU702" s="551"/>
      <c r="BV702" s="551"/>
      <c r="BW702" s="551"/>
      <c r="BX702" s="551"/>
      <c r="BY702" s="551"/>
      <c r="BZ702" s="551"/>
      <c r="CA702" s="551"/>
      <c r="CB702" s="551"/>
      <c r="CC702" s="551"/>
      <c r="CD702" s="551"/>
      <c r="CE702" s="551"/>
      <c r="CF702" s="551"/>
      <c r="CG702" s="551"/>
      <c r="CH702" s="650"/>
      <c r="CI702" s="650"/>
      <c r="CJ702" s="650"/>
      <c r="CK702" s="650"/>
      <c r="CL702" s="650"/>
      <c r="CM702" s="551"/>
      <c r="CN702" s="551"/>
      <c r="CO702" s="551"/>
      <c r="CP702" s="650"/>
      <c r="CQ702" s="650"/>
      <c r="CR702" s="650"/>
      <c r="CS702" s="650"/>
      <c r="CT702" s="650"/>
      <c r="CU702" s="650"/>
    </row>
    <row r="703" s="1265" customFormat="1" ht="31" customHeight="1" spans="1:99">
      <c r="A703" s="641">
        <v>45980</v>
      </c>
      <c r="B703" s="642" t="s">
        <v>1245</v>
      </c>
      <c r="C703" s="246" t="s">
        <v>524</v>
      </c>
      <c r="D703" s="551">
        <v>4500186234</v>
      </c>
      <c r="E703" s="246">
        <v>17242705</v>
      </c>
      <c r="F703" s="551" t="s">
        <v>2796</v>
      </c>
      <c r="G703" s="659" t="s">
        <v>68</v>
      </c>
      <c r="H703" s="633" t="s">
        <v>69</v>
      </c>
      <c r="I703" s="246">
        <v>960</v>
      </c>
      <c r="J703" s="246">
        <v>0</v>
      </c>
      <c r="K703" s="246">
        <v>12</v>
      </c>
      <c r="L703" s="644">
        <f t="shared" si="215"/>
        <v>80</v>
      </c>
      <c r="M703" s="645">
        <v>46037</v>
      </c>
      <c r="N703" s="645">
        <v>46034</v>
      </c>
      <c r="O703" s="643"/>
      <c r="P703" s="824" t="s">
        <v>113</v>
      </c>
      <c r="Q703" s="646"/>
      <c r="R703" s="646">
        <v>46001</v>
      </c>
      <c r="S703" s="646" t="s">
        <v>70</v>
      </c>
      <c r="T703" s="646" t="s">
        <v>2797</v>
      </c>
      <c r="U703" s="646"/>
      <c r="V703" s="642"/>
      <c r="W703" s="642"/>
      <c r="X703" s="628" t="s">
        <v>2798</v>
      </c>
      <c r="Y703" s="647" t="s">
        <v>340</v>
      </c>
      <c r="Z703" s="657">
        <v>4.1623</v>
      </c>
      <c r="AA703" s="647">
        <f t="shared" si="230"/>
        <v>3995.808</v>
      </c>
      <c r="AB703" s="551"/>
      <c r="AC703" s="648"/>
      <c r="AD703" s="633" t="s">
        <v>184</v>
      </c>
      <c r="AE703" s="246" t="s">
        <v>82</v>
      </c>
      <c r="AF703" s="246"/>
      <c r="AG703" s="246"/>
      <c r="AH703" s="246">
        <v>1</v>
      </c>
      <c r="AI703" s="246">
        <v>960</v>
      </c>
      <c r="AJ703" s="246">
        <f t="shared" si="231"/>
        <v>0</v>
      </c>
      <c r="AK703" s="246"/>
      <c r="AL703" s="246"/>
      <c r="AM703" s="551"/>
      <c r="AN703" s="551">
        <f t="shared" si="232"/>
        <v>960</v>
      </c>
      <c r="AO703" s="1331"/>
      <c r="AP703" s="1331"/>
      <c r="AQ703" s="1331"/>
      <c r="AR703" s="551"/>
      <c r="AS703" s="551">
        <f>I703</f>
        <v>960</v>
      </c>
      <c r="AT703" s="551"/>
      <c r="AU703" s="551">
        <f>I703</f>
        <v>960</v>
      </c>
      <c r="AV703" s="551"/>
      <c r="AW703" s="551">
        <f t="shared" ref="AW703:AW710" si="233">I703</f>
        <v>960</v>
      </c>
      <c r="AX703" s="651"/>
      <c r="AY703" s="551"/>
      <c r="AZ703" s="551"/>
      <c r="BA703" s="551"/>
      <c r="BB703" s="551"/>
      <c r="BC703" s="551"/>
      <c r="BD703" s="551"/>
      <c r="BE703" s="551"/>
      <c r="BF703" s="551"/>
      <c r="BG703" s="551"/>
      <c r="BH703" s="551"/>
      <c r="BI703" s="551"/>
      <c r="BJ703" s="551"/>
      <c r="BK703" s="551"/>
      <c r="BL703" s="551"/>
      <c r="BM703" s="551"/>
      <c r="BN703" s="551"/>
      <c r="BO703" s="551"/>
      <c r="BP703" s="551"/>
      <c r="BQ703" s="551"/>
      <c r="BR703" s="551"/>
      <c r="BS703" s="551"/>
      <c r="BT703" s="551"/>
      <c r="BU703" s="551"/>
      <c r="BV703" s="551"/>
      <c r="BW703" s="551"/>
      <c r="BX703" s="551"/>
      <c r="BY703" s="551"/>
      <c r="BZ703" s="551"/>
      <c r="CA703" s="551"/>
      <c r="CB703" s="551"/>
      <c r="CC703" s="551"/>
      <c r="CD703" s="551"/>
      <c r="CE703" s="551"/>
      <c r="CF703" s="551"/>
      <c r="CG703" s="551"/>
      <c r="CH703" s="650"/>
      <c r="CI703" s="650"/>
      <c r="CJ703" s="650"/>
      <c r="CK703" s="650"/>
      <c r="CL703" s="650"/>
      <c r="CM703" s="551"/>
      <c r="CN703" s="551"/>
      <c r="CO703" s="551"/>
      <c r="CP703" s="650"/>
      <c r="CQ703" s="650"/>
      <c r="CR703" s="650"/>
      <c r="CS703" s="650"/>
      <c r="CT703" s="650"/>
      <c r="CU703" s="650"/>
    </row>
    <row r="704" s="1265" customFormat="1" ht="31" customHeight="1" spans="1:99">
      <c r="A704" s="641">
        <v>45971</v>
      </c>
      <c r="B704" s="642" t="s">
        <v>2799</v>
      </c>
      <c r="C704" s="246" t="s">
        <v>2800</v>
      </c>
      <c r="D704" s="551">
        <v>4500185120</v>
      </c>
      <c r="E704" s="246"/>
      <c r="F704" s="551" t="s">
        <v>2801</v>
      </c>
      <c r="G704" s="659" t="s">
        <v>68</v>
      </c>
      <c r="H704" s="633" t="s">
        <v>69</v>
      </c>
      <c r="I704" s="246">
        <v>720</v>
      </c>
      <c r="J704" s="246">
        <v>0</v>
      </c>
      <c r="K704" s="246">
        <v>12</v>
      </c>
      <c r="L704" s="644">
        <f t="shared" si="215"/>
        <v>60</v>
      </c>
      <c r="M704" s="645">
        <v>46037</v>
      </c>
      <c r="N704" s="645">
        <v>46034</v>
      </c>
      <c r="O704" s="643"/>
      <c r="P704" s="824" t="s">
        <v>113</v>
      </c>
      <c r="Q704" s="646"/>
      <c r="R704" s="646">
        <v>45982</v>
      </c>
      <c r="S704" s="646" t="s">
        <v>70</v>
      </c>
      <c r="T704" s="646" t="s">
        <v>1435</v>
      </c>
      <c r="U704" s="646"/>
      <c r="V704" s="642"/>
      <c r="W704" s="642"/>
      <c r="X704" s="642" t="s">
        <v>2802</v>
      </c>
      <c r="Y704" s="647" t="s">
        <v>529</v>
      </c>
      <c r="Z704" s="657">
        <v>4.1623</v>
      </c>
      <c r="AA704" s="647">
        <f t="shared" si="230"/>
        <v>2996.856</v>
      </c>
      <c r="AB704" s="551"/>
      <c r="AC704" s="648"/>
      <c r="AD704" s="633" t="s">
        <v>184</v>
      </c>
      <c r="AE704" s="246" t="s">
        <v>82</v>
      </c>
      <c r="AF704" s="246"/>
      <c r="AG704" s="246"/>
      <c r="AH704" s="246">
        <v>1</v>
      </c>
      <c r="AI704" s="246">
        <v>720</v>
      </c>
      <c r="AJ704" s="246">
        <f t="shared" si="231"/>
        <v>0</v>
      </c>
      <c r="AK704" s="246"/>
      <c r="AL704" s="246" t="s">
        <v>2368</v>
      </c>
      <c r="AM704" s="551"/>
      <c r="AN704" s="551">
        <f t="shared" si="232"/>
        <v>720</v>
      </c>
      <c r="AO704" s="1331"/>
      <c r="AP704" s="1331"/>
      <c r="AQ704" s="1331"/>
      <c r="AR704" s="551"/>
      <c r="AS704" s="551">
        <f>I704</f>
        <v>720</v>
      </c>
      <c r="AT704" s="551"/>
      <c r="AU704" s="551">
        <f>I704</f>
        <v>720</v>
      </c>
      <c r="AV704" s="551"/>
      <c r="AW704" s="551">
        <f t="shared" si="233"/>
        <v>720</v>
      </c>
      <c r="AX704" s="651"/>
      <c r="AY704" s="551"/>
      <c r="AZ704" s="551"/>
      <c r="BA704" s="551"/>
      <c r="BB704" s="551"/>
      <c r="BC704" s="551"/>
      <c r="BD704" s="551"/>
      <c r="BE704" s="551"/>
      <c r="BF704" s="551"/>
      <c r="BG704" s="551"/>
      <c r="BH704" s="551"/>
      <c r="BI704" s="551"/>
      <c r="BJ704" s="551"/>
      <c r="BK704" s="551"/>
      <c r="BL704" s="551"/>
      <c r="BM704" s="551"/>
      <c r="BN704" s="551"/>
      <c r="BO704" s="551"/>
      <c r="BP704" s="551"/>
      <c r="BQ704" s="551"/>
      <c r="BR704" s="551"/>
      <c r="BS704" s="551"/>
      <c r="BT704" s="551"/>
      <c r="BU704" s="551"/>
      <c r="BV704" s="551"/>
      <c r="BW704" s="551"/>
      <c r="BX704" s="551"/>
      <c r="BY704" s="551"/>
      <c r="BZ704" s="551"/>
      <c r="CA704" s="551"/>
      <c r="CB704" s="551"/>
      <c r="CC704" s="551"/>
      <c r="CD704" s="551"/>
      <c r="CE704" s="551"/>
      <c r="CF704" s="551"/>
      <c r="CG704" s="551"/>
      <c r="CH704" s="650"/>
      <c r="CI704" s="650"/>
      <c r="CJ704" s="650"/>
      <c r="CK704" s="650"/>
      <c r="CL704" s="650"/>
      <c r="CM704" s="551"/>
      <c r="CN704" s="551"/>
      <c r="CO704" s="551"/>
      <c r="CP704" s="650"/>
      <c r="CQ704" s="650"/>
      <c r="CR704" s="650"/>
      <c r="CS704" s="650"/>
      <c r="CT704" s="650"/>
      <c r="CU704" s="650"/>
    </row>
    <row r="705" s="1265" customFormat="1" ht="31" customHeight="1" spans="1:99">
      <c r="A705" s="641">
        <v>45999</v>
      </c>
      <c r="B705" s="642" t="s">
        <v>325</v>
      </c>
      <c r="C705" s="246" t="s">
        <v>98</v>
      </c>
      <c r="D705" s="551">
        <v>4500188344</v>
      </c>
      <c r="E705" s="246" t="s">
        <v>2803</v>
      </c>
      <c r="F705" s="551" t="s">
        <v>2804</v>
      </c>
      <c r="G705" s="659" t="s">
        <v>249</v>
      </c>
      <c r="H705" s="246" t="s">
        <v>250</v>
      </c>
      <c r="I705" s="246">
        <v>15000</v>
      </c>
      <c r="J705" s="246">
        <v>0</v>
      </c>
      <c r="K705" s="246">
        <v>4</v>
      </c>
      <c r="L705" s="644">
        <f t="shared" si="215"/>
        <v>3750</v>
      </c>
      <c r="M705" s="645">
        <v>46037</v>
      </c>
      <c r="N705" s="645">
        <v>46034</v>
      </c>
      <c r="O705" s="643"/>
      <c r="P705" s="824" t="s">
        <v>113</v>
      </c>
      <c r="Q705" s="646"/>
      <c r="R705" s="646">
        <v>45999</v>
      </c>
      <c r="S705" s="646" t="s">
        <v>104</v>
      </c>
      <c r="T705" s="646" t="s">
        <v>2272</v>
      </c>
      <c r="U705" s="646"/>
      <c r="V705" s="642"/>
      <c r="W705" s="642"/>
      <c r="X705" s="642" t="s">
        <v>2770</v>
      </c>
      <c r="Y705" s="647" t="s">
        <v>252</v>
      </c>
      <c r="Z705" s="657">
        <v>2.7832</v>
      </c>
      <c r="AA705" s="647">
        <f t="shared" si="230"/>
        <v>41748</v>
      </c>
      <c r="AB705" s="551"/>
      <c r="AC705" s="658" t="s">
        <v>2805</v>
      </c>
      <c r="AD705" s="633" t="s">
        <v>249</v>
      </c>
      <c r="AE705" s="246" t="s">
        <v>82</v>
      </c>
      <c r="AF705" s="246"/>
      <c r="AG705" s="246"/>
      <c r="AH705" s="246">
        <v>1</v>
      </c>
      <c r="AI705" s="246">
        <f>10080+4320+600</f>
        <v>15000</v>
      </c>
      <c r="AJ705" s="246">
        <f t="shared" si="231"/>
        <v>0</v>
      </c>
      <c r="AK705" s="246"/>
      <c r="AL705" s="246"/>
      <c r="AM705" s="551"/>
      <c r="AN705" s="551"/>
      <c r="AO705" s="1331"/>
      <c r="AP705" s="1331">
        <f>I705</f>
        <v>15000</v>
      </c>
      <c r="AQ705" s="1331"/>
      <c r="AR705" s="551"/>
      <c r="AS705" s="551"/>
      <c r="AT705" s="551"/>
      <c r="AU705" s="551"/>
      <c r="AV705" s="551"/>
      <c r="AW705" s="551">
        <f t="shared" si="233"/>
        <v>15000</v>
      </c>
      <c r="AX705" s="651"/>
      <c r="AY705" s="551"/>
      <c r="AZ705" s="551"/>
      <c r="BA705" s="551"/>
      <c r="BB705" s="551"/>
      <c r="BC705" s="551"/>
      <c r="BD705" s="551"/>
      <c r="BE705" s="551"/>
      <c r="BF705" s="551">
        <f>I705</f>
        <v>15000</v>
      </c>
      <c r="BG705" s="551">
        <f>I705</f>
        <v>15000</v>
      </c>
      <c r="BH705" s="825">
        <f>I705/4</f>
        <v>3750</v>
      </c>
      <c r="BI705" s="551"/>
      <c r="BJ705" s="551"/>
      <c r="BK705" s="551"/>
      <c r="BL705" s="551"/>
      <c r="BM705" s="551"/>
      <c r="BN705" s="551"/>
      <c r="BO705" s="551"/>
      <c r="BP705" s="551"/>
      <c r="BQ705" s="551"/>
      <c r="BR705" s="551"/>
      <c r="BS705" s="551"/>
      <c r="BT705" s="551"/>
      <c r="BU705" s="551"/>
      <c r="BV705" s="551"/>
      <c r="BW705" s="551"/>
      <c r="BX705" s="551"/>
      <c r="BY705" s="551"/>
      <c r="BZ705" s="551"/>
      <c r="CA705" s="551"/>
      <c r="CB705" s="551"/>
      <c r="CC705" s="551"/>
      <c r="CD705" s="551"/>
      <c r="CE705" s="551"/>
      <c r="CF705" s="551"/>
      <c r="CG705" s="551"/>
      <c r="CH705" s="650"/>
      <c r="CI705" s="650"/>
      <c r="CJ705" s="650"/>
      <c r="CK705" s="650"/>
      <c r="CL705" s="650"/>
      <c r="CM705" s="551"/>
      <c r="CN705" s="551"/>
      <c r="CO705" s="551"/>
      <c r="CP705" s="650"/>
      <c r="CQ705" s="650"/>
      <c r="CR705" s="650"/>
      <c r="CS705" s="650"/>
      <c r="CT705" s="650"/>
      <c r="CU705" s="650"/>
    </row>
    <row r="706" s="1265" customFormat="1" ht="31" customHeight="1" spans="1:99">
      <c r="A706" s="641">
        <v>45979</v>
      </c>
      <c r="B706" s="642" t="s">
        <v>398</v>
      </c>
      <c r="C706" s="246" t="s">
        <v>399</v>
      </c>
      <c r="D706" s="551">
        <v>4500186008</v>
      </c>
      <c r="E706" s="246"/>
      <c r="F706" s="551" t="s">
        <v>2806</v>
      </c>
      <c r="G706" s="659" t="s">
        <v>68</v>
      </c>
      <c r="H706" s="633" t="s">
        <v>69</v>
      </c>
      <c r="I706" s="246">
        <v>960</v>
      </c>
      <c r="J706" s="246">
        <v>0</v>
      </c>
      <c r="K706" s="246">
        <v>12</v>
      </c>
      <c r="L706" s="644">
        <f t="shared" si="215"/>
        <v>80</v>
      </c>
      <c r="M706" s="645">
        <v>46038</v>
      </c>
      <c r="N706" s="645">
        <v>46034</v>
      </c>
      <c r="O706" s="643" t="s">
        <v>2807</v>
      </c>
      <c r="P706" s="824" t="s">
        <v>113</v>
      </c>
      <c r="Q706" s="646"/>
      <c r="R706" s="646">
        <v>45951</v>
      </c>
      <c r="S706" s="646" t="s">
        <v>70</v>
      </c>
      <c r="T706" s="646" t="s">
        <v>70</v>
      </c>
      <c r="U706" s="646"/>
      <c r="V706" s="642"/>
      <c r="W706" s="642"/>
      <c r="X706" s="642" t="s">
        <v>2808</v>
      </c>
      <c r="Y706" s="647" t="s">
        <v>402</v>
      </c>
      <c r="Z706" s="657">
        <v>4.1623</v>
      </c>
      <c r="AA706" s="647">
        <f t="shared" si="230"/>
        <v>3995.808</v>
      </c>
      <c r="AB706" s="551"/>
      <c r="AC706" s="648"/>
      <c r="AD706" s="633" t="s">
        <v>184</v>
      </c>
      <c r="AE706" s="246" t="s">
        <v>82</v>
      </c>
      <c r="AF706" s="246"/>
      <c r="AG706" s="246"/>
      <c r="AH706" s="246">
        <v>1</v>
      </c>
      <c r="AI706" s="246">
        <v>960</v>
      </c>
      <c r="AJ706" s="246">
        <f t="shared" si="231"/>
        <v>0</v>
      </c>
      <c r="AK706" s="246"/>
      <c r="AL706" s="246"/>
      <c r="AM706" s="551"/>
      <c r="AN706" s="551">
        <f>I706</f>
        <v>960</v>
      </c>
      <c r="AO706" s="1331"/>
      <c r="AP706" s="1331"/>
      <c r="AQ706" s="1331"/>
      <c r="AR706" s="551"/>
      <c r="AS706" s="551">
        <f>I706</f>
        <v>960</v>
      </c>
      <c r="AT706" s="551"/>
      <c r="AU706" s="551">
        <f>I706</f>
        <v>960</v>
      </c>
      <c r="AV706" s="551"/>
      <c r="AW706" s="551">
        <f t="shared" si="233"/>
        <v>960</v>
      </c>
      <c r="AX706" s="651"/>
      <c r="AY706" s="551"/>
      <c r="AZ706" s="551"/>
      <c r="BA706" s="551"/>
      <c r="BB706" s="551"/>
      <c r="BC706" s="551"/>
      <c r="BD706" s="551"/>
      <c r="BE706" s="551"/>
      <c r="BF706" s="551"/>
      <c r="BG706" s="551"/>
      <c r="BH706" s="551"/>
      <c r="BI706" s="551"/>
      <c r="BJ706" s="551"/>
      <c r="BK706" s="551"/>
      <c r="BL706" s="551"/>
      <c r="BM706" s="551"/>
      <c r="BN706" s="551"/>
      <c r="BO706" s="551"/>
      <c r="BP706" s="551"/>
      <c r="BQ706" s="551"/>
      <c r="BR706" s="551"/>
      <c r="BS706" s="551"/>
      <c r="BT706" s="551"/>
      <c r="BU706" s="551"/>
      <c r="BV706" s="551"/>
      <c r="BW706" s="551"/>
      <c r="BX706" s="551"/>
      <c r="BY706" s="551"/>
      <c r="BZ706" s="551"/>
      <c r="CA706" s="551"/>
      <c r="CB706" s="551"/>
      <c r="CC706" s="551"/>
      <c r="CD706" s="551"/>
      <c r="CE706" s="551"/>
      <c r="CF706" s="551"/>
      <c r="CG706" s="551"/>
      <c r="CH706" s="650"/>
      <c r="CI706" s="650"/>
      <c r="CJ706" s="650"/>
      <c r="CK706" s="650"/>
      <c r="CL706" s="650"/>
      <c r="CM706" s="551"/>
      <c r="CN706" s="551"/>
      <c r="CO706" s="551"/>
      <c r="CP706" s="650"/>
      <c r="CQ706" s="650"/>
      <c r="CR706" s="650"/>
      <c r="CS706" s="650"/>
      <c r="CT706" s="650"/>
      <c r="CU706" s="650"/>
    </row>
    <row r="707" s="1265" customFormat="1" ht="31" customHeight="1" spans="1:99">
      <c r="A707" s="641">
        <v>45979</v>
      </c>
      <c r="B707" s="642" t="s">
        <v>398</v>
      </c>
      <c r="C707" s="246" t="s">
        <v>399</v>
      </c>
      <c r="D707" s="551">
        <v>4500186008</v>
      </c>
      <c r="E707" s="246"/>
      <c r="F707" s="551" t="s">
        <v>2809</v>
      </c>
      <c r="G707" s="659" t="s">
        <v>518</v>
      </c>
      <c r="H707" s="246" t="s">
        <v>477</v>
      </c>
      <c r="I707" s="246">
        <v>360</v>
      </c>
      <c r="J707" s="246">
        <v>0</v>
      </c>
      <c r="K707" s="246">
        <v>6</v>
      </c>
      <c r="L707" s="644">
        <f t="shared" si="215"/>
        <v>60</v>
      </c>
      <c r="M707" s="645">
        <v>46038</v>
      </c>
      <c r="N707" s="645">
        <v>46034</v>
      </c>
      <c r="O707" s="643"/>
      <c r="P707" s="824" t="s">
        <v>113</v>
      </c>
      <c r="Q707" s="646"/>
      <c r="R707" s="646">
        <v>45982</v>
      </c>
      <c r="S707" s="646" t="s">
        <v>70</v>
      </c>
      <c r="T707" s="646" t="s">
        <v>70</v>
      </c>
      <c r="U707" s="646"/>
      <c r="V707" s="642"/>
      <c r="W707" s="642"/>
      <c r="X707" s="642" t="s">
        <v>2810</v>
      </c>
      <c r="Y707" s="647" t="s">
        <v>402</v>
      </c>
      <c r="Z707" s="657">
        <v>7.1628</v>
      </c>
      <c r="AA707" s="647">
        <f t="shared" si="230"/>
        <v>2578.608</v>
      </c>
      <c r="AB707" s="551"/>
      <c r="AC707" s="648"/>
      <c r="AD707" s="633" t="s">
        <v>480</v>
      </c>
      <c r="AE707" s="246" t="s">
        <v>82</v>
      </c>
      <c r="AF707" s="246"/>
      <c r="AG707" s="246"/>
      <c r="AH707" s="246">
        <v>1</v>
      </c>
      <c r="AI707" s="246">
        <v>360</v>
      </c>
      <c r="AJ707" s="246">
        <f t="shared" si="231"/>
        <v>0</v>
      </c>
      <c r="AK707" s="246"/>
      <c r="AL707" s="246"/>
      <c r="AM707" s="551"/>
      <c r="AN707" s="551">
        <f>I707</f>
        <v>360</v>
      </c>
      <c r="AO707" s="1331"/>
      <c r="AP707" s="1331"/>
      <c r="AQ707" s="1331"/>
      <c r="AR707" s="551"/>
      <c r="AS707" s="551">
        <f>I707</f>
        <v>360</v>
      </c>
      <c r="AT707" s="551"/>
      <c r="AU707" s="551">
        <f>I707</f>
        <v>360</v>
      </c>
      <c r="AV707" s="551"/>
      <c r="AW707" s="551">
        <f t="shared" si="233"/>
        <v>360</v>
      </c>
      <c r="AX707" s="651"/>
      <c r="AY707" s="551"/>
      <c r="AZ707" s="551"/>
      <c r="BA707" s="551"/>
      <c r="BB707" s="551"/>
      <c r="BC707" s="551"/>
      <c r="BD707" s="551"/>
      <c r="BE707" s="551"/>
      <c r="BF707" s="551"/>
      <c r="BG707" s="551"/>
      <c r="BH707" s="551"/>
      <c r="BI707" s="551"/>
      <c r="BJ707" s="551"/>
      <c r="BK707" s="551"/>
      <c r="BL707" s="551"/>
      <c r="BM707" s="551"/>
      <c r="BN707" s="551">
        <f>I707</f>
        <v>360</v>
      </c>
      <c r="BO707" s="551"/>
      <c r="BP707" s="551"/>
      <c r="BQ707" s="551"/>
      <c r="BR707" s="551"/>
      <c r="BS707" s="551"/>
      <c r="BT707" s="551"/>
      <c r="BU707" s="551"/>
      <c r="BV707" s="551"/>
      <c r="BW707" s="551"/>
      <c r="BX707" s="551"/>
      <c r="BY707" s="551"/>
      <c r="BZ707" s="551"/>
      <c r="CA707" s="551"/>
      <c r="CB707" s="551"/>
      <c r="CC707" s="551"/>
      <c r="CD707" s="551"/>
      <c r="CE707" s="551"/>
      <c r="CF707" s="551"/>
      <c r="CG707" s="551"/>
      <c r="CH707" s="650"/>
      <c r="CI707" s="650"/>
      <c r="CJ707" s="650"/>
      <c r="CK707" s="650"/>
      <c r="CL707" s="650"/>
      <c r="CM707" s="551"/>
      <c r="CN707" s="551"/>
      <c r="CO707" s="551"/>
      <c r="CP707" s="650"/>
      <c r="CQ707" s="650"/>
      <c r="CR707" s="650"/>
      <c r="CS707" s="650"/>
      <c r="CT707" s="650"/>
      <c r="CU707" s="650"/>
    </row>
    <row r="708" s="1265" customFormat="1" ht="31" customHeight="1" spans="1:99">
      <c r="A708" s="641">
        <v>45985</v>
      </c>
      <c r="B708" s="642" t="s">
        <v>2811</v>
      </c>
      <c r="C708" s="246" t="s">
        <v>98</v>
      </c>
      <c r="D708" s="551">
        <v>4500186566</v>
      </c>
      <c r="E708" s="246">
        <v>70079710</v>
      </c>
      <c r="F708" s="551" t="s">
        <v>2812</v>
      </c>
      <c r="G708" s="659" t="s">
        <v>2736</v>
      </c>
      <c r="H708" s="246" t="s">
        <v>2737</v>
      </c>
      <c r="I708" s="246">
        <v>1200</v>
      </c>
      <c r="J708" s="246">
        <v>0</v>
      </c>
      <c r="K708" s="246">
        <v>8</v>
      </c>
      <c r="L708" s="644">
        <f t="shared" si="215"/>
        <v>150</v>
      </c>
      <c r="M708" s="645">
        <v>46038</v>
      </c>
      <c r="N708" s="645">
        <v>46034</v>
      </c>
      <c r="O708" s="643"/>
      <c r="P708" s="824" t="s">
        <v>113</v>
      </c>
      <c r="Q708" s="646"/>
      <c r="R708" s="646">
        <v>45985</v>
      </c>
      <c r="S708" s="646" t="s">
        <v>70</v>
      </c>
      <c r="T708" s="646" t="s">
        <v>2738</v>
      </c>
      <c r="U708" s="646"/>
      <c r="V708" s="642"/>
      <c r="W708" s="642"/>
      <c r="X708" s="628" t="s">
        <v>2813</v>
      </c>
      <c r="Y708" s="647" t="s">
        <v>2814</v>
      </c>
      <c r="Z708" s="657">
        <v>4.0996</v>
      </c>
      <c r="AA708" s="647">
        <f t="shared" si="230"/>
        <v>4919.52</v>
      </c>
      <c r="AB708" s="551"/>
      <c r="AC708" s="658" t="s">
        <v>2815</v>
      </c>
      <c r="AD708" s="633" t="s">
        <v>2741</v>
      </c>
      <c r="AE708" s="246" t="s">
        <v>82</v>
      </c>
      <c r="AF708" s="246"/>
      <c r="AG708" s="246"/>
      <c r="AH708" s="246">
        <v>1</v>
      </c>
      <c r="AI708" s="246">
        <v>1200</v>
      </c>
      <c r="AJ708" s="246">
        <f t="shared" si="231"/>
        <v>0</v>
      </c>
      <c r="AK708" s="246"/>
      <c r="AL708" s="246" t="s">
        <v>2368</v>
      </c>
      <c r="AM708" s="551"/>
      <c r="AN708" s="551">
        <f>I708</f>
        <v>1200</v>
      </c>
      <c r="AO708" s="1331"/>
      <c r="AP708" s="1331"/>
      <c r="AQ708" s="1331"/>
      <c r="AR708" s="551">
        <f>I708</f>
        <v>1200</v>
      </c>
      <c r="AS708" s="551"/>
      <c r="AT708" s="551"/>
      <c r="AU708" s="551">
        <f>I708</f>
        <v>1200</v>
      </c>
      <c r="AV708" s="551"/>
      <c r="AW708" s="551">
        <f t="shared" si="233"/>
        <v>1200</v>
      </c>
      <c r="AX708" s="651"/>
      <c r="AY708" s="551"/>
      <c r="AZ708" s="551"/>
      <c r="BA708" s="551"/>
      <c r="BB708" s="551"/>
      <c r="BC708" s="551"/>
      <c r="BD708" s="551"/>
      <c r="BE708" s="551"/>
      <c r="BF708" s="551"/>
      <c r="BG708" s="551"/>
      <c r="BH708" s="551"/>
      <c r="BI708" s="551"/>
      <c r="BJ708" s="551"/>
      <c r="BK708" s="551"/>
      <c r="BL708" s="551"/>
      <c r="BM708" s="551"/>
      <c r="BN708" s="551">
        <f>I708</f>
        <v>1200</v>
      </c>
      <c r="BO708" s="551"/>
      <c r="BP708" s="551"/>
      <c r="BQ708" s="551"/>
      <c r="BR708" s="551"/>
      <c r="BS708" s="551"/>
      <c r="BT708" s="551"/>
      <c r="BU708" s="551"/>
      <c r="BV708" s="551"/>
      <c r="BW708" s="551"/>
      <c r="BX708" s="551"/>
      <c r="BY708" s="551"/>
      <c r="BZ708" s="551"/>
      <c r="CA708" s="551"/>
      <c r="CB708" s="551"/>
      <c r="CC708" s="551"/>
      <c r="CD708" s="551"/>
      <c r="CE708" s="551"/>
      <c r="CF708" s="551"/>
      <c r="CG708" s="551"/>
      <c r="CH708" s="650"/>
      <c r="CI708" s="650"/>
      <c r="CJ708" s="650"/>
      <c r="CK708" s="650"/>
      <c r="CL708" s="650"/>
      <c r="CM708" s="551"/>
      <c r="CN708" s="551"/>
      <c r="CO708" s="551"/>
      <c r="CP708" s="650"/>
      <c r="CQ708" s="650"/>
      <c r="CR708" s="650"/>
      <c r="CS708" s="650"/>
      <c r="CT708" s="650"/>
      <c r="CU708" s="650"/>
    </row>
    <row r="709" s="1265" customFormat="1" ht="31" customHeight="1" spans="1:99">
      <c r="A709" s="641">
        <v>45989</v>
      </c>
      <c r="B709" s="642" t="s">
        <v>325</v>
      </c>
      <c r="C709" s="246" t="s">
        <v>98</v>
      </c>
      <c r="D709" s="551">
        <v>4500187337</v>
      </c>
      <c r="E709" s="246" t="s">
        <v>2816</v>
      </c>
      <c r="F709" s="551" t="s">
        <v>2817</v>
      </c>
      <c r="G709" s="659" t="s">
        <v>249</v>
      </c>
      <c r="H709" s="246" t="s">
        <v>250</v>
      </c>
      <c r="I709" s="246">
        <v>20000</v>
      </c>
      <c r="J709" s="246">
        <v>0</v>
      </c>
      <c r="K709" s="246">
        <v>4</v>
      </c>
      <c r="L709" s="644">
        <f t="shared" si="215"/>
        <v>5000</v>
      </c>
      <c r="M709" s="645">
        <v>46038</v>
      </c>
      <c r="N709" s="645">
        <f>M709-4</f>
        <v>46034</v>
      </c>
      <c r="O709" s="643"/>
      <c r="P709" s="824" t="s">
        <v>113</v>
      </c>
      <c r="Q709" s="646"/>
      <c r="R709" s="646">
        <v>46006</v>
      </c>
      <c r="S709" s="646" t="s">
        <v>104</v>
      </c>
      <c r="T709" s="646">
        <v>46013</v>
      </c>
      <c r="U709" s="646"/>
      <c r="V709" s="642"/>
      <c r="W709" s="642"/>
      <c r="X709" s="642" t="s">
        <v>2770</v>
      </c>
      <c r="Y709" s="647" t="s">
        <v>252</v>
      </c>
      <c r="Z709" s="657">
        <v>2.7734</v>
      </c>
      <c r="AA709" s="647">
        <f t="shared" si="230"/>
        <v>55468</v>
      </c>
      <c r="AB709" s="551"/>
      <c r="AC709" s="658" t="s">
        <v>2818</v>
      </c>
      <c r="AD709" s="633" t="s">
        <v>249</v>
      </c>
      <c r="AE709" s="246" t="s">
        <v>82</v>
      </c>
      <c r="AF709" s="246"/>
      <c r="AG709" s="246"/>
      <c r="AH709" s="246">
        <v>1</v>
      </c>
      <c r="AI709" s="246">
        <f>2160+15840+2000</f>
        <v>20000</v>
      </c>
      <c r="AJ709" s="246">
        <f t="shared" si="231"/>
        <v>0</v>
      </c>
      <c r="AK709" s="246"/>
      <c r="AL709" s="246"/>
      <c r="AM709" s="551"/>
      <c r="AN709" s="551"/>
      <c r="AO709" s="1331"/>
      <c r="AP709" s="1331">
        <f>I709</f>
        <v>20000</v>
      </c>
      <c r="AQ709" s="1331"/>
      <c r="AR709" s="551"/>
      <c r="AS709" s="551"/>
      <c r="AT709" s="551"/>
      <c r="AU709" s="551"/>
      <c r="AV709" s="551"/>
      <c r="AW709" s="551">
        <f t="shared" si="233"/>
        <v>20000</v>
      </c>
      <c r="AX709" s="651"/>
      <c r="AY709" s="551"/>
      <c r="AZ709" s="551"/>
      <c r="BA709" s="551"/>
      <c r="BB709" s="551"/>
      <c r="BC709" s="551"/>
      <c r="BD709" s="551"/>
      <c r="BE709" s="551"/>
      <c r="BF709" s="551">
        <f>I709</f>
        <v>20000</v>
      </c>
      <c r="BG709" s="551">
        <f>I709</f>
        <v>20000</v>
      </c>
      <c r="BH709" s="825">
        <f>I709/4</f>
        <v>5000</v>
      </c>
      <c r="BI709" s="551"/>
      <c r="BJ709" s="551"/>
      <c r="BK709" s="551"/>
      <c r="BL709" s="551"/>
      <c r="BM709" s="551"/>
      <c r="BN709" s="551"/>
      <c r="BO709" s="551"/>
      <c r="BP709" s="551"/>
      <c r="BQ709" s="551"/>
      <c r="BR709" s="551"/>
      <c r="BS709" s="551"/>
      <c r="BT709" s="551"/>
      <c r="BU709" s="551"/>
      <c r="BV709" s="551"/>
      <c r="BW709" s="551"/>
      <c r="BX709" s="551"/>
      <c r="BY709" s="551"/>
      <c r="BZ709" s="551"/>
      <c r="CA709" s="551"/>
      <c r="CB709" s="551"/>
      <c r="CC709" s="551"/>
      <c r="CD709" s="551"/>
      <c r="CE709" s="551"/>
      <c r="CF709" s="551"/>
      <c r="CG709" s="551"/>
      <c r="CH709" s="650"/>
      <c r="CI709" s="650"/>
      <c r="CJ709" s="650"/>
      <c r="CK709" s="650"/>
      <c r="CL709" s="650"/>
      <c r="CM709" s="551"/>
      <c r="CN709" s="551"/>
      <c r="CO709" s="551"/>
      <c r="CP709" s="650"/>
      <c r="CQ709" s="650"/>
      <c r="CR709" s="650"/>
      <c r="CS709" s="650"/>
      <c r="CT709" s="650"/>
      <c r="CU709" s="650"/>
    </row>
    <row r="710" s="1265" customFormat="1" ht="31" customHeight="1" spans="1:99">
      <c r="A710" s="641">
        <v>45995</v>
      </c>
      <c r="B710" s="642" t="s">
        <v>2819</v>
      </c>
      <c r="C710" s="246" t="s">
        <v>836</v>
      </c>
      <c r="D710" s="551">
        <v>4500187921</v>
      </c>
      <c r="E710" s="246"/>
      <c r="F710" s="551" t="s">
        <v>2820</v>
      </c>
      <c r="G710" s="659" t="s">
        <v>68</v>
      </c>
      <c r="H710" s="633" t="s">
        <v>69</v>
      </c>
      <c r="I710" s="246">
        <v>504</v>
      </c>
      <c r="J710" s="246">
        <v>0</v>
      </c>
      <c r="K710" s="246">
        <v>12</v>
      </c>
      <c r="L710" s="644">
        <f t="shared" si="215"/>
        <v>42</v>
      </c>
      <c r="M710" s="645">
        <v>46038</v>
      </c>
      <c r="N710" s="645">
        <f>M710-4</f>
        <v>46034</v>
      </c>
      <c r="O710" s="643"/>
      <c r="P710" s="824" t="s">
        <v>113</v>
      </c>
      <c r="Q710" s="646"/>
      <c r="R710" s="646">
        <v>46005</v>
      </c>
      <c r="S710" s="646" t="s">
        <v>70</v>
      </c>
      <c r="T710" s="646" t="s">
        <v>2821</v>
      </c>
      <c r="U710" s="646"/>
      <c r="V710" s="642"/>
      <c r="W710" s="642"/>
      <c r="X710" s="642" t="s">
        <v>2822</v>
      </c>
      <c r="Y710" s="647" t="s">
        <v>472</v>
      </c>
      <c r="Z710" s="657">
        <v>4.1623</v>
      </c>
      <c r="AA710" s="647">
        <f t="shared" si="230"/>
        <v>2097.7992</v>
      </c>
      <c r="AB710" s="551"/>
      <c r="AC710" s="648" t="s">
        <v>2823</v>
      </c>
      <c r="AD710" s="633" t="s">
        <v>184</v>
      </c>
      <c r="AE710" s="246" t="s">
        <v>82</v>
      </c>
      <c r="AF710" s="246"/>
      <c r="AG710" s="246"/>
      <c r="AH710" s="246">
        <v>1</v>
      </c>
      <c r="AI710" s="246">
        <v>504</v>
      </c>
      <c r="AJ710" s="246">
        <f t="shared" si="231"/>
        <v>0</v>
      </c>
      <c r="AK710" s="246"/>
      <c r="AL710" s="246" t="s">
        <v>2368</v>
      </c>
      <c r="AM710" s="551"/>
      <c r="AN710" s="551">
        <f>I710</f>
        <v>504</v>
      </c>
      <c r="AO710" s="1331"/>
      <c r="AP710" s="1331"/>
      <c r="AQ710" s="1331"/>
      <c r="AR710" s="551"/>
      <c r="AS710" s="551">
        <f>I710</f>
        <v>504</v>
      </c>
      <c r="AT710" s="551"/>
      <c r="AU710" s="551">
        <f>I710</f>
        <v>504</v>
      </c>
      <c r="AV710" s="551"/>
      <c r="AW710" s="551">
        <f t="shared" si="233"/>
        <v>504</v>
      </c>
      <c r="AX710" s="651"/>
      <c r="AY710" s="551"/>
      <c r="AZ710" s="551"/>
      <c r="BA710" s="551"/>
      <c r="BB710" s="551"/>
      <c r="BC710" s="551"/>
      <c r="BD710" s="551"/>
      <c r="BE710" s="551"/>
      <c r="BF710" s="551"/>
      <c r="BG710" s="551"/>
      <c r="BH710" s="551"/>
      <c r="BI710" s="551"/>
      <c r="BJ710" s="551"/>
      <c r="BK710" s="551"/>
      <c r="BL710" s="551"/>
      <c r="BM710" s="551"/>
      <c r="BN710" s="551"/>
      <c r="BO710" s="551"/>
      <c r="BP710" s="551"/>
      <c r="BQ710" s="551"/>
      <c r="BR710" s="551"/>
      <c r="BS710" s="551"/>
      <c r="BT710" s="551"/>
      <c r="BU710" s="551"/>
      <c r="BV710" s="551"/>
      <c r="BW710" s="551"/>
      <c r="BX710" s="551"/>
      <c r="BY710" s="551"/>
      <c r="BZ710" s="551"/>
      <c r="CA710" s="551"/>
      <c r="CB710" s="551"/>
      <c r="CC710" s="551"/>
      <c r="CD710" s="551"/>
      <c r="CE710" s="551"/>
      <c r="CF710" s="551"/>
      <c r="CG710" s="551"/>
      <c r="CH710" s="650"/>
      <c r="CI710" s="650"/>
      <c r="CJ710" s="650"/>
      <c r="CK710" s="650"/>
      <c r="CL710" s="650"/>
      <c r="CM710" s="551"/>
      <c r="CN710" s="551"/>
      <c r="CO710" s="551"/>
      <c r="CP710" s="650"/>
      <c r="CQ710" s="650"/>
      <c r="CR710" s="650"/>
      <c r="CS710" s="650"/>
      <c r="CT710" s="650"/>
      <c r="CU710" s="650"/>
    </row>
    <row r="711" s="1265" customFormat="1" ht="31" customHeight="1" spans="1:99">
      <c r="A711" s="641">
        <v>45978</v>
      </c>
      <c r="B711" s="642" t="s">
        <v>1492</v>
      </c>
      <c r="C711" s="246" t="s">
        <v>98</v>
      </c>
      <c r="D711" s="551">
        <v>4500185933</v>
      </c>
      <c r="E711" s="1415" t="s">
        <v>2824</v>
      </c>
      <c r="F711" s="551" t="s">
        <v>2825</v>
      </c>
      <c r="G711" s="659" t="s">
        <v>2666</v>
      </c>
      <c r="H711" s="246" t="s">
        <v>830</v>
      </c>
      <c r="I711" s="246">
        <v>5400</v>
      </c>
      <c r="J711" s="246">
        <v>0</v>
      </c>
      <c r="K711" s="246">
        <v>75</v>
      </c>
      <c r="L711" s="644">
        <f t="shared" si="215"/>
        <v>72</v>
      </c>
      <c r="M711" s="645">
        <v>46038</v>
      </c>
      <c r="N711" s="645">
        <v>46034</v>
      </c>
      <c r="O711" s="643"/>
      <c r="P711" s="824" t="s">
        <v>113</v>
      </c>
      <c r="Q711" s="646"/>
      <c r="R711" s="646" t="s">
        <v>2667</v>
      </c>
      <c r="S711" s="646" t="s">
        <v>70</v>
      </c>
      <c r="T711" s="646" t="s">
        <v>70</v>
      </c>
      <c r="U711" s="646"/>
      <c r="V711" s="642"/>
      <c r="W711" s="642"/>
      <c r="X711" s="642" t="s">
        <v>2826</v>
      </c>
      <c r="Y711" s="647" t="s">
        <v>911</v>
      </c>
      <c r="Z711" s="657">
        <v>359.3436</v>
      </c>
      <c r="AA711" s="647">
        <v>25872.7392</v>
      </c>
      <c r="AB711" s="551"/>
      <c r="AC711" s="658" t="s">
        <v>2827</v>
      </c>
      <c r="AD711" s="633" t="s">
        <v>1498</v>
      </c>
      <c r="AE711" s="246" t="s">
        <v>82</v>
      </c>
      <c r="AF711" s="246"/>
      <c r="AG711" s="246"/>
      <c r="AH711" s="246">
        <v>1</v>
      </c>
      <c r="AI711" s="246"/>
      <c r="AJ711" s="246">
        <f t="shared" si="231"/>
        <v>-5400</v>
      </c>
      <c r="AK711" s="246"/>
      <c r="AL711" s="246"/>
      <c r="AM711" s="551"/>
      <c r="AN711" s="551"/>
      <c r="AO711" s="1331">
        <f>I711</f>
        <v>5400</v>
      </c>
      <c r="AP711" s="1331"/>
      <c r="AQ711" s="1331"/>
      <c r="AR711" s="551"/>
      <c r="AS711" s="551"/>
      <c r="AT711" s="551"/>
      <c r="AU711" s="551"/>
      <c r="AV711" s="551"/>
      <c r="AW711" s="551"/>
      <c r="AX711" s="651"/>
      <c r="AY711" s="551"/>
      <c r="AZ711" s="551"/>
      <c r="BA711" s="551">
        <f>I711</f>
        <v>5400</v>
      </c>
      <c r="BB711" s="551">
        <f>I711</f>
        <v>5400</v>
      </c>
      <c r="BC711" s="551">
        <f>I711</f>
        <v>5400</v>
      </c>
      <c r="BD711" s="551"/>
      <c r="BE711" s="551"/>
      <c r="BF711" s="551"/>
      <c r="BG711" s="551"/>
      <c r="BH711" s="551"/>
      <c r="BI711" s="551"/>
      <c r="BJ711" s="551"/>
      <c r="BK711" s="551">
        <f>I711</f>
        <v>5400</v>
      </c>
      <c r="BL711" s="551">
        <f>I711/5</f>
        <v>1080</v>
      </c>
      <c r="BM711" s="551"/>
      <c r="BN711" s="551"/>
      <c r="BO711" s="551"/>
      <c r="BP711" s="551"/>
      <c r="BQ711" s="551"/>
      <c r="BR711" s="551"/>
      <c r="BS711" s="551"/>
      <c r="BT711" s="551"/>
      <c r="BU711" s="551"/>
      <c r="BV711" s="551"/>
      <c r="BW711" s="551"/>
      <c r="BX711" s="551"/>
      <c r="BY711" s="551"/>
      <c r="BZ711" s="551"/>
      <c r="CA711" s="551"/>
      <c r="CB711" s="551"/>
      <c r="CC711" s="551"/>
      <c r="CD711" s="551"/>
      <c r="CE711" s="551"/>
      <c r="CF711" s="551"/>
      <c r="CG711" s="551"/>
      <c r="CH711" s="650"/>
      <c r="CI711" s="650"/>
      <c r="CJ711" s="650"/>
      <c r="CK711" s="650"/>
      <c r="CL711" s="650"/>
      <c r="CM711" s="551"/>
      <c r="CN711" s="551"/>
      <c r="CO711" s="551"/>
      <c r="CP711" s="650"/>
      <c r="CQ711" s="650"/>
      <c r="CR711" s="650"/>
      <c r="CS711" s="650"/>
      <c r="CT711" s="650"/>
      <c r="CU711" s="650"/>
    </row>
    <row r="712" s="1265" customFormat="1" ht="31" customHeight="1" spans="1:99">
      <c r="A712" s="641">
        <v>45986</v>
      </c>
      <c r="B712" s="642" t="s">
        <v>2828</v>
      </c>
      <c r="C712" s="246" t="s">
        <v>98</v>
      </c>
      <c r="D712" s="551">
        <v>4500186887</v>
      </c>
      <c r="E712" s="246">
        <v>384354205</v>
      </c>
      <c r="F712" s="551" t="s">
        <v>2829</v>
      </c>
      <c r="G712" s="659" t="s">
        <v>130</v>
      </c>
      <c r="H712" s="246" t="s">
        <v>131</v>
      </c>
      <c r="I712" s="246">
        <v>2880</v>
      </c>
      <c r="J712" s="246">
        <v>0</v>
      </c>
      <c r="K712" s="246">
        <v>6</v>
      </c>
      <c r="L712" s="644">
        <f t="shared" ref="L712:L734" si="234">I712/K712</f>
        <v>480</v>
      </c>
      <c r="M712" s="645">
        <v>46041</v>
      </c>
      <c r="N712" s="645">
        <v>46037</v>
      </c>
      <c r="O712" s="643"/>
      <c r="P712" s="824" t="s">
        <v>113</v>
      </c>
      <c r="Q712" s="646"/>
      <c r="R712" s="646">
        <v>45993</v>
      </c>
      <c r="S712" s="646" t="s">
        <v>104</v>
      </c>
      <c r="T712" s="646" t="s">
        <v>2830</v>
      </c>
      <c r="U712" s="646"/>
      <c r="V712" s="642"/>
      <c r="W712" s="642"/>
      <c r="X712" s="628" t="s">
        <v>2831</v>
      </c>
      <c r="Y712" s="647" t="s">
        <v>1278</v>
      </c>
      <c r="Z712" s="657">
        <v>2.5327</v>
      </c>
      <c r="AA712" s="647">
        <f t="shared" ref="AA712:AA733" si="235">Z712*I712</f>
        <v>7294.176</v>
      </c>
      <c r="AB712" s="551"/>
      <c r="AC712" s="658" t="s">
        <v>2832</v>
      </c>
      <c r="AD712" s="633" t="s">
        <v>130</v>
      </c>
      <c r="AE712" s="246" t="s">
        <v>82</v>
      </c>
      <c r="AF712" s="246"/>
      <c r="AG712" s="246"/>
      <c r="AH712" s="246">
        <v>1</v>
      </c>
      <c r="AI712" s="246">
        <v>2880</v>
      </c>
      <c r="AJ712" s="246">
        <f t="shared" si="231"/>
        <v>0</v>
      </c>
      <c r="AK712" s="246"/>
      <c r="AL712" s="246"/>
      <c r="AM712" s="551"/>
      <c r="AN712" s="551">
        <f t="shared" ref="AN712:AN731" si="236">I712</f>
        <v>2880</v>
      </c>
      <c r="AO712" s="1331"/>
      <c r="AP712" s="1331"/>
      <c r="AQ712" s="1331"/>
      <c r="AR712" s="551">
        <f>I712</f>
        <v>2880</v>
      </c>
      <c r="AS712" s="551"/>
      <c r="AT712" s="551"/>
      <c r="AU712" s="551">
        <f>I712</f>
        <v>2880</v>
      </c>
      <c r="AV712" s="551"/>
      <c r="AW712" s="551">
        <f t="shared" ref="AW712:AW733" si="237">I712</f>
        <v>2880</v>
      </c>
      <c r="AX712" s="651"/>
      <c r="AY712" s="551"/>
      <c r="AZ712" s="551"/>
      <c r="BA712" s="551"/>
      <c r="BB712" s="551"/>
      <c r="BC712" s="551"/>
      <c r="BD712" s="551"/>
      <c r="BE712" s="551"/>
      <c r="BF712" s="551"/>
      <c r="BG712" s="551"/>
      <c r="BH712" s="551"/>
      <c r="BI712" s="551"/>
      <c r="BJ712" s="551"/>
      <c r="BK712" s="551"/>
      <c r="BL712" s="551"/>
      <c r="BM712" s="551"/>
      <c r="BN712" s="551"/>
      <c r="BO712" s="551"/>
      <c r="BP712" s="551"/>
      <c r="BQ712" s="551"/>
      <c r="BR712" s="551"/>
      <c r="BS712" s="551"/>
      <c r="BT712" s="551"/>
      <c r="BU712" s="551"/>
      <c r="BV712" s="551"/>
      <c r="BW712" s="551"/>
      <c r="BX712" s="551"/>
      <c r="BY712" s="551"/>
      <c r="BZ712" s="551"/>
      <c r="CA712" s="551"/>
      <c r="CB712" s="551"/>
      <c r="CC712" s="551"/>
      <c r="CD712" s="551"/>
      <c r="CE712" s="551"/>
      <c r="CF712" s="551"/>
      <c r="CG712" s="551"/>
      <c r="CH712" s="650"/>
      <c r="CI712" s="650"/>
      <c r="CJ712" s="650"/>
      <c r="CK712" s="650"/>
      <c r="CL712" s="650"/>
      <c r="CM712" s="551"/>
      <c r="CN712" s="551"/>
      <c r="CO712" s="551"/>
      <c r="CP712" s="650"/>
      <c r="CQ712" s="650"/>
      <c r="CR712" s="650"/>
      <c r="CS712" s="650"/>
      <c r="CT712" s="650"/>
      <c r="CU712" s="650"/>
    </row>
    <row r="713" s="1265" customFormat="1" ht="31" customHeight="1" spans="1:99">
      <c r="A713" s="641">
        <v>45986</v>
      </c>
      <c r="B713" s="642" t="s">
        <v>2828</v>
      </c>
      <c r="C713" s="246" t="s">
        <v>98</v>
      </c>
      <c r="D713" s="551">
        <v>4500186887</v>
      </c>
      <c r="E713" s="246">
        <v>384354406</v>
      </c>
      <c r="F713" s="551" t="s">
        <v>2833</v>
      </c>
      <c r="G713" s="659" t="s">
        <v>130</v>
      </c>
      <c r="H713" s="246" t="s">
        <v>131</v>
      </c>
      <c r="I713" s="246">
        <v>1440</v>
      </c>
      <c r="J713" s="246">
        <v>0</v>
      </c>
      <c r="K713" s="246">
        <v>6</v>
      </c>
      <c r="L713" s="644">
        <f t="shared" si="234"/>
        <v>240</v>
      </c>
      <c r="M713" s="645">
        <v>46041</v>
      </c>
      <c r="N713" s="645">
        <v>46037</v>
      </c>
      <c r="O713" s="643"/>
      <c r="P713" s="824" t="s">
        <v>113</v>
      </c>
      <c r="Q713" s="646"/>
      <c r="R713" s="646">
        <v>45993</v>
      </c>
      <c r="S713" s="646" t="s">
        <v>104</v>
      </c>
      <c r="T713" s="646" t="s">
        <v>2830</v>
      </c>
      <c r="U713" s="646"/>
      <c r="V713" s="642"/>
      <c r="W713" s="642"/>
      <c r="X713" s="628" t="s">
        <v>2831</v>
      </c>
      <c r="Y713" s="647" t="s">
        <v>1278</v>
      </c>
      <c r="Z713" s="657">
        <v>2.5327</v>
      </c>
      <c r="AA713" s="647">
        <f t="shared" si="235"/>
        <v>3647.088</v>
      </c>
      <c r="AB713" s="551"/>
      <c r="AC713" s="658" t="s">
        <v>2834</v>
      </c>
      <c r="AD713" s="633" t="s">
        <v>130</v>
      </c>
      <c r="AE713" s="246" t="s">
        <v>82</v>
      </c>
      <c r="AF713" s="246"/>
      <c r="AG713" s="246"/>
      <c r="AH713" s="246">
        <v>1</v>
      </c>
      <c r="AI713" s="246">
        <v>1440</v>
      </c>
      <c r="AJ713" s="246">
        <f t="shared" si="231"/>
        <v>0</v>
      </c>
      <c r="AK713" s="246"/>
      <c r="AL713" s="246"/>
      <c r="AM713" s="551"/>
      <c r="AN713" s="551">
        <f t="shared" si="236"/>
        <v>1440</v>
      </c>
      <c r="AO713" s="1331"/>
      <c r="AP713" s="1331"/>
      <c r="AQ713" s="1331"/>
      <c r="AR713" s="551">
        <f>I713</f>
        <v>1440</v>
      </c>
      <c r="AS713" s="551"/>
      <c r="AT713" s="551"/>
      <c r="AU713" s="551">
        <f>I713</f>
        <v>1440</v>
      </c>
      <c r="AV713" s="551"/>
      <c r="AW713" s="551">
        <f t="shared" si="237"/>
        <v>1440</v>
      </c>
      <c r="AX713" s="651"/>
      <c r="AY713" s="551"/>
      <c r="AZ713" s="551"/>
      <c r="BA713" s="551"/>
      <c r="BB713" s="551"/>
      <c r="BC713" s="551"/>
      <c r="BD713" s="551"/>
      <c r="BE713" s="551"/>
      <c r="BF713" s="551"/>
      <c r="BG713" s="551"/>
      <c r="BH713" s="551"/>
      <c r="BI713" s="551"/>
      <c r="BJ713" s="551"/>
      <c r="BK713" s="551"/>
      <c r="BL713" s="551"/>
      <c r="BM713" s="551"/>
      <c r="BN713" s="551"/>
      <c r="BO713" s="551"/>
      <c r="BP713" s="551"/>
      <c r="BQ713" s="551"/>
      <c r="BR713" s="551"/>
      <c r="BS713" s="551"/>
      <c r="BT713" s="551"/>
      <c r="BU713" s="551"/>
      <c r="BV713" s="551"/>
      <c r="BW713" s="551"/>
      <c r="BX713" s="551"/>
      <c r="BY713" s="551"/>
      <c r="BZ713" s="551"/>
      <c r="CA713" s="551"/>
      <c r="CB713" s="551"/>
      <c r="CC713" s="551"/>
      <c r="CD713" s="551"/>
      <c r="CE713" s="551"/>
      <c r="CF713" s="551"/>
      <c r="CG713" s="551"/>
      <c r="CH713" s="650"/>
      <c r="CI713" s="650"/>
      <c r="CJ713" s="650"/>
      <c r="CK713" s="650"/>
      <c r="CL713" s="650"/>
      <c r="CM713" s="551"/>
      <c r="CN713" s="551"/>
      <c r="CO713" s="551"/>
      <c r="CP713" s="650"/>
      <c r="CQ713" s="650"/>
      <c r="CR713" s="650"/>
      <c r="CS713" s="650"/>
      <c r="CT713" s="650"/>
      <c r="CU713" s="650"/>
    </row>
    <row r="714" s="1265" customFormat="1" ht="31" customHeight="1" spans="1:99">
      <c r="A714" s="641">
        <v>45996</v>
      </c>
      <c r="B714" s="642" t="s">
        <v>1620</v>
      </c>
      <c r="C714" s="246" t="s">
        <v>278</v>
      </c>
      <c r="D714" s="551">
        <v>4500188246</v>
      </c>
      <c r="E714" s="246">
        <v>4400529728</v>
      </c>
      <c r="F714" s="551" t="s">
        <v>2835</v>
      </c>
      <c r="G714" s="659" t="s">
        <v>164</v>
      </c>
      <c r="H714" s="246" t="s">
        <v>112</v>
      </c>
      <c r="I714" s="246">
        <v>3000</v>
      </c>
      <c r="J714" s="246">
        <v>0</v>
      </c>
      <c r="K714" s="246">
        <v>8</v>
      </c>
      <c r="L714" s="644">
        <f t="shared" si="234"/>
        <v>375</v>
      </c>
      <c r="M714" s="645">
        <v>46041</v>
      </c>
      <c r="N714" s="645">
        <v>46037</v>
      </c>
      <c r="O714" s="643"/>
      <c r="P714" s="824" t="s">
        <v>113</v>
      </c>
      <c r="Q714" s="646"/>
      <c r="R714" s="646">
        <v>45996</v>
      </c>
      <c r="S714" s="646" t="s">
        <v>70</v>
      </c>
      <c r="T714" s="646" t="s">
        <v>165</v>
      </c>
      <c r="U714" s="646"/>
      <c r="V714" s="642"/>
      <c r="W714" s="642"/>
      <c r="X714" s="642" t="s">
        <v>2620</v>
      </c>
      <c r="Y714" s="647" t="s">
        <v>1549</v>
      </c>
      <c r="Z714" s="657">
        <v>4.2661</v>
      </c>
      <c r="AA714" s="647">
        <f t="shared" si="235"/>
        <v>12798.3</v>
      </c>
      <c r="AB714" s="551"/>
      <c r="AC714" s="648"/>
      <c r="AD714" s="633" t="s">
        <v>2381</v>
      </c>
      <c r="AE714" s="246" t="s">
        <v>82</v>
      </c>
      <c r="AF714" s="246"/>
      <c r="AG714" s="246"/>
      <c r="AH714" s="246">
        <v>1</v>
      </c>
      <c r="AI714" s="246">
        <v>3000</v>
      </c>
      <c r="AJ714" s="246">
        <f t="shared" si="231"/>
        <v>0</v>
      </c>
      <c r="AK714" s="246"/>
      <c r="AL714" s="246"/>
      <c r="AM714" s="551"/>
      <c r="AN714" s="551">
        <f t="shared" si="236"/>
        <v>3000</v>
      </c>
      <c r="AO714" s="1331"/>
      <c r="AP714" s="1331"/>
      <c r="AQ714" s="1331"/>
      <c r="AR714" s="551"/>
      <c r="AS714" s="551">
        <f t="shared" ref="AS714:AS724" si="238">I714</f>
        <v>3000</v>
      </c>
      <c r="AT714" s="551"/>
      <c r="AU714" s="551">
        <f t="shared" ref="AU714:AU723" si="239">I714</f>
        <v>3000</v>
      </c>
      <c r="AV714" s="551"/>
      <c r="AW714" s="551">
        <f t="shared" si="237"/>
        <v>3000</v>
      </c>
      <c r="AX714" s="651"/>
      <c r="AY714" s="551"/>
      <c r="AZ714" s="551"/>
      <c r="BA714" s="551"/>
      <c r="BB714" s="551"/>
      <c r="BC714" s="551"/>
      <c r="BD714" s="551"/>
      <c r="BE714" s="551"/>
      <c r="BF714" s="551"/>
      <c r="BG714" s="551"/>
      <c r="BH714" s="551"/>
      <c r="BI714" s="825">
        <f>I714/4</f>
        <v>750</v>
      </c>
      <c r="BJ714" s="551"/>
      <c r="BK714" s="551"/>
      <c r="BL714" s="551"/>
      <c r="BM714" s="551"/>
      <c r="BN714" s="551"/>
      <c r="BO714" s="551"/>
      <c r="BP714" s="551"/>
      <c r="BQ714" s="551"/>
      <c r="BR714" s="551"/>
      <c r="BS714" s="551"/>
      <c r="BT714" s="551"/>
      <c r="BU714" s="551"/>
      <c r="BV714" s="551"/>
      <c r="BW714" s="551"/>
      <c r="BX714" s="551"/>
      <c r="BY714" s="551"/>
      <c r="BZ714" s="551"/>
      <c r="CA714" s="551"/>
      <c r="CB714" s="551"/>
      <c r="CC714" s="551"/>
      <c r="CD714" s="551"/>
      <c r="CE714" s="551"/>
      <c r="CF714" s="551"/>
      <c r="CG714" s="551"/>
      <c r="CH714" s="650"/>
      <c r="CI714" s="650"/>
      <c r="CJ714" s="650"/>
      <c r="CK714" s="650"/>
      <c r="CL714" s="650"/>
      <c r="CM714" s="551"/>
      <c r="CN714" s="551"/>
      <c r="CO714" s="551"/>
      <c r="CP714" s="650"/>
      <c r="CQ714" s="650"/>
      <c r="CR714" s="650"/>
      <c r="CS714" s="650"/>
      <c r="CT714" s="650"/>
      <c r="CU714" s="650"/>
    </row>
    <row r="715" s="1265" customFormat="1" ht="31" customHeight="1" spans="1:99">
      <c r="A715" s="641">
        <v>45996</v>
      </c>
      <c r="B715" s="642" t="s">
        <v>1544</v>
      </c>
      <c r="C715" s="246" t="s">
        <v>257</v>
      </c>
      <c r="D715" s="551">
        <v>4500188245</v>
      </c>
      <c r="E715" s="246">
        <v>4400529727</v>
      </c>
      <c r="F715" s="551" t="s">
        <v>2836</v>
      </c>
      <c r="G715" s="659" t="s">
        <v>164</v>
      </c>
      <c r="H715" s="246" t="s">
        <v>112</v>
      </c>
      <c r="I715" s="246">
        <v>1504</v>
      </c>
      <c r="J715" s="246">
        <v>0</v>
      </c>
      <c r="K715" s="246">
        <v>8</v>
      </c>
      <c r="L715" s="644">
        <f t="shared" si="234"/>
        <v>188</v>
      </c>
      <c r="M715" s="645">
        <v>46041</v>
      </c>
      <c r="N715" s="645">
        <v>46037</v>
      </c>
      <c r="O715" s="643"/>
      <c r="P715" s="824" t="s">
        <v>113</v>
      </c>
      <c r="Q715" s="646"/>
      <c r="R715" s="646">
        <v>45996</v>
      </c>
      <c r="S715" s="646" t="s">
        <v>70</v>
      </c>
      <c r="T715" s="646" t="s">
        <v>165</v>
      </c>
      <c r="U715" s="646"/>
      <c r="V715" s="642"/>
      <c r="W715" s="642"/>
      <c r="X715" s="642" t="s">
        <v>2620</v>
      </c>
      <c r="Y715" s="647" t="s">
        <v>1549</v>
      </c>
      <c r="Z715" s="657">
        <v>4.2714</v>
      </c>
      <c r="AA715" s="647">
        <f t="shared" si="235"/>
        <v>6424.1856</v>
      </c>
      <c r="AB715" s="551"/>
      <c r="AC715" s="648"/>
      <c r="AD715" s="633" t="s">
        <v>2381</v>
      </c>
      <c r="AE715" s="246" t="s">
        <v>82</v>
      </c>
      <c r="AF715" s="246"/>
      <c r="AG715" s="246"/>
      <c r="AH715" s="246">
        <v>1</v>
      </c>
      <c r="AI715" s="246">
        <v>1504</v>
      </c>
      <c r="AJ715" s="246">
        <f t="shared" si="231"/>
        <v>0</v>
      </c>
      <c r="AK715" s="246"/>
      <c r="AL715" s="246"/>
      <c r="AM715" s="551"/>
      <c r="AN715" s="551">
        <f t="shared" si="236"/>
        <v>1504</v>
      </c>
      <c r="AO715" s="1331"/>
      <c r="AP715" s="1331"/>
      <c r="AQ715" s="1331"/>
      <c r="AR715" s="551"/>
      <c r="AS715" s="551">
        <f t="shared" si="238"/>
        <v>1504</v>
      </c>
      <c r="AT715" s="551"/>
      <c r="AU715" s="551">
        <f t="shared" si="239"/>
        <v>1504</v>
      </c>
      <c r="AV715" s="551"/>
      <c r="AW715" s="551">
        <f t="shared" si="237"/>
        <v>1504</v>
      </c>
      <c r="AX715" s="651"/>
      <c r="AY715" s="551"/>
      <c r="AZ715" s="551"/>
      <c r="BA715" s="551"/>
      <c r="BB715" s="551"/>
      <c r="BC715" s="551"/>
      <c r="BD715" s="551"/>
      <c r="BE715" s="551"/>
      <c r="BF715" s="551"/>
      <c r="BG715" s="551"/>
      <c r="BH715" s="551"/>
      <c r="BI715" s="825">
        <f>I715/4</f>
        <v>376</v>
      </c>
      <c r="BJ715" s="551"/>
      <c r="BK715" s="551"/>
      <c r="BL715" s="551"/>
      <c r="BM715" s="551"/>
      <c r="BN715" s="551"/>
      <c r="BO715" s="551"/>
      <c r="BP715" s="551"/>
      <c r="BQ715" s="551"/>
      <c r="BR715" s="551"/>
      <c r="BS715" s="551"/>
      <c r="BT715" s="551"/>
      <c r="BU715" s="551"/>
      <c r="BV715" s="551"/>
      <c r="BW715" s="551"/>
      <c r="BX715" s="551"/>
      <c r="BY715" s="551"/>
      <c r="BZ715" s="551"/>
      <c r="CA715" s="551"/>
      <c r="CB715" s="551"/>
      <c r="CC715" s="551"/>
      <c r="CD715" s="551"/>
      <c r="CE715" s="551"/>
      <c r="CF715" s="551"/>
      <c r="CG715" s="551"/>
      <c r="CH715" s="650"/>
      <c r="CI715" s="650"/>
      <c r="CJ715" s="650"/>
      <c r="CK715" s="650"/>
      <c r="CL715" s="650"/>
      <c r="CM715" s="551"/>
      <c r="CN715" s="551"/>
      <c r="CO715" s="551"/>
      <c r="CP715" s="650"/>
      <c r="CQ715" s="650"/>
      <c r="CR715" s="650"/>
      <c r="CS715" s="650"/>
      <c r="CT715" s="650"/>
      <c r="CU715" s="650"/>
    </row>
    <row r="716" s="1265" customFormat="1" ht="31" customHeight="1" spans="1:99">
      <c r="A716" s="641">
        <v>46001</v>
      </c>
      <c r="B716" s="642" t="s">
        <v>2622</v>
      </c>
      <c r="C716" s="246" t="s">
        <v>98</v>
      </c>
      <c r="D716" s="551">
        <v>4500188597</v>
      </c>
      <c r="E716" s="246">
        <v>40799202</v>
      </c>
      <c r="F716" s="551" t="s">
        <v>2837</v>
      </c>
      <c r="G716" s="659" t="s">
        <v>2624</v>
      </c>
      <c r="H716" s="246" t="s">
        <v>2625</v>
      </c>
      <c r="I716" s="246">
        <v>392</v>
      </c>
      <c r="J716" s="246">
        <v>0</v>
      </c>
      <c r="K716" s="246">
        <v>8</v>
      </c>
      <c r="L716" s="644">
        <f t="shared" si="234"/>
        <v>49</v>
      </c>
      <c r="M716" s="645">
        <v>46041</v>
      </c>
      <c r="N716" s="645">
        <v>46037</v>
      </c>
      <c r="O716" s="1342" t="s">
        <v>2631</v>
      </c>
      <c r="P716" s="824" t="s">
        <v>113</v>
      </c>
      <c r="Q716" s="646"/>
      <c r="R716" s="646">
        <v>46001</v>
      </c>
      <c r="S716" s="646" t="s">
        <v>104</v>
      </c>
      <c r="T716" s="646" t="s">
        <v>2632</v>
      </c>
      <c r="U716" s="646"/>
      <c r="V716" s="642"/>
      <c r="W716" s="642"/>
      <c r="X716" s="642" t="s">
        <v>2633</v>
      </c>
      <c r="Y716" s="647" t="s">
        <v>270</v>
      </c>
      <c r="Z716" s="657">
        <v>2.55</v>
      </c>
      <c r="AA716" s="647">
        <f t="shared" si="235"/>
        <v>999.6</v>
      </c>
      <c r="AB716" s="551"/>
      <c r="AC716" s="658" t="s">
        <v>2838</v>
      </c>
      <c r="AD716" s="633" t="s">
        <v>2628</v>
      </c>
      <c r="AE716" s="246" t="s">
        <v>82</v>
      </c>
      <c r="AF716" s="246"/>
      <c r="AG716" s="246"/>
      <c r="AH716" s="246">
        <v>1</v>
      </c>
      <c r="AI716" s="246">
        <v>392</v>
      </c>
      <c r="AJ716" s="246">
        <f t="shared" si="231"/>
        <v>0</v>
      </c>
      <c r="AK716" s="246"/>
      <c r="AL716" s="246" t="s">
        <v>2368</v>
      </c>
      <c r="AM716" s="551"/>
      <c r="AN716" s="551">
        <f t="shared" si="236"/>
        <v>392</v>
      </c>
      <c r="AO716" s="1331"/>
      <c r="AP716" s="1331"/>
      <c r="AQ716" s="1331"/>
      <c r="AR716" s="551"/>
      <c r="AS716" s="551">
        <f t="shared" si="238"/>
        <v>392</v>
      </c>
      <c r="AT716" s="551"/>
      <c r="AU716" s="551">
        <f t="shared" si="239"/>
        <v>392</v>
      </c>
      <c r="AV716" s="551"/>
      <c r="AW716" s="551">
        <f t="shared" si="237"/>
        <v>392</v>
      </c>
      <c r="AX716" s="651"/>
      <c r="AY716" s="551"/>
      <c r="AZ716" s="551"/>
      <c r="BA716" s="551"/>
      <c r="BB716" s="551"/>
      <c r="BC716" s="551"/>
      <c r="BD716" s="551"/>
      <c r="BE716" s="551"/>
      <c r="BF716" s="551"/>
      <c r="BG716" s="551"/>
      <c r="BH716" s="551"/>
      <c r="BI716" s="551"/>
      <c r="BJ716" s="551">
        <f>L716</f>
        <v>49</v>
      </c>
      <c r="BK716" s="551"/>
      <c r="BL716" s="551"/>
      <c r="BM716" s="551"/>
      <c r="BN716" s="551"/>
      <c r="BO716" s="551"/>
      <c r="BP716" s="551"/>
      <c r="BQ716" s="551"/>
      <c r="BR716" s="551"/>
      <c r="BS716" s="551"/>
      <c r="BT716" s="551"/>
      <c r="BU716" s="551"/>
      <c r="BV716" s="551"/>
      <c r="BW716" s="551"/>
      <c r="BX716" s="551"/>
      <c r="BY716" s="551"/>
      <c r="BZ716" s="551"/>
      <c r="CA716" s="551"/>
      <c r="CB716" s="551"/>
      <c r="CC716" s="551"/>
      <c r="CD716" s="551"/>
      <c r="CE716" s="551"/>
      <c r="CF716" s="551"/>
      <c r="CG716" s="551"/>
      <c r="CH716" s="650"/>
      <c r="CI716" s="650"/>
      <c r="CJ716" s="650"/>
      <c r="CK716" s="650"/>
      <c r="CL716" s="650"/>
      <c r="CM716" s="551"/>
      <c r="CN716" s="551"/>
      <c r="CO716" s="551"/>
      <c r="CP716" s="650"/>
      <c r="CQ716" s="650"/>
      <c r="CR716" s="650"/>
      <c r="CS716" s="650"/>
      <c r="CT716" s="650"/>
      <c r="CU716" s="650"/>
    </row>
    <row r="717" s="1265" customFormat="1" ht="31" customHeight="1" spans="1:99">
      <c r="A717" s="641">
        <v>45989</v>
      </c>
      <c r="B717" s="642" t="s">
        <v>1906</v>
      </c>
      <c r="C717" s="246" t="s">
        <v>154</v>
      </c>
      <c r="D717" s="551">
        <v>4500189894</v>
      </c>
      <c r="E717" s="246">
        <v>5200008524</v>
      </c>
      <c r="F717" s="551" t="s">
        <v>2839</v>
      </c>
      <c r="G717" s="659" t="s">
        <v>156</v>
      </c>
      <c r="H717" s="246" t="s">
        <v>102</v>
      </c>
      <c r="I717" s="246">
        <v>600</v>
      </c>
      <c r="J717" s="246">
        <v>0</v>
      </c>
      <c r="K717" s="246">
        <v>4</v>
      </c>
      <c r="L717" s="644">
        <f t="shared" si="234"/>
        <v>150</v>
      </c>
      <c r="M717" s="645">
        <v>46042</v>
      </c>
      <c r="N717" s="645">
        <v>46038</v>
      </c>
      <c r="O717" s="643" t="s">
        <v>2840</v>
      </c>
      <c r="P717" s="824" t="s">
        <v>113</v>
      </c>
      <c r="Q717" s="646"/>
      <c r="R717" s="646">
        <v>46000</v>
      </c>
      <c r="S717" s="646" t="s">
        <v>70</v>
      </c>
      <c r="T717" s="646" t="s">
        <v>2841</v>
      </c>
      <c r="U717" s="646"/>
      <c r="V717" s="642"/>
      <c r="W717" s="642"/>
      <c r="X717" s="642" t="s">
        <v>2842</v>
      </c>
      <c r="Y717" s="647" t="s">
        <v>1237</v>
      </c>
      <c r="Z717" s="657">
        <v>4.3</v>
      </c>
      <c r="AA717" s="647">
        <f t="shared" si="235"/>
        <v>2580</v>
      </c>
      <c r="AB717" s="551"/>
      <c r="AC717" s="648"/>
      <c r="AD717" s="633" t="s">
        <v>156</v>
      </c>
      <c r="AE717" s="246" t="s">
        <v>82</v>
      </c>
      <c r="AF717" s="246"/>
      <c r="AG717" s="246"/>
      <c r="AH717" s="246">
        <v>1</v>
      </c>
      <c r="AI717" s="246">
        <v>600</v>
      </c>
      <c r="AJ717" s="246">
        <f t="shared" si="231"/>
        <v>0</v>
      </c>
      <c r="AK717" s="246"/>
      <c r="AL717" s="246" t="s">
        <v>2368</v>
      </c>
      <c r="AM717" s="551"/>
      <c r="AN717" s="551">
        <f t="shared" si="236"/>
        <v>600</v>
      </c>
      <c r="AO717" s="1331"/>
      <c r="AP717" s="1331"/>
      <c r="AQ717" s="1331"/>
      <c r="AR717" s="551"/>
      <c r="AS717" s="551">
        <f t="shared" si="238"/>
        <v>600</v>
      </c>
      <c r="AT717" s="551"/>
      <c r="AU717" s="551">
        <f t="shared" si="239"/>
        <v>600</v>
      </c>
      <c r="AV717" s="551"/>
      <c r="AW717" s="551">
        <f t="shared" si="237"/>
        <v>600</v>
      </c>
      <c r="AX717" s="651"/>
      <c r="AY717" s="551"/>
      <c r="AZ717" s="551"/>
      <c r="BA717" s="551"/>
      <c r="BB717" s="551"/>
      <c r="BC717" s="551"/>
      <c r="BD717" s="551"/>
      <c r="BE717" s="551"/>
      <c r="BF717" s="551"/>
      <c r="BG717" s="551"/>
      <c r="BH717" s="551"/>
      <c r="BI717" s="825">
        <f>I717/4</f>
        <v>150</v>
      </c>
      <c r="BJ717" s="551"/>
      <c r="BK717" s="551"/>
      <c r="BL717" s="551"/>
      <c r="BM717" s="551"/>
      <c r="BN717" s="551"/>
      <c r="BO717" s="551"/>
      <c r="BP717" s="551"/>
      <c r="BQ717" s="551"/>
      <c r="BR717" s="551"/>
      <c r="BS717" s="551"/>
      <c r="BT717" s="551"/>
      <c r="BU717" s="551"/>
      <c r="BV717" s="551"/>
      <c r="BW717" s="551"/>
      <c r="BX717" s="551"/>
      <c r="BY717" s="551"/>
      <c r="BZ717" s="551"/>
      <c r="CA717" s="551"/>
      <c r="CB717" s="551"/>
      <c r="CC717" s="551"/>
      <c r="CD717" s="551"/>
      <c r="CE717" s="551"/>
      <c r="CF717" s="551"/>
      <c r="CG717" s="551"/>
      <c r="CH717" s="650"/>
      <c r="CI717" s="650"/>
      <c r="CJ717" s="650"/>
      <c r="CK717" s="650"/>
      <c r="CL717" s="650"/>
      <c r="CM717" s="551"/>
      <c r="CN717" s="551"/>
      <c r="CO717" s="551"/>
      <c r="CP717" s="650"/>
      <c r="CQ717" s="650"/>
      <c r="CR717" s="650"/>
      <c r="CS717" s="650"/>
      <c r="CT717" s="650"/>
      <c r="CU717" s="650"/>
    </row>
    <row r="718" s="1265" customFormat="1" ht="31" customHeight="1" spans="1:99">
      <c r="A718" s="641">
        <v>45990</v>
      </c>
      <c r="B718" s="642" t="s">
        <v>1728</v>
      </c>
      <c r="C718" s="246" t="s">
        <v>154</v>
      </c>
      <c r="D718" s="551">
        <v>4500187355</v>
      </c>
      <c r="E718" s="246">
        <v>4400526455</v>
      </c>
      <c r="F718" s="551" t="s">
        <v>2843</v>
      </c>
      <c r="G718" s="659" t="s">
        <v>164</v>
      </c>
      <c r="H718" s="246" t="s">
        <v>112</v>
      </c>
      <c r="I718" s="246">
        <v>4000</v>
      </c>
      <c r="J718" s="246">
        <v>0</v>
      </c>
      <c r="K718" s="246">
        <v>8</v>
      </c>
      <c r="L718" s="644">
        <f t="shared" si="234"/>
        <v>500</v>
      </c>
      <c r="M718" s="645">
        <v>46042</v>
      </c>
      <c r="N718" s="645">
        <v>46038</v>
      </c>
      <c r="O718" s="643"/>
      <c r="P718" s="824" t="s">
        <v>113</v>
      </c>
      <c r="Q718" s="646"/>
      <c r="R718" s="646">
        <v>45990</v>
      </c>
      <c r="S718" s="646" t="s">
        <v>70</v>
      </c>
      <c r="T718" s="646" t="s">
        <v>2844</v>
      </c>
      <c r="U718" s="646"/>
      <c r="V718" s="642"/>
      <c r="W718" s="642"/>
      <c r="X718" s="628" t="s">
        <v>2845</v>
      </c>
      <c r="Y718" s="647" t="s">
        <v>1549</v>
      </c>
      <c r="Z718" s="657">
        <v>4.2661</v>
      </c>
      <c r="AA718" s="647">
        <f t="shared" si="235"/>
        <v>17064.4</v>
      </c>
      <c r="AB718" s="551"/>
      <c r="AC718" s="648"/>
      <c r="AD718" s="633" t="s">
        <v>164</v>
      </c>
      <c r="AE718" s="246" t="s">
        <v>82</v>
      </c>
      <c r="AF718" s="246"/>
      <c r="AG718" s="246"/>
      <c r="AH718" s="246">
        <v>1</v>
      </c>
      <c r="AI718" s="246">
        <f>712+3288</f>
        <v>4000</v>
      </c>
      <c r="AJ718" s="246">
        <f t="shared" si="231"/>
        <v>0</v>
      </c>
      <c r="AK718" s="246"/>
      <c r="AL718" s="246" t="s">
        <v>2368</v>
      </c>
      <c r="AM718" s="551"/>
      <c r="AN718" s="551">
        <f t="shared" si="236"/>
        <v>4000</v>
      </c>
      <c r="AO718" s="1331"/>
      <c r="AP718" s="1331"/>
      <c r="AQ718" s="1331"/>
      <c r="AR718" s="551"/>
      <c r="AS718" s="551"/>
      <c r="AT718" s="551"/>
      <c r="AU718" s="551"/>
      <c r="AV718" s="551"/>
      <c r="AW718" s="551">
        <f t="shared" si="237"/>
        <v>4000</v>
      </c>
      <c r="AX718" s="651"/>
      <c r="AY718" s="551"/>
      <c r="AZ718" s="551"/>
      <c r="BA718" s="551"/>
      <c r="BB718" s="551"/>
      <c r="BC718" s="551"/>
      <c r="BD718" s="551">
        <f>I718</f>
        <v>4000</v>
      </c>
      <c r="BE718" s="551">
        <f>I718</f>
        <v>4000</v>
      </c>
      <c r="BF718" s="551"/>
      <c r="BG718" s="551"/>
      <c r="BH718" s="551"/>
      <c r="BI718" s="825">
        <f>I718/4</f>
        <v>1000</v>
      </c>
      <c r="BJ718" s="551"/>
      <c r="BK718" s="551"/>
      <c r="BL718" s="551"/>
      <c r="BM718" s="551"/>
      <c r="BN718" s="551"/>
      <c r="BO718" s="551"/>
      <c r="BP718" s="551"/>
      <c r="BQ718" s="551"/>
      <c r="BR718" s="551"/>
      <c r="BS718" s="551"/>
      <c r="BT718" s="551"/>
      <c r="BU718" s="551"/>
      <c r="BV718" s="551"/>
      <c r="BW718" s="551"/>
      <c r="BX718" s="551"/>
      <c r="BY718" s="551"/>
      <c r="BZ718" s="551"/>
      <c r="CA718" s="551"/>
      <c r="CB718" s="551"/>
      <c r="CC718" s="551"/>
      <c r="CD718" s="551"/>
      <c r="CE718" s="551"/>
      <c r="CF718" s="551"/>
      <c r="CG718" s="551"/>
      <c r="CH718" s="650"/>
      <c r="CI718" s="650"/>
      <c r="CJ718" s="650"/>
      <c r="CK718" s="650"/>
      <c r="CL718" s="650"/>
      <c r="CM718" s="551"/>
      <c r="CN718" s="551"/>
      <c r="CO718" s="551"/>
      <c r="CP718" s="650"/>
      <c r="CQ718" s="650"/>
      <c r="CR718" s="650"/>
      <c r="CS718" s="650"/>
      <c r="CT718" s="650"/>
      <c r="CU718" s="650"/>
    </row>
    <row r="719" s="1265" customFormat="1" ht="31" customHeight="1" spans="1:99">
      <c r="A719" s="641">
        <v>45990</v>
      </c>
      <c r="B719" s="642" t="s">
        <v>935</v>
      </c>
      <c r="C719" s="246" t="s">
        <v>302</v>
      </c>
      <c r="D719" s="551">
        <v>4500187458</v>
      </c>
      <c r="E719" s="246">
        <v>4400524944</v>
      </c>
      <c r="F719" s="551" t="s">
        <v>2846</v>
      </c>
      <c r="G719" s="659" t="s">
        <v>164</v>
      </c>
      <c r="H719" s="246" t="s">
        <v>112</v>
      </c>
      <c r="I719" s="246">
        <v>1000</v>
      </c>
      <c r="J719" s="246">
        <v>0</v>
      </c>
      <c r="K719" s="246">
        <v>8</v>
      </c>
      <c r="L719" s="644">
        <f t="shared" si="234"/>
        <v>125</v>
      </c>
      <c r="M719" s="645">
        <v>46042</v>
      </c>
      <c r="N719" s="645">
        <v>46038</v>
      </c>
      <c r="O719" s="643"/>
      <c r="P719" s="824" t="s">
        <v>113</v>
      </c>
      <c r="Q719" s="646"/>
      <c r="R719" s="646">
        <v>45990</v>
      </c>
      <c r="S719" s="646" t="s">
        <v>70</v>
      </c>
      <c r="T719" s="646" t="s">
        <v>165</v>
      </c>
      <c r="U719" s="646"/>
      <c r="V719" s="642"/>
      <c r="W719" s="642"/>
      <c r="X719" s="642" t="s">
        <v>2847</v>
      </c>
      <c r="Y719" s="647" t="s">
        <v>1549</v>
      </c>
      <c r="Z719" s="657">
        <v>4.2714</v>
      </c>
      <c r="AA719" s="647">
        <f t="shared" si="235"/>
        <v>4271.4</v>
      </c>
      <c r="AB719" s="551"/>
      <c r="AC719" s="648"/>
      <c r="AD719" s="633" t="s">
        <v>2381</v>
      </c>
      <c r="AE719" s="246" t="s">
        <v>82</v>
      </c>
      <c r="AF719" s="246"/>
      <c r="AG719" s="246"/>
      <c r="AH719" s="246">
        <v>1</v>
      </c>
      <c r="AI719" s="246">
        <v>1000</v>
      </c>
      <c r="AJ719" s="246">
        <f t="shared" si="231"/>
        <v>0</v>
      </c>
      <c r="AK719" s="246"/>
      <c r="AL719" s="246"/>
      <c r="AM719" s="551"/>
      <c r="AN719" s="551">
        <f t="shared" si="236"/>
        <v>1000</v>
      </c>
      <c r="AO719" s="1331"/>
      <c r="AP719" s="1331"/>
      <c r="AQ719" s="1331"/>
      <c r="AR719" s="551"/>
      <c r="AS719" s="551">
        <f t="shared" si="238"/>
        <v>1000</v>
      </c>
      <c r="AT719" s="551"/>
      <c r="AU719" s="551">
        <f t="shared" si="239"/>
        <v>1000</v>
      </c>
      <c r="AV719" s="551"/>
      <c r="AW719" s="551">
        <f t="shared" si="237"/>
        <v>1000</v>
      </c>
      <c r="AX719" s="651"/>
      <c r="AY719" s="551"/>
      <c r="AZ719" s="551"/>
      <c r="BA719" s="551"/>
      <c r="BB719" s="551"/>
      <c r="BC719" s="551"/>
      <c r="BD719" s="551"/>
      <c r="BE719" s="551"/>
      <c r="BF719" s="551"/>
      <c r="BG719" s="551"/>
      <c r="BH719" s="551"/>
      <c r="BI719" s="825">
        <f>I719/4</f>
        <v>250</v>
      </c>
      <c r="BJ719" s="551"/>
      <c r="BK719" s="551"/>
      <c r="BL719" s="551"/>
      <c r="BM719" s="551"/>
      <c r="BN719" s="551"/>
      <c r="BO719" s="551"/>
      <c r="BP719" s="551"/>
      <c r="BQ719" s="551"/>
      <c r="BR719" s="551"/>
      <c r="BS719" s="551"/>
      <c r="BT719" s="551"/>
      <c r="BU719" s="551"/>
      <c r="BV719" s="551"/>
      <c r="BW719" s="551"/>
      <c r="BX719" s="551"/>
      <c r="BY719" s="551"/>
      <c r="BZ719" s="551"/>
      <c r="CA719" s="551"/>
      <c r="CB719" s="551"/>
      <c r="CC719" s="551"/>
      <c r="CD719" s="551"/>
      <c r="CE719" s="551"/>
      <c r="CF719" s="551"/>
      <c r="CG719" s="551"/>
      <c r="CH719" s="650"/>
      <c r="CI719" s="650"/>
      <c r="CJ719" s="650"/>
      <c r="CK719" s="650"/>
      <c r="CL719" s="650"/>
      <c r="CM719" s="551"/>
      <c r="CN719" s="551"/>
      <c r="CO719" s="551"/>
      <c r="CP719" s="650"/>
      <c r="CQ719" s="650"/>
      <c r="CR719" s="650"/>
      <c r="CS719" s="650"/>
      <c r="CT719" s="650"/>
      <c r="CU719" s="650"/>
    </row>
    <row r="720" s="1265" customFormat="1" ht="31" customHeight="1" spans="1:99">
      <c r="A720" s="641">
        <v>45990</v>
      </c>
      <c r="B720" s="642" t="s">
        <v>1620</v>
      </c>
      <c r="C720" s="246" t="s">
        <v>278</v>
      </c>
      <c r="D720" s="551">
        <v>4500187433</v>
      </c>
      <c r="E720" s="246">
        <v>4400524894</v>
      </c>
      <c r="F720" s="551" t="s">
        <v>2848</v>
      </c>
      <c r="G720" s="659" t="s">
        <v>164</v>
      </c>
      <c r="H720" s="246" t="s">
        <v>112</v>
      </c>
      <c r="I720" s="246">
        <v>2000</v>
      </c>
      <c r="J720" s="246">
        <v>0</v>
      </c>
      <c r="K720" s="246">
        <v>8</v>
      </c>
      <c r="L720" s="644">
        <f t="shared" si="234"/>
        <v>250</v>
      </c>
      <c r="M720" s="645">
        <v>46042</v>
      </c>
      <c r="N720" s="645">
        <v>46038</v>
      </c>
      <c r="O720" s="643"/>
      <c r="P720" s="824" t="s">
        <v>113</v>
      </c>
      <c r="Q720" s="646"/>
      <c r="R720" s="646">
        <v>45990</v>
      </c>
      <c r="S720" s="646" t="s">
        <v>70</v>
      </c>
      <c r="T720" s="646" t="s">
        <v>165</v>
      </c>
      <c r="U720" s="646"/>
      <c r="V720" s="642"/>
      <c r="W720" s="642"/>
      <c r="X720" s="642" t="s">
        <v>2729</v>
      </c>
      <c r="Y720" s="647" t="s">
        <v>1549</v>
      </c>
      <c r="Z720" s="657">
        <v>4.2227</v>
      </c>
      <c r="AA720" s="647">
        <f t="shared" si="235"/>
        <v>8445.4</v>
      </c>
      <c r="AB720" s="551"/>
      <c r="AC720" s="648"/>
      <c r="AD720" s="633" t="s">
        <v>2381</v>
      </c>
      <c r="AE720" s="246" t="s">
        <v>82</v>
      </c>
      <c r="AF720" s="246"/>
      <c r="AG720" s="246"/>
      <c r="AH720" s="246">
        <v>1</v>
      </c>
      <c r="AI720" s="246">
        <f>720+1280</f>
        <v>2000</v>
      </c>
      <c r="AJ720" s="246">
        <f t="shared" si="231"/>
        <v>0</v>
      </c>
      <c r="AK720" s="246"/>
      <c r="AL720" s="246"/>
      <c r="AM720" s="551"/>
      <c r="AN720" s="551">
        <f t="shared" si="236"/>
        <v>2000</v>
      </c>
      <c r="AO720" s="1331"/>
      <c r="AP720" s="1331"/>
      <c r="AQ720" s="1331"/>
      <c r="AR720" s="551"/>
      <c r="AS720" s="551">
        <f t="shared" si="238"/>
        <v>2000</v>
      </c>
      <c r="AT720" s="551"/>
      <c r="AU720" s="551">
        <f t="shared" si="239"/>
        <v>2000</v>
      </c>
      <c r="AV720" s="551"/>
      <c r="AW720" s="551">
        <f t="shared" si="237"/>
        <v>2000</v>
      </c>
      <c r="AX720" s="651"/>
      <c r="AY720" s="551"/>
      <c r="AZ720" s="551"/>
      <c r="BA720" s="551"/>
      <c r="BB720" s="551"/>
      <c r="BC720" s="551"/>
      <c r="BD720" s="551"/>
      <c r="BE720" s="551"/>
      <c r="BF720" s="551"/>
      <c r="BG720" s="551"/>
      <c r="BH720" s="551"/>
      <c r="BI720" s="825">
        <f>I720/4</f>
        <v>500</v>
      </c>
      <c r="BJ720" s="551"/>
      <c r="BK720" s="551"/>
      <c r="BL720" s="551"/>
      <c r="BM720" s="551"/>
      <c r="BN720" s="551"/>
      <c r="BO720" s="551"/>
      <c r="BP720" s="551"/>
      <c r="BQ720" s="551"/>
      <c r="BR720" s="551"/>
      <c r="BS720" s="551"/>
      <c r="BT720" s="551"/>
      <c r="BU720" s="551"/>
      <c r="BV720" s="551"/>
      <c r="BW720" s="551"/>
      <c r="BX720" s="551"/>
      <c r="BY720" s="551"/>
      <c r="BZ720" s="551"/>
      <c r="CA720" s="551"/>
      <c r="CB720" s="551"/>
      <c r="CC720" s="551"/>
      <c r="CD720" s="551"/>
      <c r="CE720" s="551"/>
      <c r="CF720" s="551"/>
      <c r="CG720" s="551"/>
      <c r="CH720" s="650"/>
      <c r="CI720" s="650"/>
      <c r="CJ720" s="650"/>
      <c r="CK720" s="650"/>
      <c r="CL720" s="650"/>
      <c r="CM720" s="551"/>
      <c r="CN720" s="551"/>
      <c r="CO720" s="551"/>
      <c r="CP720" s="650"/>
      <c r="CQ720" s="650"/>
      <c r="CR720" s="650"/>
      <c r="CS720" s="650"/>
      <c r="CT720" s="650"/>
      <c r="CU720" s="650"/>
    </row>
    <row r="721" s="1265" customFormat="1" ht="31" customHeight="1" spans="1:99">
      <c r="A721" s="641">
        <v>45940</v>
      </c>
      <c r="B721" s="642" t="s">
        <v>559</v>
      </c>
      <c r="C721" s="246" t="s">
        <v>343</v>
      </c>
      <c r="D721" s="551">
        <v>4500181289</v>
      </c>
      <c r="E721" s="246">
        <v>4504470421</v>
      </c>
      <c r="F721" s="551" t="s">
        <v>2849</v>
      </c>
      <c r="G721" s="659" t="s">
        <v>68</v>
      </c>
      <c r="H721" s="633" t="s">
        <v>69</v>
      </c>
      <c r="I721" s="246">
        <v>600</v>
      </c>
      <c r="J721" s="246">
        <v>0</v>
      </c>
      <c r="K721" s="246">
        <v>12</v>
      </c>
      <c r="L721" s="644">
        <f t="shared" si="234"/>
        <v>50</v>
      </c>
      <c r="M721" s="645">
        <v>46044</v>
      </c>
      <c r="N721" s="645">
        <v>46041</v>
      </c>
      <c r="O721" s="643"/>
      <c r="P721" s="824" t="s">
        <v>113</v>
      </c>
      <c r="Q721" s="646"/>
      <c r="R721" s="646">
        <v>45971</v>
      </c>
      <c r="S721" s="646" t="s">
        <v>70</v>
      </c>
      <c r="T721" s="646" t="s">
        <v>1435</v>
      </c>
      <c r="U721" s="646"/>
      <c r="V721" s="642"/>
      <c r="W721" s="642"/>
      <c r="X721" s="642" t="s">
        <v>2850</v>
      </c>
      <c r="Y721" s="647" t="s">
        <v>529</v>
      </c>
      <c r="Z721" s="657">
        <v>4.1456</v>
      </c>
      <c r="AA721" s="647">
        <f t="shared" si="235"/>
        <v>2487.36</v>
      </c>
      <c r="AB721" s="551"/>
      <c r="AC721" s="648"/>
      <c r="AD721" s="633" t="s">
        <v>184</v>
      </c>
      <c r="AE721" s="246" t="s">
        <v>82</v>
      </c>
      <c r="AF721" s="246"/>
      <c r="AG721" s="246"/>
      <c r="AH721" s="246">
        <v>1</v>
      </c>
      <c r="AI721" s="246">
        <v>600</v>
      </c>
      <c r="AJ721" s="246">
        <f t="shared" si="231"/>
        <v>0</v>
      </c>
      <c r="AK721" s="246"/>
      <c r="AL721" s="246" t="s">
        <v>2368</v>
      </c>
      <c r="AM721" s="551"/>
      <c r="AN721" s="551">
        <f t="shared" si="236"/>
        <v>600</v>
      </c>
      <c r="AO721" s="1331"/>
      <c r="AP721" s="1331"/>
      <c r="AQ721" s="1331"/>
      <c r="AR721" s="551"/>
      <c r="AS721" s="551">
        <f t="shared" si="238"/>
        <v>600</v>
      </c>
      <c r="AT721" s="551"/>
      <c r="AU721" s="551">
        <f t="shared" si="239"/>
        <v>600</v>
      </c>
      <c r="AV721" s="551"/>
      <c r="AW721" s="551">
        <f t="shared" si="237"/>
        <v>600</v>
      </c>
      <c r="AX721" s="651"/>
      <c r="AY721" s="551"/>
      <c r="AZ721" s="551"/>
      <c r="BA721" s="551"/>
      <c r="BB721" s="551"/>
      <c r="BC721" s="551"/>
      <c r="BD721" s="551"/>
      <c r="BE721" s="551"/>
      <c r="BF721" s="551"/>
      <c r="BG721" s="551"/>
      <c r="BH721" s="551"/>
      <c r="BI721" s="551"/>
      <c r="BJ721" s="551"/>
      <c r="BK721" s="551"/>
      <c r="BL721" s="551"/>
      <c r="BM721" s="551"/>
      <c r="BN721" s="551"/>
      <c r="BO721" s="551"/>
      <c r="BP721" s="551"/>
      <c r="BQ721" s="551"/>
      <c r="BR721" s="551"/>
      <c r="BS721" s="551"/>
      <c r="BT721" s="551"/>
      <c r="BU721" s="551"/>
      <c r="BV721" s="551"/>
      <c r="BW721" s="551"/>
      <c r="BX721" s="551"/>
      <c r="BY721" s="551"/>
      <c r="BZ721" s="551"/>
      <c r="CA721" s="551"/>
      <c r="CB721" s="551"/>
      <c r="CC721" s="551"/>
      <c r="CD721" s="551"/>
      <c r="CE721" s="551"/>
      <c r="CF721" s="551"/>
      <c r="CG721" s="551"/>
      <c r="CH721" s="650"/>
      <c r="CI721" s="650"/>
      <c r="CJ721" s="650"/>
      <c r="CK721" s="650"/>
      <c r="CL721" s="650"/>
      <c r="CM721" s="551"/>
      <c r="CN721" s="551"/>
      <c r="CO721" s="551"/>
      <c r="CP721" s="650"/>
      <c r="CQ721" s="650"/>
      <c r="CR721" s="650"/>
      <c r="CS721" s="650"/>
      <c r="CT721" s="650"/>
      <c r="CU721" s="650"/>
    </row>
    <row r="722" s="1265" customFormat="1" ht="31" customHeight="1" spans="1:99">
      <c r="A722" s="641">
        <v>45982</v>
      </c>
      <c r="B722" s="642" t="s">
        <v>1922</v>
      </c>
      <c r="C722" s="246" t="s">
        <v>154</v>
      </c>
      <c r="D722" s="551">
        <v>4500186500</v>
      </c>
      <c r="E722" s="246" t="s">
        <v>2851</v>
      </c>
      <c r="F722" s="551" t="s">
        <v>2852</v>
      </c>
      <c r="G722" s="659" t="s">
        <v>518</v>
      </c>
      <c r="H722" s="246" t="s">
        <v>477</v>
      </c>
      <c r="I722" s="246">
        <v>504</v>
      </c>
      <c r="J722" s="246">
        <v>0</v>
      </c>
      <c r="K722" s="246">
        <v>6</v>
      </c>
      <c r="L722" s="644">
        <f t="shared" si="234"/>
        <v>84</v>
      </c>
      <c r="M722" s="645">
        <v>46044</v>
      </c>
      <c r="N722" s="645">
        <v>46041</v>
      </c>
      <c r="O722" s="643"/>
      <c r="P722" s="824" t="s">
        <v>113</v>
      </c>
      <c r="Q722" s="646"/>
      <c r="R722" s="646" t="s">
        <v>463</v>
      </c>
      <c r="S722" s="646" t="s">
        <v>104</v>
      </c>
      <c r="T722" s="646" t="s">
        <v>2853</v>
      </c>
      <c r="U722" s="646"/>
      <c r="V722" s="642"/>
      <c r="W722" s="642"/>
      <c r="X722" s="642" t="s">
        <v>2854</v>
      </c>
      <c r="Y722" s="647" t="s">
        <v>2855</v>
      </c>
      <c r="Z722" s="657">
        <v>7.1628</v>
      </c>
      <c r="AA722" s="647">
        <f t="shared" si="235"/>
        <v>3610.0512</v>
      </c>
      <c r="AB722" s="551"/>
      <c r="AC722" s="648"/>
      <c r="AD722" s="633" t="s">
        <v>480</v>
      </c>
      <c r="AE722" s="246" t="s">
        <v>82</v>
      </c>
      <c r="AF722" s="246"/>
      <c r="AG722" s="246"/>
      <c r="AH722" s="246">
        <v>1</v>
      </c>
      <c r="AI722" s="246">
        <v>504</v>
      </c>
      <c r="AJ722" s="246">
        <f t="shared" si="231"/>
        <v>0</v>
      </c>
      <c r="AK722" s="246"/>
      <c r="AL722" s="246" t="s">
        <v>2368</v>
      </c>
      <c r="AM722" s="551"/>
      <c r="AN722" s="551">
        <f t="shared" si="236"/>
        <v>504</v>
      </c>
      <c r="AO722" s="1331"/>
      <c r="AP722" s="1331"/>
      <c r="AQ722" s="1331"/>
      <c r="AR722" s="551"/>
      <c r="AS722" s="551">
        <f t="shared" si="238"/>
        <v>504</v>
      </c>
      <c r="AT722" s="551"/>
      <c r="AU722" s="551">
        <f t="shared" si="239"/>
        <v>504</v>
      </c>
      <c r="AV722" s="551"/>
      <c r="AW722" s="551">
        <f t="shared" si="237"/>
        <v>504</v>
      </c>
      <c r="AX722" s="651"/>
      <c r="AY722" s="551"/>
      <c r="AZ722" s="551"/>
      <c r="BA722" s="551"/>
      <c r="BB722" s="551"/>
      <c r="BC722" s="551"/>
      <c r="BD722" s="551"/>
      <c r="BE722" s="551"/>
      <c r="BF722" s="551"/>
      <c r="BG722" s="551"/>
      <c r="BH722" s="551"/>
      <c r="BI722" s="551"/>
      <c r="BJ722" s="551"/>
      <c r="BK722" s="551"/>
      <c r="BL722" s="551"/>
      <c r="BM722" s="551"/>
      <c r="BN722" s="551">
        <f>I722</f>
        <v>504</v>
      </c>
      <c r="BO722" s="551"/>
      <c r="BP722" s="551"/>
      <c r="BQ722" s="551"/>
      <c r="BR722" s="551"/>
      <c r="BS722" s="551"/>
      <c r="BT722" s="551"/>
      <c r="BU722" s="551"/>
      <c r="BV722" s="551"/>
      <c r="BW722" s="551"/>
      <c r="BX722" s="551"/>
      <c r="BY722" s="551"/>
      <c r="BZ722" s="551"/>
      <c r="CA722" s="551"/>
      <c r="CB722" s="551"/>
      <c r="CC722" s="551"/>
      <c r="CD722" s="551"/>
      <c r="CE722" s="551"/>
      <c r="CF722" s="551"/>
      <c r="CG722" s="551"/>
      <c r="CH722" s="650"/>
      <c r="CI722" s="650"/>
      <c r="CJ722" s="650"/>
      <c r="CK722" s="650"/>
      <c r="CL722" s="650"/>
      <c r="CM722" s="551"/>
      <c r="CN722" s="551"/>
      <c r="CO722" s="551"/>
      <c r="CP722" s="650"/>
      <c r="CQ722" s="650"/>
      <c r="CR722" s="650"/>
      <c r="CS722" s="650"/>
      <c r="CT722" s="650"/>
      <c r="CU722" s="650"/>
    </row>
    <row r="723" s="1265" customFormat="1" ht="31" customHeight="1" spans="1:99">
      <c r="A723" s="641">
        <v>45990</v>
      </c>
      <c r="B723" s="642" t="s">
        <v>1544</v>
      </c>
      <c r="C723" s="246" t="s">
        <v>2856</v>
      </c>
      <c r="D723" s="551">
        <v>4500187442</v>
      </c>
      <c r="E723" s="246">
        <v>4400524896</v>
      </c>
      <c r="F723" s="551" t="s">
        <v>2857</v>
      </c>
      <c r="G723" s="659" t="s">
        <v>164</v>
      </c>
      <c r="H723" s="246" t="s">
        <v>112</v>
      </c>
      <c r="I723" s="246">
        <v>1504</v>
      </c>
      <c r="J723" s="246">
        <v>0</v>
      </c>
      <c r="K723" s="246">
        <v>8</v>
      </c>
      <c r="L723" s="644">
        <f t="shared" si="234"/>
        <v>188</v>
      </c>
      <c r="M723" s="645">
        <v>46045</v>
      </c>
      <c r="N723" s="645">
        <v>46041</v>
      </c>
      <c r="O723" s="643"/>
      <c r="P723" s="824" t="s">
        <v>113</v>
      </c>
      <c r="Q723" s="646"/>
      <c r="R723" s="646">
        <v>45990</v>
      </c>
      <c r="S723" s="646" t="s">
        <v>70</v>
      </c>
      <c r="T723" s="646" t="s">
        <v>165</v>
      </c>
      <c r="U723" s="646"/>
      <c r="V723" s="642"/>
      <c r="W723" s="642"/>
      <c r="X723" s="642" t="s">
        <v>2729</v>
      </c>
      <c r="Y723" s="647" t="s">
        <v>1549</v>
      </c>
      <c r="Z723" s="657">
        <v>4.2714</v>
      </c>
      <c r="AA723" s="647">
        <f t="shared" si="235"/>
        <v>6424.1856</v>
      </c>
      <c r="AB723" s="551"/>
      <c r="AC723" s="648"/>
      <c r="AD723" s="633" t="s">
        <v>2381</v>
      </c>
      <c r="AE723" s="246" t="s">
        <v>82</v>
      </c>
      <c r="AF723" s="246"/>
      <c r="AG723" s="246"/>
      <c r="AH723" s="246">
        <v>1</v>
      </c>
      <c r="AI723" s="246">
        <v>1504</v>
      </c>
      <c r="AJ723" s="246">
        <f t="shared" si="231"/>
        <v>0</v>
      </c>
      <c r="AK723" s="246"/>
      <c r="AL723" s="246"/>
      <c r="AM723" s="551"/>
      <c r="AN723" s="551">
        <f t="shared" si="236"/>
        <v>1504</v>
      </c>
      <c r="AO723" s="1331"/>
      <c r="AP723" s="1331"/>
      <c r="AQ723" s="1331"/>
      <c r="AR723" s="551"/>
      <c r="AS723" s="551">
        <f t="shared" si="238"/>
        <v>1504</v>
      </c>
      <c r="AT723" s="551"/>
      <c r="AU723" s="551">
        <f t="shared" si="239"/>
        <v>1504</v>
      </c>
      <c r="AV723" s="551"/>
      <c r="AW723" s="551">
        <f t="shared" si="237"/>
        <v>1504</v>
      </c>
      <c r="AX723" s="651"/>
      <c r="AY723" s="551"/>
      <c r="AZ723" s="551"/>
      <c r="BA723" s="551"/>
      <c r="BB723" s="551"/>
      <c r="BC723" s="551"/>
      <c r="BD723" s="551"/>
      <c r="BE723" s="551"/>
      <c r="BF723" s="551"/>
      <c r="BG723" s="551"/>
      <c r="BH723" s="551"/>
      <c r="BI723" s="825">
        <f>I723/4</f>
        <v>376</v>
      </c>
      <c r="BJ723" s="551"/>
      <c r="BK723" s="551"/>
      <c r="BL723" s="551"/>
      <c r="BM723" s="551"/>
      <c r="BN723" s="551"/>
      <c r="BO723" s="551"/>
      <c r="BP723" s="551"/>
      <c r="BQ723" s="551"/>
      <c r="BR723" s="551"/>
      <c r="BS723" s="551"/>
      <c r="BT723" s="551"/>
      <c r="BU723" s="551"/>
      <c r="BV723" s="551"/>
      <c r="BW723" s="551"/>
      <c r="BX723" s="551"/>
      <c r="BY723" s="551"/>
      <c r="BZ723" s="551"/>
      <c r="CA723" s="551"/>
      <c r="CB723" s="551"/>
      <c r="CC723" s="551"/>
      <c r="CD723" s="551"/>
      <c r="CE723" s="551"/>
      <c r="CF723" s="551"/>
      <c r="CG723" s="551"/>
      <c r="CH723" s="650"/>
      <c r="CI723" s="650"/>
      <c r="CJ723" s="650"/>
      <c r="CK723" s="650"/>
      <c r="CL723" s="650"/>
      <c r="CM723" s="551"/>
      <c r="CN723" s="551"/>
      <c r="CO723" s="551"/>
      <c r="CP723" s="650"/>
      <c r="CQ723" s="650"/>
      <c r="CR723" s="650"/>
      <c r="CS723" s="650"/>
      <c r="CT723" s="650"/>
      <c r="CU723" s="650"/>
    </row>
    <row r="724" s="1265" customFormat="1" ht="31" customHeight="1" spans="1:99">
      <c r="A724" s="641">
        <v>46008</v>
      </c>
      <c r="B724" s="642" t="s">
        <v>2858</v>
      </c>
      <c r="C724" s="246" t="s">
        <v>154</v>
      </c>
      <c r="D724" s="551">
        <v>4500189254</v>
      </c>
      <c r="E724" s="246" t="s">
        <v>2859</v>
      </c>
      <c r="F724" s="551" t="s">
        <v>2860</v>
      </c>
      <c r="G724" s="659" t="s">
        <v>111</v>
      </c>
      <c r="H724" s="246" t="s">
        <v>112</v>
      </c>
      <c r="I724" s="246">
        <v>640</v>
      </c>
      <c r="J724" s="246">
        <v>0</v>
      </c>
      <c r="K724" s="246">
        <v>16</v>
      </c>
      <c r="L724" s="644">
        <f t="shared" si="234"/>
        <v>40</v>
      </c>
      <c r="M724" s="645">
        <v>46048</v>
      </c>
      <c r="N724" s="645">
        <v>46044</v>
      </c>
      <c r="O724" s="643"/>
      <c r="P724" s="824" t="s">
        <v>113</v>
      </c>
      <c r="Q724" s="646"/>
      <c r="R724" s="646">
        <v>46016</v>
      </c>
      <c r="S724" s="646" t="s">
        <v>70</v>
      </c>
      <c r="T724" s="646" t="s">
        <v>2861</v>
      </c>
      <c r="U724" s="646"/>
      <c r="V724" s="642"/>
      <c r="W724" s="642" t="s">
        <v>2862</v>
      </c>
      <c r="X724" s="642" t="s">
        <v>2863</v>
      </c>
      <c r="Y724" s="647" t="s">
        <v>472</v>
      </c>
      <c r="Z724" s="657">
        <v>4.2542</v>
      </c>
      <c r="AA724" s="647">
        <f t="shared" si="235"/>
        <v>2722.688</v>
      </c>
      <c r="AB724" s="551"/>
      <c r="AC724" s="648"/>
      <c r="AD724" s="633" t="s">
        <v>447</v>
      </c>
      <c r="AE724" s="246" t="s">
        <v>82</v>
      </c>
      <c r="AF724" s="246"/>
      <c r="AG724" s="246"/>
      <c r="AH724" s="246">
        <v>1</v>
      </c>
      <c r="AI724" s="246">
        <v>640</v>
      </c>
      <c r="AJ724" s="246">
        <f t="shared" si="231"/>
        <v>0</v>
      </c>
      <c r="AK724" s="246"/>
      <c r="AL724" s="246" t="s">
        <v>2368</v>
      </c>
      <c r="AM724" s="551"/>
      <c r="AN724" s="551">
        <f t="shared" si="236"/>
        <v>640</v>
      </c>
      <c r="AO724" s="1331"/>
      <c r="AP724" s="1331"/>
      <c r="AQ724" s="1331"/>
      <c r="AR724" s="551"/>
      <c r="AS724" s="551">
        <f t="shared" si="238"/>
        <v>640</v>
      </c>
      <c r="AT724" s="551"/>
      <c r="AU724" s="551">
        <f t="shared" ref="AU724:AU731" si="240">I724</f>
        <v>640</v>
      </c>
      <c r="AV724" s="551"/>
      <c r="AW724" s="551">
        <f t="shared" si="237"/>
        <v>640</v>
      </c>
      <c r="AX724" s="651"/>
      <c r="AY724" s="551"/>
      <c r="AZ724" s="551"/>
      <c r="BA724" s="551"/>
      <c r="BB724" s="551"/>
      <c r="BC724" s="551"/>
      <c r="BD724" s="551"/>
      <c r="BE724" s="551"/>
      <c r="BF724" s="551"/>
      <c r="BG724" s="551"/>
      <c r="BH724" s="551"/>
      <c r="BI724" s="825">
        <f>I724/4</f>
        <v>160</v>
      </c>
      <c r="BJ724" s="551"/>
      <c r="BK724" s="551"/>
      <c r="BL724" s="551"/>
      <c r="BM724" s="551"/>
      <c r="BN724" s="551"/>
      <c r="BO724" s="551"/>
      <c r="BP724" s="551"/>
      <c r="BQ724" s="551"/>
      <c r="BR724" s="551"/>
      <c r="BS724" s="551"/>
      <c r="BT724" s="551"/>
      <c r="BU724" s="551"/>
      <c r="BV724" s="551"/>
      <c r="BW724" s="551"/>
      <c r="BX724" s="551"/>
      <c r="BY724" s="551"/>
      <c r="BZ724" s="551"/>
      <c r="CA724" s="551"/>
      <c r="CB724" s="551"/>
      <c r="CC724" s="551"/>
      <c r="CD724" s="551"/>
      <c r="CE724" s="551"/>
      <c r="CF724" s="551"/>
      <c r="CG724" s="551"/>
      <c r="CH724" s="650"/>
      <c r="CI724" s="650"/>
      <c r="CJ724" s="650"/>
      <c r="CK724" s="650"/>
      <c r="CL724" s="650"/>
      <c r="CM724" s="551"/>
      <c r="CN724" s="551"/>
      <c r="CO724" s="551"/>
      <c r="CP724" s="650"/>
      <c r="CQ724" s="650"/>
      <c r="CR724" s="650"/>
      <c r="CS724" s="650"/>
      <c r="CT724" s="650"/>
      <c r="CU724" s="650"/>
    </row>
    <row r="725" s="1265" customFormat="1" ht="31" customHeight="1" spans="1:99">
      <c r="A725" s="641">
        <v>45982</v>
      </c>
      <c r="B725" s="642" t="s">
        <v>1004</v>
      </c>
      <c r="C725" s="246" t="s">
        <v>98</v>
      </c>
      <c r="D725" s="551">
        <v>4500186456</v>
      </c>
      <c r="E725" s="246" t="s">
        <v>2864</v>
      </c>
      <c r="F725" s="551" t="s">
        <v>2865</v>
      </c>
      <c r="G725" s="659" t="s">
        <v>101</v>
      </c>
      <c r="H725" s="246" t="s">
        <v>102</v>
      </c>
      <c r="I725" s="246">
        <v>580</v>
      </c>
      <c r="J725" s="246">
        <v>0</v>
      </c>
      <c r="K725" s="246">
        <v>4</v>
      </c>
      <c r="L725" s="644">
        <f t="shared" si="234"/>
        <v>145</v>
      </c>
      <c r="M725" s="645">
        <v>46048</v>
      </c>
      <c r="N725" s="645">
        <v>46044</v>
      </c>
      <c r="O725" s="643"/>
      <c r="P725" s="824" t="s">
        <v>113</v>
      </c>
      <c r="Q725" s="646"/>
      <c r="R725" s="646">
        <v>45985</v>
      </c>
      <c r="S725" s="646" t="s">
        <v>70</v>
      </c>
      <c r="T725" s="646" t="s">
        <v>70</v>
      </c>
      <c r="U725" s="646"/>
      <c r="V725" s="642"/>
      <c r="W725" s="642"/>
      <c r="X725" s="642" t="s">
        <v>2866</v>
      </c>
      <c r="Y725" s="647" t="s">
        <v>882</v>
      </c>
      <c r="Z725" s="657">
        <v>2.6035</v>
      </c>
      <c r="AA725" s="647">
        <f t="shared" si="235"/>
        <v>1510.03</v>
      </c>
      <c r="AB725" s="551"/>
      <c r="AC725" s="658" t="s">
        <v>2867</v>
      </c>
      <c r="AD725" s="633" t="s">
        <v>101</v>
      </c>
      <c r="AE725" s="246" t="s">
        <v>82</v>
      </c>
      <c r="AF725" s="246"/>
      <c r="AG725" s="246"/>
      <c r="AH725" s="246">
        <v>1</v>
      </c>
      <c r="AI725" s="246">
        <v>580</v>
      </c>
      <c r="AJ725" s="246">
        <f t="shared" si="231"/>
        <v>0</v>
      </c>
      <c r="AK725" s="246"/>
      <c r="AL725" s="246"/>
      <c r="AM725" s="551"/>
      <c r="AN725" s="551">
        <f t="shared" si="236"/>
        <v>580</v>
      </c>
      <c r="AO725" s="1331"/>
      <c r="AP725" s="1331"/>
      <c r="AQ725" s="1331"/>
      <c r="AR725" s="551">
        <f>I725</f>
        <v>580</v>
      </c>
      <c r="AS725" s="551"/>
      <c r="AT725" s="551"/>
      <c r="AU725" s="551">
        <f t="shared" si="240"/>
        <v>580</v>
      </c>
      <c r="AV725" s="551"/>
      <c r="AW725" s="551">
        <f t="shared" si="237"/>
        <v>580</v>
      </c>
      <c r="AX725" s="651"/>
      <c r="AY725" s="551"/>
      <c r="AZ725" s="551"/>
      <c r="BA725" s="551"/>
      <c r="BB725" s="551"/>
      <c r="BC725" s="551"/>
      <c r="BD725" s="551"/>
      <c r="BE725" s="551"/>
      <c r="BF725" s="551"/>
      <c r="BG725" s="551"/>
      <c r="BH725" s="825">
        <f>I725/4</f>
        <v>145</v>
      </c>
      <c r="BI725" s="551"/>
      <c r="BJ725" s="551"/>
      <c r="BK725" s="551"/>
      <c r="BL725" s="551"/>
      <c r="BM725" s="551"/>
      <c r="BN725" s="551"/>
      <c r="BO725" s="551"/>
      <c r="BP725" s="551"/>
      <c r="BQ725" s="551"/>
      <c r="BR725" s="551"/>
      <c r="BS725" s="551"/>
      <c r="BT725" s="551"/>
      <c r="BU725" s="551"/>
      <c r="BV725" s="551"/>
      <c r="BW725" s="551"/>
      <c r="BX725" s="551"/>
      <c r="BY725" s="551"/>
      <c r="BZ725" s="551"/>
      <c r="CA725" s="551"/>
      <c r="CB725" s="551"/>
      <c r="CC725" s="551"/>
      <c r="CD725" s="551"/>
      <c r="CE725" s="551"/>
      <c r="CF725" s="551"/>
      <c r="CG725" s="551"/>
      <c r="CH725" s="650"/>
      <c r="CI725" s="650"/>
      <c r="CJ725" s="650"/>
      <c r="CK725" s="650"/>
      <c r="CL725" s="650"/>
      <c r="CM725" s="551"/>
      <c r="CN725" s="551"/>
      <c r="CO725" s="551"/>
      <c r="CP725" s="650"/>
      <c r="CQ725" s="650"/>
      <c r="CR725" s="650"/>
      <c r="CS725" s="650"/>
      <c r="CT725" s="650"/>
      <c r="CU725" s="650"/>
    </row>
    <row r="726" s="1265" customFormat="1" ht="31" customHeight="1" spans="1:99">
      <c r="A726" s="641">
        <v>45988</v>
      </c>
      <c r="B726" s="642" t="s">
        <v>143</v>
      </c>
      <c r="C726" s="246" t="s">
        <v>98</v>
      </c>
      <c r="D726" s="551">
        <v>4500187246</v>
      </c>
      <c r="E726" s="1415" t="s">
        <v>2868</v>
      </c>
      <c r="F726" s="551" t="s">
        <v>2869</v>
      </c>
      <c r="G726" s="659" t="s">
        <v>101</v>
      </c>
      <c r="H726" s="246" t="s">
        <v>102</v>
      </c>
      <c r="I726" s="246">
        <v>13440</v>
      </c>
      <c r="J726" s="246">
        <v>0</v>
      </c>
      <c r="K726" s="246">
        <v>4</v>
      </c>
      <c r="L726" s="644">
        <f t="shared" si="234"/>
        <v>3360</v>
      </c>
      <c r="M726" s="645">
        <v>46041</v>
      </c>
      <c r="N726" s="645">
        <v>46037</v>
      </c>
      <c r="O726" s="643" t="s">
        <v>2870</v>
      </c>
      <c r="P726" s="824" t="s">
        <v>113</v>
      </c>
      <c r="Q726" s="646"/>
      <c r="R726" s="646" t="s">
        <v>2184</v>
      </c>
      <c r="S726" s="646" t="s">
        <v>70</v>
      </c>
      <c r="T726" s="646" t="s">
        <v>148</v>
      </c>
      <c r="U726" s="646"/>
      <c r="V726" s="642"/>
      <c r="W726" s="642"/>
      <c r="X726" s="642" t="s">
        <v>1395</v>
      </c>
      <c r="Y726" s="647" t="s">
        <v>106</v>
      </c>
      <c r="Z726" s="657">
        <v>2.5238</v>
      </c>
      <c r="AA726" s="647">
        <f t="shared" si="235"/>
        <v>33919.872</v>
      </c>
      <c r="AB726" s="551"/>
      <c r="AC726" s="658" t="s">
        <v>2871</v>
      </c>
      <c r="AD726" s="633" t="s">
        <v>101</v>
      </c>
      <c r="AE726" s="246" t="s">
        <v>82</v>
      </c>
      <c r="AF726" s="246"/>
      <c r="AG726" s="246"/>
      <c r="AH726" s="246">
        <v>1</v>
      </c>
      <c r="AI726" s="246">
        <f>8+2760+9260+1412</f>
        <v>13440</v>
      </c>
      <c r="AJ726" s="246">
        <f t="shared" si="231"/>
        <v>0</v>
      </c>
      <c r="AK726" s="246"/>
      <c r="AL726" s="246"/>
      <c r="AM726" s="551"/>
      <c r="AN726" s="551">
        <f t="shared" si="236"/>
        <v>13440</v>
      </c>
      <c r="AO726" s="1331"/>
      <c r="AP726" s="1331"/>
      <c r="AQ726" s="1331"/>
      <c r="AR726" s="551">
        <f>I726</f>
        <v>13440</v>
      </c>
      <c r="AS726" s="551"/>
      <c r="AT726" s="551"/>
      <c r="AU726" s="551">
        <f t="shared" si="240"/>
        <v>13440</v>
      </c>
      <c r="AV726" s="551"/>
      <c r="AW726" s="551">
        <f t="shared" si="237"/>
        <v>13440</v>
      </c>
      <c r="AX726" s="651"/>
      <c r="AY726" s="551"/>
      <c r="AZ726" s="551"/>
      <c r="BA726" s="551"/>
      <c r="BB726" s="551"/>
      <c r="BC726" s="551"/>
      <c r="BD726" s="551"/>
      <c r="BE726" s="551"/>
      <c r="BF726" s="551"/>
      <c r="BG726" s="551"/>
      <c r="BH726" s="825">
        <f>I726/4</f>
        <v>3360</v>
      </c>
      <c r="BI726" s="551"/>
      <c r="BJ726" s="551"/>
      <c r="BK726" s="551"/>
      <c r="BL726" s="551"/>
      <c r="BM726" s="551"/>
      <c r="BN726" s="551"/>
      <c r="BO726" s="551"/>
      <c r="BP726" s="551"/>
      <c r="BQ726" s="551"/>
      <c r="BR726" s="551"/>
      <c r="BS726" s="551"/>
      <c r="BT726" s="551"/>
      <c r="BU726" s="551"/>
      <c r="BV726" s="551"/>
      <c r="BW726" s="551"/>
      <c r="BX726" s="551"/>
      <c r="BY726" s="551"/>
      <c r="BZ726" s="551"/>
      <c r="CA726" s="551"/>
      <c r="CB726" s="551"/>
      <c r="CC726" s="551"/>
      <c r="CD726" s="551"/>
      <c r="CE726" s="551"/>
      <c r="CF726" s="551"/>
      <c r="CG726" s="551"/>
      <c r="CH726" s="650"/>
      <c r="CI726" s="650"/>
      <c r="CJ726" s="650"/>
      <c r="CK726" s="650"/>
      <c r="CL726" s="650"/>
      <c r="CM726" s="551"/>
      <c r="CN726" s="551"/>
      <c r="CO726" s="551"/>
      <c r="CP726" s="650"/>
      <c r="CQ726" s="650"/>
      <c r="CR726" s="650"/>
      <c r="CS726" s="650"/>
      <c r="CT726" s="650"/>
      <c r="CU726" s="650"/>
    </row>
    <row r="727" s="1265" customFormat="1" ht="31" customHeight="1" spans="1:99">
      <c r="A727" s="641">
        <v>45988</v>
      </c>
      <c r="B727" s="642" t="s">
        <v>143</v>
      </c>
      <c r="C727" s="246" t="s">
        <v>98</v>
      </c>
      <c r="D727" s="551">
        <v>4500187246</v>
      </c>
      <c r="E727" s="1415" t="s">
        <v>2872</v>
      </c>
      <c r="F727" s="551" t="s">
        <v>2873</v>
      </c>
      <c r="G727" s="659" t="s">
        <v>101</v>
      </c>
      <c r="H727" s="246" t="s">
        <v>102</v>
      </c>
      <c r="I727" s="246">
        <v>9280</v>
      </c>
      <c r="J727" s="246">
        <v>0</v>
      </c>
      <c r="K727" s="246">
        <v>4</v>
      </c>
      <c r="L727" s="644">
        <f t="shared" si="234"/>
        <v>2320</v>
      </c>
      <c r="M727" s="645">
        <v>46041</v>
      </c>
      <c r="N727" s="645">
        <v>46037</v>
      </c>
      <c r="O727" s="643" t="s">
        <v>2870</v>
      </c>
      <c r="P727" s="824" t="s">
        <v>113</v>
      </c>
      <c r="Q727" s="646"/>
      <c r="R727" s="646" t="s">
        <v>2184</v>
      </c>
      <c r="S727" s="646" t="s">
        <v>70</v>
      </c>
      <c r="T727" s="646" t="s">
        <v>148</v>
      </c>
      <c r="U727" s="646"/>
      <c r="V727" s="642"/>
      <c r="W727" s="642"/>
      <c r="X727" s="642" t="s">
        <v>1395</v>
      </c>
      <c r="Y727" s="647" t="s">
        <v>106</v>
      </c>
      <c r="Z727" s="657">
        <v>2.5656</v>
      </c>
      <c r="AA727" s="647">
        <f t="shared" si="235"/>
        <v>23808.768</v>
      </c>
      <c r="AB727" s="551"/>
      <c r="AC727" s="658" t="s">
        <v>2874</v>
      </c>
      <c r="AD727" s="633" t="s">
        <v>101</v>
      </c>
      <c r="AE727" s="246" t="s">
        <v>82</v>
      </c>
      <c r="AF727" s="246"/>
      <c r="AG727" s="246"/>
      <c r="AH727" s="246">
        <v>1</v>
      </c>
      <c r="AI727" s="246">
        <f>8+2148+7124</f>
        <v>9280</v>
      </c>
      <c r="AJ727" s="246">
        <f t="shared" si="231"/>
        <v>0</v>
      </c>
      <c r="AK727" s="246"/>
      <c r="AL727" s="246"/>
      <c r="AM727" s="551"/>
      <c r="AN727" s="551">
        <f t="shared" si="236"/>
        <v>9280</v>
      </c>
      <c r="AO727" s="1331"/>
      <c r="AP727" s="1331"/>
      <c r="AQ727" s="1331"/>
      <c r="AR727" s="551">
        <f>I727</f>
        <v>9280</v>
      </c>
      <c r="AS727" s="551"/>
      <c r="AT727" s="551"/>
      <c r="AU727" s="551">
        <f t="shared" si="240"/>
        <v>9280</v>
      </c>
      <c r="AV727" s="551"/>
      <c r="AW727" s="551">
        <f t="shared" si="237"/>
        <v>9280</v>
      </c>
      <c r="AX727" s="651"/>
      <c r="AY727" s="551"/>
      <c r="AZ727" s="551"/>
      <c r="BA727" s="551"/>
      <c r="BB727" s="551"/>
      <c r="BC727" s="551"/>
      <c r="BD727" s="551"/>
      <c r="BE727" s="551"/>
      <c r="BF727" s="551"/>
      <c r="BG727" s="551"/>
      <c r="BH727" s="825">
        <f>I727/4</f>
        <v>2320</v>
      </c>
      <c r="BI727" s="551"/>
      <c r="BJ727" s="551"/>
      <c r="BK727" s="551"/>
      <c r="BL727" s="551"/>
      <c r="BM727" s="551"/>
      <c r="BN727" s="551"/>
      <c r="BO727" s="551"/>
      <c r="BP727" s="551"/>
      <c r="BQ727" s="551"/>
      <c r="BR727" s="551"/>
      <c r="BS727" s="551"/>
      <c r="BT727" s="551"/>
      <c r="BU727" s="551"/>
      <c r="BV727" s="551"/>
      <c r="BW727" s="551"/>
      <c r="BX727" s="551"/>
      <c r="BY727" s="551"/>
      <c r="BZ727" s="551"/>
      <c r="CA727" s="551"/>
      <c r="CB727" s="551"/>
      <c r="CC727" s="551"/>
      <c r="CD727" s="551"/>
      <c r="CE727" s="551"/>
      <c r="CF727" s="551"/>
      <c r="CG727" s="551"/>
      <c r="CH727" s="650"/>
      <c r="CI727" s="650"/>
      <c r="CJ727" s="650"/>
      <c r="CK727" s="650"/>
      <c r="CL727" s="650"/>
      <c r="CM727" s="551"/>
      <c r="CN727" s="551"/>
      <c r="CO727" s="551"/>
      <c r="CP727" s="650"/>
      <c r="CQ727" s="650"/>
      <c r="CR727" s="650"/>
      <c r="CS727" s="650"/>
      <c r="CT727" s="650"/>
      <c r="CU727" s="650"/>
    </row>
    <row r="728" s="1265" customFormat="1" ht="31" customHeight="1" spans="1:99">
      <c r="A728" s="641">
        <v>45993</v>
      </c>
      <c r="B728" s="642" t="s">
        <v>757</v>
      </c>
      <c r="C728" s="246" t="s">
        <v>758</v>
      </c>
      <c r="D728" s="551">
        <v>4500187640</v>
      </c>
      <c r="E728" s="246" t="s">
        <v>2875</v>
      </c>
      <c r="F728" s="551" t="s">
        <v>2876</v>
      </c>
      <c r="G728" s="659" t="s">
        <v>68</v>
      </c>
      <c r="H728" s="633" t="s">
        <v>69</v>
      </c>
      <c r="I728" s="246">
        <v>804</v>
      </c>
      <c r="J728" s="246">
        <v>0</v>
      </c>
      <c r="K728" s="246">
        <v>12</v>
      </c>
      <c r="L728" s="644">
        <f t="shared" si="234"/>
        <v>67</v>
      </c>
      <c r="M728" s="645">
        <v>46042</v>
      </c>
      <c r="N728" s="645">
        <v>46038</v>
      </c>
      <c r="O728" s="643"/>
      <c r="P728" s="824" t="s">
        <v>113</v>
      </c>
      <c r="Q728" s="646"/>
      <c r="R728" s="646">
        <v>45999</v>
      </c>
      <c r="S728" s="646" t="s">
        <v>70</v>
      </c>
      <c r="T728" s="646" t="s">
        <v>2877</v>
      </c>
      <c r="U728" s="646"/>
      <c r="V728" s="642"/>
      <c r="W728" s="642"/>
      <c r="X728" s="642" t="s">
        <v>2878</v>
      </c>
      <c r="Y728" s="647" t="s">
        <v>529</v>
      </c>
      <c r="Z728" s="657">
        <v>4.1623</v>
      </c>
      <c r="AA728" s="647">
        <f t="shared" si="235"/>
        <v>3346.4892</v>
      </c>
      <c r="AB728" s="551"/>
      <c r="AC728" s="648"/>
      <c r="AD728" s="633" t="s">
        <v>184</v>
      </c>
      <c r="AE728" s="246" t="s">
        <v>82</v>
      </c>
      <c r="AF728" s="246"/>
      <c r="AG728" s="246"/>
      <c r="AH728" s="246">
        <v>1</v>
      </c>
      <c r="AI728" s="246">
        <v>804</v>
      </c>
      <c r="AJ728" s="246">
        <f t="shared" si="231"/>
        <v>0</v>
      </c>
      <c r="AK728" s="246"/>
      <c r="AL728" s="246" t="s">
        <v>2368</v>
      </c>
      <c r="AM728" s="551"/>
      <c r="AN728" s="551">
        <f t="shared" si="236"/>
        <v>804</v>
      </c>
      <c r="AO728" s="1331"/>
      <c r="AP728" s="1331"/>
      <c r="AQ728" s="1331"/>
      <c r="AR728" s="551"/>
      <c r="AS728" s="551">
        <f>I728</f>
        <v>804</v>
      </c>
      <c r="AT728" s="551"/>
      <c r="AU728" s="551">
        <f t="shared" si="240"/>
        <v>804</v>
      </c>
      <c r="AV728" s="551"/>
      <c r="AW728" s="551">
        <f t="shared" si="237"/>
        <v>804</v>
      </c>
      <c r="AX728" s="651"/>
      <c r="AY728" s="551"/>
      <c r="AZ728" s="551"/>
      <c r="BA728" s="551"/>
      <c r="BB728" s="551"/>
      <c r="BC728" s="551"/>
      <c r="BD728" s="551"/>
      <c r="BE728" s="551"/>
      <c r="BF728" s="551"/>
      <c r="BG728" s="551"/>
      <c r="BH728" s="551"/>
      <c r="BI728" s="551"/>
      <c r="BJ728" s="551"/>
      <c r="BK728" s="551"/>
      <c r="BL728" s="551"/>
      <c r="BM728" s="551"/>
      <c r="BN728" s="551"/>
      <c r="BO728" s="551"/>
      <c r="BP728" s="551"/>
      <c r="BQ728" s="551"/>
      <c r="BR728" s="551"/>
      <c r="BS728" s="551"/>
      <c r="BT728" s="551"/>
      <c r="BU728" s="551"/>
      <c r="BV728" s="551"/>
      <c r="BW728" s="551"/>
      <c r="BX728" s="551"/>
      <c r="BY728" s="551"/>
      <c r="BZ728" s="551"/>
      <c r="CA728" s="551"/>
      <c r="CB728" s="551"/>
      <c r="CC728" s="551"/>
      <c r="CD728" s="551"/>
      <c r="CE728" s="551"/>
      <c r="CF728" s="551"/>
      <c r="CG728" s="551"/>
      <c r="CH728" s="650"/>
      <c r="CI728" s="650"/>
      <c r="CJ728" s="650"/>
      <c r="CK728" s="650"/>
      <c r="CL728" s="650"/>
      <c r="CM728" s="551"/>
      <c r="CN728" s="551"/>
      <c r="CO728" s="551"/>
      <c r="CP728" s="650"/>
      <c r="CQ728" s="650"/>
      <c r="CR728" s="650"/>
      <c r="CS728" s="650"/>
      <c r="CT728" s="650"/>
      <c r="CU728" s="650"/>
    </row>
    <row r="729" s="1265" customFormat="1" ht="31" customHeight="1" spans="1:99">
      <c r="A729" s="641">
        <v>45981</v>
      </c>
      <c r="B729" s="642" t="s">
        <v>2879</v>
      </c>
      <c r="C729" s="246" t="s">
        <v>469</v>
      </c>
      <c r="D729" s="551">
        <v>4500186268</v>
      </c>
      <c r="E729" s="246" t="s">
        <v>2880</v>
      </c>
      <c r="F729" s="551" t="s">
        <v>2881</v>
      </c>
      <c r="G729" s="659" t="s">
        <v>68</v>
      </c>
      <c r="H729" s="633" t="s">
        <v>69</v>
      </c>
      <c r="I729" s="246">
        <v>492</v>
      </c>
      <c r="J729" s="246">
        <v>0</v>
      </c>
      <c r="K729" s="246">
        <v>12</v>
      </c>
      <c r="L729" s="644">
        <f t="shared" si="234"/>
        <v>41</v>
      </c>
      <c r="M729" s="645">
        <v>46044</v>
      </c>
      <c r="N729" s="645">
        <v>46041</v>
      </c>
      <c r="O729" s="643"/>
      <c r="P729" s="824" t="s">
        <v>113</v>
      </c>
      <c r="Q729" s="646"/>
      <c r="R729" s="646">
        <v>45986</v>
      </c>
      <c r="S729" s="646" t="s">
        <v>70</v>
      </c>
      <c r="T729" s="646" t="s">
        <v>2882</v>
      </c>
      <c r="U729" s="646"/>
      <c r="V729" s="642"/>
      <c r="W729" s="642"/>
      <c r="X729" s="642" t="s">
        <v>2883</v>
      </c>
      <c r="Y729" s="647" t="s">
        <v>466</v>
      </c>
      <c r="Z729" s="657">
        <v>4.1623</v>
      </c>
      <c r="AA729" s="647">
        <f t="shared" si="235"/>
        <v>2047.8516</v>
      </c>
      <c r="AB729" s="551"/>
      <c r="AC729" s="648"/>
      <c r="AD729" s="633" t="s">
        <v>184</v>
      </c>
      <c r="AE729" s="246" t="s">
        <v>82</v>
      </c>
      <c r="AF729" s="246"/>
      <c r="AG729" s="246"/>
      <c r="AH729" s="246">
        <v>1</v>
      </c>
      <c r="AI729" s="246">
        <v>492</v>
      </c>
      <c r="AJ729" s="246">
        <f t="shared" si="231"/>
        <v>0</v>
      </c>
      <c r="AK729" s="246"/>
      <c r="AL729" s="246" t="s">
        <v>2368</v>
      </c>
      <c r="AM729" s="551"/>
      <c r="AN729" s="551">
        <f t="shared" si="236"/>
        <v>492</v>
      </c>
      <c r="AO729" s="1331"/>
      <c r="AP729" s="1331"/>
      <c r="AQ729" s="1331"/>
      <c r="AR729" s="551"/>
      <c r="AS729" s="551">
        <f>I729</f>
        <v>492</v>
      </c>
      <c r="AT729" s="551"/>
      <c r="AU729" s="551">
        <f t="shared" si="240"/>
        <v>492</v>
      </c>
      <c r="AV729" s="551"/>
      <c r="AW729" s="551">
        <f t="shared" si="237"/>
        <v>492</v>
      </c>
      <c r="AX729" s="651"/>
      <c r="AY729" s="551"/>
      <c r="AZ729" s="551"/>
      <c r="BA729" s="551"/>
      <c r="BB729" s="551"/>
      <c r="BC729" s="551"/>
      <c r="BD729" s="551"/>
      <c r="BE729" s="551"/>
      <c r="BF729" s="551"/>
      <c r="BG729" s="551"/>
      <c r="BH729" s="551"/>
      <c r="BI729" s="551"/>
      <c r="BJ729" s="551"/>
      <c r="BK729" s="551"/>
      <c r="BL729" s="551"/>
      <c r="BM729" s="551"/>
      <c r="BN729" s="551"/>
      <c r="BO729" s="551"/>
      <c r="BP729" s="551"/>
      <c r="BQ729" s="551"/>
      <c r="BR729" s="551"/>
      <c r="BS729" s="551"/>
      <c r="BT729" s="551"/>
      <c r="BU729" s="551"/>
      <c r="BV729" s="551"/>
      <c r="BW729" s="551"/>
      <c r="BX729" s="551"/>
      <c r="BY729" s="551"/>
      <c r="BZ729" s="551"/>
      <c r="CA729" s="551"/>
      <c r="CB729" s="551"/>
      <c r="CC729" s="551"/>
      <c r="CD729" s="551"/>
      <c r="CE729" s="551"/>
      <c r="CF729" s="551"/>
      <c r="CG729" s="551"/>
      <c r="CH729" s="650"/>
      <c r="CI729" s="650"/>
      <c r="CJ729" s="650"/>
      <c r="CK729" s="650"/>
      <c r="CL729" s="650"/>
      <c r="CM729" s="551"/>
      <c r="CN729" s="551"/>
      <c r="CO729" s="551"/>
      <c r="CP729" s="650"/>
      <c r="CQ729" s="650"/>
      <c r="CR729" s="650"/>
      <c r="CS729" s="650"/>
      <c r="CT729" s="650"/>
      <c r="CU729" s="650"/>
    </row>
    <row r="730" s="1265" customFormat="1" ht="31" customHeight="1" spans="1:99">
      <c r="A730" s="641">
        <v>45985</v>
      </c>
      <c r="B730" s="642" t="s">
        <v>2734</v>
      </c>
      <c r="C730" s="246" t="s">
        <v>98</v>
      </c>
      <c r="D730" s="551">
        <v>4500186392</v>
      </c>
      <c r="E730" s="246">
        <v>60261201</v>
      </c>
      <c r="F730" s="551" t="s">
        <v>2884</v>
      </c>
      <c r="G730" s="659" t="s">
        <v>2736</v>
      </c>
      <c r="H730" s="246" t="s">
        <v>2737</v>
      </c>
      <c r="I730" s="246">
        <v>2000</v>
      </c>
      <c r="J730" s="246">
        <v>0</v>
      </c>
      <c r="K730" s="246">
        <v>8</v>
      </c>
      <c r="L730" s="644">
        <f t="shared" si="234"/>
        <v>250</v>
      </c>
      <c r="M730" s="645">
        <v>46044</v>
      </c>
      <c r="N730" s="645">
        <v>46041</v>
      </c>
      <c r="O730" s="643"/>
      <c r="P730" s="824" t="s">
        <v>113</v>
      </c>
      <c r="Q730" s="646"/>
      <c r="R730" s="646">
        <v>45985</v>
      </c>
      <c r="S730" s="646" t="s">
        <v>70</v>
      </c>
      <c r="T730" s="646" t="s">
        <v>2738</v>
      </c>
      <c r="U730" s="646"/>
      <c r="V730" s="642"/>
      <c r="W730" s="642"/>
      <c r="X730" s="628" t="s">
        <v>2885</v>
      </c>
      <c r="Y730" s="647" t="s">
        <v>2678</v>
      </c>
      <c r="Z730" s="657">
        <v>4.097</v>
      </c>
      <c r="AA730" s="647">
        <f t="shared" si="235"/>
        <v>8194</v>
      </c>
      <c r="AB730" s="551"/>
      <c r="AC730" s="658" t="s">
        <v>2886</v>
      </c>
      <c r="AD730" s="633" t="s">
        <v>2741</v>
      </c>
      <c r="AE730" s="246" t="s">
        <v>82</v>
      </c>
      <c r="AF730" s="246"/>
      <c r="AG730" s="246"/>
      <c r="AH730" s="246">
        <v>1</v>
      </c>
      <c r="AI730" s="246">
        <v>2000</v>
      </c>
      <c r="AJ730" s="246">
        <f t="shared" si="231"/>
        <v>0</v>
      </c>
      <c r="AK730" s="246"/>
      <c r="AL730" s="246" t="s">
        <v>2368</v>
      </c>
      <c r="AM730" s="551"/>
      <c r="AN730" s="551">
        <f t="shared" si="236"/>
        <v>2000</v>
      </c>
      <c r="AO730" s="1331"/>
      <c r="AP730" s="1331"/>
      <c r="AQ730" s="1331"/>
      <c r="AR730" s="551">
        <f>I730</f>
        <v>2000</v>
      </c>
      <c r="AS730" s="551"/>
      <c r="AT730" s="551"/>
      <c r="AU730" s="551">
        <f t="shared" si="240"/>
        <v>2000</v>
      </c>
      <c r="AV730" s="551"/>
      <c r="AW730" s="551">
        <f t="shared" si="237"/>
        <v>2000</v>
      </c>
      <c r="AX730" s="651"/>
      <c r="AY730" s="551"/>
      <c r="AZ730" s="551"/>
      <c r="BA730" s="551"/>
      <c r="BB730" s="551"/>
      <c r="BC730" s="551"/>
      <c r="BD730" s="551"/>
      <c r="BE730" s="551"/>
      <c r="BF730" s="551"/>
      <c r="BG730" s="551"/>
      <c r="BH730" s="551"/>
      <c r="BI730" s="551"/>
      <c r="BJ730" s="551"/>
      <c r="BK730" s="551"/>
      <c r="BL730" s="551"/>
      <c r="BM730" s="551"/>
      <c r="BN730" s="551">
        <f>I730</f>
        <v>2000</v>
      </c>
      <c r="BO730" s="551"/>
      <c r="BP730" s="551"/>
      <c r="BQ730" s="551"/>
      <c r="BR730" s="551"/>
      <c r="BS730" s="551"/>
      <c r="BT730" s="551"/>
      <c r="BU730" s="551"/>
      <c r="BV730" s="551"/>
      <c r="BW730" s="551"/>
      <c r="BX730" s="551"/>
      <c r="BY730" s="551"/>
      <c r="BZ730" s="551"/>
      <c r="CA730" s="551"/>
      <c r="CB730" s="551"/>
      <c r="CC730" s="551"/>
      <c r="CD730" s="551"/>
      <c r="CE730" s="551"/>
      <c r="CF730" s="551"/>
      <c r="CG730" s="551"/>
      <c r="CH730" s="650"/>
      <c r="CI730" s="650"/>
      <c r="CJ730" s="650"/>
      <c r="CK730" s="650"/>
      <c r="CL730" s="650"/>
      <c r="CM730" s="551"/>
      <c r="CN730" s="551"/>
      <c r="CO730" s="551"/>
      <c r="CP730" s="650"/>
      <c r="CQ730" s="650"/>
      <c r="CR730" s="650"/>
      <c r="CS730" s="650"/>
      <c r="CT730" s="650"/>
      <c r="CU730" s="650"/>
    </row>
    <row r="731" s="1265" customFormat="1" ht="31" customHeight="1" spans="1:99">
      <c r="A731" s="641">
        <v>45980</v>
      </c>
      <c r="B731" s="642" t="s">
        <v>1772</v>
      </c>
      <c r="C731" s="246" t="s">
        <v>278</v>
      </c>
      <c r="D731" s="551">
        <v>4500185077</v>
      </c>
      <c r="E731" s="246" t="s">
        <v>2887</v>
      </c>
      <c r="F731" s="551" t="s">
        <v>2888</v>
      </c>
      <c r="G731" s="659" t="s">
        <v>280</v>
      </c>
      <c r="H731" s="246" t="s">
        <v>281</v>
      </c>
      <c r="I731" s="246">
        <v>800</v>
      </c>
      <c r="J731" s="246">
        <v>4</v>
      </c>
      <c r="K731" s="246">
        <v>16</v>
      </c>
      <c r="L731" s="644">
        <f t="shared" si="234"/>
        <v>50</v>
      </c>
      <c r="M731" s="645">
        <v>46045</v>
      </c>
      <c r="N731" s="645">
        <v>46041</v>
      </c>
      <c r="O731" s="643"/>
      <c r="P731" s="824" t="s">
        <v>113</v>
      </c>
      <c r="Q731" s="646"/>
      <c r="R731" s="646">
        <v>45981</v>
      </c>
      <c r="S731" s="646" t="s">
        <v>70</v>
      </c>
      <c r="T731" s="646" t="s">
        <v>70</v>
      </c>
      <c r="U731" s="646"/>
      <c r="V731" s="642"/>
      <c r="W731" s="642"/>
      <c r="X731" s="642" t="s">
        <v>2889</v>
      </c>
      <c r="Y731" s="647" t="s">
        <v>2890</v>
      </c>
      <c r="Z731" s="657">
        <v>4.3217</v>
      </c>
      <c r="AA731" s="647">
        <f t="shared" si="235"/>
        <v>3457.36</v>
      </c>
      <c r="AB731" s="551"/>
      <c r="AC731" s="648"/>
      <c r="AD731" s="633" t="s">
        <v>280</v>
      </c>
      <c r="AE731" s="246" t="s">
        <v>82</v>
      </c>
      <c r="AF731" s="246"/>
      <c r="AG731" s="246"/>
      <c r="AH731" s="246">
        <v>1</v>
      </c>
      <c r="AI731" s="246">
        <v>800</v>
      </c>
      <c r="AJ731" s="246">
        <f t="shared" si="231"/>
        <v>0</v>
      </c>
      <c r="AK731" s="246"/>
      <c r="AL731" s="246"/>
      <c r="AM731" s="551"/>
      <c r="AN731" s="551">
        <f t="shared" si="236"/>
        <v>800</v>
      </c>
      <c r="AO731" s="1331"/>
      <c r="AP731" s="1331"/>
      <c r="AQ731" s="1331"/>
      <c r="AR731" s="551">
        <f>I731</f>
        <v>800</v>
      </c>
      <c r="AS731" s="551"/>
      <c r="AT731" s="551"/>
      <c r="AU731" s="551">
        <f t="shared" si="240"/>
        <v>800</v>
      </c>
      <c r="AV731" s="551"/>
      <c r="AW731" s="551">
        <f t="shared" si="237"/>
        <v>800</v>
      </c>
      <c r="AX731" s="651"/>
      <c r="AY731" s="551"/>
      <c r="AZ731" s="551"/>
      <c r="BA731" s="551"/>
      <c r="BB731" s="551"/>
      <c r="BC731" s="551"/>
      <c r="BD731" s="551"/>
      <c r="BE731" s="551"/>
      <c r="BF731" s="551"/>
      <c r="BG731" s="551"/>
      <c r="BH731" s="825">
        <f>I731/4</f>
        <v>200</v>
      </c>
      <c r="BI731" s="551"/>
      <c r="BJ731" s="551"/>
      <c r="BK731" s="551"/>
      <c r="BL731" s="551"/>
      <c r="BM731" s="551"/>
      <c r="BN731" s="551"/>
      <c r="BO731" s="551"/>
      <c r="BP731" s="551"/>
      <c r="BQ731" s="551"/>
      <c r="BR731" s="551"/>
      <c r="BS731" s="551"/>
      <c r="BT731" s="551"/>
      <c r="BU731" s="551"/>
      <c r="BV731" s="551"/>
      <c r="BW731" s="551"/>
      <c r="BX731" s="551"/>
      <c r="BY731" s="551"/>
      <c r="BZ731" s="551"/>
      <c r="CA731" s="551"/>
      <c r="CB731" s="551"/>
      <c r="CC731" s="551"/>
      <c r="CD731" s="551"/>
      <c r="CE731" s="551"/>
      <c r="CF731" s="551"/>
      <c r="CG731" s="551"/>
      <c r="CH731" s="650"/>
      <c r="CI731" s="650"/>
      <c r="CJ731" s="650"/>
      <c r="CK731" s="650"/>
      <c r="CL731" s="650"/>
      <c r="CM731" s="551"/>
      <c r="CN731" s="551"/>
      <c r="CO731" s="551"/>
      <c r="CP731" s="650"/>
      <c r="CQ731" s="650"/>
      <c r="CR731" s="650"/>
      <c r="CS731" s="650"/>
      <c r="CT731" s="650"/>
      <c r="CU731" s="650"/>
    </row>
    <row r="732" s="1265" customFormat="1" ht="31" customHeight="1" spans="1:99">
      <c r="A732" s="641">
        <v>45989</v>
      </c>
      <c r="B732" s="642" t="s">
        <v>325</v>
      </c>
      <c r="C732" s="246" t="s">
        <v>98</v>
      </c>
      <c r="D732" s="551">
        <v>4500187340</v>
      </c>
      <c r="E732" s="246" t="s">
        <v>2891</v>
      </c>
      <c r="F732" s="551" t="s">
        <v>2892</v>
      </c>
      <c r="G732" s="659" t="s">
        <v>249</v>
      </c>
      <c r="H732" s="246" t="s">
        <v>250</v>
      </c>
      <c r="I732" s="246">
        <v>21752</v>
      </c>
      <c r="J732" s="246">
        <v>0</v>
      </c>
      <c r="K732" s="246">
        <v>4</v>
      </c>
      <c r="L732" s="644">
        <f t="shared" si="234"/>
        <v>5438</v>
      </c>
      <c r="M732" s="645">
        <v>46045</v>
      </c>
      <c r="N732" s="645">
        <f>M732-4</f>
        <v>46041</v>
      </c>
      <c r="O732" s="643"/>
      <c r="P732" s="824" t="s">
        <v>113</v>
      </c>
      <c r="Q732" s="646"/>
      <c r="R732" s="646">
        <v>46014</v>
      </c>
      <c r="S732" s="646" t="s">
        <v>104</v>
      </c>
      <c r="T732" s="646">
        <v>46027</v>
      </c>
      <c r="U732" s="646"/>
      <c r="V732" s="642"/>
      <c r="W732" s="642"/>
      <c r="X732" s="642" t="s">
        <v>2770</v>
      </c>
      <c r="Y732" s="647" t="s">
        <v>252</v>
      </c>
      <c r="Z732" s="657">
        <v>2.7734</v>
      </c>
      <c r="AA732" s="647">
        <f t="shared" si="235"/>
        <v>60326.9968</v>
      </c>
      <c r="AB732" s="551"/>
      <c r="AC732" s="698" t="s">
        <v>2893</v>
      </c>
      <c r="AD732" s="633" t="s">
        <v>249</v>
      </c>
      <c r="AE732" s="246" t="s">
        <v>82</v>
      </c>
      <c r="AF732" s="246"/>
      <c r="AG732" s="246"/>
      <c r="AH732" s="246">
        <v>1</v>
      </c>
      <c r="AI732" s="246">
        <f>1440+15120+5192</f>
        <v>21752</v>
      </c>
      <c r="AJ732" s="246">
        <f t="shared" si="231"/>
        <v>0</v>
      </c>
      <c r="AK732" s="246"/>
      <c r="AL732" s="246" t="s">
        <v>2368</v>
      </c>
      <c r="AM732" s="551"/>
      <c r="AN732" s="551"/>
      <c r="AO732" s="1331"/>
      <c r="AP732" s="1331">
        <f>I732</f>
        <v>21752</v>
      </c>
      <c r="AQ732" s="1331"/>
      <c r="AR732" s="551"/>
      <c r="AS732" s="551"/>
      <c r="AT732" s="551"/>
      <c r="AU732" s="551"/>
      <c r="AV732" s="551"/>
      <c r="AW732" s="551">
        <f t="shared" si="237"/>
        <v>21752</v>
      </c>
      <c r="AX732" s="651"/>
      <c r="AY732" s="551"/>
      <c r="AZ732" s="551"/>
      <c r="BA732" s="551"/>
      <c r="BB732" s="551"/>
      <c r="BC732" s="551"/>
      <c r="BD732" s="551"/>
      <c r="BE732" s="551"/>
      <c r="BF732" s="551">
        <f>I732</f>
        <v>21752</v>
      </c>
      <c r="BG732" s="551">
        <f>I732</f>
        <v>21752</v>
      </c>
      <c r="BH732" s="825">
        <f>I732/4</f>
        <v>5438</v>
      </c>
      <c r="BI732" s="551"/>
      <c r="BJ732" s="551"/>
      <c r="BK732" s="551"/>
      <c r="BL732" s="551"/>
      <c r="BM732" s="551"/>
      <c r="BN732" s="551"/>
      <c r="BO732" s="551"/>
      <c r="BP732" s="551"/>
      <c r="BQ732" s="551"/>
      <c r="BR732" s="551"/>
      <c r="BS732" s="551"/>
      <c r="BT732" s="551"/>
      <c r="BU732" s="551"/>
      <c r="BV732" s="551"/>
      <c r="BW732" s="551"/>
      <c r="BX732" s="551"/>
      <c r="BY732" s="551"/>
      <c r="BZ732" s="551"/>
      <c r="CA732" s="551"/>
      <c r="CB732" s="551"/>
      <c r="CC732" s="551"/>
      <c r="CD732" s="551"/>
      <c r="CE732" s="551"/>
      <c r="CF732" s="551"/>
      <c r="CG732" s="551"/>
      <c r="CH732" s="650"/>
      <c r="CI732" s="650"/>
      <c r="CJ732" s="650"/>
      <c r="CK732" s="650"/>
      <c r="CL732" s="650"/>
      <c r="CM732" s="551"/>
      <c r="CN732" s="551"/>
      <c r="CO732" s="551"/>
      <c r="CP732" s="650"/>
      <c r="CQ732" s="650"/>
      <c r="CR732" s="650"/>
      <c r="CS732" s="650"/>
      <c r="CT732" s="650"/>
      <c r="CU732" s="650"/>
    </row>
    <row r="733" s="1265" customFormat="1" ht="31" customHeight="1" spans="1:99">
      <c r="A733" s="641">
        <v>45995</v>
      </c>
      <c r="B733" s="642" t="s">
        <v>225</v>
      </c>
      <c r="C733" s="246" t="s">
        <v>226</v>
      </c>
      <c r="D733" s="551">
        <v>4500187990</v>
      </c>
      <c r="E733" s="246" t="s">
        <v>2894</v>
      </c>
      <c r="F733" s="551" t="s">
        <v>2895</v>
      </c>
      <c r="G733" s="659" t="s">
        <v>68</v>
      </c>
      <c r="H733" s="633" t="s">
        <v>69</v>
      </c>
      <c r="I733" s="246">
        <v>1440</v>
      </c>
      <c r="J733" s="246">
        <v>0</v>
      </c>
      <c r="K733" s="246">
        <v>12</v>
      </c>
      <c r="L733" s="644">
        <f t="shared" si="234"/>
        <v>120</v>
      </c>
      <c r="M733" s="645">
        <v>46045</v>
      </c>
      <c r="N733" s="645">
        <v>46041</v>
      </c>
      <c r="O733" s="643"/>
      <c r="P733" s="824" t="s">
        <v>113</v>
      </c>
      <c r="Q733" s="646"/>
      <c r="R733" s="646">
        <v>45995</v>
      </c>
      <c r="S733" s="646" t="s">
        <v>70</v>
      </c>
      <c r="T733" s="646" t="s">
        <v>2896</v>
      </c>
      <c r="U733" s="646"/>
      <c r="V733" s="642"/>
      <c r="W733" s="642"/>
      <c r="X733" s="642" t="s">
        <v>2897</v>
      </c>
      <c r="Y733" s="647" t="s">
        <v>230</v>
      </c>
      <c r="Z733" s="657">
        <v>4.1623</v>
      </c>
      <c r="AA733" s="647">
        <f t="shared" si="235"/>
        <v>5993.712</v>
      </c>
      <c r="AB733" s="551"/>
      <c r="AC733" s="648"/>
      <c r="AD733" s="633" t="s">
        <v>68</v>
      </c>
      <c r="AE733" s="246" t="s">
        <v>82</v>
      </c>
      <c r="AF733" s="246"/>
      <c r="AG733" s="246"/>
      <c r="AH733" s="246">
        <v>1</v>
      </c>
      <c r="AI733" s="246">
        <v>1440</v>
      </c>
      <c r="AJ733" s="246">
        <f t="shared" si="231"/>
        <v>0</v>
      </c>
      <c r="AK733" s="246"/>
      <c r="AL733" s="246" t="s">
        <v>2368</v>
      </c>
      <c r="AM733" s="551"/>
      <c r="AN733" s="551">
        <f>I733</f>
        <v>1440</v>
      </c>
      <c r="AO733" s="1331"/>
      <c r="AP733" s="1331"/>
      <c r="AQ733" s="1331"/>
      <c r="AR733" s="551">
        <f>I733</f>
        <v>1440</v>
      </c>
      <c r="AS733" s="551"/>
      <c r="AT733" s="551"/>
      <c r="AU733" s="551">
        <f>I733</f>
        <v>1440</v>
      </c>
      <c r="AV733" s="551"/>
      <c r="AW733" s="551">
        <f t="shared" si="237"/>
        <v>1440</v>
      </c>
      <c r="AX733" s="651"/>
      <c r="AY733" s="551"/>
      <c r="AZ733" s="551"/>
      <c r="BA733" s="551"/>
      <c r="BB733" s="551"/>
      <c r="BC733" s="551"/>
      <c r="BD733" s="551"/>
      <c r="BE733" s="551"/>
      <c r="BF733" s="551"/>
      <c r="BG733" s="551"/>
      <c r="BH733" s="551"/>
      <c r="BI733" s="551"/>
      <c r="BJ733" s="551"/>
      <c r="BK733" s="551"/>
      <c r="BL733" s="551"/>
      <c r="BM733" s="551"/>
      <c r="BN733" s="551"/>
      <c r="BO733" s="551"/>
      <c r="BP733" s="551"/>
      <c r="BQ733" s="551"/>
      <c r="BR733" s="551"/>
      <c r="BS733" s="551"/>
      <c r="BT733" s="551"/>
      <c r="BU733" s="551"/>
      <c r="BV733" s="551"/>
      <c r="BW733" s="551"/>
      <c r="BX733" s="551"/>
      <c r="BY733" s="551"/>
      <c r="BZ733" s="551"/>
      <c r="CA733" s="551"/>
      <c r="CB733" s="551"/>
      <c r="CC733" s="551"/>
      <c r="CD733" s="551"/>
      <c r="CE733" s="551"/>
      <c r="CF733" s="551"/>
      <c r="CG733" s="551"/>
      <c r="CH733" s="650"/>
      <c r="CI733" s="650"/>
      <c r="CJ733" s="650"/>
      <c r="CK733" s="650"/>
      <c r="CL733" s="650"/>
      <c r="CM733" s="551"/>
      <c r="CN733" s="551"/>
      <c r="CO733" s="551"/>
      <c r="CP733" s="650"/>
      <c r="CQ733" s="650"/>
      <c r="CR733" s="650"/>
      <c r="CS733" s="650"/>
      <c r="CT733" s="650"/>
      <c r="CU733" s="650"/>
    </row>
    <row r="734" s="1265" customFormat="1" ht="31" customHeight="1" spans="1:99">
      <c r="A734" s="641">
        <v>45999</v>
      </c>
      <c r="B734" s="642" t="s">
        <v>947</v>
      </c>
      <c r="C734" s="246" t="s">
        <v>278</v>
      </c>
      <c r="D734" s="551">
        <v>4500188369</v>
      </c>
      <c r="E734" s="246" t="s">
        <v>2898</v>
      </c>
      <c r="F734" s="551" t="s">
        <v>2899</v>
      </c>
      <c r="G734" s="659" t="s">
        <v>829</v>
      </c>
      <c r="H734" s="246" t="s">
        <v>830</v>
      </c>
      <c r="I734" s="246">
        <v>5400</v>
      </c>
      <c r="J734" s="246">
        <v>0</v>
      </c>
      <c r="K734" s="246">
        <v>75</v>
      </c>
      <c r="L734" s="644">
        <f t="shared" si="234"/>
        <v>72</v>
      </c>
      <c r="M734" s="645">
        <v>46045</v>
      </c>
      <c r="N734" s="645">
        <v>46041</v>
      </c>
      <c r="O734" s="643"/>
      <c r="P734" s="824" t="s">
        <v>113</v>
      </c>
      <c r="Q734" s="646"/>
      <c r="R734" s="646">
        <v>46000</v>
      </c>
      <c r="S734" s="646" t="s">
        <v>70</v>
      </c>
      <c r="T734" s="646" t="s">
        <v>70</v>
      </c>
      <c r="U734" s="646"/>
      <c r="V734" s="642"/>
      <c r="W734" s="642"/>
      <c r="X734" s="642" t="s">
        <v>2900</v>
      </c>
      <c r="Y734" s="647" t="s">
        <v>1549</v>
      </c>
      <c r="Z734" s="657">
        <v>24.1361</v>
      </c>
      <c r="AA734" s="647">
        <f>Z734*L734</f>
        <v>1737.7992</v>
      </c>
      <c r="AB734" s="551"/>
      <c r="AC734" s="648"/>
      <c r="AD734" s="633" t="s">
        <v>829</v>
      </c>
      <c r="AE734" s="246" t="s">
        <v>82</v>
      </c>
      <c r="AF734" s="246"/>
      <c r="AG734" s="246"/>
      <c r="AH734" s="246" t="s">
        <v>2629</v>
      </c>
      <c r="AI734" s="246">
        <f>4220+1180</f>
        <v>5400</v>
      </c>
      <c r="AJ734" s="246">
        <f t="shared" si="231"/>
        <v>0</v>
      </c>
      <c r="AK734" s="246"/>
      <c r="AL734" s="246"/>
      <c r="AM734" s="551"/>
      <c r="AN734" s="551"/>
      <c r="AO734" s="1331"/>
      <c r="AP734" s="1331"/>
      <c r="AQ734" s="1331">
        <f>I734</f>
        <v>5400</v>
      </c>
      <c r="AR734" s="551"/>
      <c r="AS734" s="551"/>
      <c r="AT734" s="551"/>
      <c r="AU734" s="551"/>
      <c r="AV734" s="551"/>
      <c r="AW734" s="551"/>
      <c r="AX734" s="651"/>
      <c r="AY734" s="551"/>
      <c r="AZ734" s="551"/>
      <c r="BA734" s="551">
        <f>I734</f>
        <v>5400</v>
      </c>
      <c r="BB734" s="551">
        <f>I734</f>
        <v>5400</v>
      </c>
      <c r="BC734" s="551">
        <f>I734</f>
        <v>5400</v>
      </c>
      <c r="BD734" s="551"/>
      <c r="BE734" s="551"/>
      <c r="BF734" s="551"/>
      <c r="BG734" s="551"/>
      <c r="BH734" s="551"/>
      <c r="BI734" s="551"/>
      <c r="BJ734" s="551"/>
      <c r="BK734" s="551"/>
      <c r="BL734" s="551"/>
      <c r="BM734" s="551"/>
      <c r="BN734" s="551"/>
      <c r="BO734" s="551"/>
      <c r="BP734" s="551"/>
      <c r="BQ734" s="551"/>
      <c r="BR734" s="551"/>
      <c r="BS734" s="551"/>
      <c r="BT734" s="551"/>
      <c r="BU734" s="551"/>
      <c r="BV734" s="551"/>
      <c r="BW734" s="551"/>
      <c r="BX734" s="551"/>
      <c r="BY734" s="551"/>
      <c r="BZ734" s="551"/>
      <c r="CA734" s="551"/>
      <c r="CB734" s="551"/>
      <c r="CC734" s="551"/>
      <c r="CD734" s="551"/>
      <c r="CE734" s="551"/>
      <c r="CF734" s="551"/>
      <c r="CG734" s="551"/>
      <c r="CH734" s="650"/>
      <c r="CI734" s="650"/>
      <c r="CJ734" s="650"/>
      <c r="CK734" s="650"/>
      <c r="CL734" s="650"/>
      <c r="CM734" s="551"/>
      <c r="CN734" s="551"/>
      <c r="CO734" s="551"/>
      <c r="CP734" s="650"/>
      <c r="CQ734" s="650"/>
      <c r="CR734" s="650"/>
      <c r="CS734" s="650"/>
      <c r="CT734" s="650"/>
      <c r="CU734" s="650"/>
    </row>
    <row r="735" s="1265" customFormat="1" ht="31" customHeight="1" spans="1:99">
      <c r="A735" s="641">
        <v>45985</v>
      </c>
      <c r="B735" s="642" t="s">
        <v>549</v>
      </c>
      <c r="C735" s="246" t="s">
        <v>278</v>
      </c>
      <c r="D735" s="551">
        <v>4500186739</v>
      </c>
      <c r="E735" s="246" t="s">
        <v>2901</v>
      </c>
      <c r="F735" s="551" t="s">
        <v>2902</v>
      </c>
      <c r="G735" s="659" t="s">
        <v>518</v>
      </c>
      <c r="H735" s="246" t="s">
        <v>477</v>
      </c>
      <c r="I735" s="246">
        <v>762</v>
      </c>
      <c r="J735" s="246">
        <v>0</v>
      </c>
      <c r="K735" s="246">
        <v>6</v>
      </c>
      <c r="L735" s="644">
        <f t="shared" ref="L734:L769" si="241">I735/K735</f>
        <v>127</v>
      </c>
      <c r="M735" s="645">
        <v>46048</v>
      </c>
      <c r="N735" s="645">
        <v>46044</v>
      </c>
      <c r="O735" s="643"/>
      <c r="P735" s="824" t="s">
        <v>113</v>
      </c>
      <c r="Q735" s="646"/>
      <c r="R735" s="646" t="s">
        <v>463</v>
      </c>
      <c r="S735" s="646" t="s">
        <v>104</v>
      </c>
      <c r="T735" s="646" t="s">
        <v>2853</v>
      </c>
      <c r="U735" s="646"/>
      <c r="V735" s="642"/>
      <c r="W735" s="642"/>
      <c r="X735" s="628" t="s">
        <v>2903</v>
      </c>
      <c r="Y735" s="647" t="s">
        <v>2855</v>
      </c>
      <c r="Z735" s="657">
        <v>7.0456</v>
      </c>
      <c r="AA735" s="647">
        <f t="shared" ref="AA734:AA765" si="242">Z735*I735</f>
        <v>5368.7472</v>
      </c>
      <c r="AB735" s="551"/>
      <c r="AC735" s="648"/>
      <c r="AD735" s="633" t="s">
        <v>480</v>
      </c>
      <c r="AE735" s="246" t="s">
        <v>82</v>
      </c>
      <c r="AF735" s="246"/>
      <c r="AG735" s="246"/>
      <c r="AH735" s="246" t="s">
        <v>126</v>
      </c>
      <c r="AI735" s="246">
        <f>648+114</f>
        <v>762</v>
      </c>
      <c r="AJ735" s="246">
        <f t="shared" si="231"/>
        <v>0</v>
      </c>
      <c r="AK735" s="246"/>
      <c r="AL735" s="246" t="s">
        <v>2368</v>
      </c>
      <c r="AM735" s="551"/>
      <c r="AN735" s="551">
        <f t="shared" ref="AN734:AN769" si="243">I735</f>
        <v>762</v>
      </c>
      <c r="AO735" s="1331"/>
      <c r="AP735" s="1331"/>
      <c r="AQ735" s="1331"/>
      <c r="AR735" s="551"/>
      <c r="AS735" s="551">
        <f>I735</f>
        <v>762</v>
      </c>
      <c r="AT735" s="551"/>
      <c r="AU735" s="551">
        <f>I735</f>
        <v>762</v>
      </c>
      <c r="AV735" s="551"/>
      <c r="AW735" s="551">
        <f t="shared" ref="AW734:AW769" si="244">I735</f>
        <v>762</v>
      </c>
      <c r="AX735" s="651"/>
      <c r="AY735" s="551"/>
      <c r="AZ735" s="551"/>
      <c r="BA735" s="551"/>
      <c r="BB735" s="551"/>
      <c r="BC735" s="551"/>
      <c r="BD735" s="551"/>
      <c r="BE735" s="551"/>
      <c r="BF735" s="551"/>
      <c r="BG735" s="551"/>
      <c r="BH735" s="551"/>
      <c r="BI735" s="551"/>
      <c r="BJ735" s="551"/>
      <c r="BK735" s="551"/>
      <c r="BL735" s="551"/>
      <c r="BM735" s="551"/>
      <c r="BN735" s="551">
        <f>I735</f>
        <v>762</v>
      </c>
      <c r="BO735" s="551"/>
      <c r="BP735" s="551"/>
      <c r="BQ735" s="551"/>
      <c r="BR735" s="551"/>
      <c r="BS735" s="551"/>
      <c r="BT735" s="551"/>
      <c r="BU735" s="551"/>
      <c r="BV735" s="551"/>
      <c r="BW735" s="551"/>
      <c r="BX735" s="551"/>
      <c r="BY735" s="551"/>
      <c r="BZ735" s="551"/>
      <c r="CA735" s="551"/>
      <c r="CB735" s="551"/>
      <c r="CC735" s="551"/>
      <c r="CD735" s="551"/>
      <c r="CE735" s="551"/>
      <c r="CF735" s="551"/>
      <c r="CG735" s="551"/>
      <c r="CH735" s="650"/>
      <c r="CI735" s="650"/>
      <c r="CJ735" s="650"/>
      <c r="CK735" s="650"/>
      <c r="CL735" s="650"/>
      <c r="CM735" s="551"/>
      <c r="CN735" s="551"/>
      <c r="CO735" s="551"/>
      <c r="CP735" s="650"/>
      <c r="CQ735" s="650"/>
      <c r="CR735" s="650"/>
      <c r="CS735" s="650"/>
      <c r="CT735" s="650"/>
      <c r="CU735" s="650"/>
    </row>
    <row r="736" s="1265" customFormat="1" ht="31" customHeight="1" spans="1:99">
      <c r="A736" s="641">
        <v>45985</v>
      </c>
      <c r="B736" s="642" t="s">
        <v>549</v>
      </c>
      <c r="C736" s="246" t="s">
        <v>278</v>
      </c>
      <c r="D736" s="551">
        <v>4500186739</v>
      </c>
      <c r="E736" s="246" t="s">
        <v>2904</v>
      </c>
      <c r="F736" s="551" t="s">
        <v>2905</v>
      </c>
      <c r="G736" s="659" t="s">
        <v>518</v>
      </c>
      <c r="H736" s="246" t="s">
        <v>477</v>
      </c>
      <c r="I736" s="246">
        <v>504</v>
      </c>
      <c r="J736" s="246">
        <v>0</v>
      </c>
      <c r="K736" s="246">
        <v>6</v>
      </c>
      <c r="L736" s="644">
        <f t="shared" si="241"/>
        <v>84</v>
      </c>
      <c r="M736" s="645">
        <v>46048</v>
      </c>
      <c r="N736" s="645">
        <v>46044</v>
      </c>
      <c r="O736" s="643"/>
      <c r="P736" s="824" t="s">
        <v>113</v>
      </c>
      <c r="Q736" s="646"/>
      <c r="R736" s="646" t="s">
        <v>463</v>
      </c>
      <c r="S736" s="646" t="s">
        <v>104</v>
      </c>
      <c r="T736" s="646" t="s">
        <v>2853</v>
      </c>
      <c r="U736" s="646"/>
      <c r="V736" s="642"/>
      <c r="W736" s="642"/>
      <c r="X736" s="628" t="s">
        <v>2903</v>
      </c>
      <c r="Y736" s="647" t="s">
        <v>2855</v>
      </c>
      <c r="Z736" s="657">
        <v>7.0456</v>
      </c>
      <c r="AA736" s="647">
        <f t="shared" si="242"/>
        <v>3550.9824</v>
      </c>
      <c r="AB736" s="551"/>
      <c r="AC736" s="648"/>
      <c r="AD736" s="633" t="s">
        <v>480</v>
      </c>
      <c r="AE736" s="246" t="s">
        <v>82</v>
      </c>
      <c r="AF736" s="246"/>
      <c r="AG736" s="246"/>
      <c r="AH736" s="246" t="s">
        <v>126</v>
      </c>
      <c r="AI736" s="246">
        <f>324+180</f>
        <v>504</v>
      </c>
      <c r="AJ736" s="246">
        <f t="shared" si="231"/>
        <v>0</v>
      </c>
      <c r="AK736" s="246"/>
      <c r="AL736" s="246" t="s">
        <v>2368</v>
      </c>
      <c r="AM736" s="551"/>
      <c r="AN736" s="551">
        <f t="shared" si="243"/>
        <v>504</v>
      </c>
      <c r="AO736" s="1331"/>
      <c r="AP736" s="1331"/>
      <c r="AQ736" s="1331"/>
      <c r="AR736" s="551"/>
      <c r="AS736" s="551">
        <f>I736</f>
        <v>504</v>
      </c>
      <c r="AT736" s="551"/>
      <c r="AU736" s="551">
        <f>I736</f>
        <v>504</v>
      </c>
      <c r="AV736" s="551"/>
      <c r="AW736" s="551">
        <f t="shared" si="244"/>
        <v>504</v>
      </c>
      <c r="AX736" s="651"/>
      <c r="AY736" s="551"/>
      <c r="AZ736" s="551"/>
      <c r="BA736" s="551"/>
      <c r="BB736" s="551"/>
      <c r="BC736" s="551"/>
      <c r="BD736" s="551"/>
      <c r="BE736" s="551"/>
      <c r="BF736" s="551"/>
      <c r="BG736" s="551"/>
      <c r="BH736" s="551"/>
      <c r="BI736" s="551"/>
      <c r="BJ736" s="551"/>
      <c r="BK736" s="551"/>
      <c r="BL736" s="551"/>
      <c r="BM736" s="551"/>
      <c r="BN736" s="551">
        <f>I736</f>
        <v>504</v>
      </c>
      <c r="BO736" s="551"/>
      <c r="BP736" s="551"/>
      <c r="BQ736" s="551"/>
      <c r="BR736" s="551"/>
      <c r="BS736" s="551"/>
      <c r="BT736" s="551"/>
      <c r="BU736" s="551"/>
      <c r="BV736" s="551"/>
      <c r="BW736" s="551"/>
      <c r="BX736" s="551"/>
      <c r="BY736" s="551"/>
      <c r="BZ736" s="551"/>
      <c r="CA736" s="551"/>
      <c r="CB736" s="551"/>
      <c r="CC736" s="551"/>
      <c r="CD736" s="551"/>
      <c r="CE736" s="551"/>
      <c r="CF736" s="551"/>
      <c r="CG736" s="551"/>
      <c r="CH736" s="650"/>
      <c r="CI736" s="650"/>
      <c r="CJ736" s="650"/>
      <c r="CK736" s="650"/>
      <c r="CL736" s="650"/>
      <c r="CM736" s="551"/>
      <c r="CN736" s="551"/>
      <c r="CO736" s="551"/>
      <c r="CP736" s="650"/>
      <c r="CQ736" s="650"/>
      <c r="CR736" s="650"/>
      <c r="CS736" s="650"/>
      <c r="CT736" s="650"/>
      <c r="CU736" s="650"/>
    </row>
    <row r="737" s="1265" customFormat="1" ht="31" customHeight="1" spans="1:99">
      <c r="A737" s="641">
        <v>45985</v>
      </c>
      <c r="B737" s="642" t="s">
        <v>549</v>
      </c>
      <c r="C737" s="246" t="s">
        <v>278</v>
      </c>
      <c r="D737" s="551">
        <v>4500186739</v>
      </c>
      <c r="E737" s="246" t="s">
        <v>2906</v>
      </c>
      <c r="F737" s="551" t="s">
        <v>2907</v>
      </c>
      <c r="G737" s="659" t="s">
        <v>68</v>
      </c>
      <c r="H737" s="633" t="s">
        <v>69</v>
      </c>
      <c r="I737" s="246">
        <v>1644</v>
      </c>
      <c r="J737" s="246">
        <v>0</v>
      </c>
      <c r="K737" s="246">
        <v>12</v>
      </c>
      <c r="L737" s="644">
        <f t="shared" si="241"/>
        <v>137</v>
      </c>
      <c r="M737" s="645">
        <v>46048</v>
      </c>
      <c r="N737" s="645">
        <v>46044</v>
      </c>
      <c r="O737" s="643"/>
      <c r="P737" s="824" t="s">
        <v>113</v>
      </c>
      <c r="Q737" s="646"/>
      <c r="R737" s="646" t="s">
        <v>552</v>
      </c>
      <c r="S737" s="646" t="s">
        <v>104</v>
      </c>
      <c r="T737" s="646" t="s">
        <v>2908</v>
      </c>
      <c r="U737" s="646"/>
      <c r="V737" s="642"/>
      <c r="W737" s="642"/>
      <c r="X737" s="628" t="s">
        <v>2903</v>
      </c>
      <c r="Y737" s="647" t="s">
        <v>2855</v>
      </c>
      <c r="Z737" s="657">
        <v>4.1623</v>
      </c>
      <c r="AA737" s="647">
        <f t="shared" si="242"/>
        <v>6842.8212</v>
      </c>
      <c r="AB737" s="551"/>
      <c r="AC737" s="648"/>
      <c r="AD737" s="633" t="s">
        <v>184</v>
      </c>
      <c r="AE737" s="246" t="s">
        <v>82</v>
      </c>
      <c r="AF737" s="246"/>
      <c r="AG737" s="246"/>
      <c r="AH737" s="246" t="s">
        <v>126</v>
      </c>
      <c r="AI737" s="246">
        <v>1644</v>
      </c>
      <c r="AJ737" s="246">
        <f t="shared" si="231"/>
        <v>0</v>
      </c>
      <c r="AK737" s="246"/>
      <c r="AL737" s="246" t="s">
        <v>2368</v>
      </c>
      <c r="AM737" s="551"/>
      <c r="AN737" s="551">
        <f t="shared" si="243"/>
        <v>1644</v>
      </c>
      <c r="AO737" s="1331"/>
      <c r="AP737" s="1331"/>
      <c r="AQ737" s="1331"/>
      <c r="AR737" s="551"/>
      <c r="AS737" s="551">
        <f>I737</f>
        <v>1644</v>
      </c>
      <c r="AT737" s="551"/>
      <c r="AU737" s="551">
        <f>I737</f>
        <v>1644</v>
      </c>
      <c r="AV737" s="551"/>
      <c r="AW737" s="551">
        <f t="shared" si="244"/>
        <v>1644</v>
      </c>
      <c r="AX737" s="651"/>
      <c r="AY737" s="551"/>
      <c r="AZ737" s="551"/>
      <c r="BA737" s="551"/>
      <c r="BB737" s="551"/>
      <c r="BC737" s="551"/>
      <c r="BD737" s="551"/>
      <c r="BE737" s="551"/>
      <c r="BF737" s="551"/>
      <c r="BG737" s="551"/>
      <c r="BH737" s="551"/>
      <c r="BI737" s="551"/>
      <c r="BJ737" s="551"/>
      <c r="BK737" s="551"/>
      <c r="BL737" s="551"/>
      <c r="BM737" s="551"/>
      <c r="BN737" s="551"/>
      <c r="BO737" s="551"/>
      <c r="BP737" s="551"/>
      <c r="BQ737" s="551"/>
      <c r="BR737" s="551"/>
      <c r="BS737" s="551"/>
      <c r="BT737" s="551"/>
      <c r="BU737" s="551"/>
      <c r="BV737" s="551"/>
      <c r="BW737" s="551"/>
      <c r="BX737" s="551"/>
      <c r="BY737" s="551"/>
      <c r="BZ737" s="551"/>
      <c r="CA737" s="551"/>
      <c r="CB737" s="551"/>
      <c r="CC737" s="551"/>
      <c r="CD737" s="551"/>
      <c r="CE737" s="551"/>
      <c r="CF737" s="551"/>
      <c r="CG737" s="551"/>
      <c r="CH737" s="650"/>
      <c r="CI737" s="650"/>
      <c r="CJ737" s="650"/>
      <c r="CK737" s="650"/>
      <c r="CL737" s="650"/>
      <c r="CM737" s="551"/>
      <c r="CN737" s="551"/>
      <c r="CO737" s="551"/>
      <c r="CP737" s="650"/>
      <c r="CQ737" s="650"/>
      <c r="CR737" s="650"/>
      <c r="CS737" s="650"/>
      <c r="CT737" s="650"/>
      <c r="CU737" s="650"/>
    </row>
    <row r="738" s="1265" customFormat="1" ht="31" customHeight="1" spans="1:99">
      <c r="A738" s="641">
        <v>45995</v>
      </c>
      <c r="B738" s="642" t="s">
        <v>139</v>
      </c>
      <c r="C738" s="246" t="s">
        <v>76</v>
      </c>
      <c r="D738" s="551">
        <v>4500188118</v>
      </c>
      <c r="E738" s="246">
        <v>21407643</v>
      </c>
      <c r="F738" s="551" t="s">
        <v>2909</v>
      </c>
      <c r="G738" s="659" t="s">
        <v>68</v>
      </c>
      <c r="H738" s="633" t="s">
        <v>69</v>
      </c>
      <c r="I738" s="246">
        <v>420</v>
      </c>
      <c r="J738" s="246">
        <v>0</v>
      </c>
      <c r="K738" s="246">
        <v>12</v>
      </c>
      <c r="L738" s="644">
        <f t="shared" si="241"/>
        <v>35</v>
      </c>
      <c r="M738" s="645">
        <v>46048</v>
      </c>
      <c r="N738" s="645">
        <v>46044</v>
      </c>
      <c r="O738" s="643"/>
      <c r="P738" s="824" t="s">
        <v>113</v>
      </c>
      <c r="Q738" s="646"/>
      <c r="R738" s="646">
        <v>46017</v>
      </c>
      <c r="S738" s="646" t="s">
        <v>104</v>
      </c>
      <c r="T738" s="646" t="s">
        <v>2910</v>
      </c>
      <c r="U738" s="646"/>
      <c r="V738" s="642"/>
      <c r="W738" s="642"/>
      <c r="X738" s="642" t="s">
        <v>2911</v>
      </c>
      <c r="Y738" s="647" t="s">
        <v>133</v>
      </c>
      <c r="Z738" s="657">
        <v>4.2552</v>
      </c>
      <c r="AA738" s="647">
        <f t="shared" si="242"/>
        <v>1787.184</v>
      </c>
      <c r="AB738" s="551"/>
      <c r="AC738" s="648"/>
      <c r="AD738" s="633" t="s">
        <v>68</v>
      </c>
      <c r="AE738" s="246" t="s">
        <v>82</v>
      </c>
      <c r="AF738" s="246"/>
      <c r="AG738" s="246"/>
      <c r="AH738" s="246" t="s">
        <v>126</v>
      </c>
      <c r="AI738" s="246">
        <v>420</v>
      </c>
      <c r="AJ738" s="246">
        <f t="shared" si="231"/>
        <v>0</v>
      </c>
      <c r="AK738" s="246"/>
      <c r="AL738" s="246" t="s">
        <v>2368</v>
      </c>
      <c r="AM738" s="551"/>
      <c r="AN738" s="551">
        <f t="shared" si="243"/>
        <v>420</v>
      </c>
      <c r="AO738" s="1331"/>
      <c r="AP738" s="1331"/>
      <c r="AQ738" s="1331"/>
      <c r="AR738" s="551">
        <f>I738</f>
        <v>420</v>
      </c>
      <c r="AS738" s="551"/>
      <c r="AT738" s="551"/>
      <c r="AU738" s="551">
        <f>I738</f>
        <v>420</v>
      </c>
      <c r="AV738" s="551"/>
      <c r="AW738" s="551">
        <f t="shared" si="244"/>
        <v>420</v>
      </c>
      <c r="AX738" s="651"/>
      <c r="AY738" s="551"/>
      <c r="AZ738" s="551"/>
      <c r="BA738" s="551"/>
      <c r="BB738" s="551"/>
      <c r="BC738" s="551"/>
      <c r="BD738" s="551"/>
      <c r="BE738" s="551"/>
      <c r="BF738" s="551"/>
      <c r="BG738" s="551"/>
      <c r="BH738" s="551"/>
      <c r="BI738" s="551"/>
      <c r="BJ738" s="551"/>
      <c r="BK738" s="551"/>
      <c r="BL738" s="551"/>
      <c r="BM738" s="551"/>
      <c r="BN738" s="551"/>
      <c r="BO738" s="551"/>
      <c r="BP738" s="551"/>
      <c r="BQ738" s="551"/>
      <c r="BR738" s="551"/>
      <c r="BS738" s="551"/>
      <c r="BT738" s="551"/>
      <c r="BU738" s="551"/>
      <c r="BV738" s="551"/>
      <c r="BW738" s="551"/>
      <c r="BX738" s="551"/>
      <c r="BY738" s="551"/>
      <c r="BZ738" s="551"/>
      <c r="CA738" s="551"/>
      <c r="CB738" s="551"/>
      <c r="CC738" s="551"/>
      <c r="CD738" s="551"/>
      <c r="CE738" s="551"/>
      <c r="CF738" s="551"/>
      <c r="CG738" s="551"/>
      <c r="CH738" s="650"/>
      <c r="CI738" s="650"/>
      <c r="CJ738" s="650"/>
      <c r="CK738" s="650"/>
      <c r="CL738" s="650"/>
      <c r="CM738" s="551"/>
      <c r="CN738" s="551"/>
      <c r="CO738" s="551"/>
      <c r="CP738" s="650"/>
      <c r="CQ738" s="650"/>
      <c r="CR738" s="650"/>
      <c r="CS738" s="650"/>
      <c r="CT738" s="650"/>
      <c r="CU738" s="650"/>
    </row>
    <row r="739" s="1265" customFormat="1" ht="31" customHeight="1" spans="1:99">
      <c r="A739" s="641">
        <v>45995</v>
      </c>
      <c r="B739" s="642" t="s">
        <v>135</v>
      </c>
      <c r="C739" s="246" t="s">
        <v>128</v>
      </c>
      <c r="D739" s="551">
        <v>4500187429</v>
      </c>
      <c r="E739" s="246">
        <v>21407638</v>
      </c>
      <c r="F739" s="551" t="s">
        <v>2912</v>
      </c>
      <c r="G739" s="659" t="s">
        <v>68</v>
      </c>
      <c r="H739" s="633" t="s">
        <v>69</v>
      </c>
      <c r="I739" s="246">
        <v>4200</v>
      </c>
      <c r="J739" s="246">
        <v>0</v>
      </c>
      <c r="K739" s="246">
        <v>12</v>
      </c>
      <c r="L739" s="644">
        <f t="shared" si="241"/>
        <v>350</v>
      </c>
      <c r="M739" s="645">
        <v>46048</v>
      </c>
      <c r="N739" s="645">
        <v>46044</v>
      </c>
      <c r="O739" s="643"/>
      <c r="P739" s="824" t="s">
        <v>113</v>
      </c>
      <c r="Q739" s="646"/>
      <c r="R739" s="646">
        <v>46017</v>
      </c>
      <c r="S739" s="646" t="s">
        <v>104</v>
      </c>
      <c r="T739" s="646" t="s">
        <v>2910</v>
      </c>
      <c r="U739" s="646"/>
      <c r="V739" s="642"/>
      <c r="W739" s="642"/>
      <c r="X739" s="642" t="s">
        <v>2913</v>
      </c>
      <c r="Y739" s="647" t="s">
        <v>133</v>
      </c>
      <c r="Z739" s="657">
        <v>4.2499</v>
      </c>
      <c r="AA739" s="647">
        <f t="shared" si="242"/>
        <v>17849.58</v>
      </c>
      <c r="AB739" s="551"/>
      <c r="AC739" s="648"/>
      <c r="AD739" s="633" t="s">
        <v>68</v>
      </c>
      <c r="AE739" s="246" t="s">
        <v>82</v>
      </c>
      <c r="AF739" s="246"/>
      <c r="AG739" s="246"/>
      <c r="AH739" s="246" t="s">
        <v>126</v>
      </c>
      <c r="AI739" s="246">
        <v>4200</v>
      </c>
      <c r="AJ739" s="246">
        <f t="shared" si="231"/>
        <v>0</v>
      </c>
      <c r="AK739" s="246"/>
      <c r="AL739" s="246" t="s">
        <v>2368</v>
      </c>
      <c r="AM739" s="551"/>
      <c r="AN739" s="551">
        <f t="shared" si="243"/>
        <v>4200</v>
      </c>
      <c r="AO739" s="1331"/>
      <c r="AP739" s="1331"/>
      <c r="AQ739" s="1331"/>
      <c r="AR739" s="551">
        <f>I739</f>
        <v>4200</v>
      </c>
      <c r="AS739" s="551"/>
      <c r="AT739" s="551"/>
      <c r="AU739" s="551">
        <f>I739</f>
        <v>4200</v>
      </c>
      <c r="AV739" s="551"/>
      <c r="AW739" s="551">
        <f t="shared" si="244"/>
        <v>4200</v>
      </c>
      <c r="AX739" s="651"/>
      <c r="AY739" s="551"/>
      <c r="AZ739" s="551"/>
      <c r="BA739" s="551"/>
      <c r="BB739" s="551"/>
      <c r="BC739" s="551"/>
      <c r="BD739" s="551"/>
      <c r="BE739" s="551"/>
      <c r="BF739" s="551"/>
      <c r="BG739" s="551"/>
      <c r="BH739" s="551"/>
      <c r="BI739" s="551"/>
      <c r="BJ739" s="551"/>
      <c r="BK739" s="551"/>
      <c r="BL739" s="551"/>
      <c r="BM739" s="551"/>
      <c r="BN739" s="551"/>
      <c r="BO739" s="551"/>
      <c r="BP739" s="551"/>
      <c r="BQ739" s="551"/>
      <c r="BR739" s="551"/>
      <c r="BS739" s="551"/>
      <c r="BT739" s="551"/>
      <c r="BU739" s="551"/>
      <c r="BV739" s="551"/>
      <c r="BW739" s="551"/>
      <c r="BX739" s="551"/>
      <c r="BY739" s="551"/>
      <c r="BZ739" s="551"/>
      <c r="CA739" s="551"/>
      <c r="CB739" s="551"/>
      <c r="CC739" s="551"/>
      <c r="CD739" s="551"/>
      <c r="CE739" s="551"/>
      <c r="CF739" s="551"/>
      <c r="CG739" s="551"/>
      <c r="CH739" s="650"/>
      <c r="CI739" s="650"/>
      <c r="CJ739" s="650"/>
      <c r="CK739" s="650"/>
      <c r="CL739" s="650"/>
      <c r="CM739" s="551"/>
      <c r="CN739" s="551"/>
      <c r="CO739" s="551"/>
      <c r="CP739" s="650"/>
      <c r="CQ739" s="650"/>
      <c r="CR739" s="650"/>
      <c r="CS739" s="650"/>
      <c r="CT739" s="650"/>
      <c r="CU739" s="650"/>
    </row>
    <row r="740" s="1265" customFormat="1" ht="31" customHeight="1" spans="1:99">
      <c r="A740" s="641">
        <v>46000</v>
      </c>
      <c r="B740" s="642" t="s">
        <v>143</v>
      </c>
      <c r="C740" s="246" t="s">
        <v>98</v>
      </c>
      <c r="D740" s="551">
        <v>4500188488</v>
      </c>
      <c r="E740" s="1415" t="s">
        <v>2914</v>
      </c>
      <c r="F740" s="551" t="s">
        <v>2915</v>
      </c>
      <c r="G740" s="659" t="s">
        <v>101</v>
      </c>
      <c r="H740" s="246" t="s">
        <v>102</v>
      </c>
      <c r="I740" s="246">
        <v>4800</v>
      </c>
      <c r="J740" s="246">
        <v>0</v>
      </c>
      <c r="K740" s="246">
        <v>4</v>
      </c>
      <c r="L740" s="644">
        <f t="shared" si="241"/>
        <v>1200</v>
      </c>
      <c r="M740" s="645">
        <v>46048</v>
      </c>
      <c r="N740" s="645">
        <v>46044</v>
      </c>
      <c r="O740" s="643" t="s">
        <v>2916</v>
      </c>
      <c r="P740" s="824" t="s">
        <v>113</v>
      </c>
      <c r="Q740" s="646"/>
      <c r="R740" s="646" t="s">
        <v>2184</v>
      </c>
      <c r="S740" s="646" t="s">
        <v>70</v>
      </c>
      <c r="T740" s="646" t="s">
        <v>148</v>
      </c>
      <c r="U740" s="646"/>
      <c r="V740" s="642"/>
      <c r="W740" s="642"/>
      <c r="X740" s="642" t="s">
        <v>1395</v>
      </c>
      <c r="Y740" s="647" t="s">
        <v>106</v>
      </c>
      <c r="Z740" s="657">
        <v>2.5768</v>
      </c>
      <c r="AA740" s="647">
        <f t="shared" si="242"/>
        <v>12368.64</v>
      </c>
      <c r="AB740" s="551"/>
      <c r="AC740" s="658" t="s">
        <v>2917</v>
      </c>
      <c r="AD740" s="633" t="s">
        <v>101</v>
      </c>
      <c r="AE740" s="246" t="s">
        <v>82</v>
      </c>
      <c r="AF740" s="246"/>
      <c r="AG740" s="246"/>
      <c r="AH740" s="246" t="s">
        <v>126</v>
      </c>
      <c r="AI740" s="246">
        <f>4068+720+12</f>
        <v>4800</v>
      </c>
      <c r="AJ740" s="246">
        <f t="shared" ref="AJ740:AJ775" si="245">AI740-I740</f>
        <v>0</v>
      </c>
      <c r="AK740" s="246"/>
      <c r="AL740" s="246"/>
      <c r="AM740" s="551"/>
      <c r="AN740" s="551">
        <f t="shared" si="243"/>
        <v>4800</v>
      </c>
      <c r="AO740" s="1331"/>
      <c r="AP740" s="1331"/>
      <c r="AQ740" s="1331"/>
      <c r="AR740" s="551">
        <f t="shared" ref="AR740:AR746" si="246">I740</f>
        <v>4800</v>
      </c>
      <c r="AS740" s="551"/>
      <c r="AT740" s="551"/>
      <c r="AU740" s="551">
        <f t="shared" ref="AU740:AU765" si="247">I740</f>
        <v>4800</v>
      </c>
      <c r="AV740" s="551"/>
      <c r="AW740" s="551">
        <f t="shared" si="244"/>
        <v>4800</v>
      </c>
      <c r="AX740" s="651"/>
      <c r="AY740" s="551"/>
      <c r="AZ740" s="551"/>
      <c r="BA740" s="551"/>
      <c r="BB740" s="551"/>
      <c r="BC740" s="551"/>
      <c r="BD740" s="551"/>
      <c r="BE740" s="551"/>
      <c r="BF740" s="551"/>
      <c r="BG740" s="551"/>
      <c r="BH740" s="825">
        <f t="shared" ref="BH740:BH746" si="248">I740/4</f>
        <v>1200</v>
      </c>
      <c r="BI740" s="551"/>
      <c r="BJ740" s="551"/>
      <c r="BK740" s="551"/>
      <c r="BL740" s="551"/>
      <c r="BM740" s="551"/>
      <c r="BN740" s="551"/>
      <c r="BO740" s="551"/>
      <c r="BP740" s="551"/>
      <c r="BQ740" s="551"/>
      <c r="BR740" s="551"/>
      <c r="BS740" s="551"/>
      <c r="BT740" s="551"/>
      <c r="BU740" s="551"/>
      <c r="BV740" s="551"/>
      <c r="BW740" s="551"/>
      <c r="BX740" s="551"/>
      <c r="BY740" s="551"/>
      <c r="BZ740" s="551"/>
      <c r="CA740" s="551"/>
      <c r="CB740" s="551"/>
      <c r="CC740" s="551"/>
      <c r="CD740" s="551"/>
      <c r="CE740" s="551"/>
      <c r="CF740" s="551"/>
      <c r="CG740" s="551"/>
      <c r="CH740" s="650"/>
      <c r="CI740" s="650"/>
      <c r="CJ740" s="650"/>
      <c r="CK740" s="650"/>
      <c r="CL740" s="650"/>
      <c r="CM740" s="551"/>
      <c r="CN740" s="551"/>
      <c r="CO740" s="551"/>
      <c r="CP740" s="650"/>
      <c r="CQ740" s="650"/>
      <c r="CR740" s="650"/>
      <c r="CS740" s="650"/>
      <c r="CT740" s="650"/>
      <c r="CU740" s="650"/>
    </row>
    <row r="741" s="1265" customFormat="1" ht="31" customHeight="1" spans="1:99">
      <c r="A741" s="641">
        <v>46000</v>
      </c>
      <c r="B741" s="642" t="s">
        <v>143</v>
      </c>
      <c r="C741" s="246" t="s">
        <v>98</v>
      </c>
      <c r="D741" s="551">
        <v>4500188488</v>
      </c>
      <c r="E741" s="1415" t="s">
        <v>2918</v>
      </c>
      <c r="F741" s="551" t="s">
        <v>2919</v>
      </c>
      <c r="G741" s="659" t="s">
        <v>101</v>
      </c>
      <c r="H741" s="246" t="s">
        <v>102</v>
      </c>
      <c r="I741" s="246">
        <v>5440</v>
      </c>
      <c r="J741" s="246">
        <v>0</v>
      </c>
      <c r="K741" s="246">
        <v>4</v>
      </c>
      <c r="L741" s="644">
        <f t="shared" si="241"/>
        <v>1360</v>
      </c>
      <c r="M741" s="645">
        <v>46048</v>
      </c>
      <c r="N741" s="645">
        <v>46044</v>
      </c>
      <c r="O741" s="643" t="s">
        <v>2916</v>
      </c>
      <c r="P741" s="824" t="s">
        <v>113</v>
      </c>
      <c r="Q741" s="646"/>
      <c r="R741" s="646" t="s">
        <v>2184</v>
      </c>
      <c r="S741" s="646" t="s">
        <v>70</v>
      </c>
      <c r="T741" s="646" t="s">
        <v>148</v>
      </c>
      <c r="U741" s="646"/>
      <c r="V741" s="642"/>
      <c r="W741" s="642"/>
      <c r="X741" s="642" t="s">
        <v>1395</v>
      </c>
      <c r="Y741" s="647" t="s">
        <v>106</v>
      </c>
      <c r="Z741" s="657">
        <v>2.5656</v>
      </c>
      <c r="AA741" s="647">
        <f t="shared" si="242"/>
        <v>13956.864</v>
      </c>
      <c r="AB741" s="551"/>
      <c r="AC741" s="658" t="s">
        <v>2920</v>
      </c>
      <c r="AD741" s="633" t="s">
        <v>101</v>
      </c>
      <c r="AE741" s="246" t="s">
        <v>82</v>
      </c>
      <c r="AF741" s="246"/>
      <c r="AG741" s="246"/>
      <c r="AH741" s="246" t="s">
        <v>126</v>
      </c>
      <c r="AI741" s="246">
        <f>5400+40</f>
        <v>5440</v>
      </c>
      <c r="AJ741" s="246">
        <f t="shared" si="245"/>
        <v>0</v>
      </c>
      <c r="AK741" s="246"/>
      <c r="AL741" s="246"/>
      <c r="AM741" s="551"/>
      <c r="AN741" s="551">
        <f t="shared" si="243"/>
        <v>5440</v>
      </c>
      <c r="AO741" s="1331"/>
      <c r="AP741" s="1331"/>
      <c r="AQ741" s="1331"/>
      <c r="AR741" s="551">
        <f t="shared" si="246"/>
        <v>5440</v>
      </c>
      <c r="AS741" s="551"/>
      <c r="AT741" s="551"/>
      <c r="AU741" s="551">
        <f t="shared" si="247"/>
        <v>5440</v>
      </c>
      <c r="AV741" s="551"/>
      <c r="AW741" s="551">
        <f t="shared" si="244"/>
        <v>5440</v>
      </c>
      <c r="AX741" s="651"/>
      <c r="AY741" s="551"/>
      <c r="AZ741" s="551"/>
      <c r="BA741" s="551"/>
      <c r="BB741" s="551"/>
      <c r="BC741" s="551"/>
      <c r="BD741" s="551"/>
      <c r="BE741" s="551"/>
      <c r="BF741" s="551"/>
      <c r="BG741" s="551"/>
      <c r="BH741" s="825">
        <f t="shared" si="248"/>
        <v>1360</v>
      </c>
      <c r="BI741" s="551"/>
      <c r="BJ741" s="551"/>
      <c r="BK741" s="551"/>
      <c r="BL741" s="551"/>
      <c r="BM741" s="551"/>
      <c r="BN741" s="551"/>
      <c r="BO741" s="551"/>
      <c r="BP741" s="551"/>
      <c r="BQ741" s="551"/>
      <c r="BR741" s="551"/>
      <c r="BS741" s="551"/>
      <c r="BT741" s="551"/>
      <c r="BU741" s="551"/>
      <c r="BV741" s="551"/>
      <c r="BW741" s="551"/>
      <c r="BX741" s="551"/>
      <c r="BY741" s="551"/>
      <c r="BZ741" s="551"/>
      <c r="CA741" s="551"/>
      <c r="CB741" s="551"/>
      <c r="CC741" s="551"/>
      <c r="CD741" s="551"/>
      <c r="CE741" s="551"/>
      <c r="CF741" s="551"/>
      <c r="CG741" s="551"/>
      <c r="CH741" s="650"/>
      <c r="CI741" s="650"/>
      <c r="CJ741" s="650"/>
      <c r="CK741" s="650"/>
      <c r="CL741" s="650"/>
      <c r="CM741" s="551"/>
      <c r="CN741" s="551"/>
      <c r="CO741" s="551"/>
      <c r="CP741" s="650"/>
      <c r="CQ741" s="650"/>
      <c r="CR741" s="650"/>
      <c r="CS741" s="650"/>
      <c r="CT741" s="650"/>
      <c r="CU741" s="650"/>
    </row>
    <row r="742" s="1265" customFormat="1" ht="31" customHeight="1" spans="1:99">
      <c r="A742" s="641">
        <v>46000</v>
      </c>
      <c r="B742" s="642" t="s">
        <v>143</v>
      </c>
      <c r="C742" s="246" t="s">
        <v>98</v>
      </c>
      <c r="D742" s="551">
        <v>4500188488</v>
      </c>
      <c r="E742" s="1415" t="s">
        <v>2921</v>
      </c>
      <c r="F742" s="551" t="s">
        <v>2922</v>
      </c>
      <c r="G742" s="659" t="s">
        <v>101</v>
      </c>
      <c r="H742" s="246" t="s">
        <v>102</v>
      </c>
      <c r="I742" s="246">
        <v>7360</v>
      </c>
      <c r="J742" s="246">
        <v>0</v>
      </c>
      <c r="K742" s="246">
        <v>4</v>
      </c>
      <c r="L742" s="644">
        <f t="shared" si="241"/>
        <v>1840</v>
      </c>
      <c r="M742" s="645">
        <v>46048</v>
      </c>
      <c r="N742" s="645">
        <v>46044</v>
      </c>
      <c r="O742" s="643" t="s">
        <v>2923</v>
      </c>
      <c r="P742" s="824" t="s">
        <v>113</v>
      </c>
      <c r="Q742" s="646"/>
      <c r="R742" s="646" t="s">
        <v>2184</v>
      </c>
      <c r="S742" s="646" t="s">
        <v>70</v>
      </c>
      <c r="T742" s="646" t="s">
        <v>148</v>
      </c>
      <c r="U742" s="646"/>
      <c r="V742" s="642"/>
      <c r="W742" s="642"/>
      <c r="X742" s="642" t="s">
        <v>1395</v>
      </c>
      <c r="Y742" s="647" t="s">
        <v>106</v>
      </c>
      <c r="Z742" s="657">
        <v>2.5656</v>
      </c>
      <c r="AA742" s="647">
        <f t="shared" si="242"/>
        <v>18882.816</v>
      </c>
      <c r="AB742" s="551"/>
      <c r="AC742" s="658" t="s">
        <v>2924</v>
      </c>
      <c r="AD742" s="633" t="s">
        <v>101</v>
      </c>
      <c r="AE742" s="246" t="s">
        <v>82</v>
      </c>
      <c r="AF742" s="246"/>
      <c r="AG742" s="246"/>
      <c r="AH742" s="246" t="s">
        <v>126</v>
      </c>
      <c r="AI742" s="246">
        <f>4320+3040</f>
        <v>7360</v>
      </c>
      <c r="AJ742" s="246">
        <f t="shared" si="245"/>
        <v>0</v>
      </c>
      <c r="AK742" s="246"/>
      <c r="AL742" s="246"/>
      <c r="AM742" s="551"/>
      <c r="AN742" s="551">
        <f t="shared" si="243"/>
        <v>7360</v>
      </c>
      <c r="AO742" s="1331"/>
      <c r="AP742" s="1331"/>
      <c r="AQ742" s="1331"/>
      <c r="AR742" s="551">
        <f t="shared" si="246"/>
        <v>7360</v>
      </c>
      <c r="AS742" s="551"/>
      <c r="AT742" s="551"/>
      <c r="AU742" s="551">
        <f t="shared" si="247"/>
        <v>7360</v>
      </c>
      <c r="AV742" s="551"/>
      <c r="AW742" s="551">
        <f t="shared" si="244"/>
        <v>7360</v>
      </c>
      <c r="AX742" s="651"/>
      <c r="AY742" s="551"/>
      <c r="AZ742" s="551"/>
      <c r="BA742" s="551"/>
      <c r="BB742" s="551"/>
      <c r="BC742" s="551"/>
      <c r="BD742" s="551"/>
      <c r="BE742" s="551"/>
      <c r="BF742" s="551"/>
      <c r="BG742" s="551"/>
      <c r="BH742" s="825">
        <f t="shared" si="248"/>
        <v>1840</v>
      </c>
      <c r="BI742" s="551"/>
      <c r="BJ742" s="551"/>
      <c r="BK742" s="551"/>
      <c r="BL742" s="551"/>
      <c r="BM742" s="551"/>
      <c r="BN742" s="551"/>
      <c r="BO742" s="551"/>
      <c r="BP742" s="551"/>
      <c r="BQ742" s="551"/>
      <c r="BR742" s="551"/>
      <c r="BS742" s="551"/>
      <c r="BT742" s="551"/>
      <c r="BU742" s="551"/>
      <c r="BV742" s="551"/>
      <c r="BW742" s="551"/>
      <c r="BX742" s="551"/>
      <c r="BY742" s="551"/>
      <c r="BZ742" s="551"/>
      <c r="CA742" s="551"/>
      <c r="CB742" s="551"/>
      <c r="CC742" s="551"/>
      <c r="CD742" s="551"/>
      <c r="CE742" s="551"/>
      <c r="CF742" s="551"/>
      <c r="CG742" s="551"/>
      <c r="CH742" s="650"/>
      <c r="CI742" s="650"/>
      <c r="CJ742" s="650"/>
      <c r="CK742" s="650"/>
      <c r="CL742" s="650"/>
      <c r="CM742" s="551"/>
      <c r="CN742" s="551"/>
      <c r="CO742" s="551"/>
      <c r="CP742" s="650"/>
      <c r="CQ742" s="650"/>
      <c r="CR742" s="650"/>
      <c r="CS742" s="650"/>
      <c r="CT742" s="650"/>
      <c r="CU742" s="650"/>
    </row>
    <row r="743" s="1265" customFormat="1" ht="31" customHeight="1" spans="1:99">
      <c r="A743" s="641">
        <v>46000</v>
      </c>
      <c r="B743" s="642" t="s">
        <v>143</v>
      </c>
      <c r="C743" s="246" t="s">
        <v>98</v>
      </c>
      <c r="D743" s="551">
        <v>4500188488</v>
      </c>
      <c r="E743" s="1415" t="s">
        <v>2925</v>
      </c>
      <c r="F743" s="551" t="s">
        <v>2926</v>
      </c>
      <c r="G743" s="659" t="s">
        <v>101</v>
      </c>
      <c r="H743" s="246" t="s">
        <v>102</v>
      </c>
      <c r="I743" s="246">
        <v>4480</v>
      </c>
      <c r="J743" s="246">
        <v>0</v>
      </c>
      <c r="K743" s="246">
        <v>4</v>
      </c>
      <c r="L743" s="644">
        <f t="shared" si="241"/>
        <v>1120</v>
      </c>
      <c r="M743" s="645">
        <v>46048</v>
      </c>
      <c r="N743" s="645">
        <v>46044</v>
      </c>
      <c r="O743" s="643" t="s">
        <v>2923</v>
      </c>
      <c r="P743" s="824" t="s">
        <v>113</v>
      </c>
      <c r="Q743" s="646"/>
      <c r="R743" s="646" t="s">
        <v>2184</v>
      </c>
      <c r="S743" s="646" t="s">
        <v>70</v>
      </c>
      <c r="T743" s="646" t="s">
        <v>148</v>
      </c>
      <c r="U743" s="646"/>
      <c r="V743" s="642"/>
      <c r="W743" s="642"/>
      <c r="X743" s="642" t="s">
        <v>1395</v>
      </c>
      <c r="Y743" s="647" t="s">
        <v>106</v>
      </c>
      <c r="Z743" s="657">
        <v>2.5768</v>
      </c>
      <c r="AA743" s="647">
        <f t="shared" si="242"/>
        <v>11544.064</v>
      </c>
      <c r="AB743" s="551"/>
      <c r="AC743" s="658" t="s">
        <v>2927</v>
      </c>
      <c r="AD743" s="633" t="s">
        <v>101</v>
      </c>
      <c r="AE743" s="246" t="s">
        <v>82</v>
      </c>
      <c r="AF743" s="246"/>
      <c r="AG743" s="246"/>
      <c r="AH743" s="246" t="s">
        <v>126</v>
      </c>
      <c r="AI743" s="246">
        <v>4480</v>
      </c>
      <c r="AJ743" s="246">
        <f t="shared" si="245"/>
        <v>0</v>
      </c>
      <c r="AK743" s="246"/>
      <c r="AL743" s="246"/>
      <c r="AM743" s="551"/>
      <c r="AN743" s="551">
        <f t="shared" si="243"/>
        <v>4480</v>
      </c>
      <c r="AO743" s="1331"/>
      <c r="AP743" s="1331"/>
      <c r="AQ743" s="1331"/>
      <c r="AR743" s="551">
        <f t="shared" si="246"/>
        <v>4480</v>
      </c>
      <c r="AS743" s="551"/>
      <c r="AT743" s="551"/>
      <c r="AU743" s="551">
        <f t="shared" si="247"/>
        <v>4480</v>
      </c>
      <c r="AV743" s="551"/>
      <c r="AW743" s="551">
        <f t="shared" si="244"/>
        <v>4480</v>
      </c>
      <c r="AX743" s="651"/>
      <c r="AY743" s="551"/>
      <c r="AZ743" s="551"/>
      <c r="BA743" s="551"/>
      <c r="BB743" s="551"/>
      <c r="BC743" s="551"/>
      <c r="BD743" s="551"/>
      <c r="BE743" s="551"/>
      <c r="BF743" s="551"/>
      <c r="BG743" s="551"/>
      <c r="BH743" s="825">
        <f t="shared" si="248"/>
        <v>1120</v>
      </c>
      <c r="BI743" s="551"/>
      <c r="BJ743" s="551"/>
      <c r="BK743" s="551"/>
      <c r="BL743" s="551"/>
      <c r="BM743" s="551"/>
      <c r="BN743" s="551"/>
      <c r="BO743" s="551"/>
      <c r="BP743" s="551"/>
      <c r="BQ743" s="551"/>
      <c r="BR743" s="551"/>
      <c r="BS743" s="551"/>
      <c r="BT743" s="551"/>
      <c r="BU743" s="551"/>
      <c r="BV743" s="551"/>
      <c r="BW743" s="551"/>
      <c r="BX743" s="551"/>
      <c r="BY743" s="551"/>
      <c r="BZ743" s="551"/>
      <c r="CA743" s="551"/>
      <c r="CB743" s="551"/>
      <c r="CC743" s="551"/>
      <c r="CD743" s="551"/>
      <c r="CE743" s="551"/>
      <c r="CF743" s="551"/>
      <c r="CG743" s="551"/>
      <c r="CH743" s="650"/>
      <c r="CI743" s="650"/>
      <c r="CJ743" s="650"/>
      <c r="CK743" s="650"/>
      <c r="CL743" s="650"/>
      <c r="CM743" s="551"/>
      <c r="CN743" s="551"/>
      <c r="CO743" s="551"/>
      <c r="CP743" s="650"/>
      <c r="CQ743" s="650"/>
      <c r="CR743" s="650"/>
      <c r="CS743" s="650"/>
      <c r="CT743" s="650"/>
      <c r="CU743" s="650"/>
    </row>
    <row r="744" s="1265" customFormat="1" ht="31" customHeight="1" spans="1:99">
      <c r="A744" s="641">
        <v>46000</v>
      </c>
      <c r="B744" s="642" t="s">
        <v>143</v>
      </c>
      <c r="C744" s="246" t="s">
        <v>98</v>
      </c>
      <c r="D744" s="551">
        <v>4500188488</v>
      </c>
      <c r="E744" s="1415" t="s">
        <v>2928</v>
      </c>
      <c r="F744" s="551" t="s">
        <v>2929</v>
      </c>
      <c r="G744" s="659" t="s">
        <v>101</v>
      </c>
      <c r="H744" s="246" t="s">
        <v>102</v>
      </c>
      <c r="I744" s="246">
        <v>5760</v>
      </c>
      <c r="J744" s="246">
        <v>0</v>
      </c>
      <c r="K744" s="246">
        <v>4</v>
      </c>
      <c r="L744" s="644">
        <f t="shared" si="241"/>
        <v>1440</v>
      </c>
      <c r="M744" s="645">
        <v>46048</v>
      </c>
      <c r="N744" s="645">
        <v>46044</v>
      </c>
      <c r="O744" s="643" t="s">
        <v>2916</v>
      </c>
      <c r="P744" s="824" t="s">
        <v>113</v>
      </c>
      <c r="Q744" s="646"/>
      <c r="R744" s="646" t="s">
        <v>2184</v>
      </c>
      <c r="S744" s="646" t="s">
        <v>70</v>
      </c>
      <c r="T744" s="646" t="s">
        <v>148</v>
      </c>
      <c r="U744" s="646"/>
      <c r="V744" s="642"/>
      <c r="W744" s="642"/>
      <c r="X744" s="642" t="s">
        <v>1395</v>
      </c>
      <c r="Y744" s="647" t="s">
        <v>106</v>
      </c>
      <c r="Z744" s="657">
        <v>2.5656</v>
      </c>
      <c r="AA744" s="647">
        <f t="shared" si="242"/>
        <v>14777.856</v>
      </c>
      <c r="AB744" s="551"/>
      <c r="AC744" s="658" t="s">
        <v>2930</v>
      </c>
      <c r="AD744" s="633" t="s">
        <v>101</v>
      </c>
      <c r="AE744" s="246" t="s">
        <v>82</v>
      </c>
      <c r="AF744" s="246"/>
      <c r="AG744" s="246"/>
      <c r="AH744" s="246" t="s">
        <v>126</v>
      </c>
      <c r="AI744" s="246">
        <f>1440+2160+2160</f>
        <v>5760</v>
      </c>
      <c r="AJ744" s="246">
        <f t="shared" si="245"/>
        <v>0</v>
      </c>
      <c r="AK744" s="246"/>
      <c r="AL744" s="246"/>
      <c r="AM744" s="551"/>
      <c r="AN744" s="551">
        <f t="shared" si="243"/>
        <v>5760</v>
      </c>
      <c r="AO744" s="1331"/>
      <c r="AP744" s="1331"/>
      <c r="AQ744" s="1331"/>
      <c r="AR744" s="551">
        <f t="shared" si="246"/>
        <v>5760</v>
      </c>
      <c r="AS744" s="551"/>
      <c r="AT744" s="551"/>
      <c r="AU744" s="551">
        <f t="shared" si="247"/>
        <v>5760</v>
      </c>
      <c r="AV744" s="551"/>
      <c r="AW744" s="551">
        <f t="shared" si="244"/>
        <v>5760</v>
      </c>
      <c r="AX744" s="651"/>
      <c r="AY744" s="551"/>
      <c r="AZ744" s="551"/>
      <c r="BA744" s="551"/>
      <c r="BB744" s="551"/>
      <c r="BC744" s="551"/>
      <c r="BD744" s="551"/>
      <c r="BE744" s="551"/>
      <c r="BF744" s="551"/>
      <c r="BG744" s="551"/>
      <c r="BH744" s="825">
        <f t="shared" si="248"/>
        <v>1440</v>
      </c>
      <c r="BI744" s="551"/>
      <c r="BJ744" s="551"/>
      <c r="BK744" s="551"/>
      <c r="BL744" s="551"/>
      <c r="BM744" s="551"/>
      <c r="BN744" s="551"/>
      <c r="BO744" s="551"/>
      <c r="BP744" s="551"/>
      <c r="BQ744" s="551"/>
      <c r="BR744" s="551"/>
      <c r="BS744" s="551"/>
      <c r="BT744" s="551"/>
      <c r="BU744" s="551"/>
      <c r="BV744" s="551"/>
      <c r="BW744" s="551"/>
      <c r="BX744" s="551"/>
      <c r="BY744" s="551"/>
      <c r="BZ744" s="551"/>
      <c r="CA744" s="551"/>
      <c r="CB744" s="551"/>
      <c r="CC744" s="551"/>
      <c r="CD744" s="551"/>
      <c r="CE744" s="551"/>
      <c r="CF744" s="551"/>
      <c r="CG744" s="551"/>
      <c r="CH744" s="650"/>
      <c r="CI744" s="650"/>
      <c r="CJ744" s="650"/>
      <c r="CK744" s="650"/>
      <c r="CL744" s="650"/>
      <c r="CM744" s="551"/>
      <c r="CN744" s="551"/>
      <c r="CO744" s="551"/>
      <c r="CP744" s="650"/>
      <c r="CQ744" s="650"/>
      <c r="CR744" s="650"/>
      <c r="CS744" s="650"/>
      <c r="CT744" s="650"/>
      <c r="CU744" s="650"/>
    </row>
    <row r="745" s="1265" customFormat="1" ht="31" customHeight="1" spans="1:99">
      <c r="A745" s="641">
        <v>46000</v>
      </c>
      <c r="B745" s="642" t="s">
        <v>143</v>
      </c>
      <c r="C745" s="246" t="s">
        <v>98</v>
      </c>
      <c r="D745" s="551">
        <v>4500188488</v>
      </c>
      <c r="E745" s="1415" t="s">
        <v>2931</v>
      </c>
      <c r="F745" s="551" t="s">
        <v>2932</v>
      </c>
      <c r="G745" s="659" t="s">
        <v>101</v>
      </c>
      <c r="H745" s="246" t="s">
        <v>102</v>
      </c>
      <c r="I745" s="246">
        <v>6080</v>
      </c>
      <c r="J745" s="246">
        <v>0</v>
      </c>
      <c r="K745" s="246">
        <v>4</v>
      </c>
      <c r="L745" s="644">
        <f t="shared" si="241"/>
        <v>1520</v>
      </c>
      <c r="M745" s="645">
        <v>46048</v>
      </c>
      <c r="N745" s="645">
        <v>46044</v>
      </c>
      <c r="O745" s="643" t="s">
        <v>2923</v>
      </c>
      <c r="P745" s="824" t="s">
        <v>113</v>
      </c>
      <c r="Q745" s="646"/>
      <c r="R745" s="646" t="s">
        <v>2184</v>
      </c>
      <c r="S745" s="646" t="s">
        <v>70</v>
      </c>
      <c r="T745" s="646" t="s">
        <v>148</v>
      </c>
      <c r="U745" s="646"/>
      <c r="V745" s="642"/>
      <c r="W745" s="642"/>
      <c r="X745" s="642" t="s">
        <v>1395</v>
      </c>
      <c r="Y745" s="647" t="s">
        <v>106</v>
      </c>
      <c r="Z745" s="657">
        <v>2.5656</v>
      </c>
      <c r="AA745" s="647">
        <f t="shared" si="242"/>
        <v>15598.848</v>
      </c>
      <c r="AB745" s="551"/>
      <c r="AC745" s="658" t="s">
        <v>2933</v>
      </c>
      <c r="AD745" s="633" t="s">
        <v>101</v>
      </c>
      <c r="AE745" s="246" t="s">
        <v>82</v>
      </c>
      <c r="AF745" s="246"/>
      <c r="AG745" s="246"/>
      <c r="AH745" s="246" t="s">
        <v>126</v>
      </c>
      <c r="AI745" s="246">
        <f>4320+1440+320</f>
        <v>6080</v>
      </c>
      <c r="AJ745" s="246">
        <f t="shared" si="245"/>
        <v>0</v>
      </c>
      <c r="AK745" s="246"/>
      <c r="AL745" s="246"/>
      <c r="AM745" s="551"/>
      <c r="AN745" s="551">
        <f t="shared" si="243"/>
        <v>6080</v>
      </c>
      <c r="AO745" s="1331"/>
      <c r="AP745" s="1331"/>
      <c r="AQ745" s="1331"/>
      <c r="AR745" s="551">
        <f t="shared" si="246"/>
        <v>6080</v>
      </c>
      <c r="AS745" s="551"/>
      <c r="AT745" s="551"/>
      <c r="AU745" s="551">
        <f t="shared" si="247"/>
        <v>6080</v>
      </c>
      <c r="AV745" s="551"/>
      <c r="AW745" s="551">
        <f t="shared" si="244"/>
        <v>6080</v>
      </c>
      <c r="AX745" s="651"/>
      <c r="AY745" s="551"/>
      <c r="AZ745" s="551"/>
      <c r="BA745" s="551"/>
      <c r="BB745" s="551"/>
      <c r="BC745" s="551"/>
      <c r="BD745" s="551"/>
      <c r="BE745" s="551"/>
      <c r="BF745" s="551"/>
      <c r="BG745" s="551"/>
      <c r="BH745" s="825">
        <f t="shared" si="248"/>
        <v>1520</v>
      </c>
      <c r="BI745" s="551"/>
      <c r="BJ745" s="551"/>
      <c r="BK745" s="551"/>
      <c r="BL745" s="551"/>
      <c r="BM745" s="551"/>
      <c r="BN745" s="551"/>
      <c r="BO745" s="551"/>
      <c r="BP745" s="551"/>
      <c r="BQ745" s="551"/>
      <c r="BR745" s="551"/>
      <c r="BS745" s="551"/>
      <c r="BT745" s="551"/>
      <c r="BU745" s="551"/>
      <c r="BV745" s="551"/>
      <c r="BW745" s="551"/>
      <c r="BX745" s="551"/>
      <c r="BY745" s="551"/>
      <c r="BZ745" s="551"/>
      <c r="CA745" s="551"/>
      <c r="CB745" s="551"/>
      <c r="CC745" s="551"/>
      <c r="CD745" s="551"/>
      <c r="CE745" s="551"/>
      <c r="CF745" s="551"/>
      <c r="CG745" s="551"/>
      <c r="CH745" s="650"/>
      <c r="CI745" s="650"/>
      <c r="CJ745" s="650"/>
      <c r="CK745" s="650"/>
      <c r="CL745" s="650"/>
      <c r="CM745" s="551"/>
      <c r="CN745" s="551"/>
      <c r="CO745" s="551"/>
      <c r="CP745" s="650"/>
      <c r="CQ745" s="650"/>
      <c r="CR745" s="650"/>
      <c r="CS745" s="650"/>
      <c r="CT745" s="650"/>
      <c r="CU745" s="650"/>
    </row>
    <row r="746" s="1265" customFormat="1" ht="31" customHeight="1" spans="1:99">
      <c r="A746" s="641">
        <v>46000</v>
      </c>
      <c r="B746" s="642" t="s">
        <v>143</v>
      </c>
      <c r="C746" s="246" t="s">
        <v>98</v>
      </c>
      <c r="D746" s="551">
        <v>4500188488</v>
      </c>
      <c r="E746" s="1415" t="s">
        <v>2934</v>
      </c>
      <c r="F746" s="551" t="s">
        <v>2935</v>
      </c>
      <c r="G746" s="659" t="s">
        <v>101</v>
      </c>
      <c r="H746" s="246" t="s">
        <v>102</v>
      </c>
      <c r="I746" s="246">
        <v>4160</v>
      </c>
      <c r="J746" s="246">
        <v>0</v>
      </c>
      <c r="K746" s="246">
        <v>4</v>
      </c>
      <c r="L746" s="644">
        <f t="shared" si="241"/>
        <v>1040</v>
      </c>
      <c r="M746" s="645">
        <v>46048</v>
      </c>
      <c r="N746" s="645">
        <v>46044</v>
      </c>
      <c r="O746" s="643" t="s">
        <v>2923</v>
      </c>
      <c r="P746" s="824" t="s">
        <v>113</v>
      </c>
      <c r="Q746" s="646"/>
      <c r="R746" s="646" t="s">
        <v>2184</v>
      </c>
      <c r="S746" s="646" t="s">
        <v>70</v>
      </c>
      <c r="T746" s="646" t="s">
        <v>148</v>
      </c>
      <c r="U746" s="646"/>
      <c r="V746" s="642"/>
      <c r="W746" s="642"/>
      <c r="X746" s="642" t="s">
        <v>1395</v>
      </c>
      <c r="Y746" s="647" t="s">
        <v>106</v>
      </c>
      <c r="Z746" s="657">
        <v>2.5768</v>
      </c>
      <c r="AA746" s="647">
        <f t="shared" si="242"/>
        <v>10719.488</v>
      </c>
      <c r="AB746" s="551"/>
      <c r="AC746" s="658" t="s">
        <v>2936</v>
      </c>
      <c r="AD746" s="633" t="s">
        <v>101</v>
      </c>
      <c r="AE746" s="246" t="s">
        <v>82</v>
      </c>
      <c r="AF746" s="246"/>
      <c r="AG746" s="246"/>
      <c r="AH746" s="246" t="s">
        <v>126</v>
      </c>
      <c r="AI746" s="246">
        <f>3600+560</f>
        <v>4160</v>
      </c>
      <c r="AJ746" s="246">
        <f t="shared" si="245"/>
        <v>0</v>
      </c>
      <c r="AK746" s="246"/>
      <c r="AL746" s="246" t="s">
        <v>2368</v>
      </c>
      <c r="AM746" s="551"/>
      <c r="AN746" s="551">
        <f t="shared" si="243"/>
        <v>4160</v>
      </c>
      <c r="AO746" s="1331"/>
      <c r="AP746" s="1331"/>
      <c r="AQ746" s="1331"/>
      <c r="AR746" s="551">
        <f t="shared" si="246"/>
        <v>4160</v>
      </c>
      <c r="AS746" s="551"/>
      <c r="AT746" s="551"/>
      <c r="AU746" s="551">
        <f t="shared" si="247"/>
        <v>4160</v>
      </c>
      <c r="AV746" s="551"/>
      <c r="AW746" s="551">
        <f t="shared" si="244"/>
        <v>4160</v>
      </c>
      <c r="AX746" s="651"/>
      <c r="AY746" s="551"/>
      <c r="AZ746" s="551"/>
      <c r="BA746" s="551"/>
      <c r="BB746" s="551"/>
      <c r="BC746" s="551"/>
      <c r="BD746" s="551"/>
      <c r="BE746" s="551"/>
      <c r="BF746" s="551"/>
      <c r="BG746" s="551"/>
      <c r="BH746" s="825">
        <f t="shared" si="248"/>
        <v>1040</v>
      </c>
      <c r="BI746" s="551"/>
      <c r="BJ746" s="551"/>
      <c r="BK746" s="551"/>
      <c r="BL746" s="551"/>
      <c r="BM746" s="551"/>
      <c r="BN746" s="551"/>
      <c r="BO746" s="551"/>
      <c r="BP746" s="551"/>
      <c r="BQ746" s="551"/>
      <c r="BR746" s="551"/>
      <c r="BS746" s="551"/>
      <c r="BT746" s="551"/>
      <c r="BU746" s="551"/>
      <c r="BV746" s="551"/>
      <c r="BW746" s="551"/>
      <c r="BX746" s="551"/>
      <c r="BY746" s="551"/>
      <c r="BZ746" s="551"/>
      <c r="CA746" s="551"/>
      <c r="CB746" s="551"/>
      <c r="CC746" s="551"/>
      <c r="CD746" s="551"/>
      <c r="CE746" s="551"/>
      <c r="CF746" s="551"/>
      <c r="CG746" s="551"/>
      <c r="CH746" s="650"/>
      <c r="CI746" s="650"/>
      <c r="CJ746" s="650"/>
      <c r="CK746" s="650"/>
      <c r="CL746" s="650"/>
      <c r="CM746" s="551"/>
      <c r="CN746" s="551"/>
      <c r="CO746" s="551"/>
      <c r="CP746" s="650"/>
      <c r="CQ746" s="650"/>
      <c r="CR746" s="650"/>
      <c r="CS746" s="650"/>
      <c r="CT746" s="650"/>
      <c r="CU746" s="650"/>
    </row>
    <row r="747" s="1265" customFormat="1" ht="31" customHeight="1" spans="1:99">
      <c r="A747" s="641">
        <v>46001</v>
      </c>
      <c r="B747" s="642" t="s">
        <v>2622</v>
      </c>
      <c r="C747" s="246" t="s">
        <v>98</v>
      </c>
      <c r="D747" s="551">
        <v>4500188598</v>
      </c>
      <c r="E747" s="246">
        <v>40799204</v>
      </c>
      <c r="F747" s="551" t="s">
        <v>2937</v>
      </c>
      <c r="G747" s="659" t="s">
        <v>2624</v>
      </c>
      <c r="H747" s="246" t="s">
        <v>2625</v>
      </c>
      <c r="I747" s="246">
        <v>616</v>
      </c>
      <c r="J747" s="246">
        <v>0</v>
      </c>
      <c r="K747" s="246">
        <v>8</v>
      </c>
      <c r="L747" s="644">
        <f t="shared" si="241"/>
        <v>77</v>
      </c>
      <c r="M747" s="645">
        <v>46048</v>
      </c>
      <c r="N747" s="645">
        <v>46044</v>
      </c>
      <c r="O747" s="1342" t="s">
        <v>2631</v>
      </c>
      <c r="P747" s="824" t="s">
        <v>113</v>
      </c>
      <c r="Q747" s="646"/>
      <c r="R747" s="646">
        <v>46001</v>
      </c>
      <c r="S747" s="646" t="s">
        <v>104</v>
      </c>
      <c r="T747" s="646" t="s">
        <v>2632</v>
      </c>
      <c r="U747" s="646"/>
      <c r="V747" s="642"/>
      <c r="W747" s="642"/>
      <c r="X747" s="642" t="s">
        <v>2633</v>
      </c>
      <c r="Y747" s="647" t="s">
        <v>270</v>
      </c>
      <c r="Z747" s="657">
        <v>2.55</v>
      </c>
      <c r="AA747" s="647">
        <f t="shared" si="242"/>
        <v>1570.8</v>
      </c>
      <c r="AB747" s="551"/>
      <c r="AC747" s="658" t="s">
        <v>2938</v>
      </c>
      <c r="AD747" s="633" t="s">
        <v>2628</v>
      </c>
      <c r="AE747" s="246" t="s">
        <v>82</v>
      </c>
      <c r="AF747" s="246"/>
      <c r="AG747" s="246"/>
      <c r="AH747" s="246" t="s">
        <v>126</v>
      </c>
      <c r="AI747" s="246">
        <v>616</v>
      </c>
      <c r="AJ747" s="246">
        <f t="shared" si="245"/>
        <v>0</v>
      </c>
      <c r="AK747" s="246"/>
      <c r="AL747" s="246" t="s">
        <v>2368</v>
      </c>
      <c r="AM747" s="551"/>
      <c r="AN747" s="551">
        <f t="shared" si="243"/>
        <v>616</v>
      </c>
      <c r="AO747" s="1331"/>
      <c r="AP747" s="1331"/>
      <c r="AQ747" s="1331"/>
      <c r="AR747" s="551"/>
      <c r="AS747" s="551">
        <f>I747</f>
        <v>616</v>
      </c>
      <c r="AT747" s="551"/>
      <c r="AU747" s="551">
        <f t="shared" si="247"/>
        <v>616</v>
      </c>
      <c r="AV747" s="551"/>
      <c r="AW747" s="551">
        <f t="shared" si="244"/>
        <v>616</v>
      </c>
      <c r="AX747" s="651"/>
      <c r="AY747" s="551"/>
      <c r="AZ747" s="551"/>
      <c r="BA747" s="551"/>
      <c r="BB747" s="551"/>
      <c r="BC747" s="551"/>
      <c r="BD747" s="551"/>
      <c r="BE747" s="551"/>
      <c r="BF747" s="551"/>
      <c r="BG747" s="551"/>
      <c r="BH747" s="551"/>
      <c r="BI747" s="551"/>
      <c r="BJ747" s="551">
        <f>L747</f>
        <v>77</v>
      </c>
      <c r="BK747" s="551"/>
      <c r="BL747" s="551"/>
      <c r="BM747" s="551"/>
      <c r="BN747" s="551"/>
      <c r="BO747" s="551"/>
      <c r="BP747" s="551"/>
      <c r="BQ747" s="551"/>
      <c r="BR747" s="551"/>
      <c r="BS747" s="551"/>
      <c r="BT747" s="551"/>
      <c r="BU747" s="551"/>
      <c r="BV747" s="551"/>
      <c r="BW747" s="551"/>
      <c r="BX747" s="551"/>
      <c r="BY747" s="551"/>
      <c r="BZ747" s="551"/>
      <c r="CA747" s="551"/>
      <c r="CB747" s="551"/>
      <c r="CC747" s="551"/>
      <c r="CD747" s="551"/>
      <c r="CE747" s="551"/>
      <c r="CF747" s="551"/>
      <c r="CG747" s="551"/>
      <c r="CH747" s="650"/>
      <c r="CI747" s="650"/>
      <c r="CJ747" s="650"/>
      <c r="CK747" s="650"/>
      <c r="CL747" s="650"/>
      <c r="CM747" s="551"/>
      <c r="CN747" s="551"/>
      <c r="CO747" s="551"/>
      <c r="CP747" s="650"/>
      <c r="CQ747" s="650"/>
      <c r="CR747" s="650"/>
      <c r="CS747" s="650"/>
      <c r="CT747" s="650"/>
      <c r="CU747" s="650"/>
    </row>
    <row r="748" s="1265" customFormat="1" ht="31" customHeight="1" spans="1:99">
      <c r="A748" s="641">
        <v>46001</v>
      </c>
      <c r="B748" s="642" t="s">
        <v>2622</v>
      </c>
      <c r="C748" s="246" t="s">
        <v>98</v>
      </c>
      <c r="D748" s="551">
        <v>4500188599</v>
      </c>
      <c r="E748" s="246">
        <v>40799198</v>
      </c>
      <c r="F748" s="551" t="s">
        <v>2939</v>
      </c>
      <c r="G748" s="659" t="s">
        <v>2624</v>
      </c>
      <c r="H748" s="246" t="s">
        <v>2625</v>
      </c>
      <c r="I748" s="246">
        <v>296</v>
      </c>
      <c r="J748" s="246">
        <v>0</v>
      </c>
      <c r="K748" s="246">
        <v>8</v>
      </c>
      <c r="L748" s="644">
        <f t="shared" si="241"/>
        <v>37</v>
      </c>
      <c r="M748" s="645">
        <v>46048</v>
      </c>
      <c r="N748" s="645">
        <v>46044</v>
      </c>
      <c r="O748" s="1342" t="s">
        <v>2631</v>
      </c>
      <c r="P748" s="824" t="s">
        <v>113</v>
      </c>
      <c r="Q748" s="646"/>
      <c r="R748" s="646">
        <v>46001</v>
      </c>
      <c r="S748" s="646" t="s">
        <v>104</v>
      </c>
      <c r="T748" s="646" t="s">
        <v>2632</v>
      </c>
      <c r="U748" s="646"/>
      <c r="V748" s="642"/>
      <c r="W748" s="642"/>
      <c r="X748" s="642" t="s">
        <v>2633</v>
      </c>
      <c r="Y748" s="647" t="s">
        <v>270</v>
      </c>
      <c r="Z748" s="657">
        <v>2.6435</v>
      </c>
      <c r="AA748" s="647">
        <f t="shared" si="242"/>
        <v>782.476</v>
      </c>
      <c r="AB748" s="551"/>
      <c r="AC748" s="658" t="s">
        <v>2940</v>
      </c>
      <c r="AD748" s="633" t="s">
        <v>2628</v>
      </c>
      <c r="AE748" s="246" t="s">
        <v>82</v>
      </c>
      <c r="AF748" s="246"/>
      <c r="AG748" s="246"/>
      <c r="AH748" s="246" t="s">
        <v>126</v>
      </c>
      <c r="AI748" s="246">
        <v>296</v>
      </c>
      <c r="AJ748" s="246">
        <f t="shared" si="245"/>
        <v>0</v>
      </c>
      <c r="AK748" s="246"/>
      <c r="AL748" s="246" t="s">
        <v>2368</v>
      </c>
      <c r="AM748" s="551"/>
      <c r="AN748" s="551">
        <f t="shared" si="243"/>
        <v>296</v>
      </c>
      <c r="AO748" s="1331"/>
      <c r="AP748" s="1331"/>
      <c r="AQ748" s="1331"/>
      <c r="AR748" s="551"/>
      <c r="AS748" s="551">
        <f>I748</f>
        <v>296</v>
      </c>
      <c r="AT748" s="551"/>
      <c r="AU748" s="551">
        <f t="shared" si="247"/>
        <v>296</v>
      </c>
      <c r="AV748" s="551"/>
      <c r="AW748" s="551">
        <f t="shared" si="244"/>
        <v>296</v>
      </c>
      <c r="AX748" s="651"/>
      <c r="AY748" s="551"/>
      <c r="AZ748" s="551"/>
      <c r="BA748" s="551"/>
      <c r="BB748" s="551"/>
      <c r="BC748" s="551"/>
      <c r="BD748" s="551"/>
      <c r="BE748" s="551"/>
      <c r="BF748" s="551"/>
      <c r="BG748" s="551"/>
      <c r="BH748" s="551"/>
      <c r="BI748" s="551"/>
      <c r="BJ748" s="551">
        <f>L748</f>
        <v>37</v>
      </c>
      <c r="BK748" s="551"/>
      <c r="BL748" s="551"/>
      <c r="BM748" s="551"/>
      <c r="BN748" s="551"/>
      <c r="BO748" s="551"/>
      <c r="BP748" s="551"/>
      <c r="BQ748" s="551"/>
      <c r="BR748" s="551"/>
      <c r="BS748" s="551"/>
      <c r="BT748" s="551"/>
      <c r="BU748" s="551"/>
      <c r="BV748" s="551"/>
      <c r="BW748" s="551"/>
      <c r="BX748" s="551"/>
      <c r="BY748" s="551"/>
      <c r="BZ748" s="551"/>
      <c r="CA748" s="551"/>
      <c r="CB748" s="551"/>
      <c r="CC748" s="551"/>
      <c r="CD748" s="551"/>
      <c r="CE748" s="551"/>
      <c r="CF748" s="551"/>
      <c r="CG748" s="551"/>
      <c r="CH748" s="650"/>
      <c r="CI748" s="650"/>
      <c r="CJ748" s="650"/>
      <c r="CK748" s="650"/>
      <c r="CL748" s="650"/>
      <c r="CM748" s="551"/>
      <c r="CN748" s="551"/>
      <c r="CO748" s="551"/>
      <c r="CP748" s="650"/>
      <c r="CQ748" s="650"/>
      <c r="CR748" s="650"/>
      <c r="CS748" s="650"/>
      <c r="CT748" s="650"/>
      <c r="CU748" s="650"/>
    </row>
    <row r="749" s="1265" customFormat="1" ht="31" customHeight="1" spans="1:99">
      <c r="A749" s="641">
        <v>46001</v>
      </c>
      <c r="B749" s="642" t="s">
        <v>2622</v>
      </c>
      <c r="C749" s="246" t="s">
        <v>98</v>
      </c>
      <c r="D749" s="551">
        <v>4500188600</v>
      </c>
      <c r="E749" s="246">
        <v>40799201</v>
      </c>
      <c r="F749" s="551" t="s">
        <v>2941</v>
      </c>
      <c r="G749" s="659" t="s">
        <v>2624</v>
      </c>
      <c r="H749" s="246" t="s">
        <v>2625</v>
      </c>
      <c r="I749" s="246">
        <v>648</v>
      </c>
      <c r="J749" s="246">
        <v>0</v>
      </c>
      <c r="K749" s="246">
        <v>8</v>
      </c>
      <c r="L749" s="644">
        <f t="shared" si="241"/>
        <v>81</v>
      </c>
      <c r="M749" s="645">
        <v>46048</v>
      </c>
      <c r="N749" s="645">
        <v>46044</v>
      </c>
      <c r="O749" s="1342" t="s">
        <v>2631</v>
      </c>
      <c r="P749" s="824" t="s">
        <v>113</v>
      </c>
      <c r="Q749" s="646"/>
      <c r="R749" s="646">
        <v>46001</v>
      </c>
      <c r="S749" s="646" t="s">
        <v>104</v>
      </c>
      <c r="T749" s="646" t="s">
        <v>2632</v>
      </c>
      <c r="U749" s="646"/>
      <c r="V749" s="642"/>
      <c r="W749" s="642"/>
      <c r="X749" s="642" t="s">
        <v>2942</v>
      </c>
      <c r="Y749" s="647" t="s">
        <v>270</v>
      </c>
      <c r="Z749" s="657">
        <v>2.6435</v>
      </c>
      <c r="AA749" s="647">
        <f t="shared" si="242"/>
        <v>1712.988</v>
      </c>
      <c r="AB749" s="551"/>
      <c r="AC749" s="658" t="s">
        <v>2943</v>
      </c>
      <c r="AD749" s="633" t="s">
        <v>2628</v>
      </c>
      <c r="AE749" s="246" t="s">
        <v>82</v>
      </c>
      <c r="AF749" s="246"/>
      <c r="AG749" s="246"/>
      <c r="AH749" s="246" t="s">
        <v>126</v>
      </c>
      <c r="AI749" s="246">
        <v>648</v>
      </c>
      <c r="AJ749" s="246">
        <f t="shared" si="245"/>
        <v>0</v>
      </c>
      <c r="AK749" s="246"/>
      <c r="AL749" s="246" t="s">
        <v>2368</v>
      </c>
      <c r="AM749" s="551"/>
      <c r="AN749" s="551">
        <f t="shared" si="243"/>
        <v>648</v>
      </c>
      <c r="AO749" s="1331"/>
      <c r="AP749" s="1331"/>
      <c r="AQ749" s="1331"/>
      <c r="AR749" s="551"/>
      <c r="AS749" s="551">
        <f>I749</f>
        <v>648</v>
      </c>
      <c r="AT749" s="551"/>
      <c r="AU749" s="551">
        <f t="shared" si="247"/>
        <v>648</v>
      </c>
      <c r="AV749" s="551"/>
      <c r="AW749" s="551">
        <f t="shared" si="244"/>
        <v>648</v>
      </c>
      <c r="AX749" s="651"/>
      <c r="AY749" s="551"/>
      <c r="AZ749" s="551"/>
      <c r="BA749" s="551"/>
      <c r="BB749" s="551"/>
      <c r="BC749" s="551"/>
      <c r="BD749" s="551"/>
      <c r="BE749" s="551"/>
      <c r="BF749" s="551"/>
      <c r="BG749" s="551"/>
      <c r="BH749" s="551"/>
      <c r="BI749" s="551"/>
      <c r="BJ749" s="551">
        <f>L749</f>
        <v>81</v>
      </c>
      <c r="BK749" s="551"/>
      <c r="BL749" s="551"/>
      <c r="BM749" s="551"/>
      <c r="BN749" s="551"/>
      <c r="BO749" s="551"/>
      <c r="BP749" s="551"/>
      <c r="BQ749" s="551"/>
      <c r="BR749" s="551"/>
      <c r="BS749" s="551"/>
      <c r="BT749" s="551"/>
      <c r="BU749" s="551"/>
      <c r="BV749" s="551"/>
      <c r="BW749" s="551"/>
      <c r="BX749" s="551"/>
      <c r="BY749" s="551"/>
      <c r="BZ749" s="551"/>
      <c r="CA749" s="551"/>
      <c r="CB749" s="551"/>
      <c r="CC749" s="551"/>
      <c r="CD749" s="551"/>
      <c r="CE749" s="551"/>
      <c r="CF749" s="551"/>
      <c r="CG749" s="551"/>
      <c r="CH749" s="650"/>
      <c r="CI749" s="650"/>
      <c r="CJ749" s="650"/>
      <c r="CK749" s="650"/>
      <c r="CL749" s="650"/>
      <c r="CM749" s="551"/>
      <c r="CN749" s="551"/>
      <c r="CO749" s="551"/>
      <c r="CP749" s="650"/>
      <c r="CQ749" s="650"/>
      <c r="CR749" s="650"/>
      <c r="CS749" s="650"/>
      <c r="CT749" s="650"/>
      <c r="CU749" s="650"/>
    </row>
    <row r="750" s="1265" customFormat="1" ht="31" customHeight="1" spans="1:99">
      <c r="A750" s="641">
        <v>46013</v>
      </c>
      <c r="B750" s="642" t="s">
        <v>659</v>
      </c>
      <c r="C750" s="246" t="s">
        <v>2944</v>
      </c>
      <c r="D750" s="551">
        <v>4500189595</v>
      </c>
      <c r="E750" s="246"/>
      <c r="F750" s="551" t="s">
        <v>2945</v>
      </c>
      <c r="G750" s="659" t="s">
        <v>111</v>
      </c>
      <c r="H750" s="246" t="s">
        <v>112</v>
      </c>
      <c r="I750" s="246">
        <v>512</v>
      </c>
      <c r="J750" s="246">
        <v>0</v>
      </c>
      <c r="K750" s="246">
        <v>16</v>
      </c>
      <c r="L750" s="644">
        <f t="shared" si="241"/>
        <v>32</v>
      </c>
      <c r="M750" s="645">
        <v>46048</v>
      </c>
      <c r="N750" s="645">
        <v>46044</v>
      </c>
      <c r="O750" s="643"/>
      <c r="P750" s="824" t="s">
        <v>113</v>
      </c>
      <c r="Q750" s="646"/>
      <c r="R750" s="646">
        <v>46013</v>
      </c>
      <c r="S750" s="646" t="s">
        <v>70</v>
      </c>
      <c r="T750" s="646" t="s">
        <v>457</v>
      </c>
      <c r="U750" s="646"/>
      <c r="V750" s="642"/>
      <c r="W750" s="642"/>
      <c r="X750" s="642" t="s">
        <v>2946</v>
      </c>
      <c r="Y750" s="647" t="s">
        <v>578</v>
      </c>
      <c r="Z750" s="657">
        <v>4.2542</v>
      </c>
      <c r="AA750" s="647">
        <f t="shared" si="242"/>
        <v>2178.1504</v>
      </c>
      <c r="AB750" s="551"/>
      <c r="AC750" s="648"/>
      <c r="AD750" s="633" t="s">
        <v>111</v>
      </c>
      <c r="AE750" s="246" t="s">
        <v>82</v>
      </c>
      <c r="AF750" s="246"/>
      <c r="AG750" s="246"/>
      <c r="AH750" s="246" t="s">
        <v>126</v>
      </c>
      <c r="AI750" s="246">
        <v>512</v>
      </c>
      <c r="AJ750" s="246">
        <f t="shared" si="245"/>
        <v>0</v>
      </c>
      <c r="AK750" s="246"/>
      <c r="AL750" s="246" t="s">
        <v>2368</v>
      </c>
      <c r="AM750" s="551"/>
      <c r="AN750" s="551">
        <f t="shared" si="243"/>
        <v>512</v>
      </c>
      <c r="AO750" s="1331"/>
      <c r="AP750" s="1331"/>
      <c r="AQ750" s="1331"/>
      <c r="AR750" s="551">
        <f>I750</f>
        <v>512</v>
      </c>
      <c r="AS750" s="551"/>
      <c r="AT750" s="551"/>
      <c r="AU750" s="551">
        <f t="shared" si="247"/>
        <v>512</v>
      </c>
      <c r="AV750" s="551"/>
      <c r="AW750" s="551">
        <f t="shared" si="244"/>
        <v>512</v>
      </c>
      <c r="AX750" s="651"/>
      <c r="AY750" s="551"/>
      <c r="AZ750" s="551"/>
      <c r="BA750" s="551"/>
      <c r="BB750" s="551"/>
      <c r="BC750" s="551"/>
      <c r="BD750" s="551"/>
      <c r="BE750" s="551"/>
      <c r="BF750" s="551"/>
      <c r="BG750" s="551"/>
      <c r="BH750" s="825">
        <f>I750/4</f>
        <v>128</v>
      </c>
      <c r="BI750" s="551"/>
      <c r="BJ750" s="551"/>
      <c r="BK750" s="551"/>
      <c r="BL750" s="551"/>
      <c r="BM750" s="551"/>
      <c r="BN750" s="551"/>
      <c r="BO750" s="551"/>
      <c r="BP750" s="551"/>
      <c r="BQ750" s="551"/>
      <c r="BR750" s="551"/>
      <c r="BS750" s="551"/>
      <c r="BT750" s="551"/>
      <c r="BU750" s="551"/>
      <c r="BV750" s="551"/>
      <c r="BW750" s="551"/>
      <c r="BX750" s="551"/>
      <c r="BY750" s="551"/>
      <c r="BZ750" s="551"/>
      <c r="CA750" s="551"/>
      <c r="CB750" s="551"/>
      <c r="CC750" s="551"/>
      <c r="CD750" s="551"/>
      <c r="CE750" s="551"/>
      <c r="CF750" s="551"/>
      <c r="CG750" s="551"/>
      <c r="CH750" s="650"/>
      <c r="CI750" s="650"/>
      <c r="CJ750" s="650"/>
      <c r="CK750" s="650"/>
      <c r="CL750" s="650"/>
      <c r="CM750" s="551"/>
      <c r="CN750" s="551"/>
      <c r="CO750" s="551"/>
      <c r="CP750" s="650"/>
      <c r="CQ750" s="650"/>
      <c r="CR750" s="650"/>
      <c r="CS750" s="650"/>
      <c r="CT750" s="650"/>
      <c r="CU750" s="650"/>
    </row>
    <row r="751" s="1265" customFormat="1" ht="31" customHeight="1" spans="1:99">
      <c r="A751" s="641">
        <v>45993</v>
      </c>
      <c r="B751" s="642" t="s">
        <v>1691</v>
      </c>
      <c r="C751" s="246" t="s">
        <v>1692</v>
      </c>
      <c r="D751" s="551">
        <v>4500187657</v>
      </c>
      <c r="E751" s="246"/>
      <c r="F751" s="551" t="s">
        <v>2947</v>
      </c>
      <c r="G751" s="659" t="s">
        <v>68</v>
      </c>
      <c r="H751" s="633" t="s">
        <v>69</v>
      </c>
      <c r="I751" s="246">
        <v>1200</v>
      </c>
      <c r="J751" s="246">
        <v>0</v>
      </c>
      <c r="K751" s="246">
        <v>12</v>
      </c>
      <c r="L751" s="644">
        <f t="shared" si="241"/>
        <v>100</v>
      </c>
      <c r="M751" s="645">
        <v>46051</v>
      </c>
      <c r="N751" s="645">
        <v>46048</v>
      </c>
      <c r="O751" s="643"/>
      <c r="P751" s="824" t="s">
        <v>113</v>
      </c>
      <c r="Q751" s="646"/>
      <c r="R751" s="646">
        <v>46009</v>
      </c>
      <c r="S751" s="646" t="s">
        <v>70</v>
      </c>
      <c r="T751" s="646" t="s">
        <v>457</v>
      </c>
      <c r="U751" s="646"/>
      <c r="V751" s="642"/>
      <c r="W751" s="642"/>
      <c r="X751" s="642" t="s">
        <v>2948</v>
      </c>
      <c r="Y751" s="647" t="s">
        <v>529</v>
      </c>
      <c r="Z751" s="657">
        <v>4.1185</v>
      </c>
      <c r="AA751" s="647">
        <f t="shared" si="242"/>
        <v>4942.2</v>
      </c>
      <c r="AB751" s="551"/>
      <c r="AC751" s="648"/>
      <c r="AD751" s="633" t="s">
        <v>184</v>
      </c>
      <c r="AE751" s="246" t="s">
        <v>82</v>
      </c>
      <c r="AF751" s="246"/>
      <c r="AG751" s="246"/>
      <c r="AH751" s="246" t="s">
        <v>126</v>
      </c>
      <c r="AI751" s="246">
        <v>1200</v>
      </c>
      <c r="AJ751" s="246">
        <f t="shared" si="245"/>
        <v>0</v>
      </c>
      <c r="AK751" s="246"/>
      <c r="AL751" s="246" t="s">
        <v>2368</v>
      </c>
      <c r="AM751" s="551"/>
      <c r="AN751" s="551">
        <f t="shared" si="243"/>
        <v>1200</v>
      </c>
      <c r="AO751" s="1331"/>
      <c r="AP751" s="1331"/>
      <c r="AQ751" s="1331"/>
      <c r="AR751" s="551"/>
      <c r="AS751" s="551">
        <f t="shared" ref="AS751:AS759" si="249">I751</f>
        <v>1200</v>
      </c>
      <c r="AT751" s="551"/>
      <c r="AU751" s="551">
        <f t="shared" si="247"/>
        <v>1200</v>
      </c>
      <c r="AV751" s="551"/>
      <c r="AW751" s="551">
        <f t="shared" si="244"/>
        <v>1200</v>
      </c>
      <c r="AX751" s="651"/>
      <c r="AY751" s="551"/>
      <c r="AZ751" s="551"/>
      <c r="BA751" s="551"/>
      <c r="BB751" s="551"/>
      <c r="BC751" s="551"/>
      <c r="BD751" s="551"/>
      <c r="BE751" s="551"/>
      <c r="BF751" s="551"/>
      <c r="BG751" s="551"/>
      <c r="BH751" s="551"/>
      <c r="BI751" s="551"/>
      <c r="BJ751" s="551"/>
      <c r="BK751" s="551"/>
      <c r="BL751" s="551"/>
      <c r="BM751" s="551"/>
      <c r="BN751" s="551"/>
      <c r="BO751" s="551"/>
      <c r="BP751" s="551"/>
      <c r="BQ751" s="551"/>
      <c r="BR751" s="551"/>
      <c r="BS751" s="551"/>
      <c r="BT751" s="551"/>
      <c r="BU751" s="551"/>
      <c r="BV751" s="551"/>
      <c r="BW751" s="551"/>
      <c r="BX751" s="551"/>
      <c r="BY751" s="551"/>
      <c r="BZ751" s="551"/>
      <c r="CA751" s="551"/>
      <c r="CB751" s="551"/>
      <c r="CC751" s="551"/>
      <c r="CD751" s="551"/>
      <c r="CE751" s="551"/>
      <c r="CF751" s="551"/>
      <c r="CG751" s="551"/>
      <c r="CH751" s="650"/>
      <c r="CI751" s="650"/>
      <c r="CJ751" s="650"/>
      <c r="CK751" s="650"/>
      <c r="CL751" s="650"/>
      <c r="CM751" s="551"/>
      <c r="CN751" s="551"/>
      <c r="CO751" s="551"/>
      <c r="CP751" s="650"/>
      <c r="CQ751" s="650"/>
      <c r="CR751" s="650"/>
      <c r="CS751" s="650"/>
      <c r="CT751" s="650"/>
      <c r="CU751" s="650"/>
    </row>
    <row r="752" s="1265" customFormat="1" ht="31" customHeight="1" spans="1:99">
      <c r="A752" s="641">
        <v>45996</v>
      </c>
      <c r="B752" s="642" t="s">
        <v>1214</v>
      </c>
      <c r="C752" s="246" t="s">
        <v>524</v>
      </c>
      <c r="D752" s="551">
        <v>4500188145</v>
      </c>
      <c r="E752" s="246">
        <v>5120008</v>
      </c>
      <c r="F752" s="551" t="s">
        <v>2949</v>
      </c>
      <c r="G752" s="659" t="s">
        <v>68</v>
      </c>
      <c r="H752" s="633" t="s">
        <v>69</v>
      </c>
      <c r="I752" s="246">
        <v>1500</v>
      </c>
      <c r="J752" s="246">
        <v>0</v>
      </c>
      <c r="K752" s="246">
        <v>12</v>
      </c>
      <c r="L752" s="644">
        <f t="shared" si="241"/>
        <v>125</v>
      </c>
      <c r="M752" s="645">
        <v>46051</v>
      </c>
      <c r="N752" s="645">
        <v>46048</v>
      </c>
      <c r="O752" s="643"/>
      <c r="P752" s="824" t="s">
        <v>113</v>
      </c>
      <c r="Q752" s="646"/>
      <c r="R752" s="646">
        <v>46016</v>
      </c>
      <c r="S752" s="646" t="s">
        <v>70</v>
      </c>
      <c r="T752" s="646" t="s">
        <v>2950</v>
      </c>
      <c r="U752" s="646"/>
      <c r="V752" s="642"/>
      <c r="W752" s="642"/>
      <c r="X752" s="628" t="s">
        <v>2951</v>
      </c>
      <c r="Y752" s="647" t="s">
        <v>340</v>
      </c>
      <c r="Z752" s="657">
        <v>4.1456</v>
      </c>
      <c r="AA752" s="647">
        <f t="shared" si="242"/>
        <v>6218.4</v>
      </c>
      <c r="AB752" s="551"/>
      <c r="AC752" s="648"/>
      <c r="AD752" s="633" t="s">
        <v>184</v>
      </c>
      <c r="AE752" s="246" t="s">
        <v>82</v>
      </c>
      <c r="AF752" s="246"/>
      <c r="AG752" s="246"/>
      <c r="AH752" s="246" t="s">
        <v>126</v>
      </c>
      <c r="AI752" s="246">
        <v>1500</v>
      </c>
      <c r="AJ752" s="246">
        <f t="shared" si="245"/>
        <v>0</v>
      </c>
      <c r="AK752" s="246"/>
      <c r="AL752" s="246" t="s">
        <v>2368</v>
      </c>
      <c r="AM752" s="551"/>
      <c r="AN752" s="551">
        <f t="shared" si="243"/>
        <v>1500</v>
      </c>
      <c r="AO752" s="1331"/>
      <c r="AP752" s="1331"/>
      <c r="AQ752" s="1331"/>
      <c r="AR752" s="551"/>
      <c r="AS752" s="551">
        <f t="shared" si="249"/>
        <v>1500</v>
      </c>
      <c r="AT752" s="551"/>
      <c r="AU752" s="551">
        <f t="shared" si="247"/>
        <v>1500</v>
      </c>
      <c r="AV752" s="551"/>
      <c r="AW752" s="551">
        <f t="shared" si="244"/>
        <v>1500</v>
      </c>
      <c r="AX752" s="651"/>
      <c r="AY752" s="551"/>
      <c r="AZ752" s="551"/>
      <c r="BA752" s="551"/>
      <c r="BB752" s="551"/>
      <c r="BC752" s="551"/>
      <c r="BD752" s="551"/>
      <c r="BE752" s="551"/>
      <c r="BF752" s="551"/>
      <c r="BG752" s="551"/>
      <c r="BH752" s="551"/>
      <c r="BI752" s="551"/>
      <c r="BJ752" s="551"/>
      <c r="BK752" s="551"/>
      <c r="BL752" s="551"/>
      <c r="BM752" s="551"/>
      <c r="BN752" s="551"/>
      <c r="BO752" s="551"/>
      <c r="BP752" s="551"/>
      <c r="BQ752" s="551"/>
      <c r="BR752" s="551"/>
      <c r="BS752" s="551"/>
      <c r="BT752" s="551"/>
      <c r="BU752" s="551"/>
      <c r="BV752" s="551"/>
      <c r="BW752" s="551"/>
      <c r="BX752" s="551"/>
      <c r="BY752" s="551"/>
      <c r="BZ752" s="551"/>
      <c r="CA752" s="551"/>
      <c r="CB752" s="551"/>
      <c r="CC752" s="551"/>
      <c r="CD752" s="551"/>
      <c r="CE752" s="551"/>
      <c r="CF752" s="551"/>
      <c r="CG752" s="551"/>
      <c r="CH752" s="650"/>
      <c r="CI752" s="650"/>
      <c r="CJ752" s="650"/>
      <c r="CK752" s="650"/>
      <c r="CL752" s="650"/>
      <c r="CM752" s="551"/>
      <c r="CN752" s="551"/>
      <c r="CO752" s="551"/>
      <c r="CP752" s="650"/>
      <c r="CQ752" s="650"/>
      <c r="CR752" s="650"/>
      <c r="CS752" s="650"/>
      <c r="CT752" s="650"/>
      <c r="CU752" s="650"/>
    </row>
    <row r="753" s="1265" customFormat="1" ht="31" customHeight="1" spans="1:99">
      <c r="A753" s="641">
        <v>46003</v>
      </c>
      <c r="B753" s="642" t="s">
        <v>2952</v>
      </c>
      <c r="C753" s="246" t="s">
        <v>1227</v>
      </c>
      <c r="D753" s="551">
        <v>4500188881</v>
      </c>
      <c r="E753" s="246"/>
      <c r="F753" s="551" t="s">
        <v>2953</v>
      </c>
      <c r="G753" s="659" t="s">
        <v>68</v>
      </c>
      <c r="H753" s="633" t="s">
        <v>69</v>
      </c>
      <c r="I753" s="246">
        <v>360</v>
      </c>
      <c r="J753" s="246">
        <v>0</v>
      </c>
      <c r="K753" s="246">
        <v>12</v>
      </c>
      <c r="L753" s="644">
        <f t="shared" si="241"/>
        <v>30</v>
      </c>
      <c r="M753" s="645">
        <v>46051</v>
      </c>
      <c r="N753" s="645">
        <v>46048</v>
      </c>
      <c r="O753" s="643"/>
      <c r="P753" s="824" t="s">
        <v>113</v>
      </c>
      <c r="Q753" s="646"/>
      <c r="R753" s="646">
        <v>46022</v>
      </c>
      <c r="S753" s="646" t="s">
        <v>70</v>
      </c>
      <c r="T753" s="646" t="s">
        <v>2954</v>
      </c>
      <c r="U753" s="646"/>
      <c r="V753" s="642"/>
      <c r="W753" s="642"/>
      <c r="X753" s="642" t="s">
        <v>2955</v>
      </c>
      <c r="Y753" s="647" t="s">
        <v>529</v>
      </c>
      <c r="Z753" s="657">
        <v>4.1623</v>
      </c>
      <c r="AA753" s="647">
        <f t="shared" si="242"/>
        <v>1498.428</v>
      </c>
      <c r="AB753" s="551"/>
      <c r="AC753" s="648"/>
      <c r="AD753" s="633" t="s">
        <v>184</v>
      </c>
      <c r="AE753" s="246" t="s">
        <v>82</v>
      </c>
      <c r="AF753" s="246"/>
      <c r="AG753" s="246"/>
      <c r="AH753" s="246" t="s">
        <v>126</v>
      </c>
      <c r="AI753" s="246">
        <v>360</v>
      </c>
      <c r="AJ753" s="246">
        <f t="shared" si="245"/>
        <v>0</v>
      </c>
      <c r="AK753" s="246"/>
      <c r="AL753" s="246" t="s">
        <v>2368</v>
      </c>
      <c r="AM753" s="551"/>
      <c r="AN753" s="551">
        <f t="shared" si="243"/>
        <v>360</v>
      </c>
      <c r="AO753" s="1331"/>
      <c r="AP753" s="1331"/>
      <c r="AQ753" s="1331"/>
      <c r="AR753" s="551"/>
      <c r="AS753" s="551">
        <f t="shared" si="249"/>
        <v>360</v>
      </c>
      <c r="AT753" s="551"/>
      <c r="AU753" s="551">
        <f t="shared" si="247"/>
        <v>360</v>
      </c>
      <c r="AV753" s="551"/>
      <c r="AW753" s="551">
        <f t="shared" si="244"/>
        <v>360</v>
      </c>
      <c r="AX753" s="651"/>
      <c r="AY753" s="551"/>
      <c r="AZ753" s="551"/>
      <c r="BA753" s="551"/>
      <c r="BB753" s="551"/>
      <c r="BC753" s="551"/>
      <c r="BD753" s="551"/>
      <c r="BE753" s="551"/>
      <c r="BF753" s="551"/>
      <c r="BG753" s="551"/>
      <c r="BH753" s="551"/>
      <c r="BI753" s="551"/>
      <c r="BJ753" s="551"/>
      <c r="BK753" s="551"/>
      <c r="BL753" s="551"/>
      <c r="BM753" s="551"/>
      <c r="BN753" s="551"/>
      <c r="BO753" s="551"/>
      <c r="BP753" s="551"/>
      <c r="BQ753" s="551"/>
      <c r="BR753" s="551"/>
      <c r="BS753" s="551"/>
      <c r="BT753" s="551"/>
      <c r="BU753" s="551"/>
      <c r="BV753" s="551"/>
      <c r="BW753" s="551"/>
      <c r="BX753" s="551"/>
      <c r="BY753" s="551"/>
      <c r="BZ753" s="551"/>
      <c r="CA753" s="551"/>
      <c r="CB753" s="551"/>
      <c r="CC753" s="551"/>
      <c r="CD753" s="551"/>
      <c r="CE753" s="551"/>
      <c r="CF753" s="551"/>
      <c r="CG753" s="551"/>
      <c r="CH753" s="650"/>
      <c r="CI753" s="650"/>
      <c r="CJ753" s="650"/>
      <c r="CK753" s="650"/>
      <c r="CL753" s="650"/>
      <c r="CM753" s="551"/>
      <c r="CN753" s="551"/>
      <c r="CO753" s="551"/>
      <c r="CP753" s="650"/>
      <c r="CQ753" s="650"/>
      <c r="CR753" s="650"/>
      <c r="CS753" s="650"/>
      <c r="CT753" s="650"/>
      <c r="CU753" s="650"/>
    </row>
    <row r="754" s="1265" customFormat="1" ht="31" customHeight="1" spans="1:99">
      <c r="A754" s="641">
        <v>46014</v>
      </c>
      <c r="B754" s="642" t="s">
        <v>1337</v>
      </c>
      <c r="C754" s="246" t="s">
        <v>931</v>
      </c>
      <c r="D754" s="551">
        <v>4500189691</v>
      </c>
      <c r="E754" s="246"/>
      <c r="F754" s="551" t="s">
        <v>2956</v>
      </c>
      <c r="G754" s="659" t="s">
        <v>68</v>
      </c>
      <c r="H754" s="633" t="s">
        <v>69</v>
      </c>
      <c r="I754" s="246">
        <v>240</v>
      </c>
      <c r="J754" s="246">
        <v>0</v>
      </c>
      <c r="K754" s="246">
        <v>12</v>
      </c>
      <c r="L754" s="644">
        <f t="shared" si="241"/>
        <v>20</v>
      </c>
      <c r="M754" s="645">
        <v>46052</v>
      </c>
      <c r="N754" s="645">
        <v>46048</v>
      </c>
      <c r="O754" s="643"/>
      <c r="P754" s="824" t="s">
        <v>113</v>
      </c>
      <c r="Q754" s="646"/>
      <c r="R754" s="646">
        <v>46021</v>
      </c>
      <c r="S754" s="646" t="s">
        <v>70</v>
      </c>
      <c r="T754" s="646" t="s">
        <v>1435</v>
      </c>
      <c r="U754" s="646"/>
      <c r="V754" s="642"/>
      <c r="W754" s="642"/>
      <c r="X754" s="642" t="s">
        <v>2957</v>
      </c>
      <c r="Y754" s="647" t="s">
        <v>943</v>
      </c>
      <c r="Z754" s="657">
        <v>4.1623</v>
      </c>
      <c r="AA754" s="647">
        <f t="shared" si="242"/>
        <v>998.952</v>
      </c>
      <c r="AB754" s="551"/>
      <c r="AC754" s="648"/>
      <c r="AD754" s="633" t="s">
        <v>184</v>
      </c>
      <c r="AE754" s="246" t="s">
        <v>82</v>
      </c>
      <c r="AF754" s="246"/>
      <c r="AG754" s="246"/>
      <c r="AH754" s="246" t="s">
        <v>126</v>
      </c>
      <c r="AI754" s="246">
        <v>240</v>
      </c>
      <c r="AJ754" s="246">
        <f t="shared" si="245"/>
        <v>0</v>
      </c>
      <c r="AK754" s="246"/>
      <c r="AL754" s="246"/>
      <c r="AM754" s="551"/>
      <c r="AN754" s="551">
        <f t="shared" si="243"/>
        <v>240</v>
      </c>
      <c r="AO754" s="1331"/>
      <c r="AP754" s="1331"/>
      <c r="AQ754" s="1331"/>
      <c r="AR754" s="551"/>
      <c r="AS754" s="551">
        <f t="shared" si="249"/>
        <v>240</v>
      </c>
      <c r="AT754" s="551"/>
      <c r="AU754" s="551">
        <f t="shared" si="247"/>
        <v>240</v>
      </c>
      <c r="AV754" s="551"/>
      <c r="AW754" s="551">
        <f t="shared" si="244"/>
        <v>240</v>
      </c>
      <c r="AX754" s="651"/>
      <c r="AY754" s="551"/>
      <c r="AZ754" s="551"/>
      <c r="BA754" s="551"/>
      <c r="BB754" s="551"/>
      <c r="BC754" s="551"/>
      <c r="BD754" s="551"/>
      <c r="BE754" s="551"/>
      <c r="BF754" s="551"/>
      <c r="BG754" s="551"/>
      <c r="BH754" s="551"/>
      <c r="BI754" s="551"/>
      <c r="BJ754" s="551"/>
      <c r="BK754" s="551"/>
      <c r="BL754" s="551"/>
      <c r="BM754" s="551"/>
      <c r="BN754" s="551"/>
      <c r="BO754" s="551"/>
      <c r="BP754" s="551"/>
      <c r="BQ754" s="551"/>
      <c r="BR754" s="551"/>
      <c r="BS754" s="551"/>
      <c r="BT754" s="551"/>
      <c r="BU754" s="551"/>
      <c r="BV754" s="551"/>
      <c r="BW754" s="551"/>
      <c r="BX754" s="551"/>
      <c r="BY754" s="551"/>
      <c r="BZ754" s="551"/>
      <c r="CA754" s="551"/>
      <c r="CB754" s="551"/>
      <c r="CC754" s="551"/>
      <c r="CD754" s="551"/>
      <c r="CE754" s="551"/>
      <c r="CF754" s="551"/>
      <c r="CG754" s="551"/>
      <c r="CH754" s="650"/>
      <c r="CI754" s="650"/>
      <c r="CJ754" s="650"/>
      <c r="CK754" s="650"/>
      <c r="CL754" s="650"/>
      <c r="CM754" s="551"/>
      <c r="CN754" s="551"/>
      <c r="CO754" s="551"/>
      <c r="CP754" s="650"/>
      <c r="CQ754" s="650"/>
      <c r="CR754" s="650"/>
      <c r="CS754" s="650"/>
      <c r="CT754" s="650"/>
      <c r="CU754" s="650"/>
    </row>
    <row r="755" s="1265" customFormat="1" ht="31" customHeight="1" spans="1:99">
      <c r="A755" s="641">
        <v>45996</v>
      </c>
      <c r="B755" s="642" t="s">
        <v>1337</v>
      </c>
      <c r="C755" s="246" t="s">
        <v>931</v>
      </c>
      <c r="D755" s="551">
        <v>4500188309</v>
      </c>
      <c r="E755" s="246"/>
      <c r="F755" s="551" t="s">
        <v>2958</v>
      </c>
      <c r="G755" s="659" t="s">
        <v>68</v>
      </c>
      <c r="H755" s="633" t="s">
        <v>69</v>
      </c>
      <c r="I755" s="246">
        <v>960</v>
      </c>
      <c r="J755" s="246">
        <v>0</v>
      </c>
      <c r="K755" s="246">
        <v>12</v>
      </c>
      <c r="L755" s="644">
        <f t="shared" si="241"/>
        <v>80</v>
      </c>
      <c r="M755" s="645">
        <v>46052</v>
      </c>
      <c r="N755" s="645">
        <v>46048</v>
      </c>
      <c r="O755" s="643"/>
      <c r="P755" s="824" t="s">
        <v>113</v>
      </c>
      <c r="Q755" s="646"/>
      <c r="R755" s="646">
        <v>46021</v>
      </c>
      <c r="S755" s="646" t="s">
        <v>70</v>
      </c>
      <c r="T755" s="646" t="s">
        <v>1435</v>
      </c>
      <c r="U755" s="646"/>
      <c r="V755" s="642"/>
      <c r="W755" s="642"/>
      <c r="X755" s="642" t="s">
        <v>2959</v>
      </c>
      <c r="Y755" s="647" t="s">
        <v>943</v>
      </c>
      <c r="Z755" s="657">
        <v>4.1623</v>
      </c>
      <c r="AA755" s="647">
        <f t="shared" si="242"/>
        <v>3995.808</v>
      </c>
      <c r="AB755" s="551"/>
      <c r="AC755" s="648"/>
      <c r="AD755" s="633" t="s">
        <v>184</v>
      </c>
      <c r="AE755" s="246" t="s">
        <v>82</v>
      </c>
      <c r="AF755" s="246"/>
      <c r="AG755" s="246"/>
      <c r="AH755" s="246" t="s">
        <v>126</v>
      </c>
      <c r="AI755" s="246">
        <v>960</v>
      </c>
      <c r="AJ755" s="246">
        <f t="shared" si="245"/>
        <v>0</v>
      </c>
      <c r="AK755" s="246"/>
      <c r="AL755" s="246"/>
      <c r="AM755" s="551"/>
      <c r="AN755" s="551">
        <f t="shared" si="243"/>
        <v>960</v>
      </c>
      <c r="AO755" s="1331"/>
      <c r="AP755" s="1331"/>
      <c r="AQ755" s="1331"/>
      <c r="AR755" s="551"/>
      <c r="AS755" s="551">
        <f t="shared" si="249"/>
        <v>960</v>
      </c>
      <c r="AT755" s="551"/>
      <c r="AU755" s="551">
        <f t="shared" si="247"/>
        <v>960</v>
      </c>
      <c r="AV755" s="551"/>
      <c r="AW755" s="551">
        <f t="shared" si="244"/>
        <v>960</v>
      </c>
      <c r="AX755" s="651"/>
      <c r="AY755" s="551"/>
      <c r="AZ755" s="551"/>
      <c r="BA755" s="551"/>
      <c r="BB755" s="551"/>
      <c r="BC755" s="551"/>
      <c r="BD755" s="551"/>
      <c r="BE755" s="551"/>
      <c r="BF755" s="551"/>
      <c r="BG755" s="551"/>
      <c r="BH755" s="551"/>
      <c r="BI755" s="551"/>
      <c r="BJ755" s="551"/>
      <c r="BK755" s="551"/>
      <c r="BL755" s="551"/>
      <c r="BM755" s="551"/>
      <c r="BN755" s="551"/>
      <c r="BO755" s="551"/>
      <c r="BP755" s="551"/>
      <c r="BQ755" s="551"/>
      <c r="BR755" s="551"/>
      <c r="BS755" s="551"/>
      <c r="BT755" s="551"/>
      <c r="BU755" s="551"/>
      <c r="BV755" s="551"/>
      <c r="BW755" s="551"/>
      <c r="BX755" s="551"/>
      <c r="BY755" s="551"/>
      <c r="BZ755" s="551"/>
      <c r="CA755" s="551"/>
      <c r="CB755" s="551"/>
      <c r="CC755" s="551"/>
      <c r="CD755" s="551"/>
      <c r="CE755" s="551"/>
      <c r="CF755" s="551"/>
      <c r="CG755" s="551"/>
      <c r="CH755" s="650"/>
      <c r="CI755" s="650"/>
      <c r="CJ755" s="650"/>
      <c r="CK755" s="650"/>
      <c r="CL755" s="650"/>
      <c r="CM755" s="551"/>
      <c r="CN755" s="551"/>
      <c r="CO755" s="551"/>
      <c r="CP755" s="650"/>
      <c r="CQ755" s="650"/>
      <c r="CR755" s="650"/>
      <c r="CS755" s="650"/>
      <c r="CT755" s="650"/>
      <c r="CU755" s="650"/>
    </row>
    <row r="756" s="1265" customFormat="1" ht="31" customHeight="1" spans="1:99">
      <c r="A756" s="641">
        <v>45996</v>
      </c>
      <c r="B756" s="642" t="s">
        <v>1337</v>
      </c>
      <c r="C756" s="246" t="s">
        <v>931</v>
      </c>
      <c r="D756" s="551">
        <v>4500188307</v>
      </c>
      <c r="E756" s="246"/>
      <c r="F756" s="551" t="s">
        <v>2960</v>
      </c>
      <c r="G756" s="659" t="s">
        <v>68</v>
      </c>
      <c r="H756" s="633" t="s">
        <v>69</v>
      </c>
      <c r="I756" s="246">
        <v>600</v>
      </c>
      <c r="J756" s="246">
        <v>0</v>
      </c>
      <c r="K756" s="246">
        <v>12</v>
      </c>
      <c r="L756" s="644">
        <f t="shared" si="241"/>
        <v>50</v>
      </c>
      <c r="M756" s="645">
        <v>46052</v>
      </c>
      <c r="N756" s="645">
        <v>46048</v>
      </c>
      <c r="O756" s="643"/>
      <c r="P756" s="824" t="s">
        <v>113</v>
      </c>
      <c r="Q756" s="646"/>
      <c r="R756" s="646">
        <v>46021</v>
      </c>
      <c r="S756" s="646" t="s">
        <v>70</v>
      </c>
      <c r="T756" s="646" t="s">
        <v>1435</v>
      </c>
      <c r="U756" s="646"/>
      <c r="V756" s="642"/>
      <c r="W756" s="642"/>
      <c r="X756" s="628" t="s">
        <v>2961</v>
      </c>
      <c r="Y756" s="647" t="s">
        <v>943</v>
      </c>
      <c r="Z756" s="657">
        <v>4.1623</v>
      </c>
      <c r="AA756" s="647">
        <f t="shared" si="242"/>
        <v>2497.38</v>
      </c>
      <c r="AB756" s="551"/>
      <c r="AC756" s="648"/>
      <c r="AD756" s="633" t="s">
        <v>184</v>
      </c>
      <c r="AE756" s="246" t="s">
        <v>82</v>
      </c>
      <c r="AF756" s="246"/>
      <c r="AG756" s="246"/>
      <c r="AH756" s="246" t="s">
        <v>126</v>
      </c>
      <c r="AI756" s="246">
        <v>600</v>
      </c>
      <c r="AJ756" s="246">
        <f t="shared" si="245"/>
        <v>0</v>
      </c>
      <c r="AK756" s="246"/>
      <c r="AL756" s="246" t="s">
        <v>2368</v>
      </c>
      <c r="AM756" s="551"/>
      <c r="AN756" s="551">
        <f t="shared" si="243"/>
        <v>600</v>
      </c>
      <c r="AO756" s="1331"/>
      <c r="AP756" s="1331"/>
      <c r="AQ756" s="1331"/>
      <c r="AR756" s="551"/>
      <c r="AS756" s="551">
        <f t="shared" si="249"/>
        <v>600</v>
      </c>
      <c r="AT756" s="551"/>
      <c r="AU756" s="551">
        <f t="shared" si="247"/>
        <v>600</v>
      </c>
      <c r="AV756" s="551"/>
      <c r="AW756" s="551">
        <f t="shared" si="244"/>
        <v>600</v>
      </c>
      <c r="AX756" s="651"/>
      <c r="AY756" s="551"/>
      <c r="AZ756" s="551"/>
      <c r="BA756" s="551"/>
      <c r="BB756" s="551"/>
      <c r="BC756" s="551"/>
      <c r="BD756" s="551"/>
      <c r="BE756" s="551"/>
      <c r="BF756" s="551"/>
      <c r="BG756" s="551"/>
      <c r="BH756" s="551"/>
      <c r="BI756" s="551"/>
      <c r="BJ756" s="551"/>
      <c r="BK756" s="551"/>
      <c r="BL756" s="551"/>
      <c r="BM756" s="551"/>
      <c r="BN756" s="551"/>
      <c r="BO756" s="551"/>
      <c r="BP756" s="551"/>
      <c r="BQ756" s="551"/>
      <c r="BR756" s="551"/>
      <c r="BS756" s="551"/>
      <c r="BT756" s="551"/>
      <c r="BU756" s="551"/>
      <c r="BV756" s="551"/>
      <c r="BW756" s="551"/>
      <c r="BX756" s="551"/>
      <c r="BY756" s="551"/>
      <c r="BZ756" s="551"/>
      <c r="CA756" s="551"/>
      <c r="CB756" s="551"/>
      <c r="CC756" s="551"/>
      <c r="CD756" s="551"/>
      <c r="CE756" s="551"/>
      <c r="CF756" s="551"/>
      <c r="CG756" s="551"/>
      <c r="CH756" s="650"/>
      <c r="CI756" s="650"/>
      <c r="CJ756" s="650"/>
      <c r="CK756" s="650"/>
      <c r="CL756" s="650"/>
      <c r="CM756" s="551"/>
      <c r="CN756" s="551"/>
      <c r="CO756" s="551"/>
      <c r="CP756" s="650"/>
      <c r="CQ756" s="650"/>
      <c r="CR756" s="650"/>
      <c r="CS756" s="650"/>
      <c r="CT756" s="650"/>
      <c r="CU756" s="650"/>
    </row>
    <row r="757" s="1265" customFormat="1" ht="31" customHeight="1" spans="1:99">
      <c r="A757" s="641">
        <v>45999</v>
      </c>
      <c r="B757" s="642" t="s">
        <v>1337</v>
      </c>
      <c r="C757" s="246" t="s">
        <v>931</v>
      </c>
      <c r="D757" s="551">
        <v>4500188248</v>
      </c>
      <c r="E757" s="246"/>
      <c r="F757" s="551" t="s">
        <v>2962</v>
      </c>
      <c r="G757" s="659" t="s">
        <v>68</v>
      </c>
      <c r="H757" s="633" t="s">
        <v>69</v>
      </c>
      <c r="I757" s="246">
        <v>1512</v>
      </c>
      <c r="J757" s="246">
        <v>0</v>
      </c>
      <c r="K757" s="246">
        <v>12</v>
      </c>
      <c r="L757" s="644">
        <f t="shared" si="241"/>
        <v>126</v>
      </c>
      <c r="M757" s="645">
        <v>46052</v>
      </c>
      <c r="N757" s="645">
        <v>46048</v>
      </c>
      <c r="O757" s="643"/>
      <c r="P757" s="824" t="s">
        <v>113</v>
      </c>
      <c r="Q757" s="646"/>
      <c r="R757" s="646">
        <v>46021</v>
      </c>
      <c r="S757" s="646" t="s">
        <v>70</v>
      </c>
      <c r="T757" s="646" t="s">
        <v>1435</v>
      </c>
      <c r="U757" s="646"/>
      <c r="V757" s="642"/>
      <c r="W757" s="642"/>
      <c r="X757" s="642" t="s">
        <v>2959</v>
      </c>
      <c r="Y757" s="647" t="s">
        <v>943</v>
      </c>
      <c r="Z757" s="657">
        <v>4.1623</v>
      </c>
      <c r="AA757" s="647">
        <f t="shared" si="242"/>
        <v>6293.3976</v>
      </c>
      <c r="AB757" s="551"/>
      <c r="AC757" s="648"/>
      <c r="AD757" s="633" t="s">
        <v>184</v>
      </c>
      <c r="AE757" s="246" t="s">
        <v>82</v>
      </c>
      <c r="AF757" s="246"/>
      <c r="AG757" s="246"/>
      <c r="AH757" s="246" t="s">
        <v>126</v>
      </c>
      <c r="AI757" s="246">
        <v>1200</v>
      </c>
      <c r="AJ757" s="246">
        <f t="shared" si="245"/>
        <v>-312</v>
      </c>
      <c r="AK757" s="246"/>
      <c r="AL757" s="246" t="s">
        <v>2368</v>
      </c>
      <c r="AM757" s="551"/>
      <c r="AN757" s="551">
        <f t="shared" si="243"/>
        <v>1512</v>
      </c>
      <c r="AO757" s="1331"/>
      <c r="AP757" s="1331"/>
      <c r="AQ757" s="1331"/>
      <c r="AR757" s="551"/>
      <c r="AS757" s="551">
        <f t="shared" si="249"/>
        <v>1512</v>
      </c>
      <c r="AT757" s="551"/>
      <c r="AU757" s="551">
        <f t="shared" si="247"/>
        <v>1512</v>
      </c>
      <c r="AV757" s="551"/>
      <c r="AW757" s="551">
        <f t="shared" si="244"/>
        <v>1512</v>
      </c>
      <c r="AX757" s="651"/>
      <c r="AY757" s="551"/>
      <c r="AZ757" s="551"/>
      <c r="BA757" s="551"/>
      <c r="BB757" s="551"/>
      <c r="BC757" s="551"/>
      <c r="BD757" s="551"/>
      <c r="BE757" s="551"/>
      <c r="BF757" s="551"/>
      <c r="BG757" s="551"/>
      <c r="BH757" s="551"/>
      <c r="BI757" s="551"/>
      <c r="BJ757" s="551"/>
      <c r="BK757" s="551"/>
      <c r="BL757" s="551"/>
      <c r="BM757" s="551"/>
      <c r="BN757" s="551"/>
      <c r="BO757" s="551"/>
      <c r="BP757" s="551"/>
      <c r="BQ757" s="551"/>
      <c r="BR757" s="551"/>
      <c r="BS757" s="551"/>
      <c r="BT757" s="551"/>
      <c r="BU757" s="551"/>
      <c r="BV757" s="551"/>
      <c r="BW757" s="551"/>
      <c r="BX757" s="551"/>
      <c r="BY757" s="551"/>
      <c r="BZ757" s="551"/>
      <c r="CA757" s="551"/>
      <c r="CB757" s="551"/>
      <c r="CC757" s="551"/>
      <c r="CD757" s="551"/>
      <c r="CE757" s="551"/>
      <c r="CF757" s="551"/>
      <c r="CG757" s="551"/>
      <c r="CH757" s="650"/>
      <c r="CI757" s="650"/>
      <c r="CJ757" s="650"/>
      <c r="CK757" s="650"/>
      <c r="CL757" s="650"/>
      <c r="CM757" s="551"/>
      <c r="CN757" s="551"/>
      <c r="CO757" s="551"/>
      <c r="CP757" s="650"/>
      <c r="CQ757" s="650"/>
      <c r="CR757" s="650"/>
      <c r="CS757" s="650"/>
      <c r="CT757" s="650"/>
      <c r="CU757" s="650"/>
    </row>
    <row r="758" s="1265" customFormat="1" ht="31" customHeight="1" spans="1:99">
      <c r="A758" s="641">
        <v>45995</v>
      </c>
      <c r="B758" s="642" t="s">
        <v>1218</v>
      </c>
      <c r="C758" s="246" t="s">
        <v>399</v>
      </c>
      <c r="D758" s="551">
        <v>4500187980</v>
      </c>
      <c r="E758" s="246"/>
      <c r="F758" s="551" t="s">
        <v>2963</v>
      </c>
      <c r="G758" s="659" t="s">
        <v>68</v>
      </c>
      <c r="H758" s="633" t="s">
        <v>69</v>
      </c>
      <c r="I758" s="246">
        <v>600</v>
      </c>
      <c r="J758" s="246">
        <v>0</v>
      </c>
      <c r="K758" s="246">
        <v>12</v>
      </c>
      <c r="L758" s="644">
        <f t="shared" si="241"/>
        <v>50</v>
      </c>
      <c r="M758" s="645">
        <v>46052</v>
      </c>
      <c r="N758" s="645">
        <v>46048</v>
      </c>
      <c r="O758" s="643"/>
      <c r="P758" s="824" t="s">
        <v>113</v>
      </c>
      <c r="Q758" s="646"/>
      <c r="R758" s="646">
        <v>45995</v>
      </c>
      <c r="S758" s="646" t="s">
        <v>70</v>
      </c>
      <c r="T758" s="646" t="s">
        <v>2964</v>
      </c>
      <c r="U758" s="646"/>
      <c r="V758" s="642"/>
      <c r="W758" s="642"/>
      <c r="X758" s="642" t="s">
        <v>2965</v>
      </c>
      <c r="Y758" s="647" t="s">
        <v>402</v>
      </c>
      <c r="Z758" s="657">
        <v>4.1623</v>
      </c>
      <c r="AA758" s="647">
        <f t="shared" si="242"/>
        <v>2497.38</v>
      </c>
      <c r="AB758" s="551"/>
      <c r="AC758" s="648"/>
      <c r="AD758" s="633" t="s">
        <v>184</v>
      </c>
      <c r="AE758" s="246" t="s">
        <v>82</v>
      </c>
      <c r="AF758" s="246"/>
      <c r="AG758" s="246"/>
      <c r="AH758" s="246" t="s">
        <v>126</v>
      </c>
      <c r="AI758" s="246">
        <v>600</v>
      </c>
      <c r="AJ758" s="246">
        <f t="shared" si="245"/>
        <v>0</v>
      </c>
      <c r="AK758" s="246"/>
      <c r="AL758" s="246" t="s">
        <v>454</v>
      </c>
      <c r="AM758" s="551"/>
      <c r="AN758" s="551">
        <f t="shared" si="243"/>
        <v>600</v>
      </c>
      <c r="AO758" s="1331"/>
      <c r="AP758" s="1331"/>
      <c r="AQ758" s="1331"/>
      <c r="AR758" s="551"/>
      <c r="AS758" s="551">
        <f t="shared" si="249"/>
        <v>600</v>
      </c>
      <c r="AT758" s="551"/>
      <c r="AU758" s="551">
        <f t="shared" si="247"/>
        <v>600</v>
      </c>
      <c r="AV758" s="551"/>
      <c r="AW758" s="551">
        <f t="shared" si="244"/>
        <v>600</v>
      </c>
      <c r="AX758" s="651"/>
      <c r="AY758" s="551"/>
      <c r="AZ758" s="551"/>
      <c r="BA758" s="551"/>
      <c r="BB758" s="551"/>
      <c r="BC758" s="551"/>
      <c r="BD758" s="551"/>
      <c r="BE758" s="551"/>
      <c r="BF758" s="551"/>
      <c r="BG758" s="551"/>
      <c r="BH758" s="551"/>
      <c r="BI758" s="551"/>
      <c r="BJ758" s="551"/>
      <c r="BK758" s="551"/>
      <c r="BL758" s="551"/>
      <c r="BM758" s="551"/>
      <c r="BN758" s="551"/>
      <c r="BO758" s="551"/>
      <c r="BP758" s="551"/>
      <c r="BQ758" s="551"/>
      <c r="BR758" s="551"/>
      <c r="BS758" s="551"/>
      <c r="BT758" s="551"/>
      <c r="BU758" s="551"/>
      <c r="BV758" s="551"/>
      <c r="BW758" s="551"/>
      <c r="BX758" s="551"/>
      <c r="BY758" s="551"/>
      <c r="BZ758" s="551"/>
      <c r="CA758" s="551"/>
      <c r="CB758" s="551"/>
      <c r="CC758" s="551"/>
      <c r="CD758" s="551"/>
      <c r="CE758" s="551"/>
      <c r="CF758" s="551"/>
      <c r="CG758" s="551"/>
      <c r="CH758" s="650"/>
      <c r="CI758" s="650"/>
      <c r="CJ758" s="650"/>
      <c r="CK758" s="650"/>
      <c r="CL758" s="650"/>
      <c r="CM758" s="551"/>
      <c r="CN758" s="551"/>
      <c r="CO758" s="551"/>
      <c r="CP758" s="650"/>
      <c r="CQ758" s="650"/>
      <c r="CR758" s="650"/>
      <c r="CS758" s="650"/>
      <c r="CT758" s="650"/>
      <c r="CU758" s="650"/>
    </row>
    <row r="759" s="1265" customFormat="1" ht="31" customHeight="1" spans="1:99">
      <c r="A759" s="641">
        <v>45995</v>
      </c>
      <c r="B759" s="642" t="s">
        <v>841</v>
      </c>
      <c r="C759" s="246" t="s">
        <v>399</v>
      </c>
      <c r="D759" s="551">
        <v>4500188053</v>
      </c>
      <c r="E759" s="246" t="s">
        <v>2966</v>
      </c>
      <c r="F759" s="551" t="s">
        <v>2967</v>
      </c>
      <c r="G759" s="659" t="s">
        <v>68</v>
      </c>
      <c r="H759" s="633" t="s">
        <v>69</v>
      </c>
      <c r="I759" s="246">
        <v>4104</v>
      </c>
      <c r="J759" s="246">
        <v>0</v>
      </c>
      <c r="K759" s="246">
        <v>12</v>
      </c>
      <c r="L759" s="644">
        <v>342</v>
      </c>
      <c r="M759" s="645">
        <v>46052</v>
      </c>
      <c r="N759" s="645">
        <v>46048</v>
      </c>
      <c r="O759" s="643"/>
      <c r="P759" s="824" t="s">
        <v>113</v>
      </c>
      <c r="Q759" s="646" t="s">
        <v>2968</v>
      </c>
      <c r="R759" s="646">
        <v>46009</v>
      </c>
      <c r="S759" s="646" t="s">
        <v>70</v>
      </c>
      <c r="T759" s="646" t="s">
        <v>70</v>
      </c>
      <c r="U759" s="646"/>
      <c r="V759" s="642"/>
      <c r="W759" s="642"/>
      <c r="X759" s="642" t="s">
        <v>2969</v>
      </c>
      <c r="Y759" s="647" t="s">
        <v>445</v>
      </c>
      <c r="Z759" s="657">
        <v>4.1131</v>
      </c>
      <c r="AA759" s="647">
        <f t="shared" si="242"/>
        <v>16880.1624</v>
      </c>
      <c r="AB759" s="551"/>
      <c r="AC759" s="648"/>
      <c r="AD759" s="633" t="s">
        <v>184</v>
      </c>
      <c r="AE759" s="246" t="s">
        <v>82</v>
      </c>
      <c r="AF759" s="246"/>
      <c r="AG759" s="246"/>
      <c r="AH759" s="246" t="s">
        <v>126</v>
      </c>
      <c r="AI759" s="246">
        <f>3240+864</f>
        <v>4104</v>
      </c>
      <c r="AJ759" s="246">
        <f t="shared" si="245"/>
        <v>0</v>
      </c>
      <c r="AK759" s="246"/>
      <c r="AL759" s="246"/>
      <c r="AM759" s="551"/>
      <c r="AN759" s="551">
        <f t="shared" si="243"/>
        <v>4104</v>
      </c>
      <c r="AO759" s="1331"/>
      <c r="AP759" s="1331"/>
      <c r="AQ759" s="1331"/>
      <c r="AR759" s="551"/>
      <c r="AS759" s="551">
        <f t="shared" si="249"/>
        <v>4104</v>
      </c>
      <c r="AT759" s="551"/>
      <c r="AU759" s="551">
        <f t="shared" si="247"/>
        <v>4104</v>
      </c>
      <c r="AV759" s="551"/>
      <c r="AW759" s="551">
        <f t="shared" si="244"/>
        <v>4104</v>
      </c>
      <c r="AX759" s="651"/>
      <c r="AY759" s="551"/>
      <c r="AZ759" s="551"/>
      <c r="BA759" s="551"/>
      <c r="BB759" s="551"/>
      <c r="BC759" s="551"/>
      <c r="BD759" s="551"/>
      <c r="BE759" s="551"/>
      <c r="BF759" s="551"/>
      <c r="BG759" s="551"/>
      <c r="BH759" s="551"/>
      <c r="BI759" s="551"/>
      <c r="BJ759" s="551"/>
      <c r="BK759" s="551"/>
      <c r="BL759" s="551"/>
      <c r="BM759" s="551"/>
      <c r="BN759" s="551"/>
      <c r="BO759" s="551"/>
      <c r="BP759" s="551"/>
      <c r="BQ759" s="551"/>
      <c r="BR759" s="551"/>
      <c r="BS759" s="551"/>
      <c r="BT759" s="551"/>
      <c r="BU759" s="551"/>
      <c r="BV759" s="551"/>
      <c r="BW759" s="551"/>
      <c r="BX759" s="551"/>
      <c r="BY759" s="551"/>
      <c r="BZ759" s="551"/>
      <c r="CA759" s="551"/>
      <c r="CB759" s="551"/>
      <c r="CC759" s="551"/>
      <c r="CD759" s="551"/>
      <c r="CE759" s="551"/>
      <c r="CF759" s="551"/>
      <c r="CG759" s="551"/>
      <c r="CH759" s="650"/>
      <c r="CI759" s="650"/>
      <c r="CJ759" s="650"/>
      <c r="CK759" s="650"/>
      <c r="CL759" s="650"/>
      <c r="CM759" s="551"/>
      <c r="CN759" s="551"/>
      <c r="CO759" s="551"/>
      <c r="CP759" s="650"/>
      <c r="CQ759" s="650"/>
      <c r="CR759" s="650"/>
      <c r="CS759" s="650"/>
      <c r="CT759" s="650"/>
      <c r="CU759" s="650"/>
    </row>
    <row r="760" s="1265" customFormat="1" ht="31" customHeight="1" spans="1:99">
      <c r="A760" s="641">
        <v>46003</v>
      </c>
      <c r="B760" s="642" t="s">
        <v>1332</v>
      </c>
      <c r="C760" s="246" t="s">
        <v>590</v>
      </c>
      <c r="D760" s="551">
        <v>4500188846</v>
      </c>
      <c r="E760" s="246"/>
      <c r="F760" s="551" t="s">
        <v>2970</v>
      </c>
      <c r="G760" s="659" t="s">
        <v>68</v>
      </c>
      <c r="H760" s="633" t="s">
        <v>69</v>
      </c>
      <c r="I760" s="246">
        <v>1200</v>
      </c>
      <c r="J760" s="246">
        <v>0</v>
      </c>
      <c r="K760" s="246">
        <v>12</v>
      </c>
      <c r="L760" s="644">
        <f t="shared" ref="L760:L766" si="250">I760/K760</f>
        <v>100</v>
      </c>
      <c r="M760" s="645">
        <v>46052</v>
      </c>
      <c r="N760" s="645">
        <v>46048</v>
      </c>
      <c r="O760" s="643"/>
      <c r="P760" s="824" t="s">
        <v>113</v>
      </c>
      <c r="Q760" s="646" t="s">
        <v>2971</v>
      </c>
      <c r="R760" s="646">
        <v>46013</v>
      </c>
      <c r="S760" s="646" t="s">
        <v>70</v>
      </c>
      <c r="T760" s="646" t="s">
        <v>457</v>
      </c>
      <c r="U760" s="646"/>
      <c r="V760" s="642"/>
      <c r="W760" s="642"/>
      <c r="X760" s="642" t="s">
        <v>2972</v>
      </c>
      <c r="Y760" s="647" t="s">
        <v>230</v>
      </c>
      <c r="Z760" s="657">
        <v>4.1966</v>
      </c>
      <c r="AA760" s="647">
        <f t="shared" si="242"/>
        <v>5035.92</v>
      </c>
      <c r="AB760" s="551"/>
      <c r="AC760" s="648"/>
      <c r="AD760" s="633" t="s">
        <v>68</v>
      </c>
      <c r="AE760" s="246" t="s">
        <v>82</v>
      </c>
      <c r="AF760" s="246"/>
      <c r="AG760" s="246"/>
      <c r="AH760" s="246" t="s">
        <v>126</v>
      </c>
      <c r="AI760" s="246">
        <v>1200</v>
      </c>
      <c r="AJ760" s="246">
        <f t="shared" si="245"/>
        <v>0</v>
      </c>
      <c r="AK760" s="246"/>
      <c r="AL760" s="246" t="s">
        <v>2368</v>
      </c>
      <c r="AM760" s="551"/>
      <c r="AN760" s="551">
        <f t="shared" si="243"/>
        <v>1200</v>
      </c>
      <c r="AO760" s="1331"/>
      <c r="AP760" s="1331"/>
      <c r="AQ760" s="1331"/>
      <c r="AR760" s="551">
        <f>I760</f>
        <v>1200</v>
      </c>
      <c r="AS760" s="551"/>
      <c r="AT760" s="551"/>
      <c r="AU760" s="551">
        <f t="shared" si="247"/>
        <v>1200</v>
      </c>
      <c r="AV760" s="551"/>
      <c r="AW760" s="551">
        <f t="shared" si="244"/>
        <v>1200</v>
      </c>
      <c r="AX760" s="651"/>
      <c r="AY760" s="551"/>
      <c r="AZ760" s="551"/>
      <c r="BA760" s="551"/>
      <c r="BB760" s="551"/>
      <c r="BC760" s="551"/>
      <c r="BD760" s="551"/>
      <c r="BE760" s="551"/>
      <c r="BF760" s="551"/>
      <c r="BG760" s="551"/>
      <c r="BH760" s="551"/>
      <c r="BI760" s="551"/>
      <c r="BJ760" s="551"/>
      <c r="BK760" s="551"/>
      <c r="BL760" s="551"/>
      <c r="BM760" s="551"/>
      <c r="BN760" s="551"/>
      <c r="BO760" s="551"/>
      <c r="BP760" s="551"/>
      <c r="BQ760" s="551"/>
      <c r="BR760" s="551"/>
      <c r="BS760" s="551"/>
      <c r="BT760" s="551"/>
      <c r="BU760" s="551"/>
      <c r="BV760" s="551"/>
      <c r="BW760" s="551"/>
      <c r="BX760" s="551"/>
      <c r="BY760" s="551"/>
      <c r="BZ760" s="551"/>
      <c r="CA760" s="551"/>
      <c r="CB760" s="551"/>
      <c r="CC760" s="551"/>
      <c r="CD760" s="551"/>
      <c r="CE760" s="551"/>
      <c r="CF760" s="551"/>
      <c r="CG760" s="551"/>
      <c r="CH760" s="650"/>
      <c r="CI760" s="650"/>
      <c r="CJ760" s="650"/>
      <c r="CK760" s="650"/>
      <c r="CL760" s="650"/>
      <c r="CM760" s="551"/>
      <c r="CN760" s="551"/>
      <c r="CO760" s="551"/>
      <c r="CP760" s="650"/>
      <c r="CQ760" s="650"/>
      <c r="CR760" s="650"/>
      <c r="CS760" s="650"/>
      <c r="CT760" s="650"/>
      <c r="CU760" s="650"/>
    </row>
    <row r="761" s="1265" customFormat="1" ht="31" customHeight="1" spans="1:99">
      <c r="A761" s="641">
        <v>45996</v>
      </c>
      <c r="B761" s="642" t="s">
        <v>1337</v>
      </c>
      <c r="C761" s="246" t="s">
        <v>931</v>
      </c>
      <c r="D761" s="551">
        <v>4500188288</v>
      </c>
      <c r="E761" s="246"/>
      <c r="F761" s="551" t="s">
        <v>2973</v>
      </c>
      <c r="G761" s="659" t="s">
        <v>68</v>
      </c>
      <c r="H761" s="633" t="s">
        <v>69</v>
      </c>
      <c r="I761" s="246">
        <v>504</v>
      </c>
      <c r="J761" s="246">
        <v>0</v>
      </c>
      <c r="K761" s="246">
        <v>12</v>
      </c>
      <c r="L761" s="644">
        <f t="shared" si="250"/>
        <v>42</v>
      </c>
      <c r="M761" s="645">
        <v>46052</v>
      </c>
      <c r="N761" s="645">
        <v>46048</v>
      </c>
      <c r="O761" s="643"/>
      <c r="P761" s="824" t="s">
        <v>113</v>
      </c>
      <c r="Q761" s="646"/>
      <c r="R761" s="646">
        <v>46021</v>
      </c>
      <c r="S761" s="646" t="s">
        <v>70</v>
      </c>
      <c r="T761" s="646" t="s">
        <v>1435</v>
      </c>
      <c r="U761" s="646"/>
      <c r="V761" s="642"/>
      <c r="W761" s="642"/>
      <c r="X761" s="642" t="s">
        <v>2974</v>
      </c>
      <c r="Y761" s="647" t="s">
        <v>943</v>
      </c>
      <c r="Z761" s="657">
        <v>4.1623</v>
      </c>
      <c r="AA761" s="647">
        <f t="shared" si="242"/>
        <v>2097.7992</v>
      </c>
      <c r="AB761" s="551"/>
      <c r="AC761" s="648"/>
      <c r="AD761" s="633" t="s">
        <v>184</v>
      </c>
      <c r="AE761" s="246" t="s">
        <v>82</v>
      </c>
      <c r="AF761" s="246"/>
      <c r="AG761" s="246"/>
      <c r="AH761" s="246" t="s">
        <v>126</v>
      </c>
      <c r="AI761" s="246">
        <v>816</v>
      </c>
      <c r="AJ761" s="246">
        <f t="shared" si="245"/>
        <v>312</v>
      </c>
      <c r="AK761" s="246"/>
      <c r="AL761" s="246" t="s">
        <v>2368</v>
      </c>
      <c r="AM761" s="551"/>
      <c r="AN761" s="551">
        <f t="shared" si="243"/>
        <v>504</v>
      </c>
      <c r="AO761" s="1331"/>
      <c r="AP761" s="1331"/>
      <c r="AQ761" s="1331"/>
      <c r="AR761" s="551"/>
      <c r="AS761" s="551">
        <f>I761</f>
        <v>504</v>
      </c>
      <c r="AT761" s="551"/>
      <c r="AU761" s="551">
        <f t="shared" si="247"/>
        <v>504</v>
      </c>
      <c r="AV761" s="551"/>
      <c r="AW761" s="551">
        <f t="shared" si="244"/>
        <v>504</v>
      </c>
      <c r="AX761" s="651"/>
      <c r="AY761" s="551"/>
      <c r="AZ761" s="551"/>
      <c r="BA761" s="551"/>
      <c r="BB761" s="551"/>
      <c r="BC761" s="551"/>
      <c r="BD761" s="551"/>
      <c r="BE761" s="551"/>
      <c r="BF761" s="551"/>
      <c r="BG761" s="551"/>
      <c r="BH761" s="551"/>
      <c r="BI761" s="551"/>
      <c r="BJ761" s="551"/>
      <c r="BK761" s="551"/>
      <c r="BL761" s="551"/>
      <c r="BM761" s="551"/>
      <c r="BN761" s="551"/>
      <c r="BO761" s="551"/>
      <c r="BP761" s="551"/>
      <c r="BQ761" s="551"/>
      <c r="BR761" s="551"/>
      <c r="BS761" s="551"/>
      <c r="BT761" s="551"/>
      <c r="BU761" s="551"/>
      <c r="BV761" s="551"/>
      <c r="BW761" s="551"/>
      <c r="BX761" s="551"/>
      <c r="BY761" s="551"/>
      <c r="BZ761" s="551"/>
      <c r="CA761" s="551"/>
      <c r="CB761" s="551"/>
      <c r="CC761" s="551"/>
      <c r="CD761" s="551"/>
      <c r="CE761" s="551"/>
      <c r="CF761" s="551"/>
      <c r="CG761" s="551"/>
      <c r="CH761" s="650"/>
      <c r="CI761" s="650"/>
      <c r="CJ761" s="650"/>
      <c r="CK761" s="650"/>
      <c r="CL761" s="650"/>
      <c r="CM761" s="551"/>
      <c r="CN761" s="551"/>
      <c r="CO761" s="551"/>
      <c r="CP761" s="650"/>
      <c r="CQ761" s="650"/>
      <c r="CR761" s="650"/>
      <c r="CS761" s="650"/>
      <c r="CT761" s="650"/>
      <c r="CU761" s="650"/>
    </row>
    <row r="762" s="1265" customFormat="1" ht="31" customHeight="1" spans="1:99">
      <c r="A762" s="641">
        <v>45996</v>
      </c>
      <c r="B762" s="642" t="s">
        <v>1337</v>
      </c>
      <c r="C762" s="246" t="s">
        <v>931</v>
      </c>
      <c r="D762" s="551">
        <v>4500188302</v>
      </c>
      <c r="E762" s="246"/>
      <c r="F762" s="551" t="s">
        <v>2975</v>
      </c>
      <c r="G762" s="659" t="s">
        <v>68</v>
      </c>
      <c r="H762" s="633" t="s">
        <v>69</v>
      </c>
      <c r="I762" s="246">
        <v>240</v>
      </c>
      <c r="J762" s="246">
        <v>0</v>
      </c>
      <c r="K762" s="246">
        <v>12</v>
      </c>
      <c r="L762" s="644">
        <f t="shared" si="250"/>
        <v>20</v>
      </c>
      <c r="M762" s="645">
        <v>46052</v>
      </c>
      <c r="N762" s="645">
        <v>46048</v>
      </c>
      <c r="O762" s="643"/>
      <c r="P762" s="824" t="s">
        <v>113</v>
      </c>
      <c r="Q762" s="646"/>
      <c r="R762" s="646">
        <v>46021</v>
      </c>
      <c r="S762" s="646" t="s">
        <v>70</v>
      </c>
      <c r="T762" s="646" t="s">
        <v>1435</v>
      </c>
      <c r="U762" s="646"/>
      <c r="V762" s="642"/>
      <c r="W762" s="642"/>
      <c r="X762" s="642" t="s">
        <v>2976</v>
      </c>
      <c r="Y762" s="647" t="s">
        <v>943</v>
      </c>
      <c r="Z762" s="657">
        <v>4.1185</v>
      </c>
      <c r="AA762" s="647">
        <f t="shared" si="242"/>
        <v>988.44</v>
      </c>
      <c r="AB762" s="551"/>
      <c r="AC762" s="648"/>
      <c r="AD762" s="633" t="s">
        <v>184</v>
      </c>
      <c r="AE762" s="246" t="s">
        <v>82</v>
      </c>
      <c r="AF762" s="246"/>
      <c r="AG762" s="246"/>
      <c r="AH762" s="246" t="s">
        <v>126</v>
      </c>
      <c r="AI762" s="246">
        <v>240</v>
      </c>
      <c r="AJ762" s="246">
        <f t="shared" si="245"/>
        <v>0</v>
      </c>
      <c r="AK762" s="246"/>
      <c r="AL762" s="246" t="s">
        <v>2368</v>
      </c>
      <c r="AM762" s="551"/>
      <c r="AN762" s="551">
        <f t="shared" si="243"/>
        <v>240</v>
      </c>
      <c r="AO762" s="1331"/>
      <c r="AP762" s="1331"/>
      <c r="AQ762" s="1331"/>
      <c r="AR762" s="551"/>
      <c r="AS762" s="551">
        <f>I762</f>
        <v>240</v>
      </c>
      <c r="AT762" s="551"/>
      <c r="AU762" s="551">
        <f t="shared" si="247"/>
        <v>240</v>
      </c>
      <c r="AV762" s="551"/>
      <c r="AW762" s="551">
        <f t="shared" si="244"/>
        <v>240</v>
      </c>
      <c r="AX762" s="651"/>
      <c r="AY762" s="551"/>
      <c r="AZ762" s="551"/>
      <c r="BA762" s="551"/>
      <c r="BB762" s="551"/>
      <c r="BC762" s="551"/>
      <c r="BD762" s="551"/>
      <c r="BE762" s="551"/>
      <c r="BF762" s="551"/>
      <c r="BG762" s="551"/>
      <c r="BH762" s="551"/>
      <c r="BI762" s="551"/>
      <c r="BJ762" s="551"/>
      <c r="BK762" s="551"/>
      <c r="BL762" s="551"/>
      <c r="BM762" s="551"/>
      <c r="BN762" s="551"/>
      <c r="BO762" s="551"/>
      <c r="BP762" s="551"/>
      <c r="BQ762" s="551"/>
      <c r="BR762" s="551"/>
      <c r="BS762" s="551"/>
      <c r="BT762" s="551"/>
      <c r="BU762" s="551"/>
      <c r="BV762" s="551"/>
      <c r="BW762" s="551"/>
      <c r="BX762" s="551"/>
      <c r="BY762" s="551"/>
      <c r="BZ762" s="551"/>
      <c r="CA762" s="551"/>
      <c r="CB762" s="551"/>
      <c r="CC762" s="551"/>
      <c r="CD762" s="551"/>
      <c r="CE762" s="551"/>
      <c r="CF762" s="551"/>
      <c r="CG762" s="551"/>
      <c r="CH762" s="650"/>
      <c r="CI762" s="650"/>
      <c r="CJ762" s="650"/>
      <c r="CK762" s="650"/>
      <c r="CL762" s="650"/>
      <c r="CM762" s="551"/>
      <c r="CN762" s="551"/>
      <c r="CO762" s="551"/>
      <c r="CP762" s="650"/>
      <c r="CQ762" s="650"/>
      <c r="CR762" s="650"/>
      <c r="CS762" s="650"/>
      <c r="CT762" s="650"/>
      <c r="CU762" s="650"/>
    </row>
    <row r="763" s="1265" customFormat="1" ht="31" customHeight="1" spans="1:99">
      <c r="A763" s="641">
        <v>46006</v>
      </c>
      <c r="B763" s="642" t="s">
        <v>1728</v>
      </c>
      <c r="C763" s="246" t="s">
        <v>154</v>
      </c>
      <c r="D763" s="551">
        <v>4500188991</v>
      </c>
      <c r="E763" s="246">
        <v>4400530454</v>
      </c>
      <c r="F763" s="551" t="s">
        <v>2977</v>
      </c>
      <c r="G763" s="659" t="s">
        <v>164</v>
      </c>
      <c r="H763" s="246" t="s">
        <v>112</v>
      </c>
      <c r="I763" s="246">
        <v>2000</v>
      </c>
      <c r="J763" s="246">
        <v>0</v>
      </c>
      <c r="K763" s="246">
        <v>8</v>
      </c>
      <c r="L763" s="644">
        <f t="shared" si="250"/>
        <v>250</v>
      </c>
      <c r="M763" s="645">
        <v>46052</v>
      </c>
      <c r="N763" s="645">
        <v>46048</v>
      </c>
      <c r="O763" s="643"/>
      <c r="P763" s="824" t="s">
        <v>113</v>
      </c>
      <c r="Q763" s="646"/>
      <c r="R763" s="646">
        <v>46007</v>
      </c>
      <c r="S763" s="646" t="s">
        <v>70</v>
      </c>
      <c r="T763" s="646" t="s">
        <v>2978</v>
      </c>
      <c r="U763" s="646"/>
      <c r="V763" s="642" t="s">
        <v>1609</v>
      </c>
      <c r="W763" s="642"/>
      <c r="X763" s="642" t="s">
        <v>2979</v>
      </c>
      <c r="Y763" s="647" t="s">
        <v>1549</v>
      </c>
      <c r="Z763" s="657">
        <v>4.2714</v>
      </c>
      <c r="AA763" s="647">
        <f t="shared" si="242"/>
        <v>8542.8</v>
      </c>
      <c r="AB763" s="551"/>
      <c r="AC763" s="648"/>
      <c r="AD763" s="633" t="s">
        <v>164</v>
      </c>
      <c r="AE763" s="246" t="s">
        <v>82</v>
      </c>
      <c r="AF763" s="246"/>
      <c r="AG763" s="246"/>
      <c r="AH763" s="246" t="s">
        <v>126</v>
      </c>
      <c r="AI763" s="246">
        <v>2000</v>
      </c>
      <c r="AJ763" s="246">
        <f t="shared" si="245"/>
        <v>0</v>
      </c>
      <c r="AK763" s="246"/>
      <c r="AL763" s="246" t="s">
        <v>2368</v>
      </c>
      <c r="AM763" s="551"/>
      <c r="AN763" s="551">
        <f t="shared" si="243"/>
        <v>2000</v>
      </c>
      <c r="AO763" s="1331"/>
      <c r="AP763" s="1331"/>
      <c r="AQ763" s="1331"/>
      <c r="AR763" s="551"/>
      <c r="AS763" s="551"/>
      <c r="AT763" s="551"/>
      <c r="AU763" s="551"/>
      <c r="AV763" s="551"/>
      <c r="AW763" s="551">
        <f t="shared" si="244"/>
        <v>2000</v>
      </c>
      <c r="AX763" s="651"/>
      <c r="AY763" s="551"/>
      <c r="AZ763" s="551"/>
      <c r="BA763" s="551"/>
      <c r="BB763" s="551"/>
      <c r="BC763" s="551"/>
      <c r="BD763" s="551">
        <f>I763</f>
        <v>2000</v>
      </c>
      <c r="BE763" s="551">
        <f>I763</f>
        <v>2000</v>
      </c>
      <c r="BF763" s="551"/>
      <c r="BG763" s="551"/>
      <c r="BH763" s="551"/>
      <c r="BI763" s="825">
        <f>I763/4</f>
        <v>500</v>
      </c>
      <c r="BJ763" s="551"/>
      <c r="BK763" s="551"/>
      <c r="BL763" s="551"/>
      <c r="BM763" s="551"/>
      <c r="BN763" s="551"/>
      <c r="BO763" s="551"/>
      <c r="BP763" s="551"/>
      <c r="BQ763" s="551"/>
      <c r="BR763" s="551"/>
      <c r="BS763" s="551"/>
      <c r="BT763" s="551"/>
      <c r="BU763" s="551"/>
      <c r="BV763" s="551"/>
      <c r="BW763" s="551"/>
      <c r="BX763" s="551"/>
      <c r="BY763" s="551"/>
      <c r="BZ763" s="551"/>
      <c r="CA763" s="551"/>
      <c r="CB763" s="551"/>
      <c r="CC763" s="551"/>
      <c r="CD763" s="551"/>
      <c r="CE763" s="551"/>
      <c r="CF763" s="551"/>
      <c r="CG763" s="551"/>
      <c r="CH763" s="650"/>
      <c r="CI763" s="650"/>
      <c r="CJ763" s="650"/>
      <c r="CK763" s="650"/>
      <c r="CL763" s="650"/>
      <c r="CM763" s="551"/>
      <c r="CN763" s="551"/>
      <c r="CO763" s="551"/>
      <c r="CP763" s="650"/>
      <c r="CQ763" s="650"/>
      <c r="CR763" s="650"/>
      <c r="CS763" s="650"/>
      <c r="CT763" s="650"/>
      <c r="CU763" s="650"/>
    </row>
    <row r="764" s="1265" customFormat="1" ht="31" customHeight="1" spans="1:99">
      <c r="A764" s="641">
        <v>46007</v>
      </c>
      <c r="B764" s="642" t="s">
        <v>211</v>
      </c>
      <c r="C764" s="246" t="s">
        <v>212</v>
      </c>
      <c r="D764" s="551">
        <v>4500189099</v>
      </c>
      <c r="E764" s="246" t="s">
        <v>2980</v>
      </c>
      <c r="F764" s="551" t="s">
        <v>2981</v>
      </c>
      <c r="G764" s="659" t="s">
        <v>111</v>
      </c>
      <c r="H764" s="246" t="s">
        <v>112</v>
      </c>
      <c r="I764" s="246">
        <v>1440</v>
      </c>
      <c r="J764" s="246">
        <v>0</v>
      </c>
      <c r="K764" s="246">
        <v>16</v>
      </c>
      <c r="L764" s="644">
        <f t="shared" si="250"/>
        <v>90</v>
      </c>
      <c r="M764" s="645">
        <v>46052</v>
      </c>
      <c r="N764" s="645">
        <v>46048</v>
      </c>
      <c r="O764" s="643"/>
      <c r="P764" s="824" t="s">
        <v>113</v>
      </c>
      <c r="Q764" s="646"/>
      <c r="R764" s="646">
        <v>46007</v>
      </c>
      <c r="S764" s="646" t="s">
        <v>70</v>
      </c>
      <c r="T764" s="646" t="s">
        <v>2119</v>
      </c>
      <c r="U764" s="646"/>
      <c r="V764" s="642"/>
      <c r="W764" s="642"/>
      <c r="X764" s="642" t="s">
        <v>2982</v>
      </c>
      <c r="Y764" s="647" t="s">
        <v>1793</v>
      </c>
      <c r="Z764" s="657">
        <v>4.2114</v>
      </c>
      <c r="AA764" s="647">
        <f t="shared" si="242"/>
        <v>6064.416</v>
      </c>
      <c r="AB764" s="551"/>
      <c r="AC764" s="648"/>
      <c r="AD764" s="633" t="s">
        <v>111</v>
      </c>
      <c r="AE764" s="246" t="s">
        <v>82</v>
      </c>
      <c r="AF764" s="246"/>
      <c r="AG764" s="246"/>
      <c r="AH764" s="246" t="s">
        <v>126</v>
      </c>
      <c r="AI764" s="246">
        <v>1440</v>
      </c>
      <c r="AJ764" s="246">
        <f t="shared" si="245"/>
        <v>0</v>
      </c>
      <c r="AK764" s="246"/>
      <c r="AL764" s="246" t="s">
        <v>454</v>
      </c>
      <c r="AM764" s="551"/>
      <c r="AN764" s="551">
        <f t="shared" si="243"/>
        <v>1440</v>
      </c>
      <c r="AO764" s="1331"/>
      <c r="AP764" s="1331"/>
      <c r="AQ764" s="1331"/>
      <c r="AR764" s="551">
        <f>I764</f>
        <v>1440</v>
      </c>
      <c r="AS764" s="551"/>
      <c r="AT764" s="551"/>
      <c r="AU764" s="551">
        <f>I764</f>
        <v>1440</v>
      </c>
      <c r="AV764" s="551"/>
      <c r="AW764" s="551">
        <f t="shared" si="244"/>
        <v>1440</v>
      </c>
      <c r="AX764" s="651"/>
      <c r="AY764" s="551"/>
      <c r="AZ764" s="551"/>
      <c r="BA764" s="551"/>
      <c r="BB764" s="551"/>
      <c r="BC764" s="551"/>
      <c r="BD764" s="551"/>
      <c r="BE764" s="551"/>
      <c r="BF764" s="551"/>
      <c r="BG764" s="551"/>
      <c r="BH764" s="825">
        <f>I764/4</f>
        <v>360</v>
      </c>
      <c r="BI764" s="551"/>
      <c r="BJ764" s="551"/>
      <c r="BK764" s="551"/>
      <c r="BL764" s="551"/>
      <c r="BM764" s="551"/>
      <c r="BN764" s="551"/>
      <c r="BO764" s="551"/>
      <c r="BP764" s="551"/>
      <c r="BQ764" s="551"/>
      <c r="BR764" s="551"/>
      <c r="BS764" s="551"/>
      <c r="BT764" s="551"/>
      <c r="BU764" s="551"/>
      <c r="BV764" s="551"/>
      <c r="BW764" s="551"/>
      <c r="BX764" s="551"/>
      <c r="BY764" s="551"/>
      <c r="BZ764" s="551"/>
      <c r="CA764" s="551"/>
      <c r="CB764" s="551"/>
      <c r="CC764" s="551"/>
      <c r="CD764" s="551"/>
      <c r="CE764" s="551"/>
      <c r="CF764" s="551"/>
      <c r="CG764" s="551"/>
      <c r="CH764" s="650"/>
      <c r="CI764" s="650"/>
      <c r="CJ764" s="650"/>
      <c r="CK764" s="650"/>
      <c r="CL764" s="650"/>
      <c r="CM764" s="551"/>
      <c r="CN764" s="551"/>
      <c r="CO764" s="551"/>
      <c r="CP764" s="650"/>
      <c r="CQ764" s="650"/>
      <c r="CR764" s="650"/>
      <c r="CS764" s="650"/>
      <c r="CT764" s="650"/>
      <c r="CU764" s="650"/>
    </row>
    <row r="765" s="1265" customFormat="1" ht="31" customHeight="1" spans="1:99">
      <c r="A765" s="641">
        <v>45971</v>
      </c>
      <c r="B765" s="642" t="s">
        <v>1642</v>
      </c>
      <c r="C765" s="246" t="s">
        <v>723</v>
      </c>
      <c r="D765" s="551">
        <v>4500189943</v>
      </c>
      <c r="E765" s="246" t="s">
        <v>2983</v>
      </c>
      <c r="F765" s="551" t="s">
        <v>2984</v>
      </c>
      <c r="G765" s="659" t="s">
        <v>111</v>
      </c>
      <c r="H765" s="246" t="s">
        <v>112</v>
      </c>
      <c r="I765" s="246">
        <v>960</v>
      </c>
      <c r="J765" s="246">
        <v>0</v>
      </c>
      <c r="K765" s="246">
        <v>16</v>
      </c>
      <c r="L765" s="644">
        <f t="shared" si="250"/>
        <v>60</v>
      </c>
      <c r="M765" s="645">
        <v>46052</v>
      </c>
      <c r="N765" s="645">
        <v>46048</v>
      </c>
      <c r="O765" s="643"/>
      <c r="P765" s="824" t="s">
        <v>113</v>
      </c>
      <c r="Q765" s="646"/>
      <c r="R765" s="646">
        <v>45971</v>
      </c>
      <c r="S765" s="646" t="s">
        <v>2985</v>
      </c>
      <c r="T765" s="646" t="s">
        <v>2986</v>
      </c>
      <c r="U765" s="646"/>
      <c r="V765" s="642"/>
      <c r="W765" s="642"/>
      <c r="X765" s="628" t="s">
        <v>2987</v>
      </c>
      <c r="Y765" s="647" t="s">
        <v>1793</v>
      </c>
      <c r="Z765" s="657">
        <v>4.3352</v>
      </c>
      <c r="AA765" s="647">
        <f t="shared" si="242"/>
        <v>4161.792</v>
      </c>
      <c r="AB765" s="551"/>
      <c r="AC765" s="648"/>
      <c r="AD765" s="633" t="s">
        <v>111</v>
      </c>
      <c r="AE765" s="246" t="s">
        <v>82</v>
      </c>
      <c r="AF765" s="246"/>
      <c r="AG765" s="246"/>
      <c r="AH765" s="246" t="s">
        <v>2629</v>
      </c>
      <c r="AI765" s="246">
        <v>960</v>
      </c>
      <c r="AJ765" s="246">
        <f t="shared" si="245"/>
        <v>0</v>
      </c>
      <c r="AK765" s="246"/>
      <c r="AL765" s="246" t="s">
        <v>2368</v>
      </c>
      <c r="AM765" s="551"/>
      <c r="AN765" s="551">
        <f t="shared" si="243"/>
        <v>960</v>
      </c>
      <c r="AO765" s="1331"/>
      <c r="AP765" s="1331"/>
      <c r="AQ765" s="1331"/>
      <c r="AR765" s="551">
        <f>I765</f>
        <v>960</v>
      </c>
      <c r="AS765" s="551"/>
      <c r="AT765" s="551"/>
      <c r="AU765" s="551">
        <f>I765</f>
        <v>960</v>
      </c>
      <c r="AV765" s="551"/>
      <c r="AW765" s="551">
        <f t="shared" si="244"/>
        <v>960</v>
      </c>
      <c r="AX765" s="651"/>
      <c r="AY765" s="551"/>
      <c r="AZ765" s="551"/>
      <c r="BA765" s="551"/>
      <c r="BB765" s="551"/>
      <c r="BC765" s="551"/>
      <c r="BD765" s="551"/>
      <c r="BE765" s="551"/>
      <c r="BF765" s="551"/>
      <c r="BG765" s="551"/>
      <c r="BH765" s="825">
        <f>I765/4</f>
        <v>240</v>
      </c>
      <c r="BI765" s="551"/>
      <c r="BJ765" s="551"/>
      <c r="BK765" s="551"/>
      <c r="BL765" s="551"/>
      <c r="BM765" s="551"/>
      <c r="BN765" s="551"/>
      <c r="BO765" s="551"/>
      <c r="BP765" s="551"/>
      <c r="BQ765" s="551"/>
      <c r="BR765" s="551"/>
      <c r="BS765" s="551"/>
      <c r="BT765" s="551"/>
      <c r="BU765" s="551"/>
      <c r="BV765" s="551"/>
      <c r="BW765" s="551"/>
      <c r="BX765" s="551"/>
      <c r="BY765" s="551"/>
      <c r="BZ765" s="551"/>
      <c r="CA765" s="551"/>
      <c r="CB765" s="551"/>
      <c r="CC765" s="551"/>
      <c r="CD765" s="551"/>
      <c r="CE765" s="551"/>
      <c r="CF765" s="551"/>
      <c r="CG765" s="551"/>
      <c r="CH765" s="650"/>
      <c r="CI765" s="650"/>
      <c r="CJ765" s="650"/>
      <c r="CK765" s="650"/>
      <c r="CL765" s="650"/>
      <c r="CM765" s="551"/>
      <c r="CN765" s="551"/>
      <c r="CO765" s="551"/>
      <c r="CP765" s="650"/>
      <c r="CQ765" s="650"/>
      <c r="CR765" s="650"/>
      <c r="CS765" s="650"/>
      <c r="CT765" s="650"/>
      <c r="CU765" s="650"/>
    </row>
    <row r="766" s="1265" customFormat="1" ht="31" customHeight="1" spans="1:99">
      <c r="A766" s="641">
        <v>45978</v>
      </c>
      <c r="B766" s="642" t="s">
        <v>1492</v>
      </c>
      <c r="C766" s="246" t="s">
        <v>98</v>
      </c>
      <c r="D766" s="551">
        <v>4500185934</v>
      </c>
      <c r="E766" s="1415" t="s">
        <v>2988</v>
      </c>
      <c r="F766" s="551" t="s">
        <v>2989</v>
      </c>
      <c r="G766" s="659" t="s">
        <v>2666</v>
      </c>
      <c r="H766" s="633" t="s">
        <v>69</v>
      </c>
      <c r="I766" s="246">
        <v>5400</v>
      </c>
      <c r="J766" s="246">
        <v>0</v>
      </c>
      <c r="K766" s="246">
        <v>75</v>
      </c>
      <c r="L766" s="644">
        <f t="shared" si="250"/>
        <v>72</v>
      </c>
      <c r="M766" s="645">
        <v>46052</v>
      </c>
      <c r="N766" s="645">
        <v>46048</v>
      </c>
      <c r="O766" s="643"/>
      <c r="P766" s="824" t="s">
        <v>113</v>
      </c>
      <c r="Q766" s="646"/>
      <c r="R766" s="646" t="s">
        <v>2667</v>
      </c>
      <c r="S766" s="646" t="s">
        <v>70</v>
      </c>
      <c r="T766" s="646" t="s">
        <v>70</v>
      </c>
      <c r="U766" s="646"/>
      <c r="V766" s="642"/>
      <c r="W766" s="642"/>
      <c r="X766" s="642" t="s">
        <v>2826</v>
      </c>
      <c r="Y766" s="647" t="s">
        <v>911</v>
      </c>
      <c r="Z766" s="657">
        <v>359.3436</v>
      </c>
      <c r="AA766" s="647">
        <v>25872.7392</v>
      </c>
      <c r="AB766" s="551"/>
      <c r="AC766" s="658" t="s">
        <v>2990</v>
      </c>
      <c r="AD766" s="633" t="s">
        <v>1498</v>
      </c>
      <c r="AE766" s="246" t="s">
        <v>82</v>
      </c>
      <c r="AF766" s="246"/>
      <c r="AG766" s="246"/>
      <c r="AH766" s="246" t="s">
        <v>126</v>
      </c>
      <c r="AI766" s="246">
        <v>5400</v>
      </c>
      <c r="AJ766" s="246">
        <f t="shared" si="245"/>
        <v>0</v>
      </c>
      <c r="AK766" s="246"/>
      <c r="AL766" s="246"/>
      <c r="AM766" s="551"/>
      <c r="AN766" s="551"/>
      <c r="AO766" s="1331">
        <f>I766</f>
        <v>5400</v>
      </c>
      <c r="AP766" s="1331"/>
      <c r="AQ766" s="1331"/>
      <c r="AR766" s="551"/>
      <c r="AS766" s="551"/>
      <c r="AT766" s="551"/>
      <c r="AU766" s="551"/>
      <c r="AV766" s="551"/>
      <c r="AW766" s="551"/>
      <c r="AX766" s="651"/>
      <c r="AY766" s="551"/>
      <c r="AZ766" s="551"/>
      <c r="BA766" s="551">
        <f>I766</f>
        <v>5400</v>
      </c>
      <c r="BB766" s="551">
        <f>I766</f>
        <v>5400</v>
      </c>
      <c r="BC766" s="551">
        <f>I766</f>
        <v>5400</v>
      </c>
      <c r="BD766" s="551"/>
      <c r="BE766" s="551"/>
      <c r="BF766" s="551"/>
      <c r="BG766" s="551"/>
      <c r="BH766" s="551"/>
      <c r="BI766" s="551"/>
      <c r="BJ766" s="551"/>
      <c r="BK766" s="551">
        <f>I766</f>
        <v>5400</v>
      </c>
      <c r="BL766" s="551">
        <f>I766/5</f>
        <v>1080</v>
      </c>
      <c r="BM766" s="551"/>
      <c r="BN766" s="551"/>
      <c r="BO766" s="551"/>
      <c r="BP766" s="551"/>
      <c r="BQ766" s="551"/>
      <c r="BR766" s="551"/>
      <c r="BS766" s="551"/>
      <c r="BT766" s="551"/>
      <c r="BU766" s="551"/>
      <c r="BV766" s="551"/>
      <c r="BW766" s="551"/>
      <c r="BX766" s="551"/>
      <c r="BY766" s="551"/>
      <c r="BZ766" s="551"/>
      <c r="CA766" s="551"/>
      <c r="CB766" s="551"/>
      <c r="CC766" s="551"/>
      <c r="CD766" s="551"/>
      <c r="CE766" s="551"/>
      <c r="CF766" s="551"/>
      <c r="CG766" s="551"/>
      <c r="CH766" s="650"/>
      <c r="CI766" s="650"/>
      <c r="CJ766" s="650"/>
      <c r="CK766" s="650"/>
      <c r="CL766" s="650"/>
      <c r="CM766" s="551"/>
      <c r="CN766" s="551"/>
      <c r="CO766" s="551"/>
      <c r="CP766" s="650"/>
      <c r="CQ766" s="650"/>
      <c r="CR766" s="650"/>
      <c r="CS766" s="650"/>
      <c r="CT766" s="650"/>
      <c r="CU766" s="650"/>
    </row>
    <row r="767" s="1265" customFormat="1" ht="31" customHeight="1" spans="1:99">
      <c r="A767" s="641">
        <v>45957</v>
      </c>
      <c r="B767" s="642" t="s">
        <v>2991</v>
      </c>
      <c r="C767" s="246" t="s">
        <v>98</v>
      </c>
      <c r="D767" s="551">
        <v>4500183158</v>
      </c>
      <c r="E767" s="246">
        <v>84006705</v>
      </c>
      <c r="F767" s="551" t="s">
        <v>2992</v>
      </c>
      <c r="G767" s="659" t="s">
        <v>68</v>
      </c>
      <c r="H767" s="633" t="s">
        <v>69</v>
      </c>
      <c r="I767" s="246">
        <v>1608</v>
      </c>
      <c r="J767" s="246">
        <v>0</v>
      </c>
      <c r="K767" s="246">
        <v>12</v>
      </c>
      <c r="L767" s="644">
        <f t="shared" ref="L767:L775" si="251">I767/K767</f>
        <v>134</v>
      </c>
      <c r="M767" s="645">
        <v>46055</v>
      </c>
      <c r="N767" s="645">
        <f>M767-4</f>
        <v>46051</v>
      </c>
      <c r="O767" s="643"/>
      <c r="P767" s="824" t="s">
        <v>113</v>
      </c>
      <c r="Q767" s="646"/>
      <c r="R767" s="646">
        <v>46012</v>
      </c>
      <c r="S767" s="646" t="s">
        <v>70</v>
      </c>
      <c r="T767" s="646" t="s">
        <v>70</v>
      </c>
      <c r="U767" s="646"/>
      <c r="V767" s="642"/>
      <c r="W767" s="642"/>
      <c r="X767" s="642" t="s">
        <v>2993</v>
      </c>
      <c r="Y767" s="647" t="s">
        <v>1278</v>
      </c>
      <c r="Z767" s="657">
        <v>2.4974</v>
      </c>
      <c r="AA767" s="647">
        <f>Z767*I767</f>
        <v>4015.8192</v>
      </c>
      <c r="AB767" s="551"/>
      <c r="AC767" s="658" t="s">
        <v>2994</v>
      </c>
      <c r="AD767" s="633" t="s">
        <v>68</v>
      </c>
      <c r="AE767" s="246" t="s">
        <v>82</v>
      </c>
      <c r="AF767" s="246"/>
      <c r="AG767" s="246"/>
      <c r="AH767" s="246" t="s">
        <v>126</v>
      </c>
      <c r="AI767" s="246">
        <f>864+744</f>
        <v>1608</v>
      </c>
      <c r="AJ767" s="246">
        <f t="shared" si="245"/>
        <v>0</v>
      </c>
      <c r="AK767" s="246"/>
      <c r="AL767" s="246"/>
      <c r="AM767" s="551"/>
      <c r="AN767" s="551">
        <f t="shared" ref="AN767:AN775" si="252">I767</f>
        <v>1608</v>
      </c>
      <c r="AO767" s="1331"/>
      <c r="AP767" s="1331"/>
      <c r="AQ767" s="1331"/>
      <c r="AR767" s="551">
        <f>I767</f>
        <v>1608</v>
      </c>
      <c r="AS767" s="551"/>
      <c r="AT767" s="551"/>
      <c r="AU767" s="551">
        <f t="shared" ref="AU767:AU775" si="253">I767</f>
        <v>1608</v>
      </c>
      <c r="AV767" s="551"/>
      <c r="AW767" s="551">
        <f t="shared" ref="AW767:AW777" si="254">I767</f>
        <v>1608</v>
      </c>
      <c r="AX767" s="651"/>
      <c r="AY767" s="551"/>
      <c r="AZ767" s="551"/>
      <c r="BA767" s="551"/>
      <c r="BB767" s="551"/>
      <c r="BC767" s="551"/>
      <c r="BD767" s="551"/>
      <c r="BE767" s="551"/>
      <c r="BF767" s="551"/>
      <c r="BG767" s="551"/>
      <c r="BH767" s="551"/>
      <c r="BI767" s="551"/>
      <c r="BJ767" s="551"/>
      <c r="BK767" s="551"/>
      <c r="BL767" s="551"/>
      <c r="BM767" s="551"/>
      <c r="BN767" s="551"/>
      <c r="BO767" s="551"/>
      <c r="BP767" s="551"/>
      <c r="BQ767" s="551"/>
      <c r="BR767" s="551"/>
      <c r="BS767" s="551"/>
      <c r="BT767" s="551"/>
      <c r="BU767" s="551"/>
      <c r="BV767" s="551"/>
      <c r="BW767" s="551"/>
      <c r="BX767" s="551"/>
      <c r="BY767" s="551"/>
      <c r="BZ767" s="551"/>
      <c r="CA767" s="551"/>
      <c r="CB767" s="551"/>
      <c r="CC767" s="551"/>
      <c r="CD767" s="551"/>
      <c r="CE767" s="551"/>
      <c r="CF767" s="551"/>
      <c r="CG767" s="551"/>
      <c r="CH767" s="650"/>
      <c r="CI767" s="650"/>
      <c r="CJ767" s="650"/>
      <c r="CK767" s="650"/>
      <c r="CL767" s="650"/>
      <c r="CM767" s="551"/>
      <c r="CN767" s="551"/>
      <c r="CO767" s="551"/>
      <c r="CP767" s="650"/>
      <c r="CQ767" s="650"/>
      <c r="CR767" s="650"/>
      <c r="CS767" s="650"/>
      <c r="CT767" s="650"/>
      <c r="CU767" s="650"/>
    </row>
    <row r="768" s="1265" customFormat="1" ht="31" customHeight="1" spans="1:99">
      <c r="A768" s="641">
        <v>45957</v>
      </c>
      <c r="B768" s="642" t="s">
        <v>2991</v>
      </c>
      <c r="C768" s="246" t="s">
        <v>98</v>
      </c>
      <c r="D768" s="551">
        <v>4500183158</v>
      </c>
      <c r="E768" s="246">
        <v>84006706</v>
      </c>
      <c r="F768" s="551" t="s">
        <v>2995</v>
      </c>
      <c r="G768" s="659" t="s">
        <v>68</v>
      </c>
      <c r="H768" s="633" t="s">
        <v>69</v>
      </c>
      <c r="I768" s="246">
        <v>132</v>
      </c>
      <c r="J768" s="246">
        <v>0</v>
      </c>
      <c r="K768" s="246">
        <v>12</v>
      </c>
      <c r="L768" s="644">
        <f t="shared" si="251"/>
        <v>11</v>
      </c>
      <c r="M768" s="645">
        <v>46055</v>
      </c>
      <c r="N768" s="645">
        <f>M768-4</f>
        <v>46051</v>
      </c>
      <c r="O768" s="643"/>
      <c r="P768" s="824" t="s">
        <v>113</v>
      </c>
      <c r="Q768" s="646"/>
      <c r="R768" s="646">
        <v>46012</v>
      </c>
      <c r="S768" s="646" t="s">
        <v>70</v>
      </c>
      <c r="T768" s="646" t="s">
        <v>70</v>
      </c>
      <c r="U768" s="646"/>
      <c r="V768" s="642"/>
      <c r="W768" s="642"/>
      <c r="X768" s="642" t="s">
        <v>2993</v>
      </c>
      <c r="Y768" s="647" t="s">
        <v>1278</v>
      </c>
      <c r="Z768" s="657">
        <v>2.4973</v>
      </c>
      <c r="AA768" s="647">
        <f>Z768*I768</f>
        <v>329.6436</v>
      </c>
      <c r="AB768" s="551"/>
      <c r="AC768" s="658" t="s">
        <v>2996</v>
      </c>
      <c r="AD768" s="633" t="s">
        <v>68</v>
      </c>
      <c r="AE768" s="246" t="s">
        <v>82</v>
      </c>
      <c r="AF768" s="246"/>
      <c r="AG768" s="246"/>
      <c r="AH768" s="246" t="s">
        <v>126</v>
      </c>
      <c r="AI768" s="246">
        <v>132</v>
      </c>
      <c r="AJ768" s="246">
        <f t="shared" si="245"/>
        <v>0</v>
      </c>
      <c r="AK768" s="246"/>
      <c r="AL768" s="246"/>
      <c r="AM768" s="551"/>
      <c r="AN768" s="551">
        <f t="shared" si="252"/>
        <v>132</v>
      </c>
      <c r="AO768" s="1331"/>
      <c r="AP768" s="1331"/>
      <c r="AQ768" s="1331"/>
      <c r="AR768" s="551">
        <f>I768</f>
        <v>132</v>
      </c>
      <c r="AS768" s="551"/>
      <c r="AT768" s="551"/>
      <c r="AU768" s="551">
        <f t="shared" si="253"/>
        <v>132</v>
      </c>
      <c r="AV768" s="551"/>
      <c r="AW768" s="551">
        <f t="shared" si="254"/>
        <v>132</v>
      </c>
      <c r="AX768" s="651"/>
      <c r="AY768" s="551"/>
      <c r="AZ768" s="551"/>
      <c r="BA768" s="551"/>
      <c r="BB768" s="551"/>
      <c r="BC768" s="551"/>
      <c r="BD768" s="551"/>
      <c r="BE768" s="551"/>
      <c r="BF768" s="551"/>
      <c r="BG768" s="551"/>
      <c r="BH768" s="551"/>
      <c r="BI768" s="551"/>
      <c r="BJ768" s="551"/>
      <c r="BK768" s="551"/>
      <c r="BL768" s="551"/>
      <c r="BM768" s="551"/>
      <c r="BN768" s="551"/>
      <c r="BO768" s="551"/>
      <c r="BP768" s="551"/>
      <c r="BQ768" s="551"/>
      <c r="BR768" s="551"/>
      <c r="BS768" s="551"/>
      <c r="BT768" s="551"/>
      <c r="BU768" s="551"/>
      <c r="BV768" s="551"/>
      <c r="BW768" s="551"/>
      <c r="BX768" s="551"/>
      <c r="BY768" s="551"/>
      <c r="BZ768" s="551"/>
      <c r="CA768" s="551"/>
      <c r="CB768" s="551"/>
      <c r="CC768" s="551"/>
      <c r="CD768" s="551"/>
      <c r="CE768" s="551"/>
      <c r="CF768" s="551"/>
      <c r="CG768" s="551"/>
      <c r="CH768" s="650"/>
      <c r="CI768" s="650"/>
      <c r="CJ768" s="650"/>
      <c r="CK768" s="650"/>
      <c r="CL768" s="650"/>
      <c r="CM768" s="551"/>
      <c r="CN768" s="551"/>
      <c r="CO768" s="551"/>
      <c r="CP768" s="650"/>
      <c r="CQ768" s="650"/>
      <c r="CR768" s="650"/>
      <c r="CS768" s="650"/>
      <c r="CT768" s="650"/>
      <c r="CU768" s="650"/>
    </row>
    <row r="769" s="1265" customFormat="1" ht="31" customHeight="1" spans="1:99">
      <c r="A769" s="641">
        <v>46008</v>
      </c>
      <c r="B769" s="642" t="s">
        <v>1024</v>
      </c>
      <c r="C769" s="246" t="s">
        <v>399</v>
      </c>
      <c r="D769" s="551">
        <v>4500189267</v>
      </c>
      <c r="E769" s="246"/>
      <c r="F769" s="551" t="s">
        <v>2997</v>
      </c>
      <c r="G769" s="659" t="s">
        <v>68</v>
      </c>
      <c r="H769" s="633" t="s">
        <v>69</v>
      </c>
      <c r="I769" s="246">
        <v>480</v>
      </c>
      <c r="J769" s="246">
        <v>0</v>
      </c>
      <c r="K769" s="246">
        <v>12</v>
      </c>
      <c r="L769" s="644">
        <f t="shared" si="251"/>
        <v>40</v>
      </c>
      <c r="M769" s="645">
        <v>46055</v>
      </c>
      <c r="N769" s="645">
        <f>M769-4</f>
        <v>46051</v>
      </c>
      <c r="O769" s="643"/>
      <c r="P769" s="824" t="s">
        <v>113</v>
      </c>
      <c r="Q769" s="646"/>
      <c r="R769" s="646">
        <v>46008</v>
      </c>
      <c r="S769" s="646" t="s">
        <v>70</v>
      </c>
      <c r="T769" s="646" t="s">
        <v>2998</v>
      </c>
      <c r="U769" s="646"/>
      <c r="V769" s="642"/>
      <c r="W769" s="642"/>
      <c r="X769" s="642" t="s">
        <v>2999</v>
      </c>
      <c r="Y769" s="647" t="s">
        <v>445</v>
      </c>
      <c r="Z769" s="657">
        <v>4.1623</v>
      </c>
      <c r="AA769" s="647">
        <f>Z769*I769</f>
        <v>1997.904</v>
      </c>
      <c r="AB769" s="551"/>
      <c r="AC769" s="648"/>
      <c r="AD769" s="633" t="s">
        <v>184</v>
      </c>
      <c r="AE769" s="246" t="s">
        <v>82</v>
      </c>
      <c r="AF769" s="246"/>
      <c r="AG769" s="246"/>
      <c r="AH769" s="246" t="s">
        <v>126</v>
      </c>
      <c r="AI769" s="246">
        <v>480</v>
      </c>
      <c r="AJ769" s="246">
        <f t="shared" si="245"/>
        <v>0</v>
      </c>
      <c r="AK769" s="246"/>
      <c r="AL769" s="246" t="s">
        <v>2368</v>
      </c>
      <c r="AM769" s="551"/>
      <c r="AN769" s="551">
        <f t="shared" si="252"/>
        <v>480</v>
      </c>
      <c r="AO769" s="1331"/>
      <c r="AP769" s="1331"/>
      <c r="AQ769" s="1331"/>
      <c r="AR769" s="551"/>
      <c r="AS769" s="551">
        <f>I769</f>
        <v>480</v>
      </c>
      <c r="AT769" s="551"/>
      <c r="AU769" s="551">
        <f t="shared" si="253"/>
        <v>480</v>
      </c>
      <c r="AV769" s="551"/>
      <c r="AW769" s="551">
        <f t="shared" si="254"/>
        <v>480</v>
      </c>
      <c r="AX769" s="651"/>
      <c r="AY769" s="551"/>
      <c r="AZ769" s="551"/>
      <c r="BA769" s="551"/>
      <c r="BB769" s="551"/>
      <c r="BC769" s="551"/>
      <c r="BD769" s="551"/>
      <c r="BE769" s="551"/>
      <c r="BF769" s="551"/>
      <c r="BG769" s="551"/>
      <c r="BH769" s="551"/>
      <c r="BI769" s="551"/>
      <c r="BJ769" s="551"/>
      <c r="BK769" s="551"/>
      <c r="BL769" s="551"/>
      <c r="BM769" s="551"/>
      <c r="BN769" s="551"/>
      <c r="BO769" s="551"/>
      <c r="BP769" s="551"/>
      <c r="BQ769" s="551"/>
      <c r="BR769" s="551"/>
      <c r="BS769" s="551"/>
      <c r="BT769" s="551"/>
      <c r="BU769" s="551"/>
      <c r="BV769" s="551"/>
      <c r="BW769" s="551"/>
      <c r="BX769" s="551"/>
      <c r="BY769" s="551"/>
      <c r="BZ769" s="551"/>
      <c r="CA769" s="551"/>
      <c r="CB769" s="551"/>
      <c r="CC769" s="551"/>
      <c r="CD769" s="551"/>
      <c r="CE769" s="551"/>
      <c r="CF769" s="551"/>
      <c r="CG769" s="551"/>
      <c r="CH769" s="650"/>
      <c r="CI769" s="650"/>
      <c r="CJ769" s="650"/>
      <c r="CK769" s="650"/>
      <c r="CL769" s="650"/>
      <c r="CM769" s="551"/>
      <c r="CN769" s="551"/>
      <c r="CO769" s="551"/>
      <c r="CP769" s="650"/>
      <c r="CQ769" s="650"/>
      <c r="CR769" s="650"/>
      <c r="CS769" s="650"/>
      <c r="CT769" s="650"/>
      <c r="CU769" s="650"/>
    </row>
    <row r="770" s="1265" customFormat="1" ht="31" customHeight="1" spans="1:99">
      <c r="A770" s="641">
        <v>46015</v>
      </c>
      <c r="B770" s="642" t="s">
        <v>1146</v>
      </c>
      <c r="C770" s="246" t="s">
        <v>170</v>
      </c>
      <c r="D770" s="551">
        <v>4500189941</v>
      </c>
      <c r="E770" s="246" t="s">
        <v>3000</v>
      </c>
      <c r="F770" s="551" t="s">
        <v>3001</v>
      </c>
      <c r="G770" s="659" t="s">
        <v>68</v>
      </c>
      <c r="H770" s="633" t="s">
        <v>69</v>
      </c>
      <c r="I770" s="246">
        <v>120</v>
      </c>
      <c r="J770" s="246">
        <v>0</v>
      </c>
      <c r="K770" s="246">
        <v>12</v>
      </c>
      <c r="L770" s="644">
        <f t="shared" si="251"/>
        <v>10</v>
      </c>
      <c r="M770" s="645">
        <v>46055</v>
      </c>
      <c r="N770" s="645">
        <f>M770-4</f>
        <v>46051</v>
      </c>
      <c r="O770" s="643"/>
      <c r="P770" s="824" t="s">
        <v>113</v>
      </c>
      <c r="Q770" s="646"/>
      <c r="R770" s="646">
        <v>46027</v>
      </c>
      <c r="S770" s="646" t="s">
        <v>70</v>
      </c>
      <c r="T770" s="646">
        <v>46017</v>
      </c>
      <c r="U770" s="646"/>
      <c r="V770" s="642"/>
      <c r="W770" s="642"/>
      <c r="X770" s="642" t="s">
        <v>3002</v>
      </c>
      <c r="Y770" s="647" t="s">
        <v>1150</v>
      </c>
      <c r="Z770" s="657">
        <v>4.1623</v>
      </c>
      <c r="AA770" s="647">
        <f>Z770*I770</f>
        <v>499.476</v>
      </c>
      <c r="AB770" s="551"/>
      <c r="AC770" s="648"/>
      <c r="AD770" s="633" t="s">
        <v>184</v>
      </c>
      <c r="AE770" s="246" t="s">
        <v>82</v>
      </c>
      <c r="AF770" s="246"/>
      <c r="AG770" s="246"/>
      <c r="AH770" s="246" t="s">
        <v>126</v>
      </c>
      <c r="AI770" s="246">
        <v>120</v>
      </c>
      <c r="AJ770" s="246">
        <f t="shared" si="245"/>
        <v>0</v>
      </c>
      <c r="AK770" s="246"/>
      <c r="AL770" s="246" t="s">
        <v>2368</v>
      </c>
      <c r="AM770" s="551"/>
      <c r="AN770" s="551">
        <f t="shared" si="252"/>
        <v>120</v>
      </c>
      <c r="AO770" s="1331"/>
      <c r="AP770" s="1331"/>
      <c r="AQ770" s="1331"/>
      <c r="AR770" s="551"/>
      <c r="AS770" s="551">
        <f>I770</f>
        <v>120</v>
      </c>
      <c r="AT770" s="551"/>
      <c r="AU770" s="551">
        <f t="shared" si="253"/>
        <v>120</v>
      </c>
      <c r="AV770" s="551"/>
      <c r="AW770" s="551">
        <f t="shared" si="254"/>
        <v>120</v>
      </c>
      <c r="AX770" s="651"/>
      <c r="AY770" s="551"/>
      <c r="AZ770" s="551"/>
      <c r="BA770" s="551"/>
      <c r="BB770" s="551"/>
      <c r="BC770" s="551"/>
      <c r="BD770" s="551"/>
      <c r="BE770" s="551"/>
      <c r="BF770" s="551"/>
      <c r="BG770" s="551"/>
      <c r="BH770" s="551"/>
      <c r="BI770" s="551"/>
      <c r="BJ770" s="551"/>
      <c r="BK770" s="551"/>
      <c r="BL770" s="551"/>
      <c r="BM770" s="551"/>
      <c r="BN770" s="551"/>
      <c r="BO770" s="551"/>
      <c r="BP770" s="551"/>
      <c r="BQ770" s="551"/>
      <c r="BR770" s="551"/>
      <c r="BS770" s="551"/>
      <c r="BT770" s="551"/>
      <c r="BU770" s="551"/>
      <c r="BV770" s="551"/>
      <c r="BW770" s="551"/>
      <c r="BX770" s="551"/>
      <c r="BY770" s="551"/>
      <c r="BZ770" s="551"/>
      <c r="CA770" s="551"/>
      <c r="CB770" s="551"/>
      <c r="CC770" s="551"/>
      <c r="CD770" s="551"/>
      <c r="CE770" s="551"/>
      <c r="CF770" s="551"/>
      <c r="CG770" s="551"/>
      <c r="CH770" s="650"/>
      <c r="CI770" s="650"/>
      <c r="CJ770" s="650"/>
      <c r="CK770" s="650"/>
      <c r="CL770" s="650"/>
      <c r="CM770" s="551"/>
      <c r="CN770" s="551"/>
      <c r="CO770" s="551"/>
      <c r="CP770" s="650"/>
      <c r="CQ770" s="650"/>
      <c r="CR770" s="650"/>
      <c r="CS770" s="650"/>
      <c r="CT770" s="650"/>
      <c r="CU770" s="650"/>
    </row>
    <row r="771" s="1265" customFormat="1" ht="31" customHeight="1" spans="1:99">
      <c r="A771" s="641">
        <v>46006</v>
      </c>
      <c r="B771" s="642" t="s">
        <v>602</v>
      </c>
      <c r="C771" s="246" t="s">
        <v>98</v>
      </c>
      <c r="D771" s="551">
        <v>4500188692</v>
      </c>
      <c r="E771" s="246">
        <v>4836737</v>
      </c>
      <c r="F771" s="551" t="s">
        <v>3003</v>
      </c>
      <c r="G771" s="659" t="s">
        <v>3004</v>
      </c>
      <c r="H771" s="246" t="s">
        <v>509</v>
      </c>
      <c r="I771" s="246">
        <v>900</v>
      </c>
      <c r="J771" s="246">
        <v>0</v>
      </c>
      <c r="K771" s="246">
        <v>18</v>
      </c>
      <c r="L771" s="644">
        <f t="shared" si="251"/>
        <v>50</v>
      </c>
      <c r="M771" s="645">
        <v>46051</v>
      </c>
      <c r="N771" s="645">
        <v>46048</v>
      </c>
      <c r="O771" s="643"/>
      <c r="P771" s="824" t="s">
        <v>113</v>
      </c>
      <c r="Q771" s="646"/>
      <c r="R771" s="646">
        <v>46006</v>
      </c>
      <c r="S771" s="646" t="s">
        <v>70</v>
      </c>
      <c r="T771" s="646" t="s">
        <v>70</v>
      </c>
      <c r="U771" s="646"/>
      <c r="V771" s="642"/>
      <c r="W771" s="642"/>
      <c r="X771" s="642" t="s">
        <v>3005</v>
      </c>
      <c r="Y771" s="647" t="s">
        <v>311</v>
      </c>
      <c r="Z771" s="657">
        <v>108.436</v>
      </c>
      <c r="AA771" s="647">
        <f>Z771*L771</f>
        <v>5421.8</v>
      </c>
      <c r="AB771" s="551"/>
      <c r="AC771" s="658" t="s">
        <v>3006</v>
      </c>
      <c r="AD771" s="633" t="s">
        <v>3007</v>
      </c>
      <c r="AE771" s="246" t="s">
        <v>82</v>
      </c>
      <c r="AF771" s="246"/>
      <c r="AG771" s="246"/>
      <c r="AH771" s="246" t="s">
        <v>126</v>
      </c>
      <c r="AI771" s="246">
        <v>900</v>
      </c>
      <c r="AJ771" s="246">
        <f t="shared" si="245"/>
        <v>0</v>
      </c>
      <c r="AK771" s="246"/>
      <c r="AL771" s="246"/>
      <c r="AM771" s="551"/>
      <c r="AN771" s="551">
        <f t="shared" si="252"/>
        <v>900</v>
      </c>
      <c r="AO771" s="1331"/>
      <c r="AP771" s="1331"/>
      <c r="AQ771" s="1331"/>
      <c r="AR771" s="551">
        <f>I771</f>
        <v>900</v>
      </c>
      <c r="AS771" s="551"/>
      <c r="AT771" s="551"/>
      <c r="AU771" s="551">
        <f t="shared" si="253"/>
        <v>900</v>
      </c>
      <c r="AV771" s="551"/>
      <c r="AW771" s="551">
        <f t="shared" si="254"/>
        <v>900</v>
      </c>
      <c r="AX771" s="651"/>
      <c r="AY771" s="551"/>
      <c r="AZ771" s="551"/>
      <c r="BA771" s="551"/>
      <c r="BB771" s="551"/>
      <c r="BC771" s="551"/>
      <c r="BD771" s="551"/>
      <c r="BE771" s="551"/>
      <c r="BF771" s="551"/>
      <c r="BG771" s="551"/>
      <c r="BH771" s="551"/>
      <c r="BI771" s="551"/>
      <c r="BJ771" s="551"/>
      <c r="BK771" s="551"/>
      <c r="BL771" s="551"/>
      <c r="BM771" s="551"/>
      <c r="BN771" s="551"/>
      <c r="BO771" s="551"/>
      <c r="BP771" s="551"/>
      <c r="BQ771" s="551"/>
      <c r="BR771" s="551"/>
      <c r="BS771" s="551"/>
      <c r="BT771" s="551"/>
      <c r="BU771" s="551"/>
      <c r="BV771" s="551"/>
      <c r="BW771" s="551"/>
      <c r="BX771" s="551"/>
      <c r="BY771" s="551"/>
      <c r="BZ771" s="551"/>
      <c r="CA771" s="551"/>
      <c r="CB771" s="551"/>
      <c r="CC771" s="551"/>
      <c r="CD771" s="551"/>
      <c r="CE771" s="551"/>
      <c r="CF771" s="551"/>
      <c r="CG771" s="551"/>
      <c r="CH771" s="650"/>
      <c r="CI771" s="650"/>
      <c r="CJ771" s="650"/>
      <c r="CK771" s="650"/>
      <c r="CL771" s="650"/>
      <c r="CM771" s="551"/>
      <c r="CN771" s="551"/>
      <c r="CO771" s="551"/>
      <c r="CP771" s="650"/>
      <c r="CQ771" s="650"/>
      <c r="CR771" s="650"/>
      <c r="CS771" s="650"/>
      <c r="CT771" s="650"/>
      <c r="CU771" s="650"/>
    </row>
    <row r="772" s="1265" customFormat="1" ht="31" customHeight="1" spans="1:99">
      <c r="A772" s="641">
        <v>45985</v>
      </c>
      <c r="B772" s="642" t="s">
        <v>3008</v>
      </c>
      <c r="C772" s="246" t="s">
        <v>98</v>
      </c>
      <c r="D772" s="551">
        <v>4500186641</v>
      </c>
      <c r="E772" s="246" t="s">
        <v>3009</v>
      </c>
      <c r="F772" s="551" t="s">
        <v>3010</v>
      </c>
      <c r="G772" s="659" t="s">
        <v>68</v>
      </c>
      <c r="H772" s="633" t="s">
        <v>69</v>
      </c>
      <c r="I772" s="246">
        <v>15000</v>
      </c>
      <c r="J772" s="246">
        <v>0</v>
      </c>
      <c r="K772" s="246">
        <v>12</v>
      </c>
      <c r="L772" s="644">
        <f t="shared" si="251"/>
        <v>1250</v>
      </c>
      <c r="M772" s="645">
        <v>46052</v>
      </c>
      <c r="N772" s="645">
        <v>46048</v>
      </c>
      <c r="O772" s="643"/>
      <c r="P772" s="824" t="s">
        <v>113</v>
      </c>
      <c r="Q772" s="646"/>
      <c r="R772" s="646">
        <v>45992</v>
      </c>
      <c r="S772" s="646" t="s">
        <v>70</v>
      </c>
      <c r="T772" s="646" t="s">
        <v>3011</v>
      </c>
      <c r="U772" s="646"/>
      <c r="V772" s="642"/>
      <c r="W772" s="642"/>
      <c r="X772" s="642" t="s">
        <v>3012</v>
      </c>
      <c r="Y772" s="647" t="s">
        <v>1372</v>
      </c>
      <c r="Z772" s="657">
        <v>2.491</v>
      </c>
      <c r="AA772" s="647">
        <f t="shared" ref="AA772:AA778" si="255">Z772*I772</f>
        <v>37365</v>
      </c>
      <c r="AB772" s="551"/>
      <c r="AC772" s="658" t="s">
        <v>3013</v>
      </c>
      <c r="AD772" s="633" t="s">
        <v>68</v>
      </c>
      <c r="AE772" s="246" t="s">
        <v>82</v>
      </c>
      <c r="AF772" s="246"/>
      <c r="AG772" s="246"/>
      <c r="AH772" s="246" t="s">
        <v>126</v>
      </c>
      <c r="AI772" s="246">
        <f>4320+10680</f>
        <v>15000</v>
      </c>
      <c r="AJ772" s="246">
        <f t="shared" si="245"/>
        <v>0</v>
      </c>
      <c r="AK772" s="246"/>
      <c r="AL772" s="246" t="s">
        <v>2368</v>
      </c>
      <c r="AM772" s="551"/>
      <c r="AN772" s="551">
        <f t="shared" si="252"/>
        <v>15000</v>
      </c>
      <c r="AO772" s="1331"/>
      <c r="AP772" s="1331"/>
      <c r="AQ772" s="1331"/>
      <c r="AR772" s="551">
        <f>I772</f>
        <v>15000</v>
      </c>
      <c r="AS772" s="551"/>
      <c r="AT772" s="551"/>
      <c r="AU772" s="551">
        <f t="shared" si="253"/>
        <v>15000</v>
      </c>
      <c r="AV772" s="551"/>
      <c r="AW772" s="551">
        <f t="shared" si="254"/>
        <v>15000</v>
      </c>
      <c r="AX772" s="651"/>
      <c r="AY772" s="551"/>
      <c r="AZ772" s="551"/>
      <c r="BA772" s="551"/>
      <c r="BB772" s="551"/>
      <c r="BC772" s="551"/>
      <c r="BD772" s="551"/>
      <c r="BE772" s="551"/>
      <c r="BF772" s="551"/>
      <c r="BG772" s="551"/>
      <c r="BH772" s="551"/>
      <c r="BI772" s="551"/>
      <c r="BJ772" s="551"/>
      <c r="BK772" s="551"/>
      <c r="BL772" s="551"/>
      <c r="BM772" s="551"/>
      <c r="BN772" s="551"/>
      <c r="BO772" s="551"/>
      <c r="BP772" s="551"/>
      <c r="BQ772" s="551"/>
      <c r="BR772" s="551"/>
      <c r="BS772" s="551"/>
      <c r="BT772" s="551"/>
      <c r="BU772" s="551"/>
      <c r="BV772" s="551"/>
      <c r="BW772" s="551"/>
      <c r="BX772" s="551"/>
      <c r="BY772" s="551"/>
      <c r="BZ772" s="551"/>
      <c r="CA772" s="551"/>
      <c r="CB772" s="551"/>
      <c r="CC772" s="551"/>
      <c r="CD772" s="551"/>
      <c r="CE772" s="551"/>
      <c r="CF772" s="551"/>
      <c r="CG772" s="551"/>
      <c r="CH772" s="650"/>
      <c r="CI772" s="650"/>
      <c r="CJ772" s="650"/>
      <c r="CK772" s="650"/>
      <c r="CL772" s="650"/>
      <c r="CM772" s="551"/>
      <c r="CN772" s="551"/>
      <c r="CO772" s="551"/>
      <c r="CP772" s="650"/>
      <c r="CQ772" s="650"/>
      <c r="CR772" s="650"/>
      <c r="CS772" s="650"/>
      <c r="CT772" s="650"/>
      <c r="CU772" s="650"/>
    </row>
    <row r="773" s="1265" customFormat="1" ht="31" customHeight="1" spans="1:99">
      <c r="A773" s="641">
        <v>45995</v>
      </c>
      <c r="B773" s="642" t="s">
        <v>841</v>
      </c>
      <c r="C773" s="246" t="s">
        <v>399</v>
      </c>
      <c r="D773" s="551">
        <v>4500188053</v>
      </c>
      <c r="E773" s="246" t="s">
        <v>2966</v>
      </c>
      <c r="F773" s="551" t="s">
        <v>3014</v>
      </c>
      <c r="G773" s="659" t="s">
        <v>518</v>
      </c>
      <c r="H773" s="246" t="s">
        <v>477</v>
      </c>
      <c r="I773" s="246">
        <v>2532</v>
      </c>
      <c r="J773" s="246">
        <v>0</v>
      </c>
      <c r="K773" s="246">
        <v>6</v>
      </c>
      <c r="L773" s="644">
        <f t="shared" si="251"/>
        <v>422</v>
      </c>
      <c r="M773" s="645">
        <v>46052</v>
      </c>
      <c r="N773" s="645">
        <v>46048</v>
      </c>
      <c r="O773" s="643"/>
      <c r="P773" s="824" t="s">
        <v>113</v>
      </c>
      <c r="Q773" s="646" t="s">
        <v>2968</v>
      </c>
      <c r="R773" s="646">
        <v>46009</v>
      </c>
      <c r="S773" s="646" t="s">
        <v>70</v>
      </c>
      <c r="T773" s="646" t="s">
        <v>70</v>
      </c>
      <c r="U773" s="646"/>
      <c r="V773" s="642"/>
      <c r="W773" s="642"/>
      <c r="X773" s="628" t="s">
        <v>3015</v>
      </c>
      <c r="Y773" s="647" t="s">
        <v>445</v>
      </c>
      <c r="Z773" s="657">
        <v>6.7112</v>
      </c>
      <c r="AA773" s="647">
        <f t="shared" si="255"/>
        <v>16992.7584</v>
      </c>
      <c r="AB773" s="551"/>
      <c r="AC773" s="648"/>
      <c r="AD773" s="633" t="s">
        <v>480</v>
      </c>
      <c r="AE773" s="246" t="s">
        <v>82</v>
      </c>
      <c r="AF773" s="246"/>
      <c r="AG773" s="246"/>
      <c r="AH773" s="246" t="s">
        <v>126</v>
      </c>
      <c r="AI773" s="246">
        <f>2268+264</f>
        <v>2532</v>
      </c>
      <c r="AJ773" s="246">
        <f t="shared" si="245"/>
        <v>0</v>
      </c>
      <c r="AK773" s="246"/>
      <c r="AL773" s="246"/>
      <c r="AM773" s="551"/>
      <c r="AN773" s="551">
        <f t="shared" si="252"/>
        <v>2532</v>
      </c>
      <c r="AO773" s="1331"/>
      <c r="AP773" s="1331"/>
      <c r="AQ773" s="1331"/>
      <c r="AR773" s="551"/>
      <c r="AS773" s="551">
        <f>I773</f>
        <v>2532</v>
      </c>
      <c r="AT773" s="551"/>
      <c r="AU773" s="551">
        <f t="shared" si="253"/>
        <v>2532</v>
      </c>
      <c r="AV773" s="551"/>
      <c r="AW773" s="551">
        <f t="shared" si="254"/>
        <v>2532</v>
      </c>
      <c r="AX773" s="651"/>
      <c r="AY773" s="551"/>
      <c r="AZ773" s="551"/>
      <c r="BA773" s="551"/>
      <c r="BB773" s="551"/>
      <c r="BC773" s="551"/>
      <c r="BD773" s="551"/>
      <c r="BE773" s="551"/>
      <c r="BF773" s="551"/>
      <c r="BG773" s="551"/>
      <c r="BH773" s="551"/>
      <c r="BI773" s="551"/>
      <c r="BJ773" s="551"/>
      <c r="BK773" s="551"/>
      <c r="BL773" s="551"/>
      <c r="BM773" s="551"/>
      <c r="BN773" s="551">
        <f>I773</f>
        <v>2532</v>
      </c>
      <c r="BO773" s="551"/>
      <c r="BP773" s="551"/>
      <c r="BQ773" s="551"/>
      <c r="BR773" s="551"/>
      <c r="BS773" s="551"/>
      <c r="BT773" s="551"/>
      <c r="BU773" s="551"/>
      <c r="BV773" s="551"/>
      <c r="BW773" s="551"/>
      <c r="BX773" s="551"/>
      <c r="BY773" s="551"/>
      <c r="BZ773" s="551"/>
      <c r="CA773" s="551"/>
      <c r="CB773" s="551"/>
      <c r="CC773" s="551"/>
      <c r="CD773" s="551"/>
      <c r="CE773" s="551"/>
      <c r="CF773" s="551"/>
      <c r="CG773" s="551"/>
      <c r="CH773" s="650"/>
      <c r="CI773" s="650"/>
      <c r="CJ773" s="650"/>
      <c r="CK773" s="650"/>
      <c r="CL773" s="650"/>
      <c r="CM773" s="551"/>
      <c r="CN773" s="551"/>
      <c r="CO773" s="551"/>
      <c r="CP773" s="650"/>
      <c r="CQ773" s="650"/>
      <c r="CR773" s="650"/>
      <c r="CS773" s="650"/>
      <c r="CT773" s="650"/>
      <c r="CU773" s="650"/>
    </row>
    <row r="774" s="1265" customFormat="1" ht="31" customHeight="1" spans="1:99">
      <c r="A774" s="641">
        <v>46007</v>
      </c>
      <c r="B774" s="642" t="s">
        <v>211</v>
      </c>
      <c r="C774" s="246" t="s">
        <v>212</v>
      </c>
      <c r="D774" s="551">
        <v>4500189099</v>
      </c>
      <c r="E774" s="246" t="s">
        <v>2980</v>
      </c>
      <c r="F774" s="551" t="s">
        <v>3016</v>
      </c>
      <c r="G774" s="659" t="s">
        <v>518</v>
      </c>
      <c r="H774" s="246" t="s">
        <v>477</v>
      </c>
      <c r="I774" s="246">
        <v>720</v>
      </c>
      <c r="J774" s="246">
        <v>0</v>
      </c>
      <c r="K774" s="246">
        <v>6</v>
      </c>
      <c r="L774" s="644">
        <f t="shared" si="251"/>
        <v>120</v>
      </c>
      <c r="M774" s="645">
        <v>46052</v>
      </c>
      <c r="N774" s="645">
        <v>46048</v>
      </c>
      <c r="O774" s="643"/>
      <c r="P774" s="824" t="s">
        <v>113</v>
      </c>
      <c r="Q774" s="646"/>
      <c r="R774" s="646">
        <v>46007</v>
      </c>
      <c r="S774" s="646" t="s">
        <v>70</v>
      </c>
      <c r="T774" s="646" t="s">
        <v>3017</v>
      </c>
      <c r="U774" s="646"/>
      <c r="V774" s="642"/>
      <c r="W774" s="642"/>
      <c r="X774" s="642" t="s">
        <v>3018</v>
      </c>
      <c r="Y774" s="647" t="s">
        <v>1793</v>
      </c>
      <c r="Z774" s="657">
        <v>7.0456</v>
      </c>
      <c r="AA774" s="647">
        <f t="shared" si="255"/>
        <v>5072.832</v>
      </c>
      <c r="AB774" s="551"/>
      <c r="AC774" s="648"/>
      <c r="AD774" s="633" t="s">
        <v>1306</v>
      </c>
      <c r="AE774" s="246" t="s">
        <v>82</v>
      </c>
      <c r="AF774" s="246"/>
      <c r="AG774" s="246"/>
      <c r="AH774" s="246" t="s">
        <v>126</v>
      </c>
      <c r="AI774" s="246">
        <v>720</v>
      </c>
      <c r="AJ774" s="246">
        <f t="shared" si="245"/>
        <v>0</v>
      </c>
      <c r="AK774" s="246"/>
      <c r="AL774" s="246" t="s">
        <v>454</v>
      </c>
      <c r="AM774" s="551"/>
      <c r="AN774" s="551">
        <f t="shared" si="252"/>
        <v>720</v>
      </c>
      <c r="AO774" s="1331"/>
      <c r="AP774" s="1331"/>
      <c r="AQ774" s="1331"/>
      <c r="AR774" s="551">
        <f>I774</f>
        <v>720</v>
      </c>
      <c r="AS774" s="551"/>
      <c r="AT774" s="551"/>
      <c r="AU774" s="551">
        <f t="shared" si="253"/>
        <v>720</v>
      </c>
      <c r="AV774" s="551"/>
      <c r="AW774" s="551">
        <f t="shared" si="254"/>
        <v>720</v>
      </c>
      <c r="AX774" s="651"/>
      <c r="AY774" s="551"/>
      <c r="AZ774" s="551"/>
      <c r="BA774" s="551"/>
      <c r="BB774" s="551"/>
      <c r="BC774" s="551"/>
      <c r="BD774" s="551"/>
      <c r="BE774" s="551"/>
      <c r="BF774" s="551"/>
      <c r="BG774" s="551"/>
      <c r="BH774" s="551"/>
      <c r="BI774" s="551"/>
      <c r="BJ774" s="551"/>
      <c r="BK774" s="551"/>
      <c r="BL774" s="551"/>
      <c r="BM774" s="551"/>
      <c r="BN774" s="551">
        <f>I774</f>
        <v>720</v>
      </c>
      <c r="BO774" s="551"/>
      <c r="BP774" s="551"/>
      <c r="BQ774" s="551"/>
      <c r="BR774" s="551"/>
      <c r="BS774" s="551"/>
      <c r="BT774" s="551"/>
      <c r="BU774" s="551"/>
      <c r="BV774" s="551"/>
      <c r="BW774" s="551"/>
      <c r="BX774" s="551"/>
      <c r="BY774" s="551"/>
      <c r="BZ774" s="551"/>
      <c r="CA774" s="551"/>
      <c r="CB774" s="551"/>
      <c r="CC774" s="551"/>
      <c r="CD774" s="551"/>
      <c r="CE774" s="551"/>
      <c r="CF774" s="551"/>
      <c r="CG774" s="551"/>
      <c r="CH774" s="650"/>
      <c r="CI774" s="650"/>
      <c r="CJ774" s="650"/>
      <c r="CK774" s="650"/>
      <c r="CL774" s="650"/>
      <c r="CM774" s="551"/>
      <c r="CN774" s="551"/>
      <c r="CO774" s="551"/>
      <c r="CP774" s="650"/>
      <c r="CQ774" s="650"/>
      <c r="CR774" s="650"/>
      <c r="CS774" s="650"/>
      <c r="CT774" s="650"/>
      <c r="CU774" s="650"/>
    </row>
    <row r="775" s="1265" customFormat="1" ht="31" customHeight="1" spans="1:99">
      <c r="A775" s="641">
        <v>46042</v>
      </c>
      <c r="B775" s="642" t="s">
        <v>841</v>
      </c>
      <c r="C775" s="246" t="s">
        <v>399</v>
      </c>
      <c r="D775" s="551">
        <v>4500188053</v>
      </c>
      <c r="E775" s="246" t="s">
        <v>2966</v>
      </c>
      <c r="F775" s="551" t="s">
        <v>3019</v>
      </c>
      <c r="G775" s="659" t="s">
        <v>518</v>
      </c>
      <c r="H775" s="246" t="s">
        <v>477</v>
      </c>
      <c r="I775" s="246">
        <v>24</v>
      </c>
      <c r="J775" s="246">
        <v>0</v>
      </c>
      <c r="K775" s="246">
        <v>6</v>
      </c>
      <c r="L775" s="644">
        <f t="shared" si="251"/>
        <v>4</v>
      </c>
      <c r="M775" s="645">
        <v>46052</v>
      </c>
      <c r="N775" s="645">
        <v>46048</v>
      </c>
      <c r="O775" s="643"/>
      <c r="P775" s="824" t="s">
        <v>113</v>
      </c>
      <c r="Q775" s="646" t="s">
        <v>2968</v>
      </c>
      <c r="R775" s="646">
        <v>46009</v>
      </c>
      <c r="S775" s="646" t="s">
        <v>70</v>
      </c>
      <c r="T775" s="646" t="s">
        <v>70</v>
      </c>
      <c r="U775" s="646"/>
      <c r="V775" s="642"/>
      <c r="W775" s="642"/>
      <c r="X775" s="628" t="s">
        <v>3015</v>
      </c>
      <c r="Y775" s="647" t="s">
        <v>445</v>
      </c>
      <c r="Z775" s="657">
        <v>6.7112</v>
      </c>
      <c r="AA775" s="647">
        <f t="shared" si="255"/>
        <v>161.0688</v>
      </c>
      <c r="AB775" s="551"/>
      <c r="AC775" s="648"/>
      <c r="AD775" s="633" t="s">
        <v>480</v>
      </c>
      <c r="AE775" s="246" t="s">
        <v>82</v>
      </c>
      <c r="AF775" s="246"/>
      <c r="AG775" s="246"/>
      <c r="AH775" s="246"/>
      <c r="AI775" s="246">
        <v>24</v>
      </c>
      <c r="AJ775" s="246">
        <f t="shared" si="245"/>
        <v>0</v>
      </c>
      <c r="AK775" s="246"/>
      <c r="AL775" s="246"/>
      <c r="AM775" s="551"/>
      <c r="AN775" s="551">
        <f t="shared" si="252"/>
        <v>24</v>
      </c>
      <c r="AO775" s="1331"/>
      <c r="AP775" s="1331"/>
      <c r="AQ775" s="1331"/>
      <c r="AR775" s="551"/>
      <c r="AS775" s="551">
        <f>I775</f>
        <v>24</v>
      </c>
      <c r="AT775" s="551"/>
      <c r="AU775" s="551">
        <f t="shared" si="253"/>
        <v>24</v>
      </c>
      <c r="AV775" s="551"/>
      <c r="AW775" s="551">
        <f t="shared" si="254"/>
        <v>24</v>
      </c>
      <c r="AX775" s="651"/>
      <c r="AY775" s="551"/>
      <c r="AZ775" s="551"/>
      <c r="BA775" s="551"/>
      <c r="BB775" s="551"/>
      <c r="BC775" s="551"/>
      <c r="BD775" s="551"/>
      <c r="BE775" s="551"/>
      <c r="BF775" s="551"/>
      <c r="BG775" s="551"/>
      <c r="BH775" s="551"/>
      <c r="BI775" s="551"/>
      <c r="BJ775" s="551"/>
      <c r="BK775" s="551"/>
      <c r="BL775" s="551"/>
      <c r="BM775" s="551"/>
      <c r="BN775" s="551">
        <f>I775</f>
        <v>24</v>
      </c>
      <c r="BO775" s="551"/>
      <c r="BP775" s="551"/>
      <c r="BQ775" s="551"/>
      <c r="BR775" s="551"/>
      <c r="BS775" s="551"/>
      <c r="BT775" s="551"/>
      <c r="BU775" s="551"/>
      <c r="BV775" s="551"/>
      <c r="BW775" s="551"/>
      <c r="BX775" s="551"/>
      <c r="BY775" s="551"/>
      <c r="BZ775" s="551"/>
      <c r="CA775" s="551"/>
      <c r="CB775" s="551"/>
      <c r="CC775" s="551"/>
      <c r="CD775" s="551"/>
      <c r="CE775" s="551"/>
      <c r="CF775" s="551"/>
      <c r="CG775" s="551"/>
      <c r="CH775" s="650"/>
      <c r="CI775" s="650"/>
      <c r="CJ775" s="650"/>
      <c r="CK775" s="650"/>
      <c r="CL775" s="650"/>
      <c r="CM775" s="551"/>
      <c r="CN775" s="551"/>
      <c r="CO775" s="551"/>
      <c r="CP775" s="650"/>
      <c r="CQ775" s="650"/>
      <c r="CR775" s="650"/>
      <c r="CS775" s="650"/>
      <c r="CT775" s="650"/>
      <c r="CU775" s="650"/>
    </row>
    <row r="776" s="1265" customFormat="1" ht="31" customHeight="1" spans="1:99">
      <c r="A776" s="641">
        <v>46010</v>
      </c>
      <c r="B776" s="642" t="s">
        <v>325</v>
      </c>
      <c r="C776" s="246" t="s">
        <v>98</v>
      </c>
      <c r="D776" s="551">
        <v>4500189432</v>
      </c>
      <c r="E776" s="246" t="s">
        <v>3020</v>
      </c>
      <c r="F776" s="551" t="s">
        <v>3021</v>
      </c>
      <c r="G776" s="659" t="s">
        <v>249</v>
      </c>
      <c r="H776" s="246" t="s">
        <v>250</v>
      </c>
      <c r="I776" s="246">
        <v>10000</v>
      </c>
      <c r="J776" s="246">
        <v>0</v>
      </c>
      <c r="K776" s="246">
        <v>4</v>
      </c>
      <c r="L776" s="644">
        <f t="shared" ref="L772:L792" si="256">I776/K776</f>
        <v>2500</v>
      </c>
      <c r="M776" s="645">
        <v>46056</v>
      </c>
      <c r="N776" s="645">
        <f>M776-4</f>
        <v>46052</v>
      </c>
      <c r="O776" s="643"/>
      <c r="P776" s="824" t="s">
        <v>113</v>
      </c>
      <c r="Q776" s="646"/>
      <c r="R776" s="646">
        <v>46387</v>
      </c>
      <c r="S776" s="646" t="s">
        <v>104</v>
      </c>
      <c r="T776" s="646" t="s">
        <v>3022</v>
      </c>
      <c r="U776" s="646"/>
      <c r="V776" s="642"/>
      <c r="W776" s="642"/>
      <c r="X776" s="642" t="s">
        <v>2770</v>
      </c>
      <c r="Y776" s="647" t="s">
        <v>252</v>
      </c>
      <c r="Z776" s="657">
        <v>2.7832</v>
      </c>
      <c r="AA776" s="647">
        <f t="shared" si="255"/>
        <v>27832</v>
      </c>
      <c r="AB776" s="551"/>
      <c r="AC776" s="658" t="s">
        <v>3023</v>
      </c>
      <c r="AD776" s="633" t="s">
        <v>249</v>
      </c>
      <c r="AE776" s="246" t="s">
        <v>82</v>
      </c>
      <c r="AF776" s="246"/>
      <c r="AG776" s="246"/>
      <c r="AH776" s="246" t="s">
        <v>126</v>
      </c>
      <c r="AI776" s="246">
        <f>8164+1320+516</f>
        <v>10000</v>
      </c>
      <c r="AJ776" s="246">
        <f t="shared" ref="AJ772:AJ791" si="257">AI776-I776</f>
        <v>0</v>
      </c>
      <c r="AK776" s="246"/>
      <c r="AL776" s="246" t="s">
        <v>2368</v>
      </c>
      <c r="AM776" s="551"/>
      <c r="AN776" s="551"/>
      <c r="AO776" s="1331"/>
      <c r="AP776" s="1331">
        <f>I776</f>
        <v>10000</v>
      </c>
      <c r="AQ776" s="1331"/>
      <c r="AR776" s="551"/>
      <c r="AS776" s="551"/>
      <c r="AT776" s="551"/>
      <c r="AU776" s="551"/>
      <c r="AV776" s="551"/>
      <c r="AW776" s="551">
        <f t="shared" si="254"/>
        <v>10000</v>
      </c>
      <c r="AX776" s="651"/>
      <c r="AY776" s="551"/>
      <c r="AZ776" s="551"/>
      <c r="BA776" s="551"/>
      <c r="BB776" s="551"/>
      <c r="BC776" s="551"/>
      <c r="BD776" s="551"/>
      <c r="BE776" s="551"/>
      <c r="BF776" s="551">
        <f>I776</f>
        <v>10000</v>
      </c>
      <c r="BG776" s="551">
        <f>I776</f>
        <v>10000</v>
      </c>
      <c r="BH776" s="825">
        <f>I776/4</f>
        <v>2500</v>
      </c>
      <c r="BI776" s="551"/>
      <c r="BJ776" s="551"/>
      <c r="BK776" s="551"/>
      <c r="BL776" s="551"/>
      <c r="BM776" s="551"/>
      <c r="BN776" s="551"/>
      <c r="BO776" s="551"/>
      <c r="BP776" s="551"/>
      <c r="BQ776" s="551"/>
      <c r="BR776" s="551"/>
      <c r="BS776" s="551"/>
      <c r="BT776" s="551"/>
      <c r="BU776" s="551"/>
      <c r="BV776" s="551"/>
      <c r="BW776" s="551"/>
      <c r="BX776" s="551"/>
      <c r="BY776" s="551"/>
      <c r="BZ776" s="551"/>
      <c r="CA776" s="551"/>
      <c r="CB776" s="551"/>
      <c r="CC776" s="551"/>
      <c r="CD776" s="551"/>
      <c r="CE776" s="551"/>
      <c r="CF776" s="551"/>
      <c r="CG776" s="551"/>
      <c r="CH776" s="650"/>
      <c r="CI776" s="650"/>
      <c r="CJ776" s="650"/>
      <c r="CK776" s="650"/>
      <c r="CL776" s="650"/>
      <c r="CM776" s="551"/>
      <c r="CN776" s="551"/>
      <c r="CO776" s="551"/>
      <c r="CP776" s="650"/>
      <c r="CQ776" s="650"/>
      <c r="CR776" s="650"/>
      <c r="CS776" s="650"/>
      <c r="CT776" s="650"/>
      <c r="CU776" s="650"/>
    </row>
    <row r="777" s="1265" customFormat="1" ht="31" customHeight="1" spans="1:99">
      <c r="A777" s="641">
        <v>45989</v>
      </c>
      <c r="B777" s="642" t="s">
        <v>325</v>
      </c>
      <c r="C777" s="246" t="s">
        <v>98</v>
      </c>
      <c r="D777" s="551">
        <v>4500187341</v>
      </c>
      <c r="E777" s="246" t="s">
        <v>3024</v>
      </c>
      <c r="F777" s="551" t="s">
        <v>3025</v>
      </c>
      <c r="G777" s="659" t="s">
        <v>249</v>
      </c>
      <c r="H777" s="246" t="s">
        <v>250</v>
      </c>
      <c r="I777" s="246">
        <v>4000</v>
      </c>
      <c r="J777" s="246">
        <v>0</v>
      </c>
      <c r="K777" s="246">
        <v>4</v>
      </c>
      <c r="L777" s="644">
        <f t="shared" si="256"/>
        <v>1000</v>
      </c>
      <c r="M777" s="645">
        <v>46056</v>
      </c>
      <c r="N777" s="645">
        <f>M777-4</f>
        <v>46052</v>
      </c>
      <c r="O777" s="643"/>
      <c r="P777" s="824" t="s">
        <v>113</v>
      </c>
      <c r="Q777" s="646"/>
      <c r="R777" s="646">
        <v>46387</v>
      </c>
      <c r="S777" s="646" t="s">
        <v>104</v>
      </c>
      <c r="T777" s="646">
        <v>46037</v>
      </c>
      <c r="U777" s="646"/>
      <c r="V777" s="642"/>
      <c r="W777" s="642"/>
      <c r="X777" s="642" t="s">
        <v>2770</v>
      </c>
      <c r="Y777" s="647" t="s">
        <v>252</v>
      </c>
      <c r="Z777" s="657">
        <v>2.7734</v>
      </c>
      <c r="AA777" s="647">
        <f t="shared" si="255"/>
        <v>11093.6</v>
      </c>
      <c r="AB777" s="551"/>
      <c r="AC777" s="658" t="s">
        <v>3026</v>
      </c>
      <c r="AD777" s="633" t="s">
        <v>249</v>
      </c>
      <c r="AE777" s="246" t="s">
        <v>82</v>
      </c>
      <c r="AF777" s="246"/>
      <c r="AG777" s="246"/>
      <c r="AH777" s="246" t="s">
        <v>126</v>
      </c>
      <c r="AI777" s="246">
        <f>2880+1116+4</f>
        <v>4000</v>
      </c>
      <c r="AJ777" s="246">
        <f t="shared" si="257"/>
        <v>0</v>
      </c>
      <c r="AK777" s="246"/>
      <c r="AL777" s="246" t="s">
        <v>2368</v>
      </c>
      <c r="AM777" s="551"/>
      <c r="AN777" s="551"/>
      <c r="AO777" s="1331"/>
      <c r="AP777" s="1331">
        <f>I777</f>
        <v>4000</v>
      </c>
      <c r="AQ777" s="1331"/>
      <c r="AR777" s="551"/>
      <c r="AS777" s="551"/>
      <c r="AT777" s="551"/>
      <c r="AU777" s="551"/>
      <c r="AV777" s="551"/>
      <c r="AW777" s="551">
        <f t="shared" si="254"/>
        <v>4000</v>
      </c>
      <c r="AX777" s="651"/>
      <c r="AY777" s="551"/>
      <c r="AZ777" s="551"/>
      <c r="BA777" s="551"/>
      <c r="BB777" s="551"/>
      <c r="BC777" s="551"/>
      <c r="BD777" s="551"/>
      <c r="BE777" s="551"/>
      <c r="BF777" s="551">
        <f>I777</f>
        <v>4000</v>
      </c>
      <c r="BG777" s="551">
        <f>I777</f>
        <v>4000</v>
      </c>
      <c r="BH777" s="825">
        <f>I777/4</f>
        <v>1000</v>
      </c>
      <c r="BI777" s="551"/>
      <c r="BJ777" s="551"/>
      <c r="BK777" s="551"/>
      <c r="BL777" s="551"/>
      <c r="BM777" s="551"/>
      <c r="BN777" s="551"/>
      <c r="BO777" s="551"/>
      <c r="BP777" s="551"/>
      <c r="BQ777" s="551"/>
      <c r="BR777" s="551"/>
      <c r="BS777" s="551"/>
      <c r="BT777" s="551"/>
      <c r="BU777" s="551"/>
      <c r="BV777" s="551"/>
      <c r="BW777" s="551"/>
      <c r="BX777" s="551"/>
      <c r="BY777" s="551"/>
      <c r="BZ777" s="551"/>
      <c r="CA777" s="551"/>
      <c r="CB777" s="551"/>
      <c r="CC777" s="551"/>
      <c r="CD777" s="551"/>
      <c r="CE777" s="551"/>
      <c r="CF777" s="551"/>
      <c r="CG777" s="551"/>
      <c r="CH777" s="650"/>
      <c r="CI777" s="650"/>
      <c r="CJ777" s="650"/>
      <c r="CK777" s="650"/>
      <c r="CL777" s="650"/>
      <c r="CM777" s="551"/>
      <c r="CN777" s="551"/>
      <c r="CO777" s="551"/>
      <c r="CP777" s="650"/>
      <c r="CQ777" s="650"/>
      <c r="CR777" s="650"/>
      <c r="CS777" s="650"/>
      <c r="CT777" s="650"/>
      <c r="CU777" s="650"/>
    </row>
    <row r="778" s="1265" customFormat="1" ht="31" customHeight="1" spans="1:99">
      <c r="A778" s="641">
        <v>46010</v>
      </c>
      <c r="B778" s="642" t="s">
        <v>1800</v>
      </c>
      <c r="C778" s="246" t="s">
        <v>744</v>
      </c>
      <c r="D778" s="551">
        <v>4500188895</v>
      </c>
      <c r="E778" s="246">
        <v>5000002083</v>
      </c>
      <c r="F778" s="551" t="s">
        <v>3027</v>
      </c>
      <c r="G778" s="659" t="s">
        <v>130</v>
      </c>
      <c r="H778" s="246" t="s">
        <v>131</v>
      </c>
      <c r="I778" s="246">
        <v>660</v>
      </c>
      <c r="J778" s="246">
        <v>0</v>
      </c>
      <c r="K778" s="246">
        <v>6</v>
      </c>
      <c r="L778" s="644">
        <f t="shared" si="256"/>
        <v>110</v>
      </c>
      <c r="M778" s="645">
        <v>46056</v>
      </c>
      <c r="N778" s="645">
        <v>46051</v>
      </c>
      <c r="O778" s="643"/>
      <c r="P778" s="824" t="s">
        <v>113</v>
      </c>
      <c r="Q778" s="646"/>
      <c r="R778" s="646" t="s">
        <v>496</v>
      </c>
      <c r="S778" s="646" t="s">
        <v>104</v>
      </c>
      <c r="T778" s="646" t="s">
        <v>3028</v>
      </c>
      <c r="U778" s="646"/>
      <c r="V778" s="642"/>
      <c r="W778" s="642"/>
      <c r="X778" s="642" t="s">
        <v>3029</v>
      </c>
      <c r="Y778" s="647" t="s">
        <v>1805</v>
      </c>
      <c r="Z778" s="657">
        <v>4.1743</v>
      </c>
      <c r="AA778" s="647">
        <f t="shared" si="255"/>
        <v>2755.038</v>
      </c>
      <c r="AB778" s="551"/>
      <c r="AC778" s="648"/>
      <c r="AD778" s="633" t="s">
        <v>2217</v>
      </c>
      <c r="AE778" s="246" t="s">
        <v>82</v>
      </c>
      <c r="AF778" s="246"/>
      <c r="AG778" s="246"/>
      <c r="AH778" s="246" t="s">
        <v>126</v>
      </c>
      <c r="AI778" s="246">
        <v>660</v>
      </c>
      <c r="AJ778" s="246">
        <f t="shared" si="257"/>
        <v>0</v>
      </c>
      <c r="AK778" s="246"/>
      <c r="AL778" s="246" t="s">
        <v>2368</v>
      </c>
      <c r="AM778" s="551"/>
      <c r="AN778" s="551">
        <f t="shared" ref="AN778:AN783" si="258">I778</f>
        <v>660</v>
      </c>
      <c r="AO778" s="1331"/>
      <c r="AP778" s="1331"/>
      <c r="AQ778" s="1331"/>
      <c r="AR778" s="551">
        <f>I778</f>
        <v>660</v>
      </c>
      <c r="AS778" s="551"/>
      <c r="AT778" s="551"/>
      <c r="AU778" s="551"/>
      <c r="AV778" s="551">
        <f>I778</f>
        <v>660</v>
      </c>
      <c r="AW778" s="551"/>
      <c r="AX778" s="651">
        <f>I778</f>
        <v>660</v>
      </c>
      <c r="AY778" s="551"/>
      <c r="AZ778" s="551"/>
      <c r="BA778" s="551"/>
      <c r="BB778" s="551"/>
      <c r="BC778" s="551"/>
      <c r="BD778" s="551"/>
      <c r="BE778" s="551"/>
      <c r="BF778" s="551"/>
      <c r="BG778" s="551"/>
      <c r="BH778" s="551"/>
      <c r="BI778" s="551"/>
      <c r="BJ778" s="551"/>
      <c r="BK778" s="551"/>
      <c r="BL778" s="551"/>
      <c r="BM778" s="551"/>
      <c r="BN778" s="551"/>
      <c r="BO778" s="551"/>
      <c r="BP778" s="551"/>
      <c r="BQ778" s="551"/>
      <c r="BR778" s="551"/>
      <c r="BS778" s="551"/>
      <c r="BT778" s="551"/>
      <c r="BU778" s="551"/>
      <c r="BV778" s="551"/>
      <c r="BW778" s="551"/>
      <c r="BX778" s="551"/>
      <c r="BY778" s="551"/>
      <c r="BZ778" s="551"/>
      <c r="CA778" s="551"/>
      <c r="CB778" s="551"/>
      <c r="CC778" s="551"/>
      <c r="CD778" s="551"/>
      <c r="CE778" s="551"/>
      <c r="CF778" s="551"/>
      <c r="CG778" s="551"/>
      <c r="CH778" s="650"/>
      <c r="CI778" s="650"/>
      <c r="CJ778" s="650"/>
      <c r="CK778" s="650"/>
      <c r="CL778" s="650"/>
      <c r="CM778" s="551"/>
      <c r="CN778" s="551"/>
      <c r="CO778" s="551"/>
      <c r="CP778" s="650"/>
      <c r="CQ778" s="650"/>
      <c r="CR778" s="650"/>
      <c r="CS778" s="650"/>
      <c r="CT778" s="650"/>
      <c r="CU778" s="650"/>
    </row>
    <row r="779" s="1265" customFormat="1" ht="31" customHeight="1" spans="1:99">
      <c r="A779" s="641">
        <v>46010</v>
      </c>
      <c r="B779" s="642" t="s">
        <v>1800</v>
      </c>
      <c r="C779" s="246" t="s">
        <v>744</v>
      </c>
      <c r="D779" s="551">
        <v>4500188895</v>
      </c>
      <c r="E779" s="246">
        <v>5000002083</v>
      </c>
      <c r="F779" s="551" t="s">
        <v>3030</v>
      </c>
      <c r="G779" s="659" t="s">
        <v>518</v>
      </c>
      <c r="H779" s="246" t="s">
        <v>477</v>
      </c>
      <c r="I779" s="246">
        <v>1200</v>
      </c>
      <c r="J779" s="246">
        <v>0</v>
      </c>
      <c r="K779" s="246">
        <v>6</v>
      </c>
      <c r="L779" s="644">
        <f t="shared" si="256"/>
        <v>200</v>
      </c>
      <c r="M779" s="645">
        <v>46056</v>
      </c>
      <c r="N779" s="645">
        <v>46051</v>
      </c>
      <c r="O779" s="643"/>
      <c r="P779" s="824" t="s">
        <v>113</v>
      </c>
      <c r="Q779" s="646"/>
      <c r="R779" s="646" t="s">
        <v>496</v>
      </c>
      <c r="S779" s="646" t="s">
        <v>104</v>
      </c>
      <c r="T779" s="646" t="s">
        <v>3031</v>
      </c>
      <c r="U779" s="646"/>
      <c r="V779" s="642"/>
      <c r="W779" s="642"/>
      <c r="X779" s="642" t="s">
        <v>3032</v>
      </c>
      <c r="Y779" s="647" t="s">
        <v>1805</v>
      </c>
      <c r="Z779" s="657">
        <v>6.7154</v>
      </c>
      <c r="AA779" s="647">
        <f>Z779*K779</f>
        <v>40.2924</v>
      </c>
      <c r="AB779" s="551"/>
      <c r="AC779" s="648"/>
      <c r="AD779" s="633" t="s">
        <v>2241</v>
      </c>
      <c r="AE779" s="246" t="s">
        <v>82</v>
      </c>
      <c r="AF779" s="246"/>
      <c r="AG779" s="246"/>
      <c r="AH779" s="246" t="s">
        <v>126</v>
      </c>
      <c r="AI779" s="246">
        <v>1200</v>
      </c>
      <c r="AJ779" s="246">
        <f t="shared" si="257"/>
        <v>0</v>
      </c>
      <c r="AK779" s="246"/>
      <c r="AL779" s="246" t="s">
        <v>2368</v>
      </c>
      <c r="AM779" s="551"/>
      <c r="AN779" s="551">
        <f t="shared" si="258"/>
        <v>1200</v>
      </c>
      <c r="AO779" s="1331"/>
      <c r="AP779" s="1331"/>
      <c r="AQ779" s="1331"/>
      <c r="AR779" s="551">
        <f>I779</f>
        <v>1200</v>
      </c>
      <c r="AS779" s="551"/>
      <c r="AT779" s="551"/>
      <c r="AU779" s="551"/>
      <c r="AV779" s="551">
        <f>I779</f>
        <v>1200</v>
      </c>
      <c r="AW779" s="551"/>
      <c r="AX779" s="651">
        <f>I779</f>
        <v>1200</v>
      </c>
      <c r="AY779" s="551"/>
      <c r="AZ779" s="551"/>
      <c r="BA779" s="551"/>
      <c r="BB779" s="551"/>
      <c r="BC779" s="551"/>
      <c r="BD779" s="551"/>
      <c r="BE779" s="551"/>
      <c r="BF779" s="551"/>
      <c r="BG779" s="551"/>
      <c r="BH779" s="551"/>
      <c r="BI779" s="551"/>
      <c r="BJ779" s="551"/>
      <c r="BK779" s="551"/>
      <c r="BL779" s="551"/>
      <c r="BM779" s="551"/>
      <c r="BN779" s="551">
        <f>I779</f>
        <v>1200</v>
      </c>
      <c r="BO779" s="551"/>
      <c r="BP779" s="551"/>
      <c r="BQ779" s="551"/>
      <c r="BR779" s="551"/>
      <c r="BS779" s="551"/>
      <c r="BT779" s="551"/>
      <c r="BU779" s="551"/>
      <c r="BV779" s="551"/>
      <c r="BW779" s="551"/>
      <c r="BX779" s="551"/>
      <c r="BY779" s="551"/>
      <c r="BZ779" s="551"/>
      <c r="CA779" s="551"/>
      <c r="CB779" s="551"/>
      <c r="CC779" s="551"/>
      <c r="CD779" s="551"/>
      <c r="CE779" s="551"/>
      <c r="CF779" s="551"/>
      <c r="CG779" s="551"/>
      <c r="CH779" s="650"/>
      <c r="CI779" s="650"/>
      <c r="CJ779" s="650"/>
      <c r="CK779" s="650"/>
      <c r="CL779" s="650"/>
      <c r="CM779" s="551"/>
      <c r="CN779" s="551"/>
      <c r="CO779" s="551"/>
      <c r="CP779" s="650"/>
      <c r="CQ779" s="650"/>
      <c r="CR779" s="650"/>
      <c r="CS779" s="650"/>
      <c r="CT779" s="650"/>
      <c r="CU779" s="650"/>
    </row>
    <row r="780" s="1265" customFormat="1" ht="31" customHeight="1" spans="1:99">
      <c r="A780" s="641">
        <v>46015</v>
      </c>
      <c r="B780" s="642" t="s">
        <v>1800</v>
      </c>
      <c r="C780" s="246" t="s">
        <v>744</v>
      </c>
      <c r="D780" s="551">
        <v>4500188895</v>
      </c>
      <c r="E780" s="246">
        <v>5000002083</v>
      </c>
      <c r="F780" s="551" t="s">
        <v>3033</v>
      </c>
      <c r="G780" s="659" t="s">
        <v>518</v>
      </c>
      <c r="H780" s="246" t="s">
        <v>477</v>
      </c>
      <c r="I780" s="246">
        <v>3000</v>
      </c>
      <c r="J780" s="246">
        <v>0</v>
      </c>
      <c r="K780" s="246">
        <v>6</v>
      </c>
      <c r="L780" s="644">
        <f t="shared" si="256"/>
        <v>500</v>
      </c>
      <c r="M780" s="645">
        <v>46056</v>
      </c>
      <c r="N780" s="645">
        <v>46051</v>
      </c>
      <c r="O780" s="643"/>
      <c r="P780" s="824" t="s">
        <v>113</v>
      </c>
      <c r="Q780" s="646"/>
      <c r="R780" s="646" t="s">
        <v>496</v>
      </c>
      <c r="S780" s="646" t="s">
        <v>104</v>
      </c>
      <c r="T780" s="646" t="s">
        <v>2239</v>
      </c>
      <c r="U780" s="646"/>
      <c r="V780" s="642"/>
      <c r="W780" s="642"/>
      <c r="X780" s="642" t="s">
        <v>3034</v>
      </c>
      <c r="Y780" s="647" t="s">
        <v>1805</v>
      </c>
      <c r="Z780" s="657">
        <v>6.4053</v>
      </c>
      <c r="AA780" s="647">
        <f>Z780*I780</f>
        <v>19215.9</v>
      </c>
      <c r="AB780" s="551"/>
      <c r="AC780" s="648"/>
      <c r="AD780" s="633" t="s">
        <v>2241</v>
      </c>
      <c r="AE780" s="246" t="s">
        <v>82</v>
      </c>
      <c r="AF780" s="246"/>
      <c r="AG780" s="246"/>
      <c r="AH780" s="246" t="s">
        <v>126</v>
      </c>
      <c r="AI780" s="246">
        <v>3000</v>
      </c>
      <c r="AJ780" s="246">
        <f t="shared" si="257"/>
        <v>0</v>
      </c>
      <c r="AK780" s="246"/>
      <c r="AL780" s="246" t="s">
        <v>2368</v>
      </c>
      <c r="AM780" s="551"/>
      <c r="AN780" s="551">
        <f t="shared" si="258"/>
        <v>3000</v>
      </c>
      <c r="AO780" s="1331"/>
      <c r="AP780" s="1331"/>
      <c r="AQ780" s="1331"/>
      <c r="AR780" s="551">
        <f>I780</f>
        <v>3000</v>
      </c>
      <c r="AS780" s="551"/>
      <c r="AT780" s="551"/>
      <c r="AU780" s="551"/>
      <c r="AV780" s="551">
        <f t="shared" ref="AV780:AV782" si="259">I780</f>
        <v>3000</v>
      </c>
      <c r="AW780" s="551"/>
      <c r="AX780" s="651">
        <f t="shared" ref="AX780:AX782" si="260">I780</f>
        <v>3000</v>
      </c>
      <c r="AY780" s="551"/>
      <c r="AZ780" s="551"/>
      <c r="BA780" s="551"/>
      <c r="BB780" s="551"/>
      <c r="BC780" s="551"/>
      <c r="BD780" s="551"/>
      <c r="BE780" s="551"/>
      <c r="BF780" s="551"/>
      <c r="BG780" s="551"/>
      <c r="BH780" s="551"/>
      <c r="BI780" s="551"/>
      <c r="BJ780" s="551"/>
      <c r="BK780" s="551"/>
      <c r="BL780" s="551"/>
      <c r="BM780" s="551"/>
      <c r="BN780" s="551">
        <f>I780</f>
        <v>3000</v>
      </c>
      <c r="BO780" s="551"/>
      <c r="BP780" s="551"/>
      <c r="BQ780" s="551"/>
      <c r="BR780" s="551"/>
      <c r="BS780" s="551"/>
      <c r="BT780" s="551"/>
      <c r="BU780" s="551"/>
      <c r="BV780" s="551"/>
      <c r="BW780" s="551"/>
      <c r="BX780" s="551"/>
      <c r="BY780" s="551"/>
      <c r="BZ780" s="551"/>
      <c r="CA780" s="551"/>
      <c r="CB780" s="551"/>
      <c r="CC780" s="551"/>
      <c r="CD780" s="551"/>
      <c r="CE780" s="551"/>
      <c r="CF780" s="551"/>
      <c r="CG780" s="551"/>
      <c r="CH780" s="650"/>
      <c r="CI780" s="650"/>
      <c r="CJ780" s="650"/>
      <c r="CK780" s="650"/>
      <c r="CL780" s="650"/>
      <c r="CM780" s="551"/>
      <c r="CN780" s="551"/>
      <c r="CO780" s="551"/>
      <c r="CP780" s="650"/>
      <c r="CQ780" s="650"/>
      <c r="CR780" s="650"/>
      <c r="CS780" s="650"/>
      <c r="CT780" s="650"/>
      <c r="CU780" s="650"/>
    </row>
    <row r="781" s="1265" customFormat="1" ht="31" customHeight="1" spans="1:99">
      <c r="A781" s="641">
        <v>46015</v>
      </c>
      <c r="B781" s="642" t="s">
        <v>1800</v>
      </c>
      <c r="C781" s="246" t="s">
        <v>744</v>
      </c>
      <c r="D781" s="551">
        <v>4500188895</v>
      </c>
      <c r="E781" s="246">
        <v>5000002083</v>
      </c>
      <c r="F781" s="551" t="s">
        <v>3035</v>
      </c>
      <c r="G781" s="659" t="s">
        <v>518</v>
      </c>
      <c r="H781" s="246" t="s">
        <v>477</v>
      </c>
      <c r="I781" s="246">
        <v>7800</v>
      </c>
      <c r="J781" s="246">
        <v>0</v>
      </c>
      <c r="K781" s="246">
        <v>6</v>
      </c>
      <c r="L781" s="644">
        <f t="shared" si="256"/>
        <v>1300</v>
      </c>
      <c r="M781" s="645">
        <v>46056</v>
      </c>
      <c r="N781" s="645">
        <v>46051</v>
      </c>
      <c r="O781" s="643"/>
      <c r="P781" s="824" t="s">
        <v>113</v>
      </c>
      <c r="Q781" s="646"/>
      <c r="R781" s="646" t="s">
        <v>496</v>
      </c>
      <c r="S781" s="646" t="s">
        <v>104</v>
      </c>
      <c r="T781" s="646" t="s">
        <v>2239</v>
      </c>
      <c r="U781" s="646"/>
      <c r="V781" s="642"/>
      <c r="W781" s="642"/>
      <c r="X781" s="642" t="s">
        <v>3034</v>
      </c>
      <c r="Y781" s="647" t="s">
        <v>1805</v>
      </c>
      <c r="Z781" s="657">
        <v>6.4053</v>
      </c>
      <c r="AA781" s="647">
        <f>Z781*I781</f>
        <v>49961.34</v>
      </c>
      <c r="AB781" s="551"/>
      <c r="AC781" s="648"/>
      <c r="AD781" s="633" t="s">
        <v>2241</v>
      </c>
      <c r="AE781" s="246" t="s">
        <v>82</v>
      </c>
      <c r="AF781" s="246"/>
      <c r="AG781" s="246"/>
      <c r="AH781" s="246" t="s">
        <v>126</v>
      </c>
      <c r="AI781" s="246">
        <v>7800</v>
      </c>
      <c r="AJ781" s="246">
        <f t="shared" si="257"/>
        <v>0</v>
      </c>
      <c r="AK781" s="246"/>
      <c r="AL781" s="246" t="s">
        <v>2368</v>
      </c>
      <c r="AM781" s="551"/>
      <c r="AN781" s="551">
        <f t="shared" si="258"/>
        <v>7800</v>
      </c>
      <c r="AO781" s="1331"/>
      <c r="AP781" s="1331"/>
      <c r="AQ781" s="1331"/>
      <c r="AR781" s="551">
        <f>I781</f>
        <v>7800</v>
      </c>
      <c r="AS781" s="551"/>
      <c r="AT781" s="551"/>
      <c r="AU781" s="551"/>
      <c r="AV781" s="551">
        <f t="shared" si="259"/>
        <v>7800</v>
      </c>
      <c r="AW781" s="551"/>
      <c r="AX781" s="651">
        <f t="shared" si="260"/>
        <v>7800</v>
      </c>
      <c r="AY781" s="551"/>
      <c r="AZ781" s="551"/>
      <c r="BA781" s="551"/>
      <c r="BB781" s="551"/>
      <c r="BC781" s="551"/>
      <c r="BD781" s="551"/>
      <c r="BE781" s="551"/>
      <c r="BF781" s="551"/>
      <c r="BG781" s="551"/>
      <c r="BH781" s="551"/>
      <c r="BI781" s="551"/>
      <c r="BJ781" s="551"/>
      <c r="BK781" s="551"/>
      <c r="BL781" s="551"/>
      <c r="BM781" s="551"/>
      <c r="BN781" s="551">
        <f>I781</f>
        <v>7800</v>
      </c>
      <c r="BO781" s="551"/>
      <c r="BP781" s="551"/>
      <c r="BQ781" s="551"/>
      <c r="BR781" s="551"/>
      <c r="BS781" s="551"/>
      <c r="BT781" s="551"/>
      <c r="BU781" s="551"/>
      <c r="BV781" s="551"/>
      <c r="BW781" s="551"/>
      <c r="BX781" s="551"/>
      <c r="BY781" s="551"/>
      <c r="BZ781" s="551"/>
      <c r="CA781" s="551"/>
      <c r="CB781" s="551"/>
      <c r="CC781" s="551"/>
      <c r="CD781" s="551"/>
      <c r="CE781" s="551"/>
      <c r="CF781" s="551"/>
      <c r="CG781" s="551"/>
      <c r="CH781" s="650"/>
      <c r="CI781" s="650"/>
      <c r="CJ781" s="650"/>
      <c r="CK781" s="650"/>
      <c r="CL781" s="650"/>
      <c r="CM781" s="551"/>
      <c r="CN781" s="551"/>
      <c r="CO781" s="551"/>
      <c r="CP781" s="650"/>
      <c r="CQ781" s="650"/>
      <c r="CR781" s="650"/>
      <c r="CS781" s="650"/>
      <c r="CT781" s="650"/>
      <c r="CU781" s="650"/>
    </row>
    <row r="782" s="1265" customFormat="1" ht="31" customHeight="1" spans="1:99">
      <c r="A782" s="641">
        <v>46015</v>
      </c>
      <c r="B782" s="642" t="s">
        <v>1800</v>
      </c>
      <c r="C782" s="246" t="s">
        <v>744</v>
      </c>
      <c r="D782" s="551">
        <v>4500188895</v>
      </c>
      <c r="E782" s="246">
        <v>5000002083</v>
      </c>
      <c r="F782" s="551" t="s">
        <v>3036</v>
      </c>
      <c r="G782" s="659" t="s">
        <v>518</v>
      </c>
      <c r="H782" s="246" t="s">
        <v>477</v>
      </c>
      <c r="I782" s="246">
        <v>7200</v>
      </c>
      <c r="J782" s="246">
        <v>0</v>
      </c>
      <c r="K782" s="246">
        <v>6</v>
      </c>
      <c r="L782" s="644">
        <f t="shared" si="256"/>
        <v>1200</v>
      </c>
      <c r="M782" s="645">
        <v>46056</v>
      </c>
      <c r="N782" s="645">
        <v>46051</v>
      </c>
      <c r="O782" s="643"/>
      <c r="P782" s="824" t="s">
        <v>113</v>
      </c>
      <c r="Q782" s="646"/>
      <c r="R782" s="646" t="s">
        <v>496</v>
      </c>
      <c r="S782" s="646" t="s">
        <v>104</v>
      </c>
      <c r="T782" s="646" t="s">
        <v>2239</v>
      </c>
      <c r="U782" s="646"/>
      <c r="V782" s="642"/>
      <c r="W782" s="642"/>
      <c r="X782" s="642" t="s">
        <v>3034</v>
      </c>
      <c r="Y782" s="647" t="s">
        <v>1805</v>
      </c>
      <c r="Z782" s="657">
        <v>6.4053</v>
      </c>
      <c r="AA782" s="647">
        <f>Z782*I782</f>
        <v>46118.16</v>
      </c>
      <c r="AB782" s="551"/>
      <c r="AC782" s="648"/>
      <c r="AD782" s="633" t="s">
        <v>2241</v>
      </c>
      <c r="AE782" s="246" t="s">
        <v>82</v>
      </c>
      <c r="AF782" s="246"/>
      <c r="AG782" s="246"/>
      <c r="AH782" s="246" t="s">
        <v>126</v>
      </c>
      <c r="AI782" s="246">
        <f>6972+228</f>
        <v>7200</v>
      </c>
      <c r="AJ782" s="246">
        <f t="shared" si="257"/>
        <v>0</v>
      </c>
      <c r="AK782" s="246"/>
      <c r="AL782" s="246" t="s">
        <v>2368</v>
      </c>
      <c r="AM782" s="551"/>
      <c r="AN782" s="551">
        <f t="shared" si="258"/>
        <v>7200</v>
      </c>
      <c r="AO782" s="1331"/>
      <c r="AP782" s="1331"/>
      <c r="AQ782" s="1331"/>
      <c r="AR782" s="551">
        <f>I782</f>
        <v>7200</v>
      </c>
      <c r="AS782" s="551"/>
      <c r="AT782" s="551"/>
      <c r="AU782" s="551"/>
      <c r="AV782" s="551">
        <f t="shared" si="259"/>
        <v>7200</v>
      </c>
      <c r="AW782" s="551"/>
      <c r="AX782" s="651">
        <f t="shared" si="260"/>
        <v>7200</v>
      </c>
      <c r="AY782" s="551"/>
      <c r="AZ782" s="551"/>
      <c r="BA782" s="551"/>
      <c r="BB782" s="551"/>
      <c r="BC782" s="551"/>
      <c r="BD782" s="551"/>
      <c r="BE782" s="551"/>
      <c r="BF782" s="551"/>
      <c r="BG782" s="551"/>
      <c r="BH782" s="551"/>
      <c r="BI782" s="551"/>
      <c r="BJ782" s="551"/>
      <c r="BK782" s="551"/>
      <c r="BL782" s="551"/>
      <c r="BM782" s="551"/>
      <c r="BN782" s="551">
        <f>I782</f>
        <v>7200</v>
      </c>
      <c r="BO782" s="551"/>
      <c r="BP782" s="551"/>
      <c r="BQ782" s="551"/>
      <c r="BR782" s="551"/>
      <c r="BS782" s="551"/>
      <c r="BT782" s="551"/>
      <c r="BU782" s="551"/>
      <c r="BV782" s="551"/>
      <c r="BW782" s="551"/>
      <c r="BX782" s="551"/>
      <c r="BY782" s="551"/>
      <c r="BZ782" s="551"/>
      <c r="CA782" s="551"/>
      <c r="CB782" s="551"/>
      <c r="CC782" s="551"/>
      <c r="CD782" s="551"/>
      <c r="CE782" s="551"/>
      <c r="CF782" s="551"/>
      <c r="CG782" s="551"/>
      <c r="CH782" s="650"/>
      <c r="CI782" s="650"/>
      <c r="CJ782" s="650"/>
      <c r="CK782" s="650"/>
      <c r="CL782" s="650"/>
      <c r="CM782" s="551"/>
      <c r="CN782" s="551"/>
      <c r="CO782" s="551"/>
      <c r="CP782" s="650"/>
      <c r="CQ782" s="650"/>
      <c r="CR782" s="650"/>
      <c r="CS782" s="650"/>
      <c r="CT782" s="650"/>
      <c r="CU782" s="650"/>
    </row>
    <row r="783" s="1265" customFormat="1" ht="31" customHeight="1" spans="1:99">
      <c r="A783" s="641">
        <v>46021</v>
      </c>
      <c r="B783" s="642" t="s">
        <v>1409</v>
      </c>
      <c r="C783" s="246" t="s">
        <v>524</v>
      </c>
      <c r="D783" s="551">
        <v>4500190045</v>
      </c>
      <c r="E783" s="246"/>
      <c r="F783" s="551" t="s">
        <v>3037</v>
      </c>
      <c r="G783" s="659" t="s">
        <v>68</v>
      </c>
      <c r="H783" s="633" t="s">
        <v>69</v>
      </c>
      <c r="I783" s="246">
        <v>2304</v>
      </c>
      <c r="J783" s="246">
        <v>0</v>
      </c>
      <c r="K783" s="246">
        <v>12</v>
      </c>
      <c r="L783" s="644">
        <f t="shared" si="256"/>
        <v>192</v>
      </c>
      <c r="M783" s="645">
        <v>46057</v>
      </c>
      <c r="N783" s="645">
        <f>M783-4</f>
        <v>46053</v>
      </c>
      <c r="O783" s="643"/>
      <c r="P783" s="824" t="s">
        <v>113</v>
      </c>
      <c r="Q783" s="646"/>
      <c r="R783" s="646">
        <v>46021</v>
      </c>
      <c r="S783" s="646" t="s">
        <v>70</v>
      </c>
      <c r="T783" s="646" t="s">
        <v>2797</v>
      </c>
      <c r="U783" s="646"/>
      <c r="V783" s="642"/>
      <c r="W783" s="642"/>
      <c r="X783" s="642" t="s">
        <v>3038</v>
      </c>
      <c r="Y783" s="647" t="s">
        <v>340</v>
      </c>
      <c r="Z783" s="657">
        <v>4.1623</v>
      </c>
      <c r="AA783" s="647">
        <f>Z783*I783</f>
        <v>9589.9392</v>
      </c>
      <c r="AB783" s="551"/>
      <c r="AC783" s="648"/>
      <c r="AD783" s="633" t="s">
        <v>184</v>
      </c>
      <c r="AE783" s="246" t="s">
        <v>82</v>
      </c>
      <c r="AF783" s="246"/>
      <c r="AG783" s="246"/>
      <c r="AH783" s="246" t="s">
        <v>126</v>
      </c>
      <c r="AI783" s="246">
        <v>2304</v>
      </c>
      <c r="AJ783" s="246">
        <f t="shared" si="257"/>
        <v>0</v>
      </c>
      <c r="AK783" s="246"/>
      <c r="AL783" s="246" t="s">
        <v>2368</v>
      </c>
      <c r="AM783" s="551"/>
      <c r="AN783" s="551">
        <f t="shared" si="258"/>
        <v>2304</v>
      </c>
      <c r="AO783" s="1331"/>
      <c r="AP783" s="1331"/>
      <c r="AQ783" s="1331"/>
      <c r="AR783" s="551"/>
      <c r="AS783" s="551">
        <f>I783</f>
        <v>2304</v>
      </c>
      <c r="AT783" s="551"/>
      <c r="AU783" s="551">
        <f>I783</f>
        <v>2304</v>
      </c>
      <c r="AV783" s="551"/>
      <c r="AW783" s="551">
        <f>I783</f>
        <v>2304</v>
      </c>
      <c r="AX783" s="651"/>
      <c r="AY783" s="551"/>
      <c r="AZ783" s="551"/>
      <c r="BA783" s="551"/>
      <c r="BB783" s="551"/>
      <c r="BC783" s="551"/>
      <c r="BD783" s="551"/>
      <c r="BE783" s="551"/>
      <c r="BF783" s="551"/>
      <c r="BG783" s="551"/>
      <c r="BH783" s="551"/>
      <c r="BI783" s="551"/>
      <c r="BJ783" s="551"/>
      <c r="BK783" s="551"/>
      <c r="BL783" s="551"/>
      <c r="BM783" s="551"/>
      <c r="BN783" s="551"/>
      <c r="BO783" s="551"/>
      <c r="BP783" s="551"/>
      <c r="BQ783" s="551"/>
      <c r="BR783" s="551"/>
      <c r="BS783" s="551"/>
      <c r="BT783" s="551"/>
      <c r="BU783" s="551"/>
      <c r="BV783" s="551"/>
      <c r="BW783" s="551"/>
      <c r="BX783" s="551"/>
      <c r="BY783" s="551"/>
      <c r="BZ783" s="551"/>
      <c r="CA783" s="551"/>
      <c r="CB783" s="551"/>
      <c r="CC783" s="551"/>
      <c r="CD783" s="551"/>
      <c r="CE783" s="551"/>
      <c r="CF783" s="551"/>
      <c r="CG783" s="551"/>
      <c r="CH783" s="650"/>
      <c r="CI783" s="650"/>
      <c r="CJ783" s="650"/>
      <c r="CK783" s="650"/>
      <c r="CL783" s="650"/>
      <c r="CM783" s="551"/>
      <c r="CN783" s="551"/>
      <c r="CO783" s="551"/>
      <c r="CP783" s="650"/>
      <c r="CQ783" s="650"/>
      <c r="CR783" s="650"/>
      <c r="CS783" s="650"/>
      <c r="CT783" s="650"/>
      <c r="CU783" s="650"/>
    </row>
    <row r="784" s="1265" customFormat="1" ht="31" customHeight="1" spans="1:99">
      <c r="A784" s="641">
        <v>45999</v>
      </c>
      <c r="B784" s="642" t="s">
        <v>3039</v>
      </c>
      <c r="C784" s="246" t="s">
        <v>399</v>
      </c>
      <c r="D784" s="551">
        <v>4500188370</v>
      </c>
      <c r="E784" s="246">
        <v>5510062987</v>
      </c>
      <c r="F784" s="551" t="s">
        <v>3040</v>
      </c>
      <c r="G784" s="659" t="s">
        <v>829</v>
      </c>
      <c r="H784" s="246" t="s">
        <v>830</v>
      </c>
      <c r="I784" s="246">
        <v>1800</v>
      </c>
      <c r="J784" s="246">
        <v>0</v>
      </c>
      <c r="K784" s="246">
        <v>75</v>
      </c>
      <c r="L784" s="644">
        <f t="shared" si="256"/>
        <v>24</v>
      </c>
      <c r="M784" s="645">
        <v>46058</v>
      </c>
      <c r="N784" s="645">
        <v>46055</v>
      </c>
      <c r="O784" s="643"/>
      <c r="P784" s="824" t="s">
        <v>113</v>
      </c>
      <c r="Q784" s="646"/>
      <c r="R784" s="646">
        <v>46000</v>
      </c>
      <c r="S784" s="646" t="s">
        <v>70</v>
      </c>
      <c r="T784" s="646" t="s">
        <v>70</v>
      </c>
      <c r="U784" s="646"/>
      <c r="V784" s="642"/>
      <c r="W784" s="642"/>
      <c r="X784" s="615" t="s">
        <v>3041</v>
      </c>
      <c r="Y784" s="647" t="s">
        <v>1549</v>
      </c>
      <c r="Z784" s="657">
        <v>623.8856</v>
      </c>
      <c r="AA784" s="647">
        <f>Z784*L784</f>
        <v>14973.2544</v>
      </c>
      <c r="AB784" s="551"/>
      <c r="AC784" s="648"/>
      <c r="AD784" s="633" t="s">
        <v>829</v>
      </c>
      <c r="AE784" s="246" t="s">
        <v>82</v>
      </c>
      <c r="AF784" s="246"/>
      <c r="AG784" s="246"/>
      <c r="AH784" s="246" t="s">
        <v>3042</v>
      </c>
      <c r="AI784" s="246">
        <v>1800</v>
      </c>
      <c r="AJ784" s="246">
        <f t="shared" si="257"/>
        <v>0</v>
      </c>
      <c r="AK784" s="246"/>
      <c r="AL784" s="246"/>
      <c r="AM784" s="551"/>
      <c r="AN784" s="551"/>
      <c r="AO784" s="1331"/>
      <c r="AP784" s="1331"/>
      <c r="AQ784" s="1331">
        <f>I784</f>
        <v>1800</v>
      </c>
      <c r="AR784" s="551"/>
      <c r="AS784" s="551"/>
      <c r="AT784" s="551"/>
      <c r="AU784" s="551"/>
      <c r="AV784" s="551"/>
      <c r="AW784" s="551"/>
      <c r="AX784" s="651"/>
      <c r="AY784" s="551"/>
      <c r="AZ784" s="551"/>
      <c r="BA784" s="551">
        <f>I784</f>
        <v>1800</v>
      </c>
      <c r="BB784" s="551">
        <f>I784</f>
        <v>1800</v>
      </c>
      <c r="BC784" s="551">
        <f>I784</f>
        <v>1800</v>
      </c>
      <c r="BD784" s="551"/>
      <c r="BE784" s="551"/>
      <c r="BF784" s="551"/>
      <c r="BG784" s="551"/>
      <c r="BH784" s="551"/>
      <c r="BI784" s="551"/>
      <c r="BJ784" s="551"/>
      <c r="BK784" s="551"/>
      <c r="BL784" s="551"/>
      <c r="BM784" s="551"/>
      <c r="BN784" s="551"/>
      <c r="BO784" s="551"/>
      <c r="BP784" s="551"/>
      <c r="BQ784" s="551"/>
      <c r="BR784" s="551"/>
      <c r="BS784" s="551"/>
      <c r="BT784" s="551"/>
      <c r="BU784" s="551"/>
      <c r="BV784" s="551"/>
      <c r="BW784" s="551"/>
      <c r="BX784" s="551"/>
      <c r="BY784" s="551"/>
      <c r="BZ784" s="551"/>
      <c r="CA784" s="551"/>
      <c r="CB784" s="551"/>
      <c r="CC784" s="551"/>
      <c r="CD784" s="551"/>
      <c r="CE784" s="551"/>
      <c r="CF784" s="551"/>
      <c r="CG784" s="551"/>
      <c r="CH784" s="650"/>
      <c r="CI784" s="650"/>
      <c r="CJ784" s="650"/>
      <c r="CK784" s="650"/>
      <c r="CL784" s="650"/>
      <c r="CM784" s="551"/>
      <c r="CN784" s="551"/>
      <c r="CO784" s="551"/>
      <c r="CP784" s="650"/>
      <c r="CQ784" s="650"/>
      <c r="CR784" s="650"/>
      <c r="CS784" s="650"/>
      <c r="CT784" s="650"/>
      <c r="CU784" s="650"/>
    </row>
    <row r="785" s="1265" customFormat="1" ht="31" customHeight="1" spans="1:99">
      <c r="A785" s="641">
        <v>46006</v>
      </c>
      <c r="B785" s="642" t="s">
        <v>984</v>
      </c>
      <c r="C785" s="246" t="s">
        <v>399</v>
      </c>
      <c r="D785" s="551">
        <v>4500189088</v>
      </c>
      <c r="E785" s="246"/>
      <c r="F785" s="551" t="s">
        <v>3043</v>
      </c>
      <c r="G785" s="659" t="s">
        <v>68</v>
      </c>
      <c r="H785" s="633" t="s">
        <v>69</v>
      </c>
      <c r="I785" s="246">
        <v>480</v>
      </c>
      <c r="J785" s="246">
        <v>0</v>
      </c>
      <c r="K785" s="246">
        <v>12</v>
      </c>
      <c r="L785" s="644">
        <f t="shared" si="256"/>
        <v>40</v>
      </c>
      <c r="M785" s="645">
        <v>46058</v>
      </c>
      <c r="N785" s="645">
        <v>46055</v>
      </c>
      <c r="O785" s="643"/>
      <c r="P785" s="824" t="s">
        <v>113</v>
      </c>
      <c r="Q785" s="646"/>
      <c r="R785" s="646">
        <v>46009</v>
      </c>
      <c r="S785" s="646" t="s">
        <v>70</v>
      </c>
      <c r="T785" s="646" t="s">
        <v>3044</v>
      </c>
      <c r="U785" s="646"/>
      <c r="V785" s="642"/>
      <c r="W785" s="642"/>
      <c r="X785" s="642" t="s">
        <v>3045</v>
      </c>
      <c r="Y785" s="647" t="s">
        <v>402</v>
      </c>
      <c r="Z785" s="657">
        <v>4.1623</v>
      </c>
      <c r="AA785" s="647">
        <f>Z785*L785</f>
        <v>166.492</v>
      </c>
      <c r="AB785" s="551"/>
      <c r="AC785" s="648"/>
      <c r="AD785" s="633" t="s">
        <v>184</v>
      </c>
      <c r="AE785" s="246" t="s">
        <v>82</v>
      </c>
      <c r="AF785" s="246"/>
      <c r="AG785" s="246"/>
      <c r="AH785" s="246" t="s">
        <v>126</v>
      </c>
      <c r="AI785" s="246">
        <v>480</v>
      </c>
      <c r="AJ785" s="246">
        <f t="shared" si="257"/>
        <v>0</v>
      </c>
      <c r="AK785" s="246"/>
      <c r="AL785" s="246"/>
      <c r="AM785" s="551"/>
      <c r="AN785" s="551">
        <f>I785</f>
        <v>480</v>
      </c>
      <c r="AO785" s="1331"/>
      <c r="AP785" s="1331"/>
      <c r="AQ785" s="1331"/>
      <c r="AR785" s="551"/>
      <c r="AS785" s="551">
        <f>I785</f>
        <v>480</v>
      </c>
      <c r="AT785" s="551"/>
      <c r="AU785" s="551">
        <f>I785</f>
        <v>480</v>
      </c>
      <c r="AV785" s="551"/>
      <c r="AW785" s="551">
        <f t="shared" ref="AW785:AW791" si="261">I785</f>
        <v>480</v>
      </c>
      <c r="AX785" s="651"/>
      <c r="AY785" s="551"/>
      <c r="AZ785" s="551"/>
      <c r="BA785" s="551"/>
      <c r="BB785" s="551"/>
      <c r="BC785" s="551"/>
      <c r="BD785" s="551"/>
      <c r="BE785" s="551"/>
      <c r="BF785" s="551"/>
      <c r="BG785" s="551"/>
      <c r="BH785" s="551"/>
      <c r="BI785" s="551"/>
      <c r="BJ785" s="551"/>
      <c r="BK785" s="551"/>
      <c r="BL785" s="551"/>
      <c r="BM785" s="551"/>
      <c r="BN785" s="551"/>
      <c r="BO785" s="551"/>
      <c r="BP785" s="551"/>
      <c r="BQ785" s="551"/>
      <c r="BR785" s="551"/>
      <c r="BS785" s="551"/>
      <c r="BT785" s="551"/>
      <c r="BU785" s="551"/>
      <c r="BV785" s="551"/>
      <c r="BW785" s="551"/>
      <c r="BX785" s="551"/>
      <c r="BY785" s="551"/>
      <c r="BZ785" s="551"/>
      <c r="CA785" s="551"/>
      <c r="CB785" s="551"/>
      <c r="CC785" s="551"/>
      <c r="CD785" s="551"/>
      <c r="CE785" s="551"/>
      <c r="CF785" s="551"/>
      <c r="CG785" s="551"/>
      <c r="CH785" s="650"/>
      <c r="CI785" s="650"/>
      <c r="CJ785" s="650"/>
      <c r="CK785" s="650"/>
      <c r="CL785" s="650"/>
      <c r="CM785" s="551"/>
      <c r="CN785" s="551"/>
      <c r="CO785" s="551"/>
      <c r="CP785" s="650"/>
      <c r="CQ785" s="650"/>
      <c r="CR785" s="650"/>
      <c r="CS785" s="650"/>
      <c r="CT785" s="650"/>
      <c r="CU785" s="650"/>
    </row>
    <row r="786" s="1265" customFormat="1" ht="31" customHeight="1" spans="1:99">
      <c r="A786" s="641">
        <v>45996</v>
      </c>
      <c r="B786" s="642" t="s">
        <v>325</v>
      </c>
      <c r="C786" s="246" t="s">
        <v>98</v>
      </c>
      <c r="D786" s="551">
        <v>4500188278</v>
      </c>
      <c r="E786" s="246" t="s">
        <v>3046</v>
      </c>
      <c r="F786" s="551" t="s">
        <v>3047</v>
      </c>
      <c r="G786" s="659" t="s">
        <v>249</v>
      </c>
      <c r="H786" s="246" t="s">
        <v>250</v>
      </c>
      <c r="I786" s="246">
        <v>9000</v>
      </c>
      <c r="J786" s="246">
        <v>0</v>
      </c>
      <c r="K786" s="246">
        <v>4</v>
      </c>
      <c r="L786" s="644">
        <f t="shared" si="256"/>
        <v>2250</v>
      </c>
      <c r="M786" s="645">
        <v>46059</v>
      </c>
      <c r="N786" s="645">
        <v>46055</v>
      </c>
      <c r="O786" s="643"/>
      <c r="P786" s="824" t="s">
        <v>113</v>
      </c>
      <c r="Q786" s="646"/>
      <c r="R786" s="646">
        <v>46387</v>
      </c>
      <c r="S786" s="646" t="s">
        <v>104</v>
      </c>
      <c r="T786" s="646">
        <v>46037</v>
      </c>
      <c r="U786" s="646"/>
      <c r="V786" s="642"/>
      <c r="W786" s="642"/>
      <c r="X786" s="642" t="s">
        <v>2770</v>
      </c>
      <c r="Y786" s="647" t="s">
        <v>252</v>
      </c>
      <c r="Z786" s="657">
        <v>2.7951</v>
      </c>
      <c r="AA786" s="647">
        <f>Z786*I786</f>
        <v>25155.9</v>
      </c>
      <c r="AB786" s="551"/>
      <c r="AC786" s="658" t="s">
        <v>3048</v>
      </c>
      <c r="AD786" s="633" t="s">
        <v>249</v>
      </c>
      <c r="AE786" s="246" t="s">
        <v>82</v>
      </c>
      <c r="AF786" s="246"/>
      <c r="AG786" s="246"/>
      <c r="AH786" s="246" t="s">
        <v>126</v>
      </c>
      <c r="AI786" s="246">
        <f>8760+4+236</f>
        <v>9000</v>
      </c>
      <c r="AJ786" s="246">
        <f t="shared" si="257"/>
        <v>0</v>
      </c>
      <c r="AK786" s="246"/>
      <c r="AL786" s="246" t="s">
        <v>2368</v>
      </c>
      <c r="AM786" s="551"/>
      <c r="AN786" s="551"/>
      <c r="AO786" s="1331"/>
      <c r="AP786" s="1331">
        <f>I786</f>
        <v>9000</v>
      </c>
      <c r="AQ786" s="1331"/>
      <c r="AR786" s="551"/>
      <c r="AS786" s="551"/>
      <c r="AT786" s="551"/>
      <c r="AU786" s="551"/>
      <c r="AV786" s="551"/>
      <c r="AW786" s="551">
        <f t="shared" si="261"/>
        <v>9000</v>
      </c>
      <c r="AX786" s="651"/>
      <c r="AY786" s="551"/>
      <c r="AZ786" s="551"/>
      <c r="BA786" s="551"/>
      <c r="BB786" s="551"/>
      <c r="BC786" s="551"/>
      <c r="BD786" s="551"/>
      <c r="BE786" s="551"/>
      <c r="BF786" s="551">
        <f>I786</f>
        <v>9000</v>
      </c>
      <c r="BG786" s="551">
        <f>I786</f>
        <v>9000</v>
      </c>
      <c r="BH786" s="825">
        <f>I786/4</f>
        <v>2250</v>
      </c>
      <c r="BI786" s="551"/>
      <c r="BJ786" s="551"/>
      <c r="BK786" s="551"/>
      <c r="BL786" s="551"/>
      <c r="BM786" s="551"/>
      <c r="BN786" s="551"/>
      <c r="BO786" s="551"/>
      <c r="BP786" s="551"/>
      <c r="BQ786" s="551"/>
      <c r="BR786" s="551"/>
      <c r="BS786" s="551"/>
      <c r="BT786" s="551"/>
      <c r="BU786" s="551"/>
      <c r="BV786" s="551"/>
      <c r="BW786" s="551"/>
      <c r="BX786" s="551"/>
      <c r="BY786" s="551"/>
      <c r="BZ786" s="551"/>
      <c r="CA786" s="551"/>
      <c r="CB786" s="551"/>
      <c r="CC786" s="551"/>
      <c r="CD786" s="551"/>
      <c r="CE786" s="551"/>
      <c r="CF786" s="551"/>
      <c r="CG786" s="551"/>
      <c r="CH786" s="650"/>
      <c r="CI786" s="650"/>
      <c r="CJ786" s="650"/>
      <c r="CK786" s="650"/>
      <c r="CL786" s="650"/>
      <c r="CM786" s="551"/>
      <c r="CN786" s="551"/>
      <c r="CO786" s="551"/>
      <c r="CP786" s="650"/>
      <c r="CQ786" s="650"/>
      <c r="CR786" s="650"/>
      <c r="CS786" s="650"/>
      <c r="CT786" s="650"/>
      <c r="CU786" s="650"/>
    </row>
    <row r="787" s="1265" customFormat="1" ht="31" customHeight="1" spans="1:99">
      <c r="A787" s="641">
        <v>46003</v>
      </c>
      <c r="B787" s="642" t="s">
        <v>430</v>
      </c>
      <c r="C787" s="246" t="s">
        <v>76</v>
      </c>
      <c r="D787" s="551">
        <v>4500188835</v>
      </c>
      <c r="E787" s="246">
        <v>3026</v>
      </c>
      <c r="F787" s="551" t="s">
        <v>3049</v>
      </c>
      <c r="G787" s="659" t="s">
        <v>130</v>
      </c>
      <c r="H787" s="246" t="s">
        <v>131</v>
      </c>
      <c r="I787" s="246">
        <v>504</v>
      </c>
      <c r="J787" s="246">
        <v>0</v>
      </c>
      <c r="K787" s="246">
        <v>6</v>
      </c>
      <c r="L787" s="644">
        <f t="shared" si="256"/>
        <v>84</v>
      </c>
      <c r="M787" s="645">
        <v>46059</v>
      </c>
      <c r="N787" s="645">
        <v>46055</v>
      </c>
      <c r="O787" s="643"/>
      <c r="P787" s="824" t="s">
        <v>113</v>
      </c>
      <c r="Q787" s="646"/>
      <c r="R787" s="646">
        <v>46003</v>
      </c>
      <c r="S787" s="646" t="s">
        <v>70</v>
      </c>
      <c r="T787" s="646" t="s">
        <v>3050</v>
      </c>
      <c r="U787" s="646"/>
      <c r="V787" s="642"/>
      <c r="W787" s="642"/>
      <c r="X787" s="642" t="s">
        <v>3051</v>
      </c>
      <c r="Y787" s="647" t="s">
        <v>1735</v>
      </c>
      <c r="Z787" s="657">
        <v>4.2676</v>
      </c>
      <c r="AA787" s="647">
        <f>Z787*I787</f>
        <v>2150.8704</v>
      </c>
      <c r="AB787" s="551"/>
      <c r="AC787" s="648"/>
      <c r="AD787" s="633" t="s">
        <v>130</v>
      </c>
      <c r="AE787" s="246" t="s">
        <v>82</v>
      </c>
      <c r="AF787" s="246"/>
      <c r="AG787" s="246"/>
      <c r="AH787" s="246" t="s">
        <v>126</v>
      </c>
      <c r="AI787" s="246">
        <v>504</v>
      </c>
      <c r="AJ787" s="246">
        <f t="shared" si="257"/>
        <v>0</v>
      </c>
      <c r="AK787" s="246"/>
      <c r="AL787" s="246" t="s">
        <v>2368</v>
      </c>
      <c r="AM787" s="551"/>
      <c r="AN787" s="551">
        <f>I787</f>
        <v>504</v>
      </c>
      <c r="AO787" s="1331"/>
      <c r="AP787" s="1331"/>
      <c r="AQ787" s="1331"/>
      <c r="AR787" s="551">
        <f>I787</f>
        <v>504</v>
      </c>
      <c r="AS787" s="551"/>
      <c r="AT787" s="551"/>
      <c r="AU787" s="551">
        <f>I787</f>
        <v>504</v>
      </c>
      <c r="AV787" s="551"/>
      <c r="AW787" s="551">
        <f t="shared" si="261"/>
        <v>504</v>
      </c>
      <c r="AX787" s="651"/>
      <c r="AY787" s="551"/>
      <c r="AZ787" s="551"/>
      <c r="BA787" s="551"/>
      <c r="BB787" s="551"/>
      <c r="BC787" s="551"/>
      <c r="BD787" s="551"/>
      <c r="BE787" s="551"/>
      <c r="BF787" s="551"/>
      <c r="BG787" s="551"/>
      <c r="BH787" s="551"/>
      <c r="BI787" s="551"/>
      <c r="BJ787" s="551"/>
      <c r="BK787" s="551"/>
      <c r="BL787" s="551"/>
      <c r="BM787" s="551"/>
      <c r="BN787" s="551"/>
      <c r="BO787" s="551"/>
      <c r="BP787" s="551"/>
      <c r="BQ787" s="551"/>
      <c r="BR787" s="551"/>
      <c r="BS787" s="551"/>
      <c r="BT787" s="551"/>
      <c r="BU787" s="551"/>
      <c r="BV787" s="551"/>
      <c r="BW787" s="551"/>
      <c r="BX787" s="551"/>
      <c r="BY787" s="551"/>
      <c r="BZ787" s="551"/>
      <c r="CA787" s="551"/>
      <c r="CB787" s="551"/>
      <c r="CC787" s="551"/>
      <c r="CD787" s="551"/>
      <c r="CE787" s="551"/>
      <c r="CF787" s="551"/>
      <c r="CG787" s="551"/>
      <c r="CH787" s="650"/>
      <c r="CI787" s="650"/>
      <c r="CJ787" s="650"/>
      <c r="CK787" s="650"/>
      <c r="CL787" s="650"/>
      <c r="CM787" s="551"/>
      <c r="CN787" s="551"/>
      <c r="CO787" s="551"/>
      <c r="CP787" s="650"/>
      <c r="CQ787" s="650"/>
      <c r="CR787" s="650"/>
      <c r="CS787" s="650"/>
      <c r="CT787" s="650"/>
      <c r="CU787" s="650"/>
    </row>
    <row r="788" s="1265" customFormat="1" ht="31" customHeight="1" spans="1:99">
      <c r="A788" s="641">
        <v>46013</v>
      </c>
      <c r="B788" s="642" t="s">
        <v>1906</v>
      </c>
      <c r="C788" s="246" t="s">
        <v>154</v>
      </c>
      <c r="D788" s="551">
        <v>4500189535</v>
      </c>
      <c r="E788" s="246">
        <v>5200008496</v>
      </c>
      <c r="F788" s="551" t="s">
        <v>3052</v>
      </c>
      <c r="G788" s="659" t="s">
        <v>156</v>
      </c>
      <c r="H788" s="246" t="s">
        <v>102</v>
      </c>
      <c r="I788" s="246">
        <v>4800</v>
      </c>
      <c r="J788" s="246">
        <v>0</v>
      </c>
      <c r="K788" s="246">
        <v>4</v>
      </c>
      <c r="L788" s="644">
        <f t="shared" si="256"/>
        <v>1200</v>
      </c>
      <c r="M788" s="645">
        <v>46059</v>
      </c>
      <c r="N788" s="645">
        <v>46055</v>
      </c>
      <c r="O788" s="643"/>
      <c r="P788" s="824" t="s">
        <v>113</v>
      </c>
      <c r="Q788" s="646"/>
      <c r="R788" s="646">
        <v>46017</v>
      </c>
      <c r="S788" s="646" t="s">
        <v>70</v>
      </c>
      <c r="T788" s="646" t="s">
        <v>3053</v>
      </c>
      <c r="U788" s="646"/>
      <c r="V788" s="642"/>
      <c r="W788" s="642"/>
      <c r="X788" s="642" t="s">
        <v>3054</v>
      </c>
      <c r="Y788" s="647" t="s">
        <v>1237</v>
      </c>
      <c r="Z788" s="657">
        <v>4.2946</v>
      </c>
      <c r="AA788" s="647">
        <f>Z788*I788</f>
        <v>20614.08</v>
      </c>
      <c r="AB788" s="551"/>
      <c r="AC788" s="648"/>
      <c r="AD788" s="633" t="s">
        <v>156</v>
      </c>
      <c r="AE788" s="246" t="s">
        <v>82</v>
      </c>
      <c r="AF788" s="246"/>
      <c r="AG788" s="246"/>
      <c r="AH788" s="246" t="s">
        <v>126</v>
      </c>
      <c r="AI788" s="246">
        <v>4800</v>
      </c>
      <c r="AJ788" s="246">
        <f t="shared" si="257"/>
        <v>0</v>
      </c>
      <c r="AK788" s="246"/>
      <c r="AL788" s="246" t="s">
        <v>2368</v>
      </c>
      <c r="AM788" s="551"/>
      <c r="AN788" s="551">
        <f>I788</f>
        <v>4800</v>
      </c>
      <c r="AO788" s="1331"/>
      <c r="AP788" s="1331"/>
      <c r="AQ788" s="1331"/>
      <c r="AR788" s="551"/>
      <c r="AS788" s="551">
        <f>I788</f>
        <v>4800</v>
      </c>
      <c r="AT788" s="551"/>
      <c r="AU788" s="551">
        <f>I788</f>
        <v>4800</v>
      </c>
      <c r="AV788" s="551"/>
      <c r="AW788" s="551">
        <f t="shared" si="261"/>
        <v>4800</v>
      </c>
      <c r="AX788" s="651"/>
      <c r="AY788" s="551"/>
      <c r="AZ788" s="551"/>
      <c r="BA788" s="551"/>
      <c r="BB788" s="551"/>
      <c r="BC788" s="551"/>
      <c r="BD788" s="551"/>
      <c r="BE788" s="551"/>
      <c r="BF788" s="551"/>
      <c r="BG788" s="551"/>
      <c r="BH788" s="551"/>
      <c r="BI788" s="825">
        <f>I788/4</f>
        <v>1200</v>
      </c>
      <c r="BJ788" s="551"/>
      <c r="BK788" s="551"/>
      <c r="BL788" s="551"/>
      <c r="BM788" s="551"/>
      <c r="BN788" s="551"/>
      <c r="BO788" s="551"/>
      <c r="BP788" s="551"/>
      <c r="BQ788" s="551"/>
      <c r="BR788" s="551"/>
      <c r="BS788" s="551"/>
      <c r="BT788" s="551"/>
      <c r="BU788" s="551"/>
      <c r="BV788" s="551"/>
      <c r="BW788" s="551"/>
      <c r="BX788" s="551"/>
      <c r="BY788" s="551"/>
      <c r="BZ788" s="551"/>
      <c r="CA788" s="551"/>
      <c r="CB788" s="551"/>
      <c r="CC788" s="551"/>
      <c r="CD788" s="551"/>
      <c r="CE788" s="551"/>
      <c r="CF788" s="551"/>
      <c r="CG788" s="551"/>
      <c r="CH788" s="650"/>
      <c r="CI788" s="650"/>
      <c r="CJ788" s="650"/>
      <c r="CK788" s="650"/>
      <c r="CL788" s="650"/>
      <c r="CM788" s="551"/>
      <c r="CN788" s="551"/>
      <c r="CO788" s="551"/>
      <c r="CP788" s="650"/>
      <c r="CQ788" s="650"/>
      <c r="CR788" s="650"/>
      <c r="CS788" s="650"/>
      <c r="CT788" s="650"/>
      <c r="CU788" s="650"/>
    </row>
    <row r="789" s="1265" customFormat="1" ht="31" customHeight="1" spans="1:99">
      <c r="A789" s="641">
        <v>45996</v>
      </c>
      <c r="B789" s="642" t="s">
        <v>312</v>
      </c>
      <c r="C789" s="246" t="s">
        <v>278</v>
      </c>
      <c r="D789" s="551">
        <v>4500188247</v>
      </c>
      <c r="E789" s="246" t="s">
        <v>3055</v>
      </c>
      <c r="F789" s="551" t="s">
        <v>3056</v>
      </c>
      <c r="G789" s="659" t="s">
        <v>111</v>
      </c>
      <c r="H789" s="246" t="s">
        <v>112</v>
      </c>
      <c r="I789" s="246">
        <v>3520</v>
      </c>
      <c r="J789" s="246">
        <v>0</v>
      </c>
      <c r="K789" s="246">
        <v>16</v>
      </c>
      <c r="L789" s="644">
        <f t="shared" si="256"/>
        <v>220</v>
      </c>
      <c r="M789" s="645">
        <v>46057</v>
      </c>
      <c r="N789" s="645">
        <v>46053</v>
      </c>
      <c r="O789" s="643"/>
      <c r="P789" s="824" t="s">
        <v>113</v>
      </c>
      <c r="Q789" s="646"/>
      <c r="R789" s="646">
        <v>45999</v>
      </c>
      <c r="S789" s="646" t="s">
        <v>70</v>
      </c>
      <c r="T789" s="646" t="s">
        <v>3057</v>
      </c>
      <c r="U789" s="646"/>
      <c r="V789" s="642"/>
      <c r="W789" s="642"/>
      <c r="X789" s="642" t="s">
        <v>3058</v>
      </c>
      <c r="Y789" s="647" t="s">
        <v>2199</v>
      </c>
      <c r="Z789" s="657">
        <v>4.2489</v>
      </c>
      <c r="AA789" s="647">
        <f>Z789*I789</f>
        <v>14956.128</v>
      </c>
      <c r="AB789" s="551"/>
      <c r="AC789" s="648"/>
      <c r="AD789" s="633" t="s">
        <v>111</v>
      </c>
      <c r="AE789" s="246" t="s">
        <v>82</v>
      </c>
      <c r="AF789" s="246"/>
      <c r="AG789" s="246"/>
      <c r="AH789" s="246" t="s">
        <v>126</v>
      </c>
      <c r="AI789" s="246">
        <v>3520</v>
      </c>
      <c r="AJ789" s="246">
        <f t="shared" si="257"/>
        <v>0</v>
      </c>
      <c r="AK789" s="246"/>
      <c r="AL789" s="246" t="s">
        <v>2368</v>
      </c>
      <c r="AM789" s="551"/>
      <c r="AN789" s="551">
        <f>I789</f>
        <v>3520</v>
      </c>
      <c r="AO789" s="1331"/>
      <c r="AP789" s="1331"/>
      <c r="AQ789" s="1331"/>
      <c r="AR789" s="551">
        <f>I789</f>
        <v>3520</v>
      </c>
      <c r="AS789" s="551"/>
      <c r="AT789" s="551"/>
      <c r="AU789" s="551">
        <f>I789</f>
        <v>3520</v>
      </c>
      <c r="AV789" s="551"/>
      <c r="AW789" s="551">
        <f t="shared" si="261"/>
        <v>3520</v>
      </c>
      <c r="AX789" s="651"/>
      <c r="AY789" s="551"/>
      <c r="AZ789" s="551"/>
      <c r="BA789" s="551"/>
      <c r="BB789" s="551"/>
      <c r="BC789" s="551"/>
      <c r="BD789" s="551"/>
      <c r="BE789" s="551"/>
      <c r="BF789" s="551"/>
      <c r="BG789" s="551"/>
      <c r="BH789" s="825">
        <f>I789/4</f>
        <v>880</v>
      </c>
      <c r="BI789" s="551"/>
      <c r="BJ789" s="551"/>
      <c r="BK789" s="551"/>
      <c r="BL789" s="551"/>
      <c r="BM789" s="551"/>
      <c r="BN789" s="551"/>
      <c r="BO789" s="551"/>
      <c r="BP789" s="551"/>
      <c r="BQ789" s="551"/>
      <c r="BR789" s="551"/>
      <c r="BS789" s="551"/>
      <c r="BT789" s="551"/>
      <c r="BU789" s="551"/>
      <c r="BV789" s="551"/>
      <c r="BW789" s="551"/>
      <c r="BX789" s="551"/>
      <c r="BY789" s="551"/>
      <c r="BZ789" s="551"/>
      <c r="CA789" s="551"/>
      <c r="CB789" s="551"/>
      <c r="CC789" s="551"/>
      <c r="CD789" s="551"/>
      <c r="CE789" s="551"/>
      <c r="CF789" s="551"/>
      <c r="CG789" s="551"/>
      <c r="CH789" s="650"/>
      <c r="CI789" s="650"/>
      <c r="CJ789" s="650"/>
      <c r="CK789" s="650"/>
      <c r="CL789" s="650"/>
      <c r="CM789" s="551"/>
      <c r="CN789" s="551"/>
      <c r="CO789" s="551"/>
      <c r="CP789" s="650"/>
      <c r="CQ789" s="650"/>
      <c r="CR789" s="650"/>
      <c r="CS789" s="650"/>
      <c r="CT789" s="650"/>
      <c r="CU789" s="650"/>
    </row>
    <row r="790" s="1265" customFormat="1" ht="31" customHeight="1" spans="1:99">
      <c r="A790" s="641">
        <v>45995</v>
      </c>
      <c r="B790" s="642" t="s">
        <v>2811</v>
      </c>
      <c r="C790" s="246" t="s">
        <v>98</v>
      </c>
      <c r="D790" s="551">
        <v>4500187941</v>
      </c>
      <c r="E790" s="246">
        <v>70079708</v>
      </c>
      <c r="F790" s="551" t="s">
        <v>3059</v>
      </c>
      <c r="G790" s="659" t="s">
        <v>2736</v>
      </c>
      <c r="H790" s="246" t="s">
        <v>2737</v>
      </c>
      <c r="I790" s="246">
        <v>1200</v>
      </c>
      <c r="J790" s="246">
        <v>0</v>
      </c>
      <c r="K790" s="246">
        <v>8</v>
      </c>
      <c r="L790" s="644">
        <f t="shared" si="256"/>
        <v>150</v>
      </c>
      <c r="M790" s="645">
        <v>46063</v>
      </c>
      <c r="N790" s="645">
        <v>46059</v>
      </c>
      <c r="O790" s="643"/>
      <c r="P790" s="824" t="s">
        <v>113</v>
      </c>
      <c r="Q790" s="646"/>
      <c r="R790" s="646">
        <v>45995</v>
      </c>
      <c r="S790" s="646" t="s">
        <v>70</v>
      </c>
      <c r="T790" s="646" t="s">
        <v>2738</v>
      </c>
      <c r="U790" s="646"/>
      <c r="V790" s="642"/>
      <c r="W790" s="642"/>
      <c r="X790" s="628" t="s">
        <v>3060</v>
      </c>
      <c r="Y790" s="647" t="s">
        <v>3061</v>
      </c>
      <c r="Z790" s="657">
        <v>4.0996</v>
      </c>
      <c r="AA790" s="647">
        <f>Z790*I790</f>
        <v>4919.52</v>
      </c>
      <c r="AB790" s="551"/>
      <c r="AC790" s="658" t="s">
        <v>3062</v>
      </c>
      <c r="AD790" s="633" t="s">
        <v>2741</v>
      </c>
      <c r="AE790" s="246" t="s">
        <v>82</v>
      </c>
      <c r="AF790" s="246"/>
      <c r="AG790" s="246"/>
      <c r="AH790" s="246" t="s">
        <v>126</v>
      </c>
      <c r="AI790" s="246"/>
      <c r="AJ790" s="246">
        <f t="shared" si="257"/>
        <v>-1200</v>
      </c>
      <c r="AK790" s="246"/>
      <c r="AL790" s="246" t="s">
        <v>2368</v>
      </c>
      <c r="AM790" s="551"/>
      <c r="AN790" s="551">
        <f t="shared" ref="AN790:AN804" si="262">I790</f>
        <v>1200</v>
      </c>
      <c r="AO790" s="1331"/>
      <c r="AP790" s="1331"/>
      <c r="AQ790" s="1331"/>
      <c r="AR790" s="551">
        <f>I790</f>
        <v>1200</v>
      </c>
      <c r="AS790" s="551"/>
      <c r="AT790" s="551"/>
      <c r="AU790" s="551">
        <f>I790</f>
        <v>1200</v>
      </c>
      <c r="AV790" s="551"/>
      <c r="AW790" s="551">
        <f t="shared" si="261"/>
        <v>1200</v>
      </c>
      <c r="AX790" s="651"/>
      <c r="AY790" s="551"/>
      <c r="AZ790" s="551"/>
      <c r="BA790" s="551"/>
      <c r="BB790" s="551"/>
      <c r="BC790" s="551"/>
      <c r="BD790" s="551"/>
      <c r="BE790" s="551"/>
      <c r="BF790" s="551"/>
      <c r="BG790" s="551"/>
      <c r="BH790" s="551"/>
      <c r="BI790" s="551"/>
      <c r="BJ790" s="551"/>
      <c r="BK790" s="551"/>
      <c r="BL790" s="551"/>
      <c r="BM790" s="551"/>
      <c r="BN790" s="551">
        <f>I790</f>
        <v>1200</v>
      </c>
      <c r="BO790" s="551"/>
      <c r="BP790" s="551"/>
      <c r="BQ790" s="551"/>
      <c r="BR790" s="551"/>
      <c r="BS790" s="551"/>
      <c r="BT790" s="551"/>
      <c r="BU790" s="551"/>
      <c r="BV790" s="551"/>
      <c r="BW790" s="551"/>
      <c r="BX790" s="551"/>
      <c r="BY790" s="551"/>
      <c r="BZ790" s="551"/>
      <c r="CA790" s="551"/>
      <c r="CB790" s="551"/>
      <c r="CC790" s="551"/>
      <c r="CD790" s="551"/>
      <c r="CE790" s="551"/>
      <c r="CF790" s="551"/>
      <c r="CG790" s="551"/>
      <c r="CH790" s="650"/>
      <c r="CI790" s="650"/>
      <c r="CJ790" s="650"/>
      <c r="CK790" s="650"/>
      <c r="CL790" s="650"/>
      <c r="CM790" s="551"/>
      <c r="CN790" s="551"/>
      <c r="CO790" s="551"/>
      <c r="CP790" s="650"/>
      <c r="CQ790" s="650"/>
      <c r="CR790" s="650"/>
      <c r="CS790" s="650"/>
      <c r="CT790" s="650"/>
      <c r="CU790" s="650"/>
    </row>
    <row r="791" s="1265" customFormat="1" ht="31" customHeight="1" spans="1:99">
      <c r="A791" s="641">
        <v>46016</v>
      </c>
      <c r="B791" s="642" t="s">
        <v>143</v>
      </c>
      <c r="C791" s="246" t="s">
        <v>98</v>
      </c>
      <c r="D791" s="551">
        <v>4500189961</v>
      </c>
      <c r="E791" s="1415" t="s">
        <v>3063</v>
      </c>
      <c r="F791" s="551" t="s">
        <v>3064</v>
      </c>
      <c r="G791" s="659" t="s">
        <v>101</v>
      </c>
      <c r="H791" s="246" t="s">
        <v>102</v>
      </c>
      <c r="I791" s="246">
        <v>3840</v>
      </c>
      <c r="J791" s="246">
        <v>0</v>
      </c>
      <c r="K791" s="246">
        <v>4</v>
      </c>
      <c r="L791" s="644">
        <f t="shared" ref="L791:L806" si="263">I791/K791</f>
        <v>960</v>
      </c>
      <c r="M791" s="645">
        <v>46076</v>
      </c>
      <c r="N791" s="645">
        <v>46072</v>
      </c>
      <c r="O791" s="643" t="s">
        <v>3065</v>
      </c>
      <c r="P791" s="824" t="s">
        <v>113</v>
      </c>
      <c r="Q791" s="646"/>
      <c r="R791" s="646" t="s">
        <v>3066</v>
      </c>
      <c r="S791" s="646" t="s">
        <v>70</v>
      </c>
      <c r="T791" s="646" t="s">
        <v>3067</v>
      </c>
      <c r="U791" s="646"/>
      <c r="V791" s="642"/>
      <c r="W791" s="642"/>
      <c r="X791" s="642" t="s">
        <v>1395</v>
      </c>
      <c r="Y791" s="647" t="s">
        <v>106</v>
      </c>
      <c r="Z791" s="657">
        <v>2.5768</v>
      </c>
      <c r="AA791" s="647">
        <f t="shared" ref="AA791:AA799" si="264">Z791*I791</f>
        <v>9894.912</v>
      </c>
      <c r="AB791" s="551"/>
      <c r="AC791" s="658" t="s">
        <v>3068</v>
      </c>
      <c r="AD791" s="633" t="s">
        <v>101</v>
      </c>
      <c r="AE791" s="246" t="s">
        <v>82</v>
      </c>
      <c r="AF791" s="246"/>
      <c r="AG791" s="246"/>
      <c r="AH791" s="246" t="s">
        <v>126</v>
      </c>
      <c r="AI791" s="246">
        <v>3840</v>
      </c>
      <c r="AJ791" s="246">
        <f t="shared" ref="AJ791:AJ813" si="265">AI791-I791</f>
        <v>0</v>
      </c>
      <c r="AK791" s="246"/>
      <c r="AL791" s="246" t="s">
        <v>2368</v>
      </c>
      <c r="AM791" s="551"/>
      <c r="AN791" s="551">
        <f t="shared" si="262"/>
        <v>3840</v>
      </c>
      <c r="AO791" s="1331"/>
      <c r="AP791" s="1331"/>
      <c r="AQ791" s="1331"/>
      <c r="AR791" s="551">
        <f>I791</f>
        <v>3840</v>
      </c>
      <c r="AS791" s="551"/>
      <c r="AT791" s="551"/>
      <c r="AU791" s="551">
        <f>I791</f>
        <v>3840</v>
      </c>
      <c r="AV791" s="551"/>
      <c r="AW791" s="551">
        <f t="shared" si="261"/>
        <v>3840</v>
      </c>
      <c r="AX791" s="651"/>
      <c r="AY791" s="551"/>
      <c r="AZ791" s="551"/>
      <c r="BA791" s="551"/>
      <c r="BB791" s="551"/>
      <c r="BC791" s="551"/>
      <c r="BD791" s="551"/>
      <c r="BE791" s="551"/>
      <c r="BF791" s="551"/>
      <c r="BG791" s="551"/>
      <c r="BH791" s="825">
        <f t="shared" ref="BH791:BH797" si="266">I791/4</f>
        <v>960</v>
      </c>
      <c r="BI791" s="551"/>
      <c r="BJ791" s="551"/>
      <c r="BK791" s="551"/>
      <c r="BL791" s="551"/>
      <c r="BM791" s="551"/>
      <c r="BN791" s="551"/>
      <c r="BO791" s="551"/>
      <c r="BP791" s="551"/>
      <c r="BQ791" s="551"/>
      <c r="BR791" s="551"/>
      <c r="BS791" s="551"/>
      <c r="BT791" s="551"/>
      <c r="BU791" s="551"/>
      <c r="BV791" s="551"/>
      <c r="BW791" s="551"/>
      <c r="BX791" s="551"/>
      <c r="BY791" s="551"/>
      <c r="BZ791" s="551"/>
      <c r="CA791" s="551"/>
      <c r="CB791" s="551"/>
      <c r="CC791" s="551"/>
      <c r="CD791" s="551"/>
      <c r="CE791" s="551"/>
      <c r="CF791" s="551"/>
      <c r="CG791" s="551"/>
      <c r="CH791" s="650"/>
      <c r="CI791" s="650"/>
      <c r="CJ791" s="650"/>
      <c r="CK791" s="650"/>
      <c r="CL791" s="650"/>
      <c r="CM791" s="551"/>
      <c r="CN791" s="551"/>
      <c r="CO791" s="551"/>
      <c r="CP791" s="650"/>
      <c r="CQ791" s="650"/>
      <c r="CR791" s="650"/>
      <c r="CS791" s="650"/>
      <c r="CT791" s="650"/>
      <c r="CU791" s="650"/>
    </row>
    <row r="792" s="1265" customFormat="1" ht="31" customHeight="1" spans="1:99">
      <c r="A792" s="641">
        <v>46016</v>
      </c>
      <c r="B792" s="642" t="s">
        <v>143</v>
      </c>
      <c r="C792" s="246" t="s">
        <v>98</v>
      </c>
      <c r="D792" s="551">
        <v>4500189961</v>
      </c>
      <c r="E792" s="1415" t="s">
        <v>3069</v>
      </c>
      <c r="F792" s="551" t="s">
        <v>3070</v>
      </c>
      <c r="G792" s="659" t="s">
        <v>101</v>
      </c>
      <c r="H792" s="246" t="s">
        <v>102</v>
      </c>
      <c r="I792" s="246">
        <v>4160</v>
      </c>
      <c r="J792" s="246">
        <v>0</v>
      </c>
      <c r="K792" s="246">
        <v>4</v>
      </c>
      <c r="L792" s="644">
        <f t="shared" si="263"/>
        <v>1040</v>
      </c>
      <c r="M792" s="645">
        <v>46076</v>
      </c>
      <c r="N792" s="645">
        <v>46072</v>
      </c>
      <c r="O792" s="643" t="s">
        <v>3065</v>
      </c>
      <c r="P792" s="824" t="s">
        <v>113</v>
      </c>
      <c r="Q792" s="646"/>
      <c r="R792" s="646" t="s">
        <v>3066</v>
      </c>
      <c r="S792" s="646" t="s">
        <v>70</v>
      </c>
      <c r="T792" s="646" t="s">
        <v>3067</v>
      </c>
      <c r="U792" s="646"/>
      <c r="V792" s="642"/>
      <c r="W792" s="642"/>
      <c r="X792" s="642" t="s">
        <v>1395</v>
      </c>
      <c r="Y792" s="647" t="s">
        <v>106</v>
      </c>
      <c r="Z792" s="657">
        <v>2.5768</v>
      </c>
      <c r="AA792" s="647">
        <f t="shared" si="264"/>
        <v>10719.488</v>
      </c>
      <c r="AB792" s="551"/>
      <c r="AC792" s="658" t="s">
        <v>3071</v>
      </c>
      <c r="AD792" s="633" t="s">
        <v>101</v>
      </c>
      <c r="AE792" s="246" t="s">
        <v>82</v>
      </c>
      <c r="AF792" s="246"/>
      <c r="AG792" s="246"/>
      <c r="AH792" s="246" t="s">
        <v>126</v>
      </c>
      <c r="AI792" s="246">
        <v>4160</v>
      </c>
      <c r="AJ792" s="246">
        <f t="shared" si="265"/>
        <v>0</v>
      </c>
      <c r="AK792" s="246"/>
      <c r="AL792" s="246" t="s">
        <v>2368</v>
      </c>
      <c r="AM792" s="551"/>
      <c r="AN792" s="551">
        <f t="shared" si="262"/>
        <v>4160</v>
      </c>
      <c r="AO792" s="1331"/>
      <c r="AP792" s="1331"/>
      <c r="AQ792" s="1331"/>
      <c r="AR792" s="551">
        <f t="shared" ref="AR792:AR799" si="267">I792</f>
        <v>4160</v>
      </c>
      <c r="AS792" s="551"/>
      <c r="AT792" s="551"/>
      <c r="AU792" s="551">
        <f t="shared" ref="AU792:AU801" si="268">I792</f>
        <v>4160</v>
      </c>
      <c r="AV792" s="551"/>
      <c r="AW792" s="551">
        <f t="shared" ref="AW791:AW801" si="269">I792</f>
        <v>4160</v>
      </c>
      <c r="AX792" s="651"/>
      <c r="AY792" s="551"/>
      <c r="AZ792" s="551"/>
      <c r="BA792" s="551"/>
      <c r="BB792" s="551"/>
      <c r="BC792" s="551"/>
      <c r="BD792" s="551"/>
      <c r="BE792" s="551"/>
      <c r="BF792" s="551"/>
      <c r="BG792" s="551"/>
      <c r="BH792" s="825">
        <f t="shared" si="266"/>
        <v>1040</v>
      </c>
      <c r="BI792" s="551"/>
      <c r="BJ792" s="551"/>
      <c r="BK792" s="551"/>
      <c r="BL792" s="551"/>
      <c r="BM792" s="551"/>
      <c r="BN792" s="551"/>
      <c r="BO792" s="551"/>
      <c r="BP792" s="551"/>
      <c r="BQ792" s="551"/>
      <c r="BR792" s="551"/>
      <c r="BS792" s="551"/>
      <c r="BT792" s="551"/>
      <c r="BU792" s="551"/>
      <c r="BV792" s="551"/>
      <c r="BW792" s="551"/>
      <c r="BX792" s="551"/>
      <c r="BY792" s="551"/>
      <c r="BZ792" s="551"/>
      <c r="CA792" s="551"/>
      <c r="CB792" s="551"/>
      <c r="CC792" s="551"/>
      <c r="CD792" s="551"/>
      <c r="CE792" s="551"/>
      <c r="CF792" s="551"/>
      <c r="CG792" s="551"/>
      <c r="CH792" s="650"/>
      <c r="CI792" s="650"/>
      <c r="CJ792" s="650"/>
      <c r="CK792" s="650"/>
      <c r="CL792" s="650"/>
      <c r="CM792" s="551"/>
      <c r="CN792" s="551"/>
      <c r="CO792" s="551"/>
      <c r="CP792" s="650"/>
      <c r="CQ792" s="650"/>
      <c r="CR792" s="650"/>
      <c r="CS792" s="650"/>
      <c r="CT792" s="650"/>
      <c r="CU792" s="650"/>
    </row>
    <row r="793" s="1265" customFormat="1" ht="31" customHeight="1" spans="1:99">
      <c r="A793" s="641">
        <v>46016</v>
      </c>
      <c r="B793" s="642" t="s">
        <v>143</v>
      </c>
      <c r="C793" s="246" t="s">
        <v>98</v>
      </c>
      <c r="D793" s="551">
        <v>4500189961</v>
      </c>
      <c r="E793" s="1415" t="s">
        <v>3072</v>
      </c>
      <c r="F793" s="551" t="s">
        <v>3073</v>
      </c>
      <c r="G793" s="659" t="s">
        <v>101</v>
      </c>
      <c r="H793" s="246" t="s">
        <v>102</v>
      </c>
      <c r="I793" s="246">
        <v>6400</v>
      </c>
      <c r="J793" s="246">
        <v>0</v>
      </c>
      <c r="K793" s="246">
        <v>4</v>
      </c>
      <c r="L793" s="644">
        <f t="shared" si="263"/>
        <v>1600</v>
      </c>
      <c r="M793" s="645">
        <v>46076</v>
      </c>
      <c r="N793" s="645">
        <v>46072</v>
      </c>
      <c r="O793" s="643" t="s">
        <v>3065</v>
      </c>
      <c r="P793" s="824" t="s">
        <v>113</v>
      </c>
      <c r="Q793" s="646"/>
      <c r="R793" s="646" t="s">
        <v>3066</v>
      </c>
      <c r="S793" s="646" t="s">
        <v>70</v>
      </c>
      <c r="T793" s="646" t="s">
        <v>3067</v>
      </c>
      <c r="U793" s="646"/>
      <c r="V793" s="642"/>
      <c r="W793" s="642"/>
      <c r="X793" s="642" t="s">
        <v>1395</v>
      </c>
      <c r="Y793" s="647" t="s">
        <v>106</v>
      </c>
      <c r="Z793" s="657">
        <v>2.5656</v>
      </c>
      <c r="AA793" s="647">
        <f t="shared" si="264"/>
        <v>16419.84</v>
      </c>
      <c r="AB793" s="551"/>
      <c r="AC793" s="658" t="s">
        <v>3074</v>
      </c>
      <c r="AD793" s="633" t="s">
        <v>101</v>
      </c>
      <c r="AE793" s="246" t="s">
        <v>82</v>
      </c>
      <c r="AF793" s="246"/>
      <c r="AG793" s="246"/>
      <c r="AH793" s="246" t="s">
        <v>126</v>
      </c>
      <c r="AI793" s="246">
        <v>6400</v>
      </c>
      <c r="AJ793" s="246">
        <f t="shared" si="265"/>
        <v>0</v>
      </c>
      <c r="AK793" s="246"/>
      <c r="AL793" s="246" t="s">
        <v>2368</v>
      </c>
      <c r="AM793" s="551"/>
      <c r="AN793" s="551">
        <f t="shared" si="262"/>
        <v>6400</v>
      </c>
      <c r="AO793" s="1331"/>
      <c r="AP793" s="1331"/>
      <c r="AQ793" s="1331"/>
      <c r="AR793" s="551">
        <f t="shared" si="267"/>
        <v>6400</v>
      </c>
      <c r="AS793" s="551"/>
      <c r="AT793" s="551"/>
      <c r="AU793" s="551">
        <f t="shared" si="268"/>
        <v>6400</v>
      </c>
      <c r="AV793" s="551"/>
      <c r="AW793" s="551">
        <f t="shared" si="269"/>
        <v>6400</v>
      </c>
      <c r="AX793" s="651"/>
      <c r="AY793" s="551"/>
      <c r="AZ793" s="551"/>
      <c r="BA793" s="551"/>
      <c r="BB793" s="551"/>
      <c r="BC793" s="551"/>
      <c r="BD793" s="551"/>
      <c r="BE793" s="551"/>
      <c r="BF793" s="551"/>
      <c r="BG793" s="551"/>
      <c r="BH793" s="825">
        <f t="shared" si="266"/>
        <v>1600</v>
      </c>
      <c r="BI793" s="551"/>
      <c r="BJ793" s="551"/>
      <c r="BK793" s="551"/>
      <c r="BL793" s="551"/>
      <c r="BM793" s="551"/>
      <c r="BN793" s="551"/>
      <c r="BO793" s="551"/>
      <c r="BP793" s="551"/>
      <c r="BQ793" s="551"/>
      <c r="BR793" s="551"/>
      <c r="BS793" s="551"/>
      <c r="BT793" s="551"/>
      <c r="BU793" s="551"/>
      <c r="BV793" s="551"/>
      <c r="BW793" s="551"/>
      <c r="BX793" s="551"/>
      <c r="BY793" s="551"/>
      <c r="BZ793" s="551"/>
      <c r="CA793" s="551"/>
      <c r="CB793" s="551"/>
      <c r="CC793" s="551"/>
      <c r="CD793" s="551"/>
      <c r="CE793" s="551"/>
      <c r="CF793" s="551"/>
      <c r="CG793" s="551"/>
      <c r="CH793" s="650"/>
      <c r="CI793" s="650"/>
      <c r="CJ793" s="650"/>
      <c r="CK793" s="650"/>
      <c r="CL793" s="650"/>
      <c r="CM793" s="551"/>
      <c r="CN793" s="551"/>
      <c r="CO793" s="551"/>
      <c r="CP793" s="650"/>
      <c r="CQ793" s="650"/>
      <c r="CR793" s="650"/>
      <c r="CS793" s="650"/>
      <c r="CT793" s="650"/>
      <c r="CU793" s="650"/>
    </row>
    <row r="794" s="1265" customFormat="1" ht="31" customHeight="1" spans="1:99">
      <c r="A794" s="641">
        <v>46016</v>
      </c>
      <c r="B794" s="642" t="s">
        <v>143</v>
      </c>
      <c r="C794" s="246" t="s">
        <v>98</v>
      </c>
      <c r="D794" s="551">
        <v>4500189961</v>
      </c>
      <c r="E794" s="1415" t="s">
        <v>3075</v>
      </c>
      <c r="F794" s="551" t="s">
        <v>3076</v>
      </c>
      <c r="G794" s="659" t="s">
        <v>101</v>
      </c>
      <c r="H794" s="246" t="s">
        <v>102</v>
      </c>
      <c r="I794" s="246">
        <v>5120</v>
      </c>
      <c r="J794" s="246">
        <v>0</v>
      </c>
      <c r="K794" s="246">
        <v>4</v>
      </c>
      <c r="L794" s="644">
        <f t="shared" si="263"/>
        <v>1280</v>
      </c>
      <c r="M794" s="645">
        <v>46076</v>
      </c>
      <c r="N794" s="645">
        <v>46072</v>
      </c>
      <c r="O794" s="643" t="s">
        <v>3065</v>
      </c>
      <c r="P794" s="824" t="s">
        <v>113</v>
      </c>
      <c r="Q794" s="646"/>
      <c r="R794" s="646" t="s">
        <v>3066</v>
      </c>
      <c r="S794" s="646" t="s">
        <v>70</v>
      </c>
      <c r="T794" s="646" t="s">
        <v>3067</v>
      </c>
      <c r="U794" s="646"/>
      <c r="V794" s="642"/>
      <c r="W794" s="642"/>
      <c r="X794" s="642" t="s">
        <v>1395</v>
      </c>
      <c r="Y794" s="647" t="s">
        <v>106</v>
      </c>
      <c r="Z794" s="657">
        <v>2.5656</v>
      </c>
      <c r="AA794" s="647">
        <f t="shared" si="264"/>
        <v>13135.872</v>
      </c>
      <c r="AB794" s="551"/>
      <c r="AC794" s="658" t="s">
        <v>3077</v>
      </c>
      <c r="AD794" s="633" t="s">
        <v>101</v>
      </c>
      <c r="AE794" s="246" t="s">
        <v>82</v>
      </c>
      <c r="AF794" s="246"/>
      <c r="AG794" s="246"/>
      <c r="AH794" s="246" t="s">
        <v>126</v>
      </c>
      <c r="AI794" s="246">
        <v>5120</v>
      </c>
      <c r="AJ794" s="246">
        <f t="shared" si="265"/>
        <v>0</v>
      </c>
      <c r="AK794" s="246"/>
      <c r="AL794" s="246" t="s">
        <v>2368</v>
      </c>
      <c r="AM794" s="551"/>
      <c r="AN794" s="551">
        <f t="shared" si="262"/>
        <v>5120</v>
      </c>
      <c r="AO794" s="1331"/>
      <c r="AP794" s="1331"/>
      <c r="AQ794" s="1331"/>
      <c r="AR794" s="551">
        <f t="shared" si="267"/>
        <v>5120</v>
      </c>
      <c r="AS794" s="551"/>
      <c r="AT794" s="551"/>
      <c r="AU794" s="551">
        <f t="shared" si="268"/>
        <v>5120</v>
      </c>
      <c r="AV794" s="551"/>
      <c r="AW794" s="551">
        <f t="shared" si="269"/>
        <v>5120</v>
      </c>
      <c r="AX794" s="651"/>
      <c r="AY794" s="551"/>
      <c r="AZ794" s="551"/>
      <c r="BA794" s="551"/>
      <c r="BB794" s="551"/>
      <c r="BC794" s="551"/>
      <c r="BD794" s="551"/>
      <c r="BE794" s="551"/>
      <c r="BF794" s="551"/>
      <c r="BG794" s="551"/>
      <c r="BH794" s="825">
        <f t="shared" si="266"/>
        <v>1280</v>
      </c>
      <c r="BI794" s="551"/>
      <c r="BJ794" s="551"/>
      <c r="BK794" s="551"/>
      <c r="BL794" s="551"/>
      <c r="BM794" s="551"/>
      <c r="BN794" s="551"/>
      <c r="BO794" s="551"/>
      <c r="BP794" s="551"/>
      <c r="BQ794" s="551"/>
      <c r="BR794" s="551"/>
      <c r="BS794" s="551"/>
      <c r="BT794" s="551"/>
      <c r="BU794" s="551"/>
      <c r="BV794" s="551"/>
      <c r="BW794" s="551"/>
      <c r="BX794" s="551"/>
      <c r="BY794" s="551"/>
      <c r="BZ794" s="551"/>
      <c r="CA794" s="551"/>
      <c r="CB794" s="551"/>
      <c r="CC794" s="551"/>
      <c r="CD794" s="551"/>
      <c r="CE794" s="551"/>
      <c r="CF794" s="551"/>
      <c r="CG794" s="551"/>
      <c r="CH794" s="650"/>
      <c r="CI794" s="650"/>
      <c r="CJ794" s="650"/>
      <c r="CK794" s="650"/>
      <c r="CL794" s="650"/>
      <c r="CM794" s="551"/>
      <c r="CN794" s="551"/>
      <c r="CO794" s="551"/>
      <c r="CP794" s="650"/>
      <c r="CQ794" s="650"/>
      <c r="CR794" s="650"/>
      <c r="CS794" s="650"/>
      <c r="CT794" s="650"/>
      <c r="CU794" s="650"/>
    </row>
    <row r="795" s="1265" customFormat="1" ht="31" customHeight="1" spans="1:99">
      <c r="A795" s="641">
        <v>46016</v>
      </c>
      <c r="B795" s="642" t="s">
        <v>143</v>
      </c>
      <c r="C795" s="246" t="s">
        <v>98</v>
      </c>
      <c r="D795" s="551">
        <v>4500189961</v>
      </c>
      <c r="E795" s="1415" t="s">
        <v>3078</v>
      </c>
      <c r="F795" s="551" t="s">
        <v>3079</v>
      </c>
      <c r="G795" s="659" t="s">
        <v>101</v>
      </c>
      <c r="H795" s="246" t="s">
        <v>102</v>
      </c>
      <c r="I795" s="246">
        <v>6080</v>
      </c>
      <c r="J795" s="246">
        <v>0</v>
      </c>
      <c r="K795" s="246">
        <v>4</v>
      </c>
      <c r="L795" s="644">
        <f t="shared" si="263"/>
        <v>1520</v>
      </c>
      <c r="M795" s="645">
        <v>46076</v>
      </c>
      <c r="N795" s="645">
        <v>46072</v>
      </c>
      <c r="O795" s="643" t="s">
        <v>3065</v>
      </c>
      <c r="P795" s="824" t="s">
        <v>113</v>
      </c>
      <c r="Q795" s="646"/>
      <c r="R795" s="646" t="s">
        <v>3066</v>
      </c>
      <c r="S795" s="646" t="s">
        <v>70</v>
      </c>
      <c r="T795" s="646" t="s">
        <v>3067</v>
      </c>
      <c r="U795" s="646"/>
      <c r="V795" s="642"/>
      <c r="W795" s="642"/>
      <c r="X795" s="642" t="s">
        <v>1395</v>
      </c>
      <c r="Y795" s="647" t="s">
        <v>106</v>
      </c>
      <c r="Z795" s="657">
        <v>2.5656</v>
      </c>
      <c r="AA795" s="647">
        <f t="shared" si="264"/>
        <v>15598.848</v>
      </c>
      <c r="AB795" s="551"/>
      <c r="AC795" s="658" t="s">
        <v>3080</v>
      </c>
      <c r="AD795" s="633" t="s">
        <v>101</v>
      </c>
      <c r="AE795" s="246" t="s">
        <v>82</v>
      </c>
      <c r="AF795" s="246"/>
      <c r="AG795" s="246"/>
      <c r="AH795" s="246" t="s">
        <v>126</v>
      </c>
      <c r="AI795" s="246">
        <v>6080</v>
      </c>
      <c r="AJ795" s="246">
        <f t="shared" si="265"/>
        <v>0</v>
      </c>
      <c r="AK795" s="246"/>
      <c r="AL795" s="246" t="s">
        <v>2368</v>
      </c>
      <c r="AM795" s="551"/>
      <c r="AN795" s="551">
        <f t="shared" si="262"/>
        <v>6080</v>
      </c>
      <c r="AO795" s="1331"/>
      <c r="AP795" s="1331"/>
      <c r="AQ795" s="1331"/>
      <c r="AR795" s="551">
        <f t="shared" si="267"/>
        <v>6080</v>
      </c>
      <c r="AS795" s="551"/>
      <c r="AT795" s="551"/>
      <c r="AU795" s="551">
        <f t="shared" si="268"/>
        <v>6080</v>
      </c>
      <c r="AV795" s="551"/>
      <c r="AW795" s="551">
        <f t="shared" si="269"/>
        <v>6080</v>
      </c>
      <c r="AX795" s="651"/>
      <c r="AY795" s="551"/>
      <c r="AZ795" s="551"/>
      <c r="BA795" s="551"/>
      <c r="BB795" s="551"/>
      <c r="BC795" s="551"/>
      <c r="BD795" s="551"/>
      <c r="BE795" s="551"/>
      <c r="BF795" s="551"/>
      <c r="BG795" s="551"/>
      <c r="BH795" s="825">
        <f t="shared" si="266"/>
        <v>1520</v>
      </c>
      <c r="BI795" s="551"/>
      <c r="BJ795" s="551"/>
      <c r="BK795" s="551"/>
      <c r="BL795" s="551"/>
      <c r="BM795" s="551"/>
      <c r="BN795" s="551"/>
      <c r="BO795" s="551"/>
      <c r="BP795" s="551"/>
      <c r="BQ795" s="551"/>
      <c r="BR795" s="551"/>
      <c r="BS795" s="551"/>
      <c r="BT795" s="551"/>
      <c r="BU795" s="551"/>
      <c r="BV795" s="551"/>
      <c r="BW795" s="551"/>
      <c r="BX795" s="551"/>
      <c r="BY795" s="551"/>
      <c r="BZ795" s="551"/>
      <c r="CA795" s="551"/>
      <c r="CB795" s="551"/>
      <c r="CC795" s="551"/>
      <c r="CD795" s="551"/>
      <c r="CE795" s="551"/>
      <c r="CF795" s="551"/>
      <c r="CG795" s="551"/>
      <c r="CH795" s="650"/>
      <c r="CI795" s="650"/>
      <c r="CJ795" s="650"/>
      <c r="CK795" s="650"/>
      <c r="CL795" s="650"/>
      <c r="CM795" s="551"/>
      <c r="CN795" s="551"/>
      <c r="CO795" s="551"/>
      <c r="CP795" s="650"/>
      <c r="CQ795" s="650"/>
      <c r="CR795" s="650"/>
      <c r="CS795" s="650"/>
      <c r="CT795" s="650"/>
      <c r="CU795" s="650"/>
    </row>
    <row r="796" s="1265" customFormat="1" ht="31" customHeight="1" spans="1:99">
      <c r="A796" s="641">
        <v>46016</v>
      </c>
      <c r="B796" s="642" t="s">
        <v>143</v>
      </c>
      <c r="C796" s="246" t="s">
        <v>98</v>
      </c>
      <c r="D796" s="551">
        <v>4500189961</v>
      </c>
      <c r="E796" s="1415" t="s">
        <v>3081</v>
      </c>
      <c r="F796" s="551" t="s">
        <v>3082</v>
      </c>
      <c r="G796" s="659" t="s">
        <v>101</v>
      </c>
      <c r="H796" s="246" t="s">
        <v>102</v>
      </c>
      <c r="I796" s="246">
        <v>5440</v>
      </c>
      <c r="J796" s="246">
        <v>0</v>
      </c>
      <c r="K796" s="246">
        <v>4</v>
      </c>
      <c r="L796" s="644">
        <f t="shared" si="263"/>
        <v>1360</v>
      </c>
      <c r="M796" s="645">
        <v>46076</v>
      </c>
      <c r="N796" s="645">
        <v>46072</v>
      </c>
      <c r="O796" s="643" t="s">
        <v>3083</v>
      </c>
      <c r="P796" s="824" t="s">
        <v>113</v>
      </c>
      <c r="Q796" s="646"/>
      <c r="R796" s="646" t="s">
        <v>3066</v>
      </c>
      <c r="S796" s="646" t="s">
        <v>70</v>
      </c>
      <c r="T796" s="646" t="s">
        <v>3067</v>
      </c>
      <c r="U796" s="646"/>
      <c r="V796" s="642"/>
      <c r="W796" s="642"/>
      <c r="X796" s="642" t="s">
        <v>1395</v>
      </c>
      <c r="Y796" s="647" t="s">
        <v>106</v>
      </c>
      <c r="Z796" s="657">
        <v>2.5656</v>
      </c>
      <c r="AA796" s="647">
        <f t="shared" si="264"/>
        <v>13956.864</v>
      </c>
      <c r="AB796" s="551"/>
      <c r="AC796" s="658" t="s">
        <v>3084</v>
      </c>
      <c r="AD796" s="633" t="s">
        <v>101</v>
      </c>
      <c r="AE796" s="246" t="s">
        <v>82</v>
      </c>
      <c r="AF796" s="246"/>
      <c r="AG796" s="246"/>
      <c r="AH796" s="246" t="s">
        <v>126</v>
      </c>
      <c r="AI796" s="246">
        <f>2880+2560</f>
        <v>5440</v>
      </c>
      <c r="AJ796" s="246">
        <f t="shared" si="265"/>
        <v>0</v>
      </c>
      <c r="AK796" s="246"/>
      <c r="AL796" s="246" t="s">
        <v>2368</v>
      </c>
      <c r="AM796" s="551"/>
      <c r="AN796" s="551">
        <f t="shared" si="262"/>
        <v>5440</v>
      </c>
      <c r="AO796" s="1331"/>
      <c r="AP796" s="1331"/>
      <c r="AQ796" s="1331"/>
      <c r="AR796" s="551">
        <f t="shared" si="267"/>
        <v>5440</v>
      </c>
      <c r="AS796" s="551"/>
      <c r="AT796" s="551"/>
      <c r="AU796" s="551">
        <f t="shared" si="268"/>
        <v>5440</v>
      </c>
      <c r="AV796" s="551"/>
      <c r="AW796" s="551">
        <f t="shared" si="269"/>
        <v>5440</v>
      </c>
      <c r="AX796" s="651"/>
      <c r="AY796" s="551"/>
      <c r="AZ796" s="551"/>
      <c r="BA796" s="551"/>
      <c r="BB796" s="551"/>
      <c r="BC796" s="551"/>
      <c r="BD796" s="551"/>
      <c r="BE796" s="551"/>
      <c r="BF796" s="551"/>
      <c r="BG796" s="551"/>
      <c r="BH796" s="825">
        <f t="shared" si="266"/>
        <v>1360</v>
      </c>
      <c r="BI796" s="551"/>
      <c r="BJ796" s="551"/>
      <c r="BK796" s="551"/>
      <c r="BL796" s="551"/>
      <c r="BM796" s="551"/>
      <c r="BN796" s="551"/>
      <c r="BO796" s="551"/>
      <c r="BP796" s="551"/>
      <c r="BQ796" s="551"/>
      <c r="BR796" s="551"/>
      <c r="BS796" s="551"/>
      <c r="BT796" s="551"/>
      <c r="BU796" s="551"/>
      <c r="BV796" s="551"/>
      <c r="BW796" s="551"/>
      <c r="BX796" s="551"/>
      <c r="BY796" s="551"/>
      <c r="BZ796" s="551"/>
      <c r="CA796" s="551"/>
      <c r="CB796" s="551"/>
      <c r="CC796" s="551"/>
      <c r="CD796" s="551"/>
      <c r="CE796" s="551"/>
      <c r="CF796" s="551"/>
      <c r="CG796" s="551"/>
      <c r="CH796" s="650"/>
      <c r="CI796" s="650"/>
      <c r="CJ796" s="650"/>
      <c r="CK796" s="650"/>
      <c r="CL796" s="650"/>
      <c r="CM796" s="551"/>
      <c r="CN796" s="551"/>
      <c r="CO796" s="551"/>
      <c r="CP796" s="650"/>
      <c r="CQ796" s="650"/>
      <c r="CR796" s="650"/>
      <c r="CS796" s="650"/>
      <c r="CT796" s="650"/>
      <c r="CU796" s="650"/>
    </row>
    <row r="797" s="1265" customFormat="1" ht="31" customHeight="1" spans="1:99">
      <c r="A797" s="641">
        <v>46016</v>
      </c>
      <c r="B797" s="642" t="s">
        <v>143</v>
      </c>
      <c r="C797" s="246" t="s">
        <v>98</v>
      </c>
      <c r="D797" s="551">
        <v>4500189961</v>
      </c>
      <c r="E797" s="1415" t="s">
        <v>3085</v>
      </c>
      <c r="F797" s="551" t="s">
        <v>3086</v>
      </c>
      <c r="G797" s="659" t="s">
        <v>101</v>
      </c>
      <c r="H797" s="246" t="s">
        <v>102</v>
      </c>
      <c r="I797" s="246">
        <v>3840</v>
      </c>
      <c r="J797" s="246">
        <v>0</v>
      </c>
      <c r="K797" s="246">
        <v>4</v>
      </c>
      <c r="L797" s="644">
        <f t="shared" si="263"/>
        <v>960</v>
      </c>
      <c r="M797" s="645">
        <v>46076</v>
      </c>
      <c r="N797" s="645">
        <v>46072</v>
      </c>
      <c r="O797" s="643" t="s">
        <v>3065</v>
      </c>
      <c r="P797" s="824" t="s">
        <v>113</v>
      </c>
      <c r="Q797" s="646"/>
      <c r="R797" s="646" t="s">
        <v>3066</v>
      </c>
      <c r="S797" s="646" t="s">
        <v>70</v>
      </c>
      <c r="T797" s="646" t="s">
        <v>3067</v>
      </c>
      <c r="U797" s="646"/>
      <c r="V797" s="642"/>
      <c r="W797" s="642"/>
      <c r="X797" s="642" t="s">
        <v>1395</v>
      </c>
      <c r="Y797" s="647" t="s">
        <v>106</v>
      </c>
      <c r="Z797" s="657">
        <v>2.5768</v>
      </c>
      <c r="AA797" s="647">
        <f t="shared" si="264"/>
        <v>9894.912</v>
      </c>
      <c r="AB797" s="551"/>
      <c r="AC797" s="658" t="s">
        <v>3087</v>
      </c>
      <c r="AD797" s="633" t="s">
        <v>101</v>
      </c>
      <c r="AE797" s="246" t="s">
        <v>82</v>
      </c>
      <c r="AF797" s="246"/>
      <c r="AG797" s="246"/>
      <c r="AH797" s="246" t="s">
        <v>126</v>
      </c>
      <c r="AI797" s="246">
        <v>3840</v>
      </c>
      <c r="AJ797" s="246">
        <f t="shared" si="265"/>
        <v>0</v>
      </c>
      <c r="AK797" s="246"/>
      <c r="AL797" s="246" t="s">
        <v>2368</v>
      </c>
      <c r="AM797" s="551"/>
      <c r="AN797" s="551">
        <f t="shared" si="262"/>
        <v>3840</v>
      </c>
      <c r="AO797" s="1331"/>
      <c r="AP797" s="1331"/>
      <c r="AQ797" s="1331"/>
      <c r="AR797" s="551">
        <f t="shared" si="267"/>
        <v>3840</v>
      </c>
      <c r="AS797" s="551"/>
      <c r="AT797" s="551"/>
      <c r="AU797" s="551">
        <f t="shared" si="268"/>
        <v>3840</v>
      </c>
      <c r="AV797" s="551"/>
      <c r="AW797" s="551">
        <f t="shared" si="269"/>
        <v>3840</v>
      </c>
      <c r="AX797" s="651"/>
      <c r="AY797" s="551"/>
      <c r="AZ797" s="551"/>
      <c r="BA797" s="551"/>
      <c r="BB797" s="551"/>
      <c r="BC797" s="551"/>
      <c r="BD797" s="551"/>
      <c r="BE797" s="551"/>
      <c r="BF797" s="551"/>
      <c r="BG797" s="551"/>
      <c r="BH797" s="825">
        <f t="shared" si="266"/>
        <v>960</v>
      </c>
      <c r="BI797" s="551"/>
      <c r="BJ797" s="551"/>
      <c r="BK797" s="551"/>
      <c r="BL797" s="551"/>
      <c r="BM797" s="551"/>
      <c r="BN797" s="551"/>
      <c r="BO797" s="551"/>
      <c r="BP797" s="551"/>
      <c r="BQ797" s="551"/>
      <c r="BR797" s="551"/>
      <c r="BS797" s="551"/>
      <c r="BT797" s="551"/>
      <c r="BU797" s="551"/>
      <c r="BV797" s="551"/>
      <c r="BW797" s="551"/>
      <c r="BX797" s="551"/>
      <c r="BY797" s="551"/>
      <c r="BZ797" s="551"/>
      <c r="CA797" s="551"/>
      <c r="CB797" s="551"/>
      <c r="CC797" s="551"/>
      <c r="CD797" s="551"/>
      <c r="CE797" s="551"/>
      <c r="CF797" s="551"/>
      <c r="CG797" s="551"/>
      <c r="CH797" s="650"/>
      <c r="CI797" s="650"/>
      <c r="CJ797" s="650"/>
      <c r="CK797" s="650"/>
      <c r="CL797" s="650"/>
      <c r="CM797" s="551"/>
      <c r="CN797" s="551"/>
      <c r="CO797" s="551"/>
      <c r="CP797" s="650"/>
      <c r="CQ797" s="650"/>
      <c r="CR797" s="650"/>
      <c r="CS797" s="650"/>
      <c r="CT797" s="650"/>
      <c r="CU797" s="650"/>
    </row>
    <row r="798" s="1265" customFormat="1" ht="31" customHeight="1" spans="1:99">
      <c r="A798" s="641">
        <v>45994</v>
      </c>
      <c r="B798" s="642" t="s">
        <v>404</v>
      </c>
      <c r="C798" s="246" t="s">
        <v>278</v>
      </c>
      <c r="D798" s="551">
        <v>4500187827</v>
      </c>
      <c r="E798" s="246">
        <v>196109</v>
      </c>
      <c r="F798" s="551" t="s">
        <v>3088</v>
      </c>
      <c r="G798" s="659" t="s">
        <v>68</v>
      </c>
      <c r="H798" s="633" t="s">
        <v>69</v>
      </c>
      <c r="I798" s="246">
        <v>708</v>
      </c>
      <c r="J798" s="246">
        <v>0</v>
      </c>
      <c r="K798" s="246">
        <v>12</v>
      </c>
      <c r="L798" s="644">
        <f t="shared" si="263"/>
        <v>59</v>
      </c>
      <c r="M798" s="645">
        <v>46078</v>
      </c>
      <c r="N798" s="645">
        <v>46074</v>
      </c>
      <c r="O798" s="643"/>
      <c r="P798" s="824" t="s">
        <v>113</v>
      </c>
      <c r="Q798" s="646"/>
      <c r="R798" s="646">
        <v>45994</v>
      </c>
      <c r="S798" s="646" t="s">
        <v>70</v>
      </c>
      <c r="T798" s="646" t="s">
        <v>3089</v>
      </c>
      <c r="U798" s="646"/>
      <c r="V798" s="642"/>
      <c r="W798" s="642"/>
      <c r="X798" s="642" t="s">
        <v>3090</v>
      </c>
      <c r="Y798" s="647" t="s">
        <v>505</v>
      </c>
      <c r="Z798" s="657">
        <v>4.1623</v>
      </c>
      <c r="AA798" s="647">
        <f t="shared" si="264"/>
        <v>2946.9084</v>
      </c>
      <c r="AB798" s="551"/>
      <c r="AC798" s="648"/>
      <c r="AD798" s="633" t="s">
        <v>68</v>
      </c>
      <c r="AE798" s="246" t="s">
        <v>82</v>
      </c>
      <c r="AF798" s="246"/>
      <c r="AG798" s="246"/>
      <c r="AH798" s="246" t="s">
        <v>126</v>
      </c>
      <c r="AI798" s="246">
        <v>708</v>
      </c>
      <c r="AJ798" s="246">
        <f t="shared" si="265"/>
        <v>0</v>
      </c>
      <c r="AK798" s="246"/>
      <c r="AL798" s="246" t="s">
        <v>454</v>
      </c>
      <c r="AM798" s="551"/>
      <c r="AN798" s="551">
        <f t="shared" si="262"/>
        <v>708</v>
      </c>
      <c r="AO798" s="1331"/>
      <c r="AP798" s="1331"/>
      <c r="AQ798" s="1331"/>
      <c r="AR798" s="551">
        <f t="shared" si="267"/>
        <v>708</v>
      </c>
      <c r="AS798" s="551"/>
      <c r="AT798" s="551"/>
      <c r="AU798" s="551">
        <f t="shared" si="268"/>
        <v>708</v>
      </c>
      <c r="AV798" s="551"/>
      <c r="AW798" s="551">
        <f t="shared" si="269"/>
        <v>708</v>
      </c>
      <c r="AX798" s="651"/>
      <c r="AY798" s="551"/>
      <c r="AZ798" s="551"/>
      <c r="BA798" s="551"/>
      <c r="BB798" s="551"/>
      <c r="BC798" s="551"/>
      <c r="BD798" s="551"/>
      <c r="BE798" s="551"/>
      <c r="BF798" s="551"/>
      <c r="BG798" s="551"/>
      <c r="BH798" s="551"/>
      <c r="BI798" s="551"/>
      <c r="BJ798" s="551"/>
      <c r="BK798" s="551"/>
      <c r="BL798" s="551"/>
      <c r="BM798" s="551"/>
      <c r="BN798" s="551"/>
      <c r="BO798" s="551"/>
      <c r="BP798" s="551"/>
      <c r="BQ798" s="551"/>
      <c r="BR798" s="551"/>
      <c r="BS798" s="551"/>
      <c r="BT798" s="551"/>
      <c r="BU798" s="551"/>
      <c r="BV798" s="551"/>
      <c r="BW798" s="551"/>
      <c r="BX798" s="551"/>
      <c r="BY798" s="551"/>
      <c r="BZ798" s="551"/>
      <c r="CA798" s="551"/>
      <c r="CB798" s="551"/>
      <c r="CC798" s="551"/>
      <c r="CD798" s="551"/>
      <c r="CE798" s="551"/>
      <c r="CF798" s="551"/>
      <c r="CG798" s="551"/>
      <c r="CH798" s="650"/>
      <c r="CI798" s="650"/>
      <c r="CJ798" s="650"/>
      <c r="CK798" s="650"/>
      <c r="CL798" s="650"/>
      <c r="CM798" s="551"/>
      <c r="CN798" s="551"/>
      <c r="CO798" s="551"/>
      <c r="CP798" s="650"/>
      <c r="CQ798" s="650"/>
      <c r="CR798" s="650"/>
      <c r="CS798" s="650"/>
      <c r="CT798" s="650"/>
      <c r="CU798" s="650"/>
    </row>
    <row r="799" s="1265" customFormat="1" ht="31" customHeight="1" spans="1:99">
      <c r="A799" s="641">
        <v>45985</v>
      </c>
      <c r="B799" s="642" t="s">
        <v>2734</v>
      </c>
      <c r="C799" s="246" t="s">
        <v>98</v>
      </c>
      <c r="D799" s="551">
        <v>4500186623</v>
      </c>
      <c r="E799" s="246">
        <v>60261230</v>
      </c>
      <c r="F799" s="551" t="s">
        <v>3091</v>
      </c>
      <c r="G799" s="659" t="s">
        <v>2736</v>
      </c>
      <c r="H799" s="246" t="s">
        <v>2737</v>
      </c>
      <c r="I799" s="246">
        <v>3000</v>
      </c>
      <c r="J799" s="246">
        <v>0</v>
      </c>
      <c r="K799" s="246">
        <v>8</v>
      </c>
      <c r="L799" s="644">
        <f t="shared" si="263"/>
        <v>375</v>
      </c>
      <c r="M799" s="645">
        <v>46078</v>
      </c>
      <c r="N799" s="645">
        <v>46074</v>
      </c>
      <c r="O799" s="643"/>
      <c r="P799" s="824" t="s">
        <v>113</v>
      </c>
      <c r="Q799" s="646"/>
      <c r="R799" s="646">
        <v>45985</v>
      </c>
      <c r="S799" s="646" t="s">
        <v>70</v>
      </c>
      <c r="T799" s="646" t="s">
        <v>2738</v>
      </c>
      <c r="U799" s="646"/>
      <c r="V799" s="642"/>
      <c r="W799" s="642"/>
      <c r="X799" s="628" t="s">
        <v>3092</v>
      </c>
      <c r="Y799" s="647" t="s">
        <v>2678</v>
      </c>
      <c r="Z799" s="657">
        <v>3.9826</v>
      </c>
      <c r="AA799" s="647">
        <f t="shared" si="264"/>
        <v>11947.8</v>
      </c>
      <c r="AB799" s="551"/>
      <c r="AC799" s="658" t="s">
        <v>3093</v>
      </c>
      <c r="AD799" s="633" t="s">
        <v>2741</v>
      </c>
      <c r="AE799" s="246" t="s">
        <v>82</v>
      </c>
      <c r="AF799" s="246"/>
      <c r="AG799" s="246"/>
      <c r="AH799" s="246" t="s">
        <v>126</v>
      </c>
      <c r="AI799" s="246">
        <v>3000</v>
      </c>
      <c r="AJ799" s="246">
        <f t="shared" si="265"/>
        <v>0</v>
      </c>
      <c r="AK799" s="246"/>
      <c r="AL799" s="246"/>
      <c r="AM799" s="551"/>
      <c r="AN799" s="551">
        <f t="shared" si="262"/>
        <v>3000</v>
      </c>
      <c r="AO799" s="1331"/>
      <c r="AP799" s="1331"/>
      <c r="AQ799" s="1331"/>
      <c r="AR799" s="551">
        <f t="shared" si="267"/>
        <v>3000</v>
      </c>
      <c r="AS799" s="551"/>
      <c r="AT799" s="551"/>
      <c r="AU799" s="551">
        <f t="shared" si="268"/>
        <v>3000</v>
      </c>
      <c r="AV799" s="551"/>
      <c r="AW799" s="551">
        <f t="shared" si="269"/>
        <v>3000</v>
      </c>
      <c r="AX799" s="651"/>
      <c r="AY799" s="551"/>
      <c r="AZ799" s="551"/>
      <c r="BA799" s="551"/>
      <c r="BB799" s="551"/>
      <c r="BC799" s="551"/>
      <c r="BD799" s="551"/>
      <c r="BE799" s="551"/>
      <c r="BF799" s="551"/>
      <c r="BG799" s="551"/>
      <c r="BH799" s="551"/>
      <c r="BI799" s="551"/>
      <c r="BJ799" s="551"/>
      <c r="BK799" s="551"/>
      <c r="BL799" s="551"/>
      <c r="BM799" s="551"/>
      <c r="BN799" s="551">
        <f>I799</f>
        <v>3000</v>
      </c>
      <c r="BO799" s="551"/>
      <c r="BP799" s="551"/>
      <c r="BQ799" s="551"/>
      <c r="BR799" s="551"/>
      <c r="BS799" s="551"/>
      <c r="BT799" s="551"/>
      <c r="BU799" s="551"/>
      <c r="BV799" s="551"/>
      <c r="BW799" s="551"/>
      <c r="BX799" s="551"/>
      <c r="BY799" s="551"/>
      <c r="BZ799" s="551"/>
      <c r="CA799" s="551"/>
      <c r="CB799" s="551"/>
      <c r="CC799" s="551"/>
      <c r="CD799" s="551"/>
      <c r="CE799" s="551"/>
      <c r="CF799" s="551"/>
      <c r="CG799" s="551"/>
      <c r="CH799" s="650"/>
      <c r="CI799" s="650"/>
      <c r="CJ799" s="650"/>
      <c r="CK799" s="650"/>
      <c r="CL799" s="650"/>
      <c r="CM799" s="551"/>
      <c r="CN799" s="551"/>
      <c r="CO799" s="551"/>
      <c r="CP799" s="650"/>
      <c r="CQ799" s="650"/>
      <c r="CR799" s="650"/>
      <c r="CS799" s="650"/>
      <c r="CT799" s="650"/>
      <c r="CU799" s="650"/>
    </row>
    <row r="800" s="1265" customFormat="1" ht="31" customHeight="1" spans="1:99">
      <c r="A800" s="641">
        <v>45988</v>
      </c>
      <c r="B800" s="642" t="s">
        <v>549</v>
      </c>
      <c r="C800" s="246" t="s">
        <v>278</v>
      </c>
      <c r="D800" s="551">
        <v>4500187223</v>
      </c>
      <c r="E800" s="246" t="s">
        <v>3094</v>
      </c>
      <c r="F800" s="551" t="s">
        <v>3095</v>
      </c>
      <c r="G800" s="659" t="s">
        <v>518</v>
      </c>
      <c r="H800" s="246" t="s">
        <v>477</v>
      </c>
      <c r="I800" s="246">
        <v>504</v>
      </c>
      <c r="J800" s="246">
        <v>0</v>
      </c>
      <c r="K800" s="246">
        <v>6</v>
      </c>
      <c r="L800" s="644">
        <f t="shared" si="263"/>
        <v>84</v>
      </c>
      <c r="M800" s="645">
        <v>46079</v>
      </c>
      <c r="N800" s="645">
        <v>46076</v>
      </c>
      <c r="O800" s="643"/>
      <c r="P800" s="824" t="s">
        <v>113</v>
      </c>
      <c r="Q800" s="646"/>
      <c r="R800" s="646" t="s">
        <v>552</v>
      </c>
      <c r="S800" s="646" t="s">
        <v>104</v>
      </c>
      <c r="T800" s="646" t="s">
        <v>2908</v>
      </c>
      <c r="U800" s="646"/>
      <c r="V800" s="642"/>
      <c r="W800" s="642"/>
      <c r="X800" s="642" t="s">
        <v>3096</v>
      </c>
      <c r="Y800" s="647" t="s">
        <v>466</v>
      </c>
      <c r="Z800" s="657">
        <v>7.1628</v>
      </c>
      <c r="AA800" s="647">
        <f>Z800*K800</f>
        <v>42.9768</v>
      </c>
      <c r="AB800" s="551"/>
      <c r="AC800" s="648"/>
      <c r="AD800" s="633" t="s">
        <v>480</v>
      </c>
      <c r="AE800" s="246" t="s">
        <v>82</v>
      </c>
      <c r="AF800" s="246"/>
      <c r="AG800" s="246"/>
      <c r="AH800" s="246" t="s">
        <v>126</v>
      </c>
      <c r="AI800" s="246">
        <v>504</v>
      </c>
      <c r="AJ800" s="246">
        <f t="shared" si="265"/>
        <v>0</v>
      </c>
      <c r="AK800" s="246"/>
      <c r="AL800" s="246"/>
      <c r="AM800" s="551"/>
      <c r="AN800" s="551">
        <f t="shared" si="262"/>
        <v>504</v>
      </c>
      <c r="AO800" s="1331"/>
      <c r="AP800" s="1331"/>
      <c r="AQ800" s="1331"/>
      <c r="AR800" s="551"/>
      <c r="AS800" s="551">
        <f>I800</f>
        <v>504</v>
      </c>
      <c r="AT800" s="551"/>
      <c r="AU800" s="551">
        <f t="shared" si="268"/>
        <v>504</v>
      </c>
      <c r="AV800" s="551"/>
      <c r="AW800" s="551">
        <f t="shared" si="269"/>
        <v>504</v>
      </c>
      <c r="AX800" s="651"/>
      <c r="AY800" s="551"/>
      <c r="AZ800" s="551"/>
      <c r="BA800" s="551"/>
      <c r="BB800" s="551"/>
      <c r="BC800" s="551"/>
      <c r="BD800" s="551"/>
      <c r="BE800" s="551"/>
      <c r="BF800" s="551"/>
      <c r="BG800" s="551"/>
      <c r="BH800" s="551"/>
      <c r="BI800" s="551"/>
      <c r="BJ800" s="551"/>
      <c r="BK800" s="551"/>
      <c r="BL800" s="551"/>
      <c r="BM800" s="551"/>
      <c r="BN800" s="551">
        <f>I800</f>
        <v>504</v>
      </c>
      <c r="BO800" s="551"/>
      <c r="BP800" s="551"/>
      <c r="BQ800" s="551"/>
      <c r="BR800" s="551"/>
      <c r="BS800" s="551"/>
      <c r="BT800" s="551"/>
      <c r="BU800" s="551"/>
      <c r="BV800" s="551"/>
      <c r="BW800" s="551"/>
      <c r="BX800" s="551"/>
      <c r="BY800" s="551"/>
      <c r="BZ800" s="551"/>
      <c r="CA800" s="551"/>
      <c r="CB800" s="551"/>
      <c r="CC800" s="551"/>
      <c r="CD800" s="551"/>
      <c r="CE800" s="551"/>
      <c r="CF800" s="551"/>
      <c r="CG800" s="551"/>
      <c r="CH800" s="650"/>
      <c r="CI800" s="650"/>
      <c r="CJ800" s="650"/>
      <c r="CK800" s="650"/>
      <c r="CL800" s="650"/>
      <c r="CM800" s="551"/>
      <c r="CN800" s="551"/>
      <c r="CO800" s="551"/>
      <c r="CP800" s="650"/>
      <c r="CQ800" s="650"/>
      <c r="CR800" s="650"/>
      <c r="CS800" s="650"/>
      <c r="CT800" s="650"/>
      <c r="CU800" s="650"/>
    </row>
    <row r="801" s="1265" customFormat="1" ht="31" customHeight="1" spans="1:99">
      <c r="A801" s="641">
        <v>45988</v>
      </c>
      <c r="B801" s="642" t="s">
        <v>549</v>
      </c>
      <c r="C801" s="246" t="s">
        <v>154</v>
      </c>
      <c r="D801" s="551">
        <v>4500187223</v>
      </c>
      <c r="E801" s="246" t="s">
        <v>3097</v>
      </c>
      <c r="F801" s="551" t="s">
        <v>3098</v>
      </c>
      <c r="G801" s="659" t="s">
        <v>518</v>
      </c>
      <c r="H801" s="246" t="s">
        <v>477</v>
      </c>
      <c r="I801" s="246">
        <v>2430</v>
      </c>
      <c r="J801" s="246">
        <v>0</v>
      </c>
      <c r="K801" s="246">
        <v>6</v>
      </c>
      <c r="L801" s="644">
        <f t="shared" si="263"/>
        <v>405</v>
      </c>
      <c r="M801" s="645">
        <v>46079</v>
      </c>
      <c r="N801" s="645">
        <v>46076</v>
      </c>
      <c r="O801" s="643"/>
      <c r="P801" s="824" t="s">
        <v>113</v>
      </c>
      <c r="Q801" s="646"/>
      <c r="R801" s="646" t="s">
        <v>552</v>
      </c>
      <c r="S801" s="646" t="s">
        <v>104</v>
      </c>
      <c r="T801" s="646" t="s">
        <v>2908</v>
      </c>
      <c r="U801" s="646"/>
      <c r="V801" s="642"/>
      <c r="W801" s="642"/>
      <c r="X801" s="642" t="s">
        <v>3096</v>
      </c>
      <c r="Y801" s="647" t="s">
        <v>466</v>
      </c>
      <c r="Z801" s="657">
        <v>6.8284</v>
      </c>
      <c r="AA801" s="647">
        <f>Z801*K801</f>
        <v>40.9704</v>
      </c>
      <c r="AB801" s="551"/>
      <c r="AC801" s="648"/>
      <c r="AD801" s="633" t="s">
        <v>480</v>
      </c>
      <c r="AE801" s="246" t="s">
        <v>82</v>
      </c>
      <c r="AF801" s="246"/>
      <c r="AG801" s="246"/>
      <c r="AH801" s="246" t="s">
        <v>126</v>
      </c>
      <c r="AI801" s="246">
        <f>1296+1134</f>
        <v>2430</v>
      </c>
      <c r="AJ801" s="246">
        <f t="shared" si="265"/>
        <v>0</v>
      </c>
      <c r="AK801" s="246"/>
      <c r="AL801" s="246"/>
      <c r="AM801" s="551"/>
      <c r="AN801" s="551">
        <f t="shared" si="262"/>
        <v>2430</v>
      </c>
      <c r="AO801" s="1331"/>
      <c r="AP801" s="1331"/>
      <c r="AQ801" s="1331"/>
      <c r="AR801" s="551"/>
      <c r="AS801" s="551">
        <f>I801</f>
        <v>2430</v>
      </c>
      <c r="AT801" s="551"/>
      <c r="AU801" s="551">
        <f t="shared" si="268"/>
        <v>2430</v>
      </c>
      <c r="AV801" s="551"/>
      <c r="AW801" s="551">
        <f t="shared" si="269"/>
        <v>2430</v>
      </c>
      <c r="AX801" s="651"/>
      <c r="AY801" s="551"/>
      <c r="AZ801" s="551"/>
      <c r="BA801" s="551"/>
      <c r="BB801" s="551"/>
      <c r="BC801" s="551"/>
      <c r="BD801" s="551"/>
      <c r="BE801" s="551"/>
      <c r="BF801" s="551"/>
      <c r="BG801" s="551"/>
      <c r="BH801" s="551"/>
      <c r="BI801" s="551"/>
      <c r="BJ801" s="551"/>
      <c r="BK801" s="551"/>
      <c r="BL801" s="551"/>
      <c r="BM801" s="551"/>
      <c r="BN801" s="551">
        <f>I801</f>
        <v>2430</v>
      </c>
      <c r="BO801" s="551"/>
      <c r="BP801" s="551"/>
      <c r="BQ801" s="551"/>
      <c r="BR801" s="551"/>
      <c r="BS801" s="551"/>
      <c r="BT801" s="551"/>
      <c r="BU801" s="551"/>
      <c r="BV801" s="551"/>
      <c r="BW801" s="551"/>
      <c r="BX801" s="551"/>
      <c r="BY801" s="551"/>
      <c r="BZ801" s="551"/>
      <c r="CA801" s="551"/>
      <c r="CB801" s="551"/>
      <c r="CC801" s="551"/>
      <c r="CD801" s="551"/>
      <c r="CE801" s="551"/>
      <c r="CF801" s="551"/>
      <c r="CG801" s="551"/>
      <c r="CH801" s="650"/>
      <c r="CI801" s="650"/>
      <c r="CJ801" s="650"/>
      <c r="CK801" s="650"/>
      <c r="CL801" s="650"/>
      <c r="CM801" s="551"/>
      <c r="CN801" s="551"/>
      <c r="CO801" s="551"/>
      <c r="CP801" s="650"/>
      <c r="CQ801" s="650"/>
      <c r="CR801" s="650"/>
      <c r="CS801" s="650"/>
      <c r="CT801" s="650"/>
      <c r="CU801" s="650"/>
    </row>
    <row r="802" s="1265" customFormat="1" ht="31" customHeight="1" spans="1:99">
      <c r="A802" s="641">
        <v>46021</v>
      </c>
      <c r="B802" s="642" t="s">
        <v>1800</v>
      </c>
      <c r="C802" s="246" t="s">
        <v>744</v>
      </c>
      <c r="D802" s="551">
        <v>4500190102</v>
      </c>
      <c r="E802" s="246">
        <v>5000002099</v>
      </c>
      <c r="F802" s="551" t="s">
        <v>3099</v>
      </c>
      <c r="G802" s="659" t="s">
        <v>130</v>
      </c>
      <c r="H802" s="246" t="s">
        <v>131</v>
      </c>
      <c r="I802" s="246">
        <v>390</v>
      </c>
      <c r="J802" s="246">
        <v>0</v>
      </c>
      <c r="K802" s="246">
        <v>6</v>
      </c>
      <c r="L802" s="644">
        <f t="shared" si="263"/>
        <v>65</v>
      </c>
      <c r="M802" s="645">
        <v>46080</v>
      </c>
      <c r="N802" s="645">
        <v>46076</v>
      </c>
      <c r="O802" s="643"/>
      <c r="P802" s="824" t="s">
        <v>113</v>
      </c>
      <c r="Q802" s="646"/>
      <c r="R802" s="646">
        <v>46021</v>
      </c>
      <c r="S802" s="646" t="s">
        <v>104</v>
      </c>
      <c r="T802" s="646" t="s">
        <v>3028</v>
      </c>
      <c r="U802" s="646"/>
      <c r="V802" s="642"/>
      <c r="W802" s="642"/>
      <c r="X802" s="642" t="s">
        <v>3100</v>
      </c>
      <c r="Y802" s="647" t="s">
        <v>1805</v>
      </c>
      <c r="Z802" s="657">
        <v>4.1689</v>
      </c>
      <c r="AA802" s="647">
        <f>Z802*I802</f>
        <v>1625.871</v>
      </c>
      <c r="AB802" s="551"/>
      <c r="AC802" s="648"/>
      <c r="AD802" s="633" t="s">
        <v>2217</v>
      </c>
      <c r="AE802" s="246" t="s">
        <v>82</v>
      </c>
      <c r="AF802" s="246"/>
      <c r="AG802" s="246"/>
      <c r="AH802" s="246" t="s">
        <v>126</v>
      </c>
      <c r="AI802" s="246">
        <v>390</v>
      </c>
      <c r="AJ802" s="246">
        <f t="shared" si="265"/>
        <v>0</v>
      </c>
      <c r="AK802" s="246"/>
      <c r="AL802" s="246" t="s">
        <v>2368</v>
      </c>
      <c r="AM802" s="551"/>
      <c r="AN802" s="551">
        <f t="shared" si="262"/>
        <v>390</v>
      </c>
      <c r="AO802" s="1331"/>
      <c r="AP802" s="1331"/>
      <c r="AQ802" s="1331"/>
      <c r="AR802" s="551">
        <f>I802</f>
        <v>390</v>
      </c>
      <c r="AS802" s="551"/>
      <c r="AT802" s="551"/>
      <c r="AU802" s="551"/>
      <c r="AV802" s="551">
        <f>I802</f>
        <v>390</v>
      </c>
      <c r="AW802" s="551"/>
      <c r="AX802" s="651">
        <f>I802</f>
        <v>390</v>
      </c>
      <c r="AY802" s="551"/>
      <c r="AZ802" s="551"/>
      <c r="BA802" s="551"/>
      <c r="BB802" s="551"/>
      <c r="BC802" s="551"/>
      <c r="BD802" s="551"/>
      <c r="BE802" s="551"/>
      <c r="BF802" s="551"/>
      <c r="BG802" s="551"/>
      <c r="BH802" s="551"/>
      <c r="BI802" s="551"/>
      <c r="BJ802" s="551"/>
      <c r="BK802" s="551"/>
      <c r="BL802" s="551"/>
      <c r="BM802" s="551"/>
      <c r="BN802" s="551"/>
      <c r="BO802" s="551"/>
      <c r="BP802" s="551"/>
      <c r="BQ802" s="551"/>
      <c r="BR802" s="551"/>
      <c r="BS802" s="551"/>
      <c r="BT802" s="551"/>
      <c r="BU802" s="551"/>
      <c r="BV802" s="551"/>
      <c r="BW802" s="551"/>
      <c r="BX802" s="551"/>
      <c r="BY802" s="551"/>
      <c r="BZ802" s="551"/>
      <c r="CA802" s="551"/>
      <c r="CB802" s="551"/>
      <c r="CC802" s="551"/>
      <c r="CD802" s="551"/>
      <c r="CE802" s="551"/>
      <c r="CF802" s="551"/>
      <c r="CG802" s="551"/>
      <c r="CH802" s="650"/>
      <c r="CI802" s="650"/>
      <c r="CJ802" s="650"/>
      <c r="CK802" s="650"/>
      <c r="CL802" s="650"/>
      <c r="CM802" s="551"/>
      <c r="CN802" s="551"/>
      <c r="CO802" s="551"/>
      <c r="CP802" s="650"/>
      <c r="CQ802" s="650"/>
      <c r="CR802" s="650"/>
      <c r="CS802" s="650"/>
      <c r="CT802" s="650"/>
      <c r="CU802" s="650"/>
    </row>
    <row r="803" s="1265" customFormat="1" ht="31" customHeight="1" spans="1:99">
      <c r="A803" s="641">
        <v>46021</v>
      </c>
      <c r="B803" s="642" t="s">
        <v>1800</v>
      </c>
      <c r="C803" s="246" t="s">
        <v>744</v>
      </c>
      <c r="D803" s="551">
        <v>4500190102</v>
      </c>
      <c r="E803" s="246">
        <v>5000002099</v>
      </c>
      <c r="F803" s="551" t="s">
        <v>3101</v>
      </c>
      <c r="G803" s="659" t="s">
        <v>130</v>
      </c>
      <c r="H803" s="246" t="s">
        <v>131</v>
      </c>
      <c r="I803" s="246">
        <v>3600</v>
      </c>
      <c r="J803" s="246">
        <v>0</v>
      </c>
      <c r="K803" s="246">
        <v>6</v>
      </c>
      <c r="L803" s="644">
        <f t="shared" si="263"/>
        <v>600</v>
      </c>
      <c r="M803" s="645">
        <v>46080</v>
      </c>
      <c r="N803" s="645">
        <v>46076</v>
      </c>
      <c r="O803" s="643"/>
      <c r="P803" s="824" t="s">
        <v>113</v>
      </c>
      <c r="Q803" s="646"/>
      <c r="R803" s="646">
        <v>46021</v>
      </c>
      <c r="S803" s="646" t="s">
        <v>104</v>
      </c>
      <c r="T803" s="646" t="s">
        <v>3028</v>
      </c>
      <c r="U803" s="646"/>
      <c r="V803" s="642"/>
      <c r="W803" s="642"/>
      <c r="X803" s="642" t="s">
        <v>3100</v>
      </c>
      <c r="Y803" s="647" t="s">
        <v>1805</v>
      </c>
      <c r="Z803" s="657">
        <v>4.1689</v>
      </c>
      <c r="AA803" s="647">
        <f>Z803*I803</f>
        <v>15008.04</v>
      </c>
      <c r="AB803" s="551"/>
      <c r="AC803" s="648"/>
      <c r="AD803" s="633" t="s">
        <v>2217</v>
      </c>
      <c r="AE803" s="246" t="s">
        <v>82</v>
      </c>
      <c r="AF803" s="246"/>
      <c r="AG803" s="246"/>
      <c r="AH803" s="246" t="s">
        <v>126</v>
      </c>
      <c r="AI803" s="246">
        <v>3600</v>
      </c>
      <c r="AJ803" s="246">
        <f t="shared" si="265"/>
        <v>0</v>
      </c>
      <c r="AK803" s="246"/>
      <c r="AL803" s="246" t="s">
        <v>2368</v>
      </c>
      <c r="AM803" s="551"/>
      <c r="AN803" s="551">
        <f t="shared" si="262"/>
        <v>3600</v>
      </c>
      <c r="AO803" s="1331"/>
      <c r="AP803" s="1331"/>
      <c r="AQ803" s="1331"/>
      <c r="AR803" s="551">
        <f>I803</f>
        <v>3600</v>
      </c>
      <c r="AS803" s="551"/>
      <c r="AT803" s="551"/>
      <c r="AU803" s="551"/>
      <c r="AV803" s="551">
        <f>I803</f>
        <v>3600</v>
      </c>
      <c r="AW803" s="551"/>
      <c r="AX803" s="651">
        <f>I803</f>
        <v>3600</v>
      </c>
      <c r="AY803" s="551"/>
      <c r="AZ803" s="551"/>
      <c r="BA803" s="551"/>
      <c r="BB803" s="551"/>
      <c r="BC803" s="551"/>
      <c r="BD803" s="551"/>
      <c r="BE803" s="551"/>
      <c r="BF803" s="551"/>
      <c r="BG803" s="551"/>
      <c r="BH803" s="551"/>
      <c r="BI803" s="551"/>
      <c r="BJ803" s="551"/>
      <c r="BK803" s="551"/>
      <c r="BL803" s="551"/>
      <c r="BM803" s="551"/>
      <c r="BN803" s="551"/>
      <c r="BO803" s="551"/>
      <c r="BP803" s="551"/>
      <c r="BQ803" s="551"/>
      <c r="BR803" s="551"/>
      <c r="BS803" s="551"/>
      <c r="BT803" s="551"/>
      <c r="BU803" s="551"/>
      <c r="BV803" s="551"/>
      <c r="BW803" s="551"/>
      <c r="BX803" s="551"/>
      <c r="BY803" s="551"/>
      <c r="BZ803" s="551"/>
      <c r="CA803" s="551"/>
      <c r="CB803" s="551"/>
      <c r="CC803" s="551"/>
      <c r="CD803" s="551"/>
      <c r="CE803" s="551"/>
      <c r="CF803" s="551"/>
      <c r="CG803" s="551"/>
      <c r="CH803" s="650"/>
      <c r="CI803" s="650"/>
      <c r="CJ803" s="650"/>
      <c r="CK803" s="650"/>
      <c r="CL803" s="650"/>
      <c r="CM803" s="551"/>
      <c r="CN803" s="551"/>
      <c r="CO803" s="551"/>
      <c r="CP803" s="650"/>
      <c r="CQ803" s="650"/>
      <c r="CR803" s="650"/>
      <c r="CS803" s="650"/>
      <c r="CT803" s="650"/>
      <c r="CU803" s="650"/>
    </row>
    <row r="804" s="1265" customFormat="1" ht="31" customHeight="1" spans="1:99">
      <c r="A804" s="641">
        <v>46028</v>
      </c>
      <c r="B804" s="642" t="s">
        <v>448</v>
      </c>
      <c r="C804" s="246" t="s">
        <v>399</v>
      </c>
      <c r="D804" s="551">
        <v>4500190678</v>
      </c>
      <c r="E804" s="246"/>
      <c r="F804" s="551" t="s">
        <v>3102</v>
      </c>
      <c r="G804" s="659" t="s">
        <v>130</v>
      </c>
      <c r="H804" s="246" t="s">
        <v>131</v>
      </c>
      <c r="I804" s="246">
        <v>1320</v>
      </c>
      <c r="J804" s="246">
        <v>0</v>
      </c>
      <c r="K804" s="246">
        <v>6</v>
      </c>
      <c r="L804" s="644">
        <f t="shared" si="263"/>
        <v>220</v>
      </c>
      <c r="M804" s="645">
        <v>46080</v>
      </c>
      <c r="N804" s="645">
        <v>46076</v>
      </c>
      <c r="O804" s="643"/>
      <c r="P804" s="824" t="s">
        <v>113</v>
      </c>
      <c r="Q804" s="646"/>
      <c r="R804" s="646">
        <v>46030</v>
      </c>
      <c r="S804" s="646" t="s">
        <v>70</v>
      </c>
      <c r="T804" s="646" t="s">
        <v>2600</v>
      </c>
      <c r="U804" s="646"/>
      <c r="V804" s="642"/>
      <c r="W804" s="642"/>
      <c r="X804" s="628" t="s">
        <v>3103</v>
      </c>
      <c r="Y804" s="647" t="s">
        <v>445</v>
      </c>
      <c r="Z804" s="657">
        <v>4.1743</v>
      </c>
      <c r="AA804" s="647">
        <f>Z804*I804</f>
        <v>5510.076</v>
      </c>
      <c r="AB804" s="551"/>
      <c r="AC804" s="648"/>
      <c r="AD804" s="633" t="s">
        <v>453</v>
      </c>
      <c r="AE804" s="246" t="s">
        <v>82</v>
      </c>
      <c r="AF804" s="246"/>
      <c r="AG804" s="246"/>
      <c r="AH804" s="246" t="s">
        <v>126</v>
      </c>
      <c r="AI804" s="246">
        <v>1320</v>
      </c>
      <c r="AJ804" s="246">
        <f t="shared" si="265"/>
        <v>0</v>
      </c>
      <c r="AK804" s="246"/>
      <c r="AL804" s="246" t="s">
        <v>2368</v>
      </c>
      <c r="AM804" s="551"/>
      <c r="AN804" s="551">
        <f t="shared" si="262"/>
        <v>1320</v>
      </c>
      <c r="AO804" s="1331"/>
      <c r="AP804" s="1331"/>
      <c r="AQ804" s="1331"/>
      <c r="AR804" s="551"/>
      <c r="AS804" s="551">
        <f>I804</f>
        <v>1320</v>
      </c>
      <c r="AT804" s="551"/>
      <c r="AU804" s="551">
        <f>I804</f>
        <v>1320</v>
      </c>
      <c r="AV804" s="551"/>
      <c r="AW804" s="551">
        <f>I804</f>
        <v>1320</v>
      </c>
      <c r="AX804" s="651"/>
      <c r="AY804" s="551"/>
      <c r="AZ804" s="551"/>
      <c r="BA804" s="551"/>
      <c r="BB804" s="551"/>
      <c r="BC804" s="551"/>
      <c r="BD804" s="551"/>
      <c r="BE804" s="551"/>
      <c r="BF804" s="551"/>
      <c r="BG804" s="551"/>
      <c r="BH804" s="551"/>
      <c r="BI804" s="551"/>
      <c r="BJ804" s="551"/>
      <c r="BK804" s="551"/>
      <c r="BL804" s="551"/>
      <c r="BM804" s="551"/>
      <c r="BN804" s="551"/>
      <c r="BO804" s="551"/>
      <c r="BP804" s="551"/>
      <c r="BQ804" s="551"/>
      <c r="BR804" s="551"/>
      <c r="BS804" s="551"/>
      <c r="BT804" s="551"/>
      <c r="BU804" s="551"/>
      <c r="BV804" s="551"/>
      <c r="BW804" s="551"/>
      <c r="BX804" s="551"/>
      <c r="BY804" s="551"/>
      <c r="BZ804" s="551"/>
      <c r="CA804" s="551"/>
      <c r="CB804" s="551"/>
      <c r="CC804" s="551"/>
      <c r="CD804" s="551"/>
      <c r="CE804" s="551"/>
      <c r="CF804" s="551"/>
      <c r="CG804" s="551"/>
      <c r="CH804" s="650"/>
      <c r="CI804" s="650"/>
      <c r="CJ804" s="650"/>
      <c r="CK804" s="650"/>
      <c r="CL804" s="650"/>
      <c r="CM804" s="551"/>
      <c r="CN804" s="551"/>
      <c r="CO804" s="551"/>
      <c r="CP804" s="650"/>
      <c r="CQ804" s="650"/>
      <c r="CR804" s="650"/>
      <c r="CS804" s="650"/>
      <c r="CT804" s="650"/>
      <c r="CU804" s="650"/>
    </row>
    <row r="805" s="1265" customFormat="1" ht="31" customHeight="1" spans="1:99">
      <c r="A805" s="641">
        <v>45978</v>
      </c>
      <c r="B805" s="642" t="s">
        <v>1492</v>
      </c>
      <c r="C805" s="246" t="s">
        <v>98</v>
      </c>
      <c r="D805" s="551">
        <v>4500185935</v>
      </c>
      <c r="E805" s="1415" t="s">
        <v>3104</v>
      </c>
      <c r="F805" s="551" t="s">
        <v>3105</v>
      </c>
      <c r="G805" s="659" t="s">
        <v>2666</v>
      </c>
      <c r="H805" s="246" t="s">
        <v>830</v>
      </c>
      <c r="I805" s="246">
        <v>5400</v>
      </c>
      <c r="J805" s="246">
        <v>0</v>
      </c>
      <c r="K805" s="246">
        <v>75</v>
      </c>
      <c r="L805" s="644">
        <f t="shared" si="263"/>
        <v>72</v>
      </c>
      <c r="M805" s="645">
        <v>46081</v>
      </c>
      <c r="N805" s="645">
        <v>46077</v>
      </c>
      <c r="O805" s="643"/>
      <c r="P805" s="824" t="s">
        <v>113</v>
      </c>
      <c r="Q805" s="646"/>
      <c r="R805" s="646" t="s">
        <v>2667</v>
      </c>
      <c r="S805" s="646" t="s">
        <v>70</v>
      </c>
      <c r="T805" s="646" t="s">
        <v>70</v>
      </c>
      <c r="U805" s="646"/>
      <c r="V805" s="642"/>
      <c r="W805" s="642"/>
      <c r="X805" s="642" t="s">
        <v>2826</v>
      </c>
      <c r="Y805" s="647" t="s">
        <v>911</v>
      </c>
      <c r="Z805" s="657">
        <v>359.3436</v>
      </c>
      <c r="AA805" s="647">
        <f>Z805*L805</f>
        <v>25872.7392</v>
      </c>
      <c r="AB805" s="551"/>
      <c r="AC805" s="658" t="s">
        <v>3106</v>
      </c>
      <c r="AD805" s="633" t="s">
        <v>1498</v>
      </c>
      <c r="AE805" s="246" t="s">
        <v>82</v>
      </c>
      <c r="AF805" s="246"/>
      <c r="AG805" s="246"/>
      <c r="AH805" s="246" t="s">
        <v>126</v>
      </c>
      <c r="AI805" s="246">
        <v>5400</v>
      </c>
      <c r="AJ805" s="246">
        <f t="shared" si="265"/>
        <v>0</v>
      </c>
      <c r="AK805" s="246"/>
      <c r="AL805" s="246"/>
      <c r="AM805" s="551"/>
      <c r="AN805" s="551"/>
      <c r="AO805" s="1331">
        <f>I805</f>
        <v>5400</v>
      </c>
      <c r="AP805" s="1331"/>
      <c r="AQ805" s="1331"/>
      <c r="AR805" s="551"/>
      <c r="AS805" s="551"/>
      <c r="AT805" s="551"/>
      <c r="AU805" s="551"/>
      <c r="AV805" s="551"/>
      <c r="AW805" s="551"/>
      <c r="AX805" s="651"/>
      <c r="AY805" s="551"/>
      <c r="AZ805" s="551"/>
      <c r="BA805" s="551">
        <f>I805</f>
        <v>5400</v>
      </c>
      <c r="BB805" s="551">
        <f>I805</f>
        <v>5400</v>
      </c>
      <c r="BC805" s="551">
        <f>I805</f>
        <v>5400</v>
      </c>
      <c r="BD805" s="551"/>
      <c r="BE805" s="551"/>
      <c r="BF805" s="551"/>
      <c r="BG805" s="551"/>
      <c r="BH805" s="551"/>
      <c r="BI805" s="551"/>
      <c r="BJ805" s="551"/>
      <c r="BK805" s="551">
        <f>I805</f>
        <v>5400</v>
      </c>
      <c r="BL805" s="551">
        <f>I805/5</f>
        <v>1080</v>
      </c>
      <c r="BM805" s="551"/>
      <c r="BN805" s="551"/>
      <c r="BO805" s="551"/>
      <c r="BP805" s="551"/>
      <c r="BQ805" s="551"/>
      <c r="BR805" s="551"/>
      <c r="BS805" s="551"/>
      <c r="BT805" s="551"/>
      <c r="BU805" s="551"/>
      <c r="BV805" s="551"/>
      <c r="BW805" s="551"/>
      <c r="BX805" s="551"/>
      <c r="BY805" s="551"/>
      <c r="BZ805" s="551"/>
      <c r="CA805" s="551"/>
      <c r="CB805" s="551"/>
      <c r="CC805" s="551"/>
      <c r="CD805" s="551"/>
      <c r="CE805" s="551"/>
      <c r="CF805" s="551"/>
      <c r="CG805" s="551"/>
      <c r="CH805" s="650"/>
      <c r="CI805" s="650"/>
      <c r="CJ805" s="650"/>
      <c r="CK805" s="650"/>
      <c r="CL805" s="650"/>
      <c r="CM805" s="551"/>
      <c r="CN805" s="551"/>
      <c r="CO805" s="551"/>
      <c r="CP805" s="650"/>
      <c r="CQ805" s="650"/>
      <c r="CR805" s="650"/>
      <c r="CS805" s="650"/>
      <c r="CT805" s="650"/>
      <c r="CU805" s="650"/>
    </row>
    <row r="806" s="1265" customFormat="1" ht="31" customHeight="1" spans="1:99">
      <c r="A806" s="641">
        <v>45978</v>
      </c>
      <c r="B806" s="642" t="s">
        <v>1492</v>
      </c>
      <c r="C806" s="246" t="s">
        <v>98</v>
      </c>
      <c r="D806" s="551">
        <v>4500185936</v>
      </c>
      <c r="E806" s="1415" t="s">
        <v>3107</v>
      </c>
      <c r="F806" s="551" t="s">
        <v>3108</v>
      </c>
      <c r="G806" s="659" t="s">
        <v>2666</v>
      </c>
      <c r="H806" s="246" t="s">
        <v>830</v>
      </c>
      <c r="I806" s="246">
        <v>5400</v>
      </c>
      <c r="J806" s="246">
        <v>0</v>
      </c>
      <c r="K806" s="246">
        <v>75</v>
      </c>
      <c r="L806" s="644">
        <f t="shared" si="263"/>
        <v>72</v>
      </c>
      <c r="M806" s="645">
        <v>46081</v>
      </c>
      <c r="N806" s="645">
        <v>46077</v>
      </c>
      <c r="O806" s="643"/>
      <c r="P806" s="824" t="s">
        <v>113</v>
      </c>
      <c r="Q806" s="646"/>
      <c r="R806" s="646" t="s">
        <v>2667</v>
      </c>
      <c r="S806" s="646" t="s">
        <v>70</v>
      </c>
      <c r="T806" s="646" t="s">
        <v>70</v>
      </c>
      <c r="U806" s="646"/>
      <c r="V806" s="642"/>
      <c r="W806" s="642"/>
      <c r="X806" s="642" t="s">
        <v>2826</v>
      </c>
      <c r="Y806" s="647" t="s">
        <v>911</v>
      </c>
      <c r="Z806" s="657">
        <v>359.3436</v>
      </c>
      <c r="AA806" s="647">
        <f>Z806*L806</f>
        <v>25872.7392</v>
      </c>
      <c r="AB806" s="551"/>
      <c r="AC806" s="658" t="s">
        <v>3109</v>
      </c>
      <c r="AD806" s="633" t="s">
        <v>1498</v>
      </c>
      <c r="AE806" s="246" t="s">
        <v>82</v>
      </c>
      <c r="AF806" s="246"/>
      <c r="AG806" s="246"/>
      <c r="AH806" s="246" t="s">
        <v>126</v>
      </c>
      <c r="AI806" s="246">
        <v>5400</v>
      </c>
      <c r="AJ806" s="246">
        <f t="shared" si="265"/>
        <v>0</v>
      </c>
      <c r="AK806" s="246"/>
      <c r="AL806" s="246"/>
      <c r="AM806" s="551"/>
      <c r="AN806" s="551"/>
      <c r="AO806" s="1331">
        <f>I806</f>
        <v>5400</v>
      </c>
      <c r="AP806" s="1331"/>
      <c r="AQ806" s="1331"/>
      <c r="AR806" s="551"/>
      <c r="AS806" s="551"/>
      <c r="AT806" s="551"/>
      <c r="AU806" s="551"/>
      <c r="AV806" s="551"/>
      <c r="AW806" s="551"/>
      <c r="AX806" s="651"/>
      <c r="AY806" s="551"/>
      <c r="AZ806" s="551"/>
      <c r="BA806" s="551">
        <f>I806</f>
        <v>5400</v>
      </c>
      <c r="BB806" s="551">
        <f>I806</f>
        <v>5400</v>
      </c>
      <c r="BC806" s="551">
        <f>I806</f>
        <v>5400</v>
      </c>
      <c r="BD806" s="551"/>
      <c r="BE806" s="551"/>
      <c r="BF806" s="551"/>
      <c r="BG806" s="551"/>
      <c r="BH806" s="551"/>
      <c r="BI806" s="551"/>
      <c r="BJ806" s="551"/>
      <c r="BK806" s="551">
        <f>I806</f>
        <v>5400</v>
      </c>
      <c r="BL806" s="551">
        <f>I806/5</f>
        <v>1080</v>
      </c>
      <c r="BM806" s="551"/>
      <c r="BN806" s="551"/>
      <c r="BO806" s="551"/>
      <c r="BP806" s="551"/>
      <c r="BQ806" s="551"/>
      <c r="BR806" s="551"/>
      <c r="BS806" s="551"/>
      <c r="BT806" s="551"/>
      <c r="BU806" s="551"/>
      <c r="BV806" s="551"/>
      <c r="BW806" s="551"/>
      <c r="BX806" s="551"/>
      <c r="BY806" s="551"/>
      <c r="BZ806" s="551"/>
      <c r="CA806" s="551"/>
      <c r="CB806" s="551"/>
      <c r="CC806" s="551"/>
      <c r="CD806" s="551"/>
      <c r="CE806" s="551"/>
      <c r="CF806" s="551"/>
      <c r="CG806" s="551"/>
      <c r="CH806" s="650"/>
      <c r="CI806" s="650"/>
      <c r="CJ806" s="650"/>
      <c r="CK806" s="650"/>
      <c r="CL806" s="650"/>
      <c r="CM806" s="551"/>
      <c r="CN806" s="551"/>
      <c r="CO806" s="551"/>
      <c r="CP806" s="650"/>
      <c r="CQ806" s="650"/>
      <c r="CR806" s="650"/>
      <c r="CS806" s="650"/>
      <c r="CT806" s="650"/>
      <c r="CU806" s="650"/>
    </row>
    <row r="807" s="1265" customFormat="1" ht="31" customHeight="1" spans="1:99">
      <c r="A807" s="641">
        <v>45980</v>
      </c>
      <c r="B807" s="642" t="s">
        <v>3110</v>
      </c>
      <c r="C807" s="246" t="s">
        <v>524</v>
      </c>
      <c r="D807" s="551">
        <v>4500186204</v>
      </c>
      <c r="E807" s="246"/>
      <c r="F807" s="551" t="s">
        <v>3111</v>
      </c>
      <c r="G807" s="659" t="s">
        <v>68</v>
      </c>
      <c r="H807" s="633" t="s">
        <v>69</v>
      </c>
      <c r="I807" s="246">
        <v>600</v>
      </c>
      <c r="J807" s="246">
        <v>0</v>
      </c>
      <c r="K807" s="246">
        <v>12</v>
      </c>
      <c r="L807" s="644">
        <f t="shared" ref="L807:L836" si="270">I807/K807</f>
        <v>50</v>
      </c>
      <c r="M807" s="645">
        <v>46082</v>
      </c>
      <c r="N807" s="645">
        <f t="shared" ref="N807:N812" si="271">M807-4</f>
        <v>46078</v>
      </c>
      <c r="O807" s="643"/>
      <c r="P807" s="824" t="s">
        <v>113</v>
      </c>
      <c r="Q807" s="646"/>
      <c r="R807" s="646" t="s">
        <v>3112</v>
      </c>
      <c r="S807" s="646" t="s">
        <v>70</v>
      </c>
      <c r="T807" s="646" t="s">
        <v>3113</v>
      </c>
      <c r="U807" s="646"/>
      <c r="V807" s="642"/>
      <c r="W807" s="642"/>
      <c r="X807" s="642" t="s">
        <v>3114</v>
      </c>
      <c r="Y807" s="647" t="s">
        <v>943</v>
      </c>
      <c r="Z807" s="657">
        <v>4.1623</v>
      </c>
      <c r="AA807" s="647">
        <f t="shared" ref="AA807:AA827" si="272">Z807*I807</f>
        <v>2497.38</v>
      </c>
      <c r="AB807" s="551"/>
      <c r="AC807" s="648"/>
      <c r="AD807" s="633" t="s">
        <v>184</v>
      </c>
      <c r="AE807" s="246" t="s">
        <v>82</v>
      </c>
      <c r="AF807" s="246"/>
      <c r="AG807" s="246"/>
      <c r="AH807" s="246">
        <v>1</v>
      </c>
      <c r="AI807" s="246">
        <v>600</v>
      </c>
      <c r="AJ807" s="246">
        <f t="shared" si="265"/>
        <v>0</v>
      </c>
      <c r="AK807" s="246"/>
      <c r="AL807" s="246" t="s">
        <v>2368</v>
      </c>
      <c r="AM807" s="551"/>
      <c r="AN807" s="551">
        <f>I807</f>
        <v>600</v>
      </c>
      <c r="AO807" s="1331"/>
      <c r="AP807" s="1331"/>
      <c r="AQ807" s="1331"/>
      <c r="AR807" s="551"/>
      <c r="AS807" s="551">
        <f>I807</f>
        <v>600</v>
      </c>
      <c r="AT807" s="551"/>
      <c r="AU807" s="551">
        <f t="shared" ref="AU807:AU815" si="273">I807</f>
        <v>600</v>
      </c>
      <c r="AV807" s="551"/>
      <c r="AW807" s="551">
        <f>I807</f>
        <v>600</v>
      </c>
      <c r="AX807" s="651"/>
      <c r="AY807" s="551"/>
      <c r="AZ807" s="551"/>
      <c r="BA807" s="551"/>
      <c r="BB807" s="551"/>
      <c r="BC807" s="551"/>
      <c r="BD807" s="551"/>
      <c r="BE807" s="551"/>
      <c r="BF807" s="551"/>
      <c r="BG807" s="551"/>
      <c r="BH807" s="551"/>
      <c r="BI807" s="551"/>
      <c r="BJ807" s="551"/>
      <c r="BK807" s="551"/>
      <c r="BL807" s="551"/>
      <c r="BM807" s="551"/>
      <c r="BN807" s="551"/>
      <c r="BO807" s="551"/>
      <c r="BP807" s="551"/>
      <c r="BQ807" s="551"/>
      <c r="BR807" s="551"/>
      <c r="BS807" s="551"/>
      <c r="BT807" s="551"/>
      <c r="BU807" s="551"/>
      <c r="BV807" s="551"/>
      <c r="BW807" s="551"/>
      <c r="BX807" s="551"/>
      <c r="BY807" s="551"/>
      <c r="BZ807" s="551"/>
      <c r="CA807" s="551"/>
      <c r="CB807" s="551"/>
      <c r="CC807" s="551"/>
      <c r="CD807" s="551"/>
      <c r="CE807" s="551"/>
      <c r="CF807" s="551"/>
      <c r="CG807" s="551"/>
      <c r="CH807" s="650"/>
      <c r="CI807" s="650"/>
      <c r="CJ807" s="650"/>
      <c r="CK807" s="650"/>
      <c r="CL807" s="650"/>
      <c r="CM807" s="551"/>
      <c r="CN807" s="551"/>
      <c r="CO807" s="551"/>
      <c r="CP807" s="650"/>
      <c r="CQ807" s="650"/>
      <c r="CR807" s="650"/>
      <c r="CS807" s="650"/>
      <c r="CT807" s="650"/>
      <c r="CU807" s="650"/>
    </row>
    <row r="808" s="1265" customFormat="1" ht="31" customHeight="1" spans="1:99">
      <c r="A808" s="641">
        <v>46031</v>
      </c>
      <c r="B808" s="642" t="s">
        <v>3115</v>
      </c>
      <c r="C808" s="246" t="s">
        <v>847</v>
      </c>
      <c r="D808" s="551">
        <v>4500191102</v>
      </c>
      <c r="E808" s="246">
        <v>5200008661</v>
      </c>
      <c r="F808" s="551" t="s">
        <v>3116</v>
      </c>
      <c r="G808" s="659" t="s">
        <v>156</v>
      </c>
      <c r="H808" s="246" t="s">
        <v>102</v>
      </c>
      <c r="I808" s="246">
        <v>2364</v>
      </c>
      <c r="J808" s="246">
        <v>0</v>
      </c>
      <c r="K808" s="246">
        <v>4</v>
      </c>
      <c r="L808" s="644">
        <f t="shared" si="270"/>
        <v>591</v>
      </c>
      <c r="M808" s="645">
        <v>46082</v>
      </c>
      <c r="N808" s="645">
        <f t="shared" si="271"/>
        <v>46078</v>
      </c>
      <c r="O808" s="643"/>
      <c r="P808" s="824" t="s">
        <v>113</v>
      </c>
      <c r="Q808" s="646"/>
      <c r="R808" s="646">
        <v>46034</v>
      </c>
      <c r="S808" s="646" t="s">
        <v>70</v>
      </c>
      <c r="T808" s="646" t="s">
        <v>3117</v>
      </c>
      <c r="U808" s="646"/>
      <c r="V808" s="642" t="s">
        <v>3118</v>
      </c>
      <c r="W808" s="642"/>
      <c r="X808" s="642" t="s">
        <v>3119</v>
      </c>
      <c r="Y808" s="647" t="s">
        <v>1237</v>
      </c>
      <c r="Z808" s="657">
        <v>4.3</v>
      </c>
      <c r="AA808" s="647">
        <f t="shared" si="272"/>
        <v>10165.2</v>
      </c>
      <c r="AB808" s="551"/>
      <c r="AC808" s="648"/>
      <c r="AD808" s="633" t="s">
        <v>156</v>
      </c>
      <c r="AE808" s="246" t="s">
        <v>82</v>
      </c>
      <c r="AF808" s="246"/>
      <c r="AG808" s="246"/>
      <c r="AH808" s="246">
        <v>1</v>
      </c>
      <c r="AI808" s="246">
        <f>2040+324</f>
        <v>2364</v>
      </c>
      <c r="AJ808" s="246">
        <f t="shared" si="265"/>
        <v>0</v>
      </c>
      <c r="AK808" s="246"/>
      <c r="AL808" s="246" t="s">
        <v>2368</v>
      </c>
      <c r="AM808" s="551"/>
      <c r="AN808" s="551">
        <f>I808</f>
        <v>2364</v>
      </c>
      <c r="AO808" s="1331"/>
      <c r="AP808" s="1331"/>
      <c r="AQ808" s="1331"/>
      <c r="AR808" s="551"/>
      <c r="AS808" s="551">
        <f>I808</f>
        <v>2364</v>
      </c>
      <c r="AT808" s="551"/>
      <c r="AU808" s="551">
        <f t="shared" si="273"/>
        <v>2364</v>
      </c>
      <c r="AV808" s="551"/>
      <c r="AW808" s="551">
        <f>I808</f>
        <v>2364</v>
      </c>
      <c r="AX808" s="651"/>
      <c r="AY808" s="551"/>
      <c r="AZ808" s="551"/>
      <c r="BA808" s="551"/>
      <c r="BB808" s="551"/>
      <c r="BC808" s="551"/>
      <c r="BD808" s="551"/>
      <c r="BE808" s="551"/>
      <c r="BF808" s="551"/>
      <c r="BG808" s="551"/>
      <c r="BH808" s="551"/>
      <c r="BI808" s="825">
        <f>I808/4</f>
        <v>591</v>
      </c>
      <c r="BJ808" s="551"/>
      <c r="BK808" s="551"/>
      <c r="BL808" s="551"/>
      <c r="BM808" s="551"/>
      <c r="BN808" s="551"/>
      <c r="BO808" s="551"/>
      <c r="BP808" s="551"/>
      <c r="BQ808" s="551"/>
      <c r="BR808" s="551"/>
      <c r="BS808" s="551"/>
      <c r="BT808" s="551"/>
      <c r="BU808" s="551"/>
      <c r="BV808" s="551"/>
      <c r="BW808" s="551"/>
      <c r="BX808" s="551"/>
      <c r="BY808" s="551"/>
      <c r="BZ808" s="551"/>
      <c r="CA808" s="551"/>
      <c r="CB808" s="551"/>
      <c r="CC808" s="551"/>
      <c r="CD808" s="551"/>
      <c r="CE808" s="551"/>
      <c r="CF808" s="551"/>
      <c r="CG808" s="551"/>
      <c r="CH808" s="650"/>
      <c r="CI808" s="650"/>
      <c r="CJ808" s="650"/>
      <c r="CK808" s="650"/>
      <c r="CL808" s="650"/>
      <c r="CM808" s="551"/>
      <c r="CN808" s="551"/>
      <c r="CO808" s="551"/>
      <c r="CP808" s="650"/>
      <c r="CQ808" s="650"/>
      <c r="CR808" s="650"/>
      <c r="CS808" s="650"/>
      <c r="CT808" s="650"/>
      <c r="CU808" s="650"/>
    </row>
    <row r="809" s="1265" customFormat="1" ht="31" customHeight="1" spans="1:99">
      <c r="A809" s="641">
        <v>45996</v>
      </c>
      <c r="B809" s="642" t="s">
        <v>312</v>
      </c>
      <c r="C809" s="246" t="s">
        <v>278</v>
      </c>
      <c r="D809" s="551">
        <v>4500188247</v>
      </c>
      <c r="E809" s="246" t="s">
        <v>3120</v>
      </c>
      <c r="F809" s="551" t="s">
        <v>3121</v>
      </c>
      <c r="G809" s="659" t="s">
        <v>111</v>
      </c>
      <c r="H809" s="246" t="s">
        <v>112</v>
      </c>
      <c r="I809" s="246">
        <v>3008</v>
      </c>
      <c r="J809" s="246">
        <v>0</v>
      </c>
      <c r="K809" s="246">
        <v>16</v>
      </c>
      <c r="L809" s="644">
        <f t="shared" si="270"/>
        <v>188</v>
      </c>
      <c r="M809" s="645">
        <v>46083</v>
      </c>
      <c r="N809" s="645">
        <f t="shared" si="271"/>
        <v>46079</v>
      </c>
      <c r="O809" s="643"/>
      <c r="P809" s="824" t="s">
        <v>113</v>
      </c>
      <c r="Q809" s="646"/>
      <c r="R809" s="646">
        <v>45999</v>
      </c>
      <c r="S809" s="646" t="s">
        <v>70</v>
      </c>
      <c r="T809" s="646" t="s">
        <v>3057</v>
      </c>
      <c r="U809" s="646"/>
      <c r="V809" s="642"/>
      <c r="W809" s="642"/>
      <c r="X809" s="642" t="s">
        <v>3058</v>
      </c>
      <c r="Y809" s="647" t="s">
        <v>2199</v>
      </c>
      <c r="Z809" s="657">
        <v>4.2489</v>
      </c>
      <c r="AA809" s="647">
        <f t="shared" si="272"/>
        <v>12780.6912</v>
      </c>
      <c r="AB809" s="551"/>
      <c r="AC809" s="648"/>
      <c r="AD809" s="633" t="s">
        <v>111</v>
      </c>
      <c r="AE809" s="246" t="s">
        <v>82</v>
      </c>
      <c r="AF809" s="246"/>
      <c r="AG809" s="246"/>
      <c r="AH809" s="246" t="s">
        <v>126</v>
      </c>
      <c r="AI809" s="246">
        <f>2976+32</f>
        <v>3008</v>
      </c>
      <c r="AJ809" s="246">
        <f t="shared" si="265"/>
        <v>0</v>
      </c>
      <c r="AK809" s="246"/>
      <c r="AL809" s="246" t="s">
        <v>2368</v>
      </c>
      <c r="AM809" s="551"/>
      <c r="AN809" s="551">
        <f>I809</f>
        <v>3008</v>
      </c>
      <c r="AO809" s="1331"/>
      <c r="AP809" s="1331"/>
      <c r="AQ809" s="1331"/>
      <c r="AR809" s="551">
        <f>I809</f>
        <v>3008</v>
      </c>
      <c r="AS809" s="551"/>
      <c r="AT809" s="551"/>
      <c r="AU809" s="551">
        <f t="shared" si="273"/>
        <v>3008</v>
      </c>
      <c r="AV809" s="551"/>
      <c r="AW809" s="551">
        <f>I809</f>
        <v>3008</v>
      </c>
      <c r="AX809" s="651"/>
      <c r="AY809" s="551"/>
      <c r="AZ809" s="551"/>
      <c r="BA809" s="551"/>
      <c r="BB809" s="551"/>
      <c r="BC809" s="551"/>
      <c r="BD809" s="551"/>
      <c r="BE809" s="551"/>
      <c r="BF809" s="551"/>
      <c r="BG809" s="551"/>
      <c r="BH809" s="825">
        <f>I809/4</f>
        <v>752</v>
      </c>
      <c r="BI809" s="551"/>
      <c r="BJ809" s="551"/>
      <c r="BK809" s="551"/>
      <c r="BL809" s="551"/>
      <c r="BM809" s="551"/>
      <c r="BN809" s="551"/>
      <c r="BO809" s="551"/>
      <c r="BP809" s="551"/>
      <c r="BQ809" s="551"/>
      <c r="BR809" s="551"/>
      <c r="BS809" s="551"/>
      <c r="BT809" s="551"/>
      <c r="BU809" s="551"/>
      <c r="BV809" s="551"/>
      <c r="BW809" s="551"/>
      <c r="BX809" s="551"/>
      <c r="BY809" s="551"/>
      <c r="BZ809" s="551"/>
      <c r="CA809" s="551"/>
      <c r="CB809" s="551"/>
      <c r="CC809" s="551"/>
      <c r="CD809" s="551"/>
      <c r="CE809" s="551"/>
      <c r="CF809" s="551"/>
      <c r="CG809" s="551"/>
      <c r="CH809" s="650"/>
      <c r="CI809" s="650"/>
      <c r="CJ809" s="650"/>
      <c r="CK809" s="650"/>
      <c r="CL809" s="650"/>
      <c r="CM809" s="551"/>
      <c r="CN809" s="551"/>
      <c r="CO809" s="551"/>
      <c r="CP809" s="650"/>
      <c r="CQ809" s="650"/>
      <c r="CR809" s="650"/>
      <c r="CS809" s="650"/>
      <c r="CT809" s="650"/>
      <c r="CU809" s="650"/>
    </row>
    <row r="810" s="1265" customFormat="1" ht="31" customHeight="1" spans="1:99">
      <c r="A810" s="641">
        <v>45996</v>
      </c>
      <c r="B810" s="642" t="s">
        <v>312</v>
      </c>
      <c r="C810" s="246" t="s">
        <v>278</v>
      </c>
      <c r="D810" s="551">
        <v>4500188247</v>
      </c>
      <c r="E810" s="246" t="s">
        <v>3122</v>
      </c>
      <c r="F810" s="551" t="s">
        <v>3123</v>
      </c>
      <c r="G810" s="659" t="s">
        <v>111</v>
      </c>
      <c r="H810" s="246" t="s">
        <v>112</v>
      </c>
      <c r="I810" s="246">
        <v>2000</v>
      </c>
      <c r="J810" s="246">
        <v>0</v>
      </c>
      <c r="K810" s="246">
        <v>16</v>
      </c>
      <c r="L810" s="644">
        <f t="shared" si="270"/>
        <v>125</v>
      </c>
      <c r="M810" s="645">
        <v>46083</v>
      </c>
      <c r="N810" s="645">
        <f t="shared" si="271"/>
        <v>46079</v>
      </c>
      <c r="O810" s="643"/>
      <c r="P810" s="824" t="s">
        <v>113</v>
      </c>
      <c r="Q810" s="646"/>
      <c r="R810" s="646">
        <v>45999</v>
      </c>
      <c r="S810" s="646" t="s">
        <v>70</v>
      </c>
      <c r="T810" s="646" t="s">
        <v>3057</v>
      </c>
      <c r="U810" s="646"/>
      <c r="V810" s="642"/>
      <c r="W810" s="642"/>
      <c r="X810" s="642" t="s">
        <v>3058</v>
      </c>
      <c r="Y810" s="647" t="s">
        <v>2199</v>
      </c>
      <c r="Z810" s="657">
        <v>4.2542</v>
      </c>
      <c r="AA810" s="647">
        <f t="shared" si="272"/>
        <v>8508.4</v>
      </c>
      <c r="AB810" s="551"/>
      <c r="AC810" s="648"/>
      <c r="AD810" s="633" t="s">
        <v>111</v>
      </c>
      <c r="AE810" s="246" t="s">
        <v>82</v>
      </c>
      <c r="AF810" s="246"/>
      <c r="AG810" s="246"/>
      <c r="AH810" s="246" t="s">
        <v>126</v>
      </c>
      <c r="AI810" s="246">
        <v>2000</v>
      </c>
      <c r="AJ810" s="246">
        <f t="shared" si="265"/>
        <v>0</v>
      </c>
      <c r="AK810" s="246"/>
      <c r="AL810" s="246" t="s">
        <v>2368</v>
      </c>
      <c r="AM810" s="551"/>
      <c r="AN810" s="551">
        <f>I810</f>
        <v>2000</v>
      </c>
      <c r="AO810" s="1331"/>
      <c r="AP810" s="1331"/>
      <c r="AQ810" s="1331"/>
      <c r="AR810" s="551">
        <f>I810</f>
        <v>2000</v>
      </c>
      <c r="AS810" s="551"/>
      <c r="AT810" s="551"/>
      <c r="AU810" s="551">
        <f t="shared" si="273"/>
        <v>2000</v>
      </c>
      <c r="AV810" s="551"/>
      <c r="AW810" s="551">
        <f>I810</f>
        <v>2000</v>
      </c>
      <c r="AX810" s="651"/>
      <c r="AY810" s="551"/>
      <c r="AZ810" s="551"/>
      <c r="BA810" s="551"/>
      <c r="BB810" s="551"/>
      <c r="BC810" s="551"/>
      <c r="BD810" s="551"/>
      <c r="BE810" s="551"/>
      <c r="BF810" s="551"/>
      <c r="BG810" s="551"/>
      <c r="BH810" s="825">
        <f>I810/4</f>
        <v>500</v>
      </c>
      <c r="BI810" s="551"/>
      <c r="BJ810" s="551"/>
      <c r="BK810" s="551"/>
      <c r="BL810" s="551"/>
      <c r="BM810" s="551"/>
      <c r="BN810" s="551"/>
      <c r="BO810" s="551"/>
      <c r="BP810" s="551"/>
      <c r="BQ810" s="551"/>
      <c r="BR810" s="551"/>
      <c r="BS810" s="551"/>
      <c r="BT810" s="551"/>
      <c r="BU810" s="551"/>
      <c r="BV810" s="551"/>
      <c r="BW810" s="551"/>
      <c r="BX810" s="551"/>
      <c r="BY810" s="551"/>
      <c r="BZ810" s="551"/>
      <c r="CA810" s="551"/>
      <c r="CB810" s="551"/>
      <c r="CC810" s="551"/>
      <c r="CD810" s="551"/>
      <c r="CE810" s="551"/>
      <c r="CF810" s="551"/>
      <c r="CG810" s="551"/>
      <c r="CH810" s="650"/>
      <c r="CI810" s="650"/>
      <c r="CJ810" s="650"/>
      <c r="CK810" s="650"/>
      <c r="CL810" s="650"/>
      <c r="CM810" s="551"/>
      <c r="CN810" s="551"/>
      <c r="CO810" s="551"/>
      <c r="CP810" s="650"/>
      <c r="CQ810" s="650"/>
      <c r="CR810" s="650"/>
      <c r="CS810" s="650"/>
      <c r="CT810" s="650"/>
      <c r="CU810" s="650"/>
    </row>
    <row r="811" s="1265" customFormat="1" ht="31" customHeight="1" spans="1:99">
      <c r="A811" s="641">
        <v>45996</v>
      </c>
      <c r="B811" s="642" t="s">
        <v>312</v>
      </c>
      <c r="C811" s="246" t="s">
        <v>278</v>
      </c>
      <c r="D811" s="551">
        <v>4500188247</v>
      </c>
      <c r="E811" s="246" t="s">
        <v>3124</v>
      </c>
      <c r="F811" s="551" t="s">
        <v>3125</v>
      </c>
      <c r="G811" s="659" t="s">
        <v>111</v>
      </c>
      <c r="H811" s="246" t="s">
        <v>112</v>
      </c>
      <c r="I811" s="246">
        <v>3360</v>
      </c>
      <c r="J811" s="246">
        <v>0</v>
      </c>
      <c r="K811" s="246">
        <v>16</v>
      </c>
      <c r="L811" s="644">
        <f t="shared" si="270"/>
        <v>210</v>
      </c>
      <c r="M811" s="645">
        <v>46083</v>
      </c>
      <c r="N811" s="645">
        <f t="shared" si="271"/>
        <v>46079</v>
      </c>
      <c r="O811" s="643"/>
      <c r="P811" s="824" t="s">
        <v>113</v>
      </c>
      <c r="Q811" s="646"/>
      <c r="R811" s="646">
        <v>45999</v>
      </c>
      <c r="S811" s="646" t="s">
        <v>70</v>
      </c>
      <c r="T811" s="646" t="s">
        <v>3057</v>
      </c>
      <c r="U811" s="646"/>
      <c r="V811" s="642"/>
      <c r="W811" s="642"/>
      <c r="X811" s="642" t="s">
        <v>3058</v>
      </c>
      <c r="Y811" s="647" t="s">
        <v>2199</v>
      </c>
      <c r="Z811" s="657">
        <v>4.2489</v>
      </c>
      <c r="AA811" s="647">
        <f t="shared" si="272"/>
        <v>14276.304</v>
      </c>
      <c r="AB811" s="551"/>
      <c r="AC811" s="648"/>
      <c r="AD811" s="633" t="s">
        <v>111</v>
      </c>
      <c r="AE811" s="246" t="s">
        <v>82</v>
      </c>
      <c r="AF811" s="246"/>
      <c r="AG811" s="246"/>
      <c r="AH811" s="246" t="s">
        <v>126</v>
      </c>
      <c r="AI811" s="246">
        <v>3360</v>
      </c>
      <c r="AJ811" s="246">
        <f t="shared" si="265"/>
        <v>0</v>
      </c>
      <c r="AK811" s="246"/>
      <c r="AL811" s="246" t="s">
        <v>2368</v>
      </c>
      <c r="AM811" s="551"/>
      <c r="AN811" s="551">
        <f>I811</f>
        <v>3360</v>
      </c>
      <c r="AO811" s="1331"/>
      <c r="AP811" s="1331"/>
      <c r="AQ811" s="1331"/>
      <c r="AR811" s="551">
        <f>I811</f>
        <v>3360</v>
      </c>
      <c r="AS811" s="551"/>
      <c r="AT811" s="551"/>
      <c r="AU811" s="551">
        <f t="shared" si="273"/>
        <v>3360</v>
      </c>
      <c r="AV811" s="551"/>
      <c r="AW811" s="551">
        <f>I811</f>
        <v>3360</v>
      </c>
      <c r="AX811" s="651"/>
      <c r="AY811" s="551"/>
      <c r="AZ811" s="551"/>
      <c r="BA811" s="551"/>
      <c r="BB811" s="551"/>
      <c r="BC811" s="551"/>
      <c r="BD811" s="551"/>
      <c r="BE811" s="551"/>
      <c r="BF811" s="551"/>
      <c r="BG811" s="551"/>
      <c r="BH811" s="825">
        <f>I811/4</f>
        <v>840</v>
      </c>
      <c r="BI811" s="551"/>
      <c r="BJ811" s="551"/>
      <c r="BK811" s="551"/>
      <c r="BL811" s="551"/>
      <c r="BM811" s="551"/>
      <c r="BN811" s="551"/>
      <c r="BO811" s="551"/>
      <c r="BP811" s="551"/>
      <c r="BQ811" s="551"/>
      <c r="BR811" s="551"/>
      <c r="BS811" s="551"/>
      <c r="BT811" s="551"/>
      <c r="BU811" s="551"/>
      <c r="BV811" s="551"/>
      <c r="BW811" s="551"/>
      <c r="BX811" s="551"/>
      <c r="BY811" s="551"/>
      <c r="BZ811" s="551"/>
      <c r="CA811" s="551"/>
      <c r="CB811" s="551"/>
      <c r="CC811" s="551"/>
      <c r="CD811" s="551"/>
      <c r="CE811" s="551"/>
      <c r="CF811" s="551"/>
      <c r="CG811" s="551"/>
      <c r="CH811" s="650"/>
      <c r="CI811" s="650"/>
      <c r="CJ811" s="650"/>
      <c r="CK811" s="650"/>
      <c r="CL811" s="650"/>
      <c r="CM811" s="551"/>
      <c r="CN811" s="551"/>
      <c r="CO811" s="551"/>
      <c r="CP811" s="650"/>
      <c r="CQ811" s="650"/>
      <c r="CR811" s="650"/>
      <c r="CS811" s="650"/>
      <c r="CT811" s="650"/>
      <c r="CU811" s="650"/>
    </row>
    <row r="812" s="1265" customFormat="1" ht="31" customHeight="1" spans="1:99">
      <c r="A812" s="641">
        <v>46035</v>
      </c>
      <c r="B812" s="642" t="s">
        <v>3126</v>
      </c>
      <c r="C812" s="246" t="s">
        <v>98</v>
      </c>
      <c r="D812" s="551">
        <v>4500191213</v>
      </c>
      <c r="E812" s="246">
        <v>33826</v>
      </c>
      <c r="F812" s="551" t="s">
        <v>3127</v>
      </c>
      <c r="G812" s="659" t="s">
        <v>3128</v>
      </c>
      <c r="H812" s="246" t="s">
        <v>3129</v>
      </c>
      <c r="I812" s="246">
        <v>900</v>
      </c>
      <c r="J812" s="246">
        <v>0</v>
      </c>
      <c r="K812" s="246">
        <v>12</v>
      </c>
      <c r="L812" s="644">
        <f t="shared" si="270"/>
        <v>75</v>
      </c>
      <c r="M812" s="645">
        <v>46083</v>
      </c>
      <c r="N812" s="645">
        <f t="shared" si="271"/>
        <v>46079</v>
      </c>
      <c r="O812" s="643"/>
      <c r="P812" s="824" t="s">
        <v>113</v>
      </c>
      <c r="Q812" s="646"/>
      <c r="R812" s="646" t="s">
        <v>454</v>
      </c>
      <c r="S812" s="646" t="s">
        <v>70</v>
      </c>
      <c r="T812" s="646" t="s">
        <v>70</v>
      </c>
      <c r="U812" s="646"/>
      <c r="V812" s="642"/>
      <c r="W812" s="642"/>
      <c r="X812" s="642" t="s">
        <v>3130</v>
      </c>
      <c r="Y812" s="647" t="s">
        <v>1781</v>
      </c>
      <c r="Z812" s="657">
        <v>2.5501</v>
      </c>
      <c r="AA812" s="647">
        <f t="shared" si="272"/>
        <v>2295.09</v>
      </c>
      <c r="AB812" s="551"/>
      <c r="AC812" s="658" t="s">
        <v>3131</v>
      </c>
      <c r="AD812" s="633" t="s">
        <v>3128</v>
      </c>
      <c r="AE812" s="246" t="s">
        <v>82</v>
      </c>
      <c r="AF812" s="246"/>
      <c r="AG812" s="246"/>
      <c r="AH812" s="246">
        <v>1</v>
      </c>
      <c r="AI812" s="246">
        <v>900</v>
      </c>
      <c r="AJ812" s="246"/>
      <c r="AK812" s="246"/>
      <c r="AL812" s="246"/>
      <c r="AM812" s="551"/>
      <c r="AN812" s="551"/>
      <c r="AO812" s="1331"/>
      <c r="AP812" s="1331"/>
      <c r="AQ812" s="1331"/>
      <c r="AR812" s="551">
        <f>I812</f>
        <v>900</v>
      </c>
      <c r="AS812" s="551"/>
      <c r="AT812" s="551"/>
      <c r="AU812" s="551">
        <f t="shared" si="273"/>
        <v>900</v>
      </c>
      <c r="AV812" s="551"/>
      <c r="AW812" s="551"/>
      <c r="AX812" s="651"/>
      <c r="AY812" s="551"/>
      <c r="AZ812" s="551"/>
      <c r="BA812" s="551"/>
      <c r="BB812" s="551"/>
      <c r="BC812" s="551"/>
      <c r="BD812" s="551"/>
      <c r="BE812" s="551"/>
      <c r="BF812" s="551"/>
      <c r="BG812" s="551"/>
      <c r="BH812" s="825">
        <f>I812/4</f>
        <v>225</v>
      </c>
      <c r="BI812" s="551"/>
      <c r="BJ812" s="551"/>
      <c r="BK812" s="551"/>
      <c r="BL812" s="551"/>
      <c r="BM812" s="551"/>
      <c r="BN812" s="551"/>
      <c r="BO812" s="551"/>
      <c r="BP812" s="551"/>
      <c r="BQ812" s="551"/>
      <c r="BR812" s="551"/>
      <c r="BS812" s="551"/>
      <c r="BT812" s="551"/>
      <c r="BU812" s="551"/>
      <c r="BV812" s="551"/>
      <c r="BW812" s="551"/>
      <c r="BX812" s="551"/>
      <c r="BY812" s="551"/>
      <c r="BZ812" s="551"/>
      <c r="CA812" s="551"/>
      <c r="CB812" s="551"/>
      <c r="CC812" s="551"/>
      <c r="CD812" s="551"/>
      <c r="CE812" s="551"/>
      <c r="CF812" s="551"/>
      <c r="CG812" s="551"/>
      <c r="CH812" s="650"/>
      <c r="CI812" s="650"/>
      <c r="CJ812" s="650"/>
      <c r="CK812" s="650"/>
      <c r="CL812" s="650"/>
      <c r="CM812" s="551"/>
      <c r="CN812" s="551"/>
      <c r="CO812" s="551"/>
      <c r="CP812" s="650"/>
      <c r="CQ812" s="650"/>
      <c r="CR812" s="650"/>
      <c r="CS812" s="650"/>
      <c r="CT812" s="650"/>
      <c r="CU812" s="650"/>
    </row>
    <row r="813" s="1265" customFormat="1" ht="31" customHeight="1" spans="1:99">
      <c r="A813" s="641">
        <v>46387</v>
      </c>
      <c r="B813" s="642" t="s">
        <v>1896</v>
      </c>
      <c r="C813" s="246" t="s">
        <v>399</v>
      </c>
      <c r="D813" s="551">
        <v>4500190510</v>
      </c>
      <c r="E813" s="246"/>
      <c r="F813" s="551" t="s">
        <v>3132</v>
      </c>
      <c r="G813" s="659" t="s">
        <v>130</v>
      </c>
      <c r="H813" s="246" t="s">
        <v>131</v>
      </c>
      <c r="I813" s="246">
        <v>1200</v>
      </c>
      <c r="J813" s="246">
        <v>0</v>
      </c>
      <c r="K813" s="246">
        <v>6</v>
      </c>
      <c r="L813" s="644">
        <f t="shared" si="270"/>
        <v>200</v>
      </c>
      <c r="M813" s="645">
        <v>46084</v>
      </c>
      <c r="N813" s="645">
        <v>46081</v>
      </c>
      <c r="O813" s="643"/>
      <c r="P813" s="824" t="s">
        <v>113</v>
      </c>
      <c r="Q813" s="646"/>
      <c r="R813" s="646" t="s">
        <v>454</v>
      </c>
      <c r="S813" s="646" t="s">
        <v>70</v>
      </c>
      <c r="T813" s="646" t="s">
        <v>3133</v>
      </c>
      <c r="U813" s="646"/>
      <c r="V813" s="642"/>
      <c r="W813" s="642"/>
      <c r="X813" s="642" t="s">
        <v>3134</v>
      </c>
      <c r="Y813" s="647" t="s">
        <v>445</v>
      </c>
      <c r="Z813" s="657">
        <v>4.2266</v>
      </c>
      <c r="AA813" s="647">
        <f t="shared" si="272"/>
        <v>5071.92</v>
      </c>
      <c r="AB813" s="551"/>
      <c r="AC813" s="648"/>
      <c r="AD813" s="633" t="s">
        <v>453</v>
      </c>
      <c r="AE813" s="246" t="s">
        <v>82</v>
      </c>
      <c r="AF813" s="246"/>
      <c r="AG813" s="246"/>
      <c r="AH813" s="246">
        <v>1</v>
      </c>
      <c r="AI813" s="246">
        <v>1200</v>
      </c>
      <c r="AJ813" s="246">
        <f t="shared" ref="AJ813:AJ822" si="274">AI813-I813</f>
        <v>0</v>
      </c>
      <c r="AK813" s="246"/>
      <c r="AL813" s="246" t="s">
        <v>2368</v>
      </c>
      <c r="AM813" s="551"/>
      <c r="AN813" s="551">
        <f>I813</f>
        <v>1200</v>
      </c>
      <c r="AO813" s="1331"/>
      <c r="AP813" s="1331"/>
      <c r="AQ813" s="1331"/>
      <c r="AR813" s="551"/>
      <c r="AS813" s="551">
        <f>I813</f>
        <v>1200</v>
      </c>
      <c r="AT813" s="551"/>
      <c r="AU813" s="551">
        <f t="shared" si="273"/>
        <v>1200</v>
      </c>
      <c r="AV813" s="551"/>
      <c r="AW813" s="551">
        <f t="shared" ref="AW813:AW827" si="275">I813</f>
        <v>1200</v>
      </c>
      <c r="AX813" s="651"/>
      <c r="AY813" s="551"/>
      <c r="AZ813" s="551"/>
      <c r="BA813" s="551"/>
      <c r="BB813" s="551"/>
      <c r="BC813" s="551"/>
      <c r="BD813" s="551"/>
      <c r="BE813" s="551"/>
      <c r="BF813" s="551"/>
      <c r="BG813" s="551"/>
      <c r="BH813" s="551"/>
      <c r="BI813" s="551"/>
      <c r="BJ813" s="551"/>
      <c r="BK813" s="551"/>
      <c r="BL813" s="551"/>
      <c r="BM813" s="551"/>
      <c r="BN813" s="551"/>
      <c r="BO813" s="551"/>
      <c r="BP813" s="551"/>
      <c r="BQ813" s="551"/>
      <c r="BR813" s="551"/>
      <c r="BS813" s="551"/>
      <c r="BT813" s="551"/>
      <c r="BU813" s="551"/>
      <c r="BV813" s="551"/>
      <c r="BW813" s="551"/>
      <c r="BX813" s="551"/>
      <c r="BY813" s="551"/>
      <c r="BZ813" s="551"/>
      <c r="CA813" s="551"/>
      <c r="CB813" s="551"/>
      <c r="CC813" s="551"/>
      <c r="CD813" s="551"/>
      <c r="CE813" s="551"/>
      <c r="CF813" s="551"/>
      <c r="CG813" s="551"/>
      <c r="CH813" s="650"/>
      <c r="CI813" s="650"/>
      <c r="CJ813" s="650"/>
      <c r="CK813" s="650"/>
      <c r="CL813" s="650"/>
      <c r="CM813" s="551"/>
      <c r="CN813" s="551"/>
      <c r="CO813" s="551"/>
      <c r="CP813" s="650"/>
      <c r="CQ813" s="650"/>
      <c r="CR813" s="650"/>
      <c r="CS813" s="650"/>
      <c r="CT813" s="650"/>
      <c r="CU813" s="650"/>
    </row>
    <row r="814" s="1265" customFormat="1" ht="31" customHeight="1" spans="1:99">
      <c r="A814" s="641">
        <v>46013</v>
      </c>
      <c r="B814" s="642" t="s">
        <v>2441</v>
      </c>
      <c r="C814" s="246" t="s">
        <v>241</v>
      </c>
      <c r="D814" s="551">
        <v>4500189585</v>
      </c>
      <c r="E814" s="246">
        <v>20148</v>
      </c>
      <c r="F814" s="551" t="s">
        <v>3135</v>
      </c>
      <c r="G814" s="659" t="s">
        <v>68</v>
      </c>
      <c r="H814" s="633" t="s">
        <v>69</v>
      </c>
      <c r="I814" s="246">
        <v>576</v>
      </c>
      <c r="J814" s="246">
        <v>0</v>
      </c>
      <c r="K814" s="246">
        <v>12</v>
      </c>
      <c r="L814" s="644">
        <f t="shared" si="270"/>
        <v>48</v>
      </c>
      <c r="M814" s="645">
        <v>46087</v>
      </c>
      <c r="N814" s="645">
        <v>46083</v>
      </c>
      <c r="O814" s="643"/>
      <c r="P814" s="824" t="s">
        <v>113</v>
      </c>
      <c r="Q814" s="646"/>
      <c r="R814" s="646">
        <v>46013</v>
      </c>
      <c r="S814" s="646" t="s">
        <v>70</v>
      </c>
      <c r="T814" s="646" t="s">
        <v>2443</v>
      </c>
      <c r="U814" s="646"/>
      <c r="V814" s="642"/>
      <c r="W814" s="642"/>
      <c r="X814" s="642" t="s">
        <v>3136</v>
      </c>
      <c r="Y814" s="647" t="s">
        <v>299</v>
      </c>
      <c r="Z814" s="657">
        <v>4.1185</v>
      </c>
      <c r="AA814" s="647">
        <f t="shared" si="272"/>
        <v>2372.256</v>
      </c>
      <c r="AB814" s="551"/>
      <c r="AC814" s="648"/>
      <c r="AD814" s="633" t="s">
        <v>184</v>
      </c>
      <c r="AE814" s="246" t="s">
        <v>82</v>
      </c>
      <c r="AF814" s="246"/>
      <c r="AG814" s="246"/>
      <c r="AH814" s="246">
        <v>1</v>
      </c>
      <c r="AI814" s="246">
        <v>576</v>
      </c>
      <c r="AJ814" s="246">
        <f t="shared" si="274"/>
        <v>0</v>
      </c>
      <c r="AK814" s="246"/>
      <c r="AL814" s="246" t="s">
        <v>2368</v>
      </c>
      <c r="AM814" s="551"/>
      <c r="AN814" s="551">
        <f>I814</f>
        <v>576</v>
      </c>
      <c r="AO814" s="1331"/>
      <c r="AP814" s="1331"/>
      <c r="AQ814" s="1331"/>
      <c r="AR814" s="551"/>
      <c r="AS814" s="551">
        <f>I814</f>
        <v>576</v>
      </c>
      <c r="AT814" s="551"/>
      <c r="AU814" s="551">
        <f t="shared" si="273"/>
        <v>576</v>
      </c>
      <c r="AV814" s="551"/>
      <c r="AW814" s="551">
        <f t="shared" si="275"/>
        <v>576</v>
      </c>
      <c r="AX814" s="651"/>
      <c r="AY814" s="551"/>
      <c r="AZ814" s="551"/>
      <c r="BA814" s="551"/>
      <c r="BB814" s="551"/>
      <c r="BC814" s="551"/>
      <c r="BD814" s="551"/>
      <c r="BE814" s="551"/>
      <c r="BF814" s="551"/>
      <c r="BG814" s="551"/>
      <c r="BH814" s="551"/>
      <c r="BI814" s="551"/>
      <c r="BJ814" s="551"/>
      <c r="BK814" s="551"/>
      <c r="BL814" s="551"/>
      <c r="BM814" s="551"/>
      <c r="BN814" s="551"/>
      <c r="BO814" s="551"/>
      <c r="BP814" s="551"/>
      <c r="BQ814" s="551"/>
      <c r="BR814" s="551"/>
      <c r="BS814" s="551"/>
      <c r="BT814" s="551"/>
      <c r="BU814" s="551"/>
      <c r="BV814" s="551"/>
      <c r="BW814" s="551"/>
      <c r="BX814" s="551"/>
      <c r="BY814" s="551"/>
      <c r="BZ814" s="551"/>
      <c r="CA814" s="551"/>
      <c r="CB814" s="551"/>
      <c r="CC814" s="551"/>
      <c r="CD814" s="551"/>
      <c r="CE814" s="551"/>
      <c r="CF814" s="551"/>
      <c r="CG814" s="551"/>
      <c r="CH814" s="650"/>
      <c r="CI814" s="650"/>
      <c r="CJ814" s="650"/>
      <c r="CK814" s="650"/>
      <c r="CL814" s="650"/>
      <c r="CM814" s="551"/>
      <c r="CN814" s="551"/>
      <c r="CO814" s="551"/>
      <c r="CP814" s="650"/>
      <c r="CQ814" s="650"/>
      <c r="CR814" s="650"/>
      <c r="CS814" s="650"/>
      <c r="CT814" s="650"/>
      <c r="CU814" s="650"/>
    </row>
    <row r="815" s="1265" customFormat="1" ht="31" customHeight="1" spans="1:99">
      <c r="A815" s="641">
        <v>46020</v>
      </c>
      <c r="B815" s="642" t="s">
        <v>225</v>
      </c>
      <c r="C815" s="246" t="s">
        <v>226</v>
      </c>
      <c r="D815" s="551">
        <v>4500190283</v>
      </c>
      <c r="E815" s="246" t="s">
        <v>3137</v>
      </c>
      <c r="F815" s="551" t="s">
        <v>3138</v>
      </c>
      <c r="G815" s="659" t="s">
        <v>68</v>
      </c>
      <c r="H815" s="633" t="s">
        <v>69</v>
      </c>
      <c r="I815" s="246">
        <v>12600</v>
      </c>
      <c r="J815" s="246">
        <v>0</v>
      </c>
      <c r="K815" s="246">
        <v>12</v>
      </c>
      <c r="L815" s="644">
        <f t="shared" si="270"/>
        <v>1050</v>
      </c>
      <c r="M815" s="645">
        <v>46087</v>
      </c>
      <c r="N815" s="645">
        <v>46083</v>
      </c>
      <c r="O815" s="643"/>
      <c r="P815" s="824" t="s">
        <v>113</v>
      </c>
      <c r="Q815" s="646"/>
      <c r="R815" s="646">
        <v>46020</v>
      </c>
      <c r="S815" s="646" t="s">
        <v>70</v>
      </c>
      <c r="T815" s="646" t="s">
        <v>3139</v>
      </c>
      <c r="U815" s="646"/>
      <c r="V815" s="642"/>
      <c r="W815" s="642"/>
      <c r="X815" s="628" t="s">
        <v>3140</v>
      </c>
      <c r="Y815" s="647" t="s">
        <v>230</v>
      </c>
      <c r="Z815" s="657">
        <v>4.1516</v>
      </c>
      <c r="AA815" s="647">
        <f t="shared" si="272"/>
        <v>52310.16</v>
      </c>
      <c r="AB815" s="551"/>
      <c r="AC815" s="648"/>
      <c r="AD815" s="633" t="s">
        <v>68</v>
      </c>
      <c r="AE815" s="246" t="s">
        <v>82</v>
      </c>
      <c r="AF815" s="246"/>
      <c r="AG815" s="246"/>
      <c r="AH815" s="246">
        <v>1</v>
      </c>
      <c r="AI815" s="246">
        <v>12600</v>
      </c>
      <c r="AJ815" s="246">
        <f t="shared" si="274"/>
        <v>0</v>
      </c>
      <c r="AK815" s="246"/>
      <c r="AL815" s="246" t="s">
        <v>2368</v>
      </c>
      <c r="AM815" s="551"/>
      <c r="AN815" s="551">
        <f>I815</f>
        <v>12600</v>
      </c>
      <c r="AO815" s="1331"/>
      <c r="AP815" s="1331"/>
      <c r="AQ815" s="1331"/>
      <c r="AR815" s="551">
        <f>I815</f>
        <v>12600</v>
      </c>
      <c r="AS815" s="551"/>
      <c r="AT815" s="551"/>
      <c r="AU815" s="551">
        <f t="shared" si="273"/>
        <v>12600</v>
      </c>
      <c r="AV815" s="551"/>
      <c r="AW815" s="551">
        <f t="shared" si="275"/>
        <v>12600</v>
      </c>
      <c r="AX815" s="651"/>
      <c r="AY815" s="551"/>
      <c r="AZ815" s="551"/>
      <c r="BA815" s="551"/>
      <c r="BB815" s="551"/>
      <c r="BC815" s="551"/>
      <c r="BD815" s="551"/>
      <c r="BE815" s="551"/>
      <c r="BF815" s="551"/>
      <c r="BG815" s="551"/>
      <c r="BH815" s="551"/>
      <c r="BI815" s="551"/>
      <c r="BJ815" s="551"/>
      <c r="BK815" s="551"/>
      <c r="BL815" s="551"/>
      <c r="BM815" s="551"/>
      <c r="BN815" s="551"/>
      <c r="BO815" s="551"/>
      <c r="BP815" s="551"/>
      <c r="BQ815" s="551"/>
      <c r="BR815" s="551"/>
      <c r="BS815" s="551"/>
      <c r="BT815" s="551"/>
      <c r="BU815" s="551"/>
      <c r="BV815" s="551"/>
      <c r="BW815" s="551"/>
      <c r="BX815" s="551"/>
      <c r="BY815" s="551"/>
      <c r="BZ815" s="551"/>
      <c r="CA815" s="551"/>
      <c r="CB815" s="551"/>
      <c r="CC815" s="551"/>
      <c r="CD815" s="551"/>
      <c r="CE815" s="551"/>
      <c r="CF815" s="551"/>
      <c r="CG815" s="551"/>
      <c r="CH815" s="650"/>
      <c r="CI815" s="650"/>
      <c r="CJ815" s="650"/>
      <c r="CK815" s="650"/>
      <c r="CL815" s="650"/>
      <c r="CM815" s="551"/>
      <c r="CN815" s="551"/>
      <c r="CO815" s="551"/>
      <c r="CP815" s="650"/>
      <c r="CQ815" s="650"/>
      <c r="CR815" s="650"/>
      <c r="CS815" s="650"/>
      <c r="CT815" s="650"/>
      <c r="CU815" s="650"/>
    </row>
    <row r="816" s="1265" customFormat="1" ht="31" customHeight="1" spans="1:99">
      <c r="A816" s="641">
        <v>46022</v>
      </c>
      <c r="B816" s="642" t="s">
        <v>325</v>
      </c>
      <c r="C816" s="246" t="s">
        <v>98</v>
      </c>
      <c r="D816" s="551">
        <v>4500189636</v>
      </c>
      <c r="E816" s="246" t="s">
        <v>3141</v>
      </c>
      <c r="F816" s="551" t="s">
        <v>3142</v>
      </c>
      <c r="G816" s="659" t="s">
        <v>249</v>
      </c>
      <c r="H816" s="246" t="s">
        <v>250</v>
      </c>
      <c r="I816" s="246">
        <v>26252</v>
      </c>
      <c r="J816" s="246">
        <v>0</v>
      </c>
      <c r="K816" s="246">
        <v>4</v>
      </c>
      <c r="L816" s="644">
        <f t="shared" si="270"/>
        <v>6563</v>
      </c>
      <c r="M816" s="645">
        <v>46087</v>
      </c>
      <c r="N816" s="645">
        <v>46083</v>
      </c>
      <c r="O816" s="643"/>
      <c r="P816" s="824" t="s">
        <v>113</v>
      </c>
      <c r="Q816" s="646"/>
      <c r="R816" s="646">
        <v>46026</v>
      </c>
      <c r="S816" s="646" t="s">
        <v>104</v>
      </c>
      <c r="T816" s="646" t="s">
        <v>3022</v>
      </c>
      <c r="U816" s="646"/>
      <c r="V816" s="642"/>
      <c r="W816" s="642"/>
      <c r="X816" s="642" t="s">
        <v>3143</v>
      </c>
      <c r="Y816" s="647" t="s">
        <v>252</v>
      </c>
      <c r="Z816" s="657">
        <v>2.7734</v>
      </c>
      <c r="AA816" s="647">
        <f t="shared" si="272"/>
        <v>72807.2968</v>
      </c>
      <c r="AB816" s="551"/>
      <c r="AC816" s="658" t="s">
        <v>3144</v>
      </c>
      <c r="AD816" s="633" t="s">
        <v>249</v>
      </c>
      <c r="AE816" s="246" t="s">
        <v>82</v>
      </c>
      <c r="AF816" s="246"/>
      <c r="AG816" s="246"/>
      <c r="AH816" s="246">
        <v>1</v>
      </c>
      <c r="AI816" s="246">
        <f>3600+11520+11132</f>
        <v>26252</v>
      </c>
      <c r="AJ816" s="246">
        <f t="shared" si="274"/>
        <v>0</v>
      </c>
      <c r="AK816" s="246"/>
      <c r="AL816" s="246" t="s">
        <v>2368</v>
      </c>
      <c r="AM816" s="551"/>
      <c r="AN816" s="551"/>
      <c r="AO816" s="1331"/>
      <c r="AP816" s="1331">
        <f>I816</f>
        <v>26252</v>
      </c>
      <c r="AQ816" s="1331"/>
      <c r="AR816" s="551"/>
      <c r="AS816" s="551"/>
      <c r="AT816" s="551"/>
      <c r="AU816" s="551"/>
      <c r="AV816" s="551"/>
      <c r="AW816" s="551">
        <f t="shared" si="275"/>
        <v>26252</v>
      </c>
      <c r="AX816" s="651"/>
      <c r="AY816" s="551"/>
      <c r="AZ816" s="551"/>
      <c r="BA816" s="551"/>
      <c r="BB816" s="551"/>
      <c r="BC816" s="551"/>
      <c r="BD816" s="551"/>
      <c r="BE816" s="551"/>
      <c r="BF816" s="551">
        <f>I816</f>
        <v>26252</v>
      </c>
      <c r="BG816" s="551">
        <f>I816</f>
        <v>26252</v>
      </c>
      <c r="BH816" s="825">
        <f>I816/4</f>
        <v>6563</v>
      </c>
      <c r="BI816" s="551"/>
      <c r="BJ816" s="551"/>
      <c r="BK816" s="551"/>
      <c r="BL816" s="551"/>
      <c r="BM816" s="551"/>
      <c r="BN816" s="551"/>
      <c r="BO816" s="551"/>
      <c r="BP816" s="551"/>
      <c r="BQ816" s="551"/>
      <c r="BR816" s="551"/>
      <c r="BS816" s="551"/>
      <c r="BT816" s="551"/>
      <c r="BU816" s="551"/>
      <c r="BV816" s="551"/>
      <c r="BW816" s="551"/>
      <c r="BX816" s="551"/>
      <c r="BY816" s="551"/>
      <c r="BZ816" s="551"/>
      <c r="CA816" s="551"/>
      <c r="CB816" s="551"/>
      <c r="CC816" s="551"/>
      <c r="CD816" s="551"/>
      <c r="CE816" s="551"/>
      <c r="CF816" s="551"/>
      <c r="CG816" s="551"/>
      <c r="CH816" s="650"/>
      <c r="CI816" s="650"/>
      <c r="CJ816" s="650"/>
      <c r="CK816" s="650"/>
      <c r="CL816" s="650"/>
      <c r="CM816" s="551"/>
      <c r="CN816" s="551"/>
      <c r="CO816" s="551"/>
      <c r="CP816" s="650"/>
      <c r="CQ816" s="650"/>
      <c r="CR816" s="650"/>
      <c r="CS816" s="650"/>
      <c r="CT816" s="650"/>
      <c r="CU816" s="650"/>
    </row>
    <row r="817" s="1265" customFormat="1" ht="31" customHeight="1" spans="1:99">
      <c r="A817" s="641">
        <v>46000</v>
      </c>
      <c r="B817" s="642" t="s">
        <v>1772</v>
      </c>
      <c r="C817" s="246" t="s">
        <v>278</v>
      </c>
      <c r="D817" s="551">
        <v>4500187028</v>
      </c>
      <c r="E817" s="246" t="s">
        <v>3145</v>
      </c>
      <c r="F817" s="551" t="s">
        <v>3146</v>
      </c>
      <c r="G817" s="659" t="s">
        <v>280</v>
      </c>
      <c r="H817" s="246" t="s">
        <v>281</v>
      </c>
      <c r="I817" s="246">
        <v>1200</v>
      </c>
      <c r="J817" s="246">
        <v>4</v>
      </c>
      <c r="K817" s="246">
        <v>16</v>
      </c>
      <c r="L817" s="644">
        <f t="shared" si="270"/>
        <v>75</v>
      </c>
      <c r="M817" s="645">
        <v>46090</v>
      </c>
      <c r="N817" s="645">
        <v>46086</v>
      </c>
      <c r="O817" s="643"/>
      <c r="P817" s="824" t="s">
        <v>113</v>
      </c>
      <c r="Q817" s="646"/>
      <c r="R817" s="646">
        <v>46000</v>
      </c>
      <c r="S817" s="646" t="s">
        <v>70</v>
      </c>
      <c r="T817" s="646" t="s">
        <v>70</v>
      </c>
      <c r="U817" s="646"/>
      <c r="V817" s="642"/>
      <c r="W817" s="642"/>
      <c r="X817" s="642" t="s">
        <v>3147</v>
      </c>
      <c r="Y817" s="647" t="s">
        <v>299</v>
      </c>
      <c r="Z817" s="657">
        <v>4.3217</v>
      </c>
      <c r="AA817" s="647">
        <f t="shared" si="272"/>
        <v>5186.04</v>
      </c>
      <c r="AB817" s="551"/>
      <c r="AC817" s="648"/>
      <c r="AD817" s="633" t="s">
        <v>280</v>
      </c>
      <c r="AE817" s="246" t="s">
        <v>82</v>
      </c>
      <c r="AF817" s="246"/>
      <c r="AG817" s="246"/>
      <c r="AH817" s="246">
        <v>1</v>
      </c>
      <c r="AI817" s="246">
        <f>1184+16</f>
        <v>1200</v>
      </c>
      <c r="AJ817" s="246">
        <f t="shared" si="274"/>
        <v>0</v>
      </c>
      <c r="AK817" s="246"/>
      <c r="AL817" s="246"/>
      <c r="AM817" s="551"/>
      <c r="AN817" s="551">
        <f>I817</f>
        <v>1200</v>
      </c>
      <c r="AO817" s="1331"/>
      <c r="AP817" s="1331"/>
      <c r="AQ817" s="1331"/>
      <c r="AR817" s="551">
        <f>I817</f>
        <v>1200</v>
      </c>
      <c r="AS817" s="551"/>
      <c r="AT817" s="551"/>
      <c r="AU817" s="551">
        <f>I817</f>
        <v>1200</v>
      </c>
      <c r="AV817" s="551"/>
      <c r="AW817" s="551">
        <f t="shared" si="275"/>
        <v>1200</v>
      </c>
      <c r="AX817" s="651"/>
      <c r="AY817" s="551"/>
      <c r="AZ817" s="551"/>
      <c r="BA817" s="551"/>
      <c r="BB817" s="551"/>
      <c r="BC817" s="551"/>
      <c r="BD817" s="551"/>
      <c r="BE817" s="551"/>
      <c r="BF817" s="551"/>
      <c r="BG817" s="551"/>
      <c r="BH817" s="825">
        <f>I817/4</f>
        <v>300</v>
      </c>
      <c r="BI817" s="551"/>
      <c r="BJ817" s="551"/>
      <c r="BK817" s="551"/>
      <c r="BL817" s="551"/>
      <c r="BM817" s="551"/>
      <c r="BN817" s="551"/>
      <c r="BO817" s="551"/>
      <c r="BP817" s="551"/>
      <c r="BQ817" s="551"/>
      <c r="BR817" s="551"/>
      <c r="BS817" s="551"/>
      <c r="BT817" s="551"/>
      <c r="BU817" s="551"/>
      <c r="BV817" s="551"/>
      <c r="BW817" s="551"/>
      <c r="BX817" s="551"/>
      <c r="BY817" s="551"/>
      <c r="BZ817" s="551"/>
      <c r="CA817" s="551"/>
      <c r="CB817" s="551"/>
      <c r="CC817" s="551"/>
      <c r="CD817" s="551"/>
      <c r="CE817" s="551"/>
      <c r="CF817" s="551"/>
      <c r="CG817" s="551"/>
      <c r="CH817" s="650"/>
      <c r="CI817" s="650"/>
      <c r="CJ817" s="650"/>
      <c r="CK817" s="650"/>
      <c r="CL817" s="650"/>
      <c r="CM817" s="551"/>
      <c r="CN817" s="551"/>
      <c r="CO817" s="551"/>
      <c r="CP817" s="650"/>
      <c r="CQ817" s="650"/>
      <c r="CR817" s="650"/>
      <c r="CS817" s="650"/>
      <c r="CT817" s="650"/>
      <c r="CU817" s="650"/>
    </row>
    <row r="818" s="1265" customFormat="1" ht="31" customHeight="1" spans="1:99">
      <c r="A818" s="641">
        <v>46033</v>
      </c>
      <c r="B818" s="642" t="s">
        <v>3148</v>
      </c>
      <c r="C818" s="246" t="s">
        <v>170</v>
      </c>
      <c r="D818" s="551">
        <v>4500191116</v>
      </c>
      <c r="E818" s="246" t="s">
        <v>3149</v>
      </c>
      <c r="F818" s="551" t="s">
        <v>3150</v>
      </c>
      <c r="G818" s="659" t="s">
        <v>68</v>
      </c>
      <c r="H818" s="633" t="s">
        <v>69</v>
      </c>
      <c r="I818" s="246">
        <v>720</v>
      </c>
      <c r="J818" s="246">
        <v>0</v>
      </c>
      <c r="K818" s="246">
        <v>12</v>
      </c>
      <c r="L818" s="644">
        <f t="shared" si="270"/>
        <v>60</v>
      </c>
      <c r="M818" s="645">
        <v>46084</v>
      </c>
      <c r="N818" s="645">
        <v>46081</v>
      </c>
      <c r="O818" s="643"/>
      <c r="P818" s="824" t="s">
        <v>113</v>
      </c>
      <c r="Q818" s="646"/>
      <c r="R818" s="646">
        <v>46038</v>
      </c>
      <c r="S818" s="646" t="s">
        <v>70</v>
      </c>
      <c r="T818" s="646" t="s">
        <v>454</v>
      </c>
      <c r="U818" s="646"/>
      <c r="V818" s="642"/>
      <c r="W818" s="642"/>
      <c r="X818" s="642" t="s">
        <v>3151</v>
      </c>
      <c r="Y818" s="647" t="s">
        <v>1150</v>
      </c>
      <c r="Z818" s="657">
        <v>4.1623</v>
      </c>
      <c r="AA818" s="647">
        <f t="shared" si="272"/>
        <v>2996.856</v>
      </c>
      <c r="AB818" s="551"/>
      <c r="AC818" s="648"/>
      <c r="AD818" s="633" t="s">
        <v>184</v>
      </c>
      <c r="AE818" s="246" t="s">
        <v>82</v>
      </c>
      <c r="AF818" s="246"/>
      <c r="AG818" s="246"/>
      <c r="AH818" s="246">
        <v>1</v>
      </c>
      <c r="AI818" s="246">
        <v>720</v>
      </c>
      <c r="AJ818" s="246">
        <f t="shared" si="274"/>
        <v>0</v>
      </c>
      <c r="AK818" s="246"/>
      <c r="AL818" s="246" t="s">
        <v>2368</v>
      </c>
      <c r="AM818" s="551"/>
      <c r="AN818" s="551">
        <f>I818</f>
        <v>720</v>
      </c>
      <c r="AO818" s="1331"/>
      <c r="AP818" s="1331"/>
      <c r="AQ818" s="1331"/>
      <c r="AR818" s="551"/>
      <c r="AS818" s="551">
        <f>I818</f>
        <v>720</v>
      </c>
      <c r="AT818" s="551"/>
      <c r="AU818" s="551">
        <f>I818</f>
        <v>720</v>
      </c>
      <c r="AV818" s="551"/>
      <c r="AW818" s="551">
        <f t="shared" si="275"/>
        <v>720</v>
      </c>
      <c r="AX818" s="651"/>
      <c r="AY818" s="551"/>
      <c r="AZ818" s="551"/>
      <c r="BA818" s="551"/>
      <c r="BB818" s="551"/>
      <c r="BC818" s="551"/>
      <c r="BD818" s="551"/>
      <c r="BE818" s="551"/>
      <c r="BF818" s="551"/>
      <c r="BG818" s="551"/>
      <c r="BH818" s="825"/>
      <c r="BI818" s="551"/>
      <c r="BJ818" s="551"/>
      <c r="BK818" s="551"/>
      <c r="BL818" s="551"/>
      <c r="BM818" s="551"/>
      <c r="BN818" s="551"/>
      <c r="BO818" s="551"/>
      <c r="BP818" s="551"/>
      <c r="BQ818" s="551"/>
      <c r="BR818" s="551"/>
      <c r="BS818" s="551"/>
      <c r="BT818" s="551"/>
      <c r="BU818" s="551"/>
      <c r="BV818" s="551"/>
      <c r="BW818" s="551"/>
      <c r="BX818" s="551"/>
      <c r="BY818" s="551"/>
      <c r="BZ818" s="551"/>
      <c r="CA818" s="551"/>
      <c r="CB818" s="551"/>
      <c r="CC818" s="551"/>
      <c r="CD818" s="551"/>
      <c r="CE818" s="551"/>
      <c r="CF818" s="551"/>
      <c r="CG818" s="551"/>
      <c r="CH818" s="650"/>
      <c r="CI818" s="650"/>
      <c r="CJ818" s="650"/>
      <c r="CK818" s="650"/>
      <c r="CL818" s="650"/>
      <c r="CM818" s="551"/>
      <c r="CN818" s="551"/>
      <c r="CO818" s="551"/>
      <c r="CP818" s="650"/>
      <c r="CQ818" s="650"/>
      <c r="CR818" s="650"/>
      <c r="CS818" s="650"/>
      <c r="CT818" s="650"/>
      <c r="CU818" s="650"/>
    </row>
    <row r="819" s="1265" customFormat="1" ht="31" customHeight="1" spans="1:99">
      <c r="A819" s="641">
        <v>46028</v>
      </c>
      <c r="B819" s="642" t="s">
        <v>3152</v>
      </c>
      <c r="C819" s="246" t="s">
        <v>98</v>
      </c>
      <c r="D819" s="551">
        <v>4500190742</v>
      </c>
      <c r="E819" s="246" t="s">
        <v>3153</v>
      </c>
      <c r="F819" s="551" t="s">
        <v>3154</v>
      </c>
      <c r="G819" s="659" t="s">
        <v>2624</v>
      </c>
      <c r="H819" s="246" t="s">
        <v>2625</v>
      </c>
      <c r="I819" s="246">
        <v>4400</v>
      </c>
      <c r="J819" s="246">
        <v>0</v>
      </c>
      <c r="K819" s="246">
        <v>8</v>
      </c>
      <c r="L819" s="644">
        <f t="shared" si="270"/>
        <v>550</v>
      </c>
      <c r="M819" s="645">
        <v>46090</v>
      </c>
      <c r="N819" s="645">
        <v>46086</v>
      </c>
      <c r="O819" s="643"/>
      <c r="P819" s="824" t="s">
        <v>113</v>
      </c>
      <c r="Q819" s="646"/>
      <c r="R819" s="646">
        <v>46028</v>
      </c>
      <c r="S819" s="646" t="s">
        <v>70</v>
      </c>
      <c r="T819" s="646" t="s">
        <v>70</v>
      </c>
      <c r="U819" s="646"/>
      <c r="V819" s="642"/>
      <c r="W819" s="642"/>
      <c r="X819" s="642" t="s">
        <v>3155</v>
      </c>
      <c r="Y819" s="647" t="s">
        <v>355</v>
      </c>
      <c r="Z819" s="657">
        <v>2.5768</v>
      </c>
      <c r="AA819" s="647">
        <f t="shared" si="272"/>
        <v>11337.92</v>
      </c>
      <c r="AB819" s="551"/>
      <c r="AC819" s="658" t="s">
        <v>3156</v>
      </c>
      <c r="AD819" s="633" t="s">
        <v>3157</v>
      </c>
      <c r="AE819" s="246" t="s">
        <v>82</v>
      </c>
      <c r="AF819" s="246"/>
      <c r="AG819" s="246"/>
      <c r="AH819" s="246">
        <v>1</v>
      </c>
      <c r="AI819" s="246">
        <v>4400</v>
      </c>
      <c r="AJ819" s="246">
        <f t="shared" si="274"/>
        <v>0</v>
      </c>
      <c r="AK819" s="246"/>
      <c r="AL819" s="246"/>
      <c r="AM819" s="551"/>
      <c r="AN819" s="551">
        <f>I819</f>
        <v>4400</v>
      </c>
      <c r="AO819" s="1331"/>
      <c r="AP819" s="1331"/>
      <c r="AQ819" s="1331"/>
      <c r="AR819" s="551">
        <f>I819</f>
        <v>4400</v>
      </c>
      <c r="AS819" s="551"/>
      <c r="AT819" s="551"/>
      <c r="AU819" s="551">
        <f>I819</f>
        <v>4400</v>
      </c>
      <c r="AV819" s="551"/>
      <c r="AW819" s="551">
        <f t="shared" si="275"/>
        <v>4400</v>
      </c>
      <c r="AX819" s="651"/>
      <c r="AY819" s="551"/>
      <c r="AZ819" s="551"/>
      <c r="BA819" s="551"/>
      <c r="BB819" s="551"/>
      <c r="BC819" s="551"/>
      <c r="BD819" s="551"/>
      <c r="BE819" s="551"/>
      <c r="BF819" s="551"/>
      <c r="BG819" s="551"/>
      <c r="BH819" s="825"/>
      <c r="BI819" s="551"/>
      <c r="BJ819" s="551">
        <f>L819</f>
        <v>550</v>
      </c>
      <c r="BK819" s="551"/>
      <c r="BL819" s="551"/>
      <c r="BM819" s="551"/>
      <c r="BN819" s="551"/>
      <c r="BO819" s="551"/>
      <c r="BP819" s="551"/>
      <c r="BQ819" s="551"/>
      <c r="BR819" s="551"/>
      <c r="BS819" s="551"/>
      <c r="BT819" s="551"/>
      <c r="BU819" s="551"/>
      <c r="BV819" s="551"/>
      <c r="BW819" s="551"/>
      <c r="BX819" s="551"/>
      <c r="BY819" s="551"/>
      <c r="BZ819" s="551"/>
      <c r="CA819" s="551"/>
      <c r="CB819" s="551"/>
      <c r="CC819" s="551"/>
      <c r="CD819" s="551"/>
      <c r="CE819" s="551"/>
      <c r="CF819" s="551"/>
      <c r="CG819" s="551"/>
      <c r="CH819" s="650"/>
      <c r="CI819" s="650"/>
      <c r="CJ819" s="650"/>
      <c r="CK819" s="650"/>
      <c r="CL819" s="650"/>
      <c r="CM819" s="551"/>
      <c r="CN819" s="551"/>
      <c r="CO819" s="551"/>
      <c r="CP819" s="650"/>
      <c r="CQ819" s="650"/>
      <c r="CR819" s="650"/>
      <c r="CS819" s="650"/>
      <c r="CT819" s="650"/>
      <c r="CU819" s="650"/>
    </row>
    <row r="820" s="1265" customFormat="1" ht="31" customHeight="1" spans="1:99">
      <c r="A820" s="641">
        <v>46031</v>
      </c>
      <c r="B820" s="642" t="s">
        <v>3158</v>
      </c>
      <c r="C820" s="246" t="s">
        <v>98</v>
      </c>
      <c r="D820" s="551">
        <v>4500191055</v>
      </c>
      <c r="E820" s="246" t="s">
        <v>3159</v>
      </c>
      <c r="F820" s="551" t="s">
        <v>3160</v>
      </c>
      <c r="G820" s="659" t="s">
        <v>101</v>
      </c>
      <c r="H820" s="246" t="s">
        <v>102</v>
      </c>
      <c r="I820" s="246">
        <v>2860</v>
      </c>
      <c r="J820" s="246">
        <v>0</v>
      </c>
      <c r="K820" s="246">
        <v>4</v>
      </c>
      <c r="L820" s="644">
        <f t="shared" si="270"/>
        <v>715</v>
      </c>
      <c r="M820" s="645">
        <v>46090</v>
      </c>
      <c r="N820" s="645">
        <v>46086</v>
      </c>
      <c r="O820" s="643"/>
      <c r="P820" s="824" t="s">
        <v>113</v>
      </c>
      <c r="Q820" s="646"/>
      <c r="R820" s="646" t="s">
        <v>454</v>
      </c>
      <c r="S820" s="646" t="s">
        <v>70</v>
      </c>
      <c r="T820" s="646" t="s">
        <v>3161</v>
      </c>
      <c r="U820" s="646"/>
      <c r="V820" s="642"/>
      <c r="W820" s="642"/>
      <c r="X820" s="642" t="s">
        <v>3162</v>
      </c>
      <c r="Y820" s="647" t="s">
        <v>3163</v>
      </c>
      <c r="Z820" s="657">
        <v>2.58</v>
      </c>
      <c r="AA820" s="647">
        <f t="shared" si="272"/>
        <v>7378.8</v>
      </c>
      <c r="AB820" s="551"/>
      <c r="AC820" s="658" t="s">
        <v>3164</v>
      </c>
      <c r="AD820" s="633" t="s">
        <v>101</v>
      </c>
      <c r="AE820" s="246" t="s">
        <v>82</v>
      </c>
      <c r="AF820" s="246"/>
      <c r="AG820" s="246"/>
      <c r="AH820" s="246">
        <v>1</v>
      </c>
      <c r="AI820" s="246">
        <f>2848+12</f>
        <v>2860</v>
      </c>
      <c r="AJ820" s="246">
        <f t="shared" si="274"/>
        <v>0</v>
      </c>
      <c r="AK820" s="246"/>
      <c r="AL820" s="246" t="s">
        <v>2368</v>
      </c>
      <c r="AM820" s="551"/>
      <c r="AN820" s="551">
        <f>I820</f>
        <v>2860</v>
      </c>
      <c r="AO820" s="1331"/>
      <c r="AP820" s="1331"/>
      <c r="AQ820" s="1331"/>
      <c r="AR820" s="551">
        <f>I820</f>
        <v>2860</v>
      </c>
      <c r="AS820" s="551"/>
      <c r="AT820" s="551"/>
      <c r="AU820" s="551">
        <f>I820</f>
        <v>2860</v>
      </c>
      <c r="AV820" s="551"/>
      <c r="AW820" s="551">
        <f t="shared" si="275"/>
        <v>2860</v>
      </c>
      <c r="AX820" s="651"/>
      <c r="AY820" s="551"/>
      <c r="AZ820" s="551"/>
      <c r="BA820" s="551"/>
      <c r="BB820" s="551"/>
      <c r="BC820" s="551"/>
      <c r="BD820" s="551"/>
      <c r="BE820" s="551"/>
      <c r="BF820" s="551"/>
      <c r="BG820" s="551"/>
      <c r="BH820" s="825">
        <f>I820/4</f>
        <v>715</v>
      </c>
      <c r="BI820" s="551"/>
      <c r="BJ820" s="551"/>
      <c r="BK820" s="551"/>
      <c r="BL820" s="551"/>
      <c r="BM820" s="551"/>
      <c r="BN820" s="551"/>
      <c r="BO820" s="551"/>
      <c r="BP820" s="551"/>
      <c r="BQ820" s="551"/>
      <c r="BR820" s="551"/>
      <c r="BS820" s="551"/>
      <c r="BT820" s="551"/>
      <c r="BU820" s="551"/>
      <c r="BV820" s="551"/>
      <c r="BW820" s="551"/>
      <c r="BX820" s="551"/>
      <c r="BY820" s="551"/>
      <c r="BZ820" s="551"/>
      <c r="CA820" s="551"/>
      <c r="CB820" s="551"/>
      <c r="CC820" s="551"/>
      <c r="CD820" s="551"/>
      <c r="CE820" s="551"/>
      <c r="CF820" s="551"/>
      <c r="CG820" s="551"/>
      <c r="CH820" s="650"/>
      <c r="CI820" s="650"/>
      <c r="CJ820" s="650"/>
      <c r="CK820" s="650"/>
      <c r="CL820" s="650"/>
      <c r="CM820" s="551"/>
      <c r="CN820" s="551"/>
      <c r="CO820" s="551"/>
      <c r="CP820" s="650"/>
      <c r="CQ820" s="650"/>
      <c r="CR820" s="650"/>
      <c r="CS820" s="650"/>
      <c r="CT820" s="650"/>
      <c r="CU820" s="650"/>
    </row>
    <row r="821" s="1265" customFormat="1" ht="31" customHeight="1" spans="1:99">
      <c r="A821" s="641">
        <v>46031</v>
      </c>
      <c r="B821" s="642" t="s">
        <v>3158</v>
      </c>
      <c r="C821" s="246" t="s">
        <v>98</v>
      </c>
      <c r="D821" s="551">
        <v>4500191070</v>
      </c>
      <c r="E821" s="246">
        <v>4354321876</v>
      </c>
      <c r="F821" s="551" t="s">
        <v>3165</v>
      </c>
      <c r="G821" s="659" t="s">
        <v>101</v>
      </c>
      <c r="H821" s="246" t="s">
        <v>102</v>
      </c>
      <c r="I821" s="246">
        <v>2340</v>
      </c>
      <c r="J821" s="246">
        <v>0</v>
      </c>
      <c r="K821" s="246">
        <v>4</v>
      </c>
      <c r="L821" s="644">
        <f t="shared" si="270"/>
        <v>585</v>
      </c>
      <c r="M821" s="645">
        <v>46090</v>
      </c>
      <c r="N821" s="645">
        <v>46086</v>
      </c>
      <c r="O821" s="643"/>
      <c r="P821" s="824" t="s">
        <v>113</v>
      </c>
      <c r="Q821" s="646"/>
      <c r="R821" s="646" t="s">
        <v>454</v>
      </c>
      <c r="S821" s="646" t="s">
        <v>70</v>
      </c>
      <c r="T821" s="646" t="s">
        <v>3161</v>
      </c>
      <c r="U821" s="646"/>
      <c r="V821" s="642"/>
      <c r="W821" s="642"/>
      <c r="X821" s="642" t="s">
        <v>3166</v>
      </c>
      <c r="Y821" s="647" t="s">
        <v>3163</v>
      </c>
      <c r="Z821" s="657">
        <v>2.58</v>
      </c>
      <c r="AA821" s="647">
        <f t="shared" si="272"/>
        <v>6037.2</v>
      </c>
      <c r="AB821" s="551"/>
      <c r="AC821" s="658" t="s">
        <v>3167</v>
      </c>
      <c r="AD821" s="633" t="s">
        <v>101</v>
      </c>
      <c r="AE821" s="246" t="s">
        <v>82</v>
      </c>
      <c r="AF821" s="246"/>
      <c r="AG821" s="246"/>
      <c r="AH821" s="246">
        <v>1</v>
      </c>
      <c r="AI821" s="246">
        <f>2336+4</f>
        <v>2340</v>
      </c>
      <c r="AJ821" s="246">
        <f t="shared" si="274"/>
        <v>0</v>
      </c>
      <c r="AK821" s="246"/>
      <c r="AL821" s="246" t="s">
        <v>2368</v>
      </c>
      <c r="AM821" s="551"/>
      <c r="AN821" s="551">
        <f>I821</f>
        <v>2340</v>
      </c>
      <c r="AO821" s="1331"/>
      <c r="AP821" s="1331"/>
      <c r="AQ821" s="1331"/>
      <c r="AR821" s="551">
        <f>I821</f>
        <v>2340</v>
      </c>
      <c r="AS821" s="551"/>
      <c r="AT821" s="551"/>
      <c r="AU821" s="551">
        <f>I821</f>
        <v>2340</v>
      </c>
      <c r="AV821" s="551"/>
      <c r="AW821" s="551">
        <f t="shared" si="275"/>
        <v>2340</v>
      </c>
      <c r="AX821" s="651"/>
      <c r="AY821" s="551"/>
      <c r="AZ821" s="551"/>
      <c r="BA821" s="551"/>
      <c r="BB821" s="551"/>
      <c r="BC821" s="551"/>
      <c r="BD821" s="551"/>
      <c r="BE821" s="551"/>
      <c r="BF821" s="551"/>
      <c r="BG821" s="551"/>
      <c r="BH821" s="825">
        <f>I821/4</f>
        <v>585</v>
      </c>
      <c r="BI821" s="551"/>
      <c r="BJ821" s="551"/>
      <c r="BK821" s="551"/>
      <c r="BL821" s="551"/>
      <c r="BM821" s="551"/>
      <c r="BN821" s="551"/>
      <c r="BO821" s="551"/>
      <c r="BP821" s="551"/>
      <c r="BQ821" s="551"/>
      <c r="BR821" s="551"/>
      <c r="BS821" s="551"/>
      <c r="BT821" s="551"/>
      <c r="BU821" s="551"/>
      <c r="BV821" s="551"/>
      <c r="BW821" s="551"/>
      <c r="BX821" s="551"/>
      <c r="BY821" s="551"/>
      <c r="BZ821" s="551"/>
      <c r="CA821" s="551"/>
      <c r="CB821" s="551"/>
      <c r="CC821" s="551"/>
      <c r="CD821" s="551"/>
      <c r="CE821" s="551"/>
      <c r="CF821" s="551"/>
      <c r="CG821" s="551"/>
      <c r="CH821" s="650"/>
      <c r="CI821" s="650"/>
      <c r="CJ821" s="650"/>
      <c r="CK821" s="650"/>
      <c r="CL821" s="650"/>
      <c r="CM821" s="551"/>
      <c r="CN821" s="551"/>
      <c r="CO821" s="551"/>
      <c r="CP821" s="650"/>
      <c r="CQ821" s="650"/>
      <c r="CR821" s="650"/>
      <c r="CS821" s="650"/>
      <c r="CT821" s="650"/>
      <c r="CU821" s="650"/>
    </row>
    <row r="822" s="1265" customFormat="1" ht="31" customHeight="1" spans="1:99">
      <c r="A822" s="641">
        <v>46387</v>
      </c>
      <c r="B822" s="642" t="s">
        <v>325</v>
      </c>
      <c r="C822" s="246" t="s">
        <v>98</v>
      </c>
      <c r="D822" s="551">
        <v>4500190514</v>
      </c>
      <c r="E822" s="246" t="s">
        <v>3168</v>
      </c>
      <c r="F822" s="551" t="s">
        <v>3169</v>
      </c>
      <c r="G822" s="659" t="s">
        <v>249</v>
      </c>
      <c r="H822" s="246" t="s">
        <v>250</v>
      </c>
      <c r="I822" s="246">
        <v>16000</v>
      </c>
      <c r="J822" s="246">
        <v>0</v>
      </c>
      <c r="K822" s="246">
        <v>4</v>
      </c>
      <c r="L822" s="644">
        <f t="shared" si="270"/>
        <v>4000</v>
      </c>
      <c r="M822" s="645">
        <v>46092</v>
      </c>
      <c r="N822" s="645">
        <v>46088</v>
      </c>
      <c r="O822" s="643"/>
      <c r="P822" s="824" t="s">
        <v>113</v>
      </c>
      <c r="Q822" s="646"/>
      <c r="R822" s="646">
        <v>46041</v>
      </c>
      <c r="S822" s="646" t="s">
        <v>104</v>
      </c>
      <c r="T822" s="646" t="s">
        <v>3022</v>
      </c>
      <c r="U822" s="646"/>
      <c r="V822" s="642"/>
      <c r="W822" s="642"/>
      <c r="X822" s="642" t="s">
        <v>2770</v>
      </c>
      <c r="Y822" s="647" t="s">
        <v>252</v>
      </c>
      <c r="Z822" s="657">
        <v>2.7832</v>
      </c>
      <c r="AA822" s="647">
        <f t="shared" si="272"/>
        <v>44531.2</v>
      </c>
      <c r="AB822" s="551"/>
      <c r="AC822" s="658" t="s">
        <v>3170</v>
      </c>
      <c r="AD822" s="633" t="s">
        <v>249</v>
      </c>
      <c r="AE822" s="246" t="s">
        <v>82</v>
      </c>
      <c r="AF822" s="246"/>
      <c r="AG822" s="246"/>
      <c r="AH822" s="246">
        <v>1</v>
      </c>
      <c r="AI822" s="246">
        <f>10800+5200</f>
        <v>16000</v>
      </c>
      <c r="AJ822" s="246">
        <f t="shared" si="274"/>
        <v>0</v>
      </c>
      <c r="AK822" s="246"/>
      <c r="AL822" s="246" t="s">
        <v>2368</v>
      </c>
      <c r="AM822" s="551"/>
      <c r="AN822" s="551"/>
      <c r="AO822" s="1331"/>
      <c r="AP822" s="1331">
        <f>I822</f>
        <v>16000</v>
      </c>
      <c r="AQ822" s="1331"/>
      <c r="AR822" s="551"/>
      <c r="AS822" s="551"/>
      <c r="AT822" s="551"/>
      <c r="AU822" s="551"/>
      <c r="AV822" s="551"/>
      <c r="AW822" s="551">
        <f t="shared" si="275"/>
        <v>16000</v>
      </c>
      <c r="AX822" s="651"/>
      <c r="AY822" s="551"/>
      <c r="AZ822" s="551"/>
      <c r="BA822" s="551"/>
      <c r="BB822" s="551"/>
      <c r="BC822" s="551"/>
      <c r="BD822" s="551"/>
      <c r="BE822" s="551"/>
      <c r="BF822" s="551">
        <f>I822</f>
        <v>16000</v>
      </c>
      <c r="BG822" s="551">
        <f>I822</f>
        <v>16000</v>
      </c>
      <c r="BH822" s="825">
        <f>I822/4</f>
        <v>4000</v>
      </c>
      <c r="BI822" s="551"/>
      <c r="BJ822" s="551"/>
      <c r="BK822" s="551"/>
      <c r="BL822" s="551"/>
      <c r="BM822" s="551"/>
      <c r="BN822" s="551"/>
      <c r="BO822" s="551"/>
      <c r="BP822" s="551"/>
      <c r="BQ822" s="551"/>
      <c r="BR822" s="551"/>
      <c r="BS822" s="551"/>
      <c r="BT822" s="551"/>
      <c r="BU822" s="551"/>
      <c r="BV822" s="551"/>
      <c r="BW822" s="551"/>
      <c r="BX822" s="551"/>
      <c r="BY822" s="551"/>
      <c r="BZ822" s="551"/>
      <c r="CA822" s="551"/>
      <c r="CB822" s="551"/>
      <c r="CC822" s="551"/>
      <c r="CD822" s="551"/>
      <c r="CE822" s="551"/>
      <c r="CF822" s="551"/>
      <c r="CG822" s="551"/>
      <c r="CH822" s="650"/>
      <c r="CI822" s="650"/>
      <c r="CJ822" s="650"/>
      <c r="CK822" s="650"/>
      <c r="CL822" s="650"/>
      <c r="CM822" s="551"/>
      <c r="CN822" s="551"/>
      <c r="CO822" s="551"/>
      <c r="CP822" s="650"/>
      <c r="CQ822" s="650"/>
      <c r="CR822" s="650"/>
      <c r="CS822" s="650"/>
      <c r="CT822" s="650"/>
      <c r="CU822" s="650"/>
    </row>
    <row r="823" s="1265" customFormat="1" ht="31" customHeight="1" spans="1:99">
      <c r="A823" s="641">
        <v>46036</v>
      </c>
      <c r="B823" s="642" t="s">
        <v>1409</v>
      </c>
      <c r="C823" s="246" t="s">
        <v>524</v>
      </c>
      <c r="D823" s="551">
        <v>4500191234</v>
      </c>
      <c r="E823" s="246"/>
      <c r="F823" s="551" t="s">
        <v>3171</v>
      </c>
      <c r="G823" s="659" t="s">
        <v>68</v>
      </c>
      <c r="H823" s="633" t="s">
        <v>69</v>
      </c>
      <c r="I823" s="246">
        <v>420</v>
      </c>
      <c r="J823" s="246">
        <v>0</v>
      </c>
      <c r="K823" s="246">
        <v>12</v>
      </c>
      <c r="L823" s="644">
        <f t="shared" si="270"/>
        <v>35</v>
      </c>
      <c r="M823" s="645">
        <v>46097</v>
      </c>
      <c r="N823" s="645">
        <v>46093</v>
      </c>
      <c r="O823" s="643"/>
      <c r="P823" s="824" t="s">
        <v>113</v>
      </c>
      <c r="Q823" s="646"/>
      <c r="R823" s="646">
        <v>46038</v>
      </c>
      <c r="S823" s="646" t="s">
        <v>70</v>
      </c>
      <c r="T823" s="646" t="s">
        <v>3172</v>
      </c>
      <c r="U823" s="646"/>
      <c r="V823" s="642"/>
      <c r="W823" s="642"/>
      <c r="X823" s="642" t="s">
        <v>3173</v>
      </c>
      <c r="Y823" s="647" t="s">
        <v>340</v>
      </c>
      <c r="Z823" s="657">
        <v>4.1623</v>
      </c>
      <c r="AA823" s="647">
        <f t="shared" si="272"/>
        <v>1748.166</v>
      </c>
      <c r="AB823" s="551"/>
      <c r="AC823" s="648"/>
      <c r="AD823" s="633" t="s">
        <v>184</v>
      </c>
      <c r="AE823" s="246" t="s">
        <v>82</v>
      </c>
      <c r="AF823" s="246"/>
      <c r="AG823" s="246"/>
      <c r="AH823" s="246">
        <v>1</v>
      </c>
      <c r="AI823" s="246">
        <v>420</v>
      </c>
      <c r="AJ823" s="246">
        <f t="shared" ref="AJ823:AJ857" si="276">AI823-I823</f>
        <v>0</v>
      </c>
      <c r="AK823" s="246"/>
      <c r="AL823" s="246" t="s">
        <v>2368</v>
      </c>
      <c r="AM823" s="551"/>
      <c r="AN823" s="551">
        <f>I823</f>
        <v>420</v>
      </c>
      <c r="AO823" s="1331"/>
      <c r="AP823" s="1331"/>
      <c r="AQ823" s="1331"/>
      <c r="AR823" s="551"/>
      <c r="AS823" s="563">
        <f>I823</f>
        <v>420</v>
      </c>
      <c r="AT823" s="563"/>
      <c r="AU823" s="563">
        <f>I823</f>
        <v>420</v>
      </c>
      <c r="AV823" s="563"/>
      <c r="AW823" s="563">
        <f t="shared" si="275"/>
        <v>420</v>
      </c>
      <c r="AX823" s="651"/>
      <c r="AY823" s="551"/>
      <c r="AZ823" s="551"/>
      <c r="BA823" s="551"/>
      <c r="BB823" s="551"/>
      <c r="BC823" s="551"/>
      <c r="BD823" s="551"/>
      <c r="BE823" s="551"/>
      <c r="BF823" s="551"/>
      <c r="BG823" s="551"/>
      <c r="BH823" s="825"/>
      <c r="BI823" s="551"/>
      <c r="BJ823" s="551"/>
      <c r="BK823" s="551"/>
      <c r="BL823" s="551"/>
      <c r="BM823" s="551"/>
      <c r="BN823" s="551"/>
      <c r="BO823" s="551"/>
      <c r="BP823" s="551"/>
      <c r="BQ823" s="551"/>
      <c r="BR823" s="551"/>
      <c r="BS823" s="551"/>
      <c r="BT823" s="551"/>
      <c r="BU823" s="551"/>
      <c r="BV823" s="551"/>
      <c r="BW823" s="551"/>
      <c r="BX823" s="551"/>
      <c r="BY823" s="551"/>
      <c r="BZ823" s="551"/>
      <c r="CA823" s="551"/>
      <c r="CB823" s="551"/>
      <c r="CC823" s="551"/>
      <c r="CD823" s="551"/>
      <c r="CE823" s="551"/>
      <c r="CF823" s="551"/>
      <c r="CG823" s="551"/>
      <c r="CH823" s="650"/>
      <c r="CI823" s="650"/>
      <c r="CJ823" s="650"/>
      <c r="CK823" s="650"/>
      <c r="CL823" s="650"/>
      <c r="CM823" s="551"/>
      <c r="CN823" s="551"/>
      <c r="CO823" s="551"/>
      <c r="CP823" s="650"/>
      <c r="CQ823" s="650"/>
      <c r="CR823" s="650"/>
      <c r="CS823" s="650"/>
      <c r="CT823" s="650"/>
      <c r="CU823" s="650"/>
    </row>
    <row r="824" s="1265" customFormat="1" ht="31" customHeight="1" spans="1:99">
      <c r="A824" s="641">
        <v>46038</v>
      </c>
      <c r="B824" s="642" t="s">
        <v>757</v>
      </c>
      <c r="C824" s="246" t="s">
        <v>758</v>
      </c>
      <c r="D824" s="551">
        <v>4500191663</v>
      </c>
      <c r="E824" s="246"/>
      <c r="F824" s="551" t="s">
        <v>3174</v>
      </c>
      <c r="G824" s="659" t="s">
        <v>68</v>
      </c>
      <c r="H824" s="633" t="s">
        <v>69</v>
      </c>
      <c r="I824" s="246">
        <v>1008</v>
      </c>
      <c r="J824" s="246">
        <v>0</v>
      </c>
      <c r="K824" s="246">
        <v>12</v>
      </c>
      <c r="L824" s="644">
        <f t="shared" si="270"/>
        <v>84</v>
      </c>
      <c r="M824" s="645">
        <v>46097</v>
      </c>
      <c r="N824" s="645">
        <v>46093</v>
      </c>
      <c r="O824" s="643"/>
      <c r="P824" s="824" t="s">
        <v>113</v>
      </c>
      <c r="Q824" s="646"/>
      <c r="R824" s="646" t="s">
        <v>454</v>
      </c>
      <c r="S824" s="646" t="s">
        <v>70</v>
      </c>
      <c r="T824" s="646" t="s">
        <v>2877</v>
      </c>
      <c r="U824" s="646"/>
      <c r="V824" s="642" t="s">
        <v>3175</v>
      </c>
      <c r="W824" s="642"/>
      <c r="X824" s="642" t="s">
        <v>3176</v>
      </c>
      <c r="Y824" s="647" t="s">
        <v>529</v>
      </c>
      <c r="Z824" s="657">
        <v>4.1623</v>
      </c>
      <c r="AA824" s="647">
        <f t="shared" si="272"/>
        <v>4195.5984</v>
      </c>
      <c r="AB824" s="551"/>
      <c r="AC824" s="648"/>
      <c r="AD824" s="633" t="s">
        <v>184</v>
      </c>
      <c r="AE824" s="246" t="s">
        <v>82</v>
      </c>
      <c r="AF824" s="246"/>
      <c r="AG824" s="246"/>
      <c r="AH824" s="246">
        <v>1</v>
      </c>
      <c r="AI824" s="246">
        <v>1008</v>
      </c>
      <c r="AJ824" s="246">
        <f t="shared" si="276"/>
        <v>0</v>
      </c>
      <c r="AK824" s="246"/>
      <c r="AL824" s="246" t="s">
        <v>2368</v>
      </c>
      <c r="AM824" s="551"/>
      <c r="AN824" s="551">
        <f>I824</f>
        <v>1008</v>
      </c>
      <c r="AO824" s="1331"/>
      <c r="AP824" s="1331"/>
      <c r="AQ824" s="1331"/>
      <c r="AR824" s="551"/>
      <c r="AS824" s="551">
        <f>I824</f>
        <v>1008</v>
      </c>
      <c r="AT824" s="551"/>
      <c r="AU824" s="551">
        <f>I824</f>
        <v>1008</v>
      </c>
      <c r="AV824" s="551"/>
      <c r="AW824" s="551">
        <f t="shared" si="275"/>
        <v>1008</v>
      </c>
      <c r="AX824" s="651"/>
      <c r="AY824" s="551"/>
      <c r="AZ824" s="551"/>
      <c r="BA824" s="551"/>
      <c r="BB824" s="551"/>
      <c r="BC824" s="551"/>
      <c r="BD824" s="551"/>
      <c r="BE824" s="551"/>
      <c r="BF824" s="551"/>
      <c r="BG824" s="551"/>
      <c r="BH824" s="825"/>
      <c r="BI824" s="551"/>
      <c r="BJ824" s="551"/>
      <c r="BK824" s="551"/>
      <c r="BL824" s="551"/>
      <c r="BM824" s="551"/>
      <c r="BN824" s="551"/>
      <c r="BO824" s="551"/>
      <c r="BP824" s="551"/>
      <c r="BQ824" s="551"/>
      <c r="BR824" s="551"/>
      <c r="BS824" s="551"/>
      <c r="BT824" s="551"/>
      <c r="BU824" s="551"/>
      <c r="BV824" s="551"/>
      <c r="BW824" s="551"/>
      <c r="BX824" s="551"/>
      <c r="BY824" s="551"/>
      <c r="BZ824" s="551"/>
      <c r="CA824" s="551"/>
      <c r="CB824" s="551"/>
      <c r="CC824" s="551"/>
      <c r="CD824" s="551"/>
      <c r="CE824" s="551"/>
      <c r="CF824" s="551"/>
      <c r="CG824" s="551"/>
      <c r="CH824" s="650"/>
      <c r="CI824" s="650"/>
      <c r="CJ824" s="650"/>
      <c r="CK824" s="650"/>
      <c r="CL824" s="650"/>
      <c r="CM824" s="551"/>
      <c r="CN824" s="551"/>
      <c r="CO824" s="551"/>
      <c r="CP824" s="650"/>
      <c r="CQ824" s="650"/>
      <c r="CR824" s="650"/>
      <c r="CS824" s="650"/>
      <c r="CT824" s="650"/>
      <c r="CU824" s="650"/>
    </row>
    <row r="825" s="1265" customFormat="1" ht="31" customHeight="1" spans="1:99">
      <c r="A825" s="641">
        <v>46042</v>
      </c>
      <c r="B825" s="642" t="s">
        <v>75</v>
      </c>
      <c r="C825" s="246" t="s">
        <v>76</v>
      </c>
      <c r="D825" s="551">
        <v>4500191819</v>
      </c>
      <c r="E825" s="246">
        <v>29394401</v>
      </c>
      <c r="F825" s="551" t="s">
        <v>3177</v>
      </c>
      <c r="G825" s="659" t="s">
        <v>68</v>
      </c>
      <c r="H825" s="633" t="s">
        <v>69</v>
      </c>
      <c r="I825" s="246">
        <v>648</v>
      </c>
      <c r="J825" s="246">
        <v>0</v>
      </c>
      <c r="K825" s="246">
        <v>12</v>
      </c>
      <c r="L825" s="644">
        <f t="shared" si="270"/>
        <v>54</v>
      </c>
      <c r="M825" s="645">
        <v>46097</v>
      </c>
      <c r="N825" s="645">
        <v>46093</v>
      </c>
      <c r="O825" s="643"/>
      <c r="P825" s="824" t="s">
        <v>113</v>
      </c>
      <c r="Q825" s="646"/>
      <c r="R825" s="646">
        <v>46042</v>
      </c>
      <c r="S825" s="646" t="s">
        <v>70</v>
      </c>
      <c r="T825" s="646" t="s">
        <v>3178</v>
      </c>
      <c r="U825" s="646"/>
      <c r="V825" s="642"/>
      <c r="W825" s="642"/>
      <c r="X825" s="642" t="s">
        <v>3179</v>
      </c>
      <c r="Y825" s="647" t="s">
        <v>1735</v>
      </c>
      <c r="Z825" s="657">
        <v>4.1623</v>
      </c>
      <c r="AA825" s="647">
        <f t="shared" si="272"/>
        <v>2697.1704</v>
      </c>
      <c r="AB825" s="551"/>
      <c r="AC825" s="648"/>
      <c r="AD825" s="633" t="s">
        <v>68</v>
      </c>
      <c r="AE825" s="246" t="s">
        <v>82</v>
      </c>
      <c r="AF825" s="246"/>
      <c r="AG825" s="246"/>
      <c r="AH825" s="246">
        <v>1</v>
      </c>
      <c r="AI825" s="246">
        <v>648</v>
      </c>
      <c r="AJ825" s="246">
        <f t="shared" si="276"/>
        <v>0</v>
      </c>
      <c r="AK825" s="246"/>
      <c r="AL825" s="246" t="s">
        <v>2368</v>
      </c>
      <c r="AM825" s="551"/>
      <c r="AN825" s="551">
        <f>I825</f>
        <v>648</v>
      </c>
      <c r="AO825" s="1331"/>
      <c r="AP825" s="1331"/>
      <c r="AQ825" s="1331"/>
      <c r="AR825" s="551">
        <f>I825</f>
        <v>648</v>
      </c>
      <c r="AS825" s="551"/>
      <c r="AT825" s="551"/>
      <c r="AU825" s="551">
        <f>I825</f>
        <v>648</v>
      </c>
      <c r="AV825" s="551"/>
      <c r="AW825" s="551">
        <f t="shared" si="275"/>
        <v>648</v>
      </c>
      <c r="AX825" s="651"/>
      <c r="AY825" s="551"/>
      <c r="AZ825" s="551"/>
      <c r="BA825" s="551"/>
      <c r="BB825" s="551"/>
      <c r="BC825" s="551"/>
      <c r="BD825" s="551"/>
      <c r="BE825" s="551"/>
      <c r="BF825" s="551"/>
      <c r="BG825" s="551"/>
      <c r="BH825" s="825"/>
      <c r="BI825" s="551"/>
      <c r="BJ825" s="551"/>
      <c r="BK825" s="551"/>
      <c r="BL825" s="551"/>
      <c r="BM825" s="551"/>
      <c r="BN825" s="551"/>
      <c r="BO825" s="551"/>
      <c r="BP825" s="551"/>
      <c r="BQ825" s="551"/>
      <c r="BR825" s="551"/>
      <c r="BS825" s="551"/>
      <c r="BT825" s="551"/>
      <c r="BU825" s="551"/>
      <c r="BV825" s="551"/>
      <c r="BW825" s="551"/>
      <c r="BX825" s="551"/>
      <c r="BY825" s="551"/>
      <c r="BZ825" s="551"/>
      <c r="CA825" s="551"/>
      <c r="CB825" s="551"/>
      <c r="CC825" s="551"/>
      <c r="CD825" s="551"/>
      <c r="CE825" s="551"/>
      <c r="CF825" s="551"/>
      <c r="CG825" s="551"/>
      <c r="CH825" s="650"/>
      <c r="CI825" s="650"/>
      <c r="CJ825" s="650"/>
      <c r="CK825" s="650"/>
      <c r="CL825" s="650"/>
      <c r="CM825" s="551"/>
      <c r="CN825" s="551"/>
      <c r="CO825" s="551"/>
      <c r="CP825" s="650"/>
      <c r="CQ825" s="650"/>
      <c r="CR825" s="650"/>
      <c r="CS825" s="650"/>
      <c r="CT825" s="650"/>
      <c r="CU825" s="650"/>
    </row>
    <row r="826" s="1265" customFormat="1" ht="31" customHeight="1" spans="1:99">
      <c r="A826" s="641">
        <v>46042</v>
      </c>
      <c r="B826" s="642" t="s">
        <v>75</v>
      </c>
      <c r="C826" s="246" t="s">
        <v>76</v>
      </c>
      <c r="D826" s="551">
        <v>4500191819</v>
      </c>
      <c r="E826" s="246">
        <v>29394330</v>
      </c>
      <c r="F826" s="551" t="s">
        <v>3180</v>
      </c>
      <c r="G826" s="659" t="s">
        <v>68</v>
      </c>
      <c r="H826" s="633" t="s">
        <v>69</v>
      </c>
      <c r="I826" s="246">
        <v>348</v>
      </c>
      <c r="J826" s="246">
        <v>0</v>
      </c>
      <c r="K826" s="246">
        <v>12</v>
      </c>
      <c r="L826" s="644">
        <f t="shared" si="270"/>
        <v>29</v>
      </c>
      <c r="M826" s="645">
        <v>46097</v>
      </c>
      <c r="N826" s="645">
        <v>46093</v>
      </c>
      <c r="O826" s="643"/>
      <c r="P826" s="824" t="s">
        <v>113</v>
      </c>
      <c r="Q826" s="646"/>
      <c r="R826" s="646">
        <v>46042</v>
      </c>
      <c r="S826" s="646" t="s">
        <v>70</v>
      </c>
      <c r="T826" s="646" t="s">
        <v>3178</v>
      </c>
      <c r="U826" s="646"/>
      <c r="V826" s="642"/>
      <c r="W826" s="642"/>
      <c r="X826" s="642" t="s">
        <v>3179</v>
      </c>
      <c r="Y826" s="647" t="s">
        <v>1735</v>
      </c>
      <c r="Z826" s="657">
        <v>4.1623</v>
      </c>
      <c r="AA826" s="647">
        <f t="shared" si="272"/>
        <v>1448.4804</v>
      </c>
      <c r="AB826" s="551"/>
      <c r="AC826" s="648"/>
      <c r="AD826" s="633" t="s">
        <v>68</v>
      </c>
      <c r="AE826" s="246" t="s">
        <v>82</v>
      </c>
      <c r="AF826" s="246"/>
      <c r="AG826" s="246"/>
      <c r="AH826" s="246">
        <v>1</v>
      </c>
      <c r="AI826" s="246">
        <v>348</v>
      </c>
      <c r="AJ826" s="246">
        <f t="shared" si="276"/>
        <v>0</v>
      </c>
      <c r="AK826" s="246"/>
      <c r="AL826" s="246" t="s">
        <v>2368</v>
      </c>
      <c r="AM826" s="551"/>
      <c r="AN826" s="551">
        <f>I826</f>
        <v>348</v>
      </c>
      <c r="AO826" s="1331"/>
      <c r="AP826" s="1331"/>
      <c r="AQ826" s="1331"/>
      <c r="AR826" s="551">
        <f>I826</f>
        <v>348</v>
      </c>
      <c r="AS826" s="551"/>
      <c r="AT826" s="551"/>
      <c r="AU826" s="551">
        <f>I826</f>
        <v>348</v>
      </c>
      <c r="AV826" s="551"/>
      <c r="AW826" s="551">
        <f t="shared" si="275"/>
        <v>348</v>
      </c>
      <c r="AX826" s="651"/>
      <c r="AY826" s="551"/>
      <c r="AZ826" s="551"/>
      <c r="BA826" s="551"/>
      <c r="BB826" s="551"/>
      <c r="BC826" s="551"/>
      <c r="BD826" s="551"/>
      <c r="BE826" s="551"/>
      <c r="BF826" s="551"/>
      <c r="BG826" s="551"/>
      <c r="BH826" s="825"/>
      <c r="BI826" s="551"/>
      <c r="BJ826" s="551"/>
      <c r="BK826" s="551"/>
      <c r="BL826" s="551"/>
      <c r="BM826" s="551"/>
      <c r="BN826" s="551"/>
      <c r="BO826" s="551"/>
      <c r="BP826" s="551"/>
      <c r="BQ826" s="551"/>
      <c r="BR826" s="551"/>
      <c r="BS826" s="551"/>
      <c r="BT826" s="551"/>
      <c r="BU826" s="551"/>
      <c r="BV826" s="551"/>
      <c r="BW826" s="551"/>
      <c r="BX826" s="551"/>
      <c r="BY826" s="551"/>
      <c r="BZ826" s="551"/>
      <c r="CA826" s="551"/>
      <c r="CB826" s="551"/>
      <c r="CC826" s="551"/>
      <c r="CD826" s="551"/>
      <c r="CE826" s="551"/>
      <c r="CF826" s="551"/>
      <c r="CG826" s="551"/>
      <c r="CH826" s="650"/>
      <c r="CI826" s="650"/>
      <c r="CJ826" s="650"/>
      <c r="CK826" s="650"/>
      <c r="CL826" s="650"/>
      <c r="CM826" s="551"/>
      <c r="CN826" s="551"/>
      <c r="CO826" s="551"/>
      <c r="CP826" s="650"/>
      <c r="CQ826" s="650"/>
      <c r="CR826" s="650"/>
      <c r="CS826" s="650"/>
      <c r="CT826" s="650"/>
      <c r="CU826" s="650"/>
    </row>
    <row r="827" s="1265" customFormat="1" ht="31" customHeight="1" spans="1:99">
      <c r="A827" s="641">
        <v>45978</v>
      </c>
      <c r="B827" s="642" t="s">
        <v>1492</v>
      </c>
      <c r="C827" s="246" t="s">
        <v>98</v>
      </c>
      <c r="D827" s="551">
        <v>4500185938</v>
      </c>
      <c r="E827" s="1415" t="s">
        <v>3181</v>
      </c>
      <c r="F827" s="551" t="s">
        <v>3182</v>
      </c>
      <c r="G827" s="659" t="s">
        <v>2666</v>
      </c>
      <c r="H827" s="246" t="s">
        <v>830</v>
      </c>
      <c r="I827" s="246">
        <v>5400</v>
      </c>
      <c r="J827" s="246">
        <v>0</v>
      </c>
      <c r="K827" s="246">
        <v>75</v>
      </c>
      <c r="L827" s="644">
        <f t="shared" si="270"/>
        <v>72</v>
      </c>
      <c r="M827" s="645">
        <v>46087</v>
      </c>
      <c r="N827" s="645">
        <v>46083</v>
      </c>
      <c r="O827" s="643"/>
      <c r="P827" s="824" t="s">
        <v>113</v>
      </c>
      <c r="Q827" s="646"/>
      <c r="R827" s="646" t="s">
        <v>2667</v>
      </c>
      <c r="S827" s="646" t="s">
        <v>70</v>
      </c>
      <c r="T827" s="646" t="s">
        <v>70</v>
      </c>
      <c r="U827" s="646"/>
      <c r="V827" s="642"/>
      <c r="W827" s="642"/>
      <c r="X827" s="642" t="s">
        <v>2826</v>
      </c>
      <c r="Y827" s="647" t="s">
        <v>911</v>
      </c>
      <c r="Z827" s="657">
        <v>359.3436</v>
      </c>
      <c r="AA827" s="647">
        <v>25872.7392</v>
      </c>
      <c r="AB827" s="551"/>
      <c r="AC827" s="658" t="s">
        <v>3183</v>
      </c>
      <c r="AD827" s="633" t="s">
        <v>1498</v>
      </c>
      <c r="AE827" s="246" t="s">
        <v>82</v>
      </c>
      <c r="AF827" s="246"/>
      <c r="AG827" s="246"/>
      <c r="AH827" s="246">
        <v>1</v>
      </c>
      <c r="AI827" s="246">
        <v>5400</v>
      </c>
      <c r="AJ827" s="246">
        <f t="shared" si="276"/>
        <v>0</v>
      </c>
      <c r="AK827" s="246"/>
      <c r="AL827" s="246"/>
      <c r="AM827" s="551"/>
      <c r="AN827" s="551"/>
      <c r="AO827" s="1331">
        <f>I827</f>
        <v>5400</v>
      </c>
      <c r="AP827" s="1331"/>
      <c r="AQ827" s="1331"/>
      <c r="AR827" s="551"/>
      <c r="AS827" s="551"/>
      <c r="AT827" s="551"/>
      <c r="AU827" s="551"/>
      <c r="AV827" s="551"/>
      <c r="AW827" s="551"/>
      <c r="AX827" s="651"/>
      <c r="AY827" s="551"/>
      <c r="AZ827" s="551"/>
      <c r="BA827" s="551">
        <f>I827</f>
        <v>5400</v>
      </c>
      <c r="BB827" s="551">
        <f>I827</f>
        <v>5400</v>
      </c>
      <c r="BC827" s="551">
        <f>I827</f>
        <v>5400</v>
      </c>
      <c r="BD827" s="551"/>
      <c r="BE827" s="551"/>
      <c r="BF827" s="551"/>
      <c r="BG827" s="551"/>
      <c r="BH827" s="825"/>
      <c r="BI827" s="551"/>
      <c r="BJ827" s="551"/>
      <c r="BK827" s="551">
        <f>I827</f>
        <v>5400</v>
      </c>
      <c r="BL827" s="551">
        <f>I827/5</f>
        <v>1080</v>
      </c>
      <c r="BM827" s="551"/>
      <c r="BN827" s="551"/>
      <c r="BO827" s="551"/>
      <c r="BP827" s="551"/>
      <c r="BQ827" s="551"/>
      <c r="BR827" s="551"/>
      <c r="BS827" s="551"/>
      <c r="BT827" s="551"/>
      <c r="BU827" s="551"/>
      <c r="BV827" s="551"/>
      <c r="BW827" s="551"/>
      <c r="BX827" s="551"/>
      <c r="BY827" s="551"/>
      <c r="BZ827" s="551"/>
      <c r="CA827" s="551"/>
      <c r="CB827" s="551"/>
      <c r="CC827" s="551"/>
      <c r="CD827" s="551"/>
      <c r="CE827" s="551"/>
      <c r="CF827" s="551"/>
      <c r="CG827" s="551"/>
      <c r="CH827" s="650"/>
      <c r="CI827" s="650"/>
      <c r="CJ827" s="650"/>
      <c r="CK827" s="650"/>
      <c r="CL827" s="650"/>
      <c r="CM827" s="551"/>
      <c r="CN827" s="551"/>
      <c r="CO827" s="551"/>
      <c r="CP827" s="650"/>
      <c r="CQ827" s="650"/>
      <c r="CR827" s="650"/>
      <c r="CS827" s="650"/>
      <c r="CT827" s="650"/>
      <c r="CU827" s="650"/>
    </row>
    <row r="828" s="1265" customFormat="1" ht="31" customHeight="1" spans="1:99">
      <c r="A828" s="641">
        <v>45978</v>
      </c>
      <c r="B828" s="642" t="s">
        <v>1492</v>
      </c>
      <c r="C828" s="246" t="s">
        <v>98</v>
      </c>
      <c r="D828" s="551">
        <v>4500185940</v>
      </c>
      <c r="E828" s="1415" t="s">
        <v>3184</v>
      </c>
      <c r="F828" s="551" t="s">
        <v>3185</v>
      </c>
      <c r="G828" s="659" t="s">
        <v>2666</v>
      </c>
      <c r="H828" s="246" t="s">
        <v>830</v>
      </c>
      <c r="I828" s="246">
        <v>5400</v>
      </c>
      <c r="J828" s="246">
        <v>0</v>
      </c>
      <c r="K828" s="246">
        <v>75</v>
      </c>
      <c r="L828" s="644">
        <f t="shared" si="270"/>
        <v>72</v>
      </c>
      <c r="M828" s="645">
        <v>46088</v>
      </c>
      <c r="N828" s="645">
        <v>46084</v>
      </c>
      <c r="O828" s="643"/>
      <c r="P828" s="824" t="s">
        <v>113</v>
      </c>
      <c r="Q828" s="646"/>
      <c r="R828" s="646" t="s">
        <v>2667</v>
      </c>
      <c r="S828" s="646" t="s">
        <v>70</v>
      </c>
      <c r="T828" s="646" t="s">
        <v>70</v>
      </c>
      <c r="U828" s="646"/>
      <c r="V828" s="642"/>
      <c r="W828" s="642"/>
      <c r="X828" s="642" t="s">
        <v>2826</v>
      </c>
      <c r="Y828" s="647" t="s">
        <v>911</v>
      </c>
      <c r="Z828" s="657">
        <v>359.3436</v>
      </c>
      <c r="AA828" s="647">
        <v>25872.7392</v>
      </c>
      <c r="AB828" s="551"/>
      <c r="AC828" s="658" t="s">
        <v>3186</v>
      </c>
      <c r="AD828" s="633" t="s">
        <v>1498</v>
      </c>
      <c r="AE828" s="246" t="s">
        <v>82</v>
      </c>
      <c r="AF828" s="246"/>
      <c r="AG828" s="246"/>
      <c r="AH828" s="246">
        <v>1</v>
      </c>
      <c r="AI828" s="246">
        <v>5400</v>
      </c>
      <c r="AJ828" s="246">
        <f t="shared" si="276"/>
        <v>0</v>
      </c>
      <c r="AK828" s="246"/>
      <c r="AL828" s="246"/>
      <c r="AM828" s="551"/>
      <c r="AN828" s="551"/>
      <c r="AO828" s="1331">
        <f>I828</f>
        <v>5400</v>
      </c>
      <c r="AP828" s="1331"/>
      <c r="AQ828" s="1331"/>
      <c r="AR828" s="551"/>
      <c r="AS828" s="551"/>
      <c r="AT828" s="551"/>
      <c r="AU828" s="551"/>
      <c r="AV828" s="551"/>
      <c r="AW828" s="551"/>
      <c r="AX828" s="651"/>
      <c r="AY828" s="551"/>
      <c r="AZ828" s="551"/>
      <c r="BA828" s="551">
        <f>I828</f>
        <v>5400</v>
      </c>
      <c r="BB828" s="551">
        <f>I828</f>
        <v>5400</v>
      </c>
      <c r="BC828" s="551">
        <f>I828</f>
        <v>5400</v>
      </c>
      <c r="BD828" s="551"/>
      <c r="BE828" s="551"/>
      <c r="BF828" s="551"/>
      <c r="BG828" s="551"/>
      <c r="BH828" s="825"/>
      <c r="BI828" s="551"/>
      <c r="BJ828" s="551"/>
      <c r="BK828" s="551">
        <f>I828</f>
        <v>5400</v>
      </c>
      <c r="BL828" s="551">
        <f>I828/5</f>
        <v>1080</v>
      </c>
      <c r="BM828" s="551"/>
      <c r="BN828" s="551"/>
      <c r="BO828" s="551"/>
      <c r="BP828" s="551"/>
      <c r="BQ828" s="551"/>
      <c r="BR828" s="551"/>
      <c r="BS828" s="551"/>
      <c r="BT828" s="551"/>
      <c r="BU828" s="551"/>
      <c r="BV828" s="551"/>
      <c r="BW828" s="551"/>
      <c r="BX828" s="551"/>
      <c r="BY828" s="551"/>
      <c r="BZ828" s="551"/>
      <c r="CA828" s="551"/>
      <c r="CB828" s="551"/>
      <c r="CC828" s="551"/>
      <c r="CD828" s="551"/>
      <c r="CE828" s="551"/>
      <c r="CF828" s="551"/>
      <c r="CG828" s="551"/>
      <c r="CH828" s="650"/>
      <c r="CI828" s="650"/>
      <c r="CJ828" s="650"/>
      <c r="CK828" s="650"/>
      <c r="CL828" s="650"/>
      <c r="CM828" s="551"/>
      <c r="CN828" s="551"/>
      <c r="CO828" s="551"/>
      <c r="CP828" s="650"/>
      <c r="CQ828" s="650"/>
      <c r="CR828" s="650"/>
      <c r="CS828" s="650"/>
      <c r="CT828" s="650"/>
      <c r="CU828" s="650"/>
    </row>
    <row r="829" s="1265" customFormat="1" ht="31" customHeight="1" spans="1:99">
      <c r="A829" s="641">
        <v>45995</v>
      </c>
      <c r="B829" s="642" t="s">
        <v>2734</v>
      </c>
      <c r="C829" s="246" t="s">
        <v>98</v>
      </c>
      <c r="D829" s="551">
        <v>4500184338</v>
      </c>
      <c r="E829" s="246">
        <v>60260737</v>
      </c>
      <c r="F829" s="551" t="s">
        <v>3187</v>
      </c>
      <c r="G829" s="659" t="s">
        <v>2736</v>
      </c>
      <c r="H829" s="246" t="s">
        <v>2737</v>
      </c>
      <c r="I829" s="246">
        <v>2000</v>
      </c>
      <c r="J829" s="246">
        <v>0</v>
      </c>
      <c r="K829" s="246">
        <v>8</v>
      </c>
      <c r="L829" s="644">
        <f t="shared" si="270"/>
        <v>250</v>
      </c>
      <c r="M829" s="645">
        <v>46093</v>
      </c>
      <c r="N829" s="645">
        <v>46090</v>
      </c>
      <c r="O829" s="643"/>
      <c r="P829" s="824" t="s">
        <v>113</v>
      </c>
      <c r="Q829" s="646"/>
      <c r="R829" s="646">
        <v>45995</v>
      </c>
      <c r="S829" s="646" t="s">
        <v>70</v>
      </c>
      <c r="T829" s="646" t="s">
        <v>2738</v>
      </c>
      <c r="U829" s="646"/>
      <c r="V829" s="642"/>
      <c r="W829" s="642"/>
      <c r="X829" s="628" t="s">
        <v>3188</v>
      </c>
      <c r="Y829" s="647" t="s">
        <v>2678</v>
      </c>
      <c r="Z829" s="657">
        <v>4.097</v>
      </c>
      <c r="AA829" s="647">
        <f>Z829*I829</f>
        <v>8194</v>
      </c>
      <c r="AB829" s="551"/>
      <c r="AC829" s="658" t="s">
        <v>3189</v>
      </c>
      <c r="AD829" s="633" t="s">
        <v>2741</v>
      </c>
      <c r="AE829" s="246" t="s">
        <v>82</v>
      </c>
      <c r="AF829" s="246"/>
      <c r="AG829" s="246"/>
      <c r="AH829" s="246">
        <v>1</v>
      </c>
      <c r="AI829" s="246">
        <f>1904+96</f>
        <v>2000</v>
      </c>
      <c r="AJ829" s="246">
        <f t="shared" si="276"/>
        <v>0</v>
      </c>
      <c r="AK829" s="246"/>
      <c r="AL829" s="246"/>
      <c r="AM829" s="551"/>
      <c r="AN829" s="551">
        <f>I829</f>
        <v>2000</v>
      </c>
      <c r="AO829" s="1331"/>
      <c r="AP829" s="1331"/>
      <c r="AQ829" s="1331"/>
      <c r="AR829" s="551">
        <f>I829</f>
        <v>2000</v>
      </c>
      <c r="AS829" s="551"/>
      <c r="AT829" s="551"/>
      <c r="AU829" s="551">
        <f>I829</f>
        <v>2000</v>
      </c>
      <c r="AV829" s="551"/>
      <c r="AW829" s="551">
        <f>I829</f>
        <v>2000</v>
      </c>
      <c r="AX829" s="651"/>
      <c r="AY829" s="551"/>
      <c r="AZ829" s="551"/>
      <c r="BA829" s="551"/>
      <c r="BB829" s="551"/>
      <c r="BC829" s="551"/>
      <c r="BD829" s="551"/>
      <c r="BE829" s="551"/>
      <c r="BF829" s="551"/>
      <c r="BG829" s="551"/>
      <c r="BH829" s="825"/>
      <c r="BI829" s="551"/>
      <c r="BJ829" s="551"/>
      <c r="BK829" s="551"/>
      <c r="BL829" s="551"/>
      <c r="BM829" s="551"/>
      <c r="BN829" s="551">
        <f>I829</f>
        <v>2000</v>
      </c>
      <c r="BO829" s="551"/>
      <c r="BP829" s="551"/>
      <c r="BQ829" s="551"/>
      <c r="BR829" s="551"/>
      <c r="BS829" s="551"/>
      <c r="BT829" s="551"/>
      <c r="BU829" s="551"/>
      <c r="BV829" s="551"/>
      <c r="BW829" s="551"/>
      <c r="BX829" s="551"/>
      <c r="BY829" s="551"/>
      <c r="BZ829" s="551"/>
      <c r="CA829" s="551"/>
      <c r="CB829" s="551"/>
      <c r="CC829" s="551"/>
      <c r="CD829" s="551"/>
      <c r="CE829" s="551"/>
      <c r="CF829" s="551"/>
      <c r="CG829" s="551"/>
      <c r="CH829" s="650"/>
      <c r="CI829" s="650"/>
      <c r="CJ829" s="650"/>
      <c r="CK829" s="650"/>
      <c r="CL829" s="650"/>
      <c r="CM829" s="551"/>
      <c r="CN829" s="551"/>
      <c r="CO829" s="551"/>
      <c r="CP829" s="650"/>
      <c r="CQ829" s="650"/>
      <c r="CR829" s="650"/>
      <c r="CS829" s="650"/>
      <c r="CT829" s="650"/>
      <c r="CU829" s="650"/>
    </row>
    <row r="830" s="1265" customFormat="1" ht="31" customHeight="1" spans="1:99">
      <c r="A830" s="641">
        <v>46030</v>
      </c>
      <c r="B830" s="642" t="s">
        <v>3039</v>
      </c>
      <c r="C830" s="246" t="s">
        <v>399</v>
      </c>
      <c r="D830" s="551">
        <v>4500190902</v>
      </c>
      <c r="E830" s="246">
        <v>5510064828</v>
      </c>
      <c r="F830" s="551" t="s">
        <v>3190</v>
      </c>
      <c r="G830" s="659" t="s">
        <v>829</v>
      </c>
      <c r="H830" s="246" t="s">
        <v>830</v>
      </c>
      <c r="I830" s="246">
        <v>1800</v>
      </c>
      <c r="J830" s="246">
        <v>0</v>
      </c>
      <c r="K830" s="246">
        <v>75</v>
      </c>
      <c r="L830" s="644">
        <f t="shared" si="270"/>
        <v>24</v>
      </c>
      <c r="M830" s="645">
        <v>46093</v>
      </c>
      <c r="N830" s="645">
        <v>46090</v>
      </c>
      <c r="O830" s="643"/>
      <c r="P830" s="824" t="s">
        <v>113</v>
      </c>
      <c r="Q830" s="646"/>
      <c r="R830" s="646">
        <v>46030</v>
      </c>
      <c r="S830" s="646" t="s">
        <v>70</v>
      </c>
      <c r="T830" s="646" t="s">
        <v>70</v>
      </c>
      <c r="U830" s="646"/>
      <c r="V830" s="642"/>
      <c r="W830" s="642"/>
      <c r="X830" s="642" t="s">
        <v>3191</v>
      </c>
      <c r="Y830" s="647" t="s">
        <v>1549</v>
      </c>
      <c r="Z830" s="657">
        <v>623.8856</v>
      </c>
      <c r="AA830" s="647">
        <f>Z830*L830</f>
        <v>14973.2544</v>
      </c>
      <c r="AB830" s="551"/>
      <c r="AC830" s="648"/>
      <c r="AD830" s="633" t="s">
        <v>829</v>
      </c>
      <c r="AE830" s="246" t="s">
        <v>82</v>
      </c>
      <c r="AF830" s="246"/>
      <c r="AG830" s="246"/>
      <c r="AH830" s="246" t="s">
        <v>3042</v>
      </c>
      <c r="AI830" s="246">
        <f>1790+10</f>
        <v>1800</v>
      </c>
      <c r="AJ830" s="246">
        <f t="shared" si="276"/>
        <v>0</v>
      </c>
      <c r="AK830" s="246"/>
      <c r="AL830" s="246"/>
      <c r="AM830" s="551"/>
      <c r="AN830" s="551"/>
      <c r="AO830" s="1331"/>
      <c r="AP830" s="1331"/>
      <c r="AQ830" s="1331">
        <f>I830</f>
        <v>1800</v>
      </c>
      <c r="AR830" s="551"/>
      <c r="AS830" s="551"/>
      <c r="AT830" s="551"/>
      <c r="AU830" s="551"/>
      <c r="AV830" s="551"/>
      <c r="AW830" s="551"/>
      <c r="AX830" s="651"/>
      <c r="AY830" s="551"/>
      <c r="AZ830" s="551"/>
      <c r="BA830" s="551">
        <f>I830</f>
        <v>1800</v>
      </c>
      <c r="BB830" s="551">
        <f>I830</f>
        <v>1800</v>
      </c>
      <c r="BC830" s="551">
        <f>I830</f>
        <v>1800</v>
      </c>
      <c r="BD830" s="551"/>
      <c r="BE830" s="551"/>
      <c r="BF830" s="551"/>
      <c r="BG830" s="551"/>
      <c r="BH830" s="825"/>
      <c r="BI830" s="551"/>
      <c r="BJ830" s="551"/>
      <c r="BK830" s="551"/>
      <c r="BL830" s="551"/>
      <c r="BM830" s="551"/>
      <c r="BN830" s="551"/>
      <c r="BO830" s="551"/>
      <c r="BP830" s="551"/>
      <c r="BQ830" s="551"/>
      <c r="BR830" s="551"/>
      <c r="BS830" s="551"/>
      <c r="BT830" s="551"/>
      <c r="BU830" s="551"/>
      <c r="BV830" s="551"/>
      <c r="BW830" s="551"/>
      <c r="BX830" s="551"/>
      <c r="BY830" s="551"/>
      <c r="BZ830" s="551"/>
      <c r="CA830" s="551"/>
      <c r="CB830" s="551"/>
      <c r="CC830" s="551"/>
      <c r="CD830" s="551"/>
      <c r="CE830" s="551"/>
      <c r="CF830" s="551"/>
      <c r="CG830" s="551"/>
      <c r="CH830" s="650"/>
      <c r="CI830" s="650"/>
      <c r="CJ830" s="650"/>
      <c r="CK830" s="650"/>
      <c r="CL830" s="650"/>
      <c r="CM830" s="551"/>
      <c r="CN830" s="551"/>
      <c r="CO830" s="551"/>
      <c r="CP830" s="650"/>
      <c r="CQ830" s="650"/>
      <c r="CR830" s="650"/>
      <c r="CS830" s="650"/>
      <c r="CT830" s="650"/>
      <c r="CU830" s="650"/>
    </row>
    <row r="831" s="1265" customFormat="1" ht="31" customHeight="1" spans="1:99">
      <c r="A831" s="641">
        <v>45978</v>
      </c>
      <c r="B831" s="642" t="s">
        <v>1492</v>
      </c>
      <c r="C831" s="246" t="s">
        <v>98</v>
      </c>
      <c r="D831" s="551">
        <v>4500185942</v>
      </c>
      <c r="E831" s="1415" t="s">
        <v>3192</v>
      </c>
      <c r="F831" s="551" t="s">
        <v>3193</v>
      </c>
      <c r="G831" s="659" t="s">
        <v>2666</v>
      </c>
      <c r="H831" s="246" t="s">
        <v>830</v>
      </c>
      <c r="I831" s="246">
        <v>5400</v>
      </c>
      <c r="J831" s="246">
        <v>0</v>
      </c>
      <c r="K831" s="246">
        <v>75</v>
      </c>
      <c r="L831" s="644">
        <f t="shared" si="270"/>
        <v>72</v>
      </c>
      <c r="M831" s="645">
        <v>46094</v>
      </c>
      <c r="N831" s="645">
        <v>46090</v>
      </c>
      <c r="O831" s="643"/>
      <c r="P831" s="824" t="s">
        <v>113</v>
      </c>
      <c r="Q831" s="646"/>
      <c r="R831" s="646" t="s">
        <v>2667</v>
      </c>
      <c r="S831" s="646" t="s">
        <v>70</v>
      </c>
      <c r="T831" s="646" t="s">
        <v>70</v>
      </c>
      <c r="U831" s="646"/>
      <c r="V831" s="642"/>
      <c r="W831" s="642"/>
      <c r="X831" s="642" t="s">
        <v>2826</v>
      </c>
      <c r="Y831" s="647" t="s">
        <v>911</v>
      </c>
      <c r="Z831" s="657">
        <v>359.3436</v>
      </c>
      <c r="AA831" s="647">
        <v>25872.7392</v>
      </c>
      <c r="AB831" s="551"/>
      <c r="AC831" s="658" t="s">
        <v>3194</v>
      </c>
      <c r="AD831" s="633" t="s">
        <v>1498</v>
      </c>
      <c r="AE831" s="246" t="s">
        <v>82</v>
      </c>
      <c r="AF831" s="246"/>
      <c r="AG831" s="246"/>
      <c r="AH831" s="246">
        <v>1</v>
      </c>
      <c r="AI831" s="246"/>
      <c r="AJ831" s="246">
        <f t="shared" si="276"/>
        <v>-5400</v>
      </c>
      <c r="AK831" s="246"/>
      <c r="AL831" s="246"/>
      <c r="AM831" s="551"/>
      <c r="AN831" s="551"/>
      <c r="AO831" s="1331">
        <f>I831</f>
        <v>5400</v>
      </c>
      <c r="AP831" s="1331"/>
      <c r="AQ831" s="1331"/>
      <c r="AR831" s="551"/>
      <c r="AS831" s="551"/>
      <c r="AT831" s="551"/>
      <c r="AU831" s="551"/>
      <c r="AV831" s="551"/>
      <c r="AW831" s="551"/>
      <c r="AX831" s="651"/>
      <c r="AY831" s="551"/>
      <c r="AZ831" s="551"/>
      <c r="BA831" s="551">
        <f>I831</f>
        <v>5400</v>
      </c>
      <c r="BB831" s="551">
        <f>I831</f>
        <v>5400</v>
      </c>
      <c r="BC831" s="551">
        <f>I831</f>
        <v>5400</v>
      </c>
      <c r="BD831" s="551"/>
      <c r="BE831" s="551"/>
      <c r="BF831" s="551"/>
      <c r="BG831" s="551"/>
      <c r="BH831" s="825"/>
      <c r="BI831" s="551"/>
      <c r="BJ831" s="551"/>
      <c r="BK831" s="551">
        <f>I831</f>
        <v>5400</v>
      </c>
      <c r="BL831" s="551">
        <f>I831/5</f>
        <v>1080</v>
      </c>
      <c r="BM831" s="551"/>
      <c r="BN831" s="551"/>
      <c r="BO831" s="551"/>
      <c r="BP831" s="551"/>
      <c r="BQ831" s="551"/>
      <c r="BR831" s="551"/>
      <c r="BS831" s="551"/>
      <c r="BT831" s="551"/>
      <c r="BU831" s="551"/>
      <c r="BV831" s="551"/>
      <c r="BW831" s="551"/>
      <c r="BX831" s="551"/>
      <c r="BY831" s="551"/>
      <c r="BZ831" s="551"/>
      <c r="CA831" s="551"/>
      <c r="CB831" s="551"/>
      <c r="CC831" s="551"/>
      <c r="CD831" s="551"/>
      <c r="CE831" s="551"/>
      <c r="CF831" s="551"/>
      <c r="CG831" s="551"/>
      <c r="CH831" s="650"/>
      <c r="CI831" s="650"/>
      <c r="CJ831" s="650"/>
      <c r="CK831" s="650"/>
      <c r="CL831" s="650"/>
      <c r="CM831" s="551"/>
      <c r="CN831" s="551"/>
      <c r="CO831" s="551"/>
      <c r="CP831" s="650"/>
      <c r="CQ831" s="650"/>
      <c r="CR831" s="650"/>
      <c r="CS831" s="650"/>
      <c r="CT831" s="650"/>
      <c r="CU831" s="650"/>
    </row>
    <row r="832" s="1265" customFormat="1" ht="31" customHeight="1" spans="1:99">
      <c r="A832" s="641">
        <v>45978</v>
      </c>
      <c r="B832" s="642" t="s">
        <v>1492</v>
      </c>
      <c r="C832" s="246" t="s">
        <v>98</v>
      </c>
      <c r="D832" s="551">
        <v>4500185943</v>
      </c>
      <c r="E832" s="1415" t="s">
        <v>3195</v>
      </c>
      <c r="F832" s="551" t="s">
        <v>3196</v>
      </c>
      <c r="G832" s="659" t="s">
        <v>2666</v>
      </c>
      <c r="H832" s="246" t="s">
        <v>830</v>
      </c>
      <c r="I832" s="246">
        <v>5400</v>
      </c>
      <c r="J832" s="246">
        <v>0</v>
      </c>
      <c r="K832" s="246">
        <v>75</v>
      </c>
      <c r="L832" s="644">
        <f t="shared" si="270"/>
        <v>72</v>
      </c>
      <c r="M832" s="645">
        <v>46094</v>
      </c>
      <c r="N832" s="645">
        <v>46090</v>
      </c>
      <c r="O832" s="643"/>
      <c r="P832" s="824" t="s">
        <v>113</v>
      </c>
      <c r="Q832" s="646"/>
      <c r="R832" s="646" t="s">
        <v>2667</v>
      </c>
      <c r="S832" s="646" t="s">
        <v>70</v>
      </c>
      <c r="T832" s="646" t="s">
        <v>70</v>
      </c>
      <c r="U832" s="646"/>
      <c r="V832" s="642"/>
      <c r="W832" s="642"/>
      <c r="X832" s="642" t="s">
        <v>2826</v>
      </c>
      <c r="Y832" s="647" t="s">
        <v>911</v>
      </c>
      <c r="Z832" s="657">
        <v>359.3436</v>
      </c>
      <c r="AA832" s="647">
        <v>25872.7392</v>
      </c>
      <c r="AB832" s="551"/>
      <c r="AC832" s="658" t="s">
        <v>3197</v>
      </c>
      <c r="AD832" s="633" t="s">
        <v>1498</v>
      </c>
      <c r="AE832" s="246" t="s">
        <v>82</v>
      </c>
      <c r="AF832" s="246"/>
      <c r="AG832" s="246"/>
      <c r="AH832" s="246">
        <v>1</v>
      </c>
      <c r="AI832" s="246"/>
      <c r="AJ832" s="246">
        <f t="shared" si="276"/>
        <v>-5400</v>
      </c>
      <c r="AK832" s="246"/>
      <c r="AL832" s="246"/>
      <c r="AM832" s="551"/>
      <c r="AN832" s="551"/>
      <c r="AO832" s="1331">
        <f>I832</f>
        <v>5400</v>
      </c>
      <c r="AP832" s="1331"/>
      <c r="AQ832" s="1331"/>
      <c r="AR832" s="551"/>
      <c r="AS832" s="551"/>
      <c r="AT832" s="551"/>
      <c r="AU832" s="551"/>
      <c r="AV832" s="551"/>
      <c r="AW832" s="551"/>
      <c r="AX832" s="651"/>
      <c r="AY832" s="551"/>
      <c r="AZ832" s="551"/>
      <c r="BA832" s="551">
        <f>I832</f>
        <v>5400</v>
      </c>
      <c r="BB832" s="551">
        <f>I832</f>
        <v>5400</v>
      </c>
      <c r="BC832" s="551">
        <f>I832</f>
        <v>5400</v>
      </c>
      <c r="BD832" s="551"/>
      <c r="BE832" s="551"/>
      <c r="BF832" s="551"/>
      <c r="BG832" s="551"/>
      <c r="BH832" s="825"/>
      <c r="BI832" s="551"/>
      <c r="BJ832" s="551"/>
      <c r="BK832" s="551">
        <f>I832</f>
        <v>5400</v>
      </c>
      <c r="BL832" s="551">
        <f>I832/5</f>
        <v>1080</v>
      </c>
      <c r="BM832" s="551"/>
      <c r="BN832" s="551"/>
      <c r="BO832" s="551"/>
      <c r="BP832" s="551"/>
      <c r="BQ832" s="551"/>
      <c r="BR832" s="551"/>
      <c r="BS832" s="551"/>
      <c r="BT832" s="551"/>
      <c r="BU832" s="551"/>
      <c r="BV832" s="551"/>
      <c r="BW832" s="551"/>
      <c r="BX832" s="551"/>
      <c r="BY832" s="551"/>
      <c r="BZ832" s="551"/>
      <c r="CA832" s="551"/>
      <c r="CB832" s="551"/>
      <c r="CC832" s="551"/>
      <c r="CD832" s="551"/>
      <c r="CE832" s="551"/>
      <c r="CF832" s="551"/>
      <c r="CG832" s="551"/>
      <c r="CH832" s="650"/>
      <c r="CI832" s="650"/>
      <c r="CJ832" s="650"/>
      <c r="CK832" s="650"/>
      <c r="CL832" s="650"/>
      <c r="CM832" s="551"/>
      <c r="CN832" s="551"/>
      <c r="CO832" s="551"/>
      <c r="CP832" s="650"/>
      <c r="CQ832" s="650"/>
      <c r="CR832" s="650"/>
      <c r="CS832" s="650"/>
      <c r="CT832" s="650"/>
      <c r="CU832" s="650"/>
    </row>
    <row r="833" s="1265" customFormat="1" ht="31" customHeight="1" spans="1:99">
      <c r="A833" s="641">
        <v>46031</v>
      </c>
      <c r="B833" s="642" t="s">
        <v>1673</v>
      </c>
      <c r="C833" s="246" t="s">
        <v>98</v>
      </c>
      <c r="D833" s="551">
        <v>4500191037</v>
      </c>
      <c r="E833" s="246">
        <v>2105687</v>
      </c>
      <c r="F833" s="551" t="s">
        <v>3198</v>
      </c>
      <c r="G833" s="659" t="s">
        <v>68</v>
      </c>
      <c r="H833" s="633" t="s">
        <v>69</v>
      </c>
      <c r="I833" s="246">
        <v>2820</v>
      </c>
      <c r="J833" s="246">
        <v>0</v>
      </c>
      <c r="K833" s="246">
        <v>12</v>
      </c>
      <c r="L833" s="644">
        <f t="shared" si="270"/>
        <v>235</v>
      </c>
      <c r="M833" s="645">
        <v>46094</v>
      </c>
      <c r="N833" s="645">
        <v>46090</v>
      </c>
      <c r="O833" s="643"/>
      <c r="P833" s="824" t="s">
        <v>113</v>
      </c>
      <c r="Q833" s="646"/>
      <c r="R833" s="646">
        <v>46031</v>
      </c>
      <c r="S833" s="646" t="s">
        <v>70</v>
      </c>
      <c r="T833" s="646" t="s">
        <v>3199</v>
      </c>
      <c r="U833" s="646"/>
      <c r="V833" s="642"/>
      <c r="W833" s="642"/>
      <c r="X833" s="642" t="s">
        <v>3200</v>
      </c>
      <c r="Y833" s="647" t="s">
        <v>882</v>
      </c>
      <c r="Z833" s="657">
        <v>2.5148</v>
      </c>
      <c r="AA833" s="647">
        <f>Z833*I833</f>
        <v>7091.736</v>
      </c>
      <c r="AB833" s="551"/>
      <c r="AC833" s="658" t="s">
        <v>3201</v>
      </c>
      <c r="AD833" s="633" t="s">
        <v>68</v>
      </c>
      <c r="AE833" s="246" t="s">
        <v>82</v>
      </c>
      <c r="AF833" s="246"/>
      <c r="AG833" s="246"/>
      <c r="AH833" s="246">
        <v>1</v>
      </c>
      <c r="AI833" s="246">
        <f>2820</f>
        <v>2820</v>
      </c>
      <c r="AJ833" s="246">
        <f t="shared" si="276"/>
        <v>0</v>
      </c>
      <c r="AK833" s="246"/>
      <c r="AL833" s="246" t="s">
        <v>2368</v>
      </c>
      <c r="AM833" s="551"/>
      <c r="AN833" s="551">
        <f>I833</f>
        <v>2820</v>
      </c>
      <c r="AO833" s="1331"/>
      <c r="AP833" s="1331"/>
      <c r="AQ833" s="1331"/>
      <c r="AR833" s="551">
        <f>I833</f>
        <v>2820</v>
      </c>
      <c r="AS833" s="551"/>
      <c r="AT833" s="551"/>
      <c r="AU833" s="551">
        <f>I833</f>
        <v>2820</v>
      </c>
      <c r="AV833" s="551"/>
      <c r="AW833" s="551">
        <f>I833</f>
        <v>2820</v>
      </c>
      <c r="AX833" s="651"/>
      <c r="AY833" s="551"/>
      <c r="AZ833" s="551"/>
      <c r="BA833" s="551"/>
      <c r="BB833" s="551"/>
      <c r="BC833" s="551"/>
      <c r="BD833" s="551"/>
      <c r="BE833" s="551"/>
      <c r="BF833" s="551"/>
      <c r="BG833" s="551"/>
      <c r="BH833" s="825"/>
      <c r="BI833" s="551"/>
      <c r="BJ833" s="551"/>
      <c r="BK833" s="551"/>
      <c r="BL833" s="551"/>
      <c r="BM833" s="551"/>
      <c r="BN833" s="551"/>
      <c r="BO833" s="551"/>
      <c r="BP833" s="551"/>
      <c r="BQ833" s="551"/>
      <c r="BR833" s="551"/>
      <c r="BS833" s="551"/>
      <c r="BT833" s="551"/>
      <c r="BU833" s="551"/>
      <c r="BV833" s="551"/>
      <c r="BW833" s="551"/>
      <c r="BX833" s="551"/>
      <c r="BY833" s="551"/>
      <c r="BZ833" s="551"/>
      <c r="CA833" s="551"/>
      <c r="CB833" s="551"/>
      <c r="CC833" s="551"/>
      <c r="CD833" s="551"/>
      <c r="CE833" s="551"/>
      <c r="CF833" s="551"/>
      <c r="CG833" s="551"/>
      <c r="CH833" s="650"/>
      <c r="CI833" s="650"/>
      <c r="CJ833" s="650"/>
      <c r="CK833" s="650"/>
      <c r="CL833" s="650"/>
      <c r="CM833" s="551"/>
      <c r="CN833" s="551"/>
      <c r="CO833" s="551"/>
      <c r="CP833" s="650"/>
      <c r="CQ833" s="650"/>
      <c r="CR833" s="650"/>
      <c r="CS833" s="650"/>
      <c r="CT833" s="650"/>
      <c r="CU833" s="650"/>
    </row>
    <row r="834" s="1265" customFormat="1" ht="31" customHeight="1" spans="1:99">
      <c r="A834" s="641">
        <v>46031</v>
      </c>
      <c r="B834" s="642" t="s">
        <v>1673</v>
      </c>
      <c r="C834" s="246" t="s">
        <v>98</v>
      </c>
      <c r="D834" s="551">
        <v>4500191037</v>
      </c>
      <c r="E834" s="246">
        <v>2105689</v>
      </c>
      <c r="F834" s="551" t="s">
        <v>3202</v>
      </c>
      <c r="G834" s="659" t="s">
        <v>68</v>
      </c>
      <c r="H834" s="633" t="s">
        <v>69</v>
      </c>
      <c r="I834" s="246">
        <v>936</v>
      </c>
      <c r="J834" s="246">
        <v>0</v>
      </c>
      <c r="K834" s="246">
        <v>12</v>
      </c>
      <c r="L834" s="644">
        <f t="shared" si="270"/>
        <v>78</v>
      </c>
      <c r="M834" s="645">
        <v>46094</v>
      </c>
      <c r="N834" s="645">
        <v>46090</v>
      </c>
      <c r="O834" s="643"/>
      <c r="P834" s="824" t="s">
        <v>113</v>
      </c>
      <c r="Q834" s="646"/>
      <c r="R834" s="646">
        <v>46031</v>
      </c>
      <c r="S834" s="646" t="s">
        <v>70</v>
      </c>
      <c r="T834" s="646" t="s">
        <v>3199</v>
      </c>
      <c r="U834" s="646"/>
      <c r="V834" s="642"/>
      <c r="W834" s="642"/>
      <c r="X834" s="642" t="s">
        <v>3200</v>
      </c>
      <c r="Y834" s="647" t="s">
        <v>882</v>
      </c>
      <c r="Z834" s="657">
        <v>2.5148</v>
      </c>
      <c r="AA834" s="647">
        <f>Z834*I834</f>
        <v>2353.8528</v>
      </c>
      <c r="AB834" s="551"/>
      <c r="AC834" s="658" t="s">
        <v>3201</v>
      </c>
      <c r="AD834" s="633" t="s">
        <v>68</v>
      </c>
      <c r="AE834" s="246" t="s">
        <v>82</v>
      </c>
      <c r="AF834" s="246"/>
      <c r="AG834" s="246"/>
      <c r="AH834" s="246">
        <v>1</v>
      </c>
      <c r="AI834" s="246">
        <v>936</v>
      </c>
      <c r="AJ834" s="246">
        <f t="shared" si="276"/>
        <v>0</v>
      </c>
      <c r="AK834" s="246"/>
      <c r="AL834" s="246" t="s">
        <v>2368</v>
      </c>
      <c r="AM834" s="551"/>
      <c r="AN834" s="551">
        <f>I834</f>
        <v>936</v>
      </c>
      <c r="AO834" s="1331"/>
      <c r="AP834" s="1331"/>
      <c r="AQ834" s="1331"/>
      <c r="AR834" s="551">
        <f>I834</f>
        <v>936</v>
      </c>
      <c r="AS834" s="551"/>
      <c r="AT834" s="551"/>
      <c r="AU834" s="551">
        <f>I834</f>
        <v>936</v>
      </c>
      <c r="AV834" s="551"/>
      <c r="AW834" s="551">
        <f>I834</f>
        <v>936</v>
      </c>
      <c r="AX834" s="651"/>
      <c r="AY834" s="551"/>
      <c r="AZ834" s="551"/>
      <c r="BA834" s="551"/>
      <c r="BB834" s="551"/>
      <c r="BC834" s="551"/>
      <c r="BD834" s="551"/>
      <c r="BE834" s="551"/>
      <c r="BF834" s="551"/>
      <c r="BG834" s="551"/>
      <c r="BH834" s="825"/>
      <c r="BI834" s="551"/>
      <c r="BJ834" s="551"/>
      <c r="BK834" s="551"/>
      <c r="BL834" s="551"/>
      <c r="BM834" s="551"/>
      <c r="BN834" s="551"/>
      <c r="BO834" s="551"/>
      <c r="BP834" s="551"/>
      <c r="BQ834" s="551"/>
      <c r="BR834" s="551"/>
      <c r="BS834" s="551"/>
      <c r="BT834" s="551"/>
      <c r="BU834" s="551"/>
      <c r="BV834" s="551"/>
      <c r="BW834" s="551"/>
      <c r="BX834" s="551"/>
      <c r="BY834" s="551"/>
      <c r="BZ834" s="551"/>
      <c r="CA834" s="551"/>
      <c r="CB834" s="551"/>
      <c r="CC834" s="551"/>
      <c r="CD834" s="551"/>
      <c r="CE834" s="551"/>
      <c r="CF834" s="551"/>
      <c r="CG834" s="551"/>
      <c r="CH834" s="650"/>
      <c r="CI834" s="650"/>
      <c r="CJ834" s="650"/>
      <c r="CK834" s="650"/>
      <c r="CL834" s="650"/>
      <c r="CM834" s="551"/>
      <c r="CN834" s="551"/>
      <c r="CO834" s="551"/>
      <c r="CP834" s="650"/>
      <c r="CQ834" s="650"/>
      <c r="CR834" s="650"/>
      <c r="CS834" s="650"/>
      <c r="CT834" s="650"/>
      <c r="CU834" s="650"/>
    </row>
    <row r="835" s="1265" customFormat="1" ht="31" customHeight="1" spans="1:99">
      <c r="A835" s="641">
        <v>46027</v>
      </c>
      <c r="B835" s="642" t="s">
        <v>135</v>
      </c>
      <c r="C835" s="246" t="s">
        <v>128</v>
      </c>
      <c r="D835" s="551">
        <v>4500190626</v>
      </c>
      <c r="E835" s="246">
        <v>21387824</v>
      </c>
      <c r="F835" s="551" t="s">
        <v>3203</v>
      </c>
      <c r="G835" s="659" t="s">
        <v>68</v>
      </c>
      <c r="H835" s="633" t="s">
        <v>69</v>
      </c>
      <c r="I835" s="246">
        <v>1500</v>
      </c>
      <c r="J835" s="246">
        <v>0</v>
      </c>
      <c r="K835" s="246">
        <v>12</v>
      </c>
      <c r="L835" s="644">
        <f t="shared" si="270"/>
        <v>125</v>
      </c>
      <c r="M835" s="645">
        <v>46097</v>
      </c>
      <c r="N835" s="645">
        <v>46093</v>
      </c>
      <c r="O835" s="643"/>
      <c r="P835" s="824" t="s">
        <v>113</v>
      </c>
      <c r="Q835" s="646"/>
      <c r="R835" s="646" t="s">
        <v>454</v>
      </c>
      <c r="S835" s="646" t="s">
        <v>104</v>
      </c>
      <c r="T835" s="646" t="s">
        <v>3204</v>
      </c>
      <c r="U835" s="646"/>
      <c r="V835" s="642"/>
      <c r="W835" s="642"/>
      <c r="X835" s="628" t="s">
        <v>3205</v>
      </c>
      <c r="Y835" s="647" t="s">
        <v>3206</v>
      </c>
      <c r="Z835" s="657">
        <v>4.2552</v>
      </c>
      <c r="AA835" s="647">
        <f>Z835*I835</f>
        <v>6382.8</v>
      </c>
      <c r="AB835" s="551"/>
      <c r="AC835" s="648"/>
      <c r="AD835" s="633" t="s">
        <v>68</v>
      </c>
      <c r="AE835" s="246" t="s">
        <v>82</v>
      </c>
      <c r="AF835" s="246"/>
      <c r="AG835" s="246"/>
      <c r="AH835" s="246">
        <v>1</v>
      </c>
      <c r="AI835" s="246">
        <v>1500</v>
      </c>
      <c r="AJ835" s="246">
        <f t="shared" si="276"/>
        <v>0</v>
      </c>
      <c r="AK835" s="246"/>
      <c r="AL835" s="246" t="s">
        <v>2368</v>
      </c>
      <c r="AM835" s="551"/>
      <c r="AN835" s="551">
        <f>I835</f>
        <v>1500</v>
      </c>
      <c r="AO835" s="1331"/>
      <c r="AP835" s="1331"/>
      <c r="AQ835" s="1331"/>
      <c r="AR835" s="551">
        <f>I835</f>
        <v>1500</v>
      </c>
      <c r="AS835" s="551"/>
      <c r="AT835" s="551"/>
      <c r="AU835" s="551">
        <f>I835</f>
        <v>1500</v>
      </c>
      <c r="AV835" s="551"/>
      <c r="AW835" s="551">
        <f>I835</f>
        <v>1500</v>
      </c>
      <c r="AX835" s="651"/>
      <c r="AY835" s="551"/>
      <c r="AZ835" s="551"/>
      <c r="BA835" s="551"/>
      <c r="BB835" s="551"/>
      <c r="BC835" s="551"/>
      <c r="BD835" s="551"/>
      <c r="BE835" s="551"/>
      <c r="BF835" s="551"/>
      <c r="BG835" s="551"/>
      <c r="BH835" s="825"/>
      <c r="BI835" s="551"/>
      <c r="BJ835" s="551"/>
      <c r="BK835" s="551"/>
      <c r="BL835" s="551"/>
      <c r="BM835" s="551"/>
      <c r="BN835" s="551"/>
      <c r="BO835" s="551"/>
      <c r="BP835" s="551"/>
      <c r="BQ835" s="551"/>
      <c r="BR835" s="551"/>
      <c r="BS835" s="551"/>
      <c r="BT835" s="551"/>
      <c r="BU835" s="551"/>
      <c r="BV835" s="551"/>
      <c r="BW835" s="551"/>
      <c r="BX835" s="551"/>
      <c r="BY835" s="551"/>
      <c r="BZ835" s="551"/>
      <c r="CA835" s="551"/>
      <c r="CB835" s="551"/>
      <c r="CC835" s="551"/>
      <c r="CD835" s="551"/>
      <c r="CE835" s="551"/>
      <c r="CF835" s="551"/>
      <c r="CG835" s="551"/>
      <c r="CH835" s="650"/>
      <c r="CI835" s="650"/>
      <c r="CJ835" s="650"/>
      <c r="CK835" s="650"/>
      <c r="CL835" s="650"/>
      <c r="CM835" s="551"/>
      <c r="CN835" s="551"/>
      <c r="CO835" s="551"/>
      <c r="CP835" s="650"/>
      <c r="CQ835" s="650"/>
      <c r="CR835" s="650"/>
      <c r="CS835" s="650"/>
      <c r="CT835" s="650"/>
      <c r="CU835" s="650"/>
    </row>
    <row r="836" s="1265" customFormat="1" ht="31" customHeight="1" spans="1:99">
      <c r="A836" s="641">
        <v>46027</v>
      </c>
      <c r="B836" s="642" t="s">
        <v>1856</v>
      </c>
      <c r="C836" s="246" t="s">
        <v>1857</v>
      </c>
      <c r="D836" s="551">
        <v>4500190606</v>
      </c>
      <c r="E836" s="246" t="s">
        <v>3207</v>
      </c>
      <c r="F836" s="551" t="s">
        <v>3208</v>
      </c>
      <c r="G836" s="659" t="s">
        <v>68</v>
      </c>
      <c r="H836" s="633" t="s">
        <v>69</v>
      </c>
      <c r="I836" s="246">
        <v>1008</v>
      </c>
      <c r="J836" s="246">
        <v>0</v>
      </c>
      <c r="K836" s="246">
        <v>12</v>
      </c>
      <c r="L836" s="644">
        <f t="shared" si="270"/>
        <v>84</v>
      </c>
      <c r="M836" s="645">
        <v>46097</v>
      </c>
      <c r="N836" s="645">
        <v>46093</v>
      </c>
      <c r="O836" s="643"/>
      <c r="P836" s="824" t="s">
        <v>113</v>
      </c>
      <c r="Q836" s="646"/>
      <c r="R836" s="646">
        <v>46029</v>
      </c>
      <c r="S836" s="646" t="s">
        <v>70</v>
      </c>
      <c r="T836" s="646" t="s">
        <v>3209</v>
      </c>
      <c r="U836" s="646"/>
      <c r="V836" s="642"/>
      <c r="W836" s="642"/>
      <c r="X836" s="642" t="s">
        <v>3210</v>
      </c>
      <c r="Y836" s="647" t="s">
        <v>529</v>
      </c>
      <c r="Z836" s="657">
        <v>4.1623</v>
      </c>
      <c r="AA836" s="647">
        <f>Z836*I836</f>
        <v>4195.5984</v>
      </c>
      <c r="AB836" s="551"/>
      <c r="AC836" s="648"/>
      <c r="AD836" s="633" t="s">
        <v>184</v>
      </c>
      <c r="AE836" s="246" t="s">
        <v>82</v>
      </c>
      <c r="AF836" s="246"/>
      <c r="AG836" s="246"/>
      <c r="AH836" s="246">
        <v>1</v>
      </c>
      <c r="AI836" s="246">
        <v>1008</v>
      </c>
      <c r="AJ836" s="246">
        <f t="shared" si="276"/>
        <v>0</v>
      </c>
      <c r="AK836" s="246"/>
      <c r="AL836" s="246" t="s">
        <v>2368</v>
      </c>
      <c r="AM836" s="551"/>
      <c r="AN836" s="551">
        <f>I836</f>
        <v>1008</v>
      </c>
      <c r="AO836" s="1331"/>
      <c r="AP836" s="1331"/>
      <c r="AQ836" s="1331"/>
      <c r="AR836" s="551"/>
      <c r="AS836" s="551">
        <f>I836</f>
        <v>1008</v>
      </c>
      <c r="AT836" s="551"/>
      <c r="AU836" s="551">
        <f>I836</f>
        <v>1008</v>
      </c>
      <c r="AV836" s="551"/>
      <c r="AW836" s="551">
        <f>I836</f>
        <v>1008</v>
      </c>
      <c r="AX836" s="651"/>
      <c r="AY836" s="551"/>
      <c r="AZ836" s="551"/>
      <c r="BA836" s="551"/>
      <c r="BB836" s="551"/>
      <c r="BC836" s="551"/>
      <c r="BD836" s="551"/>
      <c r="BE836" s="551"/>
      <c r="BF836" s="551"/>
      <c r="BG836" s="551"/>
      <c r="BH836" s="825"/>
      <c r="BI836" s="551"/>
      <c r="BJ836" s="551"/>
      <c r="BK836" s="551"/>
      <c r="BL836" s="551"/>
      <c r="BM836" s="551"/>
      <c r="BN836" s="551"/>
      <c r="BO836" s="551"/>
      <c r="BP836" s="551"/>
      <c r="BQ836" s="551"/>
      <c r="BR836" s="551"/>
      <c r="BS836" s="551"/>
      <c r="BT836" s="551"/>
      <c r="BU836" s="551"/>
      <c r="BV836" s="551"/>
      <c r="BW836" s="551"/>
      <c r="BX836" s="551"/>
      <c r="BY836" s="551"/>
      <c r="BZ836" s="551"/>
      <c r="CA836" s="551"/>
      <c r="CB836" s="551"/>
      <c r="CC836" s="551"/>
      <c r="CD836" s="551"/>
      <c r="CE836" s="551"/>
      <c r="CF836" s="551"/>
      <c r="CG836" s="551"/>
      <c r="CH836" s="650"/>
      <c r="CI836" s="650"/>
      <c r="CJ836" s="650"/>
      <c r="CK836" s="650"/>
      <c r="CL836" s="650"/>
      <c r="CM836" s="551"/>
      <c r="CN836" s="551"/>
      <c r="CO836" s="551"/>
      <c r="CP836" s="650"/>
      <c r="CQ836" s="650"/>
      <c r="CR836" s="650"/>
      <c r="CS836" s="650"/>
      <c r="CT836" s="650"/>
      <c r="CU836" s="650"/>
    </row>
    <row r="837" s="1265" customFormat="1" ht="31" customHeight="1" spans="1:99">
      <c r="A837" s="641">
        <v>45995</v>
      </c>
      <c r="B837" s="642" t="s">
        <v>2811</v>
      </c>
      <c r="C837" s="246" t="s">
        <v>98</v>
      </c>
      <c r="D837" s="551">
        <v>4500187942</v>
      </c>
      <c r="E837" s="246">
        <v>70079711</v>
      </c>
      <c r="F837" s="551" t="s">
        <v>3211</v>
      </c>
      <c r="G837" s="659" t="s">
        <v>2736</v>
      </c>
      <c r="H837" s="246" t="s">
        <v>2737</v>
      </c>
      <c r="I837" s="246">
        <v>600</v>
      </c>
      <c r="J837" s="246">
        <v>0</v>
      </c>
      <c r="K837" s="246">
        <v>8</v>
      </c>
      <c r="L837" s="644">
        <f t="shared" ref="L837:L856" si="277">I837/K837</f>
        <v>75</v>
      </c>
      <c r="M837" s="645">
        <v>46101</v>
      </c>
      <c r="N837" s="645">
        <v>46097</v>
      </c>
      <c r="O837" s="643"/>
      <c r="P837" s="824" t="s">
        <v>113</v>
      </c>
      <c r="Q837" s="646"/>
      <c r="R837" s="646">
        <v>45995</v>
      </c>
      <c r="S837" s="646" t="s">
        <v>70</v>
      </c>
      <c r="T837" s="646" t="s">
        <v>2738</v>
      </c>
      <c r="U837" s="646"/>
      <c r="V837" s="642"/>
      <c r="W837" s="642"/>
      <c r="X837" s="628" t="s">
        <v>3060</v>
      </c>
      <c r="Y837" s="647" t="s">
        <v>3061</v>
      </c>
      <c r="Z837" s="657">
        <v>4.2977</v>
      </c>
      <c r="AA837" s="647">
        <f t="shared" ref="AA837:AA845" si="278">Z837*I837</f>
        <v>2578.62</v>
      </c>
      <c r="AB837" s="551"/>
      <c r="AC837" s="658" t="s">
        <v>3212</v>
      </c>
      <c r="AD837" s="633" t="s">
        <v>2741</v>
      </c>
      <c r="AE837" s="246" t="s">
        <v>82</v>
      </c>
      <c r="AF837" s="246"/>
      <c r="AG837" s="246"/>
      <c r="AH837" s="246">
        <v>1</v>
      </c>
      <c r="AI837" s="246">
        <v>600</v>
      </c>
      <c r="AJ837" s="246">
        <f t="shared" si="276"/>
        <v>0</v>
      </c>
      <c r="AK837" s="246"/>
      <c r="AL837" s="246"/>
      <c r="AM837" s="551"/>
      <c r="AN837" s="551">
        <f>I837</f>
        <v>600</v>
      </c>
      <c r="AO837" s="1331"/>
      <c r="AP837" s="1331"/>
      <c r="AQ837" s="1331"/>
      <c r="AR837" s="551">
        <f>I837</f>
        <v>600</v>
      </c>
      <c r="AS837" s="551"/>
      <c r="AT837" s="551"/>
      <c r="AU837" s="551">
        <f>I837</f>
        <v>600</v>
      </c>
      <c r="AV837" s="551"/>
      <c r="AW837" s="551">
        <f t="shared" ref="AW837:AW849" si="279">I837</f>
        <v>600</v>
      </c>
      <c r="AX837" s="651"/>
      <c r="AY837" s="551"/>
      <c r="AZ837" s="551"/>
      <c r="BA837" s="551"/>
      <c r="BB837" s="551"/>
      <c r="BC837" s="551"/>
      <c r="BD837" s="551"/>
      <c r="BE837" s="551"/>
      <c r="BF837" s="551"/>
      <c r="BG837" s="551"/>
      <c r="BH837" s="825"/>
      <c r="BI837" s="551"/>
      <c r="BJ837" s="551"/>
      <c r="BK837" s="551"/>
      <c r="BL837" s="551"/>
      <c r="BM837" s="551"/>
      <c r="BN837" s="551">
        <f>I837</f>
        <v>600</v>
      </c>
      <c r="BO837" s="551"/>
      <c r="BP837" s="551"/>
      <c r="BQ837" s="551"/>
      <c r="BR837" s="551"/>
      <c r="BS837" s="551"/>
      <c r="BT837" s="551"/>
      <c r="BU837" s="551"/>
      <c r="BV837" s="551"/>
      <c r="BW837" s="551"/>
      <c r="BX837" s="551"/>
      <c r="BY837" s="551"/>
      <c r="BZ837" s="551"/>
      <c r="CA837" s="551"/>
      <c r="CB837" s="551"/>
      <c r="CC837" s="551"/>
      <c r="CD837" s="551"/>
      <c r="CE837" s="551"/>
      <c r="CF837" s="551"/>
      <c r="CG837" s="551"/>
      <c r="CH837" s="650"/>
      <c r="CI837" s="650"/>
      <c r="CJ837" s="650"/>
      <c r="CK837" s="650"/>
      <c r="CL837" s="650"/>
      <c r="CM837" s="551"/>
      <c r="CN837" s="551"/>
      <c r="CO837" s="551"/>
      <c r="CP837" s="650"/>
      <c r="CQ837" s="650"/>
      <c r="CR837" s="650"/>
      <c r="CS837" s="650"/>
      <c r="CT837" s="650"/>
      <c r="CU837" s="650"/>
    </row>
    <row r="838" s="1265" customFormat="1" ht="31" customHeight="1" spans="1:99">
      <c r="A838" s="641">
        <v>46387</v>
      </c>
      <c r="B838" s="642" t="s">
        <v>325</v>
      </c>
      <c r="C838" s="246" t="s">
        <v>98</v>
      </c>
      <c r="D838" s="551">
        <v>4500190515</v>
      </c>
      <c r="E838" s="246" t="s">
        <v>3213</v>
      </c>
      <c r="F838" s="551" t="s">
        <v>3214</v>
      </c>
      <c r="G838" s="659" t="s">
        <v>249</v>
      </c>
      <c r="H838" s="246" t="s">
        <v>250</v>
      </c>
      <c r="I838" s="246">
        <v>30000</v>
      </c>
      <c r="J838" s="246">
        <v>0</v>
      </c>
      <c r="K838" s="246">
        <v>4</v>
      </c>
      <c r="L838" s="644">
        <f t="shared" si="277"/>
        <v>7500</v>
      </c>
      <c r="M838" s="645">
        <v>46101</v>
      </c>
      <c r="N838" s="645">
        <v>46097</v>
      </c>
      <c r="O838" s="643"/>
      <c r="P838" s="824" t="s">
        <v>113</v>
      </c>
      <c r="Q838" s="646"/>
      <c r="R838" s="646">
        <v>46044</v>
      </c>
      <c r="S838" s="646" t="s">
        <v>104</v>
      </c>
      <c r="T838" s="646" t="s">
        <v>3215</v>
      </c>
      <c r="U838" s="646"/>
      <c r="V838" s="642"/>
      <c r="W838" s="642"/>
      <c r="X838" s="642" t="s">
        <v>2770</v>
      </c>
      <c r="Y838" s="647" t="s">
        <v>252</v>
      </c>
      <c r="Z838" s="657">
        <v>2.7734</v>
      </c>
      <c r="AA838" s="647">
        <f t="shared" si="278"/>
        <v>83202</v>
      </c>
      <c r="AB838" s="551"/>
      <c r="AC838" s="698" t="s">
        <v>3216</v>
      </c>
      <c r="AD838" s="633" t="s">
        <v>249</v>
      </c>
      <c r="AE838" s="246" t="s">
        <v>82</v>
      </c>
      <c r="AF838" s="246"/>
      <c r="AG838" s="246"/>
      <c r="AH838" s="246">
        <v>1</v>
      </c>
      <c r="AI838" s="246">
        <f>12600+9240+6960+1200</f>
        <v>30000</v>
      </c>
      <c r="AJ838" s="246">
        <f t="shared" si="276"/>
        <v>0</v>
      </c>
      <c r="AK838" s="246"/>
      <c r="AL838" s="246" t="s">
        <v>2368</v>
      </c>
      <c r="AM838" s="551"/>
      <c r="AN838" s="551"/>
      <c r="AO838" s="1331"/>
      <c r="AP838" s="1331">
        <f>I838</f>
        <v>30000</v>
      </c>
      <c r="AQ838" s="1331"/>
      <c r="AR838" s="551"/>
      <c r="AS838" s="551"/>
      <c r="AT838" s="551"/>
      <c r="AU838" s="551"/>
      <c r="AV838" s="551"/>
      <c r="AW838" s="551">
        <f t="shared" si="279"/>
        <v>30000</v>
      </c>
      <c r="AX838" s="651"/>
      <c r="AY838" s="551"/>
      <c r="AZ838" s="551"/>
      <c r="BA838" s="551"/>
      <c r="BB838" s="551"/>
      <c r="BC838" s="551"/>
      <c r="BD838" s="551"/>
      <c r="BE838" s="551"/>
      <c r="BF838" s="551">
        <f>I838</f>
        <v>30000</v>
      </c>
      <c r="BG838" s="551">
        <f>I838</f>
        <v>30000</v>
      </c>
      <c r="BH838" s="825">
        <f>I838/4</f>
        <v>7500</v>
      </c>
      <c r="BI838" s="551"/>
      <c r="BJ838" s="551"/>
      <c r="BK838" s="551"/>
      <c r="BL838" s="551"/>
      <c r="BM838" s="551"/>
      <c r="BN838" s="551"/>
      <c r="BO838" s="551"/>
      <c r="BP838" s="551"/>
      <c r="BQ838" s="551"/>
      <c r="BR838" s="551"/>
      <c r="BS838" s="551"/>
      <c r="BT838" s="551"/>
      <c r="BU838" s="551"/>
      <c r="BV838" s="551"/>
      <c r="BW838" s="551"/>
      <c r="BX838" s="551"/>
      <c r="BY838" s="551"/>
      <c r="BZ838" s="551"/>
      <c r="CA838" s="551"/>
      <c r="CB838" s="551"/>
      <c r="CC838" s="551"/>
      <c r="CD838" s="551"/>
      <c r="CE838" s="551"/>
      <c r="CF838" s="551"/>
      <c r="CG838" s="551"/>
      <c r="CH838" s="650"/>
      <c r="CI838" s="650"/>
      <c r="CJ838" s="650"/>
      <c r="CK838" s="650"/>
      <c r="CL838" s="650"/>
      <c r="CM838" s="551"/>
      <c r="CN838" s="551"/>
      <c r="CO838" s="551"/>
      <c r="CP838" s="650"/>
      <c r="CQ838" s="650"/>
      <c r="CR838" s="650"/>
      <c r="CS838" s="650"/>
      <c r="CT838" s="650"/>
      <c r="CU838" s="650"/>
    </row>
    <row r="839" s="1265" customFormat="1" ht="31" customHeight="1" spans="1:99">
      <c r="A839" s="641">
        <v>46037</v>
      </c>
      <c r="B839" s="642" t="s">
        <v>1503</v>
      </c>
      <c r="C839" s="246" t="s">
        <v>98</v>
      </c>
      <c r="D839" s="551">
        <v>4500191480</v>
      </c>
      <c r="E839" s="246" t="s">
        <v>3217</v>
      </c>
      <c r="F839" s="551" t="s">
        <v>3218</v>
      </c>
      <c r="G839" s="659" t="s">
        <v>68</v>
      </c>
      <c r="H839" s="633" t="s">
        <v>69</v>
      </c>
      <c r="I839" s="246">
        <v>624</v>
      </c>
      <c r="J839" s="246">
        <v>0</v>
      </c>
      <c r="K839" s="246">
        <v>12</v>
      </c>
      <c r="L839" s="644">
        <f t="shared" si="277"/>
        <v>52</v>
      </c>
      <c r="M839" s="645">
        <v>46101</v>
      </c>
      <c r="N839" s="645">
        <v>46097</v>
      </c>
      <c r="O839" s="643"/>
      <c r="P839" s="824" t="s">
        <v>113</v>
      </c>
      <c r="Q839" s="646"/>
      <c r="R839" s="646">
        <v>46037</v>
      </c>
      <c r="S839" s="646" t="s">
        <v>104</v>
      </c>
      <c r="T839" s="646" t="s">
        <v>1993</v>
      </c>
      <c r="U839" s="646"/>
      <c r="V839" s="642"/>
      <c r="W839" s="642"/>
      <c r="X839" s="642" t="s">
        <v>3219</v>
      </c>
      <c r="Y839" s="647" t="s">
        <v>125</v>
      </c>
      <c r="Z839" s="657">
        <v>2.4974</v>
      </c>
      <c r="AA839" s="647">
        <f t="shared" si="278"/>
        <v>1558.3776</v>
      </c>
      <c r="AB839" s="551"/>
      <c r="AC839" s="658" t="s">
        <v>3220</v>
      </c>
      <c r="AD839" s="633" t="s">
        <v>68</v>
      </c>
      <c r="AE839" s="246" t="s">
        <v>82</v>
      </c>
      <c r="AF839" s="246"/>
      <c r="AG839" s="246"/>
      <c r="AH839" s="246">
        <v>1</v>
      </c>
      <c r="AI839" s="246">
        <v>624</v>
      </c>
      <c r="AJ839" s="246">
        <f t="shared" si="276"/>
        <v>0</v>
      </c>
      <c r="AK839" s="246"/>
      <c r="AL839" s="246" t="s">
        <v>2368</v>
      </c>
      <c r="AM839" s="551"/>
      <c r="AN839" s="551">
        <f t="shared" ref="AN839:AN847" si="280">I839</f>
        <v>624</v>
      </c>
      <c r="AO839" s="1331"/>
      <c r="AP839" s="1331"/>
      <c r="AQ839" s="1331"/>
      <c r="AR839" s="551">
        <f>I839</f>
        <v>624</v>
      </c>
      <c r="AS839" s="551"/>
      <c r="AT839" s="551"/>
      <c r="AU839" s="551">
        <f t="shared" ref="AU839:AU847" si="281">I839</f>
        <v>624</v>
      </c>
      <c r="AV839" s="551"/>
      <c r="AW839" s="551">
        <f t="shared" si="279"/>
        <v>624</v>
      </c>
      <c r="AX839" s="651"/>
      <c r="AY839" s="551"/>
      <c r="AZ839" s="551"/>
      <c r="BA839" s="551"/>
      <c r="BB839" s="551"/>
      <c r="BC839" s="551"/>
      <c r="BD839" s="551"/>
      <c r="BE839" s="551"/>
      <c r="BF839" s="551"/>
      <c r="BG839" s="551"/>
      <c r="BH839" s="825"/>
      <c r="BI839" s="551"/>
      <c r="BJ839" s="551"/>
      <c r="BK839" s="551"/>
      <c r="BL839" s="551"/>
      <c r="BM839" s="551"/>
      <c r="BN839" s="551"/>
      <c r="BO839" s="551"/>
      <c r="BP839" s="551"/>
      <c r="BQ839" s="551"/>
      <c r="BR839" s="551"/>
      <c r="BS839" s="551"/>
      <c r="BT839" s="551"/>
      <c r="BU839" s="551"/>
      <c r="BV839" s="551"/>
      <c r="BW839" s="551"/>
      <c r="BX839" s="551"/>
      <c r="BY839" s="551"/>
      <c r="BZ839" s="551"/>
      <c r="CA839" s="551"/>
      <c r="CB839" s="551"/>
      <c r="CC839" s="551"/>
      <c r="CD839" s="551"/>
      <c r="CE839" s="551"/>
      <c r="CF839" s="551"/>
      <c r="CG839" s="551"/>
      <c r="CH839" s="650"/>
      <c r="CI839" s="650"/>
      <c r="CJ839" s="650"/>
      <c r="CK839" s="650"/>
      <c r="CL839" s="650"/>
      <c r="CM839" s="551"/>
      <c r="CN839" s="551"/>
      <c r="CO839" s="551"/>
      <c r="CP839" s="650"/>
      <c r="CQ839" s="650"/>
      <c r="CR839" s="650"/>
      <c r="CS839" s="650"/>
      <c r="CT839" s="650"/>
      <c r="CU839" s="650"/>
    </row>
    <row r="840" s="1265" customFormat="1" ht="31" customHeight="1" spans="1:99">
      <c r="A840" s="641">
        <v>46037</v>
      </c>
      <c r="B840" s="642" t="s">
        <v>1503</v>
      </c>
      <c r="C840" s="246" t="s">
        <v>98</v>
      </c>
      <c r="D840" s="551">
        <v>4500191499</v>
      </c>
      <c r="E840" s="246" t="s">
        <v>3221</v>
      </c>
      <c r="F840" s="551" t="s">
        <v>3222</v>
      </c>
      <c r="G840" s="659" t="s">
        <v>68</v>
      </c>
      <c r="H840" s="633" t="s">
        <v>69</v>
      </c>
      <c r="I840" s="246">
        <v>276</v>
      </c>
      <c r="J840" s="246">
        <v>0</v>
      </c>
      <c r="K840" s="246">
        <v>12</v>
      </c>
      <c r="L840" s="644">
        <f t="shared" si="277"/>
        <v>23</v>
      </c>
      <c r="M840" s="645">
        <v>46101</v>
      </c>
      <c r="N840" s="645">
        <v>46097</v>
      </c>
      <c r="O840" s="643"/>
      <c r="P840" s="824" t="s">
        <v>113</v>
      </c>
      <c r="Q840" s="646"/>
      <c r="R840" s="646">
        <v>46037</v>
      </c>
      <c r="S840" s="646" t="s">
        <v>104</v>
      </c>
      <c r="T840" s="646" t="s">
        <v>1993</v>
      </c>
      <c r="U840" s="646"/>
      <c r="V840" s="642"/>
      <c r="W840" s="642"/>
      <c r="X840" s="642" t="s">
        <v>3223</v>
      </c>
      <c r="Y840" s="647" t="s">
        <v>125</v>
      </c>
      <c r="Z840" s="657">
        <v>2.4711</v>
      </c>
      <c r="AA840" s="647">
        <f t="shared" si="278"/>
        <v>682.0236</v>
      </c>
      <c r="AB840" s="551"/>
      <c r="AC840" s="658" t="s">
        <v>3224</v>
      </c>
      <c r="AD840" s="633" t="s">
        <v>68</v>
      </c>
      <c r="AE840" s="246" t="s">
        <v>82</v>
      </c>
      <c r="AF840" s="246"/>
      <c r="AG840" s="246"/>
      <c r="AH840" s="246">
        <v>1</v>
      </c>
      <c r="AI840" s="246">
        <v>276</v>
      </c>
      <c r="AJ840" s="246">
        <f t="shared" si="276"/>
        <v>0</v>
      </c>
      <c r="AK840" s="246"/>
      <c r="AL840" s="246" t="s">
        <v>2368</v>
      </c>
      <c r="AM840" s="551"/>
      <c r="AN840" s="551">
        <f t="shared" si="280"/>
        <v>276</v>
      </c>
      <c r="AO840" s="1331"/>
      <c r="AP840" s="1331"/>
      <c r="AQ840" s="1331"/>
      <c r="AR840" s="551">
        <f>I840</f>
        <v>276</v>
      </c>
      <c r="AS840" s="551"/>
      <c r="AT840" s="551"/>
      <c r="AU840" s="551">
        <f t="shared" si="281"/>
        <v>276</v>
      </c>
      <c r="AV840" s="551"/>
      <c r="AW840" s="551">
        <f t="shared" si="279"/>
        <v>276</v>
      </c>
      <c r="AX840" s="651"/>
      <c r="AY840" s="551"/>
      <c r="AZ840" s="551"/>
      <c r="BA840" s="551"/>
      <c r="BB840" s="551"/>
      <c r="BC840" s="551"/>
      <c r="BD840" s="551"/>
      <c r="BE840" s="551"/>
      <c r="BF840" s="551"/>
      <c r="BG840" s="551"/>
      <c r="BH840" s="825"/>
      <c r="BI840" s="551"/>
      <c r="BJ840" s="551"/>
      <c r="BK840" s="551"/>
      <c r="BL840" s="551"/>
      <c r="BM840" s="551"/>
      <c r="BN840" s="551"/>
      <c r="BO840" s="551"/>
      <c r="BP840" s="551"/>
      <c r="BQ840" s="551"/>
      <c r="BR840" s="551"/>
      <c r="BS840" s="551"/>
      <c r="BT840" s="551"/>
      <c r="BU840" s="551"/>
      <c r="BV840" s="551"/>
      <c r="BW840" s="551"/>
      <c r="BX840" s="551"/>
      <c r="BY840" s="551"/>
      <c r="BZ840" s="551"/>
      <c r="CA840" s="551"/>
      <c r="CB840" s="551"/>
      <c r="CC840" s="551"/>
      <c r="CD840" s="551"/>
      <c r="CE840" s="551"/>
      <c r="CF840" s="551"/>
      <c r="CG840" s="551"/>
      <c r="CH840" s="650"/>
      <c r="CI840" s="650"/>
      <c r="CJ840" s="650"/>
      <c r="CK840" s="650"/>
      <c r="CL840" s="650"/>
      <c r="CM840" s="551"/>
      <c r="CN840" s="551"/>
      <c r="CO840" s="551"/>
      <c r="CP840" s="650"/>
      <c r="CQ840" s="650"/>
      <c r="CR840" s="650"/>
      <c r="CS840" s="650"/>
      <c r="CT840" s="650"/>
      <c r="CU840" s="650"/>
    </row>
    <row r="841" s="1265" customFormat="1" ht="31" customHeight="1" spans="1:99">
      <c r="A841" s="641">
        <v>46037</v>
      </c>
      <c r="B841" s="642" t="s">
        <v>3225</v>
      </c>
      <c r="C841" s="246" t="s">
        <v>348</v>
      </c>
      <c r="D841" s="551">
        <v>4500191577</v>
      </c>
      <c r="E841" s="246"/>
      <c r="F841" s="551" t="s">
        <v>3226</v>
      </c>
      <c r="G841" s="659" t="s">
        <v>68</v>
      </c>
      <c r="H841" s="633" t="s">
        <v>69</v>
      </c>
      <c r="I841" s="246">
        <v>600</v>
      </c>
      <c r="J841" s="246">
        <v>0</v>
      </c>
      <c r="K841" s="246">
        <v>12</v>
      </c>
      <c r="L841" s="644">
        <f t="shared" si="277"/>
        <v>50</v>
      </c>
      <c r="M841" s="645">
        <v>46101</v>
      </c>
      <c r="N841" s="645">
        <v>46097</v>
      </c>
      <c r="O841" s="643"/>
      <c r="P841" s="643" t="s">
        <v>3227</v>
      </c>
      <c r="Q841" s="646"/>
      <c r="R841" s="646" t="s">
        <v>454</v>
      </c>
      <c r="S841" s="646" t="s">
        <v>70</v>
      </c>
      <c r="T841" s="646" t="s">
        <v>1993</v>
      </c>
      <c r="U841" s="646"/>
      <c r="V841" s="642"/>
      <c r="W841" s="642"/>
      <c r="X841" s="642" t="s">
        <v>3228</v>
      </c>
      <c r="Y841" s="647" t="s">
        <v>529</v>
      </c>
      <c r="Z841" s="657">
        <v>4.1623</v>
      </c>
      <c r="AA841" s="647">
        <f t="shared" si="278"/>
        <v>2497.38</v>
      </c>
      <c r="AB841" s="551"/>
      <c r="AC841" s="648"/>
      <c r="AD841" s="633" t="s">
        <v>184</v>
      </c>
      <c r="AE841" s="246" t="s">
        <v>82</v>
      </c>
      <c r="AF841" s="246"/>
      <c r="AG841" s="246"/>
      <c r="AH841" s="246" t="s">
        <v>126</v>
      </c>
      <c r="AI841" s="246">
        <v>600</v>
      </c>
      <c r="AJ841" s="246">
        <f t="shared" si="276"/>
        <v>0</v>
      </c>
      <c r="AK841" s="246"/>
      <c r="AL841" s="246" t="s">
        <v>2368</v>
      </c>
      <c r="AM841" s="551"/>
      <c r="AN841" s="551">
        <f t="shared" si="280"/>
        <v>600</v>
      </c>
      <c r="AO841" s="1331"/>
      <c r="AP841" s="1331"/>
      <c r="AQ841" s="1331"/>
      <c r="AR841" s="551"/>
      <c r="AS841" s="551">
        <f>I841</f>
        <v>600</v>
      </c>
      <c r="AT841" s="551"/>
      <c r="AU841" s="551">
        <f t="shared" si="281"/>
        <v>600</v>
      </c>
      <c r="AV841" s="551"/>
      <c r="AW841" s="551">
        <f t="shared" si="279"/>
        <v>600</v>
      </c>
      <c r="AX841" s="651"/>
      <c r="AY841" s="551"/>
      <c r="AZ841" s="551"/>
      <c r="BA841" s="551"/>
      <c r="BB841" s="551"/>
      <c r="BC841" s="551"/>
      <c r="BD841" s="551"/>
      <c r="BE841" s="551"/>
      <c r="BF841" s="551"/>
      <c r="BG841" s="551"/>
      <c r="BH841" s="825"/>
      <c r="BI841" s="551"/>
      <c r="BJ841" s="551"/>
      <c r="BK841" s="551"/>
      <c r="BL841" s="551"/>
      <c r="BM841" s="551"/>
      <c r="BN841" s="551"/>
      <c r="BO841" s="551"/>
      <c r="BP841" s="551"/>
      <c r="BQ841" s="551"/>
      <c r="BR841" s="551"/>
      <c r="BS841" s="551"/>
      <c r="BT841" s="551"/>
      <c r="BU841" s="551"/>
      <c r="BV841" s="551"/>
      <c r="BW841" s="551"/>
      <c r="BX841" s="551"/>
      <c r="BY841" s="551"/>
      <c r="BZ841" s="551"/>
      <c r="CA841" s="551"/>
      <c r="CB841" s="551"/>
      <c r="CC841" s="551"/>
      <c r="CD841" s="551"/>
      <c r="CE841" s="551"/>
      <c r="CF841" s="551"/>
      <c r="CG841" s="551"/>
      <c r="CH841" s="650"/>
      <c r="CI841" s="650"/>
      <c r="CJ841" s="650"/>
      <c r="CK841" s="650"/>
      <c r="CL841" s="650"/>
      <c r="CM841" s="551"/>
      <c r="CN841" s="551"/>
      <c r="CO841" s="551"/>
      <c r="CP841" s="650"/>
      <c r="CQ841" s="650"/>
      <c r="CR841" s="650"/>
      <c r="CS841" s="650"/>
      <c r="CT841" s="650"/>
      <c r="CU841" s="650"/>
    </row>
    <row r="842" s="1265" customFormat="1" ht="31" customHeight="1" spans="1:99">
      <c r="A842" s="641">
        <v>46037</v>
      </c>
      <c r="B842" s="642" t="s">
        <v>1503</v>
      </c>
      <c r="C842" s="246" t="s">
        <v>98</v>
      </c>
      <c r="D842" s="551">
        <v>4500191560</v>
      </c>
      <c r="E842" s="246" t="s">
        <v>3229</v>
      </c>
      <c r="F842" s="551" t="s">
        <v>3230</v>
      </c>
      <c r="G842" s="659" t="s">
        <v>68</v>
      </c>
      <c r="H842" s="633" t="s">
        <v>69</v>
      </c>
      <c r="I842" s="246">
        <v>180</v>
      </c>
      <c r="J842" s="246">
        <v>0</v>
      </c>
      <c r="K842" s="246">
        <v>12</v>
      </c>
      <c r="L842" s="644">
        <f t="shared" si="277"/>
        <v>15</v>
      </c>
      <c r="M842" s="645">
        <v>46101</v>
      </c>
      <c r="N842" s="645">
        <v>46097</v>
      </c>
      <c r="O842" s="643"/>
      <c r="P842" s="824" t="s">
        <v>113</v>
      </c>
      <c r="Q842" s="646"/>
      <c r="R842" s="646">
        <v>46037</v>
      </c>
      <c r="S842" s="646" t="s">
        <v>104</v>
      </c>
      <c r="T842" s="646" t="s">
        <v>1993</v>
      </c>
      <c r="U842" s="646"/>
      <c r="V842" s="642"/>
      <c r="W842" s="642"/>
      <c r="X842" s="642" t="s">
        <v>3219</v>
      </c>
      <c r="Y842" s="647" t="s">
        <v>125</v>
      </c>
      <c r="Z842" s="657">
        <v>2.4711</v>
      </c>
      <c r="AA842" s="647">
        <f t="shared" si="278"/>
        <v>444.798</v>
      </c>
      <c r="AB842" s="551"/>
      <c r="AC842" s="658" t="s">
        <v>3231</v>
      </c>
      <c r="AD842" s="633" t="s">
        <v>68</v>
      </c>
      <c r="AE842" s="246" t="s">
        <v>82</v>
      </c>
      <c r="AF842" s="246"/>
      <c r="AG842" s="246"/>
      <c r="AH842" s="246" t="s">
        <v>126</v>
      </c>
      <c r="AI842" s="246">
        <v>180</v>
      </c>
      <c r="AJ842" s="246">
        <f t="shared" si="276"/>
        <v>0</v>
      </c>
      <c r="AK842" s="246"/>
      <c r="AL842" s="246" t="s">
        <v>126</v>
      </c>
      <c r="AM842" s="551"/>
      <c r="AN842" s="551">
        <f t="shared" si="280"/>
        <v>180</v>
      </c>
      <c r="AO842" s="1331"/>
      <c r="AP842" s="1331"/>
      <c r="AQ842" s="1331"/>
      <c r="AR842" s="551">
        <f t="shared" ref="AR842:AR847" si="282">I842</f>
        <v>180</v>
      </c>
      <c r="AS842" s="551"/>
      <c r="AT842" s="551"/>
      <c r="AU842" s="551">
        <f t="shared" si="281"/>
        <v>180</v>
      </c>
      <c r="AV842" s="551"/>
      <c r="AW842" s="551">
        <f t="shared" si="279"/>
        <v>180</v>
      </c>
      <c r="AX842" s="651"/>
      <c r="AY842" s="551"/>
      <c r="AZ842" s="551"/>
      <c r="BA842" s="551"/>
      <c r="BB842" s="551"/>
      <c r="BC842" s="551"/>
      <c r="BD842" s="551"/>
      <c r="BE842" s="551"/>
      <c r="BF842" s="551"/>
      <c r="BG842" s="551"/>
      <c r="BH842" s="825"/>
      <c r="BI842" s="551"/>
      <c r="BJ842" s="551"/>
      <c r="BK842" s="551"/>
      <c r="BL842" s="551"/>
      <c r="BM842" s="551"/>
      <c r="BN842" s="551"/>
      <c r="BO842" s="551"/>
      <c r="BP842" s="551"/>
      <c r="BQ842" s="551"/>
      <c r="BR842" s="551"/>
      <c r="BS842" s="551"/>
      <c r="BT842" s="551"/>
      <c r="BU842" s="551"/>
      <c r="BV842" s="551"/>
      <c r="BW842" s="551"/>
      <c r="BX842" s="551"/>
      <c r="BY842" s="551"/>
      <c r="BZ842" s="551"/>
      <c r="CA842" s="551"/>
      <c r="CB842" s="551"/>
      <c r="CC842" s="551"/>
      <c r="CD842" s="551"/>
      <c r="CE842" s="551"/>
      <c r="CF842" s="551"/>
      <c r="CG842" s="551"/>
      <c r="CH842" s="650"/>
      <c r="CI842" s="650"/>
      <c r="CJ842" s="650"/>
      <c r="CK842" s="650"/>
      <c r="CL842" s="650"/>
      <c r="CM842" s="551"/>
      <c r="CN842" s="551"/>
      <c r="CO842" s="551"/>
      <c r="CP842" s="650"/>
      <c r="CQ842" s="650"/>
      <c r="CR842" s="650"/>
      <c r="CS842" s="650"/>
      <c r="CT842" s="650"/>
      <c r="CU842" s="650"/>
    </row>
    <row r="843" s="1265" customFormat="1" ht="31" customHeight="1" spans="1:99">
      <c r="A843" s="641">
        <v>46037</v>
      </c>
      <c r="B843" s="642" t="s">
        <v>1503</v>
      </c>
      <c r="C843" s="246" t="s">
        <v>98</v>
      </c>
      <c r="D843" s="551">
        <v>4500191547</v>
      </c>
      <c r="E843" s="246" t="s">
        <v>3232</v>
      </c>
      <c r="F843" s="551" t="s">
        <v>3233</v>
      </c>
      <c r="G843" s="659" t="s">
        <v>68</v>
      </c>
      <c r="H843" s="633" t="s">
        <v>69</v>
      </c>
      <c r="I843" s="246">
        <v>900</v>
      </c>
      <c r="J843" s="246">
        <v>0</v>
      </c>
      <c r="K843" s="246">
        <v>12</v>
      </c>
      <c r="L843" s="644">
        <f t="shared" si="277"/>
        <v>75</v>
      </c>
      <c r="M843" s="645">
        <v>46101</v>
      </c>
      <c r="N843" s="645">
        <v>46097</v>
      </c>
      <c r="O843" s="643"/>
      <c r="P843" s="824" t="s">
        <v>113</v>
      </c>
      <c r="Q843" s="646"/>
      <c r="R843" s="646">
        <v>46037</v>
      </c>
      <c r="S843" s="646" t="s">
        <v>104</v>
      </c>
      <c r="T843" s="646" t="s">
        <v>1993</v>
      </c>
      <c r="U843" s="646"/>
      <c r="V843" s="642"/>
      <c r="W843" s="642"/>
      <c r="X843" s="642" t="s">
        <v>3219</v>
      </c>
      <c r="Y843" s="647" t="s">
        <v>125</v>
      </c>
      <c r="Z843" s="657">
        <v>2.4711</v>
      </c>
      <c r="AA843" s="647">
        <f t="shared" si="278"/>
        <v>2223.99</v>
      </c>
      <c r="AB843" s="551"/>
      <c r="AC843" s="658" t="s">
        <v>3234</v>
      </c>
      <c r="AD843" s="633" t="s">
        <v>68</v>
      </c>
      <c r="AE843" s="246" t="s">
        <v>82</v>
      </c>
      <c r="AF843" s="246"/>
      <c r="AG843" s="246"/>
      <c r="AH843" s="246" t="s">
        <v>126</v>
      </c>
      <c r="AI843" s="246">
        <v>900</v>
      </c>
      <c r="AJ843" s="246">
        <f t="shared" si="276"/>
        <v>0</v>
      </c>
      <c r="AK843" s="246"/>
      <c r="AL843" s="246" t="s">
        <v>2368</v>
      </c>
      <c r="AM843" s="551"/>
      <c r="AN843" s="551">
        <f t="shared" si="280"/>
        <v>900</v>
      </c>
      <c r="AO843" s="1331"/>
      <c r="AP843" s="1331"/>
      <c r="AQ843" s="1331"/>
      <c r="AR843" s="551">
        <f t="shared" si="282"/>
        <v>900</v>
      </c>
      <c r="AS843" s="551"/>
      <c r="AT843" s="551"/>
      <c r="AU843" s="551">
        <f t="shared" si="281"/>
        <v>900</v>
      </c>
      <c r="AV843" s="551"/>
      <c r="AW843" s="551">
        <f t="shared" si="279"/>
        <v>900</v>
      </c>
      <c r="AX843" s="651"/>
      <c r="AY843" s="551"/>
      <c r="AZ843" s="551"/>
      <c r="BA843" s="551"/>
      <c r="BB843" s="551"/>
      <c r="BC843" s="551"/>
      <c r="BD843" s="551"/>
      <c r="BE843" s="551"/>
      <c r="BF843" s="551"/>
      <c r="BG843" s="551"/>
      <c r="BH843" s="825"/>
      <c r="BI843" s="551"/>
      <c r="BJ843" s="551"/>
      <c r="BK843" s="551"/>
      <c r="BL843" s="551"/>
      <c r="BM843" s="551"/>
      <c r="BN843" s="551"/>
      <c r="BO843" s="551"/>
      <c r="BP843" s="551"/>
      <c r="BQ843" s="551"/>
      <c r="BR843" s="551"/>
      <c r="BS843" s="551"/>
      <c r="BT843" s="551"/>
      <c r="BU843" s="551"/>
      <c r="BV843" s="551"/>
      <c r="BW843" s="551"/>
      <c r="BX843" s="551"/>
      <c r="BY843" s="551"/>
      <c r="BZ843" s="551"/>
      <c r="CA843" s="551"/>
      <c r="CB843" s="551"/>
      <c r="CC843" s="551"/>
      <c r="CD843" s="551"/>
      <c r="CE843" s="551"/>
      <c r="CF843" s="551"/>
      <c r="CG843" s="551"/>
      <c r="CH843" s="650"/>
      <c r="CI843" s="650"/>
      <c r="CJ843" s="650"/>
      <c r="CK843" s="650"/>
      <c r="CL843" s="650"/>
      <c r="CM843" s="551"/>
      <c r="CN843" s="551"/>
      <c r="CO843" s="551"/>
      <c r="CP843" s="650"/>
      <c r="CQ843" s="650"/>
      <c r="CR843" s="650"/>
      <c r="CS843" s="650"/>
      <c r="CT843" s="650"/>
      <c r="CU843" s="650"/>
    </row>
    <row r="844" s="1265" customFormat="1" ht="31" customHeight="1" spans="1:99">
      <c r="A844" s="641">
        <v>46037</v>
      </c>
      <c r="B844" s="642" t="s">
        <v>1503</v>
      </c>
      <c r="C844" s="246" t="s">
        <v>98</v>
      </c>
      <c r="D844" s="551">
        <v>4500191511</v>
      </c>
      <c r="E844" s="246" t="s">
        <v>3235</v>
      </c>
      <c r="F844" s="551" t="s">
        <v>3236</v>
      </c>
      <c r="G844" s="659" t="s">
        <v>68</v>
      </c>
      <c r="H844" s="633" t="s">
        <v>69</v>
      </c>
      <c r="I844" s="246">
        <v>960</v>
      </c>
      <c r="J844" s="246">
        <v>0</v>
      </c>
      <c r="K844" s="246">
        <v>12</v>
      </c>
      <c r="L844" s="644">
        <f t="shared" si="277"/>
        <v>80</v>
      </c>
      <c r="M844" s="645">
        <v>46101</v>
      </c>
      <c r="N844" s="645">
        <v>46097</v>
      </c>
      <c r="O844" s="643"/>
      <c r="P844" s="824" t="s">
        <v>113</v>
      </c>
      <c r="Q844" s="646"/>
      <c r="R844" s="646">
        <v>46037</v>
      </c>
      <c r="S844" s="646" t="s">
        <v>104</v>
      </c>
      <c r="T844" s="646" t="s">
        <v>1993</v>
      </c>
      <c r="U844" s="646"/>
      <c r="V844" s="642"/>
      <c r="W844" s="642"/>
      <c r="X844" s="642" t="s">
        <v>3219</v>
      </c>
      <c r="Y844" s="647" t="s">
        <v>125</v>
      </c>
      <c r="Z844" s="657">
        <v>2.4711</v>
      </c>
      <c r="AA844" s="647">
        <f t="shared" si="278"/>
        <v>2372.256</v>
      </c>
      <c r="AB844" s="551"/>
      <c r="AC844" s="658" t="s">
        <v>3237</v>
      </c>
      <c r="AD844" s="633" t="s">
        <v>68</v>
      </c>
      <c r="AE844" s="246" t="s">
        <v>82</v>
      </c>
      <c r="AF844" s="246"/>
      <c r="AG844" s="246"/>
      <c r="AH844" s="246" t="s">
        <v>126</v>
      </c>
      <c r="AI844" s="246">
        <v>960</v>
      </c>
      <c r="AJ844" s="246">
        <f t="shared" si="276"/>
        <v>0</v>
      </c>
      <c r="AK844" s="246"/>
      <c r="AL844" s="246" t="s">
        <v>2368</v>
      </c>
      <c r="AM844" s="551"/>
      <c r="AN844" s="551">
        <f t="shared" si="280"/>
        <v>960</v>
      </c>
      <c r="AO844" s="1331"/>
      <c r="AP844" s="1331"/>
      <c r="AQ844" s="1331"/>
      <c r="AR844" s="551">
        <f t="shared" si="282"/>
        <v>960</v>
      </c>
      <c r="AS844" s="551"/>
      <c r="AT844" s="551"/>
      <c r="AU844" s="551">
        <f t="shared" si="281"/>
        <v>960</v>
      </c>
      <c r="AV844" s="551"/>
      <c r="AW844" s="551">
        <f t="shared" si="279"/>
        <v>960</v>
      </c>
      <c r="AX844" s="651"/>
      <c r="AY844" s="551"/>
      <c r="AZ844" s="551"/>
      <c r="BA844" s="551"/>
      <c r="BB844" s="551"/>
      <c r="BC844" s="551"/>
      <c r="BD844" s="551"/>
      <c r="BE844" s="551"/>
      <c r="BF844" s="551"/>
      <c r="BG844" s="551"/>
      <c r="BH844" s="825"/>
      <c r="BI844" s="551"/>
      <c r="BJ844" s="551"/>
      <c r="BK844" s="551"/>
      <c r="BL844" s="551"/>
      <c r="BM844" s="551"/>
      <c r="BN844" s="551"/>
      <c r="BO844" s="551"/>
      <c r="BP844" s="551"/>
      <c r="BQ844" s="551"/>
      <c r="BR844" s="551"/>
      <c r="BS844" s="551"/>
      <c r="BT844" s="551"/>
      <c r="BU844" s="551"/>
      <c r="BV844" s="551"/>
      <c r="BW844" s="551"/>
      <c r="BX844" s="551"/>
      <c r="BY844" s="551"/>
      <c r="BZ844" s="551"/>
      <c r="CA844" s="551"/>
      <c r="CB844" s="551"/>
      <c r="CC844" s="551"/>
      <c r="CD844" s="551"/>
      <c r="CE844" s="551"/>
      <c r="CF844" s="551"/>
      <c r="CG844" s="551"/>
      <c r="CH844" s="650"/>
      <c r="CI844" s="650"/>
      <c r="CJ844" s="650"/>
      <c r="CK844" s="650"/>
      <c r="CL844" s="650"/>
      <c r="CM844" s="551"/>
      <c r="CN844" s="551"/>
      <c r="CO844" s="551"/>
      <c r="CP844" s="650"/>
      <c r="CQ844" s="650"/>
      <c r="CR844" s="650"/>
      <c r="CS844" s="650"/>
      <c r="CT844" s="650"/>
      <c r="CU844" s="650"/>
    </row>
    <row r="845" s="1265" customFormat="1" ht="31" customHeight="1" spans="1:99">
      <c r="A845" s="641">
        <v>46037</v>
      </c>
      <c r="B845" s="642" t="s">
        <v>1503</v>
      </c>
      <c r="C845" s="246" t="s">
        <v>98</v>
      </c>
      <c r="D845" s="551">
        <v>4500191531</v>
      </c>
      <c r="E845" s="246" t="s">
        <v>3238</v>
      </c>
      <c r="F845" s="551" t="s">
        <v>3239</v>
      </c>
      <c r="G845" s="659" t="s">
        <v>68</v>
      </c>
      <c r="H845" s="633" t="s">
        <v>69</v>
      </c>
      <c r="I845" s="246">
        <v>1980</v>
      </c>
      <c r="J845" s="246">
        <v>0</v>
      </c>
      <c r="K845" s="246">
        <v>12</v>
      </c>
      <c r="L845" s="644">
        <f t="shared" si="277"/>
        <v>165</v>
      </c>
      <c r="M845" s="645">
        <v>46101</v>
      </c>
      <c r="N845" s="645">
        <v>46097</v>
      </c>
      <c r="O845" s="643"/>
      <c r="P845" s="824" t="s">
        <v>113</v>
      </c>
      <c r="Q845" s="646"/>
      <c r="R845" s="646">
        <v>46037</v>
      </c>
      <c r="S845" s="646" t="s">
        <v>104</v>
      </c>
      <c r="T845" s="646" t="s">
        <v>1993</v>
      </c>
      <c r="U845" s="646"/>
      <c r="V845" s="642"/>
      <c r="W845" s="642"/>
      <c r="X845" s="642" t="s">
        <v>3219</v>
      </c>
      <c r="Y845" s="647" t="s">
        <v>125</v>
      </c>
      <c r="Z845" s="657">
        <v>2.4974</v>
      </c>
      <c r="AA845" s="647">
        <f t="shared" si="278"/>
        <v>4944.852</v>
      </c>
      <c r="AB845" s="551"/>
      <c r="AC845" s="658" t="s">
        <v>3240</v>
      </c>
      <c r="AD845" s="633" t="s">
        <v>68</v>
      </c>
      <c r="AE845" s="246" t="s">
        <v>82</v>
      </c>
      <c r="AF845" s="246"/>
      <c r="AG845" s="246"/>
      <c r="AH845" s="246" t="s">
        <v>126</v>
      </c>
      <c r="AI845" s="246">
        <f>1728+252</f>
        <v>1980</v>
      </c>
      <c r="AJ845" s="246">
        <f t="shared" si="276"/>
        <v>0</v>
      </c>
      <c r="AK845" s="246"/>
      <c r="AL845" s="246"/>
      <c r="AM845" s="551"/>
      <c r="AN845" s="551">
        <f t="shared" si="280"/>
        <v>1980</v>
      </c>
      <c r="AO845" s="1331"/>
      <c r="AP845" s="1331"/>
      <c r="AQ845" s="1331"/>
      <c r="AR845" s="551">
        <f t="shared" si="282"/>
        <v>1980</v>
      </c>
      <c r="AS845" s="551"/>
      <c r="AT845" s="551"/>
      <c r="AU845" s="551">
        <f t="shared" si="281"/>
        <v>1980</v>
      </c>
      <c r="AV845" s="551"/>
      <c r="AW845" s="551">
        <f t="shared" si="279"/>
        <v>1980</v>
      </c>
      <c r="AX845" s="651"/>
      <c r="AY845" s="551"/>
      <c r="AZ845" s="551"/>
      <c r="BA845" s="551"/>
      <c r="BB845" s="551"/>
      <c r="BC845" s="551"/>
      <c r="BD845" s="551"/>
      <c r="BE845" s="551"/>
      <c r="BF845" s="551"/>
      <c r="BG845" s="551"/>
      <c r="BH845" s="825"/>
      <c r="BI845" s="551"/>
      <c r="BJ845" s="551"/>
      <c r="BK845" s="551"/>
      <c r="BL845" s="551"/>
      <c r="BM845" s="551"/>
      <c r="BN845" s="551"/>
      <c r="BO845" s="551"/>
      <c r="BP845" s="551"/>
      <c r="BQ845" s="551"/>
      <c r="BR845" s="551"/>
      <c r="BS845" s="551"/>
      <c r="BT845" s="551"/>
      <c r="BU845" s="551"/>
      <c r="BV845" s="551"/>
      <c r="BW845" s="551"/>
      <c r="BX845" s="551"/>
      <c r="BY845" s="551"/>
      <c r="BZ845" s="551"/>
      <c r="CA845" s="551"/>
      <c r="CB845" s="551"/>
      <c r="CC845" s="551"/>
      <c r="CD845" s="551"/>
      <c r="CE845" s="551"/>
      <c r="CF845" s="551"/>
      <c r="CG845" s="551"/>
      <c r="CH845" s="650"/>
      <c r="CI845" s="650"/>
      <c r="CJ845" s="650"/>
      <c r="CK845" s="650"/>
      <c r="CL845" s="650"/>
      <c r="CM845" s="551"/>
      <c r="CN845" s="551"/>
      <c r="CO845" s="551"/>
      <c r="CP845" s="650"/>
      <c r="CQ845" s="650"/>
      <c r="CR845" s="650"/>
      <c r="CS845" s="650"/>
      <c r="CT845" s="650"/>
      <c r="CU845" s="650"/>
    </row>
    <row r="846" s="1265" customFormat="1" ht="31" customHeight="1" spans="1:99">
      <c r="A846" s="641">
        <v>46041</v>
      </c>
      <c r="B846" s="642"/>
      <c r="C846" s="246"/>
      <c r="D846" s="551" t="s">
        <v>3241</v>
      </c>
      <c r="E846" s="246"/>
      <c r="F846" s="551" t="s">
        <v>3242</v>
      </c>
      <c r="G846" s="659" t="s">
        <v>68</v>
      </c>
      <c r="H846" s="633" t="s">
        <v>69</v>
      </c>
      <c r="I846" s="246">
        <v>168</v>
      </c>
      <c r="J846" s="246">
        <v>0</v>
      </c>
      <c r="K846" s="246">
        <v>12</v>
      </c>
      <c r="L846" s="644">
        <f t="shared" si="277"/>
        <v>14</v>
      </c>
      <c r="M846" s="645">
        <v>46101</v>
      </c>
      <c r="N846" s="645">
        <v>46097</v>
      </c>
      <c r="O846" s="643"/>
      <c r="P846" s="824" t="s">
        <v>113</v>
      </c>
      <c r="Q846" s="646"/>
      <c r="R846" s="646" t="s">
        <v>1242</v>
      </c>
      <c r="S846" s="646" t="s">
        <v>70</v>
      </c>
      <c r="T846" s="646" t="s">
        <v>70</v>
      </c>
      <c r="U846" s="646"/>
      <c r="V846" s="642"/>
      <c r="W846" s="642"/>
      <c r="X846" s="642" t="s">
        <v>3243</v>
      </c>
      <c r="Y846" s="647" t="s">
        <v>3244</v>
      </c>
      <c r="Z846" s="657"/>
      <c r="AA846" s="647"/>
      <c r="AB846" s="551"/>
      <c r="AC846" s="648"/>
      <c r="AD846" s="633" t="s">
        <v>68</v>
      </c>
      <c r="AE846" s="246" t="s">
        <v>82</v>
      </c>
      <c r="AF846" s="246"/>
      <c r="AG846" s="246"/>
      <c r="AH846" s="246" t="s">
        <v>126</v>
      </c>
      <c r="AI846" s="246">
        <v>168</v>
      </c>
      <c r="AJ846" s="246">
        <f t="shared" si="276"/>
        <v>0</v>
      </c>
      <c r="AK846" s="246"/>
      <c r="AL846" s="246"/>
      <c r="AM846" s="551"/>
      <c r="AN846" s="551">
        <f t="shared" si="280"/>
        <v>168</v>
      </c>
      <c r="AO846" s="1331"/>
      <c r="AP846" s="1331"/>
      <c r="AQ846" s="1331"/>
      <c r="AR846" s="551">
        <f t="shared" si="282"/>
        <v>168</v>
      </c>
      <c r="AS846" s="551"/>
      <c r="AT846" s="551"/>
      <c r="AU846" s="551">
        <f t="shared" si="281"/>
        <v>168</v>
      </c>
      <c r="AV846" s="551"/>
      <c r="AW846" s="551">
        <f t="shared" si="279"/>
        <v>168</v>
      </c>
      <c r="AX846" s="651"/>
      <c r="AY846" s="551"/>
      <c r="AZ846" s="551"/>
      <c r="BA846" s="551"/>
      <c r="BB846" s="551"/>
      <c r="BC846" s="551"/>
      <c r="BD846" s="551"/>
      <c r="BE846" s="551"/>
      <c r="BF846" s="551"/>
      <c r="BG846" s="551"/>
      <c r="BH846" s="825"/>
      <c r="BI846" s="551"/>
      <c r="BJ846" s="551"/>
      <c r="BK846" s="551"/>
      <c r="BL846" s="551"/>
      <c r="BM846" s="551"/>
      <c r="BN846" s="551"/>
      <c r="BO846" s="551"/>
      <c r="BP846" s="551"/>
      <c r="BQ846" s="551"/>
      <c r="BR846" s="551"/>
      <c r="BS846" s="551"/>
      <c r="BT846" s="551"/>
      <c r="BU846" s="551"/>
      <c r="BV846" s="551"/>
      <c r="BW846" s="551"/>
      <c r="BX846" s="551"/>
      <c r="BY846" s="551"/>
      <c r="BZ846" s="551"/>
      <c r="CA846" s="551"/>
      <c r="CB846" s="551"/>
      <c r="CC846" s="551"/>
      <c r="CD846" s="551"/>
      <c r="CE846" s="551"/>
      <c r="CF846" s="551"/>
      <c r="CG846" s="551"/>
      <c r="CH846" s="650"/>
      <c r="CI846" s="650"/>
      <c r="CJ846" s="650"/>
      <c r="CK846" s="650"/>
      <c r="CL846" s="650"/>
      <c r="CM846" s="551"/>
      <c r="CN846" s="551"/>
      <c r="CO846" s="551"/>
      <c r="CP846" s="650"/>
      <c r="CQ846" s="650"/>
      <c r="CR846" s="650"/>
      <c r="CS846" s="650"/>
      <c r="CT846" s="650"/>
      <c r="CU846" s="650"/>
    </row>
    <row r="847" s="1265" customFormat="1" ht="31" customHeight="1" spans="1:99">
      <c r="A847" s="641">
        <v>46041</v>
      </c>
      <c r="B847" s="642"/>
      <c r="C847" s="246"/>
      <c r="D847" s="551" t="s">
        <v>3241</v>
      </c>
      <c r="E847" s="246"/>
      <c r="F847" s="551" t="s">
        <v>3245</v>
      </c>
      <c r="G847" s="659" t="s">
        <v>476</v>
      </c>
      <c r="H847" s="246" t="s">
        <v>477</v>
      </c>
      <c r="I847" s="246">
        <v>90</v>
      </c>
      <c r="J847" s="246">
        <v>0</v>
      </c>
      <c r="K847" s="246">
        <v>6</v>
      </c>
      <c r="L847" s="644">
        <f t="shared" si="277"/>
        <v>15</v>
      </c>
      <c r="M847" s="645">
        <v>46101</v>
      </c>
      <c r="N847" s="645">
        <v>46097</v>
      </c>
      <c r="O847" s="643"/>
      <c r="P847" s="824" t="s">
        <v>113</v>
      </c>
      <c r="Q847" s="646"/>
      <c r="R847" s="646" t="s">
        <v>1242</v>
      </c>
      <c r="S847" s="646" t="s">
        <v>70</v>
      </c>
      <c r="T847" s="646" t="s">
        <v>70</v>
      </c>
      <c r="U847" s="646"/>
      <c r="V847" s="642"/>
      <c r="W847" s="642"/>
      <c r="X847" s="642" t="s">
        <v>3246</v>
      </c>
      <c r="Y847" s="647" t="s">
        <v>3247</v>
      </c>
      <c r="Z847" s="657"/>
      <c r="AA847" s="647"/>
      <c r="AB847" s="551"/>
      <c r="AC847" s="648"/>
      <c r="AD847" s="633" t="s">
        <v>480</v>
      </c>
      <c r="AE847" s="246" t="s">
        <v>82</v>
      </c>
      <c r="AF847" s="246"/>
      <c r="AG847" s="246"/>
      <c r="AH847" s="246" t="s">
        <v>126</v>
      </c>
      <c r="AI847" s="246"/>
      <c r="AJ847" s="246">
        <f t="shared" si="276"/>
        <v>-90</v>
      </c>
      <c r="AK847" s="246"/>
      <c r="AL847" s="246"/>
      <c r="AM847" s="551"/>
      <c r="AN847" s="551">
        <f t="shared" si="280"/>
        <v>90</v>
      </c>
      <c r="AO847" s="1331"/>
      <c r="AP847" s="1331"/>
      <c r="AQ847" s="1331"/>
      <c r="AR847" s="551">
        <f t="shared" si="282"/>
        <v>90</v>
      </c>
      <c r="AS847" s="551"/>
      <c r="AT847" s="551"/>
      <c r="AU847" s="551">
        <f t="shared" si="281"/>
        <v>90</v>
      </c>
      <c r="AV847" s="551"/>
      <c r="AW847" s="551">
        <f t="shared" si="279"/>
        <v>90</v>
      </c>
      <c r="AX847" s="651"/>
      <c r="AY847" s="551"/>
      <c r="AZ847" s="551"/>
      <c r="BA847" s="551"/>
      <c r="BB847" s="551"/>
      <c r="BC847" s="551"/>
      <c r="BD847" s="551"/>
      <c r="BE847" s="551"/>
      <c r="BF847" s="551"/>
      <c r="BG847" s="551"/>
      <c r="BH847" s="825"/>
      <c r="BI847" s="551"/>
      <c r="BJ847" s="551"/>
      <c r="BK847" s="551"/>
      <c r="BL847" s="551"/>
      <c r="BM847" s="551"/>
      <c r="BN847" s="551">
        <f>I847</f>
        <v>90</v>
      </c>
      <c r="BO847" s="551"/>
      <c r="BP847" s="551"/>
      <c r="BQ847" s="551"/>
      <c r="BR847" s="551"/>
      <c r="BS847" s="551"/>
      <c r="BT847" s="551"/>
      <c r="BU847" s="551"/>
      <c r="BV847" s="551"/>
      <c r="BW847" s="551"/>
      <c r="BX847" s="551"/>
      <c r="BY847" s="551"/>
      <c r="BZ847" s="551"/>
      <c r="CA847" s="551"/>
      <c r="CB847" s="551"/>
      <c r="CC847" s="551"/>
      <c r="CD847" s="551"/>
      <c r="CE847" s="551"/>
      <c r="CF847" s="551"/>
      <c r="CG847" s="551"/>
      <c r="CH847" s="650"/>
      <c r="CI847" s="650"/>
      <c r="CJ847" s="650"/>
      <c r="CK847" s="650"/>
      <c r="CL847" s="650"/>
      <c r="CM847" s="551"/>
      <c r="CN847" s="551"/>
      <c r="CO847" s="551"/>
      <c r="CP847" s="650"/>
      <c r="CQ847" s="650"/>
      <c r="CR847" s="650"/>
      <c r="CS847" s="650"/>
      <c r="CT847" s="650"/>
      <c r="CU847" s="650"/>
    </row>
    <row r="848" s="1265" customFormat="1" ht="31" customHeight="1" spans="1:99">
      <c r="A848" s="641">
        <v>46048</v>
      </c>
      <c r="B848" s="642" t="s">
        <v>325</v>
      </c>
      <c r="C848" s="246" t="s">
        <v>98</v>
      </c>
      <c r="D848" s="551">
        <v>4500192284</v>
      </c>
      <c r="E848" s="246"/>
      <c r="F848" s="551" t="s">
        <v>3248</v>
      </c>
      <c r="G848" s="659" t="s">
        <v>249</v>
      </c>
      <c r="H848" s="246" t="s">
        <v>250</v>
      </c>
      <c r="I848" s="246">
        <v>25000</v>
      </c>
      <c r="J848" s="246">
        <v>0</v>
      </c>
      <c r="K848" s="246">
        <v>4</v>
      </c>
      <c r="L848" s="644">
        <f t="shared" si="277"/>
        <v>6250</v>
      </c>
      <c r="M848" s="645">
        <v>46101</v>
      </c>
      <c r="N848" s="645">
        <v>46097</v>
      </c>
      <c r="O848" s="643" t="s">
        <v>3249</v>
      </c>
      <c r="P848" s="824" t="s">
        <v>113</v>
      </c>
      <c r="Q848" s="646"/>
      <c r="R848" s="646" t="s">
        <v>454</v>
      </c>
      <c r="S848" s="646" t="s">
        <v>104</v>
      </c>
      <c r="T848" s="646" t="s">
        <v>3215</v>
      </c>
      <c r="U848" s="646"/>
      <c r="V848" s="642"/>
      <c r="W848" s="642"/>
      <c r="X848" s="642" t="s">
        <v>2770</v>
      </c>
      <c r="Y848" s="647" t="s">
        <v>252</v>
      </c>
      <c r="Z848" s="657">
        <v>2.7734</v>
      </c>
      <c r="AA848" s="647">
        <f>Z848*I848</f>
        <v>69335</v>
      </c>
      <c r="AB848" s="551"/>
      <c r="AC848" s="658" t="s">
        <v>3250</v>
      </c>
      <c r="AD848" s="633" t="s">
        <v>249</v>
      </c>
      <c r="AE848" s="246" t="s">
        <v>82</v>
      </c>
      <c r="AF848" s="246"/>
      <c r="AG848" s="246"/>
      <c r="AH848" s="246" t="s">
        <v>126</v>
      </c>
      <c r="AI848" s="246">
        <f>3360+7560+6840+2240+600+4400</f>
        <v>25000</v>
      </c>
      <c r="AJ848" s="246">
        <f t="shared" si="276"/>
        <v>0</v>
      </c>
      <c r="AK848" s="246"/>
      <c r="AL848" s="246" t="s">
        <v>2368</v>
      </c>
      <c r="AM848" s="551"/>
      <c r="AN848" s="551"/>
      <c r="AO848" s="1331"/>
      <c r="AP848" s="1331">
        <f>I848</f>
        <v>25000</v>
      </c>
      <c r="AQ848" s="1331"/>
      <c r="AR848" s="551"/>
      <c r="AS848" s="551"/>
      <c r="AT848" s="551"/>
      <c r="AU848" s="551"/>
      <c r="AV848" s="551"/>
      <c r="AW848" s="551">
        <f t="shared" si="279"/>
        <v>25000</v>
      </c>
      <c r="AX848" s="651"/>
      <c r="AY848" s="551"/>
      <c r="AZ848" s="551"/>
      <c r="BA848" s="551"/>
      <c r="BB848" s="551"/>
      <c r="BC848" s="551"/>
      <c r="BD848" s="551"/>
      <c r="BE848" s="551"/>
      <c r="BF848" s="551">
        <f>I848</f>
        <v>25000</v>
      </c>
      <c r="BG848" s="551">
        <f>I848</f>
        <v>25000</v>
      </c>
      <c r="BH848" s="825">
        <f>I848/4</f>
        <v>6250</v>
      </c>
      <c r="BI848" s="551"/>
      <c r="BJ848" s="551"/>
      <c r="BK848" s="551"/>
      <c r="BL848" s="551"/>
      <c r="BM848" s="551"/>
      <c r="BN848" s="551"/>
      <c r="BO848" s="551"/>
      <c r="BP848" s="551"/>
      <c r="BQ848" s="551"/>
      <c r="BR848" s="551"/>
      <c r="BS848" s="551"/>
      <c r="BT848" s="551"/>
      <c r="BU848" s="551"/>
      <c r="BV848" s="551"/>
      <c r="BW848" s="551"/>
      <c r="BX848" s="551"/>
      <c r="BY848" s="551"/>
      <c r="BZ848" s="551"/>
      <c r="CA848" s="551"/>
      <c r="CB848" s="551"/>
      <c r="CC848" s="551"/>
      <c r="CD848" s="551"/>
      <c r="CE848" s="551"/>
      <c r="CF848" s="551"/>
      <c r="CG848" s="551"/>
      <c r="CH848" s="650"/>
      <c r="CI848" s="650"/>
      <c r="CJ848" s="650"/>
      <c r="CK848" s="650"/>
      <c r="CL848" s="650"/>
      <c r="CM848" s="551"/>
      <c r="CN848" s="551"/>
      <c r="CO848" s="551"/>
      <c r="CP848" s="650"/>
      <c r="CQ848" s="650"/>
      <c r="CR848" s="650"/>
      <c r="CS848" s="650"/>
      <c r="CT848" s="650"/>
      <c r="CU848" s="650"/>
    </row>
    <row r="849" s="1265" customFormat="1" ht="31" customHeight="1" spans="1:99">
      <c r="A849" s="641">
        <v>45978</v>
      </c>
      <c r="B849" s="642" t="s">
        <v>1492</v>
      </c>
      <c r="C849" s="246" t="s">
        <v>98</v>
      </c>
      <c r="D849" s="551">
        <v>4500185945</v>
      </c>
      <c r="E849" s="1418" t="s">
        <v>3251</v>
      </c>
      <c r="F849" s="551" t="s">
        <v>3252</v>
      </c>
      <c r="G849" s="659" t="s">
        <v>2666</v>
      </c>
      <c r="H849" s="246" t="s">
        <v>830</v>
      </c>
      <c r="I849" s="246">
        <v>5400</v>
      </c>
      <c r="J849" s="246">
        <v>0</v>
      </c>
      <c r="K849" s="246">
        <v>75</v>
      </c>
      <c r="L849" s="644">
        <f t="shared" si="277"/>
        <v>72</v>
      </c>
      <c r="M849" s="742">
        <v>46101</v>
      </c>
      <c r="N849" s="742">
        <v>46097</v>
      </c>
      <c r="O849" s="643"/>
      <c r="P849" s="824" t="s">
        <v>113</v>
      </c>
      <c r="Q849" s="646"/>
      <c r="R849" s="646" t="s">
        <v>2667</v>
      </c>
      <c r="S849" s="646" t="s">
        <v>70</v>
      </c>
      <c r="T849" s="646" t="s">
        <v>70</v>
      </c>
      <c r="U849" s="646"/>
      <c r="V849" s="646"/>
      <c r="W849" s="642"/>
      <c r="X849" s="642" t="s">
        <v>2826</v>
      </c>
      <c r="Y849" s="647" t="s">
        <v>911</v>
      </c>
      <c r="Z849" s="657">
        <v>359.3436</v>
      </c>
      <c r="AA849" s="647">
        <v>25872.7392</v>
      </c>
      <c r="AB849" s="551"/>
      <c r="AC849" s="658" t="s">
        <v>3253</v>
      </c>
      <c r="AD849" s="633" t="s">
        <v>1498</v>
      </c>
      <c r="AE849" s="246" t="s">
        <v>82</v>
      </c>
      <c r="AF849" s="246"/>
      <c r="AG849" s="246"/>
      <c r="AH849" s="246">
        <v>1</v>
      </c>
      <c r="AI849" s="246"/>
      <c r="AJ849" s="643">
        <f t="shared" si="276"/>
        <v>-5400</v>
      </c>
      <c r="AK849" s="246"/>
      <c r="AL849" s="246"/>
      <c r="AM849" s="551"/>
      <c r="AN849" s="551"/>
      <c r="AO849" s="551">
        <f>I849</f>
        <v>5400</v>
      </c>
      <c r="AP849" s="551"/>
      <c r="AQ849" s="551"/>
      <c r="AR849" s="551"/>
      <c r="AS849" s="551"/>
      <c r="AT849" s="551"/>
      <c r="AU849" s="551"/>
      <c r="AV849" s="551"/>
      <c r="AW849" s="551"/>
      <c r="AX849" s="651"/>
      <c r="AY849" s="551"/>
      <c r="AZ849" s="551"/>
      <c r="BA849" s="551">
        <f>I849</f>
        <v>5400</v>
      </c>
      <c r="BB849" s="551">
        <f>I849</f>
        <v>5400</v>
      </c>
      <c r="BC849" s="551">
        <f>I849</f>
        <v>5400</v>
      </c>
      <c r="BD849" s="551"/>
      <c r="BE849" s="551"/>
      <c r="BF849" s="551"/>
      <c r="BG849" s="551"/>
      <c r="BH849" s="551"/>
      <c r="BI849" s="551"/>
      <c r="BJ849" s="551"/>
      <c r="BK849" s="551">
        <f>I849</f>
        <v>5400</v>
      </c>
      <c r="BL849" s="551">
        <f>I849/5</f>
        <v>1080</v>
      </c>
      <c r="BM849" s="551"/>
      <c r="BN849" s="551"/>
      <c r="BO849" s="551"/>
      <c r="BP849" s="551"/>
      <c r="BQ849" s="551"/>
      <c r="BR849" s="551"/>
      <c r="BS849" s="551"/>
      <c r="BT849" s="551"/>
      <c r="BU849" s="551"/>
      <c r="BV849" s="551"/>
      <c r="BW849" s="551"/>
      <c r="BX849" s="551"/>
      <c r="BY849" s="551"/>
      <c r="BZ849" s="551"/>
      <c r="CA849" s="551"/>
      <c r="CB849" s="551"/>
      <c r="CC849" s="551"/>
      <c r="CD849" s="551"/>
      <c r="CE849" s="551"/>
      <c r="CF849" s="551"/>
      <c r="CG849" s="551"/>
      <c r="CH849" s="650"/>
      <c r="CI849" s="650"/>
      <c r="CJ849" s="650"/>
      <c r="CK849" s="650"/>
      <c r="CL849" s="650"/>
      <c r="CM849" s="551"/>
      <c r="CN849" s="551"/>
      <c r="CO849" s="551"/>
      <c r="CP849" s="650"/>
      <c r="CQ849" s="650"/>
      <c r="CR849" s="650"/>
      <c r="CS849" s="650"/>
      <c r="CT849" s="650"/>
      <c r="CU849" s="650"/>
    </row>
    <row r="850" s="1265" customFormat="1" ht="31" customHeight="1" spans="1:99">
      <c r="A850" s="641">
        <v>45978</v>
      </c>
      <c r="B850" s="642" t="s">
        <v>1492</v>
      </c>
      <c r="C850" s="246" t="s">
        <v>98</v>
      </c>
      <c r="D850" s="551">
        <v>4500185946</v>
      </c>
      <c r="E850" s="1418" t="s">
        <v>3254</v>
      </c>
      <c r="F850" s="551" t="s">
        <v>3255</v>
      </c>
      <c r="G850" s="659" t="s">
        <v>2666</v>
      </c>
      <c r="H850" s="246" t="s">
        <v>830</v>
      </c>
      <c r="I850" s="246">
        <v>5400</v>
      </c>
      <c r="J850" s="246">
        <v>0</v>
      </c>
      <c r="K850" s="246">
        <v>75</v>
      </c>
      <c r="L850" s="644">
        <f t="shared" si="277"/>
        <v>72</v>
      </c>
      <c r="M850" s="742">
        <v>46101</v>
      </c>
      <c r="N850" s="742">
        <v>46097</v>
      </c>
      <c r="O850" s="643"/>
      <c r="P850" s="824" t="s">
        <v>113</v>
      </c>
      <c r="Q850" s="646"/>
      <c r="R850" s="646" t="s">
        <v>2667</v>
      </c>
      <c r="S850" s="646" t="s">
        <v>70</v>
      </c>
      <c r="T850" s="646" t="s">
        <v>70</v>
      </c>
      <c r="U850" s="646"/>
      <c r="V850" s="646"/>
      <c r="W850" s="642"/>
      <c r="X850" s="642" t="s">
        <v>2826</v>
      </c>
      <c r="Y850" s="647" t="s">
        <v>911</v>
      </c>
      <c r="Z850" s="657">
        <v>359.3436</v>
      </c>
      <c r="AA850" s="647">
        <v>25872.7392</v>
      </c>
      <c r="AB850" s="551"/>
      <c r="AC850" s="658" t="s">
        <v>3256</v>
      </c>
      <c r="AD850" s="633" t="s">
        <v>1498</v>
      </c>
      <c r="AE850" s="246" t="s">
        <v>82</v>
      </c>
      <c r="AF850" s="246"/>
      <c r="AG850" s="246"/>
      <c r="AH850" s="246">
        <v>1</v>
      </c>
      <c r="AI850" s="246"/>
      <c r="AJ850" s="643">
        <f t="shared" si="276"/>
        <v>-5400</v>
      </c>
      <c r="AK850" s="246"/>
      <c r="AL850" s="246"/>
      <c r="AM850" s="551"/>
      <c r="AN850" s="551"/>
      <c r="AO850" s="551">
        <f>I850</f>
        <v>5400</v>
      </c>
      <c r="AP850" s="551"/>
      <c r="AQ850" s="551"/>
      <c r="AR850" s="551"/>
      <c r="AS850" s="551"/>
      <c r="AT850" s="551"/>
      <c r="AU850" s="551"/>
      <c r="AV850" s="551"/>
      <c r="AW850" s="551"/>
      <c r="AX850" s="651"/>
      <c r="AY850" s="551"/>
      <c r="AZ850" s="551"/>
      <c r="BA850" s="551">
        <f>I850</f>
        <v>5400</v>
      </c>
      <c r="BB850" s="551">
        <f>I850</f>
        <v>5400</v>
      </c>
      <c r="BC850" s="551">
        <f>I850</f>
        <v>5400</v>
      </c>
      <c r="BD850" s="551"/>
      <c r="BE850" s="551"/>
      <c r="BF850" s="551"/>
      <c r="BG850" s="551"/>
      <c r="BH850" s="551"/>
      <c r="BI850" s="551"/>
      <c r="BJ850" s="551"/>
      <c r="BK850" s="551">
        <f>I850</f>
        <v>5400</v>
      </c>
      <c r="BL850" s="551">
        <f>I850/5</f>
        <v>1080</v>
      </c>
      <c r="BM850" s="551"/>
      <c r="BN850" s="551"/>
      <c r="BO850" s="551"/>
      <c r="BP850" s="551"/>
      <c r="BQ850" s="551"/>
      <c r="BR850" s="551"/>
      <c r="BS850" s="551"/>
      <c r="BT850" s="551"/>
      <c r="BU850" s="551"/>
      <c r="BV850" s="551"/>
      <c r="BW850" s="551"/>
      <c r="BX850" s="551"/>
      <c r="BY850" s="551"/>
      <c r="BZ850" s="551"/>
      <c r="CA850" s="551"/>
      <c r="CB850" s="551"/>
      <c r="CC850" s="551"/>
      <c r="CD850" s="551"/>
      <c r="CE850" s="551"/>
      <c r="CF850" s="551"/>
      <c r="CG850" s="551"/>
      <c r="CH850" s="650"/>
      <c r="CI850" s="650"/>
      <c r="CJ850" s="650"/>
      <c r="CK850" s="650"/>
      <c r="CL850" s="650"/>
      <c r="CM850" s="551"/>
      <c r="CN850" s="551"/>
      <c r="CO850" s="551"/>
      <c r="CP850" s="650"/>
      <c r="CQ850" s="650"/>
      <c r="CR850" s="650"/>
      <c r="CS850" s="650"/>
      <c r="CT850" s="650"/>
      <c r="CU850" s="650"/>
    </row>
    <row r="851" s="1265" customFormat="1" ht="31" customHeight="1" spans="1:99">
      <c r="A851" s="641">
        <v>45978</v>
      </c>
      <c r="B851" s="642" t="s">
        <v>1492</v>
      </c>
      <c r="C851" s="246" t="s">
        <v>98</v>
      </c>
      <c r="D851" s="551">
        <v>4500185948</v>
      </c>
      <c r="E851" s="1418" t="s">
        <v>3257</v>
      </c>
      <c r="F851" s="551" t="s">
        <v>3258</v>
      </c>
      <c r="G851" s="659" t="s">
        <v>2666</v>
      </c>
      <c r="H851" s="246" t="s">
        <v>830</v>
      </c>
      <c r="I851" s="246">
        <v>5400</v>
      </c>
      <c r="J851" s="246">
        <v>0</v>
      </c>
      <c r="K851" s="246">
        <v>75</v>
      </c>
      <c r="L851" s="644">
        <f t="shared" si="277"/>
        <v>72</v>
      </c>
      <c r="M851" s="742">
        <v>46101</v>
      </c>
      <c r="N851" s="742">
        <v>46097</v>
      </c>
      <c r="O851" s="643"/>
      <c r="P851" s="824" t="s">
        <v>113</v>
      </c>
      <c r="Q851" s="646"/>
      <c r="R851" s="646" t="s">
        <v>2667</v>
      </c>
      <c r="S851" s="646" t="s">
        <v>70</v>
      </c>
      <c r="T851" s="646" t="s">
        <v>70</v>
      </c>
      <c r="U851" s="646"/>
      <c r="V851" s="646"/>
      <c r="W851" s="642"/>
      <c r="X851" s="642" t="s">
        <v>2826</v>
      </c>
      <c r="Y851" s="647" t="s">
        <v>911</v>
      </c>
      <c r="Z851" s="657">
        <v>359.3436</v>
      </c>
      <c r="AA851" s="647">
        <v>25872.7392</v>
      </c>
      <c r="AB851" s="551"/>
      <c r="AC851" s="658" t="s">
        <v>3259</v>
      </c>
      <c r="AD851" s="633" t="s">
        <v>1498</v>
      </c>
      <c r="AE851" s="246" t="s">
        <v>82</v>
      </c>
      <c r="AF851" s="246"/>
      <c r="AG851" s="246"/>
      <c r="AH851" s="246">
        <v>1</v>
      </c>
      <c r="AI851" s="246"/>
      <c r="AJ851" s="643">
        <f t="shared" si="276"/>
        <v>-5400</v>
      </c>
      <c r="AK851" s="246"/>
      <c r="AL851" s="246"/>
      <c r="AM851" s="551"/>
      <c r="AN851" s="551"/>
      <c r="AO851" s="551">
        <f>I851</f>
        <v>5400</v>
      </c>
      <c r="AP851" s="551"/>
      <c r="AQ851" s="551"/>
      <c r="AR851" s="551"/>
      <c r="AS851" s="551"/>
      <c r="AT851" s="551"/>
      <c r="AU851" s="551"/>
      <c r="AV851" s="551"/>
      <c r="AW851" s="551"/>
      <c r="AX851" s="651"/>
      <c r="AY851" s="551"/>
      <c r="AZ851" s="551"/>
      <c r="BA851" s="551">
        <f>I851</f>
        <v>5400</v>
      </c>
      <c r="BB851" s="551">
        <f>I851</f>
        <v>5400</v>
      </c>
      <c r="BC851" s="551">
        <f>I851</f>
        <v>5400</v>
      </c>
      <c r="BD851" s="551"/>
      <c r="BE851" s="551"/>
      <c r="BF851" s="551"/>
      <c r="BG851" s="551"/>
      <c r="BH851" s="551"/>
      <c r="BI851" s="551"/>
      <c r="BJ851" s="551"/>
      <c r="BK851" s="551">
        <f>I851</f>
        <v>5400</v>
      </c>
      <c r="BL851" s="551">
        <f>I851/5</f>
        <v>1080</v>
      </c>
      <c r="BM851" s="551"/>
      <c r="BN851" s="551"/>
      <c r="BO851" s="551"/>
      <c r="BP851" s="551"/>
      <c r="BQ851" s="551"/>
      <c r="BR851" s="551"/>
      <c r="BS851" s="551"/>
      <c r="BT851" s="551"/>
      <c r="BU851" s="551"/>
      <c r="BV851" s="551"/>
      <c r="BW851" s="551"/>
      <c r="BX851" s="551"/>
      <c r="BY851" s="551"/>
      <c r="BZ851" s="551"/>
      <c r="CA851" s="551"/>
      <c r="CB851" s="551"/>
      <c r="CC851" s="551"/>
      <c r="CD851" s="551"/>
      <c r="CE851" s="551"/>
      <c r="CF851" s="551"/>
      <c r="CG851" s="551"/>
      <c r="CH851" s="650"/>
      <c r="CI851" s="650"/>
      <c r="CJ851" s="650"/>
      <c r="CK851" s="650"/>
      <c r="CL851" s="650"/>
      <c r="CM851" s="551"/>
      <c r="CN851" s="551"/>
      <c r="CO851" s="551"/>
      <c r="CP851" s="650"/>
      <c r="CQ851" s="650"/>
      <c r="CR851" s="650"/>
      <c r="CS851" s="650"/>
      <c r="CT851" s="650"/>
      <c r="CU851" s="650"/>
    </row>
    <row r="852" s="1265" customFormat="1" ht="31" customHeight="1" spans="1:99">
      <c r="A852" s="641">
        <v>46063</v>
      </c>
      <c r="B852" s="642" t="s">
        <v>1503</v>
      </c>
      <c r="C852" s="246" t="s">
        <v>98</v>
      </c>
      <c r="D852" s="551">
        <v>4500193598</v>
      </c>
      <c r="E852" s="246" t="s">
        <v>3260</v>
      </c>
      <c r="F852" s="551" t="s">
        <v>3261</v>
      </c>
      <c r="G852" s="659" t="s">
        <v>68</v>
      </c>
      <c r="H852" s="633" t="s">
        <v>69</v>
      </c>
      <c r="I852" s="706">
        <v>4992</v>
      </c>
      <c r="J852" s="246">
        <v>0</v>
      </c>
      <c r="K852" s="246">
        <v>12</v>
      </c>
      <c r="L852" s="644">
        <f t="shared" si="277"/>
        <v>416</v>
      </c>
      <c r="M852" s="645">
        <v>46104</v>
      </c>
      <c r="N852" s="645">
        <v>46100</v>
      </c>
      <c r="O852" s="643"/>
      <c r="P852" s="824" t="s">
        <v>113</v>
      </c>
      <c r="Q852" s="646"/>
      <c r="R852" s="646">
        <v>46063</v>
      </c>
      <c r="S852" s="646" t="s">
        <v>104</v>
      </c>
      <c r="T852" s="646">
        <v>46104</v>
      </c>
      <c r="U852" s="646"/>
      <c r="V852" s="646"/>
      <c r="W852" s="642"/>
      <c r="X852" s="642" t="s">
        <v>3262</v>
      </c>
      <c r="Y852" s="642" t="s">
        <v>125</v>
      </c>
      <c r="Z852" s="642">
        <v>2.4941</v>
      </c>
      <c r="AA852" s="647">
        <f>Z852*I852</f>
        <v>12450.5472</v>
      </c>
      <c r="AB852" s="551"/>
      <c r="AC852" s="658" t="s">
        <v>3263</v>
      </c>
      <c r="AD852" s="633" t="s">
        <v>68</v>
      </c>
      <c r="AE852" s="246" t="s">
        <v>82</v>
      </c>
      <c r="AF852" s="246"/>
      <c r="AG852" s="246"/>
      <c r="AH852" s="246" t="s">
        <v>126</v>
      </c>
      <c r="AI852" s="551">
        <v>4992</v>
      </c>
      <c r="AJ852" s="643">
        <f t="shared" si="276"/>
        <v>0</v>
      </c>
      <c r="AK852" s="246"/>
      <c r="AL852" s="246" t="s">
        <v>2368</v>
      </c>
      <c r="AM852" s="551"/>
      <c r="AN852" s="551">
        <f>I852</f>
        <v>4992</v>
      </c>
      <c r="AO852" s="551"/>
      <c r="AP852" s="551"/>
      <c r="AQ852" s="551"/>
      <c r="AR852" s="551">
        <f>I852</f>
        <v>4992</v>
      </c>
      <c r="AS852" s="551"/>
      <c r="AT852" s="551"/>
      <c r="AU852" s="551">
        <f>I852</f>
        <v>4992</v>
      </c>
      <c r="AV852" s="551"/>
      <c r="AW852" s="551">
        <f>I852</f>
        <v>4992</v>
      </c>
      <c r="AX852" s="651"/>
      <c r="AY852" s="551"/>
      <c r="AZ852" s="551"/>
      <c r="BA852" s="551"/>
      <c r="BB852" s="551"/>
      <c r="BC852" s="551"/>
      <c r="BD852" s="551"/>
      <c r="BE852" s="551"/>
      <c r="BF852" s="551"/>
      <c r="BG852" s="551"/>
      <c r="BH852" s="551"/>
      <c r="BI852" s="551"/>
      <c r="BJ852" s="551"/>
      <c r="BK852" s="551"/>
      <c r="BL852" s="551"/>
      <c r="BM852" s="551"/>
      <c r="BN852" s="551"/>
      <c r="BO852" s="551"/>
      <c r="BP852" s="551"/>
      <c r="BQ852" s="551"/>
      <c r="BR852" s="551"/>
      <c r="BS852" s="551"/>
      <c r="BT852" s="551"/>
      <c r="BU852" s="551"/>
      <c r="BV852" s="551"/>
      <c r="BW852" s="551"/>
      <c r="BX852" s="551"/>
      <c r="BY852" s="551"/>
      <c r="BZ852" s="551"/>
      <c r="CA852" s="551"/>
      <c r="CB852" s="551"/>
      <c r="CC852" s="551"/>
      <c r="CD852" s="551"/>
      <c r="CE852" s="551"/>
      <c r="CF852" s="551"/>
      <c r="CG852" s="551"/>
      <c r="CH852" s="650"/>
      <c r="CI852" s="650"/>
      <c r="CJ852" s="650"/>
      <c r="CK852" s="650"/>
      <c r="CL852" s="650"/>
      <c r="CM852" s="551"/>
      <c r="CN852" s="551"/>
      <c r="CO852" s="551"/>
      <c r="CP852" s="650"/>
      <c r="CQ852" s="650"/>
      <c r="CR852" s="650"/>
      <c r="CS852" s="650"/>
      <c r="CT852" s="650"/>
      <c r="CU852" s="650"/>
    </row>
    <row r="853" s="1265" customFormat="1" ht="31" customHeight="1" spans="1:99">
      <c r="A853" s="641">
        <v>46041</v>
      </c>
      <c r="B853" s="702" t="s">
        <v>1337</v>
      </c>
      <c r="C853" s="769" t="s">
        <v>931</v>
      </c>
      <c r="D853" s="701">
        <v>4500191722</v>
      </c>
      <c r="E853" s="246"/>
      <c r="F853" s="701" t="s">
        <v>3264</v>
      </c>
      <c r="G853" s="659" t="s">
        <v>68</v>
      </c>
      <c r="H853" s="633" t="s">
        <v>69</v>
      </c>
      <c r="I853" s="817">
        <v>48</v>
      </c>
      <c r="J853" s="246">
        <v>0</v>
      </c>
      <c r="K853" s="246">
        <v>12</v>
      </c>
      <c r="L853" s="644">
        <f t="shared" si="277"/>
        <v>4</v>
      </c>
      <c r="M853" s="645">
        <v>46105</v>
      </c>
      <c r="N853" s="645">
        <v>46101</v>
      </c>
      <c r="O853" s="643"/>
      <c r="P853" s="824" t="s">
        <v>113</v>
      </c>
      <c r="Q853" s="646"/>
      <c r="R853" s="646" t="s">
        <v>454</v>
      </c>
      <c r="S853" s="646" t="s">
        <v>70</v>
      </c>
      <c r="T853" s="646" t="s">
        <v>454</v>
      </c>
      <c r="U853" s="646"/>
      <c r="V853" s="646"/>
      <c r="W853" s="642"/>
      <c r="X853" s="749" t="s">
        <v>3265</v>
      </c>
      <c r="Y853" s="647" t="s">
        <v>943</v>
      </c>
      <c r="Z853" s="642">
        <v>4.1185</v>
      </c>
      <c r="AA853" s="647">
        <f>Z853*I853</f>
        <v>197.688</v>
      </c>
      <c r="AB853" s="551"/>
      <c r="AC853" s="648"/>
      <c r="AD853" s="633" t="s">
        <v>184</v>
      </c>
      <c r="AE853" s="246" t="s">
        <v>82</v>
      </c>
      <c r="AF853" s="246"/>
      <c r="AG853" s="246"/>
      <c r="AH853" s="246">
        <v>1</v>
      </c>
      <c r="AI853" s="643">
        <v>48</v>
      </c>
      <c r="AJ853" s="246">
        <f t="shared" si="276"/>
        <v>0</v>
      </c>
      <c r="AK853" s="246"/>
      <c r="AL853" s="246" t="s">
        <v>2368</v>
      </c>
      <c r="AM853" s="551"/>
      <c r="AN853" s="551">
        <f>I853</f>
        <v>48</v>
      </c>
      <c r="AO853" s="551"/>
      <c r="AP853" s="551"/>
      <c r="AQ853" s="551"/>
      <c r="AR853" s="551"/>
      <c r="AS853" s="551">
        <f t="shared" ref="AS853:AS856" si="283">I853</f>
        <v>48</v>
      </c>
      <c r="AT853" s="551"/>
      <c r="AU853" s="551">
        <f t="shared" ref="AU853:AU856" si="284">I853</f>
        <v>48</v>
      </c>
      <c r="AV853" s="551"/>
      <c r="AW853" s="551">
        <f t="shared" ref="AW853:AW865" si="285">I853</f>
        <v>48</v>
      </c>
      <c r="AX853" s="651"/>
      <c r="AY853" s="551"/>
      <c r="AZ853" s="551"/>
      <c r="BA853" s="551"/>
      <c r="BB853" s="551"/>
      <c r="BC853" s="551"/>
      <c r="BD853" s="551"/>
      <c r="BE853" s="551"/>
      <c r="BF853" s="551"/>
      <c r="BG853" s="551"/>
      <c r="BH853" s="551"/>
      <c r="BI853" s="551"/>
      <c r="BJ853" s="551"/>
      <c r="BK853" s="551"/>
      <c r="BL853" s="551"/>
      <c r="BM853" s="551"/>
      <c r="BN853" s="551"/>
      <c r="BO853" s="551"/>
      <c r="BP853" s="551"/>
      <c r="BQ853" s="551"/>
      <c r="BR853" s="551"/>
      <c r="BS853" s="551"/>
      <c r="BT853" s="551"/>
      <c r="BU853" s="551"/>
      <c r="BV853" s="551"/>
      <c r="BW853" s="551"/>
      <c r="BX853" s="551"/>
      <c r="BY853" s="551"/>
      <c r="BZ853" s="551"/>
      <c r="CA853" s="551"/>
      <c r="CB853" s="551"/>
      <c r="CC853" s="551"/>
      <c r="CD853" s="551"/>
      <c r="CE853" s="551"/>
      <c r="CF853" s="551"/>
      <c r="CG853" s="551"/>
      <c r="CH853" s="650"/>
      <c r="CI853" s="650"/>
      <c r="CJ853" s="650"/>
      <c r="CK853" s="650"/>
      <c r="CL853" s="650"/>
      <c r="CM853" s="551"/>
      <c r="CN853" s="551"/>
      <c r="CO853" s="551"/>
      <c r="CP853" s="650"/>
      <c r="CQ853" s="650"/>
      <c r="CR853" s="650"/>
      <c r="CS853" s="650"/>
      <c r="CT853" s="650"/>
      <c r="CU853" s="650"/>
    </row>
    <row r="854" s="1265" customFormat="1" ht="31" customHeight="1" spans="1:99">
      <c r="A854" s="641">
        <v>46052</v>
      </c>
      <c r="B854" s="642" t="s">
        <v>1337</v>
      </c>
      <c r="C854" s="246" t="s">
        <v>931</v>
      </c>
      <c r="D854" s="551">
        <v>4500192740</v>
      </c>
      <c r="E854" s="246"/>
      <c r="F854" s="551" t="s">
        <v>3266</v>
      </c>
      <c r="G854" s="659" t="s">
        <v>68</v>
      </c>
      <c r="H854" s="633" t="s">
        <v>69</v>
      </c>
      <c r="I854" s="706">
        <v>24</v>
      </c>
      <c r="J854" s="246">
        <v>0</v>
      </c>
      <c r="K854" s="246">
        <v>12</v>
      </c>
      <c r="L854" s="644">
        <f t="shared" si="277"/>
        <v>2</v>
      </c>
      <c r="M854" s="645">
        <v>46105</v>
      </c>
      <c r="N854" s="645">
        <v>46101</v>
      </c>
      <c r="O854" s="643"/>
      <c r="P854" s="824" t="s">
        <v>113</v>
      </c>
      <c r="Q854" s="646"/>
      <c r="R854" s="646">
        <v>46052</v>
      </c>
      <c r="S854" s="646" t="s">
        <v>70</v>
      </c>
      <c r="T854" s="646" t="s">
        <v>454</v>
      </c>
      <c r="U854" s="646"/>
      <c r="V854" s="646"/>
      <c r="W854" s="642"/>
      <c r="X854" s="642" t="s">
        <v>3267</v>
      </c>
      <c r="Y854" s="642" t="s">
        <v>943</v>
      </c>
      <c r="Z854" s="657">
        <v>4.1185</v>
      </c>
      <c r="AA854" s="647">
        <f>Z854*I854</f>
        <v>98.844</v>
      </c>
      <c r="AB854" s="551"/>
      <c r="AC854" s="648"/>
      <c r="AD854" s="633" t="s">
        <v>184</v>
      </c>
      <c r="AE854" s="246" t="s">
        <v>82</v>
      </c>
      <c r="AF854" s="246"/>
      <c r="AG854" s="246"/>
      <c r="AH854" s="246" t="s">
        <v>126</v>
      </c>
      <c r="AI854" s="643">
        <v>24</v>
      </c>
      <c r="AJ854" s="246">
        <f t="shared" si="276"/>
        <v>0</v>
      </c>
      <c r="AK854" s="246"/>
      <c r="AL854" s="246" t="s">
        <v>2368</v>
      </c>
      <c r="AM854" s="551"/>
      <c r="AN854" s="551">
        <f>I854</f>
        <v>24</v>
      </c>
      <c r="AO854" s="551"/>
      <c r="AP854" s="551"/>
      <c r="AQ854" s="551"/>
      <c r="AR854" s="551"/>
      <c r="AS854" s="551">
        <f t="shared" si="283"/>
        <v>24</v>
      </c>
      <c r="AT854" s="551"/>
      <c r="AU854" s="551">
        <f t="shared" si="284"/>
        <v>24</v>
      </c>
      <c r="AV854" s="551"/>
      <c r="AW854" s="551">
        <f t="shared" si="285"/>
        <v>24</v>
      </c>
      <c r="AX854" s="651"/>
      <c r="AY854" s="551"/>
      <c r="AZ854" s="551"/>
      <c r="BA854" s="551"/>
      <c r="BB854" s="551"/>
      <c r="BC854" s="551"/>
      <c r="BD854" s="551"/>
      <c r="BE854" s="551"/>
      <c r="BF854" s="551"/>
      <c r="BG854" s="551"/>
      <c r="BH854" s="551"/>
      <c r="BI854" s="551"/>
      <c r="BJ854" s="551"/>
      <c r="BK854" s="551"/>
      <c r="BL854" s="551"/>
      <c r="BM854" s="551"/>
      <c r="BN854" s="551"/>
      <c r="BO854" s="551"/>
      <c r="BP854" s="551"/>
      <c r="BQ854" s="551"/>
      <c r="BR854" s="551"/>
      <c r="BS854" s="551"/>
      <c r="BT854" s="551"/>
      <c r="BU854" s="551"/>
      <c r="BV854" s="551"/>
      <c r="BW854" s="551"/>
      <c r="BX854" s="551"/>
      <c r="BY854" s="551"/>
      <c r="BZ854" s="551"/>
      <c r="CA854" s="551"/>
      <c r="CB854" s="551"/>
      <c r="CC854" s="551"/>
      <c r="CD854" s="551"/>
      <c r="CE854" s="551"/>
      <c r="CF854" s="551"/>
      <c r="CG854" s="551"/>
      <c r="CH854" s="650"/>
      <c r="CI854" s="650"/>
      <c r="CJ854" s="650"/>
      <c r="CK854" s="650"/>
      <c r="CL854" s="650"/>
      <c r="CM854" s="551"/>
      <c r="CN854" s="551"/>
      <c r="CO854" s="551"/>
      <c r="CP854" s="650"/>
      <c r="CQ854" s="650"/>
      <c r="CR854" s="650"/>
      <c r="CS854" s="650"/>
      <c r="CT854" s="650"/>
      <c r="CU854" s="650"/>
    </row>
    <row r="855" s="1265" customFormat="1" ht="31" customHeight="1" spans="1:99">
      <c r="A855" s="641">
        <v>46052</v>
      </c>
      <c r="B855" s="642" t="s">
        <v>1337</v>
      </c>
      <c r="C855" s="246" t="s">
        <v>931</v>
      </c>
      <c r="D855" s="551">
        <v>4500192757</v>
      </c>
      <c r="E855" s="246"/>
      <c r="F855" s="551" t="s">
        <v>3268</v>
      </c>
      <c r="G855" s="659" t="s">
        <v>68</v>
      </c>
      <c r="H855" s="633" t="s">
        <v>69</v>
      </c>
      <c r="I855" s="706">
        <v>24</v>
      </c>
      <c r="J855" s="246">
        <v>0</v>
      </c>
      <c r="K855" s="246">
        <v>12</v>
      </c>
      <c r="L855" s="644">
        <f t="shared" si="277"/>
        <v>2</v>
      </c>
      <c r="M855" s="645">
        <v>46105</v>
      </c>
      <c r="N855" s="645">
        <v>46101</v>
      </c>
      <c r="O855" s="643"/>
      <c r="P855" s="824" t="s">
        <v>113</v>
      </c>
      <c r="Q855" s="646"/>
      <c r="R855" s="646">
        <v>46052</v>
      </c>
      <c r="S855" s="646" t="s">
        <v>70</v>
      </c>
      <c r="T855" s="646" t="s">
        <v>454</v>
      </c>
      <c r="U855" s="646"/>
      <c r="V855" s="646"/>
      <c r="W855" s="642"/>
      <c r="X855" s="642" t="s">
        <v>3269</v>
      </c>
      <c r="Y855" s="642" t="s">
        <v>943</v>
      </c>
      <c r="Z855" s="657">
        <v>4.1623</v>
      </c>
      <c r="AA855" s="647">
        <f>Z855*I855</f>
        <v>99.8952</v>
      </c>
      <c r="AB855" s="551"/>
      <c r="AC855" s="648"/>
      <c r="AD855" s="633" t="s">
        <v>184</v>
      </c>
      <c r="AE855" s="246" t="s">
        <v>82</v>
      </c>
      <c r="AF855" s="246"/>
      <c r="AG855" s="246"/>
      <c r="AH855" s="246" t="s">
        <v>126</v>
      </c>
      <c r="AI855" s="643">
        <v>24</v>
      </c>
      <c r="AJ855" s="246">
        <f t="shared" si="276"/>
        <v>0</v>
      </c>
      <c r="AK855" s="246"/>
      <c r="AL855" s="246" t="s">
        <v>2368</v>
      </c>
      <c r="AM855" s="551"/>
      <c r="AN855" s="551">
        <f>I855</f>
        <v>24</v>
      </c>
      <c r="AO855" s="551"/>
      <c r="AP855" s="551"/>
      <c r="AQ855" s="551"/>
      <c r="AR855" s="551"/>
      <c r="AS855" s="551">
        <f t="shared" si="283"/>
        <v>24</v>
      </c>
      <c r="AT855" s="551"/>
      <c r="AU855" s="551">
        <f t="shared" si="284"/>
        <v>24</v>
      </c>
      <c r="AV855" s="551"/>
      <c r="AW855" s="551">
        <f t="shared" si="285"/>
        <v>24</v>
      </c>
      <c r="AX855" s="651"/>
      <c r="AY855" s="551"/>
      <c r="AZ855" s="551"/>
      <c r="BA855" s="551"/>
      <c r="BB855" s="551"/>
      <c r="BC855" s="551"/>
      <c r="BD855" s="551"/>
      <c r="BE855" s="551"/>
      <c r="BF855" s="551"/>
      <c r="BG855" s="551"/>
      <c r="BH855" s="551"/>
      <c r="BI855" s="551"/>
      <c r="BJ855" s="551"/>
      <c r="BK855" s="551"/>
      <c r="BL855" s="551"/>
      <c r="BM855" s="551"/>
      <c r="BN855" s="551"/>
      <c r="BO855" s="551"/>
      <c r="BP855" s="551"/>
      <c r="BQ855" s="551"/>
      <c r="BR855" s="551"/>
      <c r="BS855" s="551"/>
      <c r="BT855" s="551"/>
      <c r="BU855" s="551"/>
      <c r="BV855" s="551"/>
      <c r="BW855" s="551"/>
      <c r="BX855" s="551"/>
      <c r="BY855" s="551"/>
      <c r="BZ855" s="551"/>
      <c r="CA855" s="551"/>
      <c r="CB855" s="551"/>
      <c r="CC855" s="551"/>
      <c r="CD855" s="551"/>
      <c r="CE855" s="551"/>
      <c r="CF855" s="551"/>
      <c r="CG855" s="551"/>
      <c r="CH855" s="650"/>
      <c r="CI855" s="650"/>
      <c r="CJ855" s="650"/>
      <c r="CK855" s="650"/>
      <c r="CL855" s="650"/>
      <c r="CM855" s="551"/>
      <c r="CN855" s="551"/>
      <c r="CO855" s="551"/>
      <c r="CP855" s="650"/>
      <c r="CQ855" s="650"/>
      <c r="CR855" s="650"/>
      <c r="CS855" s="650"/>
      <c r="CT855" s="650"/>
      <c r="CU855" s="650"/>
    </row>
    <row r="856" s="1265" customFormat="1" ht="31" customHeight="1" spans="1:99">
      <c r="A856" s="641">
        <v>46052</v>
      </c>
      <c r="B856" s="642" t="s">
        <v>1337</v>
      </c>
      <c r="C856" s="246" t="s">
        <v>931</v>
      </c>
      <c r="D856" s="551">
        <v>4500192767</v>
      </c>
      <c r="E856" s="246"/>
      <c r="F856" s="551" t="s">
        <v>3270</v>
      </c>
      <c r="G856" s="659" t="s">
        <v>68</v>
      </c>
      <c r="H856" s="633" t="s">
        <v>69</v>
      </c>
      <c r="I856" s="706">
        <v>24</v>
      </c>
      <c r="J856" s="246">
        <v>0</v>
      </c>
      <c r="K856" s="246">
        <v>12</v>
      </c>
      <c r="L856" s="644">
        <f t="shared" si="277"/>
        <v>2</v>
      </c>
      <c r="M856" s="645">
        <v>46105</v>
      </c>
      <c r="N856" s="645">
        <v>46101</v>
      </c>
      <c r="O856" s="643"/>
      <c r="P856" s="824" t="s">
        <v>113</v>
      </c>
      <c r="Q856" s="646"/>
      <c r="R856" s="646">
        <v>46052</v>
      </c>
      <c r="S856" s="646" t="s">
        <v>70</v>
      </c>
      <c r="T856" s="646" t="s">
        <v>454</v>
      </c>
      <c r="U856" s="646"/>
      <c r="V856" s="646"/>
      <c r="W856" s="642"/>
      <c r="X856" s="642" t="s">
        <v>3271</v>
      </c>
      <c r="Y856" s="642" t="s">
        <v>943</v>
      </c>
      <c r="Z856" s="657">
        <v>4.1623</v>
      </c>
      <c r="AA856" s="647">
        <f>Z856*I856</f>
        <v>99.8952</v>
      </c>
      <c r="AB856" s="551"/>
      <c r="AC856" s="648"/>
      <c r="AD856" s="633" t="s">
        <v>184</v>
      </c>
      <c r="AE856" s="246" t="s">
        <v>82</v>
      </c>
      <c r="AF856" s="246"/>
      <c r="AG856" s="246"/>
      <c r="AH856" s="246" t="s">
        <v>126</v>
      </c>
      <c r="AI856" s="643">
        <v>24</v>
      </c>
      <c r="AJ856" s="246">
        <f t="shared" si="276"/>
        <v>0</v>
      </c>
      <c r="AK856" s="246"/>
      <c r="AL856" s="246" t="s">
        <v>2368</v>
      </c>
      <c r="AM856" s="551"/>
      <c r="AN856" s="551">
        <f>I856</f>
        <v>24</v>
      </c>
      <c r="AO856" s="551"/>
      <c r="AP856" s="551"/>
      <c r="AQ856" s="551"/>
      <c r="AR856" s="551"/>
      <c r="AS856" s="551">
        <f t="shared" si="283"/>
        <v>24</v>
      </c>
      <c r="AT856" s="551"/>
      <c r="AU856" s="551">
        <f t="shared" si="284"/>
        <v>24</v>
      </c>
      <c r="AV856" s="551"/>
      <c r="AW856" s="551">
        <f t="shared" si="285"/>
        <v>24</v>
      </c>
      <c r="AX856" s="651"/>
      <c r="AY856" s="551"/>
      <c r="AZ856" s="551"/>
      <c r="BA856" s="551"/>
      <c r="BB856" s="551"/>
      <c r="BC856" s="551"/>
      <c r="BD856" s="551"/>
      <c r="BE856" s="551"/>
      <c r="BF856" s="551"/>
      <c r="BG856" s="551"/>
      <c r="BH856" s="551"/>
      <c r="BI856" s="551"/>
      <c r="BJ856" s="551"/>
      <c r="BK856" s="551"/>
      <c r="BL856" s="551"/>
      <c r="BM856" s="551"/>
      <c r="BN856" s="551"/>
      <c r="BO856" s="551"/>
      <c r="BP856" s="551"/>
      <c r="BQ856" s="551"/>
      <c r="BR856" s="551"/>
      <c r="BS856" s="551"/>
      <c r="BT856" s="551"/>
      <c r="BU856" s="551"/>
      <c r="BV856" s="551"/>
      <c r="BW856" s="551"/>
      <c r="BX856" s="551"/>
      <c r="BY856" s="551"/>
      <c r="BZ856" s="551"/>
      <c r="CA856" s="551"/>
      <c r="CB856" s="551"/>
      <c r="CC856" s="551"/>
      <c r="CD856" s="551"/>
      <c r="CE856" s="551"/>
      <c r="CF856" s="551"/>
      <c r="CG856" s="551"/>
      <c r="CH856" s="650"/>
      <c r="CI856" s="650"/>
      <c r="CJ856" s="650"/>
      <c r="CK856" s="650"/>
      <c r="CL856" s="650"/>
      <c r="CM856" s="551"/>
      <c r="CN856" s="551"/>
      <c r="CO856" s="551"/>
      <c r="CP856" s="650"/>
      <c r="CQ856" s="650"/>
      <c r="CR856" s="650"/>
      <c r="CS856" s="650"/>
      <c r="CT856" s="650"/>
      <c r="CU856" s="650"/>
    </row>
    <row r="857" s="1265" customFormat="1" ht="31" customHeight="1" spans="1:99">
      <c r="A857" s="641">
        <v>45995</v>
      </c>
      <c r="B857" s="642" t="s">
        <v>2734</v>
      </c>
      <c r="C857" s="246" t="s">
        <v>98</v>
      </c>
      <c r="D857" s="551">
        <v>4500186326</v>
      </c>
      <c r="E857" s="246">
        <v>60260744</v>
      </c>
      <c r="F857" s="551" t="s">
        <v>3272</v>
      </c>
      <c r="G857" s="659" t="s">
        <v>2736</v>
      </c>
      <c r="H857" s="246" t="s">
        <v>2737</v>
      </c>
      <c r="I857" s="246">
        <v>1600</v>
      </c>
      <c r="J857" s="246">
        <v>0</v>
      </c>
      <c r="K857" s="246">
        <v>8</v>
      </c>
      <c r="L857" s="644">
        <f t="shared" ref="L857:L871" si="286">I857/K857</f>
        <v>200</v>
      </c>
      <c r="M857" s="645">
        <v>46106</v>
      </c>
      <c r="N857" s="645">
        <v>46102</v>
      </c>
      <c r="O857" s="643"/>
      <c r="P857" s="824" t="s">
        <v>113</v>
      </c>
      <c r="Q857" s="646"/>
      <c r="R857" s="646">
        <v>45995</v>
      </c>
      <c r="S857" s="646" t="s">
        <v>70</v>
      </c>
      <c r="T857" s="646" t="s">
        <v>2738</v>
      </c>
      <c r="U857" s="646"/>
      <c r="V857" s="646"/>
      <c r="W857" s="642"/>
      <c r="X857" s="749" t="s">
        <v>3273</v>
      </c>
      <c r="Y857" s="647" t="s">
        <v>2678</v>
      </c>
      <c r="Z857" s="657">
        <v>4.0996</v>
      </c>
      <c r="AA857" s="647">
        <f t="shared" ref="AA857:AA871" si="287">Z857*I857</f>
        <v>6559.36</v>
      </c>
      <c r="AB857" s="551"/>
      <c r="AC857" s="658" t="s">
        <v>3274</v>
      </c>
      <c r="AD857" s="633" t="s">
        <v>2741</v>
      </c>
      <c r="AE857" s="246" t="s">
        <v>82</v>
      </c>
      <c r="AF857" s="246"/>
      <c r="AG857" s="246"/>
      <c r="AH857" s="246" t="s">
        <v>126</v>
      </c>
      <c r="AI857" s="246">
        <v>1600</v>
      </c>
      <c r="AJ857" s="643">
        <f t="shared" ref="AJ857:AJ898" si="288">AI857-I857</f>
        <v>0</v>
      </c>
      <c r="AK857" s="246"/>
      <c r="AL857" s="246" t="s">
        <v>2368</v>
      </c>
      <c r="AM857" s="551"/>
      <c r="AN857" s="551">
        <f t="shared" ref="AN857:AN868" si="289">I857</f>
        <v>1600</v>
      </c>
      <c r="AO857" s="551"/>
      <c r="AP857" s="551"/>
      <c r="AQ857" s="551"/>
      <c r="AR857" s="551">
        <f>I857</f>
        <v>1600</v>
      </c>
      <c r="AS857" s="551"/>
      <c r="AT857" s="551"/>
      <c r="AU857" s="551">
        <f t="shared" ref="AU857:AU865" si="290">I857</f>
        <v>1600</v>
      </c>
      <c r="AV857" s="551"/>
      <c r="AW857" s="551">
        <f t="shared" si="285"/>
        <v>1600</v>
      </c>
      <c r="AX857" s="651"/>
      <c r="AY857" s="551"/>
      <c r="AZ857" s="551"/>
      <c r="BA857" s="551"/>
      <c r="BB857" s="551"/>
      <c r="BC857" s="551"/>
      <c r="BD857" s="551"/>
      <c r="BE857" s="551"/>
      <c r="BF857" s="551"/>
      <c r="BG857" s="551"/>
      <c r="BH857" s="551"/>
      <c r="BI857" s="551"/>
      <c r="BJ857" s="551"/>
      <c r="BK857" s="551"/>
      <c r="BL857" s="551"/>
      <c r="BM857" s="551"/>
      <c r="BN857" s="551">
        <f>I857</f>
        <v>1600</v>
      </c>
      <c r="BO857" s="551"/>
      <c r="BP857" s="551"/>
      <c r="BQ857" s="551"/>
      <c r="BR857" s="551"/>
      <c r="BS857" s="551"/>
      <c r="BT857" s="551"/>
      <c r="BU857" s="551"/>
      <c r="BV857" s="551"/>
      <c r="BW857" s="551"/>
      <c r="BX857" s="551"/>
      <c r="BY857" s="551"/>
      <c r="BZ857" s="551"/>
      <c r="CA857" s="551"/>
      <c r="CB857" s="551"/>
      <c r="CC857" s="551"/>
      <c r="CD857" s="551"/>
      <c r="CE857" s="551"/>
      <c r="CF857" s="551"/>
      <c r="CG857" s="551"/>
      <c r="CH857" s="650"/>
      <c r="CI857" s="650"/>
      <c r="CJ857" s="650"/>
      <c r="CK857" s="650"/>
      <c r="CL857" s="650"/>
      <c r="CM857" s="551"/>
      <c r="CN857" s="551"/>
      <c r="CO857" s="551"/>
      <c r="CP857" s="650"/>
      <c r="CQ857" s="650"/>
      <c r="CR857" s="650"/>
      <c r="CS857" s="650"/>
      <c r="CT857" s="650"/>
      <c r="CU857" s="650"/>
    </row>
    <row r="858" s="1265" customFormat="1" ht="31" customHeight="1" spans="1:99">
      <c r="A858" s="641">
        <v>46038</v>
      </c>
      <c r="B858" s="642" t="s">
        <v>1534</v>
      </c>
      <c r="C858" s="246" t="s">
        <v>524</v>
      </c>
      <c r="D858" s="551">
        <v>4500190343</v>
      </c>
      <c r="E858" s="246">
        <v>25785</v>
      </c>
      <c r="F858" s="551" t="s">
        <v>3275</v>
      </c>
      <c r="G858" s="659" t="s">
        <v>68</v>
      </c>
      <c r="H858" s="633" t="s">
        <v>69</v>
      </c>
      <c r="I858" s="706">
        <v>1824</v>
      </c>
      <c r="J858" s="246">
        <v>0</v>
      </c>
      <c r="K858" s="246">
        <v>12</v>
      </c>
      <c r="L858" s="644">
        <f t="shared" si="286"/>
        <v>152</v>
      </c>
      <c r="M858" s="645">
        <v>46106</v>
      </c>
      <c r="N858" s="645">
        <v>46102</v>
      </c>
      <c r="O858" s="643"/>
      <c r="P858" s="748" t="s">
        <v>3227</v>
      </c>
      <c r="Q858" s="646"/>
      <c r="R858" s="646">
        <v>46045</v>
      </c>
      <c r="S858" s="646" t="s">
        <v>70</v>
      </c>
      <c r="T858" s="646" t="s">
        <v>454</v>
      </c>
      <c r="U858" s="646"/>
      <c r="V858" s="646"/>
      <c r="W858" s="642"/>
      <c r="X858" s="642" t="s">
        <v>3276</v>
      </c>
      <c r="Y858" s="647" t="s">
        <v>943</v>
      </c>
      <c r="Z858" s="642">
        <v>4.1623</v>
      </c>
      <c r="AA858" s="647">
        <f t="shared" si="287"/>
        <v>7592.0352</v>
      </c>
      <c r="AB858" s="551"/>
      <c r="AC858" s="648"/>
      <c r="AD858" s="633" t="s">
        <v>184</v>
      </c>
      <c r="AE858" s="246" t="s">
        <v>82</v>
      </c>
      <c r="AF858" s="246"/>
      <c r="AG858" s="246"/>
      <c r="AH858" s="246">
        <v>1</v>
      </c>
      <c r="AI858" s="246">
        <v>1824</v>
      </c>
      <c r="AJ858" s="643">
        <f t="shared" si="288"/>
        <v>0</v>
      </c>
      <c r="AK858" s="246"/>
      <c r="AL858" s="246" t="s">
        <v>2368</v>
      </c>
      <c r="AM858" s="551"/>
      <c r="AN858" s="551">
        <f t="shared" si="289"/>
        <v>1824</v>
      </c>
      <c r="AO858" s="551"/>
      <c r="AP858" s="551"/>
      <c r="AQ858" s="551"/>
      <c r="AR858" s="551"/>
      <c r="AS858" s="551">
        <f t="shared" ref="AS858:AS864" si="291">I858</f>
        <v>1824</v>
      </c>
      <c r="AT858" s="551"/>
      <c r="AU858" s="551">
        <f t="shared" si="290"/>
        <v>1824</v>
      </c>
      <c r="AV858" s="551"/>
      <c r="AW858" s="551">
        <f t="shared" si="285"/>
        <v>1824</v>
      </c>
      <c r="AX858" s="651"/>
      <c r="AY858" s="551"/>
      <c r="AZ858" s="551"/>
      <c r="BA858" s="551"/>
      <c r="BB858" s="551"/>
      <c r="BC858" s="551"/>
      <c r="BD858" s="551"/>
      <c r="BE858" s="551"/>
      <c r="BF858" s="551"/>
      <c r="BG858" s="551"/>
      <c r="BH858" s="551"/>
      <c r="BI858" s="551"/>
      <c r="BJ858" s="551"/>
      <c r="BK858" s="551"/>
      <c r="BL858" s="551"/>
      <c r="BM858" s="551"/>
      <c r="BN858" s="551"/>
      <c r="BO858" s="551"/>
      <c r="BP858" s="551"/>
      <c r="BQ858" s="551"/>
      <c r="BR858" s="551"/>
      <c r="BS858" s="551"/>
      <c r="BT858" s="551"/>
      <c r="BU858" s="551"/>
      <c r="BV858" s="551"/>
      <c r="BW858" s="551"/>
      <c r="BX858" s="551"/>
      <c r="BY858" s="551"/>
      <c r="BZ858" s="551"/>
      <c r="CA858" s="551"/>
      <c r="CB858" s="551"/>
      <c r="CC858" s="551"/>
      <c r="CD858" s="551"/>
      <c r="CE858" s="551"/>
      <c r="CF858" s="551"/>
      <c r="CG858" s="551"/>
      <c r="CH858" s="650"/>
      <c r="CI858" s="650"/>
      <c r="CJ858" s="650"/>
      <c r="CK858" s="650"/>
      <c r="CL858" s="650"/>
      <c r="CM858" s="551"/>
      <c r="CN858" s="551"/>
      <c r="CO858" s="551"/>
      <c r="CP858" s="650"/>
      <c r="CQ858" s="650"/>
      <c r="CR858" s="650"/>
      <c r="CS858" s="650"/>
      <c r="CT858" s="650"/>
      <c r="CU858" s="650"/>
    </row>
    <row r="859" s="1265" customFormat="1" ht="31" customHeight="1" spans="1:99">
      <c r="A859" s="641">
        <v>46044</v>
      </c>
      <c r="B859" s="642" t="s">
        <v>1922</v>
      </c>
      <c r="C859" s="246" t="s">
        <v>154</v>
      </c>
      <c r="D859" s="551">
        <v>4500191865</v>
      </c>
      <c r="E859" s="246" t="s">
        <v>3277</v>
      </c>
      <c r="F859" s="551" t="s">
        <v>3278</v>
      </c>
      <c r="G859" s="659" t="s">
        <v>518</v>
      </c>
      <c r="H859" s="246" t="s">
        <v>477</v>
      </c>
      <c r="I859" s="706">
        <v>1008</v>
      </c>
      <c r="J859" s="246">
        <v>0</v>
      </c>
      <c r="K859" s="246">
        <v>6</v>
      </c>
      <c r="L859" s="644">
        <f t="shared" si="286"/>
        <v>168</v>
      </c>
      <c r="M859" s="645">
        <v>46106</v>
      </c>
      <c r="N859" s="645">
        <v>46102</v>
      </c>
      <c r="O859" s="643"/>
      <c r="P859" s="824" t="s">
        <v>113</v>
      </c>
      <c r="Q859" s="646"/>
      <c r="R859" s="646" t="s">
        <v>463</v>
      </c>
      <c r="S859" s="646" t="s">
        <v>104</v>
      </c>
      <c r="T859" s="646" t="s">
        <v>3279</v>
      </c>
      <c r="U859" s="646"/>
      <c r="V859" s="646"/>
      <c r="W859" s="642"/>
      <c r="X859" s="642" t="s">
        <v>3280</v>
      </c>
      <c r="Y859" s="647" t="s">
        <v>428</v>
      </c>
      <c r="Z859" s="655">
        <v>6.8326</v>
      </c>
      <c r="AA859" s="647">
        <f t="shared" si="287"/>
        <v>6887.2608</v>
      </c>
      <c r="AB859" s="551"/>
      <c r="AC859" s="648"/>
      <c r="AD859" s="633" t="s">
        <v>480</v>
      </c>
      <c r="AE859" s="246" t="s">
        <v>82</v>
      </c>
      <c r="AF859" s="246"/>
      <c r="AG859" s="246"/>
      <c r="AH859" s="246" t="s">
        <v>126</v>
      </c>
      <c r="AI859" s="748"/>
      <c r="AJ859" s="643">
        <f>AI864-I859</f>
        <v>0</v>
      </c>
      <c r="AK859" s="246"/>
      <c r="AL859" s="246"/>
      <c r="AM859" s="551"/>
      <c r="AN859" s="551">
        <f t="shared" si="289"/>
        <v>1008</v>
      </c>
      <c r="AO859" s="551"/>
      <c r="AP859" s="551"/>
      <c r="AQ859" s="551"/>
      <c r="AR859" s="551"/>
      <c r="AS859" s="551">
        <f t="shared" si="291"/>
        <v>1008</v>
      </c>
      <c r="AT859" s="551"/>
      <c r="AU859" s="551">
        <f t="shared" si="290"/>
        <v>1008</v>
      </c>
      <c r="AV859" s="551"/>
      <c r="AW859" s="551">
        <f t="shared" si="285"/>
        <v>1008</v>
      </c>
      <c r="AX859" s="651"/>
      <c r="AY859" s="551"/>
      <c r="AZ859" s="551"/>
      <c r="BA859" s="551"/>
      <c r="BB859" s="551"/>
      <c r="BC859" s="551"/>
      <c r="BD859" s="551"/>
      <c r="BE859" s="551"/>
      <c r="BF859" s="551"/>
      <c r="BG859" s="551"/>
      <c r="BH859" s="551"/>
      <c r="BI859" s="551"/>
      <c r="BJ859" s="551"/>
      <c r="BK859" s="551"/>
      <c r="BL859" s="551"/>
      <c r="BM859" s="551"/>
      <c r="BN859" s="551">
        <f>I859</f>
        <v>1008</v>
      </c>
      <c r="BO859" s="551"/>
      <c r="BP859" s="551"/>
      <c r="BQ859" s="551"/>
      <c r="BR859" s="551"/>
      <c r="BS859" s="551"/>
      <c r="BT859" s="551"/>
      <c r="BU859" s="551"/>
      <c r="BV859" s="551"/>
      <c r="BW859" s="551"/>
      <c r="BX859" s="551"/>
      <c r="BY859" s="551"/>
      <c r="BZ859" s="551"/>
      <c r="CA859" s="551"/>
      <c r="CB859" s="551"/>
      <c r="CC859" s="551"/>
      <c r="CD859" s="551"/>
      <c r="CE859" s="551"/>
      <c r="CF859" s="551"/>
      <c r="CG859" s="551"/>
      <c r="CH859" s="650"/>
      <c r="CI859" s="650"/>
      <c r="CJ859" s="650"/>
      <c r="CK859" s="650"/>
      <c r="CL859" s="650"/>
      <c r="CM859" s="551"/>
      <c r="CN859" s="551"/>
      <c r="CO859" s="551"/>
      <c r="CP859" s="650"/>
      <c r="CQ859" s="650"/>
      <c r="CR859" s="650"/>
      <c r="CS859" s="650"/>
      <c r="CT859" s="650"/>
      <c r="CU859" s="650"/>
    </row>
    <row r="860" s="1265" customFormat="1" ht="31" customHeight="1" spans="1:99">
      <c r="A860" s="641">
        <v>46044</v>
      </c>
      <c r="B860" s="642" t="s">
        <v>1922</v>
      </c>
      <c r="C860" s="246" t="s">
        <v>302</v>
      </c>
      <c r="D860" s="551">
        <v>4500191865</v>
      </c>
      <c r="E860" s="246" t="s">
        <v>3281</v>
      </c>
      <c r="F860" s="551" t="s">
        <v>3282</v>
      </c>
      <c r="G860" s="659" t="s">
        <v>518</v>
      </c>
      <c r="H860" s="246" t="s">
        <v>477</v>
      </c>
      <c r="I860" s="706">
        <v>5058</v>
      </c>
      <c r="J860" s="246">
        <v>0</v>
      </c>
      <c r="K860" s="246">
        <v>6</v>
      </c>
      <c r="L860" s="644">
        <f t="shared" si="286"/>
        <v>843</v>
      </c>
      <c r="M860" s="645">
        <v>46106</v>
      </c>
      <c r="N860" s="645">
        <v>46102</v>
      </c>
      <c r="O860" s="643"/>
      <c r="P860" s="824" t="s">
        <v>113</v>
      </c>
      <c r="Q860" s="646"/>
      <c r="R860" s="646" t="s">
        <v>463</v>
      </c>
      <c r="S860" s="646" t="s">
        <v>104</v>
      </c>
      <c r="T860" s="646" t="s">
        <v>3279</v>
      </c>
      <c r="U860" s="646"/>
      <c r="V860" s="646"/>
      <c r="W860" s="642"/>
      <c r="X860" s="642" t="s">
        <v>3283</v>
      </c>
      <c r="Y860" s="647" t="s">
        <v>428</v>
      </c>
      <c r="Z860" s="655">
        <v>6.5757</v>
      </c>
      <c r="AA860" s="647">
        <f t="shared" si="287"/>
        <v>33259.8906</v>
      </c>
      <c r="AB860" s="551"/>
      <c r="AC860" s="648"/>
      <c r="AD860" s="633" t="s">
        <v>480</v>
      </c>
      <c r="AE860" s="246" t="s">
        <v>82</v>
      </c>
      <c r="AF860" s="246"/>
      <c r="AG860" s="246"/>
      <c r="AH860" s="246" t="s">
        <v>126</v>
      </c>
      <c r="AI860" s="246"/>
      <c r="AJ860" s="643">
        <f t="shared" si="288"/>
        <v>-5058</v>
      </c>
      <c r="AK860" s="246"/>
      <c r="AL860" s="246"/>
      <c r="AM860" s="551"/>
      <c r="AN860" s="551">
        <f t="shared" si="289"/>
        <v>5058</v>
      </c>
      <c r="AO860" s="551"/>
      <c r="AP860" s="551"/>
      <c r="AQ860" s="551"/>
      <c r="AR860" s="551"/>
      <c r="AS860" s="551">
        <f t="shared" si="291"/>
        <v>5058</v>
      </c>
      <c r="AT860" s="551"/>
      <c r="AU860" s="551">
        <f t="shared" si="290"/>
        <v>5058</v>
      </c>
      <c r="AV860" s="551"/>
      <c r="AW860" s="551">
        <f t="shared" si="285"/>
        <v>5058</v>
      </c>
      <c r="AX860" s="651"/>
      <c r="AY860" s="551"/>
      <c r="AZ860" s="551"/>
      <c r="BA860" s="551"/>
      <c r="BB860" s="551"/>
      <c r="BC860" s="551"/>
      <c r="BD860" s="551"/>
      <c r="BE860" s="551"/>
      <c r="BF860" s="551"/>
      <c r="BG860" s="551"/>
      <c r="BH860" s="551"/>
      <c r="BI860" s="551"/>
      <c r="BJ860" s="551"/>
      <c r="BK860" s="551"/>
      <c r="BL860" s="551"/>
      <c r="BM860" s="551"/>
      <c r="BN860" s="551">
        <f>I860</f>
        <v>5058</v>
      </c>
      <c r="BO860" s="551"/>
      <c r="BP860" s="551"/>
      <c r="BQ860" s="551"/>
      <c r="BR860" s="551"/>
      <c r="BS860" s="551"/>
      <c r="BT860" s="551"/>
      <c r="BU860" s="551"/>
      <c r="BV860" s="551"/>
      <c r="BW860" s="551"/>
      <c r="BX860" s="551"/>
      <c r="BY860" s="551"/>
      <c r="BZ860" s="551"/>
      <c r="CA860" s="551"/>
      <c r="CB860" s="551"/>
      <c r="CC860" s="551"/>
      <c r="CD860" s="551"/>
      <c r="CE860" s="551"/>
      <c r="CF860" s="551"/>
      <c r="CG860" s="551"/>
      <c r="CH860" s="650"/>
      <c r="CI860" s="650"/>
      <c r="CJ860" s="650"/>
      <c r="CK860" s="650"/>
      <c r="CL860" s="650"/>
      <c r="CM860" s="551"/>
      <c r="CN860" s="551"/>
      <c r="CO860" s="551"/>
      <c r="CP860" s="650"/>
      <c r="CQ860" s="650"/>
      <c r="CR860" s="650"/>
      <c r="CS860" s="650"/>
      <c r="CT860" s="650"/>
      <c r="CU860" s="650"/>
    </row>
    <row r="861" s="1265" customFormat="1" ht="31" customHeight="1" spans="1:99">
      <c r="A861" s="641">
        <v>46044</v>
      </c>
      <c r="B861" s="642" t="s">
        <v>1922</v>
      </c>
      <c r="C861" s="246" t="s">
        <v>411</v>
      </c>
      <c r="D861" s="551">
        <v>4500191865</v>
      </c>
      <c r="E861" s="246" t="s">
        <v>3284</v>
      </c>
      <c r="F861" s="551" t="s">
        <v>3285</v>
      </c>
      <c r="G861" s="659" t="s">
        <v>518</v>
      </c>
      <c r="H861" s="246" t="s">
        <v>477</v>
      </c>
      <c r="I861" s="246">
        <v>504</v>
      </c>
      <c r="J861" s="246">
        <v>0</v>
      </c>
      <c r="K861" s="246">
        <v>6</v>
      </c>
      <c r="L861" s="644">
        <f t="shared" si="286"/>
        <v>84</v>
      </c>
      <c r="M861" s="645">
        <v>46106</v>
      </c>
      <c r="N861" s="645">
        <v>46102</v>
      </c>
      <c r="O861" s="643"/>
      <c r="P861" s="824" t="s">
        <v>113</v>
      </c>
      <c r="Q861" s="646"/>
      <c r="R861" s="646" t="s">
        <v>463</v>
      </c>
      <c r="S861" s="646" t="s">
        <v>104</v>
      </c>
      <c r="T861" s="646" t="s">
        <v>3279</v>
      </c>
      <c r="U861" s="646"/>
      <c r="V861" s="646"/>
      <c r="W861" s="642"/>
      <c r="X861" s="642" t="s">
        <v>3286</v>
      </c>
      <c r="Y861" s="647" t="s">
        <v>428</v>
      </c>
      <c r="Z861" s="655">
        <v>7.1628</v>
      </c>
      <c r="AA861" s="647">
        <f t="shared" si="287"/>
        <v>3610.0512</v>
      </c>
      <c r="AB861" s="551"/>
      <c r="AC861" s="648"/>
      <c r="AD861" s="633" t="s">
        <v>480</v>
      </c>
      <c r="AE861" s="246" t="s">
        <v>82</v>
      </c>
      <c r="AF861" s="246"/>
      <c r="AG861" s="246"/>
      <c r="AH861" s="246" t="s">
        <v>126</v>
      </c>
      <c r="AI861" s="246"/>
      <c r="AJ861" s="643">
        <f t="shared" si="288"/>
        <v>-504</v>
      </c>
      <c r="AK861" s="246"/>
      <c r="AL861" s="246"/>
      <c r="AM861" s="551"/>
      <c r="AN861" s="551">
        <f t="shared" si="289"/>
        <v>504</v>
      </c>
      <c r="AO861" s="551"/>
      <c r="AP861" s="551"/>
      <c r="AQ861" s="551"/>
      <c r="AR861" s="551"/>
      <c r="AS861" s="551">
        <f t="shared" si="291"/>
        <v>504</v>
      </c>
      <c r="AT861" s="551"/>
      <c r="AU861" s="551">
        <f t="shared" si="290"/>
        <v>504</v>
      </c>
      <c r="AV861" s="551"/>
      <c r="AW861" s="551">
        <f t="shared" si="285"/>
        <v>504</v>
      </c>
      <c r="AX861" s="651"/>
      <c r="AY861" s="551"/>
      <c r="AZ861" s="551"/>
      <c r="BA861" s="551"/>
      <c r="BB861" s="551"/>
      <c r="BC861" s="551"/>
      <c r="BD861" s="551"/>
      <c r="BE861" s="551"/>
      <c r="BF861" s="551"/>
      <c r="BG861" s="551"/>
      <c r="BH861" s="551"/>
      <c r="BI861" s="551"/>
      <c r="BJ861" s="551"/>
      <c r="BK861" s="551"/>
      <c r="BL861" s="551"/>
      <c r="BM861" s="551"/>
      <c r="BN861" s="551">
        <f>I861</f>
        <v>504</v>
      </c>
      <c r="BO861" s="551"/>
      <c r="BP861" s="551"/>
      <c r="BQ861" s="551"/>
      <c r="BR861" s="551"/>
      <c r="BS861" s="551"/>
      <c r="BT861" s="551"/>
      <c r="BU861" s="551"/>
      <c r="BV861" s="551"/>
      <c r="BW861" s="551"/>
      <c r="BX861" s="551"/>
      <c r="BY861" s="551"/>
      <c r="BZ861" s="551"/>
      <c r="CA861" s="551"/>
      <c r="CB861" s="551"/>
      <c r="CC861" s="551"/>
      <c r="CD861" s="551"/>
      <c r="CE861" s="551"/>
      <c r="CF861" s="551"/>
      <c r="CG861" s="551"/>
      <c r="CH861" s="650"/>
      <c r="CI861" s="650"/>
      <c r="CJ861" s="650"/>
      <c r="CK861" s="650"/>
      <c r="CL861" s="650"/>
      <c r="CM861" s="551"/>
      <c r="CN861" s="551"/>
      <c r="CO861" s="551"/>
      <c r="CP861" s="650"/>
      <c r="CQ861" s="650"/>
      <c r="CR861" s="650"/>
      <c r="CS861" s="650"/>
      <c r="CT861" s="650"/>
      <c r="CU861" s="650"/>
    </row>
    <row r="862" s="1265" customFormat="1" ht="31" customHeight="1" spans="1:99">
      <c r="A862" s="641">
        <v>46044</v>
      </c>
      <c r="B862" s="642" t="s">
        <v>1922</v>
      </c>
      <c r="C862" s="246" t="s">
        <v>154</v>
      </c>
      <c r="D862" s="551">
        <v>4500191865</v>
      </c>
      <c r="E862" s="246" t="s">
        <v>3277</v>
      </c>
      <c r="F862" s="551" t="s">
        <v>3287</v>
      </c>
      <c r="G862" s="659" t="s">
        <v>68</v>
      </c>
      <c r="H862" s="633" t="s">
        <v>69</v>
      </c>
      <c r="I862" s="706">
        <v>2676</v>
      </c>
      <c r="J862" s="246">
        <v>0</v>
      </c>
      <c r="K862" s="246">
        <v>12</v>
      </c>
      <c r="L862" s="644">
        <f t="shared" si="286"/>
        <v>223</v>
      </c>
      <c r="M862" s="645">
        <v>46106</v>
      </c>
      <c r="N862" s="645">
        <v>46102</v>
      </c>
      <c r="O862" s="643"/>
      <c r="P862" s="824" t="s">
        <v>113</v>
      </c>
      <c r="Q862" s="646"/>
      <c r="R862" s="646" t="s">
        <v>463</v>
      </c>
      <c r="S862" s="646" t="s">
        <v>104</v>
      </c>
      <c r="T862" s="646" t="s">
        <v>3279</v>
      </c>
      <c r="U862" s="646"/>
      <c r="V862" s="646"/>
      <c r="W862" s="642"/>
      <c r="X862" s="642" t="s">
        <v>3288</v>
      </c>
      <c r="Y862" s="647" t="s">
        <v>428</v>
      </c>
      <c r="Z862" s="642">
        <v>4.1623</v>
      </c>
      <c r="AA862" s="647">
        <f t="shared" si="287"/>
        <v>11138.3148</v>
      </c>
      <c r="AB862" s="551"/>
      <c r="AC862" s="648"/>
      <c r="AD862" s="633" t="s">
        <v>184</v>
      </c>
      <c r="AE862" s="246" t="s">
        <v>82</v>
      </c>
      <c r="AF862" s="246"/>
      <c r="AG862" s="246"/>
      <c r="AH862" s="246">
        <v>1</v>
      </c>
      <c r="AI862" s="246">
        <f>1008+1656+12</f>
        <v>2676</v>
      </c>
      <c r="AJ862" s="643">
        <f t="shared" si="288"/>
        <v>0</v>
      </c>
      <c r="AK862" s="246"/>
      <c r="AL862" s="246" t="s">
        <v>2368</v>
      </c>
      <c r="AM862" s="551"/>
      <c r="AN862" s="551">
        <f t="shared" si="289"/>
        <v>2676</v>
      </c>
      <c r="AO862" s="551"/>
      <c r="AP862" s="551"/>
      <c r="AQ862" s="551"/>
      <c r="AR862" s="551"/>
      <c r="AS862" s="551">
        <f t="shared" si="291"/>
        <v>2676</v>
      </c>
      <c r="AT862" s="551"/>
      <c r="AU862" s="551">
        <f t="shared" si="290"/>
        <v>2676</v>
      </c>
      <c r="AV862" s="551"/>
      <c r="AW862" s="551">
        <f t="shared" si="285"/>
        <v>2676</v>
      </c>
      <c r="AX862" s="651"/>
      <c r="AY862" s="551"/>
      <c r="AZ862" s="551"/>
      <c r="BA862" s="551"/>
      <c r="BB862" s="551"/>
      <c r="BC862" s="551"/>
      <c r="BD862" s="551"/>
      <c r="BE862" s="551"/>
      <c r="BF862" s="551"/>
      <c r="BG862" s="551"/>
      <c r="BH862" s="551"/>
      <c r="BI862" s="551"/>
      <c r="BJ862" s="551"/>
      <c r="BK862" s="551"/>
      <c r="BL862" s="551"/>
      <c r="BM862" s="551"/>
      <c r="BN862" s="551"/>
      <c r="BO862" s="551"/>
      <c r="BP862" s="551"/>
      <c r="BQ862" s="551"/>
      <c r="BR862" s="551"/>
      <c r="BS862" s="551"/>
      <c r="BT862" s="551"/>
      <c r="BU862" s="551"/>
      <c r="BV862" s="551"/>
      <c r="BW862" s="551"/>
      <c r="BX862" s="551"/>
      <c r="BY862" s="551"/>
      <c r="BZ862" s="551"/>
      <c r="CA862" s="551"/>
      <c r="CB862" s="551"/>
      <c r="CC862" s="551"/>
      <c r="CD862" s="551"/>
      <c r="CE862" s="551"/>
      <c r="CF862" s="551"/>
      <c r="CG862" s="551"/>
      <c r="CH862" s="650"/>
      <c r="CI862" s="650"/>
      <c r="CJ862" s="650"/>
      <c r="CK862" s="650"/>
      <c r="CL862" s="650"/>
      <c r="CM862" s="551"/>
      <c r="CN862" s="551"/>
      <c r="CO862" s="551"/>
      <c r="CP862" s="650"/>
      <c r="CQ862" s="650"/>
      <c r="CR862" s="650"/>
      <c r="CS862" s="650"/>
      <c r="CT862" s="650"/>
      <c r="CU862" s="650"/>
    </row>
    <row r="863" s="1265" customFormat="1" ht="31" customHeight="1" spans="1:99">
      <c r="A863" s="641">
        <v>46044</v>
      </c>
      <c r="B863" s="642" t="s">
        <v>1922</v>
      </c>
      <c r="C863" s="246" t="s">
        <v>399</v>
      </c>
      <c r="D863" s="551">
        <v>4500191865</v>
      </c>
      <c r="E863" s="246" t="s">
        <v>3289</v>
      </c>
      <c r="F863" s="551" t="s">
        <v>3290</v>
      </c>
      <c r="G863" s="659" t="s">
        <v>68</v>
      </c>
      <c r="H863" s="633" t="s">
        <v>69</v>
      </c>
      <c r="I863" s="706">
        <v>1248</v>
      </c>
      <c r="J863" s="246">
        <v>0</v>
      </c>
      <c r="K863" s="246">
        <v>12</v>
      </c>
      <c r="L863" s="644">
        <f t="shared" si="286"/>
        <v>104</v>
      </c>
      <c r="M863" s="645">
        <v>46106</v>
      </c>
      <c r="N863" s="645">
        <v>46102</v>
      </c>
      <c r="O863" s="643"/>
      <c r="P863" s="824" t="s">
        <v>113</v>
      </c>
      <c r="Q863" s="646"/>
      <c r="R863" s="646" t="s">
        <v>463</v>
      </c>
      <c r="S863" s="646" t="s">
        <v>104</v>
      </c>
      <c r="T863" s="646" t="s">
        <v>3279</v>
      </c>
      <c r="U863" s="646"/>
      <c r="V863" s="646"/>
      <c r="W863" s="642"/>
      <c r="X863" s="642" t="s">
        <v>3291</v>
      </c>
      <c r="Y863" s="647" t="s">
        <v>428</v>
      </c>
      <c r="Z863" s="642">
        <v>4.1623</v>
      </c>
      <c r="AA863" s="647">
        <f t="shared" si="287"/>
        <v>5194.5504</v>
      </c>
      <c r="AB863" s="551"/>
      <c r="AC863" s="648"/>
      <c r="AD863" s="633" t="s">
        <v>184</v>
      </c>
      <c r="AE863" s="246" t="s">
        <v>82</v>
      </c>
      <c r="AF863" s="246"/>
      <c r="AG863" s="246"/>
      <c r="AH863" s="246">
        <v>1</v>
      </c>
      <c r="AI863" s="246">
        <v>1248</v>
      </c>
      <c r="AJ863" s="643">
        <f t="shared" si="288"/>
        <v>0</v>
      </c>
      <c r="AK863" s="246"/>
      <c r="AL863" s="246" t="s">
        <v>2368</v>
      </c>
      <c r="AM863" s="551"/>
      <c r="AN863" s="551">
        <f t="shared" si="289"/>
        <v>1248</v>
      </c>
      <c r="AO863" s="551"/>
      <c r="AP863" s="551"/>
      <c r="AQ863" s="551"/>
      <c r="AR863" s="551"/>
      <c r="AS863" s="551">
        <f t="shared" si="291"/>
        <v>1248</v>
      </c>
      <c r="AT863" s="551"/>
      <c r="AU863" s="551">
        <f t="shared" si="290"/>
        <v>1248</v>
      </c>
      <c r="AV863" s="551"/>
      <c r="AW863" s="551">
        <f t="shared" si="285"/>
        <v>1248</v>
      </c>
      <c r="AX863" s="651"/>
      <c r="AY863" s="551"/>
      <c r="AZ863" s="551"/>
      <c r="BA863" s="551"/>
      <c r="BB863" s="551"/>
      <c r="BC863" s="551"/>
      <c r="BD863" s="551"/>
      <c r="BE863" s="551"/>
      <c r="BF863" s="551"/>
      <c r="BG863" s="551"/>
      <c r="BH863" s="551"/>
      <c r="BI863" s="551"/>
      <c r="BJ863" s="551"/>
      <c r="BK863" s="551"/>
      <c r="BL863" s="551"/>
      <c r="BM863" s="551"/>
      <c r="BN863" s="551"/>
      <c r="BO863" s="551"/>
      <c r="BP863" s="551"/>
      <c r="BQ863" s="551"/>
      <c r="BR863" s="551"/>
      <c r="BS863" s="551"/>
      <c r="BT863" s="551"/>
      <c r="BU863" s="551"/>
      <c r="BV863" s="551"/>
      <c r="BW863" s="551"/>
      <c r="BX863" s="551"/>
      <c r="BY863" s="551"/>
      <c r="BZ863" s="551"/>
      <c r="CA863" s="551"/>
      <c r="CB863" s="551"/>
      <c r="CC863" s="551"/>
      <c r="CD863" s="551"/>
      <c r="CE863" s="551"/>
      <c r="CF863" s="551"/>
      <c r="CG863" s="551"/>
      <c r="CH863" s="650"/>
      <c r="CI863" s="650"/>
      <c r="CJ863" s="650"/>
      <c r="CK863" s="650"/>
      <c r="CL863" s="650"/>
      <c r="CM863" s="551"/>
      <c r="CN863" s="551"/>
      <c r="CO863" s="551"/>
      <c r="CP863" s="650"/>
      <c r="CQ863" s="650"/>
      <c r="CR863" s="650"/>
      <c r="CS863" s="650"/>
      <c r="CT863" s="650"/>
      <c r="CU863" s="650"/>
    </row>
    <row r="864" s="1265" customFormat="1" ht="31" customHeight="1" spans="1:99">
      <c r="A864" s="641">
        <v>46044</v>
      </c>
      <c r="B864" s="642" t="s">
        <v>1922</v>
      </c>
      <c r="C864" s="246" t="s">
        <v>302</v>
      </c>
      <c r="D864" s="551">
        <v>4500191865</v>
      </c>
      <c r="E864" s="246" t="s">
        <v>3281</v>
      </c>
      <c r="F864" s="551" t="s">
        <v>3292</v>
      </c>
      <c r="G864" s="659" t="s">
        <v>68</v>
      </c>
      <c r="H864" s="633" t="s">
        <v>69</v>
      </c>
      <c r="I864" s="706">
        <v>1008</v>
      </c>
      <c r="J864" s="246">
        <v>0</v>
      </c>
      <c r="K864" s="246">
        <v>12</v>
      </c>
      <c r="L864" s="644">
        <f t="shared" si="286"/>
        <v>84</v>
      </c>
      <c r="M864" s="645">
        <v>46106</v>
      </c>
      <c r="N864" s="645">
        <v>46102</v>
      </c>
      <c r="O864" s="643"/>
      <c r="P864" s="824" t="s">
        <v>113</v>
      </c>
      <c r="Q864" s="646"/>
      <c r="R864" s="646" t="s">
        <v>463</v>
      </c>
      <c r="S864" s="646" t="s">
        <v>104</v>
      </c>
      <c r="T864" s="646" t="s">
        <v>3279</v>
      </c>
      <c r="U864" s="646"/>
      <c r="V864" s="646"/>
      <c r="W864" s="642"/>
      <c r="X864" s="642" t="s">
        <v>3293</v>
      </c>
      <c r="Y864" s="647" t="s">
        <v>428</v>
      </c>
      <c r="Z864" s="642">
        <v>4.1623</v>
      </c>
      <c r="AA864" s="647">
        <f t="shared" si="287"/>
        <v>4195.5984</v>
      </c>
      <c r="AB864" s="551"/>
      <c r="AC864" s="648"/>
      <c r="AD864" s="633" t="s">
        <v>184</v>
      </c>
      <c r="AE864" s="246" t="s">
        <v>82</v>
      </c>
      <c r="AF864" s="246"/>
      <c r="AG864" s="246"/>
      <c r="AH864" s="246">
        <v>1</v>
      </c>
      <c r="AI864" s="246">
        <f>996+12</f>
        <v>1008</v>
      </c>
      <c r="AJ864" s="643">
        <f t="shared" si="288"/>
        <v>0</v>
      </c>
      <c r="AK864" s="246"/>
      <c r="AL864" s="246" t="s">
        <v>2368</v>
      </c>
      <c r="AM864" s="551"/>
      <c r="AN864" s="551">
        <f t="shared" si="289"/>
        <v>1008</v>
      </c>
      <c r="AO864" s="551"/>
      <c r="AP864" s="551"/>
      <c r="AQ864" s="551"/>
      <c r="AR864" s="551"/>
      <c r="AS864" s="551">
        <f t="shared" si="291"/>
        <v>1008</v>
      </c>
      <c r="AT864" s="551"/>
      <c r="AU864" s="551">
        <f t="shared" si="290"/>
        <v>1008</v>
      </c>
      <c r="AV864" s="551"/>
      <c r="AW864" s="551">
        <f t="shared" si="285"/>
        <v>1008</v>
      </c>
      <c r="AX864" s="651"/>
      <c r="AY864" s="551"/>
      <c r="AZ864" s="551"/>
      <c r="BA864" s="551"/>
      <c r="BB864" s="551"/>
      <c r="BC864" s="551"/>
      <c r="BD864" s="551"/>
      <c r="BE864" s="551"/>
      <c r="BF864" s="551"/>
      <c r="BG864" s="551"/>
      <c r="BH864" s="551"/>
      <c r="BI864" s="551"/>
      <c r="BJ864" s="551"/>
      <c r="BK864" s="551"/>
      <c r="BL864" s="551"/>
      <c r="BM864" s="551"/>
      <c r="BN864" s="551"/>
      <c r="BO864" s="551"/>
      <c r="BP864" s="551"/>
      <c r="BQ864" s="551"/>
      <c r="BR864" s="551"/>
      <c r="BS864" s="551"/>
      <c r="BT864" s="551"/>
      <c r="BU864" s="551"/>
      <c r="BV864" s="551"/>
      <c r="BW864" s="551"/>
      <c r="BX864" s="551"/>
      <c r="BY864" s="551"/>
      <c r="BZ864" s="551"/>
      <c r="CA864" s="551"/>
      <c r="CB864" s="551"/>
      <c r="CC864" s="551"/>
      <c r="CD864" s="551"/>
      <c r="CE864" s="551"/>
      <c r="CF864" s="551"/>
      <c r="CG864" s="551"/>
      <c r="CH864" s="650"/>
      <c r="CI864" s="650"/>
      <c r="CJ864" s="650"/>
      <c r="CK864" s="650"/>
      <c r="CL864" s="650"/>
      <c r="CM864" s="551"/>
      <c r="CN864" s="551"/>
      <c r="CO864" s="551"/>
      <c r="CP864" s="650"/>
      <c r="CQ864" s="650"/>
      <c r="CR864" s="650"/>
      <c r="CS864" s="650"/>
      <c r="CT864" s="650"/>
      <c r="CU864" s="650"/>
    </row>
    <row r="865" s="1265" customFormat="1" ht="31" customHeight="1" spans="1:99">
      <c r="A865" s="641">
        <v>46050</v>
      </c>
      <c r="B865" s="642" t="s">
        <v>2540</v>
      </c>
      <c r="C865" s="693" t="s">
        <v>98</v>
      </c>
      <c r="D865" s="551">
        <v>4500192425</v>
      </c>
      <c r="E865" s="246" t="s">
        <v>3294</v>
      </c>
      <c r="F865" s="551" t="s">
        <v>3295</v>
      </c>
      <c r="G865" s="659" t="s">
        <v>68</v>
      </c>
      <c r="H865" s="633" t="s">
        <v>69</v>
      </c>
      <c r="I865" s="706">
        <v>720</v>
      </c>
      <c r="J865" s="246">
        <v>0</v>
      </c>
      <c r="K865" s="246">
        <v>12</v>
      </c>
      <c r="L865" s="644">
        <f t="shared" si="286"/>
        <v>60</v>
      </c>
      <c r="M865" s="645">
        <v>46106</v>
      </c>
      <c r="N865" s="645">
        <v>46102</v>
      </c>
      <c r="O865" s="643"/>
      <c r="P865" s="824" t="s">
        <v>113</v>
      </c>
      <c r="Q865" s="646"/>
      <c r="R865" s="646" t="s">
        <v>454</v>
      </c>
      <c r="S865" s="646" t="s">
        <v>70</v>
      </c>
      <c r="T865" s="646" t="s">
        <v>70</v>
      </c>
      <c r="U865" s="646"/>
      <c r="V865" s="646"/>
      <c r="W865" s="642"/>
      <c r="X865" s="642" t="s">
        <v>3296</v>
      </c>
      <c r="Y865" s="647" t="s">
        <v>270</v>
      </c>
      <c r="Z865" s="655">
        <v>2.4974</v>
      </c>
      <c r="AA865" s="647">
        <f t="shared" si="287"/>
        <v>1798.128</v>
      </c>
      <c r="AB865" s="551"/>
      <c r="AC865" s="658" t="s">
        <v>3297</v>
      </c>
      <c r="AD865" s="633" t="s">
        <v>68</v>
      </c>
      <c r="AE865" s="246" t="s">
        <v>82</v>
      </c>
      <c r="AF865" s="246"/>
      <c r="AG865" s="246"/>
      <c r="AH865" s="246" t="s">
        <v>126</v>
      </c>
      <c r="AI865" s="246">
        <v>720</v>
      </c>
      <c r="AJ865" s="643">
        <f t="shared" si="288"/>
        <v>0</v>
      </c>
      <c r="AK865" s="246"/>
      <c r="AL865" s="246"/>
      <c r="AM865" s="551"/>
      <c r="AN865" s="551">
        <f t="shared" si="289"/>
        <v>720</v>
      </c>
      <c r="AO865" s="551"/>
      <c r="AP865" s="551"/>
      <c r="AQ865" s="551"/>
      <c r="AR865" s="551">
        <f>I865</f>
        <v>720</v>
      </c>
      <c r="AS865" s="551"/>
      <c r="AT865" s="551"/>
      <c r="AU865" s="551">
        <f t="shared" si="290"/>
        <v>720</v>
      </c>
      <c r="AV865" s="551"/>
      <c r="AW865" s="551">
        <f t="shared" si="285"/>
        <v>720</v>
      </c>
      <c r="AX865" s="651"/>
      <c r="AY865" s="551"/>
      <c r="AZ865" s="551"/>
      <c r="BA865" s="551"/>
      <c r="BB865" s="551"/>
      <c r="BC865" s="551"/>
      <c r="BD865" s="551"/>
      <c r="BE865" s="551"/>
      <c r="BF865" s="551"/>
      <c r="BG865" s="551"/>
      <c r="BH865" s="551"/>
      <c r="BI865" s="551"/>
      <c r="BJ865" s="551"/>
      <c r="BK865" s="551"/>
      <c r="BL865" s="551"/>
      <c r="BM865" s="551"/>
      <c r="BN865" s="551"/>
      <c r="BO865" s="551"/>
      <c r="BP865" s="551"/>
      <c r="BQ865" s="551"/>
      <c r="BR865" s="551"/>
      <c r="BS865" s="551"/>
      <c r="BT865" s="551"/>
      <c r="BU865" s="551"/>
      <c r="BV865" s="551"/>
      <c r="BW865" s="551"/>
      <c r="BX865" s="551"/>
      <c r="BY865" s="551"/>
      <c r="BZ865" s="551"/>
      <c r="CA865" s="551"/>
      <c r="CB865" s="551"/>
      <c r="CC865" s="551"/>
      <c r="CD865" s="551"/>
      <c r="CE865" s="551"/>
      <c r="CF865" s="551"/>
      <c r="CG865" s="551"/>
      <c r="CH865" s="650"/>
      <c r="CI865" s="650"/>
      <c r="CJ865" s="650"/>
      <c r="CK865" s="650"/>
      <c r="CL865" s="650"/>
      <c r="CM865" s="551"/>
      <c r="CN865" s="551"/>
      <c r="CO865" s="551"/>
      <c r="CP865" s="650"/>
      <c r="CQ865" s="650"/>
      <c r="CR865" s="650"/>
      <c r="CS865" s="650"/>
      <c r="CT865" s="650"/>
      <c r="CU865" s="650"/>
    </row>
    <row r="866" s="1265" customFormat="1" ht="31" customHeight="1" spans="1:99">
      <c r="A866" s="641">
        <v>46051</v>
      </c>
      <c r="B866" s="642" t="s">
        <v>1800</v>
      </c>
      <c r="C866" s="246" t="s">
        <v>744</v>
      </c>
      <c r="D866" s="710">
        <v>4500192252</v>
      </c>
      <c r="E866" s="246">
        <v>5000002110</v>
      </c>
      <c r="F866" s="246" t="s">
        <v>3298</v>
      </c>
      <c r="G866" s="659" t="s">
        <v>518</v>
      </c>
      <c r="H866" s="246" t="s">
        <v>477</v>
      </c>
      <c r="I866" s="706">
        <v>5004</v>
      </c>
      <c r="J866" s="246">
        <v>0</v>
      </c>
      <c r="K866" s="246">
        <v>6</v>
      </c>
      <c r="L866" s="644">
        <f t="shared" si="286"/>
        <v>834</v>
      </c>
      <c r="M866" s="645">
        <v>46106</v>
      </c>
      <c r="N866" s="645">
        <v>46102</v>
      </c>
      <c r="O866" s="643"/>
      <c r="P866" s="824" t="s">
        <v>113</v>
      </c>
      <c r="Q866" s="646"/>
      <c r="R866" s="646" t="s">
        <v>3299</v>
      </c>
      <c r="S866" s="646" t="s">
        <v>104</v>
      </c>
      <c r="T866" s="646" t="s">
        <v>3028</v>
      </c>
      <c r="U866" s="646"/>
      <c r="V866" s="646"/>
      <c r="W866" s="642"/>
      <c r="X866" s="642" t="s">
        <v>3300</v>
      </c>
      <c r="Y866" s="647" t="s">
        <v>1805</v>
      </c>
      <c r="Z866" s="655">
        <v>6.4585</v>
      </c>
      <c r="AA866" s="647">
        <f t="shared" si="287"/>
        <v>32318.334</v>
      </c>
      <c r="AB866" s="551"/>
      <c r="AC866" s="648"/>
      <c r="AD866" s="633" t="s">
        <v>2241</v>
      </c>
      <c r="AE866" s="246" t="s">
        <v>82</v>
      </c>
      <c r="AF866" s="246"/>
      <c r="AG866" s="246"/>
      <c r="AH866" s="246" t="s">
        <v>126</v>
      </c>
      <c r="AI866" s="246"/>
      <c r="AJ866" s="246">
        <f t="shared" si="288"/>
        <v>-5004</v>
      </c>
      <c r="AK866" s="246"/>
      <c r="AL866" s="246" t="s">
        <v>2368</v>
      </c>
      <c r="AM866" s="551"/>
      <c r="AN866" s="551">
        <f t="shared" si="289"/>
        <v>5004</v>
      </c>
      <c r="AO866" s="551"/>
      <c r="AP866" s="551"/>
      <c r="AQ866" s="551"/>
      <c r="AR866" s="551">
        <f>I866</f>
        <v>5004</v>
      </c>
      <c r="AS866" s="551"/>
      <c r="AT866" s="551"/>
      <c r="AU866" s="551"/>
      <c r="AV866" s="551">
        <f>I866</f>
        <v>5004</v>
      </c>
      <c r="AW866" s="551"/>
      <c r="AX866" s="651">
        <f>I866</f>
        <v>5004</v>
      </c>
      <c r="AY866" s="551"/>
      <c r="AZ866" s="551"/>
      <c r="BA866" s="551"/>
      <c r="BB866" s="551"/>
      <c r="BC866" s="551"/>
      <c r="BD866" s="551"/>
      <c r="BE866" s="551"/>
      <c r="BF866" s="551"/>
      <c r="BG866" s="551"/>
      <c r="BH866" s="551"/>
      <c r="BI866" s="551"/>
      <c r="BJ866" s="551"/>
      <c r="BK866" s="551"/>
      <c r="BL866" s="551"/>
      <c r="BM866" s="551"/>
      <c r="BN866" s="551">
        <f>I866</f>
        <v>5004</v>
      </c>
      <c r="BO866" s="551"/>
      <c r="BP866" s="551"/>
      <c r="BQ866" s="551"/>
      <c r="BR866" s="551"/>
      <c r="BS866" s="551"/>
      <c r="BT866" s="551"/>
      <c r="BU866" s="551"/>
      <c r="BV866" s="551"/>
      <c r="BW866" s="551"/>
      <c r="BX866" s="551"/>
      <c r="BY866" s="551"/>
      <c r="BZ866" s="551"/>
      <c r="CA866" s="551"/>
      <c r="CB866" s="551"/>
      <c r="CC866" s="551"/>
      <c r="CD866" s="551"/>
      <c r="CE866" s="551"/>
      <c r="CF866" s="551"/>
      <c r="CG866" s="551"/>
      <c r="CH866" s="650"/>
      <c r="CI866" s="650"/>
      <c r="CJ866" s="650"/>
      <c r="CK866" s="650"/>
      <c r="CL866" s="650"/>
      <c r="CM866" s="551"/>
      <c r="CN866" s="551"/>
      <c r="CO866" s="551"/>
      <c r="CP866" s="650"/>
      <c r="CQ866" s="650"/>
      <c r="CR866" s="650"/>
      <c r="CS866" s="650"/>
      <c r="CT866" s="650"/>
      <c r="CU866" s="650"/>
    </row>
    <row r="867" s="1265" customFormat="1" ht="31" customHeight="1" spans="1:99">
      <c r="A867" s="641">
        <v>46051</v>
      </c>
      <c r="B867" s="642" t="s">
        <v>1971</v>
      </c>
      <c r="C867" s="246" t="s">
        <v>810</v>
      </c>
      <c r="D867" s="551">
        <v>4500192550</v>
      </c>
      <c r="E867" s="1331" t="s">
        <v>3301</v>
      </c>
      <c r="F867" s="246" t="s">
        <v>3302</v>
      </c>
      <c r="G867" s="659" t="s">
        <v>111</v>
      </c>
      <c r="H867" s="246" t="s">
        <v>112</v>
      </c>
      <c r="I867" s="706">
        <v>640</v>
      </c>
      <c r="J867" s="246">
        <v>0</v>
      </c>
      <c r="K867" s="246">
        <v>16</v>
      </c>
      <c r="L867" s="644">
        <f t="shared" si="286"/>
        <v>40</v>
      </c>
      <c r="M867" s="645">
        <v>46106</v>
      </c>
      <c r="N867" s="645">
        <v>46102</v>
      </c>
      <c r="O867" s="643"/>
      <c r="P867" s="824" t="s">
        <v>113</v>
      </c>
      <c r="Q867" s="646"/>
      <c r="R867" s="646">
        <v>46051</v>
      </c>
      <c r="S867" s="646" t="s">
        <v>70</v>
      </c>
      <c r="T867" s="646" t="s">
        <v>3303</v>
      </c>
      <c r="U867" s="646"/>
      <c r="V867" s="646"/>
      <c r="W867" s="642"/>
      <c r="X867" s="642" t="s">
        <v>3304</v>
      </c>
      <c r="Y867" s="647" t="s">
        <v>230</v>
      </c>
      <c r="Z867" s="657">
        <v>4.3451</v>
      </c>
      <c r="AA867" s="647">
        <f t="shared" si="287"/>
        <v>2780.864</v>
      </c>
      <c r="AB867" s="551"/>
      <c r="AC867" s="648"/>
      <c r="AD867" s="633" t="s">
        <v>111</v>
      </c>
      <c r="AE867" s="246" t="s">
        <v>82</v>
      </c>
      <c r="AF867" s="246"/>
      <c r="AG867" s="246"/>
      <c r="AH867" s="246" t="s">
        <v>126</v>
      </c>
      <c r="AI867" s="246">
        <v>640</v>
      </c>
      <c r="AJ867" s="643">
        <f t="shared" si="288"/>
        <v>0</v>
      </c>
      <c r="AK867" s="246"/>
      <c r="AL867" s="246" t="s">
        <v>2368</v>
      </c>
      <c r="AM867" s="551"/>
      <c r="AN867" s="551">
        <f t="shared" si="289"/>
        <v>640</v>
      </c>
      <c r="AO867" s="551"/>
      <c r="AP867" s="551"/>
      <c r="AQ867" s="551"/>
      <c r="AR867" s="551">
        <f>I867</f>
        <v>640</v>
      </c>
      <c r="AS867" s="551"/>
      <c r="AT867" s="551"/>
      <c r="AU867" s="551">
        <f>I867</f>
        <v>640</v>
      </c>
      <c r="AV867" s="551"/>
      <c r="AW867" s="551">
        <f>I867</f>
        <v>640</v>
      </c>
      <c r="AX867" s="651"/>
      <c r="AY867" s="551"/>
      <c r="AZ867" s="551"/>
      <c r="BA867" s="551"/>
      <c r="BB867" s="551"/>
      <c r="BC867" s="551"/>
      <c r="BD867" s="551"/>
      <c r="BE867" s="551"/>
      <c r="BF867" s="551"/>
      <c r="BG867" s="551"/>
      <c r="BH867" s="825">
        <f>I867/4</f>
        <v>160</v>
      </c>
      <c r="BI867" s="551"/>
      <c r="BJ867" s="551"/>
      <c r="BK867" s="551"/>
      <c r="BL867" s="551"/>
      <c r="BM867" s="551"/>
      <c r="BN867" s="551"/>
      <c r="BO867" s="551"/>
      <c r="BP867" s="551"/>
      <c r="BQ867" s="551"/>
      <c r="BR867" s="551"/>
      <c r="BS867" s="551"/>
      <c r="BT867" s="551"/>
      <c r="BU867" s="551"/>
      <c r="BV867" s="551"/>
      <c r="BW867" s="551"/>
      <c r="BX867" s="551"/>
      <c r="BY867" s="551"/>
      <c r="BZ867" s="551"/>
      <c r="CA867" s="551"/>
      <c r="CB867" s="551"/>
      <c r="CC867" s="551"/>
      <c r="CD867" s="551"/>
      <c r="CE867" s="551"/>
      <c r="CF867" s="551"/>
      <c r="CG867" s="551"/>
      <c r="CH867" s="650"/>
      <c r="CI867" s="650"/>
      <c r="CJ867" s="650"/>
      <c r="CK867" s="650"/>
      <c r="CL867" s="650"/>
      <c r="CM867" s="551"/>
      <c r="CN867" s="551"/>
      <c r="CO867" s="551"/>
      <c r="CP867" s="650"/>
      <c r="CQ867" s="650"/>
      <c r="CR867" s="650"/>
      <c r="CS867" s="650"/>
      <c r="CT867" s="650"/>
      <c r="CU867" s="650"/>
    </row>
    <row r="868" s="1265" customFormat="1" ht="31" customHeight="1" spans="1:99">
      <c r="A868" s="641">
        <v>46049</v>
      </c>
      <c r="B868" s="642" t="s">
        <v>211</v>
      </c>
      <c r="C868" s="246" t="s">
        <v>212</v>
      </c>
      <c r="D868" s="551">
        <v>4500192388</v>
      </c>
      <c r="E868" s="246" t="s">
        <v>3305</v>
      </c>
      <c r="F868" s="246" t="s">
        <v>3306</v>
      </c>
      <c r="G868" s="659" t="s">
        <v>518</v>
      </c>
      <c r="H868" s="246" t="s">
        <v>477</v>
      </c>
      <c r="I868" s="706">
        <v>480</v>
      </c>
      <c r="J868" s="246">
        <v>0</v>
      </c>
      <c r="K868" s="246">
        <v>6</v>
      </c>
      <c r="L868" s="644">
        <f t="shared" si="286"/>
        <v>80</v>
      </c>
      <c r="M868" s="645">
        <v>46106</v>
      </c>
      <c r="N868" s="645">
        <v>46102</v>
      </c>
      <c r="O868" s="643"/>
      <c r="P868" s="824" t="s">
        <v>113</v>
      </c>
      <c r="Q868" s="646"/>
      <c r="R868" s="646">
        <v>46049</v>
      </c>
      <c r="S868" s="646" t="s">
        <v>70</v>
      </c>
      <c r="T868" s="646" t="s">
        <v>3307</v>
      </c>
      <c r="U868" s="646"/>
      <c r="V868" s="646"/>
      <c r="W868" s="642"/>
      <c r="X868" s="642" t="s">
        <v>3308</v>
      </c>
      <c r="Y868" s="647" t="s">
        <v>1793</v>
      </c>
      <c r="Z868" s="655">
        <v>7.0456</v>
      </c>
      <c r="AA868" s="647">
        <f t="shared" si="287"/>
        <v>3381.888</v>
      </c>
      <c r="AB868" s="551"/>
      <c r="AC868" s="648"/>
      <c r="AD868" s="633" t="s">
        <v>1306</v>
      </c>
      <c r="AE868" s="246" t="s">
        <v>82</v>
      </c>
      <c r="AF868" s="246"/>
      <c r="AG868" s="246"/>
      <c r="AH868" s="246">
        <v>1</v>
      </c>
      <c r="AI868" s="246"/>
      <c r="AJ868" s="246">
        <f t="shared" si="288"/>
        <v>-480</v>
      </c>
      <c r="AK868" s="246"/>
      <c r="AL868" s="246" t="s">
        <v>2368</v>
      </c>
      <c r="AM868" s="551"/>
      <c r="AN868" s="551">
        <f t="shared" si="289"/>
        <v>480</v>
      </c>
      <c r="AO868" s="551"/>
      <c r="AP868" s="551"/>
      <c r="AQ868" s="551"/>
      <c r="AR868" s="551">
        <f>I868</f>
        <v>480</v>
      </c>
      <c r="AS868" s="551"/>
      <c r="AT868" s="551"/>
      <c r="AU868" s="551">
        <f>I868</f>
        <v>480</v>
      </c>
      <c r="AV868" s="551"/>
      <c r="AW868" s="551">
        <f>I868</f>
        <v>480</v>
      </c>
      <c r="AX868" s="651"/>
      <c r="AY868" s="551"/>
      <c r="AZ868" s="551"/>
      <c r="BA868" s="551"/>
      <c r="BB868" s="551"/>
      <c r="BC868" s="551"/>
      <c r="BD868" s="551"/>
      <c r="BE868" s="551"/>
      <c r="BF868" s="551"/>
      <c r="BG868" s="551"/>
      <c r="BH868" s="551"/>
      <c r="BI868" s="551"/>
      <c r="BJ868" s="551"/>
      <c r="BK868" s="551"/>
      <c r="BL868" s="551"/>
      <c r="BM868" s="551"/>
      <c r="BN868" s="551">
        <f>I868</f>
        <v>480</v>
      </c>
      <c r="BO868" s="551"/>
      <c r="BP868" s="551"/>
      <c r="BQ868" s="551"/>
      <c r="BR868" s="551"/>
      <c r="BS868" s="551"/>
      <c r="BT868" s="551"/>
      <c r="BU868" s="551"/>
      <c r="BV868" s="551"/>
      <c r="BW868" s="551"/>
      <c r="BX868" s="551"/>
      <c r="BY868" s="551"/>
      <c r="BZ868" s="551"/>
      <c r="CA868" s="551"/>
      <c r="CB868" s="551"/>
      <c r="CC868" s="551"/>
      <c r="CD868" s="551"/>
      <c r="CE868" s="551"/>
      <c r="CF868" s="551"/>
      <c r="CG868" s="551"/>
      <c r="CH868" s="650"/>
      <c r="CI868" s="650"/>
      <c r="CJ868" s="650"/>
      <c r="CK868" s="650"/>
      <c r="CL868" s="650"/>
      <c r="CM868" s="551"/>
      <c r="CN868" s="551"/>
      <c r="CO868" s="551"/>
      <c r="CP868" s="650"/>
      <c r="CQ868" s="650"/>
      <c r="CR868" s="650"/>
      <c r="CS868" s="650"/>
      <c r="CT868" s="650"/>
      <c r="CU868" s="650"/>
    </row>
    <row r="869" s="1265" customFormat="1" ht="31" customHeight="1" spans="1:99">
      <c r="A869" s="641">
        <v>46387</v>
      </c>
      <c r="B869" s="642" t="s">
        <v>325</v>
      </c>
      <c r="C869" s="246" t="s">
        <v>98</v>
      </c>
      <c r="D869" s="551">
        <v>4500190516</v>
      </c>
      <c r="E869" s="246" t="s">
        <v>3309</v>
      </c>
      <c r="F869" s="551" t="s">
        <v>3310</v>
      </c>
      <c r="G869" s="659" t="s">
        <v>249</v>
      </c>
      <c r="H869" s="246" t="s">
        <v>250</v>
      </c>
      <c r="I869" s="706">
        <v>17000</v>
      </c>
      <c r="J869" s="246">
        <v>0</v>
      </c>
      <c r="K869" s="246">
        <v>4</v>
      </c>
      <c r="L869" s="644">
        <f t="shared" si="286"/>
        <v>4250</v>
      </c>
      <c r="M869" s="645">
        <v>46107</v>
      </c>
      <c r="N869" s="645">
        <v>46104</v>
      </c>
      <c r="O869" s="643"/>
      <c r="P869" s="824" t="s">
        <v>113</v>
      </c>
      <c r="Q869" s="646"/>
      <c r="R869" s="646">
        <v>46044</v>
      </c>
      <c r="S869" s="646" t="s">
        <v>104</v>
      </c>
      <c r="T869" s="646" t="s">
        <v>3215</v>
      </c>
      <c r="U869" s="646"/>
      <c r="V869" s="646"/>
      <c r="W869" s="642"/>
      <c r="X869" s="642" t="s">
        <v>2770</v>
      </c>
      <c r="Y869" s="647" t="s">
        <v>252</v>
      </c>
      <c r="Z869" s="657">
        <v>2.7832</v>
      </c>
      <c r="AA869" s="647">
        <f t="shared" si="287"/>
        <v>47314.4</v>
      </c>
      <c r="AB869" s="551"/>
      <c r="AC869" s="658" t="s">
        <v>3311</v>
      </c>
      <c r="AD869" s="633" t="s">
        <v>249</v>
      </c>
      <c r="AE869" s="246" t="s">
        <v>82</v>
      </c>
      <c r="AF869" s="246"/>
      <c r="AG869" s="246"/>
      <c r="AH869" s="551">
        <v>1</v>
      </c>
      <c r="AI869" s="246">
        <f>12600+4400</f>
        <v>17000</v>
      </c>
      <c r="AJ869" s="246">
        <f t="shared" si="288"/>
        <v>0</v>
      </c>
      <c r="AK869" s="246"/>
      <c r="AL869" s="246" t="s">
        <v>2368</v>
      </c>
      <c r="AM869" s="551"/>
      <c r="AN869" s="551"/>
      <c r="AO869" s="551"/>
      <c r="AP869" s="551">
        <f>I869</f>
        <v>17000</v>
      </c>
      <c r="AQ869" s="551"/>
      <c r="AR869" s="551"/>
      <c r="AS869" s="551"/>
      <c r="AT869" s="551"/>
      <c r="AU869" s="551"/>
      <c r="AV869" s="551"/>
      <c r="AW869" s="551">
        <f>I869</f>
        <v>17000</v>
      </c>
      <c r="AX869" s="651"/>
      <c r="AY869" s="551"/>
      <c r="AZ869" s="551"/>
      <c r="BA869" s="551"/>
      <c r="BB869" s="551"/>
      <c r="BC869" s="551"/>
      <c r="BD869" s="551"/>
      <c r="BE869" s="551"/>
      <c r="BF869" s="551">
        <f>I869</f>
        <v>17000</v>
      </c>
      <c r="BG869" s="551">
        <f>I869</f>
        <v>17000</v>
      </c>
      <c r="BH869" s="825">
        <f>I869/4</f>
        <v>4250</v>
      </c>
      <c r="BI869" s="551"/>
      <c r="BJ869" s="551"/>
      <c r="BK869" s="551"/>
      <c r="BL869" s="551"/>
      <c r="BM869" s="551"/>
      <c r="BN869" s="551"/>
      <c r="BO869" s="551"/>
      <c r="BP869" s="551"/>
      <c r="BQ869" s="551"/>
      <c r="BR869" s="551"/>
      <c r="BS869" s="551"/>
      <c r="BT869" s="551"/>
      <c r="BU869" s="551"/>
      <c r="BV869" s="551"/>
      <c r="BW869" s="551"/>
      <c r="BX869" s="551"/>
      <c r="BY869" s="551"/>
      <c r="BZ869" s="551"/>
      <c r="CA869" s="551"/>
      <c r="CB869" s="551"/>
      <c r="CC869" s="551"/>
      <c r="CD869" s="551"/>
      <c r="CE869" s="551"/>
      <c r="CF869" s="551"/>
      <c r="CG869" s="551"/>
      <c r="CH869" s="650"/>
      <c r="CI869" s="650"/>
      <c r="CJ869" s="650"/>
      <c r="CK869" s="650"/>
      <c r="CL869" s="650"/>
      <c r="CM869" s="551"/>
      <c r="CN869" s="551"/>
      <c r="CO869" s="551"/>
      <c r="CP869" s="650"/>
      <c r="CQ869" s="650"/>
      <c r="CR869" s="650"/>
      <c r="CS869" s="650"/>
      <c r="CT869" s="650"/>
      <c r="CU869" s="650"/>
    </row>
    <row r="870" s="1265" customFormat="1" ht="31" customHeight="1" spans="1:99">
      <c r="A870" s="641">
        <v>46049</v>
      </c>
      <c r="B870" s="642" t="s">
        <v>135</v>
      </c>
      <c r="C870" s="693" t="s">
        <v>128</v>
      </c>
      <c r="D870" s="551">
        <v>4500192220</v>
      </c>
      <c r="E870" s="246">
        <v>21528174</v>
      </c>
      <c r="F870" s="551" t="s">
        <v>3312</v>
      </c>
      <c r="G870" s="659" t="s">
        <v>518</v>
      </c>
      <c r="H870" s="246" t="s">
        <v>477</v>
      </c>
      <c r="I870" s="706">
        <v>4548</v>
      </c>
      <c r="J870" s="246">
        <v>0</v>
      </c>
      <c r="K870" s="246">
        <v>6</v>
      </c>
      <c r="L870" s="644">
        <f t="shared" si="286"/>
        <v>758</v>
      </c>
      <c r="M870" s="645">
        <v>46107</v>
      </c>
      <c r="N870" s="645">
        <v>46104</v>
      </c>
      <c r="O870" s="643"/>
      <c r="P870" s="824" t="s">
        <v>113</v>
      </c>
      <c r="Q870" s="646"/>
      <c r="R870" s="646" t="s">
        <v>454</v>
      </c>
      <c r="S870" s="646" t="s">
        <v>104</v>
      </c>
      <c r="T870" s="646" t="s">
        <v>454</v>
      </c>
      <c r="U870" s="646"/>
      <c r="V870" s="646"/>
      <c r="W870" s="642"/>
      <c r="X870" s="642" t="s">
        <v>3313</v>
      </c>
      <c r="Y870" s="647" t="s">
        <v>3206</v>
      </c>
      <c r="Z870" s="655">
        <v>6.8865</v>
      </c>
      <c r="AA870" s="647">
        <f t="shared" si="287"/>
        <v>31319.802</v>
      </c>
      <c r="AB870" s="551"/>
      <c r="AC870" s="648"/>
      <c r="AD870" s="633" t="s">
        <v>1306</v>
      </c>
      <c r="AE870" s="246" t="s">
        <v>82</v>
      </c>
      <c r="AF870" s="246"/>
      <c r="AG870" s="246"/>
      <c r="AH870" s="246" t="s">
        <v>126</v>
      </c>
      <c r="AI870" s="246">
        <f>2340</f>
        <v>2340</v>
      </c>
      <c r="AJ870" s="246">
        <f t="shared" si="288"/>
        <v>-2208</v>
      </c>
      <c r="AK870" s="246"/>
      <c r="AL870" s="246"/>
      <c r="AM870" s="551"/>
      <c r="AN870" s="551">
        <f t="shared" ref="AN870:AN876" si="292">I870</f>
        <v>4548</v>
      </c>
      <c r="AO870" s="551"/>
      <c r="AP870" s="551"/>
      <c r="AQ870" s="551"/>
      <c r="AR870" s="551">
        <f>I870</f>
        <v>4548</v>
      </c>
      <c r="AS870" s="551"/>
      <c r="AT870" s="551"/>
      <c r="AU870" s="551">
        <f t="shared" ref="AU870:AU876" si="293">I870</f>
        <v>4548</v>
      </c>
      <c r="AV870" s="551"/>
      <c r="AW870" s="551">
        <f>I870</f>
        <v>4548</v>
      </c>
      <c r="AX870" s="651"/>
      <c r="AY870" s="551"/>
      <c r="AZ870" s="551"/>
      <c r="BA870" s="551"/>
      <c r="BB870" s="551"/>
      <c r="BC870" s="551"/>
      <c r="BD870" s="551"/>
      <c r="BE870" s="551"/>
      <c r="BF870" s="551"/>
      <c r="BG870" s="551"/>
      <c r="BH870" s="551"/>
      <c r="BI870" s="551"/>
      <c r="BJ870" s="551"/>
      <c r="BK870" s="551"/>
      <c r="BL870" s="551"/>
      <c r="BM870" s="551"/>
      <c r="BN870" s="551">
        <f>I870</f>
        <v>4548</v>
      </c>
      <c r="BO870" s="551"/>
      <c r="BP870" s="551"/>
      <c r="BQ870" s="551"/>
      <c r="BR870" s="551"/>
      <c r="BS870" s="551"/>
      <c r="BT870" s="551"/>
      <c r="BU870" s="551"/>
      <c r="BV870" s="551"/>
      <c r="BW870" s="551"/>
      <c r="BX870" s="551"/>
      <c r="BY870" s="551"/>
      <c r="BZ870" s="551"/>
      <c r="CA870" s="551"/>
      <c r="CB870" s="551"/>
      <c r="CC870" s="551"/>
      <c r="CD870" s="551"/>
      <c r="CE870" s="551"/>
      <c r="CF870" s="551"/>
      <c r="CG870" s="551"/>
      <c r="CH870" s="650"/>
      <c r="CI870" s="650"/>
      <c r="CJ870" s="650"/>
      <c r="CK870" s="650"/>
      <c r="CL870" s="650"/>
      <c r="CM870" s="551"/>
      <c r="CN870" s="551"/>
      <c r="CO870" s="551"/>
      <c r="CP870" s="650"/>
      <c r="CQ870" s="650"/>
      <c r="CR870" s="650"/>
      <c r="CS870" s="650"/>
      <c r="CT870" s="650"/>
      <c r="CU870" s="650"/>
    </row>
    <row r="871" s="1265" customFormat="1" ht="31" customHeight="1" spans="1:99">
      <c r="A871" s="641">
        <v>46049</v>
      </c>
      <c r="B871" s="642" t="s">
        <v>139</v>
      </c>
      <c r="C871" s="693" t="s">
        <v>76</v>
      </c>
      <c r="D871" s="551">
        <v>4500192221</v>
      </c>
      <c r="E871" s="246">
        <v>21528177</v>
      </c>
      <c r="F871" s="551" t="s">
        <v>3314</v>
      </c>
      <c r="G871" s="659" t="s">
        <v>518</v>
      </c>
      <c r="H871" s="246" t="s">
        <v>477</v>
      </c>
      <c r="I871" s="706">
        <v>456</v>
      </c>
      <c r="J871" s="246">
        <v>0</v>
      </c>
      <c r="K871" s="246">
        <v>6</v>
      </c>
      <c r="L871" s="644">
        <f t="shared" si="286"/>
        <v>76</v>
      </c>
      <c r="M871" s="645">
        <v>46107</v>
      </c>
      <c r="N871" s="645">
        <v>46104</v>
      </c>
      <c r="O871" s="643"/>
      <c r="P871" s="824" t="s">
        <v>113</v>
      </c>
      <c r="Q871" s="646"/>
      <c r="R871" s="646" t="s">
        <v>454</v>
      </c>
      <c r="S871" s="646" t="s">
        <v>104</v>
      </c>
      <c r="T871" s="646" t="s">
        <v>454</v>
      </c>
      <c r="U871" s="646"/>
      <c r="V871" s="646"/>
      <c r="W871" s="642"/>
      <c r="X871" s="642" t="s">
        <v>3315</v>
      </c>
      <c r="Y871" s="647" t="s">
        <v>3206</v>
      </c>
      <c r="Z871" s="655">
        <v>7.4117</v>
      </c>
      <c r="AA871" s="647">
        <f t="shared" si="287"/>
        <v>3379.7352</v>
      </c>
      <c r="AB871" s="551"/>
      <c r="AC871" s="648"/>
      <c r="AD871" s="633" t="s">
        <v>1306</v>
      </c>
      <c r="AE871" s="246" t="s">
        <v>82</v>
      </c>
      <c r="AF871" s="246"/>
      <c r="AG871" s="246"/>
      <c r="AH871" s="246" t="s">
        <v>126</v>
      </c>
      <c r="AI871" s="246"/>
      <c r="AJ871" s="246">
        <f t="shared" si="288"/>
        <v>-456</v>
      </c>
      <c r="AK871" s="246"/>
      <c r="AL871" s="246"/>
      <c r="AM871" s="551"/>
      <c r="AN871" s="551">
        <f t="shared" si="292"/>
        <v>456</v>
      </c>
      <c r="AO871" s="551"/>
      <c r="AP871" s="551"/>
      <c r="AQ871" s="551"/>
      <c r="AR871" s="551">
        <f>I871</f>
        <v>456</v>
      </c>
      <c r="AS871" s="551"/>
      <c r="AT871" s="551"/>
      <c r="AU871" s="551">
        <f t="shared" si="293"/>
        <v>456</v>
      </c>
      <c r="AV871" s="551"/>
      <c r="AW871" s="551">
        <f>I871</f>
        <v>456</v>
      </c>
      <c r="AX871" s="651"/>
      <c r="AY871" s="551"/>
      <c r="AZ871" s="551"/>
      <c r="BA871" s="551"/>
      <c r="BB871" s="551"/>
      <c r="BC871" s="551"/>
      <c r="BD871" s="551"/>
      <c r="BE871" s="551"/>
      <c r="BF871" s="551"/>
      <c r="BG871" s="551"/>
      <c r="BH871" s="551"/>
      <c r="BI871" s="551"/>
      <c r="BJ871" s="551"/>
      <c r="BK871" s="551"/>
      <c r="BL871" s="551"/>
      <c r="BM871" s="551"/>
      <c r="BN871" s="551">
        <f>I871</f>
        <v>456</v>
      </c>
      <c r="BO871" s="551"/>
      <c r="BP871" s="551"/>
      <c r="BQ871" s="551"/>
      <c r="BR871" s="551"/>
      <c r="BS871" s="551"/>
      <c r="BT871" s="551"/>
      <c r="BU871" s="551"/>
      <c r="BV871" s="551"/>
      <c r="BW871" s="551"/>
      <c r="BX871" s="551"/>
      <c r="BY871" s="551"/>
      <c r="BZ871" s="551"/>
      <c r="CA871" s="551"/>
      <c r="CB871" s="551"/>
      <c r="CC871" s="551"/>
      <c r="CD871" s="551"/>
      <c r="CE871" s="551"/>
      <c r="CF871" s="551"/>
      <c r="CG871" s="551"/>
      <c r="CH871" s="650"/>
      <c r="CI871" s="650"/>
      <c r="CJ871" s="650"/>
      <c r="CK871" s="650"/>
      <c r="CL871" s="650"/>
      <c r="CM871" s="551"/>
      <c r="CN871" s="551"/>
      <c r="CO871" s="551"/>
      <c r="CP871" s="650"/>
      <c r="CQ871" s="650"/>
      <c r="CR871" s="650"/>
      <c r="CS871" s="650"/>
      <c r="CT871" s="650"/>
      <c r="CU871" s="650"/>
    </row>
    <row r="872" s="1265" customFormat="1" ht="31" customHeight="1" spans="1:99">
      <c r="A872" s="641">
        <v>46038</v>
      </c>
      <c r="B872" s="642" t="s">
        <v>580</v>
      </c>
      <c r="C872" s="246" t="s">
        <v>302</v>
      </c>
      <c r="D872" s="551">
        <v>4500191607</v>
      </c>
      <c r="E872" s="246">
        <v>2000009161</v>
      </c>
      <c r="F872" s="551" t="s">
        <v>3316</v>
      </c>
      <c r="G872" s="659" t="s">
        <v>518</v>
      </c>
      <c r="H872" s="246" t="s">
        <v>477</v>
      </c>
      <c r="I872" s="706">
        <v>3690</v>
      </c>
      <c r="J872" s="246">
        <v>0</v>
      </c>
      <c r="K872" s="246">
        <v>6</v>
      </c>
      <c r="L872" s="644">
        <f t="shared" ref="L872:L894" si="294">I872/K872</f>
        <v>615</v>
      </c>
      <c r="M872" s="645">
        <v>46108</v>
      </c>
      <c r="N872" s="645">
        <v>46104</v>
      </c>
      <c r="O872" s="643" t="s">
        <v>3317</v>
      </c>
      <c r="P872" s="824" t="s">
        <v>113</v>
      </c>
      <c r="Q872" s="646"/>
      <c r="R872" s="646" t="s">
        <v>454</v>
      </c>
      <c r="S872" s="646"/>
      <c r="T872" s="646" t="s">
        <v>3318</v>
      </c>
      <c r="U872" s="646"/>
      <c r="V872" s="646" t="s">
        <v>3319</v>
      </c>
      <c r="W872" s="642"/>
      <c r="X872" s="642" t="s">
        <v>3320</v>
      </c>
      <c r="Y872" s="647" t="s">
        <v>415</v>
      </c>
      <c r="Z872" s="655">
        <v>6.7296</v>
      </c>
      <c r="AA872" s="647">
        <f t="shared" ref="AA872:AA893" si="295">Z872*I872</f>
        <v>24832.224</v>
      </c>
      <c r="AB872" s="551"/>
      <c r="AC872" s="648"/>
      <c r="AD872" s="633" t="s">
        <v>480</v>
      </c>
      <c r="AE872" s="246" t="s">
        <v>82</v>
      </c>
      <c r="AF872" s="246"/>
      <c r="AG872" s="246"/>
      <c r="AH872" s="246" t="s">
        <v>126</v>
      </c>
      <c r="AI872" s="246">
        <f>2268</f>
        <v>2268</v>
      </c>
      <c r="AJ872" s="246">
        <f t="shared" si="288"/>
        <v>-1422</v>
      </c>
      <c r="AK872" s="246"/>
      <c r="AL872" s="246"/>
      <c r="AM872" s="551"/>
      <c r="AN872" s="551">
        <f t="shared" si="292"/>
        <v>3690</v>
      </c>
      <c r="AO872" s="551"/>
      <c r="AP872" s="551"/>
      <c r="AQ872" s="551"/>
      <c r="AR872" s="551"/>
      <c r="AS872" s="551">
        <f>I872</f>
        <v>3690</v>
      </c>
      <c r="AT872" s="551"/>
      <c r="AU872" s="551">
        <f t="shared" si="293"/>
        <v>3690</v>
      </c>
      <c r="AV872" s="551"/>
      <c r="AW872" s="551">
        <f t="shared" ref="AW872:AW879" si="296">I872</f>
        <v>3690</v>
      </c>
      <c r="AX872" s="651"/>
      <c r="AY872" s="551"/>
      <c r="AZ872" s="551"/>
      <c r="BA872" s="551"/>
      <c r="BB872" s="551"/>
      <c r="BC872" s="551"/>
      <c r="BD872" s="551"/>
      <c r="BE872" s="551"/>
      <c r="BF872" s="551"/>
      <c r="BG872" s="551"/>
      <c r="BH872" s="551"/>
      <c r="BI872" s="551"/>
      <c r="BJ872" s="551"/>
      <c r="BK872" s="551"/>
      <c r="BL872" s="551"/>
      <c r="BM872" s="551"/>
      <c r="BN872" s="551">
        <f>I872</f>
        <v>3690</v>
      </c>
      <c r="BO872" s="551"/>
      <c r="BP872" s="551"/>
      <c r="BQ872" s="551"/>
      <c r="BR872" s="551"/>
      <c r="BS872" s="551"/>
      <c r="BT872" s="551"/>
      <c r="BU872" s="551"/>
      <c r="BV872" s="551"/>
      <c r="BW872" s="551"/>
      <c r="BX872" s="551"/>
      <c r="BY872" s="551"/>
      <c r="BZ872" s="551"/>
      <c r="CA872" s="551"/>
      <c r="CB872" s="551"/>
      <c r="CC872" s="551"/>
      <c r="CD872" s="551"/>
      <c r="CE872" s="551"/>
      <c r="CF872" s="551"/>
      <c r="CG872" s="551"/>
      <c r="CH872" s="650"/>
      <c r="CI872" s="650"/>
      <c r="CJ872" s="650"/>
      <c r="CK872" s="650"/>
      <c r="CL872" s="650"/>
      <c r="CM872" s="551"/>
      <c r="CN872" s="551"/>
      <c r="CO872" s="551"/>
      <c r="CP872" s="650"/>
      <c r="CQ872" s="650"/>
      <c r="CR872" s="650"/>
      <c r="CS872" s="650"/>
      <c r="CT872" s="650"/>
      <c r="CU872" s="650"/>
    </row>
    <row r="873" s="1265" customFormat="1" ht="31" customHeight="1" spans="1:99">
      <c r="A873" s="641">
        <v>46055</v>
      </c>
      <c r="B873" s="642" t="s">
        <v>3321</v>
      </c>
      <c r="C873" s="246" t="s">
        <v>302</v>
      </c>
      <c r="D873" s="551">
        <v>4500192944</v>
      </c>
      <c r="E873" s="246">
        <v>4400536620</v>
      </c>
      <c r="F873" s="551" t="s">
        <v>3322</v>
      </c>
      <c r="G873" s="659" t="s">
        <v>164</v>
      </c>
      <c r="H873" s="246" t="s">
        <v>112</v>
      </c>
      <c r="I873" s="246">
        <v>704</v>
      </c>
      <c r="J873" s="246">
        <v>0</v>
      </c>
      <c r="K873" s="246">
        <v>8</v>
      </c>
      <c r="L873" s="644">
        <f t="shared" si="294"/>
        <v>88</v>
      </c>
      <c r="M873" s="645">
        <v>46108</v>
      </c>
      <c r="N873" s="645">
        <v>46104</v>
      </c>
      <c r="O873" s="643"/>
      <c r="P873" s="824" t="s">
        <v>113</v>
      </c>
      <c r="Q873" s="646"/>
      <c r="R873" s="646" t="s">
        <v>454</v>
      </c>
      <c r="S873" s="646" t="s">
        <v>70</v>
      </c>
      <c r="T873" s="646" t="s">
        <v>165</v>
      </c>
      <c r="U873" s="646"/>
      <c r="V873" s="642"/>
      <c r="W873" s="642"/>
      <c r="X873" s="642" t="s">
        <v>3323</v>
      </c>
      <c r="Y873" s="647" t="s">
        <v>1549</v>
      </c>
      <c r="Z873" s="657">
        <v>4.2714</v>
      </c>
      <c r="AA873" s="647">
        <f t="shared" si="295"/>
        <v>3007.0656</v>
      </c>
      <c r="AB873" s="551"/>
      <c r="AC873" s="648"/>
      <c r="AD873" s="633" t="s">
        <v>2381</v>
      </c>
      <c r="AE873" s="246" t="s">
        <v>82</v>
      </c>
      <c r="AF873" s="246"/>
      <c r="AG873" s="246"/>
      <c r="AH873" s="246" t="s">
        <v>126</v>
      </c>
      <c r="AI873" s="246">
        <v>704</v>
      </c>
      <c r="AJ873" s="246">
        <f t="shared" si="288"/>
        <v>0</v>
      </c>
      <c r="AK873" s="246"/>
      <c r="AL873" s="246"/>
      <c r="AM873" s="551"/>
      <c r="AN873" s="551">
        <f t="shared" si="292"/>
        <v>704</v>
      </c>
      <c r="AO873" s="1331"/>
      <c r="AP873" s="1331"/>
      <c r="AQ873" s="1331"/>
      <c r="AR873" s="551"/>
      <c r="AS873" s="551">
        <f>I873</f>
        <v>704</v>
      </c>
      <c r="AT873" s="551"/>
      <c r="AU873" s="551">
        <f t="shared" si="293"/>
        <v>704</v>
      </c>
      <c r="AV873" s="551"/>
      <c r="AW873" s="551">
        <f t="shared" si="296"/>
        <v>704</v>
      </c>
      <c r="AX873" s="651"/>
      <c r="AY873" s="551"/>
      <c r="AZ873" s="551"/>
      <c r="BA873" s="551"/>
      <c r="BB873" s="551"/>
      <c r="BC873" s="551"/>
      <c r="BD873" s="551"/>
      <c r="BE873" s="551"/>
      <c r="BF873" s="551"/>
      <c r="BG873" s="551"/>
      <c r="BH873" s="551"/>
      <c r="BI873" s="825">
        <f>I873/4</f>
        <v>176</v>
      </c>
      <c r="BJ873" s="551"/>
      <c r="BK873" s="551"/>
      <c r="BL873" s="551"/>
      <c r="BM873" s="551"/>
      <c r="BN873" s="551"/>
      <c r="BO873" s="551"/>
      <c r="BP873" s="551"/>
      <c r="BQ873" s="551"/>
      <c r="BR873" s="551"/>
      <c r="BS873" s="551"/>
      <c r="BT873" s="551"/>
      <c r="BU873" s="551"/>
      <c r="BV873" s="551"/>
      <c r="BW873" s="551"/>
      <c r="BX873" s="551"/>
      <c r="BY873" s="551"/>
      <c r="BZ873" s="551"/>
      <c r="CA873" s="551"/>
      <c r="CB873" s="551"/>
      <c r="CC873" s="551"/>
      <c r="CD873" s="551"/>
      <c r="CE873" s="551"/>
      <c r="CF873" s="551"/>
      <c r="CG873" s="551"/>
      <c r="CH873" s="650"/>
      <c r="CI873" s="650"/>
      <c r="CJ873" s="650"/>
      <c r="CK873" s="650"/>
      <c r="CL873" s="650"/>
      <c r="CM873" s="551"/>
      <c r="CN873" s="551"/>
      <c r="CO873" s="551"/>
      <c r="CP873" s="650"/>
      <c r="CQ873" s="650"/>
      <c r="CR873" s="650"/>
      <c r="CS873" s="650"/>
      <c r="CT873" s="650"/>
      <c r="CU873" s="650"/>
    </row>
    <row r="874" s="1265" customFormat="1" ht="31" customHeight="1" spans="1:99">
      <c r="A874" s="641">
        <v>46055</v>
      </c>
      <c r="B874" s="642" t="s">
        <v>3321</v>
      </c>
      <c r="C874" s="246" t="s">
        <v>302</v>
      </c>
      <c r="D874" s="551">
        <v>4500192944</v>
      </c>
      <c r="E874" s="246">
        <v>4400536621</v>
      </c>
      <c r="F874" s="551" t="s">
        <v>3324</v>
      </c>
      <c r="G874" s="659" t="s">
        <v>164</v>
      </c>
      <c r="H874" s="246" t="s">
        <v>112</v>
      </c>
      <c r="I874" s="246">
        <v>296</v>
      </c>
      <c r="J874" s="246">
        <v>0</v>
      </c>
      <c r="K874" s="246">
        <v>8</v>
      </c>
      <c r="L874" s="644">
        <f t="shared" si="294"/>
        <v>37</v>
      </c>
      <c r="M874" s="645">
        <v>46108</v>
      </c>
      <c r="N874" s="645">
        <v>46104</v>
      </c>
      <c r="O874" s="643"/>
      <c r="P874" s="824" t="s">
        <v>113</v>
      </c>
      <c r="Q874" s="646"/>
      <c r="R874" s="646" t="s">
        <v>454</v>
      </c>
      <c r="S874" s="646" t="s">
        <v>70</v>
      </c>
      <c r="T874" s="646" t="s">
        <v>165</v>
      </c>
      <c r="U874" s="646"/>
      <c r="V874" s="642"/>
      <c r="W874" s="642"/>
      <c r="X874" s="642" t="s">
        <v>3323</v>
      </c>
      <c r="Y874" s="647" t="s">
        <v>1549</v>
      </c>
      <c r="Z874" s="657">
        <v>4.2714</v>
      </c>
      <c r="AA874" s="647">
        <f t="shared" si="295"/>
        <v>1264.3344</v>
      </c>
      <c r="AB874" s="551"/>
      <c r="AC874" s="648"/>
      <c r="AD874" s="633" t="s">
        <v>2381</v>
      </c>
      <c r="AE874" s="246" t="s">
        <v>82</v>
      </c>
      <c r="AF874" s="246"/>
      <c r="AG874" s="246"/>
      <c r="AH874" s="246" t="s">
        <v>126</v>
      </c>
      <c r="AI874" s="246">
        <v>296</v>
      </c>
      <c r="AJ874" s="246">
        <f t="shared" si="288"/>
        <v>0</v>
      </c>
      <c r="AK874" s="246"/>
      <c r="AL874" s="246"/>
      <c r="AM874" s="551"/>
      <c r="AN874" s="551">
        <f t="shared" si="292"/>
        <v>296</v>
      </c>
      <c r="AO874" s="1331"/>
      <c r="AP874" s="1331"/>
      <c r="AQ874" s="1331"/>
      <c r="AR874" s="551"/>
      <c r="AS874" s="551">
        <f>I874</f>
        <v>296</v>
      </c>
      <c r="AT874" s="551"/>
      <c r="AU874" s="551">
        <f t="shared" si="293"/>
        <v>296</v>
      </c>
      <c r="AV874" s="551"/>
      <c r="AW874" s="551">
        <f t="shared" si="296"/>
        <v>296</v>
      </c>
      <c r="AX874" s="651"/>
      <c r="AY874" s="551"/>
      <c r="AZ874" s="551"/>
      <c r="BA874" s="551"/>
      <c r="BB874" s="551"/>
      <c r="BC874" s="551"/>
      <c r="BD874" s="551"/>
      <c r="BE874" s="551"/>
      <c r="BF874" s="551"/>
      <c r="BG874" s="551"/>
      <c r="BH874" s="551"/>
      <c r="BI874" s="825">
        <f>I874/4</f>
        <v>74</v>
      </c>
      <c r="BJ874" s="551"/>
      <c r="BK874" s="551"/>
      <c r="BL874" s="551"/>
      <c r="BM874" s="551"/>
      <c r="BN874" s="551"/>
      <c r="BO874" s="551"/>
      <c r="BP874" s="551"/>
      <c r="BQ874" s="551"/>
      <c r="BR874" s="551"/>
      <c r="BS874" s="551"/>
      <c r="BT874" s="551"/>
      <c r="BU874" s="551"/>
      <c r="BV874" s="551"/>
      <c r="BW874" s="551"/>
      <c r="BX874" s="551"/>
      <c r="BY874" s="551"/>
      <c r="BZ874" s="551"/>
      <c r="CA874" s="551"/>
      <c r="CB874" s="551"/>
      <c r="CC874" s="551"/>
      <c r="CD874" s="551"/>
      <c r="CE874" s="551"/>
      <c r="CF874" s="551"/>
      <c r="CG874" s="551"/>
      <c r="CH874" s="650"/>
      <c r="CI874" s="650"/>
      <c r="CJ874" s="650"/>
      <c r="CK874" s="650"/>
      <c r="CL874" s="650"/>
      <c r="CM874" s="551"/>
      <c r="CN874" s="551"/>
      <c r="CO874" s="551"/>
      <c r="CP874" s="650"/>
      <c r="CQ874" s="650"/>
      <c r="CR874" s="650"/>
      <c r="CS874" s="650"/>
      <c r="CT874" s="650"/>
      <c r="CU874" s="650"/>
    </row>
    <row r="875" s="1265" customFormat="1" ht="31" customHeight="1" spans="1:99">
      <c r="A875" s="641">
        <v>46045</v>
      </c>
      <c r="B875" s="642" t="s">
        <v>1673</v>
      </c>
      <c r="C875" s="246" t="s">
        <v>98</v>
      </c>
      <c r="D875" s="710">
        <v>4500192140</v>
      </c>
      <c r="E875" s="246" t="s">
        <v>3325</v>
      </c>
      <c r="F875" s="551" t="s">
        <v>3326</v>
      </c>
      <c r="G875" s="659" t="s">
        <v>68</v>
      </c>
      <c r="H875" s="633" t="s">
        <v>69</v>
      </c>
      <c r="I875" s="706">
        <v>3948</v>
      </c>
      <c r="J875" s="246">
        <v>0</v>
      </c>
      <c r="K875" s="246">
        <v>12</v>
      </c>
      <c r="L875" s="644">
        <f t="shared" si="294"/>
        <v>329</v>
      </c>
      <c r="M875" s="645">
        <v>46112</v>
      </c>
      <c r="N875" s="645">
        <v>46108</v>
      </c>
      <c r="O875" s="643"/>
      <c r="P875" s="824" t="s">
        <v>113</v>
      </c>
      <c r="Q875" s="646"/>
      <c r="R875" s="646">
        <v>46045</v>
      </c>
      <c r="S875" s="646" t="s">
        <v>104</v>
      </c>
      <c r="T875" s="646" t="s">
        <v>3327</v>
      </c>
      <c r="U875" s="646"/>
      <c r="V875" s="646"/>
      <c r="W875" s="642"/>
      <c r="X875" s="642" t="s">
        <v>3328</v>
      </c>
      <c r="Y875" s="647" t="s">
        <v>311</v>
      </c>
      <c r="Z875" s="657">
        <v>2.4941</v>
      </c>
      <c r="AA875" s="647">
        <f t="shared" si="295"/>
        <v>9846.7068</v>
      </c>
      <c r="AB875" s="551"/>
      <c r="AC875" s="658" t="s">
        <v>3329</v>
      </c>
      <c r="AD875" s="633" t="s">
        <v>68</v>
      </c>
      <c r="AE875" s="246" t="s">
        <v>82</v>
      </c>
      <c r="AF875" s="246"/>
      <c r="AG875" s="246"/>
      <c r="AH875" s="246" t="s">
        <v>126</v>
      </c>
      <c r="AI875" s="246">
        <v>3948</v>
      </c>
      <c r="AJ875" s="246">
        <f t="shared" si="288"/>
        <v>0</v>
      </c>
      <c r="AK875" s="246"/>
      <c r="AL875" s="246" t="s">
        <v>2368</v>
      </c>
      <c r="AM875" s="551"/>
      <c r="AN875" s="551">
        <f t="shared" si="292"/>
        <v>3948</v>
      </c>
      <c r="AO875" s="551"/>
      <c r="AP875" s="551"/>
      <c r="AQ875" s="551"/>
      <c r="AR875" s="551">
        <f>I875</f>
        <v>3948</v>
      </c>
      <c r="AS875" s="551"/>
      <c r="AT875" s="551"/>
      <c r="AU875" s="551">
        <f t="shared" si="293"/>
        <v>3948</v>
      </c>
      <c r="AV875" s="551"/>
      <c r="AW875" s="551">
        <f t="shared" si="296"/>
        <v>3948</v>
      </c>
      <c r="AX875" s="651"/>
      <c r="AY875" s="551"/>
      <c r="AZ875" s="551"/>
      <c r="BA875" s="551"/>
      <c r="BB875" s="551"/>
      <c r="BC875" s="551"/>
      <c r="BD875" s="551"/>
      <c r="BE875" s="551"/>
      <c r="BF875" s="551"/>
      <c r="BG875" s="551"/>
      <c r="BH875" s="551"/>
      <c r="BI875" s="551"/>
      <c r="BJ875" s="551"/>
      <c r="BK875" s="551"/>
      <c r="BL875" s="551"/>
      <c r="BM875" s="551"/>
      <c r="BN875" s="551"/>
      <c r="BO875" s="551"/>
      <c r="BP875" s="551"/>
      <c r="BQ875" s="551"/>
      <c r="BR875" s="551"/>
      <c r="BS875" s="551"/>
      <c r="BT875" s="551"/>
      <c r="BU875" s="551"/>
      <c r="BV875" s="551"/>
      <c r="BW875" s="551"/>
      <c r="BX875" s="551"/>
      <c r="BY875" s="551"/>
      <c r="BZ875" s="551"/>
      <c r="CA875" s="551"/>
      <c r="CB875" s="551"/>
      <c r="CC875" s="551"/>
      <c r="CD875" s="551"/>
      <c r="CE875" s="551"/>
      <c r="CF875" s="551"/>
      <c r="CG875" s="551"/>
      <c r="CH875" s="650"/>
      <c r="CI875" s="650"/>
      <c r="CJ875" s="650"/>
      <c r="CK875" s="650"/>
      <c r="CL875" s="650"/>
      <c r="CM875" s="551"/>
      <c r="CN875" s="551"/>
      <c r="CO875" s="551"/>
      <c r="CP875" s="650"/>
      <c r="CQ875" s="650"/>
      <c r="CR875" s="650"/>
      <c r="CS875" s="650"/>
      <c r="CT875" s="650"/>
      <c r="CU875" s="650"/>
    </row>
    <row r="876" s="1265" customFormat="1" ht="31" customHeight="1" spans="1:99">
      <c r="A876" s="641">
        <v>46045</v>
      </c>
      <c r="B876" s="642" t="s">
        <v>1673</v>
      </c>
      <c r="C876" s="246" t="s">
        <v>98</v>
      </c>
      <c r="D876" s="710">
        <v>4500192140</v>
      </c>
      <c r="E876" s="246" t="s">
        <v>3325</v>
      </c>
      <c r="F876" s="551" t="s">
        <v>3330</v>
      </c>
      <c r="G876" s="659" t="s">
        <v>68</v>
      </c>
      <c r="H876" s="633" t="s">
        <v>69</v>
      </c>
      <c r="I876" s="706">
        <v>1692</v>
      </c>
      <c r="J876" s="246">
        <v>0</v>
      </c>
      <c r="K876" s="246">
        <v>12</v>
      </c>
      <c r="L876" s="644">
        <f t="shared" si="294"/>
        <v>141</v>
      </c>
      <c r="M876" s="645">
        <v>46112</v>
      </c>
      <c r="N876" s="645">
        <v>46108</v>
      </c>
      <c r="O876" s="643"/>
      <c r="P876" s="824" t="s">
        <v>113</v>
      </c>
      <c r="Q876" s="646"/>
      <c r="R876" s="646">
        <v>46045</v>
      </c>
      <c r="S876" s="646" t="s">
        <v>104</v>
      </c>
      <c r="T876" s="646" t="s">
        <v>3327</v>
      </c>
      <c r="U876" s="646"/>
      <c r="V876" s="646"/>
      <c r="W876" s="642"/>
      <c r="X876" s="642" t="s">
        <v>3328</v>
      </c>
      <c r="Y876" s="647" t="s">
        <v>311</v>
      </c>
      <c r="Z876" s="657">
        <v>2.4974</v>
      </c>
      <c r="AA876" s="647">
        <f t="shared" si="295"/>
        <v>4225.6008</v>
      </c>
      <c r="AB876" s="551"/>
      <c r="AC876" s="658" t="s">
        <v>3329</v>
      </c>
      <c r="AD876" s="633" t="s">
        <v>68</v>
      </c>
      <c r="AE876" s="246" t="s">
        <v>82</v>
      </c>
      <c r="AF876" s="246"/>
      <c r="AG876" s="246"/>
      <c r="AH876" s="246" t="s">
        <v>126</v>
      </c>
      <c r="AI876" s="246">
        <v>1692</v>
      </c>
      <c r="AJ876" s="246">
        <f t="shared" si="288"/>
        <v>0</v>
      </c>
      <c r="AK876" s="246"/>
      <c r="AL876" s="246" t="s">
        <v>2368</v>
      </c>
      <c r="AM876" s="551"/>
      <c r="AN876" s="551">
        <f t="shared" si="292"/>
        <v>1692</v>
      </c>
      <c r="AO876" s="551"/>
      <c r="AP876" s="551"/>
      <c r="AQ876" s="551"/>
      <c r="AR876" s="551">
        <f>I876</f>
        <v>1692</v>
      </c>
      <c r="AS876" s="551"/>
      <c r="AT876" s="551"/>
      <c r="AU876" s="551">
        <f t="shared" si="293"/>
        <v>1692</v>
      </c>
      <c r="AV876" s="551"/>
      <c r="AW876" s="551">
        <f t="shared" si="296"/>
        <v>1692</v>
      </c>
      <c r="AX876" s="651"/>
      <c r="AY876" s="551"/>
      <c r="AZ876" s="551"/>
      <c r="BA876" s="551"/>
      <c r="BB876" s="551"/>
      <c r="BC876" s="551"/>
      <c r="BD876" s="551"/>
      <c r="BE876" s="551"/>
      <c r="BF876" s="551"/>
      <c r="BG876" s="551"/>
      <c r="BH876" s="551"/>
      <c r="BI876" s="551"/>
      <c r="BJ876" s="551"/>
      <c r="BK876" s="551"/>
      <c r="BL876" s="551"/>
      <c r="BM876" s="551"/>
      <c r="BN876" s="551"/>
      <c r="BO876" s="551"/>
      <c r="BP876" s="551"/>
      <c r="BQ876" s="551"/>
      <c r="BR876" s="551"/>
      <c r="BS876" s="551"/>
      <c r="BT876" s="551"/>
      <c r="BU876" s="551"/>
      <c r="BV876" s="551"/>
      <c r="BW876" s="551"/>
      <c r="BX876" s="551"/>
      <c r="BY876" s="551"/>
      <c r="BZ876" s="551"/>
      <c r="CA876" s="551"/>
      <c r="CB876" s="551"/>
      <c r="CC876" s="551"/>
      <c r="CD876" s="551"/>
      <c r="CE876" s="551"/>
      <c r="CF876" s="551"/>
      <c r="CG876" s="551"/>
      <c r="CH876" s="650"/>
      <c r="CI876" s="650"/>
      <c r="CJ876" s="650"/>
      <c r="CK876" s="650"/>
      <c r="CL876" s="650"/>
      <c r="CM876" s="551"/>
      <c r="CN876" s="551"/>
      <c r="CO876" s="551"/>
      <c r="CP876" s="650"/>
      <c r="CQ876" s="650"/>
      <c r="CR876" s="650"/>
      <c r="CS876" s="650"/>
      <c r="CT876" s="650"/>
      <c r="CU876" s="650"/>
    </row>
    <row r="877" s="1265" customFormat="1" ht="31" customHeight="1" spans="1:99">
      <c r="A877" s="641">
        <v>46048</v>
      </c>
      <c r="B877" s="642" t="s">
        <v>325</v>
      </c>
      <c r="C877" s="246" t="s">
        <v>98</v>
      </c>
      <c r="D877" s="551">
        <v>4500192285</v>
      </c>
      <c r="E877" s="246" t="s">
        <v>3331</v>
      </c>
      <c r="F877" s="551" t="s">
        <v>3332</v>
      </c>
      <c r="G877" s="659" t="s">
        <v>249</v>
      </c>
      <c r="H877" s="246" t="s">
        <v>250</v>
      </c>
      <c r="I877" s="706">
        <v>15000</v>
      </c>
      <c r="J877" s="246">
        <v>0</v>
      </c>
      <c r="K877" s="246">
        <v>4</v>
      </c>
      <c r="L877" s="644">
        <f t="shared" si="294"/>
        <v>3750</v>
      </c>
      <c r="M877" s="645">
        <v>46112</v>
      </c>
      <c r="N877" s="645">
        <v>46108</v>
      </c>
      <c r="O877" s="643" t="s">
        <v>3249</v>
      </c>
      <c r="P877" s="824" t="s">
        <v>113</v>
      </c>
      <c r="Q877" s="646"/>
      <c r="R877" s="646" t="s">
        <v>454</v>
      </c>
      <c r="S877" s="646" t="s">
        <v>104</v>
      </c>
      <c r="T877" s="646" t="s">
        <v>3215</v>
      </c>
      <c r="U877" s="646"/>
      <c r="V877" s="646"/>
      <c r="W877" s="642"/>
      <c r="X877" s="642" t="s">
        <v>2770</v>
      </c>
      <c r="Y877" s="647" t="s">
        <v>252</v>
      </c>
      <c r="Z877" s="657">
        <v>2.7832</v>
      </c>
      <c r="AA877" s="647">
        <f t="shared" si="295"/>
        <v>41748</v>
      </c>
      <c r="AB877" s="551"/>
      <c r="AC877" s="658" t="s">
        <v>3333</v>
      </c>
      <c r="AD877" s="633" t="s">
        <v>249</v>
      </c>
      <c r="AE877" s="246" t="s">
        <v>82</v>
      </c>
      <c r="AF877" s="246"/>
      <c r="AG877" s="246"/>
      <c r="AH877" s="246" t="s">
        <v>126</v>
      </c>
      <c r="AI877" s="246">
        <f>3360+10320+1320</f>
        <v>15000</v>
      </c>
      <c r="AJ877" s="246">
        <f t="shared" si="288"/>
        <v>0</v>
      </c>
      <c r="AK877" s="246"/>
      <c r="AL877" s="246" t="s">
        <v>2368</v>
      </c>
      <c r="AM877" s="551"/>
      <c r="AN877" s="551"/>
      <c r="AO877" s="551"/>
      <c r="AP877" s="551">
        <f>I877</f>
        <v>15000</v>
      </c>
      <c r="AQ877" s="551"/>
      <c r="AR877" s="551"/>
      <c r="AS877" s="551"/>
      <c r="AT877" s="551"/>
      <c r="AU877" s="551"/>
      <c r="AV877" s="551"/>
      <c r="AW877" s="551">
        <f t="shared" si="296"/>
        <v>15000</v>
      </c>
      <c r="AX877" s="651"/>
      <c r="AY877" s="551"/>
      <c r="AZ877" s="551"/>
      <c r="BA877" s="551"/>
      <c r="BB877" s="551"/>
      <c r="BC877" s="551"/>
      <c r="BD877" s="551"/>
      <c r="BE877" s="551"/>
      <c r="BF877" s="551">
        <f>I877</f>
        <v>15000</v>
      </c>
      <c r="BG877" s="551">
        <f>I877</f>
        <v>15000</v>
      </c>
      <c r="BH877" s="825">
        <f>I877/4</f>
        <v>3750</v>
      </c>
      <c r="BI877" s="551"/>
      <c r="BJ877" s="551"/>
      <c r="BK877" s="551"/>
      <c r="BL877" s="551"/>
      <c r="BM877" s="551"/>
      <c r="BN877" s="551"/>
      <c r="BO877" s="551"/>
      <c r="BP877" s="551"/>
      <c r="BQ877" s="551"/>
      <c r="BR877" s="551"/>
      <c r="BS877" s="551"/>
      <c r="BT877" s="551"/>
      <c r="BU877" s="551"/>
      <c r="BV877" s="551"/>
      <c r="BW877" s="551"/>
      <c r="BX877" s="551"/>
      <c r="BY877" s="551"/>
      <c r="BZ877" s="551"/>
      <c r="CA877" s="551"/>
      <c r="CB877" s="551"/>
      <c r="CC877" s="551"/>
      <c r="CD877" s="551"/>
      <c r="CE877" s="551"/>
      <c r="CF877" s="551"/>
      <c r="CG877" s="551"/>
      <c r="CH877" s="650"/>
      <c r="CI877" s="650"/>
      <c r="CJ877" s="650"/>
      <c r="CK877" s="650"/>
      <c r="CL877" s="650"/>
      <c r="CM877" s="551"/>
      <c r="CN877" s="551"/>
      <c r="CO877" s="551"/>
      <c r="CP877" s="650"/>
      <c r="CQ877" s="650"/>
      <c r="CR877" s="650"/>
      <c r="CS877" s="650"/>
      <c r="CT877" s="650"/>
      <c r="CU877" s="650"/>
    </row>
    <row r="878" s="1265" customFormat="1" ht="31" customHeight="1" spans="1:99">
      <c r="A878" s="641">
        <v>46052</v>
      </c>
      <c r="B878" s="642" t="s">
        <v>1928</v>
      </c>
      <c r="C878" s="246" t="s">
        <v>424</v>
      </c>
      <c r="D878" s="551">
        <v>4500192711</v>
      </c>
      <c r="E878" s="246">
        <v>160646</v>
      </c>
      <c r="F878" s="551" t="s">
        <v>3334</v>
      </c>
      <c r="G878" s="659" t="s">
        <v>101</v>
      </c>
      <c r="H878" s="246" t="s">
        <v>102</v>
      </c>
      <c r="I878" s="246">
        <v>300</v>
      </c>
      <c r="J878" s="246">
        <v>0</v>
      </c>
      <c r="K878" s="246">
        <v>4</v>
      </c>
      <c r="L878" s="644">
        <f t="shared" si="294"/>
        <v>75</v>
      </c>
      <c r="M878" s="645">
        <v>46118</v>
      </c>
      <c r="N878" s="645">
        <v>46114</v>
      </c>
      <c r="O878" s="643"/>
      <c r="P878" s="824" t="s">
        <v>113</v>
      </c>
      <c r="Q878" s="646"/>
      <c r="R878" s="646">
        <v>46059</v>
      </c>
      <c r="S878" s="646" t="s">
        <v>70</v>
      </c>
      <c r="T878" s="646" t="s">
        <v>3335</v>
      </c>
      <c r="U878" s="646"/>
      <c r="V878" s="642"/>
      <c r="W878" s="642"/>
      <c r="X878" s="642" t="s">
        <v>3336</v>
      </c>
      <c r="Y878" s="647" t="s">
        <v>244</v>
      </c>
      <c r="Z878" s="657">
        <v>4.3</v>
      </c>
      <c r="AA878" s="647">
        <f t="shared" si="295"/>
        <v>1290</v>
      </c>
      <c r="AB878" s="551"/>
      <c r="AC878" s="648"/>
      <c r="AD878" s="633" t="s">
        <v>156</v>
      </c>
      <c r="AE878" s="246" t="s">
        <v>82</v>
      </c>
      <c r="AF878" s="246"/>
      <c r="AG878" s="246"/>
      <c r="AH878" s="246">
        <v>1</v>
      </c>
      <c r="AI878" s="246">
        <v>300</v>
      </c>
      <c r="AJ878" s="246">
        <f t="shared" si="288"/>
        <v>0</v>
      </c>
      <c r="AK878" s="246"/>
      <c r="AL878" s="246" t="s">
        <v>126</v>
      </c>
      <c r="AM878" s="551"/>
      <c r="AN878" s="551">
        <f t="shared" ref="AN878:AN887" si="297">I878</f>
        <v>300</v>
      </c>
      <c r="AO878" s="1331"/>
      <c r="AP878" s="1331"/>
      <c r="AQ878" s="1331"/>
      <c r="AR878" s="551"/>
      <c r="AS878" s="551">
        <f>I878</f>
        <v>300</v>
      </c>
      <c r="AT878" s="551"/>
      <c r="AU878" s="551">
        <f>I878</f>
        <v>300</v>
      </c>
      <c r="AV878" s="551"/>
      <c r="AW878" s="551">
        <f t="shared" si="296"/>
        <v>300</v>
      </c>
      <c r="AX878" s="651"/>
      <c r="AY878" s="551"/>
      <c r="AZ878" s="551"/>
      <c r="BA878" s="551"/>
      <c r="BB878" s="551"/>
      <c r="BC878" s="551"/>
      <c r="BD878" s="551"/>
      <c r="BE878" s="551"/>
      <c r="BF878" s="551"/>
      <c r="BG878" s="551"/>
      <c r="BH878" s="551"/>
      <c r="BI878" s="825">
        <f>I878/4</f>
        <v>75</v>
      </c>
      <c r="BJ878" s="551"/>
      <c r="BK878" s="551"/>
      <c r="BL878" s="551"/>
      <c r="BM878" s="551"/>
      <c r="BN878" s="551"/>
      <c r="BO878" s="551"/>
      <c r="BP878" s="551"/>
      <c r="BQ878" s="551"/>
      <c r="BR878" s="551"/>
      <c r="BS878" s="551"/>
      <c r="BT878" s="551"/>
      <c r="BU878" s="551"/>
      <c r="BV878" s="551"/>
      <c r="BW878" s="551"/>
      <c r="BX878" s="551"/>
      <c r="BY878" s="551"/>
      <c r="BZ878" s="551"/>
      <c r="CA878" s="551"/>
      <c r="CB878" s="551"/>
      <c r="CC878" s="551"/>
      <c r="CD878" s="551"/>
      <c r="CE878" s="551"/>
      <c r="CF878" s="551"/>
      <c r="CG878" s="551"/>
      <c r="CH878" s="650"/>
      <c r="CI878" s="650"/>
      <c r="CJ878" s="650"/>
      <c r="CK878" s="650"/>
      <c r="CL878" s="650"/>
      <c r="CM878" s="551"/>
      <c r="CN878" s="551"/>
      <c r="CO878" s="551"/>
      <c r="CP878" s="650"/>
      <c r="CQ878" s="650"/>
      <c r="CR878" s="650"/>
      <c r="CS878" s="650"/>
      <c r="CT878" s="650"/>
      <c r="CU878" s="650"/>
    </row>
    <row r="879" s="1265" customFormat="1" ht="31" customHeight="1" spans="1:99">
      <c r="A879" s="641">
        <v>46048</v>
      </c>
      <c r="B879" s="642" t="s">
        <v>1800</v>
      </c>
      <c r="C879" s="693" t="s">
        <v>744</v>
      </c>
      <c r="D879" s="551">
        <v>4500192252</v>
      </c>
      <c r="E879" s="246">
        <v>5000002110</v>
      </c>
      <c r="F879" s="551" t="s">
        <v>3337</v>
      </c>
      <c r="G879" s="659" t="s">
        <v>130</v>
      </c>
      <c r="H879" s="246" t="s">
        <v>131</v>
      </c>
      <c r="I879" s="706">
        <v>3600</v>
      </c>
      <c r="J879" s="246">
        <v>0</v>
      </c>
      <c r="K879" s="246">
        <v>6</v>
      </c>
      <c r="L879" s="644">
        <f t="shared" si="294"/>
        <v>600</v>
      </c>
      <c r="M879" s="645">
        <v>46115</v>
      </c>
      <c r="N879" s="645">
        <f>M879-4</f>
        <v>46111</v>
      </c>
      <c r="O879" s="643"/>
      <c r="P879" s="824" t="s">
        <v>113</v>
      </c>
      <c r="Q879" s="646"/>
      <c r="R879" s="646" t="s">
        <v>3338</v>
      </c>
      <c r="S879" s="646" t="s">
        <v>104</v>
      </c>
      <c r="T879" s="646" t="s">
        <v>3028</v>
      </c>
      <c r="U879" s="646"/>
      <c r="V879" s="646"/>
      <c r="W879" s="642"/>
      <c r="X879" s="642" t="s">
        <v>3339</v>
      </c>
      <c r="Y879" s="647" t="s">
        <v>1805</v>
      </c>
      <c r="Z879" s="657">
        <v>4.1689</v>
      </c>
      <c r="AA879" s="647">
        <f t="shared" si="295"/>
        <v>15008.04</v>
      </c>
      <c r="AB879" s="551"/>
      <c r="AC879" s="648"/>
      <c r="AD879" s="633" t="s">
        <v>2217</v>
      </c>
      <c r="AE879" s="246" t="s">
        <v>82</v>
      </c>
      <c r="AF879" s="246"/>
      <c r="AG879" s="246"/>
      <c r="AH879" s="246" t="s">
        <v>126</v>
      </c>
      <c r="AI879" s="246">
        <v>3600</v>
      </c>
      <c r="AJ879" s="246">
        <f t="shared" si="288"/>
        <v>0</v>
      </c>
      <c r="AK879" s="246"/>
      <c r="AL879" s="246" t="s">
        <v>2368</v>
      </c>
      <c r="AM879" s="551"/>
      <c r="AN879" s="551">
        <f t="shared" si="297"/>
        <v>3600</v>
      </c>
      <c r="AO879" s="551"/>
      <c r="AP879" s="551"/>
      <c r="AQ879" s="551"/>
      <c r="AR879" s="551">
        <f t="shared" ref="AR879:AR887" si="298">I879</f>
        <v>3600</v>
      </c>
      <c r="AS879" s="551"/>
      <c r="AT879" s="551"/>
      <c r="AU879" s="551"/>
      <c r="AV879" s="551">
        <f>I879</f>
        <v>3600</v>
      </c>
      <c r="AW879" s="551"/>
      <c r="AX879" s="651">
        <f>I879</f>
        <v>3600</v>
      </c>
      <c r="AY879" s="551"/>
      <c r="AZ879" s="551"/>
      <c r="BA879" s="551"/>
      <c r="BB879" s="551"/>
      <c r="BC879" s="551"/>
      <c r="BD879" s="551"/>
      <c r="BE879" s="551"/>
      <c r="BF879" s="551"/>
      <c r="BG879" s="551"/>
      <c r="BH879" s="551"/>
      <c r="BI879" s="551"/>
      <c r="BJ879" s="551"/>
      <c r="BK879" s="551"/>
      <c r="BL879" s="551"/>
      <c r="BM879" s="551"/>
      <c r="BN879" s="551"/>
      <c r="BO879" s="551"/>
      <c r="BP879" s="551"/>
      <c r="BQ879" s="551"/>
      <c r="BR879" s="551"/>
      <c r="BS879" s="551"/>
      <c r="BT879" s="551"/>
      <c r="BU879" s="551"/>
      <c r="BV879" s="551"/>
      <c r="BW879" s="551"/>
      <c r="BX879" s="551"/>
      <c r="BY879" s="551"/>
      <c r="BZ879" s="551"/>
      <c r="CA879" s="551"/>
      <c r="CB879" s="551"/>
      <c r="CC879" s="551"/>
      <c r="CD879" s="551"/>
      <c r="CE879" s="551"/>
      <c r="CF879" s="551"/>
      <c r="CG879" s="551"/>
      <c r="CH879" s="650"/>
      <c r="CI879" s="650"/>
      <c r="CJ879" s="650"/>
      <c r="CK879" s="650"/>
      <c r="CL879" s="650"/>
      <c r="CM879" s="551"/>
      <c r="CN879" s="551"/>
      <c r="CO879" s="551"/>
      <c r="CP879" s="650"/>
      <c r="CQ879" s="650"/>
      <c r="CR879" s="650"/>
      <c r="CS879" s="650"/>
      <c r="CT879" s="650"/>
      <c r="CU879" s="650"/>
    </row>
    <row r="880" s="1265" customFormat="1" ht="31" customHeight="1" spans="1:99">
      <c r="A880" s="641">
        <v>46065</v>
      </c>
      <c r="B880" s="642" t="s">
        <v>3340</v>
      </c>
      <c r="C880" s="246" t="s">
        <v>98</v>
      </c>
      <c r="D880" s="551">
        <v>4500193768</v>
      </c>
      <c r="E880" s="246">
        <v>272591</v>
      </c>
      <c r="F880" s="551" t="s">
        <v>3341</v>
      </c>
      <c r="G880" s="659" t="s">
        <v>68</v>
      </c>
      <c r="H880" s="633" t="s">
        <v>69</v>
      </c>
      <c r="I880" s="706">
        <v>804</v>
      </c>
      <c r="J880" s="246">
        <v>0</v>
      </c>
      <c r="K880" s="246">
        <v>12</v>
      </c>
      <c r="L880" s="644">
        <f t="shared" si="294"/>
        <v>67</v>
      </c>
      <c r="M880" s="645">
        <v>46115</v>
      </c>
      <c r="N880" s="645">
        <f>M880-4</f>
        <v>46111</v>
      </c>
      <c r="O880" s="643"/>
      <c r="P880" s="824" t="s">
        <v>113</v>
      </c>
      <c r="Q880" s="646"/>
      <c r="R880" s="646" t="s">
        <v>454</v>
      </c>
      <c r="S880" s="646" t="s">
        <v>70</v>
      </c>
      <c r="T880" s="646" t="s">
        <v>3342</v>
      </c>
      <c r="U880" s="646"/>
      <c r="V880" s="646"/>
      <c r="W880" s="642"/>
      <c r="X880" s="642" t="s">
        <v>3343</v>
      </c>
      <c r="Y880" s="647" t="s">
        <v>2554</v>
      </c>
      <c r="Z880" s="657">
        <v>2.4974</v>
      </c>
      <c r="AA880" s="647">
        <f t="shared" si="295"/>
        <v>2007.9096</v>
      </c>
      <c r="AB880" s="551"/>
      <c r="AC880" s="658" t="s">
        <v>3344</v>
      </c>
      <c r="AD880" s="633" t="s">
        <v>68</v>
      </c>
      <c r="AE880" s="246" t="s">
        <v>82</v>
      </c>
      <c r="AF880" s="246"/>
      <c r="AG880" s="246"/>
      <c r="AH880" s="704" t="s">
        <v>126</v>
      </c>
      <c r="AI880" s="246">
        <f>792+12</f>
        <v>804</v>
      </c>
      <c r="AJ880" s="246">
        <f t="shared" si="288"/>
        <v>0</v>
      </c>
      <c r="AK880" s="246"/>
      <c r="AL880" s="246" t="s">
        <v>2368</v>
      </c>
      <c r="AM880" s="551"/>
      <c r="AN880" s="551">
        <f t="shared" si="297"/>
        <v>804</v>
      </c>
      <c r="AO880" s="551"/>
      <c r="AP880" s="551"/>
      <c r="AQ880" s="551"/>
      <c r="AR880" s="551">
        <f t="shared" si="298"/>
        <v>804</v>
      </c>
      <c r="AS880" s="551"/>
      <c r="AT880" s="551"/>
      <c r="AU880" s="551">
        <f>I880</f>
        <v>804</v>
      </c>
      <c r="AV880" s="551"/>
      <c r="AW880" s="551">
        <f>I880</f>
        <v>804</v>
      </c>
      <c r="AX880" s="651"/>
      <c r="AY880" s="551"/>
      <c r="AZ880" s="551"/>
      <c r="BA880" s="551"/>
      <c r="BB880" s="551"/>
      <c r="BC880" s="551"/>
      <c r="BD880" s="551"/>
      <c r="BE880" s="551"/>
      <c r="BF880" s="551"/>
      <c r="BG880" s="551"/>
      <c r="BH880" s="551"/>
      <c r="BI880" s="551"/>
      <c r="BJ880" s="551"/>
      <c r="BK880" s="551"/>
      <c r="BL880" s="551"/>
      <c r="BM880" s="551"/>
      <c r="BN880" s="551"/>
      <c r="BO880" s="551"/>
      <c r="BP880" s="551"/>
      <c r="BQ880" s="551"/>
      <c r="BR880" s="551"/>
      <c r="BS880" s="551"/>
      <c r="BT880" s="551"/>
      <c r="BU880" s="551"/>
      <c r="BV880" s="551"/>
      <c r="BW880" s="551"/>
      <c r="BX880" s="551"/>
      <c r="BY880" s="551"/>
      <c r="BZ880" s="551"/>
      <c r="CA880" s="551"/>
      <c r="CB880" s="551"/>
      <c r="CC880" s="551"/>
      <c r="CD880" s="551"/>
      <c r="CE880" s="551"/>
      <c r="CF880" s="551"/>
      <c r="CG880" s="551"/>
      <c r="CH880" s="650"/>
      <c r="CI880" s="650"/>
      <c r="CJ880" s="650"/>
      <c r="CK880" s="650"/>
      <c r="CL880" s="650"/>
      <c r="CM880" s="551"/>
      <c r="CN880" s="551"/>
      <c r="CO880" s="551"/>
      <c r="CP880" s="650"/>
      <c r="CQ880" s="650"/>
      <c r="CR880" s="650"/>
      <c r="CS880" s="650"/>
      <c r="CT880" s="650"/>
      <c r="CU880" s="650"/>
    </row>
    <row r="881" s="1265" customFormat="1" ht="31" customHeight="1" spans="1:99">
      <c r="A881" s="641">
        <v>46065</v>
      </c>
      <c r="B881" s="642" t="s">
        <v>3340</v>
      </c>
      <c r="C881" s="246" t="s">
        <v>98</v>
      </c>
      <c r="D881" s="551">
        <v>4500193769</v>
      </c>
      <c r="E881" s="246">
        <v>272595</v>
      </c>
      <c r="F881" s="551" t="s">
        <v>3345</v>
      </c>
      <c r="G881" s="659" t="s">
        <v>68</v>
      </c>
      <c r="H881" s="633" t="s">
        <v>69</v>
      </c>
      <c r="I881" s="706">
        <v>996</v>
      </c>
      <c r="J881" s="246">
        <v>0</v>
      </c>
      <c r="K881" s="246">
        <v>12</v>
      </c>
      <c r="L881" s="644">
        <f t="shared" si="294"/>
        <v>83</v>
      </c>
      <c r="M881" s="645">
        <v>46115</v>
      </c>
      <c r="N881" s="645">
        <f>M881-4</f>
        <v>46111</v>
      </c>
      <c r="O881" s="643"/>
      <c r="P881" s="824" t="s">
        <v>113</v>
      </c>
      <c r="Q881" s="646"/>
      <c r="R881" s="646" t="s">
        <v>454</v>
      </c>
      <c r="S881" s="646" t="s">
        <v>70</v>
      </c>
      <c r="T881" s="646" t="s">
        <v>3342</v>
      </c>
      <c r="U881" s="646"/>
      <c r="V881" s="646"/>
      <c r="W881" s="642"/>
      <c r="X881" s="642" t="s">
        <v>3346</v>
      </c>
      <c r="Y881" s="647" t="s">
        <v>2554</v>
      </c>
      <c r="Z881" s="657">
        <v>2.4974</v>
      </c>
      <c r="AA881" s="647">
        <f t="shared" si="295"/>
        <v>2487.4104</v>
      </c>
      <c r="AB881" s="551"/>
      <c r="AC881" s="658" t="s">
        <v>3347</v>
      </c>
      <c r="AD881" s="633" t="s">
        <v>68</v>
      </c>
      <c r="AE881" s="246" t="s">
        <v>82</v>
      </c>
      <c r="AF881" s="246"/>
      <c r="AG881" s="246"/>
      <c r="AH881" s="704" t="s">
        <v>126</v>
      </c>
      <c r="AI881" s="246">
        <v>996</v>
      </c>
      <c r="AJ881" s="246">
        <f t="shared" si="288"/>
        <v>0</v>
      </c>
      <c r="AK881" s="246"/>
      <c r="AL881" s="246" t="s">
        <v>2368</v>
      </c>
      <c r="AM881" s="551"/>
      <c r="AN881" s="551">
        <f t="shared" si="297"/>
        <v>996</v>
      </c>
      <c r="AO881" s="551"/>
      <c r="AP881" s="551"/>
      <c r="AQ881" s="551"/>
      <c r="AR881" s="551">
        <f t="shared" si="298"/>
        <v>996</v>
      </c>
      <c r="AS881" s="551"/>
      <c r="AT881" s="551"/>
      <c r="AU881" s="551">
        <f>I881</f>
        <v>996</v>
      </c>
      <c r="AV881" s="551"/>
      <c r="AW881" s="551">
        <f>I881</f>
        <v>996</v>
      </c>
      <c r="AX881" s="651"/>
      <c r="AY881" s="551"/>
      <c r="AZ881" s="551"/>
      <c r="BA881" s="551"/>
      <c r="BB881" s="551"/>
      <c r="BC881" s="551"/>
      <c r="BD881" s="551"/>
      <c r="BE881" s="551"/>
      <c r="BF881" s="551"/>
      <c r="BG881" s="551"/>
      <c r="BH881" s="551"/>
      <c r="BI881" s="551"/>
      <c r="BJ881" s="551"/>
      <c r="BK881" s="551"/>
      <c r="BL881" s="551"/>
      <c r="BM881" s="551"/>
      <c r="BN881" s="551"/>
      <c r="BO881" s="551"/>
      <c r="BP881" s="551"/>
      <c r="BQ881" s="551"/>
      <c r="BR881" s="551"/>
      <c r="BS881" s="551"/>
      <c r="BT881" s="551"/>
      <c r="BU881" s="551"/>
      <c r="BV881" s="551"/>
      <c r="BW881" s="551"/>
      <c r="BX881" s="551"/>
      <c r="BY881" s="551"/>
      <c r="BZ881" s="551"/>
      <c r="CA881" s="551"/>
      <c r="CB881" s="551"/>
      <c r="CC881" s="551"/>
      <c r="CD881" s="551"/>
      <c r="CE881" s="551"/>
      <c r="CF881" s="551"/>
      <c r="CG881" s="551"/>
      <c r="CH881" s="650"/>
      <c r="CI881" s="650"/>
      <c r="CJ881" s="650"/>
      <c r="CK881" s="650"/>
      <c r="CL881" s="650"/>
      <c r="CM881" s="551"/>
      <c r="CN881" s="551"/>
      <c r="CO881" s="551"/>
      <c r="CP881" s="650"/>
      <c r="CQ881" s="650"/>
      <c r="CR881" s="650"/>
      <c r="CS881" s="650"/>
      <c r="CT881" s="650"/>
      <c r="CU881" s="650"/>
    </row>
    <row r="882" s="1265" customFormat="1" ht="31" customHeight="1" spans="1:99">
      <c r="A882" s="641">
        <v>46048</v>
      </c>
      <c r="B882" s="642" t="s">
        <v>1800</v>
      </c>
      <c r="C882" s="693" t="s">
        <v>744</v>
      </c>
      <c r="D882" s="551">
        <v>4500192252</v>
      </c>
      <c r="E882" s="246">
        <v>5000002110</v>
      </c>
      <c r="F882" s="551" t="s">
        <v>3348</v>
      </c>
      <c r="G882" s="659" t="s">
        <v>518</v>
      </c>
      <c r="H882" s="246" t="s">
        <v>477</v>
      </c>
      <c r="I882" s="706">
        <v>1200</v>
      </c>
      <c r="J882" s="246">
        <v>0</v>
      </c>
      <c r="K882" s="246">
        <v>6</v>
      </c>
      <c r="L882" s="644">
        <f t="shared" si="294"/>
        <v>200</v>
      </c>
      <c r="M882" s="645">
        <v>46115</v>
      </c>
      <c r="N882" s="645">
        <f>M882-4</f>
        <v>46111</v>
      </c>
      <c r="O882" s="643"/>
      <c r="P882" s="824" t="s">
        <v>113</v>
      </c>
      <c r="Q882" s="646"/>
      <c r="R882" s="646" t="s">
        <v>3299</v>
      </c>
      <c r="S882" s="646" t="s">
        <v>104</v>
      </c>
      <c r="T882" s="646" t="s">
        <v>3028</v>
      </c>
      <c r="U882" s="646"/>
      <c r="V882" s="646"/>
      <c r="W882" s="642"/>
      <c r="X882" s="642" t="s">
        <v>3300</v>
      </c>
      <c r="Y882" s="647" t="s">
        <v>1805</v>
      </c>
      <c r="Z882" s="655">
        <v>6.7154</v>
      </c>
      <c r="AA882" s="647">
        <f t="shared" si="295"/>
        <v>8058.48</v>
      </c>
      <c r="AB882" s="551"/>
      <c r="AC882" s="648"/>
      <c r="AD882" s="633" t="s">
        <v>2241</v>
      </c>
      <c r="AE882" s="246" t="s">
        <v>82</v>
      </c>
      <c r="AF882" s="246"/>
      <c r="AG882" s="246"/>
      <c r="AH882" s="246" t="s">
        <v>126</v>
      </c>
      <c r="AI882" s="246"/>
      <c r="AJ882" s="246">
        <f t="shared" si="288"/>
        <v>-1200</v>
      </c>
      <c r="AK882" s="246"/>
      <c r="AL882" s="246" t="s">
        <v>2368</v>
      </c>
      <c r="AM882" s="551"/>
      <c r="AN882" s="551">
        <f t="shared" si="297"/>
        <v>1200</v>
      </c>
      <c r="AO882" s="551"/>
      <c r="AP882" s="551"/>
      <c r="AQ882" s="551"/>
      <c r="AR882" s="551">
        <f t="shared" si="298"/>
        <v>1200</v>
      </c>
      <c r="AS882" s="551"/>
      <c r="AT882" s="551"/>
      <c r="AU882" s="551"/>
      <c r="AV882" s="551">
        <f>I882</f>
        <v>1200</v>
      </c>
      <c r="AW882" s="551"/>
      <c r="AX882" s="651">
        <f>I882</f>
        <v>1200</v>
      </c>
      <c r="AY882" s="551"/>
      <c r="AZ882" s="551"/>
      <c r="BA882" s="551"/>
      <c r="BB882" s="551"/>
      <c r="BC882" s="551"/>
      <c r="BD882" s="551"/>
      <c r="BE882" s="551"/>
      <c r="BF882" s="551"/>
      <c r="BG882" s="551"/>
      <c r="BH882" s="551"/>
      <c r="BI882" s="551"/>
      <c r="BJ882" s="551"/>
      <c r="BK882" s="551"/>
      <c r="BL882" s="551"/>
      <c r="BM882" s="551"/>
      <c r="BN882" s="551">
        <f>I882</f>
        <v>1200</v>
      </c>
      <c r="BO882" s="551"/>
      <c r="BP882" s="551"/>
      <c r="BQ882" s="551"/>
      <c r="BR882" s="551"/>
      <c r="BS882" s="551"/>
      <c r="BT882" s="551"/>
      <c r="BU882" s="551"/>
      <c r="BV882" s="551"/>
      <c r="BW882" s="551"/>
      <c r="BX882" s="551"/>
      <c r="BY882" s="551"/>
      <c r="BZ882" s="551"/>
      <c r="CA882" s="551"/>
      <c r="CB882" s="551"/>
      <c r="CC882" s="551"/>
      <c r="CD882" s="551"/>
      <c r="CE882" s="551"/>
      <c r="CF882" s="551"/>
      <c r="CG882" s="551"/>
      <c r="CH882" s="650"/>
      <c r="CI882" s="650"/>
      <c r="CJ882" s="650"/>
      <c r="CK882" s="650"/>
      <c r="CL882" s="650"/>
      <c r="CM882" s="551"/>
      <c r="CN882" s="551"/>
      <c r="CO882" s="551"/>
      <c r="CP882" s="650"/>
      <c r="CQ882" s="650"/>
      <c r="CR882" s="650"/>
      <c r="CS882" s="650"/>
      <c r="CT882" s="650"/>
      <c r="CU882" s="650"/>
    </row>
    <row r="883" s="1265" customFormat="1" ht="31" customHeight="1" spans="1:99">
      <c r="A883" s="641">
        <v>46051</v>
      </c>
      <c r="B883" s="642" t="s">
        <v>1800</v>
      </c>
      <c r="C883" s="246" t="s">
        <v>744</v>
      </c>
      <c r="D883" s="551">
        <v>4500192252</v>
      </c>
      <c r="E883" s="246">
        <v>5000002110</v>
      </c>
      <c r="F883" s="246" t="s">
        <v>3349</v>
      </c>
      <c r="G883" s="659" t="s">
        <v>518</v>
      </c>
      <c r="H883" s="246" t="s">
        <v>477</v>
      </c>
      <c r="I883" s="706">
        <v>3000</v>
      </c>
      <c r="J883" s="246">
        <v>0</v>
      </c>
      <c r="K883" s="246">
        <v>6</v>
      </c>
      <c r="L883" s="644">
        <f t="shared" si="294"/>
        <v>500</v>
      </c>
      <c r="M883" s="645">
        <v>46115</v>
      </c>
      <c r="N883" s="645">
        <v>46111</v>
      </c>
      <c r="O883" s="643"/>
      <c r="P883" s="824" t="s">
        <v>113</v>
      </c>
      <c r="Q883" s="646"/>
      <c r="R883" s="646" t="s">
        <v>3299</v>
      </c>
      <c r="S883" s="646" t="s">
        <v>104</v>
      </c>
      <c r="T883" s="646" t="s">
        <v>3028</v>
      </c>
      <c r="U883" s="646"/>
      <c r="V883" s="646"/>
      <c r="W883" s="642"/>
      <c r="X883" s="642" t="s">
        <v>3300</v>
      </c>
      <c r="Y883" s="647" t="s">
        <v>1805</v>
      </c>
      <c r="Z883" s="655">
        <v>6.4585</v>
      </c>
      <c r="AA883" s="647">
        <f t="shared" si="295"/>
        <v>19375.5</v>
      </c>
      <c r="AB883" s="551"/>
      <c r="AC883" s="648"/>
      <c r="AD883" s="633" t="s">
        <v>2241</v>
      </c>
      <c r="AE883" s="246" t="s">
        <v>82</v>
      </c>
      <c r="AF883" s="246"/>
      <c r="AG883" s="246"/>
      <c r="AH883" s="704" t="s">
        <v>126</v>
      </c>
      <c r="AI883" s="246"/>
      <c r="AJ883" s="246">
        <f t="shared" si="288"/>
        <v>-3000</v>
      </c>
      <c r="AK883" s="246"/>
      <c r="AL883" s="246" t="s">
        <v>2368</v>
      </c>
      <c r="AM883" s="551"/>
      <c r="AN883" s="551">
        <f t="shared" si="297"/>
        <v>3000</v>
      </c>
      <c r="AO883" s="551"/>
      <c r="AP883" s="551"/>
      <c r="AQ883" s="551"/>
      <c r="AR883" s="551">
        <f t="shared" si="298"/>
        <v>3000</v>
      </c>
      <c r="AS883" s="551"/>
      <c r="AT883" s="551"/>
      <c r="AU883" s="551"/>
      <c r="AV883" s="551">
        <f>I883</f>
        <v>3000</v>
      </c>
      <c r="AW883" s="551"/>
      <c r="AX883" s="651">
        <f>I883</f>
        <v>3000</v>
      </c>
      <c r="AY883" s="551"/>
      <c r="AZ883" s="551"/>
      <c r="BA883" s="551"/>
      <c r="BB883" s="551"/>
      <c r="BC883" s="551"/>
      <c r="BD883" s="551"/>
      <c r="BE883" s="551"/>
      <c r="BF883" s="551"/>
      <c r="BG883" s="551"/>
      <c r="BH883" s="551"/>
      <c r="BI883" s="551"/>
      <c r="BJ883" s="551"/>
      <c r="BK883" s="551"/>
      <c r="BL883" s="551"/>
      <c r="BM883" s="551"/>
      <c r="BN883" s="551">
        <f>I883</f>
        <v>3000</v>
      </c>
      <c r="BO883" s="551"/>
      <c r="BP883" s="551"/>
      <c r="BQ883" s="551"/>
      <c r="BR883" s="551"/>
      <c r="BS883" s="551"/>
      <c r="BT883" s="551"/>
      <c r="BU883" s="551"/>
      <c r="BV883" s="551"/>
      <c r="BW883" s="551"/>
      <c r="BX883" s="551"/>
      <c r="BY883" s="551"/>
      <c r="BZ883" s="551"/>
      <c r="CA883" s="551"/>
      <c r="CB883" s="551"/>
      <c r="CC883" s="551"/>
      <c r="CD883" s="551"/>
      <c r="CE883" s="551"/>
      <c r="CF883" s="551"/>
      <c r="CG883" s="551"/>
      <c r="CH883" s="650"/>
      <c r="CI883" s="650"/>
      <c r="CJ883" s="650"/>
      <c r="CK883" s="650"/>
      <c r="CL883" s="650"/>
      <c r="CM883" s="551"/>
      <c r="CN883" s="551"/>
      <c r="CO883" s="551"/>
      <c r="CP883" s="650"/>
      <c r="CQ883" s="650"/>
      <c r="CR883" s="650"/>
      <c r="CS883" s="650"/>
      <c r="CT883" s="650"/>
      <c r="CU883" s="650"/>
    </row>
    <row r="884" s="1265" customFormat="1" ht="31" customHeight="1" spans="1:99">
      <c r="A884" s="641">
        <v>45995</v>
      </c>
      <c r="B884" s="642" t="s">
        <v>2734</v>
      </c>
      <c r="C884" s="246" t="s">
        <v>98</v>
      </c>
      <c r="D884" s="551">
        <v>4500186385</v>
      </c>
      <c r="E884" s="246">
        <v>60260792</v>
      </c>
      <c r="F884" s="551" t="s">
        <v>3350</v>
      </c>
      <c r="G884" s="659" t="s">
        <v>2736</v>
      </c>
      <c r="H884" s="246" t="s">
        <v>2737</v>
      </c>
      <c r="I884" s="246">
        <v>2000</v>
      </c>
      <c r="J884" s="246">
        <v>0</v>
      </c>
      <c r="K884" s="246">
        <v>8</v>
      </c>
      <c r="L884" s="644">
        <f t="shared" si="294"/>
        <v>250</v>
      </c>
      <c r="M884" s="645">
        <v>46115</v>
      </c>
      <c r="N884" s="645">
        <v>46111</v>
      </c>
      <c r="O884" s="643"/>
      <c r="P884" s="824" t="s">
        <v>113</v>
      </c>
      <c r="Q884" s="646"/>
      <c r="R884" s="646">
        <v>45995</v>
      </c>
      <c r="S884" s="646" t="s">
        <v>70</v>
      </c>
      <c r="T884" s="646" t="s">
        <v>2738</v>
      </c>
      <c r="U884" s="646"/>
      <c r="V884" s="646"/>
      <c r="W884" s="642"/>
      <c r="X884" s="749" t="s">
        <v>3351</v>
      </c>
      <c r="Y884" s="647" t="s">
        <v>2678</v>
      </c>
      <c r="Z884" s="657">
        <v>4.097</v>
      </c>
      <c r="AA884" s="647">
        <f t="shared" si="295"/>
        <v>8194</v>
      </c>
      <c r="AB884" s="551"/>
      <c r="AC884" s="658" t="s">
        <v>3352</v>
      </c>
      <c r="AD884" s="633" t="s">
        <v>2741</v>
      </c>
      <c r="AE884" s="246" t="s">
        <v>82</v>
      </c>
      <c r="AF884" s="246"/>
      <c r="AG884" s="246"/>
      <c r="AH884" s="246" t="s">
        <v>126</v>
      </c>
      <c r="AI884" s="246">
        <v>2000</v>
      </c>
      <c r="AJ884" s="643">
        <f t="shared" si="288"/>
        <v>0</v>
      </c>
      <c r="AK884" s="246"/>
      <c r="AL884" s="246"/>
      <c r="AM884" s="551"/>
      <c r="AN884" s="551">
        <f t="shared" si="297"/>
        <v>2000</v>
      </c>
      <c r="AO884" s="551"/>
      <c r="AP884" s="551"/>
      <c r="AQ884" s="551"/>
      <c r="AR884" s="551">
        <f t="shared" si="298"/>
        <v>2000</v>
      </c>
      <c r="AS884" s="551"/>
      <c r="AT884" s="551"/>
      <c r="AU884" s="551">
        <f>I884</f>
        <v>2000</v>
      </c>
      <c r="AV884" s="551"/>
      <c r="AW884" s="551">
        <f>I884</f>
        <v>2000</v>
      </c>
      <c r="AX884" s="651"/>
      <c r="AY884" s="551"/>
      <c r="AZ884" s="551"/>
      <c r="BA884" s="551"/>
      <c r="BB884" s="551"/>
      <c r="BC884" s="551"/>
      <c r="BD884" s="551"/>
      <c r="BE884" s="551"/>
      <c r="BF884" s="551"/>
      <c r="BG884" s="551"/>
      <c r="BH884" s="551"/>
      <c r="BI884" s="551"/>
      <c r="BJ884" s="551"/>
      <c r="BK884" s="551"/>
      <c r="BL884" s="551"/>
      <c r="BM884" s="551"/>
      <c r="BN884" s="551">
        <f>I884</f>
        <v>2000</v>
      </c>
      <c r="BO884" s="551"/>
      <c r="BP884" s="551"/>
      <c r="BQ884" s="551"/>
      <c r="BR884" s="551"/>
      <c r="BS884" s="551"/>
      <c r="BT884" s="551"/>
      <c r="BU884" s="551"/>
      <c r="BV884" s="551"/>
      <c r="BW884" s="551"/>
      <c r="BX884" s="551"/>
      <c r="BY884" s="551"/>
      <c r="BZ884" s="551"/>
      <c r="CA884" s="551"/>
      <c r="CB884" s="551"/>
      <c r="CC884" s="551"/>
      <c r="CD884" s="551"/>
      <c r="CE884" s="551"/>
      <c r="CF884" s="551"/>
      <c r="CG884" s="551"/>
      <c r="CH884" s="650"/>
      <c r="CI884" s="650"/>
      <c r="CJ884" s="650"/>
      <c r="CK884" s="650"/>
      <c r="CL884" s="650"/>
      <c r="CM884" s="551"/>
      <c r="CN884" s="551"/>
      <c r="CO884" s="551"/>
      <c r="CP884" s="650"/>
      <c r="CQ884" s="650"/>
      <c r="CR884" s="650"/>
      <c r="CS884" s="650"/>
      <c r="CT884" s="650"/>
      <c r="CU884" s="650"/>
    </row>
    <row r="885" s="1265" customFormat="1" ht="31" customHeight="1" spans="1:99">
      <c r="A885" s="641">
        <v>46058</v>
      </c>
      <c r="B885" s="642" t="s">
        <v>1800</v>
      </c>
      <c r="C885" s="246" t="s">
        <v>744</v>
      </c>
      <c r="D885" s="551">
        <v>4500192252</v>
      </c>
      <c r="E885" s="246">
        <v>5000002110</v>
      </c>
      <c r="F885" s="551" t="s">
        <v>3353</v>
      </c>
      <c r="G885" s="659" t="s">
        <v>518</v>
      </c>
      <c r="H885" s="246" t="s">
        <v>477</v>
      </c>
      <c r="I885" s="706">
        <v>13860</v>
      </c>
      <c r="J885" s="246">
        <v>0</v>
      </c>
      <c r="K885" s="246">
        <v>6</v>
      </c>
      <c r="L885" s="644">
        <f t="shared" si="294"/>
        <v>2310</v>
      </c>
      <c r="M885" s="645">
        <v>46115</v>
      </c>
      <c r="N885" s="645">
        <v>46111</v>
      </c>
      <c r="O885" s="643"/>
      <c r="P885" s="824" t="s">
        <v>113</v>
      </c>
      <c r="Q885" s="646"/>
      <c r="R885" s="646" t="s">
        <v>3299</v>
      </c>
      <c r="S885" s="646" t="s">
        <v>104</v>
      </c>
      <c r="T885" s="646" t="s">
        <v>3028</v>
      </c>
      <c r="U885" s="646"/>
      <c r="V885" s="646"/>
      <c r="W885" s="642"/>
      <c r="X885" s="642" t="s">
        <v>3300</v>
      </c>
      <c r="Y885" s="647" t="s">
        <v>1805</v>
      </c>
      <c r="Z885" s="655">
        <v>6.3788</v>
      </c>
      <c r="AA885" s="647">
        <f t="shared" si="295"/>
        <v>88410.168</v>
      </c>
      <c r="AB885" s="551"/>
      <c r="AC885" s="648"/>
      <c r="AD885" s="633" t="s">
        <v>2241</v>
      </c>
      <c r="AE885" s="246" t="s">
        <v>82</v>
      </c>
      <c r="AF885" s="246"/>
      <c r="AG885" s="246"/>
      <c r="AH885" s="704" t="s">
        <v>126</v>
      </c>
      <c r="AI885" s="246"/>
      <c r="AJ885" s="246">
        <f t="shared" si="288"/>
        <v>-13860</v>
      </c>
      <c r="AK885" s="246"/>
      <c r="AL885" s="246" t="s">
        <v>2368</v>
      </c>
      <c r="AM885" s="551"/>
      <c r="AN885" s="551">
        <f t="shared" si="297"/>
        <v>13860</v>
      </c>
      <c r="AO885" s="551"/>
      <c r="AP885" s="551"/>
      <c r="AQ885" s="551"/>
      <c r="AR885" s="551">
        <f t="shared" si="298"/>
        <v>13860</v>
      </c>
      <c r="AS885" s="551"/>
      <c r="AT885" s="551"/>
      <c r="AU885" s="551"/>
      <c r="AV885" s="551">
        <f>I885</f>
        <v>13860</v>
      </c>
      <c r="AW885" s="551"/>
      <c r="AX885" s="651">
        <f>I885</f>
        <v>13860</v>
      </c>
      <c r="AY885" s="551"/>
      <c r="AZ885" s="551"/>
      <c r="BA885" s="551"/>
      <c r="BB885" s="551"/>
      <c r="BC885" s="551"/>
      <c r="BD885" s="551"/>
      <c r="BE885" s="551"/>
      <c r="BF885" s="551"/>
      <c r="BG885" s="551"/>
      <c r="BH885" s="551"/>
      <c r="BI885" s="551"/>
      <c r="BJ885" s="551"/>
      <c r="BK885" s="551"/>
      <c r="BL885" s="551"/>
      <c r="BM885" s="551"/>
      <c r="BN885" s="551">
        <f>I885</f>
        <v>13860</v>
      </c>
      <c r="BO885" s="551"/>
      <c r="BP885" s="551"/>
      <c r="BQ885" s="551"/>
      <c r="BR885" s="551"/>
      <c r="BS885" s="551"/>
      <c r="BT885" s="551"/>
      <c r="BU885" s="551"/>
      <c r="BV885" s="551"/>
      <c r="BW885" s="551"/>
      <c r="BX885" s="551"/>
      <c r="BY885" s="551"/>
      <c r="BZ885" s="551"/>
      <c r="CA885" s="551"/>
      <c r="CB885" s="551"/>
      <c r="CC885" s="551"/>
      <c r="CD885" s="551"/>
      <c r="CE885" s="551"/>
      <c r="CF885" s="551"/>
      <c r="CG885" s="551"/>
      <c r="CH885" s="650"/>
      <c r="CI885" s="650"/>
      <c r="CJ885" s="650"/>
      <c r="CK885" s="650"/>
      <c r="CL885" s="650"/>
      <c r="CM885" s="551"/>
      <c r="CN885" s="551"/>
      <c r="CO885" s="551"/>
      <c r="CP885" s="650"/>
      <c r="CQ885" s="650"/>
      <c r="CR885" s="650"/>
      <c r="CS885" s="650"/>
      <c r="CT885" s="650"/>
      <c r="CU885" s="650"/>
    </row>
    <row r="886" s="1265" customFormat="1" ht="31" customHeight="1" spans="1:99">
      <c r="A886" s="641">
        <v>46058</v>
      </c>
      <c r="B886" s="642" t="s">
        <v>1800</v>
      </c>
      <c r="C886" s="246" t="s">
        <v>744</v>
      </c>
      <c r="D886" s="551">
        <v>4500192252</v>
      </c>
      <c r="E886" s="246">
        <v>5000002110</v>
      </c>
      <c r="F886" s="551" t="s">
        <v>3354</v>
      </c>
      <c r="G886" s="659" t="s">
        <v>518</v>
      </c>
      <c r="H886" s="246" t="s">
        <v>477</v>
      </c>
      <c r="I886" s="706">
        <v>804</v>
      </c>
      <c r="J886" s="246">
        <v>0</v>
      </c>
      <c r="K886" s="246">
        <v>6</v>
      </c>
      <c r="L886" s="644">
        <f t="shared" si="294"/>
        <v>134</v>
      </c>
      <c r="M886" s="645">
        <v>46119</v>
      </c>
      <c r="N886" s="645">
        <v>46115</v>
      </c>
      <c r="O886" s="643"/>
      <c r="P886" s="824" t="s">
        <v>113</v>
      </c>
      <c r="Q886" s="646"/>
      <c r="R886" s="646" t="s">
        <v>3299</v>
      </c>
      <c r="S886" s="646" t="s">
        <v>104</v>
      </c>
      <c r="T886" s="646" t="s">
        <v>3028</v>
      </c>
      <c r="U886" s="646"/>
      <c r="V886" s="646"/>
      <c r="W886" s="642"/>
      <c r="X886" s="642" t="s">
        <v>3300</v>
      </c>
      <c r="Y886" s="647" t="s">
        <v>1805</v>
      </c>
      <c r="Z886" s="655">
        <v>6.3788</v>
      </c>
      <c r="AA886" s="647">
        <f t="shared" si="295"/>
        <v>5128.5552</v>
      </c>
      <c r="AB886" s="551"/>
      <c r="AC886" s="648"/>
      <c r="AD886" s="633" t="s">
        <v>2241</v>
      </c>
      <c r="AE886" s="246" t="s">
        <v>82</v>
      </c>
      <c r="AF886" s="246"/>
      <c r="AG886" s="246"/>
      <c r="AH886" s="246">
        <v>1</v>
      </c>
      <c r="AI886" s="246"/>
      <c r="AJ886" s="246">
        <f t="shared" si="288"/>
        <v>-804</v>
      </c>
      <c r="AK886" s="246"/>
      <c r="AL886" s="246" t="s">
        <v>2368</v>
      </c>
      <c r="AM886" s="551"/>
      <c r="AN886" s="551">
        <f t="shared" si="297"/>
        <v>804</v>
      </c>
      <c r="AO886" s="551"/>
      <c r="AP886" s="551"/>
      <c r="AQ886" s="551"/>
      <c r="AR886" s="551">
        <f t="shared" si="298"/>
        <v>804</v>
      </c>
      <c r="AS886" s="551"/>
      <c r="AT886" s="551"/>
      <c r="AU886" s="551"/>
      <c r="AV886" s="551">
        <f>I886</f>
        <v>804</v>
      </c>
      <c r="AW886" s="551"/>
      <c r="AX886" s="651">
        <f>I886</f>
        <v>804</v>
      </c>
      <c r="AY886" s="551"/>
      <c r="AZ886" s="551"/>
      <c r="BA886" s="551"/>
      <c r="BB886" s="551"/>
      <c r="BC886" s="551"/>
      <c r="BD886" s="551"/>
      <c r="BE886" s="551"/>
      <c r="BF886" s="551"/>
      <c r="BG886" s="551"/>
      <c r="BH886" s="551"/>
      <c r="BI886" s="551"/>
      <c r="BJ886" s="551"/>
      <c r="BK886" s="551"/>
      <c r="BL886" s="551"/>
      <c r="BM886" s="551"/>
      <c r="BN886" s="551">
        <f>I886</f>
        <v>804</v>
      </c>
      <c r="BO886" s="551"/>
      <c r="BP886" s="551"/>
      <c r="BQ886" s="551"/>
      <c r="BR886" s="551"/>
      <c r="BS886" s="551"/>
      <c r="BT886" s="551"/>
      <c r="BU886" s="551"/>
      <c r="BV886" s="551"/>
      <c r="BW886" s="551"/>
      <c r="BX886" s="551"/>
      <c r="BY886" s="551"/>
      <c r="BZ886" s="551"/>
      <c r="CA886" s="551"/>
      <c r="CB886" s="551"/>
      <c r="CC886" s="551"/>
      <c r="CD886" s="551"/>
      <c r="CE886" s="551"/>
      <c r="CF886" s="551"/>
      <c r="CG886" s="551"/>
      <c r="CH886" s="650"/>
      <c r="CI886" s="650"/>
      <c r="CJ886" s="650"/>
      <c r="CK886" s="650"/>
      <c r="CL886" s="650"/>
      <c r="CM886" s="551"/>
      <c r="CN886" s="551"/>
      <c r="CO886" s="551"/>
      <c r="CP886" s="650"/>
      <c r="CQ886" s="650"/>
      <c r="CR886" s="650"/>
      <c r="CS886" s="650"/>
      <c r="CT886" s="650"/>
      <c r="CU886" s="650"/>
    </row>
    <row r="887" s="1265" customFormat="1" ht="31" customHeight="1" spans="1:99">
      <c r="A887" s="641">
        <v>46034</v>
      </c>
      <c r="B887" s="642" t="s">
        <v>3355</v>
      </c>
      <c r="C887" s="246" t="s">
        <v>278</v>
      </c>
      <c r="D887" s="551">
        <v>4500190991</v>
      </c>
      <c r="E887" s="246" t="s">
        <v>3356</v>
      </c>
      <c r="F887" s="551" t="s">
        <v>3357</v>
      </c>
      <c r="G887" s="659" t="s">
        <v>111</v>
      </c>
      <c r="H887" s="246" t="s">
        <v>112</v>
      </c>
      <c r="I887" s="246">
        <v>2000</v>
      </c>
      <c r="J887" s="246">
        <v>0</v>
      </c>
      <c r="K887" s="246">
        <v>16</v>
      </c>
      <c r="L887" s="644">
        <f t="shared" si="294"/>
        <v>125</v>
      </c>
      <c r="M887" s="742">
        <v>46148</v>
      </c>
      <c r="N887" s="742">
        <v>46144</v>
      </c>
      <c r="O887" s="643"/>
      <c r="P887" s="824" t="s">
        <v>113</v>
      </c>
      <c r="Q887" s="646"/>
      <c r="R887" s="646">
        <v>46037</v>
      </c>
      <c r="S887" s="646" t="s">
        <v>70</v>
      </c>
      <c r="T887" s="646" t="s">
        <v>3358</v>
      </c>
      <c r="U887" s="646"/>
      <c r="V887" s="642"/>
      <c r="W887" s="642"/>
      <c r="X887" s="642" t="s">
        <v>3359</v>
      </c>
      <c r="Y887" s="647" t="s">
        <v>299</v>
      </c>
      <c r="Z887" s="657">
        <v>4.2542</v>
      </c>
      <c r="AA887" s="647">
        <f t="shared" si="295"/>
        <v>8508.4</v>
      </c>
      <c r="AB887" s="551"/>
      <c r="AC887" s="648"/>
      <c r="AD887" s="633" t="s">
        <v>111</v>
      </c>
      <c r="AE887" s="246" t="s">
        <v>82</v>
      </c>
      <c r="AF887" s="246"/>
      <c r="AG887" s="246"/>
      <c r="AH887" s="246">
        <v>1</v>
      </c>
      <c r="AI887" s="246">
        <v>2000</v>
      </c>
      <c r="AJ887" s="246">
        <f t="shared" si="288"/>
        <v>0</v>
      </c>
      <c r="AK887" s="246"/>
      <c r="AL887" s="246" t="s">
        <v>2368</v>
      </c>
      <c r="AM887" s="551"/>
      <c r="AN887" s="551">
        <f t="shared" si="297"/>
        <v>2000</v>
      </c>
      <c r="AO887" s="1331"/>
      <c r="AP887" s="1331"/>
      <c r="AQ887" s="1331"/>
      <c r="AR887" s="551">
        <f t="shared" si="298"/>
        <v>2000</v>
      </c>
      <c r="AS887" s="551"/>
      <c r="AT887" s="551"/>
      <c r="AU887" s="551">
        <f>I887</f>
        <v>2000</v>
      </c>
      <c r="AV887" s="551"/>
      <c r="AW887" s="551">
        <f t="shared" ref="AW887:AW893" si="299">I887</f>
        <v>2000</v>
      </c>
      <c r="AX887" s="651"/>
      <c r="AY887" s="551"/>
      <c r="AZ887" s="551"/>
      <c r="BA887" s="551"/>
      <c r="BB887" s="551"/>
      <c r="BC887" s="551"/>
      <c r="BD887" s="551"/>
      <c r="BE887" s="551"/>
      <c r="BF887" s="551"/>
      <c r="BG887" s="551"/>
      <c r="BH887" s="825">
        <f>I887/4</f>
        <v>500</v>
      </c>
      <c r="BI887" s="551"/>
      <c r="BJ887" s="551"/>
      <c r="BK887" s="551"/>
      <c r="BL887" s="551"/>
      <c r="BM887" s="551"/>
      <c r="BN887" s="551"/>
      <c r="BO887" s="551"/>
      <c r="BP887" s="551"/>
      <c r="BQ887" s="551"/>
      <c r="BR887" s="551"/>
      <c r="BS887" s="551"/>
      <c r="BT887" s="551"/>
      <c r="BU887" s="551"/>
      <c r="BV887" s="551"/>
      <c r="BW887" s="551"/>
      <c r="BX887" s="551"/>
      <c r="BY887" s="551"/>
      <c r="BZ887" s="551"/>
      <c r="CA887" s="551"/>
      <c r="CB887" s="551"/>
      <c r="CC887" s="551"/>
      <c r="CD887" s="551"/>
      <c r="CE887" s="551"/>
      <c r="CF887" s="551"/>
      <c r="CG887" s="551"/>
      <c r="CH887" s="650"/>
      <c r="CI887" s="650"/>
      <c r="CJ887" s="650"/>
      <c r="CK887" s="650"/>
      <c r="CL887" s="650"/>
      <c r="CM887" s="551"/>
      <c r="CN887" s="551"/>
      <c r="CO887" s="551"/>
      <c r="CP887" s="650"/>
      <c r="CQ887" s="650"/>
      <c r="CR887" s="650"/>
      <c r="CS887" s="650"/>
      <c r="CT887" s="650"/>
      <c r="CU887" s="650"/>
    </row>
    <row r="888" s="1265" customFormat="1" ht="31" customHeight="1" spans="1:99">
      <c r="A888" s="641">
        <v>46028</v>
      </c>
      <c r="B888" s="642" t="s">
        <v>325</v>
      </c>
      <c r="C888" s="246" t="s">
        <v>98</v>
      </c>
      <c r="D888" s="551">
        <v>4500190738</v>
      </c>
      <c r="E888" s="246" t="s">
        <v>3360</v>
      </c>
      <c r="F888" s="551" t="s">
        <v>3361</v>
      </c>
      <c r="G888" s="659" t="s">
        <v>249</v>
      </c>
      <c r="H888" s="246" t="s">
        <v>250</v>
      </c>
      <c r="I888" s="706">
        <v>3380</v>
      </c>
      <c r="J888" s="246">
        <v>0</v>
      </c>
      <c r="K888" s="246">
        <v>4</v>
      </c>
      <c r="L888" s="644">
        <f t="shared" si="294"/>
        <v>845</v>
      </c>
      <c r="M888" s="742">
        <v>46119</v>
      </c>
      <c r="N888" s="742">
        <v>46115</v>
      </c>
      <c r="O888" s="643"/>
      <c r="P888" s="824" t="s">
        <v>113</v>
      </c>
      <c r="Q888" s="646"/>
      <c r="R888" s="646" t="s">
        <v>3362</v>
      </c>
      <c r="S888" s="646" t="s">
        <v>104</v>
      </c>
      <c r="T888" s="646" t="s">
        <v>3363</v>
      </c>
      <c r="U888" s="646"/>
      <c r="V888" s="646"/>
      <c r="W888" s="642"/>
      <c r="X888" s="749" t="s">
        <v>3364</v>
      </c>
      <c r="Y888" s="647" t="s">
        <v>252</v>
      </c>
      <c r="Z888" s="657">
        <v>2.8063</v>
      </c>
      <c r="AA888" s="647">
        <f t="shared" si="295"/>
        <v>9485.294</v>
      </c>
      <c r="AB888" s="551"/>
      <c r="AC888" s="658" t="s">
        <v>3365</v>
      </c>
      <c r="AD888" s="246" t="s">
        <v>249</v>
      </c>
      <c r="AE888" s="246" t="s">
        <v>82</v>
      </c>
      <c r="AF888" s="246"/>
      <c r="AG888" s="246"/>
      <c r="AH888" s="246">
        <v>1</v>
      </c>
      <c r="AI888" s="246">
        <f>2880+500+500+500</f>
        <v>4380</v>
      </c>
      <c r="AJ888" s="246">
        <f t="shared" si="288"/>
        <v>1000</v>
      </c>
      <c r="AK888" s="246"/>
      <c r="AL888" s="246" t="s">
        <v>2368</v>
      </c>
      <c r="AM888" s="551"/>
      <c r="AN888" s="1331"/>
      <c r="AO888" s="551"/>
      <c r="AP888" s="551">
        <f>I888</f>
        <v>3380</v>
      </c>
      <c r="AQ888" s="551"/>
      <c r="AR888" s="551"/>
      <c r="AS888" s="551"/>
      <c r="AT888" s="551"/>
      <c r="AU888" s="551"/>
      <c r="AV888" s="551"/>
      <c r="AW888" s="551">
        <f t="shared" si="299"/>
        <v>3380</v>
      </c>
      <c r="AX888" s="651"/>
      <c r="AY888" s="551"/>
      <c r="AZ888" s="551"/>
      <c r="BA888" s="551"/>
      <c r="BB888" s="551"/>
      <c r="BC888" s="551"/>
      <c r="BD888" s="551"/>
      <c r="BE888" s="551"/>
      <c r="BF888" s="551">
        <f>I888</f>
        <v>3380</v>
      </c>
      <c r="BG888" s="551">
        <f>I888</f>
        <v>3380</v>
      </c>
      <c r="BH888" s="825">
        <f>I888/4</f>
        <v>845</v>
      </c>
      <c r="BI888" s="551"/>
      <c r="BJ888" s="551"/>
      <c r="BK888" s="551"/>
      <c r="BL888" s="551"/>
      <c r="BM888" s="551"/>
      <c r="BN888" s="551"/>
      <c r="BO888" s="551"/>
      <c r="BP888" s="551"/>
      <c r="BQ888" s="551"/>
      <c r="BR888" s="551"/>
      <c r="BS888" s="551"/>
      <c r="BT888" s="551"/>
      <c r="BU888" s="551"/>
      <c r="BV888" s="551"/>
      <c r="BW888" s="551"/>
      <c r="BX888" s="551"/>
      <c r="BY888" s="551"/>
      <c r="BZ888" s="551"/>
      <c r="CA888" s="551"/>
      <c r="CB888" s="551"/>
      <c r="CC888" s="551"/>
      <c r="CD888" s="551"/>
      <c r="CE888" s="551"/>
      <c r="CF888" s="551"/>
      <c r="CG888" s="551"/>
      <c r="CH888" s="650"/>
      <c r="CI888" s="650"/>
      <c r="CJ888" s="650"/>
      <c r="CK888" s="650"/>
      <c r="CL888" s="650"/>
      <c r="CM888" s="551"/>
      <c r="CN888" s="551"/>
      <c r="CO888" s="551"/>
      <c r="CP888" s="650"/>
      <c r="CQ888" s="650"/>
      <c r="CR888" s="650"/>
      <c r="CS888" s="650"/>
      <c r="CT888" s="650"/>
      <c r="CU888" s="650"/>
    </row>
    <row r="889" s="1265" customFormat="1" ht="31" customHeight="1" spans="1:99">
      <c r="A889" s="641">
        <v>46083</v>
      </c>
      <c r="B889" s="642" t="s">
        <v>169</v>
      </c>
      <c r="C889" s="246" t="s">
        <v>170</v>
      </c>
      <c r="D889" s="551">
        <v>4500194850</v>
      </c>
      <c r="E889" s="1415" t="s">
        <v>3366</v>
      </c>
      <c r="F889" s="551" t="s">
        <v>3367</v>
      </c>
      <c r="G889" s="659" t="s">
        <v>172</v>
      </c>
      <c r="H889" s="246" t="s">
        <v>112</v>
      </c>
      <c r="I889" s="706">
        <v>1400</v>
      </c>
      <c r="J889" s="246">
        <v>0</v>
      </c>
      <c r="K889" s="246">
        <v>2</v>
      </c>
      <c r="L889" s="644">
        <f t="shared" si="294"/>
        <v>700</v>
      </c>
      <c r="M889" s="645">
        <v>46121</v>
      </c>
      <c r="N889" s="645">
        <v>46118</v>
      </c>
      <c r="O889" s="743" t="s">
        <v>3368</v>
      </c>
      <c r="P889" s="824" t="s">
        <v>113</v>
      </c>
      <c r="Q889" s="646"/>
      <c r="R889" s="646">
        <v>46083</v>
      </c>
      <c r="S889" s="646" t="s">
        <v>70</v>
      </c>
      <c r="T889" s="646" t="s">
        <v>1980</v>
      </c>
      <c r="U889" s="646"/>
      <c r="V889" s="646"/>
      <c r="W889" s="642"/>
      <c r="X889" s="642" t="s">
        <v>3369</v>
      </c>
      <c r="Y889" s="647" t="s">
        <v>2071</v>
      </c>
      <c r="Z889" s="657">
        <v>4.2745</v>
      </c>
      <c r="AA889" s="647">
        <f t="shared" si="295"/>
        <v>5984.3</v>
      </c>
      <c r="AB889" s="551"/>
      <c r="AC889" s="648"/>
      <c r="AD889" s="246" t="s">
        <v>172</v>
      </c>
      <c r="AE889" s="246" t="s">
        <v>82</v>
      </c>
      <c r="AF889" s="246"/>
      <c r="AG889" s="246"/>
      <c r="AH889" s="246">
        <v>1</v>
      </c>
      <c r="AI889" s="246">
        <v>1400</v>
      </c>
      <c r="AJ889" s="246">
        <f t="shared" si="288"/>
        <v>0</v>
      </c>
      <c r="AK889" s="246"/>
      <c r="AL889" s="246" t="s">
        <v>2368</v>
      </c>
      <c r="AM889" s="551"/>
      <c r="AN889" s="551">
        <f>I889</f>
        <v>1400</v>
      </c>
      <c r="AO889" s="551"/>
      <c r="AP889" s="551"/>
      <c r="AQ889" s="551"/>
      <c r="AR889" s="551"/>
      <c r="AS889" s="551">
        <f>I889</f>
        <v>1400</v>
      </c>
      <c r="AT889" s="551"/>
      <c r="AU889" s="551">
        <f>I889</f>
        <v>1400</v>
      </c>
      <c r="AV889" s="551"/>
      <c r="AW889" s="551">
        <f t="shared" si="299"/>
        <v>1400</v>
      </c>
      <c r="AX889" s="651"/>
      <c r="AY889" s="551"/>
      <c r="AZ889" s="551"/>
      <c r="BA889" s="551"/>
      <c r="BB889" s="551"/>
      <c r="BC889" s="551"/>
      <c r="BD889" s="551"/>
      <c r="BE889" s="551"/>
      <c r="BF889" s="551"/>
      <c r="BG889" s="551"/>
      <c r="BH889" s="551"/>
      <c r="BI889" s="551"/>
      <c r="BJ889" s="551"/>
      <c r="BK889" s="551"/>
      <c r="BL889" s="551"/>
      <c r="BM889" s="551"/>
      <c r="BN889" s="551"/>
      <c r="BO889" s="551"/>
      <c r="BP889" s="551"/>
      <c r="BQ889" s="551"/>
      <c r="BR889" s="551"/>
      <c r="BS889" s="551"/>
      <c r="BT889" s="551"/>
      <c r="BU889" s="551"/>
      <c r="BV889" s="551"/>
      <c r="BW889" s="551"/>
      <c r="BX889" s="551"/>
      <c r="BY889" s="551"/>
      <c r="BZ889" s="551"/>
      <c r="CA889" s="551"/>
      <c r="CB889" s="551"/>
      <c r="CC889" s="551"/>
      <c r="CD889" s="551"/>
      <c r="CE889" s="551"/>
      <c r="CF889" s="551"/>
      <c r="CG889" s="551"/>
      <c r="CH889" s="650"/>
      <c r="CI889" s="650"/>
      <c r="CJ889" s="650"/>
      <c r="CK889" s="650"/>
      <c r="CL889" s="650"/>
      <c r="CM889" s="551"/>
      <c r="CN889" s="551"/>
      <c r="CO889" s="551"/>
      <c r="CP889" s="650"/>
      <c r="CQ889" s="650"/>
      <c r="CR889" s="650"/>
      <c r="CS889" s="650"/>
      <c r="CT889" s="650"/>
      <c r="CU889" s="650"/>
    </row>
    <row r="890" s="1265" customFormat="1" ht="31" customHeight="1" spans="1:99">
      <c r="A890" s="641">
        <v>46038</v>
      </c>
      <c r="B890" s="642" t="s">
        <v>2828</v>
      </c>
      <c r="C890" s="246" t="s">
        <v>98</v>
      </c>
      <c r="D890" s="551">
        <v>4500191650</v>
      </c>
      <c r="E890" s="246">
        <v>384464407</v>
      </c>
      <c r="F890" s="551" t="s">
        <v>3370</v>
      </c>
      <c r="G890" s="659" t="s">
        <v>130</v>
      </c>
      <c r="H890" s="246" t="s">
        <v>131</v>
      </c>
      <c r="I890" s="706">
        <v>960</v>
      </c>
      <c r="J890" s="246">
        <v>0</v>
      </c>
      <c r="K890" s="246">
        <v>6</v>
      </c>
      <c r="L890" s="644">
        <f t="shared" si="294"/>
        <v>160</v>
      </c>
      <c r="M890" s="645">
        <v>46122</v>
      </c>
      <c r="N890" s="645">
        <v>46118</v>
      </c>
      <c r="O890" s="643"/>
      <c r="P890" s="824" t="s">
        <v>113</v>
      </c>
      <c r="Q890" s="646"/>
      <c r="R890" s="646" t="s">
        <v>3371</v>
      </c>
      <c r="S890" s="646" t="s">
        <v>104</v>
      </c>
      <c r="T890" s="646" t="s">
        <v>3372</v>
      </c>
      <c r="U890" s="646"/>
      <c r="V890" s="646"/>
      <c r="W890" s="642"/>
      <c r="X890" s="642" t="s">
        <v>3373</v>
      </c>
      <c r="Y890" s="642" t="s">
        <v>1278</v>
      </c>
      <c r="Z890" s="657">
        <v>2.5046</v>
      </c>
      <c r="AA890" s="647">
        <f t="shared" si="295"/>
        <v>2404.416</v>
      </c>
      <c r="AB890" s="551"/>
      <c r="AC890" s="658" t="s">
        <v>3374</v>
      </c>
      <c r="AD890" s="246" t="s">
        <v>130</v>
      </c>
      <c r="AE890" s="246" t="s">
        <v>82</v>
      </c>
      <c r="AF890" s="246"/>
      <c r="AG890" s="246"/>
      <c r="AH890" s="246">
        <v>1</v>
      </c>
      <c r="AI890" s="246">
        <v>960</v>
      </c>
      <c r="AJ890" s="643">
        <f t="shared" si="288"/>
        <v>0</v>
      </c>
      <c r="AK890" s="246"/>
      <c r="AL890" s="246" t="s">
        <v>2368</v>
      </c>
      <c r="AM890" s="551"/>
      <c r="AN890" s="551">
        <f>I890</f>
        <v>960</v>
      </c>
      <c r="AO890" s="551"/>
      <c r="AP890" s="551"/>
      <c r="AQ890" s="551"/>
      <c r="AR890" s="551">
        <f>I890</f>
        <v>960</v>
      </c>
      <c r="AS890" s="551"/>
      <c r="AT890" s="551"/>
      <c r="AU890" s="551">
        <f>I890</f>
        <v>960</v>
      </c>
      <c r="AV890" s="551"/>
      <c r="AW890" s="551">
        <f t="shared" si="299"/>
        <v>960</v>
      </c>
      <c r="AX890" s="651"/>
      <c r="AY890" s="551"/>
      <c r="AZ890" s="551"/>
      <c r="BA890" s="551"/>
      <c r="BB890" s="551"/>
      <c r="BC890" s="551"/>
      <c r="BD890" s="551"/>
      <c r="BE890" s="551"/>
      <c r="BF890" s="551"/>
      <c r="BG890" s="551"/>
      <c r="BH890" s="551"/>
      <c r="BI890" s="551"/>
      <c r="BJ890" s="551"/>
      <c r="BK890" s="551"/>
      <c r="BL890" s="551"/>
      <c r="BM890" s="551"/>
      <c r="BN890" s="551"/>
      <c r="BO890" s="551"/>
      <c r="BP890" s="551"/>
      <c r="BQ890" s="551"/>
      <c r="BR890" s="551"/>
      <c r="BS890" s="551"/>
      <c r="BT890" s="551"/>
      <c r="BU890" s="551"/>
      <c r="BV890" s="551"/>
      <c r="BW890" s="551"/>
      <c r="BX890" s="551"/>
      <c r="BY890" s="551"/>
      <c r="BZ890" s="551"/>
      <c r="CA890" s="551"/>
      <c r="CB890" s="551"/>
      <c r="CC890" s="551"/>
      <c r="CD890" s="551"/>
      <c r="CE890" s="551"/>
      <c r="CF890" s="551"/>
      <c r="CG890" s="551"/>
      <c r="CH890" s="650"/>
      <c r="CI890" s="650"/>
      <c r="CJ890" s="650"/>
      <c r="CK890" s="650"/>
      <c r="CL890" s="650"/>
      <c r="CM890" s="551"/>
      <c r="CN890" s="551"/>
      <c r="CO890" s="551"/>
      <c r="CP890" s="650"/>
      <c r="CQ890" s="650"/>
      <c r="CR890" s="650"/>
      <c r="CS890" s="650"/>
      <c r="CT890" s="650"/>
      <c r="CU890" s="650"/>
    </row>
    <row r="891" s="1265" customFormat="1" ht="31" customHeight="1" spans="1:99">
      <c r="A891" s="641">
        <v>46038</v>
      </c>
      <c r="B891" s="642" t="s">
        <v>2828</v>
      </c>
      <c r="C891" s="246" t="s">
        <v>98</v>
      </c>
      <c r="D891" s="551">
        <v>4500191650</v>
      </c>
      <c r="E891" s="246">
        <v>384464511</v>
      </c>
      <c r="F891" s="551" t="s">
        <v>3375</v>
      </c>
      <c r="G891" s="659" t="s">
        <v>130</v>
      </c>
      <c r="H891" s="246" t="s">
        <v>131</v>
      </c>
      <c r="I891" s="706">
        <v>960</v>
      </c>
      <c r="J891" s="246">
        <v>0</v>
      </c>
      <c r="K891" s="246">
        <v>6</v>
      </c>
      <c r="L891" s="644">
        <f t="shared" si="294"/>
        <v>160</v>
      </c>
      <c r="M891" s="645">
        <v>46122</v>
      </c>
      <c r="N891" s="645">
        <v>46118</v>
      </c>
      <c r="O891" s="643"/>
      <c r="P891" s="824" t="s">
        <v>113</v>
      </c>
      <c r="Q891" s="646"/>
      <c r="R891" s="646" t="s">
        <v>3371</v>
      </c>
      <c r="S891" s="646" t="s">
        <v>104</v>
      </c>
      <c r="T891" s="646" t="s">
        <v>3372</v>
      </c>
      <c r="U891" s="646"/>
      <c r="V891" s="646"/>
      <c r="W891" s="642"/>
      <c r="X891" s="642" t="s">
        <v>3373</v>
      </c>
      <c r="Y891" s="642" t="s">
        <v>1278</v>
      </c>
      <c r="Z891" s="657">
        <v>2.5046</v>
      </c>
      <c r="AA891" s="647">
        <f t="shared" si="295"/>
        <v>2404.416</v>
      </c>
      <c r="AB891" s="551"/>
      <c r="AC891" s="658" t="s">
        <v>3374</v>
      </c>
      <c r="AD891" s="246" t="s">
        <v>130</v>
      </c>
      <c r="AE891" s="246" t="s">
        <v>82</v>
      </c>
      <c r="AF891" s="246"/>
      <c r="AG891" s="246"/>
      <c r="AH891" s="246">
        <v>1</v>
      </c>
      <c r="AI891" s="246">
        <v>960</v>
      </c>
      <c r="AJ891" s="643">
        <f t="shared" si="288"/>
        <v>0</v>
      </c>
      <c r="AK891" s="246"/>
      <c r="AL891" s="246" t="s">
        <v>2368</v>
      </c>
      <c r="AM891" s="551"/>
      <c r="AN891" s="551">
        <f>I891</f>
        <v>960</v>
      </c>
      <c r="AO891" s="551"/>
      <c r="AP891" s="551"/>
      <c r="AQ891" s="551"/>
      <c r="AR891" s="551">
        <f>I891</f>
        <v>960</v>
      </c>
      <c r="AS891" s="551"/>
      <c r="AT891" s="551"/>
      <c r="AU891" s="551">
        <f>I891</f>
        <v>960</v>
      </c>
      <c r="AV891" s="551"/>
      <c r="AW891" s="551">
        <f t="shared" si="299"/>
        <v>960</v>
      </c>
      <c r="AX891" s="651"/>
      <c r="AY891" s="551"/>
      <c r="AZ891" s="551"/>
      <c r="BA891" s="551"/>
      <c r="BB891" s="551"/>
      <c r="BC891" s="551"/>
      <c r="BD891" s="551"/>
      <c r="BE891" s="551"/>
      <c r="BF891" s="551"/>
      <c r="BG891" s="551"/>
      <c r="BH891" s="551"/>
      <c r="BI891" s="551"/>
      <c r="BJ891" s="551"/>
      <c r="BK891" s="551"/>
      <c r="BL891" s="551"/>
      <c r="BM891" s="551"/>
      <c r="BN891" s="551"/>
      <c r="BO891" s="551"/>
      <c r="BP891" s="551"/>
      <c r="BQ891" s="551"/>
      <c r="BR891" s="551"/>
      <c r="BS891" s="551"/>
      <c r="BT891" s="551"/>
      <c r="BU891" s="551"/>
      <c r="BV891" s="551"/>
      <c r="BW891" s="551"/>
      <c r="BX891" s="551"/>
      <c r="BY891" s="551"/>
      <c r="BZ891" s="551"/>
      <c r="CA891" s="551"/>
      <c r="CB891" s="551"/>
      <c r="CC891" s="551"/>
      <c r="CD891" s="551"/>
      <c r="CE891" s="551"/>
      <c r="CF891" s="551"/>
      <c r="CG891" s="551"/>
      <c r="CH891" s="650"/>
      <c r="CI891" s="650"/>
      <c r="CJ891" s="650"/>
      <c r="CK891" s="650"/>
      <c r="CL891" s="650"/>
      <c r="CM891" s="551"/>
      <c r="CN891" s="551"/>
      <c r="CO891" s="551"/>
      <c r="CP891" s="650"/>
      <c r="CQ891" s="650"/>
      <c r="CR891" s="650"/>
      <c r="CS891" s="650"/>
      <c r="CT891" s="650"/>
      <c r="CU891" s="650"/>
    </row>
    <row r="892" s="1265" customFormat="1" ht="31" customHeight="1" spans="1:99">
      <c r="A892" s="641">
        <v>46078</v>
      </c>
      <c r="B892" s="642" t="s">
        <v>3376</v>
      </c>
      <c r="C892" s="246" t="s">
        <v>782</v>
      </c>
      <c r="D892" s="551">
        <v>4500194168</v>
      </c>
      <c r="E892" s="246"/>
      <c r="F892" s="551" t="s">
        <v>3377</v>
      </c>
      <c r="G892" s="659" t="s">
        <v>68</v>
      </c>
      <c r="H892" s="633" t="s">
        <v>69</v>
      </c>
      <c r="I892" s="706">
        <v>120</v>
      </c>
      <c r="J892" s="246">
        <v>0</v>
      </c>
      <c r="K892" s="246">
        <v>12</v>
      </c>
      <c r="L892" s="644">
        <f t="shared" si="294"/>
        <v>10</v>
      </c>
      <c r="M892" s="645">
        <v>46122</v>
      </c>
      <c r="N892" s="645">
        <v>46118</v>
      </c>
      <c r="O892" s="643"/>
      <c r="P892" s="824" t="s">
        <v>113</v>
      </c>
      <c r="Q892" s="646"/>
      <c r="R892" s="646">
        <v>46079</v>
      </c>
      <c r="S892" s="646" t="s">
        <v>70</v>
      </c>
      <c r="T892" s="646">
        <v>46079</v>
      </c>
      <c r="U892" s="646"/>
      <c r="V892" s="646"/>
      <c r="W892" s="642"/>
      <c r="X892" s="642" t="s">
        <v>3378</v>
      </c>
      <c r="Y892" s="642" t="s">
        <v>529</v>
      </c>
      <c r="Z892" s="657">
        <v>4.2622</v>
      </c>
      <c r="AA892" s="647">
        <f t="shared" si="295"/>
        <v>511.464</v>
      </c>
      <c r="AB892" s="551"/>
      <c r="AC892" s="648"/>
      <c r="AD892" s="246" t="s">
        <v>184</v>
      </c>
      <c r="AE892" s="246" t="s">
        <v>82</v>
      </c>
      <c r="AF892" s="246"/>
      <c r="AG892" s="246"/>
      <c r="AH892" s="246">
        <v>1</v>
      </c>
      <c r="AI892" s="246">
        <v>120</v>
      </c>
      <c r="AJ892" s="643">
        <f t="shared" si="288"/>
        <v>0</v>
      </c>
      <c r="AK892" s="246"/>
      <c r="AL892" s="246" t="s">
        <v>2368</v>
      </c>
      <c r="AM892" s="551"/>
      <c r="AN892" s="551">
        <f>I892</f>
        <v>120</v>
      </c>
      <c r="AO892" s="551"/>
      <c r="AP892" s="551"/>
      <c r="AQ892" s="551"/>
      <c r="AR892" s="551"/>
      <c r="AS892" s="551">
        <f>I892</f>
        <v>120</v>
      </c>
      <c r="AT892" s="551"/>
      <c r="AU892" s="551">
        <f>I892</f>
        <v>120</v>
      </c>
      <c r="AV892" s="551"/>
      <c r="AW892" s="551">
        <f t="shared" si="299"/>
        <v>120</v>
      </c>
      <c r="AX892" s="651"/>
      <c r="AY892" s="551"/>
      <c r="AZ892" s="551"/>
      <c r="BA892" s="551"/>
      <c r="BB892" s="551"/>
      <c r="BC892" s="551"/>
      <c r="BD892" s="551"/>
      <c r="BE892" s="551"/>
      <c r="BF892" s="551"/>
      <c r="BG892" s="551"/>
      <c r="BH892" s="551"/>
      <c r="BI892" s="551"/>
      <c r="BJ892" s="551"/>
      <c r="BK892" s="551"/>
      <c r="BL892" s="551"/>
      <c r="BM892" s="551"/>
      <c r="BN892" s="551"/>
      <c r="BO892" s="551"/>
      <c r="BP892" s="551"/>
      <c r="BQ892" s="551"/>
      <c r="BR892" s="551"/>
      <c r="BS892" s="551"/>
      <c r="BT892" s="551"/>
      <c r="BU892" s="551"/>
      <c r="BV892" s="551"/>
      <c r="BW892" s="551"/>
      <c r="BX892" s="551"/>
      <c r="BY892" s="551"/>
      <c r="BZ892" s="551"/>
      <c r="CA892" s="551"/>
      <c r="CB892" s="551"/>
      <c r="CC892" s="551"/>
      <c r="CD892" s="551"/>
      <c r="CE892" s="551"/>
      <c r="CF892" s="551"/>
      <c r="CG892" s="551"/>
      <c r="CH892" s="650"/>
      <c r="CI892" s="650"/>
      <c r="CJ892" s="650"/>
      <c r="CK892" s="650"/>
      <c r="CL892" s="650"/>
      <c r="CM892" s="551"/>
      <c r="CN892" s="551"/>
      <c r="CO892" s="551"/>
      <c r="CP892" s="650"/>
      <c r="CQ892" s="650"/>
      <c r="CR892" s="650"/>
      <c r="CS892" s="650"/>
      <c r="CT892" s="650"/>
      <c r="CU892" s="650"/>
    </row>
    <row r="893" s="1265" customFormat="1" ht="31" customHeight="1" spans="1:99">
      <c r="A893" s="641">
        <v>45978</v>
      </c>
      <c r="B893" s="642" t="s">
        <v>1492</v>
      </c>
      <c r="C893" s="246" t="s">
        <v>98</v>
      </c>
      <c r="D893" s="551">
        <v>4500185958</v>
      </c>
      <c r="E893" s="1418" t="s">
        <v>3379</v>
      </c>
      <c r="F893" s="551" t="s">
        <v>3380</v>
      </c>
      <c r="G893" s="659" t="s">
        <v>2666</v>
      </c>
      <c r="H893" s="246" t="s">
        <v>830</v>
      </c>
      <c r="I893" s="246">
        <v>5400</v>
      </c>
      <c r="J893" s="246">
        <v>0</v>
      </c>
      <c r="K893" s="246">
        <v>75</v>
      </c>
      <c r="L893" s="644">
        <f t="shared" si="294"/>
        <v>72</v>
      </c>
      <c r="M893" s="742">
        <v>46115</v>
      </c>
      <c r="N893" s="742">
        <f>M893-4</f>
        <v>46111</v>
      </c>
      <c r="O893" s="643"/>
      <c r="P893" s="824" t="s">
        <v>113</v>
      </c>
      <c r="Q893" s="646"/>
      <c r="R893" s="646" t="s">
        <v>2667</v>
      </c>
      <c r="S893" s="646" t="s">
        <v>70</v>
      </c>
      <c r="T893" s="646" t="s">
        <v>70</v>
      </c>
      <c r="U893" s="646"/>
      <c r="V893" s="646"/>
      <c r="W893" s="642"/>
      <c r="X893" s="642" t="s">
        <v>2826</v>
      </c>
      <c r="Y893" s="647" t="s">
        <v>911</v>
      </c>
      <c r="Z893" s="657">
        <v>359.3436</v>
      </c>
      <c r="AA893" s="647">
        <v>25872.7392</v>
      </c>
      <c r="AB893" s="551"/>
      <c r="AC893" s="658" t="s">
        <v>3381</v>
      </c>
      <c r="AD893" s="246" t="s">
        <v>1498</v>
      </c>
      <c r="AE893" s="246" t="s">
        <v>82</v>
      </c>
      <c r="AF893" s="246"/>
      <c r="AG893" s="246"/>
      <c r="AH893" s="246" t="s">
        <v>126</v>
      </c>
      <c r="AI893" s="246"/>
      <c r="AJ893" s="643">
        <f t="shared" si="288"/>
        <v>-5400</v>
      </c>
      <c r="AK893" s="246"/>
      <c r="AL893" s="246"/>
      <c r="AM893" s="551"/>
      <c r="AN893" s="551"/>
      <c r="AO893" s="551">
        <f>I893</f>
        <v>5400</v>
      </c>
      <c r="AP893" s="551"/>
      <c r="AQ893" s="551"/>
      <c r="AR893" s="551"/>
      <c r="AS893" s="551"/>
      <c r="AT893" s="551"/>
      <c r="AU893" s="551"/>
      <c r="AV893" s="551"/>
      <c r="AW893" s="551"/>
      <c r="AX893" s="651"/>
      <c r="AY893" s="551"/>
      <c r="AZ893" s="551"/>
      <c r="BA893" s="551">
        <f>I893</f>
        <v>5400</v>
      </c>
      <c r="BB893" s="551">
        <f>I893</f>
        <v>5400</v>
      </c>
      <c r="BC893" s="551">
        <f>I893</f>
        <v>5400</v>
      </c>
      <c r="BD893" s="551"/>
      <c r="BE893" s="551"/>
      <c r="BF893" s="551"/>
      <c r="BG893" s="551"/>
      <c r="BH893" s="551"/>
      <c r="BI893" s="551"/>
      <c r="BJ893" s="551"/>
      <c r="BK893" s="551">
        <f>I893</f>
        <v>5400</v>
      </c>
      <c r="BL893" s="551">
        <f>I893/5</f>
        <v>1080</v>
      </c>
      <c r="BM893" s="551"/>
      <c r="BN893" s="551"/>
      <c r="BO893" s="551"/>
      <c r="BP893" s="551"/>
      <c r="BQ893" s="551"/>
      <c r="BR893" s="551"/>
      <c r="BS893" s="551"/>
      <c r="BT893" s="551"/>
      <c r="BU893" s="551"/>
      <c r="BV893" s="551"/>
      <c r="BW893" s="551"/>
      <c r="BX893" s="551"/>
      <c r="BY893" s="551"/>
      <c r="BZ893" s="551"/>
      <c r="CA893" s="551"/>
      <c r="CB893" s="551"/>
      <c r="CC893" s="551"/>
      <c r="CD893" s="551"/>
      <c r="CE893" s="551"/>
      <c r="CF893" s="551"/>
      <c r="CG893" s="551"/>
      <c r="CH893" s="650"/>
      <c r="CI893" s="650"/>
      <c r="CJ893" s="650"/>
      <c r="CK893" s="650"/>
      <c r="CL893" s="650"/>
      <c r="CM893" s="551"/>
      <c r="CN893" s="551"/>
      <c r="CO893" s="551"/>
      <c r="CP893" s="650"/>
      <c r="CQ893" s="650"/>
      <c r="CR893" s="650"/>
      <c r="CS893" s="650"/>
      <c r="CT893" s="650"/>
      <c r="CU893" s="650"/>
    </row>
    <row r="894" s="1265" customFormat="1" ht="31" customHeight="1" spans="1:99">
      <c r="A894" s="641">
        <v>45978</v>
      </c>
      <c r="B894" s="642" t="s">
        <v>1492</v>
      </c>
      <c r="C894" s="246" t="s">
        <v>98</v>
      </c>
      <c r="D894" s="551">
        <v>4500185959</v>
      </c>
      <c r="E894" s="1418" t="s">
        <v>3382</v>
      </c>
      <c r="F894" s="551" t="s">
        <v>3383</v>
      </c>
      <c r="G894" s="659" t="s">
        <v>2666</v>
      </c>
      <c r="H894" s="246" t="s">
        <v>830</v>
      </c>
      <c r="I894" s="246">
        <v>5400</v>
      </c>
      <c r="J894" s="246">
        <v>0</v>
      </c>
      <c r="K894" s="246">
        <v>75</v>
      </c>
      <c r="L894" s="644">
        <f t="shared" si="294"/>
        <v>72</v>
      </c>
      <c r="M894" s="742">
        <v>46115</v>
      </c>
      <c r="N894" s="742">
        <f>M894-4</f>
        <v>46111</v>
      </c>
      <c r="O894" s="643"/>
      <c r="P894" s="824" t="s">
        <v>113</v>
      </c>
      <c r="Q894" s="646"/>
      <c r="R894" s="646" t="s">
        <v>2667</v>
      </c>
      <c r="S894" s="646" t="s">
        <v>70</v>
      </c>
      <c r="T894" s="646" t="s">
        <v>70</v>
      </c>
      <c r="U894" s="646"/>
      <c r="V894" s="646"/>
      <c r="W894" s="642"/>
      <c r="X894" s="642" t="s">
        <v>2826</v>
      </c>
      <c r="Y894" s="647" t="s">
        <v>911</v>
      </c>
      <c r="Z894" s="657">
        <v>359.3436</v>
      </c>
      <c r="AA894" s="647">
        <v>25872.7392</v>
      </c>
      <c r="AB894" s="551"/>
      <c r="AC894" s="658" t="s">
        <v>3384</v>
      </c>
      <c r="AD894" s="246" t="s">
        <v>1498</v>
      </c>
      <c r="AE894" s="246" t="s">
        <v>82</v>
      </c>
      <c r="AF894" s="246"/>
      <c r="AG894" s="246"/>
      <c r="AH894" s="246" t="s">
        <v>126</v>
      </c>
      <c r="AI894" s="246"/>
      <c r="AJ894" s="643">
        <f t="shared" si="288"/>
        <v>-5400</v>
      </c>
      <c r="AK894" s="246"/>
      <c r="AL894" s="246"/>
      <c r="AM894" s="551"/>
      <c r="AN894" s="551"/>
      <c r="AO894" s="551">
        <f>I894</f>
        <v>5400</v>
      </c>
      <c r="AP894" s="551"/>
      <c r="AQ894" s="551"/>
      <c r="AR894" s="551"/>
      <c r="AS894" s="551"/>
      <c r="AT894" s="551"/>
      <c r="AU894" s="551"/>
      <c r="AV894" s="551"/>
      <c r="AW894" s="551"/>
      <c r="AX894" s="651"/>
      <c r="AY894" s="551"/>
      <c r="AZ894" s="551"/>
      <c r="BA894" s="551">
        <f>I894</f>
        <v>5400</v>
      </c>
      <c r="BB894" s="551">
        <f>I894</f>
        <v>5400</v>
      </c>
      <c r="BC894" s="551">
        <f>I894</f>
        <v>5400</v>
      </c>
      <c r="BD894" s="551"/>
      <c r="BE894" s="551"/>
      <c r="BF894" s="551"/>
      <c r="BG894" s="551"/>
      <c r="BH894" s="551"/>
      <c r="BI894" s="551"/>
      <c r="BJ894" s="551"/>
      <c r="BK894" s="551">
        <f>I894</f>
        <v>5400</v>
      </c>
      <c r="BL894" s="551">
        <f>I894/5</f>
        <v>1080</v>
      </c>
      <c r="BM894" s="551"/>
      <c r="BN894" s="551"/>
      <c r="BO894" s="551"/>
      <c r="BP894" s="551"/>
      <c r="BQ894" s="551"/>
      <c r="BR894" s="551"/>
      <c r="BS894" s="551"/>
      <c r="BT894" s="551"/>
      <c r="BU894" s="551"/>
      <c r="BV894" s="551"/>
      <c r="BW894" s="551"/>
      <c r="BX894" s="551"/>
      <c r="BY894" s="551"/>
      <c r="BZ894" s="551"/>
      <c r="CA894" s="551"/>
      <c r="CB894" s="551"/>
      <c r="CC894" s="551"/>
      <c r="CD894" s="551"/>
      <c r="CE894" s="551"/>
      <c r="CF894" s="551"/>
      <c r="CG894" s="551"/>
      <c r="CH894" s="650"/>
      <c r="CI894" s="650"/>
      <c r="CJ894" s="650"/>
      <c r="CK894" s="650"/>
      <c r="CL894" s="650"/>
      <c r="CM894" s="551"/>
      <c r="CN894" s="551"/>
      <c r="CO894" s="551"/>
      <c r="CP894" s="650"/>
      <c r="CQ894" s="650"/>
      <c r="CR894" s="650"/>
      <c r="CS894" s="650"/>
      <c r="CT894" s="650"/>
      <c r="CU894" s="650"/>
    </row>
    <row r="895" s="1265" customFormat="1" ht="31" customHeight="1" spans="1:99">
      <c r="A895" s="641">
        <v>46057</v>
      </c>
      <c r="B895" s="642" t="s">
        <v>3385</v>
      </c>
      <c r="C895" s="246" t="s">
        <v>3386</v>
      </c>
      <c r="D895" s="551">
        <v>4500193066</v>
      </c>
      <c r="E895" s="246" t="s">
        <v>3387</v>
      </c>
      <c r="F895" s="551" t="s">
        <v>3388</v>
      </c>
      <c r="G895" s="659" t="s">
        <v>68</v>
      </c>
      <c r="H895" s="633" t="s">
        <v>69</v>
      </c>
      <c r="I895" s="706">
        <v>1200</v>
      </c>
      <c r="J895" s="246">
        <v>0</v>
      </c>
      <c r="K895" s="246">
        <v>12</v>
      </c>
      <c r="L895" s="644">
        <f t="shared" ref="L895:L916" si="300">I895/K895</f>
        <v>100</v>
      </c>
      <c r="M895" s="645">
        <v>46115</v>
      </c>
      <c r="N895" s="645">
        <v>46111</v>
      </c>
      <c r="O895" s="643"/>
      <c r="P895" s="824" t="s">
        <v>113</v>
      </c>
      <c r="Q895" s="646"/>
      <c r="R895" s="646" t="s">
        <v>3389</v>
      </c>
      <c r="S895" s="646" t="s">
        <v>70</v>
      </c>
      <c r="T895" s="646" t="s">
        <v>3390</v>
      </c>
      <c r="U895" s="646"/>
      <c r="V895" s="646"/>
      <c r="W895" s="642"/>
      <c r="X895" s="642" t="s">
        <v>3391</v>
      </c>
      <c r="Y895" s="647" t="s">
        <v>529</v>
      </c>
      <c r="Z895" s="657">
        <v>4.1623</v>
      </c>
      <c r="AA895" s="647">
        <f>Z895*I895</f>
        <v>4994.76</v>
      </c>
      <c r="AB895" s="551"/>
      <c r="AC895" s="648"/>
      <c r="AD895" s="246" t="s">
        <v>68</v>
      </c>
      <c r="AE895" s="246" t="s">
        <v>82</v>
      </c>
      <c r="AF895" s="246"/>
      <c r="AG895" s="246"/>
      <c r="AH895" s="704" t="s">
        <v>126</v>
      </c>
      <c r="AI895" s="246">
        <v>1200</v>
      </c>
      <c r="AJ895" s="246">
        <f t="shared" si="288"/>
        <v>0</v>
      </c>
      <c r="AK895" s="246"/>
      <c r="AL895" s="246" t="s">
        <v>454</v>
      </c>
      <c r="AM895" s="551"/>
      <c r="AN895" s="551">
        <f>I895</f>
        <v>1200</v>
      </c>
      <c r="AO895" s="551"/>
      <c r="AP895" s="551"/>
      <c r="AQ895" s="551"/>
      <c r="AR895" s="551">
        <f>I895</f>
        <v>1200</v>
      </c>
      <c r="AS895" s="551"/>
      <c r="AT895" s="551"/>
      <c r="AU895" s="551">
        <f t="shared" ref="AU895:AU900" si="301">I895</f>
        <v>1200</v>
      </c>
      <c r="AV895" s="551"/>
      <c r="AW895" s="551">
        <f t="shared" ref="AW895:AW900" si="302">I895</f>
        <v>1200</v>
      </c>
      <c r="AX895" s="651"/>
      <c r="AY895" s="551"/>
      <c r="AZ895" s="551"/>
      <c r="BA895" s="551"/>
      <c r="BB895" s="551"/>
      <c r="BC895" s="551"/>
      <c r="BD895" s="551"/>
      <c r="BE895" s="551"/>
      <c r="BF895" s="551"/>
      <c r="BG895" s="551"/>
      <c r="BH895" s="551"/>
      <c r="BI895" s="551"/>
      <c r="BJ895" s="551"/>
      <c r="BK895" s="551"/>
      <c r="BL895" s="551"/>
      <c r="BM895" s="551"/>
      <c r="BN895" s="551"/>
      <c r="BO895" s="551"/>
      <c r="BP895" s="551"/>
      <c r="BQ895" s="551"/>
      <c r="BR895" s="551"/>
      <c r="BS895" s="551"/>
      <c r="BT895" s="551"/>
      <c r="BU895" s="551"/>
      <c r="BV895" s="551"/>
      <c r="BW895" s="551"/>
      <c r="BX895" s="551"/>
      <c r="BY895" s="551"/>
      <c r="BZ895" s="551"/>
      <c r="CA895" s="551"/>
      <c r="CB895" s="551"/>
      <c r="CC895" s="551"/>
      <c r="CD895" s="551"/>
      <c r="CE895" s="551"/>
      <c r="CF895" s="551"/>
      <c r="CG895" s="551"/>
      <c r="CH895" s="650"/>
      <c r="CI895" s="650"/>
      <c r="CJ895" s="650"/>
      <c r="CK895" s="650"/>
      <c r="CL895" s="650"/>
      <c r="CM895" s="551"/>
      <c r="CN895" s="551"/>
      <c r="CO895" s="551"/>
      <c r="CP895" s="650"/>
      <c r="CQ895" s="650"/>
      <c r="CR895" s="650"/>
      <c r="CS895" s="650"/>
      <c r="CT895" s="650"/>
      <c r="CU895" s="650"/>
    </row>
    <row r="896" s="1265" customFormat="1" ht="31" customHeight="1" spans="1:99">
      <c r="A896" s="641">
        <v>46078</v>
      </c>
      <c r="B896" s="642" t="s">
        <v>3392</v>
      </c>
      <c r="C896" s="246" t="s">
        <v>278</v>
      </c>
      <c r="D896" s="551">
        <v>4500194042</v>
      </c>
      <c r="E896" s="246" t="s">
        <v>3393</v>
      </c>
      <c r="F896" s="551" t="s">
        <v>3394</v>
      </c>
      <c r="G896" s="659" t="s">
        <v>111</v>
      </c>
      <c r="H896" s="246" t="s">
        <v>112</v>
      </c>
      <c r="I896" s="706">
        <v>512</v>
      </c>
      <c r="J896" s="246">
        <v>0</v>
      </c>
      <c r="K896" s="246">
        <v>16</v>
      </c>
      <c r="L896" s="644">
        <f t="shared" si="300"/>
        <v>32</v>
      </c>
      <c r="M896" s="645">
        <v>46122</v>
      </c>
      <c r="N896" s="645">
        <v>46118</v>
      </c>
      <c r="O896" s="643"/>
      <c r="P896" s="824" t="s">
        <v>113</v>
      </c>
      <c r="Q896" s="646"/>
      <c r="R896" s="646">
        <v>46080</v>
      </c>
      <c r="S896" s="646" t="s">
        <v>70</v>
      </c>
      <c r="T896" s="646" t="s">
        <v>3395</v>
      </c>
      <c r="U896" s="646"/>
      <c r="V896" s="646"/>
      <c r="W896" s="642"/>
      <c r="X896" s="642" t="s">
        <v>3396</v>
      </c>
      <c r="Y896" s="642" t="s">
        <v>505</v>
      </c>
      <c r="Z896" s="657">
        <v>4.3451</v>
      </c>
      <c r="AA896" s="647">
        <f>Z896*I896</f>
        <v>2224.6912</v>
      </c>
      <c r="AB896" s="551"/>
      <c r="AC896" s="648"/>
      <c r="AD896" s="246" t="s">
        <v>111</v>
      </c>
      <c r="AE896" s="246" t="s">
        <v>82</v>
      </c>
      <c r="AF896" s="246"/>
      <c r="AG896" s="246"/>
      <c r="AH896" s="246">
        <v>1</v>
      </c>
      <c r="AI896" s="1331">
        <f>480+32</f>
        <v>512</v>
      </c>
      <c r="AJ896" s="643">
        <f t="shared" ref="AJ896:AJ901" si="303">AI896-I896</f>
        <v>0</v>
      </c>
      <c r="AK896" s="246"/>
      <c r="AL896" s="246"/>
      <c r="AM896" s="551"/>
      <c r="AN896" s="551">
        <f>I896</f>
        <v>512</v>
      </c>
      <c r="AO896" s="551"/>
      <c r="AP896" s="551"/>
      <c r="AQ896" s="551"/>
      <c r="AR896" s="551">
        <f>I896</f>
        <v>512</v>
      </c>
      <c r="AS896" s="551"/>
      <c r="AT896" s="551"/>
      <c r="AU896" s="551">
        <f t="shared" si="301"/>
        <v>512</v>
      </c>
      <c r="AV896" s="551"/>
      <c r="AW896" s="551">
        <f t="shared" si="302"/>
        <v>512</v>
      </c>
      <c r="AX896" s="651"/>
      <c r="AY896" s="551"/>
      <c r="AZ896" s="551"/>
      <c r="BA896" s="551"/>
      <c r="BB896" s="551"/>
      <c r="BC896" s="551"/>
      <c r="BD896" s="551"/>
      <c r="BE896" s="551"/>
      <c r="BF896" s="551"/>
      <c r="BG896" s="551"/>
      <c r="BH896" s="825">
        <f>I896/4</f>
        <v>128</v>
      </c>
      <c r="BI896" s="551"/>
      <c r="BJ896" s="551"/>
      <c r="BK896" s="551"/>
      <c r="BL896" s="551"/>
      <c r="BM896" s="551"/>
      <c r="BN896" s="551"/>
      <c r="BO896" s="551"/>
      <c r="BP896" s="551"/>
      <c r="BQ896" s="551"/>
      <c r="BR896" s="551"/>
      <c r="BS896" s="551"/>
      <c r="BT896" s="551"/>
      <c r="BU896" s="551"/>
      <c r="BV896" s="551"/>
      <c r="BW896" s="551"/>
      <c r="BX896" s="551"/>
      <c r="BY896" s="551"/>
      <c r="BZ896" s="551"/>
      <c r="CA896" s="551"/>
      <c r="CB896" s="551"/>
      <c r="CC896" s="551"/>
      <c r="CD896" s="551"/>
      <c r="CE896" s="551"/>
      <c r="CF896" s="551"/>
      <c r="CG896" s="551"/>
      <c r="CH896" s="650"/>
      <c r="CI896" s="650"/>
      <c r="CJ896" s="650"/>
      <c r="CK896" s="650"/>
      <c r="CL896" s="650"/>
      <c r="CM896" s="551"/>
      <c r="CN896" s="551"/>
      <c r="CO896" s="551"/>
      <c r="CP896" s="650"/>
      <c r="CQ896" s="650"/>
      <c r="CR896" s="650"/>
      <c r="CS896" s="650"/>
      <c r="CT896" s="650"/>
      <c r="CU896" s="650"/>
    </row>
    <row r="897" s="1265" customFormat="1" ht="31" customHeight="1" spans="1:99">
      <c r="A897" s="641">
        <v>46061</v>
      </c>
      <c r="B897" s="642" t="s">
        <v>219</v>
      </c>
      <c r="C897" s="246" t="s">
        <v>220</v>
      </c>
      <c r="D897" s="551">
        <v>4500193405</v>
      </c>
      <c r="E897" s="246" t="s">
        <v>3397</v>
      </c>
      <c r="F897" s="551" t="s">
        <v>3398</v>
      </c>
      <c r="G897" s="659" t="s">
        <v>111</v>
      </c>
      <c r="H897" s="246" t="s">
        <v>112</v>
      </c>
      <c r="I897" s="706">
        <v>288</v>
      </c>
      <c r="J897" s="246">
        <v>0</v>
      </c>
      <c r="K897" s="246">
        <v>16</v>
      </c>
      <c r="L897" s="644">
        <f t="shared" si="300"/>
        <v>18</v>
      </c>
      <c r="M897" s="645">
        <v>46122</v>
      </c>
      <c r="N897" s="645">
        <v>46118</v>
      </c>
      <c r="O897" s="643"/>
      <c r="P897" s="824" t="s">
        <v>113</v>
      </c>
      <c r="Q897" s="646"/>
      <c r="R897" s="646">
        <v>46106</v>
      </c>
      <c r="S897" s="646" t="s">
        <v>70</v>
      </c>
      <c r="T897" s="646" t="s">
        <v>3399</v>
      </c>
      <c r="U897" s="646"/>
      <c r="V897" s="646"/>
      <c r="W897" s="642"/>
      <c r="X897" s="642" t="s">
        <v>3400</v>
      </c>
      <c r="Y897" s="647" t="s">
        <v>1793</v>
      </c>
      <c r="Z897" s="657">
        <v>4.2114</v>
      </c>
      <c r="AA897" s="647">
        <f>Z897*I897</f>
        <v>1212.8832</v>
      </c>
      <c r="AB897" s="551"/>
      <c r="AC897" s="648"/>
      <c r="AD897" s="246" t="s">
        <v>111</v>
      </c>
      <c r="AE897" s="246" t="s">
        <v>82</v>
      </c>
      <c r="AF897" s="246"/>
      <c r="AG897" s="246"/>
      <c r="AH897" s="246">
        <v>1</v>
      </c>
      <c r="AI897" s="246">
        <v>288</v>
      </c>
      <c r="AJ897" s="643">
        <f t="shared" si="303"/>
        <v>0</v>
      </c>
      <c r="AK897" s="246"/>
      <c r="AL897" s="246" t="s">
        <v>2368</v>
      </c>
      <c r="AM897" s="551"/>
      <c r="AN897" s="551">
        <f>I897</f>
        <v>288</v>
      </c>
      <c r="AO897" s="551"/>
      <c r="AP897" s="551"/>
      <c r="AQ897" s="551"/>
      <c r="AR897" s="551">
        <f>I897</f>
        <v>288</v>
      </c>
      <c r="AS897" s="551"/>
      <c r="AT897" s="551"/>
      <c r="AU897" s="551">
        <f t="shared" si="301"/>
        <v>288</v>
      </c>
      <c r="AV897" s="551"/>
      <c r="AW897" s="551">
        <f t="shared" si="302"/>
        <v>288</v>
      </c>
      <c r="AX897" s="651"/>
      <c r="AY897" s="551"/>
      <c r="AZ897" s="551"/>
      <c r="BA897" s="551"/>
      <c r="BB897" s="551"/>
      <c r="BC897" s="551"/>
      <c r="BD897" s="551"/>
      <c r="BE897" s="551"/>
      <c r="BF897" s="551"/>
      <c r="BG897" s="551"/>
      <c r="BH897" s="825">
        <f>I897/4</f>
        <v>72</v>
      </c>
      <c r="BI897" s="551"/>
      <c r="BJ897" s="551"/>
      <c r="BK897" s="551"/>
      <c r="BL897" s="551"/>
      <c r="BM897" s="551"/>
      <c r="BN897" s="551"/>
      <c r="BO897" s="551"/>
      <c r="BP897" s="551"/>
      <c r="BQ897" s="551"/>
      <c r="BR897" s="551"/>
      <c r="BS897" s="551"/>
      <c r="BT897" s="551"/>
      <c r="BU897" s="551"/>
      <c r="BV897" s="551"/>
      <c r="BW897" s="551"/>
      <c r="BX897" s="551"/>
      <c r="BY897" s="551"/>
      <c r="BZ897" s="551"/>
      <c r="CA897" s="551"/>
      <c r="CB897" s="551"/>
      <c r="CC897" s="551"/>
      <c r="CD897" s="551"/>
      <c r="CE897" s="551"/>
      <c r="CF897" s="551"/>
      <c r="CG897" s="551"/>
      <c r="CH897" s="650"/>
      <c r="CI897" s="650"/>
      <c r="CJ897" s="650"/>
      <c r="CK897" s="650"/>
      <c r="CL897" s="650"/>
      <c r="CM897" s="551"/>
      <c r="CN897" s="551"/>
      <c r="CO897" s="551"/>
      <c r="CP897" s="650"/>
      <c r="CQ897" s="650"/>
      <c r="CR897" s="650"/>
      <c r="CS897" s="650"/>
      <c r="CT897" s="650"/>
      <c r="CU897" s="650"/>
    </row>
    <row r="898" s="1265" customFormat="1" ht="31" customHeight="1" spans="1:99">
      <c r="A898" s="641">
        <v>46065</v>
      </c>
      <c r="B898" s="642" t="s">
        <v>3340</v>
      </c>
      <c r="C898" s="246" t="s">
        <v>98</v>
      </c>
      <c r="D898" s="551">
        <v>4500193770</v>
      </c>
      <c r="E898" s="246">
        <v>272592</v>
      </c>
      <c r="F898" s="551" t="s">
        <v>3401</v>
      </c>
      <c r="G898" s="659" t="s">
        <v>68</v>
      </c>
      <c r="H898" s="633" t="s">
        <v>69</v>
      </c>
      <c r="I898" s="706">
        <v>996</v>
      </c>
      <c r="J898" s="246">
        <v>0</v>
      </c>
      <c r="K898" s="246">
        <v>12</v>
      </c>
      <c r="L898" s="644">
        <f t="shared" si="300"/>
        <v>83</v>
      </c>
      <c r="M898" s="645">
        <v>46122</v>
      </c>
      <c r="N898" s="645">
        <v>46118</v>
      </c>
      <c r="O898" s="643"/>
      <c r="P898" s="824" t="s">
        <v>113</v>
      </c>
      <c r="Q898" s="646"/>
      <c r="R898" s="646" t="s">
        <v>3362</v>
      </c>
      <c r="S898" s="646" t="s">
        <v>70</v>
      </c>
      <c r="T898" s="646" t="s">
        <v>3342</v>
      </c>
      <c r="U898" s="646"/>
      <c r="V898" s="646"/>
      <c r="W898" s="642"/>
      <c r="X898" s="642" t="s">
        <v>3402</v>
      </c>
      <c r="Y898" s="642" t="s">
        <v>2554</v>
      </c>
      <c r="Z898" s="657">
        <v>2.4974</v>
      </c>
      <c r="AA898" s="647">
        <f>Z898*I898</f>
        <v>2487.4104</v>
      </c>
      <c r="AB898" s="551"/>
      <c r="AC898" s="658" t="s">
        <v>3403</v>
      </c>
      <c r="AD898" s="246" t="s">
        <v>68</v>
      </c>
      <c r="AE898" s="246" t="s">
        <v>82</v>
      </c>
      <c r="AF898" s="246"/>
      <c r="AG898" s="246"/>
      <c r="AH898" s="246">
        <v>1</v>
      </c>
      <c r="AI898" s="246">
        <v>996</v>
      </c>
      <c r="AJ898" s="643">
        <f t="shared" si="303"/>
        <v>0</v>
      </c>
      <c r="AK898" s="246"/>
      <c r="AL898" s="246" t="s">
        <v>2368</v>
      </c>
      <c r="AM898" s="551"/>
      <c r="AN898" s="551">
        <f>I898</f>
        <v>996</v>
      </c>
      <c r="AO898" s="551"/>
      <c r="AP898" s="551"/>
      <c r="AQ898" s="551"/>
      <c r="AR898" s="551">
        <f>I898</f>
        <v>996</v>
      </c>
      <c r="AS898" s="551"/>
      <c r="AT898" s="551"/>
      <c r="AU898" s="551">
        <f t="shared" si="301"/>
        <v>996</v>
      </c>
      <c r="AV898" s="551"/>
      <c r="AW898" s="551">
        <f t="shared" si="302"/>
        <v>996</v>
      </c>
      <c r="AX898" s="651"/>
      <c r="AY898" s="551"/>
      <c r="AZ898" s="551"/>
      <c r="BA898" s="551"/>
      <c r="BB898" s="551"/>
      <c r="BC898" s="551"/>
      <c r="BD898" s="551"/>
      <c r="BE898" s="551"/>
      <c r="BF898" s="551"/>
      <c r="BG898" s="551"/>
      <c r="BH898" s="551"/>
      <c r="BI898" s="551"/>
      <c r="BJ898" s="551"/>
      <c r="BK898" s="551"/>
      <c r="BL898" s="551"/>
      <c r="BM898" s="551"/>
      <c r="BN898" s="551"/>
      <c r="BO898" s="551"/>
      <c r="BP898" s="551"/>
      <c r="BQ898" s="551"/>
      <c r="BR898" s="551"/>
      <c r="BS898" s="551"/>
      <c r="BT898" s="551"/>
      <c r="BU898" s="551"/>
      <c r="BV898" s="551"/>
      <c r="BW898" s="551"/>
      <c r="BX898" s="551"/>
      <c r="BY898" s="551"/>
      <c r="BZ898" s="551"/>
      <c r="CA898" s="551"/>
      <c r="CB898" s="551"/>
      <c r="CC898" s="551"/>
      <c r="CD898" s="551"/>
      <c r="CE898" s="551"/>
      <c r="CF898" s="551"/>
      <c r="CG898" s="551"/>
      <c r="CH898" s="650"/>
      <c r="CI898" s="650"/>
      <c r="CJ898" s="650"/>
      <c r="CK898" s="650"/>
      <c r="CL898" s="650"/>
      <c r="CM898" s="551"/>
      <c r="CN898" s="551"/>
      <c r="CO898" s="551"/>
      <c r="CP898" s="650"/>
      <c r="CQ898" s="650"/>
      <c r="CR898" s="650"/>
      <c r="CS898" s="650"/>
      <c r="CT898" s="650"/>
      <c r="CU898" s="650"/>
    </row>
    <row r="899" s="1265" customFormat="1" ht="31" customHeight="1" spans="1:99">
      <c r="A899" s="641">
        <v>46065</v>
      </c>
      <c r="B899" s="642" t="s">
        <v>3340</v>
      </c>
      <c r="C899" s="246" t="s">
        <v>98</v>
      </c>
      <c r="D899" s="551">
        <v>4500193771</v>
      </c>
      <c r="E899" s="246">
        <v>272596</v>
      </c>
      <c r="F899" s="551" t="s">
        <v>3404</v>
      </c>
      <c r="G899" s="659" t="s">
        <v>68</v>
      </c>
      <c r="H899" s="633" t="s">
        <v>69</v>
      </c>
      <c r="I899" s="706">
        <v>1200</v>
      </c>
      <c r="J899" s="246">
        <v>0</v>
      </c>
      <c r="K899" s="246">
        <v>12</v>
      </c>
      <c r="L899" s="644">
        <f t="shared" si="300"/>
        <v>100</v>
      </c>
      <c r="M899" s="645">
        <v>46122</v>
      </c>
      <c r="N899" s="645">
        <v>46118</v>
      </c>
      <c r="O899" s="643"/>
      <c r="P899" s="824" t="s">
        <v>113</v>
      </c>
      <c r="Q899" s="646"/>
      <c r="R899" s="646" t="s">
        <v>3362</v>
      </c>
      <c r="S899" s="646" t="s">
        <v>70</v>
      </c>
      <c r="T899" s="646" t="s">
        <v>3342</v>
      </c>
      <c r="U899" s="646"/>
      <c r="V899" s="646"/>
      <c r="W899" s="642"/>
      <c r="X899" s="642" t="s">
        <v>3405</v>
      </c>
      <c r="Y899" s="642" t="s">
        <v>2554</v>
      </c>
      <c r="Z899" s="657">
        <v>2.4974</v>
      </c>
      <c r="AA899" s="647">
        <f>Z899*I899</f>
        <v>2996.88</v>
      </c>
      <c r="AB899" s="551"/>
      <c r="AC899" s="658" t="s">
        <v>3406</v>
      </c>
      <c r="AD899" s="246" t="s">
        <v>68</v>
      </c>
      <c r="AE899" s="246" t="s">
        <v>82</v>
      </c>
      <c r="AF899" s="246"/>
      <c r="AG899" s="246"/>
      <c r="AH899" s="246">
        <v>1</v>
      </c>
      <c r="AI899" s="246">
        <v>1200</v>
      </c>
      <c r="AJ899" s="643">
        <f t="shared" si="303"/>
        <v>0</v>
      </c>
      <c r="AK899" s="246"/>
      <c r="AL899" s="246" t="s">
        <v>2368</v>
      </c>
      <c r="AM899" s="551"/>
      <c r="AN899" s="551">
        <f>I899</f>
        <v>1200</v>
      </c>
      <c r="AO899" s="551"/>
      <c r="AP899" s="551"/>
      <c r="AQ899" s="551"/>
      <c r="AR899" s="551">
        <f>I899</f>
        <v>1200</v>
      </c>
      <c r="AS899" s="551"/>
      <c r="AT899" s="551"/>
      <c r="AU899" s="551">
        <f t="shared" si="301"/>
        <v>1200</v>
      </c>
      <c r="AV899" s="551"/>
      <c r="AW899" s="551">
        <f t="shared" si="302"/>
        <v>1200</v>
      </c>
      <c r="AX899" s="651"/>
      <c r="AY899" s="551"/>
      <c r="AZ899" s="551"/>
      <c r="BA899" s="551"/>
      <c r="BB899" s="551"/>
      <c r="BC899" s="551"/>
      <c r="BD899" s="551"/>
      <c r="BE899" s="551"/>
      <c r="BF899" s="551"/>
      <c r="BG899" s="551"/>
      <c r="BH899" s="551"/>
      <c r="BI899" s="551"/>
      <c r="BJ899" s="551"/>
      <c r="BK899" s="551"/>
      <c r="BL899" s="551"/>
      <c r="BM899" s="551"/>
      <c r="BN899" s="551"/>
      <c r="BO899" s="551"/>
      <c r="BP899" s="551"/>
      <c r="BQ899" s="551"/>
      <c r="BR899" s="551"/>
      <c r="BS899" s="551"/>
      <c r="BT899" s="551"/>
      <c r="BU899" s="551"/>
      <c r="BV899" s="551"/>
      <c r="BW899" s="551"/>
      <c r="BX899" s="551"/>
      <c r="BY899" s="551"/>
      <c r="BZ899" s="551"/>
      <c r="CA899" s="551"/>
      <c r="CB899" s="551"/>
      <c r="CC899" s="551"/>
      <c r="CD899" s="551"/>
      <c r="CE899" s="551"/>
      <c r="CF899" s="551"/>
      <c r="CG899" s="551"/>
      <c r="CH899" s="650"/>
      <c r="CI899" s="650"/>
      <c r="CJ899" s="650"/>
      <c r="CK899" s="650"/>
      <c r="CL899" s="650"/>
      <c r="CM899" s="551"/>
      <c r="CN899" s="551"/>
      <c r="CO899" s="551"/>
      <c r="CP899" s="650"/>
      <c r="CQ899" s="650"/>
      <c r="CR899" s="650"/>
      <c r="CS899" s="650"/>
      <c r="CT899" s="650"/>
      <c r="CU899" s="650"/>
    </row>
    <row r="900" s="1265" customFormat="1" ht="31" customHeight="1" spans="1:99">
      <c r="A900" s="641">
        <v>46083</v>
      </c>
      <c r="B900" s="642" t="s">
        <v>3407</v>
      </c>
      <c r="C900" s="246" t="s">
        <v>170</v>
      </c>
      <c r="D900" s="551">
        <v>4500194871</v>
      </c>
      <c r="E900" s="246" t="s">
        <v>3408</v>
      </c>
      <c r="F900" s="551" t="s">
        <v>3409</v>
      </c>
      <c r="G900" s="659" t="s">
        <v>68</v>
      </c>
      <c r="H900" s="633" t="s">
        <v>69</v>
      </c>
      <c r="I900" s="706">
        <v>60</v>
      </c>
      <c r="J900" s="246">
        <v>0</v>
      </c>
      <c r="K900" s="246">
        <v>12</v>
      </c>
      <c r="L900" s="644">
        <f t="shared" si="300"/>
        <v>5</v>
      </c>
      <c r="M900" s="645">
        <v>46122</v>
      </c>
      <c r="N900" s="645">
        <v>46118</v>
      </c>
      <c r="O900" s="643"/>
      <c r="P900" s="824" t="s">
        <v>113</v>
      </c>
      <c r="Q900" s="646"/>
      <c r="R900" s="646" t="s">
        <v>3410</v>
      </c>
      <c r="S900" s="646" t="s">
        <v>104</v>
      </c>
      <c r="T900" s="646" t="s">
        <v>3411</v>
      </c>
      <c r="U900" s="646"/>
      <c r="V900" s="646"/>
      <c r="W900" s="642"/>
      <c r="X900" s="642" t="s">
        <v>3412</v>
      </c>
      <c r="Y900" s="642" t="s">
        <v>1507</v>
      </c>
      <c r="Z900" s="657">
        <v>4.3574</v>
      </c>
      <c r="AA900" s="647">
        <f t="shared" ref="AA900:AA911" si="304">Z900*I900</f>
        <v>261.444</v>
      </c>
      <c r="AB900" s="551"/>
      <c r="AC900" s="648"/>
      <c r="AD900" s="246" t="s">
        <v>184</v>
      </c>
      <c r="AE900" s="246" t="s">
        <v>82</v>
      </c>
      <c r="AF900" s="246"/>
      <c r="AG900" s="246"/>
      <c r="AH900" s="246">
        <v>1</v>
      </c>
      <c r="AI900" s="246">
        <v>60</v>
      </c>
      <c r="AJ900" s="643">
        <f t="shared" si="303"/>
        <v>0</v>
      </c>
      <c r="AK900" s="246"/>
      <c r="AL900" s="246" t="s">
        <v>2368</v>
      </c>
      <c r="AM900" s="551"/>
      <c r="AN900" s="551">
        <f t="shared" ref="AN900:AN913" si="305">I900</f>
        <v>60</v>
      </c>
      <c r="AO900" s="551"/>
      <c r="AP900" s="551"/>
      <c r="AQ900" s="551"/>
      <c r="AR900" s="551"/>
      <c r="AS900" s="551">
        <f>I900</f>
        <v>60</v>
      </c>
      <c r="AT900" s="551"/>
      <c r="AU900" s="551">
        <f t="shared" si="301"/>
        <v>60</v>
      </c>
      <c r="AV900" s="551"/>
      <c r="AW900" s="551">
        <f t="shared" si="302"/>
        <v>60</v>
      </c>
      <c r="AX900" s="651"/>
      <c r="AY900" s="551"/>
      <c r="AZ900" s="551"/>
      <c r="BA900" s="551"/>
      <c r="BB900" s="551"/>
      <c r="BC900" s="551"/>
      <c r="BD900" s="551"/>
      <c r="BE900" s="551"/>
      <c r="BF900" s="551"/>
      <c r="BG900" s="551"/>
      <c r="BH900" s="551"/>
      <c r="BI900" s="551"/>
      <c r="BJ900" s="551"/>
      <c r="BK900" s="551"/>
      <c r="BL900" s="551"/>
      <c r="BM900" s="551"/>
      <c r="BN900" s="551"/>
      <c r="BO900" s="551"/>
      <c r="BP900" s="551"/>
      <c r="BQ900" s="551"/>
      <c r="BR900" s="551"/>
      <c r="BS900" s="551"/>
      <c r="BT900" s="551"/>
      <c r="BU900" s="551"/>
      <c r="BV900" s="551"/>
      <c r="BW900" s="551"/>
      <c r="BX900" s="551"/>
      <c r="BY900" s="551"/>
      <c r="BZ900" s="551"/>
      <c r="CA900" s="551"/>
      <c r="CB900" s="551"/>
      <c r="CC900" s="551"/>
      <c r="CD900" s="551"/>
      <c r="CE900" s="551"/>
      <c r="CF900" s="551"/>
      <c r="CG900" s="551"/>
      <c r="CH900" s="650"/>
      <c r="CI900" s="650"/>
      <c r="CJ900" s="650"/>
      <c r="CK900" s="650"/>
      <c r="CL900" s="650"/>
      <c r="CM900" s="551"/>
      <c r="CN900" s="551"/>
      <c r="CO900" s="551"/>
      <c r="CP900" s="650"/>
      <c r="CQ900" s="650"/>
      <c r="CR900" s="650"/>
      <c r="CS900" s="650"/>
      <c r="CT900" s="650"/>
      <c r="CU900" s="650"/>
    </row>
    <row r="901" s="1265" customFormat="1" ht="31" customHeight="1" spans="1:99">
      <c r="A901" s="641">
        <v>46083</v>
      </c>
      <c r="B901" s="642" t="s">
        <v>3407</v>
      </c>
      <c r="C901" s="246" t="s">
        <v>170</v>
      </c>
      <c r="D901" s="551">
        <v>4500194871</v>
      </c>
      <c r="E901" s="246" t="s">
        <v>3413</v>
      </c>
      <c r="F901" s="551" t="s">
        <v>3414</v>
      </c>
      <c r="G901" s="659" t="s">
        <v>68</v>
      </c>
      <c r="H901" s="633" t="s">
        <v>69</v>
      </c>
      <c r="I901" s="706">
        <v>48</v>
      </c>
      <c r="J901" s="246">
        <v>0</v>
      </c>
      <c r="K901" s="246">
        <v>12</v>
      </c>
      <c r="L901" s="644">
        <f t="shared" si="300"/>
        <v>4</v>
      </c>
      <c r="M901" s="645">
        <v>46122</v>
      </c>
      <c r="N901" s="645">
        <v>46118</v>
      </c>
      <c r="O901" s="643"/>
      <c r="P901" s="824" t="s">
        <v>113</v>
      </c>
      <c r="Q901" s="646"/>
      <c r="R901" s="646" t="s">
        <v>3410</v>
      </c>
      <c r="S901" s="646" t="s">
        <v>104</v>
      </c>
      <c r="T901" s="646" t="s">
        <v>3411</v>
      </c>
      <c r="U901" s="646"/>
      <c r="V901" s="646"/>
      <c r="W901" s="642"/>
      <c r="X901" s="642" t="s">
        <v>3412</v>
      </c>
      <c r="Y901" s="642" t="s">
        <v>1507</v>
      </c>
      <c r="Z901" s="657">
        <v>4.3574</v>
      </c>
      <c r="AA901" s="647">
        <f t="shared" si="304"/>
        <v>209.1552</v>
      </c>
      <c r="AB901" s="551"/>
      <c r="AC901" s="648"/>
      <c r="AD901" s="246" t="s">
        <v>184</v>
      </c>
      <c r="AE901" s="246" t="s">
        <v>82</v>
      </c>
      <c r="AF901" s="246"/>
      <c r="AG901" s="246"/>
      <c r="AH901" s="246">
        <v>1</v>
      </c>
      <c r="AI901" s="246">
        <v>48</v>
      </c>
      <c r="AJ901" s="643">
        <f t="shared" si="303"/>
        <v>0</v>
      </c>
      <c r="AK901" s="246"/>
      <c r="AL901" s="246" t="s">
        <v>2368</v>
      </c>
      <c r="AM901" s="551"/>
      <c r="AN901" s="551">
        <f t="shared" si="305"/>
        <v>48</v>
      </c>
      <c r="AO901" s="551"/>
      <c r="AP901" s="551"/>
      <c r="AQ901" s="551"/>
      <c r="AR901" s="551"/>
      <c r="AS901" s="551">
        <f t="shared" ref="AS901:AS909" si="306">I901</f>
        <v>48</v>
      </c>
      <c r="AT901" s="551"/>
      <c r="AU901" s="551">
        <f t="shared" ref="AU901:AU911" si="307">I901</f>
        <v>48</v>
      </c>
      <c r="AV901" s="551"/>
      <c r="AW901" s="551">
        <f t="shared" ref="AW901:AW911" si="308">I901</f>
        <v>48</v>
      </c>
      <c r="AX901" s="651"/>
      <c r="AY901" s="551"/>
      <c r="AZ901" s="551"/>
      <c r="BA901" s="551"/>
      <c r="BB901" s="551"/>
      <c r="BC901" s="551"/>
      <c r="BD901" s="551"/>
      <c r="BE901" s="551"/>
      <c r="BF901" s="551"/>
      <c r="BG901" s="551"/>
      <c r="BH901" s="551"/>
      <c r="BI901" s="551"/>
      <c r="BJ901" s="551"/>
      <c r="BK901" s="551"/>
      <c r="BL901" s="551"/>
      <c r="BM901" s="551"/>
      <c r="BN901" s="551"/>
      <c r="BO901" s="551"/>
      <c r="BP901" s="551"/>
      <c r="BQ901" s="551"/>
      <c r="BR901" s="551"/>
      <c r="BS901" s="551"/>
      <c r="BT901" s="551"/>
      <c r="BU901" s="551"/>
      <c r="BV901" s="551"/>
      <c r="BW901" s="551"/>
      <c r="BX901" s="551"/>
      <c r="BY901" s="551"/>
      <c r="BZ901" s="551"/>
      <c r="CA901" s="551"/>
      <c r="CB901" s="551"/>
      <c r="CC901" s="551"/>
      <c r="CD901" s="551"/>
      <c r="CE901" s="551"/>
      <c r="CF901" s="551"/>
      <c r="CG901" s="551"/>
      <c r="CH901" s="650"/>
      <c r="CI901" s="650"/>
      <c r="CJ901" s="650"/>
      <c r="CK901" s="650"/>
      <c r="CL901" s="650"/>
      <c r="CM901" s="551"/>
      <c r="CN901" s="551"/>
      <c r="CO901" s="551"/>
      <c r="CP901" s="650"/>
      <c r="CQ901" s="650"/>
      <c r="CR901" s="650"/>
      <c r="CS901" s="650"/>
      <c r="CT901" s="650"/>
      <c r="CU901" s="650"/>
    </row>
    <row r="902" s="1265" customFormat="1" ht="31" customHeight="1" spans="1:99">
      <c r="A902" s="641">
        <v>46083</v>
      </c>
      <c r="B902" s="642" t="s">
        <v>3407</v>
      </c>
      <c r="C902" s="246" t="s">
        <v>170</v>
      </c>
      <c r="D902" s="551">
        <v>4500194871</v>
      </c>
      <c r="E902" s="246" t="s">
        <v>3415</v>
      </c>
      <c r="F902" s="551" t="s">
        <v>3416</v>
      </c>
      <c r="G902" s="659" t="s">
        <v>68</v>
      </c>
      <c r="H902" s="633" t="s">
        <v>69</v>
      </c>
      <c r="I902" s="706">
        <v>216</v>
      </c>
      <c r="J902" s="246">
        <v>0</v>
      </c>
      <c r="K902" s="246">
        <v>12</v>
      </c>
      <c r="L902" s="644">
        <f t="shared" si="300"/>
        <v>18</v>
      </c>
      <c r="M902" s="645">
        <v>46122</v>
      </c>
      <c r="N902" s="645">
        <v>46118</v>
      </c>
      <c r="O902" s="643"/>
      <c r="P902" s="824" t="s">
        <v>113</v>
      </c>
      <c r="Q902" s="646"/>
      <c r="R902" s="646" t="s">
        <v>3410</v>
      </c>
      <c r="S902" s="646" t="s">
        <v>104</v>
      </c>
      <c r="T902" s="646" t="s">
        <v>3411</v>
      </c>
      <c r="U902" s="646"/>
      <c r="V902" s="646"/>
      <c r="W902" s="642"/>
      <c r="X902" s="642" t="s">
        <v>3412</v>
      </c>
      <c r="Y902" s="642" t="s">
        <v>1507</v>
      </c>
      <c r="Z902" s="657">
        <v>4.3574</v>
      </c>
      <c r="AA902" s="647">
        <f t="shared" si="304"/>
        <v>941.1984</v>
      </c>
      <c r="AB902" s="551"/>
      <c r="AC902" s="648"/>
      <c r="AD902" s="246" t="s">
        <v>184</v>
      </c>
      <c r="AE902" s="246" t="s">
        <v>82</v>
      </c>
      <c r="AF902" s="246"/>
      <c r="AG902" s="246"/>
      <c r="AH902" s="246">
        <v>1</v>
      </c>
      <c r="AI902" s="246">
        <v>216</v>
      </c>
      <c r="AJ902" s="643">
        <f t="shared" ref="AJ901:AJ935" si="309">AI902-I902</f>
        <v>0</v>
      </c>
      <c r="AK902" s="246"/>
      <c r="AL902" s="246" t="s">
        <v>2368</v>
      </c>
      <c r="AM902" s="551"/>
      <c r="AN902" s="551">
        <f t="shared" si="305"/>
        <v>216</v>
      </c>
      <c r="AO902" s="551"/>
      <c r="AP902" s="551"/>
      <c r="AQ902" s="551"/>
      <c r="AR902" s="551"/>
      <c r="AS902" s="551">
        <f t="shared" si="306"/>
        <v>216</v>
      </c>
      <c r="AT902" s="551"/>
      <c r="AU902" s="551">
        <f t="shared" si="307"/>
        <v>216</v>
      </c>
      <c r="AV902" s="551"/>
      <c r="AW902" s="551">
        <f t="shared" si="308"/>
        <v>216</v>
      </c>
      <c r="AX902" s="651"/>
      <c r="AY902" s="551"/>
      <c r="AZ902" s="551"/>
      <c r="BA902" s="551"/>
      <c r="BB902" s="551"/>
      <c r="BC902" s="551"/>
      <c r="BD902" s="551"/>
      <c r="BE902" s="551"/>
      <c r="BF902" s="551"/>
      <c r="BG902" s="551"/>
      <c r="BH902" s="551"/>
      <c r="BI902" s="551"/>
      <c r="BJ902" s="551"/>
      <c r="BK902" s="551"/>
      <c r="BL902" s="551"/>
      <c r="BM902" s="551"/>
      <c r="BN902" s="551"/>
      <c r="BO902" s="551"/>
      <c r="BP902" s="551"/>
      <c r="BQ902" s="551"/>
      <c r="BR902" s="551"/>
      <c r="BS902" s="551"/>
      <c r="BT902" s="551"/>
      <c r="BU902" s="551"/>
      <c r="BV902" s="551"/>
      <c r="BW902" s="551"/>
      <c r="BX902" s="551"/>
      <c r="BY902" s="551"/>
      <c r="BZ902" s="551"/>
      <c r="CA902" s="551"/>
      <c r="CB902" s="551"/>
      <c r="CC902" s="551"/>
      <c r="CD902" s="551"/>
      <c r="CE902" s="551"/>
      <c r="CF902" s="551"/>
      <c r="CG902" s="551"/>
      <c r="CH902" s="650"/>
      <c r="CI902" s="650"/>
      <c r="CJ902" s="650"/>
      <c r="CK902" s="650"/>
      <c r="CL902" s="650"/>
      <c r="CM902" s="551"/>
      <c r="CN902" s="551"/>
      <c r="CO902" s="551"/>
      <c r="CP902" s="650"/>
      <c r="CQ902" s="650"/>
      <c r="CR902" s="650"/>
      <c r="CS902" s="650"/>
      <c r="CT902" s="650"/>
      <c r="CU902" s="650"/>
    </row>
    <row r="903" s="1265" customFormat="1" ht="31" customHeight="1" spans="1:99">
      <c r="A903" s="641">
        <v>46083</v>
      </c>
      <c r="B903" s="642" t="s">
        <v>3407</v>
      </c>
      <c r="C903" s="246" t="s">
        <v>170</v>
      </c>
      <c r="D903" s="551">
        <v>4500194871</v>
      </c>
      <c r="E903" s="246" t="s">
        <v>3417</v>
      </c>
      <c r="F903" s="551" t="s">
        <v>3418</v>
      </c>
      <c r="G903" s="659" t="s">
        <v>68</v>
      </c>
      <c r="H903" s="633" t="s">
        <v>69</v>
      </c>
      <c r="I903" s="706">
        <v>48</v>
      </c>
      <c r="J903" s="246">
        <v>0</v>
      </c>
      <c r="K903" s="246">
        <v>12</v>
      </c>
      <c r="L903" s="644">
        <f t="shared" si="300"/>
        <v>4</v>
      </c>
      <c r="M903" s="645">
        <v>46122</v>
      </c>
      <c r="N903" s="645">
        <v>46118</v>
      </c>
      <c r="O903" s="643"/>
      <c r="P903" s="824" t="s">
        <v>113</v>
      </c>
      <c r="Q903" s="646"/>
      <c r="R903" s="646" t="s">
        <v>3410</v>
      </c>
      <c r="S903" s="646" t="s">
        <v>104</v>
      </c>
      <c r="T903" s="646" t="s">
        <v>3411</v>
      </c>
      <c r="U903" s="646"/>
      <c r="V903" s="646"/>
      <c r="W903" s="642"/>
      <c r="X903" s="642" t="s">
        <v>3412</v>
      </c>
      <c r="Y903" s="642" t="s">
        <v>1507</v>
      </c>
      <c r="Z903" s="657">
        <v>4.3574</v>
      </c>
      <c r="AA903" s="647">
        <f t="shared" si="304"/>
        <v>209.1552</v>
      </c>
      <c r="AB903" s="551"/>
      <c r="AC903" s="648"/>
      <c r="AD903" s="246" t="s">
        <v>184</v>
      </c>
      <c r="AE903" s="246" t="s">
        <v>82</v>
      </c>
      <c r="AF903" s="246"/>
      <c r="AG903" s="246"/>
      <c r="AH903" s="246">
        <v>1</v>
      </c>
      <c r="AI903" s="246">
        <v>48</v>
      </c>
      <c r="AJ903" s="643">
        <f t="shared" si="309"/>
        <v>0</v>
      </c>
      <c r="AK903" s="246"/>
      <c r="AL903" s="246" t="s">
        <v>2368</v>
      </c>
      <c r="AM903" s="551"/>
      <c r="AN903" s="551">
        <f t="shared" si="305"/>
        <v>48</v>
      </c>
      <c r="AO903" s="551"/>
      <c r="AP903" s="551"/>
      <c r="AQ903" s="551"/>
      <c r="AR903" s="551"/>
      <c r="AS903" s="551">
        <f t="shared" si="306"/>
        <v>48</v>
      </c>
      <c r="AT903" s="551"/>
      <c r="AU903" s="551">
        <f t="shared" si="307"/>
        <v>48</v>
      </c>
      <c r="AV903" s="551"/>
      <c r="AW903" s="551">
        <f t="shared" si="308"/>
        <v>48</v>
      </c>
      <c r="AX903" s="651"/>
      <c r="AY903" s="551"/>
      <c r="AZ903" s="551"/>
      <c r="BA903" s="551"/>
      <c r="BB903" s="551"/>
      <c r="BC903" s="551"/>
      <c r="BD903" s="551"/>
      <c r="BE903" s="551"/>
      <c r="BF903" s="551"/>
      <c r="BG903" s="551"/>
      <c r="BH903" s="551"/>
      <c r="BI903" s="551"/>
      <c r="BJ903" s="551"/>
      <c r="BK903" s="551"/>
      <c r="BL903" s="551"/>
      <c r="BM903" s="551"/>
      <c r="BN903" s="551"/>
      <c r="BO903" s="551"/>
      <c r="BP903" s="551"/>
      <c r="BQ903" s="551"/>
      <c r="BR903" s="551"/>
      <c r="BS903" s="551"/>
      <c r="BT903" s="551"/>
      <c r="BU903" s="551"/>
      <c r="BV903" s="551"/>
      <c r="BW903" s="551"/>
      <c r="BX903" s="551"/>
      <c r="BY903" s="551"/>
      <c r="BZ903" s="551"/>
      <c r="CA903" s="551"/>
      <c r="CB903" s="551"/>
      <c r="CC903" s="551"/>
      <c r="CD903" s="551"/>
      <c r="CE903" s="551"/>
      <c r="CF903" s="551"/>
      <c r="CG903" s="551"/>
      <c r="CH903" s="650"/>
      <c r="CI903" s="650"/>
      <c r="CJ903" s="650"/>
      <c r="CK903" s="650"/>
      <c r="CL903" s="650"/>
      <c r="CM903" s="551"/>
      <c r="CN903" s="551"/>
      <c r="CO903" s="551"/>
      <c r="CP903" s="650"/>
      <c r="CQ903" s="650"/>
      <c r="CR903" s="650"/>
      <c r="CS903" s="650"/>
      <c r="CT903" s="650"/>
      <c r="CU903" s="650"/>
    </row>
    <row r="904" s="1265" customFormat="1" ht="31" customHeight="1" spans="1:99">
      <c r="A904" s="641">
        <v>46083</v>
      </c>
      <c r="B904" s="642" t="s">
        <v>3407</v>
      </c>
      <c r="C904" s="246" t="s">
        <v>170</v>
      </c>
      <c r="D904" s="551">
        <v>4500194871</v>
      </c>
      <c r="E904" s="246" t="s">
        <v>3419</v>
      </c>
      <c r="F904" s="551" t="s">
        <v>3420</v>
      </c>
      <c r="G904" s="659" t="s">
        <v>68</v>
      </c>
      <c r="H904" s="633" t="s">
        <v>69</v>
      </c>
      <c r="I904" s="706">
        <v>72</v>
      </c>
      <c r="J904" s="246">
        <v>0</v>
      </c>
      <c r="K904" s="246">
        <v>12</v>
      </c>
      <c r="L904" s="644">
        <f t="shared" si="300"/>
        <v>6</v>
      </c>
      <c r="M904" s="645">
        <v>46122</v>
      </c>
      <c r="N904" s="645">
        <v>46118</v>
      </c>
      <c r="O904" s="643"/>
      <c r="P904" s="824" t="s">
        <v>113</v>
      </c>
      <c r="Q904" s="646"/>
      <c r="R904" s="646" t="s">
        <v>3410</v>
      </c>
      <c r="S904" s="646" t="s">
        <v>104</v>
      </c>
      <c r="T904" s="646" t="s">
        <v>3411</v>
      </c>
      <c r="U904" s="646"/>
      <c r="V904" s="646"/>
      <c r="W904" s="642"/>
      <c r="X904" s="642" t="s">
        <v>3412</v>
      </c>
      <c r="Y904" s="642" t="s">
        <v>1507</v>
      </c>
      <c r="Z904" s="657">
        <v>4.3574</v>
      </c>
      <c r="AA904" s="647">
        <f t="shared" si="304"/>
        <v>313.7328</v>
      </c>
      <c r="AB904" s="551"/>
      <c r="AC904" s="648"/>
      <c r="AD904" s="246" t="s">
        <v>184</v>
      </c>
      <c r="AE904" s="246" t="s">
        <v>82</v>
      </c>
      <c r="AF904" s="246"/>
      <c r="AG904" s="246"/>
      <c r="AH904" s="246">
        <v>1</v>
      </c>
      <c r="AI904" s="246">
        <v>72</v>
      </c>
      <c r="AJ904" s="643">
        <f t="shared" si="309"/>
        <v>0</v>
      </c>
      <c r="AK904" s="246"/>
      <c r="AL904" s="246" t="s">
        <v>2368</v>
      </c>
      <c r="AM904" s="551"/>
      <c r="AN904" s="551">
        <f t="shared" si="305"/>
        <v>72</v>
      </c>
      <c r="AO904" s="551"/>
      <c r="AP904" s="551"/>
      <c r="AQ904" s="551"/>
      <c r="AR904" s="551"/>
      <c r="AS904" s="551">
        <f t="shared" si="306"/>
        <v>72</v>
      </c>
      <c r="AT904" s="551"/>
      <c r="AU904" s="551">
        <f t="shared" si="307"/>
        <v>72</v>
      </c>
      <c r="AV904" s="551"/>
      <c r="AW904" s="551">
        <f t="shared" si="308"/>
        <v>72</v>
      </c>
      <c r="AX904" s="651"/>
      <c r="AY904" s="551"/>
      <c r="AZ904" s="551"/>
      <c r="BA904" s="551"/>
      <c r="BB904" s="551"/>
      <c r="BC904" s="551"/>
      <c r="BD904" s="551"/>
      <c r="BE904" s="551"/>
      <c r="BF904" s="551"/>
      <c r="BG904" s="551"/>
      <c r="BH904" s="551"/>
      <c r="BI904" s="551"/>
      <c r="BJ904" s="551"/>
      <c r="BK904" s="551"/>
      <c r="BL904" s="551"/>
      <c r="BM904" s="551"/>
      <c r="BN904" s="551"/>
      <c r="BO904" s="551"/>
      <c r="BP904" s="551"/>
      <c r="BQ904" s="551"/>
      <c r="BR904" s="551"/>
      <c r="BS904" s="551"/>
      <c r="BT904" s="551"/>
      <c r="BU904" s="551"/>
      <c r="BV904" s="551"/>
      <c r="BW904" s="551"/>
      <c r="BX904" s="551"/>
      <c r="BY904" s="551"/>
      <c r="BZ904" s="551"/>
      <c r="CA904" s="551"/>
      <c r="CB904" s="551"/>
      <c r="CC904" s="551"/>
      <c r="CD904" s="551"/>
      <c r="CE904" s="551"/>
      <c r="CF904" s="551"/>
      <c r="CG904" s="551"/>
      <c r="CH904" s="650"/>
      <c r="CI904" s="650"/>
      <c r="CJ904" s="650"/>
      <c r="CK904" s="650"/>
      <c r="CL904" s="650"/>
      <c r="CM904" s="551"/>
      <c r="CN904" s="551"/>
      <c r="CO904" s="551"/>
      <c r="CP904" s="650"/>
      <c r="CQ904" s="650"/>
      <c r="CR904" s="650"/>
      <c r="CS904" s="650"/>
      <c r="CT904" s="650"/>
      <c r="CU904" s="650"/>
    </row>
    <row r="905" s="1265" customFormat="1" ht="31" customHeight="1" spans="1:99">
      <c r="A905" s="641">
        <v>46083</v>
      </c>
      <c r="B905" s="642" t="s">
        <v>3407</v>
      </c>
      <c r="C905" s="246" t="s">
        <v>170</v>
      </c>
      <c r="D905" s="551">
        <v>4500194871</v>
      </c>
      <c r="E905" s="246" t="s">
        <v>3421</v>
      </c>
      <c r="F905" s="551" t="s">
        <v>3422</v>
      </c>
      <c r="G905" s="659" t="s">
        <v>68</v>
      </c>
      <c r="H905" s="633" t="s">
        <v>69</v>
      </c>
      <c r="I905" s="706">
        <v>60</v>
      </c>
      <c r="J905" s="246">
        <v>0</v>
      </c>
      <c r="K905" s="246">
        <v>12</v>
      </c>
      <c r="L905" s="644">
        <f t="shared" si="300"/>
        <v>5</v>
      </c>
      <c r="M905" s="645">
        <v>46122</v>
      </c>
      <c r="N905" s="645">
        <v>46118</v>
      </c>
      <c r="O905" s="643"/>
      <c r="P905" s="824" t="s">
        <v>113</v>
      </c>
      <c r="Q905" s="646"/>
      <c r="R905" s="646" t="s">
        <v>3410</v>
      </c>
      <c r="S905" s="646" t="s">
        <v>104</v>
      </c>
      <c r="T905" s="646" t="s">
        <v>3411</v>
      </c>
      <c r="U905" s="646"/>
      <c r="V905" s="646"/>
      <c r="W905" s="642"/>
      <c r="X905" s="642" t="s">
        <v>3412</v>
      </c>
      <c r="Y905" s="642" t="s">
        <v>1507</v>
      </c>
      <c r="Z905" s="657">
        <v>4.3574</v>
      </c>
      <c r="AA905" s="647">
        <f t="shared" si="304"/>
        <v>261.444</v>
      </c>
      <c r="AB905" s="551"/>
      <c r="AC905" s="648"/>
      <c r="AD905" s="246" t="s">
        <v>184</v>
      </c>
      <c r="AE905" s="246" t="s">
        <v>82</v>
      </c>
      <c r="AF905" s="246"/>
      <c r="AG905" s="246"/>
      <c r="AH905" s="246">
        <v>1</v>
      </c>
      <c r="AI905" s="246">
        <v>60</v>
      </c>
      <c r="AJ905" s="643">
        <f t="shared" si="309"/>
        <v>0</v>
      </c>
      <c r="AK905" s="246"/>
      <c r="AL905" s="246" t="s">
        <v>2368</v>
      </c>
      <c r="AM905" s="551"/>
      <c r="AN905" s="551">
        <f t="shared" si="305"/>
        <v>60</v>
      </c>
      <c r="AO905" s="551"/>
      <c r="AP905" s="551"/>
      <c r="AQ905" s="551"/>
      <c r="AR905" s="551"/>
      <c r="AS905" s="551">
        <f t="shared" si="306"/>
        <v>60</v>
      </c>
      <c r="AT905" s="551"/>
      <c r="AU905" s="551">
        <f t="shared" si="307"/>
        <v>60</v>
      </c>
      <c r="AV905" s="551"/>
      <c r="AW905" s="551">
        <f t="shared" si="308"/>
        <v>60</v>
      </c>
      <c r="AX905" s="651"/>
      <c r="AY905" s="551"/>
      <c r="AZ905" s="551"/>
      <c r="BA905" s="551"/>
      <c r="BB905" s="551"/>
      <c r="BC905" s="551"/>
      <c r="BD905" s="551"/>
      <c r="BE905" s="551"/>
      <c r="BF905" s="551"/>
      <c r="BG905" s="551"/>
      <c r="BH905" s="551"/>
      <c r="BI905" s="551"/>
      <c r="BJ905" s="551"/>
      <c r="BK905" s="551"/>
      <c r="BL905" s="551"/>
      <c r="BM905" s="551"/>
      <c r="BN905" s="551"/>
      <c r="BO905" s="551"/>
      <c r="BP905" s="551"/>
      <c r="BQ905" s="551"/>
      <c r="BR905" s="551"/>
      <c r="BS905" s="551"/>
      <c r="BT905" s="551"/>
      <c r="BU905" s="551"/>
      <c r="BV905" s="551"/>
      <c r="BW905" s="551"/>
      <c r="BX905" s="551"/>
      <c r="BY905" s="551"/>
      <c r="BZ905" s="551"/>
      <c r="CA905" s="551"/>
      <c r="CB905" s="551"/>
      <c r="CC905" s="551"/>
      <c r="CD905" s="551"/>
      <c r="CE905" s="551"/>
      <c r="CF905" s="551"/>
      <c r="CG905" s="551"/>
      <c r="CH905" s="650"/>
      <c r="CI905" s="650"/>
      <c r="CJ905" s="650"/>
      <c r="CK905" s="650"/>
      <c r="CL905" s="650"/>
      <c r="CM905" s="551"/>
      <c r="CN905" s="551"/>
      <c r="CO905" s="551"/>
      <c r="CP905" s="650"/>
      <c r="CQ905" s="650"/>
      <c r="CR905" s="650"/>
      <c r="CS905" s="650"/>
      <c r="CT905" s="650"/>
      <c r="CU905" s="650"/>
    </row>
    <row r="906" s="1265" customFormat="1" ht="31" customHeight="1" spans="1:99">
      <c r="A906" s="641">
        <v>46083</v>
      </c>
      <c r="B906" s="642" t="s">
        <v>3407</v>
      </c>
      <c r="C906" s="246" t="s">
        <v>170</v>
      </c>
      <c r="D906" s="551">
        <v>4500194871</v>
      </c>
      <c r="E906" s="246" t="s">
        <v>3423</v>
      </c>
      <c r="F906" s="551" t="s">
        <v>3424</v>
      </c>
      <c r="G906" s="659" t="s">
        <v>68</v>
      </c>
      <c r="H906" s="633" t="s">
        <v>69</v>
      </c>
      <c r="I906" s="706">
        <v>84</v>
      </c>
      <c r="J906" s="246">
        <v>0</v>
      </c>
      <c r="K906" s="246">
        <v>12</v>
      </c>
      <c r="L906" s="644">
        <f t="shared" si="300"/>
        <v>7</v>
      </c>
      <c r="M906" s="645">
        <v>46122</v>
      </c>
      <c r="N906" s="645">
        <v>46118</v>
      </c>
      <c r="O906" s="643"/>
      <c r="P906" s="824" t="s">
        <v>113</v>
      </c>
      <c r="Q906" s="646"/>
      <c r="R906" s="646" t="s">
        <v>3410</v>
      </c>
      <c r="S906" s="646" t="s">
        <v>104</v>
      </c>
      <c r="T906" s="646" t="s">
        <v>3411</v>
      </c>
      <c r="U906" s="646"/>
      <c r="V906" s="646"/>
      <c r="W906" s="642"/>
      <c r="X906" s="642" t="s">
        <v>3412</v>
      </c>
      <c r="Y906" s="642" t="s">
        <v>1507</v>
      </c>
      <c r="Z906" s="657">
        <v>4.3574</v>
      </c>
      <c r="AA906" s="647">
        <f t="shared" si="304"/>
        <v>366.0216</v>
      </c>
      <c r="AB906" s="551"/>
      <c r="AC906" s="648"/>
      <c r="AD906" s="246" t="s">
        <v>184</v>
      </c>
      <c r="AE906" s="246" t="s">
        <v>82</v>
      </c>
      <c r="AF906" s="246"/>
      <c r="AG906" s="246"/>
      <c r="AH906" s="246">
        <v>1</v>
      </c>
      <c r="AI906" s="246">
        <v>84</v>
      </c>
      <c r="AJ906" s="643">
        <f t="shared" si="309"/>
        <v>0</v>
      </c>
      <c r="AK906" s="246"/>
      <c r="AL906" s="246" t="s">
        <v>2368</v>
      </c>
      <c r="AM906" s="551"/>
      <c r="AN906" s="551">
        <f t="shared" si="305"/>
        <v>84</v>
      </c>
      <c r="AO906" s="551"/>
      <c r="AP906" s="551"/>
      <c r="AQ906" s="551"/>
      <c r="AR906" s="551"/>
      <c r="AS906" s="551">
        <f t="shared" si="306"/>
        <v>84</v>
      </c>
      <c r="AT906" s="551"/>
      <c r="AU906" s="551">
        <f t="shared" si="307"/>
        <v>84</v>
      </c>
      <c r="AV906" s="551"/>
      <c r="AW906" s="551">
        <f t="shared" si="308"/>
        <v>84</v>
      </c>
      <c r="AX906" s="651"/>
      <c r="AY906" s="551"/>
      <c r="AZ906" s="551"/>
      <c r="BA906" s="551"/>
      <c r="BB906" s="551"/>
      <c r="BC906" s="551"/>
      <c r="BD906" s="551"/>
      <c r="BE906" s="551"/>
      <c r="BF906" s="551"/>
      <c r="BG906" s="551"/>
      <c r="BH906" s="551"/>
      <c r="BI906" s="551"/>
      <c r="BJ906" s="551"/>
      <c r="BK906" s="551"/>
      <c r="BL906" s="551"/>
      <c r="BM906" s="551"/>
      <c r="BN906" s="551"/>
      <c r="BO906" s="551"/>
      <c r="BP906" s="551"/>
      <c r="BQ906" s="551"/>
      <c r="BR906" s="551"/>
      <c r="BS906" s="551"/>
      <c r="BT906" s="551"/>
      <c r="BU906" s="551"/>
      <c r="BV906" s="551"/>
      <c r="BW906" s="551"/>
      <c r="BX906" s="551"/>
      <c r="BY906" s="551"/>
      <c r="BZ906" s="551"/>
      <c r="CA906" s="551"/>
      <c r="CB906" s="551"/>
      <c r="CC906" s="551"/>
      <c r="CD906" s="551"/>
      <c r="CE906" s="551"/>
      <c r="CF906" s="551"/>
      <c r="CG906" s="551"/>
      <c r="CH906" s="650"/>
      <c r="CI906" s="650"/>
      <c r="CJ906" s="650"/>
      <c r="CK906" s="650"/>
      <c r="CL906" s="650"/>
      <c r="CM906" s="551"/>
      <c r="CN906" s="551"/>
      <c r="CO906" s="551"/>
      <c r="CP906" s="650"/>
      <c r="CQ906" s="650"/>
      <c r="CR906" s="650"/>
      <c r="CS906" s="650"/>
      <c r="CT906" s="650"/>
      <c r="CU906" s="650"/>
    </row>
    <row r="907" s="1265" customFormat="1" ht="31" customHeight="1" spans="1:99">
      <c r="A907" s="641">
        <v>46083</v>
      </c>
      <c r="B907" s="642" t="s">
        <v>3407</v>
      </c>
      <c r="C907" s="246" t="s">
        <v>170</v>
      </c>
      <c r="D907" s="551">
        <v>4500194871</v>
      </c>
      <c r="E907" s="246" t="s">
        <v>3425</v>
      </c>
      <c r="F907" s="551" t="s">
        <v>3426</v>
      </c>
      <c r="G907" s="659" t="s">
        <v>68</v>
      </c>
      <c r="H907" s="633" t="s">
        <v>69</v>
      </c>
      <c r="I907" s="706">
        <v>60</v>
      </c>
      <c r="J907" s="246">
        <v>0</v>
      </c>
      <c r="K907" s="246">
        <v>12</v>
      </c>
      <c r="L907" s="644">
        <f t="shared" si="300"/>
        <v>5</v>
      </c>
      <c r="M907" s="645">
        <v>46122</v>
      </c>
      <c r="N907" s="645">
        <v>46118</v>
      </c>
      <c r="O907" s="643"/>
      <c r="P907" s="824" t="s">
        <v>113</v>
      </c>
      <c r="Q907" s="646"/>
      <c r="R907" s="646" t="s">
        <v>3410</v>
      </c>
      <c r="S907" s="646" t="s">
        <v>104</v>
      </c>
      <c r="T907" s="646" t="s">
        <v>3411</v>
      </c>
      <c r="U907" s="646"/>
      <c r="V907" s="646"/>
      <c r="W907" s="642"/>
      <c r="X907" s="642" t="s">
        <v>3412</v>
      </c>
      <c r="Y907" s="642" t="s">
        <v>1507</v>
      </c>
      <c r="Z907" s="657">
        <v>4.3574</v>
      </c>
      <c r="AA907" s="647">
        <f t="shared" si="304"/>
        <v>261.444</v>
      </c>
      <c r="AB907" s="551"/>
      <c r="AC907" s="648"/>
      <c r="AD907" s="246" t="s">
        <v>184</v>
      </c>
      <c r="AE907" s="246" t="s">
        <v>82</v>
      </c>
      <c r="AF907" s="246"/>
      <c r="AG907" s="246"/>
      <c r="AH907" s="246">
        <v>1</v>
      </c>
      <c r="AI907" s="246">
        <v>60</v>
      </c>
      <c r="AJ907" s="643">
        <f t="shared" si="309"/>
        <v>0</v>
      </c>
      <c r="AK907" s="246"/>
      <c r="AL907" s="246" t="s">
        <v>2368</v>
      </c>
      <c r="AM907" s="551"/>
      <c r="AN907" s="551">
        <f t="shared" si="305"/>
        <v>60</v>
      </c>
      <c r="AO907" s="551"/>
      <c r="AP907" s="551"/>
      <c r="AQ907" s="551"/>
      <c r="AR907" s="551"/>
      <c r="AS907" s="551">
        <f t="shared" si="306"/>
        <v>60</v>
      </c>
      <c r="AT907" s="551"/>
      <c r="AU907" s="551">
        <f t="shared" si="307"/>
        <v>60</v>
      </c>
      <c r="AV907" s="551"/>
      <c r="AW907" s="551">
        <f t="shared" si="308"/>
        <v>60</v>
      </c>
      <c r="AX907" s="651"/>
      <c r="AY907" s="551"/>
      <c r="AZ907" s="551"/>
      <c r="BA907" s="551"/>
      <c r="BB907" s="551"/>
      <c r="BC907" s="551"/>
      <c r="BD907" s="551"/>
      <c r="BE907" s="551"/>
      <c r="BF907" s="551"/>
      <c r="BG907" s="551"/>
      <c r="BH907" s="551"/>
      <c r="BI907" s="551"/>
      <c r="BJ907" s="551"/>
      <c r="BK907" s="551"/>
      <c r="BL907" s="551"/>
      <c r="BM907" s="551"/>
      <c r="BN907" s="551"/>
      <c r="BO907" s="551"/>
      <c r="BP907" s="551"/>
      <c r="BQ907" s="551"/>
      <c r="BR907" s="551"/>
      <c r="BS907" s="551"/>
      <c r="BT907" s="551"/>
      <c r="BU907" s="551"/>
      <c r="BV907" s="551"/>
      <c r="BW907" s="551"/>
      <c r="BX907" s="551"/>
      <c r="BY907" s="551"/>
      <c r="BZ907" s="551"/>
      <c r="CA907" s="551"/>
      <c r="CB907" s="551"/>
      <c r="CC907" s="551"/>
      <c r="CD907" s="551"/>
      <c r="CE907" s="551"/>
      <c r="CF907" s="551"/>
      <c r="CG907" s="551"/>
      <c r="CH907" s="650"/>
      <c r="CI907" s="650"/>
      <c r="CJ907" s="650"/>
      <c r="CK907" s="650"/>
      <c r="CL907" s="650"/>
      <c r="CM907" s="551"/>
      <c r="CN907" s="551"/>
      <c r="CO907" s="551"/>
      <c r="CP907" s="650"/>
      <c r="CQ907" s="650"/>
      <c r="CR907" s="650"/>
      <c r="CS907" s="650"/>
      <c r="CT907" s="650"/>
      <c r="CU907" s="650"/>
    </row>
    <row r="908" s="1265" customFormat="1" ht="31" customHeight="1" spans="1:99">
      <c r="A908" s="641">
        <v>46083</v>
      </c>
      <c r="B908" s="642" t="s">
        <v>3407</v>
      </c>
      <c r="C908" s="246" t="s">
        <v>170</v>
      </c>
      <c r="D908" s="551">
        <v>4500194871</v>
      </c>
      <c r="E908" s="246" t="s">
        <v>3427</v>
      </c>
      <c r="F908" s="551" t="s">
        <v>3428</v>
      </c>
      <c r="G908" s="659" t="s">
        <v>68</v>
      </c>
      <c r="H908" s="633" t="s">
        <v>69</v>
      </c>
      <c r="I908" s="706">
        <v>120</v>
      </c>
      <c r="J908" s="246">
        <v>0</v>
      </c>
      <c r="K908" s="246">
        <v>12</v>
      </c>
      <c r="L908" s="644">
        <f t="shared" si="300"/>
        <v>10</v>
      </c>
      <c r="M908" s="645">
        <v>46122</v>
      </c>
      <c r="N908" s="645">
        <v>46118</v>
      </c>
      <c r="O908" s="643"/>
      <c r="P908" s="824" t="s">
        <v>113</v>
      </c>
      <c r="Q908" s="646"/>
      <c r="R908" s="646" t="s">
        <v>3410</v>
      </c>
      <c r="S908" s="646" t="s">
        <v>104</v>
      </c>
      <c r="T908" s="646" t="s">
        <v>3411</v>
      </c>
      <c r="U908" s="646"/>
      <c r="V908" s="646"/>
      <c r="W908" s="642"/>
      <c r="X908" s="642" t="s">
        <v>3412</v>
      </c>
      <c r="Y908" s="642" t="s">
        <v>1507</v>
      </c>
      <c r="Z908" s="657">
        <v>4.3574</v>
      </c>
      <c r="AA908" s="647">
        <f t="shared" si="304"/>
        <v>522.888</v>
      </c>
      <c r="AB908" s="551"/>
      <c r="AC908" s="648"/>
      <c r="AD908" s="246" t="s">
        <v>184</v>
      </c>
      <c r="AE908" s="246" t="s">
        <v>82</v>
      </c>
      <c r="AF908" s="246"/>
      <c r="AG908" s="246"/>
      <c r="AH908" s="246">
        <v>1</v>
      </c>
      <c r="AI908" s="246">
        <v>120</v>
      </c>
      <c r="AJ908" s="643">
        <f t="shared" si="309"/>
        <v>0</v>
      </c>
      <c r="AK908" s="246"/>
      <c r="AL908" s="246" t="s">
        <v>2368</v>
      </c>
      <c r="AM908" s="551"/>
      <c r="AN908" s="551">
        <f t="shared" si="305"/>
        <v>120</v>
      </c>
      <c r="AO908" s="551"/>
      <c r="AP908" s="551"/>
      <c r="AQ908" s="551"/>
      <c r="AR908" s="551"/>
      <c r="AS908" s="551">
        <f t="shared" si="306"/>
        <v>120</v>
      </c>
      <c r="AT908" s="551"/>
      <c r="AU908" s="551">
        <f t="shared" si="307"/>
        <v>120</v>
      </c>
      <c r="AV908" s="551"/>
      <c r="AW908" s="551">
        <f t="shared" si="308"/>
        <v>120</v>
      </c>
      <c r="AX908" s="651"/>
      <c r="AY908" s="551"/>
      <c r="AZ908" s="551"/>
      <c r="BA908" s="551"/>
      <c r="BB908" s="551"/>
      <c r="BC908" s="551"/>
      <c r="BD908" s="551"/>
      <c r="BE908" s="551"/>
      <c r="BF908" s="551"/>
      <c r="BG908" s="551"/>
      <c r="BH908" s="551"/>
      <c r="BI908" s="551"/>
      <c r="BJ908" s="551"/>
      <c r="BK908" s="551"/>
      <c r="BL908" s="551"/>
      <c r="BM908" s="551"/>
      <c r="BN908" s="551"/>
      <c r="BO908" s="551"/>
      <c r="BP908" s="551"/>
      <c r="BQ908" s="551"/>
      <c r="BR908" s="551"/>
      <c r="BS908" s="551"/>
      <c r="BT908" s="551"/>
      <c r="BU908" s="551"/>
      <c r="BV908" s="551"/>
      <c r="BW908" s="551"/>
      <c r="BX908" s="551"/>
      <c r="BY908" s="551"/>
      <c r="BZ908" s="551"/>
      <c r="CA908" s="551"/>
      <c r="CB908" s="551"/>
      <c r="CC908" s="551"/>
      <c r="CD908" s="551"/>
      <c r="CE908" s="551"/>
      <c r="CF908" s="551"/>
      <c r="CG908" s="551"/>
      <c r="CH908" s="650"/>
      <c r="CI908" s="650"/>
      <c r="CJ908" s="650"/>
      <c r="CK908" s="650"/>
      <c r="CL908" s="650"/>
      <c r="CM908" s="551"/>
      <c r="CN908" s="551"/>
      <c r="CO908" s="551"/>
      <c r="CP908" s="650"/>
      <c r="CQ908" s="650"/>
      <c r="CR908" s="650"/>
      <c r="CS908" s="650"/>
      <c r="CT908" s="650"/>
      <c r="CU908" s="650"/>
    </row>
    <row r="909" s="1265" customFormat="1" ht="31" customHeight="1" spans="1:99">
      <c r="A909" s="641">
        <v>46092</v>
      </c>
      <c r="B909" s="642" t="s">
        <v>1906</v>
      </c>
      <c r="C909" s="246" t="s">
        <v>154</v>
      </c>
      <c r="D909" s="551">
        <v>4500196240</v>
      </c>
      <c r="E909" s="246">
        <v>5200009196</v>
      </c>
      <c r="F909" s="551" t="s">
        <v>3429</v>
      </c>
      <c r="G909" s="659" t="s">
        <v>156</v>
      </c>
      <c r="H909" s="246" t="s">
        <v>102</v>
      </c>
      <c r="I909" s="706">
        <v>2400</v>
      </c>
      <c r="J909" s="246">
        <v>0</v>
      </c>
      <c r="K909" s="246">
        <v>4</v>
      </c>
      <c r="L909" s="644">
        <f t="shared" si="300"/>
        <v>600</v>
      </c>
      <c r="M909" s="645">
        <v>46127</v>
      </c>
      <c r="N909" s="645">
        <v>46123</v>
      </c>
      <c r="O909" s="643"/>
      <c r="P909" s="824" t="s">
        <v>113</v>
      </c>
      <c r="Q909" s="646"/>
      <c r="R909" s="646">
        <v>46094</v>
      </c>
      <c r="S909" s="646" t="s">
        <v>70</v>
      </c>
      <c r="T909" s="646" t="s">
        <v>3430</v>
      </c>
      <c r="U909" s="646"/>
      <c r="V909" s="646"/>
      <c r="W909" s="642"/>
      <c r="X909" s="749" t="s">
        <v>3431</v>
      </c>
      <c r="Y909" s="642" t="s">
        <v>3432</v>
      </c>
      <c r="Z909" s="657">
        <v>4.3522</v>
      </c>
      <c r="AA909" s="647">
        <f t="shared" si="304"/>
        <v>10445.28</v>
      </c>
      <c r="AB909" s="551"/>
      <c r="AC909" s="648"/>
      <c r="AD909" s="246" t="s">
        <v>156</v>
      </c>
      <c r="AE909" s="246" t="s">
        <v>82</v>
      </c>
      <c r="AF909" s="246"/>
      <c r="AG909" s="246"/>
      <c r="AH909" s="246">
        <v>1</v>
      </c>
      <c r="AI909" s="246">
        <f>2364+36</f>
        <v>2400</v>
      </c>
      <c r="AJ909" s="246">
        <f t="shared" si="309"/>
        <v>0</v>
      </c>
      <c r="AK909" s="246"/>
      <c r="AL909" s="246" t="s">
        <v>2368</v>
      </c>
      <c r="AM909" s="551"/>
      <c r="AN909" s="551">
        <f t="shared" si="305"/>
        <v>2400</v>
      </c>
      <c r="AO909" s="551"/>
      <c r="AP909" s="551"/>
      <c r="AQ909" s="551"/>
      <c r="AR909" s="551"/>
      <c r="AS909" s="551">
        <f t="shared" si="306"/>
        <v>2400</v>
      </c>
      <c r="AT909" s="551"/>
      <c r="AU909" s="551">
        <f t="shared" si="307"/>
        <v>2400</v>
      </c>
      <c r="AV909" s="1331"/>
      <c r="AW909" s="551">
        <f t="shared" si="308"/>
        <v>2400</v>
      </c>
      <c r="AX909" s="651"/>
      <c r="AY909" s="551"/>
      <c r="AZ909" s="551"/>
      <c r="BA909" s="551"/>
      <c r="BB909" s="551"/>
      <c r="BC909" s="551"/>
      <c r="BD909" s="551"/>
      <c r="BE909" s="551"/>
      <c r="BF909" s="551"/>
      <c r="BG909" s="551"/>
      <c r="BH909" s="551"/>
      <c r="BI909" s="825">
        <f>I909/4</f>
        <v>600</v>
      </c>
      <c r="BJ909" s="551"/>
      <c r="BK909" s="551"/>
      <c r="BL909" s="551"/>
      <c r="BM909" s="551"/>
      <c r="BN909" s="551"/>
      <c r="BO909" s="551"/>
      <c r="BP909" s="551"/>
      <c r="BQ909" s="551"/>
      <c r="BR909" s="551"/>
      <c r="BS909" s="551"/>
      <c r="BT909" s="551"/>
      <c r="BU909" s="551"/>
      <c r="BV909" s="551"/>
      <c r="BW909" s="551"/>
      <c r="BX909" s="551"/>
      <c r="BY909" s="551"/>
      <c r="BZ909" s="551"/>
      <c r="CA909" s="551"/>
      <c r="CB909" s="551"/>
      <c r="CC909" s="551"/>
      <c r="CD909" s="551"/>
      <c r="CE909" s="551"/>
      <c r="CF909" s="551"/>
      <c r="CG909" s="551"/>
      <c r="CH909" s="650"/>
      <c r="CI909" s="650"/>
      <c r="CJ909" s="650"/>
      <c r="CK909" s="650"/>
      <c r="CL909" s="650"/>
      <c r="CM909" s="551"/>
      <c r="CN909" s="551"/>
      <c r="CO909" s="551"/>
      <c r="CP909" s="650"/>
      <c r="CQ909" s="650"/>
      <c r="CR909" s="650"/>
      <c r="CS909" s="650"/>
      <c r="CT909" s="650"/>
      <c r="CU909" s="650"/>
    </row>
    <row r="910" s="1265" customFormat="1" ht="31" customHeight="1" spans="1:99">
      <c r="A910" s="641">
        <v>46081</v>
      </c>
      <c r="B910" s="642" t="s">
        <v>404</v>
      </c>
      <c r="C910" s="246" t="s">
        <v>278</v>
      </c>
      <c r="D910" s="551">
        <v>4500194687</v>
      </c>
      <c r="E910" s="246">
        <v>373208</v>
      </c>
      <c r="F910" s="551" t="s">
        <v>3433</v>
      </c>
      <c r="G910" s="659" t="s">
        <v>68</v>
      </c>
      <c r="H910" s="633" t="s">
        <v>69</v>
      </c>
      <c r="I910" s="706">
        <v>1500</v>
      </c>
      <c r="J910" s="246">
        <v>0</v>
      </c>
      <c r="K910" s="246">
        <v>12</v>
      </c>
      <c r="L910" s="644">
        <f t="shared" si="300"/>
        <v>125</v>
      </c>
      <c r="M910" s="645">
        <v>46129</v>
      </c>
      <c r="N910" s="645">
        <v>46125</v>
      </c>
      <c r="O910" s="643"/>
      <c r="P910" s="824" t="s">
        <v>113</v>
      </c>
      <c r="Q910" s="646"/>
      <c r="R910" s="646">
        <v>46081</v>
      </c>
      <c r="S910" s="646" t="s">
        <v>70</v>
      </c>
      <c r="T910" s="646" t="s">
        <v>3434</v>
      </c>
      <c r="U910" s="646"/>
      <c r="V910" s="642"/>
      <c r="W910" s="642"/>
      <c r="X910" s="642" t="s">
        <v>3435</v>
      </c>
      <c r="Y910" s="647" t="s">
        <v>505</v>
      </c>
      <c r="Z910" s="657">
        <v>4.2622</v>
      </c>
      <c r="AA910" s="647">
        <f t="shared" si="304"/>
        <v>6393.3</v>
      </c>
      <c r="AB910" s="551"/>
      <c r="AC910" s="648"/>
      <c r="AD910" s="246" t="s">
        <v>68</v>
      </c>
      <c r="AE910" s="246" t="s">
        <v>82</v>
      </c>
      <c r="AF910" s="246"/>
      <c r="AG910" s="246"/>
      <c r="AH910" s="246"/>
      <c r="AI910" s="246">
        <v>1500</v>
      </c>
      <c r="AJ910" s="643">
        <f t="shared" si="309"/>
        <v>0</v>
      </c>
      <c r="AK910" s="246"/>
      <c r="AL910" s="246" t="s">
        <v>2368</v>
      </c>
      <c r="AM910" s="551"/>
      <c r="AN910" s="551">
        <f t="shared" si="305"/>
        <v>1500</v>
      </c>
      <c r="AO910" s="1331"/>
      <c r="AP910" s="1331"/>
      <c r="AQ910" s="1331"/>
      <c r="AR910" s="551">
        <f>I910</f>
        <v>1500</v>
      </c>
      <c r="AS910" s="551"/>
      <c r="AT910" s="551"/>
      <c r="AU910" s="551">
        <f t="shared" si="307"/>
        <v>1500</v>
      </c>
      <c r="AV910" s="551"/>
      <c r="AW910" s="551">
        <f t="shared" si="308"/>
        <v>1500</v>
      </c>
      <c r="AX910" s="651"/>
      <c r="AY910" s="551"/>
      <c r="AZ910" s="551"/>
      <c r="BA910" s="551"/>
      <c r="BB910" s="551"/>
      <c r="BC910" s="551"/>
      <c r="BD910" s="551"/>
      <c r="BE910" s="551"/>
      <c r="BF910" s="551"/>
      <c r="BG910" s="551"/>
      <c r="BH910" s="551"/>
      <c r="BI910" s="551"/>
      <c r="BJ910" s="551"/>
      <c r="BK910" s="551"/>
      <c r="BL910" s="551"/>
      <c r="BM910" s="551"/>
      <c r="BN910" s="551"/>
      <c r="BO910" s="551"/>
      <c r="BP910" s="551"/>
      <c r="BQ910" s="551"/>
      <c r="BR910" s="551"/>
      <c r="BS910" s="551"/>
      <c r="BT910" s="551"/>
      <c r="BU910" s="551"/>
      <c r="BV910" s="551"/>
      <c r="BW910" s="551"/>
      <c r="BX910" s="551"/>
      <c r="BY910" s="551"/>
      <c r="BZ910" s="551"/>
      <c r="CA910" s="551"/>
      <c r="CB910" s="551"/>
      <c r="CC910" s="551"/>
      <c r="CD910" s="551"/>
      <c r="CE910" s="551"/>
      <c r="CF910" s="551"/>
      <c r="CG910" s="551"/>
      <c r="CH910" s="650"/>
      <c r="CI910" s="650"/>
      <c r="CJ910" s="650"/>
      <c r="CK910" s="650"/>
      <c r="CL910" s="650"/>
      <c r="CM910" s="551"/>
      <c r="CN910" s="551"/>
      <c r="CO910" s="551"/>
      <c r="CP910" s="650"/>
      <c r="CQ910" s="650"/>
      <c r="CR910" s="650"/>
      <c r="CS910" s="650"/>
      <c r="CT910" s="650"/>
      <c r="CU910" s="650"/>
    </row>
    <row r="911" s="1265" customFormat="1" ht="31" customHeight="1" spans="1:99">
      <c r="A911" s="608">
        <v>46058</v>
      </c>
      <c r="B911" s="609" t="s">
        <v>1728</v>
      </c>
      <c r="C911" s="610" t="s">
        <v>154</v>
      </c>
      <c r="D911" s="554">
        <v>4500193186</v>
      </c>
      <c r="E911" s="610">
        <v>4400538625</v>
      </c>
      <c r="F911" s="554" t="s">
        <v>3436</v>
      </c>
      <c r="G911" s="623" t="s">
        <v>164</v>
      </c>
      <c r="H911" s="610" t="s">
        <v>112</v>
      </c>
      <c r="I911" s="610">
        <v>1000</v>
      </c>
      <c r="J911" s="610">
        <v>0</v>
      </c>
      <c r="K911" s="610">
        <v>8</v>
      </c>
      <c r="L911" s="611">
        <f t="shared" si="300"/>
        <v>125</v>
      </c>
      <c r="M911" s="612">
        <v>46118</v>
      </c>
      <c r="N911" s="612">
        <v>46114</v>
      </c>
      <c r="O911" s="613"/>
      <c r="P911" s="824" t="s">
        <v>113</v>
      </c>
      <c r="Q911" s="614"/>
      <c r="R911" s="614" t="s">
        <v>3437</v>
      </c>
      <c r="S911" s="614" t="s">
        <v>70</v>
      </c>
      <c r="T911" s="614" t="s">
        <v>3438</v>
      </c>
      <c r="U911" s="614"/>
      <c r="V911" s="609"/>
      <c r="W911" s="609"/>
      <c r="X911" s="609" t="s">
        <v>3439</v>
      </c>
      <c r="Y911" s="616" t="s">
        <v>1549</v>
      </c>
      <c r="Z911" s="1343">
        <v>4.374</v>
      </c>
      <c r="AA911" s="616">
        <f t="shared" si="304"/>
        <v>4374</v>
      </c>
      <c r="AB911" s="554"/>
      <c r="AC911" s="617"/>
      <c r="AD911" s="610" t="s">
        <v>164</v>
      </c>
      <c r="AE911" s="610" t="s">
        <v>82</v>
      </c>
      <c r="AF911" s="610"/>
      <c r="AG911" s="610"/>
      <c r="AH911" s="610">
        <v>1</v>
      </c>
      <c r="AI911" s="610">
        <v>1000</v>
      </c>
      <c r="AJ911" s="610">
        <f t="shared" si="309"/>
        <v>0</v>
      </c>
      <c r="AK911" s="610"/>
      <c r="AL911" s="610" t="s">
        <v>126</v>
      </c>
      <c r="AM911" s="554"/>
      <c r="AN911" s="554">
        <f t="shared" si="305"/>
        <v>1000</v>
      </c>
      <c r="AO911" s="1325"/>
      <c r="AP911" s="1325"/>
      <c r="AQ911" s="1325"/>
      <c r="AR911" s="554"/>
      <c r="AS911" s="554"/>
      <c r="AT911" s="554"/>
      <c r="AU911" s="554"/>
      <c r="AV911" s="554"/>
      <c r="AW911" s="554">
        <f t="shared" si="308"/>
        <v>1000</v>
      </c>
      <c r="AX911" s="714"/>
      <c r="AY911" s="554"/>
      <c r="AZ911" s="554"/>
      <c r="BA911" s="554"/>
      <c r="BB911" s="554"/>
      <c r="BC911" s="554"/>
      <c r="BD911" s="554">
        <f>I911</f>
        <v>1000</v>
      </c>
      <c r="BE911" s="554">
        <f>I911</f>
        <v>1000</v>
      </c>
      <c r="BF911" s="554"/>
      <c r="BG911" s="554"/>
      <c r="BH911" s="554"/>
      <c r="BI911" s="825">
        <f>I911/4</f>
        <v>250</v>
      </c>
      <c r="BJ911" s="554"/>
      <c r="BK911" s="554"/>
      <c r="BL911" s="554"/>
      <c r="BM911" s="554"/>
      <c r="BN911" s="554"/>
      <c r="BO911" s="554"/>
      <c r="BP911" s="554"/>
      <c r="BQ911" s="554"/>
      <c r="BR911" s="554"/>
      <c r="BS911" s="554"/>
      <c r="BT911" s="554"/>
      <c r="BU911" s="554"/>
      <c r="BV911" s="554"/>
      <c r="BW911" s="554"/>
      <c r="BX911" s="554"/>
      <c r="BY911" s="554"/>
      <c r="BZ911" s="554"/>
      <c r="CA911" s="554"/>
      <c r="CB911" s="554"/>
      <c r="CC911" s="554"/>
      <c r="CD911" s="554"/>
      <c r="CE911" s="554"/>
      <c r="CF911" s="554"/>
      <c r="CG911" s="554"/>
      <c r="CH911" s="619"/>
      <c r="CI911" s="619"/>
      <c r="CJ911" s="619"/>
      <c r="CK911" s="619"/>
      <c r="CL911" s="619"/>
      <c r="CM911" s="554"/>
      <c r="CN911" s="554"/>
      <c r="CO911" s="554"/>
      <c r="CP911" s="619"/>
      <c r="CQ911" s="619"/>
      <c r="CR911" s="619"/>
      <c r="CS911" s="619"/>
      <c r="CT911" s="619"/>
      <c r="CU911" s="619"/>
    </row>
    <row r="912" s="1265" customFormat="1" ht="31" customHeight="1" spans="1:99">
      <c r="A912" s="608">
        <v>46078</v>
      </c>
      <c r="B912" s="609" t="s">
        <v>3440</v>
      </c>
      <c r="C912" s="610" t="s">
        <v>524</v>
      </c>
      <c r="D912" s="554">
        <v>4500194198</v>
      </c>
      <c r="E912" s="1419" t="s">
        <v>3441</v>
      </c>
      <c r="F912" s="554" t="s">
        <v>3442</v>
      </c>
      <c r="G912" s="623" t="s">
        <v>3443</v>
      </c>
      <c r="H912" s="610" t="s">
        <v>477</v>
      </c>
      <c r="I912" s="715">
        <v>17280</v>
      </c>
      <c r="J912" s="610">
        <v>0</v>
      </c>
      <c r="K912" s="610">
        <v>120</v>
      </c>
      <c r="L912" s="611">
        <f t="shared" si="300"/>
        <v>144</v>
      </c>
      <c r="M912" s="612">
        <v>46119</v>
      </c>
      <c r="N912" s="612">
        <v>46115</v>
      </c>
      <c r="O912" s="723" t="s">
        <v>3444</v>
      </c>
      <c r="P912" s="824" t="s">
        <v>113</v>
      </c>
      <c r="Q912" s="614"/>
      <c r="R912" s="614" t="s">
        <v>3445</v>
      </c>
      <c r="S912" s="614" t="s">
        <v>70</v>
      </c>
      <c r="T912" s="614" t="s">
        <v>3446</v>
      </c>
      <c r="U912" s="614"/>
      <c r="V912" s="614"/>
      <c r="W912" s="609" t="s">
        <v>3447</v>
      </c>
      <c r="X912" s="609" t="s">
        <v>3448</v>
      </c>
      <c r="Y912" s="616" t="s">
        <v>529</v>
      </c>
      <c r="Z912" s="625">
        <v>822</v>
      </c>
      <c r="AA912" s="616">
        <f>Z912*L912</f>
        <v>118368</v>
      </c>
      <c r="AB912" s="554"/>
      <c r="AC912" s="617"/>
      <c r="AD912" s="610" t="s">
        <v>3449</v>
      </c>
      <c r="AE912" s="610" t="s">
        <v>82</v>
      </c>
      <c r="AF912" s="610"/>
      <c r="AG912" s="610"/>
      <c r="AH912" s="246">
        <v>1</v>
      </c>
      <c r="AI912" s="610"/>
      <c r="AJ912" s="610">
        <f t="shared" si="309"/>
        <v>-17280</v>
      </c>
      <c r="AK912" s="610"/>
      <c r="AL912" s="610"/>
      <c r="AM912" s="554"/>
      <c r="AN912" s="554">
        <f t="shared" si="305"/>
        <v>17280</v>
      </c>
      <c r="AO912" s="554"/>
      <c r="AP912" s="554"/>
      <c r="AQ912" s="554"/>
      <c r="AR912" s="554"/>
      <c r="AS912" s="554">
        <f>I912</f>
        <v>17280</v>
      </c>
      <c r="AT912" s="554"/>
      <c r="AU912" s="554">
        <f>I912</f>
        <v>17280</v>
      </c>
      <c r="AV912" s="554"/>
      <c r="AW912" s="554"/>
      <c r="AX912" s="714"/>
      <c r="AY912" s="554">
        <f>I912</f>
        <v>17280</v>
      </c>
      <c r="AZ912" s="554"/>
      <c r="BA912" s="554"/>
      <c r="BB912" s="554"/>
      <c r="BC912" s="554"/>
      <c r="BD912" s="554"/>
      <c r="BE912" s="554"/>
      <c r="BF912" s="554"/>
      <c r="BG912" s="554"/>
      <c r="BH912" s="554"/>
      <c r="BI912" s="554"/>
      <c r="BJ912" s="554"/>
      <c r="BK912" s="554"/>
      <c r="BL912" s="554"/>
      <c r="BM912" s="554"/>
      <c r="BN912" s="554">
        <f>I912</f>
        <v>17280</v>
      </c>
      <c r="BO912" s="554"/>
      <c r="BP912" s="554"/>
      <c r="BQ912" s="554"/>
      <c r="BR912" s="554"/>
      <c r="BS912" s="554"/>
      <c r="BT912" s="554"/>
      <c r="BU912" s="554"/>
      <c r="BV912" s="554"/>
      <c r="BW912" s="554"/>
      <c r="BX912" s="554"/>
      <c r="BY912" s="554"/>
      <c r="BZ912" s="554"/>
      <c r="CA912" s="554"/>
      <c r="CB912" s="554"/>
      <c r="CC912" s="554"/>
      <c r="CD912" s="554"/>
      <c r="CE912" s="554"/>
      <c r="CF912" s="554"/>
      <c r="CG912" s="554"/>
      <c r="CH912" s="619"/>
      <c r="CI912" s="619"/>
      <c r="CJ912" s="619"/>
      <c r="CK912" s="619"/>
      <c r="CL912" s="619"/>
      <c r="CM912" s="554"/>
      <c r="CN912" s="554"/>
      <c r="CO912" s="554"/>
      <c r="CP912" s="619"/>
      <c r="CQ912" s="619"/>
      <c r="CR912" s="619"/>
      <c r="CS912" s="619"/>
      <c r="CT912" s="619"/>
      <c r="CU912" s="619"/>
    </row>
    <row r="913" s="1265" customFormat="1" ht="31" customHeight="1" spans="1:99">
      <c r="A913" s="608">
        <v>46079</v>
      </c>
      <c r="B913" s="609" t="s">
        <v>2362</v>
      </c>
      <c r="C913" s="610" t="s">
        <v>524</v>
      </c>
      <c r="D913" s="554">
        <v>4500194320</v>
      </c>
      <c r="E913" s="731">
        <v>62089545</v>
      </c>
      <c r="F913" s="554" t="s">
        <v>3450</v>
      </c>
      <c r="G913" s="623" t="s">
        <v>68</v>
      </c>
      <c r="H913" s="633" t="s">
        <v>69</v>
      </c>
      <c r="I913" s="715">
        <v>5004</v>
      </c>
      <c r="J913" s="610">
        <v>0</v>
      </c>
      <c r="K913" s="610">
        <v>12</v>
      </c>
      <c r="L913" s="611">
        <f t="shared" si="300"/>
        <v>417</v>
      </c>
      <c r="M913" s="612">
        <v>46119</v>
      </c>
      <c r="N913" s="724">
        <v>46122</v>
      </c>
      <c r="O913" s="613" t="s">
        <v>3451</v>
      </c>
      <c r="P913" s="824" t="s">
        <v>113</v>
      </c>
      <c r="Q913" s="614"/>
      <c r="R913" s="614">
        <v>46094</v>
      </c>
      <c r="S913" s="614" t="s">
        <v>70</v>
      </c>
      <c r="T913" s="614" t="s">
        <v>3452</v>
      </c>
      <c r="U913" s="614"/>
      <c r="V913" s="614"/>
      <c r="W913" s="609"/>
      <c r="X913" s="738" t="s">
        <v>3453</v>
      </c>
      <c r="Y913" s="616" t="s">
        <v>529</v>
      </c>
      <c r="Z913" s="625">
        <v>4.2567</v>
      </c>
      <c r="AA913" s="616">
        <f>Z913*I913</f>
        <v>21300.5268</v>
      </c>
      <c r="AB913" s="554"/>
      <c r="AC913" s="617"/>
      <c r="AD913" s="610" t="s">
        <v>184</v>
      </c>
      <c r="AE913" s="610" t="s">
        <v>82</v>
      </c>
      <c r="AF913" s="610"/>
      <c r="AG913" s="610"/>
      <c r="AH913" s="618">
        <v>1</v>
      </c>
      <c r="AI913" s="610">
        <v>5004</v>
      </c>
      <c r="AJ913" s="610">
        <f t="shared" si="309"/>
        <v>0</v>
      </c>
      <c r="AK913" s="610"/>
      <c r="AL913" s="610" t="s">
        <v>2368</v>
      </c>
      <c r="AM913" s="554"/>
      <c r="AN913" s="554">
        <f t="shared" si="305"/>
        <v>5004</v>
      </c>
      <c r="AO913" s="554"/>
      <c r="AP913" s="554"/>
      <c r="AQ913" s="554"/>
      <c r="AR913" s="554"/>
      <c r="AS913" s="554">
        <f>I913</f>
        <v>5004</v>
      </c>
      <c r="AT913" s="554"/>
      <c r="AU913" s="554">
        <f>I913</f>
        <v>5004</v>
      </c>
      <c r="AV913" s="554"/>
      <c r="AW913" s="554">
        <f>I913</f>
        <v>5004</v>
      </c>
      <c r="AX913" s="714"/>
      <c r="AY913" s="554"/>
      <c r="AZ913" s="554"/>
      <c r="BA913" s="554"/>
      <c r="BB913" s="554"/>
      <c r="BC913" s="554"/>
      <c r="BD913" s="554"/>
      <c r="BE913" s="554"/>
      <c r="BF913" s="554"/>
      <c r="BG913" s="554"/>
      <c r="BH913" s="554"/>
      <c r="BI913" s="554"/>
      <c r="BJ913" s="554"/>
      <c r="BK913" s="554"/>
      <c r="BL913" s="554"/>
      <c r="BM913" s="554"/>
      <c r="BN913" s="554"/>
      <c r="BO913" s="554"/>
      <c r="BP913" s="554"/>
      <c r="BQ913" s="554"/>
      <c r="BR913" s="554"/>
      <c r="BS913" s="554"/>
      <c r="BT913" s="554"/>
      <c r="BU913" s="554"/>
      <c r="BV913" s="554"/>
      <c r="BW913" s="554"/>
      <c r="BX913" s="554"/>
      <c r="BY913" s="554"/>
      <c r="BZ913" s="554"/>
      <c r="CA913" s="554"/>
      <c r="CB913" s="554"/>
      <c r="CC913" s="554"/>
      <c r="CD913" s="554"/>
      <c r="CE913" s="554"/>
      <c r="CF913" s="554"/>
      <c r="CG913" s="554"/>
      <c r="CH913" s="619"/>
      <c r="CI913" s="619"/>
      <c r="CJ913" s="619"/>
      <c r="CK913" s="619"/>
      <c r="CL913" s="619"/>
      <c r="CM913" s="554"/>
      <c r="CN913" s="554"/>
      <c r="CO913" s="554"/>
      <c r="CP913" s="619"/>
      <c r="CQ913" s="619"/>
      <c r="CR913" s="619"/>
      <c r="CS913" s="619"/>
      <c r="CT913" s="619"/>
      <c r="CU913" s="619"/>
    </row>
    <row r="914" s="1265" customFormat="1" ht="31" customHeight="1" spans="1:99">
      <c r="A914" s="608">
        <v>45978</v>
      </c>
      <c r="B914" s="609" t="s">
        <v>1492</v>
      </c>
      <c r="C914" s="610" t="s">
        <v>98</v>
      </c>
      <c r="D914" s="554">
        <v>4500185960</v>
      </c>
      <c r="E914" s="1420" t="s">
        <v>3454</v>
      </c>
      <c r="F914" s="554" t="s">
        <v>3455</v>
      </c>
      <c r="G914" s="623" t="s">
        <v>2666</v>
      </c>
      <c r="H914" s="610" t="s">
        <v>830</v>
      </c>
      <c r="I914" s="610">
        <v>5400</v>
      </c>
      <c r="J914" s="610">
        <v>0</v>
      </c>
      <c r="K914" s="610">
        <v>75</v>
      </c>
      <c r="L914" s="611">
        <f t="shared" si="300"/>
        <v>72</v>
      </c>
      <c r="M914" s="724">
        <v>46121</v>
      </c>
      <c r="N914" s="724">
        <v>46118</v>
      </c>
      <c r="O914" s="613"/>
      <c r="P914" s="824" t="s">
        <v>113</v>
      </c>
      <c r="Q914" s="614"/>
      <c r="R914" s="614" t="s">
        <v>2667</v>
      </c>
      <c r="S914" s="614" t="s">
        <v>70</v>
      </c>
      <c r="T914" s="614" t="s">
        <v>70</v>
      </c>
      <c r="U914" s="614"/>
      <c r="V914" s="614"/>
      <c r="W914" s="609"/>
      <c r="X914" s="609" t="s">
        <v>2826</v>
      </c>
      <c r="Y914" s="616" t="s">
        <v>911</v>
      </c>
      <c r="Z914" s="625">
        <v>359.3436</v>
      </c>
      <c r="AA914" s="616">
        <v>25872.7392</v>
      </c>
      <c r="AB914" s="554"/>
      <c r="AC914" s="629" t="s">
        <v>3456</v>
      </c>
      <c r="AD914" s="610" t="s">
        <v>1498</v>
      </c>
      <c r="AE914" s="610" t="s">
        <v>82</v>
      </c>
      <c r="AF914" s="610"/>
      <c r="AG914" s="610"/>
      <c r="AH914" s="618">
        <v>1</v>
      </c>
      <c r="AI914" s="610"/>
      <c r="AJ914" s="610">
        <f t="shared" si="309"/>
        <v>-5400</v>
      </c>
      <c r="AK914" s="610"/>
      <c r="AL914" s="610"/>
      <c r="AM914" s="554"/>
      <c r="AN914" s="554"/>
      <c r="AO914" s="554">
        <f>I914</f>
        <v>5400</v>
      </c>
      <c r="AP914" s="554"/>
      <c r="AQ914" s="554"/>
      <c r="AR914" s="554"/>
      <c r="AS914" s="554"/>
      <c r="AT914" s="554"/>
      <c r="AU914" s="554"/>
      <c r="AV914" s="554"/>
      <c r="AW914" s="554"/>
      <c r="AX914" s="714"/>
      <c r="AY914" s="554"/>
      <c r="AZ914" s="554"/>
      <c r="BA914" s="554">
        <f>I914</f>
        <v>5400</v>
      </c>
      <c r="BB914" s="554">
        <f>I914</f>
        <v>5400</v>
      </c>
      <c r="BC914" s="554">
        <f>I914</f>
        <v>5400</v>
      </c>
      <c r="BD914" s="554"/>
      <c r="BE914" s="554"/>
      <c r="BF914" s="554"/>
      <c r="BG914" s="554"/>
      <c r="BH914" s="554"/>
      <c r="BI914" s="554"/>
      <c r="BJ914" s="554"/>
      <c r="BK914" s="554">
        <f>I914</f>
        <v>5400</v>
      </c>
      <c r="BL914" s="554">
        <f>I914/5</f>
        <v>1080</v>
      </c>
      <c r="BM914" s="554"/>
      <c r="BN914" s="554"/>
      <c r="BO914" s="554"/>
      <c r="BP914" s="554"/>
      <c r="BQ914" s="554"/>
      <c r="BR914" s="554"/>
      <c r="BS914" s="554"/>
      <c r="BT914" s="554"/>
      <c r="BU914" s="554"/>
      <c r="BV914" s="554"/>
      <c r="BW914" s="554"/>
      <c r="BX914" s="554"/>
      <c r="BY914" s="554"/>
      <c r="BZ914" s="554"/>
      <c r="CA914" s="554"/>
      <c r="CB914" s="554"/>
      <c r="CC914" s="554"/>
      <c r="CD914" s="554"/>
      <c r="CE914" s="554"/>
      <c r="CF914" s="554"/>
      <c r="CG914" s="554"/>
      <c r="CH914" s="619"/>
      <c r="CI914" s="619"/>
      <c r="CJ914" s="619"/>
      <c r="CK914" s="619"/>
      <c r="CL914" s="619"/>
      <c r="CM914" s="554"/>
      <c r="CN914" s="554"/>
      <c r="CO914" s="554"/>
      <c r="CP914" s="619"/>
      <c r="CQ914" s="619"/>
      <c r="CR914" s="619"/>
      <c r="CS914" s="619"/>
      <c r="CT914" s="619"/>
      <c r="CU914" s="619"/>
    </row>
    <row r="915" s="1265" customFormat="1" ht="31" customHeight="1" spans="1:99">
      <c r="A915" s="608">
        <v>46027</v>
      </c>
      <c r="B915" s="609" t="s">
        <v>325</v>
      </c>
      <c r="C915" s="610" t="s">
        <v>98</v>
      </c>
      <c r="D915" s="554">
        <v>4500190665</v>
      </c>
      <c r="E915" s="610" t="s">
        <v>3457</v>
      </c>
      <c r="F915" s="554" t="s">
        <v>3458</v>
      </c>
      <c r="G915" s="623" t="s">
        <v>249</v>
      </c>
      <c r="H915" s="610" t="s">
        <v>250</v>
      </c>
      <c r="I915" s="715">
        <v>22000</v>
      </c>
      <c r="J915" s="610">
        <v>0</v>
      </c>
      <c r="K915" s="610">
        <v>4</v>
      </c>
      <c r="L915" s="611">
        <f t="shared" si="300"/>
        <v>5500</v>
      </c>
      <c r="M915" s="724">
        <v>46122</v>
      </c>
      <c r="N915" s="724">
        <v>46118</v>
      </c>
      <c r="O915" s="613"/>
      <c r="P915" s="824" t="s">
        <v>113</v>
      </c>
      <c r="Q915" s="614"/>
      <c r="R915" s="614">
        <v>46083</v>
      </c>
      <c r="S915" s="614" t="s">
        <v>104</v>
      </c>
      <c r="T915" s="614" t="s">
        <v>3363</v>
      </c>
      <c r="U915" s="614"/>
      <c r="V915" s="614"/>
      <c r="W915" s="609"/>
      <c r="X915" s="609" t="s">
        <v>2770</v>
      </c>
      <c r="Y915" s="616" t="s">
        <v>252</v>
      </c>
      <c r="Z915" s="625">
        <v>2.7734</v>
      </c>
      <c r="AA915" s="616">
        <f>Z915*I915</f>
        <v>61014.8</v>
      </c>
      <c r="AB915" s="554"/>
      <c r="AC915" s="629" t="s">
        <v>3459</v>
      </c>
      <c r="AD915" s="610" t="s">
        <v>249</v>
      </c>
      <c r="AE915" s="610" t="s">
        <v>82</v>
      </c>
      <c r="AF915" s="610"/>
      <c r="AG915" s="610"/>
      <c r="AH915" s="618">
        <v>1</v>
      </c>
      <c r="AI915" s="610">
        <f>4920+8560+8520</f>
        <v>22000</v>
      </c>
      <c r="AJ915" s="610">
        <f t="shared" si="309"/>
        <v>0</v>
      </c>
      <c r="AK915" s="610"/>
      <c r="AL915" s="610" t="s">
        <v>2368</v>
      </c>
      <c r="AM915" s="554"/>
      <c r="AN915" s="1325"/>
      <c r="AO915" s="554"/>
      <c r="AP915" s="554">
        <f>I915</f>
        <v>22000</v>
      </c>
      <c r="AQ915" s="554"/>
      <c r="AR915" s="554"/>
      <c r="AS915" s="554"/>
      <c r="AT915" s="554"/>
      <c r="AU915" s="554"/>
      <c r="AV915" s="554"/>
      <c r="AW915" s="554">
        <f>I915</f>
        <v>22000</v>
      </c>
      <c r="AX915" s="714"/>
      <c r="AY915" s="554"/>
      <c r="AZ915" s="554"/>
      <c r="BA915" s="554"/>
      <c r="BB915" s="554"/>
      <c r="BC915" s="554"/>
      <c r="BD915" s="554"/>
      <c r="BE915" s="554"/>
      <c r="BF915" s="554">
        <f>I915</f>
        <v>22000</v>
      </c>
      <c r="BG915" s="554">
        <f>I915</f>
        <v>22000</v>
      </c>
      <c r="BH915" s="825">
        <f>I915/4</f>
        <v>5500</v>
      </c>
      <c r="BI915" s="554"/>
      <c r="BJ915" s="554"/>
      <c r="BK915" s="554"/>
      <c r="BL915" s="554"/>
      <c r="BM915" s="554"/>
      <c r="BN915" s="554"/>
      <c r="BO915" s="554"/>
      <c r="BP915" s="554"/>
      <c r="BQ915" s="554"/>
      <c r="BR915" s="554"/>
      <c r="BS915" s="554"/>
      <c r="BT915" s="554"/>
      <c r="BU915" s="554"/>
      <c r="BV915" s="554"/>
      <c r="BW915" s="554"/>
      <c r="BX915" s="554"/>
      <c r="BY915" s="554"/>
      <c r="BZ915" s="554"/>
      <c r="CA915" s="554"/>
      <c r="CB915" s="554"/>
      <c r="CC915" s="554"/>
      <c r="CD915" s="554"/>
      <c r="CE915" s="554"/>
      <c r="CF915" s="554"/>
      <c r="CG915" s="554"/>
      <c r="CH915" s="619"/>
      <c r="CI915" s="619"/>
      <c r="CJ915" s="619"/>
      <c r="CK915" s="619"/>
      <c r="CL915" s="619"/>
      <c r="CM915" s="554"/>
      <c r="CN915" s="554"/>
      <c r="CO915" s="554"/>
      <c r="CP915" s="619"/>
      <c r="CQ915" s="619"/>
      <c r="CR915" s="619"/>
      <c r="CS915" s="619"/>
      <c r="CT915" s="619"/>
      <c r="CU915" s="619"/>
    </row>
    <row r="916" s="1265" customFormat="1" ht="31" customHeight="1" spans="1:99">
      <c r="A916" s="608">
        <v>45978</v>
      </c>
      <c r="B916" s="609" t="s">
        <v>1492</v>
      </c>
      <c r="C916" s="610" t="s">
        <v>98</v>
      </c>
      <c r="D916" s="554">
        <v>4500185961</v>
      </c>
      <c r="E916" s="1420" t="s">
        <v>3460</v>
      </c>
      <c r="F916" s="554" t="s">
        <v>3461</v>
      </c>
      <c r="G916" s="623" t="s">
        <v>2666</v>
      </c>
      <c r="H916" s="610" t="s">
        <v>830</v>
      </c>
      <c r="I916" s="610">
        <v>5400</v>
      </c>
      <c r="J916" s="610">
        <v>0</v>
      </c>
      <c r="K916" s="610">
        <v>75</v>
      </c>
      <c r="L916" s="611">
        <f t="shared" si="300"/>
        <v>72</v>
      </c>
      <c r="M916" s="724">
        <v>46122</v>
      </c>
      <c r="N916" s="724">
        <v>46118</v>
      </c>
      <c r="O916" s="613"/>
      <c r="P916" s="824" t="s">
        <v>113</v>
      </c>
      <c r="Q916" s="614"/>
      <c r="R916" s="614" t="s">
        <v>2667</v>
      </c>
      <c r="S916" s="614" t="s">
        <v>70</v>
      </c>
      <c r="T916" s="614" t="s">
        <v>70</v>
      </c>
      <c r="U916" s="614"/>
      <c r="V916" s="614"/>
      <c r="W916" s="609"/>
      <c r="X916" s="609" t="s">
        <v>2826</v>
      </c>
      <c r="Y916" s="616" t="s">
        <v>911</v>
      </c>
      <c r="Z916" s="625">
        <v>359.3436</v>
      </c>
      <c r="AA916" s="616">
        <v>25872.7392</v>
      </c>
      <c r="AB916" s="554"/>
      <c r="AC916" s="629" t="s">
        <v>3462</v>
      </c>
      <c r="AD916" s="610" t="s">
        <v>1498</v>
      </c>
      <c r="AE916" s="610" t="s">
        <v>82</v>
      </c>
      <c r="AF916" s="610"/>
      <c r="AG916" s="610"/>
      <c r="AH916" s="618">
        <v>1</v>
      </c>
      <c r="AI916" s="610"/>
      <c r="AJ916" s="613">
        <f t="shared" si="309"/>
        <v>-5400</v>
      </c>
      <c r="AK916" s="610"/>
      <c r="AL916" s="610"/>
      <c r="AM916" s="554"/>
      <c r="AN916" s="554"/>
      <c r="AO916" s="554">
        <f>I916</f>
        <v>5400</v>
      </c>
      <c r="AP916" s="554"/>
      <c r="AQ916" s="554"/>
      <c r="AR916" s="554"/>
      <c r="AS916" s="554"/>
      <c r="AT916" s="554"/>
      <c r="AU916" s="554"/>
      <c r="AV916" s="554"/>
      <c r="AW916" s="554"/>
      <c r="AX916" s="714"/>
      <c r="AY916" s="554"/>
      <c r="AZ916" s="554"/>
      <c r="BA916" s="554">
        <f>I916</f>
        <v>5400</v>
      </c>
      <c r="BB916" s="554">
        <f>I916</f>
        <v>5400</v>
      </c>
      <c r="BC916" s="554">
        <f>I916</f>
        <v>5400</v>
      </c>
      <c r="BD916" s="554"/>
      <c r="BE916" s="554"/>
      <c r="BF916" s="554"/>
      <c r="BG916" s="554"/>
      <c r="BH916" s="554"/>
      <c r="BI916" s="554"/>
      <c r="BJ916" s="554"/>
      <c r="BK916" s="554">
        <f>I916</f>
        <v>5400</v>
      </c>
      <c r="BL916" s="554">
        <f>I916/5</f>
        <v>1080</v>
      </c>
      <c r="BM916" s="554"/>
      <c r="BN916" s="554"/>
      <c r="BO916" s="554"/>
      <c r="BP916" s="554"/>
      <c r="BQ916" s="554"/>
      <c r="BR916" s="554"/>
      <c r="BS916" s="554"/>
      <c r="BT916" s="554"/>
      <c r="BU916" s="554"/>
      <c r="BV916" s="554"/>
      <c r="BW916" s="554"/>
      <c r="BX916" s="554"/>
      <c r="BY916" s="554"/>
      <c r="BZ916" s="554"/>
      <c r="CA916" s="554"/>
      <c r="CB916" s="554"/>
      <c r="CC916" s="554"/>
      <c r="CD916" s="554"/>
      <c r="CE916" s="554"/>
      <c r="CF916" s="554"/>
      <c r="CG916" s="554"/>
      <c r="CH916" s="619"/>
      <c r="CI916" s="619"/>
      <c r="CJ916" s="619"/>
      <c r="CK916" s="619"/>
      <c r="CL916" s="619"/>
      <c r="CM916" s="554"/>
      <c r="CN916" s="554"/>
      <c r="CO916" s="554"/>
      <c r="CP916" s="619"/>
      <c r="CQ916" s="619"/>
      <c r="CR916" s="619"/>
      <c r="CS916" s="619"/>
      <c r="CT916" s="619"/>
      <c r="CU916" s="619"/>
    </row>
    <row r="917" s="1265" customFormat="1" ht="31" customHeight="1" spans="1:99">
      <c r="A917" s="608">
        <v>46092</v>
      </c>
      <c r="B917" s="609"/>
      <c r="C917" s="610"/>
      <c r="D917" s="554" t="s">
        <v>3463</v>
      </c>
      <c r="E917" s="610"/>
      <c r="F917" s="554" t="s">
        <v>3464</v>
      </c>
      <c r="G917" s="623" t="s">
        <v>476</v>
      </c>
      <c r="H917" s="610" t="s">
        <v>3465</v>
      </c>
      <c r="I917" s="715">
        <v>60</v>
      </c>
      <c r="J917" s="610">
        <v>0</v>
      </c>
      <c r="K917" s="610">
        <v>6</v>
      </c>
      <c r="L917" s="611">
        <f t="shared" ref="L917:L924" si="310">I917/K917</f>
        <v>10</v>
      </c>
      <c r="M917" s="612">
        <v>46123</v>
      </c>
      <c r="N917" s="612">
        <v>46119</v>
      </c>
      <c r="O917" s="613"/>
      <c r="P917" s="824" t="s">
        <v>113</v>
      </c>
      <c r="Q917" s="614"/>
      <c r="R917" s="614" t="s">
        <v>1242</v>
      </c>
      <c r="S917" s="614" t="s">
        <v>70</v>
      </c>
      <c r="T917" s="614" t="s">
        <v>70</v>
      </c>
      <c r="U917" s="614"/>
      <c r="V917" s="614"/>
      <c r="W917" s="609"/>
      <c r="X917" s="609" t="s">
        <v>3466</v>
      </c>
      <c r="Y917" s="609" t="s">
        <v>85</v>
      </c>
      <c r="Z917" s="625"/>
      <c r="AA917" s="616"/>
      <c r="AB917" s="554"/>
      <c r="AC917" s="617"/>
      <c r="AD917" s="633" t="s">
        <v>480</v>
      </c>
      <c r="AE917" s="610" t="s">
        <v>82</v>
      </c>
      <c r="AF917" s="610"/>
      <c r="AG917" s="610"/>
      <c r="AH917" s="618">
        <v>1</v>
      </c>
      <c r="AI917" s="610"/>
      <c r="AJ917" s="610">
        <f t="shared" si="309"/>
        <v>-60</v>
      </c>
      <c r="AK917" s="610"/>
      <c r="AL917" s="610"/>
      <c r="AM917" s="554"/>
      <c r="AN917" s="554">
        <f t="shared" ref="AN917:AN922" si="311">I917</f>
        <v>60</v>
      </c>
      <c r="AO917" s="554"/>
      <c r="AP917" s="554"/>
      <c r="AQ917" s="554"/>
      <c r="AR917" s="554">
        <f>I917</f>
        <v>60</v>
      </c>
      <c r="AS917" s="554"/>
      <c r="AT917" s="554"/>
      <c r="AU917" s="554">
        <f>I917</f>
        <v>60</v>
      </c>
      <c r="AV917" s="554"/>
      <c r="AW917" s="551">
        <f>I917</f>
        <v>60</v>
      </c>
      <c r="AX917" s="714"/>
      <c r="AY917" s="554"/>
      <c r="AZ917" s="554"/>
      <c r="BA917" s="554"/>
      <c r="BB917" s="554"/>
      <c r="BC917" s="554"/>
      <c r="BD917" s="554"/>
      <c r="BE917" s="554"/>
      <c r="BF917" s="554"/>
      <c r="BG917" s="554"/>
      <c r="BH917" s="554"/>
      <c r="BI917" s="554"/>
      <c r="BJ917" s="554"/>
      <c r="BK917" s="554"/>
      <c r="BL917" s="554"/>
      <c r="BM917" s="554"/>
      <c r="BN917" s="554">
        <f>I917</f>
        <v>60</v>
      </c>
      <c r="BO917" s="554"/>
      <c r="BP917" s="554"/>
      <c r="BQ917" s="554"/>
      <c r="BR917" s="554"/>
      <c r="BS917" s="554"/>
      <c r="BT917" s="554"/>
      <c r="BU917" s="554"/>
      <c r="BV917" s="554"/>
      <c r="BW917" s="554"/>
      <c r="BX917" s="554"/>
      <c r="BY917" s="554"/>
      <c r="BZ917" s="554"/>
      <c r="CA917" s="554"/>
      <c r="CB917" s="554"/>
      <c r="CC917" s="554"/>
      <c r="CD917" s="554"/>
      <c r="CE917" s="554"/>
      <c r="CF917" s="554"/>
      <c r="CG917" s="554"/>
      <c r="CH917" s="619"/>
      <c r="CI917" s="619"/>
      <c r="CJ917" s="619"/>
      <c r="CK917" s="619"/>
      <c r="CL917" s="619"/>
      <c r="CM917" s="554"/>
      <c r="CN917" s="554"/>
      <c r="CO917" s="554"/>
      <c r="CP917" s="619"/>
      <c r="CQ917" s="619"/>
      <c r="CR917" s="619"/>
      <c r="CS917" s="619"/>
      <c r="CT917" s="619"/>
      <c r="CU917" s="619"/>
    </row>
    <row r="918" s="1265" customFormat="1" ht="31" customHeight="1" spans="1:99">
      <c r="A918" s="608">
        <v>46065</v>
      </c>
      <c r="B918" s="609" t="s">
        <v>3467</v>
      </c>
      <c r="C918" s="610" t="s">
        <v>399</v>
      </c>
      <c r="D918" s="554">
        <v>4500193889</v>
      </c>
      <c r="E918" s="610"/>
      <c r="F918" s="554" t="s">
        <v>3468</v>
      </c>
      <c r="G918" s="623" t="s">
        <v>68</v>
      </c>
      <c r="H918" s="633" t="s">
        <v>69</v>
      </c>
      <c r="I918" s="715">
        <v>1152</v>
      </c>
      <c r="J918" s="610">
        <v>0</v>
      </c>
      <c r="K918" s="610">
        <v>12</v>
      </c>
      <c r="L918" s="611">
        <f t="shared" si="310"/>
        <v>96</v>
      </c>
      <c r="M918" s="612">
        <v>46127</v>
      </c>
      <c r="N918" s="612">
        <v>46123</v>
      </c>
      <c r="O918" s="613" t="s">
        <v>3469</v>
      </c>
      <c r="P918" s="824" t="s">
        <v>113</v>
      </c>
      <c r="Q918" s="614"/>
      <c r="R918" s="614">
        <v>46093</v>
      </c>
      <c r="S918" s="614" t="s">
        <v>70</v>
      </c>
      <c r="T918" s="614" t="s">
        <v>3470</v>
      </c>
      <c r="U918" s="614"/>
      <c r="V918" s="614"/>
      <c r="W918" s="609"/>
      <c r="X918" s="609" t="s">
        <v>3471</v>
      </c>
      <c r="Y918" s="609" t="s">
        <v>445</v>
      </c>
      <c r="Z918" s="625">
        <v>4.2622</v>
      </c>
      <c r="AA918" s="616">
        <f>Z918*I918</f>
        <v>4910.0544</v>
      </c>
      <c r="AB918" s="554"/>
      <c r="AC918" s="617"/>
      <c r="AD918" s="610" t="s">
        <v>184</v>
      </c>
      <c r="AE918" s="610" t="s">
        <v>82</v>
      </c>
      <c r="AF918" s="610"/>
      <c r="AG918" s="610"/>
      <c r="AH918" s="618">
        <v>1</v>
      </c>
      <c r="AI918" s="610">
        <v>1152</v>
      </c>
      <c r="AJ918" s="613">
        <f t="shared" si="309"/>
        <v>0</v>
      </c>
      <c r="AK918" s="610"/>
      <c r="AL918" s="610" t="s">
        <v>2368</v>
      </c>
      <c r="AM918" s="554"/>
      <c r="AN918" s="554">
        <f t="shared" si="311"/>
        <v>1152</v>
      </c>
      <c r="AO918" s="554"/>
      <c r="AP918" s="554"/>
      <c r="AQ918" s="554"/>
      <c r="AR918" s="554"/>
      <c r="AS918" s="554">
        <f>I918</f>
        <v>1152</v>
      </c>
      <c r="AT918" s="554"/>
      <c r="AU918" s="554">
        <f>I918</f>
        <v>1152</v>
      </c>
      <c r="AV918" s="554"/>
      <c r="AW918" s="554">
        <f>I918</f>
        <v>1152</v>
      </c>
      <c r="AX918" s="714"/>
      <c r="AY918" s="554"/>
      <c r="AZ918" s="554"/>
      <c r="BA918" s="554"/>
      <c r="BB918" s="554"/>
      <c r="BC918" s="554"/>
      <c r="BD918" s="554"/>
      <c r="BE918" s="554"/>
      <c r="BF918" s="554"/>
      <c r="BG918" s="554"/>
      <c r="BH918" s="554"/>
      <c r="BI918" s="554"/>
      <c r="BJ918" s="554"/>
      <c r="BK918" s="554"/>
      <c r="BL918" s="554"/>
      <c r="BM918" s="554"/>
      <c r="BN918" s="554"/>
      <c r="BO918" s="554"/>
      <c r="BP918" s="554"/>
      <c r="BQ918" s="554"/>
      <c r="BR918" s="554"/>
      <c r="BS918" s="554"/>
      <c r="BT918" s="554"/>
      <c r="BU918" s="554"/>
      <c r="BV918" s="554"/>
      <c r="BW918" s="554"/>
      <c r="BX918" s="554"/>
      <c r="BY918" s="554"/>
      <c r="BZ918" s="554"/>
      <c r="CA918" s="554"/>
      <c r="CB918" s="554"/>
      <c r="CC918" s="554"/>
      <c r="CD918" s="554"/>
      <c r="CE918" s="554"/>
      <c r="CF918" s="554"/>
      <c r="CG918" s="554"/>
      <c r="CH918" s="619"/>
      <c r="CI918" s="619"/>
      <c r="CJ918" s="619"/>
      <c r="CK918" s="619"/>
      <c r="CL918" s="619"/>
      <c r="CM918" s="554"/>
      <c r="CN918" s="554"/>
      <c r="CO918" s="554"/>
      <c r="CP918" s="619"/>
      <c r="CQ918" s="619"/>
      <c r="CR918" s="619"/>
      <c r="CS918" s="619"/>
      <c r="CT918" s="619"/>
      <c r="CU918" s="619"/>
    </row>
    <row r="919" s="1265" customFormat="1" ht="31" customHeight="1" spans="1:99">
      <c r="A919" s="608">
        <v>46086</v>
      </c>
      <c r="B919" s="609" t="s">
        <v>3385</v>
      </c>
      <c r="C919" s="610" t="s">
        <v>3386</v>
      </c>
      <c r="D919" s="554">
        <v>4500195338</v>
      </c>
      <c r="E919" s="610"/>
      <c r="F919" s="554" t="s">
        <v>3472</v>
      </c>
      <c r="G919" s="623" t="s">
        <v>68</v>
      </c>
      <c r="H919" s="633" t="s">
        <v>69</v>
      </c>
      <c r="I919" s="715">
        <v>2004</v>
      </c>
      <c r="J919" s="610">
        <v>0</v>
      </c>
      <c r="K919" s="610">
        <v>12</v>
      </c>
      <c r="L919" s="611">
        <f t="shared" si="310"/>
        <v>167</v>
      </c>
      <c r="M919" s="612">
        <v>46127</v>
      </c>
      <c r="N919" s="612">
        <v>46123</v>
      </c>
      <c r="O919" s="613"/>
      <c r="P919" s="824" t="s">
        <v>113</v>
      </c>
      <c r="Q919" s="614"/>
      <c r="R919" s="614" t="s">
        <v>3389</v>
      </c>
      <c r="S919" s="614" t="s">
        <v>70</v>
      </c>
      <c r="T919" s="614" t="s">
        <v>3473</v>
      </c>
      <c r="U919" s="614"/>
      <c r="V919" s="614"/>
      <c r="W919" s="609"/>
      <c r="X919" s="609" t="s">
        <v>3474</v>
      </c>
      <c r="Y919" s="609" t="s">
        <v>529</v>
      </c>
      <c r="Z919" s="625">
        <v>4.2622</v>
      </c>
      <c r="AA919" s="616">
        <f>Z919*I919</f>
        <v>8541.4488</v>
      </c>
      <c r="AB919" s="554"/>
      <c r="AC919" s="617"/>
      <c r="AD919" s="610" t="s">
        <v>184</v>
      </c>
      <c r="AE919" s="610" t="s">
        <v>82</v>
      </c>
      <c r="AF919" s="610"/>
      <c r="AG919" s="610"/>
      <c r="AH919" s="618">
        <v>1</v>
      </c>
      <c r="AI919" s="610">
        <f>1980+24</f>
        <v>2004</v>
      </c>
      <c r="AJ919" s="613">
        <f t="shared" si="309"/>
        <v>0</v>
      </c>
      <c r="AK919" s="610"/>
      <c r="AL919" s="610" t="s">
        <v>454</v>
      </c>
      <c r="AM919" s="554"/>
      <c r="AN919" s="554">
        <f t="shared" si="311"/>
        <v>2004</v>
      </c>
      <c r="AO919" s="554"/>
      <c r="AP919" s="554"/>
      <c r="AQ919" s="554"/>
      <c r="AR919" s="554"/>
      <c r="AS919" s="554">
        <f>I919</f>
        <v>2004</v>
      </c>
      <c r="AT919" s="554"/>
      <c r="AU919" s="554">
        <f>I919</f>
        <v>2004</v>
      </c>
      <c r="AV919" s="554"/>
      <c r="AW919" s="554">
        <f>I919</f>
        <v>2004</v>
      </c>
      <c r="AX919" s="714"/>
      <c r="AY919" s="554"/>
      <c r="AZ919" s="554"/>
      <c r="BA919" s="554"/>
      <c r="BB919" s="554"/>
      <c r="BC919" s="554"/>
      <c r="BD919" s="554"/>
      <c r="BE919" s="554"/>
      <c r="BF919" s="554"/>
      <c r="BG919" s="554"/>
      <c r="BH919" s="554"/>
      <c r="BI919" s="554"/>
      <c r="BJ919" s="554"/>
      <c r="BK919" s="554"/>
      <c r="BL919" s="554"/>
      <c r="BM919" s="554"/>
      <c r="BN919" s="554"/>
      <c r="BO919" s="554"/>
      <c r="BP919" s="554"/>
      <c r="BQ919" s="554"/>
      <c r="BR919" s="554"/>
      <c r="BS919" s="554"/>
      <c r="BT919" s="554"/>
      <c r="BU919" s="554"/>
      <c r="BV919" s="554"/>
      <c r="BW919" s="554"/>
      <c r="BX919" s="554"/>
      <c r="BY919" s="554"/>
      <c r="BZ919" s="554"/>
      <c r="CA919" s="554"/>
      <c r="CB919" s="554"/>
      <c r="CC919" s="554"/>
      <c r="CD919" s="554"/>
      <c r="CE919" s="554"/>
      <c r="CF919" s="554"/>
      <c r="CG919" s="554"/>
      <c r="CH919" s="619"/>
      <c r="CI919" s="619"/>
      <c r="CJ919" s="619"/>
      <c r="CK919" s="619"/>
      <c r="CL919" s="619"/>
      <c r="CM919" s="554"/>
      <c r="CN919" s="554"/>
      <c r="CO919" s="554"/>
      <c r="CP919" s="619"/>
      <c r="CQ919" s="619"/>
      <c r="CR919" s="619"/>
      <c r="CS919" s="619"/>
      <c r="CT919" s="619"/>
      <c r="CU919" s="619"/>
    </row>
    <row r="920" s="1265" customFormat="1" ht="31" customHeight="1" spans="1:99">
      <c r="A920" s="608">
        <v>46087</v>
      </c>
      <c r="B920" s="609" t="s">
        <v>3385</v>
      </c>
      <c r="C920" s="610" t="s">
        <v>3386</v>
      </c>
      <c r="D920" s="554">
        <v>4500195564</v>
      </c>
      <c r="E920" s="610"/>
      <c r="F920" s="554" t="s">
        <v>3475</v>
      </c>
      <c r="G920" s="623" t="s">
        <v>68</v>
      </c>
      <c r="H920" s="633" t="s">
        <v>69</v>
      </c>
      <c r="I920" s="715">
        <v>12000</v>
      </c>
      <c r="J920" s="610">
        <v>0</v>
      </c>
      <c r="K920" s="610">
        <v>12</v>
      </c>
      <c r="L920" s="611">
        <f t="shared" si="310"/>
        <v>1000</v>
      </c>
      <c r="M920" s="612">
        <v>46127</v>
      </c>
      <c r="N920" s="612">
        <v>46123</v>
      </c>
      <c r="O920" s="613"/>
      <c r="P920" s="824" t="s">
        <v>113</v>
      </c>
      <c r="Q920" s="614"/>
      <c r="R920" s="614" t="s">
        <v>3389</v>
      </c>
      <c r="S920" s="614" t="s">
        <v>70</v>
      </c>
      <c r="T920" s="614" t="s">
        <v>3473</v>
      </c>
      <c r="U920" s="614"/>
      <c r="V920" s="614"/>
      <c r="W920" s="609"/>
      <c r="X920" s="609" t="s">
        <v>3476</v>
      </c>
      <c r="Y920" s="609" t="s">
        <v>529</v>
      </c>
      <c r="Z920" s="625">
        <v>4.2513</v>
      </c>
      <c r="AA920" s="616">
        <f>Z920*I920</f>
        <v>51015.6</v>
      </c>
      <c r="AB920" s="554"/>
      <c r="AC920" s="617"/>
      <c r="AD920" s="610" t="s">
        <v>184</v>
      </c>
      <c r="AE920" s="610" t="s">
        <v>82</v>
      </c>
      <c r="AF920" s="610"/>
      <c r="AG920" s="610"/>
      <c r="AH920" s="618">
        <v>1</v>
      </c>
      <c r="AI920" s="610">
        <f>11988+12</f>
        <v>12000</v>
      </c>
      <c r="AJ920" s="613">
        <f t="shared" si="309"/>
        <v>0</v>
      </c>
      <c r="AK920" s="610"/>
      <c r="AL920" s="610"/>
      <c r="AM920" s="554"/>
      <c r="AN920" s="554">
        <f t="shared" si="311"/>
        <v>12000</v>
      </c>
      <c r="AO920" s="554"/>
      <c r="AP920" s="554"/>
      <c r="AQ920" s="554"/>
      <c r="AR920" s="554"/>
      <c r="AS920" s="554">
        <f>I920</f>
        <v>12000</v>
      </c>
      <c r="AT920" s="554"/>
      <c r="AU920" s="554">
        <f>I920</f>
        <v>12000</v>
      </c>
      <c r="AV920" s="554"/>
      <c r="AW920" s="554">
        <f>I920</f>
        <v>12000</v>
      </c>
      <c r="AX920" s="714"/>
      <c r="AY920" s="554"/>
      <c r="AZ920" s="554"/>
      <c r="BA920" s="554"/>
      <c r="BB920" s="554"/>
      <c r="BC920" s="554"/>
      <c r="BD920" s="554"/>
      <c r="BE920" s="554"/>
      <c r="BF920" s="554"/>
      <c r="BG920" s="554"/>
      <c r="BH920" s="554"/>
      <c r="BI920" s="554"/>
      <c r="BJ920" s="554"/>
      <c r="BK920" s="554"/>
      <c r="BL920" s="554"/>
      <c r="BM920" s="554"/>
      <c r="BN920" s="554"/>
      <c r="BO920" s="554"/>
      <c r="BP920" s="554"/>
      <c r="BQ920" s="554"/>
      <c r="BR920" s="554"/>
      <c r="BS920" s="554"/>
      <c r="BT920" s="554"/>
      <c r="BU920" s="554"/>
      <c r="BV920" s="554"/>
      <c r="BW920" s="554"/>
      <c r="BX920" s="554"/>
      <c r="BY920" s="554"/>
      <c r="BZ920" s="554"/>
      <c r="CA920" s="554"/>
      <c r="CB920" s="554"/>
      <c r="CC920" s="554"/>
      <c r="CD920" s="554"/>
      <c r="CE920" s="554"/>
      <c r="CF920" s="554"/>
      <c r="CG920" s="554"/>
      <c r="CH920" s="619"/>
      <c r="CI920" s="619"/>
      <c r="CJ920" s="619"/>
      <c r="CK920" s="619"/>
      <c r="CL920" s="619"/>
      <c r="CM920" s="554"/>
      <c r="CN920" s="554"/>
      <c r="CO920" s="554"/>
      <c r="CP920" s="619"/>
      <c r="CQ920" s="619"/>
      <c r="CR920" s="619"/>
      <c r="CS920" s="619"/>
      <c r="CT920" s="619"/>
      <c r="CU920" s="619"/>
    </row>
    <row r="921" s="1265" customFormat="1" ht="31" customHeight="1" spans="1:99">
      <c r="A921" s="608">
        <v>46086</v>
      </c>
      <c r="B921" s="609" t="s">
        <v>177</v>
      </c>
      <c r="C921" s="610" t="s">
        <v>170</v>
      </c>
      <c r="D921" s="554">
        <v>4500195383</v>
      </c>
      <c r="E921" s="610" t="s">
        <v>3477</v>
      </c>
      <c r="F921" s="554" t="s">
        <v>3478</v>
      </c>
      <c r="G921" s="623" t="s">
        <v>68</v>
      </c>
      <c r="H921" s="633" t="s">
        <v>69</v>
      </c>
      <c r="I921" s="768">
        <v>2400</v>
      </c>
      <c r="J921" s="610">
        <v>0</v>
      </c>
      <c r="K921" s="610">
        <v>12</v>
      </c>
      <c r="L921" s="611">
        <f t="shared" si="310"/>
        <v>200</v>
      </c>
      <c r="M921" s="612">
        <v>46127</v>
      </c>
      <c r="N921" s="612">
        <v>46123</v>
      </c>
      <c r="O921" s="613"/>
      <c r="P921" s="824" t="s">
        <v>113</v>
      </c>
      <c r="Q921" s="614"/>
      <c r="R921" s="614">
        <v>46087</v>
      </c>
      <c r="S921" s="614" t="s">
        <v>70</v>
      </c>
      <c r="T921" s="614" t="s">
        <v>3479</v>
      </c>
      <c r="U921" s="614"/>
      <c r="V921" s="614"/>
      <c r="W921" s="609"/>
      <c r="X921" s="609" t="s">
        <v>3480</v>
      </c>
      <c r="Y921" s="609" t="s">
        <v>3481</v>
      </c>
      <c r="Z921" s="625">
        <v>4.2173</v>
      </c>
      <c r="AA921" s="616">
        <f>Z921*I921</f>
        <v>10121.52</v>
      </c>
      <c r="AB921" s="554"/>
      <c r="AC921" s="617"/>
      <c r="AD921" s="610" t="s">
        <v>184</v>
      </c>
      <c r="AE921" s="610" t="s">
        <v>82</v>
      </c>
      <c r="AF921" s="610"/>
      <c r="AG921" s="610"/>
      <c r="AH921" s="618">
        <v>1</v>
      </c>
      <c r="AI921" s="610">
        <f>2352+48</f>
        <v>2400</v>
      </c>
      <c r="AJ921" s="613">
        <f t="shared" si="309"/>
        <v>0</v>
      </c>
      <c r="AK921" s="610"/>
      <c r="AL921" s="610" t="s">
        <v>2368</v>
      </c>
      <c r="AM921" s="554"/>
      <c r="AN921" s="554">
        <f t="shared" si="311"/>
        <v>2400</v>
      </c>
      <c r="AO921" s="554"/>
      <c r="AP921" s="554"/>
      <c r="AQ921" s="554"/>
      <c r="AR921" s="554"/>
      <c r="AS921" s="554">
        <f>I921</f>
        <v>2400</v>
      </c>
      <c r="AT921" s="554"/>
      <c r="AU921" s="554">
        <f>I921</f>
        <v>2400</v>
      </c>
      <c r="AV921" s="1325"/>
      <c r="AW921" s="554">
        <f>I921</f>
        <v>2400</v>
      </c>
      <c r="AX921" s="714"/>
      <c r="AY921" s="554"/>
      <c r="AZ921" s="554"/>
      <c r="BA921" s="554"/>
      <c r="BB921" s="554"/>
      <c r="BC921" s="554"/>
      <c r="BD921" s="554"/>
      <c r="BE921" s="554"/>
      <c r="BF921" s="554"/>
      <c r="BG921" s="554"/>
      <c r="BH921" s="554"/>
      <c r="BI921" s="554"/>
      <c r="BJ921" s="554"/>
      <c r="BK921" s="554"/>
      <c r="BL921" s="554"/>
      <c r="BM921" s="554"/>
      <c r="BN921" s="554"/>
      <c r="BO921" s="554"/>
      <c r="BP921" s="554"/>
      <c r="BQ921" s="554"/>
      <c r="BR921" s="554"/>
      <c r="BS921" s="554"/>
      <c r="BT921" s="554"/>
      <c r="BU921" s="554"/>
      <c r="BV921" s="554"/>
      <c r="BW921" s="554"/>
      <c r="BX921" s="554"/>
      <c r="BY921" s="554"/>
      <c r="BZ921" s="554"/>
      <c r="CA921" s="554"/>
      <c r="CB921" s="554"/>
      <c r="CC921" s="554"/>
      <c r="CD921" s="554"/>
      <c r="CE921" s="554"/>
      <c r="CF921" s="554"/>
      <c r="CG921" s="554"/>
      <c r="CH921" s="619"/>
      <c r="CI921" s="619"/>
      <c r="CJ921" s="619"/>
      <c r="CK921" s="619"/>
      <c r="CL921" s="619"/>
      <c r="CM921" s="554"/>
      <c r="CN921" s="554"/>
      <c r="CO921" s="554"/>
      <c r="CP921" s="619"/>
      <c r="CQ921" s="619"/>
      <c r="CR921" s="619"/>
      <c r="CS921" s="619"/>
      <c r="CT921" s="619"/>
      <c r="CU921" s="619"/>
    </row>
    <row r="922" s="1265" customFormat="1" ht="31" customHeight="1" spans="1:99">
      <c r="A922" s="608">
        <v>46079</v>
      </c>
      <c r="B922" s="609" t="s">
        <v>1800</v>
      </c>
      <c r="C922" s="610" t="s">
        <v>744</v>
      </c>
      <c r="D922" s="554">
        <v>4500192252</v>
      </c>
      <c r="E922" s="610">
        <v>5000002110</v>
      </c>
      <c r="F922" s="554" t="s">
        <v>3482</v>
      </c>
      <c r="G922" s="623" t="s">
        <v>518</v>
      </c>
      <c r="H922" s="610" t="s">
        <v>477</v>
      </c>
      <c r="I922" s="715">
        <v>1200</v>
      </c>
      <c r="J922" s="610">
        <v>0</v>
      </c>
      <c r="K922" s="610">
        <v>6</v>
      </c>
      <c r="L922" s="611">
        <f t="shared" si="310"/>
        <v>200</v>
      </c>
      <c r="M922" s="612">
        <v>46128</v>
      </c>
      <c r="N922" s="612">
        <v>46125</v>
      </c>
      <c r="O922" s="613"/>
      <c r="P922" s="824" t="s">
        <v>113</v>
      </c>
      <c r="Q922" s="614"/>
      <c r="R922" s="614" t="s">
        <v>3299</v>
      </c>
      <c r="S922" s="614" t="s">
        <v>104</v>
      </c>
      <c r="T922" s="614" t="s">
        <v>3028</v>
      </c>
      <c r="U922" s="614"/>
      <c r="V922" s="614"/>
      <c r="W922" s="609"/>
      <c r="X922" s="609" t="s">
        <v>3300</v>
      </c>
      <c r="Y922" s="616" t="s">
        <v>1805</v>
      </c>
      <c r="Z922" s="718">
        <v>6.3788</v>
      </c>
      <c r="AA922" s="616">
        <f>Z922*I922</f>
        <v>7654.56</v>
      </c>
      <c r="AB922" s="554"/>
      <c r="AC922" s="617"/>
      <c r="AD922" s="610" t="s">
        <v>2241</v>
      </c>
      <c r="AE922" s="610" t="s">
        <v>82</v>
      </c>
      <c r="AF922" s="610"/>
      <c r="AG922" s="610"/>
      <c r="AH922" s="618">
        <v>1</v>
      </c>
      <c r="AI922" s="610"/>
      <c r="AJ922" s="610">
        <f t="shared" si="309"/>
        <v>-1200</v>
      </c>
      <c r="AK922" s="610"/>
      <c r="AL922" s="610" t="s">
        <v>2368</v>
      </c>
      <c r="AM922" s="554"/>
      <c r="AN922" s="554">
        <f t="shared" si="311"/>
        <v>1200</v>
      </c>
      <c r="AO922" s="554"/>
      <c r="AP922" s="554"/>
      <c r="AQ922" s="554"/>
      <c r="AR922" s="554">
        <f>I922</f>
        <v>1200</v>
      </c>
      <c r="AS922" s="554"/>
      <c r="AT922" s="554"/>
      <c r="AU922" s="554"/>
      <c r="AV922" s="554">
        <f>I922</f>
        <v>1200</v>
      </c>
      <c r="AW922" s="554"/>
      <c r="AX922" s="714">
        <f>I922</f>
        <v>1200</v>
      </c>
      <c r="AY922" s="554"/>
      <c r="AZ922" s="554"/>
      <c r="BA922" s="554"/>
      <c r="BB922" s="554"/>
      <c r="BC922" s="554"/>
      <c r="BD922" s="554"/>
      <c r="BE922" s="554"/>
      <c r="BF922" s="554"/>
      <c r="BG922" s="554"/>
      <c r="BH922" s="554"/>
      <c r="BI922" s="554"/>
      <c r="BJ922" s="554"/>
      <c r="BK922" s="554"/>
      <c r="BL922" s="554"/>
      <c r="BM922" s="554"/>
      <c r="BN922" s="554">
        <f>I922</f>
        <v>1200</v>
      </c>
      <c r="BO922" s="554"/>
      <c r="BP922" s="554"/>
      <c r="BQ922" s="554"/>
      <c r="BR922" s="554"/>
      <c r="BS922" s="554"/>
      <c r="BT922" s="554"/>
      <c r="BU922" s="554"/>
      <c r="BV922" s="554"/>
      <c r="BW922" s="554"/>
      <c r="BX922" s="554"/>
      <c r="BY922" s="554"/>
      <c r="BZ922" s="554"/>
      <c r="CA922" s="554"/>
      <c r="CB922" s="554"/>
      <c r="CC922" s="554"/>
      <c r="CD922" s="554"/>
      <c r="CE922" s="554"/>
      <c r="CF922" s="554"/>
      <c r="CG922" s="554"/>
      <c r="CH922" s="619"/>
      <c r="CI922" s="619"/>
      <c r="CJ922" s="619"/>
      <c r="CK922" s="619"/>
      <c r="CL922" s="619"/>
      <c r="CM922" s="554"/>
      <c r="CN922" s="554"/>
      <c r="CO922" s="554"/>
      <c r="CP922" s="619"/>
      <c r="CQ922" s="619"/>
      <c r="CR922" s="619"/>
      <c r="CS922" s="619"/>
      <c r="CT922" s="619"/>
      <c r="CU922" s="619"/>
    </row>
    <row r="923" s="1265" customFormat="1" ht="31" customHeight="1" spans="1:99">
      <c r="A923" s="608">
        <v>45978</v>
      </c>
      <c r="B923" s="609" t="s">
        <v>1492</v>
      </c>
      <c r="C923" s="610" t="s">
        <v>98</v>
      </c>
      <c r="D923" s="554">
        <v>4500185965</v>
      </c>
      <c r="E923" s="1420" t="s">
        <v>3483</v>
      </c>
      <c r="F923" s="554" t="s">
        <v>3484</v>
      </c>
      <c r="G923" s="623" t="s">
        <v>2666</v>
      </c>
      <c r="H923" s="610" t="s">
        <v>830</v>
      </c>
      <c r="I923" s="610">
        <v>5400</v>
      </c>
      <c r="J923" s="610">
        <v>0</v>
      </c>
      <c r="K923" s="610">
        <v>75</v>
      </c>
      <c r="L923" s="611">
        <f t="shared" si="310"/>
        <v>72</v>
      </c>
      <c r="M923" s="724">
        <v>46129</v>
      </c>
      <c r="N923" s="724">
        <v>46125</v>
      </c>
      <c r="O923" s="613"/>
      <c r="P923" s="824" t="s">
        <v>113</v>
      </c>
      <c r="Q923" s="614"/>
      <c r="R923" s="614" t="s">
        <v>2667</v>
      </c>
      <c r="S923" s="614" t="s">
        <v>70</v>
      </c>
      <c r="T923" s="614" t="s">
        <v>70</v>
      </c>
      <c r="U923" s="614"/>
      <c r="V923" s="614"/>
      <c r="W923" s="609"/>
      <c r="X923" s="609" t="s">
        <v>2826</v>
      </c>
      <c r="Y923" s="616" t="s">
        <v>911</v>
      </c>
      <c r="Z923" s="625">
        <v>359.3436</v>
      </c>
      <c r="AA923" s="616">
        <v>25872.7392</v>
      </c>
      <c r="AB923" s="554"/>
      <c r="AC923" s="629" t="s">
        <v>3485</v>
      </c>
      <c r="AD923" s="610" t="s">
        <v>1498</v>
      </c>
      <c r="AE923" s="610" t="s">
        <v>82</v>
      </c>
      <c r="AF923" s="610"/>
      <c r="AG923" s="610"/>
      <c r="AH923" s="618">
        <v>1</v>
      </c>
      <c r="AI923" s="610"/>
      <c r="AJ923" s="613">
        <f t="shared" si="309"/>
        <v>-5400</v>
      </c>
      <c r="AK923" s="610"/>
      <c r="AL923" s="610"/>
      <c r="AM923" s="554"/>
      <c r="AN923" s="554"/>
      <c r="AO923" s="554">
        <f>I923</f>
        <v>5400</v>
      </c>
      <c r="AP923" s="554"/>
      <c r="AQ923" s="554"/>
      <c r="AR923" s="554"/>
      <c r="AS923" s="554"/>
      <c r="AT923" s="554"/>
      <c r="AU923" s="554"/>
      <c r="AV923" s="554"/>
      <c r="AW923" s="554"/>
      <c r="AX923" s="714"/>
      <c r="AY923" s="554"/>
      <c r="AZ923" s="554"/>
      <c r="BA923" s="554">
        <f>I923</f>
        <v>5400</v>
      </c>
      <c r="BB923" s="554">
        <f>I923</f>
        <v>5400</v>
      </c>
      <c r="BC923" s="554">
        <f>I923</f>
        <v>5400</v>
      </c>
      <c r="BD923" s="554"/>
      <c r="BE923" s="554"/>
      <c r="BF923" s="554"/>
      <c r="BG923" s="554"/>
      <c r="BH923" s="554"/>
      <c r="BI923" s="554"/>
      <c r="BJ923" s="554"/>
      <c r="BK923" s="554">
        <f>I923</f>
        <v>5400</v>
      </c>
      <c r="BL923" s="554">
        <f>I923/5</f>
        <v>1080</v>
      </c>
      <c r="BM923" s="554"/>
      <c r="BN923" s="554"/>
      <c r="BO923" s="554"/>
      <c r="BP923" s="554"/>
      <c r="BQ923" s="554"/>
      <c r="BR923" s="554"/>
      <c r="BS923" s="554"/>
      <c r="BT923" s="554"/>
      <c r="BU923" s="554"/>
      <c r="BV923" s="554"/>
      <c r="BW923" s="554"/>
      <c r="BX923" s="554"/>
      <c r="BY923" s="554"/>
      <c r="BZ923" s="554"/>
      <c r="CA923" s="554"/>
      <c r="CB923" s="554"/>
      <c r="CC923" s="554"/>
      <c r="CD923" s="554"/>
      <c r="CE923" s="554"/>
      <c r="CF923" s="554"/>
      <c r="CG923" s="554"/>
      <c r="CH923" s="619"/>
      <c r="CI923" s="619"/>
      <c r="CJ923" s="619"/>
      <c r="CK923" s="619"/>
      <c r="CL923" s="619"/>
      <c r="CM923" s="554"/>
      <c r="CN923" s="554"/>
      <c r="CO923" s="554"/>
      <c r="CP923" s="619"/>
      <c r="CQ923" s="619"/>
      <c r="CR923" s="619"/>
      <c r="CS923" s="619"/>
      <c r="CT923" s="619"/>
      <c r="CU923" s="619"/>
    </row>
    <row r="924" s="1265" customFormat="1" ht="31" customHeight="1" spans="1:99">
      <c r="A924" s="608">
        <v>45978</v>
      </c>
      <c r="B924" s="609" t="s">
        <v>1492</v>
      </c>
      <c r="C924" s="610" t="s">
        <v>98</v>
      </c>
      <c r="D924" s="554">
        <v>4500185964</v>
      </c>
      <c r="E924" s="1420" t="s">
        <v>3486</v>
      </c>
      <c r="F924" s="554" t="s">
        <v>3487</v>
      </c>
      <c r="G924" s="623" t="s">
        <v>2666</v>
      </c>
      <c r="H924" s="610" t="s">
        <v>830</v>
      </c>
      <c r="I924" s="610">
        <v>5400</v>
      </c>
      <c r="J924" s="610">
        <v>0</v>
      </c>
      <c r="K924" s="610">
        <v>75</v>
      </c>
      <c r="L924" s="611">
        <f t="shared" si="310"/>
        <v>72</v>
      </c>
      <c r="M924" s="724">
        <v>46122</v>
      </c>
      <c r="N924" s="724">
        <v>46118</v>
      </c>
      <c r="O924" s="613"/>
      <c r="P924" s="824" t="s">
        <v>113</v>
      </c>
      <c r="Q924" s="614"/>
      <c r="R924" s="614" t="s">
        <v>2667</v>
      </c>
      <c r="S924" s="614" t="s">
        <v>70</v>
      </c>
      <c r="T924" s="614" t="s">
        <v>70</v>
      </c>
      <c r="U924" s="614"/>
      <c r="V924" s="614"/>
      <c r="W924" s="609"/>
      <c r="X924" s="609" t="s">
        <v>2826</v>
      </c>
      <c r="Y924" s="616" t="s">
        <v>911</v>
      </c>
      <c r="Z924" s="625">
        <v>359.3436</v>
      </c>
      <c r="AA924" s="616">
        <v>25872.7392</v>
      </c>
      <c r="AB924" s="554"/>
      <c r="AC924" s="629" t="s">
        <v>3488</v>
      </c>
      <c r="AD924" s="610" t="s">
        <v>1498</v>
      </c>
      <c r="AE924" s="610" t="s">
        <v>82</v>
      </c>
      <c r="AF924" s="610"/>
      <c r="AG924" s="610"/>
      <c r="AH924" s="610">
        <v>1</v>
      </c>
      <c r="AI924" s="610"/>
      <c r="AJ924" s="613">
        <f t="shared" si="309"/>
        <v>-5400</v>
      </c>
      <c r="AK924" s="610"/>
      <c r="AL924" s="610"/>
      <c r="AM924" s="554"/>
      <c r="AN924" s="554"/>
      <c r="AO924" s="554">
        <f>I924</f>
        <v>5400</v>
      </c>
      <c r="AP924" s="554"/>
      <c r="AQ924" s="554"/>
      <c r="AR924" s="554"/>
      <c r="AS924" s="554"/>
      <c r="AT924" s="554"/>
      <c r="AU924" s="554"/>
      <c r="AV924" s="554"/>
      <c r="AW924" s="554"/>
      <c r="AX924" s="714"/>
      <c r="AY924" s="554"/>
      <c r="AZ924" s="554"/>
      <c r="BA924" s="554">
        <f>I924</f>
        <v>5400</v>
      </c>
      <c r="BB924" s="554">
        <f>I924</f>
        <v>5400</v>
      </c>
      <c r="BC924" s="554">
        <f>I924</f>
        <v>5400</v>
      </c>
      <c r="BD924" s="554"/>
      <c r="BE924" s="554"/>
      <c r="BF924" s="554"/>
      <c r="BG924" s="554"/>
      <c r="BH924" s="554"/>
      <c r="BI924" s="554"/>
      <c r="BJ924" s="554"/>
      <c r="BK924" s="554">
        <f>I924</f>
        <v>5400</v>
      </c>
      <c r="BL924" s="554">
        <f>I924/5</f>
        <v>1080</v>
      </c>
      <c r="BM924" s="554"/>
      <c r="BN924" s="554"/>
      <c r="BO924" s="554"/>
      <c r="BP924" s="554"/>
      <c r="BQ924" s="554"/>
      <c r="BR924" s="554"/>
      <c r="BS924" s="554"/>
      <c r="BT924" s="554"/>
      <c r="BU924" s="554"/>
      <c r="BV924" s="554"/>
      <c r="BW924" s="554"/>
      <c r="BX924" s="554"/>
      <c r="BY924" s="554"/>
      <c r="BZ924" s="554"/>
      <c r="CA924" s="554"/>
      <c r="CB924" s="554"/>
      <c r="CC924" s="554"/>
      <c r="CD924" s="554"/>
      <c r="CE924" s="554"/>
      <c r="CF924" s="554"/>
      <c r="CG924" s="554"/>
      <c r="CH924" s="619"/>
      <c r="CI924" s="619"/>
      <c r="CJ924" s="619"/>
      <c r="CK924" s="619"/>
      <c r="CL924" s="619"/>
      <c r="CM924" s="554"/>
      <c r="CN924" s="554"/>
      <c r="CO924" s="554"/>
      <c r="CP924" s="619"/>
      <c r="CQ924" s="619"/>
      <c r="CR924" s="619"/>
      <c r="CS924" s="619"/>
      <c r="CT924" s="619"/>
      <c r="CU924" s="619"/>
    </row>
    <row r="925" s="1265" customFormat="1" ht="31" customHeight="1" spans="1:99">
      <c r="A925" s="608">
        <v>46057</v>
      </c>
      <c r="B925" s="609" t="s">
        <v>3489</v>
      </c>
      <c r="C925" s="610" t="s">
        <v>836</v>
      </c>
      <c r="D925" s="554">
        <v>4500193051</v>
      </c>
      <c r="E925" s="610">
        <v>21214329</v>
      </c>
      <c r="F925" s="554" t="s">
        <v>3490</v>
      </c>
      <c r="G925" s="623" t="s">
        <v>518</v>
      </c>
      <c r="H925" s="610" t="s">
        <v>477</v>
      </c>
      <c r="I925" s="715">
        <v>2196</v>
      </c>
      <c r="J925" s="610">
        <v>0</v>
      </c>
      <c r="K925" s="610">
        <v>6</v>
      </c>
      <c r="L925" s="611">
        <f t="shared" ref="L925:L943" si="312">I925/K925</f>
        <v>366</v>
      </c>
      <c r="M925" s="612">
        <v>46126</v>
      </c>
      <c r="N925" s="612">
        <v>46122</v>
      </c>
      <c r="O925" s="613" t="s">
        <v>3491</v>
      </c>
      <c r="P925" s="824" t="s">
        <v>113</v>
      </c>
      <c r="Q925" s="614"/>
      <c r="R925" s="614">
        <v>46058</v>
      </c>
      <c r="S925" s="614" t="s">
        <v>70</v>
      </c>
      <c r="T925" s="614" t="s">
        <v>3492</v>
      </c>
      <c r="U925" s="614"/>
      <c r="V925" s="614"/>
      <c r="W925" s="609" t="s">
        <v>3493</v>
      </c>
      <c r="X925" s="609" t="s">
        <v>3494</v>
      </c>
      <c r="Y925" s="609" t="s">
        <v>2533</v>
      </c>
      <c r="Z925" s="718">
        <v>6.7112</v>
      </c>
      <c r="AA925" s="616">
        <f t="shared" ref="AA925:AA936" si="313">Z925*I925</f>
        <v>14737.7952</v>
      </c>
      <c r="AB925" s="554"/>
      <c r="AC925" s="617"/>
      <c r="AD925" s="610" t="s">
        <v>480</v>
      </c>
      <c r="AE925" s="610" t="s">
        <v>82</v>
      </c>
      <c r="AF925" s="610"/>
      <c r="AG925" s="610"/>
      <c r="AH925" s="610">
        <v>1</v>
      </c>
      <c r="AI925" s="610"/>
      <c r="AJ925" s="613">
        <f t="shared" si="309"/>
        <v>-2196</v>
      </c>
      <c r="AK925" s="610"/>
      <c r="AL925" s="610" t="s">
        <v>454</v>
      </c>
      <c r="AM925" s="554"/>
      <c r="AN925" s="554">
        <f>I925</f>
        <v>2196</v>
      </c>
      <c r="AO925" s="554"/>
      <c r="AP925" s="554"/>
      <c r="AQ925" s="554"/>
      <c r="AR925" s="554"/>
      <c r="AS925" s="554">
        <f>I925</f>
        <v>2196</v>
      </c>
      <c r="AT925" s="554"/>
      <c r="AU925" s="554">
        <f>I925</f>
        <v>2196</v>
      </c>
      <c r="AV925" s="554"/>
      <c r="AW925" s="554">
        <f t="shared" ref="AW925:AW932" si="314">I925</f>
        <v>2196</v>
      </c>
      <c r="AX925" s="714"/>
      <c r="AY925" s="554"/>
      <c r="AZ925" s="554"/>
      <c r="BA925" s="554"/>
      <c r="BB925" s="554"/>
      <c r="BC925" s="554"/>
      <c r="BD925" s="554"/>
      <c r="BE925" s="554"/>
      <c r="BF925" s="554"/>
      <c r="BG925" s="554"/>
      <c r="BH925" s="554"/>
      <c r="BI925" s="554"/>
      <c r="BJ925" s="554"/>
      <c r="BK925" s="554"/>
      <c r="BL925" s="554"/>
      <c r="BM925" s="554"/>
      <c r="BN925" s="554">
        <f>I925</f>
        <v>2196</v>
      </c>
      <c r="BO925" s="554"/>
      <c r="BP925" s="554"/>
      <c r="BQ925" s="554"/>
      <c r="BR925" s="554"/>
      <c r="BS925" s="554"/>
      <c r="BT925" s="554"/>
      <c r="BU925" s="554"/>
      <c r="BV925" s="554"/>
      <c r="BW925" s="554"/>
      <c r="BX925" s="554"/>
      <c r="BY925" s="554"/>
      <c r="BZ925" s="554"/>
      <c r="CA925" s="554"/>
      <c r="CB925" s="554"/>
      <c r="CC925" s="554"/>
      <c r="CD925" s="554"/>
      <c r="CE925" s="554"/>
      <c r="CF925" s="554"/>
      <c r="CG925" s="554"/>
      <c r="CH925" s="619"/>
      <c r="CI925" s="619"/>
      <c r="CJ925" s="619"/>
      <c r="CK925" s="619"/>
      <c r="CL925" s="619"/>
      <c r="CM925" s="554"/>
      <c r="CN925" s="554"/>
      <c r="CO925" s="554"/>
      <c r="CP925" s="619"/>
      <c r="CQ925" s="619"/>
      <c r="CR925" s="619"/>
      <c r="CS925" s="619"/>
      <c r="CT925" s="619"/>
      <c r="CU925" s="619"/>
    </row>
    <row r="926" s="1265" customFormat="1" ht="31" customHeight="1" spans="1:99">
      <c r="A926" s="608">
        <v>46078</v>
      </c>
      <c r="B926" s="609" t="s">
        <v>325</v>
      </c>
      <c r="C926" s="610" t="s">
        <v>98</v>
      </c>
      <c r="D926" s="554">
        <v>4500194240</v>
      </c>
      <c r="E926" s="610" t="s">
        <v>3495</v>
      </c>
      <c r="F926" s="554" t="s">
        <v>3496</v>
      </c>
      <c r="G926" s="623" t="s">
        <v>249</v>
      </c>
      <c r="H926" s="610" t="s">
        <v>250</v>
      </c>
      <c r="I926" s="715">
        <v>50000</v>
      </c>
      <c r="J926" s="610">
        <v>0</v>
      </c>
      <c r="K926" s="610">
        <v>4</v>
      </c>
      <c r="L926" s="611">
        <f t="shared" si="312"/>
        <v>12500</v>
      </c>
      <c r="M926" s="612">
        <v>46127</v>
      </c>
      <c r="N926" s="612">
        <v>46123</v>
      </c>
      <c r="O926" s="613"/>
      <c r="P926" s="824" t="s">
        <v>113</v>
      </c>
      <c r="Q926" s="614"/>
      <c r="R926" s="614">
        <v>46094</v>
      </c>
      <c r="S926" s="614" t="s">
        <v>104</v>
      </c>
      <c r="T926" s="614" t="s">
        <v>3497</v>
      </c>
      <c r="U926" s="614"/>
      <c r="V926" s="614"/>
      <c r="W926" s="609"/>
      <c r="X926" s="609" t="s">
        <v>3498</v>
      </c>
      <c r="Y926" s="609" t="s">
        <v>252</v>
      </c>
      <c r="Z926" s="625">
        <v>2.7734</v>
      </c>
      <c r="AA926" s="616">
        <f t="shared" si="313"/>
        <v>138670</v>
      </c>
      <c r="AB926" s="554"/>
      <c r="AC926" s="630" t="s">
        <v>3499</v>
      </c>
      <c r="AD926" s="610" t="s">
        <v>249</v>
      </c>
      <c r="AE926" s="610" t="s">
        <v>82</v>
      </c>
      <c r="AF926" s="610"/>
      <c r="AG926" s="610"/>
      <c r="AH926" s="610">
        <v>1</v>
      </c>
      <c r="AI926" s="610">
        <f>13440+19320+17240</f>
        <v>50000</v>
      </c>
      <c r="AJ926" s="610">
        <f t="shared" si="309"/>
        <v>0</v>
      </c>
      <c r="AK926" s="610"/>
      <c r="AL926" s="610" t="s">
        <v>454</v>
      </c>
      <c r="AM926" s="554"/>
      <c r="AN926" s="554"/>
      <c r="AO926" s="554"/>
      <c r="AP926" s="554">
        <f>I926</f>
        <v>50000</v>
      </c>
      <c r="AQ926" s="554"/>
      <c r="AR926" s="554"/>
      <c r="AS926" s="554"/>
      <c r="AT926" s="554"/>
      <c r="AU926" s="554"/>
      <c r="AV926" s="554"/>
      <c r="AW926" s="554">
        <f t="shared" si="314"/>
        <v>50000</v>
      </c>
      <c r="AX926" s="714"/>
      <c r="AY926" s="554"/>
      <c r="AZ926" s="554"/>
      <c r="BA926" s="554"/>
      <c r="BB926" s="554"/>
      <c r="BC926" s="554"/>
      <c r="BD926" s="554"/>
      <c r="BE926" s="554"/>
      <c r="BF926" s="554">
        <f>I926</f>
        <v>50000</v>
      </c>
      <c r="BG926" s="554">
        <f>I926</f>
        <v>50000</v>
      </c>
      <c r="BH926" s="825">
        <f>I926/4</f>
        <v>12500</v>
      </c>
      <c r="BI926" s="554"/>
      <c r="BJ926" s="554"/>
      <c r="BK926" s="554"/>
      <c r="BL926" s="554"/>
      <c r="BM926" s="554"/>
      <c r="BN926" s="554"/>
      <c r="BO926" s="554"/>
      <c r="BP926" s="554"/>
      <c r="BQ926" s="554"/>
      <c r="BR926" s="554"/>
      <c r="BS926" s="554"/>
      <c r="BT926" s="554"/>
      <c r="BU926" s="554"/>
      <c r="BV926" s="554"/>
      <c r="BW926" s="554"/>
      <c r="BX926" s="554"/>
      <c r="BY926" s="554"/>
      <c r="BZ926" s="554"/>
      <c r="CA926" s="554"/>
      <c r="CB926" s="554"/>
      <c r="CC926" s="554"/>
      <c r="CD926" s="554"/>
      <c r="CE926" s="554"/>
      <c r="CF926" s="554"/>
      <c r="CG926" s="554"/>
      <c r="CH926" s="619"/>
      <c r="CI926" s="619"/>
      <c r="CJ926" s="619"/>
      <c r="CK926" s="619"/>
      <c r="CL926" s="619"/>
      <c r="CM926" s="554"/>
      <c r="CN926" s="554"/>
      <c r="CO926" s="554"/>
      <c r="CP926" s="619"/>
      <c r="CQ926" s="619"/>
      <c r="CR926" s="619"/>
      <c r="CS926" s="619"/>
      <c r="CT926" s="619"/>
      <c r="CU926" s="619"/>
    </row>
    <row r="927" s="1265" customFormat="1" ht="31" customHeight="1" spans="1:99">
      <c r="A927" s="608">
        <v>46051</v>
      </c>
      <c r="B927" s="609" t="s">
        <v>1272</v>
      </c>
      <c r="C927" s="610" t="s">
        <v>98</v>
      </c>
      <c r="D927" s="554">
        <v>4500192264</v>
      </c>
      <c r="E927" s="610">
        <v>16000291</v>
      </c>
      <c r="F927" s="554" t="s">
        <v>3500</v>
      </c>
      <c r="G927" s="623" t="s">
        <v>101</v>
      </c>
      <c r="H927" s="610" t="s">
        <v>102</v>
      </c>
      <c r="I927" s="610">
        <v>1200</v>
      </c>
      <c r="J927" s="610">
        <v>0</v>
      </c>
      <c r="K927" s="610">
        <v>4</v>
      </c>
      <c r="L927" s="611">
        <f t="shared" si="312"/>
        <v>300</v>
      </c>
      <c r="M927" s="612">
        <v>46129</v>
      </c>
      <c r="N927" s="612">
        <v>46125</v>
      </c>
      <c r="O927" s="613"/>
      <c r="P927" s="824" t="s">
        <v>113</v>
      </c>
      <c r="Q927" s="614"/>
      <c r="R927" s="614" t="s">
        <v>3501</v>
      </c>
      <c r="S927" s="614" t="s">
        <v>104</v>
      </c>
      <c r="T927" s="614" t="s">
        <v>3502</v>
      </c>
      <c r="U927" s="614"/>
      <c r="V927" s="609"/>
      <c r="W927" s="609"/>
      <c r="X927" s="738" t="s">
        <v>3503</v>
      </c>
      <c r="Y927" s="616" t="s">
        <v>1278</v>
      </c>
      <c r="Z927" s="625">
        <v>2.58</v>
      </c>
      <c r="AA927" s="616">
        <f t="shared" si="313"/>
        <v>3096</v>
      </c>
      <c r="AB927" s="554"/>
      <c r="AC927" s="629" t="s">
        <v>3504</v>
      </c>
      <c r="AD927" s="610" t="s">
        <v>101</v>
      </c>
      <c r="AE927" s="610" t="s">
        <v>82</v>
      </c>
      <c r="AF927" s="610"/>
      <c r="AG927" s="610"/>
      <c r="AH927" s="610"/>
      <c r="AI927" s="610">
        <v>1200</v>
      </c>
      <c r="AJ927" s="613">
        <f t="shared" si="309"/>
        <v>0</v>
      </c>
      <c r="AK927" s="610"/>
      <c r="AL927" s="610" t="s">
        <v>2368</v>
      </c>
      <c r="AM927" s="554"/>
      <c r="AN927" s="554">
        <f t="shared" ref="AN927:AN936" si="315">I927</f>
        <v>1200</v>
      </c>
      <c r="AO927" s="1325"/>
      <c r="AP927" s="1325"/>
      <c r="AQ927" s="1325"/>
      <c r="AR927" s="554">
        <f>I927</f>
        <v>1200</v>
      </c>
      <c r="AS927" s="554"/>
      <c r="AT927" s="554"/>
      <c r="AU927" s="554">
        <f t="shared" ref="AU927:AU932" si="316">I927</f>
        <v>1200</v>
      </c>
      <c r="AV927" s="554"/>
      <c r="AW927" s="554">
        <f t="shared" si="314"/>
        <v>1200</v>
      </c>
      <c r="AX927" s="714"/>
      <c r="AY927" s="554"/>
      <c r="AZ927" s="554"/>
      <c r="BA927" s="554"/>
      <c r="BB927" s="554"/>
      <c r="BC927" s="554"/>
      <c r="BD927" s="554"/>
      <c r="BE927" s="554"/>
      <c r="BF927" s="554"/>
      <c r="BG927" s="554"/>
      <c r="BH927" s="825">
        <f>I927/4</f>
        <v>300</v>
      </c>
      <c r="BI927" s="554"/>
      <c r="BJ927" s="554"/>
      <c r="BK927" s="554"/>
      <c r="BL927" s="554"/>
      <c r="BM927" s="554"/>
      <c r="BN927" s="554"/>
      <c r="BO927" s="554"/>
      <c r="BP927" s="554"/>
      <c r="BQ927" s="554"/>
      <c r="BR927" s="554"/>
      <c r="BS927" s="554"/>
      <c r="BT927" s="554"/>
      <c r="BU927" s="554"/>
      <c r="BV927" s="554"/>
      <c r="BW927" s="554"/>
      <c r="BX927" s="554"/>
      <c r="BY927" s="554"/>
      <c r="BZ927" s="554"/>
      <c r="CA927" s="554"/>
      <c r="CB927" s="554"/>
      <c r="CC927" s="554"/>
      <c r="CD927" s="554"/>
      <c r="CE927" s="554"/>
      <c r="CF927" s="554"/>
      <c r="CG927" s="554"/>
      <c r="CH927" s="619"/>
      <c r="CI927" s="619"/>
      <c r="CJ927" s="619"/>
      <c r="CK927" s="619"/>
      <c r="CL927" s="619"/>
      <c r="CM927" s="554"/>
      <c r="CN927" s="554"/>
      <c r="CO927" s="554"/>
      <c r="CP927" s="619"/>
      <c r="CQ927" s="619"/>
      <c r="CR927" s="619"/>
      <c r="CS927" s="619"/>
      <c r="CT927" s="619"/>
      <c r="CU927" s="619"/>
    </row>
    <row r="928" s="1265" customFormat="1" ht="31" customHeight="1" spans="1:99">
      <c r="A928" s="608">
        <v>46083</v>
      </c>
      <c r="B928" s="609" t="s">
        <v>650</v>
      </c>
      <c r="C928" s="610" t="s">
        <v>424</v>
      </c>
      <c r="D928" s="554">
        <v>4500194886</v>
      </c>
      <c r="E928" s="610">
        <v>300609379</v>
      </c>
      <c r="F928" s="554" t="s">
        <v>3505</v>
      </c>
      <c r="G928" s="623" t="s">
        <v>207</v>
      </c>
      <c r="H928" s="610" t="s">
        <v>102</v>
      </c>
      <c r="I928" s="610">
        <v>360</v>
      </c>
      <c r="J928" s="610">
        <v>0</v>
      </c>
      <c r="K928" s="610">
        <v>4</v>
      </c>
      <c r="L928" s="611">
        <f t="shared" si="312"/>
        <v>90</v>
      </c>
      <c r="M928" s="612">
        <v>46129</v>
      </c>
      <c r="N928" s="612">
        <v>46125</v>
      </c>
      <c r="O928" s="613"/>
      <c r="P928" s="824" t="s">
        <v>113</v>
      </c>
      <c r="Q928" s="614"/>
      <c r="R928" s="614">
        <v>46092</v>
      </c>
      <c r="S928" s="614" t="s">
        <v>70</v>
      </c>
      <c r="T928" s="614" t="s">
        <v>3506</v>
      </c>
      <c r="U928" s="614"/>
      <c r="V928" s="609"/>
      <c r="W928" s="609"/>
      <c r="X928" s="609" t="s">
        <v>3507</v>
      </c>
      <c r="Y928" s="616" t="s">
        <v>299</v>
      </c>
      <c r="Z928" s="625">
        <v>4.2503</v>
      </c>
      <c r="AA928" s="616">
        <f t="shared" si="313"/>
        <v>1530.108</v>
      </c>
      <c r="AB928" s="554"/>
      <c r="AC928" s="617"/>
      <c r="AD928" s="610" t="s">
        <v>390</v>
      </c>
      <c r="AE928" s="610" t="s">
        <v>82</v>
      </c>
      <c r="AF928" s="610"/>
      <c r="AG928" s="610"/>
      <c r="AH928" s="610">
        <v>1</v>
      </c>
      <c r="AI928" s="610">
        <v>360</v>
      </c>
      <c r="AJ928" s="613">
        <f t="shared" si="309"/>
        <v>0</v>
      </c>
      <c r="AK928" s="610"/>
      <c r="AL928" s="610" t="s">
        <v>2368</v>
      </c>
      <c r="AM928" s="554"/>
      <c r="AN928" s="554">
        <f t="shared" si="315"/>
        <v>360</v>
      </c>
      <c r="AO928" s="1325"/>
      <c r="AP928" s="1325"/>
      <c r="AQ928" s="1325"/>
      <c r="AR928" s="554"/>
      <c r="AS928" s="554">
        <f>I928</f>
        <v>360</v>
      </c>
      <c r="AT928" s="554"/>
      <c r="AU928" s="554">
        <f t="shared" si="316"/>
        <v>360</v>
      </c>
      <c r="AV928" s="554"/>
      <c r="AW928" s="554">
        <f t="shared" si="314"/>
        <v>360</v>
      </c>
      <c r="AX928" s="714"/>
      <c r="AY928" s="554"/>
      <c r="AZ928" s="554"/>
      <c r="BA928" s="554"/>
      <c r="BB928" s="554"/>
      <c r="BC928" s="554"/>
      <c r="BD928" s="554"/>
      <c r="BE928" s="554"/>
      <c r="BF928" s="554"/>
      <c r="BG928" s="554"/>
      <c r="BH928" s="554"/>
      <c r="BI928" s="554"/>
      <c r="BJ928" s="554"/>
      <c r="BK928" s="554"/>
      <c r="BL928" s="554"/>
      <c r="BM928" s="554"/>
      <c r="BN928" s="554"/>
      <c r="BO928" s="554"/>
      <c r="BP928" s="554"/>
      <c r="BQ928" s="554"/>
      <c r="BR928" s="554"/>
      <c r="BS928" s="554"/>
      <c r="BT928" s="554"/>
      <c r="BU928" s="554"/>
      <c r="BV928" s="554"/>
      <c r="BW928" s="554"/>
      <c r="BX928" s="554"/>
      <c r="BY928" s="554"/>
      <c r="BZ928" s="554"/>
      <c r="CA928" s="554"/>
      <c r="CB928" s="554"/>
      <c r="CC928" s="554"/>
      <c r="CD928" s="554"/>
      <c r="CE928" s="554"/>
      <c r="CF928" s="554"/>
      <c r="CG928" s="554"/>
      <c r="CH928" s="619"/>
      <c r="CI928" s="619"/>
      <c r="CJ928" s="619"/>
      <c r="CK928" s="619"/>
      <c r="CL928" s="619"/>
      <c r="CM928" s="554"/>
      <c r="CN928" s="554"/>
      <c r="CO928" s="554"/>
      <c r="CP928" s="619"/>
      <c r="CQ928" s="619"/>
      <c r="CR928" s="619"/>
      <c r="CS928" s="619"/>
      <c r="CT928" s="619"/>
      <c r="CU928" s="619"/>
    </row>
    <row r="929" s="1265" customFormat="1" ht="31" customHeight="1" spans="1:99">
      <c r="A929" s="608">
        <v>46091</v>
      </c>
      <c r="B929" s="609" t="s">
        <v>448</v>
      </c>
      <c r="C929" s="610" t="s">
        <v>399</v>
      </c>
      <c r="D929" s="554">
        <v>4500195960</v>
      </c>
      <c r="E929" s="610"/>
      <c r="F929" s="554" t="s">
        <v>3508</v>
      </c>
      <c r="G929" s="623" t="s">
        <v>130</v>
      </c>
      <c r="H929" s="610" t="s">
        <v>131</v>
      </c>
      <c r="I929" s="715">
        <v>1200</v>
      </c>
      <c r="J929" s="610">
        <v>0</v>
      </c>
      <c r="K929" s="610">
        <v>6</v>
      </c>
      <c r="L929" s="611">
        <f t="shared" si="312"/>
        <v>200</v>
      </c>
      <c r="M929" s="612">
        <v>46132</v>
      </c>
      <c r="N929" s="612">
        <v>46128</v>
      </c>
      <c r="O929" s="613" t="s">
        <v>3509</v>
      </c>
      <c r="P929" s="824" t="s">
        <v>113</v>
      </c>
      <c r="Q929" s="614"/>
      <c r="R929" s="614" t="s">
        <v>3510</v>
      </c>
      <c r="S929" s="614" t="s">
        <v>70</v>
      </c>
      <c r="T929" s="614" t="s">
        <v>3511</v>
      </c>
      <c r="U929" s="614"/>
      <c r="V929" s="609"/>
      <c r="W929" s="609"/>
      <c r="X929" s="609" t="s">
        <v>3512</v>
      </c>
      <c r="Y929" s="616" t="s">
        <v>445</v>
      </c>
      <c r="Z929" s="625">
        <v>4.1743</v>
      </c>
      <c r="AA929" s="616">
        <f t="shared" si="313"/>
        <v>5009.16</v>
      </c>
      <c r="AB929" s="554"/>
      <c r="AC929" s="617"/>
      <c r="AD929" s="610" t="s">
        <v>453</v>
      </c>
      <c r="AE929" s="610" t="s">
        <v>82</v>
      </c>
      <c r="AF929" s="610"/>
      <c r="AG929" s="610"/>
      <c r="AH929" s="610">
        <v>1</v>
      </c>
      <c r="AI929" s="610">
        <v>1200</v>
      </c>
      <c r="AJ929" s="610">
        <f t="shared" si="309"/>
        <v>0</v>
      </c>
      <c r="AK929" s="610"/>
      <c r="AL929" s="610"/>
      <c r="AM929" s="554"/>
      <c r="AN929" s="554">
        <f t="shared" si="315"/>
        <v>1200</v>
      </c>
      <c r="AO929" s="1325"/>
      <c r="AP929" s="1325"/>
      <c r="AQ929" s="1325"/>
      <c r="AR929" s="554"/>
      <c r="AS929" s="554">
        <f>I929</f>
        <v>1200</v>
      </c>
      <c r="AT929" s="554"/>
      <c r="AU929" s="554">
        <f t="shared" si="316"/>
        <v>1200</v>
      </c>
      <c r="AV929" s="554"/>
      <c r="AW929" s="554">
        <f t="shared" si="314"/>
        <v>1200</v>
      </c>
      <c r="AX929" s="714"/>
      <c r="AY929" s="554"/>
      <c r="AZ929" s="554"/>
      <c r="BA929" s="554"/>
      <c r="BB929" s="554"/>
      <c r="BC929" s="554"/>
      <c r="BD929" s="554"/>
      <c r="BE929" s="554"/>
      <c r="BF929" s="554"/>
      <c r="BG929" s="554"/>
      <c r="BH929" s="554"/>
      <c r="BI929" s="554"/>
      <c r="BJ929" s="554"/>
      <c r="BK929" s="554"/>
      <c r="BL929" s="554"/>
      <c r="BM929" s="554"/>
      <c r="BN929" s="554"/>
      <c r="BO929" s="554"/>
      <c r="BP929" s="554"/>
      <c r="BQ929" s="554"/>
      <c r="BR929" s="554"/>
      <c r="BS929" s="554"/>
      <c r="BT929" s="554"/>
      <c r="BU929" s="554"/>
      <c r="BV929" s="554"/>
      <c r="BW929" s="554"/>
      <c r="BX929" s="554"/>
      <c r="BY929" s="554"/>
      <c r="BZ929" s="554"/>
      <c r="CA929" s="554"/>
      <c r="CB929" s="554"/>
      <c r="CC929" s="554"/>
      <c r="CD929" s="554"/>
      <c r="CE929" s="554"/>
      <c r="CF929" s="554"/>
      <c r="CG929" s="554"/>
      <c r="CH929" s="619"/>
      <c r="CI929" s="619"/>
      <c r="CJ929" s="619"/>
      <c r="CK929" s="619"/>
      <c r="CL929" s="619"/>
      <c r="CM929" s="554"/>
      <c r="CN929" s="554"/>
      <c r="CO929" s="554"/>
      <c r="CP929" s="619"/>
      <c r="CQ929" s="619"/>
      <c r="CR929" s="619"/>
      <c r="CS929" s="619"/>
      <c r="CT929" s="619"/>
      <c r="CU929" s="619"/>
    </row>
    <row r="930" s="1265" customFormat="1" ht="31" customHeight="1" spans="1:99">
      <c r="A930" s="608">
        <v>46078</v>
      </c>
      <c r="B930" s="609" t="s">
        <v>523</v>
      </c>
      <c r="C930" s="610" t="s">
        <v>524</v>
      </c>
      <c r="D930" s="554">
        <v>4500194136</v>
      </c>
      <c r="E930" s="610">
        <v>50212600321</v>
      </c>
      <c r="F930" s="554" t="s">
        <v>3513</v>
      </c>
      <c r="G930" s="623" t="s">
        <v>68</v>
      </c>
      <c r="H930" s="633" t="s">
        <v>69</v>
      </c>
      <c r="I930" s="768">
        <v>3420</v>
      </c>
      <c r="J930" s="610">
        <v>0</v>
      </c>
      <c r="K930" s="610">
        <v>12</v>
      </c>
      <c r="L930" s="611">
        <f t="shared" si="312"/>
        <v>285</v>
      </c>
      <c r="M930" s="612">
        <v>46132</v>
      </c>
      <c r="N930" s="612">
        <v>46128</v>
      </c>
      <c r="O930" s="613"/>
      <c r="P930" s="824" t="s">
        <v>113</v>
      </c>
      <c r="Q930" s="614"/>
      <c r="R930" s="614" t="s">
        <v>3514</v>
      </c>
      <c r="S930" s="614" t="s">
        <v>104</v>
      </c>
      <c r="T930" s="614" t="s">
        <v>3515</v>
      </c>
      <c r="U930" s="614"/>
      <c r="V930" s="614"/>
      <c r="W930" s="609"/>
      <c r="X930" s="738" t="s">
        <v>3516</v>
      </c>
      <c r="Y930" s="609" t="s">
        <v>529</v>
      </c>
      <c r="Z930" s="625">
        <v>4.2622</v>
      </c>
      <c r="AA930" s="616">
        <f t="shared" si="313"/>
        <v>14576.724</v>
      </c>
      <c r="AB930" s="554"/>
      <c r="AC930" s="617"/>
      <c r="AD930" s="610" t="s">
        <v>184</v>
      </c>
      <c r="AE930" s="610" t="s">
        <v>82</v>
      </c>
      <c r="AF930" s="610"/>
      <c r="AG930" s="610"/>
      <c r="AH930" s="610">
        <v>1</v>
      </c>
      <c r="AI930" s="610">
        <v>3420</v>
      </c>
      <c r="AJ930" s="610">
        <f t="shared" si="309"/>
        <v>0</v>
      </c>
      <c r="AK930" s="610"/>
      <c r="AL930" s="610" t="s">
        <v>2368</v>
      </c>
      <c r="AM930" s="554"/>
      <c r="AN930" s="554">
        <f t="shared" si="315"/>
        <v>3420</v>
      </c>
      <c r="AO930" s="554"/>
      <c r="AP930" s="554"/>
      <c r="AQ930" s="554"/>
      <c r="AR930" s="554"/>
      <c r="AS930" s="554">
        <f>I930</f>
        <v>3420</v>
      </c>
      <c r="AT930" s="554"/>
      <c r="AU930" s="554">
        <f t="shared" si="316"/>
        <v>3420</v>
      </c>
      <c r="AV930" s="554"/>
      <c r="AW930" s="554">
        <f t="shared" si="314"/>
        <v>3420</v>
      </c>
      <c r="AX930" s="714"/>
      <c r="AY930" s="554"/>
      <c r="AZ930" s="554"/>
      <c r="BA930" s="554"/>
      <c r="BB930" s="554"/>
      <c r="BC930" s="554"/>
      <c r="BD930" s="554"/>
      <c r="BE930" s="554"/>
      <c r="BF930" s="554"/>
      <c r="BG930" s="554"/>
      <c r="BH930" s="554"/>
      <c r="BI930" s="554"/>
      <c r="BJ930" s="554"/>
      <c r="BK930" s="554"/>
      <c r="BL930" s="554"/>
      <c r="BM930" s="554"/>
      <c r="BN930" s="554"/>
      <c r="BO930" s="554"/>
      <c r="BP930" s="554"/>
      <c r="BQ930" s="554"/>
      <c r="BR930" s="554"/>
      <c r="BS930" s="554"/>
      <c r="BT930" s="554"/>
      <c r="BU930" s="554"/>
      <c r="BV930" s="554"/>
      <c r="BW930" s="554"/>
      <c r="BX930" s="554"/>
      <c r="BY930" s="554"/>
      <c r="BZ930" s="554"/>
      <c r="CA930" s="554"/>
      <c r="CB930" s="554"/>
      <c r="CC930" s="554"/>
      <c r="CD930" s="554"/>
      <c r="CE930" s="554"/>
      <c r="CF930" s="554"/>
      <c r="CG930" s="554"/>
      <c r="CH930" s="619"/>
      <c r="CI930" s="619"/>
      <c r="CJ930" s="619"/>
      <c r="CK930" s="619"/>
      <c r="CL930" s="619"/>
      <c r="CM930" s="554"/>
      <c r="CN930" s="554"/>
      <c r="CO930" s="554"/>
      <c r="CP930" s="619"/>
      <c r="CQ930" s="619"/>
      <c r="CR930" s="619"/>
      <c r="CS930" s="619"/>
      <c r="CT930" s="619"/>
      <c r="CU930" s="619"/>
    </row>
    <row r="931" s="1265" customFormat="1" ht="31" customHeight="1" spans="1:99">
      <c r="A931" s="608">
        <v>46080</v>
      </c>
      <c r="B931" s="609" t="s">
        <v>205</v>
      </c>
      <c r="C931" s="610" t="s">
        <v>98</v>
      </c>
      <c r="D931" s="554">
        <v>4500194435</v>
      </c>
      <c r="E931" s="610">
        <v>219021597</v>
      </c>
      <c r="F931" s="554" t="s">
        <v>3517</v>
      </c>
      <c r="G931" s="623" t="s">
        <v>207</v>
      </c>
      <c r="H931" s="610" t="s">
        <v>102</v>
      </c>
      <c r="I931" s="715">
        <v>1820</v>
      </c>
      <c r="J931" s="610">
        <v>0</v>
      </c>
      <c r="K931" s="610">
        <v>4</v>
      </c>
      <c r="L931" s="611">
        <f t="shared" si="312"/>
        <v>455</v>
      </c>
      <c r="M931" s="612">
        <v>46132</v>
      </c>
      <c r="N931" s="612">
        <v>46128</v>
      </c>
      <c r="O931" s="613"/>
      <c r="P931" s="824" t="s">
        <v>113</v>
      </c>
      <c r="Q931" s="614"/>
      <c r="R931" s="614">
        <v>46080</v>
      </c>
      <c r="S931" s="614" t="s">
        <v>70</v>
      </c>
      <c r="T931" s="614" t="s">
        <v>70</v>
      </c>
      <c r="U931" s="614"/>
      <c r="V931" s="614"/>
      <c r="W931" s="609"/>
      <c r="X931" s="609" t="s">
        <v>3518</v>
      </c>
      <c r="Y931" s="616" t="s">
        <v>2003</v>
      </c>
      <c r="Z931" s="625">
        <v>2.5175</v>
      </c>
      <c r="AA931" s="616">
        <f t="shared" si="313"/>
        <v>4581.85</v>
      </c>
      <c r="AB931" s="554"/>
      <c r="AC931" s="629" t="s">
        <v>3519</v>
      </c>
      <c r="AD931" s="610" t="s">
        <v>207</v>
      </c>
      <c r="AE931" s="610" t="s">
        <v>82</v>
      </c>
      <c r="AF931" s="610"/>
      <c r="AG931" s="610"/>
      <c r="AH931" s="610">
        <v>1</v>
      </c>
      <c r="AI931" s="610">
        <v>1820</v>
      </c>
      <c r="AJ931" s="613">
        <f t="shared" si="309"/>
        <v>0</v>
      </c>
      <c r="AK931" s="610"/>
      <c r="AL931" s="610"/>
      <c r="AM931" s="554"/>
      <c r="AN931" s="554">
        <f t="shared" si="315"/>
        <v>1820</v>
      </c>
      <c r="AO931" s="554"/>
      <c r="AP931" s="554"/>
      <c r="AQ931" s="554"/>
      <c r="AR931" s="554">
        <f>I931</f>
        <v>1820</v>
      </c>
      <c r="AS931" s="554"/>
      <c r="AT931" s="554"/>
      <c r="AU931" s="554">
        <f t="shared" si="316"/>
        <v>1820</v>
      </c>
      <c r="AV931" s="1325"/>
      <c r="AW931" s="554">
        <f t="shared" si="314"/>
        <v>1820</v>
      </c>
      <c r="AX931" s="714"/>
      <c r="AY931" s="554"/>
      <c r="AZ931" s="554"/>
      <c r="BA931" s="554"/>
      <c r="BB931" s="554"/>
      <c r="BC931" s="554"/>
      <c r="BD931" s="554"/>
      <c r="BE931" s="554"/>
      <c r="BF931" s="554"/>
      <c r="BG931" s="554"/>
      <c r="BH931" s="554"/>
      <c r="BI931" s="554"/>
      <c r="BJ931" s="554"/>
      <c r="BK931" s="554"/>
      <c r="BL931" s="554"/>
      <c r="BM931" s="554"/>
      <c r="BN931" s="554"/>
      <c r="BO931" s="554"/>
      <c r="BP931" s="554"/>
      <c r="BQ931" s="554"/>
      <c r="BR931" s="554"/>
      <c r="BS931" s="554"/>
      <c r="BT931" s="554"/>
      <c r="BU931" s="554"/>
      <c r="BV931" s="554"/>
      <c r="BW931" s="554"/>
      <c r="BX931" s="554"/>
      <c r="BY931" s="554"/>
      <c r="BZ931" s="554"/>
      <c r="CA931" s="554"/>
      <c r="CB931" s="554"/>
      <c r="CC931" s="554"/>
      <c r="CD931" s="554"/>
      <c r="CE931" s="554"/>
      <c r="CF931" s="554"/>
      <c r="CG931" s="554"/>
      <c r="CH931" s="619"/>
      <c r="CI931" s="619"/>
      <c r="CJ931" s="619"/>
      <c r="CK931" s="619"/>
      <c r="CL931" s="619"/>
      <c r="CM931" s="554"/>
      <c r="CN931" s="554"/>
      <c r="CO931" s="554"/>
      <c r="CP931" s="619"/>
      <c r="CQ931" s="619"/>
      <c r="CR931" s="619"/>
      <c r="CS931" s="619"/>
      <c r="CT931" s="619"/>
      <c r="CU931" s="619"/>
    </row>
    <row r="932" s="1265" customFormat="1" ht="31" customHeight="1" spans="1:99">
      <c r="A932" s="608">
        <v>46080</v>
      </c>
      <c r="B932" s="609" t="s">
        <v>205</v>
      </c>
      <c r="C932" s="610" t="s">
        <v>98</v>
      </c>
      <c r="D932" s="554">
        <v>4500194435</v>
      </c>
      <c r="E932" s="610">
        <v>219021645</v>
      </c>
      <c r="F932" s="554" t="s">
        <v>3520</v>
      </c>
      <c r="G932" s="623" t="s">
        <v>207</v>
      </c>
      <c r="H932" s="610" t="s">
        <v>102</v>
      </c>
      <c r="I932" s="715">
        <v>1064</v>
      </c>
      <c r="J932" s="610">
        <v>0</v>
      </c>
      <c r="K932" s="610">
        <v>4</v>
      </c>
      <c r="L932" s="611">
        <f t="shared" si="312"/>
        <v>266</v>
      </c>
      <c r="M932" s="612">
        <v>46132</v>
      </c>
      <c r="N932" s="612">
        <v>46128</v>
      </c>
      <c r="O932" s="613"/>
      <c r="P932" s="824" t="s">
        <v>113</v>
      </c>
      <c r="Q932" s="614"/>
      <c r="R932" s="614">
        <v>46080</v>
      </c>
      <c r="S932" s="614" t="s">
        <v>70</v>
      </c>
      <c r="T932" s="614" t="s">
        <v>70</v>
      </c>
      <c r="U932" s="614"/>
      <c r="V932" s="614"/>
      <c r="W932" s="609"/>
      <c r="X932" s="609" t="s">
        <v>3518</v>
      </c>
      <c r="Y932" s="616" t="s">
        <v>2003</v>
      </c>
      <c r="Z932" s="625">
        <v>2.5175</v>
      </c>
      <c r="AA932" s="616">
        <f t="shared" si="313"/>
        <v>2678.62</v>
      </c>
      <c r="AB932" s="554"/>
      <c r="AC932" s="629" t="s">
        <v>3519</v>
      </c>
      <c r="AD932" s="610" t="s">
        <v>207</v>
      </c>
      <c r="AE932" s="610" t="s">
        <v>82</v>
      </c>
      <c r="AF932" s="610"/>
      <c r="AG932" s="610"/>
      <c r="AH932" s="610">
        <v>1</v>
      </c>
      <c r="AI932" s="610">
        <v>1064</v>
      </c>
      <c r="AJ932" s="613">
        <f t="shared" si="309"/>
        <v>0</v>
      </c>
      <c r="AK932" s="610"/>
      <c r="AL932" s="610"/>
      <c r="AM932" s="554"/>
      <c r="AN932" s="554">
        <f t="shared" si="315"/>
        <v>1064</v>
      </c>
      <c r="AO932" s="554"/>
      <c r="AP932" s="554"/>
      <c r="AQ932" s="554"/>
      <c r="AR932" s="554">
        <f>I932</f>
        <v>1064</v>
      </c>
      <c r="AS932" s="554"/>
      <c r="AT932" s="554"/>
      <c r="AU932" s="554">
        <f t="shared" si="316"/>
        <v>1064</v>
      </c>
      <c r="AV932" s="1325"/>
      <c r="AW932" s="554">
        <f t="shared" si="314"/>
        <v>1064</v>
      </c>
      <c r="AX932" s="714"/>
      <c r="AY932" s="554"/>
      <c r="AZ932" s="554"/>
      <c r="BA932" s="554"/>
      <c r="BB932" s="554"/>
      <c r="BC932" s="554"/>
      <c r="BD932" s="554"/>
      <c r="BE932" s="554"/>
      <c r="BF932" s="554"/>
      <c r="BG932" s="554"/>
      <c r="BH932" s="554"/>
      <c r="BI932" s="554"/>
      <c r="BJ932" s="554"/>
      <c r="BK932" s="554"/>
      <c r="BL932" s="554"/>
      <c r="BM932" s="554"/>
      <c r="BN932" s="554"/>
      <c r="BO932" s="554"/>
      <c r="BP932" s="554"/>
      <c r="BQ932" s="554"/>
      <c r="BR932" s="554"/>
      <c r="BS932" s="554"/>
      <c r="BT932" s="554"/>
      <c r="BU932" s="554"/>
      <c r="BV932" s="554"/>
      <c r="BW932" s="554"/>
      <c r="BX932" s="554"/>
      <c r="BY932" s="554"/>
      <c r="BZ932" s="554"/>
      <c r="CA932" s="554"/>
      <c r="CB932" s="554"/>
      <c r="CC932" s="554"/>
      <c r="CD932" s="554"/>
      <c r="CE932" s="554"/>
      <c r="CF932" s="554"/>
      <c r="CG932" s="554"/>
      <c r="CH932" s="619"/>
      <c r="CI932" s="619"/>
      <c r="CJ932" s="619"/>
      <c r="CK932" s="619"/>
      <c r="CL932" s="619"/>
      <c r="CM932" s="554"/>
      <c r="CN932" s="554"/>
      <c r="CO932" s="554"/>
      <c r="CP932" s="619"/>
      <c r="CQ932" s="619"/>
      <c r="CR932" s="619"/>
      <c r="CS932" s="619"/>
      <c r="CT932" s="619"/>
      <c r="CU932" s="619"/>
    </row>
    <row r="933" s="1265" customFormat="1" ht="31" customHeight="1" spans="1:99">
      <c r="A933" s="608">
        <v>46087</v>
      </c>
      <c r="B933" s="609" t="s">
        <v>1800</v>
      </c>
      <c r="C933" s="610" t="s">
        <v>744</v>
      </c>
      <c r="D933" s="554">
        <v>4500195548</v>
      </c>
      <c r="E933" s="610">
        <v>5000002140</v>
      </c>
      <c r="F933" s="554" t="s">
        <v>3521</v>
      </c>
      <c r="G933" s="623" t="s">
        <v>518</v>
      </c>
      <c r="H933" s="610" t="s">
        <v>477</v>
      </c>
      <c r="I933" s="715">
        <v>13500</v>
      </c>
      <c r="J933" s="610">
        <v>0</v>
      </c>
      <c r="K933" s="610">
        <v>6</v>
      </c>
      <c r="L933" s="611">
        <f t="shared" si="312"/>
        <v>2250</v>
      </c>
      <c r="M933" s="612">
        <v>46132</v>
      </c>
      <c r="N933" s="612">
        <v>46128</v>
      </c>
      <c r="O933" s="613"/>
      <c r="P933" s="824" t="s">
        <v>113</v>
      </c>
      <c r="Q933" s="614"/>
      <c r="R933" s="614" t="s">
        <v>3299</v>
      </c>
      <c r="S933" s="614" t="s">
        <v>104</v>
      </c>
      <c r="T933" s="614" t="s">
        <v>3028</v>
      </c>
      <c r="U933" s="614"/>
      <c r="V933" s="614"/>
      <c r="W933" s="609"/>
      <c r="X933" s="609" t="s">
        <v>3522</v>
      </c>
      <c r="Y933" s="616" t="s">
        <v>1805</v>
      </c>
      <c r="Z933" s="718">
        <v>6.3788</v>
      </c>
      <c r="AA933" s="616">
        <f t="shared" si="313"/>
        <v>86113.8</v>
      </c>
      <c r="AB933" s="554"/>
      <c r="AC933" s="617"/>
      <c r="AD933" s="610" t="s">
        <v>2241</v>
      </c>
      <c r="AE933" s="610" t="s">
        <v>82</v>
      </c>
      <c r="AF933" s="610"/>
      <c r="AG933" s="610"/>
      <c r="AH933" s="610">
        <v>1</v>
      </c>
      <c r="AI933" s="610"/>
      <c r="AJ933" s="610">
        <f t="shared" si="309"/>
        <v>-13500</v>
      </c>
      <c r="AK933" s="610"/>
      <c r="AL933" s="610"/>
      <c r="AM933" s="554"/>
      <c r="AN933" s="554">
        <f t="shared" si="315"/>
        <v>13500</v>
      </c>
      <c r="AO933" s="554"/>
      <c r="AP933" s="554"/>
      <c r="AQ933" s="554"/>
      <c r="AR933" s="554">
        <f>I933</f>
        <v>13500</v>
      </c>
      <c r="AS933" s="554"/>
      <c r="AT933" s="554"/>
      <c r="AU933" s="554"/>
      <c r="AV933" s="554">
        <f>I933</f>
        <v>13500</v>
      </c>
      <c r="AW933" s="554"/>
      <c r="AX933" s="714">
        <f>I933</f>
        <v>13500</v>
      </c>
      <c r="AY933" s="554"/>
      <c r="AZ933" s="554"/>
      <c r="BA933" s="554"/>
      <c r="BB933" s="554"/>
      <c r="BC933" s="554"/>
      <c r="BD933" s="554"/>
      <c r="BE933" s="554"/>
      <c r="BF933" s="554"/>
      <c r="BG933" s="554"/>
      <c r="BH933" s="554"/>
      <c r="BI933" s="554"/>
      <c r="BJ933" s="554"/>
      <c r="BK933" s="554"/>
      <c r="BL933" s="554"/>
      <c r="BM933" s="554"/>
      <c r="BN933" s="554">
        <f>I933</f>
        <v>13500</v>
      </c>
      <c r="BO933" s="554"/>
      <c r="BP933" s="554"/>
      <c r="BQ933" s="554"/>
      <c r="BR933" s="554"/>
      <c r="BS933" s="554"/>
      <c r="BT933" s="554"/>
      <c r="BU933" s="554"/>
      <c r="BV933" s="554"/>
      <c r="BW933" s="554"/>
      <c r="BX933" s="554"/>
      <c r="BY933" s="554"/>
      <c r="BZ933" s="554"/>
      <c r="CA933" s="554"/>
      <c r="CB933" s="554"/>
      <c r="CC933" s="554"/>
      <c r="CD933" s="554"/>
      <c r="CE933" s="554"/>
      <c r="CF933" s="554"/>
      <c r="CG933" s="554"/>
      <c r="CH933" s="619"/>
      <c r="CI933" s="619"/>
      <c r="CJ933" s="619"/>
      <c r="CK933" s="619"/>
      <c r="CL933" s="619"/>
      <c r="CM933" s="554"/>
      <c r="CN933" s="554"/>
      <c r="CO933" s="554"/>
      <c r="CP933" s="619"/>
      <c r="CQ933" s="619"/>
      <c r="CR933" s="619"/>
      <c r="CS933" s="619"/>
      <c r="CT933" s="619"/>
      <c r="CU933" s="619"/>
    </row>
    <row r="934" s="1265" customFormat="1" ht="31" customHeight="1" spans="1:99">
      <c r="A934" s="608">
        <v>46087</v>
      </c>
      <c r="B934" s="609" t="s">
        <v>1800</v>
      </c>
      <c r="C934" s="610" t="s">
        <v>744</v>
      </c>
      <c r="D934" s="554">
        <v>4500195548</v>
      </c>
      <c r="E934" s="610">
        <v>5000002140</v>
      </c>
      <c r="F934" s="554" t="s">
        <v>3523</v>
      </c>
      <c r="G934" s="623" t="s">
        <v>518</v>
      </c>
      <c r="H934" s="610" t="s">
        <v>477</v>
      </c>
      <c r="I934" s="715">
        <v>3000</v>
      </c>
      <c r="J934" s="610">
        <v>0</v>
      </c>
      <c r="K934" s="610">
        <v>6</v>
      </c>
      <c r="L934" s="611">
        <f t="shared" si="312"/>
        <v>500</v>
      </c>
      <c r="M934" s="612">
        <v>46132</v>
      </c>
      <c r="N934" s="612">
        <v>46128</v>
      </c>
      <c r="O934" s="613"/>
      <c r="P934" s="824" t="s">
        <v>113</v>
      </c>
      <c r="Q934" s="614"/>
      <c r="R934" s="614" t="s">
        <v>3299</v>
      </c>
      <c r="S934" s="614" t="s">
        <v>104</v>
      </c>
      <c r="T934" s="614" t="s">
        <v>3028</v>
      </c>
      <c r="U934" s="614"/>
      <c r="V934" s="614"/>
      <c r="W934" s="609"/>
      <c r="X934" s="609" t="s">
        <v>3522</v>
      </c>
      <c r="Y934" s="616" t="s">
        <v>1805</v>
      </c>
      <c r="Z934" s="718">
        <v>6.3788</v>
      </c>
      <c r="AA934" s="616">
        <f t="shared" si="313"/>
        <v>19136.4</v>
      </c>
      <c r="AB934" s="554"/>
      <c r="AC934" s="617"/>
      <c r="AD934" s="610" t="s">
        <v>2241</v>
      </c>
      <c r="AE934" s="610" t="s">
        <v>82</v>
      </c>
      <c r="AF934" s="610"/>
      <c r="AG934" s="610"/>
      <c r="AH934" s="610">
        <v>1</v>
      </c>
      <c r="AI934" s="610"/>
      <c r="AJ934" s="610">
        <f t="shared" si="309"/>
        <v>-3000</v>
      </c>
      <c r="AK934" s="610"/>
      <c r="AL934" s="610"/>
      <c r="AM934" s="554"/>
      <c r="AN934" s="554">
        <f t="shared" si="315"/>
        <v>3000</v>
      </c>
      <c r="AO934" s="554"/>
      <c r="AP934" s="554"/>
      <c r="AQ934" s="554"/>
      <c r="AR934" s="554">
        <f>I934</f>
        <v>3000</v>
      </c>
      <c r="AS934" s="554"/>
      <c r="AT934" s="554"/>
      <c r="AU934" s="554"/>
      <c r="AV934" s="554">
        <f>I934</f>
        <v>3000</v>
      </c>
      <c r="AW934" s="554"/>
      <c r="AX934" s="714">
        <f>I934</f>
        <v>3000</v>
      </c>
      <c r="AY934" s="554"/>
      <c r="AZ934" s="554"/>
      <c r="BA934" s="554"/>
      <c r="BB934" s="554"/>
      <c r="BC934" s="554"/>
      <c r="BD934" s="554"/>
      <c r="BE934" s="554"/>
      <c r="BF934" s="554"/>
      <c r="BG934" s="554"/>
      <c r="BH934" s="554"/>
      <c r="BI934" s="554"/>
      <c r="BJ934" s="554"/>
      <c r="BK934" s="554"/>
      <c r="BL934" s="554"/>
      <c r="BM934" s="554"/>
      <c r="BN934" s="554">
        <f>I934</f>
        <v>3000</v>
      </c>
      <c r="BO934" s="554"/>
      <c r="BP934" s="554"/>
      <c r="BQ934" s="554"/>
      <c r="BR934" s="554"/>
      <c r="BS934" s="554"/>
      <c r="BT934" s="554"/>
      <c r="BU934" s="554"/>
      <c r="BV934" s="554"/>
      <c r="BW934" s="554"/>
      <c r="BX934" s="554"/>
      <c r="BY934" s="554"/>
      <c r="BZ934" s="554"/>
      <c r="CA934" s="554"/>
      <c r="CB934" s="554"/>
      <c r="CC934" s="554"/>
      <c r="CD934" s="554"/>
      <c r="CE934" s="554"/>
      <c r="CF934" s="554"/>
      <c r="CG934" s="554"/>
      <c r="CH934" s="619"/>
      <c r="CI934" s="619"/>
      <c r="CJ934" s="619"/>
      <c r="CK934" s="619"/>
      <c r="CL934" s="619"/>
      <c r="CM934" s="554"/>
      <c r="CN934" s="554"/>
      <c r="CO934" s="554"/>
      <c r="CP934" s="619"/>
      <c r="CQ934" s="619"/>
      <c r="CR934" s="619"/>
      <c r="CS934" s="619"/>
      <c r="CT934" s="619"/>
      <c r="CU934" s="619"/>
    </row>
    <row r="935" s="1265" customFormat="1" ht="31" customHeight="1" spans="1:99">
      <c r="A935" s="1344">
        <v>46098</v>
      </c>
      <c r="B935" s="609" t="s">
        <v>3524</v>
      </c>
      <c r="C935" s="610" t="s">
        <v>2761</v>
      </c>
      <c r="D935" s="554">
        <v>4500197104</v>
      </c>
      <c r="E935" s="610"/>
      <c r="F935" s="1325" t="s">
        <v>3525</v>
      </c>
      <c r="G935" s="623" t="s">
        <v>111</v>
      </c>
      <c r="H935" s="610" t="s">
        <v>112</v>
      </c>
      <c r="I935" s="610">
        <v>208</v>
      </c>
      <c r="J935" s="610">
        <v>0</v>
      </c>
      <c r="K935" s="610">
        <v>16</v>
      </c>
      <c r="L935" s="611">
        <f t="shared" si="312"/>
        <v>13</v>
      </c>
      <c r="M935" s="612">
        <v>46135</v>
      </c>
      <c r="N935" s="612">
        <v>46132</v>
      </c>
      <c r="O935" s="613"/>
      <c r="P935" s="824" t="s">
        <v>113</v>
      </c>
      <c r="Q935" s="610"/>
      <c r="R935" s="614">
        <v>46098</v>
      </c>
      <c r="S935" s="614" t="s">
        <v>104</v>
      </c>
      <c r="T935" s="614" t="s">
        <v>70</v>
      </c>
      <c r="U935" s="614"/>
      <c r="V935" s="614"/>
      <c r="W935" s="614"/>
      <c r="X935" s="738" t="s">
        <v>3526</v>
      </c>
      <c r="Y935" s="612" t="s">
        <v>3527</v>
      </c>
      <c r="Z935" s="1345">
        <v>4.3125</v>
      </c>
      <c r="AA935" s="616">
        <f t="shared" si="313"/>
        <v>897</v>
      </c>
      <c r="AB935" s="554"/>
      <c r="AC935" s="617"/>
      <c r="AD935" s="610" t="s">
        <v>111</v>
      </c>
      <c r="AE935" s="610" t="s">
        <v>82</v>
      </c>
      <c r="AF935" s="610"/>
      <c r="AG935" s="610"/>
      <c r="AH935" s="610">
        <v>1</v>
      </c>
      <c r="AI935" s="613">
        <v>208</v>
      </c>
      <c r="AJ935" s="246">
        <f t="shared" si="309"/>
        <v>0</v>
      </c>
      <c r="AK935" s="610"/>
      <c r="AL935" s="610"/>
      <c r="AM935" s="610"/>
      <c r="AN935" s="554">
        <f t="shared" si="315"/>
        <v>208</v>
      </c>
      <c r="AO935" s="1325"/>
      <c r="AP935" s="1325"/>
      <c r="AQ935" s="1325"/>
      <c r="AR935" s="554">
        <f>I935</f>
        <v>208</v>
      </c>
      <c r="AS935" s="554"/>
      <c r="AT935" s="554"/>
      <c r="AU935" s="554">
        <f>I935</f>
        <v>208</v>
      </c>
      <c r="AV935" s="554"/>
      <c r="AW935" s="554">
        <f>I935</f>
        <v>208</v>
      </c>
      <c r="AX935" s="554"/>
      <c r="AY935" s="1325"/>
      <c r="AZ935" s="1325"/>
      <c r="BA935" s="1325"/>
      <c r="BB935" s="554"/>
      <c r="BC935" s="554"/>
      <c r="BD935" s="554"/>
      <c r="BE935" s="554"/>
      <c r="BF935" s="554"/>
      <c r="BG935" s="554"/>
      <c r="BH935" s="825">
        <f>I935/4</f>
        <v>52</v>
      </c>
      <c r="BI935" s="554"/>
      <c r="BJ935" s="554"/>
      <c r="BK935" s="554"/>
      <c r="BL935" s="554"/>
      <c r="BM935" s="554"/>
      <c r="BN935" s="554"/>
      <c r="BO935" s="554"/>
      <c r="BP935" s="554"/>
      <c r="BQ935" s="554"/>
      <c r="BR935" s="554"/>
      <c r="BS935" s="554"/>
      <c r="BT935" s="554"/>
      <c r="BU935" s="554"/>
      <c r="BV935" s="554"/>
      <c r="BW935" s="554"/>
      <c r="BX935" s="554"/>
      <c r="BY935" s="554"/>
      <c r="BZ935" s="554"/>
      <c r="CA935" s="554"/>
      <c r="CB935" s="554"/>
      <c r="CC935" s="554"/>
      <c r="CD935" s="554"/>
      <c r="CE935" s="554"/>
      <c r="CF935" s="554"/>
      <c r="CG935" s="554"/>
      <c r="CH935" s="619"/>
      <c r="CI935" s="619"/>
      <c r="CJ935" s="619"/>
      <c r="CK935" s="619"/>
      <c r="CL935" s="619"/>
      <c r="CM935" s="554"/>
      <c r="CN935" s="554"/>
      <c r="CO935" s="554"/>
      <c r="CP935" s="619"/>
      <c r="CQ935" s="619"/>
      <c r="CR935" s="619"/>
      <c r="CS935" s="619"/>
      <c r="CT935" s="619"/>
      <c r="CU935" s="619"/>
    </row>
    <row r="936" s="1265" customFormat="1" ht="31" customHeight="1" spans="1:99">
      <c r="A936" s="608">
        <v>46090</v>
      </c>
      <c r="B936" s="609" t="s">
        <v>2952</v>
      </c>
      <c r="C936" s="610" t="s">
        <v>1227</v>
      </c>
      <c r="D936" s="554">
        <v>4500195747</v>
      </c>
      <c r="E936" s="610"/>
      <c r="F936" s="554" t="s">
        <v>3528</v>
      </c>
      <c r="G936" s="623" t="s">
        <v>68</v>
      </c>
      <c r="H936" s="633" t="s">
        <v>69</v>
      </c>
      <c r="I936" s="715">
        <v>180</v>
      </c>
      <c r="J936" s="610">
        <v>0</v>
      </c>
      <c r="K936" s="610">
        <v>12</v>
      </c>
      <c r="L936" s="611">
        <f t="shared" si="312"/>
        <v>15</v>
      </c>
      <c r="M936" s="612">
        <v>46142</v>
      </c>
      <c r="N936" s="612">
        <v>46139</v>
      </c>
      <c r="O936" s="613" t="s">
        <v>3529</v>
      </c>
      <c r="P936" s="824" t="s">
        <v>113</v>
      </c>
      <c r="Q936" s="614"/>
      <c r="R936" s="614" t="s">
        <v>3530</v>
      </c>
      <c r="S936" s="614" t="s">
        <v>70</v>
      </c>
      <c r="T936" s="614" t="s">
        <v>3531</v>
      </c>
      <c r="U936" s="614"/>
      <c r="V936" s="614"/>
      <c r="W936" s="609"/>
      <c r="X936" s="738" t="s">
        <v>3532</v>
      </c>
      <c r="Y936" s="616" t="s">
        <v>529</v>
      </c>
      <c r="Z936" s="625">
        <v>4.2622</v>
      </c>
      <c r="AA936" s="616">
        <f t="shared" si="313"/>
        <v>767.196</v>
      </c>
      <c r="AB936" s="554"/>
      <c r="AC936" s="617"/>
      <c r="AD936" s="610" t="s">
        <v>184</v>
      </c>
      <c r="AE936" s="610" t="s">
        <v>82</v>
      </c>
      <c r="AF936" s="610"/>
      <c r="AG936" s="610"/>
      <c r="AH936" s="610">
        <v>1</v>
      </c>
      <c r="AI936" s="610">
        <v>180</v>
      </c>
      <c r="AJ936" s="610">
        <f t="shared" ref="AJ936:AJ946" si="317">AI936-I936</f>
        <v>0</v>
      </c>
      <c r="AK936" s="610"/>
      <c r="AL936" s="610" t="s">
        <v>2368</v>
      </c>
      <c r="AM936" s="554"/>
      <c r="AN936" s="554">
        <f t="shared" si="315"/>
        <v>180</v>
      </c>
      <c r="AO936" s="554"/>
      <c r="AP936" s="554"/>
      <c r="AQ936" s="554"/>
      <c r="AR936" s="554"/>
      <c r="AS936" s="554">
        <f>I936</f>
        <v>180</v>
      </c>
      <c r="AT936" s="554"/>
      <c r="AU936" s="554">
        <f>I936</f>
        <v>180</v>
      </c>
      <c r="AV936" s="554"/>
      <c r="AW936" s="554">
        <f>I936</f>
        <v>180</v>
      </c>
      <c r="AX936" s="714"/>
      <c r="AY936" s="554"/>
      <c r="AZ936" s="554"/>
      <c r="BA936" s="554"/>
      <c r="BB936" s="554"/>
      <c r="BC936" s="554"/>
      <c r="BD936" s="554"/>
      <c r="BE936" s="554"/>
      <c r="BF936" s="554"/>
      <c r="BG936" s="554"/>
      <c r="BH936" s="554"/>
      <c r="BI936" s="554"/>
      <c r="BJ936" s="554"/>
      <c r="BK936" s="554"/>
      <c r="BL936" s="554"/>
      <c r="BM936" s="554"/>
      <c r="BN936" s="554"/>
      <c r="BO936" s="554"/>
      <c r="BP936" s="554"/>
      <c r="BQ936" s="554"/>
      <c r="BR936" s="554"/>
      <c r="BS936" s="554"/>
      <c r="BT936" s="554"/>
      <c r="BU936" s="554"/>
      <c r="BV936" s="554"/>
      <c r="BW936" s="554"/>
      <c r="BX936" s="554"/>
      <c r="BY936" s="554"/>
      <c r="BZ936" s="554"/>
      <c r="CA936" s="554"/>
      <c r="CB936" s="554"/>
      <c r="CC936" s="554"/>
      <c r="CD936" s="554"/>
      <c r="CE936" s="554"/>
      <c r="CF936" s="554"/>
      <c r="CG936" s="554"/>
      <c r="CH936" s="619"/>
      <c r="CI936" s="619"/>
      <c r="CJ936" s="619"/>
      <c r="CK936" s="619"/>
      <c r="CL936" s="619"/>
      <c r="CM936" s="554"/>
      <c r="CN936" s="554"/>
      <c r="CO936" s="554"/>
      <c r="CP936" s="619"/>
      <c r="CQ936" s="619"/>
      <c r="CR936" s="619"/>
      <c r="CS936" s="619"/>
      <c r="CT936" s="619"/>
      <c r="CU936" s="619"/>
    </row>
    <row r="937" s="1265" customFormat="1" ht="31" customHeight="1" spans="1:99">
      <c r="A937" s="608">
        <v>45978</v>
      </c>
      <c r="B937" s="609" t="s">
        <v>1492</v>
      </c>
      <c r="C937" s="610" t="s">
        <v>98</v>
      </c>
      <c r="D937" s="729">
        <v>4500185966</v>
      </c>
      <c r="E937" s="1420" t="s">
        <v>3533</v>
      </c>
      <c r="F937" s="554" t="s">
        <v>3534</v>
      </c>
      <c r="G937" s="623" t="s">
        <v>2666</v>
      </c>
      <c r="H937" s="610" t="s">
        <v>830</v>
      </c>
      <c r="I937" s="610">
        <v>5400</v>
      </c>
      <c r="J937" s="610">
        <v>0</v>
      </c>
      <c r="K937" s="610">
        <v>75</v>
      </c>
      <c r="L937" s="611">
        <f t="shared" si="312"/>
        <v>72</v>
      </c>
      <c r="M937" s="724">
        <v>46129</v>
      </c>
      <c r="N937" s="724">
        <v>46125</v>
      </c>
      <c r="O937" s="613"/>
      <c r="P937" s="824" t="s">
        <v>113</v>
      </c>
      <c r="Q937" s="614"/>
      <c r="R937" s="614" t="s">
        <v>2667</v>
      </c>
      <c r="S937" s="614" t="s">
        <v>70</v>
      </c>
      <c r="T937" s="614" t="s">
        <v>70</v>
      </c>
      <c r="U937" s="614"/>
      <c r="V937" s="614"/>
      <c r="W937" s="609"/>
      <c r="X937" s="609" t="s">
        <v>2826</v>
      </c>
      <c r="Y937" s="616" t="s">
        <v>911</v>
      </c>
      <c r="Z937" s="625">
        <v>359.3436</v>
      </c>
      <c r="AA937" s="616">
        <v>25872.7392</v>
      </c>
      <c r="AB937" s="554"/>
      <c r="AC937" s="629" t="s">
        <v>3535</v>
      </c>
      <c r="AD937" s="610" t="s">
        <v>1498</v>
      </c>
      <c r="AE937" s="610" t="s">
        <v>82</v>
      </c>
      <c r="AF937" s="610"/>
      <c r="AG937" s="610"/>
      <c r="AH937" s="610">
        <v>1</v>
      </c>
      <c r="AI937" s="610"/>
      <c r="AJ937" s="613">
        <f t="shared" si="317"/>
        <v>-5400</v>
      </c>
      <c r="AK937" s="610"/>
      <c r="AL937" s="610"/>
      <c r="AM937" s="554"/>
      <c r="AN937" s="554"/>
      <c r="AO937" s="554">
        <f>I937</f>
        <v>5400</v>
      </c>
      <c r="AP937" s="554"/>
      <c r="AQ937" s="554"/>
      <c r="AR937" s="554"/>
      <c r="AS937" s="554"/>
      <c r="AT937" s="554"/>
      <c r="AU937" s="554"/>
      <c r="AV937" s="554"/>
      <c r="AW937" s="554"/>
      <c r="AX937" s="714"/>
      <c r="AY937" s="554"/>
      <c r="AZ937" s="554"/>
      <c r="BA937" s="554">
        <f>I937</f>
        <v>5400</v>
      </c>
      <c r="BB937" s="554">
        <f>I937</f>
        <v>5400</v>
      </c>
      <c r="BC937" s="554">
        <f>I937</f>
        <v>5400</v>
      </c>
      <c r="BD937" s="554"/>
      <c r="BE937" s="554"/>
      <c r="BF937" s="554"/>
      <c r="BG937" s="554"/>
      <c r="BH937" s="554"/>
      <c r="BI937" s="554"/>
      <c r="BJ937" s="554"/>
      <c r="BK937" s="554">
        <f>I937</f>
        <v>5400</v>
      </c>
      <c r="BL937" s="554">
        <f>I937/5</f>
        <v>1080</v>
      </c>
      <c r="BM937" s="554"/>
      <c r="BN937" s="554"/>
      <c r="BO937" s="554"/>
      <c r="BP937" s="554"/>
      <c r="BQ937" s="554"/>
      <c r="BR937" s="554"/>
      <c r="BS937" s="554"/>
      <c r="BT937" s="554"/>
      <c r="BU937" s="554"/>
      <c r="BV937" s="554"/>
      <c r="BW937" s="554"/>
      <c r="BX937" s="554"/>
      <c r="BY937" s="554"/>
      <c r="BZ937" s="554"/>
      <c r="CA937" s="554"/>
      <c r="CB937" s="554"/>
      <c r="CC937" s="554"/>
      <c r="CD937" s="554"/>
      <c r="CE937" s="554"/>
      <c r="CF937" s="554"/>
      <c r="CG937" s="554"/>
      <c r="CH937" s="619"/>
      <c r="CI937" s="619"/>
      <c r="CJ937" s="619"/>
      <c r="CK937" s="619"/>
      <c r="CL937" s="619"/>
      <c r="CM937" s="554"/>
      <c r="CN937" s="554"/>
      <c r="CO937" s="554"/>
      <c r="CP937" s="619"/>
      <c r="CQ937" s="619"/>
      <c r="CR937" s="619"/>
      <c r="CS937" s="619"/>
      <c r="CT937" s="619"/>
      <c r="CU937" s="619"/>
    </row>
    <row r="938" s="1265" customFormat="1" ht="31" customHeight="1" spans="1:99">
      <c r="A938" s="608">
        <v>45978</v>
      </c>
      <c r="B938" s="609" t="s">
        <v>1492</v>
      </c>
      <c r="C938" s="610" t="s">
        <v>98</v>
      </c>
      <c r="D938" s="554">
        <v>4500185968</v>
      </c>
      <c r="E938" s="1420" t="s">
        <v>3536</v>
      </c>
      <c r="F938" s="554" t="s">
        <v>3537</v>
      </c>
      <c r="G938" s="623" t="s">
        <v>2666</v>
      </c>
      <c r="H938" s="610" t="s">
        <v>830</v>
      </c>
      <c r="I938" s="610">
        <v>5400</v>
      </c>
      <c r="J938" s="610">
        <v>0</v>
      </c>
      <c r="K938" s="610">
        <v>75</v>
      </c>
      <c r="L938" s="611">
        <f t="shared" si="312"/>
        <v>72</v>
      </c>
      <c r="M938" s="724">
        <v>46129</v>
      </c>
      <c r="N938" s="724">
        <v>46125</v>
      </c>
      <c r="O938" s="613"/>
      <c r="P938" s="824" t="s">
        <v>113</v>
      </c>
      <c r="Q938" s="614"/>
      <c r="R938" s="614" t="s">
        <v>2667</v>
      </c>
      <c r="S938" s="614" t="s">
        <v>70</v>
      </c>
      <c r="T938" s="614" t="s">
        <v>70</v>
      </c>
      <c r="U938" s="614"/>
      <c r="V938" s="614"/>
      <c r="W938" s="609"/>
      <c r="X938" s="609" t="s">
        <v>2826</v>
      </c>
      <c r="Y938" s="616" t="s">
        <v>911</v>
      </c>
      <c r="Z938" s="625">
        <v>359.3436</v>
      </c>
      <c r="AA938" s="616">
        <v>25872.7392</v>
      </c>
      <c r="AB938" s="554"/>
      <c r="AC938" s="629" t="s">
        <v>3538</v>
      </c>
      <c r="AD938" s="610" t="s">
        <v>1498</v>
      </c>
      <c r="AE938" s="610" t="s">
        <v>82</v>
      </c>
      <c r="AF938" s="610"/>
      <c r="AG938" s="610"/>
      <c r="AH938" s="610">
        <v>1</v>
      </c>
      <c r="AI938" s="610"/>
      <c r="AJ938" s="613">
        <f t="shared" si="317"/>
        <v>-5400</v>
      </c>
      <c r="AK938" s="610"/>
      <c r="AL938" s="610"/>
      <c r="AM938" s="554"/>
      <c r="AN938" s="554"/>
      <c r="AO938" s="554">
        <f>I938</f>
        <v>5400</v>
      </c>
      <c r="AP938" s="554"/>
      <c r="AQ938" s="554"/>
      <c r="AR938" s="554"/>
      <c r="AS938" s="554"/>
      <c r="AT938" s="554"/>
      <c r="AU938" s="554"/>
      <c r="AV938" s="554"/>
      <c r="AW938" s="554"/>
      <c r="AX938" s="714"/>
      <c r="AY938" s="554"/>
      <c r="AZ938" s="554"/>
      <c r="BA938" s="554">
        <f>I938</f>
        <v>5400</v>
      </c>
      <c r="BB938" s="554">
        <f>I938</f>
        <v>5400</v>
      </c>
      <c r="BC938" s="554">
        <f>I938</f>
        <v>5400</v>
      </c>
      <c r="BD938" s="554"/>
      <c r="BE938" s="554"/>
      <c r="BF938" s="554"/>
      <c r="BG938" s="554"/>
      <c r="BH938" s="554"/>
      <c r="BI938" s="554"/>
      <c r="BJ938" s="554"/>
      <c r="BK938" s="554">
        <f>I938</f>
        <v>5400</v>
      </c>
      <c r="BL938" s="554">
        <f>I938/5</f>
        <v>1080</v>
      </c>
      <c r="BM938" s="554"/>
      <c r="BN938" s="554"/>
      <c r="BO938" s="554"/>
      <c r="BP938" s="554"/>
      <c r="BQ938" s="554"/>
      <c r="BR938" s="554"/>
      <c r="BS938" s="554"/>
      <c r="BT938" s="554"/>
      <c r="BU938" s="554"/>
      <c r="BV938" s="554"/>
      <c r="BW938" s="554"/>
      <c r="BX938" s="554"/>
      <c r="BY938" s="554"/>
      <c r="BZ938" s="554"/>
      <c r="CA938" s="554"/>
      <c r="CB938" s="554"/>
      <c r="CC938" s="554"/>
      <c r="CD938" s="554"/>
      <c r="CE938" s="554"/>
      <c r="CF938" s="554"/>
      <c r="CG938" s="554"/>
      <c r="CH938" s="619"/>
      <c r="CI938" s="619"/>
      <c r="CJ938" s="619"/>
      <c r="CK938" s="619"/>
      <c r="CL938" s="619"/>
      <c r="CM938" s="554"/>
      <c r="CN938" s="554"/>
      <c r="CO938" s="554"/>
      <c r="CP938" s="619"/>
      <c r="CQ938" s="619"/>
      <c r="CR938" s="619"/>
      <c r="CS938" s="619"/>
      <c r="CT938" s="619"/>
      <c r="CU938" s="619"/>
    </row>
    <row r="939" s="1265" customFormat="1" ht="31" customHeight="1" spans="1:99">
      <c r="A939" s="608">
        <v>46086</v>
      </c>
      <c r="B939" s="609" t="s">
        <v>211</v>
      </c>
      <c r="C939" s="610" t="s">
        <v>212</v>
      </c>
      <c r="D939" s="554">
        <v>4500195221</v>
      </c>
      <c r="E939" s="610" t="s">
        <v>3539</v>
      </c>
      <c r="F939" s="554" t="s">
        <v>3540</v>
      </c>
      <c r="G939" s="623" t="s">
        <v>518</v>
      </c>
      <c r="H939" s="610" t="s">
        <v>477</v>
      </c>
      <c r="I939" s="715">
        <v>960</v>
      </c>
      <c r="J939" s="610">
        <v>0</v>
      </c>
      <c r="K939" s="610">
        <v>6</v>
      </c>
      <c r="L939" s="611">
        <f t="shared" si="312"/>
        <v>160</v>
      </c>
      <c r="M939" s="612">
        <v>46129</v>
      </c>
      <c r="N939" s="612">
        <v>46125</v>
      </c>
      <c r="O939" s="613"/>
      <c r="P939" s="824" t="s">
        <v>113</v>
      </c>
      <c r="Q939" s="614"/>
      <c r="R939" s="614">
        <v>46086</v>
      </c>
      <c r="S939" s="614" t="s">
        <v>70</v>
      </c>
      <c r="T939" s="614" t="s">
        <v>3541</v>
      </c>
      <c r="U939" s="614"/>
      <c r="V939" s="609"/>
      <c r="W939" s="609"/>
      <c r="X939" s="609" t="s">
        <v>3542</v>
      </c>
      <c r="Y939" s="616" t="s">
        <v>1793</v>
      </c>
      <c r="Z939" s="718">
        <v>7.0456</v>
      </c>
      <c r="AA939" s="616">
        <f>Z939*I939</f>
        <v>6763.776</v>
      </c>
      <c r="AB939" s="554"/>
      <c r="AC939" s="617"/>
      <c r="AD939" s="610" t="s">
        <v>1306</v>
      </c>
      <c r="AE939" s="610" t="s">
        <v>82</v>
      </c>
      <c r="AF939" s="610"/>
      <c r="AG939" s="610"/>
      <c r="AH939" s="610">
        <v>1</v>
      </c>
      <c r="AI939" s="610"/>
      <c r="AJ939" s="610">
        <f t="shared" si="317"/>
        <v>-960</v>
      </c>
      <c r="AK939" s="610"/>
      <c r="AL939" s="610"/>
      <c r="AM939" s="554"/>
      <c r="AN939" s="554">
        <f>I939</f>
        <v>960</v>
      </c>
      <c r="AO939" s="1325"/>
      <c r="AP939" s="1325"/>
      <c r="AQ939" s="1325"/>
      <c r="AR939" s="554">
        <f>I939</f>
        <v>960</v>
      </c>
      <c r="AS939" s="554"/>
      <c r="AT939" s="554"/>
      <c r="AU939" s="554">
        <f>I939</f>
        <v>960</v>
      </c>
      <c r="AV939" s="554"/>
      <c r="AW939" s="554">
        <f>I939</f>
        <v>960</v>
      </c>
      <c r="AX939" s="714"/>
      <c r="AY939" s="554"/>
      <c r="AZ939" s="554"/>
      <c r="BA939" s="554"/>
      <c r="BB939" s="554"/>
      <c r="BC939" s="554"/>
      <c r="BD939" s="554"/>
      <c r="BE939" s="554"/>
      <c r="BF939" s="554"/>
      <c r="BG939" s="554"/>
      <c r="BH939" s="554"/>
      <c r="BI939" s="554"/>
      <c r="BJ939" s="554"/>
      <c r="BK939" s="554"/>
      <c r="BL939" s="554"/>
      <c r="BM939" s="554"/>
      <c r="BN939" s="554">
        <f>I939</f>
        <v>960</v>
      </c>
      <c r="BO939" s="554"/>
      <c r="BP939" s="554"/>
      <c r="BQ939" s="554"/>
      <c r="BR939" s="554"/>
      <c r="BS939" s="554"/>
      <c r="BT939" s="554"/>
      <c r="BU939" s="554"/>
      <c r="BV939" s="554"/>
      <c r="BW939" s="554"/>
      <c r="BX939" s="554"/>
      <c r="BY939" s="554"/>
      <c r="BZ939" s="554"/>
      <c r="CA939" s="554"/>
      <c r="CB939" s="554"/>
      <c r="CC939" s="554"/>
      <c r="CD939" s="554"/>
      <c r="CE939" s="554"/>
      <c r="CF939" s="554"/>
      <c r="CG939" s="554"/>
      <c r="CH939" s="619"/>
      <c r="CI939" s="619"/>
      <c r="CJ939" s="619"/>
      <c r="CK939" s="619"/>
      <c r="CL939" s="619"/>
      <c r="CM939" s="554"/>
      <c r="CN939" s="554"/>
      <c r="CO939" s="554"/>
      <c r="CP939" s="619"/>
      <c r="CQ939" s="619"/>
      <c r="CR939" s="619"/>
      <c r="CS939" s="619"/>
      <c r="CT939" s="619"/>
      <c r="CU939" s="619"/>
    </row>
    <row r="940" s="1265" customFormat="1" ht="31" customHeight="1" spans="1:99">
      <c r="A940" s="608">
        <v>46087</v>
      </c>
      <c r="B940" s="609" t="s">
        <v>1332</v>
      </c>
      <c r="C940" s="610" t="s">
        <v>590</v>
      </c>
      <c r="D940" s="554">
        <v>4500195521</v>
      </c>
      <c r="E940" s="610"/>
      <c r="F940" s="554" t="s">
        <v>3543</v>
      </c>
      <c r="G940" s="623" t="s">
        <v>68</v>
      </c>
      <c r="H940" s="633" t="s">
        <v>69</v>
      </c>
      <c r="I940" s="715">
        <v>504</v>
      </c>
      <c r="J940" s="610">
        <v>0</v>
      </c>
      <c r="K940" s="610">
        <v>12</v>
      </c>
      <c r="L940" s="611">
        <f t="shared" si="312"/>
        <v>42</v>
      </c>
      <c r="M940" s="612">
        <v>46132</v>
      </c>
      <c r="N940" s="612">
        <v>46128</v>
      </c>
      <c r="O940" s="613"/>
      <c r="P940" s="824" t="s">
        <v>113</v>
      </c>
      <c r="Q940" s="730" t="s">
        <v>3544</v>
      </c>
      <c r="R940" s="614">
        <v>46105</v>
      </c>
      <c r="S940" s="614" t="s">
        <v>70</v>
      </c>
      <c r="T940" s="614" t="s">
        <v>3545</v>
      </c>
      <c r="U940" s="614"/>
      <c r="V940" s="609"/>
      <c r="W940" s="609"/>
      <c r="X940" s="609" t="s">
        <v>3546</v>
      </c>
      <c r="Y940" s="616" t="s">
        <v>230</v>
      </c>
      <c r="Z940" s="625">
        <v>4.2622</v>
      </c>
      <c r="AA940" s="616">
        <f>Z940*I940</f>
        <v>2148.1488</v>
      </c>
      <c r="AB940" s="554"/>
      <c r="AC940" s="617"/>
      <c r="AD940" s="610" t="s">
        <v>68</v>
      </c>
      <c r="AE940" s="610" t="s">
        <v>82</v>
      </c>
      <c r="AF940" s="610"/>
      <c r="AG940" s="610"/>
      <c r="AH940" s="610">
        <v>1</v>
      </c>
      <c r="AI940" s="610">
        <v>504</v>
      </c>
      <c r="AJ940" s="610">
        <f t="shared" si="317"/>
        <v>0</v>
      </c>
      <c r="AK940" s="610"/>
      <c r="AL940" s="610" t="s">
        <v>2368</v>
      </c>
      <c r="AM940" s="554"/>
      <c r="AN940" s="554">
        <f>I940</f>
        <v>504</v>
      </c>
      <c r="AO940" s="1325"/>
      <c r="AP940" s="1325"/>
      <c r="AQ940" s="1325"/>
      <c r="AR940" s="554">
        <f>I940</f>
        <v>504</v>
      </c>
      <c r="AS940" s="554"/>
      <c r="AT940" s="554"/>
      <c r="AU940" s="554">
        <f>I940</f>
        <v>504</v>
      </c>
      <c r="AV940" s="554"/>
      <c r="AW940" s="554">
        <f>I940</f>
        <v>504</v>
      </c>
      <c r="AX940" s="714"/>
      <c r="AY940" s="554"/>
      <c r="AZ940" s="554"/>
      <c r="BA940" s="554"/>
      <c r="BB940" s="554"/>
      <c r="BC940" s="554"/>
      <c r="BD940" s="554"/>
      <c r="BE940" s="554"/>
      <c r="BF940" s="554"/>
      <c r="BG940" s="554"/>
      <c r="BH940" s="554"/>
      <c r="BI940" s="554"/>
      <c r="BJ940" s="554"/>
      <c r="BK940" s="554"/>
      <c r="BL940" s="554"/>
      <c r="BM940" s="554"/>
      <c r="BN940" s="554"/>
      <c r="BO940" s="554"/>
      <c r="BP940" s="554"/>
      <c r="BQ940" s="554"/>
      <c r="BR940" s="554"/>
      <c r="BS940" s="554"/>
      <c r="BT940" s="554"/>
      <c r="BU940" s="554"/>
      <c r="BV940" s="554"/>
      <c r="BW940" s="554"/>
      <c r="BX940" s="554"/>
      <c r="BY940" s="554"/>
      <c r="BZ940" s="554"/>
      <c r="CA940" s="554"/>
      <c r="CB940" s="554"/>
      <c r="CC940" s="554"/>
      <c r="CD940" s="554"/>
      <c r="CE940" s="554"/>
      <c r="CF940" s="554"/>
      <c r="CG940" s="554"/>
      <c r="CH940" s="619"/>
      <c r="CI940" s="619"/>
      <c r="CJ940" s="619"/>
      <c r="CK940" s="619"/>
      <c r="CL940" s="619"/>
      <c r="CM940" s="554"/>
      <c r="CN940" s="554"/>
      <c r="CO940" s="554"/>
      <c r="CP940" s="619"/>
      <c r="CQ940" s="619"/>
      <c r="CR940" s="619"/>
      <c r="CS940" s="619"/>
      <c r="CT940" s="619"/>
      <c r="CU940" s="619"/>
    </row>
    <row r="941" s="1265" customFormat="1" ht="31" customHeight="1" spans="1:99">
      <c r="A941" s="608">
        <v>46109</v>
      </c>
      <c r="B941" s="609"/>
      <c r="C941" s="610"/>
      <c r="D941" s="554" t="s">
        <v>3547</v>
      </c>
      <c r="E941" s="610"/>
      <c r="F941" s="554" t="s">
        <v>3548</v>
      </c>
      <c r="G941" s="610" t="s">
        <v>68</v>
      </c>
      <c r="H941" s="633" t="s">
        <v>69</v>
      </c>
      <c r="I941" s="715">
        <v>180</v>
      </c>
      <c r="J941" s="610">
        <v>0</v>
      </c>
      <c r="K941" s="610">
        <v>12</v>
      </c>
      <c r="L941" s="611">
        <f t="shared" si="312"/>
        <v>15</v>
      </c>
      <c r="M941" s="612">
        <v>46132</v>
      </c>
      <c r="N941" s="612">
        <v>46128</v>
      </c>
      <c r="O941" s="613"/>
      <c r="P941" s="824" t="s">
        <v>113</v>
      </c>
      <c r="Q941" s="614"/>
      <c r="R941" s="614">
        <v>46109</v>
      </c>
      <c r="S941" s="614" t="s">
        <v>70</v>
      </c>
      <c r="T941" s="614" t="s">
        <v>70</v>
      </c>
      <c r="U941" s="614"/>
      <c r="V941" s="614"/>
      <c r="W941" s="609" t="s">
        <v>3549</v>
      </c>
      <c r="X941" s="609" t="s">
        <v>3243</v>
      </c>
      <c r="Y941" s="616"/>
      <c r="Z941" s="625"/>
      <c r="AA941" s="616"/>
      <c r="AB941" s="554"/>
      <c r="AC941" s="617"/>
      <c r="AD941" s="610" t="s">
        <v>68</v>
      </c>
      <c r="AE941" s="610" t="s">
        <v>82</v>
      </c>
      <c r="AF941" s="610"/>
      <c r="AG941" s="610"/>
      <c r="AH941" s="610">
        <v>1</v>
      </c>
      <c r="AI941" s="610">
        <v>180</v>
      </c>
      <c r="AJ941" s="610">
        <f t="shared" si="317"/>
        <v>0</v>
      </c>
      <c r="AK941" s="610"/>
      <c r="AL941" s="610"/>
      <c r="AM941" s="554"/>
      <c r="AN941" s="554">
        <f>I941</f>
        <v>180</v>
      </c>
      <c r="AO941" s="554"/>
      <c r="AP941" s="554"/>
      <c r="AQ941" s="554"/>
      <c r="AR941" s="554">
        <f>I941</f>
        <v>180</v>
      </c>
      <c r="AS941" s="554"/>
      <c r="AT941" s="554"/>
      <c r="AU941" s="554">
        <f>I941</f>
        <v>180</v>
      </c>
      <c r="AV941" s="554"/>
      <c r="AW941" s="554">
        <f>I941</f>
        <v>180</v>
      </c>
      <c r="AX941" s="714"/>
      <c r="AY941" s="554"/>
      <c r="AZ941" s="554"/>
      <c r="BA941" s="554"/>
      <c r="BB941" s="554"/>
      <c r="BC941" s="554"/>
      <c r="BD941" s="554"/>
      <c r="BE941" s="554"/>
      <c r="BF941" s="554"/>
      <c r="BG941" s="554"/>
      <c r="BH941" s="554"/>
      <c r="BI941" s="554"/>
      <c r="BJ941" s="554"/>
      <c r="BK941" s="554"/>
      <c r="BL941" s="554"/>
      <c r="BM941" s="554"/>
      <c r="BN941" s="554"/>
      <c r="BO941" s="554"/>
      <c r="BP941" s="554"/>
      <c r="BQ941" s="554"/>
      <c r="BR941" s="554"/>
      <c r="BS941" s="554"/>
      <c r="BT941" s="554"/>
      <c r="BU941" s="554"/>
      <c r="BV941" s="554"/>
      <c r="BW941" s="554"/>
      <c r="BX941" s="554"/>
      <c r="BY941" s="554"/>
      <c r="BZ941" s="554"/>
      <c r="CA941" s="554"/>
      <c r="CB941" s="554"/>
      <c r="CC941" s="554"/>
      <c r="CD941" s="554"/>
      <c r="CE941" s="554"/>
      <c r="CF941" s="554"/>
      <c r="CG941" s="554"/>
      <c r="CH941" s="619"/>
      <c r="CI941" s="619"/>
      <c r="CJ941" s="619"/>
      <c r="CK941" s="619"/>
      <c r="CL941" s="619"/>
      <c r="CM941" s="554"/>
      <c r="CN941" s="554"/>
      <c r="CO941" s="554"/>
      <c r="CP941" s="619"/>
      <c r="CQ941" s="619"/>
      <c r="CR941" s="619"/>
      <c r="CS941" s="619"/>
      <c r="CT941" s="619"/>
      <c r="CU941" s="619"/>
    </row>
    <row r="942" s="1265" customFormat="1" ht="31" customHeight="1" spans="1:99">
      <c r="A942" s="608">
        <v>45978</v>
      </c>
      <c r="B942" s="609" t="s">
        <v>1492</v>
      </c>
      <c r="C942" s="610" t="s">
        <v>98</v>
      </c>
      <c r="D942" s="554">
        <v>4500185949</v>
      </c>
      <c r="E942" s="1420" t="s">
        <v>3550</v>
      </c>
      <c r="F942" s="554" t="s">
        <v>3551</v>
      </c>
      <c r="G942" s="623" t="s">
        <v>2666</v>
      </c>
      <c r="H942" s="610" t="s">
        <v>830</v>
      </c>
      <c r="I942" s="610">
        <v>5400</v>
      </c>
      <c r="J942" s="610">
        <v>0</v>
      </c>
      <c r="K942" s="610">
        <v>75</v>
      </c>
      <c r="L942" s="611">
        <f t="shared" si="312"/>
        <v>72</v>
      </c>
      <c r="M942" s="724">
        <v>46108</v>
      </c>
      <c r="N942" s="724">
        <v>46104</v>
      </c>
      <c r="O942" s="613"/>
      <c r="P942" s="824" t="s">
        <v>113</v>
      </c>
      <c r="Q942" s="614"/>
      <c r="R942" s="614" t="s">
        <v>2667</v>
      </c>
      <c r="S942" s="614" t="s">
        <v>70</v>
      </c>
      <c r="T942" s="614" t="s">
        <v>70</v>
      </c>
      <c r="U942" s="614"/>
      <c r="V942" s="614"/>
      <c r="W942" s="609"/>
      <c r="X942" s="609" t="s">
        <v>2826</v>
      </c>
      <c r="Y942" s="616" t="s">
        <v>911</v>
      </c>
      <c r="Z942" s="625">
        <v>359.3436</v>
      </c>
      <c r="AA942" s="616">
        <v>25872.7392</v>
      </c>
      <c r="AB942" s="554"/>
      <c r="AC942" s="629" t="s">
        <v>3552</v>
      </c>
      <c r="AD942" s="610" t="s">
        <v>1498</v>
      </c>
      <c r="AE942" s="610" t="s">
        <v>82</v>
      </c>
      <c r="AF942" s="610"/>
      <c r="AG942" s="610"/>
      <c r="AH942" s="610">
        <v>1</v>
      </c>
      <c r="AI942" s="610"/>
      <c r="AJ942" s="613">
        <f t="shared" si="317"/>
        <v>-5400</v>
      </c>
      <c r="AK942" s="610"/>
      <c r="AL942" s="610"/>
      <c r="AM942" s="554"/>
      <c r="AN942" s="554"/>
      <c r="AO942" s="554">
        <f>I942</f>
        <v>5400</v>
      </c>
      <c r="AP942" s="554"/>
      <c r="AQ942" s="554"/>
      <c r="AR942" s="554"/>
      <c r="AS942" s="554"/>
      <c r="AT942" s="554"/>
      <c r="AU942" s="554"/>
      <c r="AV942" s="554"/>
      <c r="AW942" s="554"/>
      <c r="AX942" s="714"/>
      <c r="AY942" s="554"/>
      <c r="AZ942" s="554"/>
      <c r="BA942" s="554">
        <f>I942</f>
        <v>5400</v>
      </c>
      <c r="BB942" s="554">
        <f>I942</f>
        <v>5400</v>
      </c>
      <c r="BC942" s="554">
        <f>I942</f>
        <v>5400</v>
      </c>
      <c r="BD942" s="554"/>
      <c r="BE942" s="554"/>
      <c r="BF942" s="554"/>
      <c r="BG942" s="554"/>
      <c r="BH942" s="554"/>
      <c r="BI942" s="554"/>
      <c r="BJ942" s="554"/>
      <c r="BK942" s="554">
        <f>I942</f>
        <v>5400</v>
      </c>
      <c r="BL942" s="554">
        <f>I942/5</f>
        <v>1080</v>
      </c>
      <c r="BM942" s="554"/>
      <c r="BN942" s="554"/>
      <c r="BO942" s="554"/>
      <c r="BP942" s="554"/>
      <c r="BQ942" s="554"/>
      <c r="BR942" s="554"/>
      <c r="BS942" s="554"/>
      <c r="BT942" s="554"/>
      <c r="BU942" s="554"/>
      <c r="BV942" s="554"/>
      <c r="BW942" s="554"/>
      <c r="BX942" s="554"/>
      <c r="BY942" s="554"/>
      <c r="BZ942" s="554"/>
      <c r="CA942" s="554"/>
      <c r="CB942" s="554"/>
      <c r="CC942" s="554"/>
      <c r="CD942" s="554"/>
      <c r="CE942" s="554"/>
      <c r="CF942" s="554"/>
      <c r="CG942" s="554"/>
      <c r="CH942" s="619"/>
      <c r="CI942" s="619"/>
      <c r="CJ942" s="619"/>
      <c r="CK942" s="619"/>
      <c r="CL942" s="619"/>
      <c r="CM942" s="554"/>
      <c r="CN942" s="554"/>
      <c r="CO942" s="554"/>
      <c r="CP942" s="619"/>
      <c r="CQ942" s="619"/>
      <c r="CR942" s="619"/>
      <c r="CS942" s="619"/>
      <c r="CT942" s="619"/>
      <c r="CU942" s="619"/>
    </row>
    <row r="943" s="1265" customFormat="1" ht="31" customHeight="1" spans="1:99">
      <c r="A943" s="608">
        <v>45978</v>
      </c>
      <c r="B943" s="609" t="s">
        <v>1492</v>
      </c>
      <c r="C943" s="610" t="s">
        <v>98</v>
      </c>
      <c r="D943" s="554">
        <v>4500185956</v>
      </c>
      <c r="E943" s="1420" t="s">
        <v>3553</v>
      </c>
      <c r="F943" s="554" t="s">
        <v>3554</v>
      </c>
      <c r="G943" s="623" t="s">
        <v>2666</v>
      </c>
      <c r="H943" s="610" t="s">
        <v>830</v>
      </c>
      <c r="I943" s="610">
        <v>5400</v>
      </c>
      <c r="J943" s="610">
        <v>0</v>
      </c>
      <c r="K943" s="610">
        <v>75</v>
      </c>
      <c r="L943" s="611">
        <f t="shared" si="312"/>
        <v>72</v>
      </c>
      <c r="M943" s="724">
        <v>46108</v>
      </c>
      <c r="N943" s="724">
        <v>46104</v>
      </c>
      <c r="O943" s="613"/>
      <c r="P943" s="824" t="s">
        <v>113</v>
      </c>
      <c r="Q943" s="614"/>
      <c r="R943" s="614" t="s">
        <v>2667</v>
      </c>
      <c r="S943" s="614" t="s">
        <v>70</v>
      </c>
      <c r="T943" s="614" t="s">
        <v>70</v>
      </c>
      <c r="U943" s="614"/>
      <c r="V943" s="614"/>
      <c r="W943" s="609"/>
      <c r="X943" s="609" t="s">
        <v>2826</v>
      </c>
      <c r="Y943" s="616" t="s">
        <v>911</v>
      </c>
      <c r="Z943" s="625">
        <v>359.3436</v>
      </c>
      <c r="AA943" s="616">
        <v>25872.7392</v>
      </c>
      <c r="AB943" s="554"/>
      <c r="AC943" s="629" t="s">
        <v>3555</v>
      </c>
      <c r="AD943" s="610" t="s">
        <v>1498</v>
      </c>
      <c r="AE943" s="610" t="s">
        <v>82</v>
      </c>
      <c r="AF943" s="610"/>
      <c r="AG943" s="610"/>
      <c r="AH943" s="610">
        <v>1</v>
      </c>
      <c r="AI943" s="610"/>
      <c r="AJ943" s="613">
        <f t="shared" si="317"/>
        <v>-5400</v>
      </c>
      <c r="AK943" s="610"/>
      <c r="AL943" s="610"/>
      <c r="AM943" s="554"/>
      <c r="AN943" s="554"/>
      <c r="AO943" s="554">
        <f>I943</f>
        <v>5400</v>
      </c>
      <c r="AP943" s="554"/>
      <c r="AQ943" s="554"/>
      <c r="AR943" s="554"/>
      <c r="AS943" s="554"/>
      <c r="AT943" s="554"/>
      <c r="AU943" s="554"/>
      <c r="AV943" s="554"/>
      <c r="AW943" s="554"/>
      <c r="AX943" s="714"/>
      <c r="AY943" s="554"/>
      <c r="AZ943" s="554"/>
      <c r="BA943" s="554">
        <f>I943</f>
        <v>5400</v>
      </c>
      <c r="BB943" s="554">
        <f>I943</f>
        <v>5400</v>
      </c>
      <c r="BC943" s="554">
        <f>I943</f>
        <v>5400</v>
      </c>
      <c r="BD943" s="554"/>
      <c r="BE943" s="554"/>
      <c r="BF943" s="554"/>
      <c r="BG943" s="554"/>
      <c r="BH943" s="554"/>
      <c r="BI943" s="554"/>
      <c r="BJ943" s="554"/>
      <c r="BK943" s="554">
        <f>I943</f>
        <v>5400</v>
      </c>
      <c r="BL943" s="554">
        <f>I943/5</f>
        <v>1080</v>
      </c>
      <c r="BM943" s="554"/>
      <c r="BN943" s="554"/>
      <c r="BO943" s="554"/>
      <c r="BP943" s="554"/>
      <c r="BQ943" s="554"/>
      <c r="BR943" s="554"/>
      <c r="BS943" s="554"/>
      <c r="BT943" s="554"/>
      <c r="BU943" s="554"/>
      <c r="BV943" s="554"/>
      <c r="BW943" s="554"/>
      <c r="BX943" s="554"/>
      <c r="BY943" s="554"/>
      <c r="BZ943" s="554"/>
      <c r="CA943" s="554"/>
      <c r="CB943" s="554"/>
      <c r="CC943" s="554"/>
      <c r="CD943" s="554"/>
      <c r="CE943" s="554"/>
      <c r="CF943" s="554"/>
      <c r="CG943" s="554"/>
      <c r="CH943" s="619"/>
      <c r="CI943" s="619"/>
      <c r="CJ943" s="619"/>
      <c r="CK943" s="619"/>
      <c r="CL943" s="619"/>
      <c r="CM943" s="554"/>
      <c r="CN943" s="554"/>
      <c r="CO943" s="554"/>
      <c r="CP943" s="619"/>
      <c r="CQ943" s="619"/>
      <c r="CR943" s="619"/>
      <c r="CS943" s="619"/>
      <c r="CT943" s="619"/>
      <c r="CU943" s="619"/>
    </row>
    <row r="944" s="1265" customFormat="1" ht="31" customHeight="1" spans="1:99">
      <c r="A944" s="608">
        <v>46079</v>
      </c>
      <c r="B944" s="609" t="s">
        <v>325</v>
      </c>
      <c r="C944" s="610" t="s">
        <v>98</v>
      </c>
      <c r="D944" s="554">
        <v>4500194297</v>
      </c>
      <c r="E944" s="610" t="s">
        <v>3556</v>
      </c>
      <c r="F944" s="554" t="s">
        <v>3557</v>
      </c>
      <c r="G944" s="623" t="s">
        <v>249</v>
      </c>
      <c r="H944" s="610" t="s">
        <v>250</v>
      </c>
      <c r="I944" s="715">
        <v>4660</v>
      </c>
      <c r="J944" s="610">
        <v>0</v>
      </c>
      <c r="K944" s="610">
        <v>4</v>
      </c>
      <c r="L944" s="611">
        <f t="shared" ref="L944:L951" si="318">I944/K944</f>
        <v>1165</v>
      </c>
      <c r="M944" s="612">
        <v>46132</v>
      </c>
      <c r="N944" s="612">
        <v>46128</v>
      </c>
      <c r="O944" s="613"/>
      <c r="P944" s="824" t="s">
        <v>113</v>
      </c>
      <c r="Q944" s="730" t="s">
        <v>3558</v>
      </c>
      <c r="R944" s="614" t="s">
        <v>3559</v>
      </c>
      <c r="S944" s="614" t="s">
        <v>104</v>
      </c>
      <c r="T944" s="614" t="s">
        <v>3560</v>
      </c>
      <c r="U944" s="614"/>
      <c r="V944" s="614"/>
      <c r="W944" s="609"/>
      <c r="X944" s="609" t="s">
        <v>3561</v>
      </c>
      <c r="Y944" s="609" t="s">
        <v>252</v>
      </c>
      <c r="Z944" s="625">
        <v>2.8063</v>
      </c>
      <c r="AA944" s="616">
        <f t="shared" ref="AA944:AA951" si="319">Z944*I944</f>
        <v>13077.358</v>
      </c>
      <c r="AB944" s="554"/>
      <c r="AC944" s="629" t="s">
        <v>3562</v>
      </c>
      <c r="AD944" s="610" t="s">
        <v>249</v>
      </c>
      <c r="AE944" s="610" t="s">
        <v>82</v>
      </c>
      <c r="AF944" s="610"/>
      <c r="AG944" s="610"/>
      <c r="AH944" s="610">
        <v>1</v>
      </c>
      <c r="AI944" s="610">
        <v>4660</v>
      </c>
      <c r="AJ944" s="610">
        <f t="shared" si="317"/>
        <v>0</v>
      </c>
      <c r="AK944" s="610"/>
      <c r="AL944" s="610" t="s">
        <v>2368</v>
      </c>
      <c r="AM944" s="554"/>
      <c r="AN944" s="554"/>
      <c r="AO944" s="554"/>
      <c r="AP944" s="554">
        <f>I944</f>
        <v>4660</v>
      </c>
      <c r="AQ944" s="554"/>
      <c r="AR944" s="554"/>
      <c r="AS944" s="554"/>
      <c r="AT944" s="554"/>
      <c r="AU944" s="554"/>
      <c r="AV944" s="554"/>
      <c r="AW944" s="554">
        <f t="shared" ref="AW944:AW951" si="320">I944</f>
        <v>4660</v>
      </c>
      <c r="AX944" s="714"/>
      <c r="AY944" s="554"/>
      <c r="AZ944" s="554"/>
      <c r="BA944" s="554"/>
      <c r="BB944" s="554"/>
      <c r="BC944" s="554"/>
      <c r="BD944" s="554"/>
      <c r="BE944" s="554"/>
      <c r="BF944" s="554">
        <f>I944</f>
        <v>4660</v>
      </c>
      <c r="BG944" s="554">
        <f>I944</f>
        <v>4660</v>
      </c>
      <c r="BH944" s="825">
        <f>I944/4</f>
        <v>1165</v>
      </c>
      <c r="BI944" s="554"/>
      <c r="BJ944" s="554"/>
      <c r="BK944" s="554"/>
      <c r="BL944" s="554"/>
      <c r="BM944" s="554"/>
      <c r="BN944" s="554"/>
      <c r="BO944" s="554"/>
      <c r="BP944" s="554"/>
      <c r="BQ944" s="554"/>
      <c r="BR944" s="554"/>
      <c r="BS944" s="554"/>
      <c r="BT944" s="554"/>
      <c r="BU944" s="554"/>
      <c r="BV944" s="554"/>
      <c r="BW944" s="554"/>
      <c r="BX944" s="554"/>
      <c r="BY944" s="554"/>
      <c r="BZ944" s="554"/>
      <c r="CA944" s="554"/>
      <c r="CB944" s="554"/>
      <c r="CC944" s="554"/>
      <c r="CD944" s="554"/>
      <c r="CE944" s="554"/>
      <c r="CF944" s="554"/>
      <c r="CG944" s="554"/>
      <c r="CH944" s="619"/>
      <c r="CI944" s="619"/>
      <c r="CJ944" s="619"/>
      <c r="CK944" s="619"/>
      <c r="CL944" s="619"/>
      <c r="CM944" s="554"/>
      <c r="CN944" s="554"/>
      <c r="CO944" s="554"/>
      <c r="CP944" s="619"/>
      <c r="CQ944" s="619"/>
      <c r="CR944" s="619"/>
      <c r="CS944" s="619"/>
      <c r="CT944" s="619"/>
      <c r="CU944" s="619"/>
    </row>
    <row r="945" s="1265" customFormat="1" ht="31" customHeight="1" spans="1:99">
      <c r="A945" s="608">
        <v>46086</v>
      </c>
      <c r="B945" s="609" t="s">
        <v>120</v>
      </c>
      <c r="C945" s="610" t="s">
        <v>98</v>
      </c>
      <c r="D945" s="554">
        <v>4500195402</v>
      </c>
      <c r="E945" s="610">
        <v>5200009175</v>
      </c>
      <c r="F945" s="554" t="s">
        <v>3563</v>
      </c>
      <c r="G945" s="623" t="s">
        <v>123</v>
      </c>
      <c r="H945" s="633" t="s">
        <v>69</v>
      </c>
      <c r="I945" s="731">
        <v>4992</v>
      </c>
      <c r="J945" s="610">
        <v>0</v>
      </c>
      <c r="K945" s="610">
        <v>12</v>
      </c>
      <c r="L945" s="611">
        <f t="shared" si="318"/>
        <v>416</v>
      </c>
      <c r="M945" s="612">
        <v>46132</v>
      </c>
      <c r="N945" s="612">
        <v>46128</v>
      </c>
      <c r="O945" s="613"/>
      <c r="P945" s="824" t="s">
        <v>113</v>
      </c>
      <c r="Q945" s="614" t="s">
        <v>3564</v>
      </c>
      <c r="R945" s="614">
        <v>46086</v>
      </c>
      <c r="S945" s="614" t="s">
        <v>70</v>
      </c>
      <c r="T945" s="614" t="s">
        <v>70</v>
      </c>
      <c r="U945" s="614"/>
      <c r="V945" s="614"/>
      <c r="W945" s="609"/>
      <c r="X945" s="609" t="s">
        <v>3565</v>
      </c>
      <c r="Y945" s="616" t="s">
        <v>125</v>
      </c>
      <c r="Z945" s="625">
        <v>2.5238</v>
      </c>
      <c r="AA945" s="616">
        <f t="shared" si="319"/>
        <v>12598.8096</v>
      </c>
      <c r="AB945" s="554"/>
      <c r="AC945" s="629" t="s">
        <v>3566</v>
      </c>
      <c r="AD945" s="610" t="s">
        <v>68</v>
      </c>
      <c r="AE945" s="610" t="s">
        <v>82</v>
      </c>
      <c r="AF945" s="610"/>
      <c r="AG945" s="610"/>
      <c r="AH945" s="610">
        <v>1</v>
      </c>
      <c r="AI945" s="610">
        <v>4992</v>
      </c>
      <c r="AJ945" s="613">
        <f t="shared" si="317"/>
        <v>0</v>
      </c>
      <c r="AK945" s="610"/>
      <c r="AL945" s="610"/>
      <c r="AM945" s="554"/>
      <c r="AN945" s="554">
        <f>I945</f>
        <v>4992</v>
      </c>
      <c r="AO945" s="554"/>
      <c r="AP945" s="554"/>
      <c r="AQ945" s="554"/>
      <c r="AR945" s="554">
        <f>I945</f>
        <v>4992</v>
      </c>
      <c r="AS945" s="554"/>
      <c r="AT945" s="554"/>
      <c r="AU945" s="554">
        <f t="shared" ref="AU945:AU951" si="321">I945</f>
        <v>4992</v>
      </c>
      <c r="AV945" s="554"/>
      <c r="AW945" s="554">
        <f t="shared" si="320"/>
        <v>4992</v>
      </c>
      <c r="AX945" s="714"/>
      <c r="AY945" s="554"/>
      <c r="AZ945" s="554"/>
      <c r="BA945" s="554"/>
      <c r="BB945" s="554"/>
      <c r="BC945" s="554"/>
      <c r="BD945" s="554"/>
      <c r="BE945" s="554"/>
      <c r="BF945" s="554"/>
      <c r="BG945" s="554"/>
      <c r="BH945" s="554"/>
      <c r="BI945" s="554"/>
      <c r="BJ945" s="554"/>
      <c r="BK945" s="554"/>
      <c r="BL945" s="554"/>
      <c r="BM945" s="554"/>
      <c r="BN945" s="554"/>
      <c r="BO945" s="554"/>
      <c r="BP945" s="554"/>
      <c r="BQ945" s="554"/>
      <c r="BR945" s="554"/>
      <c r="BS945" s="554"/>
      <c r="BT945" s="554"/>
      <c r="BU945" s="554"/>
      <c r="BV945" s="554"/>
      <c r="BW945" s="554"/>
      <c r="BX945" s="554"/>
      <c r="BY945" s="554"/>
      <c r="BZ945" s="554"/>
      <c r="CA945" s="554"/>
      <c r="CB945" s="554"/>
      <c r="CC945" s="554"/>
      <c r="CD945" s="554"/>
      <c r="CE945" s="554"/>
      <c r="CF945" s="554"/>
      <c r="CG945" s="554"/>
      <c r="CH945" s="619"/>
      <c r="CI945" s="619"/>
      <c r="CJ945" s="619"/>
      <c r="CK945" s="619"/>
      <c r="CL945" s="619"/>
      <c r="CM945" s="554"/>
      <c r="CN945" s="554"/>
      <c r="CO945" s="554"/>
      <c r="CP945" s="619"/>
      <c r="CQ945" s="619"/>
      <c r="CR945" s="619"/>
      <c r="CS945" s="619"/>
      <c r="CT945" s="619"/>
      <c r="CU945" s="619"/>
    </row>
    <row r="946" s="1265" customFormat="1" ht="31" customHeight="1" spans="1:99">
      <c r="A946" s="608">
        <v>46092</v>
      </c>
      <c r="B946" s="609" t="s">
        <v>2285</v>
      </c>
      <c r="C946" s="610" t="s">
        <v>335</v>
      </c>
      <c r="D946" s="554">
        <v>4500196056</v>
      </c>
      <c r="E946" s="610" t="s">
        <v>3567</v>
      </c>
      <c r="F946" s="554" t="s">
        <v>3568</v>
      </c>
      <c r="G946" s="623" t="s">
        <v>68</v>
      </c>
      <c r="H946" s="633" t="s">
        <v>69</v>
      </c>
      <c r="I946" s="715">
        <v>720</v>
      </c>
      <c r="J946" s="610">
        <v>0</v>
      </c>
      <c r="K946" s="610">
        <v>12</v>
      </c>
      <c r="L946" s="611">
        <f t="shared" si="318"/>
        <v>60</v>
      </c>
      <c r="M946" s="612">
        <v>46132</v>
      </c>
      <c r="N946" s="612">
        <v>46128</v>
      </c>
      <c r="O946" s="613"/>
      <c r="P946" s="824" t="s">
        <v>113</v>
      </c>
      <c r="Q946" s="614"/>
      <c r="R946" s="614">
        <v>46099</v>
      </c>
      <c r="S946" s="614" t="s">
        <v>70</v>
      </c>
      <c r="T946" s="614" t="s">
        <v>3569</v>
      </c>
      <c r="U946" s="614"/>
      <c r="V946" s="614"/>
      <c r="W946" s="609"/>
      <c r="X946" s="609" t="s">
        <v>3570</v>
      </c>
      <c r="Y946" s="616" t="s">
        <v>3571</v>
      </c>
      <c r="Z946" s="625">
        <v>4.2622</v>
      </c>
      <c r="AA946" s="616">
        <f t="shared" si="319"/>
        <v>3068.784</v>
      </c>
      <c r="AB946" s="554"/>
      <c r="AC946" s="617"/>
      <c r="AD946" s="610" t="s">
        <v>184</v>
      </c>
      <c r="AE946" s="610" t="s">
        <v>82</v>
      </c>
      <c r="AF946" s="610"/>
      <c r="AG946" s="610"/>
      <c r="AH946" s="610">
        <v>1</v>
      </c>
      <c r="AI946" s="610">
        <v>720</v>
      </c>
      <c r="AJ946" s="610">
        <f t="shared" ref="AJ942:AJ951" si="322">AI946-I946</f>
        <v>0</v>
      </c>
      <c r="AK946" s="610"/>
      <c r="AL946" s="610" t="s">
        <v>2368</v>
      </c>
      <c r="AM946" s="554"/>
      <c r="AN946" s="554">
        <f t="shared" ref="AN942:AN951" si="323">I946</f>
        <v>720</v>
      </c>
      <c r="AO946" s="554"/>
      <c r="AP946" s="554"/>
      <c r="AQ946" s="554"/>
      <c r="AR946" s="554"/>
      <c r="AS946" s="554">
        <f t="shared" ref="AS946:AS951" si="324">I946</f>
        <v>720</v>
      </c>
      <c r="AT946" s="554"/>
      <c r="AU946" s="554">
        <f t="shared" si="321"/>
        <v>720</v>
      </c>
      <c r="AV946" s="554"/>
      <c r="AW946" s="554">
        <f t="shared" si="320"/>
        <v>720</v>
      </c>
      <c r="AX946" s="714"/>
      <c r="AY946" s="554"/>
      <c r="AZ946" s="554"/>
      <c r="BA946" s="554"/>
      <c r="BB946" s="554"/>
      <c r="BC946" s="554"/>
      <c r="BD946" s="554"/>
      <c r="BE946" s="554"/>
      <c r="BF946" s="554"/>
      <c r="BG946" s="554"/>
      <c r="BH946" s="554"/>
      <c r="BI946" s="554"/>
      <c r="BJ946" s="554"/>
      <c r="BK946" s="554"/>
      <c r="BL946" s="554"/>
      <c r="BM946" s="554"/>
      <c r="BN946" s="554"/>
      <c r="BO946" s="554"/>
      <c r="BP946" s="554"/>
      <c r="BQ946" s="554"/>
      <c r="BR946" s="554"/>
      <c r="BS946" s="554"/>
      <c r="BT946" s="554"/>
      <c r="BU946" s="554"/>
      <c r="BV946" s="554"/>
      <c r="BW946" s="554"/>
      <c r="BX946" s="554"/>
      <c r="BY946" s="554"/>
      <c r="BZ946" s="554"/>
      <c r="CA946" s="554"/>
      <c r="CB946" s="554"/>
      <c r="CC946" s="554"/>
      <c r="CD946" s="554"/>
      <c r="CE946" s="554"/>
      <c r="CF946" s="554"/>
      <c r="CG946" s="554"/>
      <c r="CH946" s="619"/>
      <c r="CI946" s="619"/>
      <c r="CJ946" s="619"/>
      <c r="CK946" s="619"/>
      <c r="CL946" s="619"/>
      <c r="CM946" s="554"/>
      <c r="CN946" s="554"/>
      <c r="CO946" s="554"/>
      <c r="CP946" s="619"/>
      <c r="CQ946" s="619"/>
      <c r="CR946" s="619"/>
      <c r="CS946" s="619"/>
      <c r="CT946" s="619"/>
      <c r="CU946" s="619"/>
    </row>
    <row r="947" s="1265" customFormat="1" ht="31" customHeight="1" spans="1:99">
      <c r="A947" s="608">
        <v>46092</v>
      </c>
      <c r="B947" s="609" t="s">
        <v>1249</v>
      </c>
      <c r="C947" s="610" t="s">
        <v>1250</v>
      </c>
      <c r="D947" s="554">
        <v>4500196119</v>
      </c>
      <c r="E947" s="610" t="s">
        <v>3572</v>
      </c>
      <c r="F947" s="554" t="s">
        <v>3573</v>
      </c>
      <c r="G947" s="623" t="s">
        <v>68</v>
      </c>
      <c r="H947" s="633" t="s">
        <v>69</v>
      </c>
      <c r="I947" s="715">
        <v>600</v>
      </c>
      <c r="J947" s="610">
        <v>0</v>
      </c>
      <c r="K947" s="610">
        <v>12</v>
      </c>
      <c r="L947" s="611">
        <f t="shared" si="318"/>
        <v>50</v>
      </c>
      <c r="M947" s="612">
        <v>46132</v>
      </c>
      <c r="N947" s="612">
        <v>46128</v>
      </c>
      <c r="O947" s="613"/>
      <c r="P947" s="824" t="s">
        <v>113</v>
      </c>
      <c r="Q947" s="614"/>
      <c r="R947" s="614">
        <v>46104</v>
      </c>
      <c r="S947" s="614" t="s">
        <v>70</v>
      </c>
      <c r="T947" s="614" t="s">
        <v>3569</v>
      </c>
      <c r="U947" s="614"/>
      <c r="V947" s="614"/>
      <c r="W947" s="609"/>
      <c r="X947" s="609" t="s">
        <v>3570</v>
      </c>
      <c r="Y947" s="616" t="s">
        <v>3571</v>
      </c>
      <c r="Z947" s="625">
        <v>4.2622</v>
      </c>
      <c r="AA947" s="616">
        <f t="shared" si="319"/>
        <v>2557.32</v>
      </c>
      <c r="AB947" s="554"/>
      <c r="AC947" s="617"/>
      <c r="AD947" s="610" t="s">
        <v>184</v>
      </c>
      <c r="AE947" s="610" t="s">
        <v>82</v>
      </c>
      <c r="AF947" s="610"/>
      <c r="AG947" s="610"/>
      <c r="AH947" s="610">
        <v>1</v>
      </c>
      <c r="AI947" s="610">
        <v>600</v>
      </c>
      <c r="AJ947" s="610">
        <f t="shared" si="322"/>
        <v>0</v>
      </c>
      <c r="AK947" s="610"/>
      <c r="AL947" s="610" t="s">
        <v>2368</v>
      </c>
      <c r="AM947" s="554"/>
      <c r="AN947" s="554">
        <f t="shared" si="323"/>
        <v>600</v>
      </c>
      <c r="AO947" s="554"/>
      <c r="AP947" s="554"/>
      <c r="AQ947" s="554"/>
      <c r="AR947" s="554"/>
      <c r="AS947" s="554">
        <f t="shared" si="324"/>
        <v>600</v>
      </c>
      <c r="AT947" s="554"/>
      <c r="AU947" s="554">
        <f t="shared" si="321"/>
        <v>600</v>
      </c>
      <c r="AV947" s="554"/>
      <c r="AW947" s="554">
        <f t="shared" si="320"/>
        <v>600</v>
      </c>
      <c r="AX947" s="714"/>
      <c r="AY947" s="554"/>
      <c r="AZ947" s="554"/>
      <c r="BA947" s="554"/>
      <c r="BB947" s="554"/>
      <c r="BC947" s="554"/>
      <c r="BD947" s="554"/>
      <c r="BE947" s="554"/>
      <c r="BF947" s="554"/>
      <c r="BG947" s="554"/>
      <c r="BH947" s="554"/>
      <c r="BI947" s="554"/>
      <c r="BJ947" s="554"/>
      <c r="BK947" s="554"/>
      <c r="BL947" s="554"/>
      <c r="BM947" s="554"/>
      <c r="BN947" s="554"/>
      <c r="BO947" s="554"/>
      <c r="BP947" s="554"/>
      <c r="BQ947" s="554"/>
      <c r="BR947" s="554"/>
      <c r="BS947" s="554"/>
      <c r="BT947" s="554"/>
      <c r="BU947" s="554"/>
      <c r="BV947" s="554"/>
      <c r="BW947" s="554"/>
      <c r="BX947" s="554"/>
      <c r="BY947" s="554"/>
      <c r="BZ947" s="554"/>
      <c r="CA947" s="554"/>
      <c r="CB947" s="554"/>
      <c r="CC947" s="554"/>
      <c r="CD947" s="554"/>
      <c r="CE947" s="554"/>
      <c r="CF947" s="554"/>
      <c r="CG947" s="554"/>
      <c r="CH947" s="619"/>
      <c r="CI947" s="619"/>
      <c r="CJ947" s="619"/>
      <c r="CK947" s="619"/>
      <c r="CL947" s="619"/>
      <c r="CM947" s="554"/>
      <c r="CN947" s="554"/>
      <c r="CO947" s="554"/>
      <c r="CP947" s="619"/>
      <c r="CQ947" s="619"/>
      <c r="CR947" s="619"/>
      <c r="CS947" s="619"/>
      <c r="CT947" s="619"/>
      <c r="CU947" s="619"/>
    </row>
    <row r="948" s="1265" customFormat="1" ht="31" customHeight="1" spans="1:99">
      <c r="A948" s="608">
        <v>46107</v>
      </c>
      <c r="B948" s="609" t="s">
        <v>1691</v>
      </c>
      <c r="C948" s="610" t="s">
        <v>1692</v>
      </c>
      <c r="D948" s="554">
        <v>4500198601</v>
      </c>
      <c r="E948" s="610"/>
      <c r="F948" s="554" t="s">
        <v>3574</v>
      </c>
      <c r="G948" s="623" t="s">
        <v>68</v>
      </c>
      <c r="H948" s="633" t="s">
        <v>69</v>
      </c>
      <c r="I948" s="715">
        <v>4800</v>
      </c>
      <c r="J948" s="610">
        <v>0</v>
      </c>
      <c r="K948" s="610">
        <v>12</v>
      </c>
      <c r="L948" s="611">
        <f t="shared" si="318"/>
        <v>400</v>
      </c>
      <c r="M948" s="612">
        <v>46134</v>
      </c>
      <c r="N948" s="612">
        <v>46130</v>
      </c>
      <c r="O948" s="613"/>
      <c r="P948" s="824" t="s">
        <v>113</v>
      </c>
      <c r="Q948" s="730" t="s">
        <v>3544</v>
      </c>
      <c r="R948" s="614">
        <v>46108</v>
      </c>
      <c r="S948" s="614" t="s">
        <v>70</v>
      </c>
      <c r="T948" s="614" t="s">
        <v>3575</v>
      </c>
      <c r="U948" s="614"/>
      <c r="V948" s="614"/>
      <c r="W948" s="609"/>
      <c r="X948" s="609" t="s">
        <v>3576</v>
      </c>
      <c r="Y948" s="616" t="s">
        <v>529</v>
      </c>
      <c r="Z948" s="1345">
        <v>4.2919</v>
      </c>
      <c r="AA948" s="616">
        <f t="shared" si="319"/>
        <v>20601.12</v>
      </c>
      <c r="AB948" s="554"/>
      <c r="AC948" s="617"/>
      <c r="AD948" s="610" t="s">
        <v>184</v>
      </c>
      <c r="AE948" s="610" t="s">
        <v>82</v>
      </c>
      <c r="AF948" s="610"/>
      <c r="AG948" s="610"/>
      <c r="AH948" s="610">
        <v>1</v>
      </c>
      <c r="AI948" s="610">
        <f>3096+1704</f>
        <v>4800</v>
      </c>
      <c r="AJ948" s="610">
        <f t="shared" si="322"/>
        <v>0</v>
      </c>
      <c r="AK948" s="610"/>
      <c r="AL948" s="610" t="s">
        <v>454</v>
      </c>
      <c r="AM948" s="554"/>
      <c r="AN948" s="554">
        <f t="shared" si="323"/>
        <v>4800</v>
      </c>
      <c r="AO948" s="554"/>
      <c r="AP948" s="554"/>
      <c r="AQ948" s="554"/>
      <c r="AR948" s="554"/>
      <c r="AS948" s="554">
        <f t="shared" si="324"/>
        <v>4800</v>
      </c>
      <c r="AT948" s="554"/>
      <c r="AU948" s="554">
        <f t="shared" si="321"/>
        <v>4800</v>
      </c>
      <c r="AV948" s="554"/>
      <c r="AW948" s="554">
        <f t="shared" si="320"/>
        <v>4800</v>
      </c>
      <c r="AX948" s="714"/>
      <c r="AY948" s="554"/>
      <c r="AZ948" s="554"/>
      <c r="BA948" s="554"/>
      <c r="BB948" s="554"/>
      <c r="BC948" s="554"/>
      <c r="BD948" s="554"/>
      <c r="BE948" s="554"/>
      <c r="BF948" s="554"/>
      <c r="BG948" s="554"/>
      <c r="BH948" s="554"/>
      <c r="BI948" s="554"/>
      <c r="BJ948" s="554"/>
      <c r="BK948" s="554"/>
      <c r="BL948" s="554"/>
      <c r="BM948" s="554"/>
      <c r="BN948" s="554"/>
      <c r="BO948" s="554"/>
      <c r="BP948" s="554"/>
      <c r="BQ948" s="554"/>
      <c r="BR948" s="554"/>
      <c r="BS948" s="554"/>
      <c r="BT948" s="554"/>
      <c r="BU948" s="554"/>
      <c r="BV948" s="554"/>
      <c r="BW948" s="554"/>
      <c r="BX948" s="554"/>
      <c r="BY948" s="554"/>
      <c r="BZ948" s="554"/>
      <c r="CA948" s="554"/>
      <c r="CB948" s="554"/>
      <c r="CC948" s="554"/>
      <c r="CD948" s="554"/>
      <c r="CE948" s="554"/>
      <c r="CF948" s="554"/>
      <c r="CG948" s="554"/>
      <c r="CH948" s="619"/>
      <c r="CI948" s="619"/>
      <c r="CJ948" s="619"/>
      <c r="CK948" s="619"/>
      <c r="CL948" s="619"/>
      <c r="CM948" s="554"/>
      <c r="CN948" s="554"/>
      <c r="CO948" s="554"/>
      <c r="CP948" s="619"/>
      <c r="CQ948" s="619"/>
      <c r="CR948" s="619"/>
      <c r="CS948" s="619"/>
      <c r="CT948" s="619"/>
      <c r="CU948" s="619"/>
    </row>
    <row r="949" s="1265" customFormat="1" ht="31" customHeight="1" spans="1:99">
      <c r="A949" s="608">
        <v>46097</v>
      </c>
      <c r="B949" s="609" t="s">
        <v>3577</v>
      </c>
      <c r="C949" s="610" t="s">
        <v>170</v>
      </c>
      <c r="D949" s="554">
        <v>4500197030</v>
      </c>
      <c r="E949" s="623" t="s">
        <v>3578</v>
      </c>
      <c r="F949" s="554" t="s">
        <v>3579</v>
      </c>
      <c r="G949" s="623" t="s">
        <v>172</v>
      </c>
      <c r="H949" s="610" t="s">
        <v>112</v>
      </c>
      <c r="I949" s="715">
        <v>2500</v>
      </c>
      <c r="J949" s="610">
        <v>0</v>
      </c>
      <c r="K949" s="610">
        <v>2</v>
      </c>
      <c r="L949" s="611">
        <f t="shared" si="318"/>
        <v>1250</v>
      </c>
      <c r="M949" s="612">
        <v>46134</v>
      </c>
      <c r="N949" s="612">
        <v>46130</v>
      </c>
      <c r="O949" s="723" t="s">
        <v>3368</v>
      </c>
      <c r="P949" s="824" t="s">
        <v>113</v>
      </c>
      <c r="Q949" s="614"/>
      <c r="R949" s="614" t="s">
        <v>3559</v>
      </c>
      <c r="S949" s="614" t="s">
        <v>70</v>
      </c>
      <c r="T949" s="614" t="s">
        <v>1980</v>
      </c>
      <c r="U949" s="614"/>
      <c r="V949" s="614"/>
      <c r="W949" s="609"/>
      <c r="X949" s="609" t="s">
        <v>3580</v>
      </c>
      <c r="Y949" s="616" t="s">
        <v>3581</v>
      </c>
      <c r="Z949" s="1345">
        <v>4.2745</v>
      </c>
      <c r="AA949" s="616">
        <f t="shared" si="319"/>
        <v>10686.25</v>
      </c>
      <c r="AB949" s="554"/>
      <c r="AC949" s="617"/>
      <c r="AD949" s="610" t="s">
        <v>172</v>
      </c>
      <c r="AE949" s="610" t="s">
        <v>82</v>
      </c>
      <c r="AF949" s="610"/>
      <c r="AG949" s="610"/>
      <c r="AH949" s="610">
        <v>1</v>
      </c>
      <c r="AI949" s="610">
        <f>2474+26</f>
        <v>2500</v>
      </c>
      <c r="AJ949" s="610">
        <f t="shared" si="322"/>
        <v>0</v>
      </c>
      <c r="AK949" s="610"/>
      <c r="AL949" s="610" t="s">
        <v>2368</v>
      </c>
      <c r="AM949" s="554"/>
      <c r="AN949" s="554">
        <f t="shared" si="323"/>
        <v>2500</v>
      </c>
      <c r="AO949" s="554"/>
      <c r="AP949" s="554"/>
      <c r="AQ949" s="554"/>
      <c r="AR949" s="554"/>
      <c r="AS949" s="554">
        <f t="shared" si="324"/>
        <v>2500</v>
      </c>
      <c r="AT949" s="554"/>
      <c r="AU949" s="554">
        <f t="shared" si="321"/>
        <v>2500</v>
      </c>
      <c r="AV949" s="554"/>
      <c r="AW949" s="554">
        <f t="shared" si="320"/>
        <v>2500</v>
      </c>
      <c r="AX949" s="714"/>
      <c r="AY949" s="554"/>
      <c r="AZ949" s="554"/>
      <c r="BA949" s="554"/>
      <c r="BB949" s="554"/>
      <c r="BC949" s="554"/>
      <c r="BD949" s="554"/>
      <c r="BE949" s="554"/>
      <c r="BF949" s="554"/>
      <c r="BG949" s="554"/>
      <c r="BH949" s="554"/>
      <c r="BI949" s="554"/>
      <c r="BJ949" s="554"/>
      <c r="BK949" s="554"/>
      <c r="BL949" s="554"/>
      <c r="BM949" s="554"/>
      <c r="BN949" s="554"/>
      <c r="BO949" s="554"/>
      <c r="BP949" s="554"/>
      <c r="BQ949" s="554"/>
      <c r="BR949" s="554"/>
      <c r="BS949" s="554"/>
      <c r="BT949" s="554"/>
      <c r="BU949" s="554"/>
      <c r="BV949" s="554"/>
      <c r="BW949" s="554"/>
      <c r="BX949" s="554"/>
      <c r="BY949" s="554"/>
      <c r="BZ949" s="554"/>
      <c r="CA949" s="554"/>
      <c r="CB949" s="554"/>
      <c r="CC949" s="554"/>
      <c r="CD949" s="554"/>
      <c r="CE949" s="554"/>
      <c r="CF949" s="554"/>
      <c r="CG949" s="554"/>
      <c r="CH949" s="619"/>
      <c r="CI949" s="619"/>
      <c r="CJ949" s="619"/>
      <c r="CK949" s="619"/>
      <c r="CL949" s="619"/>
      <c r="CM949" s="554"/>
      <c r="CN949" s="554"/>
      <c r="CO949" s="554"/>
      <c r="CP949" s="619"/>
      <c r="CQ949" s="619"/>
      <c r="CR949" s="619"/>
      <c r="CS949" s="619"/>
      <c r="CT949" s="619"/>
      <c r="CU949" s="619"/>
    </row>
    <row r="950" s="1265" customFormat="1" ht="31" customHeight="1" spans="1:99">
      <c r="A950" s="608">
        <v>46080</v>
      </c>
      <c r="B950" s="609" t="s">
        <v>1922</v>
      </c>
      <c r="C950" s="610" t="s">
        <v>154</v>
      </c>
      <c r="D950" s="554">
        <v>4500194447</v>
      </c>
      <c r="E950" s="610" t="s">
        <v>3582</v>
      </c>
      <c r="F950" s="554" t="s">
        <v>3583</v>
      </c>
      <c r="G950" s="623" t="s">
        <v>518</v>
      </c>
      <c r="H950" s="610" t="s">
        <v>477</v>
      </c>
      <c r="I950" s="715">
        <v>504</v>
      </c>
      <c r="J950" s="610">
        <v>0</v>
      </c>
      <c r="K950" s="610">
        <v>6</v>
      </c>
      <c r="L950" s="611">
        <f t="shared" si="318"/>
        <v>84</v>
      </c>
      <c r="M950" s="612">
        <v>46134</v>
      </c>
      <c r="N950" s="612">
        <v>46130</v>
      </c>
      <c r="O950" s="613"/>
      <c r="P950" s="824" t="s">
        <v>113</v>
      </c>
      <c r="Q950" s="614"/>
      <c r="R950" s="614" t="s">
        <v>463</v>
      </c>
      <c r="S950" s="614" t="s">
        <v>104</v>
      </c>
      <c r="T950" s="614" t="s">
        <v>3584</v>
      </c>
      <c r="U950" s="614"/>
      <c r="V950" s="614"/>
      <c r="W950" s="609"/>
      <c r="X950" s="609" t="s">
        <v>3585</v>
      </c>
      <c r="Y950" s="616" t="s">
        <v>428</v>
      </c>
      <c r="Z950" s="718">
        <v>7.1628</v>
      </c>
      <c r="AA950" s="616">
        <f t="shared" si="319"/>
        <v>3610.0512</v>
      </c>
      <c r="AB950" s="554"/>
      <c r="AC950" s="617"/>
      <c r="AD950" s="610" t="s">
        <v>480</v>
      </c>
      <c r="AE950" s="610" t="s">
        <v>82</v>
      </c>
      <c r="AF950" s="610"/>
      <c r="AG950" s="610"/>
      <c r="AH950" s="610">
        <v>1</v>
      </c>
      <c r="AI950" s="610"/>
      <c r="AJ950" s="613">
        <f t="shared" si="322"/>
        <v>-504</v>
      </c>
      <c r="AK950" s="610"/>
      <c r="AL950" s="610"/>
      <c r="AM950" s="554"/>
      <c r="AN950" s="554">
        <f t="shared" si="323"/>
        <v>504</v>
      </c>
      <c r="AO950" s="554"/>
      <c r="AP950" s="554"/>
      <c r="AQ950" s="554"/>
      <c r="AR950" s="554"/>
      <c r="AS950" s="554">
        <f t="shared" si="324"/>
        <v>504</v>
      </c>
      <c r="AT950" s="554"/>
      <c r="AU950" s="554">
        <f t="shared" si="321"/>
        <v>504</v>
      </c>
      <c r="AV950" s="554"/>
      <c r="AW950" s="554">
        <f t="shared" si="320"/>
        <v>504</v>
      </c>
      <c r="AX950" s="714"/>
      <c r="AY950" s="554"/>
      <c r="AZ950" s="554"/>
      <c r="BA950" s="554"/>
      <c r="BB950" s="554"/>
      <c r="BC950" s="554"/>
      <c r="BD950" s="554"/>
      <c r="BE950" s="554"/>
      <c r="BF950" s="554"/>
      <c r="BG950" s="554"/>
      <c r="BH950" s="554"/>
      <c r="BI950" s="554"/>
      <c r="BJ950" s="554"/>
      <c r="BK950" s="554"/>
      <c r="BL950" s="554"/>
      <c r="BM950" s="554"/>
      <c r="BN950" s="554">
        <f>I950</f>
        <v>504</v>
      </c>
      <c r="BO950" s="554"/>
      <c r="BP950" s="554"/>
      <c r="BQ950" s="554"/>
      <c r="BR950" s="554"/>
      <c r="BS950" s="554"/>
      <c r="BT950" s="554"/>
      <c r="BU950" s="554"/>
      <c r="BV950" s="554"/>
      <c r="BW950" s="554"/>
      <c r="BX950" s="554"/>
      <c r="BY950" s="554"/>
      <c r="BZ950" s="554"/>
      <c r="CA950" s="554"/>
      <c r="CB950" s="554"/>
      <c r="CC950" s="554"/>
      <c r="CD950" s="554"/>
      <c r="CE950" s="554"/>
      <c r="CF950" s="554"/>
      <c r="CG950" s="554"/>
      <c r="CH950" s="619"/>
      <c r="CI950" s="619"/>
      <c r="CJ950" s="619"/>
      <c r="CK950" s="619"/>
      <c r="CL950" s="619"/>
      <c r="CM950" s="554"/>
      <c r="CN950" s="554"/>
      <c r="CO950" s="554"/>
      <c r="CP950" s="619"/>
      <c r="CQ950" s="619"/>
      <c r="CR950" s="619"/>
      <c r="CS950" s="619"/>
      <c r="CT950" s="619"/>
      <c r="CU950" s="619"/>
    </row>
    <row r="951" s="1265" customFormat="1" ht="31" customHeight="1" spans="1:99">
      <c r="A951" s="608">
        <v>46080</v>
      </c>
      <c r="B951" s="609" t="s">
        <v>1922</v>
      </c>
      <c r="C951" s="610" t="s">
        <v>278</v>
      </c>
      <c r="D951" s="554">
        <v>4500194447</v>
      </c>
      <c r="E951" s="610" t="s">
        <v>3586</v>
      </c>
      <c r="F951" s="554" t="s">
        <v>3587</v>
      </c>
      <c r="G951" s="623" t="s">
        <v>68</v>
      </c>
      <c r="H951" s="633" t="s">
        <v>69</v>
      </c>
      <c r="I951" s="715">
        <v>864</v>
      </c>
      <c r="J951" s="610">
        <v>0</v>
      </c>
      <c r="K951" s="610">
        <v>12</v>
      </c>
      <c r="L951" s="611">
        <f t="shared" si="318"/>
        <v>72</v>
      </c>
      <c r="M951" s="612">
        <v>46134</v>
      </c>
      <c r="N951" s="612">
        <v>46130</v>
      </c>
      <c r="O951" s="613"/>
      <c r="P951" s="824" t="s">
        <v>113</v>
      </c>
      <c r="Q951" s="614"/>
      <c r="R951" s="614" t="s">
        <v>463</v>
      </c>
      <c r="S951" s="614" t="s">
        <v>104</v>
      </c>
      <c r="T951" s="614" t="s">
        <v>3588</v>
      </c>
      <c r="U951" s="614"/>
      <c r="V951" s="614"/>
      <c r="W951" s="609"/>
      <c r="X951" s="738" t="s">
        <v>3585</v>
      </c>
      <c r="Y951" s="616" t="s">
        <v>428</v>
      </c>
      <c r="Z951" s="625">
        <v>4.2622</v>
      </c>
      <c r="AA951" s="616">
        <f t="shared" si="319"/>
        <v>3682.5408</v>
      </c>
      <c r="AB951" s="554"/>
      <c r="AC951" s="617"/>
      <c r="AD951" s="610" t="s">
        <v>184</v>
      </c>
      <c r="AE951" s="610" t="s">
        <v>82</v>
      </c>
      <c r="AF951" s="610"/>
      <c r="AG951" s="610"/>
      <c r="AH951" s="610">
        <v>1</v>
      </c>
      <c r="AI951" s="610">
        <v>864</v>
      </c>
      <c r="AJ951" s="613">
        <f t="shared" si="322"/>
        <v>0</v>
      </c>
      <c r="AK951" s="610"/>
      <c r="AL951" s="610" t="s">
        <v>454</v>
      </c>
      <c r="AM951" s="554"/>
      <c r="AN951" s="554">
        <f t="shared" si="323"/>
        <v>864</v>
      </c>
      <c r="AO951" s="554"/>
      <c r="AP951" s="554"/>
      <c r="AQ951" s="554"/>
      <c r="AR951" s="554"/>
      <c r="AS951" s="554">
        <f t="shared" si="324"/>
        <v>864</v>
      </c>
      <c r="AT951" s="554"/>
      <c r="AU951" s="554">
        <f t="shared" si="321"/>
        <v>864</v>
      </c>
      <c r="AV951" s="554"/>
      <c r="AW951" s="554">
        <f t="shared" si="320"/>
        <v>864</v>
      </c>
      <c r="AX951" s="714"/>
      <c r="AY951" s="554"/>
      <c r="AZ951" s="554"/>
      <c r="BA951" s="554"/>
      <c r="BB951" s="554"/>
      <c r="BC951" s="554"/>
      <c r="BD951" s="554"/>
      <c r="BE951" s="554"/>
      <c r="BF951" s="554"/>
      <c r="BG951" s="554"/>
      <c r="BH951" s="554"/>
      <c r="BI951" s="554"/>
      <c r="BJ951" s="554"/>
      <c r="BK951" s="554"/>
      <c r="BL951" s="554"/>
      <c r="BM951" s="554"/>
      <c r="BN951" s="554"/>
      <c r="BO951" s="554"/>
      <c r="BP951" s="554"/>
      <c r="BQ951" s="554"/>
      <c r="BR951" s="554"/>
      <c r="BS951" s="554"/>
      <c r="BT951" s="554"/>
      <c r="BU951" s="554"/>
      <c r="BV951" s="554"/>
      <c r="BW951" s="554"/>
      <c r="BX951" s="554"/>
      <c r="BY951" s="554"/>
      <c r="BZ951" s="554"/>
      <c r="CA951" s="554"/>
      <c r="CB951" s="554"/>
      <c r="CC951" s="554"/>
      <c r="CD951" s="554"/>
      <c r="CE951" s="554"/>
      <c r="CF951" s="554"/>
      <c r="CG951" s="554"/>
      <c r="CH951" s="619"/>
      <c r="CI951" s="619"/>
      <c r="CJ951" s="619"/>
      <c r="CK951" s="619"/>
      <c r="CL951" s="619"/>
      <c r="CM951" s="554"/>
      <c r="CN951" s="554"/>
      <c r="CO951" s="554"/>
      <c r="CP951" s="619"/>
      <c r="CQ951" s="619"/>
      <c r="CR951" s="619"/>
      <c r="CS951" s="619"/>
      <c r="CT951" s="619"/>
      <c r="CU951" s="619"/>
    </row>
    <row r="952" s="1265" customFormat="1" ht="31" customHeight="1" spans="1:99">
      <c r="A952" s="608">
        <v>46080</v>
      </c>
      <c r="B952" s="609" t="s">
        <v>1503</v>
      </c>
      <c r="C952" s="610" t="s">
        <v>98</v>
      </c>
      <c r="D952" s="554">
        <v>4500194504</v>
      </c>
      <c r="E952" s="610" t="s">
        <v>3589</v>
      </c>
      <c r="F952" s="554" t="s">
        <v>3590</v>
      </c>
      <c r="G952" s="623" t="s">
        <v>68</v>
      </c>
      <c r="H952" s="633" t="s">
        <v>69</v>
      </c>
      <c r="I952" s="715">
        <v>2112</v>
      </c>
      <c r="J952" s="610">
        <v>0</v>
      </c>
      <c r="K952" s="610">
        <v>12</v>
      </c>
      <c r="L952" s="611">
        <f t="shared" ref="L952:L958" si="325">I952/K952</f>
        <v>176</v>
      </c>
      <c r="M952" s="612">
        <v>46135</v>
      </c>
      <c r="N952" s="612">
        <v>46132</v>
      </c>
      <c r="O952" s="613"/>
      <c r="P952" s="824" t="s">
        <v>113</v>
      </c>
      <c r="Q952" s="614"/>
      <c r="R952" s="614">
        <v>46080</v>
      </c>
      <c r="S952" s="614" t="s">
        <v>104</v>
      </c>
      <c r="T952" s="614" t="s">
        <v>3591</v>
      </c>
      <c r="U952" s="614"/>
      <c r="V952" s="614"/>
      <c r="W952" s="609"/>
      <c r="X952" s="609" t="s">
        <v>3592</v>
      </c>
      <c r="Y952" s="616" t="s">
        <v>125</v>
      </c>
      <c r="Z952" s="625">
        <v>2.5304</v>
      </c>
      <c r="AA952" s="616">
        <f t="shared" ref="AA952:AA957" si="326">Z952*I952</f>
        <v>5344.2048</v>
      </c>
      <c r="AB952" s="554"/>
      <c r="AC952" s="629" t="s">
        <v>3593</v>
      </c>
      <c r="AD952" s="610" t="s">
        <v>68</v>
      </c>
      <c r="AE952" s="610" t="s">
        <v>82</v>
      </c>
      <c r="AF952" s="610"/>
      <c r="AG952" s="610"/>
      <c r="AH952" s="610">
        <v>1</v>
      </c>
      <c r="AI952" s="610">
        <v>2112</v>
      </c>
      <c r="AJ952" s="613">
        <f t="shared" ref="AJ952:AJ957" si="327">AI952-I952</f>
        <v>0</v>
      </c>
      <c r="AK952" s="610"/>
      <c r="AL952" s="610" t="s">
        <v>2368</v>
      </c>
      <c r="AM952" s="554"/>
      <c r="AN952" s="554">
        <f t="shared" ref="AN952:AN957" si="328">I952</f>
        <v>2112</v>
      </c>
      <c r="AO952" s="554"/>
      <c r="AP952" s="554"/>
      <c r="AQ952" s="554"/>
      <c r="AR952" s="554">
        <f t="shared" ref="AR952:AR957" si="329">I952</f>
        <v>2112</v>
      </c>
      <c r="AS952" s="554"/>
      <c r="AT952" s="554"/>
      <c r="AU952" s="554">
        <f t="shared" ref="AU952:AU957" si="330">I952</f>
        <v>2112</v>
      </c>
      <c r="AV952" s="554"/>
      <c r="AW952" s="554">
        <f t="shared" ref="AW952:AW957" si="331">I952</f>
        <v>2112</v>
      </c>
      <c r="AX952" s="714"/>
      <c r="AY952" s="554"/>
      <c r="AZ952" s="554"/>
      <c r="BA952" s="554"/>
      <c r="BB952" s="554"/>
      <c r="BC952" s="554"/>
      <c r="BD952" s="554"/>
      <c r="BE952" s="554"/>
      <c r="BF952" s="554"/>
      <c r="BG952" s="554"/>
      <c r="BH952" s="554"/>
      <c r="BI952" s="554"/>
      <c r="BJ952" s="554"/>
      <c r="BK952" s="554"/>
      <c r="BL952" s="554"/>
      <c r="BM952" s="554"/>
      <c r="BN952" s="554"/>
      <c r="BO952" s="554"/>
      <c r="BP952" s="554"/>
      <c r="BQ952" s="554"/>
      <c r="BR952" s="554"/>
      <c r="BS952" s="554"/>
      <c r="BT952" s="554"/>
      <c r="BU952" s="554"/>
      <c r="BV952" s="554"/>
      <c r="BW952" s="554"/>
      <c r="BX952" s="554"/>
      <c r="BY952" s="554"/>
      <c r="BZ952" s="554"/>
      <c r="CA952" s="554"/>
      <c r="CB952" s="554"/>
      <c r="CC952" s="554"/>
      <c r="CD952" s="554"/>
      <c r="CE952" s="554"/>
      <c r="CF952" s="554"/>
      <c r="CG952" s="554"/>
      <c r="CH952" s="619"/>
      <c r="CI952" s="619"/>
      <c r="CJ952" s="619"/>
      <c r="CK952" s="619"/>
      <c r="CL952" s="619"/>
      <c r="CM952" s="554"/>
      <c r="CN952" s="554"/>
      <c r="CO952" s="554"/>
      <c r="CP952" s="619"/>
      <c r="CQ952" s="619"/>
      <c r="CR952" s="619"/>
      <c r="CS952" s="619"/>
      <c r="CT952" s="619"/>
      <c r="CU952" s="619"/>
    </row>
    <row r="953" s="1265" customFormat="1" ht="31" customHeight="1" spans="1:99">
      <c r="A953" s="608">
        <v>46080</v>
      </c>
      <c r="B953" s="609" t="s">
        <v>1503</v>
      </c>
      <c r="C953" s="610" t="s">
        <v>98</v>
      </c>
      <c r="D953" s="554">
        <v>4500194501</v>
      </c>
      <c r="E953" s="610" t="s">
        <v>3594</v>
      </c>
      <c r="F953" s="554" t="s">
        <v>3595</v>
      </c>
      <c r="G953" s="623" t="s">
        <v>68</v>
      </c>
      <c r="H953" s="633" t="s">
        <v>69</v>
      </c>
      <c r="I953" s="715">
        <v>2652</v>
      </c>
      <c r="J953" s="610">
        <v>0</v>
      </c>
      <c r="K953" s="610">
        <v>12</v>
      </c>
      <c r="L953" s="611">
        <f t="shared" si="325"/>
        <v>221</v>
      </c>
      <c r="M953" s="612">
        <v>46135</v>
      </c>
      <c r="N953" s="612">
        <v>46132</v>
      </c>
      <c r="O953" s="613"/>
      <c r="P953" s="824" t="s">
        <v>113</v>
      </c>
      <c r="Q953" s="614"/>
      <c r="R953" s="614">
        <v>46080</v>
      </c>
      <c r="S953" s="614" t="s">
        <v>104</v>
      </c>
      <c r="T953" s="614" t="s">
        <v>3591</v>
      </c>
      <c r="U953" s="614"/>
      <c r="V953" s="614"/>
      <c r="W953" s="609"/>
      <c r="X953" s="609" t="s">
        <v>3596</v>
      </c>
      <c r="Y953" s="616" t="s">
        <v>125</v>
      </c>
      <c r="Z953" s="625">
        <v>2.5573</v>
      </c>
      <c r="AA953" s="616">
        <f t="shared" si="326"/>
        <v>6781.9596</v>
      </c>
      <c r="AB953" s="554"/>
      <c r="AC953" s="629" t="s">
        <v>3597</v>
      </c>
      <c r="AD953" s="610" t="s">
        <v>68</v>
      </c>
      <c r="AE953" s="610" t="s">
        <v>82</v>
      </c>
      <c r="AF953" s="610"/>
      <c r="AG953" s="610"/>
      <c r="AH953" s="610">
        <v>1</v>
      </c>
      <c r="AI953" s="610">
        <v>2652</v>
      </c>
      <c r="AJ953" s="613">
        <f t="shared" si="327"/>
        <v>0</v>
      </c>
      <c r="AK953" s="610"/>
      <c r="AL953" s="610" t="s">
        <v>2368</v>
      </c>
      <c r="AM953" s="554"/>
      <c r="AN953" s="554">
        <f t="shared" si="328"/>
        <v>2652</v>
      </c>
      <c r="AO953" s="554"/>
      <c r="AP953" s="554"/>
      <c r="AQ953" s="554"/>
      <c r="AR953" s="554">
        <f t="shared" si="329"/>
        <v>2652</v>
      </c>
      <c r="AS953" s="554"/>
      <c r="AT953" s="554"/>
      <c r="AU953" s="554">
        <f t="shared" si="330"/>
        <v>2652</v>
      </c>
      <c r="AV953" s="554"/>
      <c r="AW953" s="554">
        <f t="shared" si="331"/>
        <v>2652</v>
      </c>
      <c r="AX953" s="714"/>
      <c r="AY953" s="554"/>
      <c r="AZ953" s="554"/>
      <c r="BA953" s="554"/>
      <c r="BB953" s="554"/>
      <c r="BC953" s="554"/>
      <c r="BD953" s="554"/>
      <c r="BE953" s="554"/>
      <c r="BF953" s="554"/>
      <c r="BG953" s="554"/>
      <c r="BH953" s="554"/>
      <c r="BI953" s="554"/>
      <c r="BJ953" s="554"/>
      <c r="BK953" s="554"/>
      <c r="BL953" s="554"/>
      <c r="BM953" s="554"/>
      <c r="BN953" s="554"/>
      <c r="BO953" s="554"/>
      <c r="BP953" s="554"/>
      <c r="BQ953" s="554"/>
      <c r="BR953" s="554"/>
      <c r="BS953" s="554"/>
      <c r="BT953" s="554"/>
      <c r="BU953" s="554"/>
      <c r="BV953" s="554"/>
      <c r="BW953" s="554"/>
      <c r="BX953" s="554"/>
      <c r="BY953" s="554"/>
      <c r="BZ953" s="554"/>
      <c r="CA953" s="554"/>
      <c r="CB953" s="554"/>
      <c r="CC953" s="554"/>
      <c r="CD953" s="554"/>
      <c r="CE953" s="554"/>
      <c r="CF953" s="554"/>
      <c r="CG953" s="554"/>
      <c r="CH953" s="619"/>
      <c r="CI953" s="619"/>
      <c r="CJ953" s="619"/>
      <c r="CK953" s="619"/>
      <c r="CL953" s="619"/>
      <c r="CM953" s="554"/>
      <c r="CN953" s="554"/>
      <c r="CO953" s="554"/>
      <c r="CP953" s="619"/>
      <c r="CQ953" s="619"/>
      <c r="CR953" s="619"/>
      <c r="CS953" s="619"/>
      <c r="CT953" s="619"/>
      <c r="CU953" s="619"/>
    </row>
    <row r="954" s="1265" customFormat="1" ht="31" customHeight="1" spans="1:99">
      <c r="A954" s="608">
        <v>46080</v>
      </c>
      <c r="B954" s="609" t="s">
        <v>1503</v>
      </c>
      <c r="C954" s="610" t="s">
        <v>98</v>
      </c>
      <c r="D954" s="554">
        <v>4500194511</v>
      </c>
      <c r="E954" s="610" t="s">
        <v>3598</v>
      </c>
      <c r="F954" s="554" t="s">
        <v>3599</v>
      </c>
      <c r="G954" s="623" t="s">
        <v>68</v>
      </c>
      <c r="H954" s="633" t="s">
        <v>69</v>
      </c>
      <c r="I954" s="715">
        <v>1896</v>
      </c>
      <c r="J954" s="610">
        <v>0</v>
      </c>
      <c r="K954" s="610">
        <v>12</v>
      </c>
      <c r="L954" s="611">
        <f t="shared" si="325"/>
        <v>158</v>
      </c>
      <c r="M954" s="612">
        <v>46135</v>
      </c>
      <c r="N954" s="612">
        <v>46132</v>
      </c>
      <c r="O954" s="613"/>
      <c r="P954" s="824" t="s">
        <v>113</v>
      </c>
      <c r="Q954" s="614"/>
      <c r="R954" s="614">
        <v>46080</v>
      </c>
      <c r="S954" s="614" t="s">
        <v>104</v>
      </c>
      <c r="T954" s="614" t="s">
        <v>3591</v>
      </c>
      <c r="U954" s="614"/>
      <c r="V954" s="614"/>
      <c r="W954" s="609"/>
      <c r="X954" s="609" t="s">
        <v>3592</v>
      </c>
      <c r="Y954" s="616" t="s">
        <v>125</v>
      </c>
      <c r="Z954" s="625">
        <v>2.5573</v>
      </c>
      <c r="AA954" s="616">
        <f t="shared" si="326"/>
        <v>4848.6408</v>
      </c>
      <c r="AB954" s="554"/>
      <c r="AC954" s="629" t="s">
        <v>3600</v>
      </c>
      <c r="AD954" s="610" t="s">
        <v>68</v>
      </c>
      <c r="AE954" s="610" t="s">
        <v>82</v>
      </c>
      <c r="AF954" s="610"/>
      <c r="AG954" s="610"/>
      <c r="AH954" s="610">
        <v>1</v>
      </c>
      <c r="AI954" s="610">
        <v>1896</v>
      </c>
      <c r="AJ954" s="613">
        <f t="shared" si="327"/>
        <v>0</v>
      </c>
      <c r="AK954" s="610"/>
      <c r="AL954" s="610" t="s">
        <v>2368</v>
      </c>
      <c r="AM954" s="554"/>
      <c r="AN954" s="554">
        <f t="shared" si="328"/>
        <v>1896</v>
      </c>
      <c r="AO954" s="554"/>
      <c r="AP954" s="554"/>
      <c r="AQ954" s="554"/>
      <c r="AR954" s="554">
        <f t="shared" si="329"/>
        <v>1896</v>
      </c>
      <c r="AS954" s="554"/>
      <c r="AT954" s="554"/>
      <c r="AU954" s="554">
        <f t="shared" si="330"/>
        <v>1896</v>
      </c>
      <c r="AV954" s="554"/>
      <c r="AW954" s="554">
        <f t="shared" si="331"/>
        <v>1896</v>
      </c>
      <c r="AX954" s="714"/>
      <c r="AY954" s="554"/>
      <c r="AZ954" s="554"/>
      <c r="BA954" s="554"/>
      <c r="BB954" s="554"/>
      <c r="BC954" s="554"/>
      <c r="BD954" s="554"/>
      <c r="BE954" s="554"/>
      <c r="BF954" s="554"/>
      <c r="BG954" s="554"/>
      <c r="BH954" s="554"/>
      <c r="BI954" s="554"/>
      <c r="BJ954" s="554"/>
      <c r="BK954" s="554"/>
      <c r="BL954" s="554"/>
      <c r="BM954" s="554"/>
      <c r="BN954" s="554"/>
      <c r="BO954" s="554"/>
      <c r="BP954" s="554"/>
      <c r="BQ954" s="554"/>
      <c r="BR954" s="554"/>
      <c r="BS954" s="554"/>
      <c r="BT954" s="554"/>
      <c r="BU954" s="554"/>
      <c r="BV954" s="554"/>
      <c r="BW954" s="554"/>
      <c r="BX954" s="554"/>
      <c r="BY954" s="554"/>
      <c r="BZ954" s="554"/>
      <c r="CA954" s="554"/>
      <c r="CB954" s="554"/>
      <c r="CC954" s="554"/>
      <c r="CD954" s="554"/>
      <c r="CE954" s="554"/>
      <c r="CF954" s="554"/>
      <c r="CG954" s="554"/>
      <c r="CH954" s="619"/>
      <c r="CI954" s="619"/>
      <c r="CJ954" s="619"/>
      <c r="CK954" s="619"/>
      <c r="CL954" s="619"/>
      <c r="CM954" s="554"/>
      <c r="CN954" s="554"/>
      <c r="CO954" s="554"/>
      <c r="CP954" s="619"/>
      <c r="CQ954" s="619"/>
      <c r="CR954" s="619"/>
      <c r="CS954" s="619"/>
      <c r="CT954" s="619"/>
      <c r="CU954" s="619"/>
    </row>
    <row r="955" s="1265" customFormat="1" ht="31" customHeight="1" spans="1:99">
      <c r="A955" s="608">
        <v>46080</v>
      </c>
      <c r="B955" s="609" t="s">
        <v>1503</v>
      </c>
      <c r="C955" s="610" t="s">
        <v>98</v>
      </c>
      <c r="D955" s="554">
        <v>4500194509</v>
      </c>
      <c r="E955" s="610" t="s">
        <v>3601</v>
      </c>
      <c r="F955" s="554" t="s">
        <v>3602</v>
      </c>
      <c r="G955" s="623" t="s">
        <v>68</v>
      </c>
      <c r="H955" s="633" t="s">
        <v>69</v>
      </c>
      <c r="I955" s="715">
        <v>2640</v>
      </c>
      <c r="J955" s="610">
        <v>0</v>
      </c>
      <c r="K955" s="610">
        <v>12</v>
      </c>
      <c r="L955" s="611">
        <f t="shared" si="325"/>
        <v>220</v>
      </c>
      <c r="M955" s="612">
        <v>46135</v>
      </c>
      <c r="N955" s="612">
        <v>46132</v>
      </c>
      <c r="O955" s="613"/>
      <c r="P955" s="824" t="s">
        <v>113</v>
      </c>
      <c r="Q955" s="614"/>
      <c r="R955" s="614">
        <v>46080</v>
      </c>
      <c r="S955" s="614" t="s">
        <v>104</v>
      </c>
      <c r="T955" s="614" t="s">
        <v>3591</v>
      </c>
      <c r="U955" s="614"/>
      <c r="V955" s="614"/>
      <c r="W955" s="609"/>
      <c r="X955" s="609" t="s">
        <v>3592</v>
      </c>
      <c r="Y955" s="616" t="s">
        <v>125</v>
      </c>
      <c r="Z955" s="625">
        <v>2.5573</v>
      </c>
      <c r="AA955" s="616">
        <f t="shared" si="326"/>
        <v>6751.272</v>
      </c>
      <c r="AB955" s="554"/>
      <c r="AC955" s="629" t="s">
        <v>3603</v>
      </c>
      <c r="AD955" s="610" t="s">
        <v>68</v>
      </c>
      <c r="AE955" s="610" t="s">
        <v>82</v>
      </c>
      <c r="AF955" s="610"/>
      <c r="AG955" s="610"/>
      <c r="AH955" s="610">
        <v>1</v>
      </c>
      <c r="AI955" s="610">
        <v>2640</v>
      </c>
      <c r="AJ955" s="613">
        <f t="shared" si="327"/>
        <v>0</v>
      </c>
      <c r="AK955" s="610"/>
      <c r="AL955" s="610" t="s">
        <v>2368</v>
      </c>
      <c r="AM955" s="554"/>
      <c r="AN955" s="554">
        <f t="shared" si="328"/>
        <v>2640</v>
      </c>
      <c r="AO955" s="554"/>
      <c r="AP955" s="554"/>
      <c r="AQ955" s="554"/>
      <c r="AR955" s="554">
        <f t="shared" si="329"/>
        <v>2640</v>
      </c>
      <c r="AS955" s="554"/>
      <c r="AT955" s="554"/>
      <c r="AU955" s="554">
        <f t="shared" si="330"/>
        <v>2640</v>
      </c>
      <c r="AV955" s="554"/>
      <c r="AW955" s="554">
        <f t="shared" si="331"/>
        <v>2640</v>
      </c>
      <c r="AX955" s="714"/>
      <c r="AY955" s="554"/>
      <c r="AZ955" s="554"/>
      <c r="BA955" s="554"/>
      <c r="BB955" s="554"/>
      <c r="BC955" s="554"/>
      <c r="BD955" s="554"/>
      <c r="BE955" s="554"/>
      <c r="BF955" s="554"/>
      <c r="BG955" s="554"/>
      <c r="BH955" s="554"/>
      <c r="BI955" s="554"/>
      <c r="BJ955" s="554"/>
      <c r="BK955" s="554"/>
      <c r="BL955" s="554"/>
      <c r="BM955" s="554"/>
      <c r="BN955" s="554"/>
      <c r="BO955" s="554"/>
      <c r="BP955" s="554"/>
      <c r="BQ955" s="554"/>
      <c r="BR955" s="554"/>
      <c r="BS955" s="554"/>
      <c r="BT955" s="554"/>
      <c r="BU955" s="554"/>
      <c r="BV955" s="554"/>
      <c r="BW955" s="554"/>
      <c r="BX955" s="554"/>
      <c r="BY955" s="554"/>
      <c r="BZ955" s="554"/>
      <c r="CA955" s="554"/>
      <c r="CB955" s="554"/>
      <c r="CC955" s="554"/>
      <c r="CD955" s="554"/>
      <c r="CE955" s="554"/>
      <c r="CF955" s="554"/>
      <c r="CG955" s="554"/>
      <c r="CH955" s="619"/>
      <c r="CI955" s="619"/>
      <c r="CJ955" s="619"/>
      <c r="CK955" s="619"/>
      <c r="CL955" s="619"/>
      <c r="CM955" s="554"/>
      <c r="CN955" s="554"/>
      <c r="CO955" s="554"/>
      <c r="CP955" s="619"/>
      <c r="CQ955" s="619"/>
      <c r="CR955" s="619"/>
      <c r="CS955" s="619"/>
      <c r="CT955" s="619"/>
      <c r="CU955" s="619"/>
    </row>
    <row r="956" s="1265" customFormat="1" ht="31" customHeight="1" spans="1:99">
      <c r="A956" s="608">
        <v>46080</v>
      </c>
      <c r="B956" s="609" t="s">
        <v>1503</v>
      </c>
      <c r="C956" s="610" t="s">
        <v>98</v>
      </c>
      <c r="D956" s="554">
        <v>4500194506</v>
      </c>
      <c r="E956" s="610" t="s">
        <v>3604</v>
      </c>
      <c r="F956" s="554" t="s">
        <v>3605</v>
      </c>
      <c r="G956" s="623" t="s">
        <v>68</v>
      </c>
      <c r="H956" s="633" t="s">
        <v>69</v>
      </c>
      <c r="I956" s="715">
        <v>1464</v>
      </c>
      <c r="J956" s="610">
        <v>0</v>
      </c>
      <c r="K956" s="610">
        <v>12</v>
      </c>
      <c r="L956" s="611">
        <f t="shared" si="325"/>
        <v>122</v>
      </c>
      <c r="M956" s="612">
        <v>46135</v>
      </c>
      <c r="N956" s="612">
        <v>46132</v>
      </c>
      <c r="O956" s="613"/>
      <c r="P956" s="824" t="s">
        <v>113</v>
      </c>
      <c r="Q956" s="614"/>
      <c r="R956" s="614">
        <v>46080</v>
      </c>
      <c r="S956" s="614" t="s">
        <v>104</v>
      </c>
      <c r="T956" s="614" t="s">
        <v>3591</v>
      </c>
      <c r="U956" s="614"/>
      <c r="V956" s="614"/>
      <c r="W956" s="609"/>
      <c r="X956" s="609" t="s">
        <v>3592</v>
      </c>
      <c r="Y956" s="616" t="s">
        <v>125</v>
      </c>
      <c r="Z956" s="625">
        <v>2.5573</v>
      </c>
      <c r="AA956" s="616">
        <f t="shared" si="326"/>
        <v>3743.8872</v>
      </c>
      <c r="AB956" s="554"/>
      <c r="AC956" s="629" t="s">
        <v>3606</v>
      </c>
      <c r="AD956" s="610" t="s">
        <v>68</v>
      </c>
      <c r="AE956" s="610" t="s">
        <v>82</v>
      </c>
      <c r="AF956" s="610"/>
      <c r="AG956" s="610"/>
      <c r="AH956" s="610">
        <v>1</v>
      </c>
      <c r="AI956" s="610">
        <v>1464</v>
      </c>
      <c r="AJ956" s="613">
        <f t="shared" si="327"/>
        <v>0</v>
      </c>
      <c r="AK956" s="610"/>
      <c r="AL956" s="610" t="s">
        <v>2368</v>
      </c>
      <c r="AM956" s="554"/>
      <c r="AN956" s="554">
        <f t="shared" si="328"/>
        <v>1464</v>
      </c>
      <c r="AO956" s="554"/>
      <c r="AP956" s="554"/>
      <c r="AQ956" s="554"/>
      <c r="AR956" s="554">
        <f t="shared" si="329"/>
        <v>1464</v>
      </c>
      <c r="AS956" s="554"/>
      <c r="AT956" s="554"/>
      <c r="AU956" s="554">
        <f t="shared" si="330"/>
        <v>1464</v>
      </c>
      <c r="AV956" s="554"/>
      <c r="AW956" s="554">
        <f t="shared" si="331"/>
        <v>1464</v>
      </c>
      <c r="AX956" s="714"/>
      <c r="AY956" s="554"/>
      <c r="AZ956" s="554"/>
      <c r="BA956" s="554"/>
      <c r="BB956" s="554"/>
      <c r="BC956" s="554"/>
      <c r="BD956" s="554"/>
      <c r="BE956" s="554"/>
      <c r="BF956" s="554"/>
      <c r="BG956" s="554"/>
      <c r="BH956" s="554"/>
      <c r="BI956" s="554"/>
      <c r="BJ956" s="554"/>
      <c r="BK956" s="554"/>
      <c r="BL956" s="554"/>
      <c r="BM956" s="554"/>
      <c r="BN956" s="554"/>
      <c r="BO956" s="554"/>
      <c r="BP956" s="554"/>
      <c r="BQ956" s="554"/>
      <c r="BR956" s="554"/>
      <c r="BS956" s="554"/>
      <c r="BT956" s="554"/>
      <c r="BU956" s="554"/>
      <c r="BV956" s="554"/>
      <c r="BW956" s="554"/>
      <c r="BX956" s="554"/>
      <c r="BY956" s="554"/>
      <c r="BZ956" s="554"/>
      <c r="CA956" s="554"/>
      <c r="CB956" s="554"/>
      <c r="CC956" s="554"/>
      <c r="CD956" s="554"/>
      <c r="CE956" s="554"/>
      <c r="CF956" s="554"/>
      <c r="CG956" s="554"/>
      <c r="CH956" s="619"/>
      <c r="CI956" s="619"/>
      <c r="CJ956" s="619"/>
      <c r="CK956" s="619"/>
      <c r="CL956" s="619"/>
      <c r="CM956" s="554"/>
      <c r="CN956" s="554"/>
      <c r="CO956" s="554"/>
      <c r="CP956" s="619"/>
      <c r="CQ956" s="619"/>
      <c r="CR956" s="619"/>
      <c r="CS956" s="619"/>
      <c r="CT956" s="619"/>
      <c r="CU956" s="619"/>
    </row>
    <row r="957" s="1265" customFormat="1" ht="31" customHeight="1" spans="1:99">
      <c r="A957" s="608">
        <v>46080</v>
      </c>
      <c r="B957" s="609" t="s">
        <v>1503</v>
      </c>
      <c r="C957" s="610" t="s">
        <v>98</v>
      </c>
      <c r="D957" s="554">
        <v>4500194497</v>
      </c>
      <c r="E957" s="610" t="s">
        <v>3607</v>
      </c>
      <c r="F957" s="554" t="s">
        <v>3608</v>
      </c>
      <c r="G957" s="623" t="s">
        <v>68</v>
      </c>
      <c r="H957" s="633" t="s">
        <v>69</v>
      </c>
      <c r="I957" s="715">
        <v>2184</v>
      </c>
      <c r="J957" s="610">
        <v>0</v>
      </c>
      <c r="K957" s="610">
        <v>12</v>
      </c>
      <c r="L957" s="611">
        <f t="shared" si="325"/>
        <v>182</v>
      </c>
      <c r="M957" s="612">
        <v>46135</v>
      </c>
      <c r="N957" s="612">
        <v>46132</v>
      </c>
      <c r="O957" s="613"/>
      <c r="P957" s="824" t="s">
        <v>113</v>
      </c>
      <c r="Q957" s="614"/>
      <c r="R957" s="614">
        <v>46080</v>
      </c>
      <c r="S957" s="614" t="s">
        <v>104</v>
      </c>
      <c r="T957" s="614" t="s">
        <v>3591</v>
      </c>
      <c r="U957" s="614"/>
      <c r="V957" s="614"/>
      <c r="W957" s="609"/>
      <c r="X957" s="609" t="s">
        <v>3592</v>
      </c>
      <c r="Y957" s="616" t="s">
        <v>125</v>
      </c>
      <c r="Z957" s="625">
        <v>2.5573</v>
      </c>
      <c r="AA957" s="616">
        <f t="shared" si="326"/>
        <v>5585.1432</v>
      </c>
      <c r="AB957" s="554"/>
      <c r="AC957" s="629" t="s">
        <v>3609</v>
      </c>
      <c r="AD957" s="610" t="s">
        <v>68</v>
      </c>
      <c r="AE957" s="610" t="s">
        <v>82</v>
      </c>
      <c r="AF957" s="610"/>
      <c r="AG957" s="610"/>
      <c r="AH957" s="610">
        <v>1</v>
      </c>
      <c r="AI957" s="610">
        <v>2184</v>
      </c>
      <c r="AJ957" s="613">
        <f t="shared" si="327"/>
        <v>0</v>
      </c>
      <c r="AK957" s="610"/>
      <c r="AL957" s="610" t="s">
        <v>2368</v>
      </c>
      <c r="AM957" s="554"/>
      <c r="AN957" s="554">
        <f t="shared" si="328"/>
        <v>2184</v>
      </c>
      <c r="AO957" s="554"/>
      <c r="AP957" s="554"/>
      <c r="AQ957" s="554"/>
      <c r="AR957" s="554">
        <f t="shared" si="329"/>
        <v>2184</v>
      </c>
      <c r="AS957" s="554"/>
      <c r="AT957" s="554"/>
      <c r="AU957" s="554">
        <f t="shared" si="330"/>
        <v>2184</v>
      </c>
      <c r="AV957" s="554"/>
      <c r="AW957" s="554">
        <f t="shared" si="331"/>
        <v>2184</v>
      </c>
      <c r="AX957" s="714"/>
      <c r="AY957" s="554"/>
      <c r="AZ957" s="554"/>
      <c r="BA957" s="554"/>
      <c r="BB957" s="554"/>
      <c r="BC957" s="554"/>
      <c r="BD957" s="554"/>
      <c r="BE957" s="554"/>
      <c r="BF957" s="554"/>
      <c r="BG957" s="554"/>
      <c r="BH957" s="554"/>
      <c r="BI957" s="554"/>
      <c r="BJ957" s="554"/>
      <c r="BK957" s="554"/>
      <c r="BL957" s="554"/>
      <c r="BM957" s="554"/>
      <c r="BN957" s="554"/>
      <c r="BO957" s="554"/>
      <c r="BP957" s="554"/>
      <c r="BQ957" s="554"/>
      <c r="BR957" s="554"/>
      <c r="BS957" s="554"/>
      <c r="BT957" s="554"/>
      <c r="BU957" s="554"/>
      <c r="BV957" s="554"/>
      <c r="BW957" s="554"/>
      <c r="BX957" s="554"/>
      <c r="BY957" s="554"/>
      <c r="BZ957" s="554"/>
      <c r="CA957" s="554"/>
      <c r="CB957" s="554"/>
      <c r="CC957" s="554"/>
      <c r="CD957" s="554"/>
      <c r="CE957" s="554"/>
      <c r="CF957" s="554"/>
      <c r="CG957" s="554"/>
      <c r="CH957" s="619"/>
      <c r="CI957" s="619"/>
      <c r="CJ957" s="619"/>
      <c r="CK957" s="619"/>
      <c r="CL957" s="619"/>
      <c r="CM957" s="554"/>
      <c r="CN957" s="554"/>
      <c r="CO957" s="554"/>
      <c r="CP957" s="619"/>
      <c r="CQ957" s="619"/>
      <c r="CR957" s="619"/>
      <c r="CS957" s="619"/>
      <c r="CT957" s="619"/>
      <c r="CU957" s="619"/>
    </row>
    <row r="958" s="1265" customFormat="1" ht="31" customHeight="1" spans="1:99">
      <c r="A958" s="608">
        <v>45978</v>
      </c>
      <c r="B958" s="609" t="s">
        <v>1492</v>
      </c>
      <c r="C958" s="610" t="s">
        <v>98</v>
      </c>
      <c r="D958" s="554">
        <v>4500185970</v>
      </c>
      <c r="E958" s="1420" t="s">
        <v>3610</v>
      </c>
      <c r="F958" s="554" t="s">
        <v>3611</v>
      </c>
      <c r="G958" s="623" t="s">
        <v>2666</v>
      </c>
      <c r="H958" s="610" t="s">
        <v>830</v>
      </c>
      <c r="I958" s="610">
        <v>5400</v>
      </c>
      <c r="J958" s="610">
        <v>0</v>
      </c>
      <c r="K958" s="610">
        <v>75</v>
      </c>
      <c r="L958" s="611">
        <f t="shared" si="325"/>
        <v>72</v>
      </c>
      <c r="M958" s="724">
        <v>46135</v>
      </c>
      <c r="N958" s="724">
        <v>46132</v>
      </c>
      <c r="O958" s="613"/>
      <c r="P958" s="824" t="s">
        <v>113</v>
      </c>
      <c r="Q958" s="610" t="s">
        <v>3612</v>
      </c>
      <c r="R958" s="614" t="s">
        <v>2667</v>
      </c>
      <c r="S958" s="614" t="s">
        <v>70</v>
      </c>
      <c r="T958" s="614" t="s">
        <v>70</v>
      </c>
      <c r="U958" s="614"/>
      <c r="V958" s="614"/>
      <c r="W958" s="609"/>
      <c r="X958" s="609" t="s">
        <v>2826</v>
      </c>
      <c r="Y958" s="616" t="s">
        <v>911</v>
      </c>
      <c r="Z958" s="625">
        <v>359.3436</v>
      </c>
      <c r="AA958" s="616">
        <v>25872.7392</v>
      </c>
      <c r="AB958" s="554"/>
      <c r="AC958" s="629" t="s">
        <v>3613</v>
      </c>
      <c r="AD958" s="610" t="s">
        <v>1498</v>
      </c>
      <c r="AE958" s="610" t="s">
        <v>82</v>
      </c>
      <c r="AF958" s="610"/>
      <c r="AG958" s="610"/>
      <c r="AH958" s="610">
        <v>1</v>
      </c>
      <c r="AI958" s="610"/>
      <c r="AJ958" s="613">
        <f t="shared" ref="AJ958:AJ969" si="332">AI958-I958</f>
        <v>-5400</v>
      </c>
      <c r="AK958" s="610"/>
      <c r="AL958" s="610"/>
      <c r="AM958" s="554"/>
      <c r="AN958" s="554"/>
      <c r="AO958" s="554">
        <f>I958</f>
        <v>5400</v>
      </c>
      <c r="AP958" s="554"/>
      <c r="AQ958" s="554"/>
      <c r="AR958" s="554"/>
      <c r="AS958" s="554"/>
      <c r="AT958" s="554"/>
      <c r="AU958" s="554"/>
      <c r="AV958" s="554"/>
      <c r="AW958" s="554"/>
      <c r="AX958" s="714"/>
      <c r="AY958" s="554"/>
      <c r="AZ958" s="554"/>
      <c r="BA958" s="554">
        <f>I958</f>
        <v>5400</v>
      </c>
      <c r="BB958" s="554">
        <f>I958</f>
        <v>5400</v>
      </c>
      <c r="BC958" s="554">
        <f>I958</f>
        <v>5400</v>
      </c>
      <c r="BD958" s="554"/>
      <c r="BE958" s="554"/>
      <c r="BF958" s="554"/>
      <c r="BG958" s="554"/>
      <c r="BH958" s="554"/>
      <c r="BI958" s="554"/>
      <c r="BJ958" s="554"/>
      <c r="BK958" s="554">
        <f>I958</f>
        <v>5400</v>
      </c>
      <c r="BL958" s="554">
        <f>I958/5</f>
        <v>1080</v>
      </c>
      <c r="BM958" s="554"/>
      <c r="BN958" s="554"/>
      <c r="BO958" s="554"/>
      <c r="BP958" s="554"/>
      <c r="BQ958" s="554"/>
      <c r="BR958" s="554"/>
      <c r="BS958" s="554"/>
      <c r="BT958" s="554"/>
      <c r="BU958" s="554"/>
      <c r="BV958" s="554"/>
      <c r="BW958" s="554"/>
      <c r="BX958" s="554"/>
      <c r="BY958" s="554"/>
      <c r="BZ958" s="554"/>
      <c r="CA958" s="554"/>
      <c r="CB958" s="554"/>
      <c r="CC958" s="554"/>
      <c r="CD958" s="554"/>
      <c r="CE958" s="554"/>
      <c r="CF958" s="554"/>
      <c r="CG958" s="554"/>
      <c r="CH958" s="619"/>
      <c r="CI958" s="619"/>
      <c r="CJ958" s="619"/>
      <c r="CK958" s="619"/>
      <c r="CL958" s="619"/>
      <c r="CM958" s="554"/>
      <c r="CN958" s="554"/>
      <c r="CO958" s="554"/>
      <c r="CP958" s="619"/>
      <c r="CQ958" s="619"/>
      <c r="CR958" s="619"/>
      <c r="CS958" s="619"/>
      <c r="CT958" s="619"/>
      <c r="CU958" s="619"/>
    </row>
    <row r="959" s="1265" customFormat="1" ht="31" customHeight="1" spans="1:99">
      <c r="A959" s="608">
        <v>45995</v>
      </c>
      <c r="B959" s="609" t="s">
        <v>2734</v>
      </c>
      <c r="C959" s="610" t="s">
        <v>98</v>
      </c>
      <c r="D959" s="554">
        <v>4500186354</v>
      </c>
      <c r="E959" s="610">
        <v>60260799</v>
      </c>
      <c r="F959" s="554" t="s">
        <v>3614</v>
      </c>
      <c r="G959" s="623" t="s">
        <v>2736</v>
      </c>
      <c r="H959" s="610" t="s">
        <v>2737</v>
      </c>
      <c r="I959" s="610">
        <v>1600</v>
      </c>
      <c r="J959" s="610">
        <v>0</v>
      </c>
      <c r="K959" s="610">
        <v>8</v>
      </c>
      <c r="L959" s="611">
        <f t="shared" ref="L959:L1022" si="333">I959/K959</f>
        <v>200</v>
      </c>
      <c r="M959" s="612">
        <v>46135</v>
      </c>
      <c r="N959" s="612">
        <v>46132</v>
      </c>
      <c r="O959" s="613"/>
      <c r="P959" s="824" t="s">
        <v>113</v>
      </c>
      <c r="Q959" s="730" t="s">
        <v>3544</v>
      </c>
      <c r="R959" s="614">
        <v>45995</v>
      </c>
      <c r="S959" s="614" t="s">
        <v>70</v>
      </c>
      <c r="T959" s="614" t="s">
        <v>2738</v>
      </c>
      <c r="U959" s="614"/>
      <c r="V959" s="614"/>
      <c r="W959" s="609"/>
      <c r="X959" s="738" t="s">
        <v>3615</v>
      </c>
      <c r="Y959" s="616" t="s">
        <v>2678</v>
      </c>
      <c r="Z959" s="625">
        <v>4.0996</v>
      </c>
      <c r="AA959" s="616">
        <f t="shared" ref="AA959:AA969" si="334">Z959*I959</f>
        <v>6559.36</v>
      </c>
      <c r="AB959" s="554"/>
      <c r="AC959" s="629" t="s">
        <v>3616</v>
      </c>
      <c r="AD959" s="610" t="s">
        <v>2741</v>
      </c>
      <c r="AE959" s="610" t="s">
        <v>82</v>
      </c>
      <c r="AF959" s="610"/>
      <c r="AG959" s="610"/>
      <c r="AH959" s="610">
        <v>1</v>
      </c>
      <c r="AI959" s="610"/>
      <c r="AJ959" s="613">
        <f t="shared" si="332"/>
        <v>-1600</v>
      </c>
      <c r="AK959" s="610"/>
      <c r="AL959" s="610"/>
      <c r="AM959" s="554"/>
      <c r="AN959" s="554">
        <f t="shared" ref="AN959:AN970" si="335">I959</f>
        <v>1600</v>
      </c>
      <c r="AO959" s="554"/>
      <c r="AP959" s="554"/>
      <c r="AQ959" s="554"/>
      <c r="AR959" s="554">
        <f t="shared" ref="AR959:AR964" si="336">I959</f>
        <v>1600</v>
      </c>
      <c r="AS959" s="554"/>
      <c r="AT959" s="554"/>
      <c r="AU959" s="554">
        <f>I959</f>
        <v>1600</v>
      </c>
      <c r="AV959" s="554"/>
      <c r="AW959" s="554">
        <f>I959</f>
        <v>1600</v>
      </c>
      <c r="AX959" s="714"/>
      <c r="AY959" s="554"/>
      <c r="AZ959" s="554"/>
      <c r="BA959" s="554"/>
      <c r="BB959" s="554"/>
      <c r="BC959" s="554"/>
      <c r="BD959" s="554"/>
      <c r="BE959" s="554"/>
      <c r="BF959" s="554"/>
      <c r="BG959" s="554"/>
      <c r="BH959" s="554"/>
      <c r="BI959" s="554"/>
      <c r="BJ959" s="554"/>
      <c r="BK959" s="554"/>
      <c r="BL959" s="554"/>
      <c r="BM959" s="554"/>
      <c r="BN959" s="554">
        <f>I959</f>
        <v>1600</v>
      </c>
      <c r="BO959" s="554"/>
      <c r="BP959" s="554"/>
      <c r="BQ959" s="554"/>
      <c r="BR959" s="554"/>
      <c r="BS959" s="554"/>
      <c r="BT959" s="554"/>
      <c r="BU959" s="554"/>
      <c r="BV959" s="554"/>
      <c r="BW959" s="554"/>
      <c r="BX959" s="554"/>
      <c r="BY959" s="554"/>
      <c r="BZ959" s="554"/>
      <c r="CA959" s="554"/>
      <c r="CB959" s="554"/>
      <c r="CC959" s="554"/>
      <c r="CD959" s="554"/>
      <c r="CE959" s="554"/>
      <c r="CF959" s="554"/>
      <c r="CG959" s="554"/>
      <c r="CH959" s="619"/>
      <c r="CI959" s="619"/>
      <c r="CJ959" s="619"/>
      <c r="CK959" s="619"/>
      <c r="CL959" s="619"/>
      <c r="CM959" s="554"/>
      <c r="CN959" s="554"/>
      <c r="CO959" s="554"/>
      <c r="CP959" s="619"/>
      <c r="CQ959" s="619"/>
      <c r="CR959" s="619"/>
      <c r="CS959" s="619"/>
      <c r="CT959" s="619"/>
      <c r="CU959" s="619"/>
    </row>
    <row r="960" s="1265" customFormat="1" ht="31" customHeight="1" spans="1:99">
      <c r="A960" s="608">
        <v>46087</v>
      </c>
      <c r="B960" s="609" t="s">
        <v>3340</v>
      </c>
      <c r="C960" s="610" t="s">
        <v>98</v>
      </c>
      <c r="D960" s="554">
        <v>4500195557</v>
      </c>
      <c r="E960" s="610">
        <v>332426</v>
      </c>
      <c r="F960" s="554" t="s">
        <v>3617</v>
      </c>
      <c r="G960" s="623" t="s">
        <v>68</v>
      </c>
      <c r="H960" s="633" t="s">
        <v>69</v>
      </c>
      <c r="I960" s="715">
        <v>996</v>
      </c>
      <c r="J960" s="610">
        <v>0</v>
      </c>
      <c r="K960" s="610">
        <v>12</v>
      </c>
      <c r="L960" s="611">
        <f t="shared" si="333"/>
        <v>83</v>
      </c>
      <c r="M960" s="612">
        <v>46136</v>
      </c>
      <c r="N960" s="612">
        <v>46132</v>
      </c>
      <c r="O960" s="613"/>
      <c r="P960" s="824" t="s">
        <v>113</v>
      </c>
      <c r="Q960" s="614"/>
      <c r="R960" s="614"/>
      <c r="S960" s="614" t="s">
        <v>70</v>
      </c>
      <c r="T960" s="614" t="s">
        <v>3618</v>
      </c>
      <c r="U960" s="614"/>
      <c r="V960" s="614"/>
      <c r="W960" s="609"/>
      <c r="X960" s="609" t="s">
        <v>3619</v>
      </c>
      <c r="Y960" s="616" t="s">
        <v>2554</v>
      </c>
      <c r="Z960" s="625">
        <v>2.5573</v>
      </c>
      <c r="AA960" s="616">
        <f t="shared" si="334"/>
        <v>2547.0708</v>
      </c>
      <c r="AB960" s="554"/>
      <c r="AC960" s="629" t="s">
        <v>3620</v>
      </c>
      <c r="AD960" s="610" t="s">
        <v>68</v>
      </c>
      <c r="AE960" s="610" t="s">
        <v>82</v>
      </c>
      <c r="AF960" s="610"/>
      <c r="AG960" s="610"/>
      <c r="AH960" s="610">
        <v>1</v>
      </c>
      <c r="AI960" s="610">
        <v>996</v>
      </c>
      <c r="AJ960" s="610">
        <f t="shared" si="332"/>
        <v>0</v>
      </c>
      <c r="AK960" s="610"/>
      <c r="AL960" s="610" t="s">
        <v>2368</v>
      </c>
      <c r="AM960" s="554"/>
      <c r="AN960" s="554">
        <f t="shared" si="335"/>
        <v>996</v>
      </c>
      <c r="AO960" s="554"/>
      <c r="AP960" s="554"/>
      <c r="AQ960" s="554"/>
      <c r="AR960" s="554">
        <f t="shared" si="336"/>
        <v>996</v>
      </c>
      <c r="AS960" s="554"/>
      <c r="AT960" s="554"/>
      <c r="AU960" s="554">
        <f>I960</f>
        <v>996</v>
      </c>
      <c r="AV960" s="554"/>
      <c r="AW960" s="554">
        <f>I960</f>
        <v>996</v>
      </c>
      <c r="AX960" s="714"/>
      <c r="AY960" s="554"/>
      <c r="AZ960" s="554"/>
      <c r="BA960" s="554"/>
      <c r="BB960" s="554"/>
      <c r="BC960" s="554"/>
      <c r="BD960" s="554"/>
      <c r="BE960" s="554"/>
      <c r="BF960" s="554"/>
      <c r="BG960" s="554"/>
      <c r="BH960" s="554"/>
      <c r="BI960" s="554"/>
      <c r="BJ960" s="554"/>
      <c r="BK960" s="554"/>
      <c r="BL960" s="554"/>
      <c r="BM960" s="554"/>
      <c r="BN960" s="554"/>
      <c r="BO960" s="554"/>
      <c r="BP960" s="554"/>
      <c r="BQ960" s="554"/>
      <c r="BR960" s="554"/>
      <c r="BS960" s="554"/>
      <c r="BT960" s="554"/>
      <c r="BU960" s="554"/>
      <c r="BV960" s="554"/>
      <c r="BW960" s="554"/>
      <c r="BX960" s="554"/>
      <c r="BY960" s="554"/>
      <c r="BZ960" s="554"/>
      <c r="CA960" s="554"/>
      <c r="CB960" s="554"/>
      <c r="CC960" s="554"/>
      <c r="CD960" s="554"/>
      <c r="CE960" s="554"/>
      <c r="CF960" s="554"/>
      <c r="CG960" s="554"/>
      <c r="CH960" s="619"/>
      <c r="CI960" s="619"/>
      <c r="CJ960" s="619"/>
      <c r="CK960" s="619"/>
      <c r="CL960" s="619"/>
      <c r="CM960" s="554"/>
      <c r="CN960" s="554"/>
      <c r="CO960" s="554"/>
      <c r="CP960" s="619"/>
      <c r="CQ960" s="619"/>
      <c r="CR960" s="619"/>
      <c r="CS960" s="619"/>
      <c r="CT960" s="619"/>
      <c r="CU960" s="619"/>
    </row>
    <row r="961" s="1265" customFormat="1" ht="31" customHeight="1" spans="1:99">
      <c r="A961" s="608">
        <v>46087</v>
      </c>
      <c r="B961" s="609" t="s">
        <v>3340</v>
      </c>
      <c r="C961" s="610" t="s">
        <v>98</v>
      </c>
      <c r="D961" s="554">
        <v>4500195558</v>
      </c>
      <c r="E961" s="610">
        <v>332428</v>
      </c>
      <c r="F961" s="554" t="s">
        <v>3621</v>
      </c>
      <c r="G961" s="623" t="s">
        <v>68</v>
      </c>
      <c r="H961" s="633" t="s">
        <v>69</v>
      </c>
      <c r="I961" s="715">
        <v>1200</v>
      </c>
      <c r="J961" s="610">
        <v>0</v>
      </c>
      <c r="K961" s="610">
        <v>12</v>
      </c>
      <c r="L961" s="611">
        <f t="shared" si="333"/>
        <v>100</v>
      </c>
      <c r="M961" s="612">
        <v>46136</v>
      </c>
      <c r="N961" s="612">
        <v>46132</v>
      </c>
      <c r="O961" s="613"/>
      <c r="P961" s="824" t="s">
        <v>113</v>
      </c>
      <c r="Q961" s="614"/>
      <c r="R961" s="614"/>
      <c r="S961" s="614" t="s">
        <v>70</v>
      </c>
      <c r="T961" s="614" t="s">
        <v>3618</v>
      </c>
      <c r="U961" s="614"/>
      <c r="V961" s="614"/>
      <c r="W961" s="609"/>
      <c r="X961" s="609" t="s">
        <v>3622</v>
      </c>
      <c r="Y961" s="616" t="s">
        <v>2554</v>
      </c>
      <c r="Z961" s="625">
        <v>2.5573</v>
      </c>
      <c r="AA961" s="616">
        <f t="shared" si="334"/>
        <v>3068.76</v>
      </c>
      <c r="AB961" s="554"/>
      <c r="AC961" s="629" t="s">
        <v>3623</v>
      </c>
      <c r="AD961" s="610" t="s">
        <v>68</v>
      </c>
      <c r="AE961" s="610" t="s">
        <v>82</v>
      </c>
      <c r="AF961" s="610"/>
      <c r="AG961" s="610"/>
      <c r="AH961" s="610">
        <v>1</v>
      </c>
      <c r="AI961" s="610">
        <v>1200</v>
      </c>
      <c r="AJ961" s="610">
        <f t="shared" si="332"/>
        <v>0</v>
      </c>
      <c r="AK961" s="610"/>
      <c r="AL961" s="610" t="s">
        <v>2368</v>
      </c>
      <c r="AM961" s="554"/>
      <c r="AN961" s="554">
        <f t="shared" si="335"/>
        <v>1200</v>
      </c>
      <c r="AO961" s="554"/>
      <c r="AP961" s="554"/>
      <c r="AQ961" s="554"/>
      <c r="AR961" s="554">
        <f t="shared" si="336"/>
        <v>1200</v>
      </c>
      <c r="AS961" s="554"/>
      <c r="AT961" s="554"/>
      <c r="AU961" s="554">
        <f>I961</f>
        <v>1200</v>
      </c>
      <c r="AV961" s="554"/>
      <c r="AW961" s="554">
        <f>I961</f>
        <v>1200</v>
      </c>
      <c r="AX961" s="714"/>
      <c r="AY961" s="554"/>
      <c r="AZ961" s="554"/>
      <c r="BA961" s="554"/>
      <c r="BB961" s="554"/>
      <c r="BC961" s="554"/>
      <c r="BD961" s="554"/>
      <c r="BE961" s="554"/>
      <c r="BF961" s="554"/>
      <c r="BG961" s="554"/>
      <c r="BH961" s="554"/>
      <c r="BI961" s="554"/>
      <c r="BJ961" s="554"/>
      <c r="BK961" s="554"/>
      <c r="BL961" s="554"/>
      <c r="BM961" s="554"/>
      <c r="BN961" s="554"/>
      <c r="BO961" s="554"/>
      <c r="BP961" s="554"/>
      <c r="BQ961" s="554"/>
      <c r="BR961" s="554"/>
      <c r="BS961" s="554"/>
      <c r="BT961" s="554"/>
      <c r="BU961" s="554"/>
      <c r="BV961" s="554"/>
      <c r="BW961" s="554"/>
      <c r="BX961" s="554"/>
      <c r="BY961" s="554"/>
      <c r="BZ961" s="554"/>
      <c r="CA961" s="554"/>
      <c r="CB961" s="554"/>
      <c r="CC961" s="554"/>
      <c r="CD961" s="554"/>
      <c r="CE961" s="554"/>
      <c r="CF961" s="554"/>
      <c r="CG961" s="554"/>
      <c r="CH961" s="619"/>
      <c r="CI961" s="619"/>
      <c r="CJ961" s="619"/>
      <c r="CK961" s="619"/>
      <c r="CL961" s="619"/>
      <c r="CM961" s="554"/>
      <c r="CN961" s="554"/>
      <c r="CO961" s="554"/>
      <c r="CP961" s="619"/>
      <c r="CQ961" s="619"/>
      <c r="CR961" s="619"/>
      <c r="CS961" s="619"/>
      <c r="CT961" s="619"/>
      <c r="CU961" s="619"/>
    </row>
    <row r="962" s="1265" customFormat="1" ht="31" customHeight="1" spans="1:99">
      <c r="A962" s="608">
        <v>46086</v>
      </c>
      <c r="B962" s="609" t="s">
        <v>120</v>
      </c>
      <c r="C962" s="610" t="s">
        <v>98</v>
      </c>
      <c r="D962" s="554">
        <v>4500195406</v>
      </c>
      <c r="E962" s="610">
        <v>5200009175</v>
      </c>
      <c r="F962" s="554" t="s">
        <v>3624</v>
      </c>
      <c r="G962" s="623" t="s">
        <v>123</v>
      </c>
      <c r="H962" s="633" t="s">
        <v>69</v>
      </c>
      <c r="I962" s="731">
        <v>4992</v>
      </c>
      <c r="J962" s="610">
        <v>0</v>
      </c>
      <c r="K962" s="610">
        <v>12</v>
      </c>
      <c r="L962" s="611">
        <f t="shared" si="333"/>
        <v>416</v>
      </c>
      <c r="M962" s="612">
        <v>46139</v>
      </c>
      <c r="N962" s="612">
        <v>46135</v>
      </c>
      <c r="O962" s="613"/>
      <c r="P962" s="824" t="s">
        <v>113</v>
      </c>
      <c r="Q962" s="614"/>
      <c r="R962" s="614">
        <v>46086</v>
      </c>
      <c r="S962" s="614" t="s">
        <v>70</v>
      </c>
      <c r="T962" s="614" t="s">
        <v>70</v>
      </c>
      <c r="U962" s="614"/>
      <c r="V962" s="614"/>
      <c r="W962" s="609"/>
      <c r="X962" s="609" t="s">
        <v>3565</v>
      </c>
      <c r="Y962" s="616" t="s">
        <v>125</v>
      </c>
      <c r="Z962" s="625">
        <v>2.5238</v>
      </c>
      <c r="AA962" s="616">
        <f t="shared" si="334"/>
        <v>12598.8096</v>
      </c>
      <c r="AB962" s="554"/>
      <c r="AC962" s="629" t="s">
        <v>3625</v>
      </c>
      <c r="AD962" s="610" t="s">
        <v>68</v>
      </c>
      <c r="AE962" s="610" t="s">
        <v>82</v>
      </c>
      <c r="AF962" s="610"/>
      <c r="AG962" s="610"/>
      <c r="AH962" s="610">
        <v>1</v>
      </c>
      <c r="AI962" s="610">
        <v>4992</v>
      </c>
      <c r="AJ962" s="613">
        <f t="shared" si="332"/>
        <v>0</v>
      </c>
      <c r="AK962" s="610"/>
      <c r="AL962" s="610"/>
      <c r="AM962" s="554"/>
      <c r="AN962" s="554">
        <f t="shared" si="335"/>
        <v>4992</v>
      </c>
      <c r="AO962" s="554"/>
      <c r="AP962" s="554"/>
      <c r="AQ962" s="554"/>
      <c r="AR962" s="554">
        <f t="shared" si="336"/>
        <v>4992</v>
      </c>
      <c r="AS962" s="554"/>
      <c r="AT962" s="554"/>
      <c r="AU962" s="554">
        <f>I962</f>
        <v>4992</v>
      </c>
      <c r="AV962" s="554"/>
      <c r="AW962" s="554">
        <f>I962</f>
        <v>4992</v>
      </c>
      <c r="AX962" s="714"/>
      <c r="AY962" s="554"/>
      <c r="AZ962" s="554"/>
      <c r="BA962" s="554"/>
      <c r="BB962" s="554"/>
      <c r="BC962" s="554"/>
      <c r="BD962" s="554"/>
      <c r="BE962" s="554"/>
      <c r="BF962" s="554"/>
      <c r="BG962" s="554"/>
      <c r="BH962" s="554"/>
      <c r="BI962" s="554"/>
      <c r="BJ962" s="554"/>
      <c r="BK962" s="554"/>
      <c r="BL962" s="554"/>
      <c r="BM962" s="554"/>
      <c r="BN962" s="554"/>
      <c r="BO962" s="554"/>
      <c r="BP962" s="554"/>
      <c r="BQ962" s="554"/>
      <c r="BR962" s="554"/>
      <c r="BS962" s="554"/>
      <c r="BT962" s="554"/>
      <c r="BU962" s="554"/>
      <c r="BV962" s="554"/>
      <c r="BW962" s="554"/>
      <c r="BX962" s="554"/>
      <c r="BY962" s="554"/>
      <c r="BZ962" s="554"/>
      <c r="CA962" s="554"/>
      <c r="CB962" s="554"/>
      <c r="CC962" s="554"/>
      <c r="CD962" s="554"/>
      <c r="CE962" s="554"/>
      <c r="CF962" s="554"/>
      <c r="CG962" s="554"/>
      <c r="CH962" s="619"/>
      <c r="CI962" s="619"/>
      <c r="CJ962" s="619"/>
      <c r="CK962" s="619"/>
      <c r="CL962" s="619"/>
      <c r="CM962" s="554"/>
      <c r="CN962" s="554"/>
      <c r="CO962" s="554"/>
      <c r="CP962" s="619"/>
      <c r="CQ962" s="619"/>
      <c r="CR962" s="619"/>
      <c r="CS962" s="619"/>
      <c r="CT962" s="619"/>
      <c r="CU962" s="619"/>
    </row>
    <row r="963" s="1265" customFormat="1" ht="31" customHeight="1" spans="1:99">
      <c r="A963" s="608">
        <v>46087</v>
      </c>
      <c r="B963" s="609" t="s">
        <v>1800</v>
      </c>
      <c r="C963" s="610" t="s">
        <v>744</v>
      </c>
      <c r="D963" s="554">
        <v>4500195548</v>
      </c>
      <c r="E963" s="610">
        <v>5000002140</v>
      </c>
      <c r="F963" s="554" t="s">
        <v>3626</v>
      </c>
      <c r="G963" s="623" t="s">
        <v>518</v>
      </c>
      <c r="H963" s="610" t="s">
        <v>477</v>
      </c>
      <c r="I963" s="715">
        <v>6000</v>
      </c>
      <c r="J963" s="610">
        <v>0</v>
      </c>
      <c r="K963" s="610">
        <v>6</v>
      </c>
      <c r="L963" s="611">
        <f t="shared" si="333"/>
        <v>1000</v>
      </c>
      <c r="M963" s="612">
        <v>46139</v>
      </c>
      <c r="N963" s="612">
        <v>46135</v>
      </c>
      <c r="O963" s="613"/>
      <c r="P963" s="824" t="s">
        <v>113</v>
      </c>
      <c r="Q963" s="614"/>
      <c r="R963" s="614" t="s">
        <v>3299</v>
      </c>
      <c r="S963" s="614" t="s">
        <v>104</v>
      </c>
      <c r="T963" s="614" t="s">
        <v>3028</v>
      </c>
      <c r="U963" s="614"/>
      <c r="V963" s="614"/>
      <c r="W963" s="609"/>
      <c r="X963" s="609" t="s">
        <v>3522</v>
      </c>
      <c r="Y963" s="616" t="s">
        <v>1805</v>
      </c>
      <c r="Z963" s="718">
        <v>6.3788</v>
      </c>
      <c r="AA963" s="616">
        <f t="shared" si="334"/>
        <v>38272.8</v>
      </c>
      <c r="AB963" s="554"/>
      <c r="AC963" s="617"/>
      <c r="AD963" s="610" t="s">
        <v>2241</v>
      </c>
      <c r="AE963" s="610" t="s">
        <v>82</v>
      </c>
      <c r="AF963" s="610"/>
      <c r="AG963" s="610"/>
      <c r="AH963" s="610">
        <v>1</v>
      </c>
      <c r="AI963" s="610"/>
      <c r="AJ963" s="610">
        <f t="shared" si="332"/>
        <v>-6000</v>
      </c>
      <c r="AK963" s="610"/>
      <c r="AL963" s="610"/>
      <c r="AM963" s="554"/>
      <c r="AN963" s="554">
        <f t="shared" si="335"/>
        <v>6000</v>
      </c>
      <c r="AO963" s="554"/>
      <c r="AP963" s="554"/>
      <c r="AQ963" s="554"/>
      <c r="AR963" s="554">
        <f t="shared" si="336"/>
        <v>6000</v>
      </c>
      <c r="AS963" s="554"/>
      <c r="AT963" s="554"/>
      <c r="AU963" s="554"/>
      <c r="AV963" s="554">
        <f>I963</f>
        <v>6000</v>
      </c>
      <c r="AW963" s="554"/>
      <c r="AX963" s="714">
        <f>I963</f>
        <v>6000</v>
      </c>
      <c r="AY963" s="554"/>
      <c r="AZ963" s="554"/>
      <c r="BA963" s="554"/>
      <c r="BB963" s="554"/>
      <c r="BC963" s="554"/>
      <c r="BD963" s="554"/>
      <c r="BE963" s="554"/>
      <c r="BF963" s="554"/>
      <c r="BG963" s="554"/>
      <c r="BH963" s="554"/>
      <c r="BI963" s="554"/>
      <c r="BJ963" s="554"/>
      <c r="BK963" s="554"/>
      <c r="BL963" s="554"/>
      <c r="BM963" s="554"/>
      <c r="BN963" s="554">
        <f>I963</f>
        <v>6000</v>
      </c>
      <c r="BO963" s="554"/>
      <c r="BP963" s="554"/>
      <c r="BQ963" s="554"/>
      <c r="BR963" s="554"/>
      <c r="BS963" s="554"/>
      <c r="BT963" s="554"/>
      <c r="BU963" s="554"/>
      <c r="BV963" s="554"/>
      <c r="BW963" s="554"/>
      <c r="BX963" s="554"/>
      <c r="BY963" s="554"/>
      <c r="BZ963" s="554"/>
      <c r="CA963" s="554"/>
      <c r="CB963" s="554"/>
      <c r="CC963" s="554"/>
      <c r="CD963" s="554"/>
      <c r="CE963" s="554"/>
      <c r="CF963" s="554"/>
      <c r="CG963" s="554"/>
      <c r="CH963" s="619"/>
      <c r="CI963" s="619"/>
      <c r="CJ963" s="619"/>
      <c r="CK963" s="619"/>
      <c r="CL963" s="619"/>
      <c r="CM963" s="554"/>
      <c r="CN963" s="554"/>
      <c r="CO963" s="554"/>
      <c r="CP963" s="619"/>
      <c r="CQ963" s="619"/>
      <c r="CR963" s="619"/>
      <c r="CS963" s="619"/>
      <c r="CT963" s="619"/>
      <c r="CU963" s="619"/>
    </row>
    <row r="964" s="1265" customFormat="1" ht="31" customHeight="1" spans="1:99">
      <c r="A964" s="608">
        <v>46087</v>
      </c>
      <c r="B964" s="609" t="s">
        <v>1800</v>
      </c>
      <c r="C964" s="610" t="s">
        <v>744</v>
      </c>
      <c r="D964" s="554">
        <v>4500195548</v>
      </c>
      <c r="E964" s="610">
        <v>5000002140</v>
      </c>
      <c r="F964" s="554" t="s">
        <v>3627</v>
      </c>
      <c r="G964" s="623" t="s">
        <v>518</v>
      </c>
      <c r="H964" s="610" t="s">
        <v>477</v>
      </c>
      <c r="I964" s="715">
        <v>1200</v>
      </c>
      <c r="J964" s="610">
        <v>0</v>
      </c>
      <c r="K964" s="610">
        <v>6</v>
      </c>
      <c r="L964" s="611">
        <f t="shared" si="333"/>
        <v>200</v>
      </c>
      <c r="M964" s="612">
        <v>46139</v>
      </c>
      <c r="N964" s="612">
        <v>46135</v>
      </c>
      <c r="O964" s="613"/>
      <c r="P964" s="824" t="s">
        <v>113</v>
      </c>
      <c r="Q964" s="614"/>
      <c r="R964" s="614" t="s">
        <v>3299</v>
      </c>
      <c r="S964" s="614" t="s">
        <v>104</v>
      </c>
      <c r="T964" s="614" t="s">
        <v>3028</v>
      </c>
      <c r="U964" s="614"/>
      <c r="V964" s="614"/>
      <c r="W964" s="609"/>
      <c r="X964" s="609" t="s">
        <v>3522</v>
      </c>
      <c r="Y964" s="616" t="s">
        <v>1805</v>
      </c>
      <c r="Z964" s="718">
        <v>6.3788</v>
      </c>
      <c r="AA964" s="616">
        <f t="shared" si="334"/>
        <v>7654.56</v>
      </c>
      <c r="AB964" s="554"/>
      <c r="AC964" s="617"/>
      <c r="AD964" s="610" t="s">
        <v>2241</v>
      </c>
      <c r="AE964" s="610" t="s">
        <v>82</v>
      </c>
      <c r="AF964" s="610"/>
      <c r="AG964" s="610"/>
      <c r="AH964" s="610">
        <v>1</v>
      </c>
      <c r="AI964" s="610"/>
      <c r="AJ964" s="610">
        <f t="shared" si="332"/>
        <v>-1200</v>
      </c>
      <c r="AK964" s="610"/>
      <c r="AL964" s="610"/>
      <c r="AM964" s="554"/>
      <c r="AN964" s="554">
        <f t="shared" si="335"/>
        <v>1200</v>
      </c>
      <c r="AO964" s="554"/>
      <c r="AP964" s="554"/>
      <c r="AQ964" s="554"/>
      <c r="AR964" s="554">
        <f t="shared" si="336"/>
        <v>1200</v>
      </c>
      <c r="AS964" s="554"/>
      <c r="AT964" s="554"/>
      <c r="AU964" s="554"/>
      <c r="AV964" s="554">
        <f>I964</f>
        <v>1200</v>
      </c>
      <c r="AW964" s="554"/>
      <c r="AX964" s="714">
        <f>I964</f>
        <v>1200</v>
      </c>
      <c r="AY964" s="554"/>
      <c r="AZ964" s="554"/>
      <c r="BA964" s="554"/>
      <c r="BB964" s="554"/>
      <c r="BC964" s="554"/>
      <c r="BD964" s="554"/>
      <c r="BE964" s="554"/>
      <c r="BF964" s="554"/>
      <c r="BG964" s="554"/>
      <c r="BH964" s="554"/>
      <c r="BI964" s="554"/>
      <c r="BJ964" s="554"/>
      <c r="BK964" s="554"/>
      <c r="BL964" s="554"/>
      <c r="BM964" s="554"/>
      <c r="BN964" s="554">
        <f>I964</f>
        <v>1200</v>
      </c>
      <c r="BO964" s="554"/>
      <c r="BP964" s="554"/>
      <c r="BQ964" s="554"/>
      <c r="BR964" s="554"/>
      <c r="BS964" s="554"/>
      <c r="BT964" s="554"/>
      <c r="BU964" s="554"/>
      <c r="BV964" s="554"/>
      <c r="BW964" s="554"/>
      <c r="BX964" s="554"/>
      <c r="BY964" s="554"/>
      <c r="BZ964" s="554"/>
      <c r="CA964" s="554"/>
      <c r="CB964" s="554"/>
      <c r="CC964" s="554"/>
      <c r="CD964" s="554"/>
      <c r="CE964" s="554"/>
      <c r="CF964" s="554"/>
      <c r="CG964" s="554"/>
      <c r="CH964" s="619"/>
      <c r="CI964" s="619"/>
      <c r="CJ964" s="619"/>
      <c r="CK964" s="619"/>
      <c r="CL964" s="619"/>
      <c r="CM964" s="554"/>
      <c r="CN964" s="554"/>
      <c r="CO964" s="554"/>
      <c r="CP964" s="619"/>
      <c r="CQ964" s="619"/>
      <c r="CR964" s="619"/>
      <c r="CS964" s="619"/>
      <c r="CT964" s="619"/>
      <c r="CU964" s="619"/>
    </row>
    <row r="965" s="1265" customFormat="1" ht="31" customHeight="1" spans="1:99">
      <c r="A965" s="608">
        <v>46092</v>
      </c>
      <c r="B965" s="609" t="s">
        <v>1429</v>
      </c>
      <c r="C965" s="610" t="s">
        <v>411</v>
      </c>
      <c r="D965" s="554">
        <v>4500196281</v>
      </c>
      <c r="E965" s="610">
        <v>5200009101</v>
      </c>
      <c r="F965" s="554" t="s">
        <v>3628</v>
      </c>
      <c r="G965" s="623" t="s">
        <v>156</v>
      </c>
      <c r="H965" s="610" t="s">
        <v>102</v>
      </c>
      <c r="I965" s="715">
        <v>4800</v>
      </c>
      <c r="J965" s="610">
        <v>0</v>
      </c>
      <c r="K965" s="610">
        <v>4</v>
      </c>
      <c r="L965" s="611">
        <f t="shared" si="333"/>
        <v>1200</v>
      </c>
      <c r="M965" s="612">
        <v>46139</v>
      </c>
      <c r="N965" s="612">
        <v>46135</v>
      </c>
      <c r="O965" s="613"/>
      <c r="P965" s="824" t="s">
        <v>113</v>
      </c>
      <c r="Q965" s="614"/>
      <c r="R965" s="614" t="s">
        <v>3629</v>
      </c>
      <c r="S965" s="614" t="s">
        <v>70</v>
      </c>
      <c r="T965" s="614" t="s">
        <v>3630</v>
      </c>
      <c r="U965" s="614"/>
      <c r="V965" s="614"/>
      <c r="W965" s="609"/>
      <c r="X965" s="609" t="s">
        <v>3631</v>
      </c>
      <c r="Y965" s="616" t="s">
        <v>415</v>
      </c>
      <c r="Z965" s="625">
        <v>4.3467</v>
      </c>
      <c r="AA965" s="616">
        <f t="shared" si="334"/>
        <v>20864.16</v>
      </c>
      <c r="AB965" s="554"/>
      <c r="AC965" s="617"/>
      <c r="AD965" s="610" t="s">
        <v>156</v>
      </c>
      <c r="AE965" s="610" t="s">
        <v>82</v>
      </c>
      <c r="AF965" s="610"/>
      <c r="AG965" s="610"/>
      <c r="AH965" s="610">
        <v>1</v>
      </c>
      <c r="AI965" s="610">
        <v>4800</v>
      </c>
      <c r="AJ965" s="610">
        <f t="shared" si="332"/>
        <v>0</v>
      </c>
      <c r="AK965" s="610"/>
      <c r="AL965" s="610" t="s">
        <v>2368</v>
      </c>
      <c r="AM965" s="554"/>
      <c r="AN965" s="554">
        <f t="shared" si="335"/>
        <v>4800</v>
      </c>
      <c r="AO965" s="554"/>
      <c r="AP965" s="554"/>
      <c r="AQ965" s="554"/>
      <c r="AR965" s="554"/>
      <c r="AS965" s="554">
        <f>I965</f>
        <v>4800</v>
      </c>
      <c r="AT965" s="554"/>
      <c r="AU965" s="554">
        <f t="shared" ref="AU965:AU970" si="337">I965</f>
        <v>4800</v>
      </c>
      <c r="AV965" s="554"/>
      <c r="AW965" s="554">
        <f t="shared" ref="AW965:AW970" si="338">I965</f>
        <v>4800</v>
      </c>
      <c r="AX965" s="714"/>
      <c r="AY965" s="554"/>
      <c r="AZ965" s="554"/>
      <c r="BA965" s="554"/>
      <c r="BB965" s="554"/>
      <c r="BC965" s="554"/>
      <c r="BD965" s="554"/>
      <c r="BE965" s="554"/>
      <c r="BF965" s="554"/>
      <c r="BG965" s="554"/>
      <c r="BH965" s="554"/>
      <c r="BI965" s="825">
        <f>I965/4</f>
        <v>1200</v>
      </c>
      <c r="BJ965" s="554"/>
      <c r="BK965" s="554"/>
      <c r="BL965" s="554"/>
      <c r="BM965" s="554"/>
      <c r="BN965" s="554"/>
      <c r="BO965" s="554"/>
      <c r="BP965" s="554"/>
      <c r="BQ965" s="554"/>
      <c r="BR965" s="554"/>
      <c r="BS965" s="554"/>
      <c r="BT965" s="554"/>
      <c r="BU965" s="554"/>
      <c r="BV965" s="554"/>
      <c r="BW965" s="554"/>
      <c r="BX965" s="554"/>
      <c r="BY965" s="554"/>
      <c r="BZ965" s="554"/>
      <c r="CA965" s="554"/>
      <c r="CB965" s="554"/>
      <c r="CC965" s="554"/>
      <c r="CD965" s="554"/>
      <c r="CE965" s="554"/>
      <c r="CF965" s="554"/>
      <c r="CG965" s="554"/>
      <c r="CH965" s="619"/>
      <c r="CI965" s="619"/>
      <c r="CJ965" s="619"/>
      <c r="CK965" s="619"/>
      <c r="CL965" s="619"/>
      <c r="CM965" s="554"/>
      <c r="CN965" s="554"/>
      <c r="CO965" s="554"/>
      <c r="CP965" s="619"/>
      <c r="CQ965" s="619"/>
      <c r="CR965" s="619"/>
      <c r="CS965" s="619"/>
      <c r="CT965" s="619"/>
      <c r="CU965" s="619"/>
    </row>
    <row r="966" s="1265" customFormat="1" ht="31" customHeight="1" spans="1:99">
      <c r="A966" s="608">
        <v>46092</v>
      </c>
      <c r="B966" s="609" t="s">
        <v>2734</v>
      </c>
      <c r="C966" s="610" t="s">
        <v>98</v>
      </c>
      <c r="D966" s="554">
        <v>4500196190</v>
      </c>
      <c r="E966" s="610">
        <v>60287663</v>
      </c>
      <c r="F966" s="554" t="s">
        <v>3632</v>
      </c>
      <c r="G966" s="623" t="s">
        <v>2736</v>
      </c>
      <c r="H966" s="610" t="s">
        <v>2737</v>
      </c>
      <c r="I966" s="715">
        <v>6000</v>
      </c>
      <c r="J966" s="610">
        <v>0</v>
      </c>
      <c r="K966" s="610">
        <v>8</v>
      </c>
      <c r="L966" s="611">
        <f t="shared" si="333"/>
        <v>750</v>
      </c>
      <c r="M966" s="612">
        <v>46139</v>
      </c>
      <c r="N966" s="612">
        <v>46135</v>
      </c>
      <c r="O966" s="613"/>
      <c r="P966" s="824" t="s">
        <v>113</v>
      </c>
      <c r="Q966" s="614"/>
      <c r="R966" s="614">
        <v>46098</v>
      </c>
      <c r="S966" s="614" t="s">
        <v>70</v>
      </c>
      <c r="T966" s="614" t="s">
        <v>2738</v>
      </c>
      <c r="U966" s="614"/>
      <c r="V966" s="614"/>
      <c r="W966" s="609"/>
      <c r="X966" s="609" t="s">
        <v>3633</v>
      </c>
      <c r="Y966" s="616" t="s">
        <v>1318</v>
      </c>
      <c r="Z966" s="718">
        <v>4.0382</v>
      </c>
      <c r="AA966" s="616">
        <f t="shared" si="334"/>
        <v>24229.2</v>
      </c>
      <c r="AB966" s="554"/>
      <c r="AC966" s="629" t="s">
        <v>3634</v>
      </c>
      <c r="AD966" s="610" t="s">
        <v>2741</v>
      </c>
      <c r="AE966" s="610" t="s">
        <v>82</v>
      </c>
      <c r="AF966" s="610"/>
      <c r="AG966" s="610"/>
      <c r="AH966" s="610">
        <v>1</v>
      </c>
      <c r="AI966" s="610"/>
      <c r="AJ966" s="610">
        <f t="shared" si="332"/>
        <v>-6000</v>
      </c>
      <c r="AK966" s="610"/>
      <c r="AL966" s="610"/>
      <c r="AM966" s="554"/>
      <c r="AN966" s="554">
        <f t="shared" si="335"/>
        <v>6000</v>
      </c>
      <c r="AO966" s="554"/>
      <c r="AP966" s="554"/>
      <c r="AQ966" s="554"/>
      <c r="AR966" s="554">
        <f>I966</f>
        <v>6000</v>
      </c>
      <c r="AS966" s="554"/>
      <c r="AT966" s="554"/>
      <c r="AU966" s="554">
        <f t="shared" si="337"/>
        <v>6000</v>
      </c>
      <c r="AV966" s="554"/>
      <c r="AW966" s="554">
        <f t="shared" si="338"/>
        <v>6000</v>
      </c>
      <c r="AX966" s="714"/>
      <c r="AY966" s="554"/>
      <c r="AZ966" s="554"/>
      <c r="BA966" s="554"/>
      <c r="BB966" s="554"/>
      <c r="BC966" s="554"/>
      <c r="BD966" s="554"/>
      <c r="BE966" s="554"/>
      <c r="BF966" s="554"/>
      <c r="BG966" s="554"/>
      <c r="BH966" s="554"/>
      <c r="BI966" s="554"/>
      <c r="BJ966" s="554"/>
      <c r="BK966" s="554"/>
      <c r="BL966" s="554"/>
      <c r="BM966" s="554"/>
      <c r="BN966" s="554">
        <f>I966</f>
        <v>6000</v>
      </c>
      <c r="BO966" s="554"/>
      <c r="BP966" s="554"/>
      <c r="BQ966" s="554"/>
      <c r="BR966" s="554"/>
      <c r="BS966" s="554"/>
      <c r="BT966" s="554"/>
      <c r="BU966" s="554"/>
      <c r="BV966" s="554"/>
      <c r="BW966" s="554"/>
      <c r="BX966" s="554"/>
      <c r="BY966" s="554"/>
      <c r="BZ966" s="554"/>
      <c r="CA966" s="554"/>
      <c r="CB966" s="554"/>
      <c r="CC966" s="554"/>
      <c r="CD966" s="554"/>
      <c r="CE966" s="554"/>
      <c r="CF966" s="554"/>
      <c r="CG966" s="554"/>
      <c r="CH966" s="619"/>
      <c r="CI966" s="619"/>
      <c r="CJ966" s="619"/>
      <c r="CK966" s="619"/>
      <c r="CL966" s="619"/>
      <c r="CM966" s="554"/>
      <c r="CN966" s="554"/>
      <c r="CO966" s="554"/>
      <c r="CP966" s="619"/>
      <c r="CQ966" s="619"/>
      <c r="CR966" s="619"/>
      <c r="CS966" s="619"/>
      <c r="CT966" s="619"/>
      <c r="CU966" s="619"/>
    </row>
    <row r="967" s="1265" customFormat="1" ht="31" customHeight="1" spans="1:99">
      <c r="A967" s="608">
        <v>46107</v>
      </c>
      <c r="B967" s="609" t="s">
        <v>871</v>
      </c>
      <c r="C967" s="610" t="s">
        <v>98</v>
      </c>
      <c r="D967" s="554" t="s">
        <v>3635</v>
      </c>
      <c r="E967" s="610" t="s">
        <v>3636</v>
      </c>
      <c r="F967" s="554" t="s">
        <v>3637</v>
      </c>
      <c r="G967" s="623" t="s">
        <v>111</v>
      </c>
      <c r="H967" s="246" t="s">
        <v>112</v>
      </c>
      <c r="I967" s="610">
        <v>1760</v>
      </c>
      <c r="J967" s="610">
        <v>0</v>
      </c>
      <c r="K967" s="610">
        <v>4</v>
      </c>
      <c r="L967" s="611">
        <f t="shared" si="333"/>
        <v>440</v>
      </c>
      <c r="M967" s="612">
        <v>46139</v>
      </c>
      <c r="N967" s="612">
        <v>46135</v>
      </c>
      <c r="O967" s="613" t="s">
        <v>3638</v>
      </c>
      <c r="P967" s="824" t="s">
        <v>113</v>
      </c>
      <c r="Q967" s="614"/>
      <c r="R967" s="614" t="s">
        <v>3639</v>
      </c>
      <c r="S967" s="614" t="s">
        <v>70</v>
      </c>
      <c r="T967" s="614" t="s">
        <v>70</v>
      </c>
      <c r="U967" s="614"/>
      <c r="V967" s="614"/>
      <c r="W967" s="609"/>
      <c r="X967" s="609" t="s">
        <v>3640</v>
      </c>
      <c r="Y967" s="616" t="s">
        <v>3641</v>
      </c>
      <c r="Z967" s="718"/>
      <c r="AA967" s="616"/>
      <c r="AB967" s="554"/>
      <c r="AC967" s="629" t="s">
        <v>3642</v>
      </c>
      <c r="AD967" s="610" t="s">
        <v>111</v>
      </c>
      <c r="AE967" s="610" t="s">
        <v>82</v>
      </c>
      <c r="AF967" s="610"/>
      <c r="AG967" s="610"/>
      <c r="AH967" s="610">
        <v>1</v>
      </c>
      <c r="AI967" s="610">
        <v>1760</v>
      </c>
      <c r="AJ967" s="610">
        <f t="shared" si="332"/>
        <v>0</v>
      </c>
      <c r="AK967" s="610"/>
      <c r="AL967" s="610"/>
      <c r="AM967" s="554"/>
      <c r="AN967" s="554">
        <f t="shared" si="335"/>
        <v>1760</v>
      </c>
      <c r="AO967" s="554"/>
      <c r="AP967" s="554"/>
      <c r="AQ967" s="554"/>
      <c r="AR967" s="554">
        <f>I967</f>
        <v>1760</v>
      </c>
      <c r="AS967" s="554"/>
      <c r="AT967" s="554"/>
      <c r="AU967" s="554">
        <f t="shared" si="337"/>
        <v>1760</v>
      </c>
      <c r="AV967" s="554"/>
      <c r="AW967" s="554">
        <f t="shared" si="338"/>
        <v>1760</v>
      </c>
      <c r="AX967" s="714"/>
      <c r="AY967" s="554"/>
      <c r="AZ967" s="554"/>
      <c r="BA967" s="554"/>
      <c r="BB967" s="554"/>
      <c r="BC967" s="554"/>
      <c r="BD967" s="554"/>
      <c r="BE967" s="554"/>
      <c r="BF967" s="554"/>
      <c r="BG967" s="554"/>
      <c r="BH967" s="825">
        <f>I967/4</f>
        <v>440</v>
      </c>
      <c r="BI967" s="554"/>
      <c r="BJ967" s="554"/>
      <c r="BK967" s="554"/>
      <c r="BL967" s="554"/>
      <c r="BM967" s="554"/>
      <c r="BN967" s="554"/>
      <c r="BO967" s="554"/>
      <c r="BP967" s="554"/>
      <c r="BQ967" s="554"/>
      <c r="BR967" s="554"/>
      <c r="BS967" s="554"/>
      <c r="BT967" s="554"/>
      <c r="BU967" s="554"/>
      <c r="BV967" s="554"/>
      <c r="BW967" s="554"/>
      <c r="BX967" s="554"/>
      <c r="BY967" s="554"/>
      <c r="BZ967" s="554"/>
      <c r="CA967" s="554"/>
      <c r="CB967" s="554"/>
      <c r="CC967" s="554"/>
      <c r="CD967" s="554"/>
      <c r="CE967" s="554"/>
      <c r="CF967" s="554"/>
      <c r="CG967" s="554"/>
      <c r="CH967" s="619"/>
      <c r="CI967" s="619"/>
      <c r="CJ967" s="619"/>
      <c r="CK967" s="619"/>
      <c r="CL967" s="619"/>
      <c r="CM967" s="554"/>
      <c r="CN967" s="554"/>
      <c r="CO967" s="554"/>
      <c r="CP967" s="619"/>
      <c r="CQ967" s="619"/>
      <c r="CR967" s="619"/>
      <c r="CS967" s="619"/>
      <c r="CT967" s="619"/>
      <c r="CU967" s="619"/>
    </row>
    <row r="968" s="1265" customFormat="1" ht="31" customHeight="1" spans="1:99">
      <c r="A968" s="608">
        <v>46092</v>
      </c>
      <c r="B968" s="609" t="s">
        <v>1928</v>
      </c>
      <c r="C968" s="610" t="s">
        <v>424</v>
      </c>
      <c r="D968" s="554">
        <v>4500196301</v>
      </c>
      <c r="E968" s="610">
        <v>160748</v>
      </c>
      <c r="F968" s="554" t="s">
        <v>3643</v>
      </c>
      <c r="G968" s="623" t="s">
        <v>101</v>
      </c>
      <c r="H968" s="610" t="s">
        <v>102</v>
      </c>
      <c r="I968" s="610">
        <v>624</v>
      </c>
      <c r="J968" s="610">
        <v>0</v>
      </c>
      <c r="K968" s="610">
        <v>4</v>
      </c>
      <c r="L968" s="611">
        <f t="shared" si="333"/>
        <v>156</v>
      </c>
      <c r="M968" s="612">
        <v>46140</v>
      </c>
      <c r="N968" s="612">
        <v>46136</v>
      </c>
      <c r="O968" s="613"/>
      <c r="P968" s="824" t="s">
        <v>113</v>
      </c>
      <c r="Q968" s="614"/>
      <c r="R968" s="614" t="s">
        <v>3644</v>
      </c>
      <c r="S968" s="614" t="s">
        <v>70</v>
      </c>
      <c r="T968" s="614" t="s">
        <v>3645</v>
      </c>
      <c r="U968" s="614"/>
      <c r="V968" s="614"/>
      <c r="W968" s="609"/>
      <c r="X968" s="609" t="s">
        <v>3646</v>
      </c>
      <c r="Y968" s="616" t="s">
        <v>696</v>
      </c>
      <c r="Z968" s="625">
        <v>4.4032</v>
      </c>
      <c r="AA968" s="616">
        <f>Z968*I968</f>
        <v>2747.5968</v>
      </c>
      <c r="AB968" s="554"/>
      <c r="AC968" s="617"/>
      <c r="AD968" s="610" t="s">
        <v>156</v>
      </c>
      <c r="AE968" s="610" t="s">
        <v>82</v>
      </c>
      <c r="AF968" s="610"/>
      <c r="AG968" s="610"/>
      <c r="AH968" s="610">
        <v>1</v>
      </c>
      <c r="AI968" s="610">
        <v>624</v>
      </c>
      <c r="AJ968" s="610">
        <f t="shared" si="332"/>
        <v>0</v>
      </c>
      <c r="AK968" s="610"/>
      <c r="AL968" s="610" t="s">
        <v>2368</v>
      </c>
      <c r="AM968" s="554"/>
      <c r="AN968" s="554">
        <f t="shared" si="335"/>
        <v>624</v>
      </c>
      <c r="AO968" s="554"/>
      <c r="AP968" s="554"/>
      <c r="AQ968" s="554"/>
      <c r="AR968" s="554"/>
      <c r="AS968" s="554">
        <f>I968</f>
        <v>624</v>
      </c>
      <c r="AT968" s="554"/>
      <c r="AU968" s="554">
        <f t="shared" si="337"/>
        <v>624</v>
      </c>
      <c r="AV968" s="554"/>
      <c r="AW968" s="554">
        <f t="shared" si="338"/>
        <v>624</v>
      </c>
      <c r="AX968" s="714"/>
      <c r="AY968" s="554"/>
      <c r="AZ968" s="554"/>
      <c r="BA968" s="554"/>
      <c r="BB968" s="554"/>
      <c r="BC968" s="554"/>
      <c r="BD968" s="554"/>
      <c r="BE968" s="554"/>
      <c r="BF968" s="554"/>
      <c r="BG968" s="554"/>
      <c r="BH968" s="554"/>
      <c r="BI968" s="825">
        <f>I968/4</f>
        <v>156</v>
      </c>
      <c r="BJ968" s="554"/>
      <c r="BK968" s="554"/>
      <c r="BL968" s="554"/>
      <c r="BM968" s="554"/>
      <c r="BN968" s="554"/>
      <c r="BO968" s="554"/>
      <c r="BP968" s="554"/>
      <c r="BQ968" s="554"/>
      <c r="BR968" s="554"/>
      <c r="BS968" s="554"/>
      <c r="BT968" s="554"/>
      <c r="BU968" s="554"/>
      <c r="BV968" s="554"/>
      <c r="BW968" s="554"/>
      <c r="BX968" s="554"/>
      <c r="BY968" s="554"/>
      <c r="BZ968" s="554"/>
      <c r="CA968" s="554"/>
      <c r="CB968" s="554"/>
      <c r="CC968" s="554"/>
      <c r="CD968" s="554"/>
      <c r="CE968" s="554"/>
      <c r="CF968" s="554"/>
      <c r="CG968" s="554"/>
      <c r="CH968" s="619"/>
      <c r="CI968" s="619"/>
      <c r="CJ968" s="619"/>
      <c r="CK968" s="619"/>
      <c r="CL968" s="619"/>
      <c r="CM968" s="554"/>
      <c r="CN968" s="554"/>
      <c r="CO968" s="554"/>
      <c r="CP968" s="619"/>
      <c r="CQ968" s="619"/>
      <c r="CR968" s="619"/>
      <c r="CS968" s="619"/>
      <c r="CT968" s="619"/>
      <c r="CU968" s="619"/>
    </row>
    <row r="969" s="1265" customFormat="1" ht="31" customHeight="1" spans="1:99">
      <c r="A969" s="608">
        <v>46093</v>
      </c>
      <c r="B969" s="1346" t="s">
        <v>1320</v>
      </c>
      <c r="C969" s="610" t="s">
        <v>411</v>
      </c>
      <c r="D969" s="1347">
        <v>4500196388</v>
      </c>
      <c r="E969" s="610"/>
      <c r="F969" s="554" t="s">
        <v>3647</v>
      </c>
      <c r="G969" s="623" t="s">
        <v>68</v>
      </c>
      <c r="H969" s="633" t="s">
        <v>69</v>
      </c>
      <c r="I969" s="715">
        <v>648</v>
      </c>
      <c r="J969" s="610">
        <v>0</v>
      </c>
      <c r="K969" s="610">
        <v>12</v>
      </c>
      <c r="L969" s="611">
        <f t="shared" si="333"/>
        <v>54</v>
      </c>
      <c r="M969" s="612">
        <v>46140</v>
      </c>
      <c r="N969" s="612">
        <v>46136</v>
      </c>
      <c r="O969" s="610" t="s">
        <v>3648</v>
      </c>
      <c r="P969" s="824" t="s">
        <v>113</v>
      </c>
      <c r="Q969" s="614"/>
      <c r="R969" s="614"/>
      <c r="S969" s="614" t="s">
        <v>70</v>
      </c>
      <c r="T969" s="614" t="s">
        <v>3649</v>
      </c>
      <c r="U969" s="614"/>
      <c r="V969" s="614"/>
      <c r="W969" s="609" t="s">
        <v>3650</v>
      </c>
      <c r="X969" s="609" t="s">
        <v>3651</v>
      </c>
      <c r="Y969" s="1348" t="s">
        <v>415</v>
      </c>
      <c r="Z969" s="625">
        <v>4.2173</v>
      </c>
      <c r="AA969" s="616">
        <f>Z969*I969</f>
        <v>2732.8104</v>
      </c>
      <c r="AB969" s="554"/>
      <c r="AC969" s="617"/>
      <c r="AD969" s="610" t="s">
        <v>184</v>
      </c>
      <c r="AE969" s="610" t="s">
        <v>82</v>
      </c>
      <c r="AF969" s="610"/>
      <c r="AG969" s="610"/>
      <c r="AH969" s="610">
        <v>1</v>
      </c>
      <c r="AI969" s="610">
        <v>648</v>
      </c>
      <c r="AJ969" s="610">
        <f t="shared" si="332"/>
        <v>0</v>
      </c>
      <c r="AK969" s="610"/>
      <c r="AL969" s="610" t="s">
        <v>2368</v>
      </c>
      <c r="AM969" s="554"/>
      <c r="AN969" s="554">
        <f t="shared" si="335"/>
        <v>648</v>
      </c>
      <c r="AO969" s="554"/>
      <c r="AP969" s="554"/>
      <c r="AQ969" s="554"/>
      <c r="AR969" s="554"/>
      <c r="AS969" s="554">
        <f>I969</f>
        <v>648</v>
      </c>
      <c r="AT969" s="554"/>
      <c r="AU969" s="554">
        <f t="shared" si="337"/>
        <v>648</v>
      </c>
      <c r="AV969" s="554"/>
      <c r="AW969" s="554">
        <f t="shared" si="338"/>
        <v>648</v>
      </c>
      <c r="AX969" s="714"/>
      <c r="AY969" s="554"/>
      <c r="AZ969" s="554"/>
      <c r="BA969" s="554"/>
      <c r="BB969" s="554"/>
      <c r="BC969" s="554"/>
      <c r="BD969" s="554"/>
      <c r="BE969" s="554"/>
      <c r="BF969" s="554"/>
      <c r="BG969" s="554"/>
      <c r="BH969" s="554"/>
      <c r="BI969" s="554"/>
      <c r="BJ969" s="554"/>
      <c r="BK969" s="554"/>
      <c r="BL969" s="554"/>
      <c r="BM969" s="554"/>
      <c r="BN969" s="554"/>
      <c r="BO969" s="554"/>
      <c r="BP969" s="554"/>
      <c r="BQ969" s="554"/>
      <c r="BR969" s="554"/>
      <c r="BS969" s="554"/>
      <c r="BT969" s="554"/>
      <c r="BU969" s="554"/>
      <c r="BV969" s="554"/>
      <c r="BW969" s="554"/>
      <c r="BX969" s="554"/>
      <c r="BY969" s="554"/>
      <c r="BZ969" s="554"/>
      <c r="CA969" s="554"/>
      <c r="CB969" s="554"/>
      <c r="CC969" s="554"/>
      <c r="CD969" s="554"/>
      <c r="CE969" s="554"/>
      <c r="CF969" s="554"/>
      <c r="CG969" s="554"/>
      <c r="CH969" s="619"/>
      <c r="CI969" s="619"/>
      <c r="CJ969" s="619"/>
      <c r="CK969" s="619"/>
      <c r="CL969" s="619"/>
      <c r="CM969" s="554"/>
      <c r="CN969" s="554"/>
      <c r="CO969" s="554"/>
      <c r="CP969" s="619"/>
      <c r="CQ969" s="619"/>
      <c r="CR969" s="619"/>
      <c r="CS969" s="619"/>
      <c r="CT969" s="619"/>
      <c r="CU969" s="619"/>
    </row>
    <row r="970" s="1265" customFormat="1" ht="31" customHeight="1" spans="1:99">
      <c r="A970" s="608">
        <v>46099</v>
      </c>
      <c r="B970" s="609" t="s">
        <v>3652</v>
      </c>
      <c r="C970" s="610" t="s">
        <v>399</v>
      </c>
      <c r="D970" s="554">
        <v>4500197331</v>
      </c>
      <c r="E970" s="610">
        <v>5200009323</v>
      </c>
      <c r="F970" s="554" t="s">
        <v>3653</v>
      </c>
      <c r="G970" s="623" t="s">
        <v>385</v>
      </c>
      <c r="H970" s="610" t="s">
        <v>102</v>
      </c>
      <c r="I970" s="610">
        <v>600</v>
      </c>
      <c r="J970" s="610">
        <v>0</v>
      </c>
      <c r="K970" s="610">
        <v>4</v>
      </c>
      <c r="L970" s="611">
        <f t="shared" si="333"/>
        <v>150</v>
      </c>
      <c r="M970" s="612">
        <v>46141</v>
      </c>
      <c r="N970" s="612">
        <v>46137</v>
      </c>
      <c r="O970" s="613"/>
      <c r="P970" s="824" t="s">
        <v>113</v>
      </c>
      <c r="Q970" s="614"/>
      <c r="R970" s="614" t="s">
        <v>3530</v>
      </c>
      <c r="S970" s="614" t="s">
        <v>70</v>
      </c>
      <c r="T970" s="614" t="s">
        <v>3654</v>
      </c>
      <c r="U970" s="614"/>
      <c r="V970" s="614"/>
      <c r="W970" s="609"/>
      <c r="X970" s="609" t="s">
        <v>3655</v>
      </c>
      <c r="Y970" s="616" t="s">
        <v>305</v>
      </c>
      <c r="Z970" s="1345">
        <v>4.2966</v>
      </c>
      <c r="AA970" s="616">
        <f>Z970*I970</f>
        <v>2577.96</v>
      </c>
      <c r="AB970" s="554"/>
      <c r="AC970" s="617"/>
      <c r="AD970" s="1309" t="s">
        <v>390</v>
      </c>
      <c r="AE970" s="662" t="s">
        <v>82</v>
      </c>
      <c r="AF970" s="610"/>
      <c r="AG970" s="610"/>
      <c r="AH970" s="610">
        <v>1</v>
      </c>
      <c r="AI970" s="610">
        <v>600</v>
      </c>
      <c r="AJ970" s="613"/>
      <c r="AK970" s="610"/>
      <c r="AL970" s="610" t="s">
        <v>2368</v>
      </c>
      <c r="AM970" s="554"/>
      <c r="AN970" s="554">
        <f t="shared" si="335"/>
        <v>600</v>
      </c>
      <c r="AO970" s="554"/>
      <c r="AP970" s="554"/>
      <c r="AQ970" s="554"/>
      <c r="AR970" s="554"/>
      <c r="AS970" s="554">
        <f>I970</f>
        <v>600</v>
      </c>
      <c r="AT970" s="554"/>
      <c r="AU970" s="554">
        <f t="shared" si="337"/>
        <v>600</v>
      </c>
      <c r="AV970" s="554"/>
      <c r="AW970" s="554">
        <f t="shared" si="338"/>
        <v>600</v>
      </c>
      <c r="AX970" s="714"/>
      <c r="AY970" s="554"/>
      <c r="AZ970" s="554"/>
      <c r="BA970" s="554"/>
      <c r="BB970" s="554"/>
      <c r="BC970" s="554"/>
      <c r="BD970" s="554"/>
      <c r="BE970" s="554"/>
      <c r="BF970" s="554"/>
      <c r="BG970" s="554"/>
      <c r="BH970" s="554"/>
      <c r="BI970" s="554"/>
      <c r="BJ970" s="554"/>
      <c r="BK970" s="554"/>
      <c r="BL970" s="554"/>
      <c r="BM970" s="554"/>
      <c r="BN970" s="554"/>
      <c r="BO970" s="554"/>
      <c r="BP970" s="554"/>
      <c r="BQ970" s="554"/>
      <c r="BR970" s="554"/>
      <c r="BS970" s="554"/>
      <c r="BT970" s="554"/>
      <c r="BU970" s="554"/>
      <c r="BV970" s="554"/>
      <c r="BW970" s="554"/>
      <c r="BX970" s="554"/>
      <c r="BY970" s="554"/>
      <c r="BZ970" s="554"/>
      <c r="CA970" s="554"/>
      <c r="CB970" s="554"/>
      <c r="CC970" s="554"/>
      <c r="CD970" s="554"/>
      <c r="CE970" s="554"/>
      <c r="CF970" s="554"/>
      <c r="CG970" s="554"/>
      <c r="CH970" s="619"/>
      <c r="CI970" s="619"/>
      <c r="CJ970" s="619"/>
      <c r="CK970" s="619"/>
      <c r="CL970" s="619"/>
      <c r="CM970" s="554"/>
      <c r="CN970" s="554"/>
      <c r="CO970" s="554"/>
      <c r="CP970" s="619"/>
      <c r="CQ970" s="619"/>
      <c r="CR970" s="619"/>
      <c r="CS970" s="619"/>
      <c r="CT970" s="619"/>
      <c r="CU970" s="619"/>
    </row>
    <row r="971" s="1265" customFormat="1" ht="31" customHeight="1" spans="1:99">
      <c r="A971" s="608">
        <v>45978</v>
      </c>
      <c r="B971" s="609" t="s">
        <v>1492</v>
      </c>
      <c r="C971" s="610" t="s">
        <v>98</v>
      </c>
      <c r="D971" s="554">
        <v>4500185971</v>
      </c>
      <c r="E971" s="1420" t="s">
        <v>3656</v>
      </c>
      <c r="F971" s="554" t="s">
        <v>3657</v>
      </c>
      <c r="G971" s="623" t="s">
        <v>2666</v>
      </c>
      <c r="H971" s="610" t="s">
        <v>830</v>
      </c>
      <c r="I971" s="610">
        <v>5400</v>
      </c>
      <c r="J971" s="610">
        <v>0</v>
      </c>
      <c r="K971" s="610">
        <v>75</v>
      </c>
      <c r="L971" s="611">
        <f t="shared" si="333"/>
        <v>72</v>
      </c>
      <c r="M971" s="724">
        <v>46141</v>
      </c>
      <c r="N971" s="724">
        <v>46137</v>
      </c>
      <c r="O971" s="613"/>
      <c r="P971" s="824" t="s">
        <v>113</v>
      </c>
      <c r="Q971" s="614"/>
      <c r="R971" s="614" t="s">
        <v>2667</v>
      </c>
      <c r="S971" s="614" t="s">
        <v>70</v>
      </c>
      <c r="T971" s="614" t="s">
        <v>70</v>
      </c>
      <c r="U971" s="614"/>
      <c r="V971" s="614"/>
      <c r="W971" s="609"/>
      <c r="X971" s="609" t="s">
        <v>2826</v>
      </c>
      <c r="Y971" s="616" t="s">
        <v>911</v>
      </c>
      <c r="Z971" s="625">
        <v>359.3436</v>
      </c>
      <c r="AA971" s="616">
        <v>25872.7392</v>
      </c>
      <c r="AB971" s="554"/>
      <c r="AC971" s="629" t="s">
        <v>3658</v>
      </c>
      <c r="AD971" s="610" t="s">
        <v>1498</v>
      </c>
      <c r="AE971" s="610" t="s">
        <v>82</v>
      </c>
      <c r="AF971" s="610"/>
      <c r="AG971" s="610"/>
      <c r="AH971" s="610">
        <v>1</v>
      </c>
      <c r="AI971" s="610"/>
      <c r="AJ971" s="613">
        <f t="shared" ref="AJ971:AJ1033" si="339">AI971-I971</f>
        <v>-5400</v>
      </c>
      <c r="AK971" s="610"/>
      <c r="AL971" s="610"/>
      <c r="AM971" s="554"/>
      <c r="AN971" s="554"/>
      <c r="AO971" s="554">
        <f>I971</f>
        <v>5400</v>
      </c>
      <c r="AP971" s="554"/>
      <c r="AQ971" s="554"/>
      <c r="AR971" s="554"/>
      <c r="AS971" s="554"/>
      <c r="AT971" s="554"/>
      <c r="AU971" s="554"/>
      <c r="AV971" s="554"/>
      <c r="AW971" s="554"/>
      <c r="AX971" s="714"/>
      <c r="AY971" s="554"/>
      <c r="AZ971" s="554"/>
      <c r="BA971" s="554">
        <f>I971</f>
        <v>5400</v>
      </c>
      <c r="BB971" s="554">
        <f>I971</f>
        <v>5400</v>
      </c>
      <c r="BC971" s="554">
        <f>I971</f>
        <v>5400</v>
      </c>
      <c r="BD971" s="554"/>
      <c r="BE971" s="554"/>
      <c r="BF971" s="554"/>
      <c r="BG971" s="554"/>
      <c r="BH971" s="554"/>
      <c r="BI971" s="554"/>
      <c r="BJ971" s="554"/>
      <c r="BK971" s="554">
        <f>I971</f>
        <v>5400</v>
      </c>
      <c r="BL971" s="554">
        <f>I971/5</f>
        <v>1080</v>
      </c>
      <c r="BM971" s="554"/>
      <c r="BN971" s="554"/>
      <c r="BO971" s="554"/>
      <c r="BP971" s="554"/>
      <c r="BQ971" s="554"/>
      <c r="BR971" s="554"/>
      <c r="BS971" s="554"/>
      <c r="BT971" s="554"/>
      <c r="BU971" s="554"/>
      <c r="BV971" s="554"/>
      <c r="BW971" s="554"/>
      <c r="BX971" s="554"/>
      <c r="BY971" s="554"/>
      <c r="BZ971" s="554"/>
      <c r="CA971" s="554"/>
      <c r="CB971" s="554"/>
      <c r="CC971" s="554"/>
      <c r="CD971" s="554"/>
      <c r="CE971" s="554"/>
      <c r="CF971" s="554"/>
      <c r="CG971" s="554"/>
      <c r="CH971" s="619"/>
      <c r="CI971" s="619"/>
      <c r="CJ971" s="619"/>
      <c r="CK971" s="619"/>
      <c r="CL971" s="619"/>
      <c r="CM971" s="554"/>
      <c r="CN971" s="554"/>
      <c r="CO971" s="554"/>
      <c r="CP971" s="619"/>
      <c r="CQ971" s="619"/>
      <c r="CR971" s="619"/>
      <c r="CS971" s="619"/>
      <c r="CT971" s="619"/>
      <c r="CU971" s="619"/>
    </row>
    <row r="972" s="1265" customFormat="1" ht="31" customHeight="1" spans="1:99">
      <c r="A972" s="608">
        <v>46079</v>
      </c>
      <c r="B972" s="609" t="s">
        <v>246</v>
      </c>
      <c r="C972" s="610" t="s">
        <v>98</v>
      </c>
      <c r="D972" s="554">
        <v>4500194303</v>
      </c>
      <c r="E972" s="610" t="s">
        <v>3659</v>
      </c>
      <c r="F972" s="554" t="s">
        <v>3660</v>
      </c>
      <c r="G972" s="623" t="s">
        <v>249</v>
      </c>
      <c r="H972" s="610" t="s">
        <v>250</v>
      </c>
      <c r="I972" s="715">
        <v>5032</v>
      </c>
      <c r="J972" s="610">
        <v>0</v>
      </c>
      <c r="K972" s="610">
        <v>4</v>
      </c>
      <c r="L972" s="611">
        <f t="shared" si="333"/>
        <v>1258</v>
      </c>
      <c r="M972" s="612">
        <v>46141</v>
      </c>
      <c r="N972" s="612">
        <v>46137</v>
      </c>
      <c r="O972" s="613"/>
      <c r="P972" s="824" t="s">
        <v>113</v>
      </c>
      <c r="Q972" s="614"/>
      <c r="R972" s="614" t="s">
        <v>3530</v>
      </c>
      <c r="S972" s="614" t="s">
        <v>104</v>
      </c>
      <c r="T972" s="614" t="s">
        <v>3661</v>
      </c>
      <c r="U972" s="614"/>
      <c r="V972" s="614"/>
      <c r="W972" s="609"/>
      <c r="X972" s="609" t="s">
        <v>3561</v>
      </c>
      <c r="Y972" s="616" t="s">
        <v>252</v>
      </c>
      <c r="Z972" s="625">
        <v>2.7951</v>
      </c>
      <c r="AA972" s="616">
        <f>Z972*I972</f>
        <v>14064.9432</v>
      </c>
      <c r="AB972" s="554"/>
      <c r="AC972" s="629" t="s">
        <v>3662</v>
      </c>
      <c r="AD972" s="610" t="s">
        <v>249</v>
      </c>
      <c r="AE972" s="610" t="s">
        <v>82</v>
      </c>
      <c r="AF972" s="610"/>
      <c r="AG972" s="610"/>
      <c r="AH972" s="610">
        <v>1</v>
      </c>
      <c r="AI972" s="610">
        <v>5032</v>
      </c>
      <c r="AJ972" s="610">
        <f t="shared" si="339"/>
        <v>0</v>
      </c>
      <c r="AK972" s="610"/>
      <c r="AL972" s="610" t="s">
        <v>2368</v>
      </c>
      <c r="AM972" s="554"/>
      <c r="AN972" s="554"/>
      <c r="AO972" s="554"/>
      <c r="AP972" s="554">
        <f>I972</f>
        <v>5032</v>
      </c>
      <c r="AQ972" s="554"/>
      <c r="AR972" s="554"/>
      <c r="AS972" s="554"/>
      <c r="AT972" s="554"/>
      <c r="AU972" s="554"/>
      <c r="AV972" s="554"/>
      <c r="AW972" s="554">
        <f>I972</f>
        <v>5032</v>
      </c>
      <c r="AX972" s="714"/>
      <c r="AY972" s="554"/>
      <c r="AZ972" s="554"/>
      <c r="BA972" s="554"/>
      <c r="BB972" s="554"/>
      <c r="BC972" s="554"/>
      <c r="BD972" s="554"/>
      <c r="BE972" s="554"/>
      <c r="BF972" s="554">
        <f>I972</f>
        <v>5032</v>
      </c>
      <c r="BG972" s="554">
        <f>I972</f>
        <v>5032</v>
      </c>
      <c r="BH972" s="825">
        <f>I972/4</f>
        <v>1258</v>
      </c>
      <c r="BI972" s="554"/>
      <c r="BJ972" s="554"/>
      <c r="BK972" s="554"/>
      <c r="BL972" s="554"/>
      <c r="BM972" s="554"/>
      <c r="BN972" s="554"/>
      <c r="BO972" s="554"/>
      <c r="BP972" s="554"/>
      <c r="BQ972" s="554"/>
      <c r="BR972" s="554"/>
      <c r="BS972" s="554"/>
      <c r="BT972" s="554"/>
      <c r="BU972" s="554"/>
      <c r="BV972" s="554"/>
      <c r="BW972" s="554"/>
      <c r="BX972" s="554"/>
      <c r="BY972" s="554"/>
      <c r="BZ972" s="554"/>
      <c r="CA972" s="554"/>
      <c r="CB972" s="554"/>
      <c r="CC972" s="554"/>
      <c r="CD972" s="554"/>
      <c r="CE972" s="554"/>
      <c r="CF972" s="554"/>
      <c r="CG972" s="554"/>
      <c r="CH972" s="619"/>
      <c r="CI972" s="619"/>
      <c r="CJ972" s="619"/>
      <c r="CK972" s="619"/>
      <c r="CL972" s="619"/>
      <c r="CM972" s="554"/>
      <c r="CN972" s="554"/>
      <c r="CO972" s="554"/>
      <c r="CP972" s="619"/>
      <c r="CQ972" s="619"/>
      <c r="CR972" s="619"/>
      <c r="CS972" s="619"/>
      <c r="CT972" s="619"/>
      <c r="CU972" s="619"/>
    </row>
    <row r="973" s="1265" customFormat="1" ht="31" customHeight="1" spans="1:99">
      <c r="A973" s="608">
        <v>45978</v>
      </c>
      <c r="B973" s="609" t="s">
        <v>1492</v>
      </c>
      <c r="C973" s="610" t="s">
        <v>98</v>
      </c>
      <c r="D973" s="554">
        <v>4500185973</v>
      </c>
      <c r="E973" s="1420" t="s">
        <v>3663</v>
      </c>
      <c r="F973" s="554" t="s">
        <v>3664</v>
      </c>
      <c r="G973" s="623" t="s">
        <v>2666</v>
      </c>
      <c r="H973" s="610" t="s">
        <v>830</v>
      </c>
      <c r="I973" s="610">
        <v>5400</v>
      </c>
      <c r="J973" s="610">
        <v>0</v>
      </c>
      <c r="K973" s="610">
        <v>75</v>
      </c>
      <c r="L973" s="611">
        <f t="shared" si="333"/>
        <v>72</v>
      </c>
      <c r="M973" s="724">
        <v>46142</v>
      </c>
      <c r="N973" s="724">
        <v>46139</v>
      </c>
      <c r="O973" s="613"/>
      <c r="P973" s="824" t="s">
        <v>113</v>
      </c>
      <c r="Q973" s="614"/>
      <c r="R973" s="614" t="s">
        <v>2667</v>
      </c>
      <c r="S973" s="614" t="s">
        <v>70</v>
      </c>
      <c r="T973" s="614" t="s">
        <v>70</v>
      </c>
      <c r="U973" s="614"/>
      <c r="V973" s="614"/>
      <c r="W973" s="609"/>
      <c r="X973" s="609" t="s">
        <v>2826</v>
      </c>
      <c r="Y973" s="616" t="s">
        <v>911</v>
      </c>
      <c r="Z973" s="625">
        <v>359.3436</v>
      </c>
      <c r="AA973" s="616">
        <v>25872.7392</v>
      </c>
      <c r="AB973" s="554"/>
      <c r="AC973" s="629" t="s">
        <v>3665</v>
      </c>
      <c r="AD973" s="610" t="s">
        <v>1498</v>
      </c>
      <c r="AE973" s="610" t="s">
        <v>82</v>
      </c>
      <c r="AF973" s="610"/>
      <c r="AG973" s="610"/>
      <c r="AH973" s="610">
        <v>1</v>
      </c>
      <c r="AI973" s="610"/>
      <c r="AJ973" s="613">
        <f t="shared" si="339"/>
        <v>-5400</v>
      </c>
      <c r="AK973" s="610"/>
      <c r="AL973" s="610"/>
      <c r="AM973" s="554"/>
      <c r="AN973" s="554"/>
      <c r="AO973" s="554">
        <f>I973</f>
        <v>5400</v>
      </c>
      <c r="AP973" s="554"/>
      <c r="AQ973" s="554"/>
      <c r="AR973" s="554"/>
      <c r="AS973" s="554"/>
      <c r="AT973" s="554"/>
      <c r="AU973" s="554"/>
      <c r="AV973" s="554"/>
      <c r="AW973" s="554"/>
      <c r="AX973" s="714"/>
      <c r="AY973" s="554"/>
      <c r="AZ973" s="554"/>
      <c r="BA973" s="554">
        <f>I973</f>
        <v>5400</v>
      </c>
      <c r="BB973" s="554">
        <f>I973</f>
        <v>5400</v>
      </c>
      <c r="BC973" s="554">
        <f>I973</f>
        <v>5400</v>
      </c>
      <c r="BD973" s="554"/>
      <c r="BE973" s="554"/>
      <c r="BF973" s="554"/>
      <c r="BG973" s="554"/>
      <c r="BH973" s="554"/>
      <c r="BI973" s="554"/>
      <c r="BJ973" s="554"/>
      <c r="BK973" s="554">
        <f>I973</f>
        <v>5400</v>
      </c>
      <c r="BL973" s="554">
        <f>I973/5</f>
        <v>1080</v>
      </c>
      <c r="BM973" s="554"/>
      <c r="BN973" s="554"/>
      <c r="BO973" s="554"/>
      <c r="BP973" s="554"/>
      <c r="BQ973" s="554"/>
      <c r="BR973" s="554"/>
      <c r="BS973" s="554"/>
      <c r="BT973" s="554"/>
      <c r="BU973" s="554"/>
      <c r="BV973" s="554"/>
      <c r="BW973" s="554"/>
      <c r="BX973" s="554"/>
      <c r="BY973" s="554"/>
      <c r="BZ973" s="554"/>
      <c r="CA973" s="554"/>
      <c r="CB973" s="554"/>
      <c r="CC973" s="554"/>
      <c r="CD973" s="554"/>
      <c r="CE973" s="554"/>
      <c r="CF973" s="554"/>
      <c r="CG973" s="554"/>
      <c r="CH973" s="619"/>
      <c r="CI973" s="619"/>
      <c r="CJ973" s="619"/>
      <c r="CK973" s="619"/>
      <c r="CL973" s="619"/>
      <c r="CM973" s="554"/>
      <c r="CN973" s="554"/>
      <c r="CO973" s="554"/>
      <c r="CP973" s="619"/>
      <c r="CQ973" s="619"/>
      <c r="CR973" s="619"/>
      <c r="CS973" s="619"/>
      <c r="CT973" s="619"/>
      <c r="CU973" s="619"/>
    </row>
    <row r="974" s="1265" customFormat="1" ht="31" customHeight="1" spans="1:99">
      <c r="A974" s="608">
        <v>46080</v>
      </c>
      <c r="B974" s="609" t="s">
        <v>205</v>
      </c>
      <c r="C974" s="610" t="s">
        <v>98</v>
      </c>
      <c r="D974" s="554">
        <v>4500194442</v>
      </c>
      <c r="E974" s="610">
        <v>219144906</v>
      </c>
      <c r="F974" s="554" t="s">
        <v>3666</v>
      </c>
      <c r="G974" s="623" t="s">
        <v>207</v>
      </c>
      <c r="H974" s="610" t="s">
        <v>102</v>
      </c>
      <c r="I974" s="610">
        <v>976</v>
      </c>
      <c r="J974" s="610">
        <v>0</v>
      </c>
      <c r="K974" s="610">
        <v>4</v>
      </c>
      <c r="L974" s="611">
        <f t="shared" si="333"/>
        <v>244</v>
      </c>
      <c r="M974" s="612">
        <v>46142</v>
      </c>
      <c r="N974" s="612">
        <v>46139</v>
      </c>
      <c r="O974" s="613"/>
      <c r="P974" s="824" t="s">
        <v>113</v>
      </c>
      <c r="Q974" s="614"/>
      <c r="R974" s="614">
        <v>46080</v>
      </c>
      <c r="S974" s="614" t="s">
        <v>70</v>
      </c>
      <c r="T974" s="614" t="s">
        <v>70</v>
      </c>
      <c r="U974" s="614"/>
      <c r="V974" s="614"/>
      <c r="W974" s="609"/>
      <c r="X974" s="609" t="s">
        <v>3667</v>
      </c>
      <c r="Y974" s="616" t="s">
        <v>2003</v>
      </c>
      <c r="Z974" s="625">
        <v>2.5175</v>
      </c>
      <c r="AA974" s="616">
        <f t="shared" ref="AA974:AA994" si="340">Z974*I974</f>
        <v>2457.08</v>
      </c>
      <c r="AB974" s="554"/>
      <c r="AC974" s="629" t="s">
        <v>3668</v>
      </c>
      <c r="AD974" s="610" t="s">
        <v>207</v>
      </c>
      <c r="AE974" s="610" t="s">
        <v>82</v>
      </c>
      <c r="AF974" s="610"/>
      <c r="AG974" s="610"/>
      <c r="AH974" s="610">
        <v>1</v>
      </c>
      <c r="AI974" s="610">
        <v>976</v>
      </c>
      <c r="AJ974" s="613">
        <f t="shared" si="339"/>
        <v>0</v>
      </c>
      <c r="AK974" s="610"/>
      <c r="AL974" s="610"/>
      <c r="AM974" s="554"/>
      <c r="AN974" s="554">
        <f t="shared" ref="AN974:AN979" si="341">I974</f>
        <v>976</v>
      </c>
      <c r="AO974" s="554"/>
      <c r="AP974" s="554"/>
      <c r="AQ974" s="554"/>
      <c r="AR974" s="554">
        <f>I974</f>
        <v>976</v>
      </c>
      <c r="AS974" s="554"/>
      <c r="AT974" s="554"/>
      <c r="AU974" s="554">
        <f t="shared" ref="AU974:AU979" si="342">I974</f>
        <v>976</v>
      </c>
      <c r="AV974" s="1325"/>
      <c r="AW974" s="554">
        <f t="shared" ref="AW974:AW990" si="343">I974</f>
        <v>976</v>
      </c>
      <c r="AX974" s="714"/>
      <c r="AY974" s="554"/>
      <c r="AZ974" s="554"/>
      <c r="BA974" s="554"/>
      <c r="BB974" s="554"/>
      <c r="BC974" s="554"/>
      <c r="BD974" s="554"/>
      <c r="BE974" s="554"/>
      <c r="BF974" s="554"/>
      <c r="BG974" s="554"/>
      <c r="BH974" s="554"/>
      <c r="BI974" s="554"/>
      <c r="BJ974" s="554"/>
      <c r="BK974" s="554"/>
      <c r="BL974" s="554"/>
      <c r="BM974" s="554"/>
      <c r="BN974" s="554"/>
      <c r="BO974" s="554"/>
      <c r="BP974" s="554"/>
      <c r="BQ974" s="554"/>
      <c r="BR974" s="554"/>
      <c r="BS974" s="554"/>
      <c r="BT974" s="554"/>
      <c r="BU974" s="554"/>
      <c r="BV974" s="554"/>
      <c r="BW974" s="554"/>
      <c r="BX974" s="554"/>
      <c r="BY974" s="554"/>
      <c r="BZ974" s="554"/>
      <c r="CA974" s="554"/>
      <c r="CB974" s="554"/>
      <c r="CC974" s="554"/>
      <c r="CD974" s="554"/>
      <c r="CE974" s="554"/>
      <c r="CF974" s="554"/>
      <c r="CG974" s="554"/>
      <c r="CH974" s="619"/>
      <c r="CI974" s="619"/>
      <c r="CJ974" s="619"/>
      <c r="CK974" s="619"/>
      <c r="CL974" s="619"/>
      <c r="CM974" s="554"/>
      <c r="CN974" s="554"/>
      <c r="CO974" s="554"/>
      <c r="CP974" s="619"/>
      <c r="CQ974" s="619"/>
      <c r="CR974" s="619"/>
      <c r="CS974" s="619"/>
      <c r="CT974" s="619"/>
      <c r="CU974" s="619"/>
    </row>
    <row r="975" s="1265" customFormat="1" ht="31" customHeight="1" spans="1:99">
      <c r="A975" s="608">
        <v>46080</v>
      </c>
      <c r="B975" s="609" t="s">
        <v>205</v>
      </c>
      <c r="C975" s="610" t="s">
        <v>98</v>
      </c>
      <c r="D975" s="554">
        <v>4500194442</v>
      </c>
      <c r="E975" s="610">
        <v>219144900</v>
      </c>
      <c r="F975" s="554" t="s">
        <v>3669</v>
      </c>
      <c r="G975" s="623" t="s">
        <v>207</v>
      </c>
      <c r="H975" s="610" t="s">
        <v>102</v>
      </c>
      <c r="I975" s="610">
        <v>528</v>
      </c>
      <c r="J975" s="610">
        <v>0</v>
      </c>
      <c r="K975" s="610">
        <v>4</v>
      </c>
      <c r="L975" s="611">
        <f t="shared" si="333"/>
        <v>132</v>
      </c>
      <c r="M975" s="612">
        <v>46142</v>
      </c>
      <c r="N975" s="612">
        <v>46139</v>
      </c>
      <c r="O975" s="613"/>
      <c r="P975" s="824" t="s">
        <v>113</v>
      </c>
      <c r="Q975" s="614"/>
      <c r="R975" s="614">
        <v>46080</v>
      </c>
      <c r="S975" s="614" t="s">
        <v>70</v>
      </c>
      <c r="T975" s="614" t="s">
        <v>70</v>
      </c>
      <c r="U975" s="614"/>
      <c r="V975" s="614"/>
      <c r="W975" s="609"/>
      <c r="X975" s="609" t="s">
        <v>3667</v>
      </c>
      <c r="Y975" s="616" t="s">
        <v>2003</v>
      </c>
      <c r="Z975" s="625">
        <v>2.5175</v>
      </c>
      <c r="AA975" s="616">
        <f t="shared" si="340"/>
        <v>1329.24</v>
      </c>
      <c r="AB975" s="554"/>
      <c r="AC975" s="629" t="s">
        <v>3668</v>
      </c>
      <c r="AD975" s="610" t="s">
        <v>207</v>
      </c>
      <c r="AE975" s="610" t="s">
        <v>82</v>
      </c>
      <c r="AF975" s="610"/>
      <c r="AG975" s="610"/>
      <c r="AH975" s="610">
        <v>1</v>
      </c>
      <c r="AI975" s="610">
        <v>528</v>
      </c>
      <c r="AJ975" s="613">
        <f t="shared" si="339"/>
        <v>0</v>
      </c>
      <c r="AK975" s="610"/>
      <c r="AL975" s="610"/>
      <c r="AM975" s="554"/>
      <c r="AN975" s="554">
        <f t="shared" si="341"/>
        <v>528</v>
      </c>
      <c r="AO975" s="554"/>
      <c r="AP975" s="554"/>
      <c r="AQ975" s="554"/>
      <c r="AR975" s="554">
        <f>I975</f>
        <v>528</v>
      </c>
      <c r="AS975" s="554"/>
      <c r="AT975" s="554"/>
      <c r="AU975" s="554">
        <f t="shared" si="342"/>
        <v>528</v>
      </c>
      <c r="AV975" s="1325"/>
      <c r="AW975" s="554">
        <f t="shared" si="343"/>
        <v>528</v>
      </c>
      <c r="AX975" s="714"/>
      <c r="AY975" s="554"/>
      <c r="AZ975" s="554"/>
      <c r="BA975" s="554"/>
      <c r="BB975" s="554"/>
      <c r="BC975" s="554"/>
      <c r="BD975" s="554"/>
      <c r="BE975" s="554"/>
      <c r="BF975" s="554"/>
      <c r="BG975" s="554"/>
      <c r="BH975" s="554"/>
      <c r="BI975" s="554"/>
      <c r="BJ975" s="554"/>
      <c r="BK975" s="554"/>
      <c r="BL975" s="554"/>
      <c r="BM975" s="554"/>
      <c r="BN975" s="554"/>
      <c r="BO975" s="554"/>
      <c r="BP975" s="554"/>
      <c r="BQ975" s="554"/>
      <c r="BR975" s="554"/>
      <c r="BS975" s="554"/>
      <c r="BT975" s="554"/>
      <c r="BU975" s="554"/>
      <c r="BV975" s="554"/>
      <c r="BW975" s="554"/>
      <c r="BX975" s="554"/>
      <c r="BY975" s="554"/>
      <c r="BZ975" s="554"/>
      <c r="CA975" s="554"/>
      <c r="CB975" s="554"/>
      <c r="CC975" s="554"/>
      <c r="CD975" s="554"/>
      <c r="CE975" s="554"/>
      <c r="CF975" s="554"/>
      <c r="CG975" s="554"/>
      <c r="CH975" s="619"/>
      <c r="CI975" s="619"/>
      <c r="CJ975" s="619"/>
      <c r="CK975" s="619"/>
      <c r="CL975" s="619"/>
      <c r="CM975" s="554"/>
      <c r="CN975" s="554"/>
      <c r="CO975" s="554"/>
      <c r="CP975" s="619"/>
      <c r="CQ975" s="619"/>
      <c r="CR975" s="619"/>
      <c r="CS975" s="619"/>
      <c r="CT975" s="619"/>
      <c r="CU975" s="619"/>
    </row>
    <row r="976" s="1265" customFormat="1" ht="31" customHeight="1" spans="1:99">
      <c r="A976" s="608">
        <v>46085</v>
      </c>
      <c r="B976" s="609" t="s">
        <v>307</v>
      </c>
      <c r="C976" s="610" t="s">
        <v>98</v>
      </c>
      <c r="D976" s="554">
        <v>4500195170</v>
      </c>
      <c r="E976" s="1419" t="s">
        <v>3670</v>
      </c>
      <c r="F976" s="554" t="s">
        <v>3671</v>
      </c>
      <c r="G976" s="623" t="s">
        <v>68</v>
      </c>
      <c r="H976" s="633" t="s">
        <v>69</v>
      </c>
      <c r="I976" s="715">
        <v>5004</v>
      </c>
      <c r="J976" s="610">
        <v>0</v>
      </c>
      <c r="K976" s="610">
        <v>12</v>
      </c>
      <c r="L976" s="611">
        <f t="shared" si="333"/>
        <v>417</v>
      </c>
      <c r="M976" s="612">
        <v>46142</v>
      </c>
      <c r="N976" s="612">
        <v>46139</v>
      </c>
      <c r="O976" s="613"/>
      <c r="P976" s="824" t="s">
        <v>113</v>
      </c>
      <c r="Q976" s="614"/>
      <c r="R976" s="614" t="s">
        <v>3514</v>
      </c>
      <c r="S976" s="614" t="s">
        <v>70</v>
      </c>
      <c r="T976" s="614" t="s">
        <v>70</v>
      </c>
      <c r="U976" s="614"/>
      <c r="V976" s="614"/>
      <c r="W976" s="609"/>
      <c r="X976" s="609" t="s">
        <v>2047</v>
      </c>
      <c r="Y976" s="616" t="s">
        <v>311</v>
      </c>
      <c r="Z976" s="625">
        <v>2.5271</v>
      </c>
      <c r="AA976" s="616">
        <f t="shared" si="340"/>
        <v>12645.6084</v>
      </c>
      <c r="AB976" s="554"/>
      <c r="AC976" s="629" t="s">
        <v>3672</v>
      </c>
      <c r="AD976" s="610" t="s">
        <v>68</v>
      </c>
      <c r="AE976" s="610" t="s">
        <v>82</v>
      </c>
      <c r="AF976" s="610"/>
      <c r="AG976" s="610"/>
      <c r="AH976" s="610">
        <v>1</v>
      </c>
      <c r="AI976" s="610">
        <v>5004</v>
      </c>
      <c r="AJ976" s="613">
        <f t="shared" si="339"/>
        <v>0</v>
      </c>
      <c r="AK976" s="610"/>
      <c r="AL976" s="610"/>
      <c r="AM976" s="554"/>
      <c r="AN976" s="554">
        <f t="shared" si="341"/>
        <v>5004</v>
      </c>
      <c r="AO976" s="1325"/>
      <c r="AP976" s="1325"/>
      <c r="AQ976" s="1325"/>
      <c r="AR976" s="554">
        <f>I976</f>
        <v>5004</v>
      </c>
      <c r="AS976" s="554"/>
      <c r="AT976" s="554"/>
      <c r="AU976" s="554">
        <f t="shared" si="342"/>
        <v>5004</v>
      </c>
      <c r="AV976" s="1325"/>
      <c r="AW976" s="554">
        <f t="shared" si="343"/>
        <v>5004</v>
      </c>
      <c r="AX976" s="714"/>
      <c r="AY976" s="554"/>
      <c r="AZ976" s="554"/>
      <c r="BA976" s="554"/>
      <c r="BB976" s="554"/>
      <c r="BC976" s="554"/>
      <c r="BD976" s="554"/>
      <c r="BE976" s="554"/>
      <c r="BF976" s="554"/>
      <c r="BG976" s="554"/>
      <c r="BH976" s="554"/>
      <c r="BI976" s="554"/>
      <c r="BJ976" s="554"/>
      <c r="BK976" s="554"/>
      <c r="BL976" s="554"/>
      <c r="BM976" s="554"/>
      <c r="BN976" s="554"/>
      <c r="BO976" s="554"/>
      <c r="BP976" s="554"/>
      <c r="BQ976" s="554"/>
      <c r="BR976" s="554"/>
      <c r="BS976" s="554"/>
      <c r="BT976" s="554"/>
      <c r="BU976" s="554"/>
      <c r="BV976" s="554"/>
      <c r="BW976" s="554"/>
      <c r="BX976" s="554"/>
      <c r="BY976" s="554"/>
      <c r="BZ976" s="554"/>
      <c r="CA976" s="554"/>
      <c r="CB976" s="554"/>
      <c r="CC976" s="554"/>
      <c r="CD976" s="554"/>
      <c r="CE976" s="554"/>
      <c r="CF976" s="554"/>
      <c r="CG976" s="554"/>
      <c r="CH976" s="619"/>
      <c r="CI976" s="619"/>
      <c r="CJ976" s="619"/>
      <c r="CK976" s="619"/>
      <c r="CL976" s="619"/>
      <c r="CM976" s="554"/>
      <c r="CN976" s="554"/>
      <c r="CO976" s="554"/>
      <c r="CP976" s="619"/>
      <c r="CQ976" s="619"/>
      <c r="CR976" s="619"/>
      <c r="CS976" s="619"/>
      <c r="CT976" s="619"/>
      <c r="CU976" s="619"/>
    </row>
    <row r="977" s="1265" customFormat="1" ht="31" customHeight="1" spans="1:99">
      <c r="A977" s="608">
        <v>46094</v>
      </c>
      <c r="B977" s="609" t="s">
        <v>3673</v>
      </c>
      <c r="C977" s="610" t="s">
        <v>573</v>
      </c>
      <c r="D977" s="554">
        <v>4500196811</v>
      </c>
      <c r="E977" s="610"/>
      <c r="F977" s="554" t="s">
        <v>3674</v>
      </c>
      <c r="G977" s="623" t="s">
        <v>111</v>
      </c>
      <c r="H977" s="610" t="s">
        <v>112</v>
      </c>
      <c r="I977" s="715">
        <v>800</v>
      </c>
      <c r="J977" s="610">
        <v>0</v>
      </c>
      <c r="K977" s="610">
        <v>16</v>
      </c>
      <c r="L977" s="611">
        <f t="shared" si="333"/>
        <v>50</v>
      </c>
      <c r="M977" s="612">
        <v>46142</v>
      </c>
      <c r="N977" s="612">
        <v>46139</v>
      </c>
      <c r="O977" s="613"/>
      <c r="P977" s="824" t="s">
        <v>113</v>
      </c>
      <c r="Q977" s="614"/>
      <c r="R977" s="614">
        <v>46094</v>
      </c>
      <c r="S977" s="614" t="s">
        <v>70</v>
      </c>
      <c r="T977" s="614" t="s">
        <v>3675</v>
      </c>
      <c r="U977" s="614"/>
      <c r="V977" s="614"/>
      <c r="W977" s="609"/>
      <c r="X977" s="609" t="s">
        <v>3676</v>
      </c>
      <c r="Y977" s="616" t="s">
        <v>665</v>
      </c>
      <c r="Z977" s="1345">
        <v>4.3564</v>
      </c>
      <c r="AA977" s="616">
        <f t="shared" si="340"/>
        <v>3485.12</v>
      </c>
      <c r="AB977" s="554"/>
      <c r="AC977" s="617"/>
      <c r="AD977" s="731" t="s">
        <v>111</v>
      </c>
      <c r="AE977" s="731" t="s">
        <v>82</v>
      </c>
      <c r="AF977" s="610"/>
      <c r="AG977" s="610"/>
      <c r="AH977" s="610">
        <v>1</v>
      </c>
      <c r="AI977" s="610">
        <v>800</v>
      </c>
      <c r="AJ977" s="610">
        <f t="shared" si="339"/>
        <v>0</v>
      </c>
      <c r="AK977" s="610"/>
      <c r="AL977" s="610" t="s">
        <v>2368</v>
      </c>
      <c r="AM977" s="554"/>
      <c r="AN977" s="554">
        <f t="shared" si="341"/>
        <v>800</v>
      </c>
      <c r="AO977" s="554"/>
      <c r="AP977" s="554"/>
      <c r="AQ977" s="554"/>
      <c r="AR977" s="554">
        <f>I977</f>
        <v>800</v>
      </c>
      <c r="AS977" s="554"/>
      <c r="AT977" s="554"/>
      <c r="AU977" s="554">
        <f t="shared" si="342"/>
        <v>800</v>
      </c>
      <c r="AV977" s="554"/>
      <c r="AW977" s="554">
        <f t="shared" si="343"/>
        <v>800</v>
      </c>
      <c r="AX977" s="714"/>
      <c r="AY977" s="554"/>
      <c r="AZ977" s="554"/>
      <c r="BA977" s="554"/>
      <c r="BB977" s="554"/>
      <c r="BC977" s="554"/>
      <c r="BD977" s="554"/>
      <c r="BE977" s="554"/>
      <c r="BF977" s="554"/>
      <c r="BG977" s="554"/>
      <c r="BH977" s="825">
        <f>I977/4</f>
        <v>200</v>
      </c>
      <c r="BI977" s="554"/>
      <c r="BJ977" s="554"/>
      <c r="BK977" s="554"/>
      <c r="BL977" s="554"/>
      <c r="BM977" s="554"/>
      <c r="BN977" s="554"/>
      <c r="BO977" s="554"/>
      <c r="BP977" s="554"/>
      <c r="BQ977" s="554"/>
      <c r="BR977" s="554"/>
      <c r="BS977" s="554"/>
      <c r="BT977" s="554"/>
      <c r="BU977" s="554"/>
      <c r="BV977" s="554"/>
      <c r="BW977" s="554"/>
      <c r="BX977" s="554"/>
      <c r="BY977" s="554"/>
      <c r="BZ977" s="554"/>
      <c r="CA977" s="554"/>
      <c r="CB977" s="554"/>
      <c r="CC977" s="554"/>
      <c r="CD977" s="554"/>
      <c r="CE977" s="554"/>
      <c r="CF977" s="554"/>
      <c r="CG977" s="554"/>
      <c r="CH977" s="619"/>
      <c r="CI977" s="619"/>
      <c r="CJ977" s="619"/>
      <c r="CK977" s="619"/>
      <c r="CL977" s="619"/>
      <c r="CM977" s="554"/>
      <c r="CN977" s="554"/>
      <c r="CO977" s="554"/>
      <c r="CP977" s="619"/>
      <c r="CQ977" s="619"/>
      <c r="CR977" s="619"/>
      <c r="CS977" s="619"/>
      <c r="CT977" s="619"/>
      <c r="CU977" s="619"/>
    </row>
    <row r="978" s="1265" customFormat="1" ht="31" customHeight="1" spans="1:99">
      <c r="A978" s="608">
        <v>46098</v>
      </c>
      <c r="B978" s="609" t="s">
        <v>3677</v>
      </c>
      <c r="C978" s="610" t="s">
        <v>399</v>
      </c>
      <c r="D978" s="554">
        <v>4500195307</v>
      </c>
      <c r="E978" s="731">
        <v>2000009657</v>
      </c>
      <c r="F978" s="729" t="s">
        <v>3678</v>
      </c>
      <c r="G978" s="1349" t="s">
        <v>68</v>
      </c>
      <c r="H978" s="633" t="s">
        <v>69</v>
      </c>
      <c r="I978" s="768">
        <v>2004</v>
      </c>
      <c r="J978" s="610">
        <v>0</v>
      </c>
      <c r="K978" s="731">
        <v>12</v>
      </c>
      <c r="L978" s="611">
        <f t="shared" si="333"/>
        <v>167</v>
      </c>
      <c r="M978" s="612">
        <v>46142</v>
      </c>
      <c r="N978" s="612">
        <v>46139</v>
      </c>
      <c r="O978" s="730" t="s">
        <v>3679</v>
      </c>
      <c r="P978" s="824" t="s">
        <v>113</v>
      </c>
      <c r="Q978" s="614"/>
      <c r="R978" s="614">
        <v>46106</v>
      </c>
      <c r="S978" s="614" t="s">
        <v>70</v>
      </c>
      <c r="T978" s="614" t="s">
        <v>3680</v>
      </c>
      <c r="U978" s="614"/>
      <c r="V978" s="614"/>
      <c r="W978" s="609" t="s">
        <v>3681</v>
      </c>
      <c r="X978" s="609" t="s">
        <v>3682</v>
      </c>
      <c r="Y978" s="616" t="s">
        <v>3683</v>
      </c>
      <c r="Z978" s="1345">
        <v>4.2966</v>
      </c>
      <c r="AA978" s="616">
        <f t="shared" si="340"/>
        <v>8610.3864</v>
      </c>
      <c r="AB978" s="554"/>
      <c r="AC978" s="617"/>
      <c r="AD978" s="610" t="s">
        <v>184</v>
      </c>
      <c r="AE978" s="610" t="s">
        <v>82</v>
      </c>
      <c r="AF978" s="610"/>
      <c r="AG978" s="610"/>
      <c r="AH978" s="610">
        <v>1</v>
      </c>
      <c r="AI978" s="610">
        <v>2004</v>
      </c>
      <c r="AJ978" s="610">
        <f t="shared" si="339"/>
        <v>0</v>
      </c>
      <c r="AK978" s="610"/>
      <c r="AL978" s="610" t="s">
        <v>2368</v>
      </c>
      <c r="AM978" s="554"/>
      <c r="AN978" s="554">
        <f t="shared" si="341"/>
        <v>2004</v>
      </c>
      <c r="AO978" s="554"/>
      <c r="AP978" s="554"/>
      <c r="AQ978" s="554"/>
      <c r="AR978" s="554"/>
      <c r="AS978" s="554">
        <f>I978</f>
        <v>2004</v>
      </c>
      <c r="AT978" s="554"/>
      <c r="AU978" s="554">
        <f t="shared" si="342"/>
        <v>2004</v>
      </c>
      <c r="AV978" s="1325"/>
      <c r="AW978" s="554">
        <f t="shared" si="343"/>
        <v>2004</v>
      </c>
      <c r="AX978" s="714"/>
      <c r="AY978" s="554"/>
      <c r="AZ978" s="554"/>
      <c r="BA978" s="554"/>
      <c r="BB978" s="554"/>
      <c r="BC978" s="554"/>
      <c r="BD978" s="554"/>
      <c r="BE978" s="554"/>
      <c r="BF978" s="554"/>
      <c r="BG978" s="554"/>
      <c r="BH978" s="554"/>
      <c r="BI978" s="554"/>
      <c r="BJ978" s="554"/>
      <c r="BK978" s="554"/>
      <c r="BL978" s="554"/>
      <c r="BM978" s="554"/>
      <c r="BN978" s="554"/>
      <c r="BO978" s="554"/>
      <c r="BP978" s="554"/>
      <c r="BQ978" s="554"/>
      <c r="BR978" s="554"/>
      <c r="BS978" s="554"/>
      <c r="BT978" s="554"/>
      <c r="BU978" s="554"/>
      <c r="BV978" s="554"/>
      <c r="BW978" s="554"/>
      <c r="BX978" s="554"/>
      <c r="BY978" s="554"/>
      <c r="BZ978" s="554"/>
      <c r="CA978" s="554"/>
      <c r="CB978" s="554"/>
      <c r="CC978" s="554"/>
      <c r="CD978" s="554"/>
      <c r="CE978" s="554"/>
      <c r="CF978" s="554"/>
      <c r="CG978" s="554"/>
      <c r="CH978" s="619"/>
      <c r="CI978" s="619"/>
      <c r="CJ978" s="619"/>
      <c r="CK978" s="619"/>
      <c r="CL978" s="619"/>
      <c r="CM978" s="554"/>
      <c r="CN978" s="554"/>
      <c r="CO978" s="554"/>
      <c r="CP978" s="619"/>
      <c r="CQ978" s="619"/>
      <c r="CR978" s="619"/>
      <c r="CS978" s="619"/>
      <c r="CT978" s="619"/>
      <c r="CU978" s="619"/>
    </row>
    <row r="979" s="1265" customFormat="1" ht="31" customHeight="1" spans="1:99">
      <c r="A979" s="608">
        <v>46065</v>
      </c>
      <c r="B979" s="609" t="s">
        <v>1327</v>
      </c>
      <c r="C979" s="610" t="s">
        <v>524</v>
      </c>
      <c r="D979" s="554">
        <v>4500193910</v>
      </c>
      <c r="E979" s="610"/>
      <c r="F979" s="554" t="s">
        <v>3684</v>
      </c>
      <c r="G979" s="623" t="s">
        <v>68</v>
      </c>
      <c r="H979" s="633" t="s">
        <v>69</v>
      </c>
      <c r="I979" s="715">
        <v>804</v>
      </c>
      <c r="J979" s="610">
        <v>0</v>
      </c>
      <c r="K979" s="610">
        <v>12</v>
      </c>
      <c r="L979" s="611">
        <f t="shared" si="333"/>
        <v>67</v>
      </c>
      <c r="M979" s="612">
        <v>46148</v>
      </c>
      <c r="N979" s="612">
        <v>46144</v>
      </c>
      <c r="O979" s="613" t="s">
        <v>1329</v>
      </c>
      <c r="P979" s="824" t="s">
        <v>113</v>
      </c>
      <c r="Q979" s="614"/>
      <c r="R979" s="614">
        <v>46094</v>
      </c>
      <c r="S979" s="614" t="s">
        <v>104</v>
      </c>
      <c r="T979" s="614" t="s">
        <v>3685</v>
      </c>
      <c r="U979" s="614"/>
      <c r="V979" s="614"/>
      <c r="W979" s="609"/>
      <c r="X979" s="609" t="s">
        <v>3686</v>
      </c>
      <c r="Y979" s="616" t="s">
        <v>340</v>
      </c>
      <c r="Z979" s="625">
        <v>4.2622</v>
      </c>
      <c r="AA979" s="616">
        <f t="shared" si="340"/>
        <v>3426.8088</v>
      </c>
      <c r="AB979" s="554"/>
      <c r="AC979" s="617"/>
      <c r="AD979" s="610" t="s">
        <v>184</v>
      </c>
      <c r="AE979" s="610" t="s">
        <v>82</v>
      </c>
      <c r="AF979" s="610"/>
      <c r="AG979" s="610"/>
      <c r="AH979" s="610">
        <v>1</v>
      </c>
      <c r="AI979" s="610">
        <v>804</v>
      </c>
      <c r="AJ979" s="610">
        <f t="shared" si="339"/>
        <v>0</v>
      </c>
      <c r="AK979" s="610"/>
      <c r="AL979" s="610" t="s">
        <v>2368</v>
      </c>
      <c r="AM979" s="554"/>
      <c r="AN979" s="554">
        <f t="shared" si="341"/>
        <v>804</v>
      </c>
      <c r="AO979" s="554"/>
      <c r="AP979" s="554"/>
      <c r="AQ979" s="554"/>
      <c r="AR979" s="554"/>
      <c r="AS979" s="554">
        <f>I979</f>
        <v>804</v>
      </c>
      <c r="AT979" s="554"/>
      <c r="AU979" s="554">
        <f t="shared" si="342"/>
        <v>804</v>
      </c>
      <c r="AV979" s="554"/>
      <c r="AW979" s="554">
        <f t="shared" si="343"/>
        <v>804</v>
      </c>
      <c r="AX979" s="714"/>
      <c r="AY979" s="554"/>
      <c r="AZ979" s="554"/>
      <c r="BA979" s="554"/>
      <c r="BB979" s="554"/>
      <c r="BC979" s="554"/>
      <c r="BD979" s="554"/>
      <c r="BE979" s="554"/>
      <c r="BF979" s="554"/>
      <c r="BG979" s="554"/>
      <c r="BH979" s="554"/>
      <c r="BI979" s="554"/>
      <c r="BJ979" s="554"/>
      <c r="BK979" s="554"/>
      <c r="BL979" s="554"/>
      <c r="BM979" s="554"/>
      <c r="BN979" s="554"/>
      <c r="BO979" s="554"/>
      <c r="BP979" s="554"/>
      <c r="BQ979" s="554"/>
      <c r="BR979" s="554"/>
      <c r="BS979" s="554"/>
      <c r="BT979" s="554"/>
      <c r="BU979" s="554"/>
      <c r="BV979" s="554"/>
      <c r="BW979" s="554"/>
      <c r="BX979" s="554"/>
      <c r="BY979" s="554"/>
      <c r="BZ979" s="554"/>
      <c r="CA979" s="554"/>
      <c r="CB979" s="554"/>
      <c r="CC979" s="554"/>
      <c r="CD979" s="554"/>
      <c r="CE979" s="554"/>
      <c r="CF979" s="554"/>
      <c r="CG979" s="554"/>
      <c r="CH979" s="619"/>
      <c r="CI979" s="619"/>
      <c r="CJ979" s="619"/>
      <c r="CK979" s="619"/>
      <c r="CL979" s="619"/>
      <c r="CM979" s="554"/>
      <c r="CN979" s="554"/>
      <c r="CO979" s="554"/>
      <c r="CP979" s="619"/>
      <c r="CQ979" s="619"/>
      <c r="CR979" s="619"/>
      <c r="CS979" s="619"/>
      <c r="CT979" s="619"/>
      <c r="CU979" s="619"/>
    </row>
    <row r="980" s="1265" customFormat="1" ht="31" customHeight="1" spans="1:99">
      <c r="A980" s="608">
        <v>46094</v>
      </c>
      <c r="B980" s="609" t="s">
        <v>246</v>
      </c>
      <c r="C980" s="610" t="s">
        <v>98</v>
      </c>
      <c r="D980" s="554">
        <v>4500196795</v>
      </c>
      <c r="E980" s="610" t="s">
        <v>3687</v>
      </c>
      <c r="F980" s="554" t="s">
        <v>3688</v>
      </c>
      <c r="G980" s="623" t="s">
        <v>249</v>
      </c>
      <c r="H980" s="610" t="s">
        <v>250</v>
      </c>
      <c r="I980" s="715">
        <v>27996</v>
      </c>
      <c r="J980" s="610">
        <v>0</v>
      </c>
      <c r="K980" s="610">
        <v>4</v>
      </c>
      <c r="L980" s="611">
        <f t="shared" si="333"/>
        <v>6999</v>
      </c>
      <c r="M980" s="612">
        <v>46147</v>
      </c>
      <c r="N980" s="612">
        <v>46143</v>
      </c>
      <c r="O980" s="613"/>
      <c r="P980" s="824" t="s">
        <v>113</v>
      </c>
      <c r="Q980" s="614"/>
      <c r="R980" s="614">
        <v>46119</v>
      </c>
      <c r="S980" s="614" t="s">
        <v>104</v>
      </c>
      <c r="T980" s="614" t="s">
        <v>3689</v>
      </c>
      <c r="U980" s="614"/>
      <c r="V980" s="614"/>
      <c r="W980" s="609"/>
      <c r="X980" s="609" t="s">
        <v>3690</v>
      </c>
      <c r="Y980" s="616" t="s">
        <v>3691</v>
      </c>
      <c r="Z980" s="1345">
        <v>2.84</v>
      </c>
      <c r="AA980" s="616">
        <f t="shared" si="340"/>
        <v>79508.64</v>
      </c>
      <c r="AB980" s="554"/>
      <c r="AC980" s="629" t="s">
        <v>3692</v>
      </c>
      <c r="AD980" s="610" t="s">
        <v>249</v>
      </c>
      <c r="AE980" s="610" t="s">
        <v>82</v>
      </c>
      <c r="AF980" s="610"/>
      <c r="AG980" s="610"/>
      <c r="AH980" s="610">
        <v>1</v>
      </c>
      <c r="AI980" s="1350">
        <f>16660+11336</f>
        <v>27996</v>
      </c>
      <c r="AJ980" s="610">
        <f t="shared" si="339"/>
        <v>0</v>
      </c>
      <c r="AK980" s="610"/>
      <c r="AL980" s="610" t="s">
        <v>2368</v>
      </c>
      <c r="AM980" s="554"/>
      <c r="AN980" s="554"/>
      <c r="AO980" s="554"/>
      <c r="AP980" s="554">
        <f>I980</f>
        <v>27996</v>
      </c>
      <c r="AQ980" s="554"/>
      <c r="AR980" s="554"/>
      <c r="AS980" s="554"/>
      <c r="AT980" s="554"/>
      <c r="AU980" s="554"/>
      <c r="AV980" s="554"/>
      <c r="AW980" s="554">
        <f t="shared" si="343"/>
        <v>27996</v>
      </c>
      <c r="AX980" s="714"/>
      <c r="AY980" s="554"/>
      <c r="AZ980" s="554"/>
      <c r="BA980" s="554"/>
      <c r="BB980" s="554"/>
      <c r="BC980" s="554"/>
      <c r="BD980" s="554"/>
      <c r="BE980" s="554"/>
      <c r="BF980" s="554">
        <f>I980</f>
        <v>27996</v>
      </c>
      <c r="BG980" s="554">
        <f>I980</f>
        <v>27996</v>
      </c>
      <c r="BH980" s="825">
        <f>I980/4</f>
        <v>6999</v>
      </c>
      <c r="BI980" s="554"/>
      <c r="BJ980" s="554"/>
      <c r="BK980" s="554"/>
      <c r="BL980" s="554"/>
      <c r="BM980" s="554"/>
      <c r="BN980" s="554"/>
      <c r="BO980" s="554"/>
      <c r="BP980" s="554"/>
      <c r="BQ980" s="554"/>
      <c r="BR980" s="554"/>
      <c r="BS980" s="554"/>
      <c r="BT980" s="554"/>
      <c r="BU980" s="554"/>
      <c r="BV980" s="554"/>
      <c r="BW980" s="554"/>
      <c r="BX980" s="554"/>
      <c r="BY980" s="554"/>
      <c r="BZ980" s="554"/>
      <c r="CA980" s="554"/>
      <c r="CB980" s="554"/>
      <c r="CC980" s="554"/>
      <c r="CD980" s="554"/>
      <c r="CE980" s="554"/>
      <c r="CF980" s="554"/>
      <c r="CG980" s="554"/>
      <c r="CH980" s="619"/>
      <c r="CI980" s="619"/>
      <c r="CJ980" s="619"/>
      <c r="CK980" s="619"/>
      <c r="CL980" s="619"/>
      <c r="CM980" s="554"/>
      <c r="CN980" s="554"/>
      <c r="CO980" s="554"/>
      <c r="CP980" s="619"/>
      <c r="CQ980" s="619"/>
      <c r="CR980" s="619"/>
      <c r="CS980" s="619"/>
      <c r="CT980" s="619"/>
      <c r="CU980" s="619"/>
    </row>
    <row r="981" s="1265" customFormat="1" ht="31" customHeight="1" spans="1:99">
      <c r="A981" s="608">
        <v>46105</v>
      </c>
      <c r="B981" s="609" t="s">
        <v>3693</v>
      </c>
      <c r="C981" s="610" t="s">
        <v>641</v>
      </c>
      <c r="D981" s="554">
        <v>4500198254</v>
      </c>
      <c r="E981" s="610"/>
      <c r="F981" s="554" t="s">
        <v>3694</v>
      </c>
      <c r="G981" s="623" t="s">
        <v>111</v>
      </c>
      <c r="H981" s="610" t="s">
        <v>112</v>
      </c>
      <c r="I981" s="715">
        <v>800</v>
      </c>
      <c r="J981" s="610">
        <v>0</v>
      </c>
      <c r="K981" s="610">
        <v>16</v>
      </c>
      <c r="L981" s="611">
        <f t="shared" si="333"/>
        <v>50</v>
      </c>
      <c r="M981" s="612">
        <v>46148</v>
      </c>
      <c r="N981" s="612">
        <v>46144</v>
      </c>
      <c r="O981" s="613"/>
      <c r="P981" s="824" t="s">
        <v>113</v>
      </c>
      <c r="Q981" s="614"/>
      <c r="R981" s="614">
        <v>46105</v>
      </c>
      <c r="S981" s="614" t="s">
        <v>70</v>
      </c>
      <c r="T981" s="614" t="s">
        <v>3695</v>
      </c>
      <c r="U981" s="614"/>
      <c r="V981" s="614"/>
      <c r="W981" s="609"/>
      <c r="X981" s="738" t="s">
        <v>3696</v>
      </c>
      <c r="Y981" s="616" t="s">
        <v>3697</v>
      </c>
      <c r="Z981" s="1345">
        <v>4.3564</v>
      </c>
      <c r="AA981" s="616">
        <f t="shared" si="340"/>
        <v>3485.12</v>
      </c>
      <c r="AB981" s="554"/>
      <c r="AC981" s="617"/>
      <c r="AD981" s="731" t="s">
        <v>447</v>
      </c>
      <c r="AE981" s="610" t="s">
        <v>82</v>
      </c>
      <c r="AF981" s="610"/>
      <c r="AG981" s="610"/>
      <c r="AH981" s="610">
        <v>1</v>
      </c>
      <c r="AI981" s="610">
        <v>800</v>
      </c>
      <c r="AJ981" s="613">
        <f t="shared" si="339"/>
        <v>0</v>
      </c>
      <c r="AK981" s="610"/>
      <c r="AL981" s="610" t="s">
        <v>2368</v>
      </c>
      <c r="AM981" s="554"/>
      <c r="AN981" s="554">
        <f t="shared" ref="AN981:AN992" si="344">I981</f>
        <v>800</v>
      </c>
      <c r="AO981" s="554"/>
      <c r="AP981" s="554"/>
      <c r="AQ981" s="554"/>
      <c r="AR981" s="554"/>
      <c r="AS981" s="554">
        <f>I981</f>
        <v>800</v>
      </c>
      <c r="AT981" s="554"/>
      <c r="AU981" s="554">
        <f t="shared" ref="AU981:AU992" si="345">I981</f>
        <v>800</v>
      </c>
      <c r="AV981" s="554"/>
      <c r="AW981" s="554">
        <f t="shared" si="343"/>
        <v>800</v>
      </c>
      <c r="AX981" s="714"/>
      <c r="AY981" s="554"/>
      <c r="AZ981" s="554"/>
      <c r="BA981" s="554"/>
      <c r="BB981" s="554"/>
      <c r="BC981" s="554"/>
      <c r="BD981" s="554"/>
      <c r="BE981" s="554"/>
      <c r="BF981" s="554"/>
      <c r="BG981" s="554"/>
      <c r="BH981" s="554"/>
      <c r="BI981" s="825">
        <f>I981/4</f>
        <v>200</v>
      </c>
      <c r="BJ981" s="554"/>
      <c r="BK981" s="554"/>
      <c r="BL981" s="554"/>
      <c r="BM981" s="554"/>
      <c r="BN981" s="554"/>
      <c r="BO981" s="554"/>
      <c r="BP981" s="554"/>
      <c r="BQ981" s="554"/>
      <c r="BR981" s="554"/>
      <c r="BS981" s="554"/>
      <c r="BT981" s="554"/>
      <c r="BU981" s="554"/>
      <c r="BV981" s="554"/>
      <c r="BW981" s="554"/>
      <c r="BX981" s="554"/>
      <c r="BY981" s="554"/>
      <c r="BZ981" s="554"/>
      <c r="CA981" s="554"/>
      <c r="CB981" s="554"/>
      <c r="CC981" s="554"/>
      <c r="CD981" s="554"/>
      <c r="CE981" s="554"/>
      <c r="CF981" s="554"/>
      <c r="CG981" s="554"/>
      <c r="CH981" s="619"/>
      <c r="CI981" s="619"/>
      <c r="CJ981" s="619"/>
      <c r="CK981" s="619"/>
      <c r="CL981" s="619"/>
      <c r="CM981" s="554"/>
      <c r="CN981" s="554"/>
      <c r="CO981" s="554"/>
      <c r="CP981" s="619"/>
      <c r="CQ981" s="619"/>
      <c r="CR981" s="619"/>
      <c r="CS981" s="619"/>
      <c r="CT981" s="619"/>
      <c r="CU981" s="619"/>
    </row>
    <row r="982" s="1265" customFormat="1" ht="31" customHeight="1" spans="1:99">
      <c r="A982" s="608">
        <v>45995</v>
      </c>
      <c r="B982" s="609" t="s">
        <v>2734</v>
      </c>
      <c r="C982" s="610" t="s">
        <v>98</v>
      </c>
      <c r="D982" s="554">
        <v>4500186369</v>
      </c>
      <c r="E982" s="610">
        <v>60260844</v>
      </c>
      <c r="F982" s="554" t="s">
        <v>3698</v>
      </c>
      <c r="G982" s="623" t="s">
        <v>2736</v>
      </c>
      <c r="H982" s="610" t="s">
        <v>2737</v>
      </c>
      <c r="I982" s="610">
        <v>2000</v>
      </c>
      <c r="J982" s="610">
        <v>0</v>
      </c>
      <c r="K982" s="610">
        <v>8</v>
      </c>
      <c r="L982" s="611">
        <f t="shared" si="333"/>
        <v>250</v>
      </c>
      <c r="M982" s="612">
        <v>46150</v>
      </c>
      <c r="N982" s="612">
        <v>46146</v>
      </c>
      <c r="O982" s="613"/>
      <c r="P982" s="824" t="s">
        <v>113</v>
      </c>
      <c r="Q982" s="614"/>
      <c r="R982" s="614">
        <v>45995</v>
      </c>
      <c r="S982" s="614" t="s">
        <v>70</v>
      </c>
      <c r="T982" s="614" t="s">
        <v>2738</v>
      </c>
      <c r="U982" s="614"/>
      <c r="V982" s="614"/>
      <c r="W982" s="609"/>
      <c r="X982" s="738" t="s">
        <v>3699</v>
      </c>
      <c r="Y982" s="616" t="s">
        <v>2678</v>
      </c>
      <c r="Z982" s="625">
        <v>4.097</v>
      </c>
      <c r="AA982" s="616">
        <f t="shared" si="340"/>
        <v>8194</v>
      </c>
      <c r="AB982" s="554"/>
      <c r="AC982" s="629" t="s">
        <v>3700</v>
      </c>
      <c r="AD982" s="610" t="s">
        <v>2741</v>
      </c>
      <c r="AE982" s="610" t="s">
        <v>82</v>
      </c>
      <c r="AF982" s="610"/>
      <c r="AG982" s="610"/>
      <c r="AH982" s="610">
        <v>1</v>
      </c>
      <c r="AI982" s="610"/>
      <c r="AJ982" s="613">
        <f t="shared" si="339"/>
        <v>-2000</v>
      </c>
      <c r="AK982" s="610"/>
      <c r="AL982" s="610"/>
      <c r="AM982" s="554"/>
      <c r="AN982" s="554">
        <f t="shared" si="344"/>
        <v>2000</v>
      </c>
      <c r="AO982" s="554"/>
      <c r="AP982" s="554"/>
      <c r="AQ982" s="554"/>
      <c r="AR982" s="554">
        <f>I982</f>
        <v>2000</v>
      </c>
      <c r="AS982" s="554"/>
      <c r="AT982" s="554"/>
      <c r="AU982" s="554">
        <f t="shared" si="345"/>
        <v>2000</v>
      </c>
      <c r="AV982" s="554"/>
      <c r="AW982" s="554">
        <f t="shared" si="343"/>
        <v>2000</v>
      </c>
      <c r="AX982" s="714"/>
      <c r="AY982" s="554"/>
      <c r="AZ982" s="554"/>
      <c r="BA982" s="554"/>
      <c r="BB982" s="554"/>
      <c r="BC982" s="554"/>
      <c r="BD982" s="554"/>
      <c r="BE982" s="554"/>
      <c r="BF982" s="554"/>
      <c r="BG982" s="554"/>
      <c r="BH982" s="554"/>
      <c r="BI982" s="554"/>
      <c r="BJ982" s="554"/>
      <c r="BK982" s="554"/>
      <c r="BL982" s="554"/>
      <c r="BM982" s="554"/>
      <c r="BN982" s="554">
        <f>I982</f>
        <v>2000</v>
      </c>
      <c r="BO982" s="554"/>
      <c r="BP982" s="554"/>
      <c r="BQ982" s="554"/>
      <c r="BR982" s="554"/>
      <c r="BS982" s="554"/>
      <c r="BT982" s="554"/>
      <c r="BU982" s="554"/>
      <c r="BV982" s="554"/>
      <c r="BW982" s="554"/>
      <c r="BX982" s="554"/>
      <c r="BY982" s="554"/>
      <c r="BZ982" s="554"/>
      <c r="CA982" s="554"/>
      <c r="CB982" s="554"/>
      <c r="CC982" s="554"/>
      <c r="CD982" s="554"/>
      <c r="CE982" s="554"/>
      <c r="CF982" s="554"/>
      <c r="CG982" s="554"/>
      <c r="CH982" s="619"/>
      <c r="CI982" s="619"/>
      <c r="CJ982" s="619"/>
      <c r="CK982" s="619"/>
      <c r="CL982" s="619"/>
      <c r="CM982" s="554"/>
      <c r="CN982" s="554"/>
      <c r="CO982" s="554"/>
      <c r="CP982" s="619"/>
      <c r="CQ982" s="619"/>
      <c r="CR982" s="619"/>
      <c r="CS982" s="619"/>
      <c r="CT982" s="619"/>
      <c r="CU982" s="619"/>
    </row>
    <row r="983" s="1265" customFormat="1" ht="31" customHeight="1" spans="1:99">
      <c r="A983" s="608">
        <v>46105</v>
      </c>
      <c r="B983" s="609" t="s">
        <v>143</v>
      </c>
      <c r="C983" s="713" t="s">
        <v>98</v>
      </c>
      <c r="D983" s="554">
        <v>4500198269</v>
      </c>
      <c r="E983" s="1419" t="s">
        <v>3701</v>
      </c>
      <c r="F983" s="554" t="s">
        <v>3702</v>
      </c>
      <c r="G983" s="623" t="s">
        <v>101</v>
      </c>
      <c r="H983" s="610" t="s">
        <v>102</v>
      </c>
      <c r="I983" s="610">
        <v>3600</v>
      </c>
      <c r="J983" s="610">
        <v>0</v>
      </c>
      <c r="K983" s="610">
        <v>4</v>
      </c>
      <c r="L983" s="611">
        <f t="shared" si="333"/>
        <v>900</v>
      </c>
      <c r="M983" s="612">
        <v>46150</v>
      </c>
      <c r="N983" s="612">
        <v>46146</v>
      </c>
      <c r="O983" s="723" t="s">
        <v>3703</v>
      </c>
      <c r="P983" s="824" t="s">
        <v>113</v>
      </c>
      <c r="Q983" s="614"/>
      <c r="R983" s="614" t="s">
        <v>3066</v>
      </c>
      <c r="S983" s="614" t="s">
        <v>70</v>
      </c>
      <c r="T983" s="614" t="s">
        <v>3704</v>
      </c>
      <c r="U983" s="614"/>
      <c r="V983" s="614" t="s">
        <v>3705</v>
      </c>
      <c r="W983" s="609"/>
      <c r="X983" s="609" t="s">
        <v>3706</v>
      </c>
      <c r="Y983" s="616" t="s">
        <v>106</v>
      </c>
      <c r="Z983" s="625">
        <v>2.6387</v>
      </c>
      <c r="AA983" s="616">
        <f t="shared" si="340"/>
        <v>9499.32</v>
      </c>
      <c r="AB983" s="554"/>
      <c r="AC983" s="629" t="s">
        <v>3707</v>
      </c>
      <c r="AD983" s="610" t="s">
        <v>101</v>
      </c>
      <c r="AE983" s="610" t="s">
        <v>82</v>
      </c>
      <c r="AF983" s="610"/>
      <c r="AG983" s="610"/>
      <c r="AH983" s="610">
        <v>1</v>
      </c>
      <c r="AI983" s="610">
        <f>504+3096</f>
        <v>3600</v>
      </c>
      <c r="AJ983" s="610">
        <f t="shared" si="339"/>
        <v>0</v>
      </c>
      <c r="AK983" s="610"/>
      <c r="AL983" s="610" t="s">
        <v>2368</v>
      </c>
      <c r="AM983" s="554"/>
      <c r="AN983" s="554">
        <f t="shared" si="344"/>
        <v>3600</v>
      </c>
      <c r="AO983" s="554"/>
      <c r="AP983" s="554"/>
      <c r="AQ983" s="554"/>
      <c r="AR983" s="554">
        <f>I983</f>
        <v>3600</v>
      </c>
      <c r="AS983" s="554"/>
      <c r="AT983" s="554"/>
      <c r="AU983" s="554">
        <f t="shared" si="345"/>
        <v>3600</v>
      </c>
      <c r="AV983" s="554"/>
      <c r="AW983" s="554">
        <f t="shared" si="343"/>
        <v>3600</v>
      </c>
      <c r="AX983" s="714"/>
      <c r="AY983" s="554"/>
      <c r="AZ983" s="554"/>
      <c r="BA983" s="554"/>
      <c r="BB983" s="554"/>
      <c r="BC983" s="554"/>
      <c r="BD983" s="554"/>
      <c r="BE983" s="554"/>
      <c r="BF983" s="554"/>
      <c r="BG983" s="554"/>
      <c r="BH983" s="825">
        <f>I983/4</f>
        <v>900</v>
      </c>
      <c r="BI983" s="554"/>
      <c r="BJ983" s="554"/>
      <c r="BK983" s="554"/>
      <c r="BL983" s="554"/>
      <c r="BM983" s="554"/>
      <c r="BN983" s="554"/>
      <c r="BO983" s="554"/>
      <c r="BP983" s="554"/>
      <c r="BQ983" s="554"/>
      <c r="BR983" s="554"/>
      <c r="BS983" s="554"/>
      <c r="BT983" s="554"/>
      <c r="BU983" s="554"/>
      <c r="BV983" s="554"/>
      <c r="BW983" s="554"/>
      <c r="BX983" s="554"/>
      <c r="BY983" s="554"/>
      <c r="BZ983" s="554"/>
      <c r="CA983" s="554"/>
      <c r="CB983" s="554"/>
      <c r="CC983" s="554"/>
      <c r="CD983" s="554"/>
      <c r="CE983" s="554"/>
      <c r="CF983" s="554"/>
      <c r="CG983" s="554"/>
      <c r="CH983" s="619"/>
      <c r="CI983" s="619"/>
      <c r="CJ983" s="619"/>
      <c r="CK983" s="619"/>
      <c r="CL983" s="619"/>
      <c r="CM983" s="554"/>
      <c r="CN983" s="554"/>
      <c r="CO983" s="554"/>
      <c r="CP983" s="619"/>
      <c r="CQ983" s="619"/>
      <c r="CR983" s="619"/>
      <c r="CS983" s="619"/>
      <c r="CT983" s="619"/>
      <c r="CU983" s="619"/>
    </row>
    <row r="984" s="1265" customFormat="1" ht="31" customHeight="1" spans="1:99">
      <c r="A984" s="608">
        <v>46092</v>
      </c>
      <c r="B984" s="609" t="s">
        <v>2734</v>
      </c>
      <c r="C984" s="610" t="s">
        <v>98</v>
      </c>
      <c r="D984" s="554">
        <v>4500196191</v>
      </c>
      <c r="E984" s="610">
        <v>60287666</v>
      </c>
      <c r="F984" s="554" t="s">
        <v>3708</v>
      </c>
      <c r="G984" s="623" t="s">
        <v>2736</v>
      </c>
      <c r="H984" s="610" t="s">
        <v>2737</v>
      </c>
      <c r="I984" s="715">
        <v>5000</v>
      </c>
      <c r="J984" s="610">
        <v>0</v>
      </c>
      <c r="K984" s="610">
        <v>8</v>
      </c>
      <c r="L984" s="611">
        <f t="shared" si="333"/>
        <v>625</v>
      </c>
      <c r="M984" s="612">
        <v>46154</v>
      </c>
      <c r="N984" s="612">
        <v>46150</v>
      </c>
      <c r="O984" s="613"/>
      <c r="P984" s="824" t="s">
        <v>113</v>
      </c>
      <c r="Q984" s="614"/>
      <c r="R984" s="614">
        <v>46098</v>
      </c>
      <c r="S984" s="614" t="s">
        <v>70</v>
      </c>
      <c r="T984" s="614" t="s">
        <v>2738</v>
      </c>
      <c r="U984" s="614"/>
      <c r="V984" s="614"/>
      <c r="W984" s="609"/>
      <c r="X984" s="609" t="s">
        <v>3633</v>
      </c>
      <c r="Y984" s="616" t="s">
        <v>1318</v>
      </c>
      <c r="Z984" s="625">
        <v>4.0382</v>
      </c>
      <c r="AA984" s="616">
        <f t="shared" si="340"/>
        <v>20191</v>
      </c>
      <c r="AB984" s="554"/>
      <c r="AC984" s="629" t="s">
        <v>3709</v>
      </c>
      <c r="AD984" s="610" t="s">
        <v>2741</v>
      </c>
      <c r="AE984" s="610" t="s">
        <v>82</v>
      </c>
      <c r="AF984" s="610"/>
      <c r="AG984" s="610"/>
      <c r="AH984" s="610">
        <v>1</v>
      </c>
      <c r="AI984" s="610"/>
      <c r="AJ984" s="613">
        <f t="shared" si="339"/>
        <v>-5000</v>
      </c>
      <c r="AK984" s="610"/>
      <c r="AL984" s="610"/>
      <c r="AM984" s="554"/>
      <c r="AN984" s="554">
        <f t="shared" si="344"/>
        <v>5000</v>
      </c>
      <c r="AO984" s="554"/>
      <c r="AP984" s="554"/>
      <c r="AQ984" s="554"/>
      <c r="AR984" s="554">
        <f>I984</f>
        <v>5000</v>
      </c>
      <c r="AS984" s="554"/>
      <c r="AT984" s="554"/>
      <c r="AU984" s="554">
        <f t="shared" si="345"/>
        <v>5000</v>
      </c>
      <c r="AV984" s="554"/>
      <c r="AW984" s="554">
        <f t="shared" si="343"/>
        <v>5000</v>
      </c>
      <c r="AX984" s="714"/>
      <c r="AY984" s="554"/>
      <c r="AZ984" s="554"/>
      <c r="BA984" s="554"/>
      <c r="BB984" s="554"/>
      <c r="BC984" s="554"/>
      <c r="BD984" s="554"/>
      <c r="BE984" s="554"/>
      <c r="BF984" s="554"/>
      <c r="BG984" s="554"/>
      <c r="BH984" s="554"/>
      <c r="BI984" s="554"/>
      <c r="BJ984" s="554"/>
      <c r="BK984" s="554"/>
      <c r="BL984" s="554"/>
      <c r="BM984" s="554"/>
      <c r="BN984" s="554">
        <f>I984</f>
        <v>5000</v>
      </c>
      <c r="BO984" s="554"/>
      <c r="BP984" s="554"/>
      <c r="BQ984" s="554"/>
      <c r="BR984" s="554"/>
      <c r="BS984" s="554"/>
      <c r="BT984" s="554"/>
      <c r="BU984" s="554"/>
      <c r="BV984" s="554"/>
      <c r="BW984" s="554"/>
      <c r="BX984" s="554"/>
      <c r="BY984" s="554"/>
      <c r="BZ984" s="554"/>
      <c r="CA984" s="554"/>
      <c r="CB984" s="554"/>
      <c r="CC984" s="554"/>
      <c r="CD984" s="554"/>
      <c r="CE984" s="554"/>
      <c r="CF984" s="554"/>
      <c r="CG984" s="554"/>
      <c r="CH984" s="619"/>
      <c r="CI984" s="619"/>
      <c r="CJ984" s="619"/>
      <c r="CK984" s="619"/>
      <c r="CL984" s="619"/>
      <c r="CM984" s="554"/>
      <c r="CN984" s="554"/>
      <c r="CO984" s="554"/>
      <c r="CP984" s="619"/>
      <c r="CQ984" s="619"/>
      <c r="CR984" s="619"/>
      <c r="CS984" s="619"/>
      <c r="CT984" s="619"/>
      <c r="CU984" s="619"/>
    </row>
    <row r="985" s="1265" customFormat="1" ht="31" customHeight="1" spans="1:99">
      <c r="A985" s="608">
        <v>46104</v>
      </c>
      <c r="B985" s="609" t="s">
        <v>2622</v>
      </c>
      <c r="C985" s="610" t="s">
        <v>98</v>
      </c>
      <c r="D985" s="554">
        <v>4500197806</v>
      </c>
      <c r="E985" s="610">
        <v>41201442</v>
      </c>
      <c r="F985" s="554" t="s">
        <v>3710</v>
      </c>
      <c r="G985" s="623" t="s">
        <v>2624</v>
      </c>
      <c r="H985" s="610" t="s">
        <v>2625</v>
      </c>
      <c r="I985" s="610">
        <v>1232</v>
      </c>
      <c r="J985" s="610">
        <v>0</v>
      </c>
      <c r="K985" s="610">
        <v>8</v>
      </c>
      <c r="L985" s="611">
        <f t="shared" si="333"/>
        <v>154</v>
      </c>
      <c r="M985" s="612">
        <v>46148</v>
      </c>
      <c r="N985" s="612">
        <v>46144</v>
      </c>
      <c r="O985" s="613"/>
      <c r="P985" s="824" t="s">
        <v>113</v>
      </c>
      <c r="Q985" s="614"/>
      <c r="R985" s="614">
        <v>46119</v>
      </c>
      <c r="S985" s="614" t="s">
        <v>104</v>
      </c>
      <c r="T985" s="614" t="s">
        <v>3711</v>
      </c>
      <c r="U985" s="614"/>
      <c r="V985" s="609" t="s">
        <v>3712</v>
      </c>
      <c r="W985" s="609"/>
      <c r="X985" s="609" t="s">
        <v>3713</v>
      </c>
      <c r="Y985" s="616" t="s">
        <v>2543</v>
      </c>
      <c r="Z985" s="1345">
        <v>2.5879</v>
      </c>
      <c r="AA985" s="616">
        <f t="shared" si="340"/>
        <v>3188.2928</v>
      </c>
      <c r="AB985" s="554"/>
      <c r="AC985" s="629" t="s">
        <v>3714</v>
      </c>
      <c r="AD985" s="610" t="s">
        <v>2628</v>
      </c>
      <c r="AE985" s="610" t="s">
        <v>82</v>
      </c>
      <c r="AF985" s="610"/>
      <c r="AG985" s="610"/>
      <c r="AH985" s="610">
        <v>1</v>
      </c>
      <c r="AI985" s="610">
        <v>1232</v>
      </c>
      <c r="AJ985" s="610">
        <f t="shared" si="339"/>
        <v>0</v>
      </c>
      <c r="AK985" s="610"/>
      <c r="AL985" s="610" t="s">
        <v>2368</v>
      </c>
      <c r="AM985" s="554"/>
      <c r="AN985" s="554">
        <f t="shared" si="344"/>
        <v>1232</v>
      </c>
      <c r="AO985" s="1325"/>
      <c r="AP985" s="1325"/>
      <c r="AQ985" s="1325"/>
      <c r="AR985" s="554"/>
      <c r="AS985" s="554">
        <f>I985</f>
        <v>1232</v>
      </c>
      <c r="AT985" s="554"/>
      <c r="AU985" s="554">
        <f t="shared" si="345"/>
        <v>1232</v>
      </c>
      <c r="AV985" s="554"/>
      <c r="AW985" s="554">
        <f t="shared" si="343"/>
        <v>1232</v>
      </c>
      <c r="AX985" s="714"/>
      <c r="AY985" s="554"/>
      <c r="AZ985" s="554"/>
      <c r="BA985" s="554"/>
      <c r="BB985" s="554"/>
      <c r="BC985" s="554"/>
      <c r="BD985" s="554"/>
      <c r="BE985" s="554"/>
      <c r="BF985" s="554"/>
      <c r="BG985" s="554"/>
      <c r="BH985" s="554"/>
      <c r="BI985" s="554"/>
      <c r="BJ985" s="554">
        <f>L985</f>
        <v>154</v>
      </c>
      <c r="BK985" s="554"/>
      <c r="BL985" s="554"/>
      <c r="BM985" s="554"/>
      <c r="BN985" s="554"/>
      <c r="BO985" s="554"/>
      <c r="BP985" s="554"/>
      <c r="BQ985" s="554"/>
      <c r="BR985" s="554"/>
      <c r="BS985" s="554"/>
      <c r="BT985" s="554"/>
      <c r="BU985" s="554"/>
      <c r="BV985" s="554"/>
      <c r="BW985" s="554"/>
      <c r="BX985" s="554"/>
      <c r="BY985" s="554"/>
      <c r="BZ985" s="554"/>
      <c r="CA985" s="554"/>
      <c r="CB985" s="554"/>
      <c r="CC985" s="554"/>
      <c r="CD985" s="554"/>
      <c r="CE985" s="554"/>
      <c r="CF985" s="554"/>
      <c r="CG985" s="554"/>
      <c r="CH985" s="619"/>
      <c r="CI985" s="619"/>
      <c r="CJ985" s="619"/>
      <c r="CK985" s="619"/>
      <c r="CL985" s="619"/>
      <c r="CM985" s="554"/>
      <c r="CN985" s="554"/>
      <c r="CO985" s="554"/>
      <c r="CP985" s="619"/>
      <c r="CQ985" s="619"/>
      <c r="CR985" s="619"/>
      <c r="CS985" s="619"/>
      <c r="CT985" s="619"/>
      <c r="CU985" s="619"/>
    </row>
    <row r="986" s="1265" customFormat="1" ht="31" customHeight="1" spans="1:99">
      <c r="A986" s="608">
        <v>46101</v>
      </c>
      <c r="B986" s="609" t="s">
        <v>3715</v>
      </c>
      <c r="C986" s="610" t="s">
        <v>98</v>
      </c>
      <c r="D986" s="554">
        <v>4500197805</v>
      </c>
      <c r="E986" s="610">
        <v>41201441</v>
      </c>
      <c r="F986" s="554" t="s">
        <v>3716</v>
      </c>
      <c r="G986" s="623" t="s">
        <v>2624</v>
      </c>
      <c r="H986" s="610" t="s">
        <v>2625</v>
      </c>
      <c r="I986" s="610">
        <v>1856</v>
      </c>
      <c r="J986" s="610">
        <v>0</v>
      </c>
      <c r="K986" s="610">
        <v>8</v>
      </c>
      <c r="L986" s="611">
        <f t="shared" si="333"/>
        <v>232</v>
      </c>
      <c r="M986" s="612">
        <v>46148</v>
      </c>
      <c r="N986" s="612">
        <v>46144</v>
      </c>
      <c r="O986" s="613"/>
      <c r="P986" s="824" t="s">
        <v>113</v>
      </c>
      <c r="Q986" s="614"/>
      <c r="R986" s="614">
        <v>46119</v>
      </c>
      <c r="S986" s="614" t="s">
        <v>104</v>
      </c>
      <c r="T986" s="614">
        <v>46113</v>
      </c>
      <c r="U986" s="614"/>
      <c r="V986" s="609" t="s">
        <v>3712</v>
      </c>
      <c r="W986" s="609"/>
      <c r="X986" s="738" t="s">
        <v>3713</v>
      </c>
      <c r="Y986" s="616" t="s">
        <v>3717</v>
      </c>
      <c r="Z986" s="1345">
        <v>2.5879</v>
      </c>
      <c r="AA986" s="616">
        <f t="shared" si="340"/>
        <v>4803.1424</v>
      </c>
      <c r="AB986" s="554"/>
      <c r="AC986" s="629" t="s">
        <v>3718</v>
      </c>
      <c r="AD986" s="610" t="s">
        <v>2628</v>
      </c>
      <c r="AE986" s="610" t="s">
        <v>82</v>
      </c>
      <c r="AF986" s="610"/>
      <c r="AG986" s="610"/>
      <c r="AH986" s="610">
        <v>1</v>
      </c>
      <c r="AI986" s="610">
        <v>1856</v>
      </c>
      <c r="AJ986" s="610">
        <f t="shared" si="339"/>
        <v>0</v>
      </c>
      <c r="AK986" s="610"/>
      <c r="AL986" s="610" t="s">
        <v>2368</v>
      </c>
      <c r="AM986" s="554"/>
      <c r="AN986" s="554">
        <f t="shared" si="344"/>
        <v>1856</v>
      </c>
      <c r="AO986" s="1325"/>
      <c r="AP986" s="1325"/>
      <c r="AQ986" s="1325"/>
      <c r="AR986" s="554"/>
      <c r="AS986" s="554">
        <f>I986</f>
        <v>1856</v>
      </c>
      <c r="AT986" s="554"/>
      <c r="AU986" s="554">
        <f t="shared" si="345"/>
        <v>1856</v>
      </c>
      <c r="AV986" s="554"/>
      <c r="AW986" s="554">
        <f t="shared" si="343"/>
        <v>1856</v>
      </c>
      <c r="AX986" s="714"/>
      <c r="AY986" s="554"/>
      <c r="AZ986" s="554"/>
      <c r="BA986" s="554"/>
      <c r="BB986" s="554"/>
      <c r="BC986" s="554"/>
      <c r="BD986" s="554"/>
      <c r="BE986" s="554"/>
      <c r="BF986" s="554"/>
      <c r="BG986" s="554"/>
      <c r="BH986" s="554"/>
      <c r="BI986" s="554"/>
      <c r="BJ986" s="554">
        <f>I986/8</f>
        <v>232</v>
      </c>
      <c r="BK986" s="554"/>
      <c r="BL986" s="554"/>
      <c r="BM986" s="554"/>
      <c r="BN986" s="554"/>
      <c r="BO986" s="554"/>
      <c r="BP986" s="554"/>
      <c r="BQ986" s="554"/>
      <c r="BR986" s="554"/>
      <c r="BS986" s="554"/>
      <c r="BT986" s="554"/>
      <c r="BU986" s="554"/>
      <c r="BV986" s="554"/>
      <c r="BW986" s="554"/>
      <c r="BX986" s="554"/>
      <c r="BY986" s="554"/>
      <c r="BZ986" s="554"/>
      <c r="CA986" s="554"/>
      <c r="CB986" s="554"/>
      <c r="CC986" s="554"/>
      <c r="CD986" s="554"/>
      <c r="CE986" s="554"/>
      <c r="CF986" s="554"/>
      <c r="CG986" s="554"/>
      <c r="CH986" s="619"/>
      <c r="CI986" s="619"/>
      <c r="CJ986" s="619"/>
      <c r="CK986" s="619"/>
      <c r="CL986" s="619"/>
      <c r="CM986" s="554"/>
      <c r="CN986" s="554"/>
      <c r="CO986" s="554"/>
      <c r="CP986" s="619"/>
      <c r="CQ986" s="619"/>
      <c r="CR986" s="619"/>
      <c r="CS986" s="619"/>
      <c r="CT986" s="619"/>
      <c r="CU986" s="619"/>
    </row>
    <row r="987" s="1265" customFormat="1" ht="31" customHeight="1" spans="1:99">
      <c r="A987" s="608">
        <v>46101</v>
      </c>
      <c r="B987" s="609" t="s">
        <v>3715</v>
      </c>
      <c r="C987" s="610" t="s">
        <v>98</v>
      </c>
      <c r="D987" s="554">
        <v>4500197809</v>
      </c>
      <c r="E987" s="610">
        <v>41201444</v>
      </c>
      <c r="F987" s="554" t="s">
        <v>3719</v>
      </c>
      <c r="G987" s="623" t="s">
        <v>2624</v>
      </c>
      <c r="H987" s="610" t="s">
        <v>2625</v>
      </c>
      <c r="I987" s="610">
        <v>1728</v>
      </c>
      <c r="J987" s="610">
        <v>0</v>
      </c>
      <c r="K987" s="610">
        <v>8</v>
      </c>
      <c r="L987" s="611">
        <f t="shared" si="333"/>
        <v>216</v>
      </c>
      <c r="M987" s="612">
        <v>46148</v>
      </c>
      <c r="N987" s="612">
        <v>46144</v>
      </c>
      <c r="O987" s="613"/>
      <c r="P987" s="824" t="s">
        <v>113</v>
      </c>
      <c r="Q987" s="614"/>
      <c r="R987" s="614">
        <v>46119</v>
      </c>
      <c r="S987" s="614" t="s">
        <v>104</v>
      </c>
      <c r="T987" s="614">
        <v>46113</v>
      </c>
      <c r="U987" s="614"/>
      <c r="V987" s="609" t="s">
        <v>3720</v>
      </c>
      <c r="W987" s="609"/>
      <c r="X987" s="609" t="s">
        <v>3721</v>
      </c>
      <c r="Y987" s="616" t="s">
        <v>3717</v>
      </c>
      <c r="Z987" s="1345">
        <v>2.5879</v>
      </c>
      <c r="AA987" s="616">
        <f t="shared" si="340"/>
        <v>4471.8912</v>
      </c>
      <c r="AB987" s="554"/>
      <c r="AC987" s="629" t="s">
        <v>3722</v>
      </c>
      <c r="AD987" s="610" t="s">
        <v>2628</v>
      </c>
      <c r="AE987" s="610" t="s">
        <v>82</v>
      </c>
      <c r="AF987" s="610"/>
      <c r="AG987" s="610"/>
      <c r="AH987" s="610">
        <v>1</v>
      </c>
      <c r="AI987" s="610">
        <v>1728</v>
      </c>
      <c r="AJ987" s="610">
        <f t="shared" si="339"/>
        <v>0</v>
      </c>
      <c r="AK987" s="610"/>
      <c r="AL987" s="610" t="s">
        <v>2368</v>
      </c>
      <c r="AM987" s="554"/>
      <c r="AN987" s="554">
        <f t="shared" si="344"/>
        <v>1728</v>
      </c>
      <c r="AO987" s="1325"/>
      <c r="AP987" s="1325"/>
      <c r="AQ987" s="1325"/>
      <c r="AR987" s="554"/>
      <c r="AS987" s="554">
        <f>I987</f>
        <v>1728</v>
      </c>
      <c r="AT987" s="554"/>
      <c r="AU987" s="554">
        <f t="shared" si="345"/>
        <v>1728</v>
      </c>
      <c r="AV987" s="554"/>
      <c r="AW987" s="554">
        <f t="shared" si="343"/>
        <v>1728</v>
      </c>
      <c r="AX987" s="714"/>
      <c r="AY987" s="554"/>
      <c r="AZ987" s="554"/>
      <c r="BA987" s="554"/>
      <c r="BB987" s="554"/>
      <c r="BC987" s="554"/>
      <c r="BD987" s="554"/>
      <c r="BE987" s="554"/>
      <c r="BF987" s="554"/>
      <c r="BG987" s="554"/>
      <c r="BH987" s="554"/>
      <c r="BI987" s="554"/>
      <c r="BJ987" s="554">
        <f>I987/8</f>
        <v>216</v>
      </c>
      <c r="BK987" s="554"/>
      <c r="BL987" s="554"/>
      <c r="BM987" s="554"/>
      <c r="BN987" s="554"/>
      <c r="BO987" s="554"/>
      <c r="BP987" s="554"/>
      <c r="BQ987" s="554"/>
      <c r="BR987" s="554"/>
      <c r="BS987" s="554"/>
      <c r="BT987" s="554"/>
      <c r="BU987" s="554"/>
      <c r="BV987" s="554"/>
      <c r="BW987" s="554"/>
      <c r="BX987" s="554"/>
      <c r="BY987" s="554"/>
      <c r="BZ987" s="554"/>
      <c r="CA987" s="554"/>
      <c r="CB987" s="554"/>
      <c r="CC987" s="554"/>
      <c r="CD987" s="554"/>
      <c r="CE987" s="554"/>
      <c r="CF987" s="554"/>
      <c r="CG987" s="554"/>
      <c r="CH987" s="619"/>
      <c r="CI987" s="619"/>
      <c r="CJ987" s="619"/>
      <c r="CK987" s="619"/>
      <c r="CL987" s="619"/>
      <c r="CM987" s="554"/>
      <c r="CN987" s="554"/>
      <c r="CO987" s="554"/>
      <c r="CP987" s="619"/>
      <c r="CQ987" s="619"/>
      <c r="CR987" s="619"/>
      <c r="CS987" s="619"/>
      <c r="CT987" s="619"/>
      <c r="CU987" s="619"/>
    </row>
    <row r="988" s="1265" customFormat="1" ht="31" customHeight="1" spans="1:99">
      <c r="A988" s="608">
        <v>46093</v>
      </c>
      <c r="B988" s="609" t="s">
        <v>2206</v>
      </c>
      <c r="C988" s="610" t="s">
        <v>1343</v>
      </c>
      <c r="D988" s="554">
        <v>4500196426</v>
      </c>
      <c r="E988" s="610" t="s">
        <v>3723</v>
      </c>
      <c r="F988" s="554" t="s">
        <v>3724</v>
      </c>
      <c r="G988" s="623" t="s">
        <v>68</v>
      </c>
      <c r="H988" s="633" t="s">
        <v>69</v>
      </c>
      <c r="I988" s="715">
        <v>600</v>
      </c>
      <c r="J988" s="610">
        <v>0</v>
      </c>
      <c r="K988" s="610">
        <v>12</v>
      </c>
      <c r="L988" s="611">
        <f t="shared" si="333"/>
        <v>50</v>
      </c>
      <c r="M988" s="612">
        <v>46148</v>
      </c>
      <c r="N988" s="612">
        <v>46144</v>
      </c>
      <c r="O988" s="613"/>
      <c r="P988" s="824" t="s">
        <v>113</v>
      </c>
      <c r="Q988" s="614"/>
      <c r="R988" s="614">
        <v>46101</v>
      </c>
      <c r="S988" s="614" t="s">
        <v>70</v>
      </c>
      <c r="T988" s="614" t="s">
        <v>3725</v>
      </c>
      <c r="U988" s="614"/>
      <c r="V988" s="614"/>
      <c r="W988" s="609"/>
      <c r="X988" s="609" t="s">
        <v>3726</v>
      </c>
      <c r="Y988" s="616" t="s">
        <v>217</v>
      </c>
      <c r="Z988" s="625">
        <v>4.2622</v>
      </c>
      <c r="AA988" s="616">
        <f t="shared" si="340"/>
        <v>2557.32</v>
      </c>
      <c r="AB988" s="554"/>
      <c r="AC988" s="617"/>
      <c r="AD988" s="610" t="s">
        <v>68</v>
      </c>
      <c r="AE988" s="610" t="s">
        <v>82</v>
      </c>
      <c r="AF988" s="610"/>
      <c r="AG988" s="610"/>
      <c r="AH988" s="610">
        <v>1</v>
      </c>
      <c r="AI988" s="610">
        <v>600</v>
      </c>
      <c r="AJ988" s="610">
        <f t="shared" si="339"/>
        <v>0</v>
      </c>
      <c r="AK988" s="610"/>
      <c r="AL988" s="610" t="s">
        <v>2368</v>
      </c>
      <c r="AM988" s="554"/>
      <c r="AN988" s="554">
        <f t="shared" si="344"/>
        <v>600</v>
      </c>
      <c r="AO988" s="554"/>
      <c r="AP988" s="554"/>
      <c r="AQ988" s="554"/>
      <c r="AR988" s="554">
        <f>I988</f>
        <v>600</v>
      </c>
      <c r="AS988" s="554"/>
      <c r="AT988" s="554"/>
      <c r="AU988" s="554">
        <f t="shared" si="345"/>
        <v>600</v>
      </c>
      <c r="AV988" s="554"/>
      <c r="AW988" s="554">
        <f t="shared" si="343"/>
        <v>600</v>
      </c>
      <c r="AX988" s="714"/>
      <c r="AY988" s="554"/>
      <c r="AZ988" s="554"/>
      <c r="BA988" s="554"/>
      <c r="BB988" s="554"/>
      <c r="BC988" s="554"/>
      <c r="BD988" s="554"/>
      <c r="BE988" s="554"/>
      <c r="BF988" s="554"/>
      <c r="BG988" s="554"/>
      <c r="BH988" s="554"/>
      <c r="BI988" s="554"/>
      <c r="BJ988" s="554"/>
      <c r="BK988" s="554"/>
      <c r="BL988" s="554"/>
      <c r="BM988" s="554"/>
      <c r="BN988" s="554"/>
      <c r="BO988" s="554"/>
      <c r="BP988" s="554"/>
      <c r="BQ988" s="554"/>
      <c r="BR988" s="554"/>
      <c r="BS988" s="554"/>
      <c r="BT988" s="554"/>
      <c r="BU988" s="554"/>
      <c r="BV988" s="554"/>
      <c r="BW988" s="554"/>
      <c r="BX988" s="554"/>
      <c r="BY988" s="554"/>
      <c r="BZ988" s="554"/>
      <c r="CA988" s="554"/>
      <c r="CB988" s="554"/>
      <c r="CC988" s="554"/>
      <c r="CD988" s="554"/>
      <c r="CE988" s="554"/>
      <c r="CF988" s="554"/>
      <c r="CG988" s="554"/>
      <c r="CH988" s="619"/>
      <c r="CI988" s="619"/>
      <c r="CJ988" s="619"/>
      <c r="CK988" s="619"/>
      <c r="CL988" s="619"/>
      <c r="CM988" s="554"/>
      <c r="CN988" s="554"/>
      <c r="CO988" s="554"/>
      <c r="CP988" s="619"/>
      <c r="CQ988" s="619"/>
      <c r="CR988" s="619"/>
      <c r="CS988" s="619"/>
      <c r="CT988" s="619"/>
      <c r="CU988" s="619"/>
    </row>
    <row r="989" s="1265" customFormat="1" ht="31" customHeight="1" spans="1:99">
      <c r="A989" s="608">
        <v>46093</v>
      </c>
      <c r="B989" s="609" t="s">
        <v>2206</v>
      </c>
      <c r="C989" s="610" t="s">
        <v>1343</v>
      </c>
      <c r="D989" s="554">
        <v>4500196426</v>
      </c>
      <c r="E989" s="610" t="s">
        <v>3727</v>
      </c>
      <c r="F989" s="554" t="s">
        <v>3728</v>
      </c>
      <c r="G989" s="623" t="s">
        <v>68</v>
      </c>
      <c r="H989" s="633" t="s">
        <v>69</v>
      </c>
      <c r="I989" s="715">
        <v>1404</v>
      </c>
      <c r="J989" s="610">
        <v>0</v>
      </c>
      <c r="K989" s="610">
        <v>12</v>
      </c>
      <c r="L989" s="611">
        <f t="shared" si="333"/>
        <v>117</v>
      </c>
      <c r="M989" s="612">
        <v>46148</v>
      </c>
      <c r="N989" s="612">
        <v>46144</v>
      </c>
      <c r="O989" s="613"/>
      <c r="P989" s="824" t="s">
        <v>113</v>
      </c>
      <c r="Q989" s="614"/>
      <c r="R989" s="614">
        <v>46101</v>
      </c>
      <c r="S989" s="614" t="s">
        <v>70</v>
      </c>
      <c r="T989" s="614" t="s">
        <v>3725</v>
      </c>
      <c r="U989" s="614"/>
      <c r="V989" s="614"/>
      <c r="W989" s="609"/>
      <c r="X989" s="609" t="s">
        <v>3726</v>
      </c>
      <c r="Y989" s="616" t="s">
        <v>217</v>
      </c>
      <c r="Z989" s="625">
        <v>4.2622</v>
      </c>
      <c r="AA989" s="616">
        <f t="shared" si="340"/>
        <v>5984.1288</v>
      </c>
      <c r="AB989" s="554"/>
      <c r="AC989" s="617"/>
      <c r="AD989" s="610" t="s">
        <v>68</v>
      </c>
      <c r="AE989" s="610" t="s">
        <v>82</v>
      </c>
      <c r="AF989" s="610"/>
      <c r="AG989" s="610"/>
      <c r="AH989" s="610">
        <v>1</v>
      </c>
      <c r="AI989" s="610">
        <v>1404</v>
      </c>
      <c r="AJ989" s="610">
        <f t="shared" si="339"/>
        <v>0</v>
      </c>
      <c r="AK989" s="610"/>
      <c r="AL989" s="610" t="s">
        <v>2368</v>
      </c>
      <c r="AM989" s="554"/>
      <c r="AN989" s="554">
        <f t="shared" si="344"/>
        <v>1404</v>
      </c>
      <c r="AO989" s="554"/>
      <c r="AP989" s="554"/>
      <c r="AQ989" s="554"/>
      <c r="AR989" s="554">
        <f>I989</f>
        <v>1404</v>
      </c>
      <c r="AS989" s="554"/>
      <c r="AT989" s="554"/>
      <c r="AU989" s="554">
        <f t="shared" si="345"/>
        <v>1404</v>
      </c>
      <c r="AV989" s="554"/>
      <c r="AW989" s="554">
        <f t="shared" si="343"/>
        <v>1404</v>
      </c>
      <c r="AX989" s="714"/>
      <c r="AY989" s="554"/>
      <c r="AZ989" s="554"/>
      <c r="BA989" s="554"/>
      <c r="BB989" s="554"/>
      <c r="BC989" s="554"/>
      <c r="BD989" s="554"/>
      <c r="BE989" s="554"/>
      <c r="BF989" s="554"/>
      <c r="BG989" s="554"/>
      <c r="BH989" s="554"/>
      <c r="BI989" s="554"/>
      <c r="BJ989" s="554"/>
      <c r="BK989" s="554"/>
      <c r="BL989" s="554"/>
      <c r="BM989" s="554"/>
      <c r="BN989" s="554"/>
      <c r="BO989" s="554"/>
      <c r="BP989" s="554"/>
      <c r="BQ989" s="554"/>
      <c r="BR989" s="554"/>
      <c r="BS989" s="554"/>
      <c r="BT989" s="554"/>
      <c r="BU989" s="554"/>
      <c r="BV989" s="554"/>
      <c r="BW989" s="554"/>
      <c r="BX989" s="554"/>
      <c r="BY989" s="554"/>
      <c r="BZ989" s="554"/>
      <c r="CA989" s="554"/>
      <c r="CB989" s="554"/>
      <c r="CC989" s="554"/>
      <c r="CD989" s="554"/>
      <c r="CE989" s="554"/>
      <c r="CF989" s="554"/>
      <c r="CG989" s="554"/>
      <c r="CH989" s="619"/>
      <c r="CI989" s="619"/>
      <c r="CJ989" s="619"/>
      <c r="CK989" s="619"/>
      <c r="CL989" s="619"/>
      <c r="CM989" s="554"/>
      <c r="CN989" s="554"/>
      <c r="CO989" s="554"/>
      <c r="CP989" s="619"/>
      <c r="CQ989" s="619"/>
      <c r="CR989" s="619"/>
      <c r="CS989" s="619"/>
      <c r="CT989" s="619"/>
      <c r="CU989" s="619"/>
    </row>
    <row r="990" s="1265" customFormat="1" ht="31" customHeight="1" spans="1:99">
      <c r="A990" s="608">
        <v>46101</v>
      </c>
      <c r="B990" s="609" t="s">
        <v>3729</v>
      </c>
      <c r="C990" s="610" t="s">
        <v>278</v>
      </c>
      <c r="D990" s="554">
        <v>4500197220</v>
      </c>
      <c r="E990" s="610" t="s">
        <v>3730</v>
      </c>
      <c r="F990" s="554" t="s">
        <v>3731</v>
      </c>
      <c r="G990" s="623" t="s">
        <v>518</v>
      </c>
      <c r="H990" s="610" t="s">
        <v>477</v>
      </c>
      <c r="I990" s="715">
        <v>570</v>
      </c>
      <c r="J990" s="610">
        <v>0</v>
      </c>
      <c r="K990" s="610">
        <v>6</v>
      </c>
      <c r="L990" s="611">
        <f t="shared" si="333"/>
        <v>95</v>
      </c>
      <c r="M990" s="612">
        <v>46149</v>
      </c>
      <c r="N990" s="612">
        <v>46155</v>
      </c>
      <c r="O990" s="613"/>
      <c r="P990" s="824" t="s">
        <v>113</v>
      </c>
      <c r="Q990" s="614">
        <v>46157</v>
      </c>
      <c r="R990" s="614" t="s">
        <v>463</v>
      </c>
      <c r="S990" s="614" t="s">
        <v>104</v>
      </c>
      <c r="T990" s="614" t="s">
        <v>3732</v>
      </c>
      <c r="U990" s="614"/>
      <c r="V990" s="614"/>
      <c r="W990" s="609"/>
      <c r="X990" s="738" t="s">
        <v>3733</v>
      </c>
      <c r="Y990" s="616" t="s">
        <v>3734</v>
      </c>
      <c r="Z990" s="1345">
        <v>7.1628</v>
      </c>
      <c r="AA990" s="616">
        <f t="shared" si="340"/>
        <v>4082.796</v>
      </c>
      <c r="AB990" s="554"/>
      <c r="AC990" s="617"/>
      <c r="AD990" s="610" t="s">
        <v>480</v>
      </c>
      <c r="AE990" s="610" t="s">
        <v>82</v>
      </c>
      <c r="AF990" s="610"/>
      <c r="AG990" s="610"/>
      <c r="AH990" s="610">
        <v>1</v>
      </c>
      <c r="AI990" s="610"/>
      <c r="AJ990" s="613">
        <f t="shared" si="339"/>
        <v>-570</v>
      </c>
      <c r="AK990" s="610"/>
      <c r="AL990" s="610"/>
      <c r="AM990" s="554"/>
      <c r="AN990" s="554">
        <f t="shared" si="344"/>
        <v>570</v>
      </c>
      <c r="AO990" s="554"/>
      <c r="AP990" s="554"/>
      <c r="AQ990" s="554"/>
      <c r="AR990" s="554"/>
      <c r="AS990" s="554">
        <f>I990</f>
        <v>570</v>
      </c>
      <c r="AT990" s="554"/>
      <c r="AU990" s="554">
        <f t="shared" si="345"/>
        <v>570</v>
      </c>
      <c r="AV990" s="554"/>
      <c r="AW990" s="554">
        <f t="shared" ref="AW990:AW995" si="346">I990</f>
        <v>570</v>
      </c>
      <c r="AX990" s="714"/>
      <c r="AY990" s="554"/>
      <c r="AZ990" s="554"/>
      <c r="BA990" s="554"/>
      <c r="BB990" s="554"/>
      <c r="BC990" s="554"/>
      <c r="BD990" s="554"/>
      <c r="BE990" s="554"/>
      <c r="BF990" s="554"/>
      <c r="BG990" s="554"/>
      <c r="BH990" s="554"/>
      <c r="BI990" s="554"/>
      <c r="BJ990" s="554"/>
      <c r="BK990" s="554"/>
      <c r="BL990" s="554"/>
      <c r="BM990" s="554"/>
      <c r="BN990" s="554">
        <f>I990</f>
        <v>570</v>
      </c>
      <c r="BO990" s="554"/>
      <c r="BP990" s="554"/>
      <c r="BQ990" s="554"/>
      <c r="BR990" s="554"/>
      <c r="BS990" s="554"/>
      <c r="BT990" s="554"/>
      <c r="BU990" s="554"/>
      <c r="BV990" s="554"/>
      <c r="BW990" s="554"/>
      <c r="BX990" s="554"/>
      <c r="BY990" s="554"/>
      <c r="BZ990" s="554"/>
      <c r="CA990" s="554"/>
      <c r="CB990" s="554"/>
      <c r="CC990" s="554"/>
      <c r="CD990" s="554"/>
      <c r="CE990" s="554"/>
      <c r="CF990" s="554"/>
      <c r="CG990" s="554"/>
      <c r="CH990" s="619"/>
      <c r="CI990" s="619"/>
      <c r="CJ990" s="619"/>
      <c r="CK990" s="619"/>
      <c r="CL990" s="619"/>
      <c r="CM990" s="554"/>
      <c r="CN990" s="554"/>
      <c r="CO990" s="554"/>
      <c r="CP990" s="619"/>
      <c r="CQ990" s="619"/>
      <c r="CR990" s="619"/>
      <c r="CS990" s="619"/>
      <c r="CT990" s="619"/>
      <c r="CU990" s="619"/>
    </row>
    <row r="991" s="1265" customFormat="1" ht="31" customHeight="1" spans="1:99">
      <c r="A991" s="608">
        <v>46107</v>
      </c>
      <c r="B991" s="609" t="s">
        <v>3385</v>
      </c>
      <c r="C991" s="610" t="s">
        <v>3386</v>
      </c>
      <c r="D991" s="554">
        <v>4500198823</v>
      </c>
      <c r="E991" s="610" t="s">
        <v>3735</v>
      </c>
      <c r="F991" s="554" t="s">
        <v>3736</v>
      </c>
      <c r="G991" s="623" t="s">
        <v>68</v>
      </c>
      <c r="H991" s="633" t="s">
        <v>69</v>
      </c>
      <c r="I991" s="715">
        <v>15000</v>
      </c>
      <c r="J991" s="610">
        <v>0</v>
      </c>
      <c r="K991" s="610">
        <v>12</v>
      </c>
      <c r="L991" s="611">
        <f t="shared" si="333"/>
        <v>1250</v>
      </c>
      <c r="M991" s="612">
        <v>46150</v>
      </c>
      <c r="N991" s="612">
        <v>46146</v>
      </c>
      <c r="O991" s="613"/>
      <c r="P991" s="824" t="s">
        <v>113</v>
      </c>
      <c r="Q991" s="614"/>
      <c r="R991" s="614" t="s">
        <v>3530</v>
      </c>
      <c r="S991" s="614" t="s">
        <v>70</v>
      </c>
      <c r="T991" s="614" t="s">
        <v>3737</v>
      </c>
      <c r="U991" s="614"/>
      <c r="V991" s="614"/>
      <c r="W991" s="609"/>
      <c r="X991" s="609" t="s">
        <v>3738</v>
      </c>
      <c r="Y991" s="616" t="s">
        <v>529</v>
      </c>
      <c r="Z991" s="1345">
        <v>4.2064</v>
      </c>
      <c r="AA991" s="616">
        <f t="shared" si="340"/>
        <v>63096</v>
      </c>
      <c r="AB991" s="554"/>
      <c r="AC991" s="617"/>
      <c r="AD991" s="610" t="s">
        <v>184</v>
      </c>
      <c r="AE991" s="610" t="s">
        <v>82</v>
      </c>
      <c r="AF991" s="610"/>
      <c r="AG991" s="610"/>
      <c r="AH991" s="610">
        <v>1</v>
      </c>
      <c r="AI991" s="610">
        <f>13440+720+840</f>
        <v>15000</v>
      </c>
      <c r="AJ991" s="613">
        <f t="shared" si="339"/>
        <v>0</v>
      </c>
      <c r="AK991" s="740">
        <v>46150</v>
      </c>
      <c r="AL991" s="610" t="s">
        <v>454</v>
      </c>
      <c r="AM991" s="554"/>
      <c r="AN991" s="554">
        <f t="shared" si="344"/>
        <v>15000</v>
      </c>
      <c r="AO991" s="554"/>
      <c r="AP991" s="554"/>
      <c r="AQ991" s="554"/>
      <c r="AR991" s="554"/>
      <c r="AS991" s="554">
        <f>I991</f>
        <v>15000</v>
      </c>
      <c r="AT991" s="554"/>
      <c r="AU991" s="554">
        <f t="shared" si="345"/>
        <v>15000</v>
      </c>
      <c r="AV991" s="554"/>
      <c r="AW991" s="554">
        <f t="shared" si="346"/>
        <v>15000</v>
      </c>
      <c r="AX991" s="714"/>
      <c r="AY991" s="554"/>
      <c r="AZ991" s="554"/>
      <c r="BA991" s="554"/>
      <c r="BB991" s="554"/>
      <c r="BC991" s="554"/>
      <c r="BD991" s="554"/>
      <c r="BE991" s="554"/>
      <c r="BF991" s="554"/>
      <c r="BG991" s="554"/>
      <c r="BH991" s="554"/>
      <c r="BI991" s="554"/>
      <c r="BJ991" s="554"/>
      <c r="BK991" s="554"/>
      <c r="BL991" s="554"/>
      <c r="BM991" s="554"/>
      <c r="BN991" s="554"/>
      <c r="BO991" s="554"/>
      <c r="BP991" s="554"/>
      <c r="BQ991" s="554"/>
      <c r="BR991" s="554"/>
      <c r="BS991" s="554"/>
      <c r="BT991" s="554"/>
      <c r="BU991" s="554"/>
      <c r="BV991" s="554"/>
      <c r="BW991" s="554"/>
      <c r="BX991" s="554"/>
      <c r="BY991" s="554"/>
      <c r="BZ991" s="554"/>
      <c r="CA991" s="554"/>
      <c r="CB991" s="554"/>
      <c r="CC991" s="554"/>
      <c r="CD991" s="554"/>
      <c r="CE991" s="554"/>
      <c r="CF991" s="554"/>
      <c r="CG991" s="554"/>
      <c r="CH991" s="619"/>
      <c r="CI991" s="619"/>
      <c r="CJ991" s="619"/>
      <c r="CK991" s="619"/>
      <c r="CL991" s="619"/>
      <c r="CM991" s="554"/>
      <c r="CN991" s="554"/>
      <c r="CO991" s="554"/>
      <c r="CP991" s="619"/>
      <c r="CQ991" s="619"/>
      <c r="CR991" s="619"/>
      <c r="CS991" s="619"/>
      <c r="CT991" s="619"/>
      <c r="CU991" s="619"/>
    </row>
    <row r="992" s="1265" customFormat="1" ht="31" customHeight="1" spans="1:99">
      <c r="A992" s="1344">
        <v>46104</v>
      </c>
      <c r="B992" s="609" t="s">
        <v>120</v>
      </c>
      <c r="C992" s="610" t="s">
        <v>98</v>
      </c>
      <c r="D992" s="554">
        <v>4500198054</v>
      </c>
      <c r="E992" s="610">
        <v>5200009374</v>
      </c>
      <c r="F992" s="1325" t="s">
        <v>3739</v>
      </c>
      <c r="G992" s="623" t="s">
        <v>68</v>
      </c>
      <c r="H992" s="633" t="s">
        <v>69</v>
      </c>
      <c r="I992" s="610">
        <v>15000</v>
      </c>
      <c r="J992" s="610">
        <v>0</v>
      </c>
      <c r="K992" s="610">
        <v>12</v>
      </c>
      <c r="L992" s="611">
        <f t="shared" si="333"/>
        <v>1250</v>
      </c>
      <c r="M992" s="612">
        <v>46150</v>
      </c>
      <c r="N992" s="612">
        <v>46146</v>
      </c>
      <c r="O992" s="613"/>
      <c r="P992" s="824" t="s">
        <v>113</v>
      </c>
      <c r="Q992" s="610"/>
      <c r="R992" s="614" t="s">
        <v>3740</v>
      </c>
      <c r="S992" s="614" t="s">
        <v>70</v>
      </c>
      <c r="T992" s="614" t="s">
        <v>70</v>
      </c>
      <c r="U992" s="614"/>
      <c r="V992" s="614" t="s">
        <v>3741</v>
      </c>
      <c r="W992" s="614"/>
      <c r="X992" s="609" t="s">
        <v>3742</v>
      </c>
      <c r="Y992" s="612" t="s">
        <v>3743</v>
      </c>
      <c r="Z992" s="1345">
        <v>2.5508</v>
      </c>
      <c r="AA992" s="616">
        <f>I992*Z992</f>
        <v>38262</v>
      </c>
      <c r="AB992" s="554"/>
      <c r="AC992" s="629" t="s">
        <v>3744</v>
      </c>
      <c r="AD992" s="610" t="s">
        <v>68</v>
      </c>
      <c r="AE992" s="610" t="s">
        <v>82</v>
      </c>
      <c r="AF992" s="610"/>
      <c r="AG992" s="610"/>
      <c r="AH992" s="610">
        <v>1</v>
      </c>
      <c r="AI992" s="613">
        <f>12600+2352+48</f>
        <v>15000</v>
      </c>
      <c r="AJ992" s="613">
        <f t="shared" si="339"/>
        <v>0</v>
      </c>
      <c r="AK992" s="740">
        <v>46150</v>
      </c>
      <c r="AL992" s="610"/>
      <c r="AM992" s="610"/>
      <c r="AN992" s="554">
        <f t="shared" si="344"/>
        <v>15000</v>
      </c>
      <c r="AO992" s="554"/>
      <c r="AP992" s="554"/>
      <c r="AQ992" s="554"/>
      <c r="AR992" s="554">
        <f>I992</f>
        <v>15000</v>
      </c>
      <c r="AS992" s="554"/>
      <c r="AT992" s="554"/>
      <c r="AU992" s="554">
        <f t="shared" si="345"/>
        <v>15000</v>
      </c>
      <c r="AV992" s="554"/>
      <c r="AW992" s="554">
        <f t="shared" si="346"/>
        <v>15000</v>
      </c>
      <c r="AX992" s="554"/>
      <c r="AY992" s="1325"/>
      <c r="AZ992" s="1325"/>
      <c r="BA992" s="1325"/>
      <c r="BB992" s="554"/>
      <c r="BC992" s="554"/>
      <c r="BD992" s="554"/>
      <c r="BE992" s="554"/>
      <c r="BF992" s="554"/>
      <c r="BG992" s="554"/>
      <c r="BH992" s="554"/>
      <c r="BI992" s="554"/>
      <c r="BJ992" s="554"/>
      <c r="BK992" s="554"/>
      <c r="BL992" s="554"/>
      <c r="BM992" s="554"/>
      <c r="BN992" s="554"/>
      <c r="BO992" s="554"/>
      <c r="BP992" s="554"/>
      <c r="BQ992" s="554"/>
      <c r="BR992" s="554"/>
      <c r="BS992" s="554"/>
      <c r="BT992" s="554"/>
      <c r="BU992" s="554"/>
      <c r="BV992" s="554"/>
      <c r="BW992" s="554"/>
      <c r="BX992" s="554"/>
      <c r="BY992" s="554"/>
      <c r="BZ992" s="554"/>
      <c r="CA992" s="554"/>
      <c r="CB992" s="554"/>
      <c r="CC992" s="554"/>
      <c r="CD992" s="554"/>
      <c r="CE992" s="554"/>
      <c r="CF992" s="554"/>
      <c r="CG992" s="554"/>
      <c r="CH992" s="619"/>
      <c r="CI992" s="619"/>
      <c r="CJ992" s="619"/>
      <c r="CK992" s="619"/>
      <c r="CL992" s="619"/>
      <c r="CM992" s="554"/>
      <c r="CN992" s="554"/>
      <c r="CO992" s="554"/>
      <c r="CP992" s="619"/>
      <c r="CQ992" s="619"/>
      <c r="CR992" s="619"/>
      <c r="CS992" s="619"/>
      <c r="CT992" s="619"/>
      <c r="CU992" s="619"/>
    </row>
    <row r="993" s="1265" customFormat="1" ht="31" customHeight="1" spans="1:99">
      <c r="A993" s="608">
        <v>46108</v>
      </c>
      <c r="B993" s="609" t="s">
        <v>325</v>
      </c>
      <c r="C993" s="610" t="s">
        <v>98</v>
      </c>
      <c r="D993" s="554">
        <v>4500199055</v>
      </c>
      <c r="E993" s="610" t="s">
        <v>3745</v>
      </c>
      <c r="F993" s="554" t="s">
        <v>3746</v>
      </c>
      <c r="G993" s="623" t="s">
        <v>249</v>
      </c>
      <c r="H993" s="610" t="s">
        <v>250</v>
      </c>
      <c r="I993" s="610">
        <v>6932</v>
      </c>
      <c r="J993" s="610">
        <v>0</v>
      </c>
      <c r="K993" s="610">
        <v>4</v>
      </c>
      <c r="L993" s="611">
        <f t="shared" si="333"/>
        <v>1733</v>
      </c>
      <c r="M993" s="612">
        <v>46150</v>
      </c>
      <c r="N993" s="612">
        <v>46146</v>
      </c>
      <c r="O993" s="613"/>
      <c r="P993" s="824" t="s">
        <v>113</v>
      </c>
      <c r="Q993" s="614"/>
      <c r="R993" s="614">
        <v>46120</v>
      </c>
      <c r="S993" s="614" t="s">
        <v>104</v>
      </c>
      <c r="T993" s="614" t="s">
        <v>3747</v>
      </c>
      <c r="U993" s="614"/>
      <c r="V993" s="614"/>
      <c r="W993" s="609" t="s">
        <v>3748</v>
      </c>
      <c r="X993" s="609" t="s">
        <v>3561</v>
      </c>
      <c r="Y993" s="616" t="s">
        <v>252</v>
      </c>
      <c r="Z993" s="1345">
        <v>2.8622</v>
      </c>
      <c r="AA993" s="616">
        <f t="shared" ref="AA993:AA1012" si="347">Z993*I993</f>
        <v>19840.7704</v>
      </c>
      <c r="AB993" s="554"/>
      <c r="AC993" s="629" t="s">
        <v>3749</v>
      </c>
      <c r="AD993" s="610" t="s">
        <v>249</v>
      </c>
      <c r="AE993" s="610" t="s">
        <v>82</v>
      </c>
      <c r="AF993" s="610"/>
      <c r="AG993" s="610"/>
      <c r="AH993" s="610">
        <v>1</v>
      </c>
      <c r="AI993" s="1350">
        <f>3712+3220</f>
        <v>6932</v>
      </c>
      <c r="AJ993" s="610">
        <f t="shared" si="339"/>
        <v>0</v>
      </c>
      <c r="AK993" s="740">
        <v>46150</v>
      </c>
      <c r="AL993" s="610" t="s">
        <v>2368</v>
      </c>
      <c r="AM993" s="554"/>
      <c r="AN993" s="554"/>
      <c r="AO993" s="554"/>
      <c r="AP993" s="554">
        <f>I993</f>
        <v>6932</v>
      </c>
      <c r="AQ993" s="554"/>
      <c r="AR993" s="554"/>
      <c r="AS993" s="554"/>
      <c r="AT993" s="554"/>
      <c r="AU993" s="554"/>
      <c r="AV993" s="554"/>
      <c r="AW993" s="554">
        <f t="shared" si="346"/>
        <v>6932</v>
      </c>
      <c r="AX993" s="714"/>
      <c r="AY993" s="554"/>
      <c r="AZ993" s="554"/>
      <c r="BA993" s="554"/>
      <c r="BB993" s="554"/>
      <c r="BC993" s="554"/>
      <c r="BD993" s="554"/>
      <c r="BE993" s="554"/>
      <c r="BF993" s="554">
        <f>I993</f>
        <v>6932</v>
      </c>
      <c r="BG993" s="554">
        <f>I993</f>
        <v>6932</v>
      </c>
      <c r="BH993" s="825">
        <f>I993/4</f>
        <v>1733</v>
      </c>
      <c r="BI993" s="554"/>
      <c r="BJ993" s="554"/>
      <c r="BK993" s="554"/>
      <c r="BL993" s="554"/>
      <c r="BM993" s="554"/>
      <c r="BN993" s="554"/>
      <c r="BO993" s="554"/>
      <c r="BP993" s="554"/>
      <c r="BQ993" s="554"/>
      <c r="BR993" s="554"/>
      <c r="BS993" s="554"/>
      <c r="BT993" s="554"/>
      <c r="BU993" s="554"/>
      <c r="BV993" s="554"/>
      <c r="BW993" s="554"/>
      <c r="BX993" s="554"/>
      <c r="BY993" s="554"/>
      <c r="BZ993" s="554"/>
      <c r="CA993" s="554"/>
      <c r="CB993" s="554"/>
      <c r="CC993" s="554"/>
      <c r="CD993" s="554"/>
      <c r="CE993" s="554"/>
      <c r="CF993" s="554"/>
      <c r="CG993" s="554"/>
      <c r="CH993" s="619"/>
      <c r="CI993" s="619"/>
      <c r="CJ993" s="619"/>
      <c r="CK993" s="619"/>
      <c r="CL993" s="619"/>
      <c r="CM993" s="554"/>
      <c r="CN993" s="554"/>
      <c r="CO993" s="554"/>
      <c r="CP993" s="619"/>
      <c r="CQ993" s="619"/>
      <c r="CR993" s="619"/>
      <c r="CS993" s="619"/>
      <c r="CT993" s="619"/>
      <c r="CU993" s="619"/>
    </row>
    <row r="994" s="1265" customFormat="1" ht="31" customHeight="1" spans="1:99">
      <c r="A994" s="608">
        <v>46099</v>
      </c>
      <c r="B994" s="609" t="s">
        <v>3750</v>
      </c>
      <c r="C994" s="610" t="s">
        <v>1857</v>
      </c>
      <c r="D994" s="554">
        <v>4500197389</v>
      </c>
      <c r="E994" s="610" t="s">
        <v>3751</v>
      </c>
      <c r="F994" s="554" t="s">
        <v>3752</v>
      </c>
      <c r="G994" s="623" t="s">
        <v>68</v>
      </c>
      <c r="H994" s="633" t="s">
        <v>69</v>
      </c>
      <c r="I994" s="715">
        <v>2364</v>
      </c>
      <c r="J994" s="610">
        <v>0</v>
      </c>
      <c r="K994" s="610">
        <v>12</v>
      </c>
      <c r="L994" s="611">
        <f t="shared" si="333"/>
        <v>197</v>
      </c>
      <c r="M994" s="612">
        <v>46150</v>
      </c>
      <c r="N994" s="612">
        <v>46146</v>
      </c>
      <c r="O994" s="613"/>
      <c r="P994" s="824" t="s">
        <v>113</v>
      </c>
      <c r="Q994" s="614"/>
      <c r="R994" s="614">
        <v>46115</v>
      </c>
      <c r="S994" s="614" t="s">
        <v>70</v>
      </c>
      <c r="T994" s="614" t="s">
        <v>3753</v>
      </c>
      <c r="U994" s="614"/>
      <c r="V994" s="614"/>
      <c r="W994" s="609"/>
      <c r="X994" s="609" t="s">
        <v>3210</v>
      </c>
      <c r="Y994" s="616" t="s">
        <v>3754</v>
      </c>
      <c r="Z994" s="1345">
        <v>4.2622</v>
      </c>
      <c r="AA994" s="616">
        <f t="shared" si="347"/>
        <v>10075.8408</v>
      </c>
      <c r="AB994" s="554"/>
      <c r="AC994" s="617"/>
      <c r="AD994" s="610" t="s">
        <v>184</v>
      </c>
      <c r="AE994" s="610" t="s">
        <v>82</v>
      </c>
      <c r="AF994" s="610"/>
      <c r="AG994" s="610"/>
      <c r="AH994" s="610">
        <v>1</v>
      </c>
      <c r="AI994" s="610">
        <v>2364</v>
      </c>
      <c r="AJ994" s="613">
        <f t="shared" si="339"/>
        <v>0</v>
      </c>
      <c r="AK994" s="740">
        <v>46151</v>
      </c>
      <c r="AL994" s="610" t="s">
        <v>2368</v>
      </c>
      <c r="AM994" s="554"/>
      <c r="AN994" s="554">
        <f t="shared" ref="AN994:AN1056" si="348">I994</f>
        <v>2364</v>
      </c>
      <c r="AO994" s="554"/>
      <c r="AP994" s="554"/>
      <c r="AQ994" s="554"/>
      <c r="AR994" s="554"/>
      <c r="AS994" s="554">
        <f>I994</f>
        <v>2364</v>
      </c>
      <c r="AT994" s="554"/>
      <c r="AU994" s="554">
        <f>I994</f>
        <v>2364</v>
      </c>
      <c r="AV994" s="554"/>
      <c r="AW994" s="554">
        <f t="shared" si="346"/>
        <v>2364</v>
      </c>
      <c r="AX994" s="714"/>
      <c r="AY994" s="554"/>
      <c r="AZ994" s="554"/>
      <c r="BA994" s="554"/>
      <c r="BB994" s="554"/>
      <c r="BC994" s="554"/>
      <c r="BD994" s="554"/>
      <c r="BE994" s="554"/>
      <c r="BF994" s="554"/>
      <c r="BG994" s="554"/>
      <c r="BH994" s="554"/>
      <c r="BI994" s="554"/>
      <c r="BJ994" s="554"/>
      <c r="BK994" s="554"/>
      <c r="BL994" s="554"/>
      <c r="BM994" s="554"/>
      <c r="BN994" s="554"/>
      <c r="BO994" s="554"/>
      <c r="BP994" s="554"/>
      <c r="BQ994" s="554"/>
      <c r="BR994" s="554"/>
      <c r="BS994" s="554"/>
      <c r="BT994" s="554"/>
      <c r="BU994" s="554"/>
      <c r="BV994" s="554"/>
      <c r="BW994" s="554"/>
      <c r="BX994" s="554"/>
      <c r="BY994" s="554"/>
      <c r="BZ994" s="554"/>
      <c r="CA994" s="554"/>
      <c r="CB994" s="554"/>
      <c r="CC994" s="554"/>
      <c r="CD994" s="554"/>
      <c r="CE994" s="554"/>
      <c r="CF994" s="554"/>
      <c r="CG994" s="554"/>
      <c r="CH994" s="619"/>
      <c r="CI994" s="619"/>
      <c r="CJ994" s="619"/>
      <c r="CK994" s="619"/>
      <c r="CL994" s="619"/>
      <c r="CM994" s="554"/>
      <c r="CN994" s="554"/>
      <c r="CO994" s="554"/>
      <c r="CP994" s="619"/>
      <c r="CQ994" s="619"/>
      <c r="CR994" s="619"/>
      <c r="CS994" s="619"/>
      <c r="CT994" s="619"/>
      <c r="CU994" s="619"/>
    </row>
    <row r="995" s="1265" customFormat="1" ht="31" customHeight="1" spans="1:99">
      <c r="A995" s="608">
        <v>46095</v>
      </c>
      <c r="B995" s="609" t="s">
        <v>3755</v>
      </c>
      <c r="C995" s="610" t="s">
        <v>241</v>
      </c>
      <c r="D995" s="554">
        <v>4500196854</v>
      </c>
      <c r="E995" s="610">
        <v>32826069</v>
      </c>
      <c r="F995" s="554" t="s">
        <v>3756</v>
      </c>
      <c r="G995" s="623" t="s">
        <v>101</v>
      </c>
      <c r="H995" s="610" t="s">
        <v>102</v>
      </c>
      <c r="I995" s="610">
        <v>480</v>
      </c>
      <c r="J995" s="610">
        <v>0</v>
      </c>
      <c r="K995" s="610">
        <v>4</v>
      </c>
      <c r="L995" s="611">
        <f t="shared" si="333"/>
        <v>120</v>
      </c>
      <c r="M995" s="612">
        <v>46152</v>
      </c>
      <c r="N995" s="612">
        <v>46148</v>
      </c>
      <c r="O995" s="613" t="s">
        <v>3757</v>
      </c>
      <c r="P995" s="824" t="s">
        <v>113</v>
      </c>
      <c r="Q995" s="614"/>
      <c r="R995" s="614" t="s">
        <v>3758</v>
      </c>
      <c r="S995" s="614" t="s">
        <v>70</v>
      </c>
      <c r="T995" s="614" t="s">
        <v>3759</v>
      </c>
      <c r="U995" s="614"/>
      <c r="V995" s="614"/>
      <c r="W995" s="609"/>
      <c r="X995" s="609" t="s">
        <v>3760</v>
      </c>
      <c r="Y995" s="616" t="s">
        <v>299</v>
      </c>
      <c r="Z995" s="625">
        <v>4.4032</v>
      </c>
      <c r="AA995" s="616">
        <f t="shared" si="347"/>
        <v>2113.536</v>
      </c>
      <c r="AB995" s="554"/>
      <c r="AC995" s="617"/>
      <c r="AD995" s="610" t="s">
        <v>156</v>
      </c>
      <c r="AE995" s="610" t="s">
        <v>82</v>
      </c>
      <c r="AF995" s="610"/>
      <c r="AG995" s="610"/>
      <c r="AH995" s="610">
        <v>1</v>
      </c>
      <c r="AI995" s="610">
        <v>480</v>
      </c>
      <c r="AJ995" s="613">
        <f t="shared" si="339"/>
        <v>0</v>
      </c>
      <c r="AK995" s="740">
        <v>46151</v>
      </c>
      <c r="AL995" s="610" t="s">
        <v>2368</v>
      </c>
      <c r="AM995" s="554"/>
      <c r="AN995" s="554">
        <f t="shared" si="348"/>
        <v>480</v>
      </c>
      <c r="AO995" s="554"/>
      <c r="AP995" s="554"/>
      <c r="AQ995" s="554"/>
      <c r="AR995" s="554"/>
      <c r="AS995" s="554">
        <f>I995</f>
        <v>480</v>
      </c>
      <c r="AT995" s="554"/>
      <c r="AU995" s="554">
        <f>I995</f>
        <v>480</v>
      </c>
      <c r="AV995" s="554"/>
      <c r="AW995" s="554">
        <f t="shared" si="346"/>
        <v>480</v>
      </c>
      <c r="AX995" s="714"/>
      <c r="AY995" s="554"/>
      <c r="AZ995" s="554"/>
      <c r="BA995" s="554"/>
      <c r="BB995" s="554"/>
      <c r="BC995" s="554"/>
      <c r="BD995" s="554"/>
      <c r="BE995" s="554"/>
      <c r="BF995" s="554"/>
      <c r="BG995" s="554"/>
      <c r="BH995" s="554"/>
      <c r="BI995" s="825">
        <f>I995/4</f>
        <v>120</v>
      </c>
      <c r="BJ995" s="554"/>
      <c r="BK995" s="554"/>
      <c r="BL995" s="554"/>
      <c r="BM995" s="554"/>
      <c r="BN995" s="554"/>
      <c r="BO995" s="554"/>
      <c r="BP995" s="554"/>
      <c r="BQ995" s="554"/>
      <c r="BR995" s="554"/>
      <c r="BS995" s="554"/>
      <c r="BT995" s="554"/>
      <c r="BU995" s="554"/>
      <c r="BV995" s="554"/>
      <c r="BW995" s="554"/>
      <c r="BX995" s="554"/>
      <c r="BY995" s="554"/>
      <c r="BZ995" s="554"/>
      <c r="CA995" s="554"/>
      <c r="CB995" s="554"/>
      <c r="CC995" s="554"/>
      <c r="CD995" s="554"/>
      <c r="CE995" s="554"/>
      <c r="CF995" s="554"/>
      <c r="CG995" s="554"/>
      <c r="CH995" s="619"/>
      <c r="CI995" s="619"/>
      <c r="CJ995" s="619"/>
      <c r="CK995" s="619"/>
      <c r="CL995" s="619"/>
      <c r="CM995" s="554"/>
      <c r="CN995" s="554"/>
      <c r="CO995" s="554"/>
      <c r="CP995" s="619"/>
      <c r="CQ995" s="619"/>
      <c r="CR995" s="619"/>
      <c r="CS995" s="619"/>
      <c r="CT995" s="619"/>
      <c r="CU995" s="619"/>
    </row>
    <row r="996" s="1265" customFormat="1" ht="31" customHeight="1" spans="1:99">
      <c r="A996" s="608">
        <v>46106</v>
      </c>
      <c r="B996" s="609" t="s">
        <v>1800</v>
      </c>
      <c r="C996" s="610" t="s">
        <v>744</v>
      </c>
      <c r="D996" s="554">
        <v>4500198503</v>
      </c>
      <c r="E996" s="610">
        <v>5000002156</v>
      </c>
      <c r="F996" s="554" t="s">
        <v>3761</v>
      </c>
      <c r="G996" s="623" t="s">
        <v>518</v>
      </c>
      <c r="H996" s="610" t="s">
        <v>477</v>
      </c>
      <c r="I996" s="715">
        <v>10002</v>
      </c>
      <c r="J996" s="610">
        <v>0</v>
      </c>
      <c r="K996" s="610">
        <v>6</v>
      </c>
      <c r="L996" s="611">
        <f t="shared" si="333"/>
        <v>1667</v>
      </c>
      <c r="M996" s="612">
        <v>46155</v>
      </c>
      <c r="N996" s="612">
        <v>46151</v>
      </c>
      <c r="O996" s="613"/>
      <c r="P996" s="824" t="s">
        <v>113</v>
      </c>
      <c r="Q996" s="614"/>
      <c r="R996" s="614" t="s">
        <v>3299</v>
      </c>
      <c r="S996" s="614" t="s">
        <v>104</v>
      </c>
      <c r="T996" s="614" t="s">
        <v>2239</v>
      </c>
      <c r="U996" s="614"/>
      <c r="V996" s="614"/>
      <c r="W996" s="609"/>
      <c r="X996" s="609" t="s">
        <v>3762</v>
      </c>
      <c r="Y996" s="616" t="s">
        <v>1805</v>
      </c>
      <c r="Z996" s="625">
        <v>6.3788</v>
      </c>
      <c r="AA996" s="616">
        <f t="shared" si="347"/>
        <v>63800.7576</v>
      </c>
      <c r="AB996" s="554"/>
      <c r="AC996" s="617"/>
      <c r="AD996" s="610" t="s">
        <v>2241</v>
      </c>
      <c r="AE996" s="610" t="s">
        <v>82</v>
      </c>
      <c r="AF996" s="610"/>
      <c r="AG996" s="610"/>
      <c r="AH996" s="610">
        <v>1</v>
      </c>
      <c r="AI996" s="610"/>
      <c r="AJ996" s="610">
        <f t="shared" si="339"/>
        <v>-10002</v>
      </c>
      <c r="AK996" s="640">
        <v>46150</v>
      </c>
      <c r="AL996" s="610"/>
      <c r="AM996" s="554"/>
      <c r="AN996" s="554">
        <f t="shared" si="348"/>
        <v>10002</v>
      </c>
      <c r="AO996" s="554"/>
      <c r="AP996" s="554"/>
      <c r="AQ996" s="554"/>
      <c r="AR996" s="554">
        <f>I996</f>
        <v>10002</v>
      </c>
      <c r="AS996" s="554"/>
      <c r="AT996" s="554"/>
      <c r="AU996" s="554"/>
      <c r="AV996" s="554">
        <f>I996</f>
        <v>10002</v>
      </c>
      <c r="AW996" s="554"/>
      <c r="AX996" s="714">
        <f>I996</f>
        <v>10002</v>
      </c>
      <c r="AY996" s="554"/>
      <c r="AZ996" s="554"/>
      <c r="BA996" s="554"/>
      <c r="BB996" s="554"/>
      <c r="BC996" s="554"/>
      <c r="BD996" s="554"/>
      <c r="BE996" s="554"/>
      <c r="BF996" s="554"/>
      <c r="BG996" s="554"/>
      <c r="BH996" s="554"/>
      <c r="BI996" s="554"/>
      <c r="BJ996" s="554"/>
      <c r="BK996" s="554"/>
      <c r="BL996" s="554"/>
      <c r="BM996" s="554"/>
      <c r="BN996" s="554">
        <f>I996</f>
        <v>10002</v>
      </c>
      <c r="BO996" s="554"/>
      <c r="BP996" s="554"/>
      <c r="BQ996" s="554"/>
      <c r="BR996" s="554"/>
      <c r="BS996" s="554"/>
      <c r="BT996" s="554"/>
      <c r="BU996" s="554"/>
      <c r="BV996" s="554"/>
      <c r="BW996" s="554"/>
      <c r="BX996" s="554"/>
      <c r="BY996" s="554"/>
      <c r="BZ996" s="554"/>
      <c r="CA996" s="554"/>
      <c r="CB996" s="554"/>
      <c r="CC996" s="554"/>
      <c r="CD996" s="554"/>
      <c r="CE996" s="554"/>
      <c r="CF996" s="554"/>
      <c r="CG996" s="554"/>
      <c r="CH996" s="619"/>
      <c r="CI996" s="619"/>
      <c r="CJ996" s="619"/>
      <c r="CK996" s="619"/>
      <c r="CL996" s="619"/>
      <c r="CM996" s="554"/>
      <c r="CN996" s="554"/>
      <c r="CO996" s="554"/>
      <c r="CP996" s="619"/>
      <c r="CQ996" s="619"/>
      <c r="CR996" s="619"/>
      <c r="CS996" s="619"/>
      <c r="CT996" s="619"/>
      <c r="CU996" s="619"/>
    </row>
    <row r="997" s="1265" customFormat="1" ht="31" customHeight="1" spans="1:99">
      <c r="A997" s="608">
        <v>46112</v>
      </c>
      <c r="B997" s="609" t="s">
        <v>2545</v>
      </c>
      <c r="C997" s="610" t="s">
        <v>2286</v>
      </c>
      <c r="D997" s="554" t="s">
        <v>3763</v>
      </c>
      <c r="E997" s="610" t="s">
        <v>3764</v>
      </c>
      <c r="F997" s="554" t="s">
        <v>3765</v>
      </c>
      <c r="G997" s="610" t="s">
        <v>68</v>
      </c>
      <c r="H997" s="633" t="s">
        <v>69</v>
      </c>
      <c r="I997" s="715">
        <v>5004</v>
      </c>
      <c r="J997" s="610">
        <v>0</v>
      </c>
      <c r="K997" s="610">
        <v>12</v>
      </c>
      <c r="L997" s="611">
        <f t="shared" si="333"/>
        <v>417</v>
      </c>
      <c r="M997" s="612">
        <v>46157</v>
      </c>
      <c r="N997" s="612">
        <v>46153</v>
      </c>
      <c r="O997" s="613"/>
      <c r="P997" s="824" t="s">
        <v>113</v>
      </c>
      <c r="Q997" s="614"/>
      <c r="R997" s="614">
        <v>46112</v>
      </c>
      <c r="S997" s="614" t="s">
        <v>70</v>
      </c>
      <c r="T997" s="614" t="s">
        <v>3766</v>
      </c>
      <c r="U997" s="614"/>
      <c r="V997" s="614"/>
      <c r="W997" s="609"/>
      <c r="X997" s="609" t="s">
        <v>3767</v>
      </c>
      <c r="Y997" s="616" t="s">
        <v>3571</v>
      </c>
      <c r="Z997" s="625">
        <v>4.2567</v>
      </c>
      <c r="AA997" s="616">
        <f t="shared" si="347"/>
        <v>21300.5268</v>
      </c>
      <c r="AB997" s="554"/>
      <c r="AC997" s="617"/>
      <c r="AD997" s="610" t="s">
        <v>184</v>
      </c>
      <c r="AE997" s="610" t="s">
        <v>82</v>
      </c>
      <c r="AF997" s="610"/>
      <c r="AG997" s="610"/>
      <c r="AH997" s="610">
        <v>1</v>
      </c>
      <c r="AI997" s="610">
        <f>3456+1548</f>
        <v>5004</v>
      </c>
      <c r="AJ997" s="613">
        <f t="shared" si="339"/>
        <v>0</v>
      </c>
      <c r="AK997" s="740">
        <v>46150</v>
      </c>
      <c r="AL997" s="610"/>
      <c r="AM997" s="554"/>
      <c r="AN997" s="554">
        <f t="shared" si="348"/>
        <v>5004</v>
      </c>
      <c r="AO997" s="554"/>
      <c r="AP997" s="554"/>
      <c r="AQ997" s="554"/>
      <c r="AR997" s="554"/>
      <c r="AS997" s="554">
        <f>I997</f>
        <v>5004</v>
      </c>
      <c r="AT997" s="554"/>
      <c r="AU997" s="554">
        <f t="shared" ref="AU997:AU1015" si="349">I997</f>
        <v>5004</v>
      </c>
      <c r="AV997" s="554"/>
      <c r="AW997" s="554">
        <f t="shared" ref="AW997:AW1015" si="350">I997</f>
        <v>5004</v>
      </c>
      <c r="AX997" s="714"/>
      <c r="AY997" s="554"/>
      <c r="AZ997" s="554"/>
      <c r="BA997" s="554"/>
      <c r="BB997" s="554"/>
      <c r="BC997" s="554"/>
      <c r="BD997" s="554"/>
      <c r="BE997" s="554"/>
      <c r="BF997" s="554"/>
      <c r="BG997" s="554"/>
      <c r="BH997" s="554"/>
      <c r="BI997" s="554"/>
      <c r="BJ997" s="554"/>
      <c r="BK997" s="554"/>
      <c r="BL997" s="554"/>
      <c r="BM997" s="554"/>
      <c r="BN997" s="554"/>
      <c r="BO997" s="554"/>
      <c r="BP997" s="554"/>
      <c r="BQ997" s="554"/>
      <c r="BR997" s="554"/>
      <c r="BS997" s="554"/>
      <c r="BT997" s="554"/>
      <c r="BU997" s="554"/>
      <c r="BV997" s="554"/>
      <c r="BW997" s="554"/>
      <c r="BX997" s="554"/>
      <c r="BY997" s="554"/>
      <c r="BZ997" s="554"/>
      <c r="CA997" s="554"/>
      <c r="CB997" s="554"/>
      <c r="CC997" s="554"/>
      <c r="CD997" s="554"/>
      <c r="CE997" s="554"/>
      <c r="CF997" s="554"/>
      <c r="CG997" s="554"/>
      <c r="CH997" s="619"/>
      <c r="CI997" s="619"/>
      <c r="CJ997" s="619"/>
      <c r="CK997" s="619"/>
      <c r="CL997" s="619"/>
      <c r="CM997" s="554"/>
      <c r="CN997" s="554"/>
      <c r="CO997" s="554"/>
      <c r="CP997" s="619"/>
      <c r="CQ997" s="619"/>
      <c r="CR997" s="619"/>
      <c r="CS997" s="619"/>
      <c r="CT997" s="619"/>
      <c r="CU997" s="619"/>
    </row>
    <row r="998" s="1265" customFormat="1" ht="31" customHeight="1" spans="1:99">
      <c r="A998" s="608">
        <v>46101</v>
      </c>
      <c r="B998" s="609" t="s">
        <v>3729</v>
      </c>
      <c r="C998" s="610" t="s">
        <v>278</v>
      </c>
      <c r="D998" s="554">
        <v>4500197220</v>
      </c>
      <c r="E998" s="610" t="s">
        <v>3730</v>
      </c>
      <c r="F998" s="554" t="s">
        <v>3768</v>
      </c>
      <c r="G998" s="623" t="s">
        <v>68</v>
      </c>
      <c r="H998" s="633" t="s">
        <v>69</v>
      </c>
      <c r="I998" s="715">
        <v>852</v>
      </c>
      <c r="J998" s="610">
        <v>0</v>
      </c>
      <c r="K998" s="610">
        <v>12</v>
      </c>
      <c r="L998" s="611">
        <f t="shared" si="333"/>
        <v>71</v>
      </c>
      <c r="M998" s="612">
        <v>46149</v>
      </c>
      <c r="N998" s="612">
        <v>46146</v>
      </c>
      <c r="O998" s="613"/>
      <c r="P998" s="824" t="s">
        <v>113</v>
      </c>
      <c r="Q998" s="614" t="s">
        <v>3769</v>
      </c>
      <c r="R998" s="614" t="s">
        <v>463</v>
      </c>
      <c r="S998" s="614" t="s">
        <v>104</v>
      </c>
      <c r="T998" s="614" t="s">
        <v>3732</v>
      </c>
      <c r="U998" s="614"/>
      <c r="V998" s="614"/>
      <c r="W998" s="609"/>
      <c r="X998" s="609" t="s">
        <v>3770</v>
      </c>
      <c r="Y998" s="616" t="s">
        <v>3734</v>
      </c>
      <c r="Z998" s="1345">
        <v>4.2622</v>
      </c>
      <c r="AA998" s="616">
        <f t="shared" si="347"/>
        <v>3631.3944</v>
      </c>
      <c r="AB998" s="554"/>
      <c r="AC998" s="617"/>
      <c r="AD998" s="610" t="s">
        <v>184</v>
      </c>
      <c r="AE998" s="610" t="s">
        <v>82</v>
      </c>
      <c r="AF998" s="610"/>
      <c r="AG998" s="610"/>
      <c r="AH998" s="610">
        <v>1</v>
      </c>
      <c r="AI998" s="610">
        <v>852</v>
      </c>
      <c r="AJ998" s="613">
        <f t="shared" si="339"/>
        <v>0</v>
      </c>
      <c r="AK998" s="740">
        <v>46150</v>
      </c>
      <c r="AL998" s="610" t="s">
        <v>2368</v>
      </c>
      <c r="AM998" s="554"/>
      <c r="AN998" s="554">
        <f t="shared" si="348"/>
        <v>852</v>
      </c>
      <c r="AO998" s="554"/>
      <c r="AP998" s="554"/>
      <c r="AQ998" s="554"/>
      <c r="AR998" s="554"/>
      <c r="AS998" s="554">
        <f>I998</f>
        <v>852</v>
      </c>
      <c r="AT998" s="554"/>
      <c r="AU998" s="554">
        <f t="shared" si="349"/>
        <v>852</v>
      </c>
      <c r="AV998" s="554"/>
      <c r="AW998" s="554">
        <f t="shared" si="350"/>
        <v>852</v>
      </c>
      <c r="AX998" s="714"/>
      <c r="AY998" s="554"/>
      <c r="AZ998" s="554"/>
      <c r="BA998" s="554"/>
      <c r="BB998" s="554"/>
      <c r="BC998" s="554"/>
      <c r="BD998" s="554"/>
      <c r="BE998" s="554"/>
      <c r="BF998" s="554"/>
      <c r="BG998" s="554"/>
      <c r="BH998" s="554"/>
      <c r="BI998" s="554"/>
      <c r="BJ998" s="554"/>
      <c r="BK998" s="554"/>
      <c r="BL998" s="554"/>
      <c r="BM998" s="554"/>
      <c r="BN998" s="554"/>
      <c r="BO998" s="554"/>
      <c r="BP998" s="554"/>
      <c r="BQ998" s="554"/>
      <c r="BR998" s="554"/>
      <c r="BS998" s="554"/>
      <c r="BT998" s="554"/>
      <c r="BU998" s="554"/>
      <c r="BV998" s="554"/>
      <c r="BW998" s="554"/>
      <c r="BX998" s="554"/>
      <c r="BY998" s="554"/>
      <c r="BZ998" s="554"/>
      <c r="CA998" s="554"/>
      <c r="CB998" s="554"/>
      <c r="CC998" s="554"/>
      <c r="CD998" s="554"/>
      <c r="CE998" s="554"/>
      <c r="CF998" s="554"/>
      <c r="CG998" s="554"/>
      <c r="CH998" s="619"/>
      <c r="CI998" s="619"/>
      <c r="CJ998" s="619"/>
      <c r="CK998" s="619"/>
      <c r="CL998" s="619"/>
      <c r="CM998" s="554"/>
      <c r="CN998" s="554"/>
      <c r="CO998" s="554"/>
      <c r="CP998" s="619"/>
      <c r="CQ998" s="619"/>
      <c r="CR998" s="619"/>
      <c r="CS998" s="619"/>
      <c r="CT998" s="619"/>
      <c r="CU998" s="619"/>
    </row>
    <row r="999" s="1265" customFormat="1" ht="31" customHeight="1" spans="1:99">
      <c r="A999" s="608">
        <v>46101</v>
      </c>
      <c r="B999" s="609" t="s">
        <v>3729</v>
      </c>
      <c r="C999" s="610" t="s">
        <v>399</v>
      </c>
      <c r="D999" s="554">
        <v>4500197220</v>
      </c>
      <c r="E999" s="610" t="s">
        <v>3771</v>
      </c>
      <c r="F999" s="554" t="s">
        <v>3772</v>
      </c>
      <c r="G999" s="623" t="s">
        <v>68</v>
      </c>
      <c r="H999" s="633" t="s">
        <v>69</v>
      </c>
      <c r="I999" s="715">
        <v>852</v>
      </c>
      <c r="J999" s="610">
        <v>0</v>
      </c>
      <c r="K999" s="610">
        <v>12</v>
      </c>
      <c r="L999" s="611">
        <f t="shared" si="333"/>
        <v>71</v>
      </c>
      <c r="M999" s="612">
        <v>46149</v>
      </c>
      <c r="N999" s="612">
        <v>46146</v>
      </c>
      <c r="O999" s="613"/>
      <c r="P999" s="824" t="s">
        <v>113</v>
      </c>
      <c r="Q999" s="614" t="s">
        <v>3769</v>
      </c>
      <c r="R999" s="614" t="s">
        <v>463</v>
      </c>
      <c r="S999" s="614" t="s">
        <v>104</v>
      </c>
      <c r="T999" s="614" t="s">
        <v>3732</v>
      </c>
      <c r="U999" s="614"/>
      <c r="V999" s="614"/>
      <c r="W999" s="609"/>
      <c r="X999" s="609" t="s">
        <v>3773</v>
      </c>
      <c r="Y999" s="616" t="s">
        <v>3734</v>
      </c>
      <c r="Z999" s="1345">
        <v>4.2622</v>
      </c>
      <c r="AA999" s="616">
        <f t="shared" si="347"/>
        <v>3631.3944</v>
      </c>
      <c r="AB999" s="554"/>
      <c r="AC999" s="617"/>
      <c r="AD999" s="610" t="s">
        <v>184</v>
      </c>
      <c r="AE999" s="610" t="s">
        <v>82</v>
      </c>
      <c r="AF999" s="610"/>
      <c r="AG999" s="610"/>
      <c r="AH999" s="610">
        <v>1</v>
      </c>
      <c r="AI999" s="610">
        <v>852</v>
      </c>
      <c r="AJ999" s="613">
        <f t="shared" si="339"/>
        <v>0</v>
      </c>
      <c r="AK999" s="610"/>
      <c r="AL999" s="610" t="s">
        <v>2368</v>
      </c>
      <c r="AM999" s="554"/>
      <c r="AN999" s="554">
        <f t="shared" si="348"/>
        <v>852</v>
      </c>
      <c r="AO999" s="554"/>
      <c r="AP999" s="554"/>
      <c r="AQ999" s="554"/>
      <c r="AR999" s="554"/>
      <c r="AS999" s="554">
        <f>I999</f>
        <v>852</v>
      </c>
      <c r="AT999" s="554"/>
      <c r="AU999" s="554">
        <f t="shared" si="349"/>
        <v>852</v>
      </c>
      <c r="AV999" s="554"/>
      <c r="AW999" s="554">
        <f t="shared" si="350"/>
        <v>852</v>
      </c>
      <c r="AX999" s="714"/>
      <c r="AY999" s="554"/>
      <c r="AZ999" s="554"/>
      <c r="BA999" s="554"/>
      <c r="BB999" s="554"/>
      <c r="BC999" s="554"/>
      <c r="BD999" s="554"/>
      <c r="BE999" s="554"/>
      <c r="BF999" s="554"/>
      <c r="BG999" s="554"/>
      <c r="BH999" s="554"/>
      <c r="BI999" s="554"/>
      <c r="BJ999" s="554"/>
      <c r="BK999" s="554"/>
      <c r="BL999" s="554"/>
      <c r="BM999" s="554"/>
      <c r="BN999" s="554"/>
      <c r="BO999" s="554"/>
      <c r="BP999" s="554"/>
      <c r="BQ999" s="554"/>
      <c r="BR999" s="554"/>
      <c r="BS999" s="554"/>
      <c r="BT999" s="554"/>
      <c r="BU999" s="554"/>
      <c r="BV999" s="554"/>
      <c r="BW999" s="554"/>
      <c r="BX999" s="554"/>
      <c r="BY999" s="554"/>
      <c r="BZ999" s="554"/>
      <c r="CA999" s="554"/>
      <c r="CB999" s="554"/>
      <c r="CC999" s="554"/>
      <c r="CD999" s="554"/>
      <c r="CE999" s="554"/>
      <c r="CF999" s="554"/>
      <c r="CG999" s="554"/>
      <c r="CH999" s="619"/>
      <c r="CI999" s="619"/>
      <c r="CJ999" s="619"/>
      <c r="CK999" s="619"/>
      <c r="CL999" s="619"/>
      <c r="CM999" s="554"/>
      <c r="CN999" s="554"/>
      <c r="CO999" s="554"/>
      <c r="CP999" s="619"/>
      <c r="CQ999" s="619"/>
      <c r="CR999" s="619"/>
      <c r="CS999" s="619"/>
      <c r="CT999" s="619"/>
      <c r="CU999" s="619"/>
    </row>
    <row r="1000" s="1265" customFormat="1" ht="31" customHeight="1" spans="1:99">
      <c r="A1000" s="608">
        <v>46113</v>
      </c>
      <c r="B1000" s="609" t="s">
        <v>2811</v>
      </c>
      <c r="C1000" s="610" t="s">
        <v>98</v>
      </c>
      <c r="D1000" s="554" t="s">
        <v>3774</v>
      </c>
      <c r="E1000" s="610" t="s">
        <v>3775</v>
      </c>
      <c r="F1000" s="554" t="s">
        <v>3776</v>
      </c>
      <c r="G1000" s="610" t="s">
        <v>2736</v>
      </c>
      <c r="H1000" s="610" t="s">
        <v>2737</v>
      </c>
      <c r="I1000" s="715">
        <v>3000</v>
      </c>
      <c r="J1000" s="610">
        <v>0</v>
      </c>
      <c r="K1000" s="610">
        <v>8</v>
      </c>
      <c r="L1000" s="611">
        <f t="shared" si="333"/>
        <v>375</v>
      </c>
      <c r="M1000" s="612">
        <v>46164</v>
      </c>
      <c r="N1000" s="612">
        <v>46160</v>
      </c>
      <c r="O1000" s="613"/>
      <c r="P1000" s="824" t="s">
        <v>113</v>
      </c>
      <c r="Q1000" s="614"/>
      <c r="R1000" s="614">
        <v>46122</v>
      </c>
      <c r="S1000" s="614" t="s">
        <v>70</v>
      </c>
      <c r="T1000" s="614" t="s">
        <v>3777</v>
      </c>
      <c r="U1000" s="614"/>
      <c r="V1000" s="614"/>
      <c r="W1000" s="609"/>
      <c r="X1000" s="609" t="s">
        <v>3778</v>
      </c>
      <c r="Y1000" s="616" t="s">
        <v>1318</v>
      </c>
      <c r="Z1000" s="625">
        <v>4.0073</v>
      </c>
      <c r="AA1000" s="616">
        <f t="shared" si="347"/>
        <v>12021.9</v>
      </c>
      <c r="AB1000" s="554"/>
      <c r="AC1000" s="629" t="s">
        <v>3779</v>
      </c>
      <c r="AD1000" s="610" t="s">
        <v>2741</v>
      </c>
      <c r="AE1000" s="610" t="s">
        <v>82</v>
      </c>
      <c r="AF1000" s="610"/>
      <c r="AG1000" s="610"/>
      <c r="AH1000" s="610">
        <v>1</v>
      </c>
      <c r="AI1000" s="610"/>
      <c r="AJ1000" s="610">
        <f t="shared" si="339"/>
        <v>-3000</v>
      </c>
      <c r="AK1000" s="610"/>
      <c r="AL1000" s="610"/>
      <c r="AM1000" s="554"/>
      <c r="AN1000" s="554">
        <f t="shared" si="348"/>
        <v>3000</v>
      </c>
      <c r="AO1000" s="554"/>
      <c r="AP1000" s="554"/>
      <c r="AQ1000" s="554"/>
      <c r="AR1000" s="554">
        <f>I1000</f>
        <v>3000</v>
      </c>
      <c r="AS1000" s="554"/>
      <c r="AT1000" s="554"/>
      <c r="AU1000" s="554">
        <f t="shared" si="349"/>
        <v>3000</v>
      </c>
      <c r="AV1000" s="554"/>
      <c r="AW1000" s="554">
        <f t="shared" si="350"/>
        <v>3000</v>
      </c>
      <c r="AX1000" s="714"/>
      <c r="AY1000" s="554"/>
      <c r="AZ1000" s="554"/>
      <c r="BA1000" s="554"/>
      <c r="BB1000" s="554"/>
      <c r="BC1000" s="554"/>
      <c r="BD1000" s="554"/>
      <c r="BE1000" s="554"/>
      <c r="BF1000" s="554"/>
      <c r="BG1000" s="554"/>
      <c r="BH1000" s="554"/>
      <c r="BI1000" s="554"/>
      <c r="BJ1000" s="554"/>
      <c r="BK1000" s="554"/>
      <c r="BL1000" s="554"/>
      <c r="BM1000" s="554"/>
      <c r="BN1000" s="554">
        <f>I1000</f>
        <v>3000</v>
      </c>
      <c r="BO1000" s="554"/>
      <c r="BP1000" s="554"/>
      <c r="BQ1000" s="554"/>
      <c r="BR1000" s="554"/>
      <c r="BS1000" s="554"/>
      <c r="BT1000" s="554"/>
      <c r="BU1000" s="554"/>
      <c r="BV1000" s="554"/>
      <c r="BW1000" s="554"/>
      <c r="BX1000" s="554"/>
      <c r="BY1000" s="554"/>
      <c r="BZ1000" s="554"/>
      <c r="CA1000" s="554"/>
      <c r="CB1000" s="554"/>
      <c r="CC1000" s="554"/>
      <c r="CD1000" s="554"/>
      <c r="CE1000" s="554"/>
      <c r="CF1000" s="554"/>
      <c r="CG1000" s="554"/>
      <c r="CH1000" s="619"/>
      <c r="CI1000" s="619"/>
      <c r="CJ1000" s="619"/>
      <c r="CK1000" s="619"/>
      <c r="CL1000" s="619"/>
      <c r="CM1000" s="554"/>
      <c r="CN1000" s="554"/>
      <c r="CO1000" s="554"/>
      <c r="CP1000" s="619"/>
      <c r="CQ1000" s="619"/>
      <c r="CR1000" s="619"/>
      <c r="CS1000" s="619"/>
      <c r="CT1000" s="619"/>
      <c r="CU1000" s="619"/>
    </row>
    <row r="1001" s="1265" customFormat="1" ht="31" customHeight="1" spans="1:99">
      <c r="A1001" s="608">
        <v>45995</v>
      </c>
      <c r="B1001" s="609" t="s">
        <v>2734</v>
      </c>
      <c r="C1001" s="610" t="s">
        <v>98</v>
      </c>
      <c r="D1001" s="554">
        <v>4500186375</v>
      </c>
      <c r="E1001" s="610">
        <v>60260879</v>
      </c>
      <c r="F1001" s="554" t="s">
        <v>3780</v>
      </c>
      <c r="G1001" s="623" t="s">
        <v>2736</v>
      </c>
      <c r="H1001" s="610" t="s">
        <v>2737</v>
      </c>
      <c r="I1001" s="715">
        <v>1600</v>
      </c>
      <c r="J1001" s="610">
        <v>0</v>
      </c>
      <c r="K1001" s="610">
        <v>8</v>
      </c>
      <c r="L1001" s="611">
        <f t="shared" si="333"/>
        <v>200</v>
      </c>
      <c r="M1001" s="612">
        <v>46164</v>
      </c>
      <c r="N1001" s="612">
        <v>46160</v>
      </c>
      <c r="O1001" s="613"/>
      <c r="P1001" s="824" t="s">
        <v>113</v>
      </c>
      <c r="Q1001" s="614"/>
      <c r="R1001" s="614">
        <v>45995</v>
      </c>
      <c r="S1001" s="614" t="s">
        <v>70</v>
      </c>
      <c r="T1001" s="614" t="s">
        <v>2738</v>
      </c>
      <c r="U1001" s="614"/>
      <c r="V1001" s="609"/>
      <c r="W1001" s="609"/>
      <c r="X1001" s="609" t="s">
        <v>3351</v>
      </c>
      <c r="Y1001" s="616" t="s">
        <v>2678</v>
      </c>
      <c r="Z1001" s="1345">
        <v>4.0996</v>
      </c>
      <c r="AA1001" s="616">
        <f t="shared" si="347"/>
        <v>6559.36</v>
      </c>
      <c r="AB1001" s="554"/>
      <c r="AC1001" s="629" t="s">
        <v>3781</v>
      </c>
      <c r="AD1001" s="610" t="s">
        <v>2741</v>
      </c>
      <c r="AE1001" s="610" t="s">
        <v>82</v>
      </c>
      <c r="AF1001" s="610"/>
      <c r="AG1001" s="610"/>
      <c r="AH1001" s="610">
        <v>1</v>
      </c>
      <c r="AI1001" s="610"/>
      <c r="AJ1001" s="610">
        <f t="shared" si="339"/>
        <v>-1600</v>
      </c>
      <c r="AK1001" s="610"/>
      <c r="AL1001" s="610"/>
      <c r="AM1001" s="554"/>
      <c r="AN1001" s="554">
        <f t="shared" si="348"/>
        <v>1600</v>
      </c>
      <c r="AO1001" s="1325"/>
      <c r="AP1001" s="1325"/>
      <c r="AQ1001" s="1325"/>
      <c r="AR1001" s="554">
        <f>I1001</f>
        <v>1600</v>
      </c>
      <c r="AS1001" s="554"/>
      <c r="AT1001" s="554"/>
      <c r="AU1001" s="554">
        <f t="shared" si="349"/>
        <v>1600</v>
      </c>
      <c r="AV1001" s="554"/>
      <c r="AW1001" s="554">
        <f t="shared" si="350"/>
        <v>1600</v>
      </c>
      <c r="AX1001" s="714"/>
      <c r="AY1001" s="554"/>
      <c r="AZ1001" s="554"/>
      <c r="BA1001" s="554"/>
      <c r="BB1001" s="554"/>
      <c r="BC1001" s="554"/>
      <c r="BD1001" s="554"/>
      <c r="BE1001" s="554"/>
      <c r="BF1001" s="554"/>
      <c r="BG1001" s="554"/>
      <c r="BH1001" s="554"/>
      <c r="BI1001" s="554"/>
      <c r="BJ1001" s="554"/>
      <c r="BK1001" s="554"/>
      <c r="BL1001" s="554"/>
      <c r="BM1001" s="554"/>
      <c r="BN1001" s="554">
        <f>I1001</f>
        <v>1600</v>
      </c>
      <c r="BO1001" s="554"/>
      <c r="BP1001" s="554"/>
      <c r="BQ1001" s="554"/>
      <c r="BR1001" s="554"/>
      <c r="BS1001" s="554"/>
      <c r="BT1001" s="554"/>
      <c r="BU1001" s="554"/>
      <c r="BV1001" s="554"/>
      <c r="BW1001" s="554"/>
      <c r="BX1001" s="554"/>
      <c r="BY1001" s="554"/>
      <c r="BZ1001" s="554"/>
      <c r="CA1001" s="554"/>
      <c r="CB1001" s="554"/>
      <c r="CC1001" s="554"/>
      <c r="CD1001" s="554"/>
      <c r="CE1001" s="554"/>
      <c r="CF1001" s="554"/>
      <c r="CG1001" s="554"/>
      <c r="CH1001" s="619"/>
      <c r="CI1001" s="619"/>
      <c r="CJ1001" s="619"/>
      <c r="CK1001" s="619"/>
      <c r="CL1001" s="619"/>
      <c r="CM1001" s="554"/>
      <c r="CN1001" s="554"/>
      <c r="CO1001" s="554"/>
      <c r="CP1001" s="619"/>
      <c r="CQ1001" s="619"/>
      <c r="CR1001" s="619"/>
      <c r="CS1001" s="619"/>
      <c r="CT1001" s="619"/>
      <c r="CU1001" s="619"/>
    </row>
    <row r="1002" s="1265" customFormat="1" ht="31" customHeight="1" spans="1:99">
      <c r="A1002" s="608">
        <v>46091</v>
      </c>
      <c r="B1002" s="609" t="s">
        <v>729</v>
      </c>
      <c r="C1002" s="610" t="s">
        <v>278</v>
      </c>
      <c r="D1002" s="554">
        <v>4500195606</v>
      </c>
      <c r="E1002" s="610" t="s">
        <v>3782</v>
      </c>
      <c r="F1002" s="554" t="s">
        <v>3783</v>
      </c>
      <c r="G1002" s="623" t="s">
        <v>111</v>
      </c>
      <c r="H1002" s="610" t="s">
        <v>112</v>
      </c>
      <c r="I1002" s="715">
        <v>8000</v>
      </c>
      <c r="J1002" s="610">
        <v>0</v>
      </c>
      <c r="K1002" s="610">
        <v>16</v>
      </c>
      <c r="L1002" s="611">
        <f t="shared" si="333"/>
        <v>500</v>
      </c>
      <c r="M1002" s="612">
        <v>46153</v>
      </c>
      <c r="N1002" s="612">
        <v>46149</v>
      </c>
      <c r="O1002" s="613"/>
      <c r="P1002" s="824" t="s">
        <v>113</v>
      </c>
      <c r="Q1002" s="614"/>
      <c r="R1002" s="614">
        <v>46091</v>
      </c>
      <c r="S1002" s="614" t="s">
        <v>70</v>
      </c>
      <c r="T1002" s="614" t="s">
        <v>70</v>
      </c>
      <c r="U1002" s="614"/>
      <c r="V1002" s="614"/>
      <c r="W1002" s="609"/>
      <c r="X1002" s="609" t="s">
        <v>3784</v>
      </c>
      <c r="Y1002" s="616" t="s">
        <v>3785</v>
      </c>
      <c r="Z1002" s="625">
        <v>4.3318</v>
      </c>
      <c r="AA1002" s="616">
        <f t="shared" si="347"/>
        <v>34654.4</v>
      </c>
      <c r="AB1002" s="554"/>
      <c r="AC1002" s="617"/>
      <c r="AD1002" s="610" t="s">
        <v>111</v>
      </c>
      <c r="AE1002" s="610" t="s">
        <v>82</v>
      </c>
      <c r="AF1002" s="610"/>
      <c r="AG1002" s="610"/>
      <c r="AH1002" s="610">
        <v>1</v>
      </c>
      <c r="AI1002" s="610">
        <v>8000</v>
      </c>
      <c r="AJ1002" s="613">
        <f t="shared" si="339"/>
        <v>0</v>
      </c>
      <c r="AK1002" s="610"/>
      <c r="AL1002" s="610"/>
      <c r="AM1002" s="554"/>
      <c r="AN1002" s="554">
        <f t="shared" si="348"/>
        <v>8000</v>
      </c>
      <c r="AO1002" s="554"/>
      <c r="AP1002" s="554"/>
      <c r="AQ1002" s="554"/>
      <c r="AR1002" s="554">
        <f>I1002</f>
        <v>8000</v>
      </c>
      <c r="AS1002" s="554"/>
      <c r="AT1002" s="554"/>
      <c r="AU1002" s="554">
        <f t="shared" si="349"/>
        <v>8000</v>
      </c>
      <c r="AV1002" s="554"/>
      <c r="AW1002" s="554">
        <f t="shared" si="350"/>
        <v>8000</v>
      </c>
      <c r="AX1002" s="714"/>
      <c r="AY1002" s="554"/>
      <c r="AZ1002" s="554"/>
      <c r="BA1002" s="554"/>
      <c r="BB1002" s="554"/>
      <c r="BC1002" s="554"/>
      <c r="BD1002" s="554"/>
      <c r="BE1002" s="554"/>
      <c r="BF1002" s="554"/>
      <c r="BG1002" s="554"/>
      <c r="BH1002" s="825">
        <f>I1002/4</f>
        <v>2000</v>
      </c>
      <c r="BI1002" s="554"/>
      <c r="BJ1002" s="554"/>
      <c r="BK1002" s="554"/>
      <c r="BL1002" s="554"/>
      <c r="BM1002" s="554"/>
      <c r="BN1002" s="554"/>
      <c r="BO1002" s="554"/>
      <c r="BP1002" s="554"/>
      <c r="BQ1002" s="554"/>
      <c r="BR1002" s="554"/>
      <c r="BS1002" s="554"/>
      <c r="BT1002" s="554"/>
      <c r="BU1002" s="554"/>
      <c r="BV1002" s="554"/>
      <c r="BW1002" s="554"/>
      <c r="BX1002" s="554"/>
      <c r="BY1002" s="554"/>
      <c r="BZ1002" s="554"/>
      <c r="CA1002" s="554"/>
      <c r="CB1002" s="554"/>
      <c r="CC1002" s="554"/>
      <c r="CD1002" s="554"/>
      <c r="CE1002" s="554"/>
      <c r="CF1002" s="554"/>
      <c r="CG1002" s="554"/>
      <c r="CH1002" s="619"/>
      <c r="CI1002" s="619"/>
      <c r="CJ1002" s="619"/>
      <c r="CK1002" s="619"/>
      <c r="CL1002" s="619"/>
      <c r="CM1002" s="554"/>
      <c r="CN1002" s="554"/>
      <c r="CO1002" s="554"/>
      <c r="CP1002" s="619"/>
      <c r="CQ1002" s="619"/>
      <c r="CR1002" s="619"/>
      <c r="CS1002" s="619"/>
      <c r="CT1002" s="619"/>
      <c r="CU1002" s="619"/>
    </row>
    <row r="1003" s="1265" customFormat="1" ht="31" customHeight="1" spans="1:99">
      <c r="A1003" s="608">
        <v>46091</v>
      </c>
      <c r="B1003" s="609" t="s">
        <v>729</v>
      </c>
      <c r="C1003" s="610" t="s">
        <v>278</v>
      </c>
      <c r="D1003" s="554">
        <v>4500195606</v>
      </c>
      <c r="E1003" s="610" t="s">
        <v>3786</v>
      </c>
      <c r="F1003" s="554" t="s">
        <v>3787</v>
      </c>
      <c r="G1003" s="623" t="s">
        <v>111</v>
      </c>
      <c r="H1003" s="610" t="s">
        <v>112</v>
      </c>
      <c r="I1003" s="715">
        <v>4000</v>
      </c>
      <c r="J1003" s="610">
        <v>0</v>
      </c>
      <c r="K1003" s="610">
        <v>16</v>
      </c>
      <c r="L1003" s="611">
        <f t="shared" si="333"/>
        <v>250</v>
      </c>
      <c r="M1003" s="612">
        <v>46153</v>
      </c>
      <c r="N1003" s="612">
        <v>46149</v>
      </c>
      <c r="O1003" s="613"/>
      <c r="P1003" s="824" t="s">
        <v>113</v>
      </c>
      <c r="Q1003" s="614"/>
      <c r="R1003" s="614">
        <v>46091</v>
      </c>
      <c r="S1003" s="614" t="s">
        <v>70</v>
      </c>
      <c r="T1003" s="614" t="s">
        <v>70</v>
      </c>
      <c r="U1003" s="614"/>
      <c r="V1003" s="614"/>
      <c r="W1003" s="609"/>
      <c r="X1003" s="609" t="s">
        <v>3784</v>
      </c>
      <c r="Y1003" s="616" t="s">
        <v>3785</v>
      </c>
      <c r="Z1003" s="625">
        <v>4.3509</v>
      </c>
      <c r="AA1003" s="616">
        <f t="shared" si="347"/>
        <v>17403.6</v>
      </c>
      <c r="AB1003" s="554"/>
      <c r="AC1003" s="617"/>
      <c r="AD1003" s="610" t="s">
        <v>111</v>
      </c>
      <c r="AE1003" s="610" t="s">
        <v>82</v>
      </c>
      <c r="AF1003" s="610"/>
      <c r="AG1003" s="610"/>
      <c r="AH1003" s="610">
        <v>1</v>
      </c>
      <c r="AI1003" s="610">
        <v>4000</v>
      </c>
      <c r="AJ1003" s="613">
        <f t="shared" si="339"/>
        <v>0</v>
      </c>
      <c r="AK1003" s="740">
        <v>46150</v>
      </c>
      <c r="AL1003" s="610"/>
      <c r="AM1003" s="554"/>
      <c r="AN1003" s="554">
        <f t="shared" si="348"/>
        <v>4000</v>
      </c>
      <c r="AO1003" s="554"/>
      <c r="AP1003" s="554"/>
      <c r="AQ1003" s="554"/>
      <c r="AR1003" s="554">
        <f>I1003</f>
        <v>4000</v>
      </c>
      <c r="AS1003" s="554"/>
      <c r="AT1003" s="554"/>
      <c r="AU1003" s="554">
        <f t="shared" si="349"/>
        <v>4000</v>
      </c>
      <c r="AV1003" s="554"/>
      <c r="AW1003" s="554">
        <f t="shared" si="350"/>
        <v>4000</v>
      </c>
      <c r="AX1003" s="714"/>
      <c r="AY1003" s="554"/>
      <c r="AZ1003" s="554"/>
      <c r="BA1003" s="554"/>
      <c r="BB1003" s="554"/>
      <c r="BC1003" s="554"/>
      <c r="BD1003" s="554"/>
      <c r="BE1003" s="554"/>
      <c r="BF1003" s="554"/>
      <c r="BG1003" s="554"/>
      <c r="BH1003" s="825">
        <f>I1003/4</f>
        <v>1000</v>
      </c>
      <c r="BI1003" s="554"/>
      <c r="BJ1003" s="554"/>
      <c r="BK1003" s="554"/>
      <c r="BL1003" s="554"/>
      <c r="BM1003" s="554"/>
      <c r="BN1003" s="554"/>
      <c r="BO1003" s="554"/>
      <c r="BP1003" s="554"/>
      <c r="BQ1003" s="554"/>
      <c r="BR1003" s="554"/>
      <c r="BS1003" s="554"/>
      <c r="BT1003" s="554"/>
      <c r="BU1003" s="554"/>
      <c r="BV1003" s="554"/>
      <c r="BW1003" s="554"/>
      <c r="BX1003" s="554"/>
      <c r="BY1003" s="554"/>
      <c r="BZ1003" s="554"/>
      <c r="CA1003" s="554"/>
      <c r="CB1003" s="554"/>
      <c r="CC1003" s="554"/>
      <c r="CD1003" s="554"/>
      <c r="CE1003" s="554"/>
      <c r="CF1003" s="554"/>
      <c r="CG1003" s="554"/>
      <c r="CH1003" s="619"/>
      <c r="CI1003" s="619"/>
      <c r="CJ1003" s="619"/>
      <c r="CK1003" s="619"/>
      <c r="CL1003" s="619"/>
      <c r="CM1003" s="554"/>
      <c r="CN1003" s="554"/>
      <c r="CO1003" s="554"/>
      <c r="CP1003" s="619"/>
      <c r="CQ1003" s="619"/>
      <c r="CR1003" s="619"/>
      <c r="CS1003" s="619"/>
      <c r="CT1003" s="619"/>
      <c r="CU1003" s="619"/>
    </row>
    <row r="1004" s="1265" customFormat="1" ht="31" customHeight="1" spans="1:99">
      <c r="A1004" s="608">
        <v>46115</v>
      </c>
      <c r="B1004" s="609" t="s">
        <v>1922</v>
      </c>
      <c r="C1004" s="610" t="s">
        <v>154</v>
      </c>
      <c r="D1004" s="554" t="s">
        <v>3788</v>
      </c>
      <c r="E1004" s="610" t="s">
        <v>3789</v>
      </c>
      <c r="F1004" s="554" t="s">
        <v>3790</v>
      </c>
      <c r="G1004" s="623" t="s">
        <v>68</v>
      </c>
      <c r="H1004" s="610" t="s">
        <v>69</v>
      </c>
      <c r="I1004" s="715">
        <v>1956</v>
      </c>
      <c r="J1004" s="610">
        <v>0</v>
      </c>
      <c r="K1004" s="610">
        <v>12</v>
      </c>
      <c r="L1004" s="611">
        <f t="shared" si="333"/>
        <v>163</v>
      </c>
      <c r="M1004" s="612">
        <v>46154</v>
      </c>
      <c r="N1004" s="612">
        <v>46150</v>
      </c>
      <c r="O1004" s="613"/>
      <c r="P1004" s="824" t="s">
        <v>113</v>
      </c>
      <c r="Q1004" s="614"/>
      <c r="R1004" s="614" t="s">
        <v>463</v>
      </c>
      <c r="S1004" s="614" t="s">
        <v>104</v>
      </c>
      <c r="T1004" s="614" t="s">
        <v>3791</v>
      </c>
      <c r="U1004" s="614"/>
      <c r="V1004" s="614"/>
      <c r="W1004" s="609"/>
      <c r="X1004" s="609" t="s">
        <v>3792</v>
      </c>
      <c r="Y1004" s="616" t="s">
        <v>428</v>
      </c>
      <c r="Z1004" s="1345">
        <v>4.2622</v>
      </c>
      <c r="AA1004" s="616">
        <f t="shared" si="347"/>
        <v>8336.8632</v>
      </c>
      <c r="AB1004" s="554"/>
      <c r="AC1004" s="617"/>
      <c r="AD1004" s="610" t="s">
        <v>184</v>
      </c>
      <c r="AE1004" s="610" t="s">
        <v>82</v>
      </c>
      <c r="AF1004" s="610"/>
      <c r="AG1004" s="610"/>
      <c r="AH1004" s="610">
        <v>1</v>
      </c>
      <c r="AI1004" s="610">
        <v>1956</v>
      </c>
      <c r="AJ1004" s="613">
        <f t="shared" si="339"/>
        <v>0</v>
      </c>
      <c r="AK1004" s="740">
        <v>46153</v>
      </c>
      <c r="AL1004" s="610" t="s">
        <v>2368</v>
      </c>
      <c r="AM1004" s="554"/>
      <c r="AN1004" s="554">
        <f t="shared" si="348"/>
        <v>1956</v>
      </c>
      <c r="AO1004" s="554"/>
      <c r="AP1004" s="554"/>
      <c r="AQ1004" s="554"/>
      <c r="AR1004" s="554"/>
      <c r="AS1004" s="554">
        <f>I1004</f>
        <v>1956</v>
      </c>
      <c r="AT1004" s="554"/>
      <c r="AU1004" s="554">
        <f t="shared" si="349"/>
        <v>1956</v>
      </c>
      <c r="AV1004" s="554"/>
      <c r="AW1004" s="554">
        <f t="shared" si="350"/>
        <v>1956</v>
      </c>
      <c r="AX1004" s="714"/>
      <c r="AY1004" s="554"/>
      <c r="AZ1004" s="554"/>
      <c r="BA1004" s="554"/>
      <c r="BB1004" s="554"/>
      <c r="BC1004" s="554"/>
      <c r="BD1004" s="554"/>
      <c r="BE1004" s="554"/>
      <c r="BF1004" s="554"/>
      <c r="BG1004" s="554"/>
      <c r="BH1004" s="554"/>
      <c r="BI1004" s="554"/>
      <c r="BJ1004" s="554"/>
      <c r="BK1004" s="554"/>
      <c r="BL1004" s="554"/>
      <c r="BM1004" s="554"/>
      <c r="BN1004" s="554"/>
      <c r="BO1004" s="554"/>
      <c r="BP1004" s="554"/>
      <c r="BQ1004" s="554"/>
      <c r="BR1004" s="554"/>
      <c r="BS1004" s="554"/>
      <c r="BT1004" s="554"/>
      <c r="BU1004" s="554"/>
      <c r="BV1004" s="554"/>
      <c r="BW1004" s="554"/>
      <c r="BX1004" s="554"/>
      <c r="BY1004" s="554"/>
      <c r="BZ1004" s="554"/>
      <c r="CA1004" s="554"/>
      <c r="CB1004" s="554"/>
      <c r="CC1004" s="554"/>
      <c r="CD1004" s="554"/>
      <c r="CE1004" s="554"/>
      <c r="CF1004" s="554"/>
      <c r="CG1004" s="554"/>
      <c r="CH1004" s="619"/>
      <c r="CI1004" s="619"/>
      <c r="CJ1004" s="619"/>
      <c r="CK1004" s="619"/>
      <c r="CL1004" s="619"/>
      <c r="CM1004" s="554"/>
      <c r="CN1004" s="554"/>
      <c r="CO1004" s="554"/>
      <c r="CP1004" s="619"/>
      <c r="CQ1004" s="619"/>
      <c r="CR1004" s="619"/>
      <c r="CS1004" s="619"/>
      <c r="CT1004" s="619"/>
      <c r="CU1004" s="619"/>
    </row>
    <row r="1005" s="1265" customFormat="1" ht="31" customHeight="1" spans="1:99">
      <c r="A1005" s="608">
        <v>46108</v>
      </c>
      <c r="B1005" s="609" t="s">
        <v>143</v>
      </c>
      <c r="C1005" s="610" t="s">
        <v>98</v>
      </c>
      <c r="D1005" s="554">
        <v>4500199069</v>
      </c>
      <c r="E1005" s="1419" t="s">
        <v>3793</v>
      </c>
      <c r="F1005" s="554" t="s">
        <v>3794</v>
      </c>
      <c r="G1005" s="623" t="s">
        <v>101</v>
      </c>
      <c r="H1005" s="610" t="s">
        <v>102</v>
      </c>
      <c r="I1005" s="610">
        <v>2000</v>
      </c>
      <c r="J1005" s="610">
        <v>0</v>
      </c>
      <c r="K1005" s="610">
        <v>4</v>
      </c>
      <c r="L1005" s="611">
        <f t="shared" si="333"/>
        <v>500</v>
      </c>
      <c r="M1005" s="612">
        <v>46156</v>
      </c>
      <c r="N1005" s="612">
        <v>46153</v>
      </c>
      <c r="O1005" s="613" t="s">
        <v>3795</v>
      </c>
      <c r="P1005" s="824" t="s">
        <v>113</v>
      </c>
      <c r="Q1005" s="614"/>
      <c r="R1005" s="614" t="s">
        <v>3066</v>
      </c>
      <c r="S1005" s="614" t="s">
        <v>70</v>
      </c>
      <c r="T1005" s="614" t="s">
        <v>3796</v>
      </c>
      <c r="U1005" s="614"/>
      <c r="V1005" s="614" t="s">
        <v>3705</v>
      </c>
      <c r="W1005" s="609"/>
      <c r="X1005" s="609" t="s">
        <v>3797</v>
      </c>
      <c r="Y1005" s="616" t="s">
        <v>106</v>
      </c>
      <c r="Z1005" s="625">
        <v>2.6272</v>
      </c>
      <c r="AA1005" s="616">
        <f t="shared" si="347"/>
        <v>5254.4</v>
      </c>
      <c r="AB1005" s="554"/>
      <c r="AC1005" s="629" t="s">
        <v>3798</v>
      </c>
      <c r="AD1005" s="610" t="s">
        <v>101</v>
      </c>
      <c r="AE1005" s="610" t="s">
        <v>82</v>
      </c>
      <c r="AF1005" s="610"/>
      <c r="AG1005" s="610"/>
      <c r="AH1005" s="610">
        <v>1</v>
      </c>
      <c r="AI1005" s="610">
        <f>16+1984</f>
        <v>2000</v>
      </c>
      <c r="AJ1005" s="610">
        <f t="shared" si="339"/>
        <v>0</v>
      </c>
      <c r="AK1005" s="610"/>
      <c r="AL1005" s="610" t="s">
        <v>2368</v>
      </c>
      <c r="AM1005" s="554"/>
      <c r="AN1005" s="554">
        <f t="shared" si="348"/>
        <v>2000</v>
      </c>
      <c r="AO1005" s="554"/>
      <c r="AP1005" s="554"/>
      <c r="AQ1005" s="554"/>
      <c r="AR1005" s="554">
        <f>I1005</f>
        <v>2000</v>
      </c>
      <c r="AS1005" s="554"/>
      <c r="AT1005" s="554"/>
      <c r="AU1005" s="554">
        <f t="shared" si="349"/>
        <v>2000</v>
      </c>
      <c r="AV1005" s="554"/>
      <c r="AW1005" s="554">
        <f t="shared" si="350"/>
        <v>2000</v>
      </c>
      <c r="AX1005" s="714"/>
      <c r="AY1005" s="554"/>
      <c r="AZ1005" s="554"/>
      <c r="BA1005" s="554"/>
      <c r="BB1005" s="554"/>
      <c r="BC1005" s="554"/>
      <c r="BD1005" s="554"/>
      <c r="BE1005" s="554"/>
      <c r="BF1005" s="554"/>
      <c r="BG1005" s="554"/>
      <c r="BH1005" s="825">
        <f>I1005/4</f>
        <v>500</v>
      </c>
      <c r="BI1005" s="554"/>
      <c r="BJ1005" s="554"/>
      <c r="BK1005" s="554"/>
      <c r="BL1005" s="554"/>
      <c r="BM1005" s="554"/>
      <c r="BN1005" s="554"/>
      <c r="BO1005" s="554"/>
      <c r="BP1005" s="554"/>
      <c r="BQ1005" s="554"/>
      <c r="BR1005" s="554"/>
      <c r="BS1005" s="554"/>
      <c r="BT1005" s="554"/>
      <c r="BU1005" s="554"/>
      <c r="BV1005" s="554"/>
      <c r="BW1005" s="554"/>
      <c r="BX1005" s="554"/>
      <c r="BY1005" s="554"/>
      <c r="BZ1005" s="554"/>
      <c r="CA1005" s="554"/>
      <c r="CB1005" s="554"/>
      <c r="CC1005" s="554"/>
      <c r="CD1005" s="554"/>
      <c r="CE1005" s="554"/>
      <c r="CF1005" s="554"/>
      <c r="CG1005" s="554"/>
      <c r="CH1005" s="619"/>
      <c r="CI1005" s="619"/>
      <c r="CJ1005" s="619"/>
      <c r="CK1005" s="619"/>
      <c r="CL1005" s="619"/>
      <c r="CM1005" s="554"/>
      <c r="CN1005" s="554"/>
      <c r="CO1005" s="554"/>
      <c r="CP1005" s="619"/>
      <c r="CQ1005" s="619"/>
      <c r="CR1005" s="619"/>
      <c r="CS1005" s="619"/>
      <c r="CT1005" s="619"/>
      <c r="CU1005" s="619"/>
    </row>
    <row r="1006" s="1265" customFormat="1" ht="31" customHeight="1" spans="1:99">
      <c r="A1006" s="608">
        <v>46108</v>
      </c>
      <c r="B1006" s="609" t="s">
        <v>143</v>
      </c>
      <c r="C1006" s="610" t="s">
        <v>98</v>
      </c>
      <c r="D1006" s="554">
        <v>4500199069</v>
      </c>
      <c r="E1006" s="1419" t="s">
        <v>3799</v>
      </c>
      <c r="F1006" s="554" t="s">
        <v>3800</v>
      </c>
      <c r="G1006" s="623" t="s">
        <v>101</v>
      </c>
      <c r="H1006" s="610" t="s">
        <v>102</v>
      </c>
      <c r="I1006" s="610">
        <v>3600</v>
      </c>
      <c r="J1006" s="610">
        <v>0</v>
      </c>
      <c r="K1006" s="610">
        <v>4</v>
      </c>
      <c r="L1006" s="611">
        <f t="shared" si="333"/>
        <v>900</v>
      </c>
      <c r="M1006" s="612">
        <v>46156</v>
      </c>
      <c r="N1006" s="612">
        <v>46153</v>
      </c>
      <c r="O1006" s="613" t="s">
        <v>3795</v>
      </c>
      <c r="P1006" s="824" t="s">
        <v>113</v>
      </c>
      <c r="Q1006" s="614"/>
      <c r="R1006" s="614" t="s">
        <v>3066</v>
      </c>
      <c r="S1006" s="614" t="s">
        <v>70</v>
      </c>
      <c r="T1006" s="614" t="s">
        <v>3796</v>
      </c>
      <c r="U1006" s="614"/>
      <c r="V1006" s="614" t="s">
        <v>3705</v>
      </c>
      <c r="W1006" s="609"/>
      <c r="X1006" s="609" t="s">
        <v>3801</v>
      </c>
      <c r="Y1006" s="616" t="s">
        <v>106</v>
      </c>
      <c r="Z1006" s="625">
        <v>2.6272</v>
      </c>
      <c r="AA1006" s="616">
        <f t="shared" si="347"/>
        <v>9457.92</v>
      </c>
      <c r="AB1006" s="554"/>
      <c r="AC1006" s="629" t="s">
        <v>3802</v>
      </c>
      <c r="AD1006" s="610" t="s">
        <v>101</v>
      </c>
      <c r="AE1006" s="610" t="s">
        <v>82</v>
      </c>
      <c r="AF1006" s="610"/>
      <c r="AG1006" s="610"/>
      <c r="AH1006" s="610">
        <v>1</v>
      </c>
      <c r="AI1006" s="610">
        <f>20+3580</f>
        <v>3600</v>
      </c>
      <c r="AJ1006" s="610">
        <f t="shared" si="339"/>
        <v>0</v>
      </c>
      <c r="AK1006" s="610"/>
      <c r="AL1006" s="610" t="s">
        <v>2368</v>
      </c>
      <c r="AM1006" s="554"/>
      <c r="AN1006" s="554">
        <f t="shared" si="348"/>
        <v>3600</v>
      </c>
      <c r="AO1006" s="554"/>
      <c r="AP1006" s="554"/>
      <c r="AQ1006" s="554"/>
      <c r="AR1006" s="554">
        <f>I1006</f>
        <v>3600</v>
      </c>
      <c r="AS1006" s="554"/>
      <c r="AT1006" s="554"/>
      <c r="AU1006" s="554">
        <f t="shared" si="349"/>
        <v>3600</v>
      </c>
      <c r="AV1006" s="554"/>
      <c r="AW1006" s="554">
        <f t="shared" si="350"/>
        <v>3600</v>
      </c>
      <c r="AX1006" s="714"/>
      <c r="AY1006" s="554"/>
      <c r="AZ1006" s="554"/>
      <c r="BA1006" s="554"/>
      <c r="BB1006" s="554"/>
      <c r="BC1006" s="554"/>
      <c r="BD1006" s="554"/>
      <c r="BE1006" s="554"/>
      <c r="BF1006" s="554"/>
      <c r="BG1006" s="554"/>
      <c r="BH1006" s="825">
        <f>I1006/4</f>
        <v>900</v>
      </c>
      <c r="BI1006" s="554"/>
      <c r="BJ1006" s="554"/>
      <c r="BK1006" s="554"/>
      <c r="BL1006" s="554"/>
      <c r="BM1006" s="554"/>
      <c r="BN1006" s="554"/>
      <c r="BO1006" s="554"/>
      <c r="BP1006" s="554"/>
      <c r="BQ1006" s="554"/>
      <c r="BR1006" s="554"/>
      <c r="BS1006" s="554"/>
      <c r="BT1006" s="554"/>
      <c r="BU1006" s="554"/>
      <c r="BV1006" s="554"/>
      <c r="BW1006" s="554"/>
      <c r="BX1006" s="554"/>
      <c r="BY1006" s="554"/>
      <c r="BZ1006" s="554"/>
      <c r="CA1006" s="554"/>
      <c r="CB1006" s="554"/>
      <c r="CC1006" s="554"/>
      <c r="CD1006" s="554"/>
      <c r="CE1006" s="554"/>
      <c r="CF1006" s="554"/>
      <c r="CG1006" s="554"/>
      <c r="CH1006" s="619"/>
      <c r="CI1006" s="619"/>
      <c r="CJ1006" s="619"/>
      <c r="CK1006" s="619"/>
      <c r="CL1006" s="619"/>
      <c r="CM1006" s="554"/>
      <c r="CN1006" s="554"/>
      <c r="CO1006" s="554"/>
      <c r="CP1006" s="619"/>
      <c r="CQ1006" s="619"/>
      <c r="CR1006" s="619"/>
      <c r="CS1006" s="619"/>
      <c r="CT1006" s="619"/>
      <c r="CU1006" s="619"/>
    </row>
    <row r="1007" s="1265" customFormat="1" ht="31" customHeight="1" spans="1:99">
      <c r="A1007" s="608">
        <v>46111</v>
      </c>
      <c r="B1007" s="609" t="s">
        <v>211</v>
      </c>
      <c r="C1007" s="610" t="s">
        <v>212</v>
      </c>
      <c r="D1007" s="554" t="s">
        <v>3803</v>
      </c>
      <c r="E1007" s="610" t="s">
        <v>3804</v>
      </c>
      <c r="F1007" s="554" t="s">
        <v>3805</v>
      </c>
      <c r="G1007" s="610" t="s">
        <v>518</v>
      </c>
      <c r="H1007" s="610" t="s">
        <v>477</v>
      </c>
      <c r="I1007" s="715">
        <v>480</v>
      </c>
      <c r="J1007" s="610">
        <v>0</v>
      </c>
      <c r="K1007" s="610">
        <v>6</v>
      </c>
      <c r="L1007" s="611">
        <f t="shared" si="333"/>
        <v>80</v>
      </c>
      <c r="M1007" s="612">
        <v>46157</v>
      </c>
      <c r="N1007" s="612">
        <v>46153</v>
      </c>
      <c r="O1007" s="613"/>
      <c r="P1007" s="824" t="s">
        <v>113</v>
      </c>
      <c r="Q1007" s="614"/>
      <c r="R1007" s="614">
        <v>46111</v>
      </c>
      <c r="S1007" s="614" t="s">
        <v>70</v>
      </c>
      <c r="T1007" s="614" t="s">
        <v>3806</v>
      </c>
      <c r="U1007" s="614"/>
      <c r="V1007" s="614"/>
      <c r="W1007" s="609"/>
      <c r="X1007" s="609" t="s">
        <v>3807</v>
      </c>
      <c r="Y1007" s="616" t="s">
        <v>1793</v>
      </c>
      <c r="Z1007" s="625">
        <v>7.0456</v>
      </c>
      <c r="AA1007" s="616">
        <f t="shared" si="347"/>
        <v>3381.888</v>
      </c>
      <c r="AB1007" s="554"/>
      <c r="AC1007" s="617"/>
      <c r="AD1007" s="610" t="s">
        <v>1306</v>
      </c>
      <c r="AE1007" s="610" t="s">
        <v>82</v>
      </c>
      <c r="AF1007" s="610"/>
      <c r="AG1007" s="610"/>
      <c r="AH1007" s="610">
        <v>1</v>
      </c>
      <c r="AI1007" s="610"/>
      <c r="AJ1007" s="610">
        <f t="shared" si="339"/>
        <v>-480</v>
      </c>
      <c r="AK1007" s="610"/>
      <c r="AL1007" s="610"/>
      <c r="AM1007" s="554"/>
      <c r="AN1007" s="554">
        <f t="shared" si="348"/>
        <v>480</v>
      </c>
      <c r="AO1007" s="554"/>
      <c r="AP1007" s="554"/>
      <c r="AQ1007" s="554"/>
      <c r="AR1007" s="554">
        <f>I1007</f>
        <v>480</v>
      </c>
      <c r="AS1007" s="554"/>
      <c r="AT1007" s="554"/>
      <c r="AU1007" s="554">
        <f t="shared" si="349"/>
        <v>480</v>
      </c>
      <c r="AV1007" s="554"/>
      <c r="AW1007" s="554">
        <f t="shared" si="350"/>
        <v>480</v>
      </c>
      <c r="AX1007" s="714"/>
      <c r="AY1007" s="554"/>
      <c r="AZ1007" s="554"/>
      <c r="BA1007" s="554"/>
      <c r="BB1007" s="554"/>
      <c r="BC1007" s="554"/>
      <c r="BD1007" s="554"/>
      <c r="BE1007" s="554"/>
      <c r="BF1007" s="554"/>
      <c r="BG1007" s="554"/>
      <c r="BH1007" s="554"/>
      <c r="BI1007" s="554"/>
      <c r="BJ1007" s="554"/>
      <c r="BK1007" s="554"/>
      <c r="BL1007" s="554"/>
      <c r="BM1007" s="554"/>
      <c r="BN1007" s="554">
        <f>I1007</f>
        <v>480</v>
      </c>
      <c r="BO1007" s="554"/>
      <c r="BP1007" s="554"/>
      <c r="BQ1007" s="554"/>
      <c r="BR1007" s="554"/>
      <c r="BS1007" s="554"/>
      <c r="BT1007" s="554"/>
      <c r="BU1007" s="554"/>
      <c r="BV1007" s="554"/>
      <c r="BW1007" s="554"/>
      <c r="BX1007" s="554"/>
      <c r="BY1007" s="554"/>
      <c r="BZ1007" s="554"/>
      <c r="CA1007" s="554"/>
      <c r="CB1007" s="554"/>
      <c r="CC1007" s="554"/>
      <c r="CD1007" s="554"/>
      <c r="CE1007" s="554"/>
      <c r="CF1007" s="554"/>
      <c r="CG1007" s="554"/>
      <c r="CH1007" s="619"/>
      <c r="CI1007" s="619"/>
      <c r="CJ1007" s="619"/>
      <c r="CK1007" s="619"/>
      <c r="CL1007" s="619"/>
      <c r="CM1007" s="554"/>
      <c r="CN1007" s="554"/>
      <c r="CO1007" s="554"/>
      <c r="CP1007" s="619"/>
      <c r="CQ1007" s="619"/>
      <c r="CR1007" s="619"/>
      <c r="CS1007" s="619"/>
      <c r="CT1007" s="619"/>
      <c r="CU1007" s="619"/>
    </row>
    <row r="1008" s="1265" customFormat="1" ht="31" customHeight="1" spans="1:99">
      <c r="A1008" s="608">
        <v>46105</v>
      </c>
      <c r="B1008" s="609" t="s">
        <v>2651</v>
      </c>
      <c r="C1008" s="610" t="s">
        <v>302</v>
      </c>
      <c r="D1008" s="554">
        <v>4500198339</v>
      </c>
      <c r="E1008" s="610">
        <v>5200009366</v>
      </c>
      <c r="F1008" s="554" t="s">
        <v>3808</v>
      </c>
      <c r="G1008" s="623" t="s">
        <v>156</v>
      </c>
      <c r="H1008" s="610" t="s">
        <v>102</v>
      </c>
      <c r="I1008" s="715">
        <v>5000</v>
      </c>
      <c r="J1008" s="610">
        <v>0</v>
      </c>
      <c r="K1008" s="610">
        <v>4</v>
      </c>
      <c r="L1008" s="611">
        <f t="shared" si="333"/>
        <v>1250</v>
      </c>
      <c r="M1008" s="612">
        <v>46160</v>
      </c>
      <c r="N1008" s="612">
        <v>46156</v>
      </c>
      <c r="O1008" s="613"/>
      <c r="P1008" s="824" t="s">
        <v>113</v>
      </c>
      <c r="Q1008" s="614"/>
      <c r="R1008" s="614" t="s">
        <v>3530</v>
      </c>
      <c r="S1008" s="614" t="s">
        <v>70</v>
      </c>
      <c r="T1008" s="614" t="s">
        <v>3809</v>
      </c>
      <c r="U1008" s="614"/>
      <c r="V1008" s="614" t="s">
        <v>3810</v>
      </c>
      <c r="W1008" s="609"/>
      <c r="X1008" s="609" t="s">
        <v>3811</v>
      </c>
      <c r="Y1008" s="616" t="s">
        <v>305</v>
      </c>
      <c r="Z1008" s="625">
        <v>4.3467</v>
      </c>
      <c r="AA1008" s="616">
        <f t="shared" si="347"/>
        <v>21733.5</v>
      </c>
      <c r="AB1008" s="554"/>
      <c r="AC1008" s="617"/>
      <c r="AD1008" s="610" t="s">
        <v>156</v>
      </c>
      <c r="AE1008" s="610" t="s">
        <v>82</v>
      </c>
      <c r="AF1008" s="610"/>
      <c r="AG1008" s="610"/>
      <c r="AH1008" s="610">
        <v>1</v>
      </c>
      <c r="AI1008" s="610">
        <v>5000</v>
      </c>
      <c r="AJ1008" s="610">
        <f t="shared" si="339"/>
        <v>0</v>
      </c>
      <c r="AK1008" s="610"/>
      <c r="AL1008" s="610"/>
      <c r="AM1008" s="554"/>
      <c r="AN1008" s="554">
        <f t="shared" si="348"/>
        <v>5000</v>
      </c>
      <c r="AO1008" s="554"/>
      <c r="AP1008" s="554"/>
      <c r="AQ1008" s="554"/>
      <c r="AR1008" s="554"/>
      <c r="AS1008" s="554">
        <f>I1008</f>
        <v>5000</v>
      </c>
      <c r="AT1008" s="554"/>
      <c r="AU1008" s="554">
        <f t="shared" si="349"/>
        <v>5000</v>
      </c>
      <c r="AV1008" s="554"/>
      <c r="AW1008" s="554">
        <f t="shared" si="350"/>
        <v>5000</v>
      </c>
      <c r="AX1008" s="714"/>
      <c r="AY1008" s="554"/>
      <c r="AZ1008" s="554"/>
      <c r="BA1008" s="554"/>
      <c r="BB1008" s="554"/>
      <c r="BC1008" s="554"/>
      <c r="BD1008" s="554"/>
      <c r="BE1008" s="554"/>
      <c r="BF1008" s="554"/>
      <c r="BG1008" s="554"/>
      <c r="BH1008" s="554"/>
      <c r="BI1008" s="554">
        <f>I1008/4</f>
        <v>1250</v>
      </c>
      <c r="BJ1008" s="554"/>
      <c r="BK1008" s="554"/>
      <c r="BL1008" s="554"/>
      <c r="BM1008" s="554"/>
      <c r="BN1008" s="554"/>
      <c r="BO1008" s="554"/>
      <c r="BP1008" s="554"/>
      <c r="BQ1008" s="554"/>
      <c r="BR1008" s="554"/>
      <c r="BS1008" s="554"/>
      <c r="BT1008" s="554"/>
      <c r="BU1008" s="554"/>
      <c r="BV1008" s="554"/>
      <c r="BW1008" s="554"/>
      <c r="BX1008" s="554"/>
      <c r="BY1008" s="554"/>
      <c r="BZ1008" s="554"/>
      <c r="CA1008" s="554"/>
      <c r="CB1008" s="554"/>
      <c r="CC1008" s="554"/>
      <c r="CD1008" s="554"/>
      <c r="CE1008" s="554"/>
      <c r="CF1008" s="554"/>
      <c r="CG1008" s="554"/>
      <c r="CH1008" s="619"/>
      <c r="CI1008" s="619"/>
      <c r="CJ1008" s="619"/>
      <c r="CK1008" s="619"/>
      <c r="CL1008" s="619"/>
      <c r="CM1008" s="554"/>
      <c r="CN1008" s="554"/>
      <c r="CO1008" s="554"/>
      <c r="CP1008" s="619"/>
      <c r="CQ1008" s="619"/>
      <c r="CR1008" s="619"/>
      <c r="CS1008" s="619"/>
      <c r="CT1008" s="619"/>
      <c r="CU1008" s="619"/>
    </row>
    <row r="1009" s="1265" customFormat="1" ht="31" customHeight="1" spans="1:99">
      <c r="A1009" s="608">
        <v>46101</v>
      </c>
      <c r="B1009" s="609" t="s">
        <v>3715</v>
      </c>
      <c r="C1009" s="610" t="s">
        <v>98</v>
      </c>
      <c r="D1009" s="554">
        <v>4500197810</v>
      </c>
      <c r="E1009" s="610">
        <v>41201445</v>
      </c>
      <c r="F1009" s="554" t="s">
        <v>3812</v>
      </c>
      <c r="G1009" s="623" t="s">
        <v>2624</v>
      </c>
      <c r="H1009" s="610" t="s">
        <v>2625</v>
      </c>
      <c r="I1009" s="610">
        <v>1072</v>
      </c>
      <c r="J1009" s="610">
        <v>0</v>
      </c>
      <c r="K1009" s="610">
        <v>8</v>
      </c>
      <c r="L1009" s="611">
        <f t="shared" si="333"/>
        <v>134</v>
      </c>
      <c r="M1009" s="612">
        <v>46160</v>
      </c>
      <c r="N1009" s="612">
        <v>46156</v>
      </c>
      <c r="O1009" s="613"/>
      <c r="P1009" s="824" t="s">
        <v>113</v>
      </c>
      <c r="Q1009" s="614"/>
      <c r="R1009" s="614">
        <v>46119</v>
      </c>
      <c r="S1009" s="614" t="s">
        <v>104</v>
      </c>
      <c r="T1009" s="614">
        <v>46113</v>
      </c>
      <c r="U1009" s="614"/>
      <c r="V1009" s="609" t="s">
        <v>3712</v>
      </c>
      <c r="W1009" s="609"/>
      <c r="X1009" s="738" t="s">
        <v>3813</v>
      </c>
      <c r="Y1009" s="616" t="s">
        <v>3717</v>
      </c>
      <c r="Z1009" s="1345">
        <v>2.5879</v>
      </c>
      <c r="AA1009" s="616">
        <f t="shared" si="347"/>
        <v>2774.2288</v>
      </c>
      <c r="AB1009" s="554"/>
      <c r="AC1009" s="629" t="s">
        <v>3814</v>
      </c>
      <c r="AD1009" s="610" t="s">
        <v>2628</v>
      </c>
      <c r="AE1009" s="610" t="s">
        <v>82</v>
      </c>
      <c r="AF1009" s="610"/>
      <c r="AG1009" s="610"/>
      <c r="AH1009" s="610">
        <v>1</v>
      </c>
      <c r="AI1009" s="610">
        <v>1072</v>
      </c>
      <c r="AJ1009" s="610">
        <f t="shared" si="339"/>
        <v>0</v>
      </c>
      <c r="AK1009" s="610"/>
      <c r="AL1009" s="610" t="s">
        <v>2368</v>
      </c>
      <c r="AM1009" s="554"/>
      <c r="AN1009" s="554">
        <f t="shared" si="348"/>
        <v>1072</v>
      </c>
      <c r="AO1009" s="1325"/>
      <c r="AP1009" s="1325"/>
      <c r="AQ1009" s="1325"/>
      <c r="AR1009" s="554"/>
      <c r="AS1009" s="554">
        <f>I1009</f>
        <v>1072</v>
      </c>
      <c r="AT1009" s="554"/>
      <c r="AU1009" s="554">
        <f t="shared" si="349"/>
        <v>1072</v>
      </c>
      <c r="AV1009" s="554"/>
      <c r="AW1009" s="554">
        <f t="shared" si="350"/>
        <v>1072</v>
      </c>
      <c r="AX1009" s="714"/>
      <c r="AY1009" s="554"/>
      <c r="AZ1009" s="554"/>
      <c r="BA1009" s="554"/>
      <c r="BB1009" s="554"/>
      <c r="BC1009" s="554"/>
      <c r="BD1009" s="554"/>
      <c r="BE1009" s="554"/>
      <c r="BF1009" s="554"/>
      <c r="BG1009" s="554"/>
      <c r="BH1009" s="554"/>
      <c r="BI1009" s="554"/>
      <c r="BJ1009" s="554">
        <f>I1009/8</f>
        <v>134</v>
      </c>
      <c r="BK1009" s="554"/>
      <c r="BL1009" s="554"/>
      <c r="BM1009" s="554"/>
      <c r="BN1009" s="554"/>
      <c r="BO1009" s="554"/>
      <c r="BP1009" s="554"/>
      <c r="BQ1009" s="554"/>
      <c r="BR1009" s="554"/>
      <c r="BS1009" s="554"/>
      <c r="BT1009" s="554"/>
      <c r="BU1009" s="554"/>
      <c r="BV1009" s="554"/>
      <c r="BW1009" s="554"/>
      <c r="BX1009" s="554"/>
      <c r="BY1009" s="554"/>
      <c r="BZ1009" s="554"/>
      <c r="CA1009" s="554"/>
      <c r="CB1009" s="554"/>
      <c r="CC1009" s="554"/>
      <c r="CD1009" s="554"/>
      <c r="CE1009" s="554"/>
      <c r="CF1009" s="554"/>
      <c r="CG1009" s="554"/>
      <c r="CH1009" s="619"/>
      <c r="CI1009" s="619"/>
      <c r="CJ1009" s="619"/>
      <c r="CK1009" s="619"/>
      <c r="CL1009" s="619"/>
      <c r="CM1009" s="554"/>
      <c r="CN1009" s="554"/>
      <c r="CO1009" s="554"/>
      <c r="CP1009" s="619"/>
      <c r="CQ1009" s="619"/>
      <c r="CR1009" s="619"/>
      <c r="CS1009" s="619"/>
      <c r="CT1009" s="619"/>
      <c r="CU1009" s="619"/>
    </row>
    <row r="1010" s="1265" customFormat="1" ht="31" customHeight="1" spans="1:99">
      <c r="A1010" s="608">
        <v>46100</v>
      </c>
      <c r="B1010" s="609" t="s">
        <v>3815</v>
      </c>
      <c r="C1010" s="610" t="s">
        <v>98</v>
      </c>
      <c r="D1010" s="554">
        <v>4500197570</v>
      </c>
      <c r="E1010" s="610" t="s">
        <v>3816</v>
      </c>
      <c r="F1010" s="554" t="s">
        <v>3817</v>
      </c>
      <c r="G1010" s="623" t="s">
        <v>68</v>
      </c>
      <c r="H1010" s="610" t="s">
        <v>69</v>
      </c>
      <c r="I1010" s="715">
        <v>1332</v>
      </c>
      <c r="J1010" s="610">
        <v>0</v>
      </c>
      <c r="K1010" s="610">
        <v>12</v>
      </c>
      <c r="L1010" s="611">
        <f t="shared" si="333"/>
        <v>111</v>
      </c>
      <c r="M1010" s="612">
        <v>46160</v>
      </c>
      <c r="N1010" s="612">
        <v>46156</v>
      </c>
      <c r="O1010" s="613"/>
      <c r="P1010" s="824" t="s">
        <v>113</v>
      </c>
      <c r="Q1010" s="614"/>
      <c r="R1010" s="614">
        <v>46100</v>
      </c>
      <c r="S1010" s="614" t="s">
        <v>104</v>
      </c>
      <c r="T1010" s="614" t="s">
        <v>3818</v>
      </c>
      <c r="U1010" s="614"/>
      <c r="V1010" s="614"/>
      <c r="W1010" s="609"/>
      <c r="X1010" s="609" t="s">
        <v>3819</v>
      </c>
      <c r="Y1010" s="616" t="s">
        <v>3820</v>
      </c>
      <c r="Z1010" s="1345">
        <v>2.5573</v>
      </c>
      <c r="AA1010" s="616">
        <f t="shared" si="347"/>
        <v>3406.3236</v>
      </c>
      <c r="AB1010" s="554"/>
      <c r="AC1010" s="629" t="s">
        <v>3821</v>
      </c>
      <c r="AD1010" s="610" t="s">
        <v>68</v>
      </c>
      <c r="AE1010" s="610" t="s">
        <v>82</v>
      </c>
      <c r="AF1010" s="610"/>
      <c r="AG1010" s="610"/>
      <c r="AH1010" s="610">
        <v>1</v>
      </c>
      <c r="AI1010" s="610">
        <v>1332</v>
      </c>
      <c r="AJ1010" s="613">
        <f t="shared" si="339"/>
        <v>0</v>
      </c>
      <c r="AK1010" s="610"/>
      <c r="AL1010" s="610" t="s">
        <v>2368</v>
      </c>
      <c r="AM1010" s="554"/>
      <c r="AN1010" s="554">
        <f t="shared" si="348"/>
        <v>1332</v>
      </c>
      <c r="AO1010" s="554"/>
      <c r="AP1010" s="554"/>
      <c r="AQ1010" s="554"/>
      <c r="AR1010" s="554">
        <f>I1010</f>
        <v>1332</v>
      </c>
      <c r="AS1010" s="554"/>
      <c r="AT1010" s="554"/>
      <c r="AU1010" s="554">
        <f t="shared" si="349"/>
        <v>1332</v>
      </c>
      <c r="AV1010" s="554"/>
      <c r="AW1010" s="554">
        <f t="shared" si="350"/>
        <v>1332</v>
      </c>
      <c r="AX1010" s="714"/>
      <c r="AY1010" s="554"/>
      <c r="AZ1010" s="554"/>
      <c r="BA1010" s="554"/>
      <c r="BB1010" s="554"/>
      <c r="BC1010" s="554"/>
      <c r="BD1010" s="554"/>
      <c r="BE1010" s="554"/>
      <c r="BF1010" s="554"/>
      <c r="BG1010" s="554"/>
      <c r="BH1010" s="554"/>
      <c r="BI1010" s="554"/>
      <c r="BJ1010" s="554"/>
      <c r="BK1010" s="554"/>
      <c r="BL1010" s="554"/>
      <c r="BM1010" s="554"/>
      <c r="BN1010" s="554"/>
      <c r="BO1010" s="554"/>
      <c r="BP1010" s="554"/>
      <c r="BQ1010" s="554"/>
      <c r="BR1010" s="554"/>
      <c r="BS1010" s="554"/>
      <c r="BT1010" s="554"/>
      <c r="BU1010" s="554"/>
      <c r="BV1010" s="554"/>
      <c r="BW1010" s="554"/>
      <c r="BX1010" s="554"/>
      <c r="BY1010" s="554"/>
      <c r="BZ1010" s="554"/>
      <c r="CA1010" s="554"/>
      <c r="CB1010" s="554"/>
      <c r="CC1010" s="554"/>
      <c r="CD1010" s="554"/>
      <c r="CE1010" s="554"/>
      <c r="CF1010" s="554"/>
      <c r="CG1010" s="554"/>
      <c r="CH1010" s="619"/>
      <c r="CI1010" s="619"/>
      <c r="CJ1010" s="619"/>
      <c r="CK1010" s="619"/>
      <c r="CL1010" s="619"/>
      <c r="CM1010" s="554"/>
      <c r="CN1010" s="554"/>
      <c r="CO1010" s="554"/>
      <c r="CP1010" s="619"/>
      <c r="CQ1010" s="619"/>
      <c r="CR1010" s="619"/>
      <c r="CS1010" s="619"/>
      <c r="CT1010" s="619"/>
      <c r="CU1010" s="619"/>
    </row>
    <row r="1011" s="1265" customFormat="1" ht="31" customHeight="1" spans="1:99">
      <c r="A1011" s="608">
        <v>46099</v>
      </c>
      <c r="B1011" s="609" t="s">
        <v>3822</v>
      </c>
      <c r="C1011" s="610" t="s">
        <v>469</v>
      </c>
      <c r="D1011" s="554">
        <v>4500197430</v>
      </c>
      <c r="E1011" s="610" t="s">
        <v>3823</v>
      </c>
      <c r="F1011" s="554" t="s">
        <v>3824</v>
      </c>
      <c r="G1011" s="623" t="s">
        <v>68</v>
      </c>
      <c r="H1011" s="610" t="s">
        <v>69</v>
      </c>
      <c r="I1011" s="715">
        <v>204</v>
      </c>
      <c r="J1011" s="610">
        <v>0</v>
      </c>
      <c r="K1011" s="610">
        <v>12</v>
      </c>
      <c r="L1011" s="611">
        <f t="shared" si="333"/>
        <v>17</v>
      </c>
      <c r="M1011" s="612">
        <v>46160</v>
      </c>
      <c r="N1011" s="612">
        <v>46156</v>
      </c>
      <c r="O1011" s="723" t="s">
        <v>3825</v>
      </c>
      <c r="P1011" s="824" t="s">
        <v>113</v>
      </c>
      <c r="Q1011" s="614"/>
      <c r="R1011" s="614">
        <v>46099</v>
      </c>
      <c r="S1011" s="614" t="s">
        <v>70</v>
      </c>
      <c r="T1011" s="614" t="s">
        <v>3826</v>
      </c>
      <c r="U1011" s="614"/>
      <c r="V1011" s="614"/>
      <c r="W1011" s="609"/>
      <c r="X1011" s="738" t="s">
        <v>3827</v>
      </c>
      <c r="Y1011" s="616" t="s">
        <v>3828</v>
      </c>
      <c r="Z1011" s="1345">
        <v>4.2622</v>
      </c>
      <c r="AA1011" s="616">
        <f t="shared" si="347"/>
        <v>869.4888</v>
      </c>
      <c r="AB1011" s="554"/>
      <c r="AC1011" s="617"/>
      <c r="AD1011" s="610" t="s">
        <v>184</v>
      </c>
      <c r="AE1011" s="610" t="s">
        <v>82</v>
      </c>
      <c r="AF1011" s="610"/>
      <c r="AG1011" s="610"/>
      <c r="AH1011" s="610">
        <v>1</v>
      </c>
      <c r="AI1011" s="610">
        <v>204</v>
      </c>
      <c r="AJ1011" s="613">
        <f t="shared" si="339"/>
        <v>0</v>
      </c>
      <c r="AK1011" s="610"/>
      <c r="AL1011" s="610"/>
      <c r="AM1011" s="554"/>
      <c r="AN1011" s="554">
        <f t="shared" si="348"/>
        <v>204</v>
      </c>
      <c r="AO1011" s="554"/>
      <c r="AP1011" s="554"/>
      <c r="AQ1011" s="554"/>
      <c r="AR1011" s="554"/>
      <c r="AS1011" s="554">
        <f>I1011</f>
        <v>204</v>
      </c>
      <c r="AT1011" s="554"/>
      <c r="AU1011" s="554">
        <f t="shared" si="349"/>
        <v>204</v>
      </c>
      <c r="AV1011" s="554"/>
      <c r="AW1011" s="554">
        <f t="shared" si="350"/>
        <v>204</v>
      </c>
      <c r="AX1011" s="714"/>
      <c r="AY1011" s="554"/>
      <c r="AZ1011" s="554"/>
      <c r="BA1011" s="554"/>
      <c r="BB1011" s="554"/>
      <c r="BC1011" s="554"/>
      <c r="BD1011" s="554"/>
      <c r="BE1011" s="554"/>
      <c r="BF1011" s="554"/>
      <c r="BG1011" s="554"/>
      <c r="BH1011" s="554"/>
      <c r="BI1011" s="554"/>
      <c r="BJ1011" s="554"/>
      <c r="BK1011" s="554"/>
      <c r="BL1011" s="554"/>
      <c r="BM1011" s="554"/>
      <c r="BN1011" s="554"/>
      <c r="BO1011" s="554"/>
      <c r="BP1011" s="554"/>
      <c r="BQ1011" s="554"/>
      <c r="BR1011" s="554"/>
      <c r="BS1011" s="554"/>
      <c r="BT1011" s="554"/>
      <c r="BU1011" s="554"/>
      <c r="BV1011" s="554"/>
      <c r="BW1011" s="554"/>
      <c r="BX1011" s="554"/>
      <c r="BY1011" s="554"/>
      <c r="BZ1011" s="554"/>
      <c r="CA1011" s="554"/>
      <c r="CB1011" s="554"/>
      <c r="CC1011" s="554"/>
      <c r="CD1011" s="554"/>
      <c r="CE1011" s="554"/>
      <c r="CF1011" s="554"/>
      <c r="CG1011" s="554"/>
      <c r="CH1011" s="619"/>
      <c r="CI1011" s="619"/>
      <c r="CJ1011" s="619"/>
      <c r="CK1011" s="619"/>
      <c r="CL1011" s="619"/>
      <c r="CM1011" s="554"/>
      <c r="CN1011" s="554"/>
      <c r="CO1011" s="554"/>
      <c r="CP1011" s="619"/>
      <c r="CQ1011" s="619"/>
      <c r="CR1011" s="619"/>
      <c r="CS1011" s="619"/>
      <c r="CT1011" s="619"/>
      <c r="CU1011" s="619"/>
    </row>
    <row r="1012" s="1265" customFormat="1" ht="31" customHeight="1" spans="1:99">
      <c r="A1012" s="608">
        <v>46099</v>
      </c>
      <c r="B1012" s="609" t="s">
        <v>3822</v>
      </c>
      <c r="C1012" s="610" t="s">
        <v>469</v>
      </c>
      <c r="D1012" s="554">
        <v>4500197430</v>
      </c>
      <c r="E1012" s="610" t="s">
        <v>3823</v>
      </c>
      <c r="F1012" s="554" t="s">
        <v>3829</v>
      </c>
      <c r="G1012" s="623" t="s">
        <v>68</v>
      </c>
      <c r="H1012" s="610" t="s">
        <v>69</v>
      </c>
      <c r="I1012" s="715">
        <v>900</v>
      </c>
      <c r="J1012" s="610">
        <v>0</v>
      </c>
      <c r="K1012" s="610">
        <v>12</v>
      </c>
      <c r="L1012" s="611">
        <f t="shared" si="333"/>
        <v>75</v>
      </c>
      <c r="M1012" s="612">
        <v>46160</v>
      </c>
      <c r="N1012" s="612">
        <v>46156</v>
      </c>
      <c r="O1012" s="723" t="s">
        <v>3825</v>
      </c>
      <c r="P1012" s="824" t="s">
        <v>113</v>
      </c>
      <c r="Q1012" s="614"/>
      <c r="R1012" s="614">
        <v>46099</v>
      </c>
      <c r="S1012" s="614" t="s">
        <v>70</v>
      </c>
      <c r="T1012" s="614" t="s">
        <v>3826</v>
      </c>
      <c r="U1012" s="614"/>
      <c r="V1012" s="614"/>
      <c r="W1012" s="609"/>
      <c r="X1012" s="738" t="s">
        <v>3827</v>
      </c>
      <c r="Y1012" s="616" t="s">
        <v>3828</v>
      </c>
      <c r="Z1012" s="1345">
        <v>4.2622</v>
      </c>
      <c r="AA1012" s="616">
        <f t="shared" si="347"/>
        <v>3835.98</v>
      </c>
      <c r="AB1012" s="554"/>
      <c r="AC1012" s="617"/>
      <c r="AD1012" s="610" t="s">
        <v>184</v>
      </c>
      <c r="AE1012" s="610" t="s">
        <v>82</v>
      </c>
      <c r="AF1012" s="610"/>
      <c r="AG1012" s="610"/>
      <c r="AH1012" s="610">
        <v>1</v>
      </c>
      <c r="AI1012" s="610">
        <v>900</v>
      </c>
      <c r="AJ1012" s="613">
        <f t="shared" si="339"/>
        <v>0</v>
      </c>
      <c r="AK1012" s="610"/>
      <c r="AL1012" s="610"/>
      <c r="AM1012" s="554"/>
      <c r="AN1012" s="554">
        <f t="shared" si="348"/>
        <v>900</v>
      </c>
      <c r="AO1012" s="554"/>
      <c r="AP1012" s="554"/>
      <c r="AQ1012" s="554"/>
      <c r="AR1012" s="554"/>
      <c r="AS1012" s="554">
        <f>I1012</f>
        <v>900</v>
      </c>
      <c r="AT1012" s="554"/>
      <c r="AU1012" s="554">
        <f t="shared" si="349"/>
        <v>900</v>
      </c>
      <c r="AV1012" s="554"/>
      <c r="AW1012" s="554">
        <f t="shared" si="350"/>
        <v>900</v>
      </c>
      <c r="AX1012" s="714"/>
      <c r="AY1012" s="554"/>
      <c r="AZ1012" s="554"/>
      <c r="BA1012" s="554"/>
      <c r="BB1012" s="554"/>
      <c r="BC1012" s="554"/>
      <c r="BD1012" s="554"/>
      <c r="BE1012" s="554"/>
      <c r="BF1012" s="554"/>
      <c r="BG1012" s="554"/>
      <c r="BH1012" s="554"/>
      <c r="BI1012" s="554"/>
      <c r="BJ1012" s="554"/>
      <c r="BK1012" s="554"/>
      <c r="BL1012" s="554"/>
      <c r="BM1012" s="554"/>
      <c r="BN1012" s="554"/>
      <c r="BO1012" s="554"/>
      <c r="BP1012" s="554"/>
      <c r="BQ1012" s="554"/>
      <c r="BR1012" s="554"/>
      <c r="BS1012" s="554"/>
      <c r="BT1012" s="554"/>
      <c r="BU1012" s="554"/>
      <c r="BV1012" s="554"/>
      <c r="BW1012" s="554"/>
      <c r="BX1012" s="554"/>
      <c r="BY1012" s="554"/>
      <c r="BZ1012" s="554"/>
      <c r="CA1012" s="554"/>
      <c r="CB1012" s="554"/>
      <c r="CC1012" s="554"/>
      <c r="CD1012" s="554"/>
      <c r="CE1012" s="554"/>
      <c r="CF1012" s="554"/>
      <c r="CG1012" s="554"/>
      <c r="CH1012" s="619"/>
      <c r="CI1012" s="619"/>
      <c r="CJ1012" s="619"/>
      <c r="CK1012" s="619"/>
      <c r="CL1012" s="619"/>
      <c r="CM1012" s="554"/>
      <c r="CN1012" s="554"/>
      <c r="CO1012" s="554"/>
      <c r="CP1012" s="619"/>
      <c r="CQ1012" s="619"/>
      <c r="CR1012" s="619"/>
      <c r="CS1012" s="619"/>
      <c r="CT1012" s="619"/>
      <c r="CU1012" s="619"/>
    </row>
    <row r="1013" s="1265" customFormat="1" ht="31" customHeight="1" spans="1:99">
      <c r="A1013" s="1344">
        <v>46107</v>
      </c>
      <c r="B1013" s="609" t="s">
        <v>3830</v>
      </c>
      <c r="C1013" s="610" t="s">
        <v>469</v>
      </c>
      <c r="D1013" s="554">
        <v>4500197450</v>
      </c>
      <c r="E1013" s="610" t="s">
        <v>3831</v>
      </c>
      <c r="F1013" s="1325" t="s">
        <v>3832</v>
      </c>
      <c r="G1013" s="623" t="s">
        <v>68</v>
      </c>
      <c r="H1013" s="610" t="s">
        <v>69</v>
      </c>
      <c r="I1013" s="610">
        <v>2604</v>
      </c>
      <c r="J1013" s="610">
        <v>0</v>
      </c>
      <c r="K1013" s="610">
        <v>12</v>
      </c>
      <c r="L1013" s="611">
        <f t="shared" si="333"/>
        <v>217</v>
      </c>
      <c r="M1013" s="612">
        <v>46160</v>
      </c>
      <c r="N1013" s="612">
        <v>46156</v>
      </c>
      <c r="O1013" s="723" t="s">
        <v>3833</v>
      </c>
      <c r="P1013" s="824" t="s">
        <v>113</v>
      </c>
      <c r="Q1013" s="610"/>
      <c r="R1013" s="614">
        <v>46099</v>
      </c>
      <c r="S1013" s="614" t="s">
        <v>70</v>
      </c>
      <c r="T1013" s="614" t="s">
        <v>3834</v>
      </c>
      <c r="U1013" s="614"/>
      <c r="V1013" s="614"/>
      <c r="W1013" s="614"/>
      <c r="X1013" s="738" t="s">
        <v>3835</v>
      </c>
      <c r="Y1013" s="612" t="s">
        <v>388</v>
      </c>
      <c r="Z1013" s="1345">
        <v>4.2513</v>
      </c>
      <c r="AA1013" s="616">
        <f>I1013*Z1013</f>
        <v>11070.3852</v>
      </c>
      <c r="AB1013" s="554"/>
      <c r="AC1013" s="617"/>
      <c r="AD1013" s="610" t="s">
        <v>184</v>
      </c>
      <c r="AE1013" s="610" t="s">
        <v>82</v>
      </c>
      <c r="AF1013" s="610"/>
      <c r="AG1013" s="610"/>
      <c r="AH1013" s="610">
        <v>1</v>
      </c>
      <c r="AI1013" s="613">
        <v>2604</v>
      </c>
      <c r="AJ1013" s="613">
        <f t="shared" si="339"/>
        <v>0</v>
      </c>
      <c r="AK1013" s="740">
        <v>46151</v>
      </c>
      <c r="AL1013" s="610" t="s">
        <v>2368</v>
      </c>
      <c r="AM1013" s="610"/>
      <c r="AN1013" s="554">
        <f t="shared" si="348"/>
        <v>2604</v>
      </c>
      <c r="AO1013" s="554"/>
      <c r="AP1013" s="554"/>
      <c r="AQ1013" s="554"/>
      <c r="AR1013" s="554"/>
      <c r="AS1013" s="554">
        <f>I1013</f>
        <v>2604</v>
      </c>
      <c r="AT1013" s="554"/>
      <c r="AU1013" s="554">
        <f t="shared" si="349"/>
        <v>2604</v>
      </c>
      <c r="AV1013" s="554"/>
      <c r="AW1013" s="554">
        <f t="shared" si="350"/>
        <v>2604</v>
      </c>
      <c r="AX1013" s="554"/>
      <c r="AY1013" s="1325"/>
      <c r="AZ1013" s="1325"/>
      <c r="BA1013" s="1325"/>
      <c r="BB1013" s="554"/>
      <c r="BC1013" s="554"/>
      <c r="BD1013" s="554"/>
      <c r="BE1013" s="554"/>
      <c r="BF1013" s="554"/>
      <c r="BG1013" s="554"/>
      <c r="BH1013" s="554"/>
      <c r="BI1013" s="554"/>
      <c r="BJ1013" s="554"/>
      <c r="BK1013" s="554"/>
      <c r="BL1013" s="554"/>
      <c r="BM1013" s="554"/>
      <c r="BN1013" s="554"/>
      <c r="BO1013" s="554"/>
      <c r="BP1013" s="554"/>
      <c r="BQ1013" s="554"/>
      <c r="BR1013" s="554"/>
      <c r="BS1013" s="554"/>
      <c r="BT1013" s="554"/>
      <c r="BU1013" s="554"/>
      <c r="BV1013" s="554"/>
      <c r="BW1013" s="554"/>
      <c r="BX1013" s="554"/>
      <c r="BY1013" s="554"/>
      <c r="BZ1013" s="554"/>
      <c r="CA1013" s="554"/>
      <c r="CB1013" s="554"/>
      <c r="CC1013" s="554"/>
      <c r="CD1013" s="554"/>
      <c r="CE1013" s="554"/>
      <c r="CF1013" s="554"/>
      <c r="CG1013" s="554"/>
      <c r="CH1013" s="619"/>
      <c r="CI1013" s="619"/>
      <c r="CJ1013" s="619"/>
      <c r="CK1013" s="619"/>
      <c r="CL1013" s="619"/>
      <c r="CM1013" s="554"/>
      <c r="CN1013" s="554"/>
      <c r="CO1013" s="554"/>
      <c r="CP1013" s="619"/>
      <c r="CQ1013" s="619"/>
      <c r="CR1013" s="619"/>
      <c r="CS1013" s="619"/>
      <c r="CT1013" s="619"/>
      <c r="CU1013" s="619"/>
    </row>
    <row r="1014" s="1265" customFormat="1" ht="31" customHeight="1" spans="1:99">
      <c r="A1014" s="1344">
        <v>46107</v>
      </c>
      <c r="B1014" s="609" t="s">
        <v>3830</v>
      </c>
      <c r="C1014" s="610" t="s">
        <v>469</v>
      </c>
      <c r="D1014" s="554">
        <v>4500197450</v>
      </c>
      <c r="E1014" s="610" t="s">
        <v>3831</v>
      </c>
      <c r="F1014" s="1325" t="s">
        <v>3836</v>
      </c>
      <c r="G1014" s="623" t="s">
        <v>68</v>
      </c>
      <c r="H1014" s="610" t="s">
        <v>69</v>
      </c>
      <c r="I1014" s="610">
        <v>10008</v>
      </c>
      <c r="J1014" s="610">
        <v>0</v>
      </c>
      <c r="K1014" s="610">
        <v>12</v>
      </c>
      <c r="L1014" s="611">
        <f t="shared" si="333"/>
        <v>834</v>
      </c>
      <c r="M1014" s="612">
        <v>46160</v>
      </c>
      <c r="N1014" s="612">
        <v>46156</v>
      </c>
      <c r="O1014" s="723" t="s">
        <v>3833</v>
      </c>
      <c r="P1014" s="824" t="s">
        <v>113</v>
      </c>
      <c r="Q1014" s="610"/>
      <c r="R1014" s="614">
        <v>46099</v>
      </c>
      <c r="S1014" s="614" t="s">
        <v>70</v>
      </c>
      <c r="T1014" s="614" t="s">
        <v>3837</v>
      </c>
      <c r="U1014" s="614"/>
      <c r="V1014" s="614"/>
      <c r="W1014" s="614"/>
      <c r="X1014" s="738" t="s">
        <v>3835</v>
      </c>
      <c r="Y1014" s="612" t="s">
        <v>388</v>
      </c>
      <c r="Z1014" s="1345">
        <v>4.2064</v>
      </c>
      <c r="AA1014" s="616">
        <f>I1014*Z1014</f>
        <v>42097.6512</v>
      </c>
      <c r="AB1014" s="554"/>
      <c r="AC1014" s="617"/>
      <c r="AD1014" s="610" t="s">
        <v>184</v>
      </c>
      <c r="AE1014" s="610" t="s">
        <v>82</v>
      </c>
      <c r="AF1014" s="610"/>
      <c r="AG1014" s="610"/>
      <c r="AH1014" s="610">
        <v>1</v>
      </c>
      <c r="AI1014" s="613">
        <v>10008</v>
      </c>
      <c r="AJ1014" s="613">
        <f t="shared" si="339"/>
        <v>0</v>
      </c>
      <c r="AK1014" s="740">
        <v>46153</v>
      </c>
      <c r="AL1014" s="610" t="s">
        <v>2368</v>
      </c>
      <c r="AM1014" s="610"/>
      <c r="AN1014" s="554">
        <f t="shared" si="348"/>
        <v>10008</v>
      </c>
      <c r="AO1014" s="554"/>
      <c r="AP1014" s="554"/>
      <c r="AQ1014" s="554"/>
      <c r="AR1014" s="554"/>
      <c r="AS1014" s="554">
        <f>I1014</f>
        <v>10008</v>
      </c>
      <c r="AT1014" s="554"/>
      <c r="AU1014" s="554">
        <f t="shared" si="349"/>
        <v>10008</v>
      </c>
      <c r="AV1014" s="554"/>
      <c r="AW1014" s="554">
        <f t="shared" si="350"/>
        <v>10008</v>
      </c>
      <c r="AX1014" s="554"/>
      <c r="AY1014" s="1325"/>
      <c r="AZ1014" s="1325"/>
      <c r="BA1014" s="1325"/>
      <c r="BB1014" s="554"/>
      <c r="BC1014" s="554"/>
      <c r="BD1014" s="554"/>
      <c r="BE1014" s="554"/>
      <c r="BF1014" s="554"/>
      <c r="BG1014" s="554"/>
      <c r="BH1014" s="554"/>
      <c r="BI1014" s="554"/>
      <c r="BJ1014" s="554"/>
      <c r="BK1014" s="554"/>
      <c r="BL1014" s="554"/>
      <c r="BM1014" s="554"/>
      <c r="BN1014" s="554"/>
      <c r="BO1014" s="554"/>
      <c r="BP1014" s="554"/>
      <c r="BQ1014" s="554"/>
      <c r="BR1014" s="554"/>
      <c r="BS1014" s="554"/>
      <c r="BT1014" s="554"/>
      <c r="BU1014" s="554"/>
      <c r="BV1014" s="554"/>
      <c r="BW1014" s="554"/>
      <c r="BX1014" s="554"/>
      <c r="BY1014" s="554"/>
      <c r="BZ1014" s="554"/>
      <c r="CA1014" s="554"/>
      <c r="CB1014" s="554"/>
      <c r="CC1014" s="554"/>
      <c r="CD1014" s="554"/>
      <c r="CE1014" s="554"/>
      <c r="CF1014" s="554"/>
      <c r="CG1014" s="554"/>
      <c r="CH1014" s="619"/>
      <c r="CI1014" s="619"/>
      <c r="CJ1014" s="619"/>
      <c r="CK1014" s="619"/>
      <c r="CL1014" s="619"/>
      <c r="CM1014" s="554"/>
      <c r="CN1014" s="554"/>
      <c r="CO1014" s="554"/>
      <c r="CP1014" s="619"/>
      <c r="CQ1014" s="619"/>
      <c r="CR1014" s="619"/>
      <c r="CS1014" s="619"/>
      <c r="CT1014" s="619"/>
      <c r="CU1014" s="619"/>
    </row>
    <row r="1015" s="1265" customFormat="1" ht="31" customHeight="1" spans="1:99">
      <c r="A1015" s="1344">
        <v>46107</v>
      </c>
      <c r="B1015" s="609" t="s">
        <v>3830</v>
      </c>
      <c r="C1015" s="610" t="s">
        <v>469</v>
      </c>
      <c r="D1015" s="554">
        <v>4500197450</v>
      </c>
      <c r="E1015" s="610" t="s">
        <v>3831</v>
      </c>
      <c r="F1015" s="1325" t="s">
        <v>3838</v>
      </c>
      <c r="G1015" s="623" t="s">
        <v>68</v>
      </c>
      <c r="H1015" s="610" t="s">
        <v>69</v>
      </c>
      <c r="I1015" s="610">
        <v>1008</v>
      </c>
      <c r="J1015" s="610">
        <v>0</v>
      </c>
      <c r="K1015" s="610">
        <v>12</v>
      </c>
      <c r="L1015" s="611">
        <f t="shared" si="333"/>
        <v>84</v>
      </c>
      <c r="M1015" s="612">
        <v>46160</v>
      </c>
      <c r="N1015" s="612">
        <v>46156</v>
      </c>
      <c r="O1015" s="723" t="s">
        <v>3833</v>
      </c>
      <c r="P1015" s="824" t="s">
        <v>113</v>
      </c>
      <c r="Q1015" s="610"/>
      <c r="R1015" s="614">
        <v>46099</v>
      </c>
      <c r="S1015" s="614" t="s">
        <v>70</v>
      </c>
      <c r="T1015" s="614" t="s">
        <v>3837</v>
      </c>
      <c r="U1015" s="614"/>
      <c r="V1015" s="614"/>
      <c r="W1015" s="614"/>
      <c r="X1015" s="738" t="s">
        <v>3835</v>
      </c>
      <c r="Y1015" s="612" t="s">
        <v>388</v>
      </c>
      <c r="Z1015" s="1345">
        <v>4.2513</v>
      </c>
      <c r="AA1015" s="616">
        <f>I1015*Z1015</f>
        <v>4285.3104</v>
      </c>
      <c r="AB1015" s="554"/>
      <c r="AC1015" s="617"/>
      <c r="AD1015" s="610" t="s">
        <v>184</v>
      </c>
      <c r="AE1015" s="610" t="s">
        <v>82</v>
      </c>
      <c r="AF1015" s="610"/>
      <c r="AG1015" s="610"/>
      <c r="AH1015" s="610">
        <v>1</v>
      </c>
      <c r="AI1015" s="613">
        <v>1008</v>
      </c>
      <c r="AJ1015" s="613">
        <f t="shared" si="339"/>
        <v>0</v>
      </c>
      <c r="AK1015" s="740">
        <v>46151</v>
      </c>
      <c r="AL1015" s="610" t="s">
        <v>2368</v>
      </c>
      <c r="AM1015" s="610"/>
      <c r="AN1015" s="554">
        <f t="shared" si="348"/>
        <v>1008</v>
      </c>
      <c r="AO1015" s="554"/>
      <c r="AP1015" s="554"/>
      <c r="AQ1015" s="554"/>
      <c r="AR1015" s="554"/>
      <c r="AS1015" s="554">
        <f>I1015</f>
        <v>1008</v>
      </c>
      <c r="AT1015" s="554"/>
      <c r="AU1015" s="554">
        <f t="shared" si="349"/>
        <v>1008</v>
      </c>
      <c r="AV1015" s="554"/>
      <c r="AW1015" s="554">
        <f t="shared" si="350"/>
        <v>1008</v>
      </c>
      <c r="AX1015" s="554"/>
      <c r="AY1015" s="1325"/>
      <c r="AZ1015" s="1325"/>
      <c r="BA1015" s="1325"/>
      <c r="BB1015" s="554"/>
      <c r="BC1015" s="554"/>
      <c r="BD1015" s="554"/>
      <c r="BE1015" s="554"/>
      <c r="BF1015" s="554"/>
      <c r="BG1015" s="554"/>
      <c r="BH1015" s="554"/>
      <c r="BI1015" s="554"/>
      <c r="BJ1015" s="554"/>
      <c r="BK1015" s="554"/>
      <c r="BL1015" s="554"/>
      <c r="BM1015" s="554"/>
      <c r="BN1015" s="554"/>
      <c r="BO1015" s="554"/>
      <c r="BP1015" s="554"/>
      <c r="BQ1015" s="554"/>
      <c r="BR1015" s="554"/>
      <c r="BS1015" s="554"/>
      <c r="BT1015" s="554"/>
      <c r="BU1015" s="554"/>
      <c r="BV1015" s="554"/>
      <c r="BW1015" s="554"/>
      <c r="BX1015" s="554"/>
      <c r="BY1015" s="554"/>
      <c r="BZ1015" s="554"/>
      <c r="CA1015" s="554"/>
      <c r="CB1015" s="554"/>
      <c r="CC1015" s="554"/>
      <c r="CD1015" s="554"/>
      <c r="CE1015" s="554"/>
      <c r="CF1015" s="554"/>
      <c r="CG1015" s="554"/>
      <c r="CH1015" s="619"/>
      <c r="CI1015" s="619"/>
      <c r="CJ1015" s="619"/>
      <c r="CK1015" s="619"/>
      <c r="CL1015" s="619"/>
      <c r="CM1015" s="554"/>
      <c r="CN1015" s="554"/>
      <c r="CO1015" s="554"/>
      <c r="CP1015" s="619"/>
      <c r="CQ1015" s="619"/>
      <c r="CR1015" s="619"/>
      <c r="CS1015" s="619"/>
      <c r="CT1015" s="619"/>
      <c r="CU1015" s="619"/>
    </row>
    <row r="1016" s="1265" customFormat="1" ht="31" customHeight="1" spans="1:99">
      <c r="A1016" s="608">
        <v>46106</v>
      </c>
      <c r="B1016" s="609" t="s">
        <v>1800</v>
      </c>
      <c r="C1016" s="610" t="s">
        <v>744</v>
      </c>
      <c r="D1016" s="554">
        <v>4500198503</v>
      </c>
      <c r="E1016" s="610">
        <v>5000002156</v>
      </c>
      <c r="F1016" s="554" t="s">
        <v>3839</v>
      </c>
      <c r="G1016" s="623" t="s">
        <v>518</v>
      </c>
      <c r="H1016" s="610" t="s">
        <v>477</v>
      </c>
      <c r="I1016" s="715">
        <v>10002</v>
      </c>
      <c r="J1016" s="610">
        <v>0</v>
      </c>
      <c r="K1016" s="610">
        <v>6</v>
      </c>
      <c r="L1016" s="611">
        <f t="shared" si="333"/>
        <v>1667</v>
      </c>
      <c r="M1016" s="612">
        <v>46161</v>
      </c>
      <c r="N1016" s="612">
        <v>46157</v>
      </c>
      <c r="O1016" s="613"/>
      <c r="P1016" s="824" t="s">
        <v>113</v>
      </c>
      <c r="Q1016" s="614"/>
      <c r="R1016" s="614" t="s">
        <v>3299</v>
      </c>
      <c r="S1016" s="614" t="s">
        <v>104</v>
      </c>
      <c r="T1016" s="614" t="s">
        <v>2239</v>
      </c>
      <c r="U1016" s="614"/>
      <c r="V1016" s="614"/>
      <c r="W1016" s="609"/>
      <c r="X1016" s="609" t="s">
        <v>3762</v>
      </c>
      <c r="Y1016" s="616" t="s">
        <v>1805</v>
      </c>
      <c r="Z1016" s="625">
        <v>6.3788</v>
      </c>
      <c r="AA1016" s="616">
        <f t="shared" ref="AA1016:AA1077" si="351">Z1016*I1016</f>
        <v>63800.7576</v>
      </c>
      <c r="AB1016" s="554"/>
      <c r="AC1016" s="617"/>
      <c r="AD1016" s="610" t="s">
        <v>2241</v>
      </c>
      <c r="AE1016" s="610" t="s">
        <v>82</v>
      </c>
      <c r="AF1016" s="610"/>
      <c r="AG1016" s="610"/>
      <c r="AH1016" s="610">
        <v>1</v>
      </c>
      <c r="AI1016" s="610"/>
      <c r="AJ1016" s="610">
        <f t="shared" si="339"/>
        <v>-10002</v>
      </c>
      <c r="AK1016" s="610"/>
      <c r="AL1016" s="610"/>
      <c r="AM1016" s="554"/>
      <c r="AN1016" s="554">
        <f t="shared" si="348"/>
        <v>10002</v>
      </c>
      <c r="AO1016" s="554"/>
      <c r="AP1016" s="554"/>
      <c r="AQ1016" s="554"/>
      <c r="AR1016" s="554">
        <f>I1016</f>
        <v>10002</v>
      </c>
      <c r="AS1016" s="554"/>
      <c r="AT1016" s="554"/>
      <c r="AU1016" s="554"/>
      <c r="AV1016" s="554">
        <f>I1016</f>
        <v>10002</v>
      </c>
      <c r="AW1016" s="554"/>
      <c r="AX1016" s="714">
        <f>I1016</f>
        <v>10002</v>
      </c>
      <c r="AY1016" s="554"/>
      <c r="AZ1016" s="554"/>
      <c r="BA1016" s="554"/>
      <c r="BB1016" s="554"/>
      <c r="BC1016" s="554"/>
      <c r="BD1016" s="554"/>
      <c r="BE1016" s="554"/>
      <c r="BF1016" s="554"/>
      <c r="BG1016" s="554"/>
      <c r="BH1016" s="554"/>
      <c r="BI1016" s="554"/>
      <c r="BJ1016" s="554"/>
      <c r="BK1016" s="554"/>
      <c r="BL1016" s="554"/>
      <c r="BM1016" s="554"/>
      <c r="BN1016" s="554">
        <f>I1016</f>
        <v>10002</v>
      </c>
      <c r="BO1016" s="554"/>
      <c r="BP1016" s="554"/>
      <c r="BQ1016" s="554"/>
      <c r="BR1016" s="554"/>
      <c r="BS1016" s="554"/>
      <c r="BT1016" s="554"/>
      <c r="BU1016" s="554"/>
      <c r="BV1016" s="554"/>
      <c r="BW1016" s="554"/>
      <c r="BX1016" s="554"/>
      <c r="BY1016" s="554"/>
      <c r="BZ1016" s="554"/>
      <c r="CA1016" s="554"/>
      <c r="CB1016" s="554"/>
      <c r="CC1016" s="554"/>
      <c r="CD1016" s="554"/>
      <c r="CE1016" s="554"/>
      <c r="CF1016" s="554"/>
      <c r="CG1016" s="554"/>
      <c r="CH1016" s="619"/>
      <c r="CI1016" s="619"/>
      <c r="CJ1016" s="619"/>
      <c r="CK1016" s="619"/>
      <c r="CL1016" s="619"/>
      <c r="CM1016" s="554"/>
      <c r="CN1016" s="554"/>
      <c r="CO1016" s="554"/>
      <c r="CP1016" s="619"/>
      <c r="CQ1016" s="619"/>
      <c r="CR1016" s="619"/>
      <c r="CS1016" s="619"/>
      <c r="CT1016" s="619"/>
      <c r="CU1016" s="619"/>
    </row>
    <row r="1017" s="1265" customFormat="1" ht="31" customHeight="1" spans="1:99">
      <c r="A1017" s="608">
        <v>46101</v>
      </c>
      <c r="B1017" s="609" t="s">
        <v>3840</v>
      </c>
      <c r="C1017" s="610" t="s">
        <v>241</v>
      </c>
      <c r="D1017" s="554">
        <v>4500197359</v>
      </c>
      <c r="E1017" s="610">
        <v>28058</v>
      </c>
      <c r="F1017" s="554" t="s">
        <v>3841</v>
      </c>
      <c r="G1017" s="623" t="s">
        <v>68</v>
      </c>
      <c r="H1017" s="610" t="s">
        <v>69</v>
      </c>
      <c r="I1017" s="715">
        <v>720</v>
      </c>
      <c r="J1017" s="610">
        <v>0</v>
      </c>
      <c r="K1017" s="610">
        <v>12</v>
      </c>
      <c r="L1017" s="611">
        <f t="shared" si="333"/>
        <v>60</v>
      </c>
      <c r="M1017" s="612">
        <v>46161</v>
      </c>
      <c r="N1017" s="612">
        <v>46157</v>
      </c>
      <c r="O1017" s="613"/>
      <c r="P1017" s="824" t="s">
        <v>113</v>
      </c>
      <c r="Q1017" s="614"/>
      <c r="R1017" s="614" t="s">
        <v>3842</v>
      </c>
      <c r="S1017" s="614" t="s">
        <v>70</v>
      </c>
      <c r="T1017" s="614" t="s">
        <v>3843</v>
      </c>
      <c r="U1017" s="614"/>
      <c r="V1017" s="614"/>
      <c r="W1017" s="609"/>
      <c r="X1017" s="609" t="s">
        <v>3844</v>
      </c>
      <c r="Y1017" s="616" t="s">
        <v>244</v>
      </c>
      <c r="Z1017" s="1345">
        <v>4.2622</v>
      </c>
      <c r="AA1017" s="616">
        <f t="shared" si="351"/>
        <v>3068.784</v>
      </c>
      <c r="AB1017" s="554"/>
      <c r="AC1017" s="617"/>
      <c r="AD1017" s="610" t="s">
        <v>184</v>
      </c>
      <c r="AE1017" s="610" t="s">
        <v>82</v>
      </c>
      <c r="AF1017" s="610"/>
      <c r="AG1017" s="610"/>
      <c r="AH1017" s="610">
        <v>1</v>
      </c>
      <c r="AI1017" s="610">
        <v>720</v>
      </c>
      <c r="AJ1017" s="613">
        <f t="shared" si="339"/>
        <v>0</v>
      </c>
      <c r="AK1017" s="610"/>
      <c r="AL1017" s="610" t="s">
        <v>2368</v>
      </c>
      <c r="AM1017" s="554"/>
      <c r="AN1017" s="554">
        <f t="shared" si="348"/>
        <v>720</v>
      </c>
      <c r="AO1017" s="554"/>
      <c r="AP1017" s="554"/>
      <c r="AQ1017" s="554"/>
      <c r="AR1017" s="554"/>
      <c r="AS1017" s="554">
        <f>I1017</f>
        <v>720</v>
      </c>
      <c r="AT1017" s="554"/>
      <c r="AU1017" s="554">
        <f t="shared" ref="AU1017:AU1079" si="352">I1017</f>
        <v>720</v>
      </c>
      <c r="AV1017" s="554"/>
      <c r="AW1017" s="554">
        <f t="shared" ref="AW1017:AW1079" si="353">I1017</f>
        <v>720</v>
      </c>
      <c r="AX1017" s="714"/>
      <c r="AY1017" s="554"/>
      <c r="AZ1017" s="554"/>
      <c r="BA1017" s="554"/>
      <c r="BB1017" s="554"/>
      <c r="BC1017" s="554"/>
      <c r="BD1017" s="554"/>
      <c r="BE1017" s="554"/>
      <c r="BF1017" s="554"/>
      <c r="BG1017" s="554"/>
      <c r="BH1017" s="554"/>
      <c r="BI1017" s="554"/>
      <c r="BJ1017" s="554"/>
      <c r="BK1017" s="554"/>
      <c r="BL1017" s="554"/>
      <c r="BM1017" s="554"/>
      <c r="BN1017" s="554"/>
      <c r="BO1017" s="554"/>
      <c r="BP1017" s="554"/>
      <c r="BQ1017" s="554"/>
      <c r="BR1017" s="554"/>
      <c r="BS1017" s="554"/>
      <c r="BT1017" s="554"/>
      <c r="BU1017" s="554"/>
      <c r="BV1017" s="554"/>
      <c r="BW1017" s="554"/>
      <c r="BX1017" s="554"/>
      <c r="BY1017" s="554"/>
      <c r="BZ1017" s="554"/>
      <c r="CA1017" s="554"/>
      <c r="CB1017" s="554"/>
      <c r="CC1017" s="554"/>
      <c r="CD1017" s="554"/>
      <c r="CE1017" s="554"/>
      <c r="CF1017" s="554"/>
      <c r="CG1017" s="554"/>
      <c r="CH1017" s="619"/>
      <c r="CI1017" s="619"/>
      <c r="CJ1017" s="619"/>
      <c r="CK1017" s="619"/>
      <c r="CL1017" s="619"/>
      <c r="CM1017" s="554"/>
      <c r="CN1017" s="554"/>
      <c r="CO1017" s="554"/>
      <c r="CP1017" s="619"/>
      <c r="CQ1017" s="619"/>
      <c r="CR1017" s="619"/>
      <c r="CS1017" s="619"/>
      <c r="CT1017" s="619"/>
      <c r="CU1017" s="619"/>
    </row>
    <row r="1018" s="1265" customFormat="1" ht="31" customHeight="1" spans="1:99">
      <c r="A1018" s="608">
        <v>46120</v>
      </c>
      <c r="B1018" s="609" t="s">
        <v>2594</v>
      </c>
      <c r="C1018" s="610" t="s">
        <v>2595</v>
      </c>
      <c r="D1018" s="554" t="s">
        <v>3845</v>
      </c>
      <c r="E1018" s="610" t="s">
        <v>3846</v>
      </c>
      <c r="F1018" s="554" t="s">
        <v>3847</v>
      </c>
      <c r="G1018" s="623" t="s">
        <v>68</v>
      </c>
      <c r="H1018" s="610" t="s">
        <v>69</v>
      </c>
      <c r="I1018" s="715">
        <v>2400</v>
      </c>
      <c r="J1018" s="610">
        <v>0</v>
      </c>
      <c r="K1018" s="610">
        <v>12</v>
      </c>
      <c r="L1018" s="611">
        <f t="shared" si="333"/>
        <v>200</v>
      </c>
      <c r="M1018" s="612">
        <v>46162</v>
      </c>
      <c r="N1018" s="724">
        <v>46168</v>
      </c>
      <c r="O1018" s="613"/>
      <c r="P1018" s="610" t="s">
        <v>3227</v>
      </c>
      <c r="Q1018" s="614"/>
      <c r="R1018" s="614">
        <v>46128</v>
      </c>
      <c r="S1018" s="614" t="s">
        <v>70</v>
      </c>
      <c r="T1018" s="614" t="s">
        <v>3848</v>
      </c>
      <c r="U1018" s="614"/>
      <c r="V1018" s="614"/>
      <c r="W1018" s="609"/>
      <c r="X1018" s="738" t="s">
        <v>3849</v>
      </c>
      <c r="Y1018" s="616" t="s">
        <v>529</v>
      </c>
      <c r="Z1018" s="1345">
        <v>4.2622</v>
      </c>
      <c r="AA1018" s="616">
        <f t="shared" si="351"/>
        <v>10229.28</v>
      </c>
      <c r="AB1018" s="554"/>
      <c r="AC1018" s="617"/>
      <c r="AD1018" s="610" t="s">
        <v>184</v>
      </c>
      <c r="AE1018" s="610" t="s">
        <v>82</v>
      </c>
      <c r="AF1018" s="610"/>
      <c r="AG1018" s="610"/>
      <c r="AH1018" s="610">
        <v>1</v>
      </c>
      <c r="AI1018" s="610">
        <v>2400</v>
      </c>
      <c r="AJ1018" s="613">
        <f t="shared" si="339"/>
        <v>0</v>
      </c>
      <c r="AK1018" s="610"/>
      <c r="AL1018" s="610" t="s">
        <v>2368</v>
      </c>
      <c r="AM1018" s="554"/>
      <c r="AN1018" s="554">
        <f t="shared" si="348"/>
        <v>2400</v>
      </c>
      <c r="AO1018" s="554"/>
      <c r="AP1018" s="554"/>
      <c r="AQ1018" s="554"/>
      <c r="AR1018" s="554"/>
      <c r="AS1018" s="554">
        <f>I1018</f>
        <v>2400</v>
      </c>
      <c r="AT1018" s="554"/>
      <c r="AU1018" s="554">
        <f t="shared" si="352"/>
        <v>2400</v>
      </c>
      <c r="AV1018" s="554"/>
      <c r="AW1018" s="554">
        <f t="shared" si="353"/>
        <v>2400</v>
      </c>
      <c r="AX1018" s="714"/>
      <c r="AY1018" s="554"/>
      <c r="AZ1018" s="554"/>
      <c r="BA1018" s="554"/>
      <c r="BB1018" s="554"/>
      <c r="BC1018" s="554"/>
      <c r="BD1018" s="554"/>
      <c r="BE1018" s="554"/>
      <c r="BF1018" s="554"/>
      <c r="BG1018" s="554"/>
      <c r="BH1018" s="554"/>
      <c r="BI1018" s="554"/>
      <c r="BJ1018" s="554"/>
      <c r="BK1018" s="554"/>
      <c r="BL1018" s="554"/>
      <c r="BM1018" s="554"/>
      <c r="BN1018" s="554"/>
      <c r="BO1018" s="554"/>
      <c r="BP1018" s="554"/>
      <c r="BQ1018" s="554"/>
      <c r="BR1018" s="554"/>
      <c r="BS1018" s="554"/>
      <c r="BT1018" s="554"/>
      <c r="BU1018" s="554"/>
      <c r="BV1018" s="554"/>
      <c r="BW1018" s="554"/>
      <c r="BX1018" s="554"/>
      <c r="BY1018" s="554"/>
      <c r="BZ1018" s="554"/>
      <c r="CA1018" s="554"/>
      <c r="CB1018" s="554"/>
      <c r="CC1018" s="554"/>
      <c r="CD1018" s="554"/>
      <c r="CE1018" s="554"/>
      <c r="CF1018" s="554"/>
      <c r="CG1018" s="554"/>
      <c r="CH1018" s="619"/>
      <c r="CI1018" s="619"/>
      <c r="CJ1018" s="619"/>
      <c r="CK1018" s="619"/>
      <c r="CL1018" s="619"/>
      <c r="CM1018" s="554"/>
      <c r="CN1018" s="554"/>
      <c r="CO1018" s="554"/>
      <c r="CP1018" s="619"/>
      <c r="CQ1018" s="619"/>
      <c r="CR1018" s="619"/>
      <c r="CS1018" s="619"/>
      <c r="CT1018" s="619"/>
      <c r="CU1018" s="619"/>
    </row>
    <row r="1019" s="1265" customFormat="1" ht="31" customHeight="1" spans="1:99">
      <c r="A1019" s="608">
        <v>46112</v>
      </c>
      <c r="B1019" s="609" t="s">
        <v>120</v>
      </c>
      <c r="C1019" s="610" t="s">
        <v>98</v>
      </c>
      <c r="D1019" s="554" t="s">
        <v>3850</v>
      </c>
      <c r="E1019" s="610" t="s">
        <v>3851</v>
      </c>
      <c r="F1019" s="554" t="s">
        <v>3852</v>
      </c>
      <c r="G1019" s="610" t="s">
        <v>123</v>
      </c>
      <c r="H1019" s="610" t="s">
        <v>69</v>
      </c>
      <c r="I1019" s="768">
        <v>3600</v>
      </c>
      <c r="J1019" s="610">
        <v>0</v>
      </c>
      <c r="K1019" s="610">
        <v>12</v>
      </c>
      <c r="L1019" s="611">
        <f t="shared" si="333"/>
        <v>300</v>
      </c>
      <c r="M1019" s="724">
        <v>46164</v>
      </c>
      <c r="N1019" s="724">
        <f>M1019-4</f>
        <v>46160</v>
      </c>
      <c r="O1019" s="613"/>
      <c r="P1019" s="824" t="s">
        <v>113</v>
      </c>
      <c r="Q1019" s="614"/>
      <c r="R1019" s="614">
        <v>46112</v>
      </c>
      <c r="S1019" s="614" t="s">
        <v>70</v>
      </c>
      <c r="T1019" s="614" t="s">
        <v>70</v>
      </c>
      <c r="U1019" s="614"/>
      <c r="V1019" s="614"/>
      <c r="W1019" s="609"/>
      <c r="X1019" s="609" t="s">
        <v>3853</v>
      </c>
      <c r="Y1019" s="616" t="s">
        <v>1507</v>
      </c>
      <c r="Z1019" s="625">
        <v>2.5573</v>
      </c>
      <c r="AA1019" s="616">
        <f t="shared" si="351"/>
        <v>9206.28</v>
      </c>
      <c r="AB1019" s="554"/>
      <c r="AC1019" s="629" t="s">
        <v>3854</v>
      </c>
      <c r="AD1019" s="610" t="s">
        <v>68</v>
      </c>
      <c r="AE1019" s="610" t="s">
        <v>82</v>
      </c>
      <c r="AF1019" s="610"/>
      <c r="AG1019" s="610"/>
      <c r="AH1019" s="610">
        <v>1</v>
      </c>
      <c r="AI1019" s="610">
        <f>12+3588</f>
        <v>3600</v>
      </c>
      <c r="AJ1019" s="613">
        <f t="shared" si="339"/>
        <v>0</v>
      </c>
      <c r="AK1019" s="610"/>
      <c r="AL1019" s="610"/>
      <c r="AM1019" s="554"/>
      <c r="AN1019" s="554">
        <f t="shared" si="348"/>
        <v>3600</v>
      </c>
      <c r="AO1019" s="554"/>
      <c r="AP1019" s="554"/>
      <c r="AQ1019" s="554"/>
      <c r="AR1019" s="554">
        <f>I1019</f>
        <v>3600</v>
      </c>
      <c r="AS1019" s="554"/>
      <c r="AT1019" s="554"/>
      <c r="AU1019" s="554">
        <f t="shared" si="352"/>
        <v>3600</v>
      </c>
      <c r="AV1019" s="554"/>
      <c r="AW1019" s="554">
        <f t="shared" si="353"/>
        <v>3600</v>
      </c>
      <c r="AX1019" s="714"/>
      <c r="AY1019" s="554"/>
      <c r="AZ1019" s="554"/>
      <c r="BA1019" s="554"/>
      <c r="BB1019" s="554"/>
      <c r="BC1019" s="554"/>
      <c r="BD1019" s="554"/>
      <c r="BE1019" s="554"/>
      <c r="BF1019" s="554"/>
      <c r="BG1019" s="554"/>
      <c r="BH1019" s="554"/>
      <c r="BI1019" s="554"/>
      <c r="BJ1019" s="554"/>
      <c r="BK1019" s="554"/>
      <c r="BL1019" s="554"/>
      <c r="BM1019" s="554"/>
      <c r="BN1019" s="554"/>
      <c r="BO1019" s="554"/>
      <c r="BP1019" s="554"/>
      <c r="BQ1019" s="554"/>
      <c r="BR1019" s="554"/>
      <c r="BS1019" s="554"/>
      <c r="BT1019" s="554"/>
      <c r="BU1019" s="554"/>
      <c r="BV1019" s="554"/>
      <c r="BW1019" s="554"/>
      <c r="BX1019" s="554"/>
      <c r="BY1019" s="554"/>
      <c r="BZ1019" s="554"/>
      <c r="CA1019" s="554"/>
      <c r="CB1019" s="554"/>
      <c r="CC1019" s="554"/>
      <c r="CD1019" s="554"/>
      <c r="CE1019" s="554"/>
      <c r="CF1019" s="554"/>
      <c r="CG1019" s="554"/>
      <c r="CH1019" s="619"/>
      <c r="CI1019" s="619"/>
      <c r="CJ1019" s="619"/>
      <c r="CK1019" s="619"/>
      <c r="CL1019" s="619"/>
      <c r="CM1019" s="554"/>
      <c r="CN1019" s="554"/>
      <c r="CO1019" s="554"/>
      <c r="CP1019" s="619"/>
      <c r="CQ1019" s="619"/>
      <c r="CR1019" s="619"/>
      <c r="CS1019" s="619"/>
      <c r="CT1019" s="619"/>
      <c r="CU1019" s="619"/>
    </row>
    <row r="1020" s="1265" customFormat="1" ht="31" customHeight="1" spans="1:99">
      <c r="A1020" s="608">
        <v>46107</v>
      </c>
      <c r="B1020" s="609" t="s">
        <v>757</v>
      </c>
      <c r="C1020" s="610" t="s">
        <v>758</v>
      </c>
      <c r="D1020" s="554">
        <v>4500198705</v>
      </c>
      <c r="E1020" s="610"/>
      <c r="F1020" s="554" t="s">
        <v>3855</v>
      </c>
      <c r="G1020" s="623" t="s">
        <v>68</v>
      </c>
      <c r="H1020" s="610" t="s">
        <v>69</v>
      </c>
      <c r="I1020" s="715">
        <v>2004</v>
      </c>
      <c r="J1020" s="610">
        <v>0</v>
      </c>
      <c r="K1020" s="610">
        <v>12</v>
      </c>
      <c r="L1020" s="611">
        <f t="shared" si="333"/>
        <v>167</v>
      </c>
      <c r="M1020" s="612">
        <v>46157</v>
      </c>
      <c r="N1020" s="612">
        <v>46153</v>
      </c>
      <c r="O1020" s="613"/>
      <c r="P1020" s="824" t="s">
        <v>113</v>
      </c>
      <c r="Q1020" s="614"/>
      <c r="R1020" s="614">
        <v>46127</v>
      </c>
      <c r="S1020" s="614" t="s">
        <v>70</v>
      </c>
      <c r="T1020" s="614" t="s">
        <v>3856</v>
      </c>
      <c r="U1020" s="614"/>
      <c r="V1020" s="614" t="s">
        <v>3857</v>
      </c>
      <c r="W1020" s="609"/>
      <c r="X1020" s="609" t="s">
        <v>3858</v>
      </c>
      <c r="Y1020" s="616" t="s">
        <v>529</v>
      </c>
      <c r="Z1020" s="1345">
        <v>4.2622</v>
      </c>
      <c r="AA1020" s="616">
        <f t="shared" si="351"/>
        <v>8541.4488</v>
      </c>
      <c r="AB1020" s="554"/>
      <c r="AC1020" s="617"/>
      <c r="AD1020" s="610" t="s">
        <v>184</v>
      </c>
      <c r="AE1020" s="610" t="s">
        <v>82</v>
      </c>
      <c r="AF1020" s="610"/>
      <c r="AG1020" s="610"/>
      <c r="AH1020" s="610">
        <v>1</v>
      </c>
      <c r="AI1020" s="610">
        <f>12+1992</f>
        <v>2004</v>
      </c>
      <c r="AJ1020" s="613">
        <f t="shared" si="339"/>
        <v>0</v>
      </c>
      <c r="AK1020" s="610"/>
      <c r="AL1020" s="610" t="s">
        <v>2368</v>
      </c>
      <c r="AM1020" s="554"/>
      <c r="AN1020" s="554">
        <f t="shared" si="348"/>
        <v>2004</v>
      </c>
      <c r="AO1020" s="554"/>
      <c r="AP1020" s="554"/>
      <c r="AQ1020" s="554"/>
      <c r="AR1020" s="554"/>
      <c r="AS1020" s="554">
        <f>I1020</f>
        <v>2004</v>
      </c>
      <c r="AT1020" s="554"/>
      <c r="AU1020" s="554">
        <f t="shared" si="352"/>
        <v>2004</v>
      </c>
      <c r="AV1020" s="554"/>
      <c r="AW1020" s="554">
        <f t="shared" si="353"/>
        <v>2004</v>
      </c>
      <c r="AX1020" s="714"/>
      <c r="AY1020" s="554"/>
      <c r="AZ1020" s="554"/>
      <c r="BA1020" s="554"/>
      <c r="BB1020" s="554"/>
      <c r="BC1020" s="554"/>
      <c r="BD1020" s="554"/>
      <c r="BE1020" s="554"/>
      <c r="BF1020" s="554"/>
      <c r="BG1020" s="554"/>
      <c r="BH1020" s="554"/>
      <c r="BI1020" s="554"/>
      <c r="BJ1020" s="554"/>
      <c r="BK1020" s="554"/>
      <c r="BL1020" s="554"/>
      <c r="BM1020" s="554"/>
      <c r="BN1020" s="554"/>
      <c r="BO1020" s="554"/>
      <c r="BP1020" s="554"/>
      <c r="BQ1020" s="554"/>
      <c r="BR1020" s="554"/>
      <c r="BS1020" s="554"/>
      <c r="BT1020" s="554"/>
      <c r="BU1020" s="554"/>
      <c r="BV1020" s="554"/>
      <c r="BW1020" s="554"/>
      <c r="BX1020" s="554"/>
      <c r="BY1020" s="554"/>
      <c r="BZ1020" s="554"/>
      <c r="CA1020" s="554"/>
      <c r="CB1020" s="554"/>
      <c r="CC1020" s="554"/>
      <c r="CD1020" s="554"/>
      <c r="CE1020" s="554"/>
      <c r="CF1020" s="554"/>
      <c r="CG1020" s="554"/>
      <c r="CH1020" s="619"/>
      <c r="CI1020" s="619"/>
      <c r="CJ1020" s="619"/>
      <c r="CK1020" s="619"/>
      <c r="CL1020" s="619"/>
      <c r="CM1020" s="554"/>
      <c r="CN1020" s="554"/>
      <c r="CO1020" s="554"/>
      <c r="CP1020" s="619"/>
      <c r="CQ1020" s="619"/>
      <c r="CR1020" s="619"/>
      <c r="CS1020" s="619"/>
      <c r="CT1020" s="619"/>
      <c r="CU1020" s="619"/>
    </row>
    <row r="1021" s="1265" customFormat="1" ht="31" customHeight="1" spans="1:99">
      <c r="A1021" s="608">
        <v>46119</v>
      </c>
      <c r="B1021" s="609" t="s">
        <v>3340</v>
      </c>
      <c r="C1021" s="610" t="s">
        <v>98</v>
      </c>
      <c r="D1021" s="554" t="s">
        <v>3859</v>
      </c>
      <c r="E1021" s="610" t="s">
        <v>3860</v>
      </c>
      <c r="F1021" s="554" t="s">
        <v>3861</v>
      </c>
      <c r="G1021" s="623" t="s">
        <v>68</v>
      </c>
      <c r="H1021" s="610" t="s">
        <v>69</v>
      </c>
      <c r="I1021" s="715">
        <v>996</v>
      </c>
      <c r="J1021" s="610">
        <v>0</v>
      </c>
      <c r="K1021" s="610">
        <v>12</v>
      </c>
      <c r="L1021" s="611">
        <f t="shared" si="333"/>
        <v>83</v>
      </c>
      <c r="M1021" s="612">
        <v>46160</v>
      </c>
      <c r="N1021" s="612">
        <v>46156</v>
      </c>
      <c r="O1021" s="613"/>
      <c r="P1021" s="824" t="s">
        <v>113</v>
      </c>
      <c r="Q1021" s="614"/>
      <c r="R1021" s="614">
        <v>46119</v>
      </c>
      <c r="S1021" s="614" t="s">
        <v>70</v>
      </c>
      <c r="T1021" s="614" t="s">
        <v>3862</v>
      </c>
      <c r="U1021" s="614"/>
      <c r="V1021" s="614"/>
      <c r="W1021" s="609"/>
      <c r="X1021" s="738" t="s">
        <v>3863</v>
      </c>
      <c r="Y1021" s="616" t="s">
        <v>3864</v>
      </c>
      <c r="Z1021" s="1345">
        <v>2.5304</v>
      </c>
      <c r="AA1021" s="616">
        <f t="shared" si="351"/>
        <v>2520.2784</v>
      </c>
      <c r="AB1021" s="554"/>
      <c r="AC1021" s="629" t="s">
        <v>3865</v>
      </c>
      <c r="AD1021" s="610" t="s">
        <v>68</v>
      </c>
      <c r="AE1021" s="610" t="s">
        <v>82</v>
      </c>
      <c r="AF1021" s="610"/>
      <c r="AG1021" s="610"/>
      <c r="AH1021" s="610">
        <v>1</v>
      </c>
      <c r="AI1021" s="610">
        <v>996</v>
      </c>
      <c r="AJ1021" s="610">
        <f t="shared" si="339"/>
        <v>0</v>
      </c>
      <c r="AK1021" s="610"/>
      <c r="AL1021" s="610" t="s">
        <v>2368</v>
      </c>
      <c r="AM1021" s="554"/>
      <c r="AN1021" s="554">
        <f t="shared" si="348"/>
        <v>996</v>
      </c>
      <c r="AO1021" s="554"/>
      <c r="AP1021" s="554"/>
      <c r="AQ1021" s="554"/>
      <c r="AR1021" s="554">
        <f>I1021</f>
        <v>996</v>
      </c>
      <c r="AS1021" s="554"/>
      <c r="AT1021" s="554"/>
      <c r="AU1021" s="554">
        <f t="shared" si="352"/>
        <v>996</v>
      </c>
      <c r="AV1021" s="554"/>
      <c r="AW1021" s="554">
        <f t="shared" si="353"/>
        <v>996</v>
      </c>
      <c r="AX1021" s="714"/>
      <c r="AY1021" s="554"/>
      <c r="AZ1021" s="554"/>
      <c r="BA1021" s="554"/>
      <c r="BB1021" s="554"/>
      <c r="BC1021" s="554"/>
      <c r="BD1021" s="554"/>
      <c r="BE1021" s="554"/>
      <c r="BF1021" s="554"/>
      <c r="BG1021" s="554"/>
      <c r="BH1021" s="554"/>
      <c r="BI1021" s="554"/>
      <c r="BJ1021" s="554"/>
      <c r="BK1021" s="554"/>
      <c r="BL1021" s="554"/>
      <c r="BM1021" s="554"/>
      <c r="BN1021" s="554"/>
      <c r="BO1021" s="554"/>
      <c r="BP1021" s="554"/>
      <c r="BQ1021" s="554"/>
      <c r="BR1021" s="554"/>
      <c r="BS1021" s="554"/>
      <c r="BT1021" s="554"/>
      <c r="BU1021" s="554"/>
      <c r="BV1021" s="554"/>
      <c r="BW1021" s="554"/>
      <c r="BX1021" s="554"/>
      <c r="BY1021" s="554"/>
      <c r="BZ1021" s="554"/>
      <c r="CA1021" s="554"/>
      <c r="CB1021" s="554"/>
      <c r="CC1021" s="554"/>
      <c r="CD1021" s="554"/>
      <c r="CE1021" s="554"/>
      <c r="CF1021" s="554"/>
      <c r="CG1021" s="554"/>
      <c r="CH1021" s="619"/>
      <c r="CI1021" s="619"/>
      <c r="CJ1021" s="619"/>
      <c r="CK1021" s="619"/>
      <c r="CL1021" s="619"/>
      <c r="CM1021" s="554"/>
      <c r="CN1021" s="554"/>
      <c r="CO1021" s="554"/>
      <c r="CP1021" s="619"/>
      <c r="CQ1021" s="619"/>
      <c r="CR1021" s="619"/>
      <c r="CS1021" s="619"/>
      <c r="CT1021" s="619"/>
      <c r="CU1021" s="619"/>
    </row>
    <row r="1022" s="1265" customFormat="1" ht="31" customHeight="1" spans="1:99">
      <c r="A1022" s="608">
        <v>46119</v>
      </c>
      <c r="B1022" s="609" t="s">
        <v>3340</v>
      </c>
      <c r="C1022" s="610" t="s">
        <v>98</v>
      </c>
      <c r="D1022" s="554" t="s">
        <v>3866</v>
      </c>
      <c r="E1022" s="610" t="s">
        <v>3867</v>
      </c>
      <c r="F1022" s="554" t="s">
        <v>3868</v>
      </c>
      <c r="G1022" s="623" t="s">
        <v>68</v>
      </c>
      <c r="H1022" s="610" t="s">
        <v>69</v>
      </c>
      <c r="I1022" s="715">
        <v>1200</v>
      </c>
      <c r="J1022" s="610">
        <v>0</v>
      </c>
      <c r="K1022" s="610">
        <v>12</v>
      </c>
      <c r="L1022" s="611">
        <f t="shared" si="333"/>
        <v>100</v>
      </c>
      <c r="M1022" s="612">
        <v>46160</v>
      </c>
      <c r="N1022" s="612">
        <v>46156</v>
      </c>
      <c r="O1022" s="613"/>
      <c r="P1022" s="824" t="s">
        <v>113</v>
      </c>
      <c r="Q1022" s="614"/>
      <c r="R1022" s="614">
        <v>46119</v>
      </c>
      <c r="S1022" s="614" t="s">
        <v>70</v>
      </c>
      <c r="T1022" s="614" t="s">
        <v>3862</v>
      </c>
      <c r="U1022" s="614"/>
      <c r="V1022" s="614"/>
      <c r="W1022" s="609"/>
      <c r="X1022" s="609" t="s">
        <v>3869</v>
      </c>
      <c r="Y1022" s="616" t="s">
        <v>3864</v>
      </c>
      <c r="Z1022" s="1345">
        <v>2.5304</v>
      </c>
      <c r="AA1022" s="616">
        <f t="shared" si="351"/>
        <v>3036.48</v>
      </c>
      <c r="AB1022" s="554"/>
      <c r="AC1022" s="629" t="s">
        <v>3870</v>
      </c>
      <c r="AD1022" s="610" t="s">
        <v>68</v>
      </c>
      <c r="AE1022" s="610" t="s">
        <v>82</v>
      </c>
      <c r="AF1022" s="610"/>
      <c r="AG1022" s="610"/>
      <c r="AH1022" s="610">
        <v>1</v>
      </c>
      <c r="AI1022" s="610">
        <v>1200</v>
      </c>
      <c r="AJ1022" s="610">
        <f t="shared" si="339"/>
        <v>0</v>
      </c>
      <c r="AK1022" s="610"/>
      <c r="AL1022" s="610" t="s">
        <v>2368</v>
      </c>
      <c r="AM1022" s="554"/>
      <c r="AN1022" s="554">
        <f t="shared" si="348"/>
        <v>1200</v>
      </c>
      <c r="AO1022" s="554"/>
      <c r="AP1022" s="554"/>
      <c r="AQ1022" s="554"/>
      <c r="AR1022" s="554">
        <f>I1022</f>
        <v>1200</v>
      </c>
      <c r="AS1022" s="554"/>
      <c r="AT1022" s="554"/>
      <c r="AU1022" s="554">
        <f t="shared" si="352"/>
        <v>1200</v>
      </c>
      <c r="AV1022" s="554"/>
      <c r="AW1022" s="554">
        <f t="shared" si="353"/>
        <v>1200</v>
      </c>
      <c r="AX1022" s="714"/>
      <c r="AY1022" s="554"/>
      <c r="AZ1022" s="554"/>
      <c r="BA1022" s="554"/>
      <c r="BB1022" s="554"/>
      <c r="BC1022" s="554"/>
      <c r="BD1022" s="554"/>
      <c r="BE1022" s="554"/>
      <c r="BF1022" s="554"/>
      <c r="BG1022" s="554"/>
      <c r="BH1022" s="554"/>
      <c r="BI1022" s="554"/>
      <c r="BJ1022" s="554"/>
      <c r="BK1022" s="554"/>
      <c r="BL1022" s="554"/>
      <c r="BM1022" s="554"/>
      <c r="BN1022" s="554"/>
      <c r="BO1022" s="554"/>
      <c r="BP1022" s="554"/>
      <c r="BQ1022" s="554"/>
      <c r="BR1022" s="554"/>
      <c r="BS1022" s="554"/>
      <c r="BT1022" s="554"/>
      <c r="BU1022" s="554"/>
      <c r="BV1022" s="554"/>
      <c r="BW1022" s="554"/>
      <c r="BX1022" s="554"/>
      <c r="BY1022" s="554"/>
      <c r="BZ1022" s="554"/>
      <c r="CA1022" s="554"/>
      <c r="CB1022" s="554"/>
      <c r="CC1022" s="554"/>
      <c r="CD1022" s="554"/>
      <c r="CE1022" s="554"/>
      <c r="CF1022" s="554"/>
      <c r="CG1022" s="554"/>
      <c r="CH1022" s="619"/>
      <c r="CI1022" s="619"/>
      <c r="CJ1022" s="619"/>
      <c r="CK1022" s="619"/>
      <c r="CL1022" s="619"/>
      <c r="CM1022" s="554"/>
      <c r="CN1022" s="554"/>
      <c r="CO1022" s="554"/>
      <c r="CP1022" s="619"/>
      <c r="CQ1022" s="619"/>
      <c r="CR1022" s="619"/>
      <c r="CS1022" s="619"/>
      <c r="CT1022" s="619"/>
      <c r="CU1022" s="619"/>
    </row>
    <row r="1023" s="1265" customFormat="1" ht="31" customHeight="1" spans="1:99">
      <c r="A1023" s="608">
        <v>46128</v>
      </c>
      <c r="B1023" s="609" t="s">
        <v>3385</v>
      </c>
      <c r="C1023" s="610" t="s">
        <v>3386</v>
      </c>
      <c r="D1023" s="554">
        <v>4500202375</v>
      </c>
      <c r="E1023" s="610" t="s">
        <v>3871</v>
      </c>
      <c r="F1023" s="554" t="s">
        <v>3872</v>
      </c>
      <c r="G1023" s="610" t="s">
        <v>68</v>
      </c>
      <c r="H1023" s="610" t="s">
        <v>69</v>
      </c>
      <c r="I1023" s="715">
        <v>15000</v>
      </c>
      <c r="J1023" s="610">
        <v>0</v>
      </c>
      <c r="K1023" s="610">
        <v>12</v>
      </c>
      <c r="L1023" s="611">
        <f t="shared" ref="L1023:L1030" si="354">I1023/K1023</f>
        <v>1250</v>
      </c>
      <c r="M1023" s="612">
        <v>46162</v>
      </c>
      <c r="N1023" s="612">
        <v>46158</v>
      </c>
      <c r="O1023" s="613"/>
      <c r="P1023" s="824" t="s">
        <v>113</v>
      </c>
      <c r="Q1023" s="614"/>
      <c r="R1023" s="614">
        <v>46128</v>
      </c>
      <c r="S1023" s="614" t="s">
        <v>70</v>
      </c>
      <c r="T1023" s="614" t="s">
        <v>3473</v>
      </c>
      <c r="U1023" s="614"/>
      <c r="V1023" s="614"/>
      <c r="W1023" s="609"/>
      <c r="X1023" s="609" t="s">
        <v>3873</v>
      </c>
      <c r="Y1023" s="616" t="s">
        <v>529</v>
      </c>
      <c r="Z1023" s="625">
        <v>4.2064</v>
      </c>
      <c r="AA1023" s="616">
        <f t="shared" si="351"/>
        <v>63096</v>
      </c>
      <c r="AB1023" s="554"/>
      <c r="AC1023" s="617"/>
      <c r="AD1023" s="610" t="s">
        <v>184</v>
      </c>
      <c r="AE1023" s="610" t="s">
        <v>82</v>
      </c>
      <c r="AF1023" s="610"/>
      <c r="AG1023" s="610"/>
      <c r="AH1023" s="610">
        <v>1</v>
      </c>
      <c r="AI1023" s="610">
        <f>9240+4200+1560</f>
        <v>15000</v>
      </c>
      <c r="AJ1023" s="613">
        <f t="shared" si="339"/>
        <v>0</v>
      </c>
      <c r="AK1023" s="610"/>
      <c r="AL1023" s="610" t="s">
        <v>454</v>
      </c>
      <c r="AM1023" s="554"/>
      <c r="AN1023" s="554">
        <f t="shared" si="348"/>
        <v>15000</v>
      </c>
      <c r="AO1023" s="554"/>
      <c r="AP1023" s="554"/>
      <c r="AQ1023" s="554"/>
      <c r="AR1023" s="554"/>
      <c r="AS1023" s="554">
        <f t="shared" ref="AS1023:AS1028" si="355">I1023</f>
        <v>15000</v>
      </c>
      <c r="AT1023" s="554"/>
      <c r="AU1023" s="554">
        <f t="shared" si="352"/>
        <v>15000</v>
      </c>
      <c r="AV1023" s="554"/>
      <c r="AW1023" s="554">
        <f t="shared" si="353"/>
        <v>15000</v>
      </c>
      <c r="AX1023" s="714"/>
      <c r="AY1023" s="554"/>
      <c r="AZ1023" s="554"/>
      <c r="BA1023" s="554"/>
      <c r="BB1023" s="554"/>
      <c r="BC1023" s="554"/>
      <c r="BD1023" s="554"/>
      <c r="BE1023" s="554"/>
      <c r="BF1023" s="554"/>
      <c r="BG1023" s="554"/>
      <c r="BH1023" s="554"/>
      <c r="BI1023" s="554"/>
      <c r="BJ1023" s="554"/>
      <c r="BK1023" s="554"/>
      <c r="BL1023" s="554"/>
      <c r="BM1023" s="554"/>
      <c r="BN1023" s="554"/>
      <c r="BO1023" s="554"/>
      <c r="BP1023" s="554"/>
      <c r="BQ1023" s="554"/>
      <c r="BR1023" s="554"/>
      <c r="BS1023" s="554"/>
      <c r="BT1023" s="554"/>
      <c r="BU1023" s="554"/>
      <c r="BV1023" s="554"/>
      <c r="BW1023" s="554"/>
      <c r="BX1023" s="554"/>
      <c r="BY1023" s="554"/>
      <c r="BZ1023" s="554"/>
      <c r="CA1023" s="554"/>
      <c r="CB1023" s="554"/>
      <c r="CC1023" s="554"/>
      <c r="CD1023" s="554"/>
      <c r="CE1023" s="554"/>
      <c r="CF1023" s="554"/>
      <c r="CG1023" s="554"/>
      <c r="CH1023" s="619"/>
      <c r="CI1023" s="619"/>
      <c r="CJ1023" s="619"/>
      <c r="CK1023" s="619"/>
      <c r="CL1023" s="619"/>
      <c r="CM1023" s="554"/>
      <c r="CN1023" s="554"/>
      <c r="CO1023" s="554"/>
      <c r="CP1023" s="619"/>
      <c r="CQ1023" s="619"/>
      <c r="CR1023" s="619"/>
      <c r="CS1023" s="619"/>
      <c r="CT1023" s="619"/>
      <c r="CU1023" s="619"/>
    </row>
    <row r="1024" s="1265" customFormat="1" ht="31" customHeight="1" spans="1:99">
      <c r="A1024" s="608">
        <v>46121</v>
      </c>
      <c r="B1024" s="609" t="s">
        <v>448</v>
      </c>
      <c r="C1024" s="610" t="s">
        <v>399</v>
      </c>
      <c r="D1024" s="554" t="s">
        <v>3874</v>
      </c>
      <c r="E1024" s="610" t="s">
        <v>3846</v>
      </c>
      <c r="F1024" s="554" t="s">
        <v>3875</v>
      </c>
      <c r="G1024" s="623" t="s">
        <v>130</v>
      </c>
      <c r="H1024" s="610" t="s">
        <v>131</v>
      </c>
      <c r="I1024" s="715">
        <v>2100</v>
      </c>
      <c r="J1024" s="610">
        <v>0</v>
      </c>
      <c r="K1024" s="610">
        <v>6</v>
      </c>
      <c r="L1024" s="611">
        <f t="shared" si="354"/>
        <v>350</v>
      </c>
      <c r="M1024" s="612">
        <v>46164</v>
      </c>
      <c r="N1024" s="612">
        <v>46160</v>
      </c>
      <c r="O1024" s="613" t="s">
        <v>3876</v>
      </c>
      <c r="P1024" s="824" t="s">
        <v>113</v>
      </c>
      <c r="Q1024" s="614"/>
      <c r="R1024" s="614">
        <v>46121</v>
      </c>
      <c r="S1024" s="614" t="s">
        <v>70</v>
      </c>
      <c r="T1024" s="614" t="s">
        <v>3877</v>
      </c>
      <c r="U1024" s="614"/>
      <c r="V1024" s="609"/>
      <c r="W1024" s="609"/>
      <c r="X1024" s="609" t="s">
        <v>3878</v>
      </c>
      <c r="Y1024" s="616" t="s">
        <v>445</v>
      </c>
      <c r="Z1024" s="1345">
        <v>4.1743</v>
      </c>
      <c r="AA1024" s="616">
        <f t="shared" si="351"/>
        <v>8766.03</v>
      </c>
      <c r="AB1024" s="554"/>
      <c r="AC1024" s="617"/>
      <c r="AD1024" s="610" t="s">
        <v>453</v>
      </c>
      <c r="AE1024" s="610" t="s">
        <v>82</v>
      </c>
      <c r="AF1024" s="610"/>
      <c r="AG1024" s="610"/>
      <c r="AH1024" s="610">
        <v>1</v>
      </c>
      <c r="AI1024" s="610">
        <f>2094+6</f>
        <v>2100</v>
      </c>
      <c r="AJ1024" s="610">
        <f t="shared" si="339"/>
        <v>0</v>
      </c>
      <c r="AK1024" s="610"/>
      <c r="AL1024" s="610"/>
      <c r="AM1024" s="554"/>
      <c r="AN1024" s="554">
        <f t="shared" si="348"/>
        <v>2100</v>
      </c>
      <c r="AO1024" s="1325"/>
      <c r="AP1024" s="1325"/>
      <c r="AQ1024" s="1325"/>
      <c r="AR1024" s="554"/>
      <c r="AS1024" s="554">
        <f t="shared" si="355"/>
        <v>2100</v>
      </c>
      <c r="AT1024" s="554"/>
      <c r="AU1024" s="554">
        <f t="shared" si="352"/>
        <v>2100</v>
      </c>
      <c r="AV1024" s="554"/>
      <c r="AW1024" s="554">
        <f t="shared" si="353"/>
        <v>2100</v>
      </c>
      <c r="AX1024" s="714"/>
      <c r="AY1024" s="554"/>
      <c r="AZ1024" s="554"/>
      <c r="BA1024" s="554"/>
      <c r="BB1024" s="554"/>
      <c r="BC1024" s="554"/>
      <c r="BD1024" s="554"/>
      <c r="BE1024" s="554"/>
      <c r="BF1024" s="554"/>
      <c r="BG1024" s="554"/>
      <c r="BH1024" s="554"/>
      <c r="BI1024" s="554"/>
      <c r="BJ1024" s="554"/>
      <c r="BK1024" s="554"/>
      <c r="BL1024" s="554"/>
      <c r="BM1024" s="554"/>
      <c r="BN1024" s="554"/>
      <c r="BO1024" s="554"/>
      <c r="BP1024" s="554"/>
      <c r="BQ1024" s="554"/>
      <c r="BR1024" s="554"/>
      <c r="BS1024" s="554"/>
      <c r="BT1024" s="554"/>
      <c r="BU1024" s="554"/>
      <c r="BV1024" s="554"/>
      <c r="BW1024" s="554"/>
      <c r="BX1024" s="554"/>
      <c r="BY1024" s="554"/>
      <c r="BZ1024" s="554"/>
      <c r="CA1024" s="554"/>
      <c r="CB1024" s="554"/>
      <c r="CC1024" s="554"/>
      <c r="CD1024" s="554"/>
      <c r="CE1024" s="554"/>
      <c r="CF1024" s="554"/>
      <c r="CG1024" s="554"/>
      <c r="CH1024" s="619"/>
      <c r="CI1024" s="619"/>
      <c r="CJ1024" s="619"/>
      <c r="CK1024" s="619"/>
      <c r="CL1024" s="619"/>
      <c r="CM1024" s="554"/>
      <c r="CN1024" s="554"/>
      <c r="CO1024" s="554"/>
      <c r="CP1024" s="619"/>
      <c r="CQ1024" s="619"/>
      <c r="CR1024" s="619"/>
      <c r="CS1024" s="619"/>
      <c r="CT1024" s="619"/>
      <c r="CU1024" s="619"/>
    </row>
    <row r="1025" s="1265" customFormat="1" ht="31" customHeight="1" spans="1:99">
      <c r="A1025" s="608">
        <v>46101</v>
      </c>
      <c r="B1025" s="609" t="s">
        <v>3729</v>
      </c>
      <c r="C1025" s="610" t="s">
        <v>278</v>
      </c>
      <c r="D1025" s="554">
        <v>4500197232</v>
      </c>
      <c r="E1025" s="610" t="s">
        <v>3879</v>
      </c>
      <c r="F1025" s="554" t="s">
        <v>3880</v>
      </c>
      <c r="G1025" s="623" t="s">
        <v>68</v>
      </c>
      <c r="H1025" s="610" t="s">
        <v>69</v>
      </c>
      <c r="I1025" s="715">
        <v>852</v>
      </c>
      <c r="J1025" s="610">
        <v>0</v>
      </c>
      <c r="K1025" s="610">
        <v>12</v>
      </c>
      <c r="L1025" s="611">
        <f t="shared" si="354"/>
        <v>71</v>
      </c>
      <c r="M1025" s="724">
        <v>46205</v>
      </c>
      <c r="N1025" s="724">
        <v>46202</v>
      </c>
      <c r="O1025" s="613"/>
      <c r="P1025" s="824" t="s">
        <v>113</v>
      </c>
      <c r="Q1025" s="614"/>
      <c r="R1025" s="614" t="s">
        <v>463</v>
      </c>
      <c r="S1025" s="614" t="s">
        <v>104</v>
      </c>
      <c r="T1025" s="614" t="s">
        <v>3881</v>
      </c>
      <c r="U1025" s="614"/>
      <c r="V1025" s="614"/>
      <c r="W1025" s="609"/>
      <c r="X1025" s="728" t="s">
        <v>3882</v>
      </c>
      <c r="Y1025" s="616" t="s">
        <v>3734</v>
      </c>
      <c r="Z1025" s="1345">
        <v>4.2622</v>
      </c>
      <c r="AA1025" s="616">
        <f t="shared" si="351"/>
        <v>3631.3944</v>
      </c>
      <c r="AB1025" s="554"/>
      <c r="AC1025" s="617"/>
      <c r="AD1025" s="610" t="s">
        <v>184</v>
      </c>
      <c r="AE1025" s="610" t="s">
        <v>82</v>
      </c>
      <c r="AF1025" s="610"/>
      <c r="AG1025" s="610"/>
      <c r="AH1025" s="610">
        <v>1</v>
      </c>
      <c r="AI1025" s="610">
        <f>840+12</f>
        <v>852</v>
      </c>
      <c r="AJ1025" s="613">
        <f t="shared" si="339"/>
        <v>0</v>
      </c>
      <c r="AK1025" s="610"/>
      <c r="AL1025" s="610" t="s">
        <v>2368</v>
      </c>
      <c r="AM1025" s="554"/>
      <c r="AN1025" s="554">
        <f t="shared" si="348"/>
        <v>852</v>
      </c>
      <c r="AO1025" s="554"/>
      <c r="AP1025" s="554"/>
      <c r="AQ1025" s="554"/>
      <c r="AR1025" s="554"/>
      <c r="AS1025" s="554">
        <f t="shared" si="355"/>
        <v>852</v>
      </c>
      <c r="AT1025" s="554"/>
      <c r="AU1025" s="554">
        <f t="shared" si="352"/>
        <v>852</v>
      </c>
      <c r="AV1025" s="554"/>
      <c r="AW1025" s="554">
        <f t="shared" si="353"/>
        <v>852</v>
      </c>
      <c r="AX1025" s="714"/>
      <c r="AY1025" s="554"/>
      <c r="AZ1025" s="554"/>
      <c r="BA1025" s="554"/>
      <c r="BB1025" s="554"/>
      <c r="BC1025" s="554"/>
      <c r="BD1025" s="554"/>
      <c r="BE1025" s="554"/>
      <c r="BF1025" s="554"/>
      <c r="BG1025" s="554"/>
      <c r="BH1025" s="554"/>
      <c r="BI1025" s="554"/>
      <c r="BJ1025" s="554"/>
      <c r="BK1025" s="554"/>
      <c r="BL1025" s="554"/>
      <c r="BM1025" s="554"/>
      <c r="BN1025" s="554"/>
      <c r="BO1025" s="554"/>
      <c r="BP1025" s="554"/>
      <c r="BQ1025" s="554"/>
      <c r="BR1025" s="554"/>
      <c r="BS1025" s="554"/>
      <c r="BT1025" s="554"/>
      <c r="BU1025" s="554"/>
      <c r="BV1025" s="554"/>
      <c r="BW1025" s="554"/>
      <c r="BX1025" s="554"/>
      <c r="BY1025" s="554"/>
      <c r="BZ1025" s="554"/>
      <c r="CA1025" s="554"/>
      <c r="CB1025" s="554"/>
      <c r="CC1025" s="554"/>
      <c r="CD1025" s="554"/>
      <c r="CE1025" s="554"/>
      <c r="CF1025" s="554"/>
      <c r="CG1025" s="554"/>
      <c r="CH1025" s="619"/>
      <c r="CI1025" s="619"/>
      <c r="CJ1025" s="619"/>
      <c r="CK1025" s="619"/>
      <c r="CL1025" s="619"/>
      <c r="CM1025" s="554"/>
      <c r="CN1025" s="554"/>
      <c r="CO1025" s="554"/>
      <c r="CP1025" s="619"/>
      <c r="CQ1025" s="619"/>
      <c r="CR1025" s="619"/>
      <c r="CS1025" s="619"/>
      <c r="CT1025" s="619"/>
      <c r="CU1025" s="619"/>
    </row>
    <row r="1026" s="1265" customFormat="1" ht="31" customHeight="1" spans="1:99">
      <c r="A1026" s="608">
        <v>46101</v>
      </c>
      <c r="B1026" s="609" t="s">
        <v>3729</v>
      </c>
      <c r="C1026" s="610" t="s">
        <v>399</v>
      </c>
      <c r="D1026" s="554">
        <v>4500197232</v>
      </c>
      <c r="E1026" s="610" t="s">
        <v>3883</v>
      </c>
      <c r="F1026" s="554" t="s">
        <v>3884</v>
      </c>
      <c r="G1026" s="623" t="s">
        <v>68</v>
      </c>
      <c r="H1026" s="610" t="s">
        <v>69</v>
      </c>
      <c r="I1026" s="768">
        <v>228</v>
      </c>
      <c r="J1026" s="610">
        <v>0</v>
      </c>
      <c r="K1026" s="610">
        <v>12</v>
      </c>
      <c r="L1026" s="611">
        <f t="shared" si="354"/>
        <v>19</v>
      </c>
      <c r="M1026" s="724">
        <v>46205</v>
      </c>
      <c r="N1026" s="724">
        <v>46202</v>
      </c>
      <c r="O1026" s="613"/>
      <c r="P1026" s="824" t="s">
        <v>113</v>
      </c>
      <c r="Q1026" s="614"/>
      <c r="R1026" s="614" t="s">
        <v>463</v>
      </c>
      <c r="S1026" s="614" t="s">
        <v>104</v>
      </c>
      <c r="T1026" s="614" t="s">
        <v>3732</v>
      </c>
      <c r="U1026" s="614"/>
      <c r="V1026" s="614"/>
      <c r="W1026" s="609"/>
      <c r="X1026" s="728" t="s">
        <v>3882</v>
      </c>
      <c r="Y1026" s="616" t="s">
        <v>3734</v>
      </c>
      <c r="Z1026" s="1345">
        <v>4.2622</v>
      </c>
      <c r="AA1026" s="616">
        <f t="shared" si="351"/>
        <v>971.7816</v>
      </c>
      <c r="AB1026" s="554"/>
      <c r="AC1026" s="617"/>
      <c r="AD1026" s="610" t="s">
        <v>184</v>
      </c>
      <c r="AE1026" s="610" t="s">
        <v>82</v>
      </c>
      <c r="AF1026" s="610"/>
      <c r="AG1026" s="610"/>
      <c r="AH1026" s="610">
        <v>1</v>
      </c>
      <c r="AI1026" s="610">
        <v>624</v>
      </c>
      <c r="AJ1026" s="613">
        <f t="shared" si="339"/>
        <v>396</v>
      </c>
      <c r="AK1026" s="610"/>
      <c r="AL1026" s="610" t="s">
        <v>2368</v>
      </c>
      <c r="AM1026" s="554"/>
      <c r="AN1026" s="554">
        <f t="shared" si="348"/>
        <v>228</v>
      </c>
      <c r="AO1026" s="554"/>
      <c r="AP1026" s="554"/>
      <c r="AQ1026" s="554"/>
      <c r="AR1026" s="554"/>
      <c r="AS1026" s="554">
        <f t="shared" si="355"/>
        <v>228</v>
      </c>
      <c r="AT1026" s="554"/>
      <c r="AU1026" s="554">
        <f t="shared" si="352"/>
        <v>228</v>
      </c>
      <c r="AV1026" s="554"/>
      <c r="AW1026" s="554">
        <f t="shared" si="353"/>
        <v>228</v>
      </c>
      <c r="AX1026" s="714"/>
      <c r="AY1026" s="554"/>
      <c r="AZ1026" s="554"/>
      <c r="BA1026" s="554"/>
      <c r="BB1026" s="554"/>
      <c r="BC1026" s="554"/>
      <c r="BD1026" s="554"/>
      <c r="BE1026" s="554"/>
      <c r="BF1026" s="554"/>
      <c r="BG1026" s="554"/>
      <c r="BH1026" s="554"/>
      <c r="BI1026" s="554"/>
      <c r="BJ1026" s="554"/>
      <c r="BK1026" s="554"/>
      <c r="BL1026" s="554"/>
      <c r="BM1026" s="554"/>
      <c r="BN1026" s="554"/>
      <c r="BO1026" s="554"/>
      <c r="BP1026" s="554"/>
      <c r="BQ1026" s="554"/>
      <c r="BR1026" s="554"/>
      <c r="BS1026" s="554"/>
      <c r="BT1026" s="554"/>
      <c r="BU1026" s="554"/>
      <c r="BV1026" s="554"/>
      <c r="BW1026" s="554"/>
      <c r="BX1026" s="554"/>
      <c r="BY1026" s="554"/>
      <c r="BZ1026" s="554"/>
      <c r="CA1026" s="554"/>
      <c r="CB1026" s="554"/>
      <c r="CC1026" s="554"/>
      <c r="CD1026" s="554"/>
      <c r="CE1026" s="554"/>
      <c r="CF1026" s="554"/>
      <c r="CG1026" s="554"/>
      <c r="CH1026" s="619"/>
      <c r="CI1026" s="619"/>
      <c r="CJ1026" s="619"/>
      <c r="CK1026" s="619"/>
      <c r="CL1026" s="619"/>
      <c r="CM1026" s="554"/>
      <c r="CN1026" s="554"/>
      <c r="CO1026" s="554"/>
      <c r="CP1026" s="619"/>
      <c r="CQ1026" s="619"/>
      <c r="CR1026" s="619"/>
      <c r="CS1026" s="619"/>
      <c r="CT1026" s="619"/>
      <c r="CU1026" s="619"/>
    </row>
    <row r="1027" s="1265" customFormat="1" ht="31" customHeight="1" spans="1:99">
      <c r="A1027" s="608">
        <v>46115</v>
      </c>
      <c r="B1027" s="609" t="s">
        <v>2487</v>
      </c>
      <c r="C1027" s="610" t="s">
        <v>154</v>
      </c>
      <c r="D1027" s="554">
        <v>4500199906</v>
      </c>
      <c r="E1027" s="610" t="s">
        <v>3885</v>
      </c>
      <c r="F1027" s="554" t="s">
        <v>3886</v>
      </c>
      <c r="G1027" s="623" t="s">
        <v>926</v>
      </c>
      <c r="H1027" s="610" t="s">
        <v>112</v>
      </c>
      <c r="I1027" s="715">
        <v>600</v>
      </c>
      <c r="J1027" s="610">
        <v>0</v>
      </c>
      <c r="K1027" s="610">
        <v>12</v>
      </c>
      <c r="L1027" s="611">
        <f t="shared" si="354"/>
        <v>50</v>
      </c>
      <c r="M1027" s="612">
        <v>46164</v>
      </c>
      <c r="N1027" s="612">
        <v>46160</v>
      </c>
      <c r="O1027" s="613" t="s">
        <v>3887</v>
      </c>
      <c r="P1027" s="824" t="s">
        <v>113</v>
      </c>
      <c r="Q1027" s="614"/>
      <c r="R1027" s="614">
        <v>46115</v>
      </c>
      <c r="S1027" s="614" t="s">
        <v>70</v>
      </c>
      <c r="T1027" s="614" t="s">
        <v>3888</v>
      </c>
      <c r="U1027" s="614"/>
      <c r="V1027" s="609"/>
      <c r="W1027" s="609" t="s">
        <v>3493</v>
      </c>
      <c r="X1027" s="609" t="s">
        <v>3889</v>
      </c>
      <c r="Y1027" s="616" t="s">
        <v>2533</v>
      </c>
      <c r="Z1027" s="1345">
        <v>4.2927</v>
      </c>
      <c r="AA1027" s="616">
        <f t="shared" si="351"/>
        <v>2575.62</v>
      </c>
      <c r="AB1027" s="554"/>
      <c r="AC1027" s="617"/>
      <c r="AD1027" s="610" t="s">
        <v>184</v>
      </c>
      <c r="AE1027" s="610" t="s">
        <v>82</v>
      </c>
      <c r="AF1027" s="610"/>
      <c r="AG1027" s="610"/>
      <c r="AH1027" s="610">
        <v>1</v>
      </c>
      <c r="AI1027" s="610">
        <f>12+588</f>
        <v>600</v>
      </c>
      <c r="AJ1027" s="610">
        <f t="shared" si="339"/>
        <v>0</v>
      </c>
      <c r="AK1027" s="610"/>
      <c r="AL1027" s="610" t="s">
        <v>2368</v>
      </c>
      <c r="AM1027" s="554"/>
      <c r="AN1027" s="554">
        <f t="shared" si="348"/>
        <v>600</v>
      </c>
      <c r="AO1027" s="1325"/>
      <c r="AP1027" s="1325"/>
      <c r="AQ1027" s="1325"/>
      <c r="AR1027" s="554"/>
      <c r="AS1027" s="554">
        <f t="shared" si="355"/>
        <v>600</v>
      </c>
      <c r="AT1027" s="554"/>
      <c r="AU1027" s="554">
        <f t="shared" si="352"/>
        <v>600</v>
      </c>
      <c r="AV1027" s="554"/>
      <c r="AW1027" s="554">
        <f t="shared" si="353"/>
        <v>600</v>
      </c>
      <c r="AX1027" s="714"/>
      <c r="AY1027" s="554"/>
      <c r="AZ1027" s="554"/>
      <c r="BA1027" s="554"/>
      <c r="BB1027" s="554"/>
      <c r="BC1027" s="554"/>
      <c r="BD1027" s="554"/>
      <c r="BE1027" s="554"/>
      <c r="BF1027" s="554"/>
      <c r="BG1027" s="554"/>
      <c r="BH1027" s="554"/>
      <c r="BI1027" s="554"/>
      <c r="BJ1027" s="554"/>
      <c r="BK1027" s="554"/>
      <c r="BL1027" s="554"/>
      <c r="BM1027" s="554"/>
      <c r="BN1027" s="554"/>
      <c r="BO1027" s="554"/>
      <c r="BP1027" s="554"/>
      <c r="BQ1027" s="554"/>
      <c r="BR1027" s="554"/>
      <c r="BS1027" s="554"/>
      <c r="BT1027" s="554"/>
      <c r="BU1027" s="554"/>
      <c r="BV1027" s="554"/>
      <c r="BW1027" s="554"/>
      <c r="BX1027" s="554"/>
      <c r="BY1027" s="554"/>
      <c r="BZ1027" s="554"/>
      <c r="CA1027" s="554"/>
      <c r="CB1027" s="554"/>
      <c r="CC1027" s="554"/>
      <c r="CD1027" s="554"/>
      <c r="CE1027" s="554"/>
      <c r="CF1027" s="554"/>
      <c r="CG1027" s="554"/>
      <c r="CH1027" s="619"/>
      <c r="CI1027" s="619"/>
      <c r="CJ1027" s="619"/>
      <c r="CK1027" s="619"/>
      <c r="CL1027" s="619"/>
      <c r="CM1027" s="554"/>
      <c r="CN1027" s="554"/>
      <c r="CO1027" s="554"/>
      <c r="CP1027" s="619"/>
      <c r="CQ1027" s="619"/>
      <c r="CR1027" s="619"/>
      <c r="CS1027" s="619"/>
      <c r="CT1027" s="619"/>
      <c r="CU1027" s="619"/>
    </row>
    <row r="1028" s="1265" customFormat="1" ht="31" customHeight="1" spans="1:99">
      <c r="A1028" s="608">
        <v>46128</v>
      </c>
      <c r="B1028" s="609" t="s">
        <v>2506</v>
      </c>
      <c r="C1028" s="610" t="s">
        <v>198</v>
      </c>
      <c r="D1028" s="554">
        <v>4500202248</v>
      </c>
      <c r="E1028" s="610">
        <v>5200009635</v>
      </c>
      <c r="F1028" s="554" t="s">
        <v>3890</v>
      </c>
      <c r="G1028" s="610" t="s">
        <v>156</v>
      </c>
      <c r="H1028" s="610" t="s">
        <v>102</v>
      </c>
      <c r="I1028" s="715">
        <v>3192</v>
      </c>
      <c r="J1028" s="610">
        <v>0</v>
      </c>
      <c r="K1028" s="610">
        <v>4</v>
      </c>
      <c r="L1028" s="611">
        <f t="shared" si="354"/>
        <v>798</v>
      </c>
      <c r="M1028" s="612">
        <v>46164</v>
      </c>
      <c r="N1028" s="724">
        <v>46167</v>
      </c>
      <c r="O1028" s="613"/>
      <c r="P1028" s="824" t="s">
        <v>113</v>
      </c>
      <c r="Q1028" s="614"/>
      <c r="R1028" s="614">
        <v>46133</v>
      </c>
      <c r="S1028" s="614" t="s">
        <v>70</v>
      </c>
      <c r="T1028" s="614" t="s">
        <v>3891</v>
      </c>
      <c r="U1028" s="614"/>
      <c r="V1028" s="614" t="s">
        <v>3892</v>
      </c>
      <c r="W1028" s="609"/>
      <c r="X1028" s="609" t="s">
        <v>3893</v>
      </c>
      <c r="Y1028" s="616" t="s">
        <v>3894</v>
      </c>
      <c r="Z1028" s="625">
        <v>4.3978</v>
      </c>
      <c r="AA1028" s="616">
        <f t="shared" si="351"/>
        <v>14037.7776</v>
      </c>
      <c r="AB1028" s="554"/>
      <c r="AC1028" s="617"/>
      <c r="AD1028" s="610" t="s">
        <v>156</v>
      </c>
      <c r="AE1028" s="610" t="s">
        <v>82</v>
      </c>
      <c r="AF1028" s="610"/>
      <c r="AG1028" s="610"/>
      <c r="AH1028" s="610">
        <v>1</v>
      </c>
      <c r="AI1028" s="610">
        <f>1400+1604+188</f>
        <v>3192</v>
      </c>
      <c r="AJ1028" s="610">
        <f t="shared" si="339"/>
        <v>0</v>
      </c>
      <c r="AK1028" s="610"/>
      <c r="AL1028" s="610" t="s">
        <v>2368</v>
      </c>
      <c r="AM1028" s="554"/>
      <c r="AN1028" s="554">
        <f t="shared" si="348"/>
        <v>3192</v>
      </c>
      <c r="AO1028" s="554"/>
      <c r="AP1028" s="554"/>
      <c r="AQ1028" s="554"/>
      <c r="AR1028" s="554"/>
      <c r="AS1028" s="554">
        <f t="shared" si="355"/>
        <v>3192</v>
      </c>
      <c r="AT1028" s="554"/>
      <c r="AU1028" s="554">
        <f t="shared" si="352"/>
        <v>3192</v>
      </c>
      <c r="AV1028" s="554"/>
      <c r="AW1028" s="554">
        <f t="shared" si="353"/>
        <v>3192</v>
      </c>
      <c r="AX1028" s="714"/>
      <c r="AY1028" s="554"/>
      <c r="AZ1028" s="554"/>
      <c r="BA1028" s="554"/>
      <c r="BB1028" s="554"/>
      <c r="BC1028" s="554"/>
      <c r="BD1028" s="554"/>
      <c r="BE1028" s="554"/>
      <c r="BF1028" s="554"/>
      <c r="BG1028" s="554"/>
      <c r="BH1028" s="554"/>
      <c r="BI1028" s="554">
        <f>I1028/4</f>
        <v>798</v>
      </c>
      <c r="BJ1028" s="554"/>
      <c r="BK1028" s="554"/>
      <c r="BL1028" s="554"/>
      <c r="BM1028" s="554"/>
      <c r="BN1028" s="554"/>
      <c r="BO1028" s="554"/>
      <c r="BP1028" s="554"/>
      <c r="BQ1028" s="554"/>
      <c r="BR1028" s="554"/>
      <c r="BS1028" s="554"/>
      <c r="BT1028" s="554"/>
      <c r="BU1028" s="554"/>
      <c r="BV1028" s="554"/>
      <c r="BW1028" s="554"/>
      <c r="BX1028" s="554"/>
      <c r="BY1028" s="554"/>
      <c r="BZ1028" s="554"/>
      <c r="CA1028" s="554"/>
      <c r="CB1028" s="554"/>
      <c r="CC1028" s="554"/>
      <c r="CD1028" s="554"/>
      <c r="CE1028" s="554"/>
      <c r="CF1028" s="554"/>
      <c r="CG1028" s="554"/>
      <c r="CH1028" s="619"/>
      <c r="CI1028" s="619"/>
      <c r="CJ1028" s="619"/>
      <c r="CK1028" s="619"/>
      <c r="CL1028" s="619"/>
      <c r="CM1028" s="554"/>
      <c r="CN1028" s="554"/>
      <c r="CO1028" s="554"/>
      <c r="CP1028" s="619"/>
      <c r="CQ1028" s="619"/>
      <c r="CR1028" s="619"/>
      <c r="CS1028" s="619"/>
      <c r="CT1028" s="619"/>
      <c r="CU1028" s="619"/>
    </row>
    <row r="1029" s="1265" customFormat="1" ht="31" customHeight="1" spans="1:99">
      <c r="A1029" s="608">
        <v>46105</v>
      </c>
      <c r="B1029" s="609" t="s">
        <v>1503</v>
      </c>
      <c r="C1029" s="610" t="s">
        <v>98</v>
      </c>
      <c r="D1029" s="554">
        <v>4500198299</v>
      </c>
      <c r="E1029" s="610" t="s">
        <v>3895</v>
      </c>
      <c r="F1029" s="554" t="s">
        <v>3896</v>
      </c>
      <c r="G1029" s="623" t="s">
        <v>68</v>
      </c>
      <c r="H1029" s="610" t="s">
        <v>69</v>
      </c>
      <c r="I1029" s="715">
        <v>744</v>
      </c>
      <c r="J1029" s="610">
        <v>0</v>
      </c>
      <c r="K1029" s="610">
        <v>12</v>
      </c>
      <c r="L1029" s="611">
        <f t="shared" si="354"/>
        <v>62</v>
      </c>
      <c r="M1029" s="612">
        <v>46167</v>
      </c>
      <c r="N1029" s="612">
        <v>46163</v>
      </c>
      <c r="O1029" s="613"/>
      <c r="P1029" s="824" t="s">
        <v>113</v>
      </c>
      <c r="Q1029" s="614"/>
      <c r="R1029" s="614">
        <v>46105</v>
      </c>
      <c r="S1029" s="614" t="s">
        <v>104</v>
      </c>
      <c r="T1029" s="614" t="s">
        <v>3897</v>
      </c>
      <c r="U1029" s="614"/>
      <c r="V1029" s="614"/>
      <c r="W1029" s="609"/>
      <c r="X1029" s="609" t="s">
        <v>3898</v>
      </c>
      <c r="Y1029" s="616" t="s">
        <v>1507</v>
      </c>
      <c r="Z1029" s="1345">
        <v>2.5573</v>
      </c>
      <c r="AA1029" s="616">
        <f t="shared" si="351"/>
        <v>1902.6312</v>
      </c>
      <c r="AB1029" s="554"/>
      <c r="AC1029" s="629" t="s">
        <v>3899</v>
      </c>
      <c r="AD1029" s="610" t="s">
        <v>68</v>
      </c>
      <c r="AE1029" s="610" t="s">
        <v>82</v>
      </c>
      <c r="AF1029" s="610"/>
      <c r="AG1029" s="610"/>
      <c r="AH1029" s="610">
        <v>1</v>
      </c>
      <c r="AI1029" s="610">
        <v>744</v>
      </c>
      <c r="AJ1029" s="613">
        <f t="shared" si="339"/>
        <v>0</v>
      </c>
      <c r="AK1029" s="610"/>
      <c r="AL1029" s="610" t="s">
        <v>2368</v>
      </c>
      <c r="AM1029" s="554"/>
      <c r="AN1029" s="554">
        <f t="shared" si="348"/>
        <v>744</v>
      </c>
      <c r="AO1029" s="554"/>
      <c r="AP1029" s="554"/>
      <c r="AQ1029" s="554"/>
      <c r="AR1029" s="554">
        <f>I1029</f>
        <v>744</v>
      </c>
      <c r="AS1029" s="554"/>
      <c r="AT1029" s="554"/>
      <c r="AU1029" s="554">
        <f t="shared" si="352"/>
        <v>744</v>
      </c>
      <c r="AV1029" s="554"/>
      <c r="AW1029" s="554">
        <f t="shared" si="353"/>
        <v>744</v>
      </c>
      <c r="AX1029" s="714"/>
      <c r="AY1029" s="554"/>
      <c r="AZ1029" s="554"/>
      <c r="BA1029" s="554"/>
      <c r="BB1029" s="554"/>
      <c r="BC1029" s="554"/>
      <c r="BD1029" s="554"/>
      <c r="BE1029" s="554"/>
      <c r="BF1029" s="554"/>
      <c r="BG1029" s="554"/>
      <c r="BH1029" s="554"/>
      <c r="BI1029" s="554"/>
      <c r="BJ1029" s="554"/>
      <c r="BK1029" s="554"/>
      <c r="BL1029" s="554"/>
      <c r="BM1029" s="554"/>
      <c r="BN1029" s="554"/>
      <c r="BO1029" s="554"/>
      <c r="BP1029" s="554"/>
      <c r="BQ1029" s="554"/>
      <c r="BR1029" s="554"/>
      <c r="BS1029" s="554"/>
      <c r="BT1029" s="554"/>
      <c r="BU1029" s="554"/>
      <c r="BV1029" s="554"/>
      <c r="BW1029" s="554"/>
      <c r="BX1029" s="554"/>
      <c r="BY1029" s="554"/>
      <c r="BZ1029" s="554"/>
      <c r="CA1029" s="554"/>
      <c r="CB1029" s="554"/>
      <c r="CC1029" s="554"/>
      <c r="CD1029" s="554"/>
      <c r="CE1029" s="554"/>
      <c r="CF1029" s="554"/>
      <c r="CG1029" s="554"/>
      <c r="CH1029" s="619"/>
      <c r="CI1029" s="619"/>
      <c r="CJ1029" s="619"/>
      <c r="CK1029" s="619"/>
      <c r="CL1029" s="619"/>
      <c r="CM1029" s="554"/>
      <c r="CN1029" s="554"/>
      <c r="CO1029" s="554"/>
      <c r="CP1029" s="619"/>
      <c r="CQ1029" s="619"/>
      <c r="CR1029" s="619"/>
      <c r="CS1029" s="619"/>
      <c r="CT1029" s="619"/>
      <c r="CU1029" s="619"/>
    </row>
    <row r="1030" s="1265" customFormat="1" ht="31" customHeight="1" spans="1:99">
      <c r="A1030" s="608">
        <v>46105</v>
      </c>
      <c r="B1030" s="609" t="s">
        <v>1503</v>
      </c>
      <c r="C1030" s="610" t="s">
        <v>98</v>
      </c>
      <c r="D1030" s="554">
        <v>4500198304</v>
      </c>
      <c r="E1030" s="610" t="s">
        <v>3900</v>
      </c>
      <c r="F1030" s="554" t="s">
        <v>3901</v>
      </c>
      <c r="G1030" s="623" t="s">
        <v>68</v>
      </c>
      <c r="H1030" s="610" t="s">
        <v>69</v>
      </c>
      <c r="I1030" s="715">
        <v>1356</v>
      </c>
      <c r="J1030" s="610">
        <v>0</v>
      </c>
      <c r="K1030" s="610">
        <v>12</v>
      </c>
      <c r="L1030" s="611">
        <f t="shared" si="354"/>
        <v>113</v>
      </c>
      <c r="M1030" s="612">
        <v>46167</v>
      </c>
      <c r="N1030" s="612">
        <v>46163</v>
      </c>
      <c r="O1030" s="613"/>
      <c r="P1030" s="824" t="s">
        <v>113</v>
      </c>
      <c r="Q1030" s="614" t="s">
        <v>3902</v>
      </c>
      <c r="R1030" s="614">
        <v>46105</v>
      </c>
      <c r="S1030" s="614" t="s">
        <v>104</v>
      </c>
      <c r="T1030" s="614" t="s">
        <v>3897</v>
      </c>
      <c r="U1030" s="614"/>
      <c r="V1030" s="614"/>
      <c r="W1030" s="609"/>
      <c r="X1030" s="609" t="s">
        <v>3903</v>
      </c>
      <c r="Y1030" s="616" t="s">
        <v>1507</v>
      </c>
      <c r="Z1030" s="1345">
        <v>2.5573</v>
      </c>
      <c r="AA1030" s="616">
        <f t="shared" si="351"/>
        <v>3467.6988</v>
      </c>
      <c r="AB1030" s="554"/>
      <c r="AC1030" s="629" t="s">
        <v>3904</v>
      </c>
      <c r="AD1030" s="610" t="s">
        <v>68</v>
      </c>
      <c r="AE1030" s="610" t="s">
        <v>82</v>
      </c>
      <c r="AF1030" s="610"/>
      <c r="AG1030" s="610"/>
      <c r="AH1030" s="610">
        <v>1</v>
      </c>
      <c r="AI1030" s="610">
        <v>1356</v>
      </c>
      <c r="AJ1030" s="613">
        <f t="shared" si="339"/>
        <v>0</v>
      </c>
      <c r="AK1030" s="610"/>
      <c r="AL1030" s="610" t="s">
        <v>2368</v>
      </c>
      <c r="AM1030" s="554"/>
      <c r="AN1030" s="554">
        <f t="shared" si="348"/>
        <v>1356</v>
      </c>
      <c r="AO1030" s="554"/>
      <c r="AP1030" s="554"/>
      <c r="AQ1030" s="554"/>
      <c r="AR1030" s="554">
        <f>I1030</f>
        <v>1356</v>
      </c>
      <c r="AS1030" s="554"/>
      <c r="AT1030" s="554"/>
      <c r="AU1030" s="554">
        <f t="shared" si="352"/>
        <v>1356</v>
      </c>
      <c r="AV1030" s="554"/>
      <c r="AW1030" s="554">
        <f t="shared" si="353"/>
        <v>1356</v>
      </c>
      <c r="AX1030" s="714"/>
      <c r="AY1030" s="554"/>
      <c r="AZ1030" s="554"/>
      <c r="BA1030" s="554"/>
      <c r="BB1030" s="554"/>
      <c r="BC1030" s="554"/>
      <c r="BD1030" s="554"/>
      <c r="BE1030" s="554"/>
      <c r="BF1030" s="554"/>
      <c r="BG1030" s="554"/>
      <c r="BH1030" s="554"/>
      <c r="BI1030" s="554"/>
      <c r="BJ1030" s="554"/>
      <c r="BK1030" s="554"/>
      <c r="BL1030" s="554"/>
      <c r="BM1030" s="554"/>
      <c r="BN1030" s="554"/>
      <c r="BO1030" s="554"/>
      <c r="BP1030" s="554"/>
      <c r="BQ1030" s="554"/>
      <c r="BR1030" s="554"/>
      <c r="BS1030" s="554"/>
      <c r="BT1030" s="554"/>
      <c r="BU1030" s="554"/>
      <c r="BV1030" s="554"/>
      <c r="BW1030" s="554"/>
      <c r="BX1030" s="554"/>
      <c r="BY1030" s="554"/>
      <c r="BZ1030" s="554"/>
      <c r="CA1030" s="554"/>
      <c r="CB1030" s="554"/>
      <c r="CC1030" s="554"/>
      <c r="CD1030" s="554"/>
      <c r="CE1030" s="554"/>
      <c r="CF1030" s="554"/>
      <c r="CG1030" s="554"/>
      <c r="CH1030" s="619"/>
      <c r="CI1030" s="619"/>
      <c r="CJ1030" s="619"/>
      <c r="CK1030" s="619"/>
      <c r="CL1030" s="619"/>
      <c r="CM1030" s="554"/>
      <c r="CN1030" s="554"/>
      <c r="CO1030" s="554"/>
      <c r="CP1030" s="619"/>
      <c r="CQ1030" s="619"/>
      <c r="CR1030" s="619"/>
      <c r="CS1030" s="619"/>
      <c r="CT1030" s="619"/>
      <c r="CU1030" s="619"/>
    </row>
    <row r="1031" s="1265" customFormat="1" ht="31" customHeight="1" spans="1:99">
      <c r="A1031" s="608">
        <v>46121</v>
      </c>
      <c r="B1031" s="609" t="s">
        <v>3905</v>
      </c>
      <c r="C1031" s="610" t="s">
        <v>765</v>
      </c>
      <c r="D1031" s="554" t="s">
        <v>3906</v>
      </c>
      <c r="E1031" s="610" t="s">
        <v>3907</v>
      </c>
      <c r="F1031" s="554" t="s">
        <v>3908</v>
      </c>
      <c r="G1031" s="623" t="s">
        <v>101</v>
      </c>
      <c r="H1031" s="610" t="s">
        <v>102</v>
      </c>
      <c r="I1031" s="610">
        <v>1300</v>
      </c>
      <c r="J1031" s="610">
        <v>0</v>
      </c>
      <c r="K1031" s="610">
        <v>4</v>
      </c>
      <c r="L1031" s="611">
        <f t="shared" ref="L1031:L1084" si="356">I1031/K1031</f>
        <v>325</v>
      </c>
      <c r="M1031" s="612">
        <v>46167</v>
      </c>
      <c r="N1031" s="612">
        <v>46163</v>
      </c>
      <c r="O1031" s="613" t="s">
        <v>3909</v>
      </c>
      <c r="P1031" s="824" t="s">
        <v>113</v>
      </c>
      <c r="Q1031" s="614">
        <v>46181</v>
      </c>
      <c r="R1031" s="614">
        <v>46135</v>
      </c>
      <c r="S1031" s="614" t="s">
        <v>70</v>
      </c>
      <c r="T1031" s="614" t="s">
        <v>3910</v>
      </c>
      <c r="U1031" s="614"/>
      <c r="V1031" s="614"/>
      <c r="W1031" s="609"/>
      <c r="X1031" s="609" t="s">
        <v>3911</v>
      </c>
      <c r="Y1031" s="616" t="s">
        <v>3912</v>
      </c>
      <c r="Z1031" s="625">
        <v>4.4032</v>
      </c>
      <c r="AA1031" s="616">
        <f t="shared" si="351"/>
        <v>5724.16</v>
      </c>
      <c r="AB1031" s="554"/>
      <c r="AC1031" s="617"/>
      <c r="AD1031" s="610" t="s">
        <v>101</v>
      </c>
      <c r="AE1031" s="610" t="s">
        <v>82</v>
      </c>
      <c r="AF1031" s="610"/>
      <c r="AG1031" s="610"/>
      <c r="AH1031" s="610">
        <v>1</v>
      </c>
      <c r="AI1031" s="610">
        <v>1300</v>
      </c>
      <c r="AJ1031" s="613">
        <f t="shared" si="339"/>
        <v>0</v>
      </c>
      <c r="AK1031" s="610"/>
      <c r="AL1031" s="610" t="s">
        <v>2368</v>
      </c>
      <c r="AM1031" s="554"/>
      <c r="AN1031" s="554">
        <f t="shared" si="348"/>
        <v>1300</v>
      </c>
      <c r="AO1031" s="554"/>
      <c r="AP1031" s="554"/>
      <c r="AQ1031" s="554"/>
      <c r="AR1031" s="554">
        <f t="shared" ref="AR1031:AR1038" si="357">I1031</f>
        <v>1300</v>
      </c>
      <c r="AS1031" s="554"/>
      <c r="AT1031" s="554"/>
      <c r="AU1031" s="554">
        <f t="shared" si="352"/>
        <v>1300</v>
      </c>
      <c r="AV1031" s="554"/>
      <c r="AW1031" s="554">
        <f t="shared" si="353"/>
        <v>1300</v>
      </c>
      <c r="AX1031" s="714"/>
      <c r="AY1031" s="554"/>
      <c r="AZ1031" s="554"/>
      <c r="BA1031" s="554"/>
      <c r="BB1031" s="554"/>
      <c r="BC1031" s="554"/>
      <c r="BD1031" s="554"/>
      <c r="BE1031" s="554"/>
      <c r="BF1031" s="554"/>
      <c r="BG1031" s="554"/>
      <c r="BH1031" s="825">
        <f>I1031/4</f>
        <v>325</v>
      </c>
      <c r="BI1031" s="554"/>
      <c r="BJ1031" s="554"/>
      <c r="BK1031" s="554"/>
      <c r="BL1031" s="554"/>
      <c r="BM1031" s="554"/>
      <c r="BN1031" s="554"/>
      <c r="BO1031" s="554"/>
      <c r="BP1031" s="554"/>
      <c r="BQ1031" s="554"/>
      <c r="BR1031" s="554"/>
      <c r="BS1031" s="554"/>
      <c r="BT1031" s="554"/>
      <c r="BU1031" s="554"/>
      <c r="BV1031" s="554"/>
      <c r="BW1031" s="554"/>
      <c r="BX1031" s="554"/>
      <c r="BY1031" s="554"/>
      <c r="BZ1031" s="554"/>
      <c r="CA1031" s="554"/>
      <c r="CB1031" s="554"/>
      <c r="CC1031" s="554"/>
      <c r="CD1031" s="554"/>
      <c r="CE1031" s="554"/>
      <c r="CF1031" s="554"/>
      <c r="CG1031" s="554"/>
      <c r="CH1031" s="619"/>
      <c r="CI1031" s="619"/>
      <c r="CJ1031" s="619"/>
      <c r="CK1031" s="619"/>
      <c r="CL1031" s="619"/>
      <c r="CM1031" s="554"/>
      <c r="CN1031" s="554"/>
      <c r="CO1031" s="554"/>
      <c r="CP1031" s="619"/>
      <c r="CQ1031" s="619"/>
      <c r="CR1031" s="619"/>
      <c r="CS1031" s="619"/>
      <c r="CT1031" s="619"/>
      <c r="CU1031" s="619"/>
    </row>
    <row r="1032" s="1265" customFormat="1" ht="31" customHeight="1" spans="1:99">
      <c r="A1032" s="608">
        <v>46105</v>
      </c>
      <c r="B1032" s="609" t="s">
        <v>1503</v>
      </c>
      <c r="C1032" s="610" t="s">
        <v>98</v>
      </c>
      <c r="D1032" s="554">
        <v>4500198303</v>
      </c>
      <c r="E1032" s="610" t="s">
        <v>3913</v>
      </c>
      <c r="F1032" s="554" t="s">
        <v>3914</v>
      </c>
      <c r="G1032" s="623" t="s">
        <v>68</v>
      </c>
      <c r="H1032" s="610" t="s">
        <v>69</v>
      </c>
      <c r="I1032" s="715">
        <v>2172</v>
      </c>
      <c r="J1032" s="610">
        <v>0</v>
      </c>
      <c r="K1032" s="610">
        <v>12</v>
      </c>
      <c r="L1032" s="611">
        <f t="shared" si="356"/>
        <v>181</v>
      </c>
      <c r="M1032" s="612">
        <v>46167</v>
      </c>
      <c r="N1032" s="612">
        <v>46163</v>
      </c>
      <c r="O1032" s="613"/>
      <c r="P1032" s="824" t="s">
        <v>113</v>
      </c>
      <c r="Q1032" s="730" t="s">
        <v>3902</v>
      </c>
      <c r="R1032" s="614">
        <v>46105</v>
      </c>
      <c r="S1032" s="614" t="s">
        <v>104</v>
      </c>
      <c r="T1032" s="614" t="s">
        <v>3897</v>
      </c>
      <c r="U1032" s="614"/>
      <c r="V1032" s="614"/>
      <c r="W1032" s="609"/>
      <c r="X1032" s="609" t="s">
        <v>3915</v>
      </c>
      <c r="Y1032" s="616" t="s">
        <v>1507</v>
      </c>
      <c r="Z1032" s="1345">
        <v>2.554</v>
      </c>
      <c r="AA1032" s="616">
        <f t="shared" si="351"/>
        <v>5547.288</v>
      </c>
      <c r="AB1032" s="554"/>
      <c r="AC1032" s="629" t="s">
        <v>3916</v>
      </c>
      <c r="AD1032" s="610" t="s">
        <v>68</v>
      </c>
      <c r="AE1032" s="610" t="s">
        <v>82</v>
      </c>
      <c r="AF1032" s="610"/>
      <c r="AG1032" s="610"/>
      <c r="AH1032" s="610">
        <v>1</v>
      </c>
      <c r="AI1032" s="610">
        <v>2172</v>
      </c>
      <c r="AJ1032" s="613">
        <f t="shared" si="339"/>
        <v>0</v>
      </c>
      <c r="AK1032" s="610"/>
      <c r="AL1032" s="610" t="s">
        <v>2368</v>
      </c>
      <c r="AM1032" s="554"/>
      <c r="AN1032" s="554">
        <f t="shared" si="348"/>
        <v>2172</v>
      </c>
      <c r="AO1032" s="554"/>
      <c r="AP1032" s="554"/>
      <c r="AQ1032" s="554"/>
      <c r="AR1032" s="554">
        <f t="shared" si="357"/>
        <v>2172</v>
      </c>
      <c r="AS1032" s="554"/>
      <c r="AT1032" s="554"/>
      <c r="AU1032" s="554">
        <f t="shared" si="352"/>
        <v>2172</v>
      </c>
      <c r="AV1032" s="554"/>
      <c r="AW1032" s="554">
        <f t="shared" si="353"/>
        <v>2172</v>
      </c>
      <c r="AX1032" s="714"/>
      <c r="AY1032" s="554"/>
      <c r="AZ1032" s="554"/>
      <c r="BA1032" s="554"/>
      <c r="BB1032" s="554"/>
      <c r="BC1032" s="554"/>
      <c r="BD1032" s="554"/>
      <c r="BE1032" s="554"/>
      <c r="BF1032" s="554"/>
      <c r="BG1032" s="554"/>
      <c r="BH1032" s="554"/>
      <c r="BI1032" s="554"/>
      <c r="BJ1032" s="554"/>
      <c r="BK1032" s="554"/>
      <c r="BL1032" s="554"/>
      <c r="BM1032" s="554"/>
      <c r="BN1032" s="554"/>
      <c r="BO1032" s="554"/>
      <c r="BP1032" s="554"/>
      <c r="BQ1032" s="554"/>
      <c r="BR1032" s="554"/>
      <c r="BS1032" s="554"/>
      <c r="BT1032" s="554"/>
      <c r="BU1032" s="554"/>
      <c r="BV1032" s="554"/>
      <c r="BW1032" s="554"/>
      <c r="BX1032" s="554"/>
      <c r="BY1032" s="554"/>
      <c r="BZ1032" s="554"/>
      <c r="CA1032" s="554"/>
      <c r="CB1032" s="554"/>
      <c r="CC1032" s="554"/>
      <c r="CD1032" s="554"/>
      <c r="CE1032" s="554"/>
      <c r="CF1032" s="554"/>
      <c r="CG1032" s="554"/>
      <c r="CH1032" s="619"/>
      <c r="CI1032" s="619"/>
      <c r="CJ1032" s="619"/>
      <c r="CK1032" s="619"/>
      <c r="CL1032" s="619"/>
      <c r="CM1032" s="554"/>
      <c r="CN1032" s="554"/>
      <c r="CO1032" s="554"/>
      <c r="CP1032" s="619"/>
      <c r="CQ1032" s="619"/>
      <c r="CR1032" s="619"/>
      <c r="CS1032" s="619"/>
      <c r="CT1032" s="619"/>
      <c r="CU1032" s="619"/>
    </row>
    <row r="1033" s="1265" customFormat="1" ht="31" customHeight="1" spans="1:99">
      <c r="A1033" s="608">
        <v>46122</v>
      </c>
      <c r="B1033" s="609" t="s">
        <v>143</v>
      </c>
      <c r="C1033" s="610" t="s">
        <v>98</v>
      </c>
      <c r="D1033" s="554" t="s">
        <v>3917</v>
      </c>
      <c r="E1033" s="610" t="s">
        <v>3918</v>
      </c>
      <c r="F1033" s="554" t="s">
        <v>3919</v>
      </c>
      <c r="G1033" s="623" t="s">
        <v>101</v>
      </c>
      <c r="H1033" s="610" t="s">
        <v>102</v>
      </c>
      <c r="I1033" s="610">
        <v>800</v>
      </c>
      <c r="J1033" s="610">
        <v>0</v>
      </c>
      <c r="K1033" s="610">
        <v>4</v>
      </c>
      <c r="L1033" s="611">
        <f t="shared" si="356"/>
        <v>200</v>
      </c>
      <c r="M1033" s="612">
        <v>46167</v>
      </c>
      <c r="N1033" s="612">
        <v>46163</v>
      </c>
      <c r="O1033" s="613" t="s">
        <v>362</v>
      </c>
      <c r="P1033" s="824" t="s">
        <v>113</v>
      </c>
      <c r="Q1033" s="614" t="s">
        <v>3902</v>
      </c>
      <c r="R1033" s="614" t="s">
        <v>3066</v>
      </c>
      <c r="S1033" s="614" t="s">
        <v>70</v>
      </c>
      <c r="T1033" s="614" t="s">
        <v>3920</v>
      </c>
      <c r="U1033" s="614"/>
      <c r="V1033" s="614"/>
      <c r="W1033" s="609"/>
      <c r="X1033" s="609" t="s">
        <v>3921</v>
      </c>
      <c r="Y1033" s="616" t="s">
        <v>106</v>
      </c>
      <c r="Z1033" s="625">
        <v>2.615</v>
      </c>
      <c r="AA1033" s="616">
        <f t="shared" si="351"/>
        <v>2092</v>
      </c>
      <c r="AB1033" s="554"/>
      <c r="AC1033" s="629" t="s">
        <v>3922</v>
      </c>
      <c r="AD1033" s="610" t="s">
        <v>101</v>
      </c>
      <c r="AE1033" s="610" t="s">
        <v>82</v>
      </c>
      <c r="AF1033" s="610"/>
      <c r="AG1033" s="610"/>
      <c r="AH1033" s="610">
        <v>1</v>
      </c>
      <c r="AI1033" s="610">
        <f>8+792</f>
        <v>800</v>
      </c>
      <c r="AJ1033" s="610">
        <f t="shared" si="339"/>
        <v>0</v>
      </c>
      <c r="AK1033" s="610"/>
      <c r="AL1033" s="610" t="s">
        <v>2368</v>
      </c>
      <c r="AM1033" s="554"/>
      <c r="AN1033" s="554">
        <f t="shared" si="348"/>
        <v>800</v>
      </c>
      <c r="AO1033" s="554"/>
      <c r="AP1033" s="554"/>
      <c r="AQ1033" s="554"/>
      <c r="AR1033" s="554">
        <f t="shared" si="357"/>
        <v>800</v>
      </c>
      <c r="AS1033" s="554"/>
      <c r="AT1033" s="554"/>
      <c r="AU1033" s="554">
        <f t="shared" si="352"/>
        <v>800</v>
      </c>
      <c r="AV1033" s="554"/>
      <c r="AW1033" s="554">
        <f t="shared" si="353"/>
        <v>800</v>
      </c>
      <c r="AX1033" s="714"/>
      <c r="AY1033" s="554"/>
      <c r="AZ1033" s="554"/>
      <c r="BA1033" s="554"/>
      <c r="BB1033" s="554"/>
      <c r="BC1033" s="554"/>
      <c r="BD1033" s="554"/>
      <c r="BE1033" s="554"/>
      <c r="BF1033" s="554"/>
      <c r="BG1033" s="554"/>
      <c r="BH1033" s="825">
        <f>I1033/4</f>
        <v>200</v>
      </c>
      <c r="BI1033" s="554"/>
      <c r="BJ1033" s="554"/>
      <c r="BK1033" s="554"/>
      <c r="BL1033" s="554"/>
      <c r="BM1033" s="554"/>
      <c r="BN1033" s="554"/>
      <c r="BO1033" s="554"/>
      <c r="BP1033" s="554"/>
      <c r="BQ1033" s="554"/>
      <c r="BR1033" s="554"/>
      <c r="BS1033" s="554"/>
      <c r="BT1033" s="554"/>
      <c r="BU1033" s="554"/>
      <c r="BV1033" s="554"/>
      <c r="BW1033" s="554"/>
      <c r="BX1033" s="554"/>
      <c r="BY1033" s="554"/>
      <c r="BZ1033" s="554"/>
      <c r="CA1033" s="554"/>
      <c r="CB1033" s="554"/>
      <c r="CC1033" s="554"/>
      <c r="CD1033" s="554"/>
      <c r="CE1033" s="554"/>
      <c r="CF1033" s="554"/>
      <c r="CG1033" s="554"/>
      <c r="CH1033" s="619"/>
      <c r="CI1033" s="619"/>
      <c r="CJ1033" s="619"/>
      <c r="CK1033" s="619"/>
      <c r="CL1033" s="619"/>
      <c r="CM1033" s="554"/>
      <c r="CN1033" s="554"/>
      <c r="CO1033" s="554"/>
      <c r="CP1033" s="619"/>
      <c r="CQ1033" s="619"/>
      <c r="CR1033" s="619"/>
      <c r="CS1033" s="619"/>
      <c r="CT1033" s="619"/>
      <c r="CU1033" s="619"/>
    </row>
    <row r="1034" s="1265" customFormat="1" ht="31" customHeight="1" spans="1:99">
      <c r="A1034" s="608">
        <v>46122</v>
      </c>
      <c r="B1034" s="609" t="s">
        <v>143</v>
      </c>
      <c r="C1034" s="610" t="s">
        <v>98</v>
      </c>
      <c r="D1034" s="554" t="s">
        <v>3917</v>
      </c>
      <c r="E1034" s="610" t="s">
        <v>3923</v>
      </c>
      <c r="F1034" s="554" t="s">
        <v>3924</v>
      </c>
      <c r="G1034" s="623" t="s">
        <v>101</v>
      </c>
      <c r="H1034" s="610" t="s">
        <v>102</v>
      </c>
      <c r="I1034" s="610">
        <v>4400</v>
      </c>
      <c r="J1034" s="610">
        <v>0</v>
      </c>
      <c r="K1034" s="610">
        <v>4</v>
      </c>
      <c r="L1034" s="611">
        <f t="shared" si="356"/>
        <v>1100</v>
      </c>
      <c r="M1034" s="612">
        <v>46167</v>
      </c>
      <c r="N1034" s="612">
        <v>46163</v>
      </c>
      <c r="O1034" s="613" t="s">
        <v>362</v>
      </c>
      <c r="P1034" s="824" t="s">
        <v>113</v>
      </c>
      <c r="Q1034" s="614"/>
      <c r="R1034" s="614" t="s">
        <v>3066</v>
      </c>
      <c r="S1034" s="614" t="s">
        <v>70</v>
      </c>
      <c r="T1034" s="614" t="s">
        <v>3920</v>
      </c>
      <c r="U1034" s="614"/>
      <c r="V1034" s="614"/>
      <c r="W1034" s="609"/>
      <c r="X1034" s="609" t="s">
        <v>3921</v>
      </c>
      <c r="Y1034" s="616" t="s">
        <v>106</v>
      </c>
      <c r="Z1034" s="625">
        <v>2.615</v>
      </c>
      <c r="AA1034" s="616">
        <f t="shared" si="351"/>
        <v>11506</v>
      </c>
      <c r="AB1034" s="554"/>
      <c r="AC1034" s="629" t="s">
        <v>3925</v>
      </c>
      <c r="AD1034" s="610" t="s">
        <v>101</v>
      </c>
      <c r="AE1034" s="610" t="s">
        <v>82</v>
      </c>
      <c r="AF1034" s="610"/>
      <c r="AG1034" s="610"/>
      <c r="AH1034" s="610">
        <v>1</v>
      </c>
      <c r="AI1034" s="610">
        <f>8+4392</f>
        <v>4400</v>
      </c>
      <c r="AJ1034" s="610">
        <f t="shared" ref="AJ1034:AJ1085" si="358">AI1034-I1034</f>
        <v>0</v>
      </c>
      <c r="AK1034" s="610"/>
      <c r="AL1034" s="610" t="s">
        <v>2368</v>
      </c>
      <c r="AM1034" s="554"/>
      <c r="AN1034" s="554">
        <f t="shared" si="348"/>
        <v>4400</v>
      </c>
      <c r="AO1034" s="554"/>
      <c r="AP1034" s="554"/>
      <c r="AQ1034" s="554"/>
      <c r="AR1034" s="554">
        <f t="shared" si="357"/>
        <v>4400</v>
      </c>
      <c r="AS1034" s="554"/>
      <c r="AT1034" s="554"/>
      <c r="AU1034" s="554">
        <f t="shared" si="352"/>
        <v>4400</v>
      </c>
      <c r="AV1034" s="554"/>
      <c r="AW1034" s="554">
        <f t="shared" si="353"/>
        <v>4400</v>
      </c>
      <c r="AX1034" s="714"/>
      <c r="AY1034" s="554"/>
      <c r="AZ1034" s="554"/>
      <c r="BA1034" s="554"/>
      <c r="BB1034" s="554"/>
      <c r="BC1034" s="554"/>
      <c r="BD1034" s="554"/>
      <c r="BE1034" s="554"/>
      <c r="BF1034" s="554"/>
      <c r="BG1034" s="554"/>
      <c r="BH1034" s="825">
        <f>I1034/4</f>
        <v>1100</v>
      </c>
      <c r="BI1034" s="554"/>
      <c r="BJ1034" s="554"/>
      <c r="BK1034" s="554"/>
      <c r="BL1034" s="554"/>
      <c r="BM1034" s="554"/>
      <c r="BN1034" s="554"/>
      <c r="BO1034" s="554"/>
      <c r="BP1034" s="554"/>
      <c r="BQ1034" s="554"/>
      <c r="BR1034" s="554"/>
      <c r="BS1034" s="554"/>
      <c r="BT1034" s="554"/>
      <c r="BU1034" s="554"/>
      <c r="BV1034" s="554"/>
      <c r="BW1034" s="554"/>
      <c r="BX1034" s="554"/>
      <c r="BY1034" s="554"/>
      <c r="BZ1034" s="554"/>
      <c r="CA1034" s="554"/>
      <c r="CB1034" s="554"/>
      <c r="CC1034" s="554"/>
      <c r="CD1034" s="554"/>
      <c r="CE1034" s="554"/>
      <c r="CF1034" s="554"/>
      <c r="CG1034" s="554"/>
      <c r="CH1034" s="619"/>
      <c r="CI1034" s="619"/>
      <c r="CJ1034" s="619"/>
      <c r="CK1034" s="619"/>
      <c r="CL1034" s="619"/>
      <c r="CM1034" s="554"/>
      <c r="CN1034" s="554"/>
      <c r="CO1034" s="554"/>
      <c r="CP1034" s="619"/>
      <c r="CQ1034" s="619"/>
      <c r="CR1034" s="619"/>
      <c r="CS1034" s="619"/>
      <c r="CT1034" s="619"/>
      <c r="CU1034" s="619"/>
    </row>
    <row r="1035" s="1265" customFormat="1" ht="31" customHeight="1" spans="1:99">
      <c r="A1035" s="608">
        <v>46122</v>
      </c>
      <c r="B1035" s="609" t="s">
        <v>143</v>
      </c>
      <c r="C1035" s="610" t="s">
        <v>98</v>
      </c>
      <c r="D1035" s="554" t="s">
        <v>3917</v>
      </c>
      <c r="E1035" s="610" t="s">
        <v>3926</v>
      </c>
      <c r="F1035" s="554" t="s">
        <v>3927</v>
      </c>
      <c r="G1035" s="623" t="s">
        <v>101</v>
      </c>
      <c r="H1035" s="610" t="s">
        <v>102</v>
      </c>
      <c r="I1035" s="610">
        <v>3200</v>
      </c>
      <c r="J1035" s="610">
        <v>0</v>
      </c>
      <c r="K1035" s="610">
        <v>4</v>
      </c>
      <c r="L1035" s="611">
        <f t="shared" si="356"/>
        <v>800</v>
      </c>
      <c r="M1035" s="612">
        <v>46167</v>
      </c>
      <c r="N1035" s="612">
        <v>46163</v>
      </c>
      <c r="O1035" s="613" t="s">
        <v>362</v>
      </c>
      <c r="P1035" s="824" t="s">
        <v>113</v>
      </c>
      <c r="Q1035" s="614"/>
      <c r="R1035" s="614" t="s">
        <v>3066</v>
      </c>
      <c r="S1035" s="614" t="s">
        <v>70</v>
      </c>
      <c r="T1035" s="614" t="s">
        <v>3920</v>
      </c>
      <c r="U1035" s="614"/>
      <c r="V1035" s="614"/>
      <c r="W1035" s="609"/>
      <c r="X1035" s="609" t="s">
        <v>3921</v>
      </c>
      <c r="Y1035" s="616" t="s">
        <v>106</v>
      </c>
      <c r="Z1035" s="625">
        <v>2.615</v>
      </c>
      <c r="AA1035" s="616">
        <f t="shared" si="351"/>
        <v>8368</v>
      </c>
      <c r="AB1035" s="554"/>
      <c r="AC1035" s="629" t="s">
        <v>3928</v>
      </c>
      <c r="AD1035" s="610" t="s">
        <v>101</v>
      </c>
      <c r="AE1035" s="610" t="s">
        <v>82</v>
      </c>
      <c r="AF1035" s="610"/>
      <c r="AG1035" s="610"/>
      <c r="AH1035" s="610">
        <v>1</v>
      </c>
      <c r="AI1035" s="610">
        <f>8+3192</f>
        <v>3200</v>
      </c>
      <c r="AJ1035" s="610">
        <f t="shared" si="358"/>
        <v>0</v>
      </c>
      <c r="AK1035" s="610"/>
      <c r="AL1035" s="610" t="s">
        <v>2368</v>
      </c>
      <c r="AM1035" s="554"/>
      <c r="AN1035" s="554">
        <f t="shared" si="348"/>
        <v>3200</v>
      </c>
      <c r="AO1035" s="554"/>
      <c r="AP1035" s="554"/>
      <c r="AQ1035" s="554"/>
      <c r="AR1035" s="554">
        <f t="shared" si="357"/>
        <v>3200</v>
      </c>
      <c r="AS1035" s="554"/>
      <c r="AT1035" s="554"/>
      <c r="AU1035" s="554">
        <f t="shared" si="352"/>
        <v>3200</v>
      </c>
      <c r="AV1035" s="554"/>
      <c r="AW1035" s="554">
        <f t="shared" si="353"/>
        <v>3200</v>
      </c>
      <c r="AX1035" s="714"/>
      <c r="AY1035" s="554"/>
      <c r="AZ1035" s="554"/>
      <c r="BA1035" s="554"/>
      <c r="BB1035" s="554"/>
      <c r="BC1035" s="554"/>
      <c r="BD1035" s="554"/>
      <c r="BE1035" s="554"/>
      <c r="BF1035" s="554"/>
      <c r="BG1035" s="554"/>
      <c r="BH1035" s="825">
        <f>I1035/4</f>
        <v>800</v>
      </c>
      <c r="BI1035" s="554"/>
      <c r="BJ1035" s="554"/>
      <c r="BK1035" s="554"/>
      <c r="BL1035" s="554"/>
      <c r="BM1035" s="554"/>
      <c r="BN1035" s="554"/>
      <c r="BO1035" s="554"/>
      <c r="BP1035" s="554"/>
      <c r="BQ1035" s="554"/>
      <c r="BR1035" s="554"/>
      <c r="BS1035" s="554"/>
      <c r="BT1035" s="554"/>
      <c r="BU1035" s="554"/>
      <c r="BV1035" s="554"/>
      <c r="BW1035" s="554"/>
      <c r="BX1035" s="554"/>
      <c r="BY1035" s="554"/>
      <c r="BZ1035" s="554"/>
      <c r="CA1035" s="554"/>
      <c r="CB1035" s="554"/>
      <c r="CC1035" s="554"/>
      <c r="CD1035" s="554"/>
      <c r="CE1035" s="554"/>
      <c r="CF1035" s="554"/>
      <c r="CG1035" s="554"/>
      <c r="CH1035" s="619"/>
      <c r="CI1035" s="619"/>
      <c r="CJ1035" s="619"/>
      <c r="CK1035" s="619"/>
      <c r="CL1035" s="619"/>
      <c r="CM1035" s="554"/>
      <c r="CN1035" s="554"/>
      <c r="CO1035" s="554"/>
      <c r="CP1035" s="619"/>
      <c r="CQ1035" s="619"/>
      <c r="CR1035" s="619"/>
      <c r="CS1035" s="619"/>
      <c r="CT1035" s="619"/>
      <c r="CU1035" s="619"/>
    </row>
    <row r="1036" s="1265" customFormat="1" ht="31" customHeight="1" spans="1:99">
      <c r="A1036" s="608">
        <v>46122</v>
      </c>
      <c r="B1036" s="609" t="s">
        <v>143</v>
      </c>
      <c r="C1036" s="610" t="s">
        <v>98</v>
      </c>
      <c r="D1036" s="554" t="s">
        <v>3917</v>
      </c>
      <c r="E1036" s="610" t="s">
        <v>3929</v>
      </c>
      <c r="F1036" s="554" t="s">
        <v>3930</v>
      </c>
      <c r="G1036" s="623" t="s">
        <v>101</v>
      </c>
      <c r="H1036" s="610" t="s">
        <v>102</v>
      </c>
      <c r="I1036" s="610">
        <v>800</v>
      </c>
      <c r="J1036" s="610">
        <v>0</v>
      </c>
      <c r="K1036" s="610">
        <v>4</v>
      </c>
      <c r="L1036" s="611">
        <f t="shared" si="356"/>
        <v>200</v>
      </c>
      <c r="M1036" s="612">
        <v>46167</v>
      </c>
      <c r="N1036" s="612">
        <v>46163</v>
      </c>
      <c r="O1036" s="613" t="s">
        <v>362</v>
      </c>
      <c r="P1036" s="824" t="s">
        <v>113</v>
      </c>
      <c r="Q1036" s="614"/>
      <c r="R1036" s="614" t="s">
        <v>3066</v>
      </c>
      <c r="S1036" s="614" t="s">
        <v>70</v>
      </c>
      <c r="T1036" s="614" t="s">
        <v>3920</v>
      </c>
      <c r="U1036" s="614"/>
      <c r="V1036" s="614"/>
      <c r="W1036" s="609"/>
      <c r="X1036" s="609" t="s">
        <v>3921</v>
      </c>
      <c r="Y1036" s="616" t="s">
        <v>106</v>
      </c>
      <c r="Z1036" s="625">
        <v>2.615</v>
      </c>
      <c r="AA1036" s="616">
        <f t="shared" si="351"/>
        <v>2092</v>
      </c>
      <c r="AB1036" s="554"/>
      <c r="AC1036" s="629" t="s">
        <v>3931</v>
      </c>
      <c r="AD1036" s="610" t="s">
        <v>101</v>
      </c>
      <c r="AE1036" s="610" t="s">
        <v>82</v>
      </c>
      <c r="AF1036" s="610"/>
      <c r="AG1036" s="610"/>
      <c r="AH1036" s="610">
        <v>1</v>
      </c>
      <c r="AI1036" s="610">
        <f>8+792</f>
        <v>800</v>
      </c>
      <c r="AJ1036" s="610">
        <f t="shared" si="358"/>
        <v>0</v>
      </c>
      <c r="AK1036" s="610"/>
      <c r="AL1036" s="610" t="s">
        <v>2368</v>
      </c>
      <c r="AM1036" s="554"/>
      <c r="AN1036" s="554">
        <f t="shared" si="348"/>
        <v>800</v>
      </c>
      <c r="AO1036" s="554"/>
      <c r="AP1036" s="554"/>
      <c r="AQ1036" s="554"/>
      <c r="AR1036" s="554">
        <f t="shared" si="357"/>
        <v>800</v>
      </c>
      <c r="AS1036" s="554"/>
      <c r="AT1036" s="554"/>
      <c r="AU1036" s="554">
        <f t="shared" si="352"/>
        <v>800</v>
      </c>
      <c r="AV1036" s="554"/>
      <c r="AW1036" s="554">
        <f t="shared" si="353"/>
        <v>800</v>
      </c>
      <c r="AX1036" s="714"/>
      <c r="AY1036" s="554"/>
      <c r="AZ1036" s="554"/>
      <c r="BA1036" s="554"/>
      <c r="BB1036" s="554"/>
      <c r="BC1036" s="554"/>
      <c r="BD1036" s="554"/>
      <c r="BE1036" s="554"/>
      <c r="BF1036" s="554"/>
      <c r="BG1036" s="554"/>
      <c r="BH1036" s="825">
        <f>I1036/4</f>
        <v>200</v>
      </c>
      <c r="BI1036" s="554"/>
      <c r="BJ1036" s="554"/>
      <c r="BK1036" s="554"/>
      <c r="BL1036" s="554"/>
      <c r="BM1036" s="554"/>
      <c r="BN1036" s="554"/>
      <c r="BO1036" s="554"/>
      <c r="BP1036" s="554"/>
      <c r="BQ1036" s="554"/>
      <c r="BR1036" s="554"/>
      <c r="BS1036" s="554"/>
      <c r="BT1036" s="554"/>
      <c r="BU1036" s="554"/>
      <c r="BV1036" s="554"/>
      <c r="BW1036" s="554"/>
      <c r="BX1036" s="554"/>
      <c r="BY1036" s="554"/>
      <c r="BZ1036" s="554"/>
      <c r="CA1036" s="554"/>
      <c r="CB1036" s="554"/>
      <c r="CC1036" s="554"/>
      <c r="CD1036" s="554"/>
      <c r="CE1036" s="554"/>
      <c r="CF1036" s="554"/>
      <c r="CG1036" s="554"/>
      <c r="CH1036" s="619"/>
      <c r="CI1036" s="619"/>
      <c r="CJ1036" s="619"/>
      <c r="CK1036" s="619"/>
      <c r="CL1036" s="619"/>
      <c r="CM1036" s="554"/>
      <c r="CN1036" s="554"/>
      <c r="CO1036" s="554"/>
      <c r="CP1036" s="619"/>
      <c r="CQ1036" s="619"/>
      <c r="CR1036" s="619"/>
      <c r="CS1036" s="619"/>
      <c r="CT1036" s="619"/>
      <c r="CU1036" s="619"/>
    </row>
    <row r="1037" s="1265" customFormat="1" ht="31" customHeight="1" spans="1:99">
      <c r="A1037" s="608">
        <v>46122</v>
      </c>
      <c r="B1037" s="609" t="s">
        <v>143</v>
      </c>
      <c r="C1037" s="610" t="s">
        <v>98</v>
      </c>
      <c r="D1037" s="554" t="s">
        <v>3917</v>
      </c>
      <c r="E1037" s="610" t="s">
        <v>3932</v>
      </c>
      <c r="F1037" s="554" t="s">
        <v>3933</v>
      </c>
      <c r="G1037" s="623" t="s">
        <v>101</v>
      </c>
      <c r="H1037" s="610" t="s">
        <v>102</v>
      </c>
      <c r="I1037" s="610">
        <v>4400</v>
      </c>
      <c r="J1037" s="610">
        <v>0</v>
      </c>
      <c r="K1037" s="610">
        <v>4</v>
      </c>
      <c r="L1037" s="611">
        <f t="shared" si="356"/>
        <v>1100</v>
      </c>
      <c r="M1037" s="612">
        <v>46167</v>
      </c>
      <c r="N1037" s="612">
        <v>46163</v>
      </c>
      <c r="O1037" s="613" t="s">
        <v>362</v>
      </c>
      <c r="P1037" s="824" t="s">
        <v>113</v>
      </c>
      <c r="Q1037" s="614"/>
      <c r="R1037" s="614" t="s">
        <v>3066</v>
      </c>
      <c r="S1037" s="614" t="s">
        <v>70</v>
      </c>
      <c r="T1037" s="614" t="s">
        <v>3920</v>
      </c>
      <c r="U1037" s="614"/>
      <c r="V1037" s="614"/>
      <c r="W1037" s="609"/>
      <c r="X1037" s="609" t="s">
        <v>3921</v>
      </c>
      <c r="Y1037" s="616" t="s">
        <v>106</v>
      </c>
      <c r="Z1037" s="625">
        <v>2.615</v>
      </c>
      <c r="AA1037" s="616">
        <f t="shared" si="351"/>
        <v>11506</v>
      </c>
      <c r="AB1037" s="554"/>
      <c r="AC1037" s="629" t="s">
        <v>3934</v>
      </c>
      <c r="AD1037" s="610" t="s">
        <v>101</v>
      </c>
      <c r="AE1037" s="610" t="s">
        <v>82</v>
      </c>
      <c r="AF1037" s="610"/>
      <c r="AG1037" s="610"/>
      <c r="AH1037" s="610">
        <v>1</v>
      </c>
      <c r="AI1037" s="610">
        <f>8+4392</f>
        <v>4400</v>
      </c>
      <c r="AJ1037" s="610">
        <f t="shared" si="358"/>
        <v>0</v>
      </c>
      <c r="AK1037" s="610"/>
      <c r="AL1037" s="610" t="s">
        <v>2368</v>
      </c>
      <c r="AM1037" s="554"/>
      <c r="AN1037" s="554">
        <f t="shared" si="348"/>
        <v>4400</v>
      </c>
      <c r="AO1037" s="554"/>
      <c r="AP1037" s="554"/>
      <c r="AQ1037" s="554"/>
      <c r="AR1037" s="554">
        <f t="shared" si="357"/>
        <v>4400</v>
      </c>
      <c r="AS1037" s="554"/>
      <c r="AT1037" s="554"/>
      <c r="AU1037" s="554">
        <f t="shared" si="352"/>
        <v>4400</v>
      </c>
      <c r="AV1037" s="554"/>
      <c r="AW1037" s="554">
        <f t="shared" si="353"/>
        <v>4400</v>
      </c>
      <c r="AX1037" s="714"/>
      <c r="AY1037" s="554"/>
      <c r="AZ1037" s="554"/>
      <c r="BA1037" s="554"/>
      <c r="BB1037" s="554"/>
      <c r="BC1037" s="554"/>
      <c r="BD1037" s="554"/>
      <c r="BE1037" s="554"/>
      <c r="BF1037" s="554"/>
      <c r="BG1037" s="554"/>
      <c r="BH1037" s="825">
        <f>I1037/4</f>
        <v>1100</v>
      </c>
      <c r="BI1037" s="554"/>
      <c r="BJ1037" s="554"/>
      <c r="BK1037" s="554"/>
      <c r="BL1037" s="554"/>
      <c r="BM1037" s="554"/>
      <c r="BN1037" s="554"/>
      <c r="BO1037" s="554"/>
      <c r="BP1037" s="554"/>
      <c r="BQ1037" s="554"/>
      <c r="BR1037" s="554"/>
      <c r="BS1037" s="554"/>
      <c r="BT1037" s="554"/>
      <c r="BU1037" s="554"/>
      <c r="BV1037" s="554"/>
      <c r="BW1037" s="554"/>
      <c r="BX1037" s="554"/>
      <c r="BY1037" s="554"/>
      <c r="BZ1037" s="554"/>
      <c r="CA1037" s="554"/>
      <c r="CB1037" s="554"/>
      <c r="CC1037" s="554"/>
      <c r="CD1037" s="554"/>
      <c r="CE1037" s="554"/>
      <c r="CF1037" s="554"/>
      <c r="CG1037" s="554"/>
      <c r="CH1037" s="619"/>
      <c r="CI1037" s="619"/>
      <c r="CJ1037" s="619"/>
      <c r="CK1037" s="619"/>
      <c r="CL1037" s="619"/>
      <c r="CM1037" s="554"/>
      <c r="CN1037" s="554"/>
      <c r="CO1037" s="554"/>
      <c r="CP1037" s="619"/>
      <c r="CQ1037" s="619"/>
      <c r="CR1037" s="619"/>
      <c r="CS1037" s="619"/>
      <c r="CT1037" s="619"/>
      <c r="CU1037" s="619"/>
    </row>
    <row r="1038" s="1265" customFormat="1" ht="31" customHeight="1" spans="1:99">
      <c r="A1038" s="608">
        <v>46105</v>
      </c>
      <c r="B1038" s="609" t="s">
        <v>1503</v>
      </c>
      <c r="C1038" s="610" t="s">
        <v>98</v>
      </c>
      <c r="D1038" s="554">
        <v>4500198303</v>
      </c>
      <c r="E1038" s="610" t="s">
        <v>3935</v>
      </c>
      <c r="F1038" s="554" t="s">
        <v>3936</v>
      </c>
      <c r="G1038" s="623" t="s">
        <v>68</v>
      </c>
      <c r="H1038" s="610" t="s">
        <v>69</v>
      </c>
      <c r="I1038" s="715">
        <v>3228</v>
      </c>
      <c r="J1038" s="610">
        <v>0</v>
      </c>
      <c r="K1038" s="610">
        <v>12</v>
      </c>
      <c r="L1038" s="611">
        <f t="shared" si="356"/>
        <v>269</v>
      </c>
      <c r="M1038" s="612">
        <v>46167</v>
      </c>
      <c r="N1038" s="612">
        <v>46163</v>
      </c>
      <c r="O1038" s="613"/>
      <c r="P1038" s="824" t="s">
        <v>113</v>
      </c>
      <c r="Q1038" s="730" t="s">
        <v>3902</v>
      </c>
      <c r="R1038" s="614">
        <v>46105</v>
      </c>
      <c r="S1038" s="614" t="s">
        <v>104</v>
      </c>
      <c r="T1038" s="614" t="s">
        <v>3897</v>
      </c>
      <c r="U1038" s="614"/>
      <c r="V1038" s="614"/>
      <c r="W1038" s="609"/>
      <c r="X1038" s="609" t="s">
        <v>3937</v>
      </c>
      <c r="Y1038" s="616" t="s">
        <v>1507</v>
      </c>
      <c r="Z1038" s="1345">
        <v>2.554</v>
      </c>
      <c r="AA1038" s="616">
        <f t="shared" si="351"/>
        <v>8244.312</v>
      </c>
      <c r="AB1038" s="554"/>
      <c r="AC1038" s="629" t="s">
        <v>3916</v>
      </c>
      <c r="AD1038" s="610" t="s">
        <v>68</v>
      </c>
      <c r="AE1038" s="610" t="s">
        <v>82</v>
      </c>
      <c r="AF1038" s="610"/>
      <c r="AG1038" s="610"/>
      <c r="AH1038" s="610">
        <v>1</v>
      </c>
      <c r="AI1038" s="610">
        <v>3228</v>
      </c>
      <c r="AJ1038" s="613">
        <f t="shared" si="358"/>
        <v>0</v>
      </c>
      <c r="AK1038" s="610"/>
      <c r="AL1038" s="610" t="s">
        <v>2368</v>
      </c>
      <c r="AM1038" s="554"/>
      <c r="AN1038" s="554">
        <f t="shared" si="348"/>
        <v>3228</v>
      </c>
      <c r="AO1038" s="554"/>
      <c r="AP1038" s="554"/>
      <c r="AQ1038" s="554"/>
      <c r="AR1038" s="554">
        <f t="shared" si="357"/>
        <v>3228</v>
      </c>
      <c r="AS1038" s="554"/>
      <c r="AT1038" s="554"/>
      <c r="AU1038" s="554">
        <f t="shared" si="352"/>
        <v>3228</v>
      </c>
      <c r="AV1038" s="554"/>
      <c r="AW1038" s="554">
        <f t="shared" si="353"/>
        <v>3228</v>
      </c>
      <c r="AX1038" s="714"/>
      <c r="AY1038" s="554"/>
      <c r="AZ1038" s="554"/>
      <c r="BA1038" s="554"/>
      <c r="BB1038" s="554"/>
      <c r="BC1038" s="554"/>
      <c r="BD1038" s="554"/>
      <c r="BE1038" s="554"/>
      <c r="BF1038" s="554"/>
      <c r="BG1038" s="554"/>
      <c r="BH1038" s="554"/>
      <c r="BI1038" s="554"/>
      <c r="BJ1038" s="554"/>
      <c r="BK1038" s="554"/>
      <c r="BL1038" s="554"/>
      <c r="BM1038" s="554"/>
      <c r="BN1038" s="554"/>
      <c r="BO1038" s="554"/>
      <c r="BP1038" s="554"/>
      <c r="BQ1038" s="554"/>
      <c r="BR1038" s="554"/>
      <c r="BS1038" s="554"/>
      <c r="BT1038" s="554"/>
      <c r="BU1038" s="554"/>
      <c r="BV1038" s="554"/>
      <c r="BW1038" s="554"/>
      <c r="BX1038" s="554"/>
      <c r="BY1038" s="554"/>
      <c r="BZ1038" s="554"/>
      <c r="CA1038" s="554"/>
      <c r="CB1038" s="554"/>
      <c r="CC1038" s="554"/>
      <c r="CD1038" s="554"/>
      <c r="CE1038" s="554"/>
      <c r="CF1038" s="554"/>
      <c r="CG1038" s="554"/>
      <c r="CH1038" s="619"/>
      <c r="CI1038" s="619"/>
      <c r="CJ1038" s="619"/>
      <c r="CK1038" s="619"/>
      <c r="CL1038" s="619"/>
      <c r="CM1038" s="554"/>
      <c r="CN1038" s="554"/>
      <c r="CO1038" s="554"/>
      <c r="CP1038" s="619"/>
      <c r="CQ1038" s="619"/>
      <c r="CR1038" s="619"/>
      <c r="CS1038" s="619"/>
      <c r="CT1038" s="619"/>
      <c r="CU1038" s="619"/>
    </row>
    <row r="1039" s="1265" customFormat="1" ht="31" customHeight="1" spans="1:99">
      <c r="A1039" s="608">
        <v>46115</v>
      </c>
      <c r="B1039" s="609" t="s">
        <v>606</v>
      </c>
      <c r="C1039" s="610" t="s">
        <v>399</v>
      </c>
      <c r="D1039" s="554">
        <v>4500200146</v>
      </c>
      <c r="E1039" s="731">
        <v>22362602</v>
      </c>
      <c r="F1039" s="554" t="s">
        <v>3938</v>
      </c>
      <c r="G1039" s="623" t="s">
        <v>68</v>
      </c>
      <c r="H1039" s="610" t="s">
        <v>69</v>
      </c>
      <c r="I1039" s="715">
        <v>1200</v>
      </c>
      <c r="J1039" s="610">
        <v>0</v>
      </c>
      <c r="K1039" s="610">
        <v>12</v>
      </c>
      <c r="L1039" s="611">
        <f t="shared" si="356"/>
        <v>100</v>
      </c>
      <c r="M1039" s="612">
        <v>46167</v>
      </c>
      <c r="N1039" s="612">
        <v>46163</v>
      </c>
      <c r="O1039" s="734" t="s">
        <v>3939</v>
      </c>
      <c r="P1039" s="824" t="s">
        <v>113</v>
      </c>
      <c r="Q1039" s="614">
        <v>46186</v>
      </c>
      <c r="R1039" s="614">
        <v>46126</v>
      </c>
      <c r="S1039" s="614" t="s">
        <v>70</v>
      </c>
      <c r="T1039" s="614" t="s">
        <v>3940</v>
      </c>
      <c r="U1039" s="614"/>
      <c r="V1039" s="609" t="s">
        <v>3941</v>
      </c>
      <c r="W1039" s="1265"/>
      <c r="X1039" s="738" t="s">
        <v>3942</v>
      </c>
      <c r="Y1039" s="616" t="s">
        <v>445</v>
      </c>
      <c r="Z1039" s="1345">
        <v>4.2622</v>
      </c>
      <c r="AA1039" s="616">
        <f t="shared" si="351"/>
        <v>5114.64</v>
      </c>
      <c r="AB1039" s="554"/>
      <c r="AC1039" s="617"/>
      <c r="AD1039" s="610" t="s">
        <v>184</v>
      </c>
      <c r="AE1039" s="610" t="s">
        <v>82</v>
      </c>
      <c r="AF1039" s="610"/>
      <c r="AG1039" s="610"/>
      <c r="AH1039" s="610">
        <v>1</v>
      </c>
      <c r="AI1039" s="610">
        <v>1200</v>
      </c>
      <c r="AJ1039" s="613">
        <f t="shared" si="358"/>
        <v>0</v>
      </c>
      <c r="AK1039" s="610"/>
      <c r="AL1039" s="610" t="s">
        <v>454</v>
      </c>
      <c r="AM1039" s="554"/>
      <c r="AN1039" s="554">
        <f t="shared" si="348"/>
        <v>1200</v>
      </c>
      <c r="AO1039" s="554"/>
      <c r="AP1039" s="554"/>
      <c r="AQ1039" s="554"/>
      <c r="AR1039" s="554"/>
      <c r="AS1039" s="554">
        <f>I1039</f>
        <v>1200</v>
      </c>
      <c r="AT1039" s="554"/>
      <c r="AU1039" s="554">
        <f t="shared" si="352"/>
        <v>1200</v>
      </c>
      <c r="AV1039" s="554"/>
      <c r="AW1039" s="554">
        <f t="shared" si="353"/>
        <v>1200</v>
      </c>
      <c r="AX1039" s="714"/>
      <c r="AY1039" s="554"/>
      <c r="AZ1039" s="554"/>
      <c r="BA1039" s="554"/>
      <c r="BB1039" s="554"/>
      <c r="BC1039" s="554"/>
      <c r="BD1039" s="554"/>
      <c r="BE1039" s="554"/>
      <c r="BF1039" s="554"/>
      <c r="BG1039" s="554"/>
      <c r="BH1039" s="554"/>
      <c r="BI1039" s="554"/>
      <c r="BJ1039" s="554"/>
      <c r="BK1039" s="554"/>
      <c r="BL1039" s="554"/>
      <c r="BM1039" s="554"/>
      <c r="BN1039" s="554"/>
      <c r="BO1039" s="554"/>
      <c r="BP1039" s="554"/>
      <c r="BQ1039" s="554"/>
      <c r="BR1039" s="554"/>
      <c r="BS1039" s="554"/>
      <c r="BT1039" s="554"/>
      <c r="BU1039" s="554"/>
      <c r="BV1039" s="554"/>
      <c r="BW1039" s="554"/>
      <c r="BX1039" s="554"/>
      <c r="BY1039" s="554"/>
      <c r="BZ1039" s="554"/>
      <c r="CA1039" s="554"/>
      <c r="CB1039" s="554"/>
      <c r="CC1039" s="554"/>
      <c r="CD1039" s="554"/>
      <c r="CE1039" s="554"/>
      <c r="CF1039" s="554"/>
      <c r="CG1039" s="554"/>
      <c r="CH1039" s="619"/>
      <c r="CI1039" s="619"/>
      <c r="CJ1039" s="619"/>
      <c r="CK1039" s="619"/>
      <c r="CL1039" s="619"/>
      <c r="CM1039" s="554"/>
      <c r="CN1039" s="554"/>
      <c r="CO1039" s="554"/>
      <c r="CP1039" s="619"/>
      <c r="CQ1039" s="619"/>
      <c r="CR1039" s="619"/>
      <c r="CS1039" s="619"/>
      <c r="CT1039" s="619"/>
      <c r="CU1039" s="619"/>
    </row>
    <row r="1040" s="1265" customFormat="1" ht="31" customHeight="1" spans="1:99">
      <c r="A1040" s="608">
        <v>46120</v>
      </c>
      <c r="B1040" s="609" t="s">
        <v>404</v>
      </c>
      <c r="C1040" s="610" t="s">
        <v>278</v>
      </c>
      <c r="D1040" s="554">
        <v>4500200368</v>
      </c>
      <c r="E1040" s="610">
        <v>412866</v>
      </c>
      <c r="F1040" s="554" t="s">
        <v>3943</v>
      </c>
      <c r="G1040" s="623" t="s">
        <v>68</v>
      </c>
      <c r="H1040" s="610" t="s">
        <v>69</v>
      </c>
      <c r="I1040" s="715">
        <v>1500</v>
      </c>
      <c r="J1040" s="610">
        <v>0</v>
      </c>
      <c r="K1040" s="610">
        <v>12</v>
      </c>
      <c r="L1040" s="611">
        <f t="shared" si="356"/>
        <v>125</v>
      </c>
      <c r="M1040" s="612">
        <v>46167</v>
      </c>
      <c r="N1040" s="612">
        <v>46163</v>
      </c>
      <c r="O1040" s="613"/>
      <c r="P1040" s="824" t="s">
        <v>113</v>
      </c>
      <c r="Q1040" s="614" t="s">
        <v>3944</v>
      </c>
      <c r="R1040" s="614">
        <v>46120</v>
      </c>
      <c r="S1040" s="614" t="s">
        <v>70</v>
      </c>
      <c r="T1040" s="614" t="s">
        <v>3945</v>
      </c>
      <c r="U1040" s="614"/>
      <c r="V1040" s="609" t="s">
        <v>3946</v>
      </c>
      <c r="W1040" s="609"/>
      <c r="X1040" s="738" t="s">
        <v>3947</v>
      </c>
      <c r="Y1040" s="616" t="s">
        <v>505</v>
      </c>
      <c r="Z1040" s="1345">
        <v>4.2622</v>
      </c>
      <c r="AA1040" s="616">
        <f t="shared" si="351"/>
        <v>6393.3</v>
      </c>
      <c r="AB1040" s="554"/>
      <c r="AC1040" s="617"/>
      <c r="AD1040" s="610" t="s">
        <v>68</v>
      </c>
      <c r="AE1040" s="610" t="s">
        <v>82</v>
      </c>
      <c r="AF1040" s="610"/>
      <c r="AG1040" s="610"/>
      <c r="AH1040" s="610">
        <v>1</v>
      </c>
      <c r="AI1040" s="610">
        <v>1500</v>
      </c>
      <c r="AJ1040" s="613">
        <f t="shared" si="358"/>
        <v>0</v>
      </c>
      <c r="AK1040" s="610"/>
      <c r="AL1040" s="610" t="s">
        <v>2368</v>
      </c>
      <c r="AM1040" s="554"/>
      <c r="AN1040" s="554">
        <f t="shared" si="348"/>
        <v>1500</v>
      </c>
      <c r="AO1040" s="554"/>
      <c r="AP1040" s="554"/>
      <c r="AQ1040" s="554"/>
      <c r="AR1040" s="554">
        <f>I1040</f>
        <v>1500</v>
      </c>
      <c r="AS1040" s="554"/>
      <c r="AT1040" s="554"/>
      <c r="AU1040" s="554">
        <f t="shared" si="352"/>
        <v>1500</v>
      </c>
      <c r="AV1040" s="554"/>
      <c r="AW1040" s="554">
        <f t="shared" si="353"/>
        <v>1500</v>
      </c>
      <c r="AX1040" s="714"/>
      <c r="AY1040" s="554"/>
      <c r="AZ1040" s="554"/>
      <c r="BA1040" s="554"/>
      <c r="BB1040" s="554"/>
      <c r="BC1040" s="554"/>
      <c r="BD1040" s="554"/>
      <c r="BE1040" s="554"/>
      <c r="BF1040" s="554"/>
      <c r="BG1040" s="554"/>
      <c r="BH1040" s="554"/>
      <c r="BI1040" s="554"/>
      <c r="BJ1040" s="554"/>
      <c r="BK1040" s="554"/>
      <c r="BL1040" s="554"/>
      <c r="BM1040" s="554"/>
      <c r="BN1040" s="554"/>
      <c r="BO1040" s="554"/>
      <c r="BP1040" s="554"/>
      <c r="BQ1040" s="554"/>
      <c r="BR1040" s="554"/>
      <c r="BS1040" s="554"/>
      <c r="BT1040" s="554"/>
      <c r="BU1040" s="554"/>
      <c r="BV1040" s="554"/>
      <c r="BW1040" s="554"/>
      <c r="BX1040" s="554"/>
      <c r="BY1040" s="554"/>
      <c r="BZ1040" s="554"/>
      <c r="CA1040" s="554"/>
      <c r="CB1040" s="554"/>
      <c r="CC1040" s="554"/>
      <c r="CD1040" s="554"/>
      <c r="CE1040" s="554"/>
      <c r="CF1040" s="554"/>
      <c r="CG1040" s="554"/>
      <c r="CH1040" s="619"/>
      <c r="CI1040" s="619"/>
      <c r="CJ1040" s="619"/>
      <c r="CK1040" s="619"/>
      <c r="CL1040" s="619"/>
      <c r="CM1040" s="554"/>
      <c r="CN1040" s="554"/>
      <c r="CO1040" s="554"/>
      <c r="CP1040" s="619"/>
      <c r="CQ1040" s="619"/>
      <c r="CR1040" s="619"/>
      <c r="CS1040" s="619"/>
      <c r="CT1040" s="619"/>
      <c r="CU1040" s="619"/>
    </row>
    <row r="1041" s="1265" customFormat="1" ht="31" customHeight="1" spans="1:99">
      <c r="A1041" s="608">
        <v>46105</v>
      </c>
      <c r="B1041" s="609" t="s">
        <v>1503</v>
      </c>
      <c r="C1041" s="610" t="s">
        <v>98</v>
      </c>
      <c r="D1041" s="554">
        <v>4500198303</v>
      </c>
      <c r="E1041" s="610" t="s">
        <v>3948</v>
      </c>
      <c r="F1041" s="554" t="s">
        <v>3949</v>
      </c>
      <c r="G1041" s="623" t="s">
        <v>68</v>
      </c>
      <c r="H1041" s="610" t="s">
        <v>69</v>
      </c>
      <c r="I1041" s="715">
        <v>1500</v>
      </c>
      <c r="J1041" s="610">
        <v>0</v>
      </c>
      <c r="K1041" s="610">
        <v>12</v>
      </c>
      <c r="L1041" s="611">
        <f t="shared" si="356"/>
        <v>125</v>
      </c>
      <c r="M1041" s="612">
        <v>46167</v>
      </c>
      <c r="N1041" s="612">
        <v>46163</v>
      </c>
      <c r="O1041" s="613"/>
      <c r="P1041" s="824" t="s">
        <v>113</v>
      </c>
      <c r="Q1041" s="730" t="s">
        <v>3902</v>
      </c>
      <c r="R1041" s="614">
        <v>46105</v>
      </c>
      <c r="S1041" s="614" t="s">
        <v>104</v>
      </c>
      <c r="T1041" s="614" t="s">
        <v>3897</v>
      </c>
      <c r="U1041" s="614"/>
      <c r="V1041" s="614"/>
      <c r="W1041" s="609"/>
      <c r="X1041" s="609" t="s">
        <v>3937</v>
      </c>
      <c r="Y1041" s="616" t="s">
        <v>1507</v>
      </c>
      <c r="Z1041" s="1345">
        <v>2.554</v>
      </c>
      <c r="AA1041" s="616">
        <f t="shared" si="351"/>
        <v>3831</v>
      </c>
      <c r="AB1041" s="554"/>
      <c r="AC1041" s="629" t="s">
        <v>3916</v>
      </c>
      <c r="AD1041" s="610" t="s">
        <v>68</v>
      </c>
      <c r="AE1041" s="610" t="s">
        <v>82</v>
      </c>
      <c r="AF1041" s="610"/>
      <c r="AG1041" s="610"/>
      <c r="AH1041" s="610">
        <v>1</v>
      </c>
      <c r="AI1041" s="610">
        <v>1500</v>
      </c>
      <c r="AJ1041" s="613">
        <f t="shared" si="358"/>
        <v>0</v>
      </c>
      <c r="AK1041" s="610"/>
      <c r="AL1041" s="610" t="s">
        <v>2368</v>
      </c>
      <c r="AM1041" s="554"/>
      <c r="AN1041" s="554">
        <f t="shared" si="348"/>
        <v>1500</v>
      </c>
      <c r="AO1041" s="554"/>
      <c r="AP1041" s="554"/>
      <c r="AQ1041" s="554"/>
      <c r="AR1041" s="554">
        <f>I1041</f>
        <v>1500</v>
      </c>
      <c r="AS1041" s="554"/>
      <c r="AT1041" s="554"/>
      <c r="AU1041" s="554">
        <f t="shared" si="352"/>
        <v>1500</v>
      </c>
      <c r="AV1041" s="554"/>
      <c r="AW1041" s="554">
        <f t="shared" si="353"/>
        <v>1500</v>
      </c>
      <c r="AX1041" s="714"/>
      <c r="AY1041" s="554"/>
      <c r="AZ1041" s="554"/>
      <c r="BA1041" s="554"/>
      <c r="BB1041" s="554"/>
      <c r="BC1041" s="554"/>
      <c r="BD1041" s="554"/>
      <c r="BE1041" s="554"/>
      <c r="BF1041" s="554"/>
      <c r="BG1041" s="554"/>
      <c r="BH1041" s="554"/>
      <c r="BI1041" s="554"/>
      <c r="BJ1041" s="554"/>
      <c r="BK1041" s="554"/>
      <c r="BL1041" s="554"/>
      <c r="BM1041" s="554"/>
      <c r="BN1041" s="554"/>
      <c r="BO1041" s="554"/>
      <c r="BP1041" s="554"/>
      <c r="BQ1041" s="554"/>
      <c r="BR1041" s="554"/>
      <c r="BS1041" s="554"/>
      <c r="BT1041" s="554"/>
      <c r="BU1041" s="554"/>
      <c r="BV1041" s="554"/>
      <c r="BW1041" s="554"/>
      <c r="BX1041" s="554"/>
      <c r="BY1041" s="554"/>
      <c r="BZ1041" s="554"/>
      <c r="CA1041" s="554"/>
      <c r="CB1041" s="554"/>
      <c r="CC1041" s="554"/>
      <c r="CD1041" s="554"/>
      <c r="CE1041" s="554"/>
      <c r="CF1041" s="554"/>
      <c r="CG1041" s="554"/>
      <c r="CH1041" s="619"/>
      <c r="CI1041" s="619"/>
      <c r="CJ1041" s="619"/>
      <c r="CK1041" s="619"/>
      <c r="CL1041" s="619"/>
      <c r="CM1041" s="554"/>
      <c r="CN1041" s="554"/>
      <c r="CO1041" s="554"/>
      <c r="CP1041" s="619"/>
      <c r="CQ1041" s="619"/>
      <c r="CR1041" s="619"/>
      <c r="CS1041" s="619"/>
      <c r="CT1041" s="619"/>
      <c r="CU1041" s="619"/>
    </row>
    <row r="1042" s="1265" customFormat="1" ht="31" customHeight="1" spans="1:99">
      <c r="A1042" s="608">
        <v>46101</v>
      </c>
      <c r="B1042" s="609" t="s">
        <v>3715</v>
      </c>
      <c r="C1042" s="610" t="s">
        <v>98</v>
      </c>
      <c r="D1042" s="554">
        <v>4500197812</v>
      </c>
      <c r="E1042" s="610">
        <v>41201446</v>
      </c>
      <c r="F1042" s="554" t="s">
        <v>3950</v>
      </c>
      <c r="G1042" s="623" t="s">
        <v>2624</v>
      </c>
      <c r="H1042" s="610" t="s">
        <v>2625</v>
      </c>
      <c r="I1042" s="610">
        <v>1760</v>
      </c>
      <c r="J1042" s="610">
        <v>0</v>
      </c>
      <c r="K1042" s="610">
        <v>8</v>
      </c>
      <c r="L1042" s="611">
        <f t="shared" si="356"/>
        <v>220</v>
      </c>
      <c r="M1042" s="612">
        <v>46167</v>
      </c>
      <c r="N1042" s="612">
        <v>46163</v>
      </c>
      <c r="O1042" s="613"/>
      <c r="P1042" s="824" t="s">
        <v>113</v>
      </c>
      <c r="Q1042" s="614"/>
      <c r="R1042" s="614">
        <v>46119</v>
      </c>
      <c r="S1042" s="614" t="s">
        <v>104</v>
      </c>
      <c r="T1042" s="614">
        <v>46113</v>
      </c>
      <c r="U1042" s="614"/>
      <c r="V1042" s="609" t="s">
        <v>3712</v>
      </c>
      <c r="W1042" s="609"/>
      <c r="X1042" s="738" t="s">
        <v>3713</v>
      </c>
      <c r="Y1042" s="616" t="s">
        <v>3717</v>
      </c>
      <c r="Z1042" s="1345">
        <v>2.5879</v>
      </c>
      <c r="AA1042" s="616">
        <f t="shared" si="351"/>
        <v>4554.704</v>
      </c>
      <c r="AB1042" s="554"/>
      <c r="AC1042" s="629" t="s">
        <v>3951</v>
      </c>
      <c r="AD1042" s="610" t="s">
        <v>2628</v>
      </c>
      <c r="AE1042" s="610" t="s">
        <v>82</v>
      </c>
      <c r="AF1042" s="610"/>
      <c r="AG1042" s="610"/>
      <c r="AH1042" s="610">
        <v>1</v>
      </c>
      <c r="AI1042" s="610">
        <v>1760</v>
      </c>
      <c r="AJ1042" s="610">
        <f t="shared" si="358"/>
        <v>0</v>
      </c>
      <c r="AK1042" s="610"/>
      <c r="AL1042" s="610" t="s">
        <v>2368</v>
      </c>
      <c r="AM1042" s="554"/>
      <c r="AN1042" s="554">
        <f t="shared" si="348"/>
        <v>1760</v>
      </c>
      <c r="AO1042" s="1325"/>
      <c r="AP1042" s="1325"/>
      <c r="AQ1042" s="1325"/>
      <c r="AR1042" s="554"/>
      <c r="AS1042" s="554">
        <f>I1042</f>
        <v>1760</v>
      </c>
      <c r="AT1042" s="554"/>
      <c r="AU1042" s="554">
        <f t="shared" si="352"/>
        <v>1760</v>
      </c>
      <c r="AV1042" s="554"/>
      <c r="AW1042" s="554">
        <f t="shared" si="353"/>
        <v>1760</v>
      </c>
      <c r="AX1042" s="714"/>
      <c r="AY1042" s="554"/>
      <c r="AZ1042" s="554"/>
      <c r="BA1042" s="554"/>
      <c r="BB1042" s="554"/>
      <c r="BC1042" s="554"/>
      <c r="BD1042" s="554"/>
      <c r="BE1042" s="554"/>
      <c r="BF1042" s="554"/>
      <c r="BG1042" s="554"/>
      <c r="BH1042" s="554"/>
      <c r="BI1042" s="554"/>
      <c r="BJ1042" s="554">
        <f>I1042/8</f>
        <v>220</v>
      </c>
      <c r="BK1042" s="554"/>
      <c r="BL1042" s="554"/>
      <c r="BM1042" s="554"/>
      <c r="BN1042" s="554"/>
      <c r="BO1042" s="554"/>
      <c r="BP1042" s="554"/>
      <c r="BQ1042" s="554"/>
      <c r="BR1042" s="554"/>
      <c r="BS1042" s="554"/>
      <c r="BT1042" s="554"/>
      <c r="BU1042" s="554"/>
      <c r="BV1042" s="554"/>
      <c r="BW1042" s="554"/>
      <c r="BX1042" s="554"/>
      <c r="BY1042" s="554"/>
      <c r="BZ1042" s="554"/>
      <c r="CA1042" s="554"/>
      <c r="CB1042" s="554"/>
      <c r="CC1042" s="554"/>
      <c r="CD1042" s="554"/>
      <c r="CE1042" s="554"/>
      <c r="CF1042" s="554"/>
      <c r="CG1042" s="554"/>
      <c r="CH1042" s="619"/>
      <c r="CI1042" s="619"/>
      <c r="CJ1042" s="619"/>
      <c r="CK1042" s="619"/>
      <c r="CL1042" s="619"/>
      <c r="CM1042" s="554"/>
      <c r="CN1042" s="554"/>
      <c r="CO1042" s="554"/>
      <c r="CP1042" s="619"/>
      <c r="CQ1042" s="619"/>
      <c r="CR1042" s="619"/>
      <c r="CS1042" s="619"/>
      <c r="CT1042" s="619"/>
      <c r="CU1042" s="619"/>
    </row>
    <row r="1043" s="1265" customFormat="1" ht="31" customHeight="1" spans="1:99">
      <c r="A1043" s="608">
        <v>46101</v>
      </c>
      <c r="B1043" s="609" t="s">
        <v>3715</v>
      </c>
      <c r="C1043" s="610" t="s">
        <v>98</v>
      </c>
      <c r="D1043" s="554">
        <v>4500197801</v>
      </c>
      <c r="E1043" s="610">
        <v>41201440</v>
      </c>
      <c r="F1043" s="554" t="s">
        <v>3952</v>
      </c>
      <c r="G1043" s="623" t="s">
        <v>2624</v>
      </c>
      <c r="H1043" s="610" t="s">
        <v>2625</v>
      </c>
      <c r="I1043" s="610">
        <v>976</v>
      </c>
      <c r="J1043" s="610">
        <v>0</v>
      </c>
      <c r="K1043" s="610">
        <v>8</v>
      </c>
      <c r="L1043" s="611">
        <f t="shared" si="356"/>
        <v>122</v>
      </c>
      <c r="M1043" s="612">
        <v>46167</v>
      </c>
      <c r="N1043" s="612">
        <v>46163</v>
      </c>
      <c r="O1043" s="613"/>
      <c r="P1043" s="824" t="s">
        <v>113</v>
      </c>
      <c r="Q1043" s="740" t="s">
        <v>3953</v>
      </c>
      <c r="R1043" s="614">
        <v>46119</v>
      </c>
      <c r="S1043" s="614" t="s">
        <v>104</v>
      </c>
      <c r="T1043" s="614">
        <v>46113</v>
      </c>
      <c r="U1043" s="614"/>
      <c r="V1043" s="609" t="s">
        <v>3712</v>
      </c>
      <c r="W1043" s="609"/>
      <c r="X1043" s="738" t="s">
        <v>3713</v>
      </c>
      <c r="Y1043" s="616" t="s">
        <v>3717</v>
      </c>
      <c r="Z1043" s="1345">
        <v>2.5879</v>
      </c>
      <c r="AA1043" s="616">
        <f t="shared" si="351"/>
        <v>2525.7904</v>
      </c>
      <c r="AB1043" s="554"/>
      <c r="AC1043" s="629" t="s">
        <v>3954</v>
      </c>
      <c r="AD1043" s="610" t="s">
        <v>2628</v>
      </c>
      <c r="AE1043" s="610" t="s">
        <v>82</v>
      </c>
      <c r="AF1043" s="610"/>
      <c r="AG1043" s="610"/>
      <c r="AH1043" s="610">
        <v>1</v>
      </c>
      <c r="AI1043" s="610">
        <v>976</v>
      </c>
      <c r="AJ1043" s="610">
        <f t="shared" si="358"/>
        <v>0</v>
      </c>
      <c r="AK1043" s="610"/>
      <c r="AL1043" s="610" t="s">
        <v>2368</v>
      </c>
      <c r="AM1043" s="554"/>
      <c r="AN1043" s="554">
        <f t="shared" si="348"/>
        <v>976</v>
      </c>
      <c r="AO1043" s="1325"/>
      <c r="AP1043" s="1325"/>
      <c r="AQ1043" s="1325"/>
      <c r="AR1043" s="554"/>
      <c r="AS1043" s="554">
        <f>I1043</f>
        <v>976</v>
      </c>
      <c r="AT1043" s="554"/>
      <c r="AU1043" s="554">
        <f t="shared" si="352"/>
        <v>976</v>
      </c>
      <c r="AV1043" s="554"/>
      <c r="AW1043" s="554">
        <f t="shared" si="353"/>
        <v>976</v>
      </c>
      <c r="AX1043" s="714"/>
      <c r="AY1043" s="554"/>
      <c r="AZ1043" s="554"/>
      <c r="BA1043" s="554"/>
      <c r="BB1043" s="554"/>
      <c r="BC1043" s="554"/>
      <c r="BD1043" s="554"/>
      <c r="BE1043" s="554"/>
      <c r="BF1043" s="554"/>
      <c r="BG1043" s="554"/>
      <c r="BH1043" s="554"/>
      <c r="BI1043" s="554"/>
      <c r="BJ1043" s="554">
        <f>I1043/8</f>
        <v>122</v>
      </c>
      <c r="BK1043" s="554"/>
      <c r="BL1043" s="554"/>
      <c r="BM1043" s="554"/>
      <c r="BN1043" s="554"/>
      <c r="BO1043" s="554"/>
      <c r="BP1043" s="554"/>
      <c r="BQ1043" s="554"/>
      <c r="BR1043" s="554"/>
      <c r="BS1043" s="554"/>
      <c r="BT1043" s="554"/>
      <c r="BU1043" s="554"/>
      <c r="BV1043" s="554"/>
      <c r="BW1043" s="554"/>
      <c r="BX1043" s="554"/>
      <c r="BY1043" s="554"/>
      <c r="BZ1043" s="554"/>
      <c r="CA1043" s="554"/>
      <c r="CB1043" s="554"/>
      <c r="CC1043" s="554"/>
      <c r="CD1043" s="554"/>
      <c r="CE1043" s="554"/>
      <c r="CF1043" s="554"/>
      <c r="CG1043" s="554"/>
      <c r="CH1043" s="619"/>
      <c r="CI1043" s="619"/>
      <c r="CJ1043" s="619"/>
      <c r="CK1043" s="619"/>
      <c r="CL1043" s="619"/>
      <c r="CM1043" s="554"/>
      <c r="CN1043" s="554"/>
      <c r="CO1043" s="554"/>
      <c r="CP1043" s="619"/>
      <c r="CQ1043" s="619"/>
      <c r="CR1043" s="619"/>
      <c r="CS1043" s="619"/>
      <c r="CT1043" s="619"/>
      <c r="CU1043" s="619"/>
    </row>
    <row r="1044" s="1265" customFormat="1" ht="31" customHeight="1" spans="1:99">
      <c r="A1044" s="608">
        <v>46126</v>
      </c>
      <c r="B1044" s="609" t="s">
        <v>135</v>
      </c>
      <c r="C1044" s="610" t="s">
        <v>128</v>
      </c>
      <c r="D1044" s="554">
        <v>4500197999</v>
      </c>
      <c r="E1044" s="610">
        <v>21528175</v>
      </c>
      <c r="F1044" s="554" t="s">
        <v>3955</v>
      </c>
      <c r="G1044" s="610" t="s">
        <v>518</v>
      </c>
      <c r="H1044" s="610" t="s">
        <v>477</v>
      </c>
      <c r="I1044" s="715">
        <v>3186</v>
      </c>
      <c r="J1044" s="610">
        <v>0</v>
      </c>
      <c r="K1044" s="610">
        <v>6</v>
      </c>
      <c r="L1044" s="611">
        <f t="shared" si="356"/>
        <v>531</v>
      </c>
      <c r="M1044" s="612">
        <v>46167</v>
      </c>
      <c r="N1044" s="612">
        <v>46163</v>
      </c>
      <c r="O1044" s="613"/>
      <c r="P1044" s="824" t="s">
        <v>113</v>
      </c>
      <c r="Q1044" s="614"/>
      <c r="R1044" s="614">
        <v>46138</v>
      </c>
      <c r="S1044" s="614" t="s">
        <v>104</v>
      </c>
      <c r="T1044" s="614" t="s">
        <v>3956</v>
      </c>
      <c r="U1044" s="614"/>
      <c r="V1044" s="614"/>
      <c r="W1044" s="609"/>
      <c r="X1044" s="609" t="s">
        <v>3957</v>
      </c>
      <c r="Y1044" s="616" t="s">
        <v>3206</v>
      </c>
      <c r="Z1044" s="625">
        <v>7.0744</v>
      </c>
      <c r="AA1044" s="616">
        <f t="shared" si="351"/>
        <v>22539.0384</v>
      </c>
      <c r="AB1044" s="554"/>
      <c r="AC1044" s="617"/>
      <c r="AD1044" s="610" t="s">
        <v>1306</v>
      </c>
      <c r="AE1044" s="610" t="s">
        <v>82</v>
      </c>
      <c r="AF1044" s="610"/>
      <c r="AG1044" s="610"/>
      <c r="AH1044" s="610">
        <v>1</v>
      </c>
      <c r="AI1044" s="610"/>
      <c r="AJ1044" s="610">
        <f t="shared" si="358"/>
        <v>-3186</v>
      </c>
      <c r="AK1044" s="610"/>
      <c r="AL1044" s="610"/>
      <c r="AM1044" s="554"/>
      <c r="AN1044" s="554">
        <f t="shared" si="348"/>
        <v>3186</v>
      </c>
      <c r="AO1044" s="554"/>
      <c r="AP1044" s="554"/>
      <c r="AQ1044" s="554"/>
      <c r="AR1044" s="554">
        <f>I1044</f>
        <v>3186</v>
      </c>
      <c r="AS1044" s="554"/>
      <c r="AT1044" s="554"/>
      <c r="AU1044" s="554">
        <f t="shared" si="352"/>
        <v>3186</v>
      </c>
      <c r="AV1044" s="554"/>
      <c r="AW1044" s="554">
        <f t="shared" si="353"/>
        <v>3186</v>
      </c>
      <c r="AX1044" s="714"/>
      <c r="AY1044" s="554"/>
      <c r="AZ1044" s="554"/>
      <c r="BA1044" s="554"/>
      <c r="BB1044" s="554"/>
      <c r="BC1044" s="554"/>
      <c r="BD1044" s="554"/>
      <c r="BE1044" s="554"/>
      <c r="BF1044" s="554"/>
      <c r="BG1044" s="554"/>
      <c r="BH1044" s="554"/>
      <c r="BI1044" s="554"/>
      <c r="BJ1044" s="554"/>
      <c r="BK1044" s="554"/>
      <c r="BL1044" s="554"/>
      <c r="BM1044" s="554"/>
      <c r="BN1044" s="554">
        <f>I1044</f>
        <v>3186</v>
      </c>
      <c r="BO1044" s="554"/>
      <c r="BP1044" s="554"/>
      <c r="BQ1044" s="554"/>
      <c r="BR1044" s="554"/>
      <c r="BS1044" s="554"/>
      <c r="BT1044" s="554"/>
      <c r="BU1044" s="554"/>
      <c r="BV1044" s="554"/>
      <c r="BW1044" s="554"/>
      <c r="BX1044" s="554"/>
      <c r="BY1044" s="554"/>
      <c r="BZ1044" s="554"/>
      <c r="CA1044" s="554"/>
      <c r="CB1044" s="554"/>
      <c r="CC1044" s="554"/>
      <c r="CD1044" s="554"/>
      <c r="CE1044" s="554"/>
      <c r="CF1044" s="554"/>
      <c r="CG1044" s="554"/>
      <c r="CH1044" s="619"/>
      <c r="CI1044" s="619"/>
      <c r="CJ1044" s="619"/>
      <c r="CK1044" s="619"/>
      <c r="CL1044" s="619"/>
      <c r="CM1044" s="554"/>
      <c r="CN1044" s="554"/>
      <c r="CO1044" s="554"/>
      <c r="CP1044" s="619"/>
      <c r="CQ1044" s="619"/>
      <c r="CR1044" s="619"/>
      <c r="CS1044" s="619"/>
      <c r="CT1044" s="619"/>
      <c r="CU1044" s="619"/>
    </row>
    <row r="1045" s="1265" customFormat="1" ht="31" customHeight="1" spans="1:99">
      <c r="A1045" s="608">
        <v>46126</v>
      </c>
      <c r="B1045" s="609" t="s">
        <v>139</v>
      </c>
      <c r="C1045" s="610" t="s">
        <v>76</v>
      </c>
      <c r="D1045" s="554">
        <v>4500198000</v>
      </c>
      <c r="E1045" s="610">
        <v>21528178</v>
      </c>
      <c r="F1045" s="554" t="s">
        <v>3958</v>
      </c>
      <c r="G1045" s="610" t="s">
        <v>518</v>
      </c>
      <c r="H1045" s="610" t="s">
        <v>477</v>
      </c>
      <c r="I1045" s="715">
        <v>318</v>
      </c>
      <c r="J1045" s="610">
        <v>0</v>
      </c>
      <c r="K1045" s="610">
        <v>6</v>
      </c>
      <c r="L1045" s="611">
        <f t="shared" si="356"/>
        <v>53</v>
      </c>
      <c r="M1045" s="612">
        <v>46167</v>
      </c>
      <c r="N1045" s="612">
        <v>46163</v>
      </c>
      <c r="O1045" s="613"/>
      <c r="P1045" s="824" t="s">
        <v>113</v>
      </c>
      <c r="Q1045" s="614"/>
      <c r="R1045" s="614">
        <v>46138</v>
      </c>
      <c r="S1045" s="614" t="s">
        <v>104</v>
      </c>
      <c r="T1045" s="614" t="s">
        <v>3956</v>
      </c>
      <c r="U1045" s="614"/>
      <c r="V1045" s="614"/>
      <c r="W1045" s="609"/>
      <c r="X1045" s="609" t="s">
        <v>3959</v>
      </c>
      <c r="Y1045" s="616" t="s">
        <v>3206</v>
      </c>
      <c r="Z1045" s="625">
        <v>7.6122</v>
      </c>
      <c r="AA1045" s="616">
        <f t="shared" si="351"/>
        <v>2420.6796</v>
      </c>
      <c r="AB1045" s="554"/>
      <c r="AC1045" s="617"/>
      <c r="AD1045" s="610" t="s">
        <v>1306</v>
      </c>
      <c r="AE1045" s="610" t="s">
        <v>82</v>
      </c>
      <c r="AF1045" s="610"/>
      <c r="AG1045" s="610"/>
      <c r="AH1045" s="610">
        <v>1</v>
      </c>
      <c r="AI1045" s="610"/>
      <c r="AJ1045" s="610">
        <f t="shared" si="358"/>
        <v>-318</v>
      </c>
      <c r="AK1045" s="610"/>
      <c r="AL1045" s="610"/>
      <c r="AM1045" s="554"/>
      <c r="AN1045" s="554">
        <f t="shared" si="348"/>
        <v>318</v>
      </c>
      <c r="AO1045" s="554"/>
      <c r="AP1045" s="554"/>
      <c r="AQ1045" s="554"/>
      <c r="AR1045" s="554">
        <f>I1045</f>
        <v>318</v>
      </c>
      <c r="AS1045" s="554"/>
      <c r="AT1045" s="554"/>
      <c r="AU1045" s="554">
        <f t="shared" si="352"/>
        <v>318</v>
      </c>
      <c r="AV1045" s="554"/>
      <c r="AW1045" s="554">
        <f t="shared" si="353"/>
        <v>318</v>
      </c>
      <c r="AX1045" s="714"/>
      <c r="AY1045" s="554"/>
      <c r="AZ1045" s="554"/>
      <c r="BA1045" s="554"/>
      <c r="BB1045" s="554"/>
      <c r="BC1045" s="554"/>
      <c r="BD1045" s="554"/>
      <c r="BE1045" s="554"/>
      <c r="BF1045" s="554"/>
      <c r="BG1045" s="554"/>
      <c r="BH1045" s="554"/>
      <c r="BI1045" s="554"/>
      <c r="BJ1045" s="554"/>
      <c r="BK1045" s="554"/>
      <c r="BL1045" s="554"/>
      <c r="BM1045" s="554"/>
      <c r="BN1045" s="554">
        <f>I1045</f>
        <v>318</v>
      </c>
      <c r="BO1045" s="554"/>
      <c r="BP1045" s="554"/>
      <c r="BQ1045" s="554"/>
      <c r="BR1045" s="554"/>
      <c r="BS1045" s="554"/>
      <c r="BT1045" s="554"/>
      <c r="BU1045" s="554"/>
      <c r="BV1045" s="554"/>
      <c r="BW1045" s="554"/>
      <c r="BX1045" s="554"/>
      <c r="BY1045" s="554"/>
      <c r="BZ1045" s="554"/>
      <c r="CA1045" s="554"/>
      <c r="CB1045" s="554"/>
      <c r="CC1045" s="554"/>
      <c r="CD1045" s="554"/>
      <c r="CE1045" s="554"/>
      <c r="CF1045" s="554"/>
      <c r="CG1045" s="554"/>
      <c r="CH1045" s="619"/>
      <c r="CI1045" s="619"/>
      <c r="CJ1045" s="619"/>
      <c r="CK1045" s="619"/>
      <c r="CL1045" s="619"/>
      <c r="CM1045" s="554"/>
      <c r="CN1045" s="554"/>
      <c r="CO1045" s="554"/>
      <c r="CP1045" s="619"/>
      <c r="CQ1045" s="619"/>
      <c r="CR1045" s="619"/>
      <c r="CS1045" s="619"/>
      <c r="CT1045" s="619"/>
      <c r="CU1045" s="619"/>
    </row>
    <row r="1046" s="1265" customFormat="1" ht="31" customHeight="1" spans="1:99">
      <c r="A1046" s="608">
        <v>46126</v>
      </c>
      <c r="B1046" s="609" t="s">
        <v>169</v>
      </c>
      <c r="C1046" s="610" t="s">
        <v>170</v>
      </c>
      <c r="D1046" s="554">
        <v>4500201690</v>
      </c>
      <c r="E1046" s="610">
        <v>993628080</v>
      </c>
      <c r="F1046" s="554" t="s">
        <v>3960</v>
      </c>
      <c r="G1046" s="610" t="s">
        <v>172</v>
      </c>
      <c r="H1046" s="610" t="s">
        <v>112</v>
      </c>
      <c r="I1046" s="715">
        <v>1600</v>
      </c>
      <c r="J1046" s="610">
        <v>0</v>
      </c>
      <c r="K1046" s="610">
        <v>2</v>
      </c>
      <c r="L1046" s="611">
        <f t="shared" si="356"/>
        <v>800</v>
      </c>
      <c r="M1046" s="612">
        <v>46167</v>
      </c>
      <c r="N1046" s="612">
        <v>46163</v>
      </c>
      <c r="O1046" s="723" t="s">
        <v>3961</v>
      </c>
      <c r="P1046" s="824" t="s">
        <v>113</v>
      </c>
      <c r="Q1046" s="614"/>
      <c r="R1046" s="614">
        <v>46126</v>
      </c>
      <c r="S1046" s="614" t="s">
        <v>70</v>
      </c>
      <c r="T1046" s="614" t="s">
        <v>3962</v>
      </c>
      <c r="U1046" s="614"/>
      <c r="V1046" s="614"/>
      <c r="W1046" s="609"/>
      <c r="X1046" s="609" t="s">
        <v>3963</v>
      </c>
      <c r="Y1046" s="616" t="s">
        <v>2071</v>
      </c>
      <c r="Z1046" s="625">
        <v>4.2745</v>
      </c>
      <c r="AA1046" s="616">
        <f t="shared" si="351"/>
        <v>6839.2</v>
      </c>
      <c r="AB1046" s="554"/>
      <c r="AC1046" s="617"/>
      <c r="AD1046" s="610" t="s">
        <v>172</v>
      </c>
      <c r="AE1046" s="610" t="s">
        <v>82</v>
      </c>
      <c r="AF1046" s="610"/>
      <c r="AG1046" s="610"/>
      <c r="AH1046" s="610">
        <v>1</v>
      </c>
      <c r="AI1046" s="610">
        <v>1600</v>
      </c>
      <c r="AJ1046" s="610">
        <f t="shared" si="358"/>
        <v>0</v>
      </c>
      <c r="AK1046" s="610"/>
      <c r="AL1046" s="610"/>
      <c r="AM1046" s="554"/>
      <c r="AN1046" s="554">
        <f t="shared" si="348"/>
        <v>1600</v>
      </c>
      <c r="AO1046" s="554"/>
      <c r="AP1046" s="554"/>
      <c r="AQ1046" s="554"/>
      <c r="AR1046" s="554"/>
      <c r="AS1046" s="554">
        <f>I1046</f>
        <v>1600</v>
      </c>
      <c r="AT1046" s="554"/>
      <c r="AU1046" s="554">
        <f t="shared" si="352"/>
        <v>1600</v>
      </c>
      <c r="AV1046" s="554"/>
      <c r="AW1046" s="554">
        <f t="shared" si="353"/>
        <v>1600</v>
      </c>
      <c r="AX1046" s="714"/>
      <c r="AY1046" s="554"/>
      <c r="AZ1046" s="554"/>
      <c r="BA1046" s="554"/>
      <c r="BB1046" s="554"/>
      <c r="BC1046" s="554"/>
      <c r="BD1046" s="554"/>
      <c r="BE1046" s="554"/>
      <c r="BF1046" s="554"/>
      <c r="BG1046" s="554"/>
      <c r="BH1046" s="554"/>
      <c r="BI1046" s="554"/>
      <c r="BJ1046" s="554"/>
      <c r="BK1046" s="554"/>
      <c r="BL1046" s="554"/>
      <c r="BM1046" s="554"/>
      <c r="BN1046" s="554"/>
      <c r="BO1046" s="554"/>
      <c r="BP1046" s="554"/>
      <c r="BQ1046" s="554"/>
      <c r="BR1046" s="554"/>
      <c r="BS1046" s="554"/>
      <c r="BT1046" s="554"/>
      <c r="BU1046" s="554"/>
      <c r="BV1046" s="554"/>
      <c r="BW1046" s="554"/>
      <c r="BX1046" s="554"/>
      <c r="BY1046" s="554"/>
      <c r="BZ1046" s="554"/>
      <c r="CA1046" s="554"/>
      <c r="CB1046" s="554"/>
      <c r="CC1046" s="554"/>
      <c r="CD1046" s="554"/>
      <c r="CE1046" s="554"/>
      <c r="CF1046" s="554"/>
      <c r="CG1046" s="554"/>
      <c r="CH1046" s="619"/>
      <c r="CI1046" s="619"/>
      <c r="CJ1046" s="619"/>
      <c r="CK1046" s="619"/>
      <c r="CL1046" s="619"/>
      <c r="CM1046" s="554"/>
      <c r="CN1046" s="554"/>
      <c r="CO1046" s="554"/>
      <c r="CP1046" s="619"/>
      <c r="CQ1046" s="619"/>
      <c r="CR1046" s="619"/>
      <c r="CS1046" s="619"/>
      <c r="CT1046" s="619"/>
      <c r="CU1046" s="619"/>
    </row>
    <row r="1047" s="1265" customFormat="1" ht="31" customHeight="1" spans="1:99">
      <c r="A1047" s="608">
        <v>46112</v>
      </c>
      <c r="B1047" s="609" t="s">
        <v>169</v>
      </c>
      <c r="C1047" s="610" t="s">
        <v>170</v>
      </c>
      <c r="D1047" s="554">
        <v>4500199432</v>
      </c>
      <c r="E1047" s="1419" t="s">
        <v>3964</v>
      </c>
      <c r="F1047" s="554" t="s">
        <v>3965</v>
      </c>
      <c r="G1047" s="610" t="s">
        <v>172</v>
      </c>
      <c r="H1047" s="610" t="s">
        <v>112</v>
      </c>
      <c r="I1047" s="715">
        <v>1600</v>
      </c>
      <c r="J1047" s="610">
        <v>0</v>
      </c>
      <c r="K1047" s="610">
        <v>2</v>
      </c>
      <c r="L1047" s="611">
        <f t="shared" si="356"/>
        <v>800</v>
      </c>
      <c r="M1047" s="612">
        <v>46168</v>
      </c>
      <c r="N1047" s="612">
        <v>46164</v>
      </c>
      <c r="O1047" s="740" t="s">
        <v>3966</v>
      </c>
      <c r="P1047" s="824" t="s">
        <v>113</v>
      </c>
      <c r="Q1047" s="614"/>
      <c r="R1047" s="614">
        <v>46112</v>
      </c>
      <c r="S1047" s="614" t="s">
        <v>70</v>
      </c>
      <c r="T1047" s="614" t="s">
        <v>3479</v>
      </c>
      <c r="U1047" s="614"/>
      <c r="V1047" s="614"/>
      <c r="W1047" s="609"/>
      <c r="X1047" s="609" t="s">
        <v>2070</v>
      </c>
      <c r="Y1047" s="616" t="s">
        <v>2071</v>
      </c>
      <c r="Z1047" s="625">
        <v>4.2184</v>
      </c>
      <c r="AA1047" s="616">
        <f t="shared" si="351"/>
        <v>6749.44</v>
      </c>
      <c r="AB1047" s="554"/>
      <c r="AC1047" s="617"/>
      <c r="AD1047" s="610" t="s">
        <v>172</v>
      </c>
      <c r="AE1047" s="610" t="s">
        <v>82</v>
      </c>
      <c r="AF1047" s="610"/>
      <c r="AG1047" s="610"/>
      <c r="AH1047" s="610">
        <v>1</v>
      </c>
      <c r="AI1047" s="610">
        <v>1600</v>
      </c>
      <c r="AJ1047" s="610">
        <f t="shared" si="358"/>
        <v>0</v>
      </c>
      <c r="AK1047" s="610"/>
      <c r="AL1047" s="610"/>
      <c r="AM1047" s="554"/>
      <c r="AN1047" s="554">
        <f t="shared" si="348"/>
        <v>1600</v>
      </c>
      <c r="AO1047" s="554"/>
      <c r="AP1047" s="554"/>
      <c r="AQ1047" s="554"/>
      <c r="AR1047" s="554"/>
      <c r="AS1047" s="554">
        <f t="shared" ref="AS1047:AS1062" si="359">I1047</f>
        <v>1600</v>
      </c>
      <c r="AT1047" s="554"/>
      <c r="AU1047" s="554">
        <f t="shared" si="352"/>
        <v>1600</v>
      </c>
      <c r="AV1047" s="554"/>
      <c r="AW1047" s="554">
        <f t="shared" si="353"/>
        <v>1600</v>
      </c>
      <c r="AX1047" s="714"/>
      <c r="AY1047" s="554"/>
      <c r="AZ1047" s="554"/>
      <c r="BA1047" s="554"/>
      <c r="BB1047" s="554"/>
      <c r="BC1047" s="554"/>
      <c r="BD1047" s="554"/>
      <c r="BE1047" s="554"/>
      <c r="BF1047" s="554"/>
      <c r="BG1047" s="554"/>
      <c r="BH1047" s="554"/>
      <c r="BI1047" s="554"/>
      <c r="BJ1047" s="554"/>
      <c r="BK1047" s="554"/>
      <c r="BL1047" s="554"/>
      <c r="BM1047" s="554"/>
      <c r="BN1047" s="554"/>
      <c r="BO1047" s="554"/>
      <c r="BP1047" s="554"/>
      <c r="BQ1047" s="554"/>
      <c r="BR1047" s="554"/>
      <c r="BS1047" s="554"/>
      <c r="BT1047" s="554"/>
      <c r="BU1047" s="554"/>
      <c r="BV1047" s="554"/>
      <c r="BW1047" s="554"/>
      <c r="BX1047" s="554"/>
      <c r="BY1047" s="554"/>
      <c r="BZ1047" s="554"/>
      <c r="CA1047" s="554"/>
      <c r="CB1047" s="554"/>
      <c r="CC1047" s="554"/>
      <c r="CD1047" s="554"/>
      <c r="CE1047" s="554"/>
      <c r="CF1047" s="554"/>
      <c r="CG1047" s="554"/>
      <c r="CH1047" s="619"/>
      <c r="CI1047" s="619"/>
      <c r="CJ1047" s="619"/>
      <c r="CK1047" s="619"/>
      <c r="CL1047" s="619"/>
      <c r="CM1047" s="554"/>
      <c r="CN1047" s="554"/>
      <c r="CO1047" s="554"/>
      <c r="CP1047" s="619"/>
      <c r="CQ1047" s="619"/>
      <c r="CR1047" s="619"/>
      <c r="CS1047" s="619"/>
      <c r="CT1047" s="619"/>
      <c r="CU1047" s="619"/>
    </row>
    <row r="1048" s="1265" customFormat="1" ht="31" customHeight="1" spans="1:99">
      <c r="A1048" s="608">
        <v>46106</v>
      </c>
      <c r="B1048" s="609" t="s">
        <v>1928</v>
      </c>
      <c r="C1048" s="610" t="s">
        <v>424</v>
      </c>
      <c r="D1048" s="554">
        <v>4500198350</v>
      </c>
      <c r="E1048" s="610">
        <v>160695</v>
      </c>
      <c r="F1048" s="554" t="s">
        <v>3967</v>
      </c>
      <c r="G1048" s="623" t="s">
        <v>101</v>
      </c>
      <c r="H1048" s="610" t="s">
        <v>102</v>
      </c>
      <c r="I1048" s="610">
        <v>500</v>
      </c>
      <c r="J1048" s="610">
        <v>0</v>
      </c>
      <c r="K1048" s="610">
        <v>4</v>
      </c>
      <c r="L1048" s="611">
        <f t="shared" si="356"/>
        <v>125</v>
      </c>
      <c r="M1048" s="612">
        <v>46168</v>
      </c>
      <c r="N1048" s="612">
        <v>46164</v>
      </c>
      <c r="O1048" s="613"/>
      <c r="P1048" s="824" t="s">
        <v>113</v>
      </c>
      <c r="Q1048" s="614"/>
      <c r="R1048" s="614">
        <v>46129</v>
      </c>
      <c r="S1048" s="614" t="s">
        <v>70</v>
      </c>
      <c r="T1048" s="614" t="s">
        <v>3968</v>
      </c>
      <c r="U1048" s="614"/>
      <c r="V1048" s="614"/>
      <c r="W1048" s="609"/>
      <c r="X1048" s="609" t="s">
        <v>3969</v>
      </c>
      <c r="Y1048" s="616" t="s">
        <v>696</v>
      </c>
      <c r="Z1048" s="1345">
        <v>4.4032</v>
      </c>
      <c r="AA1048" s="616">
        <f t="shared" si="351"/>
        <v>2201.6</v>
      </c>
      <c r="AB1048" s="554"/>
      <c r="AC1048" s="617"/>
      <c r="AD1048" s="610" t="s">
        <v>156</v>
      </c>
      <c r="AE1048" s="610" t="s">
        <v>82</v>
      </c>
      <c r="AF1048" s="610"/>
      <c r="AG1048" s="610"/>
      <c r="AH1048" s="610">
        <v>1</v>
      </c>
      <c r="AI1048" s="610">
        <v>500</v>
      </c>
      <c r="AJ1048" s="610">
        <f t="shared" si="358"/>
        <v>0</v>
      </c>
      <c r="AK1048" s="610"/>
      <c r="AL1048" s="610" t="s">
        <v>2368</v>
      </c>
      <c r="AM1048" s="554"/>
      <c r="AN1048" s="554">
        <f t="shared" si="348"/>
        <v>500</v>
      </c>
      <c r="AO1048" s="554"/>
      <c r="AP1048" s="554"/>
      <c r="AQ1048" s="554"/>
      <c r="AR1048" s="554"/>
      <c r="AS1048" s="554">
        <f t="shared" si="359"/>
        <v>500</v>
      </c>
      <c r="AT1048" s="554"/>
      <c r="AU1048" s="554">
        <f t="shared" si="352"/>
        <v>500</v>
      </c>
      <c r="AV1048" s="554"/>
      <c r="AW1048" s="554">
        <f t="shared" si="353"/>
        <v>500</v>
      </c>
      <c r="AX1048" s="714"/>
      <c r="AY1048" s="554"/>
      <c r="AZ1048" s="554"/>
      <c r="BA1048" s="554"/>
      <c r="BB1048" s="554"/>
      <c r="BC1048" s="554"/>
      <c r="BD1048" s="554"/>
      <c r="BE1048" s="554"/>
      <c r="BF1048" s="554"/>
      <c r="BG1048" s="554"/>
      <c r="BH1048" s="554"/>
      <c r="BI1048" s="554">
        <f>I1048/4</f>
        <v>125</v>
      </c>
      <c r="BJ1048" s="554"/>
      <c r="BK1048" s="554"/>
      <c r="BL1048" s="554"/>
      <c r="BM1048" s="554"/>
      <c r="BN1048" s="554"/>
      <c r="BO1048" s="554"/>
      <c r="BP1048" s="554"/>
      <c r="BQ1048" s="554"/>
      <c r="BR1048" s="554"/>
      <c r="BS1048" s="554"/>
      <c r="BT1048" s="554"/>
      <c r="BU1048" s="554"/>
      <c r="BV1048" s="554"/>
      <c r="BW1048" s="554"/>
      <c r="BX1048" s="554"/>
      <c r="BY1048" s="554"/>
      <c r="BZ1048" s="554"/>
      <c r="CA1048" s="554"/>
      <c r="CB1048" s="554"/>
      <c r="CC1048" s="554"/>
      <c r="CD1048" s="554"/>
      <c r="CE1048" s="554"/>
      <c r="CF1048" s="554"/>
      <c r="CG1048" s="554"/>
      <c r="CH1048" s="619"/>
      <c r="CI1048" s="619"/>
      <c r="CJ1048" s="619"/>
      <c r="CK1048" s="619"/>
      <c r="CL1048" s="619"/>
      <c r="CM1048" s="554"/>
      <c r="CN1048" s="554"/>
      <c r="CO1048" s="554"/>
      <c r="CP1048" s="619"/>
      <c r="CQ1048" s="619"/>
      <c r="CR1048" s="619"/>
      <c r="CS1048" s="619"/>
      <c r="CT1048" s="619"/>
      <c r="CU1048" s="619"/>
    </row>
    <row r="1049" s="1265" customFormat="1" ht="31" customHeight="1" spans="1:99">
      <c r="A1049" s="1344">
        <v>46098</v>
      </c>
      <c r="B1049" s="609" t="s">
        <v>3970</v>
      </c>
      <c r="C1049" s="610" t="s">
        <v>524</v>
      </c>
      <c r="D1049" s="554">
        <v>4500197125</v>
      </c>
      <c r="E1049" s="610" t="s">
        <v>3971</v>
      </c>
      <c r="F1049" s="1325" t="s">
        <v>3972</v>
      </c>
      <c r="G1049" s="623" t="s">
        <v>68</v>
      </c>
      <c r="H1049" s="610" t="s">
        <v>69</v>
      </c>
      <c r="I1049" s="610">
        <v>1188</v>
      </c>
      <c r="J1049" s="610">
        <v>0</v>
      </c>
      <c r="K1049" s="610">
        <v>12</v>
      </c>
      <c r="L1049" s="611">
        <f t="shared" si="356"/>
        <v>99</v>
      </c>
      <c r="M1049" s="612">
        <v>46168</v>
      </c>
      <c r="N1049" s="612">
        <v>46164</v>
      </c>
      <c r="O1049" s="613"/>
      <c r="P1049" s="824" t="s">
        <v>113</v>
      </c>
      <c r="Q1049" s="610"/>
      <c r="R1049" s="614">
        <v>46132</v>
      </c>
      <c r="S1049" s="614" t="s">
        <v>70</v>
      </c>
      <c r="T1049" s="614" t="s">
        <v>3973</v>
      </c>
      <c r="U1049" s="614"/>
      <c r="V1049" s="614"/>
      <c r="W1049" s="614"/>
      <c r="X1049" s="609" t="s">
        <v>3974</v>
      </c>
      <c r="Y1049" s="612" t="s">
        <v>3975</v>
      </c>
      <c r="Z1049" s="1345">
        <v>4.2622</v>
      </c>
      <c r="AA1049" s="616">
        <f t="shared" si="351"/>
        <v>5063.4936</v>
      </c>
      <c r="AB1049" s="554"/>
      <c r="AC1049" s="617"/>
      <c r="AD1049" s="610" t="s">
        <v>184</v>
      </c>
      <c r="AE1049" s="610" t="s">
        <v>82</v>
      </c>
      <c r="AF1049" s="610"/>
      <c r="AG1049" s="610"/>
      <c r="AH1049" s="610">
        <v>1</v>
      </c>
      <c r="AI1049" s="613">
        <v>1188</v>
      </c>
      <c r="AJ1049" s="613">
        <f t="shared" si="358"/>
        <v>0</v>
      </c>
      <c r="AK1049" s="610"/>
      <c r="AL1049" s="610" t="s">
        <v>2368</v>
      </c>
      <c r="AM1049" s="610"/>
      <c r="AN1049" s="554">
        <f t="shared" si="348"/>
        <v>1188</v>
      </c>
      <c r="AO1049" s="554"/>
      <c r="AP1049" s="554"/>
      <c r="AQ1049" s="554"/>
      <c r="AR1049" s="554"/>
      <c r="AS1049" s="554">
        <f t="shared" si="359"/>
        <v>1188</v>
      </c>
      <c r="AT1049" s="554"/>
      <c r="AU1049" s="554">
        <f t="shared" si="352"/>
        <v>1188</v>
      </c>
      <c r="AV1049" s="554"/>
      <c r="AW1049" s="554">
        <f t="shared" si="353"/>
        <v>1188</v>
      </c>
      <c r="AX1049" s="554"/>
      <c r="AY1049" s="1325"/>
      <c r="AZ1049" s="1325"/>
      <c r="BA1049" s="1325"/>
      <c r="BB1049" s="554"/>
      <c r="BC1049" s="554"/>
      <c r="BD1049" s="554"/>
      <c r="BE1049" s="554"/>
      <c r="BF1049" s="554"/>
      <c r="BG1049" s="554"/>
      <c r="BH1049" s="554"/>
      <c r="BI1049" s="554"/>
      <c r="BJ1049" s="554"/>
      <c r="BK1049" s="554"/>
      <c r="BL1049" s="554"/>
      <c r="BM1049" s="554"/>
      <c r="BN1049" s="554"/>
      <c r="BO1049" s="554"/>
      <c r="BP1049" s="554"/>
      <c r="BQ1049" s="554"/>
      <c r="BR1049" s="554"/>
      <c r="BS1049" s="554"/>
      <c r="BT1049" s="554"/>
      <c r="BU1049" s="554"/>
      <c r="BV1049" s="554"/>
      <c r="BW1049" s="554"/>
      <c r="BX1049" s="554"/>
      <c r="BY1049" s="554"/>
      <c r="BZ1049" s="554"/>
      <c r="CA1049" s="554"/>
      <c r="CB1049" s="554"/>
      <c r="CC1049" s="554"/>
      <c r="CD1049" s="554"/>
      <c r="CE1049" s="554"/>
      <c r="CF1049" s="554"/>
      <c r="CG1049" s="554"/>
      <c r="CH1049" s="619"/>
      <c r="CI1049" s="619"/>
      <c r="CJ1049" s="619"/>
      <c r="CK1049" s="619"/>
      <c r="CL1049" s="619"/>
      <c r="CM1049" s="554"/>
      <c r="CN1049" s="554"/>
      <c r="CO1049" s="554"/>
      <c r="CP1049" s="619"/>
      <c r="CQ1049" s="619"/>
      <c r="CR1049" s="619"/>
      <c r="CS1049" s="619"/>
      <c r="CT1049" s="619"/>
      <c r="CU1049" s="619"/>
    </row>
    <row r="1050" s="1265" customFormat="1" ht="31" customHeight="1" spans="1:99">
      <c r="A1050" s="1344">
        <v>46098</v>
      </c>
      <c r="B1050" s="609" t="s">
        <v>3970</v>
      </c>
      <c r="C1050" s="610" t="s">
        <v>524</v>
      </c>
      <c r="D1050" s="554">
        <v>4500197160</v>
      </c>
      <c r="E1050" s="610" t="s">
        <v>3976</v>
      </c>
      <c r="F1050" s="1325" t="s">
        <v>3977</v>
      </c>
      <c r="G1050" s="623" t="s">
        <v>68</v>
      </c>
      <c r="H1050" s="610" t="s">
        <v>69</v>
      </c>
      <c r="I1050" s="610">
        <v>336</v>
      </c>
      <c r="J1050" s="610">
        <v>0</v>
      </c>
      <c r="K1050" s="610">
        <v>12</v>
      </c>
      <c r="L1050" s="611">
        <f t="shared" si="356"/>
        <v>28</v>
      </c>
      <c r="M1050" s="612">
        <v>46168</v>
      </c>
      <c r="N1050" s="612">
        <v>46164</v>
      </c>
      <c r="O1050" s="613"/>
      <c r="P1050" s="824" t="s">
        <v>113</v>
      </c>
      <c r="Q1050" s="610"/>
      <c r="R1050" s="614">
        <v>46132</v>
      </c>
      <c r="S1050" s="614" t="s">
        <v>70</v>
      </c>
      <c r="T1050" s="614" t="s">
        <v>3973</v>
      </c>
      <c r="U1050" s="614"/>
      <c r="V1050" s="614"/>
      <c r="W1050" s="614"/>
      <c r="X1050" s="609" t="s">
        <v>3974</v>
      </c>
      <c r="Y1050" s="612" t="s">
        <v>3975</v>
      </c>
      <c r="Z1050" s="1345">
        <v>4.2622</v>
      </c>
      <c r="AA1050" s="616">
        <f t="shared" si="351"/>
        <v>1432.0992</v>
      </c>
      <c r="AB1050" s="554"/>
      <c r="AC1050" s="617"/>
      <c r="AD1050" s="610" t="s">
        <v>184</v>
      </c>
      <c r="AE1050" s="610" t="s">
        <v>82</v>
      </c>
      <c r="AF1050" s="610"/>
      <c r="AG1050" s="610"/>
      <c r="AH1050" s="610">
        <v>1</v>
      </c>
      <c r="AI1050" s="613">
        <v>336</v>
      </c>
      <c r="AJ1050" s="613">
        <f t="shared" si="358"/>
        <v>0</v>
      </c>
      <c r="AK1050" s="610"/>
      <c r="AL1050" s="610" t="s">
        <v>454</v>
      </c>
      <c r="AM1050" s="610"/>
      <c r="AN1050" s="554">
        <f t="shared" si="348"/>
        <v>336</v>
      </c>
      <c r="AO1050" s="554"/>
      <c r="AP1050" s="554"/>
      <c r="AQ1050" s="554"/>
      <c r="AR1050" s="554"/>
      <c r="AS1050" s="554">
        <f t="shared" si="359"/>
        <v>336</v>
      </c>
      <c r="AT1050" s="554"/>
      <c r="AU1050" s="554">
        <f t="shared" si="352"/>
        <v>336</v>
      </c>
      <c r="AV1050" s="554"/>
      <c r="AW1050" s="554">
        <f t="shared" si="353"/>
        <v>336</v>
      </c>
      <c r="AX1050" s="554"/>
      <c r="AY1050" s="1325"/>
      <c r="AZ1050" s="1325"/>
      <c r="BA1050" s="1325"/>
      <c r="BB1050" s="554"/>
      <c r="BC1050" s="554"/>
      <c r="BD1050" s="554"/>
      <c r="BE1050" s="554"/>
      <c r="BF1050" s="554"/>
      <c r="BG1050" s="554"/>
      <c r="BH1050" s="554"/>
      <c r="BI1050" s="554"/>
      <c r="BJ1050" s="554"/>
      <c r="BK1050" s="554"/>
      <c r="BL1050" s="554"/>
      <c r="BM1050" s="554"/>
      <c r="BN1050" s="554"/>
      <c r="BO1050" s="554"/>
      <c r="BP1050" s="554"/>
      <c r="BQ1050" s="554"/>
      <c r="BR1050" s="554"/>
      <c r="BS1050" s="554"/>
      <c r="BT1050" s="554"/>
      <c r="BU1050" s="554"/>
      <c r="BV1050" s="554"/>
      <c r="BW1050" s="554"/>
      <c r="BX1050" s="554"/>
      <c r="BY1050" s="554"/>
      <c r="BZ1050" s="554"/>
      <c r="CA1050" s="554"/>
      <c r="CB1050" s="554"/>
      <c r="CC1050" s="554"/>
      <c r="CD1050" s="554"/>
      <c r="CE1050" s="554"/>
      <c r="CF1050" s="554"/>
      <c r="CG1050" s="554"/>
      <c r="CH1050" s="619"/>
      <c r="CI1050" s="619"/>
      <c r="CJ1050" s="619"/>
      <c r="CK1050" s="619"/>
      <c r="CL1050" s="619"/>
      <c r="CM1050" s="554"/>
      <c r="CN1050" s="554"/>
      <c r="CO1050" s="554"/>
      <c r="CP1050" s="619"/>
      <c r="CQ1050" s="619"/>
      <c r="CR1050" s="619"/>
      <c r="CS1050" s="619"/>
      <c r="CT1050" s="619"/>
      <c r="CU1050" s="619"/>
    </row>
    <row r="1051" s="1265" customFormat="1" ht="31" customHeight="1" spans="1:99">
      <c r="A1051" s="1344">
        <v>46098</v>
      </c>
      <c r="B1051" s="609" t="s">
        <v>3970</v>
      </c>
      <c r="C1051" s="610" t="s">
        <v>524</v>
      </c>
      <c r="D1051" s="554">
        <v>4500197152</v>
      </c>
      <c r="E1051" s="610" t="s">
        <v>3978</v>
      </c>
      <c r="F1051" s="1325" t="s">
        <v>3979</v>
      </c>
      <c r="G1051" s="623" t="s">
        <v>68</v>
      </c>
      <c r="H1051" s="610" t="s">
        <v>69</v>
      </c>
      <c r="I1051" s="610">
        <v>276</v>
      </c>
      <c r="J1051" s="610">
        <v>0</v>
      </c>
      <c r="K1051" s="610">
        <v>12</v>
      </c>
      <c r="L1051" s="611">
        <f t="shared" si="356"/>
        <v>23</v>
      </c>
      <c r="M1051" s="612">
        <v>46168</v>
      </c>
      <c r="N1051" s="612">
        <v>46164</v>
      </c>
      <c r="O1051" s="723" t="s">
        <v>3980</v>
      </c>
      <c r="P1051" s="824" t="s">
        <v>113</v>
      </c>
      <c r="Q1051" s="610"/>
      <c r="R1051" s="614">
        <v>46132</v>
      </c>
      <c r="S1051" s="614" t="s">
        <v>70</v>
      </c>
      <c r="T1051" s="614" t="s">
        <v>3973</v>
      </c>
      <c r="U1051" s="614"/>
      <c r="V1051" s="614"/>
      <c r="W1051" s="614"/>
      <c r="X1051" s="609" t="s">
        <v>3974</v>
      </c>
      <c r="Y1051" s="612" t="s">
        <v>3975</v>
      </c>
      <c r="Z1051" s="1345">
        <v>4.2622</v>
      </c>
      <c r="AA1051" s="616">
        <f t="shared" si="351"/>
        <v>1176.3672</v>
      </c>
      <c r="AB1051" s="554"/>
      <c r="AC1051" s="617"/>
      <c r="AD1051" s="610" t="s">
        <v>184</v>
      </c>
      <c r="AE1051" s="610" t="s">
        <v>82</v>
      </c>
      <c r="AF1051" s="610"/>
      <c r="AG1051" s="610"/>
      <c r="AH1051" s="610">
        <v>1</v>
      </c>
      <c r="AI1051" s="613">
        <v>276</v>
      </c>
      <c r="AJ1051" s="613">
        <f t="shared" si="358"/>
        <v>0</v>
      </c>
      <c r="AK1051" s="610"/>
      <c r="AL1051" s="610" t="s">
        <v>454</v>
      </c>
      <c r="AM1051" s="610"/>
      <c r="AN1051" s="554">
        <f t="shared" si="348"/>
        <v>276</v>
      </c>
      <c r="AO1051" s="554"/>
      <c r="AP1051" s="554"/>
      <c r="AQ1051" s="554"/>
      <c r="AR1051" s="554"/>
      <c r="AS1051" s="554">
        <f t="shared" si="359"/>
        <v>276</v>
      </c>
      <c r="AT1051" s="554"/>
      <c r="AU1051" s="554">
        <f t="shared" si="352"/>
        <v>276</v>
      </c>
      <c r="AV1051" s="554"/>
      <c r="AW1051" s="554">
        <f t="shared" si="353"/>
        <v>276</v>
      </c>
      <c r="AX1051" s="554"/>
      <c r="AY1051" s="1325"/>
      <c r="AZ1051" s="1325"/>
      <c r="BA1051" s="1325"/>
      <c r="BB1051" s="554"/>
      <c r="BC1051" s="554"/>
      <c r="BD1051" s="554"/>
      <c r="BE1051" s="554"/>
      <c r="BF1051" s="554"/>
      <c r="BG1051" s="554"/>
      <c r="BH1051" s="554"/>
      <c r="BI1051" s="554"/>
      <c r="BJ1051" s="554"/>
      <c r="BK1051" s="554"/>
      <c r="BL1051" s="554"/>
      <c r="BM1051" s="554"/>
      <c r="BN1051" s="554"/>
      <c r="BO1051" s="554"/>
      <c r="BP1051" s="554"/>
      <c r="BQ1051" s="554"/>
      <c r="BR1051" s="554"/>
      <c r="BS1051" s="554"/>
      <c r="BT1051" s="554"/>
      <c r="BU1051" s="554"/>
      <c r="BV1051" s="554"/>
      <c r="BW1051" s="554"/>
      <c r="BX1051" s="554"/>
      <c r="BY1051" s="554"/>
      <c r="BZ1051" s="554"/>
      <c r="CA1051" s="554"/>
      <c r="CB1051" s="554"/>
      <c r="CC1051" s="554"/>
      <c r="CD1051" s="554"/>
      <c r="CE1051" s="554"/>
      <c r="CF1051" s="554"/>
      <c r="CG1051" s="554"/>
      <c r="CH1051" s="619"/>
      <c r="CI1051" s="619"/>
      <c r="CJ1051" s="619"/>
      <c r="CK1051" s="619"/>
      <c r="CL1051" s="619"/>
      <c r="CM1051" s="554"/>
      <c r="CN1051" s="554"/>
      <c r="CO1051" s="554"/>
      <c r="CP1051" s="619"/>
      <c r="CQ1051" s="619"/>
      <c r="CR1051" s="619"/>
      <c r="CS1051" s="619"/>
      <c r="CT1051" s="619"/>
      <c r="CU1051" s="619"/>
    </row>
    <row r="1052" s="1265" customFormat="1" ht="31" customHeight="1" spans="1:99">
      <c r="A1052" s="608">
        <v>46098</v>
      </c>
      <c r="B1052" s="609" t="s">
        <v>3970</v>
      </c>
      <c r="C1052" s="610" t="s">
        <v>524</v>
      </c>
      <c r="D1052" s="554">
        <v>4500197140</v>
      </c>
      <c r="E1052" s="610" t="s">
        <v>3981</v>
      </c>
      <c r="F1052" s="554" t="s">
        <v>3982</v>
      </c>
      <c r="G1052" s="610" t="s">
        <v>68</v>
      </c>
      <c r="H1052" s="610" t="s">
        <v>69</v>
      </c>
      <c r="I1052" s="715">
        <v>840</v>
      </c>
      <c r="J1052" s="610">
        <v>0</v>
      </c>
      <c r="K1052" s="610">
        <v>12</v>
      </c>
      <c r="L1052" s="611">
        <f t="shared" si="356"/>
        <v>70</v>
      </c>
      <c r="M1052" s="612">
        <v>46168</v>
      </c>
      <c r="N1052" s="612">
        <v>46164</v>
      </c>
      <c r="O1052" s="613"/>
      <c r="P1052" s="824" t="s">
        <v>113</v>
      </c>
      <c r="Q1052" s="614"/>
      <c r="R1052" s="614">
        <v>46132</v>
      </c>
      <c r="S1052" s="614" t="s">
        <v>70</v>
      </c>
      <c r="T1052" s="614" t="s">
        <v>3973</v>
      </c>
      <c r="U1052" s="614"/>
      <c r="V1052" s="614"/>
      <c r="W1052" s="609"/>
      <c r="X1052" s="609" t="s">
        <v>3983</v>
      </c>
      <c r="Y1052" s="616" t="s">
        <v>3975</v>
      </c>
      <c r="Z1052" s="625">
        <v>4.2622</v>
      </c>
      <c r="AA1052" s="616">
        <f t="shared" si="351"/>
        <v>3580.248</v>
      </c>
      <c r="AB1052" s="554"/>
      <c r="AC1052" s="617"/>
      <c r="AD1052" s="610" t="s">
        <v>184</v>
      </c>
      <c r="AE1052" s="610" t="s">
        <v>82</v>
      </c>
      <c r="AF1052" s="610"/>
      <c r="AG1052" s="610"/>
      <c r="AH1052" s="610">
        <v>1</v>
      </c>
      <c r="AI1052" s="610">
        <v>840</v>
      </c>
      <c r="AJ1052" s="613">
        <f t="shared" si="358"/>
        <v>0</v>
      </c>
      <c r="AK1052" s="610"/>
      <c r="AL1052" s="610" t="s">
        <v>454</v>
      </c>
      <c r="AM1052" s="554"/>
      <c r="AN1052" s="554">
        <f t="shared" si="348"/>
        <v>840</v>
      </c>
      <c r="AO1052" s="554"/>
      <c r="AP1052" s="554"/>
      <c r="AQ1052" s="554"/>
      <c r="AR1052" s="554"/>
      <c r="AS1052" s="554">
        <f t="shared" si="359"/>
        <v>840</v>
      </c>
      <c r="AT1052" s="554"/>
      <c r="AU1052" s="554">
        <f t="shared" si="352"/>
        <v>840</v>
      </c>
      <c r="AV1052" s="554"/>
      <c r="AW1052" s="554">
        <f t="shared" si="353"/>
        <v>840</v>
      </c>
      <c r="AX1052" s="714"/>
      <c r="AY1052" s="554"/>
      <c r="AZ1052" s="554"/>
      <c r="BA1052" s="554"/>
      <c r="BB1052" s="554"/>
      <c r="BC1052" s="554"/>
      <c r="BD1052" s="554"/>
      <c r="BE1052" s="554"/>
      <c r="BF1052" s="554"/>
      <c r="BG1052" s="554"/>
      <c r="BH1052" s="554"/>
      <c r="BI1052" s="554"/>
      <c r="BJ1052" s="554"/>
      <c r="BK1052" s="554"/>
      <c r="BL1052" s="554"/>
      <c r="BM1052" s="554"/>
      <c r="BN1052" s="554"/>
      <c r="BO1052" s="554"/>
      <c r="BP1052" s="554"/>
      <c r="BQ1052" s="554"/>
      <c r="BR1052" s="554"/>
      <c r="BS1052" s="554"/>
      <c r="BT1052" s="554"/>
      <c r="BU1052" s="554"/>
      <c r="BV1052" s="554"/>
      <c r="BW1052" s="554"/>
      <c r="BX1052" s="554"/>
      <c r="BY1052" s="554"/>
      <c r="BZ1052" s="554"/>
      <c r="CA1052" s="554"/>
      <c r="CB1052" s="554"/>
      <c r="CC1052" s="554"/>
      <c r="CD1052" s="554"/>
      <c r="CE1052" s="554"/>
      <c r="CF1052" s="554"/>
      <c r="CG1052" s="554"/>
      <c r="CH1052" s="619"/>
      <c r="CI1052" s="619"/>
      <c r="CJ1052" s="619"/>
      <c r="CK1052" s="619"/>
      <c r="CL1052" s="619"/>
      <c r="CM1052" s="554"/>
      <c r="CN1052" s="554"/>
      <c r="CO1052" s="554"/>
      <c r="CP1052" s="619"/>
      <c r="CQ1052" s="619"/>
      <c r="CR1052" s="619"/>
      <c r="CS1052" s="619"/>
      <c r="CT1052" s="619"/>
      <c r="CU1052" s="619"/>
    </row>
    <row r="1053" s="1265" customFormat="1" ht="31" customHeight="1" spans="1:99">
      <c r="A1053" s="608">
        <v>46126</v>
      </c>
      <c r="B1053" s="609" t="s">
        <v>2527</v>
      </c>
      <c r="C1053" s="610" t="s">
        <v>2528</v>
      </c>
      <c r="D1053" s="554">
        <v>4500201779</v>
      </c>
      <c r="E1053" s="610" t="s">
        <v>3846</v>
      </c>
      <c r="F1053" s="554" t="s">
        <v>3984</v>
      </c>
      <c r="G1053" s="610" t="s">
        <v>68</v>
      </c>
      <c r="H1053" s="610" t="s">
        <v>69</v>
      </c>
      <c r="I1053" s="715">
        <v>600</v>
      </c>
      <c r="J1053" s="610">
        <v>0</v>
      </c>
      <c r="K1053" s="610">
        <v>12</v>
      </c>
      <c r="L1053" s="611">
        <f t="shared" si="356"/>
        <v>50</v>
      </c>
      <c r="M1053" s="612">
        <v>46168</v>
      </c>
      <c r="N1053" s="612">
        <v>46164</v>
      </c>
      <c r="O1053" s="613" t="s">
        <v>3985</v>
      </c>
      <c r="P1053" s="824" t="s">
        <v>113</v>
      </c>
      <c r="Q1053" s="614"/>
      <c r="R1053" s="614">
        <v>46134</v>
      </c>
      <c r="S1053" s="614" t="s">
        <v>70</v>
      </c>
      <c r="T1053" s="614" t="s">
        <v>3986</v>
      </c>
      <c r="U1053" s="614"/>
      <c r="V1053" s="614" t="s">
        <v>3987</v>
      </c>
      <c r="W1053" s="609"/>
      <c r="X1053" s="609" t="s">
        <v>3988</v>
      </c>
      <c r="Y1053" s="616" t="s">
        <v>2533</v>
      </c>
      <c r="Z1053" s="625">
        <v>4.2622</v>
      </c>
      <c r="AA1053" s="616">
        <f t="shared" si="351"/>
        <v>2557.32</v>
      </c>
      <c r="AB1053" s="554"/>
      <c r="AC1053" s="617"/>
      <c r="AD1053" s="610" t="s">
        <v>184</v>
      </c>
      <c r="AE1053" s="610" t="s">
        <v>82</v>
      </c>
      <c r="AF1053" s="610"/>
      <c r="AG1053" s="610"/>
      <c r="AH1053" s="610">
        <v>1</v>
      </c>
      <c r="AI1053" s="610">
        <v>600</v>
      </c>
      <c r="AJ1053" s="613">
        <f t="shared" si="358"/>
        <v>0</v>
      </c>
      <c r="AK1053" s="610"/>
      <c r="AL1053" s="610" t="s">
        <v>2368</v>
      </c>
      <c r="AM1053" s="554"/>
      <c r="AN1053" s="554">
        <f t="shared" si="348"/>
        <v>600</v>
      </c>
      <c r="AO1053" s="554"/>
      <c r="AP1053" s="554"/>
      <c r="AQ1053" s="554"/>
      <c r="AR1053" s="554"/>
      <c r="AS1053" s="554">
        <f t="shared" si="359"/>
        <v>600</v>
      </c>
      <c r="AT1053" s="554"/>
      <c r="AU1053" s="554">
        <f t="shared" si="352"/>
        <v>600</v>
      </c>
      <c r="AV1053" s="554"/>
      <c r="AW1053" s="554">
        <f t="shared" si="353"/>
        <v>600</v>
      </c>
      <c r="AX1053" s="714"/>
      <c r="AY1053" s="554"/>
      <c r="AZ1053" s="554"/>
      <c r="BA1053" s="554"/>
      <c r="BB1053" s="554"/>
      <c r="BC1053" s="554"/>
      <c r="BD1053" s="554"/>
      <c r="BE1053" s="554"/>
      <c r="BF1053" s="554"/>
      <c r="BG1053" s="554"/>
      <c r="BH1053" s="554"/>
      <c r="BI1053" s="554"/>
      <c r="BJ1053" s="554"/>
      <c r="BK1053" s="554"/>
      <c r="BL1053" s="554"/>
      <c r="BM1053" s="554"/>
      <c r="BN1053" s="554"/>
      <c r="BO1053" s="554"/>
      <c r="BP1053" s="554"/>
      <c r="BQ1053" s="554"/>
      <c r="BR1053" s="554"/>
      <c r="BS1053" s="554"/>
      <c r="BT1053" s="554"/>
      <c r="BU1053" s="554"/>
      <c r="BV1053" s="554"/>
      <c r="BW1053" s="554"/>
      <c r="BX1053" s="554"/>
      <c r="BY1053" s="554"/>
      <c r="BZ1053" s="554"/>
      <c r="CA1053" s="554"/>
      <c r="CB1053" s="554"/>
      <c r="CC1053" s="554"/>
      <c r="CD1053" s="554"/>
      <c r="CE1053" s="554"/>
      <c r="CF1053" s="554"/>
      <c r="CG1053" s="554"/>
      <c r="CH1053" s="619"/>
      <c r="CI1053" s="619"/>
      <c r="CJ1053" s="619"/>
      <c r="CK1053" s="619"/>
      <c r="CL1053" s="619"/>
      <c r="CM1053" s="554"/>
      <c r="CN1053" s="554"/>
      <c r="CO1053" s="554"/>
      <c r="CP1053" s="619"/>
      <c r="CQ1053" s="619"/>
      <c r="CR1053" s="619"/>
      <c r="CS1053" s="619"/>
      <c r="CT1053" s="619"/>
      <c r="CU1053" s="619"/>
    </row>
    <row r="1054" s="1265" customFormat="1" ht="31" customHeight="1" spans="1:99">
      <c r="A1054" s="608">
        <v>46122</v>
      </c>
      <c r="B1054" s="609" t="s">
        <v>3989</v>
      </c>
      <c r="C1054" s="610" t="s">
        <v>154</v>
      </c>
      <c r="D1054" s="554" t="s">
        <v>3990</v>
      </c>
      <c r="E1054" s="610" t="s">
        <v>3991</v>
      </c>
      <c r="F1054" s="554" t="s">
        <v>3992</v>
      </c>
      <c r="G1054" s="610" t="s">
        <v>518</v>
      </c>
      <c r="H1054" s="610" t="s">
        <v>477</v>
      </c>
      <c r="I1054" s="715">
        <v>1200</v>
      </c>
      <c r="J1054" s="610">
        <v>0</v>
      </c>
      <c r="K1054" s="610">
        <v>6</v>
      </c>
      <c r="L1054" s="611">
        <f t="shared" si="356"/>
        <v>200</v>
      </c>
      <c r="M1054" s="724">
        <v>46168</v>
      </c>
      <c r="N1054" s="724">
        <v>46164</v>
      </c>
      <c r="O1054" s="613"/>
      <c r="P1054" s="824" t="s">
        <v>113</v>
      </c>
      <c r="Q1054" s="614" t="s">
        <v>3993</v>
      </c>
      <c r="R1054" s="614">
        <v>46122</v>
      </c>
      <c r="S1054" s="614" t="s">
        <v>70</v>
      </c>
      <c r="T1054" s="614" t="s">
        <v>3994</v>
      </c>
      <c r="U1054" s="614"/>
      <c r="V1054" s="614"/>
      <c r="W1054" s="609"/>
      <c r="X1054" s="738" t="s">
        <v>3995</v>
      </c>
      <c r="Y1054" s="616" t="s">
        <v>1894</v>
      </c>
      <c r="Z1054" s="625">
        <v>7.0192</v>
      </c>
      <c r="AA1054" s="616">
        <f t="shared" si="351"/>
        <v>8423.04</v>
      </c>
      <c r="AB1054" s="554"/>
      <c r="AC1054" s="617"/>
      <c r="AD1054" s="610" t="s">
        <v>480</v>
      </c>
      <c r="AE1054" s="610" t="s">
        <v>82</v>
      </c>
      <c r="AF1054" s="610"/>
      <c r="AG1054" s="610"/>
      <c r="AH1054" s="610">
        <v>1</v>
      </c>
      <c r="AI1054" s="610"/>
      <c r="AJ1054" s="610">
        <f t="shared" si="358"/>
        <v>-1200</v>
      </c>
      <c r="AK1054" s="610"/>
      <c r="AL1054" s="610"/>
      <c r="AM1054" s="554"/>
      <c r="AN1054" s="554">
        <f t="shared" si="348"/>
        <v>1200</v>
      </c>
      <c r="AO1054" s="554"/>
      <c r="AP1054" s="554"/>
      <c r="AQ1054" s="554"/>
      <c r="AR1054" s="554"/>
      <c r="AS1054" s="554">
        <f t="shared" si="359"/>
        <v>1200</v>
      </c>
      <c r="AT1054" s="554"/>
      <c r="AU1054" s="554">
        <f t="shared" si="352"/>
        <v>1200</v>
      </c>
      <c r="AV1054" s="554"/>
      <c r="AW1054" s="554">
        <f t="shared" si="353"/>
        <v>1200</v>
      </c>
      <c r="AX1054" s="714"/>
      <c r="AY1054" s="554"/>
      <c r="AZ1054" s="554"/>
      <c r="BA1054" s="554"/>
      <c r="BB1054" s="554"/>
      <c r="BC1054" s="554"/>
      <c r="BD1054" s="554"/>
      <c r="BE1054" s="554"/>
      <c r="BF1054" s="554"/>
      <c r="BG1054" s="554"/>
      <c r="BH1054" s="554"/>
      <c r="BI1054" s="554"/>
      <c r="BJ1054" s="554"/>
      <c r="BK1054" s="554"/>
      <c r="BL1054" s="554"/>
      <c r="BM1054" s="554"/>
      <c r="BN1054" s="554">
        <f>I1054</f>
        <v>1200</v>
      </c>
      <c r="BO1054" s="554"/>
      <c r="BP1054" s="554"/>
      <c r="BQ1054" s="554"/>
      <c r="BR1054" s="554"/>
      <c r="BS1054" s="554"/>
      <c r="BT1054" s="554"/>
      <c r="BU1054" s="554"/>
      <c r="BV1054" s="554"/>
      <c r="BW1054" s="554"/>
      <c r="BX1054" s="554"/>
      <c r="BY1054" s="554"/>
      <c r="BZ1054" s="554"/>
      <c r="CA1054" s="554"/>
      <c r="CB1054" s="554"/>
      <c r="CC1054" s="554"/>
      <c r="CD1054" s="554"/>
      <c r="CE1054" s="554"/>
      <c r="CF1054" s="554"/>
      <c r="CG1054" s="554"/>
      <c r="CH1054" s="619"/>
      <c r="CI1054" s="619"/>
      <c r="CJ1054" s="619"/>
      <c r="CK1054" s="619"/>
      <c r="CL1054" s="619"/>
      <c r="CM1054" s="554"/>
      <c r="CN1054" s="554"/>
      <c r="CO1054" s="554"/>
      <c r="CP1054" s="619"/>
      <c r="CQ1054" s="619"/>
      <c r="CR1054" s="619"/>
      <c r="CS1054" s="619"/>
      <c r="CT1054" s="619"/>
      <c r="CU1054" s="619"/>
    </row>
    <row r="1055" s="1265" customFormat="1" ht="31" customHeight="1" spans="1:99">
      <c r="A1055" s="608">
        <v>46122</v>
      </c>
      <c r="B1055" s="609" t="s">
        <v>3996</v>
      </c>
      <c r="C1055" s="610" t="s">
        <v>278</v>
      </c>
      <c r="D1055" s="554" t="s">
        <v>3997</v>
      </c>
      <c r="E1055" s="610" t="s">
        <v>3998</v>
      </c>
      <c r="F1055" s="554" t="s">
        <v>3999</v>
      </c>
      <c r="G1055" s="610" t="s">
        <v>518</v>
      </c>
      <c r="H1055" s="610" t="s">
        <v>477</v>
      </c>
      <c r="I1055" s="715">
        <v>2004</v>
      </c>
      <c r="J1055" s="610">
        <v>0</v>
      </c>
      <c r="K1055" s="610">
        <v>6</v>
      </c>
      <c r="L1055" s="611">
        <f t="shared" si="356"/>
        <v>334</v>
      </c>
      <c r="M1055" s="612">
        <v>46169</v>
      </c>
      <c r="N1055" s="612">
        <v>46165</v>
      </c>
      <c r="O1055" s="613"/>
      <c r="P1055" s="824" t="s">
        <v>113</v>
      </c>
      <c r="Q1055" s="614" t="s">
        <v>4000</v>
      </c>
      <c r="R1055" s="614">
        <v>46122</v>
      </c>
      <c r="S1055" s="614" t="s">
        <v>70</v>
      </c>
      <c r="T1055" s="614" t="s">
        <v>4001</v>
      </c>
      <c r="U1055" s="614"/>
      <c r="V1055" s="614"/>
      <c r="W1055" s="609"/>
      <c r="X1055" s="609" t="s">
        <v>4002</v>
      </c>
      <c r="Y1055" s="616" t="s">
        <v>1894</v>
      </c>
      <c r="Z1055" s="625">
        <v>7.0149</v>
      </c>
      <c r="AA1055" s="616">
        <f t="shared" si="351"/>
        <v>14057.8596</v>
      </c>
      <c r="AB1055" s="554"/>
      <c r="AC1055" s="617"/>
      <c r="AD1055" s="610" t="s">
        <v>480</v>
      </c>
      <c r="AE1055" s="610" t="s">
        <v>82</v>
      </c>
      <c r="AF1055" s="610"/>
      <c r="AG1055" s="610"/>
      <c r="AH1055" s="610">
        <v>1</v>
      </c>
      <c r="AI1055" s="610"/>
      <c r="AJ1055" s="610">
        <f t="shared" si="358"/>
        <v>-2004</v>
      </c>
      <c r="AK1055" s="610"/>
      <c r="AL1055" s="610"/>
      <c r="AM1055" s="554"/>
      <c r="AN1055" s="554">
        <f t="shared" si="348"/>
        <v>2004</v>
      </c>
      <c r="AO1055" s="554"/>
      <c r="AP1055" s="554"/>
      <c r="AQ1055" s="554"/>
      <c r="AR1055" s="554"/>
      <c r="AS1055" s="554">
        <f t="shared" si="359"/>
        <v>2004</v>
      </c>
      <c r="AT1055" s="554"/>
      <c r="AU1055" s="554">
        <f t="shared" si="352"/>
        <v>2004</v>
      </c>
      <c r="AV1055" s="554"/>
      <c r="AW1055" s="554">
        <f t="shared" si="353"/>
        <v>2004</v>
      </c>
      <c r="AX1055" s="714"/>
      <c r="AY1055" s="554"/>
      <c r="AZ1055" s="554"/>
      <c r="BA1055" s="554"/>
      <c r="BB1055" s="554"/>
      <c r="BC1055" s="554"/>
      <c r="BD1055" s="554"/>
      <c r="BE1055" s="554"/>
      <c r="BF1055" s="554"/>
      <c r="BG1055" s="554"/>
      <c r="BH1055" s="554"/>
      <c r="BI1055" s="554"/>
      <c r="BJ1055" s="554"/>
      <c r="BK1055" s="554"/>
      <c r="BL1055" s="554"/>
      <c r="BM1055" s="554"/>
      <c r="BN1055" s="554">
        <f>I1055</f>
        <v>2004</v>
      </c>
      <c r="BO1055" s="554"/>
      <c r="BP1055" s="554"/>
      <c r="BQ1055" s="554"/>
      <c r="BR1055" s="554"/>
      <c r="BS1055" s="554"/>
      <c r="BT1055" s="554"/>
      <c r="BU1055" s="554"/>
      <c r="BV1055" s="554"/>
      <c r="BW1055" s="554"/>
      <c r="BX1055" s="554"/>
      <c r="BY1055" s="554"/>
      <c r="BZ1055" s="554"/>
      <c r="CA1055" s="554"/>
      <c r="CB1055" s="554"/>
      <c r="CC1055" s="554"/>
      <c r="CD1055" s="554"/>
      <c r="CE1055" s="554"/>
      <c r="CF1055" s="554"/>
      <c r="CG1055" s="554"/>
      <c r="CH1055" s="619"/>
      <c r="CI1055" s="619"/>
      <c r="CJ1055" s="619"/>
      <c r="CK1055" s="619"/>
      <c r="CL1055" s="619"/>
      <c r="CM1055" s="554"/>
      <c r="CN1055" s="554"/>
      <c r="CO1055" s="554"/>
      <c r="CP1055" s="619"/>
      <c r="CQ1055" s="619"/>
      <c r="CR1055" s="619"/>
      <c r="CS1055" s="619"/>
      <c r="CT1055" s="619"/>
      <c r="CU1055" s="619"/>
    </row>
    <row r="1056" s="1265" customFormat="1" ht="31" customHeight="1" spans="1:99">
      <c r="A1056" s="608">
        <v>46125</v>
      </c>
      <c r="B1056" s="609" t="s">
        <v>1922</v>
      </c>
      <c r="C1056" s="610" t="s">
        <v>399</v>
      </c>
      <c r="D1056" s="554">
        <v>4500201277</v>
      </c>
      <c r="E1056" s="610" t="s">
        <v>4003</v>
      </c>
      <c r="F1056" s="554" t="s">
        <v>4004</v>
      </c>
      <c r="G1056" s="610" t="s">
        <v>68</v>
      </c>
      <c r="H1056" s="610" t="s">
        <v>69</v>
      </c>
      <c r="I1056" s="715">
        <v>6228</v>
      </c>
      <c r="J1056" s="610">
        <v>0</v>
      </c>
      <c r="K1056" s="610">
        <v>12</v>
      </c>
      <c r="L1056" s="611">
        <f t="shared" si="356"/>
        <v>519</v>
      </c>
      <c r="M1056" s="724">
        <v>46169</v>
      </c>
      <c r="N1056" s="724">
        <v>46165</v>
      </c>
      <c r="O1056" s="613"/>
      <c r="P1056" s="824" t="s">
        <v>113</v>
      </c>
      <c r="Q1056" s="614"/>
      <c r="R1056" s="614" t="s">
        <v>4005</v>
      </c>
      <c r="S1056" s="614" t="s">
        <v>104</v>
      </c>
      <c r="T1056" s="614" t="s">
        <v>4006</v>
      </c>
      <c r="U1056" s="614"/>
      <c r="V1056" s="614"/>
      <c r="W1056" s="609"/>
      <c r="X1056" s="609" t="s">
        <v>4007</v>
      </c>
      <c r="Y1056" s="616" t="s">
        <v>428</v>
      </c>
      <c r="Z1056" s="625">
        <v>4.2567</v>
      </c>
      <c r="AA1056" s="616">
        <f t="shared" si="351"/>
        <v>26510.7276</v>
      </c>
      <c r="AB1056" s="554"/>
      <c r="AC1056" s="617"/>
      <c r="AD1056" s="610" t="s">
        <v>184</v>
      </c>
      <c r="AE1056" s="610" t="s">
        <v>82</v>
      </c>
      <c r="AF1056" s="610"/>
      <c r="AG1056" s="610"/>
      <c r="AH1056" s="610">
        <v>1</v>
      </c>
      <c r="AI1056" s="610">
        <f>2592+3636</f>
        <v>6228</v>
      </c>
      <c r="AJ1056" s="613">
        <f t="shared" si="358"/>
        <v>0</v>
      </c>
      <c r="AK1056" s="610"/>
      <c r="AL1056" s="610" t="s">
        <v>2368</v>
      </c>
      <c r="AM1056" s="554"/>
      <c r="AN1056" s="554">
        <f t="shared" si="348"/>
        <v>6228</v>
      </c>
      <c r="AO1056" s="554"/>
      <c r="AP1056" s="554"/>
      <c r="AQ1056" s="554"/>
      <c r="AR1056" s="554"/>
      <c r="AS1056" s="554">
        <f t="shared" si="359"/>
        <v>6228</v>
      </c>
      <c r="AT1056" s="554"/>
      <c r="AU1056" s="554">
        <f t="shared" si="352"/>
        <v>6228</v>
      </c>
      <c r="AV1056" s="554"/>
      <c r="AW1056" s="554">
        <f t="shared" si="353"/>
        <v>6228</v>
      </c>
      <c r="AX1056" s="714"/>
      <c r="AY1056" s="554"/>
      <c r="AZ1056" s="554"/>
      <c r="BA1056" s="554"/>
      <c r="BB1056" s="554"/>
      <c r="BC1056" s="554"/>
      <c r="BD1056" s="554"/>
      <c r="BE1056" s="554"/>
      <c r="BF1056" s="554"/>
      <c r="BG1056" s="554"/>
      <c r="BH1056" s="554"/>
      <c r="BI1056" s="554"/>
      <c r="BJ1056" s="554"/>
      <c r="BK1056" s="554"/>
      <c r="BL1056" s="554"/>
      <c r="BM1056" s="554"/>
      <c r="BN1056" s="554"/>
      <c r="BO1056" s="554"/>
      <c r="BP1056" s="554"/>
      <c r="BQ1056" s="554"/>
      <c r="BR1056" s="554"/>
      <c r="BS1056" s="554"/>
      <c r="BT1056" s="554"/>
      <c r="BU1056" s="554"/>
      <c r="BV1056" s="554"/>
      <c r="BW1056" s="554"/>
      <c r="BX1056" s="554"/>
      <c r="BY1056" s="554"/>
      <c r="BZ1056" s="554"/>
      <c r="CA1056" s="554"/>
      <c r="CB1056" s="554"/>
      <c r="CC1056" s="554"/>
      <c r="CD1056" s="554"/>
      <c r="CE1056" s="554"/>
      <c r="CF1056" s="554"/>
      <c r="CG1056" s="554"/>
      <c r="CH1056" s="619"/>
      <c r="CI1056" s="619"/>
      <c r="CJ1056" s="619"/>
      <c r="CK1056" s="619"/>
      <c r="CL1056" s="619"/>
      <c r="CM1056" s="554"/>
      <c r="CN1056" s="554"/>
      <c r="CO1056" s="554"/>
      <c r="CP1056" s="619"/>
      <c r="CQ1056" s="619"/>
      <c r="CR1056" s="619"/>
      <c r="CS1056" s="619"/>
      <c r="CT1056" s="619"/>
      <c r="CU1056" s="619"/>
    </row>
    <row r="1057" s="1265" customFormat="1" ht="31" customHeight="1" spans="1:99">
      <c r="A1057" s="608">
        <v>46101</v>
      </c>
      <c r="B1057" s="609" t="s">
        <v>4008</v>
      </c>
      <c r="C1057" s="610" t="s">
        <v>278</v>
      </c>
      <c r="D1057" s="554">
        <v>4500197236</v>
      </c>
      <c r="E1057" s="610" t="s">
        <v>4009</v>
      </c>
      <c r="F1057" s="554" t="s">
        <v>4010</v>
      </c>
      <c r="G1057" s="623" t="s">
        <v>68</v>
      </c>
      <c r="H1057" s="610" t="s">
        <v>69</v>
      </c>
      <c r="I1057" s="715">
        <v>1284</v>
      </c>
      <c r="J1057" s="610">
        <v>0</v>
      </c>
      <c r="K1057" s="610">
        <v>12</v>
      </c>
      <c r="L1057" s="611">
        <f t="shared" si="356"/>
        <v>107</v>
      </c>
      <c r="M1057" s="612">
        <v>46170</v>
      </c>
      <c r="N1057" s="612">
        <v>46167</v>
      </c>
      <c r="O1057" s="613"/>
      <c r="P1057" s="824" t="s">
        <v>113</v>
      </c>
      <c r="Q1057" s="614"/>
      <c r="R1057" s="614" t="s">
        <v>463</v>
      </c>
      <c r="S1057" s="614" t="s">
        <v>104</v>
      </c>
      <c r="T1057" s="614" t="s">
        <v>3881</v>
      </c>
      <c r="U1057" s="614"/>
      <c r="V1057" s="614"/>
      <c r="W1057" s="609"/>
      <c r="X1057" s="609" t="s">
        <v>4011</v>
      </c>
      <c r="Y1057" s="616" t="s">
        <v>3734</v>
      </c>
      <c r="Z1057" s="1345">
        <v>4.2622</v>
      </c>
      <c r="AA1057" s="616">
        <f t="shared" si="351"/>
        <v>5472.6648</v>
      </c>
      <c r="AB1057" s="554"/>
      <c r="AC1057" s="617"/>
      <c r="AD1057" s="610" t="s">
        <v>184</v>
      </c>
      <c r="AE1057" s="610" t="s">
        <v>82</v>
      </c>
      <c r="AF1057" s="610"/>
      <c r="AG1057" s="610"/>
      <c r="AH1057" s="610">
        <v>1</v>
      </c>
      <c r="AI1057" s="610">
        <v>1284</v>
      </c>
      <c r="AJ1057" s="613">
        <f t="shared" si="358"/>
        <v>0</v>
      </c>
      <c r="AK1057" s="610"/>
      <c r="AL1057" s="610" t="s">
        <v>2368</v>
      </c>
      <c r="AM1057" s="554"/>
      <c r="AN1057" s="554">
        <f t="shared" ref="AN1057:AN1085" si="360">I1057</f>
        <v>1284</v>
      </c>
      <c r="AO1057" s="554"/>
      <c r="AP1057" s="554"/>
      <c r="AQ1057" s="554"/>
      <c r="AR1057" s="554"/>
      <c r="AS1057" s="554">
        <f t="shared" si="359"/>
        <v>1284</v>
      </c>
      <c r="AT1057" s="554"/>
      <c r="AU1057" s="554">
        <f t="shared" si="352"/>
        <v>1284</v>
      </c>
      <c r="AV1057" s="554"/>
      <c r="AW1057" s="554">
        <f t="shared" si="353"/>
        <v>1284</v>
      </c>
      <c r="AX1057" s="714"/>
      <c r="AY1057" s="554"/>
      <c r="AZ1057" s="554"/>
      <c r="BA1057" s="554"/>
      <c r="BB1057" s="554"/>
      <c r="BC1057" s="554"/>
      <c r="BD1057" s="554"/>
      <c r="BE1057" s="554"/>
      <c r="BF1057" s="554"/>
      <c r="BG1057" s="554"/>
      <c r="BH1057" s="554"/>
      <c r="BI1057" s="554"/>
      <c r="BJ1057" s="554"/>
      <c r="BK1057" s="554"/>
      <c r="BL1057" s="554"/>
      <c r="BM1057" s="554"/>
      <c r="BN1057" s="554"/>
      <c r="BO1057" s="554"/>
      <c r="BP1057" s="554"/>
      <c r="BQ1057" s="554"/>
      <c r="BR1057" s="554"/>
      <c r="BS1057" s="554"/>
      <c r="BT1057" s="554"/>
      <c r="BU1057" s="554"/>
      <c r="BV1057" s="554"/>
      <c r="BW1057" s="554"/>
      <c r="BX1057" s="554"/>
      <c r="BY1057" s="554"/>
      <c r="BZ1057" s="554"/>
      <c r="CA1057" s="554"/>
      <c r="CB1057" s="554"/>
      <c r="CC1057" s="554"/>
      <c r="CD1057" s="554"/>
      <c r="CE1057" s="554"/>
      <c r="CF1057" s="554"/>
      <c r="CG1057" s="554"/>
      <c r="CH1057" s="619"/>
      <c r="CI1057" s="619"/>
      <c r="CJ1057" s="619"/>
      <c r="CK1057" s="619"/>
      <c r="CL1057" s="619"/>
      <c r="CM1057" s="554"/>
      <c r="CN1057" s="554"/>
      <c r="CO1057" s="554"/>
      <c r="CP1057" s="619"/>
      <c r="CQ1057" s="619"/>
      <c r="CR1057" s="619"/>
      <c r="CS1057" s="619"/>
      <c r="CT1057" s="619"/>
      <c r="CU1057" s="619"/>
    </row>
    <row r="1058" s="1265" customFormat="1" ht="31" customHeight="1" spans="1:99">
      <c r="A1058" s="608">
        <v>46128</v>
      </c>
      <c r="B1058" s="609" t="s">
        <v>4012</v>
      </c>
      <c r="C1058" s="610" t="s">
        <v>154</v>
      </c>
      <c r="D1058" s="554">
        <v>4500202309</v>
      </c>
      <c r="E1058" s="1419" t="s">
        <v>4013</v>
      </c>
      <c r="F1058" s="554" t="s">
        <v>4014</v>
      </c>
      <c r="G1058" s="610" t="s">
        <v>68</v>
      </c>
      <c r="H1058" s="610" t="s">
        <v>69</v>
      </c>
      <c r="I1058" s="715">
        <v>600</v>
      </c>
      <c r="J1058" s="610">
        <v>0</v>
      </c>
      <c r="K1058" s="610">
        <v>12</v>
      </c>
      <c r="L1058" s="611">
        <f t="shared" si="356"/>
        <v>50</v>
      </c>
      <c r="M1058" s="612">
        <v>46171</v>
      </c>
      <c r="N1058" s="612">
        <v>46167</v>
      </c>
      <c r="O1058" s="613"/>
      <c r="P1058" s="824" t="s">
        <v>113</v>
      </c>
      <c r="Q1058" s="730" t="s">
        <v>4015</v>
      </c>
      <c r="R1058" s="614">
        <v>46137</v>
      </c>
      <c r="S1058" s="614" t="s">
        <v>104</v>
      </c>
      <c r="T1058" s="614" t="s">
        <v>4016</v>
      </c>
      <c r="U1058" s="614"/>
      <c r="V1058" s="614" t="s">
        <v>4017</v>
      </c>
      <c r="W1058" s="738" t="s">
        <v>4018</v>
      </c>
      <c r="X1058" s="738" t="s">
        <v>4019</v>
      </c>
      <c r="Y1058" s="616" t="s">
        <v>472</v>
      </c>
      <c r="Z1058" s="625">
        <v>4.2173</v>
      </c>
      <c r="AA1058" s="616">
        <f t="shared" si="351"/>
        <v>2530.38</v>
      </c>
      <c r="AB1058" s="554"/>
      <c r="AC1058" s="617"/>
      <c r="AD1058" s="610" t="s">
        <v>184</v>
      </c>
      <c r="AE1058" s="610" t="s">
        <v>82</v>
      </c>
      <c r="AF1058" s="610"/>
      <c r="AG1058" s="610"/>
      <c r="AH1058" s="610">
        <v>1</v>
      </c>
      <c r="AI1058" s="610">
        <v>600</v>
      </c>
      <c r="AJ1058" s="613">
        <f t="shared" si="358"/>
        <v>0</v>
      </c>
      <c r="AK1058" s="610"/>
      <c r="AL1058" s="610"/>
      <c r="AM1058" s="554"/>
      <c r="AN1058" s="554">
        <f t="shared" si="360"/>
        <v>600</v>
      </c>
      <c r="AO1058" s="554"/>
      <c r="AP1058" s="554"/>
      <c r="AQ1058" s="554"/>
      <c r="AR1058" s="554"/>
      <c r="AS1058" s="554">
        <f t="shared" si="359"/>
        <v>600</v>
      </c>
      <c r="AT1058" s="554"/>
      <c r="AU1058" s="554">
        <f t="shared" si="352"/>
        <v>600</v>
      </c>
      <c r="AV1058" s="554"/>
      <c r="AW1058" s="554">
        <f t="shared" si="353"/>
        <v>600</v>
      </c>
      <c r="AX1058" s="714"/>
      <c r="AY1058" s="554"/>
      <c r="AZ1058" s="554"/>
      <c r="BA1058" s="554"/>
      <c r="BB1058" s="554"/>
      <c r="BC1058" s="554"/>
      <c r="BD1058" s="554"/>
      <c r="BE1058" s="554"/>
      <c r="BF1058" s="554"/>
      <c r="BG1058" s="554"/>
      <c r="BH1058" s="554"/>
      <c r="BI1058" s="554"/>
      <c r="BJ1058" s="554"/>
      <c r="BK1058" s="554"/>
      <c r="BL1058" s="554"/>
      <c r="BM1058" s="554"/>
      <c r="BN1058" s="554"/>
      <c r="BO1058" s="554"/>
      <c r="BP1058" s="554"/>
      <c r="BQ1058" s="554"/>
      <c r="BR1058" s="554"/>
      <c r="BS1058" s="554"/>
      <c r="BT1058" s="554"/>
      <c r="BU1058" s="554"/>
      <c r="BV1058" s="554"/>
      <c r="BW1058" s="554"/>
      <c r="BX1058" s="554"/>
      <c r="BY1058" s="554"/>
      <c r="BZ1058" s="554"/>
      <c r="CA1058" s="554"/>
      <c r="CB1058" s="554"/>
      <c r="CC1058" s="554"/>
      <c r="CD1058" s="554"/>
      <c r="CE1058" s="554"/>
      <c r="CF1058" s="554"/>
      <c r="CG1058" s="554"/>
      <c r="CH1058" s="619"/>
      <c r="CI1058" s="619"/>
      <c r="CJ1058" s="619"/>
      <c r="CK1058" s="619"/>
      <c r="CL1058" s="619"/>
      <c r="CM1058" s="554"/>
      <c r="CN1058" s="554"/>
      <c r="CO1058" s="554"/>
      <c r="CP1058" s="619"/>
      <c r="CQ1058" s="619"/>
      <c r="CR1058" s="619"/>
      <c r="CS1058" s="619"/>
      <c r="CT1058" s="619"/>
      <c r="CU1058" s="619"/>
    </row>
    <row r="1059" s="1265" customFormat="1" ht="31" customHeight="1" spans="1:99">
      <c r="A1059" s="608">
        <v>46101</v>
      </c>
      <c r="B1059" s="609" t="s">
        <v>3715</v>
      </c>
      <c r="C1059" s="610" t="s">
        <v>98</v>
      </c>
      <c r="D1059" s="554">
        <v>4500197808</v>
      </c>
      <c r="E1059" s="610">
        <v>41201443</v>
      </c>
      <c r="F1059" s="554" t="s">
        <v>4020</v>
      </c>
      <c r="G1059" s="623" t="s">
        <v>2624</v>
      </c>
      <c r="H1059" s="610" t="s">
        <v>2625</v>
      </c>
      <c r="I1059" s="610">
        <v>1528</v>
      </c>
      <c r="J1059" s="610">
        <v>0</v>
      </c>
      <c r="K1059" s="610">
        <v>8</v>
      </c>
      <c r="L1059" s="611">
        <f t="shared" si="356"/>
        <v>191</v>
      </c>
      <c r="M1059" s="612">
        <v>46171</v>
      </c>
      <c r="N1059" s="612">
        <v>46167</v>
      </c>
      <c r="O1059" s="613"/>
      <c r="P1059" s="824" t="s">
        <v>113</v>
      </c>
      <c r="Q1059" s="614" t="s">
        <v>4021</v>
      </c>
      <c r="R1059" s="614">
        <v>46119</v>
      </c>
      <c r="S1059" s="614" t="s">
        <v>104</v>
      </c>
      <c r="T1059" s="614" t="s">
        <v>4022</v>
      </c>
      <c r="U1059" s="614"/>
      <c r="V1059" s="609" t="s">
        <v>3712</v>
      </c>
      <c r="W1059" s="609"/>
      <c r="X1059" s="738" t="s">
        <v>4023</v>
      </c>
      <c r="Y1059" s="616" t="s">
        <v>3717</v>
      </c>
      <c r="Z1059" s="1345">
        <v>2.5879</v>
      </c>
      <c r="AA1059" s="616">
        <f t="shared" si="351"/>
        <v>3954.3112</v>
      </c>
      <c r="AB1059" s="554"/>
      <c r="AC1059" s="629" t="s">
        <v>4024</v>
      </c>
      <c r="AD1059" s="610" t="s">
        <v>2628</v>
      </c>
      <c r="AE1059" s="610" t="s">
        <v>82</v>
      </c>
      <c r="AF1059" s="610"/>
      <c r="AG1059" s="610"/>
      <c r="AH1059" s="610">
        <v>1</v>
      </c>
      <c r="AI1059" s="610">
        <v>1528</v>
      </c>
      <c r="AJ1059" s="610">
        <f t="shared" si="358"/>
        <v>0</v>
      </c>
      <c r="AK1059" s="610"/>
      <c r="AL1059" s="610" t="s">
        <v>2368</v>
      </c>
      <c r="AM1059" s="554"/>
      <c r="AN1059" s="554">
        <f t="shared" si="360"/>
        <v>1528</v>
      </c>
      <c r="AO1059" s="1325"/>
      <c r="AP1059" s="1325"/>
      <c r="AQ1059" s="1325"/>
      <c r="AR1059" s="554"/>
      <c r="AS1059" s="554">
        <f t="shared" si="359"/>
        <v>1528</v>
      </c>
      <c r="AT1059" s="554"/>
      <c r="AU1059" s="554">
        <f t="shared" si="352"/>
        <v>1528</v>
      </c>
      <c r="AV1059" s="554"/>
      <c r="AW1059" s="554">
        <f t="shared" si="353"/>
        <v>1528</v>
      </c>
      <c r="AX1059" s="714"/>
      <c r="AY1059" s="554"/>
      <c r="AZ1059" s="554"/>
      <c r="BA1059" s="554"/>
      <c r="BB1059" s="554"/>
      <c r="BC1059" s="554"/>
      <c r="BD1059" s="554"/>
      <c r="BE1059" s="554"/>
      <c r="BF1059" s="554"/>
      <c r="BG1059" s="554"/>
      <c r="BH1059" s="554"/>
      <c r="BI1059" s="554"/>
      <c r="BJ1059" s="554">
        <f>I1059/8</f>
        <v>191</v>
      </c>
      <c r="BK1059" s="554"/>
      <c r="BL1059" s="554"/>
      <c r="BM1059" s="554"/>
      <c r="BN1059" s="554"/>
      <c r="BO1059" s="554"/>
      <c r="BP1059" s="554"/>
      <c r="BQ1059" s="554"/>
      <c r="BR1059" s="554"/>
      <c r="BS1059" s="554"/>
      <c r="BT1059" s="554"/>
      <c r="BU1059" s="554"/>
      <c r="BV1059" s="554"/>
      <c r="BW1059" s="554"/>
      <c r="BX1059" s="554"/>
      <c r="BY1059" s="554"/>
      <c r="BZ1059" s="554"/>
      <c r="CA1059" s="554"/>
      <c r="CB1059" s="554"/>
      <c r="CC1059" s="554"/>
      <c r="CD1059" s="554"/>
      <c r="CE1059" s="554"/>
      <c r="CF1059" s="554"/>
      <c r="CG1059" s="554"/>
      <c r="CH1059" s="619"/>
      <c r="CI1059" s="619"/>
      <c r="CJ1059" s="619"/>
      <c r="CK1059" s="619"/>
      <c r="CL1059" s="619"/>
      <c r="CM1059" s="554"/>
      <c r="CN1059" s="554"/>
      <c r="CO1059" s="554"/>
      <c r="CP1059" s="619"/>
      <c r="CQ1059" s="619"/>
      <c r="CR1059" s="619"/>
      <c r="CS1059" s="619"/>
      <c r="CT1059" s="619"/>
      <c r="CU1059" s="619"/>
    </row>
    <row r="1060" s="1265" customFormat="1" ht="31" customHeight="1" spans="1:99">
      <c r="A1060" s="608">
        <v>46125</v>
      </c>
      <c r="B1060" s="609" t="s">
        <v>4025</v>
      </c>
      <c r="C1060" s="610" t="s">
        <v>278</v>
      </c>
      <c r="D1060" s="729">
        <v>4500201281</v>
      </c>
      <c r="E1060" s="610" t="s">
        <v>4026</v>
      </c>
      <c r="F1060" s="554" t="s">
        <v>4027</v>
      </c>
      <c r="G1060" s="610" t="s">
        <v>68</v>
      </c>
      <c r="H1060" s="610" t="s">
        <v>69</v>
      </c>
      <c r="I1060" s="715">
        <v>1524</v>
      </c>
      <c r="J1060" s="610">
        <v>0</v>
      </c>
      <c r="K1060" s="610">
        <v>12</v>
      </c>
      <c r="L1060" s="611">
        <f t="shared" si="356"/>
        <v>127</v>
      </c>
      <c r="M1060" s="612">
        <v>46174</v>
      </c>
      <c r="N1060" s="612">
        <v>46170</v>
      </c>
      <c r="O1060" s="613"/>
      <c r="P1060" s="824" t="s">
        <v>113</v>
      </c>
      <c r="Q1060" s="614">
        <v>46183</v>
      </c>
      <c r="R1060" s="614" t="s">
        <v>4028</v>
      </c>
      <c r="S1060" s="614" t="s">
        <v>104</v>
      </c>
      <c r="T1060" s="614" t="s">
        <v>4029</v>
      </c>
      <c r="U1060" s="614"/>
      <c r="V1060" s="614"/>
      <c r="W1060" s="609"/>
      <c r="X1060" s="609" t="s">
        <v>4030</v>
      </c>
      <c r="Y1060" s="616" t="s">
        <v>428</v>
      </c>
      <c r="Z1060" s="625">
        <v>4.2622</v>
      </c>
      <c r="AA1060" s="616">
        <f t="shared" si="351"/>
        <v>6495.5928</v>
      </c>
      <c r="AB1060" s="554"/>
      <c r="AC1060" s="617"/>
      <c r="AD1060" s="610" t="s">
        <v>184</v>
      </c>
      <c r="AE1060" s="610" t="s">
        <v>82</v>
      </c>
      <c r="AF1060" s="610"/>
      <c r="AG1060" s="610"/>
      <c r="AH1060" s="610">
        <v>1</v>
      </c>
      <c r="AI1060" s="610">
        <v>1524</v>
      </c>
      <c r="AJ1060" s="613">
        <f t="shared" si="358"/>
        <v>0</v>
      </c>
      <c r="AK1060" s="610"/>
      <c r="AL1060" s="610" t="s">
        <v>454</v>
      </c>
      <c r="AM1060" s="554"/>
      <c r="AN1060" s="554">
        <f t="shared" si="360"/>
        <v>1524</v>
      </c>
      <c r="AO1060" s="554"/>
      <c r="AP1060" s="554"/>
      <c r="AQ1060" s="554"/>
      <c r="AR1060" s="554"/>
      <c r="AS1060" s="554">
        <f t="shared" si="359"/>
        <v>1524</v>
      </c>
      <c r="AT1060" s="554"/>
      <c r="AU1060" s="554">
        <f t="shared" si="352"/>
        <v>1524</v>
      </c>
      <c r="AV1060" s="554"/>
      <c r="AW1060" s="554">
        <f t="shared" si="353"/>
        <v>1524</v>
      </c>
      <c r="AX1060" s="714"/>
      <c r="AY1060" s="554"/>
      <c r="AZ1060" s="554"/>
      <c r="BA1060" s="554"/>
      <c r="BB1060" s="554"/>
      <c r="BC1060" s="554"/>
      <c r="BD1060" s="554"/>
      <c r="BE1060" s="554"/>
      <c r="BF1060" s="554"/>
      <c r="BG1060" s="554"/>
      <c r="BH1060" s="554"/>
      <c r="BI1060" s="554"/>
      <c r="BJ1060" s="554"/>
      <c r="BK1060" s="554"/>
      <c r="BL1060" s="554"/>
      <c r="BM1060" s="554"/>
      <c r="BN1060" s="554"/>
      <c r="BO1060" s="554"/>
      <c r="BP1060" s="554"/>
      <c r="BQ1060" s="554"/>
      <c r="BR1060" s="554"/>
      <c r="BS1060" s="554"/>
      <c r="BT1060" s="554"/>
      <c r="BU1060" s="554"/>
      <c r="BV1060" s="554"/>
      <c r="BW1060" s="554"/>
      <c r="BX1060" s="554"/>
      <c r="BY1060" s="554"/>
      <c r="BZ1060" s="554"/>
      <c r="CA1060" s="554"/>
      <c r="CB1060" s="554"/>
      <c r="CC1060" s="554"/>
      <c r="CD1060" s="554"/>
      <c r="CE1060" s="554"/>
      <c r="CF1060" s="554"/>
      <c r="CG1060" s="554"/>
      <c r="CH1060" s="619"/>
      <c r="CI1060" s="619"/>
      <c r="CJ1060" s="619"/>
      <c r="CK1060" s="619"/>
      <c r="CL1060" s="619"/>
      <c r="CM1060" s="554"/>
      <c r="CN1060" s="554"/>
      <c r="CO1060" s="554"/>
      <c r="CP1060" s="619"/>
      <c r="CQ1060" s="619"/>
      <c r="CR1060" s="619"/>
      <c r="CS1060" s="619"/>
      <c r="CT1060" s="619"/>
      <c r="CU1060" s="619"/>
    </row>
    <row r="1061" s="1265" customFormat="1" ht="31" customHeight="1" spans="1:99">
      <c r="A1061" s="608">
        <v>46125</v>
      </c>
      <c r="B1061" s="609" t="s">
        <v>4025</v>
      </c>
      <c r="C1061" s="610" t="s">
        <v>411</v>
      </c>
      <c r="D1061" s="554">
        <v>4500201281</v>
      </c>
      <c r="E1061" s="610" t="s">
        <v>4031</v>
      </c>
      <c r="F1061" s="554" t="s">
        <v>4032</v>
      </c>
      <c r="G1061" s="610" t="s">
        <v>68</v>
      </c>
      <c r="H1061" s="610" t="s">
        <v>69</v>
      </c>
      <c r="I1061" s="715">
        <v>1260</v>
      </c>
      <c r="J1061" s="610">
        <v>0</v>
      </c>
      <c r="K1061" s="610">
        <v>12</v>
      </c>
      <c r="L1061" s="611">
        <f t="shared" si="356"/>
        <v>105</v>
      </c>
      <c r="M1061" s="612">
        <v>46174</v>
      </c>
      <c r="N1061" s="612">
        <v>46170</v>
      </c>
      <c r="O1061" s="613"/>
      <c r="P1061" s="824" t="s">
        <v>113</v>
      </c>
      <c r="Q1061" s="614"/>
      <c r="R1061" s="614" t="s">
        <v>4028</v>
      </c>
      <c r="S1061" s="614" t="s">
        <v>104</v>
      </c>
      <c r="T1061" s="614" t="s">
        <v>4033</v>
      </c>
      <c r="U1061" s="614"/>
      <c r="V1061" s="614"/>
      <c r="W1061" s="609"/>
      <c r="X1061" s="609" t="s">
        <v>4034</v>
      </c>
      <c r="Y1061" s="616" t="s">
        <v>428</v>
      </c>
      <c r="Z1061" s="625">
        <v>4.2622</v>
      </c>
      <c r="AA1061" s="616">
        <f t="shared" si="351"/>
        <v>5370.372</v>
      </c>
      <c r="AB1061" s="554"/>
      <c r="AC1061" s="617"/>
      <c r="AD1061" s="610" t="s">
        <v>184</v>
      </c>
      <c r="AE1061" s="610" t="s">
        <v>82</v>
      </c>
      <c r="AF1061" s="610"/>
      <c r="AG1061" s="610"/>
      <c r="AH1061" s="610">
        <v>1</v>
      </c>
      <c r="AI1061" s="610">
        <v>1260</v>
      </c>
      <c r="AJ1061" s="613">
        <f t="shared" si="358"/>
        <v>0</v>
      </c>
      <c r="AK1061" s="610"/>
      <c r="AL1061" s="610" t="s">
        <v>454</v>
      </c>
      <c r="AM1061" s="554"/>
      <c r="AN1061" s="554">
        <f t="shared" si="360"/>
        <v>1260</v>
      </c>
      <c r="AO1061" s="554"/>
      <c r="AP1061" s="554"/>
      <c r="AQ1061" s="554"/>
      <c r="AR1061" s="554"/>
      <c r="AS1061" s="554">
        <f t="shared" si="359"/>
        <v>1260</v>
      </c>
      <c r="AT1061" s="554"/>
      <c r="AU1061" s="554">
        <f t="shared" si="352"/>
        <v>1260</v>
      </c>
      <c r="AV1061" s="554"/>
      <c r="AW1061" s="554">
        <f t="shared" si="353"/>
        <v>1260</v>
      </c>
      <c r="AX1061" s="714"/>
      <c r="AY1061" s="554"/>
      <c r="AZ1061" s="554"/>
      <c r="BA1061" s="554"/>
      <c r="BB1061" s="554"/>
      <c r="BC1061" s="554"/>
      <c r="BD1061" s="554"/>
      <c r="BE1061" s="554"/>
      <c r="BF1061" s="554"/>
      <c r="BG1061" s="554"/>
      <c r="BH1061" s="554"/>
      <c r="BI1061" s="554"/>
      <c r="BJ1061" s="554"/>
      <c r="BK1061" s="554"/>
      <c r="BL1061" s="554"/>
      <c r="BM1061" s="554"/>
      <c r="BN1061" s="554"/>
      <c r="BO1061" s="554"/>
      <c r="BP1061" s="554"/>
      <c r="BQ1061" s="554"/>
      <c r="BR1061" s="554"/>
      <c r="BS1061" s="554"/>
      <c r="BT1061" s="554"/>
      <c r="BU1061" s="554"/>
      <c r="BV1061" s="554"/>
      <c r="BW1061" s="554"/>
      <c r="BX1061" s="554"/>
      <c r="BY1061" s="554"/>
      <c r="BZ1061" s="554"/>
      <c r="CA1061" s="554"/>
      <c r="CB1061" s="554"/>
      <c r="CC1061" s="554"/>
      <c r="CD1061" s="554"/>
      <c r="CE1061" s="554"/>
      <c r="CF1061" s="554"/>
      <c r="CG1061" s="554"/>
      <c r="CH1061" s="619"/>
      <c r="CI1061" s="619"/>
      <c r="CJ1061" s="619"/>
      <c r="CK1061" s="619"/>
      <c r="CL1061" s="619"/>
      <c r="CM1061" s="554"/>
      <c r="CN1061" s="554"/>
      <c r="CO1061" s="554"/>
      <c r="CP1061" s="619"/>
      <c r="CQ1061" s="619"/>
      <c r="CR1061" s="619"/>
      <c r="CS1061" s="619"/>
      <c r="CT1061" s="619"/>
      <c r="CU1061" s="619"/>
    </row>
    <row r="1062" s="1265" customFormat="1" ht="31" customHeight="1" spans="1:99">
      <c r="A1062" s="608">
        <v>46128</v>
      </c>
      <c r="B1062" s="609" t="s">
        <v>4035</v>
      </c>
      <c r="C1062" s="610" t="s">
        <v>241</v>
      </c>
      <c r="D1062" s="554" t="s">
        <v>4036</v>
      </c>
      <c r="E1062" s="610" t="s">
        <v>4037</v>
      </c>
      <c r="F1062" s="554" t="s">
        <v>4038</v>
      </c>
      <c r="G1062" s="610" t="s">
        <v>68</v>
      </c>
      <c r="H1062" s="610" t="s">
        <v>69</v>
      </c>
      <c r="I1062" s="715">
        <v>840</v>
      </c>
      <c r="J1062" s="610">
        <v>0</v>
      </c>
      <c r="K1062" s="610">
        <v>12</v>
      </c>
      <c r="L1062" s="611">
        <f t="shared" si="356"/>
        <v>70</v>
      </c>
      <c r="M1062" s="612">
        <v>46174</v>
      </c>
      <c r="N1062" s="612">
        <v>46170</v>
      </c>
      <c r="O1062" s="613"/>
      <c r="P1062" s="824" t="s">
        <v>113</v>
      </c>
      <c r="Q1062" s="614">
        <v>46205</v>
      </c>
      <c r="R1062" s="614">
        <v>46128</v>
      </c>
      <c r="S1062" s="614" t="s">
        <v>70</v>
      </c>
      <c r="T1062" s="614" t="s">
        <v>4039</v>
      </c>
      <c r="U1062" s="614"/>
      <c r="V1062" s="614"/>
      <c r="W1062" s="609"/>
      <c r="X1062" s="738" t="s">
        <v>4040</v>
      </c>
      <c r="Y1062" s="616" t="s">
        <v>299</v>
      </c>
      <c r="Z1062" s="625">
        <v>4.2173</v>
      </c>
      <c r="AA1062" s="616">
        <f t="shared" si="351"/>
        <v>3542.532</v>
      </c>
      <c r="AB1062" s="554"/>
      <c r="AC1062" s="617"/>
      <c r="AD1062" s="610" t="s">
        <v>184</v>
      </c>
      <c r="AE1062" s="610" t="s">
        <v>82</v>
      </c>
      <c r="AF1062" s="610"/>
      <c r="AG1062" s="610"/>
      <c r="AH1062" s="610">
        <v>1</v>
      </c>
      <c r="AI1062" s="610">
        <v>840</v>
      </c>
      <c r="AJ1062" s="613">
        <f t="shared" si="358"/>
        <v>0</v>
      </c>
      <c r="AK1062" s="610"/>
      <c r="AL1062" s="610"/>
      <c r="AM1062" s="554"/>
      <c r="AN1062" s="554">
        <f t="shared" si="360"/>
        <v>840</v>
      </c>
      <c r="AO1062" s="554"/>
      <c r="AP1062" s="554"/>
      <c r="AQ1062" s="554"/>
      <c r="AR1062" s="554"/>
      <c r="AS1062" s="554">
        <f t="shared" si="359"/>
        <v>840</v>
      </c>
      <c r="AT1062" s="554"/>
      <c r="AU1062" s="554">
        <f t="shared" si="352"/>
        <v>840</v>
      </c>
      <c r="AV1062" s="554"/>
      <c r="AW1062" s="554">
        <f t="shared" si="353"/>
        <v>840</v>
      </c>
      <c r="AX1062" s="714"/>
      <c r="AY1062" s="554"/>
      <c r="AZ1062" s="554"/>
      <c r="BA1062" s="554"/>
      <c r="BB1062" s="554"/>
      <c r="BC1062" s="554"/>
      <c r="BD1062" s="554"/>
      <c r="BE1062" s="554"/>
      <c r="BF1062" s="554"/>
      <c r="BG1062" s="554"/>
      <c r="BH1062" s="554"/>
      <c r="BI1062" s="554"/>
      <c r="BJ1062" s="554"/>
      <c r="BK1062" s="554"/>
      <c r="BL1062" s="554"/>
      <c r="BM1062" s="554"/>
      <c r="BN1062" s="554"/>
      <c r="BO1062" s="554"/>
      <c r="BP1062" s="554"/>
      <c r="BQ1062" s="554"/>
      <c r="BR1062" s="554"/>
      <c r="BS1062" s="554"/>
      <c r="BT1062" s="554"/>
      <c r="BU1062" s="554"/>
      <c r="BV1062" s="554"/>
      <c r="BW1062" s="554"/>
      <c r="BX1062" s="554"/>
      <c r="BY1062" s="554"/>
      <c r="BZ1062" s="554"/>
      <c r="CA1062" s="554"/>
      <c r="CB1062" s="554"/>
      <c r="CC1062" s="554"/>
      <c r="CD1062" s="554"/>
      <c r="CE1062" s="554"/>
      <c r="CF1062" s="554"/>
      <c r="CG1062" s="554"/>
      <c r="CH1062" s="619"/>
      <c r="CI1062" s="619"/>
      <c r="CJ1062" s="619"/>
      <c r="CK1062" s="619"/>
      <c r="CL1062" s="619"/>
      <c r="CM1062" s="554"/>
      <c r="CN1062" s="554"/>
      <c r="CO1062" s="554"/>
      <c r="CP1062" s="619"/>
      <c r="CQ1062" s="619"/>
      <c r="CR1062" s="619"/>
      <c r="CS1062" s="619"/>
      <c r="CT1062" s="619"/>
      <c r="CU1062" s="619"/>
    </row>
    <row r="1063" s="1265" customFormat="1" ht="31" customHeight="1" spans="1:99">
      <c r="A1063" s="608">
        <v>46119</v>
      </c>
      <c r="B1063" s="609" t="s">
        <v>3340</v>
      </c>
      <c r="C1063" s="610" t="s">
        <v>98</v>
      </c>
      <c r="D1063" s="554" t="s">
        <v>4041</v>
      </c>
      <c r="E1063" s="610" t="s">
        <v>4042</v>
      </c>
      <c r="F1063" s="554" t="s">
        <v>4043</v>
      </c>
      <c r="G1063" s="623" t="s">
        <v>68</v>
      </c>
      <c r="H1063" s="610" t="s">
        <v>69</v>
      </c>
      <c r="I1063" s="715">
        <v>996</v>
      </c>
      <c r="J1063" s="610">
        <v>0</v>
      </c>
      <c r="K1063" s="610">
        <v>12</v>
      </c>
      <c r="L1063" s="611">
        <f t="shared" si="356"/>
        <v>83</v>
      </c>
      <c r="M1063" s="612">
        <v>46175</v>
      </c>
      <c r="N1063" s="612">
        <v>46171</v>
      </c>
      <c r="O1063" s="613"/>
      <c r="P1063" s="824" t="s">
        <v>113</v>
      </c>
      <c r="Q1063" s="614"/>
      <c r="R1063" s="614">
        <v>46119</v>
      </c>
      <c r="S1063" s="614" t="s">
        <v>70</v>
      </c>
      <c r="T1063" s="614" t="s">
        <v>3862</v>
      </c>
      <c r="U1063" s="614"/>
      <c r="V1063" s="614"/>
      <c r="W1063" s="609"/>
      <c r="X1063" s="738" t="s">
        <v>4044</v>
      </c>
      <c r="Y1063" s="616" t="s">
        <v>3864</v>
      </c>
      <c r="Z1063" s="1345">
        <v>2.5573</v>
      </c>
      <c r="AA1063" s="616">
        <f t="shared" si="351"/>
        <v>2547.0708</v>
      </c>
      <c r="AB1063" s="554"/>
      <c r="AC1063" s="629" t="s">
        <v>4045</v>
      </c>
      <c r="AD1063" s="610" t="s">
        <v>68</v>
      </c>
      <c r="AE1063" s="610" t="s">
        <v>82</v>
      </c>
      <c r="AF1063" s="610"/>
      <c r="AG1063" s="610"/>
      <c r="AH1063" s="610">
        <v>1</v>
      </c>
      <c r="AI1063" s="610">
        <v>996</v>
      </c>
      <c r="AJ1063" s="610">
        <f t="shared" si="358"/>
        <v>0</v>
      </c>
      <c r="AK1063" s="610"/>
      <c r="AL1063" s="610" t="s">
        <v>2368</v>
      </c>
      <c r="AM1063" s="554"/>
      <c r="AN1063" s="554">
        <f t="shared" si="360"/>
        <v>996</v>
      </c>
      <c r="AO1063" s="554"/>
      <c r="AP1063" s="554"/>
      <c r="AQ1063" s="554"/>
      <c r="AR1063" s="554">
        <f>I1063</f>
        <v>996</v>
      </c>
      <c r="AS1063" s="554"/>
      <c r="AT1063" s="554"/>
      <c r="AU1063" s="554">
        <f t="shared" si="352"/>
        <v>996</v>
      </c>
      <c r="AV1063" s="554"/>
      <c r="AW1063" s="554">
        <f t="shared" si="353"/>
        <v>996</v>
      </c>
      <c r="AX1063" s="714"/>
      <c r="AY1063" s="554"/>
      <c r="AZ1063" s="554"/>
      <c r="BA1063" s="554"/>
      <c r="BB1063" s="554"/>
      <c r="BC1063" s="554"/>
      <c r="BD1063" s="554"/>
      <c r="BE1063" s="554"/>
      <c r="BF1063" s="554"/>
      <c r="BG1063" s="554"/>
      <c r="BH1063" s="554"/>
      <c r="BI1063" s="554"/>
      <c r="BJ1063" s="554"/>
      <c r="BK1063" s="554"/>
      <c r="BL1063" s="554"/>
      <c r="BM1063" s="554"/>
      <c r="BN1063" s="554"/>
      <c r="BO1063" s="554"/>
      <c r="BP1063" s="554"/>
      <c r="BQ1063" s="554"/>
      <c r="BR1063" s="554"/>
      <c r="BS1063" s="554"/>
      <c r="BT1063" s="554"/>
      <c r="BU1063" s="554"/>
      <c r="BV1063" s="554"/>
      <c r="BW1063" s="554"/>
      <c r="BX1063" s="554"/>
      <c r="BY1063" s="554"/>
      <c r="BZ1063" s="554"/>
      <c r="CA1063" s="554"/>
      <c r="CB1063" s="554"/>
      <c r="CC1063" s="554"/>
      <c r="CD1063" s="554"/>
      <c r="CE1063" s="554"/>
      <c r="CF1063" s="554"/>
      <c r="CG1063" s="554"/>
      <c r="CH1063" s="619"/>
      <c r="CI1063" s="619"/>
      <c r="CJ1063" s="619"/>
      <c r="CK1063" s="619"/>
      <c r="CL1063" s="619"/>
      <c r="CM1063" s="554"/>
      <c r="CN1063" s="554"/>
      <c r="CO1063" s="554"/>
      <c r="CP1063" s="619"/>
      <c r="CQ1063" s="619"/>
      <c r="CR1063" s="619"/>
      <c r="CS1063" s="619"/>
      <c r="CT1063" s="619"/>
      <c r="CU1063" s="619"/>
    </row>
    <row r="1064" s="1265" customFormat="1" ht="31" customHeight="1" spans="1:99">
      <c r="A1064" s="608">
        <v>46119</v>
      </c>
      <c r="B1064" s="609" t="s">
        <v>3340</v>
      </c>
      <c r="C1064" s="610" t="s">
        <v>98</v>
      </c>
      <c r="D1064" s="554" t="s">
        <v>4046</v>
      </c>
      <c r="E1064" s="610" t="s">
        <v>4047</v>
      </c>
      <c r="F1064" s="554" t="s">
        <v>4048</v>
      </c>
      <c r="G1064" s="623" t="s">
        <v>68</v>
      </c>
      <c r="H1064" s="610" t="s">
        <v>69</v>
      </c>
      <c r="I1064" s="715">
        <v>1200</v>
      </c>
      <c r="J1064" s="610">
        <v>0</v>
      </c>
      <c r="K1064" s="610">
        <v>12</v>
      </c>
      <c r="L1064" s="611">
        <f t="shared" si="356"/>
        <v>100</v>
      </c>
      <c r="M1064" s="612">
        <v>46175</v>
      </c>
      <c r="N1064" s="612">
        <v>46171</v>
      </c>
      <c r="O1064" s="613"/>
      <c r="P1064" s="824" t="s">
        <v>113</v>
      </c>
      <c r="Q1064" s="614"/>
      <c r="R1064" s="614">
        <v>46119</v>
      </c>
      <c r="S1064" s="614" t="s">
        <v>70</v>
      </c>
      <c r="T1064" s="614" t="s">
        <v>3862</v>
      </c>
      <c r="U1064" s="614"/>
      <c r="V1064" s="614"/>
      <c r="W1064" s="609"/>
      <c r="X1064" s="609" t="s">
        <v>4049</v>
      </c>
      <c r="Y1064" s="616" t="s">
        <v>3864</v>
      </c>
      <c r="Z1064" s="1345">
        <v>2.5573</v>
      </c>
      <c r="AA1064" s="616">
        <f t="shared" si="351"/>
        <v>3068.76</v>
      </c>
      <c r="AB1064" s="554"/>
      <c r="AC1064" s="629" t="s">
        <v>4050</v>
      </c>
      <c r="AD1064" s="610" t="s">
        <v>68</v>
      </c>
      <c r="AE1064" s="610" t="s">
        <v>82</v>
      </c>
      <c r="AF1064" s="610"/>
      <c r="AG1064" s="610"/>
      <c r="AH1064" s="610">
        <v>1</v>
      </c>
      <c r="AI1064" s="610">
        <v>1200</v>
      </c>
      <c r="AJ1064" s="610">
        <f t="shared" si="358"/>
        <v>0</v>
      </c>
      <c r="AK1064" s="610"/>
      <c r="AL1064" s="610" t="s">
        <v>2368</v>
      </c>
      <c r="AM1064" s="554"/>
      <c r="AN1064" s="554">
        <f t="shared" si="360"/>
        <v>1200</v>
      </c>
      <c r="AO1064" s="554"/>
      <c r="AP1064" s="554"/>
      <c r="AQ1064" s="554"/>
      <c r="AR1064" s="554">
        <f>I1064</f>
        <v>1200</v>
      </c>
      <c r="AS1064" s="554"/>
      <c r="AT1064" s="554"/>
      <c r="AU1064" s="554">
        <f t="shared" si="352"/>
        <v>1200</v>
      </c>
      <c r="AV1064" s="554"/>
      <c r="AW1064" s="554">
        <f t="shared" si="353"/>
        <v>1200</v>
      </c>
      <c r="AX1064" s="714"/>
      <c r="AY1064" s="554"/>
      <c r="AZ1064" s="554"/>
      <c r="BA1064" s="554"/>
      <c r="BB1064" s="554"/>
      <c r="BC1064" s="554"/>
      <c r="BD1064" s="554"/>
      <c r="BE1064" s="554"/>
      <c r="BF1064" s="554"/>
      <c r="BG1064" s="554"/>
      <c r="BH1064" s="554"/>
      <c r="BI1064" s="554"/>
      <c r="BJ1064" s="554"/>
      <c r="BK1064" s="554"/>
      <c r="BL1064" s="554"/>
      <c r="BM1064" s="554"/>
      <c r="BN1064" s="554"/>
      <c r="BO1064" s="554"/>
      <c r="BP1064" s="554"/>
      <c r="BQ1064" s="554"/>
      <c r="BR1064" s="554"/>
      <c r="BS1064" s="554"/>
      <c r="BT1064" s="554"/>
      <c r="BU1064" s="554"/>
      <c r="BV1064" s="554"/>
      <c r="BW1064" s="554"/>
      <c r="BX1064" s="554"/>
      <c r="BY1064" s="554"/>
      <c r="BZ1064" s="554"/>
      <c r="CA1064" s="554"/>
      <c r="CB1064" s="554"/>
      <c r="CC1064" s="554"/>
      <c r="CD1064" s="554"/>
      <c r="CE1064" s="554"/>
      <c r="CF1064" s="554"/>
      <c r="CG1064" s="554"/>
      <c r="CH1064" s="619"/>
      <c r="CI1064" s="619"/>
      <c r="CJ1064" s="619"/>
      <c r="CK1064" s="619"/>
      <c r="CL1064" s="619"/>
      <c r="CM1064" s="554"/>
      <c r="CN1064" s="554"/>
      <c r="CO1064" s="554"/>
      <c r="CP1064" s="619"/>
      <c r="CQ1064" s="619"/>
      <c r="CR1064" s="619"/>
      <c r="CS1064" s="619"/>
      <c r="CT1064" s="619"/>
      <c r="CU1064" s="619"/>
    </row>
    <row r="1065" s="1265" customFormat="1" ht="31" customHeight="1" spans="1:99">
      <c r="A1065" s="608">
        <v>46128</v>
      </c>
      <c r="B1065" s="609" t="s">
        <v>4051</v>
      </c>
      <c r="C1065" s="610" t="s">
        <v>4052</v>
      </c>
      <c r="D1065" s="554">
        <v>4500202366</v>
      </c>
      <c r="E1065" s="610" t="s">
        <v>4053</v>
      </c>
      <c r="F1065" s="554" t="s">
        <v>4054</v>
      </c>
      <c r="G1065" s="610" t="s">
        <v>68</v>
      </c>
      <c r="H1065" s="610" t="s">
        <v>69</v>
      </c>
      <c r="I1065" s="715">
        <v>4500</v>
      </c>
      <c r="J1065" s="610">
        <v>0</v>
      </c>
      <c r="K1065" s="610">
        <v>12</v>
      </c>
      <c r="L1065" s="611">
        <f t="shared" si="356"/>
        <v>375</v>
      </c>
      <c r="M1065" s="612">
        <v>46175</v>
      </c>
      <c r="N1065" s="612">
        <v>46171</v>
      </c>
      <c r="O1065" s="613"/>
      <c r="P1065" s="824" t="s">
        <v>113</v>
      </c>
      <c r="Q1065" s="614" t="s">
        <v>4021</v>
      </c>
      <c r="R1065" s="614">
        <v>46139</v>
      </c>
      <c r="S1065" s="614" t="s">
        <v>70</v>
      </c>
      <c r="T1065" s="614" t="s">
        <v>4055</v>
      </c>
      <c r="U1065" s="614"/>
      <c r="V1065" s="614" t="s">
        <v>4056</v>
      </c>
      <c r="W1065" s="609"/>
      <c r="X1065" s="609" t="s">
        <v>4057</v>
      </c>
      <c r="Y1065" s="616" t="s">
        <v>445</v>
      </c>
      <c r="Z1065" s="625">
        <v>4.2567</v>
      </c>
      <c r="AA1065" s="616">
        <f t="shared" si="351"/>
        <v>19155.15</v>
      </c>
      <c r="AB1065" s="554"/>
      <c r="AC1065" s="617"/>
      <c r="AD1065" s="610" t="s">
        <v>184</v>
      </c>
      <c r="AE1065" s="610" t="s">
        <v>82</v>
      </c>
      <c r="AF1065" s="610"/>
      <c r="AG1065" s="610"/>
      <c r="AH1065" s="610">
        <v>1</v>
      </c>
      <c r="AI1065" s="610">
        <f>4488+12</f>
        <v>4500</v>
      </c>
      <c r="AJ1065" s="613">
        <f t="shared" si="358"/>
        <v>0</v>
      </c>
      <c r="AK1065" s="610"/>
      <c r="AL1065" s="610" t="s">
        <v>2368</v>
      </c>
      <c r="AM1065" s="554"/>
      <c r="AN1065" s="554">
        <f t="shared" si="360"/>
        <v>4500</v>
      </c>
      <c r="AO1065" s="554"/>
      <c r="AP1065" s="554"/>
      <c r="AQ1065" s="554"/>
      <c r="AR1065" s="554"/>
      <c r="AS1065" s="554">
        <f t="shared" ref="AS1065:AS1070" si="361">I1065</f>
        <v>4500</v>
      </c>
      <c r="AT1065" s="554"/>
      <c r="AU1065" s="554">
        <f t="shared" si="352"/>
        <v>4500</v>
      </c>
      <c r="AV1065" s="554"/>
      <c r="AW1065" s="554">
        <f t="shared" si="353"/>
        <v>4500</v>
      </c>
      <c r="AX1065" s="714"/>
      <c r="AY1065" s="554"/>
      <c r="AZ1065" s="554"/>
      <c r="BA1065" s="554"/>
      <c r="BB1065" s="554"/>
      <c r="BC1065" s="554"/>
      <c r="BD1065" s="554"/>
      <c r="BE1065" s="554"/>
      <c r="BF1065" s="554"/>
      <c r="BG1065" s="554"/>
      <c r="BH1065" s="554"/>
      <c r="BI1065" s="554"/>
      <c r="BJ1065" s="554"/>
      <c r="BK1065" s="554"/>
      <c r="BL1065" s="554"/>
      <c r="BM1065" s="554"/>
      <c r="BN1065" s="554"/>
      <c r="BO1065" s="554"/>
      <c r="BP1065" s="554"/>
      <c r="BQ1065" s="554"/>
      <c r="BR1065" s="554"/>
      <c r="BS1065" s="554"/>
      <c r="BT1065" s="554"/>
      <c r="BU1065" s="554"/>
      <c r="BV1065" s="554"/>
      <c r="BW1065" s="554"/>
      <c r="BX1065" s="554"/>
      <c r="BY1065" s="554"/>
      <c r="BZ1065" s="554"/>
      <c r="CA1065" s="554"/>
      <c r="CB1065" s="554"/>
      <c r="CC1065" s="554"/>
      <c r="CD1065" s="554"/>
      <c r="CE1065" s="554"/>
      <c r="CF1065" s="554"/>
      <c r="CG1065" s="554"/>
      <c r="CH1065" s="619"/>
      <c r="CI1065" s="619"/>
      <c r="CJ1065" s="619"/>
      <c r="CK1065" s="619"/>
      <c r="CL1065" s="619"/>
      <c r="CM1065" s="554"/>
      <c r="CN1065" s="554"/>
      <c r="CO1065" s="554"/>
      <c r="CP1065" s="619"/>
      <c r="CQ1065" s="619"/>
      <c r="CR1065" s="619"/>
      <c r="CS1065" s="619"/>
      <c r="CT1065" s="619"/>
      <c r="CU1065" s="619"/>
    </row>
    <row r="1066" s="1265" customFormat="1" ht="31" customHeight="1" spans="1:99">
      <c r="A1066" s="608">
        <v>46121</v>
      </c>
      <c r="B1066" s="609" t="s">
        <v>4058</v>
      </c>
      <c r="C1066" s="610" t="s">
        <v>302</v>
      </c>
      <c r="D1066" s="554" t="s">
        <v>4059</v>
      </c>
      <c r="E1066" s="610" t="s">
        <v>4060</v>
      </c>
      <c r="F1066" s="554" t="s">
        <v>4061</v>
      </c>
      <c r="G1066" s="623" t="s">
        <v>111</v>
      </c>
      <c r="H1066" s="610" t="s">
        <v>112</v>
      </c>
      <c r="I1066" s="715">
        <v>48</v>
      </c>
      <c r="J1066" s="610">
        <v>0</v>
      </c>
      <c r="K1066" s="610">
        <v>16</v>
      </c>
      <c r="L1066" s="611">
        <f t="shared" si="356"/>
        <v>3</v>
      </c>
      <c r="M1066" s="612">
        <v>46167</v>
      </c>
      <c r="N1066" s="612">
        <v>46163</v>
      </c>
      <c r="O1066" s="734" t="s">
        <v>4062</v>
      </c>
      <c r="P1066" s="824" t="s">
        <v>113</v>
      </c>
      <c r="Q1066" s="614"/>
      <c r="R1066" s="614">
        <v>46121</v>
      </c>
      <c r="S1066" s="614" t="s">
        <v>70</v>
      </c>
      <c r="T1066" s="614" t="s">
        <v>70</v>
      </c>
      <c r="U1066" s="614"/>
      <c r="V1066" s="614"/>
      <c r="W1066" s="738" t="s">
        <v>4063</v>
      </c>
      <c r="X1066" s="609" t="s">
        <v>4064</v>
      </c>
      <c r="Y1066" s="616" t="s">
        <v>4065</v>
      </c>
      <c r="Z1066" s="1345">
        <v>4.3125</v>
      </c>
      <c r="AA1066" s="616">
        <f t="shared" si="351"/>
        <v>207</v>
      </c>
      <c r="AB1066" s="554"/>
      <c r="AC1066" s="617"/>
      <c r="AD1066" s="610" t="s">
        <v>447</v>
      </c>
      <c r="AE1066" s="610" t="s">
        <v>82</v>
      </c>
      <c r="AF1066" s="610"/>
      <c r="AG1066" s="610"/>
      <c r="AH1066" s="610">
        <v>1</v>
      </c>
      <c r="AI1066" s="610">
        <v>48</v>
      </c>
      <c r="AJ1066" s="613">
        <f t="shared" si="358"/>
        <v>0</v>
      </c>
      <c r="AK1066" s="610"/>
      <c r="AL1066" s="610"/>
      <c r="AM1066" s="554"/>
      <c r="AN1066" s="554">
        <f t="shared" si="360"/>
        <v>48</v>
      </c>
      <c r="AO1066" s="554"/>
      <c r="AP1066" s="554"/>
      <c r="AQ1066" s="554"/>
      <c r="AR1066" s="554"/>
      <c r="AS1066" s="554">
        <f t="shared" si="361"/>
        <v>48</v>
      </c>
      <c r="AT1066" s="554"/>
      <c r="AU1066" s="554">
        <f t="shared" si="352"/>
        <v>48</v>
      </c>
      <c r="AV1066" s="554"/>
      <c r="AW1066" s="554">
        <f t="shared" si="353"/>
        <v>48</v>
      </c>
      <c r="AX1066" s="714"/>
      <c r="AY1066" s="554"/>
      <c r="AZ1066" s="554"/>
      <c r="BA1066" s="554"/>
      <c r="BB1066" s="554"/>
      <c r="BC1066" s="554"/>
      <c r="BD1066" s="554"/>
      <c r="BE1066" s="554"/>
      <c r="BF1066" s="554"/>
      <c r="BG1066" s="554"/>
      <c r="BH1066" s="554"/>
      <c r="BI1066" s="554">
        <f>I1066/4</f>
        <v>12</v>
      </c>
      <c r="BJ1066" s="554"/>
      <c r="BK1066" s="554"/>
      <c r="BL1066" s="554"/>
      <c r="BM1066" s="554"/>
      <c r="BN1066" s="554"/>
      <c r="BO1066" s="554"/>
      <c r="BP1066" s="554"/>
      <c r="BQ1066" s="554"/>
      <c r="BR1066" s="554"/>
      <c r="BS1066" s="554"/>
      <c r="BT1066" s="554"/>
      <c r="BU1066" s="554"/>
      <c r="BV1066" s="554"/>
      <c r="BW1066" s="554"/>
      <c r="BX1066" s="554"/>
      <c r="BY1066" s="554"/>
      <c r="BZ1066" s="554"/>
      <c r="CA1066" s="554"/>
      <c r="CB1066" s="554"/>
      <c r="CC1066" s="554"/>
      <c r="CD1066" s="554"/>
      <c r="CE1066" s="554"/>
      <c r="CF1066" s="554"/>
      <c r="CG1066" s="554"/>
      <c r="CH1066" s="619"/>
      <c r="CI1066" s="619"/>
      <c r="CJ1066" s="619"/>
      <c r="CK1066" s="619"/>
      <c r="CL1066" s="619"/>
      <c r="CM1066" s="554"/>
      <c r="CN1066" s="554"/>
      <c r="CO1066" s="554"/>
      <c r="CP1066" s="619"/>
      <c r="CQ1066" s="619"/>
      <c r="CR1066" s="619"/>
      <c r="CS1066" s="619"/>
      <c r="CT1066" s="619"/>
      <c r="CU1066" s="619"/>
    </row>
    <row r="1067" s="1265" customFormat="1" ht="31" customHeight="1" spans="1:99">
      <c r="A1067" s="608">
        <v>46121</v>
      </c>
      <c r="B1067" s="609" t="s">
        <v>4058</v>
      </c>
      <c r="C1067" s="610" t="s">
        <v>302</v>
      </c>
      <c r="D1067" s="554" t="s">
        <v>4059</v>
      </c>
      <c r="E1067" s="610" t="s">
        <v>4066</v>
      </c>
      <c r="F1067" s="554" t="s">
        <v>4067</v>
      </c>
      <c r="G1067" s="623" t="s">
        <v>111</v>
      </c>
      <c r="H1067" s="610" t="s">
        <v>112</v>
      </c>
      <c r="I1067" s="715">
        <v>1264</v>
      </c>
      <c r="J1067" s="610">
        <v>0</v>
      </c>
      <c r="K1067" s="610">
        <v>16</v>
      </c>
      <c r="L1067" s="611">
        <f t="shared" si="356"/>
        <v>79</v>
      </c>
      <c r="M1067" s="612">
        <v>46167</v>
      </c>
      <c r="N1067" s="612">
        <v>46163</v>
      </c>
      <c r="O1067" s="734" t="s">
        <v>4062</v>
      </c>
      <c r="P1067" s="824" t="s">
        <v>113</v>
      </c>
      <c r="Q1067" s="614"/>
      <c r="R1067" s="614">
        <v>46121</v>
      </c>
      <c r="S1067" s="614" t="s">
        <v>70</v>
      </c>
      <c r="T1067" s="614" t="s">
        <v>70</v>
      </c>
      <c r="U1067" s="614"/>
      <c r="V1067" s="614"/>
      <c r="W1067" s="738" t="s">
        <v>4063</v>
      </c>
      <c r="X1067" s="609" t="s">
        <v>4064</v>
      </c>
      <c r="Y1067" s="616" t="s">
        <v>4065</v>
      </c>
      <c r="Z1067" s="1345">
        <v>4.3125</v>
      </c>
      <c r="AA1067" s="616">
        <f t="shared" si="351"/>
        <v>5451</v>
      </c>
      <c r="AB1067" s="554"/>
      <c r="AC1067" s="617"/>
      <c r="AD1067" s="610" t="s">
        <v>447</v>
      </c>
      <c r="AE1067" s="610" t="s">
        <v>82</v>
      </c>
      <c r="AF1067" s="610"/>
      <c r="AG1067" s="610"/>
      <c r="AH1067" s="610">
        <v>1</v>
      </c>
      <c r="AI1067" s="610">
        <v>1264</v>
      </c>
      <c r="AJ1067" s="613">
        <f t="shared" si="358"/>
        <v>0</v>
      </c>
      <c r="AK1067" s="610"/>
      <c r="AL1067" s="610"/>
      <c r="AM1067" s="554"/>
      <c r="AN1067" s="554">
        <f t="shared" si="360"/>
        <v>1264</v>
      </c>
      <c r="AO1067" s="554"/>
      <c r="AP1067" s="554"/>
      <c r="AQ1067" s="554"/>
      <c r="AR1067" s="554"/>
      <c r="AS1067" s="554">
        <f t="shared" si="361"/>
        <v>1264</v>
      </c>
      <c r="AT1067" s="554"/>
      <c r="AU1067" s="554">
        <f t="shared" si="352"/>
        <v>1264</v>
      </c>
      <c r="AV1067" s="554"/>
      <c r="AW1067" s="554">
        <f t="shared" si="353"/>
        <v>1264</v>
      </c>
      <c r="AX1067" s="714"/>
      <c r="AY1067" s="554"/>
      <c r="AZ1067" s="554"/>
      <c r="BA1067" s="554"/>
      <c r="BB1067" s="554"/>
      <c r="BC1067" s="554"/>
      <c r="BD1067" s="554"/>
      <c r="BE1067" s="554"/>
      <c r="BF1067" s="554"/>
      <c r="BG1067" s="554"/>
      <c r="BH1067" s="554"/>
      <c r="BI1067" s="554">
        <f>I1067/4</f>
        <v>316</v>
      </c>
      <c r="BJ1067" s="554"/>
      <c r="BK1067" s="554"/>
      <c r="BL1067" s="554"/>
      <c r="BM1067" s="554"/>
      <c r="BN1067" s="554"/>
      <c r="BO1067" s="554"/>
      <c r="BP1067" s="554"/>
      <c r="BQ1067" s="554"/>
      <c r="BR1067" s="554"/>
      <c r="BS1067" s="554"/>
      <c r="BT1067" s="554"/>
      <c r="BU1067" s="554"/>
      <c r="BV1067" s="554"/>
      <c r="BW1067" s="554"/>
      <c r="BX1067" s="554"/>
      <c r="BY1067" s="554"/>
      <c r="BZ1067" s="554"/>
      <c r="CA1067" s="554"/>
      <c r="CB1067" s="554"/>
      <c r="CC1067" s="554"/>
      <c r="CD1067" s="554"/>
      <c r="CE1067" s="554"/>
      <c r="CF1067" s="554"/>
      <c r="CG1067" s="554"/>
      <c r="CH1067" s="619"/>
      <c r="CI1067" s="619"/>
      <c r="CJ1067" s="619"/>
      <c r="CK1067" s="619"/>
      <c r="CL1067" s="619"/>
      <c r="CM1067" s="554"/>
      <c r="CN1067" s="554"/>
      <c r="CO1067" s="554"/>
      <c r="CP1067" s="619"/>
      <c r="CQ1067" s="619"/>
      <c r="CR1067" s="619"/>
      <c r="CS1067" s="619"/>
      <c r="CT1067" s="619"/>
      <c r="CU1067" s="619"/>
    </row>
    <row r="1068" s="1265" customFormat="1" ht="31" customHeight="1" spans="1:99">
      <c r="A1068" s="608">
        <v>46121</v>
      </c>
      <c r="B1068" s="609" t="s">
        <v>4058</v>
      </c>
      <c r="C1068" s="610" t="s">
        <v>302</v>
      </c>
      <c r="D1068" s="554" t="s">
        <v>4059</v>
      </c>
      <c r="E1068" s="610" t="s">
        <v>4068</v>
      </c>
      <c r="F1068" s="554" t="s">
        <v>4069</v>
      </c>
      <c r="G1068" s="623" t="s">
        <v>111</v>
      </c>
      <c r="H1068" s="610" t="s">
        <v>112</v>
      </c>
      <c r="I1068" s="715">
        <v>80</v>
      </c>
      <c r="J1068" s="610">
        <v>0</v>
      </c>
      <c r="K1068" s="610">
        <v>16</v>
      </c>
      <c r="L1068" s="611">
        <f t="shared" si="356"/>
        <v>5</v>
      </c>
      <c r="M1068" s="612">
        <v>46167</v>
      </c>
      <c r="N1068" s="612">
        <v>46163</v>
      </c>
      <c r="O1068" s="734" t="s">
        <v>4062</v>
      </c>
      <c r="P1068" s="824" t="s">
        <v>113</v>
      </c>
      <c r="Q1068" s="614"/>
      <c r="R1068" s="614">
        <v>46121</v>
      </c>
      <c r="S1068" s="614" t="s">
        <v>70</v>
      </c>
      <c r="T1068" s="614" t="s">
        <v>70</v>
      </c>
      <c r="U1068" s="614"/>
      <c r="V1068" s="614"/>
      <c r="W1068" s="738" t="s">
        <v>4063</v>
      </c>
      <c r="X1068" s="609" t="s">
        <v>4064</v>
      </c>
      <c r="Y1068" s="616" t="s">
        <v>4065</v>
      </c>
      <c r="Z1068" s="1345">
        <v>4.3564</v>
      </c>
      <c r="AA1068" s="616">
        <f t="shared" si="351"/>
        <v>348.512</v>
      </c>
      <c r="AB1068" s="554"/>
      <c r="AC1068" s="617"/>
      <c r="AD1068" s="610" t="s">
        <v>447</v>
      </c>
      <c r="AE1068" s="610" t="s">
        <v>82</v>
      </c>
      <c r="AF1068" s="610"/>
      <c r="AG1068" s="610"/>
      <c r="AH1068" s="610">
        <v>1</v>
      </c>
      <c r="AI1068" s="610">
        <v>80</v>
      </c>
      <c r="AJ1068" s="613">
        <f t="shared" si="358"/>
        <v>0</v>
      </c>
      <c r="AK1068" s="610"/>
      <c r="AL1068" s="610"/>
      <c r="AM1068" s="554"/>
      <c r="AN1068" s="554">
        <f t="shared" si="360"/>
        <v>80</v>
      </c>
      <c r="AO1068" s="554"/>
      <c r="AP1068" s="554"/>
      <c r="AQ1068" s="554"/>
      <c r="AR1068" s="554"/>
      <c r="AS1068" s="554">
        <f t="shared" si="361"/>
        <v>80</v>
      </c>
      <c r="AT1068" s="554"/>
      <c r="AU1068" s="554">
        <f t="shared" si="352"/>
        <v>80</v>
      </c>
      <c r="AV1068" s="554"/>
      <c r="AW1068" s="554">
        <f t="shared" si="353"/>
        <v>80</v>
      </c>
      <c r="AX1068" s="714"/>
      <c r="AY1068" s="554"/>
      <c r="AZ1068" s="554"/>
      <c r="BA1068" s="554"/>
      <c r="BB1068" s="554"/>
      <c r="BC1068" s="554"/>
      <c r="BD1068" s="554"/>
      <c r="BE1068" s="554"/>
      <c r="BF1068" s="554"/>
      <c r="BG1068" s="554"/>
      <c r="BH1068" s="554"/>
      <c r="BI1068" s="554">
        <f>I1068/4</f>
        <v>20</v>
      </c>
      <c r="BJ1068" s="554"/>
      <c r="BK1068" s="554"/>
      <c r="BL1068" s="554"/>
      <c r="BM1068" s="554"/>
      <c r="BN1068" s="554"/>
      <c r="BO1068" s="554"/>
      <c r="BP1068" s="554"/>
      <c r="BQ1068" s="554"/>
      <c r="BR1068" s="554"/>
      <c r="BS1068" s="554"/>
      <c r="BT1068" s="554"/>
      <c r="BU1068" s="554"/>
      <c r="BV1068" s="554"/>
      <c r="BW1068" s="554"/>
      <c r="BX1068" s="554"/>
      <c r="BY1068" s="554"/>
      <c r="BZ1068" s="554"/>
      <c r="CA1068" s="554"/>
      <c r="CB1068" s="554"/>
      <c r="CC1068" s="554"/>
      <c r="CD1068" s="554"/>
      <c r="CE1068" s="554"/>
      <c r="CF1068" s="554"/>
      <c r="CG1068" s="554"/>
      <c r="CH1068" s="619"/>
      <c r="CI1068" s="619"/>
      <c r="CJ1068" s="619"/>
      <c r="CK1068" s="619"/>
      <c r="CL1068" s="619"/>
      <c r="CM1068" s="554"/>
      <c r="CN1068" s="554"/>
      <c r="CO1068" s="554"/>
      <c r="CP1068" s="619"/>
      <c r="CQ1068" s="619"/>
      <c r="CR1068" s="619"/>
      <c r="CS1068" s="619"/>
      <c r="CT1068" s="619"/>
      <c r="CU1068" s="619"/>
    </row>
    <row r="1069" s="1265" customFormat="1" ht="31" customHeight="1" spans="1:99">
      <c r="A1069" s="608">
        <v>46121</v>
      </c>
      <c r="B1069" s="609" t="s">
        <v>4058</v>
      </c>
      <c r="C1069" s="610" t="s">
        <v>302</v>
      </c>
      <c r="D1069" s="554" t="s">
        <v>4070</v>
      </c>
      <c r="E1069" s="610" t="s">
        <v>4071</v>
      </c>
      <c r="F1069" s="554" t="s">
        <v>4072</v>
      </c>
      <c r="G1069" s="623" t="s">
        <v>111</v>
      </c>
      <c r="H1069" s="610" t="s">
        <v>112</v>
      </c>
      <c r="I1069" s="715">
        <v>1952</v>
      </c>
      <c r="J1069" s="610">
        <v>0</v>
      </c>
      <c r="K1069" s="610">
        <v>16</v>
      </c>
      <c r="L1069" s="611">
        <f t="shared" si="356"/>
        <v>122</v>
      </c>
      <c r="M1069" s="612">
        <v>46167</v>
      </c>
      <c r="N1069" s="612">
        <v>46163</v>
      </c>
      <c r="O1069" s="734" t="s">
        <v>4062</v>
      </c>
      <c r="P1069" s="824" t="s">
        <v>113</v>
      </c>
      <c r="Q1069" s="614"/>
      <c r="R1069" s="614">
        <v>46121</v>
      </c>
      <c r="S1069" s="614" t="s">
        <v>70</v>
      </c>
      <c r="T1069" s="614" t="s">
        <v>70</v>
      </c>
      <c r="U1069" s="614"/>
      <c r="V1069" s="614"/>
      <c r="W1069" s="738" t="s">
        <v>4063</v>
      </c>
      <c r="X1069" s="609" t="s">
        <v>4064</v>
      </c>
      <c r="Y1069" s="616" t="s">
        <v>4065</v>
      </c>
      <c r="Z1069" s="1345">
        <v>4.3564</v>
      </c>
      <c r="AA1069" s="616">
        <f t="shared" si="351"/>
        <v>8503.6928</v>
      </c>
      <c r="AB1069" s="554"/>
      <c r="AC1069" s="617"/>
      <c r="AD1069" s="610" t="s">
        <v>447</v>
      </c>
      <c r="AE1069" s="610" t="s">
        <v>82</v>
      </c>
      <c r="AF1069" s="610"/>
      <c r="AG1069" s="610"/>
      <c r="AH1069" s="610">
        <v>1</v>
      </c>
      <c r="AI1069" s="610">
        <v>1952</v>
      </c>
      <c r="AJ1069" s="613">
        <f t="shared" si="358"/>
        <v>0</v>
      </c>
      <c r="AK1069" s="610"/>
      <c r="AL1069" s="610"/>
      <c r="AM1069" s="554"/>
      <c r="AN1069" s="554">
        <f t="shared" si="360"/>
        <v>1952</v>
      </c>
      <c r="AO1069" s="554"/>
      <c r="AP1069" s="554"/>
      <c r="AQ1069" s="554"/>
      <c r="AR1069" s="554"/>
      <c r="AS1069" s="554">
        <f t="shared" si="361"/>
        <v>1952</v>
      </c>
      <c r="AT1069" s="554"/>
      <c r="AU1069" s="554">
        <f t="shared" si="352"/>
        <v>1952</v>
      </c>
      <c r="AV1069" s="554"/>
      <c r="AW1069" s="554">
        <f t="shared" si="353"/>
        <v>1952</v>
      </c>
      <c r="AX1069" s="714"/>
      <c r="AY1069" s="554"/>
      <c r="AZ1069" s="554"/>
      <c r="BA1069" s="554"/>
      <c r="BB1069" s="554"/>
      <c r="BC1069" s="554"/>
      <c r="BD1069" s="554"/>
      <c r="BE1069" s="554"/>
      <c r="BF1069" s="554"/>
      <c r="BG1069" s="554"/>
      <c r="BH1069" s="554"/>
      <c r="BI1069" s="554">
        <f>I1069/4</f>
        <v>488</v>
      </c>
      <c r="BJ1069" s="554"/>
      <c r="BK1069" s="554"/>
      <c r="BL1069" s="554"/>
      <c r="BM1069" s="554"/>
      <c r="BN1069" s="554"/>
      <c r="BO1069" s="554"/>
      <c r="BP1069" s="554"/>
      <c r="BQ1069" s="554"/>
      <c r="BR1069" s="554"/>
      <c r="BS1069" s="554"/>
      <c r="BT1069" s="554"/>
      <c r="BU1069" s="554"/>
      <c r="BV1069" s="554"/>
      <c r="BW1069" s="554"/>
      <c r="BX1069" s="554"/>
      <c r="BY1069" s="554"/>
      <c r="BZ1069" s="554"/>
      <c r="CA1069" s="554"/>
      <c r="CB1069" s="554"/>
      <c r="CC1069" s="554"/>
      <c r="CD1069" s="554"/>
      <c r="CE1069" s="554"/>
      <c r="CF1069" s="554"/>
      <c r="CG1069" s="554"/>
      <c r="CH1069" s="619"/>
      <c r="CI1069" s="619"/>
      <c r="CJ1069" s="619"/>
      <c r="CK1069" s="619"/>
      <c r="CL1069" s="619"/>
      <c r="CM1069" s="554"/>
      <c r="CN1069" s="554"/>
      <c r="CO1069" s="554"/>
      <c r="CP1069" s="619"/>
      <c r="CQ1069" s="619"/>
      <c r="CR1069" s="619"/>
      <c r="CS1069" s="619"/>
      <c r="CT1069" s="619"/>
      <c r="CU1069" s="619"/>
    </row>
    <row r="1070" s="1265" customFormat="1" ht="31" customHeight="1" spans="1:99">
      <c r="A1070" s="608">
        <v>46121</v>
      </c>
      <c r="B1070" s="609" t="s">
        <v>4058</v>
      </c>
      <c r="C1070" s="610" t="s">
        <v>302</v>
      </c>
      <c r="D1070" s="554" t="s">
        <v>4070</v>
      </c>
      <c r="E1070" s="610" t="s">
        <v>4073</v>
      </c>
      <c r="F1070" s="554" t="s">
        <v>4074</v>
      </c>
      <c r="G1070" s="623" t="s">
        <v>111</v>
      </c>
      <c r="H1070" s="610" t="s">
        <v>112</v>
      </c>
      <c r="I1070" s="715">
        <v>32</v>
      </c>
      <c r="J1070" s="610">
        <v>0</v>
      </c>
      <c r="K1070" s="610">
        <v>16</v>
      </c>
      <c r="L1070" s="611">
        <f t="shared" si="356"/>
        <v>2</v>
      </c>
      <c r="M1070" s="612">
        <v>46167</v>
      </c>
      <c r="N1070" s="612">
        <v>46163</v>
      </c>
      <c r="O1070" s="734" t="s">
        <v>4062</v>
      </c>
      <c r="P1070" s="824" t="s">
        <v>113</v>
      </c>
      <c r="Q1070" s="614"/>
      <c r="R1070" s="614">
        <v>46121</v>
      </c>
      <c r="S1070" s="614" t="s">
        <v>70</v>
      </c>
      <c r="T1070" s="614" t="s">
        <v>70</v>
      </c>
      <c r="U1070" s="614"/>
      <c r="V1070" s="614"/>
      <c r="W1070" s="738" t="s">
        <v>4063</v>
      </c>
      <c r="X1070" s="609" t="s">
        <v>4064</v>
      </c>
      <c r="Y1070" s="616" t="s">
        <v>4065</v>
      </c>
      <c r="Z1070" s="1345">
        <v>4.3564</v>
      </c>
      <c r="AA1070" s="616">
        <f t="shared" si="351"/>
        <v>139.4048</v>
      </c>
      <c r="AB1070" s="554"/>
      <c r="AC1070" s="617"/>
      <c r="AD1070" s="610" t="s">
        <v>447</v>
      </c>
      <c r="AE1070" s="610" t="s">
        <v>82</v>
      </c>
      <c r="AF1070" s="610"/>
      <c r="AG1070" s="610"/>
      <c r="AH1070" s="610">
        <v>1</v>
      </c>
      <c r="AI1070" s="610">
        <v>32</v>
      </c>
      <c r="AJ1070" s="613">
        <f t="shared" si="358"/>
        <v>0</v>
      </c>
      <c r="AK1070" s="610"/>
      <c r="AL1070" s="610"/>
      <c r="AM1070" s="554"/>
      <c r="AN1070" s="554">
        <f t="shared" si="360"/>
        <v>32</v>
      </c>
      <c r="AO1070" s="554"/>
      <c r="AP1070" s="554"/>
      <c r="AQ1070" s="554"/>
      <c r="AR1070" s="554"/>
      <c r="AS1070" s="554">
        <f t="shared" si="361"/>
        <v>32</v>
      </c>
      <c r="AT1070" s="554"/>
      <c r="AU1070" s="554">
        <f t="shared" si="352"/>
        <v>32</v>
      </c>
      <c r="AV1070" s="554"/>
      <c r="AW1070" s="554">
        <f t="shared" si="353"/>
        <v>32</v>
      </c>
      <c r="AX1070" s="714"/>
      <c r="AY1070" s="554"/>
      <c r="AZ1070" s="554"/>
      <c r="BA1070" s="554"/>
      <c r="BB1070" s="554"/>
      <c r="BC1070" s="554"/>
      <c r="BD1070" s="554"/>
      <c r="BE1070" s="554"/>
      <c r="BF1070" s="554"/>
      <c r="BG1070" s="554"/>
      <c r="BH1070" s="554"/>
      <c r="BI1070" s="554">
        <f>I1070/4</f>
        <v>8</v>
      </c>
      <c r="BJ1070" s="554"/>
      <c r="BK1070" s="554"/>
      <c r="BL1070" s="554"/>
      <c r="BM1070" s="554"/>
      <c r="BN1070" s="554"/>
      <c r="BO1070" s="554"/>
      <c r="BP1070" s="554"/>
      <c r="BQ1070" s="554"/>
      <c r="BR1070" s="554"/>
      <c r="BS1070" s="554"/>
      <c r="BT1070" s="554"/>
      <c r="BU1070" s="554"/>
      <c r="BV1070" s="554"/>
      <c r="BW1070" s="554"/>
      <c r="BX1070" s="554"/>
      <c r="BY1070" s="554"/>
      <c r="BZ1070" s="554"/>
      <c r="CA1070" s="554"/>
      <c r="CB1070" s="554"/>
      <c r="CC1070" s="554"/>
      <c r="CD1070" s="554"/>
      <c r="CE1070" s="554"/>
      <c r="CF1070" s="554"/>
      <c r="CG1070" s="554"/>
      <c r="CH1070" s="619"/>
      <c r="CI1070" s="619"/>
      <c r="CJ1070" s="619"/>
      <c r="CK1070" s="619"/>
      <c r="CL1070" s="619"/>
      <c r="CM1070" s="554"/>
      <c r="CN1070" s="554"/>
      <c r="CO1070" s="554"/>
      <c r="CP1070" s="619"/>
      <c r="CQ1070" s="619"/>
      <c r="CR1070" s="619"/>
      <c r="CS1070" s="619"/>
      <c r="CT1070" s="619"/>
      <c r="CU1070" s="619"/>
    </row>
    <row r="1071" s="1265" customFormat="1" ht="31" customHeight="1" spans="1:99">
      <c r="A1071" s="608">
        <v>46119</v>
      </c>
      <c r="B1071" s="609" t="s">
        <v>211</v>
      </c>
      <c r="C1071" s="610" t="s">
        <v>212</v>
      </c>
      <c r="D1071" s="554" t="s">
        <v>4075</v>
      </c>
      <c r="E1071" s="610" t="s">
        <v>4076</v>
      </c>
      <c r="F1071" s="554" t="s">
        <v>4077</v>
      </c>
      <c r="G1071" s="623" t="s">
        <v>518</v>
      </c>
      <c r="H1071" s="610" t="s">
        <v>477</v>
      </c>
      <c r="I1071" s="715">
        <v>1200</v>
      </c>
      <c r="J1071" s="610">
        <v>0</v>
      </c>
      <c r="K1071" s="610">
        <v>6</v>
      </c>
      <c r="L1071" s="611">
        <f t="shared" si="356"/>
        <v>200</v>
      </c>
      <c r="M1071" s="612">
        <v>46167</v>
      </c>
      <c r="N1071" s="612">
        <v>46163</v>
      </c>
      <c r="O1071" s="613"/>
      <c r="P1071" s="824" t="s">
        <v>113</v>
      </c>
      <c r="Q1071" s="730" t="s">
        <v>3902</v>
      </c>
      <c r="R1071" s="614">
        <v>46119</v>
      </c>
      <c r="S1071" s="614" t="s">
        <v>70</v>
      </c>
      <c r="T1071" s="614" t="s">
        <v>4078</v>
      </c>
      <c r="U1071" s="614"/>
      <c r="V1071" s="614"/>
      <c r="W1071" s="609"/>
      <c r="X1071" s="609" t="s">
        <v>4079</v>
      </c>
      <c r="Y1071" s="616" t="s">
        <v>1793</v>
      </c>
      <c r="Z1071" s="1345">
        <v>6.8992</v>
      </c>
      <c r="AA1071" s="616">
        <f t="shared" si="351"/>
        <v>8279.04</v>
      </c>
      <c r="AB1071" s="554"/>
      <c r="AC1071" s="617"/>
      <c r="AD1071" s="610" t="s">
        <v>1306</v>
      </c>
      <c r="AE1071" s="610" t="s">
        <v>82</v>
      </c>
      <c r="AF1071" s="610"/>
      <c r="AG1071" s="610"/>
      <c r="AH1071" s="610">
        <v>1</v>
      </c>
      <c r="AI1071" s="610"/>
      <c r="AJ1071" s="610">
        <f t="shared" si="358"/>
        <v>-1200</v>
      </c>
      <c r="AK1071" s="610"/>
      <c r="AL1071" s="610"/>
      <c r="AM1071" s="554"/>
      <c r="AN1071" s="554">
        <f t="shared" si="360"/>
        <v>1200</v>
      </c>
      <c r="AO1071" s="554"/>
      <c r="AP1071" s="554"/>
      <c r="AQ1071" s="554"/>
      <c r="AR1071" s="554">
        <f>I1071</f>
        <v>1200</v>
      </c>
      <c r="AS1071" s="554"/>
      <c r="AT1071" s="554"/>
      <c r="AU1071" s="554">
        <f t="shared" si="352"/>
        <v>1200</v>
      </c>
      <c r="AV1071" s="554"/>
      <c r="AW1071" s="554">
        <f t="shared" si="353"/>
        <v>1200</v>
      </c>
      <c r="AX1071" s="714"/>
      <c r="AY1071" s="554"/>
      <c r="AZ1071" s="554"/>
      <c r="BA1071" s="554"/>
      <c r="BB1071" s="554"/>
      <c r="BC1071" s="554"/>
      <c r="BD1071" s="554"/>
      <c r="BE1071" s="554"/>
      <c r="BF1071" s="554"/>
      <c r="BG1071" s="554"/>
      <c r="BH1071" s="554"/>
      <c r="BI1071" s="554"/>
      <c r="BJ1071" s="554"/>
      <c r="BK1071" s="554"/>
      <c r="BL1071" s="554"/>
      <c r="BM1071" s="554"/>
      <c r="BN1071" s="554">
        <f>I1071</f>
        <v>1200</v>
      </c>
      <c r="BO1071" s="554"/>
      <c r="BP1071" s="554"/>
      <c r="BQ1071" s="554"/>
      <c r="BR1071" s="554"/>
      <c r="BS1071" s="554"/>
      <c r="BT1071" s="554"/>
      <c r="BU1071" s="554"/>
      <c r="BV1071" s="554"/>
      <c r="BW1071" s="554"/>
      <c r="BX1071" s="554"/>
      <c r="BY1071" s="554"/>
      <c r="BZ1071" s="554"/>
      <c r="CA1071" s="554"/>
      <c r="CB1071" s="554"/>
      <c r="CC1071" s="554"/>
      <c r="CD1071" s="554"/>
      <c r="CE1071" s="554"/>
      <c r="CF1071" s="554"/>
      <c r="CG1071" s="554"/>
      <c r="CH1071" s="619"/>
      <c r="CI1071" s="619"/>
      <c r="CJ1071" s="619"/>
      <c r="CK1071" s="619"/>
      <c r="CL1071" s="619"/>
      <c r="CM1071" s="554"/>
      <c r="CN1071" s="554"/>
      <c r="CO1071" s="554"/>
      <c r="CP1071" s="619"/>
      <c r="CQ1071" s="619"/>
      <c r="CR1071" s="619"/>
      <c r="CS1071" s="619"/>
      <c r="CT1071" s="619"/>
      <c r="CU1071" s="619"/>
    </row>
    <row r="1072" s="1265" customFormat="1" ht="31" customHeight="1" spans="1:99">
      <c r="A1072" s="608">
        <v>46129</v>
      </c>
      <c r="B1072" s="609" t="s">
        <v>4080</v>
      </c>
      <c r="C1072" s="610" t="s">
        <v>411</v>
      </c>
      <c r="D1072" s="554">
        <v>4500202516</v>
      </c>
      <c r="E1072" s="610" t="s">
        <v>3846</v>
      </c>
      <c r="F1072" s="554" t="s">
        <v>4081</v>
      </c>
      <c r="G1072" s="610" t="s">
        <v>518</v>
      </c>
      <c r="H1072" s="610" t="s">
        <v>477</v>
      </c>
      <c r="I1072" s="715">
        <v>2520</v>
      </c>
      <c r="J1072" s="610">
        <v>0</v>
      </c>
      <c r="K1072" s="610">
        <v>6</v>
      </c>
      <c r="L1072" s="611">
        <f t="shared" si="356"/>
        <v>420</v>
      </c>
      <c r="M1072" s="612">
        <v>46167</v>
      </c>
      <c r="N1072" s="612">
        <v>46163</v>
      </c>
      <c r="O1072" s="613" t="s">
        <v>4082</v>
      </c>
      <c r="P1072" s="824" t="s">
        <v>113</v>
      </c>
      <c r="Q1072" s="614" t="s">
        <v>4083</v>
      </c>
      <c r="R1072" s="614">
        <v>46136</v>
      </c>
      <c r="S1072" s="614" t="s">
        <v>70</v>
      </c>
      <c r="T1072" s="614" t="s">
        <v>4084</v>
      </c>
      <c r="U1072" s="614"/>
      <c r="V1072" s="614"/>
      <c r="W1072" s="1351" t="s">
        <v>4085</v>
      </c>
      <c r="X1072" s="609" t="s">
        <v>4086</v>
      </c>
      <c r="Y1072" s="616" t="s">
        <v>415</v>
      </c>
      <c r="Z1072" s="625">
        <v>7.0149</v>
      </c>
      <c r="AA1072" s="616">
        <f t="shared" si="351"/>
        <v>17677.548</v>
      </c>
      <c r="AB1072" s="554"/>
      <c r="AC1072" s="617"/>
      <c r="AD1072" s="610" t="s">
        <v>480</v>
      </c>
      <c r="AE1072" s="610" t="s">
        <v>82</v>
      </c>
      <c r="AF1072" s="610"/>
      <c r="AG1072" s="610"/>
      <c r="AH1072" s="610">
        <v>1</v>
      </c>
      <c r="AI1072" s="610"/>
      <c r="AJ1072" s="610">
        <f t="shared" si="358"/>
        <v>-2520</v>
      </c>
      <c r="AK1072" s="610"/>
      <c r="AL1072" s="610"/>
      <c r="AM1072" s="554"/>
      <c r="AN1072" s="554">
        <f t="shared" si="360"/>
        <v>2520</v>
      </c>
      <c r="AO1072" s="554"/>
      <c r="AP1072" s="554"/>
      <c r="AQ1072" s="554"/>
      <c r="AR1072" s="554"/>
      <c r="AS1072" s="554">
        <f>I1072</f>
        <v>2520</v>
      </c>
      <c r="AT1072" s="554"/>
      <c r="AU1072" s="554">
        <f t="shared" si="352"/>
        <v>2520</v>
      </c>
      <c r="AV1072" s="554"/>
      <c r="AW1072" s="554">
        <f t="shared" si="353"/>
        <v>2520</v>
      </c>
      <c r="AX1072" s="714"/>
      <c r="AY1072" s="554"/>
      <c r="AZ1072" s="554"/>
      <c r="BA1072" s="554"/>
      <c r="BB1072" s="554"/>
      <c r="BC1072" s="554"/>
      <c r="BD1072" s="554"/>
      <c r="BE1072" s="554"/>
      <c r="BF1072" s="554"/>
      <c r="BG1072" s="554"/>
      <c r="BH1072" s="554"/>
      <c r="BI1072" s="554"/>
      <c r="BJ1072" s="554"/>
      <c r="BK1072" s="554"/>
      <c r="BL1072" s="554"/>
      <c r="BM1072" s="554"/>
      <c r="BN1072" s="554">
        <f>I1072</f>
        <v>2520</v>
      </c>
      <c r="BO1072" s="554"/>
      <c r="BP1072" s="554"/>
      <c r="BQ1072" s="554"/>
      <c r="BR1072" s="554"/>
      <c r="BS1072" s="554"/>
      <c r="BT1072" s="554"/>
      <c r="BU1072" s="554"/>
      <c r="BV1072" s="554"/>
      <c r="BW1072" s="554"/>
      <c r="BX1072" s="554"/>
      <c r="BY1072" s="554"/>
      <c r="BZ1072" s="554"/>
      <c r="CA1072" s="554"/>
      <c r="CB1072" s="554"/>
      <c r="CC1072" s="554"/>
      <c r="CD1072" s="554"/>
      <c r="CE1072" s="554"/>
      <c r="CF1072" s="554"/>
      <c r="CG1072" s="554"/>
      <c r="CH1072" s="619"/>
      <c r="CI1072" s="619"/>
      <c r="CJ1072" s="619"/>
      <c r="CK1072" s="619"/>
      <c r="CL1072" s="619"/>
      <c r="CM1072" s="554"/>
      <c r="CN1072" s="554"/>
      <c r="CO1072" s="554"/>
      <c r="CP1072" s="619"/>
      <c r="CQ1072" s="619"/>
      <c r="CR1072" s="619"/>
      <c r="CS1072" s="619"/>
      <c r="CT1072" s="619"/>
      <c r="CU1072" s="619"/>
    </row>
    <row r="1073" s="1265" customFormat="1" ht="31" customHeight="1" spans="1:100">
      <c r="A1073" s="608">
        <v>46129</v>
      </c>
      <c r="B1073" s="609" t="s">
        <v>4087</v>
      </c>
      <c r="C1073" s="610" t="s">
        <v>399</v>
      </c>
      <c r="D1073" s="554">
        <v>4500202524</v>
      </c>
      <c r="E1073" s="610" t="s">
        <v>3846</v>
      </c>
      <c r="F1073" s="554" t="s">
        <v>4088</v>
      </c>
      <c r="G1073" s="610" t="s">
        <v>518</v>
      </c>
      <c r="H1073" s="610" t="s">
        <v>477</v>
      </c>
      <c r="I1073" s="715">
        <v>1404</v>
      </c>
      <c r="J1073" s="610">
        <v>0</v>
      </c>
      <c r="K1073" s="610">
        <v>6</v>
      </c>
      <c r="L1073" s="611">
        <f t="shared" si="356"/>
        <v>234</v>
      </c>
      <c r="M1073" s="612">
        <v>46167</v>
      </c>
      <c r="N1073" s="612">
        <v>46163</v>
      </c>
      <c r="O1073" s="723" t="s">
        <v>4089</v>
      </c>
      <c r="P1073" s="824" t="s">
        <v>113</v>
      </c>
      <c r="Q1073" s="614" t="s">
        <v>510</v>
      </c>
      <c r="R1073" s="614">
        <v>46136</v>
      </c>
      <c r="S1073" s="614" t="s">
        <v>70</v>
      </c>
      <c r="T1073" s="614" t="s">
        <v>4090</v>
      </c>
      <c r="U1073" s="614"/>
      <c r="V1073" s="614"/>
      <c r="W1073" s="609" t="s">
        <v>4091</v>
      </c>
      <c r="X1073" s="609" t="s">
        <v>4092</v>
      </c>
      <c r="Y1073" s="616" t="s">
        <v>415</v>
      </c>
      <c r="Z1073" s="625">
        <v>6.8992</v>
      </c>
      <c r="AA1073" s="616">
        <f t="shared" si="351"/>
        <v>9686.4768</v>
      </c>
      <c r="AB1073" s="554"/>
      <c r="AC1073" s="617"/>
      <c r="AD1073" s="610" t="s">
        <v>480</v>
      </c>
      <c r="AE1073" s="610" t="s">
        <v>82</v>
      </c>
      <c r="AF1073" s="610"/>
      <c r="AG1073" s="610"/>
      <c r="AH1073" s="610">
        <v>1</v>
      </c>
      <c r="AI1073" s="610"/>
      <c r="AJ1073" s="610">
        <f t="shared" si="358"/>
        <v>-1404</v>
      </c>
      <c r="AK1073" s="610"/>
      <c r="AL1073" s="610"/>
      <c r="AM1073" s="554"/>
      <c r="AN1073" s="554">
        <f t="shared" si="360"/>
        <v>1404</v>
      </c>
      <c r="AO1073" s="554"/>
      <c r="AP1073" s="554"/>
      <c r="AQ1073" s="554"/>
      <c r="AR1073" s="554"/>
      <c r="AS1073" s="554">
        <f>I1073</f>
        <v>1404</v>
      </c>
      <c r="AT1073" s="554"/>
      <c r="AU1073" s="554">
        <f t="shared" si="352"/>
        <v>1404</v>
      </c>
      <c r="AV1073" s="554"/>
      <c r="AW1073" s="554">
        <f t="shared" si="353"/>
        <v>1404</v>
      </c>
      <c r="AX1073" s="714"/>
      <c r="AY1073" s="554"/>
      <c r="AZ1073" s="554"/>
      <c r="BA1073" s="554"/>
      <c r="BB1073" s="554"/>
      <c r="BC1073" s="554"/>
      <c r="BD1073" s="554"/>
      <c r="BE1073" s="554"/>
      <c r="BF1073" s="554"/>
      <c r="BG1073" s="554"/>
      <c r="BH1073" s="554"/>
      <c r="BI1073" s="554"/>
      <c r="BJ1073" s="554"/>
      <c r="BK1073" s="554"/>
      <c r="BL1073" s="554"/>
      <c r="BM1073" s="554"/>
      <c r="BN1073" s="554">
        <f>I1073</f>
        <v>1404</v>
      </c>
      <c r="BO1073" s="554"/>
      <c r="BP1073" s="554"/>
      <c r="BQ1073" s="554"/>
      <c r="BR1073" s="554"/>
      <c r="BS1073" s="554"/>
      <c r="BT1073" s="554"/>
      <c r="BU1073" s="554"/>
      <c r="BV1073" s="554"/>
      <c r="BW1073" s="554"/>
      <c r="BX1073" s="554"/>
      <c r="BY1073" s="554"/>
      <c r="BZ1073" s="554"/>
      <c r="CA1073" s="554"/>
      <c r="CB1073" s="554"/>
      <c r="CC1073" s="554"/>
      <c r="CD1073" s="554"/>
      <c r="CE1073" s="554"/>
      <c r="CF1073" s="554"/>
      <c r="CG1073" s="554"/>
      <c r="CH1073" s="619"/>
      <c r="CI1073" s="619"/>
      <c r="CJ1073" s="619"/>
      <c r="CK1073" s="619"/>
      <c r="CL1073" s="619"/>
      <c r="CM1073" s="554"/>
      <c r="CN1073" s="554"/>
      <c r="CO1073" s="554"/>
      <c r="CP1073" s="619"/>
      <c r="CQ1073" s="619"/>
      <c r="CR1073" s="619"/>
      <c r="CS1073" s="619"/>
      <c r="CT1073" s="619"/>
      <c r="CU1073" s="619"/>
    </row>
    <row r="1074" s="1266" customFormat="1" ht="31" customHeight="1" spans="1:100">
      <c r="A1074" s="641">
        <v>46120</v>
      </c>
      <c r="B1074" s="642" t="s">
        <v>2594</v>
      </c>
      <c r="C1074" s="246" t="s">
        <v>2595</v>
      </c>
      <c r="D1074" s="551" t="s">
        <v>3845</v>
      </c>
      <c r="E1074" s="246" t="s">
        <v>3846</v>
      </c>
      <c r="F1074" s="551" t="s">
        <v>4093</v>
      </c>
      <c r="G1074" s="1311" t="s">
        <v>4094</v>
      </c>
      <c r="H1074" s="246" t="s">
        <v>4095</v>
      </c>
      <c r="I1074" s="706">
        <v>360</v>
      </c>
      <c r="J1074" s="246">
        <v>0</v>
      </c>
      <c r="K1074" s="246">
        <v>6</v>
      </c>
      <c r="L1074" s="644">
        <f t="shared" si="356"/>
        <v>60</v>
      </c>
      <c r="M1074" s="645">
        <v>46162</v>
      </c>
      <c r="N1074" s="645">
        <v>46158</v>
      </c>
      <c r="O1074" s="643"/>
      <c r="P1074" s="246" t="s">
        <v>113</v>
      </c>
      <c r="Q1074" s="646"/>
      <c r="R1074" s="646">
        <v>46128</v>
      </c>
      <c r="S1074" s="646" t="s">
        <v>70</v>
      </c>
      <c r="T1074" s="646" t="s">
        <v>4096</v>
      </c>
      <c r="U1074" s="646"/>
      <c r="V1074" s="772" t="s">
        <v>4097</v>
      </c>
      <c r="W1074" s="642"/>
      <c r="X1074" s="749" t="s">
        <v>4098</v>
      </c>
      <c r="Y1074" s="647" t="s">
        <v>529</v>
      </c>
      <c r="Z1074" s="1352">
        <v>7.3574</v>
      </c>
      <c r="AA1074" s="647">
        <f t="shared" si="351"/>
        <v>2648.664</v>
      </c>
      <c r="AB1074" s="551"/>
      <c r="AC1074" s="648"/>
      <c r="AD1074" s="246" t="s">
        <v>480</v>
      </c>
      <c r="AE1074" s="246" t="s">
        <v>82</v>
      </c>
      <c r="AF1074" s="246"/>
      <c r="AG1074" s="246"/>
      <c r="AH1074" s="610">
        <v>1</v>
      </c>
      <c r="AI1074" s="246"/>
      <c r="AJ1074" s="246">
        <f t="shared" si="358"/>
        <v>-360</v>
      </c>
      <c r="AK1074" s="246"/>
      <c r="AL1074" s="246"/>
      <c r="AM1074" s="551"/>
      <c r="AN1074" s="551">
        <f t="shared" si="360"/>
        <v>360</v>
      </c>
      <c r="AO1074" s="551"/>
      <c r="AP1074" s="551"/>
      <c r="AQ1074" s="551"/>
      <c r="AR1074" s="551"/>
      <c r="AS1074" s="551">
        <f>I1074</f>
        <v>360</v>
      </c>
      <c r="AT1074" s="551"/>
      <c r="AU1074" s="551">
        <f t="shared" si="352"/>
        <v>360</v>
      </c>
      <c r="AV1074" s="551"/>
      <c r="AW1074" s="551">
        <f t="shared" si="353"/>
        <v>360</v>
      </c>
      <c r="AX1074" s="651"/>
      <c r="AY1074" s="551"/>
      <c r="AZ1074" s="551"/>
      <c r="BA1074" s="551"/>
      <c r="BB1074" s="551"/>
      <c r="BC1074" s="551"/>
      <c r="BD1074" s="551"/>
      <c r="BE1074" s="551"/>
      <c r="BF1074" s="551"/>
      <c r="BG1074" s="551"/>
      <c r="BH1074" s="551"/>
      <c r="BI1074" s="551"/>
      <c r="BJ1074" s="551"/>
      <c r="BK1074" s="551"/>
      <c r="BL1074" s="551"/>
      <c r="BM1074" s="551"/>
      <c r="BN1074" s="551">
        <f>I1074</f>
        <v>360</v>
      </c>
      <c r="BO1074" s="551"/>
      <c r="BP1074" s="551"/>
      <c r="BQ1074" s="551"/>
      <c r="BR1074" s="551"/>
      <c r="BS1074" s="551"/>
      <c r="BT1074" s="551"/>
      <c r="BU1074" s="551"/>
      <c r="BV1074" s="551"/>
      <c r="BW1074" s="551"/>
      <c r="BX1074" s="551"/>
      <c r="BY1074" s="551"/>
      <c r="BZ1074" s="551"/>
      <c r="CA1074" s="551"/>
      <c r="CB1074" s="551"/>
      <c r="CC1074" s="551"/>
      <c r="CD1074" s="551"/>
      <c r="CE1074" s="551"/>
      <c r="CF1074" s="551"/>
      <c r="CG1074" s="551"/>
      <c r="CH1074" s="650"/>
      <c r="CI1074" s="650"/>
      <c r="CJ1074" s="650"/>
      <c r="CK1074" s="650"/>
      <c r="CL1074" s="650"/>
      <c r="CM1074" s="551"/>
      <c r="CN1074" s="551"/>
      <c r="CO1074" s="551"/>
      <c r="CP1074" s="650"/>
      <c r="CQ1074" s="650"/>
      <c r="CR1074" s="650"/>
      <c r="CS1074" s="650"/>
      <c r="CT1074" s="650"/>
      <c r="CU1074" s="650"/>
      <c r="CV1074" s="1331"/>
    </row>
    <row r="1075" s="1266" customFormat="1" ht="31" customHeight="1" spans="1:100">
      <c r="A1075" s="641">
        <v>46115</v>
      </c>
      <c r="B1075" s="642" t="s">
        <v>2362</v>
      </c>
      <c r="C1075" s="246" t="s">
        <v>524</v>
      </c>
      <c r="D1075" s="551">
        <v>4500199969</v>
      </c>
      <c r="E1075" s="656">
        <v>62106764</v>
      </c>
      <c r="F1075" s="551" t="s">
        <v>4099</v>
      </c>
      <c r="G1075" s="659" t="s">
        <v>68</v>
      </c>
      <c r="H1075" s="246" t="s">
        <v>69</v>
      </c>
      <c r="I1075" s="246">
        <v>12000</v>
      </c>
      <c r="J1075" s="246">
        <v>0</v>
      </c>
      <c r="K1075" s="246">
        <v>12</v>
      </c>
      <c r="L1075" s="644">
        <f t="shared" si="356"/>
        <v>1000</v>
      </c>
      <c r="M1075" s="645">
        <v>46167</v>
      </c>
      <c r="N1075" s="645">
        <v>46163</v>
      </c>
      <c r="O1075" s="643"/>
      <c r="P1075" s="643" t="s">
        <v>113</v>
      </c>
      <c r="Q1075" s="646"/>
      <c r="R1075" s="646">
        <v>46139</v>
      </c>
      <c r="S1075" s="646" t="s">
        <v>70</v>
      </c>
      <c r="T1075" s="646" t="s">
        <v>4100</v>
      </c>
      <c r="U1075" s="646"/>
      <c r="V1075" s="642" t="s">
        <v>4101</v>
      </c>
      <c r="W1075" s="1331"/>
      <c r="X1075" s="1353" t="s">
        <v>4102</v>
      </c>
      <c r="Y1075" s="647" t="s">
        <v>529</v>
      </c>
      <c r="Z1075" s="1352">
        <v>4.2513</v>
      </c>
      <c r="AA1075" s="647">
        <f t="shared" si="351"/>
        <v>51015.6</v>
      </c>
      <c r="AB1075" s="551"/>
      <c r="AC1075" s="648"/>
      <c r="AD1075" s="246" t="s">
        <v>184</v>
      </c>
      <c r="AE1075" s="246" t="s">
        <v>82</v>
      </c>
      <c r="AF1075" s="246"/>
      <c r="AG1075" s="246"/>
      <c r="AH1075" s="610">
        <v>1</v>
      </c>
      <c r="AI1075" s="246">
        <f>11640+360</f>
        <v>12000</v>
      </c>
      <c r="AJ1075" s="643">
        <f t="shared" si="358"/>
        <v>0</v>
      </c>
      <c r="AK1075" s="246"/>
      <c r="AL1075" s="246" t="s">
        <v>2368</v>
      </c>
      <c r="AM1075" s="551"/>
      <c r="AN1075" s="551">
        <f t="shared" si="360"/>
        <v>12000</v>
      </c>
      <c r="AO1075" s="1331"/>
      <c r="AP1075" s="1331"/>
      <c r="AQ1075" s="1331"/>
      <c r="AR1075" s="551"/>
      <c r="AS1075" s="551">
        <f>I1075</f>
        <v>12000</v>
      </c>
      <c r="AT1075" s="551"/>
      <c r="AU1075" s="551">
        <f t="shared" si="352"/>
        <v>12000</v>
      </c>
      <c r="AV1075" s="551"/>
      <c r="AW1075" s="551">
        <f t="shared" si="353"/>
        <v>12000</v>
      </c>
      <c r="AX1075" s="651"/>
      <c r="AY1075" s="551"/>
      <c r="AZ1075" s="551"/>
      <c r="BA1075" s="551"/>
      <c r="BB1075" s="551"/>
      <c r="BC1075" s="551"/>
      <c r="BD1075" s="551"/>
      <c r="BE1075" s="551"/>
      <c r="BF1075" s="551"/>
      <c r="BG1075" s="551"/>
      <c r="BH1075" s="551"/>
      <c r="BI1075" s="551"/>
      <c r="BJ1075" s="551"/>
      <c r="BK1075" s="551"/>
      <c r="BL1075" s="551"/>
      <c r="BM1075" s="551"/>
      <c r="BN1075" s="551"/>
      <c r="BO1075" s="551"/>
      <c r="BP1075" s="551"/>
      <c r="BQ1075" s="551"/>
      <c r="BR1075" s="551"/>
      <c r="BS1075" s="551"/>
      <c r="BT1075" s="551"/>
      <c r="BU1075" s="551"/>
      <c r="BV1075" s="551"/>
      <c r="BW1075" s="551"/>
      <c r="BX1075" s="551"/>
      <c r="BY1075" s="551"/>
      <c r="BZ1075" s="551"/>
      <c r="CA1075" s="551"/>
      <c r="CB1075" s="551"/>
      <c r="CC1075" s="551"/>
      <c r="CD1075" s="551"/>
      <c r="CE1075" s="551"/>
      <c r="CF1075" s="551"/>
      <c r="CG1075" s="551"/>
      <c r="CH1075" s="650"/>
      <c r="CI1075" s="650"/>
      <c r="CJ1075" s="650"/>
      <c r="CK1075" s="650"/>
      <c r="CL1075" s="650"/>
      <c r="CM1075" s="551"/>
      <c r="CN1075" s="551"/>
      <c r="CO1075" s="551"/>
      <c r="CP1075" s="650"/>
      <c r="CQ1075" s="650"/>
      <c r="CR1075" s="650"/>
      <c r="CS1075" s="650"/>
      <c r="CT1075" s="650"/>
      <c r="CU1075" s="650"/>
      <c r="CV1075" s="1331"/>
    </row>
    <row r="1076" s="1266" customFormat="1" ht="31" customHeight="1" spans="1:100">
      <c r="A1076" s="641">
        <v>46113</v>
      </c>
      <c r="B1076" s="642" t="s">
        <v>580</v>
      </c>
      <c r="C1076" s="246" t="s">
        <v>302</v>
      </c>
      <c r="D1076" s="551">
        <v>4500199646</v>
      </c>
      <c r="E1076" s="246" t="s">
        <v>4103</v>
      </c>
      <c r="F1076" s="551" t="s">
        <v>4104</v>
      </c>
      <c r="G1076" s="246" t="s">
        <v>518</v>
      </c>
      <c r="H1076" s="246" t="s">
        <v>477</v>
      </c>
      <c r="I1076" s="706">
        <v>2418</v>
      </c>
      <c r="J1076" s="246">
        <v>0</v>
      </c>
      <c r="K1076" s="246">
        <v>6</v>
      </c>
      <c r="L1076" s="644">
        <f t="shared" si="356"/>
        <v>403</v>
      </c>
      <c r="M1076" s="645">
        <v>46167</v>
      </c>
      <c r="N1076" s="645">
        <v>46163</v>
      </c>
      <c r="O1076" s="755" t="s">
        <v>4105</v>
      </c>
      <c r="P1076" s="246" t="s">
        <v>113</v>
      </c>
      <c r="Q1076" s="646"/>
      <c r="R1076" s="646">
        <v>46127</v>
      </c>
      <c r="S1076" s="646" t="s">
        <v>70</v>
      </c>
      <c r="T1076" s="646" t="s">
        <v>4106</v>
      </c>
      <c r="U1076" s="646"/>
      <c r="V1076" s="646"/>
      <c r="W1076" s="642"/>
      <c r="X1076" s="642" t="s">
        <v>4107</v>
      </c>
      <c r="Y1076" s="647" t="s">
        <v>415</v>
      </c>
      <c r="Z1076" s="657">
        <v>6.8284</v>
      </c>
      <c r="AA1076" s="647">
        <f t="shared" si="351"/>
        <v>16511.0712</v>
      </c>
      <c r="AB1076" s="551"/>
      <c r="AC1076" s="648"/>
      <c r="AD1076" s="246" t="s">
        <v>480</v>
      </c>
      <c r="AE1076" s="246" t="s">
        <v>82</v>
      </c>
      <c r="AF1076" s="246"/>
      <c r="AG1076" s="246"/>
      <c r="AH1076" s="610">
        <v>1</v>
      </c>
      <c r="AI1076" s="246"/>
      <c r="AJ1076" s="246">
        <f t="shared" si="358"/>
        <v>-2418</v>
      </c>
      <c r="AK1076" s="246"/>
      <c r="AL1076" s="246"/>
      <c r="AM1076" s="551"/>
      <c r="AN1076" s="551">
        <f t="shared" si="360"/>
        <v>2418</v>
      </c>
      <c r="AO1076" s="551"/>
      <c r="AP1076" s="551"/>
      <c r="AQ1076" s="551"/>
      <c r="AR1076" s="551"/>
      <c r="AS1076" s="551">
        <f>I1076</f>
        <v>2418</v>
      </c>
      <c r="AT1076" s="551"/>
      <c r="AU1076" s="551">
        <f t="shared" si="352"/>
        <v>2418</v>
      </c>
      <c r="AV1076" s="551"/>
      <c r="AW1076" s="551">
        <f t="shared" si="353"/>
        <v>2418</v>
      </c>
      <c r="AX1076" s="651"/>
      <c r="AY1076" s="551"/>
      <c r="AZ1076" s="551"/>
      <c r="BA1076" s="551"/>
      <c r="BB1076" s="551"/>
      <c r="BC1076" s="551"/>
      <c r="BD1076" s="551"/>
      <c r="BE1076" s="551"/>
      <c r="BF1076" s="551"/>
      <c r="BG1076" s="551"/>
      <c r="BH1076" s="551"/>
      <c r="BI1076" s="551"/>
      <c r="BJ1076" s="551"/>
      <c r="BK1076" s="551"/>
      <c r="BL1076" s="551"/>
      <c r="BM1076" s="551"/>
      <c r="BN1076" s="551">
        <f>I1076</f>
        <v>2418</v>
      </c>
      <c r="BO1076" s="551"/>
      <c r="BP1076" s="551"/>
      <c r="BQ1076" s="551"/>
      <c r="BR1076" s="551"/>
      <c r="BS1076" s="551"/>
      <c r="BT1076" s="551"/>
      <c r="BU1076" s="551"/>
      <c r="BV1076" s="551"/>
      <c r="BW1076" s="551"/>
      <c r="BX1076" s="551"/>
      <c r="BY1076" s="551"/>
      <c r="BZ1076" s="551"/>
      <c r="CA1076" s="551"/>
      <c r="CB1076" s="551"/>
      <c r="CC1076" s="551"/>
      <c r="CD1076" s="551"/>
      <c r="CE1076" s="551"/>
      <c r="CF1076" s="551"/>
      <c r="CG1076" s="551"/>
      <c r="CH1076" s="650"/>
      <c r="CI1076" s="650"/>
      <c r="CJ1076" s="650"/>
      <c r="CK1076" s="650"/>
      <c r="CL1076" s="650"/>
      <c r="CM1076" s="551"/>
      <c r="CN1076" s="551"/>
      <c r="CO1076" s="551"/>
      <c r="CP1076" s="650"/>
      <c r="CQ1076" s="650"/>
      <c r="CR1076" s="650"/>
      <c r="CS1076" s="650"/>
      <c r="CT1076" s="650"/>
      <c r="CU1076" s="650"/>
      <c r="CV1076" s="1331"/>
    </row>
    <row r="1077" s="1266" customFormat="1" ht="31" customHeight="1" spans="1:100">
      <c r="A1077" s="641">
        <v>46126</v>
      </c>
      <c r="B1077" s="642" t="s">
        <v>2575</v>
      </c>
      <c r="C1077" s="246" t="s">
        <v>98</v>
      </c>
      <c r="D1077" s="551">
        <v>4500201833</v>
      </c>
      <c r="E1077" s="1418" t="s">
        <v>4108</v>
      </c>
      <c r="F1077" s="551" t="s">
        <v>4109</v>
      </c>
      <c r="G1077" s="246" t="s">
        <v>111</v>
      </c>
      <c r="H1077" s="246" t="s">
        <v>112</v>
      </c>
      <c r="I1077" s="706">
        <v>160</v>
      </c>
      <c r="J1077" s="246">
        <v>0</v>
      </c>
      <c r="K1077" s="246">
        <v>16</v>
      </c>
      <c r="L1077" s="644">
        <f t="shared" si="356"/>
        <v>10</v>
      </c>
      <c r="M1077" s="645">
        <v>46169</v>
      </c>
      <c r="N1077" s="645">
        <v>46165</v>
      </c>
      <c r="O1077" s="643"/>
      <c r="P1077" s="246" t="s">
        <v>113</v>
      </c>
      <c r="Q1077" s="646"/>
      <c r="R1077" s="646">
        <v>46135</v>
      </c>
      <c r="S1077" s="646" t="s">
        <v>104</v>
      </c>
      <c r="T1077" s="646" t="s">
        <v>4110</v>
      </c>
      <c r="U1077" s="646"/>
      <c r="V1077" s="646"/>
      <c r="W1077" s="642"/>
      <c r="X1077" s="642" t="s">
        <v>4111</v>
      </c>
      <c r="Y1077" s="647" t="s">
        <v>311</v>
      </c>
      <c r="Z1077" s="657">
        <v>2.6138</v>
      </c>
      <c r="AA1077" s="647">
        <f t="shared" si="351"/>
        <v>418.208</v>
      </c>
      <c r="AB1077" s="551"/>
      <c r="AC1077" s="658" t="s">
        <v>4112</v>
      </c>
      <c r="AD1077" s="246" t="s">
        <v>111</v>
      </c>
      <c r="AE1077" s="246" t="s">
        <v>82</v>
      </c>
      <c r="AF1077" s="246"/>
      <c r="AG1077" s="246"/>
      <c r="AH1077" s="610">
        <v>1</v>
      </c>
      <c r="AI1077" s="246">
        <v>160</v>
      </c>
      <c r="AJ1077" s="643">
        <f t="shared" si="358"/>
        <v>0</v>
      </c>
      <c r="AK1077" s="246"/>
      <c r="AL1077" s="246"/>
      <c r="AM1077" s="551"/>
      <c r="AN1077" s="551">
        <f t="shared" si="360"/>
        <v>160</v>
      </c>
      <c r="AO1077" s="551"/>
      <c r="AP1077" s="551"/>
      <c r="AQ1077" s="551"/>
      <c r="AR1077" s="551">
        <f>I1077</f>
        <v>160</v>
      </c>
      <c r="AS1077" s="551"/>
      <c r="AT1077" s="551"/>
      <c r="AU1077" s="551">
        <f t="shared" si="352"/>
        <v>160</v>
      </c>
      <c r="AV1077" s="551"/>
      <c r="AW1077" s="551">
        <f t="shared" si="353"/>
        <v>160</v>
      </c>
      <c r="AX1077" s="651"/>
      <c r="AY1077" s="551"/>
      <c r="AZ1077" s="551"/>
      <c r="BA1077" s="551"/>
      <c r="BB1077" s="551"/>
      <c r="BC1077" s="551"/>
      <c r="BD1077" s="551"/>
      <c r="BE1077" s="551"/>
      <c r="BF1077" s="551"/>
      <c r="BG1077" s="551"/>
      <c r="BH1077" s="825">
        <f>I1077/4</f>
        <v>40</v>
      </c>
      <c r="BI1077" s="551"/>
      <c r="BJ1077" s="551"/>
      <c r="BK1077" s="551"/>
      <c r="BL1077" s="551"/>
      <c r="BM1077" s="551"/>
      <c r="BN1077" s="551"/>
      <c r="BO1077" s="551"/>
      <c r="BP1077" s="551"/>
      <c r="BQ1077" s="551"/>
      <c r="BR1077" s="551"/>
      <c r="BS1077" s="551"/>
      <c r="BT1077" s="551"/>
      <c r="BU1077" s="551"/>
      <c r="BV1077" s="551"/>
      <c r="BW1077" s="551"/>
      <c r="BX1077" s="551"/>
      <c r="BY1077" s="551"/>
      <c r="BZ1077" s="551"/>
      <c r="CA1077" s="551"/>
      <c r="CB1077" s="551"/>
      <c r="CC1077" s="551"/>
      <c r="CD1077" s="551"/>
      <c r="CE1077" s="551"/>
      <c r="CF1077" s="551"/>
      <c r="CG1077" s="551"/>
      <c r="CH1077" s="650"/>
      <c r="CI1077" s="650"/>
      <c r="CJ1077" s="650"/>
      <c r="CK1077" s="650"/>
      <c r="CL1077" s="650"/>
      <c r="CM1077" s="551"/>
      <c r="CN1077" s="551"/>
      <c r="CO1077" s="551"/>
      <c r="CP1077" s="650"/>
      <c r="CQ1077" s="650"/>
      <c r="CR1077" s="650"/>
      <c r="CS1077" s="650"/>
      <c r="CT1077" s="650"/>
      <c r="CU1077" s="650"/>
      <c r="CV1077" s="1331"/>
    </row>
    <row r="1078" s="1266" customFormat="1" ht="31" customHeight="1" spans="1:100">
      <c r="A1078" s="641">
        <v>46126</v>
      </c>
      <c r="B1078" s="642" t="s">
        <v>2575</v>
      </c>
      <c r="C1078" s="246" t="s">
        <v>98</v>
      </c>
      <c r="D1078" s="551">
        <v>4500201833</v>
      </c>
      <c r="E1078" s="1418" t="s">
        <v>4113</v>
      </c>
      <c r="F1078" s="551" t="s">
        <v>4114</v>
      </c>
      <c r="G1078" s="246" t="s">
        <v>111</v>
      </c>
      <c r="H1078" s="246" t="s">
        <v>112</v>
      </c>
      <c r="I1078" s="706">
        <v>512</v>
      </c>
      <c r="J1078" s="246">
        <v>0</v>
      </c>
      <c r="K1078" s="246">
        <v>16</v>
      </c>
      <c r="L1078" s="644">
        <f t="shared" si="356"/>
        <v>32</v>
      </c>
      <c r="M1078" s="645">
        <v>46169</v>
      </c>
      <c r="N1078" s="645">
        <v>46165</v>
      </c>
      <c r="O1078" s="643"/>
      <c r="P1078" s="246" t="s">
        <v>113</v>
      </c>
      <c r="Q1078" s="646"/>
      <c r="R1078" s="646">
        <v>46135</v>
      </c>
      <c r="S1078" s="646" t="s">
        <v>104</v>
      </c>
      <c r="T1078" s="646" t="s">
        <v>4110</v>
      </c>
      <c r="U1078" s="646"/>
      <c r="V1078" s="646"/>
      <c r="W1078" s="642"/>
      <c r="X1078" s="642" t="s">
        <v>4111</v>
      </c>
      <c r="Y1078" s="647" t="s">
        <v>311</v>
      </c>
      <c r="Z1078" s="657">
        <v>2.6138</v>
      </c>
      <c r="AA1078" s="647">
        <f t="shared" ref="AA1078:AA1083" si="362">Z1078*I1078</f>
        <v>1338.2656</v>
      </c>
      <c r="AB1078" s="551"/>
      <c r="AC1078" s="658" t="s">
        <v>4112</v>
      </c>
      <c r="AD1078" s="246" t="s">
        <v>111</v>
      </c>
      <c r="AE1078" s="246" t="s">
        <v>82</v>
      </c>
      <c r="AF1078" s="246"/>
      <c r="AG1078" s="246"/>
      <c r="AH1078" s="610">
        <v>1</v>
      </c>
      <c r="AI1078" s="246">
        <v>512</v>
      </c>
      <c r="AJ1078" s="643">
        <f t="shared" si="358"/>
        <v>0</v>
      </c>
      <c r="AK1078" s="246"/>
      <c r="AL1078" s="246"/>
      <c r="AM1078" s="551"/>
      <c r="AN1078" s="551">
        <f t="shared" si="360"/>
        <v>512</v>
      </c>
      <c r="AO1078" s="551"/>
      <c r="AP1078" s="551"/>
      <c r="AQ1078" s="551"/>
      <c r="AR1078" s="551">
        <f>I1078</f>
        <v>512</v>
      </c>
      <c r="AS1078" s="551"/>
      <c r="AT1078" s="551"/>
      <c r="AU1078" s="551">
        <f t="shared" si="352"/>
        <v>512</v>
      </c>
      <c r="AV1078" s="551"/>
      <c r="AW1078" s="551">
        <f t="shared" si="353"/>
        <v>512</v>
      </c>
      <c r="AX1078" s="651"/>
      <c r="AY1078" s="551"/>
      <c r="AZ1078" s="551"/>
      <c r="BA1078" s="551"/>
      <c r="BB1078" s="551"/>
      <c r="BC1078" s="551"/>
      <c r="BD1078" s="551"/>
      <c r="BE1078" s="551"/>
      <c r="BF1078" s="551"/>
      <c r="BG1078" s="551"/>
      <c r="BH1078" s="825">
        <f>I1078/4</f>
        <v>128</v>
      </c>
      <c r="BI1078" s="551"/>
      <c r="BJ1078" s="551"/>
      <c r="BK1078" s="551"/>
      <c r="BL1078" s="551"/>
      <c r="BM1078" s="551"/>
      <c r="BN1078" s="551"/>
      <c r="BO1078" s="551"/>
      <c r="BP1078" s="551"/>
      <c r="BQ1078" s="551"/>
      <c r="BR1078" s="551"/>
      <c r="BS1078" s="551"/>
      <c r="BT1078" s="551"/>
      <c r="BU1078" s="551"/>
      <c r="BV1078" s="551"/>
      <c r="BW1078" s="551"/>
      <c r="BX1078" s="551"/>
      <c r="BY1078" s="551"/>
      <c r="BZ1078" s="551"/>
      <c r="CA1078" s="551"/>
      <c r="CB1078" s="551"/>
      <c r="CC1078" s="551"/>
      <c r="CD1078" s="551"/>
      <c r="CE1078" s="551"/>
      <c r="CF1078" s="551"/>
      <c r="CG1078" s="551"/>
      <c r="CH1078" s="650"/>
      <c r="CI1078" s="650"/>
      <c r="CJ1078" s="650"/>
      <c r="CK1078" s="650"/>
      <c r="CL1078" s="650"/>
      <c r="CM1078" s="551"/>
      <c r="CN1078" s="551"/>
      <c r="CO1078" s="551"/>
      <c r="CP1078" s="650"/>
      <c r="CQ1078" s="650"/>
      <c r="CR1078" s="650"/>
      <c r="CS1078" s="650"/>
      <c r="CT1078" s="650"/>
      <c r="CU1078" s="650"/>
      <c r="CV1078" s="1331"/>
    </row>
    <row r="1079" s="1266" customFormat="1" ht="31" customHeight="1" spans="1:100">
      <c r="A1079" s="641">
        <v>46101</v>
      </c>
      <c r="B1079" s="642" t="s">
        <v>4008</v>
      </c>
      <c r="C1079" s="246" t="s">
        <v>278</v>
      </c>
      <c r="D1079" s="551">
        <v>4500197236</v>
      </c>
      <c r="E1079" s="246" t="s">
        <v>4009</v>
      </c>
      <c r="F1079" s="551" t="s">
        <v>4115</v>
      </c>
      <c r="G1079" s="659" t="s">
        <v>518</v>
      </c>
      <c r="H1079" s="246" t="s">
        <v>477</v>
      </c>
      <c r="I1079" s="706">
        <v>1716</v>
      </c>
      <c r="J1079" s="246">
        <v>0</v>
      </c>
      <c r="K1079" s="246">
        <v>6</v>
      </c>
      <c r="L1079" s="644">
        <f t="shared" si="356"/>
        <v>286</v>
      </c>
      <c r="M1079" s="645">
        <v>46170</v>
      </c>
      <c r="N1079" s="645">
        <v>46167</v>
      </c>
      <c r="O1079" s="643"/>
      <c r="P1079" s="643" t="s">
        <v>113</v>
      </c>
      <c r="Q1079" s="646"/>
      <c r="R1079" s="646" t="s">
        <v>463</v>
      </c>
      <c r="S1079" s="646" t="s">
        <v>104</v>
      </c>
      <c r="T1079" s="646" t="s">
        <v>4116</v>
      </c>
      <c r="U1079" s="646"/>
      <c r="V1079" s="646"/>
      <c r="W1079" s="642"/>
      <c r="X1079" s="749" t="s">
        <v>4117</v>
      </c>
      <c r="Y1079" s="647" t="s">
        <v>3734</v>
      </c>
      <c r="Z1079" s="1352">
        <v>6.8326</v>
      </c>
      <c r="AA1079" s="647">
        <f t="shared" si="362"/>
        <v>11724.7416</v>
      </c>
      <c r="AB1079" s="551"/>
      <c r="AC1079" s="648"/>
      <c r="AD1079" s="246" t="s">
        <v>480</v>
      </c>
      <c r="AE1079" s="246" t="s">
        <v>82</v>
      </c>
      <c r="AF1079" s="246"/>
      <c r="AG1079" s="246"/>
      <c r="AH1079" s="610">
        <v>1</v>
      </c>
      <c r="AI1079" s="246"/>
      <c r="AJ1079" s="643">
        <f t="shared" si="358"/>
        <v>-1716</v>
      </c>
      <c r="AK1079" s="246"/>
      <c r="AL1079" s="246"/>
      <c r="AM1079" s="551"/>
      <c r="AN1079" s="551">
        <f t="shared" si="360"/>
        <v>1716</v>
      </c>
      <c r="AO1079" s="551"/>
      <c r="AP1079" s="551"/>
      <c r="AQ1079" s="551"/>
      <c r="AR1079" s="551"/>
      <c r="AS1079" s="551">
        <f>I1079</f>
        <v>1716</v>
      </c>
      <c r="AT1079" s="551"/>
      <c r="AU1079" s="551">
        <f t="shared" si="352"/>
        <v>1716</v>
      </c>
      <c r="AV1079" s="551"/>
      <c r="AW1079" s="551">
        <f t="shared" si="353"/>
        <v>1716</v>
      </c>
      <c r="AX1079" s="651"/>
      <c r="AY1079" s="551"/>
      <c r="AZ1079" s="551"/>
      <c r="BA1079" s="551"/>
      <c r="BB1079" s="551"/>
      <c r="BC1079" s="551"/>
      <c r="BD1079" s="551"/>
      <c r="BE1079" s="551"/>
      <c r="BF1079" s="551"/>
      <c r="BG1079" s="551"/>
      <c r="BH1079" s="551"/>
      <c r="BI1079" s="551"/>
      <c r="BJ1079" s="551"/>
      <c r="BK1079" s="551"/>
      <c r="BL1079" s="551"/>
      <c r="BM1079" s="551"/>
      <c r="BN1079" s="551">
        <f>I1079</f>
        <v>1716</v>
      </c>
      <c r="BO1079" s="551"/>
      <c r="BP1079" s="551"/>
      <c r="BQ1079" s="551"/>
      <c r="BR1079" s="551"/>
      <c r="BS1079" s="551"/>
      <c r="BT1079" s="551"/>
      <c r="BU1079" s="551"/>
      <c r="BV1079" s="551"/>
      <c r="BW1079" s="551"/>
      <c r="BX1079" s="551"/>
      <c r="BY1079" s="551"/>
      <c r="BZ1079" s="551"/>
      <c r="CA1079" s="551"/>
      <c r="CB1079" s="551"/>
      <c r="CC1079" s="551"/>
      <c r="CD1079" s="551"/>
      <c r="CE1079" s="551"/>
      <c r="CF1079" s="551"/>
      <c r="CG1079" s="551"/>
      <c r="CH1079" s="650"/>
      <c r="CI1079" s="650"/>
      <c r="CJ1079" s="650"/>
      <c r="CK1079" s="650"/>
      <c r="CL1079" s="650"/>
      <c r="CM1079" s="551"/>
      <c r="CN1079" s="551"/>
      <c r="CO1079" s="551"/>
      <c r="CP1079" s="650"/>
      <c r="CQ1079" s="650"/>
      <c r="CR1079" s="650"/>
      <c r="CS1079" s="650"/>
      <c r="CT1079" s="650"/>
      <c r="CU1079" s="650"/>
      <c r="CV1079" s="1331"/>
    </row>
    <row r="1080" s="1266" customFormat="1" ht="31" customHeight="1" spans="1:100">
      <c r="A1080" s="641">
        <v>46115</v>
      </c>
      <c r="B1080" s="642" t="s">
        <v>1800</v>
      </c>
      <c r="C1080" s="246" t="s">
        <v>744</v>
      </c>
      <c r="D1080" s="551">
        <v>4500198503</v>
      </c>
      <c r="E1080" s="246">
        <v>5000002156</v>
      </c>
      <c r="F1080" s="551" t="s">
        <v>4118</v>
      </c>
      <c r="G1080" s="659" t="s">
        <v>518</v>
      </c>
      <c r="H1080" s="246" t="s">
        <v>477</v>
      </c>
      <c r="I1080" s="706">
        <v>2400</v>
      </c>
      <c r="J1080" s="246">
        <v>0</v>
      </c>
      <c r="K1080" s="246">
        <v>6</v>
      </c>
      <c r="L1080" s="644">
        <f t="shared" si="356"/>
        <v>400</v>
      </c>
      <c r="M1080" s="645">
        <v>46171</v>
      </c>
      <c r="N1080" s="645">
        <f>M1080-4</f>
        <v>46167</v>
      </c>
      <c r="O1080" s="1031"/>
      <c r="P1080" s="1031" t="s">
        <v>113</v>
      </c>
      <c r="Q1080" s="999"/>
      <c r="R1080" s="999" t="s">
        <v>3299</v>
      </c>
      <c r="S1080" s="646" t="s">
        <v>104</v>
      </c>
      <c r="T1080" s="646" t="s">
        <v>2239</v>
      </c>
      <c r="U1080" s="646"/>
      <c r="V1080" s="642"/>
      <c r="W1080" s="642"/>
      <c r="X1080" s="642" t="s">
        <v>4119</v>
      </c>
      <c r="Y1080" s="642" t="s">
        <v>1805</v>
      </c>
      <c r="Z1080" s="1352">
        <v>6.3788</v>
      </c>
      <c r="AA1080" s="647">
        <f t="shared" si="362"/>
        <v>15309.12</v>
      </c>
      <c r="AB1080" s="551"/>
      <c r="AC1080" s="648"/>
      <c r="AD1080" s="246" t="s">
        <v>2241</v>
      </c>
      <c r="AE1080" s="246" t="s">
        <v>82</v>
      </c>
      <c r="AF1080" s="246"/>
      <c r="AG1080" s="246"/>
      <c r="AH1080" s="610">
        <v>1</v>
      </c>
      <c r="AI1080" s="246"/>
      <c r="AJ1080" s="246">
        <f t="shared" si="358"/>
        <v>-2400</v>
      </c>
      <c r="AK1080" s="246"/>
      <c r="AL1080" s="246"/>
      <c r="AM1080" s="551"/>
      <c r="AN1080" s="551">
        <f t="shared" si="360"/>
        <v>2400</v>
      </c>
      <c r="AO1080" s="1331"/>
      <c r="AP1080" s="1331"/>
      <c r="AQ1080" s="1331"/>
      <c r="AR1080" s="551">
        <f t="shared" ref="AR1080:AR1083" si="363">I1080</f>
        <v>2400</v>
      </c>
      <c r="AS1080" s="551"/>
      <c r="AT1080" s="551"/>
      <c r="AU1080" s="551"/>
      <c r="AV1080" s="551">
        <f>I1080</f>
        <v>2400</v>
      </c>
      <c r="AW1080" s="551"/>
      <c r="AX1080" s="651">
        <f>I1080</f>
        <v>2400</v>
      </c>
      <c r="AY1080" s="551"/>
      <c r="AZ1080" s="551"/>
      <c r="BA1080" s="551"/>
      <c r="BB1080" s="551"/>
      <c r="BC1080" s="551"/>
      <c r="BD1080" s="551"/>
      <c r="BE1080" s="551"/>
      <c r="BF1080" s="551"/>
      <c r="BG1080" s="551"/>
      <c r="BH1080" s="551"/>
      <c r="BI1080" s="551"/>
      <c r="BJ1080" s="551"/>
      <c r="BK1080" s="551"/>
      <c r="BL1080" s="551"/>
      <c r="BM1080" s="551"/>
      <c r="BN1080" s="551">
        <f>I1080</f>
        <v>2400</v>
      </c>
      <c r="BO1080" s="551"/>
      <c r="BP1080" s="551"/>
      <c r="BQ1080" s="551"/>
      <c r="BR1080" s="551"/>
      <c r="BS1080" s="551"/>
      <c r="BT1080" s="551"/>
      <c r="BU1080" s="551"/>
      <c r="BV1080" s="551"/>
      <c r="BW1080" s="551"/>
      <c r="BX1080" s="551"/>
      <c r="BY1080" s="551"/>
      <c r="BZ1080" s="551"/>
      <c r="CA1080" s="551"/>
      <c r="CB1080" s="551"/>
      <c r="CC1080" s="551"/>
      <c r="CD1080" s="551"/>
      <c r="CE1080" s="551"/>
      <c r="CF1080" s="551"/>
      <c r="CG1080" s="551"/>
      <c r="CH1080" s="650"/>
      <c r="CI1080" s="650"/>
      <c r="CJ1080" s="650"/>
      <c r="CK1080" s="650"/>
      <c r="CL1080" s="650"/>
      <c r="CM1080" s="551"/>
      <c r="CN1080" s="551"/>
      <c r="CO1080" s="551"/>
      <c r="CP1080" s="650"/>
      <c r="CQ1080" s="650"/>
      <c r="CR1080" s="650"/>
      <c r="CS1080" s="650"/>
      <c r="CT1080" s="650"/>
      <c r="CU1080" s="650"/>
      <c r="CV1080" s="1331"/>
    </row>
    <row r="1081" s="1266" customFormat="1" ht="31" customHeight="1" spans="1:100">
      <c r="A1081" s="641">
        <v>46115</v>
      </c>
      <c r="B1081" s="642" t="s">
        <v>1800</v>
      </c>
      <c r="C1081" s="246" t="s">
        <v>744</v>
      </c>
      <c r="D1081" s="551">
        <v>4500198503</v>
      </c>
      <c r="E1081" s="246">
        <v>5000002156</v>
      </c>
      <c r="F1081" s="551" t="s">
        <v>4120</v>
      </c>
      <c r="G1081" s="659" t="s">
        <v>518</v>
      </c>
      <c r="H1081" s="246" t="s">
        <v>477</v>
      </c>
      <c r="I1081" s="706">
        <v>3000</v>
      </c>
      <c r="J1081" s="246">
        <v>0</v>
      </c>
      <c r="K1081" s="246">
        <v>6</v>
      </c>
      <c r="L1081" s="644">
        <f t="shared" si="356"/>
        <v>500</v>
      </c>
      <c r="M1081" s="645">
        <v>46171</v>
      </c>
      <c r="N1081" s="645">
        <f>M1081-4</f>
        <v>46167</v>
      </c>
      <c r="O1081" s="1031"/>
      <c r="P1081" s="1031" t="s">
        <v>113</v>
      </c>
      <c r="Q1081" s="999"/>
      <c r="R1081" s="999" t="s">
        <v>3299</v>
      </c>
      <c r="S1081" s="646" t="s">
        <v>104</v>
      </c>
      <c r="T1081" s="646" t="s">
        <v>2239</v>
      </c>
      <c r="U1081" s="646"/>
      <c r="V1081" s="642"/>
      <c r="W1081" s="642"/>
      <c r="X1081" s="642" t="s">
        <v>4119</v>
      </c>
      <c r="Y1081" s="642" t="s">
        <v>1805</v>
      </c>
      <c r="Z1081" s="1352">
        <v>6.3788</v>
      </c>
      <c r="AA1081" s="647">
        <f t="shared" si="362"/>
        <v>19136.4</v>
      </c>
      <c r="AB1081" s="551"/>
      <c r="AC1081" s="648"/>
      <c r="AD1081" s="246" t="s">
        <v>2241</v>
      </c>
      <c r="AE1081" s="246" t="s">
        <v>82</v>
      </c>
      <c r="AF1081" s="246"/>
      <c r="AG1081" s="246"/>
      <c r="AH1081" s="610">
        <v>1</v>
      </c>
      <c r="AI1081" s="246"/>
      <c r="AJ1081" s="246">
        <f t="shared" si="358"/>
        <v>-3000</v>
      </c>
      <c r="AK1081" s="246"/>
      <c r="AL1081" s="246"/>
      <c r="AM1081" s="551"/>
      <c r="AN1081" s="551">
        <f t="shared" si="360"/>
        <v>3000</v>
      </c>
      <c r="AO1081" s="1331"/>
      <c r="AP1081" s="1331"/>
      <c r="AQ1081" s="1331"/>
      <c r="AR1081" s="551">
        <f t="shared" si="363"/>
        <v>3000</v>
      </c>
      <c r="AS1081" s="551"/>
      <c r="AT1081" s="551"/>
      <c r="AU1081" s="551"/>
      <c r="AV1081" s="551">
        <f>I1081</f>
        <v>3000</v>
      </c>
      <c r="AW1081" s="551"/>
      <c r="AX1081" s="651">
        <f>I1081</f>
        <v>3000</v>
      </c>
      <c r="AY1081" s="551"/>
      <c r="AZ1081" s="551"/>
      <c r="BA1081" s="551"/>
      <c r="BB1081" s="551"/>
      <c r="BC1081" s="551"/>
      <c r="BD1081" s="551"/>
      <c r="BE1081" s="551"/>
      <c r="BF1081" s="551"/>
      <c r="BG1081" s="551"/>
      <c r="BH1081" s="551"/>
      <c r="BI1081" s="551"/>
      <c r="BJ1081" s="551"/>
      <c r="BK1081" s="551"/>
      <c r="BL1081" s="551"/>
      <c r="BM1081" s="551"/>
      <c r="BN1081" s="551">
        <f>I1081</f>
        <v>3000</v>
      </c>
      <c r="BO1081" s="551"/>
      <c r="BP1081" s="551"/>
      <c r="BQ1081" s="551"/>
      <c r="BR1081" s="551"/>
      <c r="BS1081" s="551"/>
      <c r="BT1081" s="551"/>
      <c r="BU1081" s="551"/>
      <c r="BV1081" s="551"/>
      <c r="BW1081" s="551"/>
      <c r="BX1081" s="551"/>
      <c r="BY1081" s="551"/>
      <c r="BZ1081" s="551"/>
      <c r="CA1081" s="551"/>
      <c r="CB1081" s="551"/>
      <c r="CC1081" s="551"/>
      <c r="CD1081" s="551"/>
      <c r="CE1081" s="551"/>
      <c r="CF1081" s="551"/>
      <c r="CG1081" s="551"/>
      <c r="CH1081" s="650"/>
      <c r="CI1081" s="650"/>
      <c r="CJ1081" s="650"/>
      <c r="CK1081" s="650"/>
      <c r="CL1081" s="650"/>
      <c r="CM1081" s="551"/>
      <c r="CN1081" s="551"/>
      <c r="CO1081" s="551"/>
      <c r="CP1081" s="650"/>
      <c r="CQ1081" s="650"/>
      <c r="CR1081" s="650"/>
      <c r="CS1081" s="650"/>
      <c r="CT1081" s="650"/>
      <c r="CU1081" s="650"/>
      <c r="CV1081" s="1331"/>
    </row>
    <row r="1082" s="1266" customFormat="1" ht="31" customHeight="1" spans="1:100">
      <c r="A1082" s="641">
        <v>46129</v>
      </c>
      <c r="B1082" s="642" t="s">
        <v>884</v>
      </c>
      <c r="C1082" s="769" t="s">
        <v>885</v>
      </c>
      <c r="D1082" s="551">
        <v>4500202382</v>
      </c>
      <c r="E1082" s="246" t="s">
        <v>3846</v>
      </c>
      <c r="F1082" s="551" t="s">
        <v>4121</v>
      </c>
      <c r="G1082" s="246" t="s">
        <v>111</v>
      </c>
      <c r="H1082" s="246" t="s">
        <v>112</v>
      </c>
      <c r="I1082" s="706">
        <v>2400</v>
      </c>
      <c r="J1082" s="246">
        <v>0</v>
      </c>
      <c r="K1082" s="246">
        <v>16</v>
      </c>
      <c r="L1082" s="644">
        <f t="shared" si="356"/>
        <v>150</v>
      </c>
      <c r="M1082" s="645">
        <v>46171</v>
      </c>
      <c r="N1082" s="645">
        <v>46167</v>
      </c>
      <c r="O1082" s="643"/>
      <c r="P1082" s="246" t="s">
        <v>113</v>
      </c>
      <c r="Q1082" s="646"/>
      <c r="R1082" s="646">
        <v>46132</v>
      </c>
      <c r="S1082" s="646" t="s">
        <v>70</v>
      </c>
      <c r="T1082" s="646" t="s">
        <v>4122</v>
      </c>
      <c r="U1082" s="646"/>
      <c r="V1082" s="646"/>
      <c r="W1082" s="642"/>
      <c r="X1082" s="642" t="s">
        <v>4123</v>
      </c>
      <c r="Y1082" s="647" t="s">
        <v>217</v>
      </c>
      <c r="Z1082" s="657">
        <v>4.3564</v>
      </c>
      <c r="AA1082" s="647">
        <f t="shared" si="362"/>
        <v>10455.36</v>
      </c>
      <c r="AB1082" s="551"/>
      <c r="AC1082" s="648"/>
      <c r="AD1082" s="246" t="s">
        <v>111</v>
      </c>
      <c r="AE1082" s="246" t="s">
        <v>82</v>
      </c>
      <c r="AF1082" s="246"/>
      <c r="AG1082" s="246"/>
      <c r="AH1082" s="610">
        <v>1</v>
      </c>
      <c r="AI1082" s="246">
        <v>2400</v>
      </c>
      <c r="AJ1082" s="643">
        <f t="shared" si="358"/>
        <v>0</v>
      </c>
      <c r="AK1082" s="246"/>
      <c r="AL1082" s="246" t="s">
        <v>2368</v>
      </c>
      <c r="AM1082" s="551"/>
      <c r="AN1082" s="551">
        <f t="shared" si="360"/>
        <v>2400</v>
      </c>
      <c r="AO1082" s="551"/>
      <c r="AP1082" s="551"/>
      <c r="AQ1082" s="551"/>
      <c r="AR1082" s="551">
        <f t="shared" si="363"/>
        <v>2400</v>
      </c>
      <c r="AS1082" s="551"/>
      <c r="AT1082" s="551"/>
      <c r="AU1082" s="551">
        <f t="shared" ref="AU1082:AU1087" si="364">I1082</f>
        <v>2400</v>
      </c>
      <c r="AV1082" s="551"/>
      <c r="AW1082" s="551">
        <f t="shared" ref="AW1082:AW1087" si="365">I1082</f>
        <v>2400</v>
      </c>
      <c r="AX1082" s="651"/>
      <c r="AY1082" s="551"/>
      <c r="AZ1082" s="551"/>
      <c r="BA1082" s="551"/>
      <c r="BB1082" s="551"/>
      <c r="BC1082" s="551"/>
      <c r="BD1082" s="551"/>
      <c r="BE1082" s="551"/>
      <c r="BF1082" s="551"/>
      <c r="BG1082" s="551"/>
      <c r="BH1082" s="825">
        <f>I1082/4</f>
        <v>600</v>
      </c>
      <c r="BI1082" s="551"/>
      <c r="BJ1082" s="551"/>
      <c r="BK1082" s="551"/>
      <c r="BL1082" s="551"/>
      <c r="BM1082" s="551"/>
      <c r="BN1082" s="551"/>
      <c r="BO1082" s="551"/>
      <c r="BP1082" s="551"/>
      <c r="BQ1082" s="551"/>
      <c r="BR1082" s="551"/>
      <c r="BS1082" s="551"/>
      <c r="BT1082" s="551"/>
      <c r="BU1082" s="551"/>
      <c r="BV1082" s="551"/>
      <c r="BW1082" s="551"/>
      <c r="BX1082" s="551"/>
      <c r="BY1082" s="551"/>
      <c r="BZ1082" s="551"/>
      <c r="CA1082" s="551"/>
      <c r="CB1082" s="551"/>
      <c r="CC1082" s="551"/>
      <c r="CD1082" s="551"/>
      <c r="CE1082" s="551"/>
      <c r="CF1082" s="551"/>
      <c r="CG1082" s="551"/>
      <c r="CH1082" s="650"/>
      <c r="CI1082" s="650"/>
      <c r="CJ1082" s="650"/>
      <c r="CK1082" s="650"/>
      <c r="CL1082" s="650"/>
      <c r="CM1082" s="551"/>
      <c r="CN1082" s="551"/>
      <c r="CO1082" s="551"/>
      <c r="CP1082" s="650"/>
      <c r="CQ1082" s="650"/>
      <c r="CR1082" s="650"/>
      <c r="CS1082" s="650"/>
      <c r="CT1082" s="650"/>
      <c r="CU1082" s="650"/>
      <c r="CV1082" s="1331"/>
    </row>
    <row r="1083" s="1266" customFormat="1" ht="31" customHeight="1" spans="1:100">
      <c r="A1083" s="641">
        <v>46129</v>
      </c>
      <c r="B1083" s="642" t="s">
        <v>499</v>
      </c>
      <c r="C1083" s="246" t="s">
        <v>4124</v>
      </c>
      <c r="D1083" s="551">
        <v>4500202631</v>
      </c>
      <c r="E1083" s="246" t="s">
        <v>3846</v>
      </c>
      <c r="F1083" s="551" t="s">
        <v>4125</v>
      </c>
      <c r="G1083" s="246" t="s">
        <v>111</v>
      </c>
      <c r="H1083" s="246" t="s">
        <v>112</v>
      </c>
      <c r="I1083" s="706">
        <v>1600</v>
      </c>
      <c r="J1083" s="246">
        <v>0</v>
      </c>
      <c r="K1083" s="246">
        <v>16</v>
      </c>
      <c r="L1083" s="644">
        <f t="shared" si="356"/>
        <v>100</v>
      </c>
      <c r="M1083" s="645">
        <v>46171</v>
      </c>
      <c r="N1083" s="645">
        <v>46167</v>
      </c>
      <c r="O1083" s="643"/>
      <c r="P1083" s="824" t="s">
        <v>113</v>
      </c>
      <c r="Q1083" s="646"/>
      <c r="R1083" s="646">
        <v>46132</v>
      </c>
      <c r="S1083" s="646" t="s">
        <v>70</v>
      </c>
      <c r="T1083" s="646" t="s">
        <v>4126</v>
      </c>
      <c r="U1083" s="646"/>
      <c r="V1083" s="646"/>
      <c r="W1083" s="642"/>
      <c r="X1083" s="642" t="s">
        <v>4127</v>
      </c>
      <c r="Y1083" s="647" t="s">
        <v>217</v>
      </c>
      <c r="Z1083" s="657">
        <v>4.3125</v>
      </c>
      <c r="AA1083" s="647">
        <f t="shared" si="362"/>
        <v>6900</v>
      </c>
      <c r="AB1083" s="551"/>
      <c r="AC1083" s="648"/>
      <c r="AD1083" s="246" t="s">
        <v>111</v>
      </c>
      <c r="AE1083" s="246" t="s">
        <v>82</v>
      </c>
      <c r="AF1083" s="246"/>
      <c r="AG1083" s="246"/>
      <c r="AH1083" s="610">
        <v>1</v>
      </c>
      <c r="AI1083" s="246">
        <v>1600</v>
      </c>
      <c r="AJ1083" s="643">
        <f t="shared" si="358"/>
        <v>0</v>
      </c>
      <c r="AK1083" s="246"/>
      <c r="AL1083" s="246" t="s">
        <v>2368</v>
      </c>
      <c r="AM1083" s="551"/>
      <c r="AN1083" s="551">
        <f t="shared" si="360"/>
        <v>1600</v>
      </c>
      <c r="AO1083" s="551"/>
      <c r="AP1083" s="551"/>
      <c r="AQ1083" s="551"/>
      <c r="AR1083" s="551">
        <f t="shared" si="363"/>
        <v>1600</v>
      </c>
      <c r="AS1083" s="551"/>
      <c r="AT1083" s="551"/>
      <c r="AU1083" s="551">
        <f t="shared" si="364"/>
        <v>1600</v>
      </c>
      <c r="AV1083" s="551"/>
      <c r="AW1083" s="551">
        <f t="shared" si="365"/>
        <v>1600</v>
      </c>
      <c r="AX1083" s="651"/>
      <c r="AY1083" s="551"/>
      <c r="AZ1083" s="551"/>
      <c r="BA1083" s="551"/>
      <c r="BB1083" s="551"/>
      <c r="BC1083" s="551"/>
      <c r="BD1083" s="551"/>
      <c r="BE1083" s="551"/>
      <c r="BF1083" s="551"/>
      <c r="BG1083" s="551"/>
      <c r="BH1083" s="825">
        <f>I1083/4</f>
        <v>400</v>
      </c>
      <c r="BI1083" s="551"/>
      <c r="BJ1083" s="551"/>
      <c r="BK1083" s="551"/>
      <c r="BL1083" s="551"/>
      <c r="BM1083" s="551"/>
      <c r="BN1083" s="551"/>
      <c r="BO1083" s="551"/>
      <c r="BP1083" s="551"/>
      <c r="BQ1083" s="551"/>
      <c r="BR1083" s="551"/>
      <c r="BS1083" s="551"/>
      <c r="BT1083" s="551"/>
      <c r="BU1083" s="551"/>
      <c r="BV1083" s="551"/>
      <c r="BW1083" s="551"/>
      <c r="BX1083" s="551"/>
      <c r="BY1083" s="551"/>
      <c r="BZ1083" s="551"/>
      <c r="CA1083" s="551"/>
      <c r="CB1083" s="551"/>
      <c r="CC1083" s="551"/>
      <c r="CD1083" s="551"/>
      <c r="CE1083" s="551"/>
      <c r="CF1083" s="551"/>
      <c r="CG1083" s="551"/>
      <c r="CH1083" s="650"/>
      <c r="CI1083" s="650"/>
      <c r="CJ1083" s="650"/>
      <c r="CK1083" s="650"/>
      <c r="CL1083" s="650"/>
      <c r="CM1083" s="551"/>
      <c r="CN1083" s="551"/>
      <c r="CO1083" s="551"/>
      <c r="CP1083" s="650"/>
      <c r="CQ1083" s="650"/>
      <c r="CR1083" s="650"/>
      <c r="CS1083" s="650"/>
      <c r="CT1083" s="650"/>
      <c r="CU1083" s="650"/>
      <c r="CV1083" s="1331"/>
    </row>
    <row r="1084" s="1266" customFormat="1" ht="31" customHeight="1" spans="1:100">
      <c r="A1084" s="641">
        <v>46157</v>
      </c>
      <c r="B1084" s="642"/>
      <c r="C1084" s="246" t="s">
        <v>4128</v>
      </c>
      <c r="D1084" s="551" t="s">
        <v>4129</v>
      </c>
      <c r="E1084" s="246"/>
      <c r="F1084" s="551" t="s">
        <v>4130</v>
      </c>
      <c r="G1084" s="246"/>
      <c r="H1084" s="246" t="s">
        <v>4131</v>
      </c>
      <c r="I1084" s="706">
        <v>300</v>
      </c>
      <c r="J1084" s="246"/>
      <c r="K1084" s="246"/>
      <c r="L1084" s="644"/>
      <c r="M1084" s="645">
        <v>46172</v>
      </c>
      <c r="N1084" s="645">
        <v>46168</v>
      </c>
      <c r="O1084" s="643"/>
      <c r="P1084" s="246"/>
      <c r="Q1084" s="646"/>
      <c r="R1084" s="646"/>
      <c r="S1084" s="646"/>
      <c r="T1084" s="646"/>
      <c r="U1084" s="646"/>
      <c r="V1084" s="646"/>
      <c r="W1084" s="642"/>
      <c r="X1084" s="642" t="s">
        <v>4132</v>
      </c>
      <c r="Y1084" s="647" t="s">
        <v>85</v>
      </c>
      <c r="Z1084" s="657"/>
      <c r="AA1084" s="647"/>
      <c r="AB1084" s="551"/>
      <c r="AC1084" s="648"/>
      <c r="AD1084" s="246"/>
      <c r="AE1084" s="246" t="s">
        <v>4133</v>
      </c>
      <c r="AF1084" s="246"/>
      <c r="AG1084" s="246"/>
      <c r="AH1084" s="610">
        <v>1</v>
      </c>
      <c r="AI1084" s="246"/>
      <c r="AJ1084" s="643"/>
      <c r="AK1084" s="246"/>
      <c r="AL1084" s="246"/>
      <c r="AM1084" s="551"/>
      <c r="AN1084" s="551"/>
      <c r="AO1084" s="551"/>
      <c r="AP1084" s="551"/>
      <c r="AQ1084" s="551"/>
      <c r="AR1084" s="551"/>
      <c r="AS1084" s="551"/>
      <c r="AT1084" s="551"/>
      <c r="AU1084" s="551"/>
      <c r="AV1084" s="551"/>
      <c r="AW1084" s="551"/>
      <c r="AX1084" s="651"/>
      <c r="AY1084" s="551"/>
      <c r="AZ1084" s="551"/>
      <c r="BA1084" s="551"/>
      <c r="BB1084" s="551"/>
      <c r="BC1084" s="551"/>
      <c r="BD1084" s="551"/>
      <c r="BE1084" s="551"/>
      <c r="BF1084" s="551"/>
      <c r="BG1084" s="551"/>
      <c r="BH1084" s="551"/>
      <c r="BI1084" s="551"/>
      <c r="BJ1084" s="551"/>
      <c r="BK1084" s="551"/>
      <c r="BL1084" s="551"/>
      <c r="BM1084" s="551"/>
      <c r="BN1084" s="551"/>
      <c r="BO1084" s="551"/>
      <c r="BP1084" s="551"/>
      <c r="BQ1084" s="551"/>
      <c r="BR1084" s="551"/>
      <c r="BS1084" s="551"/>
      <c r="BT1084" s="551"/>
      <c r="BU1084" s="551"/>
      <c r="BV1084" s="551"/>
      <c r="BW1084" s="551"/>
      <c r="BX1084" s="551"/>
      <c r="BY1084" s="551"/>
      <c r="BZ1084" s="551"/>
      <c r="CA1084" s="551"/>
      <c r="CB1084" s="551"/>
      <c r="CC1084" s="551"/>
      <c r="CD1084" s="551"/>
      <c r="CE1084" s="551"/>
      <c r="CF1084" s="551"/>
      <c r="CG1084" s="551"/>
      <c r="CH1084" s="650"/>
      <c r="CI1084" s="650"/>
      <c r="CJ1084" s="650"/>
      <c r="CK1084" s="650"/>
      <c r="CL1084" s="650"/>
      <c r="CM1084" s="551"/>
      <c r="CN1084" s="551"/>
      <c r="CO1084" s="551"/>
      <c r="CP1084" s="650"/>
      <c r="CQ1084" s="650"/>
      <c r="CR1084" s="650"/>
      <c r="CS1084" s="650"/>
      <c r="CT1084" s="650"/>
      <c r="CU1084" s="650"/>
      <c r="CV1084" s="1331"/>
    </row>
    <row r="1085" s="1266" customFormat="1" ht="31" customHeight="1" spans="1:100">
      <c r="A1085" s="641">
        <v>46157</v>
      </c>
      <c r="B1085" s="642"/>
      <c r="C1085" s="246" t="s">
        <v>4128</v>
      </c>
      <c r="D1085" s="551" t="s">
        <v>4129</v>
      </c>
      <c r="E1085" s="246"/>
      <c r="F1085" s="551" t="s">
        <v>4134</v>
      </c>
      <c r="G1085" s="246">
        <v>77939</v>
      </c>
      <c r="H1085" s="246" t="s">
        <v>4135</v>
      </c>
      <c r="I1085" s="817">
        <v>300</v>
      </c>
      <c r="J1085" s="246"/>
      <c r="K1085" s="246"/>
      <c r="L1085" s="644"/>
      <c r="M1085" s="645">
        <v>46172</v>
      </c>
      <c r="N1085" s="645">
        <v>46168</v>
      </c>
      <c r="O1085" s="643"/>
      <c r="P1085" s="246"/>
      <c r="Q1085" s="646"/>
      <c r="R1085" s="646"/>
      <c r="S1085" s="646"/>
      <c r="T1085" s="646"/>
      <c r="U1085" s="646"/>
      <c r="V1085" s="646"/>
      <c r="W1085" s="642"/>
      <c r="X1085" s="642" t="s">
        <v>4136</v>
      </c>
      <c r="Y1085" s="647" t="s">
        <v>85</v>
      </c>
      <c r="Z1085" s="657"/>
      <c r="AA1085" s="647"/>
      <c r="AB1085" s="551"/>
      <c r="AC1085" s="648"/>
      <c r="AD1085" s="246"/>
      <c r="AE1085" s="246" t="s">
        <v>4133</v>
      </c>
      <c r="AF1085" s="246"/>
      <c r="AG1085" s="246"/>
      <c r="AH1085" s="610">
        <v>1</v>
      </c>
      <c r="AI1085" s="246"/>
      <c r="AJ1085" s="643"/>
      <c r="AK1085" s="246"/>
      <c r="AL1085" s="246"/>
      <c r="AM1085" s="551"/>
      <c r="AN1085" s="551"/>
      <c r="AO1085" s="551"/>
      <c r="AP1085" s="551"/>
      <c r="AQ1085" s="551"/>
      <c r="AR1085" s="551"/>
      <c r="AS1085" s="551"/>
      <c r="AT1085" s="551"/>
      <c r="AU1085" s="551"/>
      <c r="AV1085" s="551"/>
      <c r="AW1085" s="551"/>
      <c r="AX1085" s="651"/>
      <c r="AY1085" s="551"/>
      <c r="AZ1085" s="551"/>
      <c r="BA1085" s="551"/>
      <c r="BB1085" s="551"/>
      <c r="BC1085" s="551"/>
      <c r="BD1085" s="551"/>
      <c r="BE1085" s="551"/>
      <c r="BF1085" s="551"/>
      <c r="BG1085" s="551"/>
      <c r="BH1085" s="551"/>
      <c r="BI1085" s="551"/>
      <c r="BJ1085" s="551"/>
      <c r="BK1085" s="551"/>
      <c r="BL1085" s="551"/>
      <c r="BM1085" s="551"/>
      <c r="BN1085" s="551"/>
      <c r="BO1085" s="551"/>
      <c r="BP1085" s="551"/>
      <c r="BQ1085" s="551"/>
      <c r="BR1085" s="551"/>
      <c r="BS1085" s="551"/>
      <c r="BT1085" s="551"/>
      <c r="BU1085" s="551"/>
      <c r="BV1085" s="551"/>
      <c r="BW1085" s="551"/>
      <c r="BX1085" s="551"/>
      <c r="BY1085" s="551"/>
      <c r="BZ1085" s="551"/>
      <c r="CA1085" s="551"/>
      <c r="CB1085" s="551"/>
      <c r="CC1085" s="551"/>
      <c r="CD1085" s="551"/>
      <c r="CE1085" s="551"/>
      <c r="CF1085" s="551"/>
      <c r="CG1085" s="551"/>
      <c r="CH1085" s="650"/>
      <c r="CI1085" s="650"/>
      <c r="CJ1085" s="650"/>
      <c r="CK1085" s="650"/>
      <c r="CL1085" s="650"/>
      <c r="CM1085" s="551"/>
      <c r="CN1085" s="551"/>
      <c r="CO1085" s="551"/>
      <c r="CP1085" s="650"/>
      <c r="CQ1085" s="650"/>
      <c r="CR1085" s="650"/>
      <c r="CS1085" s="650"/>
      <c r="CT1085" s="650"/>
      <c r="CU1085" s="650"/>
      <c r="CV1085" s="1331"/>
    </row>
    <row r="1086" s="1266" customFormat="1" ht="31" customHeight="1" spans="1:100">
      <c r="A1086" s="641">
        <v>46155</v>
      </c>
      <c r="B1086" s="642"/>
      <c r="C1086" s="246" t="s">
        <v>4137</v>
      </c>
      <c r="D1086" s="551" t="s">
        <v>4138</v>
      </c>
      <c r="E1086" s="246"/>
      <c r="F1086" s="551" t="s">
        <v>4139</v>
      </c>
      <c r="G1086" s="246" t="s">
        <v>68</v>
      </c>
      <c r="H1086" s="246" t="s">
        <v>69</v>
      </c>
      <c r="I1086" s="706">
        <v>240</v>
      </c>
      <c r="J1086" s="246">
        <v>0</v>
      </c>
      <c r="K1086" s="246">
        <v>12</v>
      </c>
      <c r="L1086" s="644">
        <f>I1086/K1086</f>
        <v>20</v>
      </c>
      <c r="M1086" s="645">
        <v>46172</v>
      </c>
      <c r="N1086" s="645">
        <v>46168</v>
      </c>
      <c r="O1086" s="643"/>
      <c r="P1086" s="246" t="s">
        <v>113</v>
      </c>
      <c r="Q1086" s="646"/>
      <c r="R1086" s="646"/>
      <c r="S1086" s="646"/>
      <c r="T1086" s="646"/>
      <c r="U1086" s="646"/>
      <c r="V1086" s="646"/>
      <c r="W1086" s="642"/>
      <c r="X1086" s="642" t="s">
        <v>4140</v>
      </c>
      <c r="Y1086" s="647" t="s">
        <v>85</v>
      </c>
      <c r="Z1086" s="657"/>
      <c r="AA1086" s="647"/>
      <c r="AB1086" s="551"/>
      <c r="AC1086" s="648"/>
      <c r="AD1086" s="246" t="s">
        <v>68</v>
      </c>
      <c r="AE1086" s="246" t="s">
        <v>82</v>
      </c>
      <c r="AF1086" s="246"/>
      <c r="AG1086" s="246"/>
      <c r="AH1086" s="610">
        <v>1</v>
      </c>
      <c r="AI1086" s="246">
        <v>240</v>
      </c>
      <c r="AJ1086" s="643">
        <f>AI1086-I1086</f>
        <v>0</v>
      </c>
      <c r="AK1086" s="246"/>
      <c r="AL1086" s="246"/>
      <c r="AM1086" s="551"/>
      <c r="AN1086" s="551">
        <f>I1086</f>
        <v>240</v>
      </c>
      <c r="AO1086" s="551"/>
      <c r="AP1086" s="551"/>
      <c r="AQ1086" s="551"/>
      <c r="AR1086" s="551">
        <f>I1086</f>
        <v>240</v>
      </c>
      <c r="AS1086" s="551"/>
      <c r="AT1086" s="551"/>
      <c r="AU1086" s="551">
        <f>I1086</f>
        <v>240</v>
      </c>
      <c r="AV1086" s="551"/>
      <c r="AW1086" s="551">
        <f>I1086</f>
        <v>240</v>
      </c>
      <c r="AX1086" s="651"/>
      <c r="AY1086" s="551"/>
      <c r="AZ1086" s="551"/>
      <c r="BA1086" s="551"/>
      <c r="BB1086" s="551"/>
      <c r="BC1086" s="551"/>
      <c r="BD1086" s="551"/>
      <c r="BE1086" s="551"/>
      <c r="BF1086" s="551"/>
      <c r="BG1086" s="551"/>
      <c r="BH1086" s="551"/>
      <c r="BI1086" s="551"/>
      <c r="BJ1086" s="551"/>
      <c r="BK1086" s="551"/>
      <c r="BL1086" s="551"/>
      <c r="BM1086" s="551"/>
      <c r="BN1086" s="551"/>
      <c r="BO1086" s="551"/>
      <c r="BP1086" s="551"/>
      <c r="BQ1086" s="551"/>
      <c r="BR1086" s="551"/>
      <c r="BS1086" s="551"/>
      <c r="BT1086" s="551"/>
      <c r="BU1086" s="551"/>
      <c r="BV1086" s="551"/>
      <c r="BW1086" s="551"/>
      <c r="BX1086" s="551"/>
      <c r="BY1086" s="551"/>
      <c r="BZ1086" s="551"/>
      <c r="CA1086" s="551"/>
      <c r="CB1086" s="551"/>
      <c r="CC1086" s="551"/>
      <c r="CD1086" s="551"/>
      <c r="CE1086" s="551"/>
      <c r="CF1086" s="551"/>
      <c r="CG1086" s="551"/>
      <c r="CH1086" s="650"/>
      <c r="CI1086" s="650"/>
      <c r="CJ1086" s="650"/>
      <c r="CK1086" s="650"/>
      <c r="CL1086" s="650"/>
      <c r="CM1086" s="551"/>
      <c r="CN1086" s="551"/>
      <c r="CO1086" s="551"/>
      <c r="CP1086" s="650"/>
      <c r="CQ1086" s="650"/>
      <c r="CR1086" s="650"/>
      <c r="CS1086" s="650"/>
      <c r="CT1086" s="650"/>
      <c r="CU1086" s="650"/>
      <c r="CV1086" s="1331"/>
    </row>
    <row r="1087" s="1266" customFormat="1" ht="31" customHeight="1" spans="1:100">
      <c r="A1087" s="641">
        <v>46155</v>
      </c>
      <c r="B1087" s="642"/>
      <c r="C1087" s="246" t="s">
        <v>4137</v>
      </c>
      <c r="D1087" s="551" t="s">
        <v>4138</v>
      </c>
      <c r="E1087" s="246"/>
      <c r="F1087" s="551" t="s">
        <v>4141</v>
      </c>
      <c r="G1087" s="246" t="s">
        <v>476</v>
      </c>
      <c r="H1087" s="246" t="s">
        <v>3465</v>
      </c>
      <c r="I1087" s="706">
        <v>120</v>
      </c>
      <c r="J1087" s="246">
        <v>0</v>
      </c>
      <c r="K1087" s="246">
        <v>6</v>
      </c>
      <c r="L1087" s="644">
        <f>I1087/K1087</f>
        <v>20</v>
      </c>
      <c r="M1087" s="645">
        <v>46172</v>
      </c>
      <c r="N1087" s="645">
        <f>M1087-4</f>
        <v>46168</v>
      </c>
      <c r="O1087" s="643"/>
      <c r="P1087" s="246" t="s">
        <v>113</v>
      </c>
      <c r="Q1087" s="646"/>
      <c r="R1087" s="646"/>
      <c r="S1087" s="646"/>
      <c r="T1087" s="646"/>
      <c r="U1087" s="646"/>
      <c r="V1087" s="646"/>
      <c r="W1087" s="642"/>
      <c r="X1087" s="642" t="s">
        <v>4142</v>
      </c>
      <c r="Y1087" s="647" t="s">
        <v>85</v>
      </c>
      <c r="Z1087" s="657"/>
      <c r="AA1087" s="647"/>
      <c r="AB1087" s="551"/>
      <c r="AC1087" s="648"/>
      <c r="AD1087" s="246" t="s">
        <v>480</v>
      </c>
      <c r="AE1087" s="246" t="s">
        <v>82</v>
      </c>
      <c r="AF1087" s="246"/>
      <c r="AG1087" s="246"/>
      <c r="AH1087" s="610">
        <v>1</v>
      </c>
      <c r="AI1087" s="246"/>
      <c r="AJ1087" s="643"/>
      <c r="AK1087" s="246"/>
      <c r="AL1087" s="246"/>
      <c r="AM1087" s="551"/>
      <c r="AN1087" s="551">
        <f>I1087</f>
        <v>120</v>
      </c>
      <c r="AO1087" s="551"/>
      <c r="AP1087" s="551"/>
      <c r="AQ1087" s="551"/>
      <c r="AR1087" s="551"/>
      <c r="AS1087" s="551">
        <f>I1087</f>
        <v>120</v>
      </c>
      <c r="AT1087" s="551"/>
      <c r="AU1087" s="551">
        <f t="shared" si="364"/>
        <v>120</v>
      </c>
      <c r="AV1087" s="551"/>
      <c r="AW1087" s="551">
        <f t="shared" si="365"/>
        <v>120</v>
      </c>
      <c r="AX1087" s="651"/>
      <c r="AY1087" s="551"/>
      <c r="AZ1087" s="551"/>
      <c r="BA1087" s="551"/>
      <c r="BB1087" s="551"/>
      <c r="BC1087" s="551"/>
      <c r="BD1087" s="551"/>
      <c r="BE1087" s="551"/>
      <c r="BF1087" s="551"/>
      <c r="BG1087" s="551"/>
      <c r="BH1087" s="551"/>
      <c r="BI1087" s="551"/>
      <c r="BJ1087" s="551"/>
      <c r="BK1087" s="551"/>
      <c r="BL1087" s="551"/>
      <c r="BM1087" s="551"/>
      <c r="BN1087" s="551">
        <f>I1087</f>
        <v>120</v>
      </c>
      <c r="BO1087" s="551"/>
      <c r="BP1087" s="551"/>
      <c r="BQ1087" s="551"/>
      <c r="BR1087" s="551"/>
      <c r="BS1087" s="551"/>
      <c r="BT1087" s="551"/>
      <c r="BU1087" s="551"/>
      <c r="BV1087" s="551"/>
      <c r="BW1087" s="551"/>
      <c r="BX1087" s="551"/>
      <c r="BY1087" s="551"/>
      <c r="BZ1087" s="551"/>
      <c r="CA1087" s="551"/>
      <c r="CB1087" s="551"/>
      <c r="CC1087" s="551"/>
      <c r="CD1087" s="551"/>
      <c r="CE1087" s="551"/>
      <c r="CF1087" s="551"/>
      <c r="CG1087" s="551"/>
      <c r="CH1087" s="650"/>
      <c r="CI1087" s="650"/>
      <c r="CJ1087" s="650"/>
      <c r="CK1087" s="650"/>
      <c r="CL1087" s="650"/>
      <c r="CM1087" s="551"/>
      <c r="CN1087" s="551"/>
      <c r="CO1087" s="551"/>
      <c r="CP1087" s="650"/>
      <c r="CQ1087" s="650"/>
      <c r="CR1087" s="650"/>
      <c r="CS1087" s="650"/>
      <c r="CT1087" s="650"/>
      <c r="CU1087" s="650"/>
      <c r="CV1087" s="1331"/>
    </row>
    <row r="1088" s="1267" customFormat="1" ht="31" customHeight="1" spans="1:100">
      <c r="A1088" s="608">
        <v>46115</v>
      </c>
      <c r="B1088" s="609" t="s">
        <v>1800</v>
      </c>
      <c r="C1088" s="610" t="s">
        <v>744</v>
      </c>
      <c r="D1088" s="554">
        <v>4500198503</v>
      </c>
      <c r="E1088" s="610">
        <v>5000002156</v>
      </c>
      <c r="F1088" s="554" t="s">
        <v>4143</v>
      </c>
      <c r="G1088" s="623" t="s">
        <v>518</v>
      </c>
      <c r="H1088" s="610" t="s">
        <v>477</v>
      </c>
      <c r="I1088" s="715">
        <v>1200</v>
      </c>
      <c r="J1088" s="610">
        <v>0</v>
      </c>
      <c r="K1088" s="610">
        <v>6</v>
      </c>
      <c r="L1088" s="611">
        <f>I1088/K1088</f>
        <v>200</v>
      </c>
      <c r="M1088" s="612">
        <v>46175</v>
      </c>
      <c r="N1088" s="612">
        <f>M1088-4</f>
        <v>46171</v>
      </c>
      <c r="O1088" s="613"/>
      <c r="P1088" s="613" t="s">
        <v>113</v>
      </c>
      <c r="Q1088" s="614"/>
      <c r="R1088" s="614" t="s">
        <v>3299</v>
      </c>
      <c r="S1088" s="614" t="s">
        <v>104</v>
      </c>
      <c r="T1088" s="614" t="s">
        <v>2239</v>
      </c>
      <c r="U1088" s="614"/>
      <c r="V1088" s="609"/>
      <c r="W1088" s="609"/>
      <c r="X1088" s="609" t="s">
        <v>4119</v>
      </c>
      <c r="Y1088" s="609" t="s">
        <v>1805</v>
      </c>
      <c r="Z1088" s="1345">
        <v>6.3788</v>
      </c>
      <c r="AA1088" s="616">
        <f>Z1088*I1088</f>
        <v>7654.56</v>
      </c>
      <c r="AB1088" s="554"/>
      <c r="AC1088" s="617"/>
      <c r="AD1088" s="610" t="s">
        <v>2241</v>
      </c>
      <c r="AE1088" s="610" t="s">
        <v>82</v>
      </c>
      <c r="AF1088" s="610"/>
      <c r="AG1088" s="610"/>
      <c r="AH1088" s="610">
        <v>1</v>
      </c>
      <c r="AI1088" s="610"/>
      <c r="AJ1088" s="610">
        <f>AI1088-I1088</f>
        <v>-1200</v>
      </c>
      <c r="AK1088" s="610"/>
      <c r="AL1088" s="610"/>
      <c r="AM1088" s="554"/>
      <c r="AN1088" s="554">
        <f>I1088</f>
        <v>1200</v>
      </c>
      <c r="AO1088" s="1325"/>
      <c r="AP1088" s="1325"/>
      <c r="AQ1088" s="1325"/>
      <c r="AR1088" s="554">
        <f>I1088</f>
        <v>1200</v>
      </c>
      <c r="AS1088" s="554"/>
      <c r="AT1088" s="554"/>
      <c r="AU1088" s="554"/>
      <c r="AV1088" s="554">
        <f>I1088</f>
        <v>1200</v>
      </c>
      <c r="AW1088" s="554"/>
      <c r="AX1088" s="714">
        <f>I1088</f>
        <v>1200</v>
      </c>
      <c r="AY1088" s="554"/>
      <c r="AZ1088" s="554"/>
      <c r="BA1088" s="554"/>
      <c r="BB1088" s="554"/>
      <c r="BC1088" s="554"/>
      <c r="BD1088" s="554"/>
      <c r="BE1088" s="554"/>
      <c r="BF1088" s="554"/>
      <c r="BG1088" s="554"/>
      <c r="BH1088" s="554"/>
      <c r="BI1088" s="554"/>
      <c r="BJ1088" s="554"/>
      <c r="BK1088" s="554"/>
      <c r="BL1088" s="554"/>
      <c r="BM1088" s="554"/>
      <c r="BN1088" s="554">
        <f>I1088</f>
        <v>1200</v>
      </c>
      <c r="BO1088" s="554"/>
      <c r="BP1088" s="554"/>
      <c r="BQ1088" s="554"/>
      <c r="BR1088" s="554"/>
      <c r="BS1088" s="554"/>
      <c r="BT1088" s="554"/>
      <c r="BU1088" s="554"/>
      <c r="BV1088" s="554"/>
      <c r="BW1088" s="554"/>
      <c r="BX1088" s="554"/>
      <c r="BY1088" s="554"/>
      <c r="BZ1088" s="554"/>
      <c r="CA1088" s="554"/>
      <c r="CB1088" s="554"/>
      <c r="CC1088" s="554"/>
      <c r="CD1088" s="554"/>
      <c r="CE1088" s="554"/>
      <c r="CF1088" s="554"/>
      <c r="CG1088" s="554"/>
      <c r="CH1088" s="619"/>
      <c r="CI1088" s="619"/>
      <c r="CJ1088" s="619"/>
      <c r="CK1088" s="619"/>
      <c r="CL1088" s="619"/>
      <c r="CM1088" s="554"/>
      <c r="CN1088" s="554"/>
      <c r="CO1088" s="554"/>
      <c r="CP1088" s="619"/>
      <c r="CQ1088" s="619"/>
      <c r="CR1088" s="619"/>
      <c r="CS1088" s="619"/>
      <c r="CT1088" s="619"/>
      <c r="CU1088" s="619"/>
      <c r="CV1088" s="1325"/>
    </row>
    <row r="1089" s="1267" customFormat="1" ht="31" customHeight="1" spans="1:100">
      <c r="A1089" s="608">
        <v>46115</v>
      </c>
      <c r="B1089" s="609" t="s">
        <v>1800</v>
      </c>
      <c r="C1089" s="610" t="s">
        <v>744</v>
      </c>
      <c r="D1089" s="554">
        <v>4500198503</v>
      </c>
      <c r="E1089" s="610">
        <v>5000002156</v>
      </c>
      <c r="F1089" s="554" t="s">
        <v>4144</v>
      </c>
      <c r="G1089" s="623" t="s">
        <v>518</v>
      </c>
      <c r="H1089" s="610" t="s">
        <v>477</v>
      </c>
      <c r="I1089" s="715">
        <v>5604</v>
      </c>
      <c r="J1089" s="610">
        <v>0</v>
      </c>
      <c r="K1089" s="610">
        <v>6</v>
      </c>
      <c r="L1089" s="611">
        <f>I1089/K1089</f>
        <v>934</v>
      </c>
      <c r="M1089" s="612">
        <v>46175</v>
      </c>
      <c r="N1089" s="612">
        <f>M1089-4</f>
        <v>46171</v>
      </c>
      <c r="O1089" s="613"/>
      <c r="P1089" s="613" t="s">
        <v>113</v>
      </c>
      <c r="Q1089" s="614"/>
      <c r="R1089" s="614" t="s">
        <v>3299</v>
      </c>
      <c r="S1089" s="614" t="s">
        <v>104</v>
      </c>
      <c r="T1089" s="614" t="s">
        <v>2239</v>
      </c>
      <c r="U1089" s="614"/>
      <c r="V1089" s="609"/>
      <c r="W1089" s="609"/>
      <c r="X1089" s="609" t="s">
        <v>4119</v>
      </c>
      <c r="Y1089" s="609" t="s">
        <v>1805</v>
      </c>
      <c r="Z1089" s="1345">
        <v>6.3788</v>
      </c>
      <c r="AA1089" s="616">
        <f>Z1089*I1089</f>
        <v>35746.7952</v>
      </c>
      <c r="AB1089" s="554"/>
      <c r="AC1089" s="617"/>
      <c r="AD1089" s="610" t="s">
        <v>2241</v>
      </c>
      <c r="AE1089" s="610" t="s">
        <v>82</v>
      </c>
      <c r="AF1089" s="610"/>
      <c r="AG1089" s="610"/>
      <c r="AH1089" s="610">
        <v>1</v>
      </c>
      <c r="AI1089" s="610"/>
      <c r="AJ1089" s="610">
        <f>AI1089-I1089</f>
        <v>-5604</v>
      </c>
      <c r="AK1089" s="610"/>
      <c r="AL1089" s="610"/>
      <c r="AM1089" s="554"/>
      <c r="AN1089" s="554">
        <f>I1089</f>
        <v>5604</v>
      </c>
      <c r="AO1089" s="1325"/>
      <c r="AP1089" s="1325"/>
      <c r="AQ1089" s="1325"/>
      <c r="AR1089" s="554">
        <f>I1089</f>
        <v>5604</v>
      </c>
      <c r="AS1089" s="554"/>
      <c r="AT1089" s="554"/>
      <c r="AU1089" s="554"/>
      <c r="AV1089" s="554">
        <f>I1089</f>
        <v>5604</v>
      </c>
      <c r="AW1089" s="554"/>
      <c r="AX1089" s="714">
        <f>I1089</f>
        <v>5604</v>
      </c>
      <c r="AY1089" s="554"/>
      <c r="AZ1089" s="554"/>
      <c r="BA1089" s="554"/>
      <c r="BB1089" s="554"/>
      <c r="BC1089" s="554"/>
      <c r="BD1089" s="554"/>
      <c r="BE1089" s="554"/>
      <c r="BF1089" s="554"/>
      <c r="BG1089" s="554"/>
      <c r="BH1089" s="554"/>
      <c r="BI1089" s="554"/>
      <c r="BJ1089" s="554"/>
      <c r="BK1089" s="554"/>
      <c r="BL1089" s="554"/>
      <c r="BM1089" s="554"/>
      <c r="BN1089" s="554">
        <f>I1089</f>
        <v>5604</v>
      </c>
      <c r="BO1089" s="554"/>
      <c r="BP1089" s="554"/>
      <c r="BQ1089" s="554"/>
      <c r="BR1089" s="554"/>
      <c r="BS1089" s="554"/>
      <c r="BT1089" s="554"/>
      <c r="BU1089" s="554"/>
      <c r="BV1089" s="554"/>
      <c r="BW1089" s="554"/>
      <c r="BX1089" s="554"/>
      <c r="BY1089" s="554"/>
      <c r="BZ1089" s="554"/>
      <c r="CA1089" s="554"/>
      <c r="CB1089" s="554"/>
      <c r="CC1089" s="554"/>
      <c r="CD1089" s="554"/>
      <c r="CE1089" s="554"/>
      <c r="CF1089" s="554"/>
      <c r="CG1089" s="554"/>
      <c r="CH1089" s="619"/>
      <c r="CI1089" s="619"/>
      <c r="CJ1089" s="619"/>
      <c r="CK1089" s="619"/>
      <c r="CL1089" s="619"/>
      <c r="CM1089" s="554"/>
      <c r="CN1089" s="554"/>
      <c r="CO1089" s="554"/>
      <c r="CP1089" s="619"/>
      <c r="CQ1089" s="619"/>
      <c r="CR1089" s="619"/>
      <c r="CS1089" s="619"/>
      <c r="CT1089" s="619"/>
      <c r="CU1089" s="619"/>
      <c r="CV1089" s="1325"/>
    </row>
    <row r="1090" s="1266" customFormat="1" ht="31" customHeight="1" spans="1:100">
      <c r="A1090" s="641">
        <v>46126</v>
      </c>
      <c r="B1090" s="642" t="s">
        <v>3340</v>
      </c>
      <c r="C1090" s="246" t="s">
        <v>98</v>
      </c>
      <c r="D1090" s="551">
        <v>4500201723</v>
      </c>
      <c r="E1090" s="246">
        <v>127316</v>
      </c>
      <c r="F1090" s="551" t="s">
        <v>4145</v>
      </c>
      <c r="G1090" s="246" t="s">
        <v>68</v>
      </c>
      <c r="H1090" s="246" t="s">
        <v>69</v>
      </c>
      <c r="I1090" s="706">
        <v>996</v>
      </c>
      <c r="J1090" s="246">
        <v>0</v>
      </c>
      <c r="K1090" s="246">
        <v>12</v>
      </c>
      <c r="L1090" s="644">
        <f t="shared" ref="L1090:L1153" si="366">I1090/K1090</f>
        <v>83</v>
      </c>
      <c r="M1090" s="645">
        <v>46177</v>
      </c>
      <c r="N1090" s="645">
        <v>46174</v>
      </c>
      <c r="O1090" s="643"/>
      <c r="P1090" s="246" t="s">
        <v>113</v>
      </c>
      <c r="Q1090" s="646" t="s">
        <v>4146</v>
      </c>
      <c r="R1090" s="646">
        <v>46126</v>
      </c>
      <c r="S1090" s="646" t="s">
        <v>70</v>
      </c>
      <c r="T1090" s="646" t="s">
        <v>4147</v>
      </c>
      <c r="U1090" s="646"/>
      <c r="V1090" s="646"/>
      <c r="W1090" s="642"/>
      <c r="X1090" s="642" t="s">
        <v>4148</v>
      </c>
      <c r="Y1090" s="647" t="s">
        <v>3864</v>
      </c>
      <c r="Z1090" s="657">
        <v>2.5304</v>
      </c>
      <c r="AA1090" s="647">
        <f t="shared" ref="AA1090:AA1153" si="367">Z1090*I1090</f>
        <v>2520.2784</v>
      </c>
      <c r="AB1090" s="551"/>
      <c r="AC1090" s="658" t="s">
        <v>4149</v>
      </c>
      <c r="AD1090" s="246" t="s">
        <v>68</v>
      </c>
      <c r="AE1090" s="246" t="s">
        <v>82</v>
      </c>
      <c r="AF1090" s="246"/>
      <c r="AG1090" s="246"/>
      <c r="AH1090" s="610">
        <v>1</v>
      </c>
      <c r="AI1090" s="246">
        <v>996</v>
      </c>
      <c r="AJ1090" s="246">
        <f t="shared" ref="AJ1090:AJ1153" si="368">AI1090-I1090</f>
        <v>0</v>
      </c>
      <c r="AK1090" s="246"/>
      <c r="AL1090" s="246" t="s">
        <v>2368</v>
      </c>
      <c r="AM1090" s="551"/>
      <c r="AN1090" s="551">
        <f t="shared" ref="AN1090:AN1153" si="369">I1090</f>
        <v>996</v>
      </c>
      <c r="AO1090" s="551"/>
      <c r="AP1090" s="551"/>
      <c r="AQ1090" s="551"/>
      <c r="AR1090" s="551">
        <f>I1090</f>
        <v>996</v>
      </c>
      <c r="AS1090" s="551"/>
      <c r="AT1090" s="551"/>
      <c r="AU1090" s="551">
        <f t="shared" ref="AU1090:AU1114" si="370">I1090</f>
        <v>996</v>
      </c>
      <c r="AV1090" s="551"/>
      <c r="AW1090" s="551">
        <f t="shared" ref="AW1090:AW1114" si="371">I1090</f>
        <v>996</v>
      </c>
      <c r="AX1090" s="651"/>
      <c r="AY1090" s="551"/>
      <c r="AZ1090" s="551"/>
      <c r="BA1090" s="551"/>
      <c r="BB1090" s="551"/>
      <c r="BC1090" s="551"/>
      <c r="BD1090" s="551"/>
      <c r="BE1090" s="551"/>
      <c r="BF1090" s="551"/>
      <c r="BG1090" s="551"/>
      <c r="BH1090" s="551"/>
      <c r="BI1090" s="551"/>
      <c r="BJ1090" s="551"/>
      <c r="BK1090" s="551"/>
      <c r="BL1090" s="551"/>
      <c r="BM1090" s="551"/>
      <c r="BN1090" s="551"/>
      <c r="BO1090" s="551"/>
      <c r="BP1090" s="551"/>
      <c r="BQ1090" s="551"/>
      <c r="BR1090" s="551"/>
      <c r="BS1090" s="551"/>
      <c r="BT1090" s="551"/>
      <c r="BU1090" s="551"/>
      <c r="BV1090" s="551"/>
      <c r="BW1090" s="551"/>
      <c r="BX1090" s="551"/>
      <c r="BY1090" s="551"/>
      <c r="BZ1090" s="551"/>
      <c r="CA1090" s="551"/>
      <c r="CB1090" s="551"/>
      <c r="CC1090" s="551"/>
      <c r="CD1090" s="551"/>
      <c r="CE1090" s="551"/>
      <c r="CF1090" s="551"/>
      <c r="CG1090" s="551"/>
      <c r="CH1090" s="650"/>
      <c r="CI1090" s="650"/>
      <c r="CJ1090" s="650"/>
      <c r="CK1090" s="650"/>
      <c r="CL1090" s="650"/>
      <c r="CM1090" s="551"/>
      <c r="CN1090" s="551"/>
      <c r="CO1090" s="551"/>
      <c r="CP1090" s="650"/>
      <c r="CQ1090" s="650"/>
      <c r="CR1090" s="650"/>
      <c r="CS1090" s="650"/>
      <c r="CT1090" s="650"/>
      <c r="CU1090" s="650"/>
      <c r="CV1090" s="1331"/>
    </row>
    <row r="1091" s="1266" customFormat="1" ht="31" customHeight="1" spans="1:100">
      <c r="A1091" s="641">
        <v>46126</v>
      </c>
      <c r="B1091" s="642" t="s">
        <v>3340</v>
      </c>
      <c r="C1091" s="246" t="s">
        <v>98</v>
      </c>
      <c r="D1091" s="551">
        <v>4500201724</v>
      </c>
      <c r="E1091" s="246">
        <v>127329</v>
      </c>
      <c r="F1091" s="551" t="s">
        <v>4150</v>
      </c>
      <c r="G1091" s="246" t="s">
        <v>68</v>
      </c>
      <c r="H1091" s="246" t="s">
        <v>69</v>
      </c>
      <c r="I1091" s="706">
        <v>1200</v>
      </c>
      <c r="J1091" s="246">
        <v>0</v>
      </c>
      <c r="K1091" s="246">
        <v>12</v>
      </c>
      <c r="L1091" s="644">
        <f t="shared" si="366"/>
        <v>100</v>
      </c>
      <c r="M1091" s="645">
        <v>46177</v>
      </c>
      <c r="N1091" s="645">
        <v>46174</v>
      </c>
      <c r="O1091" s="643"/>
      <c r="P1091" s="246" t="s">
        <v>113</v>
      </c>
      <c r="Q1091" s="646" t="s">
        <v>4151</v>
      </c>
      <c r="R1091" s="646">
        <v>46126</v>
      </c>
      <c r="S1091" s="646" t="s">
        <v>70</v>
      </c>
      <c r="T1091" s="646" t="s">
        <v>4152</v>
      </c>
      <c r="U1091" s="646"/>
      <c r="V1091" s="646"/>
      <c r="W1091" s="642"/>
      <c r="X1091" s="642" t="s">
        <v>4153</v>
      </c>
      <c r="Y1091" s="647" t="s">
        <v>3864</v>
      </c>
      <c r="Z1091" s="657">
        <v>2.5304</v>
      </c>
      <c r="AA1091" s="647">
        <f t="shared" si="367"/>
        <v>3036.48</v>
      </c>
      <c r="AB1091" s="551"/>
      <c r="AC1091" s="658" t="s">
        <v>4154</v>
      </c>
      <c r="AD1091" s="246" t="s">
        <v>68</v>
      </c>
      <c r="AE1091" s="246" t="s">
        <v>82</v>
      </c>
      <c r="AF1091" s="246"/>
      <c r="AG1091" s="246"/>
      <c r="AH1091" s="610">
        <v>1</v>
      </c>
      <c r="AI1091" s="246">
        <v>1200</v>
      </c>
      <c r="AJ1091" s="246">
        <f t="shared" si="368"/>
        <v>0</v>
      </c>
      <c r="AK1091" s="246"/>
      <c r="AL1091" s="246" t="s">
        <v>2368</v>
      </c>
      <c r="AM1091" s="551"/>
      <c r="AN1091" s="551">
        <f t="shared" si="369"/>
        <v>1200</v>
      </c>
      <c r="AO1091" s="551"/>
      <c r="AP1091" s="551"/>
      <c r="AQ1091" s="551"/>
      <c r="AR1091" s="551">
        <f>I1091</f>
        <v>1200</v>
      </c>
      <c r="AS1091" s="551"/>
      <c r="AT1091" s="551"/>
      <c r="AU1091" s="551">
        <f t="shared" si="370"/>
        <v>1200</v>
      </c>
      <c r="AV1091" s="551"/>
      <c r="AW1091" s="551">
        <f t="shared" si="371"/>
        <v>1200</v>
      </c>
      <c r="AX1091" s="651"/>
      <c r="AY1091" s="551"/>
      <c r="AZ1091" s="551"/>
      <c r="BA1091" s="551"/>
      <c r="BB1091" s="551"/>
      <c r="BC1091" s="551"/>
      <c r="BD1091" s="551"/>
      <c r="BE1091" s="551"/>
      <c r="BF1091" s="551"/>
      <c r="BG1091" s="551"/>
      <c r="BH1091" s="551"/>
      <c r="BI1091" s="551"/>
      <c r="BJ1091" s="551"/>
      <c r="BK1091" s="551"/>
      <c r="BL1091" s="551"/>
      <c r="BM1091" s="551"/>
      <c r="BN1091" s="551"/>
      <c r="BO1091" s="551"/>
      <c r="BP1091" s="551"/>
      <c r="BQ1091" s="551"/>
      <c r="BR1091" s="551"/>
      <c r="BS1091" s="551"/>
      <c r="BT1091" s="551"/>
      <c r="BU1091" s="551"/>
      <c r="BV1091" s="551"/>
      <c r="BW1091" s="551"/>
      <c r="BX1091" s="551"/>
      <c r="BY1091" s="551"/>
      <c r="BZ1091" s="551"/>
      <c r="CA1091" s="551"/>
      <c r="CB1091" s="551"/>
      <c r="CC1091" s="551"/>
      <c r="CD1091" s="551"/>
      <c r="CE1091" s="551"/>
      <c r="CF1091" s="551"/>
      <c r="CG1091" s="551"/>
      <c r="CH1091" s="650"/>
      <c r="CI1091" s="650"/>
      <c r="CJ1091" s="650"/>
      <c r="CK1091" s="650"/>
      <c r="CL1091" s="650"/>
      <c r="CM1091" s="551"/>
      <c r="CN1091" s="551"/>
      <c r="CO1091" s="551"/>
      <c r="CP1091" s="650"/>
      <c r="CQ1091" s="650"/>
      <c r="CR1091" s="650"/>
      <c r="CS1091" s="650"/>
      <c r="CT1091" s="650"/>
      <c r="CU1091" s="650"/>
      <c r="CV1091" s="1331"/>
    </row>
    <row r="1092" s="1266" customFormat="1" ht="31" customHeight="1" spans="1:100">
      <c r="A1092" s="641">
        <v>46064</v>
      </c>
      <c r="B1092" s="642" t="s">
        <v>4155</v>
      </c>
      <c r="C1092" s="246" t="s">
        <v>198</v>
      </c>
      <c r="D1092" s="551">
        <v>4500193716</v>
      </c>
      <c r="E1092" s="246">
        <v>4045728998</v>
      </c>
      <c r="F1092" s="551" t="s">
        <v>4156</v>
      </c>
      <c r="G1092" s="659" t="s">
        <v>101</v>
      </c>
      <c r="H1092" s="246" t="s">
        <v>102</v>
      </c>
      <c r="I1092" s="246">
        <v>500</v>
      </c>
      <c r="J1092" s="246">
        <v>0</v>
      </c>
      <c r="K1092" s="246">
        <v>4</v>
      </c>
      <c r="L1092" s="644">
        <f t="shared" si="366"/>
        <v>125</v>
      </c>
      <c r="M1092" s="742">
        <v>46178</v>
      </c>
      <c r="N1092" s="742">
        <v>46174</v>
      </c>
      <c r="O1092" s="643" t="s">
        <v>4157</v>
      </c>
      <c r="P1092" s="246" t="s">
        <v>113</v>
      </c>
      <c r="Q1092" s="646"/>
      <c r="R1092" s="646">
        <v>46105</v>
      </c>
      <c r="S1092" s="646" t="s">
        <v>70</v>
      </c>
      <c r="T1092" s="646" t="s">
        <v>4158</v>
      </c>
      <c r="U1092" s="646"/>
      <c r="V1092" s="646"/>
      <c r="W1092" s="642"/>
      <c r="X1092" s="642" t="s">
        <v>4159</v>
      </c>
      <c r="Y1092" s="647" t="s">
        <v>244</v>
      </c>
      <c r="Z1092" s="657">
        <v>4.3</v>
      </c>
      <c r="AA1092" s="647">
        <f t="shared" si="367"/>
        <v>2150</v>
      </c>
      <c r="AB1092" s="551"/>
      <c r="AC1092" s="648"/>
      <c r="AD1092" s="246" t="s">
        <v>156</v>
      </c>
      <c r="AE1092" s="246" t="s">
        <v>82</v>
      </c>
      <c r="AF1092" s="246"/>
      <c r="AG1092" s="246"/>
      <c r="AH1092" s="610">
        <v>1</v>
      </c>
      <c r="AI1092" s="246">
        <v>500</v>
      </c>
      <c r="AJ1092" s="643">
        <f t="shared" si="368"/>
        <v>0</v>
      </c>
      <c r="AK1092" s="246"/>
      <c r="AL1092" s="246" t="s">
        <v>2368</v>
      </c>
      <c r="AM1092" s="551"/>
      <c r="AN1092" s="551">
        <f t="shared" si="369"/>
        <v>500</v>
      </c>
      <c r="AO1092" s="551"/>
      <c r="AP1092" s="551"/>
      <c r="AQ1092" s="551"/>
      <c r="AR1092" s="551"/>
      <c r="AS1092" s="551">
        <f t="shared" ref="AS1090:AS1101" si="372">I1092</f>
        <v>500</v>
      </c>
      <c r="AT1092" s="551"/>
      <c r="AU1092" s="551">
        <f t="shared" si="370"/>
        <v>500</v>
      </c>
      <c r="AV1092" s="551"/>
      <c r="AW1092" s="551">
        <f t="shared" si="371"/>
        <v>500</v>
      </c>
      <c r="AX1092" s="651"/>
      <c r="AY1092" s="551"/>
      <c r="AZ1092" s="551"/>
      <c r="BA1092" s="551"/>
      <c r="BB1092" s="551"/>
      <c r="BC1092" s="551"/>
      <c r="BD1092" s="551"/>
      <c r="BE1092" s="551"/>
      <c r="BF1092" s="551"/>
      <c r="BG1092" s="551"/>
      <c r="BH1092" s="551"/>
      <c r="BI1092" s="551">
        <f>I1092/4</f>
        <v>125</v>
      </c>
      <c r="BJ1092" s="551"/>
      <c r="BK1092" s="551"/>
      <c r="BL1092" s="551"/>
      <c r="BM1092" s="551"/>
      <c r="BN1092" s="551"/>
      <c r="BO1092" s="551"/>
      <c r="BP1092" s="551"/>
      <c r="BQ1092" s="551"/>
      <c r="BR1092" s="551"/>
      <c r="BS1092" s="551"/>
      <c r="BT1092" s="551"/>
      <c r="BU1092" s="551"/>
      <c r="BV1092" s="551"/>
      <c r="BW1092" s="551"/>
      <c r="BX1092" s="551"/>
      <c r="BY1092" s="551"/>
      <c r="BZ1092" s="551"/>
      <c r="CA1092" s="551"/>
      <c r="CB1092" s="551"/>
      <c r="CC1092" s="551"/>
      <c r="CD1092" s="551"/>
      <c r="CE1092" s="551"/>
      <c r="CF1092" s="551"/>
      <c r="CG1092" s="551"/>
      <c r="CH1092" s="650"/>
      <c r="CI1092" s="650"/>
      <c r="CJ1092" s="650"/>
      <c r="CK1092" s="650"/>
      <c r="CL1092" s="650"/>
      <c r="CM1092" s="551"/>
      <c r="CN1092" s="551"/>
      <c r="CO1092" s="551"/>
      <c r="CP1092" s="650"/>
      <c r="CQ1092" s="650"/>
      <c r="CR1092" s="650"/>
      <c r="CS1092" s="650"/>
      <c r="CT1092" s="650"/>
      <c r="CU1092" s="650"/>
      <c r="CV1092" s="1331"/>
    </row>
    <row r="1093" s="1266" customFormat="1" ht="31" customHeight="1" spans="1:100">
      <c r="A1093" s="641">
        <v>46129</v>
      </c>
      <c r="B1093" s="642" t="s">
        <v>417</v>
      </c>
      <c r="C1093" s="246" t="s">
        <v>241</v>
      </c>
      <c r="D1093" s="551" t="s">
        <v>4160</v>
      </c>
      <c r="E1093" s="246" t="s">
        <v>4161</v>
      </c>
      <c r="F1093" s="551" t="s">
        <v>4162</v>
      </c>
      <c r="G1093" s="246" t="s">
        <v>101</v>
      </c>
      <c r="H1093" s="246" t="s">
        <v>102</v>
      </c>
      <c r="I1093" s="706">
        <v>324</v>
      </c>
      <c r="J1093" s="246">
        <v>0</v>
      </c>
      <c r="K1093" s="246">
        <v>4</v>
      </c>
      <c r="L1093" s="644">
        <f t="shared" si="366"/>
        <v>81</v>
      </c>
      <c r="M1093" s="645">
        <v>46178</v>
      </c>
      <c r="N1093" s="645">
        <v>46174</v>
      </c>
      <c r="O1093" s="643"/>
      <c r="P1093" s="246" t="s">
        <v>113</v>
      </c>
      <c r="Q1093" s="646"/>
      <c r="R1093" s="646">
        <v>46141</v>
      </c>
      <c r="S1093" s="646" t="s">
        <v>70</v>
      </c>
      <c r="T1093" s="646" t="s">
        <v>4163</v>
      </c>
      <c r="U1093" s="646"/>
      <c r="V1093" s="646"/>
      <c r="W1093" s="642"/>
      <c r="X1093" s="642" t="s">
        <v>4164</v>
      </c>
      <c r="Y1093" s="647" t="s">
        <v>299</v>
      </c>
      <c r="Z1093" s="657">
        <v>4.4032</v>
      </c>
      <c r="AA1093" s="647">
        <f t="shared" si="367"/>
        <v>1426.6368</v>
      </c>
      <c r="AB1093" s="551"/>
      <c r="AC1093" s="648"/>
      <c r="AD1093" s="246" t="s">
        <v>156</v>
      </c>
      <c r="AE1093" s="246" t="s">
        <v>82</v>
      </c>
      <c r="AF1093" s="246"/>
      <c r="AG1093" s="246"/>
      <c r="AH1093" s="610">
        <v>1</v>
      </c>
      <c r="AI1093" s="246">
        <v>324</v>
      </c>
      <c r="AJ1093" s="643">
        <f t="shared" si="368"/>
        <v>0</v>
      </c>
      <c r="AK1093" s="246"/>
      <c r="AL1093" s="246" t="s">
        <v>2368</v>
      </c>
      <c r="AM1093" s="551"/>
      <c r="AN1093" s="551">
        <f t="shared" si="369"/>
        <v>324</v>
      </c>
      <c r="AO1093" s="551"/>
      <c r="AP1093" s="551"/>
      <c r="AQ1093" s="551"/>
      <c r="AR1093" s="551"/>
      <c r="AS1093" s="551">
        <f t="shared" si="372"/>
        <v>324</v>
      </c>
      <c r="AT1093" s="551"/>
      <c r="AU1093" s="551">
        <f t="shared" si="370"/>
        <v>324</v>
      </c>
      <c r="AV1093" s="551"/>
      <c r="AW1093" s="551">
        <f t="shared" si="371"/>
        <v>324</v>
      </c>
      <c r="AX1093" s="651"/>
      <c r="AY1093" s="551"/>
      <c r="AZ1093" s="551"/>
      <c r="BA1093" s="551"/>
      <c r="BB1093" s="551"/>
      <c r="BC1093" s="551"/>
      <c r="BD1093" s="551"/>
      <c r="BE1093" s="551"/>
      <c r="BF1093" s="551"/>
      <c r="BG1093" s="551"/>
      <c r="BH1093" s="551"/>
      <c r="BI1093" s="551">
        <f>I1093/4</f>
        <v>81</v>
      </c>
      <c r="BJ1093" s="551"/>
      <c r="BK1093" s="551"/>
      <c r="BL1093" s="551"/>
      <c r="BM1093" s="551"/>
      <c r="BN1093" s="551"/>
      <c r="BO1093" s="551"/>
      <c r="BP1093" s="551"/>
      <c r="BQ1093" s="551"/>
      <c r="BR1093" s="551"/>
      <c r="BS1093" s="551"/>
      <c r="BT1093" s="551"/>
      <c r="BU1093" s="551"/>
      <c r="BV1093" s="551"/>
      <c r="BW1093" s="551"/>
      <c r="BX1093" s="551"/>
      <c r="BY1093" s="551"/>
      <c r="BZ1093" s="551"/>
      <c r="CA1093" s="551"/>
      <c r="CB1093" s="551"/>
      <c r="CC1093" s="551"/>
      <c r="CD1093" s="551"/>
      <c r="CE1093" s="551"/>
      <c r="CF1093" s="551"/>
      <c r="CG1093" s="551"/>
      <c r="CH1093" s="650"/>
      <c r="CI1093" s="650"/>
      <c r="CJ1093" s="650"/>
      <c r="CK1093" s="650"/>
      <c r="CL1093" s="650"/>
      <c r="CM1093" s="551"/>
      <c r="CN1093" s="551"/>
      <c r="CO1093" s="551"/>
      <c r="CP1093" s="650"/>
      <c r="CQ1093" s="650"/>
      <c r="CR1093" s="650"/>
      <c r="CS1093" s="650"/>
      <c r="CT1093" s="650"/>
      <c r="CU1093" s="650"/>
      <c r="CV1093" s="1331"/>
    </row>
    <row r="1094" s="1266" customFormat="1" ht="31" customHeight="1" spans="1:100">
      <c r="A1094" s="641">
        <v>46129</v>
      </c>
      <c r="B1094" s="642" t="s">
        <v>3407</v>
      </c>
      <c r="C1094" s="246" t="s">
        <v>170</v>
      </c>
      <c r="D1094" s="551" t="s">
        <v>4165</v>
      </c>
      <c r="E1094" s="246" t="s">
        <v>4166</v>
      </c>
      <c r="F1094" s="551" t="s">
        <v>4167</v>
      </c>
      <c r="G1094" s="246" t="s">
        <v>68</v>
      </c>
      <c r="H1094" s="246" t="s">
        <v>69</v>
      </c>
      <c r="I1094" s="706">
        <v>24</v>
      </c>
      <c r="J1094" s="246">
        <v>0</v>
      </c>
      <c r="K1094" s="246">
        <v>12</v>
      </c>
      <c r="L1094" s="644">
        <f t="shared" si="366"/>
        <v>2</v>
      </c>
      <c r="M1094" s="645">
        <v>46178</v>
      </c>
      <c r="N1094" s="645">
        <v>46174</v>
      </c>
      <c r="O1094" s="643"/>
      <c r="P1094" s="246" t="s">
        <v>113</v>
      </c>
      <c r="Q1094" s="646"/>
      <c r="R1094" s="646">
        <v>46129</v>
      </c>
      <c r="S1094" s="646" t="s">
        <v>104</v>
      </c>
      <c r="T1094" s="646" t="s">
        <v>4168</v>
      </c>
      <c r="U1094" s="646"/>
      <c r="V1094" s="646"/>
      <c r="W1094" s="642"/>
      <c r="X1094" s="642" t="s">
        <v>4169</v>
      </c>
      <c r="Y1094" s="647" t="s">
        <v>1507</v>
      </c>
      <c r="Z1094" s="657">
        <v>4.3574</v>
      </c>
      <c r="AA1094" s="647">
        <f t="shared" si="367"/>
        <v>104.5776</v>
      </c>
      <c r="AB1094" s="551"/>
      <c r="AC1094" s="648"/>
      <c r="AD1094" s="246" t="s">
        <v>184</v>
      </c>
      <c r="AE1094" s="246" t="s">
        <v>82</v>
      </c>
      <c r="AF1094" s="246"/>
      <c r="AG1094" s="246"/>
      <c r="AH1094" s="610">
        <v>1</v>
      </c>
      <c r="AI1094" s="246">
        <v>24</v>
      </c>
      <c r="AJ1094" s="246">
        <f t="shared" si="368"/>
        <v>0</v>
      </c>
      <c r="AK1094" s="246"/>
      <c r="AL1094" s="246" t="s">
        <v>2368</v>
      </c>
      <c r="AM1094" s="551"/>
      <c r="AN1094" s="551">
        <f t="shared" si="369"/>
        <v>24</v>
      </c>
      <c r="AO1094" s="551"/>
      <c r="AP1094" s="551"/>
      <c r="AQ1094" s="551"/>
      <c r="AR1094" s="551"/>
      <c r="AS1094" s="551">
        <f t="shared" si="372"/>
        <v>24</v>
      </c>
      <c r="AT1094" s="551"/>
      <c r="AU1094" s="551">
        <f t="shared" si="370"/>
        <v>24</v>
      </c>
      <c r="AV1094" s="551"/>
      <c r="AW1094" s="551">
        <f t="shared" si="371"/>
        <v>24</v>
      </c>
      <c r="AX1094" s="651"/>
      <c r="AY1094" s="551"/>
      <c r="AZ1094" s="551"/>
      <c r="BA1094" s="551"/>
      <c r="BB1094" s="551"/>
      <c r="BC1094" s="551"/>
      <c r="BD1094" s="551"/>
      <c r="BE1094" s="551"/>
      <c r="BF1094" s="551"/>
      <c r="BG1094" s="551"/>
      <c r="BH1094" s="551"/>
      <c r="BI1094" s="551"/>
      <c r="BJ1094" s="551"/>
      <c r="BK1094" s="551"/>
      <c r="BL1094" s="551"/>
      <c r="BM1094" s="551"/>
      <c r="BN1094" s="551"/>
      <c r="BO1094" s="551"/>
      <c r="BP1094" s="551"/>
      <c r="BQ1094" s="551"/>
      <c r="BR1094" s="551"/>
      <c r="BS1094" s="551"/>
      <c r="BT1094" s="551"/>
      <c r="BU1094" s="551"/>
      <c r="BV1094" s="551"/>
      <c r="BW1094" s="551"/>
      <c r="BX1094" s="551"/>
      <c r="BY1094" s="551"/>
      <c r="BZ1094" s="551"/>
      <c r="CA1094" s="551"/>
      <c r="CB1094" s="551"/>
      <c r="CC1094" s="551"/>
      <c r="CD1094" s="551"/>
      <c r="CE1094" s="551"/>
      <c r="CF1094" s="551"/>
      <c r="CG1094" s="551"/>
      <c r="CH1094" s="650"/>
      <c r="CI1094" s="650"/>
      <c r="CJ1094" s="650"/>
      <c r="CK1094" s="650"/>
      <c r="CL1094" s="650"/>
      <c r="CM1094" s="551"/>
      <c r="CN1094" s="551"/>
      <c r="CO1094" s="551"/>
      <c r="CP1094" s="650"/>
      <c r="CQ1094" s="650"/>
      <c r="CR1094" s="650"/>
      <c r="CS1094" s="650"/>
      <c r="CT1094" s="650"/>
      <c r="CU1094" s="650"/>
      <c r="CV1094" s="1331"/>
    </row>
    <row r="1095" s="1266" customFormat="1" ht="31" customHeight="1" spans="1:100">
      <c r="A1095" s="641">
        <v>46129</v>
      </c>
      <c r="B1095" s="642" t="s">
        <v>3407</v>
      </c>
      <c r="C1095" s="246" t="s">
        <v>170</v>
      </c>
      <c r="D1095" s="551" t="s">
        <v>4165</v>
      </c>
      <c r="E1095" s="246" t="s">
        <v>4170</v>
      </c>
      <c r="F1095" s="551" t="s">
        <v>4171</v>
      </c>
      <c r="G1095" s="246" t="s">
        <v>68</v>
      </c>
      <c r="H1095" s="246" t="s">
        <v>69</v>
      </c>
      <c r="I1095" s="706">
        <v>24</v>
      </c>
      <c r="J1095" s="246">
        <v>0</v>
      </c>
      <c r="K1095" s="246">
        <v>12</v>
      </c>
      <c r="L1095" s="644">
        <f t="shared" si="366"/>
        <v>2</v>
      </c>
      <c r="M1095" s="645">
        <v>46178</v>
      </c>
      <c r="N1095" s="645">
        <v>46174</v>
      </c>
      <c r="O1095" s="643"/>
      <c r="P1095" s="246" t="s">
        <v>113</v>
      </c>
      <c r="Q1095" s="646"/>
      <c r="R1095" s="646">
        <v>46129</v>
      </c>
      <c r="S1095" s="646" t="s">
        <v>104</v>
      </c>
      <c r="T1095" s="646" t="s">
        <v>4168</v>
      </c>
      <c r="U1095" s="646"/>
      <c r="V1095" s="646"/>
      <c r="W1095" s="642"/>
      <c r="X1095" s="642" t="s">
        <v>4169</v>
      </c>
      <c r="Y1095" s="647" t="s">
        <v>1507</v>
      </c>
      <c r="Z1095" s="657">
        <v>4.3574</v>
      </c>
      <c r="AA1095" s="647">
        <f t="shared" si="367"/>
        <v>104.5776</v>
      </c>
      <c r="AB1095" s="551"/>
      <c r="AC1095" s="648"/>
      <c r="AD1095" s="246" t="s">
        <v>184</v>
      </c>
      <c r="AE1095" s="246" t="s">
        <v>82</v>
      </c>
      <c r="AF1095" s="246"/>
      <c r="AG1095" s="246"/>
      <c r="AH1095" s="610">
        <v>1</v>
      </c>
      <c r="AI1095" s="246">
        <v>24</v>
      </c>
      <c r="AJ1095" s="246">
        <f t="shared" si="368"/>
        <v>0</v>
      </c>
      <c r="AK1095" s="246"/>
      <c r="AL1095" s="246" t="s">
        <v>2368</v>
      </c>
      <c r="AM1095" s="551"/>
      <c r="AN1095" s="551">
        <f t="shared" si="369"/>
        <v>24</v>
      </c>
      <c r="AO1095" s="551"/>
      <c r="AP1095" s="551"/>
      <c r="AQ1095" s="551"/>
      <c r="AR1095" s="551"/>
      <c r="AS1095" s="551">
        <f t="shared" si="372"/>
        <v>24</v>
      </c>
      <c r="AT1095" s="551"/>
      <c r="AU1095" s="551">
        <f t="shared" si="370"/>
        <v>24</v>
      </c>
      <c r="AV1095" s="551"/>
      <c r="AW1095" s="551">
        <f t="shared" si="371"/>
        <v>24</v>
      </c>
      <c r="AX1095" s="651"/>
      <c r="AY1095" s="551"/>
      <c r="AZ1095" s="551"/>
      <c r="BA1095" s="551"/>
      <c r="BB1095" s="551"/>
      <c r="BC1095" s="551"/>
      <c r="BD1095" s="551"/>
      <c r="BE1095" s="551"/>
      <c r="BF1095" s="551"/>
      <c r="BG1095" s="551"/>
      <c r="BH1095" s="551"/>
      <c r="BI1095" s="551"/>
      <c r="BJ1095" s="551"/>
      <c r="BK1095" s="551"/>
      <c r="BL1095" s="551"/>
      <c r="BM1095" s="551"/>
      <c r="BN1095" s="551"/>
      <c r="BO1095" s="551"/>
      <c r="BP1095" s="551"/>
      <c r="BQ1095" s="551"/>
      <c r="BR1095" s="551"/>
      <c r="BS1095" s="551"/>
      <c r="BT1095" s="551"/>
      <c r="BU1095" s="551"/>
      <c r="BV1095" s="551"/>
      <c r="BW1095" s="551"/>
      <c r="BX1095" s="551"/>
      <c r="BY1095" s="551"/>
      <c r="BZ1095" s="551"/>
      <c r="CA1095" s="551"/>
      <c r="CB1095" s="551"/>
      <c r="CC1095" s="551"/>
      <c r="CD1095" s="551"/>
      <c r="CE1095" s="551"/>
      <c r="CF1095" s="551"/>
      <c r="CG1095" s="551"/>
      <c r="CH1095" s="650"/>
      <c r="CI1095" s="650"/>
      <c r="CJ1095" s="650"/>
      <c r="CK1095" s="650"/>
      <c r="CL1095" s="650"/>
      <c r="CM1095" s="551"/>
      <c r="CN1095" s="551"/>
      <c r="CO1095" s="551"/>
      <c r="CP1095" s="650"/>
      <c r="CQ1095" s="650"/>
      <c r="CR1095" s="650"/>
      <c r="CS1095" s="650"/>
      <c r="CT1095" s="650"/>
      <c r="CU1095" s="650"/>
      <c r="CV1095" s="1331"/>
    </row>
    <row r="1096" s="1266" customFormat="1" ht="31" customHeight="1" spans="1:100">
      <c r="A1096" s="641">
        <v>46129</v>
      </c>
      <c r="B1096" s="642" t="s">
        <v>3407</v>
      </c>
      <c r="C1096" s="246" t="s">
        <v>170</v>
      </c>
      <c r="D1096" s="551" t="s">
        <v>4165</v>
      </c>
      <c r="E1096" s="246" t="s">
        <v>4172</v>
      </c>
      <c r="F1096" s="551" t="s">
        <v>4173</v>
      </c>
      <c r="G1096" s="246" t="s">
        <v>68</v>
      </c>
      <c r="H1096" s="246" t="s">
        <v>69</v>
      </c>
      <c r="I1096" s="706">
        <v>24</v>
      </c>
      <c r="J1096" s="246">
        <v>0</v>
      </c>
      <c r="K1096" s="246">
        <v>12</v>
      </c>
      <c r="L1096" s="644">
        <f t="shared" si="366"/>
        <v>2</v>
      </c>
      <c r="M1096" s="645">
        <v>46178</v>
      </c>
      <c r="N1096" s="645">
        <v>46174</v>
      </c>
      <c r="O1096" s="643"/>
      <c r="P1096" s="246" t="s">
        <v>113</v>
      </c>
      <c r="Q1096" s="646"/>
      <c r="R1096" s="646">
        <v>46129</v>
      </c>
      <c r="S1096" s="646" t="s">
        <v>104</v>
      </c>
      <c r="T1096" s="646" t="s">
        <v>4168</v>
      </c>
      <c r="U1096" s="646"/>
      <c r="V1096" s="646"/>
      <c r="W1096" s="642"/>
      <c r="X1096" s="642" t="s">
        <v>4169</v>
      </c>
      <c r="Y1096" s="647" t="s">
        <v>1507</v>
      </c>
      <c r="Z1096" s="657">
        <v>4.3574</v>
      </c>
      <c r="AA1096" s="647">
        <f t="shared" si="367"/>
        <v>104.5776</v>
      </c>
      <c r="AB1096" s="551"/>
      <c r="AC1096" s="648"/>
      <c r="AD1096" s="246" t="s">
        <v>184</v>
      </c>
      <c r="AE1096" s="246" t="s">
        <v>82</v>
      </c>
      <c r="AF1096" s="246"/>
      <c r="AG1096" s="246"/>
      <c r="AH1096" s="610">
        <v>1</v>
      </c>
      <c r="AI1096" s="246">
        <v>24</v>
      </c>
      <c r="AJ1096" s="246">
        <f t="shared" si="368"/>
        <v>0</v>
      </c>
      <c r="AK1096" s="246"/>
      <c r="AL1096" s="246" t="s">
        <v>2368</v>
      </c>
      <c r="AM1096" s="551"/>
      <c r="AN1096" s="551">
        <f t="shared" si="369"/>
        <v>24</v>
      </c>
      <c r="AO1096" s="551"/>
      <c r="AP1096" s="551"/>
      <c r="AQ1096" s="551"/>
      <c r="AR1096" s="551"/>
      <c r="AS1096" s="551">
        <f t="shared" si="372"/>
        <v>24</v>
      </c>
      <c r="AT1096" s="551"/>
      <c r="AU1096" s="551">
        <f t="shared" si="370"/>
        <v>24</v>
      </c>
      <c r="AV1096" s="551"/>
      <c r="AW1096" s="551">
        <f t="shared" si="371"/>
        <v>24</v>
      </c>
      <c r="AX1096" s="651"/>
      <c r="AY1096" s="551"/>
      <c r="AZ1096" s="551"/>
      <c r="BA1096" s="551"/>
      <c r="BB1096" s="551"/>
      <c r="BC1096" s="551"/>
      <c r="BD1096" s="551"/>
      <c r="BE1096" s="551"/>
      <c r="BF1096" s="551"/>
      <c r="BG1096" s="551"/>
      <c r="BH1096" s="551"/>
      <c r="BI1096" s="551"/>
      <c r="BJ1096" s="551"/>
      <c r="BK1096" s="551"/>
      <c r="BL1096" s="551"/>
      <c r="BM1096" s="551"/>
      <c r="BN1096" s="551"/>
      <c r="BO1096" s="551"/>
      <c r="BP1096" s="551"/>
      <c r="BQ1096" s="551"/>
      <c r="BR1096" s="551"/>
      <c r="BS1096" s="551"/>
      <c r="BT1096" s="551"/>
      <c r="BU1096" s="551"/>
      <c r="BV1096" s="551"/>
      <c r="BW1096" s="551"/>
      <c r="BX1096" s="551"/>
      <c r="BY1096" s="551"/>
      <c r="BZ1096" s="551"/>
      <c r="CA1096" s="551"/>
      <c r="CB1096" s="551"/>
      <c r="CC1096" s="551"/>
      <c r="CD1096" s="551"/>
      <c r="CE1096" s="551"/>
      <c r="CF1096" s="551"/>
      <c r="CG1096" s="551"/>
      <c r="CH1096" s="650"/>
      <c r="CI1096" s="650"/>
      <c r="CJ1096" s="650"/>
      <c r="CK1096" s="650"/>
      <c r="CL1096" s="650"/>
      <c r="CM1096" s="551"/>
      <c r="CN1096" s="551"/>
      <c r="CO1096" s="551"/>
      <c r="CP1096" s="650"/>
      <c r="CQ1096" s="650"/>
      <c r="CR1096" s="650"/>
      <c r="CS1096" s="650"/>
      <c r="CT1096" s="650"/>
      <c r="CU1096" s="650"/>
      <c r="CV1096" s="1331"/>
    </row>
    <row r="1097" s="1266" customFormat="1" ht="31" customHeight="1" spans="1:100">
      <c r="A1097" s="641">
        <v>46129</v>
      </c>
      <c r="B1097" s="642" t="s">
        <v>3407</v>
      </c>
      <c r="C1097" s="246" t="s">
        <v>170</v>
      </c>
      <c r="D1097" s="551" t="s">
        <v>4165</v>
      </c>
      <c r="E1097" s="246" t="s">
        <v>4174</v>
      </c>
      <c r="F1097" s="551" t="s">
        <v>4175</v>
      </c>
      <c r="G1097" s="246" t="s">
        <v>68</v>
      </c>
      <c r="H1097" s="246" t="s">
        <v>69</v>
      </c>
      <c r="I1097" s="706">
        <v>36</v>
      </c>
      <c r="J1097" s="246">
        <v>0</v>
      </c>
      <c r="K1097" s="246">
        <v>12</v>
      </c>
      <c r="L1097" s="644">
        <f t="shared" si="366"/>
        <v>3</v>
      </c>
      <c r="M1097" s="645">
        <v>46178</v>
      </c>
      <c r="N1097" s="645">
        <v>46174</v>
      </c>
      <c r="O1097" s="643"/>
      <c r="P1097" s="246" t="s">
        <v>113</v>
      </c>
      <c r="Q1097" s="646"/>
      <c r="R1097" s="646">
        <v>46129</v>
      </c>
      <c r="S1097" s="646" t="s">
        <v>104</v>
      </c>
      <c r="T1097" s="646" t="s">
        <v>4168</v>
      </c>
      <c r="U1097" s="646"/>
      <c r="V1097" s="646"/>
      <c r="W1097" s="642"/>
      <c r="X1097" s="642" t="s">
        <v>4169</v>
      </c>
      <c r="Y1097" s="647" t="s">
        <v>1507</v>
      </c>
      <c r="Z1097" s="657">
        <v>4.3574</v>
      </c>
      <c r="AA1097" s="647">
        <f t="shared" si="367"/>
        <v>156.8664</v>
      </c>
      <c r="AB1097" s="551"/>
      <c r="AC1097" s="648"/>
      <c r="AD1097" s="246" t="s">
        <v>184</v>
      </c>
      <c r="AE1097" s="246" t="s">
        <v>82</v>
      </c>
      <c r="AF1097" s="246"/>
      <c r="AG1097" s="246"/>
      <c r="AH1097" s="610">
        <v>1</v>
      </c>
      <c r="AI1097" s="246">
        <v>36</v>
      </c>
      <c r="AJ1097" s="246">
        <f t="shared" si="368"/>
        <v>0</v>
      </c>
      <c r="AK1097" s="246"/>
      <c r="AL1097" s="246" t="s">
        <v>2368</v>
      </c>
      <c r="AM1097" s="551"/>
      <c r="AN1097" s="551">
        <f t="shared" si="369"/>
        <v>36</v>
      </c>
      <c r="AO1097" s="551"/>
      <c r="AP1097" s="551"/>
      <c r="AQ1097" s="551"/>
      <c r="AR1097" s="551"/>
      <c r="AS1097" s="551">
        <f t="shared" si="372"/>
        <v>36</v>
      </c>
      <c r="AT1097" s="551"/>
      <c r="AU1097" s="551">
        <f t="shared" si="370"/>
        <v>36</v>
      </c>
      <c r="AV1097" s="551"/>
      <c r="AW1097" s="551">
        <f t="shared" si="371"/>
        <v>36</v>
      </c>
      <c r="AX1097" s="651"/>
      <c r="AY1097" s="551"/>
      <c r="AZ1097" s="551"/>
      <c r="BA1097" s="551"/>
      <c r="BB1097" s="551"/>
      <c r="BC1097" s="551"/>
      <c r="BD1097" s="551"/>
      <c r="BE1097" s="551"/>
      <c r="BF1097" s="551"/>
      <c r="BG1097" s="551"/>
      <c r="BH1097" s="551"/>
      <c r="BI1097" s="551"/>
      <c r="BJ1097" s="551"/>
      <c r="BK1097" s="551"/>
      <c r="BL1097" s="551"/>
      <c r="BM1097" s="551"/>
      <c r="BN1097" s="551"/>
      <c r="BO1097" s="551"/>
      <c r="BP1097" s="551"/>
      <c r="BQ1097" s="551"/>
      <c r="BR1097" s="551"/>
      <c r="BS1097" s="551"/>
      <c r="BT1097" s="551"/>
      <c r="BU1097" s="551"/>
      <c r="BV1097" s="551"/>
      <c r="BW1097" s="551"/>
      <c r="BX1097" s="551"/>
      <c r="BY1097" s="551"/>
      <c r="BZ1097" s="551"/>
      <c r="CA1097" s="551"/>
      <c r="CB1097" s="551"/>
      <c r="CC1097" s="551"/>
      <c r="CD1097" s="551"/>
      <c r="CE1097" s="551"/>
      <c r="CF1097" s="551"/>
      <c r="CG1097" s="551"/>
      <c r="CH1097" s="650"/>
      <c r="CI1097" s="650"/>
      <c r="CJ1097" s="650"/>
      <c r="CK1097" s="650"/>
      <c r="CL1097" s="650"/>
      <c r="CM1097" s="551"/>
      <c r="CN1097" s="551"/>
      <c r="CO1097" s="551"/>
      <c r="CP1097" s="650"/>
      <c r="CQ1097" s="650"/>
      <c r="CR1097" s="650"/>
      <c r="CS1097" s="650"/>
      <c r="CT1097" s="650"/>
      <c r="CU1097" s="650"/>
      <c r="CV1097" s="1331"/>
    </row>
    <row r="1098" s="1266" customFormat="1" ht="31" customHeight="1" spans="1:100">
      <c r="A1098" s="641">
        <v>46129</v>
      </c>
      <c r="B1098" s="642" t="s">
        <v>3407</v>
      </c>
      <c r="C1098" s="246" t="s">
        <v>170</v>
      </c>
      <c r="D1098" s="551" t="s">
        <v>4165</v>
      </c>
      <c r="E1098" s="246" t="s">
        <v>4176</v>
      </c>
      <c r="F1098" s="551" t="s">
        <v>4177</v>
      </c>
      <c r="G1098" s="246" t="s">
        <v>68</v>
      </c>
      <c r="H1098" s="246" t="s">
        <v>69</v>
      </c>
      <c r="I1098" s="706">
        <v>24</v>
      </c>
      <c r="J1098" s="246">
        <v>0</v>
      </c>
      <c r="K1098" s="246">
        <v>12</v>
      </c>
      <c r="L1098" s="644">
        <f t="shared" si="366"/>
        <v>2</v>
      </c>
      <c r="M1098" s="645">
        <v>46178</v>
      </c>
      <c r="N1098" s="645">
        <v>46174</v>
      </c>
      <c r="O1098" s="643"/>
      <c r="P1098" s="246" t="s">
        <v>113</v>
      </c>
      <c r="Q1098" s="646"/>
      <c r="R1098" s="646">
        <v>46129</v>
      </c>
      <c r="S1098" s="646" t="s">
        <v>104</v>
      </c>
      <c r="T1098" s="646" t="s">
        <v>4168</v>
      </c>
      <c r="U1098" s="646"/>
      <c r="V1098" s="646"/>
      <c r="W1098" s="642"/>
      <c r="X1098" s="642" t="s">
        <v>4169</v>
      </c>
      <c r="Y1098" s="647" t="s">
        <v>1507</v>
      </c>
      <c r="Z1098" s="657">
        <v>4.3574</v>
      </c>
      <c r="AA1098" s="647">
        <f t="shared" si="367"/>
        <v>104.5776</v>
      </c>
      <c r="AB1098" s="551"/>
      <c r="AC1098" s="648"/>
      <c r="AD1098" s="246" t="s">
        <v>184</v>
      </c>
      <c r="AE1098" s="246" t="s">
        <v>82</v>
      </c>
      <c r="AF1098" s="246"/>
      <c r="AG1098" s="246"/>
      <c r="AH1098" s="610">
        <v>1</v>
      </c>
      <c r="AI1098" s="246">
        <v>24</v>
      </c>
      <c r="AJ1098" s="246">
        <f t="shared" si="368"/>
        <v>0</v>
      </c>
      <c r="AK1098" s="246"/>
      <c r="AL1098" s="246" t="s">
        <v>2368</v>
      </c>
      <c r="AM1098" s="551"/>
      <c r="AN1098" s="551">
        <f t="shared" si="369"/>
        <v>24</v>
      </c>
      <c r="AO1098" s="551"/>
      <c r="AP1098" s="551"/>
      <c r="AQ1098" s="551"/>
      <c r="AR1098" s="551"/>
      <c r="AS1098" s="551">
        <f t="shared" si="372"/>
        <v>24</v>
      </c>
      <c r="AT1098" s="551"/>
      <c r="AU1098" s="551">
        <f t="shared" si="370"/>
        <v>24</v>
      </c>
      <c r="AV1098" s="551"/>
      <c r="AW1098" s="551">
        <f t="shared" si="371"/>
        <v>24</v>
      </c>
      <c r="AX1098" s="651"/>
      <c r="AY1098" s="551"/>
      <c r="AZ1098" s="551"/>
      <c r="BA1098" s="551"/>
      <c r="BB1098" s="551"/>
      <c r="BC1098" s="551"/>
      <c r="BD1098" s="551"/>
      <c r="BE1098" s="551"/>
      <c r="BF1098" s="551"/>
      <c r="BG1098" s="551"/>
      <c r="BH1098" s="551"/>
      <c r="BI1098" s="551"/>
      <c r="BJ1098" s="551"/>
      <c r="BK1098" s="551"/>
      <c r="BL1098" s="551"/>
      <c r="BM1098" s="551"/>
      <c r="BN1098" s="551"/>
      <c r="BO1098" s="551"/>
      <c r="BP1098" s="551"/>
      <c r="BQ1098" s="551"/>
      <c r="BR1098" s="551"/>
      <c r="BS1098" s="551"/>
      <c r="BT1098" s="551"/>
      <c r="BU1098" s="551"/>
      <c r="BV1098" s="551"/>
      <c r="BW1098" s="551"/>
      <c r="BX1098" s="551"/>
      <c r="BY1098" s="551"/>
      <c r="BZ1098" s="551"/>
      <c r="CA1098" s="551"/>
      <c r="CB1098" s="551"/>
      <c r="CC1098" s="551"/>
      <c r="CD1098" s="551"/>
      <c r="CE1098" s="551"/>
      <c r="CF1098" s="551"/>
      <c r="CG1098" s="551"/>
      <c r="CH1098" s="650"/>
      <c r="CI1098" s="650"/>
      <c r="CJ1098" s="650"/>
      <c r="CK1098" s="650"/>
      <c r="CL1098" s="650"/>
      <c r="CM1098" s="551"/>
      <c r="CN1098" s="551"/>
      <c r="CO1098" s="551"/>
      <c r="CP1098" s="650"/>
      <c r="CQ1098" s="650"/>
      <c r="CR1098" s="650"/>
      <c r="CS1098" s="650"/>
      <c r="CT1098" s="650"/>
      <c r="CU1098" s="650"/>
      <c r="CV1098" s="1331"/>
    </row>
    <row r="1099" s="1266" customFormat="1" ht="31" customHeight="1" spans="1:100">
      <c r="A1099" s="641">
        <v>46129</v>
      </c>
      <c r="B1099" s="642" t="s">
        <v>3407</v>
      </c>
      <c r="C1099" s="246" t="s">
        <v>170</v>
      </c>
      <c r="D1099" s="551" t="s">
        <v>4165</v>
      </c>
      <c r="E1099" s="246" t="s">
        <v>4178</v>
      </c>
      <c r="F1099" s="551" t="s">
        <v>4179</v>
      </c>
      <c r="G1099" s="246" t="s">
        <v>68</v>
      </c>
      <c r="H1099" s="246" t="s">
        <v>69</v>
      </c>
      <c r="I1099" s="706">
        <v>24</v>
      </c>
      <c r="J1099" s="246">
        <v>0</v>
      </c>
      <c r="K1099" s="246">
        <v>12</v>
      </c>
      <c r="L1099" s="644">
        <f t="shared" si="366"/>
        <v>2</v>
      </c>
      <c r="M1099" s="645">
        <v>46178</v>
      </c>
      <c r="N1099" s="645">
        <v>46174</v>
      </c>
      <c r="O1099" s="643"/>
      <c r="P1099" s="246" t="s">
        <v>113</v>
      </c>
      <c r="Q1099" s="646"/>
      <c r="R1099" s="646">
        <v>46129</v>
      </c>
      <c r="S1099" s="646" t="s">
        <v>104</v>
      </c>
      <c r="T1099" s="646" t="s">
        <v>4168</v>
      </c>
      <c r="U1099" s="646"/>
      <c r="V1099" s="646"/>
      <c r="W1099" s="642"/>
      <c r="X1099" s="642" t="s">
        <v>4169</v>
      </c>
      <c r="Y1099" s="647" t="s">
        <v>1507</v>
      </c>
      <c r="Z1099" s="657">
        <v>4.3574</v>
      </c>
      <c r="AA1099" s="647">
        <f t="shared" si="367"/>
        <v>104.5776</v>
      </c>
      <c r="AB1099" s="551"/>
      <c r="AC1099" s="648"/>
      <c r="AD1099" s="246" t="s">
        <v>184</v>
      </c>
      <c r="AE1099" s="246" t="s">
        <v>82</v>
      </c>
      <c r="AF1099" s="246"/>
      <c r="AG1099" s="246"/>
      <c r="AH1099" s="610">
        <v>1</v>
      </c>
      <c r="AI1099" s="246">
        <v>24</v>
      </c>
      <c r="AJ1099" s="246">
        <f t="shared" si="368"/>
        <v>0</v>
      </c>
      <c r="AK1099" s="246"/>
      <c r="AL1099" s="246" t="s">
        <v>2368</v>
      </c>
      <c r="AM1099" s="551"/>
      <c r="AN1099" s="551">
        <f t="shared" si="369"/>
        <v>24</v>
      </c>
      <c r="AO1099" s="551"/>
      <c r="AP1099" s="551"/>
      <c r="AQ1099" s="551"/>
      <c r="AR1099" s="551"/>
      <c r="AS1099" s="551">
        <f t="shared" si="372"/>
        <v>24</v>
      </c>
      <c r="AT1099" s="551"/>
      <c r="AU1099" s="551">
        <f t="shared" si="370"/>
        <v>24</v>
      </c>
      <c r="AV1099" s="551"/>
      <c r="AW1099" s="551">
        <f t="shared" si="371"/>
        <v>24</v>
      </c>
      <c r="AX1099" s="651"/>
      <c r="AY1099" s="551"/>
      <c r="AZ1099" s="551"/>
      <c r="BA1099" s="551"/>
      <c r="BB1099" s="551"/>
      <c r="BC1099" s="551"/>
      <c r="BD1099" s="551"/>
      <c r="BE1099" s="551"/>
      <c r="BF1099" s="551"/>
      <c r="BG1099" s="551"/>
      <c r="BH1099" s="551"/>
      <c r="BI1099" s="551"/>
      <c r="BJ1099" s="551"/>
      <c r="BK1099" s="551"/>
      <c r="BL1099" s="551"/>
      <c r="BM1099" s="551"/>
      <c r="BN1099" s="551"/>
      <c r="BO1099" s="551"/>
      <c r="BP1099" s="551"/>
      <c r="BQ1099" s="551"/>
      <c r="BR1099" s="551"/>
      <c r="BS1099" s="551"/>
      <c r="BT1099" s="551"/>
      <c r="BU1099" s="551"/>
      <c r="BV1099" s="551"/>
      <c r="BW1099" s="551"/>
      <c r="BX1099" s="551"/>
      <c r="BY1099" s="551"/>
      <c r="BZ1099" s="551"/>
      <c r="CA1099" s="551"/>
      <c r="CB1099" s="551"/>
      <c r="CC1099" s="551"/>
      <c r="CD1099" s="551"/>
      <c r="CE1099" s="551"/>
      <c r="CF1099" s="551"/>
      <c r="CG1099" s="551"/>
      <c r="CH1099" s="650"/>
      <c r="CI1099" s="650"/>
      <c r="CJ1099" s="650"/>
      <c r="CK1099" s="650"/>
      <c r="CL1099" s="650"/>
      <c r="CM1099" s="551"/>
      <c r="CN1099" s="551"/>
      <c r="CO1099" s="551"/>
      <c r="CP1099" s="650"/>
      <c r="CQ1099" s="650"/>
      <c r="CR1099" s="650"/>
      <c r="CS1099" s="650"/>
      <c r="CT1099" s="650"/>
      <c r="CU1099" s="650"/>
      <c r="CV1099" s="1331"/>
    </row>
    <row r="1100" s="1266" customFormat="1" ht="31" customHeight="1" spans="1:100">
      <c r="A1100" s="641">
        <v>46129</v>
      </c>
      <c r="B1100" s="642" t="s">
        <v>3407</v>
      </c>
      <c r="C1100" s="246" t="s">
        <v>170</v>
      </c>
      <c r="D1100" s="551" t="s">
        <v>4165</v>
      </c>
      <c r="E1100" s="246" t="s">
        <v>4180</v>
      </c>
      <c r="F1100" s="551" t="s">
        <v>4181</v>
      </c>
      <c r="G1100" s="246" t="s">
        <v>68</v>
      </c>
      <c r="H1100" s="246" t="s">
        <v>69</v>
      </c>
      <c r="I1100" s="706">
        <v>24</v>
      </c>
      <c r="J1100" s="246">
        <v>0</v>
      </c>
      <c r="K1100" s="246">
        <v>12</v>
      </c>
      <c r="L1100" s="644">
        <f t="shared" si="366"/>
        <v>2</v>
      </c>
      <c r="M1100" s="645">
        <v>46178</v>
      </c>
      <c r="N1100" s="645">
        <v>46174</v>
      </c>
      <c r="O1100" s="643"/>
      <c r="P1100" s="246" t="s">
        <v>113</v>
      </c>
      <c r="Q1100" s="646"/>
      <c r="R1100" s="646">
        <v>46129</v>
      </c>
      <c r="S1100" s="646" t="s">
        <v>104</v>
      </c>
      <c r="T1100" s="646" t="s">
        <v>4168</v>
      </c>
      <c r="U1100" s="646"/>
      <c r="V1100" s="646"/>
      <c r="W1100" s="642"/>
      <c r="X1100" s="642" t="s">
        <v>4169</v>
      </c>
      <c r="Y1100" s="647" t="s">
        <v>1507</v>
      </c>
      <c r="Z1100" s="657">
        <v>4.3574</v>
      </c>
      <c r="AA1100" s="647">
        <f t="shared" si="367"/>
        <v>104.5776</v>
      </c>
      <c r="AB1100" s="551"/>
      <c r="AC1100" s="648"/>
      <c r="AD1100" s="246" t="s">
        <v>184</v>
      </c>
      <c r="AE1100" s="246" t="s">
        <v>82</v>
      </c>
      <c r="AF1100" s="246"/>
      <c r="AG1100" s="246"/>
      <c r="AH1100" s="610">
        <v>1</v>
      </c>
      <c r="AI1100" s="246">
        <v>24</v>
      </c>
      <c r="AJ1100" s="246">
        <f t="shared" si="368"/>
        <v>0</v>
      </c>
      <c r="AK1100" s="246"/>
      <c r="AL1100" s="246" t="s">
        <v>2368</v>
      </c>
      <c r="AM1100" s="551"/>
      <c r="AN1100" s="551">
        <f t="shared" si="369"/>
        <v>24</v>
      </c>
      <c r="AO1100" s="551"/>
      <c r="AP1100" s="551"/>
      <c r="AQ1100" s="551"/>
      <c r="AR1100" s="551"/>
      <c r="AS1100" s="551">
        <f t="shared" si="372"/>
        <v>24</v>
      </c>
      <c r="AT1100" s="551"/>
      <c r="AU1100" s="551">
        <f t="shared" si="370"/>
        <v>24</v>
      </c>
      <c r="AV1100" s="551"/>
      <c r="AW1100" s="551">
        <f t="shared" si="371"/>
        <v>24</v>
      </c>
      <c r="AX1100" s="651"/>
      <c r="AY1100" s="551"/>
      <c r="AZ1100" s="551"/>
      <c r="BA1100" s="551"/>
      <c r="BB1100" s="551"/>
      <c r="BC1100" s="551"/>
      <c r="BD1100" s="551"/>
      <c r="BE1100" s="551"/>
      <c r="BF1100" s="551"/>
      <c r="BG1100" s="551"/>
      <c r="BH1100" s="551"/>
      <c r="BI1100" s="551"/>
      <c r="BJ1100" s="551"/>
      <c r="BK1100" s="551"/>
      <c r="BL1100" s="551"/>
      <c r="BM1100" s="551"/>
      <c r="BN1100" s="551"/>
      <c r="BO1100" s="551"/>
      <c r="BP1100" s="551"/>
      <c r="BQ1100" s="551"/>
      <c r="BR1100" s="551"/>
      <c r="BS1100" s="551"/>
      <c r="BT1100" s="551"/>
      <c r="BU1100" s="551"/>
      <c r="BV1100" s="551"/>
      <c r="BW1100" s="551"/>
      <c r="BX1100" s="551"/>
      <c r="BY1100" s="551"/>
      <c r="BZ1100" s="551"/>
      <c r="CA1100" s="551"/>
      <c r="CB1100" s="551"/>
      <c r="CC1100" s="551"/>
      <c r="CD1100" s="551"/>
      <c r="CE1100" s="551"/>
      <c r="CF1100" s="551"/>
      <c r="CG1100" s="551"/>
      <c r="CH1100" s="650"/>
      <c r="CI1100" s="650"/>
      <c r="CJ1100" s="650"/>
      <c r="CK1100" s="650"/>
      <c r="CL1100" s="650"/>
      <c r="CM1100" s="551"/>
      <c r="CN1100" s="551"/>
      <c r="CO1100" s="551"/>
      <c r="CP1100" s="650"/>
      <c r="CQ1100" s="650"/>
      <c r="CR1100" s="650"/>
      <c r="CS1100" s="650"/>
      <c r="CT1100" s="650"/>
      <c r="CU1100" s="650"/>
      <c r="CV1100" s="1331"/>
    </row>
    <row r="1101" s="1266" customFormat="1" ht="31" customHeight="1" spans="1:100">
      <c r="A1101" s="641">
        <v>46138</v>
      </c>
      <c r="B1101" s="642" t="s">
        <v>4182</v>
      </c>
      <c r="C1101" s="246" t="s">
        <v>836</v>
      </c>
      <c r="D1101" s="551" t="s">
        <v>4183</v>
      </c>
      <c r="E1101" s="246" t="s">
        <v>4184</v>
      </c>
      <c r="F1101" s="551" t="s">
        <v>4185</v>
      </c>
      <c r="G1101" s="246" t="s">
        <v>101</v>
      </c>
      <c r="H1101" s="246" t="s">
        <v>102</v>
      </c>
      <c r="I1101" s="706">
        <v>312</v>
      </c>
      <c r="J1101" s="246">
        <v>0</v>
      </c>
      <c r="K1101" s="246">
        <v>4</v>
      </c>
      <c r="L1101" s="644">
        <f t="shared" si="366"/>
        <v>78</v>
      </c>
      <c r="M1101" s="645">
        <v>46178</v>
      </c>
      <c r="N1101" s="645">
        <v>46174</v>
      </c>
      <c r="O1101" s="643" t="s">
        <v>4186</v>
      </c>
      <c r="P1101" s="246" t="s">
        <v>113</v>
      </c>
      <c r="Q1101" s="646">
        <v>46191</v>
      </c>
      <c r="R1101" s="646">
        <v>46141</v>
      </c>
      <c r="S1101" s="646" t="s">
        <v>70</v>
      </c>
      <c r="T1101" s="646" t="s">
        <v>4187</v>
      </c>
      <c r="U1101" s="646"/>
      <c r="V1101" s="646"/>
      <c r="W1101" s="1354" t="s">
        <v>4188</v>
      </c>
      <c r="X1101" s="642" t="s">
        <v>4189</v>
      </c>
      <c r="Y1101" s="647" t="s">
        <v>472</v>
      </c>
      <c r="Z1101" s="657">
        <v>4.3522</v>
      </c>
      <c r="AA1101" s="647">
        <f t="shared" si="367"/>
        <v>1357.8864</v>
      </c>
      <c r="AB1101" s="551"/>
      <c r="AC1101" s="648"/>
      <c r="AD1101" s="246" t="s">
        <v>156</v>
      </c>
      <c r="AE1101" s="246" t="s">
        <v>82</v>
      </c>
      <c r="AF1101" s="246"/>
      <c r="AG1101" s="246"/>
      <c r="AH1101" s="610">
        <v>1</v>
      </c>
      <c r="AI1101" s="246">
        <v>312</v>
      </c>
      <c r="AJ1101" s="643">
        <f t="shared" si="368"/>
        <v>0</v>
      </c>
      <c r="AK1101" s="246"/>
      <c r="AL1101" s="246" t="s">
        <v>2368</v>
      </c>
      <c r="AM1101" s="551"/>
      <c r="AN1101" s="551">
        <f t="shared" si="369"/>
        <v>312</v>
      </c>
      <c r="AO1101" s="551"/>
      <c r="AP1101" s="551"/>
      <c r="AQ1101" s="551"/>
      <c r="AR1101" s="551"/>
      <c r="AS1101" s="551">
        <f t="shared" si="372"/>
        <v>312</v>
      </c>
      <c r="AT1101" s="551"/>
      <c r="AU1101" s="551">
        <f t="shared" si="370"/>
        <v>312</v>
      </c>
      <c r="AV1101" s="551"/>
      <c r="AW1101" s="551">
        <f t="shared" si="371"/>
        <v>312</v>
      </c>
      <c r="AX1101" s="651"/>
      <c r="AY1101" s="551"/>
      <c r="AZ1101" s="551"/>
      <c r="BA1101" s="551"/>
      <c r="BB1101" s="551"/>
      <c r="BC1101" s="551"/>
      <c r="BD1101" s="551"/>
      <c r="BE1101" s="551"/>
      <c r="BF1101" s="551"/>
      <c r="BG1101" s="551"/>
      <c r="BH1101" s="551"/>
      <c r="BI1101" s="551">
        <f>I1101/4</f>
        <v>78</v>
      </c>
      <c r="BJ1101" s="551"/>
      <c r="BK1101" s="551"/>
      <c r="BL1101" s="551"/>
      <c r="BM1101" s="551"/>
      <c r="BN1101" s="551"/>
      <c r="BO1101" s="551"/>
      <c r="BP1101" s="551"/>
      <c r="BQ1101" s="551"/>
      <c r="BR1101" s="551"/>
      <c r="BS1101" s="551"/>
      <c r="BT1101" s="551"/>
      <c r="BU1101" s="551"/>
      <c r="BV1101" s="551"/>
      <c r="BW1101" s="551"/>
      <c r="BX1101" s="551"/>
      <c r="BY1101" s="551"/>
      <c r="BZ1101" s="551"/>
      <c r="CA1101" s="551"/>
      <c r="CB1101" s="551"/>
      <c r="CC1101" s="551"/>
      <c r="CD1101" s="551"/>
      <c r="CE1101" s="551"/>
      <c r="CF1101" s="551"/>
      <c r="CG1101" s="551"/>
      <c r="CH1101" s="650"/>
      <c r="CI1101" s="650"/>
      <c r="CJ1101" s="650"/>
      <c r="CK1101" s="650"/>
      <c r="CL1101" s="650"/>
      <c r="CM1101" s="551"/>
      <c r="CN1101" s="551"/>
      <c r="CO1101" s="551"/>
      <c r="CP1101" s="650"/>
      <c r="CQ1101" s="650"/>
      <c r="CR1101" s="650"/>
      <c r="CS1101" s="650"/>
      <c r="CT1101" s="650"/>
      <c r="CU1101" s="650"/>
      <c r="CV1101" s="1331"/>
    </row>
    <row r="1102" s="1266" customFormat="1" ht="31" customHeight="1" spans="1:100">
      <c r="A1102" s="641">
        <v>46134</v>
      </c>
      <c r="B1102" s="642" t="s">
        <v>1368</v>
      </c>
      <c r="C1102" s="246" t="s">
        <v>98</v>
      </c>
      <c r="D1102" s="551" t="s">
        <v>4190</v>
      </c>
      <c r="E1102" s="246" t="s">
        <v>4191</v>
      </c>
      <c r="F1102" s="551" t="s">
        <v>4192</v>
      </c>
      <c r="G1102" s="246" t="s">
        <v>101</v>
      </c>
      <c r="H1102" s="246" t="s">
        <v>102</v>
      </c>
      <c r="I1102" s="706">
        <v>12</v>
      </c>
      <c r="J1102" s="246">
        <v>0</v>
      </c>
      <c r="K1102" s="246">
        <v>4</v>
      </c>
      <c r="L1102" s="644">
        <f t="shared" si="366"/>
        <v>3</v>
      </c>
      <c r="M1102" s="645">
        <v>46181</v>
      </c>
      <c r="N1102" s="645">
        <v>46177</v>
      </c>
      <c r="O1102" s="643"/>
      <c r="P1102" s="246" t="s">
        <v>113</v>
      </c>
      <c r="Q1102" s="646"/>
      <c r="R1102" s="646">
        <v>46136</v>
      </c>
      <c r="S1102" s="646" t="s">
        <v>70</v>
      </c>
      <c r="T1102" s="646" t="s">
        <v>70</v>
      </c>
      <c r="U1102" s="646"/>
      <c r="V1102" s="646"/>
      <c r="W1102" s="642"/>
      <c r="X1102" s="642" t="s">
        <v>4193</v>
      </c>
      <c r="Y1102" s="647" t="s">
        <v>1372</v>
      </c>
      <c r="Z1102" s="657">
        <v>2.6417</v>
      </c>
      <c r="AA1102" s="647">
        <f t="shared" si="367"/>
        <v>31.7004</v>
      </c>
      <c r="AB1102" s="551"/>
      <c r="AC1102" s="658" t="s">
        <v>4194</v>
      </c>
      <c r="AD1102" s="246" t="s">
        <v>101</v>
      </c>
      <c r="AE1102" s="246" t="s">
        <v>82</v>
      </c>
      <c r="AF1102" s="246"/>
      <c r="AG1102" s="246"/>
      <c r="AH1102" s="610">
        <v>1</v>
      </c>
      <c r="AI1102" s="246">
        <v>12</v>
      </c>
      <c r="AJ1102" s="643">
        <f t="shared" si="368"/>
        <v>0</v>
      </c>
      <c r="AK1102" s="246"/>
      <c r="AL1102" s="246"/>
      <c r="AM1102" s="551"/>
      <c r="AN1102" s="551">
        <f t="shared" si="369"/>
        <v>12</v>
      </c>
      <c r="AO1102" s="551"/>
      <c r="AP1102" s="551"/>
      <c r="AQ1102" s="551"/>
      <c r="AR1102" s="551">
        <f>I1102</f>
        <v>12</v>
      </c>
      <c r="AS1102" s="551"/>
      <c r="AT1102" s="551"/>
      <c r="AU1102" s="551">
        <f t="shared" si="370"/>
        <v>12</v>
      </c>
      <c r="AV1102" s="551"/>
      <c r="AW1102" s="551">
        <f t="shared" si="371"/>
        <v>12</v>
      </c>
      <c r="AX1102" s="651"/>
      <c r="AY1102" s="551"/>
      <c r="AZ1102" s="551"/>
      <c r="BA1102" s="551"/>
      <c r="BB1102" s="551"/>
      <c r="BC1102" s="551"/>
      <c r="BD1102" s="551"/>
      <c r="BE1102" s="551"/>
      <c r="BF1102" s="551"/>
      <c r="BG1102" s="551"/>
      <c r="BH1102" s="825">
        <f>I1102/4</f>
        <v>3</v>
      </c>
      <c r="BI1102" s="551"/>
      <c r="BJ1102" s="551"/>
      <c r="BK1102" s="551"/>
      <c r="BL1102" s="551"/>
      <c r="BM1102" s="551"/>
      <c r="BN1102" s="551"/>
      <c r="BO1102" s="551"/>
      <c r="BP1102" s="551"/>
      <c r="BQ1102" s="551"/>
      <c r="BR1102" s="551"/>
      <c r="BS1102" s="551"/>
      <c r="BT1102" s="551"/>
      <c r="BU1102" s="551"/>
      <c r="BV1102" s="551"/>
      <c r="BW1102" s="551"/>
      <c r="BX1102" s="551"/>
      <c r="BY1102" s="551"/>
      <c r="BZ1102" s="551"/>
      <c r="CA1102" s="551"/>
      <c r="CB1102" s="551"/>
      <c r="CC1102" s="551"/>
      <c r="CD1102" s="551"/>
      <c r="CE1102" s="551"/>
      <c r="CF1102" s="551"/>
      <c r="CG1102" s="551"/>
      <c r="CH1102" s="650"/>
      <c r="CI1102" s="650"/>
      <c r="CJ1102" s="650"/>
      <c r="CK1102" s="650"/>
      <c r="CL1102" s="650"/>
      <c r="CM1102" s="551"/>
      <c r="CN1102" s="551"/>
      <c r="CO1102" s="551"/>
      <c r="CP1102" s="650"/>
      <c r="CQ1102" s="650"/>
      <c r="CR1102" s="650"/>
      <c r="CS1102" s="650"/>
      <c r="CT1102" s="650"/>
      <c r="CU1102" s="650"/>
      <c r="CV1102" s="1331"/>
    </row>
    <row r="1103" s="1266" customFormat="1" ht="31" customHeight="1" spans="1:100">
      <c r="A1103" s="641">
        <v>46129</v>
      </c>
      <c r="B1103" s="642" t="s">
        <v>803</v>
      </c>
      <c r="C1103" s="246" t="s">
        <v>804</v>
      </c>
      <c r="D1103" s="551" t="s">
        <v>4195</v>
      </c>
      <c r="E1103" s="246" t="s">
        <v>3846</v>
      </c>
      <c r="F1103" s="551" t="s">
        <v>4196</v>
      </c>
      <c r="G1103" s="246" t="s">
        <v>101</v>
      </c>
      <c r="H1103" s="246" t="s">
        <v>102</v>
      </c>
      <c r="I1103" s="706">
        <v>600</v>
      </c>
      <c r="J1103" s="246">
        <v>0</v>
      </c>
      <c r="K1103" s="246">
        <v>4</v>
      </c>
      <c r="L1103" s="644">
        <f t="shared" si="366"/>
        <v>150</v>
      </c>
      <c r="M1103" s="645">
        <v>46182</v>
      </c>
      <c r="N1103" s="645">
        <v>46178</v>
      </c>
      <c r="O1103" s="643"/>
      <c r="P1103" s="246" t="s">
        <v>113</v>
      </c>
      <c r="Q1103" s="646">
        <v>46204</v>
      </c>
      <c r="R1103" s="646">
        <v>46133</v>
      </c>
      <c r="S1103" s="646" t="s">
        <v>70</v>
      </c>
      <c r="T1103" s="646" t="s">
        <v>4197</v>
      </c>
      <c r="U1103" s="646"/>
      <c r="V1103" s="646"/>
      <c r="W1103" s="642"/>
      <c r="X1103" s="642" t="s">
        <v>4198</v>
      </c>
      <c r="Y1103" s="647" t="s">
        <v>230</v>
      </c>
      <c r="Z1103" s="657">
        <v>4.5116</v>
      </c>
      <c r="AA1103" s="647">
        <f t="shared" si="367"/>
        <v>2706.96</v>
      </c>
      <c r="AB1103" s="551"/>
      <c r="AC1103" s="648"/>
      <c r="AD1103" s="246" t="s">
        <v>101</v>
      </c>
      <c r="AE1103" s="246" t="s">
        <v>82</v>
      </c>
      <c r="AF1103" s="246"/>
      <c r="AG1103" s="246"/>
      <c r="AH1103" s="246"/>
      <c r="AI1103" s="246">
        <v>600</v>
      </c>
      <c r="AJ1103" s="643">
        <f t="shared" si="368"/>
        <v>0</v>
      </c>
      <c r="AK1103" s="246"/>
      <c r="AL1103" s="246" t="s">
        <v>2368</v>
      </c>
      <c r="AM1103" s="551"/>
      <c r="AN1103" s="551">
        <f t="shared" si="369"/>
        <v>600</v>
      </c>
      <c r="AO1103" s="551"/>
      <c r="AP1103" s="551"/>
      <c r="AQ1103" s="551"/>
      <c r="AR1103" s="551">
        <f>I1103</f>
        <v>600</v>
      </c>
      <c r="AS1103" s="551"/>
      <c r="AT1103" s="551"/>
      <c r="AU1103" s="551">
        <f t="shared" si="370"/>
        <v>600</v>
      </c>
      <c r="AV1103" s="551"/>
      <c r="AW1103" s="551">
        <f t="shared" si="371"/>
        <v>600</v>
      </c>
      <c r="AX1103" s="651"/>
      <c r="AY1103" s="551"/>
      <c r="AZ1103" s="551"/>
      <c r="BA1103" s="551"/>
      <c r="BB1103" s="551"/>
      <c r="BC1103" s="551"/>
      <c r="BD1103" s="551"/>
      <c r="BE1103" s="551"/>
      <c r="BF1103" s="551"/>
      <c r="BG1103" s="551"/>
      <c r="BH1103" s="825">
        <f>I1103/4</f>
        <v>150</v>
      </c>
      <c r="BI1103" s="551"/>
      <c r="BJ1103" s="551"/>
      <c r="BK1103" s="551"/>
      <c r="BL1103" s="551"/>
      <c r="BM1103" s="551"/>
      <c r="BN1103" s="551"/>
      <c r="BO1103" s="551"/>
      <c r="BP1103" s="551"/>
      <c r="BQ1103" s="551"/>
      <c r="BR1103" s="551"/>
      <c r="BS1103" s="551"/>
      <c r="BT1103" s="551"/>
      <c r="BU1103" s="551"/>
      <c r="BV1103" s="551"/>
      <c r="BW1103" s="551"/>
      <c r="BX1103" s="551"/>
      <c r="BY1103" s="551"/>
      <c r="BZ1103" s="551"/>
      <c r="CA1103" s="551"/>
      <c r="CB1103" s="551"/>
      <c r="CC1103" s="551"/>
      <c r="CD1103" s="551"/>
      <c r="CE1103" s="551"/>
      <c r="CF1103" s="551"/>
      <c r="CG1103" s="551"/>
      <c r="CH1103" s="650"/>
      <c r="CI1103" s="650"/>
      <c r="CJ1103" s="650"/>
      <c r="CK1103" s="650"/>
      <c r="CL1103" s="650"/>
      <c r="CM1103" s="551"/>
      <c r="CN1103" s="551"/>
      <c r="CO1103" s="551"/>
      <c r="CP1103" s="650"/>
      <c r="CQ1103" s="650"/>
      <c r="CR1103" s="650"/>
      <c r="CS1103" s="650"/>
      <c r="CT1103" s="650"/>
      <c r="CU1103" s="650"/>
      <c r="CV1103" s="1331"/>
    </row>
    <row r="1104" s="1267" customFormat="1" ht="31" customHeight="1" spans="1:100">
      <c r="A1104" s="608">
        <v>46115</v>
      </c>
      <c r="B1104" s="609" t="s">
        <v>1691</v>
      </c>
      <c r="C1104" s="610" t="s">
        <v>1692</v>
      </c>
      <c r="D1104" s="554" t="s">
        <v>4199</v>
      </c>
      <c r="E1104" s="610" t="s">
        <v>3846</v>
      </c>
      <c r="F1104" s="554" t="s">
        <v>4200</v>
      </c>
      <c r="G1104" s="623" t="s">
        <v>68</v>
      </c>
      <c r="H1104" s="610" t="s">
        <v>69</v>
      </c>
      <c r="I1104" s="715">
        <v>1200</v>
      </c>
      <c r="J1104" s="610">
        <v>0</v>
      </c>
      <c r="K1104" s="610">
        <v>12</v>
      </c>
      <c r="L1104" s="611">
        <f t="shared" si="366"/>
        <v>100</v>
      </c>
      <c r="M1104" s="612">
        <v>46183</v>
      </c>
      <c r="N1104" s="612">
        <v>46179</v>
      </c>
      <c r="O1104" s="613"/>
      <c r="P1104" s="610" t="s">
        <v>113</v>
      </c>
      <c r="Q1104" s="614"/>
      <c r="R1104" s="614">
        <v>46139</v>
      </c>
      <c r="S1104" s="614" t="s">
        <v>70</v>
      </c>
      <c r="T1104" s="614" t="s">
        <v>4201</v>
      </c>
      <c r="U1104" s="614"/>
      <c r="V1104" s="614"/>
      <c r="W1104" s="609"/>
      <c r="X1104" s="609" t="s">
        <v>4202</v>
      </c>
      <c r="Y1104" s="616" t="s">
        <v>529</v>
      </c>
      <c r="Z1104" s="1345">
        <v>4.2622</v>
      </c>
      <c r="AA1104" s="616">
        <f t="shared" si="367"/>
        <v>5114.64</v>
      </c>
      <c r="AB1104" s="554"/>
      <c r="AC1104" s="617"/>
      <c r="AD1104" s="610" t="s">
        <v>184</v>
      </c>
      <c r="AE1104" s="610" t="s">
        <v>82</v>
      </c>
      <c r="AF1104" s="610"/>
      <c r="AG1104" s="610"/>
      <c r="AH1104" s="610"/>
      <c r="AI1104" s="610">
        <f>1188+12</f>
        <v>1200</v>
      </c>
      <c r="AJ1104" s="610">
        <f t="shared" si="368"/>
        <v>0</v>
      </c>
      <c r="AK1104" s="610"/>
      <c r="AL1104" s="610" t="s">
        <v>2368</v>
      </c>
      <c r="AM1104" s="554"/>
      <c r="AN1104" s="554">
        <f t="shared" si="369"/>
        <v>1200</v>
      </c>
      <c r="AO1104" s="554"/>
      <c r="AP1104" s="554"/>
      <c r="AQ1104" s="554"/>
      <c r="AR1104" s="554"/>
      <c r="AS1104" s="554">
        <f>I1104</f>
        <v>1200</v>
      </c>
      <c r="AT1104" s="554"/>
      <c r="AU1104" s="554">
        <f t="shared" si="370"/>
        <v>1200</v>
      </c>
      <c r="AV1104" s="554"/>
      <c r="AW1104" s="554">
        <f t="shared" si="371"/>
        <v>1200</v>
      </c>
      <c r="AX1104" s="714"/>
      <c r="AY1104" s="554"/>
      <c r="AZ1104" s="554"/>
      <c r="BA1104" s="554"/>
      <c r="BB1104" s="554"/>
      <c r="BC1104" s="554"/>
      <c r="BD1104" s="554"/>
      <c r="BE1104" s="554"/>
      <c r="BF1104" s="554"/>
      <c r="BG1104" s="554"/>
      <c r="BH1104" s="554"/>
      <c r="BI1104" s="554"/>
      <c r="BJ1104" s="554"/>
      <c r="BK1104" s="554"/>
      <c r="BL1104" s="554"/>
      <c r="BM1104" s="554"/>
      <c r="BN1104" s="554"/>
      <c r="BO1104" s="554"/>
      <c r="BP1104" s="554"/>
      <c r="BQ1104" s="554"/>
      <c r="BR1104" s="554"/>
      <c r="BS1104" s="554"/>
      <c r="BT1104" s="554"/>
      <c r="BU1104" s="554"/>
      <c r="BV1104" s="554"/>
      <c r="BW1104" s="554"/>
      <c r="BX1104" s="554"/>
      <c r="BY1104" s="554"/>
      <c r="BZ1104" s="554"/>
      <c r="CA1104" s="554"/>
      <c r="CB1104" s="554"/>
      <c r="CC1104" s="554"/>
      <c r="CD1104" s="554"/>
      <c r="CE1104" s="554"/>
      <c r="CF1104" s="554"/>
      <c r="CG1104" s="554"/>
      <c r="CH1104" s="619"/>
      <c r="CI1104" s="619"/>
      <c r="CJ1104" s="619"/>
      <c r="CK1104" s="619"/>
      <c r="CL1104" s="619"/>
      <c r="CM1104" s="554"/>
      <c r="CN1104" s="554"/>
      <c r="CO1104" s="554"/>
      <c r="CP1104" s="619"/>
      <c r="CQ1104" s="619"/>
      <c r="CR1104" s="619"/>
      <c r="CS1104" s="619"/>
      <c r="CT1104" s="619"/>
      <c r="CU1104" s="619"/>
      <c r="CV1104" s="1325"/>
    </row>
    <row r="1105" s="1267" customFormat="1" ht="31" customHeight="1" spans="1:100">
      <c r="A1105" s="608">
        <v>46126</v>
      </c>
      <c r="B1105" s="609" t="s">
        <v>4203</v>
      </c>
      <c r="C1105" s="610" t="s">
        <v>98</v>
      </c>
      <c r="D1105" s="554">
        <v>4500201308</v>
      </c>
      <c r="E1105" s="610" t="s">
        <v>4204</v>
      </c>
      <c r="F1105" s="554" t="s">
        <v>4205</v>
      </c>
      <c r="G1105" s="610" t="s">
        <v>101</v>
      </c>
      <c r="H1105" s="610" t="s">
        <v>102</v>
      </c>
      <c r="I1105" s="715">
        <v>52</v>
      </c>
      <c r="J1105" s="610">
        <v>0</v>
      </c>
      <c r="K1105" s="610">
        <v>4</v>
      </c>
      <c r="L1105" s="611">
        <f t="shared" si="366"/>
        <v>13</v>
      </c>
      <c r="M1105" s="612">
        <v>46183</v>
      </c>
      <c r="N1105" s="612">
        <v>46179</v>
      </c>
      <c r="O1105" s="613"/>
      <c r="P1105" s="610" t="s">
        <v>113</v>
      </c>
      <c r="Q1105" s="614">
        <v>46184</v>
      </c>
      <c r="R1105" s="614">
        <v>46136</v>
      </c>
      <c r="S1105" s="614" t="s">
        <v>70</v>
      </c>
      <c r="T1105" s="614" t="s">
        <v>70</v>
      </c>
      <c r="U1105" s="614"/>
      <c r="V1105" s="614"/>
      <c r="W1105" s="609"/>
      <c r="X1105" s="609" t="s">
        <v>4206</v>
      </c>
      <c r="Y1105" s="616" t="s">
        <v>819</v>
      </c>
      <c r="Z1105" s="625">
        <v>2.7069</v>
      </c>
      <c r="AA1105" s="616">
        <f t="shared" si="367"/>
        <v>140.7588</v>
      </c>
      <c r="AB1105" s="554"/>
      <c r="AC1105" s="629" t="s">
        <v>4207</v>
      </c>
      <c r="AD1105" s="610" t="s">
        <v>101</v>
      </c>
      <c r="AE1105" s="610" t="s">
        <v>82</v>
      </c>
      <c r="AF1105" s="610"/>
      <c r="AG1105" s="610"/>
      <c r="AH1105" s="610"/>
      <c r="AI1105" s="610">
        <v>52</v>
      </c>
      <c r="AJ1105" s="613">
        <f t="shared" si="368"/>
        <v>0</v>
      </c>
      <c r="AK1105" s="610"/>
      <c r="AL1105" s="610"/>
      <c r="AM1105" s="554"/>
      <c r="AN1105" s="554">
        <f t="shared" si="369"/>
        <v>52</v>
      </c>
      <c r="AO1105" s="554"/>
      <c r="AP1105" s="554"/>
      <c r="AQ1105" s="554"/>
      <c r="AR1105" s="554">
        <f>I1105</f>
        <v>52</v>
      </c>
      <c r="AS1105" s="554"/>
      <c r="AT1105" s="554"/>
      <c r="AU1105" s="554">
        <f t="shared" si="370"/>
        <v>52</v>
      </c>
      <c r="AV1105" s="554"/>
      <c r="AW1105" s="554">
        <f t="shared" si="371"/>
        <v>52</v>
      </c>
      <c r="AX1105" s="714"/>
      <c r="AY1105" s="554"/>
      <c r="AZ1105" s="554"/>
      <c r="BA1105" s="554"/>
      <c r="BB1105" s="554"/>
      <c r="BC1105" s="554"/>
      <c r="BD1105" s="554"/>
      <c r="BE1105" s="554"/>
      <c r="BF1105" s="554"/>
      <c r="BG1105" s="554"/>
      <c r="BH1105" s="825">
        <f>I1105/4</f>
        <v>13</v>
      </c>
      <c r="BI1105" s="554"/>
      <c r="BJ1105" s="554"/>
      <c r="BK1105" s="554"/>
      <c r="BL1105" s="554"/>
      <c r="BM1105" s="554"/>
      <c r="BN1105" s="554"/>
      <c r="BO1105" s="554"/>
      <c r="BP1105" s="554"/>
      <c r="BQ1105" s="554"/>
      <c r="BR1105" s="554"/>
      <c r="BS1105" s="554"/>
      <c r="BT1105" s="554"/>
      <c r="BU1105" s="554"/>
      <c r="BV1105" s="554"/>
      <c r="BW1105" s="554"/>
      <c r="BX1105" s="554"/>
      <c r="BY1105" s="554"/>
      <c r="BZ1105" s="554"/>
      <c r="CA1105" s="554"/>
      <c r="CB1105" s="554"/>
      <c r="CC1105" s="554"/>
      <c r="CD1105" s="554"/>
      <c r="CE1105" s="554"/>
      <c r="CF1105" s="554"/>
      <c r="CG1105" s="554"/>
      <c r="CH1105" s="619"/>
      <c r="CI1105" s="619"/>
      <c r="CJ1105" s="619"/>
      <c r="CK1105" s="619"/>
      <c r="CL1105" s="619"/>
      <c r="CM1105" s="554"/>
      <c r="CN1105" s="554"/>
      <c r="CO1105" s="554"/>
      <c r="CP1105" s="619"/>
      <c r="CQ1105" s="619"/>
      <c r="CR1105" s="619"/>
      <c r="CS1105" s="619"/>
      <c r="CT1105" s="619"/>
      <c r="CU1105" s="619"/>
      <c r="CV1105" s="1325"/>
    </row>
    <row r="1106" s="1267" customFormat="1" ht="31" customHeight="1" spans="1:100">
      <c r="A1106" s="608">
        <v>46126</v>
      </c>
      <c r="B1106" s="609" t="s">
        <v>4203</v>
      </c>
      <c r="C1106" s="610" t="s">
        <v>98</v>
      </c>
      <c r="D1106" s="554">
        <v>4500201308</v>
      </c>
      <c r="E1106" s="610" t="s">
        <v>4208</v>
      </c>
      <c r="F1106" s="554" t="s">
        <v>4209</v>
      </c>
      <c r="G1106" s="610" t="s">
        <v>101</v>
      </c>
      <c r="H1106" s="610" t="s">
        <v>102</v>
      </c>
      <c r="I1106" s="715">
        <v>240</v>
      </c>
      <c r="J1106" s="610">
        <v>0</v>
      </c>
      <c r="K1106" s="610">
        <v>4</v>
      </c>
      <c r="L1106" s="611">
        <f t="shared" si="366"/>
        <v>60</v>
      </c>
      <c r="M1106" s="612">
        <v>46183</v>
      </c>
      <c r="N1106" s="612">
        <v>46179</v>
      </c>
      <c r="O1106" s="613"/>
      <c r="P1106" s="610" t="s">
        <v>113</v>
      </c>
      <c r="Q1106" s="614">
        <v>46184</v>
      </c>
      <c r="R1106" s="614">
        <v>46136</v>
      </c>
      <c r="S1106" s="614" t="s">
        <v>70</v>
      </c>
      <c r="T1106" s="614" t="s">
        <v>70</v>
      </c>
      <c r="U1106" s="614"/>
      <c r="V1106" s="614"/>
      <c r="W1106" s="609"/>
      <c r="X1106" s="609" t="s">
        <v>4206</v>
      </c>
      <c r="Y1106" s="616" t="s">
        <v>819</v>
      </c>
      <c r="Z1106" s="625">
        <v>2.6419</v>
      </c>
      <c r="AA1106" s="616">
        <f t="shared" si="367"/>
        <v>634.056</v>
      </c>
      <c r="AB1106" s="554"/>
      <c r="AC1106" s="629" t="s">
        <v>4210</v>
      </c>
      <c r="AD1106" s="610" t="s">
        <v>101</v>
      </c>
      <c r="AE1106" s="610" t="s">
        <v>82</v>
      </c>
      <c r="AF1106" s="610"/>
      <c r="AG1106" s="610"/>
      <c r="AH1106" s="610"/>
      <c r="AI1106" s="610">
        <v>240</v>
      </c>
      <c r="AJ1106" s="613">
        <f t="shared" si="368"/>
        <v>0</v>
      </c>
      <c r="AK1106" s="610"/>
      <c r="AL1106" s="610"/>
      <c r="AM1106" s="554"/>
      <c r="AN1106" s="554">
        <f t="shared" si="369"/>
        <v>240</v>
      </c>
      <c r="AO1106" s="554"/>
      <c r="AP1106" s="554"/>
      <c r="AQ1106" s="554"/>
      <c r="AR1106" s="554">
        <f>I1106</f>
        <v>240</v>
      </c>
      <c r="AS1106" s="554"/>
      <c r="AT1106" s="554"/>
      <c r="AU1106" s="554">
        <f t="shared" si="370"/>
        <v>240</v>
      </c>
      <c r="AV1106" s="554"/>
      <c r="AW1106" s="554">
        <f t="shared" si="371"/>
        <v>240</v>
      </c>
      <c r="AX1106" s="714"/>
      <c r="AY1106" s="554"/>
      <c r="AZ1106" s="554"/>
      <c r="BA1106" s="554"/>
      <c r="BB1106" s="554"/>
      <c r="BC1106" s="554"/>
      <c r="BD1106" s="554"/>
      <c r="BE1106" s="554"/>
      <c r="BF1106" s="554"/>
      <c r="BG1106" s="554"/>
      <c r="BH1106" s="825">
        <f>I1106/4</f>
        <v>60</v>
      </c>
      <c r="BI1106" s="554"/>
      <c r="BJ1106" s="554"/>
      <c r="BK1106" s="554"/>
      <c r="BL1106" s="554"/>
      <c r="BM1106" s="554"/>
      <c r="BN1106" s="554"/>
      <c r="BO1106" s="554"/>
      <c r="BP1106" s="554"/>
      <c r="BQ1106" s="554"/>
      <c r="BR1106" s="554"/>
      <c r="BS1106" s="554"/>
      <c r="BT1106" s="554"/>
      <c r="BU1106" s="554"/>
      <c r="BV1106" s="554"/>
      <c r="BW1106" s="554"/>
      <c r="BX1106" s="554"/>
      <c r="BY1106" s="554"/>
      <c r="BZ1106" s="554"/>
      <c r="CA1106" s="554"/>
      <c r="CB1106" s="554"/>
      <c r="CC1106" s="554"/>
      <c r="CD1106" s="554"/>
      <c r="CE1106" s="554"/>
      <c r="CF1106" s="554"/>
      <c r="CG1106" s="554"/>
      <c r="CH1106" s="619"/>
      <c r="CI1106" s="619"/>
      <c r="CJ1106" s="619"/>
      <c r="CK1106" s="619"/>
      <c r="CL1106" s="619"/>
      <c r="CM1106" s="554"/>
      <c r="CN1106" s="554"/>
      <c r="CO1106" s="554"/>
      <c r="CP1106" s="619"/>
      <c r="CQ1106" s="619"/>
      <c r="CR1106" s="619"/>
      <c r="CS1106" s="619"/>
      <c r="CT1106" s="619"/>
      <c r="CU1106" s="619"/>
      <c r="CV1106" s="1325"/>
    </row>
    <row r="1107" s="1267" customFormat="1" ht="31" customHeight="1" spans="1:100">
      <c r="A1107" s="608">
        <v>46140</v>
      </c>
      <c r="B1107" s="609" t="s">
        <v>211</v>
      </c>
      <c r="C1107" s="610" t="s">
        <v>212</v>
      </c>
      <c r="D1107" s="554">
        <v>4500204383</v>
      </c>
      <c r="E1107" s="610" t="s">
        <v>4211</v>
      </c>
      <c r="F1107" s="554" t="s">
        <v>4212</v>
      </c>
      <c r="G1107" s="610" t="s">
        <v>518</v>
      </c>
      <c r="H1107" s="610" t="s">
        <v>477</v>
      </c>
      <c r="I1107" s="715">
        <v>1200</v>
      </c>
      <c r="J1107" s="610">
        <v>0</v>
      </c>
      <c r="K1107" s="610">
        <v>6</v>
      </c>
      <c r="L1107" s="611">
        <f t="shared" si="366"/>
        <v>200</v>
      </c>
      <c r="M1107" s="612">
        <v>46178</v>
      </c>
      <c r="N1107" s="612">
        <v>46174</v>
      </c>
      <c r="O1107" s="613"/>
      <c r="P1107" s="610" t="s">
        <v>113</v>
      </c>
      <c r="Q1107" s="614"/>
      <c r="R1107" s="614">
        <v>46140</v>
      </c>
      <c r="S1107" s="614" t="s">
        <v>70</v>
      </c>
      <c r="T1107" s="614" t="s">
        <v>4213</v>
      </c>
      <c r="U1107" s="614"/>
      <c r="V1107" s="614"/>
      <c r="W1107" s="609"/>
      <c r="X1107" s="609" t="s">
        <v>4214</v>
      </c>
      <c r="Y1107" s="616" t="s">
        <v>1793</v>
      </c>
      <c r="Z1107" s="625">
        <v>6.8992</v>
      </c>
      <c r="AA1107" s="616">
        <f t="shared" si="367"/>
        <v>8279.04</v>
      </c>
      <c r="AB1107" s="554"/>
      <c r="AC1107" s="617"/>
      <c r="AD1107" s="610" t="s">
        <v>1306</v>
      </c>
      <c r="AE1107" s="610" t="s">
        <v>82</v>
      </c>
      <c r="AF1107" s="610"/>
      <c r="AG1107" s="610"/>
      <c r="AH1107" s="610"/>
      <c r="AI1107" s="610"/>
      <c r="AJ1107" s="610">
        <f t="shared" si="368"/>
        <v>-1200</v>
      </c>
      <c r="AK1107" s="610"/>
      <c r="AL1107" s="610"/>
      <c r="AM1107" s="554"/>
      <c r="AN1107" s="554">
        <f t="shared" si="369"/>
        <v>1200</v>
      </c>
      <c r="AO1107" s="554"/>
      <c r="AP1107" s="554"/>
      <c r="AQ1107" s="554"/>
      <c r="AR1107" s="554">
        <f>I1107</f>
        <v>1200</v>
      </c>
      <c r="AS1107" s="554"/>
      <c r="AT1107" s="554"/>
      <c r="AU1107" s="554">
        <f t="shared" si="370"/>
        <v>1200</v>
      </c>
      <c r="AV1107" s="554"/>
      <c r="AW1107" s="554">
        <f t="shared" si="371"/>
        <v>1200</v>
      </c>
      <c r="AX1107" s="714"/>
      <c r="AY1107" s="554"/>
      <c r="AZ1107" s="554"/>
      <c r="BA1107" s="554"/>
      <c r="BB1107" s="554"/>
      <c r="BC1107" s="554"/>
      <c r="BD1107" s="554"/>
      <c r="BE1107" s="554"/>
      <c r="BF1107" s="554"/>
      <c r="BG1107" s="554"/>
      <c r="BH1107" s="554"/>
      <c r="BI1107" s="554"/>
      <c r="BJ1107" s="554"/>
      <c r="BK1107" s="554"/>
      <c r="BL1107" s="554"/>
      <c r="BM1107" s="554"/>
      <c r="BN1107" s="554">
        <f>I1107</f>
        <v>1200</v>
      </c>
      <c r="BO1107" s="554"/>
      <c r="BP1107" s="554"/>
      <c r="BQ1107" s="554"/>
      <c r="BR1107" s="554"/>
      <c r="BS1107" s="554"/>
      <c r="BT1107" s="554"/>
      <c r="BU1107" s="554"/>
      <c r="BV1107" s="554"/>
      <c r="BW1107" s="554"/>
      <c r="BX1107" s="554"/>
      <c r="BY1107" s="554"/>
      <c r="BZ1107" s="554"/>
      <c r="CA1107" s="554"/>
      <c r="CB1107" s="554"/>
      <c r="CC1107" s="554"/>
      <c r="CD1107" s="554"/>
      <c r="CE1107" s="554"/>
      <c r="CF1107" s="554"/>
      <c r="CG1107" s="554"/>
      <c r="CH1107" s="619"/>
      <c r="CI1107" s="619"/>
      <c r="CJ1107" s="619"/>
      <c r="CK1107" s="619"/>
      <c r="CL1107" s="619"/>
      <c r="CM1107" s="554"/>
      <c r="CN1107" s="554"/>
      <c r="CO1107" s="554"/>
      <c r="CP1107" s="619"/>
      <c r="CQ1107" s="619"/>
      <c r="CR1107" s="619"/>
      <c r="CS1107" s="619"/>
      <c r="CT1107" s="619"/>
      <c r="CU1107" s="619"/>
      <c r="CV1107" s="1325"/>
    </row>
    <row r="1108" s="1267" customFormat="1" ht="31" customHeight="1" spans="1:100">
      <c r="A1108" s="608">
        <v>46126</v>
      </c>
      <c r="B1108" s="609" t="s">
        <v>1332</v>
      </c>
      <c r="C1108" s="610" t="s">
        <v>590</v>
      </c>
      <c r="D1108" s="554">
        <v>4500201913</v>
      </c>
      <c r="E1108" s="610" t="s">
        <v>3846</v>
      </c>
      <c r="F1108" s="554" t="s">
        <v>4215</v>
      </c>
      <c r="G1108" s="610" t="s">
        <v>68</v>
      </c>
      <c r="H1108" s="610" t="s">
        <v>69</v>
      </c>
      <c r="I1108" s="715">
        <v>1200</v>
      </c>
      <c r="J1108" s="610">
        <v>0</v>
      </c>
      <c r="K1108" s="610">
        <v>12</v>
      </c>
      <c r="L1108" s="611">
        <f t="shared" si="366"/>
        <v>100</v>
      </c>
      <c r="M1108" s="612">
        <v>46178</v>
      </c>
      <c r="N1108" s="612">
        <v>46174</v>
      </c>
      <c r="O1108" s="613"/>
      <c r="P1108" s="610" t="s">
        <v>113</v>
      </c>
      <c r="Q1108" s="614"/>
      <c r="R1108" s="614">
        <v>46134</v>
      </c>
      <c r="S1108" s="614" t="s">
        <v>70</v>
      </c>
      <c r="T1108" s="614" t="s">
        <v>4216</v>
      </c>
      <c r="U1108" s="614"/>
      <c r="V1108" s="614"/>
      <c r="W1108" s="609"/>
      <c r="X1108" s="609" t="s">
        <v>4217</v>
      </c>
      <c r="Y1108" s="616" t="s">
        <v>230</v>
      </c>
      <c r="Z1108" s="625">
        <v>4.2622</v>
      </c>
      <c r="AA1108" s="616">
        <f t="shared" si="367"/>
        <v>5114.64</v>
      </c>
      <c r="AB1108" s="554"/>
      <c r="AC1108" s="617"/>
      <c r="AD1108" s="610" t="s">
        <v>68</v>
      </c>
      <c r="AE1108" s="610" t="s">
        <v>82</v>
      </c>
      <c r="AF1108" s="610"/>
      <c r="AG1108" s="610"/>
      <c r="AH1108" s="610"/>
      <c r="AI1108" s="610">
        <v>1200</v>
      </c>
      <c r="AJ1108" s="610">
        <f t="shared" si="368"/>
        <v>0</v>
      </c>
      <c r="AK1108" s="610"/>
      <c r="AL1108" s="610" t="s">
        <v>2368</v>
      </c>
      <c r="AM1108" s="554"/>
      <c r="AN1108" s="554">
        <f t="shared" si="369"/>
        <v>1200</v>
      </c>
      <c r="AO1108" s="554"/>
      <c r="AP1108" s="554"/>
      <c r="AQ1108" s="554"/>
      <c r="AR1108" s="554">
        <f>I1108</f>
        <v>1200</v>
      </c>
      <c r="AS1108" s="554"/>
      <c r="AT1108" s="554"/>
      <c r="AU1108" s="554">
        <f t="shared" si="370"/>
        <v>1200</v>
      </c>
      <c r="AV1108" s="554"/>
      <c r="AW1108" s="554">
        <f t="shared" si="371"/>
        <v>1200</v>
      </c>
      <c r="AX1108" s="714"/>
      <c r="AY1108" s="554"/>
      <c r="AZ1108" s="554"/>
      <c r="BA1108" s="554"/>
      <c r="BB1108" s="554"/>
      <c r="BC1108" s="554"/>
      <c r="BD1108" s="554"/>
      <c r="BE1108" s="554"/>
      <c r="BF1108" s="554"/>
      <c r="BG1108" s="554"/>
      <c r="BH1108" s="554"/>
      <c r="BI1108" s="554"/>
      <c r="BJ1108" s="554"/>
      <c r="BK1108" s="554"/>
      <c r="BL1108" s="554"/>
      <c r="BM1108" s="554"/>
      <c r="BN1108" s="554"/>
      <c r="BO1108" s="554"/>
      <c r="BP1108" s="554"/>
      <c r="BQ1108" s="554"/>
      <c r="BR1108" s="554"/>
      <c r="BS1108" s="554"/>
      <c r="BT1108" s="554"/>
      <c r="BU1108" s="554"/>
      <c r="BV1108" s="554"/>
      <c r="BW1108" s="554"/>
      <c r="BX1108" s="554"/>
      <c r="BY1108" s="554"/>
      <c r="BZ1108" s="554"/>
      <c r="CA1108" s="554"/>
      <c r="CB1108" s="554"/>
      <c r="CC1108" s="554"/>
      <c r="CD1108" s="554"/>
      <c r="CE1108" s="554"/>
      <c r="CF1108" s="554"/>
      <c r="CG1108" s="554"/>
      <c r="CH1108" s="619"/>
      <c r="CI1108" s="619"/>
      <c r="CJ1108" s="619"/>
      <c r="CK1108" s="619"/>
      <c r="CL1108" s="619"/>
      <c r="CM1108" s="554"/>
      <c r="CN1108" s="554"/>
      <c r="CO1108" s="554"/>
      <c r="CP1108" s="619"/>
      <c r="CQ1108" s="619"/>
      <c r="CR1108" s="619"/>
      <c r="CS1108" s="619"/>
      <c r="CT1108" s="619"/>
      <c r="CU1108" s="619"/>
      <c r="CV1108" s="1325"/>
    </row>
    <row r="1109" s="1267" customFormat="1" ht="31" customHeight="1" spans="1:100">
      <c r="A1109" s="608">
        <v>46136</v>
      </c>
      <c r="B1109" s="609" t="s">
        <v>2470</v>
      </c>
      <c r="C1109" s="610" t="s">
        <v>343</v>
      </c>
      <c r="D1109" s="554" t="s">
        <v>4218</v>
      </c>
      <c r="E1109" s="610" t="s">
        <v>3846</v>
      </c>
      <c r="F1109" s="554" t="s">
        <v>4219</v>
      </c>
      <c r="G1109" s="610" t="s">
        <v>68</v>
      </c>
      <c r="H1109" s="610" t="s">
        <v>69</v>
      </c>
      <c r="I1109" s="715">
        <v>1104</v>
      </c>
      <c r="J1109" s="610">
        <v>0</v>
      </c>
      <c r="K1109" s="610">
        <v>12</v>
      </c>
      <c r="L1109" s="611">
        <f t="shared" si="366"/>
        <v>92</v>
      </c>
      <c r="M1109" s="612">
        <v>46181</v>
      </c>
      <c r="N1109" s="612">
        <v>46177</v>
      </c>
      <c r="O1109" s="613"/>
      <c r="P1109" s="610" t="s">
        <v>113</v>
      </c>
      <c r="Q1109" s="614"/>
      <c r="R1109" s="614">
        <v>46151</v>
      </c>
      <c r="S1109" s="614" t="s">
        <v>70</v>
      </c>
      <c r="T1109" s="614" t="s">
        <v>4220</v>
      </c>
      <c r="U1109" s="614"/>
      <c r="V1109" s="614"/>
      <c r="W1109" s="609"/>
      <c r="X1109" s="609" t="s">
        <v>4221</v>
      </c>
      <c r="Y1109" s="616" t="s">
        <v>340</v>
      </c>
      <c r="Z1109" s="625">
        <v>4.2622</v>
      </c>
      <c r="AA1109" s="616">
        <f t="shared" si="367"/>
        <v>4705.4688</v>
      </c>
      <c r="AB1109" s="554"/>
      <c r="AC1109" s="617"/>
      <c r="AD1109" s="610" t="s">
        <v>184</v>
      </c>
      <c r="AE1109" s="610" t="s">
        <v>82</v>
      </c>
      <c r="AF1109" s="610"/>
      <c r="AG1109" s="610"/>
      <c r="AH1109" s="610"/>
      <c r="AI1109" s="610">
        <v>1104</v>
      </c>
      <c r="AJ1109" s="610">
        <f t="shared" si="368"/>
        <v>0</v>
      </c>
      <c r="AK1109" s="610"/>
      <c r="AL1109" s="610" t="s">
        <v>2368</v>
      </c>
      <c r="AM1109" s="554"/>
      <c r="AN1109" s="554">
        <f t="shared" si="369"/>
        <v>1104</v>
      </c>
      <c r="AO1109" s="554"/>
      <c r="AP1109" s="554"/>
      <c r="AQ1109" s="554"/>
      <c r="AR1109" s="554"/>
      <c r="AS1109" s="554">
        <f>I1109</f>
        <v>1104</v>
      </c>
      <c r="AT1109" s="554"/>
      <c r="AU1109" s="554">
        <f t="shared" si="370"/>
        <v>1104</v>
      </c>
      <c r="AV1109" s="554"/>
      <c r="AW1109" s="554">
        <f t="shared" si="371"/>
        <v>1104</v>
      </c>
      <c r="AX1109" s="714"/>
      <c r="AY1109" s="554"/>
      <c r="AZ1109" s="554"/>
      <c r="BA1109" s="554"/>
      <c r="BB1109" s="554"/>
      <c r="BC1109" s="554"/>
      <c r="BD1109" s="554"/>
      <c r="BE1109" s="554"/>
      <c r="BF1109" s="554"/>
      <c r="BG1109" s="554"/>
      <c r="BH1109" s="554"/>
      <c r="BI1109" s="554"/>
      <c r="BJ1109" s="554"/>
      <c r="BK1109" s="554"/>
      <c r="BL1109" s="554"/>
      <c r="BM1109" s="554"/>
      <c r="BN1109" s="554"/>
      <c r="BO1109" s="554"/>
      <c r="BP1109" s="554"/>
      <c r="BQ1109" s="554"/>
      <c r="BR1109" s="554"/>
      <c r="BS1109" s="554"/>
      <c r="BT1109" s="554"/>
      <c r="BU1109" s="554"/>
      <c r="BV1109" s="554"/>
      <c r="BW1109" s="554"/>
      <c r="BX1109" s="554"/>
      <c r="BY1109" s="554"/>
      <c r="BZ1109" s="554"/>
      <c r="CA1109" s="554"/>
      <c r="CB1109" s="554"/>
      <c r="CC1109" s="554"/>
      <c r="CD1109" s="554"/>
      <c r="CE1109" s="554"/>
      <c r="CF1109" s="554"/>
      <c r="CG1109" s="554"/>
      <c r="CH1109" s="619"/>
      <c r="CI1109" s="619"/>
      <c r="CJ1109" s="619"/>
      <c r="CK1109" s="619"/>
      <c r="CL1109" s="619"/>
      <c r="CM1109" s="554"/>
      <c r="CN1109" s="554"/>
      <c r="CO1109" s="554"/>
      <c r="CP1109" s="619"/>
      <c r="CQ1109" s="619"/>
      <c r="CR1109" s="619"/>
      <c r="CS1109" s="619"/>
      <c r="CT1109" s="619"/>
      <c r="CU1109" s="619"/>
      <c r="CV1109" s="1325"/>
    </row>
    <row r="1110" s="1267" customFormat="1" ht="31" customHeight="1" spans="1:100">
      <c r="A1110" s="608">
        <v>46136</v>
      </c>
      <c r="B1110" s="609" t="s">
        <v>4222</v>
      </c>
      <c r="C1110" s="610" t="s">
        <v>335</v>
      </c>
      <c r="D1110" s="554">
        <v>4500203765</v>
      </c>
      <c r="E1110" s="731">
        <v>5907192049</v>
      </c>
      <c r="F1110" s="554" t="s">
        <v>4223</v>
      </c>
      <c r="G1110" s="610" t="s">
        <v>68</v>
      </c>
      <c r="H1110" s="610" t="s">
        <v>69</v>
      </c>
      <c r="I1110" s="768">
        <v>1020</v>
      </c>
      <c r="J1110" s="610">
        <v>0</v>
      </c>
      <c r="K1110" s="610">
        <v>12</v>
      </c>
      <c r="L1110" s="611">
        <f t="shared" si="366"/>
        <v>85</v>
      </c>
      <c r="M1110" s="612">
        <v>46181</v>
      </c>
      <c r="N1110" s="612">
        <v>46177</v>
      </c>
      <c r="O1110" s="723" t="s">
        <v>4224</v>
      </c>
      <c r="P1110" s="610" t="s">
        <v>113</v>
      </c>
      <c r="Q1110" s="614">
        <v>46195</v>
      </c>
      <c r="R1110" s="614">
        <v>46151</v>
      </c>
      <c r="S1110" s="614" t="s">
        <v>70</v>
      </c>
      <c r="T1110" s="614" t="s">
        <v>4220</v>
      </c>
      <c r="U1110" s="614"/>
      <c r="V1110" s="614"/>
      <c r="W1110" s="609"/>
      <c r="X1110" s="609" t="s">
        <v>4221</v>
      </c>
      <c r="Y1110" s="616" t="s">
        <v>340</v>
      </c>
      <c r="Z1110" s="625">
        <v>4.2622</v>
      </c>
      <c r="AA1110" s="616">
        <f t="shared" si="367"/>
        <v>4347.444</v>
      </c>
      <c r="AB1110" s="554"/>
      <c r="AC1110" s="617"/>
      <c r="AD1110" s="610" t="s">
        <v>184</v>
      </c>
      <c r="AE1110" s="610" t="s">
        <v>82</v>
      </c>
      <c r="AF1110" s="610"/>
      <c r="AG1110" s="610"/>
      <c r="AH1110" s="610"/>
      <c r="AI1110" s="610">
        <v>1020</v>
      </c>
      <c r="AJ1110" s="610">
        <f t="shared" si="368"/>
        <v>0</v>
      </c>
      <c r="AK1110" s="610"/>
      <c r="AL1110" s="610" t="s">
        <v>2368</v>
      </c>
      <c r="AM1110" s="554"/>
      <c r="AN1110" s="554">
        <f t="shared" si="369"/>
        <v>1020</v>
      </c>
      <c r="AO1110" s="554"/>
      <c r="AP1110" s="554"/>
      <c r="AQ1110" s="554"/>
      <c r="AR1110" s="554"/>
      <c r="AS1110" s="554">
        <f>I1110</f>
        <v>1020</v>
      </c>
      <c r="AT1110" s="554"/>
      <c r="AU1110" s="554">
        <f t="shared" si="370"/>
        <v>1020</v>
      </c>
      <c r="AV1110" s="554"/>
      <c r="AW1110" s="554">
        <f t="shared" si="371"/>
        <v>1020</v>
      </c>
      <c r="AX1110" s="714"/>
      <c r="AY1110" s="554"/>
      <c r="AZ1110" s="554"/>
      <c r="BA1110" s="554"/>
      <c r="BB1110" s="554"/>
      <c r="BC1110" s="554"/>
      <c r="BD1110" s="554"/>
      <c r="BE1110" s="554"/>
      <c r="BF1110" s="554"/>
      <c r="BG1110" s="554"/>
      <c r="BH1110" s="554"/>
      <c r="BI1110" s="554"/>
      <c r="BJ1110" s="554"/>
      <c r="BK1110" s="554"/>
      <c r="BL1110" s="554"/>
      <c r="BM1110" s="554"/>
      <c r="BN1110" s="554"/>
      <c r="BO1110" s="554"/>
      <c r="BP1110" s="554"/>
      <c r="BQ1110" s="554"/>
      <c r="BR1110" s="554"/>
      <c r="BS1110" s="554"/>
      <c r="BT1110" s="554"/>
      <c r="BU1110" s="554"/>
      <c r="BV1110" s="554"/>
      <c r="BW1110" s="554"/>
      <c r="BX1110" s="554"/>
      <c r="BY1110" s="554"/>
      <c r="BZ1110" s="554"/>
      <c r="CA1110" s="554"/>
      <c r="CB1110" s="554"/>
      <c r="CC1110" s="554"/>
      <c r="CD1110" s="554"/>
      <c r="CE1110" s="554"/>
      <c r="CF1110" s="554"/>
      <c r="CG1110" s="554"/>
      <c r="CH1110" s="619"/>
      <c r="CI1110" s="619"/>
      <c r="CJ1110" s="619"/>
      <c r="CK1110" s="619"/>
      <c r="CL1110" s="619"/>
      <c r="CM1110" s="554"/>
      <c r="CN1110" s="554"/>
      <c r="CO1110" s="554"/>
      <c r="CP1110" s="619"/>
      <c r="CQ1110" s="619"/>
      <c r="CR1110" s="619"/>
      <c r="CS1110" s="619"/>
      <c r="CT1110" s="619"/>
      <c r="CU1110" s="619"/>
      <c r="CV1110" s="1325"/>
    </row>
    <row r="1111" s="1267" customFormat="1" ht="31" customHeight="1" spans="1:100">
      <c r="A1111" s="608">
        <v>46136</v>
      </c>
      <c r="B1111" s="609" t="s">
        <v>2465</v>
      </c>
      <c r="C1111" s="610" t="s">
        <v>348</v>
      </c>
      <c r="D1111" s="554" t="s">
        <v>4225</v>
      </c>
      <c r="E1111" s="610" t="s">
        <v>3846</v>
      </c>
      <c r="F1111" s="554" t="s">
        <v>4226</v>
      </c>
      <c r="G1111" s="610" t="s">
        <v>68</v>
      </c>
      <c r="H1111" s="610" t="s">
        <v>69</v>
      </c>
      <c r="I1111" s="715">
        <v>2508</v>
      </c>
      <c r="J1111" s="610">
        <v>0</v>
      </c>
      <c r="K1111" s="610">
        <v>12</v>
      </c>
      <c r="L1111" s="611">
        <f t="shared" si="366"/>
        <v>209</v>
      </c>
      <c r="M1111" s="612">
        <v>46181</v>
      </c>
      <c r="N1111" s="612">
        <v>46177</v>
      </c>
      <c r="O1111" s="613"/>
      <c r="P1111" s="610" t="s">
        <v>113</v>
      </c>
      <c r="Q1111" s="614">
        <v>46189</v>
      </c>
      <c r="R1111" s="614">
        <v>46151</v>
      </c>
      <c r="S1111" s="614" t="s">
        <v>70</v>
      </c>
      <c r="T1111" s="614" t="s">
        <v>4220</v>
      </c>
      <c r="U1111" s="614"/>
      <c r="V1111" s="614"/>
      <c r="W1111" s="609"/>
      <c r="X1111" s="609" t="s">
        <v>4221</v>
      </c>
      <c r="Y1111" s="616" t="s">
        <v>340</v>
      </c>
      <c r="Z1111" s="625">
        <v>4.2622</v>
      </c>
      <c r="AA1111" s="616">
        <f t="shared" si="367"/>
        <v>10689.5976</v>
      </c>
      <c r="AB1111" s="554"/>
      <c r="AC1111" s="617"/>
      <c r="AD1111" s="610" t="s">
        <v>184</v>
      </c>
      <c r="AE1111" s="610" t="s">
        <v>82</v>
      </c>
      <c r="AF1111" s="610"/>
      <c r="AG1111" s="610"/>
      <c r="AH1111" s="610"/>
      <c r="AI1111" s="610">
        <v>2508</v>
      </c>
      <c r="AJ1111" s="610">
        <f t="shared" si="368"/>
        <v>0</v>
      </c>
      <c r="AK1111" s="610"/>
      <c r="AL1111" s="610" t="s">
        <v>2368</v>
      </c>
      <c r="AM1111" s="554"/>
      <c r="AN1111" s="554">
        <f t="shared" si="369"/>
        <v>2508</v>
      </c>
      <c r="AO1111" s="554"/>
      <c r="AP1111" s="554"/>
      <c r="AQ1111" s="554"/>
      <c r="AR1111" s="554"/>
      <c r="AS1111" s="554">
        <f>I1111</f>
        <v>2508</v>
      </c>
      <c r="AT1111" s="554"/>
      <c r="AU1111" s="554">
        <f t="shared" si="370"/>
        <v>2508</v>
      </c>
      <c r="AV1111" s="554"/>
      <c r="AW1111" s="554">
        <f t="shared" si="371"/>
        <v>2508</v>
      </c>
      <c r="AX1111" s="714"/>
      <c r="AY1111" s="554"/>
      <c r="AZ1111" s="554"/>
      <c r="BA1111" s="554"/>
      <c r="BB1111" s="554"/>
      <c r="BC1111" s="554"/>
      <c r="BD1111" s="554"/>
      <c r="BE1111" s="554"/>
      <c r="BF1111" s="554"/>
      <c r="BG1111" s="554"/>
      <c r="BH1111" s="554"/>
      <c r="BI1111" s="554"/>
      <c r="BJ1111" s="554"/>
      <c r="BK1111" s="554"/>
      <c r="BL1111" s="554"/>
      <c r="BM1111" s="554"/>
      <c r="BN1111" s="554"/>
      <c r="BO1111" s="554"/>
      <c r="BP1111" s="554"/>
      <c r="BQ1111" s="554"/>
      <c r="BR1111" s="554"/>
      <c r="BS1111" s="554"/>
      <c r="BT1111" s="554"/>
      <c r="BU1111" s="554"/>
      <c r="BV1111" s="554"/>
      <c r="BW1111" s="554"/>
      <c r="BX1111" s="554"/>
      <c r="BY1111" s="554"/>
      <c r="BZ1111" s="554"/>
      <c r="CA1111" s="554"/>
      <c r="CB1111" s="554"/>
      <c r="CC1111" s="554"/>
      <c r="CD1111" s="554"/>
      <c r="CE1111" s="554"/>
      <c r="CF1111" s="554"/>
      <c r="CG1111" s="554"/>
      <c r="CH1111" s="619"/>
      <c r="CI1111" s="619"/>
      <c r="CJ1111" s="619"/>
      <c r="CK1111" s="619"/>
      <c r="CL1111" s="619"/>
      <c r="CM1111" s="554"/>
      <c r="CN1111" s="554"/>
      <c r="CO1111" s="554"/>
      <c r="CP1111" s="619"/>
      <c r="CQ1111" s="619"/>
      <c r="CR1111" s="619"/>
      <c r="CS1111" s="619"/>
      <c r="CT1111" s="619"/>
      <c r="CU1111" s="619"/>
      <c r="CV1111" s="1325"/>
    </row>
    <row r="1112" s="1267" customFormat="1" ht="31" customHeight="1" spans="1:100">
      <c r="A1112" s="608">
        <v>46150</v>
      </c>
      <c r="B1112" s="609" t="s">
        <v>2454</v>
      </c>
      <c r="C1112" s="610" t="s">
        <v>782</v>
      </c>
      <c r="D1112" s="554" t="s">
        <v>4227</v>
      </c>
      <c r="E1112" s="610" t="s">
        <v>4228</v>
      </c>
      <c r="F1112" s="554" t="s">
        <v>4229</v>
      </c>
      <c r="G1112" s="610" t="s">
        <v>68</v>
      </c>
      <c r="H1112" s="610" t="s">
        <v>69</v>
      </c>
      <c r="I1112" s="715">
        <v>516</v>
      </c>
      <c r="J1112" s="610">
        <v>0</v>
      </c>
      <c r="K1112" s="610">
        <v>12</v>
      </c>
      <c r="L1112" s="611">
        <f t="shared" si="366"/>
        <v>43</v>
      </c>
      <c r="M1112" s="612">
        <v>46181</v>
      </c>
      <c r="N1112" s="612">
        <v>46177</v>
      </c>
      <c r="O1112" s="723" t="s">
        <v>4224</v>
      </c>
      <c r="P1112" s="610" t="s">
        <v>113</v>
      </c>
      <c r="Q1112" s="614">
        <v>46195</v>
      </c>
      <c r="R1112" s="614">
        <v>46151</v>
      </c>
      <c r="S1112" s="614" t="s">
        <v>70</v>
      </c>
      <c r="T1112" s="614" t="s">
        <v>4220</v>
      </c>
      <c r="U1112" s="614"/>
      <c r="V1112" s="614"/>
      <c r="W1112" s="609"/>
      <c r="X1112" s="609" t="s">
        <v>4230</v>
      </c>
      <c r="Y1112" s="616" t="s">
        <v>340</v>
      </c>
      <c r="Z1112" s="625">
        <v>4.2173</v>
      </c>
      <c r="AA1112" s="616">
        <f t="shared" si="367"/>
        <v>2176.1268</v>
      </c>
      <c r="AB1112" s="554"/>
      <c r="AC1112" s="617"/>
      <c r="AD1112" s="610" t="s">
        <v>184</v>
      </c>
      <c r="AE1112" s="610" t="s">
        <v>82</v>
      </c>
      <c r="AF1112" s="610"/>
      <c r="AG1112" s="610"/>
      <c r="AH1112" s="610"/>
      <c r="AI1112" s="610">
        <v>516</v>
      </c>
      <c r="AJ1112" s="610">
        <f t="shared" si="368"/>
        <v>0</v>
      </c>
      <c r="AK1112" s="610"/>
      <c r="AL1112" s="610"/>
      <c r="AM1112" s="554"/>
      <c r="AN1112" s="554">
        <f t="shared" si="369"/>
        <v>516</v>
      </c>
      <c r="AO1112" s="554"/>
      <c r="AP1112" s="554"/>
      <c r="AQ1112" s="554"/>
      <c r="AR1112" s="554"/>
      <c r="AS1112" s="554">
        <f>I1112</f>
        <v>516</v>
      </c>
      <c r="AT1112" s="554"/>
      <c r="AU1112" s="554">
        <f t="shared" si="370"/>
        <v>516</v>
      </c>
      <c r="AV1112" s="554"/>
      <c r="AW1112" s="554">
        <f t="shared" si="371"/>
        <v>516</v>
      </c>
      <c r="AX1112" s="714"/>
      <c r="AY1112" s="554"/>
      <c r="AZ1112" s="554"/>
      <c r="BA1112" s="554"/>
      <c r="BB1112" s="554"/>
      <c r="BC1112" s="554"/>
      <c r="BD1112" s="554"/>
      <c r="BE1112" s="554"/>
      <c r="BF1112" s="554"/>
      <c r="BG1112" s="554"/>
      <c r="BH1112" s="554"/>
      <c r="BI1112" s="554"/>
      <c r="BJ1112" s="554"/>
      <c r="BK1112" s="554"/>
      <c r="BL1112" s="554"/>
      <c r="BM1112" s="554"/>
      <c r="BN1112" s="554"/>
      <c r="BO1112" s="554"/>
      <c r="BP1112" s="554"/>
      <c r="BQ1112" s="554"/>
      <c r="BR1112" s="554"/>
      <c r="BS1112" s="554"/>
      <c r="BT1112" s="554"/>
      <c r="BU1112" s="554"/>
      <c r="BV1112" s="554"/>
      <c r="BW1112" s="554"/>
      <c r="BX1112" s="554"/>
      <c r="BY1112" s="554"/>
      <c r="BZ1112" s="554"/>
      <c r="CA1112" s="554"/>
      <c r="CB1112" s="554"/>
      <c r="CC1112" s="554"/>
      <c r="CD1112" s="554"/>
      <c r="CE1112" s="554"/>
      <c r="CF1112" s="554"/>
      <c r="CG1112" s="554"/>
      <c r="CH1112" s="619"/>
      <c r="CI1112" s="619"/>
      <c r="CJ1112" s="619"/>
      <c r="CK1112" s="619"/>
      <c r="CL1112" s="619"/>
      <c r="CM1112" s="554"/>
      <c r="CN1112" s="554"/>
      <c r="CO1112" s="554"/>
      <c r="CP1112" s="619"/>
      <c r="CQ1112" s="619"/>
      <c r="CR1112" s="619"/>
      <c r="CS1112" s="619"/>
      <c r="CT1112" s="619"/>
      <c r="CU1112" s="619"/>
      <c r="CV1112" s="1325"/>
    </row>
    <row r="1113" s="1267" customFormat="1" ht="31" customHeight="1" spans="1:100">
      <c r="A1113" s="608">
        <v>46136</v>
      </c>
      <c r="B1113" s="609" t="s">
        <v>143</v>
      </c>
      <c r="C1113" s="610" t="s">
        <v>98</v>
      </c>
      <c r="D1113" s="554">
        <v>4500203833</v>
      </c>
      <c r="E1113" s="1419" t="s">
        <v>4231</v>
      </c>
      <c r="F1113" s="554" t="s">
        <v>4232</v>
      </c>
      <c r="G1113" s="610" t="s">
        <v>101</v>
      </c>
      <c r="H1113" s="610" t="s">
        <v>102</v>
      </c>
      <c r="I1113" s="715">
        <v>3200</v>
      </c>
      <c r="J1113" s="610">
        <v>0</v>
      </c>
      <c r="K1113" s="610">
        <v>4</v>
      </c>
      <c r="L1113" s="611">
        <f t="shared" si="366"/>
        <v>800</v>
      </c>
      <c r="M1113" s="612">
        <v>46183</v>
      </c>
      <c r="N1113" s="612">
        <v>46179</v>
      </c>
      <c r="O1113" s="613" t="s">
        <v>4233</v>
      </c>
      <c r="P1113" s="610" t="s">
        <v>113</v>
      </c>
      <c r="Q1113" s="614" t="s">
        <v>4234</v>
      </c>
      <c r="R1113" s="614" t="s">
        <v>3066</v>
      </c>
      <c r="S1113" s="614" t="s">
        <v>70</v>
      </c>
      <c r="T1113" s="614" t="s">
        <v>4235</v>
      </c>
      <c r="U1113" s="614"/>
      <c r="V1113" s="614"/>
      <c r="W1113" s="609"/>
      <c r="X1113" s="609" t="s">
        <v>1172</v>
      </c>
      <c r="Y1113" s="616" t="s">
        <v>106</v>
      </c>
      <c r="Z1113" s="625">
        <v>2.615</v>
      </c>
      <c r="AA1113" s="616">
        <f t="shared" si="367"/>
        <v>8368</v>
      </c>
      <c r="AB1113" s="554"/>
      <c r="AC1113" s="629" t="s">
        <v>4236</v>
      </c>
      <c r="AD1113" s="610" t="s">
        <v>101</v>
      </c>
      <c r="AE1113" s="610" t="s">
        <v>82</v>
      </c>
      <c r="AF1113" s="610"/>
      <c r="AG1113" s="610"/>
      <c r="AH1113" s="610"/>
      <c r="AI1113" s="609">
        <v>3200</v>
      </c>
      <c r="AJ1113" s="613">
        <f t="shared" si="368"/>
        <v>0</v>
      </c>
      <c r="AK1113" s="610"/>
      <c r="AL1113" s="610" t="s">
        <v>2368</v>
      </c>
      <c r="AM1113" s="554"/>
      <c r="AN1113" s="554">
        <f t="shared" si="369"/>
        <v>3200</v>
      </c>
      <c r="AO1113" s="554"/>
      <c r="AP1113" s="554"/>
      <c r="AQ1113" s="554"/>
      <c r="AR1113" s="554">
        <f t="shared" ref="AR1113:AR1118" si="373">I1113</f>
        <v>3200</v>
      </c>
      <c r="AS1113" s="554"/>
      <c r="AT1113" s="554"/>
      <c r="AU1113" s="554">
        <f t="shared" ref="AU1113:AU1123" si="374">I1113</f>
        <v>3200</v>
      </c>
      <c r="AV1113" s="554"/>
      <c r="AW1113" s="554">
        <f t="shared" ref="AW1113:AW1123" si="375">I1113</f>
        <v>3200</v>
      </c>
      <c r="AX1113" s="714"/>
      <c r="AY1113" s="554"/>
      <c r="AZ1113" s="554"/>
      <c r="BA1113" s="554"/>
      <c r="BB1113" s="554"/>
      <c r="BC1113" s="554"/>
      <c r="BD1113" s="554"/>
      <c r="BE1113" s="554"/>
      <c r="BF1113" s="554"/>
      <c r="BG1113" s="554"/>
      <c r="BH1113" s="825">
        <f>I1113/4</f>
        <v>800</v>
      </c>
      <c r="BI1113" s="554"/>
      <c r="BJ1113" s="554"/>
      <c r="BK1113" s="554"/>
      <c r="BL1113" s="554"/>
      <c r="BM1113" s="554"/>
      <c r="BN1113" s="554"/>
      <c r="BO1113" s="554"/>
      <c r="BP1113" s="554"/>
      <c r="BQ1113" s="554"/>
      <c r="BR1113" s="554"/>
      <c r="BS1113" s="554"/>
      <c r="BT1113" s="554"/>
      <c r="BU1113" s="554"/>
      <c r="BV1113" s="554"/>
      <c r="BW1113" s="554"/>
      <c r="BX1113" s="554"/>
      <c r="BY1113" s="554"/>
      <c r="BZ1113" s="554"/>
      <c r="CA1113" s="554"/>
      <c r="CB1113" s="554"/>
      <c r="CC1113" s="554"/>
      <c r="CD1113" s="554"/>
      <c r="CE1113" s="554"/>
      <c r="CF1113" s="554"/>
      <c r="CG1113" s="554"/>
      <c r="CH1113" s="619"/>
      <c r="CI1113" s="619"/>
      <c r="CJ1113" s="619"/>
      <c r="CK1113" s="619"/>
      <c r="CL1113" s="619"/>
      <c r="CM1113" s="554"/>
      <c r="CN1113" s="554"/>
      <c r="CO1113" s="554"/>
      <c r="CP1113" s="619"/>
      <c r="CQ1113" s="619"/>
      <c r="CR1113" s="619"/>
      <c r="CS1113" s="619"/>
      <c r="CT1113" s="619"/>
      <c r="CU1113" s="619"/>
      <c r="CV1113" s="1325"/>
    </row>
    <row r="1114" s="1267" customFormat="1" ht="31" customHeight="1" spans="1:100">
      <c r="A1114" s="608">
        <v>46136</v>
      </c>
      <c r="B1114" s="609" t="s">
        <v>143</v>
      </c>
      <c r="C1114" s="610" t="s">
        <v>98</v>
      </c>
      <c r="D1114" s="554">
        <v>4500203833</v>
      </c>
      <c r="E1114" s="1419" t="s">
        <v>4237</v>
      </c>
      <c r="F1114" s="554" t="s">
        <v>4238</v>
      </c>
      <c r="G1114" s="610" t="s">
        <v>101</v>
      </c>
      <c r="H1114" s="610" t="s">
        <v>102</v>
      </c>
      <c r="I1114" s="715">
        <v>1600</v>
      </c>
      <c r="J1114" s="610">
        <v>0</v>
      </c>
      <c r="K1114" s="610">
        <v>4</v>
      </c>
      <c r="L1114" s="611">
        <f t="shared" si="366"/>
        <v>400</v>
      </c>
      <c r="M1114" s="612">
        <v>46183</v>
      </c>
      <c r="N1114" s="612">
        <v>46179</v>
      </c>
      <c r="O1114" s="613" t="s">
        <v>4233</v>
      </c>
      <c r="P1114" s="610" t="s">
        <v>113</v>
      </c>
      <c r="Q1114" s="614" t="s">
        <v>4234</v>
      </c>
      <c r="R1114" s="614" t="s">
        <v>3066</v>
      </c>
      <c r="S1114" s="614" t="s">
        <v>70</v>
      </c>
      <c r="T1114" s="614" t="s">
        <v>4235</v>
      </c>
      <c r="U1114" s="614"/>
      <c r="V1114" s="614"/>
      <c r="W1114" s="609"/>
      <c r="X1114" s="609" t="s">
        <v>1172</v>
      </c>
      <c r="Y1114" s="616" t="s">
        <v>106</v>
      </c>
      <c r="Z1114" s="625">
        <v>2.615</v>
      </c>
      <c r="AA1114" s="616">
        <f t="shared" si="367"/>
        <v>4184</v>
      </c>
      <c r="AB1114" s="554"/>
      <c r="AC1114" s="629" t="s">
        <v>4239</v>
      </c>
      <c r="AD1114" s="610" t="s">
        <v>101</v>
      </c>
      <c r="AE1114" s="610" t="s">
        <v>82</v>
      </c>
      <c r="AF1114" s="610"/>
      <c r="AG1114" s="610"/>
      <c r="AH1114" s="610"/>
      <c r="AI1114" s="609">
        <v>1600</v>
      </c>
      <c r="AJ1114" s="613">
        <f t="shared" si="368"/>
        <v>0</v>
      </c>
      <c r="AK1114" s="610"/>
      <c r="AL1114" s="610" t="s">
        <v>2368</v>
      </c>
      <c r="AM1114" s="554"/>
      <c r="AN1114" s="554">
        <f t="shared" si="369"/>
        <v>1600</v>
      </c>
      <c r="AO1114" s="554"/>
      <c r="AP1114" s="554"/>
      <c r="AQ1114" s="554"/>
      <c r="AR1114" s="554">
        <f t="shared" si="373"/>
        <v>1600</v>
      </c>
      <c r="AS1114" s="554"/>
      <c r="AT1114" s="554"/>
      <c r="AU1114" s="554">
        <f t="shared" si="374"/>
        <v>1600</v>
      </c>
      <c r="AV1114" s="554"/>
      <c r="AW1114" s="554">
        <f t="shared" si="375"/>
        <v>1600</v>
      </c>
      <c r="AX1114" s="714"/>
      <c r="AY1114" s="554"/>
      <c r="AZ1114" s="554"/>
      <c r="BA1114" s="554"/>
      <c r="BB1114" s="554"/>
      <c r="BC1114" s="554"/>
      <c r="BD1114" s="554"/>
      <c r="BE1114" s="554"/>
      <c r="BF1114" s="554"/>
      <c r="BG1114" s="554"/>
      <c r="BH1114" s="825">
        <f>I1114/4</f>
        <v>400</v>
      </c>
      <c r="BI1114" s="554"/>
      <c r="BJ1114" s="554"/>
      <c r="BK1114" s="554"/>
      <c r="BL1114" s="554"/>
      <c r="BM1114" s="554"/>
      <c r="BN1114" s="554"/>
      <c r="BO1114" s="554"/>
      <c r="BP1114" s="554"/>
      <c r="BQ1114" s="554"/>
      <c r="BR1114" s="554"/>
      <c r="BS1114" s="554"/>
      <c r="BT1114" s="554"/>
      <c r="BU1114" s="554"/>
      <c r="BV1114" s="554"/>
      <c r="BW1114" s="554"/>
      <c r="BX1114" s="554"/>
      <c r="BY1114" s="554"/>
      <c r="BZ1114" s="554"/>
      <c r="CA1114" s="554"/>
      <c r="CB1114" s="554"/>
      <c r="CC1114" s="554"/>
      <c r="CD1114" s="554"/>
      <c r="CE1114" s="554"/>
      <c r="CF1114" s="554"/>
      <c r="CG1114" s="554"/>
      <c r="CH1114" s="619"/>
      <c r="CI1114" s="619"/>
      <c r="CJ1114" s="619"/>
      <c r="CK1114" s="619"/>
      <c r="CL1114" s="619"/>
      <c r="CM1114" s="554"/>
      <c r="CN1114" s="554"/>
      <c r="CO1114" s="554"/>
      <c r="CP1114" s="619"/>
      <c r="CQ1114" s="619"/>
      <c r="CR1114" s="619"/>
      <c r="CS1114" s="619"/>
      <c r="CT1114" s="619"/>
      <c r="CU1114" s="619"/>
      <c r="CV1114" s="1325"/>
    </row>
    <row r="1115" s="1267" customFormat="1" ht="31" customHeight="1" spans="1:100">
      <c r="A1115" s="608">
        <v>46136</v>
      </c>
      <c r="B1115" s="609" t="s">
        <v>143</v>
      </c>
      <c r="C1115" s="610" t="s">
        <v>98</v>
      </c>
      <c r="D1115" s="554">
        <v>4500203833</v>
      </c>
      <c r="E1115" s="1419" t="s">
        <v>4240</v>
      </c>
      <c r="F1115" s="554" t="s">
        <v>4241</v>
      </c>
      <c r="G1115" s="610" t="s">
        <v>101</v>
      </c>
      <c r="H1115" s="610" t="s">
        <v>102</v>
      </c>
      <c r="I1115" s="715">
        <v>3520</v>
      </c>
      <c r="J1115" s="610">
        <v>0</v>
      </c>
      <c r="K1115" s="610">
        <v>4</v>
      </c>
      <c r="L1115" s="611">
        <f t="shared" si="366"/>
        <v>880</v>
      </c>
      <c r="M1115" s="612">
        <v>46183</v>
      </c>
      <c r="N1115" s="612">
        <v>46179</v>
      </c>
      <c r="O1115" s="613" t="s">
        <v>4233</v>
      </c>
      <c r="P1115" s="610" t="s">
        <v>113</v>
      </c>
      <c r="Q1115" s="614" t="s">
        <v>4234</v>
      </c>
      <c r="R1115" s="614" t="s">
        <v>3066</v>
      </c>
      <c r="S1115" s="614" t="s">
        <v>70</v>
      </c>
      <c r="T1115" s="614" t="s">
        <v>4235</v>
      </c>
      <c r="U1115" s="614"/>
      <c r="V1115" s="614"/>
      <c r="W1115" s="609"/>
      <c r="X1115" s="609" t="s">
        <v>1172</v>
      </c>
      <c r="Y1115" s="616" t="s">
        <v>106</v>
      </c>
      <c r="Z1115" s="625">
        <v>2.615</v>
      </c>
      <c r="AA1115" s="616">
        <f t="shared" si="367"/>
        <v>9204.8</v>
      </c>
      <c r="AB1115" s="554"/>
      <c r="AC1115" s="629" t="s">
        <v>4242</v>
      </c>
      <c r="AD1115" s="610" t="s">
        <v>101</v>
      </c>
      <c r="AE1115" s="610" t="s">
        <v>82</v>
      </c>
      <c r="AF1115" s="610"/>
      <c r="AG1115" s="610"/>
      <c r="AH1115" s="610"/>
      <c r="AI1115" s="609">
        <v>3520</v>
      </c>
      <c r="AJ1115" s="613">
        <f t="shared" si="368"/>
        <v>0</v>
      </c>
      <c r="AK1115" s="610"/>
      <c r="AL1115" s="610" t="s">
        <v>2368</v>
      </c>
      <c r="AM1115" s="554"/>
      <c r="AN1115" s="554">
        <f t="shared" si="369"/>
        <v>3520</v>
      </c>
      <c r="AO1115" s="554"/>
      <c r="AP1115" s="554"/>
      <c r="AQ1115" s="554"/>
      <c r="AR1115" s="554">
        <f t="shared" si="373"/>
        <v>3520</v>
      </c>
      <c r="AS1115" s="554"/>
      <c r="AT1115" s="554"/>
      <c r="AU1115" s="554">
        <f t="shared" si="374"/>
        <v>3520</v>
      </c>
      <c r="AV1115" s="554"/>
      <c r="AW1115" s="554">
        <f t="shared" si="375"/>
        <v>3520</v>
      </c>
      <c r="AX1115" s="714"/>
      <c r="AY1115" s="554"/>
      <c r="AZ1115" s="554"/>
      <c r="BA1115" s="554"/>
      <c r="BB1115" s="554"/>
      <c r="BC1115" s="554"/>
      <c r="BD1115" s="554"/>
      <c r="BE1115" s="554"/>
      <c r="BF1115" s="554"/>
      <c r="BG1115" s="554"/>
      <c r="BH1115" s="825">
        <f>I1115/4</f>
        <v>880</v>
      </c>
      <c r="BI1115" s="554"/>
      <c r="BJ1115" s="554"/>
      <c r="BK1115" s="554"/>
      <c r="BL1115" s="554"/>
      <c r="BM1115" s="554"/>
      <c r="BN1115" s="554"/>
      <c r="BO1115" s="554"/>
      <c r="BP1115" s="554"/>
      <c r="BQ1115" s="554"/>
      <c r="BR1115" s="554"/>
      <c r="BS1115" s="554"/>
      <c r="BT1115" s="554"/>
      <c r="BU1115" s="554"/>
      <c r="BV1115" s="554"/>
      <c r="BW1115" s="554"/>
      <c r="BX1115" s="554"/>
      <c r="BY1115" s="554"/>
      <c r="BZ1115" s="554"/>
      <c r="CA1115" s="554"/>
      <c r="CB1115" s="554"/>
      <c r="CC1115" s="554"/>
      <c r="CD1115" s="554"/>
      <c r="CE1115" s="554"/>
      <c r="CF1115" s="554"/>
      <c r="CG1115" s="554"/>
      <c r="CH1115" s="619"/>
      <c r="CI1115" s="619"/>
      <c r="CJ1115" s="619"/>
      <c r="CK1115" s="619"/>
      <c r="CL1115" s="619"/>
      <c r="CM1115" s="554"/>
      <c r="CN1115" s="554"/>
      <c r="CO1115" s="554"/>
      <c r="CP1115" s="619"/>
      <c r="CQ1115" s="619"/>
      <c r="CR1115" s="619"/>
      <c r="CS1115" s="619"/>
      <c r="CT1115" s="619"/>
      <c r="CU1115" s="619"/>
      <c r="CV1115" s="1325"/>
    </row>
    <row r="1116" s="1267" customFormat="1" ht="31" customHeight="1" spans="1:100">
      <c r="A1116" s="608">
        <v>46136</v>
      </c>
      <c r="B1116" s="609" t="s">
        <v>143</v>
      </c>
      <c r="C1116" s="610" t="s">
        <v>98</v>
      </c>
      <c r="D1116" s="554">
        <v>4500203833</v>
      </c>
      <c r="E1116" s="1419" t="s">
        <v>4243</v>
      </c>
      <c r="F1116" s="554" t="s">
        <v>4244</v>
      </c>
      <c r="G1116" s="610" t="s">
        <v>101</v>
      </c>
      <c r="H1116" s="610" t="s">
        <v>102</v>
      </c>
      <c r="I1116" s="715">
        <v>2560</v>
      </c>
      <c r="J1116" s="610">
        <v>0</v>
      </c>
      <c r="K1116" s="610">
        <v>4</v>
      </c>
      <c r="L1116" s="611">
        <f t="shared" si="366"/>
        <v>640</v>
      </c>
      <c r="M1116" s="612">
        <v>46183</v>
      </c>
      <c r="N1116" s="612">
        <v>46179</v>
      </c>
      <c r="O1116" s="613" t="s">
        <v>4233</v>
      </c>
      <c r="P1116" s="610" t="s">
        <v>113</v>
      </c>
      <c r="Q1116" s="614" t="s">
        <v>4234</v>
      </c>
      <c r="R1116" s="614" t="s">
        <v>3066</v>
      </c>
      <c r="S1116" s="614" t="s">
        <v>70</v>
      </c>
      <c r="T1116" s="614" t="s">
        <v>4235</v>
      </c>
      <c r="U1116" s="614"/>
      <c r="V1116" s="614"/>
      <c r="W1116" s="609"/>
      <c r="X1116" s="609" t="s">
        <v>1172</v>
      </c>
      <c r="Y1116" s="616" t="s">
        <v>106</v>
      </c>
      <c r="Z1116" s="625">
        <v>2.615</v>
      </c>
      <c r="AA1116" s="616">
        <f t="shared" si="367"/>
        <v>6694.4</v>
      </c>
      <c r="AB1116" s="554"/>
      <c r="AC1116" s="629" t="s">
        <v>4245</v>
      </c>
      <c r="AD1116" s="610" t="s">
        <v>101</v>
      </c>
      <c r="AE1116" s="610" t="s">
        <v>82</v>
      </c>
      <c r="AF1116" s="610"/>
      <c r="AG1116" s="610"/>
      <c r="AH1116" s="610"/>
      <c r="AI1116" s="609">
        <v>2560</v>
      </c>
      <c r="AJ1116" s="613">
        <f t="shared" si="368"/>
        <v>0</v>
      </c>
      <c r="AK1116" s="610"/>
      <c r="AL1116" s="610" t="s">
        <v>2368</v>
      </c>
      <c r="AM1116" s="554"/>
      <c r="AN1116" s="554">
        <f t="shared" si="369"/>
        <v>2560</v>
      </c>
      <c r="AO1116" s="554"/>
      <c r="AP1116" s="554"/>
      <c r="AQ1116" s="554"/>
      <c r="AR1116" s="554">
        <f t="shared" si="373"/>
        <v>2560</v>
      </c>
      <c r="AS1116" s="554"/>
      <c r="AT1116" s="554"/>
      <c r="AU1116" s="554">
        <f t="shared" si="374"/>
        <v>2560</v>
      </c>
      <c r="AV1116" s="554"/>
      <c r="AW1116" s="554">
        <f t="shared" si="375"/>
        <v>2560</v>
      </c>
      <c r="AX1116" s="714"/>
      <c r="AY1116" s="554"/>
      <c r="AZ1116" s="554"/>
      <c r="BA1116" s="554"/>
      <c r="BB1116" s="554"/>
      <c r="BC1116" s="554"/>
      <c r="BD1116" s="554"/>
      <c r="BE1116" s="554"/>
      <c r="BF1116" s="554"/>
      <c r="BG1116" s="554"/>
      <c r="BH1116" s="825">
        <f>I1116/4</f>
        <v>640</v>
      </c>
      <c r="BI1116" s="554"/>
      <c r="BJ1116" s="554"/>
      <c r="BK1116" s="554"/>
      <c r="BL1116" s="554"/>
      <c r="BM1116" s="554"/>
      <c r="BN1116" s="554"/>
      <c r="BO1116" s="554"/>
      <c r="BP1116" s="554"/>
      <c r="BQ1116" s="554"/>
      <c r="BR1116" s="554"/>
      <c r="BS1116" s="554"/>
      <c r="BT1116" s="554"/>
      <c r="BU1116" s="554"/>
      <c r="BV1116" s="554"/>
      <c r="BW1116" s="554"/>
      <c r="BX1116" s="554"/>
      <c r="BY1116" s="554"/>
      <c r="BZ1116" s="554"/>
      <c r="CA1116" s="554"/>
      <c r="CB1116" s="554"/>
      <c r="CC1116" s="554"/>
      <c r="CD1116" s="554"/>
      <c r="CE1116" s="554"/>
      <c r="CF1116" s="554"/>
      <c r="CG1116" s="554"/>
      <c r="CH1116" s="619"/>
      <c r="CI1116" s="619"/>
      <c r="CJ1116" s="619"/>
      <c r="CK1116" s="619"/>
      <c r="CL1116" s="619"/>
      <c r="CM1116" s="554"/>
      <c r="CN1116" s="554"/>
      <c r="CO1116" s="554"/>
      <c r="CP1116" s="619"/>
      <c r="CQ1116" s="619"/>
      <c r="CR1116" s="619"/>
      <c r="CS1116" s="619"/>
      <c r="CT1116" s="619"/>
      <c r="CU1116" s="619"/>
      <c r="CV1116" s="1325"/>
    </row>
    <row r="1117" s="1267" customFormat="1" ht="31" customHeight="1" spans="1:100">
      <c r="A1117" s="608">
        <v>46136</v>
      </c>
      <c r="B1117" s="609" t="s">
        <v>143</v>
      </c>
      <c r="C1117" s="610" t="s">
        <v>98</v>
      </c>
      <c r="D1117" s="554">
        <v>4500203833</v>
      </c>
      <c r="E1117" s="1419" t="s">
        <v>4246</v>
      </c>
      <c r="F1117" s="554" t="s">
        <v>4247</v>
      </c>
      <c r="G1117" s="610" t="s">
        <v>101</v>
      </c>
      <c r="H1117" s="610" t="s">
        <v>102</v>
      </c>
      <c r="I1117" s="715">
        <v>4160</v>
      </c>
      <c r="J1117" s="610">
        <v>0</v>
      </c>
      <c r="K1117" s="610">
        <v>4</v>
      </c>
      <c r="L1117" s="611">
        <f t="shared" si="366"/>
        <v>1040</v>
      </c>
      <c r="M1117" s="612">
        <v>46183</v>
      </c>
      <c r="N1117" s="612">
        <v>46179</v>
      </c>
      <c r="O1117" s="613" t="s">
        <v>4233</v>
      </c>
      <c r="P1117" s="610" t="s">
        <v>113</v>
      </c>
      <c r="Q1117" s="614" t="s">
        <v>4248</v>
      </c>
      <c r="R1117" s="614" t="s">
        <v>3066</v>
      </c>
      <c r="S1117" s="614" t="s">
        <v>70</v>
      </c>
      <c r="T1117" s="614" t="s">
        <v>4235</v>
      </c>
      <c r="U1117" s="614"/>
      <c r="V1117" s="614"/>
      <c r="W1117" s="609"/>
      <c r="X1117" s="609" t="s">
        <v>1172</v>
      </c>
      <c r="Y1117" s="616" t="s">
        <v>106</v>
      </c>
      <c r="Z1117" s="625">
        <v>2.615</v>
      </c>
      <c r="AA1117" s="616">
        <f t="shared" si="367"/>
        <v>10878.4</v>
      </c>
      <c r="AB1117" s="554"/>
      <c r="AC1117" s="629" t="s">
        <v>4249</v>
      </c>
      <c r="AD1117" s="610" t="s">
        <v>101</v>
      </c>
      <c r="AE1117" s="610" t="s">
        <v>82</v>
      </c>
      <c r="AF1117" s="610"/>
      <c r="AG1117" s="610"/>
      <c r="AH1117" s="610"/>
      <c r="AI1117" s="609">
        <v>4160</v>
      </c>
      <c r="AJ1117" s="613">
        <f t="shared" si="368"/>
        <v>0</v>
      </c>
      <c r="AK1117" s="610"/>
      <c r="AL1117" s="610" t="s">
        <v>2368</v>
      </c>
      <c r="AM1117" s="554"/>
      <c r="AN1117" s="554">
        <f t="shared" si="369"/>
        <v>4160</v>
      </c>
      <c r="AO1117" s="554"/>
      <c r="AP1117" s="554"/>
      <c r="AQ1117" s="554"/>
      <c r="AR1117" s="554">
        <f t="shared" si="373"/>
        <v>4160</v>
      </c>
      <c r="AS1117" s="554"/>
      <c r="AT1117" s="554"/>
      <c r="AU1117" s="554">
        <f t="shared" si="374"/>
        <v>4160</v>
      </c>
      <c r="AV1117" s="554"/>
      <c r="AW1117" s="554">
        <f t="shared" si="375"/>
        <v>4160</v>
      </c>
      <c r="AX1117" s="714"/>
      <c r="AY1117" s="554"/>
      <c r="AZ1117" s="554"/>
      <c r="BA1117" s="554"/>
      <c r="BB1117" s="554"/>
      <c r="BC1117" s="554"/>
      <c r="BD1117" s="554"/>
      <c r="BE1117" s="554"/>
      <c r="BF1117" s="554"/>
      <c r="BG1117" s="554"/>
      <c r="BH1117" s="825">
        <f>I1117/4</f>
        <v>1040</v>
      </c>
      <c r="BI1117" s="554"/>
      <c r="BJ1117" s="554"/>
      <c r="BK1117" s="554"/>
      <c r="BL1117" s="554"/>
      <c r="BM1117" s="554"/>
      <c r="BN1117" s="554"/>
      <c r="BO1117" s="554"/>
      <c r="BP1117" s="554"/>
      <c r="BQ1117" s="554"/>
      <c r="BR1117" s="554"/>
      <c r="BS1117" s="554"/>
      <c r="BT1117" s="554"/>
      <c r="BU1117" s="554"/>
      <c r="BV1117" s="554"/>
      <c r="BW1117" s="554"/>
      <c r="BX1117" s="554"/>
      <c r="BY1117" s="554"/>
      <c r="BZ1117" s="554"/>
      <c r="CA1117" s="554"/>
      <c r="CB1117" s="554"/>
      <c r="CC1117" s="554"/>
      <c r="CD1117" s="554"/>
      <c r="CE1117" s="554"/>
      <c r="CF1117" s="554"/>
      <c r="CG1117" s="554"/>
      <c r="CH1117" s="619"/>
      <c r="CI1117" s="619"/>
      <c r="CJ1117" s="619"/>
      <c r="CK1117" s="619"/>
      <c r="CL1117" s="619"/>
      <c r="CM1117" s="554"/>
      <c r="CN1117" s="554"/>
      <c r="CO1117" s="554"/>
      <c r="CP1117" s="619"/>
      <c r="CQ1117" s="619"/>
      <c r="CR1117" s="619"/>
      <c r="CS1117" s="619"/>
      <c r="CT1117" s="619"/>
      <c r="CU1117" s="619"/>
      <c r="CV1117" s="1325"/>
    </row>
    <row r="1118" s="1267" customFormat="1" ht="31" customHeight="1" spans="1:100">
      <c r="A1118" s="608">
        <v>46135</v>
      </c>
      <c r="B1118" s="609" t="s">
        <v>120</v>
      </c>
      <c r="C1118" s="610" t="s">
        <v>98</v>
      </c>
      <c r="D1118" s="554" t="s">
        <v>4250</v>
      </c>
      <c r="E1118" s="610" t="s">
        <v>4251</v>
      </c>
      <c r="F1118" s="554" t="s">
        <v>4252</v>
      </c>
      <c r="G1118" s="610" t="s">
        <v>123</v>
      </c>
      <c r="H1118" s="610" t="s">
        <v>69</v>
      </c>
      <c r="I1118" s="715">
        <v>30000</v>
      </c>
      <c r="J1118" s="610">
        <v>0</v>
      </c>
      <c r="K1118" s="610">
        <v>12</v>
      </c>
      <c r="L1118" s="611">
        <f t="shared" si="366"/>
        <v>2500</v>
      </c>
      <c r="M1118" s="612">
        <v>46183</v>
      </c>
      <c r="N1118" s="612">
        <v>46179</v>
      </c>
      <c r="O1118" s="613"/>
      <c r="P1118" s="610" t="s">
        <v>113</v>
      </c>
      <c r="Q1118" s="614">
        <v>46203</v>
      </c>
      <c r="R1118" s="614">
        <v>46136</v>
      </c>
      <c r="S1118" s="614" t="s">
        <v>70</v>
      </c>
      <c r="T1118" s="614" t="s">
        <v>70</v>
      </c>
      <c r="U1118" s="614"/>
      <c r="V1118" s="614"/>
      <c r="W1118" s="609"/>
      <c r="X1118" s="609" t="s">
        <v>4253</v>
      </c>
      <c r="Y1118" s="616" t="s">
        <v>4254</v>
      </c>
      <c r="Z1118" s="625">
        <v>2.5205</v>
      </c>
      <c r="AA1118" s="616">
        <f t="shared" si="367"/>
        <v>75615</v>
      </c>
      <c r="AB1118" s="554"/>
      <c r="AC1118" s="629" t="s">
        <v>4255</v>
      </c>
      <c r="AD1118" s="610" t="s">
        <v>68</v>
      </c>
      <c r="AE1118" s="610" t="s">
        <v>82</v>
      </c>
      <c r="AF1118" s="610"/>
      <c r="AG1118" s="610"/>
      <c r="AH1118" s="610"/>
      <c r="AI1118" s="609">
        <f>12960+17004+36</f>
        <v>30000</v>
      </c>
      <c r="AJ1118" s="610">
        <f t="shared" si="368"/>
        <v>0</v>
      </c>
      <c r="AK1118" s="610"/>
      <c r="AL1118" s="610"/>
      <c r="AM1118" s="554"/>
      <c r="AN1118" s="554">
        <f t="shared" si="369"/>
        <v>30000</v>
      </c>
      <c r="AO1118" s="554"/>
      <c r="AP1118" s="554"/>
      <c r="AQ1118" s="554"/>
      <c r="AR1118" s="554">
        <f t="shared" si="373"/>
        <v>30000</v>
      </c>
      <c r="AS1118" s="554"/>
      <c r="AT1118" s="554"/>
      <c r="AU1118" s="554">
        <f t="shared" si="374"/>
        <v>30000</v>
      </c>
      <c r="AV1118" s="554"/>
      <c r="AW1118" s="554">
        <f t="shared" si="375"/>
        <v>30000</v>
      </c>
      <c r="AX1118" s="714"/>
      <c r="AY1118" s="554"/>
      <c r="AZ1118" s="554"/>
      <c r="BA1118" s="554"/>
      <c r="BB1118" s="554"/>
      <c r="BC1118" s="554"/>
      <c r="BD1118" s="554"/>
      <c r="BE1118" s="554"/>
      <c r="BF1118" s="554"/>
      <c r="BG1118" s="554"/>
      <c r="BH1118" s="554"/>
      <c r="BI1118" s="554"/>
      <c r="BJ1118" s="554"/>
      <c r="BK1118" s="554"/>
      <c r="BL1118" s="554"/>
      <c r="BM1118" s="554"/>
      <c r="BN1118" s="554"/>
      <c r="BO1118" s="554"/>
      <c r="BP1118" s="554"/>
      <c r="BQ1118" s="554"/>
      <c r="BR1118" s="554"/>
      <c r="BS1118" s="554"/>
      <c r="BT1118" s="554"/>
      <c r="BU1118" s="554"/>
      <c r="BV1118" s="554"/>
      <c r="BW1118" s="554"/>
      <c r="BX1118" s="554"/>
      <c r="BY1118" s="554"/>
      <c r="BZ1118" s="554"/>
      <c r="CA1118" s="554"/>
      <c r="CB1118" s="554"/>
      <c r="CC1118" s="554"/>
      <c r="CD1118" s="554"/>
      <c r="CE1118" s="554"/>
      <c r="CF1118" s="554"/>
      <c r="CG1118" s="554"/>
      <c r="CH1118" s="619"/>
      <c r="CI1118" s="619"/>
      <c r="CJ1118" s="619"/>
      <c r="CK1118" s="619"/>
      <c r="CL1118" s="619"/>
      <c r="CM1118" s="554"/>
      <c r="CN1118" s="554"/>
      <c r="CO1118" s="554"/>
      <c r="CP1118" s="619"/>
      <c r="CQ1118" s="619"/>
      <c r="CR1118" s="619"/>
      <c r="CS1118" s="619"/>
      <c r="CT1118" s="619"/>
      <c r="CU1118" s="619"/>
      <c r="CV1118" s="1325"/>
    </row>
    <row r="1119" s="1267" customFormat="1" ht="31" customHeight="1" spans="1:100">
      <c r="A1119" s="608">
        <v>46126</v>
      </c>
      <c r="B1119" s="609" t="s">
        <v>4256</v>
      </c>
      <c r="C1119" s="610" t="s">
        <v>375</v>
      </c>
      <c r="D1119" s="554">
        <v>4500200583</v>
      </c>
      <c r="E1119" s="610">
        <v>4100444913</v>
      </c>
      <c r="F1119" s="554" t="s">
        <v>4257</v>
      </c>
      <c r="G1119" s="610" t="s">
        <v>101</v>
      </c>
      <c r="H1119" s="610" t="s">
        <v>102</v>
      </c>
      <c r="I1119" s="715">
        <v>500</v>
      </c>
      <c r="J1119" s="610">
        <v>0</v>
      </c>
      <c r="K1119" s="610">
        <v>4</v>
      </c>
      <c r="L1119" s="611">
        <f t="shared" si="366"/>
        <v>125</v>
      </c>
      <c r="M1119" s="612">
        <v>46184</v>
      </c>
      <c r="N1119" s="612">
        <v>46181</v>
      </c>
      <c r="O1119" s="613"/>
      <c r="P1119" s="610" t="s">
        <v>113</v>
      </c>
      <c r="Q1119" s="614"/>
      <c r="R1119" s="614">
        <v>46142</v>
      </c>
      <c r="S1119" s="614" t="s">
        <v>70</v>
      </c>
      <c r="T1119" s="614" t="s">
        <v>4258</v>
      </c>
      <c r="U1119" s="614"/>
      <c r="V1119" s="614"/>
      <c r="W1119" s="609"/>
      <c r="X1119" s="609" t="s">
        <v>4259</v>
      </c>
      <c r="Y1119" s="616" t="s">
        <v>244</v>
      </c>
      <c r="Z1119" s="625">
        <v>4.4032</v>
      </c>
      <c r="AA1119" s="616">
        <f t="shared" si="367"/>
        <v>2201.6</v>
      </c>
      <c r="AB1119" s="554"/>
      <c r="AC1119" s="617"/>
      <c r="AD1119" s="610" t="s">
        <v>156</v>
      </c>
      <c r="AE1119" s="610" t="s">
        <v>82</v>
      </c>
      <c r="AF1119" s="610"/>
      <c r="AG1119" s="610"/>
      <c r="AH1119" s="610"/>
      <c r="AI1119" s="610">
        <v>500</v>
      </c>
      <c r="AJ1119" s="613">
        <f t="shared" si="368"/>
        <v>0</v>
      </c>
      <c r="AK1119" s="610"/>
      <c r="AL1119" s="610" t="s">
        <v>2368</v>
      </c>
      <c r="AM1119" s="554"/>
      <c r="AN1119" s="554">
        <f t="shared" si="369"/>
        <v>500</v>
      </c>
      <c r="AO1119" s="554"/>
      <c r="AP1119" s="554"/>
      <c r="AQ1119" s="554"/>
      <c r="AR1119" s="554"/>
      <c r="AS1119" s="554">
        <f>I1119</f>
        <v>500</v>
      </c>
      <c r="AT1119" s="554"/>
      <c r="AU1119" s="554">
        <f t="shared" si="374"/>
        <v>500</v>
      </c>
      <c r="AV1119" s="554"/>
      <c r="AW1119" s="554">
        <f t="shared" si="375"/>
        <v>500</v>
      </c>
      <c r="AX1119" s="714"/>
      <c r="AY1119" s="554"/>
      <c r="AZ1119" s="554"/>
      <c r="BA1119" s="554"/>
      <c r="BB1119" s="554"/>
      <c r="BC1119" s="554"/>
      <c r="BD1119" s="554"/>
      <c r="BE1119" s="554"/>
      <c r="BF1119" s="554"/>
      <c r="BG1119" s="554"/>
      <c r="BH1119" s="554"/>
      <c r="BI1119" s="554">
        <f>I1119/4</f>
        <v>125</v>
      </c>
      <c r="BJ1119" s="554"/>
      <c r="BK1119" s="554"/>
      <c r="BL1119" s="554"/>
      <c r="BM1119" s="554"/>
      <c r="BN1119" s="554"/>
      <c r="BO1119" s="554"/>
      <c r="BP1119" s="554"/>
      <c r="BQ1119" s="554"/>
      <c r="BR1119" s="554"/>
      <c r="BS1119" s="554"/>
      <c r="BT1119" s="554"/>
      <c r="BU1119" s="554"/>
      <c r="BV1119" s="554"/>
      <c r="BW1119" s="554"/>
      <c r="BX1119" s="554"/>
      <c r="BY1119" s="554"/>
      <c r="BZ1119" s="554"/>
      <c r="CA1119" s="554"/>
      <c r="CB1119" s="554"/>
      <c r="CC1119" s="554"/>
      <c r="CD1119" s="554"/>
      <c r="CE1119" s="554"/>
      <c r="CF1119" s="554"/>
      <c r="CG1119" s="554"/>
      <c r="CH1119" s="619"/>
      <c r="CI1119" s="619"/>
      <c r="CJ1119" s="619"/>
      <c r="CK1119" s="619"/>
      <c r="CL1119" s="619"/>
      <c r="CM1119" s="554"/>
      <c r="CN1119" s="554"/>
      <c r="CO1119" s="554"/>
      <c r="CP1119" s="619"/>
      <c r="CQ1119" s="619"/>
      <c r="CR1119" s="619"/>
      <c r="CS1119" s="619"/>
      <c r="CT1119" s="619"/>
      <c r="CU1119" s="619"/>
      <c r="CV1119" s="1325"/>
    </row>
    <row r="1120" s="1267" customFormat="1" ht="31" customHeight="1" spans="1:100">
      <c r="A1120" s="608">
        <v>46137</v>
      </c>
      <c r="B1120" s="609" t="s">
        <v>4260</v>
      </c>
      <c r="C1120" s="610" t="s">
        <v>524</v>
      </c>
      <c r="D1120" s="554" t="s">
        <v>4261</v>
      </c>
      <c r="E1120" s="610" t="s">
        <v>4262</v>
      </c>
      <c r="F1120" s="554" t="s">
        <v>4263</v>
      </c>
      <c r="G1120" s="610" t="s">
        <v>68</v>
      </c>
      <c r="H1120" s="610" t="s">
        <v>69</v>
      </c>
      <c r="I1120" s="715">
        <v>1320</v>
      </c>
      <c r="J1120" s="610">
        <v>0</v>
      </c>
      <c r="K1120" s="610">
        <v>12</v>
      </c>
      <c r="L1120" s="611">
        <f t="shared" si="366"/>
        <v>110</v>
      </c>
      <c r="M1120" s="612">
        <v>46185</v>
      </c>
      <c r="N1120" s="612">
        <v>46181</v>
      </c>
      <c r="O1120" s="613"/>
      <c r="P1120" s="610" t="s">
        <v>113</v>
      </c>
      <c r="Q1120" s="614"/>
      <c r="R1120" s="614">
        <v>46154</v>
      </c>
      <c r="S1120" s="614" t="s">
        <v>70</v>
      </c>
      <c r="T1120" s="614" t="s">
        <v>2877</v>
      </c>
      <c r="U1120" s="614"/>
      <c r="V1120" s="614"/>
      <c r="W1120" s="609"/>
      <c r="X1120" s="609" t="s">
        <v>4264</v>
      </c>
      <c r="Y1120" s="616" t="s">
        <v>340</v>
      </c>
      <c r="Z1120" s="625">
        <v>4.2622</v>
      </c>
      <c r="AA1120" s="616">
        <f t="shared" si="367"/>
        <v>5626.104</v>
      </c>
      <c r="AB1120" s="554"/>
      <c r="AC1120" s="617"/>
      <c r="AD1120" s="610" t="s">
        <v>184</v>
      </c>
      <c r="AE1120" s="610" t="s">
        <v>82</v>
      </c>
      <c r="AF1120" s="610"/>
      <c r="AG1120" s="610"/>
      <c r="AH1120" s="610"/>
      <c r="AI1120" s="609">
        <v>1320</v>
      </c>
      <c r="AJ1120" s="610">
        <f t="shared" si="368"/>
        <v>0</v>
      </c>
      <c r="AK1120" s="610"/>
      <c r="AL1120" s="610" t="s">
        <v>2368</v>
      </c>
      <c r="AM1120" s="554"/>
      <c r="AN1120" s="554">
        <f t="shared" si="369"/>
        <v>1320</v>
      </c>
      <c r="AO1120" s="554"/>
      <c r="AP1120" s="554"/>
      <c r="AQ1120" s="554"/>
      <c r="AR1120" s="554"/>
      <c r="AS1120" s="554">
        <f>I1120</f>
        <v>1320</v>
      </c>
      <c r="AT1120" s="554"/>
      <c r="AU1120" s="554">
        <f t="shared" si="374"/>
        <v>1320</v>
      </c>
      <c r="AV1120" s="554"/>
      <c r="AW1120" s="554">
        <f t="shared" si="375"/>
        <v>1320</v>
      </c>
      <c r="AX1120" s="714"/>
      <c r="AY1120" s="554"/>
      <c r="AZ1120" s="554"/>
      <c r="BA1120" s="554"/>
      <c r="BB1120" s="554"/>
      <c r="BC1120" s="554"/>
      <c r="BD1120" s="554"/>
      <c r="BE1120" s="554"/>
      <c r="BF1120" s="554"/>
      <c r="BG1120" s="554"/>
      <c r="BH1120" s="554"/>
      <c r="BI1120" s="554"/>
      <c r="BJ1120" s="554"/>
      <c r="BK1120" s="554"/>
      <c r="BL1120" s="554"/>
      <c r="BM1120" s="554"/>
      <c r="BN1120" s="554"/>
      <c r="BO1120" s="554"/>
      <c r="BP1120" s="554"/>
      <c r="BQ1120" s="554"/>
      <c r="BR1120" s="554"/>
      <c r="BS1120" s="554"/>
      <c r="BT1120" s="554"/>
      <c r="BU1120" s="554"/>
      <c r="BV1120" s="554"/>
      <c r="BW1120" s="554"/>
      <c r="BX1120" s="554"/>
      <c r="BY1120" s="554"/>
      <c r="BZ1120" s="554"/>
      <c r="CA1120" s="554"/>
      <c r="CB1120" s="554"/>
      <c r="CC1120" s="554"/>
      <c r="CD1120" s="554"/>
      <c r="CE1120" s="554"/>
      <c r="CF1120" s="554"/>
      <c r="CG1120" s="554"/>
      <c r="CH1120" s="619"/>
      <c r="CI1120" s="619"/>
      <c r="CJ1120" s="619"/>
      <c r="CK1120" s="619"/>
      <c r="CL1120" s="619"/>
      <c r="CM1120" s="554"/>
      <c r="CN1120" s="554"/>
      <c r="CO1120" s="554"/>
      <c r="CP1120" s="619"/>
      <c r="CQ1120" s="619"/>
      <c r="CR1120" s="619"/>
      <c r="CS1120" s="619"/>
      <c r="CT1120" s="619"/>
      <c r="CU1120" s="619"/>
      <c r="CV1120" s="1325"/>
    </row>
    <row r="1121" s="1266" customFormat="1" ht="31" customHeight="1" spans="1:100">
      <c r="A1121" s="641">
        <v>46125</v>
      </c>
      <c r="B1121" s="642" t="s">
        <v>549</v>
      </c>
      <c r="C1121" s="246" t="s">
        <v>278</v>
      </c>
      <c r="D1121" s="710">
        <v>4500201286</v>
      </c>
      <c r="E1121" s="246" t="s">
        <v>4265</v>
      </c>
      <c r="F1121" s="551" t="s">
        <v>4266</v>
      </c>
      <c r="G1121" s="246" t="s">
        <v>68</v>
      </c>
      <c r="H1121" s="246" t="s">
        <v>69</v>
      </c>
      <c r="I1121" s="706">
        <v>1524</v>
      </c>
      <c r="J1121" s="246">
        <v>0</v>
      </c>
      <c r="K1121" s="246">
        <v>12</v>
      </c>
      <c r="L1121" s="644">
        <f t="shared" si="366"/>
        <v>127</v>
      </c>
      <c r="M1121" s="645">
        <v>46188</v>
      </c>
      <c r="N1121" s="645">
        <v>46184</v>
      </c>
      <c r="O1121" s="643"/>
      <c r="P1121" s="246" t="s">
        <v>113</v>
      </c>
      <c r="Q1121" s="772">
        <v>46197</v>
      </c>
      <c r="R1121" s="646" t="s">
        <v>1992</v>
      </c>
      <c r="S1121" s="646" t="s">
        <v>104</v>
      </c>
      <c r="T1121" s="646" t="s">
        <v>4267</v>
      </c>
      <c r="U1121" s="646"/>
      <c r="V1121" s="646"/>
      <c r="W1121" s="642"/>
      <c r="X1121" s="642" t="s">
        <v>4268</v>
      </c>
      <c r="Y1121" s="647" t="s">
        <v>428</v>
      </c>
      <c r="Z1121" s="657">
        <v>4.2622</v>
      </c>
      <c r="AA1121" s="647">
        <f t="shared" si="367"/>
        <v>6495.5928</v>
      </c>
      <c r="AB1121" s="551"/>
      <c r="AC1121" s="648"/>
      <c r="AD1121" s="246" t="s">
        <v>184</v>
      </c>
      <c r="AE1121" s="246" t="s">
        <v>82</v>
      </c>
      <c r="AF1121" s="246"/>
      <c r="AG1121" s="246"/>
      <c r="AH1121" s="246"/>
      <c r="AI1121" s="642">
        <v>1524</v>
      </c>
      <c r="AJ1121" s="246">
        <f t="shared" si="368"/>
        <v>0</v>
      </c>
      <c r="AK1121" s="246"/>
      <c r="AL1121" s="246" t="s">
        <v>2368</v>
      </c>
      <c r="AM1121" s="551"/>
      <c r="AN1121" s="551">
        <f t="shared" si="369"/>
        <v>1524</v>
      </c>
      <c r="AO1121" s="551"/>
      <c r="AP1121" s="551"/>
      <c r="AQ1121" s="551"/>
      <c r="AR1121" s="551"/>
      <c r="AS1121" s="551">
        <f>I1121</f>
        <v>1524</v>
      </c>
      <c r="AT1121" s="551"/>
      <c r="AU1121" s="551">
        <f t="shared" si="374"/>
        <v>1524</v>
      </c>
      <c r="AV1121" s="551"/>
      <c r="AW1121" s="551">
        <f t="shared" si="375"/>
        <v>1524</v>
      </c>
      <c r="AX1121" s="651"/>
      <c r="AY1121" s="551"/>
      <c r="AZ1121" s="551"/>
      <c r="BA1121" s="551"/>
      <c r="BB1121" s="551"/>
      <c r="BC1121" s="551"/>
      <c r="BD1121" s="551"/>
      <c r="BE1121" s="551"/>
      <c r="BF1121" s="551"/>
      <c r="BG1121" s="551"/>
      <c r="BH1121" s="551"/>
      <c r="BI1121" s="551"/>
      <c r="BJ1121" s="551"/>
      <c r="BK1121" s="551"/>
      <c r="BL1121" s="551"/>
      <c r="BM1121" s="551"/>
      <c r="BN1121" s="551"/>
      <c r="BO1121" s="551"/>
      <c r="BP1121" s="551"/>
      <c r="BQ1121" s="551"/>
      <c r="BR1121" s="551"/>
      <c r="BS1121" s="551"/>
      <c r="BT1121" s="551"/>
      <c r="BU1121" s="551"/>
      <c r="BV1121" s="551"/>
      <c r="BW1121" s="551"/>
      <c r="BX1121" s="551"/>
      <c r="BY1121" s="551"/>
      <c r="BZ1121" s="551"/>
      <c r="CA1121" s="551"/>
      <c r="CB1121" s="551"/>
      <c r="CC1121" s="551"/>
      <c r="CD1121" s="551"/>
      <c r="CE1121" s="551"/>
      <c r="CF1121" s="551"/>
      <c r="CG1121" s="551"/>
      <c r="CH1121" s="650"/>
      <c r="CI1121" s="650"/>
      <c r="CJ1121" s="650"/>
      <c r="CK1121" s="650"/>
      <c r="CL1121" s="650"/>
      <c r="CM1121" s="551"/>
      <c r="CN1121" s="551"/>
      <c r="CO1121" s="551"/>
      <c r="CP1121" s="650"/>
      <c r="CQ1121" s="650"/>
      <c r="CR1121" s="650"/>
      <c r="CS1121" s="650"/>
      <c r="CT1121" s="650"/>
      <c r="CU1121" s="650"/>
      <c r="CV1121" s="1331"/>
    </row>
    <row r="1122" s="1267" customFormat="1" ht="31" customHeight="1" spans="1:100">
      <c r="A1122" s="608">
        <v>46135</v>
      </c>
      <c r="B1122" s="609" t="s">
        <v>1800</v>
      </c>
      <c r="C1122" s="610" t="s">
        <v>744</v>
      </c>
      <c r="D1122" s="1355">
        <v>4500198503</v>
      </c>
      <c r="E1122" s="610">
        <v>5000002156</v>
      </c>
      <c r="F1122" s="554" t="s">
        <v>4269</v>
      </c>
      <c r="G1122" s="623" t="s">
        <v>518</v>
      </c>
      <c r="H1122" s="610" t="s">
        <v>477</v>
      </c>
      <c r="I1122" s="715">
        <v>2400</v>
      </c>
      <c r="J1122" s="610">
        <v>0</v>
      </c>
      <c r="K1122" s="610">
        <v>6</v>
      </c>
      <c r="L1122" s="611">
        <f t="shared" si="366"/>
        <v>400</v>
      </c>
      <c r="M1122" s="612">
        <v>46184</v>
      </c>
      <c r="N1122" s="612">
        <v>46181</v>
      </c>
      <c r="O1122" s="613"/>
      <c r="P1122" s="613" t="s">
        <v>113</v>
      </c>
      <c r="Q1122" s="614"/>
      <c r="R1122" s="614" t="s">
        <v>3299</v>
      </c>
      <c r="S1122" s="614" t="s">
        <v>104</v>
      </c>
      <c r="T1122" s="614" t="s">
        <v>2239</v>
      </c>
      <c r="U1122" s="614"/>
      <c r="V1122" s="609"/>
      <c r="W1122" s="609"/>
      <c r="X1122" s="609" t="s">
        <v>3762</v>
      </c>
      <c r="Y1122" s="616" t="s">
        <v>1805</v>
      </c>
      <c r="Z1122" s="1345">
        <v>6.5546</v>
      </c>
      <c r="AA1122" s="616">
        <f t="shared" si="367"/>
        <v>15731.04</v>
      </c>
      <c r="AB1122" s="554"/>
      <c r="AC1122" s="617"/>
      <c r="AD1122" s="610" t="s">
        <v>2241</v>
      </c>
      <c r="AE1122" s="610" t="s">
        <v>82</v>
      </c>
      <c r="AF1122" s="610"/>
      <c r="AG1122" s="610"/>
      <c r="AH1122" s="610"/>
      <c r="AI1122" s="609"/>
      <c r="AJ1122" s="610">
        <f t="shared" si="368"/>
        <v>-2400</v>
      </c>
      <c r="AK1122" s="610"/>
      <c r="AL1122" s="610"/>
      <c r="AM1122" s="554"/>
      <c r="AN1122" s="554">
        <f t="shared" si="369"/>
        <v>2400</v>
      </c>
      <c r="AO1122" s="1325"/>
      <c r="AP1122" s="1325"/>
      <c r="AQ1122" s="1325"/>
      <c r="AR1122" s="554">
        <f>I1122</f>
        <v>2400</v>
      </c>
      <c r="AS1122" s="554"/>
      <c r="AT1122" s="554"/>
      <c r="AU1122" s="554"/>
      <c r="AV1122" s="554">
        <f>I1122</f>
        <v>2400</v>
      </c>
      <c r="AW1122" s="554"/>
      <c r="AX1122" s="714">
        <f>I1122</f>
        <v>2400</v>
      </c>
      <c r="AY1122" s="554"/>
      <c r="AZ1122" s="554"/>
      <c r="BA1122" s="554"/>
      <c r="BB1122" s="554"/>
      <c r="BC1122" s="554"/>
      <c r="BD1122" s="554"/>
      <c r="BE1122" s="554"/>
      <c r="BF1122" s="554"/>
      <c r="BG1122" s="554"/>
      <c r="BH1122" s="554"/>
      <c r="BI1122" s="554"/>
      <c r="BJ1122" s="554"/>
      <c r="BK1122" s="554"/>
      <c r="BL1122" s="554"/>
      <c r="BM1122" s="554"/>
      <c r="BN1122" s="554">
        <f>I1122</f>
        <v>2400</v>
      </c>
      <c r="BO1122" s="554"/>
      <c r="BP1122" s="554"/>
      <c r="BQ1122" s="554"/>
      <c r="BR1122" s="554"/>
      <c r="BS1122" s="554"/>
      <c r="BT1122" s="554"/>
      <c r="BU1122" s="554"/>
      <c r="BV1122" s="554"/>
      <c r="BW1122" s="554"/>
      <c r="BX1122" s="554"/>
      <c r="BY1122" s="554"/>
      <c r="BZ1122" s="554"/>
      <c r="CA1122" s="554"/>
      <c r="CB1122" s="554"/>
      <c r="CC1122" s="554"/>
      <c r="CD1122" s="554"/>
      <c r="CE1122" s="554"/>
      <c r="CF1122" s="554"/>
      <c r="CG1122" s="554"/>
      <c r="CH1122" s="619"/>
      <c r="CI1122" s="619"/>
      <c r="CJ1122" s="619"/>
      <c r="CK1122" s="619"/>
      <c r="CL1122" s="619"/>
      <c r="CM1122" s="554"/>
      <c r="CN1122" s="554"/>
      <c r="CO1122" s="554"/>
      <c r="CP1122" s="619"/>
      <c r="CQ1122" s="619"/>
      <c r="CR1122" s="619"/>
      <c r="CS1122" s="619"/>
      <c r="CT1122" s="619"/>
      <c r="CU1122" s="619"/>
      <c r="CV1122" s="1325"/>
    </row>
    <row r="1123" s="1267" customFormat="1" ht="31" customHeight="1" spans="1:100">
      <c r="A1123" s="608">
        <v>46134</v>
      </c>
      <c r="B1123" s="609" t="s">
        <v>3115</v>
      </c>
      <c r="C1123" s="610" t="s">
        <v>847</v>
      </c>
      <c r="D1123" s="554" t="s">
        <v>4270</v>
      </c>
      <c r="E1123" s="610" t="s">
        <v>4271</v>
      </c>
      <c r="F1123" s="554" t="s">
        <v>4272</v>
      </c>
      <c r="G1123" s="610" t="s">
        <v>156</v>
      </c>
      <c r="H1123" s="610" t="s">
        <v>102</v>
      </c>
      <c r="I1123" s="715">
        <v>1560</v>
      </c>
      <c r="J1123" s="610">
        <v>0</v>
      </c>
      <c r="K1123" s="610">
        <v>4</v>
      </c>
      <c r="L1123" s="611">
        <f t="shared" si="366"/>
        <v>390</v>
      </c>
      <c r="M1123" s="612">
        <v>46184</v>
      </c>
      <c r="N1123" s="612">
        <v>46181</v>
      </c>
      <c r="O1123" s="613"/>
      <c r="P1123" s="610" t="s">
        <v>113</v>
      </c>
      <c r="Q1123" s="614">
        <v>46191</v>
      </c>
      <c r="R1123" s="614">
        <v>46153</v>
      </c>
      <c r="S1123" s="614" t="s">
        <v>70</v>
      </c>
      <c r="T1123" s="614" t="s">
        <v>1911</v>
      </c>
      <c r="U1123" s="614"/>
      <c r="V1123" s="614"/>
      <c r="W1123" s="609"/>
      <c r="X1123" s="609" t="s">
        <v>4273</v>
      </c>
      <c r="Y1123" s="616" t="s">
        <v>3894</v>
      </c>
      <c r="Z1123" s="625">
        <v>4.4032</v>
      </c>
      <c r="AA1123" s="616">
        <f t="shared" si="367"/>
        <v>6868.992</v>
      </c>
      <c r="AB1123" s="554"/>
      <c r="AC1123" s="617"/>
      <c r="AD1123" s="610" t="s">
        <v>156</v>
      </c>
      <c r="AE1123" s="610" t="s">
        <v>82</v>
      </c>
      <c r="AF1123" s="610"/>
      <c r="AG1123" s="610"/>
      <c r="AH1123" s="610"/>
      <c r="AI1123" s="609">
        <v>1560</v>
      </c>
      <c r="AJ1123" s="610">
        <f t="shared" si="368"/>
        <v>0</v>
      </c>
      <c r="AK1123" s="610"/>
      <c r="AL1123" s="610" t="s">
        <v>454</v>
      </c>
      <c r="AM1123" s="554"/>
      <c r="AN1123" s="554">
        <f t="shared" si="369"/>
        <v>1560</v>
      </c>
      <c r="AO1123" s="554"/>
      <c r="AP1123" s="554"/>
      <c r="AQ1123" s="554"/>
      <c r="AR1123" s="554"/>
      <c r="AS1123" s="554">
        <f>I1123</f>
        <v>1560</v>
      </c>
      <c r="AT1123" s="554"/>
      <c r="AU1123" s="554">
        <f>I1123</f>
        <v>1560</v>
      </c>
      <c r="AV1123" s="554"/>
      <c r="AW1123" s="554">
        <f>I1123</f>
        <v>1560</v>
      </c>
      <c r="AX1123" s="714"/>
      <c r="AY1123" s="554"/>
      <c r="AZ1123" s="554"/>
      <c r="BA1123" s="554"/>
      <c r="BB1123" s="554"/>
      <c r="BC1123" s="554"/>
      <c r="BD1123" s="554"/>
      <c r="BE1123" s="554"/>
      <c r="BF1123" s="554"/>
      <c r="BG1123" s="554"/>
      <c r="BH1123" s="554"/>
      <c r="BI1123" s="554">
        <f>I1123/4</f>
        <v>390</v>
      </c>
      <c r="BJ1123" s="554"/>
      <c r="BK1123" s="554"/>
      <c r="BL1123" s="554"/>
      <c r="BM1123" s="554"/>
      <c r="BN1123" s="554"/>
      <c r="BO1123" s="554"/>
      <c r="BP1123" s="554"/>
      <c r="BQ1123" s="554"/>
      <c r="BR1123" s="554"/>
      <c r="BS1123" s="554"/>
      <c r="BT1123" s="554"/>
      <c r="BU1123" s="554"/>
      <c r="BV1123" s="554"/>
      <c r="BW1123" s="554"/>
      <c r="BX1123" s="554"/>
      <c r="BY1123" s="554"/>
      <c r="BZ1123" s="554"/>
      <c r="CA1123" s="554"/>
      <c r="CB1123" s="554"/>
      <c r="CC1123" s="554"/>
      <c r="CD1123" s="554"/>
      <c r="CE1123" s="554"/>
      <c r="CF1123" s="554"/>
      <c r="CG1123" s="554"/>
      <c r="CH1123" s="619"/>
      <c r="CI1123" s="619"/>
      <c r="CJ1123" s="619"/>
      <c r="CK1123" s="619"/>
      <c r="CL1123" s="619"/>
      <c r="CM1123" s="554"/>
      <c r="CN1123" s="554"/>
      <c r="CO1123" s="554"/>
      <c r="CP1123" s="619"/>
      <c r="CQ1123" s="619"/>
      <c r="CR1123" s="619"/>
      <c r="CS1123" s="619"/>
      <c r="CT1123" s="619"/>
      <c r="CU1123" s="619"/>
      <c r="CV1123" s="1325"/>
    </row>
    <row r="1124" s="1267" customFormat="1" ht="31" customHeight="1" spans="1:100">
      <c r="A1124" s="608">
        <v>46139</v>
      </c>
      <c r="B1124" s="609" t="s">
        <v>1906</v>
      </c>
      <c r="C1124" s="610" t="s">
        <v>154</v>
      </c>
      <c r="D1124" s="554" t="s">
        <v>4274</v>
      </c>
      <c r="E1124" s="610" t="s">
        <v>4275</v>
      </c>
      <c r="F1124" s="554" t="s">
        <v>4276</v>
      </c>
      <c r="G1124" s="610" t="s">
        <v>156</v>
      </c>
      <c r="H1124" s="610" t="s">
        <v>102</v>
      </c>
      <c r="I1124" s="715">
        <v>6000</v>
      </c>
      <c r="J1124" s="610">
        <v>0</v>
      </c>
      <c r="K1124" s="610">
        <v>4</v>
      </c>
      <c r="L1124" s="611">
        <f t="shared" si="366"/>
        <v>1500</v>
      </c>
      <c r="M1124" s="612">
        <v>46185</v>
      </c>
      <c r="N1124" s="612">
        <v>46181</v>
      </c>
      <c r="O1124" s="613"/>
      <c r="P1124" s="610" t="s">
        <v>113</v>
      </c>
      <c r="Q1124" s="614">
        <v>46185</v>
      </c>
      <c r="R1124" s="614">
        <v>46154</v>
      </c>
      <c r="S1124" s="614" t="s">
        <v>70</v>
      </c>
      <c r="T1124" s="614" t="s">
        <v>1911</v>
      </c>
      <c r="U1124" s="614"/>
      <c r="V1124" s="614"/>
      <c r="W1124" s="609"/>
      <c r="X1124" s="609" t="s">
        <v>4277</v>
      </c>
      <c r="Y1124" s="616" t="s">
        <v>3894</v>
      </c>
      <c r="Z1124" s="625">
        <v>4.3787</v>
      </c>
      <c r="AA1124" s="616">
        <f t="shared" si="367"/>
        <v>26272.2</v>
      </c>
      <c r="AB1124" s="554"/>
      <c r="AC1124" s="617"/>
      <c r="AD1124" s="610" t="s">
        <v>156</v>
      </c>
      <c r="AE1124" s="610" t="s">
        <v>82</v>
      </c>
      <c r="AF1124" s="610"/>
      <c r="AG1124" s="610"/>
      <c r="AH1124" s="610"/>
      <c r="AI1124" s="609">
        <v>6000</v>
      </c>
      <c r="AJ1124" s="610">
        <f t="shared" si="368"/>
        <v>0</v>
      </c>
      <c r="AK1124" s="610"/>
      <c r="AL1124" s="610" t="s">
        <v>2368</v>
      </c>
      <c r="AM1124" s="554"/>
      <c r="AN1124" s="554">
        <f t="shared" si="369"/>
        <v>6000</v>
      </c>
      <c r="AO1124" s="554"/>
      <c r="AP1124" s="554"/>
      <c r="AQ1124" s="554"/>
      <c r="AR1124" s="554"/>
      <c r="AS1124" s="554">
        <f>I1124</f>
        <v>6000</v>
      </c>
      <c r="AT1124" s="554"/>
      <c r="AU1124" s="554">
        <f>I1124</f>
        <v>6000</v>
      </c>
      <c r="AV1124" s="554"/>
      <c r="AW1124" s="554">
        <f>I1124</f>
        <v>6000</v>
      </c>
      <c r="AX1124" s="714"/>
      <c r="AY1124" s="554"/>
      <c r="AZ1124" s="554"/>
      <c r="BA1124" s="554"/>
      <c r="BB1124" s="554"/>
      <c r="BC1124" s="554"/>
      <c r="BD1124" s="554"/>
      <c r="BE1124" s="554"/>
      <c r="BF1124" s="554"/>
      <c r="BG1124" s="554"/>
      <c r="BH1124" s="554"/>
      <c r="BI1124" s="554">
        <f>I1124/4</f>
        <v>1500</v>
      </c>
      <c r="BJ1124" s="554"/>
      <c r="BK1124" s="554"/>
      <c r="BL1124" s="554"/>
      <c r="BM1124" s="554"/>
      <c r="BN1124" s="554"/>
      <c r="BO1124" s="554"/>
      <c r="BP1124" s="554"/>
      <c r="BQ1124" s="554"/>
      <c r="BR1124" s="554"/>
      <c r="BS1124" s="554"/>
      <c r="BT1124" s="554"/>
      <c r="BU1124" s="554"/>
      <c r="BV1124" s="554"/>
      <c r="BW1124" s="554"/>
      <c r="BX1124" s="554"/>
      <c r="BY1124" s="554"/>
      <c r="BZ1124" s="554"/>
      <c r="CA1124" s="554"/>
      <c r="CB1124" s="554"/>
      <c r="CC1124" s="554"/>
      <c r="CD1124" s="554"/>
      <c r="CE1124" s="554"/>
      <c r="CF1124" s="554"/>
      <c r="CG1124" s="554"/>
      <c r="CH1124" s="619"/>
      <c r="CI1124" s="619"/>
      <c r="CJ1124" s="619"/>
      <c r="CK1124" s="619"/>
      <c r="CL1124" s="619"/>
      <c r="CM1124" s="554"/>
      <c r="CN1124" s="554"/>
      <c r="CO1124" s="554"/>
      <c r="CP1124" s="619"/>
      <c r="CQ1124" s="619"/>
      <c r="CR1124" s="619"/>
      <c r="CS1124" s="619"/>
      <c r="CT1124" s="619"/>
      <c r="CU1124" s="619"/>
      <c r="CV1124" s="1325"/>
    </row>
    <row r="1125" s="1267" customFormat="1" ht="31" customHeight="1" spans="1:100">
      <c r="A1125" s="608">
        <v>46148</v>
      </c>
      <c r="B1125" s="609" t="s">
        <v>3996</v>
      </c>
      <c r="C1125" s="610" t="s">
        <v>278</v>
      </c>
      <c r="D1125" s="554" t="s">
        <v>4278</v>
      </c>
      <c r="E1125" s="610" t="s">
        <v>4279</v>
      </c>
      <c r="F1125" s="554" t="s">
        <v>4280</v>
      </c>
      <c r="G1125" s="610" t="s">
        <v>518</v>
      </c>
      <c r="H1125" s="610" t="s">
        <v>477</v>
      </c>
      <c r="I1125" s="715">
        <v>2004</v>
      </c>
      <c r="J1125" s="610">
        <v>0</v>
      </c>
      <c r="K1125" s="610">
        <v>6</v>
      </c>
      <c r="L1125" s="611">
        <f t="shared" si="366"/>
        <v>334</v>
      </c>
      <c r="M1125" s="612">
        <v>46188</v>
      </c>
      <c r="N1125" s="612">
        <v>46184</v>
      </c>
      <c r="O1125" s="613"/>
      <c r="P1125" s="610" t="s">
        <v>113</v>
      </c>
      <c r="Q1125" s="614">
        <v>46211</v>
      </c>
      <c r="R1125" s="614">
        <v>46151</v>
      </c>
      <c r="S1125" s="614" t="s">
        <v>70</v>
      </c>
      <c r="T1125" s="614" t="s">
        <v>4281</v>
      </c>
      <c r="U1125" s="614"/>
      <c r="V1125" s="614"/>
      <c r="W1125" s="609"/>
      <c r="X1125" s="738" t="s">
        <v>4282</v>
      </c>
      <c r="Y1125" s="616" t="s">
        <v>1894</v>
      </c>
      <c r="Z1125" s="625">
        <v>6.8949</v>
      </c>
      <c r="AA1125" s="616">
        <f t="shared" si="367"/>
        <v>13817.3796</v>
      </c>
      <c r="AB1125" s="554"/>
      <c r="AC1125" s="617"/>
      <c r="AD1125" s="610" t="s">
        <v>480</v>
      </c>
      <c r="AE1125" s="610" t="s">
        <v>82</v>
      </c>
      <c r="AF1125" s="610"/>
      <c r="AG1125" s="610"/>
      <c r="AH1125" s="610"/>
      <c r="AI1125" s="609"/>
      <c r="AJ1125" s="610">
        <f t="shared" si="368"/>
        <v>-2004</v>
      </c>
      <c r="AK1125" s="610"/>
      <c r="AL1125" s="610"/>
      <c r="AM1125" s="554"/>
      <c r="AN1125" s="554">
        <f t="shared" si="369"/>
        <v>2004</v>
      </c>
      <c r="AO1125" s="554"/>
      <c r="AP1125" s="554"/>
      <c r="AQ1125" s="554"/>
      <c r="AR1125" s="554"/>
      <c r="AS1125" s="554">
        <f>I1125</f>
        <v>2004</v>
      </c>
      <c r="AT1125" s="554"/>
      <c r="AU1125" s="554">
        <f>I1125</f>
        <v>2004</v>
      </c>
      <c r="AV1125" s="554"/>
      <c r="AW1125" s="554">
        <f>I1125</f>
        <v>2004</v>
      </c>
      <c r="AX1125" s="714"/>
      <c r="AY1125" s="554"/>
      <c r="AZ1125" s="554"/>
      <c r="BA1125" s="554"/>
      <c r="BB1125" s="554"/>
      <c r="BC1125" s="554"/>
      <c r="BD1125" s="554"/>
      <c r="BE1125" s="554"/>
      <c r="BF1125" s="554"/>
      <c r="BG1125" s="554"/>
      <c r="BH1125" s="554"/>
      <c r="BI1125" s="554"/>
      <c r="BJ1125" s="554"/>
      <c r="BK1125" s="554"/>
      <c r="BL1125" s="554"/>
      <c r="BM1125" s="554"/>
      <c r="BN1125" s="554">
        <f>I1125</f>
        <v>2004</v>
      </c>
      <c r="BO1125" s="554"/>
      <c r="BP1125" s="554"/>
      <c r="BQ1125" s="554"/>
      <c r="BR1125" s="554"/>
      <c r="BS1125" s="554"/>
      <c r="BT1125" s="554"/>
      <c r="BU1125" s="554"/>
      <c r="BV1125" s="554"/>
      <c r="BW1125" s="554"/>
      <c r="BX1125" s="554"/>
      <c r="BY1125" s="554"/>
      <c r="BZ1125" s="554"/>
      <c r="CA1125" s="554"/>
      <c r="CB1125" s="554"/>
      <c r="CC1125" s="554"/>
      <c r="CD1125" s="554"/>
      <c r="CE1125" s="554"/>
      <c r="CF1125" s="554"/>
      <c r="CG1125" s="554"/>
      <c r="CH1125" s="619"/>
      <c r="CI1125" s="619"/>
      <c r="CJ1125" s="619"/>
      <c r="CK1125" s="619"/>
      <c r="CL1125" s="619"/>
      <c r="CM1125" s="554"/>
      <c r="CN1125" s="554"/>
      <c r="CO1125" s="554"/>
      <c r="CP1125" s="619"/>
      <c r="CQ1125" s="619"/>
      <c r="CR1125" s="619"/>
      <c r="CS1125" s="619"/>
      <c r="CT1125" s="619"/>
      <c r="CU1125" s="619"/>
      <c r="CV1125" s="1325"/>
    </row>
    <row r="1126" s="1267" customFormat="1" ht="31" customHeight="1" spans="1:100">
      <c r="A1126" s="608">
        <v>46148</v>
      </c>
      <c r="B1126" s="609" t="s">
        <v>3996</v>
      </c>
      <c r="C1126" s="610" t="s">
        <v>278</v>
      </c>
      <c r="D1126" s="554" t="s">
        <v>4278</v>
      </c>
      <c r="E1126" s="610" t="s">
        <v>4283</v>
      </c>
      <c r="F1126" s="554" t="s">
        <v>4284</v>
      </c>
      <c r="G1126" s="610" t="s">
        <v>518</v>
      </c>
      <c r="H1126" s="610" t="s">
        <v>477</v>
      </c>
      <c r="I1126" s="715">
        <v>2004</v>
      </c>
      <c r="J1126" s="610">
        <v>0</v>
      </c>
      <c r="K1126" s="610">
        <v>6</v>
      </c>
      <c r="L1126" s="611">
        <f t="shared" si="366"/>
        <v>334</v>
      </c>
      <c r="M1126" s="612">
        <v>46188</v>
      </c>
      <c r="N1126" s="612">
        <v>46184</v>
      </c>
      <c r="O1126" s="613"/>
      <c r="P1126" s="610" t="s">
        <v>113</v>
      </c>
      <c r="Q1126" s="614">
        <v>46197</v>
      </c>
      <c r="R1126" s="614">
        <v>46151</v>
      </c>
      <c r="S1126" s="614" t="s">
        <v>70</v>
      </c>
      <c r="T1126" s="614" t="s">
        <v>4281</v>
      </c>
      <c r="U1126" s="614"/>
      <c r="V1126" s="614"/>
      <c r="W1126" s="609"/>
      <c r="X1126" s="738" t="s">
        <v>4282</v>
      </c>
      <c r="Y1126" s="616" t="s">
        <v>1894</v>
      </c>
      <c r="Z1126" s="625">
        <v>6.8949</v>
      </c>
      <c r="AA1126" s="616">
        <f t="shared" si="367"/>
        <v>13817.3796</v>
      </c>
      <c r="AB1126" s="554"/>
      <c r="AC1126" s="617"/>
      <c r="AD1126" s="610" t="s">
        <v>480</v>
      </c>
      <c r="AE1126" s="610" t="s">
        <v>82</v>
      </c>
      <c r="AF1126" s="610"/>
      <c r="AG1126" s="610"/>
      <c r="AH1126" s="610"/>
      <c r="AI1126" s="609"/>
      <c r="AJ1126" s="610">
        <f t="shared" si="368"/>
        <v>-2004</v>
      </c>
      <c r="AK1126" s="610"/>
      <c r="AL1126" s="610"/>
      <c r="AM1126" s="554"/>
      <c r="AN1126" s="554">
        <f t="shared" si="369"/>
        <v>2004</v>
      </c>
      <c r="AO1126" s="554"/>
      <c r="AP1126" s="554"/>
      <c r="AQ1126" s="554"/>
      <c r="AR1126" s="554"/>
      <c r="AS1126" s="554">
        <f>I1126</f>
        <v>2004</v>
      </c>
      <c r="AT1126" s="554"/>
      <c r="AU1126" s="554">
        <f>I1126</f>
        <v>2004</v>
      </c>
      <c r="AV1126" s="554"/>
      <c r="AW1126" s="554">
        <f>I1126</f>
        <v>2004</v>
      </c>
      <c r="AX1126" s="714"/>
      <c r="AY1126" s="554"/>
      <c r="AZ1126" s="554"/>
      <c r="BA1126" s="554"/>
      <c r="BB1126" s="554"/>
      <c r="BC1126" s="554"/>
      <c r="BD1126" s="554"/>
      <c r="BE1126" s="554"/>
      <c r="BF1126" s="554"/>
      <c r="BG1126" s="554"/>
      <c r="BH1126" s="554"/>
      <c r="BI1126" s="554"/>
      <c r="BJ1126" s="554"/>
      <c r="BK1126" s="554"/>
      <c r="BL1126" s="554"/>
      <c r="BM1126" s="554"/>
      <c r="BN1126" s="554">
        <f>I1126</f>
        <v>2004</v>
      </c>
      <c r="BO1126" s="554"/>
      <c r="BP1126" s="554"/>
      <c r="BQ1126" s="554"/>
      <c r="BR1126" s="554"/>
      <c r="BS1126" s="554"/>
      <c r="BT1126" s="554"/>
      <c r="BU1126" s="554"/>
      <c r="BV1126" s="554"/>
      <c r="BW1126" s="554"/>
      <c r="BX1126" s="554"/>
      <c r="BY1126" s="554"/>
      <c r="BZ1126" s="554"/>
      <c r="CA1126" s="554"/>
      <c r="CB1126" s="554"/>
      <c r="CC1126" s="554"/>
      <c r="CD1126" s="554"/>
      <c r="CE1126" s="554"/>
      <c r="CF1126" s="554"/>
      <c r="CG1126" s="554"/>
      <c r="CH1126" s="619"/>
      <c r="CI1126" s="619"/>
      <c r="CJ1126" s="619"/>
      <c r="CK1126" s="619"/>
      <c r="CL1126" s="619"/>
      <c r="CM1126" s="554"/>
      <c r="CN1126" s="554"/>
      <c r="CO1126" s="554"/>
      <c r="CP1126" s="619"/>
      <c r="CQ1126" s="619"/>
      <c r="CR1126" s="619"/>
      <c r="CS1126" s="619"/>
      <c r="CT1126" s="619"/>
      <c r="CU1126" s="619"/>
      <c r="CV1126" s="1325"/>
    </row>
    <row r="1127" s="1266" customFormat="1" ht="31" customHeight="1" spans="1:100">
      <c r="A1127" s="641">
        <v>46142</v>
      </c>
      <c r="B1127" s="642" t="s">
        <v>1800</v>
      </c>
      <c r="C1127" s="246" t="s">
        <v>744</v>
      </c>
      <c r="D1127" s="551" t="s">
        <v>4285</v>
      </c>
      <c r="E1127" s="246" t="s">
        <v>4286</v>
      </c>
      <c r="F1127" s="551" t="s">
        <v>4287</v>
      </c>
      <c r="G1127" s="246" t="s">
        <v>518</v>
      </c>
      <c r="H1127" s="246" t="s">
        <v>477</v>
      </c>
      <c r="I1127" s="706">
        <v>6204</v>
      </c>
      <c r="J1127" s="246">
        <v>0</v>
      </c>
      <c r="K1127" s="246">
        <v>6</v>
      </c>
      <c r="L1127" s="644">
        <f t="shared" si="366"/>
        <v>1034</v>
      </c>
      <c r="M1127" s="645">
        <v>46192</v>
      </c>
      <c r="N1127" s="645">
        <v>46188</v>
      </c>
      <c r="O1127" s="643"/>
      <c r="P1127" s="246" t="s">
        <v>113</v>
      </c>
      <c r="Q1127" s="646"/>
      <c r="R1127" s="646" t="s">
        <v>3299</v>
      </c>
      <c r="S1127" s="646" t="s">
        <v>104</v>
      </c>
      <c r="T1127" s="646" t="s">
        <v>2239</v>
      </c>
      <c r="U1127" s="646"/>
      <c r="V1127" s="646"/>
      <c r="W1127" s="642"/>
      <c r="X1127" s="642" t="s">
        <v>4288</v>
      </c>
      <c r="Y1127" s="647" t="s">
        <v>1805</v>
      </c>
      <c r="Z1127" s="657">
        <v>6.6361</v>
      </c>
      <c r="AA1127" s="647">
        <f t="shared" si="367"/>
        <v>41170.3644</v>
      </c>
      <c r="AB1127" s="551"/>
      <c r="AC1127" s="648"/>
      <c r="AD1127" s="246" t="s">
        <v>2241</v>
      </c>
      <c r="AE1127" s="246" t="s">
        <v>82</v>
      </c>
      <c r="AF1127" s="246"/>
      <c r="AG1127" s="246"/>
      <c r="AH1127" s="246"/>
      <c r="AI1127" s="642"/>
      <c r="AJ1127" s="246">
        <f t="shared" si="368"/>
        <v>-6204</v>
      </c>
      <c r="AK1127" s="246"/>
      <c r="AL1127" s="246"/>
      <c r="AM1127" s="551"/>
      <c r="AN1127" s="551">
        <f t="shared" si="369"/>
        <v>6204</v>
      </c>
      <c r="AO1127" s="551"/>
      <c r="AP1127" s="551"/>
      <c r="AQ1127" s="551"/>
      <c r="AR1127" s="551">
        <f>I1127</f>
        <v>6204</v>
      </c>
      <c r="AS1127" s="551"/>
      <c r="AT1127" s="551"/>
      <c r="AU1127" s="551"/>
      <c r="AV1127" s="551">
        <f>I1127</f>
        <v>6204</v>
      </c>
      <c r="AW1127" s="551"/>
      <c r="AX1127" s="651">
        <f>I1127</f>
        <v>6204</v>
      </c>
      <c r="AY1127" s="551"/>
      <c r="AZ1127" s="551"/>
      <c r="BA1127" s="551"/>
      <c r="BB1127" s="551"/>
      <c r="BC1127" s="551"/>
      <c r="BD1127" s="551"/>
      <c r="BE1127" s="551"/>
      <c r="BF1127" s="551"/>
      <c r="BG1127" s="551"/>
      <c r="BH1127" s="551"/>
      <c r="BI1127" s="551"/>
      <c r="BJ1127" s="551"/>
      <c r="BK1127" s="551"/>
      <c r="BL1127" s="551"/>
      <c r="BM1127" s="551"/>
      <c r="BN1127" s="551">
        <f>I1127</f>
        <v>6204</v>
      </c>
      <c r="BO1127" s="551"/>
      <c r="BP1127" s="551"/>
      <c r="BQ1127" s="551"/>
      <c r="BR1127" s="551"/>
      <c r="BS1127" s="551"/>
      <c r="BT1127" s="551"/>
      <c r="BU1127" s="551"/>
      <c r="BV1127" s="551"/>
      <c r="BW1127" s="551"/>
      <c r="BX1127" s="551"/>
      <c r="BY1127" s="551"/>
      <c r="BZ1127" s="551"/>
      <c r="CA1127" s="551"/>
      <c r="CB1127" s="551"/>
      <c r="CC1127" s="551"/>
      <c r="CD1127" s="551"/>
      <c r="CE1127" s="551"/>
      <c r="CF1127" s="551"/>
      <c r="CG1127" s="551"/>
      <c r="CH1127" s="650"/>
      <c r="CI1127" s="650"/>
      <c r="CJ1127" s="650"/>
      <c r="CK1127" s="650"/>
      <c r="CL1127" s="650"/>
      <c r="CM1127" s="551"/>
      <c r="CN1127" s="551"/>
      <c r="CO1127" s="551"/>
      <c r="CP1127" s="650"/>
      <c r="CQ1127" s="650"/>
      <c r="CR1127" s="650"/>
      <c r="CS1127" s="650"/>
      <c r="CT1127" s="650"/>
      <c r="CU1127" s="650"/>
      <c r="CV1127" s="1331"/>
    </row>
    <row r="1128" s="1268" customFormat="1" ht="31" customHeight="1" spans="1:100">
      <c r="A1128" s="778">
        <v>46140</v>
      </c>
      <c r="B1128" s="779" t="s">
        <v>4289</v>
      </c>
      <c r="C1128" s="780" t="s">
        <v>1101</v>
      </c>
      <c r="D1128" s="783" t="s">
        <v>4290</v>
      </c>
      <c r="E1128" s="1421" t="s">
        <v>4291</v>
      </c>
      <c r="F1128" s="783" t="s">
        <v>4292</v>
      </c>
      <c r="G1128" s="780" t="s">
        <v>111</v>
      </c>
      <c r="H1128" s="780" t="s">
        <v>112</v>
      </c>
      <c r="I1128" s="784">
        <v>12000</v>
      </c>
      <c r="J1128" s="780">
        <v>0</v>
      </c>
      <c r="K1128" s="780">
        <v>16</v>
      </c>
      <c r="L1128" s="785">
        <f t="shared" si="366"/>
        <v>750</v>
      </c>
      <c r="M1128" s="786">
        <v>46188</v>
      </c>
      <c r="N1128" s="786">
        <v>46184</v>
      </c>
      <c r="O1128" s="782"/>
      <c r="P1128" s="780" t="s">
        <v>113</v>
      </c>
      <c r="Q1128" s="787">
        <v>46218</v>
      </c>
      <c r="R1128" s="787">
        <v>46156</v>
      </c>
      <c r="S1128" s="787" t="s">
        <v>70</v>
      </c>
      <c r="T1128" s="787" t="s">
        <v>4293</v>
      </c>
      <c r="U1128" s="787"/>
      <c r="V1128" s="1356" t="s">
        <v>4294</v>
      </c>
      <c r="W1128" s="1357" t="s">
        <v>4295</v>
      </c>
      <c r="X1128" s="810" t="s">
        <v>4296</v>
      </c>
      <c r="Y1128" s="789" t="s">
        <v>217</v>
      </c>
      <c r="Z1128" s="811">
        <v>4.3115</v>
      </c>
      <c r="AA1128" s="789">
        <f t="shared" si="367"/>
        <v>51738</v>
      </c>
      <c r="AB1128" s="783"/>
      <c r="AC1128" s="814"/>
      <c r="AD1128" s="780" t="s">
        <v>111</v>
      </c>
      <c r="AE1128" s="780" t="s">
        <v>82</v>
      </c>
      <c r="AF1128" s="780"/>
      <c r="AG1128" s="780"/>
      <c r="AH1128" s="780"/>
      <c r="AI1128" s="779">
        <f>11632+368</f>
        <v>12000</v>
      </c>
      <c r="AJ1128" s="782">
        <f t="shared" si="368"/>
        <v>0</v>
      </c>
      <c r="AK1128" s="780"/>
      <c r="AL1128" s="780" t="s">
        <v>2368</v>
      </c>
      <c r="AM1128" s="783"/>
      <c r="AN1128" s="783">
        <f t="shared" si="369"/>
        <v>12000</v>
      </c>
      <c r="AO1128" s="783"/>
      <c r="AP1128" s="783"/>
      <c r="AQ1128" s="783"/>
      <c r="AR1128" s="783">
        <f>I1128</f>
        <v>12000</v>
      </c>
      <c r="AS1128" s="783"/>
      <c r="AT1128" s="783"/>
      <c r="AU1128" s="783">
        <f>I1128</f>
        <v>12000</v>
      </c>
      <c r="AV1128" s="783"/>
      <c r="AW1128" s="783">
        <f>I1128</f>
        <v>12000</v>
      </c>
      <c r="AX1128" s="792"/>
      <c r="AY1128" s="783"/>
      <c r="AZ1128" s="783"/>
      <c r="BA1128" s="783"/>
      <c r="BB1128" s="783"/>
      <c r="BC1128" s="783"/>
      <c r="BD1128" s="783"/>
      <c r="BE1128" s="783"/>
      <c r="BF1128" s="783"/>
      <c r="BG1128" s="783"/>
      <c r="BH1128" s="783">
        <f>I1128/4</f>
        <v>3000</v>
      </c>
      <c r="BI1128" s="783"/>
      <c r="BJ1128" s="783"/>
      <c r="BK1128" s="783"/>
      <c r="BL1128" s="783"/>
      <c r="BM1128" s="783"/>
      <c r="BN1128" s="783"/>
      <c r="BO1128" s="783"/>
      <c r="BP1128" s="783"/>
      <c r="BQ1128" s="783"/>
      <c r="BR1128" s="783"/>
      <c r="BS1128" s="783"/>
      <c r="BT1128" s="783"/>
      <c r="BU1128" s="783"/>
      <c r="BV1128" s="783"/>
      <c r="BW1128" s="783"/>
      <c r="BX1128" s="783"/>
      <c r="BY1128" s="783"/>
      <c r="BZ1128" s="783"/>
      <c r="CA1128" s="783"/>
      <c r="CB1128" s="783"/>
      <c r="CC1128" s="783"/>
      <c r="CD1128" s="783"/>
      <c r="CE1128" s="783"/>
      <c r="CF1128" s="783"/>
      <c r="CG1128" s="783"/>
      <c r="CH1128" s="797"/>
      <c r="CI1128" s="797"/>
      <c r="CJ1128" s="797"/>
      <c r="CK1128" s="797"/>
      <c r="CL1128" s="797"/>
      <c r="CM1128" s="783"/>
      <c r="CN1128" s="783"/>
      <c r="CO1128" s="783"/>
      <c r="CP1128" s="797"/>
      <c r="CQ1128" s="797"/>
      <c r="CR1128" s="797"/>
      <c r="CS1128" s="797"/>
      <c r="CT1128" s="797"/>
      <c r="CU1128" s="797"/>
      <c r="CV1128" s="1358"/>
    </row>
    <row r="1129" s="1267" customFormat="1" ht="31" customHeight="1" spans="1:100">
      <c r="A1129" s="608">
        <v>46135</v>
      </c>
      <c r="B1129" s="609" t="s">
        <v>1800</v>
      </c>
      <c r="C1129" s="610" t="s">
        <v>744</v>
      </c>
      <c r="D1129" s="554" t="s">
        <v>4297</v>
      </c>
      <c r="E1129" s="610" t="s">
        <v>4298</v>
      </c>
      <c r="F1129" s="554" t="s">
        <v>4299</v>
      </c>
      <c r="G1129" s="623" t="s">
        <v>130</v>
      </c>
      <c r="H1129" s="610" t="s">
        <v>131</v>
      </c>
      <c r="I1129" s="715">
        <v>5400</v>
      </c>
      <c r="J1129" s="610">
        <v>0</v>
      </c>
      <c r="K1129" s="610">
        <v>6</v>
      </c>
      <c r="L1129" s="611">
        <f t="shared" si="366"/>
        <v>900</v>
      </c>
      <c r="M1129" s="612">
        <v>46184</v>
      </c>
      <c r="N1129" s="724">
        <v>46184</v>
      </c>
      <c r="O1129" s="613"/>
      <c r="P1129" s="610" t="s">
        <v>113</v>
      </c>
      <c r="Q1129" s="614"/>
      <c r="R1129" s="614" t="s">
        <v>4300</v>
      </c>
      <c r="S1129" s="614" t="s">
        <v>104</v>
      </c>
      <c r="T1129" s="614" t="s">
        <v>3028</v>
      </c>
      <c r="U1129" s="614"/>
      <c r="V1129" s="609"/>
      <c r="W1129" s="609"/>
      <c r="X1129" s="609" t="s">
        <v>4301</v>
      </c>
      <c r="Y1129" s="616" t="s">
        <v>1805</v>
      </c>
      <c r="Z1129" s="1345">
        <v>4.1689</v>
      </c>
      <c r="AA1129" s="616">
        <f t="shared" si="367"/>
        <v>22512.06</v>
      </c>
      <c r="AB1129" s="554"/>
      <c r="AC1129" s="617"/>
      <c r="AD1129" s="610" t="s">
        <v>2217</v>
      </c>
      <c r="AE1129" s="610" t="s">
        <v>82</v>
      </c>
      <c r="AF1129" s="610"/>
      <c r="AG1129" s="610"/>
      <c r="AH1129" s="1267"/>
      <c r="AI1129" s="610">
        <v>5400</v>
      </c>
      <c r="AJ1129" s="610">
        <f t="shared" si="368"/>
        <v>0</v>
      </c>
      <c r="AK1129" s="610"/>
      <c r="AL1129" s="610" t="s">
        <v>454</v>
      </c>
      <c r="AM1129" s="554"/>
      <c r="AN1129" s="554">
        <f t="shared" si="369"/>
        <v>5400</v>
      </c>
      <c r="AO1129" s="1325"/>
      <c r="AP1129" s="1325"/>
      <c r="AQ1129" s="1325"/>
      <c r="AR1129" s="554">
        <f>I1129</f>
        <v>5400</v>
      </c>
      <c r="AS1129" s="554"/>
      <c r="AT1129" s="554"/>
      <c r="AU1129" s="554"/>
      <c r="AV1129" s="554">
        <f>I1129</f>
        <v>5400</v>
      </c>
      <c r="AW1129" s="554"/>
      <c r="AX1129" s="714">
        <f>I1129</f>
        <v>5400</v>
      </c>
      <c r="AY1129" s="554"/>
      <c r="AZ1129" s="554"/>
      <c r="BA1129" s="554"/>
      <c r="BB1129" s="554"/>
      <c r="BC1129" s="554"/>
      <c r="BD1129" s="554"/>
      <c r="BE1129" s="554"/>
      <c r="BF1129" s="554"/>
      <c r="BG1129" s="554"/>
      <c r="BH1129" s="554"/>
      <c r="BI1129" s="554"/>
      <c r="BJ1129" s="554"/>
      <c r="BK1129" s="554"/>
      <c r="BL1129" s="554"/>
      <c r="BM1129" s="554"/>
      <c r="BN1129" s="554"/>
      <c r="BO1129" s="554"/>
      <c r="BP1129" s="554"/>
      <c r="BQ1129" s="554"/>
      <c r="BR1129" s="554"/>
      <c r="BS1129" s="554"/>
      <c r="BT1129" s="554"/>
      <c r="BU1129" s="554"/>
      <c r="BV1129" s="554"/>
      <c r="BW1129" s="554"/>
      <c r="BX1129" s="554"/>
      <c r="BY1129" s="554"/>
      <c r="BZ1129" s="554"/>
      <c r="CA1129" s="554"/>
      <c r="CB1129" s="554"/>
      <c r="CC1129" s="554"/>
      <c r="CD1129" s="554"/>
      <c r="CE1129" s="554"/>
      <c r="CF1129" s="554"/>
      <c r="CG1129" s="554"/>
      <c r="CH1129" s="619"/>
      <c r="CI1129" s="619"/>
      <c r="CJ1129" s="619"/>
      <c r="CK1129" s="619"/>
      <c r="CL1129" s="619"/>
      <c r="CM1129" s="554"/>
      <c r="CN1129" s="554"/>
      <c r="CO1129" s="554"/>
      <c r="CP1129" s="619"/>
      <c r="CQ1129" s="619"/>
      <c r="CR1129" s="619"/>
      <c r="CS1129" s="619"/>
      <c r="CT1129" s="619"/>
      <c r="CU1129" s="619"/>
      <c r="CV1129" s="1325"/>
    </row>
    <row r="1130" s="1267" customFormat="1" ht="31" customHeight="1" spans="1:100">
      <c r="A1130" s="608">
        <v>46132</v>
      </c>
      <c r="B1130" s="609" t="s">
        <v>2651</v>
      </c>
      <c r="C1130" s="610" t="s">
        <v>302</v>
      </c>
      <c r="D1130" s="554" t="s">
        <v>4302</v>
      </c>
      <c r="E1130" s="610" t="s">
        <v>4303</v>
      </c>
      <c r="F1130" s="554" t="s">
        <v>4304</v>
      </c>
      <c r="G1130" s="610" t="s">
        <v>156</v>
      </c>
      <c r="H1130" s="610" t="s">
        <v>102</v>
      </c>
      <c r="I1130" s="715">
        <v>5716</v>
      </c>
      <c r="J1130" s="610">
        <v>0</v>
      </c>
      <c r="K1130" s="610">
        <v>4</v>
      </c>
      <c r="L1130" s="611">
        <f t="shared" si="366"/>
        <v>1429</v>
      </c>
      <c r="M1130" s="612">
        <v>46183</v>
      </c>
      <c r="N1130" s="612">
        <v>46179</v>
      </c>
      <c r="O1130" s="613"/>
      <c r="P1130" s="610" t="s">
        <v>113</v>
      </c>
      <c r="Q1130" s="614" t="s">
        <v>4305</v>
      </c>
      <c r="R1130" s="614">
        <v>46151</v>
      </c>
      <c r="S1130" s="614" t="s">
        <v>70</v>
      </c>
      <c r="T1130" s="614" t="s">
        <v>4306</v>
      </c>
      <c r="U1130" s="614"/>
      <c r="V1130" s="614"/>
      <c r="W1130" s="609"/>
      <c r="X1130" s="738" t="s">
        <v>4307</v>
      </c>
      <c r="Y1130" s="616" t="s">
        <v>305</v>
      </c>
      <c r="Z1130" s="625">
        <v>4.3276</v>
      </c>
      <c r="AA1130" s="616">
        <f t="shared" si="367"/>
        <v>24736.5616</v>
      </c>
      <c r="AB1130" s="554"/>
      <c r="AC1130" s="617"/>
      <c r="AD1130" s="610" t="s">
        <v>156</v>
      </c>
      <c r="AE1130" s="610" t="s">
        <v>82</v>
      </c>
      <c r="AF1130" s="610"/>
      <c r="AG1130" s="610"/>
      <c r="AH1130" s="610"/>
      <c r="AI1130" s="610">
        <f>5708+8</f>
        <v>5716</v>
      </c>
      <c r="AJ1130" s="610">
        <f t="shared" si="368"/>
        <v>0</v>
      </c>
      <c r="AK1130" s="610"/>
      <c r="AL1130" s="610" t="s">
        <v>2368</v>
      </c>
      <c r="AM1130" s="554"/>
      <c r="AN1130" s="554">
        <f t="shared" si="369"/>
        <v>5716</v>
      </c>
      <c r="AO1130" s="554"/>
      <c r="AP1130" s="554"/>
      <c r="AQ1130" s="554"/>
      <c r="AR1130" s="554"/>
      <c r="AS1130" s="554">
        <f>I1130</f>
        <v>5716</v>
      </c>
      <c r="AT1130" s="554"/>
      <c r="AU1130" s="554">
        <f t="shared" ref="AU1130:AU1140" si="376">I1130</f>
        <v>5716</v>
      </c>
      <c r="AV1130" s="554"/>
      <c r="AW1130" s="554">
        <f t="shared" ref="AW1130:AW1165" si="377">I1130</f>
        <v>5716</v>
      </c>
      <c r="AX1130" s="714"/>
      <c r="AY1130" s="554"/>
      <c r="AZ1130" s="554"/>
      <c r="BA1130" s="554"/>
      <c r="BB1130" s="554"/>
      <c r="BC1130" s="554"/>
      <c r="BD1130" s="554"/>
      <c r="BE1130" s="554"/>
      <c r="BF1130" s="554"/>
      <c r="BG1130" s="554"/>
      <c r="BH1130" s="554"/>
      <c r="BI1130" s="554">
        <f>I1130/4</f>
        <v>1429</v>
      </c>
      <c r="BJ1130" s="554"/>
      <c r="BK1130" s="554"/>
      <c r="BL1130" s="554"/>
      <c r="BM1130" s="554"/>
      <c r="BN1130" s="554"/>
      <c r="BO1130" s="554"/>
      <c r="BP1130" s="554"/>
      <c r="BQ1130" s="554"/>
      <c r="BR1130" s="554"/>
      <c r="BS1130" s="554"/>
      <c r="BT1130" s="554"/>
      <c r="BU1130" s="554"/>
      <c r="BV1130" s="554"/>
      <c r="BW1130" s="554"/>
      <c r="BX1130" s="554"/>
      <c r="BY1130" s="554"/>
      <c r="BZ1130" s="554"/>
      <c r="CA1130" s="554"/>
      <c r="CB1130" s="554"/>
      <c r="CC1130" s="554"/>
      <c r="CD1130" s="554"/>
      <c r="CE1130" s="554"/>
      <c r="CF1130" s="554"/>
      <c r="CG1130" s="554"/>
      <c r="CH1130" s="619"/>
      <c r="CI1130" s="619"/>
      <c r="CJ1130" s="619"/>
      <c r="CK1130" s="619"/>
      <c r="CL1130" s="619"/>
      <c r="CM1130" s="554"/>
      <c r="CN1130" s="554"/>
      <c r="CO1130" s="554"/>
      <c r="CP1130" s="619"/>
      <c r="CQ1130" s="619"/>
      <c r="CR1130" s="619"/>
      <c r="CS1130" s="619"/>
      <c r="CT1130" s="619"/>
      <c r="CU1130" s="619"/>
      <c r="CV1130" s="1325"/>
    </row>
    <row r="1131" s="1268" customFormat="1" ht="31" customHeight="1" spans="1:100">
      <c r="A1131" s="778">
        <v>46128</v>
      </c>
      <c r="B1131" s="779" t="s">
        <v>2734</v>
      </c>
      <c r="C1131" s="780" t="s">
        <v>98</v>
      </c>
      <c r="D1131" s="783">
        <v>4500202166</v>
      </c>
      <c r="E1131" s="780">
        <v>60295831</v>
      </c>
      <c r="F1131" s="783" t="s">
        <v>4308</v>
      </c>
      <c r="G1131" s="780" t="s">
        <v>68</v>
      </c>
      <c r="H1131" s="780" t="s">
        <v>69</v>
      </c>
      <c r="I1131" s="784">
        <v>3600</v>
      </c>
      <c r="J1131" s="780">
        <v>0</v>
      </c>
      <c r="K1131" s="780">
        <v>12</v>
      </c>
      <c r="L1131" s="785">
        <f t="shared" si="366"/>
        <v>300</v>
      </c>
      <c r="M1131" s="786">
        <v>46183</v>
      </c>
      <c r="N1131" s="786">
        <v>46179</v>
      </c>
      <c r="O1131" s="782"/>
      <c r="P1131" s="780" t="s">
        <v>113</v>
      </c>
      <c r="Q1131" s="787" t="s">
        <v>4234</v>
      </c>
      <c r="R1131" s="787">
        <v>46139</v>
      </c>
      <c r="S1131" s="787" t="s">
        <v>70</v>
      </c>
      <c r="T1131" s="787" t="s">
        <v>4309</v>
      </c>
      <c r="U1131" s="787"/>
      <c r="V1131" s="787"/>
      <c r="W1131" s="779"/>
      <c r="X1131" s="779" t="s">
        <v>4310</v>
      </c>
      <c r="Y1131" s="789" t="s">
        <v>1318</v>
      </c>
      <c r="Z1131" s="811">
        <v>2.554</v>
      </c>
      <c r="AA1131" s="789">
        <f t="shared" si="367"/>
        <v>9194.4</v>
      </c>
      <c r="AB1131" s="783"/>
      <c r="AC1131" s="1359" t="s">
        <v>4311</v>
      </c>
      <c r="AD1131" s="780" t="s">
        <v>68</v>
      </c>
      <c r="AE1131" s="780" t="s">
        <v>82</v>
      </c>
      <c r="AF1131" s="780"/>
      <c r="AG1131" s="780"/>
      <c r="AH1131" s="780"/>
      <c r="AI1131" s="780">
        <v>3600</v>
      </c>
      <c r="AJ1131" s="780">
        <f t="shared" si="368"/>
        <v>0</v>
      </c>
      <c r="AK1131" s="780"/>
      <c r="AL1131" s="780" t="s">
        <v>2368</v>
      </c>
      <c r="AM1131" s="783"/>
      <c r="AN1131" s="783">
        <f t="shared" si="369"/>
        <v>3600</v>
      </c>
      <c r="AO1131" s="783"/>
      <c r="AP1131" s="783"/>
      <c r="AQ1131" s="783"/>
      <c r="AR1131" s="783">
        <f>I1131</f>
        <v>3600</v>
      </c>
      <c r="AS1131" s="783"/>
      <c r="AT1131" s="783"/>
      <c r="AU1131" s="783">
        <f t="shared" si="376"/>
        <v>3600</v>
      </c>
      <c r="AV1131" s="783"/>
      <c r="AW1131" s="783">
        <f t="shared" si="377"/>
        <v>3600</v>
      </c>
      <c r="AX1131" s="792"/>
      <c r="AY1131" s="783"/>
      <c r="AZ1131" s="783"/>
      <c r="BA1131" s="783"/>
      <c r="BB1131" s="783"/>
      <c r="BC1131" s="783"/>
      <c r="BD1131" s="783"/>
      <c r="BE1131" s="783"/>
      <c r="BF1131" s="783"/>
      <c r="BG1131" s="783"/>
      <c r="BH1131" s="783"/>
      <c r="BI1131" s="783"/>
      <c r="BJ1131" s="783"/>
      <c r="BK1131" s="783"/>
      <c r="BL1131" s="783"/>
      <c r="BM1131" s="783"/>
      <c r="BN1131" s="783"/>
      <c r="BO1131" s="783"/>
      <c r="BP1131" s="783"/>
      <c r="BQ1131" s="783"/>
      <c r="BR1131" s="783"/>
      <c r="BS1131" s="783"/>
      <c r="BT1131" s="783"/>
      <c r="BU1131" s="783"/>
      <c r="BV1131" s="783"/>
      <c r="BW1131" s="783"/>
      <c r="BX1131" s="783"/>
      <c r="BY1131" s="783"/>
      <c r="BZ1131" s="783"/>
      <c r="CA1131" s="783"/>
      <c r="CB1131" s="783"/>
      <c r="CC1131" s="783"/>
      <c r="CD1131" s="783"/>
      <c r="CE1131" s="783"/>
      <c r="CF1131" s="783"/>
      <c r="CG1131" s="783"/>
      <c r="CH1131" s="797"/>
      <c r="CI1131" s="797"/>
      <c r="CJ1131" s="797"/>
      <c r="CK1131" s="797"/>
      <c r="CL1131" s="797"/>
      <c r="CM1131" s="783"/>
      <c r="CN1131" s="783"/>
      <c r="CO1131" s="783"/>
      <c r="CP1131" s="797"/>
      <c r="CQ1131" s="797"/>
      <c r="CR1131" s="797"/>
      <c r="CS1131" s="797"/>
      <c r="CT1131" s="797"/>
      <c r="CU1131" s="797"/>
      <c r="CV1131" s="1358"/>
    </row>
    <row r="1132" s="1268" customFormat="1" ht="31" customHeight="1" spans="1:100">
      <c r="A1132" s="778">
        <v>46140</v>
      </c>
      <c r="B1132" s="779" t="s">
        <v>4312</v>
      </c>
      <c r="C1132" s="780" t="s">
        <v>1227</v>
      </c>
      <c r="D1132" s="783">
        <v>4500204440</v>
      </c>
      <c r="E1132" s="780"/>
      <c r="F1132" s="783" t="s">
        <v>4313</v>
      </c>
      <c r="G1132" s="780" t="s">
        <v>68</v>
      </c>
      <c r="H1132" s="780" t="s">
        <v>69</v>
      </c>
      <c r="I1132" s="784">
        <v>840</v>
      </c>
      <c r="J1132" s="780">
        <v>0</v>
      </c>
      <c r="K1132" s="780">
        <v>12</v>
      </c>
      <c r="L1132" s="785">
        <f t="shared" si="366"/>
        <v>70</v>
      </c>
      <c r="M1132" s="786">
        <v>46188</v>
      </c>
      <c r="N1132" s="786">
        <v>46185</v>
      </c>
      <c r="O1132" s="782"/>
      <c r="P1132" s="780" t="s">
        <v>113</v>
      </c>
      <c r="Q1132" s="787">
        <v>46195</v>
      </c>
      <c r="R1132" s="787">
        <v>46161</v>
      </c>
      <c r="S1132" s="787" t="s">
        <v>70</v>
      </c>
      <c r="T1132" s="787" t="s">
        <v>4314</v>
      </c>
      <c r="U1132" s="787"/>
      <c r="V1132" s="787"/>
      <c r="W1132" s="779"/>
      <c r="X1132" s="779" t="s">
        <v>4315</v>
      </c>
      <c r="Y1132" s="789" t="s">
        <v>1284</v>
      </c>
      <c r="Z1132" s="811">
        <v>4.2173</v>
      </c>
      <c r="AA1132" s="789">
        <f t="shared" si="367"/>
        <v>3542.532</v>
      </c>
      <c r="AB1132" s="783"/>
      <c r="AC1132" s="814"/>
      <c r="AD1132" s="780" t="s">
        <v>184</v>
      </c>
      <c r="AE1132" s="780" t="s">
        <v>82</v>
      </c>
      <c r="AF1132" s="780"/>
      <c r="AG1132" s="780"/>
      <c r="AH1132" s="780"/>
      <c r="AI1132" s="779">
        <v>840</v>
      </c>
      <c r="AJ1132" s="780">
        <f t="shared" si="368"/>
        <v>0</v>
      </c>
      <c r="AK1132" s="780"/>
      <c r="AL1132" s="780" t="s">
        <v>2368</v>
      </c>
      <c r="AM1132" s="783"/>
      <c r="AN1132" s="783">
        <f t="shared" si="369"/>
        <v>840</v>
      </c>
      <c r="AO1132" s="783"/>
      <c r="AP1132" s="783"/>
      <c r="AQ1132" s="783"/>
      <c r="AR1132" s="783"/>
      <c r="AS1132" s="783">
        <f>I1132</f>
        <v>840</v>
      </c>
      <c r="AT1132" s="783"/>
      <c r="AU1132" s="783">
        <f t="shared" si="376"/>
        <v>840</v>
      </c>
      <c r="AV1132" s="783"/>
      <c r="AW1132" s="783">
        <f t="shared" si="377"/>
        <v>840</v>
      </c>
      <c r="AX1132" s="792"/>
      <c r="AY1132" s="783"/>
      <c r="AZ1132" s="783"/>
      <c r="BA1132" s="783"/>
      <c r="BB1132" s="783"/>
      <c r="BC1132" s="783"/>
      <c r="BD1132" s="783"/>
      <c r="BE1132" s="783"/>
      <c r="BF1132" s="783"/>
      <c r="BG1132" s="783"/>
      <c r="BH1132" s="783"/>
      <c r="BI1132" s="783"/>
      <c r="BJ1132" s="783"/>
      <c r="BK1132" s="783"/>
      <c r="BL1132" s="783"/>
      <c r="BM1132" s="783"/>
      <c r="BN1132" s="783"/>
      <c r="BO1132" s="783"/>
      <c r="BP1132" s="783"/>
      <c r="BQ1132" s="783"/>
      <c r="BR1132" s="783"/>
      <c r="BS1132" s="783"/>
      <c r="BT1132" s="783"/>
      <c r="BU1132" s="783"/>
      <c r="BV1132" s="783"/>
      <c r="BW1132" s="783"/>
      <c r="BX1132" s="783"/>
      <c r="BY1132" s="783"/>
      <c r="BZ1132" s="783"/>
      <c r="CA1132" s="783"/>
      <c r="CB1132" s="783"/>
      <c r="CC1132" s="783"/>
      <c r="CD1132" s="783"/>
      <c r="CE1132" s="783"/>
      <c r="CF1132" s="783"/>
      <c r="CG1132" s="783"/>
      <c r="CH1132" s="797"/>
      <c r="CI1132" s="797"/>
      <c r="CJ1132" s="797"/>
      <c r="CK1132" s="797"/>
      <c r="CL1132" s="797"/>
      <c r="CM1132" s="783"/>
      <c r="CN1132" s="783"/>
      <c r="CO1132" s="783"/>
      <c r="CP1132" s="797"/>
      <c r="CQ1132" s="797"/>
      <c r="CR1132" s="797"/>
      <c r="CS1132" s="797"/>
      <c r="CT1132" s="797"/>
      <c r="CU1132" s="797"/>
      <c r="CV1132" s="1358"/>
    </row>
    <row r="1133" s="1268" customFormat="1" ht="31" customHeight="1" spans="1:100">
      <c r="A1133" s="778">
        <v>46142</v>
      </c>
      <c r="B1133" s="779" t="s">
        <v>3115</v>
      </c>
      <c r="C1133" s="780" t="s">
        <v>847</v>
      </c>
      <c r="D1133" s="783" t="s">
        <v>4316</v>
      </c>
      <c r="E1133" s="780" t="s">
        <v>4317</v>
      </c>
      <c r="F1133" s="783" t="s">
        <v>4318</v>
      </c>
      <c r="G1133" s="780" t="s">
        <v>156</v>
      </c>
      <c r="H1133" s="780" t="s">
        <v>102</v>
      </c>
      <c r="I1133" s="784">
        <v>1560</v>
      </c>
      <c r="J1133" s="780">
        <v>0</v>
      </c>
      <c r="K1133" s="780">
        <v>4</v>
      </c>
      <c r="L1133" s="785">
        <f t="shared" si="366"/>
        <v>390</v>
      </c>
      <c r="M1133" s="786">
        <v>46189</v>
      </c>
      <c r="N1133" s="786">
        <v>46185</v>
      </c>
      <c r="O1133" s="782"/>
      <c r="P1133" s="780" t="s">
        <v>113</v>
      </c>
      <c r="Q1133" s="787"/>
      <c r="R1133" s="787">
        <v>46157</v>
      </c>
      <c r="S1133" s="787" t="s">
        <v>70</v>
      </c>
      <c r="T1133" s="787" t="s">
        <v>1911</v>
      </c>
      <c r="U1133" s="787"/>
      <c r="V1133" s="787" t="s">
        <v>4319</v>
      </c>
      <c r="W1133" s="779"/>
      <c r="X1133" s="779" t="s">
        <v>4320</v>
      </c>
      <c r="Y1133" s="789" t="s">
        <v>3894</v>
      </c>
      <c r="Z1133" s="811">
        <v>4.4032</v>
      </c>
      <c r="AA1133" s="789">
        <f t="shared" si="367"/>
        <v>6868.992</v>
      </c>
      <c r="AB1133" s="783"/>
      <c r="AC1133" s="814"/>
      <c r="AD1133" s="780" t="s">
        <v>156</v>
      </c>
      <c r="AE1133" s="780" t="s">
        <v>82</v>
      </c>
      <c r="AF1133" s="780"/>
      <c r="AG1133" s="780"/>
      <c r="AH1133" s="780"/>
      <c r="AI1133" s="779">
        <v>1560</v>
      </c>
      <c r="AJ1133" s="780">
        <f t="shared" si="368"/>
        <v>0</v>
      </c>
      <c r="AK1133" s="780"/>
      <c r="AL1133" s="780" t="s">
        <v>2368</v>
      </c>
      <c r="AM1133" s="783"/>
      <c r="AN1133" s="783">
        <f t="shared" si="369"/>
        <v>1560</v>
      </c>
      <c r="AO1133" s="783"/>
      <c r="AP1133" s="783"/>
      <c r="AQ1133" s="783"/>
      <c r="AR1133" s="783"/>
      <c r="AS1133" s="783">
        <f>I1133</f>
        <v>1560</v>
      </c>
      <c r="AT1133" s="783"/>
      <c r="AU1133" s="783">
        <f t="shared" si="376"/>
        <v>1560</v>
      </c>
      <c r="AV1133" s="783"/>
      <c r="AW1133" s="783">
        <f t="shared" si="377"/>
        <v>1560</v>
      </c>
      <c r="AX1133" s="792"/>
      <c r="AY1133" s="783"/>
      <c r="AZ1133" s="783"/>
      <c r="BA1133" s="783"/>
      <c r="BB1133" s="783"/>
      <c r="BC1133" s="783"/>
      <c r="BD1133" s="783"/>
      <c r="BE1133" s="783"/>
      <c r="BF1133" s="783"/>
      <c r="BG1133" s="783"/>
      <c r="BH1133" s="783"/>
      <c r="BI1133" s="783">
        <f>I1133/4</f>
        <v>390</v>
      </c>
      <c r="BJ1133" s="783"/>
      <c r="BK1133" s="783"/>
      <c r="BL1133" s="783"/>
      <c r="BM1133" s="783"/>
      <c r="BN1133" s="783"/>
      <c r="BO1133" s="783"/>
      <c r="BP1133" s="783"/>
      <c r="BQ1133" s="783"/>
      <c r="BR1133" s="783"/>
      <c r="BS1133" s="783"/>
      <c r="BT1133" s="783"/>
      <c r="BU1133" s="783"/>
      <c r="BV1133" s="783"/>
      <c r="BW1133" s="783"/>
      <c r="BX1133" s="783"/>
      <c r="BY1133" s="783"/>
      <c r="BZ1133" s="783"/>
      <c r="CA1133" s="783"/>
      <c r="CB1133" s="783"/>
      <c r="CC1133" s="783"/>
      <c r="CD1133" s="783"/>
      <c r="CE1133" s="783"/>
      <c r="CF1133" s="783"/>
      <c r="CG1133" s="783"/>
      <c r="CH1133" s="797"/>
      <c r="CI1133" s="797"/>
      <c r="CJ1133" s="797"/>
      <c r="CK1133" s="797"/>
      <c r="CL1133" s="797"/>
      <c r="CM1133" s="783"/>
      <c r="CN1133" s="783"/>
      <c r="CO1133" s="783"/>
      <c r="CP1133" s="797"/>
      <c r="CQ1133" s="797"/>
      <c r="CR1133" s="797"/>
      <c r="CS1133" s="797"/>
      <c r="CT1133" s="797"/>
      <c r="CU1133" s="797"/>
      <c r="CV1133" s="1358"/>
    </row>
    <row r="1134" s="1268" customFormat="1" ht="31" customHeight="1" spans="1:100">
      <c r="A1134" s="778">
        <v>46067</v>
      </c>
      <c r="B1134" s="779" t="s">
        <v>4321</v>
      </c>
      <c r="C1134" s="780" t="s">
        <v>154</v>
      </c>
      <c r="D1134" s="783">
        <v>4500193992</v>
      </c>
      <c r="E1134" s="1422" t="s">
        <v>4322</v>
      </c>
      <c r="F1134" s="783" t="s">
        <v>4323</v>
      </c>
      <c r="G1134" s="780" t="s">
        <v>68</v>
      </c>
      <c r="H1134" s="780" t="s">
        <v>69</v>
      </c>
      <c r="I1134" s="784">
        <v>504</v>
      </c>
      <c r="J1134" s="780">
        <v>0</v>
      </c>
      <c r="K1134" s="780">
        <v>12</v>
      </c>
      <c r="L1134" s="785">
        <f t="shared" si="366"/>
        <v>42</v>
      </c>
      <c r="M1134" s="786">
        <v>46189</v>
      </c>
      <c r="N1134" s="786">
        <v>46185</v>
      </c>
      <c r="O1134" s="807" t="s">
        <v>4324</v>
      </c>
      <c r="P1134" s="780" t="s">
        <v>113</v>
      </c>
      <c r="Q1134" s="787">
        <v>46217</v>
      </c>
      <c r="R1134" s="787">
        <v>46139</v>
      </c>
      <c r="S1134" s="787" t="s">
        <v>70</v>
      </c>
      <c r="T1134" s="787" t="s">
        <v>4325</v>
      </c>
      <c r="U1134" s="787"/>
      <c r="V1134" s="787"/>
      <c r="W1134" s="810" t="s">
        <v>3493</v>
      </c>
      <c r="X1134" s="779" t="s">
        <v>4326</v>
      </c>
      <c r="Y1134" s="789" t="s">
        <v>167</v>
      </c>
      <c r="Z1134" s="811">
        <v>4.2622</v>
      </c>
      <c r="AA1134" s="789">
        <f t="shared" si="367"/>
        <v>2148.1488</v>
      </c>
      <c r="AB1134" s="783"/>
      <c r="AC1134" s="814"/>
      <c r="AD1134" s="780" t="s">
        <v>184</v>
      </c>
      <c r="AE1134" s="780" t="s">
        <v>82</v>
      </c>
      <c r="AF1134" s="780"/>
      <c r="AG1134" s="780"/>
      <c r="AH1134" s="780"/>
      <c r="AI1134" s="780">
        <v>504</v>
      </c>
      <c r="AJ1134" s="780">
        <f t="shared" si="368"/>
        <v>0</v>
      </c>
      <c r="AK1134" s="780"/>
      <c r="AL1134" s="780" t="s">
        <v>2368</v>
      </c>
      <c r="AM1134" s="783"/>
      <c r="AN1134" s="783">
        <f t="shared" si="369"/>
        <v>504</v>
      </c>
      <c r="AO1134" s="783"/>
      <c r="AP1134" s="783"/>
      <c r="AQ1134" s="783"/>
      <c r="AR1134" s="783"/>
      <c r="AS1134" s="783">
        <f>I1134</f>
        <v>504</v>
      </c>
      <c r="AT1134" s="783"/>
      <c r="AU1134" s="783">
        <f t="shared" si="376"/>
        <v>504</v>
      </c>
      <c r="AV1134" s="783"/>
      <c r="AW1134" s="783">
        <f t="shared" si="377"/>
        <v>504</v>
      </c>
      <c r="AX1134" s="792"/>
      <c r="AY1134" s="783"/>
      <c r="AZ1134" s="783"/>
      <c r="BA1134" s="783"/>
      <c r="BB1134" s="783"/>
      <c r="BC1134" s="783"/>
      <c r="BD1134" s="783"/>
      <c r="BE1134" s="783"/>
      <c r="BF1134" s="783"/>
      <c r="BG1134" s="783"/>
      <c r="BH1134" s="783"/>
      <c r="BI1134" s="783"/>
      <c r="BJ1134" s="783"/>
      <c r="BK1134" s="783"/>
      <c r="BL1134" s="783"/>
      <c r="BM1134" s="783"/>
      <c r="BN1134" s="783"/>
      <c r="BO1134" s="783"/>
      <c r="BP1134" s="783"/>
      <c r="BQ1134" s="783"/>
      <c r="BR1134" s="783"/>
      <c r="BS1134" s="783"/>
      <c r="BT1134" s="783"/>
      <c r="BU1134" s="783"/>
      <c r="BV1134" s="783"/>
      <c r="BW1134" s="783"/>
      <c r="BX1134" s="783"/>
      <c r="BY1134" s="783"/>
      <c r="BZ1134" s="783"/>
      <c r="CA1134" s="783"/>
      <c r="CB1134" s="783"/>
      <c r="CC1134" s="783"/>
      <c r="CD1134" s="783"/>
      <c r="CE1134" s="783"/>
      <c r="CF1134" s="783"/>
      <c r="CG1134" s="783"/>
      <c r="CH1134" s="797"/>
      <c r="CI1134" s="797"/>
      <c r="CJ1134" s="797"/>
      <c r="CK1134" s="797"/>
      <c r="CL1134" s="797"/>
      <c r="CM1134" s="783"/>
      <c r="CN1134" s="783"/>
      <c r="CO1134" s="783"/>
      <c r="CP1134" s="797"/>
      <c r="CQ1134" s="797"/>
      <c r="CR1134" s="797"/>
      <c r="CS1134" s="797"/>
      <c r="CT1134" s="797"/>
      <c r="CU1134" s="797"/>
      <c r="CV1134" s="1358"/>
    </row>
    <row r="1135" s="1268" customFormat="1" ht="31" customHeight="1" spans="1:100">
      <c r="A1135" s="778">
        <v>46126</v>
      </c>
      <c r="B1135" s="779" t="s">
        <v>3340</v>
      </c>
      <c r="C1135" s="780" t="s">
        <v>98</v>
      </c>
      <c r="D1135" s="783">
        <v>4500201729</v>
      </c>
      <c r="E1135" s="780">
        <v>127318</v>
      </c>
      <c r="F1135" s="783" t="s">
        <v>4327</v>
      </c>
      <c r="G1135" s="780" t="s">
        <v>68</v>
      </c>
      <c r="H1135" s="780" t="s">
        <v>69</v>
      </c>
      <c r="I1135" s="784">
        <v>996</v>
      </c>
      <c r="J1135" s="780">
        <v>0</v>
      </c>
      <c r="K1135" s="780">
        <v>12</v>
      </c>
      <c r="L1135" s="785">
        <f t="shared" si="366"/>
        <v>83</v>
      </c>
      <c r="M1135" s="786">
        <v>46191</v>
      </c>
      <c r="N1135" s="786">
        <v>46188</v>
      </c>
      <c r="O1135" s="782"/>
      <c r="P1135" s="780" t="s">
        <v>113</v>
      </c>
      <c r="Q1135" s="787" t="s">
        <v>4234</v>
      </c>
      <c r="R1135" s="787">
        <v>46126</v>
      </c>
      <c r="S1135" s="787" t="s">
        <v>70</v>
      </c>
      <c r="T1135" s="787" t="s">
        <v>4328</v>
      </c>
      <c r="U1135" s="787"/>
      <c r="V1135" s="787"/>
      <c r="W1135" s="779"/>
      <c r="X1135" s="779" t="s">
        <v>4329</v>
      </c>
      <c r="Y1135" s="789" t="s">
        <v>3864</v>
      </c>
      <c r="Z1135" s="811">
        <v>2.5304</v>
      </c>
      <c r="AA1135" s="789">
        <f t="shared" si="367"/>
        <v>2520.2784</v>
      </c>
      <c r="AB1135" s="783"/>
      <c r="AC1135" s="1359" t="s">
        <v>4330</v>
      </c>
      <c r="AD1135" s="780" t="s">
        <v>68</v>
      </c>
      <c r="AE1135" s="780" t="s">
        <v>82</v>
      </c>
      <c r="AF1135" s="780"/>
      <c r="AG1135" s="780"/>
      <c r="AH1135" s="780"/>
      <c r="AI1135" s="779">
        <v>996</v>
      </c>
      <c r="AJ1135" s="780">
        <f t="shared" si="368"/>
        <v>0</v>
      </c>
      <c r="AK1135" s="780"/>
      <c r="AL1135" s="780" t="s">
        <v>2368</v>
      </c>
      <c r="AM1135" s="783"/>
      <c r="AN1135" s="783">
        <f t="shared" si="369"/>
        <v>996</v>
      </c>
      <c r="AO1135" s="783"/>
      <c r="AP1135" s="783"/>
      <c r="AQ1135" s="783"/>
      <c r="AR1135" s="783">
        <f t="shared" ref="AR1135:AR1140" si="378">I1135</f>
        <v>996</v>
      </c>
      <c r="AS1135" s="783"/>
      <c r="AT1135" s="783"/>
      <c r="AU1135" s="783">
        <f t="shared" si="376"/>
        <v>996</v>
      </c>
      <c r="AV1135" s="783"/>
      <c r="AW1135" s="783">
        <f t="shared" si="377"/>
        <v>996</v>
      </c>
      <c r="AX1135" s="792"/>
      <c r="AY1135" s="783"/>
      <c r="AZ1135" s="783"/>
      <c r="BA1135" s="783"/>
      <c r="BB1135" s="783"/>
      <c r="BC1135" s="783"/>
      <c r="BD1135" s="783"/>
      <c r="BE1135" s="783"/>
      <c r="BF1135" s="783"/>
      <c r="BG1135" s="783"/>
      <c r="BH1135" s="783"/>
      <c r="BI1135" s="783"/>
      <c r="BJ1135" s="783"/>
      <c r="BK1135" s="783"/>
      <c r="BL1135" s="783"/>
      <c r="BM1135" s="783"/>
      <c r="BN1135" s="783"/>
      <c r="BO1135" s="783"/>
      <c r="BP1135" s="783"/>
      <c r="BQ1135" s="783"/>
      <c r="BR1135" s="783"/>
      <c r="BS1135" s="783"/>
      <c r="BT1135" s="783"/>
      <c r="BU1135" s="783"/>
      <c r="BV1135" s="783"/>
      <c r="BW1135" s="783"/>
      <c r="BX1135" s="783"/>
      <c r="BY1135" s="783"/>
      <c r="BZ1135" s="783"/>
      <c r="CA1135" s="783"/>
      <c r="CB1135" s="783"/>
      <c r="CC1135" s="783"/>
      <c r="CD1135" s="783"/>
      <c r="CE1135" s="783"/>
      <c r="CF1135" s="783"/>
      <c r="CG1135" s="783"/>
      <c r="CH1135" s="797"/>
      <c r="CI1135" s="797"/>
      <c r="CJ1135" s="797"/>
      <c r="CK1135" s="797"/>
      <c r="CL1135" s="797"/>
      <c r="CM1135" s="783"/>
      <c r="CN1135" s="783"/>
      <c r="CO1135" s="783"/>
      <c r="CP1135" s="797"/>
      <c r="CQ1135" s="797"/>
      <c r="CR1135" s="797"/>
      <c r="CS1135" s="797"/>
      <c r="CT1135" s="797"/>
      <c r="CU1135" s="797"/>
      <c r="CV1135" s="1358"/>
    </row>
    <row r="1136" s="1268" customFormat="1" ht="31" customHeight="1" spans="1:100">
      <c r="A1136" s="778">
        <v>46126</v>
      </c>
      <c r="B1136" s="779" t="s">
        <v>3340</v>
      </c>
      <c r="C1136" s="780" t="s">
        <v>98</v>
      </c>
      <c r="D1136" s="783">
        <v>4500201730</v>
      </c>
      <c r="E1136" s="780">
        <v>127322</v>
      </c>
      <c r="F1136" s="783" t="s">
        <v>4331</v>
      </c>
      <c r="G1136" s="780" t="s">
        <v>68</v>
      </c>
      <c r="H1136" s="780" t="s">
        <v>69</v>
      </c>
      <c r="I1136" s="784">
        <v>996</v>
      </c>
      <c r="J1136" s="780">
        <v>0</v>
      </c>
      <c r="K1136" s="780">
        <v>12</v>
      </c>
      <c r="L1136" s="785">
        <f t="shared" si="366"/>
        <v>83</v>
      </c>
      <c r="M1136" s="786">
        <v>46191</v>
      </c>
      <c r="N1136" s="786">
        <v>46188</v>
      </c>
      <c r="O1136" s="782"/>
      <c r="P1136" s="780" t="s">
        <v>113</v>
      </c>
      <c r="Q1136" s="787" t="s">
        <v>4234</v>
      </c>
      <c r="R1136" s="787">
        <v>46126</v>
      </c>
      <c r="S1136" s="787" t="s">
        <v>70</v>
      </c>
      <c r="T1136" s="787" t="s">
        <v>4328</v>
      </c>
      <c r="U1136" s="787"/>
      <c r="V1136" s="787"/>
      <c r="W1136" s="779"/>
      <c r="X1136" s="779" t="s">
        <v>4332</v>
      </c>
      <c r="Y1136" s="789" t="s">
        <v>3864</v>
      </c>
      <c r="Z1136" s="811">
        <v>2.5304</v>
      </c>
      <c r="AA1136" s="789">
        <f t="shared" si="367"/>
        <v>2520.2784</v>
      </c>
      <c r="AB1136" s="783"/>
      <c r="AC1136" s="1359" t="s">
        <v>4333</v>
      </c>
      <c r="AD1136" s="780" t="s">
        <v>68</v>
      </c>
      <c r="AE1136" s="780" t="s">
        <v>82</v>
      </c>
      <c r="AF1136" s="780"/>
      <c r="AG1136" s="780"/>
      <c r="AH1136" s="780"/>
      <c r="AI1136" s="779">
        <v>996</v>
      </c>
      <c r="AJ1136" s="780">
        <f t="shared" si="368"/>
        <v>0</v>
      </c>
      <c r="AK1136" s="780"/>
      <c r="AL1136" s="780" t="s">
        <v>2368</v>
      </c>
      <c r="AM1136" s="783"/>
      <c r="AN1136" s="783">
        <f t="shared" si="369"/>
        <v>996</v>
      </c>
      <c r="AO1136" s="783"/>
      <c r="AP1136" s="783"/>
      <c r="AQ1136" s="783"/>
      <c r="AR1136" s="783">
        <f t="shared" si="378"/>
        <v>996</v>
      </c>
      <c r="AS1136" s="783"/>
      <c r="AT1136" s="783"/>
      <c r="AU1136" s="783">
        <f t="shared" si="376"/>
        <v>996</v>
      </c>
      <c r="AV1136" s="783"/>
      <c r="AW1136" s="783">
        <f t="shared" si="377"/>
        <v>996</v>
      </c>
      <c r="AX1136" s="792"/>
      <c r="AY1136" s="783"/>
      <c r="AZ1136" s="783"/>
      <c r="BA1136" s="783"/>
      <c r="BB1136" s="783"/>
      <c r="BC1136" s="783"/>
      <c r="BD1136" s="783"/>
      <c r="BE1136" s="783"/>
      <c r="BF1136" s="783"/>
      <c r="BG1136" s="783"/>
      <c r="BH1136" s="783"/>
      <c r="BI1136" s="783"/>
      <c r="BJ1136" s="783"/>
      <c r="BK1136" s="783"/>
      <c r="BL1136" s="783"/>
      <c r="BM1136" s="783"/>
      <c r="BN1136" s="783"/>
      <c r="BO1136" s="783"/>
      <c r="BP1136" s="783"/>
      <c r="BQ1136" s="783"/>
      <c r="BR1136" s="783"/>
      <c r="BS1136" s="783"/>
      <c r="BT1136" s="783"/>
      <c r="BU1136" s="783"/>
      <c r="BV1136" s="783"/>
      <c r="BW1136" s="783"/>
      <c r="BX1136" s="783"/>
      <c r="BY1136" s="783"/>
      <c r="BZ1136" s="783"/>
      <c r="CA1136" s="783"/>
      <c r="CB1136" s="783"/>
      <c r="CC1136" s="783"/>
      <c r="CD1136" s="783"/>
      <c r="CE1136" s="783"/>
      <c r="CF1136" s="783"/>
      <c r="CG1136" s="783"/>
      <c r="CH1136" s="797"/>
      <c r="CI1136" s="797"/>
      <c r="CJ1136" s="797"/>
      <c r="CK1136" s="797"/>
      <c r="CL1136" s="797"/>
      <c r="CM1136" s="783"/>
      <c r="CN1136" s="783"/>
      <c r="CO1136" s="783"/>
      <c r="CP1136" s="797"/>
      <c r="CQ1136" s="797"/>
      <c r="CR1136" s="797"/>
      <c r="CS1136" s="797"/>
      <c r="CT1136" s="797"/>
      <c r="CU1136" s="797"/>
      <c r="CV1136" s="1358"/>
    </row>
    <row r="1137" s="1268" customFormat="1" ht="31" customHeight="1" spans="1:100">
      <c r="A1137" s="778">
        <v>46126</v>
      </c>
      <c r="B1137" s="779" t="s">
        <v>3340</v>
      </c>
      <c r="C1137" s="780" t="s">
        <v>98</v>
      </c>
      <c r="D1137" s="783">
        <v>4500201732</v>
      </c>
      <c r="E1137" s="780">
        <v>127323</v>
      </c>
      <c r="F1137" s="783" t="s">
        <v>4334</v>
      </c>
      <c r="G1137" s="780" t="s">
        <v>68</v>
      </c>
      <c r="H1137" s="780" t="s">
        <v>69</v>
      </c>
      <c r="I1137" s="784">
        <v>600</v>
      </c>
      <c r="J1137" s="780">
        <v>0</v>
      </c>
      <c r="K1137" s="780">
        <v>12</v>
      </c>
      <c r="L1137" s="785">
        <f t="shared" si="366"/>
        <v>50</v>
      </c>
      <c r="M1137" s="786">
        <v>46191</v>
      </c>
      <c r="N1137" s="786">
        <v>46188</v>
      </c>
      <c r="O1137" s="782"/>
      <c r="P1137" s="780" t="s">
        <v>113</v>
      </c>
      <c r="Q1137" s="787" t="s">
        <v>4234</v>
      </c>
      <c r="R1137" s="787">
        <v>46126</v>
      </c>
      <c r="S1137" s="787" t="s">
        <v>70</v>
      </c>
      <c r="T1137" s="787" t="s">
        <v>4328</v>
      </c>
      <c r="U1137" s="787"/>
      <c r="V1137" s="787"/>
      <c r="W1137" s="779"/>
      <c r="X1137" s="779" t="s">
        <v>4335</v>
      </c>
      <c r="Y1137" s="789" t="s">
        <v>3864</v>
      </c>
      <c r="Z1137" s="811">
        <v>2.5304</v>
      </c>
      <c r="AA1137" s="789">
        <f t="shared" si="367"/>
        <v>1518.24</v>
      </c>
      <c r="AB1137" s="783"/>
      <c r="AC1137" s="1359" t="s">
        <v>4336</v>
      </c>
      <c r="AD1137" s="780" t="s">
        <v>68</v>
      </c>
      <c r="AE1137" s="780" t="s">
        <v>82</v>
      </c>
      <c r="AF1137" s="780"/>
      <c r="AG1137" s="780"/>
      <c r="AH1137" s="780"/>
      <c r="AI1137" s="779">
        <v>600</v>
      </c>
      <c r="AJ1137" s="780">
        <f t="shared" si="368"/>
        <v>0</v>
      </c>
      <c r="AK1137" s="780"/>
      <c r="AL1137" s="780" t="s">
        <v>2368</v>
      </c>
      <c r="AM1137" s="783"/>
      <c r="AN1137" s="783">
        <f t="shared" si="369"/>
        <v>600</v>
      </c>
      <c r="AO1137" s="783"/>
      <c r="AP1137" s="783"/>
      <c r="AQ1137" s="783"/>
      <c r="AR1137" s="783">
        <f t="shared" si="378"/>
        <v>600</v>
      </c>
      <c r="AS1137" s="783"/>
      <c r="AT1137" s="783"/>
      <c r="AU1137" s="783">
        <f t="shared" si="376"/>
        <v>600</v>
      </c>
      <c r="AV1137" s="783"/>
      <c r="AW1137" s="783">
        <f t="shared" si="377"/>
        <v>600</v>
      </c>
      <c r="AX1137" s="792"/>
      <c r="AY1137" s="783"/>
      <c r="AZ1137" s="783"/>
      <c r="BA1137" s="783"/>
      <c r="BB1137" s="783"/>
      <c r="BC1137" s="783"/>
      <c r="BD1137" s="783"/>
      <c r="BE1137" s="783"/>
      <c r="BF1137" s="783"/>
      <c r="BG1137" s="783"/>
      <c r="BH1137" s="783"/>
      <c r="BI1137" s="783"/>
      <c r="BJ1137" s="783"/>
      <c r="BK1137" s="783"/>
      <c r="BL1137" s="783"/>
      <c r="BM1137" s="783"/>
      <c r="BN1137" s="783"/>
      <c r="BO1137" s="783"/>
      <c r="BP1137" s="783"/>
      <c r="BQ1137" s="783"/>
      <c r="BR1137" s="783"/>
      <c r="BS1137" s="783"/>
      <c r="BT1137" s="783"/>
      <c r="BU1137" s="783"/>
      <c r="BV1137" s="783"/>
      <c r="BW1137" s="783"/>
      <c r="BX1137" s="783"/>
      <c r="BY1137" s="783"/>
      <c r="BZ1137" s="783"/>
      <c r="CA1137" s="783"/>
      <c r="CB1137" s="783"/>
      <c r="CC1137" s="783"/>
      <c r="CD1137" s="783"/>
      <c r="CE1137" s="783"/>
      <c r="CF1137" s="783"/>
      <c r="CG1137" s="783"/>
      <c r="CH1137" s="797"/>
      <c r="CI1137" s="797"/>
      <c r="CJ1137" s="797"/>
      <c r="CK1137" s="797"/>
      <c r="CL1137" s="797"/>
      <c r="CM1137" s="783"/>
      <c r="CN1137" s="783"/>
      <c r="CO1137" s="783"/>
      <c r="CP1137" s="797"/>
      <c r="CQ1137" s="797"/>
      <c r="CR1137" s="797"/>
      <c r="CS1137" s="797"/>
      <c r="CT1137" s="797"/>
      <c r="CU1137" s="797"/>
      <c r="CV1137" s="1358"/>
    </row>
    <row r="1138" s="1268" customFormat="1" ht="31" customHeight="1" spans="1:100">
      <c r="A1138" s="778">
        <v>46126</v>
      </c>
      <c r="B1138" s="779" t="s">
        <v>3340</v>
      </c>
      <c r="C1138" s="780" t="s">
        <v>98</v>
      </c>
      <c r="D1138" s="783">
        <v>4500201738</v>
      </c>
      <c r="E1138" s="780">
        <v>127331</v>
      </c>
      <c r="F1138" s="783" t="s">
        <v>4337</v>
      </c>
      <c r="G1138" s="780" t="s">
        <v>68</v>
      </c>
      <c r="H1138" s="780" t="s">
        <v>69</v>
      </c>
      <c r="I1138" s="784">
        <v>1200</v>
      </c>
      <c r="J1138" s="780">
        <v>0</v>
      </c>
      <c r="K1138" s="780">
        <v>12</v>
      </c>
      <c r="L1138" s="785">
        <f t="shared" si="366"/>
        <v>100</v>
      </c>
      <c r="M1138" s="786">
        <v>46191</v>
      </c>
      <c r="N1138" s="786">
        <v>46188</v>
      </c>
      <c r="O1138" s="782"/>
      <c r="P1138" s="780" t="s">
        <v>113</v>
      </c>
      <c r="Q1138" s="787" t="s">
        <v>4338</v>
      </c>
      <c r="R1138" s="787">
        <v>46126</v>
      </c>
      <c r="S1138" s="787" t="s">
        <v>70</v>
      </c>
      <c r="T1138" s="787" t="s">
        <v>4328</v>
      </c>
      <c r="U1138" s="787"/>
      <c r="V1138" s="787"/>
      <c r="W1138" s="779"/>
      <c r="X1138" s="779" t="s">
        <v>4339</v>
      </c>
      <c r="Y1138" s="789" t="s">
        <v>3864</v>
      </c>
      <c r="Z1138" s="811">
        <v>2.5304</v>
      </c>
      <c r="AA1138" s="789">
        <f t="shared" si="367"/>
        <v>3036.48</v>
      </c>
      <c r="AB1138" s="783"/>
      <c r="AC1138" s="1359" t="s">
        <v>4340</v>
      </c>
      <c r="AD1138" s="780" t="s">
        <v>68</v>
      </c>
      <c r="AE1138" s="780" t="s">
        <v>82</v>
      </c>
      <c r="AF1138" s="780"/>
      <c r="AG1138" s="780"/>
      <c r="AH1138" s="780"/>
      <c r="AI1138" s="779">
        <v>1200</v>
      </c>
      <c r="AJ1138" s="780">
        <f t="shared" si="368"/>
        <v>0</v>
      </c>
      <c r="AK1138" s="780"/>
      <c r="AL1138" s="780" t="s">
        <v>2368</v>
      </c>
      <c r="AM1138" s="783"/>
      <c r="AN1138" s="783">
        <f t="shared" si="369"/>
        <v>1200</v>
      </c>
      <c r="AO1138" s="783"/>
      <c r="AP1138" s="783"/>
      <c r="AQ1138" s="783"/>
      <c r="AR1138" s="783">
        <f t="shared" si="378"/>
        <v>1200</v>
      </c>
      <c r="AS1138" s="783"/>
      <c r="AT1138" s="783"/>
      <c r="AU1138" s="783">
        <f t="shared" si="376"/>
        <v>1200</v>
      </c>
      <c r="AV1138" s="783"/>
      <c r="AW1138" s="783">
        <f t="shared" si="377"/>
        <v>1200</v>
      </c>
      <c r="AX1138" s="792"/>
      <c r="AY1138" s="783"/>
      <c r="AZ1138" s="783"/>
      <c r="BA1138" s="783"/>
      <c r="BB1138" s="783"/>
      <c r="BC1138" s="783"/>
      <c r="BD1138" s="783"/>
      <c r="BE1138" s="783"/>
      <c r="BF1138" s="783"/>
      <c r="BG1138" s="783"/>
      <c r="BH1138" s="783"/>
      <c r="BI1138" s="783"/>
      <c r="BJ1138" s="783"/>
      <c r="BK1138" s="783"/>
      <c r="BL1138" s="783"/>
      <c r="BM1138" s="783"/>
      <c r="BN1138" s="783"/>
      <c r="BO1138" s="783"/>
      <c r="BP1138" s="783"/>
      <c r="BQ1138" s="783"/>
      <c r="BR1138" s="783"/>
      <c r="BS1138" s="783"/>
      <c r="BT1138" s="783"/>
      <c r="BU1138" s="783"/>
      <c r="BV1138" s="783"/>
      <c r="BW1138" s="783"/>
      <c r="BX1138" s="783"/>
      <c r="BY1138" s="783"/>
      <c r="BZ1138" s="783"/>
      <c r="CA1138" s="783"/>
      <c r="CB1138" s="783"/>
      <c r="CC1138" s="783"/>
      <c r="CD1138" s="783"/>
      <c r="CE1138" s="783"/>
      <c r="CF1138" s="783"/>
      <c r="CG1138" s="783"/>
      <c r="CH1138" s="797"/>
      <c r="CI1138" s="797"/>
      <c r="CJ1138" s="797"/>
      <c r="CK1138" s="797"/>
      <c r="CL1138" s="797"/>
      <c r="CM1138" s="783"/>
      <c r="CN1138" s="783"/>
      <c r="CO1138" s="783"/>
      <c r="CP1138" s="797"/>
      <c r="CQ1138" s="797"/>
      <c r="CR1138" s="797"/>
      <c r="CS1138" s="797"/>
      <c r="CT1138" s="797"/>
      <c r="CU1138" s="797"/>
      <c r="CV1138" s="1358"/>
    </row>
    <row r="1139" s="1268" customFormat="1" ht="31" customHeight="1" spans="1:100">
      <c r="A1139" s="778">
        <v>46126</v>
      </c>
      <c r="B1139" s="779" t="s">
        <v>3340</v>
      </c>
      <c r="C1139" s="780" t="s">
        <v>98</v>
      </c>
      <c r="D1139" s="783">
        <v>4500201739</v>
      </c>
      <c r="E1139" s="780">
        <v>127335</v>
      </c>
      <c r="F1139" s="783" t="s">
        <v>4341</v>
      </c>
      <c r="G1139" s="780" t="s">
        <v>68</v>
      </c>
      <c r="H1139" s="780" t="s">
        <v>69</v>
      </c>
      <c r="I1139" s="784">
        <v>1200</v>
      </c>
      <c r="J1139" s="780">
        <v>0</v>
      </c>
      <c r="K1139" s="780">
        <v>12</v>
      </c>
      <c r="L1139" s="785">
        <f t="shared" si="366"/>
        <v>100</v>
      </c>
      <c r="M1139" s="786">
        <v>46191</v>
      </c>
      <c r="N1139" s="786">
        <v>46188</v>
      </c>
      <c r="O1139" s="782"/>
      <c r="P1139" s="780" t="s">
        <v>113</v>
      </c>
      <c r="Q1139" s="787" t="s">
        <v>4342</v>
      </c>
      <c r="R1139" s="787">
        <v>46126</v>
      </c>
      <c r="S1139" s="787" t="s">
        <v>70</v>
      </c>
      <c r="T1139" s="787" t="s">
        <v>4328</v>
      </c>
      <c r="U1139" s="787"/>
      <c r="V1139" s="787"/>
      <c r="W1139" s="779"/>
      <c r="X1139" s="779" t="s">
        <v>4343</v>
      </c>
      <c r="Y1139" s="789" t="s">
        <v>3864</v>
      </c>
      <c r="Z1139" s="811">
        <v>2.5304</v>
      </c>
      <c r="AA1139" s="789">
        <f t="shared" si="367"/>
        <v>3036.48</v>
      </c>
      <c r="AB1139" s="783"/>
      <c r="AC1139" s="1359" t="s">
        <v>4344</v>
      </c>
      <c r="AD1139" s="780" t="s">
        <v>68</v>
      </c>
      <c r="AE1139" s="780" t="s">
        <v>82</v>
      </c>
      <c r="AF1139" s="780"/>
      <c r="AG1139" s="780"/>
      <c r="AH1139" s="780"/>
      <c r="AI1139" s="779">
        <v>1200</v>
      </c>
      <c r="AJ1139" s="780">
        <f t="shared" si="368"/>
        <v>0</v>
      </c>
      <c r="AK1139" s="780"/>
      <c r="AL1139" s="780" t="s">
        <v>2368</v>
      </c>
      <c r="AM1139" s="783"/>
      <c r="AN1139" s="783">
        <f t="shared" si="369"/>
        <v>1200</v>
      </c>
      <c r="AO1139" s="783"/>
      <c r="AP1139" s="783"/>
      <c r="AQ1139" s="783"/>
      <c r="AR1139" s="783">
        <f t="shared" si="378"/>
        <v>1200</v>
      </c>
      <c r="AS1139" s="783"/>
      <c r="AT1139" s="783"/>
      <c r="AU1139" s="783">
        <f t="shared" si="376"/>
        <v>1200</v>
      </c>
      <c r="AV1139" s="783"/>
      <c r="AW1139" s="783">
        <f t="shared" si="377"/>
        <v>1200</v>
      </c>
      <c r="AX1139" s="792"/>
      <c r="AY1139" s="783"/>
      <c r="AZ1139" s="783"/>
      <c r="BA1139" s="783"/>
      <c r="BB1139" s="783"/>
      <c r="BC1139" s="783"/>
      <c r="BD1139" s="783"/>
      <c r="BE1139" s="783"/>
      <c r="BF1139" s="783"/>
      <c r="BG1139" s="783"/>
      <c r="BH1139" s="783"/>
      <c r="BI1139" s="783"/>
      <c r="BJ1139" s="783"/>
      <c r="BK1139" s="783"/>
      <c r="BL1139" s="783"/>
      <c r="BM1139" s="783"/>
      <c r="BN1139" s="783"/>
      <c r="BO1139" s="783"/>
      <c r="BP1139" s="783"/>
      <c r="BQ1139" s="783"/>
      <c r="BR1139" s="783"/>
      <c r="BS1139" s="783"/>
      <c r="BT1139" s="783"/>
      <c r="BU1139" s="783"/>
      <c r="BV1139" s="783"/>
      <c r="BW1139" s="783"/>
      <c r="BX1139" s="783"/>
      <c r="BY1139" s="783"/>
      <c r="BZ1139" s="783"/>
      <c r="CA1139" s="783"/>
      <c r="CB1139" s="783"/>
      <c r="CC1139" s="783"/>
      <c r="CD1139" s="783"/>
      <c r="CE1139" s="783"/>
      <c r="CF1139" s="783"/>
      <c r="CG1139" s="783"/>
      <c r="CH1139" s="797"/>
      <c r="CI1139" s="797"/>
      <c r="CJ1139" s="797"/>
      <c r="CK1139" s="797"/>
      <c r="CL1139" s="797"/>
      <c r="CM1139" s="783"/>
      <c r="CN1139" s="783"/>
      <c r="CO1139" s="783"/>
      <c r="CP1139" s="797"/>
      <c r="CQ1139" s="797"/>
      <c r="CR1139" s="797"/>
      <c r="CS1139" s="797"/>
      <c r="CT1139" s="797"/>
      <c r="CU1139" s="797"/>
      <c r="CV1139" s="1358"/>
    </row>
    <row r="1140" s="1268" customFormat="1" ht="31" customHeight="1" spans="1:100">
      <c r="A1140" s="778">
        <v>46126</v>
      </c>
      <c r="B1140" s="779" t="s">
        <v>3340</v>
      </c>
      <c r="C1140" s="780" t="s">
        <v>98</v>
      </c>
      <c r="D1140" s="783">
        <v>4500201740</v>
      </c>
      <c r="E1140" s="780">
        <v>127336</v>
      </c>
      <c r="F1140" s="783" t="s">
        <v>4345</v>
      </c>
      <c r="G1140" s="780" t="s">
        <v>68</v>
      </c>
      <c r="H1140" s="780" t="s">
        <v>69</v>
      </c>
      <c r="I1140" s="784">
        <v>804</v>
      </c>
      <c r="J1140" s="780">
        <v>0</v>
      </c>
      <c r="K1140" s="780">
        <v>12</v>
      </c>
      <c r="L1140" s="785">
        <f t="shared" si="366"/>
        <v>67</v>
      </c>
      <c r="M1140" s="786">
        <v>46191</v>
      </c>
      <c r="N1140" s="786">
        <v>46188</v>
      </c>
      <c r="O1140" s="782"/>
      <c r="P1140" s="780" t="s">
        <v>113</v>
      </c>
      <c r="Q1140" s="787" t="s">
        <v>4342</v>
      </c>
      <c r="R1140" s="787">
        <v>46126</v>
      </c>
      <c r="S1140" s="787" t="s">
        <v>70</v>
      </c>
      <c r="T1140" s="787" t="s">
        <v>4328</v>
      </c>
      <c r="U1140" s="787"/>
      <c r="V1140" s="787"/>
      <c r="W1140" s="779"/>
      <c r="X1140" s="779" t="s">
        <v>4346</v>
      </c>
      <c r="Y1140" s="789" t="s">
        <v>3864</v>
      </c>
      <c r="Z1140" s="811">
        <v>2.5304</v>
      </c>
      <c r="AA1140" s="789">
        <f t="shared" si="367"/>
        <v>2034.4416</v>
      </c>
      <c r="AB1140" s="783"/>
      <c r="AC1140" s="1359" t="s">
        <v>4347</v>
      </c>
      <c r="AD1140" s="780" t="s">
        <v>68</v>
      </c>
      <c r="AE1140" s="780" t="s">
        <v>82</v>
      </c>
      <c r="AF1140" s="780"/>
      <c r="AG1140" s="780"/>
      <c r="AH1140" s="780"/>
      <c r="AI1140" s="779">
        <v>804</v>
      </c>
      <c r="AJ1140" s="780">
        <f t="shared" si="368"/>
        <v>0</v>
      </c>
      <c r="AK1140" s="780"/>
      <c r="AL1140" s="780" t="s">
        <v>2368</v>
      </c>
      <c r="AM1140" s="783"/>
      <c r="AN1140" s="783">
        <f t="shared" si="369"/>
        <v>804</v>
      </c>
      <c r="AO1140" s="783"/>
      <c r="AP1140" s="783"/>
      <c r="AQ1140" s="783"/>
      <c r="AR1140" s="783">
        <f t="shared" si="378"/>
        <v>804</v>
      </c>
      <c r="AS1140" s="783"/>
      <c r="AT1140" s="783"/>
      <c r="AU1140" s="783">
        <f t="shared" si="376"/>
        <v>804</v>
      </c>
      <c r="AV1140" s="783"/>
      <c r="AW1140" s="783">
        <f t="shared" si="377"/>
        <v>804</v>
      </c>
      <c r="AX1140" s="792"/>
      <c r="AY1140" s="783"/>
      <c r="AZ1140" s="783"/>
      <c r="BA1140" s="783"/>
      <c r="BB1140" s="783"/>
      <c r="BC1140" s="783"/>
      <c r="BD1140" s="783"/>
      <c r="BE1140" s="783"/>
      <c r="BF1140" s="783"/>
      <c r="BG1140" s="783"/>
      <c r="BH1140" s="783"/>
      <c r="BI1140" s="783"/>
      <c r="BJ1140" s="783"/>
      <c r="BK1140" s="783"/>
      <c r="BL1140" s="783"/>
      <c r="BM1140" s="783"/>
      <c r="BN1140" s="783"/>
      <c r="BO1140" s="783"/>
      <c r="BP1140" s="783"/>
      <c r="BQ1140" s="783"/>
      <c r="BR1140" s="783"/>
      <c r="BS1140" s="783"/>
      <c r="BT1140" s="783"/>
      <c r="BU1140" s="783"/>
      <c r="BV1140" s="783"/>
      <c r="BW1140" s="783"/>
      <c r="BX1140" s="783"/>
      <c r="BY1140" s="783"/>
      <c r="BZ1140" s="783"/>
      <c r="CA1140" s="783"/>
      <c r="CB1140" s="783"/>
      <c r="CC1140" s="783"/>
      <c r="CD1140" s="783"/>
      <c r="CE1140" s="783"/>
      <c r="CF1140" s="783"/>
      <c r="CG1140" s="783"/>
      <c r="CH1140" s="797"/>
      <c r="CI1140" s="797"/>
      <c r="CJ1140" s="797"/>
      <c r="CK1140" s="797"/>
      <c r="CL1140" s="797"/>
      <c r="CM1140" s="783"/>
      <c r="CN1140" s="783"/>
      <c r="CO1140" s="783"/>
      <c r="CP1140" s="797"/>
      <c r="CQ1140" s="797"/>
      <c r="CR1140" s="797"/>
      <c r="CS1140" s="797"/>
      <c r="CT1140" s="797"/>
      <c r="CU1140" s="797"/>
      <c r="CV1140" s="1358"/>
    </row>
    <row r="1141" s="1268" customFormat="1" ht="31" customHeight="1" spans="1:100">
      <c r="A1141" s="778">
        <v>46136</v>
      </c>
      <c r="B1141" s="779" t="s">
        <v>1728</v>
      </c>
      <c r="C1141" s="780" t="s">
        <v>154</v>
      </c>
      <c r="D1141" s="783" t="s">
        <v>4348</v>
      </c>
      <c r="E1141" s="780" t="s">
        <v>4349</v>
      </c>
      <c r="F1141" s="783" t="s">
        <v>4350</v>
      </c>
      <c r="G1141" s="780" t="s">
        <v>164</v>
      </c>
      <c r="H1141" s="780" t="s">
        <v>112</v>
      </c>
      <c r="I1141" s="784">
        <v>1200</v>
      </c>
      <c r="J1141" s="780">
        <v>0</v>
      </c>
      <c r="K1141" s="780">
        <v>8</v>
      </c>
      <c r="L1141" s="785">
        <f t="shared" si="366"/>
        <v>150</v>
      </c>
      <c r="M1141" s="786">
        <v>46192</v>
      </c>
      <c r="N1141" s="786">
        <v>46188</v>
      </c>
      <c r="O1141" s="782"/>
      <c r="P1141" s="780" t="s">
        <v>113</v>
      </c>
      <c r="Q1141" s="787"/>
      <c r="R1141" s="787">
        <v>46141</v>
      </c>
      <c r="S1141" s="787" t="s">
        <v>70</v>
      </c>
      <c r="T1141" s="787" t="s">
        <v>4351</v>
      </c>
      <c r="U1141" s="787"/>
      <c r="V1141" s="787"/>
      <c r="W1141" s="779"/>
      <c r="X1141" s="779" t="s">
        <v>4352</v>
      </c>
      <c r="Y1141" s="789" t="s">
        <v>1549</v>
      </c>
      <c r="Z1141" s="811">
        <v>4.374</v>
      </c>
      <c r="AA1141" s="789">
        <f t="shared" si="367"/>
        <v>5248.8</v>
      </c>
      <c r="AB1141" s="783"/>
      <c r="AC1141" s="814"/>
      <c r="AD1141" s="780" t="s">
        <v>164</v>
      </c>
      <c r="AE1141" s="780" t="s">
        <v>82</v>
      </c>
      <c r="AF1141" s="780"/>
      <c r="AG1141" s="780"/>
      <c r="AH1141" s="780"/>
      <c r="AI1141" s="779">
        <v>1200</v>
      </c>
      <c r="AJ1141" s="780">
        <f t="shared" si="368"/>
        <v>0</v>
      </c>
      <c r="AK1141" s="780"/>
      <c r="AL1141" s="780" t="s">
        <v>454</v>
      </c>
      <c r="AM1141" s="783"/>
      <c r="AN1141" s="783">
        <f t="shared" si="369"/>
        <v>1200</v>
      </c>
      <c r="AO1141" s="783"/>
      <c r="AP1141" s="783"/>
      <c r="AQ1141" s="783"/>
      <c r="AR1141" s="783"/>
      <c r="AS1141" s="783"/>
      <c r="AT1141" s="783"/>
      <c r="AU1141" s="783"/>
      <c r="AV1141" s="783"/>
      <c r="AW1141" s="783">
        <f t="shared" si="377"/>
        <v>1200</v>
      </c>
      <c r="AX1141" s="792"/>
      <c r="AY1141" s="783"/>
      <c r="AZ1141" s="783"/>
      <c r="BA1141" s="783"/>
      <c r="BB1141" s="783"/>
      <c r="BC1141" s="783"/>
      <c r="BD1141" s="783">
        <f>I1141</f>
        <v>1200</v>
      </c>
      <c r="BE1141" s="783">
        <f>I1141</f>
        <v>1200</v>
      </c>
      <c r="BF1141" s="783"/>
      <c r="BG1141" s="783"/>
      <c r="BH1141" s="783"/>
      <c r="BI1141" s="783">
        <f>I1141/4</f>
        <v>300</v>
      </c>
      <c r="BJ1141" s="783"/>
      <c r="BK1141" s="783"/>
      <c r="BL1141" s="783"/>
      <c r="BM1141" s="783"/>
      <c r="BN1141" s="783"/>
      <c r="BO1141" s="783"/>
      <c r="BP1141" s="783"/>
      <c r="BQ1141" s="783"/>
      <c r="BR1141" s="783"/>
      <c r="BS1141" s="783"/>
      <c r="BT1141" s="783"/>
      <c r="BU1141" s="783"/>
      <c r="BV1141" s="783"/>
      <c r="BW1141" s="783"/>
      <c r="BX1141" s="783"/>
      <c r="BY1141" s="783"/>
      <c r="BZ1141" s="783"/>
      <c r="CA1141" s="783"/>
      <c r="CB1141" s="783"/>
      <c r="CC1141" s="783"/>
      <c r="CD1141" s="783"/>
      <c r="CE1141" s="783"/>
      <c r="CF1141" s="783"/>
      <c r="CG1141" s="783"/>
      <c r="CH1141" s="797"/>
      <c r="CI1141" s="797"/>
      <c r="CJ1141" s="797"/>
      <c r="CK1141" s="797"/>
      <c r="CL1141" s="797"/>
      <c r="CM1141" s="783"/>
      <c r="CN1141" s="783"/>
      <c r="CO1141" s="783"/>
      <c r="CP1141" s="797"/>
      <c r="CQ1141" s="797"/>
      <c r="CR1141" s="797"/>
      <c r="CS1141" s="797"/>
      <c r="CT1141" s="797"/>
      <c r="CU1141" s="797"/>
      <c r="CV1141" s="1358"/>
    </row>
    <row r="1142" s="1268" customFormat="1" ht="31" customHeight="1" spans="1:100">
      <c r="A1142" s="778">
        <v>46120</v>
      </c>
      <c r="B1142" s="779" t="s">
        <v>4353</v>
      </c>
      <c r="C1142" s="780" t="s">
        <v>573</v>
      </c>
      <c r="D1142" s="783" t="s">
        <v>4354</v>
      </c>
      <c r="E1142" s="780" t="s">
        <v>4355</v>
      </c>
      <c r="F1142" s="783" t="s">
        <v>4356</v>
      </c>
      <c r="G1142" s="1360" t="s">
        <v>111</v>
      </c>
      <c r="H1142" s="780" t="s">
        <v>112</v>
      </c>
      <c r="I1142" s="784">
        <v>960</v>
      </c>
      <c r="J1142" s="780">
        <v>0</v>
      </c>
      <c r="K1142" s="780">
        <v>16</v>
      </c>
      <c r="L1142" s="785">
        <f t="shared" si="366"/>
        <v>60</v>
      </c>
      <c r="M1142" s="786">
        <v>46192</v>
      </c>
      <c r="N1142" s="786">
        <v>46188</v>
      </c>
      <c r="O1142" s="807" t="s">
        <v>4357</v>
      </c>
      <c r="P1142" s="780" t="s">
        <v>113</v>
      </c>
      <c r="Q1142" s="787"/>
      <c r="R1142" s="787" t="s">
        <v>4358</v>
      </c>
      <c r="S1142" s="787" t="s">
        <v>70</v>
      </c>
      <c r="T1142" s="787" t="s">
        <v>4359</v>
      </c>
      <c r="U1142" s="787"/>
      <c r="V1142" s="787"/>
      <c r="W1142" s="810" t="s">
        <v>4063</v>
      </c>
      <c r="X1142" s="779" t="s">
        <v>4360</v>
      </c>
      <c r="Y1142" s="789" t="s">
        <v>4065</v>
      </c>
      <c r="Z1142" s="1361">
        <v>4.4494</v>
      </c>
      <c r="AA1142" s="789">
        <f t="shared" si="367"/>
        <v>4271.424</v>
      </c>
      <c r="AB1142" s="783"/>
      <c r="AC1142" s="814"/>
      <c r="AD1142" s="780" t="s">
        <v>447</v>
      </c>
      <c r="AE1142" s="780" t="s">
        <v>82</v>
      </c>
      <c r="AF1142" s="780"/>
      <c r="AG1142" s="780"/>
      <c r="AH1142" s="780"/>
      <c r="AI1142" s="779">
        <v>960</v>
      </c>
      <c r="AJ1142" s="782">
        <f t="shared" si="368"/>
        <v>0</v>
      </c>
      <c r="AK1142" s="780"/>
      <c r="AL1142" s="780" t="s">
        <v>2368</v>
      </c>
      <c r="AM1142" s="783"/>
      <c r="AN1142" s="783">
        <f t="shared" si="369"/>
        <v>960</v>
      </c>
      <c r="AO1142" s="783"/>
      <c r="AP1142" s="783"/>
      <c r="AQ1142" s="783"/>
      <c r="AR1142" s="783"/>
      <c r="AS1142" s="783">
        <f>I1142</f>
        <v>960</v>
      </c>
      <c r="AT1142" s="783"/>
      <c r="AU1142" s="783">
        <f t="shared" ref="AU1142:AU1159" si="379">I1142</f>
        <v>960</v>
      </c>
      <c r="AV1142" s="783"/>
      <c r="AW1142" s="783">
        <f t="shared" si="377"/>
        <v>960</v>
      </c>
      <c r="AX1142" s="792"/>
      <c r="AY1142" s="783"/>
      <c r="AZ1142" s="783"/>
      <c r="BA1142" s="783"/>
      <c r="BB1142" s="783"/>
      <c r="BC1142" s="783"/>
      <c r="BD1142" s="783"/>
      <c r="BE1142" s="783"/>
      <c r="BF1142" s="783"/>
      <c r="BG1142" s="783"/>
      <c r="BH1142" s="783"/>
      <c r="BI1142" s="783">
        <f>I1142/4</f>
        <v>240</v>
      </c>
      <c r="BJ1142" s="783"/>
      <c r="BK1142" s="783"/>
      <c r="BL1142" s="783"/>
      <c r="BM1142" s="783"/>
      <c r="BN1142" s="783"/>
      <c r="BO1142" s="783"/>
      <c r="BP1142" s="783"/>
      <c r="BQ1142" s="783"/>
      <c r="BR1142" s="783"/>
      <c r="BS1142" s="783"/>
      <c r="BT1142" s="783"/>
      <c r="BU1142" s="783"/>
      <c r="BV1142" s="783"/>
      <c r="BW1142" s="783"/>
      <c r="BX1142" s="783"/>
      <c r="BY1142" s="783"/>
      <c r="BZ1142" s="783"/>
      <c r="CA1142" s="783"/>
      <c r="CB1142" s="783"/>
      <c r="CC1142" s="783"/>
      <c r="CD1142" s="783"/>
      <c r="CE1142" s="783"/>
      <c r="CF1142" s="783"/>
      <c r="CG1142" s="783"/>
      <c r="CH1142" s="797"/>
      <c r="CI1142" s="797"/>
      <c r="CJ1142" s="797"/>
      <c r="CK1142" s="797"/>
      <c r="CL1142" s="797"/>
      <c r="CM1142" s="783"/>
      <c r="CN1142" s="783"/>
      <c r="CO1142" s="783"/>
      <c r="CP1142" s="797"/>
      <c r="CQ1142" s="797"/>
      <c r="CR1142" s="797"/>
      <c r="CS1142" s="797"/>
      <c r="CT1142" s="797"/>
      <c r="CU1142" s="797"/>
      <c r="CV1142" s="1358"/>
    </row>
    <row r="1143" s="1268" customFormat="1" ht="31" customHeight="1" spans="1:100">
      <c r="A1143" s="778">
        <v>46108</v>
      </c>
      <c r="B1143" s="779" t="s">
        <v>4361</v>
      </c>
      <c r="C1143" s="780" t="s">
        <v>424</v>
      </c>
      <c r="D1143" s="783">
        <v>4500197002</v>
      </c>
      <c r="E1143" s="780">
        <v>300609410</v>
      </c>
      <c r="F1143" s="783" t="s">
        <v>4362</v>
      </c>
      <c r="G1143" s="780" t="s">
        <v>207</v>
      </c>
      <c r="H1143" s="780" t="s">
        <v>102</v>
      </c>
      <c r="I1143" s="780">
        <v>360</v>
      </c>
      <c r="J1143" s="780">
        <v>0</v>
      </c>
      <c r="K1143" s="780">
        <v>4</v>
      </c>
      <c r="L1143" s="785">
        <f t="shared" si="366"/>
        <v>90</v>
      </c>
      <c r="M1143" s="786">
        <v>46192</v>
      </c>
      <c r="N1143" s="786">
        <v>46188</v>
      </c>
      <c r="O1143" s="782"/>
      <c r="P1143" s="780" t="s">
        <v>113</v>
      </c>
      <c r="Q1143" s="787"/>
      <c r="R1143" s="787">
        <v>46153</v>
      </c>
      <c r="S1143" s="787" t="s">
        <v>70</v>
      </c>
      <c r="T1143" s="787" t="s">
        <v>4363</v>
      </c>
      <c r="U1143" s="787"/>
      <c r="V1143" s="787"/>
      <c r="W1143" s="779"/>
      <c r="X1143" s="779" t="s">
        <v>4364</v>
      </c>
      <c r="Y1143" s="789" t="s">
        <v>4365</v>
      </c>
      <c r="Z1143" s="1361">
        <v>4.3524</v>
      </c>
      <c r="AA1143" s="789">
        <f t="shared" si="367"/>
        <v>1566.864</v>
      </c>
      <c r="AB1143" s="783"/>
      <c r="AC1143" s="814"/>
      <c r="AD1143" s="780" t="s">
        <v>390</v>
      </c>
      <c r="AE1143" s="780" t="s">
        <v>82</v>
      </c>
      <c r="AF1143" s="780"/>
      <c r="AG1143" s="780"/>
      <c r="AH1143" s="780"/>
      <c r="AI1143" s="779">
        <v>360</v>
      </c>
      <c r="AJ1143" s="782">
        <f t="shared" si="368"/>
        <v>0</v>
      </c>
      <c r="AK1143" s="780"/>
      <c r="AL1143" s="780" t="s">
        <v>2368</v>
      </c>
      <c r="AM1143" s="783"/>
      <c r="AN1143" s="783">
        <f t="shared" si="369"/>
        <v>360</v>
      </c>
      <c r="AO1143" s="783"/>
      <c r="AP1143" s="783"/>
      <c r="AQ1143" s="783"/>
      <c r="AR1143" s="783"/>
      <c r="AS1143" s="783">
        <f>I1143</f>
        <v>360</v>
      </c>
      <c r="AT1143" s="783"/>
      <c r="AU1143" s="783">
        <f t="shared" si="379"/>
        <v>360</v>
      </c>
      <c r="AV1143" s="783"/>
      <c r="AW1143" s="783">
        <f t="shared" si="377"/>
        <v>360</v>
      </c>
      <c r="AX1143" s="792"/>
      <c r="AY1143" s="783"/>
      <c r="AZ1143" s="783"/>
      <c r="BA1143" s="783"/>
      <c r="BB1143" s="783"/>
      <c r="BC1143" s="783"/>
      <c r="BD1143" s="783"/>
      <c r="BE1143" s="783"/>
      <c r="BF1143" s="783"/>
      <c r="BG1143" s="783"/>
      <c r="BH1143" s="783"/>
      <c r="BI1143" s="783"/>
      <c r="BJ1143" s="783"/>
      <c r="BK1143" s="783"/>
      <c r="BL1143" s="783"/>
      <c r="BM1143" s="783"/>
      <c r="BN1143" s="783"/>
      <c r="BO1143" s="783"/>
      <c r="BP1143" s="783"/>
      <c r="BQ1143" s="783"/>
      <c r="BR1143" s="783"/>
      <c r="BS1143" s="783"/>
      <c r="BT1143" s="783"/>
      <c r="BU1143" s="783"/>
      <c r="BV1143" s="783"/>
      <c r="BW1143" s="783"/>
      <c r="BX1143" s="783"/>
      <c r="BY1143" s="783"/>
      <c r="BZ1143" s="783"/>
      <c r="CA1143" s="783"/>
      <c r="CB1143" s="783"/>
      <c r="CC1143" s="783"/>
      <c r="CD1143" s="783"/>
      <c r="CE1143" s="783"/>
      <c r="CF1143" s="783"/>
      <c r="CG1143" s="783"/>
      <c r="CH1143" s="797"/>
      <c r="CI1143" s="797"/>
      <c r="CJ1143" s="797"/>
      <c r="CK1143" s="797"/>
      <c r="CL1143" s="797"/>
      <c r="CM1143" s="783"/>
      <c r="CN1143" s="783"/>
      <c r="CO1143" s="783"/>
      <c r="CP1143" s="797"/>
      <c r="CQ1143" s="797"/>
      <c r="CR1143" s="797"/>
      <c r="CS1143" s="797"/>
      <c r="CT1143" s="797"/>
      <c r="CU1143" s="797"/>
      <c r="CV1143" s="1358"/>
    </row>
    <row r="1144" s="1268" customFormat="1" ht="31" customHeight="1" spans="1:100">
      <c r="A1144" s="778">
        <v>46142</v>
      </c>
      <c r="B1144" s="779" t="s">
        <v>1971</v>
      </c>
      <c r="C1144" s="780" t="s">
        <v>810</v>
      </c>
      <c r="D1144" s="783" t="s">
        <v>4366</v>
      </c>
      <c r="E1144" s="780" t="s">
        <v>4367</v>
      </c>
      <c r="F1144" s="783" t="s">
        <v>4368</v>
      </c>
      <c r="G1144" s="780" t="s">
        <v>111</v>
      </c>
      <c r="H1144" s="780" t="s">
        <v>112</v>
      </c>
      <c r="I1144" s="784">
        <v>1504</v>
      </c>
      <c r="J1144" s="780">
        <v>0</v>
      </c>
      <c r="K1144" s="780">
        <v>16</v>
      </c>
      <c r="L1144" s="785">
        <f t="shared" si="366"/>
        <v>94</v>
      </c>
      <c r="M1144" s="786">
        <v>46192</v>
      </c>
      <c r="N1144" s="786">
        <v>46188</v>
      </c>
      <c r="O1144" s="782"/>
      <c r="P1144" s="780" t="s">
        <v>113</v>
      </c>
      <c r="Q1144" s="787"/>
      <c r="R1144" s="787">
        <v>46142</v>
      </c>
      <c r="S1144" s="787" t="s">
        <v>70</v>
      </c>
      <c r="T1144" s="787" t="s">
        <v>4369</v>
      </c>
      <c r="U1144" s="787"/>
      <c r="V1144" s="787"/>
      <c r="W1144" s="779"/>
      <c r="X1144" s="779" t="s">
        <v>4370</v>
      </c>
      <c r="Y1144" s="789" t="s">
        <v>230</v>
      </c>
      <c r="Z1144" s="811">
        <v>4.4494</v>
      </c>
      <c r="AA1144" s="789">
        <f t="shared" si="367"/>
        <v>6691.8976</v>
      </c>
      <c r="AB1144" s="783"/>
      <c r="AC1144" s="814"/>
      <c r="AD1144" s="780" t="s">
        <v>111</v>
      </c>
      <c r="AE1144" s="780" t="s">
        <v>82</v>
      </c>
      <c r="AF1144" s="780"/>
      <c r="AG1144" s="780"/>
      <c r="AH1144" s="780"/>
      <c r="AI1144" s="779">
        <v>1504</v>
      </c>
      <c r="AJ1144" s="782">
        <f t="shared" si="368"/>
        <v>0</v>
      </c>
      <c r="AK1144" s="780"/>
      <c r="AL1144" s="780" t="s">
        <v>2368</v>
      </c>
      <c r="AM1144" s="783"/>
      <c r="AN1144" s="783">
        <f t="shared" si="369"/>
        <v>1504</v>
      </c>
      <c r="AO1144" s="783"/>
      <c r="AP1144" s="783"/>
      <c r="AQ1144" s="783"/>
      <c r="AR1144" s="783">
        <f>I1144</f>
        <v>1504</v>
      </c>
      <c r="AS1144" s="783"/>
      <c r="AT1144" s="783"/>
      <c r="AU1144" s="783">
        <f t="shared" si="379"/>
        <v>1504</v>
      </c>
      <c r="AV1144" s="783"/>
      <c r="AW1144" s="783">
        <f t="shared" si="377"/>
        <v>1504</v>
      </c>
      <c r="AX1144" s="792"/>
      <c r="AY1144" s="783"/>
      <c r="AZ1144" s="783"/>
      <c r="BA1144" s="783"/>
      <c r="BB1144" s="783"/>
      <c r="BC1144" s="783"/>
      <c r="BD1144" s="783"/>
      <c r="BE1144" s="783"/>
      <c r="BF1144" s="783"/>
      <c r="BG1144" s="783"/>
      <c r="BH1144" s="783">
        <f>I1144/4</f>
        <v>376</v>
      </c>
      <c r="BI1144" s="783"/>
      <c r="BJ1144" s="783"/>
      <c r="BK1144" s="783"/>
      <c r="BL1144" s="783"/>
      <c r="BM1144" s="783"/>
      <c r="BN1144" s="783"/>
      <c r="BO1144" s="783"/>
      <c r="BP1144" s="783"/>
      <c r="BQ1144" s="783"/>
      <c r="BR1144" s="783"/>
      <c r="BS1144" s="783"/>
      <c r="BT1144" s="783"/>
      <c r="BU1144" s="783"/>
      <c r="BV1144" s="783"/>
      <c r="BW1144" s="783"/>
      <c r="BX1144" s="783"/>
      <c r="BY1144" s="783"/>
      <c r="BZ1144" s="783"/>
      <c r="CA1144" s="783"/>
      <c r="CB1144" s="783"/>
      <c r="CC1144" s="783"/>
      <c r="CD1144" s="783"/>
      <c r="CE1144" s="783"/>
      <c r="CF1144" s="783"/>
      <c r="CG1144" s="783"/>
      <c r="CH1144" s="797"/>
      <c r="CI1144" s="797"/>
      <c r="CJ1144" s="797"/>
      <c r="CK1144" s="797"/>
      <c r="CL1144" s="797"/>
      <c r="CM1144" s="783"/>
      <c r="CN1144" s="783"/>
      <c r="CO1144" s="783"/>
      <c r="CP1144" s="797"/>
      <c r="CQ1144" s="797"/>
      <c r="CR1144" s="797"/>
      <c r="CS1144" s="797"/>
      <c r="CT1144" s="797"/>
      <c r="CU1144" s="797"/>
      <c r="CV1144" s="1358"/>
    </row>
    <row r="1145" s="1268" customFormat="1" ht="31" customHeight="1" spans="1:100">
      <c r="A1145" s="778">
        <v>46150</v>
      </c>
      <c r="B1145" s="779" t="s">
        <v>4371</v>
      </c>
      <c r="C1145" s="780" t="s">
        <v>98</v>
      </c>
      <c r="D1145" s="783" t="s">
        <v>4372</v>
      </c>
      <c r="E1145" s="780" t="s">
        <v>4373</v>
      </c>
      <c r="F1145" s="783" t="s">
        <v>4374</v>
      </c>
      <c r="G1145" s="780" t="s">
        <v>101</v>
      </c>
      <c r="H1145" s="780" t="s">
        <v>102</v>
      </c>
      <c r="I1145" s="784">
        <v>2560</v>
      </c>
      <c r="J1145" s="780">
        <v>0</v>
      </c>
      <c r="K1145" s="780">
        <v>4</v>
      </c>
      <c r="L1145" s="785">
        <f t="shared" si="366"/>
        <v>640</v>
      </c>
      <c r="M1145" s="786">
        <v>46188</v>
      </c>
      <c r="N1145" s="786">
        <v>46184</v>
      </c>
      <c r="O1145" s="807" t="s">
        <v>4375</v>
      </c>
      <c r="P1145" s="780" t="s">
        <v>113</v>
      </c>
      <c r="Q1145" s="787">
        <v>46206</v>
      </c>
      <c r="R1145" s="787" t="s">
        <v>3066</v>
      </c>
      <c r="S1145" s="787" t="s">
        <v>70</v>
      </c>
      <c r="T1145" s="787" t="s">
        <v>4376</v>
      </c>
      <c r="U1145" s="787"/>
      <c r="V1145" s="787"/>
      <c r="W1145" s="779"/>
      <c r="X1145" s="779" t="s">
        <v>4377</v>
      </c>
      <c r="Y1145" s="789" t="s">
        <v>4378</v>
      </c>
      <c r="Z1145" s="811">
        <v>2.605</v>
      </c>
      <c r="AA1145" s="789">
        <f t="shared" si="367"/>
        <v>6668.8</v>
      </c>
      <c r="AB1145" s="783"/>
      <c r="AC1145" s="1359" t="s">
        <v>4379</v>
      </c>
      <c r="AD1145" s="780" t="s">
        <v>101</v>
      </c>
      <c r="AE1145" s="780" t="s">
        <v>82</v>
      </c>
      <c r="AF1145" s="780"/>
      <c r="AG1145" s="780"/>
      <c r="AH1145" s="780"/>
      <c r="AI1145" s="1362">
        <v>2560</v>
      </c>
      <c r="AJ1145" s="782">
        <f t="shared" si="368"/>
        <v>0</v>
      </c>
      <c r="AK1145" s="780"/>
      <c r="AL1145" s="780" t="s">
        <v>2368</v>
      </c>
      <c r="AM1145" s="783"/>
      <c r="AN1145" s="783">
        <f t="shared" si="369"/>
        <v>2560</v>
      </c>
      <c r="AO1145" s="783"/>
      <c r="AP1145" s="783"/>
      <c r="AQ1145" s="783"/>
      <c r="AR1145" s="783">
        <f>I1145</f>
        <v>2560</v>
      </c>
      <c r="AS1145" s="783"/>
      <c r="AT1145" s="783"/>
      <c r="AU1145" s="783">
        <f t="shared" si="379"/>
        <v>2560</v>
      </c>
      <c r="AV1145" s="783"/>
      <c r="AW1145" s="783">
        <f t="shared" si="377"/>
        <v>2560</v>
      </c>
      <c r="AX1145" s="792"/>
      <c r="AY1145" s="783"/>
      <c r="AZ1145" s="783"/>
      <c r="BA1145" s="783"/>
      <c r="BB1145" s="783"/>
      <c r="BC1145" s="783"/>
      <c r="BD1145" s="783"/>
      <c r="BE1145" s="783"/>
      <c r="BF1145" s="783"/>
      <c r="BG1145" s="783"/>
      <c r="BH1145" s="783">
        <f>I1145/4</f>
        <v>640</v>
      </c>
      <c r="BI1145" s="783"/>
      <c r="BJ1145" s="783"/>
      <c r="BK1145" s="783"/>
      <c r="BL1145" s="783"/>
      <c r="BM1145" s="783"/>
      <c r="BN1145" s="783"/>
      <c r="BO1145" s="783"/>
      <c r="BP1145" s="783"/>
      <c r="BQ1145" s="783"/>
      <c r="BR1145" s="783"/>
      <c r="BS1145" s="783"/>
      <c r="BT1145" s="783"/>
      <c r="BU1145" s="783"/>
      <c r="BV1145" s="783"/>
      <c r="BW1145" s="783"/>
      <c r="BX1145" s="783"/>
      <c r="BY1145" s="783"/>
      <c r="BZ1145" s="783"/>
      <c r="CA1145" s="783"/>
      <c r="CB1145" s="783"/>
      <c r="CC1145" s="783"/>
      <c r="CD1145" s="783"/>
      <c r="CE1145" s="783"/>
      <c r="CF1145" s="783"/>
      <c r="CG1145" s="783"/>
      <c r="CH1145" s="797"/>
      <c r="CI1145" s="797"/>
      <c r="CJ1145" s="797"/>
      <c r="CK1145" s="797"/>
      <c r="CL1145" s="797"/>
      <c r="CM1145" s="783"/>
      <c r="CN1145" s="783"/>
      <c r="CO1145" s="783"/>
      <c r="CP1145" s="797"/>
      <c r="CQ1145" s="797"/>
      <c r="CR1145" s="797"/>
      <c r="CS1145" s="797"/>
      <c r="CT1145" s="797"/>
      <c r="CU1145" s="797"/>
    </row>
    <row r="1146" s="1268" customFormat="1" ht="31" customHeight="1" spans="1:100">
      <c r="A1146" s="778">
        <v>46150</v>
      </c>
      <c r="B1146" s="779" t="s">
        <v>4371</v>
      </c>
      <c r="C1146" s="780" t="s">
        <v>98</v>
      </c>
      <c r="D1146" s="783" t="s">
        <v>4372</v>
      </c>
      <c r="E1146" s="780" t="s">
        <v>4380</v>
      </c>
      <c r="F1146" s="783" t="s">
        <v>4381</v>
      </c>
      <c r="G1146" s="780" t="s">
        <v>101</v>
      </c>
      <c r="H1146" s="780" t="s">
        <v>102</v>
      </c>
      <c r="I1146" s="784">
        <v>7360</v>
      </c>
      <c r="J1146" s="780">
        <v>0</v>
      </c>
      <c r="K1146" s="780">
        <v>4</v>
      </c>
      <c r="L1146" s="785">
        <f t="shared" si="366"/>
        <v>1840</v>
      </c>
      <c r="M1146" s="786">
        <v>46188</v>
      </c>
      <c r="N1146" s="786">
        <v>46184</v>
      </c>
      <c r="O1146" s="807" t="s">
        <v>4375</v>
      </c>
      <c r="P1146" s="780" t="s">
        <v>113</v>
      </c>
      <c r="Q1146" s="787">
        <v>46209</v>
      </c>
      <c r="R1146" s="787" t="s">
        <v>3066</v>
      </c>
      <c r="S1146" s="787" t="s">
        <v>70</v>
      </c>
      <c r="T1146" s="787" t="s">
        <v>4376</v>
      </c>
      <c r="U1146" s="787"/>
      <c r="V1146" s="787"/>
      <c r="W1146" s="779"/>
      <c r="X1146" s="779" t="s">
        <v>4377</v>
      </c>
      <c r="Y1146" s="789" t="s">
        <v>4378</v>
      </c>
      <c r="Z1146" s="811">
        <v>2.605</v>
      </c>
      <c r="AA1146" s="789">
        <f t="shared" si="367"/>
        <v>19172.8</v>
      </c>
      <c r="AB1146" s="783"/>
      <c r="AC1146" s="1359" t="s">
        <v>4382</v>
      </c>
      <c r="AD1146" s="780" t="s">
        <v>101</v>
      </c>
      <c r="AE1146" s="780" t="s">
        <v>82</v>
      </c>
      <c r="AF1146" s="780"/>
      <c r="AG1146" s="780"/>
      <c r="AH1146" s="780"/>
      <c r="AI1146" s="1362">
        <f>2160+5200</f>
        <v>7360</v>
      </c>
      <c r="AJ1146" s="782">
        <f t="shared" si="368"/>
        <v>0</v>
      </c>
      <c r="AK1146" s="780"/>
      <c r="AL1146" s="780" t="s">
        <v>2368</v>
      </c>
      <c r="AM1146" s="783"/>
      <c r="AN1146" s="783">
        <f t="shared" si="369"/>
        <v>7360</v>
      </c>
      <c r="AO1146" s="783"/>
      <c r="AP1146" s="783"/>
      <c r="AQ1146" s="783"/>
      <c r="AR1146" s="783">
        <f>I1146</f>
        <v>7360</v>
      </c>
      <c r="AS1146" s="783"/>
      <c r="AT1146" s="783"/>
      <c r="AU1146" s="783">
        <f t="shared" si="379"/>
        <v>7360</v>
      </c>
      <c r="AV1146" s="783"/>
      <c r="AW1146" s="783">
        <f t="shared" si="377"/>
        <v>7360</v>
      </c>
      <c r="AX1146" s="792"/>
      <c r="AY1146" s="783"/>
      <c r="AZ1146" s="783"/>
      <c r="BA1146" s="783"/>
      <c r="BB1146" s="783"/>
      <c r="BC1146" s="783"/>
      <c r="BD1146" s="783"/>
      <c r="BE1146" s="783"/>
      <c r="BF1146" s="783"/>
      <c r="BG1146" s="783"/>
      <c r="BH1146" s="783">
        <f>I1146/4</f>
        <v>1840</v>
      </c>
      <c r="BI1146" s="783"/>
      <c r="BJ1146" s="783"/>
      <c r="BK1146" s="783"/>
      <c r="BL1146" s="783"/>
      <c r="BM1146" s="783"/>
      <c r="BN1146" s="783"/>
      <c r="BO1146" s="783"/>
      <c r="BP1146" s="783"/>
      <c r="BQ1146" s="783"/>
      <c r="BR1146" s="783"/>
      <c r="BS1146" s="783"/>
      <c r="BT1146" s="783"/>
      <c r="BU1146" s="783"/>
      <c r="BV1146" s="783"/>
      <c r="BW1146" s="783"/>
      <c r="BX1146" s="783"/>
      <c r="BY1146" s="783"/>
      <c r="BZ1146" s="783"/>
      <c r="CA1146" s="783"/>
      <c r="CB1146" s="783"/>
      <c r="CC1146" s="783"/>
      <c r="CD1146" s="783"/>
      <c r="CE1146" s="783"/>
      <c r="CF1146" s="783"/>
      <c r="CG1146" s="783"/>
      <c r="CH1146" s="797"/>
      <c r="CI1146" s="797"/>
      <c r="CJ1146" s="797"/>
      <c r="CK1146" s="797"/>
      <c r="CL1146" s="797"/>
      <c r="CM1146" s="783"/>
      <c r="CN1146" s="783"/>
      <c r="CO1146" s="783"/>
      <c r="CP1146" s="797"/>
      <c r="CQ1146" s="797"/>
      <c r="CR1146" s="797"/>
      <c r="CS1146" s="797"/>
      <c r="CT1146" s="797"/>
      <c r="CU1146" s="797"/>
    </row>
    <row r="1147" s="1268" customFormat="1" ht="31" customHeight="1" spans="1:100">
      <c r="A1147" s="778">
        <v>46150</v>
      </c>
      <c r="B1147" s="779" t="s">
        <v>4371</v>
      </c>
      <c r="C1147" s="780" t="s">
        <v>98</v>
      </c>
      <c r="D1147" s="783" t="s">
        <v>4372</v>
      </c>
      <c r="E1147" s="780" t="s">
        <v>4383</v>
      </c>
      <c r="F1147" s="783" t="s">
        <v>4384</v>
      </c>
      <c r="G1147" s="780" t="s">
        <v>101</v>
      </c>
      <c r="H1147" s="780" t="s">
        <v>102</v>
      </c>
      <c r="I1147" s="784">
        <v>5120</v>
      </c>
      <c r="J1147" s="780">
        <v>0</v>
      </c>
      <c r="K1147" s="780">
        <v>4</v>
      </c>
      <c r="L1147" s="785">
        <f t="shared" si="366"/>
        <v>1280</v>
      </c>
      <c r="M1147" s="786">
        <v>46188</v>
      </c>
      <c r="N1147" s="786">
        <v>46184</v>
      </c>
      <c r="O1147" s="807" t="s">
        <v>4375</v>
      </c>
      <c r="P1147" s="780" t="s">
        <v>113</v>
      </c>
      <c r="Q1147" s="787">
        <v>46199</v>
      </c>
      <c r="R1147" s="787" t="s">
        <v>3066</v>
      </c>
      <c r="S1147" s="787" t="s">
        <v>70</v>
      </c>
      <c r="T1147" s="787" t="s">
        <v>4376</v>
      </c>
      <c r="U1147" s="787"/>
      <c r="V1147" s="787"/>
      <c r="W1147" s="779"/>
      <c r="X1147" s="779" t="s">
        <v>4377</v>
      </c>
      <c r="Y1147" s="789" t="s">
        <v>4378</v>
      </c>
      <c r="Z1147" s="811">
        <v>2.605</v>
      </c>
      <c r="AA1147" s="789">
        <f t="shared" si="367"/>
        <v>13337.6</v>
      </c>
      <c r="AB1147" s="783"/>
      <c r="AC1147" s="1359" t="s">
        <v>4385</v>
      </c>
      <c r="AD1147" s="780" t="s">
        <v>101</v>
      </c>
      <c r="AE1147" s="780" t="s">
        <v>82</v>
      </c>
      <c r="AF1147" s="780"/>
      <c r="AG1147" s="780"/>
      <c r="AH1147" s="780"/>
      <c r="AI1147" s="1362">
        <v>5120</v>
      </c>
      <c r="AJ1147" s="782">
        <f t="shared" si="368"/>
        <v>0</v>
      </c>
      <c r="AK1147" s="780"/>
      <c r="AL1147" s="780" t="s">
        <v>2368</v>
      </c>
      <c r="AM1147" s="783"/>
      <c r="AN1147" s="783">
        <f t="shared" si="369"/>
        <v>5120</v>
      </c>
      <c r="AO1147" s="783"/>
      <c r="AP1147" s="783"/>
      <c r="AQ1147" s="783"/>
      <c r="AR1147" s="783">
        <f>I1147</f>
        <v>5120</v>
      </c>
      <c r="AS1147" s="783"/>
      <c r="AT1147" s="783"/>
      <c r="AU1147" s="783">
        <f t="shared" si="379"/>
        <v>5120</v>
      </c>
      <c r="AV1147" s="783"/>
      <c r="AW1147" s="783">
        <f t="shared" si="377"/>
        <v>5120</v>
      </c>
      <c r="AX1147" s="792"/>
      <c r="AY1147" s="783"/>
      <c r="AZ1147" s="783"/>
      <c r="BA1147" s="783"/>
      <c r="BB1147" s="783"/>
      <c r="BC1147" s="783"/>
      <c r="BD1147" s="783"/>
      <c r="BE1147" s="783"/>
      <c r="BF1147" s="783"/>
      <c r="BG1147" s="783"/>
      <c r="BH1147" s="783">
        <f>I1147/4</f>
        <v>1280</v>
      </c>
      <c r="BI1147" s="783"/>
      <c r="BJ1147" s="783"/>
      <c r="BK1147" s="783"/>
      <c r="BL1147" s="783"/>
      <c r="BM1147" s="783"/>
      <c r="BN1147" s="783"/>
      <c r="BO1147" s="783"/>
      <c r="BP1147" s="783"/>
      <c r="BQ1147" s="783"/>
      <c r="BR1147" s="783"/>
      <c r="BS1147" s="783"/>
      <c r="BT1147" s="783"/>
      <c r="BU1147" s="783"/>
      <c r="BV1147" s="783"/>
      <c r="BW1147" s="783"/>
      <c r="BX1147" s="783"/>
      <c r="BY1147" s="783"/>
      <c r="BZ1147" s="783"/>
      <c r="CA1147" s="783"/>
      <c r="CB1147" s="783"/>
      <c r="CC1147" s="783"/>
      <c r="CD1147" s="783"/>
      <c r="CE1147" s="783"/>
      <c r="CF1147" s="783"/>
      <c r="CG1147" s="783"/>
      <c r="CH1147" s="797"/>
      <c r="CI1147" s="797"/>
      <c r="CJ1147" s="797"/>
      <c r="CK1147" s="797"/>
      <c r="CL1147" s="797"/>
      <c r="CM1147" s="783"/>
      <c r="CN1147" s="783"/>
      <c r="CO1147" s="783"/>
      <c r="CP1147" s="797"/>
      <c r="CQ1147" s="797"/>
      <c r="CR1147" s="797"/>
      <c r="CS1147" s="797"/>
      <c r="CT1147" s="797"/>
      <c r="CU1147" s="797"/>
    </row>
    <row r="1148" s="1268" customFormat="1" ht="31" customHeight="1" spans="1:100">
      <c r="A1148" s="778">
        <v>46150</v>
      </c>
      <c r="B1148" s="779" t="s">
        <v>4371</v>
      </c>
      <c r="C1148" s="780" t="s">
        <v>98</v>
      </c>
      <c r="D1148" s="783" t="s">
        <v>4372</v>
      </c>
      <c r="E1148" s="780" t="s">
        <v>4386</v>
      </c>
      <c r="F1148" s="783" t="s">
        <v>4387</v>
      </c>
      <c r="G1148" s="780" t="s">
        <v>101</v>
      </c>
      <c r="H1148" s="780" t="s">
        <v>102</v>
      </c>
      <c r="I1148" s="784">
        <v>4800</v>
      </c>
      <c r="J1148" s="780">
        <v>0</v>
      </c>
      <c r="K1148" s="780">
        <v>4</v>
      </c>
      <c r="L1148" s="785">
        <f t="shared" si="366"/>
        <v>1200</v>
      </c>
      <c r="M1148" s="786">
        <v>46188</v>
      </c>
      <c r="N1148" s="786">
        <v>46184</v>
      </c>
      <c r="O1148" s="807" t="s">
        <v>4375</v>
      </c>
      <c r="P1148" s="780" t="s">
        <v>113</v>
      </c>
      <c r="Q1148" s="787">
        <v>46204</v>
      </c>
      <c r="R1148" s="787" t="s">
        <v>3066</v>
      </c>
      <c r="S1148" s="787" t="s">
        <v>70</v>
      </c>
      <c r="T1148" s="787" t="s">
        <v>4376</v>
      </c>
      <c r="U1148" s="787"/>
      <c r="V1148" s="787"/>
      <c r="W1148" s="779"/>
      <c r="X1148" s="779" t="s">
        <v>4377</v>
      </c>
      <c r="Y1148" s="789" t="s">
        <v>4378</v>
      </c>
      <c r="Z1148" s="811">
        <v>2.605</v>
      </c>
      <c r="AA1148" s="789">
        <f t="shared" si="367"/>
        <v>12504</v>
      </c>
      <c r="AB1148" s="783"/>
      <c r="AC1148" s="1359" t="s">
        <v>4388</v>
      </c>
      <c r="AD1148" s="780" t="s">
        <v>101</v>
      </c>
      <c r="AE1148" s="780" t="s">
        <v>82</v>
      </c>
      <c r="AF1148" s="780"/>
      <c r="AG1148" s="780"/>
      <c r="AH1148" s="780"/>
      <c r="AI1148" s="1362">
        <v>4800</v>
      </c>
      <c r="AJ1148" s="782">
        <f t="shared" si="368"/>
        <v>0</v>
      </c>
      <c r="AK1148" s="780"/>
      <c r="AL1148" s="780" t="s">
        <v>2368</v>
      </c>
      <c r="AM1148" s="783"/>
      <c r="AN1148" s="783">
        <f t="shared" si="369"/>
        <v>4800</v>
      </c>
      <c r="AO1148" s="783"/>
      <c r="AP1148" s="783"/>
      <c r="AQ1148" s="783"/>
      <c r="AR1148" s="783">
        <f>I1148</f>
        <v>4800</v>
      </c>
      <c r="AS1148" s="783"/>
      <c r="AT1148" s="783"/>
      <c r="AU1148" s="783">
        <f t="shared" si="379"/>
        <v>4800</v>
      </c>
      <c r="AV1148" s="783"/>
      <c r="AW1148" s="783">
        <f t="shared" si="377"/>
        <v>4800</v>
      </c>
      <c r="AX1148" s="792"/>
      <c r="AY1148" s="783"/>
      <c r="AZ1148" s="783"/>
      <c r="BA1148" s="783"/>
      <c r="BB1148" s="783"/>
      <c r="BC1148" s="783"/>
      <c r="BD1148" s="783"/>
      <c r="BE1148" s="783"/>
      <c r="BF1148" s="783"/>
      <c r="BG1148" s="783"/>
      <c r="BH1148" s="783">
        <f>I1148/4</f>
        <v>1200</v>
      </c>
      <c r="BI1148" s="783"/>
      <c r="BJ1148" s="783"/>
      <c r="BK1148" s="783"/>
      <c r="BL1148" s="783"/>
      <c r="BM1148" s="783"/>
      <c r="BN1148" s="783"/>
      <c r="BO1148" s="783"/>
      <c r="BP1148" s="783"/>
      <c r="BQ1148" s="783"/>
      <c r="BR1148" s="783"/>
      <c r="BS1148" s="783"/>
      <c r="BT1148" s="783"/>
      <c r="BU1148" s="783"/>
      <c r="BV1148" s="783"/>
      <c r="BW1148" s="783"/>
      <c r="BX1148" s="783"/>
      <c r="BY1148" s="783"/>
      <c r="BZ1148" s="783"/>
      <c r="CA1148" s="783"/>
      <c r="CB1148" s="783"/>
      <c r="CC1148" s="783"/>
      <c r="CD1148" s="783"/>
      <c r="CE1148" s="783"/>
      <c r="CF1148" s="783"/>
      <c r="CG1148" s="783"/>
      <c r="CH1148" s="797"/>
      <c r="CI1148" s="797"/>
      <c r="CJ1148" s="797"/>
      <c r="CK1148" s="797"/>
      <c r="CL1148" s="797"/>
      <c r="CM1148" s="783"/>
      <c r="CN1148" s="783"/>
      <c r="CO1148" s="783"/>
      <c r="CP1148" s="797"/>
      <c r="CQ1148" s="797"/>
      <c r="CR1148" s="797"/>
      <c r="CS1148" s="797"/>
      <c r="CT1148" s="797"/>
      <c r="CU1148" s="797"/>
    </row>
    <row r="1149" s="1268" customFormat="1" ht="31" customHeight="1" spans="1:100">
      <c r="A1149" s="778">
        <v>46148</v>
      </c>
      <c r="B1149" s="779" t="s">
        <v>3989</v>
      </c>
      <c r="C1149" s="780" t="s">
        <v>154</v>
      </c>
      <c r="D1149" s="783" t="s">
        <v>4389</v>
      </c>
      <c r="E1149" s="780" t="s">
        <v>4390</v>
      </c>
      <c r="F1149" s="783" t="s">
        <v>4391</v>
      </c>
      <c r="G1149" s="780" t="s">
        <v>518</v>
      </c>
      <c r="H1149" s="780" t="s">
        <v>477</v>
      </c>
      <c r="I1149" s="784">
        <v>1200</v>
      </c>
      <c r="J1149" s="780">
        <v>0</v>
      </c>
      <c r="K1149" s="780">
        <v>6</v>
      </c>
      <c r="L1149" s="785">
        <f t="shared" si="366"/>
        <v>200</v>
      </c>
      <c r="M1149" s="786">
        <v>46188</v>
      </c>
      <c r="N1149" s="786">
        <v>46184</v>
      </c>
      <c r="O1149" s="782"/>
      <c r="P1149" s="780" t="s">
        <v>113</v>
      </c>
      <c r="Q1149" s="787">
        <v>46204</v>
      </c>
      <c r="R1149" s="787">
        <v>46151</v>
      </c>
      <c r="S1149" s="787" t="s">
        <v>70</v>
      </c>
      <c r="T1149" s="787" t="s">
        <v>4392</v>
      </c>
      <c r="U1149" s="787"/>
      <c r="V1149" s="787"/>
      <c r="W1149" s="779"/>
      <c r="X1149" s="810" t="s">
        <v>4393</v>
      </c>
      <c r="Y1149" s="789" t="s">
        <v>1894</v>
      </c>
      <c r="Z1149" s="811">
        <v>6.8992</v>
      </c>
      <c r="AA1149" s="789">
        <f t="shared" si="367"/>
        <v>8279.04</v>
      </c>
      <c r="AB1149" s="783"/>
      <c r="AC1149" s="814"/>
      <c r="AD1149" s="780" t="s">
        <v>480</v>
      </c>
      <c r="AE1149" s="780" t="s">
        <v>82</v>
      </c>
      <c r="AF1149" s="780"/>
      <c r="AG1149" s="780"/>
      <c r="AH1149" s="780"/>
      <c r="AI1149" s="779"/>
      <c r="AJ1149" s="780">
        <f t="shared" si="368"/>
        <v>-1200</v>
      </c>
      <c r="AK1149" s="780"/>
      <c r="AL1149" s="780"/>
      <c r="AM1149" s="783"/>
      <c r="AN1149" s="783">
        <f t="shared" si="369"/>
        <v>1200</v>
      </c>
      <c r="AO1149" s="783"/>
      <c r="AP1149" s="783"/>
      <c r="AQ1149" s="783"/>
      <c r="AR1149" s="783"/>
      <c r="AS1149" s="783">
        <f t="shared" ref="AS1149:AS1155" si="380">I1149</f>
        <v>1200</v>
      </c>
      <c r="AT1149" s="783"/>
      <c r="AU1149" s="783">
        <f t="shared" si="379"/>
        <v>1200</v>
      </c>
      <c r="AV1149" s="783"/>
      <c r="AW1149" s="783">
        <f t="shared" si="377"/>
        <v>1200</v>
      </c>
      <c r="AX1149" s="792"/>
      <c r="AY1149" s="783"/>
      <c r="AZ1149" s="783"/>
      <c r="BA1149" s="783"/>
      <c r="BB1149" s="783"/>
      <c r="BC1149" s="783"/>
      <c r="BD1149" s="783"/>
      <c r="BE1149" s="783"/>
      <c r="BF1149" s="783"/>
      <c r="BG1149" s="783"/>
      <c r="BH1149" s="783"/>
      <c r="BI1149" s="783"/>
      <c r="BJ1149" s="783"/>
      <c r="BK1149" s="783"/>
      <c r="BL1149" s="783"/>
      <c r="BM1149" s="783"/>
      <c r="BN1149" s="783">
        <f>I1149</f>
        <v>1200</v>
      </c>
      <c r="BO1149" s="783"/>
      <c r="BP1149" s="783"/>
      <c r="BQ1149" s="783"/>
      <c r="BR1149" s="783"/>
      <c r="BS1149" s="783"/>
      <c r="BT1149" s="783"/>
      <c r="BU1149" s="783"/>
      <c r="BV1149" s="783"/>
      <c r="BW1149" s="783"/>
      <c r="BX1149" s="783"/>
      <c r="BY1149" s="783"/>
      <c r="BZ1149" s="783"/>
      <c r="CA1149" s="783"/>
      <c r="CB1149" s="783"/>
      <c r="CC1149" s="783"/>
      <c r="CD1149" s="783"/>
      <c r="CE1149" s="783"/>
      <c r="CF1149" s="783"/>
      <c r="CG1149" s="783"/>
      <c r="CH1149" s="797"/>
      <c r="CI1149" s="797"/>
      <c r="CJ1149" s="797"/>
      <c r="CK1149" s="797"/>
      <c r="CL1149" s="797"/>
      <c r="CM1149" s="783"/>
      <c r="CN1149" s="783"/>
      <c r="CO1149" s="783"/>
      <c r="CP1149" s="797"/>
      <c r="CQ1149" s="797"/>
      <c r="CR1149" s="797"/>
      <c r="CS1149" s="797"/>
      <c r="CT1149" s="797"/>
      <c r="CU1149" s="797"/>
    </row>
    <row r="1150" s="1268" customFormat="1" ht="31" customHeight="1" spans="1:100">
      <c r="A1150" s="778">
        <v>46148</v>
      </c>
      <c r="B1150" s="779" t="s">
        <v>738</v>
      </c>
      <c r="C1150" s="780" t="s">
        <v>348</v>
      </c>
      <c r="D1150" s="783" t="s">
        <v>4394</v>
      </c>
      <c r="E1150" s="780" t="s">
        <v>3846</v>
      </c>
      <c r="F1150" s="783" t="s">
        <v>4395</v>
      </c>
      <c r="G1150" s="780" t="s">
        <v>68</v>
      </c>
      <c r="H1150" s="780" t="s">
        <v>69</v>
      </c>
      <c r="I1150" s="784">
        <v>720</v>
      </c>
      <c r="J1150" s="780">
        <v>0</v>
      </c>
      <c r="K1150" s="780">
        <v>12</v>
      </c>
      <c r="L1150" s="785">
        <f t="shared" si="366"/>
        <v>60</v>
      </c>
      <c r="M1150" s="786">
        <v>46188</v>
      </c>
      <c r="N1150" s="786">
        <v>46184</v>
      </c>
      <c r="O1150" s="782"/>
      <c r="P1150" s="780" t="s">
        <v>113</v>
      </c>
      <c r="Q1150" s="787"/>
      <c r="R1150" s="787" t="s">
        <v>4396</v>
      </c>
      <c r="S1150" s="787" t="s">
        <v>70</v>
      </c>
      <c r="T1150" s="787" t="s">
        <v>4397</v>
      </c>
      <c r="U1150" s="787"/>
      <c r="V1150" s="787"/>
      <c r="W1150" s="779"/>
      <c r="X1150" s="779" t="s">
        <v>4398</v>
      </c>
      <c r="Y1150" s="789" t="s">
        <v>529</v>
      </c>
      <c r="Z1150" s="811">
        <v>4.2622</v>
      </c>
      <c r="AA1150" s="789">
        <f t="shared" si="367"/>
        <v>3068.784</v>
      </c>
      <c r="AB1150" s="783"/>
      <c r="AC1150" s="814"/>
      <c r="AD1150" s="780" t="s">
        <v>184</v>
      </c>
      <c r="AE1150" s="780" t="s">
        <v>82</v>
      </c>
      <c r="AF1150" s="780"/>
      <c r="AG1150" s="780"/>
      <c r="AH1150" s="780"/>
      <c r="AI1150" s="779">
        <f>708+12</f>
        <v>720</v>
      </c>
      <c r="AJ1150" s="780">
        <f t="shared" si="368"/>
        <v>0</v>
      </c>
      <c r="AK1150" s="780"/>
      <c r="AL1150" s="780" t="s">
        <v>2368</v>
      </c>
      <c r="AM1150" s="783"/>
      <c r="AN1150" s="783">
        <f t="shared" si="369"/>
        <v>720</v>
      </c>
      <c r="AO1150" s="783"/>
      <c r="AP1150" s="783"/>
      <c r="AQ1150" s="783"/>
      <c r="AR1150" s="783"/>
      <c r="AS1150" s="783">
        <f t="shared" si="380"/>
        <v>720</v>
      </c>
      <c r="AT1150" s="783"/>
      <c r="AU1150" s="783">
        <f t="shared" si="379"/>
        <v>720</v>
      </c>
      <c r="AV1150" s="783"/>
      <c r="AW1150" s="783">
        <f t="shared" si="377"/>
        <v>720</v>
      </c>
      <c r="AX1150" s="792"/>
      <c r="AY1150" s="783"/>
      <c r="AZ1150" s="783"/>
      <c r="BA1150" s="783"/>
      <c r="BB1150" s="783"/>
      <c r="BC1150" s="783"/>
      <c r="BD1150" s="783"/>
      <c r="BE1150" s="783"/>
      <c r="BF1150" s="783"/>
      <c r="BG1150" s="783"/>
      <c r="BH1150" s="783"/>
      <c r="BI1150" s="783"/>
      <c r="BJ1150" s="783"/>
      <c r="BK1150" s="783"/>
      <c r="BL1150" s="783"/>
      <c r="BM1150" s="783"/>
      <c r="BN1150" s="783"/>
      <c r="BO1150" s="783"/>
      <c r="BP1150" s="783"/>
      <c r="BQ1150" s="783"/>
      <c r="BR1150" s="783"/>
      <c r="BS1150" s="783"/>
      <c r="BT1150" s="783"/>
      <c r="BU1150" s="783"/>
      <c r="BV1150" s="783"/>
      <c r="BW1150" s="783"/>
      <c r="BX1150" s="783"/>
      <c r="BY1150" s="783"/>
      <c r="BZ1150" s="783"/>
      <c r="CA1150" s="783"/>
      <c r="CB1150" s="783"/>
      <c r="CC1150" s="783"/>
      <c r="CD1150" s="783"/>
      <c r="CE1150" s="783"/>
      <c r="CF1150" s="783"/>
      <c r="CG1150" s="783"/>
      <c r="CH1150" s="797"/>
      <c r="CI1150" s="797"/>
      <c r="CJ1150" s="797"/>
      <c r="CK1150" s="797"/>
      <c r="CL1150" s="797"/>
      <c r="CM1150" s="783"/>
      <c r="CN1150" s="783"/>
      <c r="CO1150" s="783"/>
      <c r="CP1150" s="797"/>
      <c r="CQ1150" s="797"/>
      <c r="CR1150" s="797"/>
      <c r="CS1150" s="797"/>
      <c r="CT1150" s="797"/>
      <c r="CU1150" s="797"/>
    </row>
    <row r="1151" s="1268" customFormat="1" ht="31" customHeight="1" spans="1:100">
      <c r="A1151" s="778">
        <v>46141</v>
      </c>
      <c r="B1151" s="779" t="s">
        <v>1856</v>
      </c>
      <c r="C1151" s="780" t="s">
        <v>1857</v>
      </c>
      <c r="D1151" s="783" t="s">
        <v>4399</v>
      </c>
      <c r="E1151" s="780" t="s">
        <v>3846</v>
      </c>
      <c r="F1151" s="783" t="s">
        <v>4400</v>
      </c>
      <c r="G1151" s="780" t="s">
        <v>68</v>
      </c>
      <c r="H1151" s="780" t="s">
        <v>69</v>
      </c>
      <c r="I1151" s="784">
        <v>2004</v>
      </c>
      <c r="J1151" s="780">
        <v>0</v>
      </c>
      <c r="K1151" s="780">
        <v>12</v>
      </c>
      <c r="L1151" s="785">
        <f t="shared" si="366"/>
        <v>167</v>
      </c>
      <c r="M1151" s="786">
        <v>46188</v>
      </c>
      <c r="N1151" s="805">
        <v>46188</v>
      </c>
      <c r="O1151" s="782"/>
      <c r="P1151" s="780" t="s">
        <v>113</v>
      </c>
      <c r="Q1151" s="787"/>
      <c r="R1151" s="787">
        <v>46156</v>
      </c>
      <c r="S1151" s="787" t="s">
        <v>70</v>
      </c>
      <c r="T1151" s="787" t="s">
        <v>4401</v>
      </c>
      <c r="U1151" s="787"/>
      <c r="V1151" s="787"/>
      <c r="W1151" s="779"/>
      <c r="X1151" s="779" t="s">
        <v>4402</v>
      </c>
      <c r="Y1151" s="789" t="s">
        <v>529</v>
      </c>
      <c r="Z1151" s="811">
        <v>4.2622</v>
      </c>
      <c r="AA1151" s="789">
        <f t="shared" si="367"/>
        <v>8541.4488</v>
      </c>
      <c r="AB1151" s="783"/>
      <c r="AC1151" s="814"/>
      <c r="AD1151" s="780" t="s">
        <v>184</v>
      </c>
      <c r="AE1151" s="780" t="s">
        <v>82</v>
      </c>
      <c r="AF1151" s="780"/>
      <c r="AG1151" s="780"/>
      <c r="AH1151" s="780"/>
      <c r="AI1151" s="779">
        <v>2004</v>
      </c>
      <c r="AJ1151" s="780">
        <f t="shared" si="368"/>
        <v>0</v>
      </c>
      <c r="AK1151" s="780"/>
      <c r="AL1151" s="780" t="s">
        <v>2368</v>
      </c>
      <c r="AM1151" s="783"/>
      <c r="AN1151" s="783">
        <f t="shared" si="369"/>
        <v>2004</v>
      </c>
      <c r="AO1151" s="783"/>
      <c r="AP1151" s="783"/>
      <c r="AQ1151" s="783"/>
      <c r="AR1151" s="783"/>
      <c r="AS1151" s="783">
        <f t="shared" si="380"/>
        <v>2004</v>
      </c>
      <c r="AT1151" s="783"/>
      <c r="AU1151" s="783">
        <f t="shared" si="379"/>
        <v>2004</v>
      </c>
      <c r="AV1151" s="783"/>
      <c r="AW1151" s="783">
        <f t="shared" si="377"/>
        <v>2004</v>
      </c>
      <c r="AX1151" s="792"/>
      <c r="AY1151" s="783"/>
      <c r="AZ1151" s="783"/>
      <c r="BA1151" s="783"/>
      <c r="BB1151" s="783"/>
      <c r="BC1151" s="783"/>
      <c r="BD1151" s="783"/>
      <c r="BE1151" s="783"/>
      <c r="BF1151" s="783"/>
      <c r="BG1151" s="783"/>
      <c r="BH1151" s="783"/>
      <c r="BI1151" s="783"/>
      <c r="BJ1151" s="783"/>
      <c r="BK1151" s="783"/>
      <c r="BL1151" s="783"/>
      <c r="BM1151" s="783"/>
      <c r="BN1151" s="783"/>
      <c r="BO1151" s="783"/>
      <c r="BP1151" s="783"/>
      <c r="BQ1151" s="783"/>
      <c r="BR1151" s="783"/>
      <c r="BS1151" s="783"/>
      <c r="BT1151" s="783"/>
      <c r="BU1151" s="783"/>
      <c r="BV1151" s="783"/>
      <c r="BW1151" s="783"/>
      <c r="BX1151" s="783"/>
      <c r="BY1151" s="783"/>
      <c r="BZ1151" s="783"/>
      <c r="CA1151" s="783"/>
      <c r="CB1151" s="783"/>
      <c r="CC1151" s="783"/>
      <c r="CD1151" s="783"/>
      <c r="CE1151" s="783"/>
      <c r="CF1151" s="783"/>
      <c r="CG1151" s="783"/>
      <c r="CH1151" s="797"/>
      <c r="CI1151" s="797"/>
      <c r="CJ1151" s="797"/>
      <c r="CK1151" s="797"/>
      <c r="CL1151" s="797"/>
      <c r="CM1151" s="783"/>
      <c r="CN1151" s="783"/>
      <c r="CO1151" s="783"/>
      <c r="CP1151" s="797"/>
      <c r="CQ1151" s="797"/>
      <c r="CR1151" s="797"/>
      <c r="CS1151" s="797"/>
      <c r="CT1151" s="797"/>
      <c r="CU1151" s="797"/>
    </row>
    <row r="1152" s="1268" customFormat="1" ht="31" customHeight="1" spans="1:100">
      <c r="A1152" s="778">
        <v>46139</v>
      </c>
      <c r="B1152" s="779" t="s">
        <v>549</v>
      </c>
      <c r="C1152" s="780" t="s">
        <v>278</v>
      </c>
      <c r="D1152" s="783" t="s">
        <v>4403</v>
      </c>
      <c r="E1152" s="780" t="s">
        <v>4404</v>
      </c>
      <c r="F1152" s="783" t="s">
        <v>4405</v>
      </c>
      <c r="G1152" s="780" t="s">
        <v>518</v>
      </c>
      <c r="H1152" s="780" t="s">
        <v>477</v>
      </c>
      <c r="I1152" s="784">
        <v>558</v>
      </c>
      <c r="J1152" s="780">
        <v>0</v>
      </c>
      <c r="K1152" s="780">
        <v>6</v>
      </c>
      <c r="L1152" s="785">
        <f t="shared" si="366"/>
        <v>93</v>
      </c>
      <c r="M1152" s="786">
        <v>46191</v>
      </c>
      <c r="N1152" s="786">
        <v>46188</v>
      </c>
      <c r="O1152" s="807" t="s">
        <v>4406</v>
      </c>
      <c r="P1152" s="780" t="s">
        <v>113</v>
      </c>
      <c r="Q1152" s="787"/>
      <c r="R1152" s="787" t="s">
        <v>463</v>
      </c>
      <c r="S1152" s="787" t="s">
        <v>104</v>
      </c>
      <c r="T1152" s="787" t="s">
        <v>4407</v>
      </c>
      <c r="U1152" s="787"/>
      <c r="V1152" s="787"/>
      <c r="W1152" s="779"/>
      <c r="X1152" s="810" t="s">
        <v>4408</v>
      </c>
      <c r="Y1152" s="789" t="s">
        <v>428</v>
      </c>
      <c r="Z1152" s="811">
        <v>7.3574</v>
      </c>
      <c r="AA1152" s="789">
        <f t="shared" si="367"/>
        <v>4105.4292</v>
      </c>
      <c r="AB1152" s="783"/>
      <c r="AC1152" s="814"/>
      <c r="AD1152" s="780" t="s">
        <v>480</v>
      </c>
      <c r="AE1152" s="780" t="s">
        <v>82</v>
      </c>
      <c r="AF1152" s="780"/>
      <c r="AG1152" s="780"/>
      <c r="AH1152" s="780"/>
      <c r="AI1152" s="779"/>
      <c r="AJ1152" s="780">
        <f t="shared" si="368"/>
        <v>-558</v>
      </c>
      <c r="AK1152" s="780"/>
      <c r="AL1152" s="780" t="s">
        <v>454</v>
      </c>
      <c r="AM1152" s="783"/>
      <c r="AN1152" s="783">
        <f t="shared" si="369"/>
        <v>558</v>
      </c>
      <c r="AO1152" s="783"/>
      <c r="AP1152" s="783"/>
      <c r="AQ1152" s="783"/>
      <c r="AR1152" s="783"/>
      <c r="AS1152" s="783">
        <f t="shared" si="380"/>
        <v>558</v>
      </c>
      <c r="AT1152" s="783"/>
      <c r="AU1152" s="783">
        <f t="shared" si="379"/>
        <v>558</v>
      </c>
      <c r="AV1152" s="783"/>
      <c r="AW1152" s="783">
        <f t="shared" si="377"/>
        <v>558</v>
      </c>
      <c r="AX1152" s="792"/>
      <c r="AY1152" s="783"/>
      <c r="AZ1152" s="783"/>
      <c r="BA1152" s="783"/>
      <c r="BB1152" s="783"/>
      <c r="BC1152" s="783"/>
      <c r="BD1152" s="783"/>
      <c r="BE1152" s="783"/>
      <c r="BF1152" s="783"/>
      <c r="BG1152" s="783"/>
      <c r="BH1152" s="783"/>
      <c r="BI1152" s="783"/>
      <c r="BJ1152" s="783"/>
      <c r="BK1152" s="783"/>
      <c r="BL1152" s="783"/>
      <c r="BM1152" s="783"/>
      <c r="BN1152" s="783">
        <f>I1152</f>
        <v>558</v>
      </c>
      <c r="BO1152" s="783"/>
      <c r="BP1152" s="783"/>
      <c r="BQ1152" s="783"/>
      <c r="BR1152" s="783"/>
      <c r="BS1152" s="783"/>
      <c r="BT1152" s="783"/>
      <c r="BU1152" s="783"/>
      <c r="BV1152" s="783"/>
      <c r="BW1152" s="783"/>
      <c r="BX1152" s="783"/>
      <c r="BY1152" s="783"/>
      <c r="BZ1152" s="783"/>
      <c r="CA1152" s="783"/>
      <c r="CB1152" s="783"/>
      <c r="CC1152" s="783"/>
      <c r="CD1152" s="783"/>
      <c r="CE1152" s="783"/>
      <c r="CF1152" s="783"/>
      <c r="CG1152" s="783"/>
      <c r="CH1152" s="797"/>
      <c r="CI1152" s="797"/>
      <c r="CJ1152" s="797"/>
      <c r="CK1152" s="797"/>
      <c r="CL1152" s="797"/>
      <c r="CM1152" s="783"/>
      <c r="CN1152" s="783"/>
      <c r="CO1152" s="783"/>
      <c r="CP1152" s="797"/>
      <c r="CQ1152" s="797"/>
      <c r="CR1152" s="797"/>
      <c r="CS1152" s="797"/>
      <c r="CT1152" s="797"/>
      <c r="CU1152" s="797"/>
    </row>
    <row r="1153" s="1268" customFormat="1" ht="31" customHeight="1" spans="1:99">
      <c r="A1153" s="778">
        <v>46139</v>
      </c>
      <c r="B1153" s="779" t="s">
        <v>549</v>
      </c>
      <c r="C1153" s="780" t="s">
        <v>399</v>
      </c>
      <c r="D1153" s="783" t="s">
        <v>4403</v>
      </c>
      <c r="E1153" s="780" t="s">
        <v>4409</v>
      </c>
      <c r="F1153" s="783" t="s">
        <v>4410</v>
      </c>
      <c r="G1153" s="780" t="s">
        <v>518</v>
      </c>
      <c r="H1153" s="780" t="s">
        <v>477</v>
      </c>
      <c r="I1153" s="784">
        <v>504</v>
      </c>
      <c r="J1153" s="780">
        <v>0</v>
      </c>
      <c r="K1153" s="780">
        <v>6</v>
      </c>
      <c r="L1153" s="785">
        <f t="shared" si="366"/>
        <v>84</v>
      </c>
      <c r="M1153" s="786">
        <v>46191</v>
      </c>
      <c r="N1153" s="786">
        <v>46188</v>
      </c>
      <c r="O1153" s="807" t="s">
        <v>4406</v>
      </c>
      <c r="P1153" s="780" t="s">
        <v>113</v>
      </c>
      <c r="Q1153" s="787"/>
      <c r="R1153" s="787" t="s">
        <v>463</v>
      </c>
      <c r="S1153" s="787" t="s">
        <v>104</v>
      </c>
      <c r="T1153" s="787" t="s">
        <v>4411</v>
      </c>
      <c r="U1153" s="787"/>
      <c r="V1153" s="787"/>
      <c r="W1153" s="779"/>
      <c r="X1153" s="810" t="s">
        <v>4408</v>
      </c>
      <c r="Y1153" s="789" t="s">
        <v>428</v>
      </c>
      <c r="Z1153" s="811">
        <v>7.3574</v>
      </c>
      <c r="AA1153" s="789">
        <f t="shared" si="367"/>
        <v>3708.1296</v>
      </c>
      <c r="AB1153" s="783"/>
      <c r="AC1153" s="814"/>
      <c r="AD1153" s="780" t="s">
        <v>480</v>
      </c>
      <c r="AE1153" s="780" t="s">
        <v>82</v>
      </c>
      <c r="AF1153" s="780"/>
      <c r="AG1153" s="780"/>
      <c r="AH1153" s="780"/>
      <c r="AI1153" s="779"/>
      <c r="AJ1153" s="780">
        <f t="shared" si="368"/>
        <v>-504</v>
      </c>
      <c r="AK1153" s="780"/>
      <c r="AL1153" s="780"/>
      <c r="AM1153" s="783"/>
      <c r="AN1153" s="783">
        <f t="shared" si="369"/>
        <v>504</v>
      </c>
      <c r="AO1153" s="783"/>
      <c r="AP1153" s="783"/>
      <c r="AQ1153" s="783"/>
      <c r="AR1153" s="783"/>
      <c r="AS1153" s="783">
        <f t="shared" si="380"/>
        <v>504</v>
      </c>
      <c r="AT1153" s="783"/>
      <c r="AU1153" s="783">
        <f t="shared" si="379"/>
        <v>504</v>
      </c>
      <c r="AV1153" s="783"/>
      <c r="AW1153" s="783">
        <f t="shared" si="377"/>
        <v>504</v>
      </c>
      <c r="AX1153" s="792"/>
      <c r="AY1153" s="783"/>
      <c r="AZ1153" s="783"/>
      <c r="BA1153" s="783"/>
      <c r="BB1153" s="783"/>
      <c r="BC1153" s="783"/>
      <c r="BD1153" s="783"/>
      <c r="BE1153" s="783"/>
      <c r="BF1153" s="783"/>
      <c r="BG1153" s="783"/>
      <c r="BH1153" s="783"/>
      <c r="BI1153" s="783"/>
      <c r="BJ1153" s="783"/>
      <c r="BK1153" s="783"/>
      <c r="BL1153" s="783"/>
      <c r="BM1153" s="783"/>
      <c r="BN1153" s="783">
        <f>I1153</f>
        <v>504</v>
      </c>
      <c r="BO1153" s="783"/>
      <c r="BP1153" s="783"/>
      <c r="BQ1153" s="783"/>
      <c r="BR1153" s="783"/>
      <c r="BS1153" s="783"/>
      <c r="BT1153" s="783"/>
      <c r="BU1153" s="783"/>
      <c r="BV1153" s="783"/>
      <c r="BW1153" s="783"/>
      <c r="BX1153" s="783"/>
      <c r="BY1153" s="783"/>
      <c r="BZ1153" s="783"/>
      <c r="CA1153" s="783"/>
      <c r="CB1153" s="783"/>
      <c r="CC1153" s="783"/>
      <c r="CD1153" s="783"/>
      <c r="CE1153" s="783"/>
      <c r="CF1153" s="783"/>
      <c r="CG1153" s="783"/>
      <c r="CH1153" s="797"/>
      <c r="CI1153" s="797"/>
      <c r="CJ1153" s="797"/>
      <c r="CK1153" s="797"/>
      <c r="CL1153" s="797"/>
      <c r="CM1153" s="783"/>
      <c r="CN1153" s="783"/>
      <c r="CO1153" s="783"/>
      <c r="CP1153" s="797"/>
      <c r="CQ1153" s="797"/>
      <c r="CR1153" s="797"/>
      <c r="CS1153" s="797"/>
      <c r="CT1153" s="797"/>
      <c r="CU1153" s="797"/>
    </row>
    <row r="1154" s="1268" customFormat="1" ht="31" customHeight="1" spans="1:99">
      <c r="A1154" s="778">
        <v>46142</v>
      </c>
      <c r="B1154" s="779" t="s">
        <v>979</v>
      </c>
      <c r="C1154" s="780" t="s">
        <v>980</v>
      </c>
      <c r="D1154" s="783" t="s">
        <v>4412</v>
      </c>
      <c r="E1154" s="780" t="s">
        <v>3846</v>
      </c>
      <c r="F1154" s="783" t="s">
        <v>4413</v>
      </c>
      <c r="G1154" s="780" t="s">
        <v>207</v>
      </c>
      <c r="H1154" s="780" t="s">
        <v>102</v>
      </c>
      <c r="I1154" s="784">
        <v>2000</v>
      </c>
      <c r="J1154" s="780">
        <v>0</v>
      </c>
      <c r="K1154" s="780">
        <v>4</v>
      </c>
      <c r="L1154" s="785">
        <f t="shared" ref="L1154:L1217" si="381">I1154/K1154</f>
        <v>500</v>
      </c>
      <c r="M1154" s="786">
        <v>46192</v>
      </c>
      <c r="N1154" s="786">
        <v>46188</v>
      </c>
      <c r="O1154" s="782"/>
      <c r="P1154" s="780" t="s">
        <v>113</v>
      </c>
      <c r="Q1154" s="787" t="s">
        <v>4414</v>
      </c>
      <c r="R1154" s="787">
        <v>46155</v>
      </c>
      <c r="S1154" s="787" t="s">
        <v>70</v>
      </c>
      <c r="T1154" s="787" t="s">
        <v>4415</v>
      </c>
      <c r="U1154" s="787"/>
      <c r="V1154" s="787"/>
      <c r="W1154" s="779"/>
      <c r="X1154" s="779" t="s">
        <v>4416</v>
      </c>
      <c r="Y1154" s="789" t="s">
        <v>415</v>
      </c>
      <c r="Z1154" s="811">
        <v>4.2966</v>
      </c>
      <c r="AA1154" s="789">
        <f t="shared" ref="AA1154:AA1217" si="382">Z1154*I1154</f>
        <v>8593.2</v>
      </c>
      <c r="AB1154" s="783"/>
      <c r="AC1154" s="814"/>
      <c r="AD1154" s="780" t="s">
        <v>390</v>
      </c>
      <c r="AE1154" s="780" t="s">
        <v>82</v>
      </c>
      <c r="AF1154" s="780"/>
      <c r="AG1154" s="780"/>
      <c r="AH1154" s="780"/>
      <c r="AI1154" s="779">
        <v>2000</v>
      </c>
      <c r="AJ1154" s="782">
        <f t="shared" ref="AJ1154:AJ1217" si="383">AI1154-I1154</f>
        <v>0</v>
      </c>
      <c r="AK1154" s="780"/>
      <c r="AL1154" s="780" t="s">
        <v>2368</v>
      </c>
      <c r="AM1154" s="783"/>
      <c r="AN1154" s="783">
        <f>I1154</f>
        <v>2000</v>
      </c>
      <c r="AO1154" s="783"/>
      <c r="AP1154" s="783"/>
      <c r="AQ1154" s="783"/>
      <c r="AR1154" s="783"/>
      <c r="AS1154" s="783">
        <f t="shared" si="380"/>
        <v>2000</v>
      </c>
      <c r="AT1154" s="783"/>
      <c r="AU1154" s="783">
        <f t="shared" si="379"/>
        <v>2000</v>
      </c>
      <c r="AV1154" s="783"/>
      <c r="AW1154" s="783">
        <f t="shared" si="377"/>
        <v>2000</v>
      </c>
      <c r="AX1154" s="792"/>
      <c r="AY1154" s="783"/>
      <c r="AZ1154" s="783"/>
      <c r="BA1154" s="783"/>
      <c r="BB1154" s="783"/>
      <c r="BC1154" s="783"/>
      <c r="BD1154" s="783"/>
      <c r="BE1154" s="783"/>
      <c r="BF1154" s="783"/>
      <c r="BG1154" s="783"/>
      <c r="BH1154" s="783"/>
      <c r="BI1154" s="783"/>
      <c r="BJ1154" s="783"/>
      <c r="BK1154" s="783"/>
      <c r="BL1154" s="783"/>
      <c r="BM1154" s="783"/>
      <c r="BN1154" s="783"/>
      <c r="BO1154" s="783"/>
      <c r="BP1154" s="783"/>
      <c r="BQ1154" s="783"/>
      <c r="BR1154" s="783"/>
      <c r="BS1154" s="783"/>
      <c r="BT1154" s="783"/>
      <c r="BU1154" s="783"/>
      <c r="BV1154" s="783"/>
      <c r="BW1154" s="783"/>
      <c r="BX1154" s="783"/>
      <c r="BY1154" s="783"/>
      <c r="BZ1154" s="783"/>
      <c r="CA1154" s="783"/>
      <c r="CB1154" s="783"/>
      <c r="CC1154" s="783"/>
      <c r="CD1154" s="783"/>
      <c r="CE1154" s="783"/>
      <c r="CF1154" s="783"/>
      <c r="CG1154" s="783"/>
      <c r="CH1154" s="797"/>
      <c r="CI1154" s="797"/>
      <c r="CJ1154" s="797"/>
      <c r="CK1154" s="797"/>
      <c r="CL1154" s="797"/>
      <c r="CM1154" s="783"/>
      <c r="CN1154" s="783"/>
      <c r="CO1154" s="783"/>
      <c r="CP1154" s="797"/>
      <c r="CQ1154" s="797"/>
      <c r="CR1154" s="797"/>
      <c r="CS1154" s="797"/>
      <c r="CT1154" s="797"/>
      <c r="CU1154" s="797"/>
    </row>
    <row r="1155" s="1268" customFormat="1" ht="31" customHeight="1" spans="1:99">
      <c r="A1155" s="778">
        <v>46134</v>
      </c>
      <c r="B1155" s="779" t="s">
        <v>4417</v>
      </c>
      <c r="C1155" s="780" t="s">
        <v>302</v>
      </c>
      <c r="D1155" s="783" t="s">
        <v>4418</v>
      </c>
      <c r="E1155" s="780" t="s">
        <v>4419</v>
      </c>
      <c r="F1155" s="783" t="s">
        <v>4420</v>
      </c>
      <c r="G1155" s="780" t="s">
        <v>111</v>
      </c>
      <c r="H1155" s="780" t="s">
        <v>112</v>
      </c>
      <c r="I1155" s="784">
        <v>544</v>
      </c>
      <c r="J1155" s="780">
        <v>0</v>
      </c>
      <c r="K1155" s="780">
        <v>16</v>
      </c>
      <c r="L1155" s="785">
        <f t="shared" si="381"/>
        <v>34</v>
      </c>
      <c r="M1155" s="805">
        <v>46195</v>
      </c>
      <c r="N1155" s="805">
        <v>46191</v>
      </c>
      <c r="O1155" s="807" t="s">
        <v>4421</v>
      </c>
      <c r="P1155" s="780" t="s">
        <v>113</v>
      </c>
      <c r="Q1155" s="787">
        <v>46224</v>
      </c>
      <c r="R1155" s="787">
        <v>46153</v>
      </c>
      <c r="S1155" s="787" t="s">
        <v>104</v>
      </c>
      <c r="T1155" s="787" t="s">
        <v>4422</v>
      </c>
      <c r="U1155" s="787"/>
      <c r="V1155" s="787"/>
      <c r="W1155" s="779"/>
      <c r="X1155" s="1363" t="s">
        <v>4423</v>
      </c>
      <c r="Y1155" s="789" t="s">
        <v>261</v>
      </c>
      <c r="Z1155" s="811">
        <v>4.3125</v>
      </c>
      <c r="AA1155" s="789">
        <f t="shared" si="382"/>
        <v>2346</v>
      </c>
      <c r="AB1155" s="783"/>
      <c r="AC1155" s="814"/>
      <c r="AD1155" s="780" t="s">
        <v>447</v>
      </c>
      <c r="AE1155" s="780" t="s">
        <v>82</v>
      </c>
      <c r="AF1155" s="780"/>
      <c r="AG1155" s="780"/>
      <c r="AH1155" s="780"/>
      <c r="AI1155" s="779">
        <v>544</v>
      </c>
      <c r="AJ1155" s="782">
        <f t="shared" si="383"/>
        <v>0</v>
      </c>
      <c r="AK1155" s="780"/>
      <c r="AL1155" s="780" t="s">
        <v>2368</v>
      </c>
      <c r="AM1155" s="783"/>
      <c r="AN1155" s="783">
        <f>I1155</f>
        <v>544</v>
      </c>
      <c r="AO1155" s="783"/>
      <c r="AP1155" s="783"/>
      <c r="AQ1155" s="783"/>
      <c r="AR1155" s="783"/>
      <c r="AS1155" s="783">
        <f t="shared" si="380"/>
        <v>544</v>
      </c>
      <c r="AT1155" s="783"/>
      <c r="AU1155" s="783">
        <f t="shared" si="379"/>
        <v>544</v>
      </c>
      <c r="AV1155" s="783"/>
      <c r="AW1155" s="783">
        <f t="shared" si="377"/>
        <v>544</v>
      </c>
      <c r="AX1155" s="792"/>
      <c r="AY1155" s="783"/>
      <c r="AZ1155" s="783"/>
      <c r="BA1155" s="783"/>
      <c r="BB1155" s="783"/>
      <c r="BC1155" s="783"/>
      <c r="BD1155" s="783"/>
      <c r="BE1155" s="783"/>
      <c r="BF1155" s="783"/>
      <c r="BG1155" s="783"/>
      <c r="BH1155" s="783"/>
      <c r="BI1155" s="783">
        <f>I1155/4</f>
        <v>136</v>
      </c>
      <c r="BJ1155" s="783"/>
      <c r="BK1155" s="783"/>
      <c r="BL1155" s="783"/>
      <c r="BM1155" s="783"/>
      <c r="BN1155" s="783"/>
      <c r="BO1155" s="783"/>
      <c r="BP1155" s="783"/>
      <c r="BQ1155" s="783"/>
      <c r="BR1155" s="783"/>
      <c r="BS1155" s="783"/>
      <c r="BT1155" s="783"/>
      <c r="BU1155" s="783"/>
      <c r="BV1155" s="783"/>
      <c r="BW1155" s="783"/>
      <c r="BX1155" s="783"/>
      <c r="BY1155" s="783"/>
      <c r="BZ1155" s="783"/>
      <c r="CA1155" s="783"/>
      <c r="CB1155" s="783"/>
      <c r="CC1155" s="783"/>
      <c r="CD1155" s="783"/>
      <c r="CE1155" s="783"/>
      <c r="CF1155" s="783"/>
      <c r="CG1155" s="783"/>
      <c r="CH1155" s="797"/>
      <c r="CI1155" s="797"/>
      <c r="CJ1155" s="797"/>
      <c r="CK1155" s="797"/>
      <c r="CL1155" s="797"/>
      <c r="CM1155" s="783"/>
      <c r="CN1155" s="783"/>
      <c r="CO1155" s="783"/>
      <c r="CP1155" s="797"/>
      <c r="CQ1155" s="797"/>
      <c r="CR1155" s="797"/>
      <c r="CS1155" s="797"/>
      <c r="CT1155" s="797"/>
      <c r="CU1155" s="797"/>
    </row>
    <row r="1156" s="1268" customFormat="1" ht="31" customHeight="1" spans="1:99">
      <c r="A1156" s="778">
        <v>46149</v>
      </c>
      <c r="B1156" s="779" t="s">
        <v>325</v>
      </c>
      <c r="C1156" s="780" t="s">
        <v>98</v>
      </c>
      <c r="D1156" s="783" t="s">
        <v>4424</v>
      </c>
      <c r="E1156" s="780" t="s">
        <v>4425</v>
      </c>
      <c r="F1156" s="783" t="s">
        <v>4426</v>
      </c>
      <c r="G1156" s="780" t="s">
        <v>249</v>
      </c>
      <c r="H1156" s="610" t="s">
        <v>250</v>
      </c>
      <c r="I1156" s="784">
        <v>12836</v>
      </c>
      <c r="J1156" s="780">
        <v>0</v>
      </c>
      <c r="K1156" s="780">
        <v>4</v>
      </c>
      <c r="L1156" s="785">
        <f t="shared" si="381"/>
        <v>3209</v>
      </c>
      <c r="M1156" s="786">
        <v>46195</v>
      </c>
      <c r="N1156" s="786">
        <v>46191</v>
      </c>
      <c r="O1156" s="782"/>
      <c r="P1156" s="780" t="s">
        <v>113</v>
      </c>
      <c r="Q1156" s="787">
        <v>46206</v>
      </c>
      <c r="R1156" s="787">
        <v>46160</v>
      </c>
      <c r="S1156" s="787" t="s">
        <v>104</v>
      </c>
      <c r="T1156" s="787" t="s">
        <v>4427</v>
      </c>
      <c r="U1156" s="787"/>
      <c r="V1156" s="787"/>
      <c r="W1156" s="779"/>
      <c r="X1156" s="779" t="s">
        <v>4428</v>
      </c>
      <c r="Y1156" s="789" t="s">
        <v>252</v>
      </c>
      <c r="Z1156" s="811">
        <v>2.85</v>
      </c>
      <c r="AA1156" s="789">
        <f t="shared" si="382"/>
        <v>36582.6</v>
      </c>
      <c r="AB1156" s="783"/>
      <c r="AC1156" s="1359" t="s">
        <v>4429</v>
      </c>
      <c r="AD1156" s="780" t="s">
        <v>249</v>
      </c>
      <c r="AE1156" s="780" t="s">
        <v>82</v>
      </c>
      <c r="AF1156" s="780"/>
      <c r="AG1156" s="780"/>
      <c r="AH1156" s="780"/>
      <c r="AI1156" s="810">
        <f>12740+96</f>
        <v>12836</v>
      </c>
      <c r="AJ1156" s="780">
        <f t="shared" si="383"/>
        <v>0</v>
      </c>
      <c r="AK1156" s="780"/>
      <c r="AL1156" s="780" t="s">
        <v>2368</v>
      </c>
      <c r="AM1156" s="783"/>
      <c r="AN1156" s="783"/>
      <c r="AO1156" s="783"/>
      <c r="AP1156" s="783">
        <f>I1156</f>
        <v>12836</v>
      </c>
      <c r="AQ1156" s="783"/>
      <c r="AR1156" s="783"/>
      <c r="AS1156" s="783"/>
      <c r="AT1156" s="783"/>
      <c r="AU1156" s="783"/>
      <c r="AV1156" s="783"/>
      <c r="AW1156" s="783">
        <f t="shared" si="377"/>
        <v>12836</v>
      </c>
      <c r="AX1156" s="792"/>
      <c r="AY1156" s="783"/>
      <c r="AZ1156" s="783"/>
      <c r="BA1156" s="783"/>
      <c r="BB1156" s="783"/>
      <c r="BC1156" s="783"/>
      <c r="BD1156" s="783"/>
      <c r="BE1156" s="783"/>
      <c r="BF1156" s="783">
        <f>I1156</f>
        <v>12836</v>
      </c>
      <c r="BG1156" s="783">
        <f>I1156</f>
        <v>12836</v>
      </c>
      <c r="BH1156" s="783">
        <f>I1156/4</f>
        <v>3209</v>
      </c>
      <c r="BI1156" s="783"/>
      <c r="BJ1156" s="783"/>
      <c r="BK1156" s="783"/>
      <c r="BL1156" s="783"/>
      <c r="BM1156" s="783"/>
      <c r="BN1156" s="783"/>
      <c r="BO1156" s="783"/>
      <c r="BP1156" s="783"/>
      <c r="BQ1156" s="783"/>
      <c r="BR1156" s="783"/>
      <c r="BS1156" s="783"/>
      <c r="BT1156" s="783"/>
      <c r="BU1156" s="783"/>
      <c r="BV1156" s="783"/>
      <c r="BW1156" s="783"/>
      <c r="BX1156" s="783"/>
      <c r="BY1156" s="783"/>
      <c r="BZ1156" s="783"/>
      <c r="CA1156" s="783"/>
      <c r="CB1156" s="783"/>
      <c r="CC1156" s="783"/>
      <c r="CD1156" s="783"/>
      <c r="CE1156" s="783"/>
      <c r="CF1156" s="783"/>
      <c r="CG1156" s="783"/>
      <c r="CH1156" s="797"/>
      <c r="CI1156" s="797"/>
      <c r="CJ1156" s="797"/>
      <c r="CK1156" s="797"/>
      <c r="CL1156" s="797"/>
      <c r="CM1156" s="783"/>
      <c r="CN1156" s="783"/>
      <c r="CO1156" s="783"/>
      <c r="CP1156" s="797"/>
      <c r="CQ1156" s="797"/>
      <c r="CR1156" s="797"/>
      <c r="CS1156" s="797"/>
      <c r="CT1156" s="797"/>
      <c r="CU1156" s="797"/>
    </row>
    <row r="1157" s="1268" customFormat="1" ht="31" customHeight="1" spans="1:99">
      <c r="A1157" s="778">
        <v>46155</v>
      </c>
      <c r="B1157" s="779" t="s">
        <v>351</v>
      </c>
      <c r="C1157" s="780" t="s">
        <v>98</v>
      </c>
      <c r="D1157" s="783" t="s">
        <v>4430</v>
      </c>
      <c r="E1157" s="780" t="s">
        <v>4431</v>
      </c>
      <c r="F1157" s="783" t="s">
        <v>4432</v>
      </c>
      <c r="G1157" s="780" t="s">
        <v>101</v>
      </c>
      <c r="H1157" s="780" t="s">
        <v>102</v>
      </c>
      <c r="I1157" s="784">
        <v>1000</v>
      </c>
      <c r="J1157" s="780">
        <v>0</v>
      </c>
      <c r="K1157" s="780">
        <v>4</v>
      </c>
      <c r="L1157" s="785">
        <f t="shared" si="381"/>
        <v>250</v>
      </c>
      <c r="M1157" s="786">
        <v>46195</v>
      </c>
      <c r="N1157" s="786">
        <v>46191</v>
      </c>
      <c r="O1157" s="782"/>
      <c r="P1157" s="780" t="s">
        <v>113</v>
      </c>
      <c r="Q1157" s="787">
        <v>46196</v>
      </c>
      <c r="R1157" s="787">
        <v>46156</v>
      </c>
      <c r="S1157" s="787" t="s">
        <v>70</v>
      </c>
      <c r="T1157" s="787" t="s">
        <v>70</v>
      </c>
      <c r="U1157" s="787"/>
      <c r="V1157" s="787"/>
      <c r="W1157" s="779"/>
      <c r="X1157" s="779" t="s">
        <v>4433</v>
      </c>
      <c r="Y1157" s="789" t="s">
        <v>355</v>
      </c>
      <c r="Z1157" s="811">
        <v>2.6113</v>
      </c>
      <c r="AA1157" s="789">
        <f t="shared" si="382"/>
        <v>2611.3</v>
      </c>
      <c r="AB1157" s="783"/>
      <c r="AC1157" s="1359" t="s">
        <v>4434</v>
      </c>
      <c r="AD1157" s="780" t="s">
        <v>101</v>
      </c>
      <c r="AE1157" s="780" t="s">
        <v>82</v>
      </c>
      <c r="AF1157" s="780"/>
      <c r="AG1157" s="780"/>
      <c r="AH1157" s="780"/>
      <c r="AI1157" s="779">
        <v>1000</v>
      </c>
      <c r="AJ1157" s="782">
        <f t="shared" si="383"/>
        <v>0</v>
      </c>
      <c r="AK1157" s="780"/>
      <c r="AL1157" s="780"/>
      <c r="AM1157" s="783"/>
      <c r="AN1157" s="783">
        <f t="shared" ref="AN1157:AN1175" si="384">I1157</f>
        <v>1000</v>
      </c>
      <c r="AO1157" s="783"/>
      <c r="AP1157" s="783"/>
      <c r="AQ1157" s="783"/>
      <c r="AR1157" s="783">
        <f>I1157</f>
        <v>1000</v>
      </c>
      <c r="AS1157" s="783"/>
      <c r="AT1157" s="783"/>
      <c r="AU1157" s="783">
        <f t="shared" ref="AU1157:AU1165" si="385">I1157</f>
        <v>1000</v>
      </c>
      <c r="AV1157" s="783"/>
      <c r="AW1157" s="783">
        <f t="shared" si="377"/>
        <v>1000</v>
      </c>
      <c r="AX1157" s="792"/>
      <c r="AY1157" s="783"/>
      <c r="AZ1157" s="783"/>
      <c r="BA1157" s="783"/>
      <c r="BB1157" s="783"/>
      <c r="BC1157" s="783"/>
      <c r="BD1157" s="783"/>
      <c r="BE1157" s="783"/>
      <c r="BF1157" s="783"/>
      <c r="BG1157" s="783"/>
      <c r="BH1157" s="783">
        <f>I1157/4</f>
        <v>250</v>
      </c>
      <c r="BI1157" s="783"/>
      <c r="BJ1157" s="783"/>
      <c r="BK1157" s="783"/>
      <c r="BL1157" s="783"/>
      <c r="BM1157" s="783"/>
      <c r="BN1157" s="783"/>
      <c r="BO1157" s="783"/>
      <c r="BP1157" s="783"/>
      <c r="BQ1157" s="783"/>
      <c r="BR1157" s="783"/>
      <c r="BS1157" s="783"/>
      <c r="BT1157" s="783"/>
      <c r="BU1157" s="783"/>
      <c r="BV1157" s="783"/>
      <c r="BW1157" s="783"/>
      <c r="BX1157" s="783"/>
      <c r="BY1157" s="783"/>
      <c r="BZ1157" s="783"/>
      <c r="CA1157" s="783"/>
      <c r="CB1157" s="783"/>
      <c r="CC1157" s="783"/>
      <c r="CD1157" s="783"/>
      <c r="CE1157" s="783"/>
      <c r="CF1157" s="783"/>
      <c r="CG1157" s="783"/>
      <c r="CH1157" s="797"/>
      <c r="CI1157" s="797"/>
      <c r="CJ1157" s="797"/>
      <c r="CK1157" s="797"/>
      <c r="CL1157" s="797"/>
      <c r="CM1157" s="783"/>
      <c r="CN1157" s="783"/>
      <c r="CO1157" s="783"/>
      <c r="CP1157" s="797"/>
      <c r="CQ1157" s="797"/>
      <c r="CR1157" s="797"/>
      <c r="CS1157" s="797"/>
      <c r="CT1157" s="797"/>
      <c r="CU1157" s="797"/>
    </row>
    <row r="1158" s="1268" customFormat="1" ht="31" customHeight="1" spans="1:99">
      <c r="A1158" s="778">
        <v>46134</v>
      </c>
      <c r="B1158" s="779" t="s">
        <v>4417</v>
      </c>
      <c r="C1158" s="780" t="s">
        <v>302</v>
      </c>
      <c r="D1158" s="783" t="s">
        <v>4435</v>
      </c>
      <c r="E1158" s="780" t="s">
        <v>4436</v>
      </c>
      <c r="F1158" s="783" t="s">
        <v>4437</v>
      </c>
      <c r="G1158" s="780" t="s">
        <v>111</v>
      </c>
      <c r="H1158" s="780" t="s">
        <v>112</v>
      </c>
      <c r="I1158" s="784">
        <v>160</v>
      </c>
      <c r="J1158" s="780">
        <v>0</v>
      </c>
      <c r="K1158" s="780">
        <v>16</v>
      </c>
      <c r="L1158" s="785">
        <f t="shared" si="381"/>
        <v>10</v>
      </c>
      <c r="M1158" s="805">
        <v>46195</v>
      </c>
      <c r="N1158" s="805">
        <v>46191</v>
      </c>
      <c r="O1158" s="807" t="s">
        <v>4438</v>
      </c>
      <c r="P1158" s="780" t="s">
        <v>113</v>
      </c>
      <c r="Q1158" s="787">
        <v>46245</v>
      </c>
      <c r="R1158" s="787">
        <v>46153</v>
      </c>
      <c r="S1158" s="787" t="s">
        <v>70</v>
      </c>
      <c r="T1158" s="787" t="s">
        <v>4439</v>
      </c>
      <c r="U1158" s="787"/>
      <c r="V1158" s="787"/>
      <c r="W1158" s="779"/>
      <c r="X1158" s="1363" t="s">
        <v>4440</v>
      </c>
      <c r="Y1158" s="789" t="s">
        <v>261</v>
      </c>
      <c r="Z1158" s="811">
        <v>4.3125</v>
      </c>
      <c r="AA1158" s="789">
        <f t="shared" si="382"/>
        <v>690</v>
      </c>
      <c r="AB1158" s="783"/>
      <c r="AC1158" s="814"/>
      <c r="AD1158" s="780" t="s">
        <v>447</v>
      </c>
      <c r="AE1158" s="780" t="s">
        <v>82</v>
      </c>
      <c r="AF1158" s="780"/>
      <c r="AG1158" s="780"/>
      <c r="AH1158" s="780"/>
      <c r="AI1158" s="779">
        <v>160</v>
      </c>
      <c r="AJ1158" s="782">
        <f t="shared" si="383"/>
        <v>0</v>
      </c>
      <c r="AK1158" s="780"/>
      <c r="AL1158" s="780" t="s">
        <v>2368</v>
      </c>
      <c r="AM1158" s="783"/>
      <c r="AN1158" s="783">
        <f t="shared" si="384"/>
        <v>160</v>
      </c>
      <c r="AO1158" s="783"/>
      <c r="AP1158" s="783"/>
      <c r="AQ1158" s="783"/>
      <c r="AR1158" s="783"/>
      <c r="AS1158" s="783">
        <f>I1158</f>
        <v>160</v>
      </c>
      <c r="AT1158" s="783"/>
      <c r="AU1158" s="783">
        <f t="shared" si="385"/>
        <v>160</v>
      </c>
      <c r="AV1158" s="783"/>
      <c r="AW1158" s="783">
        <f t="shared" si="377"/>
        <v>160</v>
      </c>
      <c r="AX1158" s="792"/>
      <c r="AY1158" s="783"/>
      <c r="AZ1158" s="783"/>
      <c r="BA1158" s="783"/>
      <c r="BB1158" s="783"/>
      <c r="BC1158" s="783"/>
      <c r="BD1158" s="783"/>
      <c r="BE1158" s="783"/>
      <c r="BF1158" s="783"/>
      <c r="BG1158" s="783"/>
      <c r="BH1158" s="783"/>
      <c r="BI1158" s="783">
        <f>I1158/4</f>
        <v>40</v>
      </c>
      <c r="BJ1158" s="783"/>
      <c r="BK1158" s="783"/>
      <c r="BL1158" s="783"/>
      <c r="BM1158" s="783"/>
      <c r="BN1158" s="783"/>
      <c r="BO1158" s="783"/>
      <c r="BP1158" s="783"/>
      <c r="BQ1158" s="783"/>
      <c r="BR1158" s="783"/>
      <c r="BS1158" s="783"/>
      <c r="BT1158" s="783"/>
      <c r="BU1158" s="783"/>
      <c r="BV1158" s="783"/>
      <c r="BW1158" s="783"/>
      <c r="BX1158" s="783"/>
      <c r="BY1158" s="783"/>
      <c r="BZ1158" s="783"/>
      <c r="CA1158" s="783"/>
      <c r="CB1158" s="783"/>
      <c r="CC1158" s="783"/>
      <c r="CD1158" s="783"/>
      <c r="CE1158" s="783"/>
      <c r="CF1158" s="783"/>
      <c r="CG1158" s="783"/>
      <c r="CH1158" s="797"/>
      <c r="CI1158" s="797"/>
      <c r="CJ1158" s="797"/>
      <c r="CK1158" s="797"/>
      <c r="CL1158" s="797"/>
      <c r="CM1158" s="783"/>
      <c r="CN1158" s="783"/>
      <c r="CO1158" s="783"/>
      <c r="CP1158" s="797"/>
      <c r="CQ1158" s="797"/>
      <c r="CR1158" s="797"/>
      <c r="CS1158" s="797"/>
      <c r="CT1158" s="797"/>
      <c r="CU1158" s="797"/>
    </row>
    <row r="1159" s="1268" customFormat="1" ht="31" customHeight="1" spans="1:99">
      <c r="A1159" s="778">
        <v>46150</v>
      </c>
      <c r="B1159" s="779" t="s">
        <v>4371</v>
      </c>
      <c r="C1159" s="780" t="s">
        <v>98</v>
      </c>
      <c r="D1159" s="783" t="s">
        <v>4372</v>
      </c>
      <c r="E1159" s="780" t="s">
        <v>4441</v>
      </c>
      <c r="F1159" s="783" t="s">
        <v>4442</v>
      </c>
      <c r="G1159" s="780" t="s">
        <v>101</v>
      </c>
      <c r="H1159" s="780" t="s">
        <v>102</v>
      </c>
      <c r="I1159" s="784">
        <v>2880</v>
      </c>
      <c r="J1159" s="780">
        <v>0</v>
      </c>
      <c r="K1159" s="780">
        <v>4</v>
      </c>
      <c r="L1159" s="785">
        <f t="shared" si="381"/>
        <v>720</v>
      </c>
      <c r="M1159" s="805">
        <v>46230</v>
      </c>
      <c r="N1159" s="805">
        <v>46226</v>
      </c>
      <c r="O1159" s="806" t="s">
        <v>3368</v>
      </c>
      <c r="P1159" s="780" t="s">
        <v>113</v>
      </c>
      <c r="Q1159" s="787" t="s">
        <v>4443</v>
      </c>
      <c r="R1159" s="787" t="s">
        <v>3066</v>
      </c>
      <c r="S1159" s="787" t="s">
        <v>70</v>
      </c>
      <c r="T1159" s="787" t="s">
        <v>4376</v>
      </c>
      <c r="U1159" s="787"/>
      <c r="V1159" s="787"/>
      <c r="W1159" s="779"/>
      <c r="X1159" s="779" t="s">
        <v>4377</v>
      </c>
      <c r="Y1159" s="789" t="s">
        <v>4378</v>
      </c>
      <c r="Z1159" s="811">
        <v>2.605</v>
      </c>
      <c r="AA1159" s="789">
        <f t="shared" si="382"/>
        <v>7502.4</v>
      </c>
      <c r="AB1159" s="783"/>
      <c r="AC1159" s="1359" t="s">
        <v>4444</v>
      </c>
      <c r="AD1159" s="780" t="s">
        <v>101</v>
      </c>
      <c r="AE1159" s="780" t="s">
        <v>82</v>
      </c>
      <c r="AF1159" s="780"/>
      <c r="AG1159" s="780"/>
      <c r="AH1159" s="780"/>
      <c r="AI1159" s="1364">
        <v>2880</v>
      </c>
      <c r="AJ1159" s="782">
        <f t="shared" si="383"/>
        <v>0</v>
      </c>
      <c r="AK1159" s="780"/>
      <c r="AL1159" s="780" t="s">
        <v>2368</v>
      </c>
      <c r="AM1159" s="783"/>
      <c r="AN1159" s="783">
        <f t="shared" si="384"/>
        <v>2880</v>
      </c>
      <c r="AO1159" s="783"/>
      <c r="AP1159" s="783"/>
      <c r="AQ1159" s="783"/>
      <c r="AR1159" s="783">
        <f>I1159</f>
        <v>2880</v>
      </c>
      <c r="AS1159" s="783"/>
      <c r="AT1159" s="783"/>
      <c r="AU1159" s="783">
        <f t="shared" si="385"/>
        <v>2880</v>
      </c>
      <c r="AV1159" s="783"/>
      <c r="AW1159" s="783">
        <f t="shared" si="377"/>
        <v>2880</v>
      </c>
      <c r="AX1159" s="792"/>
      <c r="AY1159" s="783"/>
      <c r="AZ1159" s="783"/>
      <c r="BA1159" s="783"/>
      <c r="BB1159" s="783"/>
      <c r="BC1159" s="783"/>
      <c r="BD1159" s="783"/>
      <c r="BE1159" s="783"/>
      <c r="BF1159" s="783"/>
      <c r="BG1159" s="783"/>
      <c r="BH1159" s="783">
        <f>I1159/4</f>
        <v>720</v>
      </c>
      <c r="BI1159" s="783"/>
      <c r="BJ1159" s="783"/>
      <c r="BK1159" s="783"/>
      <c r="BL1159" s="783"/>
      <c r="BM1159" s="783"/>
      <c r="BN1159" s="783"/>
      <c r="BO1159" s="783"/>
      <c r="BP1159" s="783"/>
      <c r="BQ1159" s="783"/>
      <c r="BR1159" s="783"/>
      <c r="BS1159" s="783"/>
      <c r="BT1159" s="783"/>
      <c r="BU1159" s="783"/>
      <c r="BV1159" s="783"/>
      <c r="BW1159" s="783"/>
      <c r="BX1159" s="783"/>
      <c r="BY1159" s="783"/>
      <c r="BZ1159" s="783"/>
      <c r="CA1159" s="783"/>
      <c r="CB1159" s="783"/>
      <c r="CC1159" s="783"/>
      <c r="CD1159" s="783"/>
      <c r="CE1159" s="783"/>
      <c r="CF1159" s="783"/>
      <c r="CG1159" s="783"/>
      <c r="CH1159" s="797"/>
      <c r="CI1159" s="797"/>
      <c r="CJ1159" s="797"/>
      <c r="CK1159" s="797"/>
      <c r="CL1159" s="797"/>
      <c r="CM1159" s="783"/>
      <c r="CN1159" s="783"/>
      <c r="CO1159" s="783"/>
      <c r="CP1159" s="797"/>
      <c r="CQ1159" s="797"/>
      <c r="CR1159" s="797"/>
      <c r="CS1159" s="797"/>
      <c r="CT1159" s="797"/>
      <c r="CU1159" s="797"/>
    </row>
    <row r="1160" s="1266" customFormat="1" ht="31" customHeight="1" spans="1:99">
      <c r="A1160" s="641">
        <v>46149</v>
      </c>
      <c r="B1160" s="642" t="s">
        <v>4445</v>
      </c>
      <c r="C1160" s="246" t="s">
        <v>847</v>
      </c>
      <c r="D1160" s="551" t="s">
        <v>4446</v>
      </c>
      <c r="E1160" s="246" t="s">
        <v>3846</v>
      </c>
      <c r="F1160" s="551" t="s">
        <v>4447</v>
      </c>
      <c r="G1160" s="246" t="s">
        <v>68</v>
      </c>
      <c r="H1160" s="246" t="s">
        <v>69</v>
      </c>
      <c r="I1160" s="706">
        <v>996</v>
      </c>
      <c r="J1160" s="246">
        <v>0</v>
      </c>
      <c r="K1160" s="246">
        <v>12</v>
      </c>
      <c r="L1160" s="644">
        <f t="shared" si="381"/>
        <v>83</v>
      </c>
      <c r="M1160" s="645">
        <v>46191</v>
      </c>
      <c r="N1160" s="645">
        <v>46188</v>
      </c>
      <c r="O1160" s="643"/>
      <c r="P1160" s="246" t="s">
        <v>113</v>
      </c>
      <c r="Q1160" s="646">
        <v>46204</v>
      </c>
      <c r="R1160" s="646">
        <v>46157</v>
      </c>
      <c r="S1160" s="646" t="s">
        <v>70</v>
      </c>
      <c r="T1160" s="646" t="s">
        <v>4448</v>
      </c>
      <c r="U1160" s="646"/>
      <c r="V1160" s="646"/>
      <c r="W1160" s="642"/>
      <c r="X1160" s="749" t="s">
        <v>4449</v>
      </c>
      <c r="Y1160" s="647" t="s">
        <v>665</v>
      </c>
      <c r="Z1160" s="657">
        <v>4.2622</v>
      </c>
      <c r="AA1160" s="647">
        <f t="shared" si="382"/>
        <v>4245.1512</v>
      </c>
      <c r="AB1160" s="551"/>
      <c r="AC1160" s="648"/>
      <c r="AD1160" s="246" t="s">
        <v>184</v>
      </c>
      <c r="AE1160" s="246" t="s">
        <v>82</v>
      </c>
      <c r="AF1160" s="246"/>
      <c r="AG1160" s="246"/>
      <c r="AH1160" s="246"/>
      <c r="AI1160" s="642">
        <v>996</v>
      </c>
      <c r="AJ1160" s="246">
        <f t="shared" si="383"/>
        <v>0</v>
      </c>
      <c r="AK1160" s="246"/>
      <c r="AL1160" s="246"/>
      <c r="AM1160" s="551"/>
      <c r="AN1160" s="551">
        <f t="shared" si="384"/>
        <v>996</v>
      </c>
      <c r="AO1160" s="551"/>
      <c r="AP1160" s="551"/>
      <c r="AQ1160" s="551"/>
      <c r="AR1160" s="551"/>
      <c r="AS1160" s="551">
        <f>I1160</f>
        <v>996</v>
      </c>
      <c r="AT1160" s="551"/>
      <c r="AU1160" s="551">
        <f t="shared" si="385"/>
        <v>996</v>
      </c>
      <c r="AV1160" s="551"/>
      <c r="AW1160" s="551">
        <f t="shared" si="377"/>
        <v>996</v>
      </c>
      <c r="AX1160" s="651"/>
      <c r="AY1160" s="551"/>
      <c r="AZ1160" s="551"/>
      <c r="BA1160" s="551"/>
      <c r="BB1160" s="551"/>
      <c r="BC1160" s="551"/>
      <c r="BD1160" s="551"/>
      <c r="BE1160" s="551"/>
      <c r="BF1160" s="551"/>
      <c r="BG1160" s="551"/>
      <c r="BH1160" s="551"/>
      <c r="BI1160" s="551"/>
      <c r="BJ1160" s="551"/>
      <c r="BK1160" s="551"/>
      <c r="BL1160" s="551"/>
      <c r="BM1160" s="551"/>
      <c r="BN1160" s="551"/>
      <c r="BO1160" s="551"/>
      <c r="BP1160" s="551"/>
      <c r="BQ1160" s="551"/>
      <c r="BR1160" s="551"/>
      <c r="BS1160" s="551"/>
      <c r="BT1160" s="551"/>
      <c r="BU1160" s="551"/>
      <c r="BV1160" s="551"/>
      <c r="BW1160" s="551"/>
      <c r="BX1160" s="551"/>
      <c r="BY1160" s="551"/>
      <c r="BZ1160" s="551"/>
      <c r="CA1160" s="551"/>
      <c r="CB1160" s="551"/>
      <c r="CC1160" s="551"/>
      <c r="CD1160" s="551"/>
      <c r="CE1160" s="551"/>
      <c r="CF1160" s="551"/>
      <c r="CG1160" s="551"/>
      <c r="CH1160" s="650"/>
      <c r="CI1160" s="650"/>
      <c r="CJ1160" s="650"/>
      <c r="CK1160" s="650"/>
      <c r="CL1160" s="650"/>
      <c r="CM1160" s="551"/>
      <c r="CN1160" s="551"/>
      <c r="CO1160" s="551"/>
      <c r="CP1160" s="650"/>
      <c r="CQ1160" s="650"/>
      <c r="CR1160" s="650"/>
      <c r="CS1160" s="650"/>
      <c r="CT1160" s="650"/>
      <c r="CU1160" s="650"/>
    </row>
    <row r="1161" s="1266" customFormat="1" ht="31" customHeight="1" spans="1:99">
      <c r="A1161" s="641">
        <v>46132</v>
      </c>
      <c r="B1161" s="642" t="s">
        <v>4450</v>
      </c>
      <c r="C1161" s="246" t="s">
        <v>278</v>
      </c>
      <c r="D1161" s="551" t="s">
        <v>4451</v>
      </c>
      <c r="E1161" s="246" t="s">
        <v>4452</v>
      </c>
      <c r="F1161" s="551" t="s">
        <v>4453</v>
      </c>
      <c r="G1161" s="246" t="s">
        <v>111</v>
      </c>
      <c r="H1161" s="246" t="s">
        <v>112</v>
      </c>
      <c r="I1161" s="706">
        <v>512</v>
      </c>
      <c r="J1161" s="246">
        <v>0</v>
      </c>
      <c r="K1161" s="246">
        <v>16</v>
      </c>
      <c r="L1161" s="644">
        <f t="shared" si="381"/>
        <v>32</v>
      </c>
      <c r="M1161" s="645">
        <v>46191</v>
      </c>
      <c r="N1161" s="742">
        <v>46191</v>
      </c>
      <c r="O1161" s="643"/>
      <c r="P1161" s="246" t="s">
        <v>113</v>
      </c>
      <c r="Q1161" s="646">
        <v>46233</v>
      </c>
      <c r="R1161" s="646">
        <v>46132</v>
      </c>
      <c r="S1161" s="646" t="s">
        <v>70</v>
      </c>
      <c r="T1161" s="646" t="s">
        <v>4454</v>
      </c>
      <c r="U1161" s="646"/>
      <c r="V1161" s="646"/>
      <c r="W1161" s="642"/>
      <c r="X1161" s="749" t="s">
        <v>4455</v>
      </c>
      <c r="Y1161" s="647" t="s">
        <v>1549</v>
      </c>
      <c r="Z1161" s="657">
        <v>4.3125</v>
      </c>
      <c r="AA1161" s="647">
        <f t="shared" si="382"/>
        <v>2208</v>
      </c>
      <c r="AB1161" s="551"/>
      <c r="AC1161" s="648"/>
      <c r="AD1161" s="246" t="s">
        <v>111</v>
      </c>
      <c r="AE1161" s="246" t="s">
        <v>82</v>
      </c>
      <c r="AF1161" s="246"/>
      <c r="AG1161" s="246"/>
      <c r="AH1161" s="246"/>
      <c r="AI1161" s="642">
        <v>512</v>
      </c>
      <c r="AJ1161" s="643">
        <f t="shared" si="383"/>
        <v>0</v>
      </c>
      <c r="AK1161" s="246"/>
      <c r="AL1161" s="246" t="s">
        <v>2368</v>
      </c>
      <c r="AM1161" s="551"/>
      <c r="AN1161" s="551">
        <f t="shared" si="384"/>
        <v>512</v>
      </c>
      <c r="AO1161" s="551"/>
      <c r="AP1161" s="551"/>
      <c r="AQ1161" s="551"/>
      <c r="AR1161" s="551">
        <f>I1161</f>
        <v>512</v>
      </c>
      <c r="AS1161" s="551"/>
      <c r="AT1161" s="551"/>
      <c r="AU1161" s="551">
        <f t="shared" si="385"/>
        <v>512</v>
      </c>
      <c r="AV1161" s="551"/>
      <c r="AW1161" s="551">
        <f t="shared" si="377"/>
        <v>512</v>
      </c>
      <c r="AX1161" s="651"/>
      <c r="AY1161" s="551"/>
      <c r="AZ1161" s="551"/>
      <c r="BA1161" s="551"/>
      <c r="BB1161" s="551"/>
      <c r="BC1161" s="551"/>
      <c r="BD1161" s="551"/>
      <c r="BE1161" s="551"/>
      <c r="BF1161" s="551"/>
      <c r="BG1161" s="551"/>
      <c r="BH1161" s="551">
        <f>I1161/4</f>
        <v>128</v>
      </c>
      <c r="BI1161" s="551"/>
      <c r="BJ1161" s="551"/>
      <c r="BK1161" s="551"/>
      <c r="BL1161" s="551"/>
      <c r="BM1161" s="551"/>
      <c r="BN1161" s="551"/>
      <c r="BO1161" s="551"/>
      <c r="BP1161" s="551"/>
      <c r="BQ1161" s="551"/>
      <c r="BR1161" s="551"/>
      <c r="BS1161" s="551"/>
      <c r="BT1161" s="551"/>
      <c r="BU1161" s="551"/>
      <c r="BV1161" s="551"/>
      <c r="BW1161" s="551"/>
      <c r="BX1161" s="551"/>
      <c r="BY1161" s="551"/>
      <c r="BZ1161" s="551"/>
      <c r="CA1161" s="551"/>
      <c r="CB1161" s="551"/>
      <c r="CC1161" s="551"/>
      <c r="CD1161" s="551"/>
      <c r="CE1161" s="551"/>
      <c r="CF1161" s="551"/>
      <c r="CG1161" s="551"/>
      <c r="CH1161" s="650"/>
      <c r="CI1161" s="650"/>
      <c r="CJ1161" s="650"/>
      <c r="CK1161" s="650"/>
      <c r="CL1161" s="650"/>
      <c r="CM1161" s="551"/>
      <c r="CN1161" s="551"/>
      <c r="CO1161" s="551"/>
      <c r="CP1161" s="650"/>
      <c r="CQ1161" s="650"/>
      <c r="CR1161" s="650"/>
      <c r="CS1161" s="650"/>
      <c r="CT1161" s="650"/>
      <c r="CU1161" s="650"/>
    </row>
    <row r="1162" s="1266" customFormat="1" ht="31" customHeight="1" spans="1:99">
      <c r="A1162" s="641">
        <v>46150</v>
      </c>
      <c r="B1162" s="642" t="s">
        <v>4456</v>
      </c>
      <c r="C1162" s="246" t="s">
        <v>931</v>
      </c>
      <c r="D1162" s="551" t="s">
        <v>4457</v>
      </c>
      <c r="E1162" s="246" t="s">
        <v>4458</v>
      </c>
      <c r="F1162" s="551" t="s">
        <v>4459</v>
      </c>
      <c r="G1162" s="246" t="s">
        <v>68</v>
      </c>
      <c r="H1162" s="246" t="s">
        <v>69</v>
      </c>
      <c r="I1162" s="706">
        <v>120</v>
      </c>
      <c r="J1162" s="246">
        <v>0</v>
      </c>
      <c r="K1162" s="246">
        <v>12</v>
      </c>
      <c r="L1162" s="644">
        <f t="shared" si="381"/>
        <v>10</v>
      </c>
      <c r="M1162" s="645">
        <v>46191</v>
      </c>
      <c r="N1162" s="742">
        <v>46191</v>
      </c>
      <c r="O1162" s="643"/>
      <c r="P1162" s="246" t="s">
        <v>113</v>
      </c>
      <c r="Q1162" s="646"/>
      <c r="R1162" s="646">
        <v>46157</v>
      </c>
      <c r="S1162" s="646" t="s">
        <v>70</v>
      </c>
      <c r="T1162" s="646" t="s">
        <v>4460</v>
      </c>
      <c r="U1162" s="646"/>
      <c r="V1162" s="646"/>
      <c r="W1162" s="642"/>
      <c r="X1162" s="642" t="s">
        <v>4461</v>
      </c>
      <c r="Y1162" s="647" t="s">
        <v>4462</v>
      </c>
      <c r="Z1162" s="657">
        <v>4.2173</v>
      </c>
      <c r="AA1162" s="647">
        <f t="shared" si="382"/>
        <v>506.076</v>
      </c>
      <c r="AB1162" s="551"/>
      <c r="AC1162" s="648"/>
      <c r="AD1162" s="246" t="s">
        <v>184</v>
      </c>
      <c r="AE1162" s="246" t="s">
        <v>82</v>
      </c>
      <c r="AF1162" s="246"/>
      <c r="AG1162" s="246"/>
      <c r="AH1162" s="246"/>
      <c r="AI1162" s="642">
        <v>120</v>
      </c>
      <c r="AJ1162" s="246">
        <f t="shared" si="383"/>
        <v>0</v>
      </c>
      <c r="AK1162" s="246"/>
      <c r="AL1162" s="246" t="s">
        <v>126</v>
      </c>
      <c r="AM1162" s="551"/>
      <c r="AN1162" s="551">
        <f t="shared" si="384"/>
        <v>120</v>
      </c>
      <c r="AO1162" s="551"/>
      <c r="AP1162" s="551"/>
      <c r="AQ1162" s="551"/>
      <c r="AR1162" s="551"/>
      <c r="AS1162" s="551">
        <f>I1162</f>
        <v>120</v>
      </c>
      <c r="AT1162" s="551"/>
      <c r="AU1162" s="551">
        <f t="shared" si="385"/>
        <v>120</v>
      </c>
      <c r="AV1162" s="551"/>
      <c r="AW1162" s="551">
        <f t="shared" si="377"/>
        <v>120</v>
      </c>
      <c r="AX1162" s="651"/>
      <c r="AY1162" s="551"/>
      <c r="AZ1162" s="551"/>
      <c r="BA1162" s="551"/>
      <c r="BB1162" s="551"/>
      <c r="BC1162" s="551"/>
      <c r="BD1162" s="551"/>
      <c r="BE1162" s="551"/>
      <c r="BF1162" s="551"/>
      <c r="BG1162" s="551"/>
      <c r="BH1162" s="551"/>
      <c r="BI1162" s="551"/>
      <c r="BJ1162" s="551"/>
      <c r="BK1162" s="551"/>
      <c r="BL1162" s="551"/>
      <c r="BM1162" s="551"/>
      <c r="BN1162" s="551"/>
      <c r="BO1162" s="551"/>
      <c r="BP1162" s="551"/>
      <c r="BQ1162" s="551"/>
      <c r="BR1162" s="551"/>
      <c r="BS1162" s="551"/>
      <c r="BT1162" s="551"/>
      <c r="BU1162" s="551"/>
      <c r="BV1162" s="551"/>
      <c r="BW1162" s="551"/>
      <c r="BX1162" s="551"/>
      <c r="BY1162" s="551"/>
      <c r="BZ1162" s="551"/>
      <c r="CA1162" s="551"/>
      <c r="CB1162" s="551"/>
      <c r="CC1162" s="551"/>
      <c r="CD1162" s="551"/>
      <c r="CE1162" s="551"/>
      <c r="CF1162" s="551"/>
      <c r="CG1162" s="551"/>
      <c r="CH1162" s="650"/>
      <c r="CI1162" s="650"/>
      <c r="CJ1162" s="650"/>
      <c r="CK1162" s="650"/>
      <c r="CL1162" s="650"/>
      <c r="CM1162" s="551"/>
      <c r="CN1162" s="551"/>
      <c r="CO1162" s="551"/>
      <c r="CP1162" s="650"/>
      <c r="CQ1162" s="650"/>
      <c r="CR1162" s="650"/>
      <c r="CS1162" s="650"/>
      <c r="CT1162" s="650"/>
      <c r="CU1162" s="650"/>
    </row>
    <row r="1163" s="1266" customFormat="1" ht="31" customHeight="1" spans="1:99">
      <c r="A1163" s="641">
        <v>46091</v>
      </c>
      <c r="B1163" s="1365" t="s">
        <v>729</v>
      </c>
      <c r="C1163" s="246" t="s">
        <v>278</v>
      </c>
      <c r="D1163" s="551">
        <v>4500195607</v>
      </c>
      <c r="E1163" s="246" t="s">
        <v>4463</v>
      </c>
      <c r="F1163" s="551" t="s">
        <v>4464</v>
      </c>
      <c r="G1163" s="246" t="s">
        <v>111</v>
      </c>
      <c r="H1163" s="246" t="s">
        <v>112</v>
      </c>
      <c r="I1163" s="706">
        <v>4000</v>
      </c>
      <c r="J1163" s="246">
        <v>0</v>
      </c>
      <c r="K1163" s="246">
        <v>16</v>
      </c>
      <c r="L1163" s="644">
        <f t="shared" si="381"/>
        <v>250</v>
      </c>
      <c r="M1163" s="645">
        <v>46195</v>
      </c>
      <c r="N1163" s="645">
        <v>46191</v>
      </c>
      <c r="O1163" s="643"/>
      <c r="P1163" s="246" t="s">
        <v>113</v>
      </c>
      <c r="Q1163" s="646" t="s">
        <v>4465</v>
      </c>
      <c r="R1163" s="646">
        <v>46091</v>
      </c>
      <c r="S1163" s="646" t="s">
        <v>70</v>
      </c>
      <c r="T1163" s="646" t="s">
        <v>70</v>
      </c>
      <c r="U1163" s="646"/>
      <c r="V1163" s="646"/>
      <c r="W1163" s="642"/>
      <c r="X1163" s="642" t="s">
        <v>4466</v>
      </c>
      <c r="Y1163" s="647" t="s">
        <v>3785</v>
      </c>
      <c r="Z1163" s="657">
        <v>4.3509</v>
      </c>
      <c r="AA1163" s="647">
        <f t="shared" si="382"/>
        <v>17403.6</v>
      </c>
      <c r="AB1163" s="551"/>
      <c r="AC1163" s="648"/>
      <c r="AD1163" s="246" t="s">
        <v>111</v>
      </c>
      <c r="AE1163" s="246" t="s">
        <v>82</v>
      </c>
      <c r="AF1163" s="246"/>
      <c r="AG1163" s="246"/>
      <c r="AH1163" s="246"/>
      <c r="AI1163" s="642">
        <v>4000</v>
      </c>
      <c r="AJ1163" s="643">
        <f t="shared" si="383"/>
        <v>0</v>
      </c>
      <c r="AK1163" s="246"/>
      <c r="AL1163" s="246"/>
      <c r="AM1163" s="551"/>
      <c r="AN1163" s="551">
        <f t="shared" si="384"/>
        <v>4000</v>
      </c>
      <c r="AO1163" s="551"/>
      <c r="AP1163" s="551"/>
      <c r="AQ1163" s="551"/>
      <c r="AR1163" s="551">
        <f>I1163</f>
        <v>4000</v>
      </c>
      <c r="AS1163" s="551"/>
      <c r="AT1163" s="551"/>
      <c r="AU1163" s="551">
        <f t="shared" si="385"/>
        <v>4000</v>
      </c>
      <c r="AV1163" s="551"/>
      <c r="AW1163" s="551">
        <f t="shared" si="377"/>
        <v>4000</v>
      </c>
      <c r="AX1163" s="651"/>
      <c r="AY1163" s="551"/>
      <c r="AZ1163" s="551"/>
      <c r="BA1163" s="551"/>
      <c r="BB1163" s="551"/>
      <c r="BC1163" s="551"/>
      <c r="BD1163" s="551"/>
      <c r="BE1163" s="551"/>
      <c r="BF1163" s="551"/>
      <c r="BG1163" s="551"/>
      <c r="BH1163" s="551">
        <f>I1163/4</f>
        <v>1000</v>
      </c>
      <c r="BI1163" s="551"/>
      <c r="BJ1163" s="551"/>
      <c r="BK1163" s="551"/>
      <c r="BL1163" s="551"/>
      <c r="BM1163" s="551"/>
      <c r="BN1163" s="551"/>
      <c r="BO1163" s="551"/>
      <c r="BP1163" s="551"/>
      <c r="BQ1163" s="551"/>
      <c r="BR1163" s="551"/>
      <c r="BS1163" s="551"/>
      <c r="BT1163" s="551"/>
      <c r="BU1163" s="551"/>
      <c r="BV1163" s="551"/>
      <c r="BW1163" s="551"/>
      <c r="BX1163" s="551"/>
      <c r="BY1163" s="551"/>
      <c r="BZ1163" s="551"/>
      <c r="CA1163" s="551"/>
      <c r="CB1163" s="551"/>
      <c r="CC1163" s="551"/>
      <c r="CD1163" s="551"/>
      <c r="CE1163" s="551"/>
      <c r="CF1163" s="551"/>
      <c r="CG1163" s="551"/>
      <c r="CH1163" s="650"/>
      <c r="CI1163" s="650"/>
      <c r="CJ1163" s="650"/>
      <c r="CK1163" s="650"/>
      <c r="CL1163" s="650"/>
      <c r="CM1163" s="551"/>
      <c r="CN1163" s="551"/>
      <c r="CO1163" s="551"/>
      <c r="CP1163" s="650"/>
      <c r="CQ1163" s="650"/>
      <c r="CR1163" s="650"/>
      <c r="CS1163" s="650"/>
      <c r="CT1163" s="650"/>
      <c r="CU1163" s="650"/>
    </row>
    <row r="1164" s="1266" customFormat="1" ht="31" customHeight="1" spans="1:99">
      <c r="A1164" s="641">
        <v>46091</v>
      </c>
      <c r="B1164" s="1365" t="s">
        <v>729</v>
      </c>
      <c r="C1164" s="246" t="s">
        <v>278</v>
      </c>
      <c r="D1164" s="551">
        <v>4500195607</v>
      </c>
      <c r="E1164" s="246" t="s">
        <v>4467</v>
      </c>
      <c r="F1164" s="551" t="s">
        <v>4468</v>
      </c>
      <c r="G1164" s="246" t="s">
        <v>111</v>
      </c>
      <c r="H1164" s="246" t="s">
        <v>112</v>
      </c>
      <c r="I1164" s="706">
        <v>4000</v>
      </c>
      <c r="J1164" s="246">
        <v>0</v>
      </c>
      <c r="K1164" s="246">
        <v>16</v>
      </c>
      <c r="L1164" s="644">
        <f t="shared" si="381"/>
        <v>250</v>
      </c>
      <c r="M1164" s="645">
        <v>46195</v>
      </c>
      <c r="N1164" s="645">
        <v>46191</v>
      </c>
      <c r="O1164" s="643"/>
      <c r="P1164" s="246" t="s">
        <v>113</v>
      </c>
      <c r="Q1164" s="646" t="s">
        <v>4465</v>
      </c>
      <c r="R1164" s="646">
        <v>46091</v>
      </c>
      <c r="S1164" s="646" t="s">
        <v>70</v>
      </c>
      <c r="T1164" s="646" t="s">
        <v>70</v>
      </c>
      <c r="U1164" s="646"/>
      <c r="V1164" s="646"/>
      <c r="W1164" s="642"/>
      <c r="X1164" s="642" t="s">
        <v>4466</v>
      </c>
      <c r="Y1164" s="647" t="s">
        <v>3785</v>
      </c>
      <c r="Z1164" s="657">
        <v>4.3509</v>
      </c>
      <c r="AA1164" s="647">
        <f t="shared" si="382"/>
        <v>17403.6</v>
      </c>
      <c r="AB1164" s="551"/>
      <c r="AC1164" s="648"/>
      <c r="AD1164" s="246" t="s">
        <v>111</v>
      </c>
      <c r="AE1164" s="246" t="s">
        <v>82</v>
      </c>
      <c r="AF1164" s="246"/>
      <c r="AG1164" s="246"/>
      <c r="AH1164" s="246"/>
      <c r="AI1164" s="642">
        <v>4000</v>
      </c>
      <c r="AJ1164" s="643">
        <f t="shared" si="383"/>
        <v>0</v>
      </c>
      <c r="AK1164" s="246"/>
      <c r="AL1164" s="246"/>
      <c r="AM1164" s="551"/>
      <c r="AN1164" s="551">
        <f t="shared" si="384"/>
        <v>4000</v>
      </c>
      <c r="AO1164" s="551"/>
      <c r="AP1164" s="551"/>
      <c r="AQ1164" s="551"/>
      <c r="AR1164" s="551">
        <f>I1164</f>
        <v>4000</v>
      </c>
      <c r="AS1164" s="551"/>
      <c r="AT1164" s="551"/>
      <c r="AU1164" s="551">
        <f t="shared" si="385"/>
        <v>4000</v>
      </c>
      <c r="AV1164" s="551"/>
      <c r="AW1164" s="551">
        <f t="shared" si="377"/>
        <v>4000</v>
      </c>
      <c r="AX1164" s="651"/>
      <c r="AY1164" s="551"/>
      <c r="AZ1164" s="551"/>
      <c r="BA1164" s="551"/>
      <c r="BB1164" s="551"/>
      <c r="BC1164" s="551"/>
      <c r="BD1164" s="551"/>
      <c r="BE1164" s="551"/>
      <c r="BF1164" s="551"/>
      <c r="BG1164" s="551"/>
      <c r="BH1164" s="551">
        <f>I1164/4</f>
        <v>1000</v>
      </c>
      <c r="BI1164" s="551"/>
      <c r="BJ1164" s="551"/>
      <c r="BK1164" s="551"/>
      <c r="BL1164" s="551"/>
      <c r="BM1164" s="551"/>
      <c r="BN1164" s="551"/>
      <c r="BO1164" s="551"/>
      <c r="BP1164" s="551"/>
      <c r="BQ1164" s="551"/>
      <c r="BR1164" s="551"/>
      <c r="BS1164" s="551"/>
      <c r="BT1164" s="551"/>
      <c r="BU1164" s="551"/>
      <c r="BV1164" s="551"/>
      <c r="BW1164" s="551"/>
      <c r="BX1164" s="551"/>
      <c r="BY1164" s="551"/>
      <c r="BZ1164" s="551"/>
      <c r="CA1164" s="551"/>
      <c r="CB1164" s="551"/>
      <c r="CC1164" s="551"/>
      <c r="CD1164" s="551"/>
      <c r="CE1164" s="551"/>
      <c r="CF1164" s="551"/>
      <c r="CG1164" s="551"/>
      <c r="CH1164" s="650"/>
      <c r="CI1164" s="650"/>
      <c r="CJ1164" s="650"/>
      <c r="CK1164" s="650"/>
      <c r="CL1164" s="650"/>
      <c r="CM1164" s="551"/>
      <c r="CN1164" s="551"/>
      <c r="CO1164" s="551"/>
      <c r="CP1164" s="650"/>
      <c r="CQ1164" s="650"/>
      <c r="CR1164" s="650"/>
      <c r="CS1164" s="650"/>
      <c r="CT1164" s="650"/>
      <c r="CU1164" s="650"/>
    </row>
    <row r="1165" s="1266" customFormat="1" ht="31" customHeight="1" spans="1:99">
      <c r="A1165" s="641">
        <v>46149</v>
      </c>
      <c r="B1165" s="642" t="s">
        <v>4469</v>
      </c>
      <c r="C1165" s="246" t="s">
        <v>241</v>
      </c>
      <c r="D1165" s="551" t="s">
        <v>4470</v>
      </c>
      <c r="E1165" s="246" t="s">
        <v>4471</v>
      </c>
      <c r="F1165" s="551" t="s">
        <v>4472</v>
      </c>
      <c r="G1165" s="246" t="s">
        <v>101</v>
      </c>
      <c r="H1165" s="246" t="s">
        <v>102</v>
      </c>
      <c r="I1165" s="706">
        <v>300</v>
      </c>
      <c r="J1165" s="246">
        <v>0</v>
      </c>
      <c r="K1165" s="246">
        <v>4</v>
      </c>
      <c r="L1165" s="644">
        <f t="shared" si="381"/>
        <v>75</v>
      </c>
      <c r="M1165" s="645">
        <v>46195</v>
      </c>
      <c r="N1165" s="645">
        <v>46191</v>
      </c>
      <c r="O1165" s="775" t="s">
        <v>4473</v>
      </c>
      <c r="P1165" s="246" t="s">
        <v>113</v>
      </c>
      <c r="Q1165" s="646">
        <v>46205</v>
      </c>
      <c r="R1165" s="646">
        <v>46149</v>
      </c>
      <c r="S1165" s="646" t="s">
        <v>70</v>
      </c>
      <c r="T1165" s="646" t="s">
        <v>3759</v>
      </c>
      <c r="U1165" s="646"/>
      <c r="V1165" s="646"/>
      <c r="W1165" s="642"/>
      <c r="X1165" s="642" t="s">
        <v>4474</v>
      </c>
      <c r="Y1165" s="647" t="s">
        <v>4475</v>
      </c>
      <c r="Z1165" s="657">
        <v>4.4032</v>
      </c>
      <c r="AA1165" s="647">
        <f t="shared" si="382"/>
        <v>1320.96</v>
      </c>
      <c r="AB1165" s="551"/>
      <c r="AC1165" s="648"/>
      <c r="AD1165" s="246" t="s">
        <v>156</v>
      </c>
      <c r="AE1165" s="246" t="s">
        <v>82</v>
      </c>
      <c r="AF1165" s="246"/>
      <c r="AG1165" s="246"/>
      <c r="AH1165" s="246"/>
      <c r="AI1165" s="642">
        <v>300</v>
      </c>
      <c r="AJ1165" s="643">
        <f t="shared" si="383"/>
        <v>0</v>
      </c>
      <c r="AK1165" s="246"/>
      <c r="AL1165" s="246" t="s">
        <v>2368</v>
      </c>
      <c r="AM1165" s="551"/>
      <c r="AN1165" s="551">
        <f t="shared" si="384"/>
        <v>300</v>
      </c>
      <c r="AO1165" s="551"/>
      <c r="AP1165" s="551"/>
      <c r="AQ1165" s="551"/>
      <c r="AR1165" s="551"/>
      <c r="AS1165" s="551">
        <f>I1165</f>
        <v>300</v>
      </c>
      <c r="AT1165" s="551"/>
      <c r="AU1165" s="551">
        <f t="shared" si="385"/>
        <v>300</v>
      </c>
      <c r="AV1165" s="551"/>
      <c r="AW1165" s="551">
        <f t="shared" si="377"/>
        <v>300</v>
      </c>
      <c r="AX1165" s="651"/>
      <c r="AY1165" s="551"/>
      <c r="AZ1165" s="551"/>
      <c r="BA1165" s="551"/>
      <c r="BB1165" s="551"/>
      <c r="BC1165" s="551"/>
      <c r="BD1165" s="551"/>
      <c r="BE1165" s="551"/>
      <c r="BF1165" s="551"/>
      <c r="BG1165" s="551"/>
      <c r="BH1165" s="551"/>
      <c r="BI1165" s="551">
        <f>I1165/4</f>
        <v>75</v>
      </c>
      <c r="BJ1165" s="551"/>
      <c r="BK1165" s="551"/>
      <c r="BL1165" s="551"/>
      <c r="BM1165" s="551"/>
      <c r="BN1165" s="551"/>
      <c r="BO1165" s="551"/>
      <c r="BP1165" s="551"/>
      <c r="BQ1165" s="551"/>
      <c r="BR1165" s="551"/>
      <c r="BS1165" s="551"/>
      <c r="BT1165" s="551"/>
      <c r="BU1165" s="551"/>
      <c r="BV1165" s="551"/>
      <c r="BW1165" s="551"/>
      <c r="BX1165" s="551"/>
      <c r="BY1165" s="551"/>
      <c r="BZ1165" s="551"/>
      <c r="CA1165" s="551"/>
      <c r="CB1165" s="551"/>
      <c r="CC1165" s="551"/>
      <c r="CD1165" s="551"/>
      <c r="CE1165" s="551"/>
      <c r="CF1165" s="551"/>
      <c r="CG1165" s="551"/>
      <c r="CH1165" s="650"/>
      <c r="CI1165" s="650"/>
      <c r="CJ1165" s="650"/>
      <c r="CK1165" s="650"/>
      <c r="CL1165" s="650"/>
      <c r="CM1165" s="551"/>
      <c r="CN1165" s="551"/>
      <c r="CO1165" s="551"/>
      <c r="CP1165" s="650"/>
      <c r="CQ1165" s="650"/>
      <c r="CR1165" s="650"/>
      <c r="CS1165" s="650"/>
      <c r="CT1165" s="650"/>
      <c r="CU1165" s="650"/>
    </row>
    <row r="1166" s="1266" customFormat="1" ht="31" customHeight="1" spans="1:99">
      <c r="A1166" s="641">
        <v>46151</v>
      </c>
      <c r="B1166" s="642" t="s">
        <v>1800</v>
      </c>
      <c r="C1166" s="246" t="s">
        <v>744</v>
      </c>
      <c r="D1166" s="551">
        <v>4500204920</v>
      </c>
      <c r="E1166" s="246">
        <v>5000002195</v>
      </c>
      <c r="F1166" s="551" t="s">
        <v>4476</v>
      </c>
      <c r="G1166" s="246" t="s">
        <v>518</v>
      </c>
      <c r="H1166" s="246" t="s">
        <v>477</v>
      </c>
      <c r="I1166" s="706">
        <v>4500</v>
      </c>
      <c r="J1166" s="246">
        <v>0</v>
      </c>
      <c r="K1166" s="246">
        <v>6</v>
      </c>
      <c r="L1166" s="644">
        <f t="shared" si="381"/>
        <v>750</v>
      </c>
      <c r="M1166" s="645">
        <v>46196</v>
      </c>
      <c r="N1166" s="645">
        <v>46192</v>
      </c>
      <c r="O1166" s="643"/>
      <c r="P1166" s="246" t="s">
        <v>113</v>
      </c>
      <c r="Q1166" s="646"/>
      <c r="R1166" s="646" t="s">
        <v>3299</v>
      </c>
      <c r="S1166" s="646" t="s">
        <v>104</v>
      </c>
      <c r="T1166" s="646" t="s">
        <v>2239</v>
      </c>
      <c r="U1166" s="646"/>
      <c r="V1166" s="646"/>
      <c r="W1166" s="642"/>
      <c r="X1166" s="642" t="s">
        <v>3762</v>
      </c>
      <c r="Y1166" s="647" t="s">
        <v>1805</v>
      </c>
      <c r="Z1166" s="657">
        <v>6.5817</v>
      </c>
      <c r="AA1166" s="647">
        <f t="shared" si="382"/>
        <v>29617.65</v>
      </c>
      <c r="AB1166" s="551"/>
      <c r="AC1166" s="648"/>
      <c r="AD1166" s="246" t="s">
        <v>2241</v>
      </c>
      <c r="AE1166" s="246" t="s">
        <v>82</v>
      </c>
      <c r="AF1166" s="246"/>
      <c r="AG1166" s="246"/>
      <c r="AH1166" s="246"/>
      <c r="AI1166" s="642"/>
      <c r="AJ1166" s="246">
        <f t="shared" si="383"/>
        <v>-4500</v>
      </c>
      <c r="AK1166" s="246"/>
      <c r="AL1166" s="246"/>
      <c r="AM1166" s="551"/>
      <c r="AN1166" s="551">
        <f t="shared" si="384"/>
        <v>4500</v>
      </c>
      <c r="AO1166" s="551"/>
      <c r="AP1166" s="551"/>
      <c r="AQ1166" s="551"/>
      <c r="AR1166" s="551">
        <f>I1166</f>
        <v>4500</v>
      </c>
      <c r="AS1166" s="551"/>
      <c r="AT1166" s="551"/>
      <c r="AU1166" s="551"/>
      <c r="AV1166" s="551">
        <f>I1166</f>
        <v>4500</v>
      </c>
      <c r="AW1166" s="551"/>
      <c r="AX1166" s="651">
        <f>I1166</f>
        <v>4500</v>
      </c>
      <c r="AY1166" s="551"/>
      <c r="AZ1166" s="551"/>
      <c r="BA1166" s="551"/>
      <c r="BB1166" s="551"/>
      <c r="BC1166" s="551"/>
      <c r="BD1166" s="551"/>
      <c r="BE1166" s="551"/>
      <c r="BF1166" s="551"/>
      <c r="BG1166" s="551"/>
      <c r="BH1166" s="551"/>
      <c r="BI1166" s="551"/>
      <c r="BJ1166" s="551"/>
      <c r="BK1166" s="551"/>
      <c r="BL1166" s="551"/>
      <c r="BM1166" s="551"/>
      <c r="BN1166" s="551">
        <f>I1166</f>
        <v>4500</v>
      </c>
      <c r="BO1166" s="551"/>
      <c r="BP1166" s="551"/>
      <c r="BQ1166" s="551"/>
      <c r="BR1166" s="551"/>
      <c r="BS1166" s="551"/>
      <c r="BT1166" s="551"/>
      <c r="BU1166" s="551"/>
      <c r="BV1166" s="551"/>
      <c r="BW1166" s="551"/>
      <c r="BX1166" s="551"/>
      <c r="BY1166" s="551"/>
      <c r="BZ1166" s="551"/>
      <c r="CA1166" s="551"/>
      <c r="CB1166" s="551"/>
      <c r="CC1166" s="551"/>
      <c r="CD1166" s="551"/>
      <c r="CE1166" s="551"/>
      <c r="CF1166" s="551"/>
      <c r="CG1166" s="551"/>
      <c r="CH1166" s="650"/>
      <c r="CI1166" s="650"/>
      <c r="CJ1166" s="650"/>
      <c r="CK1166" s="650"/>
      <c r="CL1166" s="650"/>
      <c r="CM1166" s="551"/>
      <c r="CN1166" s="551"/>
      <c r="CO1166" s="551"/>
      <c r="CP1166" s="650"/>
      <c r="CQ1166" s="650"/>
      <c r="CR1166" s="650"/>
      <c r="CS1166" s="650"/>
      <c r="CT1166" s="650"/>
      <c r="CU1166" s="650"/>
    </row>
    <row r="1167" s="1266" customFormat="1" ht="31" customHeight="1" spans="1:99">
      <c r="A1167" s="641">
        <v>46151</v>
      </c>
      <c r="B1167" s="642" t="s">
        <v>4477</v>
      </c>
      <c r="C1167" s="246" t="s">
        <v>744</v>
      </c>
      <c r="D1167" s="551" t="s">
        <v>4285</v>
      </c>
      <c r="E1167" s="246" t="s">
        <v>4286</v>
      </c>
      <c r="F1167" s="551" t="s">
        <v>4478</v>
      </c>
      <c r="G1167" s="246" t="s">
        <v>130</v>
      </c>
      <c r="H1167" s="246" t="s">
        <v>131</v>
      </c>
      <c r="I1167" s="706">
        <v>3600</v>
      </c>
      <c r="J1167" s="246">
        <v>0</v>
      </c>
      <c r="K1167" s="246">
        <v>6</v>
      </c>
      <c r="L1167" s="644">
        <f t="shared" si="381"/>
        <v>600</v>
      </c>
      <c r="M1167" s="645">
        <v>46196</v>
      </c>
      <c r="N1167" s="645">
        <v>46192</v>
      </c>
      <c r="O1167" s="643"/>
      <c r="P1167" s="246" t="s">
        <v>113</v>
      </c>
      <c r="Q1167" s="646"/>
      <c r="R1167" s="646" t="s">
        <v>4300</v>
      </c>
      <c r="S1167" s="646" t="s">
        <v>104</v>
      </c>
      <c r="T1167" s="646" t="s">
        <v>3028</v>
      </c>
      <c r="U1167" s="646"/>
      <c r="V1167" s="646"/>
      <c r="W1167" s="642"/>
      <c r="X1167" s="642" t="s">
        <v>4479</v>
      </c>
      <c r="Y1167" s="647" t="s">
        <v>4480</v>
      </c>
      <c r="Z1167" s="657">
        <v>4.1689</v>
      </c>
      <c r="AA1167" s="647">
        <f t="shared" si="382"/>
        <v>15008.04</v>
      </c>
      <c r="AB1167" s="551"/>
      <c r="AC1167" s="648"/>
      <c r="AD1167" s="246" t="s">
        <v>2217</v>
      </c>
      <c r="AE1167" s="246" t="s">
        <v>82</v>
      </c>
      <c r="AF1167" s="246"/>
      <c r="AG1167" s="246"/>
      <c r="AH1167" s="246"/>
      <c r="AI1167" s="642">
        <f>3570+30</f>
        <v>3600</v>
      </c>
      <c r="AJ1167" s="246">
        <f t="shared" si="383"/>
        <v>0</v>
      </c>
      <c r="AK1167" s="246"/>
      <c r="AL1167" s="246" t="s">
        <v>454</v>
      </c>
      <c r="AM1167" s="551"/>
      <c r="AN1167" s="551">
        <f t="shared" si="384"/>
        <v>3600</v>
      </c>
      <c r="AO1167" s="551"/>
      <c r="AP1167" s="551"/>
      <c r="AQ1167" s="551"/>
      <c r="AR1167" s="551">
        <f>I1167</f>
        <v>3600</v>
      </c>
      <c r="AS1167" s="551"/>
      <c r="AT1167" s="551"/>
      <c r="AU1167" s="551"/>
      <c r="AV1167" s="551">
        <f>I1167</f>
        <v>3600</v>
      </c>
      <c r="AW1167" s="551"/>
      <c r="AX1167" s="651">
        <f>I1167</f>
        <v>3600</v>
      </c>
      <c r="AY1167" s="551"/>
      <c r="AZ1167" s="551"/>
      <c r="BA1167" s="551"/>
      <c r="BB1167" s="551"/>
      <c r="BC1167" s="551"/>
      <c r="BD1167" s="551"/>
      <c r="BE1167" s="551"/>
      <c r="BF1167" s="551"/>
      <c r="BG1167" s="551"/>
      <c r="BH1167" s="551"/>
      <c r="BI1167" s="551"/>
      <c r="BJ1167" s="551"/>
      <c r="BK1167" s="551"/>
      <c r="BL1167" s="551"/>
      <c r="BM1167" s="551"/>
      <c r="BN1167" s="551"/>
      <c r="BO1167" s="551"/>
      <c r="BP1167" s="551"/>
      <c r="BQ1167" s="551"/>
      <c r="BR1167" s="551"/>
      <c r="BS1167" s="551"/>
      <c r="BT1167" s="551"/>
      <c r="BU1167" s="551"/>
      <c r="BV1167" s="551"/>
      <c r="BW1167" s="551"/>
      <c r="BX1167" s="551"/>
      <c r="BY1167" s="551"/>
      <c r="BZ1167" s="551"/>
      <c r="CA1167" s="551"/>
      <c r="CB1167" s="551"/>
      <c r="CC1167" s="551"/>
      <c r="CD1167" s="551"/>
      <c r="CE1167" s="551"/>
      <c r="CF1167" s="551"/>
      <c r="CG1167" s="551"/>
      <c r="CH1167" s="650"/>
      <c r="CI1167" s="650"/>
      <c r="CJ1167" s="650"/>
      <c r="CK1167" s="650"/>
      <c r="CL1167" s="650"/>
      <c r="CM1167" s="551"/>
      <c r="CN1167" s="551"/>
      <c r="CO1167" s="551"/>
      <c r="CP1167" s="650"/>
      <c r="CQ1167" s="650"/>
      <c r="CR1167" s="650"/>
      <c r="CS1167" s="650"/>
      <c r="CT1167" s="650"/>
      <c r="CU1167" s="650"/>
    </row>
    <row r="1168" s="1267" customFormat="1" ht="31" customHeight="1" spans="1:99">
      <c r="A1168" s="608">
        <v>46106</v>
      </c>
      <c r="B1168" s="609" t="s">
        <v>410</v>
      </c>
      <c r="C1168" s="610" t="s">
        <v>411</v>
      </c>
      <c r="D1168" s="554">
        <v>4500196923</v>
      </c>
      <c r="E1168" s="610"/>
      <c r="F1168" s="554" t="s">
        <v>4481</v>
      </c>
      <c r="G1168" s="623" t="s">
        <v>111</v>
      </c>
      <c r="H1168" s="610" t="s">
        <v>112</v>
      </c>
      <c r="I1168" s="715">
        <v>512</v>
      </c>
      <c r="J1168" s="610">
        <v>0</v>
      </c>
      <c r="K1168" s="610">
        <v>16</v>
      </c>
      <c r="L1168" s="611">
        <f t="shared" si="381"/>
        <v>32</v>
      </c>
      <c r="M1168" s="612">
        <v>46195</v>
      </c>
      <c r="N1168" s="612">
        <v>46191</v>
      </c>
      <c r="O1168" s="613"/>
      <c r="P1168" s="610" t="s">
        <v>113</v>
      </c>
      <c r="Q1168" s="614">
        <v>46198</v>
      </c>
      <c r="R1168" s="614">
        <v>46156</v>
      </c>
      <c r="S1168" s="614" t="s">
        <v>70</v>
      </c>
      <c r="T1168" s="614" t="s">
        <v>4482</v>
      </c>
      <c r="U1168" s="614"/>
      <c r="V1168" s="738" t="s">
        <v>4483</v>
      </c>
      <c r="W1168" s="609"/>
      <c r="X1168" s="1366" t="s">
        <v>4484</v>
      </c>
      <c r="Y1168" s="616" t="s">
        <v>415</v>
      </c>
      <c r="Z1168" s="1345">
        <v>4.3125</v>
      </c>
      <c r="AA1168" s="616">
        <f t="shared" si="382"/>
        <v>2208</v>
      </c>
      <c r="AB1168" s="554"/>
      <c r="AC1168" s="617"/>
      <c r="AD1168" s="610" t="s">
        <v>447</v>
      </c>
      <c r="AE1168" s="610" t="s">
        <v>82</v>
      </c>
      <c r="AF1168" s="610"/>
      <c r="AG1168" s="610"/>
      <c r="AH1168" s="610"/>
      <c r="AI1168" s="609">
        <v>512</v>
      </c>
      <c r="AJ1168" s="613">
        <f t="shared" si="383"/>
        <v>0</v>
      </c>
      <c r="AK1168" s="610"/>
      <c r="AL1168" s="610" t="s">
        <v>2368</v>
      </c>
      <c r="AM1168" s="554"/>
      <c r="AN1168" s="554">
        <f t="shared" si="384"/>
        <v>512</v>
      </c>
      <c r="AO1168" s="554"/>
      <c r="AP1168" s="554"/>
      <c r="AQ1168" s="554"/>
      <c r="AR1168" s="554"/>
      <c r="AS1168" s="554">
        <f>I1168</f>
        <v>512</v>
      </c>
      <c r="AT1168" s="554"/>
      <c r="AU1168" s="554">
        <f>I1168</f>
        <v>512</v>
      </c>
      <c r="AV1168" s="554"/>
      <c r="AW1168" s="554">
        <f t="shared" ref="AW1168:AW1222" si="386">I1168</f>
        <v>512</v>
      </c>
      <c r="AX1168" s="714"/>
      <c r="AY1168" s="554"/>
      <c r="AZ1168" s="554"/>
      <c r="BA1168" s="554"/>
      <c r="BB1168" s="554"/>
      <c r="BC1168" s="554"/>
      <c r="BD1168" s="554"/>
      <c r="BE1168" s="554"/>
      <c r="BF1168" s="554"/>
      <c r="BG1168" s="554"/>
      <c r="BH1168" s="554"/>
      <c r="BI1168" s="554">
        <f>I1168/4</f>
        <v>128</v>
      </c>
      <c r="BJ1168" s="554"/>
      <c r="BK1168" s="554"/>
      <c r="BL1168" s="554"/>
      <c r="BM1168" s="554"/>
      <c r="BN1168" s="554"/>
      <c r="BO1168" s="554"/>
      <c r="BP1168" s="554"/>
      <c r="BQ1168" s="554"/>
      <c r="BR1168" s="554"/>
      <c r="BS1168" s="554"/>
      <c r="BT1168" s="554"/>
      <c r="BU1168" s="554"/>
      <c r="BV1168" s="554"/>
      <c r="BW1168" s="554"/>
      <c r="BX1168" s="554"/>
      <c r="BY1168" s="554"/>
      <c r="BZ1168" s="554"/>
      <c r="CA1168" s="554"/>
      <c r="CB1168" s="554"/>
      <c r="CC1168" s="554"/>
      <c r="CD1168" s="554"/>
      <c r="CE1168" s="554"/>
      <c r="CF1168" s="554"/>
      <c r="CG1168" s="554"/>
      <c r="CH1168" s="619"/>
      <c r="CI1168" s="619"/>
      <c r="CJ1168" s="619"/>
      <c r="CK1168" s="619"/>
      <c r="CL1168" s="619"/>
      <c r="CM1168" s="554"/>
      <c r="CN1168" s="554"/>
      <c r="CO1168" s="554"/>
      <c r="CP1168" s="619"/>
      <c r="CQ1168" s="619"/>
      <c r="CR1168" s="619"/>
      <c r="CS1168" s="619"/>
      <c r="CT1168" s="619"/>
      <c r="CU1168" s="619"/>
    </row>
    <row r="1169" s="1267" customFormat="1" ht="31" customHeight="1" spans="1:99">
      <c r="A1169" s="608">
        <v>46115</v>
      </c>
      <c r="B1169" s="609" t="s">
        <v>4485</v>
      </c>
      <c r="C1169" s="610" t="s">
        <v>2800</v>
      </c>
      <c r="D1169" s="846" t="s">
        <v>4486</v>
      </c>
      <c r="E1169" s="610" t="s">
        <v>3846</v>
      </c>
      <c r="F1169" s="554" t="s">
        <v>4487</v>
      </c>
      <c r="G1169" s="623" t="s">
        <v>68</v>
      </c>
      <c r="H1169" s="610" t="s">
        <v>69</v>
      </c>
      <c r="I1169" s="715">
        <v>960</v>
      </c>
      <c r="J1169" s="610">
        <v>0</v>
      </c>
      <c r="K1169" s="610">
        <v>12</v>
      </c>
      <c r="L1169" s="611">
        <f t="shared" si="381"/>
        <v>80</v>
      </c>
      <c r="M1169" s="612">
        <v>46195</v>
      </c>
      <c r="N1169" s="612">
        <v>46191</v>
      </c>
      <c r="O1169" s="613"/>
      <c r="P1169" s="610" t="s">
        <v>113</v>
      </c>
      <c r="Q1169" s="614" t="s">
        <v>4488</v>
      </c>
      <c r="R1169" s="614">
        <v>46162</v>
      </c>
      <c r="S1169" s="614" t="s">
        <v>70</v>
      </c>
      <c r="T1169" s="614" t="s">
        <v>4489</v>
      </c>
      <c r="U1169" s="614"/>
      <c r="V1169" s="614"/>
      <c r="W1169" s="609"/>
      <c r="X1169" s="609" t="s">
        <v>4490</v>
      </c>
      <c r="Y1169" s="616" t="s">
        <v>529</v>
      </c>
      <c r="Z1169" s="1345">
        <v>4.2622</v>
      </c>
      <c r="AA1169" s="616">
        <f t="shared" si="382"/>
        <v>4091.712</v>
      </c>
      <c r="AB1169" s="554"/>
      <c r="AC1169" s="617"/>
      <c r="AD1169" s="610" t="s">
        <v>184</v>
      </c>
      <c r="AE1169" s="610" t="s">
        <v>82</v>
      </c>
      <c r="AF1169" s="610"/>
      <c r="AG1169" s="610"/>
      <c r="AH1169" s="610"/>
      <c r="AI1169" s="609">
        <v>960</v>
      </c>
      <c r="AJ1169" s="610">
        <f t="shared" si="383"/>
        <v>0</v>
      </c>
      <c r="AK1169" s="610"/>
      <c r="AL1169" s="610" t="s">
        <v>2368</v>
      </c>
      <c r="AM1169" s="554"/>
      <c r="AN1169" s="554">
        <f t="shared" si="384"/>
        <v>960</v>
      </c>
      <c r="AO1169" s="554"/>
      <c r="AP1169" s="554"/>
      <c r="AQ1169" s="554"/>
      <c r="AR1169" s="554"/>
      <c r="AS1169" s="554">
        <f>I1169</f>
        <v>960</v>
      </c>
      <c r="AT1169" s="554"/>
      <c r="AU1169" s="554">
        <f>I1169</f>
        <v>960</v>
      </c>
      <c r="AV1169" s="554"/>
      <c r="AW1169" s="554">
        <f t="shared" si="386"/>
        <v>960</v>
      </c>
      <c r="AX1169" s="714"/>
      <c r="AY1169" s="554"/>
      <c r="AZ1169" s="554"/>
      <c r="BA1169" s="554"/>
      <c r="BB1169" s="554"/>
      <c r="BC1169" s="554"/>
      <c r="BD1169" s="554"/>
      <c r="BE1169" s="554"/>
      <c r="BF1169" s="554"/>
      <c r="BG1169" s="554"/>
      <c r="BH1169" s="554"/>
      <c r="BI1169" s="554"/>
      <c r="BJ1169" s="554"/>
      <c r="BK1169" s="554"/>
      <c r="BL1169" s="554"/>
      <c r="BM1169" s="554"/>
      <c r="BN1169" s="554"/>
      <c r="BO1169" s="554"/>
      <c r="BP1169" s="554"/>
      <c r="BQ1169" s="554"/>
      <c r="BR1169" s="554"/>
      <c r="BS1169" s="554"/>
      <c r="BT1169" s="554"/>
      <c r="BU1169" s="554"/>
      <c r="BV1169" s="554"/>
      <c r="BW1169" s="554"/>
      <c r="BX1169" s="554"/>
      <c r="BY1169" s="554"/>
      <c r="BZ1169" s="554"/>
      <c r="CA1169" s="554"/>
      <c r="CB1169" s="554"/>
      <c r="CC1169" s="554"/>
      <c r="CD1169" s="554"/>
      <c r="CE1169" s="554"/>
      <c r="CF1169" s="554"/>
      <c r="CG1169" s="554"/>
      <c r="CH1169" s="619"/>
      <c r="CI1169" s="619"/>
      <c r="CJ1169" s="619"/>
      <c r="CK1169" s="619"/>
      <c r="CL1169" s="619"/>
      <c r="CM1169" s="554"/>
      <c r="CN1169" s="554"/>
      <c r="CO1169" s="554"/>
      <c r="CP1169" s="619"/>
      <c r="CQ1169" s="619"/>
      <c r="CR1169" s="619"/>
      <c r="CS1169" s="619"/>
      <c r="CT1169" s="619"/>
      <c r="CU1169" s="619"/>
    </row>
    <row r="1170" s="1266" customFormat="1" ht="31" customHeight="1" spans="1:99">
      <c r="A1170" s="641">
        <v>46142</v>
      </c>
      <c r="B1170" s="642" t="s">
        <v>2811</v>
      </c>
      <c r="C1170" s="246" t="s">
        <v>98</v>
      </c>
      <c r="D1170" s="551" t="s">
        <v>4491</v>
      </c>
      <c r="E1170" s="246" t="s">
        <v>4492</v>
      </c>
      <c r="F1170" s="551" t="s">
        <v>4493</v>
      </c>
      <c r="G1170" s="659" t="s">
        <v>2736</v>
      </c>
      <c r="H1170" s="246" t="s">
        <v>2737</v>
      </c>
      <c r="I1170" s="246">
        <v>1800</v>
      </c>
      <c r="J1170" s="246">
        <v>0</v>
      </c>
      <c r="K1170" s="246">
        <v>8</v>
      </c>
      <c r="L1170" s="644">
        <f t="shared" si="381"/>
        <v>225</v>
      </c>
      <c r="M1170" s="645">
        <v>46192</v>
      </c>
      <c r="N1170" s="645">
        <v>46188</v>
      </c>
      <c r="O1170" s="643"/>
      <c r="P1170" s="246" t="s">
        <v>113</v>
      </c>
      <c r="Q1170" s="646">
        <v>46199</v>
      </c>
      <c r="R1170" s="646">
        <v>46154</v>
      </c>
      <c r="S1170" s="646" t="s">
        <v>70</v>
      </c>
      <c r="T1170" s="646" t="s">
        <v>4494</v>
      </c>
      <c r="U1170" s="646"/>
      <c r="V1170" s="646"/>
      <c r="W1170" s="642"/>
      <c r="X1170" s="642" t="s">
        <v>4495</v>
      </c>
      <c r="Y1170" s="647" t="s">
        <v>1318</v>
      </c>
      <c r="Z1170" s="657">
        <v>4.196</v>
      </c>
      <c r="AA1170" s="647">
        <f t="shared" si="382"/>
        <v>7552.8</v>
      </c>
      <c r="AB1170" s="551"/>
      <c r="AC1170" s="658" t="s">
        <v>4496</v>
      </c>
      <c r="AD1170" s="246" t="s">
        <v>2741</v>
      </c>
      <c r="AE1170" s="246" t="s">
        <v>82</v>
      </c>
      <c r="AF1170" s="246"/>
      <c r="AG1170" s="246"/>
      <c r="AH1170" s="246"/>
      <c r="AI1170" s="642"/>
      <c r="AJ1170" s="643">
        <f t="shared" si="383"/>
        <v>-1800</v>
      </c>
      <c r="AK1170" s="246"/>
      <c r="AL1170" s="246"/>
      <c r="AM1170" s="551"/>
      <c r="AN1170" s="551">
        <f t="shared" si="384"/>
        <v>1800</v>
      </c>
      <c r="AO1170" s="551"/>
      <c r="AP1170" s="551"/>
      <c r="AQ1170" s="551"/>
      <c r="AR1170" s="551">
        <f>I1170</f>
        <v>1800</v>
      </c>
      <c r="AS1170" s="551"/>
      <c r="AT1170" s="551"/>
      <c r="AU1170" s="551">
        <f>I1170</f>
        <v>1800</v>
      </c>
      <c r="AV1170" s="551"/>
      <c r="AW1170" s="551">
        <f t="shared" si="386"/>
        <v>1800</v>
      </c>
      <c r="AX1170" s="651"/>
      <c r="AY1170" s="551"/>
      <c r="AZ1170" s="551"/>
      <c r="BA1170" s="551"/>
      <c r="BB1170" s="551"/>
      <c r="BC1170" s="551"/>
      <c r="BD1170" s="551"/>
      <c r="BE1170" s="551"/>
      <c r="BF1170" s="551"/>
      <c r="BG1170" s="551"/>
      <c r="BH1170" s="551"/>
      <c r="BI1170" s="551"/>
      <c r="BJ1170" s="551"/>
      <c r="BK1170" s="551"/>
      <c r="BL1170" s="551"/>
      <c r="BM1170" s="551"/>
      <c r="BN1170" s="551">
        <f>I1170</f>
        <v>1800</v>
      </c>
      <c r="BO1170" s="551"/>
      <c r="BP1170" s="551"/>
      <c r="BQ1170" s="551"/>
      <c r="BR1170" s="551"/>
      <c r="BS1170" s="551"/>
      <c r="BT1170" s="551"/>
      <c r="BU1170" s="551"/>
      <c r="BV1170" s="551"/>
      <c r="BW1170" s="551"/>
      <c r="BX1170" s="551"/>
      <c r="BY1170" s="551"/>
      <c r="BZ1170" s="551"/>
      <c r="CA1170" s="551"/>
      <c r="CB1170" s="551"/>
      <c r="CC1170" s="551"/>
      <c r="CD1170" s="551"/>
      <c r="CE1170" s="551"/>
      <c r="CF1170" s="551"/>
      <c r="CG1170" s="551"/>
      <c r="CH1170" s="650"/>
      <c r="CI1170" s="650"/>
      <c r="CJ1170" s="650"/>
      <c r="CK1170" s="650"/>
      <c r="CL1170" s="650"/>
      <c r="CM1170" s="551"/>
      <c r="CN1170" s="551"/>
      <c r="CO1170" s="551"/>
      <c r="CP1170" s="650"/>
      <c r="CQ1170" s="650"/>
      <c r="CR1170" s="650"/>
      <c r="CS1170" s="650"/>
      <c r="CT1170" s="650"/>
      <c r="CU1170" s="650"/>
    </row>
    <row r="1171" s="1266" customFormat="1" ht="31" customHeight="1" spans="1:99">
      <c r="A1171" s="641">
        <v>46142</v>
      </c>
      <c r="B1171" s="642" t="s">
        <v>325</v>
      </c>
      <c r="C1171" s="246" t="s">
        <v>98</v>
      </c>
      <c r="D1171" s="551" t="s">
        <v>4497</v>
      </c>
      <c r="E1171" s="246" t="s">
        <v>4498</v>
      </c>
      <c r="F1171" s="551" t="s">
        <v>4499</v>
      </c>
      <c r="G1171" s="246" t="s">
        <v>249</v>
      </c>
      <c r="H1171" s="610" t="s">
        <v>250</v>
      </c>
      <c r="I1171" s="706">
        <v>55000</v>
      </c>
      <c r="J1171" s="246">
        <v>0</v>
      </c>
      <c r="K1171" s="246">
        <v>4</v>
      </c>
      <c r="L1171" s="644">
        <f t="shared" si="381"/>
        <v>13750</v>
      </c>
      <c r="M1171" s="645">
        <v>46195</v>
      </c>
      <c r="N1171" s="742">
        <v>46195</v>
      </c>
      <c r="O1171" s="643"/>
      <c r="P1171" s="246" t="s">
        <v>113</v>
      </c>
      <c r="Q1171" s="646">
        <v>46205</v>
      </c>
      <c r="R1171" s="646">
        <v>46160</v>
      </c>
      <c r="S1171" s="646" t="s">
        <v>104</v>
      </c>
      <c r="T1171" s="646" t="s">
        <v>4500</v>
      </c>
      <c r="U1171" s="646"/>
      <c r="V1171" s="646"/>
      <c r="W1171" s="642"/>
      <c r="X1171" s="642" t="s">
        <v>4428</v>
      </c>
      <c r="Y1171" s="647" t="s">
        <v>252</v>
      </c>
      <c r="Z1171" s="657">
        <v>2.8294</v>
      </c>
      <c r="AA1171" s="647">
        <f t="shared" si="382"/>
        <v>155617</v>
      </c>
      <c r="AB1171" s="551"/>
      <c r="AC1171" s="698" t="s">
        <v>4501</v>
      </c>
      <c r="AD1171" s="246" t="s">
        <v>249</v>
      </c>
      <c r="AE1171" s="246" t="s">
        <v>82</v>
      </c>
      <c r="AF1171" s="246"/>
      <c r="AG1171" s="246"/>
      <c r="AH1171" s="246"/>
      <c r="AI1171" s="749">
        <f>15680+7420+5040+12160+14700</f>
        <v>55000</v>
      </c>
      <c r="AJ1171" s="246">
        <f t="shared" si="383"/>
        <v>0</v>
      </c>
      <c r="AK1171" s="246"/>
      <c r="AL1171" s="246" t="s">
        <v>2368</v>
      </c>
      <c r="AM1171" s="551"/>
      <c r="AN1171" s="551"/>
      <c r="AO1171" s="551"/>
      <c r="AP1171" s="551">
        <f>I1171</f>
        <v>55000</v>
      </c>
      <c r="AQ1171" s="551"/>
      <c r="AR1171" s="551"/>
      <c r="AS1171" s="551"/>
      <c r="AT1171" s="551"/>
      <c r="AU1171" s="551"/>
      <c r="AV1171" s="551"/>
      <c r="AW1171" s="551">
        <f t="shared" si="386"/>
        <v>55000</v>
      </c>
      <c r="AX1171" s="651"/>
      <c r="AY1171" s="551"/>
      <c r="AZ1171" s="551"/>
      <c r="BA1171" s="551"/>
      <c r="BB1171" s="551"/>
      <c r="BC1171" s="551"/>
      <c r="BD1171" s="551"/>
      <c r="BE1171" s="551"/>
      <c r="BF1171" s="551">
        <f>I1171</f>
        <v>55000</v>
      </c>
      <c r="BG1171" s="551">
        <f>I1171</f>
        <v>55000</v>
      </c>
      <c r="BH1171" s="551">
        <f>I1171/4</f>
        <v>13750</v>
      </c>
      <c r="BI1171" s="551"/>
      <c r="BJ1171" s="551"/>
      <c r="BK1171" s="551"/>
      <c r="BL1171" s="551"/>
      <c r="BM1171" s="551"/>
      <c r="BN1171" s="551"/>
      <c r="BO1171" s="551"/>
      <c r="BP1171" s="551"/>
      <c r="BQ1171" s="551"/>
      <c r="BR1171" s="551"/>
      <c r="BS1171" s="551"/>
      <c r="BT1171" s="551"/>
      <c r="BU1171" s="551"/>
      <c r="BV1171" s="551"/>
      <c r="BW1171" s="551"/>
      <c r="BX1171" s="551"/>
      <c r="BY1171" s="551"/>
      <c r="BZ1171" s="551"/>
      <c r="CA1171" s="551"/>
      <c r="CB1171" s="551"/>
      <c r="CC1171" s="551"/>
      <c r="CD1171" s="551"/>
      <c r="CE1171" s="551"/>
      <c r="CF1171" s="551"/>
      <c r="CG1171" s="551"/>
      <c r="CH1171" s="650"/>
      <c r="CI1171" s="650"/>
      <c r="CJ1171" s="650"/>
      <c r="CK1171" s="650"/>
      <c r="CL1171" s="650"/>
      <c r="CM1171" s="551"/>
      <c r="CN1171" s="551"/>
      <c r="CO1171" s="551"/>
      <c r="CP1171" s="650"/>
      <c r="CQ1171" s="650"/>
      <c r="CR1171" s="650"/>
      <c r="CS1171" s="650"/>
      <c r="CT1171" s="650"/>
      <c r="CU1171" s="650"/>
    </row>
    <row r="1172" s="1266" customFormat="1" ht="31" customHeight="1" spans="1:99">
      <c r="A1172" s="641">
        <v>46142</v>
      </c>
      <c r="B1172" s="642" t="s">
        <v>325</v>
      </c>
      <c r="C1172" s="246" t="s">
        <v>98</v>
      </c>
      <c r="D1172" s="551" t="s">
        <v>4502</v>
      </c>
      <c r="E1172" s="246" t="s">
        <v>4503</v>
      </c>
      <c r="F1172" s="551" t="s">
        <v>4504</v>
      </c>
      <c r="G1172" s="246" t="s">
        <v>249</v>
      </c>
      <c r="H1172" s="610" t="s">
        <v>250</v>
      </c>
      <c r="I1172" s="706">
        <v>55000</v>
      </c>
      <c r="J1172" s="246">
        <v>0</v>
      </c>
      <c r="K1172" s="246">
        <v>4</v>
      </c>
      <c r="L1172" s="644">
        <f t="shared" si="381"/>
        <v>13750</v>
      </c>
      <c r="M1172" s="645">
        <v>46195</v>
      </c>
      <c r="N1172" s="742">
        <v>46195</v>
      </c>
      <c r="O1172" s="643"/>
      <c r="P1172" s="246" t="s">
        <v>113</v>
      </c>
      <c r="Q1172" s="646">
        <v>46205</v>
      </c>
      <c r="R1172" s="646">
        <v>46160</v>
      </c>
      <c r="S1172" s="646" t="s">
        <v>104</v>
      </c>
      <c r="T1172" s="646" t="s">
        <v>4500</v>
      </c>
      <c r="U1172" s="646"/>
      <c r="V1172" s="646"/>
      <c r="W1172" s="642"/>
      <c r="X1172" s="642" t="s">
        <v>4428</v>
      </c>
      <c r="Y1172" s="647" t="s">
        <v>252</v>
      </c>
      <c r="Z1172" s="657">
        <v>2.8294</v>
      </c>
      <c r="AA1172" s="647">
        <f t="shared" si="382"/>
        <v>155617</v>
      </c>
      <c r="AB1172" s="551"/>
      <c r="AC1172" s="698" t="s">
        <v>4505</v>
      </c>
      <c r="AD1172" s="246" t="s">
        <v>249</v>
      </c>
      <c r="AE1172" s="246" t="s">
        <v>82</v>
      </c>
      <c r="AF1172" s="246"/>
      <c r="AG1172" s="246"/>
      <c r="AH1172" s="246"/>
      <c r="AI1172" s="749">
        <f>5760+10080+6040+16560+16560</f>
        <v>55000</v>
      </c>
      <c r="AJ1172" s="246">
        <f t="shared" si="383"/>
        <v>0</v>
      </c>
      <c r="AK1172" s="246"/>
      <c r="AL1172" s="246" t="s">
        <v>2368</v>
      </c>
      <c r="AM1172" s="551"/>
      <c r="AN1172" s="551"/>
      <c r="AO1172" s="551"/>
      <c r="AP1172" s="551">
        <f>I1172</f>
        <v>55000</v>
      </c>
      <c r="AQ1172" s="551"/>
      <c r="AR1172" s="551"/>
      <c r="AS1172" s="551"/>
      <c r="AT1172" s="551"/>
      <c r="AU1172" s="551"/>
      <c r="AV1172" s="551"/>
      <c r="AW1172" s="551">
        <f t="shared" si="386"/>
        <v>55000</v>
      </c>
      <c r="AX1172" s="651"/>
      <c r="AY1172" s="551"/>
      <c r="AZ1172" s="551"/>
      <c r="BA1172" s="551"/>
      <c r="BB1172" s="551"/>
      <c r="BC1172" s="551"/>
      <c r="BD1172" s="551"/>
      <c r="BE1172" s="551"/>
      <c r="BF1172" s="551">
        <f>I1172</f>
        <v>55000</v>
      </c>
      <c r="BG1172" s="551">
        <f>I1172</f>
        <v>55000</v>
      </c>
      <c r="BH1172" s="551">
        <f>I1172/4</f>
        <v>13750</v>
      </c>
      <c r="BI1172" s="551"/>
      <c r="BJ1172" s="551"/>
      <c r="BK1172" s="551"/>
      <c r="BL1172" s="551"/>
      <c r="BM1172" s="551"/>
      <c r="BN1172" s="551"/>
      <c r="BO1172" s="551"/>
      <c r="BP1172" s="551"/>
      <c r="BQ1172" s="551"/>
      <c r="BR1172" s="551"/>
      <c r="BS1172" s="551"/>
      <c r="BT1172" s="551"/>
      <c r="BU1172" s="551"/>
      <c r="BV1172" s="551"/>
      <c r="BW1172" s="551"/>
      <c r="BX1172" s="551"/>
      <c r="BY1172" s="551"/>
      <c r="BZ1172" s="551"/>
      <c r="CA1172" s="551"/>
      <c r="CB1172" s="551"/>
      <c r="CC1172" s="551"/>
      <c r="CD1172" s="551"/>
      <c r="CE1172" s="551"/>
      <c r="CF1172" s="551"/>
      <c r="CG1172" s="551"/>
      <c r="CH1172" s="650"/>
      <c r="CI1172" s="650"/>
      <c r="CJ1172" s="650"/>
      <c r="CK1172" s="650"/>
      <c r="CL1172" s="650"/>
      <c r="CM1172" s="551"/>
      <c r="CN1172" s="551"/>
      <c r="CO1172" s="551"/>
      <c r="CP1172" s="650"/>
      <c r="CQ1172" s="650"/>
      <c r="CR1172" s="650"/>
      <c r="CS1172" s="650"/>
      <c r="CT1172" s="650"/>
      <c r="CU1172" s="650"/>
    </row>
    <row r="1173" s="1267" customFormat="1" ht="31" customHeight="1" spans="1:99">
      <c r="A1173" s="608">
        <v>46139</v>
      </c>
      <c r="B1173" s="609" t="s">
        <v>549</v>
      </c>
      <c r="C1173" s="610" t="s">
        <v>399</v>
      </c>
      <c r="D1173" s="554" t="s">
        <v>4506</v>
      </c>
      <c r="E1173" s="610" t="s">
        <v>4507</v>
      </c>
      <c r="F1173" s="554" t="s">
        <v>4508</v>
      </c>
      <c r="G1173" s="610" t="s">
        <v>68</v>
      </c>
      <c r="H1173" s="610" t="s">
        <v>69</v>
      </c>
      <c r="I1173" s="715">
        <v>4608</v>
      </c>
      <c r="J1173" s="610">
        <v>0</v>
      </c>
      <c r="K1173" s="610">
        <v>12</v>
      </c>
      <c r="L1173" s="611">
        <f t="shared" si="381"/>
        <v>384</v>
      </c>
      <c r="M1173" s="612">
        <v>46195</v>
      </c>
      <c r="N1173" s="612">
        <v>46191</v>
      </c>
      <c r="O1173" s="613"/>
      <c r="P1173" s="610" t="s">
        <v>113</v>
      </c>
      <c r="Q1173" s="614"/>
      <c r="R1173" s="614" t="s">
        <v>4028</v>
      </c>
      <c r="S1173" s="614" t="s">
        <v>104</v>
      </c>
      <c r="T1173" s="614" t="s">
        <v>4509</v>
      </c>
      <c r="U1173" s="614"/>
      <c r="V1173" s="614"/>
      <c r="W1173" s="609"/>
      <c r="X1173" s="609" t="s">
        <v>4510</v>
      </c>
      <c r="Y1173" s="616" t="s">
        <v>428</v>
      </c>
      <c r="Z1173" s="625">
        <v>4.2567</v>
      </c>
      <c r="AA1173" s="616">
        <f t="shared" si="382"/>
        <v>19614.8736</v>
      </c>
      <c r="AB1173" s="554"/>
      <c r="AC1173" s="617"/>
      <c r="AD1173" s="610" t="s">
        <v>184</v>
      </c>
      <c r="AE1173" s="610" t="s">
        <v>82</v>
      </c>
      <c r="AF1173" s="610"/>
      <c r="AG1173" s="610"/>
      <c r="AH1173" s="610"/>
      <c r="AI1173" s="609">
        <v>4608</v>
      </c>
      <c r="AJ1173" s="610">
        <f t="shared" si="383"/>
        <v>0</v>
      </c>
      <c r="AK1173" s="610"/>
      <c r="AL1173" s="610" t="s">
        <v>454</v>
      </c>
      <c r="AM1173" s="554"/>
      <c r="AN1173" s="554">
        <f t="shared" ref="AN1173:AN1236" si="387">I1173</f>
        <v>4608</v>
      </c>
      <c r="AO1173" s="554"/>
      <c r="AP1173" s="554"/>
      <c r="AQ1173" s="554"/>
      <c r="AR1173" s="554"/>
      <c r="AS1173" s="554">
        <f t="shared" ref="AS1173:AS1178" si="388">I1173</f>
        <v>4608</v>
      </c>
      <c r="AT1173" s="554"/>
      <c r="AU1173" s="554">
        <f t="shared" ref="AU1173:AU1222" si="389">I1173</f>
        <v>4608</v>
      </c>
      <c r="AV1173" s="554"/>
      <c r="AW1173" s="554">
        <f t="shared" si="386"/>
        <v>4608</v>
      </c>
      <c r="AX1173" s="714"/>
      <c r="AY1173" s="554"/>
      <c r="AZ1173" s="554"/>
      <c r="BA1173" s="554"/>
      <c r="BB1173" s="554"/>
      <c r="BC1173" s="554"/>
      <c r="BD1173" s="554"/>
      <c r="BE1173" s="554"/>
      <c r="BF1173" s="554"/>
      <c r="BG1173" s="554"/>
      <c r="BH1173" s="554"/>
      <c r="BI1173" s="554"/>
      <c r="BJ1173" s="554"/>
      <c r="BK1173" s="554"/>
      <c r="BL1173" s="554"/>
      <c r="BM1173" s="554"/>
      <c r="BN1173" s="554"/>
      <c r="BO1173" s="554"/>
      <c r="BP1173" s="554"/>
      <c r="BQ1173" s="554"/>
      <c r="BR1173" s="554"/>
      <c r="BS1173" s="554"/>
      <c r="BT1173" s="554"/>
      <c r="BU1173" s="554"/>
      <c r="BV1173" s="554"/>
      <c r="BW1173" s="554"/>
      <c r="BX1173" s="554"/>
      <c r="BY1173" s="554"/>
      <c r="BZ1173" s="554"/>
      <c r="CA1173" s="554"/>
      <c r="CB1173" s="554"/>
      <c r="CC1173" s="554"/>
      <c r="CD1173" s="554"/>
      <c r="CE1173" s="554"/>
      <c r="CF1173" s="554"/>
      <c r="CG1173" s="554"/>
      <c r="CH1173" s="619"/>
      <c r="CI1173" s="619"/>
      <c r="CJ1173" s="619"/>
      <c r="CK1173" s="619"/>
      <c r="CL1173" s="619"/>
      <c r="CM1173" s="554"/>
      <c r="CN1173" s="554"/>
      <c r="CO1173" s="554"/>
      <c r="CP1173" s="619"/>
      <c r="CQ1173" s="619"/>
      <c r="CR1173" s="619"/>
      <c r="CS1173" s="619"/>
      <c r="CT1173" s="619"/>
      <c r="CU1173" s="619"/>
    </row>
    <row r="1174" s="1267" customFormat="1" ht="31" customHeight="1" spans="1:99">
      <c r="A1174" s="608">
        <v>46139</v>
      </c>
      <c r="B1174" s="609" t="s">
        <v>549</v>
      </c>
      <c r="C1174" s="610" t="s">
        <v>411</v>
      </c>
      <c r="D1174" s="729" t="s">
        <v>4506</v>
      </c>
      <c r="E1174" s="610" t="s">
        <v>4511</v>
      </c>
      <c r="F1174" s="554" t="s">
        <v>4512</v>
      </c>
      <c r="G1174" s="610" t="s">
        <v>68</v>
      </c>
      <c r="H1174" s="610" t="s">
        <v>69</v>
      </c>
      <c r="I1174" s="715">
        <v>816</v>
      </c>
      <c r="J1174" s="610">
        <v>0</v>
      </c>
      <c r="K1174" s="610">
        <v>12</v>
      </c>
      <c r="L1174" s="611">
        <f t="shared" si="381"/>
        <v>68</v>
      </c>
      <c r="M1174" s="612">
        <v>46195</v>
      </c>
      <c r="N1174" s="612">
        <v>46191</v>
      </c>
      <c r="O1174" s="613"/>
      <c r="P1174" s="610" t="s">
        <v>113</v>
      </c>
      <c r="Q1174" s="614"/>
      <c r="R1174" s="614" t="s">
        <v>4028</v>
      </c>
      <c r="S1174" s="614" t="s">
        <v>104</v>
      </c>
      <c r="T1174" s="614" t="s">
        <v>4513</v>
      </c>
      <c r="U1174" s="614"/>
      <c r="V1174" s="614"/>
      <c r="W1174" s="609"/>
      <c r="X1174" s="609" t="s">
        <v>4510</v>
      </c>
      <c r="Y1174" s="616" t="s">
        <v>428</v>
      </c>
      <c r="Z1174" s="625">
        <v>4.2622</v>
      </c>
      <c r="AA1174" s="616">
        <f t="shared" si="382"/>
        <v>3477.9552</v>
      </c>
      <c r="AB1174" s="554"/>
      <c r="AC1174" s="617"/>
      <c r="AD1174" s="610" t="s">
        <v>184</v>
      </c>
      <c r="AE1174" s="610" t="s">
        <v>82</v>
      </c>
      <c r="AF1174" s="610"/>
      <c r="AG1174" s="610"/>
      <c r="AH1174" s="610"/>
      <c r="AI1174" s="609">
        <v>816</v>
      </c>
      <c r="AJ1174" s="610">
        <f t="shared" si="383"/>
        <v>0</v>
      </c>
      <c r="AK1174" s="610"/>
      <c r="AL1174" s="610" t="s">
        <v>2368</v>
      </c>
      <c r="AM1174" s="554"/>
      <c r="AN1174" s="554">
        <f t="shared" si="387"/>
        <v>816</v>
      </c>
      <c r="AO1174" s="554"/>
      <c r="AP1174" s="554"/>
      <c r="AQ1174" s="554"/>
      <c r="AR1174" s="554"/>
      <c r="AS1174" s="554">
        <f t="shared" si="388"/>
        <v>816</v>
      </c>
      <c r="AT1174" s="554"/>
      <c r="AU1174" s="554">
        <f t="shared" si="389"/>
        <v>816</v>
      </c>
      <c r="AV1174" s="554"/>
      <c r="AW1174" s="554">
        <f t="shared" si="386"/>
        <v>816</v>
      </c>
      <c r="AX1174" s="714"/>
      <c r="AY1174" s="554"/>
      <c r="AZ1174" s="554"/>
      <c r="BA1174" s="554"/>
      <c r="BB1174" s="554"/>
      <c r="BC1174" s="554"/>
      <c r="BD1174" s="554"/>
      <c r="BE1174" s="554"/>
      <c r="BF1174" s="554"/>
      <c r="BG1174" s="554"/>
      <c r="BH1174" s="554"/>
      <c r="BI1174" s="554"/>
      <c r="BJ1174" s="554"/>
      <c r="BK1174" s="554"/>
      <c r="BL1174" s="554"/>
      <c r="BM1174" s="554"/>
      <c r="BN1174" s="554"/>
      <c r="BO1174" s="554"/>
      <c r="BP1174" s="554"/>
      <c r="BQ1174" s="554"/>
      <c r="BR1174" s="554"/>
      <c r="BS1174" s="554"/>
      <c r="BT1174" s="554"/>
      <c r="BU1174" s="554"/>
      <c r="BV1174" s="554"/>
      <c r="BW1174" s="554"/>
      <c r="BX1174" s="554"/>
      <c r="BY1174" s="554"/>
      <c r="BZ1174" s="554"/>
      <c r="CA1174" s="554"/>
      <c r="CB1174" s="554"/>
      <c r="CC1174" s="554"/>
      <c r="CD1174" s="554"/>
      <c r="CE1174" s="554"/>
      <c r="CF1174" s="554"/>
      <c r="CG1174" s="554"/>
      <c r="CH1174" s="619"/>
      <c r="CI1174" s="619"/>
      <c r="CJ1174" s="619"/>
      <c r="CK1174" s="619"/>
      <c r="CL1174" s="619"/>
      <c r="CM1174" s="554"/>
      <c r="CN1174" s="554"/>
      <c r="CO1174" s="554"/>
      <c r="CP1174" s="619"/>
      <c r="CQ1174" s="619"/>
      <c r="CR1174" s="619"/>
      <c r="CS1174" s="619"/>
      <c r="CT1174" s="619"/>
      <c r="CU1174" s="619"/>
    </row>
    <row r="1175" s="1267" customFormat="1" ht="31" customHeight="1" spans="1:99">
      <c r="A1175" s="608">
        <v>46121</v>
      </c>
      <c r="B1175" s="609" t="s">
        <v>2594</v>
      </c>
      <c r="C1175" s="610" t="s">
        <v>2595</v>
      </c>
      <c r="D1175" s="554" t="s">
        <v>4514</v>
      </c>
      <c r="E1175" s="610" t="s">
        <v>3846</v>
      </c>
      <c r="F1175" s="554" t="s">
        <v>4515</v>
      </c>
      <c r="G1175" s="623" t="s">
        <v>68</v>
      </c>
      <c r="H1175" s="610" t="s">
        <v>69</v>
      </c>
      <c r="I1175" s="715">
        <v>1608</v>
      </c>
      <c r="J1175" s="610">
        <v>0</v>
      </c>
      <c r="K1175" s="610">
        <v>12</v>
      </c>
      <c r="L1175" s="611">
        <f t="shared" si="381"/>
        <v>134</v>
      </c>
      <c r="M1175" s="612">
        <v>46195</v>
      </c>
      <c r="N1175" s="612">
        <f>M1175-4</f>
        <v>46191</v>
      </c>
      <c r="O1175" s="613"/>
      <c r="P1175" s="610" t="s">
        <v>113</v>
      </c>
      <c r="Q1175" s="614"/>
      <c r="R1175" s="614">
        <v>46154</v>
      </c>
      <c r="S1175" s="614" t="s">
        <v>70</v>
      </c>
      <c r="T1175" s="614" t="s">
        <v>4516</v>
      </c>
      <c r="U1175" s="614"/>
      <c r="V1175" s="614"/>
      <c r="W1175" s="609"/>
      <c r="X1175" s="738" t="s">
        <v>4517</v>
      </c>
      <c r="Y1175" s="616" t="s">
        <v>529</v>
      </c>
      <c r="Z1175" s="1345">
        <v>4.2622</v>
      </c>
      <c r="AA1175" s="616">
        <f t="shared" si="382"/>
        <v>6853.6176</v>
      </c>
      <c r="AB1175" s="554"/>
      <c r="AC1175" s="617"/>
      <c r="AD1175" s="610" t="s">
        <v>184</v>
      </c>
      <c r="AE1175" s="610" t="s">
        <v>82</v>
      </c>
      <c r="AF1175" s="610"/>
      <c r="AG1175" s="610"/>
      <c r="AH1175" s="610"/>
      <c r="AI1175" s="609">
        <v>1608</v>
      </c>
      <c r="AJ1175" s="610">
        <f t="shared" si="383"/>
        <v>0</v>
      </c>
      <c r="AK1175" s="610"/>
      <c r="AL1175" s="610" t="s">
        <v>2368</v>
      </c>
      <c r="AM1175" s="554"/>
      <c r="AN1175" s="554">
        <f t="shared" si="387"/>
        <v>1608</v>
      </c>
      <c r="AO1175" s="554"/>
      <c r="AP1175" s="554"/>
      <c r="AQ1175" s="554"/>
      <c r="AR1175" s="554"/>
      <c r="AS1175" s="554">
        <f t="shared" si="388"/>
        <v>1608</v>
      </c>
      <c r="AT1175" s="554"/>
      <c r="AU1175" s="554">
        <f t="shared" si="389"/>
        <v>1608</v>
      </c>
      <c r="AV1175" s="554"/>
      <c r="AW1175" s="554">
        <f t="shared" si="386"/>
        <v>1608</v>
      </c>
      <c r="AX1175" s="714"/>
      <c r="AY1175" s="554"/>
      <c r="AZ1175" s="554"/>
      <c r="BA1175" s="554"/>
      <c r="BB1175" s="554"/>
      <c r="BC1175" s="554"/>
      <c r="BD1175" s="554"/>
      <c r="BE1175" s="554"/>
      <c r="BF1175" s="554"/>
      <c r="BG1175" s="554"/>
      <c r="BH1175" s="554"/>
      <c r="BI1175" s="554"/>
      <c r="BJ1175" s="554"/>
      <c r="BK1175" s="554"/>
      <c r="BL1175" s="554"/>
      <c r="BM1175" s="554"/>
      <c r="BN1175" s="554"/>
      <c r="BO1175" s="554"/>
      <c r="BP1175" s="554"/>
      <c r="BQ1175" s="554"/>
      <c r="BR1175" s="554"/>
      <c r="BS1175" s="554"/>
      <c r="BT1175" s="554"/>
      <c r="BU1175" s="554"/>
      <c r="BV1175" s="554"/>
      <c r="BW1175" s="554"/>
      <c r="BX1175" s="554"/>
      <c r="BY1175" s="554"/>
      <c r="BZ1175" s="554"/>
      <c r="CA1175" s="554"/>
      <c r="CB1175" s="554"/>
      <c r="CC1175" s="554"/>
      <c r="CD1175" s="554"/>
      <c r="CE1175" s="554"/>
      <c r="CF1175" s="554"/>
      <c r="CG1175" s="554"/>
      <c r="CH1175" s="619"/>
      <c r="CI1175" s="619"/>
      <c r="CJ1175" s="619"/>
      <c r="CK1175" s="619"/>
      <c r="CL1175" s="619"/>
      <c r="CM1175" s="554"/>
      <c r="CN1175" s="554"/>
      <c r="CO1175" s="554"/>
      <c r="CP1175" s="619"/>
      <c r="CQ1175" s="619"/>
      <c r="CR1175" s="619"/>
      <c r="CS1175" s="619"/>
      <c r="CT1175" s="619"/>
      <c r="CU1175" s="619"/>
    </row>
    <row r="1176" s="1267" customFormat="1" ht="31" customHeight="1" spans="1:99">
      <c r="A1176" s="608">
        <v>46142</v>
      </c>
      <c r="B1176" s="609" t="s">
        <v>4155</v>
      </c>
      <c r="C1176" s="610" t="s">
        <v>198</v>
      </c>
      <c r="D1176" s="554" t="s">
        <v>4518</v>
      </c>
      <c r="E1176" s="610" t="s">
        <v>4519</v>
      </c>
      <c r="F1176" s="554" t="s">
        <v>4520</v>
      </c>
      <c r="G1176" s="610" t="s">
        <v>101</v>
      </c>
      <c r="H1176" s="610" t="s">
        <v>102</v>
      </c>
      <c r="I1176" s="715">
        <v>1500</v>
      </c>
      <c r="J1176" s="610">
        <v>0</v>
      </c>
      <c r="K1176" s="610">
        <v>4</v>
      </c>
      <c r="L1176" s="611">
        <f t="shared" si="381"/>
        <v>375</v>
      </c>
      <c r="M1176" s="612">
        <v>46196</v>
      </c>
      <c r="N1176" s="612">
        <v>46192</v>
      </c>
      <c r="O1176" s="613"/>
      <c r="P1176" s="610" t="s">
        <v>113</v>
      </c>
      <c r="Q1176" s="614">
        <v>46210</v>
      </c>
      <c r="R1176" s="614">
        <v>46161</v>
      </c>
      <c r="S1176" s="614" t="s">
        <v>70</v>
      </c>
      <c r="T1176" s="614" t="s">
        <v>4521</v>
      </c>
      <c r="U1176" s="614"/>
      <c r="V1176" s="614"/>
      <c r="W1176" s="609"/>
      <c r="X1176" s="609" t="s">
        <v>4522</v>
      </c>
      <c r="Y1176" s="616" t="s">
        <v>244</v>
      </c>
      <c r="Z1176" s="625">
        <v>4.3522</v>
      </c>
      <c r="AA1176" s="616">
        <f t="shared" si="382"/>
        <v>6528.3</v>
      </c>
      <c r="AB1176" s="554"/>
      <c r="AC1176" s="617"/>
      <c r="AD1176" s="610" t="s">
        <v>156</v>
      </c>
      <c r="AE1176" s="610" t="s">
        <v>82</v>
      </c>
      <c r="AF1176" s="610"/>
      <c r="AG1176" s="610"/>
      <c r="AH1176" s="610"/>
      <c r="AI1176" s="609">
        <v>1500</v>
      </c>
      <c r="AJ1176" s="613">
        <f t="shared" si="383"/>
        <v>0</v>
      </c>
      <c r="AK1176" s="610"/>
      <c r="AL1176" s="610" t="s">
        <v>2368</v>
      </c>
      <c r="AM1176" s="554"/>
      <c r="AN1176" s="554">
        <f t="shared" si="387"/>
        <v>1500</v>
      </c>
      <c r="AO1176" s="554"/>
      <c r="AP1176" s="554"/>
      <c r="AQ1176" s="554"/>
      <c r="AR1176" s="554"/>
      <c r="AS1176" s="554">
        <f t="shared" si="388"/>
        <v>1500</v>
      </c>
      <c r="AT1176" s="554"/>
      <c r="AU1176" s="554">
        <f t="shared" si="389"/>
        <v>1500</v>
      </c>
      <c r="AV1176" s="554"/>
      <c r="AW1176" s="554">
        <f t="shared" si="386"/>
        <v>1500</v>
      </c>
      <c r="AX1176" s="714"/>
      <c r="AY1176" s="554"/>
      <c r="AZ1176" s="554"/>
      <c r="BA1176" s="554"/>
      <c r="BB1176" s="554"/>
      <c r="BC1176" s="554"/>
      <c r="BD1176" s="554"/>
      <c r="BE1176" s="554"/>
      <c r="BF1176" s="554"/>
      <c r="BG1176" s="554"/>
      <c r="BH1176" s="554"/>
      <c r="BI1176" s="554">
        <f>I1176/4</f>
        <v>375</v>
      </c>
      <c r="BJ1176" s="554"/>
      <c r="BK1176" s="554"/>
      <c r="BL1176" s="554"/>
      <c r="BM1176" s="554"/>
      <c r="BN1176" s="554"/>
      <c r="BO1176" s="554"/>
      <c r="BP1176" s="554"/>
      <c r="BQ1176" s="554"/>
      <c r="BR1176" s="554"/>
      <c r="BS1176" s="554"/>
      <c r="BT1176" s="554"/>
      <c r="BU1176" s="554"/>
      <c r="BV1176" s="554"/>
      <c r="BW1176" s="554"/>
      <c r="BX1176" s="554"/>
      <c r="BY1176" s="554"/>
      <c r="BZ1176" s="554"/>
      <c r="CA1176" s="554"/>
      <c r="CB1176" s="554"/>
      <c r="CC1176" s="554"/>
      <c r="CD1176" s="554"/>
      <c r="CE1176" s="554"/>
      <c r="CF1176" s="554"/>
      <c r="CG1176" s="554"/>
      <c r="CH1176" s="619"/>
      <c r="CI1176" s="619"/>
      <c r="CJ1176" s="619"/>
      <c r="CK1176" s="619"/>
      <c r="CL1176" s="619"/>
      <c r="CM1176" s="554"/>
      <c r="CN1176" s="554"/>
      <c r="CO1176" s="554"/>
      <c r="CP1176" s="619"/>
      <c r="CQ1176" s="619"/>
      <c r="CR1176" s="619"/>
      <c r="CS1176" s="619"/>
      <c r="CT1176" s="619"/>
      <c r="CU1176" s="619"/>
    </row>
    <row r="1177" s="1267" customFormat="1" ht="31" customHeight="1" spans="1:99">
      <c r="A1177" s="608">
        <v>46148</v>
      </c>
      <c r="B1177" s="609" t="s">
        <v>523</v>
      </c>
      <c r="C1177" s="610" t="s">
        <v>524</v>
      </c>
      <c r="D1177" s="554" t="s">
        <v>4523</v>
      </c>
      <c r="E1177" s="610" t="s">
        <v>4524</v>
      </c>
      <c r="F1177" s="554" t="s">
        <v>4525</v>
      </c>
      <c r="G1177" s="610" t="s">
        <v>68</v>
      </c>
      <c r="H1177" s="610" t="s">
        <v>69</v>
      </c>
      <c r="I1177" s="715">
        <v>3240</v>
      </c>
      <c r="J1177" s="610">
        <v>0</v>
      </c>
      <c r="K1177" s="610">
        <v>12</v>
      </c>
      <c r="L1177" s="611">
        <f t="shared" si="381"/>
        <v>270</v>
      </c>
      <c r="M1177" s="724">
        <v>46197</v>
      </c>
      <c r="N1177" s="724">
        <v>46193</v>
      </c>
      <c r="O1177" s="613"/>
      <c r="P1177" s="610" t="s">
        <v>113</v>
      </c>
      <c r="Q1177" s="614" t="s">
        <v>4526</v>
      </c>
      <c r="R1177" s="614">
        <v>46160</v>
      </c>
      <c r="S1177" s="614" t="s">
        <v>104</v>
      </c>
      <c r="T1177" s="614" t="s">
        <v>4527</v>
      </c>
      <c r="U1177" s="614"/>
      <c r="V1177" s="614"/>
      <c r="W1177" s="609"/>
      <c r="X1177" s="609" t="s">
        <v>4528</v>
      </c>
      <c r="Y1177" s="616" t="s">
        <v>529</v>
      </c>
      <c r="Z1177" s="625">
        <v>4.2567</v>
      </c>
      <c r="AA1177" s="616">
        <f t="shared" si="382"/>
        <v>13791.708</v>
      </c>
      <c r="AB1177" s="554"/>
      <c r="AC1177" s="617"/>
      <c r="AD1177" s="610" t="s">
        <v>184</v>
      </c>
      <c r="AE1177" s="610" t="s">
        <v>82</v>
      </c>
      <c r="AF1177" s="610"/>
      <c r="AG1177" s="610"/>
      <c r="AH1177" s="610"/>
      <c r="AI1177" s="609">
        <v>3240</v>
      </c>
      <c r="AJ1177" s="610">
        <f t="shared" si="383"/>
        <v>0</v>
      </c>
      <c r="AK1177" s="610"/>
      <c r="AL1177" s="610" t="s">
        <v>454</v>
      </c>
      <c r="AM1177" s="554"/>
      <c r="AN1177" s="554">
        <f t="shared" si="387"/>
        <v>3240</v>
      </c>
      <c r="AO1177" s="554"/>
      <c r="AP1177" s="554"/>
      <c r="AQ1177" s="554"/>
      <c r="AR1177" s="554"/>
      <c r="AS1177" s="554">
        <f t="shared" si="388"/>
        <v>3240</v>
      </c>
      <c r="AT1177" s="554"/>
      <c r="AU1177" s="554">
        <f t="shared" si="389"/>
        <v>3240</v>
      </c>
      <c r="AV1177" s="554"/>
      <c r="AW1177" s="554">
        <f t="shared" si="386"/>
        <v>3240</v>
      </c>
      <c r="AX1177" s="714"/>
      <c r="AY1177" s="554"/>
      <c r="AZ1177" s="554"/>
      <c r="BA1177" s="554"/>
      <c r="BB1177" s="554"/>
      <c r="BC1177" s="554"/>
      <c r="BD1177" s="554"/>
      <c r="BE1177" s="554"/>
      <c r="BF1177" s="554"/>
      <c r="BG1177" s="554"/>
      <c r="BH1177" s="554"/>
      <c r="BI1177" s="554"/>
      <c r="BJ1177" s="554"/>
      <c r="BK1177" s="554"/>
      <c r="BL1177" s="554"/>
      <c r="BM1177" s="554"/>
      <c r="BN1177" s="554"/>
      <c r="BO1177" s="554"/>
      <c r="BP1177" s="554"/>
      <c r="BQ1177" s="554"/>
      <c r="BR1177" s="554"/>
      <c r="BS1177" s="554"/>
      <c r="BT1177" s="554"/>
      <c r="BU1177" s="554"/>
      <c r="BV1177" s="554"/>
      <c r="BW1177" s="554"/>
      <c r="BX1177" s="554"/>
      <c r="BY1177" s="554"/>
      <c r="BZ1177" s="554"/>
      <c r="CA1177" s="554"/>
      <c r="CB1177" s="554"/>
      <c r="CC1177" s="554"/>
      <c r="CD1177" s="554"/>
      <c r="CE1177" s="554"/>
      <c r="CF1177" s="554"/>
      <c r="CG1177" s="554"/>
      <c r="CH1177" s="619"/>
      <c r="CI1177" s="619"/>
      <c r="CJ1177" s="619"/>
      <c r="CK1177" s="619"/>
      <c r="CL1177" s="619"/>
      <c r="CM1177" s="554"/>
      <c r="CN1177" s="554"/>
      <c r="CO1177" s="554"/>
      <c r="CP1177" s="619"/>
      <c r="CQ1177" s="619"/>
      <c r="CR1177" s="619"/>
      <c r="CS1177" s="619"/>
      <c r="CT1177" s="619"/>
      <c r="CU1177" s="619"/>
    </row>
    <row r="1178" s="1267" customFormat="1" ht="31" customHeight="1" spans="1:99">
      <c r="A1178" s="608">
        <v>46148</v>
      </c>
      <c r="B1178" s="609" t="s">
        <v>523</v>
      </c>
      <c r="C1178" s="610" t="s">
        <v>524</v>
      </c>
      <c r="D1178" s="554" t="s">
        <v>4523</v>
      </c>
      <c r="E1178" s="610" t="s">
        <v>4524</v>
      </c>
      <c r="F1178" s="554" t="s">
        <v>4529</v>
      </c>
      <c r="G1178" s="610" t="s">
        <v>518</v>
      </c>
      <c r="H1178" s="610" t="s">
        <v>477</v>
      </c>
      <c r="I1178" s="715">
        <v>1800</v>
      </c>
      <c r="J1178" s="610">
        <v>0</v>
      </c>
      <c r="K1178" s="610">
        <v>6</v>
      </c>
      <c r="L1178" s="611">
        <f t="shared" si="381"/>
        <v>300</v>
      </c>
      <c r="M1178" s="724">
        <v>46197</v>
      </c>
      <c r="N1178" s="724">
        <v>46193</v>
      </c>
      <c r="O1178" s="613"/>
      <c r="P1178" s="610" t="s">
        <v>113</v>
      </c>
      <c r="Q1178" s="614" t="s">
        <v>4526</v>
      </c>
      <c r="R1178" s="614">
        <v>46160</v>
      </c>
      <c r="S1178" s="614" t="s">
        <v>104</v>
      </c>
      <c r="T1178" s="614" t="s">
        <v>4527</v>
      </c>
      <c r="U1178" s="614"/>
      <c r="V1178" s="614"/>
      <c r="W1178" s="609"/>
      <c r="X1178" s="609" t="s">
        <v>4530</v>
      </c>
      <c r="Y1178" s="616" t="s">
        <v>529</v>
      </c>
      <c r="Z1178" s="625">
        <v>7.0192</v>
      </c>
      <c r="AA1178" s="616">
        <f t="shared" si="382"/>
        <v>12634.56</v>
      </c>
      <c r="AB1178" s="554"/>
      <c r="AC1178" s="617"/>
      <c r="AD1178" s="610" t="s">
        <v>480</v>
      </c>
      <c r="AE1178" s="610" t="s">
        <v>82</v>
      </c>
      <c r="AF1178" s="610"/>
      <c r="AG1178" s="610"/>
      <c r="AH1178" s="610"/>
      <c r="AI1178" s="609"/>
      <c r="AJ1178" s="610">
        <f t="shared" si="383"/>
        <v>-1800</v>
      </c>
      <c r="AK1178" s="610"/>
      <c r="AL1178" s="610"/>
      <c r="AM1178" s="554"/>
      <c r="AN1178" s="554">
        <f t="shared" si="387"/>
        <v>1800</v>
      </c>
      <c r="AO1178" s="554"/>
      <c r="AP1178" s="554"/>
      <c r="AQ1178" s="554"/>
      <c r="AR1178" s="554"/>
      <c r="AS1178" s="554">
        <f t="shared" si="388"/>
        <v>1800</v>
      </c>
      <c r="AT1178" s="554"/>
      <c r="AU1178" s="554">
        <f t="shared" si="389"/>
        <v>1800</v>
      </c>
      <c r="AV1178" s="554"/>
      <c r="AW1178" s="554">
        <f t="shared" si="386"/>
        <v>1800</v>
      </c>
      <c r="AX1178" s="714"/>
      <c r="AY1178" s="554"/>
      <c r="AZ1178" s="554"/>
      <c r="BA1178" s="554"/>
      <c r="BB1178" s="554"/>
      <c r="BC1178" s="554"/>
      <c r="BD1178" s="554"/>
      <c r="BE1178" s="554"/>
      <c r="BF1178" s="554"/>
      <c r="BG1178" s="554"/>
      <c r="BH1178" s="554"/>
      <c r="BI1178" s="554"/>
      <c r="BJ1178" s="554"/>
      <c r="BK1178" s="554"/>
      <c r="BL1178" s="554"/>
      <c r="BM1178" s="554"/>
      <c r="BN1178" s="554">
        <f>I1178</f>
        <v>1800</v>
      </c>
      <c r="BO1178" s="554"/>
      <c r="BP1178" s="554"/>
      <c r="BQ1178" s="554"/>
      <c r="BR1178" s="554"/>
      <c r="BS1178" s="554"/>
      <c r="BT1178" s="554"/>
      <c r="BU1178" s="554"/>
      <c r="BV1178" s="554"/>
      <c r="BW1178" s="554"/>
      <c r="BX1178" s="554"/>
      <c r="BY1178" s="554"/>
      <c r="BZ1178" s="554"/>
      <c r="CA1178" s="554"/>
      <c r="CB1178" s="554"/>
      <c r="CC1178" s="554"/>
      <c r="CD1178" s="554"/>
      <c r="CE1178" s="554"/>
      <c r="CF1178" s="554"/>
      <c r="CG1178" s="554"/>
      <c r="CH1178" s="619"/>
      <c r="CI1178" s="619"/>
      <c r="CJ1178" s="619"/>
      <c r="CK1178" s="619"/>
      <c r="CL1178" s="619"/>
      <c r="CM1178" s="554"/>
      <c r="CN1178" s="554"/>
      <c r="CO1178" s="554"/>
      <c r="CP1178" s="619"/>
      <c r="CQ1178" s="619"/>
      <c r="CR1178" s="619"/>
      <c r="CS1178" s="619"/>
      <c r="CT1178" s="619"/>
      <c r="CU1178" s="619"/>
    </row>
    <row r="1179" s="1267" customFormat="1" ht="31" customHeight="1" spans="1:99">
      <c r="A1179" s="608">
        <v>46157</v>
      </c>
      <c r="B1179" s="609" t="s">
        <v>4531</v>
      </c>
      <c r="C1179" s="610" t="s">
        <v>524</v>
      </c>
      <c r="D1179" s="554">
        <v>4500205025</v>
      </c>
      <c r="E1179" s="610" t="s">
        <v>4524</v>
      </c>
      <c r="F1179" s="554" t="s">
        <v>4532</v>
      </c>
      <c r="G1179" s="623" t="s">
        <v>4533</v>
      </c>
      <c r="H1179" s="610" t="s">
        <v>2537</v>
      </c>
      <c r="I1179" s="715">
        <v>30</v>
      </c>
      <c r="J1179" s="610">
        <v>0</v>
      </c>
      <c r="K1179" s="610">
        <v>1</v>
      </c>
      <c r="L1179" s="611">
        <f t="shared" si="381"/>
        <v>30</v>
      </c>
      <c r="M1179" s="724">
        <v>46197</v>
      </c>
      <c r="N1179" s="724">
        <v>46193</v>
      </c>
      <c r="O1179" s="613"/>
      <c r="P1179" s="610" t="s">
        <v>113</v>
      </c>
      <c r="Q1179" s="614"/>
      <c r="R1179" s="614">
        <v>46160</v>
      </c>
      <c r="S1179" s="614" t="s">
        <v>70</v>
      </c>
      <c r="T1179" s="614" t="s">
        <v>70</v>
      </c>
      <c r="U1179" s="614"/>
      <c r="V1179" s="614"/>
      <c r="W1179" s="609"/>
      <c r="X1179" s="738" t="s">
        <v>4534</v>
      </c>
      <c r="Y1179" s="616" t="s">
        <v>3754</v>
      </c>
      <c r="Z1179" s="625">
        <v>27.2493</v>
      </c>
      <c r="AA1179" s="616">
        <f t="shared" si="382"/>
        <v>817.479</v>
      </c>
      <c r="AB1179" s="554"/>
      <c r="AC1179" s="617"/>
      <c r="AD1179" s="610" t="s">
        <v>73</v>
      </c>
      <c r="AE1179" s="610" t="s">
        <v>73</v>
      </c>
      <c r="AF1179" s="610"/>
      <c r="AG1179" s="610"/>
      <c r="AH1179" s="610"/>
      <c r="AI1179" s="609"/>
      <c r="AJ1179" s="610">
        <f t="shared" si="383"/>
        <v>-30</v>
      </c>
      <c r="AK1179" s="610"/>
      <c r="AL1179" s="610" t="s">
        <v>2368</v>
      </c>
      <c r="AM1179" s="554"/>
      <c r="AN1179" s="554">
        <f t="shared" si="387"/>
        <v>30</v>
      </c>
      <c r="AO1179" s="554"/>
      <c r="AP1179" s="554"/>
      <c r="AQ1179" s="554"/>
      <c r="AR1179" s="554">
        <f>I1179</f>
        <v>30</v>
      </c>
      <c r="AS1179" s="554"/>
      <c r="AT1179" s="554"/>
      <c r="AU1179" s="554">
        <f t="shared" si="389"/>
        <v>30</v>
      </c>
      <c r="AV1179" s="554"/>
      <c r="AW1179" s="554">
        <f t="shared" si="386"/>
        <v>30</v>
      </c>
      <c r="AX1179" s="714"/>
      <c r="AY1179" s="554"/>
      <c r="AZ1179" s="554"/>
      <c r="BA1179" s="554"/>
      <c r="BB1179" s="554"/>
      <c r="BC1179" s="554"/>
      <c r="BD1179" s="554"/>
      <c r="BE1179" s="554"/>
      <c r="BF1179" s="554"/>
      <c r="BG1179" s="554"/>
      <c r="BH1179" s="554"/>
      <c r="BI1179" s="554"/>
      <c r="BJ1179" s="554"/>
      <c r="BK1179" s="554"/>
      <c r="BL1179" s="554"/>
      <c r="BM1179" s="554"/>
      <c r="BN1179" s="554"/>
      <c r="BO1179" s="554"/>
      <c r="BP1179" s="554"/>
      <c r="BQ1179" s="554"/>
      <c r="BR1179" s="554"/>
      <c r="BS1179" s="554"/>
      <c r="BT1179" s="554"/>
      <c r="BU1179" s="554"/>
      <c r="BV1179" s="554"/>
      <c r="BW1179" s="554"/>
      <c r="BX1179" s="554"/>
      <c r="BY1179" s="554"/>
      <c r="BZ1179" s="554"/>
      <c r="CA1179" s="554"/>
      <c r="CB1179" s="554"/>
      <c r="CC1179" s="554"/>
      <c r="CD1179" s="554"/>
      <c r="CE1179" s="554"/>
      <c r="CF1179" s="554"/>
      <c r="CG1179" s="554"/>
      <c r="CH1179" s="619"/>
      <c r="CI1179" s="619"/>
      <c r="CJ1179" s="619"/>
      <c r="CK1179" s="619"/>
      <c r="CL1179" s="619"/>
      <c r="CM1179" s="554"/>
      <c r="CN1179" s="554"/>
      <c r="CO1179" s="554"/>
      <c r="CP1179" s="619"/>
      <c r="CQ1179" s="619"/>
      <c r="CR1179" s="619"/>
      <c r="CS1179" s="619"/>
      <c r="CT1179" s="619"/>
      <c r="CU1179" s="619"/>
    </row>
    <row r="1180" s="1267" customFormat="1" ht="31" customHeight="1" spans="1:99">
      <c r="A1180" s="608">
        <v>46154</v>
      </c>
      <c r="B1180" s="609" t="s">
        <v>606</v>
      </c>
      <c r="C1180" s="610" t="s">
        <v>399</v>
      </c>
      <c r="D1180" s="554" t="s">
        <v>4535</v>
      </c>
      <c r="E1180" s="731">
        <v>2236260204</v>
      </c>
      <c r="F1180" s="554" t="s">
        <v>4536</v>
      </c>
      <c r="G1180" s="610" t="s">
        <v>518</v>
      </c>
      <c r="H1180" s="610" t="s">
        <v>477</v>
      </c>
      <c r="I1180" s="715">
        <v>3504</v>
      </c>
      <c r="J1180" s="610">
        <v>0</v>
      </c>
      <c r="K1180" s="610">
        <v>6</v>
      </c>
      <c r="L1180" s="611">
        <f t="shared" si="381"/>
        <v>584</v>
      </c>
      <c r="M1180" s="612">
        <v>46196</v>
      </c>
      <c r="N1180" s="724">
        <v>46193</v>
      </c>
      <c r="O1180" s="613"/>
      <c r="P1180" s="610" t="s">
        <v>113</v>
      </c>
      <c r="Q1180" s="614"/>
      <c r="R1180" s="614">
        <v>46169</v>
      </c>
      <c r="S1180" s="614" t="s">
        <v>70</v>
      </c>
      <c r="T1180" s="614" t="s">
        <v>4537</v>
      </c>
      <c r="U1180" s="614"/>
      <c r="V1180" s="614" t="s">
        <v>4538</v>
      </c>
      <c r="W1180" s="609" t="s">
        <v>4539</v>
      </c>
      <c r="X1180" s="738" t="s">
        <v>4540</v>
      </c>
      <c r="Y1180" s="616" t="s">
        <v>445</v>
      </c>
      <c r="Z1180" s="625">
        <v>6.8196</v>
      </c>
      <c r="AA1180" s="616">
        <f t="shared" si="382"/>
        <v>23895.8784</v>
      </c>
      <c r="AB1180" s="554"/>
      <c r="AC1180" s="617"/>
      <c r="AD1180" s="610" t="s">
        <v>480</v>
      </c>
      <c r="AE1180" s="610" t="s">
        <v>82</v>
      </c>
      <c r="AF1180" s="610"/>
      <c r="AG1180" s="610"/>
      <c r="AH1180" s="610"/>
      <c r="AI1180" s="609">
        <f>36</f>
        <v>36</v>
      </c>
      <c r="AJ1180" s="613">
        <f t="shared" si="383"/>
        <v>-3468</v>
      </c>
      <c r="AK1180" s="610"/>
      <c r="AL1180" s="610"/>
      <c r="AM1180" s="554"/>
      <c r="AN1180" s="554">
        <f t="shared" si="387"/>
        <v>3504</v>
      </c>
      <c r="AO1180" s="554"/>
      <c r="AP1180" s="554"/>
      <c r="AQ1180" s="554"/>
      <c r="AR1180" s="554"/>
      <c r="AS1180" s="554">
        <f>I1180</f>
        <v>3504</v>
      </c>
      <c r="AT1180" s="554"/>
      <c r="AU1180" s="554">
        <f t="shared" si="389"/>
        <v>3504</v>
      </c>
      <c r="AV1180" s="554"/>
      <c r="AW1180" s="554">
        <f t="shared" si="386"/>
        <v>3504</v>
      </c>
      <c r="AX1180" s="714"/>
      <c r="AY1180" s="554"/>
      <c r="AZ1180" s="554"/>
      <c r="BA1180" s="554"/>
      <c r="BB1180" s="554"/>
      <c r="BC1180" s="554"/>
      <c r="BD1180" s="554"/>
      <c r="BE1180" s="554"/>
      <c r="BF1180" s="554"/>
      <c r="BG1180" s="554"/>
      <c r="BH1180" s="554"/>
      <c r="BI1180" s="554"/>
      <c r="BJ1180" s="554"/>
      <c r="BK1180" s="554"/>
      <c r="BL1180" s="554"/>
      <c r="BM1180" s="554"/>
      <c r="BN1180" s="554">
        <f>I1180</f>
        <v>3504</v>
      </c>
      <c r="BO1180" s="554"/>
      <c r="BP1180" s="554"/>
      <c r="BQ1180" s="554"/>
      <c r="BR1180" s="554"/>
      <c r="BS1180" s="554"/>
      <c r="BT1180" s="554"/>
      <c r="BU1180" s="554"/>
      <c r="BV1180" s="554"/>
      <c r="BW1180" s="554"/>
      <c r="BX1180" s="554"/>
      <c r="BY1180" s="554"/>
      <c r="BZ1180" s="554"/>
      <c r="CA1180" s="554"/>
      <c r="CB1180" s="554"/>
      <c r="CC1180" s="554"/>
      <c r="CD1180" s="554"/>
      <c r="CE1180" s="554"/>
      <c r="CF1180" s="554"/>
      <c r="CG1180" s="554"/>
      <c r="CH1180" s="619"/>
      <c r="CI1180" s="619"/>
      <c r="CJ1180" s="619"/>
      <c r="CK1180" s="619"/>
      <c r="CL1180" s="619"/>
      <c r="CM1180" s="554"/>
      <c r="CN1180" s="554"/>
      <c r="CO1180" s="554"/>
      <c r="CP1180" s="619"/>
      <c r="CQ1180" s="619"/>
      <c r="CR1180" s="619"/>
      <c r="CS1180" s="619"/>
      <c r="CT1180" s="619"/>
      <c r="CU1180" s="619"/>
    </row>
    <row r="1181" s="1267" customFormat="1" ht="31" customHeight="1" spans="1:99">
      <c r="A1181" s="608">
        <v>46154</v>
      </c>
      <c r="B1181" s="609" t="s">
        <v>4087</v>
      </c>
      <c r="C1181" s="610" t="s">
        <v>399</v>
      </c>
      <c r="D1181" s="554">
        <v>4500206580</v>
      </c>
      <c r="E1181" s="731">
        <v>2000010355</v>
      </c>
      <c r="F1181" s="554" t="s">
        <v>4541</v>
      </c>
      <c r="G1181" s="610" t="s">
        <v>68</v>
      </c>
      <c r="H1181" s="610" t="s">
        <v>69</v>
      </c>
      <c r="I1181" s="715">
        <v>300</v>
      </c>
      <c r="J1181" s="610">
        <v>0</v>
      </c>
      <c r="K1181" s="610">
        <v>12</v>
      </c>
      <c r="L1181" s="611">
        <f t="shared" si="381"/>
        <v>25</v>
      </c>
      <c r="M1181" s="612">
        <v>46198</v>
      </c>
      <c r="N1181" s="612">
        <v>46195</v>
      </c>
      <c r="O1181" s="737" t="s">
        <v>3368</v>
      </c>
      <c r="P1181" s="610" t="s">
        <v>113</v>
      </c>
      <c r="Q1181" s="614">
        <v>46238</v>
      </c>
      <c r="R1181" s="614">
        <v>46164</v>
      </c>
      <c r="S1181" s="614" t="s">
        <v>70</v>
      </c>
      <c r="T1181" s="614" t="s">
        <v>4542</v>
      </c>
      <c r="U1181" s="614"/>
      <c r="V1181" s="614" t="s">
        <v>4543</v>
      </c>
      <c r="W1181" s="738" t="s">
        <v>4544</v>
      </c>
      <c r="X1181" s="738" t="s">
        <v>4545</v>
      </c>
      <c r="Y1181" s="616" t="s">
        <v>415</v>
      </c>
      <c r="Z1181" s="625">
        <v>4.2173</v>
      </c>
      <c r="AA1181" s="616">
        <f t="shared" si="382"/>
        <v>1265.19</v>
      </c>
      <c r="AB1181" s="554"/>
      <c r="AC1181" s="617"/>
      <c r="AD1181" s="610" t="s">
        <v>184</v>
      </c>
      <c r="AE1181" s="610" t="s">
        <v>82</v>
      </c>
      <c r="AF1181" s="610"/>
      <c r="AG1181" s="610"/>
      <c r="AH1181" s="610"/>
      <c r="AI1181" s="609">
        <v>300</v>
      </c>
      <c r="AJ1181" s="610">
        <f t="shared" si="383"/>
        <v>0</v>
      </c>
      <c r="AK1181" s="610"/>
      <c r="AL1181" s="610" t="s">
        <v>2368</v>
      </c>
      <c r="AM1181" s="554"/>
      <c r="AN1181" s="554">
        <f t="shared" si="387"/>
        <v>300</v>
      </c>
      <c r="AO1181" s="554"/>
      <c r="AP1181" s="554"/>
      <c r="AQ1181" s="554"/>
      <c r="AR1181" s="554"/>
      <c r="AS1181" s="554">
        <f>I1181</f>
        <v>300</v>
      </c>
      <c r="AT1181" s="554"/>
      <c r="AU1181" s="554">
        <f t="shared" si="389"/>
        <v>300</v>
      </c>
      <c r="AV1181" s="554"/>
      <c r="AW1181" s="554">
        <f t="shared" si="386"/>
        <v>300</v>
      </c>
      <c r="AX1181" s="714"/>
      <c r="AY1181" s="554"/>
      <c r="AZ1181" s="554"/>
      <c r="BA1181" s="554"/>
      <c r="BB1181" s="554"/>
      <c r="BC1181" s="554"/>
      <c r="BD1181" s="554"/>
      <c r="BE1181" s="554"/>
      <c r="BF1181" s="554"/>
      <c r="BG1181" s="554"/>
      <c r="BH1181" s="554"/>
      <c r="BI1181" s="554"/>
      <c r="BJ1181" s="554"/>
      <c r="BK1181" s="554"/>
      <c r="BL1181" s="554"/>
      <c r="BM1181" s="554"/>
      <c r="BN1181" s="554"/>
      <c r="BO1181" s="554"/>
      <c r="BP1181" s="554"/>
      <c r="BQ1181" s="554"/>
      <c r="BR1181" s="554"/>
      <c r="BS1181" s="554"/>
      <c r="BT1181" s="554"/>
      <c r="BU1181" s="554"/>
      <c r="BV1181" s="554"/>
      <c r="BW1181" s="554"/>
      <c r="BX1181" s="554"/>
      <c r="BY1181" s="554"/>
      <c r="BZ1181" s="554"/>
      <c r="CA1181" s="554"/>
      <c r="CB1181" s="554"/>
      <c r="CC1181" s="554"/>
      <c r="CD1181" s="554"/>
      <c r="CE1181" s="554"/>
      <c r="CF1181" s="554"/>
      <c r="CG1181" s="554"/>
      <c r="CH1181" s="619"/>
      <c r="CI1181" s="619"/>
      <c r="CJ1181" s="619"/>
      <c r="CK1181" s="619"/>
      <c r="CL1181" s="619"/>
      <c r="CM1181" s="554"/>
      <c r="CN1181" s="554"/>
      <c r="CO1181" s="554"/>
      <c r="CP1181" s="619"/>
      <c r="CQ1181" s="619"/>
      <c r="CR1181" s="619"/>
      <c r="CS1181" s="619"/>
      <c r="CT1181" s="619"/>
      <c r="CU1181" s="619"/>
    </row>
    <row r="1182" s="1267" customFormat="1" ht="31" customHeight="1" spans="1:99">
      <c r="A1182" s="608">
        <v>46128</v>
      </c>
      <c r="B1182" s="609" t="s">
        <v>2734</v>
      </c>
      <c r="C1182" s="610" t="s">
        <v>98</v>
      </c>
      <c r="D1182" s="554">
        <v>4500202167</v>
      </c>
      <c r="E1182" s="610">
        <v>60295832</v>
      </c>
      <c r="F1182" s="554" t="s">
        <v>4546</v>
      </c>
      <c r="G1182" s="610" t="s">
        <v>68</v>
      </c>
      <c r="H1182" s="610" t="s">
        <v>69</v>
      </c>
      <c r="I1182" s="715">
        <v>3600</v>
      </c>
      <c r="J1182" s="610">
        <v>0</v>
      </c>
      <c r="K1182" s="610">
        <v>12</v>
      </c>
      <c r="L1182" s="611">
        <f t="shared" si="381"/>
        <v>300</v>
      </c>
      <c r="M1182" s="612">
        <v>46198</v>
      </c>
      <c r="N1182" s="612">
        <v>46195</v>
      </c>
      <c r="O1182" s="613"/>
      <c r="P1182" s="610" t="s">
        <v>113</v>
      </c>
      <c r="Q1182" s="614">
        <v>46214</v>
      </c>
      <c r="R1182" s="614">
        <v>46139</v>
      </c>
      <c r="S1182" s="614" t="s">
        <v>70</v>
      </c>
      <c r="T1182" s="614" t="s">
        <v>4494</v>
      </c>
      <c r="U1182" s="614"/>
      <c r="V1182" s="614"/>
      <c r="W1182" s="609"/>
      <c r="X1182" s="609" t="s">
        <v>4547</v>
      </c>
      <c r="Y1182" s="616" t="s">
        <v>1318</v>
      </c>
      <c r="Z1182" s="625">
        <v>2.554</v>
      </c>
      <c r="AA1182" s="616">
        <f t="shared" si="382"/>
        <v>9194.4</v>
      </c>
      <c r="AB1182" s="554"/>
      <c r="AC1182" s="629" t="s">
        <v>4548</v>
      </c>
      <c r="AD1182" s="610" t="s">
        <v>68</v>
      </c>
      <c r="AE1182" s="610" t="s">
        <v>82</v>
      </c>
      <c r="AF1182" s="610"/>
      <c r="AG1182" s="610"/>
      <c r="AH1182" s="610"/>
      <c r="AI1182" s="609">
        <f>3588+12</f>
        <v>3600</v>
      </c>
      <c r="AJ1182" s="613">
        <f t="shared" si="383"/>
        <v>0</v>
      </c>
      <c r="AK1182" s="610"/>
      <c r="AL1182" s="610" t="s">
        <v>2368</v>
      </c>
      <c r="AM1182" s="554"/>
      <c r="AN1182" s="554">
        <f t="shared" si="387"/>
        <v>3600</v>
      </c>
      <c r="AO1182" s="554"/>
      <c r="AP1182" s="554"/>
      <c r="AQ1182" s="554"/>
      <c r="AR1182" s="554">
        <f>I1182</f>
        <v>3600</v>
      </c>
      <c r="AS1182" s="554"/>
      <c r="AT1182" s="554"/>
      <c r="AU1182" s="554">
        <f t="shared" si="389"/>
        <v>3600</v>
      </c>
      <c r="AV1182" s="554"/>
      <c r="AW1182" s="554">
        <f t="shared" si="386"/>
        <v>3600</v>
      </c>
      <c r="AX1182" s="714"/>
      <c r="AY1182" s="554"/>
      <c r="AZ1182" s="554"/>
      <c r="BA1182" s="554"/>
      <c r="BB1182" s="554"/>
      <c r="BC1182" s="554"/>
      <c r="BD1182" s="554"/>
      <c r="BE1182" s="554"/>
      <c r="BF1182" s="554"/>
      <c r="BG1182" s="554"/>
      <c r="BH1182" s="554"/>
      <c r="BI1182" s="554"/>
      <c r="BJ1182" s="554"/>
      <c r="BK1182" s="554"/>
      <c r="BL1182" s="554"/>
      <c r="BM1182" s="554"/>
      <c r="BN1182" s="554"/>
      <c r="BO1182" s="554"/>
      <c r="BP1182" s="554"/>
      <c r="BQ1182" s="554"/>
      <c r="BR1182" s="554"/>
      <c r="BS1182" s="554"/>
      <c r="BT1182" s="554"/>
      <c r="BU1182" s="554"/>
      <c r="BV1182" s="554"/>
      <c r="BW1182" s="554"/>
      <c r="BX1182" s="554"/>
      <c r="BY1182" s="554"/>
      <c r="BZ1182" s="554"/>
      <c r="CA1182" s="554"/>
      <c r="CB1182" s="554"/>
      <c r="CC1182" s="554"/>
      <c r="CD1182" s="554"/>
      <c r="CE1182" s="554"/>
      <c r="CF1182" s="554"/>
      <c r="CG1182" s="554"/>
      <c r="CH1182" s="619"/>
      <c r="CI1182" s="619"/>
      <c r="CJ1182" s="619"/>
      <c r="CK1182" s="619"/>
      <c r="CL1182" s="619"/>
      <c r="CM1182" s="554"/>
      <c r="CN1182" s="554"/>
      <c r="CO1182" s="554"/>
      <c r="CP1182" s="619"/>
      <c r="CQ1182" s="619"/>
      <c r="CR1182" s="619"/>
      <c r="CS1182" s="619"/>
      <c r="CT1182" s="619"/>
      <c r="CU1182" s="619"/>
    </row>
    <row r="1183" s="1267" customFormat="1" ht="31" customHeight="1" spans="1:99">
      <c r="A1183" s="608">
        <v>46122</v>
      </c>
      <c r="B1183" s="609" t="s">
        <v>4549</v>
      </c>
      <c r="C1183" s="610" t="s">
        <v>98</v>
      </c>
      <c r="D1183" s="554" t="s">
        <v>4550</v>
      </c>
      <c r="E1183" s="610" t="s">
        <v>4551</v>
      </c>
      <c r="F1183" s="554" t="s">
        <v>4552</v>
      </c>
      <c r="G1183" s="623" t="s">
        <v>68</v>
      </c>
      <c r="H1183" s="610" t="s">
        <v>69</v>
      </c>
      <c r="I1183" s="715">
        <v>504</v>
      </c>
      <c r="J1183" s="610">
        <v>0</v>
      </c>
      <c r="K1183" s="610">
        <v>12</v>
      </c>
      <c r="L1183" s="611">
        <f t="shared" si="381"/>
        <v>42</v>
      </c>
      <c r="M1183" s="612">
        <v>46198</v>
      </c>
      <c r="N1183" s="612">
        <v>46195</v>
      </c>
      <c r="O1183" s="613"/>
      <c r="P1183" s="610" t="s">
        <v>113</v>
      </c>
      <c r="Q1183" s="614"/>
      <c r="R1183" s="614">
        <v>46164</v>
      </c>
      <c r="S1183" s="614" t="s">
        <v>70</v>
      </c>
      <c r="T1183" s="614" t="s">
        <v>70</v>
      </c>
      <c r="U1183" s="614"/>
      <c r="V1183" s="614"/>
      <c r="W1183" s="609"/>
      <c r="X1183" s="609" t="s">
        <v>4553</v>
      </c>
      <c r="Y1183" s="616" t="s">
        <v>1278</v>
      </c>
      <c r="Z1183" s="1345">
        <v>2.6144</v>
      </c>
      <c r="AA1183" s="616">
        <f t="shared" si="382"/>
        <v>1317.6576</v>
      </c>
      <c r="AB1183" s="554"/>
      <c r="AC1183" s="629" t="s">
        <v>4554</v>
      </c>
      <c r="AD1183" s="610" t="s">
        <v>68</v>
      </c>
      <c r="AE1183" s="610" t="s">
        <v>82</v>
      </c>
      <c r="AF1183" s="610"/>
      <c r="AG1183" s="610"/>
      <c r="AH1183" s="610"/>
      <c r="AI1183" s="609">
        <v>504</v>
      </c>
      <c r="AJ1183" s="613">
        <f t="shared" si="383"/>
        <v>0</v>
      </c>
      <c r="AK1183" s="610"/>
      <c r="AL1183" s="610"/>
      <c r="AM1183" s="554"/>
      <c r="AN1183" s="554">
        <f t="shared" si="387"/>
        <v>504</v>
      </c>
      <c r="AO1183" s="554"/>
      <c r="AP1183" s="554"/>
      <c r="AQ1183" s="554"/>
      <c r="AR1183" s="554">
        <f>I1183</f>
        <v>504</v>
      </c>
      <c r="AS1183" s="554"/>
      <c r="AT1183" s="554"/>
      <c r="AU1183" s="554">
        <f t="shared" si="389"/>
        <v>504</v>
      </c>
      <c r="AV1183" s="554"/>
      <c r="AW1183" s="554">
        <f t="shared" si="386"/>
        <v>504</v>
      </c>
      <c r="AX1183" s="714"/>
      <c r="AY1183" s="554"/>
      <c r="AZ1183" s="554"/>
      <c r="BA1183" s="554"/>
      <c r="BB1183" s="554"/>
      <c r="BC1183" s="554"/>
      <c r="BD1183" s="554"/>
      <c r="BE1183" s="554"/>
      <c r="BF1183" s="554"/>
      <c r="BG1183" s="554"/>
      <c r="BH1183" s="554"/>
      <c r="BI1183" s="554"/>
      <c r="BJ1183" s="554"/>
      <c r="BK1183" s="554"/>
      <c r="BL1183" s="554"/>
      <c r="BM1183" s="554"/>
      <c r="BN1183" s="554"/>
      <c r="BO1183" s="554"/>
      <c r="BP1183" s="554"/>
      <c r="BQ1183" s="554"/>
      <c r="BR1183" s="554"/>
      <c r="BS1183" s="554"/>
      <c r="BT1183" s="554"/>
      <c r="BU1183" s="554"/>
      <c r="BV1183" s="554"/>
      <c r="BW1183" s="554"/>
      <c r="BX1183" s="554"/>
      <c r="BY1183" s="554"/>
      <c r="BZ1183" s="554"/>
      <c r="CA1183" s="554"/>
      <c r="CB1183" s="554"/>
      <c r="CC1183" s="554"/>
      <c r="CD1183" s="554"/>
      <c r="CE1183" s="554"/>
      <c r="CF1183" s="554"/>
      <c r="CG1183" s="554"/>
      <c r="CH1183" s="619"/>
      <c r="CI1183" s="619"/>
      <c r="CJ1183" s="619"/>
      <c r="CK1183" s="619"/>
      <c r="CL1183" s="619"/>
      <c r="CM1183" s="554"/>
      <c r="CN1183" s="554"/>
      <c r="CO1183" s="554"/>
      <c r="CP1183" s="619"/>
      <c r="CQ1183" s="619"/>
      <c r="CR1183" s="619"/>
      <c r="CS1183" s="619"/>
      <c r="CT1183" s="619"/>
      <c r="CU1183" s="619"/>
    </row>
    <row r="1184" s="1267" customFormat="1" ht="31" customHeight="1" spans="1:99">
      <c r="A1184" s="608">
        <v>46133</v>
      </c>
      <c r="B1184" s="609" t="s">
        <v>455</v>
      </c>
      <c r="C1184" s="610" t="s">
        <v>241</v>
      </c>
      <c r="D1184" s="554" t="s">
        <v>4555</v>
      </c>
      <c r="E1184" s="610" t="s">
        <v>4556</v>
      </c>
      <c r="F1184" s="554" t="s">
        <v>4557</v>
      </c>
      <c r="G1184" s="610" t="s">
        <v>68</v>
      </c>
      <c r="H1184" s="610" t="s">
        <v>69</v>
      </c>
      <c r="I1184" s="715">
        <v>300</v>
      </c>
      <c r="J1184" s="610">
        <v>0</v>
      </c>
      <c r="K1184" s="610">
        <v>12</v>
      </c>
      <c r="L1184" s="611">
        <f t="shared" si="381"/>
        <v>25</v>
      </c>
      <c r="M1184" s="612">
        <v>46199</v>
      </c>
      <c r="N1184" s="612">
        <v>46195</v>
      </c>
      <c r="O1184" s="613"/>
      <c r="P1184" s="610" t="s">
        <v>113</v>
      </c>
      <c r="Q1184" s="614"/>
      <c r="R1184" s="614">
        <v>46133</v>
      </c>
      <c r="S1184" s="614" t="s">
        <v>70</v>
      </c>
      <c r="T1184" s="614" t="s">
        <v>4558</v>
      </c>
      <c r="U1184" s="614"/>
      <c r="V1184" s="614"/>
      <c r="W1184" s="609"/>
      <c r="X1184" s="738" t="s">
        <v>4559</v>
      </c>
      <c r="Y1184" s="616" t="s">
        <v>299</v>
      </c>
      <c r="Z1184" s="625">
        <v>4.2622</v>
      </c>
      <c r="AA1184" s="616">
        <f t="shared" si="382"/>
        <v>1278.66</v>
      </c>
      <c r="AB1184" s="554"/>
      <c r="AC1184" s="617"/>
      <c r="AD1184" s="610" t="s">
        <v>184</v>
      </c>
      <c r="AE1184" s="610" t="s">
        <v>82</v>
      </c>
      <c r="AF1184" s="610"/>
      <c r="AG1184" s="610"/>
      <c r="AH1184" s="610"/>
      <c r="AI1184" s="609">
        <v>300</v>
      </c>
      <c r="AJ1184" s="610">
        <f t="shared" si="383"/>
        <v>0</v>
      </c>
      <c r="AK1184" s="610"/>
      <c r="AL1184" s="610" t="s">
        <v>2368</v>
      </c>
      <c r="AM1184" s="554"/>
      <c r="AN1184" s="554">
        <f t="shared" si="387"/>
        <v>300</v>
      </c>
      <c r="AO1184" s="554"/>
      <c r="AP1184" s="554"/>
      <c r="AQ1184" s="554"/>
      <c r="AR1184" s="554"/>
      <c r="AS1184" s="554">
        <f>I1184</f>
        <v>300</v>
      </c>
      <c r="AT1184" s="554"/>
      <c r="AU1184" s="554">
        <f t="shared" si="389"/>
        <v>300</v>
      </c>
      <c r="AV1184" s="554"/>
      <c r="AW1184" s="554">
        <f t="shared" si="386"/>
        <v>300</v>
      </c>
      <c r="AX1184" s="714"/>
      <c r="AY1184" s="554"/>
      <c r="AZ1184" s="554"/>
      <c r="BA1184" s="554"/>
      <c r="BB1184" s="554"/>
      <c r="BC1184" s="554"/>
      <c r="BD1184" s="554"/>
      <c r="BE1184" s="554"/>
      <c r="BF1184" s="554"/>
      <c r="BG1184" s="554"/>
      <c r="BH1184" s="554"/>
      <c r="BI1184" s="554"/>
      <c r="BJ1184" s="554"/>
      <c r="BK1184" s="554"/>
      <c r="BL1184" s="554"/>
      <c r="BM1184" s="554"/>
      <c r="BN1184" s="554"/>
      <c r="BO1184" s="554"/>
      <c r="BP1184" s="554"/>
      <c r="BQ1184" s="554"/>
      <c r="BR1184" s="554"/>
      <c r="BS1184" s="554"/>
      <c r="BT1184" s="554"/>
      <c r="BU1184" s="554"/>
      <c r="BV1184" s="554"/>
      <c r="BW1184" s="554"/>
      <c r="BX1184" s="554"/>
      <c r="BY1184" s="554"/>
      <c r="BZ1184" s="554"/>
      <c r="CA1184" s="554"/>
      <c r="CB1184" s="554"/>
      <c r="CC1184" s="554"/>
      <c r="CD1184" s="554"/>
      <c r="CE1184" s="554"/>
      <c r="CF1184" s="554"/>
      <c r="CG1184" s="554"/>
      <c r="CH1184" s="619"/>
      <c r="CI1184" s="619"/>
      <c r="CJ1184" s="619"/>
      <c r="CK1184" s="619"/>
      <c r="CL1184" s="619"/>
      <c r="CM1184" s="554"/>
      <c r="CN1184" s="554"/>
      <c r="CO1184" s="554"/>
      <c r="CP1184" s="619"/>
      <c r="CQ1184" s="619"/>
      <c r="CR1184" s="619"/>
      <c r="CS1184" s="619"/>
      <c r="CT1184" s="619"/>
      <c r="CU1184" s="619"/>
    </row>
    <row r="1185" s="1267" customFormat="1" ht="31" customHeight="1" spans="1:100">
      <c r="A1185" s="608">
        <v>46153</v>
      </c>
      <c r="B1185" s="609" t="s">
        <v>143</v>
      </c>
      <c r="C1185" s="610" t="s">
        <v>98</v>
      </c>
      <c r="D1185" s="554" t="s">
        <v>4560</v>
      </c>
      <c r="E1185" s="610" t="s">
        <v>4561</v>
      </c>
      <c r="F1185" s="554" t="s">
        <v>4562</v>
      </c>
      <c r="G1185" s="610" t="s">
        <v>101</v>
      </c>
      <c r="H1185" s="610" t="s">
        <v>102</v>
      </c>
      <c r="I1185" s="715">
        <v>4480</v>
      </c>
      <c r="J1185" s="610">
        <v>0</v>
      </c>
      <c r="K1185" s="610">
        <v>4</v>
      </c>
      <c r="L1185" s="611">
        <f t="shared" si="381"/>
        <v>1120</v>
      </c>
      <c r="M1185" s="612">
        <v>46202</v>
      </c>
      <c r="N1185" s="612">
        <v>46198</v>
      </c>
      <c r="O1185" s="737" t="s">
        <v>3368</v>
      </c>
      <c r="P1185" s="610" t="s">
        <v>113</v>
      </c>
      <c r="Q1185" s="614">
        <v>46219</v>
      </c>
      <c r="R1185" s="614" t="s">
        <v>4563</v>
      </c>
      <c r="S1185" s="614" t="s">
        <v>70</v>
      </c>
      <c r="T1185" s="614" t="s">
        <v>4564</v>
      </c>
      <c r="U1185" s="614"/>
      <c r="V1185" s="614"/>
      <c r="W1185" s="609"/>
      <c r="X1185" s="609" t="s">
        <v>4565</v>
      </c>
      <c r="Y1185" s="616" t="s">
        <v>106</v>
      </c>
      <c r="Z1185" s="625">
        <v>2.615</v>
      </c>
      <c r="AA1185" s="616">
        <f t="shared" si="382"/>
        <v>11715.2</v>
      </c>
      <c r="AB1185" s="554"/>
      <c r="AC1185" s="629" t="s">
        <v>4566</v>
      </c>
      <c r="AD1185" s="610" t="s">
        <v>101</v>
      </c>
      <c r="AE1185" s="610" t="s">
        <v>82</v>
      </c>
      <c r="AF1185" s="610"/>
      <c r="AG1185" s="610"/>
      <c r="AH1185" s="610"/>
      <c r="AI1185" s="609">
        <v>4480</v>
      </c>
      <c r="AJ1185" s="613">
        <f t="shared" si="383"/>
        <v>0</v>
      </c>
      <c r="AK1185" s="610"/>
      <c r="AL1185" s="610" t="s">
        <v>2368</v>
      </c>
      <c r="AM1185" s="554"/>
      <c r="AN1185" s="554">
        <f t="shared" si="387"/>
        <v>4480</v>
      </c>
      <c r="AO1185" s="554"/>
      <c r="AP1185" s="554"/>
      <c r="AQ1185" s="554"/>
      <c r="AR1185" s="554">
        <f>I1185</f>
        <v>4480</v>
      </c>
      <c r="AS1185" s="554"/>
      <c r="AT1185" s="554"/>
      <c r="AU1185" s="554">
        <f t="shared" si="389"/>
        <v>4480</v>
      </c>
      <c r="AV1185" s="554"/>
      <c r="AW1185" s="554">
        <f t="shared" si="386"/>
        <v>4480</v>
      </c>
      <c r="AX1185" s="714"/>
      <c r="AY1185" s="554"/>
      <c r="AZ1185" s="554"/>
      <c r="BA1185" s="554"/>
      <c r="BB1185" s="554"/>
      <c r="BC1185" s="554"/>
      <c r="BD1185" s="554"/>
      <c r="BE1185" s="554"/>
      <c r="BF1185" s="554"/>
      <c r="BG1185" s="554"/>
      <c r="BH1185" s="554">
        <f>I1185/4</f>
        <v>1120</v>
      </c>
      <c r="BI1185" s="554"/>
      <c r="BJ1185" s="554"/>
      <c r="BK1185" s="554"/>
      <c r="BL1185" s="554"/>
      <c r="BM1185" s="554"/>
      <c r="BN1185" s="554"/>
      <c r="BO1185" s="554"/>
      <c r="BP1185" s="554"/>
      <c r="BQ1185" s="554"/>
      <c r="BR1185" s="554"/>
      <c r="BS1185" s="554"/>
      <c r="BT1185" s="554"/>
      <c r="BU1185" s="554"/>
      <c r="BV1185" s="554"/>
      <c r="BW1185" s="554"/>
      <c r="BX1185" s="554"/>
      <c r="BY1185" s="554"/>
      <c r="BZ1185" s="554"/>
      <c r="CA1185" s="554"/>
      <c r="CB1185" s="554"/>
      <c r="CC1185" s="554"/>
      <c r="CD1185" s="554"/>
      <c r="CE1185" s="554"/>
      <c r="CF1185" s="554"/>
      <c r="CG1185" s="554"/>
      <c r="CH1185" s="619"/>
      <c r="CI1185" s="619"/>
      <c r="CJ1185" s="619"/>
      <c r="CK1185" s="619"/>
      <c r="CL1185" s="619"/>
      <c r="CM1185" s="554"/>
      <c r="CN1185" s="554"/>
      <c r="CO1185" s="554"/>
      <c r="CP1185" s="619"/>
      <c r="CQ1185" s="619"/>
      <c r="CR1185" s="619"/>
      <c r="CS1185" s="619"/>
      <c r="CT1185" s="619"/>
      <c r="CU1185" s="619"/>
    </row>
    <row r="1186" s="1267" customFormat="1" ht="31" customHeight="1" spans="1:100">
      <c r="A1186" s="608">
        <v>46168</v>
      </c>
      <c r="B1186" s="609" t="s">
        <v>984</v>
      </c>
      <c r="C1186" s="610" t="s">
        <v>399</v>
      </c>
      <c r="D1186" s="554" t="s">
        <v>4567</v>
      </c>
      <c r="E1186" s="610" t="s">
        <v>3846</v>
      </c>
      <c r="F1186" s="554" t="s">
        <v>4568</v>
      </c>
      <c r="G1186" s="610" t="s">
        <v>68</v>
      </c>
      <c r="H1186" s="610" t="s">
        <v>69</v>
      </c>
      <c r="I1186" s="715">
        <v>480</v>
      </c>
      <c r="J1186" s="610">
        <v>0</v>
      </c>
      <c r="K1186" s="610">
        <v>12</v>
      </c>
      <c r="L1186" s="611">
        <f t="shared" si="381"/>
        <v>40</v>
      </c>
      <c r="M1186" s="612">
        <v>46203</v>
      </c>
      <c r="N1186" s="612">
        <v>46199</v>
      </c>
      <c r="O1186" s="613"/>
      <c r="P1186" s="610" t="s">
        <v>113</v>
      </c>
      <c r="Q1186" s="614">
        <v>46240</v>
      </c>
      <c r="R1186" s="614">
        <v>46168</v>
      </c>
      <c r="S1186" s="614" t="s">
        <v>70</v>
      </c>
      <c r="T1186" s="614" t="s">
        <v>70</v>
      </c>
      <c r="U1186" s="614"/>
      <c r="V1186" s="614"/>
      <c r="W1186" s="609"/>
      <c r="X1186" s="609" t="s">
        <v>4569</v>
      </c>
      <c r="Y1186" s="616" t="s">
        <v>445</v>
      </c>
      <c r="Z1186" s="625">
        <v>4.3734</v>
      </c>
      <c r="AA1186" s="616">
        <f t="shared" si="382"/>
        <v>2099.232</v>
      </c>
      <c r="AB1186" s="554"/>
      <c r="AC1186" s="617"/>
      <c r="AD1186" s="610" t="s">
        <v>184</v>
      </c>
      <c r="AE1186" s="610" t="s">
        <v>82</v>
      </c>
      <c r="AF1186" s="610"/>
      <c r="AG1186" s="610"/>
      <c r="AH1186" s="610"/>
      <c r="AI1186" s="609">
        <f>12+468</f>
        <v>480</v>
      </c>
      <c r="AJ1186" s="610">
        <f t="shared" si="383"/>
        <v>0</v>
      </c>
      <c r="AK1186" s="610"/>
      <c r="AL1186" s="610"/>
      <c r="AM1186" s="554"/>
      <c r="AN1186" s="554">
        <f t="shared" si="387"/>
        <v>480</v>
      </c>
      <c r="AO1186" s="554"/>
      <c r="AP1186" s="554"/>
      <c r="AQ1186" s="554"/>
      <c r="AR1186" s="554"/>
      <c r="AS1186" s="554">
        <f>I1186</f>
        <v>480</v>
      </c>
      <c r="AT1186" s="554"/>
      <c r="AU1186" s="554">
        <f t="shared" si="389"/>
        <v>480</v>
      </c>
      <c r="AV1186" s="554"/>
      <c r="AW1186" s="554">
        <f t="shared" si="386"/>
        <v>480</v>
      </c>
      <c r="AX1186" s="714"/>
      <c r="AY1186" s="554"/>
      <c r="AZ1186" s="554"/>
      <c r="BA1186" s="554"/>
      <c r="BB1186" s="554"/>
      <c r="BC1186" s="554"/>
      <c r="BD1186" s="554"/>
      <c r="BE1186" s="554"/>
      <c r="BF1186" s="554"/>
      <c r="BG1186" s="554"/>
      <c r="BH1186" s="554"/>
      <c r="BI1186" s="554"/>
      <c r="BJ1186" s="554"/>
      <c r="BK1186" s="554"/>
      <c r="BL1186" s="554"/>
      <c r="BM1186" s="554"/>
      <c r="BN1186" s="554"/>
      <c r="BO1186" s="554"/>
      <c r="BP1186" s="554"/>
      <c r="BQ1186" s="554"/>
      <c r="BR1186" s="554"/>
      <c r="BS1186" s="554"/>
      <c r="BT1186" s="554"/>
      <c r="BU1186" s="554"/>
      <c r="BV1186" s="554"/>
      <c r="BW1186" s="554"/>
      <c r="BX1186" s="554"/>
      <c r="BY1186" s="554"/>
      <c r="BZ1186" s="554"/>
      <c r="CA1186" s="554"/>
      <c r="CB1186" s="554"/>
      <c r="CC1186" s="554"/>
      <c r="CD1186" s="554"/>
      <c r="CE1186" s="554"/>
      <c r="CF1186" s="554"/>
      <c r="CG1186" s="554"/>
      <c r="CH1186" s="619"/>
      <c r="CI1186" s="619"/>
      <c r="CJ1186" s="619"/>
      <c r="CK1186" s="619"/>
      <c r="CL1186" s="619"/>
      <c r="CM1186" s="554"/>
      <c r="CN1186" s="554"/>
      <c r="CO1186" s="554"/>
      <c r="CP1186" s="619"/>
      <c r="CQ1186" s="619"/>
      <c r="CR1186" s="619"/>
      <c r="CS1186" s="619"/>
      <c r="CT1186" s="619"/>
      <c r="CU1186" s="619"/>
    </row>
    <row r="1187" s="1267" customFormat="1" ht="31" customHeight="1" spans="1:100">
      <c r="A1187" s="608">
        <v>46168</v>
      </c>
      <c r="B1187" s="609" t="s">
        <v>448</v>
      </c>
      <c r="C1187" s="610" t="s">
        <v>399</v>
      </c>
      <c r="D1187" s="554" t="s">
        <v>4570</v>
      </c>
      <c r="E1187" s="610" t="s">
        <v>3846</v>
      </c>
      <c r="F1187" s="554" t="s">
        <v>4571</v>
      </c>
      <c r="G1187" s="610" t="s">
        <v>130</v>
      </c>
      <c r="H1187" s="610" t="s">
        <v>131</v>
      </c>
      <c r="I1187" s="715">
        <v>1404</v>
      </c>
      <c r="J1187" s="610">
        <v>0</v>
      </c>
      <c r="K1187" s="610">
        <v>6</v>
      </c>
      <c r="L1187" s="611">
        <f t="shared" si="381"/>
        <v>234</v>
      </c>
      <c r="M1187" s="612">
        <v>46203</v>
      </c>
      <c r="N1187" s="724">
        <v>46200</v>
      </c>
      <c r="O1187" s="613"/>
      <c r="P1187" s="610" t="s">
        <v>113</v>
      </c>
      <c r="Q1187" s="614">
        <v>46205</v>
      </c>
      <c r="R1187" s="614">
        <v>46175</v>
      </c>
      <c r="S1187" s="614" t="s">
        <v>70</v>
      </c>
      <c r="T1187" s="614" t="s">
        <v>4572</v>
      </c>
      <c r="U1187" s="614"/>
      <c r="V1187" s="614" t="s">
        <v>4573</v>
      </c>
      <c r="W1187" s="609" t="s">
        <v>4574</v>
      </c>
      <c r="X1187" s="609" t="s">
        <v>4575</v>
      </c>
      <c r="Y1187" s="616" t="s">
        <v>445</v>
      </c>
      <c r="Z1187" s="625">
        <v>4.2266</v>
      </c>
      <c r="AA1187" s="616">
        <f t="shared" si="382"/>
        <v>5934.1464</v>
      </c>
      <c r="AB1187" s="554"/>
      <c r="AC1187" s="617"/>
      <c r="AD1187" s="610" t="s">
        <v>453</v>
      </c>
      <c r="AE1187" s="610" t="s">
        <v>82</v>
      </c>
      <c r="AF1187" s="610"/>
      <c r="AG1187" s="610"/>
      <c r="AH1187" s="610"/>
      <c r="AI1187" s="609">
        <f>1398+6</f>
        <v>1404</v>
      </c>
      <c r="AJ1187" s="610">
        <f t="shared" si="383"/>
        <v>0</v>
      </c>
      <c r="AK1187" s="610"/>
      <c r="AL1187" s="610"/>
      <c r="AM1187" s="554"/>
      <c r="AN1187" s="554">
        <f t="shared" si="387"/>
        <v>1404</v>
      </c>
      <c r="AO1187" s="554"/>
      <c r="AP1187" s="554"/>
      <c r="AQ1187" s="554"/>
      <c r="AR1187" s="554"/>
      <c r="AS1187" s="554">
        <f>I1187</f>
        <v>1404</v>
      </c>
      <c r="AT1187" s="554"/>
      <c r="AU1187" s="554">
        <f t="shared" si="389"/>
        <v>1404</v>
      </c>
      <c r="AV1187" s="554"/>
      <c r="AW1187" s="554">
        <f t="shared" si="386"/>
        <v>1404</v>
      </c>
      <c r="AX1187" s="714"/>
      <c r="AY1187" s="554"/>
      <c r="AZ1187" s="554"/>
      <c r="BA1187" s="554"/>
      <c r="BB1187" s="554"/>
      <c r="BC1187" s="554"/>
      <c r="BD1187" s="554"/>
      <c r="BE1187" s="554"/>
      <c r="BF1187" s="554"/>
      <c r="BG1187" s="554"/>
      <c r="BH1187" s="554"/>
      <c r="BI1187" s="554"/>
      <c r="BJ1187" s="554"/>
      <c r="BK1187" s="554"/>
      <c r="BL1187" s="554"/>
      <c r="BM1187" s="554"/>
      <c r="BN1187" s="554"/>
      <c r="BO1187" s="554"/>
      <c r="BP1187" s="554"/>
      <c r="BQ1187" s="554"/>
      <c r="BR1187" s="554"/>
      <c r="BS1187" s="554"/>
      <c r="BT1187" s="554"/>
      <c r="BU1187" s="554"/>
      <c r="BV1187" s="554"/>
      <c r="BW1187" s="554"/>
      <c r="BX1187" s="554"/>
      <c r="BY1187" s="554"/>
      <c r="BZ1187" s="554"/>
      <c r="CA1187" s="554"/>
      <c r="CB1187" s="554"/>
      <c r="CC1187" s="554"/>
      <c r="CD1187" s="554"/>
      <c r="CE1187" s="554"/>
      <c r="CF1187" s="554"/>
      <c r="CG1187" s="554"/>
      <c r="CH1187" s="619"/>
      <c r="CI1187" s="619"/>
      <c r="CJ1187" s="619"/>
      <c r="CK1187" s="619"/>
      <c r="CL1187" s="619"/>
      <c r="CM1187" s="554"/>
      <c r="CN1187" s="554"/>
      <c r="CO1187" s="554"/>
      <c r="CP1187" s="619"/>
      <c r="CQ1187" s="619"/>
      <c r="CR1187" s="619"/>
      <c r="CS1187" s="619"/>
      <c r="CT1187" s="619"/>
      <c r="CU1187" s="619"/>
    </row>
    <row r="1188" s="1267" customFormat="1" ht="31" customHeight="1" spans="1:100">
      <c r="A1188" s="608">
        <v>46126</v>
      </c>
      <c r="B1188" s="609" t="s">
        <v>3340</v>
      </c>
      <c r="C1188" s="610" t="s">
        <v>98</v>
      </c>
      <c r="D1188" s="554">
        <v>4500201746</v>
      </c>
      <c r="E1188" s="610">
        <v>127320</v>
      </c>
      <c r="F1188" s="554" t="s">
        <v>4576</v>
      </c>
      <c r="G1188" s="610" t="s">
        <v>68</v>
      </c>
      <c r="H1188" s="610" t="s">
        <v>69</v>
      </c>
      <c r="I1188" s="715">
        <v>996</v>
      </c>
      <c r="J1188" s="610">
        <v>0</v>
      </c>
      <c r="K1188" s="610">
        <v>12</v>
      </c>
      <c r="L1188" s="611">
        <f t="shared" si="381"/>
        <v>83</v>
      </c>
      <c r="M1188" s="612">
        <v>46205</v>
      </c>
      <c r="N1188" s="612">
        <v>46202</v>
      </c>
      <c r="O1188" s="613"/>
      <c r="P1188" s="610" t="s">
        <v>113</v>
      </c>
      <c r="Q1188" s="614" t="s">
        <v>4577</v>
      </c>
      <c r="R1188" s="614">
        <v>46126</v>
      </c>
      <c r="S1188" s="614" t="s">
        <v>70</v>
      </c>
      <c r="T1188" s="614" t="s">
        <v>4147</v>
      </c>
      <c r="U1188" s="614"/>
      <c r="V1188" s="614"/>
      <c r="W1188" s="609"/>
      <c r="X1188" s="609" t="s">
        <v>4578</v>
      </c>
      <c r="Y1188" s="616" t="s">
        <v>3864</v>
      </c>
      <c r="Z1188" s="625">
        <v>2.5304</v>
      </c>
      <c r="AA1188" s="616">
        <f t="shared" si="382"/>
        <v>2520.2784</v>
      </c>
      <c r="AB1188" s="554"/>
      <c r="AC1188" s="629" t="s">
        <v>4579</v>
      </c>
      <c r="AD1188" s="610" t="s">
        <v>68</v>
      </c>
      <c r="AE1188" s="610" t="s">
        <v>82</v>
      </c>
      <c r="AF1188" s="610"/>
      <c r="AG1188" s="610"/>
      <c r="AH1188" s="610"/>
      <c r="AI1188" s="609">
        <f>12+984</f>
        <v>996</v>
      </c>
      <c r="AJ1188" s="610">
        <f t="shared" si="383"/>
        <v>0</v>
      </c>
      <c r="AK1188" s="610"/>
      <c r="AL1188" s="610" t="s">
        <v>2368</v>
      </c>
      <c r="AM1188" s="554"/>
      <c r="AN1188" s="554">
        <f t="shared" si="387"/>
        <v>996</v>
      </c>
      <c r="AO1188" s="554"/>
      <c r="AP1188" s="554"/>
      <c r="AQ1188" s="554"/>
      <c r="AR1188" s="554">
        <f>I1188</f>
        <v>996</v>
      </c>
      <c r="AS1188" s="554"/>
      <c r="AT1188" s="554"/>
      <c r="AU1188" s="554">
        <f t="shared" si="389"/>
        <v>996</v>
      </c>
      <c r="AV1188" s="554"/>
      <c r="AW1188" s="554">
        <f t="shared" si="386"/>
        <v>996</v>
      </c>
      <c r="AX1188" s="714"/>
      <c r="AY1188" s="554"/>
      <c r="AZ1188" s="554"/>
      <c r="BA1188" s="554"/>
      <c r="BB1188" s="554"/>
      <c r="BC1188" s="554"/>
      <c r="BD1188" s="554"/>
      <c r="BE1188" s="554"/>
      <c r="BF1188" s="554"/>
      <c r="BG1188" s="554"/>
      <c r="BH1188" s="554"/>
      <c r="BI1188" s="554"/>
      <c r="BJ1188" s="554"/>
      <c r="BK1188" s="554"/>
      <c r="BL1188" s="554"/>
      <c r="BM1188" s="554"/>
      <c r="BN1188" s="554"/>
      <c r="BO1188" s="554"/>
      <c r="BP1188" s="554"/>
      <c r="BQ1188" s="554"/>
      <c r="BR1188" s="554"/>
      <c r="BS1188" s="554"/>
      <c r="BT1188" s="554"/>
      <c r="BU1188" s="554"/>
      <c r="BV1188" s="554"/>
      <c r="BW1188" s="554"/>
      <c r="BX1188" s="554"/>
      <c r="BY1188" s="554"/>
      <c r="BZ1188" s="554"/>
      <c r="CA1188" s="554"/>
      <c r="CB1188" s="554"/>
      <c r="CC1188" s="554"/>
      <c r="CD1188" s="554"/>
      <c r="CE1188" s="554"/>
      <c r="CF1188" s="554"/>
      <c r="CG1188" s="554"/>
      <c r="CH1188" s="619"/>
      <c r="CI1188" s="619"/>
      <c r="CJ1188" s="619"/>
      <c r="CK1188" s="619"/>
      <c r="CL1188" s="619"/>
      <c r="CM1188" s="554"/>
      <c r="CN1188" s="554"/>
      <c r="CO1188" s="554"/>
      <c r="CP1188" s="619"/>
      <c r="CQ1188" s="619"/>
      <c r="CR1188" s="619"/>
      <c r="CS1188" s="619"/>
      <c r="CT1188" s="619"/>
      <c r="CU1188" s="619"/>
    </row>
    <row r="1189" s="1267" customFormat="1" ht="31" customHeight="1" spans="1:100">
      <c r="A1189" s="608">
        <v>46126</v>
      </c>
      <c r="B1189" s="609" t="s">
        <v>3340</v>
      </c>
      <c r="C1189" s="610" t="s">
        <v>98</v>
      </c>
      <c r="D1189" s="554">
        <v>4500201747</v>
      </c>
      <c r="E1189" s="610">
        <v>127333</v>
      </c>
      <c r="F1189" s="554" t="s">
        <v>4580</v>
      </c>
      <c r="G1189" s="610" t="s">
        <v>68</v>
      </c>
      <c r="H1189" s="610" t="s">
        <v>69</v>
      </c>
      <c r="I1189" s="715">
        <v>1200</v>
      </c>
      <c r="J1189" s="610">
        <v>0</v>
      </c>
      <c r="K1189" s="610">
        <v>12</v>
      </c>
      <c r="L1189" s="611">
        <f t="shared" si="381"/>
        <v>100</v>
      </c>
      <c r="M1189" s="612">
        <v>46205</v>
      </c>
      <c r="N1189" s="612">
        <v>46202</v>
      </c>
      <c r="O1189" s="613"/>
      <c r="P1189" s="610" t="s">
        <v>113</v>
      </c>
      <c r="Q1189" s="614" t="s">
        <v>4577</v>
      </c>
      <c r="R1189" s="614">
        <v>46126</v>
      </c>
      <c r="S1189" s="614" t="s">
        <v>70</v>
      </c>
      <c r="T1189" s="614" t="s">
        <v>4581</v>
      </c>
      <c r="U1189" s="614"/>
      <c r="V1189" s="614"/>
      <c r="W1189" s="609"/>
      <c r="X1189" s="609" t="s">
        <v>4582</v>
      </c>
      <c r="Y1189" s="616" t="s">
        <v>3864</v>
      </c>
      <c r="Z1189" s="625">
        <v>2.5304</v>
      </c>
      <c r="AA1189" s="616">
        <f t="shared" si="382"/>
        <v>3036.48</v>
      </c>
      <c r="AB1189" s="554"/>
      <c r="AC1189" s="629" t="s">
        <v>4583</v>
      </c>
      <c r="AD1189" s="610" t="s">
        <v>68</v>
      </c>
      <c r="AE1189" s="610" t="s">
        <v>82</v>
      </c>
      <c r="AF1189" s="610"/>
      <c r="AG1189" s="610"/>
      <c r="AH1189" s="610"/>
      <c r="AI1189" s="609">
        <f>1188+12</f>
        <v>1200</v>
      </c>
      <c r="AJ1189" s="610">
        <f t="shared" si="383"/>
        <v>0</v>
      </c>
      <c r="AK1189" s="610"/>
      <c r="AL1189" s="610" t="s">
        <v>2368</v>
      </c>
      <c r="AM1189" s="554"/>
      <c r="AN1189" s="554">
        <f t="shared" si="387"/>
        <v>1200</v>
      </c>
      <c r="AO1189" s="554"/>
      <c r="AP1189" s="554"/>
      <c r="AQ1189" s="554"/>
      <c r="AR1189" s="554">
        <f>I1189</f>
        <v>1200</v>
      </c>
      <c r="AS1189" s="554"/>
      <c r="AT1189" s="554"/>
      <c r="AU1189" s="554">
        <f t="shared" si="389"/>
        <v>1200</v>
      </c>
      <c r="AV1189" s="554"/>
      <c r="AW1189" s="554">
        <f t="shared" si="386"/>
        <v>1200</v>
      </c>
      <c r="AX1189" s="714"/>
      <c r="AY1189" s="554"/>
      <c r="AZ1189" s="554"/>
      <c r="BA1189" s="554"/>
      <c r="BB1189" s="554"/>
      <c r="BC1189" s="554"/>
      <c r="BD1189" s="554"/>
      <c r="BE1189" s="554"/>
      <c r="BF1189" s="554"/>
      <c r="BG1189" s="554"/>
      <c r="BH1189" s="554"/>
      <c r="BI1189" s="554"/>
      <c r="BJ1189" s="554"/>
      <c r="BK1189" s="554"/>
      <c r="BL1189" s="554"/>
      <c r="BM1189" s="554"/>
      <c r="BN1189" s="554"/>
      <c r="BO1189" s="554"/>
      <c r="BP1189" s="554"/>
      <c r="BQ1189" s="554"/>
      <c r="BR1189" s="554"/>
      <c r="BS1189" s="554"/>
      <c r="BT1189" s="554"/>
      <c r="BU1189" s="554"/>
      <c r="BV1189" s="554"/>
      <c r="BW1189" s="554"/>
      <c r="BX1189" s="554"/>
      <c r="BY1189" s="554"/>
      <c r="BZ1189" s="554"/>
      <c r="CA1189" s="554"/>
      <c r="CB1189" s="554"/>
      <c r="CC1189" s="554"/>
      <c r="CD1189" s="554"/>
      <c r="CE1189" s="554"/>
      <c r="CF1189" s="554"/>
      <c r="CG1189" s="554"/>
      <c r="CH1189" s="619"/>
      <c r="CI1189" s="619"/>
      <c r="CJ1189" s="619"/>
      <c r="CK1189" s="619"/>
      <c r="CL1189" s="619"/>
      <c r="CM1189" s="554"/>
      <c r="CN1189" s="554"/>
      <c r="CO1189" s="554"/>
      <c r="CP1189" s="619"/>
      <c r="CQ1189" s="619"/>
      <c r="CR1189" s="619"/>
      <c r="CS1189" s="619"/>
      <c r="CT1189" s="619"/>
      <c r="CU1189" s="619"/>
    </row>
    <row r="1190" s="1267" customFormat="1" ht="31" customHeight="1" spans="1:100">
      <c r="A1190" s="608">
        <v>46136</v>
      </c>
      <c r="B1190" s="609" t="s">
        <v>4584</v>
      </c>
      <c r="C1190" s="610" t="s">
        <v>399</v>
      </c>
      <c r="D1190" s="554">
        <v>4500203810</v>
      </c>
      <c r="E1190" s="610" t="s">
        <v>4585</v>
      </c>
      <c r="F1190" s="554" t="s">
        <v>4586</v>
      </c>
      <c r="G1190" s="610" t="s">
        <v>111</v>
      </c>
      <c r="H1190" s="610" t="s">
        <v>112</v>
      </c>
      <c r="I1190" s="715">
        <v>704</v>
      </c>
      <c r="J1190" s="610">
        <v>0</v>
      </c>
      <c r="K1190" s="610">
        <v>16</v>
      </c>
      <c r="L1190" s="611">
        <f t="shared" si="381"/>
        <v>44</v>
      </c>
      <c r="M1190" s="612">
        <v>46205</v>
      </c>
      <c r="N1190" s="612">
        <v>46202</v>
      </c>
      <c r="O1190" s="613"/>
      <c r="P1190" s="610" t="s">
        <v>113</v>
      </c>
      <c r="Q1190" s="614"/>
      <c r="R1190" s="614" t="s">
        <v>4587</v>
      </c>
      <c r="S1190" s="614" t="s">
        <v>70</v>
      </c>
      <c r="T1190" s="614" t="s">
        <v>4588</v>
      </c>
      <c r="U1190" s="614"/>
      <c r="V1190" s="614"/>
      <c r="W1190" s="1351" t="s">
        <v>4589</v>
      </c>
      <c r="X1190" s="609" t="s">
        <v>4590</v>
      </c>
      <c r="Y1190" s="616" t="s">
        <v>4065</v>
      </c>
      <c r="Z1190" s="625">
        <v>4.3125</v>
      </c>
      <c r="AA1190" s="616">
        <f t="shared" si="382"/>
        <v>3036</v>
      </c>
      <c r="AB1190" s="554"/>
      <c r="AC1190" s="617"/>
      <c r="AD1190" s="610" t="s">
        <v>447</v>
      </c>
      <c r="AE1190" s="610" t="s">
        <v>82</v>
      </c>
      <c r="AF1190" s="610"/>
      <c r="AG1190" s="610"/>
      <c r="AH1190" s="610"/>
      <c r="AI1190" s="609">
        <f>688+16</f>
        <v>704</v>
      </c>
      <c r="AJ1190" s="613">
        <f t="shared" si="383"/>
        <v>0</v>
      </c>
      <c r="AK1190" s="610"/>
      <c r="AL1190" s="610" t="s">
        <v>2368</v>
      </c>
      <c r="AM1190" s="554"/>
      <c r="AN1190" s="554">
        <f t="shared" si="387"/>
        <v>704</v>
      </c>
      <c r="AO1190" s="554"/>
      <c r="AP1190" s="554"/>
      <c r="AQ1190" s="554"/>
      <c r="AR1190" s="554"/>
      <c r="AS1190" s="554">
        <f t="shared" ref="AS1190:AS1195" si="390">I1190</f>
        <v>704</v>
      </c>
      <c r="AT1190" s="554"/>
      <c r="AU1190" s="554">
        <f t="shared" si="389"/>
        <v>704</v>
      </c>
      <c r="AV1190" s="554"/>
      <c r="AW1190" s="554">
        <f t="shared" si="386"/>
        <v>704</v>
      </c>
      <c r="AX1190" s="714"/>
      <c r="AY1190" s="554"/>
      <c r="AZ1190" s="554"/>
      <c r="BA1190" s="554"/>
      <c r="BB1190" s="554"/>
      <c r="BC1190" s="554"/>
      <c r="BD1190" s="554"/>
      <c r="BE1190" s="554"/>
      <c r="BF1190" s="554"/>
      <c r="BG1190" s="554"/>
      <c r="BH1190" s="554"/>
      <c r="BI1190" s="554">
        <f>I1190/4</f>
        <v>176</v>
      </c>
      <c r="BJ1190" s="554"/>
      <c r="BK1190" s="554"/>
      <c r="BL1190" s="554"/>
      <c r="BM1190" s="554"/>
      <c r="BN1190" s="554"/>
      <c r="BO1190" s="554"/>
      <c r="BP1190" s="554"/>
      <c r="BQ1190" s="554"/>
      <c r="BR1190" s="554"/>
      <c r="BS1190" s="554"/>
      <c r="BT1190" s="554"/>
      <c r="BU1190" s="554"/>
      <c r="BV1190" s="554"/>
      <c r="BW1190" s="554"/>
      <c r="BX1190" s="554"/>
      <c r="BY1190" s="554"/>
      <c r="BZ1190" s="554"/>
      <c r="CA1190" s="554"/>
      <c r="CB1190" s="554"/>
      <c r="CC1190" s="554"/>
      <c r="CD1190" s="554"/>
      <c r="CE1190" s="554"/>
      <c r="CF1190" s="554"/>
      <c r="CG1190" s="554"/>
      <c r="CH1190" s="619"/>
      <c r="CI1190" s="619"/>
      <c r="CJ1190" s="619"/>
      <c r="CK1190" s="619"/>
      <c r="CL1190" s="619"/>
      <c r="CM1190" s="554"/>
      <c r="CN1190" s="554"/>
      <c r="CO1190" s="554"/>
      <c r="CP1190" s="619"/>
      <c r="CQ1190" s="619"/>
      <c r="CR1190" s="619"/>
      <c r="CS1190" s="619"/>
      <c r="CT1190" s="619"/>
      <c r="CU1190" s="619"/>
    </row>
    <row r="1191" s="1267" customFormat="1" ht="31" customHeight="1" spans="1:100">
      <c r="A1191" s="608">
        <v>46136</v>
      </c>
      <c r="B1191" s="609" t="s">
        <v>4584</v>
      </c>
      <c r="C1191" s="610" t="s">
        <v>399</v>
      </c>
      <c r="D1191" s="554" t="s">
        <v>4591</v>
      </c>
      <c r="E1191" s="610" t="s">
        <v>4592</v>
      </c>
      <c r="F1191" s="554" t="s">
        <v>4593</v>
      </c>
      <c r="G1191" s="610" t="s">
        <v>111</v>
      </c>
      <c r="H1191" s="610" t="s">
        <v>112</v>
      </c>
      <c r="I1191" s="715">
        <v>656</v>
      </c>
      <c r="J1191" s="610">
        <v>0</v>
      </c>
      <c r="K1191" s="610">
        <v>16</v>
      </c>
      <c r="L1191" s="611">
        <f t="shared" si="381"/>
        <v>41</v>
      </c>
      <c r="M1191" s="612">
        <v>46205</v>
      </c>
      <c r="N1191" s="612">
        <v>46202</v>
      </c>
      <c r="O1191" s="613"/>
      <c r="P1191" s="610" t="s">
        <v>113</v>
      </c>
      <c r="Q1191" s="614">
        <v>46220</v>
      </c>
      <c r="R1191" s="614" t="s">
        <v>4587</v>
      </c>
      <c r="S1191" s="614" t="s">
        <v>70</v>
      </c>
      <c r="T1191" s="614" t="s">
        <v>4588</v>
      </c>
      <c r="U1191" s="614"/>
      <c r="V1191" s="614"/>
      <c r="W1191" s="1351" t="s">
        <v>4589</v>
      </c>
      <c r="X1191" s="609" t="s">
        <v>4590</v>
      </c>
      <c r="Y1191" s="616" t="s">
        <v>4065</v>
      </c>
      <c r="Z1191" s="625">
        <v>4.3564</v>
      </c>
      <c r="AA1191" s="616">
        <f t="shared" si="382"/>
        <v>2857.7984</v>
      </c>
      <c r="AB1191" s="554"/>
      <c r="AC1191" s="617"/>
      <c r="AD1191" s="610" t="s">
        <v>447</v>
      </c>
      <c r="AE1191" s="610" t="s">
        <v>82</v>
      </c>
      <c r="AF1191" s="610"/>
      <c r="AG1191" s="610"/>
      <c r="AH1191" s="610"/>
      <c r="AI1191" s="609">
        <v>656</v>
      </c>
      <c r="AJ1191" s="613">
        <f t="shared" si="383"/>
        <v>0</v>
      </c>
      <c r="AK1191" s="610"/>
      <c r="AL1191" s="610" t="s">
        <v>2368</v>
      </c>
      <c r="AM1191" s="554"/>
      <c r="AN1191" s="554">
        <f t="shared" si="387"/>
        <v>656</v>
      </c>
      <c r="AO1191" s="554"/>
      <c r="AP1191" s="554"/>
      <c r="AQ1191" s="554"/>
      <c r="AR1191" s="554"/>
      <c r="AS1191" s="554">
        <f t="shared" si="390"/>
        <v>656</v>
      </c>
      <c r="AT1191" s="554"/>
      <c r="AU1191" s="554">
        <f t="shared" si="389"/>
        <v>656</v>
      </c>
      <c r="AV1191" s="554"/>
      <c r="AW1191" s="554">
        <f t="shared" si="386"/>
        <v>656</v>
      </c>
      <c r="AX1191" s="714"/>
      <c r="AY1191" s="554"/>
      <c r="AZ1191" s="554"/>
      <c r="BA1191" s="554"/>
      <c r="BB1191" s="554"/>
      <c r="BC1191" s="554"/>
      <c r="BD1191" s="554"/>
      <c r="BE1191" s="554"/>
      <c r="BF1191" s="554"/>
      <c r="BG1191" s="554"/>
      <c r="BH1191" s="554"/>
      <c r="BI1191" s="554">
        <f>I1191/4</f>
        <v>164</v>
      </c>
      <c r="BJ1191" s="554"/>
      <c r="BK1191" s="554"/>
      <c r="BL1191" s="554"/>
      <c r="BM1191" s="554"/>
      <c r="BN1191" s="554"/>
      <c r="BO1191" s="554"/>
      <c r="BP1191" s="554"/>
      <c r="BQ1191" s="554"/>
      <c r="BR1191" s="554"/>
      <c r="BS1191" s="554"/>
      <c r="BT1191" s="554"/>
      <c r="BU1191" s="554"/>
      <c r="BV1191" s="554"/>
      <c r="BW1191" s="554"/>
      <c r="BX1191" s="554"/>
      <c r="BY1191" s="554"/>
      <c r="BZ1191" s="554"/>
      <c r="CA1191" s="554"/>
      <c r="CB1191" s="554"/>
      <c r="CC1191" s="554"/>
      <c r="CD1191" s="554"/>
      <c r="CE1191" s="554"/>
      <c r="CF1191" s="554"/>
      <c r="CG1191" s="554"/>
      <c r="CH1191" s="619"/>
      <c r="CI1191" s="619"/>
      <c r="CJ1191" s="619"/>
      <c r="CK1191" s="619"/>
      <c r="CL1191" s="619"/>
      <c r="CM1191" s="554"/>
      <c r="CN1191" s="554"/>
      <c r="CO1191" s="554"/>
      <c r="CP1191" s="619"/>
      <c r="CQ1191" s="619"/>
      <c r="CR1191" s="619"/>
      <c r="CS1191" s="619"/>
      <c r="CT1191" s="619"/>
      <c r="CU1191" s="619"/>
    </row>
    <row r="1192" s="1266" customFormat="1" ht="31" customHeight="1" spans="1:100">
      <c r="A1192" s="641">
        <v>46121</v>
      </c>
      <c r="B1192" s="642" t="s">
        <v>2594</v>
      </c>
      <c r="C1192" s="246" t="s">
        <v>2595</v>
      </c>
      <c r="D1192" s="551" t="s">
        <v>4514</v>
      </c>
      <c r="E1192" s="246" t="s">
        <v>3846</v>
      </c>
      <c r="F1192" s="551" t="s">
        <v>4594</v>
      </c>
      <c r="G1192" s="1311" t="s">
        <v>4094</v>
      </c>
      <c r="H1192" s="246" t="s">
        <v>4095</v>
      </c>
      <c r="I1192" s="706">
        <v>240</v>
      </c>
      <c r="J1192" s="246">
        <v>0</v>
      </c>
      <c r="K1192" s="246">
        <v>6</v>
      </c>
      <c r="L1192" s="644">
        <f t="shared" si="381"/>
        <v>40</v>
      </c>
      <c r="M1192" s="645">
        <v>46195</v>
      </c>
      <c r="N1192" s="645">
        <f>M1192-4</f>
        <v>46191</v>
      </c>
      <c r="O1192" s="643"/>
      <c r="P1192" s="246" t="s">
        <v>113</v>
      </c>
      <c r="Q1192" s="646"/>
      <c r="R1192" s="646">
        <v>46154</v>
      </c>
      <c r="S1192" s="646" t="s">
        <v>70</v>
      </c>
      <c r="T1192" s="646" t="s">
        <v>4595</v>
      </c>
      <c r="U1192" s="646"/>
      <c r="V1192" s="646"/>
      <c r="W1192" s="642"/>
      <c r="X1192" s="749" t="s">
        <v>4596</v>
      </c>
      <c r="Y1192" s="647" t="s">
        <v>529</v>
      </c>
      <c r="Z1192" s="1352">
        <v>7.3574</v>
      </c>
      <c r="AA1192" s="647">
        <f t="shared" si="382"/>
        <v>1765.776</v>
      </c>
      <c r="AB1192" s="551"/>
      <c r="AC1192" s="648"/>
      <c r="AD1192" s="246" t="s">
        <v>480</v>
      </c>
      <c r="AE1192" s="246" t="s">
        <v>82</v>
      </c>
      <c r="AF1192" s="246"/>
      <c r="AG1192" s="246"/>
      <c r="AH1192" s="246"/>
      <c r="AI1192" s="642"/>
      <c r="AJ1192" s="246">
        <f t="shared" si="383"/>
        <v>-240</v>
      </c>
      <c r="AK1192" s="246"/>
      <c r="AL1192" s="246"/>
      <c r="AM1192" s="551"/>
      <c r="AN1192" s="551">
        <f t="shared" si="387"/>
        <v>240</v>
      </c>
      <c r="AO1192" s="551"/>
      <c r="AP1192" s="551"/>
      <c r="AQ1192" s="551"/>
      <c r="AR1192" s="551"/>
      <c r="AS1192" s="551">
        <f t="shared" si="390"/>
        <v>240</v>
      </c>
      <c r="AT1192" s="551"/>
      <c r="AU1192" s="551">
        <f t="shared" si="389"/>
        <v>240</v>
      </c>
      <c r="AV1192" s="551"/>
      <c r="AW1192" s="551">
        <f t="shared" si="386"/>
        <v>240</v>
      </c>
      <c r="AX1192" s="651"/>
      <c r="AY1192" s="551"/>
      <c r="AZ1192" s="551"/>
      <c r="BA1192" s="551"/>
      <c r="BB1192" s="551"/>
      <c r="BC1192" s="551"/>
      <c r="BD1192" s="551"/>
      <c r="BE1192" s="551"/>
      <c r="BF1192" s="551"/>
      <c r="BG1192" s="551"/>
      <c r="BH1192" s="551"/>
      <c r="BI1192" s="551"/>
      <c r="BJ1192" s="551"/>
      <c r="BK1192" s="551"/>
      <c r="BL1192" s="551"/>
      <c r="BM1192" s="551"/>
      <c r="BN1192" s="551">
        <f>I1192</f>
        <v>240</v>
      </c>
      <c r="BO1192" s="551"/>
      <c r="BP1192" s="551"/>
      <c r="BQ1192" s="551"/>
      <c r="BR1192" s="551"/>
      <c r="BS1192" s="551"/>
      <c r="BT1192" s="551"/>
      <c r="BU1192" s="551"/>
      <c r="BV1192" s="551"/>
      <c r="BW1192" s="551"/>
      <c r="BX1192" s="551"/>
      <c r="BY1192" s="551"/>
      <c r="BZ1192" s="551"/>
      <c r="CA1192" s="551"/>
      <c r="CB1192" s="551"/>
      <c r="CC1192" s="551"/>
      <c r="CD1192" s="551"/>
      <c r="CE1192" s="551"/>
      <c r="CF1192" s="551"/>
      <c r="CG1192" s="551"/>
      <c r="CH1192" s="650"/>
      <c r="CI1192" s="650"/>
      <c r="CJ1192" s="650"/>
      <c r="CK1192" s="650"/>
      <c r="CL1192" s="650"/>
      <c r="CM1192" s="551"/>
      <c r="CN1192" s="551"/>
      <c r="CO1192" s="551"/>
      <c r="CP1192" s="650"/>
      <c r="CQ1192" s="650"/>
      <c r="CR1192" s="650"/>
      <c r="CS1192" s="650"/>
      <c r="CT1192" s="650"/>
      <c r="CU1192" s="650"/>
    </row>
    <row r="1193" s="1266" customFormat="1" ht="31" customHeight="1" spans="1:100">
      <c r="A1193" s="641">
        <v>46154</v>
      </c>
      <c r="B1193" s="642" t="s">
        <v>1620</v>
      </c>
      <c r="C1193" s="246" t="s">
        <v>278</v>
      </c>
      <c r="D1193" s="551" t="s">
        <v>4597</v>
      </c>
      <c r="E1193" s="246" t="s">
        <v>4598</v>
      </c>
      <c r="F1193" s="551" t="s">
        <v>4599</v>
      </c>
      <c r="G1193" s="246" t="s">
        <v>164</v>
      </c>
      <c r="H1193" s="246" t="s">
        <v>112</v>
      </c>
      <c r="I1193" s="706">
        <v>4000</v>
      </c>
      <c r="J1193" s="246">
        <v>0</v>
      </c>
      <c r="K1193" s="246">
        <v>8</v>
      </c>
      <c r="L1193" s="644">
        <f t="shared" si="381"/>
        <v>500</v>
      </c>
      <c r="M1193" s="645">
        <v>46197</v>
      </c>
      <c r="N1193" s="645">
        <v>46193</v>
      </c>
      <c r="O1193" s="643"/>
      <c r="P1193" s="246" t="s">
        <v>113</v>
      </c>
      <c r="Q1193" s="646">
        <v>46206</v>
      </c>
      <c r="R1193" s="646">
        <v>46163</v>
      </c>
      <c r="S1193" s="646" t="s">
        <v>70</v>
      </c>
      <c r="T1193" s="646" t="s">
        <v>4600</v>
      </c>
      <c r="U1193" s="646"/>
      <c r="V1193" s="646"/>
      <c r="W1193" s="642"/>
      <c r="X1193" s="642" t="s">
        <v>4601</v>
      </c>
      <c r="Y1193" s="647" t="s">
        <v>1549</v>
      </c>
      <c r="Z1193" s="657">
        <v>4.3685</v>
      </c>
      <c r="AA1193" s="647">
        <f t="shared" si="382"/>
        <v>17474</v>
      </c>
      <c r="AB1193" s="551"/>
      <c r="AC1193" s="648"/>
      <c r="AD1193" s="246" t="s">
        <v>2381</v>
      </c>
      <c r="AE1193" s="246" t="s">
        <v>82</v>
      </c>
      <c r="AF1193" s="246"/>
      <c r="AG1193" s="246"/>
      <c r="AH1193" s="246"/>
      <c r="AI1193" s="642">
        <v>4000</v>
      </c>
      <c r="AJ1193" s="246">
        <f t="shared" si="383"/>
        <v>0</v>
      </c>
      <c r="AK1193" s="246"/>
      <c r="AL1193" s="246"/>
      <c r="AM1193" s="551"/>
      <c r="AN1193" s="551">
        <f t="shared" si="387"/>
        <v>4000</v>
      </c>
      <c r="AO1193" s="551"/>
      <c r="AP1193" s="551"/>
      <c r="AQ1193" s="551"/>
      <c r="AR1193" s="551"/>
      <c r="AS1193" s="551">
        <f t="shared" si="390"/>
        <v>4000</v>
      </c>
      <c r="AT1193" s="551"/>
      <c r="AU1193" s="551">
        <f t="shared" si="389"/>
        <v>4000</v>
      </c>
      <c r="AV1193" s="551"/>
      <c r="AW1193" s="551">
        <f t="shared" si="386"/>
        <v>4000</v>
      </c>
      <c r="AX1193" s="651"/>
      <c r="AY1193" s="551"/>
      <c r="AZ1193" s="551"/>
      <c r="BA1193" s="551"/>
      <c r="BB1193" s="551"/>
      <c r="BC1193" s="551"/>
      <c r="BD1193" s="551"/>
      <c r="BE1193" s="551"/>
      <c r="BF1193" s="551"/>
      <c r="BG1193" s="551"/>
      <c r="BH1193" s="551"/>
      <c r="BI1193" s="551">
        <f>I1193/4</f>
        <v>1000</v>
      </c>
      <c r="BJ1193" s="551"/>
      <c r="BK1193" s="551"/>
      <c r="BL1193" s="551"/>
      <c r="BM1193" s="551"/>
      <c r="BN1193" s="551"/>
      <c r="BO1193" s="551"/>
      <c r="BP1193" s="551"/>
      <c r="BQ1193" s="551"/>
      <c r="BR1193" s="551"/>
      <c r="BS1193" s="551"/>
      <c r="BT1193" s="551"/>
      <c r="BU1193" s="551"/>
      <c r="BV1193" s="551"/>
      <c r="BW1193" s="551"/>
      <c r="BX1193" s="551"/>
      <c r="BY1193" s="551"/>
      <c r="BZ1193" s="551"/>
      <c r="CA1193" s="551"/>
      <c r="CB1193" s="551"/>
      <c r="CC1193" s="551"/>
      <c r="CD1193" s="551"/>
      <c r="CE1193" s="551"/>
      <c r="CF1193" s="551"/>
      <c r="CG1193" s="551"/>
      <c r="CH1193" s="650"/>
      <c r="CI1193" s="650"/>
      <c r="CJ1193" s="650"/>
      <c r="CK1193" s="650"/>
      <c r="CL1193" s="650"/>
      <c r="CM1193" s="551"/>
      <c r="CN1193" s="551"/>
      <c r="CO1193" s="551"/>
      <c r="CP1193" s="650"/>
      <c r="CQ1193" s="650"/>
      <c r="CR1193" s="650"/>
      <c r="CS1193" s="650"/>
      <c r="CT1193" s="650"/>
      <c r="CU1193" s="650"/>
    </row>
    <row r="1194" s="1266" customFormat="1" ht="31" customHeight="1" spans="1:100">
      <c r="A1194" s="641">
        <v>46146</v>
      </c>
      <c r="B1194" s="642" t="s">
        <v>2765</v>
      </c>
      <c r="C1194" s="246" t="s">
        <v>170</v>
      </c>
      <c r="D1194" s="551" t="s">
        <v>4602</v>
      </c>
      <c r="E1194" s="246" t="s">
        <v>4603</v>
      </c>
      <c r="F1194" s="551" t="s">
        <v>4604</v>
      </c>
      <c r="G1194" s="246" t="s">
        <v>101</v>
      </c>
      <c r="H1194" s="246" t="s">
        <v>102</v>
      </c>
      <c r="I1194" s="706">
        <v>320</v>
      </c>
      <c r="J1194" s="246">
        <v>0</v>
      </c>
      <c r="K1194" s="246">
        <v>4</v>
      </c>
      <c r="L1194" s="644">
        <f t="shared" si="381"/>
        <v>80</v>
      </c>
      <c r="M1194" s="645">
        <v>46200</v>
      </c>
      <c r="N1194" s="645">
        <v>46196</v>
      </c>
      <c r="O1194" s="643"/>
      <c r="P1194" s="246" t="s">
        <v>113</v>
      </c>
      <c r="Q1194" s="646"/>
      <c r="R1194" s="646">
        <v>46148</v>
      </c>
      <c r="S1194" s="646" t="s">
        <v>70</v>
      </c>
      <c r="T1194" s="646" t="s">
        <v>4605</v>
      </c>
      <c r="U1194" s="646"/>
      <c r="V1194" s="646"/>
      <c r="W1194" s="642"/>
      <c r="X1194" s="642" t="s">
        <v>4606</v>
      </c>
      <c r="Y1194" s="647" t="s">
        <v>3481</v>
      </c>
      <c r="Z1194" s="657">
        <v>4.4032</v>
      </c>
      <c r="AA1194" s="647">
        <f t="shared" si="382"/>
        <v>1409.024</v>
      </c>
      <c r="AB1194" s="551"/>
      <c r="AC1194" s="648"/>
      <c r="AD1194" s="246" t="s">
        <v>156</v>
      </c>
      <c r="AE1194" s="246" t="s">
        <v>82</v>
      </c>
      <c r="AF1194" s="246"/>
      <c r="AG1194" s="246"/>
      <c r="AH1194" s="246"/>
      <c r="AI1194" s="642">
        <v>320</v>
      </c>
      <c r="AJ1194" s="643">
        <f t="shared" si="383"/>
        <v>0</v>
      </c>
      <c r="AK1194" s="246"/>
      <c r="AL1194" s="246" t="s">
        <v>2368</v>
      </c>
      <c r="AM1194" s="551"/>
      <c r="AN1194" s="551">
        <f t="shared" si="387"/>
        <v>320</v>
      </c>
      <c r="AO1194" s="551"/>
      <c r="AP1194" s="551"/>
      <c r="AQ1194" s="551"/>
      <c r="AR1194" s="551"/>
      <c r="AS1194" s="551">
        <f t="shared" si="390"/>
        <v>320</v>
      </c>
      <c r="AT1194" s="551"/>
      <c r="AU1194" s="551">
        <f t="shared" si="389"/>
        <v>320</v>
      </c>
      <c r="AV1194" s="551"/>
      <c r="AW1194" s="551">
        <f t="shared" si="386"/>
        <v>320</v>
      </c>
      <c r="AX1194" s="651"/>
      <c r="AY1194" s="551"/>
      <c r="AZ1194" s="551"/>
      <c r="BA1194" s="551"/>
      <c r="BB1194" s="551"/>
      <c r="BC1194" s="551"/>
      <c r="BD1194" s="551"/>
      <c r="BE1194" s="551"/>
      <c r="BF1194" s="551"/>
      <c r="BG1194" s="551"/>
      <c r="BH1194" s="551"/>
      <c r="BI1194" s="551">
        <f>I1194/4</f>
        <v>80</v>
      </c>
      <c r="BJ1194" s="551"/>
      <c r="BK1194" s="551"/>
      <c r="BL1194" s="551"/>
      <c r="BM1194" s="551"/>
      <c r="BN1194" s="551"/>
      <c r="BO1194" s="551"/>
      <c r="BP1194" s="551"/>
      <c r="BQ1194" s="551"/>
      <c r="BR1194" s="551"/>
      <c r="BS1194" s="551"/>
      <c r="BT1194" s="551"/>
      <c r="BU1194" s="551"/>
      <c r="BV1194" s="551"/>
      <c r="BW1194" s="551"/>
      <c r="BX1194" s="551"/>
      <c r="BY1194" s="551"/>
      <c r="BZ1194" s="551"/>
      <c r="CA1194" s="551"/>
      <c r="CB1194" s="551"/>
      <c r="CC1194" s="551"/>
      <c r="CD1194" s="551"/>
      <c r="CE1194" s="551"/>
      <c r="CF1194" s="551"/>
      <c r="CG1194" s="551"/>
      <c r="CH1194" s="650"/>
      <c r="CI1194" s="650"/>
      <c r="CJ1194" s="650"/>
      <c r="CK1194" s="650"/>
      <c r="CL1194" s="650"/>
      <c r="CM1194" s="551"/>
      <c r="CN1194" s="551"/>
      <c r="CO1194" s="551"/>
      <c r="CP1194" s="650"/>
      <c r="CQ1194" s="650"/>
      <c r="CR1194" s="650"/>
      <c r="CS1194" s="650"/>
      <c r="CT1194" s="650"/>
      <c r="CU1194" s="650"/>
    </row>
    <row r="1195" s="1266" customFormat="1" ht="31" customHeight="1" spans="1:100">
      <c r="A1195" s="641">
        <v>46154</v>
      </c>
      <c r="B1195" s="642" t="s">
        <v>3321</v>
      </c>
      <c r="C1195" s="246" t="s">
        <v>302</v>
      </c>
      <c r="D1195" s="551" t="s">
        <v>4607</v>
      </c>
      <c r="E1195" s="246" t="s">
        <v>4608</v>
      </c>
      <c r="F1195" s="551" t="s">
        <v>4609</v>
      </c>
      <c r="G1195" s="246" t="s">
        <v>164</v>
      </c>
      <c r="H1195" s="246" t="s">
        <v>112</v>
      </c>
      <c r="I1195" s="706">
        <v>1504</v>
      </c>
      <c r="J1195" s="246">
        <v>0</v>
      </c>
      <c r="K1195" s="246">
        <v>8</v>
      </c>
      <c r="L1195" s="644">
        <f t="shared" si="381"/>
        <v>188</v>
      </c>
      <c r="M1195" s="645">
        <v>46202</v>
      </c>
      <c r="N1195" s="645">
        <v>46198</v>
      </c>
      <c r="O1195" s="643"/>
      <c r="P1195" s="246" t="s">
        <v>113</v>
      </c>
      <c r="Q1195" s="646"/>
      <c r="R1195" s="646">
        <v>46160</v>
      </c>
      <c r="S1195" s="646" t="s">
        <v>70</v>
      </c>
      <c r="T1195" s="646" t="s">
        <v>4600</v>
      </c>
      <c r="U1195" s="646"/>
      <c r="V1195" s="646"/>
      <c r="W1195" s="642"/>
      <c r="X1195" s="642" t="s">
        <v>4610</v>
      </c>
      <c r="Y1195" s="647" t="s">
        <v>1549</v>
      </c>
      <c r="Z1195" s="657">
        <v>4.374</v>
      </c>
      <c r="AA1195" s="647">
        <f t="shared" si="382"/>
        <v>6578.496</v>
      </c>
      <c r="AB1195" s="551"/>
      <c r="AC1195" s="648"/>
      <c r="AD1195" s="246" t="s">
        <v>2381</v>
      </c>
      <c r="AE1195" s="246" t="s">
        <v>82</v>
      </c>
      <c r="AF1195" s="246"/>
      <c r="AG1195" s="246"/>
      <c r="AH1195" s="246"/>
      <c r="AI1195" s="642">
        <f>720+784</f>
        <v>1504</v>
      </c>
      <c r="AJ1195" s="246">
        <f t="shared" si="383"/>
        <v>0</v>
      </c>
      <c r="AK1195" s="246"/>
      <c r="AL1195" s="246"/>
      <c r="AM1195" s="551"/>
      <c r="AN1195" s="551">
        <f t="shared" si="387"/>
        <v>1504</v>
      </c>
      <c r="AO1195" s="551"/>
      <c r="AP1195" s="551"/>
      <c r="AQ1195" s="551"/>
      <c r="AR1195" s="551"/>
      <c r="AS1195" s="551">
        <f t="shared" si="390"/>
        <v>1504</v>
      </c>
      <c r="AT1195" s="551"/>
      <c r="AU1195" s="551">
        <f t="shared" si="389"/>
        <v>1504</v>
      </c>
      <c r="AV1195" s="551"/>
      <c r="AW1195" s="551">
        <f t="shared" si="386"/>
        <v>1504</v>
      </c>
      <c r="AX1195" s="651"/>
      <c r="AY1195" s="551"/>
      <c r="AZ1195" s="551"/>
      <c r="BA1195" s="551"/>
      <c r="BB1195" s="551"/>
      <c r="BC1195" s="551"/>
      <c r="BD1195" s="551"/>
      <c r="BE1195" s="551"/>
      <c r="BF1195" s="551"/>
      <c r="BG1195" s="551"/>
      <c r="BH1195" s="551"/>
      <c r="BI1195" s="551">
        <f>I1195/4</f>
        <v>376</v>
      </c>
      <c r="BJ1195" s="551"/>
      <c r="BK1195" s="551"/>
      <c r="BL1195" s="551"/>
      <c r="BM1195" s="551"/>
      <c r="BN1195" s="551"/>
      <c r="BO1195" s="551"/>
      <c r="BP1195" s="551"/>
      <c r="BQ1195" s="551"/>
      <c r="BR1195" s="551"/>
      <c r="BS1195" s="551"/>
      <c r="BT1195" s="551"/>
      <c r="BU1195" s="551"/>
      <c r="BV1195" s="551"/>
      <c r="BW1195" s="551"/>
      <c r="BX1195" s="551"/>
      <c r="BY1195" s="551"/>
      <c r="BZ1195" s="551"/>
      <c r="CA1195" s="551"/>
      <c r="CB1195" s="551"/>
      <c r="CC1195" s="551"/>
      <c r="CD1195" s="551"/>
      <c r="CE1195" s="551"/>
      <c r="CF1195" s="551"/>
      <c r="CG1195" s="551"/>
      <c r="CH1195" s="650"/>
      <c r="CI1195" s="650"/>
      <c r="CJ1195" s="650"/>
      <c r="CK1195" s="650"/>
      <c r="CL1195" s="650"/>
      <c r="CM1195" s="551"/>
      <c r="CN1195" s="551"/>
      <c r="CO1195" s="551"/>
      <c r="CP1195" s="650"/>
      <c r="CQ1195" s="650"/>
      <c r="CR1195" s="650"/>
      <c r="CS1195" s="650"/>
      <c r="CT1195" s="650"/>
      <c r="CU1195" s="650"/>
    </row>
    <row r="1196" s="1266" customFormat="1" ht="31" customHeight="1" spans="1:100">
      <c r="A1196" s="641">
        <v>46153</v>
      </c>
      <c r="B1196" s="642" t="s">
        <v>871</v>
      </c>
      <c r="C1196" s="246" t="s">
        <v>98</v>
      </c>
      <c r="D1196" s="551" t="s">
        <v>4611</v>
      </c>
      <c r="E1196" s="246" t="s">
        <v>4612</v>
      </c>
      <c r="F1196" s="551" t="s">
        <v>4613</v>
      </c>
      <c r="G1196" s="246" t="s">
        <v>101</v>
      </c>
      <c r="H1196" s="246" t="s">
        <v>102</v>
      </c>
      <c r="I1196" s="706">
        <v>720</v>
      </c>
      <c r="J1196" s="246">
        <v>0</v>
      </c>
      <c r="K1196" s="246">
        <v>4</v>
      </c>
      <c r="L1196" s="644">
        <f t="shared" si="381"/>
        <v>180</v>
      </c>
      <c r="M1196" s="645">
        <v>46202</v>
      </c>
      <c r="N1196" s="645">
        <v>46198</v>
      </c>
      <c r="O1196" s="643"/>
      <c r="P1196" s="246" t="s">
        <v>113</v>
      </c>
      <c r="Q1196" s="646">
        <v>46203</v>
      </c>
      <c r="R1196" s="646">
        <v>46154</v>
      </c>
      <c r="S1196" s="646" t="s">
        <v>70</v>
      </c>
      <c r="T1196" s="646" t="s">
        <v>70</v>
      </c>
      <c r="U1196" s="646"/>
      <c r="V1196" s="646"/>
      <c r="W1196" s="642"/>
      <c r="X1196" s="642" t="s">
        <v>4614</v>
      </c>
      <c r="Y1196" s="647" t="s">
        <v>355</v>
      </c>
      <c r="Z1196" s="657">
        <v>2.6419</v>
      </c>
      <c r="AA1196" s="647">
        <f t="shared" si="382"/>
        <v>1902.168</v>
      </c>
      <c r="AB1196" s="551"/>
      <c r="AC1196" s="658" t="s">
        <v>4615</v>
      </c>
      <c r="AD1196" s="246" t="s">
        <v>101</v>
      </c>
      <c r="AE1196" s="246" t="s">
        <v>82</v>
      </c>
      <c r="AF1196" s="246"/>
      <c r="AG1196" s="246"/>
      <c r="AH1196" s="246"/>
      <c r="AI1196" s="642">
        <v>720</v>
      </c>
      <c r="AJ1196" s="246">
        <f t="shared" si="383"/>
        <v>0</v>
      </c>
      <c r="AK1196" s="246"/>
      <c r="AL1196" s="246"/>
      <c r="AM1196" s="551"/>
      <c r="AN1196" s="551">
        <f t="shared" si="387"/>
        <v>720</v>
      </c>
      <c r="AO1196" s="551"/>
      <c r="AP1196" s="551"/>
      <c r="AQ1196" s="551"/>
      <c r="AR1196" s="551">
        <f>I1196</f>
        <v>720</v>
      </c>
      <c r="AS1196" s="551"/>
      <c r="AT1196" s="551"/>
      <c r="AU1196" s="551">
        <f t="shared" si="389"/>
        <v>720</v>
      </c>
      <c r="AV1196" s="551"/>
      <c r="AW1196" s="551">
        <f t="shared" si="386"/>
        <v>720</v>
      </c>
      <c r="AX1196" s="651"/>
      <c r="AY1196" s="551"/>
      <c r="AZ1196" s="551"/>
      <c r="BA1196" s="551"/>
      <c r="BB1196" s="551"/>
      <c r="BC1196" s="551"/>
      <c r="BD1196" s="551"/>
      <c r="BE1196" s="551"/>
      <c r="BF1196" s="551"/>
      <c r="BG1196" s="551"/>
      <c r="BH1196" s="551">
        <f>I1196/4</f>
        <v>180</v>
      </c>
      <c r="BI1196" s="551"/>
      <c r="BJ1196" s="551"/>
      <c r="BK1196" s="551"/>
      <c r="BL1196" s="551"/>
      <c r="BM1196" s="551"/>
      <c r="BN1196" s="551"/>
      <c r="BO1196" s="551"/>
      <c r="BP1196" s="551"/>
      <c r="BQ1196" s="551"/>
      <c r="BR1196" s="551"/>
      <c r="BS1196" s="551"/>
      <c r="BT1196" s="551"/>
      <c r="BU1196" s="551"/>
      <c r="BV1196" s="551"/>
      <c r="BW1196" s="551"/>
      <c r="BX1196" s="551"/>
      <c r="BY1196" s="551"/>
      <c r="BZ1196" s="551"/>
      <c r="CA1196" s="551"/>
      <c r="CB1196" s="551"/>
      <c r="CC1196" s="551"/>
      <c r="CD1196" s="551"/>
      <c r="CE1196" s="551"/>
      <c r="CF1196" s="551"/>
      <c r="CG1196" s="551"/>
      <c r="CH1196" s="650"/>
      <c r="CI1196" s="650"/>
      <c r="CJ1196" s="650"/>
      <c r="CK1196" s="650"/>
      <c r="CL1196" s="650"/>
      <c r="CM1196" s="551"/>
      <c r="CN1196" s="551"/>
      <c r="CO1196" s="551"/>
      <c r="CP1196" s="650"/>
      <c r="CQ1196" s="650"/>
      <c r="CR1196" s="650"/>
      <c r="CS1196" s="650"/>
      <c r="CT1196" s="650"/>
      <c r="CU1196" s="650"/>
    </row>
    <row r="1197" s="1266" customFormat="1" ht="31" customHeight="1" spans="1:100">
      <c r="A1197" s="641">
        <v>46155</v>
      </c>
      <c r="B1197" s="642" t="s">
        <v>4080</v>
      </c>
      <c r="C1197" s="246" t="s">
        <v>411</v>
      </c>
      <c r="D1197" s="551" t="s">
        <v>4616</v>
      </c>
      <c r="E1197" s="246" t="s">
        <v>3846</v>
      </c>
      <c r="F1197" s="551" t="s">
        <v>4617</v>
      </c>
      <c r="G1197" s="246" t="s">
        <v>518</v>
      </c>
      <c r="H1197" s="246" t="s">
        <v>477</v>
      </c>
      <c r="I1197" s="706">
        <v>1680</v>
      </c>
      <c r="J1197" s="246">
        <v>0</v>
      </c>
      <c r="K1197" s="246">
        <v>6</v>
      </c>
      <c r="L1197" s="644">
        <f t="shared" si="381"/>
        <v>280</v>
      </c>
      <c r="M1197" s="645">
        <v>46203</v>
      </c>
      <c r="N1197" s="645">
        <v>46199</v>
      </c>
      <c r="O1197" s="775" t="s">
        <v>4618</v>
      </c>
      <c r="P1197" s="246" t="s">
        <v>113</v>
      </c>
      <c r="Q1197" s="646"/>
      <c r="R1197" s="646">
        <v>46169</v>
      </c>
      <c r="S1197" s="646" t="s">
        <v>70</v>
      </c>
      <c r="T1197" s="646" t="s">
        <v>4619</v>
      </c>
      <c r="U1197" s="646"/>
      <c r="V1197" s="646" t="s">
        <v>4620</v>
      </c>
      <c r="W1197" s="1354" t="s">
        <v>4621</v>
      </c>
      <c r="X1197" s="642" t="s">
        <v>4622</v>
      </c>
      <c r="Y1197" s="647" t="s">
        <v>415</v>
      </c>
      <c r="Z1197" s="657">
        <v>7.0192</v>
      </c>
      <c r="AA1197" s="647">
        <f t="shared" si="382"/>
        <v>11792.256</v>
      </c>
      <c r="AB1197" s="551"/>
      <c r="AC1197" s="648"/>
      <c r="AD1197" s="246" t="s">
        <v>480</v>
      </c>
      <c r="AE1197" s="246" t="s">
        <v>82</v>
      </c>
      <c r="AF1197" s="246"/>
      <c r="AG1197" s="246"/>
      <c r="AH1197" s="246"/>
      <c r="AI1197" s="642"/>
      <c r="AJ1197" s="246">
        <f t="shared" si="383"/>
        <v>-1680</v>
      </c>
      <c r="AK1197" s="246"/>
      <c r="AL1197" s="246"/>
      <c r="AM1197" s="551"/>
      <c r="AN1197" s="551">
        <f t="shared" si="387"/>
        <v>1680</v>
      </c>
      <c r="AO1197" s="551"/>
      <c r="AP1197" s="551"/>
      <c r="AQ1197" s="551"/>
      <c r="AR1197" s="551"/>
      <c r="AS1197" s="551">
        <f>I1197</f>
        <v>1680</v>
      </c>
      <c r="AT1197" s="551"/>
      <c r="AU1197" s="551">
        <f t="shared" si="389"/>
        <v>1680</v>
      </c>
      <c r="AV1197" s="551"/>
      <c r="AW1197" s="551">
        <f t="shared" si="386"/>
        <v>1680</v>
      </c>
      <c r="AX1197" s="651"/>
      <c r="AY1197" s="551"/>
      <c r="AZ1197" s="551"/>
      <c r="BA1197" s="551"/>
      <c r="BB1197" s="551"/>
      <c r="BC1197" s="551"/>
      <c r="BD1197" s="551"/>
      <c r="BE1197" s="551"/>
      <c r="BF1197" s="551"/>
      <c r="BG1197" s="551"/>
      <c r="BH1197" s="551"/>
      <c r="BI1197" s="551"/>
      <c r="BJ1197" s="551"/>
      <c r="BK1197" s="551"/>
      <c r="BL1197" s="551"/>
      <c r="BM1197" s="551"/>
      <c r="BN1197" s="551">
        <f>I1197</f>
        <v>1680</v>
      </c>
      <c r="BO1197" s="551"/>
      <c r="BP1197" s="551"/>
      <c r="BQ1197" s="551"/>
      <c r="BR1197" s="551"/>
      <c r="BS1197" s="551"/>
      <c r="BT1197" s="551"/>
      <c r="BU1197" s="551"/>
      <c r="BV1197" s="551"/>
      <c r="BW1197" s="551"/>
      <c r="BX1197" s="551"/>
      <c r="BY1197" s="551"/>
      <c r="BZ1197" s="551"/>
      <c r="CA1197" s="551"/>
      <c r="CB1197" s="551"/>
      <c r="CC1197" s="551"/>
      <c r="CD1197" s="551"/>
      <c r="CE1197" s="551"/>
      <c r="CF1197" s="551"/>
      <c r="CG1197" s="551"/>
      <c r="CH1197" s="650"/>
      <c r="CI1197" s="650"/>
      <c r="CJ1197" s="650"/>
      <c r="CK1197" s="650"/>
      <c r="CL1197" s="650"/>
      <c r="CM1197" s="551"/>
      <c r="CN1197" s="551"/>
      <c r="CO1197" s="551"/>
      <c r="CP1197" s="650"/>
      <c r="CQ1197" s="650"/>
      <c r="CR1197" s="650"/>
      <c r="CS1197" s="650"/>
      <c r="CT1197" s="650"/>
      <c r="CU1197" s="650"/>
    </row>
    <row r="1198" s="1266" customFormat="1" ht="31" customHeight="1" spans="1:100">
      <c r="A1198" s="641">
        <v>46158</v>
      </c>
      <c r="B1198" s="642" t="s">
        <v>4623</v>
      </c>
      <c r="C1198" s="246" t="s">
        <v>847</v>
      </c>
      <c r="D1198" s="1367" t="s">
        <v>4624</v>
      </c>
      <c r="E1198" s="246" t="s">
        <v>3846</v>
      </c>
      <c r="F1198" s="551" t="s">
        <v>4625</v>
      </c>
      <c r="G1198" s="246" t="s">
        <v>68</v>
      </c>
      <c r="H1198" s="246" t="s">
        <v>69</v>
      </c>
      <c r="I1198" s="706">
        <v>996</v>
      </c>
      <c r="J1198" s="246">
        <v>0</v>
      </c>
      <c r="K1198" s="246">
        <v>12</v>
      </c>
      <c r="L1198" s="644">
        <f t="shared" si="381"/>
        <v>83</v>
      </c>
      <c r="M1198" s="645">
        <v>46203</v>
      </c>
      <c r="N1198" s="645">
        <v>46199</v>
      </c>
      <c r="O1198" s="643"/>
      <c r="P1198" s="246" t="s">
        <v>113</v>
      </c>
      <c r="Q1198" s="646">
        <v>46218</v>
      </c>
      <c r="R1198" s="646">
        <v>46169</v>
      </c>
      <c r="S1198" s="646" t="s">
        <v>70</v>
      </c>
      <c r="T1198" s="646" t="s">
        <v>4626</v>
      </c>
      <c r="U1198" s="646"/>
      <c r="V1198" s="646"/>
      <c r="W1198" s="642"/>
      <c r="X1198" s="749" t="s">
        <v>4627</v>
      </c>
      <c r="Y1198" s="647" t="s">
        <v>665</v>
      </c>
      <c r="Z1198" s="657">
        <v>4.3734</v>
      </c>
      <c r="AA1198" s="647">
        <f t="shared" si="382"/>
        <v>4355.9064</v>
      </c>
      <c r="AB1198" s="708"/>
      <c r="AC1198" s="648"/>
      <c r="AD1198" s="246" t="s">
        <v>184</v>
      </c>
      <c r="AE1198" s="246" t="s">
        <v>82</v>
      </c>
      <c r="AF1198" s="246"/>
      <c r="AG1198" s="246"/>
      <c r="AH1198" s="246"/>
      <c r="AI1198" s="642">
        <v>996</v>
      </c>
      <c r="AJ1198" s="246">
        <f t="shared" si="383"/>
        <v>0</v>
      </c>
      <c r="AK1198" s="246"/>
      <c r="AL1198" s="246" t="s">
        <v>2368</v>
      </c>
      <c r="AM1198" s="551"/>
      <c r="AN1198" s="551">
        <f t="shared" si="387"/>
        <v>996</v>
      </c>
      <c r="AO1198" s="551"/>
      <c r="AP1198" s="551"/>
      <c r="AQ1198" s="551"/>
      <c r="AR1198" s="551"/>
      <c r="AS1198" s="551">
        <f>I1198</f>
        <v>996</v>
      </c>
      <c r="AT1198" s="551"/>
      <c r="AU1198" s="551">
        <f t="shared" si="389"/>
        <v>996</v>
      </c>
      <c r="AV1198" s="551"/>
      <c r="AW1198" s="551">
        <f t="shared" si="386"/>
        <v>996</v>
      </c>
      <c r="AX1198" s="651"/>
      <c r="AY1198" s="551"/>
      <c r="AZ1198" s="551"/>
      <c r="BA1198" s="551"/>
      <c r="BB1198" s="551"/>
      <c r="BC1198" s="551"/>
      <c r="BD1198" s="551"/>
      <c r="BE1198" s="551"/>
      <c r="BF1198" s="551"/>
      <c r="BG1198" s="551"/>
      <c r="BH1198" s="551"/>
      <c r="BI1198" s="551"/>
      <c r="BJ1198" s="551"/>
      <c r="BK1198" s="551"/>
      <c r="BL1198" s="551"/>
      <c r="BM1198" s="551"/>
      <c r="BN1198" s="551"/>
      <c r="BO1198" s="551"/>
      <c r="BP1198" s="708"/>
      <c r="BQ1198" s="708"/>
      <c r="BR1198" s="708"/>
      <c r="BS1198" s="708"/>
      <c r="BT1198" s="708"/>
      <c r="BU1198" s="708"/>
      <c r="BV1198" s="708"/>
      <c r="BW1198" s="708"/>
      <c r="BX1198" s="708"/>
      <c r="BY1198" s="708"/>
      <c r="BZ1198" s="708"/>
      <c r="CA1198" s="708"/>
      <c r="CB1198" s="708"/>
      <c r="CC1198" s="708"/>
      <c r="CD1198" s="708"/>
      <c r="CE1198" s="708"/>
      <c r="CF1198" s="708"/>
      <c r="CG1198" s="708"/>
      <c r="CH1198" s="707"/>
      <c r="CI1198" s="707"/>
      <c r="CJ1198" s="707"/>
      <c r="CK1198" s="707"/>
      <c r="CL1198" s="707"/>
      <c r="CM1198" s="708"/>
      <c r="CN1198" s="708"/>
      <c r="CO1198" s="708"/>
      <c r="CP1198" s="707"/>
      <c r="CQ1198" s="707"/>
      <c r="CR1198" s="707"/>
      <c r="CS1198" s="707"/>
      <c r="CT1198" s="707"/>
      <c r="CU1198" s="707"/>
    </row>
    <row r="1199" s="1266" customFormat="1" ht="31" customHeight="1" spans="1:100">
      <c r="A1199" s="641">
        <v>46168</v>
      </c>
      <c r="B1199" s="642" t="s">
        <v>984</v>
      </c>
      <c r="C1199" s="246" t="s">
        <v>399</v>
      </c>
      <c r="D1199" s="551" t="s">
        <v>4567</v>
      </c>
      <c r="E1199" s="246" t="s">
        <v>3846</v>
      </c>
      <c r="F1199" s="551" t="s">
        <v>4628</v>
      </c>
      <c r="G1199" s="246" t="s">
        <v>518</v>
      </c>
      <c r="H1199" s="246" t="s">
        <v>477</v>
      </c>
      <c r="I1199" s="706">
        <v>300</v>
      </c>
      <c r="J1199" s="246">
        <v>0</v>
      </c>
      <c r="K1199" s="246">
        <v>6</v>
      </c>
      <c r="L1199" s="644">
        <f t="shared" si="381"/>
        <v>50</v>
      </c>
      <c r="M1199" s="645">
        <v>46203</v>
      </c>
      <c r="N1199" s="645">
        <v>46199</v>
      </c>
      <c r="O1199" s="643"/>
      <c r="P1199" s="246" t="s">
        <v>113</v>
      </c>
      <c r="Q1199" s="614">
        <v>46240</v>
      </c>
      <c r="R1199" s="646">
        <v>46168</v>
      </c>
      <c r="S1199" s="646" t="s">
        <v>70</v>
      </c>
      <c r="T1199" s="646" t="s">
        <v>4629</v>
      </c>
      <c r="U1199" s="646"/>
      <c r="V1199" s="646"/>
      <c r="W1199" s="642"/>
      <c r="X1199" s="642" t="s">
        <v>4630</v>
      </c>
      <c r="Y1199" s="647" t="s">
        <v>445</v>
      </c>
      <c r="Z1199" s="657">
        <v>7.3574</v>
      </c>
      <c r="AA1199" s="647">
        <f t="shared" si="382"/>
        <v>2207.22</v>
      </c>
      <c r="AB1199" s="551"/>
      <c r="AC1199" s="648"/>
      <c r="AD1199" s="246" t="s">
        <v>480</v>
      </c>
      <c r="AE1199" s="246" t="s">
        <v>82</v>
      </c>
      <c r="AF1199" s="246"/>
      <c r="AG1199" s="246"/>
      <c r="AH1199" s="246"/>
      <c r="AI1199" s="642"/>
      <c r="AJ1199" s="246">
        <f t="shared" si="383"/>
        <v>-300</v>
      </c>
      <c r="AK1199" s="246"/>
      <c r="AL1199" s="246"/>
      <c r="AM1199" s="551"/>
      <c r="AN1199" s="551">
        <f t="shared" si="387"/>
        <v>300</v>
      </c>
      <c r="AO1199" s="551"/>
      <c r="AP1199" s="551"/>
      <c r="AQ1199" s="551"/>
      <c r="AR1199" s="551"/>
      <c r="AS1199" s="551">
        <f>I1199</f>
        <v>300</v>
      </c>
      <c r="AT1199" s="551"/>
      <c r="AU1199" s="551">
        <f t="shared" si="389"/>
        <v>300</v>
      </c>
      <c r="AV1199" s="551"/>
      <c r="AW1199" s="551">
        <f t="shared" si="386"/>
        <v>300</v>
      </c>
      <c r="AX1199" s="651"/>
      <c r="AY1199" s="551"/>
      <c r="AZ1199" s="551"/>
      <c r="BA1199" s="551"/>
      <c r="BB1199" s="551"/>
      <c r="BC1199" s="551"/>
      <c r="BD1199" s="551"/>
      <c r="BE1199" s="551"/>
      <c r="BF1199" s="551"/>
      <c r="BG1199" s="551"/>
      <c r="BH1199" s="551"/>
      <c r="BI1199" s="551"/>
      <c r="BJ1199" s="551"/>
      <c r="BK1199" s="551"/>
      <c r="BL1199" s="551"/>
      <c r="BM1199" s="551"/>
      <c r="BN1199" s="551">
        <f>I1199</f>
        <v>300</v>
      </c>
      <c r="BO1199" s="551"/>
      <c r="BP1199" s="551"/>
      <c r="BQ1199" s="551"/>
      <c r="BR1199" s="551"/>
      <c r="BS1199" s="551"/>
      <c r="BT1199" s="551"/>
      <c r="BU1199" s="551"/>
      <c r="BV1199" s="551"/>
      <c r="BW1199" s="551"/>
      <c r="BX1199" s="551"/>
      <c r="BY1199" s="551"/>
      <c r="BZ1199" s="551"/>
      <c r="CA1199" s="551"/>
      <c r="CB1199" s="551"/>
      <c r="CC1199" s="551"/>
      <c r="CD1199" s="551"/>
      <c r="CE1199" s="551"/>
      <c r="CF1199" s="551"/>
      <c r="CG1199" s="551"/>
      <c r="CH1199" s="650"/>
      <c r="CI1199" s="650"/>
      <c r="CJ1199" s="650"/>
      <c r="CK1199" s="650"/>
      <c r="CL1199" s="650"/>
      <c r="CM1199" s="551"/>
      <c r="CN1199" s="551"/>
      <c r="CO1199" s="551"/>
      <c r="CP1199" s="650"/>
      <c r="CQ1199" s="650"/>
      <c r="CR1199" s="650"/>
      <c r="CS1199" s="650"/>
      <c r="CT1199" s="650"/>
      <c r="CU1199" s="650"/>
    </row>
    <row r="1200" s="1266" customFormat="1" ht="31" customHeight="1" spans="1:100">
      <c r="A1200" s="641">
        <v>46149</v>
      </c>
      <c r="B1200" s="642" t="s">
        <v>135</v>
      </c>
      <c r="C1200" s="246" t="s">
        <v>128</v>
      </c>
      <c r="D1200" s="551" t="s">
        <v>4631</v>
      </c>
      <c r="E1200" s="246" t="s">
        <v>4632</v>
      </c>
      <c r="F1200" s="551" t="s">
        <v>4633</v>
      </c>
      <c r="G1200" s="246" t="s">
        <v>518</v>
      </c>
      <c r="H1200" s="246" t="s">
        <v>477</v>
      </c>
      <c r="I1200" s="706">
        <v>1362</v>
      </c>
      <c r="J1200" s="246">
        <v>0</v>
      </c>
      <c r="K1200" s="246">
        <v>6</v>
      </c>
      <c r="L1200" s="644">
        <f t="shared" si="381"/>
        <v>227</v>
      </c>
      <c r="M1200" s="742">
        <v>46202</v>
      </c>
      <c r="N1200" s="742">
        <v>46200</v>
      </c>
      <c r="O1200" s="643"/>
      <c r="P1200" s="246" t="s">
        <v>113</v>
      </c>
      <c r="Q1200" s="646">
        <v>46204</v>
      </c>
      <c r="R1200" s="646">
        <v>46169</v>
      </c>
      <c r="S1200" s="646" t="s">
        <v>104</v>
      </c>
      <c r="T1200" s="646" t="s">
        <v>4634</v>
      </c>
      <c r="U1200" s="646"/>
      <c r="V1200" s="646"/>
      <c r="W1200" s="642"/>
      <c r="X1200" s="749" t="s">
        <v>4635</v>
      </c>
      <c r="Y1200" s="647" t="s">
        <v>3206</v>
      </c>
      <c r="Z1200" s="657">
        <v>7.2741</v>
      </c>
      <c r="AA1200" s="647">
        <f t="shared" si="382"/>
        <v>9907.3242</v>
      </c>
      <c r="AB1200" s="551"/>
      <c r="AC1200" s="648"/>
      <c r="AD1200" s="246" t="s">
        <v>1306</v>
      </c>
      <c r="AE1200" s="246" t="s">
        <v>82</v>
      </c>
      <c r="AF1200" s="246"/>
      <c r="AG1200" s="246"/>
      <c r="AH1200" s="246"/>
      <c r="AI1200" s="642"/>
      <c r="AJ1200" s="246">
        <f t="shared" si="383"/>
        <v>-1362</v>
      </c>
      <c r="AK1200" s="246"/>
      <c r="AL1200" s="246"/>
      <c r="AM1200" s="551"/>
      <c r="AN1200" s="551">
        <f t="shared" si="387"/>
        <v>1362</v>
      </c>
      <c r="AO1200" s="551"/>
      <c r="AP1200" s="551"/>
      <c r="AQ1200" s="551"/>
      <c r="AR1200" s="551">
        <f>I1200</f>
        <v>1362</v>
      </c>
      <c r="AS1200" s="551"/>
      <c r="AT1200" s="551"/>
      <c r="AU1200" s="551">
        <f t="shared" si="389"/>
        <v>1362</v>
      </c>
      <c r="AV1200" s="551"/>
      <c r="AW1200" s="551">
        <f t="shared" si="386"/>
        <v>1362</v>
      </c>
      <c r="AX1200" s="651"/>
      <c r="AY1200" s="551"/>
      <c r="AZ1200" s="551"/>
      <c r="BA1200" s="551"/>
      <c r="BB1200" s="551"/>
      <c r="BC1200" s="551"/>
      <c r="BD1200" s="551"/>
      <c r="BE1200" s="551"/>
      <c r="BF1200" s="551"/>
      <c r="BG1200" s="551"/>
      <c r="BH1200" s="551"/>
      <c r="BI1200" s="551"/>
      <c r="BJ1200" s="551"/>
      <c r="BK1200" s="551"/>
      <c r="BL1200" s="551"/>
      <c r="BM1200" s="551"/>
      <c r="BN1200" s="551">
        <f>I1200</f>
        <v>1362</v>
      </c>
      <c r="BO1200" s="551"/>
      <c r="BP1200" s="551"/>
      <c r="BQ1200" s="551"/>
      <c r="BR1200" s="551"/>
      <c r="BS1200" s="551"/>
      <c r="BT1200" s="551"/>
      <c r="BU1200" s="551"/>
      <c r="BV1200" s="551"/>
      <c r="BW1200" s="551"/>
      <c r="BX1200" s="551"/>
      <c r="BY1200" s="551"/>
      <c r="BZ1200" s="551"/>
      <c r="CA1200" s="551"/>
      <c r="CB1200" s="551"/>
      <c r="CC1200" s="551"/>
      <c r="CD1200" s="551"/>
      <c r="CE1200" s="551"/>
      <c r="CF1200" s="551"/>
      <c r="CG1200" s="551"/>
      <c r="CH1200" s="650"/>
      <c r="CI1200" s="650"/>
      <c r="CJ1200" s="650"/>
      <c r="CK1200" s="650"/>
      <c r="CL1200" s="650"/>
      <c r="CM1200" s="551"/>
      <c r="CN1200" s="551"/>
      <c r="CO1200" s="551"/>
      <c r="CP1200" s="650"/>
      <c r="CQ1200" s="650"/>
      <c r="CR1200" s="650"/>
      <c r="CS1200" s="650"/>
      <c r="CT1200" s="650"/>
      <c r="CU1200" s="650"/>
      <c r="CV1200" s="1331"/>
    </row>
    <row r="1201" s="1266" customFormat="1" ht="31" customHeight="1" spans="1:105">
      <c r="A1201" s="641">
        <v>46150</v>
      </c>
      <c r="B1201" s="642" t="s">
        <v>139</v>
      </c>
      <c r="C1201" s="246" t="s">
        <v>76</v>
      </c>
      <c r="D1201" s="551">
        <v>4500198161</v>
      </c>
      <c r="E1201" s="246">
        <v>21528179</v>
      </c>
      <c r="F1201" s="551" t="s">
        <v>4636</v>
      </c>
      <c r="G1201" s="246" t="s">
        <v>518</v>
      </c>
      <c r="H1201" s="246" t="s">
        <v>477</v>
      </c>
      <c r="I1201" s="706">
        <v>138</v>
      </c>
      <c r="J1201" s="246">
        <v>0</v>
      </c>
      <c r="K1201" s="246">
        <v>6</v>
      </c>
      <c r="L1201" s="644">
        <f t="shared" si="381"/>
        <v>23</v>
      </c>
      <c r="M1201" s="742">
        <v>46202</v>
      </c>
      <c r="N1201" s="742">
        <v>46200</v>
      </c>
      <c r="O1201" s="643"/>
      <c r="P1201" s="246" t="s">
        <v>113</v>
      </c>
      <c r="Q1201" s="646"/>
      <c r="R1201" s="646">
        <v>46169</v>
      </c>
      <c r="S1201" s="646" t="s">
        <v>104</v>
      </c>
      <c r="T1201" s="646" t="s">
        <v>4637</v>
      </c>
      <c r="U1201" s="646"/>
      <c r="V1201" s="646"/>
      <c r="W1201" s="1331"/>
      <c r="X1201" s="749" t="s">
        <v>4638</v>
      </c>
      <c r="Y1201" s="647" t="s">
        <v>3206</v>
      </c>
      <c r="Z1201" s="642">
        <v>7.6122</v>
      </c>
      <c r="AA1201" s="647">
        <f t="shared" si="382"/>
        <v>1050.4836</v>
      </c>
      <c r="AB1201" s="551"/>
      <c r="AC1201" s="1368"/>
      <c r="AD1201" s="246" t="s">
        <v>1306</v>
      </c>
      <c r="AE1201" s="246" t="s">
        <v>82</v>
      </c>
      <c r="AF1201" s="246"/>
      <c r="AG1201" s="642"/>
      <c r="AH1201" s="246"/>
      <c r="AI1201" s="642"/>
      <c r="AJ1201" s="246">
        <f t="shared" si="383"/>
        <v>-138</v>
      </c>
      <c r="AK1201" s="246"/>
      <c r="AL1201" s="246"/>
      <c r="AM1201" s="551"/>
      <c r="AN1201" s="551">
        <f t="shared" si="387"/>
        <v>138</v>
      </c>
      <c r="AO1201" s="551"/>
      <c r="AP1201" s="551"/>
      <c r="AQ1201" s="650"/>
      <c r="AR1201" s="551">
        <f>I1201</f>
        <v>138</v>
      </c>
      <c r="AS1201" s="551"/>
      <c r="AT1201" s="551"/>
      <c r="AU1201" s="551">
        <f t="shared" si="389"/>
        <v>138</v>
      </c>
      <c r="AV1201" s="551"/>
      <c r="AW1201" s="551">
        <f t="shared" si="386"/>
        <v>138</v>
      </c>
      <c r="AX1201" s="651"/>
      <c r="AY1201" s="551"/>
      <c r="AZ1201" s="551"/>
      <c r="BA1201" s="551"/>
      <c r="BB1201" s="249"/>
      <c r="BC1201" s="551"/>
      <c r="BD1201" s="551"/>
      <c r="BE1201" s="551"/>
      <c r="BF1201" s="551"/>
      <c r="BG1201" s="551"/>
      <c r="BH1201" s="551"/>
      <c r="BI1201" s="551"/>
      <c r="BJ1201" s="551"/>
      <c r="BK1201" s="551"/>
      <c r="BL1201" s="551"/>
      <c r="BM1201" s="551"/>
      <c r="BN1201" s="551">
        <f>I1201</f>
        <v>138</v>
      </c>
      <c r="BO1201" s="551"/>
      <c r="BP1201" s="551"/>
      <c r="BQ1201" s="551"/>
      <c r="BR1201" s="551"/>
      <c r="BS1201" s="551"/>
      <c r="BT1201" s="551"/>
      <c r="BU1201" s="551"/>
      <c r="BV1201" s="551"/>
      <c r="BW1201" s="551"/>
      <c r="BX1201" s="551"/>
      <c r="BY1201" s="551"/>
      <c r="BZ1201" s="551"/>
      <c r="CA1201" s="551"/>
      <c r="CB1201" s="551"/>
      <c r="CC1201" s="551"/>
      <c r="CD1201" s="551"/>
      <c r="CE1201" s="551"/>
      <c r="CF1201" s="551"/>
      <c r="CG1201" s="551"/>
      <c r="CH1201" s="650"/>
      <c r="CI1201" s="650"/>
      <c r="CJ1201" s="551"/>
      <c r="CK1201" s="551"/>
      <c r="CL1201" s="551"/>
      <c r="CM1201" s="551"/>
      <c r="CN1201" s="551"/>
      <c r="CO1201" s="551"/>
      <c r="CP1201" s="650"/>
      <c r="CQ1201" s="650"/>
      <c r="CR1201" s="650"/>
      <c r="CS1201" s="650"/>
      <c r="CT1201" s="650"/>
      <c r="CU1201" s="650"/>
      <c r="CV1201" s="650"/>
      <c r="CW1201" s="650"/>
      <c r="CX1201" s="650"/>
      <c r="CY1201" s="650"/>
      <c r="CZ1201" s="650"/>
      <c r="DA1201" s="1331"/>
    </row>
    <row r="1202" s="1266" customFormat="1" ht="31" customHeight="1" spans="1:105">
      <c r="A1202" s="641">
        <v>46136</v>
      </c>
      <c r="B1202" s="642" t="s">
        <v>4584</v>
      </c>
      <c r="C1202" s="246" t="s">
        <v>399</v>
      </c>
      <c r="D1202" s="551" t="s">
        <v>4639</v>
      </c>
      <c r="E1202" s="246" t="s">
        <v>4640</v>
      </c>
      <c r="F1202" s="551" t="s">
        <v>4641</v>
      </c>
      <c r="G1202" s="246" t="s">
        <v>111</v>
      </c>
      <c r="H1202" s="246" t="s">
        <v>112</v>
      </c>
      <c r="I1202" s="706">
        <v>1280</v>
      </c>
      <c r="J1202" s="246">
        <v>0</v>
      </c>
      <c r="K1202" s="246">
        <v>16</v>
      </c>
      <c r="L1202" s="644">
        <f t="shared" si="381"/>
        <v>80</v>
      </c>
      <c r="M1202" s="645">
        <v>46205</v>
      </c>
      <c r="N1202" s="645">
        <v>46202</v>
      </c>
      <c r="O1202" s="643"/>
      <c r="P1202" s="246" t="s">
        <v>113</v>
      </c>
      <c r="Q1202" s="646"/>
      <c r="R1202" s="646" t="s">
        <v>4587</v>
      </c>
      <c r="S1202" s="646" t="s">
        <v>70</v>
      </c>
      <c r="T1202" s="646" t="s">
        <v>4588</v>
      </c>
      <c r="U1202" s="646"/>
      <c r="V1202" s="646"/>
      <c r="W1202" s="1354" t="s">
        <v>4589</v>
      </c>
      <c r="X1202" s="642" t="s">
        <v>4642</v>
      </c>
      <c r="Y1202" s="647" t="s">
        <v>4065</v>
      </c>
      <c r="Z1202" s="657">
        <v>4.3564</v>
      </c>
      <c r="AA1202" s="647">
        <f t="shared" si="382"/>
        <v>5576.192</v>
      </c>
      <c r="AB1202" s="551"/>
      <c r="AC1202" s="648"/>
      <c r="AD1202" s="246" t="s">
        <v>447</v>
      </c>
      <c r="AE1202" s="246" t="s">
        <v>82</v>
      </c>
      <c r="AF1202" s="246"/>
      <c r="AG1202" s="246"/>
      <c r="AH1202" s="246"/>
      <c r="AI1202" s="642">
        <v>1280</v>
      </c>
      <c r="AJ1202" s="643">
        <f t="shared" si="383"/>
        <v>0</v>
      </c>
      <c r="AK1202" s="246"/>
      <c r="AL1202" s="246" t="s">
        <v>2368</v>
      </c>
      <c r="AM1202" s="551"/>
      <c r="AN1202" s="551">
        <f t="shared" si="387"/>
        <v>1280</v>
      </c>
      <c r="AO1202" s="551"/>
      <c r="AP1202" s="551"/>
      <c r="AQ1202" s="551"/>
      <c r="AR1202" s="551"/>
      <c r="AS1202" s="551">
        <f>I1202</f>
        <v>1280</v>
      </c>
      <c r="AT1202" s="551"/>
      <c r="AU1202" s="551">
        <f t="shared" si="389"/>
        <v>1280</v>
      </c>
      <c r="AV1202" s="551"/>
      <c r="AW1202" s="551">
        <f t="shared" si="386"/>
        <v>1280</v>
      </c>
      <c r="AX1202" s="651"/>
      <c r="AY1202" s="551"/>
      <c r="AZ1202" s="551"/>
      <c r="BA1202" s="551"/>
      <c r="BB1202" s="551"/>
      <c r="BC1202" s="551"/>
      <c r="BD1202" s="551"/>
      <c r="BE1202" s="551"/>
      <c r="BF1202" s="551"/>
      <c r="BG1202" s="551"/>
      <c r="BH1202" s="551"/>
      <c r="BI1202" s="551">
        <f>I1202/4</f>
        <v>320</v>
      </c>
      <c r="BJ1202" s="551"/>
      <c r="BK1202" s="551"/>
      <c r="BL1202" s="551"/>
      <c r="BM1202" s="551"/>
      <c r="BN1202" s="551"/>
      <c r="BO1202" s="551"/>
      <c r="BP1202" s="551"/>
      <c r="BQ1202" s="551"/>
      <c r="BR1202" s="551"/>
      <c r="BS1202" s="551"/>
      <c r="BT1202" s="551"/>
      <c r="BU1202" s="551"/>
      <c r="BV1202" s="551"/>
      <c r="BW1202" s="551"/>
      <c r="BX1202" s="551"/>
      <c r="BY1202" s="551"/>
      <c r="BZ1202" s="551"/>
      <c r="CA1202" s="551"/>
      <c r="CB1202" s="551"/>
      <c r="CC1202" s="551"/>
      <c r="CD1202" s="551"/>
      <c r="CE1202" s="551"/>
      <c r="CF1202" s="551"/>
      <c r="CG1202" s="551"/>
      <c r="CH1202" s="650"/>
      <c r="CI1202" s="650"/>
      <c r="CJ1202" s="650"/>
      <c r="CK1202" s="650"/>
      <c r="CL1202" s="650"/>
      <c r="CM1202" s="551"/>
      <c r="CN1202" s="551"/>
      <c r="CO1202" s="551"/>
      <c r="CP1202" s="650"/>
      <c r="CQ1202" s="650"/>
      <c r="CR1202" s="650"/>
      <c r="CS1202" s="650"/>
      <c r="CT1202" s="650"/>
      <c r="CU1202" s="650"/>
    </row>
    <row r="1203" s="1266" customFormat="1" ht="31" customHeight="1" spans="1:105">
      <c r="A1203" s="641">
        <v>46136</v>
      </c>
      <c r="B1203" s="642" t="s">
        <v>4584</v>
      </c>
      <c r="C1203" s="246" t="s">
        <v>399</v>
      </c>
      <c r="D1203" s="551" t="s">
        <v>4643</v>
      </c>
      <c r="E1203" s="246" t="s">
        <v>4644</v>
      </c>
      <c r="F1203" s="551" t="s">
        <v>4645</v>
      </c>
      <c r="G1203" s="246" t="s">
        <v>111</v>
      </c>
      <c r="H1203" s="246" t="s">
        <v>112</v>
      </c>
      <c r="I1203" s="706">
        <v>784</v>
      </c>
      <c r="J1203" s="246">
        <v>0</v>
      </c>
      <c r="K1203" s="246">
        <v>16</v>
      </c>
      <c r="L1203" s="644">
        <f t="shared" si="381"/>
        <v>49</v>
      </c>
      <c r="M1203" s="645">
        <v>46205</v>
      </c>
      <c r="N1203" s="645">
        <v>46202</v>
      </c>
      <c r="O1203" s="643"/>
      <c r="P1203" s="246" t="s">
        <v>113</v>
      </c>
      <c r="Q1203" s="646"/>
      <c r="R1203" s="646" t="s">
        <v>4587</v>
      </c>
      <c r="S1203" s="646" t="s">
        <v>70</v>
      </c>
      <c r="T1203" s="646" t="s">
        <v>4588</v>
      </c>
      <c r="U1203" s="646"/>
      <c r="V1203" s="646"/>
      <c r="W1203" s="1354" t="s">
        <v>4589</v>
      </c>
      <c r="X1203" s="642" t="s">
        <v>4642</v>
      </c>
      <c r="Y1203" s="647" t="s">
        <v>4065</v>
      </c>
      <c r="Z1203" s="657">
        <v>4.3564</v>
      </c>
      <c r="AA1203" s="647">
        <f t="shared" si="382"/>
        <v>3415.4176</v>
      </c>
      <c r="AB1203" s="551"/>
      <c r="AC1203" s="648"/>
      <c r="AD1203" s="246" t="s">
        <v>447</v>
      </c>
      <c r="AE1203" s="246" t="s">
        <v>82</v>
      </c>
      <c r="AF1203" s="246"/>
      <c r="AG1203" s="246"/>
      <c r="AH1203" s="246"/>
      <c r="AI1203" s="642">
        <f>768+16</f>
        <v>784</v>
      </c>
      <c r="AJ1203" s="643">
        <f t="shared" si="383"/>
        <v>0</v>
      </c>
      <c r="AK1203" s="246"/>
      <c r="AL1203" s="246" t="s">
        <v>2368</v>
      </c>
      <c r="AM1203" s="551"/>
      <c r="AN1203" s="551">
        <f t="shared" si="387"/>
        <v>784</v>
      </c>
      <c r="AO1203" s="551"/>
      <c r="AP1203" s="551"/>
      <c r="AQ1203" s="551"/>
      <c r="AR1203" s="551"/>
      <c r="AS1203" s="551">
        <f>I1203</f>
        <v>784</v>
      </c>
      <c r="AT1203" s="551"/>
      <c r="AU1203" s="551">
        <f t="shared" si="389"/>
        <v>784</v>
      </c>
      <c r="AV1203" s="551"/>
      <c r="AW1203" s="551">
        <f t="shared" si="386"/>
        <v>784</v>
      </c>
      <c r="AX1203" s="651"/>
      <c r="AY1203" s="551"/>
      <c r="AZ1203" s="551"/>
      <c r="BA1203" s="551"/>
      <c r="BB1203" s="551"/>
      <c r="BC1203" s="551"/>
      <c r="BD1203" s="551"/>
      <c r="BE1203" s="551"/>
      <c r="BF1203" s="551"/>
      <c r="BG1203" s="551"/>
      <c r="BH1203" s="551"/>
      <c r="BI1203" s="551">
        <f>I1203/4</f>
        <v>196</v>
      </c>
      <c r="BJ1203" s="551"/>
      <c r="BK1203" s="551"/>
      <c r="BL1203" s="551"/>
      <c r="BM1203" s="551"/>
      <c r="BN1203" s="551"/>
      <c r="BO1203" s="551"/>
      <c r="BP1203" s="551"/>
      <c r="BQ1203" s="551"/>
      <c r="BR1203" s="551"/>
      <c r="BS1203" s="551"/>
      <c r="BT1203" s="551"/>
      <c r="BU1203" s="551"/>
      <c r="BV1203" s="551"/>
      <c r="BW1203" s="551"/>
      <c r="BX1203" s="551"/>
      <c r="BY1203" s="551"/>
      <c r="BZ1203" s="551"/>
      <c r="CA1203" s="551"/>
      <c r="CB1203" s="551"/>
      <c r="CC1203" s="551"/>
      <c r="CD1203" s="551"/>
      <c r="CE1203" s="551"/>
      <c r="CF1203" s="551"/>
      <c r="CG1203" s="551"/>
      <c r="CH1203" s="650"/>
      <c r="CI1203" s="650"/>
      <c r="CJ1203" s="650"/>
      <c r="CK1203" s="650"/>
      <c r="CL1203" s="650"/>
      <c r="CM1203" s="551"/>
      <c r="CN1203" s="551"/>
      <c r="CO1203" s="551"/>
      <c r="CP1203" s="650"/>
      <c r="CQ1203" s="650"/>
      <c r="CR1203" s="650"/>
      <c r="CS1203" s="650"/>
      <c r="CT1203" s="650"/>
      <c r="CU1203" s="650"/>
    </row>
    <row r="1204" s="1266" customFormat="1" ht="31" customHeight="1" spans="1:105">
      <c r="A1204" s="641">
        <v>46156</v>
      </c>
      <c r="B1204" s="642" t="s">
        <v>1673</v>
      </c>
      <c r="C1204" s="246" t="s">
        <v>98</v>
      </c>
      <c r="D1204" s="551" t="s">
        <v>4646</v>
      </c>
      <c r="E1204" s="246" t="s">
        <v>4647</v>
      </c>
      <c r="F1204" s="551" t="s">
        <v>4648</v>
      </c>
      <c r="G1204" s="246" t="s">
        <v>68</v>
      </c>
      <c r="H1204" s="246" t="s">
        <v>69</v>
      </c>
      <c r="I1204" s="706">
        <v>168</v>
      </c>
      <c r="J1204" s="246">
        <v>0</v>
      </c>
      <c r="K1204" s="246">
        <v>12</v>
      </c>
      <c r="L1204" s="644">
        <f t="shared" si="381"/>
        <v>14</v>
      </c>
      <c r="M1204" s="645">
        <v>46205</v>
      </c>
      <c r="N1204" s="742">
        <v>46203</v>
      </c>
      <c r="O1204" s="643"/>
      <c r="P1204" s="246" t="s">
        <v>113</v>
      </c>
      <c r="Q1204" s="646" t="s">
        <v>4649</v>
      </c>
      <c r="R1204" s="646">
        <v>46156</v>
      </c>
      <c r="S1204" s="646" t="s">
        <v>104</v>
      </c>
      <c r="T1204" s="646" t="s">
        <v>4650</v>
      </c>
      <c r="U1204" s="646"/>
      <c r="V1204" s="646"/>
      <c r="W1204" s="642"/>
      <c r="X1204" s="642" t="s">
        <v>4651</v>
      </c>
      <c r="Y1204" s="647" t="s">
        <v>882</v>
      </c>
      <c r="Z1204" s="657">
        <v>2.5964</v>
      </c>
      <c r="AA1204" s="647">
        <f t="shared" si="382"/>
        <v>436.1952</v>
      </c>
      <c r="AB1204" s="551"/>
      <c r="AC1204" s="658" t="s">
        <v>4652</v>
      </c>
      <c r="AD1204" s="246" t="s">
        <v>68</v>
      </c>
      <c r="AE1204" s="246" t="s">
        <v>82</v>
      </c>
      <c r="AF1204" s="246"/>
      <c r="AG1204" s="246"/>
      <c r="AH1204" s="246"/>
      <c r="AI1204" s="642">
        <v>168</v>
      </c>
      <c r="AJ1204" s="246">
        <f t="shared" si="383"/>
        <v>0</v>
      </c>
      <c r="AK1204" s="246"/>
      <c r="AL1204" s="246" t="s">
        <v>2368</v>
      </c>
      <c r="AM1204" s="551"/>
      <c r="AN1204" s="551">
        <f t="shared" si="387"/>
        <v>168</v>
      </c>
      <c r="AO1204" s="551"/>
      <c r="AP1204" s="551"/>
      <c r="AQ1204" s="551"/>
      <c r="AR1204" s="551">
        <f>I1204</f>
        <v>168</v>
      </c>
      <c r="AS1204" s="551"/>
      <c r="AT1204" s="551"/>
      <c r="AU1204" s="551">
        <f t="shared" si="389"/>
        <v>168</v>
      </c>
      <c r="AV1204" s="551"/>
      <c r="AW1204" s="551">
        <f t="shared" si="386"/>
        <v>168</v>
      </c>
      <c r="AX1204" s="651"/>
      <c r="AY1204" s="551"/>
      <c r="AZ1204" s="551"/>
      <c r="BA1204" s="551"/>
      <c r="BB1204" s="551"/>
      <c r="BC1204" s="551"/>
      <c r="BD1204" s="551"/>
      <c r="BE1204" s="551"/>
      <c r="BF1204" s="551"/>
      <c r="BG1204" s="551"/>
      <c r="BH1204" s="551"/>
      <c r="BI1204" s="551"/>
      <c r="BJ1204" s="551"/>
      <c r="BK1204" s="551"/>
      <c r="BL1204" s="551"/>
      <c r="BM1204" s="551"/>
      <c r="BN1204" s="551"/>
      <c r="BO1204" s="551"/>
      <c r="BP1204" s="551"/>
      <c r="BQ1204" s="551"/>
      <c r="BR1204" s="551"/>
      <c r="BS1204" s="551"/>
      <c r="BT1204" s="551"/>
      <c r="BU1204" s="551"/>
      <c r="BV1204" s="551"/>
      <c r="BW1204" s="551"/>
      <c r="BX1204" s="551"/>
      <c r="BY1204" s="551"/>
      <c r="BZ1204" s="551"/>
      <c r="CA1204" s="551"/>
      <c r="CB1204" s="551"/>
      <c r="CC1204" s="551"/>
      <c r="CD1204" s="551"/>
      <c r="CE1204" s="551"/>
      <c r="CF1204" s="551"/>
      <c r="CG1204" s="551"/>
      <c r="CH1204" s="650"/>
      <c r="CI1204" s="650"/>
      <c r="CJ1204" s="650"/>
      <c r="CK1204" s="650"/>
      <c r="CL1204" s="650"/>
      <c r="CM1204" s="551"/>
      <c r="CN1204" s="551"/>
      <c r="CO1204" s="551"/>
      <c r="CP1204" s="650"/>
      <c r="CQ1204" s="650"/>
      <c r="CR1204" s="650"/>
      <c r="CS1204" s="650"/>
      <c r="CT1204" s="650"/>
      <c r="CU1204" s="650"/>
    </row>
    <row r="1205" s="1266" customFormat="1" ht="31" customHeight="1" spans="1:105">
      <c r="A1205" s="641">
        <v>46156</v>
      </c>
      <c r="B1205" s="642" t="s">
        <v>1673</v>
      </c>
      <c r="C1205" s="246" t="s">
        <v>98</v>
      </c>
      <c r="D1205" s="551" t="s">
        <v>4646</v>
      </c>
      <c r="E1205" s="246" t="s">
        <v>4653</v>
      </c>
      <c r="F1205" s="551" t="s">
        <v>4654</v>
      </c>
      <c r="G1205" s="246" t="s">
        <v>68</v>
      </c>
      <c r="H1205" s="246" t="s">
        <v>69</v>
      </c>
      <c r="I1205" s="706">
        <v>72</v>
      </c>
      <c r="J1205" s="246">
        <v>0</v>
      </c>
      <c r="K1205" s="246">
        <v>12</v>
      </c>
      <c r="L1205" s="644">
        <f t="shared" si="381"/>
        <v>6</v>
      </c>
      <c r="M1205" s="645">
        <v>46205</v>
      </c>
      <c r="N1205" s="742">
        <v>46203</v>
      </c>
      <c r="O1205" s="643"/>
      <c r="P1205" s="246" t="s">
        <v>113</v>
      </c>
      <c r="Q1205" s="646" t="s">
        <v>4649</v>
      </c>
      <c r="R1205" s="646">
        <v>46156</v>
      </c>
      <c r="S1205" s="646" t="s">
        <v>104</v>
      </c>
      <c r="T1205" s="646" t="s">
        <v>4650</v>
      </c>
      <c r="U1205" s="646"/>
      <c r="V1205" s="646"/>
      <c r="W1205" s="642"/>
      <c r="X1205" s="642" t="s">
        <v>4651</v>
      </c>
      <c r="Y1205" s="647" t="s">
        <v>882</v>
      </c>
      <c r="Z1205" s="657">
        <v>2.624</v>
      </c>
      <c r="AA1205" s="647">
        <f t="shared" si="382"/>
        <v>188.928</v>
      </c>
      <c r="AB1205" s="551"/>
      <c r="AC1205" s="658" t="s">
        <v>4655</v>
      </c>
      <c r="AD1205" s="246" t="s">
        <v>68</v>
      </c>
      <c r="AE1205" s="246" t="s">
        <v>82</v>
      </c>
      <c r="AF1205" s="246"/>
      <c r="AG1205" s="246"/>
      <c r="AH1205" s="246"/>
      <c r="AI1205" s="642">
        <v>72</v>
      </c>
      <c r="AJ1205" s="246">
        <f t="shared" si="383"/>
        <v>0</v>
      </c>
      <c r="AK1205" s="246"/>
      <c r="AL1205" s="246" t="s">
        <v>2368</v>
      </c>
      <c r="AM1205" s="551"/>
      <c r="AN1205" s="551">
        <f t="shared" si="387"/>
        <v>72</v>
      </c>
      <c r="AO1205" s="551"/>
      <c r="AP1205" s="551"/>
      <c r="AQ1205" s="551"/>
      <c r="AR1205" s="551">
        <f>I1205</f>
        <v>72</v>
      </c>
      <c r="AS1205" s="551"/>
      <c r="AT1205" s="551"/>
      <c r="AU1205" s="551">
        <f t="shared" si="389"/>
        <v>72</v>
      </c>
      <c r="AV1205" s="551"/>
      <c r="AW1205" s="551">
        <f t="shared" si="386"/>
        <v>72</v>
      </c>
      <c r="AX1205" s="651"/>
      <c r="AY1205" s="551"/>
      <c r="AZ1205" s="551"/>
      <c r="BA1205" s="551"/>
      <c r="BB1205" s="551"/>
      <c r="BC1205" s="551"/>
      <c r="BD1205" s="551"/>
      <c r="BE1205" s="551"/>
      <c r="BF1205" s="551"/>
      <c r="BG1205" s="551"/>
      <c r="BH1205" s="551"/>
      <c r="BI1205" s="551"/>
      <c r="BJ1205" s="551"/>
      <c r="BK1205" s="551"/>
      <c r="BL1205" s="551"/>
      <c r="BM1205" s="551"/>
      <c r="BN1205" s="551"/>
      <c r="BO1205" s="551"/>
      <c r="BP1205" s="551"/>
      <c r="BQ1205" s="551"/>
      <c r="BR1205" s="551"/>
      <c r="BS1205" s="551"/>
      <c r="BT1205" s="551"/>
      <c r="BU1205" s="551"/>
      <c r="BV1205" s="551"/>
      <c r="BW1205" s="551"/>
      <c r="BX1205" s="551"/>
      <c r="BY1205" s="551"/>
      <c r="BZ1205" s="551"/>
      <c r="CA1205" s="551"/>
      <c r="CB1205" s="551"/>
      <c r="CC1205" s="551"/>
      <c r="CD1205" s="551"/>
      <c r="CE1205" s="551"/>
      <c r="CF1205" s="551"/>
      <c r="CG1205" s="551"/>
      <c r="CH1205" s="650"/>
      <c r="CI1205" s="650"/>
      <c r="CJ1205" s="650"/>
      <c r="CK1205" s="650"/>
      <c r="CL1205" s="650"/>
      <c r="CM1205" s="551"/>
      <c r="CN1205" s="551"/>
      <c r="CO1205" s="551"/>
      <c r="CP1205" s="650"/>
      <c r="CQ1205" s="650"/>
      <c r="CR1205" s="650"/>
      <c r="CS1205" s="650"/>
      <c r="CT1205" s="650"/>
      <c r="CU1205" s="650"/>
    </row>
    <row r="1206" s="1266" customFormat="1" ht="31" customHeight="1" spans="1:105">
      <c r="A1206" s="641">
        <v>46164</v>
      </c>
      <c r="B1206" s="642" t="s">
        <v>4656</v>
      </c>
      <c r="C1206" s="246" t="s">
        <v>154</v>
      </c>
      <c r="D1206" s="551">
        <v>4500208613</v>
      </c>
      <c r="E1206" s="246">
        <v>4500193448</v>
      </c>
      <c r="F1206" s="551" t="s">
        <v>4657</v>
      </c>
      <c r="G1206" s="246" t="s">
        <v>111</v>
      </c>
      <c r="H1206" s="246" t="s">
        <v>112</v>
      </c>
      <c r="I1206" s="706">
        <v>512</v>
      </c>
      <c r="J1206" s="246">
        <v>0</v>
      </c>
      <c r="K1206" s="246">
        <v>16</v>
      </c>
      <c r="L1206" s="644">
        <f t="shared" si="381"/>
        <v>32</v>
      </c>
      <c r="M1206" s="645">
        <v>46206</v>
      </c>
      <c r="N1206" s="645">
        <v>46203</v>
      </c>
      <c r="O1206" s="643"/>
      <c r="P1206" s="246" t="s">
        <v>113</v>
      </c>
      <c r="Q1206" s="646">
        <v>46224</v>
      </c>
      <c r="R1206" s="646">
        <v>46172</v>
      </c>
      <c r="S1206" s="646" t="s">
        <v>70</v>
      </c>
      <c r="T1206" s="646" t="s">
        <v>4658</v>
      </c>
      <c r="U1206" s="646"/>
      <c r="V1206" s="646" t="s">
        <v>4659</v>
      </c>
      <c r="W1206" s="642" t="s">
        <v>4660</v>
      </c>
      <c r="X1206" s="642" t="s">
        <v>4661</v>
      </c>
      <c r="Y1206" s="647" t="s">
        <v>167</v>
      </c>
      <c r="Z1206" s="657">
        <v>4.47</v>
      </c>
      <c r="AA1206" s="647">
        <f t="shared" si="382"/>
        <v>2288.64</v>
      </c>
      <c r="AB1206" s="551"/>
      <c r="AC1206" s="648"/>
      <c r="AD1206" s="246" t="s">
        <v>447</v>
      </c>
      <c r="AE1206" s="246" t="s">
        <v>82</v>
      </c>
      <c r="AF1206" s="246"/>
      <c r="AG1206" s="246"/>
      <c r="AH1206" s="246"/>
      <c r="AI1206" s="642">
        <f>496+16</f>
        <v>512</v>
      </c>
      <c r="AJ1206" s="643">
        <f t="shared" si="383"/>
        <v>0</v>
      </c>
      <c r="AK1206" s="246"/>
      <c r="AL1206" s="246" t="s">
        <v>2368</v>
      </c>
      <c r="AM1206" s="551"/>
      <c r="AN1206" s="551">
        <f t="shared" si="387"/>
        <v>512</v>
      </c>
      <c r="AO1206" s="551"/>
      <c r="AP1206" s="551"/>
      <c r="AQ1206" s="551"/>
      <c r="AR1206" s="551"/>
      <c r="AS1206" s="551">
        <f>I1206</f>
        <v>512</v>
      </c>
      <c r="AT1206" s="551"/>
      <c r="AU1206" s="551">
        <f t="shared" si="389"/>
        <v>512</v>
      </c>
      <c r="AV1206" s="551"/>
      <c r="AW1206" s="551">
        <f t="shared" si="386"/>
        <v>512</v>
      </c>
      <c r="AX1206" s="651"/>
      <c r="AY1206" s="551"/>
      <c r="AZ1206" s="551"/>
      <c r="BA1206" s="551"/>
      <c r="BB1206" s="551"/>
      <c r="BC1206" s="551"/>
      <c r="BD1206" s="551"/>
      <c r="BE1206" s="551"/>
      <c r="BF1206" s="551"/>
      <c r="BG1206" s="551"/>
      <c r="BH1206" s="551"/>
      <c r="BI1206" s="551">
        <f>I1206/4</f>
        <v>128</v>
      </c>
      <c r="BJ1206" s="551"/>
      <c r="BK1206" s="551"/>
      <c r="BL1206" s="551"/>
      <c r="BM1206" s="551"/>
      <c r="BN1206" s="551"/>
      <c r="BO1206" s="551"/>
      <c r="BP1206" s="551"/>
      <c r="BQ1206" s="551"/>
      <c r="BR1206" s="551"/>
      <c r="BS1206" s="551"/>
      <c r="BT1206" s="551"/>
      <c r="BU1206" s="551"/>
      <c r="BV1206" s="551"/>
      <c r="BW1206" s="551"/>
      <c r="BX1206" s="551"/>
      <c r="BY1206" s="551"/>
      <c r="BZ1206" s="551"/>
      <c r="CA1206" s="551"/>
      <c r="CB1206" s="551"/>
      <c r="CC1206" s="551"/>
      <c r="CD1206" s="551"/>
      <c r="CE1206" s="551"/>
      <c r="CF1206" s="551"/>
      <c r="CG1206" s="551"/>
      <c r="CH1206" s="650"/>
      <c r="CI1206" s="650"/>
      <c r="CJ1206" s="650"/>
      <c r="CK1206" s="650"/>
      <c r="CL1206" s="650"/>
      <c r="CM1206" s="551"/>
      <c r="CN1206" s="551"/>
      <c r="CO1206" s="551"/>
      <c r="CP1206" s="650"/>
      <c r="CQ1206" s="650"/>
      <c r="CR1206" s="650"/>
      <c r="CS1206" s="650"/>
      <c r="CT1206" s="650"/>
      <c r="CU1206" s="650"/>
    </row>
    <row r="1207" s="1269" customFormat="1" ht="31" customHeight="1" spans="1:105">
      <c r="A1207" s="821">
        <v>46151</v>
      </c>
      <c r="B1207" s="822" t="s">
        <v>4662</v>
      </c>
      <c r="C1207" s="633" t="s">
        <v>302</v>
      </c>
      <c r="D1207" s="825" t="s">
        <v>4663</v>
      </c>
      <c r="E1207" s="633" t="s">
        <v>4664</v>
      </c>
      <c r="F1207" s="825" t="s">
        <v>4665</v>
      </c>
      <c r="G1207" s="633" t="s">
        <v>156</v>
      </c>
      <c r="H1207" s="633" t="s">
        <v>102</v>
      </c>
      <c r="I1207" s="826">
        <v>1500</v>
      </c>
      <c r="J1207" s="633">
        <v>0</v>
      </c>
      <c r="K1207" s="633">
        <v>4</v>
      </c>
      <c r="L1207" s="827">
        <f t="shared" si="381"/>
        <v>375</v>
      </c>
      <c r="M1207" s="828">
        <v>46197</v>
      </c>
      <c r="N1207" s="828">
        <v>46193</v>
      </c>
      <c r="O1207" s="824"/>
      <c r="P1207" s="633" t="s">
        <v>113</v>
      </c>
      <c r="Q1207" s="829">
        <v>46206</v>
      </c>
      <c r="R1207" s="829">
        <v>46164</v>
      </c>
      <c r="S1207" s="829" t="s">
        <v>70</v>
      </c>
      <c r="T1207" s="829" t="s">
        <v>4666</v>
      </c>
      <c r="U1207" s="829"/>
      <c r="V1207" s="829"/>
      <c r="W1207" s="822"/>
      <c r="X1207" s="822" t="s">
        <v>4667</v>
      </c>
      <c r="Y1207" s="831" t="s">
        <v>305</v>
      </c>
      <c r="Z1207" s="1306">
        <v>4.4032</v>
      </c>
      <c r="AA1207" s="831">
        <f t="shared" si="382"/>
        <v>6604.8</v>
      </c>
      <c r="AB1207" s="825"/>
      <c r="AC1207" s="632"/>
      <c r="AD1207" s="633" t="s">
        <v>156</v>
      </c>
      <c r="AE1207" s="633" t="s">
        <v>82</v>
      </c>
      <c r="AF1207" s="633"/>
      <c r="AG1207" s="633"/>
      <c r="AH1207" s="633"/>
      <c r="AI1207" s="822">
        <v>1500</v>
      </c>
      <c r="AJ1207" s="633">
        <f t="shared" si="383"/>
        <v>0</v>
      </c>
      <c r="AK1207" s="633"/>
      <c r="AL1207" s="633" t="s">
        <v>2368</v>
      </c>
      <c r="AM1207" s="825"/>
      <c r="AN1207" s="825">
        <f t="shared" si="387"/>
        <v>1500</v>
      </c>
      <c r="AO1207" s="825"/>
      <c r="AP1207" s="825"/>
      <c r="AQ1207" s="825"/>
      <c r="AR1207" s="825"/>
      <c r="AS1207" s="825">
        <f>I1207</f>
        <v>1500</v>
      </c>
      <c r="AT1207" s="825"/>
      <c r="AU1207" s="825">
        <f t="shared" si="389"/>
        <v>1500</v>
      </c>
      <c r="AV1207" s="825"/>
      <c r="AW1207" s="825">
        <f t="shared" si="386"/>
        <v>1500</v>
      </c>
      <c r="AX1207" s="834"/>
      <c r="AY1207" s="825"/>
      <c r="AZ1207" s="825"/>
      <c r="BA1207" s="825"/>
      <c r="BB1207" s="825"/>
      <c r="BC1207" s="825"/>
      <c r="BD1207" s="825"/>
      <c r="BE1207" s="825"/>
      <c r="BF1207" s="825"/>
      <c r="BG1207" s="825"/>
      <c r="BH1207" s="825"/>
      <c r="BI1207" s="825">
        <f>I1207/4</f>
        <v>375</v>
      </c>
      <c r="BJ1207" s="825"/>
      <c r="BK1207" s="825"/>
      <c r="BL1207" s="825"/>
      <c r="BM1207" s="825"/>
      <c r="BN1207" s="825"/>
      <c r="BO1207" s="825"/>
      <c r="BP1207" s="825"/>
      <c r="BQ1207" s="825"/>
      <c r="BR1207" s="825"/>
      <c r="BS1207" s="825"/>
      <c r="BT1207" s="825"/>
      <c r="BU1207" s="825"/>
      <c r="BV1207" s="825"/>
      <c r="BW1207" s="825"/>
      <c r="BX1207" s="825"/>
      <c r="BY1207" s="825"/>
      <c r="BZ1207" s="825"/>
      <c r="CA1207" s="825"/>
      <c r="CB1207" s="825"/>
      <c r="CC1207" s="825"/>
      <c r="CD1207" s="825"/>
      <c r="CE1207" s="825"/>
      <c r="CF1207" s="825"/>
      <c r="CG1207" s="825"/>
      <c r="CH1207" s="833"/>
      <c r="CI1207" s="833"/>
      <c r="CJ1207" s="833"/>
      <c r="CK1207" s="833"/>
      <c r="CL1207" s="833"/>
      <c r="CM1207" s="825"/>
      <c r="CN1207" s="825"/>
      <c r="CO1207" s="825"/>
      <c r="CP1207" s="833"/>
      <c r="CQ1207" s="833"/>
      <c r="CR1207" s="833"/>
      <c r="CS1207" s="833"/>
      <c r="CT1207" s="833"/>
      <c r="CU1207" s="833"/>
    </row>
    <row r="1208" s="1269" customFormat="1" ht="31" customHeight="1" spans="1:105">
      <c r="A1208" s="821">
        <v>46160</v>
      </c>
      <c r="B1208" s="822" t="s">
        <v>351</v>
      </c>
      <c r="C1208" s="633" t="s">
        <v>98</v>
      </c>
      <c r="D1208" s="825" t="s">
        <v>4668</v>
      </c>
      <c r="E1208" s="633" t="s">
        <v>4669</v>
      </c>
      <c r="F1208" s="825" t="s">
        <v>4670</v>
      </c>
      <c r="G1208" s="633" t="s">
        <v>101</v>
      </c>
      <c r="H1208" s="633" t="s">
        <v>102</v>
      </c>
      <c r="I1208" s="826">
        <v>1400</v>
      </c>
      <c r="J1208" s="633">
        <v>0</v>
      </c>
      <c r="K1208" s="633">
        <v>4</v>
      </c>
      <c r="L1208" s="827">
        <f t="shared" si="381"/>
        <v>350</v>
      </c>
      <c r="M1208" s="828">
        <v>46203</v>
      </c>
      <c r="N1208" s="828">
        <v>46199</v>
      </c>
      <c r="O1208" s="824"/>
      <c r="P1208" s="633" t="s">
        <v>113</v>
      </c>
      <c r="Q1208" s="829">
        <v>46217</v>
      </c>
      <c r="R1208" s="829">
        <v>46160</v>
      </c>
      <c r="S1208" s="829" t="s">
        <v>70</v>
      </c>
      <c r="T1208" s="829" t="s">
        <v>70</v>
      </c>
      <c r="U1208" s="829"/>
      <c r="V1208" s="829"/>
      <c r="W1208" s="822"/>
      <c r="X1208" s="822" t="s">
        <v>4671</v>
      </c>
      <c r="Y1208" s="831" t="s">
        <v>355</v>
      </c>
      <c r="Z1208" s="1306">
        <v>2.7109</v>
      </c>
      <c r="AA1208" s="831">
        <f t="shared" si="382"/>
        <v>3795.26</v>
      </c>
      <c r="AB1208" s="1369"/>
      <c r="AC1208" s="1307" t="s">
        <v>4672</v>
      </c>
      <c r="AD1208" s="633" t="s">
        <v>101</v>
      </c>
      <c r="AE1208" s="633" t="s">
        <v>82</v>
      </c>
      <c r="AF1208" s="633"/>
      <c r="AG1208" s="633"/>
      <c r="AH1208" s="633"/>
      <c r="AI1208" s="822">
        <v>1400</v>
      </c>
      <c r="AJ1208" s="824">
        <f t="shared" si="383"/>
        <v>0</v>
      </c>
      <c r="AK1208" s="633"/>
      <c r="AL1208" s="633"/>
      <c r="AM1208" s="825"/>
      <c r="AN1208" s="825">
        <f t="shared" si="387"/>
        <v>1400</v>
      </c>
      <c r="AO1208" s="825"/>
      <c r="AP1208" s="825"/>
      <c r="AQ1208" s="825"/>
      <c r="AR1208" s="825">
        <f>I1208</f>
        <v>1400</v>
      </c>
      <c r="AS1208" s="825"/>
      <c r="AT1208" s="825"/>
      <c r="AU1208" s="825">
        <f t="shared" si="389"/>
        <v>1400</v>
      </c>
      <c r="AV1208" s="825"/>
      <c r="AW1208" s="825">
        <f t="shared" si="386"/>
        <v>1400</v>
      </c>
      <c r="AX1208" s="834"/>
      <c r="AY1208" s="825"/>
      <c r="AZ1208" s="825"/>
      <c r="BA1208" s="825"/>
      <c r="BB1208" s="825"/>
      <c r="BC1208" s="825"/>
      <c r="BD1208" s="825"/>
      <c r="BE1208" s="825"/>
      <c r="BF1208" s="825"/>
      <c r="BG1208" s="825"/>
      <c r="BH1208" s="825">
        <f>I1208/4</f>
        <v>350</v>
      </c>
      <c r="BI1208" s="825"/>
      <c r="BJ1208" s="825"/>
      <c r="BK1208" s="825"/>
      <c r="BL1208" s="825"/>
      <c r="BM1208" s="825"/>
      <c r="BN1208" s="825"/>
      <c r="BO1208" s="825"/>
      <c r="BP1208" s="1369"/>
      <c r="BQ1208" s="1369"/>
      <c r="BR1208" s="1369"/>
      <c r="BS1208" s="1369"/>
      <c r="BT1208" s="1369"/>
      <c r="BU1208" s="1369"/>
      <c r="BV1208" s="1369"/>
      <c r="BW1208" s="1369"/>
      <c r="BX1208" s="1369"/>
      <c r="BY1208" s="1369"/>
      <c r="BZ1208" s="1369"/>
      <c r="CA1208" s="1369"/>
      <c r="CB1208" s="1369"/>
      <c r="CC1208" s="1369"/>
      <c r="CD1208" s="1369"/>
      <c r="CE1208" s="1369"/>
      <c r="CF1208" s="1369"/>
      <c r="CG1208" s="1369"/>
      <c r="CH1208" s="842"/>
      <c r="CI1208" s="842"/>
      <c r="CJ1208" s="842"/>
      <c r="CK1208" s="842"/>
      <c r="CL1208" s="842"/>
      <c r="CM1208" s="1369"/>
      <c r="CN1208" s="1369"/>
      <c r="CO1208" s="1369"/>
      <c r="CP1208" s="842"/>
      <c r="CQ1208" s="842"/>
      <c r="CR1208" s="842"/>
      <c r="CS1208" s="842"/>
      <c r="CT1208" s="842"/>
      <c r="CU1208" s="842"/>
    </row>
    <row r="1209" s="1269" customFormat="1" ht="31" customHeight="1" spans="1:105">
      <c r="A1209" s="821">
        <v>46160</v>
      </c>
      <c r="B1209" s="822" t="s">
        <v>4673</v>
      </c>
      <c r="C1209" s="633" t="s">
        <v>98</v>
      </c>
      <c r="D1209" s="825" t="s">
        <v>4674</v>
      </c>
      <c r="E1209" s="633" t="s">
        <v>4675</v>
      </c>
      <c r="F1209" s="825" t="s">
        <v>4676</v>
      </c>
      <c r="G1209" s="633" t="s">
        <v>2736</v>
      </c>
      <c r="H1209" s="633" t="s">
        <v>2737</v>
      </c>
      <c r="I1209" s="826">
        <v>120</v>
      </c>
      <c r="J1209" s="633">
        <v>0</v>
      </c>
      <c r="K1209" s="633">
        <v>8</v>
      </c>
      <c r="L1209" s="827">
        <f t="shared" si="381"/>
        <v>15</v>
      </c>
      <c r="M1209" s="828">
        <v>46203</v>
      </c>
      <c r="N1209" s="828">
        <v>46199</v>
      </c>
      <c r="O1209" s="824"/>
      <c r="P1209" s="633" t="s">
        <v>113</v>
      </c>
      <c r="Q1209" s="829">
        <v>46215</v>
      </c>
      <c r="R1209" s="829">
        <v>46170</v>
      </c>
      <c r="S1209" s="829" t="s">
        <v>70</v>
      </c>
      <c r="T1209" s="829" t="s">
        <v>4677</v>
      </c>
      <c r="U1209" s="829"/>
      <c r="V1209" s="829"/>
      <c r="W1209" s="822"/>
      <c r="X1209" s="822" t="s">
        <v>4678</v>
      </c>
      <c r="Y1209" s="831" t="s">
        <v>1723</v>
      </c>
      <c r="Z1209" s="1306">
        <v>4.3989</v>
      </c>
      <c r="AA1209" s="831">
        <f t="shared" si="382"/>
        <v>527.868</v>
      </c>
      <c r="AB1209" s="1369"/>
      <c r="AC1209" s="1307" t="s">
        <v>4679</v>
      </c>
      <c r="AD1209" s="633" t="s">
        <v>2741</v>
      </c>
      <c r="AE1209" s="633" t="s">
        <v>82</v>
      </c>
      <c r="AF1209" s="633"/>
      <c r="AG1209" s="633"/>
      <c r="AH1209" s="633"/>
      <c r="AI1209" s="822"/>
      <c r="AJ1209" s="824">
        <f t="shared" si="383"/>
        <v>-120</v>
      </c>
      <c r="AK1209" s="633"/>
      <c r="AL1209" s="633"/>
      <c r="AM1209" s="825"/>
      <c r="AN1209" s="825">
        <f t="shared" si="387"/>
        <v>120</v>
      </c>
      <c r="AO1209" s="825"/>
      <c r="AP1209" s="825"/>
      <c r="AQ1209" s="825"/>
      <c r="AR1209" s="825">
        <f>I1209</f>
        <v>120</v>
      </c>
      <c r="AS1209" s="825"/>
      <c r="AT1209" s="825"/>
      <c r="AU1209" s="825">
        <f t="shared" si="389"/>
        <v>120</v>
      </c>
      <c r="AV1209" s="825"/>
      <c r="AW1209" s="825">
        <f t="shared" si="386"/>
        <v>120</v>
      </c>
      <c r="AX1209" s="834"/>
      <c r="AY1209" s="825"/>
      <c r="AZ1209" s="825"/>
      <c r="BA1209" s="825"/>
      <c r="BB1209" s="825"/>
      <c r="BC1209" s="825"/>
      <c r="BD1209" s="825"/>
      <c r="BE1209" s="825"/>
      <c r="BF1209" s="825"/>
      <c r="BG1209" s="825"/>
      <c r="BH1209" s="825"/>
      <c r="BI1209" s="825"/>
      <c r="BJ1209" s="825"/>
      <c r="BK1209" s="825"/>
      <c r="BL1209" s="825"/>
      <c r="BM1209" s="825">
        <f>I1209</f>
        <v>120</v>
      </c>
      <c r="BN1209" s="825"/>
      <c r="BO1209" s="825"/>
      <c r="BP1209" s="1369"/>
      <c r="BQ1209" s="1369"/>
      <c r="BR1209" s="1369"/>
      <c r="BS1209" s="1369"/>
      <c r="BT1209" s="1369"/>
      <c r="BU1209" s="1369"/>
      <c r="BV1209" s="1369"/>
      <c r="BW1209" s="1369"/>
      <c r="BX1209" s="1369"/>
      <c r="BY1209" s="1369"/>
      <c r="BZ1209" s="1369"/>
      <c r="CA1209" s="1369"/>
      <c r="CB1209" s="1369"/>
      <c r="CC1209" s="1369"/>
      <c r="CD1209" s="1369"/>
      <c r="CE1209" s="1369"/>
      <c r="CF1209" s="1369"/>
      <c r="CG1209" s="1369"/>
      <c r="CH1209" s="842"/>
      <c r="CI1209" s="842"/>
      <c r="CJ1209" s="842"/>
      <c r="CK1209" s="842"/>
      <c r="CL1209" s="842"/>
      <c r="CM1209" s="1369"/>
      <c r="CN1209" s="1369"/>
      <c r="CO1209" s="1369"/>
      <c r="CP1209" s="842"/>
      <c r="CQ1209" s="842"/>
      <c r="CR1209" s="842"/>
      <c r="CS1209" s="842"/>
      <c r="CT1209" s="842"/>
      <c r="CU1209" s="842"/>
    </row>
    <row r="1210" s="1269" customFormat="1" ht="31" customHeight="1" spans="1:105">
      <c r="A1210" s="821">
        <v>46160</v>
      </c>
      <c r="B1210" s="822" t="s">
        <v>4673</v>
      </c>
      <c r="C1210" s="633" t="s">
        <v>98</v>
      </c>
      <c r="D1210" s="825" t="s">
        <v>4674</v>
      </c>
      <c r="E1210" s="633" t="s">
        <v>4680</v>
      </c>
      <c r="F1210" s="825" t="s">
        <v>4681</v>
      </c>
      <c r="G1210" s="633" t="s">
        <v>2736</v>
      </c>
      <c r="H1210" s="633" t="s">
        <v>2737</v>
      </c>
      <c r="I1210" s="826">
        <v>1544</v>
      </c>
      <c r="J1210" s="633">
        <v>0</v>
      </c>
      <c r="K1210" s="633">
        <v>8</v>
      </c>
      <c r="L1210" s="827">
        <f t="shared" si="381"/>
        <v>193</v>
      </c>
      <c r="M1210" s="828">
        <v>46203</v>
      </c>
      <c r="N1210" s="828">
        <v>46199</v>
      </c>
      <c r="O1210" s="824"/>
      <c r="P1210" s="633" t="s">
        <v>113</v>
      </c>
      <c r="Q1210" s="829">
        <v>46215</v>
      </c>
      <c r="R1210" s="829">
        <v>46170</v>
      </c>
      <c r="S1210" s="829" t="s">
        <v>70</v>
      </c>
      <c r="T1210" s="829" t="s">
        <v>4677</v>
      </c>
      <c r="U1210" s="829"/>
      <c r="V1210" s="829"/>
      <c r="W1210" s="822"/>
      <c r="X1210" s="822" t="s">
        <v>4678</v>
      </c>
      <c r="Y1210" s="831" t="s">
        <v>1723</v>
      </c>
      <c r="Z1210" s="1306">
        <v>4.1272</v>
      </c>
      <c r="AA1210" s="831">
        <f t="shared" si="382"/>
        <v>6372.3968</v>
      </c>
      <c r="AB1210" s="1369"/>
      <c r="AC1210" s="1307" t="s">
        <v>4682</v>
      </c>
      <c r="AD1210" s="633" t="s">
        <v>2741</v>
      </c>
      <c r="AE1210" s="633" t="s">
        <v>82</v>
      </c>
      <c r="AF1210" s="633"/>
      <c r="AG1210" s="633"/>
      <c r="AH1210" s="633"/>
      <c r="AI1210" s="822"/>
      <c r="AJ1210" s="824">
        <f t="shared" si="383"/>
        <v>-1544</v>
      </c>
      <c r="AK1210" s="633"/>
      <c r="AL1210" s="633"/>
      <c r="AM1210" s="825"/>
      <c r="AN1210" s="825">
        <f t="shared" si="387"/>
        <v>1544</v>
      </c>
      <c r="AO1210" s="825"/>
      <c r="AP1210" s="825"/>
      <c r="AQ1210" s="825"/>
      <c r="AR1210" s="825">
        <f>I1210</f>
        <v>1544</v>
      </c>
      <c r="AS1210" s="825"/>
      <c r="AT1210" s="825"/>
      <c r="AU1210" s="825">
        <f t="shared" si="389"/>
        <v>1544</v>
      </c>
      <c r="AV1210" s="825"/>
      <c r="AW1210" s="825">
        <f t="shared" si="386"/>
        <v>1544</v>
      </c>
      <c r="AX1210" s="834"/>
      <c r="AY1210" s="825"/>
      <c r="AZ1210" s="825"/>
      <c r="BA1210" s="825"/>
      <c r="BB1210" s="825"/>
      <c r="BC1210" s="825"/>
      <c r="BD1210" s="825"/>
      <c r="BE1210" s="825"/>
      <c r="BF1210" s="825"/>
      <c r="BG1210" s="825"/>
      <c r="BH1210" s="825"/>
      <c r="BI1210" s="825"/>
      <c r="BJ1210" s="825"/>
      <c r="BK1210" s="825"/>
      <c r="BL1210" s="825"/>
      <c r="BM1210" s="825">
        <f>I1210</f>
        <v>1544</v>
      </c>
      <c r="BN1210" s="825"/>
      <c r="BO1210" s="825"/>
      <c r="BP1210" s="1369"/>
      <c r="BQ1210" s="1369"/>
      <c r="BR1210" s="1369"/>
      <c r="BS1210" s="1369"/>
      <c r="BT1210" s="1369"/>
      <c r="BU1210" s="1369"/>
      <c r="BV1210" s="1369"/>
      <c r="BW1210" s="1369"/>
      <c r="BX1210" s="1369"/>
      <c r="BY1210" s="1369"/>
      <c r="BZ1210" s="1369"/>
      <c r="CA1210" s="1369"/>
      <c r="CB1210" s="1369"/>
      <c r="CC1210" s="1369"/>
      <c r="CD1210" s="1369"/>
      <c r="CE1210" s="1369"/>
      <c r="CF1210" s="1369"/>
      <c r="CG1210" s="1369"/>
      <c r="CH1210" s="842"/>
      <c r="CI1210" s="842"/>
      <c r="CJ1210" s="842"/>
      <c r="CK1210" s="842"/>
      <c r="CL1210" s="842"/>
      <c r="CM1210" s="1369"/>
      <c r="CN1210" s="1369"/>
      <c r="CO1210" s="1369"/>
      <c r="CP1210" s="842"/>
      <c r="CQ1210" s="842"/>
      <c r="CR1210" s="842"/>
      <c r="CS1210" s="842"/>
      <c r="CT1210" s="842"/>
      <c r="CU1210" s="842"/>
    </row>
    <row r="1211" s="1269" customFormat="1" ht="31" customHeight="1" spans="1:105">
      <c r="A1211" s="821">
        <v>46160</v>
      </c>
      <c r="B1211" s="822" t="s">
        <v>4673</v>
      </c>
      <c r="C1211" s="633" t="s">
        <v>98</v>
      </c>
      <c r="D1211" s="825" t="s">
        <v>4674</v>
      </c>
      <c r="E1211" s="633" t="s">
        <v>4683</v>
      </c>
      <c r="F1211" s="825" t="s">
        <v>4684</v>
      </c>
      <c r="G1211" s="633" t="s">
        <v>2736</v>
      </c>
      <c r="H1211" s="633" t="s">
        <v>2737</v>
      </c>
      <c r="I1211" s="826">
        <v>736</v>
      </c>
      <c r="J1211" s="633">
        <v>0</v>
      </c>
      <c r="K1211" s="633">
        <v>8</v>
      </c>
      <c r="L1211" s="827">
        <f t="shared" si="381"/>
        <v>92</v>
      </c>
      <c r="M1211" s="828">
        <v>46203</v>
      </c>
      <c r="N1211" s="828">
        <v>46199</v>
      </c>
      <c r="O1211" s="824"/>
      <c r="P1211" s="633" t="s">
        <v>113</v>
      </c>
      <c r="Q1211" s="829">
        <v>46215</v>
      </c>
      <c r="R1211" s="829">
        <v>46170</v>
      </c>
      <c r="S1211" s="829" t="s">
        <v>70</v>
      </c>
      <c r="T1211" s="829" t="s">
        <v>4677</v>
      </c>
      <c r="U1211" s="829"/>
      <c r="V1211" s="829"/>
      <c r="W1211" s="822"/>
      <c r="X1211" s="822" t="s">
        <v>4678</v>
      </c>
      <c r="Y1211" s="831" t="s">
        <v>1723</v>
      </c>
      <c r="Z1211" s="1306">
        <v>4.33</v>
      </c>
      <c r="AA1211" s="831">
        <f t="shared" si="382"/>
        <v>3186.88</v>
      </c>
      <c r="AB1211" s="1369"/>
      <c r="AC1211" s="1307" t="s">
        <v>4685</v>
      </c>
      <c r="AD1211" s="633" t="s">
        <v>2741</v>
      </c>
      <c r="AE1211" s="633" t="s">
        <v>82</v>
      </c>
      <c r="AF1211" s="633"/>
      <c r="AG1211" s="633"/>
      <c r="AH1211" s="633"/>
      <c r="AI1211" s="822"/>
      <c r="AJ1211" s="824">
        <f t="shared" si="383"/>
        <v>-736</v>
      </c>
      <c r="AK1211" s="633"/>
      <c r="AL1211" s="633"/>
      <c r="AM1211" s="825"/>
      <c r="AN1211" s="825">
        <f t="shared" si="387"/>
        <v>736</v>
      </c>
      <c r="AO1211" s="825"/>
      <c r="AP1211" s="825"/>
      <c r="AQ1211" s="825"/>
      <c r="AR1211" s="825">
        <f>I1211</f>
        <v>736</v>
      </c>
      <c r="AS1211" s="825"/>
      <c r="AT1211" s="825"/>
      <c r="AU1211" s="825">
        <f t="shared" si="389"/>
        <v>736</v>
      </c>
      <c r="AV1211" s="825"/>
      <c r="AW1211" s="825">
        <f t="shared" si="386"/>
        <v>736</v>
      </c>
      <c r="AX1211" s="834"/>
      <c r="AY1211" s="825"/>
      <c r="AZ1211" s="825"/>
      <c r="BA1211" s="825"/>
      <c r="BB1211" s="825"/>
      <c r="BC1211" s="825"/>
      <c r="BD1211" s="825"/>
      <c r="BE1211" s="825"/>
      <c r="BF1211" s="825"/>
      <c r="BG1211" s="825"/>
      <c r="BH1211" s="825"/>
      <c r="BI1211" s="825"/>
      <c r="BJ1211" s="825"/>
      <c r="BK1211" s="825"/>
      <c r="BL1211" s="825"/>
      <c r="BM1211" s="825">
        <f>I1211</f>
        <v>736</v>
      </c>
      <c r="BN1211" s="825"/>
      <c r="BO1211" s="825"/>
      <c r="BP1211" s="1369"/>
      <c r="BQ1211" s="1369"/>
      <c r="BR1211" s="1369"/>
      <c r="BS1211" s="1369"/>
      <c r="BT1211" s="1369"/>
      <c r="BU1211" s="1369"/>
      <c r="BV1211" s="1369"/>
      <c r="BW1211" s="1369"/>
      <c r="BX1211" s="1369"/>
      <c r="BY1211" s="1369"/>
      <c r="BZ1211" s="1369"/>
      <c r="CA1211" s="1369"/>
      <c r="CB1211" s="1369"/>
      <c r="CC1211" s="1369"/>
      <c r="CD1211" s="1369"/>
      <c r="CE1211" s="1369"/>
      <c r="CF1211" s="1369"/>
      <c r="CG1211" s="1369"/>
      <c r="CH1211" s="842"/>
      <c r="CI1211" s="842"/>
      <c r="CJ1211" s="842"/>
      <c r="CK1211" s="842"/>
      <c r="CL1211" s="842"/>
      <c r="CM1211" s="1369"/>
      <c r="CN1211" s="1369"/>
      <c r="CO1211" s="1369"/>
      <c r="CP1211" s="842"/>
      <c r="CQ1211" s="842"/>
      <c r="CR1211" s="842"/>
      <c r="CS1211" s="842"/>
      <c r="CT1211" s="842"/>
      <c r="CU1211" s="842"/>
    </row>
    <row r="1212" s="1267" customFormat="1" ht="31" customHeight="1" spans="1:105">
      <c r="A1212" s="608">
        <v>46148</v>
      </c>
      <c r="B1212" s="609" t="s">
        <v>2362</v>
      </c>
      <c r="C1212" s="610" t="s">
        <v>524</v>
      </c>
      <c r="D1212" s="554" t="s">
        <v>4686</v>
      </c>
      <c r="E1212" s="610" t="s">
        <v>4687</v>
      </c>
      <c r="F1212" s="554" t="s">
        <v>4688</v>
      </c>
      <c r="G1212" s="610" t="s">
        <v>68</v>
      </c>
      <c r="H1212" s="610" t="s">
        <v>69</v>
      </c>
      <c r="I1212" s="715">
        <v>804</v>
      </c>
      <c r="J1212" s="610">
        <v>0</v>
      </c>
      <c r="K1212" s="610">
        <v>12</v>
      </c>
      <c r="L1212" s="611">
        <f t="shared" si="381"/>
        <v>67</v>
      </c>
      <c r="M1212" s="612">
        <v>46195</v>
      </c>
      <c r="N1212" s="724">
        <v>46205</v>
      </c>
      <c r="O1212" s="613"/>
      <c r="P1212" s="610" t="s">
        <v>113</v>
      </c>
      <c r="Q1212" s="614">
        <v>46226</v>
      </c>
      <c r="R1212" s="614">
        <v>46171</v>
      </c>
      <c r="S1212" s="614" t="s">
        <v>70</v>
      </c>
      <c r="T1212" s="614" t="s">
        <v>4689</v>
      </c>
      <c r="U1212" s="614"/>
      <c r="V1212" s="614"/>
      <c r="W1212" s="609"/>
      <c r="X1212" s="609" t="s">
        <v>4690</v>
      </c>
      <c r="Y1212" s="616" t="s">
        <v>529</v>
      </c>
      <c r="Z1212" s="625">
        <v>4.2622</v>
      </c>
      <c r="AA1212" s="616">
        <f t="shared" si="382"/>
        <v>3426.8088</v>
      </c>
      <c r="AB1212" s="554"/>
      <c r="AC1212" s="617"/>
      <c r="AD1212" s="610" t="s">
        <v>184</v>
      </c>
      <c r="AE1212" s="610" t="s">
        <v>82</v>
      </c>
      <c r="AF1212" s="610"/>
      <c r="AG1212" s="610"/>
      <c r="AH1212" s="610"/>
      <c r="AI1212" s="609">
        <v>804</v>
      </c>
      <c r="AJ1212" s="610">
        <f t="shared" si="383"/>
        <v>0</v>
      </c>
      <c r="AK1212" s="610"/>
      <c r="AL1212" s="610" t="s">
        <v>2368</v>
      </c>
      <c r="AM1212" s="554"/>
      <c r="AN1212" s="554">
        <f t="shared" si="387"/>
        <v>804</v>
      </c>
      <c r="AO1212" s="554"/>
      <c r="AP1212" s="554"/>
      <c r="AQ1212" s="554"/>
      <c r="AR1212" s="554"/>
      <c r="AS1212" s="554">
        <f>I1212</f>
        <v>804</v>
      </c>
      <c r="AT1212" s="554"/>
      <c r="AU1212" s="554">
        <f t="shared" si="389"/>
        <v>804</v>
      </c>
      <c r="AV1212" s="554"/>
      <c r="AW1212" s="554">
        <f t="shared" si="386"/>
        <v>804</v>
      </c>
      <c r="AX1212" s="714"/>
      <c r="AY1212" s="554"/>
      <c r="AZ1212" s="554"/>
      <c r="BA1212" s="554"/>
      <c r="BB1212" s="554"/>
      <c r="BC1212" s="554"/>
      <c r="BD1212" s="554"/>
      <c r="BE1212" s="554"/>
      <c r="BF1212" s="554"/>
      <c r="BG1212" s="554"/>
      <c r="BH1212" s="554"/>
      <c r="BI1212" s="554"/>
      <c r="BJ1212" s="554"/>
      <c r="BK1212" s="554"/>
      <c r="BL1212" s="554"/>
      <c r="BM1212" s="554"/>
      <c r="BN1212" s="554"/>
      <c r="BO1212" s="554"/>
      <c r="BP1212" s="554"/>
      <c r="BQ1212" s="554"/>
      <c r="BR1212" s="554"/>
      <c r="BS1212" s="554"/>
      <c r="BT1212" s="554"/>
      <c r="BU1212" s="554"/>
      <c r="BV1212" s="554"/>
      <c r="BW1212" s="554"/>
      <c r="BX1212" s="554"/>
      <c r="BY1212" s="554"/>
      <c r="BZ1212" s="554"/>
      <c r="CA1212" s="554"/>
      <c r="CB1212" s="554"/>
      <c r="CC1212" s="554"/>
      <c r="CD1212" s="554"/>
      <c r="CE1212" s="554"/>
      <c r="CF1212" s="554"/>
      <c r="CG1212" s="554"/>
      <c r="CH1212" s="619"/>
      <c r="CI1212" s="619"/>
      <c r="CJ1212" s="619"/>
      <c r="CK1212" s="619"/>
      <c r="CL1212" s="619"/>
      <c r="CM1212" s="554"/>
      <c r="CN1212" s="554"/>
      <c r="CO1212" s="554"/>
      <c r="CP1212" s="619"/>
      <c r="CQ1212" s="619"/>
      <c r="CR1212" s="619"/>
      <c r="CS1212" s="619"/>
      <c r="CT1212" s="619"/>
      <c r="CU1212" s="619"/>
    </row>
    <row r="1213" s="1267" customFormat="1" ht="31" customHeight="1" spans="1:105">
      <c r="A1213" s="608">
        <v>46171</v>
      </c>
      <c r="B1213" s="609" t="s">
        <v>4691</v>
      </c>
      <c r="C1213" s="610" t="s">
        <v>154</v>
      </c>
      <c r="D1213" s="554" t="s">
        <v>4692</v>
      </c>
      <c r="E1213" s="610"/>
      <c r="F1213" s="554" t="s">
        <v>4693</v>
      </c>
      <c r="G1213" s="610" t="s">
        <v>111</v>
      </c>
      <c r="H1213" s="610" t="s">
        <v>112</v>
      </c>
      <c r="I1213" s="715">
        <v>512</v>
      </c>
      <c r="J1213" s="610">
        <v>0</v>
      </c>
      <c r="K1213" s="610">
        <v>16</v>
      </c>
      <c r="L1213" s="611">
        <f t="shared" si="381"/>
        <v>32</v>
      </c>
      <c r="M1213" s="612">
        <v>46209</v>
      </c>
      <c r="N1213" s="612">
        <v>46205</v>
      </c>
      <c r="O1213" s="613"/>
      <c r="P1213" s="610" t="s">
        <v>113</v>
      </c>
      <c r="Q1213" s="614"/>
      <c r="R1213" s="614">
        <v>46172</v>
      </c>
      <c r="S1213" s="614" t="s">
        <v>70</v>
      </c>
      <c r="T1213" s="614" t="s">
        <v>4694</v>
      </c>
      <c r="U1213" s="614"/>
      <c r="V1213" s="614"/>
      <c r="W1213" s="609"/>
      <c r="X1213" s="609" t="s">
        <v>4695</v>
      </c>
      <c r="Y1213" s="616" t="s">
        <v>4696</v>
      </c>
      <c r="Z1213" s="625">
        <v>4.47</v>
      </c>
      <c r="AA1213" s="616">
        <f t="shared" si="382"/>
        <v>2288.64</v>
      </c>
      <c r="AB1213" s="554"/>
      <c r="AC1213" s="617"/>
      <c r="AD1213" s="610" t="s">
        <v>447</v>
      </c>
      <c r="AE1213" s="610" t="s">
        <v>82</v>
      </c>
      <c r="AF1213" s="610"/>
      <c r="AG1213" s="610"/>
      <c r="AH1213" s="610"/>
      <c r="AI1213" s="609">
        <v>512</v>
      </c>
      <c r="AJ1213" s="610">
        <f t="shared" si="383"/>
        <v>0</v>
      </c>
      <c r="AK1213" s="610"/>
      <c r="AL1213" s="610" t="s">
        <v>2368</v>
      </c>
      <c r="AM1213" s="554"/>
      <c r="AN1213" s="554">
        <f t="shared" si="387"/>
        <v>512</v>
      </c>
      <c r="AO1213" s="554"/>
      <c r="AP1213" s="554"/>
      <c r="AQ1213" s="554"/>
      <c r="AR1213" s="554"/>
      <c r="AS1213" s="554">
        <f>I1213</f>
        <v>512</v>
      </c>
      <c r="AT1213" s="554"/>
      <c r="AU1213" s="554">
        <f t="shared" si="389"/>
        <v>512</v>
      </c>
      <c r="AV1213" s="554"/>
      <c r="AW1213" s="554">
        <f t="shared" si="386"/>
        <v>512</v>
      </c>
      <c r="AX1213" s="714"/>
      <c r="AY1213" s="554"/>
      <c r="AZ1213" s="554"/>
      <c r="BA1213" s="554"/>
      <c r="BB1213" s="554"/>
      <c r="BC1213" s="554"/>
      <c r="BD1213" s="554"/>
      <c r="BE1213" s="554"/>
      <c r="BF1213" s="554"/>
      <c r="BG1213" s="554"/>
      <c r="BH1213" s="554"/>
      <c r="BI1213" s="554">
        <f>I1213/4</f>
        <v>128</v>
      </c>
      <c r="BJ1213" s="554"/>
      <c r="BK1213" s="554"/>
      <c r="BL1213" s="554"/>
      <c r="BM1213" s="554"/>
      <c r="BN1213" s="554"/>
      <c r="BO1213" s="554"/>
      <c r="BP1213" s="554"/>
      <c r="BQ1213" s="554"/>
      <c r="BR1213" s="554"/>
      <c r="BS1213" s="554"/>
      <c r="BT1213" s="554"/>
      <c r="BU1213" s="554"/>
      <c r="BV1213" s="554"/>
      <c r="BW1213" s="554"/>
      <c r="BX1213" s="554"/>
      <c r="BY1213" s="554"/>
      <c r="BZ1213" s="554"/>
      <c r="CA1213" s="554"/>
      <c r="CB1213" s="554"/>
      <c r="CC1213" s="554"/>
      <c r="CD1213" s="554"/>
      <c r="CE1213" s="554"/>
      <c r="CF1213" s="554"/>
      <c r="CG1213" s="554"/>
      <c r="CH1213" s="619"/>
      <c r="CI1213" s="619"/>
      <c r="CJ1213" s="619"/>
      <c r="CK1213" s="619"/>
      <c r="CL1213" s="619"/>
      <c r="CM1213" s="554"/>
      <c r="CN1213" s="554"/>
      <c r="CO1213" s="554"/>
      <c r="CP1213" s="619"/>
      <c r="CQ1213" s="619"/>
      <c r="CR1213" s="619"/>
      <c r="CS1213" s="619"/>
      <c r="CT1213" s="619"/>
      <c r="CU1213" s="619"/>
    </row>
    <row r="1214" s="1267" customFormat="1" ht="31" customHeight="1" spans="1:105">
      <c r="A1214" s="608">
        <v>46164</v>
      </c>
      <c r="B1214" s="609" t="s">
        <v>4697</v>
      </c>
      <c r="C1214" s="610" t="s">
        <v>2944</v>
      </c>
      <c r="D1214" s="554" t="s">
        <v>4698</v>
      </c>
      <c r="E1214" s="610" t="s">
        <v>3846</v>
      </c>
      <c r="F1214" s="554" t="s">
        <v>4699</v>
      </c>
      <c r="G1214" s="610" t="s">
        <v>111</v>
      </c>
      <c r="H1214" s="610" t="s">
        <v>112</v>
      </c>
      <c r="I1214" s="715">
        <v>512</v>
      </c>
      <c r="J1214" s="610">
        <v>0</v>
      </c>
      <c r="K1214" s="610">
        <v>16</v>
      </c>
      <c r="L1214" s="611">
        <f t="shared" si="381"/>
        <v>32</v>
      </c>
      <c r="M1214" s="612">
        <v>46210</v>
      </c>
      <c r="N1214" s="612">
        <v>46206</v>
      </c>
      <c r="O1214" s="613"/>
      <c r="P1214" s="610" t="s">
        <v>113</v>
      </c>
      <c r="Q1214" s="614">
        <v>46218</v>
      </c>
      <c r="R1214" s="614">
        <v>46171</v>
      </c>
      <c r="S1214" s="614" t="s">
        <v>70</v>
      </c>
      <c r="T1214" s="614" t="s">
        <v>4700</v>
      </c>
      <c r="U1214" s="614"/>
      <c r="V1214" s="614"/>
      <c r="W1214" s="609"/>
      <c r="X1214" s="609" t="s">
        <v>4701</v>
      </c>
      <c r="Y1214" s="616" t="s">
        <v>4702</v>
      </c>
      <c r="Z1214" s="625">
        <v>4.425</v>
      </c>
      <c r="AA1214" s="616">
        <f t="shared" si="382"/>
        <v>2265.6</v>
      </c>
      <c r="AB1214" s="729"/>
      <c r="AC1214" s="617"/>
      <c r="AD1214" s="610" t="s">
        <v>111</v>
      </c>
      <c r="AE1214" s="610" t="s">
        <v>82</v>
      </c>
      <c r="AF1214" s="610"/>
      <c r="AG1214" s="610"/>
      <c r="AH1214" s="610"/>
      <c r="AI1214" s="609">
        <v>512</v>
      </c>
      <c r="AJ1214" s="610">
        <f t="shared" si="383"/>
        <v>0</v>
      </c>
      <c r="AK1214" s="610"/>
      <c r="AL1214" s="610" t="s">
        <v>2368</v>
      </c>
      <c r="AM1214" s="554"/>
      <c r="AN1214" s="554">
        <f t="shared" si="387"/>
        <v>512</v>
      </c>
      <c r="AO1214" s="554"/>
      <c r="AP1214" s="554"/>
      <c r="AQ1214" s="554"/>
      <c r="AR1214" s="554">
        <f>I1214</f>
        <v>512</v>
      </c>
      <c r="AS1214" s="554"/>
      <c r="AT1214" s="554"/>
      <c r="AU1214" s="554">
        <f t="shared" si="389"/>
        <v>512</v>
      </c>
      <c r="AV1214" s="554"/>
      <c r="AW1214" s="554">
        <f t="shared" si="386"/>
        <v>512</v>
      </c>
      <c r="AX1214" s="714"/>
      <c r="AY1214" s="554"/>
      <c r="AZ1214" s="554"/>
      <c r="BA1214" s="554"/>
      <c r="BB1214" s="554"/>
      <c r="BC1214" s="554"/>
      <c r="BD1214" s="554"/>
      <c r="BE1214" s="554"/>
      <c r="BF1214" s="554"/>
      <c r="BG1214" s="554"/>
      <c r="BH1214" s="554">
        <f>I1214/4</f>
        <v>128</v>
      </c>
      <c r="BI1214" s="554"/>
      <c r="BJ1214" s="554"/>
      <c r="BK1214" s="554"/>
      <c r="BL1214" s="554"/>
      <c r="BM1214" s="554"/>
      <c r="BN1214" s="554"/>
      <c r="BO1214" s="554"/>
      <c r="BP1214" s="729"/>
      <c r="BQ1214" s="729"/>
      <c r="BR1214" s="729"/>
      <c r="BS1214" s="729"/>
      <c r="BT1214" s="729"/>
      <c r="BU1214" s="729"/>
      <c r="BV1214" s="729"/>
      <c r="BW1214" s="729"/>
      <c r="BX1214" s="729"/>
      <c r="BY1214" s="729"/>
      <c r="BZ1214" s="729"/>
      <c r="CA1214" s="729"/>
      <c r="CB1214" s="729"/>
      <c r="CC1214" s="729"/>
      <c r="CD1214" s="729"/>
      <c r="CE1214" s="729"/>
      <c r="CF1214" s="729"/>
      <c r="CG1214" s="729"/>
      <c r="CH1214" s="717"/>
      <c r="CI1214" s="717"/>
      <c r="CJ1214" s="717"/>
      <c r="CK1214" s="717"/>
      <c r="CL1214" s="717"/>
      <c r="CM1214" s="729"/>
      <c r="CN1214" s="729"/>
      <c r="CO1214" s="729"/>
      <c r="CP1214" s="717"/>
      <c r="CQ1214" s="717"/>
      <c r="CR1214" s="717"/>
      <c r="CS1214" s="717"/>
      <c r="CT1214" s="717"/>
      <c r="CU1214" s="717"/>
    </row>
    <row r="1215" s="1267" customFormat="1" ht="31" customHeight="1" spans="1:105">
      <c r="A1215" s="608">
        <v>46167</v>
      </c>
      <c r="B1215" s="609" t="s">
        <v>3008</v>
      </c>
      <c r="C1215" s="610" t="s">
        <v>98</v>
      </c>
      <c r="D1215" s="554" t="s">
        <v>4703</v>
      </c>
      <c r="E1215" s="610" t="s">
        <v>4704</v>
      </c>
      <c r="F1215" s="554" t="s">
        <v>4705</v>
      </c>
      <c r="G1215" s="610" t="s">
        <v>68</v>
      </c>
      <c r="H1215" s="610" t="s">
        <v>69</v>
      </c>
      <c r="I1215" s="715">
        <v>5100</v>
      </c>
      <c r="J1215" s="610">
        <v>0</v>
      </c>
      <c r="K1215" s="610">
        <v>12</v>
      </c>
      <c r="L1215" s="611">
        <f t="shared" si="381"/>
        <v>425</v>
      </c>
      <c r="M1215" s="612">
        <v>46211</v>
      </c>
      <c r="N1215" s="612">
        <v>46207</v>
      </c>
      <c r="O1215" s="613"/>
      <c r="P1215" s="610" t="s">
        <v>113</v>
      </c>
      <c r="Q1215" s="614">
        <v>46218</v>
      </c>
      <c r="R1215" s="614">
        <v>46170</v>
      </c>
      <c r="S1215" s="614" t="s">
        <v>104</v>
      </c>
      <c r="T1215" s="614" t="s">
        <v>4706</v>
      </c>
      <c r="U1215" s="614"/>
      <c r="V1215" s="614"/>
      <c r="W1215" s="609"/>
      <c r="X1215" s="609" t="s">
        <v>4707</v>
      </c>
      <c r="Y1215" s="616" t="s">
        <v>4708</v>
      </c>
      <c r="Z1215" s="625">
        <v>2.6207</v>
      </c>
      <c r="AA1215" s="616">
        <f t="shared" si="382"/>
        <v>13365.57</v>
      </c>
      <c r="AB1215" s="554"/>
      <c r="AC1215" s="629" t="s">
        <v>4709</v>
      </c>
      <c r="AD1215" s="610" t="s">
        <v>68</v>
      </c>
      <c r="AE1215" s="610" t="s">
        <v>82</v>
      </c>
      <c r="AF1215" s="610"/>
      <c r="AG1215" s="610"/>
      <c r="AH1215" s="610"/>
      <c r="AI1215" s="609">
        <v>5100</v>
      </c>
      <c r="AJ1215" s="610">
        <f t="shared" si="383"/>
        <v>0</v>
      </c>
      <c r="AK1215" s="610"/>
      <c r="AL1215" s="610" t="s">
        <v>2368</v>
      </c>
      <c r="AM1215" s="554"/>
      <c r="AN1215" s="554">
        <f t="shared" si="387"/>
        <v>5100</v>
      </c>
      <c r="AO1215" s="554"/>
      <c r="AP1215" s="554"/>
      <c r="AQ1215" s="554"/>
      <c r="AR1215" s="554">
        <f>I1215</f>
        <v>5100</v>
      </c>
      <c r="AS1215" s="554"/>
      <c r="AT1215" s="554"/>
      <c r="AU1215" s="554">
        <f t="shared" si="389"/>
        <v>5100</v>
      </c>
      <c r="AV1215" s="554"/>
      <c r="AW1215" s="554">
        <f t="shared" si="386"/>
        <v>5100</v>
      </c>
      <c r="AX1215" s="714"/>
      <c r="AY1215" s="554"/>
      <c r="AZ1215" s="554"/>
      <c r="BA1215" s="554"/>
      <c r="BB1215" s="554"/>
      <c r="BC1215" s="554"/>
      <c r="BD1215" s="554"/>
      <c r="BE1215" s="554"/>
      <c r="BF1215" s="554"/>
      <c r="BG1215" s="554"/>
      <c r="BH1215" s="554"/>
      <c r="BI1215" s="554"/>
      <c r="BJ1215" s="554"/>
      <c r="BK1215" s="554"/>
      <c r="BL1215" s="554"/>
      <c r="BM1215" s="554"/>
      <c r="BN1215" s="554"/>
      <c r="BO1215" s="554"/>
      <c r="BP1215" s="554"/>
      <c r="BQ1215" s="554"/>
      <c r="BR1215" s="554"/>
      <c r="BS1215" s="554"/>
      <c r="BT1215" s="554"/>
      <c r="BU1215" s="554"/>
      <c r="BV1215" s="554"/>
      <c r="BW1215" s="554"/>
      <c r="BX1215" s="554"/>
      <c r="BY1215" s="554"/>
      <c r="BZ1215" s="554"/>
      <c r="CA1215" s="554"/>
      <c r="CB1215" s="554"/>
      <c r="CC1215" s="554"/>
      <c r="CD1215" s="554"/>
      <c r="CE1215" s="554"/>
      <c r="CF1215" s="554"/>
      <c r="CG1215" s="554"/>
      <c r="CH1215" s="619"/>
      <c r="CI1215" s="619"/>
      <c r="CJ1215" s="619"/>
      <c r="CK1215" s="619"/>
      <c r="CL1215" s="619"/>
      <c r="CM1215" s="554"/>
      <c r="CN1215" s="554"/>
      <c r="CO1215" s="554"/>
      <c r="CP1215" s="619"/>
      <c r="CQ1215" s="619"/>
      <c r="CR1215" s="619"/>
      <c r="CS1215" s="619"/>
      <c r="CT1215" s="619"/>
      <c r="CU1215" s="619"/>
    </row>
    <row r="1216" s="1267" customFormat="1" ht="31" customHeight="1" spans="1:105">
      <c r="A1216" s="608">
        <v>46142</v>
      </c>
      <c r="B1216" s="609" t="s">
        <v>4584</v>
      </c>
      <c r="C1216" s="610" t="s">
        <v>399</v>
      </c>
      <c r="D1216" s="554" t="s">
        <v>4710</v>
      </c>
      <c r="E1216" s="610" t="s">
        <v>4711</v>
      </c>
      <c r="F1216" s="554" t="s">
        <v>4712</v>
      </c>
      <c r="G1216" s="610" t="s">
        <v>111</v>
      </c>
      <c r="H1216" s="610" t="s">
        <v>112</v>
      </c>
      <c r="I1216" s="715">
        <v>624</v>
      </c>
      <c r="J1216" s="610">
        <v>0</v>
      </c>
      <c r="K1216" s="610">
        <v>16</v>
      </c>
      <c r="L1216" s="611">
        <f t="shared" si="381"/>
        <v>39</v>
      </c>
      <c r="M1216" s="612">
        <v>46213</v>
      </c>
      <c r="N1216" s="612">
        <v>46209</v>
      </c>
      <c r="O1216" s="613"/>
      <c r="P1216" s="610" t="s">
        <v>113</v>
      </c>
      <c r="Q1216" s="614" t="s">
        <v>4713</v>
      </c>
      <c r="R1216" s="614" t="s">
        <v>4587</v>
      </c>
      <c r="S1216" s="614" t="s">
        <v>70</v>
      </c>
      <c r="T1216" s="614" t="s">
        <v>4588</v>
      </c>
      <c r="U1216" s="614"/>
      <c r="V1216" s="614"/>
      <c r="W1216" s="1351" t="s">
        <v>4589</v>
      </c>
      <c r="X1216" s="609" t="s">
        <v>4714</v>
      </c>
      <c r="Y1216" s="616" t="s">
        <v>4065</v>
      </c>
      <c r="Z1216" s="625">
        <v>4.3564</v>
      </c>
      <c r="AA1216" s="616">
        <f t="shared" si="382"/>
        <v>2718.3936</v>
      </c>
      <c r="AB1216" s="554"/>
      <c r="AC1216" s="617"/>
      <c r="AD1216" s="610" t="s">
        <v>447</v>
      </c>
      <c r="AE1216" s="610" t="s">
        <v>82</v>
      </c>
      <c r="AF1216" s="610"/>
      <c r="AG1216" s="610"/>
      <c r="AH1216" s="610"/>
      <c r="AI1216" s="609">
        <v>624</v>
      </c>
      <c r="AJ1216" s="613">
        <f t="shared" si="383"/>
        <v>0</v>
      </c>
      <c r="AK1216" s="610"/>
      <c r="AL1216" s="610" t="s">
        <v>2368</v>
      </c>
      <c r="AM1216" s="554"/>
      <c r="AN1216" s="554">
        <f t="shared" si="387"/>
        <v>624</v>
      </c>
      <c r="AO1216" s="554"/>
      <c r="AP1216" s="554"/>
      <c r="AQ1216" s="554"/>
      <c r="AR1216" s="554"/>
      <c r="AS1216" s="554">
        <f>I1216</f>
        <v>624</v>
      </c>
      <c r="AT1216" s="554"/>
      <c r="AU1216" s="554">
        <f t="shared" si="389"/>
        <v>624</v>
      </c>
      <c r="AV1216" s="554"/>
      <c r="AW1216" s="554">
        <f t="shared" si="386"/>
        <v>624</v>
      </c>
      <c r="AX1216" s="714"/>
      <c r="AY1216" s="554"/>
      <c r="AZ1216" s="554"/>
      <c r="BA1216" s="554"/>
      <c r="BB1216" s="554"/>
      <c r="BC1216" s="554"/>
      <c r="BD1216" s="554"/>
      <c r="BE1216" s="554"/>
      <c r="BF1216" s="554"/>
      <c r="BG1216" s="554"/>
      <c r="BH1216" s="554"/>
      <c r="BI1216" s="554">
        <f>I1216/4</f>
        <v>156</v>
      </c>
      <c r="BJ1216" s="554"/>
      <c r="BK1216" s="554"/>
      <c r="BL1216" s="554"/>
      <c r="BM1216" s="554"/>
      <c r="BN1216" s="554"/>
      <c r="BO1216" s="554"/>
      <c r="BP1216" s="554"/>
      <c r="BQ1216" s="554"/>
      <c r="BR1216" s="554"/>
      <c r="BS1216" s="554"/>
      <c r="BT1216" s="554"/>
      <c r="BU1216" s="554"/>
      <c r="BV1216" s="554"/>
      <c r="BW1216" s="554"/>
      <c r="BX1216" s="554"/>
      <c r="BY1216" s="554"/>
      <c r="BZ1216" s="554"/>
      <c r="CA1216" s="554"/>
      <c r="CB1216" s="554"/>
      <c r="CC1216" s="554"/>
      <c r="CD1216" s="554"/>
      <c r="CE1216" s="554"/>
      <c r="CF1216" s="554"/>
      <c r="CG1216" s="554"/>
      <c r="CH1216" s="619"/>
      <c r="CI1216" s="619"/>
      <c r="CJ1216" s="619"/>
      <c r="CK1216" s="619"/>
      <c r="CL1216" s="619"/>
      <c r="CM1216" s="554"/>
      <c r="CN1216" s="554"/>
      <c r="CO1216" s="554"/>
      <c r="CP1216" s="619"/>
      <c r="CQ1216" s="619"/>
      <c r="CR1216" s="619"/>
      <c r="CS1216" s="619"/>
      <c r="CT1216" s="619"/>
      <c r="CU1216" s="619"/>
    </row>
    <row r="1217" s="1267" customFormat="1" ht="31" customHeight="1" spans="1:99">
      <c r="A1217" s="608">
        <v>46142</v>
      </c>
      <c r="B1217" s="609" t="s">
        <v>4715</v>
      </c>
      <c r="C1217" s="610" t="s">
        <v>302</v>
      </c>
      <c r="D1217" s="554">
        <v>4500204197</v>
      </c>
      <c r="E1217" s="610" t="s">
        <v>4716</v>
      </c>
      <c r="F1217" s="554" t="s">
        <v>4717</v>
      </c>
      <c r="G1217" s="610" t="s">
        <v>111</v>
      </c>
      <c r="H1217" s="610" t="s">
        <v>112</v>
      </c>
      <c r="I1217" s="715">
        <v>304</v>
      </c>
      <c r="J1217" s="610">
        <v>0</v>
      </c>
      <c r="K1217" s="610">
        <v>16</v>
      </c>
      <c r="L1217" s="611">
        <f t="shared" si="381"/>
        <v>19</v>
      </c>
      <c r="M1217" s="612">
        <v>46213</v>
      </c>
      <c r="N1217" s="612">
        <v>46209</v>
      </c>
      <c r="O1217" s="613"/>
      <c r="P1217" s="610" t="s">
        <v>113</v>
      </c>
      <c r="Q1217" s="614"/>
      <c r="R1217" s="614" t="s">
        <v>4587</v>
      </c>
      <c r="S1217" s="614" t="s">
        <v>70</v>
      </c>
      <c r="T1217" s="614" t="s">
        <v>4588</v>
      </c>
      <c r="U1217" s="614"/>
      <c r="V1217" s="614"/>
      <c r="W1217" s="1351" t="s">
        <v>4589</v>
      </c>
      <c r="X1217" s="609" t="s">
        <v>4718</v>
      </c>
      <c r="Y1217" s="616" t="s">
        <v>4065</v>
      </c>
      <c r="Z1217" s="625">
        <v>4.3125</v>
      </c>
      <c r="AA1217" s="616">
        <f t="shared" ref="AA1217:AA1246" si="391">Z1217*I1217</f>
        <v>1311</v>
      </c>
      <c r="AB1217" s="554"/>
      <c r="AC1217" s="617"/>
      <c r="AD1217" s="610" t="s">
        <v>447</v>
      </c>
      <c r="AE1217" s="610" t="s">
        <v>82</v>
      </c>
      <c r="AF1217" s="610"/>
      <c r="AG1217" s="610"/>
      <c r="AH1217" s="610"/>
      <c r="AI1217" s="609">
        <v>304</v>
      </c>
      <c r="AJ1217" s="613">
        <f t="shared" ref="AJ1217:AJ1251" si="392">AI1217-I1217</f>
        <v>0</v>
      </c>
      <c r="AK1217" s="610"/>
      <c r="AL1217" s="610" t="s">
        <v>2368</v>
      </c>
      <c r="AM1217" s="554"/>
      <c r="AN1217" s="554">
        <f t="shared" si="387"/>
        <v>304</v>
      </c>
      <c r="AO1217" s="554"/>
      <c r="AP1217" s="554"/>
      <c r="AQ1217" s="554"/>
      <c r="AR1217" s="554"/>
      <c r="AS1217" s="554">
        <f>I1217</f>
        <v>304</v>
      </c>
      <c r="AT1217" s="554"/>
      <c r="AU1217" s="554">
        <f t="shared" si="389"/>
        <v>304</v>
      </c>
      <c r="AV1217" s="554"/>
      <c r="AW1217" s="554">
        <f t="shared" si="386"/>
        <v>304</v>
      </c>
      <c r="AX1217" s="714"/>
      <c r="AY1217" s="554"/>
      <c r="AZ1217" s="554"/>
      <c r="BA1217" s="554"/>
      <c r="BB1217" s="554"/>
      <c r="BC1217" s="554"/>
      <c r="BD1217" s="554"/>
      <c r="BE1217" s="554"/>
      <c r="BF1217" s="554"/>
      <c r="BG1217" s="554"/>
      <c r="BH1217" s="554"/>
      <c r="BI1217" s="554">
        <f>I1217/4</f>
        <v>76</v>
      </c>
      <c r="BJ1217" s="554"/>
      <c r="BK1217" s="554"/>
      <c r="BL1217" s="554"/>
      <c r="BM1217" s="554"/>
      <c r="BN1217" s="554"/>
      <c r="BO1217" s="554"/>
      <c r="BP1217" s="554"/>
      <c r="BQ1217" s="554"/>
      <c r="BR1217" s="554"/>
      <c r="BS1217" s="554"/>
      <c r="BT1217" s="554"/>
      <c r="BU1217" s="554"/>
      <c r="BV1217" s="554"/>
      <c r="BW1217" s="554"/>
      <c r="BX1217" s="554"/>
      <c r="BY1217" s="554"/>
      <c r="BZ1217" s="554"/>
      <c r="CA1217" s="554"/>
      <c r="CB1217" s="554"/>
      <c r="CC1217" s="554"/>
      <c r="CD1217" s="554"/>
      <c r="CE1217" s="554"/>
      <c r="CF1217" s="554"/>
      <c r="CG1217" s="554"/>
      <c r="CH1217" s="619"/>
      <c r="CI1217" s="619"/>
      <c r="CJ1217" s="619"/>
      <c r="CK1217" s="619"/>
      <c r="CL1217" s="619"/>
      <c r="CM1217" s="554"/>
      <c r="CN1217" s="554"/>
      <c r="CO1217" s="554"/>
      <c r="CP1217" s="619"/>
      <c r="CQ1217" s="619"/>
      <c r="CR1217" s="619"/>
      <c r="CS1217" s="619"/>
      <c r="CT1217" s="619"/>
      <c r="CU1217" s="619"/>
    </row>
    <row r="1218" s="1267" customFormat="1" ht="31" customHeight="1" spans="1:99">
      <c r="A1218" s="608">
        <v>46142</v>
      </c>
      <c r="B1218" s="609" t="s">
        <v>4719</v>
      </c>
      <c r="C1218" s="610" t="s">
        <v>4720</v>
      </c>
      <c r="D1218" s="554">
        <v>4500204205</v>
      </c>
      <c r="E1218" s="610" t="s">
        <v>4721</v>
      </c>
      <c r="F1218" s="554" t="s">
        <v>4722</v>
      </c>
      <c r="G1218" s="610" t="s">
        <v>111</v>
      </c>
      <c r="H1218" s="610" t="s">
        <v>112</v>
      </c>
      <c r="I1218" s="715">
        <v>320</v>
      </c>
      <c r="J1218" s="610">
        <v>0</v>
      </c>
      <c r="K1218" s="610">
        <v>16</v>
      </c>
      <c r="L1218" s="611">
        <f t="shared" ref="L1218:L1281" si="393">I1218/K1218</f>
        <v>20</v>
      </c>
      <c r="M1218" s="612">
        <v>46213</v>
      </c>
      <c r="N1218" s="612">
        <v>46209</v>
      </c>
      <c r="O1218" s="613"/>
      <c r="P1218" s="610" t="s">
        <v>113</v>
      </c>
      <c r="Q1218" s="614"/>
      <c r="R1218" s="614" t="s">
        <v>4587</v>
      </c>
      <c r="S1218" s="614" t="s">
        <v>70</v>
      </c>
      <c r="T1218" s="614" t="s">
        <v>4588</v>
      </c>
      <c r="U1218" s="614"/>
      <c r="V1218" s="614"/>
      <c r="W1218" s="1351" t="s">
        <v>4589</v>
      </c>
      <c r="X1218" s="609" t="s">
        <v>4723</v>
      </c>
      <c r="Y1218" s="616" t="s">
        <v>4065</v>
      </c>
      <c r="Z1218" s="625">
        <v>4.4494</v>
      </c>
      <c r="AA1218" s="616">
        <f t="shared" si="391"/>
        <v>1423.808</v>
      </c>
      <c r="AB1218" s="554"/>
      <c r="AC1218" s="617"/>
      <c r="AD1218" s="610" t="s">
        <v>447</v>
      </c>
      <c r="AE1218" s="610" t="s">
        <v>82</v>
      </c>
      <c r="AF1218" s="610"/>
      <c r="AG1218" s="610"/>
      <c r="AH1218" s="610"/>
      <c r="AI1218" s="609">
        <v>320</v>
      </c>
      <c r="AJ1218" s="613">
        <f t="shared" si="392"/>
        <v>0</v>
      </c>
      <c r="AK1218" s="610"/>
      <c r="AL1218" s="610" t="s">
        <v>2368</v>
      </c>
      <c r="AM1218" s="554"/>
      <c r="AN1218" s="554">
        <f t="shared" si="387"/>
        <v>320</v>
      </c>
      <c r="AO1218" s="554"/>
      <c r="AP1218" s="554"/>
      <c r="AQ1218" s="554"/>
      <c r="AR1218" s="554"/>
      <c r="AS1218" s="554">
        <f>I1218</f>
        <v>320</v>
      </c>
      <c r="AT1218" s="554"/>
      <c r="AU1218" s="554">
        <f t="shared" si="389"/>
        <v>320</v>
      </c>
      <c r="AV1218" s="554"/>
      <c r="AW1218" s="554">
        <f t="shared" si="386"/>
        <v>320</v>
      </c>
      <c r="AX1218" s="714"/>
      <c r="AY1218" s="554"/>
      <c r="AZ1218" s="554"/>
      <c r="BA1218" s="554"/>
      <c r="BB1218" s="554"/>
      <c r="BC1218" s="554"/>
      <c r="BD1218" s="554"/>
      <c r="BE1218" s="554"/>
      <c r="BF1218" s="554"/>
      <c r="BG1218" s="554"/>
      <c r="BH1218" s="554"/>
      <c r="BI1218" s="554">
        <f>I1218/4</f>
        <v>80</v>
      </c>
      <c r="BJ1218" s="554"/>
      <c r="BK1218" s="554"/>
      <c r="BL1218" s="554"/>
      <c r="BM1218" s="554"/>
      <c r="BN1218" s="554"/>
      <c r="BO1218" s="554"/>
      <c r="BP1218" s="554"/>
      <c r="BQ1218" s="554"/>
      <c r="BR1218" s="554"/>
      <c r="BS1218" s="554"/>
      <c r="BT1218" s="554"/>
      <c r="BU1218" s="554"/>
      <c r="BV1218" s="554"/>
      <c r="BW1218" s="554"/>
      <c r="BX1218" s="554"/>
      <c r="BY1218" s="554"/>
      <c r="BZ1218" s="554"/>
      <c r="CA1218" s="554"/>
      <c r="CB1218" s="554"/>
      <c r="CC1218" s="554"/>
      <c r="CD1218" s="554"/>
      <c r="CE1218" s="554"/>
      <c r="CF1218" s="554"/>
      <c r="CG1218" s="554"/>
      <c r="CH1218" s="619"/>
      <c r="CI1218" s="619"/>
      <c r="CJ1218" s="619"/>
      <c r="CK1218" s="619"/>
      <c r="CL1218" s="619"/>
      <c r="CM1218" s="554"/>
      <c r="CN1218" s="554"/>
      <c r="CO1218" s="554"/>
      <c r="CP1218" s="619"/>
      <c r="CQ1218" s="619"/>
      <c r="CR1218" s="619"/>
      <c r="CS1218" s="619"/>
      <c r="CT1218" s="619"/>
      <c r="CU1218" s="619"/>
    </row>
    <row r="1219" s="1267" customFormat="1" ht="31" customHeight="1" spans="1:99">
      <c r="A1219" s="608">
        <v>46177</v>
      </c>
      <c r="B1219" s="609" t="s">
        <v>4724</v>
      </c>
      <c r="C1219" s="610" t="s">
        <v>212</v>
      </c>
      <c r="D1219" s="554">
        <v>4500210768</v>
      </c>
      <c r="E1219" s="610" t="s">
        <v>4725</v>
      </c>
      <c r="F1219" s="554" t="s">
        <v>4726</v>
      </c>
      <c r="G1219" s="610" t="s">
        <v>111</v>
      </c>
      <c r="H1219" s="610" t="s">
        <v>112</v>
      </c>
      <c r="I1219" s="715">
        <v>1200</v>
      </c>
      <c r="J1219" s="610">
        <v>0</v>
      </c>
      <c r="K1219" s="610">
        <v>16</v>
      </c>
      <c r="L1219" s="611">
        <f t="shared" si="393"/>
        <v>75</v>
      </c>
      <c r="M1219" s="612">
        <v>46216</v>
      </c>
      <c r="N1219" s="612">
        <v>46212</v>
      </c>
      <c r="O1219" s="613"/>
      <c r="P1219" s="610" t="s">
        <v>113</v>
      </c>
      <c r="Q1219" s="614"/>
      <c r="R1219" s="614">
        <v>46178</v>
      </c>
      <c r="S1219" s="614" t="s">
        <v>70</v>
      </c>
      <c r="T1219" s="614" t="s">
        <v>4727</v>
      </c>
      <c r="U1219" s="614"/>
      <c r="V1219" s="614"/>
      <c r="W1219" s="609"/>
      <c r="X1219" s="609" t="s">
        <v>4728</v>
      </c>
      <c r="Y1219" s="616" t="s">
        <v>3527</v>
      </c>
      <c r="Z1219" s="625">
        <v>4.425</v>
      </c>
      <c r="AA1219" s="616">
        <f t="shared" si="391"/>
        <v>5310</v>
      </c>
      <c r="AB1219" s="554"/>
      <c r="AC1219" s="617"/>
      <c r="AD1219" s="610" t="s">
        <v>111</v>
      </c>
      <c r="AE1219" s="610" t="s">
        <v>82</v>
      </c>
      <c r="AF1219" s="610"/>
      <c r="AG1219" s="610"/>
      <c r="AH1219" s="610"/>
      <c r="AI1219" s="610">
        <v>1200</v>
      </c>
      <c r="AJ1219" s="613">
        <f t="shared" si="392"/>
        <v>0</v>
      </c>
      <c r="AK1219" s="610"/>
      <c r="AL1219" s="610" t="s">
        <v>2368</v>
      </c>
      <c r="AM1219" s="554"/>
      <c r="AN1219" s="554">
        <f t="shared" si="387"/>
        <v>1200</v>
      </c>
      <c r="AO1219" s="554"/>
      <c r="AP1219" s="554"/>
      <c r="AQ1219" s="554"/>
      <c r="AR1219" s="554">
        <f>I1219</f>
        <v>1200</v>
      </c>
      <c r="AS1219" s="554"/>
      <c r="AT1219" s="554"/>
      <c r="AU1219" s="554">
        <f t="shared" si="389"/>
        <v>1200</v>
      </c>
      <c r="AV1219" s="554"/>
      <c r="AW1219" s="554">
        <f t="shared" si="386"/>
        <v>1200</v>
      </c>
      <c r="AX1219" s="714"/>
      <c r="AY1219" s="554"/>
      <c r="AZ1219" s="554"/>
      <c r="BA1219" s="554"/>
      <c r="BB1219" s="554"/>
      <c r="BC1219" s="554"/>
      <c r="BD1219" s="554"/>
      <c r="BE1219" s="554"/>
      <c r="BF1219" s="554"/>
      <c r="BG1219" s="554"/>
      <c r="BH1219" s="554">
        <f>I1219/4</f>
        <v>300</v>
      </c>
      <c r="BI1219" s="554"/>
      <c r="BJ1219" s="554"/>
      <c r="BK1219" s="554"/>
      <c r="BL1219" s="554"/>
      <c r="BM1219" s="554"/>
      <c r="BN1219" s="554"/>
      <c r="BO1219" s="554"/>
      <c r="BP1219" s="554"/>
      <c r="BQ1219" s="554"/>
      <c r="BR1219" s="554"/>
      <c r="BS1219" s="554"/>
      <c r="BT1219" s="554"/>
      <c r="BU1219" s="554"/>
      <c r="BV1219" s="554"/>
      <c r="BW1219" s="554"/>
      <c r="BX1219" s="554"/>
      <c r="BY1219" s="554"/>
      <c r="BZ1219" s="554"/>
      <c r="CA1219" s="554"/>
      <c r="CB1219" s="554"/>
      <c r="CC1219" s="554"/>
      <c r="CD1219" s="554"/>
      <c r="CE1219" s="554"/>
      <c r="CF1219" s="554"/>
      <c r="CG1219" s="554"/>
      <c r="CH1219" s="619"/>
      <c r="CI1219" s="619"/>
      <c r="CJ1219" s="619"/>
      <c r="CK1219" s="619"/>
      <c r="CL1219" s="619"/>
      <c r="CM1219" s="554"/>
      <c r="CN1219" s="554"/>
      <c r="CO1219" s="554"/>
      <c r="CP1219" s="619"/>
      <c r="CQ1219" s="619"/>
      <c r="CR1219" s="619"/>
      <c r="CS1219" s="619"/>
      <c r="CT1219" s="619"/>
      <c r="CU1219" s="619"/>
    </row>
    <row r="1220" s="1267" customFormat="1" ht="31" customHeight="1" spans="1:99">
      <c r="A1220" s="608">
        <v>46142</v>
      </c>
      <c r="B1220" s="609" t="s">
        <v>4584</v>
      </c>
      <c r="C1220" s="610" t="s">
        <v>399</v>
      </c>
      <c r="D1220" s="554" t="s">
        <v>4729</v>
      </c>
      <c r="E1220" s="610" t="s">
        <v>4730</v>
      </c>
      <c r="F1220" s="554" t="s">
        <v>4731</v>
      </c>
      <c r="G1220" s="610" t="s">
        <v>111</v>
      </c>
      <c r="H1220" s="610" t="s">
        <v>112</v>
      </c>
      <c r="I1220" s="715">
        <v>448</v>
      </c>
      <c r="J1220" s="610">
        <v>0</v>
      </c>
      <c r="K1220" s="610">
        <v>16</v>
      </c>
      <c r="L1220" s="611">
        <f t="shared" si="393"/>
        <v>28</v>
      </c>
      <c r="M1220" s="612">
        <v>46219</v>
      </c>
      <c r="N1220" s="612">
        <v>46216</v>
      </c>
      <c r="O1220" s="613"/>
      <c r="P1220" s="610" t="s">
        <v>113</v>
      </c>
      <c r="Q1220" s="614"/>
      <c r="R1220" s="614" t="s">
        <v>4587</v>
      </c>
      <c r="S1220" s="614" t="s">
        <v>70</v>
      </c>
      <c r="T1220" s="614" t="s">
        <v>4588</v>
      </c>
      <c r="U1220" s="614"/>
      <c r="V1220" s="614"/>
      <c r="W1220" s="1351" t="s">
        <v>4589</v>
      </c>
      <c r="X1220" s="609" t="s">
        <v>4732</v>
      </c>
      <c r="Y1220" s="616" t="s">
        <v>4065</v>
      </c>
      <c r="Z1220" s="625">
        <v>4.3125</v>
      </c>
      <c r="AA1220" s="616">
        <f t="shared" si="391"/>
        <v>1932</v>
      </c>
      <c r="AB1220" s="554"/>
      <c r="AC1220" s="617"/>
      <c r="AD1220" s="610" t="s">
        <v>447</v>
      </c>
      <c r="AE1220" s="610" t="s">
        <v>82</v>
      </c>
      <c r="AF1220" s="610"/>
      <c r="AG1220" s="610"/>
      <c r="AH1220" s="610"/>
      <c r="AI1220" s="609">
        <v>448</v>
      </c>
      <c r="AJ1220" s="613">
        <f t="shared" si="392"/>
        <v>0</v>
      </c>
      <c r="AK1220" s="610"/>
      <c r="AL1220" s="610" t="s">
        <v>2368</v>
      </c>
      <c r="AM1220" s="554"/>
      <c r="AN1220" s="554">
        <f t="shared" si="387"/>
        <v>448</v>
      </c>
      <c r="AO1220" s="554"/>
      <c r="AP1220" s="554"/>
      <c r="AQ1220" s="554"/>
      <c r="AR1220" s="554"/>
      <c r="AS1220" s="554">
        <f>I1220</f>
        <v>448</v>
      </c>
      <c r="AT1220" s="554"/>
      <c r="AU1220" s="554">
        <f t="shared" si="389"/>
        <v>448</v>
      </c>
      <c r="AV1220" s="554"/>
      <c r="AW1220" s="554">
        <f t="shared" si="386"/>
        <v>448</v>
      </c>
      <c r="AX1220" s="714"/>
      <c r="AY1220" s="554"/>
      <c r="AZ1220" s="554"/>
      <c r="BA1220" s="554"/>
      <c r="BB1220" s="554"/>
      <c r="BC1220" s="554"/>
      <c r="BD1220" s="554"/>
      <c r="BE1220" s="554"/>
      <c r="BF1220" s="554"/>
      <c r="BG1220" s="554"/>
      <c r="BH1220" s="554"/>
      <c r="BI1220" s="554">
        <f>I1220/4</f>
        <v>112</v>
      </c>
      <c r="BJ1220" s="554"/>
      <c r="BK1220" s="554"/>
      <c r="BL1220" s="554"/>
      <c r="BM1220" s="554"/>
      <c r="BN1220" s="554"/>
      <c r="BO1220" s="554"/>
      <c r="BP1220" s="554"/>
      <c r="BQ1220" s="554"/>
      <c r="BR1220" s="554"/>
      <c r="BS1220" s="554"/>
      <c r="BT1220" s="554"/>
      <c r="BU1220" s="554"/>
      <c r="BV1220" s="554"/>
      <c r="BW1220" s="554"/>
      <c r="BX1220" s="554"/>
      <c r="BY1220" s="554"/>
      <c r="BZ1220" s="554"/>
      <c r="CA1220" s="554"/>
      <c r="CB1220" s="554"/>
      <c r="CC1220" s="554"/>
      <c r="CD1220" s="554"/>
      <c r="CE1220" s="554"/>
      <c r="CF1220" s="554"/>
      <c r="CG1220" s="554"/>
      <c r="CH1220" s="619"/>
      <c r="CI1220" s="619"/>
      <c r="CJ1220" s="619"/>
      <c r="CK1220" s="619"/>
      <c r="CL1220" s="619"/>
      <c r="CM1220" s="554"/>
      <c r="CN1220" s="554"/>
      <c r="CO1220" s="554"/>
      <c r="CP1220" s="619"/>
      <c r="CQ1220" s="619"/>
      <c r="CR1220" s="619"/>
      <c r="CS1220" s="619"/>
      <c r="CT1220" s="619"/>
      <c r="CU1220" s="619"/>
    </row>
    <row r="1221" s="1267" customFormat="1" ht="31" customHeight="1" spans="1:99">
      <c r="A1221" s="608">
        <v>46169</v>
      </c>
      <c r="B1221" s="609" t="s">
        <v>312</v>
      </c>
      <c r="C1221" s="610" t="s">
        <v>278</v>
      </c>
      <c r="D1221" s="846" t="s">
        <v>4733</v>
      </c>
      <c r="E1221" s="610" t="s">
        <v>4734</v>
      </c>
      <c r="F1221" s="554" t="s">
        <v>4735</v>
      </c>
      <c r="G1221" s="610" t="s">
        <v>111</v>
      </c>
      <c r="H1221" s="610" t="s">
        <v>112</v>
      </c>
      <c r="I1221" s="715">
        <v>3488</v>
      </c>
      <c r="J1221" s="610">
        <v>0</v>
      </c>
      <c r="K1221" s="610">
        <v>16</v>
      </c>
      <c r="L1221" s="611">
        <f t="shared" si="393"/>
        <v>218</v>
      </c>
      <c r="M1221" s="612">
        <v>46220</v>
      </c>
      <c r="N1221" s="612">
        <v>46216</v>
      </c>
      <c r="O1221" s="613"/>
      <c r="P1221" s="610" t="s">
        <v>113</v>
      </c>
      <c r="Q1221" s="614">
        <v>46223</v>
      </c>
      <c r="R1221" s="614">
        <v>46176</v>
      </c>
      <c r="S1221" s="614" t="s">
        <v>70</v>
      </c>
      <c r="T1221" s="614" t="s">
        <v>4736</v>
      </c>
      <c r="U1221" s="614"/>
      <c r="V1221" s="213" t="s">
        <v>4737</v>
      </c>
      <c r="W1221" s="609"/>
      <c r="X1221" s="609" t="s">
        <v>4738</v>
      </c>
      <c r="Y1221" s="616" t="s">
        <v>1894</v>
      </c>
      <c r="Z1221" s="625">
        <v>4.4644</v>
      </c>
      <c r="AA1221" s="616">
        <f t="shared" si="391"/>
        <v>15571.8272</v>
      </c>
      <c r="AB1221" s="554"/>
      <c r="AC1221" s="617"/>
      <c r="AD1221" s="610" t="s">
        <v>111</v>
      </c>
      <c r="AE1221" s="610" t="s">
        <v>82</v>
      </c>
      <c r="AF1221" s="610"/>
      <c r="AG1221" s="610"/>
      <c r="AH1221" s="610"/>
      <c r="AI1221" s="609">
        <f>3472+16</f>
        <v>3488</v>
      </c>
      <c r="AJ1221" s="610">
        <f t="shared" si="392"/>
        <v>0</v>
      </c>
      <c r="AK1221" s="610"/>
      <c r="AL1221" s="610" t="s">
        <v>2368</v>
      </c>
      <c r="AM1221" s="554"/>
      <c r="AN1221" s="554">
        <f t="shared" si="387"/>
        <v>3488</v>
      </c>
      <c r="AO1221" s="554"/>
      <c r="AP1221" s="554"/>
      <c r="AQ1221" s="554"/>
      <c r="AR1221" s="554">
        <f>I1221</f>
        <v>3488</v>
      </c>
      <c r="AS1221" s="554"/>
      <c r="AT1221" s="554"/>
      <c r="AU1221" s="554">
        <f t="shared" si="389"/>
        <v>3488</v>
      </c>
      <c r="AV1221" s="554"/>
      <c r="AW1221" s="554">
        <f t="shared" si="386"/>
        <v>3488</v>
      </c>
      <c r="AX1221" s="714"/>
      <c r="AY1221" s="554"/>
      <c r="AZ1221" s="554"/>
      <c r="BA1221" s="554"/>
      <c r="BB1221" s="554"/>
      <c r="BC1221" s="554"/>
      <c r="BD1221" s="554"/>
      <c r="BE1221" s="554"/>
      <c r="BF1221" s="554"/>
      <c r="BG1221" s="554"/>
      <c r="BH1221" s="554">
        <f>I1221/4</f>
        <v>872</v>
      </c>
      <c r="BI1221" s="554"/>
      <c r="BJ1221" s="554"/>
      <c r="BK1221" s="554"/>
      <c r="BL1221" s="554"/>
      <c r="BM1221" s="554"/>
      <c r="BN1221" s="554"/>
      <c r="BO1221" s="554"/>
      <c r="BP1221" s="554"/>
      <c r="BQ1221" s="554"/>
      <c r="BR1221" s="554"/>
      <c r="BS1221" s="554"/>
      <c r="BT1221" s="554"/>
      <c r="BU1221" s="554"/>
      <c r="BV1221" s="554"/>
      <c r="BW1221" s="554"/>
      <c r="BX1221" s="554"/>
      <c r="BY1221" s="554"/>
      <c r="BZ1221" s="554"/>
      <c r="CA1221" s="554"/>
      <c r="CB1221" s="554"/>
      <c r="CC1221" s="554"/>
      <c r="CD1221" s="554"/>
      <c r="CE1221" s="554"/>
      <c r="CF1221" s="554"/>
      <c r="CG1221" s="554"/>
      <c r="CH1221" s="619"/>
      <c r="CI1221" s="619"/>
      <c r="CJ1221" s="619"/>
      <c r="CK1221" s="619"/>
      <c r="CL1221" s="619"/>
      <c r="CM1221" s="554"/>
      <c r="CN1221" s="554"/>
      <c r="CO1221" s="554"/>
      <c r="CP1221" s="619"/>
      <c r="CQ1221" s="619"/>
      <c r="CR1221" s="619"/>
      <c r="CS1221" s="619"/>
      <c r="CT1221" s="619"/>
      <c r="CU1221" s="619"/>
    </row>
    <row r="1222" s="1267" customFormat="1" ht="31" customHeight="1" spans="1:99">
      <c r="A1222" s="608">
        <v>46154</v>
      </c>
      <c r="B1222" s="609" t="s">
        <v>3407</v>
      </c>
      <c r="C1222" s="610" t="s">
        <v>170</v>
      </c>
      <c r="D1222" s="554" t="s">
        <v>4739</v>
      </c>
      <c r="E1222" s="610" t="s">
        <v>4740</v>
      </c>
      <c r="F1222" s="554" t="s">
        <v>4741</v>
      </c>
      <c r="G1222" s="610" t="s">
        <v>68</v>
      </c>
      <c r="H1222" s="610" t="s">
        <v>69</v>
      </c>
      <c r="I1222" s="715">
        <v>72</v>
      </c>
      <c r="J1222" s="610">
        <v>0</v>
      </c>
      <c r="K1222" s="610">
        <v>12</v>
      </c>
      <c r="L1222" s="611">
        <f t="shared" si="393"/>
        <v>6</v>
      </c>
      <c r="M1222" s="612">
        <v>46204</v>
      </c>
      <c r="N1222" s="724">
        <v>46204</v>
      </c>
      <c r="O1222" s="613"/>
      <c r="P1222" s="610" t="s">
        <v>113</v>
      </c>
      <c r="Q1222" s="614">
        <v>46213</v>
      </c>
      <c r="R1222" s="614">
        <v>46154</v>
      </c>
      <c r="S1222" s="614" t="s">
        <v>104</v>
      </c>
      <c r="T1222" s="614" t="s">
        <v>4742</v>
      </c>
      <c r="U1222" s="614"/>
      <c r="V1222" s="614"/>
      <c r="W1222" s="609"/>
      <c r="X1222" s="609" t="s">
        <v>4743</v>
      </c>
      <c r="Y1222" s="616" t="s">
        <v>1507</v>
      </c>
      <c r="Z1222" s="625">
        <v>4.2622</v>
      </c>
      <c r="AA1222" s="616">
        <f t="shared" si="391"/>
        <v>306.8784</v>
      </c>
      <c r="AB1222" s="554"/>
      <c r="AC1222" s="617"/>
      <c r="AD1222" s="610" t="s">
        <v>184</v>
      </c>
      <c r="AE1222" s="610" t="s">
        <v>82</v>
      </c>
      <c r="AF1222" s="610"/>
      <c r="AG1222" s="610"/>
      <c r="AH1222" s="610"/>
      <c r="AI1222" s="609">
        <v>72</v>
      </c>
      <c r="AJ1222" s="610">
        <f t="shared" si="392"/>
        <v>0</v>
      </c>
      <c r="AK1222" s="610"/>
      <c r="AL1222" s="610" t="s">
        <v>2368</v>
      </c>
      <c r="AM1222" s="554"/>
      <c r="AN1222" s="554">
        <f t="shared" si="387"/>
        <v>72</v>
      </c>
      <c r="AO1222" s="554"/>
      <c r="AP1222" s="554"/>
      <c r="AQ1222" s="554"/>
      <c r="AR1222" s="554"/>
      <c r="AS1222" s="554">
        <f t="shared" ref="AS1222:AS1236" si="394">I1222</f>
        <v>72</v>
      </c>
      <c r="AT1222" s="554"/>
      <c r="AU1222" s="554">
        <f t="shared" ref="AU1222:AU1236" si="395">I1222</f>
        <v>72</v>
      </c>
      <c r="AV1222" s="554"/>
      <c r="AW1222" s="554">
        <f t="shared" ref="AW1222:AW1235" si="396">I1222</f>
        <v>72</v>
      </c>
      <c r="AX1222" s="714"/>
      <c r="AY1222" s="554"/>
      <c r="AZ1222" s="554"/>
      <c r="BA1222" s="554"/>
      <c r="BB1222" s="554"/>
      <c r="BC1222" s="554"/>
      <c r="BD1222" s="554"/>
      <c r="BE1222" s="554"/>
      <c r="BF1222" s="554"/>
      <c r="BG1222" s="554"/>
      <c r="BH1222" s="554"/>
      <c r="BI1222" s="554"/>
      <c r="BJ1222" s="554"/>
      <c r="BK1222" s="554"/>
      <c r="BL1222" s="554"/>
      <c r="BM1222" s="554"/>
      <c r="BN1222" s="554"/>
      <c r="BO1222" s="554"/>
      <c r="BP1222" s="554"/>
      <c r="BQ1222" s="554"/>
      <c r="BR1222" s="554"/>
      <c r="BS1222" s="554"/>
      <c r="BT1222" s="554"/>
      <c r="BU1222" s="554"/>
      <c r="BV1222" s="554"/>
      <c r="BW1222" s="554"/>
      <c r="BX1222" s="554"/>
      <c r="BY1222" s="554"/>
      <c r="BZ1222" s="554"/>
      <c r="CA1222" s="554"/>
      <c r="CB1222" s="554"/>
      <c r="CC1222" s="554"/>
      <c r="CD1222" s="554"/>
      <c r="CE1222" s="554"/>
      <c r="CF1222" s="554"/>
      <c r="CG1222" s="554"/>
      <c r="CH1222" s="619"/>
      <c r="CI1222" s="619"/>
      <c r="CJ1222" s="619"/>
      <c r="CK1222" s="619"/>
      <c r="CL1222" s="619"/>
      <c r="CM1222" s="554"/>
      <c r="CN1222" s="554"/>
      <c r="CO1222" s="554"/>
      <c r="CP1222" s="619"/>
      <c r="CQ1222" s="619"/>
      <c r="CR1222" s="619"/>
      <c r="CS1222" s="619"/>
      <c r="CT1222" s="619"/>
      <c r="CU1222" s="619"/>
    </row>
    <row r="1223" s="1267" customFormat="1" ht="31" customHeight="1" spans="1:99">
      <c r="A1223" s="608">
        <v>46154</v>
      </c>
      <c r="B1223" s="609" t="s">
        <v>3407</v>
      </c>
      <c r="C1223" s="610" t="s">
        <v>170</v>
      </c>
      <c r="D1223" s="554" t="s">
        <v>4744</v>
      </c>
      <c r="E1223" s="610" t="s">
        <v>4745</v>
      </c>
      <c r="F1223" s="554" t="s">
        <v>4746</v>
      </c>
      <c r="G1223" s="610" t="s">
        <v>68</v>
      </c>
      <c r="H1223" s="610" t="s">
        <v>69</v>
      </c>
      <c r="I1223" s="715">
        <v>168</v>
      </c>
      <c r="J1223" s="610">
        <v>0</v>
      </c>
      <c r="K1223" s="610">
        <v>12</v>
      </c>
      <c r="L1223" s="611">
        <f t="shared" si="393"/>
        <v>14</v>
      </c>
      <c r="M1223" s="612">
        <v>46204</v>
      </c>
      <c r="N1223" s="724">
        <v>46204</v>
      </c>
      <c r="O1223" s="613"/>
      <c r="P1223" s="610" t="s">
        <v>113</v>
      </c>
      <c r="Q1223" s="614">
        <v>46213</v>
      </c>
      <c r="R1223" s="614">
        <v>46154</v>
      </c>
      <c r="S1223" s="614" t="s">
        <v>104</v>
      </c>
      <c r="T1223" s="614" t="s">
        <v>4742</v>
      </c>
      <c r="U1223" s="614"/>
      <c r="V1223" s="614"/>
      <c r="W1223" s="609"/>
      <c r="X1223" s="609" t="s">
        <v>4747</v>
      </c>
      <c r="Y1223" s="616" t="s">
        <v>1507</v>
      </c>
      <c r="Z1223" s="625">
        <v>4.2622</v>
      </c>
      <c r="AA1223" s="616">
        <f t="shared" si="391"/>
        <v>716.0496</v>
      </c>
      <c r="AB1223" s="554"/>
      <c r="AC1223" s="617"/>
      <c r="AD1223" s="610" t="s">
        <v>184</v>
      </c>
      <c r="AE1223" s="610" t="s">
        <v>82</v>
      </c>
      <c r="AF1223" s="610"/>
      <c r="AG1223" s="610"/>
      <c r="AH1223" s="610"/>
      <c r="AI1223" s="609">
        <v>168</v>
      </c>
      <c r="AJ1223" s="610">
        <f t="shared" si="392"/>
        <v>0</v>
      </c>
      <c r="AK1223" s="610"/>
      <c r="AL1223" s="610" t="s">
        <v>2368</v>
      </c>
      <c r="AM1223" s="554"/>
      <c r="AN1223" s="554">
        <f t="shared" si="387"/>
        <v>168</v>
      </c>
      <c r="AO1223" s="554"/>
      <c r="AP1223" s="554"/>
      <c r="AQ1223" s="554"/>
      <c r="AR1223" s="554"/>
      <c r="AS1223" s="554">
        <f t="shared" si="394"/>
        <v>168</v>
      </c>
      <c r="AT1223" s="554"/>
      <c r="AU1223" s="554">
        <f t="shared" si="395"/>
        <v>168</v>
      </c>
      <c r="AV1223" s="554"/>
      <c r="AW1223" s="554">
        <f t="shared" si="396"/>
        <v>168</v>
      </c>
      <c r="AX1223" s="714"/>
      <c r="AY1223" s="554"/>
      <c r="AZ1223" s="554"/>
      <c r="BA1223" s="554"/>
      <c r="BB1223" s="554"/>
      <c r="BC1223" s="554"/>
      <c r="BD1223" s="554"/>
      <c r="BE1223" s="554"/>
      <c r="BF1223" s="554"/>
      <c r="BG1223" s="554"/>
      <c r="BH1223" s="554"/>
      <c r="BI1223" s="554"/>
      <c r="BJ1223" s="554"/>
      <c r="BK1223" s="554"/>
      <c r="BL1223" s="554"/>
      <c r="BM1223" s="554"/>
      <c r="BN1223" s="554"/>
      <c r="BO1223" s="554"/>
      <c r="BP1223" s="554"/>
      <c r="BQ1223" s="554"/>
      <c r="BR1223" s="554"/>
      <c r="BS1223" s="554"/>
      <c r="BT1223" s="554"/>
      <c r="BU1223" s="554"/>
      <c r="BV1223" s="554"/>
      <c r="BW1223" s="554"/>
      <c r="BX1223" s="554"/>
      <c r="BY1223" s="554"/>
      <c r="BZ1223" s="554"/>
      <c r="CA1223" s="554"/>
      <c r="CB1223" s="554"/>
      <c r="CC1223" s="554"/>
      <c r="CD1223" s="554"/>
      <c r="CE1223" s="554"/>
      <c r="CF1223" s="554"/>
      <c r="CG1223" s="554"/>
      <c r="CH1223" s="619"/>
      <c r="CI1223" s="619"/>
      <c r="CJ1223" s="619"/>
      <c r="CK1223" s="619"/>
      <c r="CL1223" s="619"/>
      <c r="CM1223" s="554"/>
      <c r="CN1223" s="554"/>
      <c r="CO1223" s="554"/>
      <c r="CP1223" s="619"/>
      <c r="CQ1223" s="619"/>
      <c r="CR1223" s="619"/>
      <c r="CS1223" s="619"/>
      <c r="CT1223" s="619"/>
      <c r="CU1223" s="619"/>
    </row>
    <row r="1224" s="1267" customFormat="1" ht="31" customHeight="1" spans="1:99">
      <c r="A1224" s="608">
        <v>46154</v>
      </c>
      <c r="B1224" s="609" t="s">
        <v>3407</v>
      </c>
      <c r="C1224" s="610" t="s">
        <v>170</v>
      </c>
      <c r="D1224" s="554" t="s">
        <v>4748</v>
      </c>
      <c r="E1224" s="610" t="s">
        <v>4749</v>
      </c>
      <c r="F1224" s="554" t="s">
        <v>4750</v>
      </c>
      <c r="G1224" s="610" t="s">
        <v>68</v>
      </c>
      <c r="H1224" s="610" t="s">
        <v>69</v>
      </c>
      <c r="I1224" s="715">
        <v>36</v>
      </c>
      <c r="J1224" s="610">
        <v>0</v>
      </c>
      <c r="K1224" s="610">
        <v>12</v>
      </c>
      <c r="L1224" s="611">
        <f t="shared" si="393"/>
        <v>3</v>
      </c>
      <c r="M1224" s="612">
        <v>46204</v>
      </c>
      <c r="N1224" s="724">
        <v>46204</v>
      </c>
      <c r="O1224" s="613"/>
      <c r="P1224" s="610" t="s">
        <v>113</v>
      </c>
      <c r="Q1224" s="614">
        <v>46213</v>
      </c>
      <c r="R1224" s="614">
        <v>46154</v>
      </c>
      <c r="S1224" s="614" t="s">
        <v>104</v>
      </c>
      <c r="T1224" s="614" t="s">
        <v>4742</v>
      </c>
      <c r="U1224" s="614"/>
      <c r="V1224" s="614"/>
      <c r="W1224" s="609"/>
      <c r="X1224" s="609" t="s">
        <v>4751</v>
      </c>
      <c r="Y1224" s="616" t="s">
        <v>1507</v>
      </c>
      <c r="Z1224" s="625">
        <v>4.2622</v>
      </c>
      <c r="AA1224" s="616">
        <f t="shared" si="391"/>
        <v>153.4392</v>
      </c>
      <c r="AB1224" s="554"/>
      <c r="AC1224" s="617"/>
      <c r="AD1224" s="610" t="s">
        <v>184</v>
      </c>
      <c r="AE1224" s="610" t="s">
        <v>82</v>
      </c>
      <c r="AF1224" s="610"/>
      <c r="AG1224" s="610"/>
      <c r="AH1224" s="610"/>
      <c r="AI1224" s="609">
        <v>36</v>
      </c>
      <c r="AJ1224" s="610">
        <f t="shared" si="392"/>
        <v>0</v>
      </c>
      <c r="AK1224" s="610"/>
      <c r="AL1224" s="610" t="s">
        <v>2368</v>
      </c>
      <c r="AM1224" s="554"/>
      <c r="AN1224" s="554">
        <f t="shared" si="387"/>
        <v>36</v>
      </c>
      <c r="AO1224" s="554"/>
      <c r="AP1224" s="554"/>
      <c r="AQ1224" s="554"/>
      <c r="AR1224" s="554"/>
      <c r="AS1224" s="554">
        <f t="shared" si="394"/>
        <v>36</v>
      </c>
      <c r="AT1224" s="554"/>
      <c r="AU1224" s="554">
        <f t="shared" si="395"/>
        <v>36</v>
      </c>
      <c r="AV1224" s="554"/>
      <c r="AW1224" s="554">
        <f t="shared" si="396"/>
        <v>36</v>
      </c>
      <c r="AX1224" s="714"/>
      <c r="AY1224" s="554"/>
      <c r="AZ1224" s="554"/>
      <c r="BA1224" s="554"/>
      <c r="BB1224" s="554"/>
      <c r="BC1224" s="554"/>
      <c r="BD1224" s="554"/>
      <c r="BE1224" s="554"/>
      <c r="BF1224" s="554"/>
      <c r="BG1224" s="554"/>
      <c r="BH1224" s="554"/>
      <c r="BI1224" s="554"/>
      <c r="BJ1224" s="554"/>
      <c r="BK1224" s="554"/>
      <c r="BL1224" s="554"/>
      <c r="BM1224" s="554"/>
      <c r="BN1224" s="554"/>
      <c r="BO1224" s="554"/>
      <c r="BP1224" s="554"/>
      <c r="BQ1224" s="554"/>
      <c r="BR1224" s="554"/>
      <c r="BS1224" s="554"/>
      <c r="BT1224" s="554"/>
      <c r="BU1224" s="554"/>
      <c r="BV1224" s="554"/>
      <c r="BW1224" s="554"/>
      <c r="BX1224" s="554"/>
      <c r="BY1224" s="554"/>
      <c r="BZ1224" s="554"/>
      <c r="CA1224" s="554"/>
      <c r="CB1224" s="554"/>
      <c r="CC1224" s="554"/>
      <c r="CD1224" s="554"/>
      <c r="CE1224" s="554"/>
      <c r="CF1224" s="554"/>
      <c r="CG1224" s="554"/>
      <c r="CH1224" s="619"/>
      <c r="CI1224" s="619"/>
      <c r="CJ1224" s="619"/>
      <c r="CK1224" s="619"/>
      <c r="CL1224" s="619"/>
      <c r="CM1224" s="554"/>
      <c r="CN1224" s="554"/>
      <c r="CO1224" s="554"/>
      <c r="CP1224" s="619"/>
      <c r="CQ1224" s="619"/>
      <c r="CR1224" s="619"/>
      <c r="CS1224" s="619"/>
      <c r="CT1224" s="619"/>
      <c r="CU1224" s="619"/>
    </row>
    <row r="1225" s="1267" customFormat="1" ht="31" customHeight="1" spans="1:99">
      <c r="A1225" s="608">
        <v>46154</v>
      </c>
      <c r="B1225" s="609" t="s">
        <v>3407</v>
      </c>
      <c r="C1225" s="610" t="s">
        <v>170</v>
      </c>
      <c r="D1225" s="554" t="s">
        <v>4748</v>
      </c>
      <c r="E1225" s="610" t="s">
        <v>4752</v>
      </c>
      <c r="F1225" s="554" t="s">
        <v>4753</v>
      </c>
      <c r="G1225" s="610" t="s">
        <v>68</v>
      </c>
      <c r="H1225" s="610" t="s">
        <v>69</v>
      </c>
      <c r="I1225" s="715">
        <v>36</v>
      </c>
      <c r="J1225" s="610">
        <v>0</v>
      </c>
      <c r="K1225" s="610">
        <v>12</v>
      </c>
      <c r="L1225" s="611">
        <f t="shared" si="393"/>
        <v>3</v>
      </c>
      <c r="M1225" s="612">
        <v>46204</v>
      </c>
      <c r="N1225" s="724">
        <v>46204</v>
      </c>
      <c r="O1225" s="613"/>
      <c r="P1225" s="610" t="s">
        <v>113</v>
      </c>
      <c r="Q1225" s="614">
        <v>46213</v>
      </c>
      <c r="R1225" s="614">
        <v>46154</v>
      </c>
      <c r="S1225" s="614" t="s">
        <v>104</v>
      </c>
      <c r="T1225" s="614" t="s">
        <v>4742</v>
      </c>
      <c r="U1225" s="614"/>
      <c r="V1225" s="614"/>
      <c r="W1225" s="609"/>
      <c r="X1225" s="609" t="s">
        <v>4751</v>
      </c>
      <c r="Y1225" s="616" t="s">
        <v>1507</v>
      </c>
      <c r="Z1225" s="625">
        <v>4.2622</v>
      </c>
      <c r="AA1225" s="616">
        <f t="shared" si="391"/>
        <v>153.4392</v>
      </c>
      <c r="AB1225" s="554"/>
      <c r="AC1225" s="617"/>
      <c r="AD1225" s="610" t="s">
        <v>184</v>
      </c>
      <c r="AE1225" s="610" t="s">
        <v>82</v>
      </c>
      <c r="AF1225" s="610"/>
      <c r="AG1225" s="610"/>
      <c r="AH1225" s="610"/>
      <c r="AI1225" s="609">
        <v>36</v>
      </c>
      <c r="AJ1225" s="610">
        <f t="shared" si="392"/>
        <v>0</v>
      </c>
      <c r="AK1225" s="610"/>
      <c r="AL1225" s="610" t="s">
        <v>2368</v>
      </c>
      <c r="AM1225" s="554"/>
      <c r="AN1225" s="554">
        <f t="shared" si="387"/>
        <v>36</v>
      </c>
      <c r="AO1225" s="554"/>
      <c r="AP1225" s="554"/>
      <c r="AQ1225" s="554"/>
      <c r="AR1225" s="554"/>
      <c r="AS1225" s="554">
        <f t="shared" si="394"/>
        <v>36</v>
      </c>
      <c r="AT1225" s="554"/>
      <c r="AU1225" s="554">
        <f t="shared" si="395"/>
        <v>36</v>
      </c>
      <c r="AV1225" s="554"/>
      <c r="AW1225" s="554">
        <f t="shared" si="396"/>
        <v>36</v>
      </c>
      <c r="AX1225" s="714"/>
      <c r="AY1225" s="554"/>
      <c r="AZ1225" s="554"/>
      <c r="BA1225" s="554"/>
      <c r="BB1225" s="554"/>
      <c r="BC1225" s="554"/>
      <c r="BD1225" s="554"/>
      <c r="BE1225" s="554"/>
      <c r="BF1225" s="554"/>
      <c r="BG1225" s="554"/>
      <c r="BH1225" s="554"/>
      <c r="BI1225" s="554"/>
      <c r="BJ1225" s="554"/>
      <c r="BK1225" s="554"/>
      <c r="BL1225" s="554"/>
      <c r="BM1225" s="554"/>
      <c r="BN1225" s="554"/>
      <c r="BO1225" s="554"/>
      <c r="BP1225" s="554"/>
      <c r="BQ1225" s="554"/>
      <c r="BR1225" s="554"/>
      <c r="BS1225" s="554"/>
      <c r="BT1225" s="554"/>
      <c r="BU1225" s="554"/>
      <c r="BV1225" s="554"/>
      <c r="BW1225" s="554"/>
      <c r="BX1225" s="554"/>
      <c r="BY1225" s="554"/>
      <c r="BZ1225" s="554"/>
      <c r="CA1225" s="554"/>
      <c r="CB1225" s="554"/>
      <c r="CC1225" s="554"/>
      <c r="CD1225" s="554"/>
      <c r="CE1225" s="554"/>
      <c r="CF1225" s="554"/>
      <c r="CG1225" s="554"/>
      <c r="CH1225" s="619"/>
      <c r="CI1225" s="619"/>
      <c r="CJ1225" s="619"/>
      <c r="CK1225" s="619"/>
      <c r="CL1225" s="619"/>
      <c r="CM1225" s="554"/>
      <c r="CN1225" s="554"/>
      <c r="CO1225" s="554"/>
      <c r="CP1225" s="619"/>
      <c r="CQ1225" s="619"/>
      <c r="CR1225" s="619"/>
      <c r="CS1225" s="619"/>
      <c r="CT1225" s="619"/>
      <c r="CU1225" s="619"/>
    </row>
    <row r="1226" s="1267" customFormat="1" ht="31" customHeight="1" spans="1:99">
      <c r="A1226" s="608">
        <v>46154</v>
      </c>
      <c r="B1226" s="609" t="s">
        <v>3407</v>
      </c>
      <c r="C1226" s="610" t="s">
        <v>170</v>
      </c>
      <c r="D1226" s="554" t="s">
        <v>4748</v>
      </c>
      <c r="E1226" s="610" t="s">
        <v>4754</v>
      </c>
      <c r="F1226" s="554" t="s">
        <v>4755</v>
      </c>
      <c r="G1226" s="610" t="s">
        <v>68</v>
      </c>
      <c r="H1226" s="610" t="s">
        <v>69</v>
      </c>
      <c r="I1226" s="715">
        <v>120</v>
      </c>
      <c r="J1226" s="610">
        <v>0</v>
      </c>
      <c r="K1226" s="610">
        <v>12</v>
      </c>
      <c r="L1226" s="611">
        <f t="shared" si="393"/>
        <v>10</v>
      </c>
      <c r="M1226" s="612">
        <v>46204</v>
      </c>
      <c r="N1226" s="724">
        <v>46204</v>
      </c>
      <c r="O1226" s="613"/>
      <c r="P1226" s="610" t="s">
        <v>113</v>
      </c>
      <c r="Q1226" s="614">
        <v>46213</v>
      </c>
      <c r="R1226" s="614">
        <v>46154</v>
      </c>
      <c r="S1226" s="614" t="s">
        <v>104</v>
      </c>
      <c r="T1226" s="614" t="s">
        <v>4742</v>
      </c>
      <c r="U1226" s="614"/>
      <c r="V1226" s="614"/>
      <c r="W1226" s="609"/>
      <c r="X1226" s="609" t="s">
        <v>4751</v>
      </c>
      <c r="Y1226" s="616" t="s">
        <v>1507</v>
      </c>
      <c r="Z1226" s="625">
        <v>4.2622</v>
      </c>
      <c r="AA1226" s="616">
        <f t="shared" si="391"/>
        <v>511.464</v>
      </c>
      <c r="AB1226" s="554"/>
      <c r="AC1226" s="617"/>
      <c r="AD1226" s="610" t="s">
        <v>184</v>
      </c>
      <c r="AE1226" s="610" t="s">
        <v>82</v>
      </c>
      <c r="AF1226" s="610"/>
      <c r="AG1226" s="610"/>
      <c r="AH1226" s="610"/>
      <c r="AI1226" s="609">
        <v>120</v>
      </c>
      <c r="AJ1226" s="610">
        <f t="shared" si="392"/>
        <v>0</v>
      </c>
      <c r="AK1226" s="610"/>
      <c r="AL1226" s="610" t="s">
        <v>2368</v>
      </c>
      <c r="AM1226" s="554"/>
      <c r="AN1226" s="554">
        <f t="shared" si="387"/>
        <v>120</v>
      </c>
      <c r="AO1226" s="554"/>
      <c r="AP1226" s="554"/>
      <c r="AQ1226" s="554"/>
      <c r="AR1226" s="554"/>
      <c r="AS1226" s="554">
        <f t="shared" si="394"/>
        <v>120</v>
      </c>
      <c r="AT1226" s="554"/>
      <c r="AU1226" s="554">
        <f t="shared" si="395"/>
        <v>120</v>
      </c>
      <c r="AV1226" s="554"/>
      <c r="AW1226" s="554">
        <f t="shared" si="396"/>
        <v>120</v>
      </c>
      <c r="AX1226" s="714"/>
      <c r="AY1226" s="554"/>
      <c r="AZ1226" s="554"/>
      <c r="BA1226" s="554"/>
      <c r="BB1226" s="554"/>
      <c r="BC1226" s="554"/>
      <c r="BD1226" s="554"/>
      <c r="BE1226" s="554"/>
      <c r="BF1226" s="554"/>
      <c r="BG1226" s="554"/>
      <c r="BH1226" s="554"/>
      <c r="BI1226" s="554"/>
      <c r="BJ1226" s="554"/>
      <c r="BK1226" s="554"/>
      <c r="BL1226" s="554"/>
      <c r="BM1226" s="554"/>
      <c r="BN1226" s="554"/>
      <c r="BO1226" s="554"/>
      <c r="BP1226" s="554"/>
      <c r="BQ1226" s="554"/>
      <c r="BR1226" s="554"/>
      <c r="BS1226" s="554"/>
      <c r="BT1226" s="554"/>
      <c r="BU1226" s="554"/>
      <c r="BV1226" s="554"/>
      <c r="BW1226" s="554"/>
      <c r="BX1226" s="554"/>
      <c r="BY1226" s="554"/>
      <c r="BZ1226" s="554"/>
      <c r="CA1226" s="554"/>
      <c r="CB1226" s="554"/>
      <c r="CC1226" s="554"/>
      <c r="CD1226" s="554"/>
      <c r="CE1226" s="554"/>
      <c r="CF1226" s="554"/>
      <c r="CG1226" s="554"/>
      <c r="CH1226" s="619"/>
      <c r="CI1226" s="619"/>
      <c r="CJ1226" s="619"/>
      <c r="CK1226" s="619"/>
      <c r="CL1226" s="619"/>
      <c r="CM1226" s="554"/>
      <c r="CN1226" s="554"/>
      <c r="CO1226" s="554"/>
      <c r="CP1226" s="619"/>
      <c r="CQ1226" s="619"/>
      <c r="CR1226" s="619"/>
      <c r="CS1226" s="619"/>
      <c r="CT1226" s="619"/>
      <c r="CU1226" s="619"/>
    </row>
    <row r="1227" s="1267" customFormat="1" ht="31" customHeight="1" spans="1:99">
      <c r="A1227" s="608">
        <v>46154</v>
      </c>
      <c r="B1227" s="609" t="s">
        <v>3407</v>
      </c>
      <c r="C1227" s="610" t="s">
        <v>170</v>
      </c>
      <c r="D1227" s="554" t="s">
        <v>4748</v>
      </c>
      <c r="E1227" s="610" t="s">
        <v>4756</v>
      </c>
      <c r="F1227" s="554" t="s">
        <v>4757</v>
      </c>
      <c r="G1227" s="610" t="s">
        <v>68</v>
      </c>
      <c r="H1227" s="610" t="s">
        <v>69</v>
      </c>
      <c r="I1227" s="715">
        <v>24</v>
      </c>
      <c r="J1227" s="610">
        <v>0</v>
      </c>
      <c r="K1227" s="610">
        <v>12</v>
      </c>
      <c r="L1227" s="611">
        <f t="shared" si="393"/>
        <v>2</v>
      </c>
      <c r="M1227" s="612">
        <v>46204</v>
      </c>
      <c r="N1227" s="724">
        <v>46204</v>
      </c>
      <c r="O1227" s="613"/>
      <c r="P1227" s="610" t="s">
        <v>113</v>
      </c>
      <c r="Q1227" s="614">
        <v>46213</v>
      </c>
      <c r="R1227" s="614">
        <v>46154</v>
      </c>
      <c r="S1227" s="614" t="s">
        <v>104</v>
      </c>
      <c r="T1227" s="614" t="s">
        <v>4742</v>
      </c>
      <c r="U1227" s="614"/>
      <c r="V1227" s="614"/>
      <c r="W1227" s="609"/>
      <c r="X1227" s="609" t="s">
        <v>4751</v>
      </c>
      <c r="Y1227" s="616" t="s">
        <v>1507</v>
      </c>
      <c r="Z1227" s="625">
        <v>4.2622</v>
      </c>
      <c r="AA1227" s="616">
        <f t="shared" si="391"/>
        <v>102.2928</v>
      </c>
      <c r="AB1227" s="554"/>
      <c r="AC1227" s="617"/>
      <c r="AD1227" s="610" t="s">
        <v>184</v>
      </c>
      <c r="AE1227" s="610" t="s">
        <v>82</v>
      </c>
      <c r="AF1227" s="610"/>
      <c r="AG1227" s="610"/>
      <c r="AH1227" s="610"/>
      <c r="AI1227" s="609">
        <v>24</v>
      </c>
      <c r="AJ1227" s="610">
        <f t="shared" si="392"/>
        <v>0</v>
      </c>
      <c r="AK1227" s="610"/>
      <c r="AL1227" s="610" t="s">
        <v>2368</v>
      </c>
      <c r="AM1227" s="554"/>
      <c r="AN1227" s="554">
        <f t="shared" si="387"/>
        <v>24</v>
      </c>
      <c r="AO1227" s="554"/>
      <c r="AP1227" s="554"/>
      <c r="AQ1227" s="554"/>
      <c r="AR1227" s="554"/>
      <c r="AS1227" s="554">
        <f t="shared" si="394"/>
        <v>24</v>
      </c>
      <c r="AT1227" s="554"/>
      <c r="AU1227" s="554">
        <f t="shared" si="395"/>
        <v>24</v>
      </c>
      <c r="AV1227" s="554"/>
      <c r="AW1227" s="554">
        <f t="shared" si="396"/>
        <v>24</v>
      </c>
      <c r="AX1227" s="714"/>
      <c r="AY1227" s="554"/>
      <c r="AZ1227" s="554"/>
      <c r="BA1227" s="554"/>
      <c r="BB1227" s="554"/>
      <c r="BC1227" s="554"/>
      <c r="BD1227" s="554"/>
      <c r="BE1227" s="554"/>
      <c r="BF1227" s="554"/>
      <c r="BG1227" s="554"/>
      <c r="BH1227" s="554"/>
      <c r="BI1227" s="554"/>
      <c r="BJ1227" s="554"/>
      <c r="BK1227" s="554"/>
      <c r="BL1227" s="554"/>
      <c r="BM1227" s="554"/>
      <c r="BN1227" s="554"/>
      <c r="BO1227" s="554"/>
      <c r="BP1227" s="554"/>
      <c r="BQ1227" s="554"/>
      <c r="BR1227" s="554"/>
      <c r="BS1227" s="554"/>
      <c r="BT1227" s="554"/>
      <c r="BU1227" s="554"/>
      <c r="BV1227" s="554"/>
      <c r="BW1227" s="554"/>
      <c r="BX1227" s="554"/>
      <c r="BY1227" s="554"/>
      <c r="BZ1227" s="554"/>
      <c r="CA1227" s="554"/>
      <c r="CB1227" s="554"/>
      <c r="CC1227" s="554"/>
      <c r="CD1227" s="554"/>
      <c r="CE1227" s="554"/>
      <c r="CF1227" s="554"/>
      <c r="CG1227" s="554"/>
      <c r="CH1227" s="619"/>
      <c r="CI1227" s="619"/>
      <c r="CJ1227" s="619"/>
      <c r="CK1227" s="619"/>
      <c r="CL1227" s="619"/>
      <c r="CM1227" s="554"/>
      <c r="CN1227" s="554"/>
      <c r="CO1227" s="554"/>
      <c r="CP1227" s="619"/>
      <c r="CQ1227" s="619"/>
      <c r="CR1227" s="619"/>
      <c r="CS1227" s="619"/>
      <c r="CT1227" s="619"/>
      <c r="CU1227" s="619"/>
    </row>
    <row r="1228" s="1267" customFormat="1" ht="31" customHeight="1" spans="1:99">
      <c r="A1228" s="608">
        <v>46154</v>
      </c>
      <c r="B1228" s="609" t="s">
        <v>3407</v>
      </c>
      <c r="C1228" s="610" t="s">
        <v>170</v>
      </c>
      <c r="D1228" s="554" t="s">
        <v>4748</v>
      </c>
      <c r="E1228" s="610" t="s">
        <v>4758</v>
      </c>
      <c r="F1228" s="554" t="s">
        <v>4759</v>
      </c>
      <c r="G1228" s="610" t="s">
        <v>68</v>
      </c>
      <c r="H1228" s="610" t="s">
        <v>69</v>
      </c>
      <c r="I1228" s="715">
        <v>36</v>
      </c>
      <c r="J1228" s="610">
        <v>0</v>
      </c>
      <c r="K1228" s="610">
        <v>12</v>
      </c>
      <c r="L1228" s="611">
        <f t="shared" si="393"/>
        <v>3</v>
      </c>
      <c r="M1228" s="612">
        <v>46204</v>
      </c>
      <c r="N1228" s="724">
        <v>46204</v>
      </c>
      <c r="O1228" s="613"/>
      <c r="P1228" s="610" t="s">
        <v>113</v>
      </c>
      <c r="Q1228" s="614">
        <v>46213</v>
      </c>
      <c r="R1228" s="614">
        <v>46154</v>
      </c>
      <c r="S1228" s="614" t="s">
        <v>104</v>
      </c>
      <c r="T1228" s="614" t="s">
        <v>4742</v>
      </c>
      <c r="U1228" s="614"/>
      <c r="V1228" s="614"/>
      <c r="W1228" s="609"/>
      <c r="X1228" s="609" t="s">
        <v>4751</v>
      </c>
      <c r="Y1228" s="616" t="s">
        <v>1507</v>
      </c>
      <c r="Z1228" s="625">
        <v>4.2622</v>
      </c>
      <c r="AA1228" s="616">
        <f t="shared" si="391"/>
        <v>153.4392</v>
      </c>
      <c r="AB1228" s="554"/>
      <c r="AC1228" s="617"/>
      <c r="AD1228" s="610" t="s">
        <v>184</v>
      </c>
      <c r="AE1228" s="610" t="s">
        <v>82</v>
      </c>
      <c r="AF1228" s="610"/>
      <c r="AG1228" s="610"/>
      <c r="AH1228" s="610"/>
      <c r="AI1228" s="609">
        <v>36</v>
      </c>
      <c r="AJ1228" s="610">
        <f t="shared" si="392"/>
        <v>0</v>
      </c>
      <c r="AK1228" s="610"/>
      <c r="AL1228" s="610" t="s">
        <v>2368</v>
      </c>
      <c r="AM1228" s="554"/>
      <c r="AN1228" s="554">
        <f t="shared" si="387"/>
        <v>36</v>
      </c>
      <c r="AO1228" s="554"/>
      <c r="AP1228" s="554"/>
      <c r="AQ1228" s="554"/>
      <c r="AR1228" s="554"/>
      <c r="AS1228" s="554">
        <f t="shared" si="394"/>
        <v>36</v>
      </c>
      <c r="AT1228" s="554"/>
      <c r="AU1228" s="554">
        <f t="shared" si="395"/>
        <v>36</v>
      </c>
      <c r="AV1228" s="554"/>
      <c r="AW1228" s="554">
        <f t="shared" si="396"/>
        <v>36</v>
      </c>
      <c r="AX1228" s="714"/>
      <c r="AY1228" s="554"/>
      <c r="AZ1228" s="554"/>
      <c r="BA1228" s="554"/>
      <c r="BB1228" s="554"/>
      <c r="BC1228" s="554"/>
      <c r="BD1228" s="554"/>
      <c r="BE1228" s="554"/>
      <c r="BF1228" s="554"/>
      <c r="BG1228" s="554"/>
      <c r="BH1228" s="554"/>
      <c r="BI1228" s="554"/>
      <c r="BJ1228" s="554"/>
      <c r="BK1228" s="554"/>
      <c r="BL1228" s="554"/>
      <c r="BM1228" s="554"/>
      <c r="BN1228" s="554"/>
      <c r="BO1228" s="554"/>
      <c r="BP1228" s="554"/>
      <c r="BQ1228" s="554"/>
      <c r="BR1228" s="554"/>
      <c r="BS1228" s="554"/>
      <c r="BT1228" s="554"/>
      <c r="BU1228" s="554"/>
      <c r="BV1228" s="554"/>
      <c r="BW1228" s="554"/>
      <c r="BX1228" s="554"/>
      <c r="BY1228" s="554"/>
      <c r="BZ1228" s="554"/>
      <c r="CA1228" s="554"/>
      <c r="CB1228" s="554"/>
      <c r="CC1228" s="554"/>
      <c r="CD1228" s="554"/>
      <c r="CE1228" s="554"/>
      <c r="CF1228" s="554"/>
      <c r="CG1228" s="554"/>
      <c r="CH1228" s="619"/>
      <c r="CI1228" s="619"/>
      <c r="CJ1228" s="619"/>
      <c r="CK1228" s="619"/>
      <c r="CL1228" s="619"/>
      <c r="CM1228" s="554"/>
      <c r="CN1228" s="554"/>
      <c r="CO1228" s="554"/>
      <c r="CP1228" s="619"/>
      <c r="CQ1228" s="619"/>
      <c r="CR1228" s="619"/>
      <c r="CS1228" s="619"/>
      <c r="CT1228" s="619"/>
      <c r="CU1228" s="619"/>
    </row>
    <row r="1229" s="1267" customFormat="1" ht="31" customHeight="1" spans="1:99">
      <c r="A1229" s="608">
        <v>46154</v>
      </c>
      <c r="B1229" s="609" t="s">
        <v>3407</v>
      </c>
      <c r="C1229" s="610" t="s">
        <v>170</v>
      </c>
      <c r="D1229" s="554" t="s">
        <v>4748</v>
      </c>
      <c r="E1229" s="610" t="s">
        <v>4760</v>
      </c>
      <c r="F1229" s="554" t="s">
        <v>4761</v>
      </c>
      <c r="G1229" s="610" t="s">
        <v>68</v>
      </c>
      <c r="H1229" s="610" t="s">
        <v>69</v>
      </c>
      <c r="I1229" s="715">
        <v>24</v>
      </c>
      <c r="J1229" s="610">
        <v>0</v>
      </c>
      <c r="K1229" s="610">
        <v>12</v>
      </c>
      <c r="L1229" s="611">
        <f t="shared" si="393"/>
        <v>2</v>
      </c>
      <c r="M1229" s="612">
        <v>46204</v>
      </c>
      <c r="N1229" s="724">
        <v>46204</v>
      </c>
      <c r="O1229" s="613"/>
      <c r="P1229" s="610" t="s">
        <v>113</v>
      </c>
      <c r="Q1229" s="614">
        <v>46213</v>
      </c>
      <c r="R1229" s="614">
        <v>46154</v>
      </c>
      <c r="S1229" s="614" t="s">
        <v>104</v>
      </c>
      <c r="T1229" s="614" t="s">
        <v>4742</v>
      </c>
      <c r="U1229" s="614"/>
      <c r="V1229" s="614"/>
      <c r="W1229" s="609"/>
      <c r="X1229" s="609" t="s">
        <v>4751</v>
      </c>
      <c r="Y1229" s="616" t="s">
        <v>1507</v>
      </c>
      <c r="Z1229" s="625">
        <v>4.2622</v>
      </c>
      <c r="AA1229" s="616">
        <f t="shared" si="391"/>
        <v>102.2928</v>
      </c>
      <c r="AB1229" s="554"/>
      <c r="AC1229" s="617"/>
      <c r="AD1229" s="610" t="s">
        <v>184</v>
      </c>
      <c r="AE1229" s="610" t="s">
        <v>82</v>
      </c>
      <c r="AF1229" s="610"/>
      <c r="AG1229" s="610"/>
      <c r="AH1229" s="610"/>
      <c r="AI1229" s="609">
        <v>24</v>
      </c>
      <c r="AJ1229" s="610">
        <f t="shared" si="392"/>
        <v>0</v>
      </c>
      <c r="AK1229" s="610"/>
      <c r="AL1229" s="610" t="s">
        <v>2368</v>
      </c>
      <c r="AM1229" s="554"/>
      <c r="AN1229" s="554">
        <f t="shared" si="387"/>
        <v>24</v>
      </c>
      <c r="AO1229" s="554"/>
      <c r="AP1229" s="554"/>
      <c r="AQ1229" s="554"/>
      <c r="AR1229" s="554"/>
      <c r="AS1229" s="554">
        <f t="shared" si="394"/>
        <v>24</v>
      </c>
      <c r="AT1229" s="554"/>
      <c r="AU1229" s="554">
        <f t="shared" si="395"/>
        <v>24</v>
      </c>
      <c r="AV1229" s="554"/>
      <c r="AW1229" s="554">
        <f t="shared" si="396"/>
        <v>24</v>
      </c>
      <c r="AX1229" s="714"/>
      <c r="AY1229" s="554"/>
      <c r="AZ1229" s="554"/>
      <c r="BA1229" s="554"/>
      <c r="BB1229" s="554"/>
      <c r="BC1229" s="554"/>
      <c r="BD1229" s="554"/>
      <c r="BE1229" s="554"/>
      <c r="BF1229" s="554"/>
      <c r="BG1229" s="554"/>
      <c r="BH1229" s="554"/>
      <c r="BI1229" s="554"/>
      <c r="BJ1229" s="554"/>
      <c r="BK1229" s="554"/>
      <c r="BL1229" s="554"/>
      <c r="BM1229" s="554"/>
      <c r="BN1229" s="554"/>
      <c r="BO1229" s="554"/>
      <c r="BP1229" s="554"/>
      <c r="BQ1229" s="554"/>
      <c r="BR1229" s="554"/>
      <c r="BS1229" s="554"/>
      <c r="BT1229" s="554"/>
      <c r="BU1229" s="554"/>
      <c r="BV1229" s="554"/>
      <c r="BW1229" s="554"/>
      <c r="BX1229" s="554"/>
      <c r="BY1229" s="554"/>
      <c r="BZ1229" s="554"/>
      <c r="CA1229" s="554"/>
      <c r="CB1229" s="554"/>
      <c r="CC1229" s="554"/>
      <c r="CD1229" s="554"/>
      <c r="CE1229" s="554"/>
      <c r="CF1229" s="554"/>
      <c r="CG1229" s="554"/>
      <c r="CH1229" s="619"/>
      <c r="CI1229" s="619"/>
      <c r="CJ1229" s="619"/>
      <c r="CK1229" s="619"/>
      <c r="CL1229" s="619"/>
      <c r="CM1229" s="554"/>
      <c r="CN1229" s="554"/>
      <c r="CO1229" s="554"/>
      <c r="CP1229" s="619"/>
      <c r="CQ1229" s="619"/>
      <c r="CR1229" s="619"/>
      <c r="CS1229" s="619"/>
      <c r="CT1229" s="619"/>
      <c r="CU1229" s="619"/>
    </row>
    <row r="1230" s="1267" customFormat="1" ht="31" customHeight="1" spans="1:99">
      <c r="A1230" s="608">
        <v>46154</v>
      </c>
      <c r="B1230" s="609" t="s">
        <v>3407</v>
      </c>
      <c r="C1230" s="610" t="s">
        <v>170</v>
      </c>
      <c r="D1230" s="554" t="s">
        <v>4748</v>
      </c>
      <c r="E1230" s="610" t="s">
        <v>4762</v>
      </c>
      <c r="F1230" s="554" t="s">
        <v>4763</v>
      </c>
      <c r="G1230" s="610" t="s">
        <v>68</v>
      </c>
      <c r="H1230" s="610" t="s">
        <v>69</v>
      </c>
      <c r="I1230" s="715">
        <v>24</v>
      </c>
      <c r="J1230" s="610">
        <v>0</v>
      </c>
      <c r="K1230" s="610">
        <v>12</v>
      </c>
      <c r="L1230" s="611">
        <f t="shared" si="393"/>
        <v>2</v>
      </c>
      <c r="M1230" s="612">
        <v>46204</v>
      </c>
      <c r="N1230" s="724">
        <v>46204</v>
      </c>
      <c r="O1230" s="613"/>
      <c r="P1230" s="610" t="s">
        <v>113</v>
      </c>
      <c r="Q1230" s="614">
        <v>46213</v>
      </c>
      <c r="R1230" s="614">
        <v>46154</v>
      </c>
      <c r="S1230" s="614" t="s">
        <v>104</v>
      </c>
      <c r="T1230" s="614" t="s">
        <v>4742</v>
      </c>
      <c r="U1230" s="614"/>
      <c r="V1230" s="614"/>
      <c r="W1230" s="609"/>
      <c r="X1230" s="609" t="s">
        <v>4751</v>
      </c>
      <c r="Y1230" s="616" t="s">
        <v>1507</v>
      </c>
      <c r="Z1230" s="625">
        <v>4.2622</v>
      </c>
      <c r="AA1230" s="616">
        <f t="shared" si="391"/>
        <v>102.2928</v>
      </c>
      <c r="AB1230" s="554"/>
      <c r="AC1230" s="617"/>
      <c r="AD1230" s="610" t="s">
        <v>184</v>
      </c>
      <c r="AE1230" s="610" t="s">
        <v>82</v>
      </c>
      <c r="AF1230" s="610"/>
      <c r="AG1230" s="610"/>
      <c r="AH1230" s="610"/>
      <c r="AI1230" s="609">
        <v>24</v>
      </c>
      <c r="AJ1230" s="610">
        <f t="shared" si="392"/>
        <v>0</v>
      </c>
      <c r="AK1230" s="610"/>
      <c r="AL1230" s="610" t="s">
        <v>2368</v>
      </c>
      <c r="AM1230" s="554"/>
      <c r="AN1230" s="554">
        <f t="shared" si="387"/>
        <v>24</v>
      </c>
      <c r="AO1230" s="554"/>
      <c r="AP1230" s="554"/>
      <c r="AQ1230" s="554"/>
      <c r="AR1230" s="554"/>
      <c r="AS1230" s="554">
        <f t="shared" si="394"/>
        <v>24</v>
      </c>
      <c r="AT1230" s="554"/>
      <c r="AU1230" s="554">
        <f t="shared" si="395"/>
        <v>24</v>
      </c>
      <c r="AV1230" s="554"/>
      <c r="AW1230" s="554">
        <f t="shared" si="396"/>
        <v>24</v>
      </c>
      <c r="AX1230" s="714"/>
      <c r="AY1230" s="554"/>
      <c r="AZ1230" s="554"/>
      <c r="BA1230" s="554"/>
      <c r="BB1230" s="554"/>
      <c r="BC1230" s="554"/>
      <c r="BD1230" s="554"/>
      <c r="BE1230" s="554"/>
      <c r="BF1230" s="554"/>
      <c r="BG1230" s="554"/>
      <c r="BH1230" s="554"/>
      <c r="BI1230" s="554"/>
      <c r="BJ1230" s="554"/>
      <c r="BK1230" s="554"/>
      <c r="BL1230" s="554"/>
      <c r="BM1230" s="554"/>
      <c r="BN1230" s="554"/>
      <c r="BO1230" s="554"/>
      <c r="BP1230" s="554"/>
      <c r="BQ1230" s="554"/>
      <c r="BR1230" s="554"/>
      <c r="BS1230" s="554"/>
      <c r="BT1230" s="554"/>
      <c r="BU1230" s="554"/>
      <c r="BV1230" s="554"/>
      <c r="BW1230" s="554"/>
      <c r="BX1230" s="554"/>
      <c r="BY1230" s="554"/>
      <c r="BZ1230" s="554"/>
      <c r="CA1230" s="554"/>
      <c r="CB1230" s="554"/>
      <c r="CC1230" s="554"/>
      <c r="CD1230" s="554"/>
      <c r="CE1230" s="554"/>
      <c r="CF1230" s="554"/>
      <c r="CG1230" s="554"/>
      <c r="CH1230" s="619"/>
      <c r="CI1230" s="619"/>
      <c r="CJ1230" s="619"/>
      <c r="CK1230" s="619"/>
      <c r="CL1230" s="619"/>
      <c r="CM1230" s="554"/>
      <c r="CN1230" s="554"/>
      <c r="CO1230" s="554"/>
      <c r="CP1230" s="619"/>
      <c r="CQ1230" s="619"/>
      <c r="CR1230" s="619"/>
      <c r="CS1230" s="619"/>
      <c r="CT1230" s="619"/>
      <c r="CU1230" s="619"/>
    </row>
    <row r="1231" s="1267" customFormat="1" ht="31" customHeight="1" spans="1:99">
      <c r="A1231" s="608">
        <v>46154</v>
      </c>
      <c r="B1231" s="609" t="s">
        <v>3407</v>
      </c>
      <c r="C1231" s="610" t="s">
        <v>170</v>
      </c>
      <c r="D1231" s="554" t="s">
        <v>4748</v>
      </c>
      <c r="E1231" s="610" t="s">
        <v>4764</v>
      </c>
      <c r="F1231" s="554" t="s">
        <v>4765</v>
      </c>
      <c r="G1231" s="610" t="s">
        <v>68</v>
      </c>
      <c r="H1231" s="610" t="s">
        <v>69</v>
      </c>
      <c r="I1231" s="715">
        <v>24</v>
      </c>
      <c r="J1231" s="610">
        <v>0</v>
      </c>
      <c r="K1231" s="610">
        <v>12</v>
      </c>
      <c r="L1231" s="611">
        <f t="shared" si="393"/>
        <v>2</v>
      </c>
      <c r="M1231" s="612">
        <v>46204</v>
      </c>
      <c r="N1231" s="724">
        <v>46204</v>
      </c>
      <c r="O1231" s="613"/>
      <c r="P1231" s="610" t="s">
        <v>113</v>
      </c>
      <c r="Q1231" s="614">
        <v>46213</v>
      </c>
      <c r="R1231" s="614">
        <v>46154</v>
      </c>
      <c r="S1231" s="614" t="s">
        <v>104</v>
      </c>
      <c r="T1231" s="614" t="s">
        <v>4742</v>
      </c>
      <c r="U1231" s="614"/>
      <c r="V1231" s="614"/>
      <c r="W1231" s="609"/>
      <c r="X1231" s="609" t="s">
        <v>4751</v>
      </c>
      <c r="Y1231" s="616" t="s">
        <v>1507</v>
      </c>
      <c r="Z1231" s="625">
        <v>4.2622</v>
      </c>
      <c r="AA1231" s="616">
        <f t="shared" si="391"/>
        <v>102.2928</v>
      </c>
      <c r="AB1231" s="554"/>
      <c r="AC1231" s="617"/>
      <c r="AD1231" s="610" t="s">
        <v>184</v>
      </c>
      <c r="AE1231" s="610" t="s">
        <v>82</v>
      </c>
      <c r="AF1231" s="610"/>
      <c r="AG1231" s="610"/>
      <c r="AH1231" s="610"/>
      <c r="AI1231" s="609">
        <v>24</v>
      </c>
      <c r="AJ1231" s="610">
        <f t="shared" si="392"/>
        <v>0</v>
      </c>
      <c r="AK1231" s="610"/>
      <c r="AL1231" s="610" t="s">
        <v>2368</v>
      </c>
      <c r="AM1231" s="554"/>
      <c r="AN1231" s="554">
        <f t="shared" si="387"/>
        <v>24</v>
      </c>
      <c r="AO1231" s="554"/>
      <c r="AP1231" s="554"/>
      <c r="AQ1231" s="554"/>
      <c r="AR1231" s="554"/>
      <c r="AS1231" s="554">
        <f t="shared" si="394"/>
        <v>24</v>
      </c>
      <c r="AT1231" s="554"/>
      <c r="AU1231" s="554">
        <f t="shared" si="395"/>
        <v>24</v>
      </c>
      <c r="AV1231" s="554"/>
      <c r="AW1231" s="554">
        <f t="shared" si="396"/>
        <v>24</v>
      </c>
      <c r="AX1231" s="714"/>
      <c r="AY1231" s="554"/>
      <c r="AZ1231" s="554"/>
      <c r="BA1231" s="554"/>
      <c r="BB1231" s="554"/>
      <c r="BC1231" s="554"/>
      <c r="BD1231" s="554"/>
      <c r="BE1231" s="554"/>
      <c r="BF1231" s="554"/>
      <c r="BG1231" s="554"/>
      <c r="BH1231" s="554"/>
      <c r="BI1231" s="554"/>
      <c r="BJ1231" s="554"/>
      <c r="BK1231" s="554"/>
      <c r="BL1231" s="554"/>
      <c r="BM1231" s="554"/>
      <c r="BN1231" s="554"/>
      <c r="BO1231" s="554"/>
      <c r="BP1231" s="554"/>
      <c r="BQ1231" s="554"/>
      <c r="BR1231" s="554"/>
      <c r="BS1231" s="554"/>
      <c r="BT1231" s="554"/>
      <c r="BU1231" s="554"/>
      <c r="BV1231" s="554"/>
      <c r="BW1231" s="554"/>
      <c r="BX1231" s="554"/>
      <c r="BY1231" s="554"/>
      <c r="BZ1231" s="554"/>
      <c r="CA1231" s="554"/>
      <c r="CB1231" s="554"/>
      <c r="CC1231" s="554"/>
      <c r="CD1231" s="554"/>
      <c r="CE1231" s="554"/>
      <c r="CF1231" s="554"/>
      <c r="CG1231" s="554"/>
      <c r="CH1231" s="619"/>
      <c r="CI1231" s="619"/>
      <c r="CJ1231" s="619"/>
      <c r="CK1231" s="619"/>
      <c r="CL1231" s="619"/>
      <c r="CM1231" s="554"/>
      <c r="CN1231" s="554"/>
      <c r="CO1231" s="554"/>
      <c r="CP1231" s="619"/>
      <c r="CQ1231" s="619"/>
      <c r="CR1231" s="619"/>
      <c r="CS1231" s="619"/>
      <c r="CT1231" s="619"/>
      <c r="CU1231" s="619"/>
    </row>
    <row r="1232" s="1267" customFormat="1" ht="31" customHeight="1" spans="1:99">
      <c r="A1232" s="608">
        <v>46154</v>
      </c>
      <c r="B1232" s="609" t="s">
        <v>3407</v>
      </c>
      <c r="C1232" s="610" t="s">
        <v>170</v>
      </c>
      <c r="D1232" s="554" t="s">
        <v>4748</v>
      </c>
      <c r="E1232" s="610" t="s">
        <v>4766</v>
      </c>
      <c r="F1232" s="554" t="s">
        <v>4767</v>
      </c>
      <c r="G1232" s="610" t="s">
        <v>68</v>
      </c>
      <c r="H1232" s="610" t="s">
        <v>69</v>
      </c>
      <c r="I1232" s="715">
        <v>48</v>
      </c>
      <c r="J1232" s="610">
        <v>0</v>
      </c>
      <c r="K1232" s="610">
        <v>12</v>
      </c>
      <c r="L1232" s="611">
        <f t="shared" si="393"/>
        <v>4</v>
      </c>
      <c r="M1232" s="612">
        <v>46204</v>
      </c>
      <c r="N1232" s="724">
        <v>46204</v>
      </c>
      <c r="O1232" s="613"/>
      <c r="P1232" s="610" t="s">
        <v>113</v>
      </c>
      <c r="Q1232" s="614">
        <v>46213</v>
      </c>
      <c r="R1232" s="614">
        <v>46154</v>
      </c>
      <c r="S1232" s="614" t="s">
        <v>104</v>
      </c>
      <c r="T1232" s="614" t="s">
        <v>4742</v>
      </c>
      <c r="U1232" s="614"/>
      <c r="V1232" s="614"/>
      <c r="W1232" s="609"/>
      <c r="X1232" s="609" t="s">
        <v>4751</v>
      </c>
      <c r="Y1232" s="616" t="s">
        <v>1507</v>
      </c>
      <c r="Z1232" s="625">
        <v>4.2622</v>
      </c>
      <c r="AA1232" s="616">
        <f t="shared" si="391"/>
        <v>204.5856</v>
      </c>
      <c r="AB1232" s="554"/>
      <c r="AC1232" s="617"/>
      <c r="AD1232" s="610" t="s">
        <v>184</v>
      </c>
      <c r="AE1232" s="610" t="s">
        <v>82</v>
      </c>
      <c r="AF1232" s="610"/>
      <c r="AG1232" s="610"/>
      <c r="AH1232" s="610"/>
      <c r="AI1232" s="609">
        <v>48</v>
      </c>
      <c r="AJ1232" s="610">
        <f t="shared" si="392"/>
        <v>0</v>
      </c>
      <c r="AK1232" s="610"/>
      <c r="AL1232" s="610" t="s">
        <v>2368</v>
      </c>
      <c r="AM1232" s="554"/>
      <c r="AN1232" s="554">
        <f t="shared" si="387"/>
        <v>48</v>
      </c>
      <c r="AO1232" s="554"/>
      <c r="AP1232" s="554"/>
      <c r="AQ1232" s="554"/>
      <c r="AR1232" s="554"/>
      <c r="AS1232" s="554">
        <f t="shared" si="394"/>
        <v>48</v>
      </c>
      <c r="AT1232" s="554"/>
      <c r="AU1232" s="554">
        <f t="shared" si="395"/>
        <v>48</v>
      </c>
      <c r="AV1232" s="554"/>
      <c r="AW1232" s="554">
        <f t="shared" si="396"/>
        <v>48</v>
      </c>
      <c r="AX1232" s="714"/>
      <c r="AY1232" s="554"/>
      <c r="AZ1232" s="554"/>
      <c r="BA1232" s="554"/>
      <c r="BB1232" s="554"/>
      <c r="BC1232" s="554"/>
      <c r="BD1232" s="554"/>
      <c r="BE1232" s="554"/>
      <c r="BF1232" s="554"/>
      <c r="BG1232" s="554"/>
      <c r="BH1232" s="554"/>
      <c r="BI1232" s="554"/>
      <c r="BJ1232" s="554"/>
      <c r="BK1232" s="554"/>
      <c r="BL1232" s="554"/>
      <c r="BM1232" s="554"/>
      <c r="BN1232" s="554"/>
      <c r="BO1232" s="554"/>
      <c r="BP1232" s="554"/>
      <c r="BQ1232" s="554"/>
      <c r="BR1232" s="554"/>
      <c r="BS1232" s="554"/>
      <c r="BT1232" s="554"/>
      <c r="BU1232" s="554"/>
      <c r="BV1232" s="554"/>
      <c r="BW1232" s="554"/>
      <c r="BX1232" s="554"/>
      <c r="BY1232" s="554"/>
      <c r="BZ1232" s="554"/>
      <c r="CA1232" s="554"/>
      <c r="CB1232" s="554"/>
      <c r="CC1232" s="554"/>
      <c r="CD1232" s="554"/>
      <c r="CE1232" s="554"/>
      <c r="CF1232" s="554"/>
      <c r="CG1232" s="554"/>
      <c r="CH1232" s="619"/>
      <c r="CI1232" s="619"/>
      <c r="CJ1232" s="619"/>
      <c r="CK1232" s="619"/>
      <c r="CL1232" s="619"/>
      <c r="CM1232" s="554"/>
      <c r="CN1232" s="554"/>
      <c r="CO1232" s="554"/>
      <c r="CP1232" s="619"/>
      <c r="CQ1232" s="619"/>
      <c r="CR1232" s="619"/>
      <c r="CS1232" s="619"/>
      <c r="CT1232" s="619"/>
      <c r="CU1232" s="619"/>
    </row>
    <row r="1233" s="1267" customFormat="1" ht="31" customHeight="1" spans="1:100">
      <c r="A1233" s="608">
        <v>46154</v>
      </c>
      <c r="B1233" s="609" t="s">
        <v>3407</v>
      </c>
      <c r="C1233" s="610" t="s">
        <v>170</v>
      </c>
      <c r="D1233" s="846" t="s">
        <v>4748</v>
      </c>
      <c r="E1233" s="610" t="s">
        <v>4768</v>
      </c>
      <c r="F1233" s="554" t="s">
        <v>4769</v>
      </c>
      <c r="G1233" s="610" t="s">
        <v>68</v>
      </c>
      <c r="H1233" s="610" t="s">
        <v>69</v>
      </c>
      <c r="I1233" s="715">
        <v>24</v>
      </c>
      <c r="J1233" s="610">
        <v>0</v>
      </c>
      <c r="K1233" s="610">
        <v>12</v>
      </c>
      <c r="L1233" s="611">
        <f t="shared" si="393"/>
        <v>2</v>
      </c>
      <c r="M1233" s="612">
        <v>46204</v>
      </c>
      <c r="N1233" s="724">
        <v>46204</v>
      </c>
      <c r="O1233" s="613"/>
      <c r="P1233" s="610" t="s">
        <v>113</v>
      </c>
      <c r="Q1233" s="614">
        <v>46213</v>
      </c>
      <c r="R1233" s="614">
        <v>46154</v>
      </c>
      <c r="S1233" s="614" t="s">
        <v>104</v>
      </c>
      <c r="T1233" s="614" t="s">
        <v>4742</v>
      </c>
      <c r="U1233" s="614"/>
      <c r="V1233" s="614"/>
      <c r="W1233" s="609"/>
      <c r="X1233" s="609" t="s">
        <v>4751</v>
      </c>
      <c r="Y1233" s="616" t="s">
        <v>1507</v>
      </c>
      <c r="Z1233" s="625">
        <v>4.2622</v>
      </c>
      <c r="AA1233" s="616">
        <f t="shared" si="391"/>
        <v>102.2928</v>
      </c>
      <c r="AB1233" s="554"/>
      <c r="AC1233" s="617"/>
      <c r="AD1233" s="610" t="s">
        <v>184</v>
      </c>
      <c r="AE1233" s="610" t="s">
        <v>82</v>
      </c>
      <c r="AF1233" s="610"/>
      <c r="AG1233" s="610"/>
      <c r="AH1233" s="610"/>
      <c r="AI1233" s="609">
        <v>24</v>
      </c>
      <c r="AJ1233" s="610">
        <f t="shared" si="392"/>
        <v>0</v>
      </c>
      <c r="AK1233" s="610"/>
      <c r="AL1233" s="610" t="s">
        <v>2368</v>
      </c>
      <c r="AM1233" s="554"/>
      <c r="AN1233" s="554">
        <f t="shared" si="387"/>
        <v>24</v>
      </c>
      <c r="AO1233" s="554"/>
      <c r="AP1233" s="554"/>
      <c r="AQ1233" s="554"/>
      <c r="AR1233" s="554"/>
      <c r="AS1233" s="554">
        <f t="shared" si="394"/>
        <v>24</v>
      </c>
      <c r="AT1233" s="554"/>
      <c r="AU1233" s="554">
        <f t="shared" si="395"/>
        <v>24</v>
      </c>
      <c r="AV1233" s="554"/>
      <c r="AW1233" s="554">
        <f t="shared" si="396"/>
        <v>24</v>
      </c>
      <c r="AX1233" s="714"/>
      <c r="AY1233" s="554"/>
      <c r="AZ1233" s="554"/>
      <c r="BA1233" s="554"/>
      <c r="BB1233" s="554"/>
      <c r="BC1233" s="554"/>
      <c r="BD1233" s="554"/>
      <c r="BE1233" s="554"/>
      <c r="BF1233" s="554"/>
      <c r="BG1233" s="554"/>
      <c r="BH1233" s="554"/>
      <c r="BI1233" s="554"/>
      <c r="BJ1233" s="554"/>
      <c r="BK1233" s="554"/>
      <c r="BL1233" s="554"/>
      <c r="BM1233" s="554"/>
      <c r="BN1233" s="554"/>
      <c r="BO1233" s="554"/>
      <c r="BP1233" s="554"/>
      <c r="BQ1233" s="554"/>
      <c r="BR1233" s="554"/>
      <c r="BS1233" s="554"/>
      <c r="BT1233" s="554"/>
      <c r="BU1233" s="554"/>
      <c r="BV1233" s="554"/>
      <c r="BW1233" s="554"/>
      <c r="BX1233" s="554"/>
      <c r="BY1233" s="554"/>
      <c r="BZ1233" s="554"/>
      <c r="CA1233" s="554"/>
      <c r="CB1233" s="554"/>
      <c r="CC1233" s="554"/>
      <c r="CD1233" s="554"/>
      <c r="CE1233" s="554"/>
      <c r="CF1233" s="554"/>
      <c r="CG1233" s="554"/>
      <c r="CH1233" s="619"/>
      <c r="CI1233" s="619"/>
      <c r="CJ1233" s="619"/>
      <c r="CK1233" s="619"/>
      <c r="CL1233" s="619"/>
      <c r="CM1233" s="554"/>
      <c r="CN1233" s="554"/>
      <c r="CO1233" s="554"/>
      <c r="CP1233" s="619"/>
      <c r="CQ1233" s="619"/>
      <c r="CR1233" s="619"/>
      <c r="CS1233" s="619"/>
      <c r="CT1233" s="619"/>
      <c r="CU1233" s="619"/>
    </row>
    <row r="1234" s="1267" customFormat="1" ht="31" customHeight="1" spans="1:100">
      <c r="A1234" s="608">
        <v>46169</v>
      </c>
      <c r="B1234" s="609" t="s">
        <v>1800</v>
      </c>
      <c r="C1234" s="610" t="s">
        <v>744</v>
      </c>
      <c r="D1234" s="554" t="s">
        <v>4285</v>
      </c>
      <c r="E1234" s="610" t="s">
        <v>4286</v>
      </c>
      <c r="F1234" s="554" t="s">
        <v>4770</v>
      </c>
      <c r="G1234" s="623" t="s">
        <v>518</v>
      </c>
      <c r="H1234" s="610" t="s">
        <v>477</v>
      </c>
      <c r="I1234" s="715">
        <v>1200</v>
      </c>
      <c r="J1234" s="610">
        <v>0</v>
      </c>
      <c r="K1234" s="610">
        <v>6</v>
      </c>
      <c r="L1234" s="611">
        <f t="shared" si="393"/>
        <v>200</v>
      </c>
      <c r="M1234" s="612">
        <v>46212</v>
      </c>
      <c r="N1234" s="612">
        <v>46209</v>
      </c>
      <c r="O1234" s="613"/>
      <c r="P1234" s="610" t="s">
        <v>113</v>
      </c>
      <c r="Q1234" s="614"/>
      <c r="R1234" s="614" t="s">
        <v>3299</v>
      </c>
      <c r="S1234" s="614" t="s">
        <v>104</v>
      </c>
      <c r="T1234" s="614" t="s">
        <v>2239</v>
      </c>
      <c r="U1234" s="614"/>
      <c r="V1234" s="614"/>
      <c r="W1234" s="609"/>
      <c r="X1234" s="609" t="s">
        <v>4288</v>
      </c>
      <c r="Y1234" s="616" t="s">
        <v>1805</v>
      </c>
      <c r="Z1234" s="625">
        <v>1.8933</v>
      </c>
      <c r="AA1234" s="616">
        <f t="shared" si="391"/>
        <v>2271.96</v>
      </c>
      <c r="AB1234" s="554"/>
      <c r="AC1234" s="617"/>
      <c r="AD1234" s="610" t="s">
        <v>2241</v>
      </c>
      <c r="AE1234" s="610" t="s">
        <v>82</v>
      </c>
      <c r="AF1234" s="610"/>
      <c r="AG1234" s="610"/>
      <c r="AH1234" s="610"/>
      <c r="AI1234" s="609"/>
      <c r="AJ1234" s="610">
        <f t="shared" si="392"/>
        <v>-1200</v>
      </c>
      <c r="AK1234" s="610"/>
      <c r="AL1234" s="610"/>
      <c r="AM1234" s="554"/>
      <c r="AN1234" s="554">
        <f t="shared" si="387"/>
        <v>1200</v>
      </c>
      <c r="AO1234" s="554"/>
      <c r="AP1234" s="554"/>
      <c r="AQ1234" s="554"/>
      <c r="AR1234" s="554">
        <f>I1234</f>
        <v>1200</v>
      </c>
      <c r="AS1234" s="554"/>
      <c r="AT1234" s="554"/>
      <c r="AU1234" s="554"/>
      <c r="AV1234" s="554">
        <f>I1234</f>
        <v>1200</v>
      </c>
      <c r="AW1234" s="554"/>
      <c r="AX1234" s="714">
        <f>I1234</f>
        <v>1200</v>
      </c>
      <c r="AY1234" s="554"/>
      <c r="AZ1234" s="554"/>
      <c r="BA1234" s="554"/>
      <c r="BB1234" s="554"/>
      <c r="BC1234" s="554"/>
      <c r="BD1234" s="554"/>
      <c r="BE1234" s="554"/>
      <c r="BF1234" s="554"/>
      <c r="BG1234" s="554"/>
      <c r="BH1234" s="554"/>
      <c r="BI1234" s="554"/>
      <c r="BJ1234" s="554"/>
      <c r="BK1234" s="554"/>
      <c r="BL1234" s="554"/>
      <c r="BM1234" s="554"/>
      <c r="BN1234" s="554">
        <f>I1234</f>
        <v>1200</v>
      </c>
      <c r="BO1234" s="554"/>
      <c r="BP1234" s="554"/>
      <c r="BQ1234" s="554"/>
      <c r="BR1234" s="554"/>
      <c r="BS1234" s="554"/>
      <c r="BT1234" s="554"/>
      <c r="BU1234" s="554"/>
      <c r="BV1234" s="554"/>
      <c r="BW1234" s="554"/>
      <c r="BX1234" s="554"/>
      <c r="BY1234" s="554"/>
      <c r="BZ1234" s="554"/>
      <c r="CA1234" s="554"/>
      <c r="CB1234" s="554"/>
      <c r="CC1234" s="554"/>
      <c r="CD1234" s="554"/>
      <c r="CE1234" s="554"/>
      <c r="CF1234" s="554"/>
      <c r="CG1234" s="554"/>
      <c r="CH1234" s="619"/>
      <c r="CI1234" s="619"/>
      <c r="CJ1234" s="619"/>
      <c r="CK1234" s="619"/>
      <c r="CL1234" s="619"/>
      <c r="CM1234" s="554"/>
      <c r="CN1234" s="554"/>
      <c r="CO1234" s="554"/>
      <c r="CP1234" s="619"/>
      <c r="CQ1234" s="619"/>
      <c r="CR1234" s="619"/>
      <c r="CS1234" s="619"/>
      <c r="CT1234" s="619"/>
      <c r="CU1234" s="619"/>
      <c r="CV1234" s="1325"/>
    </row>
    <row r="1235" s="1267" customFormat="1" ht="31" customHeight="1" spans="1:100">
      <c r="A1235" s="608">
        <v>46167</v>
      </c>
      <c r="B1235" s="609" t="s">
        <v>580</v>
      </c>
      <c r="C1235" s="610" t="s">
        <v>302</v>
      </c>
      <c r="D1235" s="554" t="s">
        <v>4771</v>
      </c>
      <c r="E1235" s="610" t="s">
        <v>4772</v>
      </c>
      <c r="F1235" s="554" t="s">
        <v>4773</v>
      </c>
      <c r="G1235" s="610" t="s">
        <v>518</v>
      </c>
      <c r="H1235" s="610" t="s">
        <v>477</v>
      </c>
      <c r="I1235" s="715">
        <v>3600</v>
      </c>
      <c r="J1235" s="610">
        <v>0</v>
      </c>
      <c r="K1235" s="610">
        <v>6</v>
      </c>
      <c r="L1235" s="611">
        <f t="shared" si="393"/>
        <v>600</v>
      </c>
      <c r="M1235" s="612">
        <v>46209</v>
      </c>
      <c r="N1235" s="612">
        <v>46205</v>
      </c>
      <c r="O1235" s="613" t="s">
        <v>4774</v>
      </c>
      <c r="P1235" s="610" t="s">
        <v>113</v>
      </c>
      <c r="Q1235" s="614">
        <v>46232</v>
      </c>
      <c r="R1235" s="614">
        <v>46169</v>
      </c>
      <c r="S1235" s="614" t="s">
        <v>70</v>
      </c>
      <c r="T1235" s="614" t="s">
        <v>4775</v>
      </c>
      <c r="U1235" s="614"/>
      <c r="V1235" s="614" t="s">
        <v>4776</v>
      </c>
      <c r="W1235" s="609" t="s">
        <v>4777</v>
      </c>
      <c r="X1235" s="609" t="s">
        <v>4778</v>
      </c>
      <c r="Y1235" s="616" t="s">
        <v>415</v>
      </c>
      <c r="Z1235" s="625">
        <v>6.8196</v>
      </c>
      <c r="AA1235" s="616">
        <f t="shared" si="391"/>
        <v>24550.56</v>
      </c>
      <c r="AB1235" s="554"/>
      <c r="AC1235" s="617"/>
      <c r="AD1235" s="610" t="s">
        <v>480</v>
      </c>
      <c r="AE1235" s="610" t="s">
        <v>82</v>
      </c>
      <c r="AF1235" s="610"/>
      <c r="AG1235" s="610"/>
      <c r="AH1235" s="610"/>
      <c r="AI1235" s="609"/>
      <c r="AJ1235" s="610">
        <f t="shared" si="392"/>
        <v>-3600</v>
      </c>
      <c r="AK1235" s="610"/>
      <c r="AL1235" s="610"/>
      <c r="AM1235" s="554"/>
      <c r="AN1235" s="554">
        <f t="shared" si="387"/>
        <v>3600</v>
      </c>
      <c r="AO1235" s="554"/>
      <c r="AP1235" s="554"/>
      <c r="AQ1235" s="554"/>
      <c r="AR1235" s="554"/>
      <c r="AS1235" s="554">
        <f>I1235</f>
        <v>3600</v>
      </c>
      <c r="AT1235" s="554"/>
      <c r="AU1235" s="554">
        <f>I1235</f>
        <v>3600</v>
      </c>
      <c r="AV1235" s="554"/>
      <c r="AW1235" s="554">
        <f>I1235</f>
        <v>3600</v>
      </c>
      <c r="AX1235" s="714"/>
      <c r="AY1235" s="554"/>
      <c r="AZ1235" s="554"/>
      <c r="BA1235" s="554"/>
      <c r="BB1235" s="554"/>
      <c r="BC1235" s="554"/>
      <c r="BD1235" s="554"/>
      <c r="BE1235" s="554"/>
      <c r="BF1235" s="554"/>
      <c r="BG1235" s="554"/>
      <c r="BH1235" s="554"/>
      <c r="BI1235" s="554"/>
      <c r="BJ1235" s="554"/>
      <c r="BK1235" s="554"/>
      <c r="BL1235" s="554"/>
      <c r="BM1235" s="554"/>
      <c r="BN1235" s="554">
        <f>I1235</f>
        <v>3600</v>
      </c>
      <c r="BO1235" s="554"/>
      <c r="BP1235" s="554"/>
      <c r="BQ1235" s="554"/>
      <c r="BR1235" s="554"/>
      <c r="BS1235" s="554"/>
      <c r="BT1235" s="554"/>
      <c r="BU1235" s="554"/>
      <c r="BV1235" s="554"/>
      <c r="BW1235" s="554"/>
      <c r="BX1235" s="554"/>
      <c r="BY1235" s="554"/>
      <c r="BZ1235" s="554"/>
      <c r="CA1235" s="554"/>
      <c r="CB1235" s="554"/>
      <c r="CC1235" s="554"/>
      <c r="CD1235" s="554"/>
      <c r="CE1235" s="554"/>
      <c r="CF1235" s="554"/>
      <c r="CG1235" s="554"/>
      <c r="CH1235" s="619"/>
      <c r="CI1235" s="619"/>
      <c r="CJ1235" s="619"/>
      <c r="CK1235" s="619"/>
      <c r="CL1235" s="619"/>
      <c r="CM1235" s="554"/>
      <c r="CN1235" s="554"/>
      <c r="CO1235" s="554"/>
      <c r="CP1235" s="619"/>
      <c r="CQ1235" s="619"/>
      <c r="CR1235" s="619"/>
      <c r="CS1235" s="619"/>
      <c r="CT1235" s="619"/>
      <c r="CU1235" s="619"/>
      <c r="CV1235" s="1325"/>
    </row>
    <row r="1236" s="1267" customFormat="1" ht="31" customHeight="1" spans="1:100">
      <c r="A1236" s="608">
        <v>46177</v>
      </c>
      <c r="B1236" s="609" t="s">
        <v>4724</v>
      </c>
      <c r="C1236" s="610" t="s">
        <v>212</v>
      </c>
      <c r="D1236" s="554">
        <v>4500210768</v>
      </c>
      <c r="E1236" s="610" t="s">
        <v>4725</v>
      </c>
      <c r="F1236" s="554" t="s">
        <v>4779</v>
      </c>
      <c r="G1236" s="610" t="s">
        <v>518</v>
      </c>
      <c r="H1236" s="610" t="s">
        <v>477</v>
      </c>
      <c r="I1236" s="715">
        <v>360</v>
      </c>
      <c r="J1236" s="610">
        <v>0</v>
      </c>
      <c r="K1236" s="610">
        <v>6</v>
      </c>
      <c r="L1236" s="611">
        <f t="shared" si="393"/>
        <v>60</v>
      </c>
      <c r="M1236" s="612">
        <v>46216</v>
      </c>
      <c r="N1236" s="612">
        <v>46212</v>
      </c>
      <c r="O1236" s="613"/>
      <c r="P1236" s="610" t="s">
        <v>113</v>
      </c>
      <c r="Q1236" s="614"/>
      <c r="R1236" s="614">
        <v>46178</v>
      </c>
      <c r="S1236" s="614" t="s">
        <v>70</v>
      </c>
      <c r="T1236" s="614" t="s">
        <v>4780</v>
      </c>
      <c r="U1236" s="614"/>
      <c r="V1236" s="614"/>
      <c r="W1236" s="609"/>
      <c r="X1236" s="609" t="s">
        <v>3308</v>
      </c>
      <c r="Y1236" s="616" t="s">
        <v>3527</v>
      </c>
      <c r="Z1236" s="625">
        <v>7.2373</v>
      </c>
      <c r="AA1236" s="616">
        <f t="shared" si="391"/>
        <v>2605.428</v>
      </c>
      <c r="AB1236" s="554"/>
      <c r="AC1236" s="617"/>
      <c r="AD1236" s="610" t="s">
        <v>480</v>
      </c>
      <c r="AE1236" s="610" t="s">
        <v>82</v>
      </c>
      <c r="AF1236" s="610"/>
      <c r="AG1236" s="610"/>
      <c r="AH1236" s="610"/>
      <c r="AI1236" s="609"/>
      <c r="AJ1236" s="610">
        <f t="shared" si="392"/>
        <v>-360</v>
      </c>
      <c r="AK1236" s="610"/>
      <c r="AL1236" s="610"/>
      <c r="AM1236" s="554"/>
      <c r="AN1236" s="554">
        <f t="shared" si="387"/>
        <v>360</v>
      </c>
      <c r="AO1236" s="554"/>
      <c r="AP1236" s="554"/>
      <c r="AQ1236" s="554"/>
      <c r="AR1236" s="554">
        <f>I1236</f>
        <v>360</v>
      </c>
      <c r="AS1236" s="554"/>
      <c r="AT1236" s="554"/>
      <c r="AU1236" s="554">
        <f>I1236</f>
        <v>360</v>
      </c>
      <c r="AV1236" s="554"/>
      <c r="AW1236" s="554">
        <f>I1236</f>
        <v>360</v>
      </c>
      <c r="AX1236" s="714"/>
      <c r="AY1236" s="554"/>
      <c r="AZ1236" s="554"/>
      <c r="BA1236" s="554"/>
      <c r="BB1236" s="554"/>
      <c r="BC1236" s="554"/>
      <c r="BD1236" s="554"/>
      <c r="BE1236" s="554"/>
      <c r="BF1236" s="554"/>
      <c r="BG1236" s="554"/>
      <c r="BH1236" s="554"/>
      <c r="BI1236" s="554"/>
      <c r="BJ1236" s="554"/>
      <c r="BK1236" s="554"/>
      <c r="BL1236" s="554"/>
      <c r="BM1236" s="554"/>
      <c r="BN1236" s="554">
        <f>I1236</f>
        <v>360</v>
      </c>
      <c r="BO1236" s="554"/>
      <c r="BP1236" s="554"/>
      <c r="BQ1236" s="554"/>
      <c r="BR1236" s="554"/>
      <c r="BS1236" s="554"/>
      <c r="BT1236" s="554"/>
      <c r="BU1236" s="554"/>
      <c r="BV1236" s="554"/>
      <c r="BW1236" s="554"/>
      <c r="BX1236" s="554"/>
      <c r="BY1236" s="554"/>
      <c r="BZ1236" s="554"/>
      <c r="CA1236" s="554"/>
      <c r="CB1236" s="554"/>
      <c r="CC1236" s="554"/>
      <c r="CD1236" s="554"/>
      <c r="CE1236" s="554"/>
      <c r="CF1236" s="554"/>
      <c r="CG1236" s="554"/>
      <c r="CH1236" s="619"/>
      <c r="CI1236" s="619"/>
      <c r="CJ1236" s="619"/>
      <c r="CK1236" s="619"/>
      <c r="CL1236" s="619"/>
      <c r="CM1236" s="554"/>
      <c r="CN1236" s="554"/>
      <c r="CO1236" s="554"/>
      <c r="CP1236" s="619"/>
      <c r="CQ1236" s="619"/>
      <c r="CR1236" s="619"/>
      <c r="CS1236" s="619"/>
      <c r="CT1236" s="619"/>
      <c r="CU1236" s="619"/>
    </row>
    <row r="1237" s="1267" customFormat="1" ht="31" customHeight="1" spans="1:100">
      <c r="A1237" s="608">
        <v>46127</v>
      </c>
      <c r="B1237" s="609" t="s">
        <v>4321</v>
      </c>
      <c r="C1237" s="610" t="s">
        <v>154</v>
      </c>
      <c r="D1237" s="554">
        <v>4500202230</v>
      </c>
      <c r="E1237" s="1419" t="s">
        <v>4781</v>
      </c>
      <c r="F1237" s="554" t="s">
        <v>4782</v>
      </c>
      <c r="G1237" s="610" t="s">
        <v>68</v>
      </c>
      <c r="H1237" s="610" t="s">
        <v>69</v>
      </c>
      <c r="I1237" s="715">
        <v>1008</v>
      </c>
      <c r="J1237" s="610">
        <v>0</v>
      </c>
      <c r="K1237" s="610">
        <v>12</v>
      </c>
      <c r="L1237" s="611">
        <f t="shared" si="393"/>
        <v>84</v>
      </c>
      <c r="M1237" s="724">
        <v>46225</v>
      </c>
      <c r="N1237" s="724">
        <v>46221</v>
      </c>
      <c r="O1237" s="613"/>
      <c r="P1237" s="610" t="s">
        <v>113</v>
      </c>
      <c r="Q1237" s="614">
        <v>46226</v>
      </c>
      <c r="R1237" s="614">
        <v>46172</v>
      </c>
      <c r="S1237" s="614" t="s">
        <v>70</v>
      </c>
      <c r="T1237" s="614" t="s">
        <v>4783</v>
      </c>
      <c r="U1237" s="614"/>
      <c r="V1237" s="614"/>
      <c r="W1237" s="609" t="s">
        <v>4784</v>
      </c>
      <c r="X1237" s="609" t="s">
        <v>4785</v>
      </c>
      <c r="Y1237" s="616" t="s">
        <v>167</v>
      </c>
      <c r="Z1237" s="625">
        <v>4.2622</v>
      </c>
      <c r="AA1237" s="616">
        <f t="shared" si="391"/>
        <v>4296.2976</v>
      </c>
      <c r="AB1237" s="554"/>
      <c r="AC1237" s="617"/>
      <c r="AD1237" s="610" t="s">
        <v>184</v>
      </c>
      <c r="AE1237" s="610" t="s">
        <v>82</v>
      </c>
      <c r="AF1237" s="610"/>
      <c r="AG1237" s="610"/>
      <c r="AH1237" s="610"/>
      <c r="AI1237" s="609">
        <v>1008</v>
      </c>
      <c r="AJ1237" s="610">
        <f t="shared" si="392"/>
        <v>0</v>
      </c>
      <c r="AK1237" s="610"/>
      <c r="AL1237" s="610" t="s">
        <v>2368</v>
      </c>
      <c r="AM1237" s="554"/>
      <c r="AN1237" s="554">
        <f>I1237</f>
        <v>1008</v>
      </c>
      <c r="AO1237" s="554"/>
      <c r="AP1237" s="554"/>
      <c r="AQ1237" s="554"/>
      <c r="AR1237" s="554"/>
      <c r="AS1237" s="554">
        <f>I1237</f>
        <v>1008</v>
      </c>
      <c r="AT1237" s="554"/>
      <c r="AU1237" s="554">
        <f>I1237</f>
        <v>1008</v>
      </c>
      <c r="AV1237" s="554"/>
      <c r="AW1237" s="554">
        <f>I1237</f>
        <v>1008</v>
      </c>
      <c r="AX1237" s="714"/>
      <c r="AY1237" s="554"/>
      <c r="AZ1237" s="554"/>
      <c r="BA1237" s="554"/>
      <c r="BB1237" s="554"/>
      <c r="BC1237" s="554"/>
      <c r="BD1237" s="554"/>
      <c r="BE1237" s="554"/>
      <c r="BF1237" s="554"/>
      <c r="BG1237" s="554"/>
      <c r="BH1237" s="554"/>
      <c r="BI1237" s="554"/>
      <c r="BJ1237" s="554"/>
      <c r="BK1237" s="554"/>
      <c r="BL1237" s="554"/>
      <c r="BM1237" s="554"/>
      <c r="BN1237" s="554"/>
      <c r="BO1237" s="554"/>
      <c r="BP1237" s="554"/>
      <c r="BQ1237" s="554"/>
      <c r="BR1237" s="554"/>
      <c r="BS1237" s="554"/>
      <c r="BT1237" s="554"/>
      <c r="BU1237" s="554"/>
      <c r="BV1237" s="554"/>
      <c r="BW1237" s="554"/>
      <c r="BX1237" s="554"/>
      <c r="BY1237" s="554"/>
      <c r="BZ1237" s="554"/>
      <c r="CA1237" s="554"/>
      <c r="CB1237" s="554"/>
      <c r="CC1237" s="554"/>
      <c r="CD1237" s="554"/>
      <c r="CE1237" s="554"/>
      <c r="CF1237" s="554"/>
      <c r="CG1237" s="554"/>
      <c r="CH1237" s="619"/>
      <c r="CI1237" s="619"/>
      <c r="CJ1237" s="619"/>
      <c r="CK1237" s="619"/>
      <c r="CL1237" s="619"/>
      <c r="CM1237" s="554"/>
      <c r="CN1237" s="554"/>
      <c r="CO1237" s="554"/>
      <c r="CP1237" s="619"/>
      <c r="CQ1237" s="619"/>
      <c r="CR1237" s="619"/>
      <c r="CS1237" s="619"/>
      <c r="CT1237" s="619"/>
      <c r="CU1237" s="619"/>
    </row>
    <row r="1238" s="1267" customFormat="1" ht="31" customHeight="1" spans="1:100">
      <c r="A1238" s="608">
        <v>46168</v>
      </c>
      <c r="B1238" s="609" t="s">
        <v>1337</v>
      </c>
      <c r="C1238" s="610" t="s">
        <v>931</v>
      </c>
      <c r="D1238" s="554" t="s">
        <v>4786</v>
      </c>
      <c r="E1238" s="610" t="s">
        <v>3846</v>
      </c>
      <c r="F1238" s="554" t="s">
        <v>4787</v>
      </c>
      <c r="G1238" s="610" t="s">
        <v>68</v>
      </c>
      <c r="H1238" s="610" t="s">
        <v>69</v>
      </c>
      <c r="I1238" s="715">
        <v>2088</v>
      </c>
      <c r="J1238" s="610">
        <v>0</v>
      </c>
      <c r="K1238" s="610">
        <v>12</v>
      </c>
      <c r="L1238" s="611">
        <f t="shared" si="393"/>
        <v>174</v>
      </c>
      <c r="M1238" s="612">
        <v>46212</v>
      </c>
      <c r="N1238" s="612">
        <v>46209</v>
      </c>
      <c r="O1238" s="613"/>
      <c r="P1238" s="610" t="s">
        <v>113</v>
      </c>
      <c r="Q1238" s="614"/>
      <c r="R1238" s="614">
        <v>46178</v>
      </c>
      <c r="S1238" s="614" t="s">
        <v>70</v>
      </c>
      <c r="T1238" s="614" t="s">
        <v>4460</v>
      </c>
      <c r="U1238" s="614"/>
      <c r="V1238" s="614"/>
      <c r="W1238" s="609"/>
      <c r="X1238" s="609" t="s">
        <v>4788</v>
      </c>
      <c r="Y1238" s="616" t="s">
        <v>943</v>
      </c>
      <c r="Z1238" s="625">
        <v>4.3734</v>
      </c>
      <c r="AA1238" s="616">
        <f t="shared" si="391"/>
        <v>9131.6592</v>
      </c>
      <c r="AB1238" s="554"/>
      <c r="AC1238" s="617"/>
      <c r="AD1238" s="610" t="s">
        <v>184</v>
      </c>
      <c r="AE1238" s="610" t="s">
        <v>82</v>
      </c>
      <c r="AF1238" s="610"/>
      <c r="AG1238" s="610"/>
      <c r="AH1238" s="610"/>
      <c r="AI1238" s="609">
        <v>2088</v>
      </c>
      <c r="AJ1238" s="610">
        <f t="shared" si="392"/>
        <v>0</v>
      </c>
      <c r="AK1238" s="610"/>
      <c r="AL1238" s="610" t="s">
        <v>2368</v>
      </c>
      <c r="AM1238" s="554"/>
      <c r="AN1238" s="554">
        <f>I1238</f>
        <v>2088</v>
      </c>
      <c r="AO1238" s="554"/>
      <c r="AP1238" s="554"/>
      <c r="AQ1238" s="554"/>
      <c r="AR1238" s="554"/>
      <c r="AS1238" s="554">
        <f>I1238</f>
        <v>2088</v>
      </c>
      <c r="AT1238" s="554"/>
      <c r="AU1238" s="554">
        <f>I1238</f>
        <v>2088</v>
      </c>
      <c r="AV1238" s="554"/>
      <c r="AW1238" s="554"/>
      <c r="AX1238" s="714"/>
      <c r="AY1238" s="554"/>
      <c r="AZ1238" s="554"/>
      <c r="BA1238" s="554"/>
      <c r="BB1238" s="554"/>
      <c r="BC1238" s="554"/>
      <c r="BD1238" s="554"/>
      <c r="BE1238" s="554"/>
      <c r="BF1238" s="554"/>
      <c r="BG1238" s="554"/>
      <c r="BH1238" s="554"/>
      <c r="BI1238" s="554"/>
      <c r="BJ1238" s="554"/>
      <c r="BK1238" s="554"/>
      <c r="BL1238" s="554"/>
      <c r="BM1238" s="554"/>
      <c r="BN1238" s="554"/>
      <c r="BO1238" s="554"/>
      <c r="BP1238" s="554"/>
      <c r="BQ1238" s="554"/>
      <c r="BR1238" s="554"/>
      <c r="BS1238" s="554"/>
      <c r="BT1238" s="554"/>
      <c r="BU1238" s="554"/>
      <c r="BV1238" s="554"/>
      <c r="BW1238" s="554"/>
      <c r="BX1238" s="554"/>
      <c r="BY1238" s="554"/>
      <c r="BZ1238" s="554"/>
      <c r="CA1238" s="554"/>
      <c r="CB1238" s="554"/>
      <c r="CC1238" s="554"/>
      <c r="CD1238" s="554"/>
      <c r="CE1238" s="554"/>
      <c r="CF1238" s="554"/>
      <c r="CG1238" s="554"/>
      <c r="CH1238" s="619"/>
      <c r="CI1238" s="619"/>
      <c r="CJ1238" s="619"/>
      <c r="CK1238" s="619"/>
      <c r="CL1238" s="619"/>
      <c r="CM1238" s="554"/>
      <c r="CN1238" s="554"/>
      <c r="CO1238" s="554"/>
      <c r="CP1238" s="619"/>
      <c r="CQ1238" s="619"/>
      <c r="CR1238" s="619"/>
      <c r="CS1238" s="619"/>
      <c r="CT1238" s="619"/>
      <c r="CU1238" s="619"/>
    </row>
    <row r="1239" s="1267" customFormat="1" ht="31" customHeight="1" spans="1:100">
      <c r="A1239" s="608">
        <v>46174</v>
      </c>
      <c r="B1239" s="609" t="s">
        <v>3996</v>
      </c>
      <c r="C1239" s="610" t="s">
        <v>278</v>
      </c>
      <c r="D1239" s="554" t="s">
        <v>4789</v>
      </c>
      <c r="E1239" s="610" t="s">
        <v>4790</v>
      </c>
      <c r="F1239" s="554" t="s">
        <v>4791</v>
      </c>
      <c r="G1239" s="610" t="s">
        <v>518</v>
      </c>
      <c r="H1239" s="610" t="s">
        <v>477</v>
      </c>
      <c r="I1239" s="715">
        <v>2004</v>
      </c>
      <c r="J1239" s="610">
        <v>0</v>
      </c>
      <c r="K1239" s="610">
        <v>6</v>
      </c>
      <c r="L1239" s="611">
        <f t="shared" si="393"/>
        <v>334</v>
      </c>
      <c r="M1239" s="612">
        <v>46218</v>
      </c>
      <c r="N1239" s="612">
        <v>46214</v>
      </c>
      <c r="O1239" s="613"/>
      <c r="P1239" s="610" t="s">
        <v>113</v>
      </c>
      <c r="Q1239" s="614">
        <v>46224</v>
      </c>
      <c r="R1239" s="614">
        <v>46174</v>
      </c>
      <c r="S1239" s="614" t="s">
        <v>70</v>
      </c>
      <c r="T1239" s="614" t="s">
        <v>4792</v>
      </c>
      <c r="U1239" s="614"/>
      <c r="V1239" s="614"/>
      <c r="W1239" s="609"/>
      <c r="X1239" s="609" t="s">
        <v>4793</v>
      </c>
      <c r="Y1239" s="616" t="s">
        <v>1894</v>
      </c>
      <c r="Z1239" s="625">
        <v>7.0149</v>
      </c>
      <c r="AA1239" s="616">
        <f t="shared" ref="AA1239:AA1260" si="397">Z1239*I1239</f>
        <v>14057.8596</v>
      </c>
      <c r="AB1239" s="554"/>
      <c r="AC1239" s="617"/>
      <c r="AD1239" s="610" t="s">
        <v>480</v>
      </c>
      <c r="AE1239" s="610" t="s">
        <v>82</v>
      </c>
      <c r="AF1239" s="610"/>
      <c r="AG1239" s="610"/>
      <c r="AH1239" s="610"/>
      <c r="AI1239" s="609"/>
      <c r="AJ1239" s="610">
        <f t="shared" si="392"/>
        <v>-2004</v>
      </c>
      <c r="AK1239" s="610"/>
      <c r="AL1239" s="610"/>
      <c r="AM1239" s="554"/>
      <c r="AN1239" s="554">
        <f t="shared" ref="AN1239:AN1260" si="398">I1239</f>
        <v>2004</v>
      </c>
      <c r="AO1239" s="554"/>
      <c r="AP1239" s="554"/>
      <c r="AQ1239" s="554"/>
      <c r="AR1239" s="554"/>
      <c r="AS1239" s="554">
        <f t="shared" ref="AS1239:AS1244" si="399">I1239</f>
        <v>2004</v>
      </c>
      <c r="AT1239" s="554"/>
      <c r="AU1239" s="554">
        <f t="shared" ref="AU1239:AU1258" si="400">I1239</f>
        <v>2004</v>
      </c>
      <c r="AV1239" s="554"/>
      <c r="AW1239" s="554">
        <f t="shared" ref="AW1239:AW1260" si="401">I1239</f>
        <v>2004</v>
      </c>
      <c r="AX1239" s="714"/>
      <c r="AY1239" s="554"/>
      <c r="AZ1239" s="554"/>
      <c r="BA1239" s="554"/>
      <c r="BB1239" s="554"/>
      <c r="BC1239" s="554"/>
      <c r="BD1239" s="554"/>
      <c r="BE1239" s="554"/>
      <c r="BF1239" s="554"/>
      <c r="BG1239" s="554"/>
      <c r="BH1239" s="554"/>
      <c r="BI1239" s="554"/>
      <c r="BJ1239" s="554"/>
      <c r="BK1239" s="554"/>
      <c r="BL1239" s="554"/>
      <c r="BM1239" s="554"/>
      <c r="BN1239" s="554">
        <f>I1239</f>
        <v>2004</v>
      </c>
      <c r="BO1239" s="554"/>
      <c r="BP1239" s="554"/>
      <c r="BQ1239" s="554"/>
      <c r="BR1239" s="554"/>
      <c r="BS1239" s="554"/>
      <c r="BT1239" s="554"/>
      <c r="BU1239" s="554"/>
      <c r="BV1239" s="554"/>
      <c r="BW1239" s="554"/>
      <c r="BX1239" s="554"/>
      <c r="BY1239" s="554"/>
      <c r="BZ1239" s="554"/>
      <c r="CA1239" s="554"/>
      <c r="CB1239" s="554"/>
      <c r="CC1239" s="554"/>
      <c r="CD1239" s="554"/>
      <c r="CE1239" s="554"/>
      <c r="CF1239" s="554"/>
      <c r="CG1239" s="554"/>
      <c r="CH1239" s="619"/>
      <c r="CI1239" s="619"/>
      <c r="CJ1239" s="619"/>
      <c r="CK1239" s="619"/>
      <c r="CL1239" s="619"/>
      <c r="CM1239" s="554"/>
      <c r="CN1239" s="554"/>
      <c r="CO1239" s="554"/>
      <c r="CP1239" s="619"/>
      <c r="CQ1239" s="619"/>
      <c r="CR1239" s="619"/>
      <c r="CS1239" s="619"/>
      <c r="CT1239" s="619"/>
      <c r="CU1239" s="619"/>
    </row>
    <row r="1240" s="1267" customFormat="1" ht="31" customHeight="1" spans="1:100">
      <c r="A1240" s="608">
        <v>46174</v>
      </c>
      <c r="B1240" s="609" t="s">
        <v>3996</v>
      </c>
      <c r="C1240" s="610" t="s">
        <v>278</v>
      </c>
      <c r="D1240" s="554" t="s">
        <v>4789</v>
      </c>
      <c r="E1240" s="610" t="s">
        <v>4794</v>
      </c>
      <c r="F1240" s="554" t="s">
        <v>4795</v>
      </c>
      <c r="G1240" s="610" t="s">
        <v>518</v>
      </c>
      <c r="H1240" s="610" t="s">
        <v>477</v>
      </c>
      <c r="I1240" s="715">
        <v>2004</v>
      </c>
      <c r="J1240" s="610">
        <v>0</v>
      </c>
      <c r="K1240" s="610">
        <v>6</v>
      </c>
      <c r="L1240" s="611">
        <f t="shared" si="393"/>
        <v>334</v>
      </c>
      <c r="M1240" s="612">
        <v>46218</v>
      </c>
      <c r="N1240" s="612">
        <v>46214</v>
      </c>
      <c r="O1240" s="613"/>
      <c r="P1240" s="610" t="s">
        <v>113</v>
      </c>
      <c r="Q1240" s="614">
        <v>46224</v>
      </c>
      <c r="R1240" s="614">
        <v>46174</v>
      </c>
      <c r="S1240" s="614" t="s">
        <v>70</v>
      </c>
      <c r="T1240" s="614" t="s">
        <v>4792</v>
      </c>
      <c r="U1240" s="614"/>
      <c r="V1240" s="614"/>
      <c r="W1240" s="609"/>
      <c r="X1240" s="609" t="s">
        <v>4796</v>
      </c>
      <c r="Y1240" s="616" t="s">
        <v>1894</v>
      </c>
      <c r="Z1240" s="625">
        <v>7.0149</v>
      </c>
      <c r="AA1240" s="616">
        <f t="shared" si="397"/>
        <v>14057.8596</v>
      </c>
      <c r="AB1240" s="554"/>
      <c r="AC1240" s="617"/>
      <c r="AD1240" s="610" t="s">
        <v>480</v>
      </c>
      <c r="AE1240" s="610" t="s">
        <v>82</v>
      </c>
      <c r="AF1240" s="610"/>
      <c r="AG1240" s="610"/>
      <c r="AH1240" s="610"/>
      <c r="AI1240" s="609"/>
      <c r="AJ1240" s="610">
        <f t="shared" si="392"/>
        <v>-2004</v>
      </c>
      <c r="AK1240" s="610"/>
      <c r="AL1240" s="610"/>
      <c r="AM1240" s="554"/>
      <c r="AN1240" s="554">
        <f t="shared" si="398"/>
        <v>2004</v>
      </c>
      <c r="AO1240" s="554"/>
      <c r="AP1240" s="554"/>
      <c r="AQ1240" s="554"/>
      <c r="AR1240" s="554"/>
      <c r="AS1240" s="554">
        <f t="shared" si="399"/>
        <v>2004</v>
      </c>
      <c r="AT1240" s="554"/>
      <c r="AU1240" s="554">
        <f t="shared" si="400"/>
        <v>2004</v>
      </c>
      <c r="AV1240" s="554"/>
      <c r="AW1240" s="554">
        <f t="shared" si="401"/>
        <v>2004</v>
      </c>
      <c r="AX1240" s="714"/>
      <c r="AY1240" s="554"/>
      <c r="AZ1240" s="554"/>
      <c r="BA1240" s="554"/>
      <c r="BB1240" s="554"/>
      <c r="BC1240" s="554"/>
      <c r="BD1240" s="554"/>
      <c r="BE1240" s="554"/>
      <c r="BF1240" s="554"/>
      <c r="BG1240" s="554"/>
      <c r="BH1240" s="554"/>
      <c r="BI1240" s="554"/>
      <c r="BJ1240" s="554"/>
      <c r="BK1240" s="554"/>
      <c r="BL1240" s="554"/>
      <c r="BM1240" s="554"/>
      <c r="BN1240" s="554">
        <f>I1240</f>
        <v>2004</v>
      </c>
      <c r="BO1240" s="554"/>
      <c r="BP1240" s="554"/>
      <c r="BQ1240" s="554"/>
      <c r="BR1240" s="554"/>
      <c r="BS1240" s="554"/>
      <c r="BT1240" s="554"/>
      <c r="BU1240" s="554"/>
      <c r="BV1240" s="554"/>
      <c r="BW1240" s="554"/>
      <c r="BX1240" s="554"/>
      <c r="BY1240" s="554"/>
      <c r="BZ1240" s="554"/>
      <c r="CA1240" s="554"/>
      <c r="CB1240" s="554"/>
      <c r="CC1240" s="554"/>
      <c r="CD1240" s="554"/>
      <c r="CE1240" s="554"/>
      <c r="CF1240" s="554"/>
      <c r="CG1240" s="554"/>
      <c r="CH1240" s="619"/>
      <c r="CI1240" s="619"/>
      <c r="CJ1240" s="619"/>
      <c r="CK1240" s="619"/>
      <c r="CL1240" s="619"/>
      <c r="CM1240" s="554"/>
      <c r="CN1240" s="554"/>
      <c r="CO1240" s="554"/>
      <c r="CP1240" s="619"/>
      <c r="CQ1240" s="619"/>
      <c r="CR1240" s="619"/>
      <c r="CS1240" s="619"/>
      <c r="CT1240" s="619"/>
      <c r="CU1240" s="619"/>
    </row>
    <row r="1241" s="1267" customFormat="1" ht="31" customHeight="1" spans="1:100">
      <c r="A1241" s="608">
        <v>46153</v>
      </c>
      <c r="B1241" s="609" t="s">
        <v>1337</v>
      </c>
      <c r="C1241" s="610" t="s">
        <v>931</v>
      </c>
      <c r="D1241" s="554" t="s">
        <v>4797</v>
      </c>
      <c r="E1241" s="610" t="s">
        <v>4798</v>
      </c>
      <c r="F1241" s="554" t="s">
        <v>4799</v>
      </c>
      <c r="G1241" s="610" t="s">
        <v>68</v>
      </c>
      <c r="H1241" s="610" t="s">
        <v>69</v>
      </c>
      <c r="I1241" s="715">
        <v>144</v>
      </c>
      <c r="J1241" s="610">
        <v>0</v>
      </c>
      <c r="K1241" s="610">
        <v>12</v>
      </c>
      <c r="L1241" s="611">
        <f t="shared" si="393"/>
        <v>12</v>
      </c>
      <c r="M1241" s="612">
        <v>46205</v>
      </c>
      <c r="N1241" s="724">
        <v>46216</v>
      </c>
      <c r="O1241" s="613"/>
      <c r="P1241" s="610" t="s">
        <v>113</v>
      </c>
      <c r="Q1241" s="614"/>
      <c r="R1241" s="614">
        <v>46170</v>
      </c>
      <c r="S1241" s="614" t="s">
        <v>70</v>
      </c>
      <c r="T1241" s="614" t="s">
        <v>4800</v>
      </c>
      <c r="U1241" s="614"/>
      <c r="V1241" s="614"/>
      <c r="W1241" s="609"/>
      <c r="X1241" s="609" t="s">
        <v>4801</v>
      </c>
      <c r="Y1241" s="616" t="s">
        <v>943</v>
      </c>
      <c r="Z1241" s="625">
        <v>4.2173</v>
      </c>
      <c r="AA1241" s="616">
        <f t="shared" si="397"/>
        <v>607.2912</v>
      </c>
      <c r="AB1241" s="554"/>
      <c r="AC1241" s="617"/>
      <c r="AD1241" s="610" t="s">
        <v>184</v>
      </c>
      <c r="AE1241" s="610" t="s">
        <v>82</v>
      </c>
      <c r="AF1241" s="610"/>
      <c r="AG1241" s="610"/>
      <c r="AH1241" s="610"/>
      <c r="AI1241" s="609">
        <v>144</v>
      </c>
      <c r="AJ1241" s="610">
        <f t="shared" si="392"/>
        <v>0</v>
      </c>
      <c r="AK1241" s="610"/>
      <c r="AL1241" s="610" t="s">
        <v>2368</v>
      </c>
      <c r="AM1241" s="554"/>
      <c r="AN1241" s="554">
        <f t="shared" si="398"/>
        <v>144</v>
      </c>
      <c r="AO1241" s="554"/>
      <c r="AP1241" s="554"/>
      <c r="AQ1241" s="554"/>
      <c r="AR1241" s="554"/>
      <c r="AS1241" s="554">
        <f t="shared" si="399"/>
        <v>144</v>
      </c>
      <c r="AT1241" s="554"/>
      <c r="AU1241" s="554">
        <f t="shared" si="400"/>
        <v>144</v>
      </c>
      <c r="AV1241" s="554"/>
      <c r="AW1241" s="554">
        <f t="shared" si="401"/>
        <v>144</v>
      </c>
      <c r="AX1241" s="714"/>
      <c r="AY1241" s="554"/>
      <c r="AZ1241" s="554"/>
      <c r="BA1241" s="554"/>
      <c r="BB1241" s="554"/>
      <c r="BC1241" s="554"/>
      <c r="BD1241" s="554"/>
      <c r="BE1241" s="554"/>
      <c r="BF1241" s="554"/>
      <c r="BG1241" s="554"/>
      <c r="BH1241" s="554"/>
      <c r="BI1241" s="554"/>
      <c r="BJ1241" s="554"/>
      <c r="BK1241" s="554"/>
      <c r="BL1241" s="554"/>
      <c r="BM1241" s="554"/>
      <c r="BN1241" s="554"/>
      <c r="BO1241" s="554"/>
      <c r="BP1241" s="554"/>
      <c r="BQ1241" s="554"/>
      <c r="BR1241" s="554"/>
      <c r="BS1241" s="554"/>
      <c r="BT1241" s="554"/>
      <c r="BU1241" s="554"/>
      <c r="BV1241" s="554"/>
      <c r="BW1241" s="554"/>
      <c r="BX1241" s="554"/>
      <c r="BY1241" s="554"/>
      <c r="BZ1241" s="554"/>
      <c r="CA1241" s="554"/>
      <c r="CB1241" s="554"/>
      <c r="CC1241" s="554"/>
      <c r="CD1241" s="554"/>
      <c r="CE1241" s="554"/>
      <c r="CF1241" s="554"/>
      <c r="CG1241" s="554"/>
      <c r="CH1241" s="619"/>
      <c r="CI1241" s="619"/>
      <c r="CJ1241" s="619"/>
      <c r="CK1241" s="619"/>
      <c r="CL1241" s="619"/>
      <c r="CM1241" s="554"/>
      <c r="CN1241" s="554"/>
      <c r="CO1241" s="554"/>
      <c r="CP1241" s="619"/>
      <c r="CQ1241" s="619"/>
      <c r="CR1241" s="619"/>
      <c r="CS1241" s="619"/>
      <c r="CT1241" s="619"/>
      <c r="CU1241" s="619"/>
    </row>
    <row r="1242" s="1267" customFormat="1" ht="31" customHeight="1" spans="1:100">
      <c r="A1242" s="608">
        <v>46154</v>
      </c>
      <c r="B1242" s="609" t="s">
        <v>1337</v>
      </c>
      <c r="C1242" s="610" t="s">
        <v>931</v>
      </c>
      <c r="D1242" s="554" t="s">
        <v>4802</v>
      </c>
      <c r="E1242" s="610" t="s">
        <v>4803</v>
      </c>
      <c r="F1242" s="554" t="s">
        <v>4804</v>
      </c>
      <c r="G1242" s="610" t="s">
        <v>68</v>
      </c>
      <c r="H1242" s="610" t="s">
        <v>69</v>
      </c>
      <c r="I1242" s="715">
        <v>348</v>
      </c>
      <c r="J1242" s="610">
        <v>0</v>
      </c>
      <c r="K1242" s="610">
        <v>12</v>
      </c>
      <c r="L1242" s="611">
        <f t="shared" si="393"/>
        <v>29</v>
      </c>
      <c r="M1242" s="612">
        <v>46223</v>
      </c>
      <c r="N1242" s="612">
        <v>46219</v>
      </c>
      <c r="O1242" s="613"/>
      <c r="P1242" s="610" t="s">
        <v>113</v>
      </c>
      <c r="Q1242" s="614"/>
      <c r="R1242" s="614">
        <v>46189</v>
      </c>
      <c r="S1242" s="614" t="s">
        <v>70</v>
      </c>
      <c r="T1242" s="614" t="s">
        <v>4805</v>
      </c>
      <c r="U1242" s="614"/>
      <c r="V1242" s="614"/>
      <c r="W1242" s="609"/>
      <c r="X1242" s="609" t="s">
        <v>4806</v>
      </c>
      <c r="Y1242" s="616" t="s">
        <v>943</v>
      </c>
      <c r="Z1242" s="625">
        <v>4.2622</v>
      </c>
      <c r="AA1242" s="616">
        <f t="shared" si="397"/>
        <v>1483.2456</v>
      </c>
      <c r="AB1242" s="554"/>
      <c r="AC1242" s="617"/>
      <c r="AD1242" s="610" t="s">
        <v>184</v>
      </c>
      <c r="AE1242" s="610" t="s">
        <v>82</v>
      </c>
      <c r="AF1242" s="610"/>
      <c r="AG1242" s="610"/>
      <c r="AH1242" s="610"/>
      <c r="AI1242" s="609">
        <v>348</v>
      </c>
      <c r="AJ1242" s="610">
        <f t="shared" si="392"/>
        <v>0</v>
      </c>
      <c r="AK1242" s="610"/>
      <c r="AL1242" s="610" t="s">
        <v>2368</v>
      </c>
      <c r="AM1242" s="554"/>
      <c r="AN1242" s="554">
        <f t="shared" si="398"/>
        <v>348</v>
      </c>
      <c r="AO1242" s="554"/>
      <c r="AP1242" s="554"/>
      <c r="AQ1242" s="554"/>
      <c r="AR1242" s="554"/>
      <c r="AS1242" s="554">
        <f t="shared" si="399"/>
        <v>348</v>
      </c>
      <c r="AT1242" s="554"/>
      <c r="AU1242" s="554">
        <f t="shared" si="400"/>
        <v>348</v>
      </c>
      <c r="AV1242" s="554"/>
      <c r="AW1242" s="554">
        <f t="shared" si="401"/>
        <v>348</v>
      </c>
      <c r="AX1242" s="714"/>
      <c r="AY1242" s="554"/>
      <c r="AZ1242" s="554"/>
      <c r="BA1242" s="554"/>
      <c r="BB1242" s="554"/>
      <c r="BC1242" s="554"/>
      <c r="BD1242" s="554"/>
      <c r="BE1242" s="554"/>
      <c r="BF1242" s="554"/>
      <c r="BG1242" s="554"/>
      <c r="BH1242" s="554"/>
      <c r="BI1242" s="554"/>
      <c r="BJ1242" s="554"/>
      <c r="BK1242" s="554"/>
      <c r="BL1242" s="554"/>
      <c r="BM1242" s="554"/>
      <c r="BN1242" s="554"/>
      <c r="BO1242" s="554"/>
      <c r="BP1242" s="554"/>
      <c r="BQ1242" s="554"/>
      <c r="BR1242" s="554"/>
      <c r="BS1242" s="554"/>
      <c r="BT1242" s="554"/>
      <c r="BU1242" s="554"/>
      <c r="BV1242" s="554"/>
      <c r="BW1242" s="554"/>
      <c r="BX1242" s="554"/>
      <c r="BY1242" s="554"/>
      <c r="BZ1242" s="554"/>
      <c r="CA1242" s="554"/>
      <c r="CB1242" s="554"/>
      <c r="CC1242" s="554"/>
      <c r="CD1242" s="554"/>
      <c r="CE1242" s="554"/>
      <c r="CF1242" s="554"/>
      <c r="CG1242" s="554"/>
      <c r="CH1242" s="619"/>
      <c r="CI1242" s="619"/>
      <c r="CJ1242" s="619"/>
      <c r="CK1242" s="619"/>
      <c r="CL1242" s="619"/>
      <c r="CM1242" s="554"/>
      <c r="CN1242" s="554"/>
      <c r="CO1242" s="554"/>
      <c r="CP1242" s="619"/>
      <c r="CQ1242" s="619"/>
      <c r="CR1242" s="619"/>
      <c r="CS1242" s="619"/>
      <c r="CT1242" s="619"/>
      <c r="CU1242" s="619"/>
    </row>
    <row r="1243" s="1267" customFormat="1" ht="31" customHeight="1" spans="1:100">
      <c r="A1243" s="608">
        <v>46139</v>
      </c>
      <c r="B1243" s="609" t="s">
        <v>4807</v>
      </c>
      <c r="C1243" s="610" t="s">
        <v>302</v>
      </c>
      <c r="D1243" s="554" t="s">
        <v>4808</v>
      </c>
      <c r="E1243" s="610" t="s">
        <v>4809</v>
      </c>
      <c r="F1243" s="554" t="s">
        <v>4810</v>
      </c>
      <c r="G1243" s="610" t="s">
        <v>101</v>
      </c>
      <c r="H1243" s="610" t="s">
        <v>102</v>
      </c>
      <c r="I1243" s="715">
        <v>132</v>
      </c>
      <c r="J1243" s="610">
        <v>0</v>
      </c>
      <c r="K1243" s="610">
        <v>4</v>
      </c>
      <c r="L1243" s="611">
        <f t="shared" si="393"/>
        <v>33</v>
      </c>
      <c r="M1243" s="612">
        <v>46223</v>
      </c>
      <c r="N1243" s="612">
        <v>46219</v>
      </c>
      <c r="O1243" s="613"/>
      <c r="P1243" s="610" t="s">
        <v>113</v>
      </c>
      <c r="Q1243" s="614">
        <v>46231</v>
      </c>
      <c r="R1243" s="614">
        <v>46142</v>
      </c>
      <c r="S1243" s="614" t="s">
        <v>70</v>
      </c>
      <c r="T1243" s="614" t="s">
        <v>70</v>
      </c>
      <c r="U1243" s="614"/>
      <c r="V1243" s="614"/>
      <c r="W1243" s="609"/>
      <c r="X1243" s="609" t="s">
        <v>4811</v>
      </c>
      <c r="Y1243" s="616" t="s">
        <v>261</v>
      </c>
      <c r="Z1243" s="625">
        <v>4.3522</v>
      </c>
      <c r="AA1243" s="616">
        <f t="shared" si="397"/>
        <v>574.4904</v>
      </c>
      <c r="AB1243" s="554"/>
      <c r="AC1243" s="617"/>
      <c r="AD1243" s="610" t="s">
        <v>156</v>
      </c>
      <c r="AE1243" s="610" t="s">
        <v>82</v>
      </c>
      <c r="AF1243" s="610"/>
      <c r="AG1243" s="610"/>
      <c r="AH1243" s="610"/>
      <c r="AI1243" s="609">
        <v>132</v>
      </c>
      <c r="AJ1243" s="613">
        <f t="shared" si="392"/>
        <v>0</v>
      </c>
      <c r="AK1243" s="610"/>
      <c r="AL1243" s="610"/>
      <c r="AM1243" s="554"/>
      <c r="AN1243" s="554">
        <f t="shared" si="398"/>
        <v>132</v>
      </c>
      <c r="AO1243" s="554"/>
      <c r="AP1243" s="554"/>
      <c r="AQ1243" s="554"/>
      <c r="AR1243" s="554"/>
      <c r="AS1243" s="554">
        <f t="shared" si="399"/>
        <v>132</v>
      </c>
      <c r="AT1243" s="554"/>
      <c r="AU1243" s="554">
        <f t="shared" si="400"/>
        <v>132</v>
      </c>
      <c r="AV1243" s="554"/>
      <c r="AW1243" s="554">
        <f t="shared" si="401"/>
        <v>132</v>
      </c>
      <c r="AX1243" s="714"/>
      <c r="AY1243" s="554"/>
      <c r="AZ1243" s="554"/>
      <c r="BA1243" s="554"/>
      <c r="BB1243" s="554"/>
      <c r="BC1243" s="554"/>
      <c r="BD1243" s="554"/>
      <c r="BE1243" s="554"/>
      <c r="BF1243" s="554"/>
      <c r="BG1243" s="554"/>
      <c r="BH1243" s="554"/>
      <c r="BI1243" s="554">
        <f>I1243/4</f>
        <v>33</v>
      </c>
      <c r="BJ1243" s="554"/>
      <c r="BK1243" s="554"/>
      <c r="BL1243" s="554"/>
      <c r="BM1243" s="554"/>
      <c r="BN1243" s="554"/>
      <c r="BO1243" s="554"/>
      <c r="BP1243" s="554"/>
      <c r="BQ1243" s="554"/>
      <c r="BR1243" s="554"/>
      <c r="BS1243" s="554"/>
      <c r="BT1243" s="554"/>
      <c r="BU1243" s="554"/>
      <c r="BV1243" s="554"/>
      <c r="BW1243" s="554"/>
      <c r="BX1243" s="554"/>
      <c r="BY1243" s="554"/>
      <c r="BZ1243" s="554"/>
      <c r="CA1243" s="554"/>
      <c r="CB1243" s="554"/>
      <c r="CC1243" s="554"/>
      <c r="CD1243" s="554"/>
      <c r="CE1243" s="554"/>
      <c r="CF1243" s="554"/>
      <c r="CG1243" s="554"/>
      <c r="CH1243" s="619"/>
      <c r="CI1243" s="619"/>
      <c r="CJ1243" s="619"/>
      <c r="CK1243" s="619"/>
      <c r="CL1243" s="619"/>
      <c r="CM1243" s="554"/>
      <c r="CN1243" s="554"/>
      <c r="CO1243" s="554"/>
      <c r="CP1243" s="619"/>
      <c r="CQ1243" s="619"/>
      <c r="CR1243" s="619"/>
      <c r="CS1243" s="619"/>
      <c r="CT1243" s="619"/>
      <c r="CU1243" s="619"/>
    </row>
    <row r="1244" s="1267" customFormat="1" ht="31" customHeight="1" spans="1:100">
      <c r="A1244" s="608">
        <v>46178</v>
      </c>
      <c r="B1244" s="609" t="s">
        <v>4812</v>
      </c>
      <c r="C1244" s="610" t="s">
        <v>98</v>
      </c>
      <c r="D1244" s="554">
        <v>4500210873</v>
      </c>
      <c r="E1244" s="610">
        <v>805157</v>
      </c>
      <c r="F1244" s="554" t="s">
        <v>4813</v>
      </c>
      <c r="G1244" s="610" t="s">
        <v>101</v>
      </c>
      <c r="H1244" s="610" t="s">
        <v>102</v>
      </c>
      <c r="I1244" s="715">
        <v>3428</v>
      </c>
      <c r="J1244" s="610">
        <v>0</v>
      </c>
      <c r="K1244" s="610">
        <v>4</v>
      </c>
      <c r="L1244" s="611">
        <f t="shared" si="393"/>
        <v>857</v>
      </c>
      <c r="M1244" s="612">
        <v>46224</v>
      </c>
      <c r="N1244" s="612">
        <v>46220</v>
      </c>
      <c r="O1244" s="613"/>
      <c r="P1244" s="610" t="s">
        <v>113</v>
      </c>
      <c r="Q1244" s="614">
        <v>46227</v>
      </c>
      <c r="R1244" s="614">
        <v>46178</v>
      </c>
      <c r="S1244" s="614" t="s">
        <v>70</v>
      </c>
      <c r="T1244" s="614" t="s">
        <v>4814</v>
      </c>
      <c r="U1244" s="614"/>
      <c r="V1244" s="614" t="s">
        <v>4815</v>
      </c>
      <c r="W1244" s="609" t="s">
        <v>4816</v>
      </c>
      <c r="X1244" s="609" t="s">
        <v>4817</v>
      </c>
      <c r="Y1244" s="616" t="s">
        <v>4818</v>
      </c>
      <c r="Z1244" s="625">
        <v>2.7075</v>
      </c>
      <c r="AA1244" s="616">
        <f t="shared" si="397"/>
        <v>9281.31</v>
      </c>
      <c r="AB1244" s="554"/>
      <c r="AC1244" s="629" t="s">
        <v>4819</v>
      </c>
      <c r="AD1244" s="610" t="s">
        <v>156</v>
      </c>
      <c r="AE1244" s="610" t="s">
        <v>82</v>
      </c>
      <c r="AF1244" s="610"/>
      <c r="AG1244" s="610"/>
      <c r="AH1244" s="610"/>
      <c r="AI1244" s="609">
        <v>3428</v>
      </c>
      <c r="AJ1244" s="613">
        <f t="shared" si="392"/>
        <v>0</v>
      </c>
      <c r="AK1244" s="610"/>
      <c r="AL1244" s="610" t="s">
        <v>454</v>
      </c>
      <c r="AM1244" s="554"/>
      <c r="AN1244" s="554">
        <f t="shared" si="398"/>
        <v>3428</v>
      </c>
      <c r="AO1244" s="554"/>
      <c r="AP1244" s="554"/>
      <c r="AQ1244" s="554"/>
      <c r="AR1244" s="554"/>
      <c r="AS1244" s="554">
        <f t="shared" si="399"/>
        <v>3428</v>
      </c>
      <c r="AT1244" s="554"/>
      <c r="AU1244" s="554">
        <f t="shared" si="400"/>
        <v>3428</v>
      </c>
      <c r="AV1244" s="554"/>
      <c r="AW1244" s="554">
        <f t="shared" si="401"/>
        <v>3428</v>
      </c>
      <c r="AX1244" s="714"/>
      <c r="AY1244" s="554"/>
      <c r="AZ1244" s="554"/>
      <c r="BA1244" s="554"/>
      <c r="BB1244" s="554"/>
      <c r="BC1244" s="554"/>
      <c r="BD1244" s="554"/>
      <c r="BE1244" s="554"/>
      <c r="BF1244" s="554"/>
      <c r="BG1244" s="554"/>
      <c r="BH1244" s="554"/>
      <c r="BI1244" s="554">
        <f>I1244/4</f>
        <v>857</v>
      </c>
      <c r="BJ1244" s="554"/>
      <c r="BK1244" s="554"/>
      <c r="BL1244" s="554"/>
      <c r="BM1244" s="554"/>
      <c r="BN1244" s="554"/>
      <c r="BO1244" s="554"/>
      <c r="BP1244" s="554"/>
      <c r="BQ1244" s="554"/>
      <c r="BR1244" s="554"/>
      <c r="BS1244" s="554"/>
      <c r="BT1244" s="554"/>
      <c r="BU1244" s="554"/>
      <c r="BV1244" s="554"/>
      <c r="BW1244" s="554"/>
      <c r="BX1244" s="554"/>
      <c r="BY1244" s="554"/>
      <c r="BZ1244" s="554"/>
      <c r="CA1244" s="554"/>
      <c r="CB1244" s="554"/>
      <c r="CC1244" s="554"/>
      <c r="CD1244" s="554"/>
      <c r="CE1244" s="554"/>
      <c r="CF1244" s="554"/>
      <c r="CG1244" s="554"/>
      <c r="CH1244" s="619"/>
      <c r="CI1244" s="619"/>
      <c r="CJ1244" s="619"/>
      <c r="CK1244" s="619"/>
      <c r="CL1244" s="619"/>
      <c r="CM1244" s="554"/>
      <c r="CN1244" s="554"/>
      <c r="CO1244" s="554"/>
      <c r="CP1244" s="619"/>
      <c r="CQ1244" s="619"/>
      <c r="CR1244" s="619"/>
      <c r="CS1244" s="619"/>
      <c r="CT1244" s="619"/>
      <c r="CU1244" s="619"/>
    </row>
    <row r="1245" s="1267" customFormat="1" ht="31" customHeight="1" spans="1:100">
      <c r="A1245" s="608">
        <v>46174</v>
      </c>
      <c r="B1245" s="609" t="s">
        <v>1642</v>
      </c>
      <c r="C1245" s="610" t="s">
        <v>723</v>
      </c>
      <c r="D1245" s="554" t="s">
        <v>4820</v>
      </c>
      <c r="E1245" s="610" t="s">
        <v>4821</v>
      </c>
      <c r="F1245" s="554" t="s">
        <v>4822</v>
      </c>
      <c r="G1245" s="610" t="s">
        <v>111</v>
      </c>
      <c r="H1245" s="610" t="s">
        <v>112</v>
      </c>
      <c r="I1245" s="715">
        <v>480</v>
      </c>
      <c r="J1245" s="610">
        <v>0</v>
      </c>
      <c r="K1245" s="610">
        <v>16</v>
      </c>
      <c r="L1245" s="611">
        <f t="shared" si="393"/>
        <v>30</v>
      </c>
      <c r="M1245" s="724">
        <v>46225</v>
      </c>
      <c r="N1245" s="724">
        <f>M1245-4</f>
        <v>46221</v>
      </c>
      <c r="O1245" s="613"/>
      <c r="P1245" s="610" t="s">
        <v>113</v>
      </c>
      <c r="Q1245" s="614">
        <v>46224</v>
      </c>
      <c r="R1245" s="614">
        <v>46174</v>
      </c>
      <c r="S1245" s="614" t="s">
        <v>70</v>
      </c>
      <c r="T1245" s="614" t="s">
        <v>4823</v>
      </c>
      <c r="U1245" s="614"/>
      <c r="V1245" s="614"/>
      <c r="W1245" s="609"/>
      <c r="X1245" s="609" t="s">
        <v>4824</v>
      </c>
      <c r="Y1245" s="616" t="s">
        <v>1793</v>
      </c>
      <c r="Z1245" s="625">
        <v>4.425</v>
      </c>
      <c r="AA1245" s="616">
        <f t="shared" si="397"/>
        <v>2124</v>
      </c>
      <c r="AB1245" s="554"/>
      <c r="AC1245" s="617"/>
      <c r="AD1245" s="610" t="s">
        <v>111</v>
      </c>
      <c r="AE1245" s="610" t="s">
        <v>82</v>
      </c>
      <c r="AF1245" s="610"/>
      <c r="AG1245" s="610"/>
      <c r="AH1245" s="610"/>
      <c r="AI1245" s="609">
        <v>480</v>
      </c>
      <c r="AJ1245" s="610">
        <f t="shared" si="392"/>
        <v>0</v>
      </c>
      <c r="AK1245" s="610"/>
      <c r="AL1245" s="610" t="s">
        <v>2368</v>
      </c>
      <c r="AM1245" s="554"/>
      <c r="AN1245" s="554">
        <f t="shared" si="398"/>
        <v>480</v>
      </c>
      <c r="AO1245" s="554"/>
      <c r="AP1245" s="554"/>
      <c r="AQ1245" s="554"/>
      <c r="AR1245" s="554">
        <f>I1245</f>
        <v>480</v>
      </c>
      <c r="AS1245" s="554"/>
      <c r="AT1245" s="554"/>
      <c r="AU1245" s="554">
        <f t="shared" si="400"/>
        <v>480</v>
      </c>
      <c r="AV1245" s="554"/>
      <c r="AW1245" s="554">
        <f t="shared" si="401"/>
        <v>480</v>
      </c>
      <c r="AX1245" s="714"/>
      <c r="AY1245" s="554"/>
      <c r="AZ1245" s="554"/>
      <c r="BA1245" s="554"/>
      <c r="BB1245" s="554"/>
      <c r="BC1245" s="554"/>
      <c r="BD1245" s="554"/>
      <c r="BE1245" s="554"/>
      <c r="BF1245" s="554"/>
      <c r="BG1245" s="554"/>
      <c r="BH1245" s="554">
        <f>I1245/4</f>
        <v>120</v>
      </c>
      <c r="BI1245" s="554"/>
      <c r="BJ1245" s="554"/>
      <c r="BK1245" s="554"/>
      <c r="BL1245" s="554"/>
      <c r="BM1245" s="554"/>
      <c r="BN1245" s="554"/>
      <c r="BO1245" s="554"/>
      <c r="BP1245" s="554"/>
      <c r="BQ1245" s="554"/>
      <c r="BR1245" s="554"/>
      <c r="BS1245" s="554"/>
      <c r="BT1245" s="554"/>
      <c r="BU1245" s="554"/>
      <c r="BV1245" s="554"/>
      <c r="BW1245" s="554"/>
      <c r="BX1245" s="554"/>
      <c r="BY1245" s="554"/>
      <c r="BZ1245" s="554"/>
      <c r="CA1245" s="554"/>
      <c r="CB1245" s="554"/>
      <c r="CC1245" s="554"/>
      <c r="CD1245" s="554"/>
      <c r="CE1245" s="554"/>
      <c r="CF1245" s="554"/>
      <c r="CG1245" s="554"/>
      <c r="CH1245" s="619"/>
      <c r="CI1245" s="619"/>
      <c r="CJ1245" s="619"/>
      <c r="CK1245" s="619"/>
      <c r="CL1245" s="619"/>
      <c r="CM1245" s="554"/>
      <c r="CN1245" s="554"/>
      <c r="CO1245" s="554"/>
      <c r="CP1245" s="619"/>
      <c r="CQ1245" s="619"/>
      <c r="CR1245" s="619"/>
      <c r="CS1245" s="619"/>
      <c r="CT1245" s="619"/>
      <c r="CU1245" s="619"/>
    </row>
    <row r="1246" s="1267" customFormat="1" ht="31" customHeight="1" spans="1:100">
      <c r="A1246" s="608">
        <v>46178</v>
      </c>
      <c r="B1246" s="609" t="s">
        <v>4825</v>
      </c>
      <c r="C1246" s="610" t="s">
        <v>98</v>
      </c>
      <c r="D1246" s="554">
        <v>4500210826</v>
      </c>
      <c r="E1246" s="610" t="s">
        <v>4826</v>
      </c>
      <c r="F1246" s="554" t="s">
        <v>4827</v>
      </c>
      <c r="G1246" s="610" t="s">
        <v>101</v>
      </c>
      <c r="H1246" s="610" t="s">
        <v>102</v>
      </c>
      <c r="I1246" s="715">
        <v>832</v>
      </c>
      <c r="J1246" s="610">
        <v>0</v>
      </c>
      <c r="K1246" s="610">
        <v>4</v>
      </c>
      <c r="L1246" s="611">
        <f t="shared" si="393"/>
        <v>208</v>
      </c>
      <c r="M1246" s="612">
        <v>46225</v>
      </c>
      <c r="N1246" s="612">
        <v>46221</v>
      </c>
      <c r="O1246" s="613"/>
      <c r="P1246" s="610" t="s">
        <v>113</v>
      </c>
      <c r="Q1246" s="614">
        <v>46241</v>
      </c>
      <c r="R1246" s="614">
        <v>46178</v>
      </c>
      <c r="S1246" s="614" t="s">
        <v>70</v>
      </c>
      <c r="T1246" s="614" t="s">
        <v>70</v>
      </c>
      <c r="U1246" s="614"/>
      <c r="V1246" s="614"/>
      <c r="W1246" s="609"/>
      <c r="X1246" s="609" t="s">
        <v>4828</v>
      </c>
      <c r="Y1246" s="616" t="s">
        <v>4829</v>
      </c>
      <c r="Z1246" s="625">
        <v>2.7109</v>
      </c>
      <c r="AA1246" s="616">
        <f t="shared" si="397"/>
        <v>2255.4688</v>
      </c>
      <c r="AB1246" s="554"/>
      <c r="AC1246" s="629" t="s">
        <v>4830</v>
      </c>
      <c r="AD1246" s="610" t="s">
        <v>101</v>
      </c>
      <c r="AE1246" s="610" t="s">
        <v>82</v>
      </c>
      <c r="AF1246" s="610"/>
      <c r="AG1246" s="610"/>
      <c r="AH1246" s="610"/>
      <c r="AI1246" s="609">
        <v>832</v>
      </c>
      <c r="AJ1246" s="613">
        <f t="shared" si="392"/>
        <v>0</v>
      </c>
      <c r="AK1246" s="610"/>
      <c r="AL1246" s="610"/>
      <c r="AM1246" s="554"/>
      <c r="AN1246" s="554">
        <f t="shared" si="398"/>
        <v>832</v>
      </c>
      <c r="AO1246" s="554"/>
      <c r="AP1246" s="554"/>
      <c r="AQ1246" s="554"/>
      <c r="AR1246" s="554">
        <f>I1246</f>
        <v>832</v>
      </c>
      <c r="AS1246" s="554"/>
      <c r="AT1246" s="554"/>
      <c r="AU1246" s="554">
        <f t="shared" si="400"/>
        <v>832</v>
      </c>
      <c r="AV1246" s="554"/>
      <c r="AW1246" s="554">
        <f t="shared" si="401"/>
        <v>832</v>
      </c>
      <c r="AX1246" s="714"/>
      <c r="AY1246" s="554"/>
      <c r="AZ1246" s="554"/>
      <c r="BA1246" s="554"/>
      <c r="BB1246" s="554"/>
      <c r="BC1246" s="554"/>
      <c r="BD1246" s="554"/>
      <c r="BE1246" s="554"/>
      <c r="BF1246" s="554"/>
      <c r="BG1246" s="554"/>
      <c r="BH1246" s="554">
        <f>I1246/4</f>
        <v>208</v>
      </c>
      <c r="BI1246" s="554"/>
      <c r="BJ1246" s="554"/>
      <c r="BK1246" s="554"/>
      <c r="BL1246" s="554"/>
      <c r="BM1246" s="554"/>
      <c r="BN1246" s="554"/>
      <c r="BO1246" s="554"/>
      <c r="BP1246" s="554"/>
      <c r="BQ1246" s="554"/>
      <c r="BR1246" s="554"/>
      <c r="BS1246" s="554"/>
      <c r="BT1246" s="554"/>
      <c r="BU1246" s="554"/>
      <c r="BV1246" s="554"/>
      <c r="BW1246" s="554"/>
      <c r="BX1246" s="554"/>
      <c r="BY1246" s="554"/>
      <c r="BZ1246" s="554"/>
      <c r="CA1246" s="554"/>
      <c r="CB1246" s="554"/>
      <c r="CC1246" s="554"/>
      <c r="CD1246" s="554"/>
      <c r="CE1246" s="554"/>
      <c r="CF1246" s="554"/>
      <c r="CG1246" s="554"/>
      <c r="CH1246" s="619"/>
      <c r="CI1246" s="619"/>
      <c r="CJ1246" s="619"/>
      <c r="CK1246" s="619"/>
      <c r="CL1246" s="619"/>
      <c r="CM1246" s="554"/>
      <c r="CN1246" s="554"/>
      <c r="CO1246" s="554"/>
      <c r="CP1246" s="619"/>
      <c r="CQ1246" s="619"/>
      <c r="CR1246" s="619"/>
      <c r="CS1246" s="619"/>
      <c r="CT1246" s="619"/>
      <c r="CU1246" s="619"/>
    </row>
    <row r="1247" s="1267" customFormat="1" ht="31" customHeight="1" spans="1:100">
      <c r="A1247" s="608">
        <v>46178</v>
      </c>
      <c r="B1247" s="609" t="s">
        <v>4825</v>
      </c>
      <c r="C1247" s="610" t="s">
        <v>98</v>
      </c>
      <c r="D1247" s="554">
        <v>4500210826</v>
      </c>
      <c r="E1247" s="610" t="s">
        <v>4831</v>
      </c>
      <c r="F1247" s="554" t="s">
        <v>4832</v>
      </c>
      <c r="G1247" s="610" t="s">
        <v>101</v>
      </c>
      <c r="H1247" s="610" t="s">
        <v>102</v>
      </c>
      <c r="I1247" s="715">
        <v>448</v>
      </c>
      <c r="J1247" s="610">
        <v>0</v>
      </c>
      <c r="K1247" s="610">
        <v>4</v>
      </c>
      <c r="L1247" s="611">
        <f t="shared" si="393"/>
        <v>112</v>
      </c>
      <c r="M1247" s="612">
        <v>46225</v>
      </c>
      <c r="N1247" s="612">
        <v>46221</v>
      </c>
      <c r="O1247" s="613"/>
      <c r="P1247" s="610" t="s">
        <v>113</v>
      </c>
      <c r="Q1247" s="614">
        <v>46241</v>
      </c>
      <c r="R1247" s="614">
        <v>46178</v>
      </c>
      <c r="S1247" s="614" t="s">
        <v>70</v>
      </c>
      <c r="T1247" s="614" t="s">
        <v>70</v>
      </c>
      <c r="U1247" s="614"/>
      <c r="V1247" s="614"/>
      <c r="W1247" s="609"/>
      <c r="X1247" s="609" t="s">
        <v>4828</v>
      </c>
      <c r="Y1247" s="616" t="s">
        <v>4829</v>
      </c>
      <c r="Z1247" s="625">
        <v>2.7109</v>
      </c>
      <c r="AA1247" s="616">
        <f t="shared" si="397"/>
        <v>1214.4832</v>
      </c>
      <c r="AB1247" s="554"/>
      <c r="AC1247" s="629" t="s">
        <v>4830</v>
      </c>
      <c r="AD1247" s="610" t="s">
        <v>101</v>
      </c>
      <c r="AE1247" s="610" t="s">
        <v>82</v>
      </c>
      <c r="AF1247" s="610"/>
      <c r="AG1247" s="610"/>
      <c r="AH1247" s="610"/>
      <c r="AI1247" s="609">
        <v>448</v>
      </c>
      <c r="AJ1247" s="613">
        <f t="shared" si="392"/>
        <v>0</v>
      </c>
      <c r="AK1247" s="610"/>
      <c r="AL1247" s="610"/>
      <c r="AM1247" s="554"/>
      <c r="AN1247" s="554">
        <f t="shared" si="398"/>
        <v>448</v>
      </c>
      <c r="AO1247" s="554"/>
      <c r="AP1247" s="554"/>
      <c r="AQ1247" s="554"/>
      <c r="AR1247" s="554">
        <f>I1247</f>
        <v>448</v>
      </c>
      <c r="AS1247" s="554"/>
      <c r="AT1247" s="554"/>
      <c r="AU1247" s="554">
        <f t="shared" si="400"/>
        <v>448</v>
      </c>
      <c r="AV1247" s="554"/>
      <c r="AW1247" s="554">
        <f t="shared" si="401"/>
        <v>448</v>
      </c>
      <c r="AX1247" s="714"/>
      <c r="AY1247" s="554"/>
      <c r="AZ1247" s="554"/>
      <c r="BA1247" s="554"/>
      <c r="BB1247" s="554"/>
      <c r="BC1247" s="554"/>
      <c r="BD1247" s="554"/>
      <c r="BE1247" s="554"/>
      <c r="BF1247" s="554"/>
      <c r="BG1247" s="554"/>
      <c r="BH1247" s="554">
        <f>I1247/4</f>
        <v>112</v>
      </c>
      <c r="BI1247" s="554"/>
      <c r="BJ1247" s="554"/>
      <c r="BK1247" s="554"/>
      <c r="BL1247" s="554"/>
      <c r="BM1247" s="554"/>
      <c r="BN1247" s="554"/>
      <c r="BO1247" s="554"/>
      <c r="BP1247" s="554"/>
      <c r="BQ1247" s="554"/>
      <c r="BR1247" s="554"/>
      <c r="BS1247" s="554"/>
      <c r="BT1247" s="554"/>
      <c r="BU1247" s="554"/>
      <c r="BV1247" s="554"/>
      <c r="BW1247" s="554"/>
      <c r="BX1247" s="554"/>
      <c r="BY1247" s="554"/>
      <c r="BZ1247" s="554"/>
      <c r="CA1247" s="554"/>
      <c r="CB1247" s="554"/>
      <c r="CC1247" s="554"/>
      <c r="CD1247" s="554"/>
      <c r="CE1247" s="554"/>
      <c r="CF1247" s="554"/>
      <c r="CG1247" s="554"/>
      <c r="CH1247" s="619"/>
      <c r="CI1247" s="619"/>
      <c r="CJ1247" s="619"/>
      <c r="CK1247" s="619"/>
      <c r="CL1247" s="619"/>
      <c r="CM1247" s="554"/>
      <c r="CN1247" s="554"/>
      <c r="CO1247" s="554"/>
      <c r="CP1247" s="619"/>
      <c r="CQ1247" s="619"/>
      <c r="CR1247" s="619"/>
      <c r="CS1247" s="619"/>
      <c r="CT1247" s="619"/>
      <c r="CU1247" s="619"/>
    </row>
    <row r="1248" s="1267" customFormat="1" ht="31" customHeight="1" spans="1:100">
      <c r="A1248" s="608">
        <v>46178</v>
      </c>
      <c r="B1248" s="609" t="s">
        <v>4825</v>
      </c>
      <c r="C1248" s="610" t="s">
        <v>98</v>
      </c>
      <c r="D1248" s="554">
        <v>4500210826</v>
      </c>
      <c r="E1248" s="610" t="s">
        <v>4833</v>
      </c>
      <c r="F1248" s="554" t="s">
        <v>4834</v>
      </c>
      <c r="G1248" s="610" t="s">
        <v>101</v>
      </c>
      <c r="H1248" s="610" t="s">
        <v>102</v>
      </c>
      <c r="I1248" s="715">
        <v>448</v>
      </c>
      <c r="J1248" s="610">
        <v>0</v>
      </c>
      <c r="K1248" s="610">
        <v>4</v>
      </c>
      <c r="L1248" s="611">
        <f t="shared" si="393"/>
        <v>112</v>
      </c>
      <c r="M1248" s="612">
        <v>46225</v>
      </c>
      <c r="N1248" s="612">
        <v>46221</v>
      </c>
      <c r="O1248" s="613"/>
      <c r="P1248" s="610" t="s">
        <v>113</v>
      </c>
      <c r="Q1248" s="614">
        <v>46241</v>
      </c>
      <c r="R1248" s="614">
        <v>46178</v>
      </c>
      <c r="S1248" s="614" t="s">
        <v>70</v>
      </c>
      <c r="T1248" s="614" t="s">
        <v>70</v>
      </c>
      <c r="U1248" s="614"/>
      <c r="V1248" s="614"/>
      <c r="W1248" s="609"/>
      <c r="X1248" s="609" t="s">
        <v>4828</v>
      </c>
      <c r="Y1248" s="616" t="s">
        <v>4829</v>
      </c>
      <c r="Z1248" s="625">
        <v>2.7109</v>
      </c>
      <c r="AA1248" s="616">
        <f t="shared" si="397"/>
        <v>1214.4832</v>
      </c>
      <c r="AB1248" s="554"/>
      <c r="AC1248" s="629" t="s">
        <v>4835</v>
      </c>
      <c r="AD1248" s="610" t="s">
        <v>101</v>
      </c>
      <c r="AE1248" s="610" t="s">
        <v>82</v>
      </c>
      <c r="AF1248" s="610"/>
      <c r="AG1248" s="610"/>
      <c r="AH1248" s="610"/>
      <c r="AI1248" s="609">
        <f>444+4</f>
        <v>448</v>
      </c>
      <c r="AJ1248" s="613">
        <f t="shared" si="392"/>
        <v>0</v>
      </c>
      <c r="AK1248" s="610"/>
      <c r="AL1248" s="610"/>
      <c r="AM1248" s="554"/>
      <c r="AN1248" s="554">
        <f t="shared" si="398"/>
        <v>448</v>
      </c>
      <c r="AO1248" s="554"/>
      <c r="AP1248" s="554"/>
      <c r="AQ1248" s="554"/>
      <c r="AR1248" s="554">
        <f>I1248</f>
        <v>448</v>
      </c>
      <c r="AS1248" s="554"/>
      <c r="AT1248" s="554"/>
      <c r="AU1248" s="554">
        <f t="shared" si="400"/>
        <v>448</v>
      </c>
      <c r="AV1248" s="554"/>
      <c r="AW1248" s="554">
        <f t="shared" si="401"/>
        <v>448</v>
      </c>
      <c r="AX1248" s="714"/>
      <c r="AY1248" s="554"/>
      <c r="AZ1248" s="554"/>
      <c r="BA1248" s="554"/>
      <c r="BB1248" s="554"/>
      <c r="BC1248" s="554"/>
      <c r="BD1248" s="554"/>
      <c r="BE1248" s="554"/>
      <c r="BF1248" s="554"/>
      <c r="BG1248" s="554"/>
      <c r="BH1248" s="554">
        <f>I1248/4</f>
        <v>112</v>
      </c>
      <c r="BI1248" s="554"/>
      <c r="BJ1248" s="554"/>
      <c r="BK1248" s="554"/>
      <c r="BL1248" s="554"/>
      <c r="BM1248" s="554"/>
      <c r="BN1248" s="554"/>
      <c r="BO1248" s="554"/>
      <c r="BP1248" s="554"/>
      <c r="BQ1248" s="554"/>
      <c r="BR1248" s="554"/>
      <c r="BS1248" s="554"/>
      <c r="BT1248" s="554"/>
      <c r="BU1248" s="554"/>
      <c r="BV1248" s="554"/>
      <c r="BW1248" s="554"/>
      <c r="BX1248" s="554"/>
      <c r="BY1248" s="554"/>
      <c r="BZ1248" s="554"/>
      <c r="CA1248" s="554"/>
      <c r="CB1248" s="554"/>
      <c r="CC1248" s="554"/>
      <c r="CD1248" s="554"/>
      <c r="CE1248" s="554"/>
      <c r="CF1248" s="554"/>
      <c r="CG1248" s="554"/>
      <c r="CH1248" s="619"/>
      <c r="CI1248" s="619"/>
      <c r="CJ1248" s="619"/>
      <c r="CK1248" s="619"/>
      <c r="CL1248" s="619"/>
      <c r="CM1248" s="554"/>
      <c r="CN1248" s="554"/>
      <c r="CO1248" s="554"/>
      <c r="CP1248" s="619"/>
      <c r="CQ1248" s="619"/>
      <c r="CR1248" s="619"/>
      <c r="CS1248" s="619"/>
      <c r="CT1248" s="619"/>
      <c r="CU1248" s="619"/>
    </row>
    <row r="1249" s="1267" customFormat="1" ht="31" customHeight="1" spans="1:99">
      <c r="A1249" s="608">
        <v>46178</v>
      </c>
      <c r="B1249" s="609" t="s">
        <v>4825</v>
      </c>
      <c r="C1249" s="610" t="s">
        <v>98</v>
      </c>
      <c r="D1249" s="554">
        <v>4500210826</v>
      </c>
      <c r="E1249" s="610" t="s">
        <v>4836</v>
      </c>
      <c r="F1249" s="554" t="s">
        <v>4837</v>
      </c>
      <c r="G1249" s="610" t="s">
        <v>101</v>
      </c>
      <c r="H1249" s="610" t="s">
        <v>102</v>
      </c>
      <c r="I1249" s="715">
        <v>240</v>
      </c>
      <c r="J1249" s="610">
        <v>0</v>
      </c>
      <c r="K1249" s="610">
        <v>4</v>
      </c>
      <c r="L1249" s="611">
        <f t="shared" si="393"/>
        <v>60</v>
      </c>
      <c r="M1249" s="612">
        <v>46225</v>
      </c>
      <c r="N1249" s="612">
        <v>46221</v>
      </c>
      <c r="O1249" s="613"/>
      <c r="P1249" s="610" t="s">
        <v>113</v>
      </c>
      <c r="Q1249" s="614">
        <v>46241</v>
      </c>
      <c r="R1249" s="614">
        <v>46178</v>
      </c>
      <c r="S1249" s="614" t="s">
        <v>70</v>
      </c>
      <c r="T1249" s="614" t="s">
        <v>70</v>
      </c>
      <c r="U1249" s="614"/>
      <c r="V1249" s="614"/>
      <c r="W1249" s="609"/>
      <c r="X1249" s="609" t="s">
        <v>4828</v>
      </c>
      <c r="Y1249" s="616" t="s">
        <v>4829</v>
      </c>
      <c r="Z1249" s="625">
        <v>2.7108</v>
      </c>
      <c r="AA1249" s="616">
        <f t="shared" si="397"/>
        <v>650.592</v>
      </c>
      <c r="AB1249" s="554"/>
      <c r="AC1249" s="629" t="s">
        <v>4835</v>
      </c>
      <c r="AD1249" s="610" t="s">
        <v>101</v>
      </c>
      <c r="AE1249" s="610" t="s">
        <v>82</v>
      </c>
      <c r="AF1249" s="610"/>
      <c r="AG1249" s="610"/>
      <c r="AH1249" s="610"/>
      <c r="AI1249" s="609">
        <v>240</v>
      </c>
      <c r="AJ1249" s="613">
        <f t="shared" si="392"/>
        <v>0</v>
      </c>
      <c r="AK1249" s="610"/>
      <c r="AL1249" s="610"/>
      <c r="AM1249" s="554"/>
      <c r="AN1249" s="554">
        <f t="shared" si="398"/>
        <v>240</v>
      </c>
      <c r="AO1249" s="554"/>
      <c r="AP1249" s="554"/>
      <c r="AQ1249" s="554"/>
      <c r="AR1249" s="554">
        <f>I1249</f>
        <v>240</v>
      </c>
      <c r="AS1249" s="554"/>
      <c r="AT1249" s="554"/>
      <c r="AU1249" s="554">
        <f t="shared" si="400"/>
        <v>240</v>
      </c>
      <c r="AV1249" s="554"/>
      <c r="AW1249" s="554">
        <f t="shared" si="401"/>
        <v>240</v>
      </c>
      <c r="AX1249" s="714"/>
      <c r="AY1249" s="554"/>
      <c r="AZ1249" s="554"/>
      <c r="BA1249" s="554"/>
      <c r="BB1249" s="554"/>
      <c r="BC1249" s="554"/>
      <c r="BD1249" s="554"/>
      <c r="BE1249" s="554"/>
      <c r="BF1249" s="554"/>
      <c r="BG1249" s="554"/>
      <c r="BH1249" s="554">
        <f>I1249/4</f>
        <v>60</v>
      </c>
      <c r="BI1249" s="554"/>
      <c r="BJ1249" s="554"/>
      <c r="BK1249" s="554"/>
      <c r="BL1249" s="554"/>
      <c r="BM1249" s="554"/>
      <c r="BN1249" s="554"/>
      <c r="BO1249" s="554"/>
      <c r="BP1249" s="554"/>
      <c r="BQ1249" s="554"/>
      <c r="BR1249" s="554"/>
      <c r="BS1249" s="554"/>
      <c r="BT1249" s="554"/>
      <c r="BU1249" s="554"/>
      <c r="BV1249" s="554"/>
      <c r="BW1249" s="554"/>
      <c r="BX1249" s="554"/>
      <c r="BY1249" s="554"/>
      <c r="BZ1249" s="554"/>
      <c r="CA1249" s="554"/>
      <c r="CB1249" s="554"/>
      <c r="CC1249" s="554"/>
      <c r="CD1249" s="554"/>
      <c r="CE1249" s="554"/>
      <c r="CF1249" s="554"/>
      <c r="CG1249" s="554"/>
      <c r="CH1249" s="619"/>
      <c r="CI1249" s="619"/>
      <c r="CJ1249" s="619"/>
      <c r="CK1249" s="619"/>
      <c r="CL1249" s="619"/>
      <c r="CM1249" s="554"/>
      <c r="CN1249" s="554"/>
      <c r="CO1249" s="554"/>
      <c r="CP1249" s="619"/>
      <c r="CQ1249" s="619"/>
      <c r="CR1249" s="619"/>
      <c r="CS1249" s="619"/>
      <c r="CT1249" s="619"/>
      <c r="CU1249" s="619"/>
    </row>
    <row r="1250" s="1267" customFormat="1" ht="31" customHeight="1" spans="1:99">
      <c r="A1250" s="608">
        <v>46132</v>
      </c>
      <c r="B1250" s="609" t="s">
        <v>2362</v>
      </c>
      <c r="C1250" s="610" t="s">
        <v>524</v>
      </c>
      <c r="D1250" s="554" t="s">
        <v>4838</v>
      </c>
      <c r="E1250" s="610" t="s">
        <v>3846</v>
      </c>
      <c r="F1250" s="554" t="s">
        <v>4839</v>
      </c>
      <c r="G1250" s="610" t="s">
        <v>68</v>
      </c>
      <c r="H1250" s="610" t="s">
        <v>69</v>
      </c>
      <c r="I1250" s="715">
        <v>3000</v>
      </c>
      <c r="J1250" s="610">
        <v>0</v>
      </c>
      <c r="K1250" s="610">
        <v>12</v>
      </c>
      <c r="L1250" s="611">
        <f t="shared" si="393"/>
        <v>250</v>
      </c>
      <c r="M1250" s="612">
        <v>46191</v>
      </c>
      <c r="N1250" s="724">
        <v>46213</v>
      </c>
      <c r="O1250" s="613"/>
      <c r="P1250" s="610" t="s">
        <v>113</v>
      </c>
      <c r="Q1250" s="614">
        <v>46236</v>
      </c>
      <c r="R1250" s="614">
        <v>46162</v>
      </c>
      <c r="S1250" s="614" t="s">
        <v>70</v>
      </c>
      <c r="T1250" s="614" t="s">
        <v>4840</v>
      </c>
      <c r="U1250" s="614"/>
      <c r="V1250" s="614"/>
      <c r="W1250" s="609"/>
      <c r="X1250" s="738" t="s">
        <v>4841</v>
      </c>
      <c r="Y1250" s="616" t="s">
        <v>529</v>
      </c>
      <c r="Z1250" s="625">
        <v>4.2567</v>
      </c>
      <c r="AA1250" s="616">
        <f t="shared" si="397"/>
        <v>12770.1</v>
      </c>
      <c r="AB1250" s="554"/>
      <c r="AC1250" s="617"/>
      <c r="AD1250" s="610" t="s">
        <v>184</v>
      </c>
      <c r="AE1250" s="610" t="s">
        <v>82</v>
      </c>
      <c r="AF1250" s="610"/>
      <c r="AG1250" s="610"/>
      <c r="AH1250" s="610"/>
      <c r="AI1250" s="609">
        <v>3000</v>
      </c>
      <c r="AJ1250" s="610">
        <f t="shared" si="392"/>
        <v>0</v>
      </c>
      <c r="AK1250" s="610"/>
      <c r="AL1250" s="610" t="s">
        <v>2368</v>
      </c>
      <c r="AM1250" s="554"/>
      <c r="AN1250" s="554">
        <f t="shared" si="398"/>
        <v>3000</v>
      </c>
      <c r="AO1250" s="554"/>
      <c r="AP1250" s="554"/>
      <c r="AQ1250" s="554"/>
      <c r="AR1250" s="554"/>
      <c r="AS1250" s="554">
        <f>I1250</f>
        <v>3000</v>
      </c>
      <c r="AT1250" s="554"/>
      <c r="AU1250" s="554">
        <f t="shared" si="400"/>
        <v>3000</v>
      </c>
      <c r="AV1250" s="554"/>
      <c r="AW1250" s="554">
        <f t="shared" si="401"/>
        <v>3000</v>
      </c>
      <c r="AX1250" s="714"/>
      <c r="AY1250" s="554"/>
      <c r="AZ1250" s="554"/>
      <c r="BA1250" s="554"/>
      <c r="BB1250" s="554"/>
      <c r="BC1250" s="554"/>
      <c r="BD1250" s="554"/>
      <c r="BE1250" s="554"/>
      <c r="BF1250" s="554"/>
      <c r="BG1250" s="554"/>
      <c r="BH1250" s="554"/>
      <c r="BI1250" s="554"/>
      <c r="BJ1250" s="554"/>
      <c r="BK1250" s="554"/>
      <c r="BL1250" s="554"/>
      <c r="BM1250" s="554"/>
      <c r="BN1250" s="554"/>
      <c r="BO1250" s="554"/>
      <c r="BP1250" s="554"/>
      <c r="BQ1250" s="554"/>
      <c r="BR1250" s="554"/>
      <c r="BS1250" s="554"/>
      <c r="BT1250" s="554"/>
      <c r="BU1250" s="554"/>
      <c r="BV1250" s="554"/>
      <c r="BW1250" s="554"/>
      <c r="BX1250" s="554"/>
      <c r="BY1250" s="554"/>
      <c r="BZ1250" s="554"/>
      <c r="CA1250" s="554"/>
      <c r="CB1250" s="554"/>
      <c r="CC1250" s="554"/>
      <c r="CD1250" s="554"/>
      <c r="CE1250" s="554"/>
      <c r="CF1250" s="554"/>
      <c r="CG1250" s="554"/>
      <c r="CH1250" s="619"/>
      <c r="CI1250" s="619"/>
      <c r="CJ1250" s="619"/>
      <c r="CK1250" s="619"/>
      <c r="CL1250" s="619"/>
      <c r="CM1250" s="554"/>
      <c r="CN1250" s="554"/>
      <c r="CO1250" s="554"/>
      <c r="CP1250" s="619"/>
      <c r="CQ1250" s="619"/>
      <c r="CR1250" s="619"/>
      <c r="CS1250" s="619"/>
      <c r="CT1250" s="619"/>
      <c r="CU1250" s="619"/>
    </row>
    <row r="1251" s="1267" customFormat="1" ht="31" customHeight="1" spans="1:99">
      <c r="A1251" s="608">
        <v>46153</v>
      </c>
      <c r="B1251" s="609" t="s">
        <v>398</v>
      </c>
      <c r="C1251" s="610" t="s">
        <v>399</v>
      </c>
      <c r="D1251" s="554" t="s">
        <v>4842</v>
      </c>
      <c r="E1251" s="610" t="s">
        <v>3846</v>
      </c>
      <c r="F1251" s="554" t="s">
        <v>4843</v>
      </c>
      <c r="G1251" s="610" t="s">
        <v>68</v>
      </c>
      <c r="H1251" s="610" t="s">
        <v>69</v>
      </c>
      <c r="I1251" s="715">
        <v>1992</v>
      </c>
      <c r="J1251" s="610">
        <v>0</v>
      </c>
      <c r="K1251" s="610">
        <v>12</v>
      </c>
      <c r="L1251" s="611">
        <f t="shared" si="393"/>
        <v>166</v>
      </c>
      <c r="M1251" s="612">
        <v>46223</v>
      </c>
      <c r="N1251" s="612">
        <v>46219</v>
      </c>
      <c r="O1251" s="613"/>
      <c r="P1251" s="610" t="s">
        <v>113</v>
      </c>
      <c r="Q1251" s="614"/>
      <c r="R1251" s="614">
        <v>46175</v>
      </c>
      <c r="S1251" s="614" t="s">
        <v>70</v>
      </c>
      <c r="T1251" s="614" t="s">
        <v>70</v>
      </c>
      <c r="U1251" s="614"/>
      <c r="V1251" s="614"/>
      <c r="W1251" s="609" t="s">
        <v>4844</v>
      </c>
      <c r="X1251" s="609" t="s">
        <v>4845</v>
      </c>
      <c r="Y1251" s="616" t="s">
        <v>445</v>
      </c>
      <c r="Z1251" s="625">
        <v>4.2622</v>
      </c>
      <c r="AA1251" s="616">
        <f t="shared" si="397"/>
        <v>8490.3024</v>
      </c>
      <c r="AB1251" s="554"/>
      <c r="AC1251" s="617"/>
      <c r="AD1251" s="610" t="s">
        <v>184</v>
      </c>
      <c r="AE1251" s="610" t="s">
        <v>82</v>
      </c>
      <c r="AF1251" s="610"/>
      <c r="AG1251" s="610"/>
      <c r="AH1251" s="610"/>
      <c r="AI1251" s="609">
        <v>1992</v>
      </c>
      <c r="AJ1251" s="610">
        <f t="shared" si="392"/>
        <v>0</v>
      </c>
      <c r="AK1251" s="610"/>
      <c r="AL1251" s="610"/>
      <c r="AM1251" s="554"/>
      <c r="AN1251" s="554">
        <f t="shared" si="398"/>
        <v>1992</v>
      </c>
      <c r="AO1251" s="554"/>
      <c r="AP1251" s="554"/>
      <c r="AQ1251" s="554"/>
      <c r="AR1251" s="554"/>
      <c r="AS1251" s="554">
        <f>I1251</f>
        <v>1992</v>
      </c>
      <c r="AT1251" s="554"/>
      <c r="AU1251" s="554">
        <f t="shared" si="400"/>
        <v>1992</v>
      </c>
      <c r="AV1251" s="554"/>
      <c r="AW1251" s="554">
        <f t="shared" si="401"/>
        <v>1992</v>
      </c>
      <c r="AX1251" s="714"/>
      <c r="AY1251" s="554"/>
      <c r="AZ1251" s="554"/>
      <c r="BA1251" s="554"/>
      <c r="BB1251" s="554"/>
      <c r="BC1251" s="554"/>
      <c r="BD1251" s="554"/>
      <c r="BE1251" s="554"/>
      <c r="BF1251" s="554"/>
      <c r="BG1251" s="554"/>
      <c r="BH1251" s="554"/>
      <c r="BI1251" s="554"/>
      <c r="BJ1251" s="554"/>
      <c r="BK1251" s="554"/>
      <c r="BL1251" s="554"/>
      <c r="BM1251" s="554"/>
      <c r="BN1251" s="554"/>
      <c r="BO1251" s="554"/>
      <c r="BP1251" s="554"/>
      <c r="BQ1251" s="554"/>
      <c r="BR1251" s="554"/>
      <c r="BS1251" s="554"/>
      <c r="BT1251" s="554"/>
      <c r="BU1251" s="554"/>
      <c r="BV1251" s="554"/>
      <c r="BW1251" s="554"/>
      <c r="BX1251" s="554"/>
      <c r="BY1251" s="554"/>
      <c r="BZ1251" s="554"/>
      <c r="CA1251" s="554"/>
      <c r="CB1251" s="554"/>
      <c r="CC1251" s="554"/>
      <c r="CD1251" s="554"/>
      <c r="CE1251" s="554"/>
      <c r="CF1251" s="554"/>
      <c r="CG1251" s="554"/>
      <c r="CH1251" s="619"/>
      <c r="CI1251" s="619"/>
      <c r="CJ1251" s="619"/>
      <c r="CK1251" s="619"/>
      <c r="CL1251" s="619"/>
      <c r="CM1251" s="554"/>
      <c r="CN1251" s="554"/>
      <c r="CO1251" s="554"/>
      <c r="CP1251" s="619"/>
      <c r="CQ1251" s="619"/>
      <c r="CR1251" s="619"/>
      <c r="CS1251" s="619"/>
      <c r="CT1251" s="619"/>
      <c r="CU1251" s="619"/>
    </row>
    <row r="1252" s="1267" customFormat="1" ht="31" customHeight="1" spans="1:99">
      <c r="A1252" s="608">
        <v>46153</v>
      </c>
      <c r="B1252" s="609" t="s">
        <v>143</v>
      </c>
      <c r="C1252" s="610" t="s">
        <v>98</v>
      </c>
      <c r="D1252" s="554" t="s">
        <v>4560</v>
      </c>
      <c r="E1252" s="610" t="s">
        <v>4846</v>
      </c>
      <c r="F1252" s="554" t="s">
        <v>4847</v>
      </c>
      <c r="G1252" s="610" t="s">
        <v>101</v>
      </c>
      <c r="H1252" s="610" t="s">
        <v>102</v>
      </c>
      <c r="I1252" s="715">
        <v>2880</v>
      </c>
      <c r="J1252" s="610">
        <v>0</v>
      </c>
      <c r="K1252" s="610">
        <v>4</v>
      </c>
      <c r="L1252" s="611">
        <f t="shared" si="393"/>
        <v>720</v>
      </c>
      <c r="M1252" s="724">
        <v>46224</v>
      </c>
      <c r="N1252" s="724">
        <v>46220</v>
      </c>
      <c r="O1252" s="737" t="s">
        <v>3368</v>
      </c>
      <c r="P1252" s="610" t="s">
        <v>113</v>
      </c>
      <c r="Q1252" s="614"/>
      <c r="R1252" s="614" t="s">
        <v>4563</v>
      </c>
      <c r="S1252" s="614" t="s">
        <v>70</v>
      </c>
      <c r="T1252" s="614" t="s">
        <v>4564</v>
      </c>
      <c r="U1252" s="614"/>
      <c r="V1252" s="614"/>
      <c r="W1252" s="609"/>
      <c r="X1252" s="609" t="s">
        <v>4565</v>
      </c>
      <c r="Y1252" s="616" t="s">
        <v>106</v>
      </c>
      <c r="Z1252" s="625">
        <v>2.615</v>
      </c>
      <c r="AA1252" s="616">
        <f t="shared" si="397"/>
        <v>7531.2</v>
      </c>
      <c r="AB1252" s="554"/>
      <c r="AC1252" s="629" t="s">
        <v>4566</v>
      </c>
      <c r="AD1252" s="610" t="s">
        <v>101</v>
      </c>
      <c r="AE1252" s="610" t="s">
        <v>82</v>
      </c>
      <c r="AF1252" s="610"/>
      <c r="AG1252" s="610"/>
      <c r="AH1252" s="610"/>
      <c r="AI1252" s="609">
        <v>2880</v>
      </c>
      <c r="AJ1252" s="613">
        <f t="shared" ref="AJ1252:AJ1285" si="402">AI1252-I1252</f>
        <v>0</v>
      </c>
      <c r="AK1252" s="610"/>
      <c r="AL1252" s="610" t="s">
        <v>2368</v>
      </c>
      <c r="AM1252" s="554"/>
      <c r="AN1252" s="554">
        <f t="shared" si="398"/>
        <v>2880</v>
      </c>
      <c r="AO1252" s="554"/>
      <c r="AP1252" s="554"/>
      <c r="AQ1252" s="554"/>
      <c r="AR1252" s="554">
        <f>I1252</f>
        <v>2880</v>
      </c>
      <c r="AS1252" s="554"/>
      <c r="AT1252" s="554"/>
      <c r="AU1252" s="554">
        <f t="shared" si="400"/>
        <v>2880</v>
      </c>
      <c r="AV1252" s="554"/>
      <c r="AW1252" s="554">
        <f t="shared" si="401"/>
        <v>2880</v>
      </c>
      <c r="AX1252" s="714"/>
      <c r="AY1252" s="554"/>
      <c r="AZ1252" s="554"/>
      <c r="BA1252" s="554"/>
      <c r="BB1252" s="554"/>
      <c r="BC1252" s="554"/>
      <c r="BD1252" s="554"/>
      <c r="BE1252" s="554"/>
      <c r="BF1252" s="554"/>
      <c r="BG1252" s="554"/>
      <c r="BH1252" s="554">
        <f>I1252/4</f>
        <v>720</v>
      </c>
      <c r="BI1252" s="554"/>
      <c r="BJ1252" s="554"/>
      <c r="BK1252" s="554"/>
      <c r="BL1252" s="554"/>
      <c r="BM1252" s="554"/>
      <c r="BN1252" s="554"/>
      <c r="BO1252" s="554"/>
      <c r="BP1252" s="554"/>
      <c r="BQ1252" s="554"/>
      <c r="BR1252" s="554"/>
      <c r="BS1252" s="554"/>
      <c r="BT1252" s="554"/>
      <c r="BU1252" s="554"/>
      <c r="BV1252" s="554"/>
      <c r="BW1252" s="554"/>
      <c r="BX1252" s="554"/>
      <c r="BY1252" s="554"/>
      <c r="BZ1252" s="554"/>
      <c r="CA1252" s="554"/>
      <c r="CB1252" s="554"/>
      <c r="CC1252" s="554"/>
      <c r="CD1252" s="554"/>
      <c r="CE1252" s="554"/>
      <c r="CF1252" s="554"/>
      <c r="CG1252" s="554"/>
      <c r="CH1252" s="619"/>
      <c r="CI1252" s="619"/>
      <c r="CJ1252" s="619"/>
      <c r="CK1252" s="619"/>
      <c r="CL1252" s="619"/>
      <c r="CM1252" s="554"/>
      <c r="CN1252" s="554"/>
      <c r="CO1252" s="554"/>
      <c r="CP1252" s="619"/>
      <c r="CQ1252" s="619"/>
      <c r="CR1252" s="619"/>
      <c r="CS1252" s="619"/>
      <c r="CT1252" s="619"/>
      <c r="CU1252" s="619"/>
    </row>
    <row r="1253" s="1266" customFormat="1" ht="31" customHeight="1" spans="1:99">
      <c r="A1253" s="641">
        <v>46125</v>
      </c>
      <c r="B1253" s="642" t="s">
        <v>1922</v>
      </c>
      <c r="C1253" s="246" t="s">
        <v>278</v>
      </c>
      <c r="D1253" s="1367">
        <v>4500201289</v>
      </c>
      <c r="E1253" s="246" t="s">
        <v>4848</v>
      </c>
      <c r="F1253" s="551" t="s">
        <v>4849</v>
      </c>
      <c r="G1253" s="246" t="s">
        <v>68</v>
      </c>
      <c r="H1253" s="246" t="s">
        <v>69</v>
      </c>
      <c r="I1253" s="706">
        <v>1008</v>
      </c>
      <c r="J1253" s="246">
        <v>0</v>
      </c>
      <c r="K1253" s="246">
        <v>12</v>
      </c>
      <c r="L1253" s="644">
        <f t="shared" si="393"/>
        <v>84</v>
      </c>
      <c r="M1253" s="645">
        <v>46206</v>
      </c>
      <c r="N1253" s="742">
        <v>46206</v>
      </c>
      <c r="O1253" s="643"/>
      <c r="P1253" s="246" t="s">
        <v>113</v>
      </c>
      <c r="Q1253" s="646" t="s">
        <v>4850</v>
      </c>
      <c r="R1253" s="646" t="s">
        <v>463</v>
      </c>
      <c r="S1253" s="646" t="s">
        <v>104</v>
      </c>
      <c r="T1253" s="646" t="s">
        <v>4851</v>
      </c>
      <c r="U1253" s="646"/>
      <c r="V1253" s="646"/>
      <c r="W1253" s="642"/>
      <c r="X1253" s="642" t="s">
        <v>4852</v>
      </c>
      <c r="Y1253" s="647" t="s">
        <v>428</v>
      </c>
      <c r="Z1253" s="657">
        <v>4.2173</v>
      </c>
      <c r="AA1253" s="647">
        <f t="shared" si="397"/>
        <v>4251.0384</v>
      </c>
      <c r="AB1253" s="551"/>
      <c r="AC1253" s="648"/>
      <c r="AD1253" s="246" t="s">
        <v>184</v>
      </c>
      <c r="AE1253" s="246" t="s">
        <v>82</v>
      </c>
      <c r="AF1253" s="246"/>
      <c r="AG1253" s="246"/>
      <c r="AH1253" s="246"/>
      <c r="AI1253" s="642">
        <v>1008</v>
      </c>
      <c r="AJ1253" s="246">
        <f t="shared" si="402"/>
        <v>0</v>
      </c>
      <c r="AK1253" s="246"/>
      <c r="AL1253" s="246" t="s">
        <v>2368</v>
      </c>
      <c r="AM1253" s="551"/>
      <c r="AN1253" s="551">
        <f t="shared" si="398"/>
        <v>1008</v>
      </c>
      <c r="AO1253" s="551"/>
      <c r="AP1253" s="551"/>
      <c r="AQ1253" s="551"/>
      <c r="AR1253" s="551"/>
      <c r="AS1253" s="551">
        <f>I1253</f>
        <v>1008</v>
      </c>
      <c r="AT1253" s="551"/>
      <c r="AU1253" s="551">
        <f t="shared" si="400"/>
        <v>1008</v>
      </c>
      <c r="AV1253" s="551"/>
      <c r="AW1253" s="551">
        <f t="shared" si="401"/>
        <v>1008</v>
      </c>
      <c r="AX1253" s="651"/>
      <c r="AY1253" s="551"/>
      <c r="AZ1253" s="551"/>
      <c r="BA1253" s="551"/>
      <c r="BB1253" s="551"/>
      <c r="BC1253" s="551"/>
      <c r="BD1253" s="551"/>
      <c r="BE1253" s="551"/>
      <c r="BF1253" s="551"/>
      <c r="BG1253" s="551"/>
      <c r="BH1253" s="551"/>
      <c r="BI1253" s="551"/>
      <c r="BJ1253" s="551"/>
      <c r="BK1253" s="551"/>
      <c r="BL1253" s="551"/>
      <c r="BM1253" s="551"/>
      <c r="BN1253" s="551"/>
      <c r="BO1253" s="551"/>
      <c r="BP1253" s="551"/>
      <c r="BQ1253" s="551"/>
      <c r="BR1253" s="551"/>
      <c r="BS1253" s="551"/>
      <c r="BT1253" s="551"/>
      <c r="BU1253" s="551"/>
      <c r="BV1253" s="551"/>
      <c r="BW1253" s="551"/>
      <c r="BX1253" s="551"/>
      <c r="BY1253" s="551"/>
      <c r="BZ1253" s="551"/>
      <c r="CA1253" s="551"/>
      <c r="CB1253" s="551"/>
      <c r="CC1253" s="551"/>
      <c r="CD1253" s="551"/>
      <c r="CE1253" s="551"/>
      <c r="CF1253" s="551"/>
      <c r="CG1253" s="551"/>
      <c r="CH1253" s="650"/>
      <c r="CI1253" s="650"/>
      <c r="CJ1253" s="650"/>
      <c r="CK1253" s="650"/>
      <c r="CL1253" s="650"/>
      <c r="CM1253" s="551"/>
      <c r="CN1253" s="551"/>
      <c r="CO1253" s="551"/>
      <c r="CP1253" s="650"/>
      <c r="CQ1253" s="650"/>
      <c r="CR1253" s="650"/>
      <c r="CS1253" s="650"/>
      <c r="CT1253" s="650"/>
      <c r="CU1253" s="650"/>
    </row>
    <row r="1254" s="1266" customFormat="1" ht="31" customHeight="1" spans="1:99">
      <c r="A1254" s="641">
        <v>46153</v>
      </c>
      <c r="B1254" s="642" t="s">
        <v>1503</v>
      </c>
      <c r="C1254" s="246" t="s">
        <v>98</v>
      </c>
      <c r="D1254" s="551" t="s">
        <v>4853</v>
      </c>
      <c r="E1254" s="246" t="s">
        <v>4854</v>
      </c>
      <c r="F1254" s="551" t="s">
        <v>4855</v>
      </c>
      <c r="G1254" s="246" t="s">
        <v>68</v>
      </c>
      <c r="H1254" s="246" t="s">
        <v>69</v>
      </c>
      <c r="I1254" s="706">
        <v>2832</v>
      </c>
      <c r="J1254" s="246">
        <v>0</v>
      </c>
      <c r="K1254" s="246">
        <v>12</v>
      </c>
      <c r="L1254" s="644">
        <f t="shared" si="393"/>
        <v>236</v>
      </c>
      <c r="M1254" s="645">
        <v>46212</v>
      </c>
      <c r="N1254" s="742">
        <v>46209</v>
      </c>
      <c r="O1254" s="643"/>
      <c r="P1254" s="246" t="s">
        <v>113</v>
      </c>
      <c r="Q1254" s="646">
        <v>46216</v>
      </c>
      <c r="R1254" s="646">
        <v>46153</v>
      </c>
      <c r="S1254" s="646" t="s">
        <v>104</v>
      </c>
      <c r="T1254" s="646" t="s">
        <v>4856</v>
      </c>
      <c r="U1254" s="646"/>
      <c r="V1254" s="646"/>
      <c r="W1254" s="642"/>
      <c r="X1254" s="642" t="s">
        <v>4857</v>
      </c>
      <c r="Y1254" s="647" t="s">
        <v>125</v>
      </c>
      <c r="Z1254" s="657">
        <v>2.554</v>
      </c>
      <c r="AA1254" s="647">
        <f t="shared" si="397"/>
        <v>7232.928</v>
      </c>
      <c r="AB1254" s="551"/>
      <c r="AC1254" s="698" t="s">
        <v>4858</v>
      </c>
      <c r="AD1254" s="246" t="s">
        <v>68</v>
      </c>
      <c r="AE1254" s="246" t="s">
        <v>82</v>
      </c>
      <c r="AF1254" s="246"/>
      <c r="AG1254" s="246"/>
      <c r="AH1254" s="246"/>
      <c r="AI1254" s="642">
        <v>2832</v>
      </c>
      <c r="AJ1254" s="643">
        <f t="shared" si="402"/>
        <v>0</v>
      </c>
      <c r="AK1254" s="246"/>
      <c r="AL1254" s="246" t="s">
        <v>2368</v>
      </c>
      <c r="AM1254" s="551"/>
      <c r="AN1254" s="551">
        <f t="shared" si="398"/>
        <v>2832</v>
      </c>
      <c r="AO1254" s="551"/>
      <c r="AP1254" s="551"/>
      <c r="AQ1254" s="551"/>
      <c r="AR1254" s="551">
        <f>I1254</f>
        <v>2832</v>
      </c>
      <c r="AS1254" s="551"/>
      <c r="AT1254" s="551"/>
      <c r="AU1254" s="551">
        <f t="shared" si="400"/>
        <v>2832</v>
      </c>
      <c r="AV1254" s="551"/>
      <c r="AW1254" s="551">
        <f t="shared" si="401"/>
        <v>2832</v>
      </c>
      <c r="AX1254" s="651"/>
      <c r="AY1254" s="551"/>
      <c r="AZ1254" s="551"/>
      <c r="BA1254" s="551"/>
      <c r="BB1254" s="551"/>
      <c r="BC1254" s="551"/>
      <c r="BD1254" s="551"/>
      <c r="BE1254" s="551"/>
      <c r="BF1254" s="551"/>
      <c r="BG1254" s="551"/>
      <c r="BH1254" s="551"/>
      <c r="BI1254" s="551"/>
      <c r="BJ1254" s="551"/>
      <c r="BK1254" s="551"/>
      <c r="BL1254" s="551"/>
      <c r="BM1254" s="551"/>
      <c r="BN1254" s="551"/>
      <c r="BO1254" s="551"/>
      <c r="BP1254" s="551"/>
      <c r="BQ1254" s="551"/>
      <c r="BR1254" s="551"/>
      <c r="BS1254" s="551"/>
      <c r="BT1254" s="551"/>
      <c r="BU1254" s="551"/>
      <c r="BV1254" s="551"/>
      <c r="BW1254" s="551"/>
      <c r="BX1254" s="551"/>
      <c r="BY1254" s="551"/>
      <c r="BZ1254" s="551"/>
      <c r="CA1254" s="551"/>
      <c r="CB1254" s="551"/>
      <c r="CC1254" s="551"/>
      <c r="CD1254" s="551"/>
      <c r="CE1254" s="551"/>
      <c r="CF1254" s="551"/>
      <c r="CG1254" s="551"/>
      <c r="CH1254" s="650"/>
      <c r="CI1254" s="650"/>
      <c r="CJ1254" s="650"/>
      <c r="CK1254" s="650"/>
      <c r="CL1254" s="650"/>
      <c r="CM1254" s="551"/>
      <c r="CN1254" s="551"/>
      <c r="CO1254" s="551"/>
      <c r="CP1254" s="650"/>
      <c r="CQ1254" s="650"/>
      <c r="CR1254" s="650"/>
      <c r="CS1254" s="650"/>
      <c r="CT1254" s="650"/>
      <c r="CU1254" s="650"/>
    </row>
    <row r="1255" s="1266" customFormat="1" ht="31" customHeight="1" spans="1:99">
      <c r="A1255" s="641">
        <v>46153</v>
      </c>
      <c r="B1255" s="642" t="s">
        <v>1503</v>
      </c>
      <c r="C1255" s="246" t="s">
        <v>98</v>
      </c>
      <c r="D1255" s="551" t="s">
        <v>4853</v>
      </c>
      <c r="E1255" s="246" t="s">
        <v>4859</v>
      </c>
      <c r="F1255" s="551" t="s">
        <v>4860</v>
      </c>
      <c r="G1255" s="246" t="s">
        <v>68</v>
      </c>
      <c r="H1255" s="246" t="s">
        <v>69</v>
      </c>
      <c r="I1255" s="706">
        <v>2964</v>
      </c>
      <c r="J1255" s="246">
        <v>0</v>
      </c>
      <c r="K1255" s="246">
        <v>12</v>
      </c>
      <c r="L1255" s="644">
        <f t="shared" si="393"/>
        <v>247</v>
      </c>
      <c r="M1255" s="645">
        <v>46212</v>
      </c>
      <c r="N1255" s="742">
        <v>46209</v>
      </c>
      <c r="O1255" s="643"/>
      <c r="P1255" s="246" t="s">
        <v>113</v>
      </c>
      <c r="Q1255" s="646">
        <v>46216</v>
      </c>
      <c r="R1255" s="646">
        <v>46153</v>
      </c>
      <c r="S1255" s="646" t="s">
        <v>104</v>
      </c>
      <c r="T1255" s="646" t="s">
        <v>4856</v>
      </c>
      <c r="U1255" s="646"/>
      <c r="V1255" s="646"/>
      <c r="W1255" s="642"/>
      <c r="X1255" s="642" t="s">
        <v>4857</v>
      </c>
      <c r="Y1255" s="647" t="s">
        <v>125</v>
      </c>
      <c r="Z1255" s="657">
        <v>2.554</v>
      </c>
      <c r="AA1255" s="647">
        <f t="shared" si="397"/>
        <v>7570.056</v>
      </c>
      <c r="AB1255" s="551"/>
      <c r="AC1255" s="658" t="s">
        <v>4861</v>
      </c>
      <c r="AD1255" s="246" t="s">
        <v>68</v>
      </c>
      <c r="AE1255" s="246" t="s">
        <v>82</v>
      </c>
      <c r="AF1255" s="246"/>
      <c r="AG1255" s="246"/>
      <c r="AH1255" s="246"/>
      <c r="AI1255" s="642">
        <v>2964</v>
      </c>
      <c r="AJ1255" s="643">
        <f t="shared" si="402"/>
        <v>0</v>
      </c>
      <c r="AK1255" s="246"/>
      <c r="AL1255" s="246" t="s">
        <v>2368</v>
      </c>
      <c r="AM1255" s="551"/>
      <c r="AN1255" s="551">
        <f t="shared" si="398"/>
        <v>2964</v>
      </c>
      <c r="AO1255" s="551"/>
      <c r="AP1255" s="551"/>
      <c r="AQ1255" s="551"/>
      <c r="AR1255" s="551">
        <f>I1255</f>
        <v>2964</v>
      </c>
      <c r="AS1255" s="551"/>
      <c r="AT1255" s="551"/>
      <c r="AU1255" s="551">
        <f t="shared" si="400"/>
        <v>2964</v>
      </c>
      <c r="AV1255" s="551"/>
      <c r="AW1255" s="551">
        <f t="shared" si="401"/>
        <v>2964</v>
      </c>
      <c r="AX1255" s="651"/>
      <c r="AY1255" s="551"/>
      <c r="AZ1255" s="551"/>
      <c r="BA1255" s="551"/>
      <c r="BB1255" s="551"/>
      <c r="BC1255" s="551"/>
      <c r="BD1255" s="551"/>
      <c r="BE1255" s="551"/>
      <c r="BF1255" s="551"/>
      <c r="BG1255" s="551"/>
      <c r="BH1255" s="551"/>
      <c r="BI1255" s="551"/>
      <c r="BJ1255" s="551"/>
      <c r="BK1255" s="551"/>
      <c r="BL1255" s="551"/>
      <c r="BM1255" s="551"/>
      <c r="BN1255" s="551"/>
      <c r="BO1255" s="551"/>
      <c r="BP1255" s="551"/>
      <c r="BQ1255" s="551"/>
      <c r="BR1255" s="551"/>
      <c r="BS1255" s="551"/>
      <c r="BT1255" s="551"/>
      <c r="BU1255" s="551"/>
      <c r="BV1255" s="551"/>
      <c r="BW1255" s="551"/>
      <c r="BX1255" s="551"/>
      <c r="BY1255" s="551"/>
      <c r="BZ1255" s="551"/>
      <c r="CA1255" s="551"/>
      <c r="CB1255" s="551"/>
      <c r="CC1255" s="551"/>
      <c r="CD1255" s="551"/>
      <c r="CE1255" s="551"/>
      <c r="CF1255" s="551"/>
      <c r="CG1255" s="551"/>
      <c r="CH1255" s="650"/>
      <c r="CI1255" s="650"/>
      <c r="CJ1255" s="650"/>
      <c r="CK1255" s="650"/>
      <c r="CL1255" s="650"/>
      <c r="CM1255" s="551"/>
      <c r="CN1255" s="551"/>
      <c r="CO1255" s="551"/>
      <c r="CP1255" s="650"/>
      <c r="CQ1255" s="650"/>
      <c r="CR1255" s="650"/>
      <c r="CS1255" s="650"/>
      <c r="CT1255" s="650"/>
      <c r="CU1255" s="650"/>
    </row>
    <row r="1256" s="1266" customFormat="1" ht="31" customHeight="1" spans="1:99">
      <c r="A1256" s="641">
        <v>46107</v>
      </c>
      <c r="B1256" s="642" t="s">
        <v>1472</v>
      </c>
      <c r="C1256" s="246" t="s">
        <v>524</v>
      </c>
      <c r="D1256" s="551">
        <v>4500198544</v>
      </c>
      <c r="E1256" s="246">
        <v>3301470015</v>
      </c>
      <c r="F1256" s="551" t="s">
        <v>4862</v>
      </c>
      <c r="G1256" s="659" t="s">
        <v>130</v>
      </c>
      <c r="H1256" s="246" t="s">
        <v>131</v>
      </c>
      <c r="I1256" s="706">
        <v>2700</v>
      </c>
      <c r="J1256" s="246">
        <v>0</v>
      </c>
      <c r="K1256" s="246">
        <v>6</v>
      </c>
      <c r="L1256" s="644">
        <f t="shared" si="393"/>
        <v>450</v>
      </c>
      <c r="M1256" s="742">
        <v>46216</v>
      </c>
      <c r="N1256" s="742">
        <f>M1256-4</f>
        <v>46212</v>
      </c>
      <c r="O1256" s="643"/>
      <c r="P1256" s="246" t="s">
        <v>113</v>
      </c>
      <c r="Q1256" s="646">
        <v>46217</v>
      </c>
      <c r="R1256" s="646">
        <v>46132</v>
      </c>
      <c r="S1256" s="646" t="s">
        <v>70</v>
      </c>
      <c r="T1256" s="646" t="s">
        <v>4863</v>
      </c>
      <c r="U1256" s="646"/>
      <c r="V1256" s="642" t="s">
        <v>4864</v>
      </c>
      <c r="W1256" s="749" t="s">
        <v>1476</v>
      </c>
      <c r="X1256" s="749" t="s">
        <v>4865</v>
      </c>
      <c r="Y1256" s="647" t="s">
        <v>340</v>
      </c>
      <c r="Z1256" s="1352">
        <v>4.2266</v>
      </c>
      <c r="AA1256" s="647">
        <f t="shared" si="397"/>
        <v>11411.82</v>
      </c>
      <c r="AB1256" s="551"/>
      <c r="AC1256" s="648"/>
      <c r="AD1256" s="246" t="s">
        <v>453</v>
      </c>
      <c r="AE1256" s="246" t="s">
        <v>82</v>
      </c>
      <c r="AF1256" s="246"/>
      <c r="AG1256" s="246"/>
      <c r="AH1256" s="246"/>
      <c r="AI1256" s="642">
        <v>2700</v>
      </c>
      <c r="AJ1256" s="643">
        <f t="shared" si="402"/>
        <v>0</v>
      </c>
      <c r="AK1256" s="246"/>
      <c r="AL1256" s="246" t="s">
        <v>2368</v>
      </c>
      <c r="AM1256" s="551"/>
      <c r="AN1256" s="551">
        <f t="shared" si="398"/>
        <v>2700</v>
      </c>
      <c r="AO1256" s="1331"/>
      <c r="AP1256" s="1331"/>
      <c r="AQ1256" s="1331"/>
      <c r="AR1256" s="551"/>
      <c r="AS1256" s="551">
        <f>I1256</f>
        <v>2700</v>
      </c>
      <c r="AT1256" s="551"/>
      <c r="AU1256" s="551">
        <f t="shared" si="400"/>
        <v>2700</v>
      </c>
      <c r="AV1256" s="551"/>
      <c r="AW1256" s="551">
        <f t="shared" si="401"/>
        <v>2700</v>
      </c>
      <c r="AX1256" s="651"/>
      <c r="AY1256" s="551"/>
      <c r="AZ1256" s="551"/>
      <c r="BA1256" s="551"/>
      <c r="BB1256" s="551"/>
      <c r="BC1256" s="551"/>
      <c r="BD1256" s="551"/>
      <c r="BE1256" s="551"/>
      <c r="BF1256" s="551"/>
      <c r="BG1256" s="551"/>
      <c r="BH1256" s="551"/>
      <c r="BI1256" s="551"/>
      <c r="BJ1256" s="551"/>
      <c r="BK1256" s="551"/>
      <c r="BL1256" s="551"/>
      <c r="BM1256" s="551"/>
      <c r="BN1256" s="551"/>
      <c r="BO1256" s="551"/>
      <c r="BP1256" s="551"/>
      <c r="BQ1256" s="551"/>
      <c r="BR1256" s="551"/>
      <c r="BS1256" s="551"/>
      <c r="BT1256" s="551"/>
      <c r="BU1256" s="551"/>
      <c r="BV1256" s="551"/>
      <c r="BW1256" s="551"/>
      <c r="BX1256" s="551"/>
      <c r="BY1256" s="551"/>
      <c r="BZ1256" s="551"/>
      <c r="CA1256" s="551"/>
      <c r="CB1256" s="551"/>
      <c r="CC1256" s="551"/>
      <c r="CD1256" s="551"/>
      <c r="CE1256" s="551"/>
      <c r="CF1256" s="551"/>
      <c r="CG1256" s="551"/>
      <c r="CH1256" s="650"/>
      <c r="CI1256" s="650"/>
      <c r="CJ1256" s="650"/>
      <c r="CK1256" s="650"/>
      <c r="CL1256" s="650"/>
      <c r="CM1256" s="551"/>
      <c r="CN1256" s="551"/>
      <c r="CO1256" s="551"/>
      <c r="CP1256" s="650"/>
      <c r="CQ1256" s="650"/>
      <c r="CR1256" s="650"/>
      <c r="CS1256" s="650"/>
      <c r="CT1256" s="650"/>
      <c r="CU1256" s="650"/>
    </row>
    <row r="1257" s="1266" customFormat="1" ht="31" customHeight="1" spans="1:99">
      <c r="A1257" s="641">
        <v>46175</v>
      </c>
      <c r="B1257" s="642" t="s">
        <v>143</v>
      </c>
      <c r="C1257" s="246" t="s">
        <v>98</v>
      </c>
      <c r="D1257" s="551" t="s">
        <v>4866</v>
      </c>
      <c r="E1257" s="1415" t="s">
        <v>4867</v>
      </c>
      <c r="F1257" s="551" t="s">
        <v>4868</v>
      </c>
      <c r="G1257" s="246" t="s">
        <v>101</v>
      </c>
      <c r="H1257" s="246" t="s">
        <v>102</v>
      </c>
      <c r="I1257" s="706">
        <v>1600</v>
      </c>
      <c r="J1257" s="246">
        <v>0</v>
      </c>
      <c r="K1257" s="246">
        <v>4</v>
      </c>
      <c r="L1257" s="644">
        <f t="shared" si="393"/>
        <v>400</v>
      </c>
      <c r="M1257" s="645">
        <v>46223</v>
      </c>
      <c r="N1257" s="645">
        <v>46219</v>
      </c>
      <c r="O1257" s="775" t="s">
        <v>3368</v>
      </c>
      <c r="P1257" s="246" t="s">
        <v>113</v>
      </c>
      <c r="Q1257" s="646"/>
      <c r="R1257" s="646" t="s">
        <v>147</v>
      </c>
      <c r="S1257" s="646" t="s">
        <v>70</v>
      </c>
      <c r="T1257" s="646" t="s">
        <v>4869</v>
      </c>
      <c r="U1257" s="646"/>
      <c r="V1257" s="646"/>
      <c r="W1257" s="642"/>
      <c r="X1257" s="642" t="s">
        <v>4870</v>
      </c>
      <c r="Y1257" s="647" t="s">
        <v>4871</v>
      </c>
      <c r="Z1257" s="657">
        <v>2.7109</v>
      </c>
      <c r="AA1257" s="647">
        <f t="shared" si="397"/>
        <v>4337.44</v>
      </c>
      <c r="AB1257" s="551"/>
      <c r="AC1257" s="698" t="s">
        <v>4872</v>
      </c>
      <c r="AD1257" s="246" t="s">
        <v>101</v>
      </c>
      <c r="AE1257" s="246" t="s">
        <v>82</v>
      </c>
      <c r="AF1257" s="246"/>
      <c r="AG1257" s="246"/>
      <c r="AH1257" s="246"/>
      <c r="AI1257" s="642">
        <v>1600</v>
      </c>
      <c r="AJ1257" s="643">
        <f t="shared" si="402"/>
        <v>0</v>
      </c>
      <c r="AK1257" s="246"/>
      <c r="AL1257" s="246" t="s">
        <v>2368</v>
      </c>
      <c r="AM1257" s="551"/>
      <c r="AN1257" s="551">
        <f t="shared" si="398"/>
        <v>1600</v>
      </c>
      <c r="AO1257" s="551"/>
      <c r="AP1257" s="551"/>
      <c r="AQ1257" s="551"/>
      <c r="AR1257" s="551">
        <f>I1257</f>
        <v>1600</v>
      </c>
      <c r="AS1257" s="551"/>
      <c r="AT1257" s="551"/>
      <c r="AU1257" s="551">
        <f t="shared" si="400"/>
        <v>1600</v>
      </c>
      <c r="AV1257" s="551"/>
      <c r="AW1257" s="551">
        <f t="shared" si="401"/>
        <v>1600</v>
      </c>
      <c r="AX1257" s="651"/>
      <c r="AY1257" s="551"/>
      <c r="AZ1257" s="551"/>
      <c r="BA1257" s="551"/>
      <c r="BB1257" s="551"/>
      <c r="BC1257" s="551"/>
      <c r="BD1257" s="551"/>
      <c r="BE1257" s="551"/>
      <c r="BF1257" s="551"/>
      <c r="BG1257" s="551"/>
      <c r="BH1257" s="551">
        <f>I1257/4</f>
        <v>400</v>
      </c>
      <c r="BI1257" s="551"/>
      <c r="BJ1257" s="551"/>
      <c r="BK1257" s="551"/>
      <c r="BL1257" s="551"/>
      <c r="BM1257" s="551"/>
      <c r="BN1257" s="551"/>
      <c r="BO1257" s="551"/>
      <c r="BP1257" s="551"/>
      <c r="BQ1257" s="551"/>
      <c r="BR1257" s="551"/>
      <c r="BS1257" s="551"/>
      <c r="BT1257" s="551"/>
      <c r="BU1257" s="551"/>
      <c r="BV1257" s="551"/>
      <c r="BW1257" s="551"/>
      <c r="BX1257" s="551"/>
      <c r="BY1257" s="551"/>
      <c r="BZ1257" s="551"/>
      <c r="CA1257" s="551"/>
      <c r="CB1257" s="551"/>
      <c r="CC1257" s="551"/>
      <c r="CD1257" s="551"/>
      <c r="CE1257" s="551"/>
      <c r="CF1257" s="551"/>
      <c r="CG1257" s="551"/>
      <c r="CH1257" s="650"/>
      <c r="CI1257" s="650"/>
      <c r="CJ1257" s="650"/>
      <c r="CK1257" s="650"/>
      <c r="CL1257" s="650"/>
      <c r="CM1257" s="551"/>
      <c r="CN1257" s="551"/>
      <c r="CO1257" s="551"/>
      <c r="CP1257" s="650"/>
      <c r="CQ1257" s="650"/>
      <c r="CR1257" s="650"/>
      <c r="CS1257" s="650"/>
      <c r="CT1257" s="650"/>
      <c r="CU1257" s="650"/>
    </row>
    <row r="1258" s="15" customFormat="1" ht="31" customHeight="1" spans="1:99">
      <c r="A1258" s="157">
        <v>46169</v>
      </c>
      <c r="B1258" s="208" t="s">
        <v>4873</v>
      </c>
      <c r="C1258" s="209" t="s">
        <v>1343</v>
      </c>
      <c r="D1258" s="210" t="s">
        <v>4874</v>
      </c>
      <c r="E1258" s="209" t="s">
        <v>3846</v>
      </c>
      <c r="F1258" s="210" t="s">
        <v>4875</v>
      </c>
      <c r="G1258" s="209" t="s">
        <v>4876</v>
      </c>
      <c r="H1258" s="238" t="s">
        <v>830</v>
      </c>
      <c r="I1258" s="230">
        <v>10800</v>
      </c>
      <c r="J1258" s="209">
        <v>0</v>
      </c>
      <c r="K1258" s="209">
        <v>75</v>
      </c>
      <c r="L1258" s="224">
        <f t="shared" si="393"/>
        <v>144</v>
      </c>
      <c r="M1258" s="211">
        <v>46220</v>
      </c>
      <c r="N1258" s="225" t="s">
        <v>4877</v>
      </c>
      <c r="O1258" s="212" t="s">
        <v>4878</v>
      </c>
      <c r="P1258" s="209"/>
      <c r="Q1258" s="213"/>
      <c r="R1258" s="213" t="s">
        <v>4879</v>
      </c>
      <c r="S1258" s="213" t="s">
        <v>70</v>
      </c>
      <c r="T1258" s="213" t="s">
        <v>4880</v>
      </c>
      <c r="U1258" s="213"/>
      <c r="V1258" s="213"/>
      <c r="W1258" s="208"/>
      <c r="X1258" s="208" t="s">
        <v>4881</v>
      </c>
      <c r="Y1258" s="214" t="s">
        <v>4882</v>
      </c>
      <c r="Z1258" s="215">
        <v>611.8049</v>
      </c>
      <c r="AA1258" s="214">
        <f>Z1258*L1258</f>
        <v>88099.9056</v>
      </c>
      <c r="AB1258" s="210"/>
      <c r="AC1258" s="1370"/>
      <c r="AD1258" s="238" t="s">
        <v>4883</v>
      </c>
      <c r="AE1258" s="209" t="s">
        <v>82</v>
      </c>
      <c r="AF1258" s="209"/>
      <c r="AG1258" s="209"/>
      <c r="AH1258" s="209"/>
      <c r="AI1258" s="609"/>
      <c r="AJ1258" s="212"/>
      <c r="AK1258" s="209"/>
      <c r="AL1258" s="209"/>
      <c r="AM1258" s="210"/>
      <c r="AN1258" s="210"/>
      <c r="AO1258" s="210"/>
      <c r="AP1258" s="210"/>
      <c r="AQ1258" s="210"/>
      <c r="AR1258" s="210"/>
      <c r="AS1258" s="210"/>
      <c r="AT1258" s="210"/>
      <c r="AU1258" s="210"/>
      <c r="AV1258" s="210"/>
      <c r="AW1258" s="210"/>
      <c r="AX1258" s="217"/>
      <c r="AY1258" s="210"/>
      <c r="AZ1258" s="210"/>
      <c r="BA1258" s="210">
        <f>I1258</f>
        <v>10800</v>
      </c>
      <c r="BB1258" s="210">
        <f>I1258</f>
        <v>10800</v>
      </c>
      <c r="BC1258" s="210">
        <f>I1258</f>
        <v>10800</v>
      </c>
      <c r="BD1258" s="210"/>
      <c r="BE1258" s="210"/>
      <c r="BF1258" s="210"/>
      <c r="BG1258" s="210"/>
      <c r="BH1258" s="210"/>
      <c r="BI1258" s="210"/>
      <c r="BJ1258" s="210"/>
      <c r="BK1258" s="210">
        <f>I1258</f>
        <v>10800</v>
      </c>
      <c r="BL1258" s="210">
        <f>I1258/5</f>
        <v>2160</v>
      </c>
      <c r="BM1258" s="210"/>
      <c r="BN1258" s="210"/>
      <c r="BO1258" s="210"/>
      <c r="BP1258" s="210"/>
      <c r="BQ1258" s="210"/>
      <c r="BR1258" s="210"/>
      <c r="BS1258" s="210"/>
      <c r="BT1258" s="210"/>
      <c r="BU1258" s="210"/>
      <c r="BV1258" s="210"/>
      <c r="BW1258" s="210"/>
      <c r="BX1258" s="210"/>
      <c r="BY1258" s="210"/>
      <c r="BZ1258" s="210"/>
      <c r="CA1258" s="210"/>
      <c r="CB1258" s="210"/>
      <c r="CC1258" s="210"/>
      <c r="CD1258" s="210"/>
      <c r="CE1258" s="210"/>
      <c r="CF1258" s="210"/>
      <c r="CG1258" s="210"/>
      <c r="CH1258" s="220"/>
      <c r="CI1258" s="220"/>
      <c r="CJ1258" s="220"/>
      <c r="CK1258" s="220"/>
      <c r="CL1258" s="220"/>
      <c r="CM1258" s="210"/>
      <c r="CN1258" s="210"/>
      <c r="CO1258" s="210"/>
      <c r="CP1258" s="220"/>
      <c r="CQ1258" s="220"/>
      <c r="CR1258" s="220"/>
      <c r="CS1258" s="220"/>
      <c r="CT1258" s="220"/>
      <c r="CU1258" s="220"/>
    </row>
    <row r="1259" s="1267" customFormat="1" ht="31" customHeight="1" spans="1:99">
      <c r="A1259" s="608">
        <v>46181</v>
      </c>
      <c r="B1259" s="609" t="s">
        <v>205</v>
      </c>
      <c r="C1259" s="610" t="s">
        <v>98</v>
      </c>
      <c r="D1259" s="554">
        <v>4500211139</v>
      </c>
      <c r="E1259" s="610">
        <v>219372953</v>
      </c>
      <c r="F1259" s="554" t="s">
        <v>4884</v>
      </c>
      <c r="G1259" s="610" t="s">
        <v>207</v>
      </c>
      <c r="H1259" s="610" t="s">
        <v>102</v>
      </c>
      <c r="I1259" s="715">
        <v>780</v>
      </c>
      <c r="J1259" s="610">
        <v>0</v>
      </c>
      <c r="K1259" s="610">
        <v>4</v>
      </c>
      <c r="L1259" s="611">
        <f t="shared" si="393"/>
        <v>195</v>
      </c>
      <c r="M1259" s="612">
        <v>46223</v>
      </c>
      <c r="N1259" s="612">
        <v>46219</v>
      </c>
      <c r="O1259" s="613"/>
      <c r="P1259" s="610" t="s">
        <v>113</v>
      </c>
      <c r="Q1259" s="614">
        <v>46227</v>
      </c>
      <c r="R1259" s="614">
        <v>46184</v>
      </c>
      <c r="S1259" s="614" t="s">
        <v>70</v>
      </c>
      <c r="T1259" s="614" t="s">
        <v>70</v>
      </c>
      <c r="U1259" s="614"/>
      <c r="V1259" s="614"/>
      <c r="W1259" s="609"/>
      <c r="X1259" s="609" t="s">
        <v>4885</v>
      </c>
      <c r="Y1259" s="616" t="s">
        <v>2003</v>
      </c>
      <c r="Z1259" s="625">
        <v>2.578</v>
      </c>
      <c r="AA1259" s="616">
        <f t="shared" ref="AA1259:AA1284" si="403">Z1259*I1259</f>
        <v>2010.84</v>
      </c>
      <c r="AB1259" s="609"/>
      <c r="AC1259" s="629" t="s">
        <v>4886</v>
      </c>
      <c r="AD1259" s="610" t="s">
        <v>207</v>
      </c>
      <c r="AE1259" s="610" t="s">
        <v>82</v>
      </c>
      <c r="AF1259" s="610"/>
      <c r="AG1259" s="610"/>
      <c r="AH1259" s="610"/>
      <c r="AI1259" s="609">
        <v>780</v>
      </c>
      <c r="AJ1259" s="613">
        <f t="shared" si="402"/>
        <v>0</v>
      </c>
      <c r="AK1259" s="610"/>
      <c r="AL1259" s="610"/>
      <c r="AM1259" s="554"/>
      <c r="AN1259" s="554">
        <f t="shared" ref="AN1259:AN1322" si="404">I1259</f>
        <v>780</v>
      </c>
      <c r="AO1259" s="554"/>
      <c r="AP1259" s="554"/>
      <c r="AQ1259" s="554"/>
      <c r="AR1259" s="554">
        <f t="shared" ref="AR1259:AR1268" si="405">I1259</f>
        <v>780</v>
      </c>
      <c r="AS1259" s="554"/>
      <c r="AT1259" s="554"/>
      <c r="AU1259" s="554">
        <f t="shared" ref="AU1259:AU1275" si="406">I1259</f>
        <v>780</v>
      </c>
      <c r="AV1259" s="554"/>
      <c r="AW1259" s="554">
        <f t="shared" ref="AW1259:AW1298" si="407">I1259</f>
        <v>780</v>
      </c>
      <c r="AX1259" s="714"/>
      <c r="AY1259" s="554"/>
      <c r="AZ1259" s="554"/>
      <c r="BA1259" s="554"/>
      <c r="BB1259" s="554"/>
      <c r="BC1259" s="554"/>
      <c r="BD1259" s="554"/>
      <c r="BE1259" s="554"/>
      <c r="BF1259" s="554"/>
      <c r="BG1259" s="554"/>
      <c r="BH1259" s="554"/>
      <c r="BI1259" s="554"/>
      <c r="BJ1259" s="554"/>
      <c r="BK1259" s="554"/>
      <c r="BL1259" s="554"/>
      <c r="BM1259" s="554"/>
      <c r="BN1259" s="554"/>
      <c r="BO1259" s="554"/>
      <c r="BP1259" s="554"/>
      <c r="BQ1259" s="554"/>
      <c r="BR1259" s="554"/>
      <c r="BS1259" s="554"/>
      <c r="BT1259" s="554"/>
      <c r="BU1259" s="554"/>
      <c r="BV1259" s="554"/>
      <c r="BW1259" s="554"/>
      <c r="BX1259" s="554"/>
      <c r="BY1259" s="554"/>
      <c r="BZ1259" s="554"/>
      <c r="CA1259" s="554"/>
      <c r="CB1259" s="554"/>
      <c r="CC1259" s="554"/>
      <c r="CD1259" s="554"/>
      <c r="CE1259" s="554"/>
      <c r="CF1259" s="554"/>
      <c r="CG1259" s="554"/>
      <c r="CH1259" s="619"/>
      <c r="CI1259" s="619"/>
      <c r="CJ1259" s="619"/>
      <c r="CK1259" s="619"/>
      <c r="CL1259" s="619"/>
      <c r="CM1259" s="554"/>
      <c r="CN1259" s="554"/>
      <c r="CO1259" s="554"/>
      <c r="CP1259" s="619"/>
      <c r="CQ1259" s="619"/>
      <c r="CR1259" s="619"/>
      <c r="CS1259" s="619"/>
      <c r="CT1259" s="619"/>
      <c r="CU1259" s="619"/>
    </row>
    <row r="1260" s="1267" customFormat="1" ht="31" customHeight="1" spans="1:99">
      <c r="A1260" s="608">
        <v>46181</v>
      </c>
      <c r="B1260" s="609" t="s">
        <v>205</v>
      </c>
      <c r="C1260" s="610" t="s">
        <v>98</v>
      </c>
      <c r="D1260" s="554">
        <v>4500211139</v>
      </c>
      <c r="E1260" s="610">
        <v>219372952</v>
      </c>
      <c r="F1260" s="554" t="s">
        <v>4887</v>
      </c>
      <c r="G1260" s="610" t="s">
        <v>207</v>
      </c>
      <c r="H1260" s="610" t="s">
        <v>102</v>
      </c>
      <c r="I1260" s="715">
        <v>420</v>
      </c>
      <c r="J1260" s="610">
        <v>0</v>
      </c>
      <c r="K1260" s="610">
        <v>4</v>
      </c>
      <c r="L1260" s="611">
        <f t="shared" si="393"/>
        <v>105</v>
      </c>
      <c r="M1260" s="612">
        <v>46223</v>
      </c>
      <c r="N1260" s="612">
        <v>46219</v>
      </c>
      <c r="O1260" s="613"/>
      <c r="P1260" s="610" t="s">
        <v>113</v>
      </c>
      <c r="Q1260" s="614">
        <v>46227</v>
      </c>
      <c r="R1260" s="614">
        <v>46184</v>
      </c>
      <c r="S1260" s="614" t="s">
        <v>70</v>
      </c>
      <c r="T1260" s="614" t="s">
        <v>70</v>
      </c>
      <c r="U1260" s="614"/>
      <c r="V1260" s="614"/>
      <c r="W1260" s="609"/>
      <c r="X1260" s="609" t="s">
        <v>4885</v>
      </c>
      <c r="Y1260" s="616" t="s">
        <v>2003</v>
      </c>
      <c r="Z1260" s="625">
        <v>2.578</v>
      </c>
      <c r="AA1260" s="616">
        <f t="shared" si="403"/>
        <v>1082.76</v>
      </c>
      <c r="AB1260" s="609"/>
      <c r="AC1260" s="629" t="s">
        <v>4888</v>
      </c>
      <c r="AD1260" s="610" t="s">
        <v>207</v>
      </c>
      <c r="AE1260" s="610" t="s">
        <v>82</v>
      </c>
      <c r="AF1260" s="610"/>
      <c r="AG1260" s="610"/>
      <c r="AH1260" s="610"/>
      <c r="AI1260" s="609">
        <v>420</v>
      </c>
      <c r="AJ1260" s="613">
        <f t="shared" si="402"/>
        <v>0</v>
      </c>
      <c r="AK1260" s="610"/>
      <c r="AL1260" s="610"/>
      <c r="AM1260" s="554"/>
      <c r="AN1260" s="554">
        <f t="shared" si="404"/>
        <v>420</v>
      </c>
      <c r="AO1260" s="554"/>
      <c r="AP1260" s="554"/>
      <c r="AQ1260" s="554"/>
      <c r="AR1260" s="554">
        <f t="shared" si="405"/>
        <v>420</v>
      </c>
      <c r="AS1260" s="554"/>
      <c r="AT1260" s="554"/>
      <c r="AU1260" s="554">
        <f t="shared" si="406"/>
        <v>420</v>
      </c>
      <c r="AV1260" s="554"/>
      <c r="AW1260" s="554">
        <f t="shared" si="407"/>
        <v>420</v>
      </c>
      <c r="AX1260" s="714"/>
      <c r="AY1260" s="554"/>
      <c r="AZ1260" s="554"/>
      <c r="BA1260" s="554"/>
      <c r="BB1260" s="554"/>
      <c r="BC1260" s="554"/>
      <c r="BD1260" s="554"/>
      <c r="BE1260" s="554"/>
      <c r="BF1260" s="554"/>
      <c r="BG1260" s="554"/>
      <c r="BH1260" s="554"/>
      <c r="BI1260" s="554"/>
      <c r="BJ1260" s="554"/>
      <c r="BK1260" s="554"/>
      <c r="BL1260" s="554"/>
      <c r="BM1260" s="554"/>
      <c r="BN1260" s="554"/>
      <c r="BO1260" s="554"/>
      <c r="BP1260" s="554"/>
      <c r="BQ1260" s="554"/>
      <c r="BR1260" s="554"/>
      <c r="BS1260" s="554"/>
      <c r="BT1260" s="554"/>
      <c r="BU1260" s="554"/>
      <c r="BV1260" s="554"/>
      <c r="BW1260" s="554"/>
      <c r="BX1260" s="554"/>
      <c r="BY1260" s="554"/>
      <c r="BZ1260" s="554"/>
      <c r="CA1260" s="554"/>
      <c r="CB1260" s="554"/>
      <c r="CC1260" s="554"/>
      <c r="CD1260" s="554"/>
      <c r="CE1260" s="554"/>
      <c r="CF1260" s="554"/>
      <c r="CG1260" s="554"/>
      <c r="CH1260" s="619"/>
      <c r="CI1260" s="619"/>
      <c r="CJ1260" s="619"/>
      <c r="CK1260" s="619"/>
      <c r="CL1260" s="619"/>
      <c r="CM1260" s="554"/>
      <c r="CN1260" s="554"/>
      <c r="CO1260" s="554"/>
      <c r="CP1260" s="619"/>
      <c r="CQ1260" s="619"/>
      <c r="CR1260" s="619"/>
      <c r="CS1260" s="619"/>
      <c r="CT1260" s="619"/>
      <c r="CU1260" s="619"/>
    </row>
    <row r="1261" s="1267" customFormat="1" ht="31" customHeight="1" spans="1:99">
      <c r="A1261" s="608">
        <v>46153</v>
      </c>
      <c r="B1261" s="609" t="s">
        <v>143</v>
      </c>
      <c r="C1261" s="610" t="s">
        <v>98</v>
      </c>
      <c r="D1261" s="554" t="s">
        <v>4560</v>
      </c>
      <c r="E1261" s="610" t="s">
        <v>4889</v>
      </c>
      <c r="F1261" s="554" t="s">
        <v>4890</v>
      </c>
      <c r="G1261" s="610" t="s">
        <v>101</v>
      </c>
      <c r="H1261" s="610" t="s">
        <v>102</v>
      </c>
      <c r="I1261" s="715">
        <v>3520</v>
      </c>
      <c r="J1261" s="610">
        <v>0</v>
      </c>
      <c r="K1261" s="610">
        <v>4</v>
      </c>
      <c r="L1261" s="611">
        <f t="shared" si="393"/>
        <v>880</v>
      </c>
      <c r="M1261" s="724">
        <v>46230</v>
      </c>
      <c r="N1261" s="724">
        <v>46226</v>
      </c>
      <c r="O1261" s="737" t="s">
        <v>3368</v>
      </c>
      <c r="P1261" s="610" t="s">
        <v>113</v>
      </c>
      <c r="Q1261" s="614"/>
      <c r="R1261" s="614" t="s">
        <v>4563</v>
      </c>
      <c r="S1261" s="614" t="s">
        <v>70</v>
      </c>
      <c r="T1261" s="614" t="s">
        <v>4564</v>
      </c>
      <c r="U1261" s="614"/>
      <c r="V1261" s="614"/>
      <c r="W1261" s="609"/>
      <c r="X1261" s="609" t="s">
        <v>4565</v>
      </c>
      <c r="Y1261" s="616" t="s">
        <v>106</v>
      </c>
      <c r="Z1261" s="625">
        <v>2.615</v>
      </c>
      <c r="AA1261" s="616">
        <f t="shared" si="403"/>
        <v>9204.8</v>
      </c>
      <c r="AB1261" s="554"/>
      <c r="AC1261" s="629" t="s">
        <v>4566</v>
      </c>
      <c r="AD1261" s="610" t="s">
        <v>101</v>
      </c>
      <c r="AE1261" s="610" t="s">
        <v>82</v>
      </c>
      <c r="AF1261" s="610"/>
      <c r="AG1261" s="610"/>
      <c r="AH1261" s="610"/>
      <c r="AI1261" s="609">
        <v>3520</v>
      </c>
      <c r="AJ1261" s="613">
        <f t="shared" si="402"/>
        <v>0</v>
      </c>
      <c r="AK1261" s="610"/>
      <c r="AL1261" s="610" t="s">
        <v>2368</v>
      </c>
      <c r="AM1261" s="554"/>
      <c r="AN1261" s="554">
        <f t="shared" si="404"/>
        <v>3520</v>
      </c>
      <c r="AO1261" s="554"/>
      <c r="AP1261" s="554"/>
      <c r="AQ1261" s="554"/>
      <c r="AR1261" s="554">
        <f t="shared" si="405"/>
        <v>3520</v>
      </c>
      <c r="AS1261" s="554"/>
      <c r="AT1261" s="554"/>
      <c r="AU1261" s="554">
        <f t="shared" si="406"/>
        <v>3520</v>
      </c>
      <c r="AV1261" s="554"/>
      <c r="AW1261" s="554">
        <f t="shared" si="407"/>
        <v>3520</v>
      </c>
      <c r="AX1261" s="714"/>
      <c r="AY1261" s="554"/>
      <c r="AZ1261" s="554"/>
      <c r="BA1261" s="554"/>
      <c r="BB1261" s="554"/>
      <c r="BC1261" s="554"/>
      <c r="BD1261" s="554"/>
      <c r="BE1261" s="554"/>
      <c r="BF1261" s="554"/>
      <c r="BG1261" s="554"/>
      <c r="BH1261" s="554">
        <f t="shared" ref="BH1261:BH1267" si="408">I1261/4</f>
        <v>880</v>
      </c>
      <c r="BI1261" s="729"/>
      <c r="BJ1261" s="554"/>
      <c r="BK1261" s="554"/>
      <c r="BL1261" s="554"/>
      <c r="BM1261" s="554"/>
      <c r="BN1261" s="554"/>
      <c r="BO1261" s="554"/>
      <c r="BP1261" s="554"/>
      <c r="BQ1261" s="554"/>
      <c r="BR1261" s="554"/>
      <c r="BS1261" s="554"/>
      <c r="BT1261" s="554"/>
      <c r="BU1261" s="554"/>
      <c r="BV1261" s="554"/>
      <c r="BW1261" s="554"/>
      <c r="BX1261" s="554"/>
      <c r="BY1261" s="554"/>
      <c r="BZ1261" s="554"/>
      <c r="CA1261" s="554"/>
      <c r="CB1261" s="554"/>
      <c r="CC1261" s="554"/>
      <c r="CD1261" s="554"/>
      <c r="CE1261" s="554"/>
      <c r="CF1261" s="554"/>
      <c r="CG1261" s="554"/>
      <c r="CH1261" s="619"/>
      <c r="CI1261" s="619"/>
      <c r="CJ1261" s="619"/>
      <c r="CK1261" s="619"/>
      <c r="CL1261" s="619"/>
      <c r="CM1261" s="554"/>
      <c r="CN1261" s="554"/>
      <c r="CO1261" s="554"/>
      <c r="CP1261" s="619"/>
      <c r="CQ1261" s="619"/>
      <c r="CR1261" s="619"/>
      <c r="CS1261" s="619"/>
      <c r="CT1261" s="619"/>
      <c r="CU1261" s="619"/>
    </row>
    <row r="1262" s="1267" customFormat="1" ht="31" customHeight="1" spans="1:99">
      <c r="A1262" s="608">
        <v>46183</v>
      </c>
      <c r="B1262" s="609" t="s">
        <v>143</v>
      </c>
      <c r="C1262" s="610" t="s">
        <v>98</v>
      </c>
      <c r="D1262" s="554">
        <v>4500211431</v>
      </c>
      <c r="E1262" s="610">
        <v>1003602850</v>
      </c>
      <c r="F1262" s="554" t="s">
        <v>4891</v>
      </c>
      <c r="G1262" s="610" t="s">
        <v>101</v>
      </c>
      <c r="H1262" s="610" t="s">
        <v>102</v>
      </c>
      <c r="I1262" s="715">
        <v>640</v>
      </c>
      <c r="J1262" s="610">
        <v>0</v>
      </c>
      <c r="K1262" s="610">
        <v>4</v>
      </c>
      <c r="L1262" s="611">
        <f t="shared" si="393"/>
        <v>160</v>
      </c>
      <c r="M1262" s="612">
        <v>46231</v>
      </c>
      <c r="N1262" s="612">
        <v>46227</v>
      </c>
      <c r="O1262" s="737" t="s">
        <v>3368</v>
      </c>
      <c r="P1262" s="610" t="s">
        <v>113</v>
      </c>
      <c r="Q1262" s="614">
        <v>46234</v>
      </c>
      <c r="R1262" s="614" t="s">
        <v>4563</v>
      </c>
      <c r="S1262" s="614" t="s">
        <v>70</v>
      </c>
      <c r="T1262" s="614" t="s">
        <v>4869</v>
      </c>
      <c r="U1262" s="614"/>
      <c r="V1262" s="614"/>
      <c r="W1262" s="609"/>
      <c r="X1262" s="609" t="s">
        <v>4892</v>
      </c>
      <c r="Y1262" s="616" t="s">
        <v>106</v>
      </c>
      <c r="Z1262" s="625">
        <v>2.7109</v>
      </c>
      <c r="AA1262" s="616">
        <f t="shared" si="403"/>
        <v>1734.976</v>
      </c>
      <c r="AB1262" s="609"/>
      <c r="AC1262" s="629" t="s">
        <v>4893</v>
      </c>
      <c r="AD1262" s="610" t="s">
        <v>101</v>
      </c>
      <c r="AE1262" s="610" t="s">
        <v>82</v>
      </c>
      <c r="AF1262" s="610"/>
      <c r="AG1262" s="610"/>
      <c r="AH1262" s="610"/>
      <c r="AI1262" s="609">
        <v>640</v>
      </c>
      <c r="AJ1262" s="613">
        <f t="shared" si="402"/>
        <v>0</v>
      </c>
      <c r="AK1262" s="610"/>
      <c r="AL1262" s="610" t="s">
        <v>2368</v>
      </c>
      <c r="AM1262" s="554"/>
      <c r="AN1262" s="554">
        <f t="shared" si="404"/>
        <v>640</v>
      </c>
      <c r="AO1262" s="554"/>
      <c r="AP1262" s="554"/>
      <c r="AQ1262" s="554"/>
      <c r="AR1262" s="554">
        <f t="shared" si="405"/>
        <v>640</v>
      </c>
      <c r="AS1262" s="554"/>
      <c r="AT1262" s="554"/>
      <c r="AU1262" s="554">
        <f t="shared" si="406"/>
        <v>640</v>
      </c>
      <c r="AV1262" s="554"/>
      <c r="AW1262" s="554">
        <f t="shared" si="407"/>
        <v>640</v>
      </c>
      <c r="AX1262" s="714"/>
      <c r="AY1262" s="554"/>
      <c r="AZ1262" s="554"/>
      <c r="BA1262" s="554"/>
      <c r="BB1262" s="554"/>
      <c r="BC1262" s="554"/>
      <c r="BD1262" s="554"/>
      <c r="BE1262" s="554"/>
      <c r="BF1262" s="554"/>
      <c r="BG1262" s="554"/>
      <c r="BH1262" s="554">
        <f t="shared" si="408"/>
        <v>160</v>
      </c>
      <c r="BI1262" s="554"/>
      <c r="BJ1262" s="554"/>
      <c r="BK1262" s="554"/>
      <c r="BL1262" s="554"/>
      <c r="BM1262" s="554"/>
      <c r="BN1262" s="554"/>
      <c r="BO1262" s="554"/>
      <c r="BP1262" s="554"/>
      <c r="BQ1262" s="554"/>
      <c r="BR1262" s="554"/>
      <c r="BS1262" s="554"/>
      <c r="BT1262" s="554"/>
      <c r="BU1262" s="554"/>
      <c r="BV1262" s="554"/>
      <c r="BW1262" s="554"/>
      <c r="BX1262" s="554"/>
      <c r="BY1262" s="554"/>
      <c r="BZ1262" s="554"/>
      <c r="CA1262" s="554"/>
      <c r="CB1262" s="554"/>
      <c r="CC1262" s="554"/>
      <c r="CD1262" s="554"/>
      <c r="CE1262" s="554"/>
      <c r="CF1262" s="554"/>
      <c r="CG1262" s="554"/>
      <c r="CH1262" s="619"/>
      <c r="CI1262" s="619"/>
      <c r="CJ1262" s="619"/>
      <c r="CK1262" s="619"/>
      <c r="CL1262" s="619"/>
      <c r="CM1262" s="554"/>
      <c r="CN1262" s="554"/>
      <c r="CO1262" s="554"/>
      <c r="CP1262" s="619"/>
      <c r="CQ1262" s="619"/>
      <c r="CR1262" s="619"/>
      <c r="CS1262" s="619"/>
      <c r="CT1262" s="619"/>
      <c r="CU1262" s="619"/>
    </row>
    <row r="1263" s="1267" customFormat="1" ht="31" customHeight="1" spans="1:99">
      <c r="A1263" s="608">
        <v>46183</v>
      </c>
      <c r="B1263" s="609" t="s">
        <v>143</v>
      </c>
      <c r="C1263" s="610" t="s">
        <v>98</v>
      </c>
      <c r="D1263" s="554">
        <v>4500211432</v>
      </c>
      <c r="E1263" s="610">
        <v>1003609396</v>
      </c>
      <c r="F1263" s="554" t="s">
        <v>4894</v>
      </c>
      <c r="G1263" s="610" t="s">
        <v>101</v>
      </c>
      <c r="H1263" s="610" t="s">
        <v>102</v>
      </c>
      <c r="I1263" s="715">
        <v>2880</v>
      </c>
      <c r="J1263" s="610">
        <v>0</v>
      </c>
      <c r="K1263" s="610">
        <v>4</v>
      </c>
      <c r="L1263" s="611">
        <f t="shared" si="393"/>
        <v>720</v>
      </c>
      <c r="M1263" s="612">
        <v>46233</v>
      </c>
      <c r="N1263" s="612">
        <v>46230</v>
      </c>
      <c r="O1263" s="737" t="s">
        <v>3368</v>
      </c>
      <c r="P1263" s="610" t="s">
        <v>113</v>
      </c>
      <c r="Q1263" s="614">
        <v>46238</v>
      </c>
      <c r="R1263" s="614" t="s">
        <v>4563</v>
      </c>
      <c r="S1263" s="614" t="s">
        <v>70</v>
      </c>
      <c r="T1263" s="614" t="s">
        <v>4869</v>
      </c>
      <c r="U1263" s="614"/>
      <c r="V1263" s="614"/>
      <c r="W1263" s="609"/>
      <c r="X1263" s="609" t="s">
        <v>4892</v>
      </c>
      <c r="Y1263" s="616" t="s">
        <v>106</v>
      </c>
      <c r="Z1263" s="625">
        <v>2.6957</v>
      </c>
      <c r="AA1263" s="616">
        <f t="shared" si="403"/>
        <v>7763.616</v>
      </c>
      <c r="AB1263" s="609"/>
      <c r="AC1263" s="629" t="s">
        <v>4895</v>
      </c>
      <c r="AD1263" s="610" t="s">
        <v>101</v>
      </c>
      <c r="AE1263" s="610" t="s">
        <v>82</v>
      </c>
      <c r="AF1263" s="610"/>
      <c r="AG1263" s="610"/>
      <c r="AH1263" s="610"/>
      <c r="AI1263" s="609">
        <v>2880</v>
      </c>
      <c r="AJ1263" s="613">
        <f t="shared" si="402"/>
        <v>0</v>
      </c>
      <c r="AK1263" s="610"/>
      <c r="AL1263" s="610" t="s">
        <v>2368</v>
      </c>
      <c r="AM1263" s="554"/>
      <c r="AN1263" s="554">
        <f t="shared" si="404"/>
        <v>2880</v>
      </c>
      <c r="AO1263" s="554"/>
      <c r="AP1263" s="554"/>
      <c r="AQ1263" s="554"/>
      <c r="AR1263" s="554">
        <f t="shared" si="405"/>
        <v>2880</v>
      </c>
      <c r="AS1263" s="554"/>
      <c r="AT1263" s="554"/>
      <c r="AU1263" s="554">
        <f t="shared" si="406"/>
        <v>2880</v>
      </c>
      <c r="AV1263" s="554"/>
      <c r="AW1263" s="554">
        <f t="shared" si="407"/>
        <v>2880</v>
      </c>
      <c r="AX1263" s="714"/>
      <c r="AY1263" s="554"/>
      <c r="AZ1263" s="554"/>
      <c r="BA1263" s="554"/>
      <c r="BB1263" s="554"/>
      <c r="BC1263" s="554"/>
      <c r="BD1263" s="554"/>
      <c r="BE1263" s="554"/>
      <c r="BF1263" s="554"/>
      <c r="BG1263" s="554"/>
      <c r="BH1263" s="554">
        <f t="shared" si="408"/>
        <v>720</v>
      </c>
      <c r="BI1263" s="554"/>
      <c r="BJ1263" s="554"/>
      <c r="BK1263" s="554"/>
      <c r="BL1263" s="554"/>
      <c r="BM1263" s="554"/>
      <c r="BN1263" s="554"/>
      <c r="BO1263" s="554"/>
      <c r="BP1263" s="554"/>
      <c r="BQ1263" s="554"/>
      <c r="BR1263" s="554"/>
      <c r="BS1263" s="554"/>
      <c r="BT1263" s="554"/>
      <c r="BU1263" s="554"/>
      <c r="BV1263" s="554"/>
      <c r="BW1263" s="554"/>
      <c r="BX1263" s="554"/>
      <c r="BY1263" s="554"/>
      <c r="BZ1263" s="554"/>
      <c r="CA1263" s="554"/>
      <c r="CB1263" s="554"/>
      <c r="CC1263" s="554"/>
      <c r="CD1263" s="554"/>
      <c r="CE1263" s="554"/>
      <c r="CF1263" s="554"/>
      <c r="CG1263" s="554"/>
      <c r="CH1263" s="619"/>
      <c r="CI1263" s="619"/>
      <c r="CJ1263" s="619"/>
      <c r="CK1263" s="619"/>
      <c r="CL1263" s="619"/>
      <c r="CM1263" s="554"/>
      <c r="CN1263" s="554"/>
      <c r="CO1263" s="554"/>
      <c r="CP1263" s="619"/>
      <c r="CQ1263" s="619"/>
      <c r="CR1263" s="619"/>
      <c r="CS1263" s="619"/>
      <c r="CT1263" s="619"/>
      <c r="CU1263" s="619"/>
    </row>
    <row r="1264" s="1267" customFormat="1" ht="31" customHeight="1" spans="1:99">
      <c r="A1264" s="608">
        <v>46183</v>
      </c>
      <c r="B1264" s="609" t="s">
        <v>143</v>
      </c>
      <c r="C1264" s="610" t="s">
        <v>98</v>
      </c>
      <c r="D1264" s="554">
        <v>4500211432</v>
      </c>
      <c r="E1264" s="610">
        <v>1003609397</v>
      </c>
      <c r="F1264" s="554" t="s">
        <v>4896</v>
      </c>
      <c r="G1264" s="610" t="s">
        <v>101</v>
      </c>
      <c r="H1264" s="610" t="s">
        <v>102</v>
      </c>
      <c r="I1264" s="715">
        <v>2880</v>
      </c>
      <c r="J1264" s="610">
        <v>0</v>
      </c>
      <c r="K1264" s="610">
        <v>4</v>
      </c>
      <c r="L1264" s="611">
        <f t="shared" si="393"/>
        <v>720</v>
      </c>
      <c r="M1264" s="612">
        <v>46233</v>
      </c>
      <c r="N1264" s="612">
        <v>46230</v>
      </c>
      <c r="O1264" s="737" t="s">
        <v>3368</v>
      </c>
      <c r="P1264" s="610" t="s">
        <v>113</v>
      </c>
      <c r="Q1264" s="614">
        <v>46238</v>
      </c>
      <c r="R1264" s="614" t="s">
        <v>4563</v>
      </c>
      <c r="S1264" s="614" t="s">
        <v>70</v>
      </c>
      <c r="T1264" s="614" t="s">
        <v>4869</v>
      </c>
      <c r="U1264" s="614"/>
      <c r="V1264" s="614"/>
      <c r="W1264" s="609"/>
      <c r="X1264" s="609" t="s">
        <v>4892</v>
      </c>
      <c r="Y1264" s="616" t="s">
        <v>106</v>
      </c>
      <c r="Z1264" s="625">
        <v>2.6957</v>
      </c>
      <c r="AA1264" s="616">
        <f t="shared" si="403"/>
        <v>7763.616</v>
      </c>
      <c r="AB1264" s="609"/>
      <c r="AC1264" s="629" t="s">
        <v>4897</v>
      </c>
      <c r="AD1264" s="610" t="s">
        <v>101</v>
      </c>
      <c r="AE1264" s="610" t="s">
        <v>82</v>
      </c>
      <c r="AF1264" s="610"/>
      <c r="AG1264" s="610"/>
      <c r="AH1264" s="610"/>
      <c r="AI1264" s="609">
        <v>2880</v>
      </c>
      <c r="AJ1264" s="613">
        <f t="shared" si="402"/>
        <v>0</v>
      </c>
      <c r="AK1264" s="610"/>
      <c r="AL1264" s="610" t="s">
        <v>2368</v>
      </c>
      <c r="AM1264" s="554"/>
      <c r="AN1264" s="554">
        <f t="shared" si="404"/>
        <v>2880</v>
      </c>
      <c r="AO1264" s="554"/>
      <c r="AP1264" s="554"/>
      <c r="AQ1264" s="554"/>
      <c r="AR1264" s="554">
        <f t="shared" si="405"/>
        <v>2880</v>
      </c>
      <c r="AS1264" s="554"/>
      <c r="AT1264" s="554"/>
      <c r="AU1264" s="554">
        <f t="shared" si="406"/>
        <v>2880</v>
      </c>
      <c r="AV1264" s="554"/>
      <c r="AW1264" s="554">
        <f t="shared" si="407"/>
        <v>2880</v>
      </c>
      <c r="AX1264" s="714"/>
      <c r="AY1264" s="554"/>
      <c r="AZ1264" s="554"/>
      <c r="BA1264" s="554"/>
      <c r="BB1264" s="554"/>
      <c r="BC1264" s="554"/>
      <c r="BD1264" s="554"/>
      <c r="BE1264" s="554"/>
      <c r="BF1264" s="554"/>
      <c r="BG1264" s="554"/>
      <c r="BH1264" s="554">
        <f t="shared" si="408"/>
        <v>720</v>
      </c>
      <c r="BI1264" s="554"/>
      <c r="BJ1264" s="554"/>
      <c r="BK1264" s="554"/>
      <c r="BL1264" s="554"/>
      <c r="BM1264" s="554"/>
      <c r="BN1264" s="554"/>
      <c r="BO1264" s="554"/>
      <c r="BP1264" s="554"/>
      <c r="BQ1264" s="554"/>
      <c r="BR1264" s="554"/>
      <c r="BS1264" s="554"/>
      <c r="BT1264" s="554"/>
      <c r="BU1264" s="554"/>
      <c r="BV1264" s="554"/>
      <c r="BW1264" s="554"/>
      <c r="BX1264" s="554"/>
      <c r="BY1264" s="554"/>
      <c r="BZ1264" s="554"/>
      <c r="CA1264" s="554"/>
      <c r="CB1264" s="554"/>
      <c r="CC1264" s="554"/>
      <c r="CD1264" s="554"/>
      <c r="CE1264" s="554"/>
      <c r="CF1264" s="554"/>
      <c r="CG1264" s="554"/>
      <c r="CH1264" s="619"/>
      <c r="CI1264" s="619"/>
      <c r="CJ1264" s="619"/>
      <c r="CK1264" s="619"/>
      <c r="CL1264" s="619"/>
      <c r="CM1264" s="554"/>
      <c r="CN1264" s="554"/>
      <c r="CO1264" s="554"/>
      <c r="CP1264" s="619"/>
      <c r="CQ1264" s="619"/>
      <c r="CR1264" s="619"/>
      <c r="CS1264" s="619"/>
      <c r="CT1264" s="619"/>
      <c r="CU1264" s="619"/>
    </row>
    <row r="1265" s="1267" customFormat="1" ht="31" customHeight="1" spans="1:100">
      <c r="A1265" s="608">
        <v>46153</v>
      </c>
      <c r="B1265" s="609" t="s">
        <v>143</v>
      </c>
      <c r="C1265" s="610" t="s">
        <v>98</v>
      </c>
      <c r="D1265" s="554" t="s">
        <v>4560</v>
      </c>
      <c r="E1265" s="610" t="s">
        <v>4898</v>
      </c>
      <c r="F1265" s="554" t="s">
        <v>4899</v>
      </c>
      <c r="G1265" s="610" t="s">
        <v>101</v>
      </c>
      <c r="H1265" s="610" t="s">
        <v>102</v>
      </c>
      <c r="I1265" s="715">
        <v>3840</v>
      </c>
      <c r="J1265" s="610">
        <v>0</v>
      </c>
      <c r="K1265" s="610">
        <v>4</v>
      </c>
      <c r="L1265" s="611">
        <f t="shared" si="393"/>
        <v>960</v>
      </c>
      <c r="M1265" s="724">
        <v>46237</v>
      </c>
      <c r="N1265" s="724">
        <v>46233</v>
      </c>
      <c r="O1265" s="737" t="s">
        <v>3368</v>
      </c>
      <c r="P1265" s="610" t="s">
        <v>113</v>
      </c>
      <c r="Q1265" s="614">
        <v>46252</v>
      </c>
      <c r="R1265" s="614" t="s">
        <v>4563</v>
      </c>
      <c r="S1265" s="614" t="s">
        <v>70</v>
      </c>
      <c r="T1265" s="614" t="s">
        <v>4564</v>
      </c>
      <c r="U1265" s="614"/>
      <c r="V1265" s="614"/>
      <c r="W1265" s="609"/>
      <c r="X1265" s="609" t="s">
        <v>4900</v>
      </c>
      <c r="Y1265" s="616" t="s">
        <v>106</v>
      </c>
      <c r="Z1265" s="625">
        <v>2.615</v>
      </c>
      <c r="AA1265" s="616">
        <f t="shared" si="403"/>
        <v>10041.6</v>
      </c>
      <c r="AB1265" s="554"/>
      <c r="AC1265" s="629" t="s">
        <v>4566</v>
      </c>
      <c r="AD1265" s="610" t="s">
        <v>101</v>
      </c>
      <c r="AE1265" s="610" t="s">
        <v>82</v>
      </c>
      <c r="AF1265" s="610"/>
      <c r="AG1265" s="610"/>
      <c r="AH1265" s="610"/>
      <c r="AI1265" s="609">
        <v>3840</v>
      </c>
      <c r="AJ1265" s="613">
        <f t="shared" si="402"/>
        <v>0</v>
      </c>
      <c r="AK1265" s="610"/>
      <c r="AL1265" s="610" t="s">
        <v>2368</v>
      </c>
      <c r="AM1265" s="554"/>
      <c r="AN1265" s="554">
        <f t="shared" si="404"/>
        <v>3840</v>
      </c>
      <c r="AO1265" s="554"/>
      <c r="AP1265" s="554"/>
      <c r="AQ1265" s="554"/>
      <c r="AR1265" s="554">
        <f t="shared" si="405"/>
        <v>3840</v>
      </c>
      <c r="AS1265" s="554"/>
      <c r="AT1265" s="554"/>
      <c r="AU1265" s="554">
        <f t="shared" si="406"/>
        <v>3840</v>
      </c>
      <c r="AV1265" s="554"/>
      <c r="AW1265" s="554">
        <f t="shared" si="407"/>
        <v>3840</v>
      </c>
      <c r="AX1265" s="714"/>
      <c r="AY1265" s="554"/>
      <c r="AZ1265" s="554"/>
      <c r="BA1265" s="554"/>
      <c r="BB1265" s="554"/>
      <c r="BC1265" s="554"/>
      <c r="BD1265" s="554"/>
      <c r="BE1265" s="554"/>
      <c r="BF1265" s="554"/>
      <c r="BG1265" s="554"/>
      <c r="BH1265" s="554">
        <f t="shared" si="408"/>
        <v>960</v>
      </c>
      <c r="BI1265" s="554"/>
      <c r="BJ1265" s="554"/>
      <c r="BK1265" s="554"/>
      <c r="BL1265" s="554"/>
      <c r="BM1265" s="554"/>
      <c r="BN1265" s="554"/>
      <c r="BO1265" s="554"/>
      <c r="BP1265" s="554"/>
      <c r="BQ1265" s="554"/>
      <c r="BR1265" s="554"/>
      <c r="BS1265" s="554"/>
      <c r="BT1265" s="554"/>
      <c r="BU1265" s="554"/>
      <c r="BV1265" s="554"/>
      <c r="BW1265" s="554"/>
      <c r="BX1265" s="554"/>
      <c r="BY1265" s="554"/>
      <c r="BZ1265" s="554"/>
      <c r="CA1265" s="554"/>
      <c r="CB1265" s="554"/>
      <c r="CC1265" s="554"/>
      <c r="CD1265" s="554"/>
      <c r="CE1265" s="554"/>
      <c r="CF1265" s="554"/>
      <c r="CG1265" s="554"/>
      <c r="CH1265" s="619"/>
      <c r="CI1265" s="619"/>
      <c r="CJ1265" s="619"/>
      <c r="CK1265" s="619"/>
      <c r="CL1265" s="619"/>
      <c r="CM1265" s="554"/>
      <c r="CN1265" s="554"/>
      <c r="CO1265" s="554"/>
      <c r="CP1265" s="619"/>
      <c r="CQ1265" s="619"/>
      <c r="CR1265" s="619"/>
      <c r="CS1265" s="619"/>
      <c r="CT1265" s="619"/>
      <c r="CU1265" s="619"/>
    </row>
    <row r="1266" s="1267" customFormat="1" ht="31" customHeight="1" spans="1:100">
      <c r="A1266" s="608">
        <v>46169</v>
      </c>
      <c r="B1266" s="609" t="s">
        <v>143</v>
      </c>
      <c r="C1266" s="610" t="s">
        <v>98</v>
      </c>
      <c r="D1266" s="727">
        <v>4500208737</v>
      </c>
      <c r="E1266" s="610" t="s">
        <v>4901</v>
      </c>
      <c r="F1266" s="554" t="s">
        <v>4902</v>
      </c>
      <c r="G1266" s="610" t="s">
        <v>101</v>
      </c>
      <c r="H1266" s="610" t="s">
        <v>102</v>
      </c>
      <c r="I1266" s="715">
        <v>1280</v>
      </c>
      <c r="J1266" s="610">
        <v>0</v>
      </c>
      <c r="K1266" s="610">
        <v>4</v>
      </c>
      <c r="L1266" s="611">
        <f t="shared" si="393"/>
        <v>320</v>
      </c>
      <c r="M1266" s="724">
        <v>46259</v>
      </c>
      <c r="N1266" s="724">
        <f>M1266-4</f>
        <v>46255</v>
      </c>
      <c r="O1266" s="1371" t="s">
        <v>4903</v>
      </c>
      <c r="P1266" s="610" t="s">
        <v>113</v>
      </c>
      <c r="Q1266" s="614"/>
      <c r="R1266" s="614" t="s">
        <v>4563</v>
      </c>
      <c r="S1266" s="614" t="s">
        <v>70</v>
      </c>
      <c r="T1266" s="614" t="s">
        <v>4869</v>
      </c>
      <c r="U1266" s="614"/>
      <c r="V1266" s="614"/>
      <c r="W1266" s="609"/>
      <c r="X1266" s="609" t="s">
        <v>4904</v>
      </c>
      <c r="Y1266" s="616" t="s">
        <v>4871</v>
      </c>
      <c r="Z1266" s="625">
        <v>2.7109</v>
      </c>
      <c r="AA1266" s="616">
        <f t="shared" si="403"/>
        <v>3469.952</v>
      </c>
      <c r="AB1266" s="554"/>
      <c r="AC1266" s="630" t="s">
        <v>4905</v>
      </c>
      <c r="AD1266" s="610" t="s">
        <v>101</v>
      </c>
      <c r="AE1266" s="610" t="s">
        <v>82</v>
      </c>
      <c r="AF1266" s="610"/>
      <c r="AG1266" s="610"/>
      <c r="AH1266" s="610"/>
      <c r="AI1266" s="609">
        <v>1280</v>
      </c>
      <c r="AJ1266" s="613">
        <f t="shared" si="402"/>
        <v>0</v>
      </c>
      <c r="AK1266" s="610"/>
      <c r="AL1266" s="610" t="s">
        <v>2368</v>
      </c>
      <c r="AM1266" s="554"/>
      <c r="AN1266" s="554">
        <f t="shared" si="404"/>
        <v>1280</v>
      </c>
      <c r="AO1266" s="554"/>
      <c r="AP1266" s="554"/>
      <c r="AQ1266" s="554"/>
      <c r="AR1266" s="554">
        <f t="shared" si="405"/>
        <v>1280</v>
      </c>
      <c r="AS1266" s="554"/>
      <c r="AT1266" s="554"/>
      <c r="AU1266" s="554">
        <f t="shared" si="406"/>
        <v>1280</v>
      </c>
      <c r="AV1266" s="554"/>
      <c r="AW1266" s="554">
        <f t="shared" si="407"/>
        <v>1280</v>
      </c>
      <c r="AX1266" s="714"/>
      <c r="AY1266" s="554"/>
      <c r="AZ1266" s="554"/>
      <c r="BA1266" s="554"/>
      <c r="BB1266" s="554"/>
      <c r="BC1266" s="554"/>
      <c r="BD1266" s="554"/>
      <c r="BE1266" s="554"/>
      <c r="BF1266" s="554"/>
      <c r="BG1266" s="554"/>
      <c r="BH1266" s="554">
        <f t="shared" si="408"/>
        <v>320</v>
      </c>
      <c r="BI1266" s="554"/>
      <c r="BJ1266" s="554"/>
      <c r="BK1266" s="554"/>
      <c r="BL1266" s="554"/>
      <c r="BM1266" s="554"/>
      <c r="BN1266" s="554"/>
      <c r="BO1266" s="554"/>
      <c r="BP1266" s="554"/>
      <c r="BQ1266" s="554"/>
      <c r="BR1266" s="554"/>
      <c r="BS1266" s="554"/>
      <c r="BT1266" s="554"/>
      <c r="BU1266" s="554"/>
      <c r="BV1266" s="554"/>
      <c r="BW1266" s="554"/>
      <c r="BX1266" s="554"/>
      <c r="BY1266" s="554"/>
      <c r="BZ1266" s="554"/>
      <c r="CA1266" s="554"/>
      <c r="CB1266" s="554"/>
      <c r="CC1266" s="554"/>
      <c r="CD1266" s="554"/>
      <c r="CE1266" s="554"/>
      <c r="CF1266" s="554"/>
      <c r="CG1266" s="554"/>
      <c r="CH1266" s="619"/>
      <c r="CI1266" s="619"/>
      <c r="CJ1266" s="619"/>
      <c r="CK1266" s="619"/>
      <c r="CL1266" s="619"/>
      <c r="CM1266" s="554"/>
      <c r="CN1266" s="554"/>
      <c r="CO1266" s="554"/>
      <c r="CP1266" s="619"/>
      <c r="CQ1266" s="619"/>
      <c r="CR1266" s="619"/>
      <c r="CS1266" s="619"/>
      <c r="CT1266" s="619"/>
      <c r="CU1266" s="619"/>
    </row>
    <row r="1267" s="1267" customFormat="1" ht="31" customHeight="1" spans="1:100">
      <c r="A1267" s="608">
        <v>46153</v>
      </c>
      <c r="B1267" s="609" t="s">
        <v>143</v>
      </c>
      <c r="C1267" s="610" t="s">
        <v>98</v>
      </c>
      <c r="D1267" s="554" t="s">
        <v>4560</v>
      </c>
      <c r="E1267" s="610" t="s">
        <v>4906</v>
      </c>
      <c r="F1267" s="554" t="s">
        <v>4907</v>
      </c>
      <c r="G1267" s="610" t="s">
        <v>101</v>
      </c>
      <c r="H1267" s="610" t="s">
        <v>102</v>
      </c>
      <c r="I1267" s="715">
        <v>2560</v>
      </c>
      <c r="J1267" s="610">
        <v>0</v>
      </c>
      <c r="K1267" s="610">
        <v>4</v>
      </c>
      <c r="L1267" s="611">
        <f t="shared" si="393"/>
        <v>640</v>
      </c>
      <c r="M1267" s="724">
        <v>46265</v>
      </c>
      <c r="N1267" s="724">
        <v>46230</v>
      </c>
      <c r="O1267" s="737" t="s">
        <v>4908</v>
      </c>
      <c r="P1267" s="610" t="s">
        <v>113</v>
      </c>
      <c r="Q1267" s="614"/>
      <c r="R1267" s="614" t="s">
        <v>4563</v>
      </c>
      <c r="S1267" s="614" t="s">
        <v>70</v>
      </c>
      <c r="T1267" s="614" t="s">
        <v>4564</v>
      </c>
      <c r="U1267" s="614"/>
      <c r="V1267" s="614"/>
      <c r="W1267" s="609"/>
      <c r="X1267" s="609" t="s">
        <v>4565</v>
      </c>
      <c r="Y1267" s="616" t="s">
        <v>106</v>
      </c>
      <c r="Z1267" s="625">
        <v>2.615</v>
      </c>
      <c r="AA1267" s="616">
        <f t="shared" si="403"/>
        <v>6694.4</v>
      </c>
      <c r="AB1267" s="554"/>
      <c r="AC1267" s="629" t="s">
        <v>4566</v>
      </c>
      <c r="AD1267" s="610" t="s">
        <v>101</v>
      </c>
      <c r="AE1267" s="610" t="s">
        <v>82</v>
      </c>
      <c r="AF1267" s="610"/>
      <c r="AG1267" s="610"/>
      <c r="AH1267" s="610"/>
      <c r="AI1267" s="609">
        <v>2560</v>
      </c>
      <c r="AJ1267" s="613">
        <f t="shared" si="402"/>
        <v>0</v>
      </c>
      <c r="AK1267" s="610"/>
      <c r="AL1267" s="610" t="s">
        <v>2368</v>
      </c>
      <c r="AM1267" s="554"/>
      <c r="AN1267" s="554">
        <f t="shared" si="404"/>
        <v>2560</v>
      </c>
      <c r="AO1267" s="554"/>
      <c r="AP1267" s="554"/>
      <c r="AQ1267" s="554"/>
      <c r="AR1267" s="554">
        <f t="shared" si="405"/>
        <v>2560</v>
      </c>
      <c r="AS1267" s="554"/>
      <c r="AT1267" s="554"/>
      <c r="AU1267" s="554">
        <f t="shared" si="406"/>
        <v>2560</v>
      </c>
      <c r="AV1267" s="554"/>
      <c r="AW1267" s="554">
        <f t="shared" si="407"/>
        <v>2560</v>
      </c>
      <c r="AX1267" s="714"/>
      <c r="AY1267" s="554"/>
      <c r="AZ1267" s="554"/>
      <c r="BA1267" s="554"/>
      <c r="BB1267" s="554"/>
      <c r="BC1267" s="554"/>
      <c r="BD1267" s="554"/>
      <c r="BE1267" s="554"/>
      <c r="BF1267" s="554"/>
      <c r="BG1267" s="554"/>
      <c r="BH1267" s="554">
        <f t="shared" si="408"/>
        <v>640</v>
      </c>
      <c r="BI1267" s="554"/>
      <c r="BJ1267" s="554"/>
      <c r="BK1267" s="554"/>
      <c r="BL1267" s="554"/>
      <c r="BM1267" s="554"/>
      <c r="BN1267" s="554"/>
      <c r="BO1267" s="554"/>
      <c r="BP1267" s="554"/>
      <c r="BQ1267" s="554"/>
      <c r="BR1267" s="554"/>
      <c r="BS1267" s="554"/>
      <c r="BT1267" s="554"/>
      <c r="BU1267" s="554"/>
      <c r="BV1267" s="554"/>
      <c r="BW1267" s="554"/>
      <c r="BX1267" s="554"/>
      <c r="BY1267" s="554"/>
      <c r="BZ1267" s="554"/>
      <c r="CA1267" s="554"/>
      <c r="CB1267" s="554"/>
      <c r="CC1267" s="554"/>
      <c r="CD1267" s="554"/>
      <c r="CE1267" s="554"/>
      <c r="CF1267" s="554"/>
      <c r="CG1267" s="554"/>
      <c r="CH1267" s="619"/>
      <c r="CI1267" s="619"/>
      <c r="CJ1267" s="619"/>
      <c r="CK1267" s="619"/>
      <c r="CL1267" s="619"/>
      <c r="CM1267" s="554"/>
      <c r="CN1267" s="554"/>
      <c r="CO1267" s="554"/>
      <c r="CP1267" s="619"/>
      <c r="CQ1267" s="619"/>
      <c r="CR1267" s="619"/>
      <c r="CS1267" s="619"/>
      <c r="CT1267" s="619"/>
      <c r="CU1267" s="619"/>
    </row>
    <row r="1268" s="1267" customFormat="1" ht="31" customHeight="1" spans="1:100">
      <c r="A1268" s="608">
        <v>46171</v>
      </c>
      <c r="B1268" s="609" t="s">
        <v>4909</v>
      </c>
      <c r="C1268" s="610" t="s">
        <v>98</v>
      </c>
      <c r="D1268" s="554" t="s">
        <v>4910</v>
      </c>
      <c r="E1268" s="731">
        <v>385090506</v>
      </c>
      <c r="F1268" s="729" t="s">
        <v>4911</v>
      </c>
      <c r="G1268" s="610" t="s">
        <v>2736</v>
      </c>
      <c r="H1268" s="610" t="s">
        <v>2737</v>
      </c>
      <c r="I1268" s="715">
        <v>3000</v>
      </c>
      <c r="J1268" s="610">
        <v>0</v>
      </c>
      <c r="K1268" s="610">
        <v>8</v>
      </c>
      <c r="L1268" s="611">
        <f t="shared" si="393"/>
        <v>375</v>
      </c>
      <c r="M1268" s="612">
        <v>46218</v>
      </c>
      <c r="N1268" s="724">
        <v>46216</v>
      </c>
      <c r="O1268" s="613"/>
      <c r="P1268" s="610" t="s">
        <v>113</v>
      </c>
      <c r="Q1268" s="614">
        <v>46219</v>
      </c>
      <c r="R1268" s="614">
        <v>46188</v>
      </c>
      <c r="S1268" s="614" t="s">
        <v>104</v>
      </c>
      <c r="T1268" s="614" t="s">
        <v>4912</v>
      </c>
      <c r="U1268" s="614"/>
      <c r="V1268" s="614"/>
      <c r="W1268" s="609"/>
      <c r="X1268" s="609" t="s">
        <v>4913</v>
      </c>
      <c r="Y1268" s="616" t="s">
        <v>4914</v>
      </c>
      <c r="Z1268" s="625">
        <v>4.1825</v>
      </c>
      <c r="AA1268" s="616">
        <f t="shared" si="403"/>
        <v>12547.5</v>
      </c>
      <c r="AB1268" s="554"/>
      <c r="AC1268" s="629" t="s">
        <v>4915</v>
      </c>
      <c r="AD1268" s="610" t="s">
        <v>2741</v>
      </c>
      <c r="AE1268" s="610" t="s">
        <v>82</v>
      </c>
      <c r="AF1268" s="610"/>
      <c r="AG1268" s="610"/>
      <c r="AH1268" s="610"/>
      <c r="AI1268" s="609"/>
      <c r="AJ1268" s="613">
        <f t="shared" si="402"/>
        <v>-3000</v>
      </c>
      <c r="AK1268" s="610"/>
      <c r="AL1268" s="610"/>
      <c r="AM1268" s="554"/>
      <c r="AN1268" s="554">
        <f t="shared" si="404"/>
        <v>3000</v>
      </c>
      <c r="AO1268" s="554"/>
      <c r="AP1268" s="554"/>
      <c r="AQ1268" s="554"/>
      <c r="AR1268" s="554">
        <f t="shared" si="405"/>
        <v>3000</v>
      </c>
      <c r="AS1268" s="554"/>
      <c r="AT1268" s="554"/>
      <c r="AU1268" s="554">
        <f t="shared" si="406"/>
        <v>3000</v>
      </c>
      <c r="AV1268" s="554"/>
      <c r="AW1268" s="554">
        <f t="shared" si="407"/>
        <v>3000</v>
      </c>
      <c r="AX1268" s="714"/>
      <c r="AY1268" s="554"/>
      <c r="AZ1268" s="554"/>
      <c r="BA1268" s="554"/>
      <c r="BB1268" s="554"/>
      <c r="BC1268" s="554"/>
      <c r="BD1268" s="554"/>
      <c r="BE1268" s="554"/>
      <c r="BF1268" s="554"/>
      <c r="BG1268" s="554"/>
      <c r="BH1268" s="554"/>
      <c r="BI1268" s="554"/>
      <c r="BJ1268" s="554"/>
      <c r="BK1268" s="554"/>
      <c r="BL1268" s="554"/>
      <c r="BM1268" s="554">
        <f>I1268</f>
        <v>3000</v>
      </c>
      <c r="BN1268" s="554"/>
      <c r="BO1268" s="554"/>
      <c r="BP1268" s="554"/>
      <c r="BQ1268" s="554"/>
      <c r="BR1268" s="554"/>
      <c r="BS1268" s="554"/>
      <c r="BT1268" s="554"/>
      <c r="BU1268" s="554"/>
      <c r="BV1268" s="554"/>
      <c r="BW1268" s="554"/>
      <c r="BX1268" s="554"/>
      <c r="BY1268" s="554"/>
      <c r="BZ1268" s="554"/>
      <c r="CA1268" s="554"/>
      <c r="CB1268" s="554"/>
      <c r="CC1268" s="554"/>
      <c r="CD1268" s="554"/>
      <c r="CE1268" s="554"/>
      <c r="CF1268" s="554"/>
      <c r="CG1268" s="554"/>
      <c r="CH1268" s="619"/>
      <c r="CI1268" s="619"/>
      <c r="CJ1268" s="619"/>
      <c r="CK1268" s="619"/>
      <c r="CL1268" s="619"/>
      <c r="CM1268" s="554"/>
      <c r="CN1268" s="554"/>
      <c r="CO1268" s="554"/>
      <c r="CP1268" s="619"/>
      <c r="CQ1268" s="619"/>
      <c r="CR1268" s="619"/>
      <c r="CS1268" s="619"/>
      <c r="CT1268" s="619"/>
      <c r="CU1268" s="619"/>
    </row>
    <row r="1269" s="1267" customFormat="1" ht="31" customHeight="1" spans="1:100">
      <c r="A1269" s="608">
        <v>46160</v>
      </c>
      <c r="B1269" s="609" t="s">
        <v>1337</v>
      </c>
      <c r="C1269" s="610" t="s">
        <v>931</v>
      </c>
      <c r="D1269" s="554" t="s">
        <v>4916</v>
      </c>
      <c r="E1269" s="610" t="s">
        <v>4917</v>
      </c>
      <c r="F1269" s="554" t="s">
        <v>4918</v>
      </c>
      <c r="G1269" s="610" t="s">
        <v>68</v>
      </c>
      <c r="H1269" s="610" t="s">
        <v>69</v>
      </c>
      <c r="I1269" s="715">
        <v>216</v>
      </c>
      <c r="J1269" s="610">
        <v>0</v>
      </c>
      <c r="K1269" s="610">
        <v>12</v>
      </c>
      <c r="L1269" s="611">
        <f t="shared" si="393"/>
        <v>18</v>
      </c>
      <c r="M1269" s="612">
        <v>46223</v>
      </c>
      <c r="N1269" s="612">
        <v>46219</v>
      </c>
      <c r="O1269" s="613"/>
      <c r="P1269" s="610" t="s">
        <v>113</v>
      </c>
      <c r="Q1269" s="614">
        <v>46241</v>
      </c>
      <c r="R1269" s="614">
        <v>46189</v>
      </c>
      <c r="S1269" s="614" t="s">
        <v>70</v>
      </c>
      <c r="T1269" s="614" t="s">
        <v>4919</v>
      </c>
      <c r="U1269" s="614"/>
      <c r="V1269" s="614"/>
      <c r="W1269" s="609"/>
      <c r="X1269" s="609" t="s">
        <v>4806</v>
      </c>
      <c r="Y1269" s="616" t="s">
        <v>943</v>
      </c>
      <c r="Z1269" s="625">
        <v>4.3734</v>
      </c>
      <c r="AA1269" s="616">
        <f t="shared" si="403"/>
        <v>944.6544</v>
      </c>
      <c r="AB1269" s="729"/>
      <c r="AC1269" s="617"/>
      <c r="AD1269" s="610" t="s">
        <v>184</v>
      </c>
      <c r="AE1269" s="610" t="s">
        <v>82</v>
      </c>
      <c r="AF1269" s="610"/>
      <c r="AG1269" s="610"/>
      <c r="AH1269" s="610"/>
      <c r="AI1269" s="609">
        <v>216</v>
      </c>
      <c r="AJ1269" s="610">
        <f t="shared" si="402"/>
        <v>0</v>
      </c>
      <c r="AK1269" s="610"/>
      <c r="AL1269" s="610" t="s">
        <v>2368</v>
      </c>
      <c r="AM1269" s="554"/>
      <c r="AN1269" s="554">
        <f t="shared" si="404"/>
        <v>216</v>
      </c>
      <c r="AO1269" s="554"/>
      <c r="AP1269" s="554"/>
      <c r="AQ1269" s="554"/>
      <c r="AR1269" s="554"/>
      <c r="AS1269" s="554">
        <f>I1269</f>
        <v>216</v>
      </c>
      <c r="AT1269" s="554"/>
      <c r="AU1269" s="554">
        <f t="shared" si="406"/>
        <v>216</v>
      </c>
      <c r="AV1269" s="554"/>
      <c r="AW1269" s="554">
        <f t="shared" si="407"/>
        <v>216</v>
      </c>
      <c r="AX1269" s="714"/>
      <c r="AY1269" s="554"/>
      <c r="AZ1269" s="554"/>
      <c r="BA1269" s="554"/>
      <c r="BB1269" s="554"/>
      <c r="BC1269" s="554"/>
      <c r="BD1269" s="554"/>
      <c r="BE1269" s="554"/>
      <c r="BF1269" s="554"/>
      <c r="BG1269" s="554"/>
      <c r="BH1269" s="554"/>
      <c r="BI1269" s="554"/>
      <c r="BJ1269" s="554"/>
      <c r="BK1269" s="554"/>
      <c r="BL1269" s="554"/>
      <c r="BM1269" s="554"/>
      <c r="BN1269" s="554"/>
      <c r="BO1269" s="554"/>
      <c r="BP1269" s="729"/>
      <c r="BQ1269" s="729"/>
      <c r="BR1269" s="729"/>
      <c r="BS1269" s="729"/>
      <c r="BT1269" s="729"/>
      <c r="BU1269" s="729"/>
      <c r="BV1269" s="729"/>
      <c r="BW1269" s="729"/>
      <c r="BX1269" s="729"/>
      <c r="BY1269" s="729"/>
      <c r="BZ1269" s="729"/>
      <c r="CA1269" s="729"/>
      <c r="CB1269" s="729"/>
      <c r="CC1269" s="729"/>
      <c r="CD1269" s="729"/>
      <c r="CE1269" s="729"/>
      <c r="CF1269" s="729"/>
      <c r="CG1269" s="729"/>
      <c r="CH1269" s="717"/>
      <c r="CI1269" s="717"/>
      <c r="CJ1269" s="717"/>
      <c r="CK1269" s="717"/>
      <c r="CL1269" s="717"/>
      <c r="CM1269" s="729"/>
      <c r="CN1269" s="729"/>
      <c r="CO1269" s="729"/>
      <c r="CP1269" s="717"/>
      <c r="CQ1269" s="717"/>
      <c r="CR1269" s="717"/>
      <c r="CS1269" s="717"/>
      <c r="CT1269" s="717"/>
      <c r="CU1269" s="717"/>
    </row>
    <row r="1270" s="1267" customFormat="1" ht="31" customHeight="1" spans="1:100">
      <c r="A1270" s="608">
        <v>46175</v>
      </c>
      <c r="B1270" s="609" t="s">
        <v>4051</v>
      </c>
      <c r="C1270" s="610" t="s">
        <v>4052</v>
      </c>
      <c r="D1270" s="554" t="s">
        <v>4920</v>
      </c>
      <c r="E1270" s="731" t="s">
        <v>4921</v>
      </c>
      <c r="F1270" s="554" t="s">
        <v>4922</v>
      </c>
      <c r="G1270" s="610" t="s">
        <v>68</v>
      </c>
      <c r="H1270" s="610" t="s">
        <v>69</v>
      </c>
      <c r="I1270" s="715">
        <v>1200</v>
      </c>
      <c r="J1270" s="610">
        <v>0</v>
      </c>
      <c r="K1270" s="610">
        <v>12</v>
      </c>
      <c r="L1270" s="611">
        <f t="shared" si="393"/>
        <v>100</v>
      </c>
      <c r="M1270" s="612">
        <v>46223</v>
      </c>
      <c r="N1270" s="612">
        <v>46219</v>
      </c>
      <c r="O1270" s="613" t="s">
        <v>4923</v>
      </c>
      <c r="P1270" s="610" t="s">
        <v>113</v>
      </c>
      <c r="Q1270" s="614">
        <v>46226</v>
      </c>
      <c r="R1270" s="614">
        <v>46177</v>
      </c>
      <c r="S1270" s="614" t="s">
        <v>70</v>
      </c>
      <c r="T1270" s="614" t="s">
        <v>4924</v>
      </c>
      <c r="U1270" s="614"/>
      <c r="V1270" s="614"/>
      <c r="W1270" s="609"/>
      <c r="X1270" s="738" t="s">
        <v>4925</v>
      </c>
      <c r="Y1270" s="616" t="s">
        <v>445</v>
      </c>
      <c r="Z1270" s="625">
        <v>4.3274</v>
      </c>
      <c r="AA1270" s="616">
        <f t="shared" si="403"/>
        <v>5192.88</v>
      </c>
      <c r="AB1270" s="554"/>
      <c r="AC1270" s="617"/>
      <c r="AD1270" s="610" t="s">
        <v>184</v>
      </c>
      <c r="AE1270" s="610" t="s">
        <v>82</v>
      </c>
      <c r="AF1270" s="610"/>
      <c r="AG1270" s="610"/>
      <c r="AH1270" s="610"/>
      <c r="AI1270" s="609">
        <v>1200</v>
      </c>
      <c r="AJ1270" s="610">
        <f t="shared" si="402"/>
        <v>0</v>
      </c>
      <c r="AK1270" s="610"/>
      <c r="AL1270" s="610" t="s">
        <v>2368</v>
      </c>
      <c r="AM1270" s="554"/>
      <c r="AN1270" s="554">
        <f t="shared" si="404"/>
        <v>1200</v>
      </c>
      <c r="AO1270" s="554"/>
      <c r="AP1270" s="554"/>
      <c r="AQ1270" s="554"/>
      <c r="AR1270" s="554"/>
      <c r="AS1270" s="554">
        <f>I1270</f>
        <v>1200</v>
      </c>
      <c r="AT1270" s="554"/>
      <c r="AU1270" s="554">
        <f t="shared" si="406"/>
        <v>1200</v>
      </c>
      <c r="AV1270" s="554"/>
      <c r="AW1270" s="554">
        <f t="shared" si="407"/>
        <v>1200</v>
      </c>
      <c r="AX1270" s="714"/>
      <c r="AY1270" s="554"/>
      <c r="AZ1270" s="554"/>
      <c r="BA1270" s="554"/>
      <c r="BB1270" s="554"/>
      <c r="BC1270" s="554"/>
      <c r="BD1270" s="554"/>
      <c r="BE1270" s="554"/>
      <c r="BF1270" s="554"/>
      <c r="BG1270" s="554"/>
      <c r="BH1270" s="554"/>
      <c r="BI1270" s="554"/>
      <c r="BJ1270" s="554"/>
      <c r="BK1270" s="554"/>
      <c r="BL1270" s="554"/>
      <c r="BM1270" s="554"/>
      <c r="BN1270" s="554"/>
      <c r="BO1270" s="554"/>
      <c r="BP1270" s="554"/>
      <c r="BQ1270" s="554"/>
      <c r="BR1270" s="554"/>
      <c r="BS1270" s="554"/>
      <c r="BT1270" s="554"/>
      <c r="BU1270" s="554"/>
      <c r="BV1270" s="554"/>
      <c r="BW1270" s="554"/>
      <c r="BX1270" s="554"/>
      <c r="BY1270" s="554"/>
      <c r="BZ1270" s="554"/>
      <c r="CA1270" s="554"/>
      <c r="CB1270" s="554"/>
      <c r="CC1270" s="554"/>
      <c r="CD1270" s="554"/>
      <c r="CE1270" s="554"/>
      <c r="CF1270" s="554"/>
      <c r="CG1270" s="554"/>
      <c r="CH1270" s="619"/>
      <c r="CI1270" s="619"/>
      <c r="CJ1270" s="619"/>
      <c r="CK1270" s="619"/>
      <c r="CL1270" s="619"/>
      <c r="CM1270" s="554"/>
      <c r="CN1270" s="554"/>
      <c r="CO1270" s="554"/>
      <c r="CP1270" s="619"/>
      <c r="CQ1270" s="619"/>
      <c r="CR1270" s="619"/>
      <c r="CS1270" s="619"/>
      <c r="CT1270" s="619"/>
      <c r="CU1270" s="619"/>
    </row>
    <row r="1271" s="1267" customFormat="1" ht="31" customHeight="1" spans="1:100">
      <c r="A1271" s="608">
        <v>46175</v>
      </c>
      <c r="B1271" s="609" t="s">
        <v>786</v>
      </c>
      <c r="C1271" s="610" t="s">
        <v>411</v>
      </c>
      <c r="D1271" s="554" t="s">
        <v>4926</v>
      </c>
      <c r="E1271" s="610"/>
      <c r="F1271" s="554" t="s">
        <v>4927</v>
      </c>
      <c r="G1271" s="610" t="s">
        <v>68</v>
      </c>
      <c r="H1271" s="610" t="s">
        <v>69</v>
      </c>
      <c r="I1271" s="715">
        <v>1200</v>
      </c>
      <c r="J1271" s="610">
        <v>0</v>
      </c>
      <c r="K1271" s="610">
        <v>12</v>
      </c>
      <c r="L1271" s="611">
        <f t="shared" si="393"/>
        <v>100</v>
      </c>
      <c r="M1271" s="612">
        <v>46224</v>
      </c>
      <c r="N1271" s="612">
        <v>46220</v>
      </c>
      <c r="O1271" s="613"/>
      <c r="P1271" s="610" t="s">
        <v>113</v>
      </c>
      <c r="Q1271" s="614"/>
      <c r="R1271" s="614">
        <v>46190</v>
      </c>
      <c r="S1271" s="614" t="s">
        <v>70</v>
      </c>
      <c r="T1271" s="614" t="s">
        <v>4928</v>
      </c>
      <c r="U1271" s="614"/>
      <c r="V1271" s="614" t="s">
        <v>4929</v>
      </c>
      <c r="W1271" s="609"/>
      <c r="X1271" s="609" t="s">
        <v>4930</v>
      </c>
      <c r="Y1271" s="616" t="s">
        <v>305</v>
      </c>
      <c r="Z1271" s="625">
        <v>4.3734</v>
      </c>
      <c r="AA1271" s="616">
        <f t="shared" si="403"/>
        <v>5248.08</v>
      </c>
      <c r="AB1271" s="554"/>
      <c r="AC1271" s="617"/>
      <c r="AD1271" s="610" t="s">
        <v>184</v>
      </c>
      <c r="AE1271" s="610" t="s">
        <v>82</v>
      </c>
      <c r="AF1271" s="610"/>
      <c r="AG1271" s="610"/>
      <c r="AH1271" s="610"/>
      <c r="AI1271" s="609">
        <v>1200</v>
      </c>
      <c r="AJ1271" s="610">
        <f t="shared" si="402"/>
        <v>0</v>
      </c>
      <c r="AK1271" s="610"/>
      <c r="AL1271" s="610" t="s">
        <v>2368</v>
      </c>
      <c r="AM1271" s="554"/>
      <c r="AN1271" s="554">
        <f t="shared" si="404"/>
        <v>1200</v>
      </c>
      <c r="AO1271" s="554"/>
      <c r="AP1271" s="554"/>
      <c r="AQ1271" s="554"/>
      <c r="AR1271" s="554"/>
      <c r="AS1271" s="554">
        <f>I1271</f>
        <v>1200</v>
      </c>
      <c r="AT1271" s="554"/>
      <c r="AU1271" s="554">
        <f t="shared" si="406"/>
        <v>1200</v>
      </c>
      <c r="AV1271" s="554"/>
      <c r="AW1271" s="554">
        <f t="shared" si="407"/>
        <v>1200</v>
      </c>
      <c r="AX1271" s="714"/>
      <c r="AY1271" s="554"/>
      <c r="AZ1271" s="554"/>
      <c r="BA1271" s="554"/>
      <c r="BB1271" s="554"/>
      <c r="BC1271" s="554"/>
      <c r="BD1271" s="554"/>
      <c r="BE1271" s="554"/>
      <c r="BF1271" s="554"/>
      <c r="BG1271" s="554"/>
      <c r="BH1271" s="554"/>
      <c r="BI1271" s="554"/>
      <c r="BJ1271" s="554"/>
      <c r="BK1271" s="554"/>
      <c r="BL1271" s="554"/>
      <c r="BM1271" s="554"/>
      <c r="BN1271" s="554"/>
      <c r="BO1271" s="554"/>
      <c r="BP1271" s="554"/>
      <c r="BQ1271" s="554"/>
      <c r="BR1271" s="554"/>
      <c r="BS1271" s="554"/>
      <c r="BT1271" s="554"/>
      <c r="BU1271" s="554"/>
      <c r="BV1271" s="554"/>
      <c r="BW1271" s="554"/>
      <c r="BX1271" s="554"/>
      <c r="BY1271" s="554"/>
      <c r="BZ1271" s="554"/>
      <c r="CA1271" s="554"/>
      <c r="CB1271" s="554"/>
      <c r="CC1271" s="554"/>
      <c r="CD1271" s="554"/>
      <c r="CE1271" s="554"/>
      <c r="CF1271" s="554"/>
      <c r="CG1271" s="554"/>
      <c r="CH1271" s="619"/>
      <c r="CI1271" s="619"/>
      <c r="CJ1271" s="619"/>
      <c r="CK1271" s="619"/>
      <c r="CL1271" s="619"/>
      <c r="CM1271" s="554"/>
      <c r="CN1271" s="554"/>
      <c r="CO1271" s="554"/>
      <c r="CP1271" s="619"/>
      <c r="CQ1271" s="619"/>
      <c r="CR1271" s="619"/>
      <c r="CS1271" s="619"/>
      <c r="CT1271" s="619"/>
      <c r="CU1271" s="619"/>
    </row>
    <row r="1272" s="1267" customFormat="1" ht="31" customHeight="1" spans="1:100">
      <c r="A1272" s="608">
        <v>46178</v>
      </c>
      <c r="B1272" s="609" t="s">
        <v>4931</v>
      </c>
      <c r="C1272" s="610" t="s">
        <v>847</v>
      </c>
      <c r="D1272" s="554">
        <v>4500207334</v>
      </c>
      <c r="E1272" s="610" t="s">
        <v>4932</v>
      </c>
      <c r="F1272" s="554" t="s">
        <v>4933</v>
      </c>
      <c r="G1272" s="610" t="s">
        <v>207</v>
      </c>
      <c r="H1272" s="610" t="s">
        <v>102</v>
      </c>
      <c r="I1272" s="715">
        <v>500</v>
      </c>
      <c r="J1272" s="610">
        <v>0</v>
      </c>
      <c r="K1272" s="610">
        <v>4</v>
      </c>
      <c r="L1272" s="611">
        <f t="shared" si="393"/>
        <v>125</v>
      </c>
      <c r="M1272" s="612">
        <v>46225</v>
      </c>
      <c r="N1272" s="612">
        <v>46221</v>
      </c>
      <c r="O1272" s="613"/>
      <c r="P1272" s="610" t="s">
        <v>113</v>
      </c>
      <c r="Q1272" s="614"/>
      <c r="R1272" s="614">
        <v>46183</v>
      </c>
      <c r="S1272" s="614" t="s">
        <v>70</v>
      </c>
      <c r="T1272" s="614" t="s">
        <v>4934</v>
      </c>
      <c r="U1272" s="614"/>
      <c r="V1272" s="614"/>
      <c r="W1272" s="609" t="s">
        <v>4935</v>
      </c>
      <c r="X1272" s="609" t="s">
        <v>4936</v>
      </c>
      <c r="Y1272" s="616" t="s">
        <v>4937</v>
      </c>
      <c r="Z1272" s="625">
        <v>4.2966</v>
      </c>
      <c r="AA1272" s="616">
        <f t="shared" si="403"/>
        <v>2148.3</v>
      </c>
      <c r="AB1272" s="554"/>
      <c r="AC1272" s="617"/>
      <c r="AD1272" s="610" t="s">
        <v>207</v>
      </c>
      <c r="AE1272" s="610" t="s">
        <v>82</v>
      </c>
      <c r="AF1272" s="610"/>
      <c r="AG1272" s="610"/>
      <c r="AH1272" s="610"/>
      <c r="AI1272" s="609">
        <v>500</v>
      </c>
      <c r="AJ1272" s="613">
        <f t="shared" si="402"/>
        <v>0</v>
      </c>
      <c r="AK1272" s="610"/>
      <c r="AL1272" s="610" t="s">
        <v>2368</v>
      </c>
      <c r="AM1272" s="554"/>
      <c r="AN1272" s="554">
        <f t="shared" si="404"/>
        <v>500</v>
      </c>
      <c r="AO1272" s="554"/>
      <c r="AP1272" s="554"/>
      <c r="AQ1272" s="554"/>
      <c r="AR1272" s="554">
        <f>I1272</f>
        <v>500</v>
      </c>
      <c r="AS1272" s="554"/>
      <c r="AT1272" s="554"/>
      <c r="AU1272" s="554">
        <f t="shared" si="406"/>
        <v>500</v>
      </c>
      <c r="AV1272" s="554"/>
      <c r="AW1272" s="554">
        <f t="shared" si="407"/>
        <v>500</v>
      </c>
      <c r="AX1272" s="714"/>
      <c r="AY1272" s="554"/>
      <c r="AZ1272" s="554"/>
      <c r="BA1272" s="554"/>
      <c r="BB1272" s="554"/>
      <c r="BC1272" s="554"/>
      <c r="BD1272" s="554"/>
      <c r="BE1272" s="554"/>
      <c r="BF1272" s="554"/>
      <c r="BG1272" s="554"/>
      <c r="BH1272" s="554"/>
      <c r="BI1272" s="554"/>
      <c r="BJ1272" s="554"/>
      <c r="BK1272" s="554"/>
      <c r="BL1272" s="554"/>
      <c r="BM1272" s="554"/>
      <c r="BN1272" s="554"/>
      <c r="BO1272" s="554"/>
      <c r="BP1272" s="554"/>
      <c r="BQ1272" s="554"/>
      <c r="BR1272" s="554"/>
      <c r="BS1272" s="554"/>
      <c r="BT1272" s="554"/>
      <c r="BU1272" s="554"/>
      <c r="BV1272" s="554"/>
      <c r="BW1272" s="554"/>
      <c r="BX1272" s="554"/>
      <c r="BY1272" s="554"/>
      <c r="BZ1272" s="554"/>
      <c r="CA1272" s="554"/>
      <c r="CB1272" s="554"/>
      <c r="CC1272" s="554"/>
      <c r="CD1272" s="554"/>
      <c r="CE1272" s="554"/>
      <c r="CF1272" s="554"/>
      <c r="CG1272" s="554"/>
      <c r="CH1272" s="619"/>
      <c r="CI1272" s="619"/>
      <c r="CJ1272" s="619"/>
      <c r="CK1272" s="619"/>
      <c r="CL1272" s="619"/>
      <c r="CM1272" s="554"/>
      <c r="CN1272" s="554"/>
      <c r="CO1272" s="554"/>
      <c r="CP1272" s="619"/>
      <c r="CQ1272" s="619"/>
      <c r="CR1272" s="619"/>
      <c r="CS1272" s="619"/>
      <c r="CT1272" s="619"/>
      <c r="CU1272" s="619"/>
    </row>
    <row r="1273" s="1267" customFormat="1" ht="31" customHeight="1" spans="1:100">
      <c r="A1273" s="608">
        <v>46160</v>
      </c>
      <c r="B1273" s="609" t="s">
        <v>1337</v>
      </c>
      <c r="C1273" s="610" t="s">
        <v>931</v>
      </c>
      <c r="D1273" s="554" t="s">
        <v>4938</v>
      </c>
      <c r="E1273" s="610" t="s">
        <v>4939</v>
      </c>
      <c r="F1273" s="554" t="s">
        <v>4940</v>
      </c>
      <c r="G1273" s="610" t="s">
        <v>68</v>
      </c>
      <c r="H1273" s="610" t="s">
        <v>69</v>
      </c>
      <c r="I1273" s="715">
        <v>180</v>
      </c>
      <c r="J1273" s="610">
        <v>0</v>
      </c>
      <c r="K1273" s="610">
        <v>12</v>
      </c>
      <c r="L1273" s="611">
        <f t="shared" si="393"/>
        <v>15</v>
      </c>
      <c r="M1273" s="612">
        <v>46227</v>
      </c>
      <c r="N1273" s="612">
        <v>46223</v>
      </c>
      <c r="O1273" s="613"/>
      <c r="P1273" s="610" t="s">
        <v>113</v>
      </c>
      <c r="Q1273" s="614"/>
      <c r="R1273" s="614">
        <v>46189</v>
      </c>
      <c r="S1273" s="614" t="s">
        <v>70</v>
      </c>
      <c r="T1273" s="614" t="s">
        <v>4919</v>
      </c>
      <c r="U1273" s="614"/>
      <c r="V1273" s="614"/>
      <c r="W1273" s="609"/>
      <c r="X1273" s="609" t="s">
        <v>4941</v>
      </c>
      <c r="Y1273" s="616" t="s">
        <v>943</v>
      </c>
      <c r="Z1273" s="625">
        <v>4.3734</v>
      </c>
      <c r="AA1273" s="616">
        <f t="shared" si="403"/>
        <v>787.212</v>
      </c>
      <c r="AB1273" s="729"/>
      <c r="AC1273" s="617"/>
      <c r="AD1273" s="610" t="s">
        <v>184</v>
      </c>
      <c r="AE1273" s="610" t="s">
        <v>82</v>
      </c>
      <c r="AF1273" s="610"/>
      <c r="AG1273" s="610"/>
      <c r="AH1273" s="610"/>
      <c r="AI1273" s="609">
        <v>180</v>
      </c>
      <c r="AJ1273" s="610">
        <f t="shared" si="402"/>
        <v>0</v>
      </c>
      <c r="AK1273" s="610"/>
      <c r="AL1273" s="610"/>
      <c r="AM1273" s="554"/>
      <c r="AN1273" s="554">
        <f t="shared" si="404"/>
        <v>180</v>
      </c>
      <c r="AO1273" s="554"/>
      <c r="AP1273" s="554"/>
      <c r="AQ1273" s="554"/>
      <c r="AR1273" s="554"/>
      <c r="AS1273" s="554">
        <f>I1273</f>
        <v>180</v>
      </c>
      <c r="AT1273" s="554"/>
      <c r="AU1273" s="554">
        <f t="shared" si="406"/>
        <v>180</v>
      </c>
      <c r="AV1273" s="554"/>
      <c r="AW1273" s="554">
        <f t="shared" si="407"/>
        <v>180</v>
      </c>
      <c r="AX1273" s="714"/>
      <c r="AY1273" s="554"/>
      <c r="AZ1273" s="554"/>
      <c r="BA1273" s="554"/>
      <c r="BB1273" s="554"/>
      <c r="BC1273" s="554"/>
      <c r="BD1273" s="554"/>
      <c r="BE1273" s="554"/>
      <c r="BF1273" s="554"/>
      <c r="BG1273" s="554"/>
      <c r="BH1273" s="554"/>
      <c r="BI1273" s="554"/>
      <c r="BJ1273" s="554"/>
      <c r="BK1273" s="554"/>
      <c r="BL1273" s="554"/>
      <c r="BM1273" s="554"/>
      <c r="BN1273" s="554"/>
      <c r="BO1273" s="554"/>
      <c r="BP1273" s="729"/>
      <c r="BQ1273" s="729"/>
      <c r="BR1273" s="729"/>
      <c r="BS1273" s="729"/>
      <c r="BT1273" s="729"/>
      <c r="BU1273" s="729"/>
      <c r="BV1273" s="729"/>
      <c r="BW1273" s="729"/>
      <c r="BX1273" s="729"/>
      <c r="BY1273" s="729"/>
      <c r="BZ1273" s="729"/>
      <c r="CA1273" s="729"/>
      <c r="CB1273" s="729"/>
      <c r="CC1273" s="729"/>
      <c r="CD1273" s="729"/>
      <c r="CE1273" s="729"/>
      <c r="CF1273" s="729"/>
      <c r="CG1273" s="729"/>
      <c r="CH1273" s="717"/>
      <c r="CI1273" s="717"/>
      <c r="CJ1273" s="717"/>
      <c r="CK1273" s="717"/>
      <c r="CL1273" s="717"/>
      <c r="CM1273" s="729"/>
      <c r="CN1273" s="729"/>
      <c r="CO1273" s="729"/>
      <c r="CP1273" s="717"/>
      <c r="CQ1273" s="717"/>
      <c r="CR1273" s="717"/>
      <c r="CS1273" s="717"/>
      <c r="CT1273" s="717"/>
      <c r="CU1273" s="717"/>
    </row>
    <row r="1274" s="1267" customFormat="1" ht="31" customHeight="1" spans="1:100">
      <c r="A1274" s="608">
        <v>46183</v>
      </c>
      <c r="B1274" s="609" t="s">
        <v>4942</v>
      </c>
      <c r="C1274" s="610" t="s">
        <v>836</v>
      </c>
      <c r="D1274" s="846">
        <v>4500211429</v>
      </c>
      <c r="E1274" s="610"/>
      <c r="F1274" s="554" t="s">
        <v>4943</v>
      </c>
      <c r="G1274" s="610" t="s">
        <v>68</v>
      </c>
      <c r="H1274" s="610" t="s">
        <v>69</v>
      </c>
      <c r="I1274" s="715">
        <v>1008</v>
      </c>
      <c r="J1274" s="610">
        <v>0</v>
      </c>
      <c r="K1274" s="610">
        <v>12</v>
      </c>
      <c r="L1274" s="611">
        <f t="shared" si="393"/>
        <v>84</v>
      </c>
      <c r="M1274" s="612">
        <v>46225</v>
      </c>
      <c r="N1274" s="724">
        <v>46225</v>
      </c>
      <c r="O1274" s="613"/>
      <c r="P1274" s="723" t="s">
        <v>113</v>
      </c>
      <c r="Q1274" s="614">
        <v>46230</v>
      </c>
      <c r="R1274" s="614">
        <v>46190</v>
      </c>
      <c r="S1274" s="614" t="s">
        <v>70</v>
      </c>
      <c r="T1274" s="730" t="s">
        <v>4944</v>
      </c>
      <c r="U1274" s="730"/>
      <c r="V1274" s="213"/>
      <c r="W1274" s="609" t="s">
        <v>4945</v>
      </c>
      <c r="X1274" s="738" t="s">
        <v>4946</v>
      </c>
      <c r="Y1274" s="616" t="s">
        <v>472</v>
      </c>
      <c r="Z1274" s="625">
        <v>4.3274</v>
      </c>
      <c r="AA1274" s="616">
        <f t="shared" si="403"/>
        <v>4362.0192</v>
      </c>
      <c r="AB1274" s="609" t="s">
        <v>4947</v>
      </c>
      <c r="AC1274" s="617"/>
      <c r="AD1274" s="610" t="s">
        <v>184</v>
      </c>
      <c r="AE1274" s="610" t="s">
        <v>82</v>
      </c>
      <c r="AF1274" s="610"/>
      <c r="AG1274" s="610"/>
      <c r="AH1274" s="610"/>
      <c r="AI1274" s="609">
        <v>1008</v>
      </c>
      <c r="AJ1274" s="613">
        <f t="shared" si="402"/>
        <v>0</v>
      </c>
      <c r="AK1274" s="610"/>
      <c r="AL1274" s="610" t="s">
        <v>2368</v>
      </c>
      <c r="AM1274" s="554"/>
      <c r="AN1274" s="554">
        <f t="shared" si="404"/>
        <v>1008</v>
      </c>
      <c r="AO1274" s="554"/>
      <c r="AP1274" s="554"/>
      <c r="AQ1274" s="554"/>
      <c r="AR1274" s="554">
        <f>I1274</f>
        <v>1008</v>
      </c>
      <c r="AS1274" s="554"/>
      <c r="AT1274" s="554"/>
      <c r="AU1274" s="554">
        <f t="shared" si="406"/>
        <v>1008</v>
      </c>
      <c r="AV1274" s="554"/>
      <c r="AW1274" s="554">
        <f t="shared" si="407"/>
        <v>1008</v>
      </c>
      <c r="AX1274" s="714"/>
      <c r="AY1274" s="554"/>
      <c r="AZ1274" s="554"/>
      <c r="BA1274" s="554"/>
      <c r="BB1274" s="554"/>
      <c r="BC1274" s="554"/>
      <c r="BD1274" s="554"/>
      <c r="BE1274" s="554"/>
      <c r="BF1274" s="554"/>
      <c r="BG1274" s="554"/>
      <c r="BH1274" s="554"/>
      <c r="BI1274" s="554"/>
      <c r="BJ1274" s="554"/>
      <c r="BK1274" s="554"/>
      <c r="BL1274" s="554"/>
      <c r="BM1274" s="554"/>
      <c r="BN1274" s="554"/>
      <c r="BO1274" s="554"/>
      <c r="BP1274" s="554"/>
      <c r="BQ1274" s="554"/>
      <c r="BR1274" s="554"/>
      <c r="BS1274" s="554"/>
      <c r="BT1274" s="554"/>
      <c r="BU1274" s="554"/>
      <c r="BV1274" s="554"/>
      <c r="BW1274" s="554"/>
      <c r="BX1274" s="554"/>
      <c r="BY1274" s="554"/>
      <c r="BZ1274" s="554"/>
      <c r="CA1274" s="554"/>
      <c r="CB1274" s="554"/>
      <c r="CC1274" s="554"/>
      <c r="CD1274" s="554"/>
      <c r="CE1274" s="554"/>
      <c r="CF1274" s="554"/>
      <c r="CG1274" s="554"/>
      <c r="CH1274" s="619"/>
      <c r="CI1274" s="619"/>
      <c r="CJ1274" s="619"/>
      <c r="CK1274" s="619"/>
      <c r="CL1274" s="619"/>
      <c r="CM1274" s="554"/>
      <c r="CN1274" s="554"/>
      <c r="CO1274" s="554"/>
      <c r="CP1274" s="619"/>
      <c r="CQ1274" s="619"/>
      <c r="CR1274" s="619"/>
      <c r="CS1274" s="619"/>
      <c r="CT1274" s="619"/>
      <c r="CU1274" s="619"/>
    </row>
    <row r="1275" s="1267" customFormat="1" ht="31" customHeight="1" spans="1:100">
      <c r="A1275" s="608">
        <v>46171</v>
      </c>
      <c r="B1275" s="609" t="s">
        <v>4948</v>
      </c>
      <c r="C1275" s="610" t="s">
        <v>524</v>
      </c>
      <c r="D1275" s="554" t="s">
        <v>4949</v>
      </c>
      <c r="E1275" s="610"/>
      <c r="F1275" s="554" t="s">
        <v>4950</v>
      </c>
      <c r="G1275" s="610" t="s">
        <v>68</v>
      </c>
      <c r="H1275" s="610" t="s">
        <v>69</v>
      </c>
      <c r="I1275" s="715">
        <v>720</v>
      </c>
      <c r="J1275" s="610">
        <v>0</v>
      </c>
      <c r="K1275" s="610">
        <v>12</v>
      </c>
      <c r="L1275" s="611">
        <f t="shared" si="393"/>
        <v>60</v>
      </c>
      <c r="M1275" s="612">
        <v>46226</v>
      </c>
      <c r="N1275" s="724">
        <v>46225</v>
      </c>
      <c r="O1275" s="737" t="s">
        <v>1329</v>
      </c>
      <c r="P1275" s="613" t="s">
        <v>113</v>
      </c>
      <c r="Q1275" s="614" t="s">
        <v>4951</v>
      </c>
      <c r="R1275" s="614">
        <v>46178</v>
      </c>
      <c r="S1275" s="614" t="s">
        <v>70</v>
      </c>
      <c r="T1275" s="614" t="s">
        <v>4952</v>
      </c>
      <c r="U1275" s="614"/>
      <c r="V1275" s="614"/>
      <c r="W1275" s="609"/>
      <c r="X1275" s="609" t="s">
        <v>4953</v>
      </c>
      <c r="Y1275" s="616" t="s">
        <v>3975</v>
      </c>
      <c r="Z1275" s="625">
        <v>4.3734</v>
      </c>
      <c r="AA1275" s="616">
        <f t="shared" si="403"/>
        <v>3148.848</v>
      </c>
      <c r="AB1275" s="554"/>
      <c r="AC1275" s="617"/>
      <c r="AD1275" s="610" t="s">
        <v>184</v>
      </c>
      <c r="AE1275" s="610" t="s">
        <v>82</v>
      </c>
      <c r="AF1275" s="610"/>
      <c r="AG1275" s="610"/>
      <c r="AH1275" s="610"/>
      <c r="AI1275" s="609">
        <v>720</v>
      </c>
      <c r="AJ1275" s="610">
        <f t="shared" si="402"/>
        <v>0</v>
      </c>
      <c r="AK1275" s="610"/>
      <c r="AL1275" s="610" t="s">
        <v>2368</v>
      </c>
      <c r="AM1275" s="554"/>
      <c r="AN1275" s="554">
        <f t="shared" si="404"/>
        <v>720</v>
      </c>
      <c r="AO1275" s="554"/>
      <c r="AP1275" s="554"/>
      <c r="AQ1275" s="554"/>
      <c r="AR1275" s="554"/>
      <c r="AS1275" s="554">
        <f>I1275</f>
        <v>720</v>
      </c>
      <c r="AT1275" s="554"/>
      <c r="AU1275" s="554">
        <f t="shared" si="406"/>
        <v>720</v>
      </c>
      <c r="AV1275" s="554"/>
      <c r="AW1275" s="554">
        <f t="shared" si="407"/>
        <v>720</v>
      </c>
      <c r="AX1275" s="714"/>
      <c r="AY1275" s="554"/>
      <c r="AZ1275" s="554"/>
      <c r="BA1275" s="554"/>
      <c r="BB1275" s="554"/>
      <c r="BC1275" s="554"/>
      <c r="BD1275" s="554"/>
      <c r="BE1275" s="554"/>
      <c r="BF1275" s="554"/>
      <c r="BG1275" s="554"/>
      <c r="BH1275" s="554"/>
      <c r="BI1275" s="554"/>
      <c r="BJ1275" s="554"/>
      <c r="BK1275" s="554"/>
      <c r="BL1275" s="554"/>
      <c r="BM1275" s="554"/>
      <c r="BN1275" s="554"/>
      <c r="BO1275" s="554"/>
      <c r="BP1275" s="554"/>
      <c r="BQ1275" s="554"/>
      <c r="BR1275" s="554"/>
      <c r="BS1275" s="554"/>
      <c r="BT1275" s="554"/>
      <c r="BU1275" s="554"/>
      <c r="BV1275" s="554"/>
      <c r="BW1275" s="554"/>
      <c r="BX1275" s="554"/>
      <c r="BY1275" s="554"/>
      <c r="BZ1275" s="554"/>
      <c r="CA1275" s="554"/>
      <c r="CB1275" s="554"/>
      <c r="CC1275" s="554"/>
      <c r="CD1275" s="554"/>
      <c r="CE1275" s="554"/>
      <c r="CF1275" s="554"/>
      <c r="CG1275" s="554"/>
      <c r="CH1275" s="619"/>
      <c r="CI1275" s="619"/>
      <c r="CJ1275" s="619"/>
      <c r="CK1275" s="619"/>
      <c r="CL1275" s="619"/>
      <c r="CM1275" s="554"/>
      <c r="CN1275" s="554"/>
      <c r="CO1275" s="554"/>
      <c r="CP1275" s="619"/>
      <c r="CQ1275" s="619"/>
      <c r="CR1275" s="619"/>
      <c r="CS1275" s="619"/>
      <c r="CT1275" s="619"/>
      <c r="CU1275" s="619"/>
    </row>
    <row r="1276" s="1267" customFormat="1" ht="31" customHeight="1" spans="1:100">
      <c r="A1276" s="608">
        <v>46156</v>
      </c>
      <c r="B1276" s="609" t="s">
        <v>1728</v>
      </c>
      <c r="C1276" s="610" t="s">
        <v>154</v>
      </c>
      <c r="D1276" s="554" t="s">
        <v>4954</v>
      </c>
      <c r="E1276" s="610" t="s">
        <v>4955</v>
      </c>
      <c r="F1276" s="554" t="s">
        <v>4956</v>
      </c>
      <c r="G1276" s="610" t="s">
        <v>164</v>
      </c>
      <c r="H1276" s="610" t="s">
        <v>112</v>
      </c>
      <c r="I1276" s="715">
        <v>1504</v>
      </c>
      <c r="J1276" s="610">
        <v>0</v>
      </c>
      <c r="K1276" s="610">
        <v>8</v>
      </c>
      <c r="L1276" s="611">
        <f t="shared" si="393"/>
        <v>188</v>
      </c>
      <c r="M1276" s="612">
        <v>46216</v>
      </c>
      <c r="N1276" s="612">
        <v>46212</v>
      </c>
      <c r="O1276" s="613"/>
      <c r="P1276" s="613" t="s">
        <v>113</v>
      </c>
      <c r="Q1276" s="614"/>
      <c r="R1276" s="614">
        <v>46160</v>
      </c>
      <c r="S1276" s="614" t="s">
        <v>70</v>
      </c>
      <c r="T1276" s="614" t="s">
        <v>4957</v>
      </c>
      <c r="U1276" s="614"/>
      <c r="V1276" s="614"/>
      <c r="W1276" s="609"/>
      <c r="X1276" s="609" t="s">
        <v>4958</v>
      </c>
      <c r="Y1276" s="616" t="s">
        <v>1549</v>
      </c>
      <c r="Z1276" s="625">
        <v>4.374</v>
      </c>
      <c r="AA1276" s="616">
        <f t="shared" si="403"/>
        <v>6578.496</v>
      </c>
      <c r="AB1276" s="729"/>
      <c r="AC1276" s="617"/>
      <c r="AD1276" s="610" t="s">
        <v>164</v>
      </c>
      <c r="AE1276" s="610" t="s">
        <v>82</v>
      </c>
      <c r="AF1276" s="610"/>
      <c r="AG1276" s="610"/>
      <c r="AH1276" s="610"/>
      <c r="AI1276" s="609">
        <v>1504</v>
      </c>
      <c r="AJ1276" s="610">
        <f t="shared" si="402"/>
        <v>0</v>
      </c>
      <c r="AK1276" s="610"/>
      <c r="AL1276" s="610" t="s">
        <v>2368</v>
      </c>
      <c r="AM1276" s="554"/>
      <c r="AN1276" s="554">
        <f t="shared" si="404"/>
        <v>1504</v>
      </c>
      <c r="AO1276" s="554"/>
      <c r="AP1276" s="554"/>
      <c r="AQ1276" s="554"/>
      <c r="AR1276" s="554"/>
      <c r="AS1276" s="554"/>
      <c r="AT1276" s="554"/>
      <c r="AU1276" s="554"/>
      <c r="AV1276" s="554"/>
      <c r="AW1276" s="554">
        <f t="shared" si="407"/>
        <v>1504</v>
      </c>
      <c r="AX1276" s="714"/>
      <c r="AY1276" s="554"/>
      <c r="AZ1276" s="554"/>
      <c r="BA1276" s="554"/>
      <c r="BB1276" s="554"/>
      <c r="BC1276" s="554"/>
      <c r="BD1276" s="554">
        <f>I1276</f>
        <v>1504</v>
      </c>
      <c r="BE1276" s="554">
        <f>I1276</f>
        <v>1504</v>
      </c>
      <c r="BF1276" s="554"/>
      <c r="BG1276" s="554"/>
      <c r="BH1276" s="554"/>
      <c r="BI1276" s="554">
        <f>I1276/4</f>
        <v>376</v>
      </c>
      <c r="BJ1276" s="554"/>
      <c r="BK1276" s="554"/>
      <c r="BL1276" s="554"/>
      <c r="BM1276" s="554"/>
      <c r="BN1276" s="554"/>
      <c r="BO1276" s="554"/>
      <c r="BP1276" s="729"/>
      <c r="BQ1276" s="729"/>
      <c r="BR1276" s="729"/>
      <c r="BS1276" s="729"/>
      <c r="BT1276" s="729"/>
      <c r="BU1276" s="729"/>
      <c r="BV1276" s="729"/>
      <c r="BW1276" s="729"/>
      <c r="BX1276" s="729"/>
      <c r="BY1276" s="729"/>
      <c r="BZ1276" s="729"/>
      <c r="CA1276" s="729"/>
      <c r="CB1276" s="729"/>
      <c r="CC1276" s="729"/>
      <c r="CD1276" s="729"/>
      <c r="CE1276" s="729"/>
      <c r="CF1276" s="729"/>
      <c r="CG1276" s="729"/>
      <c r="CH1276" s="717"/>
      <c r="CI1276" s="717"/>
      <c r="CJ1276" s="717"/>
      <c r="CK1276" s="717"/>
      <c r="CL1276" s="717"/>
      <c r="CM1276" s="729"/>
      <c r="CN1276" s="729"/>
      <c r="CO1276" s="729"/>
      <c r="CP1276" s="717"/>
      <c r="CQ1276" s="717"/>
      <c r="CR1276" s="717"/>
      <c r="CS1276" s="717"/>
      <c r="CT1276" s="717"/>
      <c r="CU1276" s="717"/>
    </row>
    <row r="1277" s="1267" customFormat="1" ht="31" customHeight="1" spans="1:100">
      <c r="A1277" s="608">
        <v>46169</v>
      </c>
      <c r="B1277" s="609" t="s">
        <v>2219</v>
      </c>
      <c r="C1277" s="610" t="s">
        <v>2220</v>
      </c>
      <c r="D1277" s="554" t="s">
        <v>4959</v>
      </c>
      <c r="E1277" s="610" t="s">
        <v>4960</v>
      </c>
      <c r="F1277" s="554" t="s">
        <v>4961</v>
      </c>
      <c r="G1277" s="610" t="s">
        <v>68</v>
      </c>
      <c r="H1277" s="610" t="s">
        <v>69</v>
      </c>
      <c r="I1277" s="715">
        <v>3000</v>
      </c>
      <c r="J1277" s="610">
        <v>0</v>
      </c>
      <c r="K1277" s="610">
        <v>12</v>
      </c>
      <c r="L1277" s="611">
        <f t="shared" si="393"/>
        <v>250</v>
      </c>
      <c r="M1277" s="612">
        <v>46216</v>
      </c>
      <c r="N1277" s="612">
        <v>46212</v>
      </c>
      <c r="O1277" s="613"/>
      <c r="P1277" s="613" t="s">
        <v>113</v>
      </c>
      <c r="Q1277" s="614">
        <v>46220</v>
      </c>
      <c r="R1277" s="614">
        <v>46183</v>
      </c>
      <c r="S1277" s="614" t="s">
        <v>70</v>
      </c>
      <c r="T1277" s="614" t="s">
        <v>4962</v>
      </c>
      <c r="U1277" s="614"/>
      <c r="V1277" s="614"/>
      <c r="W1277" s="609"/>
      <c r="X1277" s="609" t="s">
        <v>4963</v>
      </c>
      <c r="Y1277" s="616" t="s">
        <v>943</v>
      </c>
      <c r="Z1277" s="625">
        <v>4.3678</v>
      </c>
      <c r="AA1277" s="616">
        <f t="shared" si="403"/>
        <v>13103.4</v>
      </c>
      <c r="AB1277" s="554"/>
      <c r="AC1277" s="617"/>
      <c r="AD1277" s="610" t="s">
        <v>184</v>
      </c>
      <c r="AE1277" s="610" t="s">
        <v>82</v>
      </c>
      <c r="AF1277" s="610"/>
      <c r="AG1277" s="610"/>
      <c r="AH1277" s="610"/>
      <c r="AI1277" s="609">
        <v>3000</v>
      </c>
      <c r="AJ1277" s="613">
        <f t="shared" si="402"/>
        <v>0</v>
      </c>
      <c r="AK1277" s="610"/>
      <c r="AL1277" s="610" t="s">
        <v>2368</v>
      </c>
      <c r="AM1277" s="554"/>
      <c r="AN1277" s="554">
        <f t="shared" si="404"/>
        <v>3000</v>
      </c>
      <c r="AO1277" s="554"/>
      <c r="AP1277" s="554"/>
      <c r="AQ1277" s="554"/>
      <c r="AR1277" s="554"/>
      <c r="AS1277" s="554">
        <f>I1277</f>
        <v>3000</v>
      </c>
      <c r="AT1277" s="554"/>
      <c r="AU1277" s="554">
        <f t="shared" ref="AU1277:AU1298" si="409">I1277</f>
        <v>3000</v>
      </c>
      <c r="AV1277" s="554"/>
      <c r="AW1277" s="554">
        <f t="shared" si="407"/>
        <v>3000</v>
      </c>
      <c r="AX1277" s="714"/>
      <c r="AY1277" s="554"/>
      <c r="AZ1277" s="554"/>
      <c r="BA1277" s="554"/>
      <c r="BB1277" s="554"/>
      <c r="BC1277" s="554"/>
      <c r="BD1277" s="554"/>
      <c r="BE1277" s="554"/>
      <c r="BF1277" s="554"/>
      <c r="BG1277" s="554"/>
      <c r="BH1277" s="554"/>
      <c r="BI1277" s="554"/>
      <c r="BJ1277" s="554"/>
      <c r="BK1277" s="554"/>
      <c r="BL1277" s="554"/>
      <c r="BM1277" s="554"/>
      <c r="BN1277" s="554"/>
      <c r="BO1277" s="554"/>
      <c r="BP1277" s="554"/>
      <c r="BQ1277" s="554"/>
      <c r="BR1277" s="554"/>
      <c r="BS1277" s="554"/>
      <c r="BT1277" s="554"/>
      <c r="BU1277" s="554"/>
      <c r="BV1277" s="554"/>
      <c r="BW1277" s="554"/>
      <c r="BX1277" s="554"/>
      <c r="BY1277" s="554"/>
      <c r="BZ1277" s="554"/>
      <c r="CA1277" s="554"/>
      <c r="CB1277" s="554"/>
      <c r="CC1277" s="554"/>
      <c r="CD1277" s="554"/>
      <c r="CE1277" s="554"/>
      <c r="CF1277" s="554"/>
      <c r="CG1277" s="554"/>
      <c r="CH1277" s="619"/>
      <c r="CI1277" s="619"/>
      <c r="CJ1277" s="619"/>
      <c r="CK1277" s="619"/>
      <c r="CL1277" s="619"/>
      <c r="CM1277" s="554"/>
      <c r="CN1277" s="554"/>
      <c r="CO1277" s="554"/>
      <c r="CP1277" s="619"/>
      <c r="CQ1277" s="619"/>
      <c r="CR1277" s="619"/>
      <c r="CS1277" s="619"/>
      <c r="CT1277" s="619"/>
      <c r="CU1277" s="619"/>
    </row>
    <row r="1278" s="1267" customFormat="1" ht="31" customHeight="1" spans="1:100">
      <c r="A1278" s="608">
        <v>46162</v>
      </c>
      <c r="B1278" s="609" t="s">
        <v>2952</v>
      </c>
      <c r="C1278" s="610" t="s">
        <v>1227</v>
      </c>
      <c r="D1278" s="554" t="s">
        <v>4964</v>
      </c>
      <c r="E1278" s="610" t="s">
        <v>3846</v>
      </c>
      <c r="F1278" s="554" t="s">
        <v>4965</v>
      </c>
      <c r="G1278" s="610" t="s">
        <v>68</v>
      </c>
      <c r="H1278" s="610" t="s">
        <v>69</v>
      </c>
      <c r="I1278" s="715">
        <v>960</v>
      </c>
      <c r="J1278" s="610">
        <v>0</v>
      </c>
      <c r="K1278" s="610">
        <v>12</v>
      </c>
      <c r="L1278" s="611">
        <f t="shared" si="393"/>
        <v>80</v>
      </c>
      <c r="M1278" s="612">
        <v>46217</v>
      </c>
      <c r="N1278" s="612">
        <v>46213</v>
      </c>
      <c r="O1278" s="613" t="s">
        <v>4966</v>
      </c>
      <c r="P1278" s="613" t="s">
        <v>113</v>
      </c>
      <c r="Q1278" s="614"/>
      <c r="R1278" s="614">
        <v>46189</v>
      </c>
      <c r="S1278" s="614" t="s">
        <v>70</v>
      </c>
      <c r="T1278" s="614" t="s">
        <v>4967</v>
      </c>
      <c r="U1278" s="614"/>
      <c r="V1278" s="614"/>
      <c r="W1278" s="609"/>
      <c r="X1278" s="609" t="s">
        <v>4968</v>
      </c>
      <c r="Y1278" s="616" t="s">
        <v>529</v>
      </c>
      <c r="Z1278" s="625">
        <v>4.3734</v>
      </c>
      <c r="AA1278" s="616">
        <f t="shared" si="403"/>
        <v>4198.464</v>
      </c>
      <c r="AB1278" s="729"/>
      <c r="AC1278" s="617"/>
      <c r="AD1278" s="610" t="s">
        <v>184</v>
      </c>
      <c r="AE1278" s="610" t="s">
        <v>82</v>
      </c>
      <c r="AF1278" s="610"/>
      <c r="AG1278" s="610"/>
      <c r="AH1278" s="610"/>
      <c r="AI1278" s="609">
        <v>960</v>
      </c>
      <c r="AJ1278" s="610">
        <f t="shared" si="402"/>
        <v>0</v>
      </c>
      <c r="AK1278" s="610"/>
      <c r="AL1278" s="610" t="s">
        <v>2368</v>
      </c>
      <c r="AM1278" s="554"/>
      <c r="AN1278" s="554">
        <f t="shared" si="404"/>
        <v>960</v>
      </c>
      <c r="AO1278" s="554"/>
      <c r="AP1278" s="554"/>
      <c r="AQ1278" s="554"/>
      <c r="AR1278" s="554"/>
      <c r="AS1278" s="554">
        <f>I1278</f>
        <v>960</v>
      </c>
      <c r="AT1278" s="554"/>
      <c r="AU1278" s="554">
        <f t="shared" si="409"/>
        <v>960</v>
      </c>
      <c r="AV1278" s="554"/>
      <c r="AW1278" s="554">
        <f t="shared" si="407"/>
        <v>960</v>
      </c>
      <c r="AX1278" s="714"/>
      <c r="AY1278" s="554"/>
      <c r="AZ1278" s="554"/>
      <c r="BA1278" s="554"/>
      <c r="BB1278" s="554"/>
      <c r="BC1278" s="554"/>
      <c r="BD1278" s="554"/>
      <c r="BE1278" s="554"/>
      <c r="BF1278" s="554"/>
      <c r="BG1278" s="554"/>
      <c r="BH1278" s="554"/>
      <c r="BI1278" s="554"/>
      <c r="BJ1278" s="554"/>
      <c r="BK1278" s="554"/>
      <c r="BL1278" s="554"/>
      <c r="BM1278" s="554"/>
      <c r="BN1278" s="554"/>
      <c r="BO1278" s="554"/>
      <c r="BP1278" s="729"/>
      <c r="BQ1278" s="729"/>
      <c r="BR1278" s="729"/>
      <c r="BS1278" s="729"/>
      <c r="BT1278" s="729"/>
      <c r="BU1278" s="729"/>
      <c r="BV1278" s="729"/>
      <c r="BW1278" s="729"/>
      <c r="BX1278" s="729"/>
      <c r="BY1278" s="729"/>
      <c r="BZ1278" s="729"/>
      <c r="CA1278" s="729"/>
      <c r="CB1278" s="729"/>
      <c r="CC1278" s="729"/>
      <c r="CD1278" s="729"/>
      <c r="CE1278" s="729"/>
      <c r="CF1278" s="729"/>
      <c r="CG1278" s="729"/>
      <c r="CH1278" s="717"/>
      <c r="CI1278" s="717"/>
      <c r="CJ1278" s="717"/>
      <c r="CK1278" s="717"/>
      <c r="CL1278" s="717"/>
      <c r="CM1278" s="729"/>
      <c r="CN1278" s="729"/>
      <c r="CO1278" s="729"/>
      <c r="CP1278" s="717"/>
      <c r="CQ1278" s="717"/>
      <c r="CR1278" s="717"/>
      <c r="CS1278" s="717"/>
      <c r="CT1278" s="717"/>
      <c r="CU1278" s="717"/>
    </row>
    <row r="1279" s="1267" customFormat="1" ht="31" customHeight="1" spans="1:100">
      <c r="A1279" s="608">
        <v>46164</v>
      </c>
      <c r="B1279" s="609" t="s">
        <v>4969</v>
      </c>
      <c r="C1279" s="610" t="s">
        <v>524</v>
      </c>
      <c r="D1279" s="554" t="s">
        <v>4970</v>
      </c>
      <c r="E1279" s="731">
        <v>6050019</v>
      </c>
      <c r="F1279" s="554" t="s">
        <v>4971</v>
      </c>
      <c r="G1279" s="610" t="s">
        <v>68</v>
      </c>
      <c r="H1279" s="610" t="s">
        <v>69</v>
      </c>
      <c r="I1279" s="715">
        <v>504</v>
      </c>
      <c r="J1279" s="610">
        <v>0</v>
      </c>
      <c r="K1279" s="610">
        <v>12</v>
      </c>
      <c r="L1279" s="611">
        <f t="shared" si="393"/>
        <v>42</v>
      </c>
      <c r="M1279" s="612">
        <v>46220</v>
      </c>
      <c r="N1279" s="612">
        <v>46216</v>
      </c>
      <c r="O1279" s="613" t="s">
        <v>4972</v>
      </c>
      <c r="P1279" s="613" t="s">
        <v>113</v>
      </c>
      <c r="Q1279" s="614"/>
      <c r="R1279" s="614">
        <v>46184</v>
      </c>
      <c r="S1279" s="614" t="s">
        <v>70</v>
      </c>
      <c r="T1279" s="614" t="s">
        <v>4973</v>
      </c>
      <c r="U1279" s="614"/>
      <c r="V1279" s="614"/>
      <c r="W1279" s="609"/>
      <c r="X1279" s="609" t="s">
        <v>4974</v>
      </c>
      <c r="Y1279" s="616" t="s">
        <v>3975</v>
      </c>
      <c r="Z1279" s="625">
        <v>4.3734</v>
      </c>
      <c r="AA1279" s="616">
        <f t="shared" si="403"/>
        <v>2204.1936</v>
      </c>
      <c r="AB1279" s="729"/>
      <c r="AC1279" s="617" t="s">
        <v>4975</v>
      </c>
      <c r="AD1279" s="610" t="s">
        <v>184</v>
      </c>
      <c r="AE1279" s="610" t="s">
        <v>82</v>
      </c>
      <c r="AF1279" s="610"/>
      <c r="AG1279" s="610"/>
      <c r="AH1279" s="610"/>
      <c r="AI1279" s="609">
        <v>504</v>
      </c>
      <c r="AJ1279" s="610">
        <f t="shared" si="402"/>
        <v>0</v>
      </c>
      <c r="AK1279" s="610"/>
      <c r="AL1279" s="610" t="s">
        <v>2368</v>
      </c>
      <c r="AM1279" s="554"/>
      <c r="AN1279" s="554">
        <f t="shared" si="404"/>
        <v>504</v>
      </c>
      <c r="AO1279" s="554"/>
      <c r="AP1279" s="554"/>
      <c r="AQ1279" s="554"/>
      <c r="AR1279" s="554"/>
      <c r="AS1279" s="554">
        <f>I1279</f>
        <v>504</v>
      </c>
      <c r="AT1279" s="554"/>
      <c r="AU1279" s="554">
        <f t="shared" si="409"/>
        <v>504</v>
      </c>
      <c r="AV1279" s="554"/>
      <c r="AW1279" s="554">
        <f t="shared" si="407"/>
        <v>504</v>
      </c>
      <c r="AX1279" s="714"/>
      <c r="AY1279" s="554"/>
      <c r="AZ1279" s="554"/>
      <c r="BA1279" s="554"/>
      <c r="BB1279" s="554"/>
      <c r="BC1279" s="554"/>
      <c r="BD1279" s="554"/>
      <c r="BE1279" s="554"/>
      <c r="BF1279" s="554"/>
      <c r="BG1279" s="554"/>
      <c r="BH1279" s="554"/>
      <c r="BI1279" s="554"/>
      <c r="BJ1279" s="554"/>
      <c r="BK1279" s="554"/>
      <c r="BL1279" s="554"/>
      <c r="BM1279" s="554"/>
      <c r="BN1279" s="554"/>
      <c r="BO1279" s="554"/>
      <c r="BP1279" s="729"/>
      <c r="BQ1279" s="729"/>
      <c r="BR1279" s="729"/>
      <c r="BS1279" s="729"/>
      <c r="BT1279" s="729"/>
      <c r="BU1279" s="729"/>
      <c r="BV1279" s="729"/>
      <c r="BW1279" s="729"/>
      <c r="BX1279" s="729"/>
      <c r="BY1279" s="729"/>
      <c r="BZ1279" s="729"/>
      <c r="CA1279" s="729"/>
      <c r="CB1279" s="729"/>
      <c r="CC1279" s="729"/>
      <c r="CD1279" s="729"/>
      <c r="CE1279" s="729"/>
      <c r="CF1279" s="729"/>
      <c r="CG1279" s="729"/>
      <c r="CH1279" s="717"/>
      <c r="CI1279" s="717"/>
      <c r="CJ1279" s="717"/>
      <c r="CK1279" s="717"/>
      <c r="CL1279" s="717"/>
      <c r="CM1279" s="729"/>
      <c r="CN1279" s="729"/>
      <c r="CO1279" s="729"/>
      <c r="CP1279" s="717"/>
      <c r="CQ1279" s="717"/>
      <c r="CR1279" s="717"/>
      <c r="CS1279" s="717"/>
      <c r="CT1279" s="717"/>
      <c r="CU1279" s="717"/>
    </row>
    <row r="1280" s="1267" customFormat="1" ht="31" customHeight="1" spans="1:100">
      <c r="A1280" s="608">
        <v>46153</v>
      </c>
      <c r="B1280" s="609" t="s">
        <v>398</v>
      </c>
      <c r="C1280" s="610" t="s">
        <v>399</v>
      </c>
      <c r="D1280" s="554" t="s">
        <v>4842</v>
      </c>
      <c r="E1280" s="610" t="s">
        <v>3846</v>
      </c>
      <c r="F1280" s="554" t="s">
        <v>4976</v>
      </c>
      <c r="G1280" s="610" t="s">
        <v>518</v>
      </c>
      <c r="H1280" s="610" t="s">
        <v>477</v>
      </c>
      <c r="I1280" s="715">
        <v>1500</v>
      </c>
      <c r="J1280" s="610">
        <v>0</v>
      </c>
      <c r="K1280" s="610">
        <v>6</v>
      </c>
      <c r="L1280" s="611">
        <f t="shared" si="393"/>
        <v>250</v>
      </c>
      <c r="M1280" s="612">
        <v>46223</v>
      </c>
      <c r="N1280" s="612">
        <v>46219</v>
      </c>
      <c r="O1280" s="613"/>
      <c r="P1280" s="610" t="s">
        <v>113</v>
      </c>
      <c r="Q1280" s="614"/>
      <c r="R1280" s="614">
        <v>46175</v>
      </c>
      <c r="S1280" s="614" t="s">
        <v>70</v>
      </c>
      <c r="T1280" s="614" t="s">
        <v>4977</v>
      </c>
      <c r="U1280" s="614"/>
      <c r="V1280" s="614"/>
      <c r="W1280" s="609" t="s">
        <v>4844</v>
      </c>
      <c r="X1280" s="609" t="s">
        <v>4978</v>
      </c>
      <c r="Y1280" s="616" t="s">
        <v>445</v>
      </c>
      <c r="Z1280" s="625">
        <v>7.0192</v>
      </c>
      <c r="AA1280" s="616">
        <f t="shared" si="403"/>
        <v>10528.8</v>
      </c>
      <c r="AB1280" s="554"/>
      <c r="AC1280" s="617"/>
      <c r="AD1280" s="610" t="s">
        <v>480</v>
      </c>
      <c r="AE1280" s="610" t="s">
        <v>82</v>
      </c>
      <c r="AF1280" s="610"/>
      <c r="AG1280" s="610"/>
      <c r="AH1280" s="610"/>
      <c r="AI1280" s="609"/>
      <c r="AJ1280" s="610">
        <f t="shared" si="402"/>
        <v>-1500</v>
      </c>
      <c r="AK1280" s="610"/>
      <c r="AL1280" s="610"/>
      <c r="AM1280" s="554"/>
      <c r="AN1280" s="554">
        <f t="shared" si="404"/>
        <v>1500</v>
      </c>
      <c r="AO1280" s="554"/>
      <c r="AP1280" s="554"/>
      <c r="AQ1280" s="554"/>
      <c r="AR1280" s="554"/>
      <c r="AS1280" s="554">
        <f>I1280</f>
        <v>1500</v>
      </c>
      <c r="AT1280" s="554"/>
      <c r="AU1280" s="554">
        <f t="shared" si="409"/>
        <v>1500</v>
      </c>
      <c r="AV1280" s="554"/>
      <c r="AW1280" s="554">
        <f t="shared" si="407"/>
        <v>1500</v>
      </c>
      <c r="AX1280" s="714"/>
      <c r="AY1280" s="554"/>
      <c r="AZ1280" s="554"/>
      <c r="BA1280" s="554"/>
      <c r="BB1280" s="554"/>
      <c r="BC1280" s="554"/>
      <c r="BD1280" s="554"/>
      <c r="BE1280" s="554"/>
      <c r="BF1280" s="554"/>
      <c r="BG1280" s="554"/>
      <c r="BH1280" s="554"/>
      <c r="BI1280" s="554"/>
      <c r="BJ1280" s="554"/>
      <c r="BK1280" s="554"/>
      <c r="BL1280" s="554"/>
      <c r="BM1280" s="554"/>
      <c r="BN1280" s="554">
        <f>I1280</f>
        <v>1500</v>
      </c>
      <c r="BO1280" s="554"/>
      <c r="BP1280" s="554"/>
      <c r="BQ1280" s="554"/>
      <c r="BR1280" s="554"/>
      <c r="BS1280" s="554"/>
      <c r="BT1280" s="554"/>
      <c r="BU1280" s="554"/>
      <c r="BV1280" s="554"/>
      <c r="BW1280" s="554"/>
      <c r="BX1280" s="554"/>
      <c r="BY1280" s="554"/>
      <c r="BZ1280" s="554"/>
      <c r="CA1280" s="554"/>
      <c r="CB1280" s="554"/>
      <c r="CC1280" s="554"/>
      <c r="CD1280" s="554"/>
      <c r="CE1280" s="554"/>
      <c r="CF1280" s="554"/>
      <c r="CG1280" s="554"/>
      <c r="CH1280" s="619"/>
      <c r="CI1280" s="619"/>
      <c r="CJ1280" s="619"/>
      <c r="CK1280" s="619"/>
      <c r="CL1280" s="619"/>
      <c r="CM1280" s="554"/>
      <c r="CN1280" s="554"/>
      <c r="CO1280" s="554"/>
      <c r="CP1280" s="619"/>
      <c r="CQ1280" s="619"/>
      <c r="CR1280" s="619"/>
      <c r="CS1280" s="619"/>
      <c r="CT1280" s="619"/>
      <c r="CU1280" s="619"/>
      <c r="CV1280" s="1325"/>
    </row>
    <row r="1281" s="1267" customFormat="1" ht="31" customHeight="1" spans="1:100">
      <c r="A1281" s="608">
        <v>46160</v>
      </c>
      <c r="B1281" s="609" t="s">
        <v>2673</v>
      </c>
      <c r="C1281" s="610" t="s">
        <v>98</v>
      </c>
      <c r="D1281" s="554" t="s">
        <v>4979</v>
      </c>
      <c r="E1281" s="610" t="s">
        <v>4980</v>
      </c>
      <c r="F1281" s="554" t="s">
        <v>4981</v>
      </c>
      <c r="G1281" s="610" t="s">
        <v>68</v>
      </c>
      <c r="H1281" s="610" t="s">
        <v>69</v>
      </c>
      <c r="I1281" s="715">
        <v>4008</v>
      </c>
      <c r="J1281" s="610">
        <v>0</v>
      </c>
      <c r="K1281" s="610">
        <v>12</v>
      </c>
      <c r="L1281" s="611">
        <f t="shared" si="393"/>
        <v>334</v>
      </c>
      <c r="M1281" s="612">
        <v>46223</v>
      </c>
      <c r="N1281" s="612">
        <v>46219</v>
      </c>
      <c r="O1281" s="613"/>
      <c r="P1281" s="610" t="s">
        <v>113</v>
      </c>
      <c r="Q1281" s="614">
        <v>46225</v>
      </c>
      <c r="R1281" s="614">
        <v>46160</v>
      </c>
      <c r="S1281" s="614" t="s">
        <v>104</v>
      </c>
      <c r="T1281" s="614" t="s">
        <v>4982</v>
      </c>
      <c r="U1281" s="614"/>
      <c r="V1281" s="614"/>
      <c r="W1281" s="609"/>
      <c r="X1281" s="609" t="s">
        <v>4983</v>
      </c>
      <c r="Y1281" s="616" t="s">
        <v>3864</v>
      </c>
      <c r="Z1281" s="625">
        <v>2.6793</v>
      </c>
      <c r="AA1281" s="616">
        <f t="shared" si="403"/>
        <v>10738.6344</v>
      </c>
      <c r="AB1281" s="729"/>
      <c r="AC1281" s="629" t="s">
        <v>4984</v>
      </c>
      <c r="AD1281" s="610" t="s">
        <v>68</v>
      </c>
      <c r="AE1281" s="610" t="s">
        <v>82</v>
      </c>
      <c r="AF1281" s="610"/>
      <c r="AG1281" s="610"/>
      <c r="AH1281" s="610"/>
      <c r="AI1281" s="609">
        <f>24+24+3960</f>
        <v>4008</v>
      </c>
      <c r="AJ1281" s="610">
        <f t="shared" si="402"/>
        <v>0</v>
      </c>
      <c r="AK1281" s="610"/>
      <c r="AL1281" s="610" t="s">
        <v>2368</v>
      </c>
      <c r="AM1281" s="554"/>
      <c r="AN1281" s="554">
        <f t="shared" si="404"/>
        <v>4008</v>
      </c>
      <c r="AO1281" s="554"/>
      <c r="AP1281" s="554"/>
      <c r="AQ1281" s="554"/>
      <c r="AR1281" s="554">
        <f>I1281</f>
        <v>4008</v>
      </c>
      <c r="AS1281" s="554"/>
      <c r="AT1281" s="554"/>
      <c r="AU1281" s="554">
        <f t="shared" si="409"/>
        <v>4008</v>
      </c>
      <c r="AV1281" s="554"/>
      <c r="AW1281" s="554">
        <f t="shared" si="407"/>
        <v>4008</v>
      </c>
      <c r="AX1281" s="714"/>
      <c r="AY1281" s="554"/>
      <c r="AZ1281" s="554"/>
      <c r="BA1281" s="554"/>
      <c r="BB1281" s="554"/>
      <c r="BC1281" s="554"/>
      <c r="BD1281" s="554"/>
      <c r="BE1281" s="554"/>
      <c r="BF1281" s="554"/>
      <c r="BG1281" s="554"/>
      <c r="BH1281" s="554"/>
      <c r="BI1281" s="554"/>
      <c r="BJ1281" s="554"/>
      <c r="BK1281" s="554"/>
      <c r="BL1281" s="554"/>
      <c r="BM1281" s="554"/>
      <c r="BN1281" s="554"/>
      <c r="BO1281" s="554"/>
      <c r="BP1281" s="729"/>
      <c r="BQ1281" s="729"/>
      <c r="BR1281" s="729"/>
      <c r="BS1281" s="729"/>
      <c r="BT1281" s="729"/>
      <c r="BU1281" s="729"/>
      <c r="BV1281" s="729"/>
      <c r="BW1281" s="729"/>
      <c r="BX1281" s="729"/>
      <c r="BY1281" s="729"/>
      <c r="BZ1281" s="729"/>
      <c r="CA1281" s="729"/>
      <c r="CB1281" s="729"/>
      <c r="CC1281" s="729"/>
      <c r="CD1281" s="729"/>
      <c r="CE1281" s="729"/>
      <c r="CF1281" s="729"/>
      <c r="CG1281" s="729"/>
      <c r="CH1281" s="717"/>
      <c r="CI1281" s="717"/>
      <c r="CJ1281" s="717"/>
      <c r="CK1281" s="717"/>
      <c r="CL1281" s="717"/>
      <c r="CM1281" s="729"/>
      <c r="CN1281" s="729"/>
      <c r="CO1281" s="729"/>
      <c r="CP1281" s="717"/>
      <c r="CQ1281" s="717"/>
      <c r="CR1281" s="717"/>
      <c r="CS1281" s="717"/>
      <c r="CT1281" s="717"/>
      <c r="CU1281" s="717"/>
    </row>
    <row r="1282" s="1267" customFormat="1" ht="31" customHeight="1" spans="1:100">
      <c r="A1282" s="608">
        <v>46170</v>
      </c>
      <c r="B1282" s="609" t="s">
        <v>1031</v>
      </c>
      <c r="C1282" s="610" t="s">
        <v>399</v>
      </c>
      <c r="D1282" s="554" t="s">
        <v>4985</v>
      </c>
      <c r="E1282" s="610" t="s">
        <v>3846</v>
      </c>
      <c r="F1282" s="554" t="s">
        <v>4986</v>
      </c>
      <c r="G1282" s="610" t="s">
        <v>518</v>
      </c>
      <c r="H1282" s="610" t="s">
        <v>477</v>
      </c>
      <c r="I1282" s="715">
        <v>216</v>
      </c>
      <c r="J1282" s="610">
        <v>0</v>
      </c>
      <c r="K1282" s="610">
        <v>6</v>
      </c>
      <c r="L1282" s="611">
        <f t="shared" ref="L1282:L1300" si="410">I1282/K1282</f>
        <v>36</v>
      </c>
      <c r="M1282" s="612">
        <v>46223</v>
      </c>
      <c r="N1282" s="612">
        <v>46219</v>
      </c>
      <c r="O1282" s="613"/>
      <c r="P1282" s="610" t="s">
        <v>113</v>
      </c>
      <c r="Q1282" s="614"/>
      <c r="R1282" s="614">
        <v>46190</v>
      </c>
      <c r="S1282" s="614" t="s">
        <v>70</v>
      </c>
      <c r="T1282" s="614" t="s">
        <v>4987</v>
      </c>
      <c r="U1282" s="614"/>
      <c r="V1282" s="614"/>
      <c r="W1282" s="609"/>
      <c r="X1282" s="738" t="s">
        <v>4988</v>
      </c>
      <c r="Y1282" s="616" t="s">
        <v>445</v>
      </c>
      <c r="Z1282" s="625">
        <v>7.3574</v>
      </c>
      <c r="AA1282" s="616">
        <f t="shared" si="403"/>
        <v>1589.1984</v>
      </c>
      <c r="AB1282" s="554"/>
      <c r="AC1282" s="617"/>
      <c r="AD1282" s="610" t="s">
        <v>480</v>
      </c>
      <c r="AE1282" s="610" t="s">
        <v>82</v>
      </c>
      <c r="AF1282" s="610"/>
      <c r="AG1282" s="610"/>
      <c r="AH1282" s="610"/>
      <c r="AI1282" s="609"/>
      <c r="AJ1282" s="613">
        <f>-I1282</f>
        <v>-216</v>
      </c>
      <c r="AK1282" s="610"/>
      <c r="AL1282" s="610"/>
      <c r="AM1282" s="554"/>
      <c r="AN1282" s="554">
        <f t="shared" si="404"/>
        <v>216</v>
      </c>
      <c r="AO1282" s="554"/>
      <c r="AP1282" s="554"/>
      <c r="AQ1282" s="554"/>
      <c r="AR1282" s="554"/>
      <c r="AS1282" s="554">
        <f>I1282</f>
        <v>216</v>
      </c>
      <c r="AT1282" s="554"/>
      <c r="AU1282" s="554">
        <f t="shared" si="409"/>
        <v>216</v>
      </c>
      <c r="AV1282" s="554"/>
      <c r="AW1282" s="554">
        <f t="shared" si="407"/>
        <v>216</v>
      </c>
      <c r="AX1282" s="714"/>
      <c r="AY1282" s="554"/>
      <c r="AZ1282" s="554"/>
      <c r="BA1282" s="554"/>
      <c r="BB1282" s="554"/>
      <c r="BC1282" s="554"/>
      <c r="BD1282" s="554"/>
      <c r="BE1282" s="554"/>
      <c r="BF1282" s="554"/>
      <c r="BG1282" s="554"/>
      <c r="BH1282" s="554"/>
      <c r="BI1282" s="554"/>
      <c r="BJ1282" s="554"/>
      <c r="BK1282" s="554"/>
      <c r="BL1282" s="554"/>
      <c r="BM1282" s="554"/>
      <c r="BN1282" s="554">
        <f>I1282</f>
        <v>216</v>
      </c>
      <c r="BO1282" s="554"/>
      <c r="BP1282" s="554"/>
      <c r="BQ1282" s="554"/>
      <c r="BR1282" s="554"/>
      <c r="BS1282" s="554"/>
      <c r="BT1282" s="554"/>
      <c r="BU1282" s="554"/>
      <c r="BV1282" s="554"/>
      <c r="BW1282" s="554"/>
      <c r="BX1282" s="554"/>
      <c r="BY1282" s="554"/>
      <c r="BZ1282" s="554"/>
      <c r="CA1282" s="554"/>
      <c r="CB1282" s="554"/>
      <c r="CC1282" s="554"/>
      <c r="CD1282" s="554"/>
      <c r="CE1282" s="554"/>
      <c r="CF1282" s="554"/>
      <c r="CG1282" s="554"/>
      <c r="CH1282" s="619"/>
      <c r="CI1282" s="619"/>
      <c r="CJ1282" s="619"/>
      <c r="CK1282" s="619"/>
      <c r="CL1282" s="619"/>
      <c r="CM1282" s="554"/>
      <c r="CN1282" s="554"/>
      <c r="CO1282" s="554"/>
      <c r="CP1282" s="619"/>
      <c r="CQ1282" s="619"/>
      <c r="CR1282" s="619"/>
      <c r="CS1282" s="619"/>
      <c r="CT1282" s="619"/>
      <c r="CU1282" s="619"/>
      <c r="CV1282" s="1325"/>
    </row>
    <row r="1283" s="1267" customFormat="1" ht="31" customHeight="1" spans="1:100">
      <c r="A1283" s="608">
        <v>46132</v>
      </c>
      <c r="B1283" s="609" t="s">
        <v>1004</v>
      </c>
      <c r="C1283" s="610" t="s">
        <v>98</v>
      </c>
      <c r="D1283" s="554" t="s">
        <v>4989</v>
      </c>
      <c r="E1283" s="610" t="s">
        <v>4990</v>
      </c>
      <c r="F1283" s="554" t="s">
        <v>4991</v>
      </c>
      <c r="G1283" s="610" t="s">
        <v>101</v>
      </c>
      <c r="H1283" s="610" t="s">
        <v>102</v>
      </c>
      <c r="I1283" s="715">
        <v>500</v>
      </c>
      <c r="J1283" s="610">
        <v>0</v>
      </c>
      <c r="K1283" s="610">
        <v>4</v>
      </c>
      <c r="L1283" s="611">
        <f t="shared" si="410"/>
        <v>125</v>
      </c>
      <c r="M1283" s="612">
        <v>46227</v>
      </c>
      <c r="N1283" s="612">
        <v>46223</v>
      </c>
      <c r="O1283" s="613"/>
      <c r="P1283" s="610" t="s">
        <v>113</v>
      </c>
      <c r="Q1283" s="614"/>
      <c r="R1283" s="614">
        <v>46160</v>
      </c>
      <c r="S1283" s="614" t="s">
        <v>70</v>
      </c>
      <c r="T1283" s="614" t="s">
        <v>70</v>
      </c>
      <c r="U1283" s="614"/>
      <c r="V1283" s="614"/>
      <c r="W1283" s="609"/>
      <c r="X1283" s="609" t="s">
        <v>4992</v>
      </c>
      <c r="Y1283" s="616" t="s">
        <v>311</v>
      </c>
      <c r="Z1283" s="625">
        <v>2.6419</v>
      </c>
      <c r="AA1283" s="616">
        <f t="shared" si="403"/>
        <v>1320.95</v>
      </c>
      <c r="AB1283" s="554"/>
      <c r="AC1283" s="629" t="s">
        <v>4993</v>
      </c>
      <c r="AD1283" s="610" t="s">
        <v>101</v>
      </c>
      <c r="AE1283" s="610" t="s">
        <v>82</v>
      </c>
      <c r="AF1283" s="610"/>
      <c r="AG1283" s="610"/>
      <c r="AH1283" s="610"/>
      <c r="AI1283" s="609">
        <v>500</v>
      </c>
      <c r="AJ1283" s="613">
        <f>AI1283-I1283</f>
        <v>0</v>
      </c>
      <c r="AK1283" s="610"/>
      <c r="AL1283" s="610"/>
      <c r="AM1283" s="554"/>
      <c r="AN1283" s="554">
        <f t="shared" si="404"/>
        <v>500</v>
      </c>
      <c r="AO1283" s="554"/>
      <c r="AP1283" s="554"/>
      <c r="AQ1283" s="554"/>
      <c r="AR1283" s="554">
        <f>I1283</f>
        <v>500</v>
      </c>
      <c r="AS1283" s="554"/>
      <c r="AT1283" s="554"/>
      <c r="AU1283" s="554">
        <f t="shared" si="409"/>
        <v>500</v>
      </c>
      <c r="AV1283" s="554"/>
      <c r="AW1283" s="554">
        <f t="shared" si="407"/>
        <v>500</v>
      </c>
      <c r="AX1283" s="714"/>
      <c r="AY1283" s="554"/>
      <c r="AZ1283" s="554"/>
      <c r="BA1283" s="554"/>
      <c r="BB1283" s="554"/>
      <c r="BC1283" s="554"/>
      <c r="BD1283" s="554"/>
      <c r="BE1283" s="554"/>
      <c r="BF1283" s="554"/>
      <c r="BG1283" s="554"/>
      <c r="BH1283" s="554">
        <f>I1283/4</f>
        <v>125</v>
      </c>
      <c r="BI1283" s="554"/>
      <c r="BJ1283" s="554"/>
      <c r="BK1283" s="554"/>
      <c r="BL1283" s="554"/>
      <c r="BM1283" s="554"/>
      <c r="BN1283" s="554"/>
      <c r="BO1283" s="554"/>
      <c r="BP1283" s="554"/>
      <c r="BQ1283" s="554"/>
      <c r="BR1283" s="554"/>
      <c r="BS1283" s="554"/>
      <c r="BT1283" s="554"/>
      <c r="BU1283" s="554"/>
      <c r="BV1283" s="554"/>
      <c r="BW1283" s="554"/>
      <c r="BX1283" s="554"/>
      <c r="BY1283" s="554"/>
      <c r="BZ1283" s="554"/>
      <c r="CA1283" s="554"/>
      <c r="CB1283" s="554"/>
      <c r="CC1283" s="554"/>
      <c r="CD1283" s="554"/>
      <c r="CE1283" s="554"/>
      <c r="CF1283" s="554"/>
      <c r="CG1283" s="554"/>
      <c r="CH1283" s="619"/>
      <c r="CI1283" s="619"/>
      <c r="CJ1283" s="619"/>
      <c r="CK1283" s="619"/>
      <c r="CL1283" s="619"/>
      <c r="CM1283" s="554"/>
      <c r="CN1283" s="554"/>
      <c r="CO1283" s="554"/>
      <c r="CP1283" s="619"/>
      <c r="CQ1283" s="619"/>
      <c r="CR1283" s="619"/>
      <c r="CS1283" s="619"/>
      <c r="CT1283" s="619"/>
      <c r="CU1283" s="619"/>
    </row>
    <row r="1284" s="1267" customFormat="1" ht="31" customHeight="1" spans="1:100">
      <c r="A1284" s="608">
        <v>46185</v>
      </c>
      <c r="B1284" s="609" t="s">
        <v>4994</v>
      </c>
      <c r="C1284" s="610" t="s">
        <v>302</v>
      </c>
      <c r="D1284" s="554" t="s">
        <v>4995</v>
      </c>
      <c r="E1284" s="610"/>
      <c r="F1284" s="554" t="s">
        <v>4996</v>
      </c>
      <c r="G1284" s="610" t="s">
        <v>111</v>
      </c>
      <c r="H1284" s="610" t="s">
        <v>112</v>
      </c>
      <c r="I1284" s="715">
        <v>128</v>
      </c>
      <c r="J1284" s="610">
        <v>0</v>
      </c>
      <c r="K1284" s="610">
        <v>16</v>
      </c>
      <c r="L1284" s="611">
        <f t="shared" si="410"/>
        <v>8</v>
      </c>
      <c r="M1284" s="612">
        <v>46227</v>
      </c>
      <c r="N1284" s="612">
        <v>46223</v>
      </c>
      <c r="O1284" s="613"/>
      <c r="P1284" s="610" t="s">
        <v>113</v>
      </c>
      <c r="Q1284" s="614"/>
      <c r="R1284" s="614">
        <v>46185</v>
      </c>
      <c r="S1284" s="614" t="s">
        <v>70</v>
      </c>
      <c r="T1284" s="614" t="s">
        <v>70</v>
      </c>
      <c r="U1284" s="614"/>
      <c r="V1284" s="614"/>
      <c r="W1284" s="609" t="s">
        <v>4997</v>
      </c>
      <c r="X1284" s="609" t="s">
        <v>4998</v>
      </c>
      <c r="Y1284" s="616" t="s">
        <v>4937</v>
      </c>
      <c r="Z1284" s="625">
        <v>4.47</v>
      </c>
      <c r="AA1284" s="616">
        <f t="shared" si="403"/>
        <v>572.16</v>
      </c>
      <c r="AB1284" s="554"/>
      <c r="AC1284" s="617"/>
      <c r="AD1284" s="610" t="s">
        <v>447</v>
      </c>
      <c r="AE1284" s="610" t="s">
        <v>82</v>
      </c>
      <c r="AF1284" s="610"/>
      <c r="AG1284" s="610"/>
      <c r="AH1284" s="610"/>
      <c r="AI1284" s="609">
        <v>128</v>
      </c>
      <c r="AJ1284" s="613">
        <f>AI1284-I1284</f>
        <v>0</v>
      </c>
      <c r="AK1284" s="610"/>
      <c r="AL1284" s="610"/>
      <c r="AM1284" s="554"/>
      <c r="AN1284" s="554">
        <f t="shared" si="404"/>
        <v>128</v>
      </c>
      <c r="AO1284" s="554"/>
      <c r="AP1284" s="554"/>
      <c r="AQ1284" s="554"/>
      <c r="AR1284" s="554"/>
      <c r="AS1284" s="554">
        <f>I1284</f>
        <v>128</v>
      </c>
      <c r="AT1284" s="554"/>
      <c r="AU1284" s="554">
        <f t="shared" si="409"/>
        <v>128</v>
      </c>
      <c r="AV1284" s="554"/>
      <c r="AW1284" s="554">
        <f t="shared" si="407"/>
        <v>128</v>
      </c>
      <c r="AX1284" s="714"/>
      <c r="AY1284" s="554"/>
      <c r="AZ1284" s="554"/>
      <c r="BA1284" s="554"/>
      <c r="BB1284" s="554"/>
      <c r="BC1284" s="554"/>
      <c r="BD1284" s="554"/>
      <c r="BE1284" s="554"/>
      <c r="BF1284" s="554"/>
      <c r="BG1284" s="554"/>
      <c r="BH1284" s="554"/>
      <c r="BI1284" s="554">
        <f>I1284/4</f>
        <v>32</v>
      </c>
      <c r="BJ1284" s="554"/>
      <c r="BK1284" s="554"/>
      <c r="BL1284" s="554"/>
      <c r="BM1284" s="554"/>
      <c r="BN1284" s="554"/>
      <c r="BO1284" s="554"/>
      <c r="BP1284" s="554"/>
      <c r="BQ1284" s="554"/>
      <c r="BR1284" s="554"/>
      <c r="BS1284" s="554"/>
      <c r="BT1284" s="554"/>
      <c r="BU1284" s="554"/>
      <c r="BV1284" s="554"/>
      <c r="BW1284" s="554"/>
      <c r="BX1284" s="554"/>
      <c r="BY1284" s="554"/>
      <c r="BZ1284" s="554"/>
      <c r="CA1284" s="554"/>
      <c r="CB1284" s="554"/>
      <c r="CC1284" s="554"/>
      <c r="CD1284" s="554"/>
      <c r="CE1284" s="554"/>
      <c r="CF1284" s="554"/>
      <c r="CG1284" s="554"/>
      <c r="CH1284" s="619"/>
      <c r="CI1284" s="619"/>
      <c r="CJ1284" s="619"/>
      <c r="CK1284" s="619"/>
      <c r="CL1284" s="619"/>
      <c r="CM1284" s="554"/>
      <c r="CN1284" s="554"/>
      <c r="CO1284" s="554"/>
      <c r="CP1284" s="619"/>
      <c r="CQ1284" s="619"/>
      <c r="CR1284" s="619"/>
      <c r="CS1284" s="619"/>
      <c r="CT1284" s="619"/>
      <c r="CU1284" s="619"/>
    </row>
    <row r="1285" s="1267" customFormat="1" ht="31" customHeight="1" spans="1:100">
      <c r="A1285" s="608">
        <v>46171</v>
      </c>
      <c r="B1285" s="609" t="s">
        <v>4371</v>
      </c>
      <c r="C1285" s="610" t="s">
        <v>98</v>
      </c>
      <c r="D1285" s="554" t="s">
        <v>4999</v>
      </c>
      <c r="E1285" s="610" t="s">
        <v>5000</v>
      </c>
      <c r="F1285" s="554" t="s">
        <v>5001</v>
      </c>
      <c r="G1285" s="610" t="s">
        <v>5002</v>
      </c>
      <c r="H1285" s="610" t="s">
        <v>5003</v>
      </c>
      <c r="I1285" s="715">
        <v>432</v>
      </c>
      <c r="J1285" s="610">
        <v>0</v>
      </c>
      <c r="K1285" s="610">
        <v>24</v>
      </c>
      <c r="L1285" s="611">
        <f t="shared" si="410"/>
        <v>18</v>
      </c>
      <c r="M1285" s="612">
        <v>46217</v>
      </c>
      <c r="N1285" s="612">
        <v>46213</v>
      </c>
      <c r="O1285" s="613" t="s">
        <v>5004</v>
      </c>
      <c r="P1285" s="610" t="s">
        <v>113</v>
      </c>
      <c r="Q1285" s="614">
        <v>46224</v>
      </c>
      <c r="R1285" s="614">
        <v>46162</v>
      </c>
      <c r="S1285" s="614" t="s">
        <v>70</v>
      </c>
      <c r="T1285" s="614" t="s">
        <v>5005</v>
      </c>
      <c r="U1285" s="614"/>
      <c r="V1285" s="614"/>
      <c r="W1285" s="609" t="s">
        <v>5006</v>
      </c>
      <c r="X1285" s="609" t="s">
        <v>5007</v>
      </c>
      <c r="Y1285" s="616" t="s">
        <v>4378</v>
      </c>
      <c r="Z1285" s="625">
        <v>120.6056</v>
      </c>
      <c r="AA1285" s="616">
        <f>Z1285*L1285</f>
        <v>2170.9008</v>
      </c>
      <c r="AB1285" s="554"/>
      <c r="AC1285" s="617"/>
      <c r="AD1285" s="555" t="s">
        <v>5008</v>
      </c>
      <c r="AE1285" s="610" t="s">
        <v>82</v>
      </c>
      <c r="AF1285" s="610"/>
      <c r="AG1285" s="610"/>
      <c r="AH1285" s="610"/>
      <c r="AI1285" s="609"/>
      <c r="AJ1285" s="613">
        <f>AI1285-I1285</f>
        <v>-432</v>
      </c>
      <c r="AK1285" s="610"/>
      <c r="AL1285" s="610"/>
      <c r="AM1285" s="554"/>
      <c r="AN1285" s="554">
        <f t="shared" si="404"/>
        <v>432</v>
      </c>
      <c r="AO1285" s="554"/>
      <c r="AP1285" s="554"/>
      <c r="AQ1285" s="554"/>
      <c r="AR1285" s="554">
        <f>I1285</f>
        <v>432</v>
      </c>
      <c r="AS1285" s="554"/>
      <c r="AT1285" s="554"/>
      <c r="AU1285" s="554">
        <f t="shared" si="409"/>
        <v>432</v>
      </c>
      <c r="AV1285" s="554"/>
      <c r="AW1285" s="554">
        <f t="shared" si="407"/>
        <v>432</v>
      </c>
      <c r="AX1285" s="714"/>
      <c r="AY1285" s="554"/>
      <c r="AZ1285" s="554"/>
      <c r="BA1285" s="554"/>
      <c r="BB1285" s="554"/>
      <c r="BC1285" s="554"/>
      <c r="BD1285" s="554"/>
      <c r="BE1285" s="554"/>
      <c r="BF1285" s="554"/>
      <c r="BG1285" s="554"/>
      <c r="BH1285" s="554"/>
      <c r="BI1285" s="554"/>
      <c r="BJ1285" s="554"/>
      <c r="BK1285" s="554"/>
      <c r="BL1285" s="554"/>
      <c r="BM1285" s="554">
        <f>I1285</f>
        <v>432</v>
      </c>
      <c r="BN1285" s="554"/>
      <c r="BO1285" s="554"/>
      <c r="BP1285" s="554"/>
      <c r="BQ1285" s="554"/>
      <c r="BR1285" s="554"/>
      <c r="BS1285" s="554"/>
      <c r="BT1285" s="554"/>
      <c r="BU1285" s="554"/>
      <c r="BV1285" s="554"/>
      <c r="BW1285" s="554"/>
      <c r="BX1285" s="554"/>
      <c r="BY1285" s="554"/>
      <c r="BZ1285" s="554"/>
      <c r="CA1285" s="554"/>
      <c r="CB1285" s="554"/>
      <c r="CC1285" s="554"/>
      <c r="CD1285" s="554"/>
      <c r="CE1285" s="554"/>
      <c r="CF1285" s="554"/>
      <c r="CG1285" s="554"/>
      <c r="CH1285" s="619"/>
      <c r="CI1285" s="619"/>
      <c r="CJ1285" s="619"/>
      <c r="CK1285" s="619"/>
      <c r="CL1285" s="619"/>
      <c r="CM1285" s="554"/>
      <c r="CN1285" s="554"/>
      <c r="CO1285" s="554"/>
      <c r="CP1285" s="619"/>
      <c r="CQ1285" s="619"/>
      <c r="CR1285" s="619"/>
      <c r="CS1285" s="619"/>
      <c r="CT1285" s="619"/>
      <c r="CU1285" s="619"/>
    </row>
    <row r="1286" s="1267" customFormat="1" ht="31" customHeight="1" spans="1:100">
      <c r="A1286" s="608">
        <v>46182</v>
      </c>
      <c r="B1286" s="609" t="s">
        <v>841</v>
      </c>
      <c r="C1286" s="610" t="s">
        <v>399</v>
      </c>
      <c r="D1286" s="554" t="s">
        <v>5009</v>
      </c>
      <c r="E1286" s="731" t="s">
        <v>5010</v>
      </c>
      <c r="F1286" s="554" t="s">
        <v>5011</v>
      </c>
      <c r="G1286" s="610" t="s">
        <v>518</v>
      </c>
      <c r="H1286" s="610" t="s">
        <v>477</v>
      </c>
      <c r="I1286" s="715">
        <v>6522</v>
      </c>
      <c r="J1286" s="610">
        <v>0</v>
      </c>
      <c r="K1286" s="610">
        <v>6</v>
      </c>
      <c r="L1286" s="611">
        <f t="shared" si="410"/>
        <v>1087</v>
      </c>
      <c r="M1286" s="612">
        <v>46223</v>
      </c>
      <c r="N1286" s="724">
        <v>46230</v>
      </c>
      <c r="O1286" s="613"/>
      <c r="P1286" s="613" t="s">
        <v>113</v>
      </c>
      <c r="Q1286" s="614">
        <v>46238</v>
      </c>
      <c r="R1286" s="614">
        <v>46204</v>
      </c>
      <c r="S1286" s="614" t="s">
        <v>70</v>
      </c>
      <c r="T1286" s="614" t="s">
        <v>5012</v>
      </c>
      <c r="U1286" s="614"/>
      <c r="V1286" s="614"/>
      <c r="W1286" s="609" t="s">
        <v>5013</v>
      </c>
      <c r="X1286" s="738" t="s">
        <v>5014</v>
      </c>
      <c r="Y1286" s="616" t="s">
        <v>445</v>
      </c>
      <c r="Z1286" s="625">
        <v>6.9324</v>
      </c>
      <c r="AA1286" s="616">
        <f>Z1286*I1286</f>
        <v>45213.1128</v>
      </c>
      <c r="AB1286" s="609"/>
      <c r="AC1286" s="617"/>
      <c r="AD1286" s="610" t="s">
        <v>480</v>
      </c>
      <c r="AE1286" s="610" t="s">
        <v>82</v>
      </c>
      <c r="AF1286" s="610"/>
      <c r="AG1286" s="610"/>
      <c r="AH1286" s="610"/>
      <c r="AI1286" s="609"/>
      <c r="AJ1286" s="613">
        <f>-I1286</f>
        <v>-6522</v>
      </c>
      <c r="AK1286" s="610"/>
      <c r="AL1286" s="610"/>
      <c r="AM1286" s="554"/>
      <c r="AN1286" s="554">
        <f t="shared" si="404"/>
        <v>6522</v>
      </c>
      <c r="AO1286" s="554"/>
      <c r="AP1286" s="554"/>
      <c r="AQ1286" s="554"/>
      <c r="AR1286" s="554"/>
      <c r="AS1286" s="554">
        <f>I1286</f>
        <v>6522</v>
      </c>
      <c r="AT1286" s="554"/>
      <c r="AU1286" s="554">
        <f t="shared" si="409"/>
        <v>6522</v>
      </c>
      <c r="AV1286" s="554"/>
      <c r="AW1286" s="554">
        <f t="shared" si="407"/>
        <v>6522</v>
      </c>
      <c r="AX1286" s="714"/>
      <c r="AY1286" s="554"/>
      <c r="AZ1286" s="554"/>
      <c r="BA1286" s="554"/>
      <c r="BB1286" s="554"/>
      <c r="BC1286" s="554"/>
      <c r="BD1286" s="554"/>
      <c r="BE1286" s="554"/>
      <c r="BF1286" s="554"/>
      <c r="BG1286" s="554"/>
      <c r="BH1286" s="554"/>
      <c r="BI1286" s="554"/>
      <c r="BJ1286" s="554"/>
      <c r="BK1286" s="554"/>
      <c r="BL1286" s="554"/>
      <c r="BM1286" s="554"/>
      <c r="BN1286" s="554">
        <f>I1286</f>
        <v>6522</v>
      </c>
      <c r="BO1286" s="554"/>
      <c r="BP1286" s="554"/>
      <c r="BQ1286" s="554"/>
      <c r="BR1286" s="554"/>
      <c r="BS1286" s="554"/>
      <c r="BT1286" s="554"/>
      <c r="BU1286" s="554"/>
      <c r="BV1286" s="554"/>
      <c r="BW1286" s="554"/>
      <c r="BX1286" s="554"/>
      <c r="BY1286" s="554"/>
      <c r="BZ1286" s="554"/>
      <c r="CA1286" s="554"/>
      <c r="CB1286" s="554"/>
      <c r="CC1286" s="554"/>
      <c r="CD1286" s="554"/>
      <c r="CE1286" s="554"/>
      <c r="CF1286" s="554"/>
      <c r="CG1286" s="554"/>
      <c r="CH1286" s="619"/>
      <c r="CI1286" s="619"/>
      <c r="CJ1286" s="619"/>
      <c r="CK1286" s="619"/>
      <c r="CL1286" s="619"/>
      <c r="CM1286" s="554"/>
      <c r="CN1286" s="554"/>
      <c r="CO1286" s="554"/>
      <c r="CP1286" s="619"/>
      <c r="CQ1286" s="619"/>
      <c r="CR1286" s="619"/>
      <c r="CS1286" s="619"/>
      <c r="CT1286" s="619"/>
      <c r="CU1286" s="619"/>
    </row>
    <row r="1287" s="1267" customFormat="1" ht="31" customHeight="1" spans="1:100">
      <c r="A1287" s="608">
        <v>46174</v>
      </c>
      <c r="B1287" s="609" t="s">
        <v>580</v>
      </c>
      <c r="C1287" s="610" t="s">
        <v>302</v>
      </c>
      <c r="D1287" s="554" t="s">
        <v>5015</v>
      </c>
      <c r="E1287" s="610" t="s">
        <v>5016</v>
      </c>
      <c r="F1287" s="554" t="s">
        <v>5017</v>
      </c>
      <c r="G1287" s="610" t="s">
        <v>518</v>
      </c>
      <c r="H1287" s="610" t="s">
        <v>477</v>
      </c>
      <c r="I1287" s="715">
        <v>1938</v>
      </c>
      <c r="J1287" s="610">
        <v>0</v>
      </c>
      <c r="K1287" s="610">
        <v>6</v>
      </c>
      <c r="L1287" s="611">
        <f t="shared" si="410"/>
        <v>323</v>
      </c>
      <c r="M1287" s="612">
        <v>46218</v>
      </c>
      <c r="N1287" s="612">
        <v>46214</v>
      </c>
      <c r="O1287" s="613" t="s">
        <v>3317</v>
      </c>
      <c r="P1287" s="610" t="s">
        <v>113</v>
      </c>
      <c r="Q1287" s="614"/>
      <c r="R1287" s="614">
        <v>46174</v>
      </c>
      <c r="S1287" s="614" t="s">
        <v>70</v>
      </c>
      <c r="T1287" s="614" t="s">
        <v>4775</v>
      </c>
      <c r="U1287" s="614"/>
      <c r="V1287" s="614" t="s">
        <v>4776</v>
      </c>
      <c r="W1287" s="609" t="s">
        <v>5018</v>
      </c>
      <c r="X1287" s="609" t="s">
        <v>5019</v>
      </c>
      <c r="Y1287" s="616" t="s">
        <v>415</v>
      </c>
      <c r="Z1287" s="625">
        <v>7.0192</v>
      </c>
      <c r="AA1287" s="616">
        <f>Z1287*I1287</f>
        <v>13603.2096</v>
      </c>
      <c r="AB1287" s="554"/>
      <c r="AC1287" s="617"/>
      <c r="AD1287" s="610" t="s">
        <v>480</v>
      </c>
      <c r="AE1287" s="610" t="s">
        <v>82</v>
      </c>
      <c r="AF1287" s="610"/>
      <c r="AG1287" s="610"/>
      <c r="AH1287" s="610"/>
      <c r="AI1287" s="609"/>
      <c r="AJ1287" s="610">
        <f>AI1287-I1287</f>
        <v>-1938</v>
      </c>
      <c r="AK1287" s="610"/>
      <c r="AL1287" s="610"/>
      <c r="AM1287" s="554"/>
      <c r="AN1287" s="554">
        <f t="shared" si="404"/>
        <v>1938</v>
      </c>
      <c r="AO1287" s="554"/>
      <c r="AP1287" s="554"/>
      <c r="AQ1287" s="554"/>
      <c r="AR1287" s="554"/>
      <c r="AS1287" s="554">
        <f>I1287</f>
        <v>1938</v>
      </c>
      <c r="AT1287" s="554"/>
      <c r="AU1287" s="554">
        <f t="shared" si="409"/>
        <v>1938</v>
      </c>
      <c r="AV1287" s="554"/>
      <c r="AW1287" s="554">
        <f t="shared" si="407"/>
        <v>1938</v>
      </c>
      <c r="AX1287" s="714"/>
      <c r="AY1287" s="554"/>
      <c r="AZ1287" s="554"/>
      <c r="BA1287" s="554"/>
      <c r="BB1287" s="554"/>
      <c r="BC1287" s="554"/>
      <c r="BD1287" s="554"/>
      <c r="BE1287" s="554"/>
      <c r="BF1287" s="554"/>
      <c r="BG1287" s="554"/>
      <c r="BH1287" s="554"/>
      <c r="BI1287" s="554"/>
      <c r="BJ1287" s="554"/>
      <c r="BK1287" s="554"/>
      <c r="BL1287" s="554"/>
      <c r="BM1287" s="554"/>
      <c r="BN1287" s="554">
        <f>I1287</f>
        <v>1938</v>
      </c>
      <c r="BO1287" s="554"/>
      <c r="BP1287" s="554"/>
      <c r="BQ1287" s="554"/>
      <c r="BR1287" s="554"/>
      <c r="BS1287" s="554"/>
      <c r="BT1287" s="554"/>
      <c r="BU1287" s="554"/>
      <c r="BV1287" s="554"/>
      <c r="BW1287" s="554"/>
      <c r="BX1287" s="554"/>
      <c r="BY1287" s="554"/>
      <c r="BZ1287" s="554"/>
      <c r="CA1287" s="554"/>
      <c r="CB1287" s="554"/>
      <c r="CC1287" s="554"/>
      <c r="CD1287" s="554"/>
      <c r="CE1287" s="554"/>
      <c r="CF1287" s="554"/>
      <c r="CG1287" s="554"/>
      <c r="CH1287" s="619"/>
      <c r="CI1287" s="619"/>
      <c r="CJ1287" s="619"/>
      <c r="CK1287" s="619"/>
      <c r="CL1287" s="619"/>
      <c r="CM1287" s="554"/>
      <c r="CN1287" s="554"/>
      <c r="CO1287" s="554"/>
      <c r="CP1287" s="619"/>
      <c r="CQ1287" s="619"/>
      <c r="CR1287" s="619"/>
      <c r="CS1287" s="619"/>
      <c r="CT1287" s="619"/>
      <c r="CU1287" s="619"/>
    </row>
    <row r="1288" s="1267" customFormat="1" ht="31" customHeight="1" spans="1:100">
      <c r="A1288" s="608">
        <v>46182</v>
      </c>
      <c r="B1288" s="609" t="s">
        <v>841</v>
      </c>
      <c r="C1288" s="610" t="s">
        <v>399</v>
      </c>
      <c r="D1288" s="554" t="s">
        <v>5009</v>
      </c>
      <c r="E1288" s="731" t="s">
        <v>5010</v>
      </c>
      <c r="F1288" s="554" t="s">
        <v>5020</v>
      </c>
      <c r="G1288" s="610" t="s">
        <v>68</v>
      </c>
      <c r="H1288" s="610" t="s">
        <v>69</v>
      </c>
      <c r="I1288" s="715">
        <v>1896</v>
      </c>
      <c r="J1288" s="610">
        <v>0</v>
      </c>
      <c r="K1288" s="610">
        <v>12</v>
      </c>
      <c r="L1288" s="611">
        <f t="shared" si="410"/>
        <v>158</v>
      </c>
      <c r="M1288" s="612">
        <v>46223</v>
      </c>
      <c r="N1288" s="724">
        <v>46230</v>
      </c>
      <c r="O1288" s="613"/>
      <c r="P1288" s="613" t="s">
        <v>113</v>
      </c>
      <c r="Q1288" s="614">
        <v>46238</v>
      </c>
      <c r="R1288" s="614">
        <v>46204</v>
      </c>
      <c r="S1288" s="614" t="s">
        <v>70</v>
      </c>
      <c r="T1288" s="614" t="s">
        <v>70</v>
      </c>
      <c r="U1288" s="614"/>
      <c r="V1288" s="614"/>
      <c r="W1288" s="609" t="s">
        <v>5013</v>
      </c>
      <c r="X1288" s="738" t="s">
        <v>5021</v>
      </c>
      <c r="Y1288" s="616" t="s">
        <v>445</v>
      </c>
      <c r="Z1288" s="625">
        <v>4.3734</v>
      </c>
      <c r="AA1288" s="616">
        <f>Z1288*I1288</f>
        <v>8291.9664</v>
      </c>
      <c r="AB1288" s="609"/>
      <c r="AC1288" s="617"/>
      <c r="AD1288" s="610" t="s">
        <v>184</v>
      </c>
      <c r="AE1288" s="610" t="s">
        <v>82</v>
      </c>
      <c r="AF1288" s="610"/>
      <c r="AG1288" s="610"/>
      <c r="AH1288" s="610"/>
      <c r="AI1288" s="609">
        <v>1896</v>
      </c>
      <c r="AJ1288" s="613">
        <f>-I1288+AI1288</f>
        <v>0</v>
      </c>
      <c r="AK1288" s="610"/>
      <c r="AL1288" s="610"/>
      <c r="AM1288" s="554"/>
      <c r="AN1288" s="554">
        <f t="shared" si="404"/>
        <v>1896</v>
      </c>
      <c r="AO1288" s="554"/>
      <c r="AP1288" s="554"/>
      <c r="AQ1288" s="554"/>
      <c r="AR1288" s="554"/>
      <c r="AS1288" s="554">
        <f>I1288</f>
        <v>1896</v>
      </c>
      <c r="AT1288" s="554"/>
      <c r="AU1288" s="554">
        <f t="shared" si="409"/>
        <v>1896</v>
      </c>
      <c r="AV1288" s="554"/>
      <c r="AW1288" s="554">
        <f t="shared" si="407"/>
        <v>1896</v>
      </c>
      <c r="AX1288" s="714"/>
      <c r="AY1288" s="554"/>
      <c r="AZ1288" s="554"/>
      <c r="BA1288" s="554"/>
      <c r="BB1288" s="554"/>
      <c r="BC1288" s="554"/>
      <c r="BD1288" s="554"/>
      <c r="BE1288" s="554"/>
      <c r="BF1288" s="554"/>
      <c r="BG1288" s="554"/>
      <c r="BH1288" s="554"/>
      <c r="BI1288" s="554"/>
      <c r="BJ1288" s="554"/>
      <c r="BK1288" s="554"/>
      <c r="BL1288" s="554"/>
      <c r="BM1288" s="554"/>
      <c r="BN1288" s="554"/>
      <c r="BO1288" s="554"/>
      <c r="BP1288" s="554"/>
      <c r="BQ1288" s="554"/>
      <c r="BR1288" s="554"/>
      <c r="BS1288" s="554"/>
      <c r="BT1288" s="554"/>
      <c r="BU1288" s="554"/>
      <c r="BV1288" s="554"/>
      <c r="BW1288" s="554"/>
      <c r="BX1288" s="554"/>
      <c r="BY1288" s="554"/>
      <c r="BZ1288" s="554"/>
      <c r="CA1288" s="554"/>
      <c r="CB1288" s="554"/>
      <c r="CC1288" s="554"/>
      <c r="CD1288" s="554"/>
      <c r="CE1288" s="554"/>
      <c r="CF1288" s="554"/>
      <c r="CG1288" s="554"/>
      <c r="CH1288" s="619"/>
      <c r="CI1288" s="619"/>
      <c r="CJ1288" s="619"/>
      <c r="CK1288" s="619"/>
      <c r="CL1288" s="619"/>
      <c r="CM1288" s="554"/>
      <c r="CN1288" s="554"/>
      <c r="CO1288" s="554"/>
      <c r="CP1288" s="619"/>
      <c r="CQ1288" s="619"/>
      <c r="CR1288" s="619"/>
      <c r="CS1288" s="619"/>
      <c r="CT1288" s="619"/>
      <c r="CU1288" s="619"/>
    </row>
    <row r="1289" s="1267" customFormat="1" ht="31" customHeight="1" spans="1:100">
      <c r="A1289" s="608">
        <v>46185</v>
      </c>
      <c r="B1289" s="609" t="s">
        <v>5022</v>
      </c>
      <c r="C1289" s="610" t="s">
        <v>98</v>
      </c>
      <c r="D1289" s="554" t="s">
        <v>5023</v>
      </c>
      <c r="E1289" s="610" t="s">
        <v>5024</v>
      </c>
      <c r="F1289" s="554" t="s">
        <v>5025</v>
      </c>
      <c r="G1289" s="610" t="s">
        <v>68</v>
      </c>
      <c r="H1289" s="610" t="s">
        <v>69</v>
      </c>
      <c r="I1289" s="715">
        <v>18060</v>
      </c>
      <c r="J1289" s="610">
        <v>0</v>
      </c>
      <c r="K1289" s="610">
        <v>12</v>
      </c>
      <c r="L1289" s="611">
        <f t="shared" si="410"/>
        <v>1505</v>
      </c>
      <c r="M1289" s="612">
        <v>46227</v>
      </c>
      <c r="N1289" s="612">
        <v>46223</v>
      </c>
      <c r="O1289" s="613"/>
      <c r="P1289" s="610" t="s">
        <v>113</v>
      </c>
      <c r="Q1289" s="614">
        <v>46231</v>
      </c>
      <c r="R1289" s="614">
        <v>46196</v>
      </c>
      <c r="S1289" s="614" t="s">
        <v>104</v>
      </c>
      <c r="T1289" s="614" t="s">
        <v>5026</v>
      </c>
      <c r="U1289" s="614"/>
      <c r="V1289" s="614"/>
      <c r="W1289" s="609"/>
      <c r="X1289" s="609" t="s">
        <v>5027</v>
      </c>
      <c r="Y1289" s="616" t="s">
        <v>5028</v>
      </c>
      <c r="Z1289" s="625">
        <v>2.6173</v>
      </c>
      <c r="AA1289" s="616">
        <v>47268.438</v>
      </c>
      <c r="AB1289" s="554"/>
      <c r="AC1289" s="629" t="s">
        <v>5029</v>
      </c>
      <c r="AD1289" s="610" t="s">
        <v>68</v>
      </c>
      <c r="AE1289" s="610" t="s">
        <v>82</v>
      </c>
      <c r="AF1289" s="610"/>
      <c r="AG1289" s="610"/>
      <c r="AH1289" s="610"/>
      <c r="AI1289" s="609">
        <f>2700+15360</f>
        <v>18060</v>
      </c>
      <c r="AJ1289" s="610">
        <f t="shared" ref="AJ1289:AJ1298" si="411">AI1289-I1289</f>
        <v>0</v>
      </c>
      <c r="AK1289" s="610"/>
      <c r="AL1289" s="610" t="s">
        <v>2368</v>
      </c>
      <c r="AM1289" s="554"/>
      <c r="AN1289" s="554">
        <f t="shared" si="404"/>
        <v>18060</v>
      </c>
      <c r="AO1289" s="554"/>
      <c r="AP1289" s="554"/>
      <c r="AQ1289" s="554"/>
      <c r="AR1289" s="554">
        <f>I1289</f>
        <v>18060</v>
      </c>
      <c r="AS1289" s="554"/>
      <c r="AT1289" s="554"/>
      <c r="AU1289" s="554">
        <f t="shared" si="409"/>
        <v>18060</v>
      </c>
      <c r="AV1289" s="554"/>
      <c r="AW1289" s="554">
        <f t="shared" si="407"/>
        <v>18060</v>
      </c>
      <c r="AX1289" s="714"/>
      <c r="AY1289" s="554"/>
      <c r="AZ1289" s="554"/>
      <c r="BA1289" s="554"/>
      <c r="BB1289" s="554"/>
      <c r="BC1289" s="554"/>
      <c r="BD1289" s="554"/>
      <c r="BE1289" s="554"/>
      <c r="BF1289" s="554"/>
      <c r="BG1289" s="554"/>
      <c r="BH1289" s="554"/>
      <c r="BI1289" s="554"/>
      <c r="BJ1289" s="554"/>
      <c r="BK1289" s="554"/>
      <c r="BL1289" s="554"/>
      <c r="BM1289" s="554"/>
      <c r="BN1289" s="554"/>
      <c r="BO1289" s="554"/>
      <c r="BP1289" s="554"/>
      <c r="BQ1289" s="554"/>
      <c r="BR1289" s="554"/>
      <c r="BS1289" s="554"/>
      <c r="BT1289" s="554"/>
      <c r="BU1289" s="554"/>
      <c r="BV1289" s="554"/>
      <c r="BW1289" s="554"/>
      <c r="BX1289" s="554"/>
      <c r="BY1289" s="554"/>
      <c r="BZ1289" s="554"/>
      <c r="CA1289" s="554"/>
      <c r="CB1289" s="554"/>
      <c r="CC1289" s="554"/>
      <c r="CD1289" s="554"/>
      <c r="CE1289" s="554"/>
      <c r="CF1289" s="554"/>
      <c r="CG1289" s="554"/>
      <c r="CH1289" s="619"/>
      <c r="CI1289" s="619"/>
      <c r="CJ1289" s="619"/>
      <c r="CK1289" s="619"/>
      <c r="CL1289" s="619"/>
      <c r="CM1289" s="554"/>
      <c r="CN1289" s="554"/>
      <c r="CO1289" s="554"/>
      <c r="CP1289" s="619"/>
      <c r="CQ1289" s="619"/>
      <c r="CR1289" s="619"/>
      <c r="CS1289" s="619"/>
      <c r="CT1289" s="619"/>
      <c r="CU1289" s="619"/>
    </row>
    <row r="1290" s="1267" customFormat="1" ht="31" customHeight="1" spans="1:100">
      <c r="A1290" s="608">
        <v>46168</v>
      </c>
      <c r="B1290" s="609" t="s">
        <v>5030</v>
      </c>
      <c r="C1290" s="610" t="s">
        <v>524</v>
      </c>
      <c r="D1290" s="554" t="s">
        <v>5031</v>
      </c>
      <c r="E1290" s="610" t="s">
        <v>5032</v>
      </c>
      <c r="F1290" s="554" t="s">
        <v>5033</v>
      </c>
      <c r="G1290" s="610" t="s">
        <v>68</v>
      </c>
      <c r="H1290" s="610" t="s">
        <v>69</v>
      </c>
      <c r="I1290" s="715">
        <v>600</v>
      </c>
      <c r="J1290" s="610">
        <v>0</v>
      </c>
      <c r="K1290" s="610">
        <v>12</v>
      </c>
      <c r="L1290" s="611">
        <f t="shared" si="410"/>
        <v>50</v>
      </c>
      <c r="M1290" s="612">
        <v>46220</v>
      </c>
      <c r="N1290" s="724">
        <v>46223</v>
      </c>
      <c r="O1290" s="737" t="s">
        <v>5034</v>
      </c>
      <c r="P1290" s="610" t="s">
        <v>113</v>
      </c>
      <c r="Q1290" s="614"/>
      <c r="R1290" s="614">
        <v>46184</v>
      </c>
      <c r="S1290" s="614" t="s">
        <v>70</v>
      </c>
      <c r="T1290" s="614" t="s">
        <v>5035</v>
      </c>
      <c r="U1290" s="614"/>
      <c r="V1290" s="614"/>
      <c r="W1290" s="609"/>
      <c r="X1290" s="609" t="s">
        <v>5036</v>
      </c>
      <c r="Y1290" s="616" t="s">
        <v>340</v>
      </c>
      <c r="Z1290" s="625">
        <v>4.3734</v>
      </c>
      <c r="AA1290" s="616">
        <f t="shared" ref="AA1290:AA1298" si="412">Z1290*I1290</f>
        <v>2624.04</v>
      </c>
      <c r="AB1290" s="554"/>
      <c r="AC1290" s="617"/>
      <c r="AD1290" s="610" t="s">
        <v>184</v>
      </c>
      <c r="AE1290" s="610" t="s">
        <v>82</v>
      </c>
      <c r="AF1290" s="610"/>
      <c r="AG1290" s="610"/>
      <c r="AH1290" s="610"/>
      <c r="AI1290" s="609">
        <v>600</v>
      </c>
      <c r="AJ1290" s="610">
        <f t="shared" si="411"/>
        <v>0</v>
      </c>
      <c r="AK1290" s="610"/>
      <c r="AL1290" s="610" t="s">
        <v>2368</v>
      </c>
      <c r="AM1290" s="554"/>
      <c r="AN1290" s="554">
        <f t="shared" si="404"/>
        <v>600</v>
      </c>
      <c r="AO1290" s="554"/>
      <c r="AP1290" s="554"/>
      <c r="AQ1290" s="554"/>
      <c r="AR1290" s="554"/>
      <c r="AS1290" s="554">
        <f>I1290</f>
        <v>600</v>
      </c>
      <c r="AT1290" s="554"/>
      <c r="AU1290" s="554">
        <f t="shared" si="409"/>
        <v>600</v>
      </c>
      <c r="AV1290" s="554"/>
      <c r="AW1290" s="554">
        <f t="shared" si="407"/>
        <v>600</v>
      </c>
      <c r="AX1290" s="714"/>
      <c r="AY1290" s="554"/>
      <c r="AZ1290" s="554"/>
      <c r="BA1290" s="554"/>
      <c r="BB1290" s="554"/>
      <c r="BC1290" s="554"/>
      <c r="BD1290" s="554"/>
      <c r="BE1290" s="554"/>
      <c r="BF1290" s="554"/>
      <c r="BG1290" s="554"/>
      <c r="BH1290" s="554"/>
      <c r="BI1290" s="554"/>
      <c r="BJ1290" s="554"/>
      <c r="BK1290" s="554"/>
      <c r="BL1290" s="554"/>
      <c r="BM1290" s="554"/>
      <c r="BN1290" s="554"/>
      <c r="BO1290" s="554"/>
      <c r="BP1290" s="554"/>
      <c r="BQ1290" s="554"/>
      <c r="BR1290" s="554"/>
      <c r="BS1290" s="554"/>
      <c r="BT1290" s="554"/>
      <c r="BU1290" s="554"/>
      <c r="BV1290" s="554"/>
      <c r="BW1290" s="554"/>
      <c r="BX1290" s="554"/>
      <c r="BY1290" s="554"/>
      <c r="BZ1290" s="554"/>
      <c r="CA1290" s="554"/>
      <c r="CB1290" s="554"/>
      <c r="CC1290" s="554"/>
      <c r="CD1290" s="554"/>
      <c r="CE1290" s="554"/>
      <c r="CF1290" s="554"/>
      <c r="CG1290" s="554"/>
      <c r="CH1290" s="619"/>
      <c r="CI1290" s="619"/>
      <c r="CJ1290" s="619"/>
      <c r="CK1290" s="619"/>
      <c r="CL1290" s="619"/>
      <c r="CM1290" s="554"/>
      <c r="CN1290" s="554"/>
      <c r="CO1290" s="554"/>
      <c r="CP1290" s="619"/>
      <c r="CQ1290" s="619"/>
      <c r="CR1290" s="619"/>
      <c r="CS1290" s="619"/>
      <c r="CT1290" s="619"/>
      <c r="CU1290" s="619"/>
    </row>
    <row r="1291" s="1267" customFormat="1" ht="31" customHeight="1" spans="1:100">
      <c r="A1291" s="608">
        <v>46168</v>
      </c>
      <c r="B1291" s="609" t="s">
        <v>5037</v>
      </c>
      <c r="C1291" s="610" t="s">
        <v>98</v>
      </c>
      <c r="D1291" s="554" t="s">
        <v>5038</v>
      </c>
      <c r="E1291" s="610" t="s">
        <v>5039</v>
      </c>
      <c r="F1291" s="554" t="s">
        <v>5040</v>
      </c>
      <c r="G1291" s="610" t="s">
        <v>111</v>
      </c>
      <c r="H1291" s="610" t="s">
        <v>112</v>
      </c>
      <c r="I1291" s="768">
        <v>528</v>
      </c>
      <c r="J1291" s="610">
        <v>0</v>
      </c>
      <c r="K1291" s="610">
        <v>16</v>
      </c>
      <c r="L1291" s="611">
        <f t="shared" si="410"/>
        <v>33</v>
      </c>
      <c r="M1291" s="724">
        <v>46225</v>
      </c>
      <c r="N1291" s="724">
        <v>46221</v>
      </c>
      <c r="O1291" s="613"/>
      <c r="P1291" s="610" t="s">
        <v>113</v>
      </c>
      <c r="Q1291" s="614">
        <v>46226</v>
      </c>
      <c r="R1291" s="614">
        <v>46168</v>
      </c>
      <c r="S1291" s="614" t="s">
        <v>104</v>
      </c>
      <c r="T1291" s="614" t="s">
        <v>5041</v>
      </c>
      <c r="U1291" s="614"/>
      <c r="V1291" s="614"/>
      <c r="W1291" s="609"/>
      <c r="X1291" s="609" t="s">
        <v>5042</v>
      </c>
      <c r="Y1291" s="616" t="s">
        <v>1318</v>
      </c>
      <c r="Z1291" s="625">
        <v>2.655</v>
      </c>
      <c r="AA1291" s="616">
        <f t="shared" si="412"/>
        <v>1401.84</v>
      </c>
      <c r="AB1291" s="554"/>
      <c r="AC1291" s="629" t="s">
        <v>5043</v>
      </c>
      <c r="AD1291" s="610" t="s">
        <v>111</v>
      </c>
      <c r="AE1291" s="610" t="s">
        <v>82</v>
      </c>
      <c r="AF1291" s="610"/>
      <c r="AG1291" s="610"/>
      <c r="AH1291" s="610"/>
      <c r="AI1291" s="609">
        <v>528</v>
      </c>
      <c r="AJ1291" s="613">
        <f t="shared" si="411"/>
        <v>0</v>
      </c>
      <c r="AK1291" s="610"/>
      <c r="AL1291" s="610" t="s">
        <v>2368</v>
      </c>
      <c r="AM1291" s="554"/>
      <c r="AN1291" s="554">
        <f t="shared" si="404"/>
        <v>528</v>
      </c>
      <c r="AO1291" s="554"/>
      <c r="AP1291" s="554"/>
      <c r="AQ1291" s="554"/>
      <c r="AR1291" s="554">
        <f>I1291</f>
        <v>528</v>
      </c>
      <c r="AS1291" s="554"/>
      <c r="AT1291" s="554"/>
      <c r="AU1291" s="554">
        <f t="shared" si="409"/>
        <v>528</v>
      </c>
      <c r="AV1291" s="554"/>
      <c r="AW1291" s="554">
        <f t="shared" si="407"/>
        <v>528</v>
      </c>
      <c r="AX1291" s="714"/>
      <c r="AY1291" s="554"/>
      <c r="AZ1291" s="554"/>
      <c r="BA1291" s="554"/>
      <c r="BB1291" s="554"/>
      <c r="BC1291" s="554"/>
      <c r="BD1291" s="554"/>
      <c r="BE1291" s="554"/>
      <c r="BF1291" s="554"/>
      <c r="BG1291" s="554"/>
      <c r="BH1291" s="554">
        <f>I1291/4</f>
        <v>132</v>
      </c>
      <c r="BI1291" s="554"/>
      <c r="BJ1291" s="554"/>
      <c r="BK1291" s="554"/>
      <c r="BL1291" s="554"/>
      <c r="BM1291" s="554"/>
      <c r="BN1291" s="554"/>
      <c r="BO1291" s="554"/>
      <c r="BP1291" s="554"/>
      <c r="BQ1291" s="554"/>
      <c r="BR1291" s="554"/>
      <c r="BS1291" s="554"/>
      <c r="BT1291" s="554"/>
      <c r="BU1291" s="554"/>
      <c r="BV1291" s="554"/>
      <c r="BW1291" s="554"/>
      <c r="BX1291" s="554"/>
      <c r="BY1291" s="554"/>
      <c r="BZ1291" s="554"/>
      <c r="CA1291" s="554"/>
      <c r="CB1291" s="554"/>
      <c r="CC1291" s="554"/>
      <c r="CD1291" s="554"/>
      <c r="CE1291" s="554"/>
      <c r="CF1291" s="554"/>
      <c r="CG1291" s="554"/>
      <c r="CH1291" s="619"/>
      <c r="CI1291" s="619"/>
      <c r="CJ1291" s="619"/>
      <c r="CK1291" s="619"/>
      <c r="CL1291" s="619"/>
      <c r="CM1291" s="554"/>
      <c r="CN1291" s="554"/>
      <c r="CO1291" s="554"/>
      <c r="CP1291" s="619"/>
      <c r="CQ1291" s="619"/>
      <c r="CR1291" s="619"/>
      <c r="CS1291" s="619"/>
      <c r="CT1291" s="619"/>
      <c r="CU1291" s="619"/>
    </row>
    <row r="1292" s="1267" customFormat="1" ht="31" customHeight="1" spans="1:100">
      <c r="A1292" s="608">
        <v>46161</v>
      </c>
      <c r="B1292" s="609" t="s">
        <v>1214</v>
      </c>
      <c r="C1292" s="610" t="s">
        <v>524</v>
      </c>
      <c r="D1292" s="554" t="s">
        <v>5044</v>
      </c>
      <c r="E1292" s="610" t="s">
        <v>5045</v>
      </c>
      <c r="F1292" s="554" t="s">
        <v>5046</v>
      </c>
      <c r="G1292" s="610" t="s">
        <v>68</v>
      </c>
      <c r="H1292" s="610" t="s">
        <v>69</v>
      </c>
      <c r="I1292" s="715">
        <v>1500</v>
      </c>
      <c r="J1292" s="610">
        <v>0</v>
      </c>
      <c r="K1292" s="610">
        <v>12</v>
      </c>
      <c r="L1292" s="611">
        <f t="shared" si="410"/>
        <v>125</v>
      </c>
      <c r="M1292" s="724">
        <v>46226</v>
      </c>
      <c r="N1292" s="724">
        <v>46224</v>
      </c>
      <c r="O1292" s="613" t="s">
        <v>4972</v>
      </c>
      <c r="P1292" s="613" t="s">
        <v>113</v>
      </c>
      <c r="Q1292" s="614"/>
      <c r="R1292" s="614">
        <v>46184</v>
      </c>
      <c r="S1292" s="614" t="s">
        <v>70</v>
      </c>
      <c r="T1292" s="614" t="s">
        <v>5047</v>
      </c>
      <c r="U1292" s="614"/>
      <c r="V1292" s="614"/>
      <c r="W1292" s="609"/>
      <c r="X1292" s="738" t="s">
        <v>5048</v>
      </c>
      <c r="Y1292" s="616" t="s">
        <v>340</v>
      </c>
      <c r="Z1292" s="625">
        <v>4.3734</v>
      </c>
      <c r="AA1292" s="616">
        <f t="shared" si="412"/>
        <v>6560.1</v>
      </c>
      <c r="AB1292" s="729"/>
      <c r="AC1292" s="617"/>
      <c r="AD1292" s="610" t="s">
        <v>184</v>
      </c>
      <c r="AE1292" s="610" t="s">
        <v>82</v>
      </c>
      <c r="AF1292" s="610"/>
      <c r="AG1292" s="610"/>
      <c r="AH1292" s="610"/>
      <c r="AI1292" s="609">
        <v>1500</v>
      </c>
      <c r="AJ1292" s="610">
        <f t="shared" si="411"/>
        <v>0</v>
      </c>
      <c r="AK1292" s="610"/>
      <c r="AL1292" s="610" t="s">
        <v>2368</v>
      </c>
      <c r="AM1292" s="554"/>
      <c r="AN1292" s="554">
        <f t="shared" si="404"/>
        <v>1500</v>
      </c>
      <c r="AO1292" s="554"/>
      <c r="AP1292" s="554"/>
      <c r="AQ1292" s="554"/>
      <c r="AR1292" s="554"/>
      <c r="AS1292" s="554">
        <f>I1292</f>
        <v>1500</v>
      </c>
      <c r="AT1292" s="554"/>
      <c r="AU1292" s="554">
        <f t="shared" si="409"/>
        <v>1500</v>
      </c>
      <c r="AV1292" s="554"/>
      <c r="AW1292" s="554">
        <f t="shared" si="407"/>
        <v>1500</v>
      </c>
      <c r="AX1292" s="714"/>
      <c r="AY1292" s="554"/>
      <c r="AZ1292" s="554"/>
      <c r="BA1292" s="554"/>
      <c r="BB1292" s="554"/>
      <c r="BC1292" s="554"/>
      <c r="BD1292" s="554"/>
      <c r="BE1292" s="554"/>
      <c r="BF1292" s="554"/>
      <c r="BG1292" s="554"/>
      <c r="BH1292" s="554"/>
      <c r="BI1292" s="554"/>
      <c r="BJ1292" s="554"/>
      <c r="BK1292" s="554"/>
      <c r="BL1292" s="554"/>
      <c r="BM1292" s="554"/>
      <c r="BN1292" s="554"/>
      <c r="BO1292" s="554"/>
      <c r="BP1292" s="729"/>
      <c r="BQ1292" s="729"/>
      <c r="BR1292" s="729"/>
      <c r="BS1292" s="729"/>
      <c r="BT1292" s="729"/>
      <c r="BU1292" s="729"/>
      <c r="BV1292" s="729"/>
      <c r="BW1292" s="729"/>
      <c r="BX1292" s="729"/>
      <c r="BY1292" s="729"/>
      <c r="BZ1292" s="729"/>
      <c r="CA1292" s="729"/>
      <c r="CB1292" s="729"/>
      <c r="CC1292" s="729"/>
      <c r="CD1292" s="729"/>
      <c r="CE1292" s="729"/>
      <c r="CF1292" s="729"/>
      <c r="CG1292" s="729"/>
      <c r="CH1292" s="717"/>
      <c r="CI1292" s="717"/>
      <c r="CJ1292" s="717"/>
      <c r="CK1292" s="717"/>
      <c r="CL1292" s="717"/>
      <c r="CM1292" s="729"/>
      <c r="CN1292" s="729"/>
      <c r="CO1292" s="729"/>
      <c r="CP1292" s="717"/>
      <c r="CQ1292" s="717"/>
      <c r="CR1292" s="717"/>
      <c r="CS1292" s="717"/>
      <c r="CT1292" s="717"/>
      <c r="CU1292" s="717"/>
    </row>
    <row r="1293" s="1267" customFormat="1" ht="31" customHeight="1" spans="1:100">
      <c r="A1293" s="608">
        <v>46185</v>
      </c>
      <c r="B1293" s="609" t="s">
        <v>1620</v>
      </c>
      <c r="C1293" s="610" t="s">
        <v>278</v>
      </c>
      <c r="D1293" s="554" t="s">
        <v>5049</v>
      </c>
      <c r="E1293" s="610" t="s">
        <v>5050</v>
      </c>
      <c r="F1293" s="554" t="s">
        <v>5051</v>
      </c>
      <c r="G1293" s="610" t="s">
        <v>164</v>
      </c>
      <c r="H1293" s="610" t="s">
        <v>112</v>
      </c>
      <c r="I1293" s="715">
        <v>7000</v>
      </c>
      <c r="J1293" s="610">
        <v>0</v>
      </c>
      <c r="K1293" s="610">
        <v>8</v>
      </c>
      <c r="L1293" s="611">
        <f t="shared" si="410"/>
        <v>875</v>
      </c>
      <c r="M1293" s="612">
        <v>46231</v>
      </c>
      <c r="N1293" s="612">
        <v>46227</v>
      </c>
      <c r="O1293" s="613"/>
      <c r="P1293" s="610" t="s">
        <v>113</v>
      </c>
      <c r="Q1293" s="614">
        <v>46244</v>
      </c>
      <c r="R1293" s="614">
        <v>46185</v>
      </c>
      <c r="S1293" s="614" t="s">
        <v>70</v>
      </c>
      <c r="T1293" s="614" t="s">
        <v>70</v>
      </c>
      <c r="U1293" s="614"/>
      <c r="V1293" s="614" t="s">
        <v>5052</v>
      </c>
      <c r="W1293" s="609"/>
      <c r="X1293" s="609" t="s">
        <v>5053</v>
      </c>
      <c r="Y1293" s="616" t="s">
        <v>5054</v>
      </c>
      <c r="Z1293" s="625">
        <v>4.3495</v>
      </c>
      <c r="AA1293" s="616">
        <f t="shared" si="412"/>
        <v>30446.5</v>
      </c>
      <c r="AB1293" s="554"/>
      <c r="AC1293" s="617"/>
      <c r="AD1293" s="610" t="s">
        <v>2381</v>
      </c>
      <c r="AE1293" s="610" t="s">
        <v>82</v>
      </c>
      <c r="AF1293" s="610"/>
      <c r="AG1293" s="610"/>
      <c r="AH1293" s="610"/>
      <c r="AI1293" s="609">
        <v>7000</v>
      </c>
      <c r="AJ1293" s="610">
        <f t="shared" si="411"/>
        <v>0</v>
      </c>
      <c r="AK1293" s="610"/>
      <c r="AL1293" s="610" t="s">
        <v>5055</v>
      </c>
      <c r="AM1293" s="554"/>
      <c r="AN1293" s="554">
        <f t="shared" si="404"/>
        <v>7000</v>
      </c>
      <c r="AO1293" s="554"/>
      <c r="AP1293" s="554"/>
      <c r="AQ1293" s="554"/>
      <c r="AR1293" s="554"/>
      <c r="AS1293" s="554">
        <f>I1293</f>
        <v>7000</v>
      </c>
      <c r="AT1293" s="554"/>
      <c r="AU1293" s="554">
        <f t="shared" si="409"/>
        <v>7000</v>
      </c>
      <c r="AV1293" s="554"/>
      <c r="AW1293" s="554">
        <f t="shared" si="407"/>
        <v>7000</v>
      </c>
      <c r="AX1293" s="714"/>
      <c r="AY1293" s="554"/>
      <c r="AZ1293" s="554"/>
      <c r="BA1293" s="554"/>
      <c r="BB1293" s="554"/>
      <c r="BC1293" s="554"/>
      <c r="BD1293" s="554"/>
      <c r="BE1293" s="554"/>
      <c r="BF1293" s="554"/>
      <c r="BG1293" s="554"/>
      <c r="BH1293" s="554"/>
      <c r="BI1293" s="554">
        <f>I1293/4</f>
        <v>1750</v>
      </c>
      <c r="BJ1293" s="554"/>
      <c r="BK1293" s="554"/>
      <c r="BL1293" s="554"/>
      <c r="BM1293" s="554"/>
      <c r="BN1293" s="554"/>
      <c r="BO1293" s="554"/>
      <c r="BP1293" s="554"/>
      <c r="BQ1293" s="554"/>
      <c r="BR1293" s="554"/>
      <c r="BS1293" s="554"/>
      <c r="BT1293" s="554"/>
      <c r="BU1293" s="554"/>
      <c r="BV1293" s="554"/>
      <c r="BW1293" s="554"/>
      <c r="BX1293" s="554"/>
      <c r="BY1293" s="554"/>
      <c r="BZ1293" s="554"/>
      <c r="CA1293" s="554"/>
      <c r="CB1293" s="554"/>
      <c r="CC1293" s="554"/>
      <c r="CD1293" s="554"/>
      <c r="CE1293" s="554"/>
      <c r="CF1293" s="554"/>
      <c r="CG1293" s="554"/>
      <c r="CH1293" s="619"/>
      <c r="CI1293" s="619"/>
      <c r="CJ1293" s="619"/>
      <c r="CK1293" s="619"/>
      <c r="CL1293" s="619"/>
      <c r="CM1293" s="554"/>
      <c r="CN1293" s="554"/>
      <c r="CO1293" s="554"/>
      <c r="CP1293" s="619"/>
      <c r="CQ1293" s="619"/>
      <c r="CR1293" s="619"/>
      <c r="CS1293" s="619"/>
      <c r="CT1293" s="619"/>
      <c r="CU1293" s="619"/>
    </row>
    <row r="1294" s="1267" customFormat="1" ht="31" customHeight="1" spans="1:100">
      <c r="A1294" s="608">
        <v>46185</v>
      </c>
      <c r="B1294" s="609" t="s">
        <v>1642</v>
      </c>
      <c r="C1294" s="610" t="s">
        <v>723</v>
      </c>
      <c r="D1294" s="554" t="s">
        <v>5056</v>
      </c>
      <c r="E1294" s="610" t="s">
        <v>5057</v>
      </c>
      <c r="F1294" s="554" t="s">
        <v>5058</v>
      </c>
      <c r="G1294" s="610" t="s">
        <v>111</v>
      </c>
      <c r="H1294" s="610" t="s">
        <v>112</v>
      </c>
      <c r="I1294" s="715">
        <v>240</v>
      </c>
      <c r="J1294" s="610">
        <v>0</v>
      </c>
      <c r="K1294" s="610">
        <v>16</v>
      </c>
      <c r="L1294" s="611">
        <f t="shared" si="410"/>
        <v>15</v>
      </c>
      <c r="M1294" s="612">
        <v>46234</v>
      </c>
      <c r="N1294" s="612">
        <v>46230</v>
      </c>
      <c r="O1294" s="613"/>
      <c r="P1294" s="610" t="s">
        <v>113</v>
      </c>
      <c r="Q1294" s="614"/>
      <c r="R1294" s="614">
        <v>46185</v>
      </c>
      <c r="S1294" s="614" t="s">
        <v>70</v>
      </c>
      <c r="T1294" s="614" t="s">
        <v>5059</v>
      </c>
      <c r="U1294" s="614"/>
      <c r="V1294" s="614"/>
      <c r="W1294" s="609"/>
      <c r="X1294" s="609" t="s">
        <v>5060</v>
      </c>
      <c r="Y1294" s="616" t="s">
        <v>1793</v>
      </c>
      <c r="Z1294" s="625">
        <v>4.425</v>
      </c>
      <c r="AA1294" s="616">
        <f t="shared" si="412"/>
        <v>1062</v>
      </c>
      <c r="AB1294" s="554"/>
      <c r="AC1294" s="617"/>
      <c r="AD1294" s="610" t="s">
        <v>111</v>
      </c>
      <c r="AE1294" s="610" t="s">
        <v>82</v>
      </c>
      <c r="AF1294" s="610"/>
      <c r="AG1294" s="610"/>
      <c r="AH1294" s="610"/>
      <c r="AI1294" s="609">
        <v>240</v>
      </c>
      <c r="AJ1294" s="610">
        <f t="shared" si="411"/>
        <v>0</v>
      </c>
      <c r="AK1294" s="610"/>
      <c r="AL1294" s="610" t="s">
        <v>2368</v>
      </c>
      <c r="AM1294" s="554"/>
      <c r="AN1294" s="554">
        <f t="shared" si="404"/>
        <v>240</v>
      </c>
      <c r="AO1294" s="554"/>
      <c r="AP1294" s="554"/>
      <c r="AQ1294" s="554"/>
      <c r="AR1294" s="554">
        <f>I1294</f>
        <v>240</v>
      </c>
      <c r="AS1294" s="554"/>
      <c r="AT1294" s="554"/>
      <c r="AU1294" s="554">
        <f t="shared" si="409"/>
        <v>240</v>
      </c>
      <c r="AV1294" s="554"/>
      <c r="AW1294" s="554">
        <f t="shared" si="407"/>
        <v>240</v>
      </c>
      <c r="AX1294" s="714"/>
      <c r="AY1294" s="554"/>
      <c r="AZ1294" s="554"/>
      <c r="BA1294" s="554"/>
      <c r="BB1294" s="554"/>
      <c r="BC1294" s="554"/>
      <c r="BD1294" s="554"/>
      <c r="BE1294" s="554"/>
      <c r="BF1294" s="554"/>
      <c r="BG1294" s="554"/>
      <c r="BH1294" s="554">
        <f>I1294/4</f>
        <v>60</v>
      </c>
      <c r="BI1294" s="554"/>
      <c r="BJ1294" s="554"/>
      <c r="BK1294" s="554"/>
      <c r="BL1294" s="554"/>
      <c r="BM1294" s="554"/>
      <c r="BN1294" s="554"/>
      <c r="BO1294" s="554"/>
      <c r="BP1294" s="554"/>
      <c r="BQ1294" s="554"/>
      <c r="BR1294" s="554"/>
      <c r="BS1294" s="554"/>
      <c r="BT1294" s="554"/>
      <c r="BU1294" s="554"/>
      <c r="BV1294" s="554"/>
      <c r="BW1294" s="554"/>
      <c r="BX1294" s="554"/>
      <c r="BY1294" s="554"/>
      <c r="BZ1294" s="554"/>
      <c r="CA1294" s="554"/>
      <c r="CB1294" s="554"/>
      <c r="CC1294" s="554"/>
      <c r="CD1294" s="554"/>
      <c r="CE1294" s="554"/>
      <c r="CF1294" s="554"/>
      <c r="CG1294" s="554"/>
      <c r="CH1294" s="619"/>
      <c r="CI1294" s="619"/>
      <c r="CJ1294" s="619"/>
      <c r="CK1294" s="619"/>
      <c r="CL1294" s="619"/>
      <c r="CM1294" s="554"/>
      <c r="CN1294" s="554"/>
      <c r="CO1294" s="554"/>
      <c r="CP1294" s="619"/>
      <c r="CQ1294" s="619"/>
      <c r="CR1294" s="619"/>
      <c r="CS1294" s="619"/>
      <c r="CT1294" s="619"/>
      <c r="CU1294" s="619"/>
    </row>
    <row r="1295" s="1267" customFormat="1" ht="31" customHeight="1" spans="1:100">
      <c r="A1295" s="608">
        <v>46142</v>
      </c>
      <c r="B1295" s="609" t="s">
        <v>3110</v>
      </c>
      <c r="C1295" s="610" t="s">
        <v>524</v>
      </c>
      <c r="D1295" s="554" t="s">
        <v>5061</v>
      </c>
      <c r="E1295" s="610" t="s">
        <v>5062</v>
      </c>
      <c r="F1295" s="554" t="s">
        <v>5063</v>
      </c>
      <c r="G1295" s="610" t="s">
        <v>68</v>
      </c>
      <c r="H1295" s="610" t="s">
        <v>69</v>
      </c>
      <c r="I1295" s="715">
        <v>600</v>
      </c>
      <c r="J1295" s="610">
        <v>0</v>
      </c>
      <c r="K1295" s="610">
        <v>12</v>
      </c>
      <c r="L1295" s="611">
        <f t="shared" si="410"/>
        <v>50</v>
      </c>
      <c r="M1295" s="612">
        <v>46204</v>
      </c>
      <c r="N1295" s="724">
        <v>46224</v>
      </c>
      <c r="O1295" s="1267"/>
      <c r="P1295" s="723" t="s">
        <v>113</v>
      </c>
      <c r="Q1295" s="614">
        <v>46228</v>
      </c>
      <c r="R1295" s="614" t="s">
        <v>5064</v>
      </c>
      <c r="S1295" s="614" t="s">
        <v>104</v>
      </c>
      <c r="T1295" s="614" t="s">
        <v>5065</v>
      </c>
      <c r="U1295" s="614"/>
      <c r="V1295" s="614"/>
      <c r="W1295" s="609"/>
      <c r="X1295" s="609" t="s">
        <v>5066</v>
      </c>
      <c r="Y1295" s="616" t="s">
        <v>943</v>
      </c>
      <c r="Z1295" s="625">
        <v>4.2173</v>
      </c>
      <c r="AA1295" s="616">
        <f t="shared" si="412"/>
        <v>2530.38</v>
      </c>
      <c r="AB1295" s="554"/>
      <c r="AC1295" s="617"/>
      <c r="AD1295" s="610" t="s">
        <v>184</v>
      </c>
      <c r="AE1295" s="610" t="s">
        <v>82</v>
      </c>
      <c r="AF1295" s="610"/>
      <c r="AG1295" s="610"/>
      <c r="AH1295" s="610"/>
      <c r="AI1295" s="609">
        <v>600</v>
      </c>
      <c r="AJ1295" s="610">
        <f t="shared" si="411"/>
        <v>0</v>
      </c>
      <c r="AK1295" s="610"/>
      <c r="AL1295" s="610" t="s">
        <v>2368</v>
      </c>
      <c r="AM1295" s="554"/>
      <c r="AN1295" s="554">
        <f t="shared" si="404"/>
        <v>600</v>
      </c>
      <c r="AO1295" s="554"/>
      <c r="AP1295" s="554"/>
      <c r="AQ1295" s="554"/>
      <c r="AR1295" s="554"/>
      <c r="AS1295" s="554">
        <f>I1295</f>
        <v>600</v>
      </c>
      <c r="AT1295" s="554"/>
      <c r="AU1295" s="554">
        <f t="shared" si="409"/>
        <v>600</v>
      </c>
      <c r="AV1295" s="554"/>
      <c r="AW1295" s="554">
        <f t="shared" si="407"/>
        <v>600</v>
      </c>
      <c r="AX1295" s="714"/>
      <c r="AY1295" s="554"/>
      <c r="AZ1295" s="554"/>
      <c r="BA1295" s="554"/>
      <c r="BB1295" s="554"/>
      <c r="BC1295" s="554"/>
      <c r="BD1295" s="554"/>
      <c r="BE1295" s="554"/>
      <c r="BF1295" s="554"/>
      <c r="BG1295" s="554"/>
      <c r="BH1295" s="554"/>
      <c r="BI1295" s="554"/>
      <c r="BJ1295" s="554"/>
      <c r="BK1295" s="554"/>
      <c r="BL1295" s="554"/>
      <c r="BM1295" s="554"/>
      <c r="BN1295" s="554"/>
      <c r="BO1295" s="554"/>
      <c r="BP1295" s="554"/>
      <c r="BQ1295" s="554"/>
      <c r="BR1295" s="554"/>
      <c r="BS1295" s="554"/>
      <c r="BT1295" s="554"/>
      <c r="BU1295" s="554"/>
      <c r="BV1295" s="554"/>
      <c r="BW1295" s="554"/>
      <c r="BX1295" s="554"/>
      <c r="BY1295" s="554"/>
      <c r="BZ1295" s="554"/>
      <c r="CA1295" s="554"/>
      <c r="CB1295" s="554"/>
      <c r="CC1295" s="554"/>
      <c r="CD1295" s="554"/>
      <c r="CE1295" s="554"/>
      <c r="CF1295" s="554"/>
      <c r="CG1295" s="554"/>
      <c r="CH1295" s="619"/>
      <c r="CI1295" s="619"/>
      <c r="CJ1295" s="619"/>
      <c r="CK1295" s="619"/>
      <c r="CL1295" s="619"/>
      <c r="CM1295" s="554"/>
      <c r="CN1295" s="554"/>
      <c r="CO1295" s="554"/>
      <c r="CP1295" s="619"/>
      <c r="CQ1295" s="619"/>
      <c r="CR1295" s="619"/>
      <c r="CS1295" s="619"/>
      <c r="CT1295" s="619"/>
      <c r="CU1295" s="619"/>
    </row>
    <row r="1296" s="1267" customFormat="1" ht="31" customHeight="1" spans="1:100">
      <c r="A1296" s="608">
        <v>46167</v>
      </c>
      <c r="B1296" s="609" t="s">
        <v>2707</v>
      </c>
      <c r="C1296" s="610" t="s">
        <v>170</v>
      </c>
      <c r="D1296" s="554" t="s">
        <v>5067</v>
      </c>
      <c r="E1296" s="613">
        <v>45204518</v>
      </c>
      <c r="F1296" s="554" t="s">
        <v>5068</v>
      </c>
      <c r="G1296" s="623" t="s">
        <v>2702</v>
      </c>
      <c r="H1296" s="610" t="s">
        <v>477</v>
      </c>
      <c r="I1296" s="610">
        <v>204</v>
      </c>
      <c r="J1296" s="610">
        <v>0</v>
      </c>
      <c r="K1296" s="610">
        <v>6</v>
      </c>
      <c r="L1296" s="611">
        <f t="shared" si="410"/>
        <v>34</v>
      </c>
      <c r="M1296" s="612">
        <v>46225</v>
      </c>
      <c r="N1296" s="612">
        <v>46221</v>
      </c>
      <c r="O1296" s="613"/>
      <c r="P1296" s="613" t="s">
        <v>113</v>
      </c>
      <c r="Q1296" s="614">
        <v>46233</v>
      </c>
      <c r="R1296" s="614">
        <v>46174</v>
      </c>
      <c r="S1296" s="614" t="s">
        <v>70</v>
      </c>
      <c r="T1296" s="614" t="s">
        <v>5069</v>
      </c>
      <c r="U1296" s="614"/>
      <c r="V1296" s="609"/>
      <c r="W1296" s="609"/>
      <c r="X1296" s="609" t="s">
        <v>5070</v>
      </c>
      <c r="Y1296" s="616" t="s">
        <v>5071</v>
      </c>
      <c r="Z1296" s="625">
        <v>7.1822</v>
      </c>
      <c r="AA1296" s="616">
        <f t="shared" si="412"/>
        <v>1465.1688</v>
      </c>
      <c r="AB1296" s="554"/>
      <c r="AC1296" s="617"/>
      <c r="AD1296" s="610" t="s">
        <v>2705</v>
      </c>
      <c r="AE1296" s="610" t="s">
        <v>82</v>
      </c>
      <c r="AF1296" s="610"/>
      <c r="AG1296" s="610"/>
      <c r="AH1296" s="610"/>
      <c r="AI1296" s="609">
        <v>204</v>
      </c>
      <c r="AJ1296" s="610">
        <f t="shared" si="411"/>
        <v>0</v>
      </c>
      <c r="AK1296" s="610"/>
      <c r="AL1296" s="610"/>
      <c r="AM1296" s="554"/>
      <c r="AN1296" s="554">
        <f t="shared" si="404"/>
        <v>204</v>
      </c>
      <c r="AO1296" s="1325"/>
      <c r="AP1296" s="1325"/>
      <c r="AQ1296" s="1325"/>
      <c r="AR1296" s="554"/>
      <c r="AS1296" s="554">
        <f>I1296</f>
        <v>204</v>
      </c>
      <c r="AT1296" s="554"/>
      <c r="AU1296" s="554">
        <f t="shared" si="409"/>
        <v>204</v>
      </c>
      <c r="AV1296" s="554"/>
      <c r="AW1296" s="554">
        <f t="shared" si="407"/>
        <v>204</v>
      </c>
      <c r="AX1296" s="714"/>
      <c r="AY1296" s="554"/>
      <c r="AZ1296" s="554"/>
      <c r="BA1296" s="554"/>
      <c r="BB1296" s="554"/>
      <c r="BC1296" s="554"/>
      <c r="BD1296" s="554"/>
      <c r="BE1296" s="554"/>
      <c r="BF1296" s="554"/>
      <c r="BG1296" s="554"/>
      <c r="BH1296" s="554"/>
      <c r="BI1296" s="554"/>
      <c r="BJ1296" s="554"/>
      <c r="BK1296" s="554"/>
      <c r="BL1296" s="554"/>
      <c r="BM1296" s="554">
        <f>I1296</f>
        <v>204</v>
      </c>
      <c r="BN1296" s="554"/>
      <c r="BO1296" s="554"/>
      <c r="BP1296" s="554"/>
      <c r="BQ1296" s="554"/>
      <c r="BR1296" s="554"/>
      <c r="BS1296" s="554"/>
      <c r="BT1296" s="554"/>
      <c r="BU1296" s="554"/>
      <c r="BV1296" s="554"/>
      <c r="BW1296" s="554"/>
      <c r="BX1296" s="554"/>
      <c r="BY1296" s="554"/>
      <c r="BZ1296" s="554"/>
      <c r="CA1296" s="554"/>
      <c r="CB1296" s="554"/>
      <c r="CC1296" s="554"/>
      <c r="CD1296" s="554"/>
      <c r="CE1296" s="554"/>
      <c r="CF1296" s="554"/>
      <c r="CG1296" s="554"/>
      <c r="CH1296" s="619"/>
      <c r="CI1296" s="619"/>
      <c r="CJ1296" s="619"/>
      <c r="CK1296" s="619"/>
      <c r="CL1296" s="619"/>
      <c r="CM1296" s="554"/>
      <c r="CN1296" s="554"/>
      <c r="CO1296" s="554"/>
      <c r="CP1296" s="619"/>
      <c r="CQ1296" s="619"/>
      <c r="CR1296" s="619"/>
      <c r="CS1296" s="619"/>
      <c r="CT1296" s="619"/>
      <c r="CU1296" s="619"/>
    </row>
    <row r="1297" s="1267" customFormat="1" ht="31" customHeight="1" spans="1:99">
      <c r="A1297" s="608">
        <v>46167</v>
      </c>
      <c r="B1297" s="609" t="s">
        <v>2707</v>
      </c>
      <c r="C1297" s="610" t="s">
        <v>170</v>
      </c>
      <c r="D1297" s="554" t="s">
        <v>5072</v>
      </c>
      <c r="E1297" s="613">
        <v>40060798</v>
      </c>
      <c r="F1297" s="554" t="s">
        <v>5073</v>
      </c>
      <c r="G1297" s="623" t="s">
        <v>2702</v>
      </c>
      <c r="H1297" s="610" t="s">
        <v>477</v>
      </c>
      <c r="I1297" s="610">
        <v>1200</v>
      </c>
      <c r="J1297" s="610">
        <v>0</v>
      </c>
      <c r="K1297" s="610">
        <v>6</v>
      </c>
      <c r="L1297" s="611">
        <f t="shared" si="410"/>
        <v>200</v>
      </c>
      <c r="M1297" s="612">
        <v>46225</v>
      </c>
      <c r="N1297" s="612">
        <v>46221</v>
      </c>
      <c r="O1297" s="613"/>
      <c r="P1297" s="613" t="s">
        <v>113</v>
      </c>
      <c r="Q1297" s="614">
        <v>46233</v>
      </c>
      <c r="R1297" s="614">
        <v>46174</v>
      </c>
      <c r="S1297" s="614" t="s">
        <v>70</v>
      </c>
      <c r="T1297" s="614" t="s">
        <v>5074</v>
      </c>
      <c r="U1297" s="614"/>
      <c r="V1297" s="609"/>
      <c r="W1297" s="609"/>
      <c r="X1297" s="609" t="s">
        <v>5075</v>
      </c>
      <c r="Y1297" s="616" t="s">
        <v>5071</v>
      </c>
      <c r="Z1297" s="625">
        <v>6.852</v>
      </c>
      <c r="AA1297" s="616">
        <f t="shared" si="412"/>
        <v>8222.4</v>
      </c>
      <c r="AB1297" s="554"/>
      <c r="AC1297" s="617"/>
      <c r="AD1297" s="610" t="s">
        <v>2705</v>
      </c>
      <c r="AE1297" s="610" t="s">
        <v>82</v>
      </c>
      <c r="AF1297" s="610"/>
      <c r="AG1297" s="610"/>
      <c r="AH1297" s="610"/>
      <c r="AI1297" s="1372"/>
      <c r="AJ1297" s="610">
        <f>'77711'!AI1780-I1297</f>
        <v>0</v>
      </c>
      <c r="AK1297" s="610"/>
      <c r="AL1297" s="610"/>
      <c r="AM1297" s="554"/>
      <c r="AN1297" s="554">
        <f t="shared" si="404"/>
        <v>1200</v>
      </c>
      <c r="AO1297" s="1325"/>
      <c r="AP1297" s="1325"/>
      <c r="AQ1297" s="1325"/>
      <c r="AR1297" s="554"/>
      <c r="AS1297" s="554">
        <f>I1297</f>
        <v>1200</v>
      </c>
      <c r="AT1297" s="554"/>
      <c r="AU1297" s="554">
        <f t="shared" si="409"/>
        <v>1200</v>
      </c>
      <c r="AV1297" s="554"/>
      <c r="AW1297" s="554">
        <f t="shared" si="407"/>
        <v>1200</v>
      </c>
      <c r="AX1297" s="714"/>
      <c r="AY1297" s="554"/>
      <c r="AZ1297" s="554"/>
      <c r="BA1297" s="554"/>
      <c r="BB1297" s="554"/>
      <c r="BC1297" s="554"/>
      <c r="BD1297" s="554"/>
      <c r="BE1297" s="554"/>
      <c r="BF1297" s="554"/>
      <c r="BG1297" s="554"/>
      <c r="BH1297" s="554"/>
      <c r="BI1297" s="554"/>
      <c r="BJ1297" s="554"/>
      <c r="BK1297" s="554"/>
      <c r="BL1297" s="554"/>
      <c r="BM1297" s="554">
        <f>I1297</f>
        <v>1200</v>
      </c>
      <c r="BN1297" s="554"/>
      <c r="BO1297" s="554"/>
      <c r="BP1297" s="554"/>
      <c r="BQ1297" s="554"/>
      <c r="BR1297" s="554"/>
      <c r="BS1297" s="554"/>
      <c r="BT1297" s="554"/>
      <c r="BU1297" s="554"/>
      <c r="BV1297" s="554"/>
      <c r="BW1297" s="554"/>
      <c r="BX1297" s="554"/>
      <c r="BY1297" s="554"/>
      <c r="BZ1297" s="554"/>
      <c r="CA1297" s="554"/>
      <c r="CB1297" s="554"/>
      <c r="CC1297" s="554"/>
      <c r="CD1297" s="554"/>
      <c r="CE1297" s="554"/>
      <c r="CF1297" s="554"/>
      <c r="CG1297" s="554"/>
      <c r="CH1297" s="619"/>
      <c r="CI1297" s="619"/>
      <c r="CJ1297" s="619"/>
      <c r="CK1297" s="619"/>
      <c r="CL1297" s="619"/>
      <c r="CM1297" s="554"/>
      <c r="CN1297" s="554"/>
      <c r="CO1297" s="554"/>
      <c r="CP1297" s="619"/>
      <c r="CQ1297" s="619"/>
      <c r="CR1297" s="619"/>
      <c r="CS1297" s="619"/>
      <c r="CT1297" s="619"/>
      <c r="CU1297" s="619"/>
    </row>
    <row r="1298" s="1267" customFormat="1" ht="31" customHeight="1" spans="1:99">
      <c r="A1298" s="608">
        <v>46167</v>
      </c>
      <c r="B1298" s="609" t="s">
        <v>2707</v>
      </c>
      <c r="C1298" s="610" t="s">
        <v>170</v>
      </c>
      <c r="D1298" s="554" t="s">
        <v>5072</v>
      </c>
      <c r="E1298" s="613">
        <v>40061986</v>
      </c>
      <c r="F1298" s="554" t="s">
        <v>5076</v>
      </c>
      <c r="G1298" s="623" t="s">
        <v>2702</v>
      </c>
      <c r="H1298" s="610" t="s">
        <v>477</v>
      </c>
      <c r="I1298" s="610">
        <v>300</v>
      </c>
      <c r="J1298" s="610">
        <v>0</v>
      </c>
      <c r="K1298" s="610">
        <v>6</v>
      </c>
      <c r="L1298" s="611">
        <f t="shared" si="410"/>
        <v>50</v>
      </c>
      <c r="M1298" s="612">
        <v>46225</v>
      </c>
      <c r="N1298" s="612">
        <v>46221</v>
      </c>
      <c r="O1298" s="613"/>
      <c r="P1298" s="613" t="s">
        <v>113</v>
      </c>
      <c r="Q1298" s="614">
        <v>46233</v>
      </c>
      <c r="R1298" s="614">
        <v>46174</v>
      </c>
      <c r="S1298" s="614" t="s">
        <v>70</v>
      </c>
      <c r="T1298" s="614" t="s">
        <v>5074</v>
      </c>
      <c r="U1298" s="614"/>
      <c r="V1298" s="609"/>
      <c r="W1298" s="609"/>
      <c r="X1298" s="609" t="s">
        <v>5077</v>
      </c>
      <c r="Y1298" s="616" t="s">
        <v>5071</v>
      </c>
      <c r="Z1298" s="625">
        <v>7.1822</v>
      </c>
      <c r="AA1298" s="616">
        <f t="shared" si="412"/>
        <v>2154.66</v>
      </c>
      <c r="AB1298" s="554"/>
      <c r="AC1298" s="617"/>
      <c r="AD1298" s="610" t="s">
        <v>2705</v>
      </c>
      <c r="AE1298" s="610" t="s">
        <v>82</v>
      </c>
      <c r="AF1298" s="610"/>
      <c r="AG1298" s="610"/>
      <c r="AH1298" s="610"/>
      <c r="AI1298" s="1372"/>
      <c r="AJ1298" s="610">
        <f>'77711'!AI1781-I1298</f>
        <v>0</v>
      </c>
      <c r="AK1298" s="610"/>
      <c r="AL1298" s="610"/>
      <c r="AM1298" s="554"/>
      <c r="AN1298" s="554">
        <f t="shared" si="404"/>
        <v>300</v>
      </c>
      <c r="AO1298" s="1325"/>
      <c r="AP1298" s="1325"/>
      <c r="AQ1298" s="1325"/>
      <c r="AR1298" s="554"/>
      <c r="AS1298" s="554">
        <f>I1298</f>
        <v>300</v>
      </c>
      <c r="AT1298" s="554"/>
      <c r="AU1298" s="554">
        <f t="shared" si="409"/>
        <v>300</v>
      </c>
      <c r="AV1298" s="554"/>
      <c r="AW1298" s="554">
        <f t="shared" si="407"/>
        <v>300</v>
      </c>
      <c r="AX1298" s="714"/>
      <c r="AY1298" s="554"/>
      <c r="AZ1298" s="554"/>
      <c r="BA1298" s="554"/>
      <c r="BB1298" s="554"/>
      <c r="BC1298" s="554"/>
      <c r="BD1298" s="554"/>
      <c r="BE1298" s="554"/>
      <c r="BF1298" s="554"/>
      <c r="BG1298" s="554"/>
      <c r="BH1298" s="554"/>
      <c r="BI1298" s="554"/>
      <c r="BJ1298" s="554"/>
      <c r="BK1298" s="554"/>
      <c r="BL1298" s="554"/>
      <c r="BM1298" s="554">
        <f>I1298</f>
        <v>300</v>
      </c>
      <c r="BN1298" s="554"/>
      <c r="BO1298" s="554"/>
      <c r="BP1298" s="554"/>
      <c r="BQ1298" s="554"/>
      <c r="BR1298" s="554"/>
      <c r="BS1298" s="554"/>
      <c r="BT1298" s="554"/>
      <c r="BU1298" s="554"/>
      <c r="BV1298" s="554"/>
      <c r="BW1298" s="554"/>
      <c r="BX1298" s="554"/>
      <c r="BY1298" s="554"/>
      <c r="BZ1298" s="554"/>
      <c r="CA1298" s="554"/>
      <c r="CB1298" s="554"/>
      <c r="CC1298" s="554"/>
      <c r="CD1298" s="554"/>
      <c r="CE1298" s="554"/>
      <c r="CF1298" s="554"/>
      <c r="CG1298" s="554"/>
      <c r="CH1298" s="619"/>
      <c r="CI1298" s="619"/>
      <c r="CJ1298" s="619"/>
      <c r="CK1298" s="619"/>
      <c r="CL1298" s="619"/>
      <c r="CM1298" s="554"/>
      <c r="CN1298" s="554"/>
      <c r="CO1298" s="554"/>
      <c r="CP1298" s="619"/>
      <c r="CQ1298" s="619"/>
      <c r="CR1298" s="619"/>
      <c r="CS1298" s="619"/>
      <c r="CT1298" s="619"/>
      <c r="CU1298" s="619"/>
    </row>
    <row r="1299" s="1267" customFormat="1" ht="31" customHeight="1" spans="1:99">
      <c r="A1299" s="608">
        <v>46171</v>
      </c>
      <c r="B1299" s="609" t="s">
        <v>5078</v>
      </c>
      <c r="C1299" s="610" t="s">
        <v>170</v>
      </c>
      <c r="D1299" s="554" t="s">
        <v>5079</v>
      </c>
      <c r="E1299" s="610" t="s">
        <v>5080</v>
      </c>
      <c r="F1299" s="554" t="s">
        <v>5081</v>
      </c>
      <c r="G1299" s="610" t="s">
        <v>68</v>
      </c>
      <c r="H1299" s="610" t="s">
        <v>69</v>
      </c>
      <c r="I1299" s="715">
        <v>24</v>
      </c>
      <c r="J1299" s="610">
        <v>0</v>
      </c>
      <c r="K1299" s="610">
        <v>12</v>
      </c>
      <c r="L1299" s="611">
        <f t="shared" ref="L1299:L1362" si="413">I1299/K1299</f>
        <v>2</v>
      </c>
      <c r="M1299" s="612">
        <v>46225</v>
      </c>
      <c r="N1299" s="724">
        <v>46225</v>
      </c>
      <c r="O1299" s="613"/>
      <c r="P1299" s="613" t="s">
        <v>113</v>
      </c>
      <c r="Q1299" s="614">
        <v>46228</v>
      </c>
      <c r="R1299" s="614">
        <v>46171</v>
      </c>
      <c r="S1299" s="614" t="s">
        <v>104</v>
      </c>
      <c r="T1299" s="614" t="s">
        <v>5082</v>
      </c>
      <c r="U1299" s="614"/>
      <c r="V1299" s="614"/>
      <c r="W1299" s="609"/>
      <c r="X1299" s="609" t="s">
        <v>5083</v>
      </c>
      <c r="Y1299" s="616" t="s">
        <v>3820</v>
      </c>
      <c r="Z1299" s="625">
        <v>4.3734</v>
      </c>
      <c r="AA1299" s="616">
        <f t="shared" ref="AA1299:AA1324" si="414">Z1299*I1299</f>
        <v>104.9616</v>
      </c>
      <c r="AB1299" s="554"/>
      <c r="AC1299" s="617"/>
      <c r="AD1299" s="610" t="s">
        <v>184</v>
      </c>
      <c r="AE1299" s="610" t="s">
        <v>82</v>
      </c>
      <c r="AF1299" s="610"/>
      <c r="AG1299" s="610"/>
      <c r="AH1299" s="610"/>
      <c r="AI1299" s="609">
        <v>24</v>
      </c>
      <c r="AJ1299" s="613">
        <f t="shared" ref="AJ1299:AJ1334" si="415">AI1299-I1299</f>
        <v>0</v>
      </c>
      <c r="AK1299" s="610"/>
      <c r="AL1299" s="610" t="s">
        <v>2368</v>
      </c>
      <c r="AM1299" s="554"/>
      <c r="AN1299" s="554">
        <f t="shared" si="404"/>
        <v>24</v>
      </c>
      <c r="AO1299" s="554"/>
      <c r="AP1299" s="554"/>
      <c r="AQ1299" s="554"/>
      <c r="AR1299" s="554"/>
      <c r="AS1299" s="554">
        <f t="shared" ref="AS1299:AS1313" si="416">I1299</f>
        <v>24</v>
      </c>
      <c r="AT1299" s="554"/>
      <c r="AU1299" s="554">
        <f t="shared" ref="AU1299:AU1313" si="417">I1299</f>
        <v>24</v>
      </c>
      <c r="AV1299" s="554"/>
      <c r="AW1299" s="554">
        <f t="shared" ref="AW1299:AW1327" si="418">I1299</f>
        <v>24</v>
      </c>
      <c r="AX1299" s="714"/>
      <c r="AY1299" s="554"/>
      <c r="AZ1299" s="554"/>
      <c r="BA1299" s="554"/>
      <c r="BB1299" s="554"/>
      <c r="BC1299" s="554"/>
      <c r="BD1299" s="554"/>
      <c r="BE1299" s="554"/>
      <c r="BF1299" s="554"/>
      <c r="BG1299" s="554"/>
      <c r="BH1299" s="554"/>
      <c r="BI1299" s="554"/>
      <c r="BJ1299" s="554"/>
      <c r="BK1299" s="554"/>
      <c r="BL1299" s="554"/>
      <c r="BM1299" s="554"/>
      <c r="BN1299" s="554"/>
      <c r="BO1299" s="554"/>
      <c r="BP1299" s="554"/>
      <c r="BQ1299" s="554"/>
      <c r="BR1299" s="554"/>
      <c r="BS1299" s="554"/>
      <c r="BT1299" s="554"/>
      <c r="BU1299" s="554"/>
      <c r="BV1299" s="554"/>
      <c r="BW1299" s="554"/>
      <c r="BX1299" s="554"/>
      <c r="BY1299" s="554"/>
      <c r="BZ1299" s="554"/>
      <c r="CA1299" s="554"/>
      <c r="CB1299" s="554"/>
      <c r="CC1299" s="554"/>
      <c r="CD1299" s="554"/>
      <c r="CE1299" s="554"/>
      <c r="CF1299" s="554"/>
      <c r="CG1299" s="554"/>
      <c r="CH1299" s="619"/>
      <c r="CI1299" s="619"/>
      <c r="CJ1299" s="619"/>
      <c r="CK1299" s="619"/>
      <c r="CL1299" s="619"/>
      <c r="CM1299" s="554"/>
      <c r="CN1299" s="554"/>
      <c r="CO1299" s="554"/>
      <c r="CP1299" s="619"/>
      <c r="CQ1299" s="619"/>
      <c r="CR1299" s="619"/>
      <c r="CS1299" s="619"/>
      <c r="CT1299" s="619"/>
      <c r="CU1299" s="619"/>
    </row>
    <row r="1300" s="1267" customFormat="1" ht="31" customHeight="1" spans="1:99">
      <c r="A1300" s="608">
        <v>46171</v>
      </c>
      <c r="B1300" s="609" t="s">
        <v>5078</v>
      </c>
      <c r="C1300" s="610" t="s">
        <v>170</v>
      </c>
      <c r="D1300" s="554" t="s">
        <v>5079</v>
      </c>
      <c r="E1300" s="610" t="s">
        <v>5084</v>
      </c>
      <c r="F1300" s="554" t="s">
        <v>5085</v>
      </c>
      <c r="G1300" s="610" t="s">
        <v>68</v>
      </c>
      <c r="H1300" s="610" t="s">
        <v>69</v>
      </c>
      <c r="I1300" s="715">
        <v>24</v>
      </c>
      <c r="J1300" s="610">
        <v>0</v>
      </c>
      <c r="K1300" s="610">
        <v>12</v>
      </c>
      <c r="L1300" s="611">
        <f t="shared" si="413"/>
        <v>2</v>
      </c>
      <c r="M1300" s="612">
        <v>46225</v>
      </c>
      <c r="N1300" s="724">
        <v>46225</v>
      </c>
      <c r="O1300" s="613"/>
      <c r="P1300" s="613" t="s">
        <v>113</v>
      </c>
      <c r="Q1300" s="614">
        <v>46228</v>
      </c>
      <c r="R1300" s="614">
        <v>46171</v>
      </c>
      <c r="S1300" s="614" t="s">
        <v>104</v>
      </c>
      <c r="T1300" s="614" t="s">
        <v>5082</v>
      </c>
      <c r="U1300" s="614"/>
      <c r="V1300" s="614"/>
      <c r="W1300" s="609"/>
      <c r="X1300" s="609" t="s">
        <v>5083</v>
      </c>
      <c r="Y1300" s="616" t="s">
        <v>3820</v>
      </c>
      <c r="Z1300" s="625">
        <v>4.3734</v>
      </c>
      <c r="AA1300" s="616">
        <f t="shared" si="414"/>
        <v>104.9616</v>
      </c>
      <c r="AB1300" s="554"/>
      <c r="AC1300" s="617"/>
      <c r="AD1300" s="610" t="s">
        <v>184</v>
      </c>
      <c r="AE1300" s="610" t="s">
        <v>82</v>
      </c>
      <c r="AF1300" s="610"/>
      <c r="AG1300" s="610"/>
      <c r="AH1300" s="610"/>
      <c r="AI1300" s="609">
        <v>24</v>
      </c>
      <c r="AJ1300" s="613">
        <f t="shared" si="415"/>
        <v>0</v>
      </c>
      <c r="AK1300" s="610"/>
      <c r="AL1300" s="610" t="s">
        <v>2368</v>
      </c>
      <c r="AM1300" s="554"/>
      <c r="AN1300" s="554">
        <f t="shared" si="404"/>
        <v>24</v>
      </c>
      <c r="AO1300" s="554"/>
      <c r="AP1300" s="554"/>
      <c r="AQ1300" s="554"/>
      <c r="AR1300" s="554"/>
      <c r="AS1300" s="554">
        <f t="shared" si="416"/>
        <v>24</v>
      </c>
      <c r="AT1300" s="554"/>
      <c r="AU1300" s="554">
        <f t="shared" si="417"/>
        <v>24</v>
      </c>
      <c r="AV1300" s="554"/>
      <c r="AW1300" s="554">
        <f t="shared" si="418"/>
        <v>24</v>
      </c>
      <c r="AX1300" s="714"/>
      <c r="AY1300" s="554"/>
      <c r="AZ1300" s="554"/>
      <c r="BA1300" s="554"/>
      <c r="BB1300" s="554"/>
      <c r="BC1300" s="554"/>
      <c r="BD1300" s="554"/>
      <c r="BE1300" s="554"/>
      <c r="BF1300" s="554"/>
      <c r="BG1300" s="554"/>
      <c r="BH1300" s="554"/>
      <c r="BI1300" s="554"/>
      <c r="BJ1300" s="554"/>
      <c r="BK1300" s="554"/>
      <c r="BL1300" s="554"/>
      <c r="BM1300" s="554"/>
      <c r="BN1300" s="554"/>
      <c r="BO1300" s="554"/>
      <c r="BP1300" s="554"/>
      <c r="BQ1300" s="554"/>
      <c r="BR1300" s="554"/>
      <c r="BS1300" s="554"/>
      <c r="BT1300" s="554"/>
      <c r="BU1300" s="554"/>
      <c r="BV1300" s="554"/>
      <c r="BW1300" s="554"/>
      <c r="BX1300" s="554"/>
      <c r="BY1300" s="554"/>
      <c r="BZ1300" s="554"/>
      <c r="CA1300" s="554"/>
      <c r="CB1300" s="554"/>
      <c r="CC1300" s="554"/>
      <c r="CD1300" s="554"/>
      <c r="CE1300" s="554"/>
      <c r="CF1300" s="554"/>
      <c r="CG1300" s="554"/>
      <c r="CH1300" s="619"/>
      <c r="CI1300" s="619"/>
      <c r="CJ1300" s="619"/>
      <c r="CK1300" s="619"/>
      <c r="CL1300" s="619"/>
      <c r="CM1300" s="554"/>
      <c r="CN1300" s="554"/>
      <c r="CO1300" s="554"/>
      <c r="CP1300" s="619"/>
      <c r="CQ1300" s="619"/>
      <c r="CR1300" s="619"/>
      <c r="CS1300" s="619"/>
      <c r="CT1300" s="619"/>
      <c r="CU1300" s="619"/>
    </row>
    <row r="1301" s="1267" customFormat="1" ht="31" customHeight="1" spans="1:99">
      <c r="A1301" s="608">
        <v>46171</v>
      </c>
      <c r="B1301" s="609" t="s">
        <v>5078</v>
      </c>
      <c r="C1301" s="610" t="s">
        <v>170</v>
      </c>
      <c r="D1301" s="554" t="s">
        <v>5079</v>
      </c>
      <c r="E1301" s="610" t="s">
        <v>5086</v>
      </c>
      <c r="F1301" s="554" t="s">
        <v>5087</v>
      </c>
      <c r="G1301" s="610" t="s">
        <v>68</v>
      </c>
      <c r="H1301" s="610" t="s">
        <v>69</v>
      </c>
      <c r="I1301" s="715">
        <v>24</v>
      </c>
      <c r="J1301" s="610">
        <v>0</v>
      </c>
      <c r="K1301" s="610">
        <v>12</v>
      </c>
      <c r="L1301" s="611">
        <f t="shared" si="413"/>
        <v>2</v>
      </c>
      <c r="M1301" s="612">
        <v>46225</v>
      </c>
      <c r="N1301" s="724">
        <v>46225</v>
      </c>
      <c r="O1301" s="613"/>
      <c r="P1301" s="613" t="s">
        <v>113</v>
      </c>
      <c r="Q1301" s="614">
        <v>46228</v>
      </c>
      <c r="R1301" s="614">
        <v>46171</v>
      </c>
      <c r="S1301" s="614" t="s">
        <v>104</v>
      </c>
      <c r="T1301" s="614" t="s">
        <v>5082</v>
      </c>
      <c r="U1301" s="614"/>
      <c r="V1301" s="614"/>
      <c r="W1301" s="609"/>
      <c r="X1301" s="609" t="s">
        <v>5083</v>
      </c>
      <c r="Y1301" s="616" t="s">
        <v>3820</v>
      </c>
      <c r="Z1301" s="625">
        <v>4.3734</v>
      </c>
      <c r="AA1301" s="616">
        <f t="shared" si="414"/>
        <v>104.9616</v>
      </c>
      <c r="AB1301" s="554"/>
      <c r="AC1301" s="617"/>
      <c r="AD1301" s="610" t="s">
        <v>184</v>
      </c>
      <c r="AE1301" s="610" t="s">
        <v>82</v>
      </c>
      <c r="AF1301" s="610"/>
      <c r="AG1301" s="610"/>
      <c r="AH1301" s="610"/>
      <c r="AI1301" s="609">
        <v>24</v>
      </c>
      <c r="AJ1301" s="613">
        <f t="shared" si="415"/>
        <v>0</v>
      </c>
      <c r="AK1301" s="610"/>
      <c r="AL1301" s="610" t="s">
        <v>2368</v>
      </c>
      <c r="AM1301" s="554"/>
      <c r="AN1301" s="554">
        <f t="shared" si="404"/>
        <v>24</v>
      </c>
      <c r="AO1301" s="554"/>
      <c r="AP1301" s="554"/>
      <c r="AQ1301" s="554"/>
      <c r="AR1301" s="554"/>
      <c r="AS1301" s="554">
        <f t="shared" si="416"/>
        <v>24</v>
      </c>
      <c r="AT1301" s="554"/>
      <c r="AU1301" s="554">
        <f t="shared" si="417"/>
        <v>24</v>
      </c>
      <c r="AV1301" s="554"/>
      <c r="AW1301" s="554">
        <f t="shared" si="418"/>
        <v>24</v>
      </c>
      <c r="AX1301" s="714"/>
      <c r="AY1301" s="554"/>
      <c r="AZ1301" s="554"/>
      <c r="BA1301" s="554"/>
      <c r="BB1301" s="554"/>
      <c r="BC1301" s="554"/>
      <c r="BD1301" s="554"/>
      <c r="BE1301" s="554"/>
      <c r="BF1301" s="554"/>
      <c r="BG1301" s="554"/>
      <c r="BH1301" s="554"/>
      <c r="BI1301" s="554"/>
      <c r="BJ1301" s="554"/>
      <c r="BK1301" s="554"/>
      <c r="BL1301" s="554"/>
      <c r="BM1301" s="554"/>
      <c r="BN1301" s="554"/>
      <c r="BO1301" s="554"/>
      <c r="BP1301" s="554"/>
      <c r="BQ1301" s="554"/>
      <c r="BR1301" s="554"/>
      <c r="BS1301" s="554"/>
      <c r="BT1301" s="554"/>
      <c r="BU1301" s="554"/>
      <c r="BV1301" s="554"/>
      <c r="BW1301" s="554"/>
      <c r="BX1301" s="554"/>
      <c r="BY1301" s="554"/>
      <c r="BZ1301" s="554"/>
      <c r="CA1301" s="554"/>
      <c r="CB1301" s="554"/>
      <c r="CC1301" s="554"/>
      <c r="CD1301" s="554"/>
      <c r="CE1301" s="554"/>
      <c r="CF1301" s="554"/>
      <c r="CG1301" s="554"/>
      <c r="CH1301" s="619"/>
      <c r="CI1301" s="619"/>
      <c r="CJ1301" s="619"/>
      <c r="CK1301" s="619"/>
      <c r="CL1301" s="619"/>
      <c r="CM1301" s="554"/>
      <c r="CN1301" s="554"/>
      <c r="CO1301" s="554"/>
      <c r="CP1301" s="619"/>
      <c r="CQ1301" s="619"/>
      <c r="CR1301" s="619"/>
      <c r="CS1301" s="619"/>
      <c r="CT1301" s="619"/>
      <c r="CU1301" s="619"/>
    </row>
    <row r="1302" s="1267" customFormat="1" ht="31" customHeight="1" spans="1:99">
      <c r="A1302" s="608">
        <v>46171</v>
      </c>
      <c r="B1302" s="609" t="s">
        <v>5078</v>
      </c>
      <c r="C1302" s="610" t="s">
        <v>170</v>
      </c>
      <c r="D1302" s="554" t="s">
        <v>5079</v>
      </c>
      <c r="E1302" s="610" t="s">
        <v>5088</v>
      </c>
      <c r="F1302" s="554" t="s">
        <v>5089</v>
      </c>
      <c r="G1302" s="610" t="s">
        <v>68</v>
      </c>
      <c r="H1302" s="610" t="s">
        <v>69</v>
      </c>
      <c r="I1302" s="715">
        <v>24</v>
      </c>
      <c r="J1302" s="610">
        <v>0</v>
      </c>
      <c r="K1302" s="610">
        <v>12</v>
      </c>
      <c r="L1302" s="611">
        <f t="shared" si="413"/>
        <v>2</v>
      </c>
      <c r="M1302" s="612">
        <v>46225</v>
      </c>
      <c r="N1302" s="724">
        <v>46225</v>
      </c>
      <c r="O1302" s="613"/>
      <c r="P1302" s="613" t="s">
        <v>113</v>
      </c>
      <c r="Q1302" s="614">
        <v>46228</v>
      </c>
      <c r="R1302" s="614">
        <v>46171</v>
      </c>
      <c r="S1302" s="614" t="s">
        <v>104</v>
      </c>
      <c r="T1302" s="614" t="s">
        <v>5082</v>
      </c>
      <c r="U1302" s="614"/>
      <c r="V1302" s="614"/>
      <c r="W1302" s="609"/>
      <c r="X1302" s="609" t="s">
        <v>5083</v>
      </c>
      <c r="Y1302" s="616" t="s">
        <v>3820</v>
      </c>
      <c r="Z1302" s="625">
        <v>4.3734</v>
      </c>
      <c r="AA1302" s="616">
        <f t="shared" si="414"/>
        <v>104.9616</v>
      </c>
      <c r="AB1302" s="554"/>
      <c r="AC1302" s="617"/>
      <c r="AD1302" s="610" t="s">
        <v>184</v>
      </c>
      <c r="AE1302" s="610" t="s">
        <v>82</v>
      </c>
      <c r="AF1302" s="610"/>
      <c r="AG1302" s="610"/>
      <c r="AH1302" s="610"/>
      <c r="AI1302" s="609">
        <v>24</v>
      </c>
      <c r="AJ1302" s="613">
        <f t="shared" si="415"/>
        <v>0</v>
      </c>
      <c r="AK1302" s="610"/>
      <c r="AL1302" s="610" t="s">
        <v>2368</v>
      </c>
      <c r="AM1302" s="554"/>
      <c r="AN1302" s="554">
        <f t="shared" si="404"/>
        <v>24</v>
      </c>
      <c r="AO1302" s="554"/>
      <c r="AP1302" s="554"/>
      <c r="AQ1302" s="554"/>
      <c r="AR1302" s="554"/>
      <c r="AS1302" s="554">
        <f t="shared" si="416"/>
        <v>24</v>
      </c>
      <c r="AT1302" s="554"/>
      <c r="AU1302" s="554">
        <f t="shared" si="417"/>
        <v>24</v>
      </c>
      <c r="AV1302" s="554"/>
      <c r="AW1302" s="554">
        <f t="shared" si="418"/>
        <v>24</v>
      </c>
      <c r="AX1302" s="714"/>
      <c r="AY1302" s="554"/>
      <c r="AZ1302" s="554"/>
      <c r="BA1302" s="554"/>
      <c r="BB1302" s="554"/>
      <c r="BC1302" s="554"/>
      <c r="BD1302" s="554"/>
      <c r="BE1302" s="554"/>
      <c r="BF1302" s="554"/>
      <c r="BG1302" s="554"/>
      <c r="BH1302" s="554"/>
      <c r="BI1302" s="554"/>
      <c r="BJ1302" s="554"/>
      <c r="BK1302" s="554"/>
      <c r="BL1302" s="554"/>
      <c r="BM1302" s="554"/>
      <c r="BN1302" s="554"/>
      <c r="BO1302" s="554"/>
      <c r="BP1302" s="554"/>
      <c r="BQ1302" s="554"/>
      <c r="BR1302" s="554"/>
      <c r="BS1302" s="554"/>
      <c r="BT1302" s="554"/>
      <c r="BU1302" s="554"/>
      <c r="BV1302" s="554"/>
      <c r="BW1302" s="554"/>
      <c r="BX1302" s="554"/>
      <c r="BY1302" s="554"/>
      <c r="BZ1302" s="554"/>
      <c r="CA1302" s="554"/>
      <c r="CB1302" s="554"/>
      <c r="CC1302" s="554"/>
      <c r="CD1302" s="554"/>
      <c r="CE1302" s="554"/>
      <c r="CF1302" s="554"/>
      <c r="CG1302" s="554"/>
      <c r="CH1302" s="619"/>
      <c r="CI1302" s="619"/>
      <c r="CJ1302" s="619"/>
      <c r="CK1302" s="619"/>
      <c r="CL1302" s="619"/>
      <c r="CM1302" s="554"/>
      <c r="CN1302" s="554"/>
      <c r="CO1302" s="554"/>
      <c r="CP1302" s="619"/>
      <c r="CQ1302" s="619"/>
      <c r="CR1302" s="619"/>
      <c r="CS1302" s="619"/>
      <c r="CT1302" s="619"/>
      <c r="CU1302" s="619"/>
    </row>
    <row r="1303" s="1267" customFormat="1" ht="31" customHeight="1" spans="1:99">
      <c r="A1303" s="608">
        <v>46171</v>
      </c>
      <c r="B1303" s="609" t="s">
        <v>5078</v>
      </c>
      <c r="C1303" s="610" t="s">
        <v>170</v>
      </c>
      <c r="D1303" s="554" t="s">
        <v>5079</v>
      </c>
      <c r="E1303" s="610" t="s">
        <v>5090</v>
      </c>
      <c r="F1303" s="554" t="s">
        <v>5091</v>
      </c>
      <c r="G1303" s="610" t="s">
        <v>68</v>
      </c>
      <c r="H1303" s="610" t="s">
        <v>69</v>
      </c>
      <c r="I1303" s="715">
        <v>36</v>
      </c>
      <c r="J1303" s="610">
        <v>0</v>
      </c>
      <c r="K1303" s="610">
        <v>12</v>
      </c>
      <c r="L1303" s="611">
        <f t="shared" si="413"/>
        <v>3</v>
      </c>
      <c r="M1303" s="612">
        <v>46225</v>
      </c>
      <c r="N1303" s="724">
        <v>46225</v>
      </c>
      <c r="O1303" s="613"/>
      <c r="P1303" s="613" t="s">
        <v>113</v>
      </c>
      <c r="Q1303" s="614">
        <v>46228</v>
      </c>
      <c r="R1303" s="614">
        <v>46171</v>
      </c>
      <c r="S1303" s="614" t="s">
        <v>104</v>
      </c>
      <c r="T1303" s="614" t="s">
        <v>5082</v>
      </c>
      <c r="U1303" s="614"/>
      <c r="V1303" s="614"/>
      <c r="W1303" s="609"/>
      <c r="X1303" s="609" t="s">
        <v>5083</v>
      </c>
      <c r="Y1303" s="616" t="s">
        <v>3820</v>
      </c>
      <c r="Z1303" s="625">
        <v>4.3734</v>
      </c>
      <c r="AA1303" s="616">
        <f t="shared" si="414"/>
        <v>157.4424</v>
      </c>
      <c r="AB1303" s="554"/>
      <c r="AC1303" s="617"/>
      <c r="AD1303" s="610" t="s">
        <v>184</v>
      </c>
      <c r="AE1303" s="610" t="s">
        <v>82</v>
      </c>
      <c r="AF1303" s="610"/>
      <c r="AG1303" s="610"/>
      <c r="AH1303" s="610"/>
      <c r="AI1303" s="609">
        <v>36</v>
      </c>
      <c r="AJ1303" s="613">
        <f t="shared" si="415"/>
        <v>0</v>
      </c>
      <c r="AK1303" s="610"/>
      <c r="AL1303" s="610" t="s">
        <v>2368</v>
      </c>
      <c r="AM1303" s="554"/>
      <c r="AN1303" s="554">
        <f t="shared" si="404"/>
        <v>36</v>
      </c>
      <c r="AO1303" s="554"/>
      <c r="AP1303" s="554"/>
      <c r="AQ1303" s="554"/>
      <c r="AR1303" s="554"/>
      <c r="AS1303" s="554">
        <f t="shared" si="416"/>
        <v>36</v>
      </c>
      <c r="AT1303" s="554"/>
      <c r="AU1303" s="554">
        <f t="shared" si="417"/>
        <v>36</v>
      </c>
      <c r="AV1303" s="554"/>
      <c r="AW1303" s="554">
        <f t="shared" si="418"/>
        <v>36</v>
      </c>
      <c r="AX1303" s="714"/>
      <c r="AY1303" s="554"/>
      <c r="AZ1303" s="554"/>
      <c r="BA1303" s="554"/>
      <c r="BB1303" s="554"/>
      <c r="BC1303" s="554"/>
      <c r="BD1303" s="554"/>
      <c r="BE1303" s="554"/>
      <c r="BF1303" s="554"/>
      <c r="BG1303" s="554"/>
      <c r="BH1303" s="554"/>
      <c r="BI1303" s="554"/>
      <c r="BJ1303" s="554"/>
      <c r="BK1303" s="554"/>
      <c r="BL1303" s="554"/>
      <c r="BM1303" s="554"/>
      <c r="BN1303" s="554"/>
      <c r="BO1303" s="554"/>
      <c r="BP1303" s="554"/>
      <c r="BQ1303" s="554"/>
      <c r="BR1303" s="554"/>
      <c r="BS1303" s="554"/>
      <c r="BT1303" s="554"/>
      <c r="BU1303" s="554"/>
      <c r="BV1303" s="554"/>
      <c r="BW1303" s="554"/>
      <c r="BX1303" s="554"/>
      <c r="BY1303" s="554"/>
      <c r="BZ1303" s="554"/>
      <c r="CA1303" s="554"/>
      <c r="CB1303" s="554"/>
      <c r="CC1303" s="554"/>
      <c r="CD1303" s="554"/>
      <c r="CE1303" s="554"/>
      <c r="CF1303" s="554"/>
      <c r="CG1303" s="554"/>
      <c r="CH1303" s="619"/>
      <c r="CI1303" s="619"/>
      <c r="CJ1303" s="619"/>
      <c r="CK1303" s="619"/>
      <c r="CL1303" s="619"/>
      <c r="CM1303" s="554"/>
      <c r="CN1303" s="554"/>
      <c r="CO1303" s="554"/>
      <c r="CP1303" s="619"/>
      <c r="CQ1303" s="619"/>
      <c r="CR1303" s="619"/>
      <c r="CS1303" s="619"/>
      <c r="CT1303" s="619"/>
      <c r="CU1303" s="619"/>
    </row>
    <row r="1304" s="1267" customFormat="1" ht="31" customHeight="1" spans="1:99">
      <c r="A1304" s="608">
        <v>46171</v>
      </c>
      <c r="B1304" s="609" t="s">
        <v>5078</v>
      </c>
      <c r="C1304" s="610" t="s">
        <v>170</v>
      </c>
      <c r="D1304" s="554" t="s">
        <v>5079</v>
      </c>
      <c r="E1304" s="610" t="s">
        <v>5092</v>
      </c>
      <c r="F1304" s="554" t="s">
        <v>5093</v>
      </c>
      <c r="G1304" s="610" t="s">
        <v>68</v>
      </c>
      <c r="H1304" s="610" t="s">
        <v>69</v>
      </c>
      <c r="I1304" s="715">
        <v>48</v>
      </c>
      <c r="J1304" s="610">
        <v>0</v>
      </c>
      <c r="K1304" s="610">
        <v>12</v>
      </c>
      <c r="L1304" s="611">
        <f t="shared" si="413"/>
        <v>4</v>
      </c>
      <c r="M1304" s="612">
        <v>46225</v>
      </c>
      <c r="N1304" s="724">
        <v>46225</v>
      </c>
      <c r="O1304" s="613"/>
      <c r="P1304" s="613" t="s">
        <v>113</v>
      </c>
      <c r="Q1304" s="614">
        <v>46228</v>
      </c>
      <c r="R1304" s="614">
        <v>46171</v>
      </c>
      <c r="S1304" s="614" t="s">
        <v>104</v>
      </c>
      <c r="T1304" s="614" t="s">
        <v>5082</v>
      </c>
      <c r="U1304" s="614"/>
      <c r="V1304" s="614"/>
      <c r="W1304" s="609"/>
      <c r="X1304" s="609" t="s">
        <v>5083</v>
      </c>
      <c r="Y1304" s="616" t="s">
        <v>3820</v>
      </c>
      <c r="Z1304" s="625">
        <v>4.3734</v>
      </c>
      <c r="AA1304" s="616">
        <f t="shared" si="414"/>
        <v>209.9232</v>
      </c>
      <c r="AB1304" s="554"/>
      <c r="AC1304" s="617"/>
      <c r="AD1304" s="610" t="s">
        <v>184</v>
      </c>
      <c r="AE1304" s="610" t="s">
        <v>82</v>
      </c>
      <c r="AF1304" s="610"/>
      <c r="AG1304" s="610"/>
      <c r="AH1304" s="610"/>
      <c r="AI1304" s="609">
        <v>48</v>
      </c>
      <c r="AJ1304" s="613">
        <f t="shared" si="415"/>
        <v>0</v>
      </c>
      <c r="AK1304" s="610"/>
      <c r="AL1304" s="610" t="s">
        <v>2368</v>
      </c>
      <c r="AM1304" s="554"/>
      <c r="AN1304" s="554">
        <f t="shared" si="404"/>
        <v>48</v>
      </c>
      <c r="AO1304" s="554"/>
      <c r="AP1304" s="554"/>
      <c r="AQ1304" s="554"/>
      <c r="AR1304" s="554"/>
      <c r="AS1304" s="554">
        <f t="shared" si="416"/>
        <v>48</v>
      </c>
      <c r="AT1304" s="554"/>
      <c r="AU1304" s="554">
        <f t="shared" si="417"/>
        <v>48</v>
      </c>
      <c r="AV1304" s="554"/>
      <c r="AW1304" s="554">
        <f t="shared" si="418"/>
        <v>48</v>
      </c>
      <c r="AX1304" s="714"/>
      <c r="AY1304" s="554"/>
      <c r="AZ1304" s="554"/>
      <c r="BA1304" s="554"/>
      <c r="BB1304" s="554"/>
      <c r="BC1304" s="554"/>
      <c r="BD1304" s="554"/>
      <c r="BE1304" s="554"/>
      <c r="BF1304" s="554"/>
      <c r="BG1304" s="554"/>
      <c r="BH1304" s="554"/>
      <c r="BI1304" s="554"/>
      <c r="BJ1304" s="554"/>
      <c r="BK1304" s="554"/>
      <c r="BL1304" s="554"/>
      <c r="BM1304" s="554"/>
      <c r="BN1304" s="554"/>
      <c r="BO1304" s="554"/>
      <c r="BP1304" s="554"/>
      <c r="BQ1304" s="554"/>
      <c r="BR1304" s="554"/>
      <c r="BS1304" s="554"/>
      <c r="BT1304" s="554"/>
      <c r="BU1304" s="554"/>
      <c r="BV1304" s="554"/>
      <c r="BW1304" s="554"/>
      <c r="BX1304" s="554"/>
      <c r="BY1304" s="554"/>
      <c r="BZ1304" s="554"/>
      <c r="CA1304" s="554"/>
      <c r="CB1304" s="554"/>
      <c r="CC1304" s="554"/>
      <c r="CD1304" s="554"/>
      <c r="CE1304" s="554"/>
      <c r="CF1304" s="554"/>
      <c r="CG1304" s="554"/>
      <c r="CH1304" s="619"/>
      <c r="CI1304" s="619"/>
      <c r="CJ1304" s="619"/>
      <c r="CK1304" s="619"/>
      <c r="CL1304" s="619"/>
      <c r="CM1304" s="554"/>
      <c r="CN1304" s="554"/>
      <c r="CO1304" s="554"/>
      <c r="CP1304" s="619"/>
      <c r="CQ1304" s="619"/>
      <c r="CR1304" s="619"/>
      <c r="CS1304" s="619"/>
      <c r="CT1304" s="619"/>
      <c r="CU1304" s="619"/>
    </row>
    <row r="1305" s="1267" customFormat="1" ht="31" customHeight="1" spans="1:99">
      <c r="A1305" s="608">
        <v>46171</v>
      </c>
      <c r="B1305" s="609" t="s">
        <v>5078</v>
      </c>
      <c r="C1305" s="610" t="s">
        <v>170</v>
      </c>
      <c r="D1305" s="554" t="s">
        <v>5079</v>
      </c>
      <c r="E1305" s="610" t="s">
        <v>5094</v>
      </c>
      <c r="F1305" s="554" t="s">
        <v>5095</v>
      </c>
      <c r="G1305" s="610" t="s">
        <v>68</v>
      </c>
      <c r="H1305" s="610" t="s">
        <v>69</v>
      </c>
      <c r="I1305" s="715">
        <v>24</v>
      </c>
      <c r="J1305" s="610">
        <v>0</v>
      </c>
      <c r="K1305" s="610">
        <v>12</v>
      </c>
      <c r="L1305" s="611">
        <f t="shared" si="413"/>
        <v>2</v>
      </c>
      <c r="M1305" s="612">
        <v>46225</v>
      </c>
      <c r="N1305" s="724">
        <v>46225</v>
      </c>
      <c r="O1305" s="613"/>
      <c r="P1305" s="613" t="s">
        <v>113</v>
      </c>
      <c r="Q1305" s="614">
        <v>46228</v>
      </c>
      <c r="R1305" s="614">
        <v>46171</v>
      </c>
      <c r="S1305" s="614" t="s">
        <v>104</v>
      </c>
      <c r="T1305" s="614" t="s">
        <v>5082</v>
      </c>
      <c r="U1305" s="614"/>
      <c r="V1305" s="614"/>
      <c r="W1305" s="609"/>
      <c r="X1305" s="609" t="s">
        <v>5083</v>
      </c>
      <c r="Y1305" s="616" t="s">
        <v>3820</v>
      </c>
      <c r="Z1305" s="625">
        <v>4.3734</v>
      </c>
      <c r="AA1305" s="616">
        <f t="shared" si="414"/>
        <v>104.9616</v>
      </c>
      <c r="AB1305" s="554"/>
      <c r="AC1305" s="617"/>
      <c r="AD1305" s="610" t="s">
        <v>184</v>
      </c>
      <c r="AE1305" s="610" t="s">
        <v>82</v>
      </c>
      <c r="AF1305" s="610"/>
      <c r="AG1305" s="610"/>
      <c r="AH1305" s="610"/>
      <c r="AI1305" s="609">
        <v>24</v>
      </c>
      <c r="AJ1305" s="613">
        <f t="shared" si="415"/>
        <v>0</v>
      </c>
      <c r="AK1305" s="610"/>
      <c r="AL1305" s="610" t="s">
        <v>2368</v>
      </c>
      <c r="AM1305" s="554"/>
      <c r="AN1305" s="554">
        <f t="shared" si="404"/>
        <v>24</v>
      </c>
      <c r="AO1305" s="554"/>
      <c r="AP1305" s="554"/>
      <c r="AQ1305" s="554"/>
      <c r="AR1305" s="554"/>
      <c r="AS1305" s="554">
        <f t="shared" si="416"/>
        <v>24</v>
      </c>
      <c r="AT1305" s="554"/>
      <c r="AU1305" s="554">
        <f t="shared" si="417"/>
        <v>24</v>
      </c>
      <c r="AV1305" s="554"/>
      <c r="AW1305" s="554">
        <f t="shared" si="418"/>
        <v>24</v>
      </c>
      <c r="AX1305" s="714"/>
      <c r="AY1305" s="554"/>
      <c r="AZ1305" s="554"/>
      <c r="BA1305" s="554"/>
      <c r="BB1305" s="554"/>
      <c r="BC1305" s="554"/>
      <c r="BD1305" s="554"/>
      <c r="BE1305" s="554"/>
      <c r="BF1305" s="554"/>
      <c r="BG1305" s="554"/>
      <c r="BH1305" s="554"/>
      <c r="BI1305" s="554"/>
      <c r="BJ1305" s="554"/>
      <c r="BK1305" s="554"/>
      <c r="BL1305" s="554"/>
      <c r="BM1305" s="554"/>
      <c r="BN1305" s="554"/>
      <c r="BO1305" s="554"/>
      <c r="BP1305" s="554"/>
      <c r="BQ1305" s="554"/>
      <c r="BR1305" s="554"/>
      <c r="BS1305" s="554"/>
      <c r="BT1305" s="554"/>
      <c r="BU1305" s="554"/>
      <c r="BV1305" s="554"/>
      <c r="BW1305" s="554"/>
      <c r="BX1305" s="554"/>
      <c r="BY1305" s="554"/>
      <c r="BZ1305" s="554"/>
      <c r="CA1305" s="554"/>
      <c r="CB1305" s="554"/>
      <c r="CC1305" s="554"/>
      <c r="CD1305" s="554"/>
      <c r="CE1305" s="554"/>
      <c r="CF1305" s="554"/>
      <c r="CG1305" s="554"/>
      <c r="CH1305" s="619"/>
      <c r="CI1305" s="619"/>
      <c r="CJ1305" s="619"/>
      <c r="CK1305" s="619"/>
      <c r="CL1305" s="619"/>
      <c r="CM1305" s="554"/>
      <c r="CN1305" s="554"/>
      <c r="CO1305" s="554"/>
      <c r="CP1305" s="619"/>
      <c r="CQ1305" s="619"/>
      <c r="CR1305" s="619"/>
      <c r="CS1305" s="619"/>
      <c r="CT1305" s="619"/>
      <c r="CU1305" s="619"/>
    </row>
    <row r="1306" s="1267" customFormat="1" ht="31" customHeight="1" spans="1:99">
      <c r="A1306" s="608">
        <v>46171</v>
      </c>
      <c r="B1306" s="609" t="s">
        <v>5078</v>
      </c>
      <c r="C1306" s="610" t="s">
        <v>170</v>
      </c>
      <c r="D1306" s="554" t="s">
        <v>5079</v>
      </c>
      <c r="E1306" s="610" t="s">
        <v>5096</v>
      </c>
      <c r="F1306" s="554" t="s">
        <v>5097</v>
      </c>
      <c r="G1306" s="610" t="s">
        <v>68</v>
      </c>
      <c r="H1306" s="610" t="s">
        <v>69</v>
      </c>
      <c r="I1306" s="715">
        <v>24</v>
      </c>
      <c r="J1306" s="610">
        <v>0</v>
      </c>
      <c r="K1306" s="610">
        <v>12</v>
      </c>
      <c r="L1306" s="611">
        <f t="shared" si="413"/>
        <v>2</v>
      </c>
      <c r="M1306" s="612">
        <v>46225</v>
      </c>
      <c r="N1306" s="724">
        <v>46225</v>
      </c>
      <c r="O1306" s="613"/>
      <c r="P1306" s="613" t="s">
        <v>113</v>
      </c>
      <c r="Q1306" s="614">
        <v>46228</v>
      </c>
      <c r="R1306" s="614">
        <v>46171</v>
      </c>
      <c r="S1306" s="614" t="s">
        <v>104</v>
      </c>
      <c r="T1306" s="614" t="s">
        <v>5082</v>
      </c>
      <c r="U1306" s="614"/>
      <c r="V1306" s="614"/>
      <c r="W1306" s="609"/>
      <c r="X1306" s="609" t="s">
        <v>5083</v>
      </c>
      <c r="Y1306" s="616" t="s">
        <v>3820</v>
      </c>
      <c r="Z1306" s="625">
        <v>4.3734</v>
      </c>
      <c r="AA1306" s="616">
        <f t="shared" si="414"/>
        <v>104.9616</v>
      </c>
      <c r="AB1306" s="554"/>
      <c r="AC1306" s="617"/>
      <c r="AD1306" s="610" t="s">
        <v>184</v>
      </c>
      <c r="AE1306" s="610" t="s">
        <v>82</v>
      </c>
      <c r="AF1306" s="610"/>
      <c r="AG1306" s="610"/>
      <c r="AH1306" s="610"/>
      <c r="AI1306" s="609">
        <v>24</v>
      </c>
      <c r="AJ1306" s="613">
        <f t="shared" si="415"/>
        <v>0</v>
      </c>
      <c r="AK1306" s="610"/>
      <c r="AL1306" s="610" t="s">
        <v>2368</v>
      </c>
      <c r="AM1306" s="554"/>
      <c r="AN1306" s="554">
        <f t="shared" si="404"/>
        <v>24</v>
      </c>
      <c r="AO1306" s="554"/>
      <c r="AP1306" s="554"/>
      <c r="AQ1306" s="554"/>
      <c r="AR1306" s="554"/>
      <c r="AS1306" s="554">
        <f t="shared" si="416"/>
        <v>24</v>
      </c>
      <c r="AT1306" s="554"/>
      <c r="AU1306" s="554">
        <f t="shared" si="417"/>
        <v>24</v>
      </c>
      <c r="AV1306" s="554"/>
      <c r="AW1306" s="554">
        <f t="shared" si="418"/>
        <v>24</v>
      </c>
      <c r="AX1306" s="714"/>
      <c r="AY1306" s="554"/>
      <c r="AZ1306" s="554"/>
      <c r="BA1306" s="554"/>
      <c r="BB1306" s="554"/>
      <c r="BC1306" s="554"/>
      <c r="BD1306" s="554"/>
      <c r="BE1306" s="554"/>
      <c r="BF1306" s="554"/>
      <c r="BG1306" s="554"/>
      <c r="BH1306" s="554"/>
      <c r="BI1306" s="554"/>
      <c r="BJ1306" s="554"/>
      <c r="BK1306" s="554"/>
      <c r="BL1306" s="554"/>
      <c r="BM1306" s="554"/>
      <c r="BN1306" s="554"/>
      <c r="BO1306" s="554"/>
      <c r="BP1306" s="554"/>
      <c r="BQ1306" s="554"/>
      <c r="BR1306" s="554"/>
      <c r="BS1306" s="554"/>
      <c r="BT1306" s="554"/>
      <c r="BU1306" s="554"/>
      <c r="BV1306" s="554"/>
      <c r="BW1306" s="554"/>
      <c r="BX1306" s="554"/>
      <c r="BY1306" s="554"/>
      <c r="BZ1306" s="554"/>
      <c r="CA1306" s="554"/>
      <c r="CB1306" s="554"/>
      <c r="CC1306" s="554"/>
      <c r="CD1306" s="554"/>
      <c r="CE1306" s="554"/>
      <c r="CF1306" s="554"/>
      <c r="CG1306" s="554"/>
      <c r="CH1306" s="619"/>
      <c r="CI1306" s="619"/>
      <c r="CJ1306" s="619"/>
      <c r="CK1306" s="619"/>
      <c r="CL1306" s="619"/>
      <c r="CM1306" s="554"/>
      <c r="CN1306" s="554"/>
      <c r="CO1306" s="554"/>
      <c r="CP1306" s="619"/>
      <c r="CQ1306" s="619"/>
      <c r="CR1306" s="619"/>
      <c r="CS1306" s="619"/>
      <c r="CT1306" s="619"/>
      <c r="CU1306" s="619"/>
    </row>
    <row r="1307" s="1267" customFormat="1" ht="31" customHeight="1" spans="1:99">
      <c r="A1307" s="608">
        <v>46171</v>
      </c>
      <c r="B1307" s="609" t="s">
        <v>5078</v>
      </c>
      <c r="C1307" s="610" t="s">
        <v>170</v>
      </c>
      <c r="D1307" s="554" t="s">
        <v>5079</v>
      </c>
      <c r="E1307" s="610" t="s">
        <v>5098</v>
      </c>
      <c r="F1307" s="554" t="s">
        <v>5099</v>
      </c>
      <c r="G1307" s="610" t="s">
        <v>68</v>
      </c>
      <c r="H1307" s="610" t="s">
        <v>69</v>
      </c>
      <c r="I1307" s="715">
        <v>24</v>
      </c>
      <c r="J1307" s="610">
        <v>0</v>
      </c>
      <c r="K1307" s="610">
        <v>12</v>
      </c>
      <c r="L1307" s="611">
        <f t="shared" si="413"/>
        <v>2</v>
      </c>
      <c r="M1307" s="612">
        <v>46225</v>
      </c>
      <c r="N1307" s="724">
        <v>46225</v>
      </c>
      <c r="O1307" s="613"/>
      <c r="P1307" s="613" t="s">
        <v>113</v>
      </c>
      <c r="Q1307" s="614">
        <v>46228</v>
      </c>
      <c r="R1307" s="614">
        <v>46171</v>
      </c>
      <c r="S1307" s="614" t="s">
        <v>104</v>
      </c>
      <c r="T1307" s="614" t="s">
        <v>5082</v>
      </c>
      <c r="U1307" s="614"/>
      <c r="V1307" s="614"/>
      <c r="W1307" s="609"/>
      <c r="X1307" s="609" t="s">
        <v>5083</v>
      </c>
      <c r="Y1307" s="616" t="s">
        <v>3820</v>
      </c>
      <c r="Z1307" s="625">
        <v>4.3734</v>
      </c>
      <c r="AA1307" s="616">
        <f t="shared" si="414"/>
        <v>104.9616</v>
      </c>
      <c r="AB1307" s="554"/>
      <c r="AC1307" s="617"/>
      <c r="AD1307" s="610" t="s">
        <v>184</v>
      </c>
      <c r="AE1307" s="610" t="s">
        <v>82</v>
      </c>
      <c r="AF1307" s="610"/>
      <c r="AG1307" s="610"/>
      <c r="AH1307" s="610"/>
      <c r="AI1307" s="609">
        <v>24</v>
      </c>
      <c r="AJ1307" s="613">
        <f t="shared" si="415"/>
        <v>0</v>
      </c>
      <c r="AK1307" s="610"/>
      <c r="AL1307" s="610" t="s">
        <v>2368</v>
      </c>
      <c r="AM1307" s="554"/>
      <c r="AN1307" s="554">
        <f t="shared" si="404"/>
        <v>24</v>
      </c>
      <c r="AO1307" s="554"/>
      <c r="AP1307" s="554"/>
      <c r="AQ1307" s="554"/>
      <c r="AR1307" s="554"/>
      <c r="AS1307" s="554">
        <f t="shared" si="416"/>
        <v>24</v>
      </c>
      <c r="AT1307" s="554"/>
      <c r="AU1307" s="554">
        <f t="shared" si="417"/>
        <v>24</v>
      </c>
      <c r="AV1307" s="554"/>
      <c r="AW1307" s="554">
        <f t="shared" si="418"/>
        <v>24</v>
      </c>
      <c r="AX1307" s="714"/>
      <c r="AY1307" s="554"/>
      <c r="AZ1307" s="554"/>
      <c r="BA1307" s="554"/>
      <c r="BB1307" s="554"/>
      <c r="BC1307" s="554"/>
      <c r="BD1307" s="554"/>
      <c r="BE1307" s="554"/>
      <c r="BF1307" s="554"/>
      <c r="BG1307" s="554"/>
      <c r="BH1307" s="554"/>
      <c r="BI1307" s="554"/>
      <c r="BJ1307" s="554"/>
      <c r="BK1307" s="554"/>
      <c r="BL1307" s="554"/>
      <c r="BM1307" s="554"/>
      <c r="BN1307" s="554"/>
      <c r="BO1307" s="554"/>
      <c r="BP1307" s="554"/>
      <c r="BQ1307" s="554"/>
      <c r="BR1307" s="554"/>
      <c r="BS1307" s="554"/>
      <c r="BT1307" s="554"/>
      <c r="BU1307" s="554"/>
      <c r="BV1307" s="554"/>
      <c r="BW1307" s="554"/>
      <c r="BX1307" s="554"/>
      <c r="BY1307" s="554"/>
      <c r="BZ1307" s="554"/>
      <c r="CA1307" s="554"/>
      <c r="CB1307" s="554"/>
      <c r="CC1307" s="554"/>
      <c r="CD1307" s="554"/>
      <c r="CE1307" s="554"/>
      <c r="CF1307" s="554"/>
      <c r="CG1307" s="554"/>
      <c r="CH1307" s="619"/>
      <c r="CI1307" s="619"/>
      <c r="CJ1307" s="619"/>
      <c r="CK1307" s="619"/>
      <c r="CL1307" s="619"/>
      <c r="CM1307" s="554"/>
      <c r="CN1307" s="554"/>
      <c r="CO1307" s="554"/>
      <c r="CP1307" s="619"/>
      <c r="CQ1307" s="619"/>
      <c r="CR1307" s="619"/>
      <c r="CS1307" s="619"/>
      <c r="CT1307" s="619"/>
      <c r="CU1307" s="619"/>
    </row>
    <row r="1308" s="1267" customFormat="1" ht="31" customHeight="1" spans="1:99">
      <c r="A1308" s="608">
        <v>46171</v>
      </c>
      <c r="B1308" s="609" t="s">
        <v>5078</v>
      </c>
      <c r="C1308" s="610" t="s">
        <v>170</v>
      </c>
      <c r="D1308" s="554" t="s">
        <v>5100</v>
      </c>
      <c r="E1308" s="610" t="s">
        <v>5101</v>
      </c>
      <c r="F1308" s="554" t="s">
        <v>5102</v>
      </c>
      <c r="G1308" s="610" t="s">
        <v>68</v>
      </c>
      <c r="H1308" s="610" t="s">
        <v>69</v>
      </c>
      <c r="I1308" s="715">
        <v>36</v>
      </c>
      <c r="J1308" s="610">
        <v>0</v>
      </c>
      <c r="K1308" s="610">
        <v>12</v>
      </c>
      <c r="L1308" s="611">
        <f t="shared" si="413"/>
        <v>3</v>
      </c>
      <c r="M1308" s="612">
        <v>46225</v>
      </c>
      <c r="N1308" s="724">
        <v>46225</v>
      </c>
      <c r="O1308" s="613"/>
      <c r="P1308" s="613" t="s">
        <v>113</v>
      </c>
      <c r="Q1308" s="614">
        <v>46228</v>
      </c>
      <c r="R1308" s="614">
        <v>46171</v>
      </c>
      <c r="S1308" s="614" t="s">
        <v>104</v>
      </c>
      <c r="T1308" s="614" t="s">
        <v>5082</v>
      </c>
      <c r="U1308" s="614"/>
      <c r="V1308" s="614"/>
      <c r="W1308" s="609"/>
      <c r="X1308" s="609" t="s">
        <v>5103</v>
      </c>
      <c r="Y1308" s="616" t="s">
        <v>3820</v>
      </c>
      <c r="Z1308" s="625">
        <v>4.3734</v>
      </c>
      <c r="AA1308" s="616">
        <f t="shared" si="414"/>
        <v>157.4424</v>
      </c>
      <c r="AB1308" s="554"/>
      <c r="AC1308" s="617"/>
      <c r="AD1308" s="610" t="s">
        <v>184</v>
      </c>
      <c r="AE1308" s="610" t="s">
        <v>82</v>
      </c>
      <c r="AF1308" s="610"/>
      <c r="AG1308" s="610"/>
      <c r="AH1308" s="610"/>
      <c r="AI1308" s="609">
        <v>36</v>
      </c>
      <c r="AJ1308" s="613">
        <f t="shared" si="415"/>
        <v>0</v>
      </c>
      <c r="AK1308" s="610"/>
      <c r="AL1308" s="610" t="s">
        <v>454</v>
      </c>
      <c r="AM1308" s="554"/>
      <c r="AN1308" s="554">
        <f t="shared" si="404"/>
        <v>36</v>
      </c>
      <c r="AO1308" s="554"/>
      <c r="AP1308" s="554"/>
      <c r="AQ1308" s="554"/>
      <c r="AR1308" s="554"/>
      <c r="AS1308" s="554">
        <f t="shared" si="416"/>
        <v>36</v>
      </c>
      <c r="AT1308" s="554"/>
      <c r="AU1308" s="554">
        <f t="shared" si="417"/>
        <v>36</v>
      </c>
      <c r="AV1308" s="554"/>
      <c r="AW1308" s="554">
        <f t="shared" si="418"/>
        <v>36</v>
      </c>
      <c r="AX1308" s="714"/>
      <c r="AY1308" s="554"/>
      <c r="AZ1308" s="554"/>
      <c r="BA1308" s="554"/>
      <c r="BB1308" s="554"/>
      <c r="BC1308" s="554"/>
      <c r="BD1308" s="554"/>
      <c r="BE1308" s="554"/>
      <c r="BF1308" s="554"/>
      <c r="BG1308" s="554"/>
      <c r="BH1308" s="554"/>
      <c r="BI1308" s="554"/>
      <c r="BJ1308" s="554"/>
      <c r="BK1308" s="554"/>
      <c r="BL1308" s="554"/>
      <c r="BM1308" s="554"/>
      <c r="BN1308" s="554"/>
      <c r="BO1308" s="554"/>
      <c r="BP1308" s="554"/>
      <c r="BQ1308" s="554"/>
      <c r="BR1308" s="554"/>
      <c r="BS1308" s="554"/>
      <c r="BT1308" s="554"/>
      <c r="BU1308" s="554"/>
      <c r="BV1308" s="554"/>
      <c r="BW1308" s="554"/>
      <c r="BX1308" s="554"/>
      <c r="BY1308" s="554"/>
      <c r="BZ1308" s="554"/>
      <c r="CA1308" s="554"/>
      <c r="CB1308" s="554"/>
      <c r="CC1308" s="554"/>
      <c r="CD1308" s="554"/>
      <c r="CE1308" s="554"/>
      <c r="CF1308" s="554"/>
      <c r="CG1308" s="554"/>
      <c r="CH1308" s="619"/>
      <c r="CI1308" s="619"/>
      <c r="CJ1308" s="619"/>
      <c r="CK1308" s="619"/>
      <c r="CL1308" s="619"/>
      <c r="CM1308" s="554"/>
      <c r="CN1308" s="554"/>
      <c r="CO1308" s="554"/>
      <c r="CP1308" s="619"/>
      <c r="CQ1308" s="619"/>
      <c r="CR1308" s="619"/>
      <c r="CS1308" s="619"/>
      <c r="CT1308" s="619"/>
      <c r="CU1308" s="619"/>
    </row>
    <row r="1309" s="1267" customFormat="1" ht="31" customHeight="1" spans="1:99">
      <c r="A1309" s="608">
        <v>46171</v>
      </c>
      <c r="B1309" s="609" t="s">
        <v>5078</v>
      </c>
      <c r="C1309" s="610" t="s">
        <v>170</v>
      </c>
      <c r="D1309" s="554" t="s">
        <v>5104</v>
      </c>
      <c r="E1309" s="610" t="s">
        <v>5105</v>
      </c>
      <c r="F1309" s="554" t="s">
        <v>5106</v>
      </c>
      <c r="G1309" s="610" t="s">
        <v>68</v>
      </c>
      <c r="H1309" s="610" t="s">
        <v>69</v>
      </c>
      <c r="I1309" s="715">
        <v>36</v>
      </c>
      <c r="J1309" s="610">
        <v>0</v>
      </c>
      <c r="K1309" s="610">
        <v>12</v>
      </c>
      <c r="L1309" s="611">
        <f t="shared" si="413"/>
        <v>3</v>
      </c>
      <c r="M1309" s="612">
        <v>46225</v>
      </c>
      <c r="N1309" s="724">
        <v>46225</v>
      </c>
      <c r="O1309" s="613"/>
      <c r="P1309" s="613" t="s">
        <v>113</v>
      </c>
      <c r="Q1309" s="614"/>
      <c r="R1309" s="614">
        <v>46171</v>
      </c>
      <c r="S1309" s="614" t="s">
        <v>104</v>
      </c>
      <c r="T1309" s="614" t="s">
        <v>5082</v>
      </c>
      <c r="U1309" s="614"/>
      <c r="V1309" s="614"/>
      <c r="W1309" s="609"/>
      <c r="X1309" s="609" t="s">
        <v>5103</v>
      </c>
      <c r="Y1309" s="616" t="s">
        <v>3820</v>
      </c>
      <c r="Z1309" s="625">
        <v>4.3734</v>
      </c>
      <c r="AA1309" s="616">
        <f t="shared" si="414"/>
        <v>157.4424</v>
      </c>
      <c r="AB1309" s="554"/>
      <c r="AC1309" s="617"/>
      <c r="AD1309" s="610" t="s">
        <v>184</v>
      </c>
      <c r="AE1309" s="610" t="s">
        <v>82</v>
      </c>
      <c r="AF1309" s="610"/>
      <c r="AG1309" s="610"/>
      <c r="AH1309" s="610"/>
      <c r="AI1309" s="609">
        <v>36</v>
      </c>
      <c r="AJ1309" s="613">
        <f t="shared" si="415"/>
        <v>0</v>
      </c>
      <c r="AK1309" s="610"/>
      <c r="AL1309" s="610" t="s">
        <v>454</v>
      </c>
      <c r="AM1309" s="554"/>
      <c r="AN1309" s="554">
        <f t="shared" si="404"/>
        <v>36</v>
      </c>
      <c r="AO1309" s="554"/>
      <c r="AP1309" s="554"/>
      <c r="AQ1309" s="554"/>
      <c r="AR1309" s="554"/>
      <c r="AS1309" s="554">
        <f t="shared" si="416"/>
        <v>36</v>
      </c>
      <c r="AT1309" s="554"/>
      <c r="AU1309" s="554">
        <f t="shared" si="417"/>
        <v>36</v>
      </c>
      <c r="AV1309" s="554"/>
      <c r="AW1309" s="554">
        <f t="shared" si="418"/>
        <v>36</v>
      </c>
      <c r="AX1309" s="714"/>
      <c r="AY1309" s="554"/>
      <c r="AZ1309" s="554"/>
      <c r="BA1309" s="554"/>
      <c r="BB1309" s="554"/>
      <c r="BC1309" s="554"/>
      <c r="BD1309" s="554"/>
      <c r="BE1309" s="554"/>
      <c r="BF1309" s="554"/>
      <c r="BG1309" s="554"/>
      <c r="BH1309" s="554"/>
      <c r="BI1309" s="554"/>
      <c r="BJ1309" s="554"/>
      <c r="BK1309" s="554"/>
      <c r="BL1309" s="554"/>
      <c r="BM1309" s="554"/>
      <c r="BN1309" s="554"/>
      <c r="BO1309" s="554"/>
      <c r="BP1309" s="554"/>
      <c r="BQ1309" s="554"/>
      <c r="BR1309" s="554"/>
      <c r="BS1309" s="554"/>
      <c r="BT1309" s="554"/>
      <c r="BU1309" s="554"/>
      <c r="BV1309" s="554"/>
      <c r="BW1309" s="554"/>
      <c r="BX1309" s="554"/>
      <c r="BY1309" s="554"/>
      <c r="BZ1309" s="554"/>
      <c r="CA1309" s="554"/>
      <c r="CB1309" s="554"/>
      <c r="CC1309" s="554"/>
      <c r="CD1309" s="554"/>
      <c r="CE1309" s="554"/>
      <c r="CF1309" s="554"/>
      <c r="CG1309" s="554"/>
      <c r="CH1309" s="619"/>
      <c r="CI1309" s="619"/>
      <c r="CJ1309" s="619"/>
      <c r="CK1309" s="619"/>
      <c r="CL1309" s="619"/>
      <c r="CM1309" s="554"/>
      <c r="CN1309" s="554"/>
      <c r="CO1309" s="554"/>
      <c r="CP1309" s="619"/>
      <c r="CQ1309" s="619"/>
      <c r="CR1309" s="619"/>
      <c r="CS1309" s="619"/>
      <c r="CT1309" s="619"/>
      <c r="CU1309" s="619"/>
    </row>
    <row r="1310" s="1267" customFormat="1" ht="31" customHeight="1" spans="1:99">
      <c r="A1310" s="608">
        <v>46171</v>
      </c>
      <c r="B1310" s="609" t="s">
        <v>5078</v>
      </c>
      <c r="C1310" s="610" t="s">
        <v>170</v>
      </c>
      <c r="D1310" s="554" t="s">
        <v>5104</v>
      </c>
      <c r="E1310" s="610" t="s">
        <v>5107</v>
      </c>
      <c r="F1310" s="554" t="s">
        <v>5108</v>
      </c>
      <c r="G1310" s="610" t="s">
        <v>68</v>
      </c>
      <c r="H1310" s="610" t="s">
        <v>69</v>
      </c>
      <c r="I1310" s="715">
        <v>36</v>
      </c>
      <c r="J1310" s="610">
        <v>0</v>
      </c>
      <c r="K1310" s="610">
        <v>12</v>
      </c>
      <c r="L1310" s="611">
        <f t="shared" si="413"/>
        <v>3</v>
      </c>
      <c r="M1310" s="612">
        <v>46225</v>
      </c>
      <c r="N1310" s="724">
        <v>46225</v>
      </c>
      <c r="O1310" s="613"/>
      <c r="P1310" s="613" t="s">
        <v>113</v>
      </c>
      <c r="Q1310" s="614"/>
      <c r="R1310" s="614">
        <v>46171</v>
      </c>
      <c r="S1310" s="614" t="s">
        <v>104</v>
      </c>
      <c r="T1310" s="614" t="s">
        <v>5082</v>
      </c>
      <c r="U1310" s="614"/>
      <c r="V1310" s="614"/>
      <c r="W1310" s="609"/>
      <c r="X1310" s="609" t="s">
        <v>5103</v>
      </c>
      <c r="Y1310" s="616" t="s">
        <v>3820</v>
      </c>
      <c r="Z1310" s="625">
        <v>4.3734</v>
      </c>
      <c r="AA1310" s="616">
        <f t="shared" si="414"/>
        <v>157.4424</v>
      </c>
      <c r="AB1310" s="554"/>
      <c r="AC1310" s="617"/>
      <c r="AD1310" s="610" t="s">
        <v>184</v>
      </c>
      <c r="AE1310" s="610" t="s">
        <v>82</v>
      </c>
      <c r="AF1310" s="610"/>
      <c r="AG1310" s="610"/>
      <c r="AH1310" s="610"/>
      <c r="AI1310" s="609">
        <v>36</v>
      </c>
      <c r="AJ1310" s="613">
        <f t="shared" si="415"/>
        <v>0</v>
      </c>
      <c r="AK1310" s="610"/>
      <c r="AL1310" s="610" t="s">
        <v>454</v>
      </c>
      <c r="AM1310" s="554"/>
      <c r="AN1310" s="554">
        <f t="shared" si="404"/>
        <v>36</v>
      </c>
      <c r="AO1310" s="554"/>
      <c r="AP1310" s="554"/>
      <c r="AQ1310" s="554"/>
      <c r="AR1310" s="554"/>
      <c r="AS1310" s="554">
        <f t="shared" si="416"/>
        <v>36</v>
      </c>
      <c r="AT1310" s="554"/>
      <c r="AU1310" s="554">
        <f t="shared" si="417"/>
        <v>36</v>
      </c>
      <c r="AV1310" s="554"/>
      <c r="AW1310" s="554">
        <f t="shared" si="418"/>
        <v>36</v>
      </c>
      <c r="AX1310" s="714"/>
      <c r="AY1310" s="554"/>
      <c r="AZ1310" s="554"/>
      <c r="BA1310" s="554"/>
      <c r="BB1310" s="554"/>
      <c r="BC1310" s="554"/>
      <c r="BD1310" s="554"/>
      <c r="BE1310" s="554"/>
      <c r="BF1310" s="554"/>
      <c r="BG1310" s="554"/>
      <c r="BH1310" s="554"/>
      <c r="BI1310" s="554"/>
      <c r="BJ1310" s="554"/>
      <c r="BK1310" s="554"/>
      <c r="BL1310" s="554"/>
      <c r="BM1310" s="554"/>
      <c r="BN1310" s="554"/>
      <c r="BO1310" s="554"/>
      <c r="BP1310" s="554"/>
      <c r="BQ1310" s="554"/>
      <c r="BR1310" s="554"/>
      <c r="BS1310" s="554"/>
      <c r="BT1310" s="554"/>
      <c r="BU1310" s="554"/>
      <c r="BV1310" s="554"/>
      <c r="BW1310" s="554"/>
      <c r="BX1310" s="554"/>
      <c r="BY1310" s="554"/>
      <c r="BZ1310" s="554"/>
      <c r="CA1310" s="554"/>
      <c r="CB1310" s="554"/>
      <c r="CC1310" s="554"/>
      <c r="CD1310" s="554"/>
      <c r="CE1310" s="554"/>
      <c r="CF1310" s="554"/>
      <c r="CG1310" s="554"/>
      <c r="CH1310" s="619"/>
      <c r="CI1310" s="619"/>
      <c r="CJ1310" s="619"/>
      <c r="CK1310" s="619"/>
      <c r="CL1310" s="619"/>
      <c r="CM1310" s="554"/>
      <c r="CN1310" s="554"/>
      <c r="CO1310" s="554"/>
      <c r="CP1310" s="619"/>
      <c r="CQ1310" s="619"/>
      <c r="CR1310" s="619"/>
      <c r="CS1310" s="619"/>
      <c r="CT1310" s="619"/>
      <c r="CU1310" s="619"/>
    </row>
    <row r="1311" s="1267" customFormat="1" ht="31" customHeight="1" spans="1:99">
      <c r="A1311" s="608">
        <v>46171</v>
      </c>
      <c r="B1311" s="609" t="s">
        <v>5078</v>
      </c>
      <c r="C1311" s="610" t="s">
        <v>170</v>
      </c>
      <c r="D1311" s="554" t="s">
        <v>5104</v>
      </c>
      <c r="E1311" s="610" t="s">
        <v>5109</v>
      </c>
      <c r="F1311" s="554" t="s">
        <v>5110</v>
      </c>
      <c r="G1311" s="610" t="s">
        <v>68</v>
      </c>
      <c r="H1311" s="610" t="s">
        <v>69</v>
      </c>
      <c r="I1311" s="715">
        <v>24</v>
      </c>
      <c r="J1311" s="610">
        <v>0</v>
      </c>
      <c r="K1311" s="610">
        <v>12</v>
      </c>
      <c r="L1311" s="611">
        <f t="shared" si="413"/>
        <v>2</v>
      </c>
      <c r="M1311" s="612">
        <v>46225</v>
      </c>
      <c r="N1311" s="724">
        <v>46225</v>
      </c>
      <c r="O1311" s="613"/>
      <c r="P1311" s="613" t="s">
        <v>113</v>
      </c>
      <c r="Q1311" s="614"/>
      <c r="R1311" s="614">
        <v>46171</v>
      </c>
      <c r="S1311" s="614" t="s">
        <v>104</v>
      </c>
      <c r="T1311" s="614" t="s">
        <v>5082</v>
      </c>
      <c r="U1311" s="614"/>
      <c r="V1311" s="614"/>
      <c r="W1311" s="609"/>
      <c r="X1311" s="609" t="s">
        <v>5103</v>
      </c>
      <c r="Y1311" s="616" t="s">
        <v>3820</v>
      </c>
      <c r="Z1311" s="625">
        <v>4.3734</v>
      </c>
      <c r="AA1311" s="616">
        <f t="shared" si="414"/>
        <v>104.9616</v>
      </c>
      <c r="AB1311" s="554"/>
      <c r="AC1311" s="617"/>
      <c r="AD1311" s="610" t="s">
        <v>184</v>
      </c>
      <c r="AE1311" s="610" t="s">
        <v>82</v>
      </c>
      <c r="AF1311" s="610"/>
      <c r="AG1311" s="610"/>
      <c r="AH1311" s="610"/>
      <c r="AI1311" s="609">
        <v>24</v>
      </c>
      <c r="AJ1311" s="613">
        <f t="shared" si="415"/>
        <v>0</v>
      </c>
      <c r="AK1311" s="610"/>
      <c r="AL1311" s="610" t="s">
        <v>454</v>
      </c>
      <c r="AM1311" s="554"/>
      <c r="AN1311" s="554">
        <f t="shared" si="404"/>
        <v>24</v>
      </c>
      <c r="AO1311" s="554"/>
      <c r="AP1311" s="554"/>
      <c r="AQ1311" s="554"/>
      <c r="AR1311" s="554"/>
      <c r="AS1311" s="554">
        <f t="shared" si="416"/>
        <v>24</v>
      </c>
      <c r="AT1311" s="554"/>
      <c r="AU1311" s="554">
        <f t="shared" si="417"/>
        <v>24</v>
      </c>
      <c r="AV1311" s="554"/>
      <c r="AW1311" s="554">
        <f t="shared" si="418"/>
        <v>24</v>
      </c>
      <c r="AX1311" s="714"/>
      <c r="AY1311" s="554"/>
      <c r="AZ1311" s="554"/>
      <c r="BA1311" s="554"/>
      <c r="BB1311" s="554"/>
      <c r="BC1311" s="554"/>
      <c r="BD1311" s="554"/>
      <c r="BE1311" s="554"/>
      <c r="BF1311" s="554"/>
      <c r="BG1311" s="554"/>
      <c r="BH1311" s="554"/>
      <c r="BI1311" s="554"/>
      <c r="BJ1311" s="554"/>
      <c r="BK1311" s="554"/>
      <c r="BL1311" s="554"/>
      <c r="BM1311" s="554"/>
      <c r="BN1311" s="554"/>
      <c r="BO1311" s="554"/>
      <c r="BP1311" s="554"/>
      <c r="BQ1311" s="554"/>
      <c r="BR1311" s="554"/>
      <c r="BS1311" s="554"/>
      <c r="BT1311" s="554"/>
      <c r="BU1311" s="554"/>
      <c r="BV1311" s="554"/>
      <c r="BW1311" s="554"/>
      <c r="BX1311" s="554"/>
      <c r="BY1311" s="554"/>
      <c r="BZ1311" s="554"/>
      <c r="CA1311" s="554"/>
      <c r="CB1311" s="554"/>
      <c r="CC1311" s="554"/>
      <c r="CD1311" s="554"/>
      <c r="CE1311" s="554"/>
      <c r="CF1311" s="554"/>
      <c r="CG1311" s="554"/>
      <c r="CH1311" s="619"/>
      <c r="CI1311" s="619"/>
      <c r="CJ1311" s="619"/>
      <c r="CK1311" s="619"/>
      <c r="CL1311" s="619"/>
      <c r="CM1311" s="554"/>
      <c r="CN1311" s="554"/>
      <c r="CO1311" s="554"/>
      <c r="CP1311" s="619"/>
      <c r="CQ1311" s="619"/>
      <c r="CR1311" s="619"/>
      <c r="CS1311" s="619"/>
      <c r="CT1311" s="619"/>
      <c r="CU1311" s="619"/>
    </row>
    <row r="1312" s="1267" customFormat="1" ht="31" customHeight="1" spans="1:99">
      <c r="A1312" s="608">
        <v>46148</v>
      </c>
      <c r="B1312" s="609" t="s">
        <v>2594</v>
      </c>
      <c r="C1312" s="610" t="s">
        <v>2595</v>
      </c>
      <c r="D1312" s="554" t="s">
        <v>5111</v>
      </c>
      <c r="E1312" s="610" t="s">
        <v>3846</v>
      </c>
      <c r="F1312" s="554" t="s">
        <v>5112</v>
      </c>
      <c r="G1312" s="610" t="s">
        <v>68</v>
      </c>
      <c r="H1312" s="610" t="s">
        <v>69</v>
      </c>
      <c r="I1312" s="715">
        <v>1200</v>
      </c>
      <c r="J1312" s="610">
        <v>0</v>
      </c>
      <c r="K1312" s="610">
        <v>12</v>
      </c>
      <c r="L1312" s="611">
        <f t="shared" si="413"/>
        <v>100</v>
      </c>
      <c r="M1312" s="612">
        <v>46227</v>
      </c>
      <c r="N1312" s="724">
        <v>46230</v>
      </c>
      <c r="O1312" s="613"/>
      <c r="P1312" s="613" t="s">
        <v>113</v>
      </c>
      <c r="Q1312" s="614">
        <v>46245</v>
      </c>
      <c r="R1312" s="614">
        <v>46198</v>
      </c>
      <c r="S1312" s="614" t="s">
        <v>70</v>
      </c>
      <c r="T1312" s="614" t="s">
        <v>5113</v>
      </c>
      <c r="U1312" s="614"/>
      <c r="V1312" s="614"/>
      <c r="W1312" s="609"/>
      <c r="X1312" s="738" t="s">
        <v>5114</v>
      </c>
      <c r="Y1312" s="616" t="s">
        <v>529</v>
      </c>
      <c r="Z1312" s="625">
        <v>4.2622</v>
      </c>
      <c r="AA1312" s="616">
        <f t="shared" si="414"/>
        <v>5114.64</v>
      </c>
      <c r="AB1312" s="554"/>
      <c r="AC1312" s="617"/>
      <c r="AD1312" s="610" t="s">
        <v>184</v>
      </c>
      <c r="AE1312" s="610" t="s">
        <v>82</v>
      </c>
      <c r="AF1312" s="610"/>
      <c r="AG1312" s="610"/>
      <c r="AH1312" s="610"/>
      <c r="AI1312" s="609">
        <v>1200</v>
      </c>
      <c r="AJ1312" s="610">
        <f t="shared" si="415"/>
        <v>0</v>
      </c>
      <c r="AK1312" s="610"/>
      <c r="AL1312" s="610" t="s">
        <v>2368</v>
      </c>
      <c r="AM1312" s="554"/>
      <c r="AN1312" s="554">
        <f t="shared" si="404"/>
        <v>1200</v>
      </c>
      <c r="AO1312" s="554"/>
      <c r="AP1312" s="554"/>
      <c r="AQ1312" s="554"/>
      <c r="AR1312" s="554"/>
      <c r="AS1312" s="554">
        <f t="shared" si="416"/>
        <v>1200</v>
      </c>
      <c r="AT1312" s="554"/>
      <c r="AU1312" s="554">
        <f t="shared" si="417"/>
        <v>1200</v>
      </c>
      <c r="AV1312" s="554"/>
      <c r="AW1312" s="554">
        <f t="shared" si="418"/>
        <v>1200</v>
      </c>
      <c r="AX1312" s="714"/>
      <c r="AY1312" s="554"/>
      <c r="AZ1312" s="554"/>
      <c r="BA1312" s="554"/>
      <c r="BB1312" s="554"/>
      <c r="BC1312" s="554"/>
      <c r="BD1312" s="554"/>
      <c r="BE1312" s="554"/>
      <c r="BF1312" s="554"/>
      <c r="BG1312" s="554"/>
      <c r="BH1312" s="554"/>
      <c r="BI1312" s="554"/>
      <c r="BJ1312" s="554"/>
      <c r="BK1312" s="554"/>
      <c r="BL1312" s="554"/>
      <c r="BM1312" s="554"/>
      <c r="BN1312" s="554"/>
      <c r="BO1312" s="554"/>
      <c r="BP1312" s="554"/>
      <c r="BQ1312" s="554"/>
      <c r="BR1312" s="554"/>
      <c r="BS1312" s="554"/>
      <c r="BT1312" s="554"/>
      <c r="BU1312" s="554"/>
      <c r="BV1312" s="554"/>
      <c r="BW1312" s="554"/>
      <c r="BX1312" s="554"/>
      <c r="BY1312" s="554"/>
      <c r="BZ1312" s="554"/>
      <c r="CA1312" s="554"/>
      <c r="CB1312" s="554"/>
      <c r="CC1312" s="554"/>
      <c r="CD1312" s="554"/>
      <c r="CE1312" s="554"/>
      <c r="CF1312" s="554"/>
      <c r="CG1312" s="554"/>
      <c r="CH1312" s="619"/>
      <c r="CI1312" s="619"/>
      <c r="CJ1312" s="619"/>
      <c r="CK1312" s="619"/>
      <c r="CL1312" s="619"/>
      <c r="CM1312" s="554"/>
      <c r="CN1312" s="554"/>
      <c r="CO1312" s="554"/>
      <c r="CP1312" s="619"/>
      <c r="CQ1312" s="619"/>
      <c r="CR1312" s="619"/>
      <c r="CS1312" s="619"/>
      <c r="CT1312" s="619"/>
      <c r="CU1312" s="619"/>
    </row>
    <row r="1313" s="1267" customFormat="1" ht="31" customHeight="1" spans="1:99">
      <c r="A1313" s="608">
        <v>46169</v>
      </c>
      <c r="B1313" s="609" t="s">
        <v>4155</v>
      </c>
      <c r="C1313" s="610" t="s">
        <v>198</v>
      </c>
      <c r="D1313" s="554" t="s">
        <v>5115</v>
      </c>
      <c r="E1313" s="610" t="s">
        <v>5116</v>
      </c>
      <c r="F1313" s="554" t="s">
        <v>5117</v>
      </c>
      <c r="G1313" s="610" t="s">
        <v>101</v>
      </c>
      <c r="H1313" s="610" t="s">
        <v>102</v>
      </c>
      <c r="I1313" s="715">
        <v>1000</v>
      </c>
      <c r="J1313" s="610">
        <v>0</v>
      </c>
      <c r="K1313" s="610">
        <v>4</v>
      </c>
      <c r="L1313" s="611">
        <f t="shared" si="413"/>
        <v>250</v>
      </c>
      <c r="M1313" s="612">
        <v>46230</v>
      </c>
      <c r="N1313" s="612">
        <v>46226</v>
      </c>
      <c r="O1313" s="613"/>
      <c r="P1313" s="610" t="s">
        <v>113</v>
      </c>
      <c r="Q1313" s="614">
        <v>46237</v>
      </c>
      <c r="R1313" s="614">
        <v>46184</v>
      </c>
      <c r="S1313" s="614" t="s">
        <v>70</v>
      </c>
      <c r="T1313" s="614" t="s">
        <v>4521</v>
      </c>
      <c r="U1313" s="614"/>
      <c r="V1313" s="614" t="s">
        <v>5118</v>
      </c>
      <c r="W1313" s="609"/>
      <c r="X1313" s="609" t="s">
        <v>5119</v>
      </c>
      <c r="Y1313" s="616" t="s">
        <v>244</v>
      </c>
      <c r="Z1313" s="625">
        <v>4.4657</v>
      </c>
      <c r="AA1313" s="616">
        <f t="shared" si="414"/>
        <v>4465.7</v>
      </c>
      <c r="AB1313" s="554"/>
      <c r="AC1313" s="617"/>
      <c r="AD1313" s="610" t="s">
        <v>156</v>
      </c>
      <c r="AE1313" s="610" t="s">
        <v>82</v>
      </c>
      <c r="AF1313" s="610"/>
      <c r="AG1313" s="610"/>
      <c r="AH1313" s="610"/>
      <c r="AI1313" s="609">
        <v>1000</v>
      </c>
      <c r="AJ1313" s="613">
        <f t="shared" si="415"/>
        <v>0</v>
      </c>
      <c r="AK1313" s="610"/>
      <c r="AL1313" s="610" t="s">
        <v>2368</v>
      </c>
      <c r="AM1313" s="554"/>
      <c r="AN1313" s="554">
        <f t="shared" si="404"/>
        <v>1000</v>
      </c>
      <c r="AO1313" s="554"/>
      <c r="AP1313" s="554"/>
      <c r="AQ1313" s="554"/>
      <c r="AR1313" s="554"/>
      <c r="AS1313" s="554">
        <f t="shared" si="416"/>
        <v>1000</v>
      </c>
      <c r="AT1313" s="554"/>
      <c r="AU1313" s="554">
        <f t="shared" si="417"/>
        <v>1000</v>
      </c>
      <c r="AV1313" s="554"/>
      <c r="AW1313" s="554">
        <f t="shared" si="418"/>
        <v>1000</v>
      </c>
      <c r="AX1313" s="714"/>
      <c r="AY1313" s="554"/>
      <c r="AZ1313" s="554"/>
      <c r="BA1313" s="554"/>
      <c r="BB1313" s="554"/>
      <c r="BC1313" s="554"/>
      <c r="BD1313" s="554"/>
      <c r="BE1313" s="554"/>
      <c r="BF1313" s="554"/>
      <c r="BG1313" s="554"/>
      <c r="BH1313" s="554"/>
      <c r="BI1313" s="554">
        <f>I1313/4</f>
        <v>250</v>
      </c>
      <c r="BJ1313" s="554"/>
      <c r="BK1313" s="554"/>
      <c r="BL1313" s="554"/>
      <c r="BM1313" s="554"/>
      <c r="BN1313" s="554"/>
      <c r="BO1313" s="554"/>
      <c r="BP1313" s="554"/>
      <c r="BQ1313" s="554"/>
      <c r="BR1313" s="554"/>
      <c r="BS1313" s="554"/>
      <c r="BT1313" s="554"/>
      <c r="BU1313" s="554"/>
      <c r="BV1313" s="554"/>
      <c r="BW1313" s="554"/>
      <c r="BX1313" s="554"/>
      <c r="BY1313" s="554"/>
      <c r="BZ1313" s="554"/>
      <c r="CA1313" s="554"/>
      <c r="CB1313" s="554"/>
      <c r="CC1313" s="554"/>
      <c r="CD1313" s="554"/>
      <c r="CE1313" s="554"/>
      <c r="CF1313" s="554"/>
      <c r="CG1313" s="554"/>
      <c r="CH1313" s="619"/>
      <c r="CI1313" s="619"/>
      <c r="CJ1313" s="619"/>
      <c r="CK1313" s="619"/>
      <c r="CL1313" s="619"/>
      <c r="CM1313" s="554"/>
      <c r="CN1313" s="554"/>
      <c r="CO1313" s="554"/>
      <c r="CP1313" s="619"/>
      <c r="CQ1313" s="619"/>
      <c r="CR1313" s="619"/>
      <c r="CS1313" s="619"/>
      <c r="CT1313" s="619"/>
      <c r="CU1313" s="619"/>
    </row>
    <row r="1314" s="1267" customFormat="1" ht="31" customHeight="1" spans="1:99">
      <c r="A1314" s="608">
        <v>46157</v>
      </c>
      <c r="B1314" s="609" t="s">
        <v>1728</v>
      </c>
      <c r="C1314" s="610" t="s">
        <v>154</v>
      </c>
      <c r="D1314" s="554" t="s">
        <v>5120</v>
      </c>
      <c r="E1314" s="610" t="s">
        <v>5121</v>
      </c>
      <c r="F1314" s="554" t="s">
        <v>5122</v>
      </c>
      <c r="G1314" s="610" t="s">
        <v>164</v>
      </c>
      <c r="H1314" s="610" t="s">
        <v>112</v>
      </c>
      <c r="I1314" s="715">
        <v>2000</v>
      </c>
      <c r="J1314" s="610">
        <v>0</v>
      </c>
      <c r="K1314" s="610">
        <v>8</v>
      </c>
      <c r="L1314" s="611">
        <f t="shared" si="413"/>
        <v>250</v>
      </c>
      <c r="M1314" s="612">
        <v>46234</v>
      </c>
      <c r="N1314" s="612">
        <v>46230</v>
      </c>
      <c r="O1314" s="613"/>
      <c r="P1314" s="610" t="s">
        <v>113</v>
      </c>
      <c r="Q1314" s="614">
        <v>46237</v>
      </c>
      <c r="R1314" s="614">
        <v>46160</v>
      </c>
      <c r="S1314" s="614" t="s">
        <v>70</v>
      </c>
      <c r="T1314" s="614" t="s">
        <v>4957</v>
      </c>
      <c r="U1314" s="614"/>
      <c r="V1314" s="614"/>
      <c r="W1314" s="609"/>
      <c r="X1314" s="738" t="s">
        <v>5123</v>
      </c>
      <c r="Y1314" s="616" t="s">
        <v>1549</v>
      </c>
      <c r="Z1314" s="625">
        <v>4.374</v>
      </c>
      <c r="AA1314" s="616">
        <f t="shared" si="414"/>
        <v>8748</v>
      </c>
      <c r="AB1314" s="729"/>
      <c r="AC1314" s="617"/>
      <c r="AD1314" s="610" t="s">
        <v>164</v>
      </c>
      <c r="AE1314" s="610" t="s">
        <v>82</v>
      </c>
      <c r="AF1314" s="610"/>
      <c r="AG1314" s="610"/>
      <c r="AH1314" s="610"/>
      <c r="AI1314" s="609">
        <v>2000</v>
      </c>
      <c r="AJ1314" s="610">
        <f t="shared" si="415"/>
        <v>0</v>
      </c>
      <c r="AK1314" s="610"/>
      <c r="AL1314" s="610" t="s">
        <v>2368</v>
      </c>
      <c r="AM1314" s="554"/>
      <c r="AN1314" s="554">
        <f t="shared" si="404"/>
        <v>2000</v>
      </c>
      <c r="AO1314" s="554"/>
      <c r="AP1314" s="554"/>
      <c r="AQ1314" s="554"/>
      <c r="AR1314" s="554"/>
      <c r="AS1314" s="554"/>
      <c r="AT1314" s="554"/>
      <c r="AU1314" s="554"/>
      <c r="AV1314" s="554"/>
      <c r="AW1314" s="554">
        <f t="shared" si="418"/>
        <v>2000</v>
      </c>
      <c r="AX1314" s="714"/>
      <c r="AY1314" s="554"/>
      <c r="AZ1314" s="554"/>
      <c r="BA1314" s="554"/>
      <c r="BB1314" s="554"/>
      <c r="BC1314" s="554"/>
      <c r="BD1314" s="554">
        <f>I1314</f>
        <v>2000</v>
      </c>
      <c r="BE1314" s="554">
        <f>I1314</f>
        <v>2000</v>
      </c>
      <c r="BF1314" s="554"/>
      <c r="BG1314" s="554"/>
      <c r="BH1314" s="554"/>
      <c r="BI1314" s="554">
        <f>I1314/4</f>
        <v>500</v>
      </c>
      <c r="BJ1314" s="554"/>
      <c r="BK1314" s="554"/>
      <c r="BL1314" s="554"/>
      <c r="BM1314" s="554"/>
      <c r="BN1314" s="554"/>
      <c r="BO1314" s="554"/>
      <c r="BP1314" s="729"/>
      <c r="BQ1314" s="729"/>
      <c r="BR1314" s="729"/>
      <c r="BS1314" s="729"/>
      <c r="BT1314" s="729"/>
      <c r="BU1314" s="729"/>
      <c r="BV1314" s="729"/>
      <c r="BW1314" s="729"/>
      <c r="BX1314" s="729"/>
      <c r="BY1314" s="729"/>
      <c r="BZ1314" s="729"/>
      <c r="CA1314" s="729"/>
      <c r="CB1314" s="729"/>
      <c r="CC1314" s="729"/>
      <c r="CD1314" s="729"/>
      <c r="CE1314" s="729"/>
      <c r="CF1314" s="729"/>
      <c r="CG1314" s="729"/>
      <c r="CH1314" s="717"/>
      <c r="CI1314" s="717"/>
      <c r="CJ1314" s="717"/>
      <c r="CK1314" s="717"/>
      <c r="CL1314" s="717"/>
      <c r="CM1314" s="729"/>
      <c r="CN1314" s="729"/>
      <c r="CO1314" s="729"/>
      <c r="CP1314" s="717"/>
      <c r="CQ1314" s="717"/>
      <c r="CR1314" s="717"/>
      <c r="CS1314" s="717"/>
      <c r="CT1314" s="717"/>
      <c r="CU1314" s="717"/>
    </row>
    <row r="1315" s="1267" customFormat="1" ht="31" customHeight="1" spans="1:99">
      <c r="A1315" s="608">
        <v>46195</v>
      </c>
      <c r="B1315" s="609" t="s">
        <v>430</v>
      </c>
      <c r="C1315" s="610" t="s">
        <v>76</v>
      </c>
      <c r="D1315" s="554">
        <v>4500213229</v>
      </c>
      <c r="E1315" s="610">
        <v>3116</v>
      </c>
      <c r="F1315" s="554" t="s">
        <v>5124</v>
      </c>
      <c r="G1315" s="610" t="s">
        <v>130</v>
      </c>
      <c r="H1315" s="610" t="s">
        <v>131</v>
      </c>
      <c r="I1315" s="715">
        <v>480</v>
      </c>
      <c r="J1315" s="610">
        <v>0</v>
      </c>
      <c r="K1315" s="610">
        <v>6</v>
      </c>
      <c r="L1315" s="611">
        <f t="shared" si="413"/>
        <v>80</v>
      </c>
      <c r="M1315" s="724">
        <v>46237</v>
      </c>
      <c r="N1315" s="724">
        <v>46232</v>
      </c>
      <c r="O1315" s="613"/>
      <c r="P1315" s="610" t="s">
        <v>113</v>
      </c>
      <c r="Q1315" s="614"/>
      <c r="R1315" s="614">
        <v>46209</v>
      </c>
      <c r="S1315" s="614" t="s">
        <v>70</v>
      </c>
      <c r="T1315" s="614" t="s">
        <v>5125</v>
      </c>
      <c r="U1315" s="614"/>
      <c r="V1315" s="614"/>
      <c r="W1315" s="609"/>
      <c r="X1315" s="609" t="s">
        <v>5126</v>
      </c>
      <c r="Y1315" s="616" t="s">
        <v>1735</v>
      </c>
      <c r="Z1315" s="625">
        <v>4.2266</v>
      </c>
      <c r="AA1315" s="616">
        <f t="shared" si="414"/>
        <v>2028.768</v>
      </c>
      <c r="AB1315" s="554"/>
      <c r="AC1315" s="617"/>
      <c r="AD1315" s="610" t="s">
        <v>130</v>
      </c>
      <c r="AE1315" s="610" t="s">
        <v>82</v>
      </c>
      <c r="AF1315" s="610"/>
      <c r="AG1315" s="610"/>
      <c r="AH1315" s="610"/>
      <c r="AI1315" s="609">
        <v>480</v>
      </c>
      <c r="AJ1315" s="613">
        <f t="shared" si="415"/>
        <v>0</v>
      </c>
      <c r="AK1315" s="610"/>
      <c r="AL1315" s="610" t="s">
        <v>2368</v>
      </c>
      <c r="AM1315" s="554"/>
      <c r="AN1315" s="554">
        <f t="shared" si="404"/>
        <v>480</v>
      </c>
      <c r="AO1315" s="554"/>
      <c r="AP1315" s="554"/>
      <c r="AQ1315" s="554"/>
      <c r="AR1315" s="554">
        <f>I1315</f>
        <v>480</v>
      </c>
      <c r="AS1315" s="554"/>
      <c r="AT1315" s="554"/>
      <c r="AU1315" s="554">
        <f t="shared" ref="AU1315:AU1327" si="419">I1315</f>
        <v>480</v>
      </c>
      <c r="AV1315" s="554"/>
      <c r="AW1315" s="554">
        <f t="shared" si="418"/>
        <v>480</v>
      </c>
      <c r="AX1315" s="714"/>
      <c r="AY1315" s="554"/>
      <c r="AZ1315" s="554"/>
      <c r="BA1315" s="554"/>
      <c r="BB1315" s="554"/>
      <c r="BC1315" s="554"/>
      <c r="BD1315" s="554"/>
      <c r="BE1315" s="554"/>
      <c r="BF1315" s="554"/>
      <c r="BG1315" s="554"/>
      <c r="BH1315" s="554"/>
      <c r="BI1315" s="554"/>
      <c r="BJ1315" s="554"/>
      <c r="BK1315" s="554"/>
      <c r="BL1315" s="554"/>
      <c r="BM1315" s="554"/>
      <c r="BN1315" s="554"/>
      <c r="BO1315" s="554"/>
      <c r="BP1315" s="554"/>
      <c r="BQ1315" s="554"/>
      <c r="BR1315" s="554"/>
      <c r="BS1315" s="554"/>
      <c r="BT1315" s="554"/>
      <c r="BU1315" s="554"/>
      <c r="BV1315" s="554"/>
      <c r="BW1315" s="554"/>
      <c r="BX1315" s="554"/>
      <c r="BY1315" s="554"/>
      <c r="BZ1315" s="554"/>
      <c r="CA1315" s="554"/>
      <c r="CB1315" s="554"/>
      <c r="CC1315" s="554"/>
      <c r="CD1315" s="554"/>
      <c r="CE1315" s="554"/>
      <c r="CF1315" s="554"/>
      <c r="CG1315" s="554"/>
      <c r="CH1315" s="619"/>
      <c r="CI1315" s="619"/>
      <c r="CJ1315" s="619"/>
      <c r="CK1315" s="619"/>
      <c r="CL1315" s="619"/>
      <c r="CM1315" s="554"/>
      <c r="CN1315" s="554"/>
      <c r="CO1315" s="554"/>
      <c r="CP1315" s="619"/>
      <c r="CQ1315" s="619"/>
      <c r="CR1315" s="619"/>
      <c r="CS1315" s="619"/>
      <c r="CT1315" s="619"/>
      <c r="CU1315" s="619"/>
    </row>
    <row r="1316" s="1267" customFormat="1" ht="31" customHeight="1" spans="1:99">
      <c r="A1316" s="608">
        <v>46191</v>
      </c>
      <c r="B1316" s="609" t="s">
        <v>4371</v>
      </c>
      <c r="C1316" s="610" t="s">
        <v>98</v>
      </c>
      <c r="D1316" s="554" t="s">
        <v>5127</v>
      </c>
      <c r="E1316" s="610" t="s">
        <v>5128</v>
      </c>
      <c r="F1316" s="554" t="s">
        <v>5129</v>
      </c>
      <c r="G1316" s="610" t="s">
        <v>101</v>
      </c>
      <c r="H1316" s="610" t="s">
        <v>102</v>
      </c>
      <c r="I1316" s="715">
        <v>3040</v>
      </c>
      <c r="J1316" s="610">
        <v>0</v>
      </c>
      <c r="K1316" s="610">
        <v>4</v>
      </c>
      <c r="L1316" s="611">
        <f t="shared" si="413"/>
        <v>760</v>
      </c>
      <c r="M1316" s="612">
        <v>46239</v>
      </c>
      <c r="N1316" s="612">
        <v>46235</v>
      </c>
      <c r="O1316" s="613" t="s">
        <v>5130</v>
      </c>
      <c r="P1316" s="610" t="s">
        <v>113</v>
      </c>
      <c r="Q1316" s="614">
        <v>46244</v>
      </c>
      <c r="R1316" s="614" t="s">
        <v>4563</v>
      </c>
      <c r="S1316" s="614" t="s">
        <v>70</v>
      </c>
      <c r="T1316" s="614" t="s">
        <v>5131</v>
      </c>
      <c r="U1316" s="614"/>
      <c r="V1316" s="614"/>
      <c r="W1316" s="609"/>
      <c r="X1316" s="609" t="s">
        <v>5132</v>
      </c>
      <c r="Y1316" s="616" t="s">
        <v>5133</v>
      </c>
      <c r="Z1316" s="625">
        <v>2.7075</v>
      </c>
      <c r="AA1316" s="616">
        <f t="shared" si="414"/>
        <v>8230.8</v>
      </c>
      <c r="AB1316" s="554"/>
      <c r="AC1316" s="617"/>
      <c r="AD1316" s="610" t="s">
        <v>101</v>
      </c>
      <c r="AE1316" s="610" t="s">
        <v>82</v>
      </c>
      <c r="AF1316" s="610"/>
      <c r="AG1316" s="610"/>
      <c r="AH1316" s="610"/>
      <c r="AI1316" s="609">
        <v>3040</v>
      </c>
      <c r="AJ1316" s="613">
        <f t="shared" si="415"/>
        <v>0</v>
      </c>
      <c r="AK1316" s="610"/>
      <c r="AL1316" s="610" t="s">
        <v>2368</v>
      </c>
      <c r="AM1316" s="554"/>
      <c r="AN1316" s="554">
        <f t="shared" si="404"/>
        <v>3040</v>
      </c>
      <c r="AO1316" s="554"/>
      <c r="AP1316" s="554"/>
      <c r="AQ1316" s="554"/>
      <c r="AR1316" s="554">
        <f t="shared" ref="AR1316:AR1323" si="420">I1316</f>
        <v>3040</v>
      </c>
      <c r="AS1316" s="554"/>
      <c r="AT1316" s="554"/>
      <c r="AU1316" s="554">
        <f t="shared" si="419"/>
        <v>3040</v>
      </c>
      <c r="AV1316" s="554"/>
      <c r="AW1316" s="554">
        <f t="shared" si="418"/>
        <v>3040</v>
      </c>
      <c r="AX1316" s="714"/>
      <c r="AY1316" s="554"/>
      <c r="AZ1316" s="554"/>
      <c r="BA1316" s="554"/>
      <c r="BB1316" s="554"/>
      <c r="BC1316" s="554"/>
      <c r="BD1316" s="554"/>
      <c r="BE1316" s="554"/>
      <c r="BF1316" s="554"/>
      <c r="BG1316" s="554"/>
      <c r="BH1316" s="554">
        <f>I1316/4</f>
        <v>760</v>
      </c>
      <c r="BI1316" s="554"/>
      <c r="BJ1316" s="554"/>
      <c r="BK1316" s="554"/>
      <c r="BL1316" s="554"/>
      <c r="BM1316" s="554"/>
      <c r="BN1316" s="554"/>
      <c r="BO1316" s="554"/>
      <c r="BP1316" s="554"/>
      <c r="BQ1316" s="554"/>
      <c r="BR1316" s="554"/>
      <c r="BS1316" s="554"/>
      <c r="BT1316" s="554"/>
      <c r="BU1316" s="554"/>
      <c r="BV1316" s="554"/>
      <c r="BW1316" s="554"/>
      <c r="BX1316" s="554"/>
      <c r="BY1316" s="554"/>
      <c r="BZ1316" s="554"/>
      <c r="CA1316" s="554"/>
      <c r="CB1316" s="554"/>
      <c r="CC1316" s="554"/>
      <c r="CD1316" s="554"/>
      <c r="CE1316" s="554"/>
      <c r="CF1316" s="554"/>
      <c r="CG1316" s="554"/>
      <c r="CH1316" s="619"/>
      <c r="CI1316" s="619"/>
      <c r="CJ1316" s="619"/>
      <c r="CK1316" s="619"/>
      <c r="CL1316" s="619"/>
      <c r="CM1316" s="554"/>
      <c r="CN1316" s="554"/>
      <c r="CO1316" s="554"/>
      <c r="CP1316" s="619"/>
      <c r="CQ1316" s="619"/>
      <c r="CR1316" s="619"/>
      <c r="CS1316" s="619"/>
      <c r="CT1316" s="619"/>
      <c r="CU1316" s="619"/>
    </row>
    <row r="1317" s="1267" customFormat="1" ht="31" customHeight="1" spans="1:99">
      <c r="A1317" s="608">
        <v>46191</v>
      </c>
      <c r="B1317" s="609" t="s">
        <v>4371</v>
      </c>
      <c r="C1317" s="610" t="s">
        <v>98</v>
      </c>
      <c r="D1317" s="554" t="s">
        <v>5127</v>
      </c>
      <c r="E1317" s="610" t="s">
        <v>5134</v>
      </c>
      <c r="F1317" s="554" t="s">
        <v>5135</v>
      </c>
      <c r="G1317" s="610" t="s">
        <v>101</v>
      </c>
      <c r="H1317" s="610" t="s">
        <v>102</v>
      </c>
      <c r="I1317" s="715">
        <v>1280</v>
      </c>
      <c r="J1317" s="610">
        <v>0</v>
      </c>
      <c r="K1317" s="610">
        <v>4</v>
      </c>
      <c r="L1317" s="611">
        <f t="shared" si="413"/>
        <v>320</v>
      </c>
      <c r="M1317" s="612">
        <v>46239</v>
      </c>
      <c r="N1317" s="612">
        <v>46235</v>
      </c>
      <c r="O1317" s="613" t="s">
        <v>5130</v>
      </c>
      <c r="P1317" s="610" t="s">
        <v>113</v>
      </c>
      <c r="Q1317" s="614">
        <v>46253</v>
      </c>
      <c r="R1317" s="614" t="s">
        <v>4563</v>
      </c>
      <c r="S1317" s="614" t="s">
        <v>70</v>
      </c>
      <c r="T1317" s="614" t="s">
        <v>5131</v>
      </c>
      <c r="U1317" s="614"/>
      <c r="V1317" s="614"/>
      <c r="W1317" s="609"/>
      <c r="X1317" s="609" t="s">
        <v>5132</v>
      </c>
      <c r="Y1317" s="616" t="s">
        <v>5133</v>
      </c>
      <c r="Z1317" s="625">
        <v>2.7109</v>
      </c>
      <c r="AA1317" s="616">
        <f t="shared" si="414"/>
        <v>3469.952</v>
      </c>
      <c r="AB1317" s="554"/>
      <c r="AC1317" s="617"/>
      <c r="AD1317" s="610" t="s">
        <v>101</v>
      </c>
      <c r="AE1317" s="610" t="s">
        <v>82</v>
      </c>
      <c r="AF1317" s="610"/>
      <c r="AG1317" s="610"/>
      <c r="AH1317" s="610"/>
      <c r="AI1317" s="609">
        <v>1280</v>
      </c>
      <c r="AJ1317" s="613">
        <f t="shared" si="415"/>
        <v>0</v>
      </c>
      <c r="AK1317" s="610"/>
      <c r="AL1317" s="610" t="s">
        <v>2368</v>
      </c>
      <c r="AM1317" s="554"/>
      <c r="AN1317" s="554">
        <f t="shared" si="404"/>
        <v>1280</v>
      </c>
      <c r="AO1317" s="554"/>
      <c r="AP1317" s="554"/>
      <c r="AQ1317" s="554"/>
      <c r="AR1317" s="554">
        <f t="shared" si="420"/>
        <v>1280</v>
      </c>
      <c r="AS1317" s="554"/>
      <c r="AT1317" s="554"/>
      <c r="AU1317" s="554">
        <f t="shared" si="419"/>
        <v>1280</v>
      </c>
      <c r="AV1317" s="554"/>
      <c r="AW1317" s="554">
        <f t="shared" si="418"/>
        <v>1280</v>
      </c>
      <c r="AX1317" s="714"/>
      <c r="AY1317" s="554"/>
      <c r="AZ1317" s="554"/>
      <c r="BA1317" s="554"/>
      <c r="BB1317" s="554"/>
      <c r="BC1317" s="554"/>
      <c r="BD1317" s="554"/>
      <c r="BE1317" s="554"/>
      <c r="BF1317" s="554"/>
      <c r="BG1317" s="554"/>
      <c r="BH1317" s="554">
        <f t="shared" ref="BH1317:BH1323" si="421">I1317/4</f>
        <v>320</v>
      </c>
      <c r="BI1317" s="554"/>
      <c r="BJ1317" s="554"/>
      <c r="BK1317" s="554"/>
      <c r="BL1317" s="554"/>
      <c r="BM1317" s="554"/>
      <c r="BN1317" s="554"/>
      <c r="BO1317" s="554"/>
      <c r="BP1317" s="554"/>
      <c r="BQ1317" s="554"/>
      <c r="BR1317" s="554"/>
      <c r="BS1317" s="554"/>
      <c r="BT1317" s="554"/>
      <c r="BU1317" s="554"/>
      <c r="BV1317" s="554"/>
      <c r="BW1317" s="554"/>
      <c r="BX1317" s="554"/>
      <c r="BY1317" s="554"/>
      <c r="BZ1317" s="554"/>
      <c r="CA1317" s="554"/>
      <c r="CB1317" s="554"/>
      <c r="CC1317" s="554"/>
      <c r="CD1317" s="554"/>
      <c r="CE1317" s="554"/>
      <c r="CF1317" s="554"/>
      <c r="CG1317" s="554"/>
      <c r="CH1317" s="619"/>
      <c r="CI1317" s="619"/>
      <c r="CJ1317" s="619"/>
      <c r="CK1317" s="619"/>
      <c r="CL1317" s="619"/>
      <c r="CM1317" s="554"/>
      <c r="CN1317" s="554"/>
      <c r="CO1317" s="554"/>
      <c r="CP1317" s="619"/>
      <c r="CQ1317" s="619"/>
      <c r="CR1317" s="619"/>
      <c r="CS1317" s="619"/>
      <c r="CT1317" s="619"/>
      <c r="CU1317" s="619"/>
    </row>
    <row r="1318" s="1267" customFormat="1" ht="31" customHeight="1" spans="1:99">
      <c r="A1318" s="608">
        <v>46191</v>
      </c>
      <c r="B1318" s="609" t="s">
        <v>4371</v>
      </c>
      <c r="C1318" s="610" t="s">
        <v>98</v>
      </c>
      <c r="D1318" s="554" t="s">
        <v>5127</v>
      </c>
      <c r="E1318" s="610" t="s">
        <v>5136</v>
      </c>
      <c r="F1318" s="554" t="s">
        <v>5137</v>
      </c>
      <c r="G1318" s="610" t="s">
        <v>101</v>
      </c>
      <c r="H1318" s="610" t="s">
        <v>102</v>
      </c>
      <c r="I1318" s="715">
        <v>1760</v>
      </c>
      <c r="J1318" s="610">
        <v>0</v>
      </c>
      <c r="K1318" s="610">
        <v>4</v>
      </c>
      <c r="L1318" s="611">
        <f t="shared" si="413"/>
        <v>440</v>
      </c>
      <c r="M1318" s="612">
        <v>46239</v>
      </c>
      <c r="N1318" s="612">
        <v>46235</v>
      </c>
      <c r="O1318" s="613" t="s">
        <v>5130</v>
      </c>
      <c r="P1318" s="610" t="s">
        <v>113</v>
      </c>
      <c r="Q1318" s="614">
        <v>46244</v>
      </c>
      <c r="R1318" s="614" t="s">
        <v>4563</v>
      </c>
      <c r="S1318" s="614" t="s">
        <v>70</v>
      </c>
      <c r="T1318" s="614" t="s">
        <v>5131</v>
      </c>
      <c r="U1318" s="614"/>
      <c r="V1318" s="614"/>
      <c r="W1318" s="609"/>
      <c r="X1318" s="609" t="s">
        <v>5132</v>
      </c>
      <c r="Y1318" s="616" t="s">
        <v>5133</v>
      </c>
      <c r="Z1318" s="625">
        <v>2.7109</v>
      </c>
      <c r="AA1318" s="616">
        <f t="shared" si="414"/>
        <v>4771.184</v>
      </c>
      <c r="AB1318" s="554"/>
      <c r="AC1318" s="617"/>
      <c r="AD1318" s="610" t="s">
        <v>101</v>
      </c>
      <c r="AE1318" s="610" t="s">
        <v>82</v>
      </c>
      <c r="AF1318" s="610"/>
      <c r="AG1318" s="610"/>
      <c r="AH1318" s="610"/>
      <c r="AI1318" s="609">
        <v>1760</v>
      </c>
      <c r="AJ1318" s="613">
        <f t="shared" si="415"/>
        <v>0</v>
      </c>
      <c r="AK1318" s="610"/>
      <c r="AL1318" s="610" t="s">
        <v>2368</v>
      </c>
      <c r="AM1318" s="554"/>
      <c r="AN1318" s="554">
        <f t="shared" si="404"/>
        <v>1760</v>
      </c>
      <c r="AO1318" s="554"/>
      <c r="AP1318" s="554"/>
      <c r="AQ1318" s="554"/>
      <c r="AR1318" s="554">
        <f t="shared" si="420"/>
        <v>1760</v>
      </c>
      <c r="AS1318" s="554"/>
      <c r="AT1318" s="554"/>
      <c r="AU1318" s="554">
        <f t="shared" si="419"/>
        <v>1760</v>
      </c>
      <c r="AV1318" s="554"/>
      <c r="AW1318" s="554">
        <f t="shared" si="418"/>
        <v>1760</v>
      </c>
      <c r="AX1318" s="714"/>
      <c r="AY1318" s="554"/>
      <c r="AZ1318" s="554"/>
      <c r="BA1318" s="554"/>
      <c r="BB1318" s="554"/>
      <c r="BC1318" s="554"/>
      <c r="BD1318" s="554"/>
      <c r="BE1318" s="554"/>
      <c r="BF1318" s="554"/>
      <c r="BG1318" s="554"/>
      <c r="BH1318" s="554">
        <f t="shared" si="421"/>
        <v>440</v>
      </c>
      <c r="BI1318" s="554"/>
      <c r="BJ1318" s="554"/>
      <c r="BK1318" s="554"/>
      <c r="BL1318" s="554"/>
      <c r="BM1318" s="554"/>
      <c r="BN1318" s="554"/>
      <c r="BO1318" s="554"/>
      <c r="BP1318" s="554"/>
      <c r="BQ1318" s="554"/>
      <c r="BR1318" s="554"/>
      <c r="BS1318" s="554"/>
      <c r="BT1318" s="554"/>
      <c r="BU1318" s="554"/>
      <c r="BV1318" s="554"/>
      <c r="BW1318" s="554"/>
      <c r="BX1318" s="554"/>
      <c r="BY1318" s="554"/>
      <c r="BZ1318" s="554"/>
      <c r="CA1318" s="554"/>
      <c r="CB1318" s="554"/>
      <c r="CC1318" s="554"/>
      <c r="CD1318" s="554"/>
      <c r="CE1318" s="554"/>
      <c r="CF1318" s="554"/>
      <c r="CG1318" s="554"/>
      <c r="CH1318" s="619"/>
      <c r="CI1318" s="619"/>
      <c r="CJ1318" s="619"/>
      <c r="CK1318" s="619"/>
      <c r="CL1318" s="619"/>
      <c r="CM1318" s="554"/>
      <c r="CN1318" s="554"/>
      <c r="CO1318" s="554"/>
      <c r="CP1318" s="619"/>
      <c r="CQ1318" s="619"/>
      <c r="CR1318" s="619"/>
      <c r="CS1318" s="619"/>
      <c r="CT1318" s="619"/>
      <c r="CU1318" s="619"/>
    </row>
    <row r="1319" s="1267" customFormat="1" ht="31" customHeight="1" spans="1:99">
      <c r="A1319" s="608">
        <v>46191</v>
      </c>
      <c r="B1319" s="609" t="s">
        <v>4371</v>
      </c>
      <c r="C1319" s="610" t="s">
        <v>98</v>
      </c>
      <c r="D1319" s="554" t="s">
        <v>5127</v>
      </c>
      <c r="E1319" s="610" t="s">
        <v>5138</v>
      </c>
      <c r="F1319" s="554" t="s">
        <v>5139</v>
      </c>
      <c r="G1319" s="610" t="s">
        <v>101</v>
      </c>
      <c r="H1319" s="610" t="s">
        <v>102</v>
      </c>
      <c r="I1319" s="715">
        <v>2880</v>
      </c>
      <c r="J1319" s="610">
        <v>0</v>
      </c>
      <c r="K1319" s="610">
        <v>4</v>
      </c>
      <c r="L1319" s="611">
        <f t="shared" si="413"/>
        <v>720</v>
      </c>
      <c r="M1319" s="612">
        <v>46239</v>
      </c>
      <c r="N1319" s="612">
        <v>46235</v>
      </c>
      <c r="O1319" s="613" t="s">
        <v>5130</v>
      </c>
      <c r="P1319" s="610" t="s">
        <v>113</v>
      </c>
      <c r="Q1319" s="614"/>
      <c r="R1319" s="614" t="s">
        <v>4563</v>
      </c>
      <c r="S1319" s="614" t="s">
        <v>70</v>
      </c>
      <c r="T1319" s="614" t="s">
        <v>5131</v>
      </c>
      <c r="U1319" s="614"/>
      <c r="V1319" s="614"/>
      <c r="W1319" s="609"/>
      <c r="X1319" s="609" t="s">
        <v>5140</v>
      </c>
      <c r="Y1319" s="616" t="s">
        <v>5133</v>
      </c>
      <c r="Z1319" s="625">
        <v>2.7109</v>
      </c>
      <c r="AA1319" s="616">
        <f t="shared" si="414"/>
        <v>7807.392</v>
      </c>
      <c r="AB1319" s="554"/>
      <c r="AC1319" s="617"/>
      <c r="AD1319" s="610" t="s">
        <v>101</v>
      </c>
      <c r="AE1319" s="610" t="s">
        <v>82</v>
      </c>
      <c r="AF1319" s="610"/>
      <c r="AG1319" s="610"/>
      <c r="AH1319" s="610"/>
      <c r="AI1319" s="609">
        <v>2880</v>
      </c>
      <c r="AJ1319" s="613">
        <f t="shared" si="415"/>
        <v>0</v>
      </c>
      <c r="AK1319" s="610"/>
      <c r="AL1319" s="610" t="s">
        <v>2368</v>
      </c>
      <c r="AM1319" s="554"/>
      <c r="AN1319" s="554">
        <f t="shared" si="404"/>
        <v>2880</v>
      </c>
      <c r="AO1319" s="554"/>
      <c r="AP1319" s="554"/>
      <c r="AQ1319" s="554"/>
      <c r="AR1319" s="554">
        <f t="shared" si="420"/>
        <v>2880</v>
      </c>
      <c r="AS1319" s="554"/>
      <c r="AT1319" s="554"/>
      <c r="AU1319" s="554">
        <f t="shared" si="419"/>
        <v>2880</v>
      </c>
      <c r="AV1319" s="554"/>
      <c r="AW1319" s="554">
        <f t="shared" si="418"/>
        <v>2880</v>
      </c>
      <c r="AX1319" s="714"/>
      <c r="AY1319" s="554"/>
      <c r="AZ1319" s="554"/>
      <c r="BA1319" s="554"/>
      <c r="BB1319" s="554"/>
      <c r="BC1319" s="554"/>
      <c r="BD1319" s="554"/>
      <c r="BE1319" s="554"/>
      <c r="BF1319" s="554"/>
      <c r="BG1319" s="554"/>
      <c r="BH1319" s="554">
        <f t="shared" si="421"/>
        <v>720</v>
      </c>
      <c r="BI1319" s="554"/>
      <c r="BJ1319" s="554"/>
      <c r="BK1319" s="554"/>
      <c r="BL1319" s="554"/>
      <c r="BM1319" s="554"/>
      <c r="BN1319" s="554"/>
      <c r="BO1319" s="554"/>
      <c r="BP1319" s="554"/>
      <c r="BQ1319" s="554"/>
      <c r="BR1319" s="554"/>
      <c r="BS1319" s="554"/>
      <c r="BT1319" s="554"/>
      <c r="BU1319" s="554"/>
      <c r="BV1319" s="554"/>
      <c r="BW1319" s="554"/>
      <c r="BX1319" s="554"/>
      <c r="BY1319" s="554"/>
      <c r="BZ1319" s="554"/>
      <c r="CA1319" s="554"/>
      <c r="CB1319" s="554"/>
      <c r="CC1319" s="554"/>
      <c r="CD1319" s="554"/>
      <c r="CE1319" s="554"/>
      <c r="CF1319" s="554"/>
      <c r="CG1319" s="554"/>
      <c r="CH1319" s="619"/>
      <c r="CI1319" s="619"/>
      <c r="CJ1319" s="619"/>
      <c r="CK1319" s="619"/>
      <c r="CL1319" s="619"/>
      <c r="CM1319" s="554"/>
      <c r="CN1319" s="554"/>
      <c r="CO1319" s="554"/>
      <c r="CP1319" s="619"/>
      <c r="CQ1319" s="619"/>
      <c r="CR1319" s="619"/>
      <c r="CS1319" s="619"/>
      <c r="CT1319" s="619"/>
      <c r="CU1319" s="619"/>
    </row>
    <row r="1320" s="1267" customFormat="1" ht="31" customHeight="1" spans="1:99">
      <c r="A1320" s="608">
        <v>46191</v>
      </c>
      <c r="B1320" s="609" t="s">
        <v>4371</v>
      </c>
      <c r="C1320" s="610" t="s">
        <v>98</v>
      </c>
      <c r="D1320" s="554" t="s">
        <v>5127</v>
      </c>
      <c r="E1320" s="610" t="s">
        <v>5141</v>
      </c>
      <c r="F1320" s="554" t="s">
        <v>5142</v>
      </c>
      <c r="G1320" s="610" t="s">
        <v>101</v>
      </c>
      <c r="H1320" s="610" t="s">
        <v>102</v>
      </c>
      <c r="I1320" s="715">
        <v>1920</v>
      </c>
      <c r="J1320" s="610">
        <v>0</v>
      </c>
      <c r="K1320" s="610">
        <v>4</v>
      </c>
      <c r="L1320" s="611">
        <f t="shared" si="413"/>
        <v>480</v>
      </c>
      <c r="M1320" s="612">
        <v>46239</v>
      </c>
      <c r="N1320" s="612">
        <v>46235</v>
      </c>
      <c r="O1320" s="613" t="s">
        <v>5130</v>
      </c>
      <c r="P1320" s="610" t="s">
        <v>113</v>
      </c>
      <c r="Q1320" s="614">
        <v>46253</v>
      </c>
      <c r="R1320" s="614" t="s">
        <v>4563</v>
      </c>
      <c r="S1320" s="614" t="s">
        <v>70</v>
      </c>
      <c r="T1320" s="614" t="s">
        <v>5131</v>
      </c>
      <c r="U1320" s="614"/>
      <c r="V1320" s="614"/>
      <c r="W1320" s="609"/>
      <c r="X1320" s="609" t="s">
        <v>5143</v>
      </c>
      <c r="Y1320" s="616" t="s">
        <v>5133</v>
      </c>
      <c r="Z1320" s="625">
        <v>2.7109</v>
      </c>
      <c r="AA1320" s="616">
        <f t="shared" si="414"/>
        <v>5204.928</v>
      </c>
      <c r="AB1320" s="554"/>
      <c r="AC1320" s="617"/>
      <c r="AD1320" s="610" t="s">
        <v>101</v>
      </c>
      <c r="AE1320" s="610" t="s">
        <v>82</v>
      </c>
      <c r="AF1320" s="610"/>
      <c r="AG1320" s="610"/>
      <c r="AH1320" s="610"/>
      <c r="AI1320" s="609">
        <v>1920</v>
      </c>
      <c r="AJ1320" s="613">
        <f t="shared" si="415"/>
        <v>0</v>
      </c>
      <c r="AK1320" s="610"/>
      <c r="AL1320" s="610" t="s">
        <v>2368</v>
      </c>
      <c r="AM1320" s="554"/>
      <c r="AN1320" s="554">
        <f t="shared" si="404"/>
        <v>1920</v>
      </c>
      <c r="AO1320" s="554"/>
      <c r="AP1320" s="554"/>
      <c r="AQ1320" s="554"/>
      <c r="AR1320" s="554">
        <f t="shared" si="420"/>
        <v>1920</v>
      </c>
      <c r="AS1320" s="554"/>
      <c r="AT1320" s="554"/>
      <c r="AU1320" s="554">
        <f t="shared" si="419"/>
        <v>1920</v>
      </c>
      <c r="AV1320" s="554"/>
      <c r="AW1320" s="554">
        <f t="shared" si="418"/>
        <v>1920</v>
      </c>
      <c r="AX1320" s="714"/>
      <c r="AY1320" s="554"/>
      <c r="AZ1320" s="554"/>
      <c r="BA1320" s="554"/>
      <c r="BB1320" s="554"/>
      <c r="BC1320" s="554"/>
      <c r="BD1320" s="554"/>
      <c r="BE1320" s="554"/>
      <c r="BF1320" s="554"/>
      <c r="BG1320" s="554"/>
      <c r="BH1320" s="554">
        <f t="shared" si="421"/>
        <v>480</v>
      </c>
      <c r="BI1320" s="554"/>
      <c r="BJ1320" s="554"/>
      <c r="BK1320" s="554"/>
      <c r="BL1320" s="554"/>
      <c r="BM1320" s="554"/>
      <c r="BN1320" s="554"/>
      <c r="BO1320" s="554"/>
      <c r="BP1320" s="554"/>
      <c r="BQ1320" s="554"/>
      <c r="BR1320" s="554"/>
      <c r="BS1320" s="554"/>
      <c r="BT1320" s="554"/>
      <c r="BU1320" s="554"/>
      <c r="BV1320" s="554"/>
      <c r="BW1320" s="554"/>
      <c r="BX1320" s="554"/>
      <c r="BY1320" s="554"/>
      <c r="BZ1320" s="554"/>
      <c r="CA1320" s="554"/>
      <c r="CB1320" s="554"/>
      <c r="CC1320" s="554"/>
      <c r="CD1320" s="554"/>
      <c r="CE1320" s="554"/>
      <c r="CF1320" s="554"/>
      <c r="CG1320" s="554"/>
      <c r="CH1320" s="619"/>
      <c r="CI1320" s="619"/>
      <c r="CJ1320" s="619"/>
      <c r="CK1320" s="619"/>
      <c r="CL1320" s="619"/>
      <c r="CM1320" s="554"/>
      <c r="CN1320" s="554"/>
      <c r="CO1320" s="554"/>
      <c r="CP1320" s="619"/>
      <c r="CQ1320" s="619"/>
      <c r="CR1320" s="619"/>
      <c r="CS1320" s="619"/>
      <c r="CT1320" s="619"/>
      <c r="CU1320" s="619"/>
    </row>
    <row r="1321" s="1267" customFormat="1" ht="31" customHeight="1" spans="1:99">
      <c r="A1321" s="608">
        <v>46191</v>
      </c>
      <c r="B1321" s="609" t="s">
        <v>4371</v>
      </c>
      <c r="C1321" s="610" t="s">
        <v>98</v>
      </c>
      <c r="D1321" s="554" t="s">
        <v>5127</v>
      </c>
      <c r="E1321" s="610" t="s">
        <v>5144</v>
      </c>
      <c r="F1321" s="554" t="s">
        <v>5145</v>
      </c>
      <c r="G1321" s="610" t="s">
        <v>101</v>
      </c>
      <c r="H1321" s="610" t="s">
        <v>102</v>
      </c>
      <c r="I1321" s="715">
        <v>1760</v>
      </c>
      <c r="J1321" s="610">
        <v>0</v>
      </c>
      <c r="K1321" s="610">
        <v>4</v>
      </c>
      <c r="L1321" s="611">
        <f t="shared" si="413"/>
        <v>440</v>
      </c>
      <c r="M1321" s="612">
        <v>46239</v>
      </c>
      <c r="N1321" s="612">
        <v>46235</v>
      </c>
      <c r="O1321" s="613" t="s">
        <v>5130</v>
      </c>
      <c r="P1321" s="610" t="s">
        <v>113</v>
      </c>
      <c r="Q1321" s="614"/>
      <c r="R1321" s="614" t="s">
        <v>4563</v>
      </c>
      <c r="S1321" s="614" t="s">
        <v>70</v>
      </c>
      <c r="T1321" s="614" t="s">
        <v>5131</v>
      </c>
      <c r="U1321" s="614"/>
      <c r="V1321" s="614"/>
      <c r="W1321" s="609"/>
      <c r="X1321" s="609" t="s">
        <v>5140</v>
      </c>
      <c r="Y1321" s="616" t="s">
        <v>5133</v>
      </c>
      <c r="Z1321" s="625">
        <v>2.7109</v>
      </c>
      <c r="AA1321" s="616">
        <f t="shared" si="414"/>
        <v>4771.184</v>
      </c>
      <c r="AB1321" s="554"/>
      <c r="AC1321" s="617"/>
      <c r="AD1321" s="610" t="s">
        <v>101</v>
      </c>
      <c r="AE1321" s="610" t="s">
        <v>82</v>
      </c>
      <c r="AF1321" s="610"/>
      <c r="AG1321" s="610"/>
      <c r="AH1321" s="610"/>
      <c r="AI1321" s="609">
        <v>1760</v>
      </c>
      <c r="AJ1321" s="613">
        <f t="shared" si="415"/>
        <v>0</v>
      </c>
      <c r="AK1321" s="610"/>
      <c r="AL1321" s="610" t="s">
        <v>2368</v>
      </c>
      <c r="AM1321" s="554"/>
      <c r="AN1321" s="554">
        <f t="shared" si="404"/>
        <v>1760</v>
      </c>
      <c r="AO1321" s="554"/>
      <c r="AP1321" s="554"/>
      <c r="AQ1321" s="554"/>
      <c r="AR1321" s="554">
        <f t="shared" si="420"/>
        <v>1760</v>
      </c>
      <c r="AS1321" s="554"/>
      <c r="AT1321" s="554"/>
      <c r="AU1321" s="554">
        <f t="shared" si="419"/>
        <v>1760</v>
      </c>
      <c r="AV1321" s="554"/>
      <c r="AW1321" s="554">
        <f t="shared" si="418"/>
        <v>1760</v>
      </c>
      <c r="AX1321" s="714"/>
      <c r="AY1321" s="554"/>
      <c r="AZ1321" s="554"/>
      <c r="BA1321" s="554"/>
      <c r="BB1321" s="554"/>
      <c r="BC1321" s="554"/>
      <c r="BD1321" s="554"/>
      <c r="BE1321" s="554"/>
      <c r="BF1321" s="554"/>
      <c r="BG1321" s="554"/>
      <c r="BH1321" s="554">
        <f t="shared" si="421"/>
        <v>440</v>
      </c>
      <c r="BI1321" s="554"/>
      <c r="BJ1321" s="554"/>
      <c r="BK1321" s="554"/>
      <c r="BL1321" s="554"/>
      <c r="BM1321" s="554"/>
      <c r="BN1321" s="554"/>
      <c r="BO1321" s="554"/>
      <c r="BP1321" s="554"/>
      <c r="BQ1321" s="554"/>
      <c r="BR1321" s="554"/>
      <c r="BS1321" s="554"/>
      <c r="BT1321" s="554"/>
      <c r="BU1321" s="554"/>
      <c r="BV1321" s="554"/>
      <c r="BW1321" s="554"/>
      <c r="BX1321" s="554"/>
      <c r="BY1321" s="554"/>
      <c r="BZ1321" s="554"/>
      <c r="CA1321" s="554"/>
      <c r="CB1321" s="554"/>
      <c r="CC1321" s="554"/>
      <c r="CD1321" s="554"/>
      <c r="CE1321" s="554"/>
      <c r="CF1321" s="554"/>
      <c r="CG1321" s="554"/>
      <c r="CH1321" s="619"/>
      <c r="CI1321" s="619"/>
      <c r="CJ1321" s="619"/>
      <c r="CK1321" s="619"/>
      <c r="CL1321" s="619"/>
      <c r="CM1321" s="554"/>
      <c r="CN1321" s="554"/>
      <c r="CO1321" s="554"/>
      <c r="CP1321" s="619"/>
      <c r="CQ1321" s="619"/>
      <c r="CR1321" s="619"/>
      <c r="CS1321" s="619"/>
      <c r="CT1321" s="619"/>
      <c r="CU1321" s="619"/>
    </row>
    <row r="1322" s="1267" customFormat="1" ht="31" customHeight="1" spans="1:99">
      <c r="A1322" s="608">
        <v>46191</v>
      </c>
      <c r="B1322" s="609" t="s">
        <v>4371</v>
      </c>
      <c r="C1322" s="610" t="s">
        <v>98</v>
      </c>
      <c r="D1322" s="554" t="s">
        <v>5127</v>
      </c>
      <c r="E1322" s="610" t="s">
        <v>5146</v>
      </c>
      <c r="F1322" s="554" t="s">
        <v>5147</v>
      </c>
      <c r="G1322" s="610" t="s">
        <v>101</v>
      </c>
      <c r="H1322" s="610" t="s">
        <v>102</v>
      </c>
      <c r="I1322" s="715">
        <v>3040</v>
      </c>
      <c r="J1322" s="610">
        <v>0</v>
      </c>
      <c r="K1322" s="610">
        <v>4</v>
      </c>
      <c r="L1322" s="611">
        <f t="shared" si="413"/>
        <v>760</v>
      </c>
      <c r="M1322" s="612">
        <v>46239</v>
      </c>
      <c r="N1322" s="612">
        <v>46235</v>
      </c>
      <c r="O1322" s="613" t="s">
        <v>5130</v>
      </c>
      <c r="P1322" s="610" t="s">
        <v>113</v>
      </c>
      <c r="Q1322" s="614"/>
      <c r="R1322" s="614" t="s">
        <v>4563</v>
      </c>
      <c r="S1322" s="614" t="s">
        <v>70</v>
      </c>
      <c r="T1322" s="614" t="s">
        <v>5131</v>
      </c>
      <c r="U1322" s="614"/>
      <c r="V1322" s="614"/>
      <c r="W1322" s="609"/>
      <c r="X1322" s="609" t="s">
        <v>5148</v>
      </c>
      <c r="Y1322" s="616" t="s">
        <v>5133</v>
      </c>
      <c r="Z1322" s="625">
        <v>2.7075</v>
      </c>
      <c r="AA1322" s="616">
        <f t="shared" si="414"/>
        <v>8230.8</v>
      </c>
      <c r="AB1322" s="554"/>
      <c r="AC1322" s="617"/>
      <c r="AD1322" s="610" t="s">
        <v>101</v>
      </c>
      <c r="AE1322" s="610" t="s">
        <v>82</v>
      </c>
      <c r="AF1322" s="610"/>
      <c r="AG1322" s="610"/>
      <c r="AH1322" s="610"/>
      <c r="AI1322" s="609">
        <f>3036+4</f>
        <v>3040</v>
      </c>
      <c r="AJ1322" s="613">
        <f t="shared" si="415"/>
        <v>0</v>
      </c>
      <c r="AK1322" s="610"/>
      <c r="AL1322" s="610" t="s">
        <v>2368</v>
      </c>
      <c r="AM1322" s="554"/>
      <c r="AN1322" s="554">
        <f t="shared" si="404"/>
        <v>3040</v>
      </c>
      <c r="AO1322" s="554"/>
      <c r="AP1322" s="554"/>
      <c r="AQ1322" s="554"/>
      <c r="AR1322" s="554">
        <f t="shared" si="420"/>
        <v>3040</v>
      </c>
      <c r="AS1322" s="554"/>
      <c r="AT1322" s="554"/>
      <c r="AU1322" s="554">
        <f t="shared" si="419"/>
        <v>3040</v>
      </c>
      <c r="AV1322" s="554"/>
      <c r="AW1322" s="554">
        <f t="shared" si="418"/>
        <v>3040</v>
      </c>
      <c r="AX1322" s="714"/>
      <c r="AY1322" s="554"/>
      <c r="AZ1322" s="554"/>
      <c r="BA1322" s="554"/>
      <c r="BB1322" s="554"/>
      <c r="BC1322" s="554"/>
      <c r="BD1322" s="554"/>
      <c r="BE1322" s="554"/>
      <c r="BF1322" s="554"/>
      <c r="BG1322" s="554"/>
      <c r="BH1322" s="554">
        <f t="shared" si="421"/>
        <v>760</v>
      </c>
      <c r="BI1322" s="554"/>
      <c r="BJ1322" s="554"/>
      <c r="BK1322" s="554"/>
      <c r="BL1322" s="554"/>
      <c r="BM1322" s="554"/>
      <c r="BN1322" s="554"/>
      <c r="BO1322" s="554"/>
      <c r="BP1322" s="554"/>
      <c r="BQ1322" s="554"/>
      <c r="BR1322" s="554"/>
      <c r="BS1322" s="554"/>
      <c r="BT1322" s="554"/>
      <c r="BU1322" s="554"/>
      <c r="BV1322" s="554"/>
      <c r="BW1322" s="554"/>
      <c r="BX1322" s="554"/>
      <c r="BY1322" s="554"/>
      <c r="BZ1322" s="554"/>
      <c r="CA1322" s="554"/>
      <c r="CB1322" s="554"/>
      <c r="CC1322" s="554"/>
      <c r="CD1322" s="554"/>
      <c r="CE1322" s="554"/>
      <c r="CF1322" s="554"/>
      <c r="CG1322" s="554"/>
      <c r="CH1322" s="619"/>
      <c r="CI1322" s="619"/>
      <c r="CJ1322" s="619"/>
      <c r="CK1322" s="619"/>
      <c r="CL1322" s="619"/>
      <c r="CM1322" s="554"/>
      <c r="CN1322" s="554"/>
      <c r="CO1322" s="554"/>
      <c r="CP1322" s="619"/>
      <c r="CQ1322" s="619"/>
      <c r="CR1322" s="619"/>
      <c r="CS1322" s="619"/>
      <c r="CT1322" s="619"/>
      <c r="CU1322" s="619"/>
    </row>
    <row r="1323" s="1267" customFormat="1" ht="31" customHeight="1" spans="1:99">
      <c r="A1323" s="608">
        <v>46191</v>
      </c>
      <c r="B1323" s="609" t="s">
        <v>4371</v>
      </c>
      <c r="C1323" s="610" t="s">
        <v>98</v>
      </c>
      <c r="D1323" s="554" t="s">
        <v>5127</v>
      </c>
      <c r="E1323" s="610" t="s">
        <v>5149</v>
      </c>
      <c r="F1323" s="554" t="s">
        <v>5150</v>
      </c>
      <c r="G1323" s="610" t="s">
        <v>101</v>
      </c>
      <c r="H1323" s="610" t="s">
        <v>102</v>
      </c>
      <c r="I1323" s="715">
        <v>2240</v>
      </c>
      <c r="J1323" s="610">
        <v>0</v>
      </c>
      <c r="K1323" s="610">
        <v>4</v>
      </c>
      <c r="L1323" s="611">
        <f t="shared" si="413"/>
        <v>560</v>
      </c>
      <c r="M1323" s="612">
        <v>46239</v>
      </c>
      <c r="N1323" s="612">
        <v>46235</v>
      </c>
      <c r="O1323" s="613" t="s">
        <v>5130</v>
      </c>
      <c r="P1323" s="610" t="s">
        <v>113</v>
      </c>
      <c r="Q1323" s="614"/>
      <c r="R1323" s="614" t="s">
        <v>4563</v>
      </c>
      <c r="S1323" s="614" t="s">
        <v>70</v>
      </c>
      <c r="T1323" s="614" t="s">
        <v>5131</v>
      </c>
      <c r="U1323" s="614"/>
      <c r="V1323" s="614"/>
      <c r="W1323" s="609"/>
      <c r="X1323" s="609" t="s">
        <v>5148</v>
      </c>
      <c r="Y1323" s="616" t="s">
        <v>5133</v>
      </c>
      <c r="Z1323" s="625">
        <v>2.7109</v>
      </c>
      <c r="AA1323" s="616">
        <f t="shared" si="414"/>
        <v>6072.416</v>
      </c>
      <c r="AB1323" s="554"/>
      <c r="AC1323" s="617"/>
      <c r="AD1323" s="610" t="s">
        <v>101</v>
      </c>
      <c r="AE1323" s="610" t="s">
        <v>82</v>
      </c>
      <c r="AF1323" s="610"/>
      <c r="AG1323" s="610"/>
      <c r="AH1323" s="610"/>
      <c r="AI1323" s="609">
        <v>2240</v>
      </c>
      <c r="AJ1323" s="613">
        <f t="shared" si="415"/>
        <v>0</v>
      </c>
      <c r="AK1323" s="610"/>
      <c r="AL1323" s="610" t="s">
        <v>2368</v>
      </c>
      <c r="AM1323" s="554"/>
      <c r="AN1323" s="554">
        <f t="shared" ref="AN1323:AN1367" si="422">I1323</f>
        <v>2240</v>
      </c>
      <c r="AO1323" s="554"/>
      <c r="AP1323" s="554"/>
      <c r="AQ1323" s="554"/>
      <c r="AR1323" s="554">
        <f t="shared" si="420"/>
        <v>2240</v>
      </c>
      <c r="AS1323" s="554"/>
      <c r="AT1323" s="554"/>
      <c r="AU1323" s="554">
        <f t="shared" si="419"/>
        <v>2240</v>
      </c>
      <c r="AV1323" s="554"/>
      <c r="AW1323" s="554">
        <f t="shared" si="418"/>
        <v>2240</v>
      </c>
      <c r="AX1323" s="714"/>
      <c r="AY1323" s="554"/>
      <c r="AZ1323" s="554"/>
      <c r="BA1323" s="554"/>
      <c r="BB1323" s="554"/>
      <c r="BC1323" s="554"/>
      <c r="BD1323" s="554"/>
      <c r="BE1323" s="554"/>
      <c r="BF1323" s="554"/>
      <c r="BG1323" s="554"/>
      <c r="BH1323" s="554">
        <f t="shared" si="421"/>
        <v>560</v>
      </c>
      <c r="BI1323" s="554"/>
      <c r="BJ1323" s="554"/>
      <c r="BK1323" s="554"/>
      <c r="BL1323" s="554"/>
      <c r="BM1323" s="554"/>
      <c r="BN1323" s="554"/>
      <c r="BO1323" s="554"/>
      <c r="BP1323" s="554"/>
      <c r="BQ1323" s="554"/>
      <c r="BR1323" s="554"/>
      <c r="BS1323" s="554"/>
      <c r="BT1323" s="554"/>
      <c r="BU1323" s="554"/>
      <c r="BV1323" s="554"/>
      <c r="BW1323" s="554"/>
      <c r="BX1323" s="554"/>
      <c r="BY1323" s="554"/>
      <c r="BZ1323" s="554"/>
      <c r="CA1323" s="554"/>
      <c r="CB1323" s="554"/>
      <c r="CC1323" s="554"/>
      <c r="CD1323" s="554"/>
      <c r="CE1323" s="554"/>
      <c r="CF1323" s="554"/>
      <c r="CG1323" s="554"/>
      <c r="CH1323" s="619"/>
      <c r="CI1323" s="619"/>
      <c r="CJ1323" s="619"/>
      <c r="CK1323" s="619"/>
      <c r="CL1323" s="619"/>
      <c r="CM1323" s="554"/>
      <c r="CN1323" s="554"/>
      <c r="CO1323" s="554"/>
      <c r="CP1323" s="619"/>
      <c r="CQ1323" s="619"/>
      <c r="CR1323" s="619"/>
      <c r="CS1323" s="619"/>
      <c r="CT1323" s="619"/>
      <c r="CU1323" s="619"/>
    </row>
    <row r="1324" s="1267" customFormat="1" ht="31" customHeight="1" spans="1:99">
      <c r="A1324" s="608">
        <v>46148</v>
      </c>
      <c r="B1324" s="609" t="s">
        <v>2594</v>
      </c>
      <c r="C1324" s="610" t="s">
        <v>2595</v>
      </c>
      <c r="D1324" s="554" t="s">
        <v>5111</v>
      </c>
      <c r="E1324" s="610"/>
      <c r="F1324" s="554" t="s">
        <v>5151</v>
      </c>
      <c r="G1324" s="623" t="s">
        <v>4094</v>
      </c>
      <c r="H1324" s="610" t="s">
        <v>4095</v>
      </c>
      <c r="I1324" s="715">
        <v>600</v>
      </c>
      <c r="J1324" s="610">
        <v>0</v>
      </c>
      <c r="K1324" s="610">
        <v>6</v>
      </c>
      <c r="L1324" s="611">
        <f t="shared" si="413"/>
        <v>100</v>
      </c>
      <c r="M1324" s="612">
        <v>46227</v>
      </c>
      <c r="N1324" s="724">
        <v>46230</v>
      </c>
      <c r="O1324" s="613"/>
      <c r="P1324" s="613" t="s">
        <v>113</v>
      </c>
      <c r="Q1324" s="614">
        <v>46234</v>
      </c>
      <c r="R1324" s="614">
        <v>46198</v>
      </c>
      <c r="S1324" s="614" t="s">
        <v>70</v>
      </c>
      <c r="T1324" s="614" t="s">
        <v>5152</v>
      </c>
      <c r="U1324" s="614"/>
      <c r="V1324" s="614" t="s">
        <v>5153</v>
      </c>
      <c r="W1324" s="609" t="s">
        <v>5154</v>
      </c>
      <c r="X1324" s="738" t="s">
        <v>5155</v>
      </c>
      <c r="Y1324" s="616" t="s">
        <v>529</v>
      </c>
      <c r="Z1324" s="625">
        <v>7.3574</v>
      </c>
      <c r="AA1324" s="616">
        <f t="shared" si="414"/>
        <v>4414.44</v>
      </c>
      <c r="AB1324" s="554"/>
      <c r="AC1324" s="617"/>
      <c r="AD1324" s="900" t="s">
        <v>5156</v>
      </c>
      <c r="AE1324" s="610" t="s">
        <v>82</v>
      </c>
      <c r="AF1324" s="610"/>
      <c r="AG1324" s="610"/>
      <c r="AH1324" s="610"/>
      <c r="AI1324" s="609"/>
      <c r="AJ1324" s="613">
        <f t="shared" si="415"/>
        <v>-600</v>
      </c>
      <c r="AK1324" s="610"/>
      <c r="AL1324" s="610"/>
      <c r="AM1324" s="554"/>
      <c r="AN1324" s="554">
        <f t="shared" si="422"/>
        <v>600</v>
      </c>
      <c r="AO1324" s="554"/>
      <c r="AP1324" s="554"/>
      <c r="AQ1324" s="554"/>
      <c r="AR1324" s="554"/>
      <c r="AS1324" s="554">
        <f>I1324</f>
        <v>600</v>
      </c>
      <c r="AT1324" s="554"/>
      <c r="AU1324" s="554">
        <f t="shared" si="419"/>
        <v>600</v>
      </c>
      <c r="AV1324" s="554"/>
      <c r="AW1324" s="554">
        <f t="shared" si="418"/>
        <v>600</v>
      </c>
      <c r="AX1324" s="714"/>
      <c r="AY1324" s="554"/>
      <c r="AZ1324" s="554"/>
      <c r="BA1324" s="554"/>
      <c r="BB1324" s="554"/>
      <c r="BC1324" s="554"/>
      <c r="BD1324" s="554"/>
      <c r="BE1324" s="554"/>
      <c r="BF1324" s="554"/>
      <c r="BG1324" s="554"/>
      <c r="BH1324" s="554"/>
      <c r="BI1324" s="554"/>
      <c r="BJ1324" s="554"/>
      <c r="BK1324" s="554"/>
      <c r="BL1324" s="554"/>
      <c r="BM1324" s="554"/>
      <c r="BN1324" s="554">
        <f>I1324</f>
        <v>600</v>
      </c>
      <c r="BO1324" s="554"/>
      <c r="BP1324" s="554"/>
      <c r="BQ1324" s="554"/>
      <c r="BR1324" s="554"/>
      <c r="BS1324" s="554"/>
      <c r="BT1324" s="554"/>
      <c r="BU1324" s="554"/>
      <c r="BV1324" s="554"/>
      <c r="BW1324" s="554"/>
      <c r="BX1324" s="554"/>
      <c r="BY1324" s="554"/>
      <c r="BZ1324" s="554"/>
      <c r="CA1324" s="554"/>
      <c r="CB1324" s="554"/>
      <c r="CC1324" s="554"/>
      <c r="CD1324" s="554"/>
      <c r="CE1324" s="554"/>
      <c r="CF1324" s="554"/>
      <c r="CG1324" s="554"/>
      <c r="CH1324" s="619"/>
      <c r="CI1324" s="619"/>
      <c r="CJ1324" s="619"/>
      <c r="CK1324" s="619"/>
      <c r="CL1324" s="619"/>
      <c r="CM1324" s="554"/>
      <c r="CN1324" s="554"/>
      <c r="CO1324" s="554"/>
      <c r="CP1324" s="619"/>
      <c r="CQ1324" s="619"/>
      <c r="CR1324" s="619"/>
      <c r="CS1324" s="619"/>
      <c r="CT1324" s="619"/>
      <c r="CU1324" s="619"/>
    </row>
    <row r="1325" s="1267" customFormat="1" ht="31" customHeight="1" spans="1:99">
      <c r="A1325" s="608">
        <v>46185</v>
      </c>
      <c r="B1325" s="609" t="s">
        <v>5157</v>
      </c>
      <c r="C1325" s="610" t="s">
        <v>128</v>
      </c>
      <c r="D1325" s="554" t="s">
        <v>5158</v>
      </c>
      <c r="E1325" s="610" t="s">
        <v>5159</v>
      </c>
      <c r="F1325" s="554" t="s">
        <v>5160</v>
      </c>
      <c r="G1325" s="610" t="s">
        <v>68</v>
      </c>
      <c r="H1325" s="610" t="s">
        <v>69</v>
      </c>
      <c r="I1325" s="715">
        <v>4200</v>
      </c>
      <c r="J1325" s="610">
        <v>0</v>
      </c>
      <c r="K1325" s="610">
        <v>12</v>
      </c>
      <c r="L1325" s="611">
        <f t="shared" si="413"/>
        <v>350</v>
      </c>
      <c r="M1325" s="612">
        <v>46230</v>
      </c>
      <c r="N1325" s="724">
        <v>46230</v>
      </c>
      <c r="O1325" s="613"/>
      <c r="P1325" s="613" t="s">
        <v>113</v>
      </c>
      <c r="Q1325" s="614">
        <v>46232</v>
      </c>
      <c r="R1325" s="614">
        <v>46195</v>
      </c>
      <c r="S1325" s="614" t="s">
        <v>104</v>
      </c>
      <c r="T1325" s="614" t="s">
        <v>5161</v>
      </c>
      <c r="U1325" s="614"/>
      <c r="V1325" s="614"/>
      <c r="W1325" s="609"/>
      <c r="X1325" s="738" t="s">
        <v>5162</v>
      </c>
      <c r="Y1325" s="616" t="s">
        <v>5163</v>
      </c>
      <c r="Z1325" s="625">
        <v>4.4655</v>
      </c>
      <c r="AA1325" s="616">
        <v>18755.1</v>
      </c>
      <c r="AB1325" s="554"/>
      <c r="AC1325" s="617"/>
      <c r="AD1325" s="610" t="s">
        <v>68</v>
      </c>
      <c r="AE1325" s="610" t="s">
        <v>82</v>
      </c>
      <c r="AF1325" s="610"/>
      <c r="AG1325" s="610"/>
      <c r="AH1325" s="610"/>
      <c r="AI1325" s="609">
        <v>4200</v>
      </c>
      <c r="AJ1325" s="610">
        <f t="shared" si="415"/>
        <v>0</v>
      </c>
      <c r="AK1325" s="610"/>
      <c r="AL1325" s="610" t="s">
        <v>2368</v>
      </c>
      <c r="AM1325" s="554"/>
      <c r="AN1325" s="554">
        <f t="shared" si="422"/>
        <v>4200</v>
      </c>
      <c r="AO1325" s="554"/>
      <c r="AP1325" s="554"/>
      <c r="AQ1325" s="554"/>
      <c r="AR1325" s="554">
        <f>I1325</f>
        <v>4200</v>
      </c>
      <c r="AS1325" s="554"/>
      <c r="AT1325" s="554"/>
      <c r="AU1325" s="554">
        <f t="shared" si="419"/>
        <v>4200</v>
      </c>
      <c r="AV1325" s="554"/>
      <c r="AW1325" s="554">
        <f t="shared" si="418"/>
        <v>4200</v>
      </c>
      <c r="AX1325" s="714"/>
      <c r="AY1325" s="554"/>
      <c r="AZ1325" s="554"/>
      <c r="BA1325" s="554"/>
      <c r="BB1325" s="554"/>
      <c r="BC1325" s="554"/>
      <c r="BD1325" s="554"/>
      <c r="BE1325" s="554"/>
      <c r="BF1325" s="554"/>
      <c r="BG1325" s="554"/>
      <c r="BH1325" s="554"/>
      <c r="BI1325" s="554"/>
      <c r="BJ1325" s="554"/>
      <c r="BK1325" s="554"/>
      <c r="BL1325" s="554"/>
      <c r="BM1325" s="554"/>
      <c r="BN1325" s="554"/>
      <c r="BO1325" s="554"/>
      <c r="BP1325" s="554"/>
      <c r="BQ1325" s="554"/>
      <c r="BR1325" s="554"/>
      <c r="BS1325" s="554"/>
      <c r="BT1325" s="554"/>
      <c r="BU1325" s="554"/>
      <c r="BV1325" s="554"/>
      <c r="BW1325" s="554"/>
      <c r="BX1325" s="554"/>
      <c r="BY1325" s="554"/>
      <c r="BZ1325" s="554"/>
      <c r="CA1325" s="554"/>
      <c r="CB1325" s="554"/>
      <c r="CC1325" s="554"/>
      <c r="CD1325" s="554"/>
      <c r="CE1325" s="554"/>
      <c r="CF1325" s="554"/>
      <c r="CG1325" s="554"/>
      <c r="CH1325" s="619"/>
      <c r="CI1325" s="619"/>
      <c r="CJ1325" s="619"/>
      <c r="CK1325" s="619"/>
      <c r="CL1325" s="619"/>
      <c r="CM1325" s="554"/>
      <c r="CN1325" s="554"/>
      <c r="CO1325" s="554"/>
      <c r="CP1325" s="619"/>
      <c r="CQ1325" s="619"/>
      <c r="CR1325" s="619"/>
      <c r="CS1325" s="619"/>
      <c r="CT1325" s="619"/>
      <c r="CU1325" s="619"/>
    </row>
    <row r="1326" s="1267" customFormat="1" ht="31" customHeight="1" spans="1:99">
      <c r="A1326" s="608">
        <v>46185</v>
      </c>
      <c r="B1326" s="609" t="s">
        <v>5164</v>
      </c>
      <c r="C1326" s="610" t="s">
        <v>76</v>
      </c>
      <c r="D1326" s="554" t="s">
        <v>5165</v>
      </c>
      <c r="E1326" s="610" t="s">
        <v>5166</v>
      </c>
      <c r="F1326" s="554" t="s">
        <v>5167</v>
      </c>
      <c r="G1326" s="610" t="s">
        <v>68</v>
      </c>
      <c r="H1326" s="610" t="s">
        <v>69</v>
      </c>
      <c r="I1326" s="715">
        <v>420</v>
      </c>
      <c r="J1326" s="610">
        <v>0</v>
      </c>
      <c r="K1326" s="610">
        <v>12</v>
      </c>
      <c r="L1326" s="611">
        <f t="shared" si="413"/>
        <v>35</v>
      </c>
      <c r="M1326" s="612">
        <v>46230</v>
      </c>
      <c r="N1326" s="724">
        <v>46230</v>
      </c>
      <c r="O1326" s="613"/>
      <c r="P1326" s="613" t="s">
        <v>113</v>
      </c>
      <c r="Q1326" s="614">
        <v>46232</v>
      </c>
      <c r="R1326" s="614">
        <v>46195</v>
      </c>
      <c r="S1326" s="614" t="s">
        <v>104</v>
      </c>
      <c r="T1326" s="614" t="s">
        <v>5168</v>
      </c>
      <c r="U1326" s="614"/>
      <c r="V1326" s="614"/>
      <c r="W1326" s="609"/>
      <c r="X1326" s="738" t="s">
        <v>5169</v>
      </c>
      <c r="Y1326" s="616" t="s">
        <v>5163</v>
      </c>
      <c r="Z1326" s="625">
        <v>4.4711</v>
      </c>
      <c r="AA1326" s="616">
        <v>1877.862</v>
      </c>
      <c r="AB1326" s="554"/>
      <c r="AC1326" s="617"/>
      <c r="AD1326" s="610" t="s">
        <v>68</v>
      </c>
      <c r="AE1326" s="610" t="s">
        <v>82</v>
      </c>
      <c r="AF1326" s="610"/>
      <c r="AG1326" s="610"/>
      <c r="AH1326" s="610"/>
      <c r="AI1326" s="609">
        <v>420</v>
      </c>
      <c r="AJ1326" s="610">
        <f t="shared" si="415"/>
        <v>0</v>
      </c>
      <c r="AK1326" s="610"/>
      <c r="AL1326" s="610" t="s">
        <v>2368</v>
      </c>
      <c r="AM1326" s="554"/>
      <c r="AN1326" s="554">
        <f t="shared" si="422"/>
        <v>420</v>
      </c>
      <c r="AO1326" s="554"/>
      <c r="AP1326" s="554"/>
      <c r="AQ1326" s="554"/>
      <c r="AR1326" s="554">
        <f>I1326</f>
        <v>420</v>
      </c>
      <c r="AS1326" s="554"/>
      <c r="AT1326" s="554"/>
      <c r="AU1326" s="554">
        <f t="shared" si="419"/>
        <v>420</v>
      </c>
      <c r="AV1326" s="554"/>
      <c r="AW1326" s="554">
        <f t="shared" si="418"/>
        <v>420</v>
      </c>
      <c r="AX1326" s="714"/>
      <c r="AY1326" s="554"/>
      <c r="AZ1326" s="554"/>
      <c r="BA1326" s="554"/>
      <c r="BB1326" s="554"/>
      <c r="BC1326" s="554"/>
      <c r="BD1326" s="554"/>
      <c r="BE1326" s="554"/>
      <c r="BF1326" s="554"/>
      <c r="BG1326" s="554"/>
      <c r="BH1326" s="554"/>
      <c r="BI1326" s="554"/>
      <c r="BJ1326" s="554"/>
      <c r="BK1326" s="554"/>
      <c r="BL1326" s="554"/>
      <c r="BM1326" s="554"/>
      <c r="BN1326" s="554"/>
      <c r="BO1326" s="554"/>
      <c r="BP1326" s="554"/>
      <c r="BQ1326" s="554"/>
      <c r="BR1326" s="554"/>
      <c r="BS1326" s="554"/>
      <c r="BT1326" s="554"/>
      <c r="BU1326" s="554"/>
      <c r="BV1326" s="554"/>
      <c r="BW1326" s="554"/>
      <c r="BX1326" s="554"/>
      <c r="BY1326" s="554"/>
      <c r="BZ1326" s="554"/>
      <c r="CA1326" s="554"/>
      <c r="CB1326" s="554"/>
      <c r="CC1326" s="554"/>
      <c r="CD1326" s="554"/>
      <c r="CE1326" s="554"/>
      <c r="CF1326" s="554"/>
      <c r="CG1326" s="554"/>
      <c r="CH1326" s="619"/>
      <c r="CI1326" s="619"/>
      <c r="CJ1326" s="619"/>
      <c r="CK1326" s="619"/>
      <c r="CL1326" s="619"/>
      <c r="CM1326" s="554"/>
      <c r="CN1326" s="554"/>
      <c r="CO1326" s="554"/>
      <c r="CP1326" s="619"/>
      <c r="CQ1326" s="619"/>
      <c r="CR1326" s="619"/>
      <c r="CS1326" s="619"/>
      <c r="CT1326" s="619"/>
      <c r="CU1326" s="619"/>
    </row>
    <row r="1327" s="1267" customFormat="1" ht="31" customHeight="1" spans="1:99">
      <c r="A1327" s="608">
        <v>46157</v>
      </c>
      <c r="B1327" s="609" t="s">
        <v>5170</v>
      </c>
      <c r="C1327" s="610" t="s">
        <v>98</v>
      </c>
      <c r="D1327" s="554" t="s">
        <v>5171</v>
      </c>
      <c r="E1327" s="610" t="s">
        <v>5172</v>
      </c>
      <c r="F1327" s="554" t="s">
        <v>5173</v>
      </c>
      <c r="G1327" s="623" t="s">
        <v>2736</v>
      </c>
      <c r="H1327" s="610" t="s">
        <v>2737</v>
      </c>
      <c r="I1327" s="610">
        <v>800</v>
      </c>
      <c r="J1327" s="610">
        <v>0</v>
      </c>
      <c r="K1327" s="610">
        <v>8</v>
      </c>
      <c r="L1327" s="611">
        <f t="shared" si="413"/>
        <v>100</v>
      </c>
      <c r="M1327" s="612">
        <v>46230</v>
      </c>
      <c r="N1327" s="612">
        <v>46226</v>
      </c>
      <c r="O1327" s="613"/>
      <c r="P1327" s="610" t="s">
        <v>113</v>
      </c>
      <c r="Q1327" s="614">
        <v>46233</v>
      </c>
      <c r="R1327" s="614">
        <v>46189</v>
      </c>
      <c r="S1327" s="614" t="s">
        <v>104</v>
      </c>
      <c r="T1327" s="614" t="s">
        <v>5174</v>
      </c>
      <c r="U1327" s="614"/>
      <c r="V1327" s="614"/>
      <c r="W1327" s="609"/>
      <c r="X1327" s="609" t="s">
        <v>5175</v>
      </c>
      <c r="Y1327" s="616" t="s">
        <v>4914</v>
      </c>
      <c r="Z1327" s="625">
        <v>4.3989</v>
      </c>
      <c r="AA1327" s="616">
        <f t="shared" ref="AA1327:AA1334" si="423">Z1327*I1327</f>
        <v>3519.12</v>
      </c>
      <c r="AB1327" s="554"/>
      <c r="AC1327" s="629" t="s">
        <v>5176</v>
      </c>
      <c r="AD1327" s="610" t="s">
        <v>2741</v>
      </c>
      <c r="AE1327" s="610" t="s">
        <v>82</v>
      </c>
      <c r="AF1327" s="610"/>
      <c r="AG1327" s="610"/>
      <c r="AH1327" s="610"/>
      <c r="AI1327" s="609"/>
      <c r="AJ1327" s="613">
        <f t="shared" si="415"/>
        <v>-800</v>
      </c>
      <c r="AK1327" s="610"/>
      <c r="AL1327" s="610"/>
      <c r="AM1327" s="554"/>
      <c r="AN1327" s="554">
        <f t="shared" si="422"/>
        <v>800</v>
      </c>
      <c r="AO1327" s="554"/>
      <c r="AP1327" s="554"/>
      <c r="AQ1327" s="554"/>
      <c r="AR1327" s="554">
        <f>I1327</f>
        <v>800</v>
      </c>
      <c r="AS1327" s="554"/>
      <c r="AT1327" s="554"/>
      <c r="AU1327" s="554">
        <f t="shared" si="419"/>
        <v>800</v>
      </c>
      <c r="AV1327" s="554"/>
      <c r="AW1327" s="554">
        <f t="shared" si="418"/>
        <v>800</v>
      </c>
      <c r="AX1327" s="714"/>
      <c r="AY1327" s="554"/>
      <c r="AZ1327" s="554"/>
      <c r="BA1327" s="554"/>
      <c r="BB1327" s="554"/>
      <c r="BC1327" s="554"/>
      <c r="BD1327" s="554"/>
      <c r="BE1327" s="554"/>
      <c r="BF1327" s="554"/>
      <c r="BG1327" s="554"/>
      <c r="BH1327" s="554"/>
      <c r="BI1327" s="554"/>
      <c r="BJ1327" s="554"/>
      <c r="BK1327" s="554"/>
      <c r="BL1327" s="554"/>
      <c r="BM1327" s="729">
        <f>I1327</f>
        <v>800</v>
      </c>
      <c r="BN1327" s="554"/>
      <c r="BO1327" s="554"/>
      <c r="BP1327" s="554"/>
      <c r="BQ1327" s="554"/>
      <c r="BR1327" s="554"/>
      <c r="BS1327" s="554"/>
      <c r="BT1327" s="554"/>
      <c r="BU1327" s="554"/>
      <c r="BV1327" s="554"/>
      <c r="BW1327" s="554"/>
      <c r="BX1327" s="554"/>
      <c r="BY1327" s="554"/>
      <c r="BZ1327" s="554"/>
      <c r="CA1327" s="554"/>
      <c r="CB1327" s="554"/>
      <c r="CC1327" s="554"/>
      <c r="CD1327" s="554"/>
      <c r="CE1327" s="554"/>
      <c r="CF1327" s="554"/>
      <c r="CG1327" s="554"/>
      <c r="CH1327" s="619"/>
      <c r="CI1327" s="619"/>
      <c r="CJ1327" s="619"/>
      <c r="CK1327" s="619"/>
      <c r="CL1327" s="619"/>
      <c r="CM1327" s="554"/>
      <c r="CN1327" s="554"/>
      <c r="CO1327" s="554"/>
      <c r="CP1327" s="619"/>
      <c r="CQ1327" s="619"/>
      <c r="CR1327" s="619"/>
      <c r="CS1327" s="619"/>
      <c r="CT1327" s="619"/>
      <c r="CU1327" s="619"/>
    </row>
    <row r="1328" s="1267" customFormat="1" ht="31" customHeight="1" spans="1:99">
      <c r="A1328" s="608">
        <v>46189</v>
      </c>
      <c r="B1328" s="609" t="s">
        <v>1800</v>
      </c>
      <c r="C1328" s="610" t="s">
        <v>744</v>
      </c>
      <c r="D1328" s="554" t="s">
        <v>5177</v>
      </c>
      <c r="E1328" s="610" t="s">
        <v>5178</v>
      </c>
      <c r="F1328" s="554" t="s">
        <v>5179</v>
      </c>
      <c r="G1328" s="610" t="s">
        <v>130</v>
      </c>
      <c r="H1328" s="610" t="s">
        <v>131</v>
      </c>
      <c r="I1328" s="715">
        <v>600</v>
      </c>
      <c r="J1328" s="610">
        <v>0</v>
      </c>
      <c r="K1328" s="610">
        <v>6</v>
      </c>
      <c r="L1328" s="611">
        <f t="shared" si="413"/>
        <v>100</v>
      </c>
      <c r="M1328" s="612">
        <v>46231</v>
      </c>
      <c r="N1328" s="612">
        <v>46227</v>
      </c>
      <c r="O1328" s="613"/>
      <c r="P1328" s="610" t="s">
        <v>113</v>
      </c>
      <c r="Q1328" s="614">
        <v>46231</v>
      </c>
      <c r="R1328" s="614" t="s">
        <v>5180</v>
      </c>
      <c r="S1328" s="614" t="s">
        <v>70</v>
      </c>
      <c r="T1328" s="614" t="s">
        <v>3028</v>
      </c>
      <c r="U1328" s="614"/>
      <c r="V1328" s="614"/>
      <c r="W1328" s="609"/>
      <c r="X1328" s="609" t="s">
        <v>5181</v>
      </c>
      <c r="Y1328" s="616" t="s">
        <v>1805</v>
      </c>
      <c r="Z1328" s="625">
        <v>4.1689</v>
      </c>
      <c r="AA1328" s="616">
        <f t="shared" si="423"/>
        <v>2501.34</v>
      </c>
      <c r="AB1328" s="554"/>
      <c r="AC1328" s="617"/>
      <c r="AD1328" s="610" t="s">
        <v>2217</v>
      </c>
      <c r="AE1328" s="610" t="s">
        <v>82</v>
      </c>
      <c r="AF1328" s="610"/>
      <c r="AG1328" s="610"/>
      <c r="AH1328" s="610"/>
      <c r="AI1328" s="609">
        <v>600</v>
      </c>
      <c r="AJ1328" s="610">
        <f t="shared" si="415"/>
        <v>0</v>
      </c>
      <c r="AK1328" s="610"/>
      <c r="AL1328" s="610" t="s">
        <v>2368</v>
      </c>
      <c r="AM1328" s="554"/>
      <c r="AN1328" s="554">
        <f t="shared" si="422"/>
        <v>600</v>
      </c>
      <c r="AO1328" s="554"/>
      <c r="AP1328" s="554"/>
      <c r="AQ1328" s="554"/>
      <c r="AR1328" s="554">
        <f>I1328</f>
        <v>600</v>
      </c>
      <c r="AS1328" s="554"/>
      <c r="AT1328" s="554"/>
      <c r="AU1328" s="554"/>
      <c r="AV1328" s="554">
        <f>I1328</f>
        <v>600</v>
      </c>
      <c r="AW1328" s="554"/>
      <c r="AX1328" s="714">
        <f>I1328</f>
        <v>600</v>
      </c>
      <c r="AY1328" s="554"/>
      <c r="AZ1328" s="554"/>
      <c r="BA1328" s="554"/>
      <c r="BB1328" s="554"/>
      <c r="BC1328" s="554"/>
      <c r="BD1328" s="554"/>
      <c r="BE1328" s="554"/>
      <c r="BF1328" s="554"/>
      <c r="BG1328" s="554"/>
      <c r="BH1328" s="554"/>
      <c r="BI1328" s="554"/>
      <c r="BJ1328" s="554"/>
      <c r="BK1328" s="554"/>
      <c r="BL1328" s="554"/>
      <c r="BM1328" s="554"/>
      <c r="BN1328" s="554"/>
      <c r="BO1328" s="554"/>
      <c r="BP1328" s="554"/>
      <c r="BQ1328" s="554"/>
      <c r="BR1328" s="554"/>
      <c r="BS1328" s="554"/>
      <c r="BT1328" s="554"/>
      <c r="BU1328" s="554"/>
      <c r="BV1328" s="554"/>
      <c r="BW1328" s="554"/>
      <c r="BX1328" s="554"/>
      <c r="BY1328" s="554"/>
      <c r="BZ1328" s="554"/>
      <c r="CA1328" s="554"/>
      <c r="CB1328" s="554"/>
      <c r="CC1328" s="554"/>
      <c r="CD1328" s="554"/>
      <c r="CE1328" s="554"/>
      <c r="CF1328" s="554"/>
      <c r="CG1328" s="554"/>
      <c r="CH1328" s="619"/>
      <c r="CI1328" s="619"/>
      <c r="CJ1328" s="619"/>
      <c r="CK1328" s="619"/>
      <c r="CL1328" s="619"/>
      <c r="CM1328" s="554"/>
      <c r="CN1328" s="554"/>
      <c r="CO1328" s="554"/>
      <c r="CP1328" s="619"/>
      <c r="CQ1328" s="619"/>
      <c r="CR1328" s="619"/>
      <c r="CS1328" s="619"/>
      <c r="CT1328" s="619"/>
      <c r="CU1328" s="619"/>
    </row>
    <row r="1329" s="1267" customFormat="1" ht="31" customHeight="1" spans="1:111">
      <c r="A1329" s="608">
        <v>46189</v>
      </c>
      <c r="B1329" s="609" t="s">
        <v>1800</v>
      </c>
      <c r="C1329" s="610" t="s">
        <v>744</v>
      </c>
      <c r="D1329" s="554" t="s">
        <v>5177</v>
      </c>
      <c r="E1329" s="610">
        <v>5000002278</v>
      </c>
      <c r="F1329" s="554" t="s">
        <v>5182</v>
      </c>
      <c r="G1329" s="610" t="s">
        <v>130</v>
      </c>
      <c r="H1329" s="610" t="s">
        <v>131</v>
      </c>
      <c r="I1329" s="715">
        <v>3900</v>
      </c>
      <c r="J1329" s="610">
        <v>0</v>
      </c>
      <c r="K1329" s="610">
        <v>6</v>
      </c>
      <c r="L1329" s="611">
        <f t="shared" si="413"/>
        <v>650</v>
      </c>
      <c r="M1329" s="612">
        <v>46231</v>
      </c>
      <c r="N1329" s="612">
        <v>46227</v>
      </c>
      <c r="O1329" s="613"/>
      <c r="P1329" s="610" t="s">
        <v>113</v>
      </c>
      <c r="Q1329" s="614">
        <v>46231</v>
      </c>
      <c r="R1329" s="614" t="s">
        <v>5180</v>
      </c>
      <c r="S1329" s="614" t="s">
        <v>70</v>
      </c>
      <c r="T1329" s="614" t="s">
        <v>3028</v>
      </c>
      <c r="U1329" s="614"/>
      <c r="V1329" s="614"/>
      <c r="W1329" s="609"/>
      <c r="X1329" s="609" t="s">
        <v>5181</v>
      </c>
      <c r="Y1329" s="616" t="s">
        <v>1805</v>
      </c>
      <c r="Z1329" s="625">
        <v>4.1689</v>
      </c>
      <c r="AA1329" s="616">
        <f t="shared" si="423"/>
        <v>16258.71</v>
      </c>
      <c r="AB1329" s="554"/>
      <c r="AC1329" s="617"/>
      <c r="AD1329" s="610" t="s">
        <v>2217</v>
      </c>
      <c r="AE1329" s="610" t="s">
        <v>82</v>
      </c>
      <c r="AF1329" s="610"/>
      <c r="AG1329" s="610"/>
      <c r="AH1329" s="610"/>
      <c r="AI1329" s="609">
        <v>3900</v>
      </c>
      <c r="AJ1329" s="610">
        <f t="shared" si="415"/>
        <v>0</v>
      </c>
      <c r="AK1329" s="610"/>
      <c r="AL1329" s="610" t="s">
        <v>2368</v>
      </c>
      <c r="AM1329" s="554"/>
      <c r="AN1329" s="554">
        <f t="shared" si="422"/>
        <v>3900</v>
      </c>
      <c r="AO1329" s="554"/>
      <c r="AP1329" s="554"/>
      <c r="AQ1329" s="554"/>
      <c r="AR1329" s="554">
        <f>I1329</f>
        <v>3900</v>
      </c>
      <c r="AS1329" s="554"/>
      <c r="AT1329" s="554"/>
      <c r="AU1329" s="554"/>
      <c r="AV1329" s="554">
        <f>I1329</f>
        <v>3900</v>
      </c>
      <c r="AW1329" s="554"/>
      <c r="AX1329" s="714">
        <f>I1329</f>
        <v>3900</v>
      </c>
      <c r="AY1329" s="554"/>
      <c r="AZ1329" s="554"/>
      <c r="BA1329" s="554"/>
      <c r="BB1329" s="554"/>
      <c r="BC1329" s="554"/>
      <c r="BD1329" s="554"/>
      <c r="BE1329" s="554"/>
      <c r="BF1329" s="554"/>
      <c r="BG1329" s="554"/>
      <c r="BH1329" s="554"/>
      <c r="BI1329" s="554"/>
      <c r="BJ1329" s="554"/>
      <c r="BK1329" s="554"/>
      <c r="BL1329" s="554"/>
      <c r="BM1329" s="554"/>
      <c r="BN1329" s="554"/>
      <c r="BO1329" s="554"/>
      <c r="BP1329" s="554"/>
      <c r="BQ1329" s="554"/>
      <c r="BR1329" s="554"/>
      <c r="BS1329" s="554"/>
      <c r="BT1329" s="554"/>
      <c r="BU1329" s="554"/>
      <c r="BV1329" s="554"/>
      <c r="BW1329" s="554"/>
      <c r="BX1329" s="554"/>
      <c r="BY1329" s="554"/>
      <c r="BZ1329" s="554"/>
      <c r="CA1329" s="554"/>
      <c r="CB1329" s="554"/>
      <c r="CC1329" s="554"/>
      <c r="CD1329" s="554"/>
      <c r="CE1329" s="554"/>
      <c r="CF1329" s="554"/>
      <c r="CG1329" s="554"/>
      <c r="CH1329" s="619"/>
      <c r="CI1329" s="619"/>
      <c r="CJ1329" s="619"/>
      <c r="CK1329" s="619"/>
      <c r="CL1329" s="619"/>
      <c r="CM1329" s="554"/>
      <c r="CN1329" s="554"/>
      <c r="CO1329" s="554"/>
      <c r="CP1329" s="619"/>
      <c r="CQ1329" s="619"/>
      <c r="CR1329" s="619"/>
      <c r="CS1329" s="619"/>
      <c r="CT1329" s="619"/>
      <c r="CU1329" s="619"/>
    </row>
    <row r="1330" s="1267" customFormat="1" ht="31" customHeight="1" spans="1:111">
      <c r="A1330" s="608">
        <v>46182</v>
      </c>
      <c r="B1330" s="609" t="s">
        <v>1544</v>
      </c>
      <c r="C1330" s="610" t="s">
        <v>257</v>
      </c>
      <c r="D1330" s="554" t="s">
        <v>5183</v>
      </c>
      <c r="E1330" s="610" t="s">
        <v>5184</v>
      </c>
      <c r="F1330" s="554" t="s">
        <v>5185</v>
      </c>
      <c r="G1330" s="610" t="s">
        <v>164</v>
      </c>
      <c r="H1330" s="610" t="s">
        <v>112</v>
      </c>
      <c r="I1330" s="715">
        <v>3304</v>
      </c>
      <c r="J1330" s="610">
        <v>0</v>
      </c>
      <c r="K1330" s="610">
        <v>8</v>
      </c>
      <c r="L1330" s="611">
        <f t="shared" si="413"/>
        <v>413</v>
      </c>
      <c r="M1330" s="612">
        <v>46237</v>
      </c>
      <c r="N1330" s="612">
        <v>46233</v>
      </c>
      <c r="O1330" s="613"/>
      <c r="P1330" s="610" t="s">
        <v>113</v>
      </c>
      <c r="Q1330" s="614">
        <v>46244</v>
      </c>
      <c r="R1330" s="614">
        <v>46182</v>
      </c>
      <c r="S1330" s="614" t="s">
        <v>70</v>
      </c>
      <c r="T1330" s="614" t="s">
        <v>70</v>
      </c>
      <c r="U1330" s="614" t="s">
        <v>5186</v>
      </c>
      <c r="V1330" s="1267"/>
      <c r="W1330" s="614" t="s">
        <v>5187</v>
      </c>
      <c r="X1330" s="609" t="s">
        <v>5053</v>
      </c>
      <c r="Y1330" s="616" t="s">
        <v>5054</v>
      </c>
      <c r="Z1330" s="625">
        <v>4.3685</v>
      </c>
      <c r="AA1330" s="616">
        <f t="shared" si="423"/>
        <v>14433.524</v>
      </c>
      <c r="AB1330" s="609"/>
      <c r="AC1330" s="617"/>
      <c r="AD1330" s="610" t="s">
        <v>2381</v>
      </c>
      <c r="AE1330" s="610" t="s">
        <v>82</v>
      </c>
      <c r="AF1330" s="610"/>
      <c r="AG1330" s="610"/>
      <c r="AH1330" s="610"/>
      <c r="AI1330" s="609">
        <f>1568+1736</f>
        <v>3304</v>
      </c>
      <c r="AJ1330" s="613">
        <f t="shared" si="415"/>
        <v>0</v>
      </c>
      <c r="AK1330" s="610"/>
      <c r="AL1330" s="610" t="s">
        <v>5055</v>
      </c>
      <c r="AM1330" s="554"/>
      <c r="AN1330" s="554">
        <f t="shared" si="422"/>
        <v>3304</v>
      </c>
      <c r="AO1330" s="554"/>
      <c r="AP1330" s="554"/>
      <c r="AQ1330" s="554"/>
      <c r="AR1330" s="554"/>
      <c r="AS1330" s="554">
        <f>I1330</f>
        <v>3304</v>
      </c>
      <c r="AT1330" s="554"/>
      <c r="AU1330" s="554">
        <f>I1330</f>
        <v>3304</v>
      </c>
      <c r="AV1330" s="554"/>
      <c r="AW1330" s="554">
        <f>I1330</f>
        <v>3304</v>
      </c>
      <c r="AX1330" s="714"/>
      <c r="AY1330" s="554"/>
      <c r="AZ1330" s="554"/>
      <c r="BA1330" s="554"/>
      <c r="BB1330" s="554"/>
      <c r="BC1330" s="554"/>
      <c r="BD1330" s="554"/>
      <c r="BE1330" s="554"/>
      <c r="BF1330" s="554"/>
      <c r="BG1330" s="554"/>
      <c r="BH1330" s="554"/>
      <c r="BI1330" s="554">
        <f>I1330/4</f>
        <v>826</v>
      </c>
      <c r="BJ1330" s="554"/>
      <c r="BK1330" s="554"/>
      <c r="BL1330" s="554"/>
      <c r="BM1330" s="554"/>
      <c r="BN1330" s="554"/>
      <c r="BO1330" s="554"/>
      <c r="BP1330" s="554"/>
      <c r="BQ1330" s="554"/>
      <c r="BR1330" s="554"/>
      <c r="BS1330" s="554"/>
      <c r="BT1330" s="554"/>
      <c r="BU1330" s="554"/>
      <c r="BV1330" s="554"/>
      <c r="BW1330" s="554"/>
      <c r="BX1330" s="554"/>
      <c r="BY1330" s="554"/>
      <c r="BZ1330" s="554"/>
      <c r="CA1330" s="554"/>
      <c r="CB1330" s="554"/>
      <c r="CC1330" s="554"/>
      <c r="CD1330" s="554"/>
      <c r="CE1330" s="554"/>
      <c r="CF1330" s="554"/>
      <c r="CG1330" s="554"/>
      <c r="CH1330" s="619"/>
      <c r="CI1330" s="619"/>
      <c r="CJ1330" s="619"/>
      <c r="CK1330" s="619"/>
      <c r="CL1330" s="619"/>
      <c r="CM1330" s="554"/>
      <c r="CN1330" s="554"/>
      <c r="CO1330" s="554"/>
      <c r="CP1330" s="619"/>
      <c r="CQ1330" s="619"/>
      <c r="CR1330" s="619"/>
      <c r="CS1330" s="619"/>
      <c r="CT1330" s="619"/>
      <c r="CU1330" s="619"/>
    </row>
    <row r="1331" s="1267" customFormat="1" ht="31" customHeight="1" spans="1:111">
      <c r="A1331" s="608">
        <v>46189</v>
      </c>
      <c r="B1331" s="609" t="s">
        <v>5188</v>
      </c>
      <c r="C1331" s="610" t="s">
        <v>4052</v>
      </c>
      <c r="D1331" s="554" t="s">
        <v>5189</v>
      </c>
      <c r="E1331" s="731">
        <v>1590590</v>
      </c>
      <c r="F1331" s="554" t="s">
        <v>5190</v>
      </c>
      <c r="G1331" s="610" t="s">
        <v>518</v>
      </c>
      <c r="H1331" s="610" t="s">
        <v>477</v>
      </c>
      <c r="I1331" s="715">
        <v>1200</v>
      </c>
      <c r="J1331" s="610">
        <v>0</v>
      </c>
      <c r="K1331" s="610">
        <v>6</v>
      </c>
      <c r="L1331" s="611">
        <f t="shared" si="413"/>
        <v>200</v>
      </c>
      <c r="M1331" s="612">
        <v>46227</v>
      </c>
      <c r="N1331" s="724">
        <v>46230</v>
      </c>
      <c r="O1331" s="613" t="s">
        <v>5191</v>
      </c>
      <c r="P1331" s="613" t="s">
        <v>113</v>
      </c>
      <c r="Q1331" s="614">
        <v>46239</v>
      </c>
      <c r="R1331" s="874">
        <v>46197</v>
      </c>
      <c r="S1331" s="874" t="s">
        <v>70</v>
      </c>
      <c r="T1331" s="874" t="s">
        <v>5192</v>
      </c>
      <c r="U1331" s="874"/>
      <c r="V1331" s="614"/>
      <c r="W1331" s="609"/>
      <c r="X1331" s="609" t="s">
        <v>5193</v>
      </c>
      <c r="Y1331" s="616" t="s">
        <v>445</v>
      </c>
      <c r="Z1331" s="625">
        <v>7.2023</v>
      </c>
      <c r="AA1331" s="616">
        <f t="shared" si="423"/>
        <v>8642.76</v>
      </c>
      <c r="AB1331" s="554"/>
      <c r="AC1331" s="617"/>
      <c r="AD1331" s="610" t="s">
        <v>480</v>
      </c>
      <c r="AE1331" s="610" t="s">
        <v>82</v>
      </c>
      <c r="AF1331" s="610"/>
      <c r="AG1331" s="610"/>
      <c r="AH1331" s="610"/>
      <c r="AI1331" s="609"/>
      <c r="AJ1331" s="613">
        <f>-I1331</f>
        <v>-1200</v>
      </c>
      <c r="AK1331" s="610"/>
      <c r="AL1331" s="610"/>
      <c r="AM1331" s="554"/>
      <c r="AN1331" s="554">
        <f t="shared" si="422"/>
        <v>1200</v>
      </c>
      <c r="AO1331" s="554"/>
      <c r="AP1331" s="554"/>
      <c r="AQ1331" s="554"/>
      <c r="AR1331" s="554"/>
      <c r="AS1331" s="554">
        <f>I1331</f>
        <v>1200</v>
      </c>
      <c r="AT1331" s="554"/>
      <c r="AU1331" s="554">
        <f>I1331</f>
        <v>1200</v>
      </c>
      <c r="AV1331" s="554"/>
      <c r="AW1331" s="554">
        <f>I1331</f>
        <v>1200</v>
      </c>
      <c r="AX1331" s="714"/>
      <c r="AY1331" s="554"/>
      <c r="AZ1331" s="554"/>
      <c r="BA1331" s="554"/>
      <c r="BB1331" s="554"/>
      <c r="BC1331" s="554"/>
      <c r="BD1331" s="554"/>
      <c r="BE1331" s="554"/>
      <c r="BF1331" s="554"/>
      <c r="BG1331" s="554"/>
      <c r="BH1331" s="554"/>
      <c r="BI1331" s="554"/>
      <c r="BJ1331" s="554"/>
      <c r="BK1331" s="554"/>
      <c r="BL1331" s="554"/>
      <c r="BM1331" s="554"/>
      <c r="BN1331" s="554">
        <f>I1331</f>
        <v>1200</v>
      </c>
      <c r="BO1331" s="554"/>
      <c r="BP1331" s="554"/>
      <c r="BQ1331" s="554"/>
      <c r="BR1331" s="554"/>
      <c r="BS1331" s="554"/>
      <c r="BT1331" s="554"/>
      <c r="BU1331" s="554"/>
      <c r="BV1331" s="554"/>
      <c r="BW1331" s="554"/>
      <c r="BX1331" s="554"/>
      <c r="BY1331" s="554"/>
      <c r="BZ1331" s="554"/>
      <c r="CA1331" s="554"/>
      <c r="CB1331" s="554"/>
      <c r="CC1331" s="554"/>
      <c r="CD1331" s="554"/>
      <c r="CE1331" s="554"/>
      <c r="CF1331" s="554"/>
      <c r="CG1331" s="554"/>
      <c r="CH1331" s="619"/>
      <c r="CI1331" s="619"/>
      <c r="CJ1331" s="619"/>
      <c r="CK1331" s="619"/>
      <c r="CL1331" s="619"/>
      <c r="CM1331" s="554"/>
      <c r="CN1331" s="554"/>
      <c r="CO1331" s="554"/>
      <c r="CP1331" s="619"/>
      <c r="CQ1331" s="619"/>
      <c r="CR1331" s="619"/>
      <c r="CS1331" s="619"/>
      <c r="CT1331" s="619"/>
      <c r="CU1331" s="619"/>
    </row>
    <row r="1332" s="1267" customFormat="1" ht="31" customHeight="1" spans="1:111">
      <c r="A1332" s="608">
        <v>46156</v>
      </c>
      <c r="B1332" s="609" t="s">
        <v>442</v>
      </c>
      <c r="C1332" s="610" t="s">
        <v>411</v>
      </c>
      <c r="D1332" s="554" t="s">
        <v>5194</v>
      </c>
      <c r="E1332" s="610" t="s">
        <v>3846</v>
      </c>
      <c r="F1332" s="554" t="s">
        <v>5195</v>
      </c>
      <c r="G1332" s="610" t="s">
        <v>68</v>
      </c>
      <c r="H1332" s="610" t="s">
        <v>69</v>
      </c>
      <c r="I1332" s="715">
        <v>1500</v>
      </c>
      <c r="J1332" s="610">
        <v>0</v>
      </c>
      <c r="K1332" s="610">
        <v>12</v>
      </c>
      <c r="L1332" s="611">
        <f t="shared" si="413"/>
        <v>125</v>
      </c>
      <c r="M1332" s="612">
        <v>46230</v>
      </c>
      <c r="N1332" s="612">
        <v>46226</v>
      </c>
      <c r="O1332" s="613"/>
      <c r="P1332" s="610" t="s">
        <v>113</v>
      </c>
      <c r="Q1332" s="614">
        <v>46237</v>
      </c>
      <c r="R1332" s="614">
        <v>46197</v>
      </c>
      <c r="S1332" s="614" t="s">
        <v>70</v>
      </c>
      <c r="T1332" s="730" t="s">
        <v>5196</v>
      </c>
      <c r="U1332" s="614"/>
      <c r="V1332" s="614"/>
      <c r="W1332" s="609"/>
      <c r="X1332" s="738" t="s">
        <v>5197</v>
      </c>
      <c r="Y1332" s="616" t="s">
        <v>305</v>
      </c>
      <c r="Z1332" s="625">
        <v>4.3734</v>
      </c>
      <c r="AA1332" s="616">
        <f t="shared" si="423"/>
        <v>6560.1</v>
      </c>
      <c r="AB1332" s="554"/>
      <c r="AC1332" s="617"/>
      <c r="AD1332" s="610" t="s">
        <v>184</v>
      </c>
      <c r="AE1332" s="610" t="s">
        <v>82</v>
      </c>
      <c r="AF1332" s="610"/>
      <c r="AG1332" s="610"/>
      <c r="AH1332" s="610"/>
      <c r="AI1332" s="609">
        <v>1500</v>
      </c>
      <c r="AJ1332" s="610">
        <f t="shared" ref="AJ1332:AJ1393" si="424">AI1332-I1332</f>
        <v>0</v>
      </c>
      <c r="AK1332" s="610"/>
      <c r="AL1332" s="610" t="s">
        <v>2368</v>
      </c>
      <c r="AM1332" s="554"/>
      <c r="AN1332" s="554">
        <f t="shared" si="422"/>
        <v>1500</v>
      </c>
      <c r="AO1332" s="554"/>
      <c r="AP1332" s="554"/>
      <c r="AQ1332" s="554"/>
      <c r="AR1332" s="554"/>
      <c r="AS1332" s="554">
        <f>I1332</f>
        <v>1500</v>
      </c>
      <c r="AT1332" s="554"/>
      <c r="AU1332" s="554">
        <f>I1332</f>
        <v>1500</v>
      </c>
      <c r="AV1332" s="554"/>
      <c r="AW1332" s="554">
        <f>I1332</f>
        <v>1500</v>
      </c>
      <c r="AX1332" s="714"/>
      <c r="AY1332" s="554"/>
      <c r="AZ1332" s="554"/>
      <c r="BA1332" s="554"/>
      <c r="BB1332" s="554"/>
      <c r="BC1332" s="554"/>
      <c r="BD1332" s="554"/>
      <c r="BE1332" s="554"/>
      <c r="BF1332" s="554"/>
      <c r="BG1332" s="554"/>
      <c r="BH1332" s="554"/>
      <c r="BI1332" s="554"/>
      <c r="BJ1332" s="554"/>
      <c r="BK1332" s="554"/>
      <c r="BL1332" s="554"/>
      <c r="BM1332" s="554"/>
      <c r="BN1332" s="554"/>
      <c r="BO1332" s="554"/>
      <c r="BP1332" s="554"/>
      <c r="BQ1332" s="554"/>
      <c r="BR1332" s="554"/>
      <c r="BS1332" s="554"/>
      <c r="BT1332" s="554"/>
      <c r="BU1332" s="554"/>
      <c r="BV1332" s="554"/>
      <c r="BW1332" s="554"/>
      <c r="BX1332" s="554"/>
      <c r="BY1332" s="554"/>
      <c r="BZ1332" s="554"/>
      <c r="CA1332" s="554"/>
      <c r="CB1332" s="554"/>
      <c r="CC1332" s="554"/>
      <c r="CD1332" s="554"/>
      <c r="CE1332" s="554"/>
      <c r="CF1332" s="554"/>
      <c r="CG1332" s="554"/>
      <c r="CH1332" s="619"/>
      <c r="CI1332" s="619"/>
      <c r="CJ1332" s="619"/>
      <c r="CK1332" s="619"/>
      <c r="CL1332" s="619"/>
      <c r="CM1332" s="554"/>
      <c r="CN1332" s="554"/>
      <c r="CO1332" s="554"/>
      <c r="CP1332" s="619"/>
      <c r="CQ1332" s="619"/>
      <c r="CR1332" s="619"/>
      <c r="CS1332" s="619"/>
      <c r="CT1332" s="619"/>
      <c r="CU1332" s="619"/>
    </row>
    <row r="1333" s="1267" customFormat="1" ht="31" customHeight="1" spans="1:111">
      <c r="A1333" s="867">
        <v>46191</v>
      </c>
      <c r="B1333" s="605" t="s">
        <v>1800</v>
      </c>
      <c r="C1333" s="589" t="s">
        <v>744</v>
      </c>
      <c r="D1333" s="557">
        <v>4500212517</v>
      </c>
      <c r="E1333" s="589">
        <v>5000002278</v>
      </c>
      <c r="F1333" s="557" t="s">
        <v>5198</v>
      </c>
      <c r="G1333" s="589" t="s">
        <v>518</v>
      </c>
      <c r="H1333" s="610" t="s">
        <v>477</v>
      </c>
      <c r="I1333" s="868">
        <v>6600</v>
      </c>
      <c r="J1333" s="589">
        <v>0</v>
      </c>
      <c r="K1333" s="869">
        <v>6</v>
      </c>
      <c r="L1333" s="611">
        <f t="shared" si="413"/>
        <v>1100</v>
      </c>
      <c r="M1333" s="871">
        <v>46244</v>
      </c>
      <c r="N1333" s="908">
        <v>46232</v>
      </c>
      <c r="O1333" s="873"/>
      <c r="P1333" s="610" t="s">
        <v>113</v>
      </c>
      <c r="Q1333" s="874">
        <v>46234</v>
      </c>
      <c r="R1333" s="614" t="s">
        <v>5180</v>
      </c>
      <c r="S1333" s="614" t="s">
        <v>104</v>
      </c>
      <c r="T1333" s="614" t="s">
        <v>2239</v>
      </c>
      <c r="U1333" s="874"/>
      <c r="V1333" s="874"/>
      <c r="W1333" s="573"/>
      <c r="X1333" s="605" t="s">
        <v>5199</v>
      </c>
      <c r="Y1333" s="876" t="s">
        <v>1805</v>
      </c>
      <c r="Z1333" s="605">
        <v>6.8093</v>
      </c>
      <c r="AA1333" s="616">
        <f t="shared" si="423"/>
        <v>44941.38</v>
      </c>
      <c r="AB1333" s="1373"/>
      <c r="AC1333" s="877"/>
      <c r="AD1333" s="610" t="s">
        <v>2241</v>
      </c>
      <c r="AE1333" s="589" t="s">
        <v>82</v>
      </c>
      <c r="AF1333" s="589"/>
      <c r="AG1333" s="589"/>
      <c r="AH1333" s="605"/>
      <c r="AI1333" s="609"/>
      <c r="AJ1333" s="610">
        <f t="shared" si="424"/>
        <v>-6600</v>
      </c>
      <c r="AK1333" s="873"/>
      <c r="AL1333" s="589"/>
      <c r="AM1333" s="589"/>
      <c r="AN1333" s="554">
        <f t="shared" si="422"/>
        <v>6600</v>
      </c>
      <c r="AO1333" s="557"/>
      <c r="AP1333" s="557"/>
      <c r="AQ1333" s="557"/>
      <c r="AR1333" s="554">
        <f>I1333</f>
        <v>6600</v>
      </c>
      <c r="AS1333" s="557"/>
      <c r="AT1333" s="557"/>
      <c r="AU1333" s="557"/>
      <c r="AV1333" s="554">
        <f>I1333</f>
        <v>6600</v>
      </c>
      <c r="AW1333" s="557"/>
      <c r="AX1333" s="714">
        <f>I1333</f>
        <v>6600</v>
      </c>
      <c r="AY1333" s="879"/>
      <c r="AZ1333" s="557"/>
      <c r="BA1333" s="557"/>
      <c r="BB1333" s="557"/>
      <c r="BC1333" s="888"/>
      <c r="BD1333" s="557"/>
      <c r="BE1333" s="557"/>
      <c r="BF1333" s="557"/>
      <c r="BG1333" s="880"/>
      <c r="BH1333" s="881"/>
      <c r="BI1333" s="882"/>
      <c r="BJ1333" s="557"/>
      <c r="BK1333" s="557"/>
      <c r="BL1333" s="557"/>
      <c r="BM1333" s="557"/>
      <c r="BN1333" s="554">
        <f>I1333</f>
        <v>6600</v>
      </c>
      <c r="BO1333" s="557"/>
      <c r="BP1333" s="557"/>
      <c r="BQ1333" s="557"/>
      <c r="BR1333" s="557"/>
      <c r="BS1333" s="557"/>
      <c r="BT1333" s="557"/>
      <c r="BU1333" s="557"/>
      <c r="BV1333" s="557"/>
      <c r="BW1333" s="557"/>
      <c r="BX1333" s="557"/>
      <c r="BY1333" s="557"/>
      <c r="BZ1333" s="557"/>
      <c r="CA1333" s="878"/>
      <c r="CB1333" s="557"/>
      <c r="CC1333" s="557"/>
      <c r="CD1333" s="557"/>
      <c r="CE1333" s="557"/>
      <c r="CF1333" s="880"/>
      <c r="CG1333" s="881"/>
      <c r="CH1333" s="882"/>
      <c r="CI1333" s="557"/>
      <c r="CJ1333" s="557"/>
      <c r="CK1333" s="557"/>
      <c r="CL1333" s="557"/>
      <c r="CM1333" s="557"/>
      <c r="CN1333" s="557"/>
      <c r="CO1333" s="878"/>
      <c r="CP1333" s="878"/>
      <c r="CQ1333" s="557"/>
      <c r="CR1333" s="557"/>
      <c r="CS1333" s="557"/>
      <c r="CT1333" s="557"/>
      <c r="CU1333" s="557"/>
      <c r="CV1333" s="557"/>
      <c r="CW1333" s="878"/>
      <c r="CX1333" s="878"/>
      <c r="CY1333" s="878"/>
      <c r="CZ1333" s="878"/>
      <c r="DA1333" s="878"/>
      <c r="DB1333" s="878"/>
      <c r="DC1333" s="878"/>
      <c r="DD1333" s="878"/>
      <c r="DE1333" s="878"/>
      <c r="DF1333" s="878"/>
      <c r="DG1333" s="878"/>
    </row>
    <row r="1334" s="1267" customFormat="1" ht="31" customHeight="1" spans="1:111">
      <c r="A1334" s="608">
        <v>46175</v>
      </c>
      <c r="B1334" s="609" t="s">
        <v>5200</v>
      </c>
      <c r="C1334" s="610" t="s">
        <v>399</v>
      </c>
      <c r="D1334" s="554" t="s">
        <v>5201</v>
      </c>
      <c r="E1334" s="610"/>
      <c r="F1334" s="554" t="s">
        <v>5202</v>
      </c>
      <c r="G1334" s="610" t="s">
        <v>68</v>
      </c>
      <c r="H1334" s="610" t="s">
        <v>69</v>
      </c>
      <c r="I1334" s="715">
        <v>300</v>
      </c>
      <c r="J1334" s="610">
        <v>0</v>
      </c>
      <c r="K1334" s="610">
        <v>12</v>
      </c>
      <c r="L1334" s="611">
        <f t="shared" si="413"/>
        <v>25</v>
      </c>
      <c r="M1334" s="612">
        <v>46232</v>
      </c>
      <c r="N1334" s="724">
        <v>46230</v>
      </c>
      <c r="O1334" s="613"/>
      <c r="P1334" s="610" t="s">
        <v>113</v>
      </c>
      <c r="Q1334" s="614"/>
      <c r="R1334" s="614">
        <v>46195</v>
      </c>
      <c r="S1334" s="614" t="s">
        <v>70</v>
      </c>
      <c r="T1334" s="614" t="s">
        <v>5203</v>
      </c>
      <c r="U1334" s="614"/>
      <c r="V1334" s="614" t="s">
        <v>5204</v>
      </c>
      <c r="W1334" s="609" t="s">
        <v>5205</v>
      </c>
      <c r="X1334" s="609" t="s">
        <v>5206</v>
      </c>
      <c r="Y1334" s="616" t="s">
        <v>402</v>
      </c>
      <c r="Z1334" s="625">
        <v>4.3734</v>
      </c>
      <c r="AA1334" s="616">
        <f t="shared" si="423"/>
        <v>1312.02</v>
      </c>
      <c r="AB1334" s="554"/>
      <c r="AC1334" s="617"/>
      <c r="AD1334" s="610" t="s">
        <v>184</v>
      </c>
      <c r="AE1334" s="610" t="s">
        <v>82</v>
      </c>
      <c r="AF1334" s="610"/>
      <c r="AG1334" s="610"/>
      <c r="AH1334" s="610"/>
      <c r="AI1334" s="609">
        <v>300</v>
      </c>
      <c r="AJ1334" s="610">
        <f t="shared" si="424"/>
        <v>0</v>
      </c>
      <c r="AK1334" s="610"/>
      <c r="AL1334" s="610" t="s">
        <v>2368</v>
      </c>
      <c r="AM1334" s="554"/>
      <c r="AN1334" s="554">
        <f t="shared" si="422"/>
        <v>300</v>
      </c>
      <c r="AO1334" s="554"/>
      <c r="AP1334" s="554"/>
      <c r="AQ1334" s="554"/>
      <c r="AR1334" s="554"/>
      <c r="AS1334" s="554">
        <f>I1334</f>
        <v>300</v>
      </c>
      <c r="AT1334" s="554"/>
      <c r="AU1334" s="554">
        <f t="shared" ref="AU1334:AU1344" si="425">I1334</f>
        <v>300</v>
      </c>
      <c r="AV1334" s="554"/>
      <c r="AW1334" s="554">
        <f t="shared" ref="AW1334:AW1344" si="426">I1334</f>
        <v>300</v>
      </c>
      <c r="AX1334" s="714"/>
      <c r="AY1334" s="554"/>
      <c r="AZ1334" s="554"/>
      <c r="BA1334" s="554"/>
      <c r="BB1334" s="554"/>
      <c r="BC1334" s="554"/>
      <c r="BD1334" s="554"/>
      <c r="BE1334" s="554"/>
      <c r="BF1334" s="554"/>
      <c r="BG1334" s="554"/>
      <c r="BH1334" s="554"/>
      <c r="BI1334" s="554"/>
      <c r="BJ1334" s="554"/>
      <c r="BK1334" s="554"/>
      <c r="BL1334" s="554"/>
      <c r="BM1334" s="554"/>
      <c r="BN1334" s="554"/>
      <c r="BO1334" s="554"/>
      <c r="BP1334" s="554"/>
      <c r="BQ1334" s="554"/>
      <c r="BR1334" s="554"/>
      <c r="BS1334" s="554"/>
      <c r="BT1334" s="554"/>
      <c r="BU1334" s="554"/>
      <c r="BV1334" s="554"/>
      <c r="BW1334" s="554"/>
      <c r="BX1334" s="554"/>
      <c r="BY1334" s="554"/>
      <c r="BZ1334" s="554"/>
      <c r="CA1334" s="554"/>
      <c r="CB1334" s="554"/>
      <c r="CC1334" s="554"/>
      <c r="CD1334" s="554"/>
      <c r="CE1334" s="554"/>
      <c r="CF1334" s="554"/>
      <c r="CG1334" s="554"/>
      <c r="CH1334" s="619"/>
      <c r="CI1334" s="619"/>
      <c r="CJ1334" s="619"/>
      <c r="CK1334" s="619"/>
      <c r="CL1334" s="619"/>
      <c r="CM1334" s="554"/>
      <c r="CN1334" s="554"/>
      <c r="CO1334" s="554"/>
      <c r="CP1334" s="619"/>
      <c r="CQ1334" s="619"/>
      <c r="CR1334" s="619"/>
      <c r="CS1334" s="619"/>
      <c r="CT1334" s="619"/>
      <c r="CU1334" s="619"/>
    </row>
    <row r="1335" s="1267" customFormat="1" ht="31" customHeight="1" spans="1:111">
      <c r="A1335" s="608">
        <v>46185</v>
      </c>
      <c r="B1335" s="609" t="s">
        <v>5207</v>
      </c>
      <c r="C1335" s="610" t="s">
        <v>1227</v>
      </c>
      <c r="D1335" s="554" t="s">
        <v>5208</v>
      </c>
      <c r="E1335" s="610"/>
      <c r="F1335" s="554" t="s">
        <v>5209</v>
      </c>
      <c r="G1335" s="610" t="s">
        <v>68</v>
      </c>
      <c r="H1335" s="610" t="s">
        <v>69</v>
      </c>
      <c r="I1335" s="715">
        <v>480</v>
      </c>
      <c r="J1335" s="610">
        <v>0</v>
      </c>
      <c r="K1335" s="610">
        <v>12</v>
      </c>
      <c r="L1335" s="611">
        <f t="shared" si="413"/>
        <v>40</v>
      </c>
      <c r="M1335" s="612">
        <v>46233</v>
      </c>
      <c r="N1335" s="612">
        <v>46230</v>
      </c>
      <c r="O1335" s="613"/>
      <c r="P1335" s="613" t="s">
        <v>113</v>
      </c>
      <c r="Q1335" s="614"/>
      <c r="R1335" s="614">
        <v>46198</v>
      </c>
      <c r="S1335" s="614" t="s">
        <v>70</v>
      </c>
      <c r="T1335" s="614" t="s">
        <v>5210</v>
      </c>
      <c r="U1335" s="614"/>
      <c r="V1335" s="614"/>
      <c r="W1335" s="609"/>
      <c r="X1335" s="609" t="s">
        <v>5211</v>
      </c>
      <c r="Y1335" s="616" t="s">
        <v>3754</v>
      </c>
      <c r="Z1335" s="625">
        <v>4.3734</v>
      </c>
      <c r="AA1335" s="616">
        <v>2099.232</v>
      </c>
      <c r="AB1335" s="554"/>
      <c r="AC1335" s="617"/>
      <c r="AD1335" s="610" t="s">
        <v>184</v>
      </c>
      <c r="AE1335" s="610" t="s">
        <v>82</v>
      </c>
      <c r="AF1335" s="610"/>
      <c r="AG1335" s="610"/>
      <c r="AH1335" s="610"/>
      <c r="AI1335" s="609">
        <v>480</v>
      </c>
      <c r="AJ1335" s="613">
        <f t="shared" si="424"/>
        <v>0</v>
      </c>
      <c r="AK1335" s="610"/>
      <c r="AL1335" s="610" t="s">
        <v>2368</v>
      </c>
      <c r="AM1335" s="554"/>
      <c r="AN1335" s="554">
        <f t="shared" si="422"/>
        <v>480</v>
      </c>
      <c r="AO1335" s="554"/>
      <c r="AP1335" s="554"/>
      <c r="AQ1335" s="554"/>
      <c r="AR1335" s="554"/>
      <c r="AS1335" s="554">
        <f>I1335</f>
        <v>480</v>
      </c>
      <c r="AT1335" s="554"/>
      <c r="AU1335" s="554">
        <f t="shared" si="425"/>
        <v>480</v>
      </c>
      <c r="AV1335" s="554"/>
      <c r="AW1335" s="554">
        <f t="shared" si="426"/>
        <v>480</v>
      </c>
      <c r="AX1335" s="714"/>
      <c r="AY1335" s="554"/>
      <c r="AZ1335" s="554"/>
      <c r="BA1335" s="554"/>
      <c r="BB1335" s="554"/>
      <c r="BC1335" s="554"/>
      <c r="BD1335" s="554"/>
      <c r="BE1335" s="554"/>
      <c r="BF1335" s="554"/>
      <c r="BG1335" s="554"/>
      <c r="BH1335" s="554"/>
      <c r="BI1335" s="554"/>
      <c r="BJ1335" s="554"/>
      <c r="BK1335" s="554"/>
      <c r="BL1335" s="554"/>
      <c r="BM1335" s="554"/>
      <c r="BN1335" s="554"/>
      <c r="BO1335" s="554"/>
      <c r="BP1335" s="554"/>
      <c r="BQ1335" s="554"/>
      <c r="BR1335" s="554"/>
      <c r="BS1335" s="554"/>
      <c r="BT1335" s="554"/>
      <c r="BU1335" s="554"/>
      <c r="BV1335" s="554"/>
      <c r="BW1335" s="554"/>
      <c r="BX1335" s="554"/>
      <c r="BY1335" s="554"/>
      <c r="BZ1335" s="554"/>
      <c r="CA1335" s="554"/>
      <c r="CB1335" s="554"/>
      <c r="CC1335" s="554"/>
      <c r="CD1335" s="554"/>
      <c r="CE1335" s="554"/>
      <c r="CF1335" s="554"/>
      <c r="CG1335" s="554"/>
      <c r="CH1335" s="619"/>
      <c r="CI1335" s="619"/>
      <c r="CJ1335" s="619"/>
      <c r="CK1335" s="619"/>
      <c r="CL1335" s="619"/>
      <c r="CM1335" s="554"/>
      <c r="CN1335" s="554"/>
      <c r="CO1335" s="554"/>
      <c r="CP1335" s="619"/>
      <c r="CQ1335" s="619"/>
      <c r="CR1335" s="619"/>
      <c r="CS1335" s="619"/>
      <c r="CT1335" s="619"/>
      <c r="CU1335" s="619"/>
    </row>
    <row r="1336" s="1267" customFormat="1" ht="31" customHeight="1" spans="1:111">
      <c r="A1336" s="608">
        <v>46170</v>
      </c>
      <c r="B1336" s="609" t="s">
        <v>5212</v>
      </c>
      <c r="C1336" s="610" t="s">
        <v>847</v>
      </c>
      <c r="D1336" s="554" t="s">
        <v>5213</v>
      </c>
      <c r="E1336" s="610" t="s">
        <v>3846</v>
      </c>
      <c r="F1336" s="554" t="s">
        <v>5214</v>
      </c>
      <c r="G1336" s="610" t="s">
        <v>68</v>
      </c>
      <c r="H1336" s="610" t="s">
        <v>69</v>
      </c>
      <c r="I1336" s="715">
        <v>600</v>
      </c>
      <c r="J1336" s="610">
        <v>0</v>
      </c>
      <c r="K1336" s="610">
        <v>12</v>
      </c>
      <c r="L1336" s="611">
        <f t="shared" si="413"/>
        <v>50</v>
      </c>
      <c r="M1336" s="612">
        <v>46239</v>
      </c>
      <c r="N1336" s="612">
        <v>46235</v>
      </c>
      <c r="O1336" s="613"/>
      <c r="P1336" s="610" t="s">
        <v>113</v>
      </c>
      <c r="Q1336" s="614">
        <v>46246</v>
      </c>
      <c r="R1336" s="614">
        <v>46185</v>
      </c>
      <c r="S1336" s="614" t="s">
        <v>70</v>
      </c>
      <c r="T1336" s="614" t="s">
        <v>5215</v>
      </c>
      <c r="U1336" s="614"/>
      <c r="V1336" s="614"/>
      <c r="W1336" s="609" t="s">
        <v>5216</v>
      </c>
      <c r="X1336" s="738" t="s">
        <v>5217</v>
      </c>
      <c r="Y1336" s="616" t="s">
        <v>4937</v>
      </c>
      <c r="Z1336" s="625">
        <v>4.3734</v>
      </c>
      <c r="AA1336" s="616">
        <f t="shared" ref="AA1336:AA1367" si="427">Z1336*I1336</f>
        <v>2624.04</v>
      </c>
      <c r="AB1336" s="554"/>
      <c r="AC1336" s="617"/>
      <c r="AD1336" s="610" t="s">
        <v>184</v>
      </c>
      <c r="AE1336" s="610" t="s">
        <v>82</v>
      </c>
      <c r="AF1336" s="610"/>
      <c r="AG1336" s="610"/>
      <c r="AH1336" s="610"/>
      <c r="AI1336" s="609">
        <v>600</v>
      </c>
      <c r="AJ1336" s="610">
        <f t="shared" si="424"/>
        <v>0</v>
      </c>
      <c r="AK1336" s="610"/>
      <c r="AL1336" s="610" t="s">
        <v>2368</v>
      </c>
      <c r="AM1336" s="554"/>
      <c r="AN1336" s="554">
        <f t="shared" si="422"/>
        <v>600</v>
      </c>
      <c r="AO1336" s="554"/>
      <c r="AP1336" s="554"/>
      <c r="AQ1336" s="554"/>
      <c r="AR1336" s="554"/>
      <c r="AS1336" s="554">
        <f>I1336</f>
        <v>600</v>
      </c>
      <c r="AT1336" s="554"/>
      <c r="AU1336" s="554">
        <f t="shared" si="425"/>
        <v>600</v>
      </c>
      <c r="AV1336" s="554"/>
      <c r="AW1336" s="554">
        <f t="shared" si="426"/>
        <v>600</v>
      </c>
      <c r="AX1336" s="714"/>
      <c r="AY1336" s="554"/>
      <c r="AZ1336" s="554"/>
      <c r="BA1336" s="554"/>
      <c r="BB1336" s="554"/>
      <c r="BC1336" s="554"/>
      <c r="BD1336" s="554"/>
      <c r="BE1336" s="554"/>
      <c r="BF1336" s="554"/>
      <c r="BG1336" s="554"/>
      <c r="BH1336" s="554"/>
      <c r="BI1336" s="554"/>
      <c r="BJ1336" s="554"/>
      <c r="BK1336" s="554"/>
      <c r="BL1336" s="554"/>
      <c r="BM1336" s="554"/>
      <c r="BN1336" s="554"/>
      <c r="BO1336" s="554"/>
      <c r="BP1336" s="554"/>
      <c r="BQ1336" s="554"/>
      <c r="BR1336" s="554"/>
      <c r="BS1336" s="554"/>
      <c r="BT1336" s="554"/>
      <c r="BU1336" s="554"/>
      <c r="BV1336" s="554"/>
      <c r="BW1336" s="554"/>
      <c r="BX1336" s="554"/>
      <c r="BY1336" s="554"/>
      <c r="BZ1336" s="554"/>
      <c r="CA1336" s="554"/>
      <c r="CB1336" s="554"/>
      <c r="CC1336" s="554"/>
      <c r="CD1336" s="554"/>
      <c r="CE1336" s="554"/>
      <c r="CF1336" s="554"/>
      <c r="CG1336" s="554"/>
      <c r="CH1336" s="619"/>
      <c r="CI1336" s="619"/>
      <c r="CJ1336" s="619"/>
      <c r="CK1336" s="619"/>
      <c r="CL1336" s="619"/>
      <c r="CM1336" s="554"/>
      <c r="CN1336" s="554"/>
      <c r="CO1336" s="554"/>
      <c r="CP1336" s="619"/>
      <c r="CQ1336" s="619"/>
      <c r="CR1336" s="619"/>
      <c r="CS1336" s="619"/>
      <c r="CT1336" s="619"/>
      <c r="CU1336" s="619"/>
    </row>
    <row r="1337" s="1267" customFormat="1" ht="31" customHeight="1" spans="1:111">
      <c r="A1337" s="608">
        <v>46155</v>
      </c>
      <c r="B1337" s="609" t="s">
        <v>2734</v>
      </c>
      <c r="C1337" s="610" t="s">
        <v>98</v>
      </c>
      <c r="D1337" s="554" t="s">
        <v>5218</v>
      </c>
      <c r="E1337" s="610" t="s">
        <v>5219</v>
      </c>
      <c r="F1337" s="554" t="s">
        <v>5220</v>
      </c>
      <c r="G1337" s="610" t="s">
        <v>2736</v>
      </c>
      <c r="H1337" s="610" t="s">
        <v>2737</v>
      </c>
      <c r="I1337" s="715">
        <v>5400</v>
      </c>
      <c r="J1337" s="610">
        <v>0</v>
      </c>
      <c r="K1337" s="610">
        <v>8</v>
      </c>
      <c r="L1337" s="611">
        <f t="shared" si="413"/>
        <v>675</v>
      </c>
      <c r="M1337" s="612">
        <v>46233</v>
      </c>
      <c r="N1337" s="612">
        <v>46230</v>
      </c>
      <c r="O1337" s="613"/>
      <c r="P1337" s="610" t="s">
        <v>113</v>
      </c>
      <c r="Q1337" s="614"/>
      <c r="R1337" s="614">
        <v>46175</v>
      </c>
      <c r="S1337" s="614" t="s">
        <v>70</v>
      </c>
      <c r="T1337" s="614" t="s">
        <v>5221</v>
      </c>
      <c r="U1337" s="614"/>
      <c r="V1337" s="614"/>
      <c r="W1337" s="609"/>
      <c r="X1337" s="609" t="s">
        <v>5222</v>
      </c>
      <c r="Y1337" s="616" t="s">
        <v>1318</v>
      </c>
      <c r="Z1337" s="625">
        <v>4.0382</v>
      </c>
      <c r="AA1337" s="616">
        <f t="shared" si="427"/>
        <v>21806.28</v>
      </c>
      <c r="AB1337" s="554"/>
      <c r="AC1337" s="629" t="s">
        <v>5223</v>
      </c>
      <c r="AD1337" s="610" t="s">
        <v>2741</v>
      </c>
      <c r="AE1337" s="610" t="s">
        <v>82</v>
      </c>
      <c r="AF1337" s="610"/>
      <c r="AG1337" s="610"/>
      <c r="AH1337" s="610"/>
      <c r="AI1337" s="609"/>
      <c r="AJ1337" s="613">
        <f t="shared" si="424"/>
        <v>-5400</v>
      </c>
      <c r="AK1337" s="610"/>
      <c r="AL1337" s="610"/>
      <c r="AM1337" s="554"/>
      <c r="AN1337" s="554">
        <f t="shared" si="422"/>
        <v>5400</v>
      </c>
      <c r="AO1337" s="554"/>
      <c r="AP1337" s="554"/>
      <c r="AQ1337" s="554"/>
      <c r="AR1337" s="554">
        <f>I1337</f>
        <v>5400</v>
      </c>
      <c r="AS1337" s="554"/>
      <c r="AT1337" s="554"/>
      <c r="AU1337" s="554">
        <f t="shared" si="425"/>
        <v>5400</v>
      </c>
      <c r="AV1337" s="554"/>
      <c r="AW1337" s="554">
        <f t="shared" si="426"/>
        <v>5400</v>
      </c>
      <c r="AX1337" s="714"/>
      <c r="AY1337" s="554"/>
      <c r="AZ1337" s="554"/>
      <c r="BA1337" s="554"/>
      <c r="BB1337" s="554"/>
      <c r="BC1337" s="554"/>
      <c r="BD1337" s="554"/>
      <c r="BE1337" s="554"/>
      <c r="BF1337" s="554"/>
      <c r="BG1337" s="554"/>
      <c r="BH1337" s="554"/>
      <c r="BI1337" s="554"/>
      <c r="BJ1337" s="554"/>
      <c r="BK1337" s="554"/>
      <c r="BL1337" s="554"/>
      <c r="BM1337" s="554"/>
      <c r="BN1337" s="554">
        <f>I1337</f>
        <v>5400</v>
      </c>
      <c r="BO1337" s="554"/>
      <c r="BP1337" s="554"/>
      <c r="BQ1337" s="554"/>
      <c r="BR1337" s="554"/>
      <c r="BS1337" s="554"/>
      <c r="BT1337" s="554"/>
      <c r="BU1337" s="554"/>
      <c r="BV1337" s="554"/>
      <c r="BW1337" s="554"/>
      <c r="BX1337" s="554"/>
      <c r="BY1337" s="554"/>
      <c r="BZ1337" s="554"/>
      <c r="CA1337" s="554"/>
      <c r="CB1337" s="554"/>
      <c r="CC1337" s="554"/>
      <c r="CD1337" s="554"/>
      <c r="CE1337" s="554"/>
      <c r="CF1337" s="554"/>
      <c r="CG1337" s="554"/>
      <c r="CH1337" s="619"/>
      <c r="CI1337" s="619"/>
      <c r="CJ1337" s="619"/>
      <c r="CK1337" s="619"/>
      <c r="CL1337" s="619"/>
      <c r="CM1337" s="554"/>
      <c r="CN1337" s="554"/>
      <c r="CO1337" s="554"/>
      <c r="CP1337" s="619"/>
      <c r="CQ1337" s="619"/>
      <c r="CR1337" s="619"/>
      <c r="CS1337" s="619"/>
      <c r="CT1337" s="619"/>
      <c r="CU1337" s="619"/>
    </row>
    <row r="1338" s="1267" customFormat="1" ht="31" customHeight="1" spans="1:111">
      <c r="A1338" s="608">
        <v>46183</v>
      </c>
      <c r="B1338" s="609" t="s">
        <v>5224</v>
      </c>
      <c r="C1338" s="610" t="s">
        <v>98</v>
      </c>
      <c r="D1338" s="554">
        <v>4500211411</v>
      </c>
      <c r="E1338" s="610">
        <v>350904</v>
      </c>
      <c r="F1338" s="554" t="s">
        <v>5225</v>
      </c>
      <c r="G1338" s="610" t="s">
        <v>280</v>
      </c>
      <c r="H1338" s="610" t="s">
        <v>281</v>
      </c>
      <c r="I1338" s="715">
        <v>640</v>
      </c>
      <c r="J1338" s="610">
        <v>4</v>
      </c>
      <c r="K1338" s="610">
        <v>16</v>
      </c>
      <c r="L1338" s="611">
        <f t="shared" si="413"/>
        <v>40</v>
      </c>
      <c r="M1338" s="612">
        <v>46237</v>
      </c>
      <c r="N1338" s="612">
        <v>46233</v>
      </c>
      <c r="O1338" s="613"/>
      <c r="P1338" s="610" t="s">
        <v>113</v>
      </c>
      <c r="Q1338" s="614"/>
      <c r="R1338" s="614">
        <v>46206</v>
      </c>
      <c r="S1338" s="614" t="s">
        <v>70</v>
      </c>
      <c r="T1338" s="614" t="s">
        <v>70</v>
      </c>
      <c r="U1338" s="614"/>
      <c r="V1338" s="614"/>
      <c r="W1338" s="609"/>
      <c r="X1338" s="609" t="s">
        <v>5226</v>
      </c>
      <c r="Y1338" s="616" t="s">
        <v>1278</v>
      </c>
      <c r="Z1338" s="625">
        <v>2.6553</v>
      </c>
      <c r="AA1338" s="616">
        <f t="shared" si="427"/>
        <v>1699.392</v>
      </c>
      <c r="AB1338" s="609"/>
      <c r="AC1338" s="617"/>
      <c r="AD1338" s="610" t="s">
        <v>280</v>
      </c>
      <c r="AE1338" s="610" t="s">
        <v>82</v>
      </c>
      <c r="AF1338" s="610"/>
      <c r="AG1338" s="610"/>
      <c r="AH1338" s="610"/>
      <c r="AI1338" s="609">
        <v>640</v>
      </c>
      <c r="AJ1338" s="613">
        <f t="shared" si="424"/>
        <v>0</v>
      </c>
      <c r="AK1338" s="610"/>
      <c r="AL1338" s="610" t="s">
        <v>5055</v>
      </c>
      <c r="AM1338" s="554"/>
      <c r="AN1338" s="554">
        <f t="shared" si="422"/>
        <v>640</v>
      </c>
      <c r="AO1338" s="554"/>
      <c r="AP1338" s="554"/>
      <c r="AQ1338" s="554"/>
      <c r="AR1338" s="554">
        <f>I1338</f>
        <v>640</v>
      </c>
      <c r="AS1338" s="554"/>
      <c r="AT1338" s="554"/>
      <c r="AU1338" s="554">
        <f t="shared" si="425"/>
        <v>640</v>
      </c>
      <c r="AV1338" s="554"/>
      <c r="AW1338" s="554">
        <f t="shared" si="426"/>
        <v>640</v>
      </c>
      <c r="AX1338" s="714"/>
      <c r="AY1338" s="554"/>
      <c r="AZ1338" s="554"/>
      <c r="BA1338" s="554"/>
      <c r="BB1338" s="554"/>
      <c r="BC1338" s="554"/>
      <c r="BD1338" s="554"/>
      <c r="BE1338" s="554"/>
      <c r="BF1338" s="554"/>
      <c r="BG1338" s="554"/>
      <c r="BH1338" s="554">
        <f>I1338/4</f>
        <v>160</v>
      </c>
      <c r="BI1338" s="554"/>
      <c r="BJ1338" s="554"/>
      <c r="BK1338" s="554"/>
      <c r="BL1338" s="554"/>
      <c r="BM1338" s="554"/>
      <c r="BN1338" s="554"/>
      <c r="BO1338" s="554"/>
      <c r="BP1338" s="554"/>
      <c r="BQ1338" s="554"/>
      <c r="BR1338" s="554"/>
      <c r="BS1338" s="554"/>
      <c r="BT1338" s="554"/>
      <c r="BU1338" s="554"/>
      <c r="BV1338" s="554"/>
      <c r="BW1338" s="554"/>
      <c r="BX1338" s="554"/>
      <c r="BY1338" s="554"/>
      <c r="BZ1338" s="554"/>
      <c r="CA1338" s="554"/>
      <c r="CB1338" s="554"/>
      <c r="CC1338" s="554"/>
      <c r="CD1338" s="554"/>
      <c r="CE1338" s="554"/>
      <c r="CF1338" s="554"/>
      <c r="CG1338" s="554"/>
      <c r="CH1338" s="619"/>
      <c r="CI1338" s="619"/>
      <c r="CJ1338" s="619"/>
      <c r="CK1338" s="619"/>
      <c r="CL1338" s="619"/>
      <c r="CM1338" s="554"/>
      <c r="CN1338" s="554"/>
      <c r="CO1338" s="554"/>
      <c r="CP1338" s="619"/>
      <c r="CQ1338" s="619"/>
      <c r="CR1338" s="619"/>
      <c r="CS1338" s="619"/>
      <c r="CT1338" s="619"/>
      <c r="CU1338" s="619"/>
    </row>
    <row r="1339" s="1267" customFormat="1" ht="31" customHeight="1" spans="1:111">
      <c r="A1339" s="608">
        <v>46169</v>
      </c>
      <c r="B1339" s="609" t="s">
        <v>2811</v>
      </c>
      <c r="C1339" s="610" t="s">
        <v>98</v>
      </c>
      <c r="D1339" s="554" t="s">
        <v>5227</v>
      </c>
      <c r="E1339" s="610" t="s">
        <v>5228</v>
      </c>
      <c r="F1339" s="554" t="s">
        <v>5229</v>
      </c>
      <c r="G1339" s="610" t="s">
        <v>2736</v>
      </c>
      <c r="H1339" s="610" t="s">
        <v>2737</v>
      </c>
      <c r="I1339" s="715">
        <v>2704</v>
      </c>
      <c r="J1339" s="610">
        <v>0</v>
      </c>
      <c r="K1339" s="610">
        <v>8</v>
      </c>
      <c r="L1339" s="611">
        <f t="shared" si="413"/>
        <v>338</v>
      </c>
      <c r="M1339" s="612">
        <v>46238</v>
      </c>
      <c r="N1339" s="612">
        <v>46234</v>
      </c>
      <c r="O1339" s="613"/>
      <c r="P1339" s="610" t="s">
        <v>113</v>
      </c>
      <c r="Q1339" s="614"/>
      <c r="R1339" s="614">
        <v>46169</v>
      </c>
      <c r="S1339" s="614" t="s">
        <v>70</v>
      </c>
      <c r="T1339" s="614" t="s">
        <v>5230</v>
      </c>
      <c r="U1339" s="614"/>
      <c r="V1339" s="614" t="s">
        <v>5231</v>
      </c>
      <c r="W1339" s="609"/>
      <c r="X1339" s="609" t="s">
        <v>5232</v>
      </c>
      <c r="Y1339" s="616" t="s">
        <v>1318</v>
      </c>
      <c r="Z1339" s="625">
        <v>4.1935</v>
      </c>
      <c r="AA1339" s="616">
        <f t="shared" si="427"/>
        <v>11339.224</v>
      </c>
      <c r="AB1339" s="554"/>
      <c r="AC1339" s="617"/>
      <c r="AD1339" s="610" t="s">
        <v>2741</v>
      </c>
      <c r="AE1339" s="610" t="s">
        <v>82</v>
      </c>
      <c r="AF1339" s="610"/>
      <c r="AG1339" s="610"/>
      <c r="AH1339" s="610"/>
      <c r="AI1339" s="609"/>
      <c r="AJ1339" s="613">
        <f t="shared" si="424"/>
        <v>-2704</v>
      </c>
      <c r="AK1339" s="610"/>
      <c r="AL1339" s="610"/>
      <c r="AM1339" s="554"/>
      <c r="AN1339" s="554">
        <f t="shared" si="422"/>
        <v>2704</v>
      </c>
      <c r="AO1339" s="554"/>
      <c r="AP1339" s="554"/>
      <c r="AQ1339" s="554"/>
      <c r="AR1339" s="554">
        <f>I1339</f>
        <v>2704</v>
      </c>
      <c r="AS1339" s="554"/>
      <c r="AT1339" s="554"/>
      <c r="AU1339" s="554">
        <f t="shared" si="425"/>
        <v>2704</v>
      </c>
      <c r="AV1339" s="554"/>
      <c r="AW1339" s="554">
        <f t="shared" si="426"/>
        <v>2704</v>
      </c>
      <c r="AX1339" s="714"/>
      <c r="AY1339" s="554"/>
      <c r="AZ1339" s="554"/>
      <c r="BA1339" s="554"/>
      <c r="BB1339" s="554"/>
      <c r="BC1339" s="554"/>
      <c r="BD1339" s="554"/>
      <c r="BE1339" s="554"/>
      <c r="BF1339" s="554"/>
      <c r="BG1339" s="554"/>
      <c r="BH1339" s="554"/>
      <c r="BI1339" s="554"/>
      <c r="BJ1339" s="554"/>
      <c r="BK1339" s="554"/>
      <c r="BL1339" s="554"/>
      <c r="BM1339" s="554"/>
      <c r="BN1339" s="554">
        <f>I1339</f>
        <v>2704</v>
      </c>
      <c r="BO1339" s="554"/>
      <c r="BP1339" s="554"/>
      <c r="BQ1339" s="554"/>
      <c r="BR1339" s="554"/>
      <c r="BS1339" s="554"/>
      <c r="BT1339" s="554"/>
      <c r="BU1339" s="554"/>
      <c r="BV1339" s="554"/>
      <c r="BW1339" s="554"/>
      <c r="BX1339" s="554"/>
      <c r="BY1339" s="554"/>
      <c r="BZ1339" s="554"/>
      <c r="CA1339" s="554"/>
      <c r="CB1339" s="554"/>
      <c r="CC1339" s="554"/>
      <c r="CD1339" s="554"/>
      <c r="CE1339" s="554"/>
      <c r="CF1339" s="554"/>
      <c r="CG1339" s="554"/>
      <c r="CH1339" s="619"/>
      <c r="CI1339" s="619"/>
      <c r="CJ1339" s="619"/>
      <c r="CK1339" s="619"/>
      <c r="CL1339" s="619"/>
      <c r="CM1339" s="554"/>
      <c r="CN1339" s="554"/>
      <c r="CO1339" s="554"/>
      <c r="CP1339" s="619"/>
      <c r="CQ1339" s="619"/>
      <c r="CR1339" s="619"/>
      <c r="CS1339" s="619"/>
      <c r="CT1339" s="619"/>
      <c r="CU1339" s="619"/>
    </row>
    <row r="1340" s="1267" customFormat="1" ht="31" customHeight="1" spans="1:111">
      <c r="A1340" s="608">
        <v>46178</v>
      </c>
      <c r="B1340" s="609" t="s">
        <v>5233</v>
      </c>
      <c r="C1340" s="610" t="s">
        <v>98</v>
      </c>
      <c r="D1340" s="554">
        <v>4500209827</v>
      </c>
      <c r="E1340" s="610">
        <v>4365774841</v>
      </c>
      <c r="F1340" s="554" t="s">
        <v>5234</v>
      </c>
      <c r="G1340" s="610" t="s">
        <v>101</v>
      </c>
      <c r="H1340" s="610" t="s">
        <v>102</v>
      </c>
      <c r="I1340" s="715">
        <v>4516</v>
      </c>
      <c r="J1340" s="610">
        <v>0</v>
      </c>
      <c r="K1340" s="610">
        <v>4</v>
      </c>
      <c r="L1340" s="611">
        <f t="shared" si="413"/>
        <v>1129</v>
      </c>
      <c r="M1340" s="612">
        <v>46240</v>
      </c>
      <c r="N1340" s="612">
        <v>46237</v>
      </c>
      <c r="O1340" s="613"/>
      <c r="P1340" s="610" t="s">
        <v>113</v>
      </c>
      <c r="Q1340" s="614">
        <v>46249</v>
      </c>
      <c r="R1340" s="614">
        <v>46205</v>
      </c>
      <c r="S1340" s="614" t="s">
        <v>70</v>
      </c>
      <c r="T1340" s="730" t="s">
        <v>5235</v>
      </c>
      <c r="U1340" s="614"/>
      <c r="V1340" s="614" t="s">
        <v>5236</v>
      </c>
      <c r="W1340" s="609"/>
      <c r="X1340" s="738" t="s">
        <v>5237</v>
      </c>
      <c r="Y1340" s="616" t="s">
        <v>5238</v>
      </c>
      <c r="Z1340" s="625">
        <v>2.7075</v>
      </c>
      <c r="AA1340" s="616">
        <f t="shared" si="427"/>
        <v>12227.07</v>
      </c>
      <c r="AB1340" s="554"/>
      <c r="AC1340" s="617"/>
      <c r="AD1340" s="610" t="s">
        <v>101</v>
      </c>
      <c r="AE1340" s="610" t="s">
        <v>82</v>
      </c>
      <c r="AF1340" s="610"/>
      <c r="AG1340" s="610"/>
      <c r="AH1340" s="610"/>
      <c r="AI1340" s="609">
        <v>4516</v>
      </c>
      <c r="AJ1340" s="613">
        <f t="shared" si="424"/>
        <v>0</v>
      </c>
      <c r="AK1340" s="610"/>
      <c r="AL1340" s="610" t="s">
        <v>2368</v>
      </c>
      <c r="AM1340" s="554"/>
      <c r="AN1340" s="554">
        <f t="shared" si="422"/>
        <v>4516</v>
      </c>
      <c r="AO1340" s="554"/>
      <c r="AP1340" s="554"/>
      <c r="AQ1340" s="554"/>
      <c r="AR1340" s="554">
        <f>I1340</f>
        <v>4516</v>
      </c>
      <c r="AS1340" s="554"/>
      <c r="AT1340" s="554"/>
      <c r="AU1340" s="554">
        <f t="shared" si="425"/>
        <v>4516</v>
      </c>
      <c r="AV1340" s="554"/>
      <c r="AW1340" s="554">
        <f t="shared" si="426"/>
        <v>4516</v>
      </c>
      <c r="AX1340" s="714"/>
      <c r="AY1340" s="554"/>
      <c r="AZ1340" s="554"/>
      <c r="BA1340" s="554"/>
      <c r="BB1340" s="554"/>
      <c r="BC1340" s="554"/>
      <c r="BD1340" s="554"/>
      <c r="BE1340" s="554"/>
      <c r="BF1340" s="554"/>
      <c r="BG1340" s="554"/>
      <c r="BH1340" s="554">
        <f>I1340/4</f>
        <v>1129</v>
      </c>
      <c r="BI1340" s="864"/>
      <c r="BJ1340" s="554"/>
      <c r="BK1340" s="554"/>
      <c r="BL1340" s="554"/>
      <c r="BM1340" s="554"/>
      <c r="BN1340" s="554"/>
      <c r="BO1340" s="554"/>
      <c r="BP1340" s="554"/>
      <c r="BQ1340" s="554"/>
      <c r="BR1340" s="554"/>
      <c r="BS1340" s="554"/>
      <c r="BT1340" s="554"/>
      <c r="BU1340" s="554"/>
      <c r="BV1340" s="554"/>
      <c r="BW1340" s="554"/>
      <c r="BX1340" s="554"/>
      <c r="BY1340" s="554"/>
      <c r="BZ1340" s="554"/>
      <c r="CA1340" s="554"/>
      <c r="CB1340" s="554"/>
      <c r="CC1340" s="554"/>
      <c r="CD1340" s="554"/>
      <c r="CE1340" s="554"/>
      <c r="CF1340" s="554"/>
      <c r="CG1340" s="554"/>
      <c r="CH1340" s="619"/>
      <c r="CI1340" s="619"/>
      <c r="CJ1340" s="619"/>
      <c r="CK1340" s="619"/>
      <c r="CL1340" s="619"/>
      <c r="CM1340" s="554"/>
      <c r="CN1340" s="554"/>
      <c r="CO1340" s="554"/>
      <c r="CP1340" s="619"/>
      <c r="CQ1340" s="619"/>
      <c r="CR1340" s="619"/>
      <c r="CS1340" s="619"/>
      <c r="CT1340" s="619"/>
      <c r="CU1340" s="619"/>
    </row>
    <row r="1341" s="1267" customFormat="1" ht="31" customHeight="1" spans="1:111">
      <c r="A1341" s="608">
        <v>46178</v>
      </c>
      <c r="B1341" s="609" t="s">
        <v>5233</v>
      </c>
      <c r="C1341" s="610" t="s">
        <v>98</v>
      </c>
      <c r="D1341" s="554">
        <v>4500209831</v>
      </c>
      <c r="E1341" s="610">
        <v>4365944102</v>
      </c>
      <c r="F1341" s="554" t="s">
        <v>5239</v>
      </c>
      <c r="G1341" s="610" t="s">
        <v>101</v>
      </c>
      <c r="H1341" s="610" t="s">
        <v>102</v>
      </c>
      <c r="I1341" s="715">
        <v>5984</v>
      </c>
      <c r="J1341" s="610">
        <v>0</v>
      </c>
      <c r="K1341" s="610">
        <v>4</v>
      </c>
      <c r="L1341" s="611">
        <f t="shared" si="413"/>
        <v>1496</v>
      </c>
      <c r="M1341" s="612">
        <v>46240</v>
      </c>
      <c r="N1341" s="612">
        <v>46237</v>
      </c>
      <c r="O1341" s="613"/>
      <c r="P1341" s="610" t="s">
        <v>113</v>
      </c>
      <c r="Q1341" s="614">
        <v>46245</v>
      </c>
      <c r="R1341" s="614">
        <v>46205</v>
      </c>
      <c r="S1341" s="614" t="s">
        <v>70</v>
      </c>
      <c r="T1341" s="730" t="s">
        <v>5235</v>
      </c>
      <c r="U1341" s="614"/>
      <c r="V1341" s="614" t="s">
        <v>5236</v>
      </c>
      <c r="W1341" s="609"/>
      <c r="X1341" s="738" t="s">
        <v>5237</v>
      </c>
      <c r="Y1341" s="616" t="s">
        <v>5238</v>
      </c>
      <c r="Z1341" s="625">
        <v>2.6957</v>
      </c>
      <c r="AA1341" s="616">
        <f t="shared" si="427"/>
        <v>16131.0688</v>
      </c>
      <c r="AB1341" s="554"/>
      <c r="AC1341" s="617"/>
      <c r="AD1341" s="610" t="s">
        <v>101</v>
      </c>
      <c r="AE1341" s="610" t="s">
        <v>82</v>
      </c>
      <c r="AF1341" s="610"/>
      <c r="AG1341" s="610"/>
      <c r="AH1341" s="610"/>
      <c r="AI1341" s="609">
        <f>1440+4544</f>
        <v>5984</v>
      </c>
      <c r="AJ1341" s="613">
        <f t="shared" si="424"/>
        <v>0</v>
      </c>
      <c r="AK1341" s="610"/>
      <c r="AL1341" s="610" t="s">
        <v>2368</v>
      </c>
      <c r="AM1341" s="554"/>
      <c r="AN1341" s="554">
        <f t="shared" si="422"/>
        <v>5984</v>
      </c>
      <c r="AO1341" s="554"/>
      <c r="AP1341" s="554"/>
      <c r="AQ1341" s="554"/>
      <c r="AR1341" s="554">
        <f>I1341</f>
        <v>5984</v>
      </c>
      <c r="AS1341" s="554"/>
      <c r="AT1341" s="554"/>
      <c r="AU1341" s="554">
        <f t="shared" si="425"/>
        <v>5984</v>
      </c>
      <c r="AV1341" s="554"/>
      <c r="AW1341" s="554">
        <f t="shared" si="426"/>
        <v>5984</v>
      </c>
      <c r="AX1341" s="714"/>
      <c r="AY1341" s="554"/>
      <c r="AZ1341" s="554"/>
      <c r="BA1341" s="554"/>
      <c r="BB1341" s="554"/>
      <c r="BC1341" s="554"/>
      <c r="BD1341" s="554"/>
      <c r="BE1341" s="554"/>
      <c r="BF1341" s="554"/>
      <c r="BG1341" s="554"/>
      <c r="BH1341" s="554">
        <f>I1341/4</f>
        <v>1496</v>
      </c>
      <c r="BI1341" s="554"/>
      <c r="BJ1341" s="554"/>
      <c r="BK1341" s="554"/>
      <c r="BL1341" s="554"/>
      <c r="BM1341" s="554"/>
      <c r="BN1341" s="554"/>
      <c r="BO1341" s="554"/>
      <c r="BP1341" s="554"/>
      <c r="BQ1341" s="554"/>
      <c r="BR1341" s="554"/>
      <c r="BS1341" s="554"/>
      <c r="BT1341" s="554"/>
      <c r="BU1341" s="554"/>
      <c r="BV1341" s="554"/>
      <c r="BW1341" s="554"/>
      <c r="BX1341" s="554"/>
      <c r="BY1341" s="554"/>
      <c r="BZ1341" s="554"/>
      <c r="CA1341" s="554"/>
      <c r="CB1341" s="554"/>
      <c r="CC1341" s="554"/>
      <c r="CD1341" s="554"/>
      <c r="CE1341" s="554"/>
      <c r="CF1341" s="554"/>
      <c r="CG1341" s="554"/>
      <c r="CH1341" s="619"/>
      <c r="CI1341" s="619"/>
      <c r="CJ1341" s="619"/>
      <c r="CK1341" s="619"/>
      <c r="CL1341" s="619"/>
      <c r="CM1341" s="554"/>
      <c r="CN1341" s="554"/>
      <c r="CO1341" s="554"/>
      <c r="CP1341" s="619"/>
      <c r="CQ1341" s="619"/>
      <c r="CR1341" s="619"/>
      <c r="CS1341" s="619"/>
      <c r="CT1341" s="619"/>
      <c r="CU1341" s="619"/>
    </row>
    <row r="1342" s="1267" customFormat="1" ht="31" customHeight="1" spans="1:111">
      <c r="A1342" s="608">
        <v>46168</v>
      </c>
      <c r="B1342" s="609" t="s">
        <v>559</v>
      </c>
      <c r="C1342" s="610" t="s">
        <v>343</v>
      </c>
      <c r="D1342" s="554" t="s">
        <v>5240</v>
      </c>
      <c r="E1342" s="610" t="s">
        <v>5241</v>
      </c>
      <c r="F1342" s="554" t="s">
        <v>5242</v>
      </c>
      <c r="G1342" s="610" t="s">
        <v>68</v>
      </c>
      <c r="H1342" s="610" t="s">
        <v>69</v>
      </c>
      <c r="I1342" s="715">
        <v>2004</v>
      </c>
      <c r="J1342" s="610">
        <v>0</v>
      </c>
      <c r="K1342" s="610">
        <v>12</v>
      </c>
      <c r="L1342" s="611">
        <f t="shared" si="413"/>
        <v>167</v>
      </c>
      <c r="M1342" s="612">
        <v>46240</v>
      </c>
      <c r="N1342" s="612">
        <v>46237</v>
      </c>
      <c r="O1342" s="613" t="s">
        <v>5243</v>
      </c>
      <c r="P1342" s="610" t="s">
        <v>113</v>
      </c>
      <c r="Q1342" s="614"/>
      <c r="R1342" s="614">
        <v>46210</v>
      </c>
      <c r="S1342" s="614" t="s">
        <v>70</v>
      </c>
      <c r="T1342" s="614" t="s">
        <v>5244</v>
      </c>
      <c r="U1342" s="614"/>
      <c r="V1342" s="614"/>
      <c r="W1342" s="609"/>
      <c r="X1342" s="609" t="s">
        <v>5245</v>
      </c>
      <c r="Y1342" s="616" t="s">
        <v>529</v>
      </c>
      <c r="Z1342" s="625">
        <v>4.3734</v>
      </c>
      <c r="AA1342" s="616">
        <f t="shared" si="427"/>
        <v>8764.2936</v>
      </c>
      <c r="AB1342" s="554"/>
      <c r="AC1342" s="617"/>
      <c r="AD1342" s="610" t="s">
        <v>184</v>
      </c>
      <c r="AE1342" s="610" t="s">
        <v>82</v>
      </c>
      <c r="AF1342" s="610"/>
      <c r="AG1342" s="610"/>
      <c r="AH1342" s="610"/>
      <c r="AI1342" s="609">
        <v>2004</v>
      </c>
      <c r="AJ1342" s="610">
        <f t="shared" si="424"/>
        <v>0</v>
      </c>
      <c r="AK1342" s="610"/>
      <c r="AL1342" s="610" t="s">
        <v>2368</v>
      </c>
      <c r="AM1342" s="554"/>
      <c r="AN1342" s="554">
        <f t="shared" si="422"/>
        <v>2004</v>
      </c>
      <c r="AO1342" s="554"/>
      <c r="AP1342" s="554"/>
      <c r="AQ1342" s="554"/>
      <c r="AR1342" s="554"/>
      <c r="AS1342" s="554">
        <f>I1342</f>
        <v>2004</v>
      </c>
      <c r="AT1342" s="554"/>
      <c r="AU1342" s="554">
        <f t="shared" si="425"/>
        <v>2004</v>
      </c>
      <c r="AV1342" s="554"/>
      <c r="AW1342" s="554">
        <f t="shared" si="426"/>
        <v>2004</v>
      </c>
      <c r="AX1342" s="714"/>
      <c r="AY1342" s="554"/>
      <c r="AZ1342" s="554"/>
      <c r="BA1342" s="554"/>
      <c r="BB1342" s="554"/>
      <c r="BC1342" s="554"/>
      <c r="BD1342" s="554"/>
      <c r="BE1342" s="554"/>
      <c r="BF1342" s="554"/>
      <c r="BG1342" s="554"/>
      <c r="BH1342" s="554"/>
      <c r="BI1342" s="554"/>
      <c r="BJ1342" s="554"/>
      <c r="BK1342" s="554"/>
      <c r="BL1342" s="554"/>
      <c r="BM1342" s="554"/>
      <c r="BN1342" s="554"/>
      <c r="BO1342" s="554"/>
      <c r="BP1342" s="554"/>
      <c r="BQ1342" s="554"/>
      <c r="BR1342" s="554"/>
      <c r="BS1342" s="554"/>
      <c r="BT1342" s="554"/>
      <c r="BU1342" s="554"/>
      <c r="BV1342" s="554"/>
      <c r="BW1342" s="554"/>
      <c r="BX1342" s="554"/>
      <c r="BY1342" s="554"/>
      <c r="BZ1342" s="554"/>
      <c r="CA1342" s="554"/>
      <c r="CB1342" s="554"/>
      <c r="CC1342" s="554"/>
      <c r="CD1342" s="554"/>
      <c r="CE1342" s="554"/>
      <c r="CF1342" s="554"/>
      <c r="CG1342" s="554"/>
      <c r="CH1342" s="619"/>
      <c r="CI1342" s="619"/>
      <c r="CJ1342" s="619"/>
      <c r="CK1342" s="619"/>
      <c r="CL1342" s="619"/>
      <c r="CM1342" s="554"/>
      <c r="CN1342" s="554"/>
      <c r="CO1342" s="554"/>
      <c r="CP1342" s="619"/>
      <c r="CQ1342" s="619"/>
      <c r="CR1342" s="619"/>
      <c r="CS1342" s="619"/>
      <c r="CT1342" s="619"/>
      <c r="CU1342" s="619"/>
    </row>
    <row r="1343" s="1267" customFormat="1" ht="31" customHeight="1" spans="1:111">
      <c r="A1343" s="608">
        <v>46175</v>
      </c>
      <c r="B1343" s="609" t="s">
        <v>143</v>
      </c>
      <c r="C1343" s="610" t="s">
        <v>98</v>
      </c>
      <c r="D1343" s="554" t="s">
        <v>5246</v>
      </c>
      <c r="E1343" s="1419" t="s">
        <v>5247</v>
      </c>
      <c r="F1343" s="554" t="s">
        <v>5248</v>
      </c>
      <c r="G1343" s="610" t="s">
        <v>101</v>
      </c>
      <c r="H1343" s="610" t="s">
        <v>102</v>
      </c>
      <c r="I1343" s="715">
        <v>1280</v>
      </c>
      <c r="J1343" s="610">
        <v>0</v>
      </c>
      <c r="K1343" s="610">
        <v>4</v>
      </c>
      <c r="L1343" s="611">
        <f t="shared" si="413"/>
        <v>320</v>
      </c>
      <c r="M1343" s="612">
        <v>46244</v>
      </c>
      <c r="N1343" s="612">
        <v>46240</v>
      </c>
      <c r="O1343" s="613" t="s">
        <v>5249</v>
      </c>
      <c r="P1343" s="610" t="s">
        <v>113</v>
      </c>
      <c r="Q1343" s="614">
        <v>46255</v>
      </c>
      <c r="R1343" s="614" t="s">
        <v>147</v>
      </c>
      <c r="S1343" s="614" t="s">
        <v>70</v>
      </c>
      <c r="T1343" s="614" t="s">
        <v>5250</v>
      </c>
      <c r="U1343" s="614"/>
      <c r="V1343" s="614"/>
      <c r="W1343" s="609"/>
      <c r="X1343" s="609" t="s">
        <v>5251</v>
      </c>
      <c r="Y1343" s="616" t="s">
        <v>4871</v>
      </c>
      <c r="Z1343" s="625">
        <v>2.7109</v>
      </c>
      <c r="AA1343" s="616">
        <f t="shared" si="427"/>
        <v>3469.952</v>
      </c>
      <c r="AB1343" s="554"/>
      <c r="AC1343" s="617"/>
      <c r="AD1343" s="610" t="s">
        <v>101</v>
      </c>
      <c r="AE1343" s="610" t="s">
        <v>82</v>
      </c>
      <c r="AF1343" s="610"/>
      <c r="AG1343" s="610"/>
      <c r="AH1343" s="610"/>
      <c r="AI1343" s="609">
        <v>1280</v>
      </c>
      <c r="AJ1343" s="613">
        <f t="shared" si="424"/>
        <v>0</v>
      </c>
      <c r="AK1343" s="610"/>
      <c r="AL1343" s="610" t="s">
        <v>2368</v>
      </c>
      <c r="AM1343" s="554"/>
      <c r="AN1343" s="554">
        <f t="shared" si="422"/>
        <v>1280</v>
      </c>
      <c r="AO1343" s="554"/>
      <c r="AP1343" s="554"/>
      <c r="AQ1343" s="554"/>
      <c r="AR1343" s="554">
        <f>I1343</f>
        <v>1280</v>
      </c>
      <c r="AS1343" s="554"/>
      <c r="AT1343" s="554"/>
      <c r="AU1343" s="554">
        <f t="shared" si="425"/>
        <v>1280</v>
      </c>
      <c r="AV1343" s="554"/>
      <c r="AW1343" s="554">
        <f t="shared" si="426"/>
        <v>1280</v>
      </c>
      <c r="AX1343" s="714"/>
      <c r="AY1343" s="554"/>
      <c r="AZ1343" s="554"/>
      <c r="BA1343" s="554"/>
      <c r="BB1343" s="554"/>
      <c r="BC1343" s="554"/>
      <c r="BD1343" s="554"/>
      <c r="BE1343" s="554"/>
      <c r="BF1343" s="554"/>
      <c r="BG1343" s="554"/>
      <c r="BH1343" s="554">
        <f>I1343/4</f>
        <v>320</v>
      </c>
      <c r="BI1343" s="554"/>
      <c r="BJ1343" s="554"/>
      <c r="BK1343" s="554"/>
      <c r="BL1343" s="554"/>
      <c r="BM1343" s="554"/>
      <c r="BN1343" s="554"/>
      <c r="BO1343" s="554"/>
      <c r="BP1343" s="554"/>
      <c r="BQ1343" s="554"/>
      <c r="BR1343" s="554"/>
      <c r="BS1343" s="554"/>
      <c r="BT1343" s="554"/>
      <c r="BU1343" s="554"/>
      <c r="BV1343" s="554"/>
      <c r="BW1343" s="554"/>
      <c r="BX1343" s="554"/>
      <c r="BY1343" s="554"/>
      <c r="BZ1343" s="554"/>
      <c r="CA1343" s="554"/>
      <c r="CB1343" s="554"/>
      <c r="CC1343" s="554"/>
      <c r="CD1343" s="554"/>
      <c r="CE1343" s="554"/>
      <c r="CF1343" s="554"/>
      <c r="CG1343" s="554"/>
      <c r="CH1343" s="619"/>
      <c r="CI1343" s="619"/>
      <c r="CJ1343" s="619"/>
      <c r="CK1343" s="619"/>
      <c r="CL1343" s="619"/>
      <c r="CM1343" s="554"/>
      <c r="CN1343" s="554"/>
      <c r="CO1343" s="554"/>
      <c r="CP1343" s="619"/>
      <c r="CQ1343" s="619"/>
      <c r="CR1343" s="619"/>
      <c r="CS1343" s="619"/>
      <c r="CT1343" s="619"/>
      <c r="CU1343" s="619"/>
    </row>
    <row r="1344" s="1267" customFormat="1" ht="31" customHeight="1" spans="1:111">
      <c r="A1344" s="608">
        <v>46175</v>
      </c>
      <c r="B1344" s="609" t="s">
        <v>143</v>
      </c>
      <c r="C1344" s="610" t="s">
        <v>98</v>
      </c>
      <c r="D1344" s="554" t="s">
        <v>5246</v>
      </c>
      <c r="E1344" s="1419" t="s">
        <v>5252</v>
      </c>
      <c r="F1344" s="554" t="s">
        <v>5253</v>
      </c>
      <c r="G1344" s="610" t="s">
        <v>101</v>
      </c>
      <c r="H1344" s="610" t="s">
        <v>102</v>
      </c>
      <c r="I1344" s="715">
        <v>960</v>
      </c>
      <c r="J1344" s="610">
        <v>0</v>
      </c>
      <c r="K1344" s="610">
        <v>4</v>
      </c>
      <c r="L1344" s="611">
        <f t="shared" si="413"/>
        <v>240</v>
      </c>
      <c r="M1344" s="612">
        <v>46244</v>
      </c>
      <c r="N1344" s="612">
        <v>46240</v>
      </c>
      <c r="O1344" s="613" t="s">
        <v>5249</v>
      </c>
      <c r="P1344" s="610" t="s">
        <v>113</v>
      </c>
      <c r="Q1344" s="614">
        <v>46261</v>
      </c>
      <c r="R1344" s="614" t="s">
        <v>147</v>
      </c>
      <c r="S1344" s="614" t="s">
        <v>70</v>
      </c>
      <c r="T1344" s="614" t="s">
        <v>5250</v>
      </c>
      <c r="U1344" s="614"/>
      <c r="V1344" s="614"/>
      <c r="W1344" s="609"/>
      <c r="X1344" s="609" t="s">
        <v>5251</v>
      </c>
      <c r="Y1344" s="616" t="s">
        <v>4871</v>
      </c>
      <c r="Z1344" s="625">
        <v>2.7109</v>
      </c>
      <c r="AA1344" s="616">
        <f t="shared" si="427"/>
        <v>2602.464</v>
      </c>
      <c r="AB1344" s="554"/>
      <c r="AC1344" s="617"/>
      <c r="AD1344" s="610" t="s">
        <v>101</v>
      </c>
      <c r="AE1344" s="610" t="s">
        <v>82</v>
      </c>
      <c r="AF1344" s="610"/>
      <c r="AG1344" s="610"/>
      <c r="AH1344" s="610"/>
      <c r="AI1344" s="609">
        <v>960</v>
      </c>
      <c r="AJ1344" s="613">
        <f t="shared" si="424"/>
        <v>0</v>
      </c>
      <c r="AK1344" s="610"/>
      <c r="AL1344" s="610" t="s">
        <v>2368</v>
      </c>
      <c r="AM1344" s="554"/>
      <c r="AN1344" s="554">
        <f t="shared" si="422"/>
        <v>960</v>
      </c>
      <c r="AO1344" s="554"/>
      <c r="AP1344" s="554"/>
      <c r="AQ1344" s="554"/>
      <c r="AR1344" s="554">
        <f>I1344</f>
        <v>960</v>
      </c>
      <c r="AS1344" s="554"/>
      <c r="AT1344" s="554"/>
      <c r="AU1344" s="554">
        <f t="shared" si="425"/>
        <v>960</v>
      </c>
      <c r="AV1344" s="554"/>
      <c r="AW1344" s="554">
        <f t="shared" si="426"/>
        <v>960</v>
      </c>
      <c r="AX1344" s="714"/>
      <c r="AY1344" s="554"/>
      <c r="AZ1344" s="554"/>
      <c r="BA1344" s="554"/>
      <c r="BB1344" s="554"/>
      <c r="BC1344" s="554"/>
      <c r="BD1344" s="554"/>
      <c r="BE1344" s="554"/>
      <c r="BF1344" s="554"/>
      <c r="BG1344" s="554"/>
      <c r="BH1344" s="554">
        <f>I1344/4</f>
        <v>240</v>
      </c>
      <c r="BI1344" s="864"/>
      <c r="BJ1344" s="554"/>
      <c r="BK1344" s="554"/>
      <c r="BL1344" s="554"/>
      <c r="BM1344" s="554"/>
      <c r="BN1344" s="554"/>
      <c r="BO1344" s="554"/>
      <c r="BP1344" s="554"/>
      <c r="BQ1344" s="554"/>
      <c r="BR1344" s="554"/>
      <c r="BS1344" s="554"/>
      <c r="BT1344" s="554"/>
      <c r="BU1344" s="554"/>
      <c r="BV1344" s="554"/>
      <c r="BW1344" s="554"/>
      <c r="BX1344" s="554"/>
      <c r="BY1344" s="554"/>
      <c r="BZ1344" s="554"/>
      <c r="CA1344" s="554"/>
      <c r="CB1344" s="554"/>
      <c r="CC1344" s="554"/>
      <c r="CD1344" s="554"/>
      <c r="CE1344" s="554"/>
      <c r="CF1344" s="554"/>
      <c r="CG1344" s="554"/>
      <c r="CH1344" s="619"/>
      <c r="CI1344" s="619"/>
      <c r="CJ1344" s="619"/>
      <c r="CK1344" s="619"/>
      <c r="CL1344" s="619"/>
      <c r="CM1344" s="554"/>
      <c r="CN1344" s="554"/>
      <c r="CO1344" s="554"/>
      <c r="CP1344" s="619"/>
      <c r="CQ1344" s="619"/>
      <c r="CR1344" s="619"/>
      <c r="CS1344" s="619"/>
      <c r="CT1344" s="619"/>
      <c r="CU1344" s="619"/>
    </row>
    <row r="1345" s="1267" customFormat="1" ht="31" customHeight="1" spans="1:100 16239:16384">
      <c r="A1345" s="608">
        <v>46196</v>
      </c>
      <c r="B1345" s="609" t="s">
        <v>143</v>
      </c>
      <c r="C1345" s="610" t="s">
        <v>98</v>
      </c>
      <c r="D1345" s="554">
        <v>4500213433</v>
      </c>
      <c r="E1345" s="610">
        <v>1003607700</v>
      </c>
      <c r="F1345" s="554" t="s">
        <v>5254</v>
      </c>
      <c r="G1345" s="610" t="s">
        <v>101</v>
      </c>
      <c r="H1345" s="610" t="s">
        <v>102</v>
      </c>
      <c r="I1345" s="715">
        <v>3360</v>
      </c>
      <c r="J1345" s="610">
        <v>0</v>
      </c>
      <c r="K1345" s="610">
        <v>4</v>
      </c>
      <c r="L1345" s="611">
        <f t="shared" si="413"/>
        <v>840</v>
      </c>
      <c r="M1345" s="612">
        <v>46244</v>
      </c>
      <c r="N1345" s="612">
        <v>46240</v>
      </c>
      <c r="O1345" s="613" t="s">
        <v>5255</v>
      </c>
      <c r="P1345" s="610" t="s">
        <v>113</v>
      </c>
      <c r="Q1345" s="614">
        <v>46255</v>
      </c>
      <c r="R1345" s="614" t="s">
        <v>147</v>
      </c>
      <c r="S1345" s="614" t="s">
        <v>70</v>
      </c>
      <c r="T1345" s="614" t="s">
        <v>5256</v>
      </c>
      <c r="U1345" s="614"/>
      <c r="V1345" s="614"/>
      <c r="W1345" s="609"/>
      <c r="X1345" s="609" t="s">
        <v>5257</v>
      </c>
      <c r="Y1345" s="616" t="s">
        <v>4871</v>
      </c>
      <c r="Z1345" s="625">
        <v>2.6761</v>
      </c>
      <c r="AA1345" s="616">
        <f t="shared" si="427"/>
        <v>8991.696</v>
      </c>
      <c r="AB1345" s="554"/>
      <c r="AC1345" s="617"/>
      <c r="AD1345" s="610" t="s">
        <v>101</v>
      </c>
      <c r="AE1345" s="610" t="s">
        <v>82</v>
      </c>
      <c r="AF1345" s="610"/>
      <c r="AG1345" s="610"/>
      <c r="AH1345" s="610"/>
      <c r="AI1345" s="609">
        <v>3360</v>
      </c>
      <c r="AJ1345" s="613">
        <f t="shared" si="424"/>
        <v>0</v>
      </c>
      <c r="AK1345" s="610"/>
      <c r="AL1345" s="610" t="s">
        <v>2368</v>
      </c>
      <c r="AM1345" s="554"/>
      <c r="AN1345" s="554">
        <f t="shared" si="422"/>
        <v>3360</v>
      </c>
      <c r="AO1345" s="554"/>
      <c r="AP1345" s="554"/>
      <c r="AQ1345" s="554"/>
      <c r="AR1345" s="554">
        <f t="shared" ref="AR1345:AR1351" si="428">I1345</f>
        <v>3360</v>
      </c>
      <c r="AS1345" s="554"/>
      <c r="AT1345" s="554"/>
      <c r="AU1345" s="554">
        <f t="shared" ref="AU1345:AU1367" si="429">I1345</f>
        <v>3360</v>
      </c>
      <c r="AV1345" s="554"/>
      <c r="AW1345" s="554">
        <f t="shared" ref="AW1345:AW1367" si="430">I1345</f>
        <v>3360</v>
      </c>
      <c r="AX1345" s="714"/>
      <c r="AY1345" s="554"/>
      <c r="AZ1345" s="554"/>
      <c r="BA1345" s="554"/>
      <c r="BB1345" s="554"/>
      <c r="BC1345" s="554"/>
      <c r="BD1345" s="554"/>
      <c r="BE1345" s="554"/>
      <c r="BF1345" s="554"/>
      <c r="BG1345" s="554"/>
      <c r="BH1345" s="554">
        <f t="shared" ref="BH1345:BH1351" si="431">I1345/4</f>
        <v>840</v>
      </c>
      <c r="BI1345" s="554"/>
      <c r="BJ1345" s="554"/>
      <c r="BK1345" s="554"/>
      <c r="BL1345" s="554"/>
      <c r="BM1345" s="554"/>
      <c r="BN1345" s="554"/>
      <c r="BO1345" s="554"/>
      <c r="BP1345" s="554"/>
      <c r="BQ1345" s="554"/>
      <c r="BR1345" s="554"/>
      <c r="BS1345" s="554"/>
      <c r="BT1345" s="554"/>
      <c r="BU1345" s="554"/>
      <c r="BV1345" s="554"/>
      <c r="BW1345" s="554"/>
      <c r="BX1345" s="554"/>
      <c r="BY1345" s="554"/>
      <c r="BZ1345" s="554"/>
      <c r="CA1345" s="554"/>
      <c r="CB1345" s="554"/>
      <c r="CC1345" s="554"/>
      <c r="CD1345" s="554"/>
      <c r="CE1345" s="554"/>
      <c r="CF1345" s="554"/>
      <c r="CG1345" s="554"/>
      <c r="CH1345" s="619"/>
      <c r="CI1345" s="619"/>
      <c r="CJ1345" s="619"/>
      <c r="CK1345" s="619"/>
      <c r="CL1345" s="619"/>
      <c r="CM1345" s="554"/>
      <c r="CN1345" s="554"/>
      <c r="CO1345" s="554"/>
      <c r="CP1345" s="619"/>
      <c r="CQ1345" s="619"/>
      <c r="CR1345" s="619"/>
      <c r="CS1345" s="619"/>
      <c r="CT1345" s="619"/>
      <c r="CU1345" s="619"/>
    </row>
    <row r="1346" s="1267" customFormat="1" ht="31" customHeight="1" spans="1:100 16239:16384">
      <c r="A1346" s="608">
        <v>46196</v>
      </c>
      <c r="B1346" s="609" t="s">
        <v>143</v>
      </c>
      <c r="C1346" s="610" t="s">
        <v>98</v>
      </c>
      <c r="D1346" s="554">
        <v>4500213433</v>
      </c>
      <c r="E1346" s="610">
        <v>1003602741</v>
      </c>
      <c r="F1346" s="554" t="s">
        <v>5258</v>
      </c>
      <c r="G1346" s="610" t="s">
        <v>101</v>
      </c>
      <c r="H1346" s="610" t="s">
        <v>102</v>
      </c>
      <c r="I1346" s="715">
        <v>1600</v>
      </c>
      <c r="J1346" s="610">
        <v>0</v>
      </c>
      <c r="K1346" s="610">
        <v>4</v>
      </c>
      <c r="L1346" s="611">
        <f t="shared" si="413"/>
        <v>400</v>
      </c>
      <c r="M1346" s="612">
        <v>46244</v>
      </c>
      <c r="N1346" s="612">
        <v>46240</v>
      </c>
      <c r="O1346" s="613" t="s">
        <v>5259</v>
      </c>
      <c r="P1346" s="610" t="s">
        <v>113</v>
      </c>
      <c r="Q1346" s="614">
        <v>46254</v>
      </c>
      <c r="R1346" s="614" t="s">
        <v>147</v>
      </c>
      <c r="S1346" s="614" t="s">
        <v>70</v>
      </c>
      <c r="T1346" s="614" t="s">
        <v>5256</v>
      </c>
      <c r="U1346" s="614"/>
      <c r="V1346" s="614"/>
      <c r="W1346" s="609"/>
      <c r="X1346" s="609" t="s">
        <v>5257</v>
      </c>
      <c r="Y1346" s="616" t="s">
        <v>4871</v>
      </c>
      <c r="Z1346" s="625">
        <v>2.6643</v>
      </c>
      <c r="AA1346" s="616">
        <f t="shared" si="427"/>
        <v>4262.88</v>
      </c>
      <c r="AB1346" s="554"/>
      <c r="AC1346" s="617"/>
      <c r="AD1346" s="610" t="s">
        <v>101</v>
      </c>
      <c r="AE1346" s="610" t="s">
        <v>82</v>
      </c>
      <c r="AF1346" s="610"/>
      <c r="AG1346" s="610"/>
      <c r="AH1346" s="610"/>
      <c r="AI1346" s="609">
        <v>1600</v>
      </c>
      <c r="AJ1346" s="613">
        <f t="shared" si="424"/>
        <v>0</v>
      </c>
      <c r="AK1346" s="610"/>
      <c r="AL1346" s="610" t="s">
        <v>2368</v>
      </c>
      <c r="AM1346" s="554"/>
      <c r="AN1346" s="554">
        <f t="shared" si="422"/>
        <v>1600</v>
      </c>
      <c r="AO1346" s="554"/>
      <c r="AP1346" s="554"/>
      <c r="AQ1346" s="554"/>
      <c r="AR1346" s="554">
        <f t="shared" si="428"/>
        <v>1600</v>
      </c>
      <c r="AS1346" s="554"/>
      <c r="AT1346" s="554"/>
      <c r="AU1346" s="554">
        <f t="shared" si="429"/>
        <v>1600</v>
      </c>
      <c r="AV1346" s="554"/>
      <c r="AW1346" s="554">
        <f t="shared" si="430"/>
        <v>1600</v>
      </c>
      <c r="AX1346" s="714"/>
      <c r="AY1346" s="554"/>
      <c r="AZ1346" s="554"/>
      <c r="BA1346" s="554"/>
      <c r="BB1346" s="554"/>
      <c r="BC1346" s="554"/>
      <c r="BD1346" s="554"/>
      <c r="BE1346" s="554"/>
      <c r="BF1346" s="554"/>
      <c r="BG1346" s="554"/>
      <c r="BH1346" s="554">
        <f t="shared" si="431"/>
        <v>400</v>
      </c>
      <c r="BI1346" s="554"/>
      <c r="BJ1346" s="554"/>
      <c r="BK1346" s="554"/>
      <c r="BL1346" s="554"/>
      <c r="BM1346" s="554"/>
      <c r="BN1346" s="554"/>
      <c r="BO1346" s="554"/>
      <c r="BP1346" s="554"/>
      <c r="BQ1346" s="554"/>
      <c r="BR1346" s="554"/>
      <c r="BS1346" s="554"/>
      <c r="BT1346" s="554"/>
      <c r="BU1346" s="554"/>
      <c r="BV1346" s="554"/>
      <c r="BW1346" s="554"/>
      <c r="BX1346" s="554"/>
      <c r="BY1346" s="554"/>
      <c r="BZ1346" s="554"/>
      <c r="CA1346" s="554"/>
      <c r="CB1346" s="554"/>
      <c r="CC1346" s="554"/>
      <c r="CD1346" s="554"/>
      <c r="CE1346" s="554"/>
      <c r="CF1346" s="554"/>
      <c r="CG1346" s="554"/>
      <c r="CH1346" s="619"/>
      <c r="CI1346" s="619"/>
      <c r="CJ1346" s="619"/>
      <c r="CK1346" s="619"/>
      <c r="CL1346" s="619"/>
      <c r="CM1346" s="554"/>
      <c r="CN1346" s="554"/>
      <c r="CO1346" s="554"/>
      <c r="CP1346" s="619"/>
      <c r="CQ1346" s="619"/>
      <c r="CR1346" s="619"/>
      <c r="CS1346" s="619"/>
      <c r="CT1346" s="619"/>
      <c r="CU1346" s="619"/>
    </row>
    <row r="1347" s="1267" customFormat="1" ht="31" customHeight="1" spans="1:100 16239:16384">
      <c r="A1347" s="608">
        <v>46196</v>
      </c>
      <c r="B1347" s="609" t="s">
        <v>143</v>
      </c>
      <c r="C1347" s="610" t="s">
        <v>98</v>
      </c>
      <c r="D1347" s="554">
        <v>4500213433</v>
      </c>
      <c r="E1347" s="610">
        <v>1003602813</v>
      </c>
      <c r="F1347" s="554" t="s">
        <v>5260</v>
      </c>
      <c r="G1347" s="610" t="s">
        <v>101</v>
      </c>
      <c r="H1347" s="610" t="s">
        <v>102</v>
      </c>
      <c r="I1347" s="715">
        <v>5120</v>
      </c>
      <c r="J1347" s="610">
        <v>0</v>
      </c>
      <c r="K1347" s="610">
        <v>4</v>
      </c>
      <c r="L1347" s="611">
        <f t="shared" si="413"/>
        <v>1280</v>
      </c>
      <c r="M1347" s="612">
        <v>46244</v>
      </c>
      <c r="N1347" s="612">
        <v>46240</v>
      </c>
      <c r="O1347" s="613" t="s">
        <v>5259</v>
      </c>
      <c r="P1347" s="610" t="s">
        <v>113</v>
      </c>
      <c r="Q1347" s="614">
        <v>46253</v>
      </c>
      <c r="R1347" s="614" t="s">
        <v>147</v>
      </c>
      <c r="S1347" s="614" t="s">
        <v>70</v>
      </c>
      <c r="T1347" s="614" t="s">
        <v>5256</v>
      </c>
      <c r="U1347" s="614"/>
      <c r="V1347" s="614"/>
      <c r="W1347" s="609"/>
      <c r="X1347" s="609" t="s">
        <v>5257</v>
      </c>
      <c r="Y1347" s="616" t="s">
        <v>4871</v>
      </c>
      <c r="Z1347" s="625">
        <v>2.6643</v>
      </c>
      <c r="AA1347" s="616">
        <f t="shared" si="427"/>
        <v>13641.216</v>
      </c>
      <c r="AB1347" s="554"/>
      <c r="AC1347" s="617"/>
      <c r="AD1347" s="610" t="s">
        <v>101</v>
      </c>
      <c r="AE1347" s="610" t="s">
        <v>82</v>
      </c>
      <c r="AF1347" s="610"/>
      <c r="AG1347" s="610"/>
      <c r="AH1347" s="610"/>
      <c r="AI1347" s="609">
        <v>5120</v>
      </c>
      <c r="AJ1347" s="613">
        <f t="shared" si="424"/>
        <v>0</v>
      </c>
      <c r="AK1347" s="610"/>
      <c r="AL1347" s="610" t="s">
        <v>2368</v>
      </c>
      <c r="AM1347" s="554"/>
      <c r="AN1347" s="554">
        <f t="shared" si="422"/>
        <v>5120</v>
      </c>
      <c r="AO1347" s="554"/>
      <c r="AP1347" s="554"/>
      <c r="AQ1347" s="554"/>
      <c r="AR1347" s="554">
        <f t="shared" si="428"/>
        <v>5120</v>
      </c>
      <c r="AS1347" s="554"/>
      <c r="AT1347" s="554"/>
      <c r="AU1347" s="554">
        <f t="shared" si="429"/>
        <v>5120</v>
      </c>
      <c r="AV1347" s="554"/>
      <c r="AW1347" s="554">
        <f t="shared" si="430"/>
        <v>5120</v>
      </c>
      <c r="AX1347" s="714"/>
      <c r="AY1347" s="554"/>
      <c r="AZ1347" s="554"/>
      <c r="BA1347" s="554"/>
      <c r="BB1347" s="554"/>
      <c r="BC1347" s="554"/>
      <c r="BD1347" s="554"/>
      <c r="BE1347" s="554"/>
      <c r="BF1347" s="554"/>
      <c r="BG1347" s="554"/>
      <c r="BH1347" s="554">
        <f t="shared" si="431"/>
        <v>1280</v>
      </c>
      <c r="BI1347" s="554"/>
      <c r="BJ1347" s="554"/>
      <c r="BK1347" s="554"/>
      <c r="BL1347" s="554"/>
      <c r="BM1347" s="554"/>
      <c r="BN1347" s="554"/>
      <c r="BO1347" s="554"/>
      <c r="BP1347" s="554"/>
      <c r="BQ1347" s="554"/>
      <c r="BR1347" s="554"/>
      <c r="BS1347" s="554"/>
      <c r="BT1347" s="554"/>
      <c r="BU1347" s="554"/>
      <c r="BV1347" s="554"/>
      <c r="BW1347" s="554"/>
      <c r="BX1347" s="554"/>
      <c r="BY1347" s="554"/>
      <c r="BZ1347" s="554"/>
      <c r="CA1347" s="554"/>
      <c r="CB1347" s="554"/>
      <c r="CC1347" s="554"/>
      <c r="CD1347" s="554"/>
      <c r="CE1347" s="554"/>
      <c r="CF1347" s="554"/>
      <c r="CG1347" s="554"/>
      <c r="CH1347" s="619"/>
      <c r="CI1347" s="619"/>
      <c r="CJ1347" s="619"/>
      <c r="CK1347" s="619"/>
      <c r="CL1347" s="619"/>
      <c r="CM1347" s="554"/>
      <c r="CN1347" s="554"/>
      <c r="CO1347" s="554"/>
      <c r="CP1347" s="619"/>
      <c r="CQ1347" s="619"/>
      <c r="CR1347" s="619"/>
      <c r="CS1347" s="619"/>
      <c r="CT1347" s="619"/>
      <c r="CU1347" s="619"/>
    </row>
    <row r="1348" s="1267" customFormat="1" ht="31" customHeight="1" spans="1:100 16239:16384">
      <c r="A1348" s="608">
        <v>46196</v>
      </c>
      <c r="B1348" s="609" t="s">
        <v>143</v>
      </c>
      <c r="C1348" s="610" t="s">
        <v>98</v>
      </c>
      <c r="D1348" s="554">
        <v>4500213433</v>
      </c>
      <c r="E1348" s="610">
        <v>1003602817</v>
      </c>
      <c r="F1348" s="554" t="s">
        <v>5261</v>
      </c>
      <c r="G1348" s="610" t="s">
        <v>101</v>
      </c>
      <c r="H1348" s="610" t="s">
        <v>102</v>
      </c>
      <c r="I1348" s="715">
        <v>1280</v>
      </c>
      <c r="J1348" s="610">
        <v>0</v>
      </c>
      <c r="K1348" s="610">
        <v>4</v>
      </c>
      <c r="L1348" s="611">
        <f t="shared" si="413"/>
        <v>320</v>
      </c>
      <c r="M1348" s="612">
        <v>46244</v>
      </c>
      <c r="N1348" s="612">
        <v>46240</v>
      </c>
      <c r="O1348" s="613" t="s">
        <v>5259</v>
      </c>
      <c r="P1348" s="610" t="s">
        <v>113</v>
      </c>
      <c r="Q1348" s="614">
        <v>46252</v>
      </c>
      <c r="R1348" s="614" t="s">
        <v>147</v>
      </c>
      <c r="S1348" s="614" t="s">
        <v>70</v>
      </c>
      <c r="T1348" s="614" t="s">
        <v>5256</v>
      </c>
      <c r="U1348" s="614"/>
      <c r="V1348" s="614"/>
      <c r="W1348" s="609"/>
      <c r="X1348" s="609" t="s">
        <v>5257</v>
      </c>
      <c r="Y1348" s="616" t="s">
        <v>4871</v>
      </c>
      <c r="Z1348" s="625">
        <v>2.6643</v>
      </c>
      <c r="AA1348" s="616">
        <f t="shared" si="427"/>
        <v>3410.304</v>
      </c>
      <c r="AB1348" s="554"/>
      <c r="AC1348" s="617"/>
      <c r="AD1348" s="610" t="s">
        <v>101</v>
      </c>
      <c r="AE1348" s="610" t="s">
        <v>82</v>
      </c>
      <c r="AF1348" s="610"/>
      <c r="AG1348" s="610"/>
      <c r="AH1348" s="610"/>
      <c r="AI1348" s="609">
        <v>1280</v>
      </c>
      <c r="AJ1348" s="613">
        <f t="shared" si="424"/>
        <v>0</v>
      </c>
      <c r="AK1348" s="610"/>
      <c r="AL1348" s="610" t="s">
        <v>2368</v>
      </c>
      <c r="AM1348" s="554"/>
      <c r="AN1348" s="554">
        <f t="shared" si="422"/>
        <v>1280</v>
      </c>
      <c r="AO1348" s="554"/>
      <c r="AP1348" s="554"/>
      <c r="AQ1348" s="554"/>
      <c r="AR1348" s="554">
        <f t="shared" si="428"/>
        <v>1280</v>
      </c>
      <c r="AS1348" s="554"/>
      <c r="AT1348" s="554"/>
      <c r="AU1348" s="554">
        <f t="shared" si="429"/>
        <v>1280</v>
      </c>
      <c r="AV1348" s="554"/>
      <c r="AW1348" s="554">
        <f t="shared" si="430"/>
        <v>1280</v>
      </c>
      <c r="AX1348" s="714"/>
      <c r="AY1348" s="554"/>
      <c r="AZ1348" s="554"/>
      <c r="BA1348" s="554"/>
      <c r="BB1348" s="554"/>
      <c r="BC1348" s="554"/>
      <c r="BD1348" s="554"/>
      <c r="BE1348" s="554"/>
      <c r="BF1348" s="554"/>
      <c r="BG1348" s="554"/>
      <c r="BH1348" s="554">
        <f t="shared" si="431"/>
        <v>320</v>
      </c>
      <c r="BI1348" s="554"/>
      <c r="BJ1348" s="554"/>
      <c r="BK1348" s="554"/>
      <c r="BL1348" s="554"/>
      <c r="BM1348" s="554"/>
      <c r="BN1348" s="554"/>
      <c r="BO1348" s="554"/>
      <c r="BP1348" s="554"/>
      <c r="BQ1348" s="554"/>
      <c r="BR1348" s="554"/>
      <c r="BS1348" s="554"/>
      <c r="BT1348" s="554"/>
      <c r="BU1348" s="554"/>
      <c r="BV1348" s="554"/>
      <c r="BW1348" s="554"/>
      <c r="BX1348" s="554"/>
      <c r="BY1348" s="554"/>
      <c r="BZ1348" s="554"/>
      <c r="CA1348" s="554"/>
      <c r="CB1348" s="554"/>
      <c r="CC1348" s="554"/>
      <c r="CD1348" s="554"/>
      <c r="CE1348" s="554"/>
      <c r="CF1348" s="554"/>
      <c r="CG1348" s="554"/>
      <c r="CH1348" s="619"/>
      <c r="CI1348" s="619"/>
      <c r="CJ1348" s="619"/>
      <c r="CK1348" s="619"/>
      <c r="CL1348" s="619"/>
      <c r="CM1348" s="554"/>
      <c r="CN1348" s="554"/>
      <c r="CO1348" s="554"/>
      <c r="CP1348" s="619"/>
      <c r="CQ1348" s="619"/>
      <c r="CR1348" s="619"/>
      <c r="CS1348" s="619"/>
      <c r="CT1348" s="619"/>
      <c r="CU1348" s="619"/>
    </row>
    <row r="1349" s="1267" customFormat="1" ht="31" customHeight="1" spans="1:100 16239:16384">
      <c r="A1349" s="608">
        <v>46196</v>
      </c>
      <c r="B1349" s="609" t="s">
        <v>143</v>
      </c>
      <c r="C1349" s="610" t="s">
        <v>98</v>
      </c>
      <c r="D1349" s="554">
        <v>4500213433</v>
      </c>
      <c r="E1349" s="610">
        <v>1003608932</v>
      </c>
      <c r="F1349" s="554" t="s">
        <v>5262</v>
      </c>
      <c r="G1349" s="610" t="s">
        <v>101</v>
      </c>
      <c r="H1349" s="610" t="s">
        <v>102</v>
      </c>
      <c r="I1349" s="715">
        <v>1760</v>
      </c>
      <c r="J1349" s="610">
        <v>0</v>
      </c>
      <c r="K1349" s="610">
        <v>4</v>
      </c>
      <c r="L1349" s="611">
        <f t="shared" si="413"/>
        <v>440</v>
      </c>
      <c r="M1349" s="612">
        <v>46244</v>
      </c>
      <c r="N1349" s="612">
        <v>46240</v>
      </c>
      <c r="O1349" s="613" t="s">
        <v>5263</v>
      </c>
      <c r="P1349" s="610" t="s">
        <v>113</v>
      </c>
      <c r="Q1349" s="614">
        <v>46261</v>
      </c>
      <c r="R1349" s="614" t="s">
        <v>147</v>
      </c>
      <c r="S1349" s="614" t="s">
        <v>70</v>
      </c>
      <c r="T1349" s="614" t="s">
        <v>5256</v>
      </c>
      <c r="U1349" s="614"/>
      <c r="V1349" s="614"/>
      <c r="W1349" s="609"/>
      <c r="X1349" s="609" t="s">
        <v>5257</v>
      </c>
      <c r="Y1349" s="616" t="s">
        <v>4871</v>
      </c>
      <c r="Z1349" s="625">
        <v>2.6643</v>
      </c>
      <c r="AA1349" s="616">
        <f t="shared" si="427"/>
        <v>4689.168</v>
      </c>
      <c r="AB1349" s="554"/>
      <c r="AC1349" s="617"/>
      <c r="AD1349" s="610" t="s">
        <v>101</v>
      </c>
      <c r="AE1349" s="610" t="s">
        <v>82</v>
      </c>
      <c r="AF1349" s="610"/>
      <c r="AG1349" s="610"/>
      <c r="AH1349" s="610"/>
      <c r="AI1349" s="609">
        <v>1760</v>
      </c>
      <c r="AJ1349" s="613">
        <f t="shared" si="424"/>
        <v>0</v>
      </c>
      <c r="AK1349" s="610"/>
      <c r="AL1349" s="610" t="s">
        <v>2368</v>
      </c>
      <c r="AM1349" s="554"/>
      <c r="AN1349" s="554">
        <f t="shared" si="422"/>
        <v>1760</v>
      </c>
      <c r="AO1349" s="554"/>
      <c r="AP1349" s="554"/>
      <c r="AQ1349" s="554"/>
      <c r="AR1349" s="554">
        <f t="shared" si="428"/>
        <v>1760</v>
      </c>
      <c r="AS1349" s="554"/>
      <c r="AT1349" s="554"/>
      <c r="AU1349" s="554">
        <f t="shared" si="429"/>
        <v>1760</v>
      </c>
      <c r="AV1349" s="554"/>
      <c r="AW1349" s="554">
        <f t="shared" si="430"/>
        <v>1760</v>
      </c>
      <c r="AX1349" s="714"/>
      <c r="AY1349" s="554"/>
      <c r="AZ1349" s="554"/>
      <c r="BA1349" s="554"/>
      <c r="BB1349" s="554"/>
      <c r="BC1349" s="554"/>
      <c r="BD1349" s="554"/>
      <c r="BE1349" s="554"/>
      <c r="BF1349" s="554"/>
      <c r="BG1349" s="554"/>
      <c r="BH1349" s="554">
        <f t="shared" si="431"/>
        <v>440</v>
      </c>
      <c r="BI1349" s="554"/>
      <c r="BJ1349" s="554"/>
      <c r="BK1349" s="554"/>
      <c r="BL1349" s="554"/>
      <c r="BM1349" s="554"/>
      <c r="BN1349" s="554"/>
      <c r="BO1349" s="554"/>
      <c r="BP1349" s="554"/>
      <c r="BQ1349" s="554"/>
      <c r="BR1349" s="554"/>
      <c r="BS1349" s="554"/>
      <c r="BT1349" s="554"/>
      <c r="BU1349" s="554"/>
      <c r="BV1349" s="554"/>
      <c r="BW1349" s="554"/>
      <c r="BX1349" s="554"/>
      <c r="BY1349" s="554"/>
      <c r="BZ1349" s="554"/>
      <c r="CA1349" s="554"/>
      <c r="CB1349" s="554"/>
      <c r="CC1349" s="554"/>
      <c r="CD1349" s="554"/>
      <c r="CE1349" s="554"/>
      <c r="CF1349" s="554"/>
      <c r="CG1349" s="554"/>
      <c r="CH1349" s="619"/>
      <c r="CI1349" s="619"/>
      <c r="CJ1349" s="619"/>
      <c r="CK1349" s="619"/>
      <c r="CL1349" s="619"/>
      <c r="CM1349" s="554"/>
      <c r="CN1349" s="554"/>
      <c r="CO1349" s="554"/>
      <c r="CP1349" s="619"/>
      <c r="CQ1349" s="619"/>
      <c r="CR1349" s="619"/>
      <c r="CS1349" s="619"/>
      <c r="CT1349" s="619"/>
      <c r="CU1349" s="619"/>
    </row>
    <row r="1350" s="1267" customFormat="1" ht="31" customHeight="1" spans="1:100 16239:16384">
      <c r="A1350" s="608">
        <v>46196</v>
      </c>
      <c r="B1350" s="609" t="s">
        <v>143</v>
      </c>
      <c r="C1350" s="610" t="s">
        <v>98</v>
      </c>
      <c r="D1350" s="554">
        <v>4500213433</v>
      </c>
      <c r="E1350" s="610">
        <v>1003609344</v>
      </c>
      <c r="F1350" s="554" t="s">
        <v>5264</v>
      </c>
      <c r="G1350" s="610" t="s">
        <v>101</v>
      </c>
      <c r="H1350" s="610" t="s">
        <v>102</v>
      </c>
      <c r="I1350" s="715">
        <v>2560</v>
      </c>
      <c r="J1350" s="610">
        <v>0</v>
      </c>
      <c r="K1350" s="610">
        <v>4</v>
      </c>
      <c r="L1350" s="611">
        <f t="shared" si="413"/>
        <v>640</v>
      </c>
      <c r="M1350" s="612">
        <v>46244</v>
      </c>
      <c r="N1350" s="612">
        <v>46240</v>
      </c>
      <c r="O1350" s="613" t="s">
        <v>5263</v>
      </c>
      <c r="P1350" s="610" t="s">
        <v>113</v>
      </c>
      <c r="Q1350" s="614"/>
      <c r="R1350" s="614" t="s">
        <v>147</v>
      </c>
      <c r="S1350" s="614" t="s">
        <v>70</v>
      </c>
      <c r="T1350" s="614" t="s">
        <v>5256</v>
      </c>
      <c r="U1350" s="614"/>
      <c r="V1350" s="614"/>
      <c r="W1350" s="605"/>
      <c r="X1350" s="609" t="s">
        <v>5257</v>
      </c>
      <c r="Y1350" s="616" t="s">
        <v>4871</v>
      </c>
      <c r="Z1350" s="625">
        <v>2.6643</v>
      </c>
      <c r="AA1350" s="616">
        <f t="shared" si="427"/>
        <v>6820.608</v>
      </c>
      <c r="AB1350" s="554"/>
      <c r="AC1350" s="617"/>
      <c r="AD1350" s="610" t="s">
        <v>101</v>
      </c>
      <c r="AE1350" s="610" t="s">
        <v>82</v>
      </c>
      <c r="AF1350" s="610"/>
      <c r="AG1350" s="610"/>
      <c r="AH1350" s="610"/>
      <c r="AI1350" s="609">
        <v>2560</v>
      </c>
      <c r="AJ1350" s="613">
        <f t="shared" si="424"/>
        <v>0</v>
      </c>
      <c r="AK1350" s="610"/>
      <c r="AL1350" s="610" t="s">
        <v>2368</v>
      </c>
      <c r="AM1350" s="554"/>
      <c r="AN1350" s="554">
        <f t="shared" si="422"/>
        <v>2560</v>
      </c>
      <c r="AO1350" s="554"/>
      <c r="AP1350" s="554"/>
      <c r="AQ1350" s="554"/>
      <c r="AR1350" s="554">
        <f t="shared" si="428"/>
        <v>2560</v>
      </c>
      <c r="AS1350" s="554"/>
      <c r="AT1350" s="554"/>
      <c r="AU1350" s="554">
        <f t="shared" si="429"/>
        <v>2560</v>
      </c>
      <c r="AV1350" s="554"/>
      <c r="AW1350" s="554">
        <f t="shared" si="430"/>
        <v>2560</v>
      </c>
      <c r="AX1350" s="714"/>
      <c r="AY1350" s="554"/>
      <c r="AZ1350" s="554"/>
      <c r="BA1350" s="554"/>
      <c r="BB1350" s="554"/>
      <c r="BC1350" s="554"/>
      <c r="BD1350" s="554"/>
      <c r="BE1350" s="554"/>
      <c r="BF1350" s="554"/>
      <c r="BG1350" s="554"/>
      <c r="BH1350" s="554">
        <f t="shared" si="431"/>
        <v>640</v>
      </c>
      <c r="BI1350" s="554"/>
      <c r="BJ1350" s="554"/>
      <c r="BK1350" s="554"/>
      <c r="BL1350" s="554"/>
      <c r="BM1350" s="554"/>
      <c r="BN1350" s="554"/>
      <c r="BO1350" s="554"/>
      <c r="BP1350" s="554"/>
      <c r="BQ1350" s="554"/>
      <c r="BR1350" s="554"/>
      <c r="BS1350" s="554"/>
      <c r="BT1350" s="554"/>
      <c r="BU1350" s="554"/>
      <c r="BV1350" s="554"/>
      <c r="BW1350" s="554"/>
      <c r="BX1350" s="554"/>
      <c r="BY1350" s="554"/>
      <c r="BZ1350" s="554"/>
      <c r="CA1350" s="554"/>
      <c r="CB1350" s="554"/>
      <c r="CC1350" s="554"/>
      <c r="CD1350" s="554"/>
      <c r="CE1350" s="554"/>
      <c r="CF1350" s="554"/>
      <c r="CG1350" s="554"/>
      <c r="CH1350" s="619"/>
      <c r="CI1350" s="619"/>
      <c r="CJ1350" s="619"/>
      <c r="CK1350" s="619"/>
      <c r="CL1350" s="619"/>
      <c r="CM1350" s="554"/>
      <c r="CN1350" s="554"/>
      <c r="CO1350" s="554"/>
      <c r="CP1350" s="619"/>
      <c r="CQ1350" s="619"/>
      <c r="CR1350" s="619"/>
      <c r="CS1350" s="619"/>
      <c r="CT1350" s="619"/>
      <c r="CU1350" s="619"/>
    </row>
    <row r="1351" s="1267" customFormat="1" ht="31" customHeight="1" spans="1:100 16239:16384">
      <c r="A1351" s="608">
        <v>46175</v>
      </c>
      <c r="B1351" s="609" t="s">
        <v>143</v>
      </c>
      <c r="C1351" s="610" t="s">
        <v>98</v>
      </c>
      <c r="D1351" s="554" t="s">
        <v>5265</v>
      </c>
      <c r="E1351" s="1419" t="s">
        <v>5266</v>
      </c>
      <c r="F1351" s="554" t="s">
        <v>5267</v>
      </c>
      <c r="G1351" s="610" t="s">
        <v>101</v>
      </c>
      <c r="H1351" s="610" t="s">
        <v>102</v>
      </c>
      <c r="I1351" s="715">
        <v>2880</v>
      </c>
      <c r="J1351" s="610">
        <v>0</v>
      </c>
      <c r="K1351" s="610">
        <v>4</v>
      </c>
      <c r="L1351" s="611">
        <f t="shared" si="413"/>
        <v>720</v>
      </c>
      <c r="M1351" s="612">
        <v>46248</v>
      </c>
      <c r="N1351" s="612">
        <v>46244</v>
      </c>
      <c r="O1351" s="613" t="s">
        <v>5268</v>
      </c>
      <c r="P1351" s="610" t="s">
        <v>113</v>
      </c>
      <c r="Q1351" s="614"/>
      <c r="R1351" s="614" t="s">
        <v>147</v>
      </c>
      <c r="S1351" s="614" t="s">
        <v>70</v>
      </c>
      <c r="T1351" s="614" t="s">
        <v>5269</v>
      </c>
      <c r="U1351" s="614"/>
      <c r="V1351" s="614"/>
      <c r="W1351" s="609"/>
      <c r="X1351" s="609" t="s">
        <v>5270</v>
      </c>
      <c r="Y1351" s="616" t="s">
        <v>4871</v>
      </c>
      <c r="Z1351" s="625">
        <v>2.7109</v>
      </c>
      <c r="AA1351" s="616">
        <f t="shared" si="427"/>
        <v>7807.392</v>
      </c>
      <c r="AB1351" s="554"/>
      <c r="AC1351" s="617"/>
      <c r="AD1351" s="610" t="s">
        <v>101</v>
      </c>
      <c r="AE1351" s="610" t="s">
        <v>82</v>
      </c>
      <c r="AF1351" s="610"/>
      <c r="AG1351" s="610"/>
      <c r="AH1351" s="610"/>
      <c r="AI1351" s="609">
        <f>1480+1400</f>
        <v>2880</v>
      </c>
      <c r="AJ1351" s="613">
        <f t="shared" si="424"/>
        <v>0</v>
      </c>
      <c r="AK1351" s="610"/>
      <c r="AL1351" s="610" t="s">
        <v>2368</v>
      </c>
      <c r="AM1351" s="554"/>
      <c r="AN1351" s="554">
        <f t="shared" si="422"/>
        <v>2880</v>
      </c>
      <c r="AO1351" s="554"/>
      <c r="AP1351" s="554"/>
      <c r="AQ1351" s="554"/>
      <c r="AR1351" s="554">
        <f t="shared" si="428"/>
        <v>2880</v>
      </c>
      <c r="AS1351" s="554"/>
      <c r="AT1351" s="554"/>
      <c r="AU1351" s="554">
        <f t="shared" si="429"/>
        <v>2880</v>
      </c>
      <c r="AV1351" s="554"/>
      <c r="AW1351" s="554">
        <f t="shared" si="430"/>
        <v>2880</v>
      </c>
      <c r="AX1351" s="714"/>
      <c r="AY1351" s="554"/>
      <c r="AZ1351" s="554"/>
      <c r="BA1351" s="554"/>
      <c r="BB1351" s="554"/>
      <c r="BC1351" s="554"/>
      <c r="BD1351" s="554"/>
      <c r="BE1351" s="554"/>
      <c r="BF1351" s="554"/>
      <c r="BG1351" s="554"/>
      <c r="BH1351" s="554">
        <f t="shared" si="431"/>
        <v>720</v>
      </c>
      <c r="BI1351" s="554"/>
      <c r="BJ1351" s="554"/>
      <c r="BK1351" s="554"/>
      <c r="BL1351" s="554"/>
      <c r="BM1351" s="554"/>
      <c r="BN1351" s="554"/>
      <c r="BO1351" s="554"/>
      <c r="BP1351" s="554"/>
      <c r="BQ1351" s="554"/>
      <c r="BR1351" s="554"/>
      <c r="BS1351" s="554"/>
      <c r="BT1351" s="554"/>
      <c r="BU1351" s="554"/>
      <c r="BV1351" s="554"/>
      <c r="BW1351" s="554"/>
      <c r="BX1351" s="554"/>
      <c r="BY1351" s="554"/>
      <c r="BZ1351" s="554"/>
      <c r="CA1351" s="554"/>
      <c r="CB1351" s="554"/>
      <c r="CC1351" s="554"/>
      <c r="CD1351" s="554"/>
      <c r="CE1351" s="554"/>
      <c r="CF1351" s="554"/>
      <c r="CG1351" s="554"/>
      <c r="CH1351" s="619"/>
      <c r="CI1351" s="619"/>
      <c r="CJ1351" s="619"/>
      <c r="CK1351" s="619"/>
      <c r="CL1351" s="619"/>
      <c r="CM1351" s="554"/>
      <c r="CN1351" s="554"/>
      <c r="CO1351" s="554"/>
      <c r="CP1351" s="619"/>
      <c r="CQ1351" s="619"/>
      <c r="CR1351" s="619"/>
      <c r="CS1351" s="619"/>
      <c r="CT1351" s="619"/>
      <c r="CU1351" s="619"/>
    </row>
    <row r="1352" s="1267" customFormat="1" ht="31" customHeight="1" spans="1:100 16239:16384">
      <c r="A1352" s="608">
        <v>46167</v>
      </c>
      <c r="B1352" s="609" t="s">
        <v>2707</v>
      </c>
      <c r="C1352" s="610" t="s">
        <v>170</v>
      </c>
      <c r="D1352" s="554" t="s">
        <v>5067</v>
      </c>
      <c r="E1352" s="610" t="s">
        <v>5271</v>
      </c>
      <c r="F1352" s="554" t="s">
        <v>5272</v>
      </c>
      <c r="G1352" s="623" t="s">
        <v>2702</v>
      </c>
      <c r="H1352" s="610" t="s">
        <v>477</v>
      </c>
      <c r="I1352" s="610">
        <v>240</v>
      </c>
      <c r="J1352" s="610">
        <v>0</v>
      </c>
      <c r="K1352" s="610">
        <v>6</v>
      </c>
      <c r="L1352" s="611">
        <f t="shared" si="413"/>
        <v>40</v>
      </c>
      <c r="M1352" s="612">
        <v>46240</v>
      </c>
      <c r="N1352" s="612">
        <v>46237</v>
      </c>
      <c r="O1352" s="613"/>
      <c r="P1352" s="613" t="s">
        <v>113</v>
      </c>
      <c r="Q1352" s="614">
        <v>46248</v>
      </c>
      <c r="R1352" s="614">
        <v>46174</v>
      </c>
      <c r="S1352" s="614" t="s">
        <v>70</v>
      </c>
      <c r="T1352" s="614" t="s">
        <v>5069</v>
      </c>
      <c r="U1352" s="614"/>
      <c r="V1352" s="609"/>
      <c r="W1352" s="609"/>
      <c r="X1352" s="609" t="s">
        <v>5273</v>
      </c>
      <c r="Y1352" s="616" t="s">
        <v>5071</v>
      </c>
      <c r="Z1352" s="625">
        <v>7.1822</v>
      </c>
      <c r="AA1352" s="616">
        <f t="shared" si="427"/>
        <v>1723.728</v>
      </c>
      <c r="AB1352" s="554"/>
      <c r="AC1352" s="617"/>
      <c r="AD1352" s="610" t="s">
        <v>2705</v>
      </c>
      <c r="AE1352" s="610" t="s">
        <v>82</v>
      </c>
      <c r="AF1352" s="610"/>
      <c r="AG1352" s="610"/>
      <c r="AH1352" s="610"/>
      <c r="AI1352" s="609"/>
      <c r="AJ1352" s="610">
        <f t="shared" si="424"/>
        <v>-240</v>
      </c>
      <c r="AK1352" s="610"/>
      <c r="AL1352" s="610"/>
      <c r="AM1352" s="554"/>
      <c r="AN1352" s="554">
        <f t="shared" si="422"/>
        <v>240</v>
      </c>
      <c r="AO1352" s="1325"/>
      <c r="AP1352" s="1325"/>
      <c r="AQ1352" s="1325"/>
      <c r="AR1352" s="554"/>
      <c r="AS1352" s="554">
        <f>I1352</f>
        <v>240</v>
      </c>
      <c r="AT1352" s="554"/>
      <c r="AU1352" s="554">
        <f t="shared" si="429"/>
        <v>240</v>
      </c>
      <c r="AV1352" s="554"/>
      <c r="AW1352" s="554">
        <f t="shared" si="430"/>
        <v>240</v>
      </c>
      <c r="AX1352" s="714"/>
      <c r="AY1352" s="554"/>
      <c r="AZ1352" s="554"/>
      <c r="BA1352" s="554"/>
      <c r="BB1352" s="554"/>
      <c r="BC1352" s="554"/>
      <c r="BD1352" s="554"/>
      <c r="BE1352" s="554"/>
      <c r="BF1352" s="554"/>
      <c r="BG1352" s="554"/>
      <c r="BH1352" s="554"/>
      <c r="BI1352" s="554"/>
      <c r="BJ1352" s="554"/>
      <c r="BK1352" s="554"/>
      <c r="BL1352" s="554"/>
      <c r="BM1352" s="554">
        <f>I1352</f>
        <v>240</v>
      </c>
      <c r="BN1352" s="554"/>
      <c r="BO1352" s="554"/>
      <c r="BP1352" s="554"/>
      <c r="BQ1352" s="554"/>
      <c r="BR1352" s="554"/>
      <c r="BS1352" s="554"/>
      <c r="BT1352" s="554"/>
      <c r="BU1352" s="554"/>
      <c r="BV1352" s="554"/>
      <c r="BW1352" s="554"/>
      <c r="BX1352" s="554"/>
      <c r="BY1352" s="554"/>
      <c r="BZ1352" s="554"/>
      <c r="CA1352" s="554"/>
      <c r="CB1352" s="554"/>
      <c r="CC1352" s="554"/>
      <c r="CD1352" s="554"/>
      <c r="CE1352" s="554"/>
      <c r="CF1352" s="554"/>
      <c r="CG1352" s="554"/>
      <c r="CH1352" s="619"/>
      <c r="CI1352" s="619"/>
      <c r="CJ1352" s="619"/>
      <c r="CK1352" s="619"/>
      <c r="CL1352" s="619"/>
      <c r="CM1352" s="554"/>
      <c r="CN1352" s="554"/>
      <c r="CO1352" s="554"/>
      <c r="CP1352" s="619"/>
      <c r="CQ1352" s="619"/>
      <c r="CR1352" s="619"/>
      <c r="CS1352" s="619"/>
      <c r="CT1352" s="619"/>
      <c r="CU1352" s="619"/>
    </row>
    <row r="1353" s="1267" customFormat="1" ht="31" customHeight="1" spans="1:100 16239:16384">
      <c r="A1353" s="608">
        <v>46167</v>
      </c>
      <c r="B1353" s="609" t="s">
        <v>2707</v>
      </c>
      <c r="C1353" s="610" t="s">
        <v>170</v>
      </c>
      <c r="D1353" s="554" t="s">
        <v>5274</v>
      </c>
      <c r="E1353" s="610" t="s">
        <v>5275</v>
      </c>
      <c r="F1353" s="554" t="s">
        <v>5276</v>
      </c>
      <c r="G1353" s="623" t="s">
        <v>2702</v>
      </c>
      <c r="H1353" s="610" t="s">
        <v>477</v>
      </c>
      <c r="I1353" s="610">
        <v>1500</v>
      </c>
      <c r="J1353" s="610">
        <v>0</v>
      </c>
      <c r="K1353" s="610">
        <v>6</v>
      </c>
      <c r="L1353" s="611">
        <f t="shared" si="413"/>
        <v>250</v>
      </c>
      <c r="M1353" s="612">
        <v>46240</v>
      </c>
      <c r="N1353" s="612">
        <v>46237</v>
      </c>
      <c r="O1353" s="613"/>
      <c r="P1353" s="613" t="s">
        <v>113</v>
      </c>
      <c r="Q1353" s="614">
        <v>46248</v>
      </c>
      <c r="R1353" s="614">
        <v>46174</v>
      </c>
      <c r="S1353" s="614" t="s">
        <v>70</v>
      </c>
      <c r="T1353" s="614" t="s">
        <v>5277</v>
      </c>
      <c r="U1353" s="614"/>
      <c r="V1353" s="609"/>
      <c r="W1353" s="609"/>
      <c r="X1353" s="609" t="s">
        <v>5075</v>
      </c>
      <c r="Y1353" s="616" t="s">
        <v>5071</v>
      </c>
      <c r="Z1353" s="625">
        <v>6.852</v>
      </c>
      <c r="AA1353" s="616">
        <f t="shared" si="427"/>
        <v>10278</v>
      </c>
      <c r="AB1353" s="554"/>
      <c r="AC1353" s="617"/>
      <c r="AD1353" s="610" t="s">
        <v>2705</v>
      </c>
      <c r="AE1353" s="610" t="s">
        <v>82</v>
      </c>
      <c r="AF1353" s="610"/>
      <c r="AG1353" s="610"/>
      <c r="AH1353" s="610"/>
      <c r="AI1353" s="609"/>
      <c r="AJ1353" s="610">
        <f t="shared" si="424"/>
        <v>-1500</v>
      </c>
      <c r="AK1353" s="610"/>
      <c r="AL1353" s="610"/>
      <c r="AM1353" s="554"/>
      <c r="AN1353" s="554">
        <f t="shared" si="422"/>
        <v>1500</v>
      </c>
      <c r="AO1353" s="1325"/>
      <c r="AP1353" s="1325"/>
      <c r="AQ1353" s="1325"/>
      <c r="AR1353" s="554"/>
      <c r="AS1353" s="554">
        <f>I1353</f>
        <v>1500</v>
      </c>
      <c r="AT1353" s="554"/>
      <c r="AU1353" s="554">
        <f t="shared" si="429"/>
        <v>1500</v>
      </c>
      <c r="AV1353" s="554"/>
      <c r="AW1353" s="554">
        <f t="shared" si="430"/>
        <v>1500</v>
      </c>
      <c r="AX1353" s="714"/>
      <c r="AY1353" s="554"/>
      <c r="AZ1353" s="554"/>
      <c r="BA1353" s="554"/>
      <c r="BB1353" s="554"/>
      <c r="BC1353" s="554"/>
      <c r="BD1353" s="554"/>
      <c r="BE1353" s="554"/>
      <c r="BF1353" s="554"/>
      <c r="BG1353" s="554"/>
      <c r="BH1353" s="554"/>
      <c r="BI1353" s="554"/>
      <c r="BJ1353" s="554"/>
      <c r="BK1353" s="554"/>
      <c r="BL1353" s="554"/>
      <c r="BM1353" s="554">
        <f>I1353</f>
        <v>1500</v>
      </c>
      <c r="BN1353" s="554"/>
      <c r="BO1353" s="554"/>
      <c r="BP1353" s="554"/>
      <c r="BQ1353" s="554"/>
      <c r="BR1353" s="554"/>
      <c r="BS1353" s="554"/>
      <c r="BT1353" s="554"/>
      <c r="BU1353" s="554"/>
      <c r="BV1353" s="554"/>
      <c r="BW1353" s="554"/>
      <c r="BX1353" s="554"/>
      <c r="BY1353" s="554"/>
      <c r="BZ1353" s="554"/>
      <c r="CA1353" s="554"/>
      <c r="CB1353" s="554"/>
      <c r="CC1353" s="554"/>
      <c r="CD1353" s="554"/>
      <c r="CE1353" s="554"/>
      <c r="CF1353" s="554"/>
      <c r="CG1353" s="554"/>
      <c r="CH1353" s="619"/>
      <c r="CI1353" s="619"/>
      <c r="CJ1353" s="619"/>
      <c r="CK1353" s="619"/>
      <c r="CL1353" s="619"/>
      <c r="CM1353" s="554"/>
      <c r="CN1353" s="554"/>
      <c r="CO1353" s="554"/>
      <c r="CP1353" s="619"/>
      <c r="CQ1353" s="619"/>
      <c r="CR1353" s="619"/>
      <c r="CS1353" s="619"/>
      <c r="CT1353" s="619"/>
      <c r="CU1353" s="619"/>
    </row>
    <row r="1354" s="1267" customFormat="1" ht="31" customHeight="1" spans="1:100 16239:16384">
      <c r="A1354" s="608">
        <v>46167</v>
      </c>
      <c r="B1354" s="609" t="s">
        <v>2707</v>
      </c>
      <c r="C1354" s="610" t="s">
        <v>170</v>
      </c>
      <c r="D1354" s="554" t="s">
        <v>5274</v>
      </c>
      <c r="E1354" s="610" t="s">
        <v>5278</v>
      </c>
      <c r="F1354" s="554" t="s">
        <v>5279</v>
      </c>
      <c r="G1354" s="623" t="s">
        <v>2702</v>
      </c>
      <c r="H1354" s="610" t="s">
        <v>477</v>
      </c>
      <c r="I1354" s="610">
        <v>342</v>
      </c>
      <c r="J1354" s="610">
        <v>0</v>
      </c>
      <c r="K1354" s="610">
        <v>6</v>
      </c>
      <c r="L1354" s="611">
        <f t="shared" si="413"/>
        <v>57</v>
      </c>
      <c r="M1354" s="612">
        <v>46240</v>
      </c>
      <c r="N1354" s="612">
        <v>46237</v>
      </c>
      <c r="O1354" s="613"/>
      <c r="P1354" s="613" t="s">
        <v>113</v>
      </c>
      <c r="Q1354" s="614"/>
      <c r="R1354" s="614">
        <v>46174</v>
      </c>
      <c r="S1354" s="614" t="s">
        <v>70</v>
      </c>
      <c r="T1354" s="614" t="s">
        <v>5277</v>
      </c>
      <c r="U1354" s="614"/>
      <c r="V1354" s="609"/>
      <c r="W1354" s="609"/>
      <c r="X1354" s="609" t="s">
        <v>5075</v>
      </c>
      <c r="Y1354" s="616" t="s">
        <v>5071</v>
      </c>
      <c r="Z1354" s="625">
        <v>7.1822</v>
      </c>
      <c r="AA1354" s="616">
        <f t="shared" si="427"/>
        <v>2456.3124</v>
      </c>
      <c r="AB1354" s="554"/>
      <c r="AC1354" s="617"/>
      <c r="AD1354" s="610" t="s">
        <v>2705</v>
      </c>
      <c r="AE1354" s="610" t="s">
        <v>82</v>
      </c>
      <c r="AF1354" s="610"/>
      <c r="AG1354" s="610"/>
      <c r="AH1354" s="610"/>
      <c r="AI1354" s="609"/>
      <c r="AJ1354" s="610">
        <f t="shared" si="424"/>
        <v>-342</v>
      </c>
      <c r="AK1354" s="610"/>
      <c r="AL1354" s="610"/>
      <c r="AM1354" s="554"/>
      <c r="AN1354" s="554">
        <f t="shared" si="422"/>
        <v>342</v>
      </c>
      <c r="AO1354" s="1325"/>
      <c r="AP1354" s="1325"/>
      <c r="AQ1354" s="1325"/>
      <c r="AR1354" s="554"/>
      <c r="AS1354" s="554">
        <f>I1354</f>
        <v>342</v>
      </c>
      <c r="AT1354" s="554"/>
      <c r="AU1354" s="554">
        <f t="shared" si="429"/>
        <v>342</v>
      </c>
      <c r="AV1354" s="554"/>
      <c r="AW1354" s="554">
        <f t="shared" si="430"/>
        <v>342</v>
      </c>
      <c r="AX1354" s="714"/>
      <c r="AY1354" s="554"/>
      <c r="AZ1354" s="554"/>
      <c r="BA1354" s="554"/>
      <c r="BB1354" s="554"/>
      <c r="BC1354" s="554"/>
      <c r="BD1354" s="554"/>
      <c r="BE1354" s="554"/>
      <c r="BF1354" s="554"/>
      <c r="BG1354" s="554"/>
      <c r="BH1354" s="554"/>
      <c r="BI1354" s="554"/>
      <c r="BJ1354" s="554"/>
      <c r="BK1354" s="554"/>
      <c r="BL1354" s="554"/>
      <c r="BM1354" s="554">
        <f>I1354</f>
        <v>342</v>
      </c>
      <c r="BN1354" s="554"/>
      <c r="BO1354" s="554"/>
      <c r="BP1354" s="554"/>
      <c r="BQ1354" s="554"/>
      <c r="BR1354" s="554"/>
      <c r="BS1354" s="554"/>
      <c r="BT1354" s="554"/>
      <c r="BU1354" s="554"/>
      <c r="BV1354" s="554"/>
      <c r="BW1354" s="554"/>
      <c r="BX1354" s="554"/>
      <c r="BY1354" s="554"/>
      <c r="BZ1354" s="554"/>
      <c r="CA1354" s="554"/>
      <c r="CB1354" s="554"/>
      <c r="CC1354" s="554"/>
      <c r="CD1354" s="554"/>
      <c r="CE1354" s="554"/>
      <c r="CF1354" s="554"/>
      <c r="CG1354" s="554"/>
      <c r="CH1354" s="619"/>
      <c r="CI1354" s="619"/>
      <c r="CJ1354" s="619"/>
      <c r="CK1354" s="619"/>
      <c r="CL1354" s="619"/>
      <c r="CM1354" s="554"/>
      <c r="CN1354" s="554"/>
      <c r="CO1354" s="554"/>
      <c r="CP1354" s="619"/>
      <c r="CQ1354" s="619"/>
      <c r="CR1354" s="619"/>
      <c r="CS1354" s="619"/>
      <c r="CT1354" s="619"/>
      <c r="CU1354" s="619"/>
    </row>
    <row r="1355" s="1267" customFormat="1" ht="31" customHeight="1" spans="1:100 16239:16384">
      <c r="A1355" s="608">
        <v>46171</v>
      </c>
      <c r="B1355" s="609" t="s">
        <v>5078</v>
      </c>
      <c r="C1355" s="610" t="s">
        <v>170</v>
      </c>
      <c r="D1355" s="554" t="s">
        <v>5280</v>
      </c>
      <c r="E1355" s="610" t="s">
        <v>5281</v>
      </c>
      <c r="F1355" s="554" t="s">
        <v>5282</v>
      </c>
      <c r="G1355" s="610" t="s">
        <v>68</v>
      </c>
      <c r="H1355" s="610" t="s">
        <v>69</v>
      </c>
      <c r="I1355" s="715">
        <v>60</v>
      </c>
      <c r="J1355" s="610">
        <v>0</v>
      </c>
      <c r="K1355" s="610">
        <v>12</v>
      </c>
      <c r="L1355" s="611">
        <f t="shared" si="413"/>
        <v>5</v>
      </c>
      <c r="M1355" s="612">
        <v>46218</v>
      </c>
      <c r="N1355" s="724">
        <v>46218</v>
      </c>
      <c r="O1355" s="613"/>
      <c r="P1355" s="613" t="s">
        <v>113</v>
      </c>
      <c r="Q1355" s="614"/>
      <c r="R1355" s="614">
        <v>46171</v>
      </c>
      <c r="S1355" s="614" t="s">
        <v>104</v>
      </c>
      <c r="T1355" s="614" t="s">
        <v>5283</v>
      </c>
      <c r="U1355" s="614"/>
      <c r="V1355" s="614"/>
      <c r="W1355" s="609"/>
      <c r="X1355" s="738" t="s">
        <v>5284</v>
      </c>
      <c r="Y1355" s="616" t="s">
        <v>3820</v>
      </c>
      <c r="Z1355" s="625">
        <v>4.3734</v>
      </c>
      <c r="AA1355" s="616">
        <f t="shared" si="427"/>
        <v>262.404</v>
      </c>
      <c r="AB1355" s="554"/>
      <c r="AC1355" s="617"/>
      <c r="AD1355" s="610" t="s">
        <v>184</v>
      </c>
      <c r="AE1355" s="610" t="s">
        <v>82</v>
      </c>
      <c r="AF1355" s="610"/>
      <c r="AG1355" s="610"/>
      <c r="AH1355" s="610"/>
      <c r="AI1355" s="609">
        <v>60</v>
      </c>
      <c r="AJ1355" s="613">
        <f t="shared" si="424"/>
        <v>0</v>
      </c>
      <c r="AK1355" s="610"/>
      <c r="AL1355" s="610" t="s">
        <v>2368</v>
      </c>
      <c r="AM1355" s="554"/>
      <c r="AN1355" s="554">
        <f t="shared" si="422"/>
        <v>60</v>
      </c>
      <c r="AO1355" s="554"/>
      <c r="AP1355" s="554"/>
      <c r="AQ1355" s="554"/>
      <c r="AR1355" s="554"/>
      <c r="AS1355" s="554">
        <f>I1355</f>
        <v>60</v>
      </c>
      <c r="AT1355" s="554"/>
      <c r="AU1355" s="554">
        <f t="shared" si="429"/>
        <v>60</v>
      </c>
      <c r="AV1355" s="554"/>
      <c r="AW1355" s="554">
        <f t="shared" si="430"/>
        <v>60</v>
      </c>
      <c r="AX1355" s="714"/>
      <c r="AY1355" s="554"/>
      <c r="AZ1355" s="554"/>
      <c r="BA1355" s="554"/>
      <c r="BB1355" s="554"/>
      <c r="BC1355" s="554"/>
      <c r="BD1355" s="554"/>
      <c r="BE1355" s="554"/>
      <c r="BF1355" s="554"/>
      <c r="BG1355" s="554"/>
      <c r="BH1355" s="554"/>
      <c r="BI1355" s="554"/>
      <c r="BJ1355" s="554"/>
      <c r="BK1355" s="554"/>
      <c r="BL1355" s="554"/>
      <c r="BM1355" s="554"/>
      <c r="BN1355" s="554"/>
      <c r="BO1355" s="554"/>
      <c r="BP1355" s="554"/>
      <c r="BQ1355" s="554"/>
      <c r="BR1355" s="554"/>
      <c r="BS1355" s="554"/>
      <c r="BT1355" s="554"/>
      <c r="BU1355" s="554"/>
      <c r="BV1355" s="554"/>
      <c r="BW1355" s="554"/>
      <c r="BX1355" s="554"/>
      <c r="BY1355" s="554"/>
      <c r="BZ1355" s="554"/>
      <c r="CA1355" s="554"/>
      <c r="CB1355" s="554"/>
      <c r="CC1355" s="554"/>
      <c r="CD1355" s="554"/>
      <c r="CE1355" s="554"/>
      <c r="CF1355" s="554"/>
      <c r="CG1355" s="554"/>
      <c r="CH1355" s="619"/>
      <c r="CI1355" s="619"/>
      <c r="CJ1355" s="619"/>
      <c r="CK1355" s="619"/>
      <c r="CL1355" s="619"/>
      <c r="CM1355" s="554"/>
      <c r="CN1355" s="554"/>
      <c r="CO1355" s="554"/>
      <c r="CP1355" s="619"/>
      <c r="CQ1355" s="619"/>
      <c r="CR1355" s="619"/>
      <c r="CS1355" s="619"/>
      <c r="CT1355" s="619"/>
      <c r="CU1355" s="619"/>
    </row>
    <row r="1356" s="1267" customFormat="1" ht="31" customHeight="1" spans="1:100 16239:16384">
      <c r="A1356" s="608">
        <v>46148</v>
      </c>
      <c r="B1356" s="609" t="s">
        <v>2362</v>
      </c>
      <c r="C1356" s="610" t="s">
        <v>524</v>
      </c>
      <c r="D1356" s="554" t="s">
        <v>5285</v>
      </c>
      <c r="E1356" s="610" t="s">
        <v>5286</v>
      </c>
      <c r="F1356" s="554" t="s">
        <v>5287</v>
      </c>
      <c r="G1356" s="610" t="s">
        <v>518</v>
      </c>
      <c r="H1356" s="610" t="s">
        <v>477</v>
      </c>
      <c r="I1356" s="715">
        <v>3000</v>
      </c>
      <c r="J1356" s="610">
        <v>0</v>
      </c>
      <c r="K1356" s="610">
        <v>6</v>
      </c>
      <c r="L1356" s="611">
        <f t="shared" si="413"/>
        <v>500</v>
      </c>
      <c r="M1356" s="612">
        <v>46223</v>
      </c>
      <c r="N1356" s="724">
        <v>46240</v>
      </c>
      <c r="O1356" s="613"/>
      <c r="P1356" s="723" t="s">
        <v>113</v>
      </c>
      <c r="Q1356" s="614">
        <v>46242</v>
      </c>
      <c r="R1356" s="614">
        <v>46198</v>
      </c>
      <c r="S1356" s="614" t="s">
        <v>70</v>
      </c>
      <c r="T1356" s="614" t="s">
        <v>5288</v>
      </c>
      <c r="U1356" s="614" t="s">
        <v>5289</v>
      </c>
      <c r="V1356" s="614"/>
      <c r="W1356" s="609"/>
      <c r="X1356" s="609" t="s">
        <v>5290</v>
      </c>
      <c r="Y1356" s="616" t="s">
        <v>529</v>
      </c>
      <c r="Z1356" s="625">
        <v>6.6995</v>
      </c>
      <c r="AA1356" s="616">
        <f t="shared" si="427"/>
        <v>20098.5</v>
      </c>
      <c r="AB1356" s="554"/>
      <c r="AC1356" s="617"/>
      <c r="AD1356" s="610" t="s">
        <v>480</v>
      </c>
      <c r="AE1356" s="610" t="s">
        <v>82</v>
      </c>
      <c r="AF1356" s="610"/>
      <c r="AG1356" s="610"/>
      <c r="AH1356" s="610"/>
      <c r="AI1356" s="609"/>
      <c r="AJ1356" s="610">
        <f t="shared" si="424"/>
        <v>-3000</v>
      </c>
      <c r="AK1356" s="610"/>
      <c r="AL1356" s="610"/>
      <c r="AM1356" s="554"/>
      <c r="AN1356" s="554">
        <f t="shared" si="422"/>
        <v>3000</v>
      </c>
      <c r="AO1356" s="554"/>
      <c r="AP1356" s="554"/>
      <c r="AQ1356" s="554"/>
      <c r="AR1356" s="554"/>
      <c r="AS1356" s="554">
        <f>I1356</f>
        <v>3000</v>
      </c>
      <c r="AT1356" s="554"/>
      <c r="AU1356" s="554">
        <f t="shared" si="429"/>
        <v>3000</v>
      </c>
      <c r="AV1356" s="554"/>
      <c r="AW1356" s="554">
        <f t="shared" si="430"/>
        <v>3000</v>
      </c>
      <c r="AX1356" s="714"/>
      <c r="AY1356" s="554"/>
      <c r="AZ1356" s="554"/>
      <c r="BA1356" s="554"/>
      <c r="BB1356" s="554"/>
      <c r="BC1356" s="554"/>
      <c r="BD1356" s="554"/>
      <c r="BE1356" s="554"/>
      <c r="BF1356" s="554"/>
      <c r="BG1356" s="554"/>
      <c r="BH1356" s="554"/>
      <c r="BI1356" s="554"/>
      <c r="BJ1356" s="554"/>
      <c r="BK1356" s="554"/>
      <c r="BL1356" s="554"/>
      <c r="BM1356" s="554"/>
      <c r="BN1356" s="554">
        <f>I1356</f>
        <v>3000</v>
      </c>
      <c r="BO1356" s="554"/>
      <c r="BP1356" s="554"/>
      <c r="BQ1356" s="554"/>
      <c r="BR1356" s="554"/>
      <c r="BS1356" s="554"/>
      <c r="BT1356" s="554"/>
      <c r="BU1356" s="554"/>
      <c r="BV1356" s="554"/>
      <c r="BW1356" s="554"/>
      <c r="BX1356" s="554"/>
      <c r="BY1356" s="554"/>
      <c r="BZ1356" s="554"/>
      <c r="CA1356" s="554"/>
      <c r="CB1356" s="554"/>
      <c r="CC1356" s="554"/>
      <c r="CD1356" s="554"/>
      <c r="CE1356" s="554"/>
      <c r="CF1356" s="554"/>
      <c r="CG1356" s="554"/>
      <c r="CH1356" s="619"/>
      <c r="CI1356" s="619"/>
      <c r="CJ1356" s="619"/>
      <c r="CK1356" s="619"/>
      <c r="CL1356" s="619"/>
      <c r="CM1356" s="554"/>
      <c r="CN1356" s="554"/>
      <c r="CO1356" s="554"/>
      <c r="CP1356" s="619"/>
      <c r="CQ1356" s="619"/>
      <c r="CR1356" s="619"/>
      <c r="CS1356" s="619"/>
      <c r="CT1356" s="619"/>
      <c r="CU1356" s="619"/>
      <c r="CV1356" s="1325"/>
      <c r="WZO1356" s="1374"/>
      <c r="WZP1356" s="1374"/>
      <c r="WZQ1356" s="1374"/>
      <c r="WZR1356" s="1374"/>
      <c r="WZS1356" s="1374"/>
      <c r="WZT1356" s="1374"/>
      <c r="WZU1356" s="1374"/>
      <c r="WZV1356" s="1374"/>
      <c r="WZW1356" s="1374"/>
      <c r="WZX1356" s="1374"/>
      <c r="WZY1356" s="1374"/>
      <c r="WZZ1356" s="1374"/>
      <c r="XAA1356" s="1374"/>
      <c r="XAB1356" s="1374"/>
      <c r="XAC1356" s="1374"/>
      <c r="XAD1356" s="1374"/>
      <c r="XAE1356" s="1374"/>
      <c r="XAF1356" s="1374"/>
      <c r="XAG1356" s="1374"/>
      <c r="XAH1356" s="1374"/>
      <c r="XAI1356" s="1374"/>
      <c r="XAJ1356" s="1374"/>
      <c r="XAK1356" s="1374"/>
      <c r="XAL1356" s="1374"/>
      <c r="XAM1356" s="1374"/>
      <c r="XAN1356" s="1374"/>
      <c r="XAO1356" s="1374"/>
      <c r="XAP1356" s="1374"/>
      <c r="XAQ1356" s="1374"/>
      <c r="XAR1356" s="1374"/>
      <c r="XAS1356" s="1374"/>
      <c r="XAT1356" s="1374"/>
      <c r="XAU1356" s="1374"/>
      <c r="XAV1356" s="1374"/>
      <c r="XAW1356" s="1374"/>
      <c r="XAX1356" s="1374"/>
      <c r="XAY1356" s="1374"/>
      <c r="XAZ1356" s="1374"/>
      <c r="XBA1356" s="1374"/>
      <c r="XBB1356" s="1374"/>
      <c r="XBC1356" s="1374"/>
      <c r="XBD1356" s="1374"/>
      <c r="XBE1356" s="1374"/>
      <c r="XBF1356" s="1374"/>
      <c r="XBG1356" s="1374"/>
      <c r="XBH1356" s="1374"/>
      <c r="XBI1356" s="1374"/>
      <c r="XBJ1356" s="1374"/>
      <c r="XBK1356" s="1374"/>
      <c r="XBL1356" s="1374"/>
      <c r="XBM1356" s="1374"/>
      <c r="XBN1356" s="1374"/>
      <c r="XBO1356" s="1374"/>
      <c r="XBP1356" s="1374"/>
      <c r="XBQ1356" s="1374"/>
      <c r="XBR1356" s="1374"/>
      <c r="XBS1356" s="1374"/>
      <c r="XBT1356" s="1374"/>
      <c r="XBU1356" s="1374"/>
      <c r="XBV1356" s="1374"/>
      <c r="XBW1356" s="1374"/>
      <c r="XBX1356" s="1374"/>
      <c r="XBY1356" s="1374"/>
      <c r="XBZ1356" s="1374"/>
      <c r="XCA1356" s="1374"/>
      <c r="XCB1356" s="1374"/>
      <c r="XCC1356" s="1374"/>
      <c r="XCD1356" s="1374"/>
      <c r="XCE1356" s="1374"/>
      <c r="XCF1356" s="1374"/>
      <c r="XCG1356" s="1374"/>
      <c r="XCH1356" s="1374"/>
      <c r="XCI1356" s="1374"/>
      <c r="XCJ1356" s="1374"/>
      <c r="XCK1356" s="1374"/>
      <c r="XCL1356" s="1374"/>
      <c r="XCM1356" s="1374"/>
      <c r="XCN1356" s="1374"/>
      <c r="XCO1356" s="1374"/>
      <c r="XCP1356" s="1374"/>
      <c r="XCQ1356" s="1374"/>
      <c r="XCR1356" s="1374"/>
      <c r="XCS1356" s="1374"/>
      <c r="XCT1356" s="1374"/>
      <c r="XCU1356" s="1374"/>
      <c r="XCV1356" s="1374"/>
      <c r="XCW1356" s="1374"/>
      <c r="XCX1356" s="1374"/>
      <c r="XCY1356" s="1374"/>
      <c r="XCZ1356" s="1374"/>
      <c r="XDA1356" s="1374"/>
      <c r="XDB1356" s="1374"/>
      <c r="XDC1356" s="1374"/>
      <c r="XDD1356" s="1374"/>
      <c r="XDE1356" s="1374"/>
      <c r="XDF1356" s="1374"/>
      <c r="XDG1356" s="1374"/>
      <c r="XDH1356" s="1374"/>
      <c r="XDI1356" s="1374"/>
      <c r="XDJ1356" s="1374"/>
      <c r="XDK1356" s="1374"/>
      <c r="XDL1356" s="1374"/>
      <c r="XDM1356" s="1374"/>
      <c r="XDN1356" s="1374"/>
      <c r="XDO1356" s="1374"/>
      <c r="XDP1356" s="1374"/>
      <c r="XDQ1356" s="1374"/>
      <c r="XDR1356" s="1374"/>
      <c r="XDS1356" s="1374"/>
      <c r="XDT1356" s="1374"/>
      <c r="XDU1356" s="1374"/>
      <c r="XDV1356" s="1374"/>
      <c r="XDW1356" s="1374"/>
      <c r="XDX1356" s="1374"/>
      <c r="XDY1356" s="1374"/>
      <c r="XDZ1356" s="1374"/>
      <c r="XEA1356" s="1374"/>
      <c r="XEB1356" s="1374"/>
      <c r="XEC1356" s="1374"/>
      <c r="XED1356" s="1374"/>
      <c r="XEE1356" s="1374"/>
      <c r="XEF1356" s="1374"/>
      <c r="XEG1356" s="1374"/>
      <c r="XEH1356" s="1374"/>
      <c r="XEI1356" s="1374"/>
      <c r="XEJ1356" s="1374"/>
      <c r="XEK1356" s="1374"/>
      <c r="XEL1356" s="1374"/>
      <c r="XEM1356" s="1374"/>
      <c r="XEN1356" s="1374"/>
      <c r="XEO1356" s="1374"/>
      <c r="XEP1356" s="1374"/>
      <c r="XEQ1356" s="1374"/>
      <c r="XER1356" s="1374"/>
      <c r="XES1356" s="1374"/>
      <c r="XET1356" s="1374"/>
      <c r="XEU1356" s="1374"/>
      <c r="XEV1356" s="1374"/>
      <c r="XEW1356" s="1374"/>
      <c r="XEX1356" s="1374"/>
      <c r="XEY1356" s="1374"/>
      <c r="XEZ1356" s="1374"/>
      <c r="XFA1356" s="1374"/>
      <c r="XFB1356" s="1374"/>
      <c r="XFC1356" s="1374"/>
      <c r="XFD1356" s="1374"/>
    </row>
    <row r="1357" s="1267" customFormat="1" ht="31" customHeight="1" spans="1:100 16239:16384">
      <c r="A1357" s="608">
        <v>46189</v>
      </c>
      <c r="B1357" s="609" t="s">
        <v>169</v>
      </c>
      <c r="C1357" s="610" t="s">
        <v>170</v>
      </c>
      <c r="D1357" s="554" t="s">
        <v>5291</v>
      </c>
      <c r="E1357" s="610" t="s">
        <v>5292</v>
      </c>
      <c r="F1357" s="554" t="s">
        <v>5293</v>
      </c>
      <c r="G1357" s="610" t="s">
        <v>5294</v>
      </c>
      <c r="H1357" s="610" t="s">
        <v>477</v>
      </c>
      <c r="I1357" s="715">
        <v>2700</v>
      </c>
      <c r="J1357" s="610">
        <v>0</v>
      </c>
      <c r="K1357" s="610">
        <v>2</v>
      </c>
      <c r="L1357" s="611">
        <f t="shared" si="413"/>
        <v>1350</v>
      </c>
      <c r="M1357" s="612">
        <v>46239</v>
      </c>
      <c r="N1357" s="612">
        <v>46235</v>
      </c>
      <c r="O1357" s="873" t="s">
        <v>5295</v>
      </c>
      <c r="P1357" s="610" t="s">
        <v>113</v>
      </c>
      <c r="Q1357" s="614"/>
      <c r="R1357" s="614">
        <v>46209</v>
      </c>
      <c r="S1357" s="614" t="s">
        <v>70</v>
      </c>
      <c r="T1357" s="614" t="s">
        <v>5296</v>
      </c>
      <c r="U1357" s="614"/>
      <c r="V1357" s="614"/>
      <c r="W1357" s="609" t="s">
        <v>5297</v>
      </c>
      <c r="X1357" s="609" t="s">
        <v>5298</v>
      </c>
      <c r="Y1357" s="616" t="s">
        <v>2071</v>
      </c>
      <c r="Z1357" s="625">
        <v>6.27</v>
      </c>
      <c r="AA1357" s="616">
        <f t="shared" si="427"/>
        <v>16929</v>
      </c>
      <c r="AB1357" s="609" t="s">
        <v>5299</v>
      </c>
      <c r="AC1357" s="617"/>
      <c r="AD1357" s="610" t="s">
        <v>5300</v>
      </c>
      <c r="AE1357" s="610" t="s">
        <v>82</v>
      </c>
      <c r="AF1357" s="610"/>
      <c r="AG1357" s="610"/>
      <c r="AH1357" s="610"/>
      <c r="AI1357" s="609"/>
      <c r="AJ1357" s="613">
        <f t="shared" si="424"/>
        <v>-2700</v>
      </c>
      <c r="AK1357" s="610"/>
      <c r="AL1357" s="610"/>
      <c r="AM1357" s="554"/>
      <c r="AN1357" s="554">
        <f t="shared" si="422"/>
        <v>2700</v>
      </c>
      <c r="AO1357" s="554"/>
      <c r="AP1357" s="554"/>
      <c r="AQ1357" s="554"/>
      <c r="AR1357" s="554"/>
      <c r="AS1357" s="554"/>
      <c r="AT1357" s="554">
        <f>I1357</f>
        <v>2700</v>
      </c>
      <c r="AU1357" s="554">
        <f t="shared" si="429"/>
        <v>2700</v>
      </c>
      <c r="AV1357" s="554"/>
      <c r="AW1357" s="554">
        <f t="shared" si="430"/>
        <v>2700</v>
      </c>
      <c r="AX1357" s="714"/>
      <c r="AY1357" s="554"/>
      <c r="AZ1357" s="554"/>
      <c r="BA1357" s="554"/>
      <c r="BB1357" s="554"/>
      <c r="BC1357" s="554"/>
      <c r="BD1357" s="554"/>
      <c r="BE1357" s="554"/>
      <c r="BF1357" s="554"/>
      <c r="BG1357" s="554"/>
      <c r="BH1357" s="554"/>
      <c r="BI1357" s="554"/>
      <c r="BJ1357" s="554"/>
      <c r="BK1357" s="554"/>
      <c r="BL1357" s="554"/>
      <c r="BM1357" s="554"/>
      <c r="BN1357" s="554">
        <f>I1357</f>
        <v>2700</v>
      </c>
      <c r="BO1357" s="554"/>
      <c r="BP1357" s="554"/>
      <c r="BQ1357" s="554"/>
      <c r="BR1357" s="554"/>
      <c r="BS1357" s="554"/>
      <c r="BT1357" s="554"/>
      <c r="BU1357" s="554"/>
      <c r="BV1357" s="554"/>
      <c r="BW1357" s="554"/>
      <c r="BX1357" s="554"/>
      <c r="BY1357" s="554"/>
      <c r="BZ1357" s="554"/>
      <c r="CA1357" s="554"/>
      <c r="CB1357" s="554"/>
      <c r="CC1357" s="554"/>
      <c r="CD1357" s="554"/>
      <c r="CE1357" s="554"/>
      <c r="CF1357" s="554"/>
      <c r="CG1357" s="554"/>
      <c r="CH1357" s="619"/>
      <c r="CI1357" s="619"/>
      <c r="CJ1357" s="619"/>
      <c r="CK1357" s="619"/>
      <c r="CL1357" s="619"/>
      <c r="CM1357" s="554"/>
      <c r="CN1357" s="554"/>
      <c r="CO1357" s="554"/>
      <c r="CP1357" s="619"/>
      <c r="CQ1357" s="619"/>
      <c r="CR1357" s="619"/>
      <c r="CS1357" s="619"/>
      <c r="CT1357" s="619"/>
      <c r="CU1357" s="619"/>
      <c r="WZO1357" s="1374"/>
      <c r="WZP1357" s="1374"/>
      <c r="WZQ1357" s="1374"/>
      <c r="WZR1357" s="1374"/>
      <c r="WZS1357" s="1374"/>
      <c r="WZT1357" s="1374"/>
      <c r="WZU1357" s="1374"/>
      <c r="WZV1357" s="1374"/>
      <c r="WZW1357" s="1374"/>
      <c r="WZX1357" s="1374"/>
      <c r="WZY1357" s="1374"/>
      <c r="WZZ1357" s="1374"/>
      <c r="XAA1357" s="1374"/>
      <c r="XAB1357" s="1374"/>
      <c r="XAC1357" s="1374"/>
      <c r="XAD1357" s="1374"/>
      <c r="XAE1357" s="1374"/>
      <c r="XAF1357" s="1374"/>
      <c r="XAG1357" s="1374"/>
      <c r="XAH1357" s="1374"/>
      <c r="XAI1357" s="1374"/>
      <c r="XAJ1357" s="1374"/>
      <c r="XAK1357" s="1374"/>
      <c r="XAL1357" s="1374"/>
      <c r="XAM1357" s="1374"/>
      <c r="XAN1357" s="1374"/>
      <c r="XAO1357" s="1374"/>
      <c r="XAP1357" s="1374"/>
      <c r="XAQ1357" s="1374"/>
      <c r="XAR1357" s="1374"/>
      <c r="XAS1357" s="1374"/>
      <c r="XAT1357" s="1374"/>
      <c r="XAU1357" s="1374"/>
      <c r="XAV1357" s="1374"/>
      <c r="XAW1357" s="1374"/>
      <c r="XAX1357" s="1374"/>
      <c r="XAY1357" s="1374"/>
      <c r="XAZ1357" s="1374"/>
      <c r="XBA1357" s="1374"/>
      <c r="XBB1357" s="1374"/>
      <c r="XBC1357" s="1374"/>
      <c r="XBD1357" s="1374"/>
      <c r="XBE1357" s="1374"/>
      <c r="XBF1357" s="1374"/>
      <c r="XBG1357" s="1374"/>
      <c r="XBH1357" s="1374"/>
      <c r="XBI1357" s="1374"/>
      <c r="XBJ1357" s="1374"/>
      <c r="XBK1357" s="1374"/>
      <c r="XBL1357" s="1374"/>
      <c r="XBM1357" s="1374"/>
      <c r="XBN1357" s="1374"/>
      <c r="XBO1357" s="1374"/>
      <c r="XBP1357" s="1374"/>
      <c r="XBQ1357" s="1374"/>
      <c r="XBR1357" s="1374"/>
      <c r="XBS1357" s="1374"/>
      <c r="XBT1357" s="1374"/>
      <c r="XBU1357" s="1374"/>
      <c r="XBV1357" s="1374"/>
      <c r="XBW1357" s="1374"/>
      <c r="XBX1357" s="1374"/>
      <c r="XBY1357" s="1374"/>
      <c r="XBZ1357" s="1374"/>
      <c r="XCA1357" s="1374"/>
      <c r="XCB1357" s="1374"/>
      <c r="XCC1357" s="1374"/>
      <c r="XCD1357" s="1374"/>
      <c r="XCE1357" s="1374"/>
      <c r="XCF1357" s="1374"/>
      <c r="XCG1357" s="1374"/>
      <c r="XCH1357" s="1374"/>
      <c r="XCI1357" s="1374"/>
      <c r="XCJ1357" s="1374"/>
      <c r="XCK1357" s="1374"/>
      <c r="XCL1357" s="1374"/>
      <c r="XCM1357" s="1374"/>
      <c r="XCN1357" s="1374"/>
      <c r="XCO1357" s="1374"/>
      <c r="XCP1357" s="1374"/>
      <c r="XCQ1357" s="1374"/>
      <c r="XCR1357" s="1374"/>
      <c r="XCS1357" s="1374"/>
      <c r="XCT1357" s="1374"/>
      <c r="XCU1357" s="1374"/>
      <c r="XCV1357" s="1374"/>
      <c r="XCW1357" s="1374"/>
      <c r="XCX1357" s="1374"/>
      <c r="XCY1357" s="1374"/>
      <c r="XCZ1357" s="1374"/>
      <c r="XDA1357" s="1374"/>
      <c r="XDB1357" s="1374"/>
      <c r="XDC1357" s="1374"/>
      <c r="XDD1357" s="1374"/>
      <c r="XDE1357" s="1374"/>
      <c r="XDF1357" s="1374"/>
      <c r="XDG1357" s="1374"/>
      <c r="XDH1357" s="1374"/>
      <c r="XDI1357" s="1374"/>
      <c r="XDJ1357" s="1374"/>
      <c r="XDK1357" s="1374"/>
      <c r="XDL1357" s="1374"/>
      <c r="XDM1357" s="1374"/>
      <c r="XDN1357" s="1374"/>
      <c r="XDO1357" s="1374"/>
      <c r="XDP1357" s="1374"/>
      <c r="XDQ1357" s="1374"/>
      <c r="XDR1357" s="1374"/>
      <c r="XDS1357" s="1374"/>
      <c r="XDT1357" s="1374"/>
      <c r="XDU1357" s="1374"/>
      <c r="XDV1357" s="1374"/>
      <c r="XDW1357" s="1374"/>
      <c r="XDX1357" s="1374"/>
      <c r="XDY1357" s="1374"/>
      <c r="XDZ1357" s="1374"/>
      <c r="XEA1357" s="1374"/>
      <c r="XEB1357" s="1374"/>
      <c r="XEC1357" s="1374"/>
      <c r="XED1357" s="1374"/>
      <c r="XEE1357" s="1374"/>
      <c r="XEF1357" s="1374"/>
      <c r="XEG1357" s="1374"/>
      <c r="XEH1357" s="1374"/>
      <c r="XEI1357" s="1374"/>
      <c r="XEJ1357" s="1374"/>
      <c r="XEK1357" s="1374"/>
      <c r="XEL1357" s="1374"/>
      <c r="XEM1357" s="1374"/>
      <c r="XEN1357" s="1374"/>
      <c r="XEO1357" s="1374"/>
      <c r="XEP1357" s="1374"/>
      <c r="XEQ1357" s="1374"/>
      <c r="XER1357" s="1374"/>
      <c r="XES1357" s="1374"/>
      <c r="XET1357" s="1374"/>
      <c r="XEU1357" s="1374"/>
      <c r="XEV1357" s="1374"/>
      <c r="XEW1357" s="1374"/>
      <c r="XEX1357" s="1374"/>
      <c r="XEY1357" s="1374"/>
      <c r="XEZ1357" s="1374"/>
      <c r="XFA1357" s="1374"/>
      <c r="XFB1357" s="1374"/>
      <c r="XFC1357" s="1374"/>
      <c r="XFD1357" s="1374"/>
    </row>
    <row r="1358" s="1267" customFormat="1" ht="31" customHeight="1" spans="1:100 16239:16384">
      <c r="A1358" s="608">
        <v>46182</v>
      </c>
      <c r="B1358" s="609" t="s">
        <v>5301</v>
      </c>
      <c r="C1358" s="610" t="s">
        <v>411</v>
      </c>
      <c r="D1358" s="554" t="s">
        <v>5302</v>
      </c>
      <c r="E1358" s="610"/>
      <c r="F1358" s="554" t="s">
        <v>5303</v>
      </c>
      <c r="G1358" s="610" t="s">
        <v>101</v>
      </c>
      <c r="H1358" s="610" t="s">
        <v>102</v>
      </c>
      <c r="I1358" s="715">
        <v>400</v>
      </c>
      <c r="J1358" s="610">
        <v>0</v>
      </c>
      <c r="K1358" s="610">
        <v>4</v>
      </c>
      <c r="L1358" s="611">
        <f t="shared" si="413"/>
        <v>100</v>
      </c>
      <c r="M1358" s="612">
        <v>46241</v>
      </c>
      <c r="N1358" s="612">
        <v>46237</v>
      </c>
      <c r="O1358" s="613"/>
      <c r="P1358" s="610" t="s">
        <v>113</v>
      </c>
      <c r="Q1358" s="614"/>
      <c r="R1358" s="614">
        <v>46182</v>
      </c>
      <c r="S1358" s="614" t="s">
        <v>70</v>
      </c>
      <c r="T1358" s="614" t="s">
        <v>5304</v>
      </c>
      <c r="U1358" s="614"/>
      <c r="V1358" s="730" t="s">
        <v>5305</v>
      </c>
      <c r="W1358" s="609" t="s">
        <v>5306</v>
      </c>
      <c r="X1358" s="609" t="s">
        <v>5307</v>
      </c>
      <c r="Y1358" s="616" t="s">
        <v>415</v>
      </c>
      <c r="Z1358" s="625">
        <v>4.5181</v>
      </c>
      <c r="AA1358" s="616">
        <f t="shared" si="427"/>
        <v>1807.24</v>
      </c>
      <c r="AB1358" s="609"/>
      <c r="AC1358" s="617"/>
      <c r="AD1358" s="610" t="s">
        <v>156</v>
      </c>
      <c r="AE1358" s="610" t="s">
        <v>82</v>
      </c>
      <c r="AF1358" s="610"/>
      <c r="AG1358" s="610"/>
      <c r="AH1358" s="610"/>
      <c r="AI1358" s="609">
        <v>400</v>
      </c>
      <c r="AJ1358" s="613">
        <f t="shared" si="424"/>
        <v>0</v>
      </c>
      <c r="AK1358" s="610"/>
      <c r="AL1358" s="610" t="s">
        <v>2368</v>
      </c>
      <c r="AM1358" s="554"/>
      <c r="AN1358" s="554">
        <f t="shared" si="422"/>
        <v>400</v>
      </c>
      <c r="AO1358" s="554"/>
      <c r="AP1358" s="554"/>
      <c r="AQ1358" s="554"/>
      <c r="AR1358" s="554"/>
      <c r="AS1358" s="554">
        <f>I1358</f>
        <v>400</v>
      </c>
      <c r="AT1358" s="554"/>
      <c r="AU1358" s="554">
        <f t="shared" si="429"/>
        <v>400</v>
      </c>
      <c r="AV1358" s="554"/>
      <c r="AW1358" s="554">
        <f t="shared" si="430"/>
        <v>400</v>
      </c>
      <c r="AX1358" s="714"/>
      <c r="AY1358" s="554"/>
      <c r="AZ1358" s="554"/>
      <c r="BA1358" s="554"/>
      <c r="BB1358" s="554"/>
      <c r="BC1358" s="554"/>
      <c r="BD1358" s="554"/>
      <c r="BE1358" s="554"/>
      <c r="BF1358" s="554"/>
      <c r="BG1358" s="554"/>
      <c r="BH1358" s="554"/>
      <c r="BI1358" s="554">
        <f>I1358/4</f>
        <v>100</v>
      </c>
      <c r="BJ1358" s="554"/>
      <c r="BK1358" s="554"/>
      <c r="BL1358" s="554"/>
      <c r="BM1358" s="554"/>
      <c r="BN1358" s="554"/>
      <c r="BO1358" s="554"/>
      <c r="BP1358" s="554"/>
      <c r="BQ1358" s="554"/>
      <c r="BR1358" s="554"/>
      <c r="BS1358" s="554"/>
      <c r="BT1358" s="554"/>
      <c r="BU1358" s="554"/>
      <c r="BV1358" s="554"/>
      <c r="BW1358" s="554"/>
      <c r="BX1358" s="554"/>
      <c r="BY1358" s="554"/>
      <c r="BZ1358" s="554"/>
      <c r="CA1358" s="554"/>
      <c r="CB1358" s="554"/>
      <c r="CC1358" s="554"/>
      <c r="CD1358" s="554"/>
      <c r="CE1358" s="554"/>
      <c r="CF1358" s="554"/>
      <c r="CG1358" s="554"/>
      <c r="CH1358" s="619"/>
      <c r="CI1358" s="619"/>
      <c r="CJ1358" s="619"/>
      <c r="CK1358" s="619"/>
      <c r="CL1358" s="619"/>
      <c r="CM1358" s="554"/>
      <c r="CN1358" s="554"/>
      <c r="CO1358" s="554"/>
      <c r="CP1358" s="619"/>
      <c r="CQ1358" s="619"/>
      <c r="CR1358" s="619"/>
      <c r="CS1358" s="619"/>
      <c r="CT1358" s="619"/>
      <c r="CU1358" s="619"/>
      <c r="WZO1358" s="1374"/>
      <c r="WZP1358" s="1374"/>
      <c r="WZQ1358" s="1374"/>
      <c r="WZR1358" s="1374"/>
      <c r="WZS1358" s="1374"/>
      <c r="WZT1358" s="1374"/>
      <c r="WZU1358" s="1374"/>
      <c r="WZV1358" s="1374"/>
      <c r="WZW1358" s="1374"/>
      <c r="WZX1358" s="1374"/>
      <c r="WZY1358" s="1374"/>
      <c r="WZZ1358" s="1374"/>
      <c r="XAA1358" s="1374"/>
      <c r="XAB1358" s="1374"/>
      <c r="XAC1358" s="1374"/>
      <c r="XAD1358" s="1374"/>
      <c r="XAE1358" s="1374"/>
      <c r="XAF1358" s="1374"/>
      <c r="XAG1358" s="1374"/>
      <c r="XAH1358" s="1374"/>
      <c r="XAI1358" s="1374"/>
      <c r="XAJ1358" s="1374"/>
      <c r="XAK1358" s="1374"/>
      <c r="XAL1358" s="1374"/>
      <c r="XAM1358" s="1374"/>
      <c r="XAN1358" s="1374"/>
      <c r="XAO1358" s="1374"/>
      <c r="XAP1358" s="1374"/>
      <c r="XAQ1358" s="1374"/>
      <c r="XAR1358" s="1374"/>
      <c r="XAS1358" s="1374"/>
      <c r="XAT1358" s="1374"/>
      <c r="XAU1358" s="1374"/>
      <c r="XAV1358" s="1374"/>
      <c r="XAW1358" s="1374"/>
      <c r="XAX1358" s="1374"/>
      <c r="XAY1358" s="1374"/>
      <c r="XAZ1358" s="1374"/>
      <c r="XBA1358" s="1374"/>
      <c r="XBB1358" s="1374"/>
      <c r="XBC1358" s="1374"/>
      <c r="XBD1358" s="1374"/>
      <c r="XBE1358" s="1374"/>
      <c r="XBF1358" s="1374"/>
      <c r="XBG1358" s="1374"/>
      <c r="XBH1358" s="1374"/>
      <c r="XBI1358" s="1374"/>
      <c r="XBJ1358" s="1374"/>
      <c r="XBK1358" s="1374"/>
      <c r="XBL1358" s="1374"/>
      <c r="XBM1358" s="1374"/>
      <c r="XBN1358" s="1374"/>
      <c r="XBO1358" s="1374"/>
      <c r="XBP1358" s="1374"/>
      <c r="XBQ1358" s="1374"/>
      <c r="XBR1358" s="1374"/>
      <c r="XBS1358" s="1374"/>
      <c r="XBT1358" s="1374"/>
      <c r="XBU1358" s="1374"/>
      <c r="XBV1358" s="1374"/>
      <c r="XBW1358" s="1374"/>
      <c r="XBX1358" s="1374"/>
      <c r="XBY1358" s="1374"/>
      <c r="XBZ1358" s="1374"/>
      <c r="XCA1358" s="1374"/>
      <c r="XCB1358" s="1374"/>
      <c r="XCC1358" s="1374"/>
      <c r="XCD1358" s="1374"/>
      <c r="XCE1358" s="1374"/>
      <c r="XCF1358" s="1374"/>
      <c r="XCG1358" s="1374"/>
      <c r="XCH1358" s="1374"/>
      <c r="XCI1358" s="1374"/>
      <c r="XCJ1358" s="1374"/>
      <c r="XCK1358" s="1374"/>
      <c r="XCL1358" s="1374"/>
      <c r="XCM1358" s="1374"/>
      <c r="XCN1358" s="1374"/>
      <c r="XCO1358" s="1374"/>
      <c r="XCP1358" s="1374"/>
      <c r="XCQ1358" s="1374"/>
      <c r="XCR1358" s="1374"/>
      <c r="XCS1358" s="1374"/>
      <c r="XCT1358" s="1374"/>
      <c r="XCU1358" s="1374"/>
      <c r="XCV1358" s="1374"/>
      <c r="XCW1358" s="1374"/>
      <c r="XCX1358" s="1374"/>
      <c r="XCY1358" s="1374"/>
      <c r="XCZ1358" s="1374"/>
      <c r="XDA1358" s="1374"/>
      <c r="XDB1358" s="1374"/>
      <c r="XDC1358" s="1374"/>
      <c r="XDD1358" s="1374"/>
      <c r="XDE1358" s="1374"/>
      <c r="XDF1358" s="1374"/>
      <c r="XDG1358" s="1374"/>
      <c r="XDH1358" s="1374"/>
      <c r="XDI1358" s="1374"/>
      <c r="XDJ1358" s="1374"/>
      <c r="XDK1358" s="1374"/>
      <c r="XDL1358" s="1374"/>
      <c r="XDM1358" s="1374"/>
      <c r="XDN1358" s="1374"/>
      <c r="XDO1358" s="1374"/>
      <c r="XDP1358" s="1374"/>
      <c r="XDQ1358" s="1374"/>
      <c r="XDR1358" s="1374"/>
      <c r="XDS1358" s="1374"/>
      <c r="XDT1358" s="1374"/>
      <c r="XDU1358" s="1374"/>
      <c r="XDV1358" s="1374"/>
      <c r="XDW1358" s="1374"/>
      <c r="XDX1358" s="1374"/>
      <c r="XDY1358" s="1374"/>
      <c r="XDZ1358" s="1374"/>
      <c r="XEA1358" s="1374"/>
      <c r="XEB1358" s="1374"/>
      <c r="XEC1358" s="1374"/>
      <c r="XED1358" s="1374"/>
      <c r="XEE1358" s="1374"/>
      <c r="XEF1358" s="1374"/>
      <c r="XEG1358" s="1374"/>
      <c r="XEH1358" s="1374"/>
      <c r="XEI1358" s="1374"/>
      <c r="XEJ1358" s="1374"/>
      <c r="XEK1358" s="1374"/>
      <c r="XEL1358" s="1374"/>
      <c r="XEM1358" s="1374"/>
      <c r="XEN1358" s="1374"/>
      <c r="XEO1358" s="1374"/>
      <c r="XEP1358" s="1374"/>
      <c r="XEQ1358" s="1374"/>
      <c r="XER1358" s="1374"/>
      <c r="XES1358" s="1374"/>
      <c r="XET1358" s="1374"/>
      <c r="XEU1358" s="1374"/>
      <c r="XEV1358" s="1374"/>
      <c r="XEW1358" s="1374"/>
      <c r="XEX1358" s="1374"/>
      <c r="XEY1358" s="1374"/>
      <c r="XEZ1358" s="1374"/>
      <c r="XFA1358" s="1374"/>
      <c r="XFB1358" s="1374"/>
      <c r="XFC1358" s="1374"/>
      <c r="XFD1358" s="1374"/>
    </row>
    <row r="1359" s="1267" customFormat="1" ht="31" customHeight="1" spans="1:100 16239:16384">
      <c r="A1359" s="608">
        <v>46203</v>
      </c>
      <c r="B1359" s="609" t="s">
        <v>3996</v>
      </c>
      <c r="C1359" s="610" t="s">
        <v>278</v>
      </c>
      <c r="D1359" s="554" t="s">
        <v>5308</v>
      </c>
      <c r="E1359" s="610" t="s">
        <v>5309</v>
      </c>
      <c r="F1359" s="554" t="s">
        <v>5310</v>
      </c>
      <c r="G1359" s="610" t="s">
        <v>518</v>
      </c>
      <c r="H1359" s="610" t="s">
        <v>477</v>
      </c>
      <c r="I1359" s="715">
        <v>6000</v>
      </c>
      <c r="J1359" s="610">
        <v>0</v>
      </c>
      <c r="K1359" s="610">
        <v>6</v>
      </c>
      <c r="L1359" s="611">
        <f t="shared" si="413"/>
        <v>1000</v>
      </c>
      <c r="M1359" s="612">
        <v>46241</v>
      </c>
      <c r="N1359" s="724">
        <v>46237</v>
      </c>
      <c r="O1359" s="613"/>
      <c r="P1359" s="610" t="s">
        <v>113</v>
      </c>
      <c r="Q1359" s="614"/>
      <c r="R1359" s="614">
        <v>46203</v>
      </c>
      <c r="S1359" s="614" t="s">
        <v>70</v>
      </c>
      <c r="T1359" s="614" t="s">
        <v>5311</v>
      </c>
      <c r="U1359" s="614" t="s">
        <v>5312</v>
      </c>
      <c r="V1359" s="614" t="s">
        <v>5313</v>
      </c>
      <c r="W1359" s="609" t="s">
        <v>5314</v>
      </c>
      <c r="X1359" s="609" t="s">
        <v>5315</v>
      </c>
      <c r="Y1359" s="616" t="s">
        <v>2199</v>
      </c>
      <c r="Z1359" s="625">
        <v>6.9324</v>
      </c>
      <c r="AA1359" s="616">
        <f t="shared" si="427"/>
        <v>41594.4</v>
      </c>
      <c r="AB1359" s="554"/>
      <c r="AC1359" s="617"/>
      <c r="AD1359" s="610" t="s">
        <v>480</v>
      </c>
      <c r="AE1359" s="610" t="s">
        <v>82</v>
      </c>
      <c r="AF1359" s="610"/>
      <c r="AG1359" s="610"/>
      <c r="AH1359" s="610"/>
      <c r="AI1359" s="609"/>
      <c r="AJ1359" s="610">
        <f t="shared" si="424"/>
        <v>-6000</v>
      </c>
      <c r="AK1359" s="610"/>
      <c r="AL1359" s="610"/>
      <c r="AM1359" s="554"/>
      <c r="AN1359" s="554">
        <f t="shared" si="422"/>
        <v>6000</v>
      </c>
      <c r="AO1359" s="554"/>
      <c r="AP1359" s="554"/>
      <c r="AQ1359" s="554"/>
      <c r="AR1359" s="554"/>
      <c r="AS1359" s="554">
        <f>I1359</f>
        <v>6000</v>
      </c>
      <c r="AT1359" s="554"/>
      <c r="AU1359" s="554">
        <f t="shared" si="429"/>
        <v>6000</v>
      </c>
      <c r="AV1359" s="554"/>
      <c r="AW1359" s="554">
        <f t="shared" si="430"/>
        <v>6000</v>
      </c>
      <c r="AX1359" s="714"/>
      <c r="AY1359" s="554"/>
      <c r="AZ1359" s="554"/>
      <c r="BA1359" s="554"/>
      <c r="BB1359" s="554"/>
      <c r="BC1359" s="554"/>
      <c r="BD1359" s="554"/>
      <c r="BE1359" s="554"/>
      <c r="BF1359" s="554"/>
      <c r="BG1359" s="554"/>
      <c r="BH1359" s="554"/>
      <c r="BI1359" s="554"/>
      <c r="BJ1359" s="554"/>
      <c r="BK1359" s="554"/>
      <c r="BL1359" s="554"/>
      <c r="BM1359" s="554"/>
      <c r="BN1359" s="554">
        <f>I1359</f>
        <v>6000</v>
      </c>
      <c r="BO1359" s="554"/>
      <c r="BP1359" s="554"/>
      <c r="BQ1359" s="554"/>
      <c r="BR1359" s="554"/>
      <c r="BS1359" s="554"/>
      <c r="BT1359" s="554"/>
      <c r="BU1359" s="554"/>
      <c r="BV1359" s="554"/>
      <c r="BW1359" s="554"/>
      <c r="BX1359" s="554"/>
      <c r="BY1359" s="554"/>
      <c r="BZ1359" s="554"/>
      <c r="CA1359" s="554"/>
      <c r="CB1359" s="554"/>
      <c r="CC1359" s="554"/>
      <c r="CD1359" s="554"/>
      <c r="CE1359" s="554"/>
      <c r="CF1359" s="554"/>
      <c r="CG1359" s="554"/>
      <c r="CH1359" s="619"/>
      <c r="CI1359" s="619"/>
      <c r="CJ1359" s="619"/>
      <c r="CK1359" s="619"/>
      <c r="CL1359" s="619"/>
      <c r="CM1359" s="554"/>
      <c r="CN1359" s="554"/>
      <c r="CO1359" s="554"/>
      <c r="CP1359" s="619"/>
      <c r="CQ1359" s="619"/>
      <c r="CR1359" s="619"/>
      <c r="CS1359" s="619"/>
      <c r="CT1359" s="619"/>
      <c r="CU1359" s="619"/>
      <c r="WZO1359" s="1374"/>
      <c r="WZP1359" s="1374"/>
      <c r="WZQ1359" s="1374"/>
      <c r="WZR1359" s="1374"/>
      <c r="WZS1359" s="1374"/>
      <c r="WZT1359" s="1374"/>
      <c r="WZU1359" s="1374"/>
      <c r="WZV1359" s="1374"/>
      <c r="WZW1359" s="1374"/>
      <c r="WZX1359" s="1374"/>
      <c r="WZY1359" s="1374"/>
      <c r="WZZ1359" s="1374"/>
      <c r="XAA1359" s="1374"/>
      <c r="XAB1359" s="1374"/>
      <c r="XAC1359" s="1374"/>
      <c r="XAD1359" s="1374"/>
      <c r="XAE1359" s="1374"/>
      <c r="XAF1359" s="1374"/>
      <c r="XAG1359" s="1374"/>
      <c r="XAH1359" s="1374"/>
      <c r="XAI1359" s="1374"/>
      <c r="XAJ1359" s="1374"/>
      <c r="XAK1359" s="1374"/>
      <c r="XAL1359" s="1374"/>
      <c r="XAM1359" s="1374"/>
      <c r="XAN1359" s="1374"/>
      <c r="XAO1359" s="1374"/>
      <c r="XAP1359" s="1374"/>
      <c r="XAQ1359" s="1374"/>
      <c r="XAR1359" s="1374"/>
      <c r="XAS1359" s="1374"/>
      <c r="XAT1359" s="1374"/>
      <c r="XAU1359" s="1374"/>
      <c r="XAV1359" s="1374"/>
      <c r="XAW1359" s="1374"/>
      <c r="XAX1359" s="1374"/>
      <c r="XAY1359" s="1374"/>
      <c r="XAZ1359" s="1374"/>
      <c r="XBA1359" s="1374"/>
      <c r="XBB1359" s="1374"/>
      <c r="XBC1359" s="1374"/>
      <c r="XBD1359" s="1374"/>
      <c r="XBE1359" s="1374"/>
      <c r="XBF1359" s="1374"/>
      <c r="XBG1359" s="1374"/>
      <c r="XBH1359" s="1374"/>
      <c r="XBI1359" s="1374"/>
      <c r="XBJ1359" s="1374"/>
      <c r="XBK1359" s="1374"/>
      <c r="XBL1359" s="1374"/>
      <c r="XBM1359" s="1374"/>
      <c r="XBN1359" s="1374"/>
      <c r="XBO1359" s="1374"/>
      <c r="XBP1359" s="1374"/>
      <c r="XBQ1359" s="1374"/>
      <c r="XBR1359" s="1374"/>
      <c r="XBS1359" s="1374"/>
      <c r="XBT1359" s="1374"/>
      <c r="XBU1359" s="1374"/>
      <c r="XBV1359" s="1374"/>
      <c r="XBW1359" s="1374"/>
      <c r="XBX1359" s="1374"/>
      <c r="XBY1359" s="1374"/>
      <c r="XBZ1359" s="1374"/>
      <c r="XCA1359" s="1374"/>
      <c r="XCB1359" s="1374"/>
      <c r="XCC1359" s="1374"/>
      <c r="XCD1359" s="1374"/>
      <c r="XCE1359" s="1374"/>
      <c r="XCF1359" s="1374"/>
      <c r="XCG1359" s="1374"/>
      <c r="XCH1359" s="1374"/>
      <c r="XCI1359" s="1374"/>
      <c r="XCJ1359" s="1374"/>
      <c r="XCK1359" s="1374"/>
      <c r="XCL1359" s="1374"/>
      <c r="XCM1359" s="1374"/>
      <c r="XCN1359" s="1374"/>
      <c r="XCO1359" s="1374"/>
      <c r="XCP1359" s="1374"/>
      <c r="XCQ1359" s="1374"/>
      <c r="XCR1359" s="1374"/>
      <c r="XCS1359" s="1374"/>
      <c r="XCT1359" s="1374"/>
      <c r="XCU1359" s="1374"/>
      <c r="XCV1359" s="1374"/>
      <c r="XCW1359" s="1374"/>
      <c r="XCX1359" s="1374"/>
      <c r="XCY1359" s="1374"/>
      <c r="XCZ1359" s="1374"/>
      <c r="XDA1359" s="1374"/>
      <c r="XDB1359" s="1374"/>
      <c r="XDC1359" s="1374"/>
      <c r="XDD1359" s="1374"/>
      <c r="XDE1359" s="1374"/>
      <c r="XDF1359" s="1374"/>
      <c r="XDG1359" s="1374"/>
      <c r="XDH1359" s="1374"/>
      <c r="XDI1359" s="1374"/>
      <c r="XDJ1359" s="1374"/>
      <c r="XDK1359" s="1374"/>
      <c r="XDL1359" s="1374"/>
      <c r="XDM1359" s="1374"/>
      <c r="XDN1359" s="1374"/>
      <c r="XDO1359" s="1374"/>
      <c r="XDP1359" s="1374"/>
      <c r="XDQ1359" s="1374"/>
      <c r="XDR1359" s="1374"/>
      <c r="XDS1359" s="1374"/>
      <c r="XDT1359" s="1374"/>
      <c r="XDU1359" s="1374"/>
      <c r="XDV1359" s="1374"/>
      <c r="XDW1359" s="1374"/>
      <c r="XDX1359" s="1374"/>
      <c r="XDY1359" s="1374"/>
      <c r="XDZ1359" s="1374"/>
      <c r="XEA1359" s="1374"/>
      <c r="XEB1359" s="1374"/>
      <c r="XEC1359" s="1374"/>
      <c r="XED1359" s="1374"/>
      <c r="XEE1359" s="1374"/>
      <c r="XEF1359" s="1374"/>
      <c r="XEG1359" s="1374"/>
      <c r="XEH1359" s="1374"/>
      <c r="XEI1359" s="1374"/>
      <c r="XEJ1359" s="1374"/>
      <c r="XEK1359" s="1374"/>
      <c r="XEL1359" s="1374"/>
      <c r="XEM1359" s="1374"/>
      <c r="XEN1359" s="1374"/>
      <c r="XEO1359" s="1374"/>
      <c r="XEP1359" s="1374"/>
      <c r="XEQ1359" s="1374"/>
      <c r="XER1359" s="1374"/>
      <c r="XES1359" s="1374"/>
      <c r="XET1359" s="1374"/>
      <c r="XEU1359" s="1374"/>
      <c r="XEV1359" s="1374"/>
      <c r="XEW1359" s="1374"/>
      <c r="XEX1359" s="1374"/>
      <c r="XEY1359" s="1374"/>
      <c r="XEZ1359" s="1374"/>
      <c r="XFA1359" s="1374"/>
      <c r="XFB1359" s="1374"/>
      <c r="XFC1359" s="1374"/>
      <c r="XFD1359" s="1374"/>
    </row>
    <row r="1360" s="1267" customFormat="1" ht="31" customHeight="1" spans="1:100 16239:16384">
      <c r="A1360" s="608">
        <v>46169</v>
      </c>
      <c r="B1360" s="609" t="s">
        <v>2734</v>
      </c>
      <c r="C1360" s="610" t="s">
        <v>98</v>
      </c>
      <c r="D1360" s="554" t="s">
        <v>5316</v>
      </c>
      <c r="E1360" s="610" t="s">
        <v>5317</v>
      </c>
      <c r="F1360" s="554" t="s">
        <v>5318</v>
      </c>
      <c r="G1360" s="610" t="s">
        <v>2736</v>
      </c>
      <c r="H1360" s="610" t="s">
        <v>2737</v>
      </c>
      <c r="I1360" s="715">
        <v>5400</v>
      </c>
      <c r="J1360" s="610">
        <v>0</v>
      </c>
      <c r="K1360" s="610">
        <v>8</v>
      </c>
      <c r="L1360" s="611">
        <f t="shared" si="413"/>
        <v>675</v>
      </c>
      <c r="M1360" s="612">
        <v>46241</v>
      </c>
      <c r="N1360" s="612">
        <v>46237</v>
      </c>
      <c r="O1360" s="613"/>
      <c r="P1360" s="610" t="s">
        <v>113</v>
      </c>
      <c r="Q1360" s="614"/>
      <c r="R1360" s="614">
        <v>46169</v>
      </c>
      <c r="S1360" s="614" t="s">
        <v>70</v>
      </c>
      <c r="T1360" s="614" t="s">
        <v>5230</v>
      </c>
      <c r="U1360" s="614"/>
      <c r="V1360" s="614"/>
      <c r="W1360" s="609"/>
      <c r="X1360" s="609" t="s">
        <v>5319</v>
      </c>
      <c r="Y1360" s="616" t="s">
        <v>1318</v>
      </c>
      <c r="Z1360" s="625">
        <v>4.0382</v>
      </c>
      <c r="AA1360" s="616">
        <f t="shared" si="427"/>
        <v>21806.28</v>
      </c>
      <c r="AB1360" s="554"/>
      <c r="AC1360" s="617"/>
      <c r="AD1360" s="610" t="s">
        <v>2741</v>
      </c>
      <c r="AE1360" s="610" t="s">
        <v>82</v>
      </c>
      <c r="AF1360" s="610"/>
      <c r="AG1360" s="610"/>
      <c r="AH1360" s="610"/>
      <c r="AI1360" s="609"/>
      <c r="AJ1360" s="613">
        <f t="shared" si="424"/>
        <v>-5400</v>
      </c>
      <c r="AK1360" s="610"/>
      <c r="AL1360" s="610"/>
      <c r="AM1360" s="554"/>
      <c r="AN1360" s="554">
        <f t="shared" si="422"/>
        <v>5400</v>
      </c>
      <c r="AO1360" s="554"/>
      <c r="AP1360" s="554"/>
      <c r="AQ1360" s="554"/>
      <c r="AR1360" s="554">
        <f>I1360</f>
        <v>5400</v>
      </c>
      <c r="AS1360" s="554"/>
      <c r="AT1360" s="554"/>
      <c r="AU1360" s="554">
        <f t="shared" si="429"/>
        <v>5400</v>
      </c>
      <c r="AV1360" s="554"/>
      <c r="AW1360" s="554">
        <f t="shared" si="430"/>
        <v>5400</v>
      </c>
      <c r="AX1360" s="714"/>
      <c r="AY1360" s="554"/>
      <c r="AZ1360" s="554"/>
      <c r="BA1360" s="554"/>
      <c r="BB1360" s="554"/>
      <c r="BC1360" s="554"/>
      <c r="BD1360" s="554"/>
      <c r="BE1360" s="554"/>
      <c r="BF1360" s="554"/>
      <c r="BG1360" s="554"/>
      <c r="BH1360" s="554"/>
      <c r="BI1360" s="554"/>
      <c r="BJ1360" s="554"/>
      <c r="BK1360" s="554"/>
      <c r="BL1360" s="554"/>
      <c r="BM1360" s="554"/>
      <c r="BN1360" s="554">
        <f>I1360</f>
        <v>5400</v>
      </c>
      <c r="BO1360" s="554"/>
      <c r="BP1360" s="554"/>
      <c r="BQ1360" s="554"/>
      <c r="BR1360" s="554"/>
      <c r="BS1360" s="554"/>
      <c r="BT1360" s="554"/>
      <c r="BU1360" s="554"/>
      <c r="BV1360" s="554"/>
      <c r="BW1360" s="554"/>
      <c r="BX1360" s="554"/>
      <c r="BY1360" s="554"/>
      <c r="BZ1360" s="554"/>
      <c r="CA1360" s="554"/>
      <c r="CB1360" s="554"/>
      <c r="CC1360" s="554"/>
      <c r="CD1360" s="554"/>
      <c r="CE1360" s="554"/>
      <c r="CF1360" s="554"/>
      <c r="CG1360" s="554"/>
      <c r="CH1360" s="619"/>
      <c r="CI1360" s="619"/>
      <c r="CJ1360" s="619"/>
      <c r="CK1360" s="619"/>
      <c r="CL1360" s="619"/>
      <c r="CM1360" s="554"/>
      <c r="CN1360" s="554"/>
      <c r="CO1360" s="554"/>
      <c r="CP1360" s="619"/>
      <c r="CQ1360" s="619"/>
      <c r="CR1360" s="619"/>
      <c r="CS1360" s="619"/>
      <c r="CT1360" s="619"/>
      <c r="CU1360" s="619"/>
      <c r="CV1360" s="1267"/>
      <c r="WZO1360" s="1374"/>
      <c r="WZP1360" s="1374"/>
      <c r="WZQ1360" s="1374"/>
      <c r="WZR1360" s="1374"/>
      <c r="WZS1360" s="1374"/>
      <c r="WZT1360" s="1374"/>
      <c r="WZU1360" s="1374"/>
      <c r="WZV1360" s="1374"/>
      <c r="WZW1360" s="1374"/>
      <c r="WZX1360" s="1374"/>
      <c r="WZY1360" s="1374"/>
      <c r="WZZ1360" s="1374"/>
      <c r="XAA1360" s="1374"/>
      <c r="XAB1360" s="1374"/>
      <c r="XAC1360" s="1374"/>
      <c r="XAD1360" s="1374"/>
      <c r="XAE1360" s="1374"/>
      <c r="XAF1360" s="1374"/>
      <c r="XAG1360" s="1374"/>
      <c r="XAH1360" s="1374"/>
      <c r="XAI1360" s="1374"/>
      <c r="XAJ1360" s="1374"/>
      <c r="XAK1360" s="1374"/>
      <c r="XAL1360" s="1374"/>
      <c r="XAM1360" s="1374"/>
      <c r="XAN1360" s="1374"/>
      <c r="XAO1360" s="1374"/>
      <c r="XAP1360" s="1374"/>
      <c r="XAQ1360" s="1374"/>
      <c r="XAR1360" s="1374"/>
      <c r="XAS1360" s="1374"/>
      <c r="XAT1360" s="1374"/>
      <c r="XAU1360" s="1374"/>
      <c r="XAV1360" s="1374"/>
      <c r="XAW1360" s="1374"/>
      <c r="XAX1360" s="1374"/>
      <c r="XAY1360" s="1374"/>
      <c r="XAZ1360" s="1374"/>
      <c r="XBA1360" s="1374"/>
      <c r="XBB1360" s="1374"/>
      <c r="XBC1360" s="1374"/>
      <c r="XBD1360" s="1374"/>
      <c r="XBE1360" s="1374"/>
      <c r="XBF1360" s="1374"/>
      <c r="XBG1360" s="1374"/>
      <c r="XBH1360" s="1374"/>
      <c r="XBI1360" s="1374"/>
      <c r="XBJ1360" s="1374"/>
      <c r="XBK1360" s="1374"/>
      <c r="XBL1360" s="1374"/>
      <c r="XBM1360" s="1374"/>
      <c r="XBN1360" s="1374"/>
      <c r="XBO1360" s="1374"/>
      <c r="XBP1360" s="1374"/>
      <c r="XBQ1360" s="1374"/>
      <c r="XBR1360" s="1374"/>
      <c r="XBS1360" s="1374"/>
      <c r="XBT1360" s="1374"/>
      <c r="XBU1360" s="1374"/>
      <c r="XBV1360" s="1374"/>
      <c r="XBW1360" s="1374"/>
      <c r="XBX1360" s="1374"/>
      <c r="XBY1360" s="1374"/>
      <c r="XBZ1360" s="1374"/>
      <c r="XCA1360" s="1374"/>
      <c r="XCB1360" s="1374"/>
      <c r="XCC1360" s="1374"/>
      <c r="XCD1360" s="1374"/>
      <c r="XCE1360" s="1374"/>
      <c r="XCF1360" s="1374"/>
      <c r="XCG1360" s="1374"/>
      <c r="XCH1360" s="1374"/>
      <c r="XCI1360" s="1374"/>
      <c r="XCJ1360" s="1374"/>
      <c r="XCK1360" s="1374"/>
      <c r="XCL1360" s="1374"/>
      <c r="XCM1360" s="1374"/>
      <c r="XCN1360" s="1374"/>
      <c r="XCO1360" s="1374"/>
      <c r="XCP1360" s="1374"/>
      <c r="XCQ1360" s="1374"/>
      <c r="XCR1360" s="1374"/>
      <c r="XCS1360" s="1374"/>
      <c r="XCT1360" s="1374"/>
      <c r="XCU1360" s="1374"/>
      <c r="XCV1360" s="1374"/>
      <c r="XCW1360" s="1374"/>
      <c r="XCX1360" s="1374"/>
      <c r="XCY1360" s="1374"/>
      <c r="XCZ1360" s="1374"/>
      <c r="XDA1360" s="1374"/>
      <c r="XDB1360" s="1374"/>
      <c r="XDC1360" s="1374"/>
      <c r="XDD1360" s="1374"/>
      <c r="XDE1360" s="1374"/>
      <c r="XDF1360" s="1374"/>
      <c r="XDG1360" s="1374"/>
      <c r="XDH1360" s="1374"/>
      <c r="XDI1360" s="1374"/>
      <c r="XDJ1360" s="1374"/>
      <c r="XDK1360" s="1374"/>
      <c r="XDL1360" s="1374"/>
      <c r="XDM1360" s="1374"/>
      <c r="XDN1360" s="1374"/>
      <c r="XDO1360" s="1374"/>
      <c r="XDP1360" s="1374"/>
      <c r="XDQ1360" s="1374"/>
      <c r="XDR1360" s="1374"/>
      <c r="XDS1360" s="1374"/>
      <c r="XDT1360" s="1374"/>
      <c r="XDU1360" s="1374"/>
      <c r="XDV1360" s="1374"/>
      <c r="XDW1360" s="1374"/>
      <c r="XDX1360" s="1374"/>
      <c r="XDY1360" s="1374"/>
      <c r="XDZ1360" s="1374"/>
      <c r="XEA1360" s="1374"/>
      <c r="XEB1360" s="1374"/>
      <c r="XEC1360" s="1374"/>
      <c r="XED1360" s="1374"/>
      <c r="XEE1360" s="1374"/>
      <c r="XEF1360" s="1374"/>
      <c r="XEG1360" s="1374"/>
      <c r="XEH1360" s="1374"/>
      <c r="XEI1360" s="1374"/>
      <c r="XEJ1360" s="1374"/>
      <c r="XEK1360" s="1374"/>
      <c r="XEL1360" s="1374"/>
      <c r="XEM1360" s="1374"/>
      <c r="XEN1360" s="1374"/>
      <c r="XEO1360" s="1374"/>
      <c r="XEP1360" s="1374"/>
      <c r="XEQ1360" s="1374"/>
      <c r="XER1360" s="1374"/>
      <c r="XES1360" s="1374"/>
      <c r="XET1360" s="1374"/>
      <c r="XEU1360" s="1374"/>
      <c r="XEV1360" s="1374"/>
      <c r="XEW1360" s="1374"/>
      <c r="XEX1360" s="1374"/>
      <c r="XEY1360" s="1374"/>
      <c r="XEZ1360" s="1374"/>
      <c r="XFA1360" s="1374"/>
      <c r="XFB1360" s="1374"/>
      <c r="XFC1360" s="1374"/>
      <c r="XFD1360" s="1374"/>
    </row>
    <row r="1361" s="1267" customFormat="1" ht="31" customHeight="1" spans="1:100 16239:16384">
      <c r="A1361" s="608">
        <v>46169</v>
      </c>
      <c r="B1361" s="609" t="s">
        <v>143</v>
      </c>
      <c r="C1361" s="610" t="s">
        <v>98</v>
      </c>
      <c r="D1361" s="554" t="s">
        <v>5320</v>
      </c>
      <c r="E1361" s="610" t="s">
        <v>5321</v>
      </c>
      <c r="F1361" s="554" t="s">
        <v>5322</v>
      </c>
      <c r="G1361" s="610" t="s">
        <v>101</v>
      </c>
      <c r="H1361" s="610" t="s">
        <v>102</v>
      </c>
      <c r="I1361" s="715">
        <v>1920</v>
      </c>
      <c r="J1361" s="610">
        <v>0</v>
      </c>
      <c r="K1361" s="610">
        <v>4</v>
      </c>
      <c r="L1361" s="611">
        <f t="shared" si="413"/>
        <v>480</v>
      </c>
      <c r="M1361" s="724">
        <v>46244</v>
      </c>
      <c r="N1361" s="724">
        <v>46240</v>
      </c>
      <c r="O1361" s="613" t="s">
        <v>5263</v>
      </c>
      <c r="P1361" s="610" t="s">
        <v>113</v>
      </c>
      <c r="Q1361" s="614">
        <v>46255</v>
      </c>
      <c r="R1361" s="614" t="s">
        <v>4563</v>
      </c>
      <c r="S1361" s="614" t="s">
        <v>70</v>
      </c>
      <c r="T1361" s="614" t="s">
        <v>4869</v>
      </c>
      <c r="U1361" s="614"/>
      <c r="V1361" s="614"/>
      <c r="W1361" s="609"/>
      <c r="X1361" s="609" t="s">
        <v>4904</v>
      </c>
      <c r="Y1361" s="616" t="s">
        <v>4871</v>
      </c>
      <c r="Z1361" s="625">
        <v>2.6794</v>
      </c>
      <c r="AA1361" s="616">
        <f t="shared" si="427"/>
        <v>5144.448</v>
      </c>
      <c r="AB1361" s="554"/>
      <c r="AC1361" s="630" t="s">
        <v>5323</v>
      </c>
      <c r="AD1361" s="610" t="s">
        <v>101</v>
      </c>
      <c r="AE1361" s="610" t="s">
        <v>82</v>
      </c>
      <c r="AF1361" s="610"/>
      <c r="AG1361" s="610"/>
      <c r="AH1361" s="610"/>
      <c r="AI1361" s="609">
        <v>1920</v>
      </c>
      <c r="AJ1361" s="613">
        <f t="shared" si="424"/>
        <v>0</v>
      </c>
      <c r="AK1361" s="610"/>
      <c r="AL1361" s="610" t="s">
        <v>2368</v>
      </c>
      <c r="AM1361" s="554"/>
      <c r="AN1361" s="554">
        <f t="shared" si="422"/>
        <v>1920</v>
      </c>
      <c r="AO1361" s="554"/>
      <c r="AP1361" s="554"/>
      <c r="AQ1361" s="554"/>
      <c r="AR1361" s="554">
        <f>I1361</f>
        <v>1920</v>
      </c>
      <c r="AS1361" s="554"/>
      <c r="AT1361" s="554"/>
      <c r="AU1361" s="554">
        <f t="shared" si="429"/>
        <v>1920</v>
      </c>
      <c r="AV1361" s="554"/>
      <c r="AW1361" s="554">
        <f t="shared" si="430"/>
        <v>1920</v>
      </c>
      <c r="AX1361" s="714"/>
      <c r="AY1361" s="554"/>
      <c r="AZ1361" s="554"/>
      <c r="BA1361" s="554"/>
      <c r="BB1361" s="554"/>
      <c r="BC1361" s="554"/>
      <c r="BD1361" s="554"/>
      <c r="BE1361" s="554"/>
      <c r="BF1361" s="554"/>
      <c r="BG1361" s="554"/>
      <c r="BH1361" s="554">
        <f>I1361/4</f>
        <v>480</v>
      </c>
      <c r="BI1361" s="554"/>
      <c r="BJ1361" s="554"/>
      <c r="BK1361" s="554"/>
      <c r="BL1361" s="554"/>
      <c r="BM1361" s="554"/>
      <c r="BN1361" s="554"/>
      <c r="BO1361" s="554"/>
      <c r="BP1361" s="554"/>
      <c r="BQ1361" s="554"/>
      <c r="BR1361" s="554"/>
      <c r="BS1361" s="554"/>
      <c r="BT1361" s="554"/>
      <c r="BU1361" s="554"/>
      <c r="BV1361" s="554"/>
      <c r="BW1361" s="554"/>
      <c r="BX1361" s="554"/>
      <c r="BY1361" s="554"/>
      <c r="BZ1361" s="554"/>
      <c r="CA1361" s="554"/>
      <c r="CB1361" s="554"/>
      <c r="CC1361" s="554"/>
      <c r="CD1361" s="554"/>
      <c r="CE1361" s="554"/>
      <c r="CF1361" s="554"/>
      <c r="CG1361" s="554"/>
      <c r="CH1361" s="619"/>
      <c r="CI1361" s="619"/>
      <c r="CJ1361" s="619"/>
      <c r="CK1361" s="619"/>
      <c r="CL1361" s="619"/>
      <c r="CM1361" s="554"/>
      <c r="CN1361" s="554"/>
      <c r="CO1361" s="554"/>
      <c r="CP1361" s="619"/>
      <c r="CQ1361" s="619"/>
      <c r="CR1361" s="619"/>
      <c r="CS1361" s="619"/>
      <c r="CT1361" s="619"/>
      <c r="CU1361" s="619"/>
      <c r="CV1361" s="1267"/>
      <c r="WZO1361" s="1374"/>
      <c r="WZP1361" s="1374"/>
      <c r="WZQ1361" s="1374"/>
      <c r="WZR1361" s="1374"/>
      <c r="WZS1361" s="1374"/>
      <c r="WZT1361" s="1374"/>
      <c r="WZU1361" s="1374"/>
      <c r="WZV1361" s="1374"/>
      <c r="WZW1361" s="1374"/>
      <c r="WZX1361" s="1374"/>
      <c r="WZY1361" s="1374"/>
      <c r="WZZ1361" s="1374"/>
      <c r="XAA1361" s="1374"/>
      <c r="XAB1361" s="1374"/>
      <c r="XAC1361" s="1374"/>
      <c r="XAD1361" s="1374"/>
      <c r="XAE1361" s="1374"/>
      <c r="XAF1361" s="1374"/>
      <c r="XAG1361" s="1374"/>
      <c r="XAH1361" s="1374"/>
      <c r="XAI1361" s="1374"/>
      <c r="XAJ1361" s="1374"/>
      <c r="XAK1361" s="1374"/>
      <c r="XAL1361" s="1374"/>
      <c r="XAM1361" s="1374"/>
      <c r="XAN1361" s="1374"/>
      <c r="XAO1361" s="1374"/>
      <c r="XAP1361" s="1374"/>
      <c r="XAQ1361" s="1374"/>
      <c r="XAR1361" s="1374"/>
      <c r="XAS1361" s="1374"/>
      <c r="XAT1361" s="1374"/>
      <c r="XAU1361" s="1374"/>
      <c r="XAV1361" s="1374"/>
      <c r="XAW1361" s="1374"/>
      <c r="XAX1361" s="1374"/>
      <c r="XAY1361" s="1374"/>
      <c r="XAZ1361" s="1374"/>
      <c r="XBA1361" s="1374"/>
      <c r="XBB1361" s="1374"/>
      <c r="XBC1361" s="1374"/>
      <c r="XBD1361" s="1374"/>
      <c r="XBE1361" s="1374"/>
      <c r="XBF1361" s="1374"/>
      <c r="XBG1361" s="1374"/>
      <c r="XBH1361" s="1374"/>
      <c r="XBI1361" s="1374"/>
      <c r="XBJ1361" s="1374"/>
      <c r="XBK1361" s="1374"/>
      <c r="XBL1361" s="1374"/>
      <c r="XBM1361" s="1374"/>
      <c r="XBN1361" s="1374"/>
      <c r="XBO1361" s="1374"/>
      <c r="XBP1361" s="1374"/>
      <c r="XBQ1361" s="1374"/>
      <c r="XBR1361" s="1374"/>
      <c r="XBS1361" s="1374"/>
      <c r="XBT1361" s="1374"/>
      <c r="XBU1361" s="1374"/>
      <c r="XBV1361" s="1374"/>
      <c r="XBW1361" s="1374"/>
      <c r="XBX1361" s="1374"/>
      <c r="XBY1361" s="1374"/>
      <c r="XBZ1361" s="1374"/>
      <c r="XCA1361" s="1374"/>
      <c r="XCB1361" s="1374"/>
      <c r="XCC1361" s="1374"/>
      <c r="XCD1361" s="1374"/>
      <c r="XCE1361" s="1374"/>
      <c r="XCF1361" s="1374"/>
      <c r="XCG1361" s="1374"/>
      <c r="XCH1361" s="1374"/>
      <c r="XCI1361" s="1374"/>
      <c r="XCJ1361" s="1374"/>
      <c r="XCK1361" s="1374"/>
      <c r="XCL1361" s="1374"/>
      <c r="XCM1361" s="1374"/>
      <c r="XCN1361" s="1374"/>
      <c r="XCO1361" s="1374"/>
      <c r="XCP1361" s="1374"/>
      <c r="XCQ1361" s="1374"/>
      <c r="XCR1361" s="1374"/>
      <c r="XCS1361" s="1374"/>
      <c r="XCT1361" s="1374"/>
      <c r="XCU1361" s="1374"/>
      <c r="XCV1361" s="1374"/>
      <c r="XCW1361" s="1374"/>
      <c r="XCX1361" s="1374"/>
      <c r="XCY1361" s="1374"/>
      <c r="XCZ1361" s="1374"/>
      <c r="XDA1361" s="1374"/>
      <c r="XDB1361" s="1374"/>
      <c r="XDC1361" s="1374"/>
      <c r="XDD1361" s="1374"/>
      <c r="XDE1361" s="1374"/>
      <c r="XDF1361" s="1374"/>
      <c r="XDG1361" s="1374"/>
      <c r="XDH1361" s="1374"/>
      <c r="XDI1361" s="1374"/>
      <c r="XDJ1361" s="1374"/>
      <c r="XDK1361" s="1374"/>
      <c r="XDL1361" s="1374"/>
      <c r="XDM1361" s="1374"/>
      <c r="XDN1361" s="1374"/>
      <c r="XDO1361" s="1374"/>
      <c r="XDP1361" s="1374"/>
      <c r="XDQ1361" s="1374"/>
      <c r="XDR1361" s="1374"/>
      <c r="XDS1361" s="1374"/>
      <c r="XDT1361" s="1374"/>
      <c r="XDU1361" s="1374"/>
      <c r="XDV1361" s="1374"/>
      <c r="XDW1361" s="1374"/>
      <c r="XDX1361" s="1374"/>
      <c r="XDY1361" s="1374"/>
      <c r="XDZ1361" s="1374"/>
      <c r="XEA1361" s="1374"/>
      <c r="XEB1361" s="1374"/>
      <c r="XEC1361" s="1374"/>
      <c r="XED1361" s="1374"/>
      <c r="XEE1361" s="1374"/>
      <c r="XEF1361" s="1374"/>
      <c r="XEG1361" s="1374"/>
      <c r="XEH1361" s="1374"/>
      <c r="XEI1361" s="1374"/>
      <c r="XEJ1361" s="1374"/>
      <c r="XEK1361" s="1374"/>
      <c r="XEL1361" s="1374"/>
      <c r="XEM1361" s="1374"/>
      <c r="XEN1361" s="1374"/>
      <c r="XEO1361" s="1374"/>
      <c r="XEP1361" s="1374"/>
      <c r="XEQ1361" s="1374"/>
      <c r="XER1361" s="1374"/>
      <c r="XES1361" s="1374"/>
      <c r="XET1361" s="1374"/>
      <c r="XEU1361" s="1374"/>
      <c r="XEV1361" s="1374"/>
      <c r="XEW1361" s="1374"/>
      <c r="XEX1361" s="1374"/>
      <c r="XEY1361" s="1374"/>
      <c r="XEZ1361" s="1374"/>
      <c r="XFA1361" s="1374"/>
      <c r="XFB1361" s="1374"/>
      <c r="XFC1361" s="1374"/>
      <c r="XFD1361" s="1374"/>
    </row>
    <row r="1362" s="1267" customFormat="1" ht="31" customHeight="1" spans="1:100 16239:16384">
      <c r="A1362" s="608">
        <v>46169</v>
      </c>
      <c r="B1362" s="609" t="s">
        <v>143</v>
      </c>
      <c r="C1362" s="610" t="s">
        <v>98</v>
      </c>
      <c r="D1362" s="554" t="s">
        <v>5320</v>
      </c>
      <c r="E1362" s="610" t="s">
        <v>5324</v>
      </c>
      <c r="F1362" s="554" t="s">
        <v>5325</v>
      </c>
      <c r="G1362" s="610" t="s">
        <v>101</v>
      </c>
      <c r="H1362" s="610" t="s">
        <v>102</v>
      </c>
      <c r="I1362" s="715">
        <v>1600</v>
      </c>
      <c r="J1362" s="610">
        <v>0</v>
      </c>
      <c r="K1362" s="610">
        <v>4</v>
      </c>
      <c r="L1362" s="611">
        <f t="shared" si="413"/>
        <v>400</v>
      </c>
      <c r="M1362" s="724">
        <v>46244</v>
      </c>
      <c r="N1362" s="724">
        <v>46240</v>
      </c>
      <c r="O1362" s="613" t="s">
        <v>5263</v>
      </c>
      <c r="P1362" s="610" t="s">
        <v>113</v>
      </c>
      <c r="Q1362" s="614">
        <v>46261</v>
      </c>
      <c r="R1362" s="614" t="s">
        <v>4563</v>
      </c>
      <c r="S1362" s="614" t="s">
        <v>70</v>
      </c>
      <c r="T1362" s="614" t="s">
        <v>4869</v>
      </c>
      <c r="U1362" s="614"/>
      <c r="V1362" s="614"/>
      <c r="W1362" s="609"/>
      <c r="X1362" s="609" t="s">
        <v>4904</v>
      </c>
      <c r="Y1362" s="616" t="s">
        <v>4871</v>
      </c>
      <c r="Z1362" s="625">
        <v>2.6794</v>
      </c>
      <c r="AA1362" s="616">
        <f t="shared" si="427"/>
        <v>4287.04</v>
      </c>
      <c r="AB1362" s="554"/>
      <c r="AC1362" s="630" t="s">
        <v>5326</v>
      </c>
      <c r="AD1362" s="610" t="s">
        <v>101</v>
      </c>
      <c r="AE1362" s="610" t="s">
        <v>82</v>
      </c>
      <c r="AF1362" s="610"/>
      <c r="AG1362" s="610"/>
      <c r="AH1362" s="610"/>
      <c r="AI1362" s="609">
        <v>1600</v>
      </c>
      <c r="AJ1362" s="613">
        <f t="shared" si="424"/>
        <v>0</v>
      </c>
      <c r="AK1362" s="610"/>
      <c r="AL1362" s="610" t="s">
        <v>2368</v>
      </c>
      <c r="AM1362" s="554"/>
      <c r="AN1362" s="554">
        <f t="shared" si="422"/>
        <v>1600</v>
      </c>
      <c r="AO1362" s="554"/>
      <c r="AP1362" s="554"/>
      <c r="AQ1362" s="554"/>
      <c r="AR1362" s="554">
        <f>I1362</f>
        <v>1600</v>
      </c>
      <c r="AS1362" s="554"/>
      <c r="AT1362" s="554"/>
      <c r="AU1362" s="554">
        <f t="shared" si="429"/>
        <v>1600</v>
      </c>
      <c r="AV1362" s="554"/>
      <c r="AW1362" s="554">
        <f t="shared" si="430"/>
        <v>1600</v>
      </c>
      <c r="AX1362" s="714"/>
      <c r="AY1362" s="554"/>
      <c r="AZ1362" s="554"/>
      <c r="BA1362" s="554"/>
      <c r="BB1362" s="554"/>
      <c r="BC1362" s="554"/>
      <c r="BD1362" s="554"/>
      <c r="BE1362" s="554"/>
      <c r="BF1362" s="554"/>
      <c r="BG1362" s="554"/>
      <c r="BH1362" s="554">
        <f>I1362/4</f>
        <v>400</v>
      </c>
      <c r="BI1362" s="554"/>
      <c r="BJ1362" s="554"/>
      <c r="BK1362" s="554"/>
      <c r="BL1362" s="554"/>
      <c r="BM1362" s="554"/>
      <c r="BN1362" s="554"/>
      <c r="BO1362" s="554"/>
      <c r="BP1362" s="554"/>
      <c r="BQ1362" s="554"/>
      <c r="BR1362" s="554"/>
      <c r="BS1362" s="554"/>
      <c r="BT1362" s="554"/>
      <c r="BU1362" s="554"/>
      <c r="BV1362" s="554"/>
      <c r="BW1362" s="554"/>
      <c r="BX1362" s="554"/>
      <c r="BY1362" s="554"/>
      <c r="BZ1362" s="554"/>
      <c r="CA1362" s="554"/>
      <c r="CB1362" s="554"/>
      <c r="CC1362" s="554"/>
      <c r="CD1362" s="554"/>
      <c r="CE1362" s="554"/>
      <c r="CF1362" s="554"/>
      <c r="CG1362" s="554"/>
      <c r="CH1362" s="619"/>
      <c r="CI1362" s="619"/>
      <c r="CJ1362" s="619"/>
      <c r="CK1362" s="619"/>
      <c r="CL1362" s="619"/>
      <c r="CM1362" s="554"/>
      <c r="CN1362" s="554"/>
      <c r="CO1362" s="554"/>
      <c r="CP1362" s="619"/>
      <c r="CQ1362" s="619"/>
      <c r="CR1362" s="619"/>
      <c r="CS1362" s="619"/>
      <c r="CT1362" s="619"/>
      <c r="CU1362" s="619"/>
      <c r="CV1362" s="1267"/>
      <c r="WZO1362" s="1374"/>
      <c r="WZP1362" s="1374"/>
      <c r="WZQ1362" s="1374"/>
      <c r="WZR1362" s="1374"/>
      <c r="WZS1362" s="1374"/>
      <c r="WZT1362" s="1374"/>
      <c r="WZU1362" s="1374"/>
      <c r="WZV1362" s="1374"/>
      <c r="WZW1362" s="1374"/>
      <c r="WZX1362" s="1374"/>
      <c r="WZY1362" s="1374"/>
      <c r="WZZ1362" s="1374"/>
      <c r="XAA1362" s="1374"/>
      <c r="XAB1362" s="1374"/>
      <c r="XAC1362" s="1374"/>
      <c r="XAD1362" s="1374"/>
      <c r="XAE1362" s="1374"/>
      <c r="XAF1362" s="1374"/>
      <c r="XAG1362" s="1374"/>
      <c r="XAH1362" s="1374"/>
      <c r="XAI1362" s="1374"/>
      <c r="XAJ1362" s="1374"/>
      <c r="XAK1362" s="1374"/>
      <c r="XAL1362" s="1374"/>
      <c r="XAM1362" s="1374"/>
      <c r="XAN1362" s="1374"/>
      <c r="XAO1362" s="1374"/>
      <c r="XAP1362" s="1374"/>
      <c r="XAQ1362" s="1374"/>
      <c r="XAR1362" s="1374"/>
      <c r="XAS1362" s="1374"/>
      <c r="XAT1362" s="1374"/>
      <c r="XAU1362" s="1374"/>
      <c r="XAV1362" s="1374"/>
      <c r="XAW1362" s="1374"/>
      <c r="XAX1362" s="1374"/>
      <c r="XAY1362" s="1374"/>
      <c r="XAZ1362" s="1374"/>
      <c r="XBA1362" s="1374"/>
      <c r="XBB1362" s="1374"/>
      <c r="XBC1362" s="1374"/>
      <c r="XBD1362" s="1374"/>
      <c r="XBE1362" s="1374"/>
      <c r="XBF1362" s="1374"/>
      <c r="XBG1362" s="1374"/>
      <c r="XBH1362" s="1374"/>
      <c r="XBI1362" s="1374"/>
      <c r="XBJ1362" s="1374"/>
      <c r="XBK1362" s="1374"/>
      <c r="XBL1362" s="1374"/>
      <c r="XBM1362" s="1374"/>
      <c r="XBN1362" s="1374"/>
      <c r="XBO1362" s="1374"/>
      <c r="XBP1362" s="1374"/>
      <c r="XBQ1362" s="1374"/>
      <c r="XBR1362" s="1374"/>
      <c r="XBS1362" s="1374"/>
      <c r="XBT1362" s="1374"/>
      <c r="XBU1362" s="1374"/>
      <c r="XBV1362" s="1374"/>
      <c r="XBW1362" s="1374"/>
      <c r="XBX1362" s="1374"/>
      <c r="XBY1362" s="1374"/>
      <c r="XBZ1362" s="1374"/>
      <c r="XCA1362" s="1374"/>
      <c r="XCB1362" s="1374"/>
      <c r="XCC1362" s="1374"/>
      <c r="XCD1362" s="1374"/>
      <c r="XCE1362" s="1374"/>
      <c r="XCF1362" s="1374"/>
      <c r="XCG1362" s="1374"/>
      <c r="XCH1362" s="1374"/>
      <c r="XCI1362" s="1374"/>
      <c r="XCJ1362" s="1374"/>
      <c r="XCK1362" s="1374"/>
      <c r="XCL1362" s="1374"/>
      <c r="XCM1362" s="1374"/>
      <c r="XCN1362" s="1374"/>
      <c r="XCO1362" s="1374"/>
      <c r="XCP1362" s="1374"/>
      <c r="XCQ1362" s="1374"/>
      <c r="XCR1362" s="1374"/>
      <c r="XCS1362" s="1374"/>
      <c r="XCT1362" s="1374"/>
      <c r="XCU1362" s="1374"/>
      <c r="XCV1362" s="1374"/>
      <c r="XCW1362" s="1374"/>
      <c r="XCX1362" s="1374"/>
      <c r="XCY1362" s="1374"/>
      <c r="XCZ1362" s="1374"/>
      <c r="XDA1362" s="1374"/>
      <c r="XDB1362" s="1374"/>
      <c r="XDC1362" s="1374"/>
      <c r="XDD1362" s="1374"/>
      <c r="XDE1362" s="1374"/>
      <c r="XDF1362" s="1374"/>
      <c r="XDG1362" s="1374"/>
      <c r="XDH1362" s="1374"/>
      <c r="XDI1362" s="1374"/>
      <c r="XDJ1362" s="1374"/>
      <c r="XDK1362" s="1374"/>
      <c r="XDL1362" s="1374"/>
      <c r="XDM1362" s="1374"/>
      <c r="XDN1362" s="1374"/>
      <c r="XDO1362" s="1374"/>
      <c r="XDP1362" s="1374"/>
      <c r="XDQ1362" s="1374"/>
      <c r="XDR1362" s="1374"/>
      <c r="XDS1362" s="1374"/>
      <c r="XDT1362" s="1374"/>
      <c r="XDU1362" s="1374"/>
      <c r="XDV1362" s="1374"/>
      <c r="XDW1362" s="1374"/>
      <c r="XDX1362" s="1374"/>
      <c r="XDY1362" s="1374"/>
      <c r="XDZ1362" s="1374"/>
      <c r="XEA1362" s="1374"/>
      <c r="XEB1362" s="1374"/>
      <c r="XEC1362" s="1374"/>
      <c r="XED1362" s="1374"/>
      <c r="XEE1362" s="1374"/>
      <c r="XEF1362" s="1374"/>
      <c r="XEG1362" s="1374"/>
      <c r="XEH1362" s="1374"/>
      <c r="XEI1362" s="1374"/>
      <c r="XEJ1362" s="1374"/>
      <c r="XEK1362" s="1374"/>
      <c r="XEL1362" s="1374"/>
      <c r="XEM1362" s="1374"/>
      <c r="XEN1362" s="1374"/>
      <c r="XEO1362" s="1374"/>
      <c r="XEP1362" s="1374"/>
      <c r="XEQ1362" s="1374"/>
      <c r="XER1362" s="1374"/>
      <c r="XES1362" s="1374"/>
      <c r="XET1362" s="1374"/>
      <c r="XEU1362" s="1374"/>
      <c r="XEV1362" s="1374"/>
      <c r="XEW1362" s="1374"/>
      <c r="XEX1362" s="1374"/>
      <c r="XEY1362" s="1374"/>
      <c r="XEZ1362" s="1374"/>
      <c r="XFA1362" s="1374"/>
      <c r="XFB1362" s="1374"/>
      <c r="XFC1362" s="1374"/>
      <c r="XFD1362" s="1374"/>
    </row>
    <row r="1363" s="1267" customFormat="1" ht="31" customHeight="1" spans="1:100 16239:16384">
      <c r="A1363" s="608">
        <v>46198</v>
      </c>
      <c r="B1363" s="609" t="s">
        <v>1201</v>
      </c>
      <c r="C1363" s="610" t="s">
        <v>524</v>
      </c>
      <c r="D1363" s="554" t="s">
        <v>5327</v>
      </c>
      <c r="E1363" s="610" t="s">
        <v>3846</v>
      </c>
      <c r="F1363" s="554" t="s">
        <v>5328</v>
      </c>
      <c r="G1363" s="610" t="s">
        <v>68</v>
      </c>
      <c r="H1363" s="610" t="s">
        <v>69</v>
      </c>
      <c r="I1363" s="715">
        <v>1164</v>
      </c>
      <c r="J1363" s="610">
        <v>0</v>
      </c>
      <c r="K1363" s="610">
        <v>12</v>
      </c>
      <c r="L1363" s="611">
        <f t="shared" ref="L1363:L1406" si="432">I1363/K1363</f>
        <v>97</v>
      </c>
      <c r="M1363" s="612">
        <v>46248</v>
      </c>
      <c r="N1363" s="612">
        <v>46244</v>
      </c>
      <c r="O1363" s="613"/>
      <c r="P1363" s="610" t="s">
        <v>113</v>
      </c>
      <c r="Q1363" s="614">
        <v>46254</v>
      </c>
      <c r="R1363" s="614">
        <v>46199</v>
      </c>
      <c r="S1363" s="614" t="s">
        <v>70</v>
      </c>
      <c r="T1363" s="614" t="s">
        <v>5329</v>
      </c>
      <c r="U1363" s="614" t="s">
        <v>5330</v>
      </c>
      <c r="V1363" s="614"/>
      <c r="W1363" s="609"/>
      <c r="X1363" s="609" t="s">
        <v>5331</v>
      </c>
      <c r="Y1363" s="616" t="s">
        <v>340</v>
      </c>
      <c r="Z1363" s="625">
        <v>4.3274</v>
      </c>
      <c r="AA1363" s="616">
        <f t="shared" si="427"/>
        <v>5037.0936</v>
      </c>
      <c r="AB1363" s="554"/>
      <c r="AC1363" s="617"/>
      <c r="AD1363" s="610" t="s">
        <v>184</v>
      </c>
      <c r="AE1363" s="610" t="s">
        <v>82</v>
      </c>
      <c r="AF1363" s="610"/>
      <c r="AG1363" s="610"/>
      <c r="AH1363" s="610"/>
      <c r="AI1363" s="609">
        <v>1164</v>
      </c>
      <c r="AJ1363" s="610">
        <f t="shared" si="424"/>
        <v>0</v>
      </c>
      <c r="AK1363" s="610"/>
      <c r="AL1363" s="610" t="s">
        <v>454</v>
      </c>
      <c r="AM1363" s="554"/>
      <c r="AN1363" s="554">
        <f t="shared" si="422"/>
        <v>1164</v>
      </c>
      <c r="AO1363" s="554"/>
      <c r="AP1363" s="554"/>
      <c r="AQ1363" s="554"/>
      <c r="AR1363" s="554"/>
      <c r="AS1363" s="554">
        <f>I1363</f>
        <v>1164</v>
      </c>
      <c r="AT1363" s="554"/>
      <c r="AU1363" s="554">
        <f t="shared" si="429"/>
        <v>1164</v>
      </c>
      <c r="AV1363" s="554"/>
      <c r="AW1363" s="554">
        <f t="shared" si="430"/>
        <v>1164</v>
      </c>
      <c r="AX1363" s="714"/>
      <c r="AY1363" s="554"/>
      <c r="AZ1363" s="554"/>
      <c r="BA1363" s="554"/>
      <c r="BB1363" s="554"/>
      <c r="BC1363" s="554"/>
      <c r="BD1363" s="554"/>
      <c r="BE1363" s="554"/>
      <c r="BF1363" s="554"/>
      <c r="BG1363" s="554"/>
      <c r="BH1363" s="554"/>
      <c r="BI1363" s="554"/>
      <c r="BJ1363" s="554"/>
      <c r="BK1363" s="554"/>
      <c r="BL1363" s="554"/>
      <c r="BM1363" s="554"/>
      <c r="BN1363" s="554"/>
      <c r="BO1363" s="554"/>
      <c r="BP1363" s="554"/>
      <c r="BQ1363" s="554"/>
      <c r="BR1363" s="554"/>
      <c r="BS1363" s="554"/>
      <c r="BT1363" s="554"/>
      <c r="BU1363" s="554"/>
      <c r="BV1363" s="554"/>
      <c r="BW1363" s="554"/>
      <c r="BX1363" s="554"/>
      <c r="BY1363" s="554"/>
      <c r="BZ1363" s="554"/>
      <c r="CA1363" s="554"/>
      <c r="CB1363" s="554"/>
      <c r="CC1363" s="554"/>
      <c r="CD1363" s="554"/>
      <c r="CE1363" s="554"/>
      <c r="CF1363" s="554"/>
      <c r="CG1363" s="554"/>
      <c r="CH1363" s="619"/>
      <c r="CI1363" s="619"/>
      <c r="CJ1363" s="619"/>
      <c r="CK1363" s="619"/>
      <c r="CL1363" s="619"/>
      <c r="CM1363" s="554"/>
      <c r="CN1363" s="554"/>
      <c r="CO1363" s="554"/>
      <c r="CP1363" s="619"/>
      <c r="CQ1363" s="619"/>
      <c r="CR1363" s="619"/>
      <c r="CS1363" s="619"/>
      <c r="CT1363" s="619"/>
      <c r="CU1363" s="619"/>
      <c r="WZO1363" s="1374"/>
      <c r="WZP1363" s="1374"/>
      <c r="WZQ1363" s="1374"/>
      <c r="WZR1363" s="1374"/>
      <c r="WZS1363" s="1374"/>
      <c r="WZT1363" s="1374"/>
      <c r="WZU1363" s="1374"/>
      <c r="WZV1363" s="1374"/>
      <c r="WZW1363" s="1374"/>
      <c r="WZX1363" s="1374"/>
      <c r="WZY1363" s="1374"/>
      <c r="WZZ1363" s="1374"/>
      <c r="XAA1363" s="1374"/>
      <c r="XAB1363" s="1374"/>
      <c r="XAC1363" s="1374"/>
      <c r="XAD1363" s="1374"/>
      <c r="XAE1363" s="1374"/>
      <c r="XAF1363" s="1374"/>
      <c r="XAG1363" s="1374"/>
      <c r="XAH1363" s="1374"/>
      <c r="XAI1363" s="1374"/>
      <c r="XAJ1363" s="1374"/>
      <c r="XAK1363" s="1374"/>
      <c r="XAL1363" s="1374"/>
      <c r="XAM1363" s="1374"/>
      <c r="XAN1363" s="1374"/>
      <c r="XAO1363" s="1374"/>
      <c r="XAP1363" s="1374"/>
      <c r="XAQ1363" s="1374"/>
      <c r="XAR1363" s="1374"/>
      <c r="XAS1363" s="1374"/>
      <c r="XAT1363" s="1374"/>
      <c r="XAU1363" s="1374"/>
      <c r="XAV1363" s="1374"/>
      <c r="XAW1363" s="1374"/>
      <c r="XAX1363" s="1374"/>
      <c r="XAY1363" s="1374"/>
      <c r="XAZ1363" s="1374"/>
      <c r="XBA1363" s="1374"/>
      <c r="XBB1363" s="1374"/>
      <c r="XBC1363" s="1374"/>
      <c r="XBD1363" s="1374"/>
      <c r="XBE1363" s="1374"/>
      <c r="XBF1363" s="1374"/>
      <c r="XBG1363" s="1374"/>
      <c r="XBH1363" s="1374"/>
      <c r="XBI1363" s="1374"/>
      <c r="XBJ1363" s="1374"/>
      <c r="XBK1363" s="1374"/>
      <c r="XBL1363" s="1374"/>
      <c r="XBM1363" s="1374"/>
      <c r="XBN1363" s="1374"/>
      <c r="XBO1363" s="1374"/>
      <c r="XBP1363" s="1374"/>
      <c r="XBQ1363" s="1374"/>
      <c r="XBR1363" s="1374"/>
      <c r="XBS1363" s="1374"/>
      <c r="XBT1363" s="1374"/>
      <c r="XBU1363" s="1374"/>
      <c r="XBV1363" s="1374"/>
      <c r="XBW1363" s="1374"/>
      <c r="XBX1363" s="1374"/>
      <c r="XBY1363" s="1374"/>
      <c r="XBZ1363" s="1374"/>
      <c r="XCA1363" s="1374"/>
      <c r="XCB1363" s="1374"/>
      <c r="XCC1363" s="1374"/>
      <c r="XCD1363" s="1374"/>
      <c r="XCE1363" s="1374"/>
      <c r="XCF1363" s="1374"/>
      <c r="XCG1363" s="1374"/>
      <c r="XCH1363" s="1374"/>
      <c r="XCI1363" s="1374"/>
      <c r="XCJ1363" s="1374"/>
      <c r="XCK1363" s="1374"/>
      <c r="XCL1363" s="1374"/>
      <c r="XCM1363" s="1374"/>
      <c r="XCN1363" s="1374"/>
      <c r="XCO1363" s="1374"/>
      <c r="XCP1363" s="1374"/>
      <c r="XCQ1363" s="1374"/>
      <c r="XCR1363" s="1374"/>
      <c r="XCS1363" s="1374"/>
      <c r="XCT1363" s="1374"/>
      <c r="XCU1363" s="1374"/>
      <c r="XCV1363" s="1374"/>
      <c r="XCW1363" s="1374"/>
      <c r="XCX1363" s="1374"/>
      <c r="XCY1363" s="1374"/>
      <c r="XCZ1363" s="1374"/>
      <c r="XDA1363" s="1374"/>
      <c r="XDB1363" s="1374"/>
      <c r="XDC1363" s="1374"/>
      <c r="XDD1363" s="1374"/>
      <c r="XDE1363" s="1374"/>
      <c r="XDF1363" s="1374"/>
      <c r="XDG1363" s="1374"/>
      <c r="XDH1363" s="1374"/>
      <c r="XDI1363" s="1374"/>
      <c r="XDJ1363" s="1374"/>
      <c r="XDK1363" s="1374"/>
      <c r="XDL1363" s="1374"/>
      <c r="XDM1363" s="1374"/>
      <c r="XDN1363" s="1374"/>
      <c r="XDO1363" s="1374"/>
      <c r="XDP1363" s="1374"/>
      <c r="XDQ1363" s="1374"/>
      <c r="XDR1363" s="1374"/>
      <c r="XDS1363" s="1374"/>
      <c r="XDT1363" s="1374"/>
      <c r="XDU1363" s="1374"/>
      <c r="XDV1363" s="1374"/>
      <c r="XDW1363" s="1374"/>
      <c r="XDX1363" s="1374"/>
      <c r="XDY1363" s="1374"/>
      <c r="XDZ1363" s="1374"/>
      <c r="XEA1363" s="1374"/>
      <c r="XEB1363" s="1374"/>
      <c r="XEC1363" s="1374"/>
      <c r="XED1363" s="1374"/>
      <c r="XEE1363" s="1374"/>
      <c r="XEF1363" s="1374"/>
      <c r="XEG1363" s="1374"/>
      <c r="XEH1363" s="1374"/>
      <c r="XEI1363" s="1374"/>
      <c r="XEJ1363" s="1374"/>
      <c r="XEK1363" s="1374"/>
      <c r="XEL1363" s="1374"/>
      <c r="XEM1363" s="1374"/>
      <c r="XEN1363" s="1374"/>
      <c r="XEO1363" s="1374"/>
      <c r="XEP1363" s="1374"/>
      <c r="XEQ1363" s="1374"/>
      <c r="XER1363" s="1374"/>
      <c r="XES1363" s="1374"/>
      <c r="XET1363" s="1374"/>
      <c r="XEU1363" s="1374"/>
      <c r="XEV1363" s="1374"/>
      <c r="XEW1363" s="1374"/>
      <c r="XEX1363" s="1374"/>
      <c r="XEY1363" s="1374"/>
      <c r="XEZ1363" s="1374"/>
      <c r="XFA1363" s="1374"/>
      <c r="XFB1363" s="1374"/>
      <c r="XFC1363" s="1374"/>
      <c r="XFD1363" s="1374"/>
    </row>
    <row r="1364" s="1267" customFormat="1" ht="31" customHeight="1" spans="1:100 16239:16384">
      <c r="A1364" s="608">
        <v>46178</v>
      </c>
      <c r="B1364" s="609" t="s">
        <v>5030</v>
      </c>
      <c r="C1364" s="610" t="s">
        <v>524</v>
      </c>
      <c r="D1364" s="554">
        <v>4500210803</v>
      </c>
      <c r="E1364" s="731">
        <v>17409536</v>
      </c>
      <c r="F1364" s="554" t="s">
        <v>5332</v>
      </c>
      <c r="G1364" s="610" t="s">
        <v>68</v>
      </c>
      <c r="H1364" s="610" t="s">
        <v>69</v>
      </c>
      <c r="I1364" s="715">
        <v>900</v>
      </c>
      <c r="J1364" s="610">
        <v>0</v>
      </c>
      <c r="K1364" s="610">
        <v>12</v>
      </c>
      <c r="L1364" s="611">
        <f t="shared" si="432"/>
        <v>75</v>
      </c>
      <c r="M1364" s="612">
        <v>46248</v>
      </c>
      <c r="N1364" s="612">
        <v>46244</v>
      </c>
      <c r="O1364" s="613" t="s">
        <v>5034</v>
      </c>
      <c r="P1364" s="610" t="s">
        <v>113</v>
      </c>
      <c r="Q1364" s="614"/>
      <c r="R1364" s="614">
        <v>46217</v>
      </c>
      <c r="S1364" s="614" t="s">
        <v>70</v>
      </c>
      <c r="T1364" s="614" t="s">
        <v>5333</v>
      </c>
      <c r="U1364" s="614"/>
      <c r="V1364" s="614"/>
      <c r="W1364" s="609"/>
      <c r="X1364" s="738" t="s">
        <v>5334</v>
      </c>
      <c r="Y1364" s="616" t="s">
        <v>340</v>
      </c>
      <c r="Z1364" s="625">
        <v>4.3734</v>
      </c>
      <c r="AA1364" s="616">
        <f t="shared" si="427"/>
        <v>3936.06</v>
      </c>
      <c r="AB1364" s="554"/>
      <c r="AC1364" s="617"/>
      <c r="AD1364" s="610" t="s">
        <v>184</v>
      </c>
      <c r="AE1364" s="610" t="s">
        <v>82</v>
      </c>
      <c r="AF1364" s="610"/>
      <c r="AG1364" s="610"/>
      <c r="AH1364" s="610"/>
      <c r="AI1364" s="609">
        <v>900</v>
      </c>
      <c r="AJ1364" s="610">
        <f t="shared" si="424"/>
        <v>0</v>
      </c>
      <c r="AK1364" s="610"/>
      <c r="AL1364" s="610" t="s">
        <v>2368</v>
      </c>
      <c r="AM1364" s="554"/>
      <c r="AN1364" s="554">
        <f t="shared" si="422"/>
        <v>900</v>
      </c>
      <c r="AO1364" s="554"/>
      <c r="AP1364" s="554"/>
      <c r="AQ1364" s="554"/>
      <c r="AR1364" s="554"/>
      <c r="AS1364" s="554">
        <f>I1364</f>
        <v>900</v>
      </c>
      <c r="AT1364" s="554"/>
      <c r="AU1364" s="554">
        <f t="shared" si="429"/>
        <v>900</v>
      </c>
      <c r="AV1364" s="554"/>
      <c r="AW1364" s="554">
        <f t="shared" si="430"/>
        <v>900</v>
      </c>
      <c r="AX1364" s="714"/>
      <c r="AY1364" s="554"/>
      <c r="AZ1364" s="554"/>
      <c r="BA1364" s="554"/>
      <c r="BB1364" s="554"/>
      <c r="BC1364" s="554"/>
      <c r="BD1364" s="554"/>
      <c r="BE1364" s="554"/>
      <c r="BF1364" s="554"/>
      <c r="BG1364" s="554"/>
      <c r="BH1364" s="554"/>
      <c r="BI1364" s="554"/>
      <c r="BJ1364" s="554"/>
      <c r="BK1364" s="554"/>
      <c r="BL1364" s="554"/>
      <c r="BM1364" s="554"/>
      <c r="BN1364" s="554"/>
      <c r="BO1364" s="554"/>
      <c r="BP1364" s="554"/>
      <c r="BQ1364" s="554"/>
      <c r="BR1364" s="554"/>
      <c r="BS1364" s="554"/>
      <c r="BT1364" s="554"/>
      <c r="BU1364" s="554"/>
      <c r="BV1364" s="554"/>
      <c r="BW1364" s="554"/>
      <c r="BX1364" s="554"/>
      <c r="BY1364" s="554"/>
      <c r="BZ1364" s="554"/>
      <c r="CA1364" s="554"/>
      <c r="CB1364" s="554"/>
      <c r="CC1364" s="554"/>
      <c r="CD1364" s="554"/>
      <c r="CE1364" s="554"/>
      <c r="CF1364" s="554"/>
      <c r="CG1364" s="554"/>
      <c r="CH1364" s="619"/>
      <c r="CI1364" s="619"/>
      <c r="CJ1364" s="619"/>
      <c r="CK1364" s="619"/>
      <c r="CL1364" s="619"/>
      <c r="CM1364" s="554"/>
      <c r="CN1364" s="554"/>
      <c r="CO1364" s="554"/>
      <c r="CP1364" s="619"/>
      <c r="CQ1364" s="619"/>
      <c r="CR1364" s="619"/>
      <c r="CS1364" s="619"/>
      <c r="CT1364" s="619"/>
      <c r="CU1364" s="619"/>
      <c r="WZO1364" s="1374"/>
      <c r="WZP1364" s="1374"/>
      <c r="WZQ1364" s="1374"/>
      <c r="WZR1364" s="1374"/>
      <c r="WZS1364" s="1374"/>
      <c r="WZT1364" s="1374"/>
      <c r="WZU1364" s="1374"/>
      <c r="WZV1364" s="1374"/>
      <c r="WZW1364" s="1374"/>
      <c r="WZX1364" s="1374"/>
      <c r="WZY1364" s="1374"/>
      <c r="WZZ1364" s="1374"/>
      <c r="XAA1364" s="1374"/>
      <c r="XAB1364" s="1374"/>
      <c r="XAC1364" s="1374"/>
      <c r="XAD1364" s="1374"/>
      <c r="XAE1364" s="1374"/>
      <c r="XAF1364" s="1374"/>
      <c r="XAG1364" s="1374"/>
      <c r="XAH1364" s="1374"/>
      <c r="XAI1364" s="1374"/>
      <c r="XAJ1364" s="1374"/>
      <c r="XAK1364" s="1374"/>
      <c r="XAL1364" s="1374"/>
      <c r="XAM1364" s="1374"/>
      <c r="XAN1364" s="1374"/>
      <c r="XAO1364" s="1374"/>
      <c r="XAP1364" s="1374"/>
      <c r="XAQ1364" s="1374"/>
      <c r="XAR1364" s="1374"/>
      <c r="XAS1364" s="1374"/>
      <c r="XAT1364" s="1374"/>
      <c r="XAU1364" s="1374"/>
      <c r="XAV1364" s="1374"/>
      <c r="XAW1364" s="1374"/>
      <c r="XAX1364" s="1374"/>
      <c r="XAY1364" s="1374"/>
      <c r="XAZ1364" s="1374"/>
      <c r="XBA1364" s="1374"/>
      <c r="XBB1364" s="1374"/>
      <c r="XBC1364" s="1374"/>
      <c r="XBD1364" s="1374"/>
      <c r="XBE1364" s="1374"/>
      <c r="XBF1364" s="1374"/>
      <c r="XBG1364" s="1374"/>
      <c r="XBH1364" s="1374"/>
      <c r="XBI1364" s="1374"/>
      <c r="XBJ1364" s="1374"/>
      <c r="XBK1364" s="1374"/>
      <c r="XBL1364" s="1374"/>
      <c r="XBM1364" s="1374"/>
      <c r="XBN1364" s="1374"/>
      <c r="XBO1364" s="1374"/>
      <c r="XBP1364" s="1374"/>
      <c r="XBQ1364" s="1374"/>
      <c r="XBR1364" s="1374"/>
      <c r="XBS1364" s="1374"/>
      <c r="XBT1364" s="1374"/>
      <c r="XBU1364" s="1374"/>
      <c r="XBV1364" s="1374"/>
      <c r="XBW1364" s="1374"/>
      <c r="XBX1364" s="1374"/>
      <c r="XBY1364" s="1374"/>
      <c r="XBZ1364" s="1374"/>
      <c r="XCA1364" s="1374"/>
      <c r="XCB1364" s="1374"/>
      <c r="XCC1364" s="1374"/>
      <c r="XCD1364" s="1374"/>
      <c r="XCE1364" s="1374"/>
      <c r="XCF1364" s="1374"/>
      <c r="XCG1364" s="1374"/>
      <c r="XCH1364" s="1374"/>
      <c r="XCI1364" s="1374"/>
      <c r="XCJ1364" s="1374"/>
      <c r="XCK1364" s="1374"/>
      <c r="XCL1364" s="1374"/>
      <c r="XCM1364" s="1374"/>
      <c r="XCN1364" s="1374"/>
      <c r="XCO1364" s="1374"/>
      <c r="XCP1364" s="1374"/>
      <c r="XCQ1364" s="1374"/>
      <c r="XCR1364" s="1374"/>
      <c r="XCS1364" s="1374"/>
      <c r="XCT1364" s="1374"/>
      <c r="XCU1364" s="1374"/>
      <c r="XCV1364" s="1374"/>
      <c r="XCW1364" s="1374"/>
      <c r="XCX1364" s="1374"/>
      <c r="XCY1364" s="1374"/>
      <c r="XCZ1364" s="1374"/>
      <c r="XDA1364" s="1374"/>
      <c r="XDB1364" s="1374"/>
      <c r="XDC1364" s="1374"/>
      <c r="XDD1364" s="1374"/>
      <c r="XDE1364" s="1374"/>
      <c r="XDF1364" s="1374"/>
      <c r="XDG1364" s="1374"/>
      <c r="XDH1364" s="1374"/>
      <c r="XDI1364" s="1374"/>
      <c r="XDJ1364" s="1374"/>
      <c r="XDK1364" s="1374"/>
      <c r="XDL1364" s="1374"/>
      <c r="XDM1364" s="1374"/>
      <c r="XDN1364" s="1374"/>
      <c r="XDO1364" s="1374"/>
      <c r="XDP1364" s="1374"/>
      <c r="XDQ1364" s="1374"/>
      <c r="XDR1364" s="1374"/>
      <c r="XDS1364" s="1374"/>
      <c r="XDT1364" s="1374"/>
      <c r="XDU1364" s="1374"/>
      <c r="XDV1364" s="1374"/>
      <c r="XDW1364" s="1374"/>
      <c r="XDX1364" s="1374"/>
      <c r="XDY1364" s="1374"/>
      <c r="XDZ1364" s="1374"/>
      <c r="XEA1364" s="1374"/>
      <c r="XEB1364" s="1374"/>
      <c r="XEC1364" s="1374"/>
      <c r="XED1364" s="1374"/>
      <c r="XEE1364" s="1374"/>
      <c r="XEF1364" s="1374"/>
      <c r="XEG1364" s="1374"/>
      <c r="XEH1364" s="1374"/>
      <c r="XEI1364" s="1374"/>
      <c r="XEJ1364" s="1374"/>
      <c r="XEK1364" s="1374"/>
      <c r="XEL1364" s="1374"/>
      <c r="XEM1364" s="1374"/>
      <c r="XEN1364" s="1374"/>
      <c r="XEO1364" s="1374"/>
      <c r="XEP1364" s="1374"/>
      <c r="XEQ1364" s="1374"/>
      <c r="XER1364" s="1374"/>
      <c r="XES1364" s="1374"/>
      <c r="XET1364" s="1374"/>
      <c r="XEU1364" s="1374"/>
      <c r="XEV1364" s="1374"/>
      <c r="XEW1364" s="1374"/>
      <c r="XEX1364" s="1374"/>
      <c r="XEY1364" s="1374"/>
      <c r="XEZ1364" s="1374"/>
      <c r="XFA1364" s="1374"/>
      <c r="XFB1364" s="1374"/>
      <c r="XFC1364" s="1374"/>
      <c r="XFD1364" s="1374"/>
    </row>
    <row r="1365" s="1267" customFormat="1" ht="31" customHeight="1" spans="1:100 16239:16384">
      <c r="A1365" s="608">
        <v>46206</v>
      </c>
      <c r="B1365" s="609" t="s">
        <v>5335</v>
      </c>
      <c r="C1365" s="610" t="s">
        <v>411</v>
      </c>
      <c r="D1365" s="554">
        <v>4500214891</v>
      </c>
      <c r="E1365" s="610"/>
      <c r="F1365" s="554" t="s">
        <v>5336</v>
      </c>
      <c r="G1365" s="610" t="s">
        <v>68</v>
      </c>
      <c r="H1365" s="610" t="s">
        <v>69</v>
      </c>
      <c r="I1365" s="715">
        <v>1200</v>
      </c>
      <c r="J1365" s="610">
        <v>0</v>
      </c>
      <c r="K1365" s="610">
        <v>12</v>
      </c>
      <c r="L1365" s="611">
        <f t="shared" si="432"/>
        <v>100</v>
      </c>
      <c r="M1365" s="612">
        <v>46248</v>
      </c>
      <c r="N1365" s="612">
        <v>46244</v>
      </c>
      <c r="O1365" s="613"/>
      <c r="P1365" s="610" t="s">
        <v>113</v>
      </c>
      <c r="Q1365" s="614">
        <v>46255</v>
      </c>
      <c r="R1365" s="614">
        <v>46216</v>
      </c>
      <c r="S1365" s="614" t="s">
        <v>70</v>
      </c>
      <c r="T1365" s="614" t="s">
        <v>5337</v>
      </c>
      <c r="U1365" s="614"/>
      <c r="V1365" s="614"/>
      <c r="W1365" s="609"/>
      <c r="X1365" s="738" t="s">
        <v>5338</v>
      </c>
      <c r="Y1365" s="616" t="s">
        <v>305</v>
      </c>
      <c r="Z1365" s="625">
        <v>4.3734</v>
      </c>
      <c r="AA1365" s="616">
        <f t="shared" si="427"/>
        <v>5248.08</v>
      </c>
      <c r="AB1365" s="554"/>
      <c r="AC1365" s="617"/>
      <c r="AD1365" s="610" t="s">
        <v>184</v>
      </c>
      <c r="AE1365" s="610" t="s">
        <v>82</v>
      </c>
      <c r="AF1365" s="610"/>
      <c r="AG1365" s="610"/>
      <c r="AH1365" s="610"/>
      <c r="AI1365" s="609">
        <v>1200</v>
      </c>
      <c r="AJ1365" s="610">
        <f t="shared" si="424"/>
        <v>0</v>
      </c>
      <c r="AK1365" s="610"/>
      <c r="AL1365" s="610" t="s">
        <v>454</v>
      </c>
      <c r="AM1365" s="554"/>
      <c r="AN1365" s="554">
        <f t="shared" si="422"/>
        <v>1200</v>
      </c>
      <c r="AO1365" s="554"/>
      <c r="AP1365" s="554"/>
      <c r="AQ1365" s="554"/>
      <c r="AR1365" s="554"/>
      <c r="AS1365" s="554">
        <f>I1365</f>
        <v>1200</v>
      </c>
      <c r="AT1365" s="554"/>
      <c r="AU1365" s="554">
        <f t="shared" si="429"/>
        <v>1200</v>
      </c>
      <c r="AV1365" s="554"/>
      <c r="AW1365" s="554">
        <f t="shared" si="430"/>
        <v>1200</v>
      </c>
      <c r="AX1365" s="714"/>
      <c r="AY1365" s="554"/>
      <c r="AZ1365" s="554"/>
      <c r="BA1365" s="554"/>
      <c r="BB1365" s="554"/>
      <c r="BC1365" s="554"/>
      <c r="BD1365" s="554"/>
      <c r="BE1365" s="554"/>
      <c r="BF1365" s="554"/>
      <c r="BG1365" s="554"/>
      <c r="BH1365" s="554"/>
      <c r="BI1365" s="554"/>
      <c r="BJ1365" s="554"/>
      <c r="BK1365" s="554"/>
      <c r="BL1365" s="554"/>
      <c r="BM1365" s="554"/>
      <c r="BN1365" s="554"/>
      <c r="BO1365" s="554"/>
      <c r="BP1365" s="554"/>
      <c r="BQ1365" s="554"/>
      <c r="BR1365" s="554"/>
      <c r="BS1365" s="554"/>
      <c r="BT1365" s="554"/>
      <c r="BU1365" s="554"/>
      <c r="BV1365" s="554"/>
      <c r="BW1365" s="554"/>
      <c r="BX1365" s="554"/>
      <c r="BY1365" s="554"/>
      <c r="BZ1365" s="554"/>
      <c r="CA1365" s="554"/>
      <c r="CB1365" s="554"/>
      <c r="CC1365" s="554"/>
      <c r="CD1365" s="554"/>
      <c r="CE1365" s="554"/>
      <c r="CF1365" s="554"/>
      <c r="CG1365" s="554"/>
      <c r="CH1365" s="619"/>
      <c r="CI1365" s="619"/>
      <c r="CJ1365" s="619"/>
      <c r="CK1365" s="619"/>
      <c r="CL1365" s="619"/>
      <c r="CM1365" s="554"/>
      <c r="CN1365" s="554"/>
      <c r="CO1365" s="554"/>
      <c r="CP1365" s="619"/>
      <c r="CQ1365" s="619"/>
      <c r="CR1365" s="619"/>
      <c r="CS1365" s="619"/>
      <c r="CT1365" s="619"/>
      <c r="CU1365" s="619"/>
      <c r="WZO1365" s="1374"/>
      <c r="WZP1365" s="1374"/>
      <c r="WZQ1365" s="1374"/>
      <c r="WZR1365" s="1374"/>
      <c r="WZS1365" s="1374"/>
      <c r="WZT1365" s="1374"/>
      <c r="WZU1365" s="1374"/>
      <c r="WZV1365" s="1374"/>
      <c r="WZW1365" s="1374"/>
      <c r="WZX1365" s="1374"/>
      <c r="WZY1365" s="1374"/>
      <c r="WZZ1365" s="1374"/>
      <c r="XAA1365" s="1374"/>
      <c r="XAB1365" s="1374"/>
      <c r="XAC1365" s="1374"/>
      <c r="XAD1365" s="1374"/>
      <c r="XAE1365" s="1374"/>
      <c r="XAF1365" s="1374"/>
      <c r="XAG1365" s="1374"/>
      <c r="XAH1365" s="1374"/>
      <c r="XAI1365" s="1374"/>
      <c r="XAJ1365" s="1374"/>
      <c r="XAK1365" s="1374"/>
      <c r="XAL1365" s="1374"/>
      <c r="XAM1365" s="1374"/>
      <c r="XAN1365" s="1374"/>
      <c r="XAO1365" s="1374"/>
      <c r="XAP1365" s="1374"/>
      <c r="XAQ1365" s="1374"/>
      <c r="XAR1365" s="1374"/>
      <c r="XAS1365" s="1374"/>
      <c r="XAT1365" s="1374"/>
      <c r="XAU1365" s="1374"/>
      <c r="XAV1365" s="1374"/>
      <c r="XAW1365" s="1374"/>
      <c r="XAX1365" s="1374"/>
      <c r="XAY1365" s="1374"/>
      <c r="XAZ1365" s="1374"/>
      <c r="XBA1365" s="1374"/>
      <c r="XBB1365" s="1374"/>
      <c r="XBC1365" s="1374"/>
      <c r="XBD1365" s="1374"/>
      <c r="XBE1365" s="1374"/>
      <c r="XBF1365" s="1374"/>
      <c r="XBG1365" s="1374"/>
      <c r="XBH1365" s="1374"/>
      <c r="XBI1365" s="1374"/>
      <c r="XBJ1365" s="1374"/>
      <c r="XBK1365" s="1374"/>
      <c r="XBL1365" s="1374"/>
      <c r="XBM1365" s="1374"/>
      <c r="XBN1365" s="1374"/>
      <c r="XBO1365" s="1374"/>
      <c r="XBP1365" s="1374"/>
      <c r="XBQ1365" s="1374"/>
      <c r="XBR1365" s="1374"/>
      <c r="XBS1365" s="1374"/>
      <c r="XBT1365" s="1374"/>
      <c r="XBU1365" s="1374"/>
      <c r="XBV1365" s="1374"/>
      <c r="XBW1365" s="1374"/>
      <c r="XBX1365" s="1374"/>
      <c r="XBY1365" s="1374"/>
      <c r="XBZ1365" s="1374"/>
      <c r="XCA1365" s="1374"/>
      <c r="XCB1365" s="1374"/>
      <c r="XCC1365" s="1374"/>
      <c r="XCD1365" s="1374"/>
      <c r="XCE1365" s="1374"/>
      <c r="XCF1365" s="1374"/>
      <c r="XCG1365" s="1374"/>
      <c r="XCH1365" s="1374"/>
      <c r="XCI1365" s="1374"/>
      <c r="XCJ1365" s="1374"/>
      <c r="XCK1365" s="1374"/>
      <c r="XCL1365" s="1374"/>
      <c r="XCM1365" s="1374"/>
      <c r="XCN1365" s="1374"/>
      <c r="XCO1365" s="1374"/>
      <c r="XCP1365" s="1374"/>
      <c r="XCQ1365" s="1374"/>
      <c r="XCR1365" s="1374"/>
      <c r="XCS1365" s="1374"/>
      <c r="XCT1365" s="1374"/>
      <c r="XCU1365" s="1374"/>
      <c r="XCV1365" s="1374"/>
      <c r="XCW1365" s="1374"/>
      <c r="XCX1365" s="1374"/>
      <c r="XCY1365" s="1374"/>
      <c r="XCZ1365" s="1374"/>
      <c r="XDA1365" s="1374"/>
      <c r="XDB1365" s="1374"/>
      <c r="XDC1365" s="1374"/>
      <c r="XDD1365" s="1374"/>
      <c r="XDE1365" s="1374"/>
      <c r="XDF1365" s="1374"/>
      <c r="XDG1365" s="1374"/>
      <c r="XDH1365" s="1374"/>
      <c r="XDI1365" s="1374"/>
      <c r="XDJ1365" s="1374"/>
      <c r="XDK1365" s="1374"/>
      <c r="XDL1365" s="1374"/>
      <c r="XDM1365" s="1374"/>
      <c r="XDN1365" s="1374"/>
      <c r="XDO1365" s="1374"/>
      <c r="XDP1365" s="1374"/>
      <c r="XDQ1365" s="1374"/>
      <c r="XDR1365" s="1374"/>
      <c r="XDS1365" s="1374"/>
      <c r="XDT1365" s="1374"/>
      <c r="XDU1365" s="1374"/>
      <c r="XDV1365" s="1374"/>
      <c r="XDW1365" s="1374"/>
      <c r="XDX1365" s="1374"/>
      <c r="XDY1365" s="1374"/>
      <c r="XDZ1365" s="1374"/>
      <c r="XEA1365" s="1374"/>
      <c r="XEB1365" s="1374"/>
      <c r="XEC1365" s="1374"/>
      <c r="XED1365" s="1374"/>
      <c r="XEE1365" s="1374"/>
      <c r="XEF1365" s="1374"/>
      <c r="XEG1365" s="1374"/>
      <c r="XEH1365" s="1374"/>
      <c r="XEI1365" s="1374"/>
      <c r="XEJ1365" s="1374"/>
      <c r="XEK1365" s="1374"/>
      <c r="XEL1365" s="1374"/>
      <c r="XEM1365" s="1374"/>
      <c r="XEN1365" s="1374"/>
      <c r="XEO1365" s="1374"/>
      <c r="XEP1365" s="1374"/>
      <c r="XEQ1365" s="1374"/>
      <c r="XER1365" s="1374"/>
      <c r="XES1365" s="1374"/>
      <c r="XET1365" s="1374"/>
      <c r="XEU1365" s="1374"/>
      <c r="XEV1365" s="1374"/>
      <c r="XEW1365" s="1374"/>
      <c r="XEX1365" s="1374"/>
      <c r="XEY1365" s="1374"/>
      <c r="XEZ1365" s="1374"/>
      <c r="XFA1365" s="1374"/>
      <c r="XFB1365" s="1374"/>
      <c r="XFC1365" s="1374"/>
      <c r="XFD1365" s="1374"/>
    </row>
    <row r="1366" s="1267" customFormat="1" ht="31" customHeight="1" spans="1:100 16239:16384">
      <c r="A1366" s="608">
        <v>46205</v>
      </c>
      <c r="B1366" s="609" t="s">
        <v>143</v>
      </c>
      <c r="C1366" s="610" t="s">
        <v>98</v>
      </c>
      <c r="D1366" s="554" t="s">
        <v>5339</v>
      </c>
      <c r="E1366" s="610" t="s">
        <v>5340</v>
      </c>
      <c r="F1366" s="554" t="s">
        <v>5341</v>
      </c>
      <c r="G1366" s="610" t="s">
        <v>101</v>
      </c>
      <c r="H1366" s="610" t="s">
        <v>102</v>
      </c>
      <c r="I1366" s="715">
        <v>4160</v>
      </c>
      <c r="J1366" s="610">
        <v>0</v>
      </c>
      <c r="K1366" s="610">
        <v>4</v>
      </c>
      <c r="L1366" s="611">
        <f t="shared" si="432"/>
        <v>1040</v>
      </c>
      <c r="M1366" s="612">
        <v>46251</v>
      </c>
      <c r="N1366" s="612">
        <v>46247</v>
      </c>
      <c r="O1366" s="613" t="s">
        <v>5342</v>
      </c>
      <c r="P1366" s="610" t="s">
        <v>113</v>
      </c>
      <c r="Q1366" s="614">
        <v>46261</v>
      </c>
      <c r="R1366" s="614" t="s">
        <v>4563</v>
      </c>
      <c r="S1366" s="614" t="s">
        <v>70</v>
      </c>
      <c r="T1366" s="614" t="s">
        <v>5343</v>
      </c>
      <c r="U1366" s="614"/>
      <c r="V1366" s="614"/>
      <c r="W1366" s="609"/>
      <c r="X1366" s="609" t="s">
        <v>4904</v>
      </c>
      <c r="Y1366" s="616" t="s">
        <v>4871</v>
      </c>
      <c r="Z1366" s="625">
        <v>2.6761</v>
      </c>
      <c r="AA1366" s="616">
        <f t="shared" si="427"/>
        <v>11132.576</v>
      </c>
      <c r="AB1366" s="554"/>
      <c r="AC1366" s="617"/>
      <c r="AD1366" s="610" t="s">
        <v>101</v>
      </c>
      <c r="AE1366" s="610" t="s">
        <v>82</v>
      </c>
      <c r="AF1366" s="610"/>
      <c r="AG1366" s="610"/>
      <c r="AH1366" s="610"/>
      <c r="AI1366" s="609">
        <v>4160</v>
      </c>
      <c r="AJ1366" s="613">
        <f t="shared" si="424"/>
        <v>0</v>
      </c>
      <c r="AK1366" s="610"/>
      <c r="AL1366" s="610" t="s">
        <v>2368</v>
      </c>
      <c r="AM1366" s="554"/>
      <c r="AN1366" s="554">
        <f t="shared" si="422"/>
        <v>4160</v>
      </c>
      <c r="AO1366" s="554"/>
      <c r="AP1366" s="554"/>
      <c r="AQ1366" s="554"/>
      <c r="AR1366" s="554">
        <f>I1366</f>
        <v>4160</v>
      </c>
      <c r="AS1366" s="554"/>
      <c r="AT1366" s="554"/>
      <c r="AU1366" s="554">
        <f t="shared" si="429"/>
        <v>4160</v>
      </c>
      <c r="AV1366" s="554"/>
      <c r="AW1366" s="554">
        <f t="shared" si="430"/>
        <v>4160</v>
      </c>
      <c r="AX1366" s="714"/>
      <c r="AY1366" s="554"/>
      <c r="AZ1366" s="554"/>
      <c r="BA1366" s="554"/>
      <c r="BB1366" s="554"/>
      <c r="BC1366" s="554"/>
      <c r="BD1366" s="554"/>
      <c r="BE1366" s="554"/>
      <c r="BF1366" s="554"/>
      <c r="BG1366" s="554"/>
      <c r="BH1366" s="554">
        <f>I1366/4</f>
        <v>1040</v>
      </c>
      <c r="BI1366" s="554"/>
      <c r="BJ1366" s="554"/>
      <c r="BK1366" s="554"/>
      <c r="BL1366" s="554"/>
      <c r="BM1366" s="554"/>
      <c r="BN1366" s="554"/>
      <c r="BO1366" s="554"/>
      <c r="BP1366" s="554"/>
      <c r="BQ1366" s="554"/>
      <c r="BR1366" s="554"/>
      <c r="BS1366" s="554"/>
      <c r="BT1366" s="554"/>
      <c r="BU1366" s="554"/>
      <c r="BV1366" s="554"/>
      <c r="BW1366" s="554"/>
      <c r="BX1366" s="554"/>
      <c r="BY1366" s="554"/>
      <c r="BZ1366" s="554"/>
      <c r="CA1366" s="554"/>
      <c r="CB1366" s="554"/>
      <c r="CC1366" s="554"/>
      <c r="CD1366" s="554"/>
      <c r="CE1366" s="554"/>
      <c r="CF1366" s="554"/>
      <c r="CG1366" s="554"/>
      <c r="CH1366" s="619"/>
      <c r="CI1366" s="619"/>
      <c r="CJ1366" s="619"/>
      <c r="CK1366" s="619"/>
      <c r="CL1366" s="619"/>
      <c r="CM1366" s="554"/>
      <c r="CN1366" s="554"/>
      <c r="CO1366" s="554"/>
      <c r="CP1366" s="619"/>
      <c r="CQ1366" s="619"/>
      <c r="CR1366" s="619"/>
      <c r="CS1366" s="619"/>
      <c r="CT1366" s="619"/>
      <c r="CU1366" s="619"/>
      <c r="WZO1366" s="1374"/>
      <c r="WZP1366" s="1374"/>
      <c r="WZQ1366" s="1374"/>
      <c r="WZR1366" s="1374"/>
      <c r="WZS1366" s="1374"/>
      <c r="WZT1366" s="1374"/>
      <c r="WZU1366" s="1374"/>
      <c r="WZV1366" s="1374"/>
      <c r="WZW1366" s="1374"/>
      <c r="WZX1366" s="1374"/>
      <c r="WZY1366" s="1374"/>
      <c r="WZZ1366" s="1374"/>
      <c r="XAA1366" s="1374"/>
      <c r="XAB1366" s="1374"/>
      <c r="XAC1366" s="1374"/>
      <c r="XAD1366" s="1374"/>
      <c r="XAE1366" s="1374"/>
      <c r="XAF1366" s="1374"/>
      <c r="XAG1366" s="1374"/>
      <c r="XAH1366" s="1374"/>
      <c r="XAI1366" s="1374"/>
      <c r="XAJ1366" s="1374"/>
      <c r="XAK1366" s="1374"/>
      <c r="XAL1366" s="1374"/>
      <c r="XAM1366" s="1374"/>
      <c r="XAN1366" s="1374"/>
      <c r="XAO1366" s="1374"/>
      <c r="XAP1366" s="1374"/>
      <c r="XAQ1366" s="1374"/>
      <c r="XAR1366" s="1374"/>
      <c r="XAS1366" s="1374"/>
      <c r="XAT1366" s="1374"/>
      <c r="XAU1366" s="1374"/>
      <c r="XAV1366" s="1374"/>
      <c r="XAW1366" s="1374"/>
      <c r="XAX1366" s="1374"/>
      <c r="XAY1366" s="1374"/>
      <c r="XAZ1366" s="1374"/>
      <c r="XBA1366" s="1374"/>
      <c r="XBB1366" s="1374"/>
      <c r="XBC1366" s="1374"/>
      <c r="XBD1366" s="1374"/>
      <c r="XBE1366" s="1374"/>
      <c r="XBF1366" s="1374"/>
      <c r="XBG1366" s="1374"/>
      <c r="XBH1366" s="1374"/>
      <c r="XBI1366" s="1374"/>
      <c r="XBJ1366" s="1374"/>
      <c r="XBK1366" s="1374"/>
      <c r="XBL1366" s="1374"/>
      <c r="XBM1366" s="1374"/>
      <c r="XBN1366" s="1374"/>
      <c r="XBO1366" s="1374"/>
      <c r="XBP1366" s="1374"/>
      <c r="XBQ1366" s="1374"/>
      <c r="XBR1366" s="1374"/>
      <c r="XBS1366" s="1374"/>
      <c r="XBT1366" s="1374"/>
      <c r="XBU1366" s="1374"/>
      <c r="XBV1366" s="1374"/>
      <c r="XBW1366" s="1374"/>
      <c r="XBX1366" s="1374"/>
      <c r="XBY1366" s="1374"/>
      <c r="XBZ1366" s="1374"/>
      <c r="XCA1366" s="1374"/>
      <c r="XCB1366" s="1374"/>
      <c r="XCC1366" s="1374"/>
      <c r="XCD1366" s="1374"/>
      <c r="XCE1366" s="1374"/>
      <c r="XCF1366" s="1374"/>
      <c r="XCG1366" s="1374"/>
      <c r="XCH1366" s="1374"/>
      <c r="XCI1366" s="1374"/>
      <c r="XCJ1366" s="1374"/>
      <c r="XCK1366" s="1374"/>
      <c r="XCL1366" s="1374"/>
      <c r="XCM1366" s="1374"/>
      <c r="XCN1366" s="1374"/>
      <c r="XCO1366" s="1374"/>
      <c r="XCP1366" s="1374"/>
      <c r="XCQ1366" s="1374"/>
      <c r="XCR1366" s="1374"/>
      <c r="XCS1366" s="1374"/>
      <c r="XCT1366" s="1374"/>
      <c r="XCU1366" s="1374"/>
      <c r="XCV1366" s="1374"/>
      <c r="XCW1366" s="1374"/>
      <c r="XCX1366" s="1374"/>
      <c r="XCY1366" s="1374"/>
      <c r="XCZ1366" s="1374"/>
      <c r="XDA1366" s="1374"/>
      <c r="XDB1366" s="1374"/>
      <c r="XDC1366" s="1374"/>
      <c r="XDD1366" s="1374"/>
      <c r="XDE1366" s="1374"/>
      <c r="XDF1366" s="1374"/>
      <c r="XDG1366" s="1374"/>
      <c r="XDH1366" s="1374"/>
      <c r="XDI1366" s="1374"/>
      <c r="XDJ1366" s="1374"/>
      <c r="XDK1366" s="1374"/>
      <c r="XDL1366" s="1374"/>
      <c r="XDM1366" s="1374"/>
      <c r="XDN1366" s="1374"/>
      <c r="XDO1366" s="1374"/>
      <c r="XDP1366" s="1374"/>
      <c r="XDQ1366" s="1374"/>
      <c r="XDR1366" s="1374"/>
      <c r="XDS1366" s="1374"/>
      <c r="XDT1366" s="1374"/>
      <c r="XDU1366" s="1374"/>
      <c r="XDV1366" s="1374"/>
      <c r="XDW1366" s="1374"/>
      <c r="XDX1366" s="1374"/>
      <c r="XDY1366" s="1374"/>
      <c r="XDZ1366" s="1374"/>
      <c r="XEA1366" s="1374"/>
      <c r="XEB1366" s="1374"/>
      <c r="XEC1366" s="1374"/>
      <c r="XED1366" s="1374"/>
      <c r="XEE1366" s="1374"/>
      <c r="XEF1366" s="1374"/>
      <c r="XEG1366" s="1374"/>
      <c r="XEH1366" s="1374"/>
      <c r="XEI1366" s="1374"/>
      <c r="XEJ1366" s="1374"/>
      <c r="XEK1366" s="1374"/>
      <c r="XEL1366" s="1374"/>
      <c r="XEM1366" s="1374"/>
      <c r="XEN1366" s="1374"/>
      <c r="XEO1366" s="1374"/>
      <c r="XEP1366" s="1374"/>
      <c r="XEQ1366" s="1374"/>
      <c r="XER1366" s="1374"/>
      <c r="XES1366" s="1374"/>
      <c r="XET1366" s="1374"/>
      <c r="XEU1366" s="1374"/>
      <c r="XEV1366" s="1374"/>
      <c r="XEW1366" s="1374"/>
      <c r="XEX1366" s="1374"/>
      <c r="XEY1366" s="1374"/>
      <c r="XEZ1366" s="1374"/>
      <c r="XFA1366" s="1374"/>
      <c r="XFB1366" s="1374"/>
      <c r="XFC1366" s="1374"/>
      <c r="XFD1366" s="1374"/>
    </row>
    <row r="1367" s="1267" customFormat="1" ht="31" customHeight="1" spans="1:100 16239:16384">
      <c r="A1367" s="608">
        <v>46169</v>
      </c>
      <c r="B1367" s="609" t="s">
        <v>143</v>
      </c>
      <c r="C1367" s="610" t="s">
        <v>98</v>
      </c>
      <c r="D1367" s="554" t="s">
        <v>5320</v>
      </c>
      <c r="E1367" s="610" t="s">
        <v>5344</v>
      </c>
      <c r="F1367" s="554" t="s">
        <v>5345</v>
      </c>
      <c r="G1367" s="610" t="s">
        <v>101</v>
      </c>
      <c r="H1367" s="610" t="s">
        <v>102</v>
      </c>
      <c r="I1367" s="715">
        <v>1920</v>
      </c>
      <c r="J1367" s="610">
        <v>0</v>
      </c>
      <c r="K1367" s="610">
        <v>4</v>
      </c>
      <c r="L1367" s="611">
        <f t="shared" si="432"/>
        <v>480</v>
      </c>
      <c r="M1367" s="724">
        <v>46253</v>
      </c>
      <c r="N1367" s="724">
        <v>46249</v>
      </c>
      <c r="O1367" s="613" t="s">
        <v>5342</v>
      </c>
      <c r="P1367" s="610" t="s">
        <v>113</v>
      </c>
      <c r="Q1367" s="614"/>
      <c r="R1367" s="614" t="s">
        <v>4563</v>
      </c>
      <c r="S1367" s="614" t="s">
        <v>70</v>
      </c>
      <c r="T1367" s="614" t="s">
        <v>4869</v>
      </c>
      <c r="U1367" s="614"/>
      <c r="V1367" s="614"/>
      <c r="W1367" s="609"/>
      <c r="X1367" s="609" t="s">
        <v>4904</v>
      </c>
      <c r="Y1367" s="616" t="s">
        <v>4871</v>
      </c>
      <c r="Z1367" s="625">
        <v>2.6794</v>
      </c>
      <c r="AA1367" s="616">
        <f t="shared" si="427"/>
        <v>5144.448</v>
      </c>
      <c r="AB1367" s="554"/>
      <c r="AC1367" s="630" t="s">
        <v>5346</v>
      </c>
      <c r="AD1367" s="610" t="s">
        <v>101</v>
      </c>
      <c r="AE1367" s="610" t="s">
        <v>82</v>
      </c>
      <c r="AF1367" s="610"/>
      <c r="AG1367" s="610"/>
      <c r="AH1367" s="610"/>
      <c r="AI1367" s="609">
        <v>1920</v>
      </c>
      <c r="AJ1367" s="613">
        <f t="shared" si="424"/>
        <v>0</v>
      </c>
      <c r="AK1367" s="610"/>
      <c r="AL1367" s="610" t="s">
        <v>2368</v>
      </c>
      <c r="AM1367" s="554"/>
      <c r="AN1367" s="554">
        <f t="shared" si="422"/>
        <v>1920</v>
      </c>
      <c r="AO1367" s="554"/>
      <c r="AP1367" s="554"/>
      <c r="AQ1367" s="554"/>
      <c r="AR1367" s="554">
        <f>I1367</f>
        <v>1920</v>
      </c>
      <c r="AS1367" s="554"/>
      <c r="AT1367" s="554"/>
      <c r="AU1367" s="554">
        <f t="shared" si="429"/>
        <v>1920</v>
      </c>
      <c r="AV1367" s="554"/>
      <c r="AW1367" s="554">
        <f t="shared" si="430"/>
        <v>1920</v>
      </c>
      <c r="AX1367" s="714"/>
      <c r="AY1367" s="554"/>
      <c r="AZ1367" s="554"/>
      <c r="BA1367" s="554"/>
      <c r="BB1367" s="554"/>
      <c r="BC1367" s="554"/>
      <c r="BD1367" s="554"/>
      <c r="BE1367" s="554"/>
      <c r="BF1367" s="554"/>
      <c r="BG1367" s="554"/>
      <c r="BH1367" s="554">
        <f>I1367/4</f>
        <v>480</v>
      </c>
      <c r="BI1367" s="554"/>
      <c r="BJ1367" s="554"/>
      <c r="BK1367" s="554"/>
      <c r="BL1367" s="554"/>
      <c r="BM1367" s="554"/>
      <c r="BN1367" s="554"/>
      <c r="BO1367" s="554"/>
      <c r="BP1367" s="554"/>
      <c r="BQ1367" s="554"/>
      <c r="BR1367" s="554"/>
      <c r="BS1367" s="554"/>
      <c r="BT1367" s="554"/>
      <c r="BU1367" s="554"/>
      <c r="BV1367" s="554"/>
      <c r="BW1367" s="554"/>
      <c r="BX1367" s="554"/>
      <c r="BY1367" s="554"/>
      <c r="BZ1367" s="554"/>
      <c r="CA1367" s="554"/>
      <c r="CB1367" s="554"/>
      <c r="CC1367" s="554"/>
      <c r="CD1367" s="554"/>
      <c r="CE1367" s="554"/>
      <c r="CF1367" s="554"/>
      <c r="CG1367" s="554"/>
      <c r="CH1367" s="619"/>
      <c r="CI1367" s="619"/>
      <c r="CJ1367" s="619"/>
      <c r="CK1367" s="619"/>
      <c r="CL1367" s="619"/>
      <c r="CM1367" s="554"/>
      <c r="CN1367" s="554"/>
      <c r="CO1367" s="554"/>
      <c r="CP1367" s="619"/>
      <c r="CQ1367" s="619"/>
      <c r="CR1367" s="619"/>
      <c r="CS1367" s="619"/>
      <c r="CT1367" s="619"/>
      <c r="CU1367" s="619"/>
      <c r="CV1367" s="1267"/>
      <c r="WZO1367" s="1374"/>
      <c r="WZP1367" s="1374"/>
      <c r="WZQ1367" s="1374"/>
      <c r="WZR1367" s="1374"/>
      <c r="WZS1367" s="1374"/>
      <c r="WZT1367" s="1374"/>
      <c r="WZU1367" s="1374"/>
      <c r="WZV1367" s="1374"/>
      <c r="WZW1367" s="1374"/>
      <c r="WZX1367" s="1374"/>
      <c r="WZY1367" s="1374"/>
      <c r="WZZ1367" s="1374"/>
      <c r="XAA1367" s="1374"/>
      <c r="XAB1367" s="1374"/>
      <c r="XAC1367" s="1374"/>
      <c r="XAD1367" s="1374"/>
      <c r="XAE1367" s="1374"/>
      <c r="XAF1367" s="1374"/>
      <c r="XAG1367" s="1374"/>
      <c r="XAH1367" s="1374"/>
      <c r="XAI1367" s="1374"/>
      <c r="XAJ1367" s="1374"/>
      <c r="XAK1367" s="1374"/>
      <c r="XAL1367" s="1374"/>
      <c r="XAM1367" s="1374"/>
      <c r="XAN1367" s="1374"/>
      <c r="XAO1367" s="1374"/>
      <c r="XAP1367" s="1374"/>
      <c r="XAQ1367" s="1374"/>
      <c r="XAR1367" s="1374"/>
      <c r="XAS1367" s="1374"/>
      <c r="XAT1367" s="1374"/>
      <c r="XAU1367" s="1374"/>
      <c r="XAV1367" s="1374"/>
      <c r="XAW1367" s="1374"/>
      <c r="XAX1367" s="1374"/>
      <c r="XAY1367" s="1374"/>
      <c r="XAZ1367" s="1374"/>
      <c r="XBA1367" s="1374"/>
      <c r="XBB1367" s="1374"/>
      <c r="XBC1367" s="1374"/>
      <c r="XBD1367" s="1374"/>
      <c r="XBE1367" s="1374"/>
      <c r="XBF1367" s="1374"/>
      <c r="XBG1367" s="1374"/>
      <c r="XBH1367" s="1374"/>
      <c r="XBI1367" s="1374"/>
      <c r="XBJ1367" s="1374"/>
      <c r="XBK1367" s="1374"/>
      <c r="XBL1367" s="1374"/>
      <c r="XBM1367" s="1374"/>
      <c r="XBN1367" s="1374"/>
      <c r="XBO1367" s="1374"/>
      <c r="XBP1367" s="1374"/>
      <c r="XBQ1367" s="1374"/>
      <c r="XBR1367" s="1374"/>
      <c r="XBS1367" s="1374"/>
      <c r="XBT1367" s="1374"/>
      <c r="XBU1367" s="1374"/>
      <c r="XBV1367" s="1374"/>
      <c r="XBW1367" s="1374"/>
      <c r="XBX1367" s="1374"/>
      <c r="XBY1367" s="1374"/>
      <c r="XBZ1367" s="1374"/>
      <c r="XCA1367" s="1374"/>
      <c r="XCB1367" s="1374"/>
      <c r="XCC1367" s="1374"/>
      <c r="XCD1367" s="1374"/>
      <c r="XCE1367" s="1374"/>
      <c r="XCF1367" s="1374"/>
      <c r="XCG1367" s="1374"/>
      <c r="XCH1367" s="1374"/>
      <c r="XCI1367" s="1374"/>
      <c r="XCJ1367" s="1374"/>
      <c r="XCK1367" s="1374"/>
      <c r="XCL1367" s="1374"/>
      <c r="XCM1367" s="1374"/>
      <c r="XCN1367" s="1374"/>
      <c r="XCO1367" s="1374"/>
      <c r="XCP1367" s="1374"/>
      <c r="XCQ1367" s="1374"/>
      <c r="XCR1367" s="1374"/>
      <c r="XCS1367" s="1374"/>
      <c r="XCT1367" s="1374"/>
      <c r="XCU1367" s="1374"/>
      <c r="XCV1367" s="1374"/>
      <c r="XCW1367" s="1374"/>
      <c r="XCX1367" s="1374"/>
      <c r="XCY1367" s="1374"/>
      <c r="XCZ1367" s="1374"/>
      <c r="XDA1367" s="1374"/>
      <c r="XDB1367" s="1374"/>
      <c r="XDC1367" s="1374"/>
      <c r="XDD1367" s="1374"/>
      <c r="XDE1367" s="1374"/>
      <c r="XDF1367" s="1374"/>
      <c r="XDG1367" s="1374"/>
      <c r="XDH1367" s="1374"/>
      <c r="XDI1367" s="1374"/>
      <c r="XDJ1367" s="1374"/>
      <c r="XDK1367" s="1374"/>
      <c r="XDL1367" s="1374"/>
      <c r="XDM1367" s="1374"/>
      <c r="XDN1367" s="1374"/>
      <c r="XDO1367" s="1374"/>
      <c r="XDP1367" s="1374"/>
      <c r="XDQ1367" s="1374"/>
      <c r="XDR1367" s="1374"/>
      <c r="XDS1367" s="1374"/>
      <c r="XDT1367" s="1374"/>
      <c r="XDU1367" s="1374"/>
      <c r="XDV1367" s="1374"/>
      <c r="XDW1367" s="1374"/>
      <c r="XDX1367" s="1374"/>
      <c r="XDY1367" s="1374"/>
      <c r="XDZ1367" s="1374"/>
      <c r="XEA1367" s="1374"/>
      <c r="XEB1367" s="1374"/>
      <c r="XEC1367" s="1374"/>
      <c r="XED1367" s="1374"/>
      <c r="XEE1367" s="1374"/>
      <c r="XEF1367" s="1374"/>
      <c r="XEG1367" s="1374"/>
      <c r="XEH1367" s="1374"/>
      <c r="XEI1367" s="1374"/>
      <c r="XEJ1367" s="1374"/>
      <c r="XEK1367" s="1374"/>
      <c r="XEL1367" s="1374"/>
      <c r="XEM1367" s="1374"/>
      <c r="XEN1367" s="1374"/>
      <c r="XEO1367" s="1374"/>
      <c r="XEP1367" s="1374"/>
      <c r="XEQ1367" s="1374"/>
      <c r="XER1367" s="1374"/>
      <c r="XES1367" s="1374"/>
      <c r="XET1367" s="1374"/>
      <c r="XEU1367" s="1374"/>
      <c r="XEV1367" s="1374"/>
      <c r="XEW1367" s="1374"/>
      <c r="XEX1367" s="1374"/>
      <c r="XEY1367" s="1374"/>
      <c r="XEZ1367" s="1374"/>
      <c r="XFA1367" s="1374"/>
      <c r="XFB1367" s="1374"/>
      <c r="XFC1367" s="1374"/>
      <c r="XFD1367" s="1374"/>
    </row>
    <row r="1368" s="1267" customFormat="1" ht="31" customHeight="1" spans="1:100 16239:16384">
      <c r="A1368" s="608">
        <v>46206</v>
      </c>
      <c r="B1368" s="609"/>
      <c r="C1368" s="610" t="s">
        <v>4137</v>
      </c>
      <c r="D1368" s="554" t="s">
        <v>5347</v>
      </c>
      <c r="E1368" s="610"/>
      <c r="F1368" s="554" t="s">
        <v>5348</v>
      </c>
      <c r="G1368" s="610" t="s">
        <v>4533</v>
      </c>
      <c r="H1368" s="610" t="s">
        <v>2537</v>
      </c>
      <c r="I1368" s="715">
        <v>40</v>
      </c>
      <c r="J1368" s="610">
        <v>0</v>
      </c>
      <c r="K1368" s="610">
        <v>1</v>
      </c>
      <c r="L1368" s="611">
        <f t="shared" si="432"/>
        <v>40</v>
      </c>
      <c r="M1368" s="612">
        <v>46217</v>
      </c>
      <c r="N1368" s="612">
        <v>46213</v>
      </c>
      <c r="O1368" s="613"/>
      <c r="P1368" s="610" t="s">
        <v>113</v>
      </c>
      <c r="Q1368" s="614"/>
      <c r="R1368" s="614">
        <v>46206</v>
      </c>
      <c r="S1368" s="614" t="s">
        <v>70</v>
      </c>
      <c r="T1368" s="614" t="s">
        <v>70</v>
      </c>
      <c r="U1368" s="614"/>
      <c r="V1368" s="614"/>
      <c r="W1368" s="609"/>
      <c r="X1368" s="609" t="s">
        <v>5349</v>
      </c>
      <c r="Y1368" s="616" t="s">
        <v>85</v>
      </c>
      <c r="Z1368" s="625"/>
      <c r="AA1368" s="616"/>
      <c r="AB1368" s="554"/>
      <c r="AC1368" s="617"/>
      <c r="AD1368" s="610" t="s">
        <v>73</v>
      </c>
      <c r="AE1368" s="610" t="s">
        <v>73</v>
      </c>
      <c r="AF1368" s="610"/>
      <c r="AG1368" s="610"/>
      <c r="AH1368" s="610"/>
      <c r="AI1368" s="609"/>
      <c r="AJ1368" s="610">
        <f t="shared" si="424"/>
        <v>-40</v>
      </c>
      <c r="AK1368" s="610"/>
      <c r="AL1368" s="610"/>
      <c r="AM1368" s="554"/>
      <c r="AN1368" s="554"/>
      <c r="AO1368" s="554"/>
      <c r="AP1368" s="554"/>
      <c r="AQ1368" s="554"/>
      <c r="AR1368" s="554"/>
      <c r="AS1368" s="554"/>
      <c r="AT1368" s="554"/>
      <c r="AU1368" s="554"/>
      <c r="AV1368" s="554"/>
      <c r="AW1368" s="554"/>
      <c r="AX1368" s="714"/>
      <c r="AY1368" s="554"/>
      <c r="AZ1368" s="554"/>
      <c r="BA1368" s="554"/>
      <c r="BB1368" s="554"/>
      <c r="BC1368" s="554"/>
      <c r="BD1368" s="554"/>
      <c r="BE1368" s="554"/>
      <c r="BF1368" s="554"/>
      <c r="BG1368" s="554"/>
      <c r="BH1368" s="554"/>
      <c r="BI1368" s="554"/>
      <c r="BJ1368" s="554"/>
      <c r="BK1368" s="554"/>
      <c r="BL1368" s="554"/>
      <c r="BM1368" s="554"/>
      <c r="BN1368" s="554"/>
      <c r="BO1368" s="554"/>
      <c r="BP1368" s="554"/>
      <c r="BQ1368" s="554"/>
      <c r="BR1368" s="554"/>
      <c r="BS1368" s="554"/>
      <c r="BT1368" s="554"/>
      <c r="BU1368" s="554"/>
      <c r="BV1368" s="554"/>
      <c r="BW1368" s="554"/>
      <c r="BX1368" s="554"/>
      <c r="BY1368" s="554"/>
      <c r="BZ1368" s="554"/>
      <c r="CA1368" s="554"/>
      <c r="CB1368" s="554"/>
      <c r="CC1368" s="554"/>
      <c r="CD1368" s="554"/>
      <c r="CE1368" s="554"/>
      <c r="CF1368" s="554"/>
      <c r="CG1368" s="554"/>
      <c r="CH1368" s="619"/>
      <c r="CI1368" s="619"/>
      <c r="CJ1368" s="619"/>
      <c r="CK1368" s="619"/>
      <c r="CL1368" s="619"/>
      <c r="CM1368" s="554"/>
      <c r="CN1368" s="554"/>
      <c r="CO1368" s="554"/>
      <c r="CP1368" s="619"/>
      <c r="CQ1368" s="619"/>
      <c r="CR1368" s="619"/>
      <c r="CS1368" s="619"/>
      <c r="CT1368" s="619"/>
      <c r="CU1368" s="619"/>
      <c r="WZO1368" s="1374"/>
      <c r="WZP1368" s="1374"/>
      <c r="WZQ1368" s="1374"/>
      <c r="WZR1368" s="1374"/>
      <c r="WZS1368" s="1374"/>
      <c r="WZT1368" s="1374"/>
      <c r="WZU1368" s="1374"/>
      <c r="WZV1368" s="1374"/>
      <c r="WZW1368" s="1374"/>
      <c r="WZX1368" s="1374"/>
      <c r="WZY1368" s="1374"/>
      <c r="WZZ1368" s="1374"/>
      <c r="XAA1368" s="1374"/>
      <c r="XAB1368" s="1374"/>
      <c r="XAC1368" s="1374"/>
      <c r="XAD1368" s="1374"/>
      <c r="XAE1368" s="1374"/>
      <c r="XAF1368" s="1374"/>
      <c r="XAG1368" s="1374"/>
      <c r="XAH1368" s="1374"/>
      <c r="XAI1368" s="1374"/>
      <c r="XAJ1368" s="1374"/>
      <c r="XAK1368" s="1374"/>
      <c r="XAL1368" s="1374"/>
      <c r="XAM1368" s="1374"/>
      <c r="XAN1368" s="1374"/>
      <c r="XAO1368" s="1374"/>
      <c r="XAP1368" s="1374"/>
      <c r="XAQ1368" s="1374"/>
      <c r="XAR1368" s="1374"/>
      <c r="XAS1368" s="1374"/>
      <c r="XAT1368" s="1374"/>
      <c r="XAU1368" s="1374"/>
      <c r="XAV1368" s="1374"/>
      <c r="XAW1368" s="1374"/>
      <c r="XAX1368" s="1374"/>
      <c r="XAY1368" s="1374"/>
      <c r="XAZ1368" s="1374"/>
      <c r="XBA1368" s="1374"/>
      <c r="XBB1368" s="1374"/>
      <c r="XBC1368" s="1374"/>
      <c r="XBD1368" s="1374"/>
      <c r="XBE1368" s="1374"/>
      <c r="XBF1368" s="1374"/>
      <c r="XBG1368" s="1374"/>
      <c r="XBH1368" s="1374"/>
      <c r="XBI1368" s="1374"/>
      <c r="XBJ1368" s="1374"/>
      <c r="XBK1368" s="1374"/>
      <c r="XBL1368" s="1374"/>
      <c r="XBM1368" s="1374"/>
      <c r="XBN1368" s="1374"/>
      <c r="XBO1368" s="1374"/>
      <c r="XBP1368" s="1374"/>
      <c r="XBQ1368" s="1374"/>
      <c r="XBR1368" s="1374"/>
      <c r="XBS1368" s="1374"/>
      <c r="XBT1368" s="1374"/>
      <c r="XBU1368" s="1374"/>
      <c r="XBV1368" s="1374"/>
      <c r="XBW1368" s="1374"/>
      <c r="XBX1368" s="1374"/>
      <c r="XBY1368" s="1374"/>
      <c r="XBZ1368" s="1374"/>
      <c r="XCA1368" s="1374"/>
      <c r="XCB1368" s="1374"/>
      <c r="XCC1368" s="1374"/>
      <c r="XCD1368" s="1374"/>
      <c r="XCE1368" s="1374"/>
      <c r="XCF1368" s="1374"/>
      <c r="XCG1368" s="1374"/>
      <c r="XCH1368" s="1374"/>
      <c r="XCI1368" s="1374"/>
      <c r="XCJ1368" s="1374"/>
      <c r="XCK1368" s="1374"/>
      <c r="XCL1368" s="1374"/>
      <c r="XCM1368" s="1374"/>
      <c r="XCN1368" s="1374"/>
      <c r="XCO1368" s="1374"/>
      <c r="XCP1368" s="1374"/>
      <c r="XCQ1368" s="1374"/>
      <c r="XCR1368" s="1374"/>
      <c r="XCS1368" s="1374"/>
      <c r="XCT1368" s="1374"/>
      <c r="XCU1368" s="1374"/>
      <c r="XCV1368" s="1374"/>
      <c r="XCW1368" s="1374"/>
      <c r="XCX1368" s="1374"/>
      <c r="XCY1368" s="1374"/>
      <c r="XCZ1368" s="1374"/>
      <c r="XDA1368" s="1374"/>
      <c r="XDB1368" s="1374"/>
      <c r="XDC1368" s="1374"/>
      <c r="XDD1368" s="1374"/>
      <c r="XDE1368" s="1374"/>
      <c r="XDF1368" s="1374"/>
      <c r="XDG1368" s="1374"/>
      <c r="XDH1368" s="1374"/>
      <c r="XDI1368" s="1374"/>
      <c r="XDJ1368" s="1374"/>
      <c r="XDK1368" s="1374"/>
      <c r="XDL1368" s="1374"/>
      <c r="XDM1368" s="1374"/>
      <c r="XDN1368" s="1374"/>
      <c r="XDO1368" s="1374"/>
      <c r="XDP1368" s="1374"/>
      <c r="XDQ1368" s="1374"/>
      <c r="XDR1368" s="1374"/>
      <c r="XDS1368" s="1374"/>
      <c r="XDT1368" s="1374"/>
      <c r="XDU1368" s="1374"/>
      <c r="XDV1368" s="1374"/>
      <c r="XDW1368" s="1374"/>
      <c r="XDX1368" s="1374"/>
      <c r="XDY1368" s="1374"/>
      <c r="XDZ1368" s="1374"/>
      <c r="XEA1368" s="1374"/>
      <c r="XEB1368" s="1374"/>
      <c r="XEC1368" s="1374"/>
      <c r="XED1368" s="1374"/>
      <c r="XEE1368" s="1374"/>
      <c r="XEF1368" s="1374"/>
      <c r="XEG1368" s="1374"/>
      <c r="XEH1368" s="1374"/>
      <c r="XEI1368" s="1374"/>
      <c r="XEJ1368" s="1374"/>
      <c r="XEK1368" s="1374"/>
      <c r="XEL1368" s="1374"/>
      <c r="XEM1368" s="1374"/>
      <c r="XEN1368" s="1374"/>
      <c r="XEO1368" s="1374"/>
      <c r="XEP1368" s="1374"/>
      <c r="XEQ1368" s="1374"/>
      <c r="XER1368" s="1374"/>
      <c r="XES1368" s="1374"/>
      <c r="XET1368" s="1374"/>
      <c r="XEU1368" s="1374"/>
      <c r="XEV1368" s="1374"/>
      <c r="XEW1368" s="1374"/>
      <c r="XEX1368" s="1374"/>
      <c r="XEY1368" s="1374"/>
      <c r="XEZ1368" s="1374"/>
      <c r="XFA1368" s="1374"/>
      <c r="XFB1368" s="1374"/>
      <c r="XFC1368" s="1374"/>
      <c r="XFD1368" s="1374"/>
    </row>
    <row r="1369" s="1267" customFormat="1" ht="31" customHeight="1" spans="1:100 16239:16384">
      <c r="A1369" s="608">
        <v>46125</v>
      </c>
      <c r="B1369" s="609" t="s">
        <v>549</v>
      </c>
      <c r="C1369" s="610" t="s">
        <v>278</v>
      </c>
      <c r="D1369" s="554">
        <v>4500201292</v>
      </c>
      <c r="E1369" s="610" t="s">
        <v>5350</v>
      </c>
      <c r="F1369" s="554" t="s">
        <v>5351</v>
      </c>
      <c r="G1369" s="610" t="s">
        <v>68</v>
      </c>
      <c r="H1369" s="610" t="s">
        <v>69</v>
      </c>
      <c r="I1369" s="715">
        <v>1008</v>
      </c>
      <c r="J1369" s="610">
        <v>0</v>
      </c>
      <c r="K1369" s="610">
        <v>12</v>
      </c>
      <c r="L1369" s="611">
        <f t="shared" si="432"/>
        <v>84</v>
      </c>
      <c r="M1369" s="612">
        <v>46237</v>
      </c>
      <c r="N1369" s="612">
        <v>46233</v>
      </c>
      <c r="O1369" s="613" t="s">
        <v>5352</v>
      </c>
      <c r="P1369" s="610" t="s">
        <v>113</v>
      </c>
      <c r="Q1369" s="614" t="s">
        <v>5353</v>
      </c>
      <c r="R1369" s="614" t="s">
        <v>463</v>
      </c>
      <c r="S1369" s="614" t="s">
        <v>104</v>
      </c>
      <c r="T1369" s="614" t="s">
        <v>5354</v>
      </c>
      <c r="U1369" s="614"/>
      <c r="V1369" s="614"/>
      <c r="W1369" s="609"/>
      <c r="X1369" s="609" t="s">
        <v>5355</v>
      </c>
      <c r="Y1369" s="616" t="s">
        <v>428</v>
      </c>
      <c r="Z1369" s="625">
        <v>4.2173</v>
      </c>
      <c r="AA1369" s="616">
        <f t="shared" ref="AA1369:AA1386" si="433">Z1369*I1369</f>
        <v>4251.0384</v>
      </c>
      <c r="AB1369" s="554"/>
      <c r="AC1369" s="617"/>
      <c r="AD1369" s="610" t="s">
        <v>184</v>
      </c>
      <c r="AE1369" s="610" t="s">
        <v>82</v>
      </c>
      <c r="AF1369" s="610"/>
      <c r="AG1369" s="610"/>
      <c r="AH1369" s="610"/>
      <c r="AI1369" s="609">
        <f>612+396</f>
        <v>1008</v>
      </c>
      <c r="AJ1369" s="610">
        <f t="shared" si="424"/>
        <v>0</v>
      </c>
      <c r="AK1369" s="610"/>
      <c r="AL1369" s="610" t="s">
        <v>2368</v>
      </c>
      <c r="AM1369" s="554"/>
      <c r="AN1369" s="554">
        <f t="shared" ref="AN1369:AN1387" si="434">I1369</f>
        <v>1008</v>
      </c>
      <c r="AO1369" s="554"/>
      <c r="AP1369" s="554"/>
      <c r="AQ1369" s="554"/>
      <c r="AR1369" s="554"/>
      <c r="AS1369" s="554">
        <f>I1369</f>
        <v>1008</v>
      </c>
      <c r="AT1369" s="554"/>
      <c r="AU1369" s="554">
        <f t="shared" ref="AU1369:AU1387" si="435">I1369</f>
        <v>1008</v>
      </c>
      <c r="AV1369" s="554"/>
      <c r="AW1369" s="554">
        <f t="shared" ref="AW1369:AW1386" si="436">I1369</f>
        <v>1008</v>
      </c>
      <c r="AX1369" s="714"/>
      <c r="AY1369" s="554"/>
      <c r="AZ1369" s="554"/>
      <c r="BA1369" s="554"/>
      <c r="BB1369" s="554"/>
      <c r="BC1369" s="554"/>
      <c r="BD1369" s="554"/>
      <c r="BE1369" s="554"/>
      <c r="BF1369" s="554"/>
      <c r="BG1369" s="554"/>
      <c r="BH1369" s="554"/>
      <c r="BI1369" s="554"/>
      <c r="BJ1369" s="554"/>
      <c r="BK1369" s="554"/>
      <c r="BL1369" s="554"/>
      <c r="BM1369" s="554"/>
      <c r="BN1369" s="554"/>
      <c r="BO1369" s="554"/>
      <c r="BP1369" s="554"/>
      <c r="BQ1369" s="554"/>
      <c r="BR1369" s="554"/>
      <c r="BS1369" s="554"/>
      <c r="BT1369" s="554"/>
      <c r="BU1369" s="554"/>
      <c r="BV1369" s="554"/>
      <c r="BW1369" s="554"/>
      <c r="BX1369" s="554"/>
      <c r="BY1369" s="554"/>
      <c r="BZ1369" s="554"/>
      <c r="CA1369" s="554"/>
      <c r="CB1369" s="554"/>
      <c r="CC1369" s="554"/>
      <c r="CD1369" s="554"/>
      <c r="CE1369" s="554"/>
      <c r="CF1369" s="554"/>
      <c r="CG1369" s="554"/>
      <c r="CH1369" s="619"/>
      <c r="CI1369" s="619"/>
      <c r="CJ1369" s="619"/>
      <c r="CK1369" s="619"/>
      <c r="CL1369" s="619"/>
      <c r="CM1369" s="554"/>
      <c r="CN1369" s="554"/>
      <c r="CO1369" s="554"/>
      <c r="CP1369" s="619"/>
      <c r="CQ1369" s="619"/>
      <c r="CR1369" s="619"/>
      <c r="CS1369" s="619"/>
      <c r="CT1369" s="619"/>
      <c r="CU1369" s="619"/>
      <c r="WZO1369" s="1374"/>
      <c r="WZP1369" s="1374"/>
      <c r="WZQ1369" s="1374"/>
      <c r="WZR1369" s="1374"/>
      <c r="WZS1369" s="1374"/>
      <c r="WZT1369" s="1374"/>
      <c r="WZU1369" s="1374"/>
      <c r="WZV1369" s="1374"/>
      <c r="WZW1369" s="1374"/>
      <c r="WZX1369" s="1374"/>
      <c r="WZY1369" s="1374"/>
      <c r="WZZ1369" s="1374"/>
      <c r="XAA1369" s="1374"/>
      <c r="XAB1369" s="1374"/>
      <c r="XAC1369" s="1374"/>
      <c r="XAD1369" s="1374"/>
      <c r="XAE1369" s="1374"/>
      <c r="XAF1369" s="1374"/>
      <c r="XAG1369" s="1374"/>
      <c r="XAH1369" s="1374"/>
      <c r="XAI1369" s="1374"/>
      <c r="XAJ1369" s="1374"/>
      <c r="XAK1369" s="1374"/>
      <c r="XAL1369" s="1374"/>
      <c r="XAM1369" s="1374"/>
      <c r="XAN1369" s="1374"/>
      <c r="XAO1369" s="1374"/>
      <c r="XAP1369" s="1374"/>
      <c r="XAQ1369" s="1374"/>
      <c r="XAR1369" s="1374"/>
      <c r="XAS1369" s="1374"/>
      <c r="XAT1369" s="1374"/>
      <c r="XAU1369" s="1374"/>
      <c r="XAV1369" s="1374"/>
      <c r="XAW1369" s="1374"/>
      <c r="XAX1369" s="1374"/>
      <c r="XAY1369" s="1374"/>
      <c r="XAZ1369" s="1374"/>
      <c r="XBA1369" s="1374"/>
      <c r="XBB1369" s="1374"/>
      <c r="XBC1369" s="1374"/>
      <c r="XBD1369" s="1374"/>
      <c r="XBE1369" s="1374"/>
      <c r="XBF1369" s="1374"/>
      <c r="XBG1369" s="1374"/>
      <c r="XBH1369" s="1374"/>
      <c r="XBI1369" s="1374"/>
      <c r="XBJ1369" s="1374"/>
      <c r="XBK1369" s="1374"/>
      <c r="XBL1369" s="1374"/>
      <c r="XBM1369" s="1374"/>
      <c r="XBN1369" s="1374"/>
      <c r="XBO1369" s="1374"/>
      <c r="XBP1369" s="1374"/>
      <c r="XBQ1369" s="1374"/>
      <c r="XBR1369" s="1374"/>
      <c r="XBS1369" s="1374"/>
      <c r="XBT1369" s="1374"/>
      <c r="XBU1369" s="1374"/>
      <c r="XBV1369" s="1374"/>
      <c r="XBW1369" s="1374"/>
      <c r="XBX1369" s="1374"/>
      <c r="XBY1369" s="1374"/>
      <c r="XBZ1369" s="1374"/>
      <c r="XCA1369" s="1374"/>
      <c r="XCB1369" s="1374"/>
      <c r="XCC1369" s="1374"/>
      <c r="XCD1369" s="1374"/>
      <c r="XCE1369" s="1374"/>
      <c r="XCF1369" s="1374"/>
      <c r="XCG1369" s="1374"/>
      <c r="XCH1369" s="1374"/>
      <c r="XCI1369" s="1374"/>
      <c r="XCJ1369" s="1374"/>
      <c r="XCK1369" s="1374"/>
      <c r="XCL1369" s="1374"/>
      <c r="XCM1369" s="1374"/>
      <c r="XCN1369" s="1374"/>
      <c r="XCO1369" s="1374"/>
      <c r="XCP1369" s="1374"/>
      <c r="XCQ1369" s="1374"/>
      <c r="XCR1369" s="1374"/>
      <c r="XCS1369" s="1374"/>
      <c r="XCT1369" s="1374"/>
      <c r="XCU1369" s="1374"/>
      <c r="XCV1369" s="1374"/>
      <c r="XCW1369" s="1374"/>
      <c r="XCX1369" s="1374"/>
      <c r="XCY1369" s="1374"/>
      <c r="XCZ1369" s="1374"/>
      <c r="XDA1369" s="1374"/>
      <c r="XDB1369" s="1374"/>
      <c r="XDC1369" s="1374"/>
      <c r="XDD1369" s="1374"/>
      <c r="XDE1369" s="1374"/>
      <c r="XDF1369" s="1374"/>
      <c r="XDG1369" s="1374"/>
      <c r="XDH1369" s="1374"/>
      <c r="XDI1369" s="1374"/>
      <c r="XDJ1369" s="1374"/>
      <c r="XDK1369" s="1374"/>
      <c r="XDL1369" s="1374"/>
      <c r="XDM1369" s="1374"/>
      <c r="XDN1369" s="1374"/>
      <c r="XDO1369" s="1374"/>
      <c r="XDP1369" s="1374"/>
      <c r="XDQ1369" s="1374"/>
      <c r="XDR1369" s="1374"/>
      <c r="XDS1369" s="1374"/>
      <c r="XDT1369" s="1374"/>
      <c r="XDU1369" s="1374"/>
      <c r="XDV1369" s="1374"/>
      <c r="XDW1369" s="1374"/>
      <c r="XDX1369" s="1374"/>
      <c r="XDY1369" s="1374"/>
      <c r="XDZ1369" s="1374"/>
      <c r="XEA1369" s="1374"/>
      <c r="XEB1369" s="1374"/>
      <c r="XEC1369" s="1374"/>
      <c r="XED1369" s="1374"/>
      <c r="XEE1369" s="1374"/>
      <c r="XEF1369" s="1374"/>
      <c r="XEG1369" s="1374"/>
      <c r="XEH1369" s="1374"/>
      <c r="XEI1369" s="1374"/>
      <c r="XEJ1369" s="1374"/>
      <c r="XEK1369" s="1374"/>
      <c r="XEL1369" s="1374"/>
      <c r="XEM1369" s="1374"/>
      <c r="XEN1369" s="1374"/>
      <c r="XEO1369" s="1374"/>
      <c r="XEP1369" s="1374"/>
      <c r="XEQ1369" s="1374"/>
      <c r="XER1369" s="1374"/>
      <c r="XES1369" s="1374"/>
      <c r="XET1369" s="1374"/>
      <c r="XEU1369" s="1374"/>
      <c r="XEV1369" s="1374"/>
      <c r="XEW1369" s="1374"/>
      <c r="XEX1369" s="1374"/>
      <c r="XEY1369" s="1374"/>
      <c r="XEZ1369" s="1374"/>
      <c r="XFA1369" s="1374"/>
      <c r="XFB1369" s="1374"/>
      <c r="XFC1369" s="1374"/>
      <c r="XFD1369" s="1374"/>
    </row>
    <row r="1370" s="1267" customFormat="1" ht="31" customHeight="1" spans="1:100 16239:16384">
      <c r="A1370" s="608">
        <v>46153</v>
      </c>
      <c r="B1370" s="609" t="s">
        <v>1503</v>
      </c>
      <c r="C1370" s="610" t="s">
        <v>98</v>
      </c>
      <c r="D1370" s="554" t="s">
        <v>5356</v>
      </c>
      <c r="E1370" s="610" t="s">
        <v>5357</v>
      </c>
      <c r="F1370" s="554" t="s">
        <v>5358</v>
      </c>
      <c r="G1370" s="610" t="s">
        <v>68</v>
      </c>
      <c r="H1370" s="610" t="s">
        <v>69</v>
      </c>
      <c r="I1370" s="715">
        <v>3660</v>
      </c>
      <c r="J1370" s="610">
        <v>0</v>
      </c>
      <c r="K1370" s="610">
        <v>12</v>
      </c>
      <c r="L1370" s="611">
        <f t="shared" si="432"/>
        <v>305</v>
      </c>
      <c r="M1370" s="612">
        <v>46240</v>
      </c>
      <c r="N1370" s="724">
        <v>46239</v>
      </c>
      <c r="O1370" s="613"/>
      <c r="P1370" s="610" t="s">
        <v>113</v>
      </c>
      <c r="Q1370" s="614">
        <v>46244</v>
      </c>
      <c r="R1370" s="614">
        <v>46153</v>
      </c>
      <c r="S1370" s="614" t="s">
        <v>104</v>
      </c>
      <c r="T1370" s="614" t="s">
        <v>5359</v>
      </c>
      <c r="U1370" s="614"/>
      <c r="V1370" s="614"/>
      <c r="W1370" s="609"/>
      <c r="X1370" s="609" t="s">
        <v>3915</v>
      </c>
      <c r="Y1370" s="616" t="s">
        <v>125</v>
      </c>
      <c r="Z1370" s="625">
        <v>2.554</v>
      </c>
      <c r="AA1370" s="616">
        <f t="shared" si="433"/>
        <v>9347.64</v>
      </c>
      <c r="AB1370" s="554"/>
      <c r="AC1370" s="617"/>
      <c r="AD1370" s="610" t="s">
        <v>68</v>
      </c>
      <c r="AE1370" s="610" t="s">
        <v>82</v>
      </c>
      <c r="AF1370" s="610"/>
      <c r="AG1370" s="610"/>
      <c r="AH1370" s="610"/>
      <c r="AI1370" s="609">
        <v>3660</v>
      </c>
      <c r="AJ1370" s="613">
        <f t="shared" si="424"/>
        <v>0</v>
      </c>
      <c r="AK1370" s="610"/>
      <c r="AL1370" s="610" t="s">
        <v>2368</v>
      </c>
      <c r="AM1370" s="554"/>
      <c r="AN1370" s="554">
        <f t="shared" si="434"/>
        <v>3660</v>
      </c>
      <c r="AO1370" s="554"/>
      <c r="AP1370" s="554"/>
      <c r="AQ1370" s="554"/>
      <c r="AR1370" s="554">
        <f>I1370</f>
        <v>3660</v>
      </c>
      <c r="AS1370" s="554"/>
      <c r="AT1370" s="554"/>
      <c r="AU1370" s="554">
        <f t="shared" si="435"/>
        <v>3660</v>
      </c>
      <c r="AV1370" s="554"/>
      <c r="AW1370" s="554">
        <f t="shared" si="436"/>
        <v>3660</v>
      </c>
      <c r="AX1370" s="714"/>
      <c r="AY1370" s="554"/>
      <c r="AZ1370" s="554"/>
      <c r="BA1370" s="554"/>
      <c r="BB1370" s="554"/>
      <c r="BC1370" s="554"/>
      <c r="BD1370" s="554"/>
      <c r="BE1370" s="554"/>
      <c r="BF1370" s="554"/>
      <c r="BG1370" s="554"/>
      <c r="BH1370" s="554"/>
      <c r="BI1370" s="554"/>
      <c r="BJ1370" s="554"/>
      <c r="BK1370" s="554"/>
      <c r="BL1370" s="554"/>
      <c r="BM1370" s="554"/>
      <c r="BN1370" s="554"/>
      <c r="BO1370" s="554"/>
      <c r="BP1370" s="554"/>
      <c r="BQ1370" s="554"/>
      <c r="BR1370" s="554"/>
      <c r="BS1370" s="554"/>
      <c r="BT1370" s="554"/>
      <c r="BU1370" s="554"/>
      <c r="BV1370" s="554"/>
      <c r="BW1370" s="554"/>
      <c r="BX1370" s="554"/>
      <c r="BY1370" s="554"/>
      <c r="BZ1370" s="554"/>
      <c r="CA1370" s="554"/>
      <c r="CB1370" s="554"/>
      <c r="CC1370" s="554"/>
      <c r="CD1370" s="554"/>
      <c r="CE1370" s="554"/>
      <c r="CF1370" s="554"/>
      <c r="CG1370" s="554"/>
      <c r="CH1370" s="619"/>
      <c r="CI1370" s="619"/>
      <c r="CJ1370" s="619"/>
      <c r="CK1370" s="619"/>
      <c r="CL1370" s="619"/>
      <c r="CM1370" s="554"/>
      <c r="CN1370" s="554"/>
      <c r="CO1370" s="554"/>
      <c r="CP1370" s="619"/>
      <c r="CQ1370" s="619"/>
      <c r="CR1370" s="619"/>
      <c r="CS1370" s="619"/>
      <c r="CT1370" s="619"/>
      <c r="CU1370" s="619"/>
      <c r="CV1370" s="1267"/>
      <c r="WZO1370" s="1374"/>
      <c r="WZP1370" s="1374"/>
      <c r="WZQ1370" s="1374"/>
      <c r="WZR1370" s="1374"/>
      <c r="WZS1370" s="1374"/>
      <c r="WZT1370" s="1374"/>
      <c r="WZU1370" s="1374"/>
      <c r="WZV1370" s="1374"/>
      <c r="WZW1370" s="1374"/>
      <c r="WZX1370" s="1374"/>
      <c r="WZY1370" s="1374"/>
      <c r="WZZ1370" s="1374"/>
      <c r="XAA1370" s="1374"/>
      <c r="XAB1370" s="1374"/>
      <c r="XAC1370" s="1374"/>
      <c r="XAD1370" s="1374"/>
      <c r="XAE1370" s="1374"/>
      <c r="XAF1370" s="1374"/>
      <c r="XAG1370" s="1374"/>
      <c r="XAH1370" s="1374"/>
      <c r="XAI1370" s="1374"/>
      <c r="XAJ1370" s="1374"/>
      <c r="XAK1370" s="1374"/>
      <c r="XAL1370" s="1374"/>
      <c r="XAM1370" s="1374"/>
      <c r="XAN1370" s="1374"/>
      <c r="XAO1370" s="1374"/>
      <c r="XAP1370" s="1374"/>
      <c r="XAQ1370" s="1374"/>
      <c r="XAR1370" s="1374"/>
      <c r="XAS1370" s="1374"/>
      <c r="XAT1370" s="1374"/>
      <c r="XAU1370" s="1374"/>
      <c r="XAV1370" s="1374"/>
      <c r="XAW1370" s="1374"/>
      <c r="XAX1370" s="1374"/>
      <c r="XAY1370" s="1374"/>
      <c r="XAZ1370" s="1374"/>
      <c r="XBA1370" s="1374"/>
      <c r="XBB1370" s="1374"/>
      <c r="XBC1370" s="1374"/>
      <c r="XBD1370" s="1374"/>
      <c r="XBE1370" s="1374"/>
      <c r="XBF1370" s="1374"/>
      <c r="XBG1370" s="1374"/>
      <c r="XBH1370" s="1374"/>
      <c r="XBI1370" s="1374"/>
      <c r="XBJ1370" s="1374"/>
      <c r="XBK1370" s="1374"/>
      <c r="XBL1370" s="1374"/>
      <c r="XBM1370" s="1374"/>
      <c r="XBN1370" s="1374"/>
      <c r="XBO1370" s="1374"/>
      <c r="XBP1370" s="1374"/>
      <c r="XBQ1370" s="1374"/>
      <c r="XBR1370" s="1374"/>
      <c r="XBS1370" s="1374"/>
      <c r="XBT1370" s="1374"/>
      <c r="XBU1370" s="1374"/>
      <c r="XBV1370" s="1374"/>
      <c r="XBW1370" s="1374"/>
      <c r="XBX1370" s="1374"/>
      <c r="XBY1370" s="1374"/>
      <c r="XBZ1370" s="1374"/>
      <c r="XCA1370" s="1374"/>
      <c r="XCB1370" s="1374"/>
      <c r="XCC1370" s="1374"/>
      <c r="XCD1370" s="1374"/>
      <c r="XCE1370" s="1374"/>
      <c r="XCF1370" s="1374"/>
      <c r="XCG1370" s="1374"/>
      <c r="XCH1370" s="1374"/>
      <c r="XCI1370" s="1374"/>
      <c r="XCJ1370" s="1374"/>
      <c r="XCK1370" s="1374"/>
      <c r="XCL1370" s="1374"/>
      <c r="XCM1370" s="1374"/>
      <c r="XCN1370" s="1374"/>
      <c r="XCO1370" s="1374"/>
      <c r="XCP1370" s="1374"/>
      <c r="XCQ1370" s="1374"/>
      <c r="XCR1370" s="1374"/>
      <c r="XCS1370" s="1374"/>
      <c r="XCT1370" s="1374"/>
      <c r="XCU1370" s="1374"/>
      <c r="XCV1370" s="1374"/>
      <c r="XCW1370" s="1374"/>
      <c r="XCX1370" s="1374"/>
      <c r="XCY1370" s="1374"/>
      <c r="XCZ1370" s="1374"/>
      <c r="XDA1370" s="1374"/>
      <c r="XDB1370" s="1374"/>
      <c r="XDC1370" s="1374"/>
      <c r="XDD1370" s="1374"/>
      <c r="XDE1370" s="1374"/>
      <c r="XDF1370" s="1374"/>
      <c r="XDG1370" s="1374"/>
      <c r="XDH1370" s="1374"/>
      <c r="XDI1370" s="1374"/>
      <c r="XDJ1370" s="1374"/>
      <c r="XDK1370" s="1374"/>
      <c r="XDL1370" s="1374"/>
      <c r="XDM1370" s="1374"/>
      <c r="XDN1370" s="1374"/>
      <c r="XDO1370" s="1374"/>
      <c r="XDP1370" s="1374"/>
      <c r="XDQ1370" s="1374"/>
      <c r="XDR1370" s="1374"/>
      <c r="XDS1370" s="1374"/>
      <c r="XDT1370" s="1374"/>
      <c r="XDU1370" s="1374"/>
      <c r="XDV1370" s="1374"/>
      <c r="XDW1370" s="1374"/>
      <c r="XDX1370" s="1374"/>
      <c r="XDY1370" s="1374"/>
      <c r="XDZ1370" s="1374"/>
      <c r="XEA1370" s="1374"/>
      <c r="XEB1370" s="1374"/>
      <c r="XEC1370" s="1374"/>
      <c r="XED1370" s="1374"/>
      <c r="XEE1370" s="1374"/>
      <c r="XEF1370" s="1374"/>
      <c r="XEG1370" s="1374"/>
      <c r="XEH1370" s="1374"/>
      <c r="XEI1370" s="1374"/>
      <c r="XEJ1370" s="1374"/>
      <c r="XEK1370" s="1374"/>
      <c r="XEL1370" s="1374"/>
      <c r="XEM1370" s="1374"/>
      <c r="XEN1370" s="1374"/>
      <c r="XEO1370" s="1374"/>
      <c r="XEP1370" s="1374"/>
      <c r="XEQ1370" s="1374"/>
      <c r="XER1370" s="1374"/>
      <c r="XES1370" s="1374"/>
      <c r="XET1370" s="1374"/>
      <c r="XEU1370" s="1374"/>
      <c r="XEV1370" s="1374"/>
      <c r="XEW1370" s="1374"/>
      <c r="XEX1370" s="1374"/>
      <c r="XEY1370" s="1374"/>
      <c r="XEZ1370" s="1374"/>
      <c r="XFA1370" s="1374"/>
      <c r="XFB1370" s="1374"/>
      <c r="XFC1370" s="1374"/>
      <c r="XFD1370" s="1374"/>
    </row>
    <row r="1371" s="1267" customFormat="1" ht="31" customHeight="1" spans="1:100 16239:16384">
      <c r="A1371" s="608">
        <v>46160</v>
      </c>
      <c r="B1371" s="609" t="s">
        <v>1922</v>
      </c>
      <c r="C1371" s="610" t="s">
        <v>278</v>
      </c>
      <c r="D1371" s="554" t="s">
        <v>5360</v>
      </c>
      <c r="E1371" s="610" t="s">
        <v>5361</v>
      </c>
      <c r="F1371" s="554" t="s">
        <v>5362</v>
      </c>
      <c r="G1371" s="610" t="s">
        <v>68</v>
      </c>
      <c r="H1371" s="610" t="s">
        <v>69</v>
      </c>
      <c r="I1371" s="715">
        <v>2556</v>
      </c>
      <c r="J1371" s="610">
        <v>0</v>
      </c>
      <c r="K1371" s="610">
        <v>12</v>
      </c>
      <c r="L1371" s="611">
        <f t="shared" si="432"/>
        <v>213</v>
      </c>
      <c r="M1371" s="612">
        <v>46240</v>
      </c>
      <c r="N1371" s="612">
        <v>46237</v>
      </c>
      <c r="O1371" s="613" t="s">
        <v>5363</v>
      </c>
      <c r="P1371" s="610" t="s">
        <v>113</v>
      </c>
      <c r="Q1371" s="614"/>
      <c r="R1371" s="614" t="s">
        <v>463</v>
      </c>
      <c r="S1371" s="614" t="s">
        <v>104</v>
      </c>
      <c r="T1371" s="614" t="s">
        <v>5364</v>
      </c>
      <c r="U1371" s="614"/>
      <c r="V1371" s="614"/>
      <c r="W1371" s="609"/>
      <c r="X1371" s="609" t="s">
        <v>5365</v>
      </c>
      <c r="Y1371" s="616" t="s">
        <v>466</v>
      </c>
      <c r="Z1371" s="625">
        <v>4.3734</v>
      </c>
      <c r="AA1371" s="616">
        <f t="shared" si="433"/>
        <v>11178.4104</v>
      </c>
      <c r="AB1371" s="729"/>
      <c r="AC1371" s="617"/>
      <c r="AD1371" s="610" t="s">
        <v>184</v>
      </c>
      <c r="AE1371" s="610" t="s">
        <v>82</v>
      </c>
      <c r="AF1371" s="610"/>
      <c r="AG1371" s="610"/>
      <c r="AH1371" s="610"/>
      <c r="AI1371" s="609">
        <v>2556</v>
      </c>
      <c r="AJ1371" s="610">
        <f t="shared" si="424"/>
        <v>0</v>
      </c>
      <c r="AK1371" s="610"/>
      <c r="AL1371" s="610" t="s">
        <v>2368</v>
      </c>
      <c r="AM1371" s="554"/>
      <c r="AN1371" s="554">
        <f t="shared" si="434"/>
        <v>2556</v>
      </c>
      <c r="AO1371" s="554"/>
      <c r="AP1371" s="554"/>
      <c r="AQ1371" s="554"/>
      <c r="AR1371" s="554"/>
      <c r="AS1371" s="554">
        <f>I1371</f>
        <v>2556</v>
      </c>
      <c r="AT1371" s="554"/>
      <c r="AU1371" s="554">
        <f t="shared" si="435"/>
        <v>2556</v>
      </c>
      <c r="AV1371" s="554"/>
      <c r="AW1371" s="554">
        <f t="shared" si="436"/>
        <v>2556</v>
      </c>
      <c r="AX1371" s="714"/>
      <c r="AY1371" s="554"/>
      <c r="AZ1371" s="554"/>
      <c r="BA1371" s="554"/>
      <c r="BB1371" s="554"/>
      <c r="BC1371" s="554"/>
      <c r="BD1371" s="554"/>
      <c r="BE1371" s="554"/>
      <c r="BF1371" s="554"/>
      <c r="BG1371" s="554"/>
      <c r="BH1371" s="554"/>
      <c r="BI1371" s="554"/>
      <c r="BJ1371" s="554"/>
      <c r="BK1371" s="554"/>
      <c r="BL1371" s="554"/>
      <c r="BM1371" s="554"/>
      <c r="BN1371" s="554"/>
      <c r="BO1371" s="554"/>
      <c r="BP1371" s="729"/>
      <c r="BQ1371" s="729"/>
      <c r="BR1371" s="729"/>
      <c r="BS1371" s="729"/>
      <c r="BT1371" s="729"/>
      <c r="BU1371" s="729"/>
      <c r="BV1371" s="729"/>
      <c r="BW1371" s="729"/>
      <c r="BX1371" s="729"/>
      <c r="BY1371" s="729"/>
      <c r="BZ1371" s="729"/>
      <c r="CA1371" s="729"/>
      <c r="CB1371" s="729"/>
      <c r="CC1371" s="729"/>
      <c r="CD1371" s="729"/>
      <c r="CE1371" s="729"/>
      <c r="CF1371" s="729"/>
      <c r="CG1371" s="729"/>
      <c r="CH1371" s="717"/>
      <c r="CI1371" s="717"/>
      <c r="CJ1371" s="717"/>
      <c r="CK1371" s="717"/>
      <c r="CL1371" s="717"/>
      <c r="CM1371" s="729"/>
      <c r="CN1371" s="729"/>
      <c r="CO1371" s="729"/>
      <c r="CP1371" s="717"/>
      <c r="CQ1371" s="717"/>
      <c r="CR1371" s="717"/>
      <c r="CS1371" s="717"/>
      <c r="CT1371" s="717"/>
      <c r="CU1371" s="717"/>
      <c r="CV1371" s="1267"/>
      <c r="WZO1371" s="1374"/>
      <c r="WZP1371" s="1374"/>
      <c r="WZQ1371" s="1374"/>
      <c r="WZR1371" s="1374"/>
      <c r="WZS1371" s="1374"/>
      <c r="WZT1371" s="1374"/>
      <c r="WZU1371" s="1374"/>
      <c r="WZV1371" s="1374"/>
      <c r="WZW1371" s="1374"/>
      <c r="WZX1371" s="1374"/>
      <c r="WZY1371" s="1374"/>
      <c r="WZZ1371" s="1374"/>
      <c r="XAA1371" s="1374"/>
      <c r="XAB1371" s="1374"/>
      <c r="XAC1371" s="1374"/>
      <c r="XAD1371" s="1374"/>
      <c r="XAE1371" s="1374"/>
      <c r="XAF1371" s="1374"/>
      <c r="XAG1371" s="1374"/>
      <c r="XAH1371" s="1374"/>
      <c r="XAI1371" s="1374"/>
      <c r="XAJ1371" s="1374"/>
      <c r="XAK1371" s="1374"/>
      <c r="XAL1371" s="1374"/>
      <c r="XAM1371" s="1374"/>
      <c r="XAN1371" s="1374"/>
      <c r="XAO1371" s="1374"/>
      <c r="XAP1371" s="1374"/>
      <c r="XAQ1371" s="1374"/>
      <c r="XAR1371" s="1374"/>
      <c r="XAS1371" s="1374"/>
      <c r="XAT1371" s="1374"/>
      <c r="XAU1371" s="1374"/>
      <c r="XAV1371" s="1374"/>
      <c r="XAW1371" s="1374"/>
      <c r="XAX1371" s="1374"/>
      <c r="XAY1371" s="1374"/>
      <c r="XAZ1371" s="1374"/>
      <c r="XBA1371" s="1374"/>
      <c r="XBB1371" s="1374"/>
      <c r="XBC1371" s="1374"/>
      <c r="XBD1371" s="1374"/>
      <c r="XBE1371" s="1374"/>
      <c r="XBF1371" s="1374"/>
      <c r="XBG1371" s="1374"/>
      <c r="XBH1371" s="1374"/>
      <c r="XBI1371" s="1374"/>
      <c r="XBJ1371" s="1374"/>
      <c r="XBK1371" s="1374"/>
      <c r="XBL1371" s="1374"/>
      <c r="XBM1371" s="1374"/>
      <c r="XBN1371" s="1374"/>
      <c r="XBO1371" s="1374"/>
      <c r="XBP1371" s="1374"/>
      <c r="XBQ1371" s="1374"/>
      <c r="XBR1371" s="1374"/>
      <c r="XBS1371" s="1374"/>
      <c r="XBT1371" s="1374"/>
      <c r="XBU1371" s="1374"/>
      <c r="XBV1371" s="1374"/>
      <c r="XBW1371" s="1374"/>
      <c r="XBX1371" s="1374"/>
      <c r="XBY1371" s="1374"/>
      <c r="XBZ1371" s="1374"/>
      <c r="XCA1371" s="1374"/>
      <c r="XCB1371" s="1374"/>
      <c r="XCC1371" s="1374"/>
      <c r="XCD1371" s="1374"/>
      <c r="XCE1371" s="1374"/>
      <c r="XCF1371" s="1374"/>
      <c r="XCG1371" s="1374"/>
      <c r="XCH1371" s="1374"/>
      <c r="XCI1371" s="1374"/>
      <c r="XCJ1371" s="1374"/>
      <c r="XCK1371" s="1374"/>
      <c r="XCL1371" s="1374"/>
      <c r="XCM1371" s="1374"/>
      <c r="XCN1371" s="1374"/>
      <c r="XCO1371" s="1374"/>
      <c r="XCP1371" s="1374"/>
      <c r="XCQ1371" s="1374"/>
      <c r="XCR1371" s="1374"/>
      <c r="XCS1371" s="1374"/>
      <c r="XCT1371" s="1374"/>
      <c r="XCU1371" s="1374"/>
      <c r="XCV1371" s="1374"/>
      <c r="XCW1371" s="1374"/>
      <c r="XCX1371" s="1374"/>
      <c r="XCY1371" s="1374"/>
      <c r="XCZ1371" s="1374"/>
      <c r="XDA1371" s="1374"/>
      <c r="XDB1371" s="1374"/>
      <c r="XDC1371" s="1374"/>
      <c r="XDD1371" s="1374"/>
      <c r="XDE1371" s="1374"/>
      <c r="XDF1371" s="1374"/>
      <c r="XDG1371" s="1374"/>
      <c r="XDH1371" s="1374"/>
      <c r="XDI1371" s="1374"/>
      <c r="XDJ1371" s="1374"/>
      <c r="XDK1371" s="1374"/>
      <c r="XDL1371" s="1374"/>
      <c r="XDM1371" s="1374"/>
      <c r="XDN1371" s="1374"/>
      <c r="XDO1371" s="1374"/>
      <c r="XDP1371" s="1374"/>
      <c r="XDQ1371" s="1374"/>
      <c r="XDR1371" s="1374"/>
      <c r="XDS1371" s="1374"/>
      <c r="XDT1371" s="1374"/>
      <c r="XDU1371" s="1374"/>
      <c r="XDV1371" s="1374"/>
      <c r="XDW1371" s="1374"/>
      <c r="XDX1371" s="1374"/>
      <c r="XDY1371" s="1374"/>
      <c r="XDZ1371" s="1374"/>
      <c r="XEA1371" s="1374"/>
      <c r="XEB1371" s="1374"/>
      <c r="XEC1371" s="1374"/>
      <c r="XED1371" s="1374"/>
      <c r="XEE1371" s="1374"/>
      <c r="XEF1371" s="1374"/>
      <c r="XEG1371" s="1374"/>
      <c r="XEH1371" s="1374"/>
      <c r="XEI1371" s="1374"/>
      <c r="XEJ1371" s="1374"/>
      <c r="XEK1371" s="1374"/>
      <c r="XEL1371" s="1374"/>
      <c r="XEM1371" s="1374"/>
      <c r="XEN1371" s="1374"/>
      <c r="XEO1371" s="1374"/>
      <c r="XEP1371" s="1374"/>
      <c r="XEQ1371" s="1374"/>
      <c r="XER1371" s="1374"/>
      <c r="XES1371" s="1374"/>
      <c r="XET1371" s="1374"/>
      <c r="XEU1371" s="1374"/>
      <c r="XEV1371" s="1374"/>
      <c r="XEW1371" s="1374"/>
      <c r="XEX1371" s="1374"/>
      <c r="XEY1371" s="1374"/>
      <c r="XEZ1371" s="1374"/>
      <c r="XFA1371" s="1374"/>
      <c r="XFB1371" s="1374"/>
      <c r="XFC1371" s="1374"/>
      <c r="XFD1371" s="1374"/>
    </row>
    <row r="1372" s="1267" customFormat="1" ht="31" customHeight="1" spans="1:100 16239:16384">
      <c r="A1372" s="608">
        <v>46203</v>
      </c>
      <c r="B1372" s="609" t="s">
        <v>3989</v>
      </c>
      <c r="C1372" s="610" t="s">
        <v>154</v>
      </c>
      <c r="D1372" s="554" t="s">
        <v>5366</v>
      </c>
      <c r="E1372" s="610" t="s">
        <v>5367</v>
      </c>
      <c r="F1372" s="554" t="s">
        <v>5368</v>
      </c>
      <c r="G1372" s="610" t="s">
        <v>518</v>
      </c>
      <c r="H1372" s="610" t="s">
        <v>477</v>
      </c>
      <c r="I1372" s="715">
        <v>1998</v>
      </c>
      <c r="J1372" s="610">
        <v>0</v>
      </c>
      <c r="K1372" s="610">
        <v>6</v>
      </c>
      <c r="L1372" s="611">
        <f t="shared" si="432"/>
        <v>333</v>
      </c>
      <c r="M1372" s="612">
        <v>46241</v>
      </c>
      <c r="N1372" s="724">
        <v>46237</v>
      </c>
      <c r="O1372" s="613"/>
      <c r="P1372" s="610" t="s">
        <v>113</v>
      </c>
      <c r="Q1372" s="614">
        <v>46246</v>
      </c>
      <c r="R1372" s="614">
        <v>46203</v>
      </c>
      <c r="S1372" s="614" t="s">
        <v>70</v>
      </c>
      <c r="T1372" s="614" t="s">
        <v>5369</v>
      </c>
      <c r="U1372" s="614" t="s">
        <v>5312</v>
      </c>
      <c r="V1372" s="614" t="s">
        <v>5313</v>
      </c>
      <c r="W1372" s="738" t="s">
        <v>5370</v>
      </c>
      <c r="X1372" s="738" t="s">
        <v>5371</v>
      </c>
      <c r="Y1372" s="616" t="s">
        <v>2199</v>
      </c>
      <c r="Z1372" s="625">
        <v>7.2023</v>
      </c>
      <c r="AA1372" s="616">
        <f t="shared" si="433"/>
        <v>14390.1954</v>
      </c>
      <c r="AB1372" s="554"/>
      <c r="AC1372" s="617"/>
      <c r="AD1372" s="610" t="s">
        <v>480</v>
      </c>
      <c r="AE1372" s="610" t="s">
        <v>82</v>
      </c>
      <c r="AF1372" s="610"/>
      <c r="AG1372" s="610"/>
      <c r="AH1372" s="610"/>
      <c r="AI1372" s="609"/>
      <c r="AJ1372" s="610">
        <f t="shared" si="424"/>
        <v>-1998</v>
      </c>
      <c r="AK1372" s="610"/>
      <c r="AL1372" s="610"/>
      <c r="AM1372" s="554"/>
      <c r="AN1372" s="554">
        <f t="shared" si="434"/>
        <v>1998</v>
      </c>
      <c r="AO1372" s="554"/>
      <c r="AP1372" s="554"/>
      <c r="AQ1372" s="554"/>
      <c r="AR1372" s="554"/>
      <c r="AS1372" s="554">
        <f>I1372</f>
        <v>1998</v>
      </c>
      <c r="AT1372" s="554"/>
      <c r="AU1372" s="554">
        <f t="shared" si="435"/>
        <v>1998</v>
      </c>
      <c r="AV1372" s="554"/>
      <c r="AW1372" s="554">
        <f t="shared" si="436"/>
        <v>1998</v>
      </c>
      <c r="AX1372" s="714"/>
      <c r="AY1372" s="554"/>
      <c r="AZ1372" s="554"/>
      <c r="BA1372" s="554"/>
      <c r="BB1372" s="554"/>
      <c r="BC1372" s="554"/>
      <c r="BD1372" s="554"/>
      <c r="BE1372" s="554"/>
      <c r="BF1372" s="554"/>
      <c r="BG1372" s="554"/>
      <c r="BH1372" s="554"/>
      <c r="BI1372" s="554"/>
      <c r="BJ1372" s="554"/>
      <c r="BK1372" s="554"/>
      <c r="BL1372" s="554"/>
      <c r="BM1372" s="554"/>
      <c r="BN1372" s="554">
        <f>I1372</f>
        <v>1998</v>
      </c>
      <c r="BO1372" s="554"/>
      <c r="BP1372" s="554"/>
      <c r="BQ1372" s="554"/>
      <c r="BR1372" s="554"/>
      <c r="BS1372" s="554"/>
      <c r="BT1372" s="554"/>
      <c r="BU1372" s="554"/>
      <c r="BV1372" s="554"/>
      <c r="BW1372" s="554"/>
      <c r="BX1372" s="554"/>
      <c r="BY1372" s="554"/>
      <c r="BZ1372" s="554"/>
      <c r="CA1372" s="554"/>
      <c r="CB1372" s="554"/>
      <c r="CC1372" s="554"/>
      <c r="CD1372" s="554"/>
      <c r="CE1372" s="554"/>
      <c r="CF1372" s="554"/>
      <c r="CG1372" s="554"/>
      <c r="CH1372" s="619"/>
      <c r="CI1372" s="619"/>
      <c r="CJ1372" s="619"/>
      <c r="CK1372" s="619"/>
      <c r="CL1372" s="619"/>
      <c r="CM1372" s="554"/>
      <c r="CN1372" s="554"/>
      <c r="CO1372" s="554"/>
      <c r="CP1372" s="619"/>
      <c r="CQ1372" s="619"/>
      <c r="CR1372" s="619"/>
      <c r="CS1372" s="619"/>
      <c r="CT1372" s="619"/>
      <c r="CU1372" s="619"/>
      <c r="WZO1372" s="1374"/>
      <c r="WZP1372" s="1374"/>
      <c r="WZQ1372" s="1374"/>
      <c r="WZR1372" s="1374"/>
      <c r="WZS1372" s="1374"/>
      <c r="WZT1372" s="1374"/>
      <c r="WZU1372" s="1374"/>
      <c r="WZV1372" s="1374"/>
      <c r="WZW1372" s="1374"/>
      <c r="WZX1372" s="1374"/>
      <c r="WZY1372" s="1374"/>
      <c r="WZZ1372" s="1374"/>
      <c r="XAA1372" s="1374"/>
      <c r="XAB1372" s="1374"/>
      <c r="XAC1372" s="1374"/>
      <c r="XAD1372" s="1374"/>
      <c r="XAE1372" s="1374"/>
      <c r="XAF1372" s="1374"/>
      <c r="XAG1372" s="1374"/>
      <c r="XAH1372" s="1374"/>
      <c r="XAI1372" s="1374"/>
      <c r="XAJ1372" s="1374"/>
      <c r="XAK1372" s="1374"/>
      <c r="XAL1372" s="1374"/>
      <c r="XAM1372" s="1374"/>
      <c r="XAN1372" s="1374"/>
      <c r="XAO1372" s="1374"/>
      <c r="XAP1372" s="1374"/>
      <c r="XAQ1372" s="1374"/>
      <c r="XAR1372" s="1374"/>
      <c r="XAS1372" s="1374"/>
      <c r="XAT1372" s="1374"/>
      <c r="XAU1372" s="1374"/>
      <c r="XAV1372" s="1374"/>
      <c r="XAW1372" s="1374"/>
      <c r="XAX1372" s="1374"/>
      <c r="XAY1372" s="1374"/>
      <c r="XAZ1372" s="1374"/>
      <c r="XBA1372" s="1374"/>
      <c r="XBB1372" s="1374"/>
      <c r="XBC1372" s="1374"/>
      <c r="XBD1372" s="1374"/>
      <c r="XBE1372" s="1374"/>
      <c r="XBF1372" s="1374"/>
      <c r="XBG1372" s="1374"/>
      <c r="XBH1372" s="1374"/>
      <c r="XBI1372" s="1374"/>
      <c r="XBJ1372" s="1374"/>
      <c r="XBK1372" s="1374"/>
      <c r="XBL1372" s="1374"/>
      <c r="XBM1372" s="1374"/>
      <c r="XBN1372" s="1374"/>
      <c r="XBO1372" s="1374"/>
      <c r="XBP1372" s="1374"/>
      <c r="XBQ1372" s="1374"/>
      <c r="XBR1372" s="1374"/>
      <c r="XBS1372" s="1374"/>
      <c r="XBT1372" s="1374"/>
      <c r="XBU1372" s="1374"/>
      <c r="XBV1372" s="1374"/>
      <c r="XBW1372" s="1374"/>
      <c r="XBX1372" s="1374"/>
      <c r="XBY1372" s="1374"/>
      <c r="XBZ1372" s="1374"/>
      <c r="XCA1372" s="1374"/>
      <c r="XCB1372" s="1374"/>
      <c r="XCC1372" s="1374"/>
      <c r="XCD1372" s="1374"/>
      <c r="XCE1372" s="1374"/>
      <c r="XCF1372" s="1374"/>
      <c r="XCG1372" s="1374"/>
      <c r="XCH1372" s="1374"/>
      <c r="XCI1372" s="1374"/>
      <c r="XCJ1372" s="1374"/>
      <c r="XCK1372" s="1374"/>
      <c r="XCL1372" s="1374"/>
      <c r="XCM1372" s="1374"/>
      <c r="XCN1372" s="1374"/>
      <c r="XCO1372" s="1374"/>
      <c r="XCP1372" s="1374"/>
      <c r="XCQ1372" s="1374"/>
      <c r="XCR1372" s="1374"/>
      <c r="XCS1372" s="1374"/>
      <c r="XCT1372" s="1374"/>
      <c r="XCU1372" s="1374"/>
      <c r="XCV1372" s="1374"/>
      <c r="XCW1372" s="1374"/>
      <c r="XCX1372" s="1374"/>
      <c r="XCY1372" s="1374"/>
      <c r="XCZ1372" s="1374"/>
      <c r="XDA1372" s="1374"/>
      <c r="XDB1372" s="1374"/>
      <c r="XDC1372" s="1374"/>
      <c r="XDD1372" s="1374"/>
      <c r="XDE1372" s="1374"/>
      <c r="XDF1372" s="1374"/>
      <c r="XDG1372" s="1374"/>
      <c r="XDH1372" s="1374"/>
      <c r="XDI1372" s="1374"/>
      <c r="XDJ1372" s="1374"/>
      <c r="XDK1372" s="1374"/>
      <c r="XDL1372" s="1374"/>
      <c r="XDM1372" s="1374"/>
      <c r="XDN1372" s="1374"/>
      <c r="XDO1372" s="1374"/>
      <c r="XDP1372" s="1374"/>
      <c r="XDQ1372" s="1374"/>
      <c r="XDR1372" s="1374"/>
      <c r="XDS1372" s="1374"/>
      <c r="XDT1372" s="1374"/>
      <c r="XDU1372" s="1374"/>
      <c r="XDV1372" s="1374"/>
      <c r="XDW1372" s="1374"/>
      <c r="XDX1372" s="1374"/>
      <c r="XDY1372" s="1374"/>
      <c r="XDZ1372" s="1374"/>
      <c r="XEA1372" s="1374"/>
      <c r="XEB1372" s="1374"/>
      <c r="XEC1372" s="1374"/>
      <c r="XED1372" s="1374"/>
      <c r="XEE1372" s="1374"/>
      <c r="XEF1372" s="1374"/>
      <c r="XEG1372" s="1374"/>
      <c r="XEH1372" s="1374"/>
      <c r="XEI1372" s="1374"/>
      <c r="XEJ1372" s="1374"/>
      <c r="XEK1372" s="1374"/>
      <c r="XEL1372" s="1374"/>
      <c r="XEM1372" s="1374"/>
      <c r="XEN1372" s="1374"/>
      <c r="XEO1372" s="1374"/>
      <c r="XEP1372" s="1374"/>
      <c r="XEQ1372" s="1374"/>
      <c r="XER1372" s="1374"/>
      <c r="XES1372" s="1374"/>
      <c r="XET1372" s="1374"/>
      <c r="XEU1372" s="1374"/>
      <c r="XEV1372" s="1374"/>
      <c r="XEW1372" s="1374"/>
      <c r="XEX1372" s="1374"/>
      <c r="XEY1372" s="1374"/>
      <c r="XEZ1372" s="1374"/>
      <c r="XFA1372" s="1374"/>
      <c r="XFB1372" s="1374"/>
      <c r="XFC1372" s="1374"/>
      <c r="XFD1372" s="1374"/>
    </row>
    <row r="1373" s="1267" customFormat="1" ht="31" customHeight="1" spans="1:100 16239:16384">
      <c r="A1373" s="608">
        <v>46155</v>
      </c>
      <c r="B1373" s="609" t="s">
        <v>135</v>
      </c>
      <c r="C1373" s="610" t="s">
        <v>128</v>
      </c>
      <c r="D1373" s="554" t="s">
        <v>5372</v>
      </c>
      <c r="E1373" s="610" t="s">
        <v>5373</v>
      </c>
      <c r="F1373" s="554" t="s">
        <v>5374</v>
      </c>
      <c r="G1373" s="610" t="s">
        <v>68</v>
      </c>
      <c r="H1373" s="610" t="s">
        <v>69</v>
      </c>
      <c r="I1373" s="715">
        <v>1368</v>
      </c>
      <c r="J1373" s="610">
        <v>0</v>
      </c>
      <c r="K1373" s="610">
        <v>12</v>
      </c>
      <c r="L1373" s="611">
        <f t="shared" si="432"/>
        <v>114</v>
      </c>
      <c r="M1373" s="724">
        <v>46244</v>
      </c>
      <c r="N1373" s="724">
        <v>46242</v>
      </c>
      <c r="O1373" s="613"/>
      <c r="P1373" s="610" t="s">
        <v>113</v>
      </c>
      <c r="Q1373" s="614"/>
      <c r="R1373" s="614">
        <v>46160</v>
      </c>
      <c r="S1373" s="614" t="s">
        <v>104</v>
      </c>
      <c r="T1373" s="614" t="s">
        <v>5375</v>
      </c>
      <c r="U1373" s="614"/>
      <c r="V1373" s="614"/>
      <c r="W1373" s="609"/>
      <c r="X1373" s="609" t="s">
        <v>5376</v>
      </c>
      <c r="Y1373" s="616" t="s">
        <v>3206</v>
      </c>
      <c r="Z1373" s="625">
        <v>4.3574</v>
      </c>
      <c r="AA1373" s="616">
        <f t="shared" si="433"/>
        <v>5960.9232</v>
      </c>
      <c r="AB1373" s="554"/>
      <c r="AC1373" s="617"/>
      <c r="AD1373" s="610" t="s">
        <v>68</v>
      </c>
      <c r="AE1373" s="610" t="s">
        <v>82</v>
      </c>
      <c r="AF1373" s="610"/>
      <c r="AG1373" s="610"/>
      <c r="AH1373" s="610"/>
      <c r="AI1373" s="609">
        <v>1368</v>
      </c>
      <c r="AJ1373" s="610">
        <f t="shared" si="424"/>
        <v>0</v>
      </c>
      <c r="AK1373" s="610"/>
      <c r="AL1373" s="610" t="s">
        <v>2368</v>
      </c>
      <c r="AM1373" s="554"/>
      <c r="AN1373" s="554">
        <f t="shared" si="434"/>
        <v>1368</v>
      </c>
      <c r="AO1373" s="554"/>
      <c r="AP1373" s="554"/>
      <c r="AQ1373" s="554"/>
      <c r="AR1373" s="554">
        <f>I1373</f>
        <v>1368</v>
      </c>
      <c r="AS1373" s="554"/>
      <c r="AT1373" s="554"/>
      <c r="AU1373" s="554">
        <f t="shared" si="435"/>
        <v>1368</v>
      </c>
      <c r="AV1373" s="554"/>
      <c r="AW1373" s="554">
        <f t="shared" si="436"/>
        <v>1368</v>
      </c>
      <c r="AX1373" s="714"/>
      <c r="AY1373" s="554"/>
      <c r="AZ1373" s="554"/>
      <c r="BA1373" s="554"/>
      <c r="BB1373" s="554"/>
      <c r="BC1373" s="554"/>
      <c r="BD1373" s="554"/>
      <c r="BE1373" s="554"/>
      <c r="BF1373" s="554"/>
      <c r="BG1373" s="554"/>
      <c r="BH1373" s="554"/>
      <c r="BI1373" s="554"/>
      <c r="BJ1373" s="554"/>
      <c r="BK1373" s="554"/>
      <c r="BL1373" s="554"/>
      <c r="BM1373" s="554"/>
      <c r="BN1373" s="554"/>
      <c r="BO1373" s="554"/>
      <c r="BP1373" s="554"/>
      <c r="BQ1373" s="554"/>
      <c r="BR1373" s="554"/>
      <c r="BS1373" s="554"/>
      <c r="BT1373" s="554"/>
      <c r="BU1373" s="554"/>
      <c r="BV1373" s="554"/>
      <c r="BW1373" s="554"/>
      <c r="BX1373" s="554"/>
      <c r="BY1373" s="554"/>
      <c r="BZ1373" s="554"/>
      <c r="CA1373" s="554"/>
      <c r="CB1373" s="554"/>
      <c r="CC1373" s="554"/>
      <c r="CD1373" s="554"/>
      <c r="CE1373" s="554"/>
      <c r="CF1373" s="554"/>
      <c r="CG1373" s="554"/>
      <c r="CH1373" s="619"/>
      <c r="CI1373" s="619"/>
      <c r="CJ1373" s="619"/>
      <c r="CK1373" s="619"/>
      <c r="CL1373" s="619"/>
      <c r="CM1373" s="554"/>
      <c r="CN1373" s="554"/>
      <c r="CO1373" s="554"/>
      <c r="CP1373" s="619"/>
      <c r="CQ1373" s="619"/>
      <c r="CR1373" s="619"/>
      <c r="CS1373" s="619"/>
      <c r="CT1373" s="619"/>
      <c r="CU1373" s="619"/>
      <c r="CV1373" s="1267"/>
      <c r="WZO1373" s="1374"/>
      <c r="WZP1373" s="1374"/>
      <c r="WZQ1373" s="1374"/>
      <c r="WZR1373" s="1374"/>
      <c r="WZS1373" s="1374"/>
      <c r="WZT1373" s="1374"/>
      <c r="WZU1373" s="1374"/>
      <c r="WZV1373" s="1374"/>
      <c r="WZW1373" s="1374"/>
      <c r="WZX1373" s="1374"/>
      <c r="WZY1373" s="1374"/>
      <c r="WZZ1373" s="1374"/>
      <c r="XAA1373" s="1374"/>
      <c r="XAB1373" s="1374"/>
      <c r="XAC1373" s="1374"/>
      <c r="XAD1373" s="1374"/>
      <c r="XAE1373" s="1374"/>
      <c r="XAF1373" s="1374"/>
      <c r="XAG1373" s="1374"/>
      <c r="XAH1373" s="1374"/>
      <c r="XAI1373" s="1374"/>
      <c r="XAJ1373" s="1374"/>
      <c r="XAK1373" s="1374"/>
      <c r="XAL1373" s="1374"/>
      <c r="XAM1373" s="1374"/>
      <c r="XAN1373" s="1374"/>
      <c r="XAO1373" s="1374"/>
      <c r="XAP1373" s="1374"/>
      <c r="XAQ1373" s="1374"/>
      <c r="XAR1373" s="1374"/>
      <c r="XAS1373" s="1374"/>
      <c r="XAT1373" s="1374"/>
      <c r="XAU1373" s="1374"/>
      <c r="XAV1373" s="1374"/>
      <c r="XAW1373" s="1374"/>
      <c r="XAX1373" s="1374"/>
      <c r="XAY1373" s="1374"/>
      <c r="XAZ1373" s="1374"/>
      <c r="XBA1373" s="1374"/>
      <c r="XBB1373" s="1374"/>
      <c r="XBC1373" s="1374"/>
      <c r="XBD1373" s="1374"/>
      <c r="XBE1373" s="1374"/>
      <c r="XBF1373" s="1374"/>
      <c r="XBG1373" s="1374"/>
      <c r="XBH1373" s="1374"/>
      <c r="XBI1373" s="1374"/>
      <c r="XBJ1373" s="1374"/>
      <c r="XBK1373" s="1374"/>
      <c r="XBL1373" s="1374"/>
      <c r="XBM1373" s="1374"/>
      <c r="XBN1373" s="1374"/>
      <c r="XBO1373" s="1374"/>
      <c r="XBP1373" s="1374"/>
      <c r="XBQ1373" s="1374"/>
      <c r="XBR1373" s="1374"/>
      <c r="XBS1373" s="1374"/>
      <c r="XBT1373" s="1374"/>
      <c r="XBU1373" s="1374"/>
      <c r="XBV1373" s="1374"/>
      <c r="XBW1373" s="1374"/>
      <c r="XBX1373" s="1374"/>
      <c r="XBY1373" s="1374"/>
      <c r="XBZ1373" s="1374"/>
      <c r="XCA1373" s="1374"/>
      <c r="XCB1373" s="1374"/>
      <c r="XCC1373" s="1374"/>
      <c r="XCD1373" s="1374"/>
      <c r="XCE1373" s="1374"/>
      <c r="XCF1373" s="1374"/>
      <c r="XCG1373" s="1374"/>
      <c r="XCH1373" s="1374"/>
      <c r="XCI1373" s="1374"/>
      <c r="XCJ1373" s="1374"/>
      <c r="XCK1373" s="1374"/>
      <c r="XCL1373" s="1374"/>
      <c r="XCM1373" s="1374"/>
      <c r="XCN1373" s="1374"/>
      <c r="XCO1373" s="1374"/>
      <c r="XCP1373" s="1374"/>
      <c r="XCQ1373" s="1374"/>
      <c r="XCR1373" s="1374"/>
      <c r="XCS1373" s="1374"/>
      <c r="XCT1373" s="1374"/>
      <c r="XCU1373" s="1374"/>
      <c r="XCV1373" s="1374"/>
      <c r="XCW1373" s="1374"/>
      <c r="XCX1373" s="1374"/>
      <c r="XCY1373" s="1374"/>
      <c r="XCZ1373" s="1374"/>
      <c r="XDA1373" s="1374"/>
      <c r="XDB1373" s="1374"/>
      <c r="XDC1373" s="1374"/>
      <c r="XDD1373" s="1374"/>
      <c r="XDE1373" s="1374"/>
      <c r="XDF1373" s="1374"/>
      <c r="XDG1373" s="1374"/>
      <c r="XDH1373" s="1374"/>
      <c r="XDI1373" s="1374"/>
      <c r="XDJ1373" s="1374"/>
      <c r="XDK1373" s="1374"/>
      <c r="XDL1373" s="1374"/>
      <c r="XDM1373" s="1374"/>
      <c r="XDN1373" s="1374"/>
      <c r="XDO1373" s="1374"/>
      <c r="XDP1373" s="1374"/>
      <c r="XDQ1373" s="1374"/>
      <c r="XDR1373" s="1374"/>
      <c r="XDS1373" s="1374"/>
      <c r="XDT1373" s="1374"/>
      <c r="XDU1373" s="1374"/>
      <c r="XDV1373" s="1374"/>
      <c r="XDW1373" s="1374"/>
      <c r="XDX1373" s="1374"/>
      <c r="XDY1373" s="1374"/>
      <c r="XDZ1373" s="1374"/>
      <c r="XEA1373" s="1374"/>
      <c r="XEB1373" s="1374"/>
      <c r="XEC1373" s="1374"/>
      <c r="XED1373" s="1374"/>
      <c r="XEE1373" s="1374"/>
      <c r="XEF1373" s="1374"/>
      <c r="XEG1373" s="1374"/>
      <c r="XEH1373" s="1374"/>
      <c r="XEI1373" s="1374"/>
      <c r="XEJ1373" s="1374"/>
      <c r="XEK1373" s="1374"/>
      <c r="XEL1373" s="1374"/>
      <c r="XEM1373" s="1374"/>
      <c r="XEN1373" s="1374"/>
      <c r="XEO1373" s="1374"/>
      <c r="XEP1373" s="1374"/>
      <c r="XEQ1373" s="1374"/>
      <c r="XER1373" s="1374"/>
      <c r="XES1373" s="1374"/>
      <c r="XET1373" s="1374"/>
      <c r="XEU1373" s="1374"/>
      <c r="XEV1373" s="1374"/>
      <c r="XEW1373" s="1374"/>
      <c r="XEX1373" s="1374"/>
      <c r="XEY1373" s="1374"/>
      <c r="XEZ1373" s="1374"/>
      <c r="XFA1373" s="1374"/>
      <c r="XFB1373" s="1374"/>
      <c r="XFC1373" s="1374"/>
      <c r="XFD1373" s="1374"/>
    </row>
    <row r="1374" s="1267" customFormat="1" ht="31" customHeight="1" spans="1:100 16239:16384">
      <c r="A1374" s="608">
        <v>46155</v>
      </c>
      <c r="B1374" s="609" t="s">
        <v>139</v>
      </c>
      <c r="C1374" s="610" t="s">
        <v>76</v>
      </c>
      <c r="D1374" s="554" t="s">
        <v>5377</v>
      </c>
      <c r="E1374" s="610" t="s">
        <v>5378</v>
      </c>
      <c r="F1374" s="554" t="s">
        <v>5379</v>
      </c>
      <c r="G1374" s="610" t="s">
        <v>68</v>
      </c>
      <c r="H1374" s="610" t="s">
        <v>69</v>
      </c>
      <c r="I1374" s="715">
        <v>132</v>
      </c>
      <c r="J1374" s="610">
        <v>0</v>
      </c>
      <c r="K1374" s="610">
        <v>12</v>
      </c>
      <c r="L1374" s="611">
        <f t="shared" si="432"/>
        <v>11</v>
      </c>
      <c r="M1374" s="724">
        <v>46244</v>
      </c>
      <c r="N1374" s="724">
        <v>46242</v>
      </c>
      <c r="O1374" s="613"/>
      <c r="P1374" s="610" t="s">
        <v>113</v>
      </c>
      <c r="Q1374" s="614"/>
      <c r="R1374" s="614">
        <v>46160</v>
      </c>
      <c r="S1374" s="614" t="s">
        <v>104</v>
      </c>
      <c r="T1374" s="614" t="s">
        <v>5375</v>
      </c>
      <c r="U1374" s="614"/>
      <c r="V1374" s="614"/>
      <c r="W1374" s="609"/>
      <c r="X1374" s="609" t="s">
        <v>5380</v>
      </c>
      <c r="Y1374" s="616" t="s">
        <v>3206</v>
      </c>
      <c r="Z1374" s="625">
        <v>4.3574</v>
      </c>
      <c r="AA1374" s="616">
        <f t="shared" si="433"/>
        <v>575.1768</v>
      </c>
      <c r="AB1374" s="554"/>
      <c r="AC1374" s="617"/>
      <c r="AD1374" s="610" t="s">
        <v>68</v>
      </c>
      <c r="AE1374" s="610" t="s">
        <v>82</v>
      </c>
      <c r="AF1374" s="610"/>
      <c r="AG1374" s="610"/>
      <c r="AH1374" s="610"/>
      <c r="AI1374" s="609">
        <v>132</v>
      </c>
      <c r="AJ1374" s="610">
        <f t="shared" si="424"/>
        <v>0</v>
      </c>
      <c r="AK1374" s="610"/>
      <c r="AL1374" s="610" t="s">
        <v>2368</v>
      </c>
      <c r="AM1374" s="554"/>
      <c r="AN1374" s="554">
        <f t="shared" si="434"/>
        <v>132</v>
      </c>
      <c r="AO1374" s="554"/>
      <c r="AP1374" s="554"/>
      <c r="AQ1374" s="554"/>
      <c r="AR1374" s="554">
        <f>I1374</f>
        <v>132</v>
      </c>
      <c r="AS1374" s="554"/>
      <c r="AT1374" s="554"/>
      <c r="AU1374" s="554">
        <f t="shared" si="435"/>
        <v>132</v>
      </c>
      <c r="AV1374" s="554"/>
      <c r="AW1374" s="554">
        <f t="shared" si="436"/>
        <v>132</v>
      </c>
      <c r="AX1374" s="714"/>
      <c r="AY1374" s="554"/>
      <c r="AZ1374" s="554"/>
      <c r="BA1374" s="554"/>
      <c r="BB1374" s="554"/>
      <c r="BC1374" s="554"/>
      <c r="BD1374" s="554"/>
      <c r="BE1374" s="554"/>
      <c r="BF1374" s="554"/>
      <c r="BG1374" s="554"/>
      <c r="BH1374" s="554"/>
      <c r="BI1374" s="554"/>
      <c r="BJ1374" s="554"/>
      <c r="BK1374" s="554"/>
      <c r="BL1374" s="554"/>
      <c r="BM1374" s="554"/>
      <c r="BN1374" s="554"/>
      <c r="BO1374" s="554"/>
      <c r="BP1374" s="554"/>
      <c r="BQ1374" s="554"/>
      <c r="BR1374" s="554"/>
      <c r="BS1374" s="554"/>
      <c r="BT1374" s="554"/>
      <c r="BU1374" s="554"/>
      <c r="BV1374" s="554"/>
      <c r="BW1374" s="554"/>
      <c r="BX1374" s="554"/>
      <c r="BY1374" s="554"/>
      <c r="BZ1374" s="554"/>
      <c r="CA1374" s="554"/>
      <c r="CB1374" s="554"/>
      <c r="CC1374" s="554"/>
      <c r="CD1374" s="554"/>
      <c r="CE1374" s="554"/>
      <c r="CF1374" s="554"/>
      <c r="CG1374" s="554"/>
      <c r="CH1374" s="619"/>
      <c r="CI1374" s="619"/>
      <c r="CJ1374" s="619"/>
      <c r="CK1374" s="619"/>
      <c r="CL1374" s="619"/>
      <c r="CM1374" s="554"/>
      <c r="CN1374" s="554"/>
      <c r="CO1374" s="554"/>
      <c r="CP1374" s="619"/>
      <c r="CQ1374" s="619"/>
      <c r="CR1374" s="619"/>
      <c r="CS1374" s="619"/>
      <c r="CT1374" s="619"/>
      <c r="CU1374" s="619"/>
      <c r="CV1374" s="1267"/>
      <c r="WZO1374" s="1374"/>
      <c r="WZP1374" s="1374"/>
      <c r="WZQ1374" s="1374"/>
      <c r="WZR1374" s="1374"/>
      <c r="WZS1374" s="1374"/>
      <c r="WZT1374" s="1374"/>
      <c r="WZU1374" s="1374"/>
      <c r="WZV1374" s="1374"/>
      <c r="WZW1374" s="1374"/>
      <c r="WZX1374" s="1374"/>
      <c r="WZY1374" s="1374"/>
      <c r="WZZ1374" s="1374"/>
      <c r="XAA1374" s="1374"/>
      <c r="XAB1374" s="1374"/>
      <c r="XAC1374" s="1374"/>
      <c r="XAD1374" s="1374"/>
      <c r="XAE1374" s="1374"/>
      <c r="XAF1374" s="1374"/>
      <c r="XAG1374" s="1374"/>
      <c r="XAH1374" s="1374"/>
      <c r="XAI1374" s="1374"/>
      <c r="XAJ1374" s="1374"/>
      <c r="XAK1374" s="1374"/>
      <c r="XAL1374" s="1374"/>
      <c r="XAM1374" s="1374"/>
      <c r="XAN1374" s="1374"/>
      <c r="XAO1374" s="1374"/>
      <c r="XAP1374" s="1374"/>
      <c r="XAQ1374" s="1374"/>
      <c r="XAR1374" s="1374"/>
      <c r="XAS1374" s="1374"/>
      <c r="XAT1374" s="1374"/>
      <c r="XAU1374" s="1374"/>
      <c r="XAV1374" s="1374"/>
      <c r="XAW1374" s="1374"/>
      <c r="XAX1374" s="1374"/>
      <c r="XAY1374" s="1374"/>
      <c r="XAZ1374" s="1374"/>
      <c r="XBA1374" s="1374"/>
      <c r="XBB1374" s="1374"/>
      <c r="XBC1374" s="1374"/>
      <c r="XBD1374" s="1374"/>
      <c r="XBE1374" s="1374"/>
      <c r="XBF1374" s="1374"/>
      <c r="XBG1374" s="1374"/>
      <c r="XBH1374" s="1374"/>
      <c r="XBI1374" s="1374"/>
      <c r="XBJ1374" s="1374"/>
      <c r="XBK1374" s="1374"/>
      <c r="XBL1374" s="1374"/>
      <c r="XBM1374" s="1374"/>
      <c r="XBN1374" s="1374"/>
      <c r="XBO1374" s="1374"/>
      <c r="XBP1374" s="1374"/>
      <c r="XBQ1374" s="1374"/>
      <c r="XBR1374" s="1374"/>
      <c r="XBS1374" s="1374"/>
      <c r="XBT1374" s="1374"/>
      <c r="XBU1374" s="1374"/>
      <c r="XBV1374" s="1374"/>
      <c r="XBW1374" s="1374"/>
      <c r="XBX1374" s="1374"/>
      <c r="XBY1374" s="1374"/>
      <c r="XBZ1374" s="1374"/>
      <c r="XCA1374" s="1374"/>
      <c r="XCB1374" s="1374"/>
      <c r="XCC1374" s="1374"/>
      <c r="XCD1374" s="1374"/>
      <c r="XCE1374" s="1374"/>
      <c r="XCF1374" s="1374"/>
      <c r="XCG1374" s="1374"/>
      <c r="XCH1374" s="1374"/>
      <c r="XCI1374" s="1374"/>
      <c r="XCJ1374" s="1374"/>
      <c r="XCK1374" s="1374"/>
      <c r="XCL1374" s="1374"/>
      <c r="XCM1374" s="1374"/>
      <c r="XCN1374" s="1374"/>
      <c r="XCO1374" s="1374"/>
      <c r="XCP1374" s="1374"/>
      <c r="XCQ1374" s="1374"/>
      <c r="XCR1374" s="1374"/>
      <c r="XCS1374" s="1374"/>
      <c r="XCT1374" s="1374"/>
      <c r="XCU1374" s="1374"/>
      <c r="XCV1374" s="1374"/>
      <c r="XCW1374" s="1374"/>
      <c r="XCX1374" s="1374"/>
      <c r="XCY1374" s="1374"/>
      <c r="XCZ1374" s="1374"/>
      <c r="XDA1374" s="1374"/>
      <c r="XDB1374" s="1374"/>
      <c r="XDC1374" s="1374"/>
      <c r="XDD1374" s="1374"/>
      <c r="XDE1374" s="1374"/>
      <c r="XDF1374" s="1374"/>
      <c r="XDG1374" s="1374"/>
      <c r="XDH1374" s="1374"/>
      <c r="XDI1374" s="1374"/>
      <c r="XDJ1374" s="1374"/>
      <c r="XDK1374" s="1374"/>
      <c r="XDL1374" s="1374"/>
      <c r="XDM1374" s="1374"/>
      <c r="XDN1374" s="1374"/>
      <c r="XDO1374" s="1374"/>
      <c r="XDP1374" s="1374"/>
      <c r="XDQ1374" s="1374"/>
      <c r="XDR1374" s="1374"/>
      <c r="XDS1374" s="1374"/>
      <c r="XDT1374" s="1374"/>
      <c r="XDU1374" s="1374"/>
      <c r="XDV1374" s="1374"/>
      <c r="XDW1374" s="1374"/>
      <c r="XDX1374" s="1374"/>
      <c r="XDY1374" s="1374"/>
      <c r="XDZ1374" s="1374"/>
      <c r="XEA1374" s="1374"/>
      <c r="XEB1374" s="1374"/>
      <c r="XEC1374" s="1374"/>
      <c r="XED1374" s="1374"/>
      <c r="XEE1374" s="1374"/>
      <c r="XEF1374" s="1374"/>
      <c r="XEG1374" s="1374"/>
      <c r="XEH1374" s="1374"/>
      <c r="XEI1374" s="1374"/>
      <c r="XEJ1374" s="1374"/>
      <c r="XEK1374" s="1374"/>
      <c r="XEL1374" s="1374"/>
      <c r="XEM1374" s="1374"/>
      <c r="XEN1374" s="1374"/>
      <c r="XEO1374" s="1374"/>
      <c r="XEP1374" s="1374"/>
      <c r="XEQ1374" s="1374"/>
      <c r="XER1374" s="1374"/>
      <c r="XES1374" s="1374"/>
      <c r="XET1374" s="1374"/>
      <c r="XEU1374" s="1374"/>
      <c r="XEV1374" s="1374"/>
      <c r="XEW1374" s="1374"/>
      <c r="XEX1374" s="1374"/>
      <c r="XEY1374" s="1374"/>
      <c r="XEZ1374" s="1374"/>
      <c r="XFA1374" s="1374"/>
      <c r="XFB1374" s="1374"/>
      <c r="XFC1374" s="1374"/>
      <c r="XFD1374" s="1374"/>
    </row>
    <row r="1375" s="1267" customFormat="1" ht="31" customHeight="1" spans="1:100 16239:16384">
      <c r="A1375" s="608">
        <v>46177</v>
      </c>
      <c r="B1375" s="609" t="s">
        <v>3652</v>
      </c>
      <c r="C1375" s="610" t="s">
        <v>399</v>
      </c>
      <c r="D1375" s="554" t="s">
        <v>5381</v>
      </c>
      <c r="E1375" s="610" t="s">
        <v>5382</v>
      </c>
      <c r="F1375" s="554" t="s">
        <v>5383</v>
      </c>
      <c r="G1375" s="610" t="s">
        <v>156</v>
      </c>
      <c r="H1375" s="610" t="s">
        <v>102</v>
      </c>
      <c r="I1375" s="715">
        <v>800</v>
      </c>
      <c r="J1375" s="610">
        <v>0</v>
      </c>
      <c r="K1375" s="610">
        <v>4</v>
      </c>
      <c r="L1375" s="611">
        <f t="shared" si="432"/>
        <v>200</v>
      </c>
      <c r="M1375" s="612">
        <v>46245</v>
      </c>
      <c r="N1375" s="612">
        <v>46241</v>
      </c>
      <c r="O1375" s="613"/>
      <c r="P1375" s="610" t="s">
        <v>113</v>
      </c>
      <c r="Q1375" s="614">
        <v>46251</v>
      </c>
      <c r="R1375" s="614">
        <v>46212</v>
      </c>
      <c r="S1375" s="614" t="s">
        <v>70</v>
      </c>
      <c r="T1375" s="614" t="s">
        <v>4666</v>
      </c>
      <c r="U1375" s="614"/>
      <c r="V1375" s="614"/>
      <c r="W1375" s="964"/>
      <c r="X1375" s="609" t="s">
        <v>5384</v>
      </c>
      <c r="Y1375" s="625" t="s">
        <v>305</v>
      </c>
      <c r="Z1375" s="625">
        <v>4.4032</v>
      </c>
      <c r="AA1375" s="616">
        <f t="shared" si="433"/>
        <v>3522.56</v>
      </c>
      <c r="AB1375" s="554"/>
      <c r="AC1375" s="617"/>
      <c r="AD1375" s="610" t="s">
        <v>156</v>
      </c>
      <c r="AE1375" s="610" t="s">
        <v>82</v>
      </c>
      <c r="AF1375" s="610"/>
      <c r="AG1375" s="610"/>
      <c r="AH1375" s="610"/>
      <c r="AI1375" s="609">
        <v>800</v>
      </c>
      <c r="AJ1375" s="610">
        <f t="shared" si="424"/>
        <v>0</v>
      </c>
      <c r="AK1375" s="610"/>
      <c r="AL1375" s="610" t="s">
        <v>2368</v>
      </c>
      <c r="AM1375" s="554"/>
      <c r="AN1375" s="554">
        <f t="shared" si="434"/>
        <v>800</v>
      </c>
      <c r="AO1375" s="554"/>
      <c r="AP1375" s="554"/>
      <c r="AQ1375" s="554"/>
      <c r="AR1375" s="554"/>
      <c r="AS1375" s="554">
        <f>I1375</f>
        <v>800</v>
      </c>
      <c r="AT1375" s="554"/>
      <c r="AU1375" s="554">
        <f t="shared" si="435"/>
        <v>800</v>
      </c>
      <c r="AV1375" s="554"/>
      <c r="AW1375" s="554">
        <f t="shared" si="436"/>
        <v>800</v>
      </c>
      <c r="AX1375" s="714"/>
      <c r="AY1375" s="554"/>
      <c r="AZ1375" s="554"/>
      <c r="BA1375" s="554"/>
      <c r="BB1375" s="554"/>
      <c r="BC1375" s="554"/>
      <c r="BD1375" s="554"/>
      <c r="BE1375" s="554"/>
      <c r="BF1375" s="554"/>
      <c r="BG1375" s="554"/>
      <c r="BH1375" s="554"/>
      <c r="BI1375" s="554">
        <f>I1375/4</f>
        <v>200</v>
      </c>
      <c r="BJ1375" s="554"/>
      <c r="BK1375" s="554"/>
      <c r="BL1375" s="554"/>
      <c r="BM1375" s="554"/>
      <c r="BN1375" s="554"/>
      <c r="BO1375" s="554"/>
      <c r="BP1375" s="554"/>
      <c r="BQ1375" s="554"/>
      <c r="BR1375" s="554"/>
      <c r="BS1375" s="554"/>
      <c r="BT1375" s="554"/>
      <c r="BU1375" s="554"/>
      <c r="BV1375" s="554"/>
      <c r="BW1375" s="554"/>
      <c r="BX1375" s="554"/>
      <c r="BY1375" s="554"/>
      <c r="BZ1375" s="554"/>
      <c r="CA1375" s="554"/>
      <c r="CB1375" s="554"/>
      <c r="CC1375" s="554"/>
      <c r="CD1375" s="554"/>
      <c r="CE1375" s="554"/>
      <c r="CF1375" s="554"/>
      <c r="CG1375" s="554"/>
      <c r="CH1375" s="619"/>
      <c r="CI1375" s="619"/>
      <c r="CJ1375" s="619"/>
      <c r="CK1375" s="619"/>
      <c r="CL1375" s="619"/>
      <c r="CM1375" s="554"/>
      <c r="CN1375" s="554"/>
      <c r="CO1375" s="554"/>
      <c r="CP1375" s="619"/>
      <c r="CQ1375" s="619"/>
      <c r="CR1375" s="619"/>
      <c r="CS1375" s="619"/>
      <c r="CT1375" s="619"/>
      <c r="CU1375" s="619"/>
      <c r="CV1375" s="1325"/>
      <c r="WZO1375" s="1374"/>
      <c r="WZP1375" s="1374"/>
      <c r="WZQ1375" s="1374"/>
      <c r="WZR1375" s="1374"/>
      <c r="WZS1375" s="1374"/>
      <c r="WZT1375" s="1374"/>
      <c r="WZU1375" s="1374"/>
      <c r="WZV1375" s="1374"/>
      <c r="WZW1375" s="1374"/>
      <c r="WZX1375" s="1374"/>
      <c r="WZY1375" s="1374"/>
      <c r="WZZ1375" s="1374"/>
      <c r="XAA1375" s="1374"/>
      <c r="XAB1375" s="1374"/>
      <c r="XAC1375" s="1374"/>
      <c r="XAD1375" s="1374"/>
      <c r="XAE1375" s="1374"/>
      <c r="XAF1375" s="1374"/>
      <c r="XAG1375" s="1374"/>
      <c r="XAH1375" s="1374"/>
      <c r="XAI1375" s="1374"/>
      <c r="XAJ1375" s="1374"/>
      <c r="XAK1375" s="1374"/>
      <c r="XAL1375" s="1374"/>
      <c r="XAM1375" s="1374"/>
      <c r="XAN1375" s="1374"/>
      <c r="XAO1375" s="1374"/>
      <c r="XAP1375" s="1374"/>
      <c r="XAQ1375" s="1374"/>
      <c r="XAR1375" s="1374"/>
      <c r="XAS1375" s="1374"/>
      <c r="XAT1375" s="1374"/>
      <c r="XAU1375" s="1374"/>
      <c r="XAV1375" s="1374"/>
      <c r="XAW1375" s="1374"/>
      <c r="XAX1375" s="1374"/>
      <c r="XAY1375" s="1374"/>
      <c r="XAZ1375" s="1374"/>
      <c r="XBA1375" s="1374"/>
      <c r="XBB1375" s="1374"/>
      <c r="XBC1375" s="1374"/>
      <c r="XBD1375" s="1374"/>
      <c r="XBE1375" s="1374"/>
      <c r="XBF1375" s="1374"/>
      <c r="XBG1375" s="1374"/>
      <c r="XBH1375" s="1374"/>
      <c r="XBI1375" s="1374"/>
      <c r="XBJ1375" s="1374"/>
      <c r="XBK1375" s="1374"/>
      <c r="XBL1375" s="1374"/>
      <c r="XBM1375" s="1374"/>
      <c r="XBN1375" s="1374"/>
      <c r="XBO1375" s="1374"/>
      <c r="XBP1375" s="1374"/>
      <c r="XBQ1375" s="1374"/>
      <c r="XBR1375" s="1374"/>
      <c r="XBS1375" s="1374"/>
      <c r="XBT1375" s="1374"/>
      <c r="XBU1375" s="1374"/>
      <c r="XBV1375" s="1374"/>
      <c r="XBW1375" s="1374"/>
      <c r="XBX1375" s="1374"/>
      <c r="XBY1375" s="1374"/>
      <c r="XBZ1375" s="1374"/>
      <c r="XCA1375" s="1374"/>
      <c r="XCB1375" s="1374"/>
      <c r="XCC1375" s="1374"/>
      <c r="XCD1375" s="1374"/>
      <c r="XCE1375" s="1374"/>
      <c r="XCF1375" s="1374"/>
      <c r="XCG1375" s="1374"/>
      <c r="XCH1375" s="1374"/>
      <c r="XCI1375" s="1374"/>
      <c r="XCJ1375" s="1374"/>
      <c r="XCK1375" s="1374"/>
      <c r="XCL1375" s="1374"/>
      <c r="XCM1375" s="1374"/>
      <c r="XCN1375" s="1374"/>
      <c r="XCO1375" s="1374"/>
      <c r="XCP1375" s="1374"/>
      <c r="XCQ1375" s="1374"/>
      <c r="XCR1375" s="1374"/>
      <c r="XCS1375" s="1374"/>
      <c r="XCT1375" s="1374"/>
      <c r="XCU1375" s="1374"/>
      <c r="XCV1375" s="1374"/>
      <c r="XCW1375" s="1374"/>
      <c r="XCX1375" s="1374"/>
      <c r="XCY1375" s="1374"/>
      <c r="XCZ1375" s="1374"/>
      <c r="XDA1375" s="1374"/>
      <c r="XDB1375" s="1374"/>
      <c r="XDC1375" s="1374"/>
      <c r="XDD1375" s="1374"/>
      <c r="XDE1375" s="1374"/>
      <c r="XDF1375" s="1374"/>
      <c r="XDG1375" s="1374"/>
      <c r="XDH1375" s="1374"/>
      <c r="XDI1375" s="1374"/>
      <c r="XDJ1375" s="1374"/>
      <c r="XDK1375" s="1374"/>
      <c r="XDL1375" s="1374"/>
      <c r="XDM1375" s="1374"/>
      <c r="XDN1375" s="1374"/>
      <c r="XDO1375" s="1374"/>
      <c r="XDP1375" s="1374"/>
      <c r="XDQ1375" s="1374"/>
      <c r="XDR1375" s="1374"/>
      <c r="XDS1375" s="1374"/>
      <c r="XDT1375" s="1374"/>
      <c r="XDU1375" s="1374"/>
      <c r="XDV1375" s="1374"/>
      <c r="XDW1375" s="1374"/>
      <c r="XDX1375" s="1374"/>
      <c r="XDY1375" s="1374"/>
      <c r="XDZ1375" s="1374"/>
      <c r="XEA1375" s="1374"/>
      <c r="XEB1375" s="1374"/>
      <c r="XEC1375" s="1374"/>
      <c r="XED1375" s="1374"/>
      <c r="XEE1375" s="1374"/>
      <c r="XEF1375" s="1374"/>
      <c r="XEG1375" s="1374"/>
      <c r="XEH1375" s="1374"/>
      <c r="XEI1375" s="1374"/>
      <c r="XEJ1375" s="1374"/>
      <c r="XEK1375" s="1374"/>
      <c r="XEL1375" s="1374"/>
      <c r="XEM1375" s="1374"/>
      <c r="XEN1375" s="1374"/>
      <c r="XEO1375" s="1374"/>
      <c r="XEP1375" s="1374"/>
      <c r="XEQ1375" s="1374"/>
      <c r="XER1375" s="1374"/>
      <c r="XES1375" s="1374"/>
      <c r="XET1375" s="1374"/>
      <c r="XEU1375" s="1374"/>
      <c r="XEV1375" s="1374"/>
      <c r="XEW1375" s="1374"/>
      <c r="XEX1375" s="1374"/>
      <c r="XEY1375" s="1374"/>
      <c r="XEZ1375" s="1374"/>
      <c r="XFA1375" s="1374"/>
      <c r="XFB1375" s="1374"/>
      <c r="XFC1375" s="1374"/>
      <c r="XFD1375" s="1374"/>
    </row>
    <row r="1376" s="1267" customFormat="1" ht="31" customHeight="1" spans="1:100 16239:16384">
      <c r="A1376" s="608">
        <v>46162</v>
      </c>
      <c r="B1376" s="609" t="s">
        <v>5385</v>
      </c>
      <c r="C1376" s="610" t="s">
        <v>98</v>
      </c>
      <c r="D1376" s="554" t="s">
        <v>5386</v>
      </c>
      <c r="E1376" s="610" t="s">
        <v>5387</v>
      </c>
      <c r="F1376" s="554" t="s">
        <v>5388</v>
      </c>
      <c r="G1376" s="610" t="s">
        <v>2736</v>
      </c>
      <c r="H1376" s="610" t="s">
        <v>2737</v>
      </c>
      <c r="I1376" s="715">
        <v>2824</v>
      </c>
      <c r="J1376" s="610">
        <v>0</v>
      </c>
      <c r="K1376" s="610">
        <v>8</v>
      </c>
      <c r="L1376" s="611">
        <f t="shared" si="432"/>
        <v>353</v>
      </c>
      <c r="M1376" s="612">
        <v>46246</v>
      </c>
      <c r="N1376" s="612">
        <v>46242</v>
      </c>
      <c r="O1376" s="1375" t="s">
        <v>5389</v>
      </c>
      <c r="P1376" s="610" t="s">
        <v>113</v>
      </c>
      <c r="Q1376" s="614"/>
      <c r="R1376" s="614">
        <v>46162</v>
      </c>
      <c r="S1376" s="614" t="s">
        <v>70</v>
      </c>
      <c r="T1376" s="614" t="s">
        <v>5390</v>
      </c>
      <c r="U1376" s="614"/>
      <c r="V1376" s="614"/>
      <c r="W1376" s="848"/>
      <c r="X1376" s="609" t="s">
        <v>5391</v>
      </c>
      <c r="Y1376" s="616" t="s">
        <v>106</v>
      </c>
      <c r="Z1376" s="625">
        <v>4.1935</v>
      </c>
      <c r="AA1376" s="616">
        <f t="shared" si="433"/>
        <v>11842.444</v>
      </c>
      <c r="AB1376" s="729"/>
      <c r="AC1376" s="617"/>
      <c r="AD1376" s="610" t="s">
        <v>2741</v>
      </c>
      <c r="AE1376" s="610" t="s">
        <v>82</v>
      </c>
      <c r="AF1376" s="610"/>
      <c r="AG1376" s="610"/>
      <c r="AH1376" s="610"/>
      <c r="AI1376" s="609"/>
      <c r="AJ1376" s="613">
        <f t="shared" si="424"/>
        <v>-2824</v>
      </c>
      <c r="AK1376" s="610"/>
      <c r="AL1376" s="610"/>
      <c r="AM1376" s="554"/>
      <c r="AN1376" s="554">
        <f t="shared" si="434"/>
        <v>2824</v>
      </c>
      <c r="AO1376" s="554"/>
      <c r="AP1376" s="554"/>
      <c r="AQ1376" s="554"/>
      <c r="AR1376" s="554">
        <f>I1376</f>
        <v>2824</v>
      </c>
      <c r="AS1376" s="554"/>
      <c r="AT1376" s="554"/>
      <c r="AU1376" s="554">
        <f t="shared" si="435"/>
        <v>2824</v>
      </c>
      <c r="AV1376" s="554"/>
      <c r="AW1376" s="554">
        <f t="shared" si="436"/>
        <v>2824</v>
      </c>
      <c r="AX1376" s="714"/>
      <c r="AY1376" s="554"/>
      <c r="AZ1376" s="554"/>
      <c r="BA1376" s="554"/>
      <c r="BB1376" s="554"/>
      <c r="BC1376" s="554"/>
      <c r="BD1376" s="554"/>
      <c r="BE1376" s="554"/>
      <c r="BF1376" s="554"/>
      <c r="BG1376" s="554"/>
      <c r="BH1376" s="554"/>
      <c r="BI1376" s="554"/>
      <c r="BJ1376" s="554"/>
      <c r="BK1376" s="554"/>
      <c r="BL1376" s="554"/>
      <c r="BM1376" s="554">
        <f>I1376</f>
        <v>2824</v>
      </c>
      <c r="BN1376" s="554"/>
      <c r="BO1376" s="554"/>
      <c r="BP1376" s="729"/>
      <c r="BQ1376" s="729"/>
      <c r="BR1376" s="729"/>
      <c r="BS1376" s="729"/>
      <c r="BT1376" s="729"/>
      <c r="BU1376" s="729"/>
      <c r="BV1376" s="729"/>
      <c r="BW1376" s="729"/>
      <c r="BX1376" s="729"/>
      <c r="BY1376" s="729"/>
      <c r="BZ1376" s="729"/>
      <c r="CA1376" s="729"/>
      <c r="CB1376" s="729"/>
      <c r="CC1376" s="729"/>
      <c r="CD1376" s="729"/>
      <c r="CE1376" s="729"/>
      <c r="CF1376" s="729"/>
      <c r="CG1376" s="729"/>
      <c r="CH1376" s="717"/>
      <c r="CI1376" s="717"/>
      <c r="CJ1376" s="717"/>
      <c r="CK1376" s="717"/>
      <c r="CL1376" s="717"/>
      <c r="CM1376" s="729"/>
      <c r="CN1376" s="729"/>
      <c r="CO1376" s="729"/>
      <c r="CP1376" s="717"/>
      <c r="CQ1376" s="717"/>
      <c r="CR1376" s="717"/>
      <c r="CS1376" s="717"/>
      <c r="CT1376" s="717"/>
      <c r="CU1376" s="717"/>
      <c r="CV1376" s="1267"/>
      <c r="WZO1376" s="1374"/>
      <c r="WZP1376" s="1374"/>
      <c r="WZQ1376" s="1374"/>
      <c r="WZR1376" s="1374"/>
      <c r="WZS1376" s="1374"/>
      <c r="WZT1376" s="1374"/>
      <c r="WZU1376" s="1374"/>
      <c r="WZV1376" s="1374"/>
      <c r="WZW1376" s="1374"/>
      <c r="WZX1376" s="1374"/>
      <c r="WZY1376" s="1374"/>
      <c r="WZZ1376" s="1374"/>
      <c r="XAA1376" s="1374"/>
      <c r="XAB1376" s="1374"/>
      <c r="XAC1376" s="1374"/>
      <c r="XAD1376" s="1374"/>
      <c r="XAE1376" s="1374"/>
      <c r="XAF1376" s="1374"/>
      <c r="XAG1376" s="1374"/>
      <c r="XAH1376" s="1374"/>
      <c r="XAI1376" s="1374"/>
      <c r="XAJ1376" s="1374"/>
      <c r="XAK1376" s="1374"/>
      <c r="XAL1376" s="1374"/>
      <c r="XAM1376" s="1374"/>
      <c r="XAN1376" s="1374"/>
      <c r="XAO1376" s="1374"/>
      <c r="XAP1376" s="1374"/>
      <c r="XAQ1376" s="1374"/>
      <c r="XAR1376" s="1374"/>
      <c r="XAS1376" s="1374"/>
      <c r="XAT1376" s="1374"/>
      <c r="XAU1376" s="1374"/>
      <c r="XAV1376" s="1374"/>
      <c r="XAW1376" s="1374"/>
      <c r="XAX1376" s="1374"/>
      <c r="XAY1376" s="1374"/>
      <c r="XAZ1376" s="1374"/>
      <c r="XBA1376" s="1374"/>
      <c r="XBB1376" s="1374"/>
      <c r="XBC1376" s="1374"/>
      <c r="XBD1376" s="1374"/>
      <c r="XBE1376" s="1374"/>
      <c r="XBF1376" s="1374"/>
      <c r="XBG1376" s="1374"/>
      <c r="XBH1376" s="1374"/>
      <c r="XBI1376" s="1374"/>
      <c r="XBJ1376" s="1374"/>
      <c r="XBK1376" s="1374"/>
      <c r="XBL1376" s="1374"/>
      <c r="XBM1376" s="1374"/>
      <c r="XBN1376" s="1374"/>
      <c r="XBO1376" s="1374"/>
      <c r="XBP1376" s="1374"/>
      <c r="XBQ1376" s="1374"/>
      <c r="XBR1376" s="1374"/>
      <c r="XBS1376" s="1374"/>
      <c r="XBT1376" s="1374"/>
      <c r="XBU1376" s="1374"/>
      <c r="XBV1376" s="1374"/>
      <c r="XBW1376" s="1374"/>
      <c r="XBX1376" s="1374"/>
      <c r="XBY1376" s="1374"/>
      <c r="XBZ1376" s="1374"/>
      <c r="XCA1376" s="1374"/>
      <c r="XCB1376" s="1374"/>
      <c r="XCC1376" s="1374"/>
      <c r="XCD1376" s="1374"/>
      <c r="XCE1376" s="1374"/>
      <c r="XCF1376" s="1374"/>
      <c r="XCG1376" s="1374"/>
      <c r="XCH1376" s="1374"/>
      <c r="XCI1376" s="1374"/>
      <c r="XCJ1376" s="1374"/>
      <c r="XCK1376" s="1374"/>
      <c r="XCL1376" s="1374"/>
      <c r="XCM1376" s="1374"/>
      <c r="XCN1376" s="1374"/>
      <c r="XCO1376" s="1374"/>
      <c r="XCP1376" s="1374"/>
      <c r="XCQ1376" s="1374"/>
      <c r="XCR1376" s="1374"/>
      <c r="XCS1376" s="1374"/>
      <c r="XCT1376" s="1374"/>
      <c r="XCU1376" s="1374"/>
      <c r="XCV1376" s="1374"/>
      <c r="XCW1376" s="1374"/>
      <c r="XCX1376" s="1374"/>
      <c r="XCY1376" s="1374"/>
      <c r="XCZ1376" s="1374"/>
      <c r="XDA1376" s="1374"/>
      <c r="XDB1376" s="1374"/>
      <c r="XDC1376" s="1374"/>
      <c r="XDD1376" s="1374"/>
      <c r="XDE1376" s="1374"/>
      <c r="XDF1376" s="1374"/>
      <c r="XDG1376" s="1374"/>
      <c r="XDH1376" s="1374"/>
      <c r="XDI1376" s="1374"/>
      <c r="XDJ1376" s="1374"/>
      <c r="XDK1376" s="1374"/>
      <c r="XDL1376" s="1374"/>
      <c r="XDM1376" s="1374"/>
      <c r="XDN1376" s="1374"/>
      <c r="XDO1376" s="1374"/>
      <c r="XDP1376" s="1374"/>
      <c r="XDQ1376" s="1374"/>
      <c r="XDR1376" s="1374"/>
      <c r="XDS1376" s="1374"/>
      <c r="XDT1376" s="1374"/>
      <c r="XDU1376" s="1374"/>
      <c r="XDV1376" s="1374"/>
      <c r="XDW1376" s="1374"/>
      <c r="XDX1376" s="1374"/>
      <c r="XDY1376" s="1374"/>
      <c r="XDZ1376" s="1374"/>
      <c r="XEA1376" s="1374"/>
      <c r="XEB1376" s="1374"/>
      <c r="XEC1376" s="1374"/>
      <c r="XED1376" s="1374"/>
      <c r="XEE1376" s="1374"/>
      <c r="XEF1376" s="1374"/>
      <c r="XEG1376" s="1374"/>
      <c r="XEH1376" s="1374"/>
      <c r="XEI1376" s="1374"/>
      <c r="XEJ1376" s="1374"/>
      <c r="XEK1376" s="1374"/>
      <c r="XEL1376" s="1374"/>
      <c r="XEM1376" s="1374"/>
      <c r="XEN1376" s="1374"/>
      <c r="XEO1376" s="1374"/>
      <c r="XEP1376" s="1374"/>
      <c r="XEQ1376" s="1374"/>
      <c r="XER1376" s="1374"/>
      <c r="XES1376" s="1374"/>
      <c r="XET1376" s="1374"/>
      <c r="XEU1376" s="1374"/>
      <c r="XEV1376" s="1374"/>
      <c r="XEW1376" s="1374"/>
      <c r="XEX1376" s="1374"/>
      <c r="XEY1376" s="1374"/>
      <c r="XEZ1376" s="1374"/>
      <c r="XFA1376" s="1374"/>
      <c r="XFB1376" s="1374"/>
      <c r="XFC1376" s="1374"/>
      <c r="XFD1376" s="1374"/>
    </row>
    <row r="1377" s="1267" customFormat="1" ht="31" customHeight="1" spans="1:100 16239:16384">
      <c r="A1377" s="608">
        <v>46182</v>
      </c>
      <c r="B1377" s="609" t="s">
        <v>1620</v>
      </c>
      <c r="C1377" s="610" t="s">
        <v>278</v>
      </c>
      <c r="D1377" s="554" t="s">
        <v>5392</v>
      </c>
      <c r="E1377" s="610" t="s">
        <v>5393</v>
      </c>
      <c r="F1377" s="554" t="s">
        <v>5394</v>
      </c>
      <c r="G1377" s="610" t="s">
        <v>164</v>
      </c>
      <c r="H1377" s="610" t="s">
        <v>112</v>
      </c>
      <c r="I1377" s="715">
        <v>5000</v>
      </c>
      <c r="J1377" s="610">
        <v>0</v>
      </c>
      <c r="K1377" s="610">
        <v>8</v>
      </c>
      <c r="L1377" s="611">
        <f t="shared" si="432"/>
        <v>625</v>
      </c>
      <c r="M1377" s="612">
        <v>46247</v>
      </c>
      <c r="N1377" s="612">
        <v>46244</v>
      </c>
      <c r="O1377" s="613"/>
      <c r="P1377" s="610" t="s">
        <v>113</v>
      </c>
      <c r="Q1377" s="614"/>
      <c r="R1377" s="614">
        <v>46182</v>
      </c>
      <c r="S1377" s="614" t="s">
        <v>70</v>
      </c>
      <c r="T1377" s="614" t="s">
        <v>70</v>
      </c>
      <c r="U1377" s="614" t="s">
        <v>5395</v>
      </c>
      <c r="V1377" s="862" t="s">
        <v>5396</v>
      </c>
      <c r="W1377" s="614" t="s">
        <v>5397</v>
      </c>
      <c r="X1377" s="609" t="s">
        <v>5053</v>
      </c>
      <c r="Y1377" s="616" t="s">
        <v>1549</v>
      </c>
      <c r="Z1377" s="625">
        <v>4.3495</v>
      </c>
      <c r="AA1377" s="616">
        <f t="shared" si="433"/>
        <v>21747.5</v>
      </c>
      <c r="AB1377" s="609"/>
      <c r="AC1377" s="617"/>
      <c r="AD1377" s="610" t="s">
        <v>2381</v>
      </c>
      <c r="AE1377" s="610" t="s">
        <v>82</v>
      </c>
      <c r="AF1377" s="610"/>
      <c r="AG1377" s="610"/>
      <c r="AH1377" s="610"/>
      <c r="AI1377" s="609">
        <f>1568+3424</f>
        <v>4992</v>
      </c>
      <c r="AJ1377" s="613">
        <f t="shared" si="424"/>
        <v>-8</v>
      </c>
      <c r="AK1377" s="610"/>
      <c r="AL1377" s="610" t="s">
        <v>2368</v>
      </c>
      <c r="AM1377" s="554"/>
      <c r="AN1377" s="554">
        <f t="shared" si="434"/>
        <v>5000</v>
      </c>
      <c r="AO1377" s="554"/>
      <c r="AP1377" s="554"/>
      <c r="AQ1377" s="554"/>
      <c r="AR1377" s="554"/>
      <c r="AS1377" s="554">
        <f>I1377</f>
        <v>5000</v>
      </c>
      <c r="AT1377" s="554"/>
      <c r="AU1377" s="554">
        <f t="shared" si="435"/>
        <v>5000</v>
      </c>
      <c r="AV1377" s="554"/>
      <c r="AW1377" s="554">
        <f t="shared" si="436"/>
        <v>5000</v>
      </c>
      <c r="AX1377" s="714"/>
      <c r="AY1377" s="554"/>
      <c r="AZ1377" s="554"/>
      <c r="BA1377" s="554"/>
      <c r="BB1377" s="554"/>
      <c r="BC1377" s="554"/>
      <c r="BD1377" s="554"/>
      <c r="BE1377" s="554"/>
      <c r="BF1377" s="554"/>
      <c r="BG1377" s="554"/>
      <c r="BH1377" s="554"/>
      <c r="BI1377" s="554">
        <f>I1377/4</f>
        <v>1250</v>
      </c>
      <c r="BJ1377" s="554"/>
      <c r="BK1377" s="554"/>
      <c r="BL1377" s="554"/>
      <c r="BM1377" s="554"/>
      <c r="BN1377" s="554"/>
      <c r="BO1377" s="554"/>
      <c r="BP1377" s="554"/>
      <c r="BQ1377" s="554"/>
      <c r="BR1377" s="554"/>
      <c r="BS1377" s="554"/>
      <c r="BT1377" s="554"/>
      <c r="BU1377" s="554"/>
      <c r="BV1377" s="554"/>
      <c r="BW1377" s="554"/>
      <c r="BX1377" s="554"/>
      <c r="BY1377" s="554"/>
      <c r="BZ1377" s="554"/>
      <c r="CA1377" s="554"/>
      <c r="CB1377" s="554"/>
      <c r="CC1377" s="554"/>
      <c r="CD1377" s="554"/>
      <c r="CE1377" s="554"/>
      <c r="CF1377" s="554"/>
      <c r="CG1377" s="554"/>
      <c r="CH1377" s="619"/>
      <c r="CI1377" s="619"/>
      <c r="CJ1377" s="619"/>
      <c r="CK1377" s="619"/>
      <c r="CL1377" s="619"/>
      <c r="CM1377" s="554"/>
      <c r="CN1377" s="554"/>
      <c r="CO1377" s="554"/>
      <c r="CP1377" s="619"/>
      <c r="CQ1377" s="619"/>
      <c r="CR1377" s="619"/>
      <c r="CS1377" s="619"/>
      <c r="CT1377" s="619"/>
      <c r="CU1377" s="619"/>
      <c r="WZO1377" s="1374"/>
      <c r="WZP1377" s="1374"/>
      <c r="WZQ1377" s="1374"/>
      <c r="WZR1377" s="1374"/>
      <c r="WZS1377" s="1374"/>
      <c r="WZT1377" s="1374"/>
      <c r="WZU1377" s="1374"/>
      <c r="WZV1377" s="1374"/>
      <c r="WZW1377" s="1374"/>
      <c r="WZX1377" s="1374"/>
      <c r="WZY1377" s="1374"/>
      <c r="WZZ1377" s="1374"/>
      <c r="XAA1377" s="1374"/>
      <c r="XAB1377" s="1374"/>
      <c r="XAC1377" s="1374"/>
      <c r="XAD1377" s="1374"/>
      <c r="XAE1377" s="1374"/>
      <c r="XAF1377" s="1374"/>
      <c r="XAG1377" s="1374"/>
      <c r="XAH1377" s="1374"/>
      <c r="XAI1377" s="1374"/>
      <c r="XAJ1377" s="1374"/>
      <c r="XAK1377" s="1374"/>
      <c r="XAL1377" s="1374"/>
      <c r="XAM1377" s="1374"/>
      <c r="XAN1377" s="1374"/>
      <c r="XAO1377" s="1374"/>
      <c r="XAP1377" s="1374"/>
      <c r="XAQ1377" s="1374"/>
      <c r="XAR1377" s="1374"/>
      <c r="XAS1377" s="1374"/>
      <c r="XAT1377" s="1374"/>
      <c r="XAU1377" s="1374"/>
      <c r="XAV1377" s="1374"/>
      <c r="XAW1377" s="1374"/>
      <c r="XAX1377" s="1374"/>
      <c r="XAY1377" s="1374"/>
      <c r="XAZ1377" s="1374"/>
      <c r="XBA1377" s="1374"/>
      <c r="XBB1377" s="1374"/>
      <c r="XBC1377" s="1374"/>
      <c r="XBD1377" s="1374"/>
      <c r="XBE1377" s="1374"/>
      <c r="XBF1377" s="1374"/>
      <c r="XBG1377" s="1374"/>
      <c r="XBH1377" s="1374"/>
      <c r="XBI1377" s="1374"/>
      <c r="XBJ1377" s="1374"/>
      <c r="XBK1377" s="1374"/>
      <c r="XBL1377" s="1374"/>
      <c r="XBM1377" s="1374"/>
      <c r="XBN1377" s="1374"/>
      <c r="XBO1377" s="1374"/>
      <c r="XBP1377" s="1374"/>
      <c r="XBQ1377" s="1374"/>
      <c r="XBR1377" s="1374"/>
      <c r="XBS1377" s="1374"/>
      <c r="XBT1377" s="1374"/>
      <c r="XBU1377" s="1374"/>
      <c r="XBV1377" s="1374"/>
      <c r="XBW1377" s="1374"/>
      <c r="XBX1377" s="1374"/>
      <c r="XBY1377" s="1374"/>
      <c r="XBZ1377" s="1374"/>
      <c r="XCA1377" s="1374"/>
      <c r="XCB1377" s="1374"/>
      <c r="XCC1377" s="1374"/>
      <c r="XCD1377" s="1374"/>
      <c r="XCE1377" s="1374"/>
      <c r="XCF1377" s="1374"/>
      <c r="XCG1377" s="1374"/>
      <c r="XCH1377" s="1374"/>
      <c r="XCI1377" s="1374"/>
      <c r="XCJ1377" s="1374"/>
      <c r="XCK1377" s="1374"/>
      <c r="XCL1377" s="1374"/>
      <c r="XCM1377" s="1374"/>
      <c r="XCN1377" s="1374"/>
      <c r="XCO1377" s="1374"/>
      <c r="XCP1377" s="1374"/>
      <c r="XCQ1377" s="1374"/>
      <c r="XCR1377" s="1374"/>
      <c r="XCS1377" s="1374"/>
      <c r="XCT1377" s="1374"/>
      <c r="XCU1377" s="1374"/>
      <c r="XCV1377" s="1374"/>
      <c r="XCW1377" s="1374"/>
      <c r="XCX1377" s="1374"/>
      <c r="XCY1377" s="1374"/>
      <c r="XCZ1377" s="1374"/>
      <c r="XDA1377" s="1374"/>
      <c r="XDB1377" s="1374"/>
      <c r="XDC1377" s="1374"/>
      <c r="XDD1377" s="1374"/>
      <c r="XDE1377" s="1374"/>
      <c r="XDF1377" s="1374"/>
      <c r="XDG1377" s="1374"/>
      <c r="XDH1377" s="1374"/>
      <c r="XDI1377" s="1374"/>
      <c r="XDJ1377" s="1374"/>
      <c r="XDK1377" s="1374"/>
      <c r="XDL1377" s="1374"/>
      <c r="XDM1377" s="1374"/>
      <c r="XDN1377" s="1374"/>
      <c r="XDO1377" s="1374"/>
      <c r="XDP1377" s="1374"/>
      <c r="XDQ1377" s="1374"/>
      <c r="XDR1377" s="1374"/>
      <c r="XDS1377" s="1374"/>
      <c r="XDT1377" s="1374"/>
      <c r="XDU1377" s="1374"/>
      <c r="XDV1377" s="1374"/>
      <c r="XDW1377" s="1374"/>
      <c r="XDX1377" s="1374"/>
      <c r="XDY1377" s="1374"/>
      <c r="XDZ1377" s="1374"/>
      <c r="XEA1377" s="1374"/>
      <c r="XEB1377" s="1374"/>
      <c r="XEC1377" s="1374"/>
      <c r="XED1377" s="1374"/>
      <c r="XEE1377" s="1374"/>
      <c r="XEF1377" s="1374"/>
      <c r="XEG1377" s="1374"/>
      <c r="XEH1377" s="1374"/>
      <c r="XEI1377" s="1374"/>
      <c r="XEJ1377" s="1374"/>
      <c r="XEK1377" s="1374"/>
      <c r="XEL1377" s="1374"/>
      <c r="XEM1377" s="1374"/>
      <c r="XEN1377" s="1374"/>
      <c r="XEO1377" s="1374"/>
      <c r="XEP1377" s="1374"/>
      <c r="XEQ1377" s="1374"/>
      <c r="XER1377" s="1374"/>
      <c r="XES1377" s="1374"/>
      <c r="XET1377" s="1374"/>
      <c r="XEU1377" s="1374"/>
      <c r="XEV1377" s="1374"/>
      <c r="XEW1377" s="1374"/>
      <c r="XEX1377" s="1374"/>
      <c r="XEY1377" s="1374"/>
      <c r="XEZ1377" s="1374"/>
      <c r="XFA1377" s="1374"/>
      <c r="XFB1377" s="1374"/>
      <c r="XFC1377" s="1374"/>
      <c r="XFD1377" s="1374"/>
    </row>
    <row r="1378" s="1267" customFormat="1" ht="31" customHeight="1" spans="1:100 16239:16384">
      <c r="A1378" s="608">
        <v>46203</v>
      </c>
      <c r="B1378" s="609" t="s">
        <v>4371</v>
      </c>
      <c r="C1378" s="610" t="s">
        <v>98</v>
      </c>
      <c r="D1378" s="554">
        <v>4500214197</v>
      </c>
      <c r="E1378" s="610">
        <v>1003602749</v>
      </c>
      <c r="F1378" s="554" t="s">
        <v>5398</v>
      </c>
      <c r="G1378" s="610" t="s">
        <v>101</v>
      </c>
      <c r="H1378" s="610" t="s">
        <v>102</v>
      </c>
      <c r="I1378" s="715">
        <v>1280</v>
      </c>
      <c r="J1378" s="610">
        <v>0</v>
      </c>
      <c r="K1378" s="610">
        <v>4</v>
      </c>
      <c r="L1378" s="611">
        <f t="shared" si="432"/>
        <v>320</v>
      </c>
      <c r="M1378" s="612">
        <v>46251</v>
      </c>
      <c r="N1378" s="612">
        <v>46247</v>
      </c>
      <c r="O1378" s="737" t="s">
        <v>5399</v>
      </c>
      <c r="P1378" s="610" t="s">
        <v>113</v>
      </c>
      <c r="Q1378" s="614">
        <v>46258</v>
      </c>
      <c r="R1378" s="614" t="s">
        <v>4563</v>
      </c>
      <c r="S1378" s="614" t="s">
        <v>70</v>
      </c>
      <c r="T1378" s="614" t="s">
        <v>5343</v>
      </c>
      <c r="U1378" s="614"/>
      <c r="V1378" s="614"/>
      <c r="W1378" s="609"/>
      <c r="X1378" s="609" t="s">
        <v>5400</v>
      </c>
      <c r="Y1378" s="616" t="s">
        <v>4378</v>
      </c>
      <c r="Z1378" s="625">
        <v>2.7075</v>
      </c>
      <c r="AA1378" s="616">
        <f t="shared" si="433"/>
        <v>3465.6</v>
      </c>
      <c r="AB1378" s="554"/>
      <c r="AC1378" s="617"/>
      <c r="AD1378" s="610" t="s">
        <v>101</v>
      </c>
      <c r="AE1378" s="610" t="s">
        <v>82</v>
      </c>
      <c r="AF1378" s="610"/>
      <c r="AG1378" s="610"/>
      <c r="AH1378" s="610"/>
      <c r="AI1378" s="609">
        <v>1280</v>
      </c>
      <c r="AJ1378" s="613">
        <f t="shared" si="424"/>
        <v>0</v>
      </c>
      <c r="AK1378" s="610"/>
      <c r="AL1378" s="610" t="s">
        <v>2368</v>
      </c>
      <c r="AM1378" s="554"/>
      <c r="AN1378" s="554">
        <f t="shared" si="434"/>
        <v>1280</v>
      </c>
      <c r="AO1378" s="554"/>
      <c r="AP1378" s="554"/>
      <c r="AQ1378" s="554"/>
      <c r="AR1378" s="554">
        <f>I1378</f>
        <v>1280</v>
      </c>
      <c r="AS1378" s="554"/>
      <c r="AT1378" s="554"/>
      <c r="AU1378" s="554">
        <f t="shared" si="435"/>
        <v>1280</v>
      </c>
      <c r="AV1378" s="554"/>
      <c r="AW1378" s="554">
        <f t="shared" si="436"/>
        <v>1280</v>
      </c>
      <c r="AX1378" s="714"/>
      <c r="AY1378" s="554"/>
      <c r="AZ1378" s="554"/>
      <c r="BA1378" s="554"/>
      <c r="BB1378" s="554"/>
      <c r="BC1378" s="554"/>
      <c r="BD1378" s="554"/>
      <c r="BE1378" s="554"/>
      <c r="BF1378" s="554"/>
      <c r="BG1378" s="554"/>
      <c r="BH1378" s="554">
        <f>I1378/4</f>
        <v>320</v>
      </c>
      <c r="BI1378" s="554"/>
      <c r="BJ1378" s="554"/>
      <c r="BK1378" s="554"/>
      <c r="BL1378" s="554"/>
      <c r="BM1378" s="554"/>
      <c r="BN1378" s="554"/>
      <c r="BO1378" s="554"/>
      <c r="BP1378" s="554"/>
      <c r="BQ1378" s="554"/>
      <c r="BR1378" s="554"/>
      <c r="BS1378" s="554"/>
      <c r="BT1378" s="554"/>
      <c r="BU1378" s="554"/>
      <c r="BV1378" s="554"/>
      <c r="BW1378" s="554"/>
      <c r="BX1378" s="554"/>
      <c r="BY1378" s="554"/>
      <c r="BZ1378" s="554"/>
      <c r="CA1378" s="554"/>
      <c r="CB1378" s="554"/>
      <c r="CC1378" s="554"/>
      <c r="CD1378" s="554"/>
      <c r="CE1378" s="554"/>
      <c r="CF1378" s="554"/>
      <c r="CG1378" s="554"/>
      <c r="CH1378" s="619"/>
      <c r="CI1378" s="619"/>
      <c r="CJ1378" s="619"/>
      <c r="CK1378" s="619"/>
      <c r="CL1378" s="619"/>
      <c r="CM1378" s="554"/>
      <c r="CN1378" s="554"/>
      <c r="CO1378" s="554"/>
      <c r="CP1378" s="619"/>
      <c r="CQ1378" s="619"/>
      <c r="CR1378" s="619"/>
      <c r="CS1378" s="619"/>
      <c r="CT1378" s="619"/>
      <c r="CU1378" s="619"/>
      <c r="WZO1378" s="1374"/>
      <c r="WZP1378" s="1374"/>
      <c r="WZQ1378" s="1374"/>
      <c r="WZR1378" s="1374"/>
      <c r="WZS1378" s="1374"/>
      <c r="WZT1378" s="1374"/>
      <c r="WZU1378" s="1374"/>
      <c r="WZV1378" s="1374"/>
      <c r="WZW1378" s="1374"/>
      <c r="WZX1378" s="1374"/>
      <c r="WZY1378" s="1374"/>
      <c r="WZZ1378" s="1374"/>
      <c r="XAA1378" s="1374"/>
      <c r="XAB1378" s="1374"/>
      <c r="XAC1378" s="1374"/>
      <c r="XAD1378" s="1374"/>
      <c r="XAE1378" s="1374"/>
      <c r="XAF1378" s="1374"/>
      <c r="XAG1378" s="1374"/>
      <c r="XAH1378" s="1374"/>
      <c r="XAI1378" s="1374"/>
      <c r="XAJ1378" s="1374"/>
      <c r="XAK1378" s="1374"/>
      <c r="XAL1378" s="1374"/>
      <c r="XAM1378" s="1374"/>
      <c r="XAN1378" s="1374"/>
      <c r="XAO1378" s="1374"/>
      <c r="XAP1378" s="1374"/>
      <c r="XAQ1378" s="1374"/>
      <c r="XAR1378" s="1374"/>
      <c r="XAS1378" s="1374"/>
      <c r="XAT1378" s="1374"/>
      <c r="XAU1378" s="1374"/>
      <c r="XAV1378" s="1374"/>
      <c r="XAW1378" s="1374"/>
      <c r="XAX1378" s="1374"/>
      <c r="XAY1378" s="1374"/>
      <c r="XAZ1378" s="1374"/>
      <c r="XBA1378" s="1374"/>
      <c r="XBB1378" s="1374"/>
      <c r="XBC1378" s="1374"/>
      <c r="XBD1378" s="1374"/>
      <c r="XBE1378" s="1374"/>
      <c r="XBF1378" s="1374"/>
      <c r="XBG1378" s="1374"/>
      <c r="XBH1378" s="1374"/>
      <c r="XBI1378" s="1374"/>
      <c r="XBJ1378" s="1374"/>
      <c r="XBK1378" s="1374"/>
      <c r="XBL1378" s="1374"/>
      <c r="XBM1378" s="1374"/>
      <c r="XBN1378" s="1374"/>
      <c r="XBO1378" s="1374"/>
      <c r="XBP1378" s="1374"/>
      <c r="XBQ1378" s="1374"/>
      <c r="XBR1378" s="1374"/>
      <c r="XBS1378" s="1374"/>
      <c r="XBT1378" s="1374"/>
      <c r="XBU1378" s="1374"/>
      <c r="XBV1378" s="1374"/>
      <c r="XBW1378" s="1374"/>
      <c r="XBX1378" s="1374"/>
      <c r="XBY1378" s="1374"/>
      <c r="XBZ1378" s="1374"/>
      <c r="XCA1378" s="1374"/>
      <c r="XCB1378" s="1374"/>
      <c r="XCC1378" s="1374"/>
      <c r="XCD1378" s="1374"/>
      <c r="XCE1378" s="1374"/>
      <c r="XCF1378" s="1374"/>
      <c r="XCG1378" s="1374"/>
      <c r="XCH1378" s="1374"/>
      <c r="XCI1378" s="1374"/>
      <c r="XCJ1378" s="1374"/>
      <c r="XCK1378" s="1374"/>
      <c r="XCL1378" s="1374"/>
      <c r="XCM1378" s="1374"/>
      <c r="XCN1378" s="1374"/>
      <c r="XCO1378" s="1374"/>
      <c r="XCP1378" s="1374"/>
      <c r="XCQ1378" s="1374"/>
      <c r="XCR1378" s="1374"/>
      <c r="XCS1378" s="1374"/>
      <c r="XCT1378" s="1374"/>
      <c r="XCU1378" s="1374"/>
      <c r="XCV1378" s="1374"/>
      <c r="XCW1378" s="1374"/>
      <c r="XCX1378" s="1374"/>
      <c r="XCY1378" s="1374"/>
      <c r="XCZ1378" s="1374"/>
      <c r="XDA1378" s="1374"/>
      <c r="XDB1378" s="1374"/>
      <c r="XDC1378" s="1374"/>
      <c r="XDD1378" s="1374"/>
      <c r="XDE1378" s="1374"/>
      <c r="XDF1378" s="1374"/>
      <c r="XDG1378" s="1374"/>
      <c r="XDH1378" s="1374"/>
      <c r="XDI1378" s="1374"/>
      <c r="XDJ1378" s="1374"/>
      <c r="XDK1378" s="1374"/>
      <c r="XDL1378" s="1374"/>
      <c r="XDM1378" s="1374"/>
      <c r="XDN1378" s="1374"/>
      <c r="XDO1378" s="1374"/>
      <c r="XDP1378" s="1374"/>
      <c r="XDQ1378" s="1374"/>
      <c r="XDR1378" s="1374"/>
      <c r="XDS1378" s="1374"/>
      <c r="XDT1378" s="1374"/>
      <c r="XDU1378" s="1374"/>
      <c r="XDV1378" s="1374"/>
      <c r="XDW1378" s="1374"/>
      <c r="XDX1378" s="1374"/>
      <c r="XDY1378" s="1374"/>
      <c r="XDZ1378" s="1374"/>
      <c r="XEA1378" s="1374"/>
      <c r="XEB1378" s="1374"/>
      <c r="XEC1378" s="1374"/>
      <c r="XED1378" s="1374"/>
      <c r="XEE1378" s="1374"/>
      <c r="XEF1378" s="1374"/>
      <c r="XEG1378" s="1374"/>
      <c r="XEH1378" s="1374"/>
      <c r="XEI1378" s="1374"/>
      <c r="XEJ1378" s="1374"/>
      <c r="XEK1378" s="1374"/>
      <c r="XEL1378" s="1374"/>
      <c r="XEM1378" s="1374"/>
      <c r="XEN1378" s="1374"/>
      <c r="XEO1378" s="1374"/>
      <c r="XEP1378" s="1374"/>
      <c r="XEQ1378" s="1374"/>
      <c r="XER1378" s="1374"/>
      <c r="XES1378" s="1374"/>
      <c r="XET1378" s="1374"/>
      <c r="XEU1378" s="1374"/>
      <c r="XEV1378" s="1374"/>
      <c r="XEW1378" s="1374"/>
      <c r="XEX1378" s="1374"/>
      <c r="XEY1378" s="1374"/>
      <c r="XEZ1378" s="1374"/>
      <c r="XFA1378" s="1374"/>
      <c r="XFB1378" s="1374"/>
      <c r="XFC1378" s="1374"/>
      <c r="XFD1378" s="1374"/>
    </row>
    <row r="1379" s="1267" customFormat="1" ht="31" customHeight="1" spans="1:100 16239:16384">
      <c r="A1379" s="608">
        <v>46203</v>
      </c>
      <c r="B1379" s="609" t="s">
        <v>4371</v>
      </c>
      <c r="C1379" s="610" t="s">
        <v>98</v>
      </c>
      <c r="D1379" s="554">
        <v>4500214197</v>
      </c>
      <c r="E1379" s="610">
        <v>1003608912</v>
      </c>
      <c r="F1379" s="554" t="s">
        <v>5401</v>
      </c>
      <c r="G1379" s="610" t="s">
        <v>101</v>
      </c>
      <c r="H1379" s="610" t="s">
        <v>102</v>
      </c>
      <c r="I1379" s="715">
        <v>3600</v>
      </c>
      <c r="J1379" s="610">
        <v>0</v>
      </c>
      <c r="K1379" s="610">
        <v>4</v>
      </c>
      <c r="L1379" s="611">
        <f t="shared" si="432"/>
        <v>900</v>
      </c>
      <c r="M1379" s="612">
        <v>46251</v>
      </c>
      <c r="N1379" s="612">
        <v>46247</v>
      </c>
      <c r="O1379" s="737" t="s">
        <v>5389</v>
      </c>
      <c r="P1379" s="610" t="s">
        <v>113</v>
      </c>
      <c r="Q1379" s="614">
        <v>46258</v>
      </c>
      <c r="R1379" s="614" t="s">
        <v>4563</v>
      </c>
      <c r="S1379" s="614" t="s">
        <v>70</v>
      </c>
      <c r="T1379" s="614" t="s">
        <v>5343</v>
      </c>
      <c r="U1379" s="614"/>
      <c r="V1379" s="614"/>
      <c r="W1379" s="609"/>
      <c r="X1379" s="609" t="s">
        <v>5400</v>
      </c>
      <c r="Y1379" s="616" t="s">
        <v>4378</v>
      </c>
      <c r="Z1379" s="625">
        <v>2.7075</v>
      </c>
      <c r="AA1379" s="616">
        <f t="shared" si="433"/>
        <v>9747</v>
      </c>
      <c r="AB1379" s="554"/>
      <c r="AC1379" s="617"/>
      <c r="AD1379" s="610" t="s">
        <v>101</v>
      </c>
      <c r="AE1379" s="610" t="s">
        <v>82</v>
      </c>
      <c r="AF1379" s="610"/>
      <c r="AG1379" s="610"/>
      <c r="AH1379" s="610"/>
      <c r="AI1379" s="609">
        <f>2100+1500</f>
        <v>3600</v>
      </c>
      <c r="AJ1379" s="613">
        <f t="shared" si="424"/>
        <v>0</v>
      </c>
      <c r="AK1379" s="610"/>
      <c r="AL1379" s="610" t="s">
        <v>2368</v>
      </c>
      <c r="AM1379" s="554"/>
      <c r="AN1379" s="554">
        <f t="shared" si="434"/>
        <v>3600</v>
      </c>
      <c r="AO1379" s="554"/>
      <c r="AP1379" s="554"/>
      <c r="AQ1379" s="554"/>
      <c r="AR1379" s="554">
        <f>I1379</f>
        <v>3600</v>
      </c>
      <c r="AS1379" s="554"/>
      <c r="AT1379" s="554"/>
      <c r="AU1379" s="554">
        <f t="shared" si="435"/>
        <v>3600</v>
      </c>
      <c r="AV1379" s="554"/>
      <c r="AW1379" s="554">
        <f t="shared" si="436"/>
        <v>3600</v>
      </c>
      <c r="AX1379" s="714"/>
      <c r="AY1379" s="554"/>
      <c r="AZ1379" s="554"/>
      <c r="BA1379" s="554"/>
      <c r="BB1379" s="554"/>
      <c r="BC1379" s="554"/>
      <c r="BD1379" s="554"/>
      <c r="BE1379" s="554"/>
      <c r="BF1379" s="554"/>
      <c r="BG1379" s="554"/>
      <c r="BH1379" s="554">
        <f>I1379/4</f>
        <v>900</v>
      </c>
      <c r="BI1379" s="554"/>
      <c r="BJ1379" s="554"/>
      <c r="BK1379" s="554"/>
      <c r="BL1379" s="554"/>
      <c r="BM1379" s="554"/>
      <c r="BN1379" s="554"/>
      <c r="BO1379" s="554"/>
      <c r="BP1379" s="554"/>
      <c r="BQ1379" s="554"/>
      <c r="BR1379" s="554"/>
      <c r="BS1379" s="554"/>
      <c r="BT1379" s="554"/>
      <c r="BU1379" s="554"/>
      <c r="BV1379" s="554"/>
      <c r="BW1379" s="554"/>
      <c r="BX1379" s="554"/>
      <c r="BY1379" s="554"/>
      <c r="BZ1379" s="554"/>
      <c r="CA1379" s="554"/>
      <c r="CB1379" s="554"/>
      <c r="CC1379" s="554"/>
      <c r="CD1379" s="554"/>
      <c r="CE1379" s="554"/>
      <c r="CF1379" s="554"/>
      <c r="CG1379" s="554"/>
      <c r="CH1379" s="619"/>
      <c r="CI1379" s="619"/>
      <c r="CJ1379" s="619"/>
      <c r="CK1379" s="619"/>
      <c r="CL1379" s="619"/>
      <c r="CM1379" s="554"/>
      <c r="CN1379" s="554"/>
      <c r="CO1379" s="554"/>
      <c r="CP1379" s="619"/>
      <c r="CQ1379" s="619"/>
      <c r="CR1379" s="619"/>
      <c r="CS1379" s="619"/>
      <c r="CT1379" s="619"/>
      <c r="CU1379" s="619"/>
      <c r="WZO1379" s="1374"/>
      <c r="WZP1379" s="1374"/>
      <c r="WZQ1379" s="1374"/>
      <c r="WZR1379" s="1374"/>
      <c r="WZS1379" s="1374"/>
      <c r="WZT1379" s="1374"/>
      <c r="WZU1379" s="1374"/>
      <c r="WZV1379" s="1374"/>
      <c r="WZW1379" s="1374"/>
      <c r="WZX1379" s="1374"/>
      <c r="WZY1379" s="1374"/>
      <c r="WZZ1379" s="1374"/>
      <c r="XAA1379" s="1374"/>
      <c r="XAB1379" s="1374"/>
      <c r="XAC1379" s="1374"/>
      <c r="XAD1379" s="1374"/>
      <c r="XAE1379" s="1374"/>
      <c r="XAF1379" s="1374"/>
      <c r="XAG1379" s="1374"/>
      <c r="XAH1379" s="1374"/>
      <c r="XAI1379" s="1374"/>
      <c r="XAJ1379" s="1374"/>
      <c r="XAK1379" s="1374"/>
      <c r="XAL1379" s="1374"/>
      <c r="XAM1379" s="1374"/>
      <c r="XAN1379" s="1374"/>
      <c r="XAO1379" s="1374"/>
      <c r="XAP1379" s="1374"/>
      <c r="XAQ1379" s="1374"/>
      <c r="XAR1379" s="1374"/>
      <c r="XAS1379" s="1374"/>
      <c r="XAT1379" s="1374"/>
      <c r="XAU1379" s="1374"/>
      <c r="XAV1379" s="1374"/>
      <c r="XAW1379" s="1374"/>
      <c r="XAX1379" s="1374"/>
      <c r="XAY1379" s="1374"/>
      <c r="XAZ1379" s="1374"/>
      <c r="XBA1379" s="1374"/>
      <c r="XBB1379" s="1374"/>
      <c r="XBC1379" s="1374"/>
      <c r="XBD1379" s="1374"/>
      <c r="XBE1379" s="1374"/>
      <c r="XBF1379" s="1374"/>
      <c r="XBG1379" s="1374"/>
      <c r="XBH1379" s="1374"/>
      <c r="XBI1379" s="1374"/>
      <c r="XBJ1379" s="1374"/>
      <c r="XBK1379" s="1374"/>
      <c r="XBL1379" s="1374"/>
      <c r="XBM1379" s="1374"/>
      <c r="XBN1379" s="1374"/>
      <c r="XBO1379" s="1374"/>
      <c r="XBP1379" s="1374"/>
      <c r="XBQ1379" s="1374"/>
      <c r="XBR1379" s="1374"/>
      <c r="XBS1379" s="1374"/>
      <c r="XBT1379" s="1374"/>
      <c r="XBU1379" s="1374"/>
      <c r="XBV1379" s="1374"/>
      <c r="XBW1379" s="1374"/>
      <c r="XBX1379" s="1374"/>
      <c r="XBY1379" s="1374"/>
      <c r="XBZ1379" s="1374"/>
      <c r="XCA1379" s="1374"/>
      <c r="XCB1379" s="1374"/>
      <c r="XCC1379" s="1374"/>
      <c r="XCD1379" s="1374"/>
      <c r="XCE1379" s="1374"/>
      <c r="XCF1379" s="1374"/>
      <c r="XCG1379" s="1374"/>
      <c r="XCH1379" s="1374"/>
      <c r="XCI1379" s="1374"/>
      <c r="XCJ1379" s="1374"/>
      <c r="XCK1379" s="1374"/>
      <c r="XCL1379" s="1374"/>
      <c r="XCM1379" s="1374"/>
      <c r="XCN1379" s="1374"/>
      <c r="XCO1379" s="1374"/>
      <c r="XCP1379" s="1374"/>
      <c r="XCQ1379" s="1374"/>
      <c r="XCR1379" s="1374"/>
      <c r="XCS1379" s="1374"/>
      <c r="XCT1379" s="1374"/>
      <c r="XCU1379" s="1374"/>
      <c r="XCV1379" s="1374"/>
      <c r="XCW1379" s="1374"/>
      <c r="XCX1379" s="1374"/>
      <c r="XCY1379" s="1374"/>
      <c r="XCZ1379" s="1374"/>
      <c r="XDA1379" s="1374"/>
      <c r="XDB1379" s="1374"/>
      <c r="XDC1379" s="1374"/>
      <c r="XDD1379" s="1374"/>
      <c r="XDE1379" s="1374"/>
      <c r="XDF1379" s="1374"/>
      <c r="XDG1379" s="1374"/>
      <c r="XDH1379" s="1374"/>
      <c r="XDI1379" s="1374"/>
      <c r="XDJ1379" s="1374"/>
      <c r="XDK1379" s="1374"/>
      <c r="XDL1379" s="1374"/>
      <c r="XDM1379" s="1374"/>
      <c r="XDN1379" s="1374"/>
      <c r="XDO1379" s="1374"/>
      <c r="XDP1379" s="1374"/>
      <c r="XDQ1379" s="1374"/>
      <c r="XDR1379" s="1374"/>
      <c r="XDS1379" s="1374"/>
      <c r="XDT1379" s="1374"/>
      <c r="XDU1379" s="1374"/>
      <c r="XDV1379" s="1374"/>
      <c r="XDW1379" s="1374"/>
      <c r="XDX1379" s="1374"/>
      <c r="XDY1379" s="1374"/>
      <c r="XDZ1379" s="1374"/>
      <c r="XEA1379" s="1374"/>
      <c r="XEB1379" s="1374"/>
      <c r="XEC1379" s="1374"/>
      <c r="XED1379" s="1374"/>
      <c r="XEE1379" s="1374"/>
      <c r="XEF1379" s="1374"/>
      <c r="XEG1379" s="1374"/>
      <c r="XEH1379" s="1374"/>
      <c r="XEI1379" s="1374"/>
      <c r="XEJ1379" s="1374"/>
      <c r="XEK1379" s="1374"/>
      <c r="XEL1379" s="1374"/>
      <c r="XEM1379" s="1374"/>
      <c r="XEN1379" s="1374"/>
      <c r="XEO1379" s="1374"/>
      <c r="XEP1379" s="1374"/>
      <c r="XEQ1379" s="1374"/>
      <c r="XER1379" s="1374"/>
      <c r="XES1379" s="1374"/>
      <c r="XET1379" s="1374"/>
      <c r="XEU1379" s="1374"/>
      <c r="XEV1379" s="1374"/>
      <c r="XEW1379" s="1374"/>
      <c r="XEX1379" s="1374"/>
      <c r="XEY1379" s="1374"/>
      <c r="XEZ1379" s="1374"/>
      <c r="XFA1379" s="1374"/>
      <c r="XFB1379" s="1374"/>
      <c r="XFC1379" s="1374"/>
      <c r="XFD1379" s="1374"/>
    </row>
    <row r="1380" s="1267" customFormat="1" ht="31" customHeight="1" spans="1:100 16239:16384">
      <c r="A1380" s="608">
        <v>46205</v>
      </c>
      <c r="B1380" s="609" t="s">
        <v>143</v>
      </c>
      <c r="C1380" s="610" t="s">
        <v>98</v>
      </c>
      <c r="D1380" s="554" t="s">
        <v>5339</v>
      </c>
      <c r="E1380" s="610" t="s">
        <v>5402</v>
      </c>
      <c r="F1380" s="554" t="s">
        <v>5403</v>
      </c>
      <c r="G1380" s="610" t="s">
        <v>101</v>
      </c>
      <c r="H1380" s="610" t="s">
        <v>102</v>
      </c>
      <c r="I1380" s="715">
        <v>3200</v>
      </c>
      <c r="J1380" s="610">
        <v>0</v>
      </c>
      <c r="K1380" s="610">
        <v>4</v>
      </c>
      <c r="L1380" s="611">
        <f t="shared" si="432"/>
        <v>800</v>
      </c>
      <c r="M1380" s="612">
        <v>46251</v>
      </c>
      <c r="N1380" s="612">
        <v>46247</v>
      </c>
      <c r="O1380" s="737" t="s">
        <v>5342</v>
      </c>
      <c r="P1380" s="610" t="s">
        <v>113</v>
      </c>
      <c r="Q1380" s="614"/>
      <c r="R1380" s="614" t="s">
        <v>4563</v>
      </c>
      <c r="S1380" s="614" t="s">
        <v>70</v>
      </c>
      <c r="T1380" s="614" t="s">
        <v>5343</v>
      </c>
      <c r="U1380" s="614"/>
      <c r="V1380" s="614"/>
      <c r="W1380" s="609"/>
      <c r="X1380" s="609" t="s">
        <v>4904</v>
      </c>
      <c r="Y1380" s="616" t="s">
        <v>4871</v>
      </c>
      <c r="Z1380" s="625">
        <v>2.6761</v>
      </c>
      <c r="AA1380" s="616">
        <f t="shared" si="433"/>
        <v>8563.52</v>
      </c>
      <c r="AB1380" s="554"/>
      <c r="AC1380" s="617"/>
      <c r="AD1380" s="610" t="s">
        <v>101</v>
      </c>
      <c r="AE1380" s="610" t="s">
        <v>82</v>
      </c>
      <c r="AF1380" s="610"/>
      <c r="AG1380" s="610"/>
      <c r="AH1380" s="610"/>
      <c r="AI1380" s="609">
        <f>2800+400</f>
        <v>3200</v>
      </c>
      <c r="AJ1380" s="613">
        <f t="shared" si="424"/>
        <v>0</v>
      </c>
      <c r="AK1380" s="610"/>
      <c r="AL1380" s="610" t="s">
        <v>2368</v>
      </c>
      <c r="AM1380" s="554"/>
      <c r="AN1380" s="554">
        <f t="shared" si="434"/>
        <v>3200</v>
      </c>
      <c r="AO1380" s="554"/>
      <c r="AP1380" s="554"/>
      <c r="AQ1380" s="554"/>
      <c r="AR1380" s="554">
        <f>I1380</f>
        <v>3200</v>
      </c>
      <c r="AS1380" s="554"/>
      <c r="AT1380" s="554"/>
      <c r="AU1380" s="554">
        <f t="shared" si="435"/>
        <v>3200</v>
      </c>
      <c r="AV1380" s="554"/>
      <c r="AW1380" s="554">
        <f t="shared" si="436"/>
        <v>3200</v>
      </c>
      <c r="AX1380" s="714"/>
      <c r="AY1380" s="554"/>
      <c r="AZ1380" s="554"/>
      <c r="BA1380" s="554"/>
      <c r="BB1380" s="554"/>
      <c r="BC1380" s="554"/>
      <c r="BD1380" s="554"/>
      <c r="BE1380" s="554"/>
      <c r="BF1380" s="554"/>
      <c r="BG1380" s="554"/>
      <c r="BH1380" s="554">
        <f>I1380/4</f>
        <v>800</v>
      </c>
      <c r="BI1380" s="554"/>
      <c r="BJ1380" s="554"/>
      <c r="BK1380" s="554"/>
      <c r="BL1380" s="554"/>
      <c r="BM1380" s="554"/>
      <c r="BN1380" s="554"/>
      <c r="BO1380" s="554"/>
      <c r="BP1380" s="554"/>
      <c r="BQ1380" s="554"/>
      <c r="BR1380" s="554"/>
      <c r="BS1380" s="554"/>
      <c r="BT1380" s="554"/>
      <c r="BU1380" s="554"/>
      <c r="BV1380" s="554"/>
      <c r="BW1380" s="554"/>
      <c r="BX1380" s="554"/>
      <c r="BY1380" s="554"/>
      <c r="BZ1380" s="554"/>
      <c r="CA1380" s="554"/>
      <c r="CB1380" s="554"/>
      <c r="CC1380" s="554"/>
      <c r="CD1380" s="554"/>
      <c r="CE1380" s="554"/>
      <c r="CF1380" s="554"/>
      <c r="CG1380" s="554"/>
      <c r="CH1380" s="619"/>
      <c r="CI1380" s="619"/>
      <c r="CJ1380" s="619"/>
      <c r="CK1380" s="619"/>
      <c r="CL1380" s="619"/>
      <c r="CM1380" s="554"/>
      <c r="CN1380" s="554"/>
      <c r="CO1380" s="554"/>
      <c r="CP1380" s="619"/>
      <c r="CQ1380" s="619"/>
      <c r="CR1380" s="619"/>
      <c r="CS1380" s="619"/>
      <c r="CT1380" s="619"/>
      <c r="CU1380" s="619"/>
      <c r="WZO1380" s="1374"/>
      <c r="WZP1380" s="1374"/>
      <c r="WZQ1380" s="1374"/>
      <c r="WZR1380" s="1374"/>
      <c r="WZS1380" s="1374"/>
      <c r="WZT1380" s="1374"/>
      <c r="WZU1380" s="1374"/>
      <c r="WZV1380" s="1374"/>
      <c r="WZW1380" s="1374"/>
      <c r="WZX1380" s="1374"/>
      <c r="WZY1380" s="1374"/>
      <c r="WZZ1380" s="1374"/>
      <c r="XAA1380" s="1374"/>
      <c r="XAB1380" s="1374"/>
      <c r="XAC1380" s="1374"/>
      <c r="XAD1380" s="1374"/>
      <c r="XAE1380" s="1374"/>
      <c r="XAF1380" s="1374"/>
      <c r="XAG1380" s="1374"/>
      <c r="XAH1380" s="1374"/>
      <c r="XAI1380" s="1374"/>
      <c r="XAJ1380" s="1374"/>
      <c r="XAK1380" s="1374"/>
      <c r="XAL1380" s="1374"/>
      <c r="XAM1380" s="1374"/>
      <c r="XAN1380" s="1374"/>
      <c r="XAO1380" s="1374"/>
      <c r="XAP1380" s="1374"/>
      <c r="XAQ1380" s="1374"/>
      <c r="XAR1380" s="1374"/>
      <c r="XAS1380" s="1374"/>
      <c r="XAT1380" s="1374"/>
      <c r="XAU1380" s="1374"/>
      <c r="XAV1380" s="1374"/>
      <c r="XAW1380" s="1374"/>
      <c r="XAX1380" s="1374"/>
      <c r="XAY1380" s="1374"/>
      <c r="XAZ1380" s="1374"/>
      <c r="XBA1380" s="1374"/>
      <c r="XBB1380" s="1374"/>
      <c r="XBC1380" s="1374"/>
      <c r="XBD1380" s="1374"/>
      <c r="XBE1380" s="1374"/>
      <c r="XBF1380" s="1374"/>
      <c r="XBG1380" s="1374"/>
      <c r="XBH1380" s="1374"/>
      <c r="XBI1380" s="1374"/>
      <c r="XBJ1380" s="1374"/>
      <c r="XBK1380" s="1374"/>
      <c r="XBL1380" s="1374"/>
      <c r="XBM1380" s="1374"/>
      <c r="XBN1380" s="1374"/>
      <c r="XBO1380" s="1374"/>
      <c r="XBP1380" s="1374"/>
      <c r="XBQ1380" s="1374"/>
      <c r="XBR1380" s="1374"/>
      <c r="XBS1380" s="1374"/>
      <c r="XBT1380" s="1374"/>
      <c r="XBU1380" s="1374"/>
      <c r="XBV1380" s="1374"/>
      <c r="XBW1380" s="1374"/>
      <c r="XBX1380" s="1374"/>
      <c r="XBY1380" s="1374"/>
      <c r="XBZ1380" s="1374"/>
      <c r="XCA1380" s="1374"/>
      <c r="XCB1380" s="1374"/>
      <c r="XCC1380" s="1374"/>
      <c r="XCD1380" s="1374"/>
      <c r="XCE1380" s="1374"/>
      <c r="XCF1380" s="1374"/>
      <c r="XCG1380" s="1374"/>
      <c r="XCH1380" s="1374"/>
      <c r="XCI1380" s="1374"/>
      <c r="XCJ1380" s="1374"/>
      <c r="XCK1380" s="1374"/>
      <c r="XCL1380" s="1374"/>
      <c r="XCM1380" s="1374"/>
      <c r="XCN1380" s="1374"/>
      <c r="XCO1380" s="1374"/>
      <c r="XCP1380" s="1374"/>
      <c r="XCQ1380" s="1374"/>
      <c r="XCR1380" s="1374"/>
      <c r="XCS1380" s="1374"/>
      <c r="XCT1380" s="1374"/>
      <c r="XCU1380" s="1374"/>
      <c r="XCV1380" s="1374"/>
      <c r="XCW1380" s="1374"/>
      <c r="XCX1380" s="1374"/>
      <c r="XCY1380" s="1374"/>
      <c r="XCZ1380" s="1374"/>
      <c r="XDA1380" s="1374"/>
      <c r="XDB1380" s="1374"/>
      <c r="XDC1380" s="1374"/>
      <c r="XDD1380" s="1374"/>
      <c r="XDE1380" s="1374"/>
      <c r="XDF1380" s="1374"/>
      <c r="XDG1380" s="1374"/>
      <c r="XDH1380" s="1374"/>
      <c r="XDI1380" s="1374"/>
      <c r="XDJ1380" s="1374"/>
      <c r="XDK1380" s="1374"/>
      <c r="XDL1380" s="1374"/>
      <c r="XDM1380" s="1374"/>
      <c r="XDN1380" s="1374"/>
      <c r="XDO1380" s="1374"/>
      <c r="XDP1380" s="1374"/>
      <c r="XDQ1380" s="1374"/>
      <c r="XDR1380" s="1374"/>
      <c r="XDS1380" s="1374"/>
      <c r="XDT1380" s="1374"/>
      <c r="XDU1380" s="1374"/>
      <c r="XDV1380" s="1374"/>
      <c r="XDW1380" s="1374"/>
      <c r="XDX1380" s="1374"/>
      <c r="XDY1380" s="1374"/>
      <c r="XDZ1380" s="1374"/>
      <c r="XEA1380" s="1374"/>
      <c r="XEB1380" s="1374"/>
      <c r="XEC1380" s="1374"/>
      <c r="XED1380" s="1374"/>
      <c r="XEE1380" s="1374"/>
      <c r="XEF1380" s="1374"/>
      <c r="XEG1380" s="1374"/>
      <c r="XEH1380" s="1374"/>
      <c r="XEI1380" s="1374"/>
      <c r="XEJ1380" s="1374"/>
      <c r="XEK1380" s="1374"/>
      <c r="XEL1380" s="1374"/>
      <c r="XEM1380" s="1374"/>
      <c r="XEN1380" s="1374"/>
      <c r="XEO1380" s="1374"/>
      <c r="XEP1380" s="1374"/>
      <c r="XEQ1380" s="1374"/>
      <c r="XER1380" s="1374"/>
      <c r="XES1380" s="1374"/>
      <c r="XET1380" s="1374"/>
      <c r="XEU1380" s="1374"/>
      <c r="XEV1380" s="1374"/>
      <c r="XEW1380" s="1374"/>
      <c r="XEX1380" s="1374"/>
      <c r="XEY1380" s="1374"/>
      <c r="XEZ1380" s="1374"/>
      <c r="XFA1380" s="1374"/>
      <c r="XFB1380" s="1374"/>
      <c r="XFC1380" s="1374"/>
      <c r="XFD1380" s="1374"/>
    </row>
    <row r="1381" s="1267" customFormat="1" ht="31" customHeight="1" spans="1:100 16239:16384">
      <c r="A1381" s="608">
        <v>46198</v>
      </c>
      <c r="B1381" s="609" t="s">
        <v>169</v>
      </c>
      <c r="C1381" s="610" t="s">
        <v>170</v>
      </c>
      <c r="D1381" s="554" t="s">
        <v>5404</v>
      </c>
      <c r="E1381" s="610" t="s">
        <v>5405</v>
      </c>
      <c r="F1381" s="554" t="s">
        <v>5406</v>
      </c>
      <c r="G1381" s="610" t="s">
        <v>172</v>
      </c>
      <c r="H1381" s="610" t="s">
        <v>112</v>
      </c>
      <c r="I1381" s="715">
        <v>500</v>
      </c>
      <c r="J1381" s="610">
        <v>0</v>
      </c>
      <c r="K1381" s="610">
        <v>2</v>
      </c>
      <c r="L1381" s="611">
        <f t="shared" si="432"/>
        <v>250</v>
      </c>
      <c r="M1381" s="612">
        <v>46252</v>
      </c>
      <c r="N1381" s="612">
        <v>46248</v>
      </c>
      <c r="O1381" s="737" t="s">
        <v>5407</v>
      </c>
      <c r="P1381" s="610" t="s">
        <v>113</v>
      </c>
      <c r="Q1381" s="614" t="s">
        <v>5408</v>
      </c>
      <c r="R1381" s="614">
        <v>46209</v>
      </c>
      <c r="S1381" s="614" t="s">
        <v>70</v>
      </c>
      <c r="T1381" s="614" t="s">
        <v>5409</v>
      </c>
      <c r="U1381" s="614"/>
      <c r="V1381" s="614"/>
      <c r="W1381" s="609"/>
      <c r="X1381" s="609" t="s">
        <v>5410</v>
      </c>
      <c r="Y1381" s="616" t="s">
        <v>2071</v>
      </c>
      <c r="Z1381" s="625">
        <v>4.4913</v>
      </c>
      <c r="AA1381" s="616">
        <f t="shared" si="433"/>
        <v>2245.65</v>
      </c>
      <c r="AB1381" s="554"/>
      <c r="AC1381" s="617"/>
      <c r="AD1381" s="610" t="s">
        <v>172</v>
      </c>
      <c r="AE1381" s="610" t="s">
        <v>82</v>
      </c>
      <c r="AF1381" s="610"/>
      <c r="AG1381" s="610"/>
      <c r="AH1381" s="610"/>
      <c r="AI1381" s="609">
        <v>500</v>
      </c>
      <c r="AJ1381" s="613">
        <f t="shared" si="424"/>
        <v>0</v>
      </c>
      <c r="AK1381" s="610"/>
      <c r="AL1381" s="610" t="s">
        <v>2368</v>
      </c>
      <c r="AM1381" s="554"/>
      <c r="AN1381" s="554">
        <f t="shared" si="434"/>
        <v>500</v>
      </c>
      <c r="AO1381" s="554"/>
      <c r="AP1381" s="554"/>
      <c r="AQ1381" s="554"/>
      <c r="AR1381" s="554"/>
      <c r="AS1381" s="554">
        <f>I1381</f>
        <v>500</v>
      </c>
      <c r="AT1381" s="554"/>
      <c r="AU1381" s="554">
        <f t="shared" si="435"/>
        <v>500</v>
      </c>
      <c r="AV1381" s="554"/>
      <c r="AW1381" s="554">
        <f t="shared" si="436"/>
        <v>500</v>
      </c>
      <c r="AX1381" s="714"/>
      <c r="AY1381" s="554"/>
      <c r="AZ1381" s="554"/>
      <c r="BA1381" s="554"/>
      <c r="BB1381" s="554"/>
      <c r="BC1381" s="554"/>
      <c r="BD1381" s="554"/>
      <c r="BE1381" s="554"/>
      <c r="BF1381" s="554"/>
      <c r="BG1381" s="554"/>
      <c r="BH1381" s="554"/>
      <c r="BI1381" s="554"/>
      <c r="BJ1381" s="554"/>
      <c r="BK1381" s="554"/>
      <c r="BL1381" s="554"/>
      <c r="BM1381" s="554"/>
      <c r="BN1381" s="554"/>
      <c r="BO1381" s="554"/>
      <c r="BP1381" s="554"/>
      <c r="BQ1381" s="554"/>
      <c r="BR1381" s="554"/>
      <c r="BS1381" s="554"/>
      <c r="BT1381" s="554"/>
      <c r="BU1381" s="554"/>
      <c r="BV1381" s="554"/>
      <c r="BW1381" s="554"/>
      <c r="BX1381" s="554"/>
      <c r="BY1381" s="554"/>
      <c r="BZ1381" s="554"/>
      <c r="CA1381" s="554"/>
      <c r="CB1381" s="554"/>
      <c r="CC1381" s="554"/>
      <c r="CD1381" s="554"/>
      <c r="CE1381" s="554"/>
      <c r="CF1381" s="554"/>
      <c r="CG1381" s="554"/>
      <c r="CH1381" s="619"/>
      <c r="CI1381" s="619"/>
      <c r="CJ1381" s="619"/>
      <c r="CK1381" s="619"/>
      <c r="CL1381" s="619"/>
      <c r="CM1381" s="554"/>
      <c r="CN1381" s="554"/>
      <c r="CO1381" s="554"/>
      <c r="CP1381" s="619"/>
      <c r="CQ1381" s="619"/>
      <c r="CR1381" s="619"/>
      <c r="CS1381" s="619"/>
      <c r="CT1381" s="619"/>
      <c r="CU1381" s="619"/>
      <c r="WZO1381" s="1374"/>
      <c r="WZP1381" s="1374"/>
      <c r="WZQ1381" s="1374"/>
      <c r="WZR1381" s="1374"/>
      <c r="WZS1381" s="1374"/>
      <c r="WZT1381" s="1374"/>
      <c r="WZU1381" s="1374"/>
      <c r="WZV1381" s="1374"/>
      <c r="WZW1381" s="1374"/>
      <c r="WZX1381" s="1374"/>
      <c r="WZY1381" s="1374"/>
      <c r="WZZ1381" s="1374"/>
      <c r="XAA1381" s="1374"/>
      <c r="XAB1381" s="1374"/>
      <c r="XAC1381" s="1374"/>
      <c r="XAD1381" s="1374"/>
      <c r="XAE1381" s="1374"/>
      <c r="XAF1381" s="1374"/>
      <c r="XAG1381" s="1374"/>
      <c r="XAH1381" s="1374"/>
      <c r="XAI1381" s="1374"/>
      <c r="XAJ1381" s="1374"/>
      <c r="XAK1381" s="1374"/>
      <c r="XAL1381" s="1374"/>
      <c r="XAM1381" s="1374"/>
      <c r="XAN1381" s="1374"/>
      <c r="XAO1381" s="1374"/>
      <c r="XAP1381" s="1374"/>
      <c r="XAQ1381" s="1374"/>
      <c r="XAR1381" s="1374"/>
      <c r="XAS1381" s="1374"/>
      <c r="XAT1381" s="1374"/>
      <c r="XAU1381" s="1374"/>
      <c r="XAV1381" s="1374"/>
      <c r="XAW1381" s="1374"/>
      <c r="XAX1381" s="1374"/>
      <c r="XAY1381" s="1374"/>
      <c r="XAZ1381" s="1374"/>
      <c r="XBA1381" s="1374"/>
      <c r="XBB1381" s="1374"/>
      <c r="XBC1381" s="1374"/>
      <c r="XBD1381" s="1374"/>
      <c r="XBE1381" s="1374"/>
      <c r="XBF1381" s="1374"/>
      <c r="XBG1381" s="1374"/>
      <c r="XBH1381" s="1374"/>
      <c r="XBI1381" s="1374"/>
      <c r="XBJ1381" s="1374"/>
      <c r="XBK1381" s="1374"/>
      <c r="XBL1381" s="1374"/>
      <c r="XBM1381" s="1374"/>
      <c r="XBN1381" s="1374"/>
      <c r="XBO1381" s="1374"/>
      <c r="XBP1381" s="1374"/>
      <c r="XBQ1381" s="1374"/>
      <c r="XBR1381" s="1374"/>
      <c r="XBS1381" s="1374"/>
      <c r="XBT1381" s="1374"/>
      <c r="XBU1381" s="1374"/>
      <c r="XBV1381" s="1374"/>
      <c r="XBW1381" s="1374"/>
      <c r="XBX1381" s="1374"/>
      <c r="XBY1381" s="1374"/>
      <c r="XBZ1381" s="1374"/>
      <c r="XCA1381" s="1374"/>
      <c r="XCB1381" s="1374"/>
      <c r="XCC1381" s="1374"/>
      <c r="XCD1381" s="1374"/>
      <c r="XCE1381" s="1374"/>
      <c r="XCF1381" s="1374"/>
      <c r="XCG1381" s="1374"/>
      <c r="XCH1381" s="1374"/>
      <c r="XCI1381" s="1374"/>
      <c r="XCJ1381" s="1374"/>
      <c r="XCK1381" s="1374"/>
      <c r="XCL1381" s="1374"/>
      <c r="XCM1381" s="1374"/>
      <c r="XCN1381" s="1374"/>
      <c r="XCO1381" s="1374"/>
      <c r="XCP1381" s="1374"/>
      <c r="XCQ1381" s="1374"/>
      <c r="XCR1381" s="1374"/>
      <c r="XCS1381" s="1374"/>
      <c r="XCT1381" s="1374"/>
      <c r="XCU1381" s="1374"/>
      <c r="XCV1381" s="1374"/>
      <c r="XCW1381" s="1374"/>
      <c r="XCX1381" s="1374"/>
      <c r="XCY1381" s="1374"/>
      <c r="XCZ1381" s="1374"/>
      <c r="XDA1381" s="1374"/>
      <c r="XDB1381" s="1374"/>
      <c r="XDC1381" s="1374"/>
      <c r="XDD1381" s="1374"/>
      <c r="XDE1381" s="1374"/>
      <c r="XDF1381" s="1374"/>
      <c r="XDG1381" s="1374"/>
      <c r="XDH1381" s="1374"/>
      <c r="XDI1381" s="1374"/>
      <c r="XDJ1381" s="1374"/>
      <c r="XDK1381" s="1374"/>
      <c r="XDL1381" s="1374"/>
      <c r="XDM1381" s="1374"/>
      <c r="XDN1381" s="1374"/>
      <c r="XDO1381" s="1374"/>
      <c r="XDP1381" s="1374"/>
      <c r="XDQ1381" s="1374"/>
      <c r="XDR1381" s="1374"/>
      <c r="XDS1381" s="1374"/>
      <c r="XDT1381" s="1374"/>
      <c r="XDU1381" s="1374"/>
      <c r="XDV1381" s="1374"/>
      <c r="XDW1381" s="1374"/>
      <c r="XDX1381" s="1374"/>
      <c r="XDY1381" s="1374"/>
      <c r="XDZ1381" s="1374"/>
      <c r="XEA1381" s="1374"/>
      <c r="XEB1381" s="1374"/>
      <c r="XEC1381" s="1374"/>
      <c r="XED1381" s="1374"/>
      <c r="XEE1381" s="1374"/>
      <c r="XEF1381" s="1374"/>
      <c r="XEG1381" s="1374"/>
      <c r="XEH1381" s="1374"/>
      <c r="XEI1381" s="1374"/>
      <c r="XEJ1381" s="1374"/>
      <c r="XEK1381" s="1374"/>
      <c r="XEL1381" s="1374"/>
      <c r="XEM1381" s="1374"/>
      <c r="XEN1381" s="1374"/>
      <c r="XEO1381" s="1374"/>
      <c r="XEP1381" s="1374"/>
      <c r="XEQ1381" s="1374"/>
      <c r="XER1381" s="1374"/>
      <c r="XES1381" s="1374"/>
      <c r="XET1381" s="1374"/>
      <c r="XEU1381" s="1374"/>
      <c r="XEV1381" s="1374"/>
      <c r="XEW1381" s="1374"/>
      <c r="XEX1381" s="1374"/>
      <c r="XEY1381" s="1374"/>
      <c r="XEZ1381" s="1374"/>
      <c r="XFA1381" s="1374"/>
      <c r="XFB1381" s="1374"/>
      <c r="XFC1381" s="1374"/>
      <c r="XFD1381" s="1374"/>
    </row>
    <row r="1382" s="1267" customFormat="1" ht="31" customHeight="1" spans="1:100 16239:16384">
      <c r="A1382" s="608">
        <v>46175</v>
      </c>
      <c r="B1382" s="609" t="s">
        <v>143</v>
      </c>
      <c r="C1382" s="610" t="s">
        <v>98</v>
      </c>
      <c r="D1382" s="554" t="s">
        <v>5411</v>
      </c>
      <c r="E1382" s="1419" t="s">
        <v>5412</v>
      </c>
      <c r="F1382" s="554" t="s">
        <v>5413</v>
      </c>
      <c r="G1382" s="610" t="s">
        <v>101</v>
      </c>
      <c r="H1382" s="610" t="s">
        <v>102</v>
      </c>
      <c r="I1382" s="715">
        <v>1920</v>
      </c>
      <c r="J1382" s="610">
        <v>0</v>
      </c>
      <c r="K1382" s="610">
        <v>4</v>
      </c>
      <c r="L1382" s="611">
        <f t="shared" si="432"/>
        <v>480</v>
      </c>
      <c r="M1382" s="612">
        <v>46253</v>
      </c>
      <c r="N1382" s="612">
        <v>46249</v>
      </c>
      <c r="O1382" s="737" t="s">
        <v>5268</v>
      </c>
      <c r="P1382" s="610" t="s">
        <v>113</v>
      </c>
      <c r="Q1382" s="614"/>
      <c r="R1382" s="614" t="s">
        <v>147</v>
      </c>
      <c r="S1382" s="614" t="s">
        <v>70</v>
      </c>
      <c r="T1382" s="614" t="s">
        <v>5269</v>
      </c>
      <c r="U1382" s="614"/>
      <c r="V1382" s="614"/>
      <c r="W1382" s="609"/>
      <c r="X1382" s="609" t="s">
        <v>5251</v>
      </c>
      <c r="Y1382" s="616" t="s">
        <v>4871</v>
      </c>
      <c r="Z1382" s="625">
        <v>2.7109</v>
      </c>
      <c r="AA1382" s="616">
        <f t="shared" si="433"/>
        <v>5204.928</v>
      </c>
      <c r="AB1382" s="554"/>
      <c r="AC1382" s="617"/>
      <c r="AD1382" s="610" t="s">
        <v>101</v>
      </c>
      <c r="AE1382" s="610" t="s">
        <v>82</v>
      </c>
      <c r="AF1382" s="610"/>
      <c r="AG1382" s="610"/>
      <c r="AH1382" s="610"/>
      <c r="AI1382" s="609">
        <v>1920</v>
      </c>
      <c r="AJ1382" s="613">
        <f t="shared" si="424"/>
        <v>0</v>
      </c>
      <c r="AK1382" s="610"/>
      <c r="AL1382" s="610" t="s">
        <v>2368</v>
      </c>
      <c r="AM1382" s="554"/>
      <c r="AN1382" s="554">
        <f t="shared" si="434"/>
        <v>1920</v>
      </c>
      <c r="AO1382" s="554"/>
      <c r="AP1382" s="554"/>
      <c r="AQ1382" s="554"/>
      <c r="AR1382" s="554">
        <f>I1382</f>
        <v>1920</v>
      </c>
      <c r="AS1382" s="554"/>
      <c r="AT1382" s="554"/>
      <c r="AU1382" s="554">
        <f t="shared" si="435"/>
        <v>1920</v>
      </c>
      <c r="AV1382" s="554"/>
      <c r="AW1382" s="554">
        <f t="shared" si="436"/>
        <v>1920</v>
      </c>
      <c r="AX1382" s="714"/>
      <c r="AY1382" s="554"/>
      <c r="AZ1382" s="554"/>
      <c r="BA1382" s="554"/>
      <c r="BB1382" s="554"/>
      <c r="BC1382" s="554"/>
      <c r="BD1382" s="554"/>
      <c r="BE1382" s="554"/>
      <c r="BF1382" s="554"/>
      <c r="BG1382" s="554"/>
      <c r="BH1382" s="554">
        <f>I1382/4</f>
        <v>480</v>
      </c>
      <c r="BI1382" s="554"/>
      <c r="BJ1382" s="554"/>
      <c r="BK1382" s="554"/>
      <c r="BL1382" s="554"/>
      <c r="BM1382" s="554"/>
      <c r="BN1382" s="554"/>
      <c r="BO1382" s="554"/>
      <c r="BP1382" s="554"/>
      <c r="BQ1382" s="554"/>
      <c r="BR1382" s="554"/>
      <c r="BS1382" s="554"/>
      <c r="BT1382" s="554"/>
      <c r="BU1382" s="554"/>
      <c r="BV1382" s="554"/>
      <c r="BW1382" s="554"/>
      <c r="BX1382" s="554"/>
      <c r="BY1382" s="554"/>
      <c r="BZ1382" s="554"/>
      <c r="CA1382" s="554"/>
      <c r="CB1382" s="554"/>
      <c r="CC1382" s="554"/>
      <c r="CD1382" s="554"/>
      <c r="CE1382" s="554"/>
      <c r="CF1382" s="554"/>
      <c r="CG1382" s="554"/>
      <c r="CH1382" s="619"/>
      <c r="CI1382" s="619"/>
      <c r="CJ1382" s="619"/>
      <c r="CK1382" s="619"/>
      <c r="CL1382" s="619"/>
      <c r="CM1382" s="554"/>
      <c r="CN1382" s="554"/>
      <c r="CO1382" s="554"/>
      <c r="CP1382" s="619"/>
      <c r="CQ1382" s="619"/>
      <c r="CR1382" s="619"/>
      <c r="CS1382" s="619"/>
      <c r="CT1382" s="619"/>
      <c r="CU1382" s="619"/>
      <c r="WZO1382" s="1374"/>
      <c r="WZP1382" s="1374"/>
      <c r="WZQ1382" s="1374"/>
      <c r="WZR1382" s="1374"/>
      <c r="WZS1382" s="1374"/>
      <c r="WZT1382" s="1374"/>
      <c r="WZU1382" s="1374"/>
      <c r="WZV1382" s="1374"/>
      <c r="WZW1382" s="1374"/>
      <c r="WZX1382" s="1374"/>
      <c r="WZY1382" s="1374"/>
      <c r="WZZ1382" s="1374"/>
      <c r="XAA1382" s="1374"/>
      <c r="XAB1382" s="1374"/>
      <c r="XAC1382" s="1374"/>
      <c r="XAD1382" s="1374"/>
      <c r="XAE1382" s="1374"/>
      <c r="XAF1382" s="1374"/>
      <c r="XAG1382" s="1374"/>
      <c r="XAH1382" s="1374"/>
      <c r="XAI1382" s="1374"/>
      <c r="XAJ1382" s="1374"/>
      <c r="XAK1382" s="1374"/>
      <c r="XAL1382" s="1374"/>
      <c r="XAM1382" s="1374"/>
      <c r="XAN1382" s="1374"/>
      <c r="XAO1382" s="1374"/>
      <c r="XAP1382" s="1374"/>
      <c r="XAQ1382" s="1374"/>
      <c r="XAR1382" s="1374"/>
      <c r="XAS1382" s="1374"/>
      <c r="XAT1382" s="1374"/>
      <c r="XAU1382" s="1374"/>
      <c r="XAV1382" s="1374"/>
      <c r="XAW1382" s="1374"/>
      <c r="XAX1382" s="1374"/>
      <c r="XAY1382" s="1374"/>
      <c r="XAZ1382" s="1374"/>
      <c r="XBA1382" s="1374"/>
      <c r="XBB1382" s="1374"/>
      <c r="XBC1382" s="1374"/>
      <c r="XBD1382" s="1374"/>
      <c r="XBE1382" s="1374"/>
      <c r="XBF1382" s="1374"/>
      <c r="XBG1382" s="1374"/>
      <c r="XBH1382" s="1374"/>
      <c r="XBI1382" s="1374"/>
      <c r="XBJ1382" s="1374"/>
      <c r="XBK1382" s="1374"/>
      <c r="XBL1382" s="1374"/>
      <c r="XBM1382" s="1374"/>
      <c r="XBN1382" s="1374"/>
      <c r="XBO1382" s="1374"/>
      <c r="XBP1382" s="1374"/>
      <c r="XBQ1382" s="1374"/>
      <c r="XBR1382" s="1374"/>
      <c r="XBS1382" s="1374"/>
      <c r="XBT1382" s="1374"/>
      <c r="XBU1382" s="1374"/>
      <c r="XBV1382" s="1374"/>
      <c r="XBW1382" s="1374"/>
      <c r="XBX1382" s="1374"/>
      <c r="XBY1382" s="1374"/>
      <c r="XBZ1382" s="1374"/>
      <c r="XCA1382" s="1374"/>
      <c r="XCB1382" s="1374"/>
      <c r="XCC1382" s="1374"/>
      <c r="XCD1382" s="1374"/>
      <c r="XCE1382" s="1374"/>
      <c r="XCF1382" s="1374"/>
      <c r="XCG1382" s="1374"/>
      <c r="XCH1382" s="1374"/>
      <c r="XCI1382" s="1374"/>
      <c r="XCJ1382" s="1374"/>
      <c r="XCK1382" s="1374"/>
      <c r="XCL1382" s="1374"/>
      <c r="XCM1382" s="1374"/>
      <c r="XCN1382" s="1374"/>
      <c r="XCO1382" s="1374"/>
      <c r="XCP1382" s="1374"/>
      <c r="XCQ1382" s="1374"/>
      <c r="XCR1382" s="1374"/>
      <c r="XCS1382" s="1374"/>
      <c r="XCT1382" s="1374"/>
      <c r="XCU1382" s="1374"/>
      <c r="XCV1382" s="1374"/>
      <c r="XCW1382" s="1374"/>
      <c r="XCX1382" s="1374"/>
      <c r="XCY1382" s="1374"/>
      <c r="XCZ1382" s="1374"/>
      <c r="XDA1382" s="1374"/>
      <c r="XDB1382" s="1374"/>
      <c r="XDC1382" s="1374"/>
      <c r="XDD1382" s="1374"/>
      <c r="XDE1382" s="1374"/>
      <c r="XDF1382" s="1374"/>
      <c r="XDG1382" s="1374"/>
      <c r="XDH1382" s="1374"/>
      <c r="XDI1382" s="1374"/>
      <c r="XDJ1382" s="1374"/>
      <c r="XDK1382" s="1374"/>
      <c r="XDL1382" s="1374"/>
      <c r="XDM1382" s="1374"/>
      <c r="XDN1382" s="1374"/>
      <c r="XDO1382" s="1374"/>
      <c r="XDP1382" s="1374"/>
      <c r="XDQ1382" s="1374"/>
      <c r="XDR1382" s="1374"/>
      <c r="XDS1382" s="1374"/>
      <c r="XDT1382" s="1374"/>
      <c r="XDU1382" s="1374"/>
      <c r="XDV1382" s="1374"/>
      <c r="XDW1382" s="1374"/>
      <c r="XDX1382" s="1374"/>
      <c r="XDY1382" s="1374"/>
      <c r="XDZ1382" s="1374"/>
      <c r="XEA1382" s="1374"/>
      <c r="XEB1382" s="1374"/>
      <c r="XEC1382" s="1374"/>
      <c r="XED1382" s="1374"/>
      <c r="XEE1382" s="1374"/>
      <c r="XEF1382" s="1374"/>
      <c r="XEG1382" s="1374"/>
      <c r="XEH1382" s="1374"/>
      <c r="XEI1382" s="1374"/>
      <c r="XEJ1382" s="1374"/>
      <c r="XEK1382" s="1374"/>
      <c r="XEL1382" s="1374"/>
      <c r="XEM1382" s="1374"/>
      <c r="XEN1382" s="1374"/>
      <c r="XEO1382" s="1374"/>
      <c r="XEP1382" s="1374"/>
      <c r="XEQ1382" s="1374"/>
      <c r="XER1382" s="1374"/>
      <c r="XES1382" s="1374"/>
      <c r="XET1382" s="1374"/>
      <c r="XEU1382" s="1374"/>
      <c r="XEV1382" s="1374"/>
      <c r="XEW1382" s="1374"/>
      <c r="XEX1382" s="1374"/>
      <c r="XEY1382" s="1374"/>
      <c r="XEZ1382" s="1374"/>
      <c r="XFA1382" s="1374"/>
      <c r="XFB1382" s="1374"/>
      <c r="XFC1382" s="1374"/>
      <c r="XFD1382" s="1374"/>
    </row>
    <row r="1383" s="1265" customFormat="1" ht="31" customHeight="1" spans="1:100 16239:16384">
      <c r="A1383" s="1008">
        <v>46127</v>
      </c>
      <c r="B1383" s="628" t="s">
        <v>5414</v>
      </c>
      <c r="C1383" s="618" t="s">
        <v>524</v>
      </c>
      <c r="D1383" s="687">
        <v>4500201970</v>
      </c>
      <c r="E1383" s="618" t="s">
        <v>5415</v>
      </c>
      <c r="F1383" s="687" t="s">
        <v>5416</v>
      </c>
      <c r="G1383" s="618" t="s">
        <v>68</v>
      </c>
      <c r="H1383" s="618" t="s">
        <v>69</v>
      </c>
      <c r="I1383" s="1069">
        <v>504</v>
      </c>
      <c r="J1383" s="618">
        <v>0</v>
      </c>
      <c r="K1383" s="618">
        <v>12</v>
      </c>
      <c r="L1383" s="1011">
        <f t="shared" si="432"/>
        <v>42</v>
      </c>
      <c r="M1383" s="1012">
        <v>46191</v>
      </c>
      <c r="N1383" s="225">
        <v>46259</v>
      </c>
      <c r="O1383" s="1265"/>
      <c r="P1383" s="1376"/>
      <c r="Q1383" s="774"/>
      <c r="R1383" s="999">
        <v>46164</v>
      </c>
      <c r="S1383" s="999" t="s">
        <v>70</v>
      </c>
      <c r="T1383" s="999" t="s">
        <v>5417</v>
      </c>
      <c r="U1383" s="999" t="s">
        <v>5418</v>
      </c>
      <c r="V1383" s="774"/>
      <c r="W1383" s="628"/>
      <c r="X1383" s="628" t="s">
        <v>5419</v>
      </c>
      <c r="Y1383" s="1014" t="s">
        <v>943</v>
      </c>
      <c r="Z1383" s="1339">
        <v>4.2622</v>
      </c>
      <c r="AA1383" s="1014">
        <f t="shared" si="433"/>
        <v>2148.1488</v>
      </c>
      <c r="AB1383" s="687"/>
      <c r="AC1383" s="1077"/>
      <c r="AD1383" s="939" t="s">
        <v>184</v>
      </c>
      <c r="AE1383" s="618" t="s">
        <v>82</v>
      </c>
      <c r="AF1383" s="618"/>
      <c r="AG1383" s="618"/>
      <c r="AH1383" s="618"/>
      <c r="AI1383" s="609"/>
      <c r="AJ1383" s="618">
        <f t="shared" si="424"/>
        <v>-504</v>
      </c>
      <c r="AK1383" s="618"/>
      <c r="AL1383" s="939" t="s">
        <v>2368</v>
      </c>
      <c r="AM1383" s="687"/>
      <c r="AN1383" s="687">
        <f t="shared" si="434"/>
        <v>504</v>
      </c>
      <c r="AO1383" s="687"/>
      <c r="AP1383" s="687"/>
      <c r="AQ1383" s="687"/>
      <c r="AR1383" s="687"/>
      <c r="AS1383" s="687">
        <f>I1383</f>
        <v>504</v>
      </c>
      <c r="AT1383" s="687"/>
      <c r="AU1383" s="687">
        <f t="shared" si="435"/>
        <v>504</v>
      </c>
      <c r="AV1383" s="687"/>
      <c r="AW1383" s="687">
        <f t="shared" si="436"/>
        <v>504</v>
      </c>
      <c r="AX1383" s="1016"/>
      <c r="AY1383" s="687"/>
      <c r="AZ1383" s="687"/>
      <c r="BA1383" s="687"/>
      <c r="BB1383" s="687"/>
      <c r="BC1383" s="687"/>
      <c r="BD1383" s="687"/>
      <c r="BE1383" s="687"/>
      <c r="BF1383" s="687"/>
      <c r="BG1383" s="687"/>
      <c r="BH1383" s="687"/>
      <c r="BI1383" s="687"/>
      <c r="BJ1383" s="687"/>
      <c r="BK1383" s="687"/>
      <c r="BL1383" s="687"/>
      <c r="BM1383" s="687"/>
      <c r="BN1383" s="687"/>
      <c r="BO1383" s="687"/>
      <c r="BP1383" s="687"/>
      <c r="BQ1383" s="687"/>
      <c r="BR1383" s="687"/>
      <c r="BS1383" s="687"/>
      <c r="BT1383" s="687"/>
      <c r="BU1383" s="687"/>
      <c r="BV1383" s="687"/>
      <c r="BW1383" s="687"/>
      <c r="BX1383" s="687"/>
      <c r="BY1383" s="687"/>
      <c r="BZ1383" s="687"/>
      <c r="CA1383" s="687"/>
      <c r="CB1383" s="687"/>
      <c r="CC1383" s="687"/>
      <c r="CD1383" s="687"/>
      <c r="CE1383" s="687"/>
      <c r="CF1383" s="687"/>
      <c r="CG1383" s="687"/>
      <c r="CH1383" s="1020"/>
      <c r="CI1383" s="1020"/>
      <c r="CJ1383" s="1020"/>
      <c r="CK1383" s="1020"/>
      <c r="CL1383" s="1020"/>
      <c r="CM1383" s="687"/>
      <c r="CN1383" s="687"/>
      <c r="CO1383" s="687"/>
      <c r="CP1383" s="1020"/>
      <c r="CQ1383" s="1020"/>
      <c r="CR1383" s="1020"/>
      <c r="CS1383" s="1020"/>
      <c r="CT1383" s="1020"/>
      <c r="CU1383" s="1020"/>
    </row>
    <row r="1384" s="1265" customFormat="1" ht="31" customHeight="1" spans="1:100 16239:16384">
      <c r="A1384" s="1008">
        <v>46153</v>
      </c>
      <c r="B1384" s="628" t="s">
        <v>1503</v>
      </c>
      <c r="C1384" s="618" t="s">
        <v>98</v>
      </c>
      <c r="D1384" s="687" t="s">
        <v>5420</v>
      </c>
      <c r="E1384" s="618" t="s">
        <v>5421</v>
      </c>
      <c r="F1384" s="687" t="s">
        <v>5422</v>
      </c>
      <c r="G1384" s="618" t="s">
        <v>68</v>
      </c>
      <c r="H1384" s="618" t="s">
        <v>69</v>
      </c>
      <c r="I1384" s="1069">
        <v>2124</v>
      </c>
      <c r="J1384" s="618">
        <v>0</v>
      </c>
      <c r="K1384" s="618">
        <v>12</v>
      </c>
      <c r="L1384" s="1011">
        <f t="shared" si="432"/>
        <v>177</v>
      </c>
      <c r="M1384" s="1012">
        <v>46240</v>
      </c>
      <c r="N1384" s="1338">
        <v>46239</v>
      </c>
      <c r="O1384" s="773"/>
      <c r="P1384" s="618"/>
      <c r="Q1384" s="774"/>
      <c r="R1384" s="999">
        <v>46153</v>
      </c>
      <c r="S1384" s="999" t="s">
        <v>104</v>
      </c>
      <c r="T1384" s="999" t="s">
        <v>5359</v>
      </c>
      <c r="U1384" s="999"/>
      <c r="V1384" s="774"/>
      <c r="W1384" s="628"/>
      <c r="X1384" s="628" t="s">
        <v>3915</v>
      </c>
      <c r="Y1384" s="1014" t="s">
        <v>125</v>
      </c>
      <c r="Z1384" s="1339">
        <v>2.5573</v>
      </c>
      <c r="AA1384" s="1014">
        <f t="shared" si="433"/>
        <v>5431.7052</v>
      </c>
      <c r="AB1384" s="687"/>
      <c r="AC1384" s="1077"/>
      <c r="AD1384" s="939" t="s">
        <v>68</v>
      </c>
      <c r="AE1384" s="618" t="s">
        <v>82</v>
      </c>
      <c r="AF1384" s="618"/>
      <c r="AG1384" s="618"/>
      <c r="AH1384" s="618"/>
      <c r="AI1384" s="609">
        <v>2124</v>
      </c>
      <c r="AJ1384" s="773">
        <f t="shared" si="424"/>
        <v>0</v>
      </c>
      <c r="AK1384" s="618"/>
      <c r="AL1384" s="939" t="s">
        <v>2368</v>
      </c>
      <c r="AM1384" s="687"/>
      <c r="AN1384" s="687">
        <f t="shared" si="434"/>
        <v>2124</v>
      </c>
      <c r="AO1384" s="687"/>
      <c r="AP1384" s="687"/>
      <c r="AQ1384" s="687"/>
      <c r="AR1384" s="687">
        <f>I1384</f>
        <v>2124</v>
      </c>
      <c r="AS1384" s="687"/>
      <c r="AT1384" s="687"/>
      <c r="AU1384" s="687">
        <f t="shared" si="435"/>
        <v>2124</v>
      </c>
      <c r="AV1384" s="687"/>
      <c r="AW1384" s="563">
        <f t="shared" si="436"/>
        <v>2124</v>
      </c>
      <c r="AX1384" s="1016"/>
      <c r="AY1384" s="687"/>
      <c r="AZ1384" s="687"/>
      <c r="BA1384" s="687"/>
      <c r="BB1384" s="687"/>
      <c r="BC1384" s="687"/>
      <c r="BD1384" s="687"/>
      <c r="BE1384" s="687"/>
      <c r="BF1384" s="687"/>
      <c r="BG1384" s="687"/>
      <c r="BH1384" s="687"/>
      <c r="BI1384" s="687"/>
      <c r="BJ1384" s="687"/>
      <c r="BK1384" s="687"/>
      <c r="BL1384" s="687"/>
      <c r="BM1384" s="687"/>
      <c r="BN1384" s="687"/>
      <c r="BO1384" s="687"/>
      <c r="BP1384" s="687"/>
      <c r="BQ1384" s="687"/>
      <c r="BR1384" s="687"/>
      <c r="BS1384" s="687"/>
      <c r="BT1384" s="687"/>
      <c r="BU1384" s="687"/>
      <c r="BV1384" s="687"/>
      <c r="BW1384" s="687"/>
      <c r="BX1384" s="687"/>
      <c r="BY1384" s="687"/>
      <c r="BZ1384" s="687"/>
      <c r="CA1384" s="687"/>
      <c r="CB1384" s="687"/>
      <c r="CC1384" s="687"/>
      <c r="CD1384" s="687"/>
      <c r="CE1384" s="687"/>
      <c r="CF1384" s="687"/>
      <c r="CG1384" s="687"/>
      <c r="CH1384" s="1020"/>
      <c r="CI1384" s="1020"/>
      <c r="CJ1384" s="1020"/>
      <c r="CK1384" s="1020"/>
      <c r="CL1384" s="1020"/>
      <c r="CM1384" s="687"/>
      <c r="CN1384" s="687"/>
      <c r="CO1384" s="687"/>
      <c r="CP1384" s="1020"/>
      <c r="CQ1384" s="1020"/>
      <c r="CR1384" s="1020"/>
      <c r="CS1384" s="1020"/>
      <c r="CT1384" s="1020"/>
      <c r="CU1384" s="1020"/>
    </row>
    <row r="1385" s="559" customFormat="1" ht="31" customHeight="1" spans="1:100 16239:16384">
      <c r="A1385" s="1008">
        <v>46183</v>
      </c>
      <c r="B1385" s="628" t="s">
        <v>4080</v>
      </c>
      <c r="C1385" s="618" t="s">
        <v>411</v>
      </c>
      <c r="D1385" s="687">
        <v>4500211400</v>
      </c>
      <c r="E1385" s="618"/>
      <c r="F1385" s="687" t="s">
        <v>5423</v>
      </c>
      <c r="G1385" s="618" t="s">
        <v>68</v>
      </c>
      <c r="H1385" s="939" t="s">
        <v>69</v>
      </c>
      <c r="I1385" s="1069">
        <v>912</v>
      </c>
      <c r="J1385" s="618">
        <v>0</v>
      </c>
      <c r="K1385" s="618">
        <v>12</v>
      </c>
      <c r="L1385" s="1011">
        <f t="shared" si="432"/>
        <v>76</v>
      </c>
      <c r="M1385" s="1012">
        <v>46241</v>
      </c>
      <c r="N1385" s="1012">
        <v>46237</v>
      </c>
      <c r="O1385" s="1031" t="s">
        <v>5424</v>
      </c>
      <c r="P1385" s="618"/>
      <c r="Q1385" s="774"/>
      <c r="R1385" s="999">
        <v>46183</v>
      </c>
      <c r="S1385" s="646" t="s">
        <v>70</v>
      </c>
      <c r="T1385" s="999" t="s">
        <v>5425</v>
      </c>
      <c r="U1385" s="999" t="s">
        <v>5426</v>
      </c>
      <c r="V1385" s="999" t="s">
        <v>5427</v>
      </c>
      <c r="W1385" s="626" t="s">
        <v>5428</v>
      </c>
      <c r="X1385" s="628" t="s">
        <v>5429</v>
      </c>
      <c r="Y1385" s="1014" t="s">
        <v>415</v>
      </c>
      <c r="Z1385" s="1339">
        <v>4.3274</v>
      </c>
      <c r="AA1385" s="1014">
        <f t="shared" si="433"/>
        <v>3946.5888</v>
      </c>
      <c r="AB1385" s="628"/>
      <c r="AC1385" s="1077"/>
      <c r="AD1385" s="939" t="s">
        <v>184</v>
      </c>
      <c r="AE1385" s="939" t="s">
        <v>82</v>
      </c>
      <c r="AF1385" s="618"/>
      <c r="AG1385" s="618"/>
      <c r="AH1385" s="618"/>
      <c r="AI1385" s="609"/>
      <c r="AJ1385" s="1031">
        <f t="shared" si="424"/>
        <v>-912</v>
      </c>
      <c r="AK1385" s="618"/>
      <c r="AL1385" s="939" t="s">
        <v>2368</v>
      </c>
      <c r="AM1385" s="687"/>
      <c r="AN1385" s="687">
        <f t="shared" si="434"/>
        <v>912</v>
      </c>
      <c r="AO1385" s="687"/>
      <c r="AP1385" s="687"/>
      <c r="AQ1385" s="687"/>
      <c r="AR1385" s="687"/>
      <c r="AS1385" s="563">
        <f>I1385</f>
        <v>912</v>
      </c>
      <c r="AT1385" s="563"/>
      <c r="AU1385" s="563">
        <f t="shared" si="435"/>
        <v>912</v>
      </c>
      <c r="AV1385" s="687"/>
      <c r="AW1385" s="563">
        <f t="shared" si="436"/>
        <v>912</v>
      </c>
      <c r="AX1385" s="1016"/>
      <c r="AY1385" s="687"/>
      <c r="AZ1385" s="687"/>
      <c r="BA1385" s="687"/>
      <c r="BB1385" s="687"/>
      <c r="BC1385" s="687"/>
      <c r="BD1385" s="687"/>
      <c r="BE1385" s="687"/>
      <c r="BF1385" s="687"/>
      <c r="BG1385" s="687"/>
      <c r="BH1385" s="687"/>
      <c r="BI1385" s="687"/>
      <c r="BJ1385" s="687"/>
      <c r="BK1385" s="687"/>
      <c r="BL1385" s="687"/>
      <c r="BM1385" s="687"/>
      <c r="BN1385" s="687"/>
      <c r="BO1385" s="687"/>
      <c r="BP1385" s="687"/>
      <c r="BQ1385" s="687"/>
      <c r="BR1385" s="687"/>
      <c r="BS1385" s="687"/>
      <c r="BT1385" s="687"/>
      <c r="BU1385" s="687"/>
      <c r="BV1385" s="687"/>
      <c r="BW1385" s="687"/>
      <c r="BX1385" s="687"/>
      <c r="BY1385" s="687"/>
      <c r="BZ1385" s="687"/>
      <c r="CA1385" s="687"/>
      <c r="CB1385" s="687"/>
      <c r="CC1385" s="687"/>
      <c r="CD1385" s="687"/>
      <c r="CE1385" s="687"/>
      <c r="CF1385" s="687"/>
      <c r="CG1385" s="687"/>
      <c r="CH1385" s="1020"/>
      <c r="CI1385" s="1020"/>
      <c r="CJ1385" s="1020"/>
      <c r="CK1385" s="1020"/>
      <c r="CL1385" s="1020"/>
      <c r="CM1385" s="687"/>
      <c r="CN1385" s="687"/>
      <c r="CO1385" s="687"/>
      <c r="CP1385" s="1020"/>
      <c r="CQ1385" s="1020"/>
      <c r="CR1385" s="1020"/>
      <c r="CS1385" s="1020"/>
      <c r="CT1385" s="1020"/>
      <c r="CU1385" s="1020"/>
    </row>
    <row r="1386" s="559" customFormat="1" ht="31" customHeight="1" spans="1:100 16239:16384">
      <c r="A1386" s="1022">
        <v>46205</v>
      </c>
      <c r="B1386" s="626" t="s">
        <v>5430</v>
      </c>
      <c r="C1386" s="939" t="s">
        <v>723</v>
      </c>
      <c r="D1386" s="563" t="s">
        <v>5431</v>
      </c>
      <c r="E1386" s="939" t="s">
        <v>5432</v>
      </c>
      <c r="F1386" s="563" t="s">
        <v>5433</v>
      </c>
      <c r="G1386" s="939" t="s">
        <v>111</v>
      </c>
      <c r="H1386" s="939" t="s">
        <v>112</v>
      </c>
      <c r="I1386" s="1023">
        <v>400</v>
      </c>
      <c r="J1386" s="939">
        <v>0</v>
      </c>
      <c r="K1386" s="939">
        <v>16</v>
      </c>
      <c r="L1386" s="1064">
        <f t="shared" si="432"/>
        <v>25</v>
      </c>
      <c r="M1386" s="1027">
        <v>46241</v>
      </c>
      <c r="N1386" s="1027">
        <v>46237</v>
      </c>
      <c r="O1386" s="1031" t="s">
        <v>5434</v>
      </c>
      <c r="P1386" s="939"/>
      <c r="Q1386" s="999">
        <v>46249</v>
      </c>
      <c r="R1386" s="999">
        <v>46205</v>
      </c>
      <c r="S1386" s="999" t="s">
        <v>70</v>
      </c>
      <c r="T1386" s="999" t="s">
        <v>5435</v>
      </c>
      <c r="U1386" s="999"/>
      <c r="V1386" s="999"/>
      <c r="W1386" s="626"/>
      <c r="X1386" s="626" t="s">
        <v>5436</v>
      </c>
      <c r="Y1386" s="1001" t="s">
        <v>3527</v>
      </c>
      <c r="Z1386" s="1076">
        <v>4.425</v>
      </c>
      <c r="AA1386" s="1001">
        <f t="shared" si="433"/>
        <v>1770</v>
      </c>
      <c r="AB1386" s="563"/>
      <c r="AC1386" s="1077"/>
      <c r="AD1386" s="939" t="s">
        <v>111</v>
      </c>
      <c r="AE1386" s="939" t="s">
        <v>82</v>
      </c>
      <c r="AF1386" s="939"/>
      <c r="AG1386" s="939"/>
      <c r="AH1386" s="939"/>
      <c r="AI1386" s="609">
        <v>400</v>
      </c>
      <c r="AJ1386" s="939">
        <f t="shared" si="424"/>
        <v>0</v>
      </c>
      <c r="AK1386" s="939"/>
      <c r="AL1386" s="939" t="s">
        <v>2368</v>
      </c>
      <c r="AM1386" s="563"/>
      <c r="AN1386" s="563">
        <f t="shared" si="434"/>
        <v>400</v>
      </c>
      <c r="AO1386" s="563"/>
      <c r="AP1386" s="563"/>
      <c r="AQ1386" s="563"/>
      <c r="AR1386" s="563">
        <f>I1386</f>
        <v>400</v>
      </c>
      <c r="AS1386" s="563"/>
      <c r="AT1386" s="563"/>
      <c r="AU1386" s="563">
        <f t="shared" si="435"/>
        <v>400</v>
      </c>
      <c r="AV1386" s="563"/>
      <c r="AW1386" s="563">
        <f t="shared" si="436"/>
        <v>400</v>
      </c>
      <c r="AX1386" s="1004"/>
      <c r="AY1386" s="563"/>
      <c r="AZ1386" s="563"/>
      <c r="BA1386" s="563"/>
      <c r="BB1386" s="563"/>
      <c r="BC1386" s="563"/>
      <c r="BD1386" s="563"/>
      <c r="BE1386" s="563"/>
      <c r="BF1386" s="563"/>
      <c r="BG1386" s="563"/>
      <c r="BH1386" s="563">
        <f>I1386/4</f>
        <v>100</v>
      </c>
      <c r="BI1386" s="563"/>
      <c r="BJ1386" s="563"/>
      <c r="BK1386" s="563"/>
      <c r="BL1386" s="563"/>
      <c r="BM1386" s="563"/>
      <c r="BN1386" s="563"/>
      <c r="BO1386" s="563"/>
      <c r="BP1386" s="563"/>
      <c r="BQ1386" s="563"/>
      <c r="BR1386" s="563"/>
      <c r="BS1386" s="563"/>
      <c r="BT1386" s="563"/>
      <c r="BU1386" s="563"/>
      <c r="BV1386" s="563"/>
      <c r="BW1386" s="563"/>
      <c r="BX1386" s="563"/>
      <c r="BY1386" s="563"/>
      <c r="BZ1386" s="563"/>
      <c r="CA1386" s="563"/>
      <c r="CB1386" s="563"/>
      <c r="CC1386" s="563"/>
      <c r="CD1386" s="563"/>
      <c r="CE1386" s="563"/>
      <c r="CF1386" s="563"/>
      <c r="CG1386" s="563"/>
      <c r="CH1386" s="1015"/>
      <c r="CI1386" s="1015"/>
      <c r="CJ1386" s="1015"/>
      <c r="CK1386" s="1015"/>
      <c r="CL1386" s="1015"/>
      <c r="CM1386" s="563"/>
      <c r="CN1386" s="563"/>
      <c r="CO1386" s="563"/>
      <c r="CP1386" s="1015"/>
      <c r="CQ1386" s="1015"/>
      <c r="CR1386" s="1015"/>
      <c r="CS1386" s="1015"/>
      <c r="CT1386" s="1015"/>
      <c r="CU1386" s="1015"/>
    </row>
    <row r="1387" s="1270" customFormat="1" ht="31" customHeight="1" spans="1:100 16239:16384">
      <c r="A1387" s="1022">
        <v>46196</v>
      </c>
      <c r="B1387" s="626" t="s">
        <v>1534</v>
      </c>
      <c r="C1387" s="939" t="s">
        <v>524</v>
      </c>
      <c r="D1387" s="563">
        <v>4500213351</v>
      </c>
      <c r="E1387" s="939">
        <v>26243</v>
      </c>
      <c r="F1387" s="563" t="s">
        <v>5437</v>
      </c>
      <c r="G1387" s="939" t="s">
        <v>68</v>
      </c>
      <c r="H1387" s="939" t="s">
        <v>69</v>
      </c>
      <c r="I1387" s="1023">
        <v>1500</v>
      </c>
      <c r="J1387" s="939">
        <v>0</v>
      </c>
      <c r="K1387" s="939">
        <v>12</v>
      </c>
      <c r="L1387" s="1064">
        <f t="shared" si="432"/>
        <v>125</v>
      </c>
      <c r="M1387" s="1058">
        <v>46242</v>
      </c>
      <c r="N1387" s="1058">
        <v>46239</v>
      </c>
      <c r="O1387" s="1031"/>
      <c r="P1387" s="939"/>
      <c r="Q1387" s="999"/>
      <c r="R1387" s="999">
        <v>46213</v>
      </c>
      <c r="S1387" s="999" t="s">
        <v>70</v>
      </c>
      <c r="T1387" s="999" t="s">
        <v>5438</v>
      </c>
      <c r="U1387" s="1040" t="s">
        <v>5439</v>
      </c>
      <c r="V1387" s="1040" t="s">
        <v>5440</v>
      </c>
      <c r="W1387" s="603"/>
      <c r="X1387" s="1054" t="s">
        <v>5441</v>
      </c>
      <c r="Y1387" s="1001" t="s">
        <v>943</v>
      </c>
      <c r="Z1387" s="1076">
        <v>4.3734</v>
      </c>
      <c r="AA1387" s="1001">
        <f t="shared" ref="AA1383:AA1389" si="437">Z1387*I1387</f>
        <v>6560.1</v>
      </c>
      <c r="AB1387" s="563"/>
      <c r="AC1387" s="1077"/>
      <c r="AD1387" s="939" t="s">
        <v>184</v>
      </c>
      <c r="AE1387" s="939" t="s">
        <v>82</v>
      </c>
      <c r="AF1387" s="939"/>
      <c r="AG1387" s="939"/>
      <c r="AH1387" s="939"/>
      <c r="AI1387" s="609">
        <v>1500</v>
      </c>
      <c r="AJ1387" s="1031">
        <f t="shared" si="424"/>
        <v>0</v>
      </c>
      <c r="AK1387" s="939"/>
      <c r="AL1387" s="939" t="s">
        <v>2368</v>
      </c>
      <c r="AM1387" s="563"/>
      <c r="AN1387" s="563">
        <f t="shared" si="434"/>
        <v>1500</v>
      </c>
      <c r="AO1387" s="563"/>
      <c r="AP1387" s="563"/>
      <c r="AQ1387" s="563"/>
      <c r="AR1387" s="563"/>
      <c r="AS1387" s="563">
        <f>I1387</f>
        <v>1500</v>
      </c>
      <c r="AT1387" s="563"/>
      <c r="AU1387" s="563">
        <f t="shared" si="435"/>
        <v>1500</v>
      </c>
      <c r="AV1387" s="563"/>
      <c r="AW1387" s="563"/>
      <c r="AX1387" s="1004"/>
      <c r="AY1387" s="563">
        <f>I1387</f>
        <v>1500</v>
      </c>
      <c r="AZ1387" s="563"/>
      <c r="BA1387" s="563"/>
      <c r="BB1387" s="563"/>
      <c r="BC1387" s="563"/>
      <c r="BD1387" s="563"/>
      <c r="BE1387" s="563"/>
      <c r="BF1387" s="563"/>
      <c r="BG1387" s="563"/>
      <c r="BH1387" s="563"/>
      <c r="BI1387" s="563"/>
      <c r="BJ1387" s="563"/>
      <c r="BK1387" s="563"/>
      <c r="BL1387" s="563"/>
      <c r="BM1387" s="563"/>
      <c r="BN1387" s="563"/>
      <c r="BO1387" s="563"/>
      <c r="BP1387" s="563"/>
      <c r="BQ1387" s="563"/>
      <c r="BR1387" s="563"/>
      <c r="BS1387" s="563"/>
      <c r="BT1387" s="563"/>
      <c r="BU1387" s="563"/>
      <c r="BV1387" s="563"/>
      <c r="BW1387" s="563"/>
      <c r="BX1387" s="563"/>
      <c r="BY1387" s="563"/>
      <c r="BZ1387" s="563"/>
      <c r="CA1387" s="563"/>
      <c r="CB1387" s="563"/>
      <c r="CC1387" s="563"/>
      <c r="CD1387" s="563"/>
      <c r="CE1387" s="563"/>
      <c r="CF1387" s="563"/>
      <c r="CG1387" s="563"/>
      <c r="CH1387" s="1015"/>
      <c r="CI1387" s="1015"/>
      <c r="CJ1387" s="1015"/>
      <c r="CK1387" s="1015"/>
      <c r="CL1387" s="1015"/>
      <c r="CM1387" s="563"/>
      <c r="CN1387" s="563"/>
      <c r="CO1387" s="563"/>
      <c r="CP1387" s="1015"/>
      <c r="CQ1387" s="1015"/>
      <c r="CR1387" s="1015"/>
      <c r="CS1387" s="1015"/>
      <c r="CT1387" s="1015"/>
      <c r="CU1387" s="1015"/>
      <c r="CV1387" s="1377"/>
    </row>
    <row r="1388" s="1265" customFormat="1" ht="31" customHeight="1" spans="1:100 16239:16384">
      <c r="A1388" s="1008">
        <v>46091</v>
      </c>
      <c r="B1388" s="628" t="s">
        <v>729</v>
      </c>
      <c r="C1388" s="618" t="s">
        <v>278</v>
      </c>
      <c r="D1388" s="687">
        <v>4500195634</v>
      </c>
      <c r="E1388" s="618" t="s">
        <v>5442</v>
      </c>
      <c r="F1388" s="687" t="s">
        <v>5443</v>
      </c>
      <c r="G1388" s="618" t="s">
        <v>111</v>
      </c>
      <c r="H1388" s="618" t="s">
        <v>112</v>
      </c>
      <c r="I1388" s="1069">
        <v>4000</v>
      </c>
      <c r="J1388" s="618">
        <v>0</v>
      </c>
      <c r="K1388" s="618">
        <v>16</v>
      </c>
      <c r="L1388" s="1011">
        <f t="shared" si="432"/>
        <v>250</v>
      </c>
      <c r="M1388" s="1012">
        <v>46244</v>
      </c>
      <c r="N1388" s="1012">
        <v>46240</v>
      </c>
      <c r="O1388" s="773"/>
      <c r="P1388" s="618"/>
      <c r="Q1388" s="774">
        <v>46260</v>
      </c>
      <c r="R1388" s="774">
        <v>46091</v>
      </c>
      <c r="S1388" s="999" t="s">
        <v>70</v>
      </c>
      <c r="T1388" s="999" t="s">
        <v>70</v>
      </c>
      <c r="U1388" s="646"/>
      <c r="V1388" s="774"/>
      <c r="W1388" s="628"/>
      <c r="X1388" s="628" t="s">
        <v>5444</v>
      </c>
      <c r="Y1388" s="1014" t="s">
        <v>3785</v>
      </c>
      <c r="Z1388" s="1339">
        <v>4.3509</v>
      </c>
      <c r="AA1388" s="1014">
        <f t="shared" si="437"/>
        <v>17403.6</v>
      </c>
      <c r="AB1388" s="687"/>
      <c r="AC1388" s="1077"/>
      <c r="AD1388" s="633" t="s">
        <v>111</v>
      </c>
      <c r="AE1388" s="618" t="s">
        <v>82</v>
      </c>
      <c r="AF1388" s="618"/>
      <c r="AG1388" s="618"/>
      <c r="AH1388" s="618"/>
      <c r="AI1388" s="609">
        <v>4000</v>
      </c>
      <c r="AJ1388" s="773">
        <f t="shared" si="424"/>
        <v>0</v>
      </c>
      <c r="AK1388" s="618"/>
      <c r="AL1388" s="939" t="s">
        <v>5445</v>
      </c>
      <c r="AM1388" s="687"/>
      <c r="AN1388" s="687">
        <f t="shared" ref="AN1383:AN1406" si="438">I1388</f>
        <v>4000</v>
      </c>
      <c r="AO1388" s="687"/>
      <c r="AP1388" s="687"/>
      <c r="AQ1388" s="687"/>
      <c r="AR1388" s="687">
        <f t="shared" ref="AR1386:AR1392" si="439">I1388</f>
        <v>4000</v>
      </c>
      <c r="AS1388" s="687"/>
      <c r="AT1388" s="687"/>
      <c r="AU1388" s="687">
        <f t="shared" ref="AU1386:AU1393" si="440">I1388</f>
        <v>4000</v>
      </c>
      <c r="AV1388" s="687"/>
      <c r="AW1388" s="687">
        <f t="shared" ref="AW1386:AW1393" si="441">I1388</f>
        <v>4000</v>
      </c>
      <c r="AX1388" s="1016"/>
      <c r="AY1388" s="687"/>
      <c r="AZ1388" s="687"/>
      <c r="BA1388" s="687"/>
      <c r="BB1388" s="687"/>
      <c r="BC1388" s="687"/>
      <c r="BD1388" s="687"/>
      <c r="BE1388" s="687"/>
      <c r="BF1388" s="687"/>
      <c r="BG1388" s="687"/>
      <c r="BH1388" s="825">
        <f>I1388/4</f>
        <v>1000</v>
      </c>
      <c r="BI1388" s="687"/>
      <c r="BJ1388" s="687"/>
      <c r="BK1388" s="687"/>
      <c r="BL1388" s="687"/>
      <c r="BM1388" s="687"/>
      <c r="BN1388" s="687"/>
      <c r="BO1388" s="687"/>
      <c r="BP1388" s="687"/>
      <c r="BQ1388" s="687"/>
      <c r="BR1388" s="687"/>
      <c r="BS1388" s="687"/>
      <c r="BT1388" s="687"/>
      <c r="BU1388" s="687"/>
      <c r="BV1388" s="687"/>
      <c r="BW1388" s="687"/>
      <c r="BX1388" s="687"/>
      <c r="BY1388" s="687"/>
      <c r="BZ1388" s="687"/>
      <c r="CA1388" s="687"/>
      <c r="CB1388" s="687"/>
      <c r="CC1388" s="687"/>
      <c r="CD1388" s="687"/>
      <c r="CE1388" s="687"/>
      <c r="CF1388" s="687"/>
      <c r="CG1388" s="687"/>
      <c r="CH1388" s="1020"/>
      <c r="CI1388" s="1020"/>
      <c r="CJ1388" s="1020"/>
      <c r="CK1388" s="1020"/>
      <c r="CL1388" s="1020"/>
      <c r="CM1388" s="687"/>
      <c r="CN1388" s="687"/>
      <c r="CO1388" s="687"/>
      <c r="CP1388" s="1020"/>
      <c r="CQ1388" s="1020"/>
      <c r="CR1388" s="1020"/>
      <c r="CS1388" s="1020"/>
      <c r="CT1388" s="1020"/>
      <c r="CU1388" s="1020"/>
    </row>
    <row r="1389" s="1265" customFormat="1" ht="31" customHeight="1" spans="1:100 16239:16384">
      <c r="A1389" s="1008">
        <v>46091</v>
      </c>
      <c r="B1389" s="628" t="s">
        <v>729</v>
      </c>
      <c r="C1389" s="618" t="s">
        <v>278</v>
      </c>
      <c r="D1389" s="687">
        <v>4500195634</v>
      </c>
      <c r="E1389" s="618" t="s">
        <v>5446</v>
      </c>
      <c r="F1389" s="687" t="s">
        <v>5447</v>
      </c>
      <c r="G1389" s="618" t="s">
        <v>111</v>
      </c>
      <c r="H1389" s="618" t="s">
        <v>112</v>
      </c>
      <c r="I1389" s="1069">
        <v>4000</v>
      </c>
      <c r="J1389" s="618">
        <v>0</v>
      </c>
      <c r="K1389" s="618">
        <v>16</v>
      </c>
      <c r="L1389" s="1011">
        <f t="shared" si="432"/>
        <v>250</v>
      </c>
      <c r="M1389" s="1012">
        <v>46244</v>
      </c>
      <c r="N1389" s="1012">
        <v>46240</v>
      </c>
      <c r="O1389" s="773"/>
      <c r="P1389" s="618"/>
      <c r="Q1389" s="774">
        <v>46260</v>
      </c>
      <c r="R1389" s="774">
        <v>46091</v>
      </c>
      <c r="S1389" s="999" t="s">
        <v>70</v>
      </c>
      <c r="T1389" s="999" t="s">
        <v>70</v>
      </c>
      <c r="U1389" s="646"/>
      <c r="V1389" s="774"/>
      <c r="W1389" s="628"/>
      <c r="X1389" s="628" t="s">
        <v>5444</v>
      </c>
      <c r="Y1389" s="1014" t="s">
        <v>3785</v>
      </c>
      <c r="Z1389" s="1339">
        <v>4.3509</v>
      </c>
      <c r="AA1389" s="1014">
        <f t="shared" si="437"/>
        <v>17403.6</v>
      </c>
      <c r="AB1389" s="687"/>
      <c r="AC1389" s="1077"/>
      <c r="AD1389" s="633" t="s">
        <v>111</v>
      </c>
      <c r="AE1389" s="618" t="s">
        <v>82</v>
      </c>
      <c r="AF1389" s="618"/>
      <c r="AG1389" s="618"/>
      <c r="AH1389" s="618"/>
      <c r="AI1389" s="609">
        <f>3264+736</f>
        <v>4000</v>
      </c>
      <c r="AJ1389" s="773">
        <f t="shared" si="424"/>
        <v>0</v>
      </c>
      <c r="AK1389" s="618"/>
      <c r="AL1389" s="939" t="s">
        <v>5445</v>
      </c>
      <c r="AM1389" s="687"/>
      <c r="AN1389" s="687">
        <f t="shared" si="438"/>
        <v>4000</v>
      </c>
      <c r="AO1389" s="687"/>
      <c r="AP1389" s="687"/>
      <c r="AQ1389" s="687"/>
      <c r="AR1389" s="687">
        <f t="shared" si="439"/>
        <v>4000</v>
      </c>
      <c r="AS1389" s="687"/>
      <c r="AT1389" s="687"/>
      <c r="AU1389" s="687">
        <f t="shared" si="440"/>
        <v>4000</v>
      </c>
      <c r="AV1389" s="687"/>
      <c r="AW1389" s="687">
        <f t="shared" si="441"/>
        <v>4000</v>
      </c>
      <c r="AX1389" s="1016"/>
      <c r="AY1389" s="687"/>
      <c r="AZ1389" s="687"/>
      <c r="BA1389" s="687"/>
      <c r="BB1389" s="687"/>
      <c r="BC1389" s="687"/>
      <c r="BD1389" s="687"/>
      <c r="BE1389" s="687"/>
      <c r="BF1389" s="687"/>
      <c r="BG1389" s="687"/>
      <c r="BH1389" s="825">
        <f>I1389/4</f>
        <v>1000</v>
      </c>
      <c r="BI1389" s="687"/>
      <c r="BJ1389" s="687"/>
      <c r="BK1389" s="687"/>
      <c r="BL1389" s="687"/>
      <c r="BM1389" s="687"/>
      <c r="BN1389" s="687"/>
      <c r="BO1389" s="687"/>
      <c r="BP1389" s="687"/>
      <c r="BQ1389" s="687"/>
      <c r="BR1389" s="687"/>
      <c r="BS1389" s="687"/>
      <c r="BT1389" s="687"/>
      <c r="BU1389" s="687"/>
      <c r="BV1389" s="687"/>
      <c r="BW1389" s="687"/>
      <c r="BX1389" s="687"/>
      <c r="BY1389" s="687"/>
      <c r="BZ1389" s="687"/>
      <c r="CA1389" s="687"/>
      <c r="CB1389" s="687"/>
      <c r="CC1389" s="687"/>
      <c r="CD1389" s="687"/>
      <c r="CE1389" s="687"/>
      <c r="CF1389" s="687"/>
      <c r="CG1389" s="687"/>
      <c r="CH1389" s="1020"/>
      <c r="CI1389" s="1020"/>
      <c r="CJ1389" s="1020"/>
      <c r="CK1389" s="1020"/>
      <c r="CL1389" s="1020"/>
      <c r="CM1389" s="687"/>
      <c r="CN1389" s="687"/>
      <c r="CO1389" s="687"/>
      <c r="CP1389" s="1020"/>
      <c r="CQ1389" s="1020"/>
      <c r="CR1389" s="1020"/>
      <c r="CS1389" s="1020"/>
      <c r="CT1389" s="1020"/>
      <c r="CU1389" s="1020"/>
    </row>
    <row r="1390" s="559" customFormat="1" ht="31" customHeight="1" spans="1:100 16239:16384">
      <c r="A1390" s="1008">
        <v>46171</v>
      </c>
      <c r="B1390" s="628" t="s">
        <v>5448</v>
      </c>
      <c r="C1390" s="618" t="s">
        <v>98</v>
      </c>
      <c r="D1390" s="687" t="s">
        <v>5449</v>
      </c>
      <c r="E1390" s="618" t="s">
        <v>5450</v>
      </c>
      <c r="F1390" s="687" t="s">
        <v>5451</v>
      </c>
      <c r="G1390" s="618" t="s">
        <v>5002</v>
      </c>
      <c r="H1390" s="939" t="s">
        <v>5003</v>
      </c>
      <c r="I1390" s="1069">
        <v>192</v>
      </c>
      <c r="J1390" s="618">
        <v>0</v>
      </c>
      <c r="K1390" s="618">
        <v>24</v>
      </c>
      <c r="L1390" s="1011">
        <f t="shared" si="432"/>
        <v>8</v>
      </c>
      <c r="M1390" s="1012">
        <v>46244</v>
      </c>
      <c r="N1390" s="1012">
        <v>46240</v>
      </c>
      <c r="O1390" s="1031" t="s">
        <v>5452</v>
      </c>
      <c r="P1390" s="618"/>
      <c r="Q1390" s="774"/>
      <c r="R1390" s="774">
        <v>46162</v>
      </c>
      <c r="S1390" s="999" t="s">
        <v>70</v>
      </c>
      <c r="T1390" s="999" t="s">
        <v>5453</v>
      </c>
      <c r="U1390" s="999"/>
      <c r="V1390" s="646"/>
      <c r="W1390" s="628"/>
      <c r="X1390" s="628" t="s">
        <v>5454</v>
      </c>
      <c r="Y1390" s="1014" t="s">
        <v>5455</v>
      </c>
      <c r="Z1390" s="1339">
        <v>120.6063</v>
      </c>
      <c r="AA1390" s="1014">
        <f>Z1390*L1390</f>
        <v>964.8504</v>
      </c>
      <c r="AB1390" s="687"/>
      <c r="AC1390" s="1077"/>
      <c r="AD1390" s="560" t="s">
        <v>5008</v>
      </c>
      <c r="AE1390" s="939" t="s">
        <v>82</v>
      </c>
      <c r="AF1390" s="618"/>
      <c r="AG1390" s="618"/>
      <c r="AH1390" s="618"/>
      <c r="AI1390" s="609"/>
      <c r="AJ1390" s="773">
        <f t="shared" si="424"/>
        <v>-192</v>
      </c>
      <c r="AK1390" s="618"/>
      <c r="AL1390" s="618"/>
      <c r="AM1390" s="687"/>
      <c r="AN1390" s="687">
        <f t="shared" si="438"/>
        <v>192</v>
      </c>
      <c r="AO1390" s="687"/>
      <c r="AP1390" s="687"/>
      <c r="AQ1390" s="563"/>
      <c r="AR1390" s="563">
        <f t="shared" si="439"/>
        <v>192</v>
      </c>
      <c r="AS1390" s="563"/>
      <c r="AT1390" s="563"/>
      <c r="AU1390" s="563">
        <f t="shared" si="440"/>
        <v>192</v>
      </c>
      <c r="AV1390" s="563"/>
      <c r="AW1390" s="563">
        <f t="shared" si="441"/>
        <v>192</v>
      </c>
      <c r="AX1390" s="1004"/>
      <c r="AY1390" s="687"/>
      <c r="AZ1390" s="687"/>
      <c r="BA1390" s="687"/>
      <c r="BB1390" s="687"/>
      <c r="BC1390" s="687"/>
      <c r="BD1390" s="687"/>
      <c r="BE1390" s="687"/>
      <c r="BF1390" s="687"/>
      <c r="BG1390" s="687"/>
      <c r="BH1390" s="687"/>
      <c r="BI1390" s="687"/>
      <c r="BJ1390" s="687"/>
      <c r="BK1390" s="687"/>
      <c r="BL1390" s="687"/>
      <c r="BM1390" s="687">
        <f>I1390</f>
        <v>192</v>
      </c>
      <c r="BN1390" s="687"/>
      <c r="BO1390" s="687"/>
      <c r="BP1390" s="687"/>
      <c r="BQ1390" s="687"/>
      <c r="BR1390" s="687"/>
      <c r="BS1390" s="687"/>
      <c r="BT1390" s="687"/>
      <c r="BU1390" s="687"/>
      <c r="BV1390" s="687"/>
      <c r="BW1390" s="687"/>
      <c r="BX1390" s="687"/>
      <c r="BY1390" s="687"/>
      <c r="BZ1390" s="687"/>
      <c r="CA1390" s="687"/>
      <c r="CB1390" s="687"/>
      <c r="CC1390" s="687"/>
      <c r="CD1390" s="687"/>
      <c r="CE1390" s="687"/>
      <c r="CF1390" s="687"/>
      <c r="CG1390" s="687"/>
      <c r="CH1390" s="1020"/>
      <c r="CI1390" s="1020"/>
      <c r="CJ1390" s="1020"/>
      <c r="CK1390" s="1020"/>
      <c r="CL1390" s="1020"/>
      <c r="CM1390" s="687"/>
      <c r="CN1390" s="687"/>
      <c r="CO1390" s="687"/>
      <c r="CP1390" s="1020"/>
      <c r="CQ1390" s="1020"/>
      <c r="CR1390" s="1020"/>
      <c r="CS1390" s="1020"/>
      <c r="CT1390" s="1020"/>
      <c r="CU1390" s="1020"/>
    </row>
    <row r="1391" s="559" customFormat="1" ht="31" customHeight="1" spans="1:100 16239:16384">
      <c r="A1391" s="1008">
        <v>46171</v>
      </c>
      <c r="B1391" s="628" t="s">
        <v>5448</v>
      </c>
      <c r="C1391" s="618" t="s">
        <v>98</v>
      </c>
      <c r="D1391" s="687" t="s">
        <v>5449</v>
      </c>
      <c r="E1391" s="618" t="s">
        <v>5456</v>
      </c>
      <c r="F1391" s="687" t="s">
        <v>5457</v>
      </c>
      <c r="G1391" s="618" t="s">
        <v>5002</v>
      </c>
      <c r="H1391" s="939" t="s">
        <v>5003</v>
      </c>
      <c r="I1391" s="1069">
        <v>216</v>
      </c>
      <c r="J1391" s="618">
        <v>0</v>
      </c>
      <c r="K1391" s="618">
        <v>24</v>
      </c>
      <c r="L1391" s="1011">
        <f t="shared" si="432"/>
        <v>9</v>
      </c>
      <c r="M1391" s="1012">
        <v>46244</v>
      </c>
      <c r="N1391" s="1012">
        <v>46240</v>
      </c>
      <c r="O1391" s="1031" t="s">
        <v>5452</v>
      </c>
      <c r="P1391" s="618"/>
      <c r="Q1391" s="774"/>
      <c r="R1391" s="774">
        <v>46162</v>
      </c>
      <c r="S1391" s="999" t="s">
        <v>70</v>
      </c>
      <c r="T1391" s="999" t="s">
        <v>5453</v>
      </c>
      <c r="U1391" s="999"/>
      <c r="V1391" s="646"/>
      <c r="W1391" s="628"/>
      <c r="X1391" s="628" t="s">
        <v>5454</v>
      </c>
      <c r="Y1391" s="1014" t="s">
        <v>5455</v>
      </c>
      <c r="Z1391" s="1339">
        <v>120.6056</v>
      </c>
      <c r="AA1391" s="1014">
        <f>Z1391*L1391</f>
        <v>1085.4504</v>
      </c>
      <c r="AB1391" s="687"/>
      <c r="AC1391" s="1077"/>
      <c r="AD1391" s="560" t="s">
        <v>5008</v>
      </c>
      <c r="AE1391" s="939" t="s">
        <v>82</v>
      </c>
      <c r="AF1391" s="618"/>
      <c r="AG1391" s="618"/>
      <c r="AH1391" s="618"/>
      <c r="AI1391" s="609"/>
      <c r="AJ1391" s="773">
        <f t="shared" si="424"/>
        <v>-216</v>
      </c>
      <c r="AK1391" s="618"/>
      <c r="AL1391" s="618"/>
      <c r="AM1391" s="687"/>
      <c r="AN1391" s="687">
        <f t="shared" si="438"/>
        <v>216</v>
      </c>
      <c r="AO1391" s="687"/>
      <c r="AP1391" s="687"/>
      <c r="AQ1391" s="687"/>
      <c r="AR1391" s="687">
        <f t="shared" si="439"/>
        <v>216</v>
      </c>
      <c r="AS1391" s="687"/>
      <c r="AT1391" s="687"/>
      <c r="AU1391" s="563">
        <f t="shared" si="440"/>
        <v>216</v>
      </c>
      <c r="AV1391" s="563"/>
      <c r="AW1391" s="563">
        <f t="shared" si="441"/>
        <v>216</v>
      </c>
      <c r="AX1391" s="1004"/>
      <c r="AY1391" s="687"/>
      <c r="AZ1391" s="687"/>
      <c r="BA1391" s="687"/>
      <c r="BB1391" s="687"/>
      <c r="BC1391" s="687"/>
      <c r="BD1391" s="687"/>
      <c r="BE1391" s="687"/>
      <c r="BF1391" s="687"/>
      <c r="BG1391" s="687"/>
      <c r="BH1391" s="687"/>
      <c r="BI1391" s="687"/>
      <c r="BJ1391" s="687"/>
      <c r="BK1391" s="687"/>
      <c r="BL1391" s="687"/>
      <c r="BM1391" s="687">
        <f>I1391</f>
        <v>216</v>
      </c>
      <c r="BN1391" s="687"/>
      <c r="BO1391" s="687"/>
      <c r="BP1391" s="687"/>
      <c r="BQ1391" s="687"/>
      <c r="BR1391" s="687"/>
      <c r="BS1391" s="687"/>
      <c r="BT1391" s="687"/>
      <c r="BU1391" s="687"/>
      <c r="BV1391" s="687"/>
      <c r="BW1391" s="687"/>
      <c r="BX1391" s="687"/>
      <c r="BY1391" s="687"/>
      <c r="BZ1391" s="687"/>
      <c r="CA1391" s="687"/>
      <c r="CB1391" s="687"/>
      <c r="CC1391" s="687"/>
      <c r="CD1391" s="687"/>
      <c r="CE1391" s="687"/>
      <c r="CF1391" s="687"/>
      <c r="CG1391" s="687"/>
      <c r="CH1391" s="1020"/>
      <c r="CI1391" s="1020"/>
      <c r="CJ1391" s="1020"/>
      <c r="CK1391" s="1020"/>
      <c r="CL1391" s="1020"/>
      <c r="CM1391" s="687"/>
      <c r="CN1391" s="687"/>
      <c r="CO1391" s="687"/>
      <c r="CP1391" s="1020"/>
      <c r="CQ1391" s="1020"/>
      <c r="CR1391" s="1020"/>
      <c r="CS1391" s="1020"/>
      <c r="CT1391" s="1020"/>
      <c r="CU1391" s="1020"/>
    </row>
    <row r="1392" s="1270" customFormat="1" ht="31" customHeight="1" spans="1:100 16239:16384">
      <c r="A1392" s="1022">
        <v>46196</v>
      </c>
      <c r="B1392" s="626" t="s">
        <v>143</v>
      </c>
      <c r="C1392" s="939" t="s">
        <v>98</v>
      </c>
      <c r="D1392" s="563">
        <v>4500213433</v>
      </c>
      <c r="E1392" s="939">
        <v>1003609370</v>
      </c>
      <c r="F1392" s="563" t="s">
        <v>5458</v>
      </c>
      <c r="G1392" s="939" t="s">
        <v>101</v>
      </c>
      <c r="H1392" s="939" t="s">
        <v>102</v>
      </c>
      <c r="I1392" s="1023">
        <v>1600</v>
      </c>
      <c r="J1392" s="939">
        <v>0</v>
      </c>
      <c r="K1392" s="939">
        <v>4</v>
      </c>
      <c r="L1392" s="1064">
        <f t="shared" si="432"/>
        <v>400</v>
      </c>
      <c r="M1392" s="1027">
        <v>46244</v>
      </c>
      <c r="N1392" s="1027">
        <v>46240</v>
      </c>
      <c r="O1392" s="1031" t="s">
        <v>5263</v>
      </c>
      <c r="P1392" s="939"/>
      <c r="Q1392" s="999"/>
      <c r="R1392" s="999" t="s">
        <v>147</v>
      </c>
      <c r="S1392" s="999" t="s">
        <v>70</v>
      </c>
      <c r="T1392" s="999" t="s">
        <v>5256</v>
      </c>
      <c r="U1392" s="1040"/>
      <c r="V1392" s="1040"/>
      <c r="W1392" s="603"/>
      <c r="X1392" s="1054" t="s">
        <v>5257</v>
      </c>
      <c r="Y1392" s="1001" t="s">
        <v>4871</v>
      </c>
      <c r="Z1392" s="1076">
        <v>2.6643</v>
      </c>
      <c r="AA1392" s="1001">
        <f t="shared" ref="AA1392:AA1406" si="442">Z1392*I1392</f>
        <v>4262.88</v>
      </c>
      <c r="AB1392" s="563"/>
      <c r="AC1392" s="1077"/>
      <c r="AD1392" s="939" t="s">
        <v>101</v>
      </c>
      <c r="AE1392" s="939" t="s">
        <v>82</v>
      </c>
      <c r="AF1392" s="939"/>
      <c r="AG1392" s="939"/>
      <c r="AH1392" s="939"/>
      <c r="AI1392" s="609">
        <v>1600</v>
      </c>
      <c r="AJ1392" s="1031">
        <f t="shared" si="424"/>
        <v>0</v>
      </c>
      <c r="AK1392" s="939"/>
      <c r="AL1392" s="939" t="s">
        <v>2368</v>
      </c>
      <c r="AM1392" s="563"/>
      <c r="AN1392" s="563">
        <f t="shared" si="438"/>
        <v>1600</v>
      </c>
      <c r="AO1392" s="563"/>
      <c r="AP1392" s="563"/>
      <c r="AQ1392" s="563"/>
      <c r="AR1392" s="563">
        <f t="shared" si="439"/>
        <v>1600</v>
      </c>
      <c r="AS1392" s="563"/>
      <c r="AT1392" s="563"/>
      <c r="AU1392" s="563">
        <f t="shared" si="440"/>
        <v>1600</v>
      </c>
      <c r="AV1392" s="563"/>
      <c r="AW1392" s="563">
        <f t="shared" si="441"/>
        <v>1600</v>
      </c>
      <c r="AX1392" s="1004"/>
      <c r="AY1392" s="563"/>
      <c r="AZ1392" s="563"/>
      <c r="BA1392" s="563"/>
      <c r="BB1392" s="563"/>
      <c r="BC1392" s="563"/>
      <c r="BD1392" s="563"/>
      <c r="BE1392" s="563"/>
      <c r="BF1392" s="563"/>
      <c r="BG1392" s="563"/>
      <c r="BH1392" s="563">
        <f>I1392/4</f>
        <v>400</v>
      </c>
      <c r="BI1392" s="563"/>
      <c r="BJ1392" s="563"/>
      <c r="BK1392" s="563"/>
      <c r="BL1392" s="563"/>
      <c r="BM1392" s="563"/>
      <c r="BN1392" s="563"/>
      <c r="BO1392" s="563"/>
      <c r="BP1392" s="563"/>
      <c r="BQ1392" s="563"/>
      <c r="BR1392" s="563"/>
      <c r="BS1392" s="563"/>
      <c r="BT1392" s="563"/>
      <c r="BU1392" s="563"/>
      <c r="BV1392" s="563"/>
      <c r="BW1392" s="563"/>
      <c r="BX1392" s="563"/>
      <c r="BY1392" s="563"/>
      <c r="BZ1392" s="563"/>
      <c r="CA1392" s="563"/>
      <c r="CB1392" s="563"/>
      <c r="CC1392" s="563"/>
      <c r="CD1392" s="563"/>
      <c r="CE1392" s="563"/>
      <c r="CF1392" s="563"/>
      <c r="CG1392" s="563"/>
      <c r="CH1392" s="1015"/>
      <c r="CI1392" s="1015"/>
      <c r="CJ1392" s="1015"/>
      <c r="CK1392" s="1015"/>
      <c r="CL1392" s="1015"/>
      <c r="CM1392" s="563"/>
      <c r="CN1392" s="563"/>
      <c r="CO1392" s="563"/>
      <c r="CP1392" s="1015"/>
      <c r="CQ1392" s="1015"/>
      <c r="CR1392" s="1015"/>
      <c r="CS1392" s="1015"/>
      <c r="CT1392" s="1015"/>
      <c r="CU1392" s="1015"/>
    </row>
    <row r="1393" s="1270" customFormat="1" ht="31" customHeight="1" spans="1:111">
      <c r="A1393" s="1022">
        <v>46210</v>
      </c>
      <c r="B1393" s="626" t="s">
        <v>5459</v>
      </c>
      <c r="C1393" s="939" t="s">
        <v>302</v>
      </c>
      <c r="D1393" s="563">
        <v>4500215186</v>
      </c>
      <c r="E1393" s="939">
        <v>4400575846</v>
      </c>
      <c r="F1393" s="563" t="s">
        <v>5460</v>
      </c>
      <c r="G1393" s="939" t="s">
        <v>164</v>
      </c>
      <c r="H1393" s="939" t="s">
        <v>112</v>
      </c>
      <c r="I1393" s="1023">
        <v>2600</v>
      </c>
      <c r="J1393" s="939">
        <v>0</v>
      </c>
      <c r="K1393" s="939">
        <v>8</v>
      </c>
      <c r="L1393" s="1064">
        <f t="shared" si="432"/>
        <v>325</v>
      </c>
      <c r="M1393" s="1027">
        <v>46245</v>
      </c>
      <c r="N1393" s="1027">
        <v>46241</v>
      </c>
      <c r="O1393" s="1031"/>
      <c r="P1393" s="939"/>
      <c r="Q1393" s="999"/>
      <c r="R1393" s="999">
        <v>46210</v>
      </c>
      <c r="S1393" s="999" t="s">
        <v>70</v>
      </c>
      <c r="T1393" s="999" t="s">
        <v>70</v>
      </c>
      <c r="U1393" s="999" t="s">
        <v>5186</v>
      </c>
      <c r="V1393" s="243" t="s">
        <v>5396</v>
      </c>
      <c r="W1393" s="626"/>
      <c r="X1393" s="626" t="s">
        <v>5461</v>
      </c>
      <c r="Y1393" s="1001" t="s">
        <v>5462</v>
      </c>
      <c r="Z1393" s="1076">
        <v>4.3241</v>
      </c>
      <c r="AA1393" s="1001">
        <f t="shared" si="442"/>
        <v>11242.66</v>
      </c>
      <c r="AB1393" s="626"/>
      <c r="AC1393" s="1077"/>
      <c r="AD1393" s="939" t="s">
        <v>2381</v>
      </c>
      <c r="AE1393" s="939" t="s">
        <v>82</v>
      </c>
      <c r="AF1393" s="939"/>
      <c r="AG1393" s="939"/>
      <c r="AH1393" s="939"/>
      <c r="AI1393" s="626">
        <v>2600</v>
      </c>
      <c r="AJ1393" s="939">
        <f t="shared" si="424"/>
        <v>0</v>
      </c>
      <c r="AK1393" s="939"/>
      <c r="AL1393" s="939" t="s">
        <v>2368</v>
      </c>
      <c r="AM1393" s="563"/>
      <c r="AN1393" s="563">
        <f t="shared" si="438"/>
        <v>2600</v>
      </c>
      <c r="AO1393" s="563"/>
      <c r="AP1393" s="563"/>
      <c r="AQ1393" s="563"/>
      <c r="AR1393" s="563"/>
      <c r="AS1393" s="563">
        <f>I1393</f>
        <v>2600</v>
      </c>
      <c r="AT1393" s="563"/>
      <c r="AU1393" s="563">
        <f t="shared" si="440"/>
        <v>2600</v>
      </c>
      <c r="AV1393" s="563"/>
      <c r="AW1393" s="563">
        <f t="shared" si="441"/>
        <v>2600</v>
      </c>
      <c r="AX1393" s="1004"/>
      <c r="AY1393" s="563"/>
      <c r="AZ1393" s="563"/>
      <c r="BA1393" s="563"/>
      <c r="BB1393" s="563"/>
      <c r="BC1393" s="563"/>
      <c r="BD1393" s="563"/>
      <c r="BE1393" s="563"/>
      <c r="BF1393" s="563"/>
      <c r="BG1393" s="563"/>
      <c r="BH1393" s="563"/>
      <c r="BI1393" s="563">
        <f>I1393/4</f>
        <v>650</v>
      </c>
      <c r="BJ1393" s="563"/>
      <c r="BK1393" s="563"/>
      <c r="BL1393" s="563"/>
      <c r="BM1393" s="563"/>
      <c r="BN1393" s="563"/>
      <c r="BO1393" s="563"/>
      <c r="BP1393" s="563"/>
      <c r="BQ1393" s="563"/>
      <c r="BR1393" s="563"/>
      <c r="BS1393" s="563"/>
      <c r="BT1393" s="563"/>
      <c r="BU1393" s="563"/>
      <c r="BV1393" s="563"/>
      <c r="BW1393" s="563"/>
      <c r="BX1393" s="563"/>
      <c r="BY1393" s="563"/>
      <c r="BZ1393" s="563"/>
      <c r="CA1393" s="563"/>
      <c r="CB1393" s="563"/>
      <c r="CC1393" s="563"/>
      <c r="CD1393" s="563"/>
      <c r="CE1393" s="563"/>
      <c r="CF1393" s="563"/>
      <c r="CG1393" s="563"/>
      <c r="CH1393" s="1015"/>
      <c r="CI1393" s="1015"/>
      <c r="CJ1393" s="1015"/>
      <c r="CK1393" s="1015"/>
      <c r="CL1393" s="1015"/>
      <c r="CM1393" s="563"/>
      <c r="CN1393" s="563"/>
      <c r="CO1393" s="563"/>
      <c r="CP1393" s="1015"/>
      <c r="CQ1393" s="1015"/>
      <c r="CR1393" s="1015"/>
      <c r="CS1393" s="1015"/>
      <c r="CT1393" s="1015"/>
      <c r="CU1393" s="1015"/>
    </row>
    <row r="1394" s="559" customFormat="1" ht="31" customHeight="1" spans="1:111">
      <c r="A1394" s="1008">
        <v>46199</v>
      </c>
      <c r="B1394" s="628" t="s">
        <v>205</v>
      </c>
      <c r="C1394" s="618" t="s">
        <v>98</v>
      </c>
      <c r="D1394" s="687" t="s">
        <v>5463</v>
      </c>
      <c r="E1394" s="618" t="s">
        <v>5464</v>
      </c>
      <c r="F1394" s="687" t="s">
        <v>5465</v>
      </c>
      <c r="G1394" s="618" t="s">
        <v>207</v>
      </c>
      <c r="H1394" s="939" t="s">
        <v>102</v>
      </c>
      <c r="I1394" s="1069">
        <v>2080</v>
      </c>
      <c r="J1394" s="618">
        <v>0</v>
      </c>
      <c r="K1394" s="618">
        <v>4</v>
      </c>
      <c r="L1394" s="1011">
        <f t="shared" si="432"/>
        <v>520</v>
      </c>
      <c r="M1394" s="1012">
        <v>46245</v>
      </c>
      <c r="N1394" s="1012">
        <v>46241</v>
      </c>
      <c r="O1394" s="773"/>
      <c r="P1394" s="618"/>
      <c r="Q1394" s="774"/>
      <c r="R1394" s="999">
        <v>46199</v>
      </c>
      <c r="S1394" s="999" t="s">
        <v>70</v>
      </c>
      <c r="T1394" s="999" t="s">
        <v>70</v>
      </c>
      <c r="U1394" s="999"/>
      <c r="V1394" s="646"/>
      <c r="W1394" s="628"/>
      <c r="X1394" s="628" t="s">
        <v>5466</v>
      </c>
      <c r="Y1394" s="1014" t="s">
        <v>2003</v>
      </c>
      <c r="Z1394" s="1339">
        <v>2.578</v>
      </c>
      <c r="AA1394" s="1014">
        <f t="shared" si="442"/>
        <v>5362.24</v>
      </c>
      <c r="AB1394" s="687"/>
      <c r="AC1394" s="1077"/>
      <c r="AD1394" s="939" t="s">
        <v>207</v>
      </c>
      <c r="AE1394" s="939" t="s">
        <v>82</v>
      </c>
      <c r="AF1394" s="618"/>
      <c r="AG1394" s="618"/>
      <c r="AH1394" s="618"/>
      <c r="AI1394" s="609">
        <v>2080</v>
      </c>
      <c r="AJ1394" s="1031">
        <f t="shared" ref="AJ1383:AJ1418" si="443">AI1394-I1394</f>
        <v>0</v>
      </c>
      <c r="AK1394" s="618"/>
      <c r="AL1394" s="939" t="s">
        <v>5055</v>
      </c>
      <c r="AM1394" s="687"/>
      <c r="AN1394" s="687">
        <f t="shared" si="438"/>
        <v>2080</v>
      </c>
      <c r="AO1394" s="687"/>
      <c r="AP1394" s="687"/>
      <c r="AQ1394" s="687"/>
      <c r="AR1394" s="563">
        <f>I1394</f>
        <v>2080</v>
      </c>
      <c r="AS1394" s="563"/>
      <c r="AT1394" s="563"/>
      <c r="AU1394" s="563">
        <f t="shared" ref="AU1392:AU1403" si="444">I1394</f>
        <v>2080</v>
      </c>
      <c r="AV1394" s="563"/>
      <c r="AW1394" s="563">
        <f t="shared" ref="AW1392:AW1403" si="445">I1394</f>
        <v>2080</v>
      </c>
      <c r="AX1394" s="1016"/>
      <c r="AY1394" s="687"/>
      <c r="AZ1394" s="687"/>
      <c r="BA1394" s="687"/>
      <c r="BB1394" s="687"/>
      <c r="BC1394" s="687"/>
      <c r="BD1394" s="687"/>
      <c r="BE1394" s="687"/>
      <c r="BF1394" s="687"/>
      <c r="BG1394" s="687"/>
      <c r="BH1394" s="687"/>
      <c r="BI1394" s="687"/>
      <c r="BJ1394" s="687"/>
      <c r="BK1394" s="687"/>
      <c r="BL1394" s="687"/>
      <c r="BM1394" s="687"/>
      <c r="BN1394" s="554"/>
      <c r="BO1394" s="687"/>
      <c r="BP1394" s="687"/>
      <c r="BQ1394" s="687"/>
      <c r="BR1394" s="687"/>
      <c r="BS1394" s="687"/>
      <c r="BT1394" s="687"/>
      <c r="BU1394" s="687"/>
      <c r="BV1394" s="687"/>
      <c r="BW1394" s="687"/>
      <c r="BX1394" s="687"/>
      <c r="BY1394" s="687"/>
      <c r="BZ1394" s="687"/>
      <c r="CA1394" s="687"/>
      <c r="CB1394" s="687"/>
      <c r="CC1394" s="687"/>
      <c r="CD1394" s="687"/>
      <c r="CE1394" s="687"/>
      <c r="CF1394" s="687"/>
      <c r="CG1394" s="687"/>
      <c r="CH1394" s="1020"/>
      <c r="CI1394" s="1020"/>
      <c r="CJ1394" s="1020"/>
      <c r="CK1394" s="1020"/>
      <c r="CL1394" s="1020"/>
      <c r="CM1394" s="687"/>
      <c r="CN1394" s="687"/>
      <c r="CO1394" s="687"/>
      <c r="CP1394" s="1020"/>
      <c r="CQ1394" s="1020"/>
      <c r="CR1394" s="1020"/>
      <c r="CS1394" s="1020"/>
      <c r="CT1394" s="1020"/>
      <c r="CU1394" s="1020"/>
    </row>
    <row r="1395" s="559" customFormat="1" ht="31" customHeight="1" spans="1:111">
      <c r="A1395" s="1008">
        <v>46199</v>
      </c>
      <c r="B1395" s="628" t="s">
        <v>205</v>
      </c>
      <c r="C1395" s="618" t="s">
        <v>98</v>
      </c>
      <c r="D1395" s="687" t="s">
        <v>5463</v>
      </c>
      <c r="E1395" s="618" t="s">
        <v>5467</v>
      </c>
      <c r="F1395" s="687" t="s">
        <v>5468</v>
      </c>
      <c r="G1395" s="618" t="s">
        <v>207</v>
      </c>
      <c r="H1395" s="939" t="s">
        <v>102</v>
      </c>
      <c r="I1395" s="1069">
        <v>1120</v>
      </c>
      <c r="J1395" s="618">
        <v>0</v>
      </c>
      <c r="K1395" s="618">
        <v>4</v>
      </c>
      <c r="L1395" s="1011">
        <f t="shared" si="432"/>
        <v>280</v>
      </c>
      <c r="M1395" s="1012">
        <v>46245</v>
      </c>
      <c r="N1395" s="1012">
        <v>46241</v>
      </c>
      <c r="O1395" s="773"/>
      <c r="P1395" s="618"/>
      <c r="Q1395" s="774"/>
      <c r="R1395" s="999">
        <v>46199</v>
      </c>
      <c r="S1395" s="999" t="s">
        <v>70</v>
      </c>
      <c r="T1395" s="999" t="s">
        <v>70</v>
      </c>
      <c r="U1395" s="999"/>
      <c r="V1395" s="646"/>
      <c r="W1395" s="628"/>
      <c r="X1395" s="628" t="s">
        <v>5466</v>
      </c>
      <c r="Y1395" s="1014" t="s">
        <v>2003</v>
      </c>
      <c r="Z1395" s="1339">
        <v>2.578</v>
      </c>
      <c r="AA1395" s="1014">
        <f t="shared" si="442"/>
        <v>2887.36</v>
      </c>
      <c r="AB1395" s="687"/>
      <c r="AC1395" s="1077"/>
      <c r="AD1395" s="939" t="s">
        <v>207</v>
      </c>
      <c r="AE1395" s="939" t="s">
        <v>82</v>
      </c>
      <c r="AF1395" s="618"/>
      <c r="AG1395" s="618"/>
      <c r="AH1395" s="618"/>
      <c r="AI1395" s="609">
        <v>1120</v>
      </c>
      <c r="AJ1395" s="1031">
        <f t="shared" si="443"/>
        <v>0</v>
      </c>
      <c r="AK1395" s="618"/>
      <c r="AL1395" s="939" t="s">
        <v>5055</v>
      </c>
      <c r="AM1395" s="687"/>
      <c r="AN1395" s="687">
        <f t="shared" si="438"/>
        <v>1120</v>
      </c>
      <c r="AO1395" s="687"/>
      <c r="AP1395" s="687"/>
      <c r="AQ1395" s="687"/>
      <c r="AR1395" s="563">
        <f>I1395</f>
        <v>1120</v>
      </c>
      <c r="AS1395" s="563"/>
      <c r="AT1395" s="563"/>
      <c r="AU1395" s="563">
        <f t="shared" si="444"/>
        <v>1120</v>
      </c>
      <c r="AV1395" s="563"/>
      <c r="AW1395" s="563">
        <f t="shared" si="445"/>
        <v>1120</v>
      </c>
      <c r="AX1395" s="1016"/>
      <c r="AY1395" s="687"/>
      <c r="AZ1395" s="687"/>
      <c r="BA1395" s="687"/>
      <c r="BB1395" s="687"/>
      <c r="BC1395" s="687"/>
      <c r="BD1395" s="687"/>
      <c r="BE1395" s="687"/>
      <c r="BF1395" s="687"/>
      <c r="BG1395" s="687"/>
      <c r="BH1395" s="687"/>
      <c r="BI1395" s="687"/>
      <c r="BJ1395" s="687"/>
      <c r="BK1395" s="687"/>
      <c r="BL1395" s="687"/>
      <c r="BM1395" s="687"/>
      <c r="BN1395" s="554"/>
      <c r="BO1395" s="687"/>
      <c r="BP1395" s="687"/>
      <c r="BQ1395" s="687"/>
      <c r="BR1395" s="687"/>
      <c r="BS1395" s="687"/>
      <c r="BT1395" s="687"/>
      <c r="BU1395" s="687"/>
      <c r="BV1395" s="687"/>
      <c r="BW1395" s="687"/>
      <c r="BX1395" s="687"/>
      <c r="BY1395" s="687"/>
      <c r="BZ1395" s="687"/>
      <c r="CA1395" s="687"/>
      <c r="CB1395" s="687"/>
      <c r="CC1395" s="687"/>
      <c r="CD1395" s="687"/>
      <c r="CE1395" s="687"/>
      <c r="CF1395" s="687"/>
      <c r="CG1395" s="687"/>
      <c r="CH1395" s="1020"/>
      <c r="CI1395" s="1020"/>
      <c r="CJ1395" s="1020"/>
      <c r="CK1395" s="1020"/>
      <c r="CL1395" s="1020"/>
      <c r="CM1395" s="687"/>
      <c r="CN1395" s="687"/>
      <c r="CO1395" s="687"/>
      <c r="CP1395" s="1020"/>
      <c r="CQ1395" s="1020"/>
      <c r="CR1395" s="1020"/>
      <c r="CS1395" s="1020"/>
      <c r="CT1395" s="1020"/>
      <c r="CU1395" s="1020"/>
    </row>
    <row r="1396" s="1270" customFormat="1" ht="31" customHeight="1" spans="1:111">
      <c r="A1396" s="991">
        <v>46195</v>
      </c>
      <c r="B1396" s="601" t="s">
        <v>4025</v>
      </c>
      <c r="C1396" s="992" t="s">
        <v>399</v>
      </c>
      <c r="D1396" s="586">
        <v>4500213119</v>
      </c>
      <c r="E1396" s="992" t="s">
        <v>5469</v>
      </c>
      <c r="F1396" s="586" t="s">
        <v>5470</v>
      </c>
      <c r="G1396" s="992" t="s">
        <v>518</v>
      </c>
      <c r="H1396" s="939" t="s">
        <v>477</v>
      </c>
      <c r="I1396" s="995">
        <v>2034</v>
      </c>
      <c r="J1396" s="992">
        <v>0</v>
      </c>
      <c r="K1396" s="996">
        <v>6</v>
      </c>
      <c r="L1396" s="1064">
        <f t="shared" si="432"/>
        <v>339</v>
      </c>
      <c r="M1396" s="998">
        <v>46246</v>
      </c>
      <c r="N1396" s="1079">
        <v>46242</v>
      </c>
      <c r="O1396" s="1043"/>
      <c r="P1396" s="992"/>
      <c r="Q1396" s="584">
        <v>46254</v>
      </c>
      <c r="R1396" s="999" t="s">
        <v>4005</v>
      </c>
      <c r="S1396" s="999" t="s">
        <v>104</v>
      </c>
      <c r="T1396" s="999" t="s">
        <v>5471</v>
      </c>
      <c r="U1396" s="1050"/>
      <c r="V1396" s="213"/>
      <c r="W1396" s="603"/>
      <c r="X1396" s="1111" t="s">
        <v>5472</v>
      </c>
      <c r="Y1396" s="1000" t="s">
        <v>5473</v>
      </c>
      <c r="Z1396" s="601">
        <v>7.1979</v>
      </c>
      <c r="AA1396" s="1001">
        <f t="shared" si="442"/>
        <v>14640.5286</v>
      </c>
      <c r="AB1396" s="1294"/>
      <c r="AC1396" s="1002"/>
      <c r="AD1396" s="939" t="s">
        <v>480</v>
      </c>
      <c r="AE1396" s="992" t="s">
        <v>82</v>
      </c>
      <c r="AF1396" s="992"/>
      <c r="AG1396" s="992"/>
      <c r="AH1396" s="601"/>
      <c r="AI1396" s="609"/>
      <c r="AJ1396" s="1031">
        <f t="shared" si="443"/>
        <v>-2034</v>
      </c>
      <c r="AK1396" s="994"/>
      <c r="AL1396" s="992"/>
      <c r="AM1396" s="992"/>
      <c r="AN1396" s="563">
        <f t="shared" si="438"/>
        <v>2034</v>
      </c>
      <c r="AO1396" s="586"/>
      <c r="AP1396" s="586"/>
      <c r="AQ1396" s="586"/>
      <c r="AR1396" s="563"/>
      <c r="AS1396" s="563">
        <f>I1396</f>
        <v>2034</v>
      </c>
      <c r="AT1396" s="563"/>
      <c r="AU1396" s="563">
        <f t="shared" si="444"/>
        <v>2034</v>
      </c>
      <c r="AV1396" s="563"/>
      <c r="AW1396" s="563">
        <f t="shared" si="445"/>
        <v>2034</v>
      </c>
      <c r="AX1396" s="1004"/>
      <c r="AY1396" s="1049"/>
      <c r="AZ1396" s="586"/>
      <c r="BA1396" s="586"/>
      <c r="BB1396" s="586"/>
      <c r="BC1396" s="1078"/>
      <c r="BD1396" s="586"/>
      <c r="BE1396" s="586"/>
      <c r="BF1396" s="586"/>
      <c r="BG1396" s="1005"/>
      <c r="BH1396" s="561"/>
      <c r="BI1396" s="1006"/>
      <c r="BJ1396" s="586"/>
      <c r="BK1396" s="586"/>
      <c r="BL1396" s="586"/>
      <c r="BM1396" s="586"/>
      <c r="BN1396" s="563">
        <f>I1396</f>
        <v>2034</v>
      </c>
      <c r="BO1396" s="586"/>
      <c r="BP1396" s="586"/>
      <c r="BQ1396" s="586"/>
      <c r="BR1396" s="586"/>
      <c r="BS1396" s="586"/>
      <c r="BT1396" s="586"/>
      <c r="BU1396" s="586"/>
      <c r="BV1396" s="586"/>
      <c r="BW1396" s="586"/>
      <c r="BX1396" s="586"/>
      <c r="BY1396" s="586"/>
      <c r="BZ1396" s="586"/>
      <c r="CA1396" s="1003"/>
      <c r="CB1396" s="586"/>
      <c r="CC1396" s="586"/>
      <c r="CD1396" s="586"/>
      <c r="CE1396" s="586"/>
      <c r="CF1396" s="1005"/>
      <c r="CG1396" s="561"/>
      <c r="CH1396" s="1006"/>
      <c r="CI1396" s="586"/>
      <c r="CJ1396" s="586"/>
      <c r="CK1396" s="586"/>
      <c r="CL1396" s="586"/>
      <c r="CM1396" s="586"/>
      <c r="CN1396" s="586"/>
      <c r="CO1396" s="1003"/>
      <c r="CP1396" s="1003"/>
      <c r="CQ1396" s="586"/>
      <c r="CR1396" s="586"/>
      <c r="CS1396" s="586"/>
      <c r="CT1396" s="586"/>
      <c r="CU1396" s="586"/>
      <c r="CV1396" s="586"/>
      <c r="CW1396" s="1003"/>
      <c r="CX1396" s="1003"/>
      <c r="CY1396" s="1003"/>
      <c r="CZ1396" s="1003"/>
      <c r="DA1396" s="1003"/>
      <c r="DB1396" s="1003"/>
      <c r="DC1396" s="1003"/>
      <c r="DD1396" s="1003"/>
      <c r="DE1396" s="1003"/>
      <c r="DF1396" s="1003"/>
      <c r="DG1396" s="1003"/>
    </row>
    <row r="1397" s="1270" customFormat="1" ht="31" customHeight="1" spans="1:111">
      <c r="A1397" s="991">
        <v>46195</v>
      </c>
      <c r="B1397" s="601" t="s">
        <v>4025</v>
      </c>
      <c r="C1397" s="992" t="s">
        <v>278</v>
      </c>
      <c r="D1397" s="586">
        <v>4500213119</v>
      </c>
      <c r="E1397" s="992" t="s">
        <v>5474</v>
      </c>
      <c r="F1397" s="586" t="s">
        <v>5475</v>
      </c>
      <c r="G1397" s="992" t="s">
        <v>518</v>
      </c>
      <c r="H1397" s="939" t="s">
        <v>477</v>
      </c>
      <c r="I1397" s="995">
        <v>1020</v>
      </c>
      <c r="J1397" s="992">
        <v>0</v>
      </c>
      <c r="K1397" s="996">
        <v>6</v>
      </c>
      <c r="L1397" s="1064">
        <f t="shared" si="432"/>
        <v>170</v>
      </c>
      <c r="M1397" s="998">
        <v>46246</v>
      </c>
      <c r="N1397" s="1079">
        <v>46242</v>
      </c>
      <c r="O1397" s="1043"/>
      <c r="P1397" s="992"/>
      <c r="Q1397" s="584">
        <v>46253</v>
      </c>
      <c r="R1397" s="999" t="s">
        <v>4005</v>
      </c>
      <c r="S1397" s="999" t="s">
        <v>104</v>
      </c>
      <c r="T1397" s="999" t="s">
        <v>5471</v>
      </c>
      <c r="U1397" s="1050"/>
      <c r="V1397" s="213"/>
      <c r="W1397" s="603"/>
      <c r="X1397" s="1111" t="s">
        <v>5472</v>
      </c>
      <c r="Y1397" s="1000" t="s">
        <v>5473</v>
      </c>
      <c r="Z1397" s="601">
        <v>7.2023</v>
      </c>
      <c r="AA1397" s="1001">
        <f t="shared" si="442"/>
        <v>7346.346</v>
      </c>
      <c r="AB1397" s="1294"/>
      <c r="AC1397" s="1002"/>
      <c r="AD1397" s="939" t="s">
        <v>480</v>
      </c>
      <c r="AE1397" s="992" t="s">
        <v>82</v>
      </c>
      <c r="AF1397" s="992"/>
      <c r="AG1397" s="992"/>
      <c r="AH1397" s="601"/>
      <c r="AI1397" s="609"/>
      <c r="AJ1397" s="1031">
        <f t="shared" si="443"/>
        <v>-1020</v>
      </c>
      <c r="AK1397" s="994"/>
      <c r="AL1397" s="992"/>
      <c r="AM1397" s="992"/>
      <c r="AN1397" s="563">
        <f t="shared" si="438"/>
        <v>1020</v>
      </c>
      <c r="AO1397" s="586"/>
      <c r="AP1397" s="586"/>
      <c r="AQ1397" s="586"/>
      <c r="AR1397" s="563"/>
      <c r="AS1397" s="563">
        <f>I1397</f>
        <v>1020</v>
      </c>
      <c r="AT1397" s="563"/>
      <c r="AU1397" s="563">
        <f t="shared" si="444"/>
        <v>1020</v>
      </c>
      <c r="AV1397" s="563"/>
      <c r="AW1397" s="563">
        <f t="shared" si="445"/>
        <v>1020</v>
      </c>
      <c r="AX1397" s="1004"/>
      <c r="AY1397" s="1049"/>
      <c r="AZ1397" s="586"/>
      <c r="BA1397" s="586"/>
      <c r="BB1397" s="586"/>
      <c r="BC1397" s="1078"/>
      <c r="BD1397" s="586"/>
      <c r="BE1397" s="586"/>
      <c r="BF1397" s="586"/>
      <c r="BG1397" s="1005"/>
      <c r="BH1397" s="561"/>
      <c r="BI1397" s="1006"/>
      <c r="BJ1397" s="586"/>
      <c r="BK1397" s="586"/>
      <c r="BL1397" s="586"/>
      <c r="BM1397" s="586"/>
      <c r="BN1397" s="563">
        <f>I1397</f>
        <v>1020</v>
      </c>
      <c r="BO1397" s="586"/>
      <c r="BP1397" s="586"/>
      <c r="BQ1397" s="586"/>
      <c r="BR1397" s="586"/>
      <c r="BS1397" s="586"/>
      <c r="BT1397" s="586"/>
      <c r="BU1397" s="586"/>
      <c r="BV1397" s="586"/>
      <c r="BW1397" s="586"/>
      <c r="BX1397" s="586"/>
      <c r="BY1397" s="586"/>
      <c r="BZ1397" s="586"/>
      <c r="CA1397" s="1003"/>
      <c r="CB1397" s="586"/>
      <c r="CC1397" s="586"/>
      <c r="CD1397" s="586"/>
      <c r="CE1397" s="586"/>
      <c r="CF1397" s="1005"/>
      <c r="CG1397" s="561"/>
      <c r="CH1397" s="1006"/>
      <c r="CI1397" s="586"/>
      <c r="CJ1397" s="586"/>
      <c r="CK1397" s="586"/>
      <c r="CL1397" s="586"/>
      <c r="CM1397" s="586"/>
      <c r="CN1397" s="586"/>
      <c r="CO1397" s="1003"/>
      <c r="CP1397" s="1003"/>
      <c r="CQ1397" s="586"/>
      <c r="CR1397" s="586"/>
      <c r="CS1397" s="586"/>
      <c r="CT1397" s="586"/>
      <c r="CU1397" s="586"/>
      <c r="CV1397" s="586"/>
      <c r="CW1397" s="1003"/>
      <c r="CX1397" s="1003"/>
      <c r="CY1397" s="1003"/>
      <c r="CZ1397" s="1003"/>
      <c r="DA1397" s="1003"/>
      <c r="DB1397" s="1003"/>
      <c r="DC1397" s="1003"/>
      <c r="DD1397" s="1003"/>
      <c r="DE1397" s="1003"/>
      <c r="DF1397" s="1003"/>
      <c r="DG1397" s="1003"/>
    </row>
    <row r="1398" s="1270" customFormat="1" ht="31" customHeight="1" spans="1:111">
      <c r="A1398" s="991">
        <v>46195</v>
      </c>
      <c r="B1398" s="601" t="s">
        <v>4025</v>
      </c>
      <c r="C1398" s="992" t="s">
        <v>411</v>
      </c>
      <c r="D1398" s="586">
        <v>4500213119</v>
      </c>
      <c r="E1398" s="992" t="s">
        <v>5476</v>
      </c>
      <c r="F1398" s="586" t="s">
        <v>5477</v>
      </c>
      <c r="G1398" s="992" t="s">
        <v>518</v>
      </c>
      <c r="H1398" s="939" t="s">
        <v>477</v>
      </c>
      <c r="I1398" s="995">
        <v>504</v>
      </c>
      <c r="J1398" s="992">
        <v>0</v>
      </c>
      <c r="K1398" s="996">
        <v>6</v>
      </c>
      <c r="L1398" s="1064">
        <f t="shared" si="432"/>
        <v>84</v>
      </c>
      <c r="M1398" s="998">
        <v>46246</v>
      </c>
      <c r="N1398" s="1079">
        <v>46242</v>
      </c>
      <c r="O1398" s="994"/>
      <c r="P1398" s="992"/>
      <c r="Q1398" s="584"/>
      <c r="R1398" s="999" t="s">
        <v>4005</v>
      </c>
      <c r="S1398" s="999" t="s">
        <v>104</v>
      </c>
      <c r="T1398" s="999" t="s">
        <v>5471</v>
      </c>
      <c r="U1398" s="1050"/>
      <c r="V1398" s="213"/>
      <c r="W1398" s="603"/>
      <c r="X1398" s="1111" t="s">
        <v>5472</v>
      </c>
      <c r="Y1398" s="1000" t="s">
        <v>5473</v>
      </c>
      <c r="Z1398" s="601">
        <v>7.5493</v>
      </c>
      <c r="AA1398" s="1001">
        <f t="shared" si="442"/>
        <v>3804.8472</v>
      </c>
      <c r="AB1398" s="1294"/>
      <c r="AC1398" s="1002"/>
      <c r="AD1398" s="939" t="s">
        <v>480</v>
      </c>
      <c r="AE1398" s="992" t="s">
        <v>82</v>
      </c>
      <c r="AF1398" s="992"/>
      <c r="AG1398" s="992"/>
      <c r="AH1398" s="601"/>
      <c r="AI1398" s="609"/>
      <c r="AJ1398" s="1031">
        <f t="shared" si="443"/>
        <v>-504</v>
      </c>
      <c r="AK1398" s="994"/>
      <c r="AL1398" s="992"/>
      <c r="AM1398" s="992"/>
      <c r="AN1398" s="563">
        <f t="shared" si="438"/>
        <v>504</v>
      </c>
      <c r="AO1398" s="586"/>
      <c r="AP1398" s="586"/>
      <c r="AQ1398" s="586"/>
      <c r="AR1398" s="563"/>
      <c r="AS1398" s="563">
        <f>I1398</f>
        <v>504</v>
      </c>
      <c r="AT1398" s="563"/>
      <c r="AU1398" s="563">
        <f t="shared" si="444"/>
        <v>504</v>
      </c>
      <c r="AV1398" s="563"/>
      <c r="AW1398" s="563">
        <f t="shared" si="445"/>
        <v>504</v>
      </c>
      <c r="AX1398" s="1004"/>
      <c r="AY1398" s="1049"/>
      <c r="AZ1398" s="586"/>
      <c r="BA1398" s="586"/>
      <c r="BB1398" s="586"/>
      <c r="BC1398" s="1078"/>
      <c r="BD1398" s="586"/>
      <c r="BE1398" s="586"/>
      <c r="BF1398" s="586"/>
      <c r="BG1398" s="1005"/>
      <c r="BH1398" s="561"/>
      <c r="BI1398" s="1006"/>
      <c r="BJ1398" s="586"/>
      <c r="BK1398" s="586"/>
      <c r="BL1398" s="586"/>
      <c r="BM1398" s="586"/>
      <c r="BN1398" s="563">
        <f>I1398</f>
        <v>504</v>
      </c>
      <c r="BO1398" s="586"/>
      <c r="BP1398" s="586"/>
      <c r="BQ1398" s="586"/>
      <c r="BR1398" s="586"/>
      <c r="BS1398" s="586"/>
      <c r="BT1398" s="586"/>
      <c r="BU1398" s="586"/>
      <c r="BV1398" s="586"/>
      <c r="BW1398" s="586"/>
      <c r="BX1398" s="586"/>
      <c r="BY1398" s="586"/>
      <c r="BZ1398" s="586"/>
      <c r="CA1398" s="1003"/>
      <c r="CB1398" s="586"/>
      <c r="CC1398" s="586"/>
      <c r="CD1398" s="586"/>
      <c r="CE1398" s="586"/>
      <c r="CF1398" s="1005"/>
      <c r="CG1398" s="561"/>
      <c r="CH1398" s="1006"/>
      <c r="CI1398" s="586"/>
      <c r="CJ1398" s="586"/>
      <c r="CK1398" s="586"/>
      <c r="CL1398" s="586"/>
      <c r="CM1398" s="586"/>
      <c r="CN1398" s="586"/>
      <c r="CO1398" s="1003"/>
      <c r="CP1398" s="1003"/>
      <c r="CQ1398" s="586"/>
      <c r="CR1398" s="586"/>
      <c r="CS1398" s="586"/>
      <c r="CT1398" s="586"/>
      <c r="CU1398" s="586"/>
      <c r="CV1398" s="586"/>
      <c r="CW1398" s="1003"/>
      <c r="CX1398" s="1003"/>
      <c r="CY1398" s="1003"/>
      <c r="CZ1398" s="1003"/>
      <c r="DA1398" s="1003"/>
      <c r="DB1398" s="1003"/>
      <c r="DC1398" s="1003"/>
      <c r="DD1398" s="1003"/>
      <c r="DE1398" s="1003"/>
      <c r="DF1398" s="1003"/>
      <c r="DG1398" s="1003"/>
    </row>
    <row r="1399" s="1270" customFormat="1" ht="31" customHeight="1" spans="1:111">
      <c r="A1399" s="1022">
        <v>46191</v>
      </c>
      <c r="B1399" s="626" t="s">
        <v>4371</v>
      </c>
      <c r="C1399" s="939" t="s">
        <v>98</v>
      </c>
      <c r="D1399" s="563" t="s">
        <v>5478</v>
      </c>
      <c r="E1399" s="939" t="s">
        <v>5479</v>
      </c>
      <c r="F1399" s="563" t="s">
        <v>5480</v>
      </c>
      <c r="G1399" s="939" t="s">
        <v>101</v>
      </c>
      <c r="H1399" s="939" t="s">
        <v>102</v>
      </c>
      <c r="I1399" s="1023">
        <v>3200</v>
      </c>
      <c r="J1399" s="939">
        <v>0</v>
      </c>
      <c r="K1399" s="939">
        <v>4</v>
      </c>
      <c r="L1399" s="1064">
        <f t="shared" si="432"/>
        <v>800</v>
      </c>
      <c r="M1399" s="1027">
        <v>46246</v>
      </c>
      <c r="N1399" s="1027">
        <v>46242</v>
      </c>
      <c r="O1399" s="1028" t="s">
        <v>5263</v>
      </c>
      <c r="P1399" s="939"/>
      <c r="Q1399" s="999"/>
      <c r="R1399" s="999" t="s">
        <v>4563</v>
      </c>
      <c r="S1399" s="999" t="s">
        <v>70</v>
      </c>
      <c r="T1399" s="999" t="s">
        <v>5131</v>
      </c>
      <c r="U1399" s="999"/>
      <c r="V1399" s="999"/>
      <c r="W1399" s="626"/>
      <c r="X1399" s="626" t="s">
        <v>5481</v>
      </c>
      <c r="Y1399" s="1001" t="s">
        <v>5133</v>
      </c>
      <c r="Z1399" s="1076">
        <v>2.7075</v>
      </c>
      <c r="AA1399" s="1001">
        <f t="shared" si="442"/>
        <v>8664</v>
      </c>
      <c r="AB1399" s="563"/>
      <c r="AC1399" s="1077"/>
      <c r="AD1399" s="939" t="s">
        <v>101</v>
      </c>
      <c r="AE1399" s="939" t="s">
        <v>82</v>
      </c>
      <c r="AF1399" s="939"/>
      <c r="AG1399" s="939"/>
      <c r="AH1399" s="939"/>
      <c r="AI1399" s="609">
        <v>3200</v>
      </c>
      <c r="AJ1399" s="1031">
        <f t="shared" si="443"/>
        <v>0</v>
      </c>
      <c r="AK1399" s="939"/>
      <c r="AL1399" s="939" t="s">
        <v>2368</v>
      </c>
      <c r="AM1399" s="563"/>
      <c r="AN1399" s="563">
        <f t="shared" si="438"/>
        <v>3200</v>
      </c>
      <c r="AO1399" s="563"/>
      <c r="AP1399" s="563"/>
      <c r="AQ1399" s="563"/>
      <c r="AR1399" s="563">
        <f>I1399</f>
        <v>3200</v>
      </c>
      <c r="AS1399" s="563"/>
      <c r="AT1399" s="563"/>
      <c r="AU1399" s="563">
        <f t="shared" si="444"/>
        <v>3200</v>
      </c>
      <c r="AV1399" s="563"/>
      <c r="AW1399" s="563">
        <f t="shared" si="445"/>
        <v>3200</v>
      </c>
      <c r="AX1399" s="1004"/>
      <c r="AY1399" s="563"/>
      <c r="AZ1399" s="563"/>
      <c r="BA1399" s="563"/>
      <c r="BB1399" s="563"/>
      <c r="BC1399" s="563"/>
      <c r="BD1399" s="563"/>
      <c r="BE1399" s="563"/>
      <c r="BF1399" s="563"/>
      <c r="BG1399" s="563"/>
      <c r="BH1399" s="563">
        <f>I1399/4</f>
        <v>800</v>
      </c>
      <c r="BI1399" s="563"/>
      <c r="BJ1399" s="563"/>
      <c r="BK1399" s="563"/>
      <c r="BL1399" s="563"/>
      <c r="BM1399" s="563"/>
      <c r="BN1399" s="563"/>
      <c r="BO1399" s="563"/>
      <c r="BP1399" s="563"/>
      <c r="BQ1399" s="563"/>
      <c r="BR1399" s="563"/>
      <c r="BS1399" s="563"/>
      <c r="BT1399" s="563"/>
      <c r="BU1399" s="563"/>
      <c r="BV1399" s="563"/>
      <c r="BW1399" s="563"/>
      <c r="BX1399" s="563"/>
      <c r="BY1399" s="563"/>
      <c r="BZ1399" s="563"/>
      <c r="CA1399" s="563"/>
      <c r="CB1399" s="563"/>
      <c r="CC1399" s="563"/>
      <c r="CD1399" s="563"/>
      <c r="CE1399" s="563"/>
      <c r="CF1399" s="563"/>
      <c r="CG1399" s="563"/>
      <c r="CH1399" s="1015"/>
      <c r="CI1399" s="1015"/>
      <c r="CJ1399" s="1015"/>
      <c r="CK1399" s="1015"/>
      <c r="CL1399" s="1015"/>
      <c r="CM1399" s="563"/>
      <c r="CN1399" s="563"/>
      <c r="CO1399" s="563"/>
      <c r="CP1399" s="1015"/>
      <c r="CQ1399" s="1015"/>
      <c r="CR1399" s="1015"/>
      <c r="CS1399" s="1015"/>
      <c r="CT1399" s="1015"/>
      <c r="CU1399" s="1015"/>
    </row>
    <row r="1400" s="1265" customFormat="1" ht="31" customHeight="1" spans="1:111">
      <c r="A1400" s="1008">
        <v>46142</v>
      </c>
      <c r="B1400" s="628" t="s">
        <v>884</v>
      </c>
      <c r="C1400" s="618" t="s">
        <v>5482</v>
      </c>
      <c r="D1400" s="1009">
        <v>4500204716</v>
      </c>
      <c r="E1400" s="618" t="s">
        <v>3846</v>
      </c>
      <c r="F1400" s="687" t="s">
        <v>5483</v>
      </c>
      <c r="G1400" s="618" t="s">
        <v>111</v>
      </c>
      <c r="H1400" s="618" t="s">
        <v>112</v>
      </c>
      <c r="I1400" s="1069">
        <v>1808</v>
      </c>
      <c r="J1400" s="618">
        <v>0</v>
      </c>
      <c r="K1400" s="618">
        <v>16</v>
      </c>
      <c r="L1400" s="1011">
        <f t="shared" si="432"/>
        <v>113</v>
      </c>
      <c r="M1400" s="1338">
        <v>46246</v>
      </c>
      <c r="N1400" s="1338">
        <v>46242</v>
      </c>
      <c r="O1400" s="773"/>
      <c r="P1400" s="618"/>
      <c r="Q1400" s="774"/>
      <c r="R1400" s="774">
        <v>46171</v>
      </c>
      <c r="S1400" s="999" t="s">
        <v>70</v>
      </c>
      <c r="T1400" s="999" t="s">
        <v>5484</v>
      </c>
      <c r="U1400" s="213" t="s">
        <v>5485</v>
      </c>
      <c r="V1400" s="774"/>
      <c r="W1400" s="628"/>
      <c r="X1400" s="1075" t="s">
        <v>5486</v>
      </c>
      <c r="Y1400" s="1014" t="s">
        <v>217</v>
      </c>
      <c r="Z1400" s="1339">
        <v>4.47</v>
      </c>
      <c r="AA1400" s="1014">
        <f t="shared" si="442"/>
        <v>8081.76</v>
      </c>
      <c r="AB1400" s="687"/>
      <c r="AC1400" s="1077"/>
      <c r="AD1400" s="618" t="s">
        <v>111</v>
      </c>
      <c r="AE1400" s="939" t="s">
        <v>82</v>
      </c>
      <c r="AF1400" s="618"/>
      <c r="AG1400" s="618"/>
      <c r="AH1400" s="618"/>
      <c r="AI1400" s="609">
        <v>1808</v>
      </c>
      <c r="AJ1400" s="773">
        <f t="shared" si="443"/>
        <v>0</v>
      </c>
      <c r="AK1400" s="618"/>
      <c r="AL1400" s="939" t="s">
        <v>2368</v>
      </c>
      <c r="AM1400" s="687"/>
      <c r="AN1400" s="687">
        <f t="shared" si="438"/>
        <v>1808</v>
      </c>
      <c r="AO1400" s="687"/>
      <c r="AP1400" s="687"/>
      <c r="AQ1400" s="687"/>
      <c r="AR1400" s="687">
        <f>I1400</f>
        <v>1808</v>
      </c>
      <c r="AS1400" s="687"/>
      <c r="AT1400" s="687"/>
      <c r="AU1400" s="563">
        <f t="shared" si="444"/>
        <v>1808</v>
      </c>
      <c r="AV1400" s="687"/>
      <c r="AW1400" s="687">
        <f t="shared" si="445"/>
        <v>1808</v>
      </c>
      <c r="AX1400" s="1016"/>
      <c r="AY1400" s="687"/>
      <c r="AZ1400" s="687"/>
      <c r="BA1400" s="687"/>
      <c r="BB1400" s="687"/>
      <c r="BC1400" s="687"/>
      <c r="BD1400" s="687"/>
      <c r="BE1400" s="687"/>
      <c r="BF1400" s="687"/>
      <c r="BG1400" s="687"/>
      <c r="BH1400" s="825">
        <f>I1400/4</f>
        <v>452</v>
      </c>
      <c r="BI1400" s="687"/>
      <c r="BJ1400" s="687"/>
      <c r="BK1400" s="687"/>
      <c r="BL1400" s="687"/>
      <c r="BM1400" s="687"/>
      <c r="BN1400" s="687"/>
      <c r="BO1400" s="687"/>
      <c r="BP1400" s="687"/>
      <c r="BQ1400" s="687"/>
      <c r="BR1400" s="687"/>
      <c r="BS1400" s="687"/>
      <c r="BT1400" s="687"/>
      <c r="BU1400" s="687"/>
      <c r="BV1400" s="687"/>
      <c r="BW1400" s="687"/>
      <c r="BX1400" s="687"/>
      <c r="BY1400" s="687"/>
      <c r="BZ1400" s="687"/>
      <c r="CA1400" s="687"/>
      <c r="CB1400" s="687"/>
      <c r="CC1400" s="687"/>
      <c r="CD1400" s="687"/>
      <c r="CE1400" s="687"/>
      <c r="CF1400" s="687"/>
      <c r="CG1400" s="687"/>
      <c r="CH1400" s="1020"/>
      <c r="CI1400" s="1020"/>
      <c r="CJ1400" s="1020"/>
      <c r="CK1400" s="1020"/>
      <c r="CL1400" s="1020"/>
      <c r="CM1400" s="687"/>
      <c r="CN1400" s="687"/>
      <c r="CO1400" s="687"/>
      <c r="CP1400" s="1020"/>
      <c r="CQ1400" s="1020"/>
      <c r="CR1400" s="1020"/>
      <c r="CS1400" s="1020"/>
      <c r="CT1400" s="1020"/>
      <c r="CU1400" s="1020"/>
    </row>
    <row r="1401" s="1265" customFormat="1" ht="31" customHeight="1" spans="1:111">
      <c r="A1401" s="1008">
        <v>46142</v>
      </c>
      <c r="B1401" s="628" t="s">
        <v>499</v>
      </c>
      <c r="C1401" s="618" t="s">
        <v>890</v>
      </c>
      <c r="D1401" s="1009">
        <v>4500204719</v>
      </c>
      <c r="E1401" s="618" t="s">
        <v>3846</v>
      </c>
      <c r="F1401" s="687" t="s">
        <v>5487</v>
      </c>
      <c r="G1401" s="618" t="s">
        <v>111</v>
      </c>
      <c r="H1401" s="618" t="s">
        <v>112</v>
      </c>
      <c r="I1401" s="1069">
        <v>1808</v>
      </c>
      <c r="J1401" s="618">
        <v>0</v>
      </c>
      <c r="K1401" s="618">
        <v>16</v>
      </c>
      <c r="L1401" s="1011">
        <f t="shared" si="432"/>
        <v>113</v>
      </c>
      <c r="M1401" s="1338">
        <v>46246</v>
      </c>
      <c r="N1401" s="1338">
        <f>M1401-4</f>
        <v>46242</v>
      </c>
      <c r="O1401" s="773"/>
      <c r="P1401" s="618"/>
      <c r="Q1401" s="774"/>
      <c r="R1401" s="774">
        <v>46171</v>
      </c>
      <c r="S1401" s="999" t="s">
        <v>70</v>
      </c>
      <c r="T1401" s="999" t="s">
        <v>5488</v>
      </c>
      <c r="U1401" s="213" t="s">
        <v>5485</v>
      </c>
      <c r="V1401" s="774"/>
      <c r="W1401" s="628"/>
      <c r="X1401" s="628" t="s">
        <v>5489</v>
      </c>
      <c r="Y1401" s="1014" t="s">
        <v>217</v>
      </c>
      <c r="Z1401" s="1339">
        <v>4.3125</v>
      </c>
      <c r="AA1401" s="1014">
        <f t="shared" si="442"/>
        <v>7797</v>
      </c>
      <c r="AB1401" s="687"/>
      <c r="AC1401" s="1077"/>
      <c r="AD1401" s="618" t="s">
        <v>111</v>
      </c>
      <c r="AE1401" s="939" t="s">
        <v>82</v>
      </c>
      <c r="AF1401" s="618"/>
      <c r="AG1401" s="618"/>
      <c r="AH1401" s="618"/>
      <c r="AI1401" s="609">
        <v>1808</v>
      </c>
      <c r="AJ1401" s="773">
        <f t="shared" si="443"/>
        <v>0</v>
      </c>
      <c r="AK1401" s="618"/>
      <c r="AL1401" s="939" t="s">
        <v>2368</v>
      </c>
      <c r="AM1401" s="687"/>
      <c r="AN1401" s="687">
        <f t="shared" si="438"/>
        <v>1808</v>
      </c>
      <c r="AO1401" s="687"/>
      <c r="AP1401" s="687"/>
      <c r="AQ1401" s="687"/>
      <c r="AR1401" s="687">
        <f>I1401</f>
        <v>1808</v>
      </c>
      <c r="AS1401" s="687"/>
      <c r="AT1401" s="687"/>
      <c r="AU1401" s="563">
        <f t="shared" si="444"/>
        <v>1808</v>
      </c>
      <c r="AV1401" s="687"/>
      <c r="AW1401" s="687">
        <f t="shared" si="445"/>
        <v>1808</v>
      </c>
      <c r="AX1401" s="1016"/>
      <c r="AY1401" s="687"/>
      <c r="AZ1401" s="687"/>
      <c r="BA1401" s="687"/>
      <c r="BB1401" s="687"/>
      <c r="BC1401" s="687"/>
      <c r="BD1401" s="687"/>
      <c r="BE1401" s="687"/>
      <c r="BF1401" s="687"/>
      <c r="BG1401" s="687"/>
      <c r="BH1401" s="825">
        <f>I1401/4</f>
        <v>452</v>
      </c>
      <c r="BI1401" s="687"/>
      <c r="BJ1401" s="687"/>
      <c r="BK1401" s="687"/>
      <c r="BL1401" s="687"/>
      <c r="BM1401" s="687"/>
      <c r="BN1401" s="687"/>
      <c r="BO1401" s="687"/>
      <c r="BP1401" s="687"/>
      <c r="BQ1401" s="687"/>
      <c r="BR1401" s="687"/>
      <c r="BS1401" s="687"/>
      <c r="BT1401" s="687"/>
      <c r="BU1401" s="687"/>
      <c r="BV1401" s="687"/>
      <c r="BW1401" s="687"/>
      <c r="BX1401" s="687"/>
      <c r="BY1401" s="687"/>
      <c r="BZ1401" s="687"/>
      <c r="CA1401" s="687"/>
      <c r="CB1401" s="687"/>
      <c r="CC1401" s="687"/>
      <c r="CD1401" s="687"/>
      <c r="CE1401" s="687"/>
      <c r="CF1401" s="687"/>
      <c r="CG1401" s="687"/>
      <c r="CH1401" s="1020"/>
      <c r="CI1401" s="1020"/>
      <c r="CJ1401" s="1020"/>
      <c r="CK1401" s="1020"/>
      <c r="CL1401" s="1020"/>
      <c r="CM1401" s="687"/>
      <c r="CN1401" s="687"/>
      <c r="CO1401" s="687"/>
      <c r="CP1401" s="1020"/>
      <c r="CQ1401" s="1020"/>
      <c r="CR1401" s="1020"/>
      <c r="CS1401" s="1020"/>
      <c r="CT1401" s="1020"/>
      <c r="CU1401" s="1020"/>
    </row>
    <row r="1402" s="1265" customFormat="1" ht="31" customHeight="1" spans="1:111">
      <c r="A1402" s="1008">
        <v>46142</v>
      </c>
      <c r="B1402" s="628" t="s">
        <v>499</v>
      </c>
      <c r="C1402" s="618" t="s">
        <v>4124</v>
      </c>
      <c r="D1402" s="1009">
        <v>4500204723</v>
      </c>
      <c r="E1402" s="618" t="s">
        <v>3846</v>
      </c>
      <c r="F1402" s="687" t="s">
        <v>5490</v>
      </c>
      <c r="G1402" s="618" t="s">
        <v>111</v>
      </c>
      <c r="H1402" s="618" t="s">
        <v>112</v>
      </c>
      <c r="I1402" s="1069">
        <v>1200</v>
      </c>
      <c r="J1402" s="618">
        <v>0</v>
      </c>
      <c r="K1402" s="618">
        <v>16</v>
      </c>
      <c r="L1402" s="1011">
        <f t="shared" si="432"/>
        <v>75</v>
      </c>
      <c r="M1402" s="1338">
        <v>46246</v>
      </c>
      <c r="N1402" s="1338">
        <f>M1402-4</f>
        <v>46242</v>
      </c>
      <c r="O1402" s="773"/>
      <c r="P1402" s="618"/>
      <c r="Q1402" s="774"/>
      <c r="R1402" s="774">
        <v>46171</v>
      </c>
      <c r="S1402" s="999" t="s">
        <v>70</v>
      </c>
      <c r="T1402" s="999" t="s">
        <v>5488</v>
      </c>
      <c r="U1402" s="213" t="s">
        <v>5485</v>
      </c>
      <c r="V1402" s="774"/>
      <c r="W1402" s="628"/>
      <c r="X1402" s="628" t="s">
        <v>5491</v>
      </c>
      <c r="Y1402" s="1014" t="s">
        <v>217</v>
      </c>
      <c r="Z1402" s="1339">
        <v>4.3125</v>
      </c>
      <c r="AA1402" s="1014">
        <f t="shared" si="442"/>
        <v>5175</v>
      </c>
      <c r="AB1402" s="687"/>
      <c r="AC1402" s="1077"/>
      <c r="AD1402" s="618" t="s">
        <v>111</v>
      </c>
      <c r="AE1402" s="939" t="s">
        <v>82</v>
      </c>
      <c r="AF1402" s="618"/>
      <c r="AG1402" s="618"/>
      <c r="AH1402" s="618"/>
      <c r="AI1402" s="609">
        <v>1200</v>
      </c>
      <c r="AJ1402" s="773">
        <f t="shared" si="443"/>
        <v>0</v>
      </c>
      <c r="AK1402" s="618"/>
      <c r="AL1402" s="939" t="s">
        <v>2368</v>
      </c>
      <c r="AM1402" s="687"/>
      <c r="AN1402" s="687">
        <f t="shared" si="438"/>
        <v>1200</v>
      </c>
      <c r="AO1402" s="687"/>
      <c r="AP1402" s="687"/>
      <c r="AQ1402" s="687"/>
      <c r="AR1402" s="687">
        <f>I1402</f>
        <v>1200</v>
      </c>
      <c r="AS1402" s="687"/>
      <c r="AT1402" s="687"/>
      <c r="AU1402" s="563">
        <f t="shared" si="444"/>
        <v>1200</v>
      </c>
      <c r="AV1402" s="687"/>
      <c r="AW1402" s="687">
        <f t="shared" si="445"/>
        <v>1200</v>
      </c>
      <c r="AX1402" s="1016"/>
      <c r="AY1402" s="687"/>
      <c r="AZ1402" s="687"/>
      <c r="BA1402" s="687"/>
      <c r="BB1402" s="687"/>
      <c r="BC1402" s="687"/>
      <c r="BD1402" s="687"/>
      <c r="BE1402" s="687"/>
      <c r="BF1402" s="687"/>
      <c r="BG1402" s="687"/>
      <c r="BH1402" s="825">
        <f>I1402/4</f>
        <v>300</v>
      </c>
      <c r="BI1402" s="687"/>
      <c r="BJ1402" s="687"/>
      <c r="BK1402" s="687"/>
      <c r="BL1402" s="687"/>
      <c r="BM1402" s="687"/>
      <c r="BN1402" s="687"/>
      <c r="BO1402" s="687"/>
      <c r="BP1402" s="687"/>
      <c r="BQ1402" s="687"/>
      <c r="BR1402" s="687"/>
      <c r="BS1402" s="687"/>
      <c r="BT1402" s="687"/>
      <c r="BU1402" s="687"/>
      <c r="BV1402" s="687"/>
      <c r="BW1402" s="687"/>
      <c r="BX1402" s="687"/>
      <c r="BY1402" s="687"/>
      <c r="BZ1402" s="687"/>
      <c r="CA1402" s="687"/>
      <c r="CB1402" s="687"/>
      <c r="CC1402" s="687"/>
      <c r="CD1402" s="687"/>
      <c r="CE1402" s="687"/>
      <c r="CF1402" s="687"/>
      <c r="CG1402" s="687"/>
      <c r="CH1402" s="1020"/>
      <c r="CI1402" s="1020"/>
      <c r="CJ1402" s="1020"/>
      <c r="CK1402" s="1020"/>
      <c r="CL1402" s="1020"/>
      <c r="CM1402" s="687"/>
      <c r="CN1402" s="687"/>
      <c r="CO1402" s="687"/>
      <c r="CP1402" s="1020"/>
      <c r="CQ1402" s="1020"/>
      <c r="CR1402" s="1020"/>
      <c r="CS1402" s="1020"/>
      <c r="CT1402" s="1020"/>
      <c r="CU1402" s="1020"/>
    </row>
    <row r="1403" s="1270" customFormat="1" ht="31" customHeight="1" spans="1:111">
      <c r="A1403" s="1022">
        <v>46203</v>
      </c>
      <c r="B1403" s="626" t="s">
        <v>5492</v>
      </c>
      <c r="C1403" s="939" t="s">
        <v>399</v>
      </c>
      <c r="D1403" s="563">
        <v>4500214241</v>
      </c>
      <c r="E1403" s="939"/>
      <c r="F1403" s="563" t="s">
        <v>5493</v>
      </c>
      <c r="G1403" s="939" t="s">
        <v>68</v>
      </c>
      <c r="H1403" s="939" t="s">
        <v>69</v>
      </c>
      <c r="I1403" s="1023">
        <v>240</v>
      </c>
      <c r="J1403" s="939">
        <v>0</v>
      </c>
      <c r="K1403" s="939">
        <v>12</v>
      </c>
      <c r="L1403" s="1064">
        <f t="shared" si="432"/>
        <v>20</v>
      </c>
      <c r="M1403" s="1027">
        <v>46246</v>
      </c>
      <c r="N1403" s="1027">
        <v>46242</v>
      </c>
      <c r="O1403" s="1031"/>
      <c r="P1403" s="939"/>
      <c r="Q1403" s="999"/>
      <c r="R1403" s="999">
        <v>46217</v>
      </c>
      <c r="S1403" s="999" t="s">
        <v>70</v>
      </c>
      <c r="T1403" s="999" t="s">
        <v>5494</v>
      </c>
      <c r="U1403" s="999" t="s">
        <v>5495</v>
      </c>
      <c r="V1403" s="999" t="s">
        <v>5496</v>
      </c>
      <c r="W1403" s="626"/>
      <c r="X1403" s="626" t="s">
        <v>5497</v>
      </c>
      <c r="Y1403" s="1001" t="s">
        <v>5498</v>
      </c>
      <c r="Z1403" s="1076">
        <v>4.3734</v>
      </c>
      <c r="AA1403" s="1001">
        <f t="shared" si="442"/>
        <v>1049.616</v>
      </c>
      <c r="AB1403" s="563"/>
      <c r="AC1403" s="1077"/>
      <c r="AD1403" s="939" t="s">
        <v>184</v>
      </c>
      <c r="AE1403" s="939" t="s">
        <v>82</v>
      </c>
      <c r="AF1403" s="939"/>
      <c r="AG1403" s="939"/>
      <c r="AH1403" s="939"/>
      <c r="AI1403" s="609">
        <v>240</v>
      </c>
      <c r="AJ1403" s="1031">
        <f t="shared" si="443"/>
        <v>0</v>
      </c>
      <c r="AK1403" s="939"/>
      <c r="AL1403" s="939" t="s">
        <v>2368</v>
      </c>
      <c r="AM1403" s="563"/>
      <c r="AN1403" s="563">
        <f t="shared" si="438"/>
        <v>240</v>
      </c>
      <c r="AO1403" s="563"/>
      <c r="AP1403" s="563"/>
      <c r="AQ1403" s="563"/>
      <c r="AR1403" s="563"/>
      <c r="AS1403" s="563">
        <f>I1403</f>
        <v>240</v>
      </c>
      <c r="AT1403" s="563"/>
      <c r="AU1403" s="563">
        <f t="shared" si="444"/>
        <v>240</v>
      </c>
      <c r="AV1403" s="563"/>
      <c r="AW1403" s="563">
        <f t="shared" si="445"/>
        <v>240</v>
      </c>
      <c r="AX1403" s="1004"/>
      <c r="AY1403" s="563"/>
      <c r="AZ1403" s="563"/>
      <c r="BA1403" s="563"/>
      <c r="BB1403" s="563"/>
      <c r="BC1403" s="563"/>
      <c r="BD1403" s="563"/>
      <c r="BE1403" s="563"/>
      <c r="BF1403" s="563"/>
      <c r="BG1403" s="563"/>
      <c r="BH1403" s="563"/>
      <c r="BI1403" s="563"/>
      <c r="BJ1403" s="563"/>
      <c r="BK1403" s="563"/>
      <c r="BL1403" s="563"/>
      <c r="BM1403" s="563"/>
      <c r="BN1403" s="563"/>
      <c r="BO1403" s="563"/>
      <c r="BP1403" s="563"/>
      <c r="BQ1403" s="563"/>
      <c r="BR1403" s="563"/>
      <c r="BS1403" s="563"/>
      <c r="BT1403" s="563"/>
      <c r="BU1403" s="563"/>
      <c r="BV1403" s="563"/>
      <c r="BW1403" s="563"/>
      <c r="BX1403" s="563"/>
      <c r="BY1403" s="563"/>
      <c r="BZ1403" s="563"/>
      <c r="CA1403" s="563"/>
      <c r="CB1403" s="563"/>
      <c r="CC1403" s="563"/>
      <c r="CD1403" s="563"/>
      <c r="CE1403" s="563"/>
      <c r="CF1403" s="563"/>
      <c r="CG1403" s="563"/>
      <c r="CH1403" s="1015"/>
      <c r="CI1403" s="1015"/>
      <c r="CJ1403" s="1015"/>
      <c r="CK1403" s="1015"/>
      <c r="CL1403" s="1015"/>
      <c r="CM1403" s="563"/>
      <c r="CN1403" s="563"/>
      <c r="CO1403" s="563"/>
      <c r="CP1403" s="1015"/>
      <c r="CQ1403" s="1015"/>
      <c r="CR1403" s="1015"/>
      <c r="CS1403" s="1015"/>
      <c r="CT1403" s="1015"/>
      <c r="CU1403" s="1015"/>
    </row>
    <row r="1404" s="559" customFormat="1" ht="31" customHeight="1" spans="1:111">
      <c r="A1404" s="1008">
        <v>46189</v>
      </c>
      <c r="B1404" s="628" t="s">
        <v>1800</v>
      </c>
      <c r="C1404" s="618" t="s">
        <v>744</v>
      </c>
      <c r="D1404" s="687" t="s">
        <v>5177</v>
      </c>
      <c r="E1404" s="618" t="s">
        <v>5178</v>
      </c>
      <c r="F1404" s="687" t="s">
        <v>5499</v>
      </c>
      <c r="G1404" s="618" t="s">
        <v>518</v>
      </c>
      <c r="H1404" s="939" t="s">
        <v>477</v>
      </c>
      <c r="I1404" s="1069">
        <v>1200</v>
      </c>
      <c r="J1404" s="618">
        <v>0</v>
      </c>
      <c r="K1404" s="618">
        <v>6</v>
      </c>
      <c r="L1404" s="1011">
        <f t="shared" si="432"/>
        <v>200</v>
      </c>
      <c r="M1404" s="1012">
        <v>46247</v>
      </c>
      <c r="N1404" s="225" t="s">
        <v>5500</v>
      </c>
      <c r="O1404" s="773"/>
      <c r="P1404" s="618"/>
      <c r="Q1404" s="774"/>
      <c r="R1404" s="999" t="s">
        <v>5180</v>
      </c>
      <c r="S1404" s="999" t="s">
        <v>104</v>
      </c>
      <c r="T1404" s="999" t="s">
        <v>2239</v>
      </c>
      <c r="U1404" s="999"/>
      <c r="V1404" s="646"/>
      <c r="W1404" s="628"/>
      <c r="X1404" s="628" t="s">
        <v>5199</v>
      </c>
      <c r="Y1404" s="1014" t="s">
        <v>1805</v>
      </c>
      <c r="Z1404" s="1339">
        <v>6.8743</v>
      </c>
      <c r="AA1404" s="1014">
        <f t="shared" si="442"/>
        <v>8249.16</v>
      </c>
      <c r="AB1404" s="687"/>
      <c r="AC1404" s="1077"/>
      <c r="AD1404" s="939" t="s">
        <v>2241</v>
      </c>
      <c r="AE1404" s="992" t="s">
        <v>82</v>
      </c>
      <c r="AF1404" s="618"/>
      <c r="AG1404" s="618"/>
      <c r="AH1404" s="618"/>
      <c r="AI1404" s="609"/>
      <c r="AJ1404" s="939">
        <f t="shared" si="443"/>
        <v>-1200</v>
      </c>
      <c r="AK1404" s="618"/>
      <c r="AL1404" s="618"/>
      <c r="AM1404" s="687"/>
      <c r="AN1404" s="687">
        <f t="shared" si="438"/>
        <v>1200</v>
      </c>
      <c r="AO1404" s="687"/>
      <c r="AP1404" s="687"/>
      <c r="AQ1404" s="687"/>
      <c r="AR1404" s="563">
        <f>I1404</f>
        <v>1200</v>
      </c>
      <c r="AS1404" s="563"/>
      <c r="AT1404" s="563"/>
      <c r="AU1404" s="563"/>
      <c r="AV1404" s="563">
        <f>I1404</f>
        <v>1200</v>
      </c>
      <c r="AW1404" s="687"/>
      <c r="AX1404" s="1004">
        <f>I1404</f>
        <v>1200</v>
      </c>
      <c r="AY1404" s="687"/>
      <c r="AZ1404" s="687"/>
      <c r="BA1404" s="687"/>
      <c r="BB1404" s="687"/>
      <c r="BC1404" s="687"/>
      <c r="BD1404" s="687"/>
      <c r="BE1404" s="687"/>
      <c r="BF1404" s="687"/>
      <c r="BG1404" s="687"/>
      <c r="BH1404" s="687"/>
      <c r="BI1404" s="687"/>
      <c r="BJ1404" s="687"/>
      <c r="BK1404" s="687"/>
      <c r="BL1404" s="687"/>
      <c r="BM1404" s="687"/>
      <c r="BN1404" s="563">
        <f>I1404</f>
        <v>1200</v>
      </c>
      <c r="BO1404" s="687"/>
      <c r="BP1404" s="687"/>
      <c r="BQ1404" s="687"/>
      <c r="BR1404" s="687"/>
      <c r="BS1404" s="687"/>
      <c r="BT1404" s="687"/>
      <c r="BU1404" s="687"/>
      <c r="BV1404" s="687"/>
      <c r="BW1404" s="687"/>
      <c r="BX1404" s="687"/>
      <c r="BY1404" s="687"/>
      <c r="BZ1404" s="687"/>
      <c r="CA1404" s="687"/>
      <c r="CB1404" s="687"/>
      <c r="CC1404" s="687"/>
      <c r="CD1404" s="687"/>
      <c r="CE1404" s="687"/>
      <c r="CF1404" s="687"/>
      <c r="CG1404" s="687"/>
      <c r="CH1404" s="1020"/>
      <c r="CI1404" s="1020"/>
      <c r="CJ1404" s="1020"/>
      <c r="CK1404" s="1020"/>
      <c r="CL1404" s="1020"/>
      <c r="CM1404" s="687"/>
      <c r="CN1404" s="687"/>
      <c r="CO1404" s="687"/>
      <c r="CP1404" s="1020"/>
      <c r="CQ1404" s="1020"/>
      <c r="CR1404" s="1020"/>
      <c r="CS1404" s="1020"/>
      <c r="CT1404" s="1020"/>
      <c r="CU1404" s="1020"/>
    </row>
    <row r="1405" s="559" customFormat="1" ht="31" customHeight="1" spans="1:111">
      <c r="A1405" s="1008">
        <v>46189</v>
      </c>
      <c r="B1405" s="628" t="s">
        <v>1800</v>
      </c>
      <c r="C1405" s="618" t="s">
        <v>744</v>
      </c>
      <c r="D1405" s="687" t="s">
        <v>5177</v>
      </c>
      <c r="E1405" s="618" t="s">
        <v>5178</v>
      </c>
      <c r="F1405" s="687" t="s">
        <v>5501</v>
      </c>
      <c r="G1405" s="618" t="s">
        <v>518</v>
      </c>
      <c r="H1405" s="939" t="s">
        <v>477</v>
      </c>
      <c r="I1405" s="1069">
        <v>2004</v>
      </c>
      <c r="J1405" s="618">
        <v>0</v>
      </c>
      <c r="K1405" s="618">
        <v>6</v>
      </c>
      <c r="L1405" s="1011">
        <f t="shared" si="432"/>
        <v>334</v>
      </c>
      <c r="M1405" s="1012">
        <v>46247</v>
      </c>
      <c r="N1405" s="225" t="s">
        <v>5500</v>
      </c>
      <c r="O1405" s="773"/>
      <c r="P1405" s="618"/>
      <c r="Q1405" s="774"/>
      <c r="R1405" s="999" t="s">
        <v>5180</v>
      </c>
      <c r="S1405" s="999" t="s">
        <v>104</v>
      </c>
      <c r="T1405" s="999" t="s">
        <v>2239</v>
      </c>
      <c r="U1405" s="999"/>
      <c r="V1405" s="999"/>
      <c r="W1405" s="626"/>
      <c r="X1405" s="628" t="s">
        <v>5199</v>
      </c>
      <c r="Y1405" s="1014" t="s">
        <v>1805</v>
      </c>
      <c r="Z1405" s="1339">
        <v>6.8743</v>
      </c>
      <c r="AA1405" s="1014">
        <f t="shared" si="442"/>
        <v>13776.0972</v>
      </c>
      <c r="AB1405" s="687"/>
      <c r="AC1405" s="1077"/>
      <c r="AD1405" s="939" t="s">
        <v>2241</v>
      </c>
      <c r="AE1405" s="992" t="s">
        <v>82</v>
      </c>
      <c r="AF1405" s="618"/>
      <c r="AG1405" s="618"/>
      <c r="AH1405" s="618"/>
      <c r="AI1405" s="609"/>
      <c r="AJ1405" s="939">
        <f t="shared" si="443"/>
        <v>-2004</v>
      </c>
      <c r="AK1405" s="618"/>
      <c r="AL1405" s="618"/>
      <c r="AM1405" s="687"/>
      <c r="AN1405" s="687">
        <f t="shared" si="438"/>
        <v>2004</v>
      </c>
      <c r="AO1405" s="687"/>
      <c r="AP1405" s="687"/>
      <c r="AQ1405" s="687"/>
      <c r="AR1405" s="563">
        <f>I1405</f>
        <v>2004</v>
      </c>
      <c r="AS1405" s="563"/>
      <c r="AT1405" s="563"/>
      <c r="AU1405" s="563"/>
      <c r="AV1405" s="563">
        <f>I1405</f>
        <v>2004</v>
      </c>
      <c r="AW1405" s="687"/>
      <c r="AX1405" s="1004">
        <f>I1405</f>
        <v>2004</v>
      </c>
      <c r="AY1405" s="687"/>
      <c r="AZ1405" s="687"/>
      <c r="BA1405" s="687"/>
      <c r="BB1405" s="687"/>
      <c r="BC1405" s="687"/>
      <c r="BD1405" s="687"/>
      <c r="BE1405" s="687"/>
      <c r="BF1405" s="687"/>
      <c r="BG1405" s="687"/>
      <c r="BH1405" s="687"/>
      <c r="BI1405" s="687"/>
      <c r="BJ1405" s="687"/>
      <c r="BK1405" s="687"/>
      <c r="BL1405" s="687"/>
      <c r="BM1405" s="687"/>
      <c r="BN1405" s="563">
        <f>I1405</f>
        <v>2004</v>
      </c>
      <c r="BO1405" s="687"/>
      <c r="BP1405" s="687"/>
      <c r="BQ1405" s="687"/>
      <c r="BR1405" s="687"/>
      <c r="BS1405" s="687"/>
      <c r="BT1405" s="687"/>
      <c r="BU1405" s="687"/>
      <c r="BV1405" s="687"/>
      <c r="BW1405" s="687"/>
      <c r="BX1405" s="687"/>
      <c r="BY1405" s="687"/>
      <c r="BZ1405" s="687"/>
      <c r="CA1405" s="687"/>
      <c r="CB1405" s="687"/>
      <c r="CC1405" s="687"/>
      <c r="CD1405" s="687"/>
      <c r="CE1405" s="687"/>
      <c r="CF1405" s="687"/>
      <c r="CG1405" s="687"/>
      <c r="CH1405" s="1020"/>
      <c r="CI1405" s="1020"/>
      <c r="CJ1405" s="1020"/>
      <c r="CK1405" s="1020"/>
      <c r="CL1405" s="1020"/>
      <c r="CM1405" s="687"/>
      <c r="CN1405" s="687"/>
      <c r="CO1405" s="687"/>
      <c r="CP1405" s="1020"/>
      <c r="CQ1405" s="1020"/>
      <c r="CR1405" s="1020"/>
      <c r="CS1405" s="1020"/>
      <c r="CT1405" s="1020"/>
      <c r="CU1405" s="1020"/>
    </row>
    <row r="1406" s="559" customFormat="1" ht="31" customHeight="1" spans="1:111">
      <c r="A1406" s="1008">
        <v>46185</v>
      </c>
      <c r="B1406" s="628" t="s">
        <v>1544</v>
      </c>
      <c r="C1406" s="618" t="s">
        <v>257</v>
      </c>
      <c r="D1406" s="687" t="s">
        <v>5502</v>
      </c>
      <c r="E1406" s="618" t="s">
        <v>5503</v>
      </c>
      <c r="F1406" s="687" t="s">
        <v>5504</v>
      </c>
      <c r="G1406" s="618" t="s">
        <v>164</v>
      </c>
      <c r="H1406" s="939" t="s">
        <v>112</v>
      </c>
      <c r="I1406" s="1069">
        <v>2800</v>
      </c>
      <c r="J1406" s="618">
        <v>0</v>
      </c>
      <c r="K1406" s="618">
        <v>8</v>
      </c>
      <c r="L1406" s="1011">
        <f t="shared" si="432"/>
        <v>350</v>
      </c>
      <c r="M1406" s="1012">
        <v>46248</v>
      </c>
      <c r="N1406" s="1012">
        <v>46244</v>
      </c>
      <c r="O1406" s="773"/>
      <c r="P1406" s="618"/>
      <c r="Q1406" s="774">
        <v>46258</v>
      </c>
      <c r="R1406" s="999">
        <v>46185</v>
      </c>
      <c r="S1406" s="999" t="s">
        <v>70</v>
      </c>
      <c r="T1406" s="999" t="s">
        <v>70</v>
      </c>
      <c r="U1406" s="999" t="s">
        <v>5186</v>
      </c>
      <c r="V1406" s="243" t="s">
        <v>5396</v>
      </c>
      <c r="W1406" s="999" t="s">
        <v>5187</v>
      </c>
      <c r="X1406" s="628" t="s">
        <v>5505</v>
      </c>
      <c r="Y1406" s="1014" t="s">
        <v>5054</v>
      </c>
      <c r="Z1406" s="1339">
        <v>4.374</v>
      </c>
      <c r="AA1406" s="1014">
        <f t="shared" si="442"/>
        <v>12247.2</v>
      </c>
      <c r="AB1406" s="687"/>
      <c r="AC1406" s="1077"/>
      <c r="AD1406" s="939" t="s">
        <v>2381</v>
      </c>
      <c r="AE1406" s="939" t="s">
        <v>82</v>
      </c>
      <c r="AF1406" s="618"/>
      <c r="AG1406" s="618"/>
      <c r="AH1406" s="618"/>
      <c r="AI1406" s="609">
        <v>2800</v>
      </c>
      <c r="AJ1406" s="1031">
        <f t="shared" si="443"/>
        <v>0</v>
      </c>
      <c r="AK1406" s="618"/>
      <c r="AL1406" s="618"/>
      <c r="AM1406" s="687"/>
      <c r="AN1406" s="687">
        <f t="shared" si="438"/>
        <v>2800</v>
      </c>
      <c r="AO1406" s="687"/>
      <c r="AP1406" s="687"/>
      <c r="AQ1406" s="687"/>
      <c r="AR1406" s="687"/>
      <c r="AS1406" s="563">
        <f t="shared" ref="AS1406:AS1411" si="446">I1406</f>
        <v>2800</v>
      </c>
      <c r="AT1406" s="563"/>
      <c r="AU1406" s="563">
        <f>I1406</f>
        <v>2800</v>
      </c>
      <c r="AV1406" s="687"/>
      <c r="AW1406" s="563">
        <f>I1406</f>
        <v>2800</v>
      </c>
      <c r="AX1406" s="1016"/>
      <c r="AY1406" s="687"/>
      <c r="AZ1406" s="687"/>
      <c r="BA1406" s="687"/>
      <c r="BB1406" s="687"/>
      <c r="BC1406" s="687"/>
      <c r="BD1406" s="687"/>
      <c r="BE1406" s="687"/>
      <c r="BF1406" s="687"/>
      <c r="BG1406" s="687"/>
      <c r="BH1406" s="687"/>
      <c r="BI1406" s="687">
        <f>I1406/4</f>
        <v>700</v>
      </c>
      <c r="BJ1406" s="687"/>
      <c r="BK1406" s="687"/>
      <c r="BL1406" s="687"/>
      <c r="BM1406" s="687"/>
      <c r="BN1406" s="687"/>
      <c r="BO1406" s="687"/>
      <c r="BP1406" s="687"/>
      <c r="BQ1406" s="687"/>
      <c r="BR1406" s="687"/>
      <c r="BS1406" s="687"/>
      <c r="BT1406" s="687"/>
      <c r="BU1406" s="687"/>
      <c r="BV1406" s="687"/>
      <c r="BW1406" s="687"/>
      <c r="BX1406" s="687"/>
      <c r="BY1406" s="687"/>
      <c r="BZ1406" s="687"/>
      <c r="CA1406" s="687"/>
      <c r="CB1406" s="687"/>
      <c r="CC1406" s="687"/>
      <c r="CD1406" s="687"/>
      <c r="CE1406" s="687"/>
      <c r="CF1406" s="687"/>
      <c r="CG1406" s="687"/>
      <c r="CH1406" s="1020"/>
      <c r="CI1406" s="1020"/>
      <c r="CJ1406" s="1020"/>
      <c r="CK1406" s="1020"/>
      <c r="CL1406" s="1020"/>
      <c r="CM1406" s="687"/>
      <c r="CN1406" s="687"/>
      <c r="CO1406" s="687"/>
      <c r="CP1406" s="1020"/>
      <c r="CQ1406" s="1020"/>
      <c r="CR1406" s="1020"/>
      <c r="CS1406" s="1020"/>
      <c r="CT1406" s="1020"/>
      <c r="CU1406" s="1020"/>
    </row>
    <row r="1407" s="559" customFormat="1" ht="31" customHeight="1" spans="1:111">
      <c r="A1407" s="1008">
        <v>46174</v>
      </c>
      <c r="B1407" s="628" t="s">
        <v>1409</v>
      </c>
      <c r="C1407" s="618" t="s">
        <v>524</v>
      </c>
      <c r="D1407" s="687" t="s">
        <v>5506</v>
      </c>
      <c r="E1407" s="618"/>
      <c r="F1407" s="687" t="s">
        <v>5507</v>
      </c>
      <c r="G1407" s="618" t="s">
        <v>68</v>
      </c>
      <c r="H1407" s="939" t="s">
        <v>69</v>
      </c>
      <c r="I1407" s="1069">
        <v>804</v>
      </c>
      <c r="J1407" s="618">
        <v>0</v>
      </c>
      <c r="K1407" s="618">
        <v>12</v>
      </c>
      <c r="L1407" s="1011">
        <f t="shared" ref="L1383:L1418" si="447">I1407/K1407</f>
        <v>67</v>
      </c>
      <c r="M1407" s="1012">
        <v>46251</v>
      </c>
      <c r="N1407" s="1012">
        <v>46247</v>
      </c>
      <c r="O1407" s="773"/>
      <c r="P1407" s="618"/>
      <c r="Q1407" s="774"/>
      <c r="R1407" s="999">
        <v>46220</v>
      </c>
      <c r="S1407" s="999" t="s">
        <v>70</v>
      </c>
      <c r="T1407" s="999" t="s">
        <v>5508</v>
      </c>
      <c r="U1407" s="999" t="s">
        <v>5509</v>
      </c>
      <c r="V1407" s="646"/>
      <c r="W1407" s="628"/>
      <c r="X1407" s="628" t="s">
        <v>5510</v>
      </c>
      <c r="Y1407" s="1014" t="s">
        <v>340</v>
      </c>
      <c r="Z1407" s="1339">
        <v>4.3274</v>
      </c>
      <c r="AA1407" s="1014">
        <f t="shared" ref="AA1383:AA1426" si="448">Z1407*I1407</f>
        <v>3479.2296</v>
      </c>
      <c r="AB1407" s="687"/>
      <c r="AC1407" s="1077"/>
      <c r="AD1407" s="939" t="s">
        <v>184</v>
      </c>
      <c r="AE1407" s="939" t="s">
        <v>82</v>
      </c>
      <c r="AF1407" s="618"/>
      <c r="AG1407" s="618"/>
      <c r="AH1407" s="618"/>
      <c r="AI1407" s="609">
        <v>804</v>
      </c>
      <c r="AJ1407" s="939">
        <f t="shared" si="443"/>
        <v>0</v>
      </c>
      <c r="AK1407" s="618"/>
      <c r="AL1407" s="939" t="s">
        <v>2368</v>
      </c>
      <c r="AM1407" s="687"/>
      <c r="AN1407" s="687">
        <f t="shared" ref="AN1383:AN1418" si="449">I1407</f>
        <v>804</v>
      </c>
      <c r="AO1407" s="687"/>
      <c r="AP1407" s="687"/>
      <c r="AQ1407" s="687"/>
      <c r="AR1407" s="687"/>
      <c r="AS1407" s="563">
        <f t="shared" si="446"/>
        <v>804</v>
      </c>
      <c r="AT1407" s="563"/>
      <c r="AU1407" s="563">
        <f t="shared" ref="AU1397:AU1418" si="450">I1407</f>
        <v>804</v>
      </c>
      <c r="AV1407" s="563"/>
      <c r="AW1407" s="563">
        <f t="shared" ref="AW1397:AW1418" si="451">I1407</f>
        <v>804</v>
      </c>
      <c r="AX1407" s="1016"/>
      <c r="AY1407" s="687"/>
      <c r="AZ1407" s="687"/>
      <c r="BA1407" s="687"/>
      <c r="BB1407" s="687"/>
      <c r="BC1407" s="687"/>
      <c r="BD1407" s="687"/>
      <c r="BE1407" s="687"/>
      <c r="BF1407" s="687"/>
      <c r="BG1407" s="687"/>
      <c r="BH1407" s="687"/>
      <c r="BI1407" s="687"/>
      <c r="BJ1407" s="687"/>
      <c r="BK1407" s="687"/>
      <c r="BL1407" s="687"/>
      <c r="BM1407" s="687"/>
      <c r="BN1407" s="687"/>
      <c r="BO1407" s="687"/>
      <c r="BP1407" s="687"/>
      <c r="BQ1407" s="687"/>
      <c r="BR1407" s="687"/>
      <c r="BS1407" s="687"/>
      <c r="BT1407" s="687"/>
      <c r="BU1407" s="687"/>
      <c r="BV1407" s="687"/>
      <c r="BW1407" s="687"/>
      <c r="BX1407" s="687"/>
      <c r="BY1407" s="687"/>
      <c r="BZ1407" s="687"/>
      <c r="CA1407" s="687"/>
      <c r="CB1407" s="687"/>
      <c r="CC1407" s="687"/>
      <c r="CD1407" s="687"/>
      <c r="CE1407" s="687"/>
      <c r="CF1407" s="687"/>
      <c r="CG1407" s="687"/>
      <c r="CH1407" s="1020"/>
      <c r="CI1407" s="1020"/>
      <c r="CJ1407" s="1020"/>
      <c r="CK1407" s="1020"/>
      <c r="CL1407" s="1020"/>
      <c r="CM1407" s="687"/>
      <c r="CN1407" s="687"/>
      <c r="CO1407" s="687"/>
      <c r="CP1407" s="1020"/>
      <c r="CQ1407" s="1020"/>
      <c r="CR1407" s="1020"/>
      <c r="CS1407" s="1020"/>
      <c r="CT1407" s="1020"/>
      <c r="CU1407" s="1020"/>
    </row>
    <row r="1408" s="559" customFormat="1" ht="31" customHeight="1" spans="1:111">
      <c r="A1408" s="1008">
        <v>46174</v>
      </c>
      <c r="B1408" s="628" t="s">
        <v>1409</v>
      </c>
      <c r="C1408" s="618" t="s">
        <v>524</v>
      </c>
      <c r="D1408" s="687" t="s">
        <v>5511</v>
      </c>
      <c r="E1408" s="618"/>
      <c r="F1408" s="687" t="s">
        <v>5512</v>
      </c>
      <c r="G1408" s="618" t="s">
        <v>68</v>
      </c>
      <c r="H1408" s="939" t="s">
        <v>69</v>
      </c>
      <c r="I1408" s="1069">
        <v>936</v>
      </c>
      <c r="J1408" s="618">
        <v>0</v>
      </c>
      <c r="K1408" s="618">
        <v>12</v>
      </c>
      <c r="L1408" s="1011">
        <f t="shared" si="447"/>
        <v>78</v>
      </c>
      <c r="M1408" s="1012">
        <v>46251</v>
      </c>
      <c r="N1408" s="1012">
        <v>46247</v>
      </c>
      <c r="O1408" s="773"/>
      <c r="P1408" s="618"/>
      <c r="Q1408" s="774"/>
      <c r="R1408" s="999">
        <v>46220</v>
      </c>
      <c r="S1408" s="999" t="s">
        <v>70</v>
      </c>
      <c r="T1408" s="999" t="s">
        <v>5513</v>
      </c>
      <c r="U1408" s="999" t="s">
        <v>5509</v>
      </c>
      <c r="V1408" s="646"/>
      <c r="W1408" s="628"/>
      <c r="X1408" s="1075" t="s">
        <v>5514</v>
      </c>
      <c r="Y1408" s="1014" t="s">
        <v>340</v>
      </c>
      <c r="Z1408" s="1339">
        <v>4.3274</v>
      </c>
      <c r="AA1408" s="1014">
        <f t="shared" si="448"/>
        <v>4050.4464</v>
      </c>
      <c r="AB1408" s="687"/>
      <c r="AC1408" s="1077"/>
      <c r="AD1408" s="939" t="s">
        <v>184</v>
      </c>
      <c r="AE1408" s="939" t="s">
        <v>82</v>
      </c>
      <c r="AF1408" s="618"/>
      <c r="AG1408" s="618"/>
      <c r="AH1408" s="618"/>
      <c r="AI1408" s="609">
        <v>936</v>
      </c>
      <c r="AJ1408" s="939">
        <f t="shared" si="443"/>
        <v>0</v>
      </c>
      <c r="AK1408" s="618"/>
      <c r="AL1408" s="939" t="s">
        <v>2368</v>
      </c>
      <c r="AM1408" s="687"/>
      <c r="AN1408" s="687">
        <f t="shared" si="449"/>
        <v>936</v>
      </c>
      <c r="AO1408" s="687"/>
      <c r="AP1408" s="687"/>
      <c r="AQ1408" s="687"/>
      <c r="AR1408" s="687"/>
      <c r="AS1408" s="563">
        <f t="shared" si="446"/>
        <v>936</v>
      </c>
      <c r="AT1408" s="563"/>
      <c r="AU1408" s="563">
        <f t="shared" si="450"/>
        <v>936</v>
      </c>
      <c r="AV1408" s="563"/>
      <c r="AW1408" s="563">
        <f t="shared" si="451"/>
        <v>936</v>
      </c>
      <c r="AX1408" s="1016"/>
      <c r="AY1408" s="687"/>
      <c r="AZ1408" s="687"/>
      <c r="BA1408" s="687"/>
      <c r="BB1408" s="687"/>
      <c r="BC1408" s="687"/>
      <c r="BD1408" s="687"/>
      <c r="BE1408" s="687"/>
      <c r="BF1408" s="687"/>
      <c r="BG1408" s="687"/>
      <c r="BH1408" s="687"/>
      <c r="BI1408" s="687"/>
      <c r="BJ1408" s="687"/>
      <c r="BK1408" s="687"/>
      <c r="BL1408" s="687"/>
      <c r="BM1408" s="687"/>
      <c r="BN1408" s="687"/>
      <c r="BO1408" s="687"/>
      <c r="BP1408" s="687"/>
      <c r="BQ1408" s="687"/>
      <c r="BR1408" s="687"/>
      <c r="BS1408" s="687"/>
      <c r="BT1408" s="687"/>
      <c r="BU1408" s="687"/>
      <c r="BV1408" s="687"/>
      <c r="BW1408" s="687"/>
      <c r="BX1408" s="687"/>
      <c r="BY1408" s="687"/>
      <c r="BZ1408" s="687"/>
      <c r="CA1408" s="687"/>
      <c r="CB1408" s="687"/>
      <c r="CC1408" s="687"/>
      <c r="CD1408" s="687"/>
      <c r="CE1408" s="687"/>
      <c r="CF1408" s="687"/>
      <c r="CG1408" s="687"/>
      <c r="CH1408" s="1020"/>
      <c r="CI1408" s="1020"/>
      <c r="CJ1408" s="1020"/>
      <c r="CK1408" s="1020"/>
      <c r="CL1408" s="1020"/>
      <c r="CM1408" s="687"/>
      <c r="CN1408" s="687"/>
      <c r="CO1408" s="687"/>
      <c r="CP1408" s="1020"/>
      <c r="CQ1408" s="1020"/>
      <c r="CR1408" s="1020"/>
      <c r="CS1408" s="1020"/>
      <c r="CT1408" s="1020"/>
      <c r="CU1408" s="1020"/>
    </row>
    <row r="1409" s="559" customFormat="1" ht="31" customHeight="1" spans="1:99 16239:16384">
      <c r="A1409" s="1008">
        <v>46174</v>
      </c>
      <c r="B1409" s="628" t="s">
        <v>1409</v>
      </c>
      <c r="C1409" s="618" t="s">
        <v>524</v>
      </c>
      <c r="D1409" s="687" t="s">
        <v>5515</v>
      </c>
      <c r="E1409" s="618"/>
      <c r="F1409" s="687" t="s">
        <v>5516</v>
      </c>
      <c r="G1409" s="618" t="s">
        <v>68</v>
      </c>
      <c r="H1409" s="939" t="s">
        <v>69</v>
      </c>
      <c r="I1409" s="1069">
        <v>612</v>
      </c>
      <c r="J1409" s="618">
        <v>0</v>
      </c>
      <c r="K1409" s="618">
        <v>12</v>
      </c>
      <c r="L1409" s="1011">
        <f t="shared" si="447"/>
        <v>51</v>
      </c>
      <c r="M1409" s="1012">
        <v>46251</v>
      </c>
      <c r="N1409" s="1012">
        <v>46247</v>
      </c>
      <c r="O1409" s="773"/>
      <c r="P1409" s="618"/>
      <c r="Q1409" s="774"/>
      <c r="R1409" s="999">
        <v>46220</v>
      </c>
      <c r="S1409" s="999" t="s">
        <v>70</v>
      </c>
      <c r="T1409" s="999" t="s">
        <v>5517</v>
      </c>
      <c r="U1409" s="999" t="s">
        <v>5509</v>
      </c>
      <c r="V1409" s="646"/>
      <c r="W1409" s="628"/>
      <c r="X1409" s="1075" t="s">
        <v>5518</v>
      </c>
      <c r="Y1409" s="1014" t="s">
        <v>340</v>
      </c>
      <c r="Z1409" s="1339">
        <v>4.3274</v>
      </c>
      <c r="AA1409" s="1014">
        <f t="shared" si="448"/>
        <v>2648.3688</v>
      </c>
      <c r="AB1409" s="687"/>
      <c r="AC1409" s="1077"/>
      <c r="AD1409" s="939" t="s">
        <v>184</v>
      </c>
      <c r="AE1409" s="939" t="s">
        <v>82</v>
      </c>
      <c r="AF1409" s="618"/>
      <c r="AG1409" s="618"/>
      <c r="AH1409" s="618"/>
      <c r="AI1409" s="609">
        <v>612</v>
      </c>
      <c r="AJ1409" s="939">
        <f t="shared" si="443"/>
        <v>0</v>
      </c>
      <c r="AK1409" s="618"/>
      <c r="AL1409" s="618"/>
      <c r="AM1409" s="687"/>
      <c r="AN1409" s="687">
        <f t="shared" si="449"/>
        <v>612</v>
      </c>
      <c r="AO1409" s="687"/>
      <c r="AP1409" s="687"/>
      <c r="AQ1409" s="687"/>
      <c r="AR1409" s="687"/>
      <c r="AS1409" s="563">
        <f t="shared" si="446"/>
        <v>612</v>
      </c>
      <c r="AT1409" s="563"/>
      <c r="AU1409" s="563">
        <f t="shared" si="450"/>
        <v>612</v>
      </c>
      <c r="AV1409" s="563"/>
      <c r="AW1409" s="563">
        <f t="shared" si="451"/>
        <v>612</v>
      </c>
      <c r="AX1409" s="1016"/>
      <c r="AY1409" s="687"/>
      <c r="AZ1409" s="687"/>
      <c r="BA1409" s="687"/>
      <c r="BB1409" s="687"/>
      <c r="BC1409" s="687"/>
      <c r="BD1409" s="687"/>
      <c r="BE1409" s="687"/>
      <c r="BF1409" s="687"/>
      <c r="BG1409" s="687"/>
      <c r="BH1409" s="687"/>
      <c r="BI1409" s="687"/>
      <c r="BJ1409" s="687"/>
      <c r="BK1409" s="687"/>
      <c r="BL1409" s="687"/>
      <c r="BM1409" s="687"/>
      <c r="BN1409" s="687"/>
      <c r="BO1409" s="687"/>
      <c r="BP1409" s="687"/>
      <c r="BQ1409" s="687"/>
      <c r="BR1409" s="687"/>
      <c r="BS1409" s="687"/>
      <c r="BT1409" s="687"/>
      <c r="BU1409" s="687"/>
      <c r="BV1409" s="687"/>
      <c r="BW1409" s="687"/>
      <c r="BX1409" s="687"/>
      <c r="BY1409" s="687"/>
      <c r="BZ1409" s="687"/>
      <c r="CA1409" s="687"/>
      <c r="CB1409" s="687"/>
      <c r="CC1409" s="687"/>
      <c r="CD1409" s="687"/>
      <c r="CE1409" s="687"/>
      <c r="CF1409" s="687"/>
      <c r="CG1409" s="687"/>
      <c r="CH1409" s="1020"/>
      <c r="CI1409" s="1020"/>
      <c r="CJ1409" s="1020"/>
      <c r="CK1409" s="1020"/>
      <c r="CL1409" s="1020"/>
      <c r="CM1409" s="687"/>
      <c r="CN1409" s="687"/>
      <c r="CO1409" s="687"/>
      <c r="CP1409" s="1020"/>
      <c r="CQ1409" s="1020"/>
      <c r="CR1409" s="1020"/>
      <c r="CS1409" s="1020"/>
      <c r="CT1409" s="1020"/>
      <c r="CU1409" s="1020"/>
    </row>
    <row r="1410" s="559" customFormat="1" ht="31" customHeight="1" spans="1:99 16239:16384">
      <c r="A1410" s="1008">
        <v>46174</v>
      </c>
      <c r="B1410" s="628" t="s">
        <v>1409</v>
      </c>
      <c r="C1410" s="618" t="s">
        <v>524</v>
      </c>
      <c r="D1410" s="687" t="s">
        <v>5519</v>
      </c>
      <c r="E1410" s="618"/>
      <c r="F1410" s="687" t="s">
        <v>5520</v>
      </c>
      <c r="G1410" s="618" t="s">
        <v>68</v>
      </c>
      <c r="H1410" s="939" t="s">
        <v>69</v>
      </c>
      <c r="I1410" s="1069">
        <v>1200</v>
      </c>
      <c r="J1410" s="618">
        <v>0</v>
      </c>
      <c r="K1410" s="618">
        <v>12</v>
      </c>
      <c r="L1410" s="1011">
        <f t="shared" si="447"/>
        <v>100</v>
      </c>
      <c r="M1410" s="1012">
        <v>46251</v>
      </c>
      <c r="N1410" s="1012">
        <v>46247</v>
      </c>
      <c r="O1410" s="773"/>
      <c r="P1410" s="618"/>
      <c r="Q1410" s="774"/>
      <c r="R1410" s="999">
        <v>46220</v>
      </c>
      <c r="S1410" s="999" t="s">
        <v>70</v>
      </c>
      <c r="T1410" s="999" t="s">
        <v>5521</v>
      </c>
      <c r="U1410" s="999" t="s">
        <v>5509</v>
      </c>
      <c r="V1410" s="646"/>
      <c r="W1410" s="628"/>
      <c r="X1410" s="1075" t="s">
        <v>5522</v>
      </c>
      <c r="Y1410" s="1014" t="s">
        <v>340</v>
      </c>
      <c r="Z1410" s="1339">
        <v>4.3734</v>
      </c>
      <c r="AA1410" s="1014">
        <f t="shared" si="448"/>
        <v>5248.08</v>
      </c>
      <c r="AB1410" s="687"/>
      <c r="AC1410" s="1077"/>
      <c r="AD1410" s="939" t="s">
        <v>184</v>
      </c>
      <c r="AE1410" s="939" t="s">
        <v>82</v>
      </c>
      <c r="AF1410" s="618"/>
      <c r="AG1410" s="618"/>
      <c r="AH1410" s="618"/>
      <c r="AI1410" s="609">
        <v>1200</v>
      </c>
      <c r="AJ1410" s="939">
        <f t="shared" si="443"/>
        <v>0</v>
      </c>
      <c r="AK1410" s="618"/>
      <c r="AL1410" s="939" t="s">
        <v>2368</v>
      </c>
      <c r="AM1410" s="687"/>
      <c r="AN1410" s="687">
        <f t="shared" si="449"/>
        <v>1200</v>
      </c>
      <c r="AO1410" s="687"/>
      <c r="AP1410" s="687"/>
      <c r="AQ1410" s="687"/>
      <c r="AR1410" s="687"/>
      <c r="AS1410" s="563">
        <f t="shared" si="446"/>
        <v>1200</v>
      </c>
      <c r="AT1410" s="563"/>
      <c r="AU1410" s="563">
        <f t="shared" si="450"/>
        <v>1200</v>
      </c>
      <c r="AV1410" s="563"/>
      <c r="AW1410" s="563">
        <f t="shared" si="451"/>
        <v>1200</v>
      </c>
      <c r="AX1410" s="1016"/>
      <c r="AY1410" s="687"/>
      <c r="AZ1410" s="687"/>
      <c r="BA1410" s="687"/>
      <c r="BB1410" s="687"/>
      <c r="BC1410" s="687"/>
      <c r="BD1410" s="687"/>
      <c r="BE1410" s="687"/>
      <c r="BF1410" s="687"/>
      <c r="BG1410" s="687"/>
      <c r="BH1410" s="687"/>
      <c r="BI1410" s="687"/>
      <c r="BJ1410" s="687"/>
      <c r="BK1410" s="687"/>
      <c r="BL1410" s="687"/>
      <c r="BM1410" s="687"/>
      <c r="BN1410" s="687"/>
      <c r="BO1410" s="687"/>
      <c r="BP1410" s="687"/>
      <c r="BQ1410" s="687"/>
      <c r="BR1410" s="687"/>
      <c r="BS1410" s="687"/>
      <c r="BT1410" s="687"/>
      <c r="BU1410" s="687"/>
      <c r="BV1410" s="687"/>
      <c r="BW1410" s="687"/>
      <c r="BX1410" s="687"/>
      <c r="BY1410" s="687"/>
      <c r="BZ1410" s="687"/>
      <c r="CA1410" s="687"/>
      <c r="CB1410" s="687"/>
      <c r="CC1410" s="687"/>
      <c r="CD1410" s="687"/>
      <c r="CE1410" s="687"/>
      <c r="CF1410" s="687"/>
      <c r="CG1410" s="687"/>
      <c r="CH1410" s="1020"/>
      <c r="CI1410" s="1020"/>
      <c r="CJ1410" s="1020"/>
      <c r="CK1410" s="1020"/>
      <c r="CL1410" s="1020"/>
      <c r="CM1410" s="687"/>
      <c r="CN1410" s="687"/>
      <c r="CO1410" s="687"/>
      <c r="CP1410" s="1020"/>
      <c r="CQ1410" s="1020"/>
      <c r="CR1410" s="1020"/>
      <c r="CS1410" s="1020"/>
      <c r="CT1410" s="1020"/>
      <c r="CU1410" s="1020"/>
    </row>
    <row r="1411" s="1270" customFormat="1" ht="31" customHeight="1" spans="1:99 16239:16384">
      <c r="A1411" s="1022">
        <v>46199</v>
      </c>
      <c r="B1411" s="626" t="s">
        <v>2430</v>
      </c>
      <c r="C1411" s="939" t="s">
        <v>170</v>
      </c>
      <c r="D1411" s="563" t="s">
        <v>5523</v>
      </c>
      <c r="E1411" s="939" t="s">
        <v>5524</v>
      </c>
      <c r="F1411" s="563" t="s">
        <v>5525</v>
      </c>
      <c r="G1411" s="939" t="s">
        <v>68</v>
      </c>
      <c r="H1411" s="939" t="s">
        <v>69</v>
      </c>
      <c r="I1411" s="1023">
        <v>600</v>
      </c>
      <c r="J1411" s="939">
        <v>0</v>
      </c>
      <c r="K1411" s="939">
        <v>12</v>
      </c>
      <c r="L1411" s="1064">
        <f t="shared" si="447"/>
        <v>50</v>
      </c>
      <c r="M1411" s="1027">
        <v>46251</v>
      </c>
      <c r="N1411" s="1027">
        <v>46247</v>
      </c>
      <c r="O1411" s="1031"/>
      <c r="P1411" s="939"/>
      <c r="Q1411" s="999"/>
      <c r="R1411" s="999">
        <v>46199</v>
      </c>
      <c r="S1411" s="999" t="s">
        <v>70</v>
      </c>
      <c r="T1411" s="999" t="s">
        <v>5526</v>
      </c>
      <c r="U1411" s="999"/>
      <c r="V1411" s="999"/>
      <c r="W1411" s="626"/>
      <c r="X1411" s="626" t="s">
        <v>5527</v>
      </c>
      <c r="Y1411" s="1001" t="s">
        <v>1150</v>
      </c>
      <c r="Z1411" s="1076">
        <v>4.3274</v>
      </c>
      <c r="AA1411" s="1001">
        <f t="shared" si="448"/>
        <v>2596.44</v>
      </c>
      <c r="AB1411" s="563"/>
      <c r="AC1411" s="1077"/>
      <c r="AD1411" s="939" t="s">
        <v>184</v>
      </c>
      <c r="AE1411" s="939" t="s">
        <v>82</v>
      </c>
      <c r="AF1411" s="939"/>
      <c r="AG1411" s="939"/>
      <c r="AH1411" s="939"/>
      <c r="AI1411" s="609">
        <v>600</v>
      </c>
      <c r="AJ1411" s="1031">
        <f t="shared" si="443"/>
        <v>0</v>
      </c>
      <c r="AK1411" s="939"/>
      <c r="AL1411" s="939" t="s">
        <v>2368</v>
      </c>
      <c r="AM1411" s="563"/>
      <c r="AN1411" s="563">
        <f t="shared" si="449"/>
        <v>600</v>
      </c>
      <c r="AO1411" s="563"/>
      <c r="AP1411" s="563"/>
      <c r="AQ1411" s="563"/>
      <c r="AR1411" s="563"/>
      <c r="AS1411" s="563">
        <f t="shared" si="446"/>
        <v>600</v>
      </c>
      <c r="AT1411" s="563"/>
      <c r="AU1411" s="563">
        <f t="shared" si="450"/>
        <v>600</v>
      </c>
      <c r="AV1411" s="563"/>
      <c r="AW1411" s="563">
        <f t="shared" si="451"/>
        <v>600</v>
      </c>
      <c r="AX1411" s="1004"/>
      <c r="AY1411" s="563"/>
      <c r="AZ1411" s="563"/>
      <c r="BA1411" s="563"/>
      <c r="BB1411" s="563"/>
      <c r="BC1411" s="563"/>
      <c r="BD1411" s="563"/>
      <c r="BE1411" s="563"/>
      <c r="BF1411" s="563"/>
      <c r="BG1411" s="563"/>
      <c r="BH1411" s="563"/>
      <c r="BI1411" s="563"/>
      <c r="BJ1411" s="563"/>
      <c r="BK1411" s="563"/>
      <c r="BL1411" s="563"/>
      <c r="BM1411" s="563"/>
      <c r="BN1411" s="563"/>
      <c r="BO1411" s="563"/>
      <c r="BP1411" s="563"/>
      <c r="BQ1411" s="563"/>
      <c r="BR1411" s="563"/>
      <c r="BS1411" s="563"/>
      <c r="BT1411" s="563"/>
      <c r="BU1411" s="563"/>
      <c r="BV1411" s="563"/>
      <c r="BW1411" s="563"/>
      <c r="BX1411" s="563"/>
      <c r="BY1411" s="563"/>
      <c r="BZ1411" s="563"/>
      <c r="CA1411" s="563"/>
      <c r="CB1411" s="563"/>
      <c r="CC1411" s="563"/>
      <c r="CD1411" s="563"/>
      <c r="CE1411" s="563"/>
      <c r="CF1411" s="563"/>
      <c r="CG1411" s="563"/>
      <c r="CH1411" s="1015"/>
      <c r="CI1411" s="1015"/>
      <c r="CJ1411" s="1015"/>
      <c r="CK1411" s="1015"/>
      <c r="CL1411" s="1015"/>
      <c r="CM1411" s="563"/>
      <c r="CN1411" s="563"/>
      <c r="CO1411" s="563"/>
      <c r="CP1411" s="1015"/>
      <c r="CQ1411" s="1015"/>
      <c r="CR1411" s="1015"/>
      <c r="CS1411" s="1015"/>
      <c r="CT1411" s="1015"/>
      <c r="CU1411" s="1015"/>
    </row>
    <row r="1412" s="1270" customFormat="1" ht="31" customHeight="1" spans="1:99 16239:16384">
      <c r="A1412" s="1022">
        <v>46212</v>
      </c>
      <c r="B1412" s="626"/>
      <c r="C1412" s="939" t="s">
        <v>98</v>
      </c>
      <c r="D1412" s="563" t="s">
        <v>5528</v>
      </c>
      <c r="E1412" s="939" t="s">
        <v>5529</v>
      </c>
      <c r="F1412" s="563" t="s">
        <v>5530</v>
      </c>
      <c r="G1412" s="939" t="s">
        <v>101</v>
      </c>
      <c r="H1412" s="939" t="s">
        <v>102</v>
      </c>
      <c r="I1412" s="1378">
        <v>1472</v>
      </c>
      <c r="J1412" s="939">
        <v>0</v>
      </c>
      <c r="K1412" s="939">
        <v>4</v>
      </c>
      <c r="L1412" s="1064">
        <f t="shared" si="447"/>
        <v>368</v>
      </c>
      <c r="M1412" s="1027">
        <v>46251</v>
      </c>
      <c r="N1412" s="1027">
        <v>46247</v>
      </c>
      <c r="O1412" s="1031"/>
      <c r="P1412" s="939"/>
      <c r="Q1412" s="999"/>
      <c r="R1412" s="999" t="s">
        <v>3639</v>
      </c>
      <c r="S1412" s="999" t="s">
        <v>70</v>
      </c>
      <c r="T1412" s="999" t="s">
        <v>70</v>
      </c>
      <c r="U1412" s="999"/>
      <c r="V1412" s="999"/>
      <c r="W1412" s="626"/>
      <c r="X1412" s="626" t="s">
        <v>5531</v>
      </c>
      <c r="Y1412" s="1001" t="s">
        <v>5532</v>
      </c>
      <c r="Z1412" s="1076">
        <v>2.61996</v>
      </c>
      <c r="AA1412" s="1001">
        <f t="shared" si="448"/>
        <v>3856.58112</v>
      </c>
      <c r="AB1412" s="563"/>
      <c r="AC1412" s="1077"/>
      <c r="AD1412" s="939" t="s">
        <v>101</v>
      </c>
      <c r="AE1412" s="939" t="s">
        <v>82</v>
      </c>
      <c r="AF1412" s="939"/>
      <c r="AG1412" s="939"/>
      <c r="AH1412" s="939"/>
      <c r="AI1412" s="626">
        <v>1472</v>
      </c>
      <c r="AJ1412" s="1031">
        <f t="shared" si="443"/>
        <v>0</v>
      </c>
      <c r="AK1412" s="939"/>
      <c r="AL1412" s="939"/>
      <c r="AM1412" s="563"/>
      <c r="AN1412" s="563">
        <f t="shared" si="449"/>
        <v>1472</v>
      </c>
      <c r="AO1412" s="563"/>
      <c r="AP1412" s="563"/>
      <c r="AQ1412" s="563"/>
      <c r="AR1412" s="563">
        <f>I1412</f>
        <v>1472</v>
      </c>
      <c r="AS1412" s="563"/>
      <c r="AT1412" s="563"/>
      <c r="AU1412" s="563">
        <f t="shared" si="450"/>
        <v>1472</v>
      </c>
      <c r="AV1412" s="563"/>
      <c r="AW1412" s="563">
        <f t="shared" si="451"/>
        <v>1472</v>
      </c>
      <c r="AX1412" s="1004"/>
      <c r="AY1412" s="563"/>
      <c r="AZ1412" s="563"/>
      <c r="BA1412" s="563"/>
      <c r="BB1412" s="563"/>
      <c r="BC1412" s="563"/>
      <c r="BD1412" s="563"/>
      <c r="BE1412" s="563"/>
      <c r="BF1412" s="563"/>
      <c r="BG1412" s="563"/>
      <c r="BH1412" s="563">
        <f>I1412/4</f>
        <v>368</v>
      </c>
      <c r="BI1412" s="563"/>
      <c r="BJ1412" s="563"/>
      <c r="BK1412" s="563"/>
      <c r="BL1412" s="563"/>
      <c r="BM1412" s="563"/>
      <c r="BN1412" s="563"/>
      <c r="BO1412" s="563"/>
      <c r="BP1412" s="563"/>
      <c r="BQ1412" s="563"/>
      <c r="BR1412" s="563"/>
      <c r="BS1412" s="563"/>
      <c r="BT1412" s="563"/>
      <c r="BU1412" s="563"/>
      <c r="BV1412" s="563"/>
      <c r="BW1412" s="563"/>
      <c r="BX1412" s="563"/>
      <c r="BY1412" s="563"/>
      <c r="BZ1412" s="563"/>
      <c r="CA1412" s="563"/>
      <c r="CB1412" s="563"/>
      <c r="CC1412" s="563"/>
      <c r="CD1412" s="563"/>
      <c r="CE1412" s="563"/>
      <c r="CF1412" s="563"/>
      <c r="CG1412" s="563"/>
      <c r="CH1412" s="1015"/>
      <c r="CI1412" s="1015"/>
      <c r="CJ1412" s="1015"/>
      <c r="CK1412" s="1015"/>
      <c r="CL1412" s="1015"/>
      <c r="CM1412" s="563"/>
      <c r="CN1412" s="563"/>
      <c r="CO1412" s="563"/>
      <c r="CP1412" s="1015"/>
      <c r="CQ1412" s="1015"/>
      <c r="CR1412" s="1015"/>
      <c r="CS1412" s="1015"/>
      <c r="CT1412" s="1015"/>
      <c r="CU1412" s="1015"/>
    </row>
    <row r="1413" s="559" customFormat="1" ht="31" customHeight="1" spans="1:99 16239:16384">
      <c r="A1413" s="1022">
        <v>46240</v>
      </c>
      <c r="B1413" s="626"/>
      <c r="C1413" s="939" t="s">
        <v>98</v>
      </c>
      <c r="D1413" s="563" t="s">
        <v>5528</v>
      </c>
      <c r="E1413" s="939" t="s">
        <v>5533</v>
      </c>
      <c r="F1413" s="563" t="s">
        <v>5534</v>
      </c>
      <c r="G1413" s="939" t="s">
        <v>101</v>
      </c>
      <c r="H1413" s="939" t="s">
        <v>102</v>
      </c>
      <c r="I1413" s="1023">
        <v>128</v>
      </c>
      <c r="J1413" s="939">
        <v>0</v>
      </c>
      <c r="K1413" s="939">
        <v>4</v>
      </c>
      <c r="L1413" s="1064">
        <f t="shared" si="447"/>
        <v>32</v>
      </c>
      <c r="M1413" s="1027">
        <v>46251</v>
      </c>
      <c r="N1413" s="1027">
        <v>46247</v>
      </c>
      <c r="O1413" s="1031" t="s">
        <v>5535</v>
      </c>
      <c r="P1413" s="939"/>
      <c r="Q1413" s="999"/>
      <c r="R1413" s="999" t="s">
        <v>3639</v>
      </c>
      <c r="S1413" s="999" t="s">
        <v>70</v>
      </c>
      <c r="T1413" s="999" t="s">
        <v>70</v>
      </c>
      <c r="U1413" s="646"/>
      <c r="V1413" s="999"/>
      <c r="W1413" s="626"/>
      <c r="X1413" s="626" t="s">
        <v>5536</v>
      </c>
      <c r="Y1413" s="1001" t="s">
        <v>5532</v>
      </c>
      <c r="Z1413" s="1076">
        <v>2.61996</v>
      </c>
      <c r="AA1413" s="1001">
        <f t="shared" si="448"/>
        <v>335.35488</v>
      </c>
      <c r="AB1413" s="563"/>
      <c r="AC1413" s="1077"/>
      <c r="AD1413" s="939" t="s">
        <v>101</v>
      </c>
      <c r="AE1413" s="939" t="s">
        <v>82</v>
      </c>
      <c r="AF1413" s="939"/>
      <c r="AG1413" s="939"/>
      <c r="AH1413" s="939"/>
      <c r="AI1413" s="609">
        <f>124+4</f>
        <v>128</v>
      </c>
      <c r="AJ1413" s="1031">
        <f t="shared" si="443"/>
        <v>0</v>
      </c>
      <c r="AK1413" s="939"/>
      <c r="AL1413" s="939"/>
      <c r="AM1413" s="563"/>
      <c r="AN1413" s="563">
        <f t="shared" si="449"/>
        <v>128</v>
      </c>
      <c r="AO1413" s="563"/>
      <c r="AP1413" s="563"/>
      <c r="AQ1413" s="563"/>
      <c r="AR1413" s="563">
        <f>I1413</f>
        <v>128</v>
      </c>
      <c r="AS1413" s="687"/>
      <c r="AT1413" s="687"/>
      <c r="AU1413" s="563">
        <f t="shared" si="450"/>
        <v>128</v>
      </c>
      <c r="AV1413" s="687"/>
      <c r="AW1413" s="563">
        <f t="shared" si="451"/>
        <v>128</v>
      </c>
      <c r="AX1413" s="1004"/>
      <c r="AY1413" s="563"/>
      <c r="AZ1413" s="563"/>
      <c r="BA1413" s="563"/>
      <c r="BB1413" s="563"/>
      <c r="BC1413" s="563"/>
      <c r="BD1413" s="563"/>
      <c r="BE1413" s="563"/>
      <c r="BF1413" s="563"/>
      <c r="BG1413" s="563"/>
      <c r="BH1413" s="563">
        <f>I1413/4</f>
        <v>32</v>
      </c>
      <c r="BI1413" s="563"/>
      <c r="BJ1413" s="563"/>
      <c r="BK1413" s="563"/>
      <c r="BL1413" s="563"/>
      <c r="BM1413" s="563"/>
      <c r="BN1413" s="563"/>
      <c r="BO1413" s="563"/>
      <c r="BP1413" s="563"/>
      <c r="BQ1413" s="563"/>
      <c r="BR1413" s="563"/>
      <c r="BS1413" s="563"/>
      <c r="BT1413" s="563"/>
      <c r="BU1413" s="563"/>
      <c r="BV1413" s="563"/>
      <c r="BW1413" s="563"/>
      <c r="BX1413" s="563"/>
      <c r="BY1413" s="563"/>
      <c r="BZ1413" s="563"/>
      <c r="CA1413" s="563"/>
      <c r="CB1413" s="563"/>
      <c r="CC1413" s="563"/>
      <c r="CD1413" s="563"/>
      <c r="CE1413" s="563"/>
      <c r="CF1413" s="563"/>
      <c r="CG1413" s="563"/>
      <c r="CH1413" s="1015"/>
      <c r="CI1413" s="1015"/>
      <c r="CJ1413" s="1015"/>
      <c r="CK1413" s="1015"/>
      <c r="CL1413" s="1015"/>
      <c r="CM1413" s="563"/>
      <c r="CN1413" s="563"/>
      <c r="CO1413" s="563"/>
      <c r="CP1413" s="1015"/>
      <c r="CQ1413" s="1015"/>
      <c r="CR1413" s="1015"/>
      <c r="CS1413" s="1015"/>
      <c r="CT1413" s="1015"/>
      <c r="CU1413" s="1015"/>
      <c r="WZO1413" s="1276"/>
      <c r="WZP1413" s="1276"/>
      <c r="WZQ1413" s="1276"/>
      <c r="WZR1413" s="1276"/>
      <c r="WZS1413" s="1276"/>
      <c r="WZT1413" s="1276"/>
      <c r="WZU1413" s="1276"/>
      <c r="WZV1413" s="1276"/>
      <c r="WZW1413" s="1276"/>
      <c r="WZX1413" s="1276"/>
      <c r="WZY1413" s="1276"/>
      <c r="WZZ1413" s="1276"/>
      <c r="XAA1413" s="1276"/>
      <c r="XAB1413" s="1276"/>
      <c r="XAC1413" s="1276"/>
      <c r="XAD1413" s="1276"/>
      <c r="XAE1413" s="1276"/>
      <c r="XAF1413" s="1276"/>
      <c r="XAG1413" s="1276"/>
      <c r="XAH1413" s="1276"/>
      <c r="XAI1413" s="1276"/>
      <c r="XAJ1413" s="1276"/>
      <c r="XAK1413" s="1276"/>
      <c r="XAL1413" s="1276"/>
      <c r="XAM1413" s="1276"/>
      <c r="XAN1413" s="1276"/>
      <c r="XAO1413" s="1276"/>
      <c r="XAP1413" s="1276"/>
      <c r="XAQ1413" s="1276"/>
      <c r="XAR1413" s="1276"/>
      <c r="XAS1413" s="1276"/>
      <c r="XAT1413" s="1276"/>
      <c r="XAU1413" s="1276"/>
      <c r="XAV1413" s="1276"/>
      <c r="XAW1413" s="1276"/>
      <c r="XAX1413" s="1276"/>
      <c r="XAY1413" s="1276"/>
      <c r="XAZ1413" s="1276"/>
      <c r="XBA1413" s="1276"/>
      <c r="XBB1413" s="1276"/>
      <c r="XBC1413" s="1276"/>
      <c r="XBD1413" s="1276"/>
      <c r="XBE1413" s="1276"/>
      <c r="XBF1413" s="1276"/>
      <c r="XBG1413" s="1276"/>
      <c r="XBH1413" s="1276"/>
      <c r="XBI1413" s="1276"/>
      <c r="XBJ1413" s="1276"/>
      <c r="XBK1413" s="1276"/>
      <c r="XBL1413" s="1276"/>
      <c r="XBM1413" s="1276"/>
      <c r="XBN1413" s="1276"/>
      <c r="XBO1413" s="1276"/>
      <c r="XBP1413" s="1276"/>
      <c r="XBQ1413" s="1276"/>
      <c r="XBR1413" s="1276"/>
      <c r="XBS1413" s="1276"/>
      <c r="XBT1413" s="1276"/>
      <c r="XBU1413" s="1276"/>
      <c r="XBV1413" s="1276"/>
      <c r="XBW1413" s="1276"/>
      <c r="XBX1413" s="1276"/>
      <c r="XBY1413" s="1276"/>
      <c r="XBZ1413" s="1276"/>
      <c r="XCA1413" s="1276"/>
      <c r="XCB1413" s="1276"/>
      <c r="XCC1413" s="1276"/>
      <c r="XCD1413" s="1276"/>
      <c r="XCE1413" s="1276"/>
      <c r="XCF1413" s="1276"/>
      <c r="XCG1413" s="1276"/>
      <c r="XCH1413" s="1276"/>
      <c r="XCI1413" s="1276"/>
      <c r="XCJ1413" s="1276"/>
      <c r="XCK1413" s="1276"/>
      <c r="XCL1413" s="1276"/>
      <c r="XCM1413" s="1276"/>
      <c r="XCN1413" s="1276"/>
      <c r="XCO1413" s="1276"/>
      <c r="XCP1413" s="1276"/>
      <c r="XCQ1413" s="1276"/>
      <c r="XCR1413" s="1276"/>
      <c r="XCS1413" s="1276"/>
      <c r="XCT1413" s="1276"/>
      <c r="XCU1413" s="1276"/>
      <c r="XCV1413" s="1276"/>
      <c r="XCW1413" s="1276"/>
      <c r="XCX1413" s="1276"/>
      <c r="XCY1413" s="1276"/>
      <c r="XCZ1413" s="1276"/>
      <c r="XDA1413" s="1276"/>
      <c r="XDB1413" s="1276"/>
      <c r="XDC1413" s="1276"/>
      <c r="XDD1413" s="1276"/>
      <c r="XDE1413" s="1276"/>
      <c r="XDF1413" s="1276"/>
      <c r="XDG1413" s="1276"/>
      <c r="XDH1413" s="1276"/>
      <c r="XDI1413" s="1276"/>
      <c r="XDJ1413" s="1276"/>
      <c r="XDK1413" s="1276"/>
      <c r="XDL1413" s="1276"/>
      <c r="XDM1413" s="1276"/>
      <c r="XDN1413" s="1276"/>
      <c r="XDO1413" s="1276"/>
      <c r="XDP1413" s="1276"/>
      <c r="XDQ1413" s="1276"/>
      <c r="XDR1413" s="1276"/>
      <c r="XDS1413" s="1276"/>
      <c r="XDT1413" s="1276"/>
      <c r="XDU1413" s="1276"/>
      <c r="XDV1413" s="1276"/>
      <c r="XDW1413" s="1276"/>
      <c r="XDX1413" s="1276"/>
      <c r="XDY1413" s="1276"/>
      <c r="XDZ1413" s="1276"/>
      <c r="XEA1413" s="1276"/>
      <c r="XEB1413" s="1276"/>
      <c r="XEC1413" s="1276"/>
      <c r="XED1413" s="1276"/>
      <c r="XEE1413" s="1276"/>
      <c r="XEF1413" s="1276"/>
      <c r="XEG1413" s="1276"/>
      <c r="XEH1413" s="1276"/>
      <c r="XEI1413" s="1276"/>
      <c r="XEJ1413" s="1276"/>
      <c r="XEK1413" s="1276"/>
      <c r="XEL1413" s="1276"/>
      <c r="XEM1413" s="1276"/>
      <c r="XEN1413" s="1276"/>
      <c r="XEO1413" s="1276"/>
      <c r="XEP1413" s="1276"/>
      <c r="XEQ1413" s="1276"/>
      <c r="XER1413" s="1276"/>
      <c r="XES1413" s="1276"/>
      <c r="XET1413" s="1276"/>
      <c r="XEU1413" s="1276"/>
      <c r="XEV1413" s="1276"/>
      <c r="XEW1413" s="1276"/>
      <c r="XEX1413" s="1276"/>
      <c r="XEY1413" s="1276"/>
      <c r="XEZ1413" s="1276"/>
      <c r="XFA1413" s="1276"/>
      <c r="XFB1413" s="1276"/>
      <c r="XFC1413" s="1276"/>
      <c r="XFD1413" s="1276"/>
    </row>
    <row r="1414" s="1270" customFormat="1" ht="31" customHeight="1" spans="1:99 16239:16384">
      <c r="A1414" s="1022">
        <v>46213</v>
      </c>
      <c r="B1414" s="626" t="s">
        <v>5537</v>
      </c>
      <c r="C1414" s="939" t="s">
        <v>170</v>
      </c>
      <c r="D1414" s="563">
        <v>4500215240</v>
      </c>
      <c r="E1414" s="1423" t="s">
        <v>5538</v>
      </c>
      <c r="F1414" s="563" t="s">
        <v>5539</v>
      </c>
      <c r="G1414" s="939" t="s">
        <v>101</v>
      </c>
      <c r="H1414" s="939" t="s">
        <v>102</v>
      </c>
      <c r="I1414" s="1023">
        <v>608</v>
      </c>
      <c r="J1414" s="939">
        <v>0</v>
      </c>
      <c r="K1414" s="939">
        <v>4</v>
      </c>
      <c r="L1414" s="1064">
        <f t="shared" si="447"/>
        <v>152</v>
      </c>
      <c r="M1414" s="1027">
        <v>46251</v>
      </c>
      <c r="N1414" s="1027">
        <v>46247</v>
      </c>
      <c r="O1414" s="1031"/>
      <c r="P1414" s="939"/>
      <c r="Q1414" s="999" t="s">
        <v>5540</v>
      </c>
      <c r="R1414" s="999">
        <v>46216</v>
      </c>
      <c r="S1414" s="999" t="s">
        <v>70</v>
      </c>
      <c r="T1414" s="999" t="s">
        <v>5541</v>
      </c>
      <c r="U1414" s="999"/>
      <c r="V1414" s="999"/>
      <c r="W1414" s="626"/>
      <c r="X1414" s="626" t="s">
        <v>5542</v>
      </c>
      <c r="Y1414" s="1001" t="s">
        <v>5543</v>
      </c>
      <c r="Z1414" s="1076">
        <v>4.4657</v>
      </c>
      <c r="AA1414" s="1001">
        <f t="shared" si="448"/>
        <v>2715.1456</v>
      </c>
      <c r="AB1414" s="563"/>
      <c r="AC1414" s="1077"/>
      <c r="AD1414" s="939" t="s">
        <v>156</v>
      </c>
      <c r="AE1414" s="939" t="s">
        <v>82</v>
      </c>
      <c r="AF1414" s="939"/>
      <c r="AG1414" s="939"/>
      <c r="AH1414" s="939"/>
      <c r="AI1414" s="626">
        <v>608</v>
      </c>
      <c r="AJ1414" s="1031">
        <f t="shared" si="443"/>
        <v>0</v>
      </c>
      <c r="AK1414" s="939"/>
      <c r="AL1414" s="939" t="s">
        <v>2368</v>
      </c>
      <c r="AM1414" s="563"/>
      <c r="AN1414" s="563">
        <f t="shared" si="449"/>
        <v>608</v>
      </c>
      <c r="AO1414" s="563"/>
      <c r="AP1414" s="563"/>
      <c r="AQ1414" s="563"/>
      <c r="AR1414" s="563"/>
      <c r="AS1414" s="563">
        <f>I1414</f>
        <v>608</v>
      </c>
      <c r="AT1414" s="563"/>
      <c r="AU1414" s="563">
        <f t="shared" si="450"/>
        <v>608</v>
      </c>
      <c r="AV1414" s="563"/>
      <c r="AW1414" s="563">
        <f t="shared" si="451"/>
        <v>608</v>
      </c>
      <c r="AX1414" s="1004"/>
      <c r="AY1414" s="563"/>
      <c r="AZ1414" s="563"/>
      <c r="BA1414" s="563"/>
      <c r="BB1414" s="563"/>
      <c r="BC1414" s="563"/>
      <c r="BD1414" s="563"/>
      <c r="BE1414" s="563"/>
      <c r="BF1414" s="563"/>
      <c r="BG1414" s="563"/>
      <c r="BH1414" s="563"/>
      <c r="BI1414" s="563">
        <f>I1414/4</f>
        <v>152</v>
      </c>
      <c r="BJ1414" s="563"/>
      <c r="BK1414" s="563"/>
      <c r="BL1414" s="563"/>
      <c r="BM1414" s="563"/>
      <c r="BN1414" s="563"/>
      <c r="BO1414" s="563"/>
      <c r="BP1414" s="563"/>
      <c r="BQ1414" s="563"/>
      <c r="BR1414" s="563"/>
      <c r="BS1414" s="563"/>
      <c r="BT1414" s="563"/>
      <c r="BU1414" s="563"/>
      <c r="BV1414" s="563"/>
      <c r="BW1414" s="563"/>
      <c r="BX1414" s="563"/>
      <c r="BY1414" s="563"/>
      <c r="BZ1414" s="563"/>
      <c r="CA1414" s="563"/>
      <c r="CB1414" s="563"/>
      <c r="CC1414" s="563"/>
      <c r="CD1414" s="563"/>
      <c r="CE1414" s="563"/>
      <c r="CF1414" s="563"/>
      <c r="CG1414" s="563"/>
      <c r="CH1414" s="1015"/>
      <c r="CI1414" s="1015"/>
      <c r="CJ1414" s="1015"/>
      <c r="CK1414" s="1015"/>
      <c r="CL1414" s="1015"/>
      <c r="CM1414" s="563"/>
      <c r="CN1414" s="563"/>
      <c r="CO1414" s="563"/>
      <c r="CP1414" s="1015"/>
      <c r="CQ1414" s="1015"/>
      <c r="CR1414" s="1015"/>
      <c r="CS1414" s="1015"/>
      <c r="CT1414" s="1015"/>
      <c r="CU1414" s="1015"/>
    </row>
    <row r="1415" s="1270" customFormat="1" ht="31" customHeight="1" spans="1:99 16239:16384">
      <c r="A1415" s="1022">
        <v>46210</v>
      </c>
      <c r="B1415" s="626" t="s">
        <v>5544</v>
      </c>
      <c r="C1415" s="939" t="s">
        <v>590</v>
      </c>
      <c r="D1415" s="563">
        <v>4500215347</v>
      </c>
      <c r="E1415" s="939"/>
      <c r="F1415" s="563" t="s">
        <v>5545</v>
      </c>
      <c r="G1415" s="939" t="s">
        <v>68</v>
      </c>
      <c r="H1415" s="939" t="s">
        <v>69</v>
      </c>
      <c r="I1415" s="1023">
        <v>1008</v>
      </c>
      <c r="J1415" s="939">
        <v>0</v>
      </c>
      <c r="K1415" s="939">
        <v>12</v>
      </c>
      <c r="L1415" s="1064">
        <f t="shared" si="447"/>
        <v>84</v>
      </c>
      <c r="M1415" s="1027">
        <v>46252</v>
      </c>
      <c r="N1415" s="1027">
        <v>46248</v>
      </c>
      <c r="O1415" s="1031"/>
      <c r="P1415" s="939"/>
      <c r="Q1415" s="999"/>
      <c r="R1415" s="999">
        <v>46210</v>
      </c>
      <c r="S1415" s="999" t="s">
        <v>70</v>
      </c>
      <c r="T1415" s="999" t="s">
        <v>5546</v>
      </c>
      <c r="U1415" s="999"/>
      <c r="V1415" s="999"/>
      <c r="W1415" s="626"/>
      <c r="X1415" s="1075" t="s">
        <v>5547</v>
      </c>
      <c r="Y1415" s="1001" t="s">
        <v>5548</v>
      </c>
      <c r="Z1415" s="1076">
        <v>4.4095</v>
      </c>
      <c r="AA1415" s="1001">
        <f t="shared" si="448"/>
        <v>4444.776</v>
      </c>
      <c r="AB1415" s="563"/>
      <c r="AC1415" s="1077"/>
      <c r="AD1415" s="939" t="s">
        <v>68</v>
      </c>
      <c r="AE1415" s="939" t="s">
        <v>82</v>
      </c>
      <c r="AF1415" s="939"/>
      <c r="AG1415" s="939"/>
      <c r="AH1415" s="939"/>
      <c r="AI1415" s="626"/>
      <c r="AJ1415" s="939">
        <f t="shared" si="443"/>
        <v>-1008</v>
      </c>
      <c r="AK1415" s="939"/>
      <c r="AL1415" s="939" t="s">
        <v>2368</v>
      </c>
      <c r="AM1415" s="563"/>
      <c r="AN1415" s="563">
        <f t="shared" si="449"/>
        <v>1008</v>
      </c>
      <c r="AO1415" s="563"/>
      <c r="AP1415" s="563"/>
      <c r="AQ1415" s="563"/>
      <c r="AR1415" s="563">
        <f>I1415</f>
        <v>1008</v>
      </c>
      <c r="AS1415" s="563"/>
      <c r="AT1415" s="563"/>
      <c r="AU1415" s="563">
        <f t="shared" si="450"/>
        <v>1008</v>
      </c>
      <c r="AV1415" s="563"/>
      <c r="AW1415" s="563">
        <f t="shared" si="451"/>
        <v>1008</v>
      </c>
      <c r="AX1415" s="1004"/>
      <c r="AY1415" s="563"/>
      <c r="AZ1415" s="563"/>
      <c r="BA1415" s="563"/>
      <c r="BB1415" s="563"/>
      <c r="BC1415" s="563"/>
      <c r="BD1415" s="563"/>
      <c r="BE1415" s="563"/>
      <c r="BF1415" s="563"/>
      <c r="BG1415" s="563"/>
      <c r="BH1415" s="563"/>
      <c r="BI1415" s="563"/>
      <c r="BJ1415" s="563"/>
      <c r="BK1415" s="563"/>
      <c r="BL1415" s="563"/>
      <c r="BM1415" s="563"/>
      <c r="BN1415" s="563"/>
      <c r="BO1415" s="563"/>
      <c r="BP1415" s="563"/>
      <c r="BQ1415" s="563"/>
      <c r="BR1415" s="563"/>
      <c r="BS1415" s="563"/>
      <c r="BT1415" s="563"/>
      <c r="BU1415" s="563"/>
      <c r="BV1415" s="563"/>
      <c r="BW1415" s="563"/>
      <c r="BX1415" s="563"/>
      <c r="BY1415" s="563"/>
      <c r="BZ1415" s="563"/>
      <c r="CA1415" s="563"/>
      <c r="CB1415" s="563"/>
      <c r="CC1415" s="563"/>
      <c r="CD1415" s="563"/>
      <c r="CE1415" s="563"/>
      <c r="CF1415" s="563"/>
      <c r="CG1415" s="563"/>
      <c r="CH1415" s="1015"/>
      <c r="CI1415" s="1015"/>
      <c r="CJ1415" s="1015"/>
      <c r="CK1415" s="1015"/>
      <c r="CL1415" s="1015"/>
      <c r="CM1415" s="563"/>
      <c r="CN1415" s="563"/>
      <c r="CO1415" s="563"/>
      <c r="CP1415" s="1015"/>
      <c r="CQ1415" s="1015"/>
      <c r="CR1415" s="1015"/>
      <c r="CS1415" s="1015"/>
      <c r="CT1415" s="1015"/>
      <c r="CU1415" s="1015"/>
    </row>
    <row r="1416" s="1270" customFormat="1" ht="31" customHeight="1" spans="1:99 16239:16384">
      <c r="A1416" s="1022">
        <v>46209</v>
      </c>
      <c r="B1416" s="626" t="s">
        <v>5549</v>
      </c>
      <c r="C1416" s="939" t="s">
        <v>399</v>
      </c>
      <c r="D1416" s="563">
        <v>4500214935</v>
      </c>
      <c r="E1416" s="939">
        <v>93038601</v>
      </c>
      <c r="F1416" s="563" t="s">
        <v>5550</v>
      </c>
      <c r="G1416" s="939" t="s">
        <v>518</v>
      </c>
      <c r="H1416" s="939" t="s">
        <v>477</v>
      </c>
      <c r="I1416" s="1023">
        <v>2250</v>
      </c>
      <c r="J1416" s="939">
        <v>0</v>
      </c>
      <c r="K1416" s="939">
        <v>6</v>
      </c>
      <c r="L1416" s="1064">
        <f t="shared" si="447"/>
        <v>375</v>
      </c>
      <c r="M1416" s="1027">
        <v>46252</v>
      </c>
      <c r="N1416" s="1058">
        <v>46252</v>
      </c>
      <c r="O1416" s="1031" t="s">
        <v>5342</v>
      </c>
      <c r="P1416" s="939"/>
      <c r="Q1416" s="999"/>
      <c r="R1416" s="999">
        <v>46223</v>
      </c>
      <c r="S1416" s="999" t="s">
        <v>70</v>
      </c>
      <c r="T1416" s="999" t="s">
        <v>5551</v>
      </c>
      <c r="U1416" s="999" t="s">
        <v>5552</v>
      </c>
      <c r="V1416" s="999" t="s">
        <v>5553</v>
      </c>
      <c r="W1416" s="626" t="s">
        <v>5554</v>
      </c>
      <c r="X1416" s="1379" t="s">
        <v>5555</v>
      </c>
      <c r="Y1416" s="1380" t="s">
        <v>5498</v>
      </c>
      <c r="Z1416" s="1076">
        <v>6.9975</v>
      </c>
      <c r="AA1416" s="1001">
        <f t="shared" si="448"/>
        <v>15744.375</v>
      </c>
      <c r="AB1416" s="563"/>
      <c r="AC1416" s="1077"/>
      <c r="AD1416" s="939" t="s">
        <v>480</v>
      </c>
      <c r="AE1416" s="992" t="s">
        <v>82</v>
      </c>
      <c r="AF1416" s="939"/>
      <c r="AG1416" s="939"/>
      <c r="AH1416" s="939"/>
      <c r="AI1416" s="626"/>
      <c r="AJ1416" s="939">
        <f t="shared" si="443"/>
        <v>-2250</v>
      </c>
      <c r="AK1416" s="939"/>
      <c r="AL1416" s="939"/>
      <c r="AM1416" s="563"/>
      <c r="AN1416" s="563">
        <f t="shared" si="449"/>
        <v>2250</v>
      </c>
      <c r="AO1416" s="563"/>
      <c r="AP1416" s="563"/>
      <c r="AQ1416" s="563"/>
      <c r="AR1416" s="563"/>
      <c r="AS1416" s="563">
        <f>I1416*2</f>
        <v>4500</v>
      </c>
      <c r="AT1416" s="563"/>
      <c r="AU1416" s="563">
        <f t="shared" si="450"/>
        <v>2250</v>
      </c>
      <c r="AV1416" s="563"/>
      <c r="AW1416" s="563">
        <f t="shared" si="451"/>
        <v>2250</v>
      </c>
      <c r="AX1416" s="1004"/>
      <c r="AY1416" s="563"/>
      <c r="AZ1416" s="563"/>
      <c r="BA1416" s="563"/>
      <c r="BB1416" s="563"/>
      <c r="BC1416" s="563"/>
      <c r="BD1416" s="563"/>
      <c r="BE1416" s="563"/>
      <c r="BF1416" s="563"/>
      <c r="BG1416" s="563"/>
      <c r="BH1416" s="563"/>
      <c r="BI1416" s="563"/>
      <c r="BJ1416" s="563"/>
      <c r="BK1416" s="563"/>
      <c r="BL1416" s="563"/>
      <c r="BM1416" s="563"/>
      <c r="BN1416" s="563">
        <f>I1416</f>
        <v>2250</v>
      </c>
      <c r="BO1416" s="563"/>
      <c r="BP1416" s="563"/>
      <c r="BQ1416" s="563"/>
      <c r="BR1416" s="563"/>
      <c r="BS1416" s="563"/>
      <c r="BT1416" s="563"/>
      <c r="BU1416" s="563"/>
      <c r="BV1416" s="563"/>
      <c r="BW1416" s="563"/>
      <c r="BX1416" s="563"/>
      <c r="BY1416" s="563"/>
      <c r="BZ1416" s="563"/>
      <c r="CA1416" s="563"/>
      <c r="CB1416" s="563"/>
      <c r="CC1416" s="563"/>
      <c r="CD1416" s="563"/>
      <c r="CE1416" s="563"/>
      <c r="CF1416" s="563"/>
      <c r="CG1416" s="563"/>
      <c r="CH1416" s="1015"/>
      <c r="CI1416" s="1015"/>
      <c r="CJ1416" s="1015"/>
      <c r="CK1416" s="1015"/>
      <c r="CL1416" s="1015"/>
      <c r="CM1416" s="563"/>
      <c r="CN1416" s="563"/>
      <c r="CO1416" s="563"/>
      <c r="CP1416" s="1015"/>
      <c r="CQ1416" s="1015"/>
      <c r="CR1416" s="1015"/>
      <c r="CS1416" s="1015"/>
      <c r="CT1416" s="1015"/>
      <c r="CU1416" s="1015"/>
    </row>
    <row r="1417" s="1270" customFormat="1" ht="31" customHeight="1" spans="1:99 16239:16384">
      <c r="A1417" s="1022">
        <v>46209</v>
      </c>
      <c r="B1417" s="626" t="s">
        <v>5549</v>
      </c>
      <c r="C1417" s="939" t="s">
        <v>399</v>
      </c>
      <c r="D1417" s="563">
        <v>4500214935</v>
      </c>
      <c r="E1417" s="939">
        <v>93038602</v>
      </c>
      <c r="F1417" s="563" t="s">
        <v>5556</v>
      </c>
      <c r="G1417" s="939" t="s">
        <v>518</v>
      </c>
      <c r="H1417" s="939" t="s">
        <v>477</v>
      </c>
      <c r="I1417" s="1023">
        <v>750</v>
      </c>
      <c r="J1417" s="939">
        <v>0</v>
      </c>
      <c r="K1417" s="939">
        <v>6</v>
      </c>
      <c r="L1417" s="1064">
        <f t="shared" si="447"/>
        <v>125</v>
      </c>
      <c r="M1417" s="1027">
        <v>46252</v>
      </c>
      <c r="N1417" s="1058">
        <v>46252</v>
      </c>
      <c r="O1417" s="1031" t="s">
        <v>5342</v>
      </c>
      <c r="P1417" s="939"/>
      <c r="Q1417" s="999"/>
      <c r="R1417" s="999">
        <v>46223</v>
      </c>
      <c r="S1417" s="999" t="s">
        <v>70</v>
      </c>
      <c r="T1417" s="999" t="s">
        <v>5551</v>
      </c>
      <c r="U1417" s="999" t="s">
        <v>5552</v>
      </c>
      <c r="V1417" s="999" t="s">
        <v>5553</v>
      </c>
      <c r="W1417" s="626" t="s">
        <v>5554</v>
      </c>
      <c r="X1417" s="626" t="s">
        <v>5555</v>
      </c>
      <c r="Y1417" s="1001" t="s">
        <v>5498</v>
      </c>
      <c r="Z1417" s="1076">
        <v>6.9975</v>
      </c>
      <c r="AA1417" s="1001">
        <f t="shared" si="448"/>
        <v>5248.125</v>
      </c>
      <c r="AB1417" s="563"/>
      <c r="AC1417" s="1077"/>
      <c r="AD1417" s="939" t="s">
        <v>480</v>
      </c>
      <c r="AE1417" s="992" t="s">
        <v>82</v>
      </c>
      <c r="AF1417" s="939"/>
      <c r="AG1417" s="939"/>
      <c r="AH1417" s="939"/>
      <c r="AI1417" s="626"/>
      <c r="AJ1417" s="939">
        <f t="shared" si="443"/>
        <v>-750</v>
      </c>
      <c r="AK1417" s="939"/>
      <c r="AL1417" s="939"/>
      <c r="AM1417" s="563"/>
      <c r="AN1417" s="563">
        <f t="shared" si="449"/>
        <v>750</v>
      </c>
      <c r="AO1417" s="563"/>
      <c r="AP1417" s="563"/>
      <c r="AQ1417" s="563"/>
      <c r="AR1417" s="563"/>
      <c r="AS1417" s="563">
        <f>I1417*2</f>
        <v>1500</v>
      </c>
      <c r="AT1417" s="563"/>
      <c r="AU1417" s="563">
        <f t="shared" si="450"/>
        <v>750</v>
      </c>
      <c r="AV1417" s="563"/>
      <c r="AW1417" s="563">
        <f t="shared" si="451"/>
        <v>750</v>
      </c>
      <c r="AX1417" s="1004"/>
      <c r="AY1417" s="563"/>
      <c r="AZ1417" s="563"/>
      <c r="BA1417" s="563"/>
      <c r="BB1417" s="563"/>
      <c r="BC1417" s="563"/>
      <c r="BD1417" s="563"/>
      <c r="BE1417" s="563"/>
      <c r="BF1417" s="563"/>
      <c r="BG1417" s="563"/>
      <c r="BH1417" s="563"/>
      <c r="BI1417" s="563"/>
      <c r="BJ1417" s="563"/>
      <c r="BK1417" s="563"/>
      <c r="BL1417" s="563"/>
      <c r="BM1417" s="563"/>
      <c r="BN1417" s="563">
        <f>I1417</f>
        <v>750</v>
      </c>
      <c r="BO1417" s="563"/>
      <c r="BP1417" s="563"/>
      <c r="BQ1417" s="563"/>
      <c r="BR1417" s="563"/>
      <c r="BS1417" s="563"/>
      <c r="BT1417" s="563"/>
      <c r="BU1417" s="563"/>
      <c r="BV1417" s="563"/>
      <c r="BW1417" s="563"/>
      <c r="BX1417" s="563"/>
      <c r="BY1417" s="563"/>
      <c r="BZ1417" s="563"/>
      <c r="CA1417" s="563"/>
      <c r="CB1417" s="563"/>
      <c r="CC1417" s="563"/>
      <c r="CD1417" s="563"/>
      <c r="CE1417" s="563"/>
      <c r="CF1417" s="563"/>
      <c r="CG1417" s="563"/>
      <c r="CH1417" s="1015"/>
      <c r="CI1417" s="1015"/>
      <c r="CJ1417" s="1015"/>
      <c r="CK1417" s="1015"/>
      <c r="CL1417" s="1015"/>
      <c r="CM1417" s="563"/>
      <c r="CN1417" s="563"/>
      <c r="CO1417" s="563"/>
      <c r="CP1417" s="1015"/>
      <c r="CQ1417" s="1015"/>
      <c r="CR1417" s="1015"/>
      <c r="CS1417" s="1015"/>
      <c r="CT1417" s="1015"/>
      <c r="CU1417" s="1015"/>
    </row>
    <row r="1418" s="1270" customFormat="1" ht="31" customHeight="1" spans="1:99 16239:16384">
      <c r="A1418" s="1022">
        <v>46211</v>
      </c>
      <c r="B1418" s="626" t="s">
        <v>5537</v>
      </c>
      <c r="C1418" s="939" t="s">
        <v>170</v>
      </c>
      <c r="D1418" s="563">
        <v>4500215426</v>
      </c>
      <c r="E1418" s="1423" t="s">
        <v>5557</v>
      </c>
      <c r="F1418" s="563" t="s">
        <v>5558</v>
      </c>
      <c r="G1418" s="939" t="s">
        <v>101</v>
      </c>
      <c r="H1418" s="939" t="s">
        <v>102</v>
      </c>
      <c r="I1418" s="1023">
        <v>4040</v>
      </c>
      <c r="J1418" s="939">
        <v>0</v>
      </c>
      <c r="K1418" s="939">
        <v>4</v>
      </c>
      <c r="L1418" s="1064">
        <f t="shared" si="447"/>
        <v>1010</v>
      </c>
      <c r="M1418" s="1027">
        <v>46252</v>
      </c>
      <c r="N1418" s="1027">
        <v>46248</v>
      </c>
      <c r="O1418" s="1031"/>
      <c r="P1418" s="939"/>
      <c r="Q1418" s="999" t="s">
        <v>5540</v>
      </c>
      <c r="R1418" s="999">
        <v>46211</v>
      </c>
      <c r="S1418" s="999" t="s">
        <v>70</v>
      </c>
      <c r="T1418" s="999" t="s">
        <v>5559</v>
      </c>
      <c r="U1418" s="999"/>
      <c r="V1418" s="999"/>
      <c r="W1418" s="626"/>
      <c r="X1418" s="626" t="s">
        <v>5560</v>
      </c>
      <c r="Y1418" s="1001" t="s">
        <v>5543</v>
      </c>
      <c r="Z1418" s="1076">
        <v>4.5125</v>
      </c>
      <c r="AA1418" s="1001">
        <f t="shared" si="448"/>
        <v>18230.5</v>
      </c>
      <c r="AB1418" s="563"/>
      <c r="AC1418" s="1077"/>
      <c r="AD1418" s="939" t="s">
        <v>156</v>
      </c>
      <c r="AE1418" s="939" t="s">
        <v>82</v>
      </c>
      <c r="AF1418" s="939"/>
      <c r="AG1418" s="939"/>
      <c r="AH1418" s="939"/>
      <c r="AI1418" s="626">
        <v>4040</v>
      </c>
      <c r="AJ1418" s="1031">
        <f t="shared" si="443"/>
        <v>0</v>
      </c>
      <c r="AK1418" s="939"/>
      <c r="AL1418" s="939" t="s">
        <v>2368</v>
      </c>
      <c r="AM1418" s="563"/>
      <c r="AN1418" s="563">
        <f t="shared" si="449"/>
        <v>4040</v>
      </c>
      <c r="AO1418" s="563"/>
      <c r="AP1418" s="563"/>
      <c r="AQ1418" s="563"/>
      <c r="AR1418" s="563"/>
      <c r="AS1418" s="563">
        <f>I1418</f>
        <v>4040</v>
      </c>
      <c r="AT1418" s="563"/>
      <c r="AU1418" s="563">
        <f t="shared" si="450"/>
        <v>4040</v>
      </c>
      <c r="AV1418" s="563"/>
      <c r="AW1418" s="563">
        <f t="shared" si="451"/>
        <v>4040</v>
      </c>
      <c r="AX1418" s="1004"/>
      <c r="AY1418" s="563"/>
      <c r="AZ1418" s="563"/>
      <c r="BA1418" s="563"/>
      <c r="BB1418" s="563"/>
      <c r="BC1418" s="563"/>
      <c r="BD1418" s="563"/>
      <c r="BE1418" s="563"/>
      <c r="BF1418" s="563"/>
      <c r="BG1418" s="563"/>
      <c r="BH1418" s="563"/>
      <c r="BI1418" s="563">
        <f>I1418/4</f>
        <v>1010</v>
      </c>
      <c r="BJ1418" s="563"/>
      <c r="BK1418" s="563"/>
      <c r="BL1418" s="563"/>
      <c r="BM1418" s="563"/>
      <c r="BN1418" s="563"/>
      <c r="BO1418" s="563"/>
      <c r="BP1418" s="563"/>
      <c r="BQ1418" s="563"/>
      <c r="BR1418" s="563"/>
      <c r="BS1418" s="563"/>
      <c r="BT1418" s="563"/>
      <c r="BU1418" s="563"/>
      <c r="BV1418" s="563"/>
      <c r="BW1418" s="563"/>
      <c r="BX1418" s="563"/>
      <c r="BY1418" s="563"/>
      <c r="BZ1418" s="563"/>
      <c r="CA1418" s="563"/>
      <c r="CB1418" s="563"/>
      <c r="CC1418" s="563"/>
      <c r="CD1418" s="563"/>
      <c r="CE1418" s="563"/>
      <c r="CF1418" s="563"/>
      <c r="CG1418" s="563"/>
      <c r="CH1418" s="1015"/>
      <c r="CI1418" s="1015"/>
      <c r="CJ1418" s="1015"/>
      <c r="CK1418" s="1015"/>
      <c r="CL1418" s="1015"/>
      <c r="CM1418" s="563"/>
      <c r="CN1418" s="563"/>
      <c r="CO1418" s="563"/>
      <c r="CP1418" s="1015"/>
      <c r="CQ1418" s="1015"/>
      <c r="CR1418" s="1015"/>
      <c r="CS1418" s="1015"/>
      <c r="CT1418" s="1015"/>
      <c r="CU1418" s="1015"/>
    </row>
    <row r="1419" s="1270" customFormat="1" ht="31" customHeight="1" spans="1:99 16239:16384">
      <c r="A1419" s="1022">
        <v>46206</v>
      </c>
      <c r="B1419" s="626" t="s">
        <v>4371</v>
      </c>
      <c r="C1419" s="939" t="s">
        <v>98</v>
      </c>
      <c r="D1419" s="563" t="s">
        <v>5561</v>
      </c>
      <c r="E1419" s="939" t="s">
        <v>5562</v>
      </c>
      <c r="F1419" s="563" t="s">
        <v>5563</v>
      </c>
      <c r="G1419" s="939" t="s">
        <v>101</v>
      </c>
      <c r="H1419" s="939" t="s">
        <v>102</v>
      </c>
      <c r="I1419" s="1023">
        <v>2000</v>
      </c>
      <c r="J1419" s="939">
        <v>0</v>
      </c>
      <c r="K1419" s="939">
        <v>4</v>
      </c>
      <c r="L1419" s="1064">
        <f t="shared" ref="L1412:L1430" si="452">I1419/K1419</f>
        <v>500</v>
      </c>
      <c r="M1419" s="1027">
        <v>46253</v>
      </c>
      <c r="N1419" s="1027">
        <v>46249</v>
      </c>
      <c r="O1419" s="1028" t="s">
        <v>5342</v>
      </c>
      <c r="P1419" s="939"/>
      <c r="Q1419" s="999"/>
      <c r="R1419" s="999" t="s">
        <v>4563</v>
      </c>
      <c r="S1419" s="999" t="s">
        <v>70</v>
      </c>
      <c r="T1419" s="999" t="s">
        <v>5564</v>
      </c>
      <c r="U1419" s="999"/>
      <c r="V1419" s="999"/>
      <c r="W1419" s="626"/>
      <c r="X1419" s="626" t="s">
        <v>5565</v>
      </c>
      <c r="Y1419" s="1001" t="s">
        <v>5133</v>
      </c>
      <c r="Z1419" s="1076">
        <v>2.6794</v>
      </c>
      <c r="AA1419" s="1001">
        <f t="shared" si="448"/>
        <v>5358.8</v>
      </c>
      <c r="AB1419" s="563"/>
      <c r="AC1419" s="1077"/>
      <c r="AD1419" s="939" t="s">
        <v>101</v>
      </c>
      <c r="AE1419" s="939" t="s">
        <v>82</v>
      </c>
      <c r="AF1419" s="939"/>
      <c r="AG1419" s="939"/>
      <c r="AH1419" s="939"/>
      <c r="AI1419" s="609"/>
      <c r="AJ1419" s="1031">
        <f t="shared" ref="AJ1411:AJ1434" si="453">AI1419-I1419</f>
        <v>-2000</v>
      </c>
      <c r="AK1419" s="939"/>
      <c r="AL1419" s="939"/>
      <c r="AM1419" s="563"/>
      <c r="AN1419" s="563">
        <f t="shared" ref="AN1412:AN1430" si="454">I1419</f>
        <v>2000</v>
      </c>
      <c r="AO1419" s="563"/>
      <c r="AP1419" s="563"/>
      <c r="AQ1419" s="563"/>
      <c r="AR1419" s="563">
        <f>I1419</f>
        <v>2000</v>
      </c>
      <c r="AS1419" s="563"/>
      <c r="AT1419" s="563"/>
      <c r="AU1419" s="563">
        <f t="shared" ref="AU1411:AU1430" si="455">I1419</f>
        <v>2000</v>
      </c>
      <c r="AV1419" s="563"/>
      <c r="AW1419" s="563">
        <f t="shared" ref="AW1411:AW1434" si="456">I1419</f>
        <v>2000</v>
      </c>
      <c r="AX1419" s="1004"/>
      <c r="AY1419" s="563"/>
      <c r="AZ1419" s="563"/>
      <c r="BA1419" s="563"/>
      <c r="BB1419" s="563"/>
      <c r="BC1419" s="563"/>
      <c r="BD1419" s="563"/>
      <c r="BE1419" s="563"/>
      <c r="BF1419" s="563"/>
      <c r="BG1419" s="563"/>
      <c r="BH1419" s="563">
        <f>I1419/4</f>
        <v>500</v>
      </c>
      <c r="BI1419" s="563"/>
      <c r="BJ1419" s="563"/>
      <c r="BK1419" s="563"/>
      <c r="BL1419" s="563"/>
      <c r="BM1419" s="563"/>
      <c r="BN1419" s="563"/>
      <c r="BO1419" s="563"/>
      <c r="BP1419" s="563"/>
      <c r="BQ1419" s="563"/>
      <c r="BR1419" s="563"/>
      <c r="BS1419" s="563"/>
      <c r="BT1419" s="563"/>
      <c r="BU1419" s="563"/>
      <c r="BV1419" s="563"/>
      <c r="BW1419" s="563"/>
      <c r="BX1419" s="563"/>
      <c r="BY1419" s="563"/>
      <c r="BZ1419" s="563"/>
      <c r="CA1419" s="563"/>
      <c r="CB1419" s="563"/>
      <c r="CC1419" s="563"/>
      <c r="CD1419" s="563"/>
      <c r="CE1419" s="563"/>
      <c r="CF1419" s="563"/>
      <c r="CG1419" s="563"/>
      <c r="CH1419" s="1015"/>
      <c r="CI1419" s="1015"/>
      <c r="CJ1419" s="1015"/>
      <c r="CK1419" s="1015"/>
      <c r="CL1419" s="1015"/>
      <c r="CM1419" s="563"/>
      <c r="CN1419" s="563"/>
      <c r="CO1419" s="563"/>
      <c r="CP1419" s="1015"/>
      <c r="CQ1419" s="1015"/>
      <c r="CR1419" s="1015"/>
      <c r="CS1419" s="1015"/>
      <c r="CT1419" s="1015"/>
      <c r="CU1419" s="1015"/>
    </row>
    <row r="1420" s="1270" customFormat="1" ht="31" customHeight="1" spans="1:99 16239:16384">
      <c r="A1420" s="1022">
        <v>46206</v>
      </c>
      <c r="B1420" s="626" t="s">
        <v>4371</v>
      </c>
      <c r="C1420" s="939" t="s">
        <v>98</v>
      </c>
      <c r="D1420" s="563" t="s">
        <v>5561</v>
      </c>
      <c r="E1420" s="939" t="s">
        <v>5566</v>
      </c>
      <c r="F1420" s="563" t="s">
        <v>5567</v>
      </c>
      <c r="G1420" s="939" t="s">
        <v>101</v>
      </c>
      <c r="H1420" s="939" t="s">
        <v>102</v>
      </c>
      <c r="I1420" s="1023">
        <v>3120</v>
      </c>
      <c r="J1420" s="939">
        <v>0</v>
      </c>
      <c r="K1420" s="939">
        <v>4</v>
      </c>
      <c r="L1420" s="1064">
        <f t="shared" si="452"/>
        <v>780</v>
      </c>
      <c r="M1420" s="1027">
        <v>46253</v>
      </c>
      <c r="N1420" s="1027">
        <v>46249</v>
      </c>
      <c r="O1420" s="1028" t="s">
        <v>5342</v>
      </c>
      <c r="P1420" s="939"/>
      <c r="Q1420" s="999"/>
      <c r="R1420" s="999" t="s">
        <v>4563</v>
      </c>
      <c r="S1420" s="999" t="s">
        <v>70</v>
      </c>
      <c r="T1420" s="999" t="s">
        <v>5564</v>
      </c>
      <c r="U1420" s="999"/>
      <c r="V1420" s="999"/>
      <c r="W1420" s="626"/>
      <c r="X1420" s="626" t="s">
        <v>5565</v>
      </c>
      <c r="Y1420" s="1001" t="s">
        <v>5133</v>
      </c>
      <c r="Z1420" s="1076">
        <v>2.6761</v>
      </c>
      <c r="AA1420" s="1001">
        <f t="shared" si="448"/>
        <v>8349.432</v>
      </c>
      <c r="AB1420" s="563"/>
      <c r="AC1420" s="1077"/>
      <c r="AD1420" s="939" t="s">
        <v>101</v>
      </c>
      <c r="AE1420" s="939" t="s">
        <v>82</v>
      </c>
      <c r="AF1420" s="939"/>
      <c r="AG1420" s="939"/>
      <c r="AH1420" s="939"/>
      <c r="AI1420" s="609"/>
      <c r="AJ1420" s="1031">
        <f t="shared" si="453"/>
        <v>-3120</v>
      </c>
      <c r="AK1420" s="939"/>
      <c r="AL1420" s="939"/>
      <c r="AM1420" s="563"/>
      <c r="AN1420" s="563">
        <f t="shared" si="454"/>
        <v>3120</v>
      </c>
      <c r="AO1420" s="563"/>
      <c r="AP1420" s="563"/>
      <c r="AQ1420" s="563"/>
      <c r="AR1420" s="563">
        <f>I1420</f>
        <v>3120</v>
      </c>
      <c r="AS1420" s="563"/>
      <c r="AT1420" s="563"/>
      <c r="AU1420" s="563">
        <f t="shared" si="455"/>
        <v>3120</v>
      </c>
      <c r="AV1420" s="563"/>
      <c r="AW1420" s="563">
        <f t="shared" si="456"/>
        <v>3120</v>
      </c>
      <c r="AX1420" s="1004"/>
      <c r="AY1420" s="563"/>
      <c r="AZ1420" s="563"/>
      <c r="BA1420" s="563"/>
      <c r="BB1420" s="563"/>
      <c r="BC1420" s="563"/>
      <c r="BD1420" s="563"/>
      <c r="BE1420" s="563"/>
      <c r="BF1420" s="563"/>
      <c r="BG1420" s="563"/>
      <c r="BH1420" s="563">
        <f>I1420/4</f>
        <v>780</v>
      </c>
      <c r="BI1420" s="563"/>
      <c r="BJ1420" s="563"/>
      <c r="BK1420" s="563"/>
      <c r="BL1420" s="563"/>
      <c r="BM1420" s="563"/>
      <c r="BN1420" s="563"/>
      <c r="BO1420" s="563"/>
      <c r="BP1420" s="563"/>
      <c r="BQ1420" s="563"/>
      <c r="BR1420" s="563"/>
      <c r="BS1420" s="563"/>
      <c r="BT1420" s="563"/>
      <c r="BU1420" s="563"/>
      <c r="BV1420" s="563"/>
      <c r="BW1420" s="563"/>
      <c r="BX1420" s="563"/>
      <c r="BY1420" s="563"/>
      <c r="BZ1420" s="563"/>
      <c r="CA1420" s="563"/>
      <c r="CB1420" s="563"/>
      <c r="CC1420" s="563"/>
      <c r="CD1420" s="563"/>
      <c r="CE1420" s="563"/>
      <c r="CF1420" s="563"/>
      <c r="CG1420" s="563"/>
      <c r="CH1420" s="1015"/>
      <c r="CI1420" s="1015"/>
      <c r="CJ1420" s="1015"/>
      <c r="CK1420" s="1015"/>
      <c r="CL1420" s="1015"/>
      <c r="CM1420" s="563"/>
      <c r="CN1420" s="563"/>
      <c r="CO1420" s="563"/>
      <c r="CP1420" s="1015"/>
      <c r="CQ1420" s="1015"/>
      <c r="CR1420" s="1015"/>
      <c r="CS1420" s="1015"/>
      <c r="CT1420" s="1015"/>
      <c r="CU1420" s="1015"/>
    </row>
    <row r="1421" s="1270" customFormat="1" ht="31" customHeight="1" spans="1:99 16239:16384">
      <c r="A1421" s="1022">
        <v>46206</v>
      </c>
      <c r="B1421" s="626" t="s">
        <v>4371</v>
      </c>
      <c r="C1421" s="939" t="s">
        <v>98</v>
      </c>
      <c r="D1421" s="563" t="s">
        <v>5561</v>
      </c>
      <c r="E1421" s="939" t="s">
        <v>5568</v>
      </c>
      <c r="F1421" s="563" t="s">
        <v>5569</v>
      </c>
      <c r="G1421" s="939" t="s">
        <v>101</v>
      </c>
      <c r="H1421" s="939" t="s">
        <v>102</v>
      </c>
      <c r="I1421" s="1023">
        <v>1040</v>
      </c>
      <c r="J1421" s="939">
        <v>0</v>
      </c>
      <c r="K1421" s="939">
        <v>4</v>
      </c>
      <c r="L1421" s="1064">
        <f t="shared" si="452"/>
        <v>260</v>
      </c>
      <c r="M1421" s="1027">
        <v>46253</v>
      </c>
      <c r="N1421" s="1027">
        <v>46249</v>
      </c>
      <c r="O1421" s="1028" t="s">
        <v>5342</v>
      </c>
      <c r="P1421" s="939"/>
      <c r="Q1421" s="999"/>
      <c r="R1421" s="999" t="s">
        <v>4563</v>
      </c>
      <c r="S1421" s="999" t="s">
        <v>70</v>
      </c>
      <c r="T1421" s="999" t="s">
        <v>5564</v>
      </c>
      <c r="U1421" s="999"/>
      <c r="V1421" s="999"/>
      <c r="W1421" s="626"/>
      <c r="X1421" s="626" t="s">
        <v>5565</v>
      </c>
      <c r="Y1421" s="1001" t="s">
        <v>5133</v>
      </c>
      <c r="Z1421" s="1076">
        <v>2.7109</v>
      </c>
      <c r="AA1421" s="1001">
        <f t="shared" si="448"/>
        <v>2819.336</v>
      </c>
      <c r="AB1421" s="563"/>
      <c r="AC1421" s="1077"/>
      <c r="AD1421" s="939" t="s">
        <v>101</v>
      </c>
      <c r="AE1421" s="939" t="s">
        <v>82</v>
      </c>
      <c r="AF1421" s="939"/>
      <c r="AG1421" s="939"/>
      <c r="AH1421" s="939"/>
      <c r="AI1421" s="609"/>
      <c r="AJ1421" s="1031">
        <f t="shared" si="453"/>
        <v>-1040</v>
      </c>
      <c r="AK1421" s="939"/>
      <c r="AL1421" s="939"/>
      <c r="AM1421" s="563"/>
      <c r="AN1421" s="563">
        <f t="shared" si="454"/>
        <v>1040</v>
      </c>
      <c r="AO1421" s="563"/>
      <c r="AP1421" s="563"/>
      <c r="AQ1421" s="563"/>
      <c r="AR1421" s="563">
        <f>I1421</f>
        <v>1040</v>
      </c>
      <c r="AS1421" s="563"/>
      <c r="AT1421" s="563"/>
      <c r="AU1421" s="563">
        <f t="shared" si="455"/>
        <v>1040</v>
      </c>
      <c r="AV1421" s="563"/>
      <c r="AW1421" s="563">
        <f t="shared" si="456"/>
        <v>1040</v>
      </c>
      <c r="AX1421" s="1004"/>
      <c r="AY1421" s="563"/>
      <c r="AZ1421" s="563"/>
      <c r="BA1421" s="563"/>
      <c r="BB1421" s="563"/>
      <c r="BC1421" s="563"/>
      <c r="BD1421" s="563"/>
      <c r="BE1421" s="563"/>
      <c r="BF1421" s="563"/>
      <c r="BG1421" s="563"/>
      <c r="BH1421" s="563">
        <f>I1421/4</f>
        <v>260</v>
      </c>
      <c r="BI1421" s="563"/>
      <c r="BJ1421" s="563"/>
      <c r="BK1421" s="563"/>
      <c r="BL1421" s="563"/>
      <c r="BM1421" s="563"/>
      <c r="BN1421" s="563"/>
      <c r="BO1421" s="563"/>
      <c r="BP1421" s="563"/>
      <c r="BQ1421" s="563"/>
      <c r="BR1421" s="563"/>
      <c r="BS1421" s="563"/>
      <c r="BT1421" s="563"/>
      <c r="BU1421" s="563"/>
      <c r="BV1421" s="563"/>
      <c r="BW1421" s="563"/>
      <c r="BX1421" s="563"/>
      <c r="BY1421" s="563"/>
      <c r="BZ1421" s="563"/>
      <c r="CA1421" s="563"/>
      <c r="CB1421" s="563"/>
      <c r="CC1421" s="563"/>
      <c r="CD1421" s="563"/>
      <c r="CE1421" s="563"/>
      <c r="CF1421" s="563"/>
      <c r="CG1421" s="563"/>
      <c r="CH1421" s="1015"/>
      <c r="CI1421" s="1015"/>
      <c r="CJ1421" s="1015"/>
      <c r="CK1421" s="1015"/>
      <c r="CL1421" s="1015"/>
      <c r="CM1421" s="563"/>
      <c r="CN1421" s="563"/>
      <c r="CO1421" s="563"/>
      <c r="CP1421" s="1015"/>
      <c r="CQ1421" s="1015"/>
      <c r="CR1421" s="1015"/>
      <c r="CS1421" s="1015"/>
      <c r="CT1421" s="1015"/>
      <c r="CU1421" s="1015"/>
    </row>
    <row r="1422" s="1270" customFormat="1" ht="31" customHeight="1" spans="1:99 16239:16384">
      <c r="A1422" s="1022">
        <v>46206</v>
      </c>
      <c r="B1422" s="626" t="s">
        <v>4371</v>
      </c>
      <c r="C1422" s="939" t="s">
        <v>98</v>
      </c>
      <c r="D1422" s="563" t="s">
        <v>5561</v>
      </c>
      <c r="E1422" s="939" t="s">
        <v>5570</v>
      </c>
      <c r="F1422" s="563" t="s">
        <v>5571</v>
      </c>
      <c r="G1422" s="939" t="s">
        <v>101</v>
      </c>
      <c r="H1422" s="939" t="s">
        <v>102</v>
      </c>
      <c r="I1422" s="1023">
        <v>1360</v>
      </c>
      <c r="J1422" s="939">
        <v>0</v>
      </c>
      <c r="K1422" s="939">
        <v>4</v>
      </c>
      <c r="L1422" s="1064">
        <f t="shared" si="452"/>
        <v>340</v>
      </c>
      <c r="M1422" s="1027">
        <v>46253</v>
      </c>
      <c r="N1422" s="1027">
        <v>46249</v>
      </c>
      <c r="O1422" s="1028" t="s">
        <v>5342</v>
      </c>
      <c r="P1422" s="939"/>
      <c r="Q1422" s="999">
        <v>46261</v>
      </c>
      <c r="R1422" s="999" t="s">
        <v>4563</v>
      </c>
      <c r="S1422" s="999" t="s">
        <v>70</v>
      </c>
      <c r="T1422" s="999" t="s">
        <v>5564</v>
      </c>
      <c r="U1422" s="999"/>
      <c r="V1422" s="999"/>
      <c r="W1422" s="626"/>
      <c r="X1422" s="626" t="s">
        <v>5565</v>
      </c>
      <c r="Y1422" s="1001" t="s">
        <v>5133</v>
      </c>
      <c r="Z1422" s="1076">
        <v>2.6794</v>
      </c>
      <c r="AA1422" s="1001">
        <f t="shared" si="448"/>
        <v>3643.984</v>
      </c>
      <c r="AB1422" s="563"/>
      <c r="AC1422" s="1077"/>
      <c r="AD1422" s="939" t="s">
        <v>101</v>
      </c>
      <c r="AE1422" s="939" t="s">
        <v>82</v>
      </c>
      <c r="AF1422" s="939"/>
      <c r="AG1422" s="939"/>
      <c r="AH1422" s="939"/>
      <c r="AI1422" s="609"/>
      <c r="AJ1422" s="1031">
        <f t="shared" si="453"/>
        <v>-1360</v>
      </c>
      <c r="AK1422" s="939"/>
      <c r="AL1422" s="939"/>
      <c r="AM1422" s="563"/>
      <c r="AN1422" s="563">
        <f t="shared" si="454"/>
        <v>1360</v>
      </c>
      <c r="AO1422" s="563"/>
      <c r="AP1422" s="563"/>
      <c r="AQ1422" s="563"/>
      <c r="AR1422" s="563">
        <f>I1422</f>
        <v>1360</v>
      </c>
      <c r="AS1422" s="563"/>
      <c r="AT1422" s="563"/>
      <c r="AU1422" s="563">
        <f t="shared" si="455"/>
        <v>1360</v>
      </c>
      <c r="AV1422" s="563"/>
      <c r="AW1422" s="563">
        <f t="shared" si="456"/>
        <v>1360</v>
      </c>
      <c r="AX1422" s="1004"/>
      <c r="AY1422" s="563"/>
      <c r="AZ1422" s="563"/>
      <c r="BA1422" s="563"/>
      <c r="BB1422" s="563"/>
      <c r="BC1422" s="563"/>
      <c r="BD1422" s="563"/>
      <c r="BE1422" s="563"/>
      <c r="BF1422" s="563"/>
      <c r="BG1422" s="563"/>
      <c r="BH1422" s="563">
        <f>I1422/4</f>
        <v>340</v>
      </c>
      <c r="BI1422" s="563"/>
      <c r="BJ1422" s="563"/>
      <c r="BK1422" s="563"/>
      <c r="BL1422" s="563"/>
      <c r="BM1422" s="563"/>
      <c r="BN1422" s="563"/>
      <c r="BO1422" s="563"/>
      <c r="BP1422" s="563"/>
      <c r="BQ1422" s="563"/>
      <c r="BR1422" s="563"/>
      <c r="BS1422" s="563"/>
      <c r="BT1422" s="563"/>
      <c r="BU1422" s="563"/>
      <c r="BV1422" s="563"/>
      <c r="BW1422" s="563"/>
      <c r="BX1422" s="563"/>
      <c r="BY1422" s="563"/>
      <c r="BZ1422" s="563"/>
      <c r="CA1422" s="563"/>
      <c r="CB1422" s="563"/>
      <c r="CC1422" s="563"/>
      <c r="CD1422" s="563"/>
      <c r="CE1422" s="563"/>
      <c r="CF1422" s="563"/>
      <c r="CG1422" s="563"/>
      <c r="CH1422" s="1015"/>
      <c r="CI1422" s="1015"/>
      <c r="CJ1422" s="1015"/>
      <c r="CK1422" s="1015"/>
      <c r="CL1422" s="1015"/>
      <c r="CM1422" s="563"/>
      <c r="CN1422" s="563"/>
      <c r="CO1422" s="563"/>
      <c r="CP1422" s="1015"/>
      <c r="CQ1422" s="1015"/>
      <c r="CR1422" s="1015"/>
      <c r="CS1422" s="1015"/>
      <c r="CT1422" s="1015"/>
      <c r="CU1422" s="1015"/>
    </row>
    <row r="1423" s="1265" customFormat="1" ht="31" customHeight="1" spans="1:99 16239:16384">
      <c r="A1423" s="1008">
        <v>46162</v>
      </c>
      <c r="B1423" s="628" t="s">
        <v>5385</v>
      </c>
      <c r="C1423" s="618" t="s">
        <v>98</v>
      </c>
      <c r="D1423" s="687" t="s">
        <v>5572</v>
      </c>
      <c r="E1423" s="618" t="s">
        <v>5573</v>
      </c>
      <c r="F1423" s="687" t="s">
        <v>5574</v>
      </c>
      <c r="G1423" s="618" t="s">
        <v>2736</v>
      </c>
      <c r="H1423" s="618" t="s">
        <v>2737</v>
      </c>
      <c r="I1423" s="1069">
        <v>840</v>
      </c>
      <c r="J1423" s="618">
        <v>0</v>
      </c>
      <c r="K1423" s="618">
        <v>8</v>
      </c>
      <c r="L1423" s="1011">
        <f t="shared" si="452"/>
        <v>105</v>
      </c>
      <c r="M1423" s="1012">
        <v>46253</v>
      </c>
      <c r="N1423" s="1012">
        <v>46249</v>
      </c>
      <c r="O1423" s="1031" t="s">
        <v>5342</v>
      </c>
      <c r="P1423" s="618"/>
      <c r="Q1423" s="774"/>
      <c r="R1423" s="999">
        <v>46162</v>
      </c>
      <c r="S1423" s="999" t="s">
        <v>70</v>
      </c>
      <c r="T1423" s="999" t="s">
        <v>5269</v>
      </c>
      <c r="U1423" s="774"/>
      <c r="V1423" s="774"/>
      <c r="W1423" s="628"/>
      <c r="X1423" s="628" t="s">
        <v>5575</v>
      </c>
      <c r="Y1423" s="1014" t="s">
        <v>106</v>
      </c>
      <c r="Z1423" s="1339">
        <v>4.3989</v>
      </c>
      <c r="AA1423" s="1014">
        <f t="shared" si="448"/>
        <v>3695.076</v>
      </c>
      <c r="AB1423" s="1381"/>
      <c r="AC1423" s="1077"/>
      <c r="AD1423" s="618" t="s">
        <v>2741</v>
      </c>
      <c r="AE1423" s="618" t="s">
        <v>82</v>
      </c>
      <c r="AF1423" s="618"/>
      <c r="AG1423" s="618"/>
      <c r="AH1423" s="618"/>
      <c r="AI1423" s="609"/>
      <c r="AJ1423" s="773">
        <f t="shared" si="453"/>
        <v>-840</v>
      </c>
      <c r="AK1423" s="618"/>
      <c r="AL1423" s="618"/>
      <c r="AM1423" s="687"/>
      <c r="AN1423" s="687">
        <f t="shared" si="454"/>
        <v>840</v>
      </c>
      <c r="AO1423" s="687"/>
      <c r="AP1423" s="687"/>
      <c r="AQ1423" s="687"/>
      <c r="AR1423" s="563">
        <f>I1423</f>
        <v>840</v>
      </c>
      <c r="AS1423" s="687"/>
      <c r="AT1423" s="687"/>
      <c r="AU1423" s="563">
        <f t="shared" si="455"/>
        <v>840</v>
      </c>
      <c r="AV1423" s="687"/>
      <c r="AW1423" s="687">
        <f t="shared" si="456"/>
        <v>840</v>
      </c>
      <c r="AX1423" s="1016"/>
      <c r="AY1423" s="687"/>
      <c r="AZ1423" s="687"/>
      <c r="BA1423" s="687"/>
      <c r="BB1423" s="687"/>
      <c r="BC1423" s="687"/>
      <c r="BD1423" s="687"/>
      <c r="BE1423" s="687"/>
      <c r="BF1423" s="687"/>
      <c r="BG1423" s="687"/>
      <c r="BH1423" s="687"/>
      <c r="BI1423" s="687"/>
      <c r="BJ1423" s="687"/>
      <c r="BK1423" s="687"/>
      <c r="BL1423" s="687"/>
      <c r="BM1423" s="687">
        <f>I1423</f>
        <v>840</v>
      </c>
      <c r="BN1423" s="554"/>
      <c r="BO1423" s="687"/>
      <c r="BP1423" s="1381"/>
      <c r="BQ1423" s="1381"/>
      <c r="BR1423" s="1381"/>
      <c r="BS1423" s="1381"/>
      <c r="BT1423" s="1381"/>
      <c r="BU1423" s="1381"/>
      <c r="BV1423" s="1381"/>
      <c r="BW1423" s="1381"/>
      <c r="BX1423" s="1381"/>
      <c r="BY1423" s="1381"/>
      <c r="BZ1423" s="1381"/>
      <c r="CA1423" s="1381"/>
      <c r="CB1423" s="1381"/>
      <c r="CC1423" s="1381"/>
      <c r="CD1423" s="1381"/>
      <c r="CE1423" s="1381"/>
      <c r="CF1423" s="1381"/>
      <c r="CG1423" s="1381"/>
      <c r="CH1423" s="1021"/>
      <c r="CI1423" s="1021"/>
      <c r="CJ1423" s="1021"/>
      <c r="CK1423" s="1021"/>
      <c r="CL1423" s="1021"/>
      <c r="CM1423" s="1381"/>
      <c r="CN1423" s="1381"/>
      <c r="CO1423" s="1381"/>
      <c r="CP1423" s="1021"/>
      <c r="CQ1423" s="1021"/>
      <c r="CR1423" s="1021"/>
      <c r="CS1423" s="1021"/>
      <c r="CT1423" s="1021"/>
      <c r="CU1423" s="1021"/>
    </row>
    <row r="1424" s="1270" customFormat="1" ht="31" customHeight="1" spans="1:99 16239:16384">
      <c r="A1424" s="1022">
        <v>46213</v>
      </c>
      <c r="B1424" s="626" t="s">
        <v>5576</v>
      </c>
      <c r="C1424" s="939" t="s">
        <v>399</v>
      </c>
      <c r="D1424" s="563">
        <v>4500216056</v>
      </c>
      <c r="E1424" s="939"/>
      <c r="F1424" s="563" t="s">
        <v>5577</v>
      </c>
      <c r="G1424" s="939" t="s">
        <v>68</v>
      </c>
      <c r="H1424" s="939" t="s">
        <v>69</v>
      </c>
      <c r="I1424" s="1023">
        <v>360</v>
      </c>
      <c r="J1424" s="939">
        <v>0</v>
      </c>
      <c r="K1424" s="939">
        <v>12</v>
      </c>
      <c r="L1424" s="1064">
        <f t="shared" si="452"/>
        <v>30</v>
      </c>
      <c r="M1424" s="1027">
        <v>46254</v>
      </c>
      <c r="N1424" s="1027">
        <v>46251</v>
      </c>
      <c r="O1424" s="1031"/>
      <c r="P1424" s="939"/>
      <c r="Q1424" s="999">
        <v>46255</v>
      </c>
      <c r="R1424" s="999">
        <v>46223</v>
      </c>
      <c r="S1424" s="999" t="s">
        <v>70</v>
      </c>
      <c r="T1424" s="999" t="s">
        <v>5578</v>
      </c>
      <c r="U1424" s="999" t="s">
        <v>5552</v>
      </c>
      <c r="V1424" s="999"/>
      <c r="W1424" s="626"/>
      <c r="X1424" s="626" t="s">
        <v>5579</v>
      </c>
      <c r="Y1424" s="1001" t="s">
        <v>5498</v>
      </c>
      <c r="Z1424" s="1076">
        <v>4.3734</v>
      </c>
      <c r="AA1424" s="1001">
        <f t="shared" si="448"/>
        <v>1574.424</v>
      </c>
      <c r="AB1424" s="563"/>
      <c r="AC1424" s="1077"/>
      <c r="AD1424" s="939" t="s">
        <v>184</v>
      </c>
      <c r="AE1424" s="939" t="s">
        <v>82</v>
      </c>
      <c r="AF1424" s="939"/>
      <c r="AG1424" s="939"/>
      <c r="AH1424" s="939"/>
      <c r="AI1424" s="626">
        <v>360</v>
      </c>
      <c r="AJ1424" s="939">
        <f t="shared" si="453"/>
        <v>0</v>
      </c>
      <c r="AK1424" s="939"/>
      <c r="AL1424" s="939" t="s">
        <v>2368</v>
      </c>
      <c r="AM1424" s="563"/>
      <c r="AN1424" s="563">
        <f t="shared" si="454"/>
        <v>360</v>
      </c>
      <c r="AO1424" s="563"/>
      <c r="AP1424" s="563"/>
      <c r="AQ1424" s="563"/>
      <c r="AR1424" s="563"/>
      <c r="AS1424" s="563">
        <f>I1424</f>
        <v>360</v>
      </c>
      <c r="AT1424" s="563"/>
      <c r="AU1424" s="563">
        <f t="shared" si="455"/>
        <v>360</v>
      </c>
      <c r="AV1424" s="563"/>
      <c r="AW1424" s="563">
        <f t="shared" si="456"/>
        <v>360</v>
      </c>
      <c r="AX1424" s="1004"/>
      <c r="AY1424" s="563"/>
      <c r="AZ1424" s="563"/>
      <c r="BA1424" s="563"/>
      <c r="BB1424" s="563"/>
      <c r="BC1424" s="563"/>
      <c r="BD1424" s="563"/>
      <c r="BE1424" s="563"/>
      <c r="BF1424" s="563"/>
      <c r="BG1424" s="563"/>
      <c r="BH1424" s="563"/>
      <c r="BI1424" s="563"/>
      <c r="BJ1424" s="563"/>
      <c r="BK1424" s="563"/>
      <c r="BL1424" s="563"/>
      <c r="BM1424" s="563"/>
      <c r="BN1424" s="563"/>
      <c r="BO1424" s="563"/>
      <c r="BP1424" s="563"/>
      <c r="BQ1424" s="563"/>
      <c r="BR1424" s="563"/>
      <c r="BS1424" s="563"/>
      <c r="BT1424" s="563"/>
      <c r="BU1424" s="563"/>
      <c r="BV1424" s="563"/>
      <c r="BW1424" s="563"/>
      <c r="BX1424" s="563"/>
      <c r="BY1424" s="563"/>
      <c r="BZ1424" s="563"/>
      <c r="CA1424" s="563"/>
      <c r="CB1424" s="563"/>
      <c r="CC1424" s="563"/>
      <c r="CD1424" s="563"/>
      <c r="CE1424" s="563"/>
      <c r="CF1424" s="563"/>
      <c r="CG1424" s="563"/>
      <c r="CH1424" s="1015"/>
      <c r="CI1424" s="1015"/>
      <c r="CJ1424" s="1015"/>
      <c r="CK1424" s="1015"/>
      <c r="CL1424" s="1015"/>
      <c r="CM1424" s="563"/>
      <c r="CN1424" s="563"/>
      <c r="CO1424" s="563"/>
      <c r="CP1424" s="1015"/>
      <c r="CQ1424" s="1015"/>
      <c r="CR1424" s="1015"/>
      <c r="CS1424" s="1015"/>
      <c r="CT1424" s="1015"/>
      <c r="CU1424" s="1015"/>
    </row>
    <row r="1425" s="559" customFormat="1" ht="31" customHeight="1" spans="1:99">
      <c r="A1425" s="1008">
        <v>46191</v>
      </c>
      <c r="B1425" s="628" t="s">
        <v>5580</v>
      </c>
      <c r="C1425" s="618" t="s">
        <v>98</v>
      </c>
      <c r="D1425" s="687" t="s">
        <v>5581</v>
      </c>
      <c r="E1425" s="618" t="s">
        <v>5582</v>
      </c>
      <c r="F1425" s="687" t="s">
        <v>5583</v>
      </c>
      <c r="G1425" s="618" t="s">
        <v>68</v>
      </c>
      <c r="H1425" s="939" t="s">
        <v>69</v>
      </c>
      <c r="I1425" s="1069">
        <v>5004</v>
      </c>
      <c r="J1425" s="618">
        <v>0</v>
      </c>
      <c r="K1425" s="618">
        <v>12</v>
      </c>
      <c r="L1425" s="1011">
        <f t="shared" si="452"/>
        <v>417</v>
      </c>
      <c r="M1425" s="1338">
        <v>46254</v>
      </c>
      <c r="N1425" s="1338">
        <f>M1425-3</f>
        <v>46251</v>
      </c>
      <c r="O1425" s="773"/>
      <c r="P1425" s="618"/>
      <c r="Q1425" s="774"/>
      <c r="R1425" s="999">
        <v>46191</v>
      </c>
      <c r="S1425" s="999" t="s">
        <v>104</v>
      </c>
      <c r="T1425" s="999" t="s">
        <v>5584</v>
      </c>
      <c r="U1425" s="999"/>
      <c r="V1425" s="646"/>
      <c r="W1425" s="628"/>
      <c r="X1425" s="628" t="s">
        <v>5585</v>
      </c>
      <c r="Y1425" s="1014" t="s">
        <v>5586</v>
      </c>
      <c r="Z1425" s="1339">
        <v>2.6793</v>
      </c>
      <c r="AA1425" s="1014">
        <f t="shared" si="448"/>
        <v>13407.2172</v>
      </c>
      <c r="AB1425" s="687"/>
      <c r="AC1425" s="1077"/>
      <c r="AD1425" s="939" t="s">
        <v>68</v>
      </c>
      <c r="AE1425" s="939" t="s">
        <v>82</v>
      </c>
      <c r="AF1425" s="618"/>
      <c r="AG1425" s="618"/>
      <c r="AH1425" s="618"/>
      <c r="AI1425" s="609"/>
      <c r="AJ1425" s="773">
        <f t="shared" si="453"/>
        <v>-5004</v>
      </c>
      <c r="AK1425" s="618"/>
      <c r="AL1425" s="939" t="s">
        <v>2368</v>
      </c>
      <c r="AM1425" s="687"/>
      <c r="AN1425" s="687">
        <f t="shared" si="454"/>
        <v>5004</v>
      </c>
      <c r="AO1425" s="687"/>
      <c r="AP1425" s="687"/>
      <c r="AQ1425" s="687"/>
      <c r="AR1425" s="687">
        <f>I1425</f>
        <v>5004</v>
      </c>
      <c r="AS1425" s="687"/>
      <c r="AT1425" s="687"/>
      <c r="AU1425" s="563">
        <f t="shared" si="455"/>
        <v>5004</v>
      </c>
      <c r="AV1425" s="563"/>
      <c r="AW1425" s="563">
        <f t="shared" si="456"/>
        <v>5004</v>
      </c>
      <c r="AX1425" s="1016"/>
      <c r="AY1425" s="687"/>
      <c r="AZ1425" s="687"/>
      <c r="BA1425" s="687"/>
      <c r="BB1425" s="687"/>
      <c r="BC1425" s="687"/>
      <c r="BD1425" s="687"/>
      <c r="BE1425" s="687"/>
      <c r="BF1425" s="687"/>
      <c r="BG1425" s="687"/>
      <c r="BH1425" s="687"/>
      <c r="BI1425" s="687"/>
      <c r="BJ1425" s="687"/>
      <c r="BK1425" s="687"/>
      <c r="BL1425" s="687"/>
      <c r="BM1425" s="687"/>
      <c r="BN1425" s="554"/>
      <c r="BO1425" s="687"/>
      <c r="BP1425" s="687"/>
      <c r="BQ1425" s="687"/>
      <c r="BR1425" s="687"/>
      <c r="BS1425" s="687"/>
      <c r="BT1425" s="687"/>
      <c r="BU1425" s="687"/>
      <c r="BV1425" s="687"/>
      <c r="BW1425" s="687"/>
      <c r="BX1425" s="687"/>
      <c r="BY1425" s="687"/>
      <c r="BZ1425" s="687"/>
      <c r="CA1425" s="687"/>
      <c r="CB1425" s="687"/>
      <c r="CC1425" s="687"/>
      <c r="CD1425" s="687"/>
      <c r="CE1425" s="687"/>
      <c r="CF1425" s="687"/>
      <c r="CG1425" s="687"/>
      <c r="CH1425" s="1020"/>
      <c r="CI1425" s="1020"/>
      <c r="CJ1425" s="1020"/>
      <c r="CK1425" s="1020"/>
      <c r="CL1425" s="1020"/>
      <c r="CM1425" s="687"/>
      <c r="CN1425" s="687"/>
      <c r="CO1425" s="687"/>
      <c r="CP1425" s="1020"/>
      <c r="CQ1425" s="1020"/>
      <c r="CR1425" s="1020"/>
      <c r="CS1425" s="1020"/>
      <c r="CT1425" s="1020"/>
      <c r="CU1425" s="1020"/>
    </row>
    <row r="1426" s="1270" customFormat="1" ht="31" customHeight="1" spans="1:99">
      <c r="A1426" s="1022">
        <v>46212</v>
      </c>
      <c r="B1426" s="626" t="s">
        <v>379</v>
      </c>
      <c r="C1426" s="939" t="s">
        <v>98</v>
      </c>
      <c r="D1426" s="563">
        <v>4500215872</v>
      </c>
      <c r="E1426" s="939">
        <v>37053</v>
      </c>
      <c r="F1426" s="563" t="s">
        <v>5587</v>
      </c>
      <c r="G1426" s="939" t="s">
        <v>111</v>
      </c>
      <c r="H1426" s="939" t="s">
        <v>112</v>
      </c>
      <c r="I1426" s="1023">
        <v>4000</v>
      </c>
      <c r="J1426" s="939">
        <v>0</v>
      </c>
      <c r="K1426" s="939">
        <v>16</v>
      </c>
      <c r="L1426" s="1064">
        <f t="shared" si="452"/>
        <v>250</v>
      </c>
      <c r="M1426" s="1027">
        <v>46254</v>
      </c>
      <c r="N1426" s="1027">
        <v>46251</v>
      </c>
      <c r="O1426" s="1031"/>
      <c r="P1426" s="939"/>
      <c r="Q1426" s="999">
        <v>46261</v>
      </c>
      <c r="R1426" s="999">
        <v>46220</v>
      </c>
      <c r="S1426" s="999" t="s">
        <v>70</v>
      </c>
      <c r="T1426" s="999" t="s">
        <v>70</v>
      </c>
      <c r="U1426" s="999"/>
      <c r="V1426" s="999"/>
      <c r="W1426" s="626"/>
      <c r="X1426" s="626" t="s">
        <v>5588</v>
      </c>
      <c r="Y1426" s="1001" t="s">
        <v>1781</v>
      </c>
      <c r="Z1426" s="1076">
        <v>2.6786</v>
      </c>
      <c r="AA1426" s="1001">
        <f t="shared" si="448"/>
        <v>10714.4</v>
      </c>
      <c r="AB1426" s="563"/>
      <c r="AC1426" s="1077"/>
      <c r="AD1426" s="939" t="s">
        <v>111</v>
      </c>
      <c r="AE1426" s="939" t="s">
        <v>82</v>
      </c>
      <c r="AF1426" s="939"/>
      <c r="AG1426" s="939"/>
      <c r="AH1426" s="939"/>
      <c r="AI1426" s="626">
        <v>4000</v>
      </c>
      <c r="AJ1426" s="939">
        <f t="shared" si="453"/>
        <v>0</v>
      </c>
      <c r="AK1426" s="939"/>
      <c r="AL1426" s="939"/>
      <c r="AM1426" s="563"/>
      <c r="AN1426" s="563">
        <f t="shared" si="454"/>
        <v>4000</v>
      </c>
      <c r="AO1426" s="563"/>
      <c r="AP1426" s="563"/>
      <c r="AQ1426" s="563"/>
      <c r="AR1426" s="563">
        <f>I1426</f>
        <v>4000</v>
      </c>
      <c r="AS1426" s="563"/>
      <c r="AT1426" s="563"/>
      <c r="AU1426" s="563">
        <f t="shared" si="455"/>
        <v>4000</v>
      </c>
      <c r="AV1426" s="563"/>
      <c r="AW1426" s="563">
        <f t="shared" si="456"/>
        <v>4000</v>
      </c>
      <c r="AX1426" s="1004"/>
      <c r="AY1426" s="563"/>
      <c r="AZ1426" s="563"/>
      <c r="BA1426" s="563"/>
      <c r="BB1426" s="563"/>
      <c r="BC1426" s="563"/>
      <c r="BD1426" s="563"/>
      <c r="BE1426" s="563"/>
      <c r="BF1426" s="563"/>
      <c r="BG1426" s="563"/>
      <c r="BH1426" s="563">
        <f>I1426/4</f>
        <v>1000</v>
      </c>
      <c r="BI1426" s="563"/>
      <c r="BJ1426" s="563"/>
      <c r="BK1426" s="563"/>
      <c r="BL1426" s="563"/>
      <c r="BM1426" s="563"/>
      <c r="BN1426" s="563"/>
      <c r="BO1426" s="563"/>
      <c r="BP1426" s="563"/>
      <c r="BQ1426" s="563"/>
      <c r="BR1426" s="563"/>
      <c r="BS1426" s="563"/>
      <c r="BT1426" s="563"/>
      <c r="BU1426" s="563"/>
      <c r="BV1426" s="563"/>
      <c r="BW1426" s="563"/>
      <c r="BX1426" s="563"/>
      <c r="BY1426" s="563"/>
      <c r="BZ1426" s="563"/>
      <c r="CA1426" s="563"/>
      <c r="CB1426" s="563"/>
      <c r="CC1426" s="563"/>
      <c r="CD1426" s="563"/>
      <c r="CE1426" s="563"/>
      <c r="CF1426" s="563"/>
      <c r="CG1426" s="563"/>
      <c r="CH1426" s="1015"/>
      <c r="CI1426" s="1015"/>
      <c r="CJ1426" s="1015"/>
      <c r="CK1426" s="1015"/>
      <c r="CL1426" s="1015"/>
      <c r="CM1426" s="563"/>
      <c r="CN1426" s="563"/>
      <c r="CO1426" s="563"/>
      <c r="CP1426" s="1015"/>
      <c r="CQ1426" s="1015"/>
      <c r="CR1426" s="1015"/>
      <c r="CS1426" s="1015"/>
      <c r="CT1426" s="1015"/>
      <c r="CU1426" s="1015"/>
    </row>
    <row r="1427" s="1271" customFormat="1" ht="31" customHeight="1" spans="1:99">
      <c r="A1427" s="1022">
        <v>46234</v>
      </c>
      <c r="B1427" s="626"/>
      <c r="C1427" s="939" t="s">
        <v>4137</v>
      </c>
      <c r="D1427" s="563" t="s">
        <v>5589</v>
      </c>
      <c r="E1427" s="939"/>
      <c r="F1427" s="563" t="s">
        <v>5590</v>
      </c>
      <c r="G1427" s="939" t="s">
        <v>476</v>
      </c>
      <c r="H1427" s="939" t="s">
        <v>477</v>
      </c>
      <c r="I1427" s="1023">
        <v>120</v>
      </c>
      <c r="J1427" s="939">
        <v>0</v>
      </c>
      <c r="K1427" s="939">
        <v>6</v>
      </c>
      <c r="L1427" s="1064">
        <f t="shared" si="452"/>
        <v>20</v>
      </c>
      <c r="M1427" s="1027">
        <v>46254</v>
      </c>
      <c r="N1427" s="1027">
        <v>46251</v>
      </c>
      <c r="O1427" s="1031"/>
      <c r="P1427" s="939"/>
      <c r="Q1427" s="999"/>
      <c r="R1427" s="999"/>
      <c r="S1427" s="999"/>
      <c r="T1427" s="999"/>
      <c r="U1427" s="999"/>
      <c r="V1427" s="999"/>
      <c r="W1427" s="626"/>
      <c r="X1427" s="626" t="s">
        <v>4142</v>
      </c>
      <c r="Y1427" s="1001" t="s">
        <v>85</v>
      </c>
      <c r="Z1427" s="1076"/>
      <c r="AA1427" s="1001"/>
      <c r="AB1427" s="563"/>
      <c r="AC1427" s="1077"/>
      <c r="AD1427" s="939" t="s">
        <v>480</v>
      </c>
      <c r="AE1427" s="939" t="s">
        <v>82</v>
      </c>
      <c r="AF1427" s="939"/>
      <c r="AG1427" s="939"/>
      <c r="AH1427" s="939"/>
      <c r="AI1427" s="626"/>
      <c r="AJ1427" s="939">
        <f t="shared" si="453"/>
        <v>-120</v>
      </c>
      <c r="AK1427" s="939"/>
      <c r="AL1427" s="939"/>
      <c r="AM1427" s="563"/>
      <c r="AN1427" s="563">
        <f t="shared" si="454"/>
        <v>120</v>
      </c>
      <c r="AO1427" s="563"/>
      <c r="AP1427" s="563"/>
      <c r="AQ1427" s="563"/>
      <c r="AR1427" s="563"/>
      <c r="AS1427" s="563">
        <f>I1427*2</f>
        <v>240</v>
      </c>
      <c r="AT1427" s="563"/>
      <c r="AU1427" s="563">
        <f t="shared" si="455"/>
        <v>120</v>
      </c>
      <c r="AV1427" s="563"/>
      <c r="AW1427" s="563">
        <f t="shared" si="456"/>
        <v>120</v>
      </c>
      <c r="AX1427" s="1004"/>
      <c r="AY1427" s="563"/>
      <c r="AZ1427" s="563"/>
      <c r="BA1427" s="563"/>
      <c r="BB1427" s="563"/>
      <c r="BC1427" s="563"/>
      <c r="BD1427" s="563"/>
      <c r="BE1427" s="563"/>
      <c r="BF1427" s="563"/>
      <c r="BG1427" s="563"/>
      <c r="BH1427" s="563"/>
      <c r="BI1427" s="563"/>
      <c r="BJ1427" s="563"/>
      <c r="BK1427" s="563"/>
      <c r="BL1427" s="563"/>
      <c r="BM1427" s="563"/>
      <c r="BN1427" s="563">
        <f>I1427</f>
        <v>120</v>
      </c>
      <c r="BO1427" s="563"/>
      <c r="BP1427" s="1147"/>
      <c r="BQ1427" s="1147"/>
      <c r="BR1427" s="1147"/>
      <c r="BS1427" s="1147"/>
      <c r="BT1427" s="1147"/>
      <c r="BU1427" s="1147"/>
      <c r="BV1427" s="1147"/>
      <c r="BW1427" s="1147"/>
      <c r="BX1427" s="1147"/>
      <c r="BY1427" s="1147"/>
      <c r="BZ1427" s="1147"/>
      <c r="CA1427" s="1147"/>
      <c r="CB1427" s="1147"/>
      <c r="CC1427" s="1147"/>
      <c r="CD1427" s="1147"/>
      <c r="CE1427" s="1147"/>
      <c r="CF1427" s="1147"/>
      <c r="CG1427" s="1147"/>
      <c r="CH1427" s="1068"/>
      <c r="CI1427" s="1068"/>
      <c r="CJ1427" s="1068"/>
      <c r="CK1427" s="1068"/>
      <c r="CL1427" s="1068"/>
      <c r="CM1427" s="1147"/>
      <c r="CN1427" s="1147"/>
      <c r="CO1427" s="1147"/>
      <c r="CP1427" s="1068"/>
      <c r="CQ1427" s="1068"/>
      <c r="CR1427" s="1068"/>
      <c r="CS1427" s="1068"/>
      <c r="CT1427" s="1068"/>
      <c r="CU1427" s="1068"/>
    </row>
    <row r="1428" s="1270" customFormat="1" ht="31" customHeight="1" spans="1:99">
      <c r="A1428" s="1022">
        <v>46206</v>
      </c>
      <c r="B1428" s="626" t="s">
        <v>448</v>
      </c>
      <c r="C1428" s="939" t="s">
        <v>399</v>
      </c>
      <c r="D1428" s="563">
        <v>4500214939</v>
      </c>
      <c r="E1428" s="939"/>
      <c r="F1428" s="563" t="s">
        <v>5591</v>
      </c>
      <c r="G1428" s="939" t="s">
        <v>130</v>
      </c>
      <c r="H1428" s="939" t="s">
        <v>131</v>
      </c>
      <c r="I1428" s="1023">
        <v>816</v>
      </c>
      <c r="J1428" s="939">
        <v>0</v>
      </c>
      <c r="K1428" s="939">
        <v>6</v>
      </c>
      <c r="L1428" s="1064">
        <f t="shared" si="452"/>
        <v>136</v>
      </c>
      <c r="M1428" s="1027">
        <v>46255</v>
      </c>
      <c r="N1428" s="1027">
        <v>46251</v>
      </c>
      <c r="O1428" s="1031"/>
      <c r="P1428" s="939"/>
      <c r="Q1428" s="999"/>
      <c r="R1428" s="999">
        <v>46206</v>
      </c>
      <c r="S1428" s="999" t="s">
        <v>70</v>
      </c>
      <c r="T1428" s="999" t="s">
        <v>5592</v>
      </c>
      <c r="U1428" s="999"/>
      <c r="V1428" s="999" t="s">
        <v>5593</v>
      </c>
      <c r="W1428" s="626"/>
      <c r="X1428" s="1075" t="s">
        <v>5594</v>
      </c>
      <c r="Y1428" s="1001" t="s">
        <v>445</v>
      </c>
      <c r="Z1428" s="1076">
        <v>4.1743</v>
      </c>
      <c r="AA1428" s="1001">
        <f t="shared" ref="AA1428:AA1434" si="457">Z1428*I1428</f>
        <v>3406.2288</v>
      </c>
      <c r="AB1428" s="563"/>
      <c r="AC1428" s="1077"/>
      <c r="AD1428" s="939" t="s">
        <v>453</v>
      </c>
      <c r="AE1428" s="939" t="s">
        <v>82</v>
      </c>
      <c r="AF1428" s="939"/>
      <c r="AG1428" s="939"/>
      <c r="AH1428" s="939"/>
      <c r="AI1428" s="609"/>
      <c r="AJ1428" s="939">
        <f t="shared" si="453"/>
        <v>-816</v>
      </c>
      <c r="AK1428" s="939"/>
      <c r="AL1428" s="939" t="s">
        <v>2368</v>
      </c>
      <c r="AM1428" s="563"/>
      <c r="AN1428" s="563">
        <f t="shared" si="454"/>
        <v>816</v>
      </c>
      <c r="AO1428" s="563"/>
      <c r="AP1428" s="563"/>
      <c r="AQ1428" s="563"/>
      <c r="AR1428" s="563"/>
      <c r="AS1428" s="563">
        <f>I1428</f>
        <v>816</v>
      </c>
      <c r="AT1428" s="563"/>
      <c r="AU1428" s="563">
        <f t="shared" si="455"/>
        <v>816</v>
      </c>
      <c r="AV1428" s="563"/>
      <c r="AW1428" s="563">
        <f t="shared" si="456"/>
        <v>816</v>
      </c>
      <c r="AX1428" s="1004"/>
      <c r="AY1428" s="563"/>
      <c r="AZ1428" s="563"/>
      <c r="BA1428" s="563"/>
      <c r="BB1428" s="563"/>
      <c r="BC1428" s="563"/>
      <c r="BD1428" s="563"/>
      <c r="BE1428" s="563"/>
      <c r="BF1428" s="563"/>
      <c r="BG1428" s="563"/>
      <c r="BH1428" s="563"/>
      <c r="BI1428" s="563"/>
      <c r="BJ1428" s="563"/>
      <c r="BK1428" s="563"/>
      <c r="BL1428" s="563"/>
      <c r="BM1428" s="563"/>
      <c r="BN1428" s="563"/>
      <c r="BO1428" s="563"/>
      <c r="BP1428" s="563"/>
      <c r="BQ1428" s="563"/>
      <c r="BR1428" s="563"/>
      <c r="BS1428" s="563"/>
      <c r="BT1428" s="563"/>
      <c r="BU1428" s="563"/>
      <c r="BV1428" s="563"/>
      <c r="BW1428" s="563"/>
      <c r="BX1428" s="563"/>
      <c r="BY1428" s="563"/>
      <c r="BZ1428" s="563"/>
      <c r="CA1428" s="563"/>
      <c r="CB1428" s="563"/>
      <c r="CC1428" s="563"/>
      <c r="CD1428" s="563"/>
      <c r="CE1428" s="563"/>
      <c r="CF1428" s="563"/>
      <c r="CG1428" s="563"/>
      <c r="CH1428" s="1015"/>
      <c r="CI1428" s="1015"/>
      <c r="CJ1428" s="1015"/>
      <c r="CK1428" s="1015"/>
      <c r="CL1428" s="1015"/>
      <c r="CM1428" s="563"/>
      <c r="CN1428" s="563"/>
      <c r="CO1428" s="563"/>
      <c r="CP1428" s="1015"/>
      <c r="CQ1428" s="1015"/>
      <c r="CR1428" s="1015"/>
      <c r="CS1428" s="1015"/>
      <c r="CT1428" s="1015"/>
      <c r="CU1428" s="1015"/>
    </row>
    <row r="1429" s="1271" customFormat="1" ht="31" customHeight="1" spans="1:99">
      <c r="A1429" s="1022">
        <v>46219</v>
      </c>
      <c r="B1429" s="626" t="s">
        <v>5595</v>
      </c>
      <c r="C1429" s="939" t="s">
        <v>5596</v>
      </c>
      <c r="D1429" s="1063">
        <v>4500216476</v>
      </c>
      <c r="E1429" s="939" t="s">
        <v>5597</v>
      </c>
      <c r="F1429" s="563" t="s">
        <v>5598</v>
      </c>
      <c r="G1429" s="939" t="s">
        <v>111</v>
      </c>
      <c r="H1429" s="939" t="s">
        <v>112</v>
      </c>
      <c r="I1429" s="1023">
        <v>752</v>
      </c>
      <c r="J1429" s="939">
        <v>0</v>
      </c>
      <c r="K1429" s="939">
        <v>16</v>
      </c>
      <c r="L1429" s="1064">
        <f t="shared" si="452"/>
        <v>47</v>
      </c>
      <c r="M1429" s="1027">
        <v>46255</v>
      </c>
      <c r="N1429" s="1027">
        <v>46251</v>
      </c>
      <c r="O1429" s="1031"/>
      <c r="P1429" s="939"/>
      <c r="Q1429" s="999"/>
      <c r="R1429" s="999">
        <v>46219</v>
      </c>
      <c r="S1429" s="999" t="s">
        <v>70</v>
      </c>
      <c r="T1429" s="999" t="s">
        <v>5599</v>
      </c>
      <c r="U1429" s="999"/>
      <c r="V1429" s="999"/>
      <c r="W1429" s="626"/>
      <c r="X1429" s="626" t="s">
        <v>5600</v>
      </c>
      <c r="Y1429" s="1001" t="s">
        <v>217</v>
      </c>
      <c r="Z1429" s="1076">
        <v>4.47</v>
      </c>
      <c r="AA1429" s="1001">
        <f t="shared" si="457"/>
        <v>3361.44</v>
      </c>
      <c r="AB1429" s="563"/>
      <c r="AC1429" s="1077"/>
      <c r="AD1429" s="939" t="s">
        <v>111</v>
      </c>
      <c r="AE1429" s="939" t="s">
        <v>82</v>
      </c>
      <c r="AF1429" s="939"/>
      <c r="AG1429" s="939"/>
      <c r="AH1429" s="939"/>
      <c r="AI1429" s="626"/>
      <c r="AJ1429" s="939">
        <f t="shared" si="453"/>
        <v>-752</v>
      </c>
      <c r="AK1429" s="939"/>
      <c r="AL1429" s="939" t="s">
        <v>2368</v>
      </c>
      <c r="AM1429" s="563"/>
      <c r="AN1429" s="563">
        <f t="shared" si="454"/>
        <v>752</v>
      </c>
      <c r="AO1429" s="563"/>
      <c r="AP1429" s="563"/>
      <c r="AQ1429" s="563"/>
      <c r="AR1429" s="563">
        <f>I1429</f>
        <v>752</v>
      </c>
      <c r="AS1429" s="563"/>
      <c r="AT1429" s="563"/>
      <c r="AU1429" s="563">
        <f t="shared" si="455"/>
        <v>752</v>
      </c>
      <c r="AV1429" s="563"/>
      <c r="AW1429" s="563">
        <f t="shared" si="456"/>
        <v>752</v>
      </c>
      <c r="AX1429" s="1004"/>
      <c r="AY1429" s="563"/>
      <c r="AZ1429" s="563"/>
      <c r="BA1429" s="563"/>
      <c r="BB1429" s="563"/>
      <c r="BC1429" s="563"/>
      <c r="BD1429" s="563"/>
      <c r="BE1429" s="563"/>
      <c r="BF1429" s="563"/>
      <c r="BG1429" s="563"/>
      <c r="BH1429" s="563">
        <f>I1429/4</f>
        <v>188</v>
      </c>
      <c r="BI1429" s="563"/>
      <c r="BJ1429" s="563"/>
      <c r="BK1429" s="563"/>
      <c r="BL1429" s="563"/>
      <c r="BM1429" s="563"/>
      <c r="BN1429" s="563"/>
      <c r="BO1429" s="563"/>
      <c r="BP1429" s="1147"/>
      <c r="BQ1429" s="1147"/>
      <c r="BR1429" s="1147"/>
      <c r="BS1429" s="1147"/>
      <c r="BT1429" s="1147"/>
      <c r="BU1429" s="1147"/>
      <c r="BV1429" s="1147"/>
      <c r="BW1429" s="1147"/>
      <c r="BX1429" s="1147"/>
      <c r="BY1429" s="1147"/>
      <c r="BZ1429" s="1147"/>
      <c r="CA1429" s="1147"/>
      <c r="CB1429" s="1147"/>
      <c r="CC1429" s="1147"/>
      <c r="CD1429" s="1147"/>
      <c r="CE1429" s="1147"/>
      <c r="CF1429" s="1147"/>
      <c r="CG1429" s="1147"/>
      <c r="CH1429" s="1068"/>
      <c r="CI1429" s="1068"/>
      <c r="CJ1429" s="1068"/>
      <c r="CK1429" s="1068"/>
      <c r="CL1429" s="1068"/>
      <c r="CM1429" s="1147"/>
      <c r="CN1429" s="1147"/>
      <c r="CO1429" s="1147"/>
      <c r="CP1429" s="1068"/>
      <c r="CQ1429" s="1068"/>
      <c r="CR1429" s="1068"/>
      <c r="CS1429" s="1068"/>
      <c r="CT1429" s="1068"/>
      <c r="CU1429" s="1068"/>
    </row>
    <row r="1430" s="1270" customFormat="1" ht="31" customHeight="1" spans="1:99">
      <c r="A1430" s="1022">
        <v>46205</v>
      </c>
      <c r="B1430" s="626" t="s">
        <v>143</v>
      </c>
      <c r="C1430" s="939" t="s">
        <v>98</v>
      </c>
      <c r="D1430" s="1063">
        <v>4500214819</v>
      </c>
      <c r="E1430" s="939" t="s">
        <v>5601</v>
      </c>
      <c r="F1430" s="563" t="s">
        <v>5602</v>
      </c>
      <c r="G1430" s="939" t="s">
        <v>101</v>
      </c>
      <c r="H1430" s="939" t="s">
        <v>102</v>
      </c>
      <c r="I1430" s="1023">
        <v>1600</v>
      </c>
      <c r="J1430" s="939">
        <v>0</v>
      </c>
      <c r="K1430" s="939">
        <v>4</v>
      </c>
      <c r="L1430" s="1064">
        <f t="shared" si="452"/>
        <v>400</v>
      </c>
      <c r="M1430" s="1027">
        <v>46258</v>
      </c>
      <c r="N1430" s="1027">
        <v>46254</v>
      </c>
      <c r="O1430" s="1028" t="s">
        <v>5603</v>
      </c>
      <c r="P1430" s="939"/>
      <c r="Q1430" s="999"/>
      <c r="R1430" s="999" t="s">
        <v>4563</v>
      </c>
      <c r="S1430" s="999" t="s">
        <v>70</v>
      </c>
      <c r="T1430" s="999" t="s">
        <v>5564</v>
      </c>
      <c r="U1430" s="999"/>
      <c r="V1430" s="999"/>
      <c r="W1430" s="626"/>
      <c r="X1430" s="626" t="s">
        <v>5604</v>
      </c>
      <c r="Y1430" s="1001" t="s">
        <v>4871</v>
      </c>
      <c r="Z1430" s="1076">
        <v>2.6794</v>
      </c>
      <c r="AA1430" s="1001">
        <f t="shared" si="457"/>
        <v>4287.04</v>
      </c>
      <c r="AB1430" s="563"/>
      <c r="AC1430" s="1077"/>
      <c r="AD1430" s="939" t="s">
        <v>101</v>
      </c>
      <c r="AE1430" s="939" t="s">
        <v>82</v>
      </c>
      <c r="AF1430" s="939"/>
      <c r="AG1430" s="939"/>
      <c r="AH1430" s="939"/>
      <c r="AI1430" s="609"/>
      <c r="AJ1430" s="1031">
        <f t="shared" si="453"/>
        <v>-1600</v>
      </c>
      <c r="AK1430" s="939"/>
      <c r="AL1430" s="939" t="s">
        <v>2368</v>
      </c>
      <c r="AM1430" s="563"/>
      <c r="AN1430" s="563">
        <f t="shared" si="454"/>
        <v>1600</v>
      </c>
      <c r="AO1430" s="563"/>
      <c r="AP1430" s="563"/>
      <c r="AQ1430" s="563"/>
      <c r="AR1430" s="563">
        <f>I1430</f>
        <v>1600</v>
      </c>
      <c r="AS1430" s="563"/>
      <c r="AT1430" s="563"/>
      <c r="AU1430" s="563">
        <f t="shared" si="455"/>
        <v>1600</v>
      </c>
      <c r="AV1430" s="563"/>
      <c r="AW1430" s="563">
        <f t="shared" si="456"/>
        <v>1600</v>
      </c>
      <c r="AX1430" s="1004"/>
      <c r="AY1430" s="563"/>
      <c r="AZ1430" s="563"/>
      <c r="BA1430" s="563"/>
      <c r="BB1430" s="563"/>
      <c r="BC1430" s="563"/>
      <c r="BD1430" s="563"/>
      <c r="BE1430" s="563"/>
      <c r="BF1430" s="563"/>
      <c r="BG1430" s="563"/>
      <c r="BH1430" s="563">
        <f>I1430/4</f>
        <v>400</v>
      </c>
      <c r="BI1430" s="563"/>
      <c r="BJ1430" s="563"/>
      <c r="BK1430" s="563"/>
      <c r="BL1430" s="563"/>
      <c r="BM1430" s="563"/>
      <c r="BN1430" s="563"/>
      <c r="BO1430" s="563"/>
      <c r="BP1430" s="563"/>
      <c r="BQ1430" s="563"/>
      <c r="BR1430" s="563"/>
      <c r="BS1430" s="563"/>
      <c r="BT1430" s="563"/>
      <c r="BU1430" s="563"/>
      <c r="BV1430" s="563"/>
      <c r="BW1430" s="563"/>
      <c r="BX1430" s="563"/>
      <c r="BY1430" s="563"/>
      <c r="BZ1430" s="563"/>
      <c r="CA1430" s="563"/>
      <c r="CB1430" s="563"/>
      <c r="CC1430" s="563"/>
      <c r="CD1430" s="563"/>
      <c r="CE1430" s="563"/>
      <c r="CF1430" s="563"/>
      <c r="CG1430" s="563"/>
      <c r="CH1430" s="1015"/>
      <c r="CI1430" s="1015"/>
      <c r="CJ1430" s="1015"/>
      <c r="CK1430" s="1015"/>
      <c r="CL1430" s="1015"/>
      <c r="CM1430" s="563"/>
      <c r="CN1430" s="563"/>
      <c r="CO1430" s="563"/>
      <c r="CP1430" s="1015"/>
      <c r="CQ1430" s="1015"/>
      <c r="CR1430" s="1015"/>
      <c r="CS1430" s="1015"/>
      <c r="CT1430" s="1015"/>
      <c r="CU1430" s="1015"/>
    </row>
    <row r="1431" s="559" customFormat="1" ht="31" customHeight="1" spans="1:99">
      <c r="A1431" s="1008">
        <v>46189</v>
      </c>
      <c r="B1431" s="628" t="s">
        <v>169</v>
      </c>
      <c r="C1431" s="618" t="s">
        <v>170</v>
      </c>
      <c r="D1431" s="1009">
        <v>4500212526</v>
      </c>
      <c r="E1431" s="618" t="s">
        <v>5605</v>
      </c>
      <c r="F1431" s="687" t="s">
        <v>5606</v>
      </c>
      <c r="G1431" s="618" t="s">
        <v>5294</v>
      </c>
      <c r="H1431" s="939" t="s">
        <v>477</v>
      </c>
      <c r="I1431" s="1069">
        <v>462</v>
      </c>
      <c r="J1431" s="618">
        <v>0</v>
      </c>
      <c r="K1431" s="618">
        <v>2</v>
      </c>
      <c r="L1431" s="1011">
        <f t="shared" ref="L1431:L1488" si="458">I1431/K1431</f>
        <v>231</v>
      </c>
      <c r="M1431" s="1012">
        <v>46258</v>
      </c>
      <c r="N1431" s="1012">
        <v>46254</v>
      </c>
      <c r="O1431" s="994" t="s">
        <v>5607</v>
      </c>
      <c r="P1431" s="618"/>
      <c r="Q1431" s="774"/>
      <c r="R1431" s="999">
        <v>46209</v>
      </c>
      <c r="S1431" s="999" t="s">
        <v>70</v>
      </c>
      <c r="T1431" s="999" t="s">
        <v>5608</v>
      </c>
      <c r="U1431" s="999"/>
      <c r="V1431" s="646"/>
      <c r="W1431" s="626" t="s">
        <v>5609</v>
      </c>
      <c r="X1431" s="1075" t="s">
        <v>5610</v>
      </c>
      <c r="Y1431" s="1014" t="s">
        <v>2071</v>
      </c>
      <c r="Z1431" s="1339">
        <v>6.27</v>
      </c>
      <c r="AA1431" s="1014">
        <f t="shared" si="457"/>
        <v>2896.74</v>
      </c>
      <c r="AB1431" s="626" t="s">
        <v>5611</v>
      </c>
      <c r="AC1431" s="1077"/>
      <c r="AD1431" s="939" t="s">
        <v>5300</v>
      </c>
      <c r="AE1431" s="939" t="s">
        <v>82</v>
      </c>
      <c r="AF1431" s="618"/>
      <c r="AG1431" s="618"/>
      <c r="AH1431" s="618"/>
      <c r="AI1431" s="609"/>
      <c r="AJ1431" s="773">
        <f t="shared" si="453"/>
        <v>-462</v>
      </c>
      <c r="AK1431" s="618"/>
      <c r="AL1431" s="618"/>
      <c r="AM1431" s="687"/>
      <c r="AN1431" s="687">
        <f t="shared" ref="AN1431:AN1489" si="459">I1431</f>
        <v>462</v>
      </c>
      <c r="AO1431" s="687"/>
      <c r="AP1431" s="687"/>
      <c r="AQ1431" s="687"/>
      <c r="AR1431" s="563"/>
      <c r="AS1431" s="687"/>
      <c r="AT1431" s="687">
        <f>I1431</f>
        <v>462</v>
      </c>
      <c r="AU1431" s="563">
        <f t="shared" ref="AU1431:AU1441" si="460">I1431</f>
        <v>462</v>
      </c>
      <c r="AV1431" s="687"/>
      <c r="AW1431" s="687">
        <f t="shared" si="456"/>
        <v>462</v>
      </c>
      <c r="AX1431" s="1016"/>
      <c r="AY1431" s="687"/>
      <c r="AZ1431" s="687"/>
      <c r="BA1431" s="687"/>
      <c r="BB1431" s="687"/>
      <c r="BC1431" s="687"/>
      <c r="BD1431" s="687"/>
      <c r="BE1431" s="687"/>
      <c r="BF1431" s="687"/>
      <c r="BG1431" s="687"/>
      <c r="BH1431" s="687"/>
      <c r="BI1431" s="687"/>
      <c r="BJ1431" s="687"/>
      <c r="BK1431" s="687"/>
      <c r="BL1431" s="687"/>
      <c r="BM1431" s="687"/>
      <c r="BN1431" s="687">
        <f>I1431</f>
        <v>462</v>
      </c>
      <c r="BO1431" s="687"/>
      <c r="BP1431" s="687"/>
      <c r="BQ1431" s="687"/>
      <c r="BR1431" s="687"/>
      <c r="BS1431" s="687"/>
      <c r="BT1431" s="687"/>
      <c r="BU1431" s="687"/>
      <c r="BV1431" s="687"/>
      <c r="BW1431" s="687"/>
      <c r="BX1431" s="687"/>
      <c r="BY1431" s="687"/>
      <c r="BZ1431" s="687"/>
      <c r="CA1431" s="687"/>
      <c r="CB1431" s="687"/>
      <c r="CC1431" s="687"/>
      <c r="CD1431" s="687"/>
      <c r="CE1431" s="687"/>
      <c r="CF1431" s="687"/>
      <c r="CG1431" s="687"/>
      <c r="CH1431" s="1020"/>
      <c r="CI1431" s="1020"/>
      <c r="CJ1431" s="1020"/>
      <c r="CK1431" s="1020"/>
      <c r="CL1431" s="1020"/>
      <c r="CM1431" s="687"/>
      <c r="CN1431" s="687"/>
      <c r="CO1431" s="687"/>
      <c r="CP1431" s="1020"/>
      <c r="CQ1431" s="1020"/>
      <c r="CR1431" s="1020"/>
      <c r="CS1431" s="1020"/>
      <c r="CT1431" s="1020"/>
      <c r="CU1431" s="1020"/>
    </row>
    <row r="1432" s="1270" customFormat="1" ht="31" customHeight="1" spans="1:99">
      <c r="A1432" s="1022">
        <v>46213</v>
      </c>
      <c r="B1432" s="626" t="s">
        <v>4371</v>
      </c>
      <c r="C1432" s="939" t="s">
        <v>98</v>
      </c>
      <c r="D1432" s="1063">
        <v>4500216020</v>
      </c>
      <c r="E1432" s="939" t="s">
        <v>5612</v>
      </c>
      <c r="F1432" s="563" t="s">
        <v>5613</v>
      </c>
      <c r="G1432" s="939" t="s">
        <v>101</v>
      </c>
      <c r="H1432" s="939" t="s">
        <v>102</v>
      </c>
      <c r="I1432" s="1023">
        <v>2720</v>
      </c>
      <c r="J1432" s="939">
        <v>0</v>
      </c>
      <c r="K1432" s="939">
        <v>4</v>
      </c>
      <c r="L1432" s="1064">
        <f t="shared" si="458"/>
        <v>680</v>
      </c>
      <c r="M1432" s="1027">
        <v>46258</v>
      </c>
      <c r="N1432" s="1027">
        <v>46254</v>
      </c>
      <c r="O1432" s="1028" t="s">
        <v>5603</v>
      </c>
      <c r="P1432" s="939"/>
      <c r="Q1432" s="999"/>
      <c r="R1432" s="999" t="s">
        <v>4563</v>
      </c>
      <c r="S1432" s="999" t="s">
        <v>70</v>
      </c>
      <c r="T1432" s="999" t="s">
        <v>5564</v>
      </c>
      <c r="U1432" s="999"/>
      <c r="V1432" s="999"/>
      <c r="W1432" s="626"/>
      <c r="X1432" s="626" t="s">
        <v>5614</v>
      </c>
      <c r="Y1432" s="1001" t="s">
        <v>4378</v>
      </c>
      <c r="Z1432" s="1076">
        <v>2.6794</v>
      </c>
      <c r="AA1432" s="1001">
        <f t="shared" si="457"/>
        <v>7287.968</v>
      </c>
      <c r="AB1432" s="563"/>
      <c r="AC1432" s="1077"/>
      <c r="AD1432" s="939" t="s">
        <v>101</v>
      </c>
      <c r="AE1432" s="939" t="s">
        <v>82</v>
      </c>
      <c r="AF1432" s="939"/>
      <c r="AG1432" s="939"/>
      <c r="AH1432" s="939"/>
      <c r="AI1432" s="626"/>
      <c r="AJ1432" s="1031">
        <f t="shared" si="453"/>
        <v>-2720</v>
      </c>
      <c r="AK1432" s="939"/>
      <c r="AL1432" s="939"/>
      <c r="AM1432" s="563"/>
      <c r="AN1432" s="563">
        <f t="shared" si="459"/>
        <v>2720</v>
      </c>
      <c r="AO1432" s="563"/>
      <c r="AP1432" s="563"/>
      <c r="AQ1432" s="563"/>
      <c r="AR1432" s="563">
        <f>I1432</f>
        <v>2720</v>
      </c>
      <c r="AS1432" s="563"/>
      <c r="AT1432" s="563"/>
      <c r="AU1432" s="563">
        <f t="shared" si="460"/>
        <v>2720</v>
      </c>
      <c r="AV1432" s="563"/>
      <c r="AW1432" s="563">
        <f t="shared" si="456"/>
        <v>2720</v>
      </c>
      <c r="AX1432" s="1004"/>
      <c r="AY1432" s="563"/>
      <c r="AZ1432" s="563"/>
      <c r="BA1432" s="563"/>
      <c r="BB1432" s="563"/>
      <c r="BC1432" s="563"/>
      <c r="BD1432" s="563"/>
      <c r="BE1432" s="563"/>
      <c r="BF1432" s="563"/>
      <c r="BG1432" s="563"/>
      <c r="BH1432" s="563">
        <f>I1432/4</f>
        <v>680</v>
      </c>
      <c r="BI1432" s="563"/>
      <c r="BJ1432" s="563"/>
      <c r="BK1432" s="563"/>
      <c r="BL1432" s="563"/>
      <c r="BM1432" s="563"/>
      <c r="BN1432" s="563"/>
      <c r="BO1432" s="563"/>
      <c r="BP1432" s="563"/>
      <c r="BQ1432" s="563"/>
      <c r="BR1432" s="563"/>
      <c r="BS1432" s="563"/>
      <c r="BT1432" s="563"/>
      <c r="BU1432" s="563"/>
      <c r="BV1432" s="563"/>
      <c r="BW1432" s="563"/>
      <c r="BX1432" s="563"/>
      <c r="BY1432" s="563"/>
      <c r="BZ1432" s="563"/>
      <c r="CA1432" s="563"/>
      <c r="CB1432" s="563"/>
      <c r="CC1432" s="563"/>
      <c r="CD1432" s="563"/>
      <c r="CE1432" s="563"/>
      <c r="CF1432" s="563"/>
      <c r="CG1432" s="563"/>
      <c r="CH1432" s="1015"/>
      <c r="CI1432" s="1015"/>
      <c r="CJ1432" s="1015"/>
      <c r="CK1432" s="1015"/>
      <c r="CL1432" s="1015"/>
      <c r="CM1432" s="563"/>
      <c r="CN1432" s="563"/>
      <c r="CO1432" s="563"/>
      <c r="CP1432" s="1015"/>
      <c r="CQ1432" s="1015"/>
      <c r="CR1432" s="1015"/>
      <c r="CS1432" s="1015"/>
      <c r="CT1432" s="1015"/>
      <c r="CU1432" s="1015"/>
    </row>
    <row r="1433" s="1270" customFormat="1" ht="31" customHeight="1" spans="1:99">
      <c r="A1433" s="1022">
        <v>46213</v>
      </c>
      <c r="B1433" s="626" t="s">
        <v>4371</v>
      </c>
      <c r="C1433" s="939" t="s">
        <v>98</v>
      </c>
      <c r="D1433" s="1063">
        <v>4500216020</v>
      </c>
      <c r="E1433" s="939" t="s">
        <v>5615</v>
      </c>
      <c r="F1433" s="563" t="s">
        <v>5616</v>
      </c>
      <c r="G1433" s="939" t="s">
        <v>101</v>
      </c>
      <c r="H1433" s="939" t="s">
        <v>102</v>
      </c>
      <c r="I1433" s="1023">
        <v>1920</v>
      </c>
      <c r="J1433" s="939">
        <v>0</v>
      </c>
      <c r="K1433" s="939">
        <v>4</v>
      </c>
      <c r="L1433" s="1064">
        <f t="shared" si="458"/>
        <v>480</v>
      </c>
      <c r="M1433" s="1027">
        <v>46258</v>
      </c>
      <c r="N1433" s="1027">
        <v>46254</v>
      </c>
      <c r="O1433" s="1028" t="s">
        <v>5603</v>
      </c>
      <c r="P1433" s="939"/>
      <c r="Q1433" s="999"/>
      <c r="R1433" s="999" t="s">
        <v>4563</v>
      </c>
      <c r="S1433" s="999" t="s">
        <v>70</v>
      </c>
      <c r="T1433" s="999" t="s">
        <v>5564</v>
      </c>
      <c r="U1433" s="999"/>
      <c r="V1433" s="999"/>
      <c r="W1433" s="626"/>
      <c r="X1433" s="626" t="s">
        <v>5614</v>
      </c>
      <c r="Y1433" s="1001" t="s">
        <v>4378</v>
      </c>
      <c r="Z1433" s="1076">
        <v>2.6794</v>
      </c>
      <c r="AA1433" s="1001">
        <f t="shared" si="457"/>
        <v>5144.448</v>
      </c>
      <c r="AB1433" s="563"/>
      <c r="AC1433" s="1077"/>
      <c r="AD1433" s="939" t="s">
        <v>101</v>
      </c>
      <c r="AE1433" s="939" t="s">
        <v>82</v>
      </c>
      <c r="AF1433" s="939"/>
      <c r="AG1433" s="939"/>
      <c r="AH1433" s="939"/>
      <c r="AI1433" s="626"/>
      <c r="AJ1433" s="1031">
        <f t="shared" si="453"/>
        <v>-1920</v>
      </c>
      <c r="AK1433" s="939"/>
      <c r="AL1433" s="939"/>
      <c r="AM1433" s="563"/>
      <c r="AN1433" s="563">
        <f t="shared" si="459"/>
        <v>1920</v>
      </c>
      <c r="AO1433" s="563"/>
      <c r="AP1433" s="563"/>
      <c r="AQ1433" s="563"/>
      <c r="AR1433" s="563">
        <f>I1433</f>
        <v>1920</v>
      </c>
      <c r="AS1433" s="563"/>
      <c r="AT1433" s="563"/>
      <c r="AU1433" s="563">
        <f t="shared" si="460"/>
        <v>1920</v>
      </c>
      <c r="AV1433" s="563"/>
      <c r="AW1433" s="563">
        <f t="shared" si="456"/>
        <v>1920</v>
      </c>
      <c r="AX1433" s="1004"/>
      <c r="AY1433" s="563"/>
      <c r="AZ1433" s="563"/>
      <c r="BA1433" s="563"/>
      <c r="BB1433" s="563"/>
      <c r="BC1433" s="563"/>
      <c r="BD1433" s="563"/>
      <c r="BE1433" s="563"/>
      <c r="BF1433" s="563"/>
      <c r="BG1433" s="563"/>
      <c r="BH1433" s="563">
        <f>I1433/4</f>
        <v>480</v>
      </c>
      <c r="BI1433" s="563"/>
      <c r="BJ1433" s="563"/>
      <c r="BK1433" s="563"/>
      <c r="BL1433" s="563"/>
      <c r="BM1433" s="563"/>
      <c r="BN1433" s="563"/>
      <c r="BO1433" s="563"/>
      <c r="BP1433" s="563"/>
      <c r="BQ1433" s="563"/>
      <c r="BR1433" s="563"/>
      <c r="BS1433" s="563"/>
      <c r="BT1433" s="563"/>
      <c r="BU1433" s="563"/>
      <c r="BV1433" s="563"/>
      <c r="BW1433" s="563"/>
      <c r="BX1433" s="563"/>
      <c r="BY1433" s="563"/>
      <c r="BZ1433" s="563"/>
      <c r="CA1433" s="563"/>
      <c r="CB1433" s="563"/>
      <c r="CC1433" s="563"/>
      <c r="CD1433" s="563"/>
      <c r="CE1433" s="563"/>
      <c r="CF1433" s="563"/>
      <c r="CG1433" s="563"/>
      <c r="CH1433" s="1015"/>
      <c r="CI1433" s="1015"/>
      <c r="CJ1433" s="1015"/>
      <c r="CK1433" s="1015"/>
      <c r="CL1433" s="1015"/>
      <c r="CM1433" s="563"/>
      <c r="CN1433" s="563"/>
      <c r="CO1433" s="563"/>
      <c r="CP1433" s="1015"/>
      <c r="CQ1433" s="1015"/>
      <c r="CR1433" s="1015"/>
      <c r="CS1433" s="1015"/>
      <c r="CT1433" s="1015"/>
      <c r="CU1433" s="1015"/>
    </row>
    <row r="1434" s="1270" customFormat="1" ht="31" customHeight="1" spans="1:99">
      <c r="A1434" s="1022">
        <v>46213</v>
      </c>
      <c r="B1434" s="626" t="s">
        <v>4371</v>
      </c>
      <c r="C1434" s="939" t="s">
        <v>98</v>
      </c>
      <c r="D1434" s="1063">
        <v>4500216020</v>
      </c>
      <c r="E1434" s="939" t="s">
        <v>5617</v>
      </c>
      <c r="F1434" s="563" t="s">
        <v>5618</v>
      </c>
      <c r="G1434" s="939" t="s">
        <v>101</v>
      </c>
      <c r="H1434" s="939" t="s">
        <v>102</v>
      </c>
      <c r="I1434" s="1023">
        <v>560</v>
      </c>
      <c r="J1434" s="939">
        <v>0</v>
      </c>
      <c r="K1434" s="939">
        <v>4</v>
      </c>
      <c r="L1434" s="1064">
        <f t="shared" si="458"/>
        <v>140</v>
      </c>
      <c r="M1434" s="1027">
        <v>46258</v>
      </c>
      <c r="N1434" s="1027">
        <v>46254</v>
      </c>
      <c r="O1434" s="1028" t="s">
        <v>5603</v>
      </c>
      <c r="P1434" s="939"/>
      <c r="Q1434" s="999"/>
      <c r="R1434" s="999" t="s">
        <v>4563</v>
      </c>
      <c r="S1434" s="999" t="s">
        <v>70</v>
      </c>
      <c r="T1434" s="999" t="s">
        <v>5564</v>
      </c>
      <c r="U1434" s="999"/>
      <c r="V1434" s="999"/>
      <c r="W1434" s="626"/>
      <c r="X1434" s="626" t="s">
        <v>5614</v>
      </c>
      <c r="Y1434" s="1001" t="s">
        <v>4378</v>
      </c>
      <c r="Z1434" s="1076">
        <v>2.6794</v>
      </c>
      <c r="AA1434" s="1001">
        <f t="shared" si="457"/>
        <v>1500.464</v>
      </c>
      <c r="AB1434" s="563"/>
      <c r="AC1434" s="1077"/>
      <c r="AD1434" s="939" t="s">
        <v>101</v>
      </c>
      <c r="AE1434" s="939" t="s">
        <v>82</v>
      </c>
      <c r="AF1434" s="939"/>
      <c r="AG1434" s="939"/>
      <c r="AH1434" s="939"/>
      <c r="AI1434" s="626"/>
      <c r="AJ1434" s="1031">
        <f t="shared" si="453"/>
        <v>-560</v>
      </c>
      <c r="AK1434" s="939"/>
      <c r="AL1434" s="939"/>
      <c r="AM1434" s="563"/>
      <c r="AN1434" s="563">
        <f t="shared" si="459"/>
        <v>560</v>
      </c>
      <c r="AO1434" s="563"/>
      <c r="AP1434" s="563"/>
      <c r="AQ1434" s="563"/>
      <c r="AR1434" s="563">
        <f>I1434</f>
        <v>560</v>
      </c>
      <c r="AS1434" s="563"/>
      <c r="AT1434" s="563"/>
      <c r="AU1434" s="563">
        <f t="shared" si="460"/>
        <v>560</v>
      </c>
      <c r="AV1434" s="563"/>
      <c r="AW1434" s="563">
        <f t="shared" si="456"/>
        <v>560</v>
      </c>
      <c r="AX1434" s="1004"/>
      <c r="AY1434" s="563"/>
      <c r="AZ1434" s="563"/>
      <c r="BA1434" s="563"/>
      <c r="BB1434" s="563"/>
      <c r="BC1434" s="563"/>
      <c r="BD1434" s="563"/>
      <c r="BE1434" s="563"/>
      <c r="BF1434" s="563"/>
      <c r="BG1434" s="563"/>
      <c r="BH1434" s="563">
        <f>I1434/4</f>
        <v>140</v>
      </c>
      <c r="BI1434" s="563"/>
      <c r="BJ1434" s="563"/>
      <c r="BK1434" s="563"/>
      <c r="BL1434" s="563"/>
      <c r="BM1434" s="563"/>
      <c r="BN1434" s="563"/>
      <c r="BO1434" s="563"/>
      <c r="BP1434" s="563"/>
      <c r="BQ1434" s="563"/>
      <c r="BR1434" s="563"/>
      <c r="BS1434" s="563"/>
      <c r="BT1434" s="563"/>
      <c r="BU1434" s="563"/>
      <c r="BV1434" s="563"/>
      <c r="BW1434" s="563"/>
      <c r="BX1434" s="563"/>
      <c r="BY1434" s="563"/>
      <c r="BZ1434" s="563"/>
      <c r="CA1434" s="563"/>
      <c r="CB1434" s="563"/>
      <c r="CC1434" s="563"/>
      <c r="CD1434" s="563"/>
      <c r="CE1434" s="563"/>
      <c r="CF1434" s="563"/>
      <c r="CG1434" s="563"/>
      <c r="CH1434" s="1015"/>
      <c r="CI1434" s="1015"/>
      <c r="CJ1434" s="1015"/>
      <c r="CK1434" s="1015"/>
      <c r="CL1434" s="1015"/>
      <c r="CM1434" s="563"/>
      <c r="CN1434" s="563"/>
      <c r="CO1434" s="563"/>
      <c r="CP1434" s="1015"/>
      <c r="CQ1434" s="1015"/>
      <c r="CR1434" s="1015"/>
      <c r="CS1434" s="1015"/>
      <c r="CT1434" s="1015"/>
      <c r="CU1434" s="1015"/>
    </row>
    <row r="1435" s="559" customFormat="1" ht="31" customHeight="1" spans="1:99">
      <c r="A1435" s="1008">
        <v>46184</v>
      </c>
      <c r="B1435" s="628" t="s">
        <v>1024</v>
      </c>
      <c r="C1435" s="618" t="s">
        <v>399</v>
      </c>
      <c r="D1435" s="1009">
        <v>4500211485</v>
      </c>
      <c r="E1435" s="618"/>
      <c r="F1435" s="687" t="s">
        <v>5619</v>
      </c>
      <c r="G1435" s="618" t="s">
        <v>68</v>
      </c>
      <c r="H1435" s="939" t="s">
        <v>69</v>
      </c>
      <c r="I1435" s="1069">
        <v>2004</v>
      </c>
      <c r="J1435" s="618">
        <v>0</v>
      </c>
      <c r="K1435" s="618">
        <v>12</v>
      </c>
      <c r="L1435" s="1011">
        <f t="shared" si="458"/>
        <v>167</v>
      </c>
      <c r="M1435" s="1012">
        <v>46259</v>
      </c>
      <c r="N1435" s="1012">
        <v>46255</v>
      </c>
      <c r="O1435" s="773"/>
      <c r="P1435" s="618"/>
      <c r="Q1435" s="774"/>
      <c r="R1435" s="999">
        <v>46191</v>
      </c>
      <c r="S1435" s="999" t="s">
        <v>70</v>
      </c>
      <c r="T1435" s="999" t="s">
        <v>70</v>
      </c>
      <c r="U1435" s="999" t="s">
        <v>5552</v>
      </c>
      <c r="V1435" s="646"/>
      <c r="W1435" s="626" t="s">
        <v>5620</v>
      </c>
      <c r="X1435" s="628" t="s">
        <v>5621</v>
      </c>
      <c r="Y1435" s="1014" t="s">
        <v>445</v>
      </c>
      <c r="Z1435" s="1339">
        <v>4.3274</v>
      </c>
      <c r="AA1435" s="1014">
        <f t="shared" ref="AA1431:AA1441" si="461">Z1435*I1435</f>
        <v>8672.1096</v>
      </c>
      <c r="AB1435" s="687"/>
      <c r="AC1435" s="1077"/>
      <c r="AD1435" s="939" t="s">
        <v>184</v>
      </c>
      <c r="AE1435" s="939" t="s">
        <v>82</v>
      </c>
      <c r="AF1435" s="618"/>
      <c r="AG1435" s="618"/>
      <c r="AH1435" s="618"/>
      <c r="AI1435" s="609"/>
      <c r="AJ1435" s="939">
        <f t="shared" ref="AJ1431:AJ1498" si="462">AI1435-I1435</f>
        <v>-2004</v>
      </c>
      <c r="AK1435" s="618"/>
      <c r="AL1435" s="618"/>
      <c r="AM1435" s="687"/>
      <c r="AN1435" s="687">
        <f t="shared" si="459"/>
        <v>2004</v>
      </c>
      <c r="AO1435" s="687"/>
      <c r="AP1435" s="687"/>
      <c r="AQ1435" s="687"/>
      <c r="AR1435" s="687"/>
      <c r="AS1435" s="563">
        <f>I1435</f>
        <v>2004</v>
      </c>
      <c r="AT1435" s="563"/>
      <c r="AU1435" s="563">
        <f t="shared" si="460"/>
        <v>2004</v>
      </c>
      <c r="AV1435" s="687"/>
      <c r="AW1435" s="563">
        <f t="shared" ref="AW1431:AW1441" si="463">I1435</f>
        <v>2004</v>
      </c>
      <c r="AX1435" s="1016"/>
      <c r="AY1435" s="687"/>
      <c r="AZ1435" s="687"/>
      <c r="BA1435" s="687"/>
      <c r="BB1435" s="687"/>
      <c r="BC1435" s="687"/>
      <c r="BD1435" s="687"/>
      <c r="BE1435" s="687"/>
      <c r="BF1435" s="687"/>
      <c r="BG1435" s="687"/>
      <c r="BH1435" s="687"/>
      <c r="BI1435" s="687"/>
      <c r="BJ1435" s="687"/>
      <c r="BK1435" s="687"/>
      <c r="BL1435" s="687"/>
      <c r="BM1435" s="687"/>
      <c r="BN1435" s="687"/>
      <c r="BO1435" s="687"/>
      <c r="BP1435" s="687"/>
      <c r="BQ1435" s="687"/>
      <c r="BR1435" s="687"/>
      <c r="BS1435" s="687"/>
      <c r="BT1435" s="687"/>
      <c r="BU1435" s="687"/>
      <c r="BV1435" s="687"/>
      <c r="BW1435" s="687"/>
      <c r="BX1435" s="687"/>
      <c r="BY1435" s="687"/>
      <c r="BZ1435" s="687"/>
      <c r="CA1435" s="687"/>
      <c r="CB1435" s="687"/>
      <c r="CC1435" s="687"/>
      <c r="CD1435" s="687"/>
      <c r="CE1435" s="687"/>
      <c r="CF1435" s="687"/>
      <c r="CG1435" s="687"/>
      <c r="CH1435" s="1020"/>
      <c r="CI1435" s="1020"/>
      <c r="CJ1435" s="1020"/>
      <c r="CK1435" s="1020"/>
      <c r="CL1435" s="1020"/>
      <c r="CM1435" s="687"/>
      <c r="CN1435" s="687"/>
      <c r="CO1435" s="687"/>
      <c r="CP1435" s="1020"/>
      <c r="CQ1435" s="1020"/>
      <c r="CR1435" s="1020"/>
      <c r="CS1435" s="1020"/>
      <c r="CT1435" s="1020"/>
      <c r="CU1435" s="1020"/>
    </row>
    <row r="1436" s="559" customFormat="1" ht="31" customHeight="1" spans="1:99">
      <c r="A1436" s="1008">
        <v>46184</v>
      </c>
      <c r="B1436" s="628" t="s">
        <v>1024</v>
      </c>
      <c r="C1436" s="618" t="s">
        <v>399</v>
      </c>
      <c r="D1436" s="1009">
        <v>4500211485</v>
      </c>
      <c r="E1436" s="618"/>
      <c r="F1436" s="687" t="s">
        <v>5622</v>
      </c>
      <c r="G1436" s="618" t="s">
        <v>518</v>
      </c>
      <c r="H1436" s="939" t="s">
        <v>477</v>
      </c>
      <c r="I1436" s="1069">
        <v>1500</v>
      </c>
      <c r="J1436" s="618">
        <v>0</v>
      </c>
      <c r="K1436" s="618">
        <v>6</v>
      </c>
      <c r="L1436" s="1011">
        <f t="shared" si="458"/>
        <v>250</v>
      </c>
      <c r="M1436" s="1012">
        <v>46259</v>
      </c>
      <c r="N1436" s="1012">
        <v>46255</v>
      </c>
      <c r="O1436" s="773"/>
      <c r="P1436" s="618"/>
      <c r="Q1436" s="774"/>
      <c r="R1436" s="999">
        <v>46191</v>
      </c>
      <c r="S1436" s="999" t="s">
        <v>70</v>
      </c>
      <c r="T1436" s="999" t="s">
        <v>5623</v>
      </c>
      <c r="U1436" s="999" t="s">
        <v>5552</v>
      </c>
      <c r="V1436" s="646"/>
      <c r="W1436" s="626" t="s">
        <v>5620</v>
      </c>
      <c r="X1436" s="628" t="s">
        <v>5624</v>
      </c>
      <c r="Y1436" s="1014" t="s">
        <v>445</v>
      </c>
      <c r="Z1436" s="1339">
        <v>7.0792</v>
      </c>
      <c r="AA1436" s="1014">
        <f t="shared" si="461"/>
        <v>10618.8</v>
      </c>
      <c r="AB1436" s="687"/>
      <c r="AC1436" s="1077"/>
      <c r="AD1436" s="939" t="s">
        <v>480</v>
      </c>
      <c r="AE1436" s="939" t="s">
        <v>82</v>
      </c>
      <c r="AF1436" s="618"/>
      <c r="AG1436" s="618"/>
      <c r="AH1436" s="618"/>
      <c r="AI1436" s="609"/>
      <c r="AJ1436" s="939">
        <f t="shared" si="462"/>
        <v>-1500</v>
      </c>
      <c r="AK1436" s="618"/>
      <c r="AL1436" s="618"/>
      <c r="AM1436" s="687"/>
      <c r="AN1436" s="687">
        <f t="shared" si="459"/>
        <v>1500</v>
      </c>
      <c r="AO1436" s="687"/>
      <c r="AP1436" s="687"/>
      <c r="AQ1436" s="687"/>
      <c r="AR1436" s="687"/>
      <c r="AS1436" s="563">
        <f>I1436</f>
        <v>1500</v>
      </c>
      <c r="AT1436" s="563"/>
      <c r="AU1436" s="563">
        <f t="shared" si="460"/>
        <v>1500</v>
      </c>
      <c r="AV1436" s="563"/>
      <c r="AW1436" s="563">
        <f t="shared" si="463"/>
        <v>1500</v>
      </c>
      <c r="AX1436" s="1016"/>
      <c r="AY1436" s="687"/>
      <c r="AZ1436" s="687"/>
      <c r="BA1436" s="687"/>
      <c r="BB1436" s="687"/>
      <c r="BC1436" s="687"/>
      <c r="BD1436" s="687"/>
      <c r="BE1436" s="687"/>
      <c r="BF1436" s="687"/>
      <c r="BG1436" s="687"/>
      <c r="BH1436" s="687"/>
      <c r="BI1436" s="687"/>
      <c r="BJ1436" s="687"/>
      <c r="BK1436" s="687"/>
      <c r="BL1436" s="687"/>
      <c r="BM1436" s="687"/>
      <c r="BN1436" s="563">
        <f>I1436</f>
        <v>1500</v>
      </c>
      <c r="BO1436" s="687"/>
      <c r="BP1436" s="687"/>
      <c r="BQ1436" s="687"/>
      <c r="BR1436" s="687"/>
      <c r="BS1436" s="687"/>
      <c r="BT1436" s="687"/>
      <c r="BU1436" s="687"/>
      <c r="BV1436" s="687"/>
      <c r="BW1436" s="687"/>
      <c r="BX1436" s="687"/>
      <c r="BY1436" s="687"/>
      <c r="BZ1436" s="687"/>
      <c r="CA1436" s="687"/>
      <c r="CB1436" s="687"/>
      <c r="CC1436" s="687"/>
      <c r="CD1436" s="687"/>
      <c r="CE1436" s="687"/>
      <c r="CF1436" s="687"/>
      <c r="CG1436" s="687"/>
      <c r="CH1436" s="1020"/>
      <c r="CI1436" s="1020"/>
      <c r="CJ1436" s="1020"/>
      <c r="CK1436" s="1020"/>
      <c r="CL1436" s="1020"/>
      <c r="CM1436" s="687"/>
      <c r="CN1436" s="687"/>
      <c r="CO1436" s="687"/>
      <c r="CP1436" s="1020"/>
      <c r="CQ1436" s="1020"/>
      <c r="CR1436" s="1020"/>
      <c r="CS1436" s="1020"/>
      <c r="CT1436" s="1020"/>
      <c r="CU1436" s="1020"/>
    </row>
    <row r="1437" s="1270" customFormat="1" ht="31" customHeight="1" spans="1:99">
      <c r="A1437" s="1022">
        <v>46205</v>
      </c>
      <c r="B1437" s="626" t="s">
        <v>5430</v>
      </c>
      <c r="C1437" s="939" t="s">
        <v>723</v>
      </c>
      <c r="D1437" s="1063">
        <v>4500214715</v>
      </c>
      <c r="E1437" s="939" t="s">
        <v>5625</v>
      </c>
      <c r="F1437" s="563" t="s">
        <v>5626</v>
      </c>
      <c r="G1437" s="939" t="s">
        <v>111</v>
      </c>
      <c r="H1437" s="939" t="s">
        <v>112</v>
      </c>
      <c r="I1437" s="1023">
        <v>288</v>
      </c>
      <c r="J1437" s="939">
        <v>0</v>
      </c>
      <c r="K1437" s="939">
        <v>16</v>
      </c>
      <c r="L1437" s="1064">
        <f t="shared" si="458"/>
        <v>18</v>
      </c>
      <c r="M1437" s="1027">
        <v>46259</v>
      </c>
      <c r="N1437" s="1027">
        <v>46255</v>
      </c>
      <c r="O1437" s="1031"/>
      <c r="P1437" s="939"/>
      <c r="Q1437" s="999"/>
      <c r="R1437" s="999">
        <v>46205</v>
      </c>
      <c r="S1437" s="999" t="s">
        <v>70</v>
      </c>
      <c r="T1437" s="999" t="s">
        <v>5435</v>
      </c>
      <c r="U1437" s="999"/>
      <c r="V1437" s="999"/>
      <c r="W1437" s="626"/>
      <c r="X1437" s="626" t="s">
        <v>5627</v>
      </c>
      <c r="Y1437" s="1001" t="s">
        <v>3527</v>
      </c>
      <c r="Z1437" s="1076">
        <v>4.425</v>
      </c>
      <c r="AA1437" s="1001">
        <f t="shared" si="461"/>
        <v>1274.4</v>
      </c>
      <c r="AB1437" s="563"/>
      <c r="AC1437" s="1077"/>
      <c r="AD1437" s="939" t="s">
        <v>111</v>
      </c>
      <c r="AE1437" s="939" t="s">
        <v>82</v>
      </c>
      <c r="AF1437" s="939"/>
      <c r="AG1437" s="939"/>
      <c r="AH1437" s="939"/>
      <c r="AI1437" s="609"/>
      <c r="AJ1437" s="939">
        <f t="shared" si="462"/>
        <v>-288</v>
      </c>
      <c r="AK1437" s="939"/>
      <c r="AL1437" s="939" t="s">
        <v>2368</v>
      </c>
      <c r="AM1437" s="563"/>
      <c r="AN1437" s="563">
        <f t="shared" si="459"/>
        <v>288</v>
      </c>
      <c r="AO1437" s="563"/>
      <c r="AP1437" s="563"/>
      <c r="AQ1437" s="563"/>
      <c r="AR1437" s="563">
        <f>I1437</f>
        <v>288</v>
      </c>
      <c r="AS1437" s="563"/>
      <c r="AT1437" s="563"/>
      <c r="AU1437" s="563">
        <f t="shared" si="460"/>
        <v>288</v>
      </c>
      <c r="AV1437" s="563"/>
      <c r="AW1437" s="563">
        <f t="shared" si="463"/>
        <v>288</v>
      </c>
      <c r="AX1437" s="1004"/>
      <c r="AY1437" s="563"/>
      <c r="AZ1437" s="563"/>
      <c r="BA1437" s="563"/>
      <c r="BB1437" s="563"/>
      <c r="BC1437" s="563"/>
      <c r="BD1437" s="563"/>
      <c r="BE1437" s="563"/>
      <c r="BF1437" s="563"/>
      <c r="BG1437" s="563"/>
      <c r="BH1437" s="563">
        <f>I1437/4</f>
        <v>72</v>
      </c>
      <c r="BI1437" s="563"/>
      <c r="BJ1437" s="563"/>
      <c r="BK1437" s="563"/>
      <c r="BL1437" s="563"/>
      <c r="BM1437" s="563"/>
      <c r="BN1437" s="563"/>
      <c r="BO1437" s="563"/>
      <c r="BP1437" s="563"/>
      <c r="BQ1437" s="563"/>
      <c r="BR1437" s="563"/>
      <c r="BS1437" s="563"/>
      <c r="BT1437" s="563"/>
      <c r="BU1437" s="563"/>
      <c r="BV1437" s="563"/>
      <c r="BW1437" s="563"/>
      <c r="BX1437" s="563"/>
      <c r="BY1437" s="563"/>
      <c r="BZ1437" s="563"/>
      <c r="CA1437" s="563"/>
      <c r="CB1437" s="563"/>
      <c r="CC1437" s="563"/>
      <c r="CD1437" s="563"/>
      <c r="CE1437" s="563"/>
      <c r="CF1437" s="563"/>
      <c r="CG1437" s="563"/>
      <c r="CH1437" s="1015"/>
      <c r="CI1437" s="1015"/>
      <c r="CJ1437" s="1015"/>
      <c r="CK1437" s="1015"/>
      <c r="CL1437" s="1015"/>
      <c r="CM1437" s="563"/>
      <c r="CN1437" s="563"/>
      <c r="CO1437" s="563"/>
      <c r="CP1437" s="1015"/>
      <c r="CQ1437" s="1015"/>
      <c r="CR1437" s="1015"/>
      <c r="CS1437" s="1015"/>
      <c r="CT1437" s="1015"/>
      <c r="CU1437" s="1015"/>
    </row>
    <row r="1438" s="559" customFormat="1" ht="31" customHeight="1" spans="1:99">
      <c r="A1438" s="1008">
        <v>46203</v>
      </c>
      <c r="B1438" s="628" t="s">
        <v>5628</v>
      </c>
      <c r="C1438" s="618" t="s">
        <v>847</v>
      </c>
      <c r="D1438" s="687" t="s">
        <v>5629</v>
      </c>
      <c r="E1438" s="618" t="s">
        <v>3846</v>
      </c>
      <c r="F1438" s="687" t="s">
        <v>5630</v>
      </c>
      <c r="G1438" s="618" t="s">
        <v>68</v>
      </c>
      <c r="H1438" s="939" t="s">
        <v>69</v>
      </c>
      <c r="I1438" s="1069">
        <v>504</v>
      </c>
      <c r="J1438" s="618">
        <v>0</v>
      </c>
      <c r="K1438" s="618">
        <v>12</v>
      </c>
      <c r="L1438" s="1011">
        <f t="shared" si="458"/>
        <v>42</v>
      </c>
      <c r="M1438" s="1012">
        <v>46259</v>
      </c>
      <c r="N1438" s="1012">
        <v>46255</v>
      </c>
      <c r="O1438" s="773"/>
      <c r="P1438" s="618"/>
      <c r="Q1438" s="774"/>
      <c r="R1438" s="999">
        <v>46203</v>
      </c>
      <c r="S1438" s="999" t="s">
        <v>70</v>
      </c>
      <c r="T1438" s="1013" t="s">
        <v>5631</v>
      </c>
      <c r="U1438" s="999"/>
      <c r="V1438" s="646"/>
      <c r="W1438" s="626" t="s">
        <v>5632</v>
      </c>
      <c r="X1438" s="1075" t="s">
        <v>5633</v>
      </c>
      <c r="Y1438" s="1014" t="s">
        <v>261</v>
      </c>
      <c r="Z1438" s="1339">
        <v>4.4095</v>
      </c>
      <c r="AA1438" s="1014">
        <f t="shared" si="461"/>
        <v>2222.388</v>
      </c>
      <c r="AB1438" s="687"/>
      <c r="AC1438" s="1077"/>
      <c r="AD1438" s="939" t="s">
        <v>184</v>
      </c>
      <c r="AE1438" s="939" t="s">
        <v>82</v>
      </c>
      <c r="AF1438" s="618"/>
      <c r="AG1438" s="618"/>
      <c r="AH1438" s="618"/>
      <c r="AI1438" s="609"/>
      <c r="AJ1438" s="939">
        <f t="shared" si="462"/>
        <v>-504</v>
      </c>
      <c r="AK1438" s="618"/>
      <c r="AL1438" s="939" t="s">
        <v>2368</v>
      </c>
      <c r="AM1438" s="687"/>
      <c r="AN1438" s="687">
        <f t="shared" si="459"/>
        <v>504</v>
      </c>
      <c r="AO1438" s="687"/>
      <c r="AP1438" s="687"/>
      <c r="AQ1438" s="687"/>
      <c r="AR1438" s="563"/>
      <c r="AS1438" s="563">
        <f>I1438</f>
        <v>504</v>
      </c>
      <c r="AT1438" s="563"/>
      <c r="AU1438" s="563">
        <f t="shared" si="460"/>
        <v>504</v>
      </c>
      <c r="AV1438" s="687"/>
      <c r="AW1438" s="563">
        <f t="shared" si="463"/>
        <v>504</v>
      </c>
      <c r="AX1438" s="1016"/>
      <c r="AY1438" s="687"/>
      <c r="AZ1438" s="687"/>
      <c r="BA1438" s="687"/>
      <c r="BB1438" s="687"/>
      <c r="BC1438" s="687"/>
      <c r="BD1438" s="687"/>
      <c r="BE1438" s="687"/>
      <c r="BF1438" s="687"/>
      <c r="BG1438" s="687"/>
      <c r="BH1438" s="687"/>
      <c r="BI1438" s="687"/>
      <c r="BJ1438" s="687"/>
      <c r="BK1438" s="687"/>
      <c r="BL1438" s="687"/>
      <c r="BM1438" s="687"/>
      <c r="BN1438" s="554"/>
      <c r="BO1438" s="687"/>
      <c r="BP1438" s="687"/>
      <c r="BQ1438" s="687"/>
      <c r="BR1438" s="687"/>
      <c r="BS1438" s="687"/>
      <c r="BT1438" s="687"/>
      <c r="BU1438" s="687"/>
      <c r="BV1438" s="687"/>
      <c r="BW1438" s="687"/>
      <c r="BX1438" s="687"/>
      <c r="BY1438" s="687"/>
      <c r="BZ1438" s="687"/>
      <c r="CA1438" s="687"/>
      <c r="CB1438" s="687"/>
      <c r="CC1438" s="687"/>
      <c r="CD1438" s="687"/>
      <c r="CE1438" s="687"/>
      <c r="CF1438" s="687"/>
      <c r="CG1438" s="687"/>
      <c r="CH1438" s="1020"/>
      <c r="CI1438" s="1020"/>
      <c r="CJ1438" s="1020"/>
      <c r="CK1438" s="1020"/>
      <c r="CL1438" s="1020"/>
      <c r="CM1438" s="687"/>
      <c r="CN1438" s="687"/>
      <c r="CO1438" s="687"/>
      <c r="CP1438" s="1020"/>
      <c r="CQ1438" s="1020"/>
      <c r="CR1438" s="1020"/>
      <c r="CS1438" s="1020"/>
      <c r="CT1438" s="1020"/>
      <c r="CU1438" s="1020"/>
    </row>
    <row r="1439" s="1271" customFormat="1" ht="31" customHeight="1" spans="1:99">
      <c r="A1439" s="1022">
        <v>46216</v>
      </c>
      <c r="B1439" s="626" t="s">
        <v>4371</v>
      </c>
      <c r="C1439" s="939" t="s">
        <v>98</v>
      </c>
      <c r="D1439" s="563">
        <v>4500216252</v>
      </c>
      <c r="E1439" s="939">
        <v>1007021919</v>
      </c>
      <c r="F1439" s="563" t="s">
        <v>5634</v>
      </c>
      <c r="G1439" s="939" t="s">
        <v>101</v>
      </c>
      <c r="H1439" s="939" t="s">
        <v>102</v>
      </c>
      <c r="I1439" s="1023">
        <v>560</v>
      </c>
      <c r="J1439" s="939">
        <v>0</v>
      </c>
      <c r="K1439" s="939">
        <v>4</v>
      </c>
      <c r="L1439" s="1064">
        <f t="shared" si="458"/>
        <v>140</v>
      </c>
      <c r="M1439" s="1027">
        <v>46261</v>
      </c>
      <c r="N1439" s="1027">
        <v>46258</v>
      </c>
      <c r="O1439" s="1031" t="s">
        <v>5635</v>
      </c>
      <c r="P1439" s="939"/>
      <c r="Q1439" s="999"/>
      <c r="R1439" s="999" t="s">
        <v>4563</v>
      </c>
      <c r="S1439" s="999" t="s">
        <v>70</v>
      </c>
      <c r="T1439" s="999" t="s">
        <v>5564</v>
      </c>
      <c r="U1439" s="999"/>
      <c r="V1439" s="999"/>
      <c r="W1439" s="626"/>
      <c r="X1439" s="626" t="s">
        <v>5636</v>
      </c>
      <c r="Y1439" s="1001" t="s">
        <v>4378</v>
      </c>
      <c r="Z1439" s="1076">
        <v>2.61996</v>
      </c>
      <c r="AA1439" s="1001">
        <f t="shared" si="461"/>
        <v>1467.1776</v>
      </c>
      <c r="AB1439" s="563"/>
      <c r="AC1439" s="1077"/>
      <c r="AD1439" s="939" t="s">
        <v>101</v>
      </c>
      <c r="AE1439" s="939" t="s">
        <v>82</v>
      </c>
      <c r="AF1439" s="939"/>
      <c r="AG1439" s="939"/>
      <c r="AH1439" s="939"/>
      <c r="AI1439" s="626"/>
      <c r="AJ1439" s="1031">
        <f t="shared" si="462"/>
        <v>-560</v>
      </c>
      <c r="AK1439" s="939"/>
      <c r="AL1439" s="939"/>
      <c r="AM1439" s="563"/>
      <c r="AN1439" s="563">
        <f t="shared" si="459"/>
        <v>560</v>
      </c>
      <c r="AO1439" s="563"/>
      <c r="AP1439" s="563"/>
      <c r="AQ1439" s="563"/>
      <c r="AR1439" s="563">
        <f>I1439</f>
        <v>560</v>
      </c>
      <c r="AS1439" s="563"/>
      <c r="AT1439" s="563"/>
      <c r="AU1439" s="563">
        <f t="shared" si="460"/>
        <v>560</v>
      </c>
      <c r="AV1439" s="563"/>
      <c r="AW1439" s="563">
        <f t="shared" si="463"/>
        <v>560</v>
      </c>
      <c r="AX1439" s="1004"/>
      <c r="AY1439" s="563"/>
      <c r="AZ1439" s="563"/>
      <c r="BA1439" s="563"/>
      <c r="BB1439" s="563"/>
      <c r="BC1439" s="563"/>
      <c r="BD1439" s="563"/>
      <c r="BE1439" s="563"/>
      <c r="BF1439" s="563"/>
      <c r="BG1439" s="563"/>
      <c r="BH1439" s="563">
        <f>I1439/4</f>
        <v>140</v>
      </c>
      <c r="BI1439" s="563"/>
      <c r="BJ1439" s="563"/>
      <c r="BK1439" s="563"/>
      <c r="BL1439" s="563"/>
      <c r="BM1439" s="563"/>
      <c r="BN1439" s="563"/>
      <c r="BO1439" s="563"/>
      <c r="BP1439" s="1147"/>
      <c r="BQ1439" s="1147"/>
      <c r="BR1439" s="1147"/>
      <c r="BS1439" s="1147"/>
      <c r="BT1439" s="1147"/>
      <c r="BU1439" s="1147"/>
      <c r="BV1439" s="1147"/>
      <c r="BW1439" s="1147"/>
      <c r="BX1439" s="1147"/>
      <c r="BY1439" s="1147"/>
      <c r="BZ1439" s="1147"/>
      <c r="CA1439" s="1147"/>
      <c r="CB1439" s="1147"/>
      <c r="CC1439" s="1147"/>
      <c r="CD1439" s="1147"/>
      <c r="CE1439" s="1147"/>
      <c r="CF1439" s="1147"/>
      <c r="CG1439" s="1147"/>
      <c r="CH1439" s="1068"/>
      <c r="CI1439" s="1068"/>
      <c r="CJ1439" s="1068"/>
      <c r="CK1439" s="1068"/>
      <c r="CL1439" s="1068"/>
      <c r="CM1439" s="1147"/>
      <c r="CN1439" s="1147"/>
      <c r="CO1439" s="1147"/>
      <c r="CP1439" s="1068"/>
      <c r="CQ1439" s="1068"/>
      <c r="CR1439" s="1068"/>
      <c r="CS1439" s="1068"/>
      <c r="CT1439" s="1068"/>
      <c r="CU1439" s="1068"/>
    </row>
    <row r="1440" s="1271" customFormat="1" ht="31" customHeight="1" spans="1:99">
      <c r="A1440" s="1022">
        <v>46216</v>
      </c>
      <c r="B1440" s="626" t="s">
        <v>4371</v>
      </c>
      <c r="C1440" s="939" t="s">
        <v>98</v>
      </c>
      <c r="D1440" s="563">
        <v>4500216252</v>
      </c>
      <c r="E1440" s="939">
        <v>1007021928</v>
      </c>
      <c r="F1440" s="563" t="s">
        <v>5637</v>
      </c>
      <c r="G1440" s="939" t="s">
        <v>101</v>
      </c>
      <c r="H1440" s="939" t="s">
        <v>102</v>
      </c>
      <c r="I1440" s="1023">
        <v>3120</v>
      </c>
      <c r="J1440" s="939">
        <v>0</v>
      </c>
      <c r="K1440" s="939">
        <v>4</v>
      </c>
      <c r="L1440" s="1064">
        <f t="shared" si="458"/>
        <v>780</v>
      </c>
      <c r="M1440" s="1027">
        <v>46261</v>
      </c>
      <c r="N1440" s="1027">
        <v>46258</v>
      </c>
      <c r="O1440" s="1031" t="s">
        <v>5635</v>
      </c>
      <c r="P1440" s="939"/>
      <c r="Q1440" s="999"/>
      <c r="R1440" s="999" t="s">
        <v>4563</v>
      </c>
      <c r="S1440" s="999" t="s">
        <v>70</v>
      </c>
      <c r="T1440" s="999" t="s">
        <v>5564</v>
      </c>
      <c r="U1440" s="999"/>
      <c r="V1440" s="999"/>
      <c r="W1440" s="626"/>
      <c r="X1440" s="626" t="s">
        <v>5636</v>
      </c>
      <c r="Y1440" s="1001" t="s">
        <v>4378</v>
      </c>
      <c r="Z1440" s="1076">
        <v>2.61996</v>
      </c>
      <c r="AA1440" s="1001">
        <f t="shared" si="461"/>
        <v>8174.2752</v>
      </c>
      <c r="AB1440" s="563"/>
      <c r="AC1440" s="1077"/>
      <c r="AD1440" s="939" t="s">
        <v>101</v>
      </c>
      <c r="AE1440" s="939" t="s">
        <v>82</v>
      </c>
      <c r="AF1440" s="939"/>
      <c r="AG1440" s="939"/>
      <c r="AH1440" s="939"/>
      <c r="AI1440" s="626"/>
      <c r="AJ1440" s="1031">
        <f t="shared" si="462"/>
        <v>-3120</v>
      </c>
      <c r="AK1440" s="939"/>
      <c r="AL1440" s="939"/>
      <c r="AM1440" s="563"/>
      <c r="AN1440" s="563">
        <f t="shared" si="459"/>
        <v>3120</v>
      </c>
      <c r="AO1440" s="563"/>
      <c r="AP1440" s="563"/>
      <c r="AQ1440" s="563"/>
      <c r="AR1440" s="563">
        <f>I1440</f>
        <v>3120</v>
      </c>
      <c r="AS1440" s="563"/>
      <c r="AT1440" s="563"/>
      <c r="AU1440" s="563">
        <f t="shared" si="460"/>
        <v>3120</v>
      </c>
      <c r="AV1440" s="563"/>
      <c r="AW1440" s="563">
        <f t="shared" si="463"/>
        <v>3120</v>
      </c>
      <c r="AX1440" s="1004"/>
      <c r="AY1440" s="563"/>
      <c r="AZ1440" s="563"/>
      <c r="BA1440" s="563"/>
      <c r="BB1440" s="563"/>
      <c r="BC1440" s="563"/>
      <c r="BD1440" s="563"/>
      <c r="BE1440" s="563"/>
      <c r="BF1440" s="563"/>
      <c r="BG1440" s="563"/>
      <c r="BH1440" s="563">
        <f>I1440/4</f>
        <v>780</v>
      </c>
      <c r="BI1440" s="563"/>
      <c r="BJ1440" s="563"/>
      <c r="BK1440" s="563"/>
      <c r="BL1440" s="563"/>
      <c r="BM1440" s="563"/>
      <c r="BN1440" s="563"/>
      <c r="BO1440" s="563"/>
      <c r="BP1440" s="1147"/>
      <c r="BQ1440" s="1147"/>
      <c r="BR1440" s="1147"/>
      <c r="BS1440" s="1147"/>
      <c r="BT1440" s="1147"/>
      <c r="BU1440" s="1147"/>
      <c r="BV1440" s="1147"/>
      <c r="BW1440" s="1147"/>
      <c r="BX1440" s="1147"/>
      <c r="BY1440" s="1147"/>
      <c r="BZ1440" s="1147"/>
      <c r="CA1440" s="1147"/>
      <c r="CB1440" s="1147"/>
      <c r="CC1440" s="1147"/>
      <c r="CD1440" s="1147"/>
      <c r="CE1440" s="1147"/>
      <c r="CF1440" s="1147"/>
      <c r="CG1440" s="1147"/>
      <c r="CH1440" s="1068"/>
      <c r="CI1440" s="1068"/>
      <c r="CJ1440" s="1068"/>
      <c r="CK1440" s="1068"/>
      <c r="CL1440" s="1068"/>
      <c r="CM1440" s="1147"/>
      <c r="CN1440" s="1147"/>
      <c r="CO1440" s="1147"/>
      <c r="CP1440" s="1068"/>
      <c r="CQ1440" s="1068"/>
      <c r="CR1440" s="1068"/>
      <c r="CS1440" s="1068"/>
      <c r="CT1440" s="1068"/>
      <c r="CU1440" s="1068"/>
    </row>
    <row r="1441" s="1271" customFormat="1" ht="31" customHeight="1" spans="1:99">
      <c r="A1441" s="1022">
        <v>46216</v>
      </c>
      <c r="B1441" s="626" t="s">
        <v>4371</v>
      </c>
      <c r="C1441" s="939" t="s">
        <v>98</v>
      </c>
      <c r="D1441" s="563">
        <v>4500216252</v>
      </c>
      <c r="E1441" s="939">
        <v>1007021939</v>
      </c>
      <c r="F1441" s="563" t="s">
        <v>5638</v>
      </c>
      <c r="G1441" s="939" t="s">
        <v>101</v>
      </c>
      <c r="H1441" s="939" t="s">
        <v>102</v>
      </c>
      <c r="I1441" s="1023">
        <v>1040</v>
      </c>
      <c r="J1441" s="939">
        <v>0</v>
      </c>
      <c r="K1441" s="939">
        <v>4</v>
      </c>
      <c r="L1441" s="1064">
        <f t="shared" si="458"/>
        <v>260</v>
      </c>
      <c r="M1441" s="1027">
        <v>46261</v>
      </c>
      <c r="N1441" s="1027">
        <v>46258</v>
      </c>
      <c r="O1441" s="1031" t="s">
        <v>5639</v>
      </c>
      <c r="P1441" s="939"/>
      <c r="Q1441" s="999"/>
      <c r="R1441" s="999" t="s">
        <v>4563</v>
      </c>
      <c r="S1441" s="999" t="s">
        <v>70</v>
      </c>
      <c r="T1441" s="999" t="s">
        <v>5564</v>
      </c>
      <c r="U1441" s="999"/>
      <c r="V1441" s="999"/>
      <c r="W1441" s="626"/>
      <c r="X1441" s="626" t="s">
        <v>5636</v>
      </c>
      <c r="Y1441" s="1001" t="s">
        <v>4378</v>
      </c>
      <c r="Z1441" s="1076">
        <v>2.61996</v>
      </c>
      <c r="AA1441" s="1001">
        <f t="shared" si="461"/>
        <v>2724.7584</v>
      </c>
      <c r="AB1441" s="563"/>
      <c r="AC1441" s="1077"/>
      <c r="AD1441" s="939" t="s">
        <v>101</v>
      </c>
      <c r="AE1441" s="939" t="s">
        <v>82</v>
      </c>
      <c r="AF1441" s="939"/>
      <c r="AG1441" s="939"/>
      <c r="AH1441" s="939"/>
      <c r="AI1441" s="626"/>
      <c r="AJ1441" s="1031">
        <f t="shared" si="462"/>
        <v>-1040</v>
      </c>
      <c r="AK1441" s="939"/>
      <c r="AL1441" s="939"/>
      <c r="AM1441" s="563"/>
      <c r="AN1441" s="563">
        <f t="shared" si="459"/>
        <v>1040</v>
      </c>
      <c r="AO1441" s="563"/>
      <c r="AP1441" s="563"/>
      <c r="AQ1441" s="563"/>
      <c r="AR1441" s="563">
        <f>I1441</f>
        <v>1040</v>
      </c>
      <c r="AS1441" s="563"/>
      <c r="AT1441" s="563"/>
      <c r="AU1441" s="563">
        <f t="shared" si="460"/>
        <v>1040</v>
      </c>
      <c r="AV1441" s="563"/>
      <c r="AW1441" s="563">
        <f t="shared" si="463"/>
        <v>1040</v>
      </c>
      <c r="AX1441" s="1004"/>
      <c r="AY1441" s="563"/>
      <c r="AZ1441" s="563"/>
      <c r="BA1441" s="563"/>
      <c r="BB1441" s="563"/>
      <c r="BC1441" s="563"/>
      <c r="BD1441" s="563"/>
      <c r="BE1441" s="563"/>
      <c r="BF1441" s="563"/>
      <c r="BG1441" s="563"/>
      <c r="BH1441" s="563">
        <f>I1441/4</f>
        <v>260</v>
      </c>
      <c r="BI1441" s="563"/>
      <c r="BJ1441" s="563"/>
      <c r="BK1441" s="563"/>
      <c r="BL1441" s="563"/>
      <c r="BM1441" s="563"/>
      <c r="BN1441" s="563"/>
      <c r="BO1441" s="563"/>
      <c r="BP1441" s="1147"/>
      <c r="BQ1441" s="1147"/>
      <c r="BR1441" s="1147"/>
      <c r="BS1441" s="1147"/>
      <c r="BT1441" s="1147"/>
      <c r="BU1441" s="1147"/>
      <c r="BV1441" s="1147"/>
      <c r="BW1441" s="1147"/>
      <c r="BX1441" s="1147"/>
      <c r="BY1441" s="1147"/>
      <c r="BZ1441" s="1147"/>
      <c r="CA1441" s="1147"/>
      <c r="CB1441" s="1147"/>
      <c r="CC1441" s="1147"/>
      <c r="CD1441" s="1147"/>
      <c r="CE1441" s="1147"/>
      <c r="CF1441" s="1147"/>
      <c r="CG1441" s="1147"/>
      <c r="CH1441" s="1068"/>
      <c r="CI1441" s="1068"/>
      <c r="CJ1441" s="1068"/>
      <c r="CK1441" s="1068"/>
      <c r="CL1441" s="1068"/>
      <c r="CM1441" s="1147"/>
      <c r="CN1441" s="1147"/>
      <c r="CO1441" s="1147"/>
      <c r="CP1441" s="1068"/>
      <c r="CQ1441" s="1068"/>
      <c r="CR1441" s="1068"/>
      <c r="CS1441" s="1068"/>
      <c r="CT1441" s="1068"/>
      <c r="CU1441" s="1068"/>
    </row>
    <row r="1442" s="1271" customFormat="1" ht="31" customHeight="1" spans="1:99">
      <c r="A1442" s="1022">
        <v>46216</v>
      </c>
      <c r="B1442" s="626" t="s">
        <v>4371</v>
      </c>
      <c r="C1442" s="939" t="s">
        <v>98</v>
      </c>
      <c r="D1442" s="563">
        <v>4500216252</v>
      </c>
      <c r="E1442" s="939">
        <v>1007021968</v>
      </c>
      <c r="F1442" s="563" t="s">
        <v>5640</v>
      </c>
      <c r="G1442" s="939" t="s">
        <v>101</v>
      </c>
      <c r="H1442" s="939" t="s">
        <v>102</v>
      </c>
      <c r="I1442" s="1023">
        <v>1760</v>
      </c>
      <c r="J1442" s="939">
        <v>0</v>
      </c>
      <c r="K1442" s="939">
        <v>4</v>
      </c>
      <c r="L1442" s="1064">
        <f t="shared" si="458"/>
        <v>440</v>
      </c>
      <c r="M1442" s="1027">
        <v>46261</v>
      </c>
      <c r="N1442" s="1027">
        <v>46258</v>
      </c>
      <c r="O1442" s="1031" t="s">
        <v>5635</v>
      </c>
      <c r="P1442" s="939"/>
      <c r="Q1442" s="999"/>
      <c r="R1442" s="999" t="s">
        <v>4563</v>
      </c>
      <c r="S1442" s="999" t="s">
        <v>70</v>
      </c>
      <c r="T1442" s="999" t="s">
        <v>5564</v>
      </c>
      <c r="U1442" s="999"/>
      <c r="V1442" s="999"/>
      <c r="W1442" s="626"/>
      <c r="X1442" s="626" t="s">
        <v>5636</v>
      </c>
      <c r="Y1442" s="1001" t="s">
        <v>4378</v>
      </c>
      <c r="Z1442" s="1076">
        <v>2.61996</v>
      </c>
      <c r="AA1442" s="1001">
        <f t="shared" ref="AA1442:AA1448" si="464">Z1442*I1442</f>
        <v>4611.1296</v>
      </c>
      <c r="AB1442" s="563"/>
      <c r="AC1442" s="1077"/>
      <c r="AD1442" s="939" t="s">
        <v>101</v>
      </c>
      <c r="AE1442" s="939" t="s">
        <v>82</v>
      </c>
      <c r="AF1442" s="939"/>
      <c r="AG1442" s="939"/>
      <c r="AH1442" s="939"/>
      <c r="AI1442" s="626"/>
      <c r="AJ1442" s="1031">
        <f t="shared" si="462"/>
        <v>-1760</v>
      </c>
      <c r="AK1442" s="939"/>
      <c r="AL1442" s="939"/>
      <c r="AM1442" s="563"/>
      <c r="AN1442" s="563">
        <f t="shared" si="459"/>
        <v>1760</v>
      </c>
      <c r="AO1442" s="563"/>
      <c r="AP1442" s="563"/>
      <c r="AQ1442" s="563"/>
      <c r="AR1442" s="563">
        <f t="shared" ref="AR1442:AR1450" si="465">I1442</f>
        <v>1760</v>
      </c>
      <c r="AS1442" s="563"/>
      <c r="AT1442" s="563"/>
      <c r="AU1442" s="563">
        <f t="shared" ref="AU1442:AU1453" si="466">I1442</f>
        <v>1760</v>
      </c>
      <c r="AV1442" s="563"/>
      <c r="AW1442" s="563">
        <f t="shared" ref="AW1442:AW1453" si="467">I1442</f>
        <v>1760</v>
      </c>
      <c r="AX1442" s="1004"/>
      <c r="AY1442" s="563"/>
      <c r="AZ1442" s="563"/>
      <c r="BA1442" s="563"/>
      <c r="BB1442" s="563"/>
      <c r="BC1442" s="563"/>
      <c r="BD1442" s="563"/>
      <c r="BE1442" s="563"/>
      <c r="BF1442" s="563"/>
      <c r="BG1442" s="563"/>
      <c r="BH1442" s="563">
        <f>I1442/4</f>
        <v>440</v>
      </c>
      <c r="BI1442" s="563"/>
      <c r="BJ1442" s="563"/>
      <c r="BK1442" s="563"/>
      <c r="BL1442" s="563"/>
      <c r="BM1442" s="563"/>
      <c r="BN1442" s="563"/>
      <c r="BO1442" s="563"/>
      <c r="BP1442" s="1147"/>
      <c r="BQ1442" s="1147"/>
      <c r="BR1442" s="1147"/>
      <c r="BS1442" s="1147"/>
      <c r="BT1442" s="1147"/>
      <c r="BU1442" s="1147"/>
      <c r="BV1442" s="1147"/>
      <c r="BW1442" s="1147"/>
      <c r="BX1442" s="1147"/>
      <c r="BY1442" s="1147"/>
      <c r="BZ1442" s="1147"/>
      <c r="CA1442" s="1147"/>
      <c r="CB1442" s="1147"/>
      <c r="CC1442" s="1147"/>
      <c r="CD1442" s="1147"/>
      <c r="CE1442" s="1147"/>
      <c r="CF1442" s="1147"/>
      <c r="CG1442" s="1147"/>
      <c r="CH1442" s="1068"/>
      <c r="CI1442" s="1068"/>
      <c r="CJ1442" s="1068"/>
      <c r="CK1442" s="1068"/>
      <c r="CL1442" s="1068"/>
      <c r="CM1442" s="1147"/>
      <c r="CN1442" s="1147"/>
      <c r="CO1442" s="1147"/>
      <c r="CP1442" s="1068"/>
      <c r="CQ1442" s="1068"/>
      <c r="CR1442" s="1068"/>
      <c r="CS1442" s="1068"/>
      <c r="CT1442" s="1068"/>
      <c r="CU1442" s="1068"/>
    </row>
    <row r="1443" s="1271" customFormat="1" ht="31" customHeight="1" spans="1:99">
      <c r="A1443" s="1022">
        <v>46216</v>
      </c>
      <c r="B1443" s="626" t="s">
        <v>4371</v>
      </c>
      <c r="C1443" s="939" t="s">
        <v>98</v>
      </c>
      <c r="D1443" s="563">
        <v>4500216252</v>
      </c>
      <c r="E1443" s="939">
        <v>1007021985</v>
      </c>
      <c r="F1443" s="563" t="s">
        <v>5641</v>
      </c>
      <c r="G1443" s="939" t="s">
        <v>101</v>
      </c>
      <c r="H1443" s="939" t="s">
        <v>102</v>
      </c>
      <c r="I1443" s="1023">
        <v>560</v>
      </c>
      <c r="J1443" s="939">
        <v>0</v>
      </c>
      <c r="K1443" s="939">
        <v>4</v>
      </c>
      <c r="L1443" s="1064">
        <f t="shared" si="458"/>
        <v>140</v>
      </c>
      <c r="M1443" s="1027">
        <v>46261</v>
      </c>
      <c r="N1443" s="1027">
        <v>46258</v>
      </c>
      <c r="O1443" s="1031" t="s">
        <v>5635</v>
      </c>
      <c r="P1443" s="939"/>
      <c r="Q1443" s="999"/>
      <c r="R1443" s="999" t="s">
        <v>4563</v>
      </c>
      <c r="S1443" s="999" t="s">
        <v>70</v>
      </c>
      <c r="T1443" s="999" t="s">
        <v>5564</v>
      </c>
      <c r="U1443" s="999"/>
      <c r="V1443" s="999"/>
      <c r="W1443" s="626"/>
      <c r="X1443" s="626" t="s">
        <v>5636</v>
      </c>
      <c r="Y1443" s="1001" t="s">
        <v>4378</v>
      </c>
      <c r="Z1443" s="1076">
        <v>2.61996</v>
      </c>
      <c r="AA1443" s="1001">
        <f t="shared" si="464"/>
        <v>1467.1776</v>
      </c>
      <c r="AB1443" s="563"/>
      <c r="AC1443" s="1077"/>
      <c r="AD1443" s="939" t="s">
        <v>101</v>
      </c>
      <c r="AE1443" s="939" t="s">
        <v>82</v>
      </c>
      <c r="AF1443" s="939"/>
      <c r="AG1443" s="939"/>
      <c r="AH1443" s="939"/>
      <c r="AI1443" s="626"/>
      <c r="AJ1443" s="1031">
        <f t="shared" si="462"/>
        <v>-560</v>
      </c>
      <c r="AK1443" s="939"/>
      <c r="AL1443" s="939"/>
      <c r="AM1443" s="563"/>
      <c r="AN1443" s="563">
        <f t="shared" si="459"/>
        <v>560</v>
      </c>
      <c r="AO1443" s="563"/>
      <c r="AP1443" s="563"/>
      <c r="AQ1443" s="563"/>
      <c r="AR1443" s="563">
        <f t="shared" si="465"/>
        <v>560</v>
      </c>
      <c r="AS1443" s="563"/>
      <c r="AT1443" s="563"/>
      <c r="AU1443" s="563">
        <f t="shared" si="466"/>
        <v>560</v>
      </c>
      <c r="AV1443" s="563"/>
      <c r="AW1443" s="563">
        <f t="shared" si="467"/>
        <v>560</v>
      </c>
      <c r="AX1443" s="1004"/>
      <c r="AY1443" s="563"/>
      <c r="AZ1443" s="563"/>
      <c r="BA1443" s="563"/>
      <c r="BB1443" s="563"/>
      <c r="BC1443" s="563"/>
      <c r="BD1443" s="563"/>
      <c r="BE1443" s="563"/>
      <c r="BF1443" s="563"/>
      <c r="BG1443" s="563"/>
      <c r="BH1443" s="563">
        <f>I1443/4</f>
        <v>140</v>
      </c>
      <c r="BI1443" s="563"/>
      <c r="BJ1443" s="563"/>
      <c r="BK1443" s="563"/>
      <c r="BL1443" s="563"/>
      <c r="BM1443" s="563"/>
      <c r="BN1443" s="563"/>
      <c r="BO1443" s="563"/>
      <c r="BP1443" s="1147"/>
      <c r="BQ1443" s="1147"/>
      <c r="BR1443" s="1147"/>
      <c r="BS1443" s="1147"/>
      <c r="BT1443" s="1147"/>
      <c r="BU1443" s="1147"/>
      <c r="BV1443" s="1147"/>
      <c r="BW1443" s="1147"/>
      <c r="BX1443" s="1147"/>
      <c r="BY1443" s="1147"/>
      <c r="BZ1443" s="1147"/>
      <c r="CA1443" s="1147"/>
      <c r="CB1443" s="1147"/>
      <c r="CC1443" s="1147"/>
      <c r="CD1443" s="1147"/>
      <c r="CE1443" s="1147"/>
      <c r="CF1443" s="1147"/>
      <c r="CG1443" s="1147"/>
      <c r="CH1443" s="1068"/>
      <c r="CI1443" s="1068"/>
      <c r="CJ1443" s="1068"/>
      <c r="CK1443" s="1068"/>
      <c r="CL1443" s="1068"/>
      <c r="CM1443" s="1147"/>
      <c r="CN1443" s="1147"/>
      <c r="CO1443" s="1147"/>
      <c r="CP1443" s="1068"/>
      <c r="CQ1443" s="1068"/>
      <c r="CR1443" s="1068"/>
      <c r="CS1443" s="1068"/>
      <c r="CT1443" s="1068"/>
      <c r="CU1443" s="1068"/>
    </row>
    <row r="1444" s="1265" customFormat="1" ht="31" customHeight="1" spans="1:99">
      <c r="A1444" s="1008">
        <v>46126</v>
      </c>
      <c r="B1444" s="628" t="s">
        <v>3340</v>
      </c>
      <c r="C1444" s="618" t="s">
        <v>98</v>
      </c>
      <c r="D1444" s="687">
        <v>4500201760</v>
      </c>
      <c r="E1444" s="618">
        <v>127328</v>
      </c>
      <c r="F1444" s="687" t="s">
        <v>5642</v>
      </c>
      <c r="G1444" s="618" t="s">
        <v>68</v>
      </c>
      <c r="H1444" s="618" t="s">
        <v>69</v>
      </c>
      <c r="I1444" s="1069">
        <v>996</v>
      </c>
      <c r="J1444" s="618">
        <v>0</v>
      </c>
      <c r="K1444" s="618">
        <v>12</v>
      </c>
      <c r="L1444" s="1011">
        <f t="shared" si="458"/>
        <v>83</v>
      </c>
      <c r="M1444" s="1012">
        <v>46261</v>
      </c>
      <c r="N1444" s="1012">
        <v>46258</v>
      </c>
      <c r="O1444" s="773"/>
      <c r="P1444" s="618"/>
      <c r="Q1444" s="774"/>
      <c r="R1444" s="999">
        <v>46126</v>
      </c>
      <c r="S1444" s="999" t="s">
        <v>70</v>
      </c>
      <c r="T1444" s="999" t="s">
        <v>5643</v>
      </c>
      <c r="U1444" s="646"/>
      <c r="V1444" s="774"/>
      <c r="W1444" s="628"/>
      <c r="X1444" s="628" t="s">
        <v>5644</v>
      </c>
      <c r="Y1444" s="1014" t="s">
        <v>3864</v>
      </c>
      <c r="Z1444" s="1339">
        <v>2.5304</v>
      </c>
      <c r="AA1444" s="1014">
        <f t="shared" si="464"/>
        <v>2520.2784</v>
      </c>
      <c r="AB1444" s="687"/>
      <c r="AC1444" s="1077"/>
      <c r="AD1444" s="939" t="s">
        <v>68</v>
      </c>
      <c r="AE1444" s="618" t="s">
        <v>82</v>
      </c>
      <c r="AF1444" s="618"/>
      <c r="AG1444" s="618"/>
      <c r="AH1444" s="618"/>
      <c r="AI1444" s="609"/>
      <c r="AJ1444" s="618">
        <f t="shared" si="462"/>
        <v>-996</v>
      </c>
      <c r="AK1444" s="618"/>
      <c r="AL1444" s="939" t="s">
        <v>2368</v>
      </c>
      <c r="AM1444" s="687"/>
      <c r="AN1444" s="687">
        <f t="shared" si="459"/>
        <v>996</v>
      </c>
      <c r="AO1444" s="687"/>
      <c r="AP1444" s="687"/>
      <c r="AQ1444" s="687"/>
      <c r="AR1444" s="563">
        <f t="shared" si="465"/>
        <v>996</v>
      </c>
      <c r="AS1444" s="687"/>
      <c r="AT1444" s="687"/>
      <c r="AU1444" s="563">
        <f t="shared" si="466"/>
        <v>996</v>
      </c>
      <c r="AV1444" s="687"/>
      <c r="AW1444" s="687">
        <f t="shared" si="467"/>
        <v>996</v>
      </c>
      <c r="AX1444" s="1016"/>
      <c r="AY1444" s="687"/>
      <c r="AZ1444" s="687"/>
      <c r="BA1444" s="687"/>
      <c r="BB1444" s="687"/>
      <c r="BC1444" s="687"/>
      <c r="BD1444" s="687"/>
      <c r="BE1444" s="687"/>
      <c r="BF1444" s="687"/>
      <c r="BG1444" s="687"/>
      <c r="BH1444" s="687"/>
      <c r="BI1444" s="687"/>
      <c r="BJ1444" s="687"/>
      <c r="BK1444" s="687"/>
      <c r="BL1444" s="687"/>
      <c r="BM1444" s="687"/>
      <c r="BN1444" s="687"/>
      <c r="BO1444" s="687"/>
      <c r="BP1444" s="687"/>
      <c r="BQ1444" s="687"/>
      <c r="BR1444" s="687"/>
      <c r="BS1444" s="687"/>
      <c r="BT1444" s="687"/>
      <c r="BU1444" s="687"/>
      <c r="BV1444" s="687"/>
      <c r="BW1444" s="687"/>
      <c r="BX1444" s="687"/>
      <c r="BY1444" s="687"/>
      <c r="BZ1444" s="687"/>
      <c r="CA1444" s="687"/>
      <c r="CB1444" s="687"/>
      <c r="CC1444" s="687"/>
      <c r="CD1444" s="687"/>
      <c r="CE1444" s="687"/>
      <c r="CF1444" s="687"/>
      <c r="CG1444" s="687"/>
      <c r="CH1444" s="1020"/>
      <c r="CI1444" s="1020"/>
      <c r="CJ1444" s="1020"/>
      <c r="CK1444" s="1020"/>
      <c r="CL1444" s="1020"/>
      <c r="CM1444" s="687"/>
      <c r="CN1444" s="687"/>
      <c r="CO1444" s="687"/>
      <c r="CP1444" s="1020"/>
      <c r="CQ1444" s="1020"/>
      <c r="CR1444" s="1020"/>
      <c r="CS1444" s="1020"/>
      <c r="CT1444" s="1020"/>
      <c r="CU1444" s="1020"/>
    </row>
    <row r="1445" s="1265" customFormat="1" ht="31" customHeight="1" spans="1:99">
      <c r="A1445" s="1008">
        <v>46126</v>
      </c>
      <c r="B1445" s="628" t="s">
        <v>3340</v>
      </c>
      <c r="C1445" s="618" t="s">
        <v>98</v>
      </c>
      <c r="D1445" s="687">
        <v>4500201762</v>
      </c>
      <c r="E1445" s="618">
        <v>127341</v>
      </c>
      <c r="F1445" s="687" t="s">
        <v>5645</v>
      </c>
      <c r="G1445" s="618" t="s">
        <v>68</v>
      </c>
      <c r="H1445" s="618" t="s">
        <v>69</v>
      </c>
      <c r="I1445" s="1069">
        <v>1200</v>
      </c>
      <c r="J1445" s="618">
        <v>0</v>
      </c>
      <c r="K1445" s="618">
        <v>12</v>
      </c>
      <c r="L1445" s="1011">
        <f t="shared" si="458"/>
        <v>100</v>
      </c>
      <c r="M1445" s="1012">
        <v>46261</v>
      </c>
      <c r="N1445" s="1012">
        <v>46258</v>
      </c>
      <c r="O1445" s="773"/>
      <c r="P1445" s="618"/>
      <c r="Q1445" s="774"/>
      <c r="R1445" s="999">
        <v>46126</v>
      </c>
      <c r="S1445" s="999" t="s">
        <v>70</v>
      </c>
      <c r="T1445" s="999" t="s">
        <v>5643</v>
      </c>
      <c r="U1445" s="646"/>
      <c r="V1445" s="774"/>
      <c r="W1445" s="628"/>
      <c r="X1445" s="628" t="s">
        <v>5646</v>
      </c>
      <c r="Y1445" s="1014" t="s">
        <v>3864</v>
      </c>
      <c r="Z1445" s="1339">
        <v>2.5304</v>
      </c>
      <c r="AA1445" s="1014">
        <f t="shared" si="464"/>
        <v>3036.48</v>
      </c>
      <c r="AB1445" s="687"/>
      <c r="AC1445" s="1077"/>
      <c r="AD1445" s="939" t="s">
        <v>68</v>
      </c>
      <c r="AE1445" s="618" t="s">
        <v>82</v>
      </c>
      <c r="AF1445" s="618"/>
      <c r="AG1445" s="618"/>
      <c r="AH1445" s="618"/>
      <c r="AI1445" s="609"/>
      <c r="AJ1445" s="618">
        <f t="shared" si="462"/>
        <v>-1200</v>
      </c>
      <c r="AK1445" s="618"/>
      <c r="AL1445" s="939" t="s">
        <v>2368</v>
      </c>
      <c r="AM1445" s="687"/>
      <c r="AN1445" s="687">
        <f t="shared" si="459"/>
        <v>1200</v>
      </c>
      <c r="AO1445" s="687"/>
      <c r="AP1445" s="687"/>
      <c r="AQ1445" s="687"/>
      <c r="AR1445" s="563">
        <f t="shared" si="465"/>
        <v>1200</v>
      </c>
      <c r="AS1445" s="687"/>
      <c r="AT1445" s="687"/>
      <c r="AU1445" s="563">
        <f t="shared" si="466"/>
        <v>1200</v>
      </c>
      <c r="AV1445" s="687"/>
      <c r="AW1445" s="687">
        <f t="shared" si="467"/>
        <v>1200</v>
      </c>
      <c r="AX1445" s="1016"/>
      <c r="AY1445" s="687"/>
      <c r="AZ1445" s="687"/>
      <c r="BA1445" s="687"/>
      <c r="BB1445" s="687"/>
      <c r="BC1445" s="687"/>
      <c r="BD1445" s="687"/>
      <c r="BE1445" s="687"/>
      <c r="BF1445" s="687"/>
      <c r="BG1445" s="687"/>
      <c r="BH1445" s="687"/>
      <c r="BI1445" s="687"/>
      <c r="BJ1445" s="687"/>
      <c r="BK1445" s="687"/>
      <c r="BL1445" s="687"/>
      <c r="BM1445" s="687"/>
      <c r="BN1445" s="687"/>
      <c r="BO1445" s="687"/>
      <c r="BP1445" s="687"/>
      <c r="BQ1445" s="687"/>
      <c r="BR1445" s="687"/>
      <c r="BS1445" s="687"/>
      <c r="BT1445" s="687"/>
      <c r="BU1445" s="687"/>
      <c r="BV1445" s="687"/>
      <c r="BW1445" s="687"/>
      <c r="BX1445" s="687"/>
      <c r="BY1445" s="687"/>
      <c r="BZ1445" s="687"/>
      <c r="CA1445" s="687"/>
      <c r="CB1445" s="687"/>
      <c r="CC1445" s="687"/>
      <c r="CD1445" s="687"/>
      <c r="CE1445" s="687"/>
      <c r="CF1445" s="687"/>
      <c r="CG1445" s="687"/>
      <c r="CH1445" s="1020"/>
      <c r="CI1445" s="1020"/>
      <c r="CJ1445" s="1020"/>
      <c r="CK1445" s="1020"/>
      <c r="CL1445" s="1020"/>
      <c r="CM1445" s="687"/>
      <c r="CN1445" s="687"/>
      <c r="CO1445" s="687"/>
      <c r="CP1445" s="1020"/>
      <c r="CQ1445" s="1020"/>
      <c r="CR1445" s="1020"/>
      <c r="CS1445" s="1020"/>
      <c r="CT1445" s="1020"/>
      <c r="CU1445" s="1020"/>
    </row>
    <row r="1446" s="1265" customFormat="1" ht="31" customHeight="1" spans="1:99">
      <c r="A1446" s="1008">
        <v>46169</v>
      </c>
      <c r="B1446" s="628" t="s">
        <v>2734</v>
      </c>
      <c r="C1446" s="618" t="s">
        <v>98</v>
      </c>
      <c r="D1446" s="687" t="s">
        <v>5647</v>
      </c>
      <c r="E1446" s="618" t="s">
        <v>5648</v>
      </c>
      <c r="F1446" s="687" t="s">
        <v>5649</v>
      </c>
      <c r="G1446" s="618" t="s">
        <v>2736</v>
      </c>
      <c r="H1446" s="618" t="s">
        <v>2737</v>
      </c>
      <c r="I1446" s="1069">
        <v>5400</v>
      </c>
      <c r="J1446" s="618">
        <v>0</v>
      </c>
      <c r="K1446" s="618">
        <v>8</v>
      </c>
      <c r="L1446" s="1011">
        <f t="shared" si="458"/>
        <v>675</v>
      </c>
      <c r="M1446" s="1012">
        <v>46261</v>
      </c>
      <c r="N1446" s="1012">
        <v>46258</v>
      </c>
      <c r="O1446" s="773"/>
      <c r="P1446" s="618"/>
      <c r="Q1446" s="774"/>
      <c r="R1446" s="999">
        <v>46169</v>
      </c>
      <c r="S1446" s="999" t="s">
        <v>70</v>
      </c>
      <c r="T1446" s="999" t="s">
        <v>5650</v>
      </c>
      <c r="U1446" s="646"/>
      <c r="V1446" s="774"/>
      <c r="W1446" s="628"/>
      <c r="X1446" s="628" t="s">
        <v>5651</v>
      </c>
      <c r="Y1446" s="1014" t="s">
        <v>2814</v>
      </c>
      <c r="Z1446" s="1339">
        <v>4.0382</v>
      </c>
      <c r="AA1446" s="1014">
        <f t="shared" si="464"/>
        <v>21806.28</v>
      </c>
      <c r="AB1446" s="687"/>
      <c r="AC1446" s="1077"/>
      <c r="AD1446" s="618" t="s">
        <v>2741</v>
      </c>
      <c r="AE1446" s="939" t="s">
        <v>82</v>
      </c>
      <c r="AF1446" s="618"/>
      <c r="AG1446" s="618"/>
      <c r="AH1446" s="618"/>
      <c r="AI1446" s="609"/>
      <c r="AJ1446" s="773">
        <f t="shared" si="462"/>
        <v>-5400</v>
      </c>
      <c r="AK1446" s="618"/>
      <c r="AL1446" s="618"/>
      <c r="AM1446" s="687"/>
      <c r="AN1446" s="687">
        <f t="shared" si="459"/>
        <v>5400</v>
      </c>
      <c r="AO1446" s="687"/>
      <c r="AP1446" s="687"/>
      <c r="AQ1446" s="687"/>
      <c r="AR1446" s="563">
        <f t="shared" si="465"/>
        <v>5400</v>
      </c>
      <c r="AS1446" s="687"/>
      <c r="AT1446" s="687"/>
      <c r="AU1446" s="563">
        <f t="shared" si="466"/>
        <v>5400</v>
      </c>
      <c r="AV1446" s="687"/>
      <c r="AW1446" s="687">
        <f t="shared" si="467"/>
        <v>5400</v>
      </c>
      <c r="AX1446" s="1016"/>
      <c r="AY1446" s="687"/>
      <c r="AZ1446" s="687"/>
      <c r="BA1446" s="687"/>
      <c r="BB1446" s="687"/>
      <c r="BC1446" s="687"/>
      <c r="BD1446" s="687"/>
      <c r="BE1446" s="687"/>
      <c r="BF1446" s="687"/>
      <c r="BG1446" s="687"/>
      <c r="BH1446" s="687"/>
      <c r="BI1446" s="687"/>
      <c r="BJ1446" s="687"/>
      <c r="BK1446" s="687"/>
      <c r="BL1446" s="687"/>
      <c r="BM1446" s="687"/>
      <c r="BN1446" s="554">
        <f>I1446</f>
        <v>5400</v>
      </c>
      <c r="BO1446" s="687"/>
      <c r="BP1446" s="687"/>
      <c r="BQ1446" s="687"/>
      <c r="BR1446" s="687"/>
      <c r="BS1446" s="687"/>
      <c r="BT1446" s="687"/>
      <c r="BU1446" s="687"/>
      <c r="BV1446" s="687"/>
      <c r="BW1446" s="687"/>
      <c r="BX1446" s="687"/>
      <c r="BY1446" s="687"/>
      <c r="BZ1446" s="687"/>
      <c r="CA1446" s="687"/>
      <c r="CB1446" s="687"/>
      <c r="CC1446" s="687"/>
      <c r="CD1446" s="687"/>
      <c r="CE1446" s="687"/>
      <c r="CF1446" s="687"/>
      <c r="CG1446" s="687"/>
      <c r="CH1446" s="1020"/>
      <c r="CI1446" s="1020"/>
      <c r="CJ1446" s="1020"/>
      <c r="CK1446" s="1020"/>
      <c r="CL1446" s="1020"/>
      <c r="CM1446" s="687"/>
      <c r="CN1446" s="687"/>
      <c r="CO1446" s="687"/>
      <c r="CP1446" s="1020"/>
      <c r="CQ1446" s="1020"/>
      <c r="CR1446" s="1020"/>
      <c r="CS1446" s="1020"/>
      <c r="CT1446" s="1020"/>
      <c r="CU1446" s="1020"/>
    </row>
    <row r="1447" s="1271" customFormat="1" ht="31" customHeight="1" spans="1:99">
      <c r="A1447" s="1022">
        <v>46217</v>
      </c>
      <c r="B1447" s="626" t="s">
        <v>3008</v>
      </c>
      <c r="C1447" s="939" t="s">
        <v>98</v>
      </c>
      <c r="D1447" s="563">
        <v>4500216488</v>
      </c>
      <c r="E1447" s="939" t="s">
        <v>5652</v>
      </c>
      <c r="F1447" s="563" t="s">
        <v>5653</v>
      </c>
      <c r="G1447" s="939" t="s">
        <v>68</v>
      </c>
      <c r="H1447" s="939" t="s">
        <v>69</v>
      </c>
      <c r="I1447" s="1023">
        <v>3000</v>
      </c>
      <c r="J1447" s="939">
        <v>0</v>
      </c>
      <c r="K1447" s="939">
        <v>12</v>
      </c>
      <c r="L1447" s="1064">
        <f t="shared" si="458"/>
        <v>250</v>
      </c>
      <c r="M1447" s="1027">
        <v>46262</v>
      </c>
      <c r="N1447" s="1027">
        <v>46258</v>
      </c>
      <c r="O1447" s="1031"/>
      <c r="P1447" s="939"/>
      <c r="Q1447" s="999"/>
      <c r="R1447" s="999">
        <v>46230</v>
      </c>
      <c r="S1447" s="999" t="s">
        <v>104</v>
      </c>
      <c r="T1447" s="999" t="s">
        <v>5654</v>
      </c>
      <c r="U1447" s="999"/>
      <c r="V1447" s="999"/>
      <c r="W1447" s="626"/>
      <c r="X1447" s="626" t="s">
        <v>4707</v>
      </c>
      <c r="Y1447" s="1001" t="s">
        <v>4708</v>
      </c>
      <c r="Z1447" s="1076">
        <v>2.6207</v>
      </c>
      <c r="AA1447" s="1001">
        <f t="shared" si="464"/>
        <v>7862.1</v>
      </c>
      <c r="AB1447" s="563"/>
      <c r="AC1447" s="1077"/>
      <c r="AD1447" s="939" t="s">
        <v>68</v>
      </c>
      <c r="AE1447" s="939" t="s">
        <v>82</v>
      </c>
      <c r="AF1447" s="939"/>
      <c r="AG1447" s="939"/>
      <c r="AH1447" s="939"/>
      <c r="AI1447" s="626"/>
      <c r="AJ1447" s="939">
        <f t="shared" si="462"/>
        <v>-3000</v>
      </c>
      <c r="AK1447" s="939"/>
      <c r="AL1447" s="939" t="s">
        <v>2368</v>
      </c>
      <c r="AM1447" s="563"/>
      <c r="AN1447" s="563">
        <f t="shared" si="459"/>
        <v>3000</v>
      </c>
      <c r="AO1447" s="563"/>
      <c r="AP1447" s="563"/>
      <c r="AQ1447" s="563"/>
      <c r="AR1447" s="563">
        <f t="shared" si="465"/>
        <v>3000</v>
      </c>
      <c r="AS1447" s="563"/>
      <c r="AT1447" s="563"/>
      <c r="AU1447" s="563">
        <f t="shared" si="466"/>
        <v>3000</v>
      </c>
      <c r="AV1447" s="563"/>
      <c r="AW1447" s="563">
        <f t="shared" si="467"/>
        <v>3000</v>
      </c>
      <c r="AX1447" s="1004"/>
      <c r="AY1447" s="563"/>
      <c r="AZ1447" s="563"/>
      <c r="BA1447" s="563"/>
      <c r="BB1447" s="563"/>
      <c r="BC1447" s="563"/>
      <c r="BD1447" s="563"/>
      <c r="BE1447" s="563"/>
      <c r="BF1447" s="563"/>
      <c r="BG1447" s="563"/>
      <c r="BH1447" s="563"/>
      <c r="BI1447" s="563"/>
      <c r="BJ1447" s="563"/>
      <c r="BK1447" s="563"/>
      <c r="BL1447" s="563"/>
      <c r="BM1447" s="563"/>
      <c r="BN1447" s="563"/>
      <c r="BO1447" s="563"/>
      <c r="BP1447" s="1147"/>
      <c r="BQ1447" s="1147"/>
      <c r="BR1447" s="1147"/>
      <c r="BS1447" s="1147"/>
      <c r="BT1447" s="1147"/>
      <c r="BU1447" s="1147"/>
      <c r="BV1447" s="1147"/>
      <c r="BW1447" s="1147"/>
      <c r="BX1447" s="1147"/>
      <c r="BY1447" s="1147"/>
      <c r="BZ1447" s="1147"/>
      <c r="CA1447" s="1147"/>
      <c r="CB1447" s="1147"/>
      <c r="CC1447" s="1147"/>
      <c r="CD1447" s="1147"/>
      <c r="CE1447" s="1147"/>
      <c r="CF1447" s="1147"/>
      <c r="CG1447" s="1147"/>
      <c r="CH1447" s="1068"/>
      <c r="CI1447" s="1068"/>
      <c r="CJ1447" s="1068"/>
      <c r="CK1447" s="1068"/>
      <c r="CL1447" s="1068"/>
      <c r="CM1447" s="1147"/>
      <c r="CN1447" s="1147"/>
      <c r="CO1447" s="1147"/>
      <c r="CP1447" s="1068"/>
      <c r="CQ1447" s="1068"/>
      <c r="CR1447" s="1068"/>
      <c r="CS1447" s="1068"/>
      <c r="CT1447" s="1068"/>
      <c r="CU1447" s="1068"/>
    </row>
    <row r="1448" s="1265" customFormat="1" ht="31" customHeight="1" spans="1:99">
      <c r="A1448" s="1008">
        <v>46162</v>
      </c>
      <c r="B1448" s="628" t="s">
        <v>5385</v>
      </c>
      <c r="C1448" s="618" t="s">
        <v>98</v>
      </c>
      <c r="D1448" s="687" t="s">
        <v>5655</v>
      </c>
      <c r="E1448" s="618" t="s">
        <v>5656</v>
      </c>
      <c r="F1448" s="687" t="s">
        <v>5657</v>
      </c>
      <c r="G1448" s="618" t="s">
        <v>2736</v>
      </c>
      <c r="H1448" s="618" t="s">
        <v>2737</v>
      </c>
      <c r="I1448" s="1069">
        <v>1440</v>
      </c>
      <c r="J1448" s="618">
        <v>0</v>
      </c>
      <c r="K1448" s="618">
        <v>8</v>
      </c>
      <c r="L1448" s="1011">
        <f t="shared" si="458"/>
        <v>180</v>
      </c>
      <c r="M1448" s="1012">
        <v>46262</v>
      </c>
      <c r="N1448" s="1012">
        <v>46258</v>
      </c>
      <c r="O1448" s="1382" t="s">
        <v>5639</v>
      </c>
      <c r="P1448" s="618"/>
      <c r="Q1448" s="774"/>
      <c r="R1448" s="999">
        <v>46162</v>
      </c>
      <c r="S1448" s="999" t="s">
        <v>70</v>
      </c>
      <c r="T1448" s="999" t="s">
        <v>5658</v>
      </c>
      <c r="U1448" s="774"/>
      <c r="V1448" s="774"/>
      <c r="W1448" s="628"/>
      <c r="X1448" s="628" t="s">
        <v>5659</v>
      </c>
      <c r="Y1448" s="1014" t="s">
        <v>106</v>
      </c>
      <c r="Z1448" s="1339">
        <v>4.196</v>
      </c>
      <c r="AA1448" s="1014">
        <f t="shared" si="464"/>
        <v>6042.24</v>
      </c>
      <c r="AB1448" s="1381"/>
      <c r="AC1448" s="1077"/>
      <c r="AD1448" s="618" t="s">
        <v>2741</v>
      </c>
      <c r="AE1448" s="618" t="s">
        <v>82</v>
      </c>
      <c r="AF1448" s="618"/>
      <c r="AG1448" s="618"/>
      <c r="AH1448" s="618"/>
      <c r="AI1448" s="609"/>
      <c r="AJ1448" s="773">
        <f t="shared" si="462"/>
        <v>-1440</v>
      </c>
      <c r="AK1448" s="618"/>
      <c r="AL1448" s="618"/>
      <c r="AM1448" s="687"/>
      <c r="AN1448" s="687">
        <f t="shared" si="459"/>
        <v>1440</v>
      </c>
      <c r="AO1448" s="687"/>
      <c r="AP1448" s="687"/>
      <c r="AQ1448" s="687"/>
      <c r="AR1448" s="563">
        <f t="shared" si="465"/>
        <v>1440</v>
      </c>
      <c r="AS1448" s="687"/>
      <c r="AT1448" s="687"/>
      <c r="AU1448" s="563">
        <f t="shared" si="466"/>
        <v>1440</v>
      </c>
      <c r="AV1448" s="687"/>
      <c r="AW1448" s="687">
        <f t="shared" si="467"/>
        <v>1440</v>
      </c>
      <c r="AX1448" s="1016"/>
      <c r="AY1448" s="687"/>
      <c r="AZ1448" s="687"/>
      <c r="BA1448" s="687"/>
      <c r="BB1448" s="687"/>
      <c r="BC1448" s="687"/>
      <c r="BD1448" s="687"/>
      <c r="BE1448" s="687"/>
      <c r="BF1448" s="687"/>
      <c r="BG1448" s="687"/>
      <c r="BH1448" s="687"/>
      <c r="BI1448" s="687"/>
      <c r="BJ1448" s="687"/>
      <c r="BK1448" s="687"/>
      <c r="BL1448" s="687"/>
      <c r="BM1448" s="687">
        <f>I1448</f>
        <v>1440</v>
      </c>
      <c r="BN1448" s="554"/>
      <c r="BO1448" s="687"/>
      <c r="BP1448" s="1381"/>
      <c r="BQ1448" s="1381"/>
      <c r="BR1448" s="1381"/>
      <c r="BS1448" s="1381"/>
      <c r="BT1448" s="1381"/>
      <c r="BU1448" s="1381"/>
      <c r="BV1448" s="1381"/>
      <c r="BW1448" s="1381"/>
      <c r="BX1448" s="1381"/>
      <c r="BY1448" s="1381"/>
      <c r="BZ1448" s="1381"/>
      <c r="CA1448" s="1381"/>
      <c r="CB1448" s="1381"/>
      <c r="CC1448" s="1381"/>
      <c r="CD1448" s="1381"/>
      <c r="CE1448" s="1381"/>
      <c r="CF1448" s="1381"/>
      <c r="CG1448" s="1381"/>
      <c r="CH1448" s="1021"/>
      <c r="CI1448" s="1021"/>
      <c r="CJ1448" s="1021"/>
      <c r="CK1448" s="1021"/>
      <c r="CL1448" s="1021"/>
      <c r="CM1448" s="1381"/>
      <c r="CN1448" s="1381"/>
      <c r="CO1448" s="1381"/>
      <c r="CP1448" s="1021"/>
      <c r="CQ1448" s="1021"/>
      <c r="CR1448" s="1021"/>
      <c r="CS1448" s="1021"/>
      <c r="CT1448" s="1021"/>
      <c r="CU1448" s="1021"/>
    </row>
    <row r="1449" s="559" customFormat="1" ht="31" customHeight="1" spans="1:99">
      <c r="A1449" s="1008">
        <v>46171</v>
      </c>
      <c r="B1449" s="628" t="s">
        <v>5448</v>
      </c>
      <c r="C1449" s="618" t="s">
        <v>98</v>
      </c>
      <c r="D1449" s="687" t="s">
        <v>5660</v>
      </c>
      <c r="E1449" s="618" t="s">
        <v>5661</v>
      </c>
      <c r="F1449" s="687" t="s">
        <v>5662</v>
      </c>
      <c r="G1449" s="618" t="s">
        <v>5002</v>
      </c>
      <c r="H1449" s="939" t="s">
        <v>5003</v>
      </c>
      <c r="I1449" s="1069">
        <v>11832</v>
      </c>
      <c r="J1449" s="618">
        <v>0</v>
      </c>
      <c r="K1449" s="618">
        <v>24</v>
      </c>
      <c r="L1449" s="1011">
        <f t="shared" si="458"/>
        <v>493</v>
      </c>
      <c r="M1449" s="1012">
        <v>46262</v>
      </c>
      <c r="N1449" s="1012">
        <v>46258</v>
      </c>
      <c r="O1449" s="1031" t="s">
        <v>5663</v>
      </c>
      <c r="P1449" s="618"/>
      <c r="Q1449" s="774"/>
      <c r="R1449" s="999">
        <v>46162</v>
      </c>
      <c r="S1449" s="999" t="s">
        <v>70</v>
      </c>
      <c r="T1449" s="999" t="s">
        <v>5453</v>
      </c>
      <c r="U1449" s="999"/>
      <c r="V1449" s="646"/>
      <c r="W1449" s="628"/>
      <c r="X1449" s="628" t="s">
        <v>5664</v>
      </c>
      <c r="Y1449" s="1014" t="s">
        <v>5455</v>
      </c>
      <c r="Z1449" s="1339">
        <v>110.7734</v>
      </c>
      <c r="AA1449" s="1014">
        <f>Z1449*L1449</f>
        <v>54611.2862</v>
      </c>
      <c r="AB1449" s="687"/>
      <c r="AC1449" s="1077"/>
      <c r="AD1449" s="560" t="s">
        <v>5008</v>
      </c>
      <c r="AE1449" s="939" t="s">
        <v>82</v>
      </c>
      <c r="AF1449" s="618"/>
      <c r="AG1449" s="618"/>
      <c r="AH1449" s="618"/>
      <c r="AI1449" s="609"/>
      <c r="AJ1449" s="773">
        <f t="shared" si="462"/>
        <v>-11832</v>
      </c>
      <c r="AK1449" s="618"/>
      <c r="AL1449" s="618"/>
      <c r="AM1449" s="687"/>
      <c r="AN1449" s="687">
        <f t="shared" si="459"/>
        <v>11832</v>
      </c>
      <c r="AO1449" s="687"/>
      <c r="AP1449" s="687"/>
      <c r="AQ1449" s="687"/>
      <c r="AR1449" s="687">
        <f t="shared" si="465"/>
        <v>11832</v>
      </c>
      <c r="AS1449" s="687"/>
      <c r="AT1449" s="687"/>
      <c r="AU1449" s="563">
        <f t="shared" si="466"/>
        <v>11832</v>
      </c>
      <c r="AV1449" s="563"/>
      <c r="AW1449" s="563">
        <f t="shared" si="467"/>
        <v>11832</v>
      </c>
      <c r="AX1449" s="1004"/>
      <c r="AY1449" s="687"/>
      <c r="AZ1449" s="687"/>
      <c r="BA1449" s="687"/>
      <c r="BB1449" s="687"/>
      <c r="BC1449" s="687"/>
      <c r="BD1449" s="687"/>
      <c r="BE1449" s="687"/>
      <c r="BF1449" s="687"/>
      <c r="BG1449" s="687"/>
      <c r="BH1449" s="687"/>
      <c r="BI1449" s="687"/>
      <c r="BJ1449" s="687"/>
      <c r="BK1449" s="687"/>
      <c r="BL1449" s="687"/>
      <c r="BM1449" s="687">
        <f>I1449</f>
        <v>11832</v>
      </c>
      <c r="BN1449" s="687"/>
      <c r="BO1449" s="687"/>
      <c r="BP1449" s="687"/>
      <c r="BQ1449" s="687"/>
      <c r="BR1449" s="687"/>
      <c r="BS1449" s="687"/>
      <c r="BT1449" s="687"/>
      <c r="BU1449" s="687"/>
      <c r="BV1449" s="687"/>
      <c r="BW1449" s="687"/>
      <c r="BX1449" s="687"/>
      <c r="BY1449" s="687"/>
      <c r="BZ1449" s="687"/>
      <c r="CA1449" s="687"/>
      <c r="CB1449" s="687"/>
      <c r="CC1449" s="687"/>
      <c r="CD1449" s="687"/>
      <c r="CE1449" s="687"/>
      <c r="CF1449" s="687"/>
      <c r="CG1449" s="687"/>
      <c r="CH1449" s="1020"/>
      <c r="CI1449" s="1020"/>
      <c r="CJ1449" s="1020"/>
      <c r="CK1449" s="1020"/>
      <c r="CL1449" s="1020"/>
      <c r="CM1449" s="687"/>
      <c r="CN1449" s="687"/>
      <c r="CO1449" s="687"/>
      <c r="CP1449" s="1020"/>
      <c r="CQ1449" s="1020"/>
      <c r="CR1449" s="1020"/>
      <c r="CS1449" s="1020"/>
      <c r="CT1449" s="1020"/>
      <c r="CU1449" s="1020"/>
    </row>
    <row r="1450" s="559" customFormat="1" ht="31" customHeight="1" spans="1:99">
      <c r="A1450" s="1008">
        <v>46171</v>
      </c>
      <c r="B1450" s="628" t="s">
        <v>5448</v>
      </c>
      <c r="C1450" s="618" t="s">
        <v>98</v>
      </c>
      <c r="D1450" s="687" t="s">
        <v>5660</v>
      </c>
      <c r="E1450" s="618" t="s">
        <v>5665</v>
      </c>
      <c r="F1450" s="687" t="s">
        <v>5666</v>
      </c>
      <c r="G1450" s="618" t="s">
        <v>5002</v>
      </c>
      <c r="H1450" s="939" t="s">
        <v>5003</v>
      </c>
      <c r="I1450" s="1069">
        <v>10296</v>
      </c>
      <c r="J1450" s="618">
        <v>0</v>
      </c>
      <c r="K1450" s="618">
        <v>24</v>
      </c>
      <c r="L1450" s="1011">
        <f t="shared" si="458"/>
        <v>429</v>
      </c>
      <c r="M1450" s="1012">
        <v>46262</v>
      </c>
      <c r="N1450" s="1012">
        <v>46258</v>
      </c>
      <c r="O1450" s="1031" t="s">
        <v>5663</v>
      </c>
      <c r="P1450" s="618"/>
      <c r="Q1450" s="774"/>
      <c r="R1450" s="999">
        <v>46162</v>
      </c>
      <c r="S1450" s="999" t="s">
        <v>70</v>
      </c>
      <c r="T1450" s="999" t="s">
        <v>5453</v>
      </c>
      <c r="U1450" s="999"/>
      <c r="V1450" s="646"/>
      <c r="W1450" s="628"/>
      <c r="X1450" s="628" t="s">
        <v>5664</v>
      </c>
      <c r="Y1450" s="1014" t="s">
        <v>5455</v>
      </c>
      <c r="Z1450" s="1339">
        <v>110.7734</v>
      </c>
      <c r="AA1450" s="1014">
        <f>Z1450*L1450</f>
        <v>47521.7886</v>
      </c>
      <c r="AB1450" s="687"/>
      <c r="AC1450" s="1077"/>
      <c r="AD1450" s="560" t="s">
        <v>5008</v>
      </c>
      <c r="AE1450" s="939" t="s">
        <v>82</v>
      </c>
      <c r="AF1450" s="618"/>
      <c r="AG1450" s="618"/>
      <c r="AH1450" s="618"/>
      <c r="AI1450" s="609"/>
      <c r="AJ1450" s="773">
        <f t="shared" si="462"/>
        <v>-10296</v>
      </c>
      <c r="AK1450" s="618"/>
      <c r="AL1450" s="618"/>
      <c r="AM1450" s="687"/>
      <c r="AN1450" s="687">
        <f t="shared" si="459"/>
        <v>10296</v>
      </c>
      <c r="AO1450" s="687"/>
      <c r="AP1450" s="687"/>
      <c r="AQ1450" s="687"/>
      <c r="AR1450" s="687">
        <f t="shared" si="465"/>
        <v>10296</v>
      </c>
      <c r="AS1450" s="687"/>
      <c r="AT1450" s="687"/>
      <c r="AU1450" s="563">
        <f t="shared" si="466"/>
        <v>10296</v>
      </c>
      <c r="AV1450" s="563"/>
      <c r="AW1450" s="563">
        <f t="shared" si="467"/>
        <v>10296</v>
      </c>
      <c r="AX1450" s="1004"/>
      <c r="AY1450" s="687"/>
      <c r="AZ1450" s="687"/>
      <c r="BA1450" s="687"/>
      <c r="BB1450" s="687"/>
      <c r="BC1450" s="687"/>
      <c r="BD1450" s="687"/>
      <c r="BE1450" s="687"/>
      <c r="BF1450" s="687"/>
      <c r="BG1450" s="687"/>
      <c r="BH1450" s="687"/>
      <c r="BI1450" s="687"/>
      <c r="BJ1450" s="687"/>
      <c r="BK1450" s="687"/>
      <c r="BL1450" s="687"/>
      <c r="BM1450" s="687">
        <f>I1450</f>
        <v>10296</v>
      </c>
      <c r="BN1450" s="687"/>
      <c r="BO1450" s="687"/>
      <c r="BP1450" s="687"/>
      <c r="BQ1450" s="687"/>
      <c r="BR1450" s="687"/>
      <c r="BS1450" s="687"/>
      <c r="BT1450" s="687"/>
      <c r="BU1450" s="687"/>
      <c r="BV1450" s="687"/>
      <c r="BW1450" s="687"/>
      <c r="BX1450" s="687"/>
      <c r="BY1450" s="687"/>
      <c r="BZ1450" s="687"/>
      <c r="CA1450" s="687"/>
      <c r="CB1450" s="687"/>
      <c r="CC1450" s="687"/>
      <c r="CD1450" s="687"/>
      <c r="CE1450" s="687"/>
      <c r="CF1450" s="687"/>
      <c r="CG1450" s="687"/>
      <c r="CH1450" s="1020"/>
      <c r="CI1450" s="1020"/>
      <c r="CJ1450" s="1020"/>
      <c r="CK1450" s="1020"/>
      <c r="CL1450" s="1020"/>
      <c r="CM1450" s="687"/>
      <c r="CN1450" s="687"/>
      <c r="CO1450" s="687"/>
      <c r="CP1450" s="1020"/>
      <c r="CQ1450" s="1020"/>
      <c r="CR1450" s="1020"/>
      <c r="CS1450" s="1020"/>
      <c r="CT1450" s="1020"/>
      <c r="CU1450" s="1020"/>
    </row>
    <row r="1451" s="1271" customFormat="1" ht="31" customHeight="1" spans="1:99">
      <c r="A1451" s="1022">
        <v>46218</v>
      </c>
      <c r="B1451" s="626" t="s">
        <v>3321</v>
      </c>
      <c r="C1451" s="939" t="s">
        <v>302</v>
      </c>
      <c r="D1451" s="563">
        <v>4500216548</v>
      </c>
      <c r="E1451" s="939">
        <v>4400584671</v>
      </c>
      <c r="F1451" s="563" t="s">
        <v>5667</v>
      </c>
      <c r="G1451" s="939" t="s">
        <v>164</v>
      </c>
      <c r="H1451" s="939" t="s">
        <v>112</v>
      </c>
      <c r="I1451" s="1023">
        <v>800</v>
      </c>
      <c r="J1451" s="939">
        <v>0</v>
      </c>
      <c r="K1451" s="939">
        <v>8</v>
      </c>
      <c r="L1451" s="1064">
        <f t="shared" si="458"/>
        <v>100</v>
      </c>
      <c r="M1451" s="1027">
        <v>46262</v>
      </c>
      <c r="N1451" s="1027">
        <v>46258</v>
      </c>
      <c r="O1451" s="1031"/>
      <c r="P1451" s="939"/>
      <c r="Q1451" s="999"/>
      <c r="R1451" s="999">
        <v>46218</v>
      </c>
      <c r="S1451" s="999" t="s">
        <v>70</v>
      </c>
      <c r="T1451" s="999" t="s">
        <v>70</v>
      </c>
      <c r="U1451" s="999" t="s">
        <v>5186</v>
      </c>
      <c r="V1451" s="243" t="s">
        <v>5396</v>
      </c>
      <c r="W1451" s="626"/>
      <c r="X1451" s="626" t="s">
        <v>5668</v>
      </c>
      <c r="Y1451" s="1001" t="s">
        <v>5054</v>
      </c>
      <c r="Z1451" s="1076">
        <v>4.374</v>
      </c>
      <c r="AA1451" s="1001">
        <f t="shared" ref="AA1451:AA1458" si="468">Z1451*I1451</f>
        <v>3499.2</v>
      </c>
      <c r="AB1451" s="563"/>
      <c r="AC1451" s="1077"/>
      <c r="AD1451" s="939" t="s">
        <v>2381</v>
      </c>
      <c r="AE1451" s="939" t="s">
        <v>82</v>
      </c>
      <c r="AF1451" s="939"/>
      <c r="AG1451" s="939"/>
      <c r="AH1451" s="939"/>
      <c r="AI1451" s="626"/>
      <c r="AJ1451" s="939">
        <f t="shared" si="462"/>
        <v>-800</v>
      </c>
      <c r="AK1451" s="939"/>
      <c r="AL1451" s="939"/>
      <c r="AM1451" s="563"/>
      <c r="AN1451" s="563">
        <f t="shared" si="459"/>
        <v>800</v>
      </c>
      <c r="AO1451" s="563"/>
      <c r="AP1451" s="563"/>
      <c r="AQ1451" s="563"/>
      <c r="AR1451" s="563"/>
      <c r="AS1451" s="563">
        <f>I1451</f>
        <v>800</v>
      </c>
      <c r="AT1451" s="563"/>
      <c r="AU1451" s="563">
        <f t="shared" si="466"/>
        <v>800</v>
      </c>
      <c r="AV1451" s="563"/>
      <c r="AW1451" s="563">
        <f t="shared" si="467"/>
        <v>800</v>
      </c>
      <c r="AX1451" s="1004"/>
      <c r="AY1451" s="563"/>
      <c r="AZ1451" s="563"/>
      <c r="BA1451" s="563"/>
      <c r="BB1451" s="563"/>
      <c r="BC1451" s="563"/>
      <c r="BD1451" s="563"/>
      <c r="BE1451" s="563"/>
      <c r="BF1451" s="563"/>
      <c r="BG1451" s="563"/>
      <c r="BH1451" s="563"/>
      <c r="BI1451" s="563">
        <f>I1451/4</f>
        <v>200</v>
      </c>
      <c r="BJ1451" s="563"/>
      <c r="BK1451" s="563"/>
      <c r="BL1451" s="563"/>
      <c r="BM1451" s="563"/>
      <c r="BN1451" s="563"/>
      <c r="BO1451" s="563"/>
      <c r="BP1451" s="1147"/>
      <c r="BQ1451" s="1147"/>
      <c r="BR1451" s="1147"/>
      <c r="BS1451" s="1147"/>
      <c r="BT1451" s="1147"/>
      <c r="BU1451" s="1147"/>
      <c r="BV1451" s="1147"/>
      <c r="BW1451" s="1147"/>
      <c r="BX1451" s="1147"/>
      <c r="BY1451" s="1147"/>
      <c r="BZ1451" s="1147"/>
      <c r="CA1451" s="1147"/>
      <c r="CB1451" s="1147"/>
      <c r="CC1451" s="1147"/>
      <c r="CD1451" s="1147"/>
      <c r="CE1451" s="1147"/>
      <c r="CF1451" s="1147"/>
      <c r="CG1451" s="1147"/>
      <c r="CH1451" s="1068"/>
      <c r="CI1451" s="1068"/>
      <c r="CJ1451" s="1068"/>
      <c r="CK1451" s="1068"/>
      <c r="CL1451" s="1068"/>
      <c r="CM1451" s="1147"/>
      <c r="CN1451" s="1147"/>
      <c r="CO1451" s="1147"/>
      <c r="CP1451" s="1068"/>
      <c r="CQ1451" s="1068"/>
      <c r="CR1451" s="1068"/>
      <c r="CS1451" s="1068"/>
      <c r="CT1451" s="1068"/>
      <c r="CU1451" s="1068"/>
    </row>
    <row r="1452" s="1271" customFormat="1" ht="31" customHeight="1" spans="1:99">
      <c r="A1452" s="991">
        <v>46218</v>
      </c>
      <c r="B1452" s="601" t="s">
        <v>3321</v>
      </c>
      <c r="C1452" s="992" t="s">
        <v>302</v>
      </c>
      <c r="D1452" s="586">
        <v>4500216548</v>
      </c>
      <c r="E1452" s="992">
        <v>4400584672</v>
      </c>
      <c r="F1452" s="586" t="s">
        <v>5669</v>
      </c>
      <c r="G1452" s="992" t="s">
        <v>164</v>
      </c>
      <c r="H1452" s="992" t="s">
        <v>112</v>
      </c>
      <c r="I1452" s="995">
        <v>400</v>
      </c>
      <c r="J1452" s="992">
        <v>0</v>
      </c>
      <c r="K1452" s="992">
        <v>8</v>
      </c>
      <c r="L1452" s="1161">
        <f t="shared" si="458"/>
        <v>50</v>
      </c>
      <c r="M1452" s="1079">
        <v>46262</v>
      </c>
      <c r="N1452" s="1079">
        <v>46258</v>
      </c>
      <c r="O1452" s="994"/>
      <c r="P1452" s="992"/>
      <c r="Q1452" s="584"/>
      <c r="R1452" s="584">
        <v>46218</v>
      </c>
      <c r="S1452" s="584" t="s">
        <v>70</v>
      </c>
      <c r="T1452" s="584" t="s">
        <v>70</v>
      </c>
      <c r="U1452" s="584" t="s">
        <v>5186</v>
      </c>
      <c r="V1452" s="243" t="s">
        <v>5396</v>
      </c>
      <c r="W1452" s="601"/>
      <c r="X1452" s="601" t="s">
        <v>5668</v>
      </c>
      <c r="Y1452" s="1000" t="s">
        <v>5054</v>
      </c>
      <c r="Z1452" s="1383">
        <v>4.374</v>
      </c>
      <c r="AA1452" s="1000">
        <f t="shared" si="468"/>
        <v>1749.6</v>
      </c>
      <c r="AB1452" s="586"/>
      <c r="AC1452" s="1384"/>
      <c r="AD1452" s="992" t="s">
        <v>2381</v>
      </c>
      <c r="AE1452" s="939" t="s">
        <v>82</v>
      </c>
      <c r="AF1452" s="992"/>
      <c r="AG1452" s="992"/>
      <c r="AH1452" s="992"/>
      <c r="AI1452" s="601"/>
      <c r="AJ1452" s="992">
        <f t="shared" si="462"/>
        <v>-400</v>
      </c>
      <c r="AK1452" s="992"/>
      <c r="AL1452" s="992"/>
      <c r="AM1452" s="586"/>
      <c r="AN1452" s="586">
        <f t="shared" si="459"/>
        <v>400</v>
      </c>
      <c r="AO1452" s="586"/>
      <c r="AP1452" s="586"/>
      <c r="AQ1452" s="586"/>
      <c r="AR1452" s="586"/>
      <c r="AS1452" s="586">
        <f>I1452</f>
        <v>400</v>
      </c>
      <c r="AT1452" s="586"/>
      <c r="AU1452" s="586">
        <f t="shared" si="466"/>
        <v>400</v>
      </c>
      <c r="AV1452" s="586"/>
      <c r="AW1452" s="586">
        <f t="shared" si="467"/>
        <v>400</v>
      </c>
      <c r="AX1452" s="1049"/>
      <c r="AY1452" s="586"/>
      <c r="AZ1452" s="586"/>
      <c r="BA1452" s="586"/>
      <c r="BB1452" s="586"/>
      <c r="BC1452" s="586"/>
      <c r="BD1452" s="586"/>
      <c r="BE1452" s="586"/>
      <c r="BF1452" s="586"/>
      <c r="BG1452" s="586"/>
      <c r="BH1452" s="586"/>
      <c r="BI1452" s="586">
        <f>I1452/4</f>
        <v>100</v>
      </c>
      <c r="BJ1452" s="586"/>
      <c r="BK1452" s="586"/>
      <c r="BL1452" s="586"/>
      <c r="BM1452" s="586"/>
      <c r="BN1452" s="586"/>
      <c r="BO1452" s="586"/>
      <c r="BP1452" s="1385"/>
      <c r="BQ1452" s="1385"/>
      <c r="BR1452" s="1385"/>
      <c r="BS1452" s="1385"/>
      <c r="BT1452" s="1385"/>
      <c r="BU1452" s="1385"/>
      <c r="BV1452" s="1385"/>
      <c r="BW1452" s="1385"/>
      <c r="BX1452" s="1385"/>
      <c r="BY1452" s="1385"/>
      <c r="BZ1452" s="1385"/>
      <c r="CA1452" s="1385"/>
      <c r="CB1452" s="1385"/>
      <c r="CC1452" s="1385"/>
      <c r="CD1452" s="1385"/>
      <c r="CE1452" s="1385"/>
      <c r="CF1452" s="1385"/>
      <c r="CG1452" s="1385"/>
      <c r="CH1452" s="1386"/>
      <c r="CI1452" s="1386"/>
      <c r="CJ1452" s="1386"/>
      <c r="CK1452" s="1386"/>
      <c r="CL1452" s="1386"/>
      <c r="CM1452" s="1385"/>
      <c r="CN1452" s="1385"/>
      <c r="CO1452" s="1385"/>
      <c r="CP1452" s="1386"/>
      <c r="CQ1452" s="1386"/>
      <c r="CR1452" s="1386"/>
      <c r="CS1452" s="1386"/>
      <c r="CT1452" s="1386"/>
      <c r="CU1452" s="1386"/>
    </row>
    <row r="1453" s="1272" customFormat="1" ht="31" customHeight="1" spans="1:99">
      <c r="A1453" s="1034">
        <v>46218</v>
      </c>
      <c r="B1453" s="603" t="s">
        <v>1337</v>
      </c>
      <c r="C1453" s="1035" t="s">
        <v>931</v>
      </c>
      <c r="D1453" s="560">
        <v>4500216583</v>
      </c>
      <c r="E1453" s="1035" t="s">
        <v>5670</v>
      </c>
      <c r="F1453" s="560" t="s">
        <v>5671</v>
      </c>
      <c r="G1453" s="1035" t="s">
        <v>68</v>
      </c>
      <c r="H1453" s="1035" t="s">
        <v>69</v>
      </c>
      <c r="I1453" s="1036">
        <v>2796</v>
      </c>
      <c r="J1453" s="1035">
        <v>0</v>
      </c>
      <c r="K1453" s="1035">
        <v>12</v>
      </c>
      <c r="L1453" s="1025">
        <f t="shared" si="458"/>
        <v>233</v>
      </c>
      <c r="M1453" s="1037">
        <v>46262</v>
      </c>
      <c r="N1453" s="1037">
        <v>46258</v>
      </c>
      <c r="O1453" s="1043"/>
      <c r="P1453" s="1035"/>
      <c r="Q1453" s="1039"/>
      <c r="R1453" s="1039">
        <v>46231</v>
      </c>
      <c r="S1453" s="1039" t="s">
        <v>70</v>
      </c>
      <c r="T1453" s="1039" t="s">
        <v>5672</v>
      </c>
      <c r="U1453" s="1039"/>
      <c r="V1453" s="1039"/>
      <c r="W1453" s="603"/>
      <c r="X1453" s="603" t="s">
        <v>5673</v>
      </c>
      <c r="Y1453" s="1042" t="s">
        <v>943</v>
      </c>
      <c r="Z1453" s="1387">
        <v>4.3274</v>
      </c>
      <c r="AA1453" s="1042">
        <f t="shared" si="468"/>
        <v>12099.4104</v>
      </c>
      <c r="AB1453" s="560"/>
      <c r="AC1453" s="1077"/>
      <c r="AD1453" s="1035" t="s">
        <v>184</v>
      </c>
      <c r="AE1453" s="1035" t="s">
        <v>82</v>
      </c>
      <c r="AF1453" s="1035"/>
      <c r="AG1453" s="1035"/>
      <c r="AH1453" s="1035"/>
      <c r="AI1453" s="603"/>
      <c r="AJ1453" s="1035">
        <f t="shared" si="462"/>
        <v>-2796</v>
      </c>
      <c r="AK1453" s="1035"/>
      <c r="AL1453" s="1035" t="s">
        <v>2368</v>
      </c>
      <c r="AM1453" s="560"/>
      <c r="AN1453" s="560">
        <f t="shared" si="459"/>
        <v>2796</v>
      </c>
      <c r="AO1453" s="560"/>
      <c r="AP1453" s="560"/>
      <c r="AQ1453" s="560"/>
      <c r="AR1453" s="560"/>
      <c r="AS1453" s="560">
        <f>I1453</f>
        <v>2796</v>
      </c>
      <c r="AT1453" s="560"/>
      <c r="AU1453" s="560">
        <f t="shared" si="466"/>
        <v>2796</v>
      </c>
      <c r="AV1453" s="560"/>
      <c r="AW1453" s="560">
        <f t="shared" si="467"/>
        <v>2796</v>
      </c>
      <c r="AX1453" s="1045"/>
      <c r="AY1453" s="560"/>
      <c r="AZ1453" s="560"/>
      <c r="BA1453" s="560"/>
      <c r="BB1453" s="560"/>
      <c r="BC1453" s="560"/>
      <c r="BD1453" s="560"/>
      <c r="BE1453" s="560"/>
      <c r="BF1453" s="560"/>
      <c r="BG1453" s="560"/>
      <c r="BH1453" s="560"/>
      <c r="BI1453" s="560"/>
      <c r="BJ1453" s="560"/>
      <c r="BK1453" s="560"/>
      <c r="BL1453" s="560"/>
      <c r="BM1453" s="560"/>
      <c r="BN1453" s="560"/>
      <c r="BO1453" s="560"/>
      <c r="BP1453" s="1148"/>
      <c r="BQ1453" s="1148"/>
      <c r="BR1453" s="1148"/>
      <c r="BS1453" s="1148"/>
      <c r="BT1453" s="1148"/>
      <c r="BU1453" s="1148"/>
      <c r="BV1453" s="1148"/>
      <c r="BW1453" s="1148"/>
      <c r="BX1453" s="1148"/>
      <c r="BY1453" s="1148"/>
      <c r="BZ1453" s="1148"/>
      <c r="CA1453" s="1148"/>
      <c r="CB1453" s="1148"/>
      <c r="CC1453" s="1148"/>
      <c r="CD1453" s="1148"/>
      <c r="CE1453" s="1148"/>
      <c r="CF1453" s="1148"/>
      <c r="CG1453" s="1148"/>
      <c r="CH1453" s="1388"/>
      <c r="CI1453" s="1388"/>
      <c r="CJ1453" s="1388"/>
      <c r="CK1453" s="1388"/>
      <c r="CL1453" s="1388"/>
      <c r="CM1453" s="1148"/>
      <c r="CN1453" s="1148"/>
      <c r="CO1453" s="1148"/>
      <c r="CP1453" s="1388"/>
      <c r="CQ1453" s="1388"/>
      <c r="CR1453" s="1388"/>
      <c r="CS1453" s="1388"/>
      <c r="CT1453" s="1388"/>
      <c r="CU1453" s="1388"/>
    </row>
    <row r="1454" s="1271" customFormat="1" ht="31" customHeight="1" spans="1:99">
      <c r="A1454" s="1127">
        <v>46218</v>
      </c>
      <c r="B1454" s="1128" t="s">
        <v>1800</v>
      </c>
      <c r="C1454" s="1129" t="s">
        <v>744</v>
      </c>
      <c r="D1454" s="562">
        <v>4500216641</v>
      </c>
      <c r="E1454" s="1129">
        <v>5000002327</v>
      </c>
      <c r="F1454" s="562" t="s">
        <v>5674</v>
      </c>
      <c r="G1454" s="1129" t="s">
        <v>518</v>
      </c>
      <c r="H1454" s="1129" t="s">
        <v>477</v>
      </c>
      <c r="I1454" s="1132">
        <v>1800</v>
      </c>
      <c r="J1454" s="1129">
        <v>0</v>
      </c>
      <c r="K1454" s="1129">
        <v>6</v>
      </c>
      <c r="L1454" s="1133">
        <f t="shared" si="458"/>
        <v>300</v>
      </c>
      <c r="M1454" s="1134">
        <v>46262</v>
      </c>
      <c r="N1454" s="225" t="s">
        <v>5500</v>
      </c>
      <c r="O1454" s="1131"/>
      <c r="P1454" s="1129"/>
      <c r="Q1454" s="1029"/>
      <c r="R1454" s="1029" t="s">
        <v>5675</v>
      </c>
      <c r="S1454" s="1029" t="s">
        <v>104</v>
      </c>
      <c r="T1454" s="1029" t="s">
        <v>2239</v>
      </c>
      <c r="U1454" s="1029"/>
      <c r="V1454" s="1029"/>
      <c r="W1454" s="1128"/>
      <c r="X1454" s="1128" t="s">
        <v>5676</v>
      </c>
      <c r="Y1454" s="1136" t="s">
        <v>1805</v>
      </c>
      <c r="Z1454" s="1389">
        <v>7.0792</v>
      </c>
      <c r="AA1454" s="1136">
        <f t="shared" si="468"/>
        <v>12742.56</v>
      </c>
      <c r="AB1454" s="562"/>
      <c r="AC1454" s="1168"/>
      <c r="AD1454" s="1129" t="s">
        <v>2241</v>
      </c>
      <c r="AE1454" s="1129" t="s">
        <v>82</v>
      </c>
      <c r="AF1454" s="1129"/>
      <c r="AG1454" s="1129"/>
      <c r="AH1454" s="1129"/>
      <c r="AI1454" s="1128"/>
      <c r="AJ1454" s="1129">
        <f t="shared" si="462"/>
        <v>-1800</v>
      </c>
      <c r="AK1454" s="1129"/>
      <c r="AL1454" s="1129"/>
      <c r="AM1454" s="562"/>
      <c r="AN1454" s="562">
        <f t="shared" si="459"/>
        <v>1800</v>
      </c>
      <c r="AO1454" s="562"/>
      <c r="AP1454" s="562"/>
      <c r="AQ1454" s="562"/>
      <c r="AR1454" s="562">
        <f>I1454</f>
        <v>1800</v>
      </c>
      <c r="AS1454" s="562"/>
      <c r="AT1454" s="562"/>
      <c r="AU1454" s="562"/>
      <c r="AV1454" s="562">
        <f>I1454</f>
        <v>1800</v>
      </c>
      <c r="AW1454" s="562"/>
      <c r="AX1454" s="1140">
        <f>I1454</f>
        <v>1800</v>
      </c>
      <c r="AY1454" s="562"/>
      <c r="AZ1454" s="562"/>
      <c r="BA1454" s="562"/>
      <c r="BB1454" s="562"/>
      <c r="BC1454" s="562"/>
      <c r="BD1454" s="562"/>
      <c r="BE1454" s="562"/>
      <c r="BF1454" s="562"/>
      <c r="BG1454" s="562"/>
      <c r="BH1454" s="562"/>
      <c r="BI1454" s="562"/>
      <c r="BJ1454" s="562"/>
      <c r="BK1454" s="562"/>
      <c r="BL1454" s="562"/>
      <c r="BM1454" s="562"/>
      <c r="BN1454" s="562">
        <f>I1454</f>
        <v>1800</v>
      </c>
      <c r="BO1454" s="562"/>
      <c r="BP1454" s="1139"/>
      <c r="BQ1454" s="1139"/>
      <c r="BR1454" s="1139"/>
      <c r="BS1454" s="1139"/>
      <c r="BT1454" s="1139"/>
      <c r="BU1454" s="1139"/>
      <c r="BV1454" s="1139"/>
      <c r="BW1454" s="1139"/>
      <c r="BX1454" s="1139"/>
      <c r="BY1454" s="1139"/>
      <c r="BZ1454" s="1139"/>
      <c r="CA1454" s="1139"/>
      <c r="CB1454" s="1139"/>
      <c r="CC1454" s="1139"/>
      <c r="CD1454" s="1139"/>
      <c r="CE1454" s="1139"/>
      <c r="CF1454" s="1139"/>
      <c r="CG1454" s="1139"/>
      <c r="CH1454" s="1146"/>
      <c r="CI1454" s="1146"/>
      <c r="CJ1454" s="1146"/>
      <c r="CK1454" s="1146"/>
      <c r="CL1454" s="1146"/>
      <c r="CM1454" s="1139"/>
      <c r="CN1454" s="1139"/>
      <c r="CO1454" s="1139"/>
      <c r="CP1454" s="1146"/>
      <c r="CQ1454" s="1146"/>
      <c r="CR1454" s="1146"/>
      <c r="CS1454" s="1146"/>
      <c r="CT1454" s="1146"/>
      <c r="CU1454" s="1146"/>
    </row>
    <row r="1455" s="1271" customFormat="1" ht="31" customHeight="1" spans="1:99">
      <c r="A1455" s="1022">
        <v>46218</v>
      </c>
      <c r="B1455" s="626" t="s">
        <v>1800</v>
      </c>
      <c r="C1455" s="939" t="s">
        <v>744</v>
      </c>
      <c r="D1455" s="563">
        <v>4500216641</v>
      </c>
      <c r="E1455" s="939">
        <v>5000002327</v>
      </c>
      <c r="F1455" s="563" t="s">
        <v>5677</v>
      </c>
      <c r="G1455" s="939" t="s">
        <v>130</v>
      </c>
      <c r="H1455" s="939" t="s">
        <v>131</v>
      </c>
      <c r="I1455" s="1023">
        <v>360</v>
      </c>
      <c r="J1455" s="939">
        <v>0</v>
      </c>
      <c r="K1455" s="939">
        <v>6</v>
      </c>
      <c r="L1455" s="1064">
        <f t="shared" si="458"/>
        <v>60</v>
      </c>
      <c r="M1455" s="1027">
        <v>46262</v>
      </c>
      <c r="N1455" s="225" t="s">
        <v>5500</v>
      </c>
      <c r="O1455" s="1031"/>
      <c r="P1455" s="939"/>
      <c r="Q1455" s="999"/>
      <c r="R1455" s="999" t="s">
        <v>5675</v>
      </c>
      <c r="S1455" s="999" t="s">
        <v>104</v>
      </c>
      <c r="T1455" s="999" t="s">
        <v>3028</v>
      </c>
      <c r="U1455" s="999"/>
      <c r="V1455" s="999"/>
      <c r="W1455" s="626"/>
      <c r="X1455" s="626" t="s">
        <v>5678</v>
      </c>
      <c r="Y1455" s="1001" t="s">
        <v>1805</v>
      </c>
      <c r="Z1455" s="1076">
        <v>4.1689</v>
      </c>
      <c r="AA1455" s="1001">
        <f t="shared" si="468"/>
        <v>1500.804</v>
      </c>
      <c r="AB1455" s="563"/>
      <c r="AC1455" s="1077"/>
      <c r="AD1455" s="939" t="s">
        <v>2217</v>
      </c>
      <c r="AE1455" s="939" t="s">
        <v>82</v>
      </c>
      <c r="AF1455" s="939"/>
      <c r="AG1455" s="939"/>
      <c r="AH1455" s="939"/>
      <c r="AI1455" s="626"/>
      <c r="AJ1455" s="939">
        <f t="shared" si="462"/>
        <v>-360</v>
      </c>
      <c r="AK1455" s="939"/>
      <c r="AL1455" s="939"/>
      <c r="AM1455" s="563"/>
      <c r="AN1455" s="563">
        <f t="shared" si="459"/>
        <v>360</v>
      </c>
      <c r="AO1455" s="563"/>
      <c r="AP1455" s="563"/>
      <c r="AQ1455" s="563"/>
      <c r="AR1455" s="563">
        <f>I1455</f>
        <v>360</v>
      </c>
      <c r="AS1455" s="563"/>
      <c r="AT1455" s="563"/>
      <c r="AU1455" s="563"/>
      <c r="AV1455" s="563">
        <f>I1455</f>
        <v>360</v>
      </c>
      <c r="AW1455" s="563"/>
      <c r="AX1455" s="1004">
        <f>I1455</f>
        <v>360</v>
      </c>
      <c r="AY1455" s="563"/>
      <c r="AZ1455" s="563"/>
      <c r="BA1455" s="563"/>
      <c r="BB1455" s="563"/>
      <c r="BC1455" s="563"/>
      <c r="BD1455" s="563"/>
      <c r="BE1455" s="563"/>
      <c r="BF1455" s="563"/>
      <c r="BG1455" s="563"/>
      <c r="BH1455" s="563"/>
      <c r="BI1455" s="563"/>
      <c r="BJ1455" s="563"/>
      <c r="BK1455" s="563"/>
      <c r="BL1455" s="563"/>
      <c r="BM1455" s="563"/>
      <c r="BN1455" s="563"/>
      <c r="BO1455" s="563"/>
      <c r="BP1455" s="1147"/>
      <c r="BQ1455" s="1147"/>
      <c r="BR1455" s="1147"/>
      <c r="BS1455" s="1147"/>
      <c r="BT1455" s="1147"/>
      <c r="BU1455" s="1147"/>
      <c r="BV1455" s="1147"/>
      <c r="BW1455" s="1147"/>
      <c r="BX1455" s="1147"/>
      <c r="BY1455" s="1147"/>
      <c r="BZ1455" s="1147"/>
      <c r="CA1455" s="1147"/>
      <c r="CB1455" s="1147"/>
      <c r="CC1455" s="1147"/>
      <c r="CD1455" s="1147"/>
      <c r="CE1455" s="1147"/>
      <c r="CF1455" s="1147"/>
      <c r="CG1455" s="1147"/>
      <c r="CH1455" s="1068"/>
      <c r="CI1455" s="1068"/>
      <c r="CJ1455" s="1068"/>
      <c r="CK1455" s="1068"/>
      <c r="CL1455" s="1068"/>
      <c r="CM1455" s="1147"/>
      <c r="CN1455" s="1147"/>
      <c r="CO1455" s="1147"/>
      <c r="CP1455" s="1068"/>
      <c r="CQ1455" s="1068"/>
      <c r="CR1455" s="1068"/>
      <c r="CS1455" s="1068"/>
      <c r="CT1455" s="1068"/>
      <c r="CU1455" s="1068"/>
    </row>
    <row r="1456" s="1271" customFormat="1" ht="31" customHeight="1" spans="1:99">
      <c r="A1456" s="1022">
        <v>46218</v>
      </c>
      <c r="B1456" s="626" t="s">
        <v>1800</v>
      </c>
      <c r="C1456" s="939" t="s">
        <v>744</v>
      </c>
      <c r="D1456" s="563">
        <v>4500216641</v>
      </c>
      <c r="E1456" s="939">
        <v>5000002327</v>
      </c>
      <c r="F1456" s="563" t="s">
        <v>5679</v>
      </c>
      <c r="G1456" s="939" t="s">
        <v>130</v>
      </c>
      <c r="H1456" s="939" t="s">
        <v>131</v>
      </c>
      <c r="I1456" s="1023">
        <v>3900</v>
      </c>
      <c r="J1456" s="939">
        <v>0</v>
      </c>
      <c r="K1456" s="939">
        <v>6</v>
      </c>
      <c r="L1456" s="1064">
        <f t="shared" si="458"/>
        <v>650</v>
      </c>
      <c r="M1456" s="1027">
        <v>46262</v>
      </c>
      <c r="N1456" s="225" t="s">
        <v>5500</v>
      </c>
      <c r="O1456" s="1031"/>
      <c r="P1456" s="939"/>
      <c r="Q1456" s="999"/>
      <c r="R1456" s="999" t="s">
        <v>5675</v>
      </c>
      <c r="S1456" s="999" t="s">
        <v>104</v>
      </c>
      <c r="T1456" s="999" t="s">
        <v>3028</v>
      </c>
      <c r="U1456" s="999"/>
      <c r="V1456" s="999"/>
      <c r="W1456" s="626"/>
      <c r="X1456" s="626" t="s">
        <v>5678</v>
      </c>
      <c r="Y1456" s="1001" t="s">
        <v>1805</v>
      </c>
      <c r="Z1456" s="1076">
        <v>4.1689</v>
      </c>
      <c r="AA1456" s="1001">
        <f t="shared" si="468"/>
        <v>16258.71</v>
      </c>
      <c r="AB1456" s="563"/>
      <c r="AC1456" s="1077"/>
      <c r="AD1456" s="939" t="s">
        <v>2217</v>
      </c>
      <c r="AE1456" s="939" t="s">
        <v>82</v>
      </c>
      <c r="AF1456" s="939"/>
      <c r="AG1456" s="939"/>
      <c r="AH1456" s="939"/>
      <c r="AI1456" s="626"/>
      <c r="AJ1456" s="939">
        <f t="shared" si="462"/>
        <v>-3900</v>
      </c>
      <c r="AK1456" s="939"/>
      <c r="AL1456" s="939"/>
      <c r="AM1456" s="563"/>
      <c r="AN1456" s="563">
        <f t="shared" si="459"/>
        <v>3900</v>
      </c>
      <c r="AO1456" s="563"/>
      <c r="AP1456" s="563"/>
      <c r="AQ1456" s="563"/>
      <c r="AR1456" s="563">
        <f>I1456</f>
        <v>3900</v>
      </c>
      <c r="AS1456" s="563"/>
      <c r="AT1456" s="563"/>
      <c r="AU1456" s="563"/>
      <c r="AV1456" s="563">
        <f>I1456</f>
        <v>3900</v>
      </c>
      <c r="AW1456" s="563"/>
      <c r="AX1456" s="1004">
        <f>I1456</f>
        <v>3900</v>
      </c>
      <c r="AY1456" s="563"/>
      <c r="AZ1456" s="563"/>
      <c r="BA1456" s="563"/>
      <c r="BB1456" s="563"/>
      <c r="BC1456" s="563"/>
      <c r="BD1456" s="563"/>
      <c r="BE1456" s="563"/>
      <c r="BF1456" s="563"/>
      <c r="BG1456" s="563"/>
      <c r="BH1456" s="563"/>
      <c r="BI1456" s="563"/>
      <c r="BJ1456" s="563"/>
      <c r="BK1456" s="563"/>
      <c r="BL1456" s="563"/>
      <c r="BM1456" s="563"/>
      <c r="BN1456" s="563"/>
      <c r="BO1456" s="563"/>
      <c r="BP1456" s="1147"/>
      <c r="BQ1456" s="1147"/>
      <c r="BR1456" s="1147"/>
      <c r="BS1456" s="1147"/>
      <c r="BT1456" s="1147"/>
      <c r="BU1456" s="1147"/>
      <c r="BV1456" s="1147"/>
      <c r="BW1456" s="1147"/>
      <c r="BX1456" s="1147"/>
      <c r="BY1456" s="1147"/>
      <c r="BZ1456" s="1147"/>
      <c r="CA1456" s="1147"/>
      <c r="CB1456" s="1147"/>
      <c r="CC1456" s="1147"/>
      <c r="CD1456" s="1147"/>
      <c r="CE1456" s="1147"/>
      <c r="CF1456" s="1147"/>
      <c r="CG1456" s="1147"/>
      <c r="CH1456" s="1068"/>
      <c r="CI1456" s="1068"/>
      <c r="CJ1456" s="1068"/>
      <c r="CK1456" s="1068"/>
      <c r="CL1456" s="1068"/>
      <c r="CM1456" s="1147"/>
      <c r="CN1456" s="1147"/>
      <c r="CO1456" s="1147"/>
      <c r="CP1456" s="1068"/>
      <c r="CQ1456" s="1068"/>
      <c r="CR1456" s="1068"/>
      <c r="CS1456" s="1068"/>
      <c r="CT1456" s="1068"/>
      <c r="CU1456" s="1068"/>
    </row>
    <row r="1457" s="1271" customFormat="1" ht="31" customHeight="1" spans="1:99">
      <c r="A1457" s="1022">
        <v>46216</v>
      </c>
      <c r="B1457" s="626" t="s">
        <v>4371</v>
      </c>
      <c r="C1457" s="939" t="s">
        <v>98</v>
      </c>
      <c r="D1457" s="563">
        <v>4500216256</v>
      </c>
      <c r="E1457" s="939">
        <v>1007021954</v>
      </c>
      <c r="F1457" s="563" t="s">
        <v>5680</v>
      </c>
      <c r="G1457" s="939" t="s">
        <v>101</v>
      </c>
      <c r="H1457" s="939" t="s">
        <v>102</v>
      </c>
      <c r="I1457" s="1023">
        <v>880</v>
      </c>
      <c r="J1457" s="939">
        <v>0</v>
      </c>
      <c r="K1457" s="939">
        <v>4</v>
      </c>
      <c r="L1457" s="1064">
        <f t="shared" si="458"/>
        <v>220</v>
      </c>
      <c r="M1457" s="1027">
        <v>46265</v>
      </c>
      <c r="N1457" s="1027">
        <v>46261</v>
      </c>
      <c r="O1457" s="1031" t="s">
        <v>5681</v>
      </c>
      <c r="P1457" s="939"/>
      <c r="Q1457" s="999"/>
      <c r="R1457" s="999" t="s">
        <v>4563</v>
      </c>
      <c r="S1457" s="999" t="s">
        <v>70</v>
      </c>
      <c r="T1457" s="999" t="s">
        <v>5564</v>
      </c>
      <c r="U1457" s="999"/>
      <c r="V1457" s="999"/>
      <c r="W1457" s="626"/>
      <c r="X1457" s="626" t="s">
        <v>5682</v>
      </c>
      <c r="Y1457" s="1001" t="s">
        <v>4378</v>
      </c>
      <c r="Z1457" s="1076">
        <v>2.61996</v>
      </c>
      <c r="AA1457" s="1001">
        <f t="shared" si="468"/>
        <v>2305.5648</v>
      </c>
      <c r="AB1457" s="563"/>
      <c r="AC1457" s="1077"/>
      <c r="AD1457" s="939" t="s">
        <v>101</v>
      </c>
      <c r="AE1457" s="939" t="s">
        <v>82</v>
      </c>
      <c r="AF1457" s="939"/>
      <c r="AG1457" s="939"/>
      <c r="AH1457" s="939"/>
      <c r="AI1457" s="626"/>
      <c r="AJ1457" s="1031">
        <f t="shared" si="462"/>
        <v>-880</v>
      </c>
      <c r="AK1457" s="939"/>
      <c r="AL1457" s="939"/>
      <c r="AM1457" s="563"/>
      <c r="AN1457" s="563">
        <f t="shared" si="459"/>
        <v>880</v>
      </c>
      <c r="AO1457" s="563"/>
      <c r="AP1457" s="563"/>
      <c r="AQ1457" s="563"/>
      <c r="AR1457" s="563">
        <f>I1457</f>
        <v>880</v>
      </c>
      <c r="AS1457" s="563"/>
      <c r="AT1457" s="563"/>
      <c r="AU1457" s="563">
        <f t="shared" ref="AU1457:AU1464" si="469">I1457</f>
        <v>880</v>
      </c>
      <c r="AV1457" s="563"/>
      <c r="AW1457" s="563">
        <f t="shared" ref="AW1457:AW1474" si="470">I1457</f>
        <v>880</v>
      </c>
      <c r="AX1457" s="1004"/>
      <c r="AY1457" s="563"/>
      <c r="AZ1457" s="563"/>
      <c r="BA1457" s="563"/>
      <c r="BB1457" s="563"/>
      <c r="BC1457" s="563"/>
      <c r="BD1457" s="563"/>
      <c r="BE1457" s="563"/>
      <c r="BF1457" s="563"/>
      <c r="BG1457" s="563"/>
      <c r="BH1457" s="563">
        <f>I1457/4</f>
        <v>220</v>
      </c>
      <c r="BI1457" s="563"/>
      <c r="BJ1457" s="563"/>
      <c r="BK1457" s="563"/>
      <c r="BL1457" s="563"/>
      <c r="BM1457" s="563"/>
      <c r="BN1457" s="563"/>
      <c r="BO1457" s="563"/>
      <c r="BP1457" s="1147"/>
      <c r="BQ1457" s="1147"/>
      <c r="BR1457" s="1147"/>
      <c r="BS1457" s="1147"/>
      <c r="BT1457" s="1147"/>
      <c r="BU1457" s="1147"/>
      <c r="BV1457" s="1147"/>
      <c r="BW1457" s="1147"/>
      <c r="BX1457" s="1147"/>
      <c r="BY1457" s="1147"/>
      <c r="BZ1457" s="1147"/>
      <c r="CA1457" s="1147"/>
      <c r="CB1457" s="1147"/>
      <c r="CC1457" s="1147"/>
      <c r="CD1457" s="1147"/>
      <c r="CE1457" s="1147"/>
      <c r="CF1457" s="1147"/>
      <c r="CG1457" s="1147"/>
      <c r="CH1457" s="1068"/>
      <c r="CI1457" s="1068"/>
      <c r="CJ1457" s="1068"/>
      <c r="CK1457" s="1068"/>
      <c r="CL1457" s="1068"/>
      <c r="CM1457" s="1147"/>
      <c r="CN1457" s="1147"/>
      <c r="CO1457" s="1147"/>
      <c r="CP1457" s="1068"/>
      <c r="CQ1457" s="1068"/>
      <c r="CR1457" s="1068"/>
      <c r="CS1457" s="1068"/>
      <c r="CT1457" s="1068"/>
      <c r="CU1457" s="1068"/>
    </row>
    <row r="1458" s="559" customFormat="1" ht="31" customHeight="1" spans="1:99">
      <c r="A1458" s="1008">
        <v>46189</v>
      </c>
      <c r="B1458" s="628" t="s">
        <v>169</v>
      </c>
      <c r="C1458" s="618" t="s">
        <v>170</v>
      </c>
      <c r="D1458" s="687" t="s">
        <v>5683</v>
      </c>
      <c r="E1458" s="773">
        <v>7000995953</v>
      </c>
      <c r="F1458" s="687" t="s">
        <v>5684</v>
      </c>
      <c r="G1458" s="618" t="s">
        <v>5294</v>
      </c>
      <c r="H1458" s="939" t="s">
        <v>477</v>
      </c>
      <c r="I1458" s="1069">
        <v>16838</v>
      </c>
      <c r="J1458" s="618">
        <v>0</v>
      </c>
      <c r="K1458" s="618">
        <v>2</v>
      </c>
      <c r="L1458" s="1011">
        <f t="shared" si="458"/>
        <v>8419</v>
      </c>
      <c r="M1458" s="1012">
        <v>46265</v>
      </c>
      <c r="N1458" s="1012">
        <v>46261</v>
      </c>
      <c r="O1458" s="1031" t="s">
        <v>5685</v>
      </c>
      <c r="P1458" s="618"/>
      <c r="Q1458" s="774"/>
      <c r="R1458" s="999">
        <v>46209</v>
      </c>
      <c r="S1458" s="999" t="s">
        <v>70</v>
      </c>
      <c r="T1458" s="999" t="s">
        <v>5608</v>
      </c>
      <c r="U1458" s="999"/>
      <c r="V1458" s="646"/>
      <c r="W1458" s="626" t="s">
        <v>5686</v>
      </c>
      <c r="X1458" s="1075" t="s">
        <v>5687</v>
      </c>
      <c r="Y1458" s="1014" t="s">
        <v>2071</v>
      </c>
      <c r="Z1458" s="1339">
        <v>6.27</v>
      </c>
      <c r="AA1458" s="1014">
        <f t="shared" si="468"/>
        <v>105574.26</v>
      </c>
      <c r="AB1458" s="626" t="s">
        <v>5611</v>
      </c>
      <c r="AC1458" s="1077"/>
      <c r="AD1458" s="939" t="s">
        <v>5300</v>
      </c>
      <c r="AE1458" s="939" t="s">
        <v>82</v>
      </c>
      <c r="AF1458" s="618"/>
      <c r="AG1458" s="618"/>
      <c r="AH1458" s="618"/>
      <c r="AI1458" s="609"/>
      <c r="AJ1458" s="773">
        <f t="shared" si="462"/>
        <v>-16838</v>
      </c>
      <c r="AK1458" s="618"/>
      <c r="AL1458" s="618"/>
      <c r="AM1458" s="687"/>
      <c r="AN1458" s="687">
        <f t="shared" si="459"/>
        <v>16838</v>
      </c>
      <c r="AO1458" s="687"/>
      <c r="AP1458" s="687"/>
      <c r="AQ1458" s="687"/>
      <c r="AR1458" s="563"/>
      <c r="AS1458" s="687"/>
      <c r="AT1458" s="687">
        <f>I1458</f>
        <v>16838</v>
      </c>
      <c r="AU1458" s="563">
        <f t="shared" si="469"/>
        <v>16838</v>
      </c>
      <c r="AV1458" s="687"/>
      <c r="AW1458" s="687">
        <f t="shared" si="470"/>
        <v>16838</v>
      </c>
      <c r="AX1458" s="1016"/>
      <c r="AY1458" s="687"/>
      <c r="AZ1458" s="687"/>
      <c r="BA1458" s="687"/>
      <c r="BB1458" s="687"/>
      <c r="BC1458" s="687"/>
      <c r="BD1458" s="687"/>
      <c r="BE1458" s="687"/>
      <c r="BF1458" s="687"/>
      <c r="BG1458" s="687"/>
      <c r="BH1458" s="687"/>
      <c r="BI1458" s="687"/>
      <c r="BJ1458" s="687"/>
      <c r="BK1458" s="687"/>
      <c r="BL1458" s="687"/>
      <c r="BM1458" s="687"/>
      <c r="BN1458" s="687">
        <f>I1458</f>
        <v>16838</v>
      </c>
      <c r="BO1458" s="687"/>
      <c r="BP1458" s="687"/>
      <c r="BQ1458" s="687"/>
      <c r="BR1458" s="687"/>
      <c r="BS1458" s="687"/>
      <c r="BT1458" s="687"/>
      <c r="BU1458" s="687"/>
      <c r="BV1458" s="687"/>
      <c r="BW1458" s="687"/>
      <c r="BX1458" s="687"/>
      <c r="BY1458" s="687"/>
      <c r="BZ1458" s="687"/>
      <c r="CA1458" s="687"/>
      <c r="CB1458" s="687"/>
      <c r="CC1458" s="687"/>
      <c r="CD1458" s="687"/>
      <c r="CE1458" s="687"/>
      <c r="CF1458" s="687"/>
      <c r="CG1458" s="687"/>
      <c r="CH1458" s="1020"/>
      <c r="CI1458" s="1020"/>
      <c r="CJ1458" s="1020"/>
      <c r="CK1458" s="1020"/>
      <c r="CL1458" s="1020"/>
      <c r="CM1458" s="687"/>
      <c r="CN1458" s="687"/>
      <c r="CO1458" s="687"/>
      <c r="CP1458" s="1020"/>
      <c r="CQ1458" s="1020"/>
      <c r="CR1458" s="1020"/>
      <c r="CS1458" s="1020"/>
      <c r="CT1458" s="1020"/>
      <c r="CU1458" s="1020"/>
    </row>
    <row r="1459" s="559" customFormat="1" ht="31" customHeight="1" spans="1:99">
      <c r="A1459" s="1008">
        <v>46171</v>
      </c>
      <c r="B1459" s="628" t="s">
        <v>5448</v>
      </c>
      <c r="C1459" s="618" t="s">
        <v>98</v>
      </c>
      <c r="D1459" s="687" t="s">
        <v>5688</v>
      </c>
      <c r="E1459" s="773">
        <v>7137243628</v>
      </c>
      <c r="F1459" s="687" t="s">
        <v>5689</v>
      </c>
      <c r="G1459" s="618" t="s">
        <v>5002</v>
      </c>
      <c r="H1459" s="939" t="s">
        <v>5003</v>
      </c>
      <c r="I1459" s="1069">
        <v>6816</v>
      </c>
      <c r="J1459" s="618">
        <v>0</v>
      </c>
      <c r="K1459" s="618">
        <v>24</v>
      </c>
      <c r="L1459" s="1011">
        <f t="shared" si="458"/>
        <v>284</v>
      </c>
      <c r="M1459" s="1012">
        <v>46265</v>
      </c>
      <c r="N1459" s="1012">
        <v>46261</v>
      </c>
      <c r="O1459" s="1031" t="s">
        <v>5663</v>
      </c>
      <c r="P1459" s="618"/>
      <c r="Q1459" s="774"/>
      <c r="R1459" s="999">
        <v>46162</v>
      </c>
      <c r="S1459" s="999" t="s">
        <v>70</v>
      </c>
      <c r="T1459" s="999" t="s">
        <v>5453</v>
      </c>
      <c r="U1459" s="999"/>
      <c r="V1459" s="999"/>
      <c r="W1459" s="626"/>
      <c r="X1459" s="628" t="s">
        <v>5664</v>
      </c>
      <c r="Y1459" s="1014" t="s">
        <v>5455</v>
      </c>
      <c r="Z1459" s="1339">
        <v>111.9485</v>
      </c>
      <c r="AA1459" s="1014">
        <f>Z1459*L1459</f>
        <v>31793.374</v>
      </c>
      <c r="AB1459" s="687"/>
      <c r="AC1459" s="1077"/>
      <c r="AD1459" s="560" t="s">
        <v>5008</v>
      </c>
      <c r="AE1459" s="939" t="s">
        <v>82</v>
      </c>
      <c r="AF1459" s="618"/>
      <c r="AG1459" s="618"/>
      <c r="AH1459" s="618"/>
      <c r="AI1459" s="609"/>
      <c r="AJ1459" s="773">
        <f t="shared" si="462"/>
        <v>-6816</v>
      </c>
      <c r="AK1459" s="618"/>
      <c r="AL1459" s="618"/>
      <c r="AM1459" s="687"/>
      <c r="AN1459" s="687">
        <f t="shared" si="459"/>
        <v>6816</v>
      </c>
      <c r="AO1459" s="687"/>
      <c r="AP1459" s="687"/>
      <c r="AQ1459" s="687"/>
      <c r="AR1459" s="687">
        <f>I1459</f>
        <v>6816</v>
      </c>
      <c r="AS1459" s="687"/>
      <c r="AT1459" s="687"/>
      <c r="AU1459" s="563">
        <f t="shared" si="469"/>
        <v>6816</v>
      </c>
      <c r="AV1459" s="563"/>
      <c r="AW1459" s="563">
        <f t="shared" si="470"/>
        <v>6816</v>
      </c>
      <c r="AX1459" s="1004"/>
      <c r="AY1459" s="687"/>
      <c r="AZ1459" s="687"/>
      <c r="BA1459" s="687"/>
      <c r="BB1459" s="687"/>
      <c r="BC1459" s="687"/>
      <c r="BD1459" s="687"/>
      <c r="BE1459" s="687"/>
      <c r="BF1459" s="687"/>
      <c r="BG1459" s="687"/>
      <c r="BH1459" s="687"/>
      <c r="BI1459" s="687"/>
      <c r="BJ1459" s="687"/>
      <c r="BK1459" s="687"/>
      <c r="BL1459" s="687"/>
      <c r="BM1459" s="687">
        <f>I1459</f>
        <v>6816</v>
      </c>
      <c r="BN1459" s="687"/>
      <c r="BO1459" s="687"/>
      <c r="BP1459" s="687"/>
      <c r="BQ1459" s="687"/>
      <c r="BR1459" s="687"/>
      <c r="BS1459" s="687"/>
      <c r="BT1459" s="687"/>
      <c r="BU1459" s="687"/>
      <c r="BV1459" s="687"/>
      <c r="BW1459" s="687"/>
      <c r="BX1459" s="687"/>
      <c r="BY1459" s="687"/>
      <c r="BZ1459" s="687"/>
      <c r="CA1459" s="687"/>
      <c r="CB1459" s="687"/>
      <c r="CC1459" s="687"/>
      <c r="CD1459" s="687"/>
      <c r="CE1459" s="687"/>
      <c r="CF1459" s="687"/>
      <c r="CG1459" s="687"/>
      <c r="CH1459" s="1020"/>
      <c r="CI1459" s="1020"/>
      <c r="CJ1459" s="1020"/>
      <c r="CK1459" s="1020"/>
      <c r="CL1459" s="1020"/>
      <c r="CM1459" s="687"/>
      <c r="CN1459" s="687"/>
      <c r="CO1459" s="687"/>
      <c r="CP1459" s="1020"/>
      <c r="CQ1459" s="1020"/>
      <c r="CR1459" s="1020"/>
      <c r="CS1459" s="1020"/>
      <c r="CT1459" s="1020"/>
      <c r="CU1459" s="1020"/>
    </row>
    <row r="1460" s="1265" customFormat="1" ht="31" customHeight="1" spans="1:99">
      <c r="A1460" s="1008">
        <v>46162</v>
      </c>
      <c r="B1460" s="628" t="s">
        <v>5385</v>
      </c>
      <c r="C1460" s="618" t="s">
        <v>98</v>
      </c>
      <c r="D1460" s="687" t="s">
        <v>5690</v>
      </c>
      <c r="E1460" s="773">
        <v>1002450705</v>
      </c>
      <c r="F1460" s="687" t="s">
        <v>5691</v>
      </c>
      <c r="G1460" s="618" t="s">
        <v>2736</v>
      </c>
      <c r="H1460" s="618" t="s">
        <v>2737</v>
      </c>
      <c r="I1460" s="1069">
        <v>904</v>
      </c>
      <c r="J1460" s="618">
        <v>0</v>
      </c>
      <c r="K1460" s="618">
        <v>8</v>
      </c>
      <c r="L1460" s="1011">
        <f t="shared" si="458"/>
        <v>113</v>
      </c>
      <c r="M1460" s="1012">
        <v>46265</v>
      </c>
      <c r="N1460" s="1012">
        <v>46261</v>
      </c>
      <c r="O1460" s="1031" t="s">
        <v>5692</v>
      </c>
      <c r="P1460" s="618"/>
      <c r="Q1460" s="774"/>
      <c r="R1460" s="999">
        <v>46162</v>
      </c>
      <c r="S1460" s="999" t="s">
        <v>70</v>
      </c>
      <c r="T1460" s="999" t="s">
        <v>5658</v>
      </c>
      <c r="U1460" s="999"/>
      <c r="V1460" s="999"/>
      <c r="W1460" s="626"/>
      <c r="X1460" s="628" t="s">
        <v>5659</v>
      </c>
      <c r="Y1460" s="1014" t="s">
        <v>106</v>
      </c>
      <c r="Z1460" s="1339">
        <v>4.3989</v>
      </c>
      <c r="AA1460" s="1014">
        <f>Z1460*I1460</f>
        <v>3976.6056</v>
      </c>
      <c r="AB1460" s="1381"/>
      <c r="AC1460" s="1077"/>
      <c r="AD1460" s="618" t="s">
        <v>2741</v>
      </c>
      <c r="AE1460" s="618" t="s">
        <v>82</v>
      </c>
      <c r="AF1460" s="618"/>
      <c r="AG1460" s="618"/>
      <c r="AH1460" s="618"/>
      <c r="AI1460" s="609"/>
      <c r="AJ1460" s="773">
        <f t="shared" si="462"/>
        <v>-904</v>
      </c>
      <c r="AK1460" s="618"/>
      <c r="AL1460" s="618"/>
      <c r="AM1460" s="687"/>
      <c r="AN1460" s="687">
        <f t="shared" si="459"/>
        <v>904</v>
      </c>
      <c r="AO1460" s="687"/>
      <c r="AP1460" s="687"/>
      <c r="AQ1460" s="687"/>
      <c r="AR1460" s="563">
        <f>I1460</f>
        <v>904</v>
      </c>
      <c r="AS1460" s="687"/>
      <c r="AT1460" s="687"/>
      <c r="AU1460" s="563">
        <f t="shared" si="469"/>
        <v>904</v>
      </c>
      <c r="AV1460" s="687"/>
      <c r="AW1460" s="687">
        <f t="shared" si="470"/>
        <v>904</v>
      </c>
      <c r="AX1460" s="1016"/>
      <c r="AY1460" s="687"/>
      <c r="AZ1460" s="687"/>
      <c r="BA1460" s="687"/>
      <c r="BB1460" s="687"/>
      <c r="BC1460" s="687"/>
      <c r="BD1460" s="687"/>
      <c r="BE1460" s="687"/>
      <c r="BF1460" s="687"/>
      <c r="BG1460" s="687"/>
      <c r="BH1460" s="687"/>
      <c r="BI1460" s="687"/>
      <c r="BJ1460" s="687"/>
      <c r="BK1460" s="687"/>
      <c r="BL1460" s="687"/>
      <c r="BM1460" s="687">
        <f>I1460</f>
        <v>904</v>
      </c>
      <c r="BN1460" s="554"/>
      <c r="BO1460" s="687"/>
      <c r="BP1460" s="1381"/>
      <c r="BQ1460" s="1381"/>
      <c r="BR1460" s="1381"/>
      <c r="BS1460" s="1381"/>
      <c r="BT1460" s="1381"/>
      <c r="BU1460" s="1381"/>
      <c r="BV1460" s="1381"/>
      <c r="BW1460" s="1381"/>
      <c r="BX1460" s="1381"/>
      <c r="BY1460" s="1381"/>
      <c r="BZ1460" s="1381"/>
      <c r="CA1460" s="1381"/>
      <c r="CB1460" s="1381"/>
      <c r="CC1460" s="1381"/>
      <c r="CD1460" s="1381"/>
      <c r="CE1460" s="1381"/>
      <c r="CF1460" s="1381"/>
      <c r="CG1460" s="1381"/>
      <c r="CH1460" s="1021"/>
      <c r="CI1460" s="1021"/>
      <c r="CJ1460" s="1021"/>
      <c r="CK1460" s="1021"/>
      <c r="CL1460" s="1021"/>
      <c r="CM1460" s="1381"/>
      <c r="CN1460" s="1381"/>
      <c r="CO1460" s="1381"/>
      <c r="CP1460" s="1021"/>
      <c r="CQ1460" s="1021"/>
      <c r="CR1460" s="1021"/>
      <c r="CS1460" s="1021"/>
      <c r="CT1460" s="1021"/>
      <c r="CU1460" s="1021"/>
    </row>
    <row r="1461" s="1270" customFormat="1" ht="31" customHeight="1" spans="1:99">
      <c r="A1461" s="1022">
        <v>46212</v>
      </c>
      <c r="B1461" s="626" t="s">
        <v>169</v>
      </c>
      <c r="C1461" s="939" t="s">
        <v>170</v>
      </c>
      <c r="D1461" s="563">
        <v>4500215784</v>
      </c>
      <c r="E1461" s="1031">
        <v>6661405</v>
      </c>
      <c r="F1461" s="563" t="s">
        <v>5693</v>
      </c>
      <c r="G1461" s="939" t="s">
        <v>172</v>
      </c>
      <c r="H1461" s="939" t="s">
        <v>112</v>
      </c>
      <c r="I1461" s="1023">
        <v>1000</v>
      </c>
      <c r="J1461" s="939">
        <v>0</v>
      </c>
      <c r="K1461" s="939">
        <v>2</v>
      </c>
      <c r="L1461" s="1064">
        <f t="shared" si="458"/>
        <v>500</v>
      </c>
      <c r="M1461" s="1027">
        <v>46265</v>
      </c>
      <c r="N1461" s="1027">
        <v>46261</v>
      </c>
      <c r="O1461" s="1390" t="s">
        <v>5694</v>
      </c>
      <c r="P1461" s="1031"/>
      <c r="Q1461" s="999"/>
      <c r="R1461" s="999">
        <v>46212</v>
      </c>
      <c r="S1461" s="999" t="s">
        <v>70</v>
      </c>
      <c r="T1461" s="999" t="s">
        <v>3479</v>
      </c>
      <c r="U1461" s="999"/>
      <c r="V1461" s="999"/>
      <c r="W1461" s="626"/>
      <c r="X1461" s="626" t="s">
        <v>5695</v>
      </c>
      <c r="Y1461" s="1001" t="s">
        <v>2071</v>
      </c>
      <c r="Z1461" s="1076">
        <v>4.4913</v>
      </c>
      <c r="AA1461" s="1001">
        <f>Z1461*I1461</f>
        <v>4491.3</v>
      </c>
      <c r="AB1461" s="563"/>
      <c r="AC1461" s="1077"/>
      <c r="AD1461" s="939" t="s">
        <v>172</v>
      </c>
      <c r="AE1461" s="939" t="s">
        <v>82</v>
      </c>
      <c r="AF1461" s="939"/>
      <c r="AG1461" s="939"/>
      <c r="AH1461" s="939"/>
      <c r="AI1461" s="939"/>
      <c r="AJ1461" s="1031">
        <f t="shared" si="462"/>
        <v>-1000</v>
      </c>
      <c r="AK1461" s="939"/>
      <c r="AL1461" s="939" t="s">
        <v>2368</v>
      </c>
      <c r="AM1461" s="563"/>
      <c r="AN1461" s="563">
        <f t="shared" si="459"/>
        <v>1000</v>
      </c>
      <c r="AO1461" s="563"/>
      <c r="AP1461" s="563"/>
      <c r="AQ1461" s="563"/>
      <c r="AR1461" s="563"/>
      <c r="AS1461" s="563">
        <f>I1461</f>
        <v>1000</v>
      </c>
      <c r="AT1461" s="563"/>
      <c r="AU1461" s="563">
        <f t="shared" si="469"/>
        <v>1000</v>
      </c>
      <c r="AV1461" s="563"/>
      <c r="AW1461" s="563">
        <f t="shared" si="470"/>
        <v>1000</v>
      </c>
      <c r="AX1461" s="1004"/>
      <c r="AY1461" s="563"/>
      <c r="AZ1461" s="563"/>
      <c r="BA1461" s="563"/>
      <c r="BB1461" s="563"/>
      <c r="BC1461" s="563"/>
      <c r="BD1461" s="563"/>
      <c r="BE1461" s="563"/>
      <c r="BF1461" s="563"/>
      <c r="BG1461" s="563"/>
      <c r="BH1461" s="563"/>
      <c r="BI1461" s="563"/>
      <c r="BJ1461" s="563"/>
      <c r="BK1461" s="563"/>
      <c r="BL1461" s="563"/>
      <c r="BM1461" s="563"/>
      <c r="BN1461" s="563"/>
      <c r="BO1461" s="563"/>
      <c r="BP1461" s="563"/>
      <c r="BQ1461" s="563"/>
      <c r="BR1461" s="563"/>
      <c r="BS1461" s="563"/>
      <c r="BT1461" s="563"/>
      <c r="BU1461" s="563"/>
      <c r="BV1461" s="563"/>
      <c r="BW1461" s="563"/>
      <c r="BX1461" s="563"/>
      <c r="BY1461" s="563"/>
      <c r="BZ1461" s="563"/>
      <c r="CA1461" s="563"/>
      <c r="CB1461" s="563"/>
      <c r="CC1461" s="563"/>
      <c r="CD1461" s="563"/>
      <c r="CE1461" s="563"/>
      <c r="CF1461" s="563"/>
      <c r="CG1461" s="563"/>
      <c r="CH1461" s="1015"/>
      <c r="CI1461" s="1015"/>
      <c r="CJ1461" s="1015"/>
      <c r="CK1461" s="1015"/>
      <c r="CL1461" s="1015"/>
      <c r="CM1461" s="563"/>
      <c r="CN1461" s="563"/>
      <c r="CO1461" s="563"/>
      <c r="CP1461" s="1015"/>
      <c r="CQ1461" s="1015"/>
      <c r="CR1461" s="1015"/>
      <c r="CS1461" s="1015"/>
      <c r="CT1461" s="1015"/>
      <c r="CU1461" s="1015"/>
    </row>
    <row r="1462" s="559" customFormat="1" ht="31" customHeight="1" spans="1:99">
      <c r="A1462" s="1008">
        <v>46171</v>
      </c>
      <c r="B1462" s="628" t="s">
        <v>5448</v>
      </c>
      <c r="C1462" s="618" t="s">
        <v>98</v>
      </c>
      <c r="D1462" s="687" t="s">
        <v>5696</v>
      </c>
      <c r="E1462" s="773">
        <v>7137243631</v>
      </c>
      <c r="F1462" s="687" t="s">
        <v>5697</v>
      </c>
      <c r="G1462" s="618" t="s">
        <v>5002</v>
      </c>
      <c r="H1462" s="939" t="s">
        <v>5003</v>
      </c>
      <c r="I1462" s="1069">
        <v>10920</v>
      </c>
      <c r="J1462" s="618">
        <v>0</v>
      </c>
      <c r="K1462" s="618">
        <v>24</v>
      </c>
      <c r="L1462" s="1011">
        <f t="shared" si="458"/>
        <v>455</v>
      </c>
      <c r="M1462" s="1012">
        <v>46266</v>
      </c>
      <c r="N1462" s="1012">
        <v>46262</v>
      </c>
      <c r="O1462" s="773" t="s">
        <v>5698</v>
      </c>
      <c r="P1462" s="618"/>
      <c r="Q1462" s="774"/>
      <c r="R1462" s="999">
        <v>46162</v>
      </c>
      <c r="S1462" s="999" t="s">
        <v>70</v>
      </c>
      <c r="T1462" s="999" t="s">
        <v>5453</v>
      </c>
      <c r="U1462" s="999"/>
      <c r="V1462" s="999"/>
      <c r="W1462" s="626"/>
      <c r="X1462" s="628" t="s">
        <v>5454</v>
      </c>
      <c r="Y1462" s="1014" t="s">
        <v>5455</v>
      </c>
      <c r="Z1462" s="1339">
        <v>111.1651</v>
      </c>
      <c r="AA1462" s="1014">
        <f>Z1462*L1462</f>
        <v>50580.1205</v>
      </c>
      <c r="AB1462" s="687"/>
      <c r="AC1462" s="1077"/>
      <c r="AD1462" s="560" t="s">
        <v>5008</v>
      </c>
      <c r="AE1462" s="939" t="s">
        <v>82</v>
      </c>
      <c r="AF1462" s="618"/>
      <c r="AG1462" s="618"/>
      <c r="AH1462" s="618"/>
      <c r="AI1462" s="609"/>
      <c r="AJ1462" s="773">
        <f t="shared" si="462"/>
        <v>-10920</v>
      </c>
      <c r="AK1462" s="618"/>
      <c r="AL1462" s="618"/>
      <c r="AM1462" s="687"/>
      <c r="AN1462" s="687">
        <f t="shared" si="459"/>
        <v>10920</v>
      </c>
      <c r="AO1462" s="687"/>
      <c r="AP1462" s="687"/>
      <c r="AQ1462" s="687"/>
      <c r="AR1462" s="687">
        <f>I1462</f>
        <v>10920</v>
      </c>
      <c r="AS1462" s="687"/>
      <c r="AT1462" s="687"/>
      <c r="AU1462" s="563">
        <f t="shared" si="469"/>
        <v>10920</v>
      </c>
      <c r="AV1462" s="563"/>
      <c r="AW1462" s="563">
        <f t="shared" si="470"/>
        <v>10920</v>
      </c>
      <c r="AX1462" s="1004"/>
      <c r="AY1462" s="687"/>
      <c r="AZ1462" s="687"/>
      <c r="BA1462" s="687"/>
      <c r="BB1462" s="687"/>
      <c r="BC1462" s="687"/>
      <c r="BD1462" s="687"/>
      <c r="BE1462" s="687"/>
      <c r="BF1462" s="687"/>
      <c r="BG1462" s="687"/>
      <c r="BH1462" s="687"/>
      <c r="BI1462" s="687"/>
      <c r="BJ1462" s="687"/>
      <c r="BK1462" s="687"/>
      <c r="BL1462" s="687"/>
      <c r="BM1462" s="687">
        <f>I1462</f>
        <v>10920</v>
      </c>
      <c r="BN1462" s="687"/>
      <c r="BO1462" s="687"/>
      <c r="BP1462" s="687"/>
      <c r="BQ1462" s="687"/>
      <c r="BR1462" s="687"/>
      <c r="BS1462" s="687"/>
      <c r="BT1462" s="687"/>
      <c r="BU1462" s="687"/>
      <c r="BV1462" s="687"/>
      <c r="BW1462" s="687"/>
      <c r="BX1462" s="687"/>
      <c r="BY1462" s="687"/>
      <c r="BZ1462" s="687"/>
      <c r="CA1462" s="687"/>
      <c r="CB1462" s="687"/>
      <c r="CC1462" s="687"/>
      <c r="CD1462" s="687"/>
      <c r="CE1462" s="687"/>
      <c r="CF1462" s="687"/>
      <c r="CG1462" s="687"/>
      <c r="CH1462" s="1020"/>
      <c r="CI1462" s="1020"/>
      <c r="CJ1462" s="1020"/>
      <c r="CK1462" s="1020"/>
      <c r="CL1462" s="1020"/>
      <c r="CM1462" s="687"/>
      <c r="CN1462" s="687"/>
      <c r="CO1462" s="687"/>
      <c r="CP1462" s="1020"/>
      <c r="CQ1462" s="1020"/>
      <c r="CR1462" s="1020"/>
      <c r="CS1462" s="1020"/>
      <c r="CT1462" s="1020"/>
      <c r="CU1462" s="1020"/>
    </row>
    <row r="1463" s="1271" customFormat="1" ht="31" customHeight="1" spans="1:99">
      <c r="A1463" s="1022">
        <v>46218</v>
      </c>
      <c r="B1463" s="626" t="s">
        <v>2540</v>
      </c>
      <c r="C1463" s="939" t="s">
        <v>98</v>
      </c>
      <c r="D1463" s="563">
        <v>4500216631</v>
      </c>
      <c r="E1463" s="939">
        <v>5549</v>
      </c>
      <c r="F1463" s="563" t="s">
        <v>5699</v>
      </c>
      <c r="G1463" s="939" t="s">
        <v>68</v>
      </c>
      <c r="H1463" s="939" t="s">
        <v>69</v>
      </c>
      <c r="I1463" s="1378">
        <v>1008</v>
      </c>
      <c r="J1463" s="939">
        <v>0</v>
      </c>
      <c r="K1463" s="939">
        <v>12</v>
      </c>
      <c r="L1463" s="1391">
        <f t="shared" si="458"/>
        <v>84</v>
      </c>
      <c r="M1463" s="1027">
        <v>46266</v>
      </c>
      <c r="N1463" s="1027">
        <v>46262</v>
      </c>
      <c r="O1463" s="1031"/>
      <c r="P1463" s="939"/>
      <c r="Q1463" s="999"/>
      <c r="R1463" s="999">
        <v>46232</v>
      </c>
      <c r="S1463" s="999" t="s">
        <v>70</v>
      </c>
      <c r="T1463" s="999" t="s">
        <v>70</v>
      </c>
      <c r="U1463" s="999"/>
      <c r="V1463" s="999"/>
      <c r="W1463" s="626"/>
      <c r="X1463" s="626" t="s">
        <v>5700</v>
      </c>
      <c r="Y1463" s="1001" t="s">
        <v>2543</v>
      </c>
      <c r="Z1463" s="1076">
        <v>2.624</v>
      </c>
      <c r="AA1463" s="1001">
        <f>Z1463*I1463</f>
        <v>2644.992</v>
      </c>
      <c r="AB1463" s="563"/>
      <c r="AC1463" s="1077"/>
      <c r="AD1463" s="939" t="s">
        <v>68</v>
      </c>
      <c r="AE1463" s="939" t="s">
        <v>82</v>
      </c>
      <c r="AF1463" s="939"/>
      <c r="AG1463" s="939"/>
      <c r="AH1463" s="939"/>
      <c r="AI1463" s="626"/>
      <c r="AJ1463" s="1031">
        <f t="shared" si="462"/>
        <v>-1008</v>
      </c>
      <c r="AK1463" s="939"/>
      <c r="AL1463" s="939"/>
      <c r="AM1463" s="563"/>
      <c r="AN1463" s="563">
        <f t="shared" si="459"/>
        <v>1008</v>
      </c>
      <c r="AO1463" s="563"/>
      <c r="AP1463" s="563"/>
      <c r="AQ1463" s="563"/>
      <c r="AR1463" s="563">
        <f>I1463</f>
        <v>1008</v>
      </c>
      <c r="AS1463" s="563"/>
      <c r="AT1463" s="563"/>
      <c r="AU1463" s="563">
        <f t="shared" si="469"/>
        <v>1008</v>
      </c>
      <c r="AV1463" s="563"/>
      <c r="AW1463" s="563">
        <f t="shared" si="470"/>
        <v>1008</v>
      </c>
      <c r="AX1463" s="1004"/>
      <c r="AY1463" s="563"/>
      <c r="AZ1463" s="563"/>
      <c r="BA1463" s="563"/>
      <c r="BB1463" s="563"/>
      <c r="BC1463" s="563"/>
      <c r="BD1463" s="563"/>
      <c r="BE1463" s="563"/>
      <c r="BF1463" s="563"/>
      <c r="BG1463" s="563"/>
      <c r="BH1463" s="563"/>
      <c r="BI1463" s="563"/>
      <c r="BJ1463" s="563"/>
      <c r="BK1463" s="563"/>
      <c r="BL1463" s="563"/>
      <c r="BM1463" s="563"/>
      <c r="BN1463" s="563"/>
      <c r="BO1463" s="563"/>
      <c r="BP1463" s="1147"/>
      <c r="BQ1463" s="1147"/>
      <c r="BR1463" s="1147"/>
      <c r="BS1463" s="1147"/>
      <c r="BT1463" s="1147"/>
      <c r="BU1463" s="1147"/>
      <c r="BV1463" s="1147"/>
      <c r="BW1463" s="1147"/>
      <c r="BX1463" s="1147"/>
      <c r="BY1463" s="1147"/>
      <c r="BZ1463" s="1147"/>
      <c r="CA1463" s="1147"/>
      <c r="CB1463" s="1147"/>
      <c r="CC1463" s="1147"/>
      <c r="CD1463" s="1147"/>
      <c r="CE1463" s="1147"/>
      <c r="CF1463" s="1147"/>
      <c r="CG1463" s="1147"/>
      <c r="CH1463" s="1068"/>
      <c r="CI1463" s="1068"/>
      <c r="CJ1463" s="1068"/>
      <c r="CK1463" s="1068"/>
      <c r="CL1463" s="1068"/>
      <c r="CM1463" s="1147"/>
      <c r="CN1463" s="1147"/>
      <c r="CO1463" s="1147"/>
      <c r="CP1463" s="1068"/>
      <c r="CQ1463" s="1068"/>
      <c r="CR1463" s="1068"/>
      <c r="CS1463" s="1068"/>
      <c r="CT1463" s="1068"/>
      <c r="CU1463" s="1068"/>
    </row>
    <row r="1464" s="1270" customFormat="1" ht="31" customHeight="1" spans="1:99">
      <c r="A1464" s="1022">
        <v>46227</v>
      </c>
      <c r="B1464" s="626" t="s">
        <v>4656</v>
      </c>
      <c r="C1464" s="939" t="s">
        <v>154</v>
      </c>
      <c r="D1464" s="563" t="s">
        <v>5701</v>
      </c>
      <c r="E1464" s="1031">
        <v>4500194549</v>
      </c>
      <c r="F1464" s="563" t="s">
        <v>5702</v>
      </c>
      <c r="G1464" s="939" t="s">
        <v>111</v>
      </c>
      <c r="H1464" s="939" t="s">
        <v>112</v>
      </c>
      <c r="I1464" s="1023">
        <v>512</v>
      </c>
      <c r="J1464" s="939">
        <v>0</v>
      </c>
      <c r="K1464" s="939">
        <v>16</v>
      </c>
      <c r="L1464" s="1064">
        <f t="shared" si="458"/>
        <v>32</v>
      </c>
      <c r="M1464" s="1027">
        <v>46266</v>
      </c>
      <c r="N1464" s="1027">
        <v>46262</v>
      </c>
      <c r="O1464" s="1031"/>
      <c r="P1464" s="939"/>
      <c r="Q1464" s="999"/>
      <c r="R1464" s="999">
        <v>46230</v>
      </c>
      <c r="S1464" s="999" t="s">
        <v>70</v>
      </c>
      <c r="T1464" s="999" t="s">
        <v>5703</v>
      </c>
      <c r="U1464" s="999"/>
      <c r="V1464" s="999"/>
      <c r="W1464" s="603" t="s">
        <v>5704</v>
      </c>
      <c r="X1464" s="626" t="s">
        <v>5705</v>
      </c>
      <c r="Y1464" s="1001" t="s">
        <v>4696</v>
      </c>
      <c r="Z1464" s="1076">
        <v>4.47</v>
      </c>
      <c r="AA1464" s="1001">
        <f>Z1464*I1464</f>
        <v>2288.64</v>
      </c>
      <c r="AB1464" s="563"/>
      <c r="AC1464" s="1077"/>
      <c r="AD1464" s="939" t="s">
        <v>447</v>
      </c>
      <c r="AE1464" s="939" t="s">
        <v>82</v>
      </c>
      <c r="AF1464" s="939"/>
      <c r="AG1464" s="939"/>
      <c r="AH1464" s="939"/>
      <c r="AI1464" s="626"/>
      <c r="AJ1464" s="1031">
        <f t="shared" si="462"/>
        <v>-512</v>
      </c>
      <c r="AK1464" s="939"/>
      <c r="AL1464" s="939" t="s">
        <v>2368</v>
      </c>
      <c r="AM1464" s="563"/>
      <c r="AN1464" s="563">
        <f t="shared" si="459"/>
        <v>512</v>
      </c>
      <c r="AO1464" s="563"/>
      <c r="AP1464" s="563"/>
      <c r="AQ1464" s="563"/>
      <c r="AR1464" s="563"/>
      <c r="AS1464" s="563">
        <f>I1464</f>
        <v>512</v>
      </c>
      <c r="AT1464" s="563"/>
      <c r="AU1464" s="563">
        <f t="shared" si="469"/>
        <v>512</v>
      </c>
      <c r="AV1464" s="563"/>
      <c r="AW1464" s="563">
        <f t="shared" si="470"/>
        <v>512</v>
      </c>
      <c r="AX1464" s="1004"/>
      <c r="AY1464" s="563"/>
      <c r="AZ1464" s="563"/>
      <c r="BA1464" s="563"/>
      <c r="BB1464" s="563"/>
      <c r="BC1464" s="563"/>
      <c r="BD1464" s="563"/>
      <c r="BE1464" s="563"/>
      <c r="BF1464" s="563"/>
      <c r="BG1464" s="563"/>
      <c r="BH1464" s="563"/>
      <c r="BI1464" s="563">
        <f>I1464/4</f>
        <v>128</v>
      </c>
      <c r="BJ1464" s="563"/>
      <c r="BK1464" s="563"/>
      <c r="BL1464" s="563"/>
      <c r="BM1464" s="563"/>
      <c r="BN1464" s="563"/>
      <c r="BO1464" s="563"/>
      <c r="BP1464" s="563"/>
      <c r="BQ1464" s="563"/>
      <c r="BR1464" s="563"/>
      <c r="BS1464" s="563"/>
      <c r="BT1464" s="563"/>
      <c r="BU1464" s="563"/>
      <c r="BV1464" s="563"/>
      <c r="BW1464" s="563"/>
      <c r="BX1464" s="563"/>
      <c r="BY1464" s="563"/>
      <c r="BZ1464" s="563"/>
      <c r="CA1464" s="563"/>
      <c r="CB1464" s="563"/>
      <c r="CC1464" s="563"/>
      <c r="CD1464" s="563"/>
      <c r="CE1464" s="563"/>
      <c r="CF1464" s="563"/>
      <c r="CG1464" s="563"/>
      <c r="CH1464" s="1015"/>
      <c r="CI1464" s="1015"/>
      <c r="CJ1464" s="1015"/>
      <c r="CK1464" s="1015"/>
      <c r="CL1464" s="1015"/>
      <c r="CM1464" s="563"/>
      <c r="CN1464" s="563"/>
      <c r="CO1464" s="563"/>
      <c r="CP1464" s="1015"/>
      <c r="CQ1464" s="1015"/>
      <c r="CR1464" s="1015"/>
      <c r="CS1464" s="1015"/>
      <c r="CT1464" s="1015"/>
      <c r="CU1464" s="1015"/>
    </row>
    <row r="1465" s="1270" customFormat="1" ht="31" customHeight="1" spans="1:99">
      <c r="A1465" s="1022">
        <v>46223</v>
      </c>
      <c r="B1465" s="626" t="s">
        <v>143</v>
      </c>
      <c r="C1465" s="939" t="s">
        <v>98</v>
      </c>
      <c r="D1465" s="563">
        <v>4500217079</v>
      </c>
      <c r="E1465" s="1424" t="s">
        <v>5706</v>
      </c>
      <c r="F1465" s="563" t="s">
        <v>5707</v>
      </c>
      <c r="G1465" s="939" t="s">
        <v>101</v>
      </c>
      <c r="H1465" s="939" t="s">
        <v>102</v>
      </c>
      <c r="I1465" s="1023">
        <v>5500</v>
      </c>
      <c r="J1465" s="939">
        <v>0</v>
      </c>
      <c r="K1465" s="939">
        <v>4</v>
      </c>
      <c r="L1465" s="1064">
        <f t="shared" si="458"/>
        <v>1375</v>
      </c>
      <c r="M1465" s="1027">
        <v>46267</v>
      </c>
      <c r="N1465" s="1027">
        <v>46263</v>
      </c>
      <c r="O1465" s="1031"/>
      <c r="P1465" s="939"/>
      <c r="Q1465" s="999"/>
      <c r="R1465" s="999" t="s">
        <v>4563</v>
      </c>
      <c r="S1465" s="999" t="s">
        <v>70</v>
      </c>
      <c r="T1465" s="999" t="s">
        <v>5708</v>
      </c>
      <c r="U1465" s="999"/>
      <c r="V1465" s="999"/>
      <c r="W1465" s="626"/>
      <c r="X1465" s="626" t="s">
        <v>5709</v>
      </c>
      <c r="Y1465" s="1001" t="s">
        <v>106</v>
      </c>
      <c r="Z1465" s="1076">
        <v>2.6957</v>
      </c>
      <c r="AA1465" s="1001">
        <f t="shared" ref="AA1465:AA1477" si="471">Z1465*I1465</f>
        <v>14826.35</v>
      </c>
      <c r="AB1465" s="563"/>
      <c r="AC1465" s="1077"/>
      <c r="AD1465" s="939" t="s">
        <v>101</v>
      </c>
      <c r="AE1465" s="939" t="s">
        <v>82</v>
      </c>
      <c r="AF1465" s="939"/>
      <c r="AG1465" s="939"/>
      <c r="AH1465" s="939"/>
      <c r="AI1465" s="626"/>
      <c r="AJ1465" s="1031">
        <f t="shared" si="462"/>
        <v>-5500</v>
      </c>
      <c r="AK1465" s="939"/>
      <c r="AL1465" s="939" t="s">
        <v>2368</v>
      </c>
      <c r="AM1465" s="563"/>
      <c r="AN1465" s="563">
        <f t="shared" si="459"/>
        <v>5500</v>
      </c>
      <c r="AO1465" s="563"/>
      <c r="AP1465" s="563"/>
      <c r="AQ1465" s="563"/>
      <c r="AR1465" s="563">
        <f t="shared" ref="AR1465:AR1471" si="472">I1465</f>
        <v>5500</v>
      </c>
      <c r="AS1465" s="563"/>
      <c r="AT1465" s="563"/>
      <c r="AU1465" s="563">
        <f t="shared" ref="AU1465:AU1487" si="473">I1465</f>
        <v>5500</v>
      </c>
      <c r="AV1465" s="563"/>
      <c r="AW1465" s="563">
        <f t="shared" si="470"/>
        <v>5500</v>
      </c>
      <c r="AX1465" s="1004"/>
      <c r="AY1465" s="563"/>
      <c r="AZ1465" s="563"/>
      <c r="BA1465" s="563"/>
      <c r="BB1465" s="563"/>
      <c r="BC1465" s="563"/>
      <c r="BD1465" s="563"/>
      <c r="BE1465" s="563"/>
      <c r="BF1465" s="563"/>
      <c r="BG1465" s="563"/>
      <c r="BH1465" s="563">
        <f>I1465/4</f>
        <v>1375</v>
      </c>
      <c r="BI1465" s="563"/>
      <c r="BJ1465" s="563"/>
      <c r="BK1465" s="563"/>
      <c r="BL1465" s="563"/>
      <c r="BM1465" s="563"/>
      <c r="BN1465" s="563"/>
      <c r="BO1465" s="563"/>
      <c r="BP1465" s="563"/>
      <c r="BQ1465" s="563"/>
      <c r="BR1465" s="563"/>
      <c r="BS1465" s="563"/>
      <c r="BT1465" s="563"/>
      <c r="BU1465" s="563"/>
      <c r="BV1465" s="563"/>
      <c r="BW1465" s="563"/>
      <c r="BX1465" s="563"/>
      <c r="BY1465" s="563"/>
      <c r="BZ1465" s="563"/>
      <c r="CA1465" s="563"/>
      <c r="CB1465" s="563"/>
      <c r="CC1465" s="563"/>
      <c r="CD1465" s="563"/>
      <c r="CE1465" s="563"/>
      <c r="CF1465" s="563"/>
      <c r="CG1465" s="563"/>
      <c r="CH1465" s="1015"/>
      <c r="CI1465" s="1015"/>
      <c r="CJ1465" s="1015"/>
      <c r="CK1465" s="1015"/>
      <c r="CL1465" s="1015"/>
      <c r="CM1465" s="563"/>
      <c r="CN1465" s="563"/>
      <c r="CO1465" s="563"/>
      <c r="CP1465" s="1015"/>
      <c r="CQ1465" s="1015"/>
      <c r="CR1465" s="1015"/>
      <c r="CS1465" s="1015"/>
      <c r="CT1465" s="1015"/>
      <c r="CU1465" s="1015"/>
    </row>
    <row r="1466" s="1270" customFormat="1" ht="31" customHeight="1" spans="1:99">
      <c r="A1466" s="1022">
        <v>46223</v>
      </c>
      <c r="B1466" s="626" t="s">
        <v>143</v>
      </c>
      <c r="C1466" s="939" t="s">
        <v>98</v>
      </c>
      <c r="D1466" s="563">
        <v>4500217079</v>
      </c>
      <c r="E1466" s="1424" t="s">
        <v>5710</v>
      </c>
      <c r="F1466" s="563" t="s">
        <v>5711</v>
      </c>
      <c r="G1466" s="939" t="s">
        <v>101</v>
      </c>
      <c r="H1466" s="939" t="s">
        <v>102</v>
      </c>
      <c r="I1466" s="1023">
        <v>3536</v>
      </c>
      <c r="J1466" s="939">
        <v>0</v>
      </c>
      <c r="K1466" s="939">
        <v>4</v>
      </c>
      <c r="L1466" s="1064">
        <f t="shared" si="458"/>
        <v>884</v>
      </c>
      <c r="M1466" s="1027">
        <v>46267</v>
      </c>
      <c r="N1466" s="1027">
        <v>46263</v>
      </c>
      <c r="O1466" s="1031"/>
      <c r="P1466" s="939"/>
      <c r="Q1466" s="999"/>
      <c r="R1466" s="999" t="s">
        <v>4563</v>
      </c>
      <c r="S1466" s="999" t="s">
        <v>70</v>
      </c>
      <c r="T1466" s="999" t="s">
        <v>5708</v>
      </c>
      <c r="U1466" s="999"/>
      <c r="V1466" s="999"/>
      <c r="W1466" s="626"/>
      <c r="X1466" s="626" t="s">
        <v>5709</v>
      </c>
      <c r="Y1466" s="1001" t="s">
        <v>106</v>
      </c>
      <c r="Z1466" s="1076">
        <v>2.7075</v>
      </c>
      <c r="AA1466" s="1001">
        <f t="shared" si="471"/>
        <v>9573.72</v>
      </c>
      <c r="AB1466" s="563"/>
      <c r="AC1466" s="1077"/>
      <c r="AD1466" s="939" t="s">
        <v>101</v>
      </c>
      <c r="AE1466" s="939" t="s">
        <v>82</v>
      </c>
      <c r="AF1466" s="939"/>
      <c r="AG1466" s="939"/>
      <c r="AH1466" s="939"/>
      <c r="AI1466" s="626"/>
      <c r="AJ1466" s="1031">
        <f t="shared" si="462"/>
        <v>-3536</v>
      </c>
      <c r="AK1466" s="939"/>
      <c r="AL1466" s="939" t="s">
        <v>2368</v>
      </c>
      <c r="AM1466" s="563"/>
      <c r="AN1466" s="563">
        <f t="shared" si="459"/>
        <v>3536</v>
      </c>
      <c r="AO1466" s="563"/>
      <c r="AP1466" s="563"/>
      <c r="AQ1466" s="563"/>
      <c r="AR1466" s="563">
        <f t="shared" si="472"/>
        <v>3536</v>
      </c>
      <c r="AS1466" s="563"/>
      <c r="AT1466" s="563"/>
      <c r="AU1466" s="563">
        <f t="shared" si="473"/>
        <v>3536</v>
      </c>
      <c r="AV1466" s="563"/>
      <c r="AW1466" s="563">
        <f t="shared" si="470"/>
        <v>3536</v>
      </c>
      <c r="AX1466" s="1004"/>
      <c r="AY1466" s="563"/>
      <c r="AZ1466" s="563"/>
      <c r="BA1466" s="563"/>
      <c r="BB1466" s="563"/>
      <c r="BC1466" s="563"/>
      <c r="BD1466" s="563"/>
      <c r="BE1466" s="563"/>
      <c r="BF1466" s="563"/>
      <c r="BG1466" s="563"/>
      <c r="BH1466" s="563">
        <f>I1466/4</f>
        <v>884</v>
      </c>
      <c r="BI1466" s="563"/>
      <c r="BJ1466" s="563"/>
      <c r="BK1466" s="563"/>
      <c r="BL1466" s="563"/>
      <c r="BM1466" s="563"/>
      <c r="BN1466" s="563"/>
      <c r="BO1466" s="563"/>
      <c r="BP1466" s="563"/>
      <c r="BQ1466" s="563"/>
      <c r="BR1466" s="563"/>
      <c r="BS1466" s="563"/>
      <c r="BT1466" s="563"/>
      <c r="BU1466" s="563"/>
      <c r="BV1466" s="563"/>
      <c r="BW1466" s="563"/>
      <c r="BX1466" s="563"/>
      <c r="BY1466" s="563"/>
      <c r="BZ1466" s="563"/>
      <c r="CA1466" s="563"/>
      <c r="CB1466" s="563"/>
      <c r="CC1466" s="563"/>
      <c r="CD1466" s="563"/>
      <c r="CE1466" s="563"/>
      <c r="CF1466" s="563"/>
      <c r="CG1466" s="563"/>
      <c r="CH1466" s="1015"/>
      <c r="CI1466" s="1015"/>
      <c r="CJ1466" s="1015"/>
      <c r="CK1466" s="1015"/>
      <c r="CL1466" s="1015"/>
      <c r="CM1466" s="563"/>
      <c r="CN1466" s="563"/>
      <c r="CO1466" s="563"/>
      <c r="CP1466" s="1015"/>
      <c r="CQ1466" s="1015"/>
      <c r="CR1466" s="1015"/>
      <c r="CS1466" s="1015"/>
      <c r="CT1466" s="1015"/>
      <c r="CU1466" s="1015"/>
    </row>
    <row r="1467" s="1270" customFormat="1" ht="31" customHeight="1" spans="1:99">
      <c r="A1467" s="1022">
        <v>46223</v>
      </c>
      <c r="B1467" s="626" t="s">
        <v>143</v>
      </c>
      <c r="C1467" s="939" t="s">
        <v>98</v>
      </c>
      <c r="D1467" s="563">
        <v>4500217079</v>
      </c>
      <c r="E1467" s="1424" t="s">
        <v>5712</v>
      </c>
      <c r="F1467" s="563" t="s">
        <v>5713</v>
      </c>
      <c r="G1467" s="939" t="s">
        <v>101</v>
      </c>
      <c r="H1467" s="939" t="s">
        <v>102</v>
      </c>
      <c r="I1467" s="1023">
        <v>7076</v>
      </c>
      <c r="J1467" s="939">
        <v>0</v>
      </c>
      <c r="K1467" s="939">
        <v>4</v>
      </c>
      <c r="L1467" s="1064">
        <f t="shared" si="458"/>
        <v>1769</v>
      </c>
      <c r="M1467" s="1027">
        <v>46267</v>
      </c>
      <c r="N1467" s="1027">
        <v>46263</v>
      </c>
      <c r="O1467" s="1031"/>
      <c r="P1467" s="939"/>
      <c r="Q1467" s="999"/>
      <c r="R1467" s="999" t="s">
        <v>4563</v>
      </c>
      <c r="S1467" s="999" t="s">
        <v>70</v>
      </c>
      <c r="T1467" s="999" t="s">
        <v>5708</v>
      </c>
      <c r="U1467" s="999"/>
      <c r="V1467" s="999"/>
      <c r="W1467" s="626"/>
      <c r="X1467" s="626" t="s">
        <v>5709</v>
      </c>
      <c r="Y1467" s="1001" t="s">
        <v>106</v>
      </c>
      <c r="Z1467" s="1076">
        <v>2.6957</v>
      </c>
      <c r="AA1467" s="1001">
        <f t="shared" si="471"/>
        <v>19074.7732</v>
      </c>
      <c r="AB1467" s="563"/>
      <c r="AC1467" s="1077"/>
      <c r="AD1467" s="939" t="s">
        <v>101</v>
      </c>
      <c r="AE1467" s="939" t="s">
        <v>82</v>
      </c>
      <c r="AF1467" s="939"/>
      <c r="AG1467" s="939"/>
      <c r="AH1467" s="939"/>
      <c r="AI1467" s="626"/>
      <c r="AJ1467" s="1031">
        <f t="shared" si="462"/>
        <v>-7076</v>
      </c>
      <c r="AK1467" s="939"/>
      <c r="AL1467" s="939" t="s">
        <v>2368</v>
      </c>
      <c r="AM1467" s="563"/>
      <c r="AN1467" s="563">
        <f t="shared" si="459"/>
        <v>7076</v>
      </c>
      <c r="AO1467" s="563"/>
      <c r="AP1467" s="563"/>
      <c r="AQ1467" s="563"/>
      <c r="AR1467" s="563">
        <f t="shared" si="472"/>
        <v>7076</v>
      </c>
      <c r="AS1467" s="563"/>
      <c r="AT1467" s="563"/>
      <c r="AU1467" s="563">
        <f t="shared" si="473"/>
        <v>7076</v>
      </c>
      <c r="AV1467" s="563"/>
      <c r="AW1467" s="563">
        <f t="shared" si="470"/>
        <v>7076</v>
      </c>
      <c r="AX1467" s="1004"/>
      <c r="AY1467" s="563"/>
      <c r="AZ1467" s="563"/>
      <c r="BA1467" s="563"/>
      <c r="BB1467" s="563"/>
      <c r="BC1467" s="563"/>
      <c r="BD1467" s="563"/>
      <c r="BE1467" s="563"/>
      <c r="BF1467" s="563"/>
      <c r="BG1467" s="563"/>
      <c r="BH1467" s="563">
        <f>I1467/4</f>
        <v>1769</v>
      </c>
      <c r="BI1467" s="563"/>
      <c r="BJ1467" s="563"/>
      <c r="BK1467" s="563"/>
      <c r="BL1467" s="563"/>
      <c r="BM1467" s="563"/>
      <c r="BN1467" s="563"/>
      <c r="BO1467" s="563"/>
      <c r="BP1467" s="563"/>
      <c r="BQ1467" s="563"/>
      <c r="BR1467" s="563"/>
      <c r="BS1467" s="563"/>
      <c r="BT1467" s="563"/>
      <c r="BU1467" s="563"/>
      <c r="BV1467" s="563"/>
      <c r="BW1467" s="563"/>
      <c r="BX1467" s="563"/>
      <c r="BY1467" s="563"/>
      <c r="BZ1467" s="563"/>
      <c r="CA1467" s="563"/>
      <c r="CB1467" s="563"/>
      <c r="CC1467" s="563"/>
      <c r="CD1467" s="563"/>
      <c r="CE1467" s="563"/>
      <c r="CF1467" s="563"/>
      <c r="CG1467" s="563"/>
      <c r="CH1467" s="1015"/>
      <c r="CI1467" s="1015"/>
      <c r="CJ1467" s="1015"/>
      <c r="CK1467" s="1015"/>
      <c r="CL1467" s="1015"/>
      <c r="CM1467" s="563"/>
      <c r="CN1467" s="563"/>
      <c r="CO1467" s="563"/>
      <c r="CP1467" s="1015"/>
      <c r="CQ1467" s="1015"/>
      <c r="CR1467" s="1015"/>
      <c r="CS1467" s="1015"/>
      <c r="CT1467" s="1015"/>
      <c r="CU1467" s="1015"/>
    </row>
    <row r="1468" s="1270" customFormat="1" ht="31" customHeight="1" spans="1:99">
      <c r="A1468" s="1022">
        <v>46223</v>
      </c>
      <c r="B1468" s="626" t="s">
        <v>143</v>
      </c>
      <c r="C1468" s="939" t="s">
        <v>98</v>
      </c>
      <c r="D1468" s="563">
        <v>4500217079</v>
      </c>
      <c r="E1468" s="1424" t="s">
        <v>5714</v>
      </c>
      <c r="F1468" s="563" t="s">
        <v>5715</v>
      </c>
      <c r="G1468" s="939" t="s">
        <v>101</v>
      </c>
      <c r="H1468" s="939" t="s">
        <v>102</v>
      </c>
      <c r="I1468" s="1023">
        <v>2080</v>
      </c>
      <c r="J1468" s="939">
        <v>0</v>
      </c>
      <c r="K1468" s="939">
        <v>4</v>
      </c>
      <c r="L1468" s="1064">
        <f t="shared" si="458"/>
        <v>520</v>
      </c>
      <c r="M1468" s="1027">
        <v>46267</v>
      </c>
      <c r="N1468" s="1027">
        <v>46263</v>
      </c>
      <c r="O1468" s="1031"/>
      <c r="P1468" s="939"/>
      <c r="Q1468" s="999"/>
      <c r="R1468" s="999" t="s">
        <v>4563</v>
      </c>
      <c r="S1468" s="999" t="s">
        <v>70</v>
      </c>
      <c r="T1468" s="999" t="s">
        <v>5708</v>
      </c>
      <c r="U1468" s="999"/>
      <c r="V1468" s="999"/>
      <c r="W1468" s="626"/>
      <c r="X1468" s="626" t="s">
        <v>5709</v>
      </c>
      <c r="Y1468" s="1001" t="s">
        <v>106</v>
      </c>
      <c r="Z1468" s="1076">
        <v>2.7109</v>
      </c>
      <c r="AA1468" s="1001">
        <f t="shared" si="471"/>
        <v>5638.672</v>
      </c>
      <c r="AB1468" s="563"/>
      <c r="AC1468" s="1077"/>
      <c r="AD1468" s="939" t="s">
        <v>101</v>
      </c>
      <c r="AE1468" s="939" t="s">
        <v>82</v>
      </c>
      <c r="AF1468" s="939"/>
      <c r="AG1468" s="939"/>
      <c r="AH1468" s="939"/>
      <c r="AI1468" s="626"/>
      <c r="AJ1468" s="1031">
        <f t="shared" si="462"/>
        <v>-2080</v>
      </c>
      <c r="AK1468" s="939"/>
      <c r="AL1468" s="939" t="s">
        <v>2368</v>
      </c>
      <c r="AM1468" s="563"/>
      <c r="AN1468" s="563">
        <f t="shared" si="459"/>
        <v>2080</v>
      </c>
      <c r="AO1468" s="563"/>
      <c r="AP1468" s="563"/>
      <c r="AQ1468" s="563"/>
      <c r="AR1468" s="563">
        <f t="shared" si="472"/>
        <v>2080</v>
      </c>
      <c r="AS1468" s="563"/>
      <c r="AT1468" s="563"/>
      <c r="AU1468" s="563">
        <f t="shared" si="473"/>
        <v>2080</v>
      </c>
      <c r="AV1468" s="563"/>
      <c r="AW1468" s="563">
        <f t="shared" si="470"/>
        <v>2080</v>
      </c>
      <c r="AX1468" s="1004"/>
      <c r="AY1468" s="563"/>
      <c r="AZ1468" s="563"/>
      <c r="BA1468" s="563"/>
      <c r="BB1468" s="563"/>
      <c r="BC1468" s="563"/>
      <c r="BD1468" s="563"/>
      <c r="BE1468" s="563"/>
      <c r="BF1468" s="563"/>
      <c r="BG1468" s="563"/>
      <c r="BH1468" s="563">
        <f>I1468/4</f>
        <v>520</v>
      </c>
      <c r="BI1468" s="563"/>
      <c r="BJ1468" s="563"/>
      <c r="BK1468" s="563"/>
      <c r="BL1468" s="563"/>
      <c r="BM1468" s="563"/>
      <c r="BN1468" s="563"/>
      <c r="BO1468" s="563"/>
      <c r="BP1468" s="563"/>
      <c r="BQ1468" s="563"/>
      <c r="BR1468" s="563"/>
      <c r="BS1468" s="563"/>
      <c r="BT1468" s="563"/>
      <c r="BU1468" s="563"/>
      <c r="BV1468" s="563"/>
      <c r="BW1468" s="563"/>
      <c r="BX1468" s="563"/>
      <c r="BY1468" s="563"/>
      <c r="BZ1468" s="563"/>
      <c r="CA1468" s="563"/>
      <c r="CB1468" s="563"/>
      <c r="CC1468" s="563"/>
      <c r="CD1468" s="563"/>
      <c r="CE1468" s="563"/>
      <c r="CF1468" s="563"/>
      <c r="CG1468" s="563"/>
      <c r="CH1468" s="1015"/>
      <c r="CI1468" s="1015"/>
      <c r="CJ1468" s="1015"/>
      <c r="CK1468" s="1015"/>
      <c r="CL1468" s="1015"/>
      <c r="CM1468" s="563"/>
      <c r="CN1468" s="563"/>
      <c r="CO1468" s="563"/>
      <c r="CP1468" s="1015"/>
      <c r="CQ1468" s="1015"/>
      <c r="CR1468" s="1015"/>
      <c r="CS1468" s="1015"/>
      <c r="CT1468" s="1015"/>
      <c r="CU1468" s="1015"/>
    </row>
    <row r="1469" s="1270" customFormat="1" ht="31" customHeight="1" spans="1:99">
      <c r="A1469" s="1022">
        <v>46223</v>
      </c>
      <c r="B1469" s="626" t="s">
        <v>143</v>
      </c>
      <c r="C1469" s="939" t="s">
        <v>98</v>
      </c>
      <c r="D1469" s="563">
        <v>4500217079</v>
      </c>
      <c r="E1469" s="1424" t="s">
        <v>5716</v>
      </c>
      <c r="F1469" s="563" t="s">
        <v>5717</v>
      </c>
      <c r="G1469" s="939" t="s">
        <v>101</v>
      </c>
      <c r="H1469" s="939" t="s">
        <v>102</v>
      </c>
      <c r="I1469" s="1023">
        <v>7040</v>
      </c>
      <c r="J1469" s="939">
        <v>0</v>
      </c>
      <c r="K1469" s="939">
        <v>4</v>
      </c>
      <c r="L1469" s="1064">
        <f t="shared" si="458"/>
        <v>1760</v>
      </c>
      <c r="M1469" s="1027">
        <v>46267</v>
      </c>
      <c r="N1469" s="1027">
        <v>46263</v>
      </c>
      <c r="O1469" s="1031"/>
      <c r="P1469" s="939"/>
      <c r="Q1469" s="999"/>
      <c r="R1469" s="999" t="s">
        <v>4563</v>
      </c>
      <c r="S1469" s="999" t="s">
        <v>70</v>
      </c>
      <c r="T1469" s="999" t="s">
        <v>5708</v>
      </c>
      <c r="U1469" s="999"/>
      <c r="V1469" s="999"/>
      <c r="W1469" s="626"/>
      <c r="X1469" s="626" t="s">
        <v>5709</v>
      </c>
      <c r="Y1469" s="1001" t="s">
        <v>106</v>
      </c>
      <c r="Z1469" s="1076">
        <v>2.6957</v>
      </c>
      <c r="AA1469" s="1001">
        <f t="shared" si="471"/>
        <v>18977.728</v>
      </c>
      <c r="AB1469" s="563"/>
      <c r="AC1469" s="1077"/>
      <c r="AD1469" s="939" t="s">
        <v>101</v>
      </c>
      <c r="AE1469" s="939" t="s">
        <v>82</v>
      </c>
      <c r="AF1469" s="939"/>
      <c r="AG1469" s="939"/>
      <c r="AH1469" s="939"/>
      <c r="AI1469" s="626"/>
      <c r="AJ1469" s="1031">
        <f t="shared" si="462"/>
        <v>-7040</v>
      </c>
      <c r="AK1469" s="939"/>
      <c r="AL1469" s="939" t="s">
        <v>2368</v>
      </c>
      <c r="AM1469" s="563"/>
      <c r="AN1469" s="563">
        <f t="shared" si="459"/>
        <v>7040</v>
      </c>
      <c r="AO1469" s="563"/>
      <c r="AP1469" s="563"/>
      <c r="AQ1469" s="563"/>
      <c r="AR1469" s="563">
        <f t="shared" si="472"/>
        <v>7040</v>
      </c>
      <c r="AS1469" s="563"/>
      <c r="AT1469" s="563"/>
      <c r="AU1469" s="563">
        <f t="shared" si="473"/>
        <v>7040</v>
      </c>
      <c r="AV1469" s="563"/>
      <c r="AW1469" s="563">
        <f t="shared" si="470"/>
        <v>7040</v>
      </c>
      <c r="AX1469" s="1004"/>
      <c r="AY1469" s="563"/>
      <c r="AZ1469" s="563"/>
      <c r="BA1469" s="563"/>
      <c r="BB1469" s="563"/>
      <c r="BC1469" s="563"/>
      <c r="BD1469" s="563"/>
      <c r="BE1469" s="563"/>
      <c r="BF1469" s="563"/>
      <c r="BG1469" s="563"/>
      <c r="BH1469" s="563">
        <f>I1469/4</f>
        <v>1760</v>
      </c>
      <c r="BI1469" s="563"/>
      <c r="BJ1469" s="563"/>
      <c r="BK1469" s="563"/>
      <c r="BL1469" s="563"/>
      <c r="BM1469" s="563"/>
      <c r="BN1469" s="563"/>
      <c r="BO1469" s="563"/>
      <c r="BP1469" s="563"/>
      <c r="BQ1469" s="563"/>
      <c r="BR1469" s="563"/>
      <c r="BS1469" s="563"/>
      <c r="BT1469" s="563"/>
      <c r="BU1469" s="563"/>
      <c r="BV1469" s="563"/>
      <c r="BW1469" s="563"/>
      <c r="BX1469" s="563"/>
      <c r="BY1469" s="563"/>
      <c r="BZ1469" s="563"/>
      <c r="CA1469" s="563"/>
      <c r="CB1469" s="563"/>
      <c r="CC1469" s="563"/>
      <c r="CD1469" s="563"/>
      <c r="CE1469" s="563"/>
      <c r="CF1469" s="563"/>
      <c r="CG1469" s="563"/>
      <c r="CH1469" s="1015"/>
      <c r="CI1469" s="1015"/>
      <c r="CJ1469" s="1015"/>
      <c r="CK1469" s="1015"/>
      <c r="CL1469" s="1015"/>
      <c r="CM1469" s="563"/>
      <c r="CN1469" s="563"/>
      <c r="CO1469" s="563"/>
      <c r="CP1469" s="1015"/>
      <c r="CQ1469" s="1015"/>
      <c r="CR1469" s="1015"/>
      <c r="CS1469" s="1015"/>
      <c r="CT1469" s="1015"/>
      <c r="CU1469" s="1015"/>
    </row>
    <row r="1470" s="1273" customFormat="1" ht="31" customHeight="1" spans="1:99">
      <c r="A1470" s="1022">
        <v>46220</v>
      </c>
      <c r="B1470" s="626" t="s">
        <v>2760</v>
      </c>
      <c r="C1470" s="939" t="s">
        <v>2761</v>
      </c>
      <c r="D1470" s="563">
        <v>4500216820</v>
      </c>
      <c r="E1470" s="939"/>
      <c r="F1470" s="563" t="s">
        <v>5718</v>
      </c>
      <c r="G1470" s="939" t="s">
        <v>68</v>
      </c>
      <c r="H1470" s="939" t="s">
        <v>69</v>
      </c>
      <c r="I1470" s="1023">
        <v>504</v>
      </c>
      <c r="J1470" s="939">
        <v>0</v>
      </c>
      <c r="K1470" s="939">
        <v>12</v>
      </c>
      <c r="L1470" s="1064">
        <f t="shared" si="458"/>
        <v>42</v>
      </c>
      <c r="M1470" s="1027">
        <v>46267</v>
      </c>
      <c r="N1470" s="225">
        <v>46266</v>
      </c>
      <c r="O1470" s="1031"/>
      <c r="P1470" s="939"/>
      <c r="Q1470" s="999"/>
      <c r="R1470" s="999">
        <v>46220</v>
      </c>
      <c r="S1470" s="999" t="s">
        <v>70</v>
      </c>
      <c r="T1470" s="999" t="s">
        <v>70</v>
      </c>
      <c r="U1470" s="999"/>
      <c r="V1470" s="999"/>
      <c r="W1470" s="626"/>
      <c r="X1470" s="626" t="s">
        <v>5719</v>
      </c>
      <c r="Y1470" s="1001" t="s">
        <v>4882</v>
      </c>
      <c r="Z1470" s="1076">
        <v>4.3274</v>
      </c>
      <c r="AA1470" s="1001">
        <f t="shared" si="471"/>
        <v>2181.0096</v>
      </c>
      <c r="AB1470" s="563"/>
      <c r="AC1470" s="1077"/>
      <c r="AD1470" s="939" t="s">
        <v>68</v>
      </c>
      <c r="AE1470" s="939" t="s">
        <v>82</v>
      </c>
      <c r="AF1470" s="939"/>
      <c r="AG1470" s="939"/>
      <c r="AH1470" s="939"/>
      <c r="AI1470" s="626"/>
      <c r="AJ1470" s="1031">
        <f t="shared" si="462"/>
        <v>-504</v>
      </c>
      <c r="AK1470" s="939"/>
      <c r="AL1470" s="939"/>
      <c r="AM1470" s="563"/>
      <c r="AN1470" s="563">
        <f t="shared" si="459"/>
        <v>504</v>
      </c>
      <c r="AO1470" s="563"/>
      <c r="AP1470" s="563"/>
      <c r="AQ1470" s="563"/>
      <c r="AR1470" s="563">
        <f t="shared" si="472"/>
        <v>504</v>
      </c>
      <c r="AS1470" s="563"/>
      <c r="AT1470" s="563"/>
      <c r="AU1470" s="563">
        <f t="shared" si="473"/>
        <v>504</v>
      </c>
      <c r="AV1470" s="563"/>
      <c r="AW1470" s="554">
        <f t="shared" si="470"/>
        <v>504</v>
      </c>
      <c r="AX1470" s="1004"/>
      <c r="AY1470" s="563"/>
      <c r="AZ1470" s="563"/>
      <c r="BA1470" s="563"/>
      <c r="BB1470" s="563"/>
      <c r="BC1470" s="563"/>
      <c r="BD1470" s="563"/>
      <c r="BE1470" s="563"/>
      <c r="BF1470" s="563"/>
      <c r="BG1470" s="563"/>
      <c r="BH1470" s="563"/>
      <c r="BI1470" s="563"/>
      <c r="BJ1470" s="563"/>
      <c r="BK1470" s="563"/>
      <c r="BL1470" s="563"/>
      <c r="BM1470" s="563"/>
      <c r="BN1470" s="563"/>
      <c r="BO1470" s="563"/>
      <c r="BP1470" s="1147"/>
      <c r="BQ1470" s="1147"/>
      <c r="BR1470" s="1147"/>
      <c r="BS1470" s="1147"/>
      <c r="BT1470" s="1147"/>
      <c r="BU1470" s="1147"/>
      <c r="BV1470" s="1147"/>
      <c r="BW1470" s="1147"/>
      <c r="BX1470" s="1147"/>
      <c r="BY1470" s="1147"/>
      <c r="BZ1470" s="1147"/>
      <c r="CA1470" s="1147"/>
      <c r="CB1470" s="1147"/>
      <c r="CC1470" s="1147"/>
      <c r="CD1470" s="1147"/>
      <c r="CE1470" s="1147"/>
      <c r="CF1470" s="1147"/>
      <c r="CG1470" s="1147"/>
      <c r="CH1470" s="1068"/>
      <c r="CI1470" s="1068"/>
      <c r="CJ1470" s="1068"/>
      <c r="CK1470" s="1068"/>
      <c r="CL1470" s="1068"/>
      <c r="CM1470" s="1147"/>
      <c r="CN1470" s="1147"/>
      <c r="CO1470" s="1147"/>
      <c r="CP1470" s="1068"/>
      <c r="CQ1470" s="1068"/>
      <c r="CR1470" s="1068"/>
      <c r="CS1470" s="1068"/>
      <c r="CT1470" s="1068"/>
      <c r="CU1470" s="1068"/>
    </row>
    <row r="1471" s="559" customFormat="1" ht="31" customHeight="1" spans="1:99">
      <c r="A1471" s="1008">
        <v>46185</v>
      </c>
      <c r="B1471" s="628" t="s">
        <v>2811</v>
      </c>
      <c r="C1471" s="618" t="s">
        <v>98</v>
      </c>
      <c r="D1471" s="687" t="s">
        <v>5720</v>
      </c>
      <c r="E1471" s="618" t="s">
        <v>5721</v>
      </c>
      <c r="F1471" s="687" t="s">
        <v>5722</v>
      </c>
      <c r="G1471" s="618" t="s">
        <v>2736</v>
      </c>
      <c r="H1471" s="939" t="s">
        <v>2737</v>
      </c>
      <c r="I1471" s="1069">
        <v>2704</v>
      </c>
      <c r="J1471" s="618">
        <v>0</v>
      </c>
      <c r="K1471" s="618">
        <v>8</v>
      </c>
      <c r="L1471" s="1011">
        <f t="shared" si="458"/>
        <v>338</v>
      </c>
      <c r="M1471" s="1012">
        <v>46268</v>
      </c>
      <c r="N1471" s="1012">
        <v>46265</v>
      </c>
      <c r="O1471" s="773"/>
      <c r="P1471" s="618"/>
      <c r="Q1471" s="774"/>
      <c r="R1471" s="999">
        <v>46185</v>
      </c>
      <c r="S1471" s="999" t="s">
        <v>70</v>
      </c>
      <c r="T1471" s="999" t="s">
        <v>5723</v>
      </c>
      <c r="U1471" s="999"/>
      <c r="V1471" s="999" t="s">
        <v>5724</v>
      </c>
      <c r="W1471" s="626"/>
      <c r="X1471" s="628" t="s">
        <v>5725</v>
      </c>
      <c r="Y1471" s="1014" t="s">
        <v>3061</v>
      </c>
      <c r="Z1471" s="1339">
        <v>4.3028</v>
      </c>
      <c r="AA1471" s="1014">
        <f t="shared" si="471"/>
        <v>11634.7712</v>
      </c>
      <c r="AB1471" s="687"/>
      <c r="AC1471" s="1077"/>
      <c r="AD1471" s="939" t="s">
        <v>2741</v>
      </c>
      <c r="AE1471" s="939" t="s">
        <v>82</v>
      </c>
      <c r="AF1471" s="618"/>
      <c r="AG1471" s="618"/>
      <c r="AH1471" s="618"/>
      <c r="AI1471" s="609"/>
      <c r="AJ1471" s="773">
        <f t="shared" si="462"/>
        <v>-2704</v>
      </c>
      <c r="AK1471" s="618"/>
      <c r="AL1471" s="618"/>
      <c r="AM1471" s="687"/>
      <c r="AN1471" s="687">
        <f t="shared" si="459"/>
        <v>2704</v>
      </c>
      <c r="AO1471" s="687"/>
      <c r="AP1471" s="687"/>
      <c r="AQ1471" s="687"/>
      <c r="AR1471" s="687">
        <f t="shared" si="472"/>
        <v>2704</v>
      </c>
      <c r="AS1471" s="687"/>
      <c r="AT1471" s="687"/>
      <c r="AU1471" s="563">
        <f t="shared" si="473"/>
        <v>2704</v>
      </c>
      <c r="AV1471" s="687"/>
      <c r="AW1471" s="687">
        <f t="shared" si="470"/>
        <v>2704</v>
      </c>
      <c r="AX1471" s="1016"/>
      <c r="AY1471" s="687"/>
      <c r="AZ1471" s="687"/>
      <c r="BA1471" s="687"/>
      <c r="BB1471" s="687"/>
      <c r="BC1471" s="687"/>
      <c r="BD1471" s="687"/>
      <c r="BE1471" s="687"/>
      <c r="BF1471" s="687"/>
      <c r="BG1471" s="687"/>
      <c r="BH1471" s="687"/>
      <c r="BI1471" s="687"/>
      <c r="BJ1471" s="687"/>
      <c r="BK1471" s="687"/>
      <c r="BL1471" s="687"/>
      <c r="BM1471" s="687"/>
      <c r="BN1471" s="687">
        <f>I1471</f>
        <v>2704</v>
      </c>
      <c r="BO1471" s="687"/>
      <c r="BP1471" s="687"/>
      <c r="BQ1471" s="687"/>
      <c r="BR1471" s="687"/>
      <c r="BS1471" s="687"/>
      <c r="BT1471" s="687"/>
      <c r="BU1471" s="687"/>
      <c r="BV1471" s="687"/>
      <c r="BW1471" s="687"/>
      <c r="BX1471" s="687"/>
      <c r="BY1471" s="687"/>
      <c r="BZ1471" s="687"/>
      <c r="CA1471" s="687"/>
      <c r="CB1471" s="687"/>
      <c r="CC1471" s="687"/>
      <c r="CD1471" s="687"/>
      <c r="CE1471" s="687"/>
      <c r="CF1471" s="687"/>
      <c r="CG1471" s="687"/>
      <c r="CH1471" s="1020"/>
      <c r="CI1471" s="1020"/>
      <c r="CJ1471" s="1020"/>
      <c r="CK1471" s="1020"/>
      <c r="CL1471" s="1020"/>
      <c r="CM1471" s="687"/>
      <c r="CN1471" s="687"/>
      <c r="CO1471" s="687"/>
      <c r="CP1471" s="1020"/>
      <c r="CQ1471" s="1020"/>
      <c r="CR1471" s="1020"/>
      <c r="CS1471" s="1020"/>
      <c r="CT1471" s="1020"/>
      <c r="CU1471" s="1020"/>
    </row>
    <row r="1472" s="559" customFormat="1" ht="31" customHeight="1" spans="1:99">
      <c r="A1472" s="1022">
        <v>46211</v>
      </c>
      <c r="B1472" s="626" t="s">
        <v>5726</v>
      </c>
      <c r="C1472" s="939" t="s">
        <v>154</v>
      </c>
      <c r="D1472" s="563">
        <v>4500215662</v>
      </c>
      <c r="E1472" s="939">
        <v>55073620</v>
      </c>
      <c r="F1472" s="563" t="s">
        <v>5727</v>
      </c>
      <c r="G1472" s="939" t="s">
        <v>518</v>
      </c>
      <c r="H1472" s="939" t="s">
        <v>477</v>
      </c>
      <c r="I1472" s="1023">
        <v>3420</v>
      </c>
      <c r="J1472" s="939">
        <v>0</v>
      </c>
      <c r="K1472" s="939">
        <v>6</v>
      </c>
      <c r="L1472" s="1064">
        <f t="shared" si="458"/>
        <v>570</v>
      </c>
      <c r="M1472" s="1027">
        <v>46268</v>
      </c>
      <c r="N1472" s="1027">
        <v>46265</v>
      </c>
      <c r="O1472" s="1031"/>
      <c r="P1472" s="939"/>
      <c r="Q1472" s="999"/>
      <c r="R1472" s="999">
        <v>46216</v>
      </c>
      <c r="S1472" s="999" t="s">
        <v>70</v>
      </c>
      <c r="T1472" s="1013" t="s">
        <v>5728</v>
      </c>
      <c r="U1472" s="999" t="s">
        <v>5312</v>
      </c>
      <c r="V1472" s="999"/>
      <c r="W1472" s="626"/>
      <c r="X1472" s="1075" t="s">
        <v>5729</v>
      </c>
      <c r="Y1472" s="1001" t="s">
        <v>5730</v>
      </c>
      <c r="Z1472" s="1076">
        <v>6.9975</v>
      </c>
      <c r="AA1472" s="1001">
        <f t="shared" si="471"/>
        <v>23931.45</v>
      </c>
      <c r="AB1472" s="563"/>
      <c r="AC1472" s="1077"/>
      <c r="AD1472" s="939" t="s">
        <v>480</v>
      </c>
      <c r="AE1472" s="939" t="s">
        <v>82</v>
      </c>
      <c r="AF1472" s="939"/>
      <c r="AG1472" s="939"/>
      <c r="AH1472" s="939"/>
      <c r="AI1472" s="609"/>
      <c r="AJ1472" s="939">
        <f t="shared" si="462"/>
        <v>-3420</v>
      </c>
      <c r="AK1472" s="939"/>
      <c r="AL1472" s="939"/>
      <c r="AM1472" s="563"/>
      <c r="AN1472" s="563">
        <f t="shared" si="459"/>
        <v>3420</v>
      </c>
      <c r="AO1472" s="563"/>
      <c r="AP1472" s="563"/>
      <c r="AQ1472" s="563"/>
      <c r="AR1472" s="563"/>
      <c r="AS1472" s="563">
        <f>I1472*2</f>
        <v>6840</v>
      </c>
      <c r="AT1472" s="563"/>
      <c r="AU1472" s="563">
        <f t="shared" si="473"/>
        <v>3420</v>
      </c>
      <c r="AV1472" s="563"/>
      <c r="AW1472" s="563">
        <f t="shared" si="470"/>
        <v>3420</v>
      </c>
      <c r="AX1472" s="1004"/>
      <c r="AY1472" s="563"/>
      <c r="AZ1472" s="563"/>
      <c r="BA1472" s="563"/>
      <c r="BB1472" s="563"/>
      <c r="BC1472" s="563"/>
      <c r="BD1472" s="563"/>
      <c r="BE1472" s="563"/>
      <c r="BF1472" s="563"/>
      <c r="BG1472" s="563"/>
      <c r="BH1472" s="563"/>
      <c r="BI1472" s="563"/>
      <c r="BJ1472" s="563"/>
      <c r="BK1472" s="563"/>
      <c r="BL1472" s="563"/>
      <c r="BM1472" s="563"/>
      <c r="BN1472" s="563">
        <f>I1472</f>
        <v>3420</v>
      </c>
      <c r="BO1472" s="563"/>
      <c r="BP1472" s="563"/>
      <c r="BQ1472" s="563"/>
      <c r="BR1472" s="563"/>
      <c r="BS1472" s="563"/>
      <c r="BT1472" s="563"/>
      <c r="BU1472" s="563"/>
      <c r="BV1472" s="563"/>
      <c r="BW1472" s="563"/>
      <c r="BX1472" s="563"/>
      <c r="BY1472" s="563"/>
      <c r="BZ1472" s="563"/>
      <c r="CA1472" s="563"/>
      <c r="CB1472" s="563"/>
      <c r="CC1472" s="563"/>
      <c r="CD1472" s="563"/>
      <c r="CE1472" s="563"/>
      <c r="CF1472" s="563"/>
      <c r="CG1472" s="563"/>
      <c r="CH1472" s="1015"/>
      <c r="CI1472" s="1015"/>
      <c r="CJ1472" s="1015"/>
      <c r="CK1472" s="1015"/>
      <c r="CL1472" s="1015"/>
      <c r="CM1472" s="563"/>
      <c r="CN1472" s="563"/>
      <c r="CO1472" s="563"/>
      <c r="CP1472" s="1015"/>
      <c r="CQ1472" s="1015"/>
      <c r="CR1472" s="1015"/>
      <c r="CS1472" s="1015"/>
      <c r="CT1472" s="1015"/>
      <c r="CU1472" s="1015"/>
    </row>
    <row r="1473" s="1270" customFormat="1" ht="31" customHeight="1" spans="1:99">
      <c r="A1473" s="1022">
        <v>46224</v>
      </c>
      <c r="B1473" s="626" t="s">
        <v>143</v>
      </c>
      <c r="C1473" s="939" t="s">
        <v>98</v>
      </c>
      <c r="D1473" s="563">
        <v>4500217255</v>
      </c>
      <c r="E1473" s="1424" t="s">
        <v>5731</v>
      </c>
      <c r="F1473" s="563" t="s">
        <v>5732</v>
      </c>
      <c r="G1473" s="939" t="s">
        <v>101</v>
      </c>
      <c r="H1473" s="939" t="s">
        <v>102</v>
      </c>
      <c r="I1473" s="1023">
        <v>2080</v>
      </c>
      <c r="J1473" s="939">
        <v>0</v>
      </c>
      <c r="K1473" s="939">
        <v>4</v>
      </c>
      <c r="L1473" s="1064">
        <f t="shared" si="458"/>
        <v>520</v>
      </c>
      <c r="M1473" s="1027">
        <v>46269</v>
      </c>
      <c r="N1473" s="1027">
        <v>46265</v>
      </c>
      <c r="O1473" s="1031"/>
      <c r="P1473" s="939"/>
      <c r="Q1473" s="999"/>
      <c r="R1473" s="999" t="s">
        <v>4563</v>
      </c>
      <c r="S1473" s="999" t="s">
        <v>70</v>
      </c>
      <c r="T1473" s="999" t="s">
        <v>5708</v>
      </c>
      <c r="U1473" s="999"/>
      <c r="V1473" s="999"/>
      <c r="W1473" s="626"/>
      <c r="X1473" s="626" t="s">
        <v>5733</v>
      </c>
      <c r="Y1473" s="1001" t="s">
        <v>106</v>
      </c>
      <c r="Z1473" s="1076">
        <v>2.7109</v>
      </c>
      <c r="AA1473" s="1001">
        <f t="shared" si="471"/>
        <v>5638.672</v>
      </c>
      <c r="AB1473" s="563"/>
      <c r="AC1473" s="1077"/>
      <c r="AD1473" s="939" t="s">
        <v>101</v>
      </c>
      <c r="AE1473" s="939" t="s">
        <v>82</v>
      </c>
      <c r="AF1473" s="939"/>
      <c r="AG1473" s="939"/>
      <c r="AH1473" s="939"/>
      <c r="AI1473" s="626"/>
      <c r="AJ1473" s="1031">
        <f t="shared" si="462"/>
        <v>-2080</v>
      </c>
      <c r="AK1473" s="939"/>
      <c r="AL1473" s="939" t="s">
        <v>2368</v>
      </c>
      <c r="AM1473" s="563"/>
      <c r="AN1473" s="563">
        <f t="shared" si="459"/>
        <v>2080</v>
      </c>
      <c r="AO1473" s="563"/>
      <c r="AP1473" s="563"/>
      <c r="AQ1473" s="563"/>
      <c r="AR1473" s="563">
        <f>I1473</f>
        <v>2080</v>
      </c>
      <c r="AS1473" s="563"/>
      <c r="AT1473" s="563"/>
      <c r="AU1473" s="563">
        <f t="shared" si="473"/>
        <v>2080</v>
      </c>
      <c r="AV1473" s="563"/>
      <c r="AW1473" s="563">
        <f t="shared" si="470"/>
        <v>2080</v>
      </c>
      <c r="AX1473" s="1004"/>
      <c r="AY1473" s="563"/>
      <c r="AZ1473" s="563"/>
      <c r="BA1473" s="563"/>
      <c r="BB1473" s="563"/>
      <c r="BC1473" s="563"/>
      <c r="BD1473" s="563"/>
      <c r="BE1473" s="563"/>
      <c r="BF1473" s="563"/>
      <c r="BG1473" s="563"/>
      <c r="BH1473" s="563">
        <f>I1473/4</f>
        <v>520</v>
      </c>
      <c r="BI1473" s="563"/>
      <c r="BJ1473" s="563"/>
      <c r="BK1473" s="563"/>
      <c r="BL1473" s="563"/>
      <c r="BM1473" s="563"/>
      <c r="BN1473" s="563"/>
      <c r="BO1473" s="563"/>
      <c r="BP1473" s="563"/>
      <c r="BQ1473" s="563"/>
      <c r="BR1473" s="563"/>
      <c r="BS1473" s="563"/>
      <c r="BT1473" s="563"/>
      <c r="BU1473" s="563"/>
      <c r="BV1473" s="563"/>
      <c r="BW1473" s="563"/>
      <c r="BX1473" s="563"/>
      <c r="BY1473" s="563"/>
      <c r="BZ1473" s="563"/>
      <c r="CA1473" s="563"/>
      <c r="CB1473" s="563"/>
      <c r="CC1473" s="563"/>
      <c r="CD1473" s="563"/>
      <c r="CE1473" s="563"/>
      <c r="CF1473" s="563"/>
      <c r="CG1473" s="563"/>
      <c r="CH1473" s="1015"/>
      <c r="CI1473" s="1015"/>
      <c r="CJ1473" s="1015"/>
      <c r="CK1473" s="1015"/>
      <c r="CL1473" s="1015"/>
      <c r="CM1473" s="563"/>
      <c r="CN1473" s="563"/>
      <c r="CO1473" s="563"/>
      <c r="CP1473" s="1015"/>
      <c r="CQ1473" s="1015"/>
      <c r="CR1473" s="1015"/>
      <c r="CS1473" s="1015"/>
      <c r="CT1473" s="1015"/>
      <c r="CU1473" s="1015"/>
    </row>
    <row r="1474" s="1270" customFormat="1" ht="31" customHeight="1" spans="1:99">
      <c r="A1474" s="1022">
        <v>46225</v>
      </c>
      <c r="B1474" s="626" t="s">
        <v>1472</v>
      </c>
      <c r="C1474" s="939" t="s">
        <v>524</v>
      </c>
      <c r="D1474" s="563">
        <v>4500217393</v>
      </c>
      <c r="E1474" s="939"/>
      <c r="F1474" s="563" t="s">
        <v>5734</v>
      </c>
      <c r="G1474" s="939" t="s">
        <v>130</v>
      </c>
      <c r="H1474" s="939" t="s">
        <v>131</v>
      </c>
      <c r="I1474" s="1023">
        <v>5328</v>
      </c>
      <c r="J1474" s="939">
        <v>0</v>
      </c>
      <c r="K1474" s="939">
        <v>6</v>
      </c>
      <c r="L1474" s="1064">
        <f t="shared" si="458"/>
        <v>888</v>
      </c>
      <c r="M1474" s="1027">
        <v>46269</v>
      </c>
      <c r="N1474" s="1027">
        <v>46265</v>
      </c>
      <c r="O1474" s="1031" t="s">
        <v>5735</v>
      </c>
      <c r="P1474" s="939"/>
      <c r="Q1474" s="999"/>
      <c r="R1474" s="999">
        <v>46237</v>
      </c>
      <c r="S1474" s="999" t="s">
        <v>70</v>
      </c>
      <c r="T1474" s="999" t="s">
        <v>5736</v>
      </c>
      <c r="U1474" s="999" t="s">
        <v>5509</v>
      </c>
      <c r="V1474" s="999"/>
      <c r="W1474" s="626"/>
      <c r="X1474" s="626" t="s">
        <v>5737</v>
      </c>
      <c r="Y1474" s="1001" t="s">
        <v>340</v>
      </c>
      <c r="Z1474" s="1076">
        <v>4.2212</v>
      </c>
      <c r="AA1474" s="1001">
        <f t="shared" si="471"/>
        <v>22490.5536</v>
      </c>
      <c r="AB1474" s="563"/>
      <c r="AC1474" s="1077"/>
      <c r="AD1474" s="939" t="s">
        <v>453</v>
      </c>
      <c r="AE1474" s="939" t="s">
        <v>82</v>
      </c>
      <c r="AF1474" s="939"/>
      <c r="AG1474" s="939"/>
      <c r="AH1474" s="939"/>
      <c r="AI1474" s="626"/>
      <c r="AJ1474" s="1031">
        <f t="shared" si="462"/>
        <v>-5328</v>
      </c>
      <c r="AK1474" s="939"/>
      <c r="AL1474" s="939" t="s">
        <v>454</v>
      </c>
      <c r="AM1474" s="563"/>
      <c r="AN1474" s="563">
        <f t="shared" si="459"/>
        <v>5328</v>
      </c>
      <c r="AO1474" s="563"/>
      <c r="AP1474" s="563"/>
      <c r="AQ1474" s="563"/>
      <c r="AR1474" s="563"/>
      <c r="AS1474" s="563">
        <f>I1474</f>
        <v>5328</v>
      </c>
      <c r="AT1474" s="563"/>
      <c r="AU1474" s="563">
        <f t="shared" si="473"/>
        <v>5328</v>
      </c>
      <c r="AV1474" s="563"/>
      <c r="AW1474" s="563">
        <f t="shared" si="470"/>
        <v>5328</v>
      </c>
      <c r="AX1474" s="1004"/>
      <c r="AY1474" s="563"/>
      <c r="AZ1474" s="563"/>
      <c r="BA1474" s="563"/>
      <c r="BB1474" s="563"/>
      <c r="BC1474" s="563"/>
      <c r="BD1474" s="563"/>
      <c r="BE1474" s="563"/>
      <c r="BF1474" s="563"/>
      <c r="BG1474" s="563"/>
      <c r="BH1474" s="563"/>
      <c r="BI1474" s="563"/>
      <c r="BJ1474" s="563"/>
      <c r="BK1474" s="563"/>
      <c r="BL1474" s="563"/>
      <c r="BM1474" s="563"/>
      <c r="BN1474" s="563"/>
      <c r="BO1474" s="563"/>
      <c r="BP1474" s="563"/>
      <c r="BQ1474" s="563"/>
      <c r="BR1474" s="563"/>
      <c r="BS1474" s="563"/>
      <c r="BT1474" s="563"/>
      <c r="BU1474" s="563"/>
      <c r="BV1474" s="563"/>
      <c r="BW1474" s="563"/>
      <c r="BX1474" s="563"/>
      <c r="BY1474" s="563"/>
      <c r="BZ1474" s="563"/>
      <c r="CA1474" s="563"/>
      <c r="CB1474" s="563"/>
      <c r="CC1474" s="563"/>
      <c r="CD1474" s="563"/>
      <c r="CE1474" s="563"/>
      <c r="CF1474" s="563"/>
      <c r="CG1474" s="563"/>
      <c r="CH1474" s="1015"/>
      <c r="CI1474" s="1015"/>
      <c r="CJ1474" s="1015"/>
      <c r="CK1474" s="1015"/>
      <c r="CL1474" s="1015"/>
      <c r="CM1474" s="563"/>
      <c r="CN1474" s="563"/>
      <c r="CO1474" s="563"/>
      <c r="CP1474" s="1015"/>
      <c r="CQ1474" s="1015"/>
      <c r="CR1474" s="1015"/>
      <c r="CS1474" s="1015"/>
      <c r="CT1474" s="1015"/>
      <c r="CU1474" s="1015"/>
    </row>
    <row r="1475" s="1270" customFormat="1" ht="31" customHeight="1" spans="1:99">
      <c r="A1475" s="1034">
        <v>46226</v>
      </c>
      <c r="B1475" s="603" t="s">
        <v>5738</v>
      </c>
      <c r="C1475" s="1035" t="s">
        <v>524</v>
      </c>
      <c r="D1475" s="560">
        <v>4500217509</v>
      </c>
      <c r="E1475" s="1035"/>
      <c r="F1475" s="560" t="s">
        <v>5739</v>
      </c>
      <c r="G1475" s="1035" t="s">
        <v>68</v>
      </c>
      <c r="H1475" s="1035" t="s">
        <v>69</v>
      </c>
      <c r="I1475" s="1036">
        <v>900</v>
      </c>
      <c r="J1475" s="1035">
        <v>0</v>
      </c>
      <c r="K1475" s="1035">
        <v>12</v>
      </c>
      <c r="L1475" s="1025">
        <f t="shared" si="458"/>
        <v>75</v>
      </c>
      <c r="M1475" s="1037">
        <v>46269</v>
      </c>
      <c r="N1475" s="1037">
        <v>46265</v>
      </c>
      <c r="O1475" s="1043" t="s">
        <v>5740</v>
      </c>
      <c r="P1475" s="1035"/>
      <c r="Q1475" s="1039"/>
      <c r="R1475" s="1039">
        <v>46233</v>
      </c>
      <c r="S1475" s="1039" t="s">
        <v>70</v>
      </c>
      <c r="T1475" s="1039" t="s">
        <v>5741</v>
      </c>
      <c r="U1475" s="1039" t="s">
        <v>5742</v>
      </c>
      <c r="V1475" s="1039"/>
      <c r="W1475" s="603"/>
      <c r="X1475" s="1041" t="s">
        <v>5743</v>
      </c>
      <c r="Y1475" s="1042" t="s">
        <v>340</v>
      </c>
      <c r="Z1475" s="1387">
        <v>4.3734</v>
      </c>
      <c r="AA1475" s="1042">
        <f t="shared" si="471"/>
        <v>3936.06</v>
      </c>
      <c r="AB1475" s="560"/>
      <c r="AC1475" s="1077"/>
      <c r="AD1475" s="939" t="s">
        <v>184</v>
      </c>
      <c r="AE1475" s="1035" t="s">
        <v>82</v>
      </c>
      <c r="AF1475" s="1035"/>
      <c r="AG1475" s="1035"/>
      <c r="AH1475" s="1035"/>
      <c r="AI1475" s="603"/>
      <c r="AJ1475" s="939">
        <f t="shared" si="462"/>
        <v>-900</v>
      </c>
      <c r="AK1475" s="1035"/>
      <c r="AL1475" s="1035" t="s">
        <v>2368</v>
      </c>
      <c r="AM1475" s="560"/>
      <c r="AN1475" s="560">
        <f t="shared" si="459"/>
        <v>900</v>
      </c>
      <c r="AO1475" s="560"/>
      <c r="AP1475" s="560"/>
      <c r="AQ1475" s="560"/>
      <c r="AR1475" s="560"/>
      <c r="AS1475" s="563">
        <f>I1475</f>
        <v>900</v>
      </c>
      <c r="AT1475" s="563"/>
      <c r="AU1475" s="563">
        <f t="shared" si="473"/>
        <v>900</v>
      </c>
      <c r="AV1475" s="560"/>
      <c r="AW1475" s="560"/>
      <c r="AX1475" s="1045"/>
      <c r="AY1475" s="560"/>
      <c r="AZ1475" s="560"/>
      <c r="BA1475" s="560"/>
      <c r="BB1475" s="560"/>
      <c r="BC1475" s="560"/>
      <c r="BD1475" s="560"/>
      <c r="BE1475" s="560"/>
      <c r="BF1475" s="560"/>
      <c r="BG1475" s="560"/>
      <c r="BH1475" s="560"/>
      <c r="BI1475" s="560"/>
      <c r="BJ1475" s="560"/>
      <c r="BK1475" s="560"/>
      <c r="BL1475" s="560"/>
      <c r="BM1475" s="560"/>
      <c r="BN1475" s="560"/>
      <c r="BO1475" s="560"/>
      <c r="BP1475" s="560"/>
      <c r="BQ1475" s="560"/>
      <c r="BR1475" s="560"/>
      <c r="BS1475" s="560"/>
      <c r="BT1475" s="560"/>
      <c r="BU1475" s="560"/>
      <c r="BV1475" s="560"/>
      <c r="BW1475" s="560"/>
      <c r="BX1475" s="560"/>
      <c r="BY1475" s="560"/>
      <c r="BZ1475" s="560"/>
      <c r="CA1475" s="560"/>
      <c r="CB1475" s="560"/>
      <c r="CC1475" s="560"/>
      <c r="CD1475" s="560"/>
      <c r="CE1475" s="560"/>
      <c r="CF1475" s="560"/>
      <c r="CG1475" s="560"/>
      <c r="CH1475" s="1044"/>
      <c r="CI1475" s="1044"/>
      <c r="CJ1475" s="1044"/>
      <c r="CK1475" s="1044"/>
      <c r="CL1475" s="1044"/>
      <c r="CM1475" s="560"/>
      <c r="CN1475" s="560"/>
      <c r="CO1475" s="560"/>
      <c r="CP1475" s="1044"/>
      <c r="CQ1475" s="1044"/>
      <c r="CR1475" s="1044"/>
      <c r="CS1475" s="1044"/>
      <c r="CT1475" s="1044"/>
      <c r="CU1475" s="1044"/>
    </row>
    <row r="1476" s="559" customFormat="1" ht="31" customHeight="1" spans="1:99">
      <c r="A1476" s="1008">
        <v>46185</v>
      </c>
      <c r="B1476" s="628" t="s">
        <v>2734</v>
      </c>
      <c r="C1476" s="618" t="s">
        <v>98</v>
      </c>
      <c r="D1476" s="687" t="s">
        <v>5744</v>
      </c>
      <c r="E1476" s="618" t="s">
        <v>5745</v>
      </c>
      <c r="F1476" s="687" t="s">
        <v>5746</v>
      </c>
      <c r="G1476" s="618" t="s">
        <v>2736</v>
      </c>
      <c r="H1476" s="939" t="s">
        <v>2737</v>
      </c>
      <c r="I1476" s="1069">
        <v>5400</v>
      </c>
      <c r="J1476" s="618">
        <v>0</v>
      </c>
      <c r="K1476" s="618">
        <v>8</v>
      </c>
      <c r="L1476" s="1011">
        <f t="shared" si="458"/>
        <v>675</v>
      </c>
      <c r="M1476" s="1012">
        <v>46269</v>
      </c>
      <c r="N1476" s="1012">
        <v>46265</v>
      </c>
      <c r="O1476" s="773"/>
      <c r="P1476" s="618"/>
      <c r="Q1476" s="774"/>
      <c r="R1476" s="999">
        <v>46185</v>
      </c>
      <c r="S1476" s="999" t="s">
        <v>70</v>
      </c>
      <c r="T1476" s="999" t="s">
        <v>5723</v>
      </c>
      <c r="U1476" s="999"/>
      <c r="V1476" s="999"/>
      <c r="W1476" s="626"/>
      <c r="X1476" s="628" t="s">
        <v>5747</v>
      </c>
      <c r="Y1476" s="1014" t="s">
        <v>2814</v>
      </c>
      <c r="Z1476" s="1339">
        <v>4.1435</v>
      </c>
      <c r="AA1476" s="1014">
        <f t="shared" si="471"/>
        <v>22374.9</v>
      </c>
      <c r="AB1476" s="687"/>
      <c r="AC1476" s="1077"/>
      <c r="AD1476" s="618" t="s">
        <v>2741</v>
      </c>
      <c r="AE1476" s="939" t="s">
        <v>82</v>
      </c>
      <c r="AF1476" s="618"/>
      <c r="AG1476" s="618"/>
      <c r="AH1476" s="618"/>
      <c r="AI1476" s="609"/>
      <c r="AJ1476" s="773">
        <f t="shared" si="462"/>
        <v>-5400</v>
      </c>
      <c r="AK1476" s="618"/>
      <c r="AL1476" s="618"/>
      <c r="AM1476" s="687"/>
      <c r="AN1476" s="687">
        <f t="shared" si="459"/>
        <v>5400</v>
      </c>
      <c r="AO1476" s="687"/>
      <c r="AP1476" s="687"/>
      <c r="AQ1476" s="687"/>
      <c r="AR1476" s="563">
        <f t="shared" ref="AR1476:AR1481" si="474">I1476</f>
        <v>5400</v>
      </c>
      <c r="AS1476" s="687"/>
      <c r="AT1476" s="687"/>
      <c r="AU1476" s="563">
        <f t="shared" si="473"/>
        <v>5400</v>
      </c>
      <c r="AV1476" s="687"/>
      <c r="AW1476" s="687">
        <f t="shared" ref="AW1476:AW1516" si="475">I1476</f>
        <v>5400</v>
      </c>
      <c r="AX1476" s="1016"/>
      <c r="AY1476" s="687"/>
      <c r="AZ1476" s="687"/>
      <c r="BA1476" s="687"/>
      <c r="BB1476" s="687"/>
      <c r="BC1476" s="687"/>
      <c r="BD1476" s="687"/>
      <c r="BE1476" s="687"/>
      <c r="BF1476" s="687"/>
      <c r="BG1476" s="687"/>
      <c r="BH1476" s="687"/>
      <c r="BI1476" s="687"/>
      <c r="BJ1476" s="687"/>
      <c r="BK1476" s="687"/>
      <c r="BL1476" s="687"/>
      <c r="BM1476" s="687"/>
      <c r="BN1476" s="554">
        <f>I1476</f>
        <v>5400</v>
      </c>
      <c r="BO1476" s="687"/>
      <c r="BP1476" s="687"/>
      <c r="BQ1476" s="687"/>
      <c r="BR1476" s="687"/>
      <c r="BS1476" s="687"/>
      <c r="BT1476" s="687"/>
      <c r="BU1476" s="687"/>
      <c r="BV1476" s="687"/>
      <c r="BW1476" s="687"/>
      <c r="BX1476" s="687"/>
      <c r="BY1476" s="687"/>
      <c r="BZ1476" s="687"/>
      <c r="CA1476" s="687"/>
      <c r="CB1476" s="687"/>
      <c r="CC1476" s="687"/>
      <c r="CD1476" s="687"/>
      <c r="CE1476" s="687"/>
      <c r="CF1476" s="687"/>
      <c r="CG1476" s="687"/>
      <c r="CH1476" s="1020"/>
      <c r="CI1476" s="1020"/>
      <c r="CJ1476" s="1020"/>
      <c r="CK1476" s="1020"/>
      <c r="CL1476" s="1020"/>
      <c r="CM1476" s="687"/>
      <c r="CN1476" s="687"/>
      <c r="CO1476" s="687"/>
      <c r="CP1476" s="1020"/>
      <c r="CQ1476" s="1020"/>
      <c r="CR1476" s="1020"/>
      <c r="CS1476" s="1020"/>
      <c r="CT1476" s="1020"/>
      <c r="CU1476" s="1020"/>
    </row>
    <row r="1477" s="1270" customFormat="1" ht="31" customHeight="1" spans="1:99">
      <c r="A1477" s="1022">
        <v>46212</v>
      </c>
      <c r="B1477" s="626" t="s">
        <v>1642</v>
      </c>
      <c r="C1477" s="939" t="s">
        <v>723</v>
      </c>
      <c r="D1477" s="563">
        <v>4500215819</v>
      </c>
      <c r="E1477" s="939" t="s">
        <v>5748</v>
      </c>
      <c r="F1477" s="563" t="s">
        <v>5749</v>
      </c>
      <c r="G1477" s="939" t="s">
        <v>111</v>
      </c>
      <c r="H1477" s="939" t="s">
        <v>112</v>
      </c>
      <c r="I1477" s="1023">
        <v>272</v>
      </c>
      <c r="J1477" s="939">
        <v>0</v>
      </c>
      <c r="K1477" s="939">
        <v>16</v>
      </c>
      <c r="L1477" s="1064">
        <f t="shared" si="458"/>
        <v>17</v>
      </c>
      <c r="M1477" s="1027">
        <v>46269</v>
      </c>
      <c r="N1477" s="1027">
        <v>46265</v>
      </c>
      <c r="O1477" s="1031"/>
      <c r="P1477" s="939"/>
      <c r="Q1477" s="999"/>
      <c r="R1477" s="999">
        <v>46212</v>
      </c>
      <c r="S1477" s="999" t="s">
        <v>70</v>
      </c>
      <c r="T1477" s="999" t="s">
        <v>5750</v>
      </c>
      <c r="U1477" s="999"/>
      <c r="V1477" s="999"/>
      <c r="W1477" s="626"/>
      <c r="X1477" s="626" t="s">
        <v>5060</v>
      </c>
      <c r="Y1477" s="1001" t="s">
        <v>1793</v>
      </c>
      <c r="Z1477" s="1076">
        <v>4.425</v>
      </c>
      <c r="AA1477" s="1001">
        <f t="shared" si="471"/>
        <v>1203.6</v>
      </c>
      <c r="AB1477" s="563"/>
      <c r="AC1477" s="1077"/>
      <c r="AD1477" s="939" t="s">
        <v>111</v>
      </c>
      <c r="AE1477" s="939" t="s">
        <v>82</v>
      </c>
      <c r="AF1477" s="939"/>
      <c r="AG1477" s="939"/>
      <c r="AH1477" s="939"/>
      <c r="AI1477" s="626"/>
      <c r="AJ1477" s="939">
        <f t="shared" si="462"/>
        <v>-272</v>
      </c>
      <c r="AK1477" s="939"/>
      <c r="AL1477" s="939" t="s">
        <v>2368</v>
      </c>
      <c r="AM1477" s="563"/>
      <c r="AN1477" s="563">
        <f t="shared" si="459"/>
        <v>272</v>
      </c>
      <c r="AO1477" s="563"/>
      <c r="AP1477" s="563"/>
      <c r="AQ1477" s="563"/>
      <c r="AR1477" s="563">
        <f t="shared" si="474"/>
        <v>272</v>
      </c>
      <c r="AS1477" s="563"/>
      <c r="AT1477" s="563"/>
      <c r="AU1477" s="563">
        <f t="shared" si="473"/>
        <v>272</v>
      </c>
      <c r="AV1477" s="563"/>
      <c r="AW1477" s="563">
        <f t="shared" si="475"/>
        <v>272</v>
      </c>
      <c r="AX1477" s="1004"/>
      <c r="AY1477" s="563"/>
      <c r="AZ1477" s="563"/>
      <c r="BA1477" s="563"/>
      <c r="BB1477" s="563"/>
      <c r="BC1477" s="563"/>
      <c r="BD1477" s="563"/>
      <c r="BE1477" s="563"/>
      <c r="BF1477" s="563"/>
      <c r="BG1477" s="563"/>
      <c r="BH1477" s="563">
        <f t="shared" ref="BH1476:BH1481" si="476">I1477/4</f>
        <v>68</v>
      </c>
      <c r="BI1477" s="563"/>
      <c r="BJ1477" s="563"/>
      <c r="BK1477" s="563"/>
      <c r="BL1477" s="563"/>
      <c r="BM1477" s="563"/>
      <c r="BN1477" s="563"/>
      <c r="BO1477" s="563"/>
      <c r="BP1477" s="563"/>
      <c r="BQ1477" s="563"/>
      <c r="BR1477" s="563"/>
      <c r="BS1477" s="563"/>
      <c r="BT1477" s="563"/>
      <c r="BU1477" s="563"/>
      <c r="BV1477" s="563"/>
      <c r="BW1477" s="563"/>
      <c r="BX1477" s="563"/>
      <c r="BY1477" s="563"/>
      <c r="BZ1477" s="563"/>
      <c r="CA1477" s="563"/>
      <c r="CB1477" s="563"/>
      <c r="CC1477" s="563"/>
      <c r="CD1477" s="563"/>
      <c r="CE1477" s="563"/>
      <c r="CF1477" s="563"/>
      <c r="CG1477" s="563"/>
      <c r="CH1477" s="1015"/>
      <c r="CI1477" s="1015"/>
      <c r="CJ1477" s="1015"/>
      <c r="CK1477" s="1015"/>
      <c r="CL1477" s="1015"/>
      <c r="CM1477" s="563"/>
      <c r="CN1477" s="563"/>
      <c r="CO1477" s="563"/>
      <c r="CP1477" s="1015"/>
      <c r="CQ1477" s="1015"/>
      <c r="CR1477" s="1015"/>
      <c r="CS1477" s="1015"/>
      <c r="CT1477" s="1015"/>
      <c r="CU1477" s="1015"/>
    </row>
    <row r="1478" s="559" customFormat="1" ht="31" customHeight="1" spans="1:99">
      <c r="A1478" s="1008">
        <v>46171</v>
      </c>
      <c r="B1478" s="628" t="s">
        <v>5448</v>
      </c>
      <c r="C1478" s="618" t="s">
        <v>98</v>
      </c>
      <c r="D1478" s="687" t="s">
        <v>5751</v>
      </c>
      <c r="E1478" s="618" t="s">
        <v>5752</v>
      </c>
      <c r="F1478" s="687" t="s">
        <v>5753</v>
      </c>
      <c r="G1478" s="618" t="s">
        <v>5002</v>
      </c>
      <c r="H1478" s="939" t="s">
        <v>5003</v>
      </c>
      <c r="I1478" s="1069">
        <v>15024</v>
      </c>
      <c r="J1478" s="618">
        <v>0</v>
      </c>
      <c r="K1478" s="618">
        <v>24</v>
      </c>
      <c r="L1478" s="1011">
        <f t="shared" si="458"/>
        <v>626</v>
      </c>
      <c r="M1478" s="1012">
        <v>46269</v>
      </c>
      <c r="N1478" s="1012">
        <v>46265</v>
      </c>
      <c r="O1478" s="773" t="s">
        <v>5698</v>
      </c>
      <c r="P1478" s="618"/>
      <c r="Q1478" s="774"/>
      <c r="R1478" s="999">
        <v>46162</v>
      </c>
      <c r="S1478" s="999" t="s">
        <v>70</v>
      </c>
      <c r="T1478" s="999" t="s">
        <v>5453</v>
      </c>
      <c r="U1478" s="999"/>
      <c r="V1478" s="999"/>
      <c r="W1478" s="626"/>
      <c r="X1478" s="628" t="s">
        <v>5454</v>
      </c>
      <c r="Y1478" s="1014" t="s">
        <v>5455</v>
      </c>
      <c r="Z1478" s="1339">
        <v>111.1651</v>
      </c>
      <c r="AA1478" s="1014">
        <f>Z1478*L1478</f>
        <v>69589.3526</v>
      </c>
      <c r="AB1478" s="687"/>
      <c r="AC1478" s="1077"/>
      <c r="AD1478" s="560" t="s">
        <v>5008</v>
      </c>
      <c r="AE1478" s="939" t="s">
        <v>82</v>
      </c>
      <c r="AF1478" s="618"/>
      <c r="AG1478" s="618"/>
      <c r="AH1478" s="618"/>
      <c r="AI1478" s="609"/>
      <c r="AJ1478" s="773">
        <f t="shared" si="462"/>
        <v>-15024</v>
      </c>
      <c r="AK1478" s="618"/>
      <c r="AL1478" s="618"/>
      <c r="AM1478" s="687"/>
      <c r="AN1478" s="687">
        <f t="shared" si="459"/>
        <v>15024</v>
      </c>
      <c r="AO1478" s="687"/>
      <c r="AP1478" s="687"/>
      <c r="AQ1478" s="687"/>
      <c r="AR1478" s="687">
        <f t="shared" si="474"/>
        <v>15024</v>
      </c>
      <c r="AS1478" s="687"/>
      <c r="AT1478" s="687"/>
      <c r="AU1478" s="563">
        <f t="shared" si="473"/>
        <v>15024</v>
      </c>
      <c r="AV1478" s="563"/>
      <c r="AW1478" s="563">
        <f t="shared" si="475"/>
        <v>15024</v>
      </c>
      <c r="AX1478" s="1004"/>
      <c r="AY1478" s="687"/>
      <c r="AZ1478" s="687"/>
      <c r="BA1478" s="687"/>
      <c r="BB1478" s="687"/>
      <c r="BC1478" s="687"/>
      <c r="BD1478" s="687"/>
      <c r="BE1478" s="687"/>
      <c r="BF1478" s="687"/>
      <c r="BG1478" s="687"/>
      <c r="BH1478" s="687"/>
      <c r="BI1478" s="687"/>
      <c r="BJ1478" s="687"/>
      <c r="BK1478" s="687"/>
      <c r="BL1478" s="687"/>
      <c r="BM1478" s="687">
        <f>I1478</f>
        <v>15024</v>
      </c>
      <c r="BN1478" s="687"/>
      <c r="BO1478" s="687"/>
      <c r="BP1478" s="687"/>
      <c r="BQ1478" s="687"/>
      <c r="BR1478" s="687"/>
      <c r="BS1478" s="687"/>
      <c r="BT1478" s="687"/>
      <c r="BU1478" s="687"/>
      <c r="BV1478" s="687"/>
      <c r="BW1478" s="687"/>
      <c r="BX1478" s="687"/>
      <c r="BY1478" s="687"/>
      <c r="BZ1478" s="687"/>
      <c r="CA1478" s="687"/>
      <c r="CB1478" s="687"/>
      <c r="CC1478" s="687"/>
      <c r="CD1478" s="687"/>
      <c r="CE1478" s="687"/>
      <c r="CF1478" s="687"/>
      <c r="CG1478" s="687"/>
      <c r="CH1478" s="1020"/>
      <c r="CI1478" s="1020"/>
      <c r="CJ1478" s="1020"/>
      <c r="CK1478" s="1020"/>
      <c r="CL1478" s="1020"/>
      <c r="CM1478" s="687"/>
      <c r="CN1478" s="687"/>
      <c r="CO1478" s="687"/>
      <c r="CP1478" s="1020"/>
      <c r="CQ1478" s="1020"/>
      <c r="CR1478" s="1020"/>
      <c r="CS1478" s="1020"/>
      <c r="CT1478" s="1020"/>
      <c r="CU1478" s="1020"/>
    </row>
    <row r="1479" s="1270" customFormat="1" ht="31" customHeight="1" spans="1:99">
      <c r="A1479" s="1022">
        <v>46223</v>
      </c>
      <c r="B1479" s="626" t="s">
        <v>143</v>
      </c>
      <c r="C1479" s="939" t="s">
        <v>98</v>
      </c>
      <c r="D1479" s="563">
        <v>4500217083</v>
      </c>
      <c r="E1479" s="1425" t="s">
        <v>5754</v>
      </c>
      <c r="F1479" s="563" t="s">
        <v>5755</v>
      </c>
      <c r="G1479" s="939" t="s">
        <v>101</v>
      </c>
      <c r="H1479" s="939" t="s">
        <v>102</v>
      </c>
      <c r="I1479" s="1023">
        <v>7620</v>
      </c>
      <c r="J1479" s="939">
        <v>0</v>
      </c>
      <c r="K1479" s="939">
        <v>4</v>
      </c>
      <c r="L1479" s="1064">
        <f t="shared" si="458"/>
        <v>1905</v>
      </c>
      <c r="M1479" s="1027">
        <v>46272</v>
      </c>
      <c r="N1479" s="1027">
        <v>46268</v>
      </c>
      <c r="O1479" s="1031"/>
      <c r="P1479" s="939"/>
      <c r="Q1479" s="999"/>
      <c r="R1479" s="999" t="s">
        <v>4563</v>
      </c>
      <c r="S1479" s="999" t="s">
        <v>70</v>
      </c>
      <c r="T1479" s="999" t="s">
        <v>5708</v>
      </c>
      <c r="U1479" s="999"/>
      <c r="V1479" s="999"/>
      <c r="W1479" s="626"/>
      <c r="X1479" s="626" t="s">
        <v>5733</v>
      </c>
      <c r="Y1479" s="1001" t="s">
        <v>106</v>
      </c>
      <c r="Z1479" s="1076">
        <v>2.6957</v>
      </c>
      <c r="AA1479" s="1001">
        <f t="shared" ref="AA1479:AA1491" si="477">Z1479*I1479</f>
        <v>20541.234</v>
      </c>
      <c r="AB1479" s="563"/>
      <c r="AC1479" s="1077"/>
      <c r="AD1479" s="939" t="s">
        <v>101</v>
      </c>
      <c r="AE1479" s="939" t="s">
        <v>82</v>
      </c>
      <c r="AF1479" s="939"/>
      <c r="AG1479" s="939"/>
      <c r="AH1479" s="939"/>
      <c r="AI1479" s="626"/>
      <c r="AJ1479" s="1031">
        <f t="shared" si="462"/>
        <v>-7620</v>
      </c>
      <c r="AK1479" s="939"/>
      <c r="AL1479" s="939" t="s">
        <v>2368</v>
      </c>
      <c r="AM1479" s="563"/>
      <c r="AN1479" s="563">
        <f t="shared" si="459"/>
        <v>7620</v>
      </c>
      <c r="AO1479" s="563"/>
      <c r="AP1479" s="563"/>
      <c r="AQ1479" s="563"/>
      <c r="AR1479" s="563">
        <f t="shared" si="474"/>
        <v>7620</v>
      </c>
      <c r="AS1479" s="563"/>
      <c r="AT1479" s="563"/>
      <c r="AU1479" s="563">
        <f t="shared" si="473"/>
        <v>7620</v>
      </c>
      <c r="AV1479" s="563"/>
      <c r="AW1479" s="563">
        <f t="shared" si="475"/>
        <v>7620</v>
      </c>
      <c r="AX1479" s="1004"/>
      <c r="AY1479" s="563"/>
      <c r="AZ1479" s="563"/>
      <c r="BA1479" s="563"/>
      <c r="BB1479" s="563"/>
      <c r="BC1479" s="563"/>
      <c r="BD1479" s="563"/>
      <c r="BE1479" s="563"/>
      <c r="BF1479" s="563"/>
      <c r="BG1479" s="563"/>
      <c r="BH1479" s="563">
        <f t="shared" si="476"/>
        <v>1905</v>
      </c>
      <c r="BI1479" s="563"/>
      <c r="BJ1479" s="563"/>
      <c r="BK1479" s="563"/>
      <c r="BL1479" s="563"/>
      <c r="BM1479" s="563"/>
      <c r="BN1479" s="563"/>
      <c r="BO1479" s="563"/>
      <c r="BP1479" s="563"/>
      <c r="BQ1479" s="563"/>
      <c r="BR1479" s="563"/>
      <c r="BS1479" s="563"/>
      <c r="BT1479" s="563"/>
      <c r="BU1479" s="563"/>
      <c r="BV1479" s="563"/>
      <c r="BW1479" s="563"/>
      <c r="BX1479" s="563"/>
      <c r="BY1479" s="563"/>
      <c r="BZ1479" s="563"/>
      <c r="CA1479" s="563"/>
      <c r="CB1479" s="563"/>
      <c r="CC1479" s="563"/>
      <c r="CD1479" s="563"/>
      <c r="CE1479" s="563"/>
      <c r="CF1479" s="563"/>
      <c r="CG1479" s="563"/>
      <c r="CH1479" s="1015"/>
      <c r="CI1479" s="1015"/>
      <c r="CJ1479" s="1015"/>
      <c r="CK1479" s="1015"/>
      <c r="CL1479" s="1015"/>
      <c r="CM1479" s="563"/>
      <c r="CN1479" s="563"/>
      <c r="CO1479" s="563"/>
      <c r="CP1479" s="1015"/>
      <c r="CQ1479" s="1015"/>
      <c r="CR1479" s="1015"/>
      <c r="CS1479" s="1015"/>
      <c r="CT1479" s="1015"/>
      <c r="CU1479" s="1015"/>
    </row>
    <row r="1480" s="1265" customFormat="1" ht="31" customHeight="1" spans="1:99">
      <c r="A1480" s="1008">
        <v>46169</v>
      </c>
      <c r="B1480" s="628" t="s">
        <v>143</v>
      </c>
      <c r="C1480" s="618" t="s">
        <v>98</v>
      </c>
      <c r="D1480" s="687" t="s">
        <v>5320</v>
      </c>
      <c r="E1480" s="618" t="s">
        <v>5756</v>
      </c>
      <c r="F1480" s="687" t="s">
        <v>5757</v>
      </c>
      <c r="G1480" s="618" t="s">
        <v>101</v>
      </c>
      <c r="H1480" s="618" t="s">
        <v>102</v>
      </c>
      <c r="I1480" s="1069">
        <v>2880</v>
      </c>
      <c r="J1480" s="618">
        <v>0</v>
      </c>
      <c r="K1480" s="618">
        <v>4</v>
      </c>
      <c r="L1480" s="1011">
        <f t="shared" si="458"/>
        <v>720</v>
      </c>
      <c r="M1480" s="1338">
        <v>46272</v>
      </c>
      <c r="N1480" s="1338">
        <f>M1480-4</f>
        <v>46268</v>
      </c>
      <c r="O1480" s="773"/>
      <c r="P1480" s="618"/>
      <c r="Q1480" s="774"/>
      <c r="R1480" s="774" t="s">
        <v>4563</v>
      </c>
      <c r="S1480" s="999" t="s">
        <v>70</v>
      </c>
      <c r="T1480" s="999" t="s">
        <v>4869</v>
      </c>
      <c r="U1480" s="999"/>
      <c r="V1480" s="999"/>
      <c r="W1480" s="628"/>
      <c r="X1480" s="628" t="s">
        <v>4904</v>
      </c>
      <c r="Y1480" s="1014" t="s">
        <v>4871</v>
      </c>
      <c r="Z1480" s="1339">
        <v>2.6794</v>
      </c>
      <c r="AA1480" s="1014">
        <f t="shared" si="477"/>
        <v>7716.672</v>
      </c>
      <c r="AB1480" s="687"/>
      <c r="AC1480" s="1393" t="s">
        <v>5758</v>
      </c>
      <c r="AD1480" s="618" t="s">
        <v>101</v>
      </c>
      <c r="AE1480" s="939" t="s">
        <v>82</v>
      </c>
      <c r="AF1480" s="618"/>
      <c r="AG1480" s="618"/>
      <c r="AH1480" s="618"/>
      <c r="AI1480" s="609"/>
      <c r="AJ1480" s="773">
        <f t="shared" si="462"/>
        <v>-2880</v>
      </c>
      <c r="AK1480" s="618"/>
      <c r="AL1480" s="939" t="s">
        <v>2368</v>
      </c>
      <c r="AM1480" s="687"/>
      <c r="AN1480" s="687">
        <f t="shared" si="459"/>
        <v>2880</v>
      </c>
      <c r="AO1480" s="687"/>
      <c r="AP1480" s="687"/>
      <c r="AQ1480" s="687"/>
      <c r="AR1480" s="563">
        <f t="shared" si="474"/>
        <v>2880</v>
      </c>
      <c r="AS1480" s="563"/>
      <c r="AT1480" s="563"/>
      <c r="AU1480" s="563">
        <f t="shared" si="473"/>
        <v>2880</v>
      </c>
      <c r="AV1480" s="563"/>
      <c r="AW1480" s="563">
        <f t="shared" si="475"/>
        <v>2880</v>
      </c>
      <c r="AX1480" s="1016"/>
      <c r="AY1480" s="687"/>
      <c r="AZ1480" s="687"/>
      <c r="BA1480" s="687"/>
      <c r="BB1480" s="687"/>
      <c r="BC1480" s="687"/>
      <c r="BD1480" s="687"/>
      <c r="BE1480" s="687"/>
      <c r="BF1480" s="687"/>
      <c r="BG1480" s="687"/>
      <c r="BH1480" s="825">
        <f t="shared" si="476"/>
        <v>720</v>
      </c>
      <c r="BI1480" s="687"/>
      <c r="BJ1480" s="687"/>
      <c r="BK1480" s="687"/>
      <c r="BL1480" s="687"/>
      <c r="BM1480" s="687"/>
      <c r="BN1480" s="687"/>
      <c r="BO1480" s="687"/>
      <c r="BP1480" s="687"/>
      <c r="BQ1480" s="687"/>
      <c r="BR1480" s="687"/>
      <c r="BS1480" s="687"/>
      <c r="BT1480" s="687"/>
      <c r="BU1480" s="687"/>
      <c r="BV1480" s="687"/>
      <c r="BW1480" s="687"/>
      <c r="BX1480" s="687"/>
      <c r="BY1480" s="687"/>
      <c r="BZ1480" s="687"/>
      <c r="CA1480" s="687"/>
      <c r="CB1480" s="687"/>
      <c r="CC1480" s="687"/>
      <c r="CD1480" s="687"/>
      <c r="CE1480" s="687"/>
      <c r="CF1480" s="687"/>
      <c r="CG1480" s="687"/>
      <c r="CH1480" s="1020"/>
      <c r="CI1480" s="1020"/>
      <c r="CJ1480" s="1020"/>
      <c r="CK1480" s="1020"/>
      <c r="CL1480" s="1020"/>
      <c r="CM1480" s="687"/>
      <c r="CN1480" s="687"/>
      <c r="CO1480" s="687"/>
      <c r="CP1480" s="1020"/>
      <c r="CQ1480" s="1020"/>
      <c r="CR1480" s="1020"/>
      <c r="CS1480" s="1020"/>
      <c r="CT1480" s="1020"/>
      <c r="CU1480" s="1020"/>
    </row>
    <row r="1481" s="1270" customFormat="1" ht="31" customHeight="1" spans="1:99">
      <c r="A1481" s="1022">
        <v>46212</v>
      </c>
      <c r="B1481" s="626"/>
      <c r="C1481" s="939" t="s">
        <v>98</v>
      </c>
      <c r="D1481" s="563" t="s">
        <v>5528</v>
      </c>
      <c r="E1481" s="939" t="s">
        <v>5759</v>
      </c>
      <c r="F1481" s="563" t="s">
        <v>5760</v>
      </c>
      <c r="G1481" s="939" t="s">
        <v>101</v>
      </c>
      <c r="H1481" s="939" t="s">
        <v>102</v>
      </c>
      <c r="I1481" s="1023">
        <v>1440</v>
      </c>
      <c r="J1481" s="939">
        <v>0</v>
      </c>
      <c r="K1481" s="939">
        <v>4</v>
      </c>
      <c r="L1481" s="1064">
        <f t="shared" si="458"/>
        <v>360</v>
      </c>
      <c r="M1481" s="1027">
        <v>46272</v>
      </c>
      <c r="N1481" s="1027">
        <v>46268</v>
      </c>
      <c r="O1481" s="1031"/>
      <c r="P1481" s="939"/>
      <c r="Q1481" s="999"/>
      <c r="R1481" s="999" t="s">
        <v>3639</v>
      </c>
      <c r="S1481" s="999" t="s">
        <v>70</v>
      </c>
      <c r="T1481" s="999" t="s">
        <v>70</v>
      </c>
      <c r="U1481" s="999"/>
      <c r="V1481" s="999"/>
      <c r="W1481" s="626"/>
      <c r="X1481" s="626" t="s">
        <v>5531</v>
      </c>
      <c r="Y1481" s="1001" t="s">
        <v>5532</v>
      </c>
      <c r="Z1481" s="1076">
        <v>2.61996</v>
      </c>
      <c r="AA1481" s="1001">
        <f t="shared" si="477"/>
        <v>3772.7424</v>
      </c>
      <c r="AB1481" s="563"/>
      <c r="AC1481" s="1077"/>
      <c r="AD1481" s="939" t="s">
        <v>101</v>
      </c>
      <c r="AE1481" s="939" t="s">
        <v>82</v>
      </c>
      <c r="AF1481" s="939"/>
      <c r="AG1481" s="939"/>
      <c r="AH1481" s="939"/>
      <c r="AI1481" s="626"/>
      <c r="AJ1481" s="1031">
        <f t="shared" si="462"/>
        <v>-1440</v>
      </c>
      <c r="AK1481" s="939"/>
      <c r="AL1481" s="939"/>
      <c r="AM1481" s="563"/>
      <c r="AN1481" s="563">
        <f t="shared" si="459"/>
        <v>1440</v>
      </c>
      <c r="AO1481" s="563"/>
      <c r="AP1481" s="563"/>
      <c r="AQ1481" s="563"/>
      <c r="AR1481" s="563">
        <f t="shared" si="474"/>
        <v>1440</v>
      </c>
      <c r="AS1481" s="563"/>
      <c r="AT1481" s="563"/>
      <c r="AU1481" s="563">
        <f t="shared" si="473"/>
        <v>1440</v>
      </c>
      <c r="AV1481" s="563"/>
      <c r="AW1481" s="563">
        <f t="shared" si="475"/>
        <v>1440</v>
      </c>
      <c r="AX1481" s="1004"/>
      <c r="AY1481" s="563"/>
      <c r="AZ1481" s="563"/>
      <c r="BA1481" s="563"/>
      <c r="BB1481" s="563"/>
      <c r="BC1481" s="563"/>
      <c r="BD1481" s="563"/>
      <c r="BE1481" s="563"/>
      <c r="BF1481" s="563"/>
      <c r="BG1481" s="563"/>
      <c r="BH1481" s="563">
        <f t="shared" si="476"/>
        <v>360</v>
      </c>
      <c r="BI1481" s="563"/>
      <c r="BJ1481" s="563"/>
      <c r="BK1481" s="563"/>
      <c r="BL1481" s="563"/>
      <c r="BM1481" s="563"/>
      <c r="BN1481" s="563"/>
      <c r="BO1481" s="563"/>
      <c r="BP1481" s="563"/>
      <c r="BQ1481" s="563"/>
      <c r="BR1481" s="563"/>
      <c r="BS1481" s="563"/>
      <c r="BT1481" s="563"/>
      <c r="BU1481" s="563"/>
      <c r="BV1481" s="563"/>
      <c r="BW1481" s="563"/>
      <c r="BX1481" s="563"/>
      <c r="BY1481" s="563"/>
      <c r="BZ1481" s="563"/>
      <c r="CA1481" s="563"/>
      <c r="CB1481" s="563"/>
      <c r="CC1481" s="563"/>
      <c r="CD1481" s="563"/>
      <c r="CE1481" s="563"/>
      <c r="CF1481" s="563"/>
      <c r="CG1481" s="563"/>
      <c r="CH1481" s="1015"/>
      <c r="CI1481" s="1015"/>
      <c r="CJ1481" s="1015"/>
      <c r="CK1481" s="1015"/>
      <c r="CL1481" s="1015"/>
      <c r="CM1481" s="563"/>
      <c r="CN1481" s="563"/>
      <c r="CO1481" s="563"/>
      <c r="CP1481" s="1015"/>
      <c r="CQ1481" s="1015"/>
      <c r="CR1481" s="1015"/>
      <c r="CS1481" s="1015"/>
      <c r="CT1481" s="1015"/>
      <c r="CU1481" s="1015"/>
    </row>
    <row r="1482" s="1271" customFormat="1" ht="31" customHeight="1" spans="1:99">
      <c r="A1482" s="1022">
        <v>46230</v>
      </c>
      <c r="B1482" s="626" t="s">
        <v>1146</v>
      </c>
      <c r="C1482" s="939" t="s">
        <v>170</v>
      </c>
      <c r="D1482" s="563">
        <v>4500216953</v>
      </c>
      <c r="E1482" s="939" t="s">
        <v>5761</v>
      </c>
      <c r="F1482" s="563" t="s">
        <v>5762</v>
      </c>
      <c r="G1482" s="939" t="s">
        <v>68</v>
      </c>
      <c r="H1482" s="939" t="s">
        <v>69</v>
      </c>
      <c r="I1482" s="1023">
        <v>120</v>
      </c>
      <c r="J1482" s="939">
        <v>0</v>
      </c>
      <c r="K1482" s="939">
        <v>12</v>
      </c>
      <c r="L1482" s="1064">
        <f t="shared" si="458"/>
        <v>10</v>
      </c>
      <c r="M1482" s="1027">
        <v>46273</v>
      </c>
      <c r="N1482" s="1027">
        <v>46269</v>
      </c>
      <c r="O1482" s="1031"/>
      <c r="P1482" s="939"/>
      <c r="Q1482" s="999"/>
      <c r="R1482" s="999">
        <v>46237</v>
      </c>
      <c r="S1482" s="999" t="s">
        <v>70</v>
      </c>
      <c r="T1482" s="999" t="s">
        <v>5763</v>
      </c>
      <c r="U1482" s="999"/>
      <c r="V1482" s="999"/>
      <c r="W1482" s="626"/>
      <c r="X1482" s="626" t="s">
        <v>5764</v>
      </c>
      <c r="Y1482" s="1001" t="s">
        <v>5543</v>
      </c>
      <c r="Z1482" s="1076">
        <v>4.3274</v>
      </c>
      <c r="AA1482" s="1001">
        <f t="shared" si="477"/>
        <v>519.288</v>
      </c>
      <c r="AB1482" s="563"/>
      <c r="AC1482" s="1077"/>
      <c r="AD1482" s="939" t="s">
        <v>184</v>
      </c>
      <c r="AE1482" s="939" t="s">
        <v>82</v>
      </c>
      <c r="AF1482" s="939"/>
      <c r="AG1482" s="939"/>
      <c r="AH1482" s="939"/>
      <c r="AI1482" s="626"/>
      <c r="AJ1482" s="939">
        <f t="shared" si="462"/>
        <v>-120</v>
      </c>
      <c r="AK1482" s="939"/>
      <c r="AL1482" s="939"/>
      <c r="AM1482" s="563"/>
      <c r="AN1482" s="563">
        <f t="shared" si="459"/>
        <v>120</v>
      </c>
      <c r="AO1482" s="563"/>
      <c r="AP1482" s="563"/>
      <c r="AQ1482" s="563"/>
      <c r="AR1482" s="563"/>
      <c r="AS1482" s="563">
        <f>I1482</f>
        <v>120</v>
      </c>
      <c r="AT1482" s="563"/>
      <c r="AU1482" s="563">
        <f t="shared" si="473"/>
        <v>120</v>
      </c>
      <c r="AV1482" s="563"/>
      <c r="AW1482" s="563">
        <f t="shared" si="475"/>
        <v>120</v>
      </c>
      <c r="AX1482" s="1004"/>
      <c r="AY1482" s="563"/>
      <c r="AZ1482" s="563"/>
      <c r="BA1482" s="563"/>
      <c r="BB1482" s="563"/>
      <c r="BC1482" s="563"/>
      <c r="BD1482" s="563"/>
      <c r="BE1482" s="563"/>
      <c r="BF1482" s="563"/>
      <c r="BG1482" s="563"/>
      <c r="BH1482" s="563"/>
      <c r="BI1482" s="563"/>
      <c r="BJ1482" s="563"/>
      <c r="BK1482" s="563"/>
      <c r="BL1482" s="563"/>
      <c r="BM1482" s="563"/>
      <c r="BN1482" s="563"/>
      <c r="BO1482" s="563"/>
      <c r="BP1482" s="1147"/>
      <c r="BQ1482" s="1147"/>
      <c r="BR1482" s="1147"/>
      <c r="BS1482" s="1147"/>
      <c r="BT1482" s="1147"/>
      <c r="BU1482" s="1147"/>
      <c r="BV1482" s="1147"/>
      <c r="BW1482" s="1147"/>
      <c r="BX1482" s="1147"/>
      <c r="BY1482" s="1147"/>
      <c r="BZ1482" s="1147"/>
      <c r="CA1482" s="1147"/>
      <c r="CB1482" s="1147"/>
      <c r="CC1482" s="1147"/>
      <c r="CD1482" s="1147"/>
      <c r="CE1482" s="1147"/>
      <c r="CF1482" s="1147"/>
      <c r="CG1482" s="1147"/>
      <c r="CH1482" s="1068"/>
      <c r="CI1482" s="1068"/>
      <c r="CJ1482" s="1068"/>
      <c r="CK1482" s="1068"/>
      <c r="CL1482" s="1068"/>
      <c r="CM1482" s="1147"/>
      <c r="CN1482" s="1147"/>
      <c r="CO1482" s="1147"/>
      <c r="CP1482" s="1068"/>
      <c r="CQ1482" s="1068"/>
      <c r="CR1482" s="1068"/>
      <c r="CS1482" s="1068"/>
      <c r="CT1482" s="1068"/>
      <c r="CU1482" s="1068"/>
    </row>
    <row r="1483" s="1270" customFormat="1" ht="31" customHeight="1" spans="1:99">
      <c r="A1483" s="1022">
        <v>46225</v>
      </c>
      <c r="B1483" s="626" t="s">
        <v>211</v>
      </c>
      <c r="C1483" s="939" t="s">
        <v>212</v>
      </c>
      <c r="D1483" s="563">
        <v>4500217300</v>
      </c>
      <c r="E1483" s="939" t="s">
        <v>5765</v>
      </c>
      <c r="F1483" s="563" t="s">
        <v>5766</v>
      </c>
      <c r="G1483" s="939" t="s">
        <v>518</v>
      </c>
      <c r="H1483" s="939" t="s">
        <v>477</v>
      </c>
      <c r="I1483" s="1023">
        <v>720</v>
      </c>
      <c r="J1483" s="939">
        <v>0</v>
      </c>
      <c r="K1483" s="939">
        <v>6</v>
      </c>
      <c r="L1483" s="1064">
        <f t="shared" si="458"/>
        <v>120</v>
      </c>
      <c r="M1483" s="1027">
        <v>46273</v>
      </c>
      <c r="N1483" s="1027">
        <v>46269</v>
      </c>
      <c r="O1483" s="1031"/>
      <c r="P1483" s="939"/>
      <c r="Q1483" s="999"/>
      <c r="R1483" s="999">
        <v>46225</v>
      </c>
      <c r="S1483" s="999" t="s">
        <v>70</v>
      </c>
      <c r="T1483" s="999" t="s">
        <v>5767</v>
      </c>
      <c r="U1483" s="999"/>
      <c r="V1483" s="999"/>
      <c r="W1483" s="626"/>
      <c r="X1483" s="626" t="s">
        <v>3308</v>
      </c>
      <c r="Y1483" s="1001" t="s">
        <v>3527</v>
      </c>
      <c r="Z1483" s="1076">
        <v>7.4261</v>
      </c>
      <c r="AA1483" s="1001">
        <f t="shared" si="477"/>
        <v>5346.792</v>
      </c>
      <c r="AB1483" s="563"/>
      <c r="AC1483" s="1077"/>
      <c r="AD1483" s="939" t="s">
        <v>1306</v>
      </c>
      <c r="AE1483" s="939" t="s">
        <v>82</v>
      </c>
      <c r="AF1483" s="939"/>
      <c r="AG1483" s="939"/>
      <c r="AH1483" s="939"/>
      <c r="AI1483" s="626"/>
      <c r="AJ1483" s="939">
        <f t="shared" si="462"/>
        <v>-720</v>
      </c>
      <c r="AK1483" s="939"/>
      <c r="AL1483" s="939"/>
      <c r="AM1483" s="563"/>
      <c r="AN1483" s="563">
        <f t="shared" si="459"/>
        <v>720</v>
      </c>
      <c r="AO1483" s="563"/>
      <c r="AP1483" s="563"/>
      <c r="AQ1483" s="563"/>
      <c r="AR1483" s="563">
        <f>I1483</f>
        <v>720</v>
      </c>
      <c r="AS1483" s="563"/>
      <c r="AT1483" s="563"/>
      <c r="AU1483" s="563">
        <f t="shared" si="473"/>
        <v>720</v>
      </c>
      <c r="AV1483" s="563"/>
      <c r="AW1483" s="563">
        <f t="shared" si="475"/>
        <v>720</v>
      </c>
      <c r="AX1483" s="1004"/>
      <c r="AY1483" s="563"/>
      <c r="AZ1483" s="563"/>
      <c r="BA1483" s="563"/>
      <c r="BB1483" s="563"/>
      <c r="BC1483" s="563"/>
      <c r="BD1483" s="563"/>
      <c r="BE1483" s="563"/>
      <c r="BF1483" s="563"/>
      <c r="BG1483" s="563"/>
      <c r="BH1483" s="563"/>
      <c r="BI1483" s="563"/>
      <c r="BJ1483" s="563"/>
      <c r="BK1483" s="563"/>
      <c r="BL1483" s="563"/>
      <c r="BM1483" s="563"/>
      <c r="BN1483" s="563">
        <f>I1483</f>
        <v>720</v>
      </c>
      <c r="BO1483" s="563"/>
      <c r="BP1483" s="563"/>
      <c r="BQ1483" s="563"/>
      <c r="BR1483" s="563"/>
      <c r="BS1483" s="563"/>
      <c r="BT1483" s="563"/>
      <c r="BU1483" s="563"/>
      <c r="BV1483" s="563"/>
      <c r="BW1483" s="563"/>
      <c r="BX1483" s="563"/>
      <c r="BY1483" s="563"/>
      <c r="BZ1483" s="563"/>
      <c r="CA1483" s="563"/>
      <c r="CB1483" s="563"/>
      <c r="CC1483" s="563"/>
      <c r="CD1483" s="563"/>
      <c r="CE1483" s="563"/>
      <c r="CF1483" s="563"/>
      <c r="CG1483" s="563"/>
      <c r="CH1483" s="1015"/>
      <c r="CI1483" s="1015"/>
      <c r="CJ1483" s="1015"/>
      <c r="CK1483" s="1015"/>
      <c r="CL1483" s="1015"/>
      <c r="CM1483" s="563"/>
      <c r="CN1483" s="563"/>
      <c r="CO1483" s="563"/>
      <c r="CP1483" s="1015"/>
      <c r="CQ1483" s="1015"/>
      <c r="CR1483" s="1015"/>
      <c r="CS1483" s="1015"/>
      <c r="CT1483" s="1015"/>
      <c r="CU1483" s="1015"/>
    </row>
    <row r="1484" s="1270" customFormat="1" ht="31" customHeight="1" spans="1:99">
      <c r="A1484" s="1022">
        <v>46227</v>
      </c>
      <c r="B1484" s="626" t="s">
        <v>3729</v>
      </c>
      <c r="C1484" s="939" t="s">
        <v>278</v>
      </c>
      <c r="D1484" s="1063">
        <v>4500217589</v>
      </c>
      <c r="E1484" s="939" t="s">
        <v>5768</v>
      </c>
      <c r="F1484" s="563" t="s">
        <v>5769</v>
      </c>
      <c r="G1484" s="939" t="s">
        <v>518</v>
      </c>
      <c r="H1484" s="939" t="s">
        <v>477</v>
      </c>
      <c r="I1484" s="1023">
        <v>1008</v>
      </c>
      <c r="J1484" s="939">
        <v>0</v>
      </c>
      <c r="K1484" s="939">
        <v>6</v>
      </c>
      <c r="L1484" s="1064">
        <f t="shared" si="458"/>
        <v>168</v>
      </c>
      <c r="M1484" s="1027">
        <v>46274</v>
      </c>
      <c r="N1484" s="1027">
        <v>46270</v>
      </c>
      <c r="O1484" s="1031"/>
      <c r="P1484" s="939"/>
      <c r="Q1484" s="999"/>
      <c r="R1484" s="999" t="s">
        <v>5770</v>
      </c>
      <c r="S1484" s="999" t="s">
        <v>104</v>
      </c>
      <c r="T1484" s="999" t="s">
        <v>5771</v>
      </c>
      <c r="U1484" s="999"/>
      <c r="V1484" s="999"/>
      <c r="W1484" s="626"/>
      <c r="X1484" s="1041" t="s">
        <v>5772</v>
      </c>
      <c r="Y1484" s="1001" t="s">
        <v>3734</v>
      </c>
      <c r="Z1484" s="1076">
        <v>7.2023</v>
      </c>
      <c r="AA1484" s="1001">
        <f t="shared" si="477"/>
        <v>7259.9184</v>
      </c>
      <c r="AB1484" s="563"/>
      <c r="AC1484" s="1077"/>
      <c r="AD1484" s="939" t="s">
        <v>480</v>
      </c>
      <c r="AE1484" s="939" t="s">
        <v>82</v>
      </c>
      <c r="AF1484" s="939"/>
      <c r="AG1484" s="939"/>
      <c r="AH1484" s="939"/>
      <c r="AI1484" s="626"/>
      <c r="AJ1484" s="1031">
        <f t="shared" si="462"/>
        <v>-1008</v>
      </c>
      <c r="AK1484" s="939"/>
      <c r="AL1484" s="939"/>
      <c r="AM1484" s="563"/>
      <c r="AN1484" s="563">
        <f t="shared" si="459"/>
        <v>1008</v>
      </c>
      <c r="AO1484" s="563"/>
      <c r="AP1484" s="563"/>
      <c r="AQ1484" s="563"/>
      <c r="AR1484" s="563"/>
      <c r="AS1484" s="563">
        <f>I1484</f>
        <v>1008</v>
      </c>
      <c r="AT1484" s="563"/>
      <c r="AU1484" s="563">
        <f t="shared" si="473"/>
        <v>1008</v>
      </c>
      <c r="AV1484" s="563"/>
      <c r="AW1484" s="563">
        <f t="shared" si="475"/>
        <v>1008</v>
      </c>
      <c r="AX1484" s="1004"/>
      <c r="AY1484" s="563"/>
      <c r="AZ1484" s="563"/>
      <c r="BA1484" s="563"/>
      <c r="BB1484" s="563"/>
      <c r="BC1484" s="563"/>
      <c r="BD1484" s="563"/>
      <c r="BE1484" s="563"/>
      <c r="BF1484" s="563"/>
      <c r="BG1484" s="563"/>
      <c r="BH1484" s="563"/>
      <c r="BI1484" s="563"/>
      <c r="BJ1484" s="563"/>
      <c r="BK1484" s="563"/>
      <c r="BL1484" s="563"/>
      <c r="BM1484" s="563"/>
      <c r="BN1484" s="563">
        <f>I1484</f>
        <v>1008</v>
      </c>
      <c r="BO1484" s="563"/>
      <c r="BP1484" s="563"/>
      <c r="BQ1484" s="563"/>
      <c r="BR1484" s="563"/>
      <c r="BS1484" s="563"/>
      <c r="BT1484" s="563"/>
      <c r="BU1484" s="563"/>
      <c r="BV1484" s="563"/>
      <c r="BW1484" s="563"/>
      <c r="BX1484" s="563"/>
      <c r="BY1484" s="563"/>
      <c r="BZ1484" s="563"/>
      <c r="CA1484" s="563"/>
      <c r="CB1484" s="563"/>
      <c r="CC1484" s="563"/>
      <c r="CD1484" s="563"/>
      <c r="CE1484" s="563"/>
      <c r="CF1484" s="563"/>
      <c r="CG1484" s="563"/>
      <c r="CH1484" s="1015"/>
      <c r="CI1484" s="1015"/>
      <c r="CJ1484" s="1015"/>
      <c r="CK1484" s="1015"/>
      <c r="CL1484" s="1015"/>
      <c r="CM1484" s="563"/>
      <c r="CN1484" s="563"/>
      <c r="CO1484" s="563"/>
      <c r="CP1484" s="1015"/>
      <c r="CQ1484" s="1015"/>
      <c r="CR1484" s="1015"/>
      <c r="CS1484" s="1015"/>
      <c r="CT1484" s="1015"/>
      <c r="CU1484" s="1015"/>
    </row>
    <row r="1485" s="1271" customFormat="1" ht="31" customHeight="1" spans="1:99">
      <c r="A1485" s="1022">
        <v>46230</v>
      </c>
      <c r="B1485" s="626" t="s">
        <v>143</v>
      </c>
      <c r="C1485" s="939" t="s">
        <v>98</v>
      </c>
      <c r="D1485" s="563">
        <v>4500217892</v>
      </c>
      <c r="E1485" s="1424" t="s">
        <v>5773</v>
      </c>
      <c r="F1485" s="563" t="s">
        <v>5774</v>
      </c>
      <c r="G1485" s="939" t="s">
        <v>101</v>
      </c>
      <c r="H1485" s="939" t="s">
        <v>102</v>
      </c>
      <c r="I1485" s="1023">
        <v>7728</v>
      </c>
      <c r="J1485" s="939">
        <v>0</v>
      </c>
      <c r="K1485" s="939">
        <v>4</v>
      </c>
      <c r="L1485" s="1064">
        <f t="shared" si="458"/>
        <v>1932</v>
      </c>
      <c r="M1485" s="1027">
        <v>46274</v>
      </c>
      <c r="N1485" s="1027">
        <v>46270</v>
      </c>
      <c r="O1485" s="1031"/>
      <c r="P1485" s="939"/>
      <c r="Q1485" s="999"/>
      <c r="R1485" s="999" t="s">
        <v>4563</v>
      </c>
      <c r="S1485" s="999" t="s">
        <v>70</v>
      </c>
      <c r="T1485" s="999" t="s">
        <v>5775</v>
      </c>
      <c r="U1485" s="999"/>
      <c r="V1485" s="999"/>
      <c r="W1485" s="626"/>
      <c r="X1485" s="626" t="s">
        <v>5776</v>
      </c>
      <c r="Y1485" s="1001" t="s">
        <v>106</v>
      </c>
      <c r="Z1485" s="1076">
        <v>2.6643</v>
      </c>
      <c r="AA1485" s="1001">
        <f t="shared" si="477"/>
        <v>20589.7104</v>
      </c>
      <c r="AB1485" s="563"/>
      <c r="AC1485" s="1077"/>
      <c r="AD1485" s="939" t="s">
        <v>101</v>
      </c>
      <c r="AE1485" s="939" t="s">
        <v>82</v>
      </c>
      <c r="AF1485" s="939"/>
      <c r="AG1485" s="939"/>
      <c r="AH1485" s="939"/>
      <c r="AI1485" s="626"/>
      <c r="AJ1485" s="1031">
        <f t="shared" si="462"/>
        <v>-7728</v>
      </c>
      <c r="AK1485" s="939"/>
      <c r="AL1485" s="939" t="s">
        <v>2368</v>
      </c>
      <c r="AM1485" s="563"/>
      <c r="AN1485" s="563">
        <f t="shared" si="459"/>
        <v>7728</v>
      </c>
      <c r="AO1485" s="563"/>
      <c r="AP1485" s="563"/>
      <c r="AQ1485" s="563"/>
      <c r="AR1485" s="563">
        <f>I1485</f>
        <v>7728</v>
      </c>
      <c r="AS1485" s="563"/>
      <c r="AT1485" s="563"/>
      <c r="AU1485" s="563">
        <f t="shared" si="473"/>
        <v>7728</v>
      </c>
      <c r="AV1485" s="563"/>
      <c r="AW1485" s="563">
        <f t="shared" si="475"/>
        <v>7728</v>
      </c>
      <c r="AX1485" s="1004"/>
      <c r="AY1485" s="563"/>
      <c r="AZ1485" s="563"/>
      <c r="BA1485" s="563"/>
      <c r="BB1485" s="563"/>
      <c r="BC1485" s="563"/>
      <c r="BD1485" s="563"/>
      <c r="BE1485" s="563"/>
      <c r="BF1485" s="563"/>
      <c r="BG1485" s="563"/>
      <c r="BH1485" s="563">
        <f>I1485/4</f>
        <v>1932</v>
      </c>
      <c r="BI1485" s="563"/>
      <c r="BJ1485" s="563"/>
      <c r="BK1485" s="563"/>
      <c r="BL1485" s="563"/>
      <c r="BM1485" s="563"/>
      <c r="BN1485" s="563"/>
      <c r="BO1485" s="563"/>
      <c r="BP1485" s="1147"/>
      <c r="BQ1485" s="1147"/>
      <c r="BR1485" s="1147"/>
      <c r="BS1485" s="1147"/>
      <c r="BT1485" s="1147"/>
      <c r="BU1485" s="1147"/>
      <c r="BV1485" s="1147"/>
      <c r="BW1485" s="1147"/>
      <c r="BX1485" s="1147"/>
      <c r="BY1485" s="1147"/>
      <c r="BZ1485" s="1147"/>
      <c r="CA1485" s="1147"/>
      <c r="CB1485" s="1147"/>
      <c r="CC1485" s="1147"/>
      <c r="CD1485" s="1147"/>
      <c r="CE1485" s="1147"/>
      <c r="CF1485" s="1147"/>
      <c r="CG1485" s="1147"/>
      <c r="CH1485" s="1068"/>
      <c r="CI1485" s="1068"/>
      <c r="CJ1485" s="1068"/>
      <c r="CK1485" s="1068"/>
      <c r="CL1485" s="1068"/>
      <c r="CM1485" s="1147"/>
      <c r="CN1485" s="1147"/>
      <c r="CO1485" s="1147"/>
      <c r="CP1485" s="1068"/>
      <c r="CQ1485" s="1068"/>
      <c r="CR1485" s="1068"/>
      <c r="CS1485" s="1068"/>
      <c r="CT1485" s="1068"/>
      <c r="CU1485" s="1068"/>
    </row>
    <row r="1486" s="1271" customFormat="1" ht="31" customHeight="1" spans="1:99">
      <c r="A1486" s="1022">
        <v>46230</v>
      </c>
      <c r="B1486" s="626" t="s">
        <v>143</v>
      </c>
      <c r="C1486" s="939" t="s">
        <v>98</v>
      </c>
      <c r="D1486" s="563">
        <v>4500217892</v>
      </c>
      <c r="E1486" s="1424" t="s">
        <v>5777</v>
      </c>
      <c r="F1486" s="563" t="s">
        <v>5778</v>
      </c>
      <c r="G1486" s="939" t="s">
        <v>101</v>
      </c>
      <c r="H1486" s="939" t="s">
        <v>102</v>
      </c>
      <c r="I1486" s="1023">
        <v>3536</v>
      </c>
      <c r="J1486" s="939">
        <v>0</v>
      </c>
      <c r="K1486" s="939">
        <v>4</v>
      </c>
      <c r="L1486" s="1064">
        <f t="shared" si="458"/>
        <v>884</v>
      </c>
      <c r="M1486" s="1027">
        <v>46275</v>
      </c>
      <c r="N1486" s="1027">
        <v>46272</v>
      </c>
      <c r="O1486" s="1031"/>
      <c r="P1486" s="939"/>
      <c r="Q1486" s="999"/>
      <c r="R1486" s="999" t="s">
        <v>4563</v>
      </c>
      <c r="S1486" s="999" t="s">
        <v>70</v>
      </c>
      <c r="T1486" s="999" t="s">
        <v>5775</v>
      </c>
      <c r="U1486" s="999"/>
      <c r="V1486" s="999"/>
      <c r="W1486" s="626"/>
      <c r="X1486" s="626" t="s">
        <v>5776</v>
      </c>
      <c r="Y1486" s="1001" t="s">
        <v>106</v>
      </c>
      <c r="Z1486" s="1076">
        <v>2.6761</v>
      </c>
      <c r="AA1486" s="1001">
        <f t="shared" si="477"/>
        <v>9462.6896</v>
      </c>
      <c r="AB1486" s="563"/>
      <c r="AC1486" s="1077"/>
      <c r="AD1486" s="939" t="s">
        <v>101</v>
      </c>
      <c r="AE1486" s="939" t="s">
        <v>82</v>
      </c>
      <c r="AF1486" s="939"/>
      <c r="AG1486" s="939"/>
      <c r="AH1486" s="939"/>
      <c r="AI1486" s="626"/>
      <c r="AJ1486" s="1031">
        <f t="shared" si="462"/>
        <v>-3536</v>
      </c>
      <c r="AK1486" s="939"/>
      <c r="AL1486" s="939" t="s">
        <v>2368</v>
      </c>
      <c r="AM1486" s="563"/>
      <c r="AN1486" s="563">
        <f t="shared" si="459"/>
        <v>3536</v>
      </c>
      <c r="AO1486" s="563"/>
      <c r="AP1486" s="563"/>
      <c r="AQ1486" s="563"/>
      <c r="AR1486" s="563">
        <f>I1486</f>
        <v>3536</v>
      </c>
      <c r="AS1486" s="563"/>
      <c r="AT1486" s="563"/>
      <c r="AU1486" s="563">
        <f t="shared" si="473"/>
        <v>3536</v>
      </c>
      <c r="AV1486" s="563"/>
      <c r="AW1486" s="563">
        <f t="shared" si="475"/>
        <v>3536</v>
      </c>
      <c r="AX1486" s="1004"/>
      <c r="AY1486" s="563"/>
      <c r="AZ1486" s="563"/>
      <c r="BA1486" s="563"/>
      <c r="BB1486" s="563"/>
      <c r="BC1486" s="563"/>
      <c r="BD1486" s="563"/>
      <c r="BE1486" s="563"/>
      <c r="BF1486" s="563"/>
      <c r="BG1486" s="563"/>
      <c r="BH1486" s="563">
        <f>I1486/4</f>
        <v>884</v>
      </c>
      <c r="BI1486" s="563"/>
      <c r="BJ1486" s="563"/>
      <c r="BK1486" s="563"/>
      <c r="BL1486" s="563"/>
      <c r="BM1486" s="563"/>
      <c r="BN1486" s="563"/>
      <c r="BO1486" s="563"/>
      <c r="BP1486" s="1147"/>
      <c r="BQ1486" s="1147"/>
      <c r="BR1486" s="1147"/>
      <c r="BS1486" s="1147"/>
      <c r="BT1486" s="1147"/>
      <c r="BU1486" s="1147"/>
      <c r="BV1486" s="1147"/>
      <c r="BW1486" s="1147"/>
      <c r="BX1486" s="1147"/>
      <c r="BY1486" s="1147"/>
      <c r="BZ1486" s="1147"/>
      <c r="CA1486" s="1147"/>
      <c r="CB1486" s="1147"/>
      <c r="CC1486" s="1147"/>
      <c r="CD1486" s="1147"/>
      <c r="CE1486" s="1147"/>
      <c r="CF1486" s="1147"/>
      <c r="CG1486" s="1147"/>
      <c r="CH1486" s="1068"/>
      <c r="CI1486" s="1068"/>
      <c r="CJ1486" s="1068"/>
      <c r="CK1486" s="1068"/>
      <c r="CL1486" s="1068"/>
      <c r="CM1486" s="1147"/>
      <c r="CN1486" s="1147"/>
      <c r="CO1486" s="1147"/>
      <c r="CP1486" s="1068"/>
      <c r="CQ1486" s="1068"/>
      <c r="CR1486" s="1068"/>
      <c r="CS1486" s="1068"/>
      <c r="CT1486" s="1068"/>
      <c r="CU1486" s="1068"/>
    </row>
    <row r="1487" s="1271" customFormat="1" ht="31" customHeight="1" spans="1:99">
      <c r="A1487" s="1022">
        <v>46230</v>
      </c>
      <c r="B1487" s="626" t="s">
        <v>143</v>
      </c>
      <c r="C1487" s="939" t="s">
        <v>98</v>
      </c>
      <c r="D1487" s="563">
        <v>4500217892</v>
      </c>
      <c r="E1487" s="1424" t="s">
        <v>5779</v>
      </c>
      <c r="F1487" s="563" t="s">
        <v>5780</v>
      </c>
      <c r="G1487" s="939" t="s">
        <v>101</v>
      </c>
      <c r="H1487" s="939" t="s">
        <v>102</v>
      </c>
      <c r="I1487" s="1023">
        <v>5500</v>
      </c>
      <c r="J1487" s="939">
        <v>0</v>
      </c>
      <c r="K1487" s="939">
        <v>4</v>
      </c>
      <c r="L1487" s="1064">
        <f t="shared" si="458"/>
        <v>1375</v>
      </c>
      <c r="M1487" s="1027">
        <v>46275</v>
      </c>
      <c r="N1487" s="1027">
        <v>46272</v>
      </c>
      <c r="O1487" s="1031"/>
      <c r="P1487" s="939"/>
      <c r="Q1487" s="999"/>
      <c r="R1487" s="999" t="s">
        <v>4563</v>
      </c>
      <c r="S1487" s="999" t="s">
        <v>70</v>
      </c>
      <c r="T1487" s="999" t="s">
        <v>5775</v>
      </c>
      <c r="U1487" s="999"/>
      <c r="V1487" s="999"/>
      <c r="W1487" s="626"/>
      <c r="X1487" s="626" t="s">
        <v>5776</v>
      </c>
      <c r="Y1487" s="1001" t="s">
        <v>106</v>
      </c>
      <c r="Z1487" s="1076">
        <v>2.6643</v>
      </c>
      <c r="AA1487" s="1001">
        <f t="shared" si="477"/>
        <v>14653.65</v>
      </c>
      <c r="AB1487" s="563"/>
      <c r="AC1487" s="1077"/>
      <c r="AD1487" s="939" t="s">
        <v>101</v>
      </c>
      <c r="AE1487" s="939" t="s">
        <v>82</v>
      </c>
      <c r="AF1487" s="939"/>
      <c r="AG1487" s="939"/>
      <c r="AH1487" s="939"/>
      <c r="AI1487" s="626"/>
      <c r="AJ1487" s="1031">
        <f t="shared" si="462"/>
        <v>-5500</v>
      </c>
      <c r="AK1487" s="939"/>
      <c r="AL1487" s="939" t="s">
        <v>2368</v>
      </c>
      <c r="AM1487" s="563"/>
      <c r="AN1487" s="563">
        <f t="shared" si="459"/>
        <v>5500</v>
      </c>
      <c r="AO1487" s="563"/>
      <c r="AP1487" s="563"/>
      <c r="AQ1487" s="563"/>
      <c r="AR1487" s="563">
        <f>I1487</f>
        <v>5500</v>
      </c>
      <c r="AS1487" s="563"/>
      <c r="AT1487" s="563"/>
      <c r="AU1487" s="563">
        <f t="shared" si="473"/>
        <v>5500</v>
      </c>
      <c r="AV1487" s="563"/>
      <c r="AW1487" s="563">
        <f t="shared" si="475"/>
        <v>5500</v>
      </c>
      <c r="AX1487" s="1004"/>
      <c r="AY1487" s="563"/>
      <c r="AZ1487" s="563"/>
      <c r="BA1487" s="563"/>
      <c r="BB1487" s="563"/>
      <c r="BC1487" s="563"/>
      <c r="BD1487" s="563"/>
      <c r="BE1487" s="563"/>
      <c r="BF1487" s="563"/>
      <c r="BG1487" s="563"/>
      <c r="BH1487" s="563">
        <f>I1487/4</f>
        <v>1375</v>
      </c>
      <c r="BI1487" s="563"/>
      <c r="BJ1487" s="563"/>
      <c r="BK1487" s="563"/>
      <c r="BL1487" s="563"/>
      <c r="BM1487" s="563"/>
      <c r="BN1487" s="563"/>
      <c r="BO1487" s="563"/>
      <c r="BP1487" s="1147"/>
      <c r="BQ1487" s="1147"/>
      <c r="BR1487" s="1147"/>
      <c r="BS1487" s="1147"/>
      <c r="BT1487" s="1147"/>
      <c r="BU1487" s="1147"/>
      <c r="BV1487" s="1147"/>
      <c r="BW1487" s="1147"/>
      <c r="BX1487" s="1147"/>
      <c r="BY1487" s="1147"/>
      <c r="BZ1487" s="1147"/>
      <c r="CA1487" s="1147"/>
      <c r="CB1487" s="1147"/>
      <c r="CC1487" s="1147"/>
      <c r="CD1487" s="1147"/>
      <c r="CE1487" s="1147"/>
      <c r="CF1487" s="1147"/>
      <c r="CG1487" s="1147"/>
      <c r="CH1487" s="1068"/>
      <c r="CI1487" s="1068"/>
      <c r="CJ1487" s="1068"/>
      <c r="CK1487" s="1068"/>
      <c r="CL1487" s="1068"/>
      <c r="CM1487" s="1147"/>
      <c r="CN1487" s="1147"/>
      <c r="CO1487" s="1147"/>
      <c r="CP1487" s="1068"/>
      <c r="CQ1487" s="1068"/>
      <c r="CR1487" s="1068"/>
      <c r="CS1487" s="1068"/>
      <c r="CT1487" s="1068"/>
      <c r="CU1487" s="1068"/>
    </row>
    <row r="1488" s="1273" customFormat="1" ht="31" customHeight="1" spans="1:99">
      <c r="A1488" s="1022">
        <v>46231</v>
      </c>
      <c r="B1488" s="626" t="s">
        <v>1728</v>
      </c>
      <c r="C1488" s="939" t="s">
        <v>154</v>
      </c>
      <c r="D1488" s="1063">
        <v>4500217997</v>
      </c>
      <c r="E1488" s="1031">
        <v>4400585346</v>
      </c>
      <c r="F1488" s="563" t="s">
        <v>5781</v>
      </c>
      <c r="G1488" s="939" t="s">
        <v>164</v>
      </c>
      <c r="H1488" s="939" t="s">
        <v>112</v>
      </c>
      <c r="I1488" s="1023">
        <v>5504</v>
      </c>
      <c r="J1488" s="939">
        <v>0</v>
      </c>
      <c r="K1488" s="939">
        <v>8</v>
      </c>
      <c r="L1488" s="1064">
        <f t="shared" si="458"/>
        <v>688</v>
      </c>
      <c r="M1488" s="1027">
        <v>46276</v>
      </c>
      <c r="N1488" s="1027">
        <v>46272</v>
      </c>
      <c r="O1488" s="1031"/>
      <c r="P1488" s="939"/>
      <c r="Q1488" s="999"/>
      <c r="R1488" s="999">
        <v>46231</v>
      </c>
      <c r="S1488" s="999" t="s">
        <v>70</v>
      </c>
      <c r="T1488" s="1039" t="s">
        <v>5782</v>
      </c>
      <c r="U1488" s="999"/>
      <c r="V1488" s="243" t="s">
        <v>5783</v>
      </c>
      <c r="W1488" s="626"/>
      <c r="X1488" s="626" t="s">
        <v>5784</v>
      </c>
      <c r="Y1488" s="1001" t="s">
        <v>5054</v>
      </c>
      <c r="Z1488" s="1076">
        <v>4.3495</v>
      </c>
      <c r="AA1488" s="1001">
        <f t="shared" si="477"/>
        <v>23939.648</v>
      </c>
      <c r="AB1488" s="563"/>
      <c r="AC1488" s="1077"/>
      <c r="AD1488" s="939" t="s">
        <v>164</v>
      </c>
      <c r="AE1488" s="939" t="s">
        <v>82</v>
      </c>
      <c r="AF1488" s="939"/>
      <c r="AG1488" s="939"/>
      <c r="AH1488" s="939"/>
      <c r="AI1488" s="626"/>
      <c r="AJ1488" s="610">
        <f t="shared" si="462"/>
        <v>-5504</v>
      </c>
      <c r="AK1488" s="939"/>
      <c r="AL1488" s="939" t="s">
        <v>2368</v>
      </c>
      <c r="AM1488" s="563"/>
      <c r="AN1488" s="563">
        <f t="shared" si="459"/>
        <v>5504</v>
      </c>
      <c r="AO1488" s="563"/>
      <c r="AP1488" s="563"/>
      <c r="AQ1488" s="563"/>
      <c r="AR1488" s="563"/>
      <c r="AS1488" s="563"/>
      <c r="AT1488" s="563"/>
      <c r="AU1488" s="563"/>
      <c r="AV1488" s="563"/>
      <c r="AW1488" s="554">
        <f t="shared" si="475"/>
        <v>5504</v>
      </c>
      <c r="AX1488" s="1004"/>
      <c r="AY1488" s="563"/>
      <c r="AZ1488" s="563"/>
      <c r="BA1488" s="563"/>
      <c r="BB1488" s="563"/>
      <c r="BC1488" s="563"/>
      <c r="BD1488" s="554">
        <f>I1488</f>
        <v>5504</v>
      </c>
      <c r="BE1488" s="554">
        <f>I1488</f>
        <v>5504</v>
      </c>
      <c r="BF1488" s="563"/>
      <c r="BG1488" s="563"/>
      <c r="BH1488" s="563"/>
      <c r="BI1488" s="210">
        <f>I1488/4</f>
        <v>1376</v>
      </c>
      <c r="BJ1488" s="563"/>
      <c r="BK1488" s="563"/>
      <c r="BL1488" s="563"/>
      <c r="BM1488" s="563"/>
      <c r="BN1488" s="563"/>
      <c r="BO1488" s="563"/>
      <c r="BP1488" s="1147"/>
      <c r="BQ1488" s="1147"/>
      <c r="BR1488" s="1147"/>
      <c r="BS1488" s="1147"/>
      <c r="BT1488" s="1147"/>
      <c r="BU1488" s="1147"/>
      <c r="BV1488" s="1147"/>
      <c r="BW1488" s="1147"/>
      <c r="BX1488" s="1147"/>
      <c r="BY1488" s="1147"/>
      <c r="BZ1488" s="1147"/>
      <c r="CA1488" s="1147"/>
      <c r="CB1488" s="1147"/>
      <c r="CC1488" s="1147"/>
      <c r="CD1488" s="1147"/>
      <c r="CE1488" s="1147"/>
      <c r="CF1488" s="1147"/>
      <c r="CG1488" s="1147"/>
      <c r="CH1488" s="1068"/>
      <c r="CI1488" s="1068"/>
      <c r="CJ1488" s="1068"/>
      <c r="CK1488" s="1068"/>
      <c r="CL1488" s="1068"/>
      <c r="CM1488" s="1147"/>
      <c r="CN1488" s="1147"/>
      <c r="CO1488" s="1147"/>
      <c r="CP1488" s="1068"/>
      <c r="CQ1488" s="1068"/>
      <c r="CR1488" s="1068"/>
      <c r="CS1488" s="1068"/>
      <c r="CT1488" s="1068"/>
      <c r="CU1488" s="1068"/>
    </row>
    <row r="1489" s="1270" customFormat="1" ht="31" customHeight="1" spans="1:99 16239:16384">
      <c r="A1489" s="1022">
        <v>46237</v>
      </c>
      <c r="B1489" s="626" t="s">
        <v>127</v>
      </c>
      <c r="C1489" s="939" t="s">
        <v>128</v>
      </c>
      <c r="D1489" s="563">
        <v>4500218518</v>
      </c>
      <c r="E1489" s="939">
        <v>86946</v>
      </c>
      <c r="F1489" s="563" t="s">
        <v>5785</v>
      </c>
      <c r="G1489" s="939" t="s">
        <v>130</v>
      </c>
      <c r="H1489" s="939" t="s">
        <v>131</v>
      </c>
      <c r="I1489" s="1023">
        <v>960</v>
      </c>
      <c r="J1489" s="939">
        <v>0</v>
      </c>
      <c r="K1489" s="939">
        <v>6</v>
      </c>
      <c r="L1489" s="1064">
        <v>160</v>
      </c>
      <c r="M1489" s="1027">
        <v>46276</v>
      </c>
      <c r="N1489" s="1027">
        <v>46272</v>
      </c>
      <c r="O1489" s="1031"/>
      <c r="P1489" s="939"/>
      <c r="Q1489" s="999"/>
      <c r="R1489" s="999">
        <v>46238</v>
      </c>
      <c r="S1489" s="999" t="s">
        <v>70</v>
      </c>
      <c r="T1489" s="999" t="s">
        <v>5786</v>
      </c>
      <c r="U1489" s="999"/>
      <c r="V1489" s="999"/>
      <c r="W1489" s="626"/>
      <c r="X1489" s="626" t="s">
        <v>5787</v>
      </c>
      <c r="Y1489" s="1001" t="s">
        <v>3206</v>
      </c>
      <c r="Z1489" s="1076">
        <v>4.1743</v>
      </c>
      <c r="AA1489" s="1001">
        <f t="shared" si="477"/>
        <v>4007.328</v>
      </c>
      <c r="AB1489" s="563"/>
      <c r="AC1489" s="1077"/>
      <c r="AD1489" s="939" t="s">
        <v>130</v>
      </c>
      <c r="AE1489" s="939" t="s">
        <v>82</v>
      </c>
      <c r="AF1489" s="939"/>
      <c r="AG1489" s="939"/>
      <c r="AH1489" s="939"/>
      <c r="AI1489" s="626"/>
      <c r="AJ1489" s="1031">
        <f t="shared" si="462"/>
        <v>-960</v>
      </c>
      <c r="AK1489" s="939"/>
      <c r="AL1489" s="939" t="s">
        <v>2368</v>
      </c>
      <c r="AM1489" s="563"/>
      <c r="AN1489" s="563">
        <f t="shared" si="459"/>
        <v>960</v>
      </c>
      <c r="AO1489" s="563"/>
      <c r="AP1489" s="563"/>
      <c r="AQ1489" s="563"/>
      <c r="AR1489" s="563">
        <f>I1489</f>
        <v>960</v>
      </c>
      <c r="AS1489" s="563"/>
      <c r="AT1489" s="563"/>
      <c r="AU1489" s="563">
        <f t="shared" ref="AU1489:AU1502" si="478">I1489</f>
        <v>960</v>
      </c>
      <c r="AV1489" s="563"/>
      <c r="AW1489" s="563">
        <f t="shared" si="475"/>
        <v>960</v>
      </c>
      <c r="AX1489" s="1004"/>
      <c r="AY1489" s="563"/>
      <c r="AZ1489" s="563"/>
      <c r="BA1489" s="563"/>
      <c r="BB1489" s="563"/>
      <c r="BC1489" s="563"/>
      <c r="BD1489" s="563"/>
      <c r="BE1489" s="563"/>
      <c r="BF1489" s="563"/>
      <c r="BG1489" s="563"/>
      <c r="BH1489" s="563"/>
      <c r="BI1489" s="563"/>
      <c r="BJ1489" s="563"/>
      <c r="BK1489" s="563"/>
      <c r="BL1489" s="563"/>
      <c r="BM1489" s="563"/>
      <c r="BN1489" s="563"/>
      <c r="BO1489" s="563"/>
      <c r="BP1489" s="563"/>
      <c r="BQ1489" s="563"/>
      <c r="BR1489" s="563"/>
      <c r="BS1489" s="563"/>
      <c r="BT1489" s="563"/>
      <c r="BU1489" s="563"/>
      <c r="BV1489" s="563"/>
      <c r="BW1489" s="563"/>
      <c r="BX1489" s="563"/>
      <c r="BY1489" s="563"/>
      <c r="BZ1489" s="563"/>
      <c r="CA1489" s="563"/>
      <c r="CB1489" s="563"/>
      <c r="CC1489" s="563"/>
      <c r="CD1489" s="563"/>
      <c r="CE1489" s="563"/>
      <c r="CF1489" s="563"/>
      <c r="CG1489" s="563"/>
      <c r="CH1489" s="1015"/>
      <c r="CI1489" s="1015"/>
      <c r="CJ1489" s="1015"/>
      <c r="CK1489" s="1015"/>
      <c r="CL1489" s="1015"/>
      <c r="CM1489" s="563"/>
      <c r="CN1489" s="563"/>
      <c r="CO1489" s="563"/>
      <c r="CP1489" s="1015"/>
      <c r="CQ1489" s="1015"/>
      <c r="CR1489" s="1015"/>
      <c r="CS1489" s="1015"/>
      <c r="CT1489" s="1015"/>
      <c r="CU1489" s="1015"/>
      <c r="WZO1489" s="1394"/>
      <c r="WZP1489" s="1394"/>
      <c r="WZQ1489" s="1394"/>
      <c r="WZR1489" s="1394"/>
      <c r="WZS1489" s="1394"/>
      <c r="WZT1489" s="1394"/>
      <c r="WZU1489" s="1394"/>
      <c r="WZV1489" s="1394"/>
      <c r="WZW1489" s="1394"/>
      <c r="WZX1489" s="1394"/>
      <c r="WZY1489" s="1394"/>
      <c r="WZZ1489" s="1394"/>
      <c r="XAA1489" s="1394"/>
      <c r="XAB1489" s="1394"/>
      <c r="XAC1489" s="1394"/>
      <c r="XAD1489" s="1394"/>
      <c r="XAE1489" s="1394"/>
      <c r="XAF1489" s="1394"/>
      <c r="XAG1489" s="1394"/>
      <c r="XAH1489" s="1394"/>
      <c r="XAI1489" s="1394"/>
      <c r="XAJ1489" s="1394"/>
      <c r="XAK1489" s="1394"/>
      <c r="XAL1489" s="1394"/>
      <c r="XAM1489" s="1394"/>
      <c r="XAN1489" s="1394"/>
      <c r="XAO1489" s="1394"/>
      <c r="XAP1489" s="1394"/>
      <c r="XAQ1489" s="1394"/>
      <c r="XAR1489" s="1394"/>
      <c r="XAS1489" s="1394"/>
      <c r="XAT1489" s="1394"/>
      <c r="XAU1489" s="1394"/>
      <c r="XAV1489" s="1394"/>
      <c r="XAW1489" s="1394"/>
      <c r="XAX1489" s="1394"/>
      <c r="XAY1489" s="1394"/>
      <c r="XAZ1489" s="1394"/>
      <c r="XBA1489" s="1394"/>
      <c r="XBB1489" s="1394"/>
      <c r="XBC1489" s="1394"/>
      <c r="XBD1489" s="1394"/>
      <c r="XBE1489" s="1394"/>
      <c r="XBF1489" s="1394"/>
      <c r="XBG1489" s="1394"/>
      <c r="XBH1489" s="1394"/>
      <c r="XBI1489" s="1394"/>
      <c r="XBJ1489" s="1394"/>
      <c r="XBK1489" s="1394"/>
      <c r="XBL1489" s="1394"/>
      <c r="XBM1489" s="1394"/>
      <c r="XBN1489" s="1394"/>
      <c r="XBO1489" s="1394"/>
      <c r="XBP1489" s="1394"/>
      <c r="XBQ1489" s="1394"/>
      <c r="XBR1489" s="1394"/>
      <c r="XBS1489" s="1394"/>
      <c r="XBT1489" s="1394"/>
      <c r="XBU1489" s="1394"/>
      <c r="XBV1489" s="1394"/>
      <c r="XBW1489" s="1394"/>
      <c r="XBX1489" s="1394"/>
      <c r="XBY1489" s="1394"/>
      <c r="XBZ1489" s="1394"/>
      <c r="XCA1489" s="1394"/>
      <c r="XCB1489" s="1394"/>
      <c r="XCC1489" s="1394"/>
      <c r="XCD1489" s="1394"/>
      <c r="XCE1489" s="1394"/>
      <c r="XCF1489" s="1394"/>
      <c r="XCG1489" s="1394"/>
      <c r="XCH1489" s="1394"/>
      <c r="XCI1489" s="1394"/>
      <c r="XCJ1489" s="1394"/>
      <c r="XCK1489" s="1394"/>
      <c r="XCL1489" s="1394"/>
      <c r="XCM1489" s="1394"/>
      <c r="XCN1489" s="1394"/>
      <c r="XCO1489" s="1394"/>
      <c r="XCP1489" s="1394"/>
      <c r="XCQ1489" s="1394"/>
      <c r="XCR1489" s="1394"/>
      <c r="XCS1489" s="1394"/>
      <c r="XCT1489" s="1394"/>
      <c r="XCU1489" s="1394"/>
      <c r="XCV1489" s="1394"/>
      <c r="XCW1489" s="1394"/>
      <c r="XCX1489" s="1394"/>
      <c r="XCY1489" s="1394"/>
      <c r="XCZ1489" s="1394"/>
      <c r="XDA1489" s="1394"/>
      <c r="XDB1489" s="1394"/>
      <c r="XDC1489" s="1394"/>
      <c r="XDD1489" s="1394"/>
      <c r="XDE1489" s="1394"/>
      <c r="XDF1489" s="1394"/>
      <c r="XDG1489" s="1394"/>
      <c r="XDH1489" s="1394"/>
      <c r="XDI1489" s="1394"/>
      <c r="XDJ1489" s="1394"/>
      <c r="XDK1489" s="1394"/>
      <c r="XDL1489" s="1394"/>
      <c r="XDM1489" s="1394"/>
      <c r="XDN1489" s="1394"/>
      <c r="XDO1489" s="1394"/>
      <c r="XDP1489" s="1394"/>
      <c r="XDQ1489" s="1394"/>
      <c r="XDR1489" s="1394"/>
      <c r="XDS1489" s="1394"/>
      <c r="XDT1489" s="1394"/>
      <c r="XDU1489" s="1394"/>
      <c r="XDV1489" s="1394"/>
      <c r="XDW1489" s="1394"/>
      <c r="XDX1489" s="1394"/>
      <c r="XDY1489" s="1394"/>
      <c r="XDZ1489" s="1394"/>
      <c r="XEA1489" s="1394"/>
      <c r="XEB1489" s="1394"/>
      <c r="XEC1489" s="1394"/>
      <c r="XED1489" s="1394"/>
      <c r="XEE1489" s="1394"/>
      <c r="XEF1489" s="1394"/>
      <c r="XEG1489" s="1394"/>
      <c r="XEH1489" s="1394"/>
      <c r="XEI1489" s="1394"/>
      <c r="XEJ1489" s="1394"/>
      <c r="XEK1489" s="1394"/>
      <c r="XEL1489" s="1394"/>
      <c r="XEM1489" s="1394"/>
      <c r="XEN1489" s="1394"/>
      <c r="XEO1489" s="1394"/>
      <c r="XEP1489" s="1394"/>
      <c r="XEQ1489" s="1394"/>
      <c r="XER1489" s="1394"/>
      <c r="XES1489" s="1394"/>
      <c r="XET1489" s="1394"/>
      <c r="XEU1489" s="1394"/>
      <c r="XEV1489" s="1394"/>
      <c r="XEW1489" s="1394"/>
      <c r="XEX1489" s="1394"/>
      <c r="XEY1489" s="1394"/>
      <c r="XEZ1489" s="1394"/>
      <c r="XFA1489" s="1394"/>
      <c r="XFB1489" s="1394"/>
      <c r="XFC1489" s="1394"/>
      <c r="XFD1489" s="1394"/>
    </row>
    <row r="1490" s="1271" customFormat="1" ht="31" customHeight="1" spans="1:99 16239:16384">
      <c r="A1490" s="1022">
        <v>46230</v>
      </c>
      <c r="B1490" s="626" t="s">
        <v>143</v>
      </c>
      <c r="C1490" s="939" t="s">
        <v>98</v>
      </c>
      <c r="D1490" s="563">
        <v>4500217892</v>
      </c>
      <c r="E1490" s="1424" t="s">
        <v>5788</v>
      </c>
      <c r="F1490" s="563" t="s">
        <v>5789</v>
      </c>
      <c r="G1490" s="939" t="s">
        <v>101</v>
      </c>
      <c r="H1490" s="939" t="s">
        <v>102</v>
      </c>
      <c r="I1490" s="1023">
        <v>7040</v>
      </c>
      <c r="J1490" s="939">
        <v>0</v>
      </c>
      <c r="K1490" s="939">
        <v>4</v>
      </c>
      <c r="L1490" s="1064">
        <f t="shared" ref="L1490:L1497" si="479">I1490/K1490</f>
        <v>1760</v>
      </c>
      <c r="M1490" s="1027">
        <v>46279</v>
      </c>
      <c r="N1490" s="1027">
        <v>46275</v>
      </c>
      <c r="O1490" s="1031"/>
      <c r="P1490" s="939"/>
      <c r="Q1490" s="999"/>
      <c r="R1490" s="999" t="s">
        <v>4563</v>
      </c>
      <c r="S1490" s="999" t="s">
        <v>70</v>
      </c>
      <c r="T1490" s="999" t="s">
        <v>5775</v>
      </c>
      <c r="U1490" s="999"/>
      <c r="V1490" s="999"/>
      <c r="W1490" s="626"/>
      <c r="X1490" s="626" t="s">
        <v>5776</v>
      </c>
      <c r="Y1490" s="1001" t="s">
        <v>106</v>
      </c>
      <c r="Z1490" s="1076">
        <v>2.6643</v>
      </c>
      <c r="AA1490" s="1001">
        <f t="shared" si="477"/>
        <v>18756.672</v>
      </c>
      <c r="AB1490" s="563"/>
      <c r="AC1490" s="1077"/>
      <c r="AD1490" s="939" t="s">
        <v>101</v>
      </c>
      <c r="AE1490" s="939" t="s">
        <v>82</v>
      </c>
      <c r="AF1490" s="939"/>
      <c r="AG1490" s="939"/>
      <c r="AH1490" s="939"/>
      <c r="AI1490" s="626"/>
      <c r="AJ1490" s="1031">
        <f t="shared" si="462"/>
        <v>-7040</v>
      </c>
      <c r="AK1490" s="939"/>
      <c r="AL1490" s="939" t="s">
        <v>2368</v>
      </c>
      <c r="AM1490" s="563"/>
      <c r="AN1490" s="563">
        <f t="shared" ref="AN1490:AN1502" si="480">I1490</f>
        <v>7040</v>
      </c>
      <c r="AO1490" s="563"/>
      <c r="AP1490" s="563"/>
      <c r="AQ1490" s="563"/>
      <c r="AR1490" s="563">
        <f>I1490</f>
        <v>7040</v>
      </c>
      <c r="AS1490" s="563"/>
      <c r="AT1490" s="563"/>
      <c r="AU1490" s="563">
        <f t="shared" si="478"/>
        <v>7040</v>
      </c>
      <c r="AV1490" s="563"/>
      <c r="AW1490" s="563">
        <f t="shared" si="475"/>
        <v>7040</v>
      </c>
      <c r="AX1490" s="1004"/>
      <c r="AY1490" s="563"/>
      <c r="AZ1490" s="563"/>
      <c r="BA1490" s="563"/>
      <c r="BB1490" s="563"/>
      <c r="BC1490" s="563"/>
      <c r="BD1490" s="563"/>
      <c r="BE1490" s="563"/>
      <c r="BF1490" s="563"/>
      <c r="BG1490" s="563"/>
      <c r="BH1490" s="563">
        <f>I1490/4</f>
        <v>1760</v>
      </c>
      <c r="BI1490" s="563"/>
      <c r="BJ1490" s="563"/>
      <c r="BK1490" s="563"/>
      <c r="BL1490" s="563"/>
      <c r="BM1490" s="563"/>
      <c r="BN1490" s="563"/>
      <c r="BO1490" s="563"/>
      <c r="BP1490" s="1147"/>
      <c r="BQ1490" s="1147"/>
      <c r="BR1490" s="1147"/>
      <c r="BS1490" s="1147"/>
      <c r="BT1490" s="1147"/>
      <c r="BU1490" s="1147"/>
      <c r="BV1490" s="1147"/>
      <c r="BW1490" s="1147"/>
      <c r="BX1490" s="1147"/>
      <c r="BY1490" s="1147"/>
      <c r="BZ1490" s="1147"/>
      <c r="CA1490" s="1147"/>
      <c r="CB1490" s="1147"/>
      <c r="CC1490" s="1147"/>
      <c r="CD1490" s="1147"/>
      <c r="CE1490" s="1147"/>
      <c r="CF1490" s="1147"/>
      <c r="CG1490" s="1147"/>
      <c r="CH1490" s="1068"/>
      <c r="CI1490" s="1068"/>
      <c r="CJ1490" s="1068"/>
      <c r="CK1490" s="1068"/>
      <c r="CL1490" s="1068"/>
      <c r="CM1490" s="1147"/>
      <c r="CN1490" s="1147"/>
      <c r="CO1490" s="1147"/>
      <c r="CP1490" s="1068"/>
      <c r="CQ1490" s="1068"/>
      <c r="CR1490" s="1068"/>
      <c r="CS1490" s="1068"/>
      <c r="CT1490" s="1068"/>
      <c r="CU1490" s="1068"/>
    </row>
    <row r="1491" s="1265" customFormat="1" ht="31" customHeight="1" spans="1:99 16239:16384">
      <c r="A1491" s="1008">
        <v>46091</v>
      </c>
      <c r="B1491" s="628" t="s">
        <v>729</v>
      </c>
      <c r="C1491" s="618" t="s">
        <v>278</v>
      </c>
      <c r="D1491" s="687">
        <v>4500195635</v>
      </c>
      <c r="E1491" s="618" t="s">
        <v>5790</v>
      </c>
      <c r="F1491" s="687" t="s">
        <v>5791</v>
      </c>
      <c r="G1491" s="618" t="s">
        <v>111</v>
      </c>
      <c r="H1491" s="618" t="s">
        <v>112</v>
      </c>
      <c r="I1491" s="1069">
        <v>4000</v>
      </c>
      <c r="J1491" s="618">
        <v>0</v>
      </c>
      <c r="K1491" s="618">
        <v>16</v>
      </c>
      <c r="L1491" s="1011">
        <f t="shared" si="479"/>
        <v>250</v>
      </c>
      <c r="M1491" s="1012">
        <v>46279</v>
      </c>
      <c r="N1491" s="1012">
        <v>46275</v>
      </c>
      <c r="O1491" s="773"/>
      <c r="P1491" s="618"/>
      <c r="Q1491" s="774"/>
      <c r="R1491" s="774">
        <v>46091</v>
      </c>
      <c r="S1491" s="646" t="s">
        <v>70</v>
      </c>
      <c r="T1491" s="999" t="s">
        <v>70</v>
      </c>
      <c r="U1491" s="999"/>
      <c r="V1491" s="774"/>
      <c r="W1491" s="628"/>
      <c r="X1491" s="628" t="s">
        <v>4466</v>
      </c>
      <c r="Y1491" s="1014" t="s">
        <v>3785</v>
      </c>
      <c r="Z1491" s="1339">
        <v>4.3509</v>
      </c>
      <c r="AA1491" s="1014">
        <f t="shared" si="477"/>
        <v>17403.6</v>
      </c>
      <c r="AB1491" s="687"/>
      <c r="AC1491" s="1077"/>
      <c r="AD1491" s="939" t="s">
        <v>111</v>
      </c>
      <c r="AE1491" s="618" t="s">
        <v>82</v>
      </c>
      <c r="AF1491" s="618"/>
      <c r="AG1491" s="618"/>
      <c r="AH1491" s="618"/>
      <c r="AI1491" s="609"/>
      <c r="AJ1491" s="773">
        <f t="shared" si="462"/>
        <v>-4000</v>
      </c>
      <c r="AK1491" s="618"/>
      <c r="AL1491" s="618"/>
      <c r="AM1491" s="687"/>
      <c r="AN1491" s="563">
        <f t="shared" si="480"/>
        <v>4000</v>
      </c>
      <c r="AO1491" s="687"/>
      <c r="AP1491" s="687"/>
      <c r="AQ1491" s="687"/>
      <c r="AR1491" s="687">
        <f>I1491</f>
        <v>4000</v>
      </c>
      <c r="AS1491" s="687"/>
      <c r="AT1491" s="687"/>
      <c r="AU1491" s="687">
        <f t="shared" si="478"/>
        <v>4000</v>
      </c>
      <c r="AV1491" s="563"/>
      <c r="AW1491" s="563">
        <f t="shared" si="475"/>
        <v>4000</v>
      </c>
      <c r="AX1491" s="1016"/>
      <c r="AY1491" s="687"/>
      <c r="AZ1491" s="687"/>
      <c r="BA1491" s="687"/>
      <c r="BB1491" s="687"/>
      <c r="BC1491" s="687"/>
      <c r="BD1491" s="687"/>
      <c r="BE1491" s="687"/>
      <c r="BF1491" s="687"/>
      <c r="BG1491" s="687"/>
      <c r="BH1491" s="825">
        <f>I1491/4</f>
        <v>1000</v>
      </c>
      <c r="BI1491" s="687"/>
      <c r="BJ1491" s="687"/>
      <c r="BK1491" s="687"/>
      <c r="BL1491" s="687"/>
      <c r="BM1491" s="687"/>
      <c r="BN1491" s="687"/>
      <c r="BO1491" s="687"/>
      <c r="BP1491" s="687"/>
      <c r="BQ1491" s="687"/>
      <c r="BR1491" s="687"/>
      <c r="BS1491" s="687"/>
      <c r="BT1491" s="687"/>
      <c r="BU1491" s="687"/>
      <c r="BV1491" s="687"/>
      <c r="BW1491" s="687"/>
      <c r="BX1491" s="687"/>
      <c r="BY1491" s="687"/>
      <c r="BZ1491" s="687"/>
      <c r="CA1491" s="687"/>
      <c r="CB1491" s="687"/>
      <c r="CC1491" s="687"/>
      <c r="CD1491" s="687"/>
      <c r="CE1491" s="687"/>
      <c r="CF1491" s="687"/>
      <c r="CG1491" s="687"/>
      <c r="CH1491" s="1020"/>
      <c r="CI1491" s="1020"/>
      <c r="CJ1491" s="1020"/>
      <c r="CK1491" s="1020"/>
      <c r="CL1491" s="1020"/>
      <c r="CM1491" s="687"/>
      <c r="CN1491" s="687"/>
      <c r="CO1491" s="687"/>
      <c r="CP1491" s="1020"/>
      <c r="CQ1491" s="1020"/>
      <c r="CR1491" s="1020"/>
      <c r="CS1491" s="1020"/>
      <c r="CT1491" s="1020"/>
      <c r="CU1491" s="1020"/>
    </row>
    <row r="1492" s="559" customFormat="1" ht="31" customHeight="1" spans="1:99 16239:16384">
      <c r="A1492" s="1008">
        <v>46171</v>
      </c>
      <c r="B1492" s="628" t="s">
        <v>5448</v>
      </c>
      <c r="C1492" s="618" t="s">
        <v>98</v>
      </c>
      <c r="D1492" s="687" t="s">
        <v>5792</v>
      </c>
      <c r="E1492" s="618" t="s">
        <v>5793</v>
      </c>
      <c r="F1492" s="687" t="s">
        <v>5794</v>
      </c>
      <c r="G1492" s="618" t="s">
        <v>5002</v>
      </c>
      <c r="H1492" s="939" t="s">
        <v>5003</v>
      </c>
      <c r="I1492" s="1069">
        <v>10032</v>
      </c>
      <c r="J1492" s="618">
        <v>0</v>
      </c>
      <c r="K1492" s="618">
        <v>24</v>
      </c>
      <c r="L1492" s="1011">
        <f t="shared" si="479"/>
        <v>418</v>
      </c>
      <c r="M1492" s="1012">
        <v>46279</v>
      </c>
      <c r="N1492" s="1012">
        <v>46275</v>
      </c>
      <c r="O1492" s="773" t="s">
        <v>5698</v>
      </c>
      <c r="P1492" s="618"/>
      <c r="Q1492" s="774"/>
      <c r="R1492" s="774">
        <v>46162</v>
      </c>
      <c r="S1492" s="646" t="s">
        <v>70</v>
      </c>
      <c r="T1492" s="999" t="s">
        <v>5453</v>
      </c>
      <c r="U1492" s="999"/>
      <c r="V1492" s="646"/>
      <c r="W1492" s="628"/>
      <c r="X1492" s="628" t="s">
        <v>5454</v>
      </c>
      <c r="Y1492" s="1014" t="s">
        <v>5455</v>
      </c>
      <c r="Z1492" s="1339">
        <v>111.1651</v>
      </c>
      <c r="AA1492" s="1014">
        <f>Z1492*L1492</f>
        <v>46467.0118</v>
      </c>
      <c r="AB1492" s="687"/>
      <c r="AC1492" s="1077"/>
      <c r="AD1492" s="560" t="s">
        <v>5008</v>
      </c>
      <c r="AE1492" s="939" t="s">
        <v>82</v>
      </c>
      <c r="AF1492" s="618"/>
      <c r="AG1492" s="618"/>
      <c r="AH1492" s="618"/>
      <c r="AI1492" s="609"/>
      <c r="AJ1492" s="773">
        <f t="shared" si="462"/>
        <v>-10032</v>
      </c>
      <c r="AK1492" s="618"/>
      <c r="AL1492" s="618"/>
      <c r="AM1492" s="687"/>
      <c r="AN1492" s="687">
        <f t="shared" si="480"/>
        <v>10032</v>
      </c>
      <c r="AO1492" s="687"/>
      <c r="AP1492" s="687"/>
      <c r="AQ1492" s="687"/>
      <c r="AR1492" s="687">
        <f>I1492</f>
        <v>10032</v>
      </c>
      <c r="AS1492" s="687"/>
      <c r="AT1492" s="687"/>
      <c r="AU1492" s="563">
        <f t="shared" si="478"/>
        <v>10032</v>
      </c>
      <c r="AV1492" s="563"/>
      <c r="AW1492" s="563">
        <f t="shared" si="475"/>
        <v>10032</v>
      </c>
      <c r="AX1492" s="1016"/>
      <c r="AY1492" s="687"/>
      <c r="AZ1492" s="687"/>
      <c r="BA1492" s="687"/>
      <c r="BB1492" s="687"/>
      <c r="BC1492" s="687"/>
      <c r="BD1492" s="687"/>
      <c r="BE1492" s="687"/>
      <c r="BF1492" s="687"/>
      <c r="BG1492" s="687"/>
      <c r="BH1492" s="687"/>
      <c r="BI1492" s="687"/>
      <c r="BJ1492" s="687"/>
      <c r="BK1492" s="687"/>
      <c r="BL1492" s="687"/>
      <c r="BM1492" s="687">
        <f>I1492</f>
        <v>10032</v>
      </c>
      <c r="BN1492" s="687"/>
      <c r="BO1492" s="687"/>
      <c r="BP1492" s="687"/>
      <c r="BQ1492" s="687"/>
      <c r="BR1492" s="687"/>
      <c r="BS1492" s="687"/>
      <c r="BT1492" s="687"/>
      <c r="BU1492" s="687"/>
      <c r="BV1492" s="687"/>
      <c r="BW1492" s="687"/>
      <c r="BX1492" s="687"/>
      <c r="BY1492" s="687"/>
      <c r="BZ1492" s="687"/>
      <c r="CA1492" s="687"/>
      <c r="CB1492" s="687"/>
      <c r="CC1492" s="687"/>
      <c r="CD1492" s="687"/>
      <c r="CE1492" s="687"/>
      <c r="CF1492" s="687"/>
      <c r="CG1492" s="687"/>
      <c r="CH1492" s="1020"/>
      <c r="CI1492" s="1020"/>
      <c r="CJ1492" s="1020"/>
      <c r="CK1492" s="1020"/>
      <c r="CL1492" s="1020"/>
      <c r="CM1492" s="687"/>
      <c r="CN1492" s="687"/>
      <c r="CO1492" s="687"/>
      <c r="CP1492" s="1020"/>
      <c r="CQ1492" s="1020"/>
      <c r="CR1492" s="1020"/>
      <c r="CS1492" s="1020"/>
      <c r="CT1492" s="1020"/>
      <c r="CU1492" s="1020"/>
    </row>
    <row r="1493" s="1270" customFormat="1" ht="31" customHeight="1" spans="1:99 16239:16384">
      <c r="A1493" s="1022">
        <v>46210</v>
      </c>
      <c r="B1493" s="626" t="s">
        <v>5795</v>
      </c>
      <c r="C1493" s="939" t="s">
        <v>399</v>
      </c>
      <c r="D1493" s="563">
        <v>4500215212</v>
      </c>
      <c r="E1493" s="939"/>
      <c r="F1493" s="563" t="s">
        <v>5796</v>
      </c>
      <c r="G1493" s="939" t="s">
        <v>130</v>
      </c>
      <c r="H1493" s="939" t="s">
        <v>131</v>
      </c>
      <c r="I1493" s="1023">
        <v>960</v>
      </c>
      <c r="J1493" s="939">
        <v>0</v>
      </c>
      <c r="K1493" s="939">
        <v>6</v>
      </c>
      <c r="L1493" s="1064">
        <f t="shared" si="479"/>
        <v>160</v>
      </c>
      <c r="M1493" s="1027">
        <v>46279</v>
      </c>
      <c r="N1493" s="1027">
        <v>46275</v>
      </c>
      <c r="O1493" s="1031"/>
      <c r="P1493" s="939"/>
      <c r="Q1493" s="999"/>
      <c r="R1493" s="999">
        <v>46210</v>
      </c>
      <c r="S1493" s="999" t="s">
        <v>70</v>
      </c>
      <c r="T1493" s="999" t="s">
        <v>5797</v>
      </c>
      <c r="U1493" s="999" t="s">
        <v>5552</v>
      </c>
      <c r="V1493" s="999"/>
      <c r="W1493" s="626"/>
      <c r="X1493" s="626" t="s">
        <v>5798</v>
      </c>
      <c r="Y1493" s="1001" t="s">
        <v>5498</v>
      </c>
      <c r="Z1493" s="1076">
        <v>4.2266</v>
      </c>
      <c r="AA1493" s="1001">
        <f>Z1493*I1493</f>
        <v>4057.536</v>
      </c>
      <c r="AB1493" s="563"/>
      <c r="AC1493" s="1077"/>
      <c r="AD1493" s="939" t="s">
        <v>453</v>
      </c>
      <c r="AE1493" s="939" t="s">
        <v>82</v>
      </c>
      <c r="AF1493" s="939"/>
      <c r="AG1493" s="939"/>
      <c r="AH1493" s="939"/>
      <c r="AI1493" s="626"/>
      <c r="AJ1493" s="939">
        <f t="shared" si="462"/>
        <v>-960</v>
      </c>
      <c r="AK1493" s="939"/>
      <c r="AL1493" s="939" t="s">
        <v>2368</v>
      </c>
      <c r="AM1493" s="563"/>
      <c r="AN1493" s="563">
        <f t="shared" si="480"/>
        <v>960</v>
      </c>
      <c r="AO1493" s="563"/>
      <c r="AP1493" s="563"/>
      <c r="AQ1493" s="563"/>
      <c r="AR1493" s="563"/>
      <c r="AS1493" s="563">
        <f>I1493</f>
        <v>960</v>
      </c>
      <c r="AT1493" s="563"/>
      <c r="AU1493" s="563">
        <f t="shared" si="478"/>
        <v>960</v>
      </c>
      <c r="AV1493" s="563"/>
      <c r="AW1493" s="563">
        <f t="shared" si="475"/>
        <v>960</v>
      </c>
      <c r="AX1493" s="1004"/>
      <c r="AY1493" s="563"/>
      <c r="AZ1493" s="563"/>
      <c r="BA1493" s="563"/>
      <c r="BB1493" s="563"/>
      <c r="BC1493" s="563"/>
      <c r="BD1493" s="563"/>
      <c r="BE1493" s="563"/>
      <c r="BF1493" s="563"/>
      <c r="BG1493" s="563"/>
      <c r="BH1493" s="563"/>
      <c r="BI1493" s="563"/>
      <c r="BJ1493" s="563"/>
      <c r="BK1493" s="563"/>
      <c r="BL1493" s="563"/>
      <c r="BM1493" s="563"/>
      <c r="BN1493" s="563"/>
      <c r="BO1493" s="563"/>
      <c r="BP1493" s="563"/>
      <c r="BQ1493" s="563"/>
      <c r="BR1493" s="563"/>
      <c r="BS1493" s="563"/>
      <c r="BT1493" s="563"/>
      <c r="BU1493" s="563"/>
      <c r="BV1493" s="563"/>
      <c r="BW1493" s="563"/>
      <c r="BX1493" s="563"/>
      <c r="BY1493" s="563"/>
      <c r="BZ1493" s="563"/>
      <c r="CA1493" s="563"/>
      <c r="CB1493" s="563"/>
      <c r="CC1493" s="563"/>
      <c r="CD1493" s="563"/>
      <c r="CE1493" s="563"/>
      <c r="CF1493" s="563"/>
      <c r="CG1493" s="563"/>
      <c r="CH1493" s="1015"/>
      <c r="CI1493" s="1015"/>
      <c r="CJ1493" s="1015"/>
      <c r="CK1493" s="1015"/>
      <c r="CL1493" s="1015"/>
      <c r="CM1493" s="563"/>
      <c r="CN1493" s="563"/>
      <c r="CO1493" s="563"/>
      <c r="CP1493" s="1015"/>
      <c r="CQ1493" s="1015"/>
      <c r="CR1493" s="1015"/>
      <c r="CS1493" s="1015"/>
      <c r="CT1493" s="1015"/>
      <c r="CU1493" s="1015"/>
    </row>
    <row r="1494" s="1270" customFormat="1" ht="31" customHeight="1" spans="1:99 16239:16384">
      <c r="A1494" s="1022">
        <v>46239</v>
      </c>
      <c r="B1494" s="626" t="s">
        <v>5157</v>
      </c>
      <c r="C1494" s="939" t="s">
        <v>128</v>
      </c>
      <c r="D1494" s="563">
        <v>4500214354</v>
      </c>
      <c r="E1494" s="939">
        <v>22018117</v>
      </c>
      <c r="F1494" s="563" t="s">
        <v>5799</v>
      </c>
      <c r="G1494" s="939" t="s">
        <v>518</v>
      </c>
      <c r="H1494" s="939" t="s">
        <v>477</v>
      </c>
      <c r="I1494" s="1023">
        <v>5400</v>
      </c>
      <c r="J1494" s="939">
        <v>0</v>
      </c>
      <c r="K1494" s="939">
        <v>6</v>
      </c>
      <c r="L1494" s="1064">
        <f t="shared" si="479"/>
        <v>900</v>
      </c>
      <c r="M1494" s="1027">
        <v>46279</v>
      </c>
      <c r="N1494" s="1027">
        <v>46275</v>
      </c>
      <c r="O1494" s="1031"/>
      <c r="P1494" s="939"/>
      <c r="Q1494" s="999"/>
      <c r="R1494" s="999">
        <v>46248</v>
      </c>
      <c r="S1494" s="999" t="s">
        <v>104</v>
      </c>
      <c r="T1494" s="999" t="s">
        <v>5800</v>
      </c>
      <c r="U1494" s="999"/>
      <c r="V1494" s="999"/>
      <c r="W1494" s="626"/>
      <c r="X1494" s="626" t="s">
        <v>5801</v>
      </c>
      <c r="Y1494" s="1001" t="s">
        <v>5802</v>
      </c>
      <c r="Z1494" s="1076">
        <v>7.1939</v>
      </c>
      <c r="AA1494" s="1001">
        <f>Z1494*I1494</f>
        <v>38847.06</v>
      </c>
      <c r="AB1494" s="563"/>
      <c r="AC1494" s="1077"/>
      <c r="AD1494" s="939" t="s">
        <v>1306</v>
      </c>
      <c r="AE1494" s="939" t="s">
        <v>82</v>
      </c>
      <c r="AF1494" s="939"/>
      <c r="AG1494" s="939"/>
      <c r="AH1494" s="939"/>
      <c r="AI1494" s="626"/>
      <c r="AJ1494" s="939">
        <f t="shared" si="462"/>
        <v>-5400</v>
      </c>
      <c r="AK1494" s="939"/>
      <c r="AL1494" s="939"/>
      <c r="AM1494" s="563"/>
      <c r="AN1494" s="563">
        <f t="shared" si="480"/>
        <v>5400</v>
      </c>
      <c r="AO1494" s="563"/>
      <c r="AP1494" s="563"/>
      <c r="AQ1494" s="563"/>
      <c r="AR1494" s="563">
        <f t="shared" ref="AR1494:AR1502" si="481">I1494</f>
        <v>5400</v>
      </c>
      <c r="AS1494" s="563"/>
      <c r="AT1494" s="563"/>
      <c r="AU1494" s="563">
        <f t="shared" si="478"/>
        <v>5400</v>
      </c>
      <c r="AV1494" s="563"/>
      <c r="AW1494" s="563">
        <f t="shared" si="475"/>
        <v>5400</v>
      </c>
      <c r="AX1494" s="1004"/>
      <c r="AY1494" s="563"/>
      <c r="AZ1494" s="563"/>
      <c r="BA1494" s="563"/>
      <c r="BB1494" s="563"/>
      <c r="BC1494" s="563"/>
      <c r="BD1494" s="563"/>
      <c r="BE1494" s="563"/>
      <c r="BF1494" s="563"/>
      <c r="BG1494" s="563"/>
      <c r="BH1494" s="563"/>
      <c r="BI1494" s="563"/>
      <c r="BJ1494" s="563"/>
      <c r="BK1494" s="563"/>
      <c r="BL1494" s="563"/>
      <c r="BM1494" s="563"/>
      <c r="BN1494" s="563">
        <f>I1494</f>
        <v>5400</v>
      </c>
      <c r="BO1494" s="563"/>
      <c r="BP1494" s="563"/>
      <c r="BQ1494" s="563"/>
      <c r="BR1494" s="563"/>
      <c r="BS1494" s="563"/>
      <c r="BT1494" s="563"/>
      <c r="BU1494" s="563"/>
      <c r="BV1494" s="563"/>
      <c r="BW1494" s="563"/>
      <c r="BX1494" s="563"/>
      <c r="BY1494" s="563"/>
      <c r="BZ1494" s="563"/>
      <c r="CA1494" s="563"/>
      <c r="CB1494" s="563"/>
      <c r="CC1494" s="563"/>
      <c r="CD1494" s="563"/>
      <c r="CE1494" s="563"/>
      <c r="CF1494" s="563"/>
      <c r="CG1494" s="563"/>
      <c r="CH1494" s="1015"/>
      <c r="CI1494" s="1015"/>
      <c r="CJ1494" s="1015"/>
      <c r="CK1494" s="1015"/>
      <c r="CL1494" s="1015"/>
      <c r="CM1494" s="563"/>
      <c r="CN1494" s="563"/>
      <c r="CO1494" s="563"/>
      <c r="CP1494" s="1015"/>
      <c r="CQ1494" s="1015"/>
      <c r="CR1494" s="1015"/>
      <c r="CS1494" s="1015"/>
      <c r="CT1494" s="1015"/>
      <c r="CU1494" s="1015"/>
      <c r="WZO1494" s="1394"/>
      <c r="WZP1494" s="1394"/>
      <c r="WZQ1494" s="1394"/>
      <c r="WZR1494" s="1394"/>
      <c r="WZS1494" s="1394"/>
      <c r="WZT1494" s="1394"/>
      <c r="WZU1494" s="1394"/>
      <c r="WZV1494" s="1394"/>
      <c r="WZW1494" s="1394"/>
      <c r="WZX1494" s="1394"/>
      <c r="WZY1494" s="1394"/>
      <c r="WZZ1494" s="1394"/>
      <c r="XAA1494" s="1394"/>
      <c r="XAB1494" s="1394"/>
      <c r="XAC1494" s="1394"/>
      <c r="XAD1494" s="1394"/>
      <c r="XAE1494" s="1394"/>
      <c r="XAF1494" s="1394"/>
      <c r="XAG1494" s="1394"/>
      <c r="XAH1494" s="1394"/>
      <c r="XAI1494" s="1394"/>
      <c r="XAJ1494" s="1394"/>
      <c r="XAK1494" s="1394"/>
      <c r="XAL1494" s="1394"/>
      <c r="XAM1494" s="1394"/>
      <c r="XAN1494" s="1394"/>
      <c r="XAO1494" s="1394"/>
      <c r="XAP1494" s="1394"/>
      <c r="XAQ1494" s="1394"/>
      <c r="XAR1494" s="1394"/>
      <c r="XAS1494" s="1394"/>
      <c r="XAT1494" s="1394"/>
      <c r="XAU1494" s="1394"/>
      <c r="XAV1494" s="1394"/>
      <c r="XAW1494" s="1394"/>
      <c r="XAX1494" s="1394"/>
      <c r="XAY1494" s="1394"/>
      <c r="XAZ1494" s="1394"/>
      <c r="XBA1494" s="1394"/>
      <c r="XBB1494" s="1394"/>
      <c r="XBC1494" s="1394"/>
      <c r="XBD1494" s="1394"/>
      <c r="XBE1494" s="1394"/>
      <c r="XBF1494" s="1394"/>
      <c r="XBG1494" s="1394"/>
      <c r="XBH1494" s="1394"/>
      <c r="XBI1494" s="1394"/>
      <c r="XBJ1494" s="1394"/>
      <c r="XBK1494" s="1394"/>
      <c r="XBL1494" s="1394"/>
      <c r="XBM1494" s="1394"/>
      <c r="XBN1494" s="1394"/>
      <c r="XBO1494" s="1394"/>
      <c r="XBP1494" s="1394"/>
      <c r="XBQ1494" s="1394"/>
      <c r="XBR1494" s="1394"/>
      <c r="XBS1494" s="1394"/>
      <c r="XBT1494" s="1394"/>
      <c r="XBU1494" s="1394"/>
      <c r="XBV1494" s="1394"/>
      <c r="XBW1494" s="1394"/>
      <c r="XBX1494" s="1394"/>
      <c r="XBY1494" s="1394"/>
      <c r="XBZ1494" s="1394"/>
      <c r="XCA1494" s="1394"/>
      <c r="XCB1494" s="1394"/>
      <c r="XCC1494" s="1394"/>
      <c r="XCD1494" s="1394"/>
      <c r="XCE1494" s="1394"/>
      <c r="XCF1494" s="1394"/>
      <c r="XCG1494" s="1394"/>
      <c r="XCH1494" s="1394"/>
      <c r="XCI1494" s="1394"/>
      <c r="XCJ1494" s="1394"/>
      <c r="XCK1494" s="1394"/>
      <c r="XCL1494" s="1394"/>
      <c r="XCM1494" s="1394"/>
      <c r="XCN1494" s="1394"/>
      <c r="XCO1494" s="1394"/>
      <c r="XCP1494" s="1394"/>
      <c r="XCQ1494" s="1394"/>
      <c r="XCR1494" s="1394"/>
      <c r="XCS1494" s="1394"/>
      <c r="XCT1494" s="1394"/>
      <c r="XCU1494" s="1394"/>
      <c r="XCV1494" s="1394"/>
      <c r="XCW1494" s="1394"/>
      <c r="XCX1494" s="1394"/>
      <c r="XCY1494" s="1394"/>
      <c r="XCZ1494" s="1394"/>
      <c r="XDA1494" s="1394"/>
      <c r="XDB1494" s="1394"/>
      <c r="XDC1494" s="1394"/>
      <c r="XDD1494" s="1394"/>
      <c r="XDE1494" s="1394"/>
      <c r="XDF1494" s="1394"/>
      <c r="XDG1494" s="1394"/>
      <c r="XDH1494" s="1394"/>
      <c r="XDI1494" s="1394"/>
      <c r="XDJ1494" s="1394"/>
      <c r="XDK1494" s="1394"/>
      <c r="XDL1494" s="1394"/>
      <c r="XDM1494" s="1394"/>
      <c r="XDN1494" s="1394"/>
      <c r="XDO1494" s="1394"/>
      <c r="XDP1494" s="1394"/>
      <c r="XDQ1494" s="1394"/>
      <c r="XDR1494" s="1394"/>
      <c r="XDS1494" s="1394"/>
      <c r="XDT1494" s="1394"/>
      <c r="XDU1494" s="1394"/>
      <c r="XDV1494" s="1394"/>
      <c r="XDW1494" s="1394"/>
      <c r="XDX1494" s="1394"/>
      <c r="XDY1494" s="1394"/>
      <c r="XDZ1494" s="1394"/>
      <c r="XEA1494" s="1394"/>
      <c r="XEB1494" s="1394"/>
      <c r="XEC1494" s="1394"/>
      <c r="XED1494" s="1394"/>
      <c r="XEE1494" s="1394"/>
      <c r="XEF1494" s="1394"/>
      <c r="XEG1494" s="1394"/>
      <c r="XEH1494" s="1394"/>
      <c r="XEI1494" s="1394"/>
      <c r="XEJ1494" s="1394"/>
      <c r="XEK1494" s="1394"/>
      <c r="XEL1494" s="1394"/>
      <c r="XEM1494" s="1394"/>
      <c r="XEN1494" s="1394"/>
      <c r="XEO1494" s="1394"/>
      <c r="XEP1494" s="1394"/>
      <c r="XEQ1494" s="1394"/>
      <c r="XER1494" s="1394"/>
      <c r="XES1494" s="1394"/>
      <c r="XET1494" s="1394"/>
      <c r="XEU1494" s="1394"/>
      <c r="XEV1494" s="1394"/>
      <c r="XEW1494" s="1394"/>
      <c r="XEX1494" s="1394"/>
      <c r="XEY1494" s="1394"/>
      <c r="XEZ1494" s="1394"/>
      <c r="XFA1494" s="1394"/>
      <c r="XFB1494" s="1394"/>
      <c r="XFC1494" s="1394"/>
      <c r="XFD1494" s="1394"/>
    </row>
    <row r="1495" s="559" customFormat="1" ht="31" customHeight="1" spans="1:99 16239:16384">
      <c r="A1495" s="1022">
        <v>46239</v>
      </c>
      <c r="B1495" s="626" t="s">
        <v>5164</v>
      </c>
      <c r="C1495" s="939" t="s">
        <v>76</v>
      </c>
      <c r="D1495" s="563">
        <v>4500214355</v>
      </c>
      <c r="E1495" s="939">
        <v>22018122</v>
      </c>
      <c r="F1495" s="563" t="s">
        <v>5803</v>
      </c>
      <c r="G1495" s="939" t="s">
        <v>518</v>
      </c>
      <c r="H1495" s="939" t="s">
        <v>477</v>
      </c>
      <c r="I1495" s="1023">
        <v>480</v>
      </c>
      <c r="J1495" s="939">
        <v>0</v>
      </c>
      <c r="K1495" s="939">
        <v>6</v>
      </c>
      <c r="L1495" s="1064">
        <f t="shared" si="479"/>
        <v>80</v>
      </c>
      <c r="M1495" s="1027">
        <v>46279</v>
      </c>
      <c r="N1495" s="1027">
        <v>46275</v>
      </c>
      <c r="O1495" s="1031"/>
      <c r="P1495" s="939"/>
      <c r="Q1495" s="999"/>
      <c r="R1495" s="999">
        <v>46248</v>
      </c>
      <c r="S1495" s="999" t="s">
        <v>104</v>
      </c>
      <c r="T1495" s="999" t="s">
        <v>5800</v>
      </c>
      <c r="U1495" s="999"/>
      <c r="V1495" s="999"/>
      <c r="W1495" s="626"/>
      <c r="X1495" s="626" t="s">
        <v>5804</v>
      </c>
      <c r="Y1495" s="1001" t="s">
        <v>5805</v>
      </c>
      <c r="Z1495" s="1076">
        <v>7.8108</v>
      </c>
      <c r="AA1495" s="1001">
        <f>Z1495*I1495</f>
        <v>3749.184</v>
      </c>
      <c r="AB1495" s="563"/>
      <c r="AC1495" s="1077"/>
      <c r="AD1495" s="939" t="s">
        <v>1306</v>
      </c>
      <c r="AE1495" s="939" t="s">
        <v>82</v>
      </c>
      <c r="AF1495" s="939"/>
      <c r="AG1495" s="939"/>
      <c r="AH1495" s="939"/>
      <c r="AI1495" s="626"/>
      <c r="AJ1495" s="939">
        <f t="shared" si="462"/>
        <v>-480</v>
      </c>
      <c r="AK1495" s="939"/>
      <c r="AL1495" s="939"/>
      <c r="AM1495" s="563"/>
      <c r="AN1495" s="563">
        <f t="shared" si="480"/>
        <v>480</v>
      </c>
      <c r="AO1495" s="563"/>
      <c r="AP1495" s="563"/>
      <c r="AQ1495" s="563"/>
      <c r="AR1495" s="563">
        <f t="shared" si="481"/>
        <v>480</v>
      </c>
      <c r="AS1495" s="563"/>
      <c r="AT1495" s="563"/>
      <c r="AU1495" s="563">
        <f t="shared" si="478"/>
        <v>480</v>
      </c>
      <c r="AV1495" s="563"/>
      <c r="AW1495" s="563">
        <f t="shared" si="475"/>
        <v>480</v>
      </c>
      <c r="AX1495" s="1004"/>
      <c r="AY1495" s="563"/>
      <c r="AZ1495" s="563"/>
      <c r="BA1495" s="563"/>
      <c r="BB1495" s="563"/>
      <c r="BC1495" s="563"/>
      <c r="BD1495" s="563"/>
      <c r="BE1495" s="563"/>
      <c r="BF1495" s="563"/>
      <c r="BG1495" s="563"/>
      <c r="BH1495" s="563"/>
      <c r="BI1495" s="563"/>
      <c r="BJ1495" s="563"/>
      <c r="BK1495" s="563"/>
      <c r="BL1495" s="563"/>
      <c r="BM1495" s="563"/>
      <c r="BN1495" s="563">
        <f>I1495</f>
        <v>480</v>
      </c>
      <c r="BO1495" s="563"/>
      <c r="BP1495" s="563"/>
      <c r="BQ1495" s="563"/>
      <c r="BR1495" s="563"/>
      <c r="BS1495" s="563"/>
      <c r="BT1495" s="563"/>
      <c r="BU1495" s="563"/>
      <c r="BV1495" s="563"/>
      <c r="BW1495" s="563"/>
      <c r="BX1495" s="563"/>
      <c r="BY1495" s="563"/>
      <c r="BZ1495" s="563"/>
      <c r="CA1495" s="563"/>
      <c r="CB1495" s="563"/>
      <c r="CC1495" s="563"/>
      <c r="CD1495" s="563"/>
      <c r="CE1495" s="563"/>
      <c r="CF1495" s="563"/>
      <c r="CG1495" s="563"/>
      <c r="CH1495" s="1015"/>
      <c r="CI1495" s="1015"/>
      <c r="CJ1495" s="1015"/>
      <c r="CK1495" s="1015"/>
      <c r="CL1495" s="1015"/>
      <c r="CM1495" s="563"/>
      <c r="CN1495" s="563"/>
      <c r="CO1495" s="563"/>
      <c r="CP1495" s="1015"/>
      <c r="CQ1495" s="1015"/>
      <c r="CR1495" s="1015"/>
      <c r="CS1495" s="1015"/>
      <c r="CT1495" s="1015"/>
      <c r="CU1495" s="1015"/>
      <c r="WZO1495" s="1276"/>
      <c r="WZP1495" s="1276"/>
      <c r="WZQ1495" s="1276"/>
      <c r="WZR1495" s="1276"/>
      <c r="WZS1495" s="1276"/>
      <c r="WZT1495" s="1276"/>
      <c r="WZU1495" s="1276"/>
      <c r="WZV1495" s="1276"/>
      <c r="WZW1495" s="1276"/>
      <c r="WZX1495" s="1276"/>
      <c r="WZY1495" s="1276"/>
      <c r="WZZ1495" s="1276"/>
      <c r="XAA1495" s="1276"/>
      <c r="XAB1495" s="1276"/>
      <c r="XAC1495" s="1276"/>
      <c r="XAD1495" s="1276"/>
      <c r="XAE1495" s="1276"/>
      <c r="XAF1495" s="1276"/>
      <c r="XAG1495" s="1276"/>
      <c r="XAH1495" s="1276"/>
      <c r="XAI1495" s="1276"/>
      <c r="XAJ1495" s="1276"/>
      <c r="XAK1495" s="1276"/>
      <c r="XAL1495" s="1276"/>
      <c r="XAM1495" s="1276"/>
      <c r="XAN1495" s="1276"/>
      <c r="XAO1495" s="1276"/>
      <c r="XAP1495" s="1276"/>
      <c r="XAQ1495" s="1276"/>
      <c r="XAR1495" s="1276"/>
      <c r="XAS1495" s="1276"/>
      <c r="XAT1495" s="1276"/>
      <c r="XAU1495" s="1276"/>
      <c r="XAV1495" s="1276"/>
      <c r="XAW1495" s="1276"/>
      <c r="XAX1495" s="1276"/>
      <c r="XAY1495" s="1276"/>
      <c r="XAZ1495" s="1276"/>
      <c r="XBA1495" s="1276"/>
      <c r="XBB1495" s="1276"/>
      <c r="XBC1495" s="1276"/>
      <c r="XBD1495" s="1276"/>
      <c r="XBE1495" s="1276"/>
      <c r="XBF1495" s="1276"/>
      <c r="XBG1495" s="1276"/>
      <c r="XBH1495" s="1276"/>
      <c r="XBI1495" s="1276"/>
      <c r="XBJ1495" s="1276"/>
      <c r="XBK1495" s="1276"/>
      <c r="XBL1495" s="1276"/>
      <c r="XBM1495" s="1276"/>
      <c r="XBN1495" s="1276"/>
      <c r="XBO1495" s="1276"/>
      <c r="XBP1495" s="1276"/>
      <c r="XBQ1495" s="1276"/>
      <c r="XBR1495" s="1276"/>
      <c r="XBS1495" s="1276"/>
      <c r="XBT1495" s="1276"/>
      <c r="XBU1495" s="1276"/>
      <c r="XBV1495" s="1276"/>
      <c r="XBW1495" s="1276"/>
      <c r="XBX1495" s="1276"/>
      <c r="XBY1495" s="1276"/>
      <c r="XBZ1495" s="1276"/>
      <c r="XCA1495" s="1276"/>
      <c r="XCB1495" s="1276"/>
      <c r="XCC1495" s="1276"/>
      <c r="XCD1495" s="1276"/>
      <c r="XCE1495" s="1276"/>
      <c r="XCF1495" s="1276"/>
      <c r="XCG1495" s="1276"/>
      <c r="XCH1495" s="1276"/>
      <c r="XCI1495" s="1276"/>
      <c r="XCJ1495" s="1276"/>
      <c r="XCK1495" s="1276"/>
      <c r="XCL1495" s="1276"/>
      <c r="XCM1495" s="1276"/>
      <c r="XCN1495" s="1276"/>
      <c r="XCO1495" s="1276"/>
      <c r="XCP1495" s="1276"/>
      <c r="XCQ1495" s="1276"/>
      <c r="XCR1495" s="1276"/>
      <c r="XCS1495" s="1276"/>
      <c r="XCT1495" s="1276"/>
      <c r="XCU1495" s="1276"/>
      <c r="XCV1495" s="1276"/>
      <c r="XCW1495" s="1276"/>
      <c r="XCX1495" s="1276"/>
      <c r="XCY1495" s="1276"/>
      <c r="XCZ1495" s="1276"/>
      <c r="XDA1495" s="1276"/>
      <c r="XDB1495" s="1276"/>
      <c r="XDC1495" s="1276"/>
      <c r="XDD1495" s="1276"/>
      <c r="XDE1495" s="1276"/>
      <c r="XDF1495" s="1276"/>
      <c r="XDG1495" s="1276"/>
      <c r="XDH1495" s="1276"/>
      <c r="XDI1495" s="1276"/>
      <c r="XDJ1495" s="1276"/>
      <c r="XDK1495" s="1276"/>
      <c r="XDL1495" s="1276"/>
      <c r="XDM1495" s="1276"/>
      <c r="XDN1495" s="1276"/>
      <c r="XDO1495" s="1276"/>
      <c r="XDP1495" s="1276"/>
      <c r="XDQ1495" s="1276"/>
      <c r="XDR1495" s="1276"/>
      <c r="XDS1495" s="1276"/>
      <c r="XDT1495" s="1276"/>
      <c r="XDU1495" s="1276"/>
      <c r="XDV1495" s="1276"/>
      <c r="XDW1495" s="1276"/>
      <c r="XDX1495" s="1276"/>
      <c r="XDY1495" s="1276"/>
      <c r="XDZ1495" s="1276"/>
      <c r="XEA1495" s="1276"/>
      <c r="XEB1495" s="1276"/>
      <c r="XEC1495" s="1276"/>
      <c r="XED1495" s="1276"/>
      <c r="XEE1495" s="1276"/>
      <c r="XEF1495" s="1276"/>
      <c r="XEG1495" s="1276"/>
      <c r="XEH1495" s="1276"/>
      <c r="XEI1495" s="1276"/>
      <c r="XEJ1495" s="1276"/>
      <c r="XEK1495" s="1276"/>
      <c r="XEL1495" s="1276"/>
      <c r="XEM1495" s="1276"/>
      <c r="XEN1495" s="1276"/>
      <c r="XEO1495" s="1276"/>
      <c r="XEP1495" s="1276"/>
      <c r="XEQ1495" s="1276"/>
      <c r="XER1495" s="1276"/>
      <c r="XES1495" s="1276"/>
      <c r="XET1495" s="1276"/>
      <c r="XEU1495" s="1276"/>
      <c r="XEV1495" s="1276"/>
      <c r="XEW1495" s="1276"/>
      <c r="XEX1495" s="1276"/>
      <c r="XEY1495" s="1276"/>
      <c r="XEZ1495" s="1276"/>
      <c r="XFA1495" s="1276"/>
      <c r="XFB1495" s="1276"/>
      <c r="XFC1495" s="1276"/>
      <c r="XFD1495" s="1276"/>
    </row>
    <row r="1496" s="1271" customFormat="1" ht="31" customHeight="1" spans="1:99 16239:16384">
      <c r="A1496" s="1022">
        <v>46234</v>
      </c>
      <c r="B1496" s="626" t="s">
        <v>5806</v>
      </c>
      <c r="C1496" s="939" t="s">
        <v>170</v>
      </c>
      <c r="D1496" s="563">
        <v>4500218481</v>
      </c>
      <c r="E1496" s="1051">
        <v>4371654155</v>
      </c>
      <c r="F1496" s="563" t="s">
        <v>5807</v>
      </c>
      <c r="G1496" s="939" t="s">
        <v>101</v>
      </c>
      <c r="H1496" s="939" t="s">
        <v>102</v>
      </c>
      <c r="I1496" s="1378">
        <v>600</v>
      </c>
      <c r="J1496" s="939">
        <v>0</v>
      </c>
      <c r="K1496" s="939">
        <v>4</v>
      </c>
      <c r="L1496" s="1391">
        <f t="shared" si="479"/>
        <v>150</v>
      </c>
      <c r="M1496" s="1027">
        <v>46280</v>
      </c>
      <c r="N1496" s="1027">
        <v>46276</v>
      </c>
      <c r="O1496" s="1031" t="s">
        <v>5808</v>
      </c>
      <c r="P1496" s="939"/>
      <c r="Q1496" s="999"/>
      <c r="R1496" s="584" t="s">
        <v>454</v>
      </c>
      <c r="S1496" s="1039" t="s">
        <v>70</v>
      </c>
      <c r="T1496" s="1039" t="s">
        <v>5809</v>
      </c>
      <c r="U1496" s="999"/>
      <c r="V1496" s="999"/>
      <c r="W1496" s="626"/>
      <c r="X1496" s="626" t="s">
        <v>5810</v>
      </c>
      <c r="Y1496" s="1001" t="s">
        <v>5238</v>
      </c>
      <c r="Z1496" s="1076">
        <v>4.5181</v>
      </c>
      <c r="AA1496" s="1001">
        <f>Z1496*I1496</f>
        <v>2710.86</v>
      </c>
      <c r="AB1496" s="563"/>
      <c r="AC1496" s="1077"/>
      <c r="AD1496" s="939" t="s">
        <v>101</v>
      </c>
      <c r="AE1496" s="939" t="s">
        <v>82</v>
      </c>
      <c r="AF1496" s="939"/>
      <c r="AG1496" s="939"/>
      <c r="AH1496" s="939"/>
      <c r="AI1496" s="626"/>
      <c r="AJ1496" s="1031">
        <f t="shared" si="462"/>
        <v>-600</v>
      </c>
      <c r="AK1496" s="939"/>
      <c r="AL1496" s="939"/>
      <c r="AM1496" s="563"/>
      <c r="AN1496" s="563">
        <f t="shared" si="480"/>
        <v>600</v>
      </c>
      <c r="AO1496" s="563"/>
      <c r="AP1496" s="563"/>
      <c r="AQ1496" s="563"/>
      <c r="AR1496" s="563">
        <f t="shared" si="481"/>
        <v>600</v>
      </c>
      <c r="AS1496" s="563"/>
      <c r="AT1496" s="563"/>
      <c r="AU1496" s="563">
        <f t="shared" si="478"/>
        <v>600</v>
      </c>
      <c r="AV1496" s="563"/>
      <c r="AW1496" s="563">
        <f t="shared" si="475"/>
        <v>600</v>
      </c>
      <c r="AX1496" s="1004"/>
      <c r="AY1496" s="563"/>
      <c r="AZ1496" s="563"/>
      <c r="BA1496" s="563"/>
      <c r="BB1496" s="563"/>
      <c r="BC1496" s="563"/>
      <c r="BD1496" s="563"/>
      <c r="BE1496" s="563"/>
      <c r="BF1496" s="563"/>
      <c r="BG1496" s="563"/>
      <c r="BH1496" s="563">
        <f>I1496/4</f>
        <v>150</v>
      </c>
      <c r="BI1496" s="563"/>
      <c r="BJ1496" s="563"/>
      <c r="BK1496" s="563"/>
      <c r="BL1496" s="563"/>
      <c r="BM1496" s="563"/>
      <c r="BN1496" s="563"/>
      <c r="BO1496" s="563"/>
      <c r="BP1496" s="1147"/>
      <c r="BQ1496" s="1147"/>
      <c r="BR1496" s="1147"/>
      <c r="BS1496" s="1147"/>
      <c r="BT1496" s="1147"/>
      <c r="BU1496" s="1147"/>
      <c r="BV1496" s="1147"/>
      <c r="BW1496" s="1147"/>
      <c r="BX1496" s="1147"/>
      <c r="BY1496" s="1147"/>
      <c r="BZ1496" s="1147"/>
      <c r="CA1496" s="1147"/>
      <c r="CB1496" s="1147"/>
      <c r="CC1496" s="1147"/>
      <c r="CD1496" s="1147"/>
      <c r="CE1496" s="1147"/>
      <c r="CF1496" s="1147"/>
      <c r="CG1496" s="1147"/>
      <c r="CH1496" s="1068"/>
      <c r="CI1496" s="1068"/>
      <c r="CJ1496" s="1068"/>
      <c r="CK1496" s="1068"/>
      <c r="CL1496" s="1068"/>
      <c r="CM1496" s="1147"/>
      <c r="CN1496" s="1147"/>
      <c r="CO1496" s="1147"/>
      <c r="CP1496" s="1068"/>
      <c r="CQ1496" s="1068"/>
      <c r="CR1496" s="1068"/>
      <c r="CS1496" s="1068"/>
      <c r="CT1496" s="1068"/>
      <c r="CU1496" s="1068"/>
    </row>
    <row r="1497" s="1274" customFormat="1" ht="31" customHeight="1" spans="1:99 16239:16384">
      <c r="A1497" s="1171">
        <v>46248</v>
      </c>
      <c r="B1497" s="1172" t="s">
        <v>5806</v>
      </c>
      <c r="C1497" s="1173" t="s">
        <v>170</v>
      </c>
      <c r="D1497" s="1174">
        <v>4500219955</v>
      </c>
      <c r="E1497" s="1173">
        <v>4371654156</v>
      </c>
      <c r="F1497" s="1174" t="s">
        <v>5811</v>
      </c>
      <c r="G1497" s="1173" t="s">
        <v>101</v>
      </c>
      <c r="H1497" s="1173" t="s">
        <v>102</v>
      </c>
      <c r="I1497" s="1175">
        <v>720</v>
      </c>
      <c r="J1497" s="1173">
        <v>0</v>
      </c>
      <c r="K1497" s="1173">
        <v>4</v>
      </c>
      <c r="L1497" s="1176">
        <f t="shared" si="479"/>
        <v>180</v>
      </c>
      <c r="M1497" s="1177">
        <v>46280</v>
      </c>
      <c r="N1497" s="1177">
        <v>46276</v>
      </c>
      <c r="O1497" s="1178" t="s">
        <v>5812</v>
      </c>
      <c r="P1497" s="1173"/>
      <c r="Q1497" s="1179"/>
      <c r="R1497" s="1180" t="s">
        <v>454</v>
      </c>
      <c r="S1497" s="1181" t="s">
        <v>70</v>
      </c>
      <c r="T1497" s="1181" t="s">
        <v>5809</v>
      </c>
      <c r="U1497" s="1179"/>
      <c r="V1497" s="1179"/>
      <c r="W1497" s="1172"/>
      <c r="X1497" s="1172" t="s">
        <v>5813</v>
      </c>
      <c r="Y1497" s="1185" t="s">
        <v>5814</v>
      </c>
      <c r="Z1497" s="1395">
        <v>4.5181</v>
      </c>
      <c r="AA1497" s="1185">
        <f>Z1497*I1497</f>
        <v>3253.032</v>
      </c>
      <c r="AB1497" s="1174"/>
      <c r="AC1497" s="1396"/>
      <c r="AD1497" s="1173" t="s">
        <v>101</v>
      </c>
      <c r="AE1497" s="1173" t="s">
        <v>82</v>
      </c>
      <c r="AF1497" s="1173"/>
      <c r="AG1497" s="1173"/>
      <c r="AH1497" s="1173"/>
      <c r="AI1497" s="1172"/>
      <c r="AJ1497" s="1178">
        <f t="shared" si="462"/>
        <v>-720</v>
      </c>
      <c r="AK1497" s="1173"/>
      <c r="AL1497" s="1173"/>
      <c r="AM1497" s="1174"/>
      <c r="AN1497" s="1174">
        <f t="shared" si="480"/>
        <v>720</v>
      </c>
      <c r="AO1497" s="1174"/>
      <c r="AP1497" s="1174"/>
      <c r="AQ1497" s="1174"/>
      <c r="AR1497" s="1174">
        <f t="shared" si="481"/>
        <v>720</v>
      </c>
      <c r="AS1497" s="1174"/>
      <c r="AT1497" s="1174"/>
      <c r="AU1497" s="1174">
        <f t="shared" si="478"/>
        <v>720</v>
      </c>
      <c r="AV1497" s="1174"/>
      <c r="AW1497" s="1174">
        <f t="shared" si="475"/>
        <v>720</v>
      </c>
      <c r="AX1497" s="1190"/>
      <c r="AY1497" s="1174"/>
      <c r="AZ1497" s="1174"/>
      <c r="BA1497" s="1174"/>
      <c r="BB1497" s="1174"/>
      <c r="BC1497" s="1174"/>
      <c r="BD1497" s="1174"/>
      <c r="BE1497" s="1174"/>
      <c r="BF1497" s="1174"/>
      <c r="BG1497" s="1174"/>
      <c r="BH1497" s="1174">
        <f>I1497/4</f>
        <v>180</v>
      </c>
      <c r="BI1497" s="1174"/>
      <c r="BJ1497" s="1174"/>
      <c r="BK1497" s="1174"/>
      <c r="BL1497" s="1174"/>
      <c r="BM1497" s="1174"/>
      <c r="BN1497" s="1174"/>
      <c r="BO1497" s="1174"/>
      <c r="BP1497" s="1174"/>
      <c r="BQ1497" s="1174"/>
      <c r="BR1497" s="1174"/>
      <c r="BS1497" s="1174"/>
      <c r="BT1497" s="1174"/>
      <c r="BU1497" s="1174"/>
      <c r="BV1497" s="1174"/>
      <c r="BW1497" s="1174"/>
      <c r="BX1497" s="1174"/>
      <c r="BY1497" s="1174"/>
      <c r="BZ1497" s="1174"/>
      <c r="CA1497" s="1174"/>
      <c r="CB1497" s="1174"/>
      <c r="CC1497" s="1174"/>
      <c r="CD1497" s="1174"/>
      <c r="CE1497" s="1174"/>
      <c r="CF1497" s="1174"/>
      <c r="CG1497" s="1174"/>
      <c r="CH1497" s="1189"/>
      <c r="CI1497" s="1189"/>
      <c r="CJ1497" s="1189"/>
      <c r="CK1497" s="1189"/>
      <c r="CL1497" s="1189"/>
      <c r="CM1497" s="1174"/>
      <c r="CN1497" s="1174"/>
      <c r="CO1497" s="1174"/>
      <c r="CP1497" s="1189"/>
      <c r="CQ1497" s="1189"/>
      <c r="CR1497" s="1189"/>
      <c r="CS1497" s="1189"/>
      <c r="CT1497" s="1189"/>
      <c r="CU1497" s="1189"/>
      <c r="WZO1497" s="1397"/>
      <c r="WZP1497" s="1397"/>
      <c r="WZQ1497" s="1397"/>
      <c r="WZR1497" s="1397"/>
      <c r="WZS1497" s="1397"/>
      <c r="WZT1497" s="1397"/>
      <c r="WZU1497" s="1397"/>
      <c r="WZV1497" s="1397"/>
      <c r="WZW1497" s="1397"/>
      <c r="WZX1497" s="1397"/>
      <c r="WZY1497" s="1397"/>
      <c r="WZZ1497" s="1397"/>
      <c r="XAA1497" s="1397"/>
      <c r="XAB1497" s="1397"/>
      <c r="XAC1497" s="1397"/>
      <c r="XAD1497" s="1397"/>
      <c r="XAE1497" s="1397"/>
      <c r="XAF1497" s="1397"/>
      <c r="XAG1497" s="1397"/>
      <c r="XAH1497" s="1397"/>
      <c r="XAI1497" s="1397"/>
      <c r="XAJ1497" s="1397"/>
      <c r="XAK1497" s="1397"/>
      <c r="XAL1497" s="1397"/>
      <c r="XAM1497" s="1397"/>
      <c r="XAN1497" s="1397"/>
      <c r="XAO1497" s="1397"/>
      <c r="XAP1497" s="1397"/>
      <c r="XAQ1497" s="1397"/>
      <c r="XAR1497" s="1397"/>
      <c r="XAS1497" s="1397"/>
      <c r="XAT1497" s="1397"/>
      <c r="XAU1497" s="1397"/>
      <c r="XAV1497" s="1397"/>
      <c r="XAW1497" s="1397"/>
      <c r="XAX1497" s="1397"/>
      <c r="XAY1497" s="1397"/>
      <c r="XAZ1497" s="1397"/>
      <c r="XBA1497" s="1397"/>
      <c r="XBB1497" s="1397"/>
      <c r="XBC1497" s="1397"/>
      <c r="XBD1497" s="1397"/>
      <c r="XBE1497" s="1397"/>
      <c r="XBF1497" s="1397"/>
      <c r="XBG1497" s="1397"/>
      <c r="XBH1497" s="1397"/>
      <c r="XBI1497" s="1397"/>
      <c r="XBJ1497" s="1397"/>
      <c r="XBK1497" s="1397"/>
      <c r="XBL1497" s="1397"/>
      <c r="XBM1497" s="1397"/>
      <c r="XBN1497" s="1397"/>
      <c r="XBO1497" s="1397"/>
      <c r="XBP1497" s="1397"/>
      <c r="XBQ1497" s="1397"/>
      <c r="XBR1497" s="1397"/>
      <c r="XBS1497" s="1397"/>
      <c r="XBT1497" s="1397"/>
      <c r="XBU1497" s="1397"/>
      <c r="XBV1497" s="1397"/>
      <c r="XBW1497" s="1397"/>
      <c r="XBX1497" s="1397"/>
      <c r="XBY1497" s="1397"/>
      <c r="XBZ1497" s="1397"/>
      <c r="XCA1497" s="1397"/>
      <c r="XCB1497" s="1397"/>
      <c r="XCC1497" s="1397"/>
      <c r="XCD1497" s="1397"/>
      <c r="XCE1497" s="1397"/>
      <c r="XCF1497" s="1397"/>
      <c r="XCG1497" s="1397"/>
      <c r="XCH1497" s="1397"/>
      <c r="XCI1497" s="1397"/>
      <c r="XCJ1497" s="1397"/>
      <c r="XCK1497" s="1397"/>
      <c r="XCL1497" s="1397"/>
      <c r="XCM1497" s="1397"/>
      <c r="XCN1497" s="1397"/>
      <c r="XCO1497" s="1397"/>
      <c r="XCP1497" s="1397"/>
      <c r="XCQ1497" s="1397"/>
      <c r="XCR1497" s="1397"/>
      <c r="XCS1497" s="1397"/>
      <c r="XCT1497" s="1397"/>
      <c r="XCU1497" s="1397"/>
      <c r="XCV1497" s="1397"/>
      <c r="XCW1497" s="1397"/>
      <c r="XCX1497" s="1397"/>
      <c r="XCY1497" s="1397"/>
      <c r="XCZ1497" s="1397"/>
      <c r="XDA1497" s="1397"/>
      <c r="XDB1497" s="1397"/>
      <c r="XDC1497" s="1397"/>
      <c r="XDD1497" s="1397"/>
      <c r="XDE1497" s="1397"/>
      <c r="XDF1497" s="1397"/>
      <c r="XDG1497" s="1397"/>
      <c r="XDH1497" s="1397"/>
      <c r="XDI1497" s="1397"/>
      <c r="XDJ1497" s="1397"/>
      <c r="XDK1497" s="1397"/>
      <c r="XDL1497" s="1397"/>
      <c r="XDM1497" s="1397"/>
      <c r="XDN1497" s="1397"/>
      <c r="XDO1497" s="1397"/>
      <c r="XDP1497" s="1397"/>
      <c r="XDQ1497" s="1397"/>
      <c r="XDR1497" s="1397"/>
      <c r="XDS1497" s="1397"/>
      <c r="XDT1497" s="1397"/>
      <c r="XDU1497" s="1397"/>
      <c r="XDV1497" s="1397"/>
      <c r="XDW1497" s="1397"/>
      <c r="XDX1497" s="1397"/>
      <c r="XDY1497" s="1397"/>
      <c r="XDZ1497" s="1397"/>
      <c r="XEA1497" s="1397"/>
      <c r="XEB1497" s="1397"/>
      <c r="XEC1497" s="1397"/>
      <c r="XED1497" s="1397"/>
      <c r="XEE1497" s="1397"/>
      <c r="XEF1497" s="1397"/>
      <c r="XEG1497" s="1397"/>
      <c r="XEH1497" s="1397"/>
      <c r="XEI1497" s="1397"/>
      <c r="XEJ1497" s="1397"/>
      <c r="XEK1497" s="1397"/>
      <c r="XEL1497" s="1397"/>
      <c r="XEM1497" s="1397"/>
      <c r="XEN1497" s="1397"/>
      <c r="XEO1497" s="1397"/>
      <c r="XEP1497" s="1397"/>
      <c r="XEQ1497" s="1397"/>
      <c r="XER1497" s="1397"/>
      <c r="XES1497" s="1397"/>
      <c r="XET1497" s="1397"/>
      <c r="XEU1497" s="1397"/>
      <c r="XEV1497" s="1397"/>
      <c r="XEW1497" s="1397"/>
      <c r="XEX1497" s="1397"/>
      <c r="XEY1497" s="1397"/>
      <c r="XEZ1497" s="1397"/>
      <c r="XFA1497" s="1397"/>
      <c r="XFB1497" s="1397"/>
      <c r="XFC1497" s="1397"/>
      <c r="XFD1497" s="1397"/>
    </row>
    <row r="1498" s="559" customFormat="1" ht="31" customHeight="1" spans="1:99 16239:16384">
      <c r="A1498" s="1008">
        <v>46171</v>
      </c>
      <c r="B1498" s="628" t="s">
        <v>5448</v>
      </c>
      <c r="C1498" s="618" t="s">
        <v>98</v>
      </c>
      <c r="D1498" s="687" t="s">
        <v>5815</v>
      </c>
      <c r="E1498" s="618" t="s">
        <v>5816</v>
      </c>
      <c r="F1498" s="687" t="s">
        <v>5817</v>
      </c>
      <c r="G1498" s="618" t="s">
        <v>5002</v>
      </c>
      <c r="H1498" s="939" t="s">
        <v>5003</v>
      </c>
      <c r="I1498" s="1069">
        <v>11256</v>
      </c>
      <c r="J1498" s="618">
        <v>0</v>
      </c>
      <c r="K1498" s="618">
        <v>24</v>
      </c>
      <c r="L1498" s="1011">
        <f t="shared" ref="L1498:L1503" si="482">I1498/K1498</f>
        <v>469</v>
      </c>
      <c r="M1498" s="1012">
        <v>46281</v>
      </c>
      <c r="N1498" s="1012">
        <v>46277</v>
      </c>
      <c r="O1498" s="773" t="s">
        <v>5698</v>
      </c>
      <c r="P1498" s="618"/>
      <c r="Q1498" s="774"/>
      <c r="R1498" s="774">
        <v>46162</v>
      </c>
      <c r="S1498" s="646" t="s">
        <v>70</v>
      </c>
      <c r="T1498" s="999" t="s">
        <v>5453</v>
      </c>
      <c r="U1498" s="999"/>
      <c r="V1498" s="646"/>
      <c r="W1498" s="628"/>
      <c r="X1498" s="628" t="s">
        <v>5664</v>
      </c>
      <c r="Y1498" s="1014" t="s">
        <v>5455</v>
      </c>
      <c r="Z1498" s="1339">
        <v>111.1651</v>
      </c>
      <c r="AA1498" s="1014">
        <f>Z1498*L1498</f>
        <v>52136.4319</v>
      </c>
      <c r="AB1498" s="687"/>
      <c r="AC1498" s="1077"/>
      <c r="AD1498" s="560" t="s">
        <v>5008</v>
      </c>
      <c r="AE1498" s="939" t="s">
        <v>82</v>
      </c>
      <c r="AF1498" s="618"/>
      <c r="AG1498" s="618"/>
      <c r="AH1498" s="618"/>
      <c r="AI1498" s="609"/>
      <c r="AJ1498" s="773">
        <f t="shared" si="462"/>
        <v>-11256</v>
      </c>
      <c r="AK1498" s="618"/>
      <c r="AL1498" s="618"/>
      <c r="AM1498" s="687"/>
      <c r="AN1498" s="687">
        <f t="shared" si="480"/>
        <v>11256</v>
      </c>
      <c r="AO1498" s="687"/>
      <c r="AP1498" s="687"/>
      <c r="AQ1498" s="687"/>
      <c r="AR1498" s="687">
        <f t="shared" si="481"/>
        <v>11256</v>
      </c>
      <c r="AS1498" s="687"/>
      <c r="AT1498" s="687"/>
      <c r="AU1498" s="563">
        <f t="shared" si="478"/>
        <v>11256</v>
      </c>
      <c r="AV1498" s="563"/>
      <c r="AW1498" s="563">
        <f t="shared" ref="AW1498:AW1517" si="483">I1498</f>
        <v>11256</v>
      </c>
      <c r="AX1498" s="1016"/>
      <c r="AY1498" s="687"/>
      <c r="AZ1498" s="687"/>
      <c r="BA1498" s="687"/>
      <c r="BB1498" s="687"/>
      <c r="BC1498" s="687"/>
      <c r="BD1498" s="687"/>
      <c r="BE1498" s="687"/>
      <c r="BF1498" s="687"/>
      <c r="BG1498" s="687"/>
      <c r="BH1498" s="687"/>
      <c r="BI1498" s="687"/>
      <c r="BJ1498" s="687"/>
      <c r="BK1498" s="687"/>
      <c r="BL1498" s="687"/>
      <c r="BM1498" s="687">
        <f>I1498</f>
        <v>11256</v>
      </c>
      <c r="BN1498" s="687"/>
      <c r="BO1498" s="687"/>
      <c r="BP1498" s="687"/>
      <c r="BQ1498" s="687"/>
      <c r="BR1498" s="687"/>
      <c r="BS1498" s="687"/>
      <c r="BT1498" s="687"/>
      <c r="BU1498" s="687"/>
      <c r="BV1498" s="687"/>
      <c r="BW1498" s="687"/>
      <c r="BX1498" s="687"/>
      <c r="BY1498" s="687"/>
      <c r="BZ1498" s="687"/>
      <c r="CA1498" s="687"/>
      <c r="CB1498" s="687"/>
      <c r="CC1498" s="687"/>
      <c r="CD1498" s="687"/>
      <c r="CE1498" s="687"/>
      <c r="CF1498" s="687"/>
      <c r="CG1498" s="687"/>
      <c r="CH1498" s="1020"/>
      <c r="CI1498" s="1020"/>
      <c r="CJ1498" s="1020"/>
      <c r="CK1498" s="1020"/>
      <c r="CL1498" s="1020"/>
      <c r="CM1498" s="687"/>
      <c r="CN1498" s="687"/>
      <c r="CO1498" s="687"/>
      <c r="CP1498" s="1020"/>
      <c r="CQ1498" s="1020"/>
      <c r="CR1498" s="1020"/>
      <c r="CS1498" s="1020"/>
      <c r="CT1498" s="1020"/>
      <c r="CU1498" s="1020"/>
    </row>
    <row r="1499" s="1270" customFormat="1" ht="31" customHeight="1" spans="1:99 16239:16384">
      <c r="A1499" s="1022">
        <v>46206</v>
      </c>
      <c r="B1499" s="626" t="s">
        <v>2811</v>
      </c>
      <c r="C1499" s="939" t="s">
        <v>98</v>
      </c>
      <c r="D1499" s="563">
        <v>4500213190</v>
      </c>
      <c r="E1499" s="1051">
        <v>70094932</v>
      </c>
      <c r="F1499" s="563" t="s">
        <v>5818</v>
      </c>
      <c r="G1499" s="939" t="s">
        <v>2736</v>
      </c>
      <c r="H1499" s="939" t="s">
        <v>2737</v>
      </c>
      <c r="I1499" s="1023">
        <v>1800</v>
      </c>
      <c r="J1499" s="939">
        <v>0</v>
      </c>
      <c r="K1499" s="939">
        <v>8</v>
      </c>
      <c r="L1499" s="1064">
        <f t="shared" si="482"/>
        <v>225</v>
      </c>
      <c r="M1499" s="1058">
        <v>46281</v>
      </c>
      <c r="N1499" s="1058">
        <v>46277</v>
      </c>
      <c r="O1499" s="1031"/>
      <c r="P1499" s="939"/>
      <c r="Q1499" s="999"/>
      <c r="R1499" s="999">
        <v>46225</v>
      </c>
      <c r="S1499" s="999" t="s">
        <v>70</v>
      </c>
      <c r="T1499" s="999" t="s">
        <v>5723</v>
      </c>
      <c r="U1499" s="999"/>
      <c r="V1499" s="999"/>
      <c r="W1499" s="626"/>
      <c r="X1499" s="626" t="s">
        <v>5819</v>
      </c>
      <c r="Y1499" s="1001" t="s">
        <v>3061</v>
      </c>
      <c r="Z1499" s="1076">
        <v>4.3055</v>
      </c>
      <c r="AA1499" s="1001">
        <f t="shared" ref="AA1499:AA1517" si="484">Z1499*I1499</f>
        <v>7749.9</v>
      </c>
      <c r="AB1499" s="563"/>
      <c r="AC1499" s="1077"/>
      <c r="AD1499" s="939" t="s">
        <v>2741</v>
      </c>
      <c r="AE1499" s="939" t="s">
        <v>82</v>
      </c>
      <c r="AF1499" s="939"/>
      <c r="AG1499" s="939"/>
      <c r="AH1499" s="939"/>
      <c r="AI1499" s="609"/>
      <c r="AJ1499" s="1031">
        <f>AI1499-I1499</f>
        <v>-1800</v>
      </c>
      <c r="AK1499" s="939"/>
      <c r="AL1499" s="939"/>
      <c r="AM1499" s="563"/>
      <c r="AN1499" s="563">
        <f t="shared" si="480"/>
        <v>1800</v>
      </c>
      <c r="AO1499" s="563"/>
      <c r="AP1499" s="563"/>
      <c r="AQ1499" s="563"/>
      <c r="AR1499" s="563">
        <f t="shared" si="481"/>
        <v>1800</v>
      </c>
      <c r="AS1499" s="563"/>
      <c r="AT1499" s="563"/>
      <c r="AU1499" s="563">
        <f t="shared" si="478"/>
        <v>1800</v>
      </c>
      <c r="AV1499" s="563"/>
      <c r="AW1499" s="563">
        <f t="shared" si="483"/>
        <v>1800</v>
      </c>
      <c r="AX1499" s="1004"/>
      <c r="AY1499" s="563"/>
      <c r="AZ1499" s="563"/>
      <c r="BA1499" s="563"/>
      <c r="BB1499" s="563"/>
      <c r="BC1499" s="563"/>
      <c r="BD1499" s="563"/>
      <c r="BE1499" s="563"/>
      <c r="BF1499" s="563"/>
      <c r="BG1499" s="563"/>
      <c r="BH1499" s="563"/>
      <c r="BI1499" s="563"/>
      <c r="BJ1499" s="563"/>
      <c r="BK1499" s="563"/>
      <c r="BL1499" s="563"/>
      <c r="BM1499" s="563"/>
      <c r="BN1499" s="563">
        <f>I1499</f>
        <v>1800</v>
      </c>
      <c r="BO1499" s="563"/>
      <c r="BP1499" s="563"/>
      <c r="BQ1499" s="563"/>
      <c r="BR1499" s="563"/>
      <c r="BS1499" s="563"/>
      <c r="BT1499" s="563"/>
      <c r="BU1499" s="563"/>
      <c r="BV1499" s="563"/>
      <c r="BW1499" s="563"/>
      <c r="BX1499" s="563"/>
      <c r="BY1499" s="563"/>
      <c r="BZ1499" s="563"/>
      <c r="CA1499" s="563"/>
      <c r="CB1499" s="563"/>
      <c r="CC1499" s="563"/>
      <c r="CD1499" s="563"/>
      <c r="CE1499" s="563"/>
      <c r="CF1499" s="563"/>
      <c r="CG1499" s="563"/>
      <c r="CH1499" s="1015"/>
      <c r="CI1499" s="1015"/>
      <c r="CJ1499" s="1015"/>
      <c r="CK1499" s="1015"/>
      <c r="CL1499" s="1015"/>
      <c r="CM1499" s="563"/>
      <c r="CN1499" s="563"/>
      <c r="CO1499" s="563"/>
      <c r="CP1499" s="1015"/>
      <c r="CQ1499" s="1015"/>
      <c r="CR1499" s="1015"/>
      <c r="CS1499" s="1015"/>
      <c r="CT1499" s="1015"/>
      <c r="CU1499" s="1015"/>
    </row>
    <row r="1500" s="1270" customFormat="1" ht="31" customHeight="1" spans="1:99 16239:16384">
      <c r="A1500" s="1022">
        <v>46237</v>
      </c>
      <c r="B1500" s="626" t="s">
        <v>379</v>
      </c>
      <c r="C1500" s="939" t="s">
        <v>98</v>
      </c>
      <c r="D1500" s="563">
        <v>4500218444</v>
      </c>
      <c r="E1500" s="939">
        <v>37070</v>
      </c>
      <c r="F1500" s="563" t="s">
        <v>5820</v>
      </c>
      <c r="G1500" s="939" t="s">
        <v>111</v>
      </c>
      <c r="H1500" s="939" t="s">
        <v>112</v>
      </c>
      <c r="I1500" s="1023">
        <v>5200</v>
      </c>
      <c r="J1500" s="939">
        <v>0</v>
      </c>
      <c r="K1500" s="939">
        <v>16</v>
      </c>
      <c r="L1500" s="1064">
        <v>325</v>
      </c>
      <c r="M1500" s="1027">
        <v>46281</v>
      </c>
      <c r="N1500" s="1027">
        <v>46277</v>
      </c>
      <c r="O1500" s="1031"/>
      <c r="P1500" s="939"/>
      <c r="Q1500" s="999"/>
      <c r="R1500" s="999">
        <v>46245</v>
      </c>
      <c r="S1500" s="999" t="s">
        <v>70</v>
      </c>
      <c r="T1500" s="999" t="s">
        <v>70</v>
      </c>
      <c r="U1500" s="999"/>
      <c r="V1500" s="999"/>
      <c r="W1500" s="626"/>
      <c r="X1500" s="626" t="s">
        <v>5821</v>
      </c>
      <c r="Y1500" s="1001" t="s">
        <v>1781</v>
      </c>
      <c r="Z1500" s="1076">
        <v>2.6669</v>
      </c>
      <c r="AA1500" s="1001">
        <f t="shared" si="484"/>
        <v>13867.88</v>
      </c>
      <c r="AB1500" s="563"/>
      <c r="AC1500" s="1077"/>
      <c r="AD1500" s="939" t="s">
        <v>111</v>
      </c>
      <c r="AE1500" s="939" t="s">
        <v>82</v>
      </c>
      <c r="AF1500" s="939"/>
      <c r="AG1500" s="939"/>
      <c r="AH1500" s="939"/>
      <c r="AI1500" s="626"/>
      <c r="AJ1500" s="939">
        <f t="shared" ref="AJ1500:AJ1517" si="485">AI1500-I1500</f>
        <v>-5200</v>
      </c>
      <c r="AK1500" s="939"/>
      <c r="AL1500" s="939"/>
      <c r="AM1500" s="563"/>
      <c r="AN1500" s="563">
        <f t="shared" si="480"/>
        <v>5200</v>
      </c>
      <c r="AO1500" s="563"/>
      <c r="AP1500" s="563"/>
      <c r="AQ1500" s="563"/>
      <c r="AR1500" s="563">
        <f t="shared" si="481"/>
        <v>5200</v>
      </c>
      <c r="AS1500" s="563"/>
      <c r="AT1500" s="563"/>
      <c r="AU1500" s="563">
        <f t="shared" si="478"/>
        <v>5200</v>
      </c>
      <c r="AV1500" s="563"/>
      <c r="AW1500" s="563">
        <f t="shared" si="483"/>
        <v>5200</v>
      </c>
      <c r="AX1500" s="1004"/>
      <c r="AY1500" s="563"/>
      <c r="AZ1500" s="563"/>
      <c r="BA1500" s="563"/>
      <c r="BB1500" s="563"/>
      <c r="BC1500" s="563"/>
      <c r="BD1500" s="563"/>
      <c r="BE1500" s="563"/>
      <c r="BF1500" s="563"/>
      <c r="BG1500" s="563"/>
      <c r="BH1500" s="563">
        <f t="shared" ref="BH1498:BH1503" si="486">I1500/4</f>
        <v>1300</v>
      </c>
      <c r="BI1500" s="563"/>
      <c r="BJ1500" s="563"/>
      <c r="BK1500" s="563"/>
      <c r="BL1500" s="563"/>
      <c r="BM1500" s="563"/>
      <c r="BN1500" s="563"/>
      <c r="BO1500" s="563"/>
      <c r="BP1500" s="563"/>
      <c r="BQ1500" s="563"/>
      <c r="BR1500" s="563"/>
      <c r="BS1500" s="563"/>
      <c r="BT1500" s="563"/>
      <c r="BU1500" s="563"/>
      <c r="BV1500" s="563"/>
      <c r="BW1500" s="563"/>
      <c r="BX1500" s="563"/>
      <c r="BY1500" s="563"/>
      <c r="BZ1500" s="563"/>
      <c r="CA1500" s="563"/>
      <c r="CB1500" s="563"/>
      <c r="CC1500" s="563"/>
      <c r="CD1500" s="563"/>
      <c r="CE1500" s="563"/>
      <c r="CF1500" s="563"/>
      <c r="CG1500" s="563"/>
      <c r="CH1500" s="1015"/>
      <c r="CI1500" s="1015"/>
      <c r="CJ1500" s="1015"/>
      <c r="CK1500" s="1015"/>
      <c r="CL1500" s="1015"/>
      <c r="CM1500" s="563"/>
      <c r="CN1500" s="563"/>
      <c r="CO1500" s="563"/>
      <c r="CP1500" s="1015"/>
      <c r="CQ1500" s="1015"/>
      <c r="CR1500" s="1015"/>
      <c r="CS1500" s="1015"/>
      <c r="CT1500" s="1015"/>
      <c r="CU1500" s="1015"/>
      <c r="WZO1500" s="1394"/>
      <c r="WZP1500" s="1394"/>
      <c r="WZQ1500" s="1394"/>
      <c r="WZR1500" s="1394"/>
      <c r="WZS1500" s="1394"/>
      <c r="WZT1500" s="1394"/>
      <c r="WZU1500" s="1394"/>
      <c r="WZV1500" s="1394"/>
      <c r="WZW1500" s="1394"/>
      <c r="WZX1500" s="1394"/>
      <c r="WZY1500" s="1394"/>
      <c r="WZZ1500" s="1394"/>
      <c r="XAA1500" s="1394"/>
      <c r="XAB1500" s="1394"/>
      <c r="XAC1500" s="1394"/>
      <c r="XAD1500" s="1394"/>
      <c r="XAE1500" s="1394"/>
      <c r="XAF1500" s="1394"/>
      <c r="XAG1500" s="1394"/>
      <c r="XAH1500" s="1394"/>
      <c r="XAI1500" s="1394"/>
      <c r="XAJ1500" s="1394"/>
      <c r="XAK1500" s="1394"/>
      <c r="XAL1500" s="1394"/>
      <c r="XAM1500" s="1394"/>
      <c r="XAN1500" s="1394"/>
      <c r="XAO1500" s="1394"/>
      <c r="XAP1500" s="1394"/>
      <c r="XAQ1500" s="1394"/>
      <c r="XAR1500" s="1394"/>
      <c r="XAS1500" s="1394"/>
      <c r="XAT1500" s="1394"/>
      <c r="XAU1500" s="1394"/>
      <c r="XAV1500" s="1394"/>
      <c r="XAW1500" s="1394"/>
      <c r="XAX1500" s="1394"/>
      <c r="XAY1500" s="1394"/>
      <c r="XAZ1500" s="1394"/>
      <c r="XBA1500" s="1394"/>
      <c r="XBB1500" s="1394"/>
      <c r="XBC1500" s="1394"/>
      <c r="XBD1500" s="1394"/>
      <c r="XBE1500" s="1394"/>
      <c r="XBF1500" s="1394"/>
      <c r="XBG1500" s="1394"/>
      <c r="XBH1500" s="1394"/>
      <c r="XBI1500" s="1394"/>
      <c r="XBJ1500" s="1394"/>
      <c r="XBK1500" s="1394"/>
      <c r="XBL1500" s="1394"/>
      <c r="XBM1500" s="1394"/>
      <c r="XBN1500" s="1394"/>
      <c r="XBO1500" s="1394"/>
      <c r="XBP1500" s="1394"/>
      <c r="XBQ1500" s="1394"/>
      <c r="XBR1500" s="1394"/>
      <c r="XBS1500" s="1394"/>
      <c r="XBT1500" s="1394"/>
      <c r="XBU1500" s="1394"/>
      <c r="XBV1500" s="1394"/>
      <c r="XBW1500" s="1394"/>
      <c r="XBX1500" s="1394"/>
      <c r="XBY1500" s="1394"/>
      <c r="XBZ1500" s="1394"/>
      <c r="XCA1500" s="1394"/>
      <c r="XCB1500" s="1394"/>
      <c r="XCC1500" s="1394"/>
      <c r="XCD1500" s="1394"/>
      <c r="XCE1500" s="1394"/>
      <c r="XCF1500" s="1394"/>
      <c r="XCG1500" s="1394"/>
      <c r="XCH1500" s="1394"/>
      <c r="XCI1500" s="1394"/>
      <c r="XCJ1500" s="1394"/>
      <c r="XCK1500" s="1394"/>
      <c r="XCL1500" s="1394"/>
      <c r="XCM1500" s="1394"/>
      <c r="XCN1500" s="1394"/>
      <c r="XCO1500" s="1394"/>
      <c r="XCP1500" s="1394"/>
      <c r="XCQ1500" s="1394"/>
      <c r="XCR1500" s="1394"/>
      <c r="XCS1500" s="1394"/>
      <c r="XCT1500" s="1394"/>
      <c r="XCU1500" s="1394"/>
      <c r="XCV1500" s="1394"/>
      <c r="XCW1500" s="1394"/>
      <c r="XCX1500" s="1394"/>
      <c r="XCY1500" s="1394"/>
      <c r="XCZ1500" s="1394"/>
      <c r="XDA1500" s="1394"/>
      <c r="XDB1500" s="1394"/>
      <c r="XDC1500" s="1394"/>
      <c r="XDD1500" s="1394"/>
      <c r="XDE1500" s="1394"/>
      <c r="XDF1500" s="1394"/>
      <c r="XDG1500" s="1394"/>
      <c r="XDH1500" s="1394"/>
      <c r="XDI1500" s="1394"/>
      <c r="XDJ1500" s="1394"/>
      <c r="XDK1500" s="1394"/>
      <c r="XDL1500" s="1394"/>
      <c r="XDM1500" s="1394"/>
      <c r="XDN1500" s="1394"/>
      <c r="XDO1500" s="1394"/>
      <c r="XDP1500" s="1394"/>
      <c r="XDQ1500" s="1394"/>
      <c r="XDR1500" s="1394"/>
      <c r="XDS1500" s="1394"/>
      <c r="XDT1500" s="1394"/>
      <c r="XDU1500" s="1394"/>
      <c r="XDV1500" s="1394"/>
      <c r="XDW1500" s="1394"/>
      <c r="XDX1500" s="1394"/>
      <c r="XDY1500" s="1394"/>
      <c r="XDZ1500" s="1394"/>
      <c r="XEA1500" s="1394"/>
      <c r="XEB1500" s="1394"/>
      <c r="XEC1500" s="1394"/>
      <c r="XED1500" s="1394"/>
      <c r="XEE1500" s="1394"/>
      <c r="XEF1500" s="1394"/>
      <c r="XEG1500" s="1394"/>
      <c r="XEH1500" s="1394"/>
      <c r="XEI1500" s="1394"/>
      <c r="XEJ1500" s="1394"/>
      <c r="XEK1500" s="1394"/>
      <c r="XEL1500" s="1394"/>
      <c r="XEM1500" s="1394"/>
      <c r="XEN1500" s="1394"/>
      <c r="XEO1500" s="1394"/>
      <c r="XEP1500" s="1394"/>
      <c r="XEQ1500" s="1394"/>
      <c r="XER1500" s="1394"/>
      <c r="XES1500" s="1394"/>
      <c r="XET1500" s="1394"/>
      <c r="XEU1500" s="1394"/>
      <c r="XEV1500" s="1394"/>
      <c r="XEW1500" s="1394"/>
      <c r="XEX1500" s="1394"/>
      <c r="XEY1500" s="1394"/>
      <c r="XEZ1500" s="1394"/>
      <c r="XFA1500" s="1394"/>
      <c r="XFB1500" s="1394"/>
      <c r="XFC1500" s="1394"/>
      <c r="XFD1500" s="1394"/>
    </row>
    <row r="1501" s="559" customFormat="1" ht="31" customHeight="1" spans="1:99 16239:16384">
      <c r="A1501" s="1022">
        <v>46237</v>
      </c>
      <c r="B1501" s="626" t="s">
        <v>143</v>
      </c>
      <c r="C1501" s="939" t="s">
        <v>98</v>
      </c>
      <c r="D1501" s="563">
        <v>4500218507</v>
      </c>
      <c r="E1501" s="1423" t="s">
        <v>5822</v>
      </c>
      <c r="F1501" s="563" t="s">
        <v>5823</v>
      </c>
      <c r="G1501" s="939" t="s">
        <v>101</v>
      </c>
      <c r="H1501" s="939" t="s">
        <v>102</v>
      </c>
      <c r="I1501" s="1023">
        <v>7076</v>
      </c>
      <c r="J1501" s="939">
        <v>0</v>
      </c>
      <c r="K1501" s="939">
        <v>4</v>
      </c>
      <c r="L1501" s="1064">
        <f t="shared" ref="L1501:L1506" si="487">I1501/K1501</f>
        <v>1769</v>
      </c>
      <c r="M1501" s="1027">
        <v>46281</v>
      </c>
      <c r="N1501" s="1027">
        <v>46277</v>
      </c>
      <c r="O1501" s="1031"/>
      <c r="P1501" s="939"/>
      <c r="Q1501" s="999"/>
      <c r="R1501" s="999" t="s">
        <v>4563</v>
      </c>
      <c r="S1501" s="646" t="s">
        <v>70</v>
      </c>
      <c r="T1501" s="999" t="s">
        <v>5824</v>
      </c>
      <c r="U1501" s="646"/>
      <c r="V1501" s="999"/>
      <c r="W1501" s="626"/>
      <c r="X1501" s="626" t="s">
        <v>5825</v>
      </c>
      <c r="Y1501" s="1001" t="s">
        <v>106</v>
      </c>
      <c r="Z1501" s="1076">
        <v>2.6957</v>
      </c>
      <c r="AA1501" s="1001">
        <f t="shared" si="484"/>
        <v>19074.7732</v>
      </c>
      <c r="AB1501" s="563"/>
      <c r="AC1501" s="1077"/>
      <c r="AD1501" s="1129" t="s">
        <v>101</v>
      </c>
      <c r="AE1501" s="939" t="s">
        <v>82</v>
      </c>
      <c r="AF1501" s="939"/>
      <c r="AG1501" s="939"/>
      <c r="AH1501" s="939"/>
      <c r="AI1501" s="609"/>
      <c r="AJ1501" s="773">
        <f t="shared" si="485"/>
        <v>-7076</v>
      </c>
      <c r="AK1501" s="939"/>
      <c r="AL1501" s="939" t="s">
        <v>2368</v>
      </c>
      <c r="AM1501" s="563"/>
      <c r="AN1501" s="563">
        <f t="shared" si="480"/>
        <v>7076</v>
      </c>
      <c r="AO1501" s="563"/>
      <c r="AP1501" s="563"/>
      <c r="AQ1501" s="563"/>
      <c r="AR1501" s="687">
        <f t="shared" si="481"/>
        <v>7076</v>
      </c>
      <c r="AS1501" s="687"/>
      <c r="AT1501" s="687"/>
      <c r="AU1501" s="563">
        <f t="shared" si="478"/>
        <v>7076</v>
      </c>
      <c r="AV1501" s="687"/>
      <c r="AW1501" s="563">
        <f t="shared" si="483"/>
        <v>7076</v>
      </c>
      <c r="AX1501" s="1004"/>
      <c r="AY1501" s="563"/>
      <c r="AZ1501" s="563"/>
      <c r="BA1501" s="563"/>
      <c r="BB1501" s="563"/>
      <c r="BC1501" s="563"/>
      <c r="BD1501" s="563"/>
      <c r="BE1501" s="563"/>
      <c r="BF1501" s="563"/>
      <c r="BG1501" s="563"/>
      <c r="BH1501" s="563">
        <f t="shared" si="486"/>
        <v>1769</v>
      </c>
      <c r="BI1501" s="563"/>
      <c r="BJ1501" s="563"/>
      <c r="BK1501" s="563"/>
      <c r="BL1501" s="563"/>
      <c r="BM1501" s="563"/>
      <c r="BN1501" s="563"/>
      <c r="BO1501" s="563"/>
      <c r="BP1501" s="563"/>
      <c r="BQ1501" s="563"/>
      <c r="BR1501" s="563"/>
      <c r="BS1501" s="563"/>
      <c r="BT1501" s="563"/>
      <c r="BU1501" s="563"/>
      <c r="BV1501" s="563"/>
      <c r="BW1501" s="563"/>
      <c r="BX1501" s="563"/>
      <c r="BY1501" s="563"/>
      <c r="BZ1501" s="563"/>
      <c r="CA1501" s="563"/>
      <c r="CB1501" s="563"/>
      <c r="CC1501" s="563"/>
      <c r="CD1501" s="563"/>
      <c r="CE1501" s="563"/>
      <c r="CF1501" s="563"/>
      <c r="CG1501" s="563"/>
      <c r="CH1501" s="1015"/>
      <c r="CI1501" s="1015"/>
      <c r="CJ1501" s="1015"/>
      <c r="CK1501" s="1015"/>
      <c r="CL1501" s="1015"/>
      <c r="CM1501" s="563"/>
      <c r="CN1501" s="563"/>
      <c r="CO1501" s="563"/>
      <c r="CP1501" s="1015"/>
      <c r="CQ1501" s="1015"/>
      <c r="CR1501" s="1015"/>
      <c r="CS1501" s="1015"/>
      <c r="CT1501" s="1015"/>
      <c r="CU1501" s="1015"/>
      <c r="WZO1501" s="1276"/>
      <c r="WZP1501" s="1276"/>
      <c r="WZQ1501" s="1276"/>
      <c r="WZR1501" s="1276"/>
      <c r="WZS1501" s="1276"/>
      <c r="WZT1501" s="1276"/>
      <c r="WZU1501" s="1276"/>
      <c r="WZV1501" s="1276"/>
      <c r="WZW1501" s="1276"/>
      <c r="WZX1501" s="1276"/>
      <c r="WZY1501" s="1276"/>
      <c r="WZZ1501" s="1276"/>
      <c r="XAA1501" s="1276"/>
      <c r="XAB1501" s="1276"/>
      <c r="XAC1501" s="1276"/>
      <c r="XAD1501" s="1276"/>
      <c r="XAE1501" s="1276"/>
      <c r="XAF1501" s="1276"/>
      <c r="XAG1501" s="1276"/>
      <c r="XAH1501" s="1276"/>
      <c r="XAI1501" s="1276"/>
      <c r="XAJ1501" s="1276"/>
      <c r="XAK1501" s="1276"/>
      <c r="XAL1501" s="1276"/>
      <c r="XAM1501" s="1276"/>
      <c r="XAN1501" s="1276"/>
      <c r="XAO1501" s="1276"/>
      <c r="XAP1501" s="1276"/>
      <c r="XAQ1501" s="1276"/>
      <c r="XAR1501" s="1276"/>
      <c r="XAS1501" s="1276"/>
      <c r="XAT1501" s="1276"/>
      <c r="XAU1501" s="1276"/>
      <c r="XAV1501" s="1276"/>
      <c r="XAW1501" s="1276"/>
      <c r="XAX1501" s="1276"/>
      <c r="XAY1501" s="1276"/>
      <c r="XAZ1501" s="1276"/>
      <c r="XBA1501" s="1276"/>
      <c r="XBB1501" s="1276"/>
      <c r="XBC1501" s="1276"/>
      <c r="XBD1501" s="1276"/>
      <c r="XBE1501" s="1276"/>
      <c r="XBF1501" s="1276"/>
      <c r="XBG1501" s="1276"/>
      <c r="XBH1501" s="1276"/>
      <c r="XBI1501" s="1276"/>
      <c r="XBJ1501" s="1276"/>
      <c r="XBK1501" s="1276"/>
      <c r="XBL1501" s="1276"/>
      <c r="XBM1501" s="1276"/>
      <c r="XBN1501" s="1276"/>
      <c r="XBO1501" s="1276"/>
      <c r="XBP1501" s="1276"/>
      <c r="XBQ1501" s="1276"/>
      <c r="XBR1501" s="1276"/>
      <c r="XBS1501" s="1276"/>
      <c r="XBT1501" s="1276"/>
      <c r="XBU1501" s="1276"/>
      <c r="XBV1501" s="1276"/>
      <c r="XBW1501" s="1276"/>
      <c r="XBX1501" s="1276"/>
      <c r="XBY1501" s="1276"/>
      <c r="XBZ1501" s="1276"/>
      <c r="XCA1501" s="1276"/>
      <c r="XCB1501" s="1276"/>
      <c r="XCC1501" s="1276"/>
      <c r="XCD1501" s="1276"/>
      <c r="XCE1501" s="1276"/>
      <c r="XCF1501" s="1276"/>
      <c r="XCG1501" s="1276"/>
      <c r="XCH1501" s="1276"/>
      <c r="XCI1501" s="1276"/>
      <c r="XCJ1501" s="1276"/>
      <c r="XCK1501" s="1276"/>
      <c r="XCL1501" s="1276"/>
      <c r="XCM1501" s="1276"/>
      <c r="XCN1501" s="1276"/>
      <c r="XCO1501" s="1276"/>
      <c r="XCP1501" s="1276"/>
      <c r="XCQ1501" s="1276"/>
      <c r="XCR1501" s="1276"/>
      <c r="XCS1501" s="1276"/>
      <c r="XCT1501" s="1276"/>
      <c r="XCU1501" s="1276"/>
      <c r="XCV1501" s="1276"/>
      <c r="XCW1501" s="1276"/>
      <c r="XCX1501" s="1276"/>
      <c r="XCY1501" s="1276"/>
      <c r="XCZ1501" s="1276"/>
      <c r="XDA1501" s="1276"/>
      <c r="XDB1501" s="1276"/>
      <c r="XDC1501" s="1276"/>
      <c r="XDD1501" s="1276"/>
      <c r="XDE1501" s="1276"/>
      <c r="XDF1501" s="1276"/>
      <c r="XDG1501" s="1276"/>
      <c r="XDH1501" s="1276"/>
      <c r="XDI1501" s="1276"/>
      <c r="XDJ1501" s="1276"/>
      <c r="XDK1501" s="1276"/>
      <c r="XDL1501" s="1276"/>
      <c r="XDM1501" s="1276"/>
      <c r="XDN1501" s="1276"/>
      <c r="XDO1501" s="1276"/>
      <c r="XDP1501" s="1276"/>
      <c r="XDQ1501" s="1276"/>
      <c r="XDR1501" s="1276"/>
      <c r="XDS1501" s="1276"/>
      <c r="XDT1501" s="1276"/>
      <c r="XDU1501" s="1276"/>
      <c r="XDV1501" s="1276"/>
      <c r="XDW1501" s="1276"/>
      <c r="XDX1501" s="1276"/>
      <c r="XDY1501" s="1276"/>
      <c r="XDZ1501" s="1276"/>
      <c r="XEA1501" s="1276"/>
      <c r="XEB1501" s="1276"/>
      <c r="XEC1501" s="1276"/>
      <c r="XED1501" s="1276"/>
      <c r="XEE1501" s="1276"/>
      <c r="XEF1501" s="1276"/>
      <c r="XEG1501" s="1276"/>
      <c r="XEH1501" s="1276"/>
      <c r="XEI1501" s="1276"/>
      <c r="XEJ1501" s="1276"/>
      <c r="XEK1501" s="1276"/>
      <c r="XEL1501" s="1276"/>
      <c r="XEM1501" s="1276"/>
      <c r="XEN1501" s="1276"/>
      <c r="XEO1501" s="1276"/>
      <c r="XEP1501" s="1276"/>
      <c r="XEQ1501" s="1276"/>
      <c r="XER1501" s="1276"/>
      <c r="XES1501" s="1276"/>
      <c r="XET1501" s="1276"/>
      <c r="XEU1501" s="1276"/>
      <c r="XEV1501" s="1276"/>
      <c r="XEW1501" s="1276"/>
      <c r="XEX1501" s="1276"/>
      <c r="XEY1501" s="1276"/>
      <c r="XEZ1501" s="1276"/>
      <c r="XFA1501" s="1276"/>
      <c r="XFB1501" s="1276"/>
      <c r="XFC1501" s="1276"/>
      <c r="XFD1501" s="1276"/>
    </row>
    <row r="1502" s="559" customFormat="1" ht="31" customHeight="1" spans="1:99 16239:16384">
      <c r="A1502" s="1022">
        <v>46237</v>
      </c>
      <c r="B1502" s="626" t="s">
        <v>143</v>
      </c>
      <c r="C1502" s="939" t="s">
        <v>98</v>
      </c>
      <c r="D1502" s="563">
        <v>4500218507</v>
      </c>
      <c r="E1502" s="1423" t="s">
        <v>5826</v>
      </c>
      <c r="F1502" s="563" t="s">
        <v>5827</v>
      </c>
      <c r="G1502" s="939" t="s">
        <v>101</v>
      </c>
      <c r="H1502" s="939" t="s">
        <v>102</v>
      </c>
      <c r="I1502" s="1023">
        <v>7620</v>
      </c>
      <c r="J1502" s="939">
        <v>0</v>
      </c>
      <c r="K1502" s="939">
        <v>4</v>
      </c>
      <c r="L1502" s="1064">
        <f t="shared" si="487"/>
        <v>1905</v>
      </c>
      <c r="M1502" s="1027">
        <v>46281</v>
      </c>
      <c r="N1502" s="1027">
        <v>46277</v>
      </c>
      <c r="O1502" s="1031"/>
      <c r="P1502" s="939"/>
      <c r="Q1502" s="999"/>
      <c r="R1502" s="999" t="s">
        <v>4563</v>
      </c>
      <c r="S1502" s="646" t="s">
        <v>70</v>
      </c>
      <c r="T1502" s="999" t="s">
        <v>5824</v>
      </c>
      <c r="U1502" s="646"/>
      <c r="V1502" s="999"/>
      <c r="W1502" s="626"/>
      <c r="X1502" s="626" t="s">
        <v>5825</v>
      </c>
      <c r="Y1502" s="1001" t="s">
        <v>106</v>
      </c>
      <c r="Z1502" s="1076">
        <v>2.6957</v>
      </c>
      <c r="AA1502" s="1001">
        <f t="shared" si="484"/>
        <v>20541.234</v>
      </c>
      <c r="AB1502" s="563"/>
      <c r="AC1502" s="1077"/>
      <c r="AD1502" s="1129" t="s">
        <v>101</v>
      </c>
      <c r="AE1502" s="939" t="s">
        <v>82</v>
      </c>
      <c r="AF1502" s="939"/>
      <c r="AG1502" s="939"/>
      <c r="AH1502" s="939"/>
      <c r="AI1502" s="609"/>
      <c r="AJ1502" s="773">
        <f t="shared" si="485"/>
        <v>-7620</v>
      </c>
      <c r="AK1502" s="939"/>
      <c r="AL1502" s="939" t="s">
        <v>2368</v>
      </c>
      <c r="AM1502" s="563"/>
      <c r="AN1502" s="563">
        <f t="shared" si="480"/>
        <v>7620</v>
      </c>
      <c r="AO1502" s="563"/>
      <c r="AP1502" s="563"/>
      <c r="AQ1502" s="563"/>
      <c r="AR1502" s="687">
        <f t="shared" si="481"/>
        <v>7620</v>
      </c>
      <c r="AS1502" s="687"/>
      <c r="AT1502" s="687"/>
      <c r="AU1502" s="563">
        <f t="shared" si="478"/>
        <v>7620</v>
      </c>
      <c r="AV1502" s="687"/>
      <c r="AW1502" s="563">
        <f t="shared" si="483"/>
        <v>7620</v>
      </c>
      <c r="AX1502" s="1004"/>
      <c r="AY1502" s="563"/>
      <c r="AZ1502" s="563"/>
      <c r="BA1502" s="563"/>
      <c r="BB1502" s="563"/>
      <c r="BC1502" s="563"/>
      <c r="BD1502" s="563"/>
      <c r="BE1502" s="563"/>
      <c r="BF1502" s="563"/>
      <c r="BG1502" s="563"/>
      <c r="BH1502" s="563">
        <f t="shared" si="486"/>
        <v>1905</v>
      </c>
      <c r="BI1502" s="563"/>
      <c r="BJ1502" s="563"/>
      <c r="BK1502" s="563"/>
      <c r="BL1502" s="563"/>
      <c r="BM1502" s="563"/>
      <c r="BN1502" s="563"/>
      <c r="BO1502" s="563"/>
      <c r="BP1502" s="563"/>
      <c r="BQ1502" s="563"/>
      <c r="BR1502" s="563"/>
      <c r="BS1502" s="563"/>
      <c r="BT1502" s="563"/>
      <c r="BU1502" s="563"/>
      <c r="BV1502" s="563"/>
      <c r="BW1502" s="563"/>
      <c r="BX1502" s="563"/>
      <c r="BY1502" s="563"/>
      <c r="BZ1502" s="563"/>
      <c r="CA1502" s="563"/>
      <c r="CB1502" s="563"/>
      <c r="CC1502" s="563"/>
      <c r="CD1502" s="563"/>
      <c r="CE1502" s="563"/>
      <c r="CF1502" s="563"/>
      <c r="CG1502" s="563"/>
      <c r="CH1502" s="1015"/>
      <c r="CI1502" s="1015"/>
      <c r="CJ1502" s="1015"/>
      <c r="CK1502" s="1015"/>
      <c r="CL1502" s="1015"/>
      <c r="CM1502" s="563"/>
      <c r="CN1502" s="563"/>
      <c r="CO1502" s="563"/>
      <c r="CP1502" s="1015"/>
      <c r="CQ1502" s="1015"/>
      <c r="CR1502" s="1015"/>
      <c r="CS1502" s="1015"/>
      <c r="CT1502" s="1015"/>
      <c r="CU1502" s="1015"/>
      <c r="WZO1502" s="1276"/>
      <c r="WZP1502" s="1276"/>
      <c r="WZQ1502" s="1276"/>
      <c r="WZR1502" s="1276"/>
      <c r="WZS1502" s="1276"/>
      <c r="WZT1502" s="1276"/>
      <c r="WZU1502" s="1276"/>
      <c r="WZV1502" s="1276"/>
      <c r="WZW1502" s="1276"/>
      <c r="WZX1502" s="1276"/>
      <c r="WZY1502" s="1276"/>
      <c r="WZZ1502" s="1276"/>
      <c r="XAA1502" s="1276"/>
      <c r="XAB1502" s="1276"/>
      <c r="XAC1502" s="1276"/>
      <c r="XAD1502" s="1276"/>
      <c r="XAE1502" s="1276"/>
      <c r="XAF1502" s="1276"/>
      <c r="XAG1502" s="1276"/>
      <c r="XAH1502" s="1276"/>
      <c r="XAI1502" s="1276"/>
      <c r="XAJ1502" s="1276"/>
      <c r="XAK1502" s="1276"/>
      <c r="XAL1502" s="1276"/>
      <c r="XAM1502" s="1276"/>
      <c r="XAN1502" s="1276"/>
      <c r="XAO1502" s="1276"/>
      <c r="XAP1502" s="1276"/>
      <c r="XAQ1502" s="1276"/>
      <c r="XAR1502" s="1276"/>
      <c r="XAS1502" s="1276"/>
      <c r="XAT1502" s="1276"/>
      <c r="XAU1502" s="1276"/>
      <c r="XAV1502" s="1276"/>
      <c r="XAW1502" s="1276"/>
      <c r="XAX1502" s="1276"/>
      <c r="XAY1502" s="1276"/>
      <c r="XAZ1502" s="1276"/>
      <c r="XBA1502" s="1276"/>
      <c r="XBB1502" s="1276"/>
      <c r="XBC1502" s="1276"/>
      <c r="XBD1502" s="1276"/>
      <c r="XBE1502" s="1276"/>
      <c r="XBF1502" s="1276"/>
      <c r="XBG1502" s="1276"/>
      <c r="XBH1502" s="1276"/>
      <c r="XBI1502" s="1276"/>
      <c r="XBJ1502" s="1276"/>
      <c r="XBK1502" s="1276"/>
      <c r="XBL1502" s="1276"/>
      <c r="XBM1502" s="1276"/>
      <c r="XBN1502" s="1276"/>
      <c r="XBO1502" s="1276"/>
      <c r="XBP1502" s="1276"/>
      <c r="XBQ1502" s="1276"/>
      <c r="XBR1502" s="1276"/>
      <c r="XBS1502" s="1276"/>
      <c r="XBT1502" s="1276"/>
      <c r="XBU1502" s="1276"/>
      <c r="XBV1502" s="1276"/>
      <c r="XBW1502" s="1276"/>
      <c r="XBX1502" s="1276"/>
      <c r="XBY1502" s="1276"/>
      <c r="XBZ1502" s="1276"/>
      <c r="XCA1502" s="1276"/>
      <c r="XCB1502" s="1276"/>
      <c r="XCC1502" s="1276"/>
      <c r="XCD1502" s="1276"/>
      <c r="XCE1502" s="1276"/>
      <c r="XCF1502" s="1276"/>
      <c r="XCG1502" s="1276"/>
      <c r="XCH1502" s="1276"/>
      <c r="XCI1502" s="1276"/>
      <c r="XCJ1502" s="1276"/>
      <c r="XCK1502" s="1276"/>
      <c r="XCL1502" s="1276"/>
      <c r="XCM1502" s="1276"/>
      <c r="XCN1502" s="1276"/>
      <c r="XCO1502" s="1276"/>
      <c r="XCP1502" s="1276"/>
      <c r="XCQ1502" s="1276"/>
      <c r="XCR1502" s="1276"/>
      <c r="XCS1502" s="1276"/>
      <c r="XCT1502" s="1276"/>
      <c r="XCU1502" s="1276"/>
      <c r="XCV1502" s="1276"/>
      <c r="XCW1502" s="1276"/>
      <c r="XCX1502" s="1276"/>
      <c r="XCY1502" s="1276"/>
      <c r="XCZ1502" s="1276"/>
      <c r="XDA1502" s="1276"/>
      <c r="XDB1502" s="1276"/>
      <c r="XDC1502" s="1276"/>
      <c r="XDD1502" s="1276"/>
      <c r="XDE1502" s="1276"/>
      <c r="XDF1502" s="1276"/>
      <c r="XDG1502" s="1276"/>
      <c r="XDH1502" s="1276"/>
      <c r="XDI1502" s="1276"/>
      <c r="XDJ1502" s="1276"/>
      <c r="XDK1502" s="1276"/>
      <c r="XDL1502" s="1276"/>
      <c r="XDM1502" s="1276"/>
      <c r="XDN1502" s="1276"/>
      <c r="XDO1502" s="1276"/>
      <c r="XDP1502" s="1276"/>
      <c r="XDQ1502" s="1276"/>
      <c r="XDR1502" s="1276"/>
      <c r="XDS1502" s="1276"/>
      <c r="XDT1502" s="1276"/>
      <c r="XDU1502" s="1276"/>
      <c r="XDV1502" s="1276"/>
      <c r="XDW1502" s="1276"/>
      <c r="XDX1502" s="1276"/>
      <c r="XDY1502" s="1276"/>
      <c r="XDZ1502" s="1276"/>
      <c r="XEA1502" s="1276"/>
      <c r="XEB1502" s="1276"/>
      <c r="XEC1502" s="1276"/>
      <c r="XED1502" s="1276"/>
      <c r="XEE1502" s="1276"/>
      <c r="XEF1502" s="1276"/>
      <c r="XEG1502" s="1276"/>
      <c r="XEH1502" s="1276"/>
      <c r="XEI1502" s="1276"/>
      <c r="XEJ1502" s="1276"/>
      <c r="XEK1502" s="1276"/>
      <c r="XEL1502" s="1276"/>
      <c r="XEM1502" s="1276"/>
      <c r="XEN1502" s="1276"/>
      <c r="XEO1502" s="1276"/>
      <c r="XEP1502" s="1276"/>
      <c r="XEQ1502" s="1276"/>
      <c r="XER1502" s="1276"/>
      <c r="XES1502" s="1276"/>
      <c r="XET1502" s="1276"/>
      <c r="XEU1502" s="1276"/>
      <c r="XEV1502" s="1276"/>
      <c r="XEW1502" s="1276"/>
      <c r="XEX1502" s="1276"/>
      <c r="XEY1502" s="1276"/>
      <c r="XEZ1502" s="1276"/>
      <c r="XFA1502" s="1276"/>
      <c r="XFB1502" s="1276"/>
      <c r="XFC1502" s="1276"/>
      <c r="XFD1502" s="1276"/>
    </row>
    <row r="1503" s="1271" customFormat="1" ht="31" customHeight="1" spans="1:99 16239:16384">
      <c r="A1503" s="1022">
        <v>46232</v>
      </c>
      <c r="B1503" s="626" t="s">
        <v>325</v>
      </c>
      <c r="C1503" s="939" t="s">
        <v>98</v>
      </c>
      <c r="D1503" s="563">
        <v>4500218109</v>
      </c>
      <c r="E1503" s="939" t="s">
        <v>5828</v>
      </c>
      <c r="F1503" s="563" t="s">
        <v>5829</v>
      </c>
      <c r="G1503" s="939" t="s">
        <v>249</v>
      </c>
      <c r="H1503" s="939" t="s">
        <v>250</v>
      </c>
      <c r="I1503" s="1023">
        <v>9040</v>
      </c>
      <c r="J1503" s="939">
        <v>0</v>
      </c>
      <c r="K1503" s="939">
        <v>4</v>
      </c>
      <c r="L1503" s="1064">
        <f t="shared" si="487"/>
        <v>2260</v>
      </c>
      <c r="M1503" s="1027">
        <v>46282</v>
      </c>
      <c r="N1503" s="1027">
        <v>46279</v>
      </c>
      <c r="O1503" s="1031"/>
      <c r="P1503" s="939"/>
      <c r="Q1503" s="999"/>
      <c r="R1503" s="999">
        <v>46248</v>
      </c>
      <c r="S1503" s="999" t="s">
        <v>104</v>
      </c>
      <c r="T1503" s="999" t="s">
        <v>5830</v>
      </c>
      <c r="U1503" s="999"/>
      <c r="V1503" s="213"/>
      <c r="W1503" s="626"/>
      <c r="X1503" s="1075" t="s">
        <v>5831</v>
      </c>
      <c r="Y1503" s="1001" t="s">
        <v>252</v>
      </c>
      <c r="Z1503" s="1076">
        <v>2.9369</v>
      </c>
      <c r="AA1503" s="1001">
        <f t="shared" si="484"/>
        <v>26549.576</v>
      </c>
      <c r="AB1503" s="563"/>
      <c r="AC1503" s="1077"/>
      <c r="AD1503" s="939" t="s">
        <v>249</v>
      </c>
      <c r="AE1503" s="939" t="s">
        <v>82</v>
      </c>
      <c r="AF1503" s="939"/>
      <c r="AG1503" s="939"/>
      <c r="AH1503" s="939"/>
      <c r="AI1503" s="626"/>
      <c r="AJ1503" s="939">
        <f t="shared" si="485"/>
        <v>-9040</v>
      </c>
      <c r="AK1503" s="939"/>
      <c r="AL1503" s="939"/>
      <c r="AM1503" s="563"/>
      <c r="AN1503" s="563"/>
      <c r="AO1503" s="563"/>
      <c r="AP1503" s="563">
        <f>I1503</f>
        <v>9040</v>
      </c>
      <c r="AQ1503" s="563"/>
      <c r="AR1503" s="563"/>
      <c r="AS1503" s="563"/>
      <c r="AT1503" s="563"/>
      <c r="AU1503" s="563"/>
      <c r="AV1503" s="563"/>
      <c r="AW1503" s="563">
        <f t="shared" si="483"/>
        <v>9040</v>
      </c>
      <c r="AX1503" s="1004"/>
      <c r="AY1503" s="563"/>
      <c r="AZ1503" s="563"/>
      <c r="BA1503" s="563"/>
      <c r="BB1503" s="563"/>
      <c r="BC1503" s="563"/>
      <c r="BD1503" s="563"/>
      <c r="BE1503" s="563"/>
      <c r="BF1503" s="563">
        <f>I1503</f>
        <v>9040</v>
      </c>
      <c r="BG1503" s="563">
        <f>I1503</f>
        <v>9040</v>
      </c>
      <c r="BH1503" s="563">
        <f t="shared" si="486"/>
        <v>2260</v>
      </c>
      <c r="BI1503" s="563"/>
      <c r="BJ1503" s="563"/>
      <c r="BK1503" s="563"/>
      <c r="BL1503" s="563"/>
      <c r="BM1503" s="563"/>
      <c r="BN1503" s="563"/>
      <c r="BO1503" s="563"/>
      <c r="BP1503" s="1147"/>
      <c r="BQ1503" s="1147"/>
      <c r="BR1503" s="1147"/>
      <c r="BS1503" s="1147"/>
      <c r="BT1503" s="1147"/>
      <c r="BU1503" s="1147"/>
      <c r="BV1503" s="1147"/>
      <c r="BW1503" s="1147"/>
      <c r="BX1503" s="1147"/>
      <c r="BY1503" s="1147"/>
      <c r="BZ1503" s="1147"/>
      <c r="CA1503" s="1147"/>
      <c r="CB1503" s="1147"/>
      <c r="CC1503" s="1147"/>
      <c r="CD1503" s="1147"/>
      <c r="CE1503" s="1147"/>
      <c r="CF1503" s="1147"/>
      <c r="CG1503" s="1147"/>
      <c r="CH1503" s="1068"/>
      <c r="CI1503" s="1068"/>
      <c r="CJ1503" s="1068"/>
      <c r="CK1503" s="1068"/>
      <c r="CL1503" s="1068"/>
      <c r="CM1503" s="1147"/>
      <c r="CN1503" s="1147"/>
      <c r="CO1503" s="1147"/>
      <c r="CP1503" s="1068"/>
      <c r="CQ1503" s="1068"/>
      <c r="CR1503" s="1068"/>
      <c r="CS1503" s="1068"/>
      <c r="CT1503" s="1068"/>
      <c r="CU1503" s="1068"/>
    </row>
    <row r="1504" s="1273" customFormat="1" ht="31" customHeight="1" spans="1:99 16239:16384">
      <c r="A1504" s="1022">
        <v>46216</v>
      </c>
      <c r="B1504" s="626" t="s">
        <v>5832</v>
      </c>
      <c r="C1504" s="939" t="s">
        <v>98</v>
      </c>
      <c r="D1504" s="563">
        <v>4500216073</v>
      </c>
      <c r="E1504" s="1051">
        <v>70094933</v>
      </c>
      <c r="F1504" s="563" t="s">
        <v>5833</v>
      </c>
      <c r="G1504" s="939" t="s">
        <v>2736</v>
      </c>
      <c r="H1504" s="939" t="s">
        <v>2737</v>
      </c>
      <c r="I1504" s="1023">
        <v>1200</v>
      </c>
      <c r="J1504" s="939">
        <v>0</v>
      </c>
      <c r="K1504" s="939">
        <v>8</v>
      </c>
      <c r="L1504" s="1064">
        <f t="shared" si="487"/>
        <v>150</v>
      </c>
      <c r="M1504" s="1058">
        <v>46282</v>
      </c>
      <c r="N1504" s="1058">
        <v>46279</v>
      </c>
      <c r="O1504" s="1031"/>
      <c r="P1504" s="939"/>
      <c r="Q1504" s="999"/>
      <c r="R1504" s="999">
        <v>46225</v>
      </c>
      <c r="S1504" s="999" t="s">
        <v>70</v>
      </c>
      <c r="T1504" s="999" t="s">
        <v>5834</v>
      </c>
      <c r="U1504" s="646"/>
      <c r="V1504" s="999"/>
      <c r="W1504" s="626"/>
      <c r="X1504" s="1075" t="s">
        <v>5835</v>
      </c>
      <c r="Y1504" s="1001" t="s">
        <v>5836</v>
      </c>
      <c r="Z1504" s="1076">
        <v>4.3055</v>
      </c>
      <c r="AA1504" s="1001">
        <f t="shared" si="484"/>
        <v>5166.6</v>
      </c>
      <c r="AB1504" s="563"/>
      <c r="AC1504" s="1077"/>
      <c r="AD1504" s="939" t="s">
        <v>2741</v>
      </c>
      <c r="AE1504" s="939" t="s">
        <v>82</v>
      </c>
      <c r="AF1504" s="939"/>
      <c r="AG1504" s="939"/>
      <c r="AH1504" s="939"/>
      <c r="AI1504" s="609"/>
      <c r="AJ1504" s="773">
        <f t="shared" si="485"/>
        <v>-1200</v>
      </c>
      <c r="AK1504" s="939"/>
      <c r="AL1504" s="939"/>
      <c r="AM1504" s="563"/>
      <c r="AN1504" s="563">
        <f t="shared" ref="AN1504:AN1524" si="488">I1504</f>
        <v>1200</v>
      </c>
      <c r="AO1504" s="563"/>
      <c r="AP1504" s="563"/>
      <c r="AQ1504" s="563"/>
      <c r="AR1504" s="687">
        <f>I1504</f>
        <v>1200</v>
      </c>
      <c r="AS1504" s="687"/>
      <c r="AT1504" s="687"/>
      <c r="AU1504" s="563">
        <f t="shared" ref="AU1504:AU1517" si="489">I1504</f>
        <v>1200</v>
      </c>
      <c r="AV1504" s="687"/>
      <c r="AW1504" s="687">
        <f t="shared" si="483"/>
        <v>1200</v>
      </c>
      <c r="AX1504" s="1004"/>
      <c r="AY1504" s="563"/>
      <c r="AZ1504" s="563"/>
      <c r="BA1504" s="563"/>
      <c r="BB1504" s="563"/>
      <c r="BC1504" s="563"/>
      <c r="BD1504" s="563"/>
      <c r="BE1504" s="563"/>
      <c r="BF1504" s="563"/>
      <c r="BG1504" s="563"/>
      <c r="BH1504" s="563"/>
      <c r="BI1504" s="563"/>
      <c r="BJ1504" s="563"/>
      <c r="BK1504" s="563"/>
      <c r="BL1504" s="563"/>
      <c r="BM1504" s="563"/>
      <c r="BN1504" s="687">
        <f>I1504</f>
        <v>1200</v>
      </c>
      <c r="BO1504" s="563"/>
      <c r="BP1504" s="1147"/>
      <c r="BQ1504" s="1147"/>
      <c r="BR1504" s="1147"/>
      <c r="BS1504" s="1147"/>
      <c r="BT1504" s="1147"/>
      <c r="BU1504" s="1147"/>
      <c r="BV1504" s="1147"/>
      <c r="BW1504" s="1147"/>
      <c r="BX1504" s="1147"/>
      <c r="BY1504" s="1147"/>
      <c r="BZ1504" s="1147"/>
      <c r="CA1504" s="1147"/>
      <c r="CB1504" s="1147"/>
      <c r="CC1504" s="1147"/>
      <c r="CD1504" s="1147"/>
      <c r="CE1504" s="1147"/>
      <c r="CF1504" s="1147"/>
      <c r="CG1504" s="1147"/>
      <c r="CH1504" s="1068"/>
      <c r="CI1504" s="1068"/>
      <c r="CJ1504" s="1068"/>
      <c r="CK1504" s="1068"/>
      <c r="CL1504" s="1068"/>
      <c r="CM1504" s="1147"/>
      <c r="CN1504" s="1147"/>
      <c r="CO1504" s="1147"/>
      <c r="CP1504" s="1068"/>
      <c r="CQ1504" s="1068"/>
      <c r="CR1504" s="1068"/>
      <c r="CS1504" s="1068"/>
      <c r="CT1504" s="1068"/>
      <c r="CU1504" s="1068"/>
    </row>
    <row r="1505" s="559" customFormat="1" ht="31" customHeight="1" spans="1:99 16239:16384">
      <c r="A1505" s="1398">
        <v>46176</v>
      </c>
      <c r="B1505" s="598" t="s">
        <v>5837</v>
      </c>
      <c r="C1505" s="579" t="s">
        <v>524</v>
      </c>
      <c r="D1505" s="1399">
        <v>4500210108</v>
      </c>
      <c r="E1505" s="579">
        <v>78301494</v>
      </c>
      <c r="F1505" s="1399" t="s">
        <v>5838</v>
      </c>
      <c r="G1505" s="579" t="s">
        <v>68</v>
      </c>
      <c r="H1505" s="992" t="s">
        <v>69</v>
      </c>
      <c r="I1505" s="1400">
        <v>204</v>
      </c>
      <c r="J1505" s="579">
        <v>0</v>
      </c>
      <c r="K1505" s="579">
        <v>12</v>
      </c>
      <c r="L1505" s="1401">
        <f t="shared" si="487"/>
        <v>17</v>
      </c>
      <c r="M1505" s="581">
        <v>46283</v>
      </c>
      <c r="N1505" s="581">
        <v>46279</v>
      </c>
      <c r="O1505" s="582"/>
      <c r="P1505" s="579"/>
      <c r="Q1505" s="583"/>
      <c r="R1505" s="584">
        <v>46248</v>
      </c>
      <c r="S1505" s="584" t="s">
        <v>70</v>
      </c>
      <c r="T1505" s="584" t="s">
        <v>5839</v>
      </c>
      <c r="U1505" s="584"/>
      <c r="V1505" s="1226"/>
      <c r="W1505" s="598"/>
      <c r="X1505" s="598" t="s">
        <v>5840</v>
      </c>
      <c r="Y1505" s="1402" t="s">
        <v>5841</v>
      </c>
      <c r="Z1505" s="1403">
        <v>4.3274</v>
      </c>
      <c r="AA1505" s="1402">
        <f t="shared" si="484"/>
        <v>882.7896</v>
      </c>
      <c r="AB1505" s="1399"/>
      <c r="AC1505" s="1384"/>
      <c r="AD1505" s="992" t="s">
        <v>184</v>
      </c>
      <c r="AE1505" s="992" t="s">
        <v>82</v>
      </c>
      <c r="AF1505" s="579"/>
      <c r="AG1505" s="579"/>
      <c r="AH1505" s="579"/>
      <c r="AI1505" s="605"/>
      <c r="AJ1505" s="579">
        <f t="shared" si="485"/>
        <v>-204</v>
      </c>
      <c r="AK1505" s="579"/>
      <c r="AL1505" s="579"/>
      <c r="AM1505" s="1399"/>
      <c r="AN1505" s="1399">
        <f t="shared" si="488"/>
        <v>204</v>
      </c>
      <c r="AO1505" s="1399"/>
      <c r="AP1505" s="1399"/>
      <c r="AQ1505" s="1399"/>
      <c r="AR1505" s="1399"/>
      <c r="AS1505" s="586">
        <f>I1505</f>
        <v>204</v>
      </c>
      <c r="AT1505" s="586"/>
      <c r="AU1505" s="586">
        <f t="shared" si="489"/>
        <v>204</v>
      </c>
      <c r="AV1505" s="586"/>
      <c r="AW1505" s="586">
        <f t="shared" si="483"/>
        <v>204</v>
      </c>
      <c r="AX1505" s="1404"/>
      <c r="AY1505" s="1399"/>
      <c r="AZ1505" s="1399"/>
      <c r="BA1505" s="1399"/>
      <c r="BB1505" s="1399"/>
      <c r="BC1505" s="1399"/>
      <c r="BD1505" s="1399"/>
      <c r="BE1505" s="1399"/>
      <c r="BF1505" s="1399"/>
      <c r="BG1505" s="1399"/>
      <c r="BH1505" s="1399"/>
      <c r="BI1505" s="1399"/>
      <c r="BJ1505" s="1399"/>
      <c r="BK1505" s="1399"/>
      <c r="BL1505" s="1399"/>
      <c r="BM1505" s="1399"/>
      <c r="BN1505" s="1399"/>
      <c r="BO1505" s="1399"/>
      <c r="BP1505" s="1399"/>
      <c r="BQ1505" s="1399"/>
      <c r="BR1505" s="1399"/>
      <c r="BS1505" s="1399"/>
      <c r="BT1505" s="1399"/>
      <c r="BU1505" s="1399"/>
      <c r="BV1505" s="1399"/>
      <c r="BW1505" s="1399"/>
      <c r="BX1505" s="1399"/>
      <c r="BY1505" s="1399"/>
      <c r="BZ1505" s="1399"/>
      <c r="CA1505" s="1399"/>
      <c r="CB1505" s="1399"/>
      <c r="CC1505" s="1399"/>
      <c r="CD1505" s="1399"/>
      <c r="CE1505" s="1399"/>
      <c r="CF1505" s="1399"/>
      <c r="CG1505" s="1399"/>
      <c r="CH1505" s="1405"/>
      <c r="CI1505" s="1405"/>
      <c r="CJ1505" s="1405"/>
      <c r="CK1505" s="1405"/>
      <c r="CL1505" s="1405"/>
      <c r="CM1505" s="1399"/>
      <c r="CN1505" s="1399"/>
      <c r="CO1505" s="1399"/>
      <c r="CP1505" s="1405"/>
      <c r="CQ1505" s="1405"/>
      <c r="CR1505" s="1405"/>
      <c r="CS1505" s="1405"/>
      <c r="CT1505" s="1405"/>
      <c r="CU1505" s="1405"/>
    </row>
    <row r="1506" s="1272" customFormat="1" ht="31" customHeight="1" spans="1:99 16239:16384">
      <c r="A1506" s="1034">
        <v>46220</v>
      </c>
      <c r="B1506" s="603" t="s">
        <v>4456</v>
      </c>
      <c r="C1506" s="1035" t="s">
        <v>931</v>
      </c>
      <c r="D1506" s="560">
        <v>4500216898</v>
      </c>
      <c r="E1506" s="1035" t="s">
        <v>5842</v>
      </c>
      <c r="F1506" s="560" t="s">
        <v>5843</v>
      </c>
      <c r="G1506" s="1035" t="s">
        <v>68</v>
      </c>
      <c r="H1506" s="1035" t="s">
        <v>69</v>
      </c>
      <c r="I1506" s="1036">
        <v>804</v>
      </c>
      <c r="J1506" s="1035">
        <v>0</v>
      </c>
      <c r="K1506" s="1035">
        <v>12</v>
      </c>
      <c r="L1506" s="1025">
        <f t="shared" si="487"/>
        <v>67</v>
      </c>
      <c r="M1506" s="1037">
        <v>46283</v>
      </c>
      <c r="N1506" s="1037">
        <v>46279</v>
      </c>
      <c r="O1506" s="1043"/>
      <c r="P1506" s="1035"/>
      <c r="Q1506" s="1039"/>
      <c r="R1506" s="1039">
        <v>46232</v>
      </c>
      <c r="S1506" s="1039" t="s">
        <v>70</v>
      </c>
      <c r="T1506" s="1039" t="s">
        <v>5844</v>
      </c>
      <c r="U1506" s="1039"/>
      <c r="V1506" s="1039"/>
      <c r="W1506" s="603"/>
      <c r="X1506" s="603" t="s">
        <v>5845</v>
      </c>
      <c r="Y1506" s="1042" t="s">
        <v>4462</v>
      </c>
      <c r="Z1506" s="1387">
        <v>4.3274</v>
      </c>
      <c r="AA1506" s="1042">
        <f t="shared" si="484"/>
        <v>3479.2296</v>
      </c>
      <c r="AB1506" s="560"/>
      <c r="AC1506" s="1077"/>
      <c r="AD1506" s="1035" t="s">
        <v>184</v>
      </c>
      <c r="AE1506" s="1035" t="s">
        <v>82</v>
      </c>
      <c r="AF1506" s="1035"/>
      <c r="AG1506" s="1035"/>
      <c r="AH1506" s="1035"/>
      <c r="AI1506" s="603"/>
      <c r="AJ1506" s="1035">
        <f t="shared" si="485"/>
        <v>-804</v>
      </c>
      <c r="AK1506" s="1035"/>
      <c r="AL1506" s="1035"/>
      <c r="AM1506" s="560"/>
      <c r="AN1506" s="560">
        <f t="shared" si="488"/>
        <v>804</v>
      </c>
      <c r="AO1506" s="560"/>
      <c r="AP1506" s="560"/>
      <c r="AQ1506" s="560"/>
      <c r="AR1506" s="560"/>
      <c r="AS1506" s="560">
        <f>I1506</f>
        <v>804</v>
      </c>
      <c r="AT1506" s="560"/>
      <c r="AU1506" s="560">
        <f t="shared" si="489"/>
        <v>804</v>
      </c>
      <c r="AV1506" s="560"/>
      <c r="AW1506" s="560">
        <f t="shared" si="483"/>
        <v>804</v>
      </c>
      <c r="AX1506" s="1045"/>
      <c r="AY1506" s="560"/>
      <c r="AZ1506" s="560"/>
      <c r="BA1506" s="560"/>
      <c r="BB1506" s="560"/>
      <c r="BC1506" s="560"/>
      <c r="BD1506" s="560"/>
      <c r="BE1506" s="560"/>
      <c r="BF1506" s="560"/>
      <c r="BG1506" s="560"/>
      <c r="BH1506" s="560"/>
      <c r="BI1506" s="560"/>
      <c r="BJ1506" s="560"/>
      <c r="BK1506" s="560"/>
      <c r="BL1506" s="560"/>
      <c r="BM1506" s="560"/>
      <c r="BN1506" s="560"/>
      <c r="BO1506" s="560"/>
      <c r="BP1506" s="1148"/>
      <c r="BQ1506" s="1148"/>
      <c r="BR1506" s="1148"/>
      <c r="BS1506" s="1148"/>
      <c r="BT1506" s="1148"/>
      <c r="BU1506" s="1148"/>
      <c r="BV1506" s="1148"/>
      <c r="BW1506" s="1148"/>
      <c r="BX1506" s="1148"/>
      <c r="BY1506" s="1148"/>
      <c r="BZ1506" s="1148"/>
      <c r="CA1506" s="1148"/>
      <c r="CB1506" s="1148"/>
      <c r="CC1506" s="1148"/>
      <c r="CD1506" s="1148"/>
      <c r="CE1506" s="1148"/>
      <c r="CF1506" s="1148"/>
      <c r="CG1506" s="1148"/>
      <c r="CH1506" s="1388"/>
      <c r="CI1506" s="1388"/>
      <c r="CJ1506" s="1388"/>
      <c r="CK1506" s="1388"/>
      <c r="CL1506" s="1388"/>
      <c r="CM1506" s="1148"/>
      <c r="CN1506" s="1148"/>
      <c r="CO1506" s="1148"/>
      <c r="CP1506" s="1388"/>
      <c r="CQ1506" s="1388"/>
      <c r="CR1506" s="1388"/>
      <c r="CS1506" s="1388"/>
      <c r="CT1506" s="1388"/>
      <c r="CU1506" s="1388"/>
    </row>
    <row r="1507" s="1271" customFormat="1" ht="31" customHeight="1" spans="1:99 16239:16384">
      <c r="A1507" s="1022">
        <v>46231</v>
      </c>
      <c r="B1507" s="626" t="s">
        <v>2991</v>
      </c>
      <c r="C1507" s="939" t="s">
        <v>98</v>
      </c>
      <c r="D1507" s="563" t="s">
        <v>5846</v>
      </c>
      <c r="E1507" s="939" t="s">
        <v>5847</v>
      </c>
      <c r="F1507" s="563" t="s">
        <v>5848</v>
      </c>
      <c r="G1507" s="939" t="s">
        <v>68</v>
      </c>
      <c r="H1507" s="939" t="s">
        <v>69</v>
      </c>
      <c r="I1507" s="1023">
        <v>1200</v>
      </c>
      <c r="J1507" s="939">
        <v>0</v>
      </c>
      <c r="K1507" s="939">
        <v>12</v>
      </c>
      <c r="L1507" s="1064">
        <v>100</v>
      </c>
      <c r="M1507" s="1027">
        <v>46283</v>
      </c>
      <c r="N1507" s="1027">
        <v>46279</v>
      </c>
      <c r="O1507" s="1031"/>
      <c r="P1507" s="939"/>
      <c r="Q1507" s="999"/>
      <c r="R1507" s="999">
        <v>46240</v>
      </c>
      <c r="S1507" s="999" t="s">
        <v>104</v>
      </c>
      <c r="T1507" s="999" t="s">
        <v>5849</v>
      </c>
      <c r="U1507" s="999"/>
      <c r="V1507" s="999"/>
      <c r="W1507" s="626"/>
      <c r="X1507" s="626" t="s">
        <v>5850</v>
      </c>
      <c r="Y1507" s="1001" t="s">
        <v>1278</v>
      </c>
      <c r="Z1507" s="1076">
        <v>2.624</v>
      </c>
      <c r="AA1507" s="1001">
        <f t="shared" si="484"/>
        <v>3148.8</v>
      </c>
      <c r="AB1507" s="563"/>
      <c r="AC1507" s="1077"/>
      <c r="AD1507" s="939" t="s">
        <v>68</v>
      </c>
      <c r="AE1507" s="939" t="s">
        <v>82</v>
      </c>
      <c r="AF1507" s="939"/>
      <c r="AG1507" s="939"/>
      <c r="AH1507" s="939"/>
      <c r="AI1507" s="626"/>
      <c r="AJ1507" s="1031">
        <f t="shared" si="485"/>
        <v>-1200</v>
      </c>
      <c r="AK1507" s="939"/>
      <c r="AL1507" s="939"/>
      <c r="AM1507" s="563"/>
      <c r="AN1507" s="563">
        <f t="shared" si="488"/>
        <v>1200</v>
      </c>
      <c r="AO1507" s="563"/>
      <c r="AP1507" s="563"/>
      <c r="AQ1507" s="563"/>
      <c r="AR1507" s="563">
        <f t="shared" ref="AR1507:AR1513" si="490">I1507</f>
        <v>1200</v>
      </c>
      <c r="AS1507" s="563"/>
      <c r="AT1507" s="563"/>
      <c r="AU1507" s="563">
        <f t="shared" si="489"/>
        <v>1200</v>
      </c>
      <c r="AV1507" s="563"/>
      <c r="AW1507" s="563">
        <f t="shared" si="483"/>
        <v>1200</v>
      </c>
      <c r="AX1507" s="1004"/>
      <c r="AY1507" s="563"/>
      <c r="AZ1507" s="563"/>
      <c r="BA1507" s="563"/>
      <c r="BB1507" s="563"/>
      <c r="BC1507" s="563"/>
      <c r="BD1507" s="563"/>
      <c r="BE1507" s="563"/>
      <c r="BF1507" s="563"/>
      <c r="BG1507" s="563"/>
      <c r="BH1507" s="563"/>
      <c r="BI1507" s="563"/>
      <c r="BJ1507" s="563"/>
      <c r="BK1507" s="563"/>
      <c r="BL1507" s="563"/>
      <c r="BM1507" s="563"/>
      <c r="BN1507" s="563"/>
      <c r="BO1507" s="563"/>
      <c r="BP1507" s="1147"/>
      <c r="BQ1507" s="1147"/>
      <c r="BR1507" s="1147"/>
      <c r="BS1507" s="1147"/>
      <c r="BT1507" s="1147"/>
      <c r="BU1507" s="1147"/>
      <c r="BV1507" s="1147"/>
      <c r="BW1507" s="1147"/>
      <c r="BX1507" s="1147"/>
      <c r="BY1507" s="1147"/>
      <c r="BZ1507" s="1147"/>
      <c r="CA1507" s="1147"/>
      <c r="CB1507" s="1147"/>
      <c r="CC1507" s="1147"/>
      <c r="CD1507" s="1147"/>
      <c r="CE1507" s="1147"/>
      <c r="CF1507" s="1147"/>
      <c r="CG1507" s="1147"/>
      <c r="CH1507" s="1068"/>
      <c r="CI1507" s="1068"/>
      <c r="CJ1507" s="1068"/>
      <c r="CK1507" s="1068"/>
      <c r="CL1507" s="1068"/>
      <c r="CM1507" s="1147"/>
      <c r="CN1507" s="1147"/>
      <c r="CO1507" s="1147"/>
      <c r="CP1507" s="1068"/>
      <c r="CQ1507" s="1068"/>
      <c r="CR1507" s="1068"/>
      <c r="CS1507" s="1068"/>
      <c r="CT1507" s="1068"/>
      <c r="CU1507" s="1068"/>
    </row>
    <row r="1508" s="559" customFormat="1" ht="31" customHeight="1" spans="1:99 16239:16384">
      <c r="A1508" s="1022">
        <v>46206</v>
      </c>
      <c r="B1508" s="626" t="s">
        <v>2734</v>
      </c>
      <c r="C1508" s="939" t="s">
        <v>98</v>
      </c>
      <c r="D1508" s="563">
        <v>4500214378</v>
      </c>
      <c r="E1508" s="1051">
        <v>70094931</v>
      </c>
      <c r="F1508" s="563" t="s">
        <v>5851</v>
      </c>
      <c r="G1508" s="939" t="s">
        <v>2736</v>
      </c>
      <c r="H1508" s="939" t="s">
        <v>2737</v>
      </c>
      <c r="I1508" s="1023">
        <v>1800</v>
      </c>
      <c r="J1508" s="939">
        <v>0</v>
      </c>
      <c r="K1508" s="939">
        <v>8</v>
      </c>
      <c r="L1508" s="1064">
        <f t="shared" ref="L1508:L1517" si="491">I1508/K1508</f>
        <v>225</v>
      </c>
      <c r="M1508" s="1048">
        <v>46283</v>
      </c>
      <c r="N1508" s="1221">
        <v>46279</v>
      </c>
      <c r="O1508" s="1031"/>
      <c r="P1508" s="939"/>
      <c r="Q1508" s="999"/>
      <c r="R1508" s="999">
        <v>46225</v>
      </c>
      <c r="S1508" s="999" t="s">
        <v>70</v>
      </c>
      <c r="T1508" s="999" t="s">
        <v>5723</v>
      </c>
      <c r="U1508" s="646"/>
      <c r="V1508" s="999"/>
      <c r="W1508" s="626"/>
      <c r="X1508" s="1041" t="s">
        <v>5852</v>
      </c>
      <c r="Y1508" s="1001" t="s">
        <v>2814</v>
      </c>
      <c r="Z1508" s="1076">
        <v>4.3055</v>
      </c>
      <c r="AA1508" s="1001">
        <f t="shared" si="484"/>
        <v>7749.9</v>
      </c>
      <c r="AB1508" s="563"/>
      <c r="AC1508" s="1077"/>
      <c r="AD1508" s="618" t="s">
        <v>2741</v>
      </c>
      <c r="AE1508" s="939" t="s">
        <v>82</v>
      </c>
      <c r="AF1508" s="939"/>
      <c r="AG1508" s="939"/>
      <c r="AH1508" s="939"/>
      <c r="AI1508" s="609"/>
      <c r="AJ1508" s="773">
        <f t="shared" si="485"/>
        <v>-1800</v>
      </c>
      <c r="AK1508" s="939"/>
      <c r="AL1508" s="939"/>
      <c r="AM1508" s="563"/>
      <c r="AN1508" s="563">
        <f t="shared" si="488"/>
        <v>1800</v>
      </c>
      <c r="AO1508" s="563"/>
      <c r="AP1508" s="563"/>
      <c r="AQ1508" s="563"/>
      <c r="AR1508" s="563">
        <f t="shared" si="490"/>
        <v>1800</v>
      </c>
      <c r="AS1508" s="687"/>
      <c r="AT1508" s="687"/>
      <c r="AU1508" s="563">
        <f t="shared" si="489"/>
        <v>1800</v>
      </c>
      <c r="AV1508" s="687"/>
      <c r="AW1508" s="687">
        <f t="shared" si="483"/>
        <v>1800</v>
      </c>
      <c r="AX1508" s="1004"/>
      <c r="AY1508" s="563"/>
      <c r="AZ1508" s="563"/>
      <c r="BA1508" s="563"/>
      <c r="BB1508" s="563"/>
      <c r="BC1508" s="563"/>
      <c r="BD1508" s="563"/>
      <c r="BE1508" s="563"/>
      <c r="BF1508" s="563"/>
      <c r="BG1508" s="563"/>
      <c r="BH1508" s="563"/>
      <c r="BI1508" s="563"/>
      <c r="BJ1508" s="563"/>
      <c r="BK1508" s="563"/>
      <c r="BL1508" s="563"/>
      <c r="BM1508" s="563"/>
      <c r="BN1508" s="554">
        <f>I1508</f>
        <v>1800</v>
      </c>
      <c r="BO1508" s="563"/>
      <c r="BP1508" s="563"/>
      <c r="BQ1508" s="563"/>
      <c r="BR1508" s="563"/>
      <c r="BS1508" s="563"/>
      <c r="BT1508" s="563"/>
      <c r="BU1508" s="563"/>
      <c r="BV1508" s="563"/>
      <c r="BW1508" s="563"/>
      <c r="BX1508" s="563"/>
      <c r="BY1508" s="563"/>
      <c r="BZ1508" s="563"/>
      <c r="CA1508" s="563"/>
      <c r="CB1508" s="563"/>
      <c r="CC1508" s="563"/>
      <c r="CD1508" s="563"/>
      <c r="CE1508" s="563"/>
      <c r="CF1508" s="563"/>
      <c r="CG1508" s="563"/>
      <c r="CH1508" s="1015"/>
      <c r="CI1508" s="1015"/>
      <c r="CJ1508" s="1015"/>
      <c r="CK1508" s="1015"/>
      <c r="CL1508" s="1015"/>
      <c r="CM1508" s="563"/>
      <c r="CN1508" s="563"/>
      <c r="CO1508" s="563"/>
      <c r="CP1508" s="1015"/>
      <c r="CQ1508" s="1015"/>
      <c r="CR1508" s="1015"/>
      <c r="CS1508" s="1015"/>
      <c r="CT1508" s="1015"/>
      <c r="CU1508" s="1015"/>
    </row>
    <row r="1509" s="559" customFormat="1" ht="31" customHeight="1" spans="1:99 16239:16384">
      <c r="A1509" s="1022">
        <v>46237</v>
      </c>
      <c r="B1509" s="626" t="s">
        <v>2811</v>
      </c>
      <c r="C1509" s="939" t="s">
        <v>98</v>
      </c>
      <c r="D1509" s="563">
        <v>4500218537</v>
      </c>
      <c r="E1509" s="939">
        <v>70095071</v>
      </c>
      <c r="F1509" s="563" t="s">
        <v>5853</v>
      </c>
      <c r="G1509" s="939" t="s">
        <v>2736</v>
      </c>
      <c r="H1509" s="939" t="s">
        <v>2737</v>
      </c>
      <c r="I1509" s="1023">
        <v>4200</v>
      </c>
      <c r="J1509" s="939">
        <v>0</v>
      </c>
      <c r="K1509" s="939">
        <v>8</v>
      </c>
      <c r="L1509" s="1064">
        <f t="shared" si="491"/>
        <v>525</v>
      </c>
      <c r="M1509" s="1027">
        <v>46283</v>
      </c>
      <c r="N1509" s="1027">
        <v>46279</v>
      </c>
      <c r="O1509" s="1031"/>
      <c r="P1509" s="939"/>
      <c r="Q1509" s="999"/>
      <c r="R1509" s="999">
        <v>46238</v>
      </c>
      <c r="S1509" s="999" t="s">
        <v>70</v>
      </c>
      <c r="T1509" s="999" t="s">
        <v>5723</v>
      </c>
      <c r="U1509" s="646"/>
      <c r="V1509" s="999"/>
      <c r="W1509" s="626"/>
      <c r="X1509" s="626" t="s">
        <v>5854</v>
      </c>
      <c r="Y1509" s="1001" t="s">
        <v>1318</v>
      </c>
      <c r="Z1509" s="1076">
        <v>4.1119</v>
      </c>
      <c r="AA1509" s="1001">
        <f t="shared" si="484"/>
        <v>17269.98</v>
      </c>
      <c r="AB1509" s="563"/>
      <c r="AC1509" s="1077"/>
      <c r="AD1509" s="939" t="s">
        <v>2741</v>
      </c>
      <c r="AE1509" s="939" t="s">
        <v>82</v>
      </c>
      <c r="AF1509" s="939"/>
      <c r="AG1509" s="939"/>
      <c r="AH1509" s="939"/>
      <c r="AI1509" s="609"/>
      <c r="AJ1509" s="773">
        <f t="shared" si="485"/>
        <v>-4200</v>
      </c>
      <c r="AK1509" s="939"/>
      <c r="AL1509" s="939"/>
      <c r="AM1509" s="563"/>
      <c r="AN1509" s="563">
        <f t="shared" si="488"/>
        <v>4200</v>
      </c>
      <c r="AO1509" s="563"/>
      <c r="AP1509" s="563"/>
      <c r="AQ1509" s="563"/>
      <c r="AR1509" s="687">
        <f t="shared" si="490"/>
        <v>4200</v>
      </c>
      <c r="AS1509" s="687"/>
      <c r="AT1509" s="687"/>
      <c r="AU1509" s="563">
        <f t="shared" si="489"/>
        <v>4200</v>
      </c>
      <c r="AV1509" s="687"/>
      <c r="AW1509" s="687">
        <f t="shared" si="483"/>
        <v>4200</v>
      </c>
      <c r="AX1509" s="1004"/>
      <c r="AY1509" s="563"/>
      <c r="AZ1509" s="563"/>
      <c r="BA1509" s="563"/>
      <c r="BB1509" s="563"/>
      <c r="BC1509" s="563"/>
      <c r="BD1509" s="563"/>
      <c r="BE1509" s="563"/>
      <c r="BF1509" s="563"/>
      <c r="BG1509" s="563"/>
      <c r="BH1509" s="563"/>
      <c r="BI1509" s="563"/>
      <c r="BJ1509" s="563"/>
      <c r="BK1509" s="563"/>
      <c r="BL1509" s="563"/>
      <c r="BM1509" s="563"/>
      <c r="BN1509" s="687">
        <f>I1509</f>
        <v>4200</v>
      </c>
      <c r="BO1509" s="563"/>
      <c r="BP1509" s="563"/>
      <c r="BQ1509" s="563"/>
      <c r="BR1509" s="563"/>
      <c r="BS1509" s="563"/>
      <c r="BT1509" s="563"/>
      <c r="BU1509" s="563"/>
      <c r="BV1509" s="563"/>
      <c r="BW1509" s="563"/>
      <c r="BX1509" s="563"/>
      <c r="BY1509" s="563"/>
      <c r="BZ1509" s="563"/>
      <c r="CA1509" s="563"/>
      <c r="CB1509" s="563"/>
      <c r="CC1509" s="563"/>
      <c r="CD1509" s="563"/>
      <c r="CE1509" s="563"/>
      <c r="CF1509" s="563"/>
      <c r="CG1509" s="563"/>
      <c r="CH1509" s="1015"/>
      <c r="CI1509" s="1015"/>
      <c r="CJ1509" s="1015"/>
      <c r="CK1509" s="1015"/>
      <c r="CL1509" s="1015"/>
      <c r="CM1509" s="563"/>
      <c r="CN1509" s="563"/>
      <c r="CO1509" s="563"/>
      <c r="CP1509" s="1015"/>
      <c r="CQ1509" s="1015"/>
      <c r="CR1509" s="1015"/>
      <c r="CS1509" s="1015"/>
      <c r="CT1509" s="1015"/>
      <c r="CU1509" s="1015"/>
      <c r="WZO1509" s="1276"/>
      <c r="WZP1509" s="1276"/>
      <c r="WZQ1509" s="1276"/>
      <c r="WZR1509" s="1276"/>
      <c r="WZS1509" s="1276"/>
      <c r="WZT1509" s="1276"/>
      <c r="WZU1509" s="1276"/>
      <c r="WZV1509" s="1276"/>
      <c r="WZW1509" s="1276"/>
      <c r="WZX1509" s="1276"/>
      <c r="WZY1509" s="1276"/>
      <c r="WZZ1509" s="1276"/>
      <c r="XAA1509" s="1276"/>
      <c r="XAB1509" s="1276"/>
      <c r="XAC1509" s="1276"/>
      <c r="XAD1509" s="1276"/>
      <c r="XAE1509" s="1276"/>
      <c r="XAF1509" s="1276"/>
      <c r="XAG1509" s="1276"/>
      <c r="XAH1509" s="1276"/>
      <c r="XAI1509" s="1276"/>
      <c r="XAJ1509" s="1276"/>
      <c r="XAK1509" s="1276"/>
      <c r="XAL1509" s="1276"/>
      <c r="XAM1509" s="1276"/>
      <c r="XAN1509" s="1276"/>
      <c r="XAO1509" s="1276"/>
      <c r="XAP1509" s="1276"/>
      <c r="XAQ1509" s="1276"/>
      <c r="XAR1509" s="1276"/>
      <c r="XAS1509" s="1276"/>
      <c r="XAT1509" s="1276"/>
      <c r="XAU1509" s="1276"/>
      <c r="XAV1509" s="1276"/>
      <c r="XAW1509" s="1276"/>
      <c r="XAX1509" s="1276"/>
      <c r="XAY1509" s="1276"/>
      <c r="XAZ1509" s="1276"/>
      <c r="XBA1509" s="1276"/>
      <c r="XBB1509" s="1276"/>
      <c r="XBC1509" s="1276"/>
      <c r="XBD1509" s="1276"/>
      <c r="XBE1509" s="1276"/>
      <c r="XBF1509" s="1276"/>
      <c r="XBG1509" s="1276"/>
      <c r="XBH1509" s="1276"/>
      <c r="XBI1509" s="1276"/>
      <c r="XBJ1509" s="1276"/>
      <c r="XBK1509" s="1276"/>
      <c r="XBL1509" s="1276"/>
      <c r="XBM1509" s="1276"/>
      <c r="XBN1509" s="1276"/>
      <c r="XBO1509" s="1276"/>
      <c r="XBP1509" s="1276"/>
      <c r="XBQ1509" s="1276"/>
      <c r="XBR1509" s="1276"/>
      <c r="XBS1509" s="1276"/>
      <c r="XBT1509" s="1276"/>
      <c r="XBU1509" s="1276"/>
      <c r="XBV1509" s="1276"/>
      <c r="XBW1509" s="1276"/>
      <c r="XBX1509" s="1276"/>
      <c r="XBY1509" s="1276"/>
      <c r="XBZ1509" s="1276"/>
      <c r="XCA1509" s="1276"/>
      <c r="XCB1509" s="1276"/>
      <c r="XCC1509" s="1276"/>
      <c r="XCD1509" s="1276"/>
      <c r="XCE1509" s="1276"/>
      <c r="XCF1509" s="1276"/>
      <c r="XCG1509" s="1276"/>
      <c r="XCH1509" s="1276"/>
      <c r="XCI1509" s="1276"/>
      <c r="XCJ1509" s="1276"/>
      <c r="XCK1509" s="1276"/>
      <c r="XCL1509" s="1276"/>
      <c r="XCM1509" s="1276"/>
      <c r="XCN1509" s="1276"/>
      <c r="XCO1509" s="1276"/>
      <c r="XCP1509" s="1276"/>
      <c r="XCQ1509" s="1276"/>
      <c r="XCR1509" s="1276"/>
      <c r="XCS1509" s="1276"/>
      <c r="XCT1509" s="1276"/>
      <c r="XCU1509" s="1276"/>
      <c r="XCV1509" s="1276"/>
      <c r="XCW1509" s="1276"/>
      <c r="XCX1509" s="1276"/>
      <c r="XCY1509" s="1276"/>
      <c r="XCZ1509" s="1276"/>
      <c r="XDA1509" s="1276"/>
      <c r="XDB1509" s="1276"/>
      <c r="XDC1509" s="1276"/>
      <c r="XDD1509" s="1276"/>
      <c r="XDE1509" s="1276"/>
      <c r="XDF1509" s="1276"/>
      <c r="XDG1509" s="1276"/>
      <c r="XDH1509" s="1276"/>
      <c r="XDI1509" s="1276"/>
      <c r="XDJ1509" s="1276"/>
      <c r="XDK1509" s="1276"/>
      <c r="XDL1509" s="1276"/>
      <c r="XDM1509" s="1276"/>
      <c r="XDN1509" s="1276"/>
      <c r="XDO1509" s="1276"/>
      <c r="XDP1509" s="1276"/>
      <c r="XDQ1509" s="1276"/>
      <c r="XDR1509" s="1276"/>
      <c r="XDS1509" s="1276"/>
      <c r="XDT1509" s="1276"/>
      <c r="XDU1509" s="1276"/>
      <c r="XDV1509" s="1276"/>
      <c r="XDW1509" s="1276"/>
      <c r="XDX1509" s="1276"/>
      <c r="XDY1509" s="1276"/>
      <c r="XDZ1509" s="1276"/>
      <c r="XEA1509" s="1276"/>
      <c r="XEB1509" s="1276"/>
      <c r="XEC1509" s="1276"/>
      <c r="XED1509" s="1276"/>
      <c r="XEE1509" s="1276"/>
      <c r="XEF1509" s="1276"/>
      <c r="XEG1509" s="1276"/>
      <c r="XEH1509" s="1276"/>
      <c r="XEI1509" s="1276"/>
      <c r="XEJ1509" s="1276"/>
      <c r="XEK1509" s="1276"/>
      <c r="XEL1509" s="1276"/>
      <c r="XEM1509" s="1276"/>
      <c r="XEN1509" s="1276"/>
      <c r="XEO1509" s="1276"/>
      <c r="XEP1509" s="1276"/>
      <c r="XEQ1509" s="1276"/>
      <c r="XER1509" s="1276"/>
      <c r="XES1509" s="1276"/>
      <c r="XET1509" s="1276"/>
      <c r="XEU1509" s="1276"/>
      <c r="XEV1509" s="1276"/>
      <c r="XEW1509" s="1276"/>
      <c r="XEX1509" s="1276"/>
      <c r="XEY1509" s="1276"/>
      <c r="XEZ1509" s="1276"/>
      <c r="XFA1509" s="1276"/>
      <c r="XFB1509" s="1276"/>
      <c r="XFC1509" s="1276"/>
      <c r="XFD1509" s="1276"/>
    </row>
    <row r="1510" s="1270" customFormat="1" ht="31" customHeight="1" spans="1:99 16239:16384">
      <c r="A1510" s="1022">
        <v>46239</v>
      </c>
      <c r="B1510" s="626" t="s">
        <v>5855</v>
      </c>
      <c r="C1510" s="939" t="s">
        <v>278</v>
      </c>
      <c r="D1510" s="563">
        <v>4500218950</v>
      </c>
      <c r="E1510" s="939" t="s">
        <v>5856</v>
      </c>
      <c r="F1510" s="563" t="s">
        <v>5857</v>
      </c>
      <c r="G1510" s="939" t="s">
        <v>111</v>
      </c>
      <c r="H1510" s="939" t="s">
        <v>112</v>
      </c>
      <c r="I1510" s="1023">
        <v>3200</v>
      </c>
      <c r="J1510" s="939">
        <v>0</v>
      </c>
      <c r="K1510" s="939">
        <v>16</v>
      </c>
      <c r="L1510" s="1064">
        <f t="shared" si="491"/>
        <v>200</v>
      </c>
      <c r="M1510" s="1027">
        <v>46283</v>
      </c>
      <c r="N1510" s="1027">
        <v>46279</v>
      </c>
      <c r="O1510" s="1031"/>
      <c r="P1510" s="939"/>
      <c r="Q1510" s="999"/>
      <c r="R1510" s="999">
        <v>46241</v>
      </c>
      <c r="S1510" s="999" t="s">
        <v>70</v>
      </c>
      <c r="T1510" s="999" t="s">
        <v>5858</v>
      </c>
      <c r="U1510" s="999"/>
      <c r="V1510" s="999"/>
      <c r="W1510" s="626" t="s">
        <v>5859</v>
      </c>
      <c r="X1510" s="626" t="s">
        <v>5860</v>
      </c>
      <c r="Y1510" s="1001" t="s">
        <v>5861</v>
      </c>
      <c r="Z1510" s="1076">
        <v>4.4644</v>
      </c>
      <c r="AA1510" s="1001">
        <f t="shared" si="484"/>
        <v>14286.08</v>
      </c>
      <c r="AB1510" s="563"/>
      <c r="AC1510" s="1077"/>
      <c r="AD1510" s="939" t="s">
        <v>111</v>
      </c>
      <c r="AE1510" s="939" t="s">
        <v>82</v>
      </c>
      <c r="AF1510" s="939"/>
      <c r="AG1510" s="939"/>
      <c r="AH1510" s="939"/>
      <c r="AI1510" s="626"/>
      <c r="AJ1510" s="939">
        <f t="shared" si="485"/>
        <v>-3200</v>
      </c>
      <c r="AK1510" s="939"/>
      <c r="AL1510" s="939"/>
      <c r="AM1510" s="563"/>
      <c r="AN1510" s="563">
        <f t="shared" si="488"/>
        <v>3200</v>
      </c>
      <c r="AO1510" s="563"/>
      <c r="AP1510" s="563"/>
      <c r="AQ1510" s="563"/>
      <c r="AR1510" s="563">
        <f t="shared" si="490"/>
        <v>3200</v>
      </c>
      <c r="AS1510" s="563"/>
      <c r="AT1510" s="563"/>
      <c r="AU1510" s="563">
        <f t="shared" si="489"/>
        <v>3200</v>
      </c>
      <c r="AV1510" s="563"/>
      <c r="AW1510" s="563">
        <f t="shared" si="483"/>
        <v>3200</v>
      </c>
      <c r="AX1510" s="1004"/>
      <c r="AY1510" s="563"/>
      <c r="AZ1510" s="563"/>
      <c r="BA1510" s="563"/>
      <c r="BB1510" s="563"/>
      <c r="BC1510" s="563"/>
      <c r="BD1510" s="563"/>
      <c r="BE1510" s="563"/>
      <c r="BF1510" s="563"/>
      <c r="BG1510" s="563"/>
      <c r="BH1510" s="563">
        <f>I1510/4</f>
        <v>800</v>
      </c>
      <c r="BI1510" s="563"/>
      <c r="BJ1510" s="563"/>
      <c r="BK1510" s="563"/>
      <c r="BL1510" s="563"/>
      <c r="BM1510" s="563"/>
      <c r="BN1510" s="563"/>
      <c r="BO1510" s="563"/>
      <c r="BP1510" s="563"/>
      <c r="BQ1510" s="563"/>
      <c r="BR1510" s="563"/>
      <c r="BS1510" s="563"/>
      <c r="BT1510" s="563"/>
      <c r="BU1510" s="563"/>
      <c r="BV1510" s="563"/>
      <c r="BW1510" s="563"/>
      <c r="BX1510" s="563"/>
      <c r="BY1510" s="563"/>
      <c r="BZ1510" s="563"/>
      <c r="CA1510" s="563"/>
      <c r="CB1510" s="563"/>
      <c r="CC1510" s="563"/>
      <c r="CD1510" s="563"/>
      <c r="CE1510" s="563"/>
      <c r="CF1510" s="563"/>
      <c r="CG1510" s="563"/>
      <c r="CH1510" s="1015"/>
      <c r="CI1510" s="1015"/>
      <c r="CJ1510" s="1015"/>
      <c r="CK1510" s="1015"/>
      <c r="CL1510" s="1015"/>
      <c r="CM1510" s="563"/>
      <c r="CN1510" s="563"/>
      <c r="CO1510" s="563"/>
      <c r="CP1510" s="1015"/>
      <c r="CQ1510" s="1015"/>
      <c r="CR1510" s="1015"/>
      <c r="CS1510" s="1015"/>
      <c r="CT1510" s="1015"/>
      <c r="CU1510" s="1015"/>
      <c r="WZO1510" s="1394"/>
      <c r="WZP1510" s="1394"/>
      <c r="WZQ1510" s="1394"/>
      <c r="WZR1510" s="1394"/>
      <c r="WZS1510" s="1394"/>
      <c r="WZT1510" s="1394"/>
      <c r="WZU1510" s="1394"/>
      <c r="WZV1510" s="1394"/>
      <c r="WZW1510" s="1394"/>
      <c r="WZX1510" s="1394"/>
      <c r="WZY1510" s="1394"/>
      <c r="WZZ1510" s="1394"/>
      <c r="XAA1510" s="1394"/>
      <c r="XAB1510" s="1394"/>
      <c r="XAC1510" s="1394"/>
      <c r="XAD1510" s="1394"/>
      <c r="XAE1510" s="1394"/>
      <c r="XAF1510" s="1394"/>
      <c r="XAG1510" s="1394"/>
      <c r="XAH1510" s="1394"/>
      <c r="XAI1510" s="1394"/>
      <c r="XAJ1510" s="1394"/>
      <c r="XAK1510" s="1394"/>
      <c r="XAL1510" s="1394"/>
      <c r="XAM1510" s="1394"/>
      <c r="XAN1510" s="1394"/>
      <c r="XAO1510" s="1394"/>
      <c r="XAP1510" s="1394"/>
      <c r="XAQ1510" s="1394"/>
      <c r="XAR1510" s="1394"/>
      <c r="XAS1510" s="1394"/>
      <c r="XAT1510" s="1394"/>
      <c r="XAU1510" s="1394"/>
      <c r="XAV1510" s="1394"/>
      <c r="XAW1510" s="1394"/>
      <c r="XAX1510" s="1394"/>
      <c r="XAY1510" s="1394"/>
      <c r="XAZ1510" s="1394"/>
      <c r="XBA1510" s="1394"/>
      <c r="XBB1510" s="1394"/>
      <c r="XBC1510" s="1394"/>
      <c r="XBD1510" s="1394"/>
      <c r="XBE1510" s="1394"/>
      <c r="XBF1510" s="1394"/>
      <c r="XBG1510" s="1394"/>
      <c r="XBH1510" s="1394"/>
      <c r="XBI1510" s="1394"/>
      <c r="XBJ1510" s="1394"/>
      <c r="XBK1510" s="1394"/>
      <c r="XBL1510" s="1394"/>
      <c r="XBM1510" s="1394"/>
      <c r="XBN1510" s="1394"/>
      <c r="XBO1510" s="1394"/>
      <c r="XBP1510" s="1394"/>
      <c r="XBQ1510" s="1394"/>
      <c r="XBR1510" s="1394"/>
      <c r="XBS1510" s="1394"/>
      <c r="XBT1510" s="1394"/>
      <c r="XBU1510" s="1394"/>
      <c r="XBV1510" s="1394"/>
      <c r="XBW1510" s="1394"/>
      <c r="XBX1510" s="1394"/>
      <c r="XBY1510" s="1394"/>
      <c r="XBZ1510" s="1394"/>
      <c r="XCA1510" s="1394"/>
      <c r="XCB1510" s="1394"/>
      <c r="XCC1510" s="1394"/>
      <c r="XCD1510" s="1394"/>
      <c r="XCE1510" s="1394"/>
      <c r="XCF1510" s="1394"/>
      <c r="XCG1510" s="1394"/>
      <c r="XCH1510" s="1394"/>
      <c r="XCI1510" s="1394"/>
      <c r="XCJ1510" s="1394"/>
      <c r="XCK1510" s="1394"/>
      <c r="XCL1510" s="1394"/>
      <c r="XCM1510" s="1394"/>
      <c r="XCN1510" s="1394"/>
      <c r="XCO1510" s="1394"/>
      <c r="XCP1510" s="1394"/>
      <c r="XCQ1510" s="1394"/>
      <c r="XCR1510" s="1394"/>
      <c r="XCS1510" s="1394"/>
      <c r="XCT1510" s="1394"/>
      <c r="XCU1510" s="1394"/>
      <c r="XCV1510" s="1394"/>
      <c r="XCW1510" s="1394"/>
      <c r="XCX1510" s="1394"/>
      <c r="XCY1510" s="1394"/>
      <c r="XCZ1510" s="1394"/>
      <c r="XDA1510" s="1394"/>
      <c r="XDB1510" s="1394"/>
      <c r="XDC1510" s="1394"/>
      <c r="XDD1510" s="1394"/>
      <c r="XDE1510" s="1394"/>
      <c r="XDF1510" s="1394"/>
      <c r="XDG1510" s="1394"/>
      <c r="XDH1510" s="1394"/>
      <c r="XDI1510" s="1394"/>
      <c r="XDJ1510" s="1394"/>
      <c r="XDK1510" s="1394"/>
      <c r="XDL1510" s="1394"/>
      <c r="XDM1510" s="1394"/>
      <c r="XDN1510" s="1394"/>
      <c r="XDO1510" s="1394"/>
      <c r="XDP1510" s="1394"/>
      <c r="XDQ1510" s="1394"/>
      <c r="XDR1510" s="1394"/>
      <c r="XDS1510" s="1394"/>
      <c r="XDT1510" s="1394"/>
      <c r="XDU1510" s="1394"/>
      <c r="XDV1510" s="1394"/>
      <c r="XDW1510" s="1394"/>
      <c r="XDX1510" s="1394"/>
      <c r="XDY1510" s="1394"/>
      <c r="XDZ1510" s="1394"/>
      <c r="XEA1510" s="1394"/>
      <c r="XEB1510" s="1394"/>
      <c r="XEC1510" s="1394"/>
      <c r="XED1510" s="1394"/>
      <c r="XEE1510" s="1394"/>
      <c r="XEF1510" s="1394"/>
      <c r="XEG1510" s="1394"/>
      <c r="XEH1510" s="1394"/>
      <c r="XEI1510" s="1394"/>
      <c r="XEJ1510" s="1394"/>
      <c r="XEK1510" s="1394"/>
      <c r="XEL1510" s="1394"/>
      <c r="XEM1510" s="1394"/>
      <c r="XEN1510" s="1394"/>
      <c r="XEO1510" s="1394"/>
      <c r="XEP1510" s="1394"/>
      <c r="XEQ1510" s="1394"/>
      <c r="XER1510" s="1394"/>
      <c r="XES1510" s="1394"/>
      <c r="XET1510" s="1394"/>
      <c r="XEU1510" s="1394"/>
      <c r="XEV1510" s="1394"/>
      <c r="XEW1510" s="1394"/>
      <c r="XEX1510" s="1394"/>
      <c r="XEY1510" s="1394"/>
      <c r="XEZ1510" s="1394"/>
      <c r="XFA1510" s="1394"/>
      <c r="XFB1510" s="1394"/>
      <c r="XFC1510" s="1394"/>
      <c r="XFD1510" s="1394"/>
    </row>
    <row r="1511" s="1270" customFormat="1" ht="31" customHeight="1" spans="1:99 16239:16384">
      <c r="A1511" s="1022">
        <v>46240</v>
      </c>
      <c r="B1511" s="626" t="s">
        <v>5862</v>
      </c>
      <c r="C1511" s="939" t="s">
        <v>98</v>
      </c>
      <c r="D1511" s="563">
        <v>4500218992</v>
      </c>
      <c r="E1511" s="1423" t="s">
        <v>5863</v>
      </c>
      <c r="F1511" s="563" t="s">
        <v>5864</v>
      </c>
      <c r="G1511" s="939" t="s">
        <v>111</v>
      </c>
      <c r="H1511" s="939" t="s">
        <v>112</v>
      </c>
      <c r="I1511" s="1023">
        <v>2400</v>
      </c>
      <c r="J1511" s="939">
        <v>0</v>
      </c>
      <c r="K1511" s="939">
        <v>16</v>
      </c>
      <c r="L1511" s="1064">
        <f t="shared" si="491"/>
        <v>150</v>
      </c>
      <c r="M1511" s="1027">
        <v>46283</v>
      </c>
      <c r="N1511" s="1027">
        <v>46279</v>
      </c>
      <c r="O1511" s="1031"/>
      <c r="P1511" s="939"/>
      <c r="Q1511" s="999"/>
      <c r="R1511" s="999">
        <v>46248</v>
      </c>
      <c r="S1511" s="999" t="s">
        <v>70</v>
      </c>
      <c r="T1511" s="999" t="s">
        <v>5865</v>
      </c>
      <c r="U1511" s="999"/>
      <c r="V1511" s="999"/>
      <c r="W1511" s="626"/>
      <c r="X1511" s="626" t="s">
        <v>5866</v>
      </c>
      <c r="Y1511" s="1001" t="s">
        <v>5867</v>
      </c>
      <c r="Z1511" s="1076">
        <v>2.682</v>
      </c>
      <c r="AA1511" s="1001">
        <f t="shared" si="484"/>
        <v>6436.8</v>
      </c>
      <c r="AB1511" s="563"/>
      <c r="AC1511" s="1077"/>
      <c r="AD1511" s="939" t="s">
        <v>111</v>
      </c>
      <c r="AE1511" s="939" t="s">
        <v>82</v>
      </c>
      <c r="AF1511" s="939"/>
      <c r="AG1511" s="939"/>
      <c r="AH1511" s="939"/>
      <c r="AI1511" s="626"/>
      <c r="AJ1511" s="939">
        <f t="shared" si="485"/>
        <v>-2400</v>
      </c>
      <c r="AK1511" s="939"/>
      <c r="AL1511" s="939" t="s">
        <v>2368</v>
      </c>
      <c r="AM1511" s="563"/>
      <c r="AN1511" s="563">
        <f t="shared" si="488"/>
        <v>2400</v>
      </c>
      <c r="AO1511" s="563"/>
      <c r="AP1511" s="563"/>
      <c r="AQ1511" s="563"/>
      <c r="AR1511" s="210">
        <f t="shared" si="490"/>
        <v>2400</v>
      </c>
      <c r="AS1511" s="563"/>
      <c r="AT1511" s="563"/>
      <c r="AU1511" s="210">
        <f t="shared" si="489"/>
        <v>2400</v>
      </c>
      <c r="AV1511" s="563"/>
      <c r="AW1511" s="563">
        <f t="shared" si="483"/>
        <v>2400</v>
      </c>
      <c r="AX1511" s="1004"/>
      <c r="AY1511" s="563"/>
      <c r="AZ1511" s="563"/>
      <c r="BA1511" s="563"/>
      <c r="BB1511" s="563"/>
      <c r="BC1511" s="563"/>
      <c r="BD1511" s="563"/>
      <c r="BE1511" s="563"/>
      <c r="BF1511" s="563"/>
      <c r="BG1511" s="563"/>
      <c r="BH1511" s="210">
        <f>I1511/4</f>
        <v>600</v>
      </c>
      <c r="BI1511" s="563"/>
      <c r="BJ1511" s="563"/>
      <c r="BK1511" s="563"/>
      <c r="BL1511" s="563"/>
      <c r="BM1511" s="563"/>
      <c r="BN1511" s="563"/>
      <c r="BO1511" s="563"/>
      <c r="BP1511" s="563"/>
      <c r="BQ1511" s="563"/>
      <c r="BR1511" s="563"/>
      <c r="BS1511" s="563"/>
      <c r="BT1511" s="563"/>
      <c r="BU1511" s="563"/>
      <c r="BV1511" s="563"/>
      <c r="BW1511" s="563"/>
      <c r="BX1511" s="563"/>
      <c r="BY1511" s="563"/>
      <c r="BZ1511" s="563"/>
      <c r="CA1511" s="563"/>
      <c r="CB1511" s="563"/>
      <c r="CC1511" s="563"/>
      <c r="CD1511" s="563"/>
      <c r="CE1511" s="563"/>
      <c r="CF1511" s="563"/>
      <c r="CG1511" s="563"/>
      <c r="CH1511" s="1015"/>
      <c r="CI1511" s="1015"/>
      <c r="CJ1511" s="1015"/>
      <c r="CK1511" s="1015"/>
      <c r="CL1511" s="1015"/>
      <c r="CM1511" s="563"/>
      <c r="CN1511" s="563"/>
      <c r="CO1511" s="563"/>
      <c r="CP1511" s="1015"/>
      <c r="CQ1511" s="1015"/>
      <c r="CR1511" s="1015"/>
      <c r="CS1511" s="1015"/>
      <c r="CT1511" s="1015"/>
      <c r="CU1511" s="1015"/>
      <c r="WZO1511" s="1394"/>
      <c r="WZP1511" s="1394"/>
      <c r="WZQ1511" s="1394"/>
      <c r="WZR1511" s="1394"/>
      <c r="WZS1511" s="1394"/>
      <c r="WZT1511" s="1394"/>
      <c r="WZU1511" s="1394"/>
      <c r="WZV1511" s="1394"/>
      <c r="WZW1511" s="1394"/>
      <c r="WZX1511" s="1394"/>
      <c r="WZY1511" s="1394"/>
      <c r="WZZ1511" s="1394"/>
      <c r="XAA1511" s="1394"/>
      <c r="XAB1511" s="1394"/>
      <c r="XAC1511" s="1394"/>
      <c r="XAD1511" s="1394"/>
      <c r="XAE1511" s="1394"/>
      <c r="XAF1511" s="1394"/>
      <c r="XAG1511" s="1394"/>
      <c r="XAH1511" s="1394"/>
      <c r="XAI1511" s="1394"/>
      <c r="XAJ1511" s="1394"/>
      <c r="XAK1511" s="1394"/>
      <c r="XAL1511" s="1394"/>
      <c r="XAM1511" s="1394"/>
      <c r="XAN1511" s="1394"/>
      <c r="XAO1511" s="1394"/>
      <c r="XAP1511" s="1394"/>
      <c r="XAQ1511" s="1394"/>
      <c r="XAR1511" s="1394"/>
      <c r="XAS1511" s="1394"/>
      <c r="XAT1511" s="1394"/>
      <c r="XAU1511" s="1394"/>
      <c r="XAV1511" s="1394"/>
      <c r="XAW1511" s="1394"/>
      <c r="XAX1511" s="1394"/>
      <c r="XAY1511" s="1394"/>
      <c r="XAZ1511" s="1394"/>
      <c r="XBA1511" s="1394"/>
      <c r="XBB1511" s="1394"/>
      <c r="XBC1511" s="1394"/>
      <c r="XBD1511" s="1394"/>
      <c r="XBE1511" s="1394"/>
      <c r="XBF1511" s="1394"/>
      <c r="XBG1511" s="1394"/>
      <c r="XBH1511" s="1394"/>
      <c r="XBI1511" s="1394"/>
      <c r="XBJ1511" s="1394"/>
      <c r="XBK1511" s="1394"/>
      <c r="XBL1511" s="1394"/>
      <c r="XBM1511" s="1394"/>
      <c r="XBN1511" s="1394"/>
      <c r="XBO1511" s="1394"/>
      <c r="XBP1511" s="1394"/>
      <c r="XBQ1511" s="1394"/>
      <c r="XBR1511" s="1394"/>
      <c r="XBS1511" s="1394"/>
      <c r="XBT1511" s="1394"/>
      <c r="XBU1511" s="1394"/>
      <c r="XBV1511" s="1394"/>
      <c r="XBW1511" s="1394"/>
      <c r="XBX1511" s="1394"/>
      <c r="XBY1511" s="1394"/>
      <c r="XBZ1511" s="1394"/>
      <c r="XCA1511" s="1394"/>
      <c r="XCB1511" s="1394"/>
      <c r="XCC1511" s="1394"/>
      <c r="XCD1511" s="1394"/>
      <c r="XCE1511" s="1394"/>
      <c r="XCF1511" s="1394"/>
      <c r="XCG1511" s="1394"/>
      <c r="XCH1511" s="1394"/>
      <c r="XCI1511" s="1394"/>
      <c r="XCJ1511" s="1394"/>
      <c r="XCK1511" s="1394"/>
      <c r="XCL1511" s="1394"/>
      <c r="XCM1511" s="1394"/>
      <c r="XCN1511" s="1394"/>
      <c r="XCO1511" s="1394"/>
      <c r="XCP1511" s="1394"/>
      <c r="XCQ1511" s="1394"/>
      <c r="XCR1511" s="1394"/>
      <c r="XCS1511" s="1394"/>
      <c r="XCT1511" s="1394"/>
      <c r="XCU1511" s="1394"/>
      <c r="XCV1511" s="1394"/>
      <c r="XCW1511" s="1394"/>
      <c r="XCX1511" s="1394"/>
      <c r="XCY1511" s="1394"/>
      <c r="XCZ1511" s="1394"/>
      <c r="XDA1511" s="1394"/>
      <c r="XDB1511" s="1394"/>
      <c r="XDC1511" s="1394"/>
      <c r="XDD1511" s="1394"/>
      <c r="XDE1511" s="1394"/>
      <c r="XDF1511" s="1394"/>
      <c r="XDG1511" s="1394"/>
      <c r="XDH1511" s="1394"/>
      <c r="XDI1511" s="1394"/>
      <c r="XDJ1511" s="1394"/>
      <c r="XDK1511" s="1394"/>
      <c r="XDL1511" s="1394"/>
      <c r="XDM1511" s="1394"/>
      <c r="XDN1511" s="1394"/>
      <c r="XDO1511" s="1394"/>
      <c r="XDP1511" s="1394"/>
      <c r="XDQ1511" s="1394"/>
      <c r="XDR1511" s="1394"/>
      <c r="XDS1511" s="1394"/>
      <c r="XDT1511" s="1394"/>
      <c r="XDU1511" s="1394"/>
      <c r="XDV1511" s="1394"/>
      <c r="XDW1511" s="1394"/>
      <c r="XDX1511" s="1394"/>
      <c r="XDY1511" s="1394"/>
      <c r="XDZ1511" s="1394"/>
      <c r="XEA1511" s="1394"/>
      <c r="XEB1511" s="1394"/>
      <c r="XEC1511" s="1394"/>
      <c r="XED1511" s="1394"/>
      <c r="XEE1511" s="1394"/>
      <c r="XEF1511" s="1394"/>
      <c r="XEG1511" s="1394"/>
      <c r="XEH1511" s="1394"/>
      <c r="XEI1511" s="1394"/>
      <c r="XEJ1511" s="1394"/>
      <c r="XEK1511" s="1394"/>
      <c r="XEL1511" s="1394"/>
      <c r="XEM1511" s="1394"/>
      <c r="XEN1511" s="1394"/>
      <c r="XEO1511" s="1394"/>
      <c r="XEP1511" s="1394"/>
      <c r="XEQ1511" s="1394"/>
      <c r="XER1511" s="1394"/>
      <c r="XES1511" s="1394"/>
      <c r="XET1511" s="1394"/>
      <c r="XEU1511" s="1394"/>
      <c r="XEV1511" s="1394"/>
      <c r="XEW1511" s="1394"/>
      <c r="XEX1511" s="1394"/>
      <c r="XEY1511" s="1394"/>
      <c r="XEZ1511" s="1394"/>
      <c r="XFA1511" s="1394"/>
      <c r="XFB1511" s="1394"/>
      <c r="XFC1511" s="1394"/>
      <c r="XFD1511" s="1394"/>
    </row>
    <row r="1512" s="1270" customFormat="1" ht="31" customHeight="1" spans="1:99 16239:16384">
      <c r="A1512" s="1127">
        <v>46203</v>
      </c>
      <c r="B1512" s="1128" t="s">
        <v>4371</v>
      </c>
      <c r="C1512" s="1129" t="s">
        <v>98</v>
      </c>
      <c r="D1512" s="562">
        <v>4500214197</v>
      </c>
      <c r="E1512" s="1129">
        <v>1003602732</v>
      </c>
      <c r="F1512" s="562" t="s">
        <v>5868</v>
      </c>
      <c r="G1512" s="1129" t="s">
        <v>101</v>
      </c>
      <c r="H1512" s="1129" t="s">
        <v>102</v>
      </c>
      <c r="I1512" s="1132">
        <v>2240</v>
      </c>
      <c r="J1512" s="1129">
        <v>0</v>
      </c>
      <c r="K1512" s="1129">
        <v>4</v>
      </c>
      <c r="L1512" s="1133">
        <f t="shared" si="491"/>
        <v>560</v>
      </c>
      <c r="M1512" s="1406">
        <v>46285</v>
      </c>
      <c r="N1512" s="1406">
        <f>M1512-4</f>
        <v>46281</v>
      </c>
      <c r="O1512" s="1131"/>
      <c r="P1512" s="1129"/>
      <c r="Q1512" s="1029"/>
      <c r="R1512" s="1029" t="s">
        <v>4563</v>
      </c>
      <c r="S1512" s="1029" t="s">
        <v>70</v>
      </c>
      <c r="T1512" s="999" t="s">
        <v>5824</v>
      </c>
      <c r="U1512" s="1029"/>
      <c r="V1512" s="1029"/>
      <c r="W1512" s="1128"/>
      <c r="X1512" s="1128" t="s">
        <v>5400</v>
      </c>
      <c r="Y1512" s="1136" t="s">
        <v>4378</v>
      </c>
      <c r="Z1512" s="1389">
        <v>2.7075</v>
      </c>
      <c r="AA1512" s="1136">
        <f t="shared" si="484"/>
        <v>6064.8</v>
      </c>
      <c r="AB1512" s="562"/>
      <c r="AC1512" s="1168"/>
      <c r="AD1512" s="1129" t="s">
        <v>101</v>
      </c>
      <c r="AE1512" s="1129" t="s">
        <v>82</v>
      </c>
      <c r="AF1512" s="1129"/>
      <c r="AG1512" s="1129"/>
      <c r="AH1512" s="1129"/>
      <c r="AI1512" s="848"/>
      <c r="AJ1512" s="773">
        <f t="shared" si="485"/>
        <v>-2240</v>
      </c>
      <c r="AK1512" s="1129"/>
      <c r="AL1512" s="1129" t="s">
        <v>2368</v>
      </c>
      <c r="AM1512" s="562"/>
      <c r="AN1512" s="562">
        <f t="shared" si="488"/>
        <v>2240</v>
      </c>
      <c r="AO1512" s="562"/>
      <c r="AP1512" s="562"/>
      <c r="AQ1512" s="562"/>
      <c r="AR1512" s="562">
        <f t="shared" si="490"/>
        <v>2240</v>
      </c>
      <c r="AS1512" s="562"/>
      <c r="AT1512" s="562"/>
      <c r="AU1512" s="562">
        <f t="shared" si="489"/>
        <v>2240</v>
      </c>
      <c r="AV1512" s="562"/>
      <c r="AW1512" s="562">
        <f t="shared" si="483"/>
        <v>2240</v>
      </c>
      <c r="AX1512" s="1140"/>
      <c r="AY1512" s="562"/>
      <c r="AZ1512" s="562"/>
      <c r="BA1512" s="562"/>
      <c r="BB1512" s="562"/>
      <c r="BC1512" s="562"/>
      <c r="BD1512" s="562"/>
      <c r="BE1512" s="562"/>
      <c r="BF1512" s="562"/>
      <c r="BG1512" s="562"/>
      <c r="BH1512" s="562">
        <f>I1512/4</f>
        <v>560</v>
      </c>
      <c r="BI1512" s="562"/>
      <c r="BJ1512" s="562"/>
      <c r="BK1512" s="562"/>
      <c r="BL1512" s="562"/>
      <c r="BM1512" s="562"/>
      <c r="BN1512" s="562"/>
      <c r="BO1512" s="562"/>
      <c r="BP1512" s="562"/>
      <c r="BQ1512" s="562"/>
      <c r="BR1512" s="562"/>
      <c r="BS1512" s="562"/>
      <c r="BT1512" s="562"/>
      <c r="BU1512" s="562"/>
      <c r="BV1512" s="562"/>
      <c r="BW1512" s="562"/>
      <c r="BX1512" s="562"/>
      <c r="BY1512" s="562"/>
      <c r="BZ1512" s="562"/>
      <c r="CA1512" s="562"/>
      <c r="CB1512" s="562"/>
      <c r="CC1512" s="562"/>
      <c r="CD1512" s="562"/>
      <c r="CE1512" s="562"/>
      <c r="CF1512" s="562"/>
      <c r="CG1512" s="562"/>
      <c r="CH1512" s="1138"/>
      <c r="CI1512" s="1138"/>
      <c r="CJ1512" s="1138"/>
      <c r="CK1512" s="1138"/>
      <c r="CL1512" s="1138"/>
      <c r="CM1512" s="562"/>
      <c r="CN1512" s="562"/>
      <c r="CO1512" s="562"/>
      <c r="CP1512" s="1138"/>
      <c r="CQ1512" s="1138"/>
      <c r="CR1512" s="1138"/>
      <c r="CS1512" s="1138"/>
      <c r="CT1512" s="1138"/>
      <c r="CU1512" s="1138"/>
    </row>
    <row r="1513" s="1271" customFormat="1" ht="31" customHeight="1" spans="1:99 16239:16384">
      <c r="A1513" s="1022">
        <v>46216</v>
      </c>
      <c r="B1513" s="626" t="s">
        <v>4371</v>
      </c>
      <c r="C1513" s="939" t="s">
        <v>98</v>
      </c>
      <c r="D1513" s="563">
        <v>4500216252</v>
      </c>
      <c r="E1513" s="939">
        <v>1007021961</v>
      </c>
      <c r="F1513" s="563" t="s">
        <v>5869</v>
      </c>
      <c r="G1513" s="939" t="s">
        <v>101</v>
      </c>
      <c r="H1513" s="939" t="s">
        <v>102</v>
      </c>
      <c r="I1513" s="1023">
        <v>1920</v>
      </c>
      <c r="J1513" s="939">
        <v>0</v>
      </c>
      <c r="K1513" s="939">
        <v>4</v>
      </c>
      <c r="L1513" s="1064">
        <f t="shared" si="491"/>
        <v>480</v>
      </c>
      <c r="M1513" s="1027">
        <v>46285</v>
      </c>
      <c r="N1513" s="1027">
        <f>M1513-4</f>
        <v>46281</v>
      </c>
      <c r="O1513" s="1031"/>
      <c r="P1513" s="939"/>
      <c r="Q1513" s="999"/>
      <c r="R1513" s="999" t="s">
        <v>4563</v>
      </c>
      <c r="S1513" s="999" t="s">
        <v>70</v>
      </c>
      <c r="T1513" s="999" t="s">
        <v>5824</v>
      </c>
      <c r="U1513" s="999"/>
      <c r="V1513" s="999"/>
      <c r="W1513" s="626"/>
      <c r="X1513" s="626" t="s">
        <v>5636</v>
      </c>
      <c r="Y1513" s="1001" t="s">
        <v>4378</v>
      </c>
      <c r="Z1513" s="1076">
        <v>2.61996</v>
      </c>
      <c r="AA1513" s="1001">
        <f t="shared" si="484"/>
        <v>5030.3232</v>
      </c>
      <c r="AB1513" s="563"/>
      <c r="AC1513" s="1077"/>
      <c r="AD1513" s="939" t="s">
        <v>101</v>
      </c>
      <c r="AE1513" s="939" t="s">
        <v>82</v>
      </c>
      <c r="AF1513" s="939"/>
      <c r="AG1513" s="939"/>
      <c r="AH1513" s="939"/>
      <c r="AI1513" s="626"/>
      <c r="AJ1513" s="773">
        <f t="shared" si="485"/>
        <v>-1920</v>
      </c>
      <c r="AK1513" s="939"/>
      <c r="AL1513" s="939"/>
      <c r="AM1513" s="563"/>
      <c r="AN1513" s="563">
        <f t="shared" si="488"/>
        <v>1920</v>
      </c>
      <c r="AO1513" s="563"/>
      <c r="AP1513" s="563"/>
      <c r="AQ1513" s="563"/>
      <c r="AR1513" s="563">
        <f t="shared" si="490"/>
        <v>1920</v>
      </c>
      <c r="AS1513" s="563"/>
      <c r="AT1513" s="563"/>
      <c r="AU1513" s="563">
        <f t="shared" si="489"/>
        <v>1920</v>
      </c>
      <c r="AV1513" s="563"/>
      <c r="AW1513" s="563">
        <f t="shared" si="483"/>
        <v>1920</v>
      </c>
      <c r="AX1513" s="1004"/>
      <c r="AY1513" s="563"/>
      <c r="AZ1513" s="563"/>
      <c r="BA1513" s="563"/>
      <c r="BB1513" s="563"/>
      <c r="BC1513" s="563"/>
      <c r="BD1513" s="563"/>
      <c r="BE1513" s="563"/>
      <c r="BF1513" s="563"/>
      <c r="BG1513" s="563"/>
      <c r="BH1513" s="563">
        <f>I1513/4</f>
        <v>480</v>
      </c>
      <c r="BI1513" s="563"/>
      <c r="BJ1513" s="563"/>
      <c r="BK1513" s="563"/>
      <c r="BL1513" s="563"/>
      <c r="BM1513" s="563"/>
      <c r="BN1513" s="563"/>
      <c r="BO1513" s="563"/>
      <c r="BP1513" s="1147"/>
      <c r="BQ1513" s="1147"/>
      <c r="BR1513" s="1147"/>
      <c r="BS1513" s="1147"/>
      <c r="BT1513" s="1147"/>
      <c r="BU1513" s="1147"/>
      <c r="BV1513" s="1147"/>
      <c r="BW1513" s="1147"/>
      <c r="BX1513" s="1147"/>
      <c r="BY1513" s="1147"/>
      <c r="BZ1513" s="1147"/>
      <c r="CA1513" s="1147"/>
      <c r="CB1513" s="1147"/>
      <c r="CC1513" s="1147"/>
      <c r="CD1513" s="1147"/>
      <c r="CE1513" s="1147"/>
      <c r="CF1513" s="1147"/>
      <c r="CG1513" s="1147"/>
      <c r="CH1513" s="1068"/>
      <c r="CI1513" s="1068"/>
      <c r="CJ1513" s="1068"/>
      <c r="CK1513" s="1068"/>
      <c r="CL1513" s="1068"/>
      <c r="CM1513" s="1147"/>
      <c r="CN1513" s="1147"/>
      <c r="CO1513" s="1147"/>
      <c r="CP1513" s="1068"/>
      <c r="CQ1513" s="1068"/>
      <c r="CR1513" s="1068"/>
      <c r="CS1513" s="1068"/>
      <c r="CT1513" s="1068"/>
      <c r="CU1513" s="1068"/>
    </row>
    <row r="1514" s="559" customFormat="1" ht="31" customHeight="1" spans="1:99 16239:16384">
      <c r="A1514" s="1022">
        <v>46239</v>
      </c>
      <c r="B1514" s="626" t="s">
        <v>4531</v>
      </c>
      <c r="C1514" s="939" t="s">
        <v>524</v>
      </c>
      <c r="D1514" s="563">
        <v>4500218890</v>
      </c>
      <c r="E1514" s="939"/>
      <c r="F1514" s="563" t="s">
        <v>5870</v>
      </c>
      <c r="G1514" s="939" t="s">
        <v>68</v>
      </c>
      <c r="H1514" s="939" t="s">
        <v>69</v>
      </c>
      <c r="I1514" s="1023">
        <v>3600</v>
      </c>
      <c r="J1514" s="939">
        <v>0</v>
      </c>
      <c r="K1514" s="939">
        <v>12</v>
      </c>
      <c r="L1514" s="1064">
        <f t="shared" si="491"/>
        <v>300</v>
      </c>
      <c r="M1514" s="1027">
        <v>46286</v>
      </c>
      <c r="N1514" s="1027">
        <v>46282</v>
      </c>
      <c r="O1514" s="1031"/>
      <c r="P1514" s="939"/>
      <c r="Q1514" s="999"/>
      <c r="R1514" s="999" t="s">
        <v>454</v>
      </c>
      <c r="S1514" s="999" t="s">
        <v>104</v>
      </c>
      <c r="T1514" s="999" t="s">
        <v>5871</v>
      </c>
      <c r="U1514" s="999" t="s">
        <v>5872</v>
      </c>
      <c r="V1514" s="999"/>
      <c r="W1514" s="626"/>
      <c r="X1514" s="626" t="s">
        <v>5873</v>
      </c>
      <c r="Y1514" s="1001" t="s">
        <v>5874</v>
      </c>
      <c r="Z1514" s="1076">
        <v>4.3218</v>
      </c>
      <c r="AA1514" s="1001">
        <f t="shared" si="484"/>
        <v>15558.48</v>
      </c>
      <c r="AB1514" s="563"/>
      <c r="AC1514" s="1077"/>
      <c r="AD1514" s="939" t="s">
        <v>184</v>
      </c>
      <c r="AE1514" s="939" t="s">
        <v>82</v>
      </c>
      <c r="AF1514" s="939"/>
      <c r="AG1514" s="939"/>
      <c r="AH1514" s="939"/>
      <c r="AI1514" s="626"/>
      <c r="AJ1514" s="939">
        <f t="shared" si="485"/>
        <v>-3600</v>
      </c>
      <c r="AK1514" s="939"/>
      <c r="AL1514" s="939"/>
      <c r="AM1514" s="563"/>
      <c r="AN1514" s="563">
        <f t="shared" si="488"/>
        <v>3600</v>
      </c>
      <c r="AO1514" s="563"/>
      <c r="AP1514" s="563"/>
      <c r="AQ1514" s="563"/>
      <c r="AR1514" s="563"/>
      <c r="AS1514" s="563">
        <f>I1514</f>
        <v>3600</v>
      </c>
      <c r="AT1514" s="563"/>
      <c r="AU1514" s="563">
        <f t="shared" si="489"/>
        <v>3600</v>
      </c>
      <c r="AV1514" s="563"/>
      <c r="AW1514" s="563">
        <f t="shared" si="483"/>
        <v>3600</v>
      </c>
      <c r="AX1514" s="1004"/>
      <c r="AY1514" s="563"/>
      <c r="AZ1514" s="563"/>
      <c r="BA1514" s="563"/>
      <c r="BB1514" s="563"/>
      <c r="BC1514" s="563"/>
      <c r="BD1514" s="563"/>
      <c r="BE1514" s="563"/>
      <c r="BF1514" s="563"/>
      <c r="BG1514" s="563"/>
      <c r="BH1514" s="563"/>
      <c r="BI1514" s="563"/>
      <c r="BJ1514" s="563"/>
      <c r="BK1514" s="563"/>
      <c r="BL1514" s="563"/>
      <c r="BM1514" s="563"/>
      <c r="BN1514" s="563"/>
      <c r="BO1514" s="563"/>
      <c r="BP1514" s="563"/>
      <c r="BQ1514" s="563"/>
      <c r="BR1514" s="563"/>
      <c r="BS1514" s="563"/>
      <c r="BT1514" s="563"/>
      <c r="BU1514" s="563"/>
      <c r="BV1514" s="563"/>
      <c r="BW1514" s="563"/>
      <c r="BX1514" s="563"/>
      <c r="BY1514" s="563"/>
      <c r="BZ1514" s="563"/>
      <c r="CA1514" s="563"/>
      <c r="CB1514" s="563"/>
      <c r="CC1514" s="563"/>
      <c r="CD1514" s="563"/>
      <c r="CE1514" s="563"/>
      <c r="CF1514" s="563"/>
      <c r="CG1514" s="563"/>
      <c r="CH1514" s="1015"/>
      <c r="CI1514" s="1015"/>
      <c r="CJ1514" s="1015"/>
      <c r="CK1514" s="1015"/>
      <c r="CL1514" s="1015"/>
      <c r="CM1514" s="563"/>
      <c r="CN1514" s="563"/>
      <c r="CO1514" s="563"/>
      <c r="CP1514" s="1015"/>
      <c r="CQ1514" s="1015"/>
      <c r="CR1514" s="1015"/>
      <c r="CS1514" s="1015"/>
      <c r="CT1514" s="1015"/>
      <c r="CU1514" s="1015"/>
      <c r="WZO1514" s="1276"/>
      <c r="WZP1514" s="1276"/>
      <c r="WZQ1514" s="1276"/>
      <c r="WZR1514" s="1276"/>
      <c r="WZS1514" s="1276"/>
      <c r="WZT1514" s="1276"/>
      <c r="WZU1514" s="1276"/>
      <c r="WZV1514" s="1276"/>
      <c r="WZW1514" s="1276"/>
      <c r="WZX1514" s="1276"/>
      <c r="WZY1514" s="1276"/>
      <c r="WZZ1514" s="1276"/>
      <c r="XAA1514" s="1276"/>
      <c r="XAB1514" s="1276"/>
      <c r="XAC1514" s="1276"/>
      <c r="XAD1514" s="1276"/>
      <c r="XAE1514" s="1276"/>
      <c r="XAF1514" s="1276"/>
      <c r="XAG1514" s="1276"/>
      <c r="XAH1514" s="1276"/>
      <c r="XAI1514" s="1276"/>
      <c r="XAJ1514" s="1276"/>
      <c r="XAK1514" s="1276"/>
      <c r="XAL1514" s="1276"/>
      <c r="XAM1514" s="1276"/>
      <c r="XAN1514" s="1276"/>
      <c r="XAO1514" s="1276"/>
      <c r="XAP1514" s="1276"/>
      <c r="XAQ1514" s="1276"/>
      <c r="XAR1514" s="1276"/>
      <c r="XAS1514" s="1276"/>
      <c r="XAT1514" s="1276"/>
      <c r="XAU1514" s="1276"/>
      <c r="XAV1514" s="1276"/>
      <c r="XAW1514" s="1276"/>
      <c r="XAX1514" s="1276"/>
      <c r="XAY1514" s="1276"/>
      <c r="XAZ1514" s="1276"/>
      <c r="XBA1514" s="1276"/>
      <c r="XBB1514" s="1276"/>
      <c r="XBC1514" s="1276"/>
      <c r="XBD1514" s="1276"/>
      <c r="XBE1514" s="1276"/>
      <c r="XBF1514" s="1276"/>
      <c r="XBG1514" s="1276"/>
      <c r="XBH1514" s="1276"/>
      <c r="XBI1514" s="1276"/>
      <c r="XBJ1514" s="1276"/>
      <c r="XBK1514" s="1276"/>
      <c r="XBL1514" s="1276"/>
      <c r="XBM1514" s="1276"/>
      <c r="XBN1514" s="1276"/>
      <c r="XBO1514" s="1276"/>
      <c r="XBP1514" s="1276"/>
      <c r="XBQ1514" s="1276"/>
      <c r="XBR1514" s="1276"/>
      <c r="XBS1514" s="1276"/>
      <c r="XBT1514" s="1276"/>
      <c r="XBU1514" s="1276"/>
      <c r="XBV1514" s="1276"/>
      <c r="XBW1514" s="1276"/>
      <c r="XBX1514" s="1276"/>
      <c r="XBY1514" s="1276"/>
      <c r="XBZ1514" s="1276"/>
      <c r="XCA1514" s="1276"/>
      <c r="XCB1514" s="1276"/>
      <c r="XCC1514" s="1276"/>
      <c r="XCD1514" s="1276"/>
      <c r="XCE1514" s="1276"/>
      <c r="XCF1514" s="1276"/>
      <c r="XCG1514" s="1276"/>
      <c r="XCH1514" s="1276"/>
      <c r="XCI1514" s="1276"/>
      <c r="XCJ1514" s="1276"/>
      <c r="XCK1514" s="1276"/>
      <c r="XCL1514" s="1276"/>
      <c r="XCM1514" s="1276"/>
      <c r="XCN1514" s="1276"/>
      <c r="XCO1514" s="1276"/>
      <c r="XCP1514" s="1276"/>
      <c r="XCQ1514" s="1276"/>
      <c r="XCR1514" s="1276"/>
      <c r="XCS1514" s="1276"/>
      <c r="XCT1514" s="1276"/>
      <c r="XCU1514" s="1276"/>
      <c r="XCV1514" s="1276"/>
      <c r="XCW1514" s="1276"/>
      <c r="XCX1514" s="1276"/>
      <c r="XCY1514" s="1276"/>
      <c r="XCZ1514" s="1276"/>
      <c r="XDA1514" s="1276"/>
      <c r="XDB1514" s="1276"/>
      <c r="XDC1514" s="1276"/>
      <c r="XDD1514" s="1276"/>
      <c r="XDE1514" s="1276"/>
      <c r="XDF1514" s="1276"/>
      <c r="XDG1514" s="1276"/>
      <c r="XDH1514" s="1276"/>
      <c r="XDI1514" s="1276"/>
      <c r="XDJ1514" s="1276"/>
      <c r="XDK1514" s="1276"/>
      <c r="XDL1514" s="1276"/>
      <c r="XDM1514" s="1276"/>
      <c r="XDN1514" s="1276"/>
      <c r="XDO1514" s="1276"/>
      <c r="XDP1514" s="1276"/>
      <c r="XDQ1514" s="1276"/>
      <c r="XDR1514" s="1276"/>
      <c r="XDS1514" s="1276"/>
      <c r="XDT1514" s="1276"/>
      <c r="XDU1514" s="1276"/>
      <c r="XDV1514" s="1276"/>
      <c r="XDW1514" s="1276"/>
      <c r="XDX1514" s="1276"/>
      <c r="XDY1514" s="1276"/>
      <c r="XDZ1514" s="1276"/>
      <c r="XEA1514" s="1276"/>
      <c r="XEB1514" s="1276"/>
      <c r="XEC1514" s="1276"/>
      <c r="XED1514" s="1276"/>
      <c r="XEE1514" s="1276"/>
      <c r="XEF1514" s="1276"/>
      <c r="XEG1514" s="1276"/>
      <c r="XEH1514" s="1276"/>
      <c r="XEI1514" s="1276"/>
      <c r="XEJ1514" s="1276"/>
      <c r="XEK1514" s="1276"/>
      <c r="XEL1514" s="1276"/>
      <c r="XEM1514" s="1276"/>
      <c r="XEN1514" s="1276"/>
      <c r="XEO1514" s="1276"/>
      <c r="XEP1514" s="1276"/>
      <c r="XEQ1514" s="1276"/>
      <c r="XER1514" s="1276"/>
      <c r="XES1514" s="1276"/>
      <c r="XET1514" s="1276"/>
      <c r="XEU1514" s="1276"/>
      <c r="XEV1514" s="1276"/>
      <c r="XEW1514" s="1276"/>
      <c r="XEX1514" s="1276"/>
      <c r="XEY1514" s="1276"/>
      <c r="XEZ1514" s="1276"/>
      <c r="XFA1514" s="1276"/>
      <c r="XFB1514" s="1276"/>
      <c r="XFC1514" s="1276"/>
      <c r="XFD1514" s="1276"/>
    </row>
    <row r="1515" s="559" customFormat="1" ht="31" customHeight="1" spans="1:99 16239:16384">
      <c r="A1515" s="1022">
        <v>46239</v>
      </c>
      <c r="B1515" s="626" t="s">
        <v>4531</v>
      </c>
      <c r="C1515" s="939" t="s">
        <v>524</v>
      </c>
      <c r="D1515" s="563">
        <v>4500218890</v>
      </c>
      <c r="E1515" s="939"/>
      <c r="F1515" s="563" t="s">
        <v>5875</v>
      </c>
      <c r="G1515" s="939" t="s">
        <v>518</v>
      </c>
      <c r="H1515" s="939" t="s">
        <v>477</v>
      </c>
      <c r="I1515" s="1023">
        <v>1158</v>
      </c>
      <c r="J1515" s="939">
        <v>0</v>
      </c>
      <c r="K1515" s="939">
        <v>6</v>
      </c>
      <c r="L1515" s="1064">
        <f t="shared" si="491"/>
        <v>193</v>
      </c>
      <c r="M1515" s="1027">
        <v>46286</v>
      </c>
      <c r="N1515" s="1027">
        <v>46282</v>
      </c>
      <c r="O1515" s="1031"/>
      <c r="P1515" s="939"/>
      <c r="Q1515" s="999"/>
      <c r="R1515" s="999" t="s">
        <v>454</v>
      </c>
      <c r="S1515" s="999" t="s">
        <v>104</v>
      </c>
      <c r="T1515" s="584" t="s">
        <v>5876</v>
      </c>
      <c r="U1515" s="999" t="s">
        <v>5872</v>
      </c>
      <c r="V1515" s="999"/>
      <c r="W1515" s="626"/>
      <c r="X1515" s="626" t="s">
        <v>5877</v>
      </c>
      <c r="Y1515" s="1001" t="s">
        <v>5874</v>
      </c>
      <c r="Z1515" s="1076">
        <v>7.2023</v>
      </c>
      <c r="AA1515" s="1001">
        <f t="shared" si="484"/>
        <v>8340.2634</v>
      </c>
      <c r="AB1515" s="563"/>
      <c r="AC1515" s="1077"/>
      <c r="AD1515" s="939" t="s">
        <v>5878</v>
      </c>
      <c r="AE1515" s="939" t="s">
        <v>82</v>
      </c>
      <c r="AF1515" s="939"/>
      <c r="AG1515" s="939"/>
      <c r="AH1515" s="939"/>
      <c r="AI1515" s="626"/>
      <c r="AJ1515" s="939">
        <f t="shared" si="485"/>
        <v>-1158</v>
      </c>
      <c r="AK1515" s="939"/>
      <c r="AL1515" s="939"/>
      <c r="AM1515" s="563"/>
      <c r="AN1515" s="563">
        <f t="shared" si="488"/>
        <v>1158</v>
      </c>
      <c r="AO1515" s="563"/>
      <c r="AP1515" s="563"/>
      <c r="AQ1515" s="563"/>
      <c r="AR1515" s="563"/>
      <c r="AS1515" s="563"/>
      <c r="AT1515" s="563">
        <f>I1515</f>
        <v>1158</v>
      </c>
      <c r="AU1515" s="563">
        <f t="shared" si="489"/>
        <v>1158</v>
      </c>
      <c r="AV1515" s="563"/>
      <c r="AW1515" s="563">
        <f t="shared" si="483"/>
        <v>1158</v>
      </c>
      <c r="AX1515" s="1004"/>
      <c r="AY1515" s="563"/>
      <c r="AZ1515" s="563"/>
      <c r="BA1515" s="563"/>
      <c r="BB1515" s="563"/>
      <c r="BC1515" s="563"/>
      <c r="BD1515" s="563"/>
      <c r="BE1515" s="563"/>
      <c r="BF1515" s="563"/>
      <c r="BG1515" s="563"/>
      <c r="BH1515" s="563"/>
      <c r="BI1515" s="563"/>
      <c r="BJ1515" s="563"/>
      <c r="BK1515" s="563"/>
      <c r="BL1515" s="563"/>
      <c r="BM1515" s="563"/>
      <c r="BN1515" s="563">
        <f>I1515</f>
        <v>1158</v>
      </c>
      <c r="BO1515" s="563"/>
      <c r="BP1515" s="563"/>
      <c r="BQ1515" s="563"/>
      <c r="BR1515" s="563"/>
      <c r="BS1515" s="563"/>
      <c r="BT1515" s="563"/>
      <c r="BU1515" s="563"/>
      <c r="BV1515" s="563"/>
      <c r="BW1515" s="563"/>
      <c r="BX1515" s="563"/>
      <c r="BY1515" s="563"/>
      <c r="BZ1515" s="563"/>
      <c r="CA1515" s="563"/>
      <c r="CB1515" s="563"/>
      <c r="CC1515" s="563"/>
      <c r="CD1515" s="563"/>
      <c r="CE1515" s="563"/>
      <c r="CF1515" s="563"/>
      <c r="CG1515" s="563"/>
      <c r="CH1515" s="1015"/>
      <c r="CI1515" s="1015"/>
      <c r="CJ1515" s="1015"/>
      <c r="CK1515" s="1015"/>
      <c r="CL1515" s="1015"/>
      <c r="CM1515" s="563"/>
      <c r="CN1515" s="563"/>
      <c r="CO1515" s="563"/>
      <c r="CP1515" s="1015"/>
      <c r="CQ1515" s="1015"/>
      <c r="CR1515" s="1015"/>
      <c r="CS1515" s="1015"/>
      <c r="CT1515" s="1015"/>
      <c r="CU1515" s="1015"/>
      <c r="WZO1515" s="1276"/>
      <c r="WZP1515" s="1276"/>
      <c r="WZQ1515" s="1276"/>
      <c r="WZR1515" s="1276"/>
      <c r="WZS1515" s="1276"/>
      <c r="WZT1515" s="1276"/>
      <c r="WZU1515" s="1276"/>
      <c r="WZV1515" s="1276"/>
      <c r="WZW1515" s="1276"/>
      <c r="WZX1515" s="1276"/>
      <c r="WZY1515" s="1276"/>
      <c r="WZZ1515" s="1276"/>
      <c r="XAA1515" s="1276"/>
      <c r="XAB1515" s="1276"/>
      <c r="XAC1515" s="1276"/>
      <c r="XAD1515" s="1276"/>
      <c r="XAE1515" s="1276"/>
      <c r="XAF1515" s="1276"/>
      <c r="XAG1515" s="1276"/>
      <c r="XAH1515" s="1276"/>
      <c r="XAI1515" s="1276"/>
      <c r="XAJ1515" s="1276"/>
      <c r="XAK1515" s="1276"/>
      <c r="XAL1515" s="1276"/>
      <c r="XAM1515" s="1276"/>
      <c r="XAN1515" s="1276"/>
      <c r="XAO1515" s="1276"/>
      <c r="XAP1515" s="1276"/>
      <c r="XAQ1515" s="1276"/>
      <c r="XAR1515" s="1276"/>
      <c r="XAS1515" s="1276"/>
      <c r="XAT1515" s="1276"/>
      <c r="XAU1515" s="1276"/>
      <c r="XAV1515" s="1276"/>
      <c r="XAW1515" s="1276"/>
      <c r="XAX1515" s="1276"/>
      <c r="XAY1515" s="1276"/>
      <c r="XAZ1515" s="1276"/>
      <c r="XBA1515" s="1276"/>
      <c r="XBB1515" s="1276"/>
      <c r="XBC1515" s="1276"/>
      <c r="XBD1515" s="1276"/>
      <c r="XBE1515" s="1276"/>
      <c r="XBF1515" s="1276"/>
      <c r="XBG1515" s="1276"/>
      <c r="XBH1515" s="1276"/>
      <c r="XBI1515" s="1276"/>
      <c r="XBJ1515" s="1276"/>
      <c r="XBK1515" s="1276"/>
      <c r="XBL1515" s="1276"/>
      <c r="XBM1515" s="1276"/>
      <c r="XBN1515" s="1276"/>
      <c r="XBO1515" s="1276"/>
      <c r="XBP1515" s="1276"/>
      <c r="XBQ1515" s="1276"/>
      <c r="XBR1515" s="1276"/>
      <c r="XBS1515" s="1276"/>
      <c r="XBT1515" s="1276"/>
      <c r="XBU1515" s="1276"/>
      <c r="XBV1515" s="1276"/>
      <c r="XBW1515" s="1276"/>
      <c r="XBX1515" s="1276"/>
      <c r="XBY1515" s="1276"/>
      <c r="XBZ1515" s="1276"/>
      <c r="XCA1515" s="1276"/>
      <c r="XCB1515" s="1276"/>
      <c r="XCC1515" s="1276"/>
      <c r="XCD1515" s="1276"/>
      <c r="XCE1515" s="1276"/>
      <c r="XCF1515" s="1276"/>
      <c r="XCG1515" s="1276"/>
      <c r="XCH1515" s="1276"/>
      <c r="XCI1515" s="1276"/>
      <c r="XCJ1515" s="1276"/>
      <c r="XCK1515" s="1276"/>
      <c r="XCL1515" s="1276"/>
      <c r="XCM1515" s="1276"/>
      <c r="XCN1515" s="1276"/>
      <c r="XCO1515" s="1276"/>
      <c r="XCP1515" s="1276"/>
      <c r="XCQ1515" s="1276"/>
      <c r="XCR1515" s="1276"/>
      <c r="XCS1515" s="1276"/>
      <c r="XCT1515" s="1276"/>
      <c r="XCU1515" s="1276"/>
      <c r="XCV1515" s="1276"/>
      <c r="XCW1515" s="1276"/>
      <c r="XCX1515" s="1276"/>
      <c r="XCY1515" s="1276"/>
      <c r="XCZ1515" s="1276"/>
      <c r="XDA1515" s="1276"/>
      <c r="XDB1515" s="1276"/>
      <c r="XDC1515" s="1276"/>
      <c r="XDD1515" s="1276"/>
      <c r="XDE1515" s="1276"/>
      <c r="XDF1515" s="1276"/>
      <c r="XDG1515" s="1276"/>
      <c r="XDH1515" s="1276"/>
      <c r="XDI1515" s="1276"/>
      <c r="XDJ1515" s="1276"/>
      <c r="XDK1515" s="1276"/>
      <c r="XDL1515" s="1276"/>
      <c r="XDM1515" s="1276"/>
      <c r="XDN1515" s="1276"/>
      <c r="XDO1515" s="1276"/>
      <c r="XDP1515" s="1276"/>
      <c r="XDQ1515" s="1276"/>
      <c r="XDR1515" s="1276"/>
      <c r="XDS1515" s="1276"/>
      <c r="XDT1515" s="1276"/>
      <c r="XDU1515" s="1276"/>
      <c r="XDV1515" s="1276"/>
      <c r="XDW1515" s="1276"/>
      <c r="XDX1515" s="1276"/>
      <c r="XDY1515" s="1276"/>
      <c r="XDZ1515" s="1276"/>
      <c r="XEA1515" s="1276"/>
      <c r="XEB1515" s="1276"/>
      <c r="XEC1515" s="1276"/>
      <c r="XED1515" s="1276"/>
      <c r="XEE1515" s="1276"/>
      <c r="XEF1515" s="1276"/>
      <c r="XEG1515" s="1276"/>
      <c r="XEH1515" s="1276"/>
      <c r="XEI1515" s="1276"/>
      <c r="XEJ1515" s="1276"/>
      <c r="XEK1515" s="1276"/>
      <c r="XEL1515" s="1276"/>
      <c r="XEM1515" s="1276"/>
      <c r="XEN1515" s="1276"/>
      <c r="XEO1515" s="1276"/>
      <c r="XEP1515" s="1276"/>
      <c r="XEQ1515" s="1276"/>
      <c r="XER1515" s="1276"/>
      <c r="XES1515" s="1276"/>
      <c r="XET1515" s="1276"/>
      <c r="XEU1515" s="1276"/>
      <c r="XEV1515" s="1276"/>
      <c r="XEW1515" s="1276"/>
      <c r="XEX1515" s="1276"/>
      <c r="XEY1515" s="1276"/>
      <c r="XEZ1515" s="1276"/>
      <c r="XFA1515" s="1276"/>
      <c r="XFB1515" s="1276"/>
      <c r="XFC1515" s="1276"/>
      <c r="XFD1515" s="1276"/>
    </row>
    <row r="1516" s="1270" customFormat="1" ht="31" customHeight="1" spans="1:99 16239:16384">
      <c r="A1516" s="1034">
        <v>46226</v>
      </c>
      <c r="B1516" s="603" t="s">
        <v>2952</v>
      </c>
      <c r="C1516" s="1035" t="s">
        <v>1227</v>
      </c>
      <c r="D1516" s="560">
        <v>4500217585</v>
      </c>
      <c r="E1516" s="1035"/>
      <c r="F1516" s="560" t="s">
        <v>5879</v>
      </c>
      <c r="G1516" s="1035" t="s">
        <v>68</v>
      </c>
      <c r="H1516" s="1035" t="s">
        <v>69</v>
      </c>
      <c r="I1516" s="1036">
        <v>720</v>
      </c>
      <c r="J1516" s="1035">
        <v>0</v>
      </c>
      <c r="K1516" s="1035">
        <v>12</v>
      </c>
      <c r="L1516" s="1025">
        <f t="shared" si="491"/>
        <v>60</v>
      </c>
      <c r="M1516" s="1037">
        <v>46286</v>
      </c>
      <c r="N1516" s="1037">
        <v>46282</v>
      </c>
      <c r="O1516" s="1043"/>
      <c r="P1516" s="1035"/>
      <c r="Q1516" s="1039"/>
      <c r="R1516" s="1039">
        <v>46251</v>
      </c>
      <c r="S1516" s="1039" t="s">
        <v>70</v>
      </c>
      <c r="T1516" s="1039" t="s">
        <v>5880</v>
      </c>
      <c r="U1516" s="1039"/>
      <c r="V1516" s="1039"/>
      <c r="W1516" s="603"/>
      <c r="X1516" s="603" t="s">
        <v>5881</v>
      </c>
      <c r="Y1516" s="1042" t="s">
        <v>3754</v>
      </c>
      <c r="Z1516" s="1387">
        <v>4.3734</v>
      </c>
      <c r="AA1516" s="1042">
        <f t="shared" si="484"/>
        <v>3148.848</v>
      </c>
      <c r="AB1516" s="560"/>
      <c r="AC1516" s="1077"/>
      <c r="AD1516" s="939" t="s">
        <v>184</v>
      </c>
      <c r="AE1516" s="1035" t="s">
        <v>82</v>
      </c>
      <c r="AF1516" s="1035"/>
      <c r="AG1516" s="1035"/>
      <c r="AH1516" s="1035"/>
      <c r="AI1516" s="603"/>
      <c r="AJ1516" s="939">
        <f t="shared" si="485"/>
        <v>-720</v>
      </c>
      <c r="AK1516" s="1035"/>
      <c r="AL1516" s="1035"/>
      <c r="AM1516" s="560"/>
      <c r="AN1516" s="560">
        <f t="shared" si="488"/>
        <v>720</v>
      </c>
      <c r="AO1516" s="560"/>
      <c r="AP1516" s="560"/>
      <c r="AQ1516" s="560"/>
      <c r="AR1516" s="560"/>
      <c r="AS1516" s="563">
        <f>I1516</f>
        <v>720</v>
      </c>
      <c r="AT1516" s="563"/>
      <c r="AU1516" s="563">
        <f t="shared" si="489"/>
        <v>720</v>
      </c>
      <c r="AV1516" s="563"/>
      <c r="AW1516" s="563">
        <f t="shared" si="483"/>
        <v>720</v>
      </c>
      <c r="AX1516" s="1045"/>
      <c r="AY1516" s="560"/>
      <c r="AZ1516" s="560"/>
      <c r="BA1516" s="560"/>
      <c r="BB1516" s="560"/>
      <c r="BC1516" s="560"/>
      <c r="BD1516" s="560"/>
      <c r="BE1516" s="560"/>
      <c r="BF1516" s="560"/>
      <c r="BG1516" s="560"/>
      <c r="BH1516" s="560"/>
      <c r="BI1516" s="560"/>
      <c r="BJ1516" s="560"/>
      <c r="BK1516" s="560"/>
      <c r="BL1516" s="560"/>
      <c r="BM1516" s="560"/>
      <c r="BN1516" s="560"/>
      <c r="BO1516" s="560"/>
      <c r="BP1516" s="560"/>
      <c r="BQ1516" s="560"/>
      <c r="BR1516" s="560"/>
      <c r="BS1516" s="560"/>
      <c r="BT1516" s="560"/>
      <c r="BU1516" s="560"/>
      <c r="BV1516" s="560"/>
      <c r="BW1516" s="560"/>
      <c r="BX1516" s="560"/>
      <c r="BY1516" s="560"/>
      <c r="BZ1516" s="560"/>
      <c r="CA1516" s="560"/>
      <c r="CB1516" s="560"/>
      <c r="CC1516" s="560"/>
      <c r="CD1516" s="560"/>
      <c r="CE1516" s="560"/>
      <c r="CF1516" s="560"/>
      <c r="CG1516" s="560"/>
      <c r="CH1516" s="1044"/>
      <c r="CI1516" s="1044"/>
      <c r="CJ1516" s="1044"/>
      <c r="CK1516" s="1044"/>
      <c r="CL1516" s="1044"/>
      <c r="CM1516" s="560"/>
      <c r="CN1516" s="560"/>
      <c r="CO1516" s="560"/>
      <c r="CP1516" s="1044"/>
      <c r="CQ1516" s="1044"/>
      <c r="CR1516" s="1044"/>
      <c r="CS1516" s="1044"/>
      <c r="CT1516" s="1044"/>
      <c r="CU1516" s="1044"/>
    </row>
    <row r="1517" s="1274" customFormat="1" ht="31" customHeight="1" spans="1:99 16239:16384">
      <c r="A1517" s="1195">
        <v>46246</v>
      </c>
      <c r="B1517" s="1183" t="s">
        <v>5882</v>
      </c>
      <c r="C1517" s="1196" t="s">
        <v>4052</v>
      </c>
      <c r="D1517" s="565">
        <v>4500219730</v>
      </c>
      <c r="E1517" s="1196" t="s">
        <v>5883</v>
      </c>
      <c r="F1517" s="565" t="s">
        <v>5884</v>
      </c>
      <c r="G1517" s="1196" t="s">
        <v>68</v>
      </c>
      <c r="H1517" s="1196" t="s">
        <v>69</v>
      </c>
      <c r="I1517" s="1197">
        <v>1500</v>
      </c>
      <c r="J1517" s="1196">
        <v>0</v>
      </c>
      <c r="K1517" s="1196">
        <v>12</v>
      </c>
      <c r="L1517" s="1198">
        <f t="shared" si="491"/>
        <v>125</v>
      </c>
      <c r="M1517" s="1199">
        <v>46287</v>
      </c>
      <c r="N1517" s="1199">
        <v>46283</v>
      </c>
      <c r="O1517" s="1200"/>
      <c r="P1517" s="1196"/>
      <c r="Q1517" s="1181"/>
      <c r="R1517" s="1181" t="s">
        <v>454</v>
      </c>
      <c r="S1517" s="1181" t="s">
        <v>70</v>
      </c>
      <c r="T1517" s="1181" t="s">
        <v>5885</v>
      </c>
      <c r="U1517" s="1181"/>
      <c r="V1517" s="1181"/>
      <c r="W1517" s="1183"/>
      <c r="X1517" s="1183" t="s">
        <v>5886</v>
      </c>
      <c r="Y1517" s="1201" t="s">
        <v>5887</v>
      </c>
      <c r="Z1517" s="1407">
        <v>4.3734</v>
      </c>
      <c r="AA1517" s="1201">
        <f t="shared" si="484"/>
        <v>6560.1</v>
      </c>
      <c r="AB1517" s="565"/>
      <c r="AC1517" s="1396"/>
      <c r="AD1517" s="1173" t="s">
        <v>184</v>
      </c>
      <c r="AE1517" s="1196" t="s">
        <v>82</v>
      </c>
      <c r="AF1517" s="1196"/>
      <c r="AG1517" s="1196"/>
      <c r="AH1517" s="1196"/>
      <c r="AI1517" s="1183"/>
      <c r="AJ1517" s="1173">
        <f t="shared" si="485"/>
        <v>-1500</v>
      </c>
      <c r="AK1517" s="1196"/>
      <c r="AL1517" s="1196"/>
      <c r="AM1517" s="565"/>
      <c r="AN1517" s="565">
        <f t="shared" si="488"/>
        <v>1500</v>
      </c>
      <c r="AO1517" s="565"/>
      <c r="AP1517" s="565"/>
      <c r="AQ1517" s="565"/>
      <c r="AR1517" s="565"/>
      <c r="AS1517" s="1174">
        <f>I1517</f>
        <v>1500</v>
      </c>
      <c r="AT1517" s="1174"/>
      <c r="AU1517" s="1174">
        <f t="shared" si="489"/>
        <v>1500</v>
      </c>
      <c r="AV1517" s="1174"/>
      <c r="AW1517" s="1174">
        <f t="shared" si="483"/>
        <v>1500</v>
      </c>
      <c r="AX1517" s="1205"/>
      <c r="AY1517" s="565"/>
      <c r="AZ1517" s="565"/>
      <c r="BA1517" s="565"/>
      <c r="BB1517" s="565"/>
      <c r="BC1517" s="565"/>
      <c r="BD1517" s="565"/>
      <c r="BE1517" s="565"/>
      <c r="BF1517" s="565"/>
      <c r="BG1517" s="565"/>
      <c r="BH1517" s="565"/>
      <c r="BI1517" s="565"/>
      <c r="BJ1517" s="565"/>
      <c r="BK1517" s="565"/>
      <c r="BL1517" s="565"/>
      <c r="BM1517" s="565"/>
      <c r="BN1517" s="565"/>
      <c r="BO1517" s="565"/>
      <c r="BP1517" s="565"/>
      <c r="BQ1517" s="565"/>
      <c r="BR1517" s="565"/>
      <c r="BS1517" s="565"/>
      <c r="BT1517" s="565"/>
      <c r="BU1517" s="565"/>
      <c r="BV1517" s="565"/>
      <c r="BW1517" s="565"/>
      <c r="BX1517" s="565"/>
      <c r="BY1517" s="565"/>
      <c r="BZ1517" s="565"/>
      <c r="CA1517" s="565"/>
      <c r="CB1517" s="565"/>
      <c r="CC1517" s="565"/>
      <c r="CD1517" s="565"/>
      <c r="CE1517" s="565"/>
      <c r="CF1517" s="565"/>
      <c r="CG1517" s="565"/>
      <c r="CH1517" s="1204"/>
      <c r="CI1517" s="1204"/>
      <c r="CJ1517" s="1204"/>
      <c r="CK1517" s="1204"/>
      <c r="CL1517" s="1204"/>
      <c r="CM1517" s="565"/>
      <c r="CN1517" s="565"/>
      <c r="CO1517" s="565"/>
      <c r="CP1517" s="1204"/>
      <c r="CQ1517" s="1204"/>
      <c r="CR1517" s="1204"/>
      <c r="CS1517" s="1204"/>
      <c r="CT1517" s="1204"/>
      <c r="CU1517" s="1204"/>
    </row>
    <row r="1518" s="1270" customFormat="1" ht="31" customHeight="1" spans="1:99 16239:16384">
      <c r="A1518" s="1022">
        <v>46223</v>
      </c>
      <c r="B1518" s="626" t="s">
        <v>2760</v>
      </c>
      <c r="C1518" s="939" t="s">
        <v>2761</v>
      </c>
      <c r="D1518" s="563">
        <v>4500217034</v>
      </c>
      <c r="E1518" s="939"/>
      <c r="F1518" s="563" t="s">
        <v>5888</v>
      </c>
      <c r="G1518" s="939" t="s">
        <v>68</v>
      </c>
      <c r="H1518" s="939" t="s">
        <v>69</v>
      </c>
      <c r="I1518" s="1023">
        <v>504</v>
      </c>
      <c r="J1518" s="939">
        <v>0</v>
      </c>
      <c r="K1518" s="939">
        <v>12</v>
      </c>
      <c r="L1518" s="1064">
        <f t="shared" ref="L1518:L1537" si="492">I1518/K1518</f>
        <v>42</v>
      </c>
      <c r="M1518" s="1027">
        <v>46288</v>
      </c>
      <c r="N1518" s="1058">
        <v>46284</v>
      </c>
      <c r="O1518" s="1031"/>
      <c r="P1518" s="939"/>
      <c r="Q1518" s="999"/>
      <c r="R1518" s="999">
        <v>46223</v>
      </c>
      <c r="S1518" s="999" t="s">
        <v>70</v>
      </c>
      <c r="T1518" s="999" t="s">
        <v>70</v>
      </c>
      <c r="U1518" s="999"/>
      <c r="V1518" s="999"/>
      <c r="W1518" s="626"/>
      <c r="X1518" s="626" t="s">
        <v>5889</v>
      </c>
      <c r="Y1518" s="1001" t="s">
        <v>5890</v>
      </c>
      <c r="Z1518" s="1076">
        <v>4.3734</v>
      </c>
      <c r="AA1518" s="1001">
        <f t="shared" ref="AA1518:AA1537" si="493">Z1518*I1518</f>
        <v>2204.1936</v>
      </c>
      <c r="AB1518" s="563"/>
      <c r="AC1518" s="1077"/>
      <c r="AD1518" s="939" t="s">
        <v>68</v>
      </c>
      <c r="AE1518" s="939" t="s">
        <v>82</v>
      </c>
      <c r="AF1518" s="939"/>
      <c r="AG1518" s="939"/>
      <c r="AH1518" s="939"/>
      <c r="AI1518" s="626"/>
      <c r="AJ1518" s="1031">
        <f t="shared" ref="AJ1518:AJ1530" si="494">AI1518-I1518</f>
        <v>-504</v>
      </c>
      <c r="AK1518" s="939"/>
      <c r="AL1518" s="939"/>
      <c r="AM1518" s="563"/>
      <c r="AN1518" s="563">
        <f t="shared" si="488"/>
        <v>504</v>
      </c>
      <c r="AO1518" s="563"/>
      <c r="AP1518" s="563"/>
      <c r="AQ1518" s="563"/>
      <c r="AR1518" s="563">
        <f>I1518</f>
        <v>504</v>
      </c>
      <c r="AS1518" s="563"/>
      <c r="AT1518" s="563"/>
      <c r="AU1518" s="563">
        <f t="shared" ref="AU1518:AU1524" si="495">I1518</f>
        <v>504</v>
      </c>
      <c r="AV1518" s="563"/>
      <c r="AW1518" s="563">
        <f t="shared" ref="AW1518:AW1530" si="496">I1518</f>
        <v>504</v>
      </c>
      <c r="AX1518" s="1004"/>
      <c r="AY1518" s="563"/>
      <c r="AZ1518" s="563"/>
      <c r="BA1518" s="563"/>
      <c r="BB1518" s="563"/>
      <c r="BC1518" s="563"/>
      <c r="BD1518" s="563"/>
      <c r="BE1518" s="563"/>
      <c r="BF1518" s="563"/>
      <c r="BG1518" s="563"/>
      <c r="BH1518" s="563"/>
      <c r="BI1518" s="563"/>
      <c r="BJ1518" s="563"/>
      <c r="BK1518" s="563"/>
      <c r="BL1518" s="563"/>
      <c r="BM1518" s="563"/>
      <c r="BN1518" s="563"/>
      <c r="BO1518" s="563"/>
      <c r="BP1518" s="563"/>
      <c r="BQ1518" s="563"/>
      <c r="BR1518" s="563"/>
      <c r="BS1518" s="563"/>
      <c r="BT1518" s="563"/>
      <c r="BU1518" s="563"/>
      <c r="BV1518" s="563"/>
      <c r="BW1518" s="563"/>
      <c r="BX1518" s="563"/>
      <c r="BY1518" s="563"/>
      <c r="BZ1518" s="563"/>
      <c r="CA1518" s="563"/>
      <c r="CB1518" s="563"/>
      <c r="CC1518" s="563"/>
      <c r="CD1518" s="563"/>
      <c r="CE1518" s="563"/>
      <c r="CF1518" s="563"/>
      <c r="CG1518" s="563"/>
      <c r="CH1518" s="1015"/>
      <c r="CI1518" s="1015"/>
      <c r="CJ1518" s="1015"/>
      <c r="CK1518" s="1015"/>
      <c r="CL1518" s="1015"/>
      <c r="CM1518" s="563"/>
      <c r="CN1518" s="563"/>
      <c r="CO1518" s="563"/>
      <c r="CP1518" s="1015"/>
      <c r="CQ1518" s="1015"/>
      <c r="CR1518" s="1015"/>
      <c r="CS1518" s="1015"/>
      <c r="CT1518" s="1015"/>
      <c r="CU1518" s="1015"/>
    </row>
    <row r="1519" s="559" customFormat="1" ht="31" customHeight="1" spans="1:99 16239:16384">
      <c r="A1519" s="1022">
        <v>46237</v>
      </c>
      <c r="B1519" s="626" t="s">
        <v>143</v>
      </c>
      <c r="C1519" s="939" t="s">
        <v>98</v>
      </c>
      <c r="D1519" s="563">
        <v>4500218507</v>
      </c>
      <c r="E1519" s="1423" t="s">
        <v>5891</v>
      </c>
      <c r="F1519" s="563" t="s">
        <v>5892</v>
      </c>
      <c r="G1519" s="939" t="s">
        <v>101</v>
      </c>
      <c r="H1519" s="939" t="s">
        <v>102</v>
      </c>
      <c r="I1519" s="1023">
        <v>1556</v>
      </c>
      <c r="J1519" s="939">
        <v>0</v>
      </c>
      <c r="K1519" s="939">
        <v>4</v>
      </c>
      <c r="L1519" s="1064">
        <f t="shared" si="492"/>
        <v>389</v>
      </c>
      <c r="M1519" s="1027">
        <v>46288</v>
      </c>
      <c r="N1519" s="1027">
        <v>46284</v>
      </c>
      <c r="O1519" s="1031"/>
      <c r="P1519" s="939"/>
      <c r="Q1519" s="999"/>
      <c r="R1519" s="999" t="s">
        <v>4563</v>
      </c>
      <c r="S1519" s="999" t="s">
        <v>70</v>
      </c>
      <c r="T1519" s="999" t="s">
        <v>5824</v>
      </c>
      <c r="U1519" s="646"/>
      <c r="V1519" s="999"/>
      <c r="W1519" s="626"/>
      <c r="X1519" s="626" t="s">
        <v>5825</v>
      </c>
      <c r="Y1519" s="1001" t="s">
        <v>106</v>
      </c>
      <c r="Z1519" s="1076">
        <v>2.7109</v>
      </c>
      <c r="AA1519" s="1001">
        <f t="shared" si="493"/>
        <v>4218.1604</v>
      </c>
      <c r="AB1519" s="563"/>
      <c r="AC1519" s="1077"/>
      <c r="AD1519" s="939" t="s">
        <v>101</v>
      </c>
      <c r="AE1519" s="939" t="s">
        <v>82</v>
      </c>
      <c r="AF1519" s="939"/>
      <c r="AG1519" s="939"/>
      <c r="AH1519" s="939"/>
      <c r="AI1519" s="609"/>
      <c r="AJ1519" s="773">
        <f t="shared" si="494"/>
        <v>-1556</v>
      </c>
      <c r="AK1519" s="939"/>
      <c r="AL1519" s="939" t="s">
        <v>2368</v>
      </c>
      <c r="AM1519" s="563"/>
      <c r="AN1519" s="563">
        <f t="shared" si="488"/>
        <v>1556</v>
      </c>
      <c r="AO1519" s="563"/>
      <c r="AP1519" s="563"/>
      <c r="AQ1519" s="563"/>
      <c r="AR1519" s="563">
        <f>I1519</f>
        <v>1556</v>
      </c>
      <c r="AS1519" s="687"/>
      <c r="AT1519" s="687"/>
      <c r="AU1519" s="563">
        <f t="shared" si="495"/>
        <v>1556</v>
      </c>
      <c r="AV1519" s="687"/>
      <c r="AW1519" s="563">
        <f t="shared" si="496"/>
        <v>1556</v>
      </c>
      <c r="AX1519" s="1004"/>
      <c r="AY1519" s="563"/>
      <c r="AZ1519" s="563"/>
      <c r="BA1519" s="563"/>
      <c r="BB1519" s="563"/>
      <c r="BC1519" s="563"/>
      <c r="BD1519" s="563"/>
      <c r="BE1519" s="563"/>
      <c r="BF1519" s="563"/>
      <c r="BG1519" s="563"/>
      <c r="BH1519" s="563">
        <f>I1519/4</f>
        <v>389</v>
      </c>
      <c r="BI1519" s="563"/>
      <c r="BJ1519" s="563"/>
      <c r="BK1519" s="563"/>
      <c r="BL1519" s="563"/>
      <c r="BM1519" s="563"/>
      <c r="BN1519" s="563"/>
      <c r="BO1519" s="563"/>
      <c r="BP1519" s="563"/>
      <c r="BQ1519" s="563"/>
      <c r="BR1519" s="563"/>
      <c r="BS1519" s="563"/>
      <c r="BT1519" s="563"/>
      <c r="BU1519" s="563"/>
      <c r="BV1519" s="563"/>
      <c r="BW1519" s="563"/>
      <c r="BX1519" s="563"/>
      <c r="BY1519" s="563"/>
      <c r="BZ1519" s="563"/>
      <c r="CA1519" s="563"/>
      <c r="CB1519" s="563"/>
      <c r="CC1519" s="563"/>
      <c r="CD1519" s="563"/>
      <c r="CE1519" s="563"/>
      <c r="CF1519" s="563"/>
      <c r="CG1519" s="563"/>
      <c r="CH1519" s="1015"/>
      <c r="CI1519" s="1015"/>
      <c r="CJ1519" s="1015"/>
      <c r="CK1519" s="1015"/>
      <c r="CL1519" s="1015"/>
      <c r="CM1519" s="563"/>
      <c r="CN1519" s="563"/>
      <c r="CO1519" s="563"/>
      <c r="CP1519" s="1015"/>
      <c r="CQ1519" s="1015"/>
      <c r="CR1519" s="1015"/>
      <c r="CS1519" s="1015"/>
      <c r="CT1519" s="1015"/>
      <c r="CU1519" s="1015"/>
      <c r="WZO1519" s="1276"/>
      <c r="WZP1519" s="1276"/>
      <c r="WZQ1519" s="1276"/>
      <c r="WZR1519" s="1276"/>
      <c r="WZS1519" s="1276"/>
      <c r="WZT1519" s="1276"/>
      <c r="WZU1519" s="1276"/>
      <c r="WZV1519" s="1276"/>
      <c r="WZW1519" s="1276"/>
      <c r="WZX1519" s="1276"/>
      <c r="WZY1519" s="1276"/>
      <c r="WZZ1519" s="1276"/>
      <c r="XAA1519" s="1276"/>
      <c r="XAB1519" s="1276"/>
      <c r="XAC1519" s="1276"/>
      <c r="XAD1519" s="1276"/>
      <c r="XAE1519" s="1276"/>
      <c r="XAF1519" s="1276"/>
      <c r="XAG1519" s="1276"/>
      <c r="XAH1519" s="1276"/>
      <c r="XAI1519" s="1276"/>
      <c r="XAJ1519" s="1276"/>
      <c r="XAK1519" s="1276"/>
      <c r="XAL1519" s="1276"/>
      <c r="XAM1519" s="1276"/>
      <c r="XAN1519" s="1276"/>
      <c r="XAO1519" s="1276"/>
      <c r="XAP1519" s="1276"/>
      <c r="XAQ1519" s="1276"/>
      <c r="XAR1519" s="1276"/>
      <c r="XAS1519" s="1276"/>
      <c r="XAT1519" s="1276"/>
      <c r="XAU1519" s="1276"/>
      <c r="XAV1519" s="1276"/>
      <c r="XAW1519" s="1276"/>
      <c r="XAX1519" s="1276"/>
      <c r="XAY1519" s="1276"/>
      <c r="XAZ1519" s="1276"/>
      <c r="XBA1519" s="1276"/>
      <c r="XBB1519" s="1276"/>
      <c r="XBC1519" s="1276"/>
      <c r="XBD1519" s="1276"/>
      <c r="XBE1519" s="1276"/>
      <c r="XBF1519" s="1276"/>
      <c r="XBG1519" s="1276"/>
      <c r="XBH1519" s="1276"/>
      <c r="XBI1519" s="1276"/>
      <c r="XBJ1519" s="1276"/>
      <c r="XBK1519" s="1276"/>
      <c r="XBL1519" s="1276"/>
      <c r="XBM1519" s="1276"/>
      <c r="XBN1519" s="1276"/>
      <c r="XBO1519" s="1276"/>
      <c r="XBP1519" s="1276"/>
      <c r="XBQ1519" s="1276"/>
      <c r="XBR1519" s="1276"/>
      <c r="XBS1519" s="1276"/>
      <c r="XBT1519" s="1276"/>
      <c r="XBU1519" s="1276"/>
      <c r="XBV1519" s="1276"/>
      <c r="XBW1519" s="1276"/>
      <c r="XBX1519" s="1276"/>
      <c r="XBY1519" s="1276"/>
      <c r="XBZ1519" s="1276"/>
      <c r="XCA1519" s="1276"/>
      <c r="XCB1519" s="1276"/>
      <c r="XCC1519" s="1276"/>
      <c r="XCD1519" s="1276"/>
      <c r="XCE1519" s="1276"/>
      <c r="XCF1519" s="1276"/>
      <c r="XCG1519" s="1276"/>
      <c r="XCH1519" s="1276"/>
      <c r="XCI1519" s="1276"/>
      <c r="XCJ1519" s="1276"/>
      <c r="XCK1519" s="1276"/>
      <c r="XCL1519" s="1276"/>
      <c r="XCM1519" s="1276"/>
      <c r="XCN1519" s="1276"/>
      <c r="XCO1519" s="1276"/>
      <c r="XCP1519" s="1276"/>
      <c r="XCQ1519" s="1276"/>
      <c r="XCR1519" s="1276"/>
      <c r="XCS1519" s="1276"/>
      <c r="XCT1519" s="1276"/>
      <c r="XCU1519" s="1276"/>
      <c r="XCV1519" s="1276"/>
      <c r="XCW1519" s="1276"/>
      <c r="XCX1519" s="1276"/>
      <c r="XCY1519" s="1276"/>
      <c r="XCZ1519" s="1276"/>
      <c r="XDA1519" s="1276"/>
      <c r="XDB1519" s="1276"/>
      <c r="XDC1519" s="1276"/>
      <c r="XDD1519" s="1276"/>
      <c r="XDE1519" s="1276"/>
      <c r="XDF1519" s="1276"/>
      <c r="XDG1519" s="1276"/>
      <c r="XDH1519" s="1276"/>
      <c r="XDI1519" s="1276"/>
      <c r="XDJ1519" s="1276"/>
      <c r="XDK1519" s="1276"/>
      <c r="XDL1519" s="1276"/>
      <c r="XDM1519" s="1276"/>
      <c r="XDN1519" s="1276"/>
      <c r="XDO1519" s="1276"/>
      <c r="XDP1519" s="1276"/>
      <c r="XDQ1519" s="1276"/>
      <c r="XDR1519" s="1276"/>
      <c r="XDS1519" s="1276"/>
      <c r="XDT1519" s="1276"/>
      <c r="XDU1519" s="1276"/>
      <c r="XDV1519" s="1276"/>
      <c r="XDW1519" s="1276"/>
      <c r="XDX1519" s="1276"/>
      <c r="XDY1519" s="1276"/>
      <c r="XDZ1519" s="1276"/>
      <c r="XEA1519" s="1276"/>
      <c r="XEB1519" s="1276"/>
      <c r="XEC1519" s="1276"/>
      <c r="XED1519" s="1276"/>
      <c r="XEE1519" s="1276"/>
      <c r="XEF1519" s="1276"/>
      <c r="XEG1519" s="1276"/>
      <c r="XEH1519" s="1276"/>
      <c r="XEI1519" s="1276"/>
      <c r="XEJ1519" s="1276"/>
      <c r="XEK1519" s="1276"/>
      <c r="XEL1519" s="1276"/>
      <c r="XEM1519" s="1276"/>
      <c r="XEN1519" s="1276"/>
      <c r="XEO1519" s="1276"/>
      <c r="XEP1519" s="1276"/>
      <c r="XEQ1519" s="1276"/>
      <c r="XER1519" s="1276"/>
      <c r="XES1519" s="1276"/>
      <c r="XET1519" s="1276"/>
      <c r="XEU1519" s="1276"/>
      <c r="XEV1519" s="1276"/>
      <c r="XEW1519" s="1276"/>
      <c r="XEX1519" s="1276"/>
      <c r="XEY1519" s="1276"/>
      <c r="XEZ1519" s="1276"/>
      <c r="XFA1519" s="1276"/>
      <c r="XFB1519" s="1276"/>
      <c r="XFC1519" s="1276"/>
      <c r="XFD1519" s="1276"/>
    </row>
    <row r="1520" s="559" customFormat="1" ht="31" customHeight="1" spans="1:99 16239:16384">
      <c r="A1520" s="1008">
        <v>46185</v>
      </c>
      <c r="B1520" s="628" t="s">
        <v>2734</v>
      </c>
      <c r="C1520" s="618" t="s">
        <v>98</v>
      </c>
      <c r="D1520" s="687" t="s">
        <v>5893</v>
      </c>
      <c r="E1520" s="618" t="s">
        <v>5894</v>
      </c>
      <c r="F1520" s="687" t="s">
        <v>5895</v>
      </c>
      <c r="G1520" s="618" t="s">
        <v>2736</v>
      </c>
      <c r="H1520" s="939" t="s">
        <v>2737</v>
      </c>
      <c r="I1520" s="1069">
        <v>10800</v>
      </c>
      <c r="J1520" s="618">
        <v>0</v>
      </c>
      <c r="K1520" s="618">
        <v>8</v>
      </c>
      <c r="L1520" s="1064">
        <f t="shared" si="492"/>
        <v>1350</v>
      </c>
      <c r="M1520" s="1012">
        <v>46289</v>
      </c>
      <c r="N1520" s="1012">
        <v>46286</v>
      </c>
      <c r="O1520" s="773"/>
      <c r="P1520" s="618"/>
      <c r="Q1520" s="774"/>
      <c r="R1520" s="999">
        <v>46185</v>
      </c>
      <c r="S1520" s="999" t="s">
        <v>70</v>
      </c>
      <c r="T1520" s="999" t="s">
        <v>5723</v>
      </c>
      <c r="U1520" s="646"/>
      <c r="V1520" s="646"/>
      <c r="W1520" s="628"/>
      <c r="X1520" s="628" t="s">
        <v>5896</v>
      </c>
      <c r="Y1520" s="1014" t="s">
        <v>2814</v>
      </c>
      <c r="Z1520" s="1339">
        <v>4.11</v>
      </c>
      <c r="AA1520" s="1014">
        <f t="shared" si="493"/>
        <v>44388</v>
      </c>
      <c r="AB1520" s="687"/>
      <c r="AC1520" s="1077"/>
      <c r="AD1520" s="939" t="s">
        <v>2741</v>
      </c>
      <c r="AE1520" s="939" t="s">
        <v>82</v>
      </c>
      <c r="AF1520" s="618"/>
      <c r="AG1520" s="618"/>
      <c r="AH1520" s="618"/>
      <c r="AI1520" s="609"/>
      <c r="AJ1520" s="773">
        <f t="shared" si="494"/>
        <v>-10800</v>
      </c>
      <c r="AK1520" s="618"/>
      <c r="AL1520" s="618"/>
      <c r="AM1520" s="687"/>
      <c r="AN1520" s="687">
        <f t="shared" si="488"/>
        <v>10800</v>
      </c>
      <c r="AO1520" s="687"/>
      <c r="AP1520" s="687"/>
      <c r="AQ1520" s="687"/>
      <c r="AR1520" s="563">
        <f>I1520</f>
        <v>10800</v>
      </c>
      <c r="AS1520" s="687"/>
      <c r="AT1520" s="687"/>
      <c r="AU1520" s="563">
        <f t="shared" si="495"/>
        <v>10800</v>
      </c>
      <c r="AV1520" s="687"/>
      <c r="AW1520" s="687">
        <f t="shared" si="496"/>
        <v>10800</v>
      </c>
      <c r="AX1520" s="1016"/>
      <c r="AY1520" s="687"/>
      <c r="AZ1520" s="687"/>
      <c r="BA1520" s="687"/>
      <c r="BB1520" s="687"/>
      <c r="BC1520" s="687"/>
      <c r="BD1520" s="687"/>
      <c r="BE1520" s="687"/>
      <c r="BF1520" s="687"/>
      <c r="BG1520" s="687"/>
      <c r="BH1520" s="687"/>
      <c r="BI1520" s="687"/>
      <c r="BJ1520" s="687"/>
      <c r="BK1520" s="687"/>
      <c r="BL1520" s="687"/>
      <c r="BM1520" s="687"/>
      <c r="BN1520" s="554">
        <f>I1520</f>
        <v>10800</v>
      </c>
      <c r="BO1520" s="687"/>
      <c r="BP1520" s="687"/>
      <c r="BQ1520" s="687"/>
      <c r="BR1520" s="687"/>
      <c r="BS1520" s="687"/>
      <c r="BT1520" s="687"/>
      <c r="BU1520" s="687"/>
      <c r="BV1520" s="687"/>
      <c r="BW1520" s="687"/>
      <c r="BX1520" s="687"/>
      <c r="BY1520" s="687"/>
      <c r="BZ1520" s="687"/>
      <c r="CA1520" s="687"/>
      <c r="CB1520" s="687"/>
      <c r="CC1520" s="687"/>
      <c r="CD1520" s="687"/>
      <c r="CE1520" s="687"/>
      <c r="CF1520" s="687"/>
      <c r="CG1520" s="687"/>
      <c r="CH1520" s="1020"/>
      <c r="CI1520" s="1020"/>
      <c r="CJ1520" s="1020"/>
      <c r="CK1520" s="1020"/>
      <c r="CL1520" s="1020"/>
      <c r="CM1520" s="687"/>
      <c r="CN1520" s="687"/>
      <c r="CO1520" s="687"/>
      <c r="CP1520" s="1020"/>
      <c r="CQ1520" s="1020"/>
      <c r="CR1520" s="1020"/>
      <c r="CS1520" s="1020"/>
      <c r="CT1520" s="1020"/>
      <c r="CU1520" s="1020"/>
    </row>
    <row r="1521" s="1270" customFormat="1" ht="31" customHeight="1" spans="1:99 16239:16384">
      <c r="A1521" s="1022">
        <v>46238</v>
      </c>
      <c r="B1521" s="626" t="s">
        <v>5897</v>
      </c>
      <c r="C1521" s="939" t="s">
        <v>836</v>
      </c>
      <c r="D1521" s="563">
        <v>4500218739</v>
      </c>
      <c r="E1521" s="939">
        <v>7211693414</v>
      </c>
      <c r="F1521" s="563" t="s">
        <v>5898</v>
      </c>
      <c r="G1521" s="939" t="s">
        <v>68</v>
      </c>
      <c r="H1521" s="939" t="s">
        <v>69</v>
      </c>
      <c r="I1521" s="1023">
        <v>4980</v>
      </c>
      <c r="J1521" s="939">
        <v>0</v>
      </c>
      <c r="K1521" s="939">
        <v>12</v>
      </c>
      <c r="L1521" s="1064">
        <f t="shared" si="492"/>
        <v>415</v>
      </c>
      <c r="M1521" s="1027">
        <v>46290</v>
      </c>
      <c r="N1521" s="1027">
        <v>46286</v>
      </c>
      <c r="O1521" s="1031"/>
      <c r="P1521" s="939"/>
      <c r="Q1521" s="999"/>
      <c r="R1521" s="999" t="s">
        <v>454</v>
      </c>
      <c r="S1521" s="999" t="s">
        <v>70</v>
      </c>
      <c r="T1521" s="999" t="s">
        <v>5899</v>
      </c>
      <c r="U1521" s="999"/>
      <c r="V1521" s="999"/>
      <c r="W1521" s="626" t="s">
        <v>5900</v>
      </c>
      <c r="X1521" s="626" t="s">
        <v>5901</v>
      </c>
      <c r="Y1521" s="1001" t="s">
        <v>5902</v>
      </c>
      <c r="Z1521" s="1076">
        <v>4.3678</v>
      </c>
      <c r="AA1521" s="1001">
        <f t="shared" si="493"/>
        <v>21751.644</v>
      </c>
      <c r="AB1521" s="563"/>
      <c r="AC1521" s="1077"/>
      <c r="AD1521" s="939" t="s">
        <v>184</v>
      </c>
      <c r="AE1521" s="939" t="s">
        <v>82</v>
      </c>
      <c r="AF1521" s="939"/>
      <c r="AG1521" s="939"/>
      <c r="AH1521" s="939"/>
      <c r="AI1521" s="626"/>
      <c r="AJ1521" s="1031">
        <f t="shared" si="494"/>
        <v>-4980</v>
      </c>
      <c r="AK1521" s="939"/>
      <c r="AL1521" s="939"/>
      <c r="AM1521" s="563"/>
      <c r="AN1521" s="563">
        <f t="shared" si="488"/>
        <v>4980</v>
      </c>
      <c r="AO1521" s="563"/>
      <c r="AP1521" s="563"/>
      <c r="AQ1521" s="563"/>
      <c r="AR1521" s="563"/>
      <c r="AS1521" s="563">
        <f>I1521</f>
        <v>4980</v>
      </c>
      <c r="AT1521" s="563"/>
      <c r="AU1521" s="563">
        <f t="shared" si="495"/>
        <v>4980</v>
      </c>
      <c r="AV1521" s="1377"/>
      <c r="AW1521" s="563">
        <f t="shared" si="496"/>
        <v>4980</v>
      </c>
      <c r="AX1521" s="1004"/>
      <c r="AY1521" s="563"/>
      <c r="AZ1521" s="563"/>
      <c r="BA1521" s="563"/>
      <c r="BB1521" s="563"/>
      <c r="BC1521" s="563"/>
      <c r="BD1521" s="563"/>
      <c r="BE1521" s="563"/>
      <c r="BF1521" s="563"/>
      <c r="BG1521" s="563"/>
      <c r="BH1521" s="563"/>
      <c r="BI1521" s="563"/>
      <c r="BJ1521" s="563"/>
      <c r="BK1521" s="563"/>
      <c r="BL1521" s="563"/>
      <c r="BM1521" s="563"/>
      <c r="BN1521" s="563"/>
      <c r="BO1521" s="563"/>
      <c r="BP1521" s="563"/>
      <c r="BQ1521" s="563"/>
      <c r="BR1521" s="563"/>
      <c r="BS1521" s="563"/>
      <c r="BT1521" s="563"/>
      <c r="BU1521" s="563"/>
      <c r="BV1521" s="563"/>
      <c r="BW1521" s="563"/>
      <c r="BX1521" s="563"/>
      <c r="BY1521" s="563"/>
      <c r="BZ1521" s="563"/>
      <c r="CA1521" s="563"/>
      <c r="CB1521" s="563"/>
      <c r="CC1521" s="563"/>
      <c r="CD1521" s="563"/>
      <c r="CE1521" s="563"/>
      <c r="CF1521" s="563"/>
      <c r="CG1521" s="563"/>
      <c r="CH1521" s="1015"/>
      <c r="CI1521" s="1015"/>
      <c r="CJ1521" s="1015"/>
      <c r="CK1521" s="1015"/>
      <c r="CL1521" s="1015"/>
      <c r="CM1521" s="563"/>
      <c r="CN1521" s="563"/>
      <c r="CO1521" s="563"/>
      <c r="CP1521" s="1015"/>
      <c r="CQ1521" s="1015"/>
      <c r="CR1521" s="1015"/>
      <c r="CS1521" s="1015"/>
      <c r="CT1521" s="1015"/>
      <c r="CU1521" s="1015"/>
      <c r="WZO1521" s="1394"/>
      <c r="WZP1521" s="1394"/>
      <c r="WZQ1521" s="1394"/>
      <c r="WZR1521" s="1394"/>
      <c r="WZS1521" s="1394"/>
      <c r="WZT1521" s="1394"/>
      <c r="WZU1521" s="1394"/>
      <c r="WZV1521" s="1394"/>
      <c r="WZW1521" s="1394"/>
      <c r="WZX1521" s="1394"/>
      <c r="WZY1521" s="1394"/>
      <c r="WZZ1521" s="1394"/>
      <c r="XAA1521" s="1394"/>
      <c r="XAB1521" s="1394"/>
      <c r="XAC1521" s="1394"/>
      <c r="XAD1521" s="1394"/>
      <c r="XAE1521" s="1394"/>
      <c r="XAF1521" s="1394"/>
      <c r="XAG1521" s="1394"/>
      <c r="XAH1521" s="1394"/>
      <c r="XAI1521" s="1394"/>
      <c r="XAJ1521" s="1394"/>
      <c r="XAK1521" s="1394"/>
      <c r="XAL1521" s="1394"/>
      <c r="XAM1521" s="1394"/>
      <c r="XAN1521" s="1394"/>
      <c r="XAO1521" s="1394"/>
      <c r="XAP1521" s="1394"/>
      <c r="XAQ1521" s="1394"/>
      <c r="XAR1521" s="1394"/>
      <c r="XAS1521" s="1394"/>
      <c r="XAT1521" s="1394"/>
      <c r="XAU1521" s="1394"/>
      <c r="XAV1521" s="1394"/>
      <c r="XAW1521" s="1394"/>
      <c r="XAX1521" s="1394"/>
      <c r="XAY1521" s="1394"/>
      <c r="XAZ1521" s="1394"/>
      <c r="XBA1521" s="1394"/>
      <c r="XBB1521" s="1394"/>
      <c r="XBC1521" s="1394"/>
      <c r="XBD1521" s="1394"/>
      <c r="XBE1521" s="1394"/>
      <c r="XBF1521" s="1394"/>
      <c r="XBG1521" s="1394"/>
      <c r="XBH1521" s="1394"/>
      <c r="XBI1521" s="1394"/>
      <c r="XBJ1521" s="1394"/>
      <c r="XBK1521" s="1394"/>
      <c r="XBL1521" s="1394"/>
      <c r="XBM1521" s="1394"/>
      <c r="XBN1521" s="1394"/>
      <c r="XBO1521" s="1394"/>
      <c r="XBP1521" s="1394"/>
      <c r="XBQ1521" s="1394"/>
      <c r="XBR1521" s="1394"/>
      <c r="XBS1521" s="1394"/>
      <c r="XBT1521" s="1394"/>
      <c r="XBU1521" s="1394"/>
      <c r="XBV1521" s="1394"/>
      <c r="XBW1521" s="1394"/>
      <c r="XBX1521" s="1394"/>
      <c r="XBY1521" s="1394"/>
      <c r="XBZ1521" s="1394"/>
      <c r="XCA1521" s="1394"/>
      <c r="XCB1521" s="1394"/>
      <c r="XCC1521" s="1394"/>
      <c r="XCD1521" s="1394"/>
      <c r="XCE1521" s="1394"/>
      <c r="XCF1521" s="1394"/>
      <c r="XCG1521" s="1394"/>
      <c r="XCH1521" s="1394"/>
      <c r="XCI1521" s="1394"/>
      <c r="XCJ1521" s="1394"/>
      <c r="XCK1521" s="1394"/>
      <c r="XCL1521" s="1394"/>
      <c r="XCM1521" s="1394"/>
      <c r="XCN1521" s="1394"/>
      <c r="XCO1521" s="1394"/>
      <c r="XCP1521" s="1394"/>
      <c r="XCQ1521" s="1394"/>
      <c r="XCR1521" s="1394"/>
      <c r="XCS1521" s="1394"/>
      <c r="XCT1521" s="1394"/>
      <c r="XCU1521" s="1394"/>
      <c r="XCV1521" s="1394"/>
      <c r="XCW1521" s="1394"/>
      <c r="XCX1521" s="1394"/>
      <c r="XCY1521" s="1394"/>
      <c r="XCZ1521" s="1394"/>
      <c r="XDA1521" s="1394"/>
      <c r="XDB1521" s="1394"/>
      <c r="XDC1521" s="1394"/>
      <c r="XDD1521" s="1394"/>
      <c r="XDE1521" s="1394"/>
      <c r="XDF1521" s="1394"/>
      <c r="XDG1521" s="1394"/>
      <c r="XDH1521" s="1394"/>
      <c r="XDI1521" s="1394"/>
      <c r="XDJ1521" s="1394"/>
      <c r="XDK1521" s="1394"/>
      <c r="XDL1521" s="1394"/>
      <c r="XDM1521" s="1394"/>
      <c r="XDN1521" s="1394"/>
      <c r="XDO1521" s="1394"/>
      <c r="XDP1521" s="1394"/>
      <c r="XDQ1521" s="1394"/>
      <c r="XDR1521" s="1394"/>
      <c r="XDS1521" s="1394"/>
      <c r="XDT1521" s="1394"/>
      <c r="XDU1521" s="1394"/>
      <c r="XDV1521" s="1394"/>
      <c r="XDW1521" s="1394"/>
      <c r="XDX1521" s="1394"/>
      <c r="XDY1521" s="1394"/>
      <c r="XDZ1521" s="1394"/>
      <c r="XEA1521" s="1394"/>
      <c r="XEB1521" s="1394"/>
      <c r="XEC1521" s="1394"/>
      <c r="XED1521" s="1394"/>
      <c r="XEE1521" s="1394"/>
      <c r="XEF1521" s="1394"/>
      <c r="XEG1521" s="1394"/>
      <c r="XEH1521" s="1394"/>
      <c r="XEI1521" s="1394"/>
      <c r="XEJ1521" s="1394"/>
      <c r="XEK1521" s="1394"/>
      <c r="XEL1521" s="1394"/>
      <c r="XEM1521" s="1394"/>
      <c r="XEN1521" s="1394"/>
      <c r="XEO1521" s="1394"/>
      <c r="XEP1521" s="1394"/>
      <c r="XEQ1521" s="1394"/>
      <c r="XER1521" s="1394"/>
      <c r="XES1521" s="1394"/>
      <c r="XET1521" s="1394"/>
      <c r="XEU1521" s="1394"/>
      <c r="XEV1521" s="1394"/>
      <c r="XEW1521" s="1394"/>
      <c r="XEX1521" s="1394"/>
      <c r="XEY1521" s="1394"/>
      <c r="XEZ1521" s="1394"/>
      <c r="XFA1521" s="1394"/>
      <c r="XFB1521" s="1394"/>
      <c r="XFC1521" s="1394"/>
      <c r="XFD1521" s="1394"/>
    </row>
    <row r="1522" s="1275" customFormat="1" ht="31" customHeight="1" spans="1:99 16239:16384">
      <c r="A1522" s="1171">
        <v>46244</v>
      </c>
      <c r="B1522" s="1172" t="s">
        <v>143</v>
      </c>
      <c r="C1522" s="1173" t="s">
        <v>98</v>
      </c>
      <c r="D1522" s="1174">
        <v>4500219345</v>
      </c>
      <c r="E1522" s="1426" t="s">
        <v>5903</v>
      </c>
      <c r="F1522" s="1174" t="s">
        <v>5904</v>
      </c>
      <c r="G1522" s="1173" t="s">
        <v>101</v>
      </c>
      <c r="H1522" s="1173" t="s">
        <v>102</v>
      </c>
      <c r="I1522" s="1175">
        <v>7040</v>
      </c>
      <c r="J1522" s="1173">
        <v>0</v>
      </c>
      <c r="K1522" s="1173">
        <v>4</v>
      </c>
      <c r="L1522" s="1176">
        <f t="shared" si="492"/>
        <v>1760</v>
      </c>
      <c r="M1522" s="1177">
        <v>46293</v>
      </c>
      <c r="N1522" s="1177">
        <f>M1522-4</f>
        <v>46289</v>
      </c>
      <c r="O1522" s="1178"/>
      <c r="P1522" s="1173"/>
      <c r="Q1522" s="1179"/>
      <c r="R1522" s="999" t="s">
        <v>4563</v>
      </c>
      <c r="S1522" s="999" t="s">
        <v>70</v>
      </c>
      <c r="T1522" s="999" t="s">
        <v>5905</v>
      </c>
      <c r="U1522" s="1179"/>
      <c r="V1522" s="1179"/>
      <c r="W1522" s="1172"/>
      <c r="X1522" s="1172" t="s">
        <v>5906</v>
      </c>
      <c r="Y1522" s="1185" t="s">
        <v>106</v>
      </c>
      <c r="Z1522" s="1395">
        <v>2.6957</v>
      </c>
      <c r="AA1522" s="1185">
        <f t="shared" si="493"/>
        <v>18977.728</v>
      </c>
      <c r="AB1522" s="1174"/>
      <c r="AC1522" s="1396"/>
      <c r="AD1522" s="939" t="s">
        <v>101</v>
      </c>
      <c r="AE1522" s="1173" t="s">
        <v>82</v>
      </c>
      <c r="AF1522" s="1173"/>
      <c r="AG1522" s="1173"/>
      <c r="AH1522" s="1173"/>
      <c r="AI1522" s="1172"/>
      <c r="AJ1522" s="773">
        <f t="shared" si="494"/>
        <v>-7040</v>
      </c>
      <c r="AK1522" s="1173"/>
      <c r="AL1522" s="1173"/>
      <c r="AM1522" s="1174"/>
      <c r="AN1522" s="1174">
        <f t="shared" si="488"/>
        <v>7040</v>
      </c>
      <c r="AO1522" s="1174"/>
      <c r="AP1522" s="1174"/>
      <c r="AQ1522" s="1174"/>
      <c r="AR1522" s="563">
        <f>I1522</f>
        <v>7040</v>
      </c>
      <c r="AS1522" s="687"/>
      <c r="AT1522" s="687"/>
      <c r="AU1522" s="563">
        <f t="shared" si="495"/>
        <v>7040</v>
      </c>
      <c r="AV1522" s="687"/>
      <c r="AW1522" s="563">
        <f t="shared" si="496"/>
        <v>7040</v>
      </c>
      <c r="AX1522" s="1190"/>
      <c r="AY1522" s="1174"/>
      <c r="AZ1522" s="1174"/>
      <c r="BA1522" s="1174"/>
      <c r="BB1522" s="1174"/>
      <c r="BC1522" s="1174"/>
      <c r="BD1522" s="1174"/>
      <c r="BE1522" s="1174"/>
      <c r="BF1522" s="1174"/>
      <c r="BG1522" s="1174"/>
      <c r="BH1522" s="563">
        <f>I1522/4</f>
        <v>1760</v>
      </c>
      <c r="BI1522" s="1174"/>
      <c r="BJ1522" s="1174"/>
      <c r="BK1522" s="1174"/>
      <c r="BL1522" s="1174"/>
      <c r="BM1522" s="1174"/>
      <c r="BN1522" s="1174"/>
      <c r="BO1522" s="1174"/>
      <c r="BP1522" s="1174"/>
      <c r="BQ1522" s="1174"/>
      <c r="BR1522" s="1174"/>
      <c r="BS1522" s="1174"/>
      <c r="BT1522" s="1174"/>
      <c r="BU1522" s="1174"/>
      <c r="BV1522" s="1174"/>
      <c r="BW1522" s="1174"/>
      <c r="BX1522" s="1174"/>
      <c r="BY1522" s="1174"/>
      <c r="BZ1522" s="1174"/>
      <c r="CA1522" s="1174"/>
      <c r="CB1522" s="1174"/>
      <c r="CC1522" s="1174"/>
      <c r="CD1522" s="1174"/>
      <c r="CE1522" s="1174"/>
      <c r="CF1522" s="1174"/>
      <c r="CG1522" s="1174"/>
      <c r="CH1522" s="1189"/>
      <c r="CI1522" s="1189"/>
      <c r="CJ1522" s="1189"/>
      <c r="CK1522" s="1189"/>
      <c r="CL1522" s="1189"/>
      <c r="CM1522" s="1174"/>
      <c r="CN1522" s="1174"/>
      <c r="CO1522" s="1174"/>
      <c r="CP1522" s="1189"/>
      <c r="CQ1522" s="1189"/>
      <c r="CR1522" s="1189"/>
      <c r="CS1522" s="1189"/>
      <c r="CT1522" s="1189"/>
      <c r="CU1522" s="1189"/>
      <c r="WZO1522" s="1397"/>
      <c r="WZP1522" s="1397"/>
      <c r="WZQ1522" s="1397"/>
      <c r="WZR1522" s="1397"/>
      <c r="WZS1522" s="1397"/>
      <c r="WZT1522" s="1397"/>
      <c r="WZU1522" s="1397"/>
      <c r="WZV1522" s="1397"/>
      <c r="WZW1522" s="1397"/>
      <c r="WZX1522" s="1397"/>
      <c r="WZY1522" s="1397"/>
      <c r="WZZ1522" s="1397"/>
      <c r="XAA1522" s="1397"/>
      <c r="XAB1522" s="1397"/>
      <c r="XAC1522" s="1397"/>
      <c r="XAD1522" s="1397"/>
      <c r="XAE1522" s="1397"/>
      <c r="XAF1522" s="1397"/>
      <c r="XAG1522" s="1397"/>
      <c r="XAH1522" s="1397"/>
      <c r="XAI1522" s="1397"/>
      <c r="XAJ1522" s="1397"/>
      <c r="XAK1522" s="1397"/>
      <c r="XAL1522" s="1397"/>
      <c r="XAM1522" s="1397"/>
      <c r="XAN1522" s="1397"/>
      <c r="XAO1522" s="1397"/>
      <c r="XAP1522" s="1397"/>
      <c r="XAQ1522" s="1397"/>
      <c r="XAR1522" s="1397"/>
      <c r="XAS1522" s="1397"/>
      <c r="XAT1522" s="1397"/>
      <c r="XAU1522" s="1397"/>
      <c r="XAV1522" s="1397"/>
      <c r="XAW1522" s="1397"/>
      <c r="XAX1522" s="1397"/>
      <c r="XAY1522" s="1397"/>
      <c r="XAZ1522" s="1397"/>
      <c r="XBA1522" s="1397"/>
      <c r="XBB1522" s="1397"/>
      <c r="XBC1522" s="1397"/>
      <c r="XBD1522" s="1397"/>
      <c r="XBE1522" s="1397"/>
      <c r="XBF1522" s="1397"/>
      <c r="XBG1522" s="1397"/>
      <c r="XBH1522" s="1397"/>
      <c r="XBI1522" s="1397"/>
      <c r="XBJ1522" s="1397"/>
      <c r="XBK1522" s="1397"/>
      <c r="XBL1522" s="1397"/>
      <c r="XBM1522" s="1397"/>
      <c r="XBN1522" s="1397"/>
      <c r="XBO1522" s="1397"/>
      <c r="XBP1522" s="1397"/>
      <c r="XBQ1522" s="1397"/>
      <c r="XBR1522" s="1397"/>
      <c r="XBS1522" s="1397"/>
      <c r="XBT1522" s="1397"/>
      <c r="XBU1522" s="1397"/>
      <c r="XBV1522" s="1397"/>
      <c r="XBW1522" s="1397"/>
      <c r="XBX1522" s="1397"/>
      <c r="XBY1522" s="1397"/>
      <c r="XBZ1522" s="1397"/>
      <c r="XCA1522" s="1397"/>
      <c r="XCB1522" s="1397"/>
      <c r="XCC1522" s="1397"/>
      <c r="XCD1522" s="1397"/>
      <c r="XCE1522" s="1397"/>
      <c r="XCF1522" s="1397"/>
      <c r="XCG1522" s="1397"/>
      <c r="XCH1522" s="1397"/>
      <c r="XCI1522" s="1397"/>
      <c r="XCJ1522" s="1397"/>
      <c r="XCK1522" s="1397"/>
      <c r="XCL1522" s="1397"/>
      <c r="XCM1522" s="1397"/>
      <c r="XCN1522" s="1397"/>
      <c r="XCO1522" s="1397"/>
      <c r="XCP1522" s="1397"/>
      <c r="XCQ1522" s="1397"/>
      <c r="XCR1522" s="1397"/>
      <c r="XCS1522" s="1397"/>
      <c r="XCT1522" s="1397"/>
      <c r="XCU1522" s="1397"/>
      <c r="XCV1522" s="1397"/>
      <c r="XCW1522" s="1397"/>
      <c r="XCX1522" s="1397"/>
      <c r="XCY1522" s="1397"/>
      <c r="XCZ1522" s="1397"/>
      <c r="XDA1522" s="1397"/>
      <c r="XDB1522" s="1397"/>
      <c r="XDC1522" s="1397"/>
      <c r="XDD1522" s="1397"/>
      <c r="XDE1522" s="1397"/>
      <c r="XDF1522" s="1397"/>
      <c r="XDG1522" s="1397"/>
      <c r="XDH1522" s="1397"/>
      <c r="XDI1522" s="1397"/>
      <c r="XDJ1522" s="1397"/>
      <c r="XDK1522" s="1397"/>
      <c r="XDL1522" s="1397"/>
      <c r="XDM1522" s="1397"/>
      <c r="XDN1522" s="1397"/>
      <c r="XDO1522" s="1397"/>
      <c r="XDP1522" s="1397"/>
      <c r="XDQ1522" s="1397"/>
      <c r="XDR1522" s="1397"/>
      <c r="XDS1522" s="1397"/>
      <c r="XDT1522" s="1397"/>
      <c r="XDU1522" s="1397"/>
      <c r="XDV1522" s="1397"/>
      <c r="XDW1522" s="1397"/>
      <c r="XDX1522" s="1397"/>
      <c r="XDY1522" s="1397"/>
      <c r="XDZ1522" s="1397"/>
      <c r="XEA1522" s="1397"/>
      <c r="XEB1522" s="1397"/>
      <c r="XEC1522" s="1397"/>
      <c r="XED1522" s="1397"/>
      <c r="XEE1522" s="1397"/>
      <c r="XEF1522" s="1397"/>
      <c r="XEG1522" s="1397"/>
      <c r="XEH1522" s="1397"/>
      <c r="XEI1522" s="1397"/>
      <c r="XEJ1522" s="1397"/>
      <c r="XEK1522" s="1397"/>
      <c r="XEL1522" s="1397"/>
      <c r="XEM1522" s="1397"/>
      <c r="XEN1522" s="1397"/>
      <c r="XEO1522" s="1397"/>
      <c r="XEP1522" s="1397"/>
      <c r="XEQ1522" s="1397"/>
      <c r="XER1522" s="1397"/>
      <c r="XES1522" s="1397"/>
      <c r="XET1522" s="1397"/>
      <c r="XEU1522" s="1397"/>
      <c r="XEV1522" s="1397"/>
      <c r="XEW1522" s="1397"/>
      <c r="XEX1522" s="1397"/>
      <c r="XEY1522" s="1397"/>
      <c r="XEZ1522" s="1397"/>
      <c r="XFA1522" s="1397"/>
      <c r="XFB1522" s="1397"/>
      <c r="XFC1522" s="1397"/>
      <c r="XFD1522" s="1397"/>
    </row>
    <row r="1523" s="1275" customFormat="1" ht="31" customHeight="1" spans="1:99 16239:16384">
      <c r="A1523" s="1171">
        <v>46244</v>
      </c>
      <c r="B1523" s="1172" t="s">
        <v>143</v>
      </c>
      <c r="C1523" s="1173" t="s">
        <v>98</v>
      </c>
      <c r="D1523" s="1174">
        <v>4500219345</v>
      </c>
      <c r="E1523" s="1426" t="s">
        <v>5907</v>
      </c>
      <c r="F1523" s="1174" t="s">
        <v>5908</v>
      </c>
      <c r="G1523" s="1173" t="s">
        <v>101</v>
      </c>
      <c r="H1523" s="1173" t="s">
        <v>102</v>
      </c>
      <c r="I1523" s="1175">
        <v>7728</v>
      </c>
      <c r="J1523" s="1173">
        <v>0</v>
      </c>
      <c r="K1523" s="1173">
        <v>4</v>
      </c>
      <c r="L1523" s="1176">
        <f t="shared" si="492"/>
        <v>1932</v>
      </c>
      <c r="M1523" s="1177">
        <v>46293</v>
      </c>
      <c r="N1523" s="1177">
        <f>M1523-4</f>
        <v>46289</v>
      </c>
      <c r="O1523" s="1178"/>
      <c r="P1523" s="1173"/>
      <c r="Q1523" s="1179"/>
      <c r="R1523" s="999" t="s">
        <v>4563</v>
      </c>
      <c r="S1523" s="999" t="s">
        <v>70</v>
      </c>
      <c r="T1523" s="999" t="s">
        <v>5905</v>
      </c>
      <c r="U1523" s="1179"/>
      <c r="V1523" s="1179"/>
      <c r="W1523" s="1172"/>
      <c r="X1523" s="1172" t="s">
        <v>5906</v>
      </c>
      <c r="Y1523" s="1185" t="s">
        <v>106</v>
      </c>
      <c r="Z1523" s="1395">
        <v>2.6957</v>
      </c>
      <c r="AA1523" s="1185">
        <f t="shared" si="493"/>
        <v>20832.3696</v>
      </c>
      <c r="AB1523" s="1174"/>
      <c r="AC1523" s="1396"/>
      <c r="AD1523" s="939" t="s">
        <v>101</v>
      </c>
      <c r="AE1523" s="1173" t="s">
        <v>82</v>
      </c>
      <c r="AF1523" s="1173"/>
      <c r="AG1523" s="1173"/>
      <c r="AH1523" s="1173"/>
      <c r="AI1523" s="1172"/>
      <c r="AJ1523" s="773">
        <f t="shared" si="494"/>
        <v>-7728</v>
      </c>
      <c r="AK1523" s="1173"/>
      <c r="AL1523" s="1173"/>
      <c r="AM1523" s="1174"/>
      <c r="AN1523" s="1174">
        <f t="shared" si="488"/>
        <v>7728</v>
      </c>
      <c r="AO1523" s="1174"/>
      <c r="AP1523" s="1174"/>
      <c r="AQ1523" s="1174"/>
      <c r="AR1523" s="563">
        <f>I1523</f>
        <v>7728</v>
      </c>
      <c r="AS1523" s="687"/>
      <c r="AT1523" s="687"/>
      <c r="AU1523" s="563">
        <f t="shared" si="495"/>
        <v>7728</v>
      </c>
      <c r="AV1523" s="687"/>
      <c r="AW1523" s="563">
        <f t="shared" si="496"/>
        <v>7728</v>
      </c>
      <c r="AX1523" s="1190"/>
      <c r="AY1523" s="1174"/>
      <c r="AZ1523" s="1174"/>
      <c r="BA1523" s="1174"/>
      <c r="BB1523" s="1174"/>
      <c r="BC1523" s="1174"/>
      <c r="BD1523" s="1174"/>
      <c r="BE1523" s="1174"/>
      <c r="BF1523" s="1174"/>
      <c r="BG1523" s="1174"/>
      <c r="BH1523" s="563">
        <f>I1523/4</f>
        <v>1932</v>
      </c>
      <c r="BI1523" s="1174"/>
      <c r="BJ1523" s="1174"/>
      <c r="BK1523" s="1174"/>
      <c r="BL1523" s="1174"/>
      <c r="BM1523" s="1174"/>
      <c r="BN1523" s="1174"/>
      <c r="BO1523" s="1174"/>
      <c r="BP1523" s="1174"/>
      <c r="BQ1523" s="1174"/>
      <c r="BR1523" s="1174"/>
      <c r="BS1523" s="1174"/>
      <c r="BT1523" s="1174"/>
      <c r="BU1523" s="1174"/>
      <c r="BV1523" s="1174"/>
      <c r="BW1523" s="1174"/>
      <c r="BX1523" s="1174"/>
      <c r="BY1523" s="1174"/>
      <c r="BZ1523" s="1174"/>
      <c r="CA1523" s="1174"/>
      <c r="CB1523" s="1174"/>
      <c r="CC1523" s="1174"/>
      <c r="CD1523" s="1174"/>
      <c r="CE1523" s="1174"/>
      <c r="CF1523" s="1174"/>
      <c r="CG1523" s="1174"/>
      <c r="CH1523" s="1189"/>
      <c r="CI1523" s="1189"/>
      <c r="CJ1523" s="1189"/>
      <c r="CK1523" s="1189"/>
      <c r="CL1523" s="1189"/>
      <c r="CM1523" s="1174"/>
      <c r="CN1523" s="1174"/>
      <c r="CO1523" s="1174"/>
      <c r="CP1523" s="1189"/>
      <c r="CQ1523" s="1189"/>
      <c r="CR1523" s="1189"/>
      <c r="CS1523" s="1189"/>
      <c r="CT1523" s="1189"/>
      <c r="CU1523" s="1189"/>
      <c r="WZO1523" s="1397"/>
      <c r="WZP1523" s="1397"/>
      <c r="WZQ1523" s="1397"/>
      <c r="WZR1523" s="1397"/>
      <c r="WZS1523" s="1397"/>
      <c r="WZT1523" s="1397"/>
      <c r="WZU1523" s="1397"/>
      <c r="WZV1523" s="1397"/>
      <c r="WZW1523" s="1397"/>
      <c r="WZX1523" s="1397"/>
      <c r="WZY1523" s="1397"/>
      <c r="WZZ1523" s="1397"/>
      <c r="XAA1523" s="1397"/>
      <c r="XAB1523" s="1397"/>
      <c r="XAC1523" s="1397"/>
      <c r="XAD1523" s="1397"/>
      <c r="XAE1523" s="1397"/>
      <c r="XAF1523" s="1397"/>
      <c r="XAG1523" s="1397"/>
      <c r="XAH1523" s="1397"/>
      <c r="XAI1523" s="1397"/>
      <c r="XAJ1523" s="1397"/>
      <c r="XAK1523" s="1397"/>
      <c r="XAL1523" s="1397"/>
      <c r="XAM1523" s="1397"/>
      <c r="XAN1523" s="1397"/>
      <c r="XAO1523" s="1397"/>
      <c r="XAP1523" s="1397"/>
      <c r="XAQ1523" s="1397"/>
      <c r="XAR1523" s="1397"/>
      <c r="XAS1523" s="1397"/>
      <c r="XAT1523" s="1397"/>
      <c r="XAU1523" s="1397"/>
      <c r="XAV1523" s="1397"/>
      <c r="XAW1523" s="1397"/>
      <c r="XAX1523" s="1397"/>
      <c r="XAY1523" s="1397"/>
      <c r="XAZ1523" s="1397"/>
      <c r="XBA1523" s="1397"/>
      <c r="XBB1523" s="1397"/>
      <c r="XBC1523" s="1397"/>
      <c r="XBD1523" s="1397"/>
      <c r="XBE1523" s="1397"/>
      <c r="XBF1523" s="1397"/>
      <c r="XBG1523" s="1397"/>
      <c r="XBH1523" s="1397"/>
      <c r="XBI1523" s="1397"/>
      <c r="XBJ1523" s="1397"/>
      <c r="XBK1523" s="1397"/>
      <c r="XBL1523" s="1397"/>
      <c r="XBM1523" s="1397"/>
      <c r="XBN1523" s="1397"/>
      <c r="XBO1523" s="1397"/>
      <c r="XBP1523" s="1397"/>
      <c r="XBQ1523" s="1397"/>
      <c r="XBR1523" s="1397"/>
      <c r="XBS1523" s="1397"/>
      <c r="XBT1523" s="1397"/>
      <c r="XBU1523" s="1397"/>
      <c r="XBV1523" s="1397"/>
      <c r="XBW1523" s="1397"/>
      <c r="XBX1523" s="1397"/>
      <c r="XBY1523" s="1397"/>
      <c r="XBZ1523" s="1397"/>
      <c r="XCA1523" s="1397"/>
      <c r="XCB1523" s="1397"/>
      <c r="XCC1523" s="1397"/>
      <c r="XCD1523" s="1397"/>
      <c r="XCE1523" s="1397"/>
      <c r="XCF1523" s="1397"/>
      <c r="XCG1523" s="1397"/>
      <c r="XCH1523" s="1397"/>
      <c r="XCI1523" s="1397"/>
      <c r="XCJ1523" s="1397"/>
      <c r="XCK1523" s="1397"/>
      <c r="XCL1523" s="1397"/>
      <c r="XCM1523" s="1397"/>
      <c r="XCN1523" s="1397"/>
      <c r="XCO1523" s="1397"/>
      <c r="XCP1523" s="1397"/>
      <c r="XCQ1523" s="1397"/>
      <c r="XCR1523" s="1397"/>
      <c r="XCS1523" s="1397"/>
      <c r="XCT1523" s="1397"/>
      <c r="XCU1523" s="1397"/>
      <c r="XCV1523" s="1397"/>
      <c r="XCW1523" s="1397"/>
      <c r="XCX1523" s="1397"/>
      <c r="XCY1523" s="1397"/>
      <c r="XCZ1523" s="1397"/>
      <c r="XDA1523" s="1397"/>
      <c r="XDB1523" s="1397"/>
      <c r="XDC1523" s="1397"/>
      <c r="XDD1523" s="1397"/>
      <c r="XDE1523" s="1397"/>
      <c r="XDF1523" s="1397"/>
      <c r="XDG1523" s="1397"/>
      <c r="XDH1523" s="1397"/>
      <c r="XDI1523" s="1397"/>
      <c r="XDJ1523" s="1397"/>
      <c r="XDK1523" s="1397"/>
      <c r="XDL1523" s="1397"/>
      <c r="XDM1523" s="1397"/>
      <c r="XDN1523" s="1397"/>
      <c r="XDO1523" s="1397"/>
      <c r="XDP1523" s="1397"/>
      <c r="XDQ1523" s="1397"/>
      <c r="XDR1523" s="1397"/>
      <c r="XDS1523" s="1397"/>
      <c r="XDT1523" s="1397"/>
      <c r="XDU1523" s="1397"/>
      <c r="XDV1523" s="1397"/>
      <c r="XDW1523" s="1397"/>
      <c r="XDX1523" s="1397"/>
      <c r="XDY1523" s="1397"/>
      <c r="XDZ1523" s="1397"/>
      <c r="XEA1523" s="1397"/>
      <c r="XEB1523" s="1397"/>
      <c r="XEC1523" s="1397"/>
      <c r="XED1523" s="1397"/>
      <c r="XEE1523" s="1397"/>
      <c r="XEF1523" s="1397"/>
      <c r="XEG1523" s="1397"/>
      <c r="XEH1523" s="1397"/>
      <c r="XEI1523" s="1397"/>
      <c r="XEJ1523" s="1397"/>
      <c r="XEK1523" s="1397"/>
      <c r="XEL1523" s="1397"/>
      <c r="XEM1523" s="1397"/>
      <c r="XEN1523" s="1397"/>
      <c r="XEO1523" s="1397"/>
      <c r="XEP1523" s="1397"/>
      <c r="XEQ1523" s="1397"/>
      <c r="XER1523" s="1397"/>
      <c r="XES1523" s="1397"/>
      <c r="XET1523" s="1397"/>
      <c r="XEU1523" s="1397"/>
      <c r="XEV1523" s="1397"/>
      <c r="XEW1523" s="1397"/>
      <c r="XEX1523" s="1397"/>
      <c r="XEY1523" s="1397"/>
      <c r="XEZ1523" s="1397"/>
      <c r="XFA1523" s="1397"/>
      <c r="XFB1523" s="1397"/>
      <c r="XFC1523" s="1397"/>
      <c r="XFD1523" s="1397"/>
    </row>
    <row r="1524" s="1275" customFormat="1" ht="31" customHeight="1" spans="1:99 16239:16384">
      <c r="A1524" s="1171">
        <v>46244</v>
      </c>
      <c r="B1524" s="1172" t="s">
        <v>143</v>
      </c>
      <c r="C1524" s="1173" t="s">
        <v>98</v>
      </c>
      <c r="D1524" s="1174">
        <v>4500219345</v>
      </c>
      <c r="E1524" s="1426" t="s">
        <v>5909</v>
      </c>
      <c r="F1524" s="1174" t="s">
        <v>5910</v>
      </c>
      <c r="G1524" s="1173" t="s">
        <v>101</v>
      </c>
      <c r="H1524" s="1173" t="s">
        <v>102</v>
      </c>
      <c r="I1524" s="1175">
        <v>2228</v>
      </c>
      <c r="J1524" s="1173">
        <v>0</v>
      </c>
      <c r="K1524" s="1173">
        <v>4</v>
      </c>
      <c r="L1524" s="1176">
        <f t="shared" si="492"/>
        <v>557</v>
      </c>
      <c r="M1524" s="1177">
        <v>46293</v>
      </c>
      <c r="N1524" s="1177">
        <f>M1524-4</f>
        <v>46289</v>
      </c>
      <c r="O1524" s="1178"/>
      <c r="P1524" s="1173"/>
      <c r="Q1524" s="1179"/>
      <c r="R1524" s="999" t="s">
        <v>4563</v>
      </c>
      <c r="S1524" s="999" t="s">
        <v>70</v>
      </c>
      <c r="T1524" s="999" t="s">
        <v>5905</v>
      </c>
      <c r="U1524" s="1179"/>
      <c r="V1524" s="1179"/>
      <c r="W1524" s="1172"/>
      <c r="X1524" s="1172" t="s">
        <v>5906</v>
      </c>
      <c r="Y1524" s="1185" t="s">
        <v>106</v>
      </c>
      <c r="Z1524" s="1395">
        <v>2.7109</v>
      </c>
      <c r="AA1524" s="1185">
        <f t="shared" si="493"/>
        <v>6039.8852</v>
      </c>
      <c r="AB1524" s="1174"/>
      <c r="AC1524" s="1396"/>
      <c r="AD1524" s="939" t="s">
        <v>101</v>
      </c>
      <c r="AE1524" s="1173" t="s">
        <v>82</v>
      </c>
      <c r="AF1524" s="1173"/>
      <c r="AG1524" s="1173"/>
      <c r="AH1524" s="1173"/>
      <c r="AI1524" s="1172"/>
      <c r="AJ1524" s="773">
        <f t="shared" si="494"/>
        <v>-2228</v>
      </c>
      <c r="AK1524" s="1173"/>
      <c r="AL1524" s="1173"/>
      <c r="AM1524" s="1174"/>
      <c r="AN1524" s="1174">
        <f t="shared" si="488"/>
        <v>2228</v>
      </c>
      <c r="AO1524" s="1174"/>
      <c r="AP1524" s="1174"/>
      <c r="AQ1524" s="1174"/>
      <c r="AR1524" s="210">
        <f>I1524</f>
        <v>2228</v>
      </c>
      <c r="AS1524" s="687"/>
      <c r="AT1524" s="687"/>
      <c r="AU1524" s="210">
        <f t="shared" si="495"/>
        <v>2228</v>
      </c>
      <c r="AV1524" s="687"/>
      <c r="AW1524" s="563">
        <f t="shared" si="496"/>
        <v>2228</v>
      </c>
      <c r="AX1524" s="1190"/>
      <c r="AY1524" s="1174"/>
      <c r="AZ1524" s="1174"/>
      <c r="BA1524" s="1174"/>
      <c r="BB1524" s="1174"/>
      <c r="BC1524" s="1174"/>
      <c r="BD1524" s="1174"/>
      <c r="BE1524" s="1174"/>
      <c r="BF1524" s="1174"/>
      <c r="BG1524" s="1174"/>
      <c r="BH1524" s="210">
        <f>I1524/4</f>
        <v>557</v>
      </c>
      <c r="BI1524" s="1174"/>
      <c r="BJ1524" s="1174"/>
      <c r="BK1524" s="1174"/>
      <c r="BL1524" s="1174"/>
      <c r="BM1524" s="1174"/>
      <c r="BN1524" s="1174"/>
      <c r="BO1524" s="1174"/>
      <c r="BP1524" s="1174"/>
      <c r="BQ1524" s="1174"/>
      <c r="BR1524" s="1174"/>
      <c r="BS1524" s="1174"/>
      <c r="BT1524" s="1174"/>
      <c r="BU1524" s="1174"/>
      <c r="BV1524" s="1174"/>
      <c r="BW1524" s="1174"/>
      <c r="BX1524" s="1174"/>
      <c r="BY1524" s="1174"/>
      <c r="BZ1524" s="1174"/>
      <c r="CA1524" s="1174"/>
      <c r="CB1524" s="1174"/>
      <c r="CC1524" s="1174"/>
      <c r="CD1524" s="1174"/>
      <c r="CE1524" s="1174"/>
      <c r="CF1524" s="1174"/>
      <c r="CG1524" s="1174"/>
      <c r="CH1524" s="1189"/>
      <c r="CI1524" s="1189"/>
      <c r="CJ1524" s="1189"/>
      <c r="CK1524" s="1189"/>
      <c r="CL1524" s="1189"/>
      <c r="CM1524" s="1174"/>
      <c r="CN1524" s="1174"/>
      <c r="CO1524" s="1174"/>
      <c r="CP1524" s="1189"/>
      <c r="CQ1524" s="1189"/>
      <c r="CR1524" s="1189"/>
      <c r="CS1524" s="1189"/>
      <c r="CT1524" s="1189"/>
      <c r="CU1524" s="1189"/>
      <c r="WZO1524" s="1397"/>
      <c r="WZP1524" s="1397"/>
      <c r="WZQ1524" s="1397"/>
      <c r="WZR1524" s="1397"/>
      <c r="WZS1524" s="1397"/>
      <c r="WZT1524" s="1397"/>
      <c r="WZU1524" s="1397"/>
      <c r="WZV1524" s="1397"/>
      <c r="WZW1524" s="1397"/>
      <c r="WZX1524" s="1397"/>
      <c r="WZY1524" s="1397"/>
      <c r="WZZ1524" s="1397"/>
      <c r="XAA1524" s="1397"/>
      <c r="XAB1524" s="1397"/>
      <c r="XAC1524" s="1397"/>
      <c r="XAD1524" s="1397"/>
      <c r="XAE1524" s="1397"/>
      <c r="XAF1524" s="1397"/>
      <c r="XAG1524" s="1397"/>
      <c r="XAH1524" s="1397"/>
      <c r="XAI1524" s="1397"/>
      <c r="XAJ1524" s="1397"/>
      <c r="XAK1524" s="1397"/>
      <c r="XAL1524" s="1397"/>
      <c r="XAM1524" s="1397"/>
      <c r="XAN1524" s="1397"/>
      <c r="XAO1524" s="1397"/>
      <c r="XAP1524" s="1397"/>
      <c r="XAQ1524" s="1397"/>
      <c r="XAR1524" s="1397"/>
      <c r="XAS1524" s="1397"/>
      <c r="XAT1524" s="1397"/>
      <c r="XAU1524" s="1397"/>
      <c r="XAV1524" s="1397"/>
      <c r="XAW1524" s="1397"/>
      <c r="XAX1524" s="1397"/>
      <c r="XAY1524" s="1397"/>
      <c r="XAZ1524" s="1397"/>
      <c r="XBA1524" s="1397"/>
      <c r="XBB1524" s="1397"/>
      <c r="XBC1524" s="1397"/>
      <c r="XBD1524" s="1397"/>
      <c r="XBE1524" s="1397"/>
      <c r="XBF1524" s="1397"/>
      <c r="XBG1524" s="1397"/>
      <c r="XBH1524" s="1397"/>
      <c r="XBI1524" s="1397"/>
      <c r="XBJ1524" s="1397"/>
      <c r="XBK1524" s="1397"/>
      <c r="XBL1524" s="1397"/>
      <c r="XBM1524" s="1397"/>
      <c r="XBN1524" s="1397"/>
      <c r="XBO1524" s="1397"/>
      <c r="XBP1524" s="1397"/>
      <c r="XBQ1524" s="1397"/>
      <c r="XBR1524" s="1397"/>
      <c r="XBS1524" s="1397"/>
      <c r="XBT1524" s="1397"/>
      <c r="XBU1524" s="1397"/>
      <c r="XBV1524" s="1397"/>
      <c r="XBW1524" s="1397"/>
      <c r="XBX1524" s="1397"/>
      <c r="XBY1524" s="1397"/>
      <c r="XBZ1524" s="1397"/>
      <c r="XCA1524" s="1397"/>
      <c r="XCB1524" s="1397"/>
      <c r="XCC1524" s="1397"/>
      <c r="XCD1524" s="1397"/>
      <c r="XCE1524" s="1397"/>
      <c r="XCF1524" s="1397"/>
      <c r="XCG1524" s="1397"/>
      <c r="XCH1524" s="1397"/>
      <c r="XCI1524" s="1397"/>
      <c r="XCJ1524" s="1397"/>
      <c r="XCK1524" s="1397"/>
      <c r="XCL1524" s="1397"/>
      <c r="XCM1524" s="1397"/>
      <c r="XCN1524" s="1397"/>
      <c r="XCO1524" s="1397"/>
      <c r="XCP1524" s="1397"/>
      <c r="XCQ1524" s="1397"/>
      <c r="XCR1524" s="1397"/>
      <c r="XCS1524" s="1397"/>
      <c r="XCT1524" s="1397"/>
      <c r="XCU1524" s="1397"/>
      <c r="XCV1524" s="1397"/>
      <c r="XCW1524" s="1397"/>
      <c r="XCX1524" s="1397"/>
      <c r="XCY1524" s="1397"/>
      <c r="XCZ1524" s="1397"/>
      <c r="XDA1524" s="1397"/>
      <c r="XDB1524" s="1397"/>
      <c r="XDC1524" s="1397"/>
      <c r="XDD1524" s="1397"/>
      <c r="XDE1524" s="1397"/>
      <c r="XDF1524" s="1397"/>
      <c r="XDG1524" s="1397"/>
      <c r="XDH1524" s="1397"/>
      <c r="XDI1524" s="1397"/>
      <c r="XDJ1524" s="1397"/>
      <c r="XDK1524" s="1397"/>
      <c r="XDL1524" s="1397"/>
      <c r="XDM1524" s="1397"/>
      <c r="XDN1524" s="1397"/>
      <c r="XDO1524" s="1397"/>
      <c r="XDP1524" s="1397"/>
      <c r="XDQ1524" s="1397"/>
      <c r="XDR1524" s="1397"/>
      <c r="XDS1524" s="1397"/>
      <c r="XDT1524" s="1397"/>
      <c r="XDU1524" s="1397"/>
      <c r="XDV1524" s="1397"/>
      <c r="XDW1524" s="1397"/>
      <c r="XDX1524" s="1397"/>
      <c r="XDY1524" s="1397"/>
      <c r="XDZ1524" s="1397"/>
      <c r="XEA1524" s="1397"/>
      <c r="XEB1524" s="1397"/>
      <c r="XEC1524" s="1397"/>
      <c r="XED1524" s="1397"/>
      <c r="XEE1524" s="1397"/>
      <c r="XEF1524" s="1397"/>
      <c r="XEG1524" s="1397"/>
      <c r="XEH1524" s="1397"/>
      <c r="XEI1524" s="1397"/>
      <c r="XEJ1524" s="1397"/>
      <c r="XEK1524" s="1397"/>
      <c r="XEL1524" s="1397"/>
      <c r="XEM1524" s="1397"/>
      <c r="XEN1524" s="1397"/>
      <c r="XEO1524" s="1397"/>
      <c r="XEP1524" s="1397"/>
      <c r="XEQ1524" s="1397"/>
      <c r="XER1524" s="1397"/>
      <c r="XES1524" s="1397"/>
      <c r="XET1524" s="1397"/>
      <c r="XEU1524" s="1397"/>
      <c r="XEV1524" s="1397"/>
      <c r="XEW1524" s="1397"/>
      <c r="XEX1524" s="1397"/>
      <c r="XEY1524" s="1397"/>
      <c r="XEZ1524" s="1397"/>
      <c r="XFA1524" s="1397"/>
      <c r="XFB1524" s="1397"/>
      <c r="XFC1524" s="1397"/>
      <c r="XFD1524" s="1397"/>
    </row>
    <row r="1525" s="559" customFormat="1" ht="31" customHeight="1" spans="1:99 16239:16384">
      <c r="A1525" s="1022">
        <v>46241</v>
      </c>
      <c r="B1525" s="626" t="s">
        <v>325</v>
      </c>
      <c r="C1525" s="939" t="s">
        <v>98</v>
      </c>
      <c r="D1525" s="563">
        <v>4500219146</v>
      </c>
      <c r="E1525" s="939" t="s">
        <v>5911</v>
      </c>
      <c r="F1525" s="563" t="s">
        <v>5912</v>
      </c>
      <c r="G1525" s="939" t="s">
        <v>249</v>
      </c>
      <c r="H1525" s="939" t="s">
        <v>250</v>
      </c>
      <c r="I1525" s="1023">
        <v>9040</v>
      </c>
      <c r="J1525" s="939">
        <v>0</v>
      </c>
      <c r="K1525" s="939">
        <v>4</v>
      </c>
      <c r="L1525" s="1064">
        <f t="shared" si="492"/>
        <v>2260</v>
      </c>
      <c r="M1525" s="1027">
        <v>46294</v>
      </c>
      <c r="N1525" s="1027">
        <v>46290</v>
      </c>
      <c r="O1525" s="1031"/>
      <c r="P1525" s="939"/>
      <c r="Q1525" s="999"/>
      <c r="R1525" s="999" t="s">
        <v>454</v>
      </c>
      <c r="S1525" s="999" t="s">
        <v>104</v>
      </c>
      <c r="T1525" s="999" t="s">
        <v>5830</v>
      </c>
      <c r="U1525" s="999"/>
      <c r="V1525" s="999"/>
      <c r="W1525" s="626"/>
      <c r="X1525" s="626" t="s">
        <v>5913</v>
      </c>
      <c r="Y1525" s="1001" t="s">
        <v>252</v>
      </c>
      <c r="Z1525" s="1076">
        <v>2.9369</v>
      </c>
      <c r="AA1525" s="1001">
        <f t="shared" si="493"/>
        <v>26549.576</v>
      </c>
      <c r="AB1525" s="563"/>
      <c r="AC1525" s="1077"/>
      <c r="AD1525" s="939" t="s">
        <v>249</v>
      </c>
      <c r="AE1525" s="939" t="s">
        <v>82</v>
      </c>
      <c r="AF1525" s="939"/>
      <c r="AG1525" s="939"/>
      <c r="AH1525" s="939"/>
      <c r="AI1525" s="626"/>
      <c r="AJ1525" s="939">
        <f t="shared" si="494"/>
        <v>-9040</v>
      </c>
      <c r="AK1525" s="939"/>
      <c r="AL1525" s="939"/>
      <c r="AM1525" s="563"/>
      <c r="AN1525" s="563"/>
      <c r="AO1525" s="563"/>
      <c r="AP1525" s="563">
        <f>I1525</f>
        <v>9040</v>
      </c>
      <c r="AQ1525" s="563"/>
      <c r="AR1525" s="563"/>
      <c r="AS1525" s="563"/>
      <c r="AT1525" s="563"/>
      <c r="AU1525" s="563"/>
      <c r="AV1525" s="563"/>
      <c r="AW1525" s="563">
        <f t="shared" si="496"/>
        <v>9040</v>
      </c>
      <c r="AX1525" s="1004"/>
      <c r="AY1525" s="563"/>
      <c r="AZ1525" s="563"/>
      <c r="BA1525" s="563"/>
      <c r="BB1525" s="563"/>
      <c r="BC1525" s="563"/>
      <c r="BD1525" s="563"/>
      <c r="BE1525" s="563"/>
      <c r="BF1525" s="563">
        <f>I1525</f>
        <v>9040</v>
      </c>
      <c r="BG1525" s="563">
        <f>I1525</f>
        <v>9040</v>
      </c>
      <c r="BH1525" s="210">
        <f>I1525/4</f>
        <v>2260</v>
      </c>
      <c r="BI1525" s="563"/>
      <c r="BJ1525" s="563"/>
      <c r="BK1525" s="563"/>
      <c r="BL1525" s="563"/>
      <c r="BM1525" s="563"/>
      <c r="BN1525" s="563"/>
      <c r="BO1525" s="563"/>
      <c r="BP1525" s="563"/>
      <c r="BQ1525" s="563"/>
      <c r="BR1525" s="563"/>
      <c r="BS1525" s="563"/>
      <c r="BT1525" s="563"/>
      <c r="BU1525" s="563"/>
      <c r="BV1525" s="563"/>
      <c r="BW1525" s="563"/>
      <c r="BX1525" s="563"/>
      <c r="BY1525" s="563"/>
      <c r="BZ1525" s="563"/>
      <c r="CA1525" s="563"/>
      <c r="CB1525" s="563"/>
      <c r="CC1525" s="563"/>
      <c r="CD1525" s="563"/>
      <c r="CE1525" s="563"/>
      <c r="CF1525" s="563"/>
      <c r="CG1525" s="563"/>
      <c r="CH1525" s="1015"/>
      <c r="CI1525" s="1015"/>
      <c r="CJ1525" s="1015"/>
      <c r="CK1525" s="1015"/>
      <c r="CL1525" s="1015"/>
      <c r="CM1525" s="563"/>
      <c r="CN1525" s="563"/>
      <c r="CO1525" s="563"/>
      <c r="CP1525" s="1015"/>
      <c r="CQ1525" s="1015"/>
      <c r="CR1525" s="1015"/>
      <c r="CS1525" s="1015"/>
      <c r="CT1525" s="1015"/>
      <c r="CU1525" s="1015"/>
      <c r="CV1525" s="559"/>
      <c r="WZO1525" s="1276"/>
      <c r="WZP1525" s="1276"/>
      <c r="WZQ1525" s="1276"/>
      <c r="WZR1525" s="1276"/>
      <c r="WZS1525" s="1276"/>
      <c r="WZT1525" s="1276"/>
      <c r="WZU1525" s="1276"/>
      <c r="WZV1525" s="1276"/>
      <c r="WZW1525" s="1276"/>
      <c r="WZX1525" s="1276"/>
      <c r="WZY1525" s="1276"/>
      <c r="WZZ1525" s="1276"/>
      <c r="XAA1525" s="1276"/>
      <c r="XAB1525" s="1276"/>
      <c r="XAC1525" s="1276"/>
      <c r="XAD1525" s="1276"/>
      <c r="XAE1525" s="1276"/>
      <c r="XAF1525" s="1276"/>
      <c r="XAG1525" s="1276"/>
      <c r="XAH1525" s="1276"/>
      <c r="XAI1525" s="1276"/>
      <c r="XAJ1525" s="1276"/>
      <c r="XAK1525" s="1276"/>
      <c r="XAL1525" s="1276"/>
      <c r="XAM1525" s="1276"/>
      <c r="XAN1525" s="1276"/>
      <c r="XAO1525" s="1276"/>
      <c r="XAP1525" s="1276"/>
      <c r="XAQ1525" s="1276"/>
      <c r="XAR1525" s="1276"/>
      <c r="XAS1525" s="1276"/>
      <c r="XAT1525" s="1276"/>
      <c r="XAU1525" s="1276"/>
      <c r="XAV1525" s="1276"/>
      <c r="XAW1525" s="1276"/>
      <c r="XAX1525" s="1276"/>
      <c r="XAY1525" s="1276"/>
      <c r="XAZ1525" s="1276"/>
      <c r="XBA1525" s="1276"/>
      <c r="XBB1525" s="1276"/>
      <c r="XBC1525" s="1276"/>
      <c r="XBD1525" s="1276"/>
      <c r="XBE1525" s="1276"/>
      <c r="XBF1525" s="1276"/>
      <c r="XBG1525" s="1276"/>
      <c r="XBH1525" s="1276"/>
      <c r="XBI1525" s="1276"/>
      <c r="XBJ1525" s="1276"/>
      <c r="XBK1525" s="1276"/>
      <c r="XBL1525" s="1276"/>
      <c r="XBM1525" s="1276"/>
      <c r="XBN1525" s="1276"/>
      <c r="XBO1525" s="1276"/>
      <c r="XBP1525" s="1276"/>
      <c r="XBQ1525" s="1276"/>
      <c r="XBR1525" s="1276"/>
      <c r="XBS1525" s="1276"/>
      <c r="XBT1525" s="1276"/>
      <c r="XBU1525" s="1276"/>
      <c r="XBV1525" s="1276"/>
      <c r="XBW1525" s="1276"/>
      <c r="XBX1525" s="1276"/>
      <c r="XBY1525" s="1276"/>
      <c r="XBZ1525" s="1276"/>
      <c r="XCA1525" s="1276"/>
      <c r="XCB1525" s="1276"/>
      <c r="XCC1525" s="1276"/>
      <c r="XCD1525" s="1276"/>
      <c r="XCE1525" s="1276"/>
      <c r="XCF1525" s="1276"/>
      <c r="XCG1525" s="1276"/>
      <c r="XCH1525" s="1276"/>
      <c r="XCI1525" s="1276"/>
      <c r="XCJ1525" s="1276"/>
      <c r="XCK1525" s="1276"/>
      <c r="XCL1525" s="1276"/>
      <c r="XCM1525" s="1276"/>
      <c r="XCN1525" s="1276"/>
      <c r="XCO1525" s="1276"/>
      <c r="XCP1525" s="1276"/>
      <c r="XCQ1525" s="1276"/>
      <c r="XCR1525" s="1276"/>
      <c r="XCS1525" s="1276"/>
      <c r="XCT1525" s="1276"/>
      <c r="XCU1525" s="1276"/>
      <c r="XCV1525" s="1276"/>
      <c r="XCW1525" s="1276"/>
      <c r="XCX1525" s="1276"/>
      <c r="XCY1525" s="1276"/>
      <c r="XCZ1525" s="1276"/>
      <c r="XDA1525" s="1276"/>
      <c r="XDB1525" s="1276"/>
      <c r="XDC1525" s="1276"/>
      <c r="XDD1525" s="1276"/>
      <c r="XDE1525" s="1276"/>
      <c r="XDF1525" s="1276"/>
      <c r="XDG1525" s="1276"/>
      <c r="XDH1525" s="1276"/>
      <c r="XDI1525" s="1276"/>
      <c r="XDJ1525" s="1276"/>
      <c r="XDK1525" s="1276"/>
      <c r="XDL1525" s="1276"/>
      <c r="XDM1525" s="1276"/>
      <c r="XDN1525" s="1276"/>
      <c r="XDO1525" s="1276"/>
      <c r="XDP1525" s="1276"/>
      <c r="XDQ1525" s="1276"/>
      <c r="XDR1525" s="1276"/>
      <c r="XDS1525" s="1276"/>
      <c r="XDT1525" s="1276"/>
      <c r="XDU1525" s="1276"/>
      <c r="XDV1525" s="1276"/>
      <c r="XDW1525" s="1276"/>
      <c r="XDX1525" s="1276"/>
      <c r="XDY1525" s="1276"/>
      <c r="XDZ1525" s="1276"/>
      <c r="XEA1525" s="1276"/>
      <c r="XEB1525" s="1276"/>
      <c r="XEC1525" s="1276"/>
      <c r="XED1525" s="1276"/>
      <c r="XEE1525" s="1276"/>
      <c r="XEF1525" s="1276"/>
      <c r="XEG1525" s="1276"/>
      <c r="XEH1525" s="1276"/>
      <c r="XEI1525" s="1276"/>
      <c r="XEJ1525" s="1276"/>
      <c r="XEK1525" s="1276"/>
      <c r="XEL1525" s="1276"/>
      <c r="XEM1525" s="1276"/>
      <c r="XEN1525" s="1276"/>
      <c r="XEO1525" s="1276"/>
      <c r="XEP1525" s="1276"/>
      <c r="XEQ1525" s="1276"/>
      <c r="XER1525" s="1276"/>
      <c r="XES1525" s="1276"/>
      <c r="XET1525" s="1276"/>
      <c r="XEU1525" s="1276"/>
      <c r="XEV1525" s="1276"/>
      <c r="XEW1525" s="1276"/>
      <c r="XEX1525" s="1276"/>
      <c r="XEY1525" s="1276"/>
      <c r="XEZ1525" s="1276"/>
      <c r="XFA1525" s="1276"/>
      <c r="XFB1525" s="1276"/>
      <c r="XFC1525" s="1276"/>
      <c r="XFD1525" s="1276"/>
    </row>
    <row r="1526" s="1270" customFormat="1" ht="31" customHeight="1" spans="1:99 16239:16384">
      <c r="A1526" s="1022">
        <v>46237</v>
      </c>
      <c r="B1526" s="626" t="s">
        <v>1544</v>
      </c>
      <c r="C1526" s="939" t="s">
        <v>257</v>
      </c>
      <c r="D1526" s="563">
        <v>4500218538</v>
      </c>
      <c r="E1526" s="939">
        <v>4400588069</v>
      </c>
      <c r="F1526" s="563" t="s">
        <v>5914</v>
      </c>
      <c r="G1526" s="939" t="s">
        <v>164</v>
      </c>
      <c r="H1526" s="939" t="s">
        <v>112</v>
      </c>
      <c r="I1526" s="1023">
        <v>1400</v>
      </c>
      <c r="J1526" s="939">
        <v>0</v>
      </c>
      <c r="K1526" s="939">
        <v>8</v>
      </c>
      <c r="L1526" s="1064">
        <f t="shared" si="492"/>
        <v>175</v>
      </c>
      <c r="M1526" s="1027">
        <v>46295</v>
      </c>
      <c r="N1526" s="1027">
        <v>46291</v>
      </c>
      <c r="O1526" s="1031"/>
      <c r="P1526" s="939"/>
      <c r="Q1526" s="999"/>
      <c r="R1526" s="999">
        <v>46237</v>
      </c>
      <c r="S1526" s="999" t="s">
        <v>70</v>
      </c>
      <c r="T1526" s="999" t="s">
        <v>5915</v>
      </c>
      <c r="U1526" s="999"/>
      <c r="V1526" s="999"/>
      <c r="W1526" s="626"/>
      <c r="X1526" s="626" t="s">
        <v>5916</v>
      </c>
      <c r="Y1526" s="1001" t="s">
        <v>5917</v>
      </c>
      <c r="Z1526" s="1076">
        <v>4.374</v>
      </c>
      <c r="AA1526" s="1001">
        <f t="shared" si="493"/>
        <v>6123.6</v>
      </c>
      <c r="AB1526" s="563"/>
      <c r="AC1526" s="1077"/>
      <c r="AD1526" s="939" t="s">
        <v>164</v>
      </c>
      <c r="AE1526" s="939" t="s">
        <v>82</v>
      </c>
      <c r="AF1526" s="939"/>
      <c r="AG1526" s="939"/>
      <c r="AH1526" s="939"/>
      <c r="AI1526" s="626"/>
      <c r="AJ1526" s="939">
        <f t="shared" si="494"/>
        <v>-1400</v>
      </c>
      <c r="AK1526" s="939"/>
      <c r="AL1526" s="939"/>
      <c r="AM1526" s="563"/>
      <c r="AN1526" s="563">
        <f>I1526</f>
        <v>1400</v>
      </c>
      <c r="AO1526" s="563"/>
      <c r="AP1526" s="563"/>
      <c r="AQ1526" s="563"/>
      <c r="AR1526" s="563"/>
      <c r="AS1526" s="586"/>
      <c r="AT1526" s="563"/>
      <c r="AU1526" s="563"/>
      <c r="AV1526" s="563"/>
      <c r="AW1526" s="563">
        <f t="shared" si="496"/>
        <v>1400</v>
      </c>
      <c r="AX1526" s="1004"/>
      <c r="AY1526" s="563"/>
      <c r="AZ1526" s="563"/>
      <c r="BA1526" s="563"/>
      <c r="BB1526" s="563"/>
      <c r="BC1526" s="563"/>
      <c r="BD1526" s="563">
        <f>I1526</f>
        <v>1400</v>
      </c>
      <c r="BE1526" s="563">
        <f>I1526</f>
        <v>1400</v>
      </c>
      <c r="BF1526" s="563"/>
      <c r="BG1526" s="563"/>
      <c r="BH1526" s="563"/>
      <c r="BI1526" s="210">
        <f>I1526/4</f>
        <v>350</v>
      </c>
      <c r="BJ1526" s="563"/>
      <c r="BK1526" s="563"/>
      <c r="BL1526" s="563"/>
      <c r="BM1526" s="563"/>
      <c r="BN1526" s="563"/>
      <c r="BO1526" s="563"/>
      <c r="BP1526" s="563"/>
      <c r="BQ1526" s="563"/>
      <c r="BR1526" s="563"/>
      <c r="BS1526" s="563"/>
      <c r="BT1526" s="563"/>
      <c r="BU1526" s="563"/>
      <c r="BV1526" s="563"/>
      <c r="BW1526" s="563"/>
      <c r="BX1526" s="563"/>
      <c r="BY1526" s="563"/>
      <c r="BZ1526" s="563"/>
      <c r="CA1526" s="563"/>
      <c r="CB1526" s="563"/>
      <c r="CC1526" s="563"/>
      <c r="CD1526" s="563"/>
      <c r="CE1526" s="563"/>
      <c r="CF1526" s="563"/>
      <c r="CG1526" s="563"/>
      <c r="CH1526" s="1015"/>
      <c r="CI1526" s="1015"/>
      <c r="CJ1526" s="1015"/>
      <c r="CK1526" s="1015"/>
      <c r="CL1526" s="1015"/>
      <c r="CM1526" s="563"/>
      <c r="CN1526" s="563"/>
      <c r="CO1526" s="563"/>
      <c r="CP1526" s="1015"/>
      <c r="CQ1526" s="1015"/>
      <c r="CR1526" s="1015"/>
      <c r="CS1526" s="1015"/>
      <c r="CT1526" s="1015"/>
      <c r="CU1526" s="1015"/>
      <c r="WZO1526" s="1394"/>
      <c r="WZP1526" s="1394"/>
      <c r="WZQ1526" s="1394"/>
      <c r="WZR1526" s="1394"/>
      <c r="WZS1526" s="1394"/>
      <c r="WZT1526" s="1394"/>
      <c r="WZU1526" s="1394"/>
      <c r="WZV1526" s="1394"/>
      <c r="WZW1526" s="1394"/>
      <c r="WZX1526" s="1394"/>
      <c r="WZY1526" s="1394"/>
      <c r="WZZ1526" s="1394"/>
      <c r="XAA1526" s="1394"/>
      <c r="XAB1526" s="1394"/>
      <c r="XAC1526" s="1394"/>
      <c r="XAD1526" s="1394"/>
      <c r="XAE1526" s="1394"/>
      <c r="XAF1526" s="1394"/>
      <c r="XAG1526" s="1394"/>
      <c r="XAH1526" s="1394"/>
      <c r="XAI1526" s="1394"/>
      <c r="XAJ1526" s="1394"/>
      <c r="XAK1526" s="1394"/>
      <c r="XAL1526" s="1394"/>
      <c r="XAM1526" s="1394"/>
      <c r="XAN1526" s="1394"/>
      <c r="XAO1526" s="1394"/>
      <c r="XAP1526" s="1394"/>
      <c r="XAQ1526" s="1394"/>
      <c r="XAR1526" s="1394"/>
      <c r="XAS1526" s="1394"/>
      <c r="XAT1526" s="1394"/>
      <c r="XAU1526" s="1394"/>
      <c r="XAV1526" s="1394"/>
      <c r="XAW1526" s="1394"/>
      <c r="XAX1526" s="1394"/>
      <c r="XAY1526" s="1394"/>
      <c r="XAZ1526" s="1394"/>
      <c r="XBA1526" s="1394"/>
      <c r="XBB1526" s="1394"/>
      <c r="XBC1526" s="1394"/>
      <c r="XBD1526" s="1394"/>
      <c r="XBE1526" s="1394"/>
      <c r="XBF1526" s="1394"/>
      <c r="XBG1526" s="1394"/>
      <c r="XBH1526" s="1394"/>
      <c r="XBI1526" s="1394"/>
      <c r="XBJ1526" s="1394"/>
      <c r="XBK1526" s="1394"/>
      <c r="XBL1526" s="1394"/>
      <c r="XBM1526" s="1394"/>
      <c r="XBN1526" s="1394"/>
      <c r="XBO1526" s="1394"/>
      <c r="XBP1526" s="1394"/>
      <c r="XBQ1526" s="1394"/>
      <c r="XBR1526" s="1394"/>
      <c r="XBS1526" s="1394"/>
      <c r="XBT1526" s="1394"/>
      <c r="XBU1526" s="1394"/>
      <c r="XBV1526" s="1394"/>
      <c r="XBW1526" s="1394"/>
      <c r="XBX1526" s="1394"/>
      <c r="XBY1526" s="1394"/>
      <c r="XBZ1526" s="1394"/>
      <c r="XCA1526" s="1394"/>
      <c r="XCB1526" s="1394"/>
      <c r="XCC1526" s="1394"/>
      <c r="XCD1526" s="1394"/>
      <c r="XCE1526" s="1394"/>
      <c r="XCF1526" s="1394"/>
      <c r="XCG1526" s="1394"/>
      <c r="XCH1526" s="1394"/>
      <c r="XCI1526" s="1394"/>
      <c r="XCJ1526" s="1394"/>
      <c r="XCK1526" s="1394"/>
      <c r="XCL1526" s="1394"/>
      <c r="XCM1526" s="1394"/>
      <c r="XCN1526" s="1394"/>
      <c r="XCO1526" s="1394"/>
      <c r="XCP1526" s="1394"/>
      <c r="XCQ1526" s="1394"/>
      <c r="XCR1526" s="1394"/>
      <c r="XCS1526" s="1394"/>
      <c r="XCT1526" s="1394"/>
      <c r="XCU1526" s="1394"/>
      <c r="XCV1526" s="1394"/>
      <c r="XCW1526" s="1394"/>
      <c r="XCX1526" s="1394"/>
      <c r="XCY1526" s="1394"/>
      <c r="XCZ1526" s="1394"/>
      <c r="XDA1526" s="1394"/>
      <c r="XDB1526" s="1394"/>
      <c r="XDC1526" s="1394"/>
      <c r="XDD1526" s="1394"/>
      <c r="XDE1526" s="1394"/>
      <c r="XDF1526" s="1394"/>
      <c r="XDG1526" s="1394"/>
      <c r="XDH1526" s="1394"/>
      <c r="XDI1526" s="1394"/>
      <c r="XDJ1526" s="1394"/>
      <c r="XDK1526" s="1394"/>
      <c r="XDL1526" s="1394"/>
      <c r="XDM1526" s="1394"/>
      <c r="XDN1526" s="1394"/>
      <c r="XDO1526" s="1394"/>
      <c r="XDP1526" s="1394"/>
      <c r="XDQ1526" s="1394"/>
      <c r="XDR1526" s="1394"/>
      <c r="XDS1526" s="1394"/>
      <c r="XDT1526" s="1394"/>
      <c r="XDU1526" s="1394"/>
      <c r="XDV1526" s="1394"/>
      <c r="XDW1526" s="1394"/>
      <c r="XDX1526" s="1394"/>
      <c r="XDY1526" s="1394"/>
      <c r="XDZ1526" s="1394"/>
      <c r="XEA1526" s="1394"/>
      <c r="XEB1526" s="1394"/>
      <c r="XEC1526" s="1394"/>
      <c r="XED1526" s="1394"/>
      <c r="XEE1526" s="1394"/>
      <c r="XEF1526" s="1394"/>
      <c r="XEG1526" s="1394"/>
      <c r="XEH1526" s="1394"/>
      <c r="XEI1526" s="1394"/>
      <c r="XEJ1526" s="1394"/>
      <c r="XEK1526" s="1394"/>
      <c r="XEL1526" s="1394"/>
      <c r="XEM1526" s="1394"/>
      <c r="XEN1526" s="1394"/>
      <c r="XEO1526" s="1394"/>
      <c r="XEP1526" s="1394"/>
      <c r="XEQ1526" s="1394"/>
      <c r="XER1526" s="1394"/>
      <c r="XES1526" s="1394"/>
      <c r="XET1526" s="1394"/>
      <c r="XEU1526" s="1394"/>
      <c r="XEV1526" s="1394"/>
      <c r="XEW1526" s="1394"/>
      <c r="XEX1526" s="1394"/>
      <c r="XEY1526" s="1394"/>
      <c r="XEZ1526" s="1394"/>
      <c r="XFA1526" s="1394"/>
      <c r="XFB1526" s="1394"/>
      <c r="XFC1526" s="1394"/>
      <c r="XFD1526" s="1394"/>
    </row>
    <row r="1527" s="559" customFormat="1" ht="31" customHeight="1" spans="1:99 16239:16384">
      <c r="A1527" s="1022">
        <v>46241</v>
      </c>
      <c r="B1527" s="626" t="s">
        <v>325</v>
      </c>
      <c r="C1527" s="939" t="s">
        <v>98</v>
      </c>
      <c r="D1527" s="563">
        <v>4500219169</v>
      </c>
      <c r="E1527" s="939" t="s">
        <v>5918</v>
      </c>
      <c r="F1527" s="563" t="s">
        <v>5919</v>
      </c>
      <c r="G1527" s="939" t="s">
        <v>249</v>
      </c>
      <c r="H1527" s="939" t="s">
        <v>250</v>
      </c>
      <c r="I1527" s="1023">
        <v>12836</v>
      </c>
      <c r="J1527" s="939">
        <v>0</v>
      </c>
      <c r="K1527" s="939">
        <v>4</v>
      </c>
      <c r="L1527" s="1064">
        <f t="shared" si="492"/>
        <v>3209</v>
      </c>
      <c r="M1527" s="1027">
        <v>46303</v>
      </c>
      <c r="N1527" s="1027">
        <v>46300</v>
      </c>
      <c r="O1527" s="1031"/>
      <c r="P1527" s="939"/>
      <c r="Q1527" s="999"/>
      <c r="R1527" s="999" t="s">
        <v>454</v>
      </c>
      <c r="S1527" s="999" t="s">
        <v>104</v>
      </c>
      <c r="T1527" s="999" t="s">
        <v>5830</v>
      </c>
      <c r="U1527" s="999"/>
      <c r="V1527" s="1408" t="s">
        <v>5920</v>
      </c>
      <c r="W1527" s="626"/>
      <c r="X1527" s="626" t="s">
        <v>5921</v>
      </c>
      <c r="Y1527" s="1001" t="s">
        <v>252</v>
      </c>
      <c r="Z1527" s="1076">
        <v>2.9244</v>
      </c>
      <c r="AA1527" s="1001">
        <f t="shared" si="493"/>
        <v>37537.5984</v>
      </c>
      <c r="AB1527" s="563"/>
      <c r="AC1527" s="1077"/>
      <c r="AD1527" s="939" t="s">
        <v>249</v>
      </c>
      <c r="AE1527" s="939" t="s">
        <v>82</v>
      </c>
      <c r="AF1527" s="939"/>
      <c r="AG1527" s="939"/>
      <c r="AH1527" s="939"/>
      <c r="AI1527" s="626"/>
      <c r="AJ1527" s="939">
        <f t="shared" si="494"/>
        <v>-12836</v>
      </c>
      <c r="AK1527" s="939"/>
      <c r="AL1527" s="939"/>
      <c r="AM1527" s="563"/>
      <c r="AN1527" s="563"/>
      <c r="AO1527" s="563"/>
      <c r="AP1527" s="563">
        <f>I1527</f>
        <v>12836</v>
      </c>
      <c r="AQ1527" s="563"/>
      <c r="AR1527" s="563"/>
      <c r="AS1527" s="563"/>
      <c r="AT1527" s="563"/>
      <c r="AU1527" s="563"/>
      <c r="AV1527" s="563"/>
      <c r="AW1527" s="563">
        <f t="shared" si="496"/>
        <v>12836</v>
      </c>
      <c r="AX1527" s="1004"/>
      <c r="AY1527" s="563"/>
      <c r="AZ1527" s="563"/>
      <c r="BA1527" s="563"/>
      <c r="BB1527" s="563"/>
      <c r="BC1527" s="563"/>
      <c r="BD1527" s="563"/>
      <c r="BE1527" s="563"/>
      <c r="BF1527" s="1409">
        <f>I1527</f>
        <v>12836</v>
      </c>
      <c r="BG1527" s="1409">
        <f>I1527</f>
        <v>12836</v>
      </c>
      <c r="BH1527" s="1409">
        <f>I1527/4</f>
        <v>3209</v>
      </c>
      <c r="BI1527" s="563"/>
      <c r="BJ1527" s="563"/>
      <c r="BK1527" s="563"/>
      <c r="BL1527" s="563"/>
      <c r="BM1527" s="563"/>
      <c r="BN1527" s="563"/>
      <c r="BO1527" s="563"/>
      <c r="BP1527" s="563"/>
      <c r="BQ1527" s="563"/>
      <c r="BR1527" s="563"/>
      <c r="BS1527" s="563"/>
      <c r="BT1527" s="563"/>
      <c r="BU1527" s="563"/>
      <c r="BV1527" s="563"/>
      <c r="BW1527" s="563"/>
      <c r="BX1527" s="563"/>
      <c r="BY1527" s="563"/>
      <c r="BZ1527" s="563"/>
      <c r="CA1527" s="563"/>
      <c r="CB1527" s="563"/>
      <c r="CC1527" s="563"/>
      <c r="CD1527" s="563"/>
      <c r="CE1527" s="563"/>
      <c r="CF1527" s="563"/>
      <c r="CG1527" s="563"/>
      <c r="CH1527" s="1015"/>
      <c r="CI1527" s="1015"/>
      <c r="CJ1527" s="1015"/>
      <c r="CK1527" s="1015"/>
      <c r="CL1527" s="1015"/>
      <c r="CM1527" s="563"/>
      <c r="CN1527" s="563"/>
      <c r="CO1527" s="563"/>
      <c r="CP1527" s="1015"/>
      <c r="CQ1527" s="1015"/>
      <c r="CR1527" s="1015"/>
      <c r="CS1527" s="1015"/>
      <c r="CT1527" s="1015"/>
      <c r="CU1527" s="1015"/>
      <c r="CV1527" s="559"/>
      <c r="WZO1527" s="1276"/>
      <c r="WZP1527" s="1276"/>
      <c r="WZQ1527" s="1276"/>
      <c r="WZR1527" s="1276"/>
      <c r="WZS1527" s="1276"/>
      <c r="WZT1527" s="1276"/>
      <c r="WZU1527" s="1276"/>
      <c r="WZV1527" s="1276"/>
      <c r="WZW1527" s="1276"/>
      <c r="WZX1527" s="1276"/>
      <c r="WZY1527" s="1276"/>
      <c r="WZZ1527" s="1276"/>
      <c r="XAA1527" s="1276"/>
      <c r="XAB1527" s="1276"/>
      <c r="XAC1527" s="1276"/>
      <c r="XAD1527" s="1276"/>
      <c r="XAE1527" s="1276"/>
      <c r="XAF1527" s="1276"/>
      <c r="XAG1527" s="1276"/>
      <c r="XAH1527" s="1276"/>
      <c r="XAI1527" s="1276"/>
      <c r="XAJ1527" s="1276"/>
      <c r="XAK1527" s="1276"/>
      <c r="XAL1527" s="1276"/>
      <c r="XAM1527" s="1276"/>
      <c r="XAN1527" s="1276"/>
      <c r="XAO1527" s="1276"/>
      <c r="XAP1527" s="1276"/>
      <c r="XAQ1527" s="1276"/>
      <c r="XAR1527" s="1276"/>
      <c r="XAS1527" s="1276"/>
      <c r="XAT1527" s="1276"/>
      <c r="XAU1527" s="1276"/>
      <c r="XAV1527" s="1276"/>
      <c r="XAW1527" s="1276"/>
      <c r="XAX1527" s="1276"/>
      <c r="XAY1527" s="1276"/>
      <c r="XAZ1527" s="1276"/>
      <c r="XBA1527" s="1276"/>
      <c r="XBB1527" s="1276"/>
      <c r="XBC1527" s="1276"/>
      <c r="XBD1527" s="1276"/>
      <c r="XBE1527" s="1276"/>
      <c r="XBF1527" s="1276"/>
      <c r="XBG1527" s="1276"/>
      <c r="XBH1527" s="1276"/>
      <c r="XBI1527" s="1276"/>
      <c r="XBJ1527" s="1276"/>
      <c r="XBK1527" s="1276"/>
      <c r="XBL1527" s="1276"/>
      <c r="XBM1527" s="1276"/>
      <c r="XBN1527" s="1276"/>
      <c r="XBO1527" s="1276"/>
      <c r="XBP1527" s="1276"/>
      <c r="XBQ1527" s="1276"/>
      <c r="XBR1527" s="1276"/>
      <c r="XBS1527" s="1276"/>
      <c r="XBT1527" s="1276"/>
      <c r="XBU1527" s="1276"/>
      <c r="XBV1527" s="1276"/>
      <c r="XBW1527" s="1276"/>
      <c r="XBX1527" s="1276"/>
      <c r="XBY1527" s="1276"/>
      <c r="XBZ1527" s="1276"/>
      <c r="XCA1527" s="1276"/>
      <c r="XCB1527" s="1276"/>
      <c r="XCC1527" s="1276"/>
      <c r="XCD1527" s="1276"/>
      <c r="XCE1527" s="1276"/>
      <c r="XCF1527" s="1276"/>
      <c r="XCG1527" s="1276"/>
      <c r="XCH1527" s="1276"/>
      <c r="XCI1527" s="1276"/>
      <c r="XCJ1527" s="1276"/>
      <c r="XCK1527" s="1276"/>
      <c r="XCL1527" s="1276"/>
      <c r="XCM1527" s="1276"/>
      <c r="XCN1527" s="1276"/>
      <c r="XCO1527" s="1276"/>
      <c r="XCP1527" s="1276"/>
      <c r="XCQ1527" s="1276"/>
      <c r="XCR1527" s="1276"/>
      <c r="XCS1527" s="1276"/>
      <c r="XCT1527" s="1276"/>
      <c r="XCU1527" s="1276"/>
      <c r="XCV1527" s="1276"/>
      <c r="XCW1527" s="1276"/>
      <c r="XCX1527" s="1276"/>
      <c r="XCY1527" s="1276"/>
      <c r="XCZ1527" s="1276"/>
      <c r="XDA1527" s="1276"/>
      <c r="XDB1527" s="1276"/>
      <c r="XDC1527" s="1276"/>
      <c r="XDD1527" s="1276"/>
      <c r="XDE1527" s="1276"/>
      <c r="XDF1527" s="1276"/>
      <c r="XDG1527" s="1276"/>
      <c r="XDH1527" s="1276"/>
      <c r="XDI1527" s="1276"/>
      <c r="XDJ1527" s="1276"/>
      <c r="XDK1527" s="1276"/>
      <c r="XDL1527" s="1276"/>
      <c r="XDM1527" s="1276"/>
      <c r="XDN1527" s="1276"/>
      <c r="XDO1527" s="1276"/>
      <c r="XDP1527" s="1276"/>
      <c r="XDQ1527" s="1276"/>
      <c r="XDR1527" s="1276"/>
      <c r="XDS1527" s="1276"/>
      <c r="XDT1527" s="1276"/>
      <c r="XDU1527" s="1276"/>
      <c r="XDV1527" s="1276"/>
      <c r="XDW1527" s="1276"/>
      <c r="XDX1527" s="1276"/>
      <c r="XDY1527" s="1276"/>
      <c r="XDZ1527" s="1276"/>
      <c r="XEA1527" s="1276"/>
      <c r="XEB1527" s="1276"/>
      <c r="XEC1527" s="1276"/>
      <c r="XED1527" s="1276"/>
      <c r="XEE1527" s="1276"/>
      <c r="XEF1527" s="1276"/>
      <c r="XEG1527" s="1276"/>
      <c r="XEH1527" s="1276"/>
      <c r="XEI1527" s="1276"/>
      <c r="XEJ1527" s="1276"/>
      <c r="XEK1527" s="1276"/>
      <c r="XEL1527" s="1276"/>
      <c r="XEM1527" s="1276"/>
      <c r="XEN1527" s="1276"/>
      <c r="XEO1527" s="1276"/>
      <c r="XEP1527" s="1276"/>
      <c r="XEQ1527" s="1276"/>
      <c r="XER1527" s="1276"/>
      <c r="XES1527" s="1276"/>
      <c r="XET1527" s="1276"/>
      <c r="XEU1527" s="1276"/>
      <c r="XEV1527" s="1276"/>
      <c r="XEW1527" s="1276"/>
      <c r="XEX1527" s="1276"/>
      <c r="XEY1527" s="1276"/>
      <c r="XEZ1527" s="1276"/>
      <c r="XFA1527" s="1276"/>
      <c r="XFB1527" s="1276"/>
      <c r="XFC1527" s="1276"/>
      <c r="XFD1527" s="1276"/>
    </row>
    <row r="1528" s="1270" customFormat="1" ht="31" customHeight="1" spans="1:99 16239:16384">
      <c r="A1528" s="1022">
        <v>46212</v>
      </c>
      <c r="B1528" s="626" t="s">
        <v>1838</v>
      </c>
      <c r="C1528" s="939" t="s">
        <v>524</v>
      </c>
      <c r="D1528" s="563">
        <v>4500215851</v>
      </c>
      <c r="E1528" s="939"/>
      <c r="F1528" s="563" t="s">
        <v>5922</v>
      </c>
      <c r="G1528" s="939" t="s">
        <v>68</v>
      </c>
      <c r="H1528" s="939" t="s">
        <v>69</v>
      </c>
      <c r="I1528" s="1023">
        <v>840</v>
      </c>
      <c r="J1528" s="939">
        <v>0</v>
      </c>
      <c r="K1528" s="939">
        <v>12</v>
      </c>
      <c r="L1528" s="1064">
        <f t="shared" si="492"/>
        <v>70</v>
      </c>
      <c r="M1528" s="1027">
        <v>46303</v>
      </c>
      <c r="N1528" s="1027">
        <v>46300</v>
      </c>
      <c r="O1528" s="1031"/>
      <c r="P1528" s="939"/>
      <c r="Q1528" s="999"/>
      <c r="R1528" s="999" t="s">
        <v>454</v>
      </c>
      <c r="S1528" s="999" t="s">
        <v>70</v>
      </c>
      <c r="T1528" s="999" t="s">
        <v>5923</v>
      </c>
      <c r="U1528" s="999"/>
      <c r="V1528" s="999"/>
      <c r="W1528" s="626"/>
      <c r="X1528" s="626" t="s">
        <v>5924</v>
      </c>
      <c r="Y1528" s="1001" t="s">
        <v>943</v>
      </c>
      <c r="Z1528" s="1076">
        <v>4.3274</v>
      </c>
      <c r="AA1528" s="1001">
        <f t="shared" si="493"/>
        <v>3635.016</v>
      </c>
      <c r="AB1528" s="563"/>
      <c r="AC1528" s="1077"/>
      <c r="AD1528" s="939" t="s">
        <v>184</v>
      </c>
      <c r="AE1528" s="939" t="s">
        <v>82</v>
      </c>
      <c r="AF1528" s="939"/>
      <c r="AG1528" s="939"/>
      <c r="AH1528" s="939"/>
      <c r="AI1528" s="626"/>
      <c r="AJ1528" s="1031">
        <f t="shared" si="494"/>
        <v>-840</v>
      </c>
      <c r="AK1528" s="939"/>
      <c r="AL1528" s="939"/>
      <c r="AM1528" s="563"/>
      <c r="AN1528" s="563">
        <f t="shared" ref="AN1528:AN1537" si="497">I1528</f>
        <v>840</v>
      </c>
      <c r="AO1528" s="563"/>
      <c r="AP1528" s="563"/>
      <c r="AQ1528" s="563"/>
      <c r="AR1528" s="563"/>
      <c r="AS1528" s="563">
        <f>I1528</f>
        <v>840</v>
      </c>
      <c r="AT1528" s="563"/>
      <c r="AU1528" s="563">
        <f>I1528</f>
        <v>840</v>
      </c>
      <c r="AV1528" s="563"/>
      <c r="AW1528" s="563">
        <f t="shared" si="496"/>
        <v>840</v>
      </c>
      <c r="AX1528" s="1004"/>
      <c r="AY1528" s="563"/>
      <c r="AZ1528" s="563"/>
      <c r="BA1528" s="563"/>
      <c r="BB1528" s="563"/>
      <c r="BC1528" s="563"/>
      <c r="BD1528" s="563"/>
      <c r="BE1528" s="563"/>
      <c r="BF1528" s="563"/>
      <c r="BG1528" s="563"/>
      <c r="BH1528" s="563"/>
      <c r="BI1528" s="563"/>
      <c r="BJ1528" s="563"/>
      <c r="BK1528" s="563"/>
      <c r="BL1528" s="563"/>
      <c r="BM1528" s="563"/>
      <c r="BN1528" s="563"/>
      <c r="BO1528" s="563"/>
      <c r="BP1528" s="563"/>
      <c r="BQ1528" s="563"/>
      <c r="BR1528" s="563"/>
      <c r="BS1528" s="563"/>
      <c r="BT1528" s="563"/>
      <c r="BU1528" s="563"/>
      <c r="BV1528" s="563"/>
      <c r="BW1528" s="563"/>
      <c r="BX1528" s="563"/>
      <c r="BY1528" s="563"/>
      <c r="BZ1528" s="563"/>
      <c r="CA1528" s="563"/>
      <c r="CB1528" s="563"/>
      <c r="CC1528" s="563"/>
      <c r="CD1528" s="563"/>
      <c r="CE1528" s="563"/>
      <c r="CF1528" s="563"/>
      <c r="CG1528" s="563"/>
      <c r="CH1528" s="1015"/>
      <c r="CI1528" s="1015"/>
      <c r="CJ1528" s="1015"/>
      <c r="CK1528" s="1015"/>
      <c r="CL1528" s="1015"/>
      <c r="CM1528" s="563"/>
      <c r="CN1528" s="563"/>
      <c r="CO1528" s="563"/>
      <c r="CP1528" s="1015"/>
      <c r="CQ1528" s="1015"/>
      <c r="CR1528" s="1015"/>
      <c r="CS1528" s="1015"/>
      <c r="CT1528" s="1015"/>
      <c r="CU1528" s="1015"/>
    </row>
    <row r="1529" s="1274" customFormat="1" ht="31" customHeight="1" spans="1:99 16239:16384">
      <c r="A1529" s="1171">
        <v>46244</v>
      </c>
      <c r="B1529" s="1172" t="s">
        <v>5925</v>
      </c>
      <c r="C1529" s="1173" t="s">
        <v>98</v>
      </c>
      <c r="D1529" s="1174">
        <v>4500219357</v>
      </c>
      <c r="E1529" s="1426" t="s">
        <v>5926</v>
      </c>
      <c r="F1529" s="1174" t="s">
        <v>5927</v>
      </c>
      <c r="G1529" s="1173" t="s">
        <v>68</v>
      </c>
      <c r="H1529" s="1173" t="s">
        <v>69</v>
      </c>
      <c r="I1529" s="1175">
        <v>1320</v>
      </c>
      <c r="J1529" s="1173">
        <v>0</v>
      </c>
      <c r="K1529" s="1173">
        <v>12</v>
      </c>
      <c r="L1529" s="1176">
        <f t="shared" si="492"/>
        <v>110</v>
      </c>
      <c r="M1529" s="1177">
        <v>46304</v>
      </c>
      <c r="N1529" s="1177">
        <f>M1529-2</f>
        <v>46302</v>
      </c>
      <c r="O1529" s="1178"/>
      <c r="P1529" s="1173"/>
      <c r="Q1529" s="1179"/>
      <c r="R1529" s="1179">
        <v>46244</v>
      </c>
      <c r="S1529" s="1179" t="s">
        <v>104</v>
      </c>
      <c r="T1529" s="1179" t="s">
        <v>5928</v>
      </c>
      <c r="U1529" s="1179"/>
      <c r="V1529" s="1179"/>
      <c r="W1529" s="1172"/>
      <c r="X1529" s="1172" t="s">
        <v>5929</v>
      </c>
      <c r="Y1529" s="1185" t="s">
        <v>311</v>
      </c>
      <c r="Z1529" s="1395">
        <v>2.5964</v>
      </c>
      <c r="AA1529" s="1185">
        <f t="shared" si="493"/>
        <v>3427.248</v>
      </c>
      <c r="AB1529" s="1174"/>
      <c r="AC1529" s="1396"/>
      <c r="AD1529" s="1173" t="s">
        <v>68</v>
      </c>
      <c r="AE1529" s="1173" t="s">
        <v>82</v>
      </c>
      <c r="AF1529" s="1173"/>
      <c r="AG1529" s="1173"/>
      <c r="AH1529" s="1173"/>
      <c r="AI1529" s="1172"/>
      <c r="AJ1529" s="1173">
        <f t="shared" si="494"/>
        <v>-1320</v>
      </c>
      <c r="AK1529" s="1173"/>
      <c r="AL1529" s="1173"/>
      <c r="AM1529" s="1174"/>
      <c r="AN1529" s="1174">
        <f t="shared" si="497"/>
        <v>1320</v>
      </c>
      <c r="AO1529" s="1174"/>
      <c r="AP1529" s="1174"/>
      <c r="AQ1529" s="1174"/>
      <c r="AR1529" s="1174">
        <f>I1529</f>
        <v>1320</v>
      </c>
      <c r="AS1529" s="1235"/>
      <c r="AT1529" s="1235"/>
      <c r="AU1529" s="1174">
        <f>I1529</f>
        <v>1320</v>
      </c>
      <c r="AV1529" s="1174"/>
      <c r="AW1529" s="1174">
        <f t="shared" si="496"/>
        <v>1320</v>
      </c>
      <c r="AX1529" s="1190"/>
      <c r="AY1529" s="1174"/>
      <c r="AZ1529" s="1174"/>
      <c r="BA1529" s="1174"/>
      <c r="BB1529" s="1174"/>
      <c r="BC1529" s="1174"/>
      <c r="BD1529" s="1174"/>
      <c r="BE1529" s="1174"/>
      <c r="BF1529" s="1174"/>
      <c r="BG1529" s="1174"/>
      <c r="BH1529" s="1174"/>
      <c r="BI1529" s="1174"/>
      <c r="BJ1529" s="1174"/>
      <c r="BK1529" s="1174"/>
      <c r="BL1529" s="1174"/>
      <c r="BM1529" s="1174"/>
      <c r="BN1529" s="1174"/>
      <c r="BO1529" s="1174"/>
      <c r="BP1529" s="1174"/>
      <c r="BQ1529" s="1174"/>
      <c r="BR1529" s="1174"/>
      <c r="BS1529" s="1174"/>
      <c r="BT1529" s="1174"/>
      <c r="BU1529" s="1174"/>
      <c r="BV1529" s="1174"/>
      <c r="BW1529" s="1174"/>
      <c r="BX1529" s="1174"/>
      <c r="BY1529" s="1174"/>
      <c r="BZ1529" s="1174"/>
      <c r="CA1529" s="1174"/>
      <c r="CB1529" s="1174"/>
      <c r="CC1529" s="1174"/>
      <c r="CD1529" s="1174"/>
      <c r="CE1529" s="1174"/>
      <c r="CF1529" s="1174"/>
      <c r="CG1529" s="1174"/>
      <c r="CH1529" s="1189"/>
      <c r="CI1529" s="1189"/>
      <c r="CJ1529" s="1189"/>
      <c r="CK1529" s="1189"/>
      <c r="CL1529" s="1189"/>
      <c r="CM1529" s="1174"/>
      <c r="CN1529" s="1174"/>
      <c r="CO1529" s="1174"/>
      <c r="CP1529" s="1189"/>
      <c r="CQ1529" s="1189"/>
      <c r="CR1529" s="1189"/>
      <c r="CS1529" s="1189"/>
      <c r="CT1529" s="1189"/>
      <c r="CU1529" s="1189"/>
      <c r="WZO1529" s="1397"/>
      <c r="WZP1529" s="1397"/>
      <c r="WZQ1529" s="1397"/>
      <c r="WZR1529" s="1397"/>
      <c r="WZS1529" s="1397"/>
      <c r="WZT1529" s="1397"/>
      <c r="WZU1529" s="1397"/>
      <c r="WZV1529" s="1397"/>
      <c r="WZW1529" s="1397"/>
      <c r="WZX1529" s="1397"/>
      <c r="WZY1529" s="1397"/>
      <c r="WZZ1529" s="1397"/>
      <c r="XAA1529" s="1397"/>
      <c r="XAB1529" s="1397"/>
      <c r="XAC1529" s="1397"/>
      <c r="XAD1529" s="1397"/>
      <c r="XAE1529" s="1397"/>
      <c r="XAF1529" s="1397"/>
      <c r="XAG1529" s="1397"/>
      <c r="XAH1529" s="1397"/>
      <c r="XAI1529" s="1397"/>
      <c r="XAJ1529" s="1397"/>
      <c r="XAK1529" s="1397"/>
      <c r="XAL1529" s="1397"/>
      <c r="XAM1529" s="1397"/>
      <c r="XAN1529" s="1397"/>
      <c r="XAO1529" s="1397"/>
      <c r="XAP1529" s="1397"/>
      <c r="XAQ1529" s="1397"/>
      <c r="XAR1529" s="1397"/>
      <c r="XAS1529" s="1397"/>
      <c r="XAT1529" s="1397"/>
      <c r="XAU1529" s="1397"/>
      <c r="XAV1529" s="1397"/>
      <c r="XAW1529" s="1397"/>
      <c r="XAX1529" s="1397"/>
      <c r="XAY1529" s="1397"/>
      <c r="XAZ1529" s="1397"/>
      <c r="XBA1529" s="1397"/>
      <c r="XBB1529" s="1397"/>
      <c r="XBC1529" s="1397"/>
      <c r="XBD1529" s="1397"/>
      <c r="XBE1529" s="1397"/>
      <c r="XBF1529" s="1397"/>
      <c r="XBG1529" s="1397"/>
      <c r="XBH1529" s="1397"/>
      <c r="XBI1529" s="1397"/>
      <c r="XBJ1529" s="1397"/>
      <c r="XBK1529" s="1397"/>
      <c r="XBL1529" s="1397"/>
      <c r="XBM1529" s="1397"/>
      <c r="XBN1529" s="1397"/>
      <c r="XBO1529" s="1397"/>
      <c r="XBP1529" s="1397"/>
      <c r="XBQ1529" s="1397"/>
      <c r="XBR1529" s="1397"/>
      <c r="XBS1529" s="1397"/>
      <c r="XBT1529" s="1397"/>
      <c r="XBU1529" s="1397"/>
      <c r="XBV1529" s="1397"/>
      <c r="XBW1529" s="1397"/>
      <c r="XBX1529" s="1397"/>
      <c r="XBY1529" s="1397"/>
      <c r="XBZ1529" s="1397"/>
      <c r="XCA1529" s="1397"/>
      <c r="XCB1529" s="1397"/>
      <c r="XCC1529" s="1397"/>
      <c r="XCD1529" s="1397"/>
      <c r="XCE1529" s="1397"/>
      <c r="XCF1529" s="1397"/>
      <c r="XCG1529" s="1397"/>
      <c r="XCH1529" s="1397"/>
      <c r="XCI1529" s="1397"/>
      <c r="XCJ1529" s="1397"/>
      <c r="XCK1529" s="1397"/>
      <c r="XCL1529" s="1397"/>
      <c r="XCM1529" s="1397"/>
      <c r="XCN1529" s="1397"/>
      <c r="XCO1529" s="1397"/>
      <c r="XCP1529" s="1397"/>
      <c r="XCQ1529" s="1397"/>
      <c r="XCR1529" s="1397"/>
      <c r="XCS1529" s="1397"/>
      <c r="XCT1529" s="1397"/>
      <c r="XCU1529" s="1397"/>
      <c r="XCV1529" s="1397"/>
      <c r="XCW1529" s="1397"/>
      <c r="XCX1529" s="1397"/>
      <c r="XCY1529" s="1397"/>
      <c r="XCZ1529" s="1397"/>
      <c r="XDA1529" s="1397"/>
      <c r="XDB1529" s="1397"/>
      <c r="XDC1529" s="1397"/>
      <c r="XDD1529" s="1397"/>
      <c r="XDE1529" s="1397"/>
      <c r="XDF1529" s="1397"/>
      <c r="XDG1529" s="1397"/>
      <c r="XDH1529" s="1397"/>
      <c r="XDI1529" s="1397"/>
      <c r="XDJ1529" s="1397"/>
      <c r="XDK1529" s="1397"/>
      <c r="XDL1529" s="1397"/>
      <c r="XDM1529" s="1397"/>
      <c r="XDN1529" s="1397"/>
      <c r="XDO1529" s="1397"/>
      <c r="XDP1529" s="1397"/>
      <c r="XDQ1529" s="1397"/>
      <c r="XDR1529" s="1397"/>
      <c r="XDS1529" s="1397"/>
      <c r="XDT1529" s="1397"/>
      <c r="XDU1529" s="1397"/>
      <c r="XDV1529" s="1397"/>
      <c r="XDW1529" s="1397"/>
      <c r="XDX1529" s="1397"/>
      <c r="XDY1529" s="1397"/>
      <c r="XDZ1529" s="1397"/>
      <c r="XEA1529" s="1397"/>
      <c r="XEB1529" s="1397"/>
      <c r="XEC1529" s="1397"/>
      <c r="XED1529" s="1397"/>
      <c r="XEE1529" s="1397"/>
      <c r="XEF1529" s="1397"/>
      <c r="XEG1529" s="1397"/>
      <c r="XEH1529" s="1397"/>
      <c r="XEI1529" s="1397"/>
      <c r="XEJ1529" s="1397"/>
      <c r="XEK1529" s="1397"/>
      <c r="XEL1529" s="1397"/>
      <c r="XEM1529" s="1397"/>
      <c r="XEN1529" s="1397"/>
      <c r="XEO1529" s="1397"/>
      <c r="XEP1529" s="1397"/>
      <c r="XEQ1529" s="1397"/>
      <c r="XER1529" s="1397"/>
      <c r="XES1529" s="1397"/>
      <c r="XET1529" s="1397"/>
      <c r="XEU1529" s="1397"/>
      <c r="XEV1529" s="1397"/>
      <c r="XEW1529" s="1397"/>
      <c r="XEX1529" s="1397"/>
      <c r="XEY1529" s="1397"/>
      <c r="XEZ1529" s="1397"/>
      <c r="XFA1529" s="1397"/>
      <c r="XFB1529" s="1397"/>
      <c r="XFC1529" s="1397"/>
      <c r="XFD1529" s="1397"/>
    </row>
    <row r="1530" s="1274" customFormat="1" ht="31" customHeight="1" spans="1:99 16239:16384">
      <c r="A1530" s="1171">
        <v>46244</v>
      </c>
      <c r="B1530" s="1172" t="s">
        <v>5925</v>
      </c>
      <c r="C1530" s="1173" t="s">
        <v>98</v>
      </c>
      <c r="D1530" s="1174">
        <v>4500219357</v>
      </c>
      <c r="E1530" s="1426" t="s">
        <v>5930</v>
      </c>
      <c r="F1530" s="1174" t="s">
        <v>5931</v>
      </c>
      <c r="G1530" s="1173" t="s">
        <v>68</v>
      </c>
      <c r="H1530" s="1173" t="s">
        <v>69</v>
      </c>
      <c r="I1530" s="1175">
        <v>564</v>
      </c>
      <c r="J1530" s="1173">
        <v>0</v>
      </c>
      <c r="K1530" s="1173">
        <v>12</v>
      </c>
      <c r="L1530" s="1176">
        <f t="shared" si="492"/>
        <v>47</v>
      </c>
      <c r="M1530" s="1177">
        <v>46304</v>
      </c>
      <c r="N1530" s="1177">
        <f>M1530-2</f>
        <v>46302</v>
      </c>
      <c r="O1530" s="1178"/>
      <c r="P1530" s="1173"/>
      <c r="Q1530" s="1179"/>
      <c r="R1530" s="1179">
        <v>46244</v>
      </c>
      <c r="S1530" s="1179" t="s">
        <v>104</v>
      </c>
      <c r="T1530" s="1179" t="s">
        <v>5928</v>
      </c>
      <c r="U1530" s="1179"/>
      <c r="V1530" s="1179"/>
      <c r="W1530" s="1172"/>
      <c r="X1530" s="1172" t="s">
        <v>5929</v>
      </c>
      <c r="Y1530" s="1185" t="s">
        <v>311</v>
      </c>
      <c r="Z1530" s="1395">
        <v>2.6827</v>
      </c>
      <c r="AA1530" s="1185">
        <f t="shared" si="493"/>
        <v>1513.0428</v>
      </c>
      <c r="AB1530" s="1174"/>
      <c r="AC1530" s="1396"/>
      <c r="AD1530" s="1173" t="s">
        <v>68</v>
      </c>
      <c r="AE1530" s="1173" t="s">
        <v>82</v>
      </c>
      <c r="AF1530" s="1173"/>
      <c r="AG1530" s="1173"/>
      <c r="AH1530" s="1173"/>
      <c r="AI1530" s="1172"/>
      <c r="AJ1530" s="1173">
        <f t="shared" si="494"/>
        <v>-564</v>
      </c>
      <c r="AK1530" s="1173"/>
      <c r="AL1530" s="1173"/>
      <c r="AM1530" s="1174"/>
      <c r="AN1530" s="1174">
        <f t="shared" si="497"/>
        <v>564</v>
      </c>
      <c r="AO1530" s="1174"/>
      <c r="AP1530" s="1174"/>
      <c r="AQ1530" s="1174"/>
      <c r="AR1530" s="1174">
        <f>I1530</f>
        <v>564</v>
      </c>
      <c r="AS1530" s="1235"/>
      <c r="AT1530" s="1235"/>
      <c r="AU1530" s="1174">
        <f>I1530</f>
        <v>564</v>
      </c>
      <c r="AV1530" s="1174"/>
      <c r="AW1530" s="1174">
        <f t="shared" si="496"/>
        <v>564</v>
      </c>
      <c r="AX1530" s="1190"/>
      <c r="AY1530" s="1174"/>
      <c r="AZ1530" s="1174"/>
      <c r="BA1530" s="1174"/>
      <c r="BB1530" s="1174"/>
      <c r="BC1530" s="1174"/>
      <c r="BD1530" s="1174"/>
      <c r="BE1530" s="1174"/>
      <c r="BF1530" s="1174"/>
      <c r="BG1530" s="1174"/>
      <c r="BH1530" s="1174"/>
      <c r="BI1530" s="1174"/>
      <c r="BJ1530" s="1174"/>
      <c r="BK1530" s="1174"/>
      <c r="BL1530" s="1174"/>
      <c r="BM1530" s="1174"/>
      <c r="BN1530" s="1174"/>
      <c r="BO1530" s="1174"/>
      <c r="BP1530" s="1174"/>
      <c r="BQ1530" s="1174"/>
      <c r="BR1530" s="1174"/>
      <c r="BS1530" s="1174"/>
      <c r="BT1530" s="1174"/>
      <c r="BU1530" s="1174"/>
      <c r="BV1530" s="1174"/>
      <c r="BW1530" s="1174"/>
      <c r="BX1530" s="1174"/>
      <c r="BY1530" s="1174"/>
      <c r="BZ1530" s="1174"/>
      <c r="CA1530" s="1174"/>
      <c r="CB1530" s="1174"/>
      <c r="CC1530" s="1174"/>
      <c r="CD1530" s="1174"/>
      <c r="CE1530" s="1174"/>
      <c r="CF1530" s="1174"/>
      <c r="CG1530" s="1174"/>
      <c r="CH1530" s="1189"/>
      <c r="CI1530" s="1189"/>
      <c r="CJ1530" s="1189"/>
      <c r="CK1530" s="1189"/>
      <c r="CL1530" s="1189"/>
      <c r="CM1530" s="1174"/>
      <c r="CN1530" s="1174"/>
      <c r="CO1530" s="1174"/>
      <c r="CP1530" s="1189"/>
      <c r="CQ1530" s="1189"/>
      <c r="CR1530" s="1189"/>
      <c r="CS1530" s="1189"/>
      <c r="CT1530" s="1189"/>
      <c r="CU1530" s="1189"/>
      <c r="WZO1530" s="1397"/>
      <c r="WZP1530" s="1397"/>
      <c r="WZQ1530" s="1397"/>
      <c r="WZR1530" s="1397"/>
      <c r="WZS1530" s="1397"/>
      <c r="WZT1530" s="1397"/>
      <c r="WZU1530" s="1397"/>
      <c r="WZV1530" s="1397"/>
      <c r="WZW1530" s="1397"/>
      <c r="WZX1530" s="1397"/>
      <c r="WZY1530" s="1397"/>
      <c r="WZZ1530" s="1397"/>
      <c r="XAA1530" s="1397"/>
      <c r="XAB1530" s="1397"/>
      <c r="XAC1530" s="1397"/>
      <c r="XAD1530" s="1397"/>
      <c r="XAE1530" s="1397"/>
      <c r="XAF1530" s="1397"/>
      <c r="XAG1530" s="1397"/>
      <c r="XAH1530" s="1397"/>
      <c r="XAI1530" s="1397"/>
      <c r="XAJ1530" s="1397"/>
      <c r="XAK1530" s="1397"/>
      <c r="XAL1530" s="1397"/>
      <c r="XAM1530" s="1397"/>
      <c r="XAN1530" s="1397"/>
      <c r="XAO1530" s="1397"/>
      <c r="XAP1530" s="1397"/>
      <c r="XAQ1530" s="1397"/>
      <c r="XAR1530" s="1397"/>
      <c r="XAS1530" s="1397"/>
      <c r="XAT1530" s="1397"/>
      <c r="XAU1530" s="1397"/>
      <c r="XAV1530" s="1397"/>
      <c r="XAW1530" s="1397"/>
      <c r="XAX1530" s="1397"/>
      <c r="XAY1530" s="1397"/>
      <c r="XAZ1530" s="1397"/>
      <c r="XBA1530" s="1397"/>
      <c r="XBB1530" s="1397"/>
      <c r="XBC1530" s="1397"/>
      <c r="XBD1530" s="1397"/>
      <c r="XBE1530" s="1397"/>
      <c r="XBF1530" s="1397"/>
      <c r="XBG1530" s="1397"/>
      <c r="XBH1530" s="1397"/>
      <c r="XBI1530" s="1397"/>
      <c r="XBJ1530" s="1397"/>
      <c r="XBK1530" s="1397"/>
      <c r="XBL1530" s="1397"/>
      <c r="XBM1530" s="1397"/>
      <c r="XBN1530" s="1397"/>
      <c r="XBO1530" s="1397"/>
      <c r="XBP1530" s="1397"/>
      <c r="XBQ1530" s="1397"/>
      <c r="XBR1530" s="1397"/>
      <c r="XBS1530" s="1397"/>
      <c r="XBT1530" s="1397"/>
      <c r="XBU1530" s="1397"/>
      <c r="XBV1530" s="1397"/>
      <c r="XBW1530" s="1397"/>
      <c r="XBX1530" s="1397"/>
      <c r="XBY1530" s="1397"/>
      <c r="XBZ1530" s="1397"/>
      <c r="XCA1530" s="1397"/>
      <c r="XCB1530" s="1397"/>
      <c r="XCC1530" s="1397"/>
      <c r="XCD1530" s="1397"/>
      <c r="XCE1530" s="1397"/>
      <c r="XCF1530" s="1397"/>
      <c r="XCG1530" s="1397"/>
      <c r="XCH1530" s="1397"/>
      <c r="XCI1530" s="1397"/>
      <c r="XCJ1530" s="1397"/>
      <c r="XCK1530" s="1397"/>
      <c r="XCL1530" s="1397"/>
      <c r="XCM1530" s="1397"/>
      <c r="XCN1530" s="1397"/>
      <c r="XCO1530" s="1397"/>
      <c r="XCP1530" s="1397"/>
      <c r="XCQ1530" s="1397"/>
      <c r="XCR1530" s="1397"/>
      <c r="XCS1530" s="1397"/>
      <c r="XCT1530" s="1397"/>
      <c r="XCU1530" s="1397"/>
      <c r="XCV1530" s="1397"/>
      <c r="XCW1530" s="1397"/>
      <c r="XCX1530" s="1397"/>
      <c r="XCY1530" s="1397"/>
      <c r="XCZ1530" s="1397"/>
      <c r="XDA1530" s="1397"/>
      <c r="XDB1530" s="1397"/>
      <c r="XDC1530" s="1397"/>
      <c r="XDD1530" s="1397"/>
      <c r="XDE1530" s="1397"/>
      <c r="XDF1530" s="1397"/>
      <c r="XDG1530" s="1397"/>
      <c r="XDH1530" s="1397"/>
      <c r="XDI1530" s="1397"/>
      <c r="XDJ1530" s="1397"/>
      <c r="XDK1530" s="1397"/>
      <c r="XDL1530" s="1397"/>
      <c r="XDM1530" s="1397"/>
      <c r="XDN1530" s="1397"/>
      <c r="XDO1530" s="1397"/>
      <c r="XDP1530" s="1397"/>
      <c r="XDQ1530" s="1397"/>
      <c r="XDR1530" s="1397"/>
      <c r="XDS1530" s="1397"/>
      <c r="XDT1530" s="1397"/>
      <c r="XDU1530" s="1397"/>
      <c r="XDV1530" s="1397"/>
      <c r="XDW1530" s="1397"/>
      <c r="XDX1530" s="1397"/>
      <c r="XDY1530" s="1397"/>
      <c r="XDZ1530" s="1397"/>
      <c r="XEA1530" s="1397"/>
      <c r="XEB1530" s="1397"/>
      <c r="XEC1530" s="1397"/>
      <c r="XED1530" s="1397"/>
      <c r="XEE1530" s="1397"/>
      <c r="XEF1530" s="1397"/>
      <c r="XEG1530" s="1397"/>
      <c r="XEH1530" s="1397"/>
      <c r="XEI1530" s="1397"/>
      <c r="XEJ1530" s="1397"/>
      <c r="XEK1530" s="1397"/>
      <c r="XEL1530" s="1397"/>
      <c r="XEM1530" s="1397"/>
      <c r="XEN1530" s="1397"/>
      <c r="XEO1530" s="1397"/>
      <c r="XEP1530" s="1397"/>
      <c r="XEQ1530" s="1397"/>
      <c r="XER1530" s="1397"/>
      <c r="XES1530" s="1397"/>
      <c r="XET1530" s="1397"/>
      <c r="XEU1530" s="1397"/>
      <c r="XEV1530" s="1397"/>
      <c r="XEW1530" s="1397"/>
      <c r="XEX1530" s="1397"/>
      <c r="XEY1530" s="1397"/>
      <c r="XEZ1530" s="1397"/>
      <c r="XFA1530" s="1397"/>
      <c r="XFB1530" s="1397"/>
      <c r="XFC1530" s="1397"/>
      <c r="XFD1530" s="1397"/>
    </row>
    <row r="1531" s="1270" customFormat="1" ht="31" customHeight="1" spans="1:99 16239:16384">
      <c r="A1531" s="1022">
        <v>46237</v>
      </c>
      <c r="B1531" s="626" t="s">
        <v>1620</v>
      </c>
      <c r="C1531" s="939" t="s">
        <v>278</v>
      </c>
      <c r="D1531" s="563">
        <v>4500218543</v>
      </c>
      <c r="E1531" s="939">
        <v>4400588070</v>
      </c>
      <c r="F1531" s="563" t="s">
        <v>5932</v>
      </c>
      <c r="G1531" s="939" t="s">
        <v>164</v>
      </c>
      <c r="H1531" s="939" t="s">
        <v>112</v>
      </c>
      <c r="I1531" s="1023">
        <v>5000</v>
      </c>
      <c r="J1531" s="939">
        <v>0</v>
      </c>
      <c r="K1531" s="939">
        <v>8</v>
      </c>
      <c r="L1531" s="1064">
        <f t="shared" si="492"/>
        <v>625</v>
      </c>
      <c r="M1531" s="1027">
        <v>46308</v>
      </c>
      <c r="N1531" s="1027">
        <v>46304</v>
      </c>
      <c r="O1531" s="1031"/>
      <c r="P1531" s="939"/>
      <c r="Q1531" s="999"/>
      <c r="R1531" s="999">
        <v>46237</v>
      </c>
      <c r="S1531" s="999" t="s">
        <v>70</v>
      </c>
      <c r="T1531" s="999" t="s">
        <v>5933</v>
      </c>
      <c r="U1531" s="999"/>
      <c r="V1531" s="999"/>
      <c r="W1531" s="626"/>
      <c r="X1531" s="626" t="s">
        <v>5934</v>
      </c>
      <c r="Y1531" s="1001" t="s">
        <v>5917</v>
      </c>
      <c r="Z1531" s="1076">
        <v>4.3495</v>
      </c>
      <c r="AA1531" s="1001">
        <f t="shared" si="493"/>
        <v>21747.5</v>
      </c>
      <c r="AB1531" s="563"/>
      <c r="AC1531" s="1077"/>
      <c r="AD1531" s="992" t="s">
        <v>2381</v>
      </c>
      <c r="AE1531" s="939" t="s">
        <v>82</v>
      </c>
      <c r="AF1531" s="939"/>
      <c r="AG1531" s="939"/>
      <c r="AH1531" s="939"/>
      <c r="AI1531" s="626"/>
      <c r="AJ1531" s="939">
        <f t="shared" ref="AJ1531:AJ1537" si="498">AI1531-I1531</f>
        <v>-5000</v>
      </c>
      <c r="AK1531" s="939"/>
      <c r="AL1531" s="939"/>
      <c r="AM1531" s="563"/>
      <c r="AN1531" s="563">
        <f t="shared" si="497"/>
        <v>5000</v>
      </c>
      <c r="AO1531" s="563"/>
      <c r="AP1531" s="563"/>
      <c r="AQ1531" s="563"/>
      <c r="AR1531" s="563"/>
      <c r="AS1531" s="586">
        <f>I1531</f>
        <v>5000</v>
      </c>
      <c r="AT1531" s="586"/>
      <c r="AU1531" s="586">
        <f t="shared" ref="AU1531:AU1537" si="499">I1531</f>
        <v>5000</v>
      </c>
      <c r="AV1531" s="563"/>
      <c r="AW1531" s="563">
        <f t="shared" ref="AW1531:AW1537" si="500">I1531</f>
        <v>5000</v>
      </c>
      <c r="AX1531" s="1004"/>
      <c r="AY1531" s="563"/>
      <c r="AZ1531" s="563"/>
      <c r="BA1531" s="563"/>
      <c r="BB1531" s="563"/>
      <c r="BC1531" s="563"/>
      <c r="BD1531" s="563"/>
      <c r="BE1531" s="563"/>
      <c r="BF1531" s="563"/>
      <c r="BG1531" s="563"/>
      <c r="BH1531" s="563"/>
      <c r="BI1531" s="563">
        <f>I1531/4</f>
        <v>1250</v>
      </c>
      <c r="BJ1531" s="563"/>
      <c r="BK1531" s="563"/>
      <c r="BL1531" s="563"/>
      <c r="BM1531" s="563"/>
      <c r="BN1531" s="563"/>
      <c r="BO1531" s="563"/>
      <c r="BP1531" s="563"/>
      <c r="BQ1531" s="563"/>
      <c r="BR1531" s="563"/>
      <c r="BS1531" s="563"/>
      <c r="BT1531" s="563"/>
      <c r="BU1531" s="563"/>
      <c r="BV1531" s="563"/>
      <c r="BW1531" s="563"/>
      <c r="BX1531" s="563"/>
      <c r="BY1531" s="563"/>
      <c r="BZ1531" s="563"/>
      <c r="CA1531" s="563"/>
      <c r="CB1531" s="563"/>
      <c r="CC1531" s="563"/>
      <c r="CD1531" s="563"/>
      <c r="CE1531" s="563"/>
      <c r="CF1531" s="563"/>
      <c r="CG1531" s="563"/>
      <c r="CH1531" s="1015"/>
      <c r="CI1531" s="1015"/>
      <c r="CJ1531" s="1015"/>
      <c r="CK1531" s="1015"/>
      <c r="CL1531" s="1015"/>
      <c r="CM1531" s="563"/>
      <c r="CN1531" s="563"/>
      <c r="CO1531" s="563"/>
      <c r="CP1531" s="1015"/>
      <c r="CQ1531" s="1015"/>
      <c r="CR1531" s="1015"/>
      <c r="CS1531" s="1015"/>
      <c r="CT1531" s="1015"/>
      <c r="CU1531" s="1015"/>
      <c r="WZO1531" s="1394"/>
      <c r="WZP1531" s="1394"/>
      <c r="WZQ1531" s="1394"/>
      <c r="WZR1531" s="1394"/>
      <c r="WZS1531" s="1394"/>
      <c r="WZT1531" s="1394"/>
      <c r="WZU1531" s="1394"/>
      <c r="WZV1531" s="1394"/>
      <c r="WZW1531" s="1394"/>
      <c r="WZX1531" s="1394"/>
      <c r="WZY1531" s="1394"/>
      <c r="WZZ1531" s="1394"/>
      <c r="XAA1531" s="1394"/>
      <c r="XAB1531" s="1394"/>
      <c r="XAC1531" s="1394"/>
      <c r="XAD1531" s="1394"/>
      <c r="XAE1531" s="1394"/>
      <c r="XAF1531" s="1394"/>
      <c r="XAG1531" s="1394"/>
      <c r="XAH1531" s="1394"/>
      <c r="XAI1531" s="1394"/>
      <c r="XAJ1531" s="1394"/>
      <c r="XAK1531" s="1394"/>
      <c r="XAL1531" s="1394"/>
      <c r="XAM1531" s="1394"/>
      <c r="XAN1531" s="1394"/>
      <c r="XAO1531" s="1394"/>
      <c r="XAP1531" s="1394"/>
      <c r="XAQ1531" s="1394"/>
      <c r="XAR1531" s="1394"/>
      <c r="XAS1531" s="1394"/>
      <c r="XAT1531" s="1394"/>
      <c r="XAU1531" s="1394"/>
      <c r="XAV1531" s="1394"/>
      <c r="XAW1531" s="1394"/>
      <c r="XAX1531" s="1394"/>
      <c r="XAY1531" s="1394"/>
      <c r="XAZ1531" s="1394"/>
      <c r="XBA1531" s="1394"/>
      <c r="XBB1531" s="1394"/>
      <c r="XBC1531" s="1394"/>
      <c r="XBD1531" s="1394"/>
      <c r="XBE1531" s="1394"/>
      <c r="XBF1531" s="1394"/>
      <c r="XBG1531" s="1394"/>
      <c r="XBH1531" s="1394"/>
      <c r="XBI1531" s="1394"/>
      <c r="XBJ1531" s="1394"/>
      <c r="XBK1531" s="1394"/>
      <c r="XBL1531" s="1394"/>
      <c r="XBM1531" s="1394"/>
      <c r="XBN1531" s="1394"/>
      <c r="XBO1531" s="1394"/>
      <c r="XBP1531" s="1394"/>
      <c r="XBQ1531" s="1394"/>
      <c r="XBR1531" s="1394"/>
      <c r="XBS1531" s="1394"/>
      <c r="XBT1531" s="1394"/>
      <c r="XBU1531" s="1394"/>
      <c r="XBV1531" s="1394"/>
      <c r="XBW1531" s="1394"/>
      <c r="XBX1531" s="1394"/>
      <c r="XBY1531" s="1394"/>
      <c r="XBZ1531" s="1394"/>
      <c r="XCA1531" s="1394"/>
      <c r="XCB1531" s="1394"/>
      <c r="XCC1531" s="1394"/>
      <c r="XCD1531" s="1394"/>
      <c r="XCE1531" s="1394"/>
      <c r="XCF1531" s="1394"/>
      <c r="XCG1531" s="1394"/>
      <c r="XCH1531" s="1394"/>
      <c r="XCI1531" s="1394"/>
      <c r="XCJ1531" s="1394"/>
      <c r="XCK1531" s="1394"/>
      <c r="XCL1531" s="1394"/>
      <c r="XCM1531" s="1394"/>
      <c r="XCN1531" s="1394"/>
      <c r="XCO1531" s="1394"/>
      <c r="XCP1531" s="1394"/>
      <c r="XCQ1531" s="1394"/>
      <c r="XCR1531" s="1394"/>
      <c r="XCS1531" s="1394"/>
      <c r="XCT1531" s="1394"/>
      <c r="XCU1531" s="1394"/>
      <c r="XCV1531" s="1394"/>
      <c r="XCW1531" s="1394"/>
      <c r="XCX1531" s="1394"/>
      <c r="XCY1531" s="1394"/>
      <c r="XCZ1531" s="1394"/>
      <c r="XDA1531" s="1394"/>
      <c r="XDB1531" s="1394"/>
      <c r="XDC1531" s="1394"/>
      <c r="XDD1531" s="1394"/>
      <c r="XDE1531" s="1394"/>
      <c r="XDF1531" s="1394"/>
      <c r="XDG1531" s="1394"/>
      <c r="XDH1531" s="1394"/>
      <c r="XDI1531" s="1394"/>
      <c r="XDJ1531" s="1394"/>
      <c r="XDK1531" s="1394"/>
      <c r="XDL1531" s="1394"/>
      <c r="XDM1531" s="1394"/>
      <c r="XDN1531" s="1394"/>
      <c r="XDO1531" s="1394"/>
      <c r="XDP1531" s="1394"/>
      <c r="XDQ1531" s="1394"/>
      <c r="XDR1531" s="1394"/>
      <c r="XDS1531" s="1394"/>
      <c r="XDT1531" s="1394"/>
      <c r="XDU1531" s="1394"/>
      <c r="XDV1531" s="1394"/>
      <c r="XDW1531" s="1394"/>
      <c r="XDX1531" s="1394"/>
      <c r="XDY1531" s="1394"/>
      <c r="XDZ1531" s="1394"/>
      <c r="XEA1531" s="1394"/>
      <c r="XEB1531" s="1394"/>
      <c r="XEC1531" s="1394"/>
      <c r="XED1531" s="1394"/>
      <c r="XEE1531" s="1394"/>
      <c r="XEF1531" s="1394"/>
      <c r="XEG1531" s="1394"/>
      <c r="XEH1531" s="1394"/>
      <c r="XEI1531" s="1394"/>
      <c r="XEJ1531" s="1394"/>
      <c r="XEK1531" s="1394"/>
      <c r="XEL1531" s="1394"/>
      <c r="XEM1531" s="1394"/>
      <c r="XEN1531" s="1394"/>
      <c r="XEO1531" s="1394"/>
      <c r="XEP1531" s="1394"/>
      <c r="XEQ1531" s="1394"/>
      <c r="XER1531" s="1394"/>
      <c r="XES1531" s="1394"/>
      <c r="XET1531" s="1394"/>
      <c r="XEU1531" s="1394"/>
      <c r="XEV1531" s="1394"/>
      <c r="XEW1531" s="1394"/>
      <c r="XEX1531" s="1394"/>
      <c r="XEY1531" s="1394"/>
      <c r="XEZ1531" s="1394"/>
      <c r="XFA1531" s="1394"/>
      <c r="XFB1531" s="1394"/>
      <c r="XFC1531" s="1394"/>
      <c r="XFD1531" s="1394"/>
    </row>
    <row r="1532" s="559" customFormat="1" ht="31" customHeight="1" spans="1:99 16239:16384">
      <c r="A1532" s="1022">
        <v>46237</v>
      </c>
      <c r="B1532" s="626" t="s">
        <v>2811</v>
      </c>
      <c r="C1532" s="939" t="s">
        <v>98</v>
      </c>
      <c r="D1532" s="563">
        <v>4500218540</v>
      </c>
      <c r="E1532" s="939">
        <v>70095073</v>
      </c>
      <c r="F1532" s="563" t="s">
        <v>5935</v>
      </c>
      <c r="G1532" s="939" t="s">
        <v>2736</v>
      </c>
      <c r="H1532" s="939" t="s">
        <v>2737</v>
      </c>
      <c r="I1532" s="1023">
        <v>2800</v>
      </c>
      <c r="J1532" s="939">
        <v>0</v>
      </c>
      <c r="K1532" s="939">
        <v>8</v>
      </c>
      <c r="L1532" s="1064">
        <f t="shared" si="492"/>
        <v>350</v>
      </c>
      <c r="M1532" s="1027">
        <v>46311</v>
      </c>
      <c r="N1532" s="1027">
        <v>46307</v>
      </c>
      <c r="O1532" s="1031"/>
      <c r="P1532" s="939"/>
      <c r="Q1532" s="999"/>
      <c r="R1532" s="999">
        <v>46238</v>
      </c>
      <c r="S1532" s="999" t="s">
        <v>70</v>
      </c>
      <c r="T1532" s="999" t="s">
        <v>5936</v>
      </c>
      <c r="U1532" s="646"/>
      <c r="V1532" s="999"/>
      <c r="W1532" s="626"/>
      <c r="X1532" s="626" t="s">
        <v>5937</v>
      </c>
      <c r="Y1532" s="1001" t="s">
        <v>1318</v>
      </c>
      <c r="Z1532" s="1076">
        <v>4.2322</v>
      </c>
      <c r="AA1532" s="1001">
        <f t="shared" si="493"/>
        <v>11850.16</v>
      </c>
      <c r="AB1532" s="563"/>
      <c r="AC1532" s="1077"/>
      <c r="AD1532" s="939" t="s">
        <v>2741</v>
      </c>
      <c r="AE1532" s="939" t="s">
        <v>82</v>
      </c>
      <c r="AF1532" s="939"/>
      <c r="AG1532" s="939"/>
      <c r="AH1532" s="939"/>
      <c r="AI1532" s="609"/>
      <c r="AJ1532" s="773">
        <f t="shared" si="498"/>
        <v>-2800</v>
      </c>
      <c r="AK1532" s="939"/>
      <c r="AL1532" s="939"/>
      <c r="AM1532" s="563"/>
      <c r="AN1532" s="563">
        <f t="shared" si="497"/>
        <v>2800</v>
      </c>
      <c r="AO1532" s="563"/>
      <c r="AP1532" s="563"/>
      <c r="AQ1532" s="563"/>
      <c r="AR1532" s="687">
        <f t="shared" ref="AR1532:AR1537" si="501">I1532</f>
        <v>2800</v>
      </c>
      <c r="AS1532" s="687"/>
      <c r="AT1532" s="687"/>
      <c r="AU1532" s="563">
        <f t="shared" si="499"/>
        <v>2800</v>
      </c>
      <c r="AV1532" s="687"/>
      <c r="AW1532" s="687">
        <f t="shared" si="500"/>
        <v>2800</v>
      </c>
      <c r="AX1532" s="1004"/>
      <c r="AY1532" s="563"/>
      <c r="AZ1532" s="563"/>
      <c r="BA1532" s="563"/>
      <c r="BB1532" s="563"/>
      <c r="BC1532" s="563"/>
      <c r="BD1532" s="563"/>
      <c r="BE1532" s="563"/>
      <c r="BF1532" s="563"/>
      <c r="BG1532" s="563"/>
      <c r="BH1532" s="563"/>
      <c r="BI1532" s="563"/>
      <c r="BJ1532" s="563"/>
      <c r="BK1532" s="563"/>
      <c r="BL1532" s="563"/>
      <c r="BM1532" s="563"/>
      <c r="BN1532" s="687">
        <f>I1532</f>
        <v>2800</v>
      </c>
      <c r="BO1532" s="563"/>
      <c r="BP1532" s="563"/>
      <c r="BQ1532" s="563"/>
      <c r="BR1532" s="563"/>
      <c r="BS1532" s="563"/>
      <c r="BT1532" s="563"/>
      <c r="BU1532" s="563"/>
      <c r="BV1532" s="563"/>
      <c r="BW1532" s="563"/>
      <c r="BX1532" s="563"/>
      <c r="BY1532" s="563"/>
      <c r="BZ1532" s="563"/>
      <c r="CA1532" s="563"/>
      <c r="CB1532" s="563"/>
      <c r="CC1532" s="563"/>
      <c r="CD1532" s="563"/>
      <c r="CE1532" s="563"/>
      <c r="CF1532" s="563"/>
      <c r="CG1532" s="563"/>
      <c r="CH1532" s="1015"/>
      <c r="CI1532" s="1015"/>
      <c r="CJ1532" s="1015"/>
      <c r="CK1532" s="1015"/>
      <c r="CL1532" s="1015"/>
      <c r="CM1532" s="563"/>
      <c r="CN1532" s="563"/>
      <c r="CO1532" s="563"/>
      <c r="CP1532" s="1015"/>
      <c r="CQ1532" s="1015"/>
      <c r="CR1532" s="1015"/>
      <c r="CS1532" s="1015"/>
      <c r="CT1532" s="1015"/>
      <c r="CU1532" s="1015"/>
      <c r="WZO1532" s="1276"/>
      <c r="WZP1532" s="1276"/>
      <c r="WZQ1532" s="1276"/>
      <c r="WZR1532" s="1276"/>
      <c r="WZS1532" s="1276"/>
      <c r="WZT1532" s="1276"/>
      <c r="WZU1532" s="1276"/>
      <c r="WZV1532" s="1276"/>
      <c r="WZW1532" s="1276"/>
      <c r="WZX1532" s="1276"/>
      <c r="WZY1532" s="1276"/>
      <c r="WZZ1532" s="1276"/>
      <c r="XAA1532" s="1276"/>
      <c r="XAB1532" s="1276"/>
      <c r="XAC1532" s="1276"/>
      <c r="XAD1532" s="1276"/>
      <c r="XAE1532" s="1276"/>
      <c r="XAF1532" s="1276"/>
      <c r="XAG1532" s="1276"/>
      <c r="XAH1532" s="1276"/>
      <c r="XAI1532" s="1276"/>
      <c r="XAJ1532" s="1276"/>
      <c r="XAK1532" s="1276"/>
      <c r="XAL1532" s="1276"/>
      <c r="XAM1532" s="1276"/>
      <c r="XAN1532" s="1276"/>
      <c r="XAO1532" s="1276"/>
      <c r="XAP1532" s="1276"/>
      <c r="XAQ1532" s="1276"/>
      <c r="XAR1532" s="1276"/>
      <c r="XAS1532" s="1276"/>
      <c r="XAT1532" s="1276"/>
      <c r="XAU1532" s="1276"/>
      <c r="XAV1532" s="1276"/>
      <c r="XAW1532" s="1276"/>
      <c r="XAX1532" s="1276"/>
      <c r="XAY1532" s="1276"/>
      <c r="XAZ1532" s="1276"/>
      <c r="XBA1532" s="1276"/>
      <c r="XBB1532" s="1276"/>
      <c r="XBC1532" s="1276"/>
      <c r="XBD1532" s="1276"/>
      <c r="XBE1532" s="1276"/>
      <c r="XBF1532" s="1276"/>
      <c r="XBG1532" s="1276"/>
      <c r="XBH1532" s="1276"/>
      <c r="XBI1532" s="1276"/>
      <c r="XBJ1532" s="1276"/>
      <c r="XBK1532" s="1276"/>
      <c r="XBL1532" s="1276"/>
      <c r="XBM1532" s="1276"/>
      <c r="XBN1532" s="1276"/>
      <c r="XBO1532" s="1276"/>
      <c r="XBP1532" s="1276"/>
      <c r="XBQ1532" s="1276"/>
      <c r="XBR1532" s="1276"/>
      <c r="XBS1532" s="1276"/>
      <c r="XBT1532" s="1276"/>
      <c r="XBU1532" s="1276"/>
      <c r="XBV1532" s="1276"/>
      <c r="XBW1532" s="1276"/>
      <c r="XBX1532" s="1276"/>
      <c r="XBY1532" s="1276"/>
      <c r="XBZ1532" s="1276"/>
      <c r="XCA1532" s="1276"/>
      <c r="XCB1532" s="1276"/>
      <c r="XCC1532" s="1276"/>
      <c r="XCD1532" s="1276"/>
      <c r="XCE1532" s="1276"/>
      <c r="XCF1532" s="1276"/>
      <c r="XCG1532" s="1276"/>
      <c r="XCH1532" s="1276"/>
      <c r="XCI1532" s="1276"/>
      <c r="XCJ1532" s="1276"/>
      <c r="XCK1532" s="1276"/>
      <c r="XCL1532" s="1276"/>
      <c r="XCM1532" s="1276"/>
      <c r="XCN1532" s="1276"/>
      <c r="XCO1532" s="1276"/>
      <c r="XCP1532" s="1276"/>
      <c r="XCQ1532" s="1276"/>
      <c r="XCR1532" s="1276"/>
      <c r="XCS1532" s="1276"/>
      <c r="XCT1532" s="1276"/>
      <c r="XCU1532" s="1276"/>
      <c r="XCV1532" s="1276"/>
      <c r="XCW1532" s="1276"/>
      <c r="XCX1532" s="1276"/>
      <c r="XCY1532" s="1276"/>
      <c r="XCZ1532" s="1276"/>
      <c r="XDA1532" s="1276"/>
      <c r="XDB1532" s="1276"/>
      <c r="XDC1532" s="1276"/>
      <c r="XDD1532" s="1276"/>
      <c r="XDE1532" s="1276"/>
      <c r="XDF1532" s="1276"/>
      <c r="XDG1532" s="1276"/>
      <c r="XDH1532" s="1276"/>
      <c r="XDI1532" s="1276"/>
      <c r="XDJ1532" s="1276"/>
      <c r="XDK1532" s="1276"/>
      <c r="XDL1532" s="1276"/>
      <c r="XDM1532" s="1276"/>
      <c r="XDN1532" s="1276"/>
      <c r="XDO1532" s="1276"/>
      <c r="XDP1532" s="1276"/>
      <c r="XDQ1532" s="1276"/>
      <c r="XDR1532" s="1276"/>
      <c r="XDS1532" s="1276"/>
      <c r="XDT1532" s="1276"/>
      <c r="XDU1532" s="1276"/>
      <c r="XDV1532" s="1276"/>
      <c r="XDW1532" s="1276"/>
      <c r="XDX1532" s="1276"/>
      <c r="XDY1532" s="1276"/>
      <c r="XDZ1532" s="1276"/>
      <c r="XEA1532" s="1276"/>
      <c r="XEB1532" s="1276"/>
      <c r="XEC1532" s="1276"/>
      <c r="XED1532" s="1276"/>
      <c r="XEE1532" s="1276"/>
      <c r="XEF1532" s="1276"/>
      <c r="XEG1532" s="1276"/>
      <c r="XEH1532" s="1276"/>
      <c r="XEI1532" s="1276"/>
      <c r="XEJ1532" s="1276"/>
      <c r="XEK1532" s="1276"/>
      <c r="XEL1532" s="1276"/>
      <c r="XEM1532" s="1276"/>
      <c r="XEN1532" s="1276"/>
      <c r="XEO1532" s="1276"/>
      <c r="XEP1532" s="1276"/>
      <c r="XEQ1532" s="1276"/>
      <c r="XER1532" s="1276"/>
      <c r="XES1532" s="1276"/>
      <c r="XET1532" s="1276"/>
      <c r="XEU1532" s="1276"/>
      <c r="XEV1532" s="1276"/>
      <c r="XEW1532" s="1276"/>
      <c r="XEX1532" s="1276"/>
      <c r="XEY1532" s="1276"/>
      <c r="XEZ1532" s="1276"/>
      <c r="XFA1532" s="1276"/>
      <c r="XFB1532" s="1276"/>
      <c r="XFC1532" s="1276"/>
      <c r="XFD1532" s="1276"/>
    </row>
    <row r="1533" s="559" customFormat="1" ht="31" customHeight="1" spans="1:99 16239:16384">
      <c r="A1533" s="1022">
        <v>46239</v>
      </c>
      <c r="B1533" s="626" t="s">
        <v>5157</v>
      </c>
      <c r="C1533" s="939" t="s">
        <v>128</v>
      </c>
      <c r="D1533" s="563">
        <v>4500215429</v>
      </c>
      <c r="E1533" s="939">
        <v>22018118</v>
      </c>
      <c r="F1533" s="563" t="s">
        <v>5938</v>
      </c>
      <c r="G1533" s="939" t="s">
        <v>518</v>
      </c>
      <c r="H1533" s="939" t="s">
        <v>477</v>
      </c>
      <c r="I1533" s="1023">
        <v>2400</v>
      </c>
      <c r="J1533" s="939">
        <v>0</v>
      </c>
      <c r="K1533" s="939">
        <v>6</v>
      </c>
      <c r="L1533" s="1064">
        <f t="shared" si="492"/>
        <v>400</v>
      </c>
      <c r="M1533" s="1027">
        <v>46321</v>
      </c>
      <c r="N1533" s="1027">
        <v>46317</v>
      </c>
      <c r="O1533" s="1031"/>
      <c r="P1533" s="939"/>
      <c r="Q1533" s="999"/>
      <c r="R1533" s="999" t="s">
        <v>454</v>
      </c>
      <c r="S1533" s="999" t="s">
        <v>104</v>
      </c>
      <c r="T1533" s="999" t="s">
        <v>5800</v>
      </c>
      <c r="U1533" s="646"/>
      <c r="V1533" s="999"/>
      <c r="W1533" s="626"/>
      <c r="X1533" s="626" t="s">
        <v>5939</v>
      </c>
      <c r="Y1533" s="1001" t="s">
        <v>5805</v>
      </c>
      <c r="Z1533" s="1076">
        <v>7.4594</v>
      </c>
      <c r="AA1533" s="1001">
        <f t="shared" si="493"/>
        <v>17902.56</v>
      </c>
      <c r="AB1533" s="563"/>
      <c r="AC1533" s="1077"/>
      <c r="AD1533" s="939" t="s">
        <v>1306</v>
      </c>
      <c r="AE1533" s="939" t="s">
        <v>82</v>
      </c>
      <c r="AF1533" s="939"/>
      <c r="AG1533" s="939"/>
      <c r="AH1533" s="939"/>
      <c r="AI1533" s="609"/>
      <c r="AJ1533" s="939">
        <f t="shared" si="498"/>
        <v>-2400</v>
      </c>
      <c r="AK1533" s="939"/>
      <c r="AL1533" s="939"/>
      <c r="AM1533" s="563"/>
      <c r="AN1533" s="563">
        <f t="shared" si="497"/>
        <v>2400</v>
      </c>
      <c r="AO1533" s="563"/>
      <c r="AP1533" s="563"/>
      <c r="AQ1533" s="563"/>
      <c r="AR1533" s="563">
        <f t="shared" si="501"/>
        <v>2400</v>
      </c>
      <c r="AS1533" s="687"/>
      <c r="AT1533" s="687"/>
      <c r="AU1533" s="563">
        <f t="shared" si="499"/>
        <v>2400</v>
      </c>
      <c r="AV1533" s="687"/>
      <c r="AW1533" s="563">
        <f t="shared" si="500"/>
        <v>2400</v>
      </c>
      <c r="AX1533" s="1004"/>
      <c r="AY1533" s="563"/>
      <c r="AZ1533" s="563"/>
      <c r="BA1533" s="563"/>
      <c r="BB1533" s="563"/>
      <c r="BC1533" s="563"/>
      <c r="BD1533" s="563"/>
      <c r="BE1533" s="563"/>
      <c r="BF1533" s="563"/>
      <c r="BG1533" s="563"/>
      <c r="BH1533" s="563"/>
      <c r="BI1533" s="563"/>
      <c r="BJ1533" s="563"/>
      <c r="BK1533" s="563"/>
      <c r="BL1533" s="563"/>
      <c r="BM1533" s="563"/>
      <c r="BN1533" s="563">
        <f>I1533</f>
        <v>2400</v>
      </c>
      <c r="BO1533" s="563"/>
      <c r="BP1533" s="563"/>
      <c r="BQ1533" s="563"/>
      <c r="BR1533" s="563"/>
      <c r="BS1533" s="563"/>
      <c r="BT1533" s="563"/>
      <c r="BU1533" s="563"/>
      <c r="BV1533" s="563"/>
      <c r="BW1533" s="563"/>
      <c r="BX1533" s="563"/>
      <c r="BY1533" s="563"/>
      <c r="BZ1533" s="563"/>
      <c r="CA1533" s="563"/>
      <c r="CB1533" s="563"/>
      <c r="CC1533" s="563"/>
      <c r="CD1533" s="563"/>
      <c r="CE1533" s="563"/>
      <c r="CF1533" s="563"/>
      <c r="CG1533" s="563"/>
      <c r="CH1533" s="1015"/>
      <c r="CI1533" s="1015"/>
      <c r="CJ1533" s="1015"/>
      <c r="CK1533" s="1015"/>
      <c r="CL1533" s="1015"/>
      <c r="CM1533" s="563"/>
      <c r="CN1533" s="563"/>
      <c r="CO1533" s="563"/>
      <c r="CP1533" s="1015"/>
      <c r="CQ1533" s="1015"/>
      <c r="CR1533" s="1015"/>
      <c r="CS1533" s="1015"/>
      <c r="CT1533" s="1015"/>
      <c r="CU1533" s="1015"/>
      <c r="WZO1533" s="1276"/>
      <c r="WZP1533" s="1276"/>
      <c r="WZQ1533" s="1276"/>
      <c r="WZR1533" s="1276"/>
      <c r="WZS1533" s="1276"/>
      <c r="WZT1533" s="1276"/>
      <c r="WZU1533" s="1276"/>
      <c r="WZV1533" s="1276"/>
      <c r="WZW1533" s="1276"/>
      <c r="WZX1533" s="1276"/>
      <c r="WZY1533" s="1276"/>
      <c r="WZZ1533" s="1276"/>
      <c r="XAA1533" s="1276"/>
      <c r="XAB1533" s="1276"/>
      <c r="XAC1533" s="1276"/>
      <c r="XAD1533" s="1276"/>
      <c r="XAE1533" s="1276"/>
      <c r="XAF1533" s="1276"/>
      <c r="XAG1533" s="1276"/>
      <c r="XAH1533" s="1276"/>
      <c r="XAI1533" s="1276"/>
      <c r="XAJ1533" s="1276"/>
      <c r="XAK1533" s="1276"/>
      <c r="XAL1533" s="1276"/>
      <c r="XAM1533" s="1276"/>
      <c r="XAN1533" s="1276"/>
      <c r="XAO1533" s="1276"/>
      <c r="XAP1533" s="1276"/>
      <c r="XAQ1533" s="1276"/>
      <c r="XAR1533" s="1276"/>
      <c r="XAS1533" s="1276"/>
      <c r="XAT1533" s="1276"/>
      <c r="XAU1533" s="1276"/>
      <c r="XAV1533" s="1276"/>
      <c r="XAW1533" s="1276"/>
      <c r="XAX1533" s="1276"/>
      <c r="XAY1533" s="1276"/>
      <c r="XAZ1533" s="1276"/>
      <c r="XBA1533" s="1276"/>
      <c r="XBB1533" s="1276"/>
      <c r="XBC1533" s="1276"/>
      <c r="XBD1533" s="1276"/>
      <c r="XBE1533" s="1276"/>
      <c r="XBF1533" s="1276"/>
      <c r="XBG1533" s="1276"/>
      <c r="XBH1533" s="1276"/>
      <c r="XBI1533" s="1276"/>
      <c r="XBJ1533" s="1276"/>
      <c r="XBK1533" s="1276"/>
      <c r="XBL1533" s="1276"/>
      <c r="XBM1533" s="1276"/>
      <c r="XBN1533" s="1276"/>
      <c r="XBO1533" s="1276"/>
      <c r="XBP1533" s="1276"/>
      <c r="XBQ1533" s="1276"/>
      <c r="XBR1533" s="1276"/>
      <c r="XBS1533" s="1276"/>
      <c r="XBT1533" s="1276"/>
      <c r="XBU1533" s="1276"/>
      <c r="XBV1533" s="1276"/>
      <c r="XBW1533" s="1276"/>
      <c r="XBX1533" s="1276"/>
      <c r="XBY1533" s="1276"/>
      <c r="XBZ1533" s="1276"/>
      <c r="XCA1533" s="1276"/>
      <c r="XCB1533" s="1276"/>
      <c r="XCC1533" s="1276"/>
      <c r="XCD1533" s="1276"/>
      <c r="XCE1533" s="1276"/>
      <c r="XCF1533" s="1276"/>
      <c r="XCG1533" s="1276"/>
      <c r="XCH1533" s="1276"/>
      <c r="XCI1533" s="1276"/>
      <c r="XCJ1533" s="1276"/>
      <c r="XCK1533" s="1276"/>
      <c r="XCL1533" s="1276"/>
      <c r="XCM1533" s="1276"/>
      <c r="XCN1533" s="1276"/>
      <c r="XCO1533" s="1276"/>
      <c r="XCP1533" s="1276"/>
      <c r="XCQ1533" s="1276"/>
      <c r="XCR1533" s="1276"/>
      <c r="XCS1533" s="1276"/>
      <c r="XCT1533" s="1276"/>
      <c r="XCU1533" s="1276"/>
      <c r="XCV1533" s="1276"/>
      <c r="XCW1533" s="1276"/>
      <c r="XCX1533" s="1276"/>
      <c r="XCY1533" s="1276"/>
      <c r="XCZ1533" s="1276"/>
      <c r="XDA1533" s="1276"/>
      <c r="XDB1533" s="1276"/>
      <c r="XDC1533" s="1276"/>
      <c r="XDD1533" s="1276"/>
      <c r="XDE1533" s="1276"/>
      <c r="XDF1533" s="1276"/>
      <c r="XDG1533" s="1276"/>
      <c r="XDH1533" s="1276"/>
      <c r="XDI1533" s="1276"/>
      <c r="XDJ1533" s="1276"/>
      <c r="XDK1533" s="1276"/>
      <c r="XDL1533" s="1276"/>
      <c r="XDM1533" s="1276"/>
      <c r="XDN1533" s="1276"/>
      <c r="XDO1533" s="1276"/>
      <c r="XDP1533" s="1276"/>
      <c r="XDQ1533" s="1276"/>
      <c r="XDR1533" s="1276"/>
      <c r="XDS1533" s="1276"/>
      <c r="XDT1533" s="1276"/>
      <c r="XDU1533" s="1276"/>
      <c r="XDV1533" s="1276"/>
      <c r="XDW1533" s="1276"/>
      <c r="XDX1533" s="1276"/>
      <c r="XDY1533" s="1276"/>
      <c r="XDZ1533" s="1276"/>
      <c r="XEA1533" s="1276"/>
      <c r="XEB1533" s="1276"/>
      <c r="XEC1533" s="1276"/>
      <c r="XED1533" s="1276"/>
      <c r="XEE1533" s="1276"/>
      <c r="XEF1533" s="1276"/>
      <c r="XEG1533" s="1276"/>
      <c r="XEH1533" s="1276"/>
      <c r="XEI1533" s="1276"/>
      <c r="XEJ1533" s="1276"/>
      <c r="XEK1533" s="1276"/>
      <c r="XEL1533" s="1276"/>
      <c r="XEM1533" s="1276"/>
      <c r="XEN1533" s="1276"/>
      <c r="XEO1533" s="1276"/>
      <c r="XEP1533" s="1276"/>
      <c r="XEQ1533" s="1276"/>
      <c r="XER1533" s="1276"/>
      <c r="XES1533" s="1276"/>
      <c r="XET1533" s="1276"/>
      <c r="XEU1533" s="1276"/>
      <c r="XEV1533" s="1276"/>
      <c r="XEW1533" s="1276"/>
      <c r="XEX1533" s="1276"/>
      <c r="XEY1533" s="1276"/>
      <c r="XEZ1533" s="1276"/>
      <c r="XFA1533" s="1276"/>
      <c r="XFB1533" s="1276"/>
      <c r="XFC1533" s="1276"/>
      <c r="XFD1533" s="1276"/>
    </row>
    <row r="1534" s="559" customFormat="1" ht="31" customHeight="1" spans="1:99 16239:16384">
      <c r="A1534" s="1022">
        <v>46239</v>
      </c>
      <c r="B1534" s="626" t="s">
        <v>5164</v>
      </c>
      <c r="C1534" s="939" t="s">
        <v>76</v>
      </c>
      <c r="D1534" s="563">
        <v>4500215430</v>
      </c>
      <c r="E1534" s="939">
        <v>22018123</v>
      </c>
      <c r="F1534" s="563" t="s">
        <v>5940</v>
      </c>
      <c r="G1534" s="939" t="s">
        <v>518</v>
      </c>
      <c r="H1534" s="939" t="s">
        <v>477</v>
      </c>
      <c r="I1534" s="1023">
        <v>222</v>
      </c>
      <c r="J1534" s="939">
        <v>0</v>
      </c>
      <c r="K1534" s="939">
        <v>6</v>
      </c>
      <c r="L1534" s="1064">
        <f t="shared" si="492"/>
        <v>37</v>
      </c>
      <c r="M1534" s="1027">
        <v>46321</v>
      </c>
      <c r="N1534" s="1027">
        <v>46317</v>
      </c>
      <c r="O1534" s="1031"/>
      <c r="P1534" s="939"/>
      <c r="Q1534" s="999"/>
      <c r="R1534" s="999" t="s">
        <v>454</v>
      </c>
      <c r="S1534" s="999" t="s">
        <v>104</v>
      </c>
      <c r="T1534" s="999" t="s">
        <v>5800</v>
      </c>
      <c r="U1534" s="646"/>
      <c r="V1534" s="999"/>
      <c r="W1534" s="626"/>
      <c r="X1534" s="626" t="s">
        <v>5941</v>
      </c>
      <c r="Y1534" s="1001" t="s">
        <v>5805</v>
      </c>
      <c r="Z1534" s="1076">
        <v>7.8108</v>
      </c>
      <c r="AA1534" s="1001">
        <f t="shared" si="493"/>
        <v>1733.9976</v>
      </c>
      <c r="AB1534" s="563"/>
      <c r="AC1534" s="1077"/>
      <c r="AD1534" s="939" t="s">
        <v>1306</v>
      </c>
      <c r="AE1534" s="939" t="s">
        <v>82</v>
      </c>
      <c r="AF1534" s="939"/>
      <c r="AG1534" s="939"/>
      <c r="AH1534" s="939"/>
      <c r="AI1534" s="609"/>
      <c r="AJ1534" s="939">
        <f t="shared" si="498"/>
        <v>-222</v>
      </c>
      <c r="AK1534" s="939"/>
      <c r="AL1534" s="939"/>
      <c r="AM1534" s="563"/>
      <c r="AN1534" s="563">
        <f t="shared" si="497"/>
        <v>222</v>
      </c>
      <c r="AO1534" s="563"/>
      <c r="AP1534" s="563"/>
      <c r="AQ1534" s="563"/>
      <c r="AR1534" s="563">
        <f t="shared" si="501"/>
        <v>222</v>
      </c>
      <c r="AS1534" s="687"/>
      <c r="AT1534" s="687"/>
      <c r="AU1534" s="563">
        <f t="shared" si="499"/>
        <v>222</v>
      </c>
      <c r="AV1534" s="687"/>
      <c r="AW1534" s="563">
        <f t="shared" si="500"/>
        <v>222</v>
      </c>
      <c r="AX1534" s="1004"/>
      <c r="AY1534" s="563"/>
      <c r="AZ1534" s="563"/>
      <c r="BA1534" s="563"/>
      <c r="BB1534" s="563"/>
      <c r="BC1534" s="563"/>
      <c r="BD1534" s="563"/>
      <c r="BE1534" s="563"/>
      <c r="BF1534" s="563"/>
      <c r="BG1534" s="563"/>
      <c r="BH1534" s="563"/>
      <c r="BI1534" s="563"/>
      <c r="BJ1534" s="563"/>
      <c r="BK1534" s="563"/>
      <c r="BL1534" s="563"/>
      <c r="BM1534" s="563"/>
      <c r="BN1534" s="563">
        <f>I1534</f>
        <v>222</v>
      </c>
      <c r="BO1534" s="563"/>
      <c r="BP1534" s="563"/>
      <c r="BQ1534" s="563"/>
      <c r="BR1534" s="563"/>
      <c r="BS1534" s="563"/>
      <c r="BT1534" s="563"/>
      <c r="BU1534" s="563"/>
      <c r="BV1534" s="563"/>
      <c r="BW1534" s="563"/>
      <c r="BX1534" s="563"/>
      <c r="BY1534" s="563"/>
      <c r="BZ1534" s="563"/>
      <c r="CA1534" s="563"/>
      <c r="CB1534" s="563"/>
      <c r="CC1534" s="563"/>
      <c r="CD1534" s="563"/>
      <c r="CE1534" s="563"/>
      <c r="CF1534" s="563"/>
      <c r="CG1534" s="563"/>
      <c r="CH1534" s="1015"/>
      <c r="CI1534" s="1015"/>
      <c r="CJ1534" s="1015"/>
      <c r="CK1534" s="1015"/>
      <c r="CL1534" s="1015"/>
      <c r="CM1534" s="563"/>
      <c r="CN1534" s="563"/>
      <c r="CO1534" s="563"/>
      <c r="CP1534" s="1015"/>
      <c r="CQ1534" s="1015"/>
      <c r="CR1534" s="1015"/>
      <c r="CS1534" s="1015"/>
      <c r="CT1534" s="1015"/>
      <c r="CU1534" s="1015"/>
      <c r="WZO1534" s="1276"/>
      <c r="WZP1534" s="1276"/>
      <c r="WZQ1534" s="1276"/>
      <c r="WZR1534" s="1276"/>
      <c r="WZS1534" s="1276"/>
      <c r="WZT1534" s="1276"/>
      <c r="WZU1534" s="1276"/>
      <c r="WZV1534" s="1276"/>
      <c r="WZW1534" s="1276"/>
      <c r="WZX1534" s="1276"/>
      <c r="WZY1534" s="1276"/>
      <c r="WZZ1534" s="1276"/>
      <c r="XAA1534" s="1276"/>
      <c r="XAB1534" s="1276"/>
      <c r="XAC1534" s="1276"/>
      <c r="XAD1534" s="1276"/>
      <c r="XAE1534" s="1276"/>
      <c r="XAF1534" s="1276"/>
      <c r="XAG1534" s="1276"/>
      <c r="XAH1534" s="1276"/>
      <c r="XAI1534" s="1276"/>
      <c r="XAJ1534" s="1276"/>
      <c r="XAK1534" s="1276"/>
      <c r="XAL1534" s="1276"/>
      <c r="XAM1534" s="1276"/>
      <c r="XAN1534" s="1276"/>
      <c r="XAO1534" s="1276"/>
      <c r="XAP1534" s="1276"/>
      <c r="XAQ1534" s="1276"/>
      <c r="XAR1534" s="1276"/>
      <c r="XAS1534" s="1276"/>
      <c r="XAT1534" s="1276"/>
      <c r="XAU1534" s="1276"/>
      <c r="XAV1534" s="1276"/>
      <c r="XAW1534" s="1276"/>
      <c r="XAX1534" s="1276"/>
      <c r="XAY1534" s="1276"/>
      <c r="XAZ1534" s="1276"/>
      <c r="XBA1534" s="1276"/>
      <c r="XBB1534" s="1276"/>
      <c r="XBC1534" s="1276"/>
      <c r="XBD1534" s="1276"/>
      <c r="XBE1534" s="1276"/>
      <c r="XBF1534" s="1276"/>
      <c r="XBG1534" s="1276"/>
      <c r="XBH1534" s="1276"/>
      <c r="XBI1534" s="1276"/>
      <c r="XBJ1534" s="1276"/>
      <c r="XBK1534" s="1276"/>
      <c r="XBL1534" s="1276"/>
      <c r="XBM1534" s="1276"/>
      <c r="XBN1534" s="1276"/>
      <c r="XBO1534" s="1276"/>
      <c r="XBP1534" s="1276"/>
      <c r="XBQ1534" s="1276"/>
      <c r="XBR1534" s="1276"/>
      <c r="XBS1534" s="1276"/>
      <c r="XBT1534" s="1276"/>
      <c r="XBU1534" s="1276"/>
      <c r="XBV1534" s="1276"/>
      <c r="XBW1534" s="1276"/>
      <c r="XBX1534" s="1276"/>
      <c r="XBY1534" s="1276"/>
      <c r="XBZ1534" s="1276"/>
      <c r="XCA1534" s="1276"/>
      <c r="XCB1534" s="1276"/>
      <c r="XCC1534" s="1276"/>
      <c r="XCD1534" s="1276"/>
      <c r="XCE1534" s="1276"/>
      <c r="XCF1534" s="1276"/>
      <c r="XCG1534" s="1276"/>
      <c r="XCH1534" s="1276"/>
      <c r="XCI1534" s="1276"/>
      <c r="XCJ1534" s="1276"/>
      <c r="XCK1534" s="1276"/>
      <c r="XCL1534" s="1276"/>
      <c r="XCM1534" s="1276"/>
      <c r="XCN1534" s="1276"/>
      <c r="XCO1534" s="1276"/>
      <c r="XCP1534" s="1276"/>
      <c r="XCQ1534" s="1276"/>
      <c r="XCR1534" s="1276"/>
      <c r="XCS1534" s="1276"/>
      <c r="XCT1534" s="1276"/>
      <c r="XCU1534" s="1276"/>
      <c r="XCV1534" s="1276"/>
      <c r="XCW1534" s="1276"/>
      <c r="XCX1534" s="1276"/>
      <c r="XCY1534" s="1276"/>
      <c r="XCZ1534" s="1276"/>
      <c r="XDA1534" s="1276"/>
      <c r="XDB1534" s="1276"/>
      <c r="XDC1534" s="1276"/>
      <c r="XDD1534" s="1276"/>
      <c r="XDE1534" s="1276"/>
      <c r="XDF1534" s="1276"/>
      <c r="XDG1534" s="1276"/>
      <c r="XDH1534" s="1276"/>
      <c r="XDI1534" s="1276"/>
      <c r="XDJ1534" s="1276"/>
      <c r="XDK1534" s="1276"/>
      <c r="XDL1534" s="1276"/>
      <c r="XDM1534" s="1276"/>
      <c r="XDN1534" s="1276"/>
      <c r="XDO1534" s="1276"/>
      <c r="XDP1534" s="1276"/>
      <c r="XDQ1534" s="1276"/>
      <c r="XDR1534" s="1276"/>
      <c r="XDS1534" s="1276"/>
      <c r="XDT1534" s="1276"/>
      <c r="XDU1534" s="1276"/>
      <c r="XDV1534" s="1276"/>
      <c r="XDW1534" s="1276"/>
      <c r="XDX1534" s="1276"/>
      <c r="XDY1534" s="1276"/>
      <c r="XDZ1534" s="1276"/>
      <c r="XEA1534" s="1276"/>
      <c r="XEB1534" s="1276"/>
      <c r="XEC1534" s="1276"/>
      <c r="XED1534" s="1276"/>
      <c r="XEE1534" s="1276"/>
      <c r="XEF1534" s="1276"/>
      <c r="XEG1534" s="1276"/>
      <c r="XEH1534" s="1276"/>
      <c r="XEI1534" s="1276"/>
      <c r="XEJ1534" s="1276"/>
      <c r="XEK1534" s="1276"/>
      <c r="XEL1534" s="1276"/>
      <c r="XEM1534" s="1276"/>
      <c r="XEN1534" s="1276"/>
      <c r="XEO1534" s="1276"/>
      <c r="XEP1534" s="1276"/>
      <c r="XEQ1534" s="1276"/>
      <c r="XER1534" s="1276"/>
      <c r="XES1534" s="1276"/>
      <c r="XET1534" s="1276"/>
      <c r="XEU1534" s="1276"/>
      <c r="XEV1534" s="1276"/>
      <c r="XEW1534" s="1276"/>
      <c r="XEX1534" s="1276"/>
      <c r="XEY1534" s="1276"/>
      <c r="XEZ1534" s="1276"/>
      <c r="XFA1534" s="1276"/>
      <c r="XFB1534" s="1276"/>
      <c r="XFC1534" s="1276"/>
      <c r="XFD1534" s="1276"/>
    </row>
    <row r="1535" s="559" customFormat="1" ht="31" customHeight="1" spans="1:99 16239:16384">
      <c r="A1535" s="1022">
        <v>46206</v>
      </c>
      <c r="B1535" s="626" t="s">
        <v>2734</v>
      </c>
      <c r="C1535" s="939" t="s">
        <v>98</v>
      </c>
      <c r="D1535" s="563">
        <v>4500214754</v>
      </c>
      <c r="E1535" s="939">
        <v>60302441</v>
      </c>
      <c r="F1535" s="563" t="s">
        <v>5942</v>
      </c>
      <c r="G1535" s="939" t="s">
        <v>68</v>
      </c>
      <c r="H1535" s="939" t="s">
        <v>69</v>
      </c>
      <c r="I1535" s="1023">
        <v>3600</v>
      </c>
      <c r="J1535" s="939">
        <v>0</v>
      </c>
      <c r="K1535" s="939">
        <v>12</v>
      </c>
      <c r="L1535" s="1064">
        <f t="shared" si="492"/>
        <v>300</v>
      </c>
      <c r="M1535" s="1027">
        <v>46323</v>
      </c>
      <c r="N1535" s="1027">
        <v>46319</v>
      </c>
      <c r="O1535" s="1031"/>
      <c r="P1535" s="939"/>
      <c r="Q1535" s="999"/>
      <c r="R1535" s="999">
        <v>46225</v>
      </c>
      <c r="S1535" s="646" t="s">
        <v>70</v>
      </c>
      <c r="T1535" s="646" t="s">
        <v>5943</v>
      </c>
      <c r="U1535" s="646"/>
      <c r="V1535" s="999"/>
      <c r="W1535" s="626"/>
      <c r="X1535" s="626" t="s">
        <v>5944</v>
      </c>
      <c r="Y1535" s="1001" t="s">
        <v>2814</v>
      </c>
      <c r="Z1535" s="1076">
        <v>2.6207</v>
      </c>
      <c r="AA1535" s="1001">
        <f t="shared" si="493"/>
        <v>9434.52</v>
      </c>
      <c r="AB1535" s="563"/>
      <c r="AC1535" s="1077"/>
      <c r="AD1535" s="939" t="s">
        <v>68</v>
      </c>
      <c r="AE1535" s="939" t="s">
        <v>82</v>
      </c>
      <c r="AF1535" s="939"/>
      <c r="AG1535" s="939"/>
      <c r="AH1535" s="939"/>
      <c r="AI1535" s="609"/>
      <c r="AJ1535" s="773">
        <f t="shared" si="498"/>
        <v>-3600</v>
      </c>
      <c r="AK1535" s="939"/>
      <c r="AL1535" s="939"/>
      <c r="AM1535" s="563"/>
      <c r="AN1535" s="563">
        <f t="shared" si="497"/>
        <v>3600</v>
      </c>
      <c r="AO1535" s="563"/>
      <c r="AP1535" s="563"/>
      <c r="AQ1535" s="563"/>
      <c r="AR1535" s="563">
        <f t="shared" si="501"/>
        <v>3600</v>
      </c>
      <c r="AS1535" s="687"/>
      <c r="AT1535" s="687"/>
      <c r="AU1535" s="563">
        <f t="shared" si="499"/>
        <v>3600</v>
      </c>
      <c r="AV1535" s="687"/>
      <c r="AW1535" s="687">
        <f t="shared" si="500"/>
        <v>3600</v>
      </c>
      <c r="AX1535" s="1004"/>
      <c r="AY1535" s="563"/>
      <c r="AZ1535" s="563"/>
      <c r="BA1535" s="563"/>
      <c r="BB1535" s="563"/>
      <c r="BC1535" s="563"/>
      <c r="BD1535" s="563"/>
      <c r="BE1535" s="563"/>
      <c r="BF1535" s="563"/>
      <c r="BG1535" s="563"/>
      <c r="BH1535" s="563"/>
      <c r="BI1535" s="563"/>
      <c r="BJ1535" s="563"/>
      <c r="BK1535" s="563"/>
      <c r="BL1535" s="563"/>
      <c r="BM1535" s="563"/>
      <c r="BN1535" s="563"/>
      <c r="BO1535" s="563"/>
      <c r="BP1535" s="563"/>
      <c r="BQ1535" s="563"/>
      <c r="BR1535" s="563"/>
      <c r="BS1535" s="563"/>
      <c r="BT1535" s="563"/>
      <c r="BU1535" s="563"/>
      <c r="BV1535" s="563"/>
      <c r="BW1535" s="563"/>
      <c r="BX1535" s="563"/>
      <c r="BY1535" s="563"/>
      <c r="BZ1535" s="563"/>
      <c r="CA1535" s="563"/>
      <c r="CB1535" s="563"/>
      <c r="CC1535" s="563"/>
      <c r="CD1535" s="563"/>
      <c r="CE1535" s="563"/>
      <c r="CF1535" s="563"/>
      <c r="CG1535" s="563"/>
      <c r="CH1535" s="1015"/>
      <c r="CI1535" s="1015"/>
      <c r="CJ1535" s="1015"/>
      <c r="CK1535" s="1015"/>
      <c r="CL1535" s="1015"/>
      <c r="CM1535" s="563"/>
      <c r="CN1535" s="563"/>
      <c r="CO1535" s="563"/>
      <c r="CP1535" s="1015"/>
      <c r="CQ1535" s="1015"/>
      <c r="CR1535" s="1015"/>
      <c r="CS1535" s="1015"/>
      <c r="CT1535" s="1015"/>
      <c r="CU1535" s="1015"/>
    </row>
    <row r="1536" s="1270" customFormat="1" ht="31" customHeight="1" spans="1:99 16239:16384">
      <c r="A1536" s="1022">
        <v>46203</v>
      </c>
      <c r="B1536" s="626" t="s">
        <v>139</v>
      </c>
      <c r="C1536" s="939" t="s">
        <v>76</v>
      </c>
      <c r="D1536" s="1063">
        <v>4500208584</v>
      </c>
      <c r="E1536" s="939" t="s">
        <v>5945</v>
      </c>
      <c r="F1536" s="563" t="s">
        <v>5946</v>
      </c>
      <c r="G1536" s="939" t="s">
        <v>68</v>
      </c>
      <c r="H1536" s="939" t="s">
        <v>69</v>
      </c>
      <c r="I1536" s="1023">
        <v>132</v>
      </c>
      <c r="J1536" s="939">
        <v>0</v>
      </c>
      <c r="K1536" s="939">
        <v>12</v>
      </c>
      <c r="L1536" s="1064">
        <f t="shared" si="492"/>
        <v>11</v>
      </c>
      <c r="M1536" s="1058">
        <v>46356</v>
      </c>
      <c r="N1536" s="1058">
        <v>46352</v>
      </c>
      <c r="O1536" s="1031"/>
      <c r="P1536" s="939"/>
      <c r="Q1536" s="999"/>
      <c r="R1536" s="999">
        <v>46223</v>
      </c>
      <c r="S1536" s="999" t="s">
        <v>104</v>
      </c>
      <c r="T1536" s="999" t="s">
        <v>5947</v>
      </c>
      <c r="U1536" s="999"/>
      <c r="V1536" s="999"/>
      <c r="W1536" s="626"/>
      <c r="X1536" s="626" t="s">
        <v>5948</v>
      </c>
      <c r="Y1536" s="1001" t="s">
        <v>3206</v>
      </c>
      <c r="Z1536" s="1076">
        <v>4.4711</v>
      </c>
      <c r="AA1536" s="1001">
        <f t="shared" si="493"/>
        <v>590.1852</v>
      </c>
      <c r="AB1536" s="563"/>
      <c r="AC1536" s="1077"/>
      <c r="AD1536" s="939" t="s">
        <v>68</v>
      </c>
      <c r="AE1536" s="939" t="s">
        <v>82</v>
      </c>
      <c r="AF1536" s="939"/>
      <c r="AG1536" s="939"/>
      <c r="AH1536" s="939"/>
      <c r="AI1536" s="609"/>
      <c r="AJ1536" s="939">
        <f t="shared" si="498"/>
        <v>-132</v>
      </c>
      <c r="AK1536" s="939"/>
      <c r="AL1536" s="939" t="s">
        <v>2368</v>
      </c>
      <c r="AM1536" s="563"/>
      <c r="AN1536" s="563">
        <f t="shared" si="497"/>
        <v>132</v>
      </c>
      <c r="AO1536" s="563"/>
      <c r="AP1536" s="563"/>
      <c r="AQ1536" s="563"/>
      <c r="AR1536" s="563">
        <f t="shared" si="501"/>
        <v>132</v>
      </c>
      <c r="AS1536" s="563"/>
      <c r="AT1536" s="563"/>
      <c r="AU1536" s="563">
        <f t="shared" si="499"/>
        <v>132</v>
      </c>
      <c r="AV1536" s="563"/>
      <c r="AW1536" s="563">
        <f t="shared" si="500"/>
        <v>132</v>
      </c>
      <c r="AX1536" s="1004"/>
      <c r="AY1536" s="563"/>
      <c r="AZ1536" s="563"/>
      <c r="BA1536" s="563"/>
      <c r="BB1536" s="563"/>
      <c r="BC1536" s="563"/>
      <c r="BD1536" s="563"/>
      <c r="BE1536" s="563"/>
      <c r="BF1536" s="563"/>
      <c r="BG1536" s="563"/>
      <c r="BH1536" s="563"/>
      <c r="BI1536" s="563"/>
      <c r="BJ1536" s="563"/>
      <c r="BK1536" s="563"/>
      <c r="BL1536" s="563"/>
      <c r="BM1536" s="563"/>
      <c r="BN1536" s="563"/>
      <c r="BO1536" s="563"/>
      <c r="BP1536" s="563"/>
      <c r="BQ1536" s="563"/>
      <c r="BR1536" s="563"/>
      <c r="BS1536" s="563"/>
      <c r="BT1536" s="563"/>
      <c r="BU1536" s="563"/>
      <c r="BV1536" s="563"/>
      <c r="BW1536" s="563"/>
      <c r="BX1536" s="563"/>
      <c r="BY1536" s="563"/>
      <c r="BZ1536" s="563"/>
      <c r="CA1536" s="563"/>
      <c r="CB1536" s="563"/>
      <c r="CC1536" s="563"/>
      <c r="CD1536" s="563"/>
      <c r="CE1536" s="563"/>
      <c r="CF1536" s="563"/>
      <c r="CG1536" s="563"/>
      <c r="CH1536" s="1015"/>
      <c r="CI1536" s="1015"/>
      <c r="CJ1536" s="1015"/>
      <c r="CK1536" s="1015"/>
      <c r="CL1536" s="1015"/>
      <c r="CM1536" s="563"/>
      <c r="CN1536" s="563"/>
      <c r="CO1536" s="563"/>
      <c r="CP1536" s="1015"/>
      <c r="CQ1536" s="1015"/>
      <c r="CR1536" s="1015"/>
      <c r="CS1536" s="1015"/>
      <c r="CT1536" s="1015"/>
      <c r="CU1536" s="1015"/>
    </row>
    <row r="1537" s="1270" customFormat="1" ht="31" customHeight="1" spans="1:99">
      <c r="A1537" s="1022">
        <v>46203</v>
      </c>
      <c r="B1537" s="626" t="s">
        <v>135</v>
      </c>
      <c r="C1537" s="939" t="s">
        <v>128</v>
      </c>
      <c r="D1537" s="1063">
        <v>4500208581</v>
      </c>
      <c r="E1537" s="939" t="s">
        <v>5949</v>
      </c>
      <c r="F1537" s="563" t="s">
        <v>5950</v>
      </c>
      <c r="G1537" s="939" t="s">
        <v>68</v>
      </c>
      <c r="H1537" s="939" t="s">
        <v>69</v>
      </c>
      <c r="I1537" s="1023">
        <v>1368</v>
      </c>
      <c r="J1537" s="939">
        <v>0</v>
      </c>
      <c r="K1537" s="939">
        <v>12</v>
      </c>
      <c r="L1537" s="1064">
        <f t="shared" si="492"/>
        <v>114</v>
      </c>
      <c r="M1537" s="1058">
        <v>46356</v>
      </c>
      <c r="N1537" s="1058">
        <v>46352</v>
      </c>
      <c r="O1537" s="1031"/>
      <c r="P1537" s="939"/>
      <c r="Q1537" s="999"/>
      <c r="R1537" s="999">
        <v>46223</v>
      </c>
      <c r="S1537" s="999" t="s">
        <v>104</v>
      </c>
      <c r="T1537" s="999" t="s">
        <v>5951</v>
      </c>
      <c r="U1537" s="999"/>
      <c r="V1537" s="999"/>
      <c r="W1537" s="626"/>
      <c r="X1537" s="626" t="s">
        <v>5952</v>
      </c>
      <c r="Y1537" s="1001" t="s">
        <v>3206</v>
      </c>
      <c r="Z1537" s="1076">
        <v>4.4759</v>
      </c>
      <c r="AA1537" s="1001">
        <f t="shared" si="493"/>
        <v>6123.0312</v>
      </c>
      <c r="AB1537" s="563"/>
      <c r="AC1537" s="1077"/>
      <c r="AD1537" s="939" t="s">
        <v>68</v>
      </c>
      <c r="AE1537" s="939" t="s">
        <v>82</v>
      </c>
      <c r="AF1537" s="939"/>
      <c r="AG1537" s="939"/>
      <c r="AH1537" s="939"/>
      <c r="AI1537" s="609"/>
      <c r="AJ1537" s="939">
        <f t="shared" si="498"/>
        <v>-1368</v>
      </c>
      <c r="AK1537" s="939"/>
      <c r="AL1537" s="939" t="s">
        <v>2368</v>
      </c>
      <c r="AM1537" s="563"/>
      <c r="AN1537" s="563">
        <f t="shared" si="497"/>
        <v>1368</v>
      </c>
      <c r="AO1537" s="563"/>
      <c r="AP1537" s="563"/>
      <c r="AQ1537" s="563"/>
      <c r="AR1537" s="563">
        <f t="shared" si="501"/>
        <v>1368</v>
      </c>
      <c r="AS1537" s="563"/>
      <c r="AT1537" s="563"/>
      <c r="AU1537" s="563">
        <f t="shared" si="499"/>
        <v>1368</v>
      </c>
      <c r="AV1537" s="563"/>
      <c r="AW1537" s="563">
        <f t="shared" si="500"/>
        <v>1368</v>
      </c>
      <c r="AX1537" s="1004"/>
      <c r="AY1537" s="563"/>
      <c r="AZ1537" s="563"/>
      <c r="BA1537" s="563"/>
      <c r="BB1537" s="563"/>
      <c r="BC1537" s="563"/>
      <c r="BD1537" s="563"/>
      <c r="BE1537" s="563"/>
      <c r="BF1537" s="563"/>
      <c r="BG1537" s="563"/>
      <c r="BH1537" s="563"/>
      <c r="BI1537" s="563"/>
      <c r="BJ1537" s="563"/>
      <c r="BK1537" s="563"/>
      <c r="BL1537" s="563"/>
      <c r="BM1537" s="563"/>
      <c r="BN1537" s="563"/>
      <c r="BO1537" s="563"/>
      <c r="BP1537" s="563"/>
      <c r="BQ1537" s="563"/>
      <c r="BR1537" s="563"/>
      <c r="BS1537" s="563"/>
      <c r="BT1537" s="563"/>
      <c r="BU1537" s="563"/>
      <c r="BV1537" s="563"/>
      <c r="BW1537" s="563"/>
      <c r="BX1537" s="563"/>
      <c r="BY1537" s="563"/>
      <c r="BZ1537" s="563"/>
      <c r="CA1537" s="563"/>
      <c r="CB1537" s="563"/>
      <c r="CC1537" s="563"/>
      <c r="CD1537" s="563"/>
      <c r="CE1537" s="563"/>
      <c r="CF1537" s="563"/>
      <c r="CG1537" s="563"/>
      <c r="CH1537" s="1015"/>
      <c r="CI1537" s="1015"/>
      <c r="CJ1537" s="1015"/>
      <c r="CK1537" s="1015"/>
      <c r="CL1537" s="1015"/>
      <c r="CM1537" s="563"/>
      <c r="CN1537" s="563"/>
      <c r="CO1537" s="563"/>
      <c r="CP1537" s="1015"/>
      <c r="CQ1537" s="1015"/>
      <c r="CR1537" s="1015"/>
      <c r="CS1537" s="1015"/>
      <c r="CT1537" s="1015"/>
      <c r="CU1537" s="1015"/>
    </row>
    <row r="1538" s="559" customFormat="1" ht="31" customHeight="1" spans="1:99">
      <c r="A1538" s="1022"/>
      <c r="B1538" s="626"/>
      <c r="C1538" s="939"/>
      <c r="D1538" s="563"/>
      <c r="E1538" s="939"/>
      <c r="F1538" s="563"/>
      <c r="G1538" s="939"/>
      <c r="H1538" s="939"/>
      <c r="I1538" s="1023"/>
      <c r="J1538" s="939"/>
      <c r="K1538" s="939"/>
      <c r="L1538" s="1064"/>
      <c r="M1538" s="1027"/>
      <c r="N1538" s="1027"/>
      <c r="O1538" s="1031"/>
      <c r="P1538" s="939"/>
      <c r="Q1538" s="999"/>
      <c r="R1538" s="999"/>
      <c r="S1538" s="646"/>
      <c r="T1538" s="646"/>
      <c r="U1538" s="646"/>
      <c r="V1538" s="999"/>
      <c r="W1538" s="626"/>
      <c r="X1538" s="626"/>
      <c r="Y1538" s="1001"/>
      <c r="Z1538" s="1076"/>
      <c r="AA1538" s="1001"/>
      <c r="AB1538" s="563"/>
      <c r="AC1538" s="1077"/>
      <c r="AD1538" s="939"/>
      <c r="AE1538" s="939"/>
      <c r="AF1538" s="939"/>
      <c r="AG1538" s="939"/>
      <c r="AH1538" s="939"/>
      <c r="AI1538" s="609"/>
      <c r="AJ1538" s="773"/>
      <c r="AK1538" s="939"/>
      <c r="AL1538" s="939"/>
      <c r="AM1538" s="563"/>
      <c r="AN1538" s="563"/>
      <c r="AO1538" s="563"/>
      <c r="AP1538" s="563"/>
      <c r="AQ1538" s="563"/>
      <c r="AR1538" s="563"/>
      <c r="AS1538" s="687"/>
      <c r="AT1538" s="687"/>
      <c r="AU1538" s="563"/>
      <c r="AV1538" s="687"/>
      <c r="AW1538" s="687"/>
      <c r="AX1538" s="1004"/>
      <c r="AY1538" s="1033"/>
      <c r="AZ1538" s="563"/>
      <c r="BA1538" s="563"/>
      <c r="BB1538" s="563"/>
      <c r="BC1538" s="563"/>
      <c r="BD1538" s="563"/>
      <c r="BE1538" s="563"/>
      <c r="BF1538" s="563"/>
      <c r="BG1538" s="563"/>
      <c r="BH1538" s="563"/>
      <c r="BI1538" s="563"/>
      <c r="BJ1538" s="563"/>
      <c r="BK1538" s="563"/>
      <c r="BL1538" s="563"/>
      <c r="BM1538" s="563"/>
      <c r="BN1538" s="563"/>
      <c r="BO1538" s="563"/>
      <c r="BP1538" s="563"/>
      <c r="BQ1538" s="563"/>
      <c r="BR1538" s="563"/>
      <c r="BS1538" s="563"/>
      <c r="BT1538" s="563"/>
      <c r="BU1538" s="563"/>
      <c r="BV1538" s="563"/>
      <c r="BW1538" s="563"/>
      <c r="BX1538" s="563"/>
      <c r="BY1538" s="563"/>
      <c r="BZ1538" s="563"/>
      <c r="CA1538" s="563"/>
      <c r="CB1538" s="563"/>
      <c r="CC1538" s="563"/>
      <c r="CD1538" s="563"/>
      <c r="CE1538" s="563"/>
      <c r="CF1538" s="563"/>
      <c r="CG1538" s="563"/>
      <c r="CH1538" s="1015"/>
      <c r="CI1538" s="1015"/>
      <c r="CJ1538" s="1015"/>
      <c r="CK1538" s="1015"/>
      <c r="CL1538" s="1015"/>
      <c r="CM1538" s="563"/>
      <c r="CN1538" s="563"/>
      <c r="CO1538" s="563"/>
      <c r="CP1538" s="1015"/>
      <c r="CQ1538" s="1015"/>
      <c r="CR1538" s="1015"/>
      <c r="CS1538" s="1015"/>
      <c r="CT1538" s="1015"/>
      <c r="CU1538" s="1015"/>
    </row>
    <row r="1539" s="554" customFormat="1" ht="31" customHeight="1" spans="1:99">
      <c r="A1539" s="1344"/>
      <c r="B1539" s="609"/>
      <c r="C1539" s="610"/>
      <c r="E1539" s="610"/>
      <c r="F1539" s="610"/>
      <c r="G1539" s="1315"/>
      <c r="H1539" s="610"/>
      <c r="I1539" s="610"/>
      <c r="J1539" s="610"/>
      <c r="K1539" s="610"/>
      <c r="L1539" s="611"/>
      <c r="M1539" s="612"/>
      <c r="N1539" s="612"/>
      <c r="O1539" s="613"/>
      <c r="P1539" s="613"/>
      <c r="Q1539" s="610"/>
      <c r="R1539" s="614"/>
      <c r="S1539" s="614"/>
      <c r="T1539" s="614"/>
      <c r="U1539" s="614"/>
      <c r="V1539" s="614"/>
      <c r="W1539" s="614"/>
      <c r="X1539" s="554"/>
      <c r="Y1539" s="612"/>
      <c r="Z1539" s="1410"/>
      <c r="AA1539" s="616"/>
      <c r="AC1539" s="617"/>
      <c r="AD1539" s="610"/>
      <c r="AE1539" s="610"/>
      <c r="AF1539" s="610"/>
      <c r="AG1539" s="610"/>
      <c r="AH1539" s="1265"/>
      <c r="AI1539" s="1308"/>
      <c r="AJ1539" s="773"/>
      <c r="AK1539" s="610"/>
      <c r="AL1539" s="633"/>
      <c r="AM1539" s="610"/>
      <c r="AY1539" s="721"/>
    </row>
    <row r="1540" s="554" customFormat="1" ht="31" customHeight="1" spans="1:99">
      <c r="A1540" s="1344"/>
      <c r="B1540" s="609"/>
      <c r="C1540" s="610"/>
      <c r="E1540" s="610"/>
      <c r="F1540" s="610"/>
      <c r="G1540" s="1012"/>
      <c r="H1540" s="610"/>
      <c r="I1540" s="610"/>
      <c r="J1540" s="610"/>
      <c r="K1540" s="610"/>
      <c r="L1540" s="611"/>
      <c r="M1540" s="612"/>
      <c r="N1540" s="612"/>
      <c r="O1540" s="613"/>
      <c r="P1540" s="613"/>
      <c r="Q1540" s="610"/>
      <c r="R1540" s="614"/>
      <c r="S1540" s="614"/>
      <c r="T1540" s="614"/>
      <c r="U1540" s="614"/>
      <c r="V1540" s="614"/>
      <c r="W1540" s="614"/>
      <c r="X1540" s="554"/>
      <c r="Y1540" s="612"/>
      <c r="Z1540" s="625"/>
      <c r="AA1540" s="616"/>
      <c r="AC1540" s="617"/>
      <c r="AD1540" s="610"/>
      <c r="AE1540" s="610"/>
      <c r="AF1540" s="610"/>
      <c r="AG1540" s="610"/>
      <c r="AH1540" s="1265"/>
      <c r="AI1540" s="1308"/>
      <c r="AJ1540" s="773"/>
      <c r="AK1540" s="610"/>
      <c r="AL1540" s="633"/>
      <c r="AM1540" s="610"/>
      <c r="AY1540" s="721"/>
    </row>
    <row r="1541" spans="1:99">
      <c r="AB1541" s="559"/>
      <c r="AC1541" s="1411"/>
    </row>
    <row r="1542" spans="1:99">
      <c r="C1542" s="547"/>
      <c r="G1542" s="687" t="s">
        <v>5953</v>
      </c>
      <c r="I1542" s="548">
        <f>SUM(I2:I1541)</f>
        <v>3867644</v>
      </c>
      <c r="J1542" s="547"/>
      <c r="K1542" s="547"/>
      <c r="L1542" s="547"/>
      <c r="M1542" s="547"/>
      <c r="N1542" s="547"/>
      <c r="O1542" s="547"/>
      <c r="P1542" s="547"/>
      <c r="Q1542" s="547"/>
      <c r="R1542" s="547"/>
      <c r="S1542" s="547"/>
      <c r="T1542" s="547"/>
      <c r="U1542" s="547"/>
      <c r="V1542" s="547"/>
      <c r="W1542" s="547"/>
      <c r="Z1542" s="571"/>
      <c r="AA1542" s="572"/>
      <c r="AB1542" s="559"/>
      <c r="AC1542" s="1251"/>
      <c r="AD1542" s="550"/>
      <c r="AE1542" s="550"/>
      <c r="AF1542" s="550"/>
      <c r="AG1542" s="547"/>
      <c r="AJ1542" s="574"/>
      <c r="AK1542" s="575"/>
      <c r="AL1542" s="553" t="s">
        <v>5954</v>
      </c>
      <c r="AM1542" s="575"/>
      <c r="AN1542" s="548">
        <f t="shared" ref="AN1542:AW1542" si="502">SUM(AN2:AN1541)</f>
        <v>2859384</v>
      </c>
      <c r="AO1542" s="548">
        <f t="shared" si="502"/>
        <v>245400</v>
      </c>
      <c r="AP1542" s="548">
        <f t="shared" si="502"/>
        <v>716432</v>
      </c>
      <c r="AQ1542" s="548">
        <f t="shared" si="502"/>
        <v>31950</v>
      </c>
      <c r="AR1542" s="548">
        <f t="shared" si="502"/>
        <v>1940480</v>
      </c>
      <c r="AS1542" s="548">
        <f t="shared" si="502"/>
        <v>808210</v>
      </c>
      <c r="AT1542" s="548">
        <f t="shared" si="502"/>
        <v>21158</v>
      </c>
      <c r="AU1542" s="548">
        <f t="shared" si="502"/>
        <v>2546852</v>
      </c>
      <c r="AV1542" s="548">
        <f t="shared" si="502"/>
        <v>226170</v>
      </c>
      <c r="AW1542" s="548">
        <f t="shared" si="502"/>
        <v>3330293.33333333</v>
      </c>
      <c r="AX1542" s="548"/>
      <c r="AY1542" s="548">
        <f>SUM(AY2:AY1541)</f>
        <v>18780</v>
      </c>
      <c r="AZ1542" s="548"/>
      <c r="BA1542" s="548">
        <f t="shared" ref="BA1542:BW1542" si="503">SUM(BA2:BA1541)</f>
        <v>288150</v>
      </c>
      <c r="BB1542" s="548">
        <f t="shared" si="503"/>
        <v>288150</v>
      </c>
      <c r="BC1542" s="548">
        <f t="shared" si="503"/>
        <v>288150</v>
      </c>
      <c r="BD1542" s="548">
        <f t="shared" si="503"/>
        <v>97936</v>
      </c>
      <c r="BE1542" s="548">
        <f t="shared" si="503"/>
        <v>98440</v>
      </c>
      <c r="BF1542" s="548">
        <f t="shared" si="503"/>
        <v>716432</v>
      </c>
      <c r="BG1542" s="548">
        <f t="shared" si="503"/>
        <v>716432</v>
      </c>
      <c r="BH1542" s="548">
        <f t="shared" si="503"/>
        <v>448849</v>
      </c>
      <c r="BI1542" s="548">
        <f t="shared" si="503"/>
        <v>67620</v>
      </c>
      <c r="BJ1542" s="548">
        <f t="shared" si="503"/>
        <v>2319</v>
      </c>
      <c r="BK1542" s="548">
        <f t="shared" si="503"/>
        <v>277800</v>
      </c>
      <c r="BL1542" s="548">
        <f t="shared" si="503"/>
        <v>55560</v>
      </c>
      <c r="BM1542" s="1254">
        <f t="shared" si="503"/>
        <v>104538</v>
      </c>
      <c r="BN1542" s="548">
        <f t="shared" si="503"/>
        <v>483424</v>
      </c>
      <c r="BO1542" s="548">
        <f t="shared" si="503"/>
        <v>80</v>
      </c>
      <c r="BP1542" s="548">
        <f t="shared" si="503"/>
        <v>0</v>
      </c>
      <c r="BQ1542" s="548">
        <f t="shared" si="503"/>
        <v>0</v>
      </c>
      <c r="BR1542" s="548">
        <f t="shared" si="503"/>
        <v>0</v>
      </c>
      <c r="BS1542" s="548">
        <f t="shared" si="503"/>
        <v>0</v>
      </c>
      <c r="BT1542" s="548">
        <f t="shared" si="503"/>
        <v>0</v>
      </c>
      <c r="BU1542" s="548">
        <f t="shared" si="503"/>
        <v>0</v>
      </c>
      <c r="BV1542" s="548">
        <f t="shared" si="503"/>
        <v>0</v>
      </c>
      <c r="BW1542" s="548">
        <f t="shared" si="503"/>
        <v>0</v>
      </c>
    </row>
    <row r="1543" spans="1:99">
      <c r="AB1543" s="559"/>
      <c r="AC1543" s="1411"/>
    </row>
    <row r="1544" spans="1:99">
      <c r="AB1544" s="559"/>
      <c r="AC1544" s="1411"/>
    </row>
    <row r="1545" spans="1:99">
      <c r="AB1545" s="559"/>
      <c r="AC1545" s="1411"/>
    </row>
    <row r="1546" spans="1:99">
      <c r="AB1546" s="559"/>
      <c r="AC1546" s="1411"/>
    </row>
    <row r="1547" spans="1:99">
      <c r="AB1547" s="559"/>
      <c r="AC1547" s="1411"/>
    </row>
    <row r="1548" spans="1:99">
      <c r="J1548" s="559" t="s">
        <v>2583</v>
      </c>
      <c r="AB1548" s="559"/>
      <c r="AC1548" s="1411"/>
    </row>
    <row r="1549" spans="1:99">
      <c r="AB1549" s="559"/>
      <c r="AC1549" s="1411"/>
    </row>
    <row r="1550" s="1276" customFormat="1" spans="1:99">
      <c r="AC1550" s="1412"/>
    </row>
    <row r="1551" s="1276" customFormat="1" spans="1:99">
      <c r="AC1551" s="1412"/>
    </row>
    <row r="1552" s="1276" customFormat="1" spans="1:99">
      <c r="AC1552" s="1412"/>
    </row>
    <row r="1553" s="1276" customFormat="1" spans="19:40">
      <c r="AC1553" s="1412"/>
    </row>
    <row r="1554" s="1276" customFormat="1" spans="19:40">
      <c r="AC1554" s="1412"/>
    </row>
    <row r="1555" s="1276" customFormat="1" spans="19:40">
      <c r="AC1555" s="1412"/>
    </row>
    <row r="1556" s="1276" customFormat="1" spans="19:40">
      <c r="AC1556" s="1412"/>
    </row>
    <row r="1557" s="1276" customFormat="1" spans="19:40">
      <c r="AC1557" s="1412"/>
    </row>
    <row r="1558" s="1276" customFormat="1" spans="19:40">
      <c r="AC1558" s="1412"/>
    </row>
    <row r="1559" s="1276" customFormat="1" spans="19:40">
      <c r="AC1559" s="1412"/>
    </row>
    <row r="1560" s="1276" customFormat="1" spans="19:40">
      <c r="AC1560" s="1412"/>
    </row>
    <row r="1561" s="1276" customFormat="1" spans="19:40">
      <c r="S1561" s="1394"/>
      <c r="AC1561" s="1412"/>
    </row>
    <row r="1562" s="1276" customFormat="1" spans="19:40">
      <c r="AC1562" s="1412"/>
      <c r="AN1562" s="687"/>
    </row>
    <row r="1563" s="1276" customFormat="1" spans="19:40">
      <c r="AC1563" s="1412"/>
    </row>
    <row r="1564" s="1276" customFormat="1" spans="19:40">
      <c r="AC1564" s="1412"/>
    </row>
    <row r="1565" s="1276" customFormat="1" spans="19:40">
      <c r="AC1565" s="1412"/>
    </row>
    <row r="1566" s="1276" customFormat="1" spans="19:40">
      <c r="AC1566" s="1412"/>
    </row>
    <row r="1567" spans="19:40">
      <c r="AC1567" s="1411"/>
    </row>
    <row r="1568" spans="19:40">
      <c r="AC1568" s="1411"/>
    </row>
    <row r="1569" spans="29:29">
      <c r="AC1569" s="1411"/>
    </row>
    <row r="1570" spans="29:29">
      <c r="AC1570" s="1411"/>
    </row>
    <row r="1571" spans="29:29">
      <c r="AC1571" s="1411"/>
    </row>
    <row r="1572" spans="29:29">
      <c r="AC1572" s="1411"/>
    </row>
    <row r="1573" spans="29:29">
      <c r="AC1573" s="1411"/>
    </row>
    <row r="1574" spans="29:29">
      <c r="AC1574" s="1411"/>
    </row>
    <row r="1575" spans="29:29">
      <c r="AC1575" s="1411"/>
    </row>
    <row r="1576" spans="29:29">
      <c r="AC1576" s="1411"/>
    </row>
    <row r="1577" spans="29:29">
      <c r="AC1577" s="1411"/>
    </row>
    <row r="1578" spans="29:29">
      <c r="AC1578" s="1411"/>
    </row>
    <row r="1579" spans="29:29">
      <c r="AC1579" s="1411"/>
    </row>
    <row r="1580" spans="29:29">
      <c r="AC1580" s="1411"/>
    </row>
    <row r="1581" spans="29:29">
      <c r="AC1581" s="1411"/>
    </row>
    <row r="1582" spans="29:29">
      <c r="AC1582" s="1411"/>
    </row>
    <row r="1583" ht="16.05" customHeight="1" spans="29:29">
      <c r="AC1583" s="1411"/>
    </row>
  </sheetData>
  <sheetProtection formatCells="0" formatColumns="0" formatRows="0" insertRows="0" insertColumns="0" insertHyperlinks="0" deleteColumns="0" deleteRows="0" sort="0" autoFilter="0" pivotTables="0"/>
  <protectedRanges>
    <protectedRange sqref="AF$1:AM$1048576" name="Range1"/>
    <protectedRange sqref="A$1:AF$1048576 AN$1:BO$1048576" name="Range2"/>
  </protectedRanges>
  <autoFilter xmlns:etc="http://www.wps.cn/officeDocument/2017/etCustomData" ref="A1:XFD1583" etc:filterBottomFollowUsedRange="1">
    <extLst/>
  </autoFilter>
  <sortState ref="AI2:AJ1496">
    <sortCondition ref="AI1379"/>
  </sortState>
  <mergeCells count="15">
    <mergeCell ref="X164:X165"/>
    <mergeCell ref="X178:X179"/>
    <mergeCell ref="X202:X203"/>
    <mergeCell ref="X204:X205"/>
    <mergeCell ref="X216:X217"/>
    <mergeCell ref="X363:X364"/>
    <mergeCell ref="X377:X378"/>
    <mergeCell ref="X379:X380"/>
    <mergeCell ref="X381:X382"/>
    <mergeCell ref="X390:X391"/>
    <mergeCell ref="X392:X393"/>
    <mergeCell ref="X397:X398"/>
    <mergeCell ref="X399:X400"/>
    <mergeCell ref="X401:X402"/>
    <mergeCell ref="X403:X404"/>
  </mergeCells>
  <conditionalFormatting sqref="R1:W1">
    <cfRule type="cellIs" dxfId="0" priority="13729" operator="equal">
      <formula>"欠"</formula>
    </cfRule>
  </conditionalFormatting>
  <conditionalFormatting sqref="AD1">
    <cfRule type="cellIs" dxfId="0" priority="12502" operator="equal">
      <formula>"未完成"</formula>
    </cfRule>
  </conditionalFormatting>
  <conditionalFormatting sqref="AE1:AF1">
    <cfRule type="cellIs" dxfId="0" priority="13696" operator="equal">
      <formula>"未完成"</formula>
    </cfRule>
  </conditionalFormatting>
  <conditionalFormatting sqref="AI1:AM1">
    <cfRule type="cellIs" dxfId="1" priority="13727" operator="equal">
      <formula>"未完成"</formula>
    </cfRule>
    <cfRule type="cellIs" dxfId="0" priority="13728" operator="equal">
      <formula>"未完成"</formula>
    </cfRule>
  </conditionalFormatting>
  <conditionalFormatting sqref="S2">
    <cfRule type="cellIs" dxfId="0" priority="13693" operator="equal">
      <formula>"欠"</formula>
    </cfRule>
  </conditionalFormatting>
  <conditionalFormatting sqref="AG2">
    <cfRule type="cellIs" dxfId="0" priority="12397" operator="equal">
      <formula>"未完成"</formula>
    </cfRule>
  </conditionalFormatting>
  <conditionalFormatting sqref="AH2">
    <cfRule type="cellIs" dxfId="0" priority="7371" operator="equal">
      <formula>"未完成"</formula>
    </cfRule>
  </conditionalFormatting>
  <conditionalFormatting sqref="S3">
    <cfRule type="cellIs" dxfId="0" priority="12348" operator="equal">
      <formula>"欠"</formula>
    </cfRule>
  </conditionalFormatting>
  <conditionalFormatting sqref="AG3">
    <cfRule type="cellIs" dxfId="0" priority="12336" operator="equal">
      <formula>"未完成"</formula>
    </cfRule>
  </conditionalFormatting>
  <conditionalFormatting sqref="AH3">
    <cfRule type="cellIs" dxfId="0" priority="7370" operator="equal">
      <formula>"未完成"</formula>
    </cfRule>
  </conditionalFormatting>
  <conditionalFormatting sqref="AL3:AM3">
    <cfRule type="cellIs" dxfId="1" priority="12372" operator="equal">
      <formula>"未完成"</formula>
    </cfRule>
    <cfRule type="cellIs" dxfId="0" priority="12384" operator="equal">
      <formula>"未完成"</formula>
    </cfRule>
  </conditionalFormatting>
  <conditionalFormatting sqref="S4">
    <cfRule type="cellIs" dxfId="0" priority="12347" operator="equal">
      <formula>"欠"</formula>
    </cfRule>
  </conditionalFormatting>
  <conditionalFormatting sqref="AG4">
    <cfRule type="cellIs" dxfId="0" priority="12335" operator="equal">
      <formula>"未完成"</formula>
    </cfRule>
  </conditionalFormatting>
  <conditionalFormatting sqref="AH4">
    <cfRule type="cellIs" dxfId="0" priority="7369" operator="equal">
      <formula>"未完成"</formula>
    </cfRule>
  </conditionalFormatting>
  <conditionalFormatting sqref="AL4:AM4">
    <cfRule type="cellIs" dxfId="1" priority="12371" operator="equal">
      <formula>"未完成"</formula>
    </cfRule>
    <cfRule type="cellIs" dxfId="0" priority="12383" operator="equal">
      <formula>"未完成"</formula>
    </cfRule>
  </conditionalFormatting>
  <conditionalFormatting sqref="S5">
    <cfRule type="cellIs" dxfId="0" priority="12346" operator="equal">
      <formula>"欠"</formula>
    </cfRule>
  </conditionalFormatting>
  <conditionalFormatting sqref="AG5">
    <cfRule type="cellIs" dxfId="0" priority="12334" operator="equal">
      <formula>"未完成"</formula>
    </cfRule>
  </conditionalFormatting>
  <conditionalFormatting sqref="AH5">
    <cfRule type="cellIs" dxfId="0" priority="7368" operator="equal">
      <formula>"未完成"</formula>
    </cfRule>
  </conditionalFormatting>
  <conditionalFormatting sqref="AL5:AM5">
    <cfRule type="cellIs" dxfId="1" priority="12370" operator="equal">
      <formula>"未完成"</formula>
    </cfRule>
    <cfRule type="cellIs" dxfId="0" priority="12382" operator="equal">
      <formula>"未完成"</formula>
    </cfRule>
  </conditionalFormatting>
  <conditionalFormatting sqref="S6">
    <cfRule type="cellIs" dxfId="0" priority="12345" operator="equal">
      <formula>"欠"</formula>
    </cfRule>
  </conditionalFormatting>
  <conditionalFormatting sqref="AG6">
    <cfRule type="cellIs" dxfId="0" priority="12333" operator="equal">
      <formula>"未完成"</formula>
    </cfRule>
  </conditionalFormatting>
  <conditionalFormatting sqref="AH6">
    <cfRule type="cellIs" dxfId="0" priority="7367" operator="equal">
      <formula>"未完成"</formula>
    </cfRule>
  </conditionalFormatting>
  <conditionalFormatting sqref="AL6:AM6">
    <cfRule type="cellIs" dxfId="1" priority="12369" operator="equal">
      <formula>"未完成"</formula>
    </cfRule>
    <cfRule type="cellIs" dxfId="0" priority="12381" operator="equal">
      <formula>"未完成"</formula>
    </cfRule>
  </conditionalFormatting>
  <conditionalFormatting sqref="S7">
    <cfRule type="cellIs" dxfId="0" priority="12344" operator="equal">
      <formula>"欠"</formula>
    </cfRule>
  </conditionalFormatting>
  <conditionalFormatting sqref="AG7">
    <cfRule type="cellIs" dxfId="0" priority="12332" operator="equal">
      <formula>"未完成"</formula>
    </cfRule>
  </conditionalFormatting>
  <conditionalFormatting sqref="AH7">
    <cfRule type="cellIs" dxfId="0" priority="7366" operator="equal">
      <formula>"未完成"</formula>
    </cfRule>
  </conditionalFormatting>
  <conditionalFormatting sqref="AL7:AM7">
    <cfRule type="cellIs" dxfId="1" priority="12368" operator="equal">
      <formula>"未完成"</formula>
    </cfRule>
    <cfRule type="cellIs" dxfId="0" priority="12380" operator="equal">
      <formula>"未完成"</formula>
    </cfRule>
  </conditionalFormatting>
  <conditionalFormatting sqref="S8">
    <cfRule type="cellIs" dxfId="0" priority="12343" operator="equal">
      <formula>"欠"</formula>
    </cfRule>
  </conditionalFormatting>
  <conditionalFormatting sqref="AG8">
    <cfRule type="cellIs" dxfId="0" priority="12331" operator="equal">
      <formula>"未完成"</formula>
    </cfRule>
  </conditionalFormatting>
  <conditionalFormatting sqref="AH8">
    <cfRule type="cellIs" dxfId="0" priority="7365" operator="equal">
      <formula>"未完成"</formula>
    </cfRule>
  </conditionalFormatting>
  <conditionalFormatting sqref="AL8:AM8">
    <cfRule type="cellIs" dxfId="1" priority="12367" operator="equal">
      <formula>"未完成"</formula>
    </cfRule>
    <cfRule type="cellIs" dxfId="0" priority="12379" operator="equal">
      <formula>"未完成"</formula>
    </cfRule>
  </conditionalFormatting>
  <conditionalFormatting sqref="S9">
    <cfRule type="cellIs" dxfId="0" priority="12342" operator="equal">
      <formula>"欠"</formula>
    </cfRule>
  </conditionalFormatting>
  <conditionalFormatting sqref="AG9">
    <cfRule type="cellIs" dxfId="0" priority="12330" operator="equal">
      <formula>"未完成"</formula>
    </cfRule>
  </conditionalFormatting>
  <conditionalFormatting sqref="AH9">
    <cfRule type="cellIs" dxfId="0" priority="7364" operator="equal">
      <formula>"未完成"</formula>
    </cfRule>
  </conditionalFormatting>
  <conditionalFormatting sqref="AL9:AM9">
    <cfRule type="cellIs" dxfId="1" priority="12366" operator="equal">
      <formula>"未完成"</formula>
    </cfRule>
    <cfRule type="cellIs" dxfId="0" priority="12378" operator="equal">
      <formula>"未完成"</formula>
    </cfRule>
  </conditionalFormatting>
  <conditionalFormatting sqref="S10">
    <cfRule type="cellIs" dxfId="0" priority="12341" operator="equal">
      <formula>"欠"</formula>
    </cfRule>
  </conditionalFormatting>
  <conditionalFormatting sqref="AG10">
    <cfRule type="cellIs" dxfId="0" priority="12329" operator="equal">
      <formula>"未完成"</formula>
    </cfRule>
  </conditionalFormatting>
  <conditionalFormatting sqref="AH10">
    <cfRule type="cellIs" dxfId="0" priority="7363" operator="equal">
      <formula>"未完成"</formula>
    </cfRule>
  </conditionalFormatting>
  <conditionalFormatting sqref="AL10:AM10">
    <cfRule type="cellIs" dxfId="1" priority="12365" operator="equal">
      <formula>"未完成"</formula>
    </cfRule>
    <cfRule type="cellIs" dxfId="0" priority="12377" operator="equal">
      <formula>"未完成"</formula>
    </cfRule>
  </conditionalFormatting>
  <conditionalFormatting sqref="S11">
    <cfRule type="cellIs" dxfId="0" priority="12340" operator="equal">
      <formula>"欠"</formula>
    </cfRule>
  </conditionalFormatting>
  <conditionalFormatting sqref="AG11">
    <cfRule type="cellIs" dxfId="0" priority="12328" operator="equal">
      <formula>"未完成"</formula>
    </cfRule>
  </conditionalFormatting>
  <conditionalFormatting sqref="AH11">
    <cfRule type="cellIs" dxfId="0" priority="7362" operator="equal">
      <formula>"未完成"</formula>
    </cfRule>
  </conditionalFormatting>
  <conditionalFormatting sqref="AL11:AM11">
    <cfRule type="cellIs" dxfId="1" priority="12364" operator="equal">
      <formula>"未完成"</formula>
    </cfRule>
    <cfRule type="cellIs" dxfId="0" priority="12376" operator="equal">
      <formula>"未完成"</formula>
    </cfRule>
  </conditionalFormatting>
  <conditionalFormatting sqref="S12">
    <cfRule type="cellIs" dxfId="0" priority="12339" operator="equal">
      <formula>"欠"</formula>
    </cfRule>
  </conditionalFormatting>
  <conditionalFormatting sqref="AG12">
    <cfRule type="cellIs" dxfId="0" priority="12327" operator="equal">
      <formula>"未完成"</formula>
    </cfRule>
  </conditionalFormatting>
  <conditionalFormatting sqref="AH12">
    <cfRule type="cellIs" dxfId="0" priority="7361" operator="equal">
      <formula>"未完成"</formula>
    </cfRule>
  </conditionalFormatting>
  <conditionalFormatting sqref="AL12:AM12">
    <cfRule type="cellIs" dxfId="1" priority="12363" operator="equal">
      <formula>"未完成"</formula>
    </cfRule>
    <cfRule type="cellIs" dxfId="0" priority="12375" operator="equal">
      <formula>"未完成"</formula>
    </cfRule>
  </conditionalFormatting>
  <conditionalFormatting sqref="S13">
    <cfRule type="cellIs" dxfId="0" priority="12338" operator="equal">
      <formula>"欠"</formula>
    </cfRule>
  </conditionalFormatting>
  <conditionalFormatting sqref="AG13">
    <cfRule type="cellIs" dxfId="0" priority="12326" operator="equal">
      <formula>"未完成"</formula>
    </cfRule>
  </conditionalFormatting>
  <conditionalFormatting sqref="AH13">
    <cfRule type="cellIs" dxfId="0" priority="7360" operator="equal">
      <formula>"未完成"</formula>
    </cfRule>
  </conditionalFormatting>
  <conditionalFormatting sqref="AL13:AM13">
    <cfRule type="cellIs" dxfId="1" priority="12362" operator="equal">
      <formula>"未完成"</formula>
    </cfRule>
    <cfRule type="cellIs" dxfId="0" priority="12374" operator="equal">
      <formula>"未完成"</formula>
    </cfRule>
  </conditionalFormatting>
  <conditionalFormatting sqref="S14">
    <cfRule type="cellIs" dxfId="0" priority="12337" operator="equal">
      <formula>"欠"</formula>
    </cfRule>
  </conditionalFormatting>
  <conditionalFormatting sqref="AG14">
    <cfRule type="cellIs" dxfId="0" priority="12325" operator="equal">
      <formula>"未完成"</formula>
    </cfRule>
  </conditionalFormatting>
  <conditionalFormatting sqref="AH14">
    <cfRule type="cellIs" dxfId="0" priority="7359" operator="equal">
      <formula>"未完成"</formula>
    </cfRule>
  </conditionalFormatting>
  <conditionalFormatting sqref="AL14:AM14">
    <cfRule type="cellIs" dxfId="1" priority="12361" operator="equal">
      <formula>"未完成"</formula>
    </cfRule>
    <cfRule type="cellIs" dxfId="0" priority="12373" operator="equal">
      <formula>"未完成"</formula>
    </cfRule>
  </conditionalFormatting>
  <conditionalFormatting sqref="S15">
    <cfRule type="cellIs" dxfId="0" priority="12304" operator="equal">
      <formula>"欠"</formula>
    </cfRule>
  </conditionalFormatting>
  <conditionalFormatting sqref="AG15">
    <cfRule type="cellIs" dxfId="0" priority="12300" operator="equal">
      <formula>"未完成"</formula>
    </cfRule>
  </conditionalFormatting>
  <conditionalFormatting sqref="AH15">
    <cfRule type="cellIs" dxfId="0" priority="7358" operator="equal">
      <formula>"未完成"</formula>
    </cfRule>
  </conditionalFormatting>
  <conditionalFormatting sqref="AL15:AM15">
    <cfRule type="cellIs" dxfId="1" priority="12312" operator="equal">
      <formula>"未完成"</formula>
    </cfRule>
    <cfRule type="cellIs" dxfId="0" priority="12316" operator="equal">
      <formula>"未完成"</formula>
    </cfRule>
  </conditionalFormatting>
  <conditionalFormatting sqref="S16">
    <cfRule type="cellIs" dxfId="0" priority="12303" operator="equal">
      <formula>"欠"</formula>
    </cfRule>
  </conditionalFormatting>
  <conditionalFormatting sqref="AG16">
    <cfRule type="cellIs" dxfId="0" priority="12299" operator="equal">
      <formula>"未完成"</formula>
    </cfRule>
  </conditionalFormatting>
  <conditionalFormatting sqref="AH16">
    <cfRule type="cellIs" dxfId="0" priority="7357" operator="equal">
      <formula>"未完成"</formula>
    </cfRule>
  </conditionalFormatting>
  <conditionalFormatting sqref="AL16:AM16">
    <cfRule type="cellIs" dxfId="1" priority="12311" operator="equal">
      <formula>"未完成"</formula>
    </cfRule>
    <cfRule type="cellIs" dxfId="0" priority="12315" operator="equal">
      <formula>"未完成"</formula>
    </cfRule>
  </conditionalFormatting>
  <conditionalFormatting sqref="S17">
    <cfRule type="cellIs" dxfId="0" priority="12302" operator="equal">
      <formula>"欠"</formula>
    </cfRule>
  </conditionalFormatting>
  <conditionalFormatting sqref="AG17">
    <cfRule type="cellIs" dxfId="0" priority="12298" operator="equal">
      <formula>"未完成"</formula>
    </cfRule>
  </conditionalFormatting>
  <conditionalFormatting sqref="AH17">
    <cfRule type="cellIs" dxfId="0" priority="7356" operator="equal">
      <formula>"未完成"</formula>
    </cfRule>
  </conditionalFormatting>
  <conditionalFormatting sqref="AL17:AM17">
    <cfRule type="cellIs" dxfId="1" priority="12310" operator="equal">
      <formula>"未完成"</formula>
    </cfRule>
    <cfRule type="cellIs" dxfId="0" priority="12314" operator="equal">
      <formula>"未完成"</formula>
    </cfRule>
  </conditionalFormatting>
  <conditionalFormatting sqref="S18">
    <cfRule type="cellIs" dxfId="0" priority="12301" operator="equal">
      <formula>"欠"</formula>
    </cfRule>
  </conditionalFormatting>
  <conditionalFormatting sqref="AL18:AM18">
    <cfRule type="cellIs" dxfId="1" priority="12309" operator="equal">
      <formula>"未完成"</formula>
    </cfRule>
    <cfRule type="cellIs" dxfId="0" priority="12313" operator="equal">
      <formula>"未完成"</formula>
    </cfRule>
  </conditionalFormatting>
  <conditionalFormatting sqref="S19">
    <cfRule type="cellIs" dxfId="0" priority="11989" operator="equal">
      <formula>"欠"</formula>
    </cfRule>
  </conditionalFormatting>
  <conditionalFormatting sqref="AL19:AM19">
    <cfRule type="cellIs" dxfId="1" priority="12023" operator="equal">
      <formula>"未完成"</formula>
    </cfRule>
    <cfRule type="cellIs" dxfId="0" priority="12040" operator="equal">
      <formula>"未完成"</formula>
    </cfRule>
  </conditionalFormatting>
  <conditionalFormatting sqref="S20">
    <cfRule type="cellIs" dxfId="0" priority="11988" operator="equal">
      <formula>"欠"</formula>
    </cfRule>
  </conditionalFormatting>
  <conditionalFormatting sqref="AG20">
    <cfRule type="cellIs" dxfId="0" priority="11971" operator="equal">
      <formula>"未完成"</formula>
    </cfRule>
  </conditionalFormatting>
  <conditionalFormatting sqref="AH20">
    <cfRule type="cellIs" dxfId="0" priority="7352" operator="equal">
      <formula>"未完成"</formula>
    </cfRule>
  </conditionalFormatting>
  <conditionalFormatting sqref="AL20:AM20">
    <cfRule type="cellIs" dxfId="1" priority="12022" operator="equal">
      <formula>"未完成"</formula>
    </cfRule>
    <cfRule type="cellIs" dxfId="0" priority="12039" operator="equal">
      <formula>"未完成"</formula>
    </cfRule>
  </conditionalFormatting>
  <conditionalFormatting sqref="S21">
    <cfRule type="cellIs" dxfId="0" priority="11987" operator="equal">
      <formula>"欠"</formula>
    </cfRule>
  </conditionalFormatting>
  <conditionalFormatting sqref="AL21:AM21">
    <cfRule type="cellIs" dxfId="1" priority="12021" operator="equal">
      <formula>"未完成"</formula>
    </cfRule>
    <cfRule type="cellIs" dxfId="0" priority="12038" operator="equal">
      <formula>"未完成"</formula>
    </cfRule>
  </conditionalFormatting>
  <conditionalFormatting sqref="S22">
    <cfRule type="cellIs" dxfId="0" priority="11986" operator="equal">
      <formula>"欠"</formula>
    </cfRule>
  </conditionalFormatting>
  <conditionalFormatting sqref="AL22:AM22">
    <cfRule type="cellIs" dxfId="1" priority="12020" operator="equal">
      <formula>"未完成"</formula>
    </cfRule>
    <cfRule type="cellIs" dxfId="0" priority="12037" operator="equal">
      <formula>"未完成"</formula>
    </cfRule>
  </conditionalFormatting>
  <conditionalFormatting sqref="S23">
    <cfRule type="cellIs" dxfId="0" priority="11985" operator="equal">
      <formula>"欠"</formula>
    </cfRule>
  </conditionalFormatting>
  <conditionalFormatting sqref="AL23:AM23">
    <cfRule type="cellIs" dxfId="1" priority="12019" operator="equal">
      <formula>"未完成"</formula>
    </cfRule>
    <cfRule type="cellIs" dxfId="0" priority="12036" operator="equal">
      <formula>"未完成"</formula>
    </cfRule>
  </conditionalFormatting>
  <conditionalFormatting sqref="S24">
    <cfRule type="cellIs" dxfId="0" priority="11984" operator="equal">
      <formula>"欠"</formula>
    </cfRule>
  </conditionalFormatting>
  <conditionalFormatting sqref="AL24:AM24">
    <cfRule type="cellIs" dxfId="1" priority="12018" operator="equal">
      <formula>"未完成"</formula>
    </cfRule>
    <cfRule type="cellIs" dxfId="0" priority="12035" operator="equal">
      <formula>"未完成"</formula>
    </cfRule>
  </conditionalFormatting>
  <conditionalFormatting sqref="S25">
    <cfRule type="cellIs" dxfId="0" priority="11983" operator="equal">
      <formula>"欠"</formula>
    </cfRule>
  </conditionalFormatting>
  <conditionalFormatting sqref="AL25:AM25">
    <cfRule type="cellIs" dxfId="1" priority="12017" operator="equal">
      <formula>"未完成"</formula>
    </cfRule>
    <cfRule type="cellIs" dxfId="0" priority="12034" operator="equal">
      <formula>"未完成"</formula>
    </cfRule>
  </conditionalFormatting>
  <conditionalFormatting sqref="S26">
    <cfRule type="cellIs" dxfId="0" priority="11982" operator="equal">
      <formula>"欠"</formula>
    </cfRule>
  </conditionalFormatting>
  <conditionalFormatting sqref="AL26:AM26">
    <cfRule type="cellIs" dxfId="1" priority="12016" operator="equal">
      <formula>"未完成"</formula>
    </cfRule>
    <cfRule type="cellIs" dxfId="0" priority="12033" operator="equal">
      <formula>"未完成"</formula>
    </cfRule>
  </conditionalFormatting>
  <conditionalFormatting sqref="S27">
    <cfRule type="cellIs" dxfId="0" priority="11981" operator="equal">
      <formula>"欠"</formula>
    </cfRule>
  </conditionalFormatting>
  <conditionalFormatting sqref="AL27:AM27">
    <cfRule type="cellIs" dxfId="1" priority="12015" operator="equal">
      <formula>"未完成"</formula>
    </cfRule>
    <cfRule type="cellIs" dxfId="0" priority="12032" operator="equal">
      <formula>"未完成"</formula>
    </cfRule>
  </conditionalFormatting>
  <conditionalFormatting sqref="S28">
    <cfRule type="cellIs" dxfId="0" priority="11980" operator="equal">
      <formula>"欠"</formula>
    </cfRule>
  </conditionalFormatting>
  <conditionalFormatting sqref="AL28:AM28">
    <cfRule type="cellIs" dxfId="1" priority="12014" operator="equal">
      <formula>"未完成"</formula>
    </cfRule>
    <cfRule type="cellIs" dxfId="0" priority="12031" operator="equal">
      <formula>"未完成"</formula>
    </cfRule>
  </conditionalFormatting>
  <conditionalFormatting sqref="S29">
    <cfRule type="cellIs" dxfId="0" priority="11979" operator="equal">
      <formula>"欠"</formula>
    </cfRule>
  </conditionalFormatting>
  <conditionalFormatting sqref="AL29:AM29">
    <cfRule type="cellIs" dxfId="1" priority="12013" operator="equal">
      <formula>"未完成"</formula>
    </cfRule>
    <cfRule type="cellIs" dxfId="0" priority="12030" operator="equal">
      <formula>"未完成"</formula>
    </cfRule>
  </conditionalFormatting>
  <conditionalFormatting sqref="S30">
    <cfRule type="cellIs" dxfId="0" priority="11978" operator="equal">
      <formula>"欠"</formula>
    </cfRule>
  </conditionalFormatting>
  <conditionalFormatting sqref="AL30:AM30">
    <cfRule type="cellIs" dxfId="1" priority="12012" operator="equal">
      <formula>"未完成"</formula>
    </cfRule>
    <cfRule type="cellIs" dxfId="0" priority="12029" operator="equal">
      <formula>"未完成"</formula>
    </cfRule>
  </conditionalFormatting>
  <conditionalFormatting sqref="S31">
    <cfRule type="cellIs" dxfId="0" priority="11977" operator="equal">
      <formula>"欠"</formula>
    </cfRule>
  </conditionalFormatting>
  <conditionalFormatting sqref="AL31:AM31">
    <cfRule type="cellIs" dxfId="1" priority="12011" operator="equal">
      <formula>"未完成"</formula>
    </cfRule>
    <cfRule type="cellIs" dxfId="0" priority="12028" operator="equal">
      <formula>"未完成"</formula>
    </cfRule>
  </conditionalFormatting>
  <conditionalFormatting sqref="S32">
    <cfRule type="cellIs" dxfId="0" priority="11976" operator="equal">
      <formula>"欠"</formula>
    </cfRule>
  </conditionalFormatting>
  <conditionalFormatting sqref="AL32:AM32">
    <cfRule type="cellIs" dxfId="1" priority="12010" operator="equal">
      <formula>"未完成"</formula>
    </cfRule>
    <cfRule type="cellIs" dxfId="0" priority="12027" operator="equal">
      <formula>"未完成"</formula>
    </cfRule>
  </conditionalFormatting>
  <conditionalFormatting sqref="S33">
    <cfRule type="cellIs" dxfId="0" priority="11975" operator="equal">
      <formula>"欠"</formula>
    </cfRule>
  </conditionalFormatting>
  <conditionalFormatting sqref="AL33:AM33">
    <cfRule type="cellIs" dxfId="1" priority="12009" operator="equal">
      <formula>"未完成"</formula>
    </cfRule>
    <cfRule type="cellIs" dxfId="0" priority="12026" operator="equal">
      <formula>"未完成"</formula>
    </cfRule>
  </conditionalFormatting>
  <conditionalFormatting sqref="S34">
    <cfRule type="cellIs" dxfId="0" priority="11974" operator="equal">
      <formula>"欠"</formula>
    </cfRule>
  </conditionalFormatting>
  <conditionalFormatting sqref="AL34:AM34">
    <cfRule type="cellIs" dxfId="1" priority="12008" operator="equal">
      <formula>"未完成"</formula>
    </cfRule>
    <cfRule type="cellIs" dxfId="0" priority="12025" operator="equal">
      <formula>"未完成"</formula>
    </cfRule>
  </conditionalFormatting>
  <conditionalFormatting sqref="S35">
    <cfRule type="cellIs" dxfId="0" priority="11973" operator="equal">
      <formula>"欠"</formula>
    </cfRule>
  </conditionalFormatting>
  <conditionalFormatting sqref="AL35:AM35">
    <cfRule type="cellIs" dxfId="1" priority="12007" operator="equal">
      <formula>"未完成"</formula>
    </cfRule>
    <cfRule type="cellIs" dxfId="0" priority="12024" operator="equal">
      <formula>"未完成"</formula>
    </cfRule>
  </conditionalFormatting>
  <conditionalFormatting sqref="S36">
    <cfRule type="cellIs" dxfId="0" priority="11901" operator="equal">
      <formula>"欠"</formula>
    </cfRule>
  </conditionalFormatting>
  <conditionalFormatting sqref="AL36:AM36">
    <cfRule type="cellIs" dxfId="1" priority="11937" operator="equal">
      <formula>"未完成"</formula>
    </cfRule>
    <cfRule type="cellIs" dxfId="0" priority="11955" operator="equal">
      <formula>"未完成"</formula>
    </cfRule>
  </conditionalFormatting>
  <conditionalFormatting sqref="S37">
    <cfRule type="cellIs" dxfId="0" priority="11900" operator="equal">
      <formula>"欠"</formula>
    </cfRule>
  </conditionalFormatting>
  <conditionalFormatting sqref="AL37:AM37">
    <cfRule type="cellIs" dxfId="1" priority="11936" operator="equal">
      <formula>"未完成"</formula>
    </cfRule>
    <cfRule type="cellIs" dxfId="0" priority="11954" operator="equal">
      <formula>"未完成"</formula>
    </cfRule>
  </conditionalFormatting>
  <conditionalFormatting sqref="S38">
    <cfRule type="cellIs" dxfId="0" priority="11899" operator="equal">
      <formula>"欠"</formula>
    </cfRule>
  </conditionalFormatting>
  <conditionalFormatting sqref="AL38:AM38">
    <cfRule type="cellIs" dxfId="1" priority="11935" operator="equal">
      <formula>"未完成"</formula>
    </cfRule>
    <cfRule type="cellIs" dxfId="0" priority="11953" operator="equal">
      <formula>"未完成"</formula>
    </cfRule>
  </conditionalFormatting>
  <conditionalFormatting sqref="S39">
    <cfRule type="cellIs" dxfId="0" priority="11898" operator="equal">
      <formula>"欠"</formula>
    </cfRule>
  </conditionalFormatting>
  <conditionalFormatting sqref="AL39:AM39">
    <cfRule type="cellIs" dxfId="1" priority="11934" operator="equal">
      <formula>"未完成"</formula>
    </cfRule>
    <cfRule type="cellIs" dxfId="0" priority="11952" operator="equal">
      <formula>"未完成"</formula>
    </cfRule>
  </conditionalFormatting>
  <conditionalFormatting sqref="S40">
    <cfRule type="cellIs" dxfId="0" priority="11897" operator="equal">
      <formula>"欠"</formula>
    </cfRule>
  </conditionalFormatting>
  <conditionalFormatting sqref="AL40:AM40">
    <cfRule type="cellIs" dxfId="1" priority="11933" operator="equal">
      <formula>"未完成"</formula>
    </cfRule>
    <cfRule type="cellIs" dxfId="0" priority="11951" operator="equal">
      <formula>"未完成"</formula>
    </cfRule>
  </conditionalFormatting>
  <conditionalFormatting sqref="S41">
    <cfRule type="cellIs" dxfId="0" priority="11896" operator="equal">
      <formula>"欠"</formula>
    </cfRule>
  </conditionalFormatting>
  <conditionalFormatting sqref="AL41:AM41">
    <cfRule type="cellIs" dxfId="1" priority="11932" operator="equal">
      <formula>"未完成"</formula>
    </cfRule>
    <cfRule type="cellIs" dxfId="0" priority="11950" operator="equal">
      <formula>"未完成"</formula>
    </cfRule>
  </conditionalFormatting>
  <conditionalFormatting sqref="S42">
    <cfRule type="cellIs" dxfId="0" priority="11895" operator="equal">
      <formula>"欠"</formula>
    </cfRule>
  </conditionalFormatting>
  <conditionalFormatting sqref="AL42:AM42">
    <cfRule type="cellIs" dxfId="1" priority="11931" operator="equal">
      <formula>"未完成"</formula>
    </cfRule>
    <cfRule type="cellIs" dxfId="0" priority="11949" operator="equal">
      <formula>"未完成"</formula>
    </cfRule>
  </conditionalFormatting>
  <conditionalFormatting sqref="S43">
    <cfRule type="cellIs" dxfId="0" priority="11894" operator="equal">
      <formula>"欠"</formula>
    </cfRule>
  </conditionalFormatting>
  <conditionalFormatting sqref="AL43:AM43">
    <cfRule type="cellIs" dxfId="1" priority="11930" operator="equal">
      <formula>"未完成"</formula>
    </cfRule>
    <cfRule type="cellIs" dxfId="0" priority="11948" operator="equal">
      <formula>"未完成"</formula>
    </cfRule>
  </conditionalFormatting>
  <conditionalFormatting sqref="S44">
    <cfRule type="cellIs" dxfId="0" priority="11893" operator="equal">
      <formula>"欠"</formula>
    </cfRule>
  </conditionalFormatting>
  <conditionalFormatting sqref="AL44:AM44">
    <cfRule type="cellIs" dxfId="1" priority="11929" operator="equal">
      <formula>"未完成"</formula>
    </cfRule>
    <cfRule type="cellIs" dxfId="0" priority="11947" operator="equal">
      <formula>"未完成"</formula>
    </cfRule>
  </conditionalFormatting>
  <conditionalFormatting sqref="S45">
    <cfRule type="cellIs" dxfId="0" priority="11892" operator="equal">
      <formula>"欠"</formula>
    </cfRule>
  </conditionalFormatting>
  <conditionalFormatting sqref="AL45:AM45">
    <cfRule type="cellIs" dxfId="1" priority="11928" operator="equal">
      <formula>"未完成"</formula>
    </cfRule>
    <cfRule type="cellIs" dxfId="0" priority="11946" operator="equal">
      <formula>"未完成"</formula>
    </cfRule>
  </conditionalFormatting>
  <conditionalFormatting sqref="S46">
    <cfRule type="cellIs" dxfId="0" priority="11891" operator="equal">
      <formula>"欠"</formula>
    </cfRule>
  </conditionalFormatting>
  <conditionalFormatting sqref="AL46:AM46">
    <cfRule type="cellIs" dxfId="1" priority="11927" operator="equal">
      <formula>"未完成"</formula>
    </cfRule>
    <cfRule type="cellIs" dxfId="0" priority="11945" operator="equal">
      <formula>"未完成"</formula>
    </cfRule>
  </conditionalFormatting>
  <conditionalFormatting sqref="S47">
    <cfRule type="cellIs" dxfId="0" priority="11890" operator="equal">
      <formula>"欠"</formula>
    </cfRule>
  </conditionalFormatting>
  <conditionalFormatting sqref="AL47:AM47">
    <cfRule type="cellIs" dxfId="1" priority="11926" operator="equal">
      <formula>"未完成"</formula>
    </cfRule>
    <cfRule type="cellIs" dxfId="0" priority="11944" operator="equal">
      <formula>"未完成"</formula>
    </cfRule>
  </conditionalFormatting>
  <conditionalFormatting sqref="S48">
    <cfRule type="cellIs" dxfId="0" priority="11889" operator="equal">
      <formula>"欠"</formula>
    </cfRule>
  </conditionalFormatting>
  <conditionalFormatting sqref="AL48:AM48">
    <cfRule type="cellIs" dxfId="1" priority="11925" operator="equal">
      <formula>"未完成"</formula>
    </cfRule>
    <cfRule type="cellIs" dxfId="0" priority="11943" operator="equal">
      <formula>"未完成"</formula>
    </cfRule>
  </conditionalFormatting>
  <conditionalFormatting sqref="S49">
    <cfRule type="cellIs" dxfId="0" priority="11888" operator="equal">
      <formula>"欠"</formula>
    </cfRule>
  </conditionalFormatting>
  <conditionalFormatting sqref="AL49:AM49">
    <cfRule type="cellIs" dxfId="1" priority="11924" operator="equal">
      <formula>"未完成"</formula>
    </cfRule>
    <cfRule type="cellIs" dxfId="0" priority="11942" operator="equal">
      <formula>"未完成"</formula>
    </cfRule>
  </conditionalFormatting>
  <conditionalFormatting sqref="S50">
    <cfRule type="cellIs" dxfId="0" priority="11887" operator="equal">
      <formula>"欠"</formula>
    </cfRule>
  </conditionalFormatting>
  <conditionalFormatting sqref="AL50:AM50">
    <cfRule type="cellIs" dxfId="1" priority="11923" operator="equal">
      <formula>"未完成"</formula>
    </cfRule>
    <cfRule type="cellIs" dxfId="0" priority="11941" operator="equal">
      <formula>"未完成"</formula>
    </cfRule>
  </conditionalFormatting>
  <conditionalFormatting sqref="S51">
    <cfRule type="cellIs" dxfId="0" priority="11886" operator="equal">
      <formula>"欠"</formula>
    </cfRule>
  </conditionalFormatting>
  <conditionalFormatting sqref="AL51:AM51">
    <cfRule type="cellIs" dxfId="1" priority="11922" operator="equal">
      <formula>"未完成"</formula>
    </cfRule>
    <cfRule type="cellIs" dxfId="0" priority="11940" operator="equal">
      <formula>"未完成"</formula>
    </cfRule>
  </conditionalFormatting>
  <conditionalFormatting sqref="S52">
    <cfRule type="cellIs" dxfId="0" priority="11885" operator="equal">
      <formula>"欠"</formula>
    </cfRule>
  </conditionalFormatting>
  <conditionalFormatting sqref="AL52:AM52">
    <cfRule type="cellIs" dxfId="1" priority="11921" operator="equal">
      <formula>"未完成"</formula>
    </cfRule>
    <cfRule type="cellIs" dxfId="0" priority="11939" operator="equal">
      <formula>"未完成"</formula>
    </cfRule>
  </conditionalFormatting>
  <conditionalFormatting sqref="S53">
    <cfRule type="cellIs" dxfId="0" priority="11884" operator="equal">
      <formula>"欠"</formula>
    </cfRule>
  </conditionalFormatting>
  <conditionalFormatting sqref="AL53:AM53">
    <cfRule type="cellIs" dxfId="1" priority="11920" operator="equal">
      <formula>"未完成"</formula>
    </cfRule>
    <cfRule type="cellIs" dxfId="0" priority="11938" operator="equal">
      <formula>"未完成"</formula>
    </cfRule>
  </conditionalFormatting>
  <conditionalFormatting sqref="S54">
    <cfRule type="cellIs" dxfId="0" priority="11819" operator="equal">
      <formula>"欠"</formula>
    </cfRule>
  </conditionalFormatting>
  <conditionalFormatting sqref="AL54:AM54">
    <cfRule type="cellIs" dxfId="1" priority="11829" operator="equal">
      <formula>"未完成"</formula>
    </cfRule>
    <cfRule type="cellIs" dxfId="0" priority="11834" operator="equal">
      <formula>"未完成"</formula>
    </cfRule>
  </conditionalFormatting>
  <conditionalFormatting sqref="S55">
    <cfRule type="cellIs" dxfId="0" priority="11818" operator="equal">
      <formula>"欠"</formula>
    </cfRule>
  </conditionalFormatting>
  <conditionalFormatting sqref="AL55:AM55">
    <cfRule type="cellIs" dxfId="1" priority="11828" operator="equal">
      <formula>"未完成"</formula>
    </cfRule>
    <cfRule type="cellIs" dxfId="0" priority="11833" operator="equal">
      <formula>"未完成"</formula>
    </cfRule>
  </conditionalFormatting>
  <conditionalFormatting sqref="S56">
    <cfRule type="cellIs" dxfId="0" priority="11817" operator="equal">
      <formula>"欠"</formula>
    </cfRule>
  </conditionalFormatting>
  <conditionalFormatting sqref="AL56:AM56">
    <cfRule type="cellIs" dxfId="1" priority="11827" operator="equal">
      <formula>"未完成"</formula>
    </cfRule>
    <cfRule type="cellIs" dxfId="0" priority="11832" operator="equal">
      <formula>"未完成"</formula>
    </cfRule>
  </conditionalFormatting>
  <conditionalFormatting sqref="S57">
    <cfRule type="cellIs" dxfId="0" priority="11816" operator="equal">
      <formula>"欠"</formula>
    </cfRule>
  </conditionalFormatting>
  <conditionalFormatting sqref="AL57:AM57">
    <cfRule type="cellIs" dxfId="1" priority="11826" operator="equal">
      <formula>"未完成"</formula>
    </cfRule>
    <cfRule type="cellIs" dxfId="0" priority="11831" operator="equal">
      <formula>"未完成"</formula>
    </cfRule>
  </conditionalFormatting>
  <conditionalFormatting sqref="S58">
    <cfRule type="cellIs" dxfId="0" priority="11815" operator="equal">
      <formula>"欠"</formula>
    </cfRule>
  </conditionalFormatting>
  <conditionalFormatting sqref="AL58:AM58">
    <cfRule type="cellIs" dxfId="1" priority="11825" operator="equal">
      <formula>"未完成"</formula>
    </cfRule>
    <cfRule type="cellIs" dxfId="0" priority="11830" operator="equal">
      <formula>"未完成"</formula>
    </cfRule>
  </conditionalFormatting>
  <conditionalFormatting sqref="S59">
    <cfRule type="cellIs" dxfId="0" priority="11803" operator="equal">
      <formula>"欠"</formula>
    </cfRule>
  </conditionalFormatting>
  <conditionalFormatting sqref="AL59:AM59">
    <cfRule type="cellIs" dxfId="1" priority="11807" operator="equal">
      <formula>"未完成"</formula>
    </cfRule>
    <cfRule type="cellIs" dxfId="0" priority="11809" operator="equal">
      <formula>"未完成"</formula>
    </cfRule>
  </conditionalFormatting>
  <conditionalFormatting sqref="S60">
    <cfRule type="cellIs" dxfId="0" priority="11802" operator="equal">
      <formula>"欠"</formula>
    </cfRule>
  </conditionalFormatting>
  <conditionalFormatting sqref="AL60:AM60">
    <cfRule type="cellIs" dxfId="1" priority="11806" operator="equal">
      <formula>"未完成"</formula>
    </cfRule>
    <cfRule type="cellIs" dxfId="0" priority="11808" operator="equal">
      <formula>"未完成"</formula>
    </cfRule>
  </conditionalFormatting>
  <conditionalFormatting sqref="S61">
    <cfRule type="cellIs" dxfId="0" priority="11609" operator="equal">
      <formula>"欠"</formula>
    </cfRule>
  </conditionalFormatting>
  <conditionalFormatting sqref="AL61:AM61">
    <cfRule type="cellIs" dxfId="1" priority="11641" operator="equal">
      <formula>"未完成"</formula>
    </cfRule>
    <cfRule type="cellIs" dxfId="0" priority="11657" operator="equal">
      <formula>"未完成"</formula>
    </cfRule>
  </conditionalFormatting>
  <conditionalFormatting sqref="S62">
    <cfRule type="cellIs" dxfId="0" priority="11608" operator="equal">
      <formula>"欠"</formula>
    </cfRule>
  </conditionalFormatting>
  <conditionalFormatting sqref="AL62:AM62">
    <cfRule type="cellIs" dxfId="1" priority="11640" operator="equal">
      <formula>"未完成"</formula>
    </cfRule>
    <cfRule type="cellIs" dxfId="0" priority="11656" operator="equal">
      <formula>"未完成"</formula>
    </cfRule>
  </conditionalFormatting>
  <conditionalFormatting sqref="S63">
    <cfRule type="cellIs" dxfId="0" priority="11607" operator="equal">
      <formula>"欠"</formula>
    </cfRule>
  </conditionalFormatting>
  <conditionalFormatting sqref="AL63:AM63">
    <cfRule type="cellIs" dxfId="1" priority="11639" operator="equal">
      <formula>"未完成"</formula>
    </cfRule>
    <cfRule type="cellIs" dxfId="0" priority="11655" operator="equal">
      <formula>"未完成"</formula>
    </cfRule>
  </conditionalFormatting>
  <conditionalFormatting sqref="S64">
    <cfRule type="cellIs" dxfId="0" priority="11606" operator="equal">
      <formula>"欠"</formula>
    </cfRule>
  </conditionalFormatting>
  <conditionalFormatting sqref="AL64:AM64">
    <cfRule type="cellIs" dxfId="1" priority="11638" operator="equal">
      <formula>"未完成"</formula>
    </cfRule>
    <cfRule type="cellIs" dxfId="0" priority="11654" operator="equal">
      <formula>"未完成"</formula>
    </cfRule>
  </conditionalFormatting>
  <conditionalFormatting sqref="S65">
    <cfRule type="cellIs" dxfId="0" priority="11605" operator="equal">
      <formula>"欠"</formula>
    </cfRule>
  </conditionalFormatting>
  <conditionalFormatting sqref="AL65:AM65">
    <cfRule type="cellIs" dxfId="1" priority="11637" operator="equal">
      <formula>"未完成"</formula>
    </cfRule>
    <cfRule type="cellIs" dxfId="0" priority="11653" operator="equal">
      <formula>"未完成"</formula>
    </cfRule>
  </conditionalFormatting>
  <conditionalFormatting sqref="S66">
    <cfRule type="cellIs" dxfId="0" priority="11604" operator="equal">
      <formula>"欠"</formula>
    </cfRule>
  </conditionalFormatting>
  <conditionalFormatting sqref="AL66:AM66">
    <cfRule type="cellIs" dxfId="1" priority="11636" operator="equal">
      <formula>"未完成"</formula>
    </cfRule>
    <cfRule type="cellIs" dxfId="0" priority="11652" operator="equal">
      <formula>"未完成"</formula>
    </cfRule>
  </conditionalFormatting>
  <conditionalFormatting sqref="S67">
    <cfRule type="cellIs" dxfId="0" priority="11603" operator="equal">
      <formula>"欠"</formula>
    </cfRule>
  </conditionalFormatting>
  <conditionalFormatting sqref="AL67:AM67">
    <cfRule type="cellIs" dxfId="1" priority="11635" operator="equal">
      <formula>"未完成"</formula>
    </cfRule>
    <cfRule type="cellIs" dxfId="0" priority="11651" operator="equal">
      <formula>"未完成"</formula>
    </cfRule>
  </conditionalFormatting>
  <conditionalFormatting sqref="S68">
    <cfRule type="cellIs" dxfId="0" priority="11602" operator="equal">
      <formula>"欠"</formula>
    </cfRule>
  </conditionalFormatting>
  <conditionalFormatting sqref="AL68:AM68">
    <cfRule type="cellIs" dxfId="1" priority="11634" operator="equal">
      <formula>"未完成"</formula>
    </cfRule>
    <cfRule type="cellIs" dxfId="0" priority="11650" operator="equal">
      <formula>"未完成"</formula>
    </cfRule>
  </conditionalFormatting>
  <conditionalFormatting sqref="S69">
    <cfRule type="cellIs" dxfId="0" priority="11601" operator="equal">
      <formula>"欠"</formula>
    </cfRule>
  </conditionalFormatting>
  <conditionalFormatting sqref="AL69:AM69">
    <cfRule type="cellIs" dxfId="1" priority="11633" operator="equal">
      <formula>"未完成"</formula>
    </cfRule>
    <cfRule type="cellIs" dxfId="0" priority="11649" operator="equal">
      <formula>"未完成"</formula>
    </cfRule>
  </conditionalFormatting>
  <conditionalFormatting sqref="S70">
    <cfRule type="cellIs" dxfId="0" priority="11600" operator="equal">
      <formula>"欠"</formula>
    </cfRule>
  </conditionalFormatting>
  <conditionalFormatting sqref="AL70:AM70">
    <cfRule type="cellIs" dxfId="1" priority="11632" operator="equal">
      <formula>"未完成"</formula>
    </cfRule>
    <cfRule type="cellIs" dxfId="0" priority="11648" operator="equal">
      <formula>"未完成"</formula>
    </cfRule>
  </conditionalFormatting>
  <conditionalFormatting sqref="S71">
    <cfRule type="cellIs" dxfId="0" priority="11599" operator="equal">
      <formula>"欠"</formula>
    </cfRule>
  </conditionalFormatting>
  <conditionalFormatting sqref="AL71:AM71">
    <cfRule type="cellIs" dxfId="1" priority="11631" operator="equal">
      <formula>"未完成"</formula>
    </cfRule>
    <cfRule type="cellIs" dxfId="0" priority="11647" operator="equal">
      <formula>"未完成"</formula>
    </cfRule>
  </conditionalFormatting>
  <conditionalFormatting sqref="S72">
    <cfRule type="cellIs" dxfId="0" priority="11598" operator="equal">
      <formula>"欠"</formula>
    </cfRule>
  </conditionalFormatting>
  <conditionalFormatting sqref="AL72:AM72">
    <cfRule type="cellIs" dxfId="1" priority="11630" operator="equal">
      <formula>"未完成"</formula>
    </cfRule>
    <cfRule type="cellIs" dxfId="0" priority="11646" operator="equal">
      <formula>"未完成"</formula>
    </cfRule>
  </conditionalFormatting>
  <conditionalFormatting sqref="S73">
    <cfRule type="cellIs" dxfId="0" priority="11597" operator="equal">
      <formula>"欠"</formula>
    </cfRule>
  </conditionalFormatting>
  <conditionalFormatting sqref="AL73:AM73">
    <cfRule type="cellIs" dxfId="1" priority="11629" operator="equal">
      <formula>"未完成"</formula>
    </cfRule>
    <cfRule type="cellIs" dxfId="0" priority="11645" operator="equal">
      <formula>"未完成"</formula>
    </cfRule>
  </conditionalFormatting>
  <conditionalFormatting sqref="S74">
    <cfRule type="cellIs" dxfId="0" priority="11596" operator="equal">
      <formula>"欠"</formula>
    </cfRule>
  </conditionalFormatting>
  <conditionalFormatting sqref="AL74:AM74">
    <cfRule type="cellIs" dxfId="1" priority="11628" operator="equal">
      <formula>"未完成"</formula>
    </cfRule>
    <cfRule type="cellIs" dxfId="0" priority="11644" operator="equal">
      <formula>"未完成"</formula>
    </cfRule>
  </conditionalFormatting>
  <conditionalFormatting sqref="S75">
    <cfRule type="cellIs" dxfId="0" priority="11595" operator="equal">
      <formula>"欠"</formula>
    </cfRule>
  </conditionalFormatting>
  <conditionalFormatting sqref="AL75:AM75">
    <cfRule type="cellIs" dxfId="1" priority="11627" operator="equal">
      <formula>"未完成"</formula>
    </cfRule>
    <cfRule type="cellIs" dxfId="0" priority="11643" operator="equal">
      <formula>"未完成"</formula>
    </cfRule>
  </conditionalFormatting>
  <conditionalFormatting sqref="S76">
    <cfRule type="cellIs" dxfId="0" priority="11594" operator="equal">
      <formula>"欠"</formula>
    </cfRule>
  </conditionalFormatting>
  <conditionalFormatting sqref="AL76:AM76">
    <cfRule type="cellIs" dxfId="1" priority="11626" operator="equal">
      <formula>"未完成"</formula>
    </cfRule>
    <cfRule type="cellIs" dxfId="0" priority="11642" operator="equal">
      <formula>"未完成"</formula>
    </cfRule>
  </conditionalFormatting>
  <conditionalFormatting sqref="S77">
    <cfRule type="cellIs" dxfId="0" priority="11533" operator="equal">
      <formula>"欠"</formula>
    </cfRule>
  </conditionalFormatting>
  <conditionalFormatting sqref="AL77:AM77">
    <cfRule type="cellIs" dxfId="1" priority="11551" operator="equal">
      <formula>"未完成"</formula>
    </cfRule>
    <cfRule type="cellIs" dxfId="0" priority="11560" operator="equal">
      <formula>"未完成"</formula>
    </cfRule>
  </conditionalFormatting>
  <conditionalFormatting sqref="S78">
    <cfRule type="cellIs" dxfId="0" priority="11532" operator="equal">
      <formula>"欠"</formula>
    </cfRule>
  </conditionalFormatting>
  <conditionalFormatting sqref="AL78:AM78">
    <cfRule type="cellIs" dxfId="1" priority="11550" operator="equal">
      <formula>"未完成"</formula>
    </cfRule>
    <cfRule type="cellIs" dxfId="0" priority="11559" operator="equal">
      <formula>"未完成"</formula>
    </cfRule>
  </conditionalFormatting>
  <conditionalFormatting sqref="S79">
    <cfRule type="cellIs" dxfId="0" priority="11531" operator="equal">
      <formula>"欠"</formula>
    </cfRule>
  </conditionalFormatting>
  <conditionalFormatting sqref="AL79:AM79">
    <cfRule type="cellIs" dxfId="1" priority="11549" operator="equal">
      <formula>"未完成"</formula>
    </cfRule>
    <cfRule type="cellIs" dxfId="0" priority="11558" operator="equal">
      <formula>"未完成"</formula>
    </cfRule>
  </conditionalFormatting>
  <conditionalFormatting sqref="S80">
    <cfRule type="cellIs" dxfId="0" priority="11530" operator="equal">
      <formula>"欠"</formula>
    </cfRule>
  </conditionalFormatting>
  <conditionalFormatting sqref="AL80:AM80">
    <cfRule type="cellIs" dxfId="1" priority="11548" operator="equal">
      <formula>"未完成"</formula>
    </cfRule>
    <cfRule type="cellIs" dxfId="0" priority="11557" operator="equal">
      <formula>"未完成"</formula>
    </cfRule>
  </conditionalFormatting>
  <conditionalFormatting sqref="S81">
    <cfRule type="cellIs" dxfId="0" priority="11529" operator="equal">
      <formula>"欠"</formula>
    </cfRule>
  </conditionalFormatting>
  <conditionalFormatting sqref="AL81:AM81">
    <cfRule type="cellIs" dxfId="1" priority="11547" operator="equal">
      <formula>"未完成"</formula>
    </cfRule>
    <cfRule type="cellIs" dxfId="0" priority="11556" operator="equal">
      <formula>"未完成"</formula>
    </cfRule>
  </conditionalFormatting>
  <conditionalFormatting sqref="S82">
    <cfRule type="cellIs" dxfId="0" priority="11526" operator="equal">
      <formula>"欠"</formula>
    </cfRule>
  </conditionalFormatting>
  <conditionalFormatting sqref="AL82:AM82">
    <cfRule type="cellIs" dxfId="1" priority="11544" operator="equal">
      <formula>"未完成"</formula>
    </cfRule>
    <cfRule type="cellIs" dxfId="0" priority="11553" operator="equal">
      <formula>"未完成"</formula>
    </cfRule>
  </conditionalFormatting>
  <conditionalFormatting sqref="S83">
    <cfRule type="cellIs" dxfId="0" priority="11525" operator="equal">
      <formula>"欠"</formula>
    </cfRule>
  </conditionalFormatting>
  <conditionalFormatting sqref="AL83:AM83">
    <cfRule type="cellIs" dxfId="1" priority="11543" operator="equal">
      <formula>"未完成"</formula>
    </cfRule>
    <cfRule type="cellIs" dxfId="0" priority="11552" operator="equal">
      <formula>"未完成"</formula>
    </cfRule>
  </conditionalFormatting>
  <conditionalFormatting sqref="S84">
    <cfRule type="cellIs" dxfId="0" priority="11512" operator="equal">
      <formula>"欠"</formula>
    </cfRule>
  </conditionalFormatting>
  <conditionalFormatting sqref="AL84:AM84">
    <cfRule type="cellIs" dxfId="1" priority="11514" operator="equal">
      <formula>"未完成"</formula>
    </cfRule>
    <cfRule type="cellIs" dxfId="0" priority="11515" operator="equal">
      <formula>"未完成"</formula>
    </cfRule>
  </conditionalFormatting>
  <conditionalFormatting sqref="S85">
    <cfRule type="cellIs" dxfId="0" priority="11466" operator="equal">
      <formula>"欠"</formula>
    </cfRule>
  </conditionalFormatting>
  <conditionalFormatting sqref="T85:U85">
    <cfRule type="containsText" dxfId="0" priority="9129" operator="between" text="欠">
      <formula>NOT(ISERROR(SEARCH("欠",T85)))</formula>
    </cfRule>
    <cfRule type="containsText" dxfId="2" priority="9130" operator="between" text="欠">
      <formula>NOT(ISERROR(SEARCH("欠",T85)))</formula>
    </cfRule>
    <cfRule type="cellIs" dxfId="0" priority="9131" operator="equal">
      <formula>"欠"</formula>
    </cfRule>
  </conditionalFormatting>
  <conditionalFormatting sqref="AL85:AM85">
    <cfRule type="cellIs" dxfId="1" priority="11468" operator="equal">
      <formula>"未完成"</formula>
    </cfRule>
    <cfRule type="cellIs" dxfId="0" priority="11469" operator="equal">
      <formula>"未完成"</formula>
    </cfRule>
  </conditionalFormatting>
  <conditionalFormatting sqref="S86">
    <cfRule type="cellIs" dxfId="0" priority="11446" operator="equal">
      <formula>"欠"</formula>
    </cfRule>
  </conditionalFormatting>
  <conditionalFormatting sqref="AL86:AM86">
    <cfRule type="cellIs" dxfId="1" priority="11458" operator="equal">
      <formula>"未完成"</formula>
    </cfRule>
    <cfRule type="cellIs" dxfId="0" priority="11464" operator="equal">
      <formula>"未完成"</formula>
    </cfRule>
  </conditionalFormatting>
  <conditionalFormatting sqref="S87">
    <cfRule type="cellIs" dxfId="0" priority="11445" operator="equal">
      <formula>"欠"</formula>
    </cfRule>
  </conditionalFormatting>
  <conditionalFormatting sqref="AL87:AM87">
    <cfRule type="cellIs" dxfId="1" priority="11457" operator="equal">
      <formula>"未完成"</formula>
    </cfRule>
    <cfRule type="cellIs" dxfId="0" priority="11463" operator="equal">
      <formula>"未完成"</formula>
    </cfRule>
  </conditionalFormatting>
  <conditionalFormatting sqref="S88">
    <cfRule type="cellIs" dxfId="0" priority="11444" operator="equal">
      <formula>"欠"</formula>
    </cfRule>
  </conditionalFormatting>
  <conditionalFormatting sqref="AG88">
    <cfRule type="cellIs" dxfId="0" priority="11438" operator="equal">
      <formula>"未完成"</formula>
    </cfRule>
  </conditionalFormatting>
  <conditionalFormatting sqref="AH88">
    <cfRule type="cellIs" dxfId="0" priority="7351" operator="equal">
      <formula>"未完成"</formula>
    </cfRule>
  </conditionalFormatting>
  <conditionalFormatting sqref="AL88:AM88">
    <cfRule type="cellIs" dxfId="1" priority="11456" operator="equal">
      <formula>"未完成"</formula>
    </cfRule>
    <cfRule type="cellIs" dxfId="0" priority="11462" operator="equal">
      <formula>"未完成"</formula>
    </cfRule>
  </conditionalFormatting>
  <conditionalFormatting sqref="S89">
    <cfRule type="cellIs" dxfId="0" priority="11443" operator="equal">
      <formula>"欠"</formula>
    </cfRule>
  </conditionalFormatting>
  <conditionalFormatting sqref="AG89">
    <cfRule type="cellIs" dxfId="0" priority="11437" operator="equal">
      <formula>"未完成"</formula>
    </cfRule>
  </conditionalFormatting>
  <conditionalFormatting sqref="AH89">
    <cfRule type="cellIs" dxfId="0" priority="7350" operator="equal">
      <formula>"未完成"</formula>
    </cfRule>
  </conditionalFormatting>
  <conditionalFormatting sqref="AL89:AM89">
    <cfRule type="cellIs" dxfId="1" priority="11455" operator="equal">
      <formula>"未完成"</formula>
    </cfRule>
    <cfRule type="cellIs" dxfId="0" priority="11461" operator="equal">
      <formula>"未完成"</formula>
    </cfRule>
  </conditionalFormatting>
  <conditionalFormatting sqref="S90">
    <cfRule type="cellIs" dxfId="0" priority="11442" operator="equal">
      <formula>"欠"</formula>
    </cfRule>
  </conditionalFormatting>
  <conditionalFormatting sqref="AG90">
    <cfRule type="cellIs" dxfId="0" priority="11436" operator="equal">
      <formula>"未完成"</formula>
    </cfRule>
  </conditionalFormatting>
  <conditionalFormatting sqref="AH90">
    <cfRule type="cellIs" dxfId="0" priority="7349" operator="equal">
      <formula>"未完成"</formula>
    </cfRule>
  </conditionalFormatting>
  <conditionalFormatting sqref="AL90:AM90">
    <cfRule type="cellIs" dxfId="1" priority="11454" operator="equal">
      <formula>"未完成"</formula>
    </cfRule>
    <cfRule type="cellIs" dxfId="0" priority="11460" operator="equal">
      <formula>"未完成"</formula>
    </cfRule>
  </conditionalFormatting>
  <conditionalFormatting sqref="S91">
    <cfRule type="cellIs" dxfId="0" priority="11441" operator="equal">
      <formula>"欠"</formula>
    </cfRule>
  </conditionalFormatting>
  <conditionalFormatting sqref="AG91">
    <cfRule type="cellIs" dxfId="0" priority="11435" operator="equal">
      <formula>"未完成"</formula>
    </cfRule>
  </conditionalFormatting>
  <conditionalFormatting sqref="AH91">
    <cfRule type="cellIs" dxfId="0" priority="7348" operator="equal">
      <formula>"未完成"</formula>
    </cfRule>
  </conditionalFormatting>
  <conditionalFormatting sqref="AL91:AM91">
    <cfRule type="cellIs" dxfId="1" priority="11453" operator="equal">
      <formula>"未完成"</formula>
    </cfRule>
    <cfRule type="cellIs" dxfId="0" priority="11459" operator="equal">
      <formula>"未完成"</formula>
    </cfRule>
  </conditionalFormatting>
  <conditionalFormatting sqref="S92">
    <cfRule type="cellIs" dxfId="0" priority="11431" operator="equal">
      <formula>"欠"</formula>
    </cfRule>
  </conditionalFormatting>
  <conditionalFormatting sqref="AG92">
    <cfRule type="cellIs" dxfId="0" priority="11430" operator="equal">
      <formula>"未完成"</formula>
    </cfRule>
  </conditionalFormatting>
  <conditionalFormatting sqref="AH92">
    <cfRule type="cellIs" dxfId="0" priority="7347" operator="equal">
      <formula>"未完成"</formula>
    </cfRule>
  </conditionalFormatting>
  <conditionalFormatting sqref="AL92:AM92">
    <cfRule type="cellIs" dxfId="1" priority="11433" operator="equal">
      <formula>"未完成"</formula>
    </cfRule>
    <cfRule type="cellIs" dxfId="0" priority="11434" operator="equal">
      <formula>"未完成"</formula>
    </cfRule>
  </conditionalFormatting>
  <conditionalFormatting sqref="S93">
    <cfRule type="cellIs" dxfId="0" priority="10731" operator="equal">
      <formula>"欠"</formula>
    </cfRule>
  </conditionalFormatting>
  <conditionalFormatting sqref="AG93">
    <cfRule type="cellIs" dxfId="0" priority="10729" operator="equal">
      <formula>"未完成"</formula>
    </cfRule>
  </conditionalFormatting>
  <conditionalFormatting sqref="AH93">
    <cfRule type="cellIs" dxfId="0" priority="7290" operator="equal">
      <formula>"未完成"</formula>
    </cfRule>
  </conditionalFormatting>
  <conditionalFormatting sqref="AL93:AM93">
    <cfRule type="cellIs" dxfId="1" priority="10735" operator="equal">
      <formula>"未完成"</formula>
    </cfRule>
    <cfRule type="cellIs" dxfId="0" priority="10737" operator="equal">
      <formula>"未完成"</formula>
    </cfRule>
  </conditionalFormatting>
  <conditionalFormatting sqref="S94">
    <cfRule type="cellIs" dxfId="0" priority="10730" operator="equal">
      <formula>"欠"</formula>
    </cfRule>
  </conditionalFormatting>
  <conditionalFormatting sqref="AG94">
    <cfRule type="cellIs" dxfId="0" priority="10728" operator="equal">
      <formula>"未完成"</formula>
    </cfRule>
  </conditionalFormatting>
  <conditionalFormatting sqref="AH94">
    <cfRule type="cellIs" dxfId="0" priority="7289" operator="equal">
      <formula>"未完成"</formula>
    </cfRule>
  </conditionalFormatting>
  <conditionalFormatting sqref="AL94:AM94">
    <cfRule type="cellIs" dxfId="1" priority="10734" operator="equal">
      <formula>"未完成"</formula>
    </cfRule>
    <cfRule type="cellIs" dxfId="0" priority="10736" operator="equal">
      <formula>"未完成"</formula>
    </cfRule>
  </conditionalFormatting>
  <conditionalFormatting sqref="S95">
    <cfRule type="cellIs" dxfId="0" priority="11426" operator="equal">
      <formula>"欠"</formula>
    </cfRule>
  </conditionalFormatting>
  <conditionalFormatting sqref="AL95:AM95">
    <cfRule type="cellIs" dxfId="1" priority="11428" operator="equal">
      <formula>"未完成"</formula>
    </cfRule>
    <cfRule type="cellIs" dxfId="0" priority="11429" operator="equal">
      <formula>"未完成"</formula>
    </cfRule>
  </conditionalFormatting>
  <conditionalFormatting sqref="S96">
    <cfRule type="cellIs" dxfId="0" priority="11412" operator="equal">
      <formula>"欠"</formula>
    </cfRule>
  </conditionalFormatting>
  <conditionalFormatting sqref="AL96:AM96">
    <cfRule type="cellIs" dxfId="1" priority="11414" operator="equal">
      <formula>"未完成"</formula>
    </cfRule>
    <cfRule type="cellIs" dxfId="0" priority="11415" operator="equal">
      <formula>"未完成"</formula>
    </cfRule>
  </conditionalFormatting>
  <conditionalFormatting sqref="S97">
    <cfRule type="cellIs" dxfId="0" priority="11287" operator="equal">
      <formula>"欠"</formula>
    </cfRule>
  </conditionalFormatting>
  <conditionalFormatting sqref="AL97:AM97">
    <cfRule type="cellIs" dxfId="1" priority="11341" operator="equal">
      <formula>"未完成"</formula>
    </cfRule>
    <cfRule type="cellIs" dxfId="0" priority="11368" operator="equal">
      <formula>"未完成"</formula>
    </cfRule>
  </conditionalFormatting>
  <conditionalFormatting sqref="AG98">
    <cfRule type="cellIs" dxfId="0" priority="11394" operator="equal">
      <formula>"未完成"</formula>
    </cfRule>
  </conditionalFormatting>
  <conditionalFormatting sqref="AH98">
    <cfRule type="cellIs" dxfId="0" priority="7346" operator="equal">
      <formula>"未完成"</formula>
    </cfRule>
  </conditionalFormatting>
  <conditionalFormatting sqref="AL98:AM98">
    <cfRule type="cellIs" dxfId="1" priority="11340" operator="equal">
      <formula>"未完成"</formula>
    </cfRule>
    <cfRule type="cellIs" dxfId="0" priority="11367" operator="equal">
      <formula>"未完成"</formula>
    </cfRule>
  </conditionalFormatting>
  <conditionalFormatting sqref="S99">
    <cfRule type="cellIs" dxfId="0" priority="11285" operator="equal">
      <formula>"欠"</formula>
    </cfRule>
  </conditionalFormatting>
  <conditionalFormatting sqref="AG99">
    <cfRule type="cellIs" dxfId="0" priority="11393" operator="equal">
      <formula>"未完成"</formula>
    </cfRule>
  </conditionalFormatting>
  <conditionalFormatting sqref="AH99">
    <cfRule type="cellIs" dxfId="0" priority="7345" operator="equal">
      <formula>"未完成"</formula>
    </cfRule>
  </conditionalFormatting>
  <conditionalFormatting sqref="AL99:AM99">
    <cfRule type="cellIs" dxfId="1" priority="11339" operator="equal">
      <formula>"未完成"</formula>
    </cfRule>
    <cfRule type="cellIs" dxfId="0" priority="11366" operator="equal">
      <formula>"未完成"</formula>
    </cfRule>
  </conditionalFormatting>
  <conditionalFormatting sqref="S100">
    <cfRule type="cellIs" dxfId="0" priority="11284" operator="equal">
      <formula>"欠"</formula>
    </cfRule>
  </conditionalFormatting>
  <conditionalFormatting sqref="AG100">
    <cfRule type="cellIs" dxfId="0" priority="11392" operator="equal">
      <formula>"未完成"</formula>
    </cfRule>
  </conditionalFormatting>
  <conditionalFormatting sqref="AH100">
    <cfRule type="cellIs" dxfId="0" priority="7344" operator="equal">
      <formula>"未完成"</formula>
    </cfRule>
  </conditionalFormatting>
  <conditionalFormatting sqref="AL100:AM100">
    <cfRule type="cellIs" dxfId="1" priority="11338" operator="equal">
      <formula>"未完成"</formula>
    </cfRule>
    <cfRule type="cellIs" dxfId="0" priority="11365" operator="equal">
      <formula>"未完成"</formula>
    </cfRule>
  </conditionalFormatting>
  <conditionalFormatting sqref="S101">
    <cfRule type="cellIs" dxfId="0" priority="11283" operator="equal">
      <formula>"欠"</formula>
    </cfRule>
  </conditionalFormatting>
  <conditionalFormatting sqref="AG101">
    <cfRule type="cellIs" dxfId="0" priority="11391" operator="equal">
      <formula>"未完成"</formula>
    </cfRule>
  </conditionalFormatting>
  <conditionalFormatting sqref="AH101">
    <cfRule type="cellIs" dxfId="0" priority="7343" operator="equal">
      <formula>"未完成"</formula>
    </cfRule>
  </conditionalFormatting>
  <conditionalFormatting sqref="AL101:AM101">
    <cfRule type="cellIs" dxfId="1" priority="11337" operator="equal">
      <formula>"未完成"</formula>
    </cfRule>
    <cfRule type="cellIs" dxfId="0" priority="11364" operator="equal">
      <formula>"未完成"</formula>
    </cfRule>
  </conditionalFormatting>
  <conditionalFormatting sqref="S102">
    <cfRule type="cellIs" dxfId="0" priority="11282" operator="equal">
      <formula>"欠"</formula>
    </cfRule>
  </conditionalFormatting>
  <conditionalFormatting sqref="AG102">
    <cfRule type="cellIs" dxfId="0" priority="11390" operator="equal">
      <formula>"未完成"</formula>
    </cfRule>
  </conditionalFormatting>
  <conditionalFormatting sqref="AH102">
    <cfRule type="cellIs" dxfId="0" priority="7342" operator="equal">
      <formula>"未完成"</formula>
    </cfRule>
  </conditionalFormatting>
  <conditionalFormatting sqref="AL102:AM102">
    <cfRule type="cellIs" dxfId="1" priority="11336" operator="equal">
      <formula>"未完成"</formula>
    </cfRule>
    <cfRule type="cellIs" dxfId="0" priority="11363" operator="equal">
      <formula>"未完成"</formula>
    </cfRule>
  </conditionalFormatting>
  <conditionalFormatting sqref="S103">
    <cfRule type="cellIs" dxfId="0" priority="11281" operator="equal">
      <formula>"欠"</formula>
    </cfRule>
  </conditionalFormatting>
  <conditionalFormatting sqref="AG103">
    <cfRule type="cellIs" dxfId="0" priority="11389" operator="equal">
      <formula>"未完成"</formula>
    </cfRule>
  </conditionalFormatting>
  <conditionalFormatting sqref="AH103">
    <cfRule type="cellIs" dxfId="0" priority="7341" operator="equal">
      <formula>"未完成"</formula>
    </cfRule>
  </conditionalFormatting>
  <conditionalFormatting sqref="AL103:AM103">
    <cfRule type="cellIs" dxfId="1" priority="11335" operator="equal">
      <formula>"未完成"</formula>
    </cfRule>
    <cfRule type="cellIs" dxfId="0" priority="11362" operator="equal">
      <formula>"未完成"</formula>
    </cfRule>
  </conditionalFormatting>
  <conditionalFormatting sqref="S104">
    <cfRule type="cellIs" dxfId="0" priority="11280" operator="equal">
      <formula>"欠"</formula>
    </cfRule>
  </conditionalFormatting>
  <conditionalFormatting sqref="AG104">
    <cfRule type="cellIs" dxfId="0" priority="11388" operator="equal">
      <formula>"未完成"</formula>
    </cfRule>
  </conditionalFormatting>
  <conditionalFormatting sqref="AH104">
    <cfRule type="cellIs" dxfId="0" priority="7340" operator="equal">
      <formula>"未完成"</formula>
    </cfRule>
  </conditionalFormatting>
  <conditionalFormatting sqref="AL104:AM104">
    <cfRule type="cellIs" dxfId="1" priority="11334" operator="equal">
      <formula>"未完成"</formula>
    </cfRule>
    <cfRule type="cellIs" dxfId="0" priority="11361" operator="equal">
      <formula>"未完成"</formula>
    </cfRule>
  </conditionalFormatting>
  <conditionalFormatting sqref="S105">
    <cfRule type="cellIs" dxfId="0" priority="11279" operator="equal">
      <formula>"欠"</formula>
    </cfRule>
  </conditionalFormatting>
  <conditionalFormatting sqref="AG105">
    <cfRule type="cellIs" dxfId="0" priority="11387" operator="equal">
      <formula>"未完成"</formula>
    </cfRule>
  </conditionalFormatting>
  <conditionalFormatting sqref="AH105">
    <cfRule type="cellIs" dxfId="0" priority="7339" operator="equal">
      <formula>"未完成"</formula>
    </cfRule>
  </conditionalFormatting>
  <conditionalFormatting sqref="AL105:AM105">
    <cfRule type="cellIs" dxfId="1" priority="11333" operator="equal">
      <formula>"未完成"</formula>
    </cfRule>
    <cfRule type="cellIs" dxfId="0" priority="11360" operator="equal">
      <formula>"未完成"</formula>
    </cfRule>
  </conditionalFormatting>
  <conditionalFormatting sqref="S106">
    <cfRule type="cellIs" dxfId="0" priority="11278" operator="equal">
      <formula>"欠"</formula>
    </cfRule>
  </conditionalFormatting>
  <conditionalFormatting sqref="AG106">
    <cfRule type="cellIs" dxfId="0" priority="11386" operator="equal">
      <formula>"未完成"</formula>
    </cfRule>
  </conditionalFormatting>
  <conditionalFormatting sqref="AH106">
    <cfRule type="cellIs" dxfId="0" priority="7338" operator="equal">
      <formula>"未完成"</formula>
    </cfRule>
  </conditionalFormatting>
  <conditionalFormatting sqref="AL106:AM106">
    <cfRule type="cellIs" dxfId="1" priority="11332" operator="equal">
      <formula>"未完成"</formula>
    </cfRule>
    <cfRule type="cellIs" dxfId="0" priority="11359" operator="equal">
      <formula>"未完成"</formula>
    </cfRule>
  </conditionalFormatting>
  <conditionalFormatting sqref="S107">
    <cfRule type="cellIs" dxfId="0" priority="11276" operator="equal">
      <formula>"欠"</formula>
    </cfRule>
  </conditionalFormatting>
  <conditionalFormatting sqref="AG107">
    <cfRule type="cellIs" dxfId="0" priority="11384" operator="equal">
      <formula>"未完成"</formula>
    </cfRule>
  </conditionalFormatting>
  <conditionalFormatting sqref="AH107">
    <cfRule type="cellIs" dxfId="0" priority="7336" operator="equal">
      <formula>"未完成"</formula>
    </cfRule>
  </conditionalFormatting>
  <conditionalFormatting sqref="AL107:AM107">
    <cfRule type="cellIs" dxfId="1" priority="11330" operator="equal">
      <formula>"未完成"</formula>
    </cfRule>
    <cfRule type="cellIs" dxfId="0" priority="11357" operator="equal">
      <formula>"未完成"</formula>
    </cfRule>
  </conditionalFormatting>
  <conditionalFormatting sqref="S108">
    <cfRule type="cellIs" dxfId="0" priority="11275" operator="equal">
      <formula>"欠"</formula>
    </cfRule>
  </conditionalFormatting>
  <conditionalFormatting sqref="AG108">
    <cfRule type="cellIs" dxfId="0" priority="11383" operator="equal">
      <formula>"未完成"</formula>
    </cfRule>
  </conditionalFormatting>
  <conditionalFormatting sqref="AH108">
    <cfRule type="cellIs" dxfId="0" priority="7335" operator="equal">
      <formula>"未完成"</formula>
    </cfRule>
  </conditionalFormatting>
  <conditionalFormatting sqref="AL108:AM108">
    <cfRule type="cellIs" dxfId="1" priority="11329" operator="equal">
      <formula>"未完成"</formula>
    </cfRule>
    <cfRule type="cellIs" dxfId="0" priority="11356" operator="equal">
      <formula>"未完成"</formula>
    </cfRule>
  </conditionalFormatting>
  <conditionalFormatting sqref="S109">
    <cfRule type="cellIs" dxfId="0" priority="11274" operator="equal">
      <formula>"欠"</formula>
    </cfRule>
  </conditionalFormatting>
  <conditionalFormatting sqref="AG109">
    <cfRule type="cellIs" dxfId="0" priority="11382" operator="equal">
      <formula>"未完成"</formula>
    </cfRule>
  </conditionalFormatting>
  <conditionalFormatting sqref="AH109">
    <cfRule type="cellIs" dxfId="0" priority="7334" operator="equal">
      <formula>"未完成"</formula>
    </cfRule>
  </conditionalFormatting>
  <conditionalFormatting sqref="AL109:AM109">
    <cfRule type="cellIs" dxfId="1" priority="11328" operator="equal">
      <formula>"未完成"</formula>
    </cfRule>
    <cfRule type="cellIs" dxfId="0" priority="11355" operator="equal">
      <formula>"未完成"</formula>
    </cfRule>
  </conditionalFormatting>
  <conditionalFormatting sqref="S110">
    <cfRule type="cellIs" dxfId="0" priority="11273" operator="equal">
      <formula>"欠"</formula>
    </cfRule>
  </conditionalFormatting>
  <conditionalFormatting sqref="AG110">
    <cfRule type="cellIs" dxfId="0" priority="11381" operator="equal">
      <formula>"未完成"</formula>
    </cfRule>
  </conditionalFormatting>
  <conditionalFormatting sqref="AH110">
    <cfRule type="cellIs" dxfId="0" priority="7333" operator="equal">
      <formula>"未完成"</formula>
    </cfRule>
  </conditionalFormatting>
  <conditionalFormatting sqref="AL110:AM110">
    <cfRule type="cellIs" dxfId="1" priority="11327" operator="equal">
      <formula>"未完成"</formula>
    </cfRule>
    <cfRule type="cellIs" dxfId="0" priority="11354" operator="equal">
      <formula>"未完成"</formula>
    </cfRule>
  </conditionalFormatting>
  <conditionalFormatting sqref="S111">
    <cfRule type="cellIs" dxfId="0" priority="11272" operator="equal">
      <formula>"欠"</formula>
    </cfRule>
  </conditionalFormatting>
  <conditionalFormatting sqref="AG111">
    <cfRule type="cellIs" dxfId="0" priority="11380" operator="equal">
      <formula>"未完成"</formula>
    </cfRule>
  </conditionalFormatting>
  <conditionalFormatting sqref="AH111">
    <cfRule type="cellIs" dxfId="0" priority="7332" operator="equal">
      <formula>"未完成"</formula>
    </cfRule>
  </conditionalFormatting>
  <conditionalFormatting sqref="AL111:AM111">
    <cfRule type="cellIs" dxfId="1" priority="11326" operator="equal">
      <formula>"未完成"</formula>
    </cfRule>
    <cfRule type="cellIs" dxfId="0" priority="11353" operator="equal">
      <formula>"未完成"</formula>
    </cfRule>
  </conditionalFormatting>
  <conditionalFormatting sqref="S112">
    <cfRule type="cellIs" dxfId="0" priority="11271" operator="equal">
      <formula>"欠"</formula>
    </cfRule>
  </conditionalFormatting>
  <conditionalFormatting sqref="AG112">
    <cfRule type="cellIs" dxfId="0" priority="11379" operator="equal">
      <formula>"未完成"</formula>
    </cfRule>
  </conditionalFormatting>
  <conditionalFormatting sqref="AH112">
    <cfRule type="cellIs" dxfId="0" priority="7331" operator="equal">
      <formula>"未完成"</formula>
    </cfRule>
  </conditionalFormatting>
  <conditionalFormatting sqref="AL112:AM112">
    <cfRule type="cellIs" dxfId="1" priority="11325" operator="equal">
      <formula>"未完成"</formula>
    </cfRule>
    <cfRule type="cellIs" dxfId="0" priority="11352" operator="equal">
      <formula>"未完成"</formula>
    </cfRule>
  </conditionalFormatting>
  <conditionalFormatting sqref="S113">
    <cfRule type="cellIs" dxfId="0" priority="11270" operator="equal">
      <formula>"欠"</formula>
    </cfRule>
  </conditionalFormatting>
  <conditionalFormatting sqref="AG113">
    <cfRule type="cellIs" dxfId="0" priority="11378" operator="equal">
      <formula>"未完成"</formula>
    </cfRule>
  </conditionalFormatting>
  <conditionalFormatting sqref="AH113">
    <cfRule type="cellIs" dxfId="0" priority="7330" operator="equal">
      <formula>"未完成"</formula>
    </cfRule>
  </conditionalFormatting>
  <conditionalFormatting sqref="AL113:AM113">
    <cfRule type="cellIs" dxfId="1" priority="11324" operator="equal">
      <formula>"未完成"</formula>
    </cfRule>
    <cfRule type="cellIs" dxfId="0" priority="11351" operator="equal">
      <formula>"未完成"</formula>
    </cfRule>
  </conditionalFormatting>
  <conditionalFormatting sqref="S114">
    <cfRule type="cellIs" dxfId="0" priority="11269" operator="equal">
      <formula>"欠"</formula>
    </cfRule>
  </conditionalFormatting>
  <conditionalFormatting sqref="AG114">
    <cfRule type="cellIs" dxfId="0" priority="11377" operator="equal">
      <formula>"未完成"</formula>
    </cfRule>
  </conditionalFormatting>
  <conditionalFormatting sqref="AH114">
    <cfRule type="cellIs" dxfId="0" priority="7329" operator="equal">
      <formula>"未完成"</formula>
    </cfRule>
  </conditionalFormatting>
  <conditionalFormatting sqref="AL114:AM114">
    <cfRule type="cellIs" dxfId="1" priority="11323" operator="equal">
      <formula>"未完成"</formula>
    </cfRule>
    <cfRule type="cellIs" dxfId="0" priority="11350" operator="equal">
      <formula>"未完成"</formula>
    </cfRule>
  </conditionalFormatting>
  <conditionalFormatting sqref="S115">
    <cfRule type="cellIs" dxfId="0" priority="11268" operator="equal">
      <formula>"欠"</formula>
    </cfRule>
  </conditionalFormatting>
  <conditionalFormatting sqref="AG115">
    <cfRule type="cellIs" dxfId="0" priority="11376" operator="equal">
      <formula>"未完成"</formula>
    </cfRule>
  </conditionalFormatting>
  <conditionalFormatting sqref="AH115">
    <cfRule type="cellIs" dxfId="0" priority="7328" operator="equal">
      <formula>"未完成"</formula>
    </cfRule>
  </conditionalFormatting>
  <conditionalFormatting sqref="AL115:AM115">
    <cfRule type="cellIs" dxfId="1" priority="11322" operator="equal">
      <formula>"未完成"</formula>
    </cfRule>
    <cfRule type="cellIs" dxfId="0" priority="11349" operator="equal">
      <formula>"未完成"</formula>
    </cfRule>
  </conditionalFormatting>
  <conditionalFormatting sqref="S116">
    <cfRule type="cellIs" dxfId="0" priority="11267" operator="equal">
      <formula>"欠"</formula>
    </cfRule>
  </conditionalFormatting>
  <conditionalFormatting sqref="AG116">
    <cfRule type="cellIs" dxfId="0" priority="11375" operator="equal">
      <formula>"未完成"</formula>
    </cfRule>
  </conditionalFormatting>
  <conditionalFormatting sqref="AH116">
    <cfRule type="cellIs" dxfId="0" priority="7327" operator="equal">
      <formula>"未完成"</formula>
    </cfRule>
  </conditionalFormatting>
  <conditionalFormatting sqref="AL116:AM116">
    <cfRule type="cellIs" dxfId="1" priority="11321" operator="equal">
      <formula>"未完成"</formula>
    </cfRule>
    <cfRule type="cellIs" dxfId="0" priority="11348" operator="equal">
      <formula>"未完成"</formula>
    </cfRule>
  </conditionalFormatting>
  <conditionalFormatting sqref="S117">
    <cfRule type="cellIs" dxfId="0" priority="11266" operator="equal">
      <formula>"欠"</formula>
    </cfRule>
  </conditionalFormatting>
  <conditionalFormatting sqref="AG117">
    <cfRule type="cellIs" dxfId="0" priority="11374" operator="equal">
      <formula>"未完成"</formula>
    </cfRule>
  </conditionalFormatting>
  <conditionalFormatting sqref="AH117">
    <cfRule type="cellIs" dxfId="0" priority="7326" operator="equal">
      <formula>"未完成"</formula>
    </cfRule>
  </conditionalFormatting>
  <conditionalFormatting sqref="AL117:AM117">
    <cfRule type="cellIs" dxfId="1" priority="11320" operator="equal">
      <formula>"未完成"</formula>
    </cfRule>
    <cfRule type="cellIs" dxfId="0" priority="11347" operator="equal">
      <formula>"未完成"</formula>
    </cfRule>
  </conditionalFormatting>
  <conditionalFormatting sqref="S118">
    <cfRule type="cellIs" dxfId="0" priority="11265" operator="equal">
      <formula>"欠"</formula>
    </cfRule>
  </conditionalFormatting>
  <conditionalFormatting sqref="AG118">
    <cfRule type="cellIs" dxfId="0" priority="11373" operator="equal">
      <formula>"未完成"</formula>
    </cfRule>
  </conditionalFormatting>
  <conditionalFormatting sqref="AH118">
    <cfRule type="cellIs" dxfId="0" priority="7325" operator="equal">
      <formula>"未完成"</formula>
    </cfRule>
  </conditionalFormatting>
  <conditionalFormatting sqref="AL118:AM118">
    <cfRule type="cellIs" dxfId="1" priority="11319" operator="equal">
      <formula>"未完成"</formula>
    </cfRule>
    <cfRule type="cellIs" dxfId="0" priority="11346" operator="equal">
      <formula>"未完成"</formula>
    </cfRule>
  </conditionalFormatting>
  <conditionalFormatting sqref="S119">
    <cfRule type="cellIs" dxfId="0" priority="11277" operator="equal">
      <formula>"欠"</formula>
    </cfRule>
  </conditionalFormatting>
  <conditionalFormatting sqref="AG119">
    <cfRule type="cellIs" dxfId="0" priority="11385" operator="equal">
      <formula>"未完成"</formula>
    </cfRule>
  </conditionalFormatting>
  <conditionalFormatting sqref="AH119">
    <cfRule type="cellIs" dxfId="0" priority="7337" operator="equal">
      <formula>"未完成"</formula>
    </cfRule>
  </conditionalFormatting>
  <conditionalFormatting sqref="AL119:AM119">
    <cfRule type="cellIs" dxfId="1" priority="11331" operator="equal">
      <formula>"未完成"</formula>
    </cfRule>
    <cfRule type="cellIs" dxfId="0" priority="11358" operator="equal">
      <formula>"未完成"</formula>
    </cfRule>
  </conditionalFormatting>
  <conditionalFormatting sqref="S120">
    <cfRule type="cellIs" dxfId="0" priority="11264" operator="equal">
      <formula>"欠"</formula>
    </cfRule>
  </conditionalFormatting>
  <conditionalFormatting sqref="AG120">
    <cfRule type="cellIs" dxfId="0" priority="11372" operator="equal">
      <formula>"未完成"</formula>
    </cfRule>
  </conditionalFormatting>
  <conditionalFormatting sqref="AH120">
    <cfRule type="cellIs" dxfId="0" priority="7324" operator="equal">
      <formula>"未完成"</formula>
    </cfRule>
  </conditionalFormatting>
  <conditionalFormatting sqref="AL120:AM120">
    <cfRule type="cellIs" dxfId="1" priority="11318" operator="equal">
      <formula>"未完成"</formula>
    </cfRule>
    <cfRule type="cellIs" dxfId="0" priority="11345" operator="equal">
      <formula>"未完成"</formula>
    </cfRule>
  </conditionalFormatting>
  <conditionalFormatting sqref="S121">
    <cfRule type="cellIs" dxfId="0" priority="11263" operator="equal">
      <formula>"欠"</formula>
    </cfRule>
  </conditionalFormatting>
  <conditionalFormatting sqref="AG121">
    <cfRule type="cellIs" dxfId="0" priority="11371" operator="equal">
      <formula>"未完成"</formula>
    </cfRule>
  </conditionalFormatting>
  <conditionalFormatting sqref="AH121">
    <cfRule type="cellIs" dxfId="0" priority="7323" operator="equal">
      <formula>"未完成"</formula>
    </cfRule>
  </conditionalFormatting>
  <conditionalFormatting sqref="AL121:AM121">
    <cfRule type="cellIs" dxfId="1" priority="11317" operator="equal">
      <formula>"未完成"</formula>
    </cfRule>
    <cfRule type="cellIs" dxfId="0" priority="11344" operator="equal">
      <formula>"未完成"</formula>
    </cfRule>
  </conditionalFormatting>
  <conditionalFormatting sqref="S122">
    <cfRule type="cellIs" dxfId="0" priority="11262" operator="equal">
      <formula>"欠"</formula>
    </cfRule>
  </conditionalFormatting>
  <conditionalFormatting sqref="AG122">
    <cfRule type="cellIs" dxfId="0" priority="11370" operator="equal">
      <formula>"未完成"</formula>
    </cfRule>
  </conditionalFormatting>
  <conditionalFormatting sqref="AH122">
    <cfRule type="cellIs" dxfId="0" priority="7322" operator="equal">
      <formula>"未完成"</formula>
    </cfRule>
  </conditionalFormatting>
  <conditionalFormatting sqref="AL122:AM122">
    <cfRule type="cellIs" dxfId="1" priority="11316" operator="equal">
      <formula>"未完成"</formula>
    </cfRule>
    <cfRule type="cellIs" dxfId="0" priority="11343" operator="equal">
      <formula>"未完成"</formula>
    </cfRule>
  </conditionalFormatting>
  <conditionalFormatting sqref="AL123:AM123">
    <cfRule type="cellIs" dxfId="1" priority="11315" operator="equal">
      <formula>"未完成"</formula>
    </cfRule>
    <cfRule type="cellIs" dxfId="0" priority="11342" operator="equal">
      <formula>"未完成"</formula>
    </cfRule>
  </conditionalFormatting>
  <conditionalFormatting sqref="S124">
    <cfRule type="cellIs" dxfId="0" priority="11207" operator="equal">
      <formula>"欠"</formula>
    </cfRule>
  </conditionalFormatting>
  <conditionalFormatting sqref="AL124:AM124">
    <cfRule type="cellIs" dxfId="1" priority="11209" operator="equal">
      <formula>"未完成"</formula>
    </cfRule>
    <cfRule type="cellIs" dxfId="0" priority="11210" operator="equal">
      <formula>"未完成"</formula>
    </cfRule>
  </conditionalFormatting>
  <conditionalFormatting sqref="S125">
    <cfRule type="cellIs" dxfId="0" priority="11174" operator="equal">
      <formula>"欠"</formula>
    </cfRule>
  </conditionalFormatting>
  <conditionalFormatting sqref="AL125:AM125">
    <cfRule type="cellIs" dxfId="1" priority="11190" operator="equal">
      <formula>"未完成"</formula>
    </cfRule>
    <cfRule type="cellIs" dxfId="0" priority="11198" operator="equal">
      <formula>"未完成"</formula>
    </cfRule>
  </conditionalFormatting>
  <conditionalFormatting sqref="S126">
    <cfRule type="cellIs" dxfId="0" priority="11173" operator="equal">
      <formula>"欠"</formula>
    </cfRule>
  </conditionalFormatting>
  <conditionalFormatting sqref="AL126:AM126">
    <cfRule type="cellIs" dxfId="1" priority="11189" operator="equal">
      <formula>"未完成"</formula>
    </cfRule>
    <cfRule type="cellIs" dxfId="0" priority="11197" operator="equal">
      <formula>"未完成"</formula>
    </cfRule>
  </conditionalFormatting>
  <conditionalFormatting sqref="S127">
    <cfRule type="cellIs" dxfId="0" priority="11172" operator="equal">
      <formula>"欠"</formula>
    </cfRule>
  </conditionalFormatting>
  <conditionalFormatting sqref="AL127:AM127">
    <cfRule type="cellIs" dxfId="1" priority="11188" operator="equal">
      <formula>"未完成"</formula>
    </cfRule>
    <cfRule type="cellIs" dxfId="0" priority="11196" operator="equal">
      <formula>"未完成"</formula>
    </cfRule>
  </conditionalFormatting>
  <conditionalFormatting sqref="S128">
    <cfRule type="cellIs" dxfId="0" priority="11171" operator="equal">
      <formula>"欠"</formula>
    </cfRule>
  </conditionalFormatting>
  <conditionalFormatting sqref="AL128:AM128">
    <cfRule type="cellIs" dxfId="1" priority="11187" operator="equal">
      <formula>"未完成"</formula>
    </cfRule>
    <cfRule type="cellIs" dxfId="0" priority="11195" operator="equal">
      <formula>"未完成"</formula>
    </cfRule>
  </conditionalFormatting>
  <conditionalFormatting sqref="S129">
    <cfRule type="cellIs" dxfId="0" priority="11170" operator="equal">
      <formula>"欠"</formula>
    </cfRule>
  </conditionalFormatting>
  <conditionalFormatting sqref="AL129:AM129">
    <cfRule type="cellIs" dxfId="1" priority="11186" operator="equal">
      <formula>"未完成"</formula>
    </cfRule>
    <cfRule type="cellIs" dxfId="0" priority="11194" operator="equal">
      <formula>"未完成"</formula>
    </cfRule>
  </conditionalFormatting>
  <conditionalFormatting sqref="S130">
    <cfRule type="cellIs" dxfId="0" priority="11169" operator="equal">
      <formula>"欠"</formula>
    </cfRule>
  </conditionalFormatting>
  <conditionalFormatting sqref="AL130:AM130">
    <cfRule type="cellIs" dxfId="1" priority="11185" operator="equal">
      <formula>"未完成"</formula>
    </cfRule>
    <cfRule type="cellIs" dxfId="0" priority="11193" operator="equal">
      <formula>"未完成"</formula>
    </cfRule>
  </conditionalFormatting>
  <conditionalFormatting sqref="S131">
    <cfRule type="cellIs" dxfId="0" priority="11168" operator="equal">
      <formula>"欠"</formula>
    </cfRule>
  </conditionalFormatting>
  <conditionalFormatting sqref="AL131:AM131">
    <cfRule type="cellIs" dxfId="1" priority="11184" operator="equal">
      <formula>"未完成"</formula>
    </cfRule>
    <cfRule type="cellIs" dxfId="0" priority="11192" operator="equal">
      <formula>"未完成"</formula>
    </cfRule>
  </conditionalFormatting>
  <conditionalFormatting sqref="S132">
    <cfRule type="cellIs" dxfId="0" priority="11167" operator="equal">
      <formula>"欠"</formula>
    </cfRule>
  </conditionalFormatting>
  <conditionalFormatting sqref="AL132:AM132">
    <cfRule type="cellIs" dxfId="1" priority="11183" operator="equal">
      <formula>"未完成"</formula>
    </cfRule>
    <cfRule type="cellIs" dxfId="0" priority="11191" operator="equal">
      <formula>"未完成"</formula>
    </cfRule>
  </conditionalFormatting>
  <conditionalFormatting sqref="S133">
    <cfRule type="cellIs" dxfId="0" priority="11012" operator="equal">
      <formula>"欠"</formula>
    </cfRule>
  </conditionalFormatting>
  <conditionalFormatting sqref="AL133:AM133">
    <cfRule type="cellIs" dxfId="1" priority="11042" operator="equal">
      <formula>"未完成"</formula>
    </cfRule>
    <cfRule type="cellIs" dxfId="0" priority="11057" operator="equal">
      <formula>"未完成"</formula>
    </cfRule>
  </conditionalFormatting>
  <conditionalFormatting sqref="S134">
    <cfRule type="cellIs" dxfId="0" priority="11011" operator="equal">
      <formula>"欠"</formula>
    </cfRule>
  </conditionalFormatting>
  <conditionalFormatting sqref="AL134:AM134">
    <cfRule type="cellIs" dxfId="1" priority="11041" operator="equal">
      <formula>"未完成"</formula>
    </cfRule>
    <cfRule type="cellIs" dxfId="0" priority="11056" operator="equal">
      <formula>"未完成"</formula>
    </cfRule>
  </conditionalFormatting>
  <conditionalFormatting sqref="S135">
    <cfRule type="cellIs" dxfId="0" priority="11010" operator="equal">
      <formula>"欠"</formula>
    </cfRule>
  </conditionalFormatting>
  <conditionalFormatting sqref="AL135:AM135">
    <cfRule type="cellIs" dxfId="1" priority="11040" operator="equal">
      <formula>"未完成"</formula>
    </cfRule>
    <cfRule type="cellIs" dxfId="0" priority="11055" operator="equal">
      <formula>"未完成"</formula>
    </cfRule>
  </conditionalFormatting>
  <conditionalFormatting sqref="S136">
    <cfRule type="cellIs" dxfId="0" priority="11009" operator="equal">
      <formula>"欠"</formula>
    </cfRule>
  </conditionalFormatting>
  <conditionalFormatting sqref="AL136:AM136">
    <cfRule type="cellIs" dxfId="1" priority="11039" operator="equal">
      <formula>"未完成"</formula>
    </cfRule>
    <cfRule type="cellIs" dxfId="0" priority="11054" operator="equal">
      <formula>"未完成"</formula>
    </cfRule>
  </conditionalFormatting>
  <conditionalFormatting sqref="S137">
    <cfRule type="cellIs" dxfId="0" priority="11008" operator="equal">
      <formula>"欠"</formula>
    </cfRule>
  </conditionalFormatting>
  <conditionalFormatting sqref="AL137:AM137">
    <cfRule type="cellIs" dxfId="1" priority="11038" operator="equal">
      <formula>"未完成"</formula>
    </cfRule>
    <cfRule type="cellIs" dxfId="0" priority="11053" operator="equal">
      <formula>"未完成"</formula>
    </cfRule>
  </conditionalFormatting>
  <conditionalFormatting sqref="S138">
    <cfRule type="cellIs" dxfId="0" priority="11007" operator="equal">
      <formula>"欠"</formula>
    </cfRule>
  </conditionalFormatting>
  <conditionalFormatting sqref="AL138:AM138">
    <cfRule type="cellIs" dxfId="1" priority="11037" operator="equal">
      <formula>"未完成"</formula>
    </cfRule>
    <cfRule type="cellIs" dxfId="0" priority="11052" operator="equal">
      <formula>"未完成"</formula>
    </cfRule>
  </conditionalFormatting>
  <conditionalFormatting sqref="S139">
    <cfRule type="cellIs" dxfId="0" priority="11006" operator="equal">
      <formula>"欠"</formula>
    </cfRule>
  </conditionalFormatting>
  <conditionalFormatting sqref="AL139:AM139">
    <cfRule type="cellIs" dxfId="1" priority="11036" operator="equal">
      <formula>"未完成"</formula>
    </cfRule>
    <cfRule type="cellIs" dxfId="0" priority="11051" operator="equal">
      <formula>"未完成"</formula>
    </cfRule>
  </conditionalFormatting>
  <conditionalFormatting sqref="S140">
    <cfRule type="cellIs" dxfId="0" priority="11005" operator="equal">
      <formula>"欠"</formula>
    </cfRule>
  </conditionalFormatting>
  <conditionalFormatting sqref="AL140:AM140">
    <cfRule type="cellIs" dxfId="1" priority="11035" operator="equal">
      <formula>"未完成"</formula>
    </cfRule>
    <cfRule type="cellIs" dxfId="0" priority="11050" operator="equal">
      <formula>"未完成"</formula>
    </cfRule>
  </conditionalFormatting>
  <conditionalFormatting sqref="S141">
    <cfRule type="cellIs" dxfId="0" priority="11004" operator="equal">
      <formula>"欠"</formula>
    </cfRule>
  </conditionalFormatting>
  <conditionalFormatting sqref="AL141:AM141">
    <cfRule type="cellIs" dxfId="1" priority="11034" operator="equal">
      <formula>"未完成"</formula>
    </cfRule>
    <cfRule type="cellIs" dxfId="0" priority="11049" operator="equal">
      <formula>"未完成"</formula>
    </cfRule>
  </conditionalFormatting>
  <conditionalFormatting sqref="S142">
    <cfRule type="cellIs" dxfId="0" priority="11003" operator="equal">
      <formula>"欠"</formula>
    </cfRule>
  </conditionalFormatting>
  <conditionalFormatting sqref="AL142:AM142">
    <cfRule type="cellIs" dxfId="1" priority="11033" operator="equal">
      <formula>"未完成"</formula>
    </cfRule>
    <cfRule type="cellIs" dxfId="0" priority="11048" operator="equal">
      <formula>"未完成"</formula>
    </cfRule>
  </conditionalFormatting>
  <conditionalFormatting sqref="S143">
    <cfRule type="cellIs" dxfId="0" priority="11002" operator="equal">
      <formula>"欠"</formula>
    </cfRule>
  </conditionalFormatting>
  <conditionalFormatting sqref="AL143:AM143">
    <cfRule type="cellIs" dxfId="1" priority="11032" operator="equal">
      <formula>"未完成"</formula>
    </cfRule>
    <cfRule type="cellIs" dxfId="0" priority="11047" operator="equal">
      <formula>"未完成"</formula>
    </cfRule>
  </conditionalFormatting>
  <conditionalFormatting sqref="S144">
    <cfRule type="cellIs" dxfId="0" priority="11001" operator="equal">
      <formula>"欠"</formula>
    </cfRule>
  </conditionalFormatting>
  <conditionalFormatting sqref="AL144:AM144">
    <cfRule type="cellIs" dxfId="1" priority="11031" operator="equal">
      <formula>"未完成"</formula>
    </cfRule>
    <cfRule type="cellIs" dxfId="0" priority="11046" operator="equal">
      <formula>"未完成"</formula>
    </cfRule>
  </conditionalFormatting>
  <conditionalFormatting sqref="S145">
    <cfRule type="cellIs" dxfId="0" priority="11000" operator="equal">
      <formula>"欠"</formula>
    </cfRule>
  </conditionalFormatting>
  <conditionalFormatting sqref="AL145:AM145">
    <cfRule type="cellIs" dxfId="1" priority="11030" operator="equal">
      <formula>"未完成"</formula>
    </cfRule>
    <cfRule type="cellIs" dxfId="0" priority="11045" operator="equal">
      <formula>"未完成"</formula>
    </cfRule>
  </conditionalFormatting>
  <conditionalFormatting sqref="AL146:AM146">
    <cfRule type="cellIs" dxfId="1" priority="11029" operator="equal">
      <formula>"未完成"</formula>
    </cfRule>
    <cfRule type="cellIs" dxfId="0" priority="11044" operator="equal">
      <formula>"未完成"</formula>
    </cfRule>
  </conditionalFormatting>
  <conditionalFormatting sqref="AL147:AM147">
    <cfRule type="cellIs" dxfId="1" priority="11028" operator="equal">
      <formula>"未完成"</formula>
    </cfRule>
    <cfRule type="cellIs" dxfId="0" priority="11043" operator="equal">
      <formula>"未完成"</formula>
    </cfRule>
  </conditionalFormatting>
  <conditionalFormatting sqref="S148">
    <cfRule type="cellIs" dxfId="0" priority="10928" operator="equal">
      <formula>"欠"</formula>
    </cfRule>
  </conditionalFormatting>
  <conditionalFormatting sqref="AG148">
    <cfRule type="cellIs" dxfId="0" priority="10984" operator="equal">
      <formula>"未完成"</formula>
    </cfRule>
  </conditionalFormatting>
  <conditionalFormatting sqref="AH148">
    <cfRule type="cellIs" dxfId="0" priority="7318" operator="equal">
      <formula>"未完成"</formula>
    </cfRule>
  </conditionalFormatting>
  <conditionalFormatting sqref="AL148:AM148">
    <cfRule type="cellIs" dxfId="1" priority="10956" operator="equal">
      <formula>"未完成"</formula>
    </cfRule>
    <cfRule type="cellIs" dxfId="0" priority="10970" operator="equal">
      <formula>"未完成"</formula>
    </cfRule>
  </conditionalFormatting>
  <conditionalFormatting sqref="S149">
    <cfRule type="cellIs" dxfId="0" priority="10927" operator="equal">
      <formula>"欠"</formula>
    </cfRule>
  </conditionalFormatting>
  <conditionalFormatting sqref="AG149">
    <cfRule type="cellIs" dxfId="0" priority="10983" operator="equal">
      <formula>"未完成"</formula>
    </cfRule>
  </conditionalFormatting>
  <conditionalFormatting sqref="AH149">
    <cfRule type="cellIs" dxfId="0" priority="7317" operator="equal">
      <formula>"未完成"</formula>
    </cfRule>
  </conditionalFormatting>
  <conditionalFormatting sqref="AL149:AM149">
    <cfRule type="cellIs" dxfId="1" priority="10955" operator="equal">
      <formula>"未完成"</formula>
    </cfRule>
    <cfRule type="cellIs" dxfId="0" priority="10969" operator="equal">
      <formula>"未完成"</formula>
    </cfRule>
  </conditionalFormatting>
  <conditionalFormatting sqref="S150">
    <cfRule type="cellIs" dxfId="0" priority="10926" operator="equal">
      <formula>"欠"</formula>
    </cfRule>
  </conditionalFormatting>
  <conditionalFormatting sqref="AG150">
    <cfRule type="cellIs" dxfId="0" priority="10982" operator="equal">
      <formula>"未完成"</formula>
    </cfRule>
  </conditionalFormatting>
  <conditionalFormatting sqref="AH150">
    <cfRule type="cellIs" dxfId="0" priority="7316" operator="equal">
      <formula>"未完成"</formula>
    </cfRule>
  </conditionalFormatting>
  <conditionalFormatting sqref="AL150:AM150">
    <cfRule type="cellIs" dxfId="1" priority="10954" operator="equal">
      <formula>"未完成"</formula>
    </cfRule>
    <cfRule type="cellIs" dxfId="0" priority="10968" operator="equal">
      <formula>"未完成"</formula>
    </cfRule>
  </conditionalFormatting>
  <conditionalFormatting sqref="S151">
    <cfRule type="cellIs" dxfId="0" priority="10925" operator="equal">
      <formula>"欠"</formula>
    </cfRule>
  </conditionalFormatting>
  <conditionalFormatting sqref="AG151">
    <cfRule type="cellIs" dxfId="0" priority="10981" operator="equal">
      <formula>"未完成"</formula>
    </cfRule>
  </conditionalFormatting>
  <conditionalFormatting sqref="AH151">
    <cfRule type="cellIs" dxfId="0" priority="7315" operator="equal">
      <formula>"未完成"</formula>
    </cfRule>
  </conditionalFormatting>
  <conditionalFormatting sqref="AL151:AM151">
    <cfRule type="cellIs" dxfId="1" priority="10953" operator="equal">
      <formula>"未完成"</formula>
    </cfRule>
    <cfRule type="cellIs" dxfId="0" priority="10967" operator="equal">
      <formula>"未完成"</formula>
    </cfRule>
  </conditionalFormatting>
  <conditionalFormatting sqref="AG152">
    <cfRule type="cellIs" dxfId="0" priority="10980" operator="equal">
      <formula>"未完成"</formula>
    </cfRule>
  </conditionalFormatting>
  <conditionalFormatting sqref="AH152">
    <cfRule type="cellIs" dxfId="0" priority="7314" operator="equal">
      <formula>"未完成"</formula>
    </cfRule>
  </conditionalFormatting>
  <conditionalFormatting sqref="AL152:AM152">
    <cfRule type="cellIs" dxfId="1" priority="10952" operator="equal">
      <formula>"未完成"</formula>
    </cfRule>
    <cfRule type="cellIs" dxfId="0" priority="10966" operator="equal">
      <formula>"未完成"</formula>
    </cfRule>
  </conditionalFormatting>
  <conditionalFormatting sqref="S153">
    <cfRule type="cellIs" dxfId="0" priority="10923" operator="equal">
      <formula>"欠"</formula>
    </cfRule>
  </conditionalFormatting>
  <conditionalFormatting sqref="AG153">
    <cfRule type="cellIs" dxfId="0" priority="10979" operator="equal">
      <formula>"未完成"</formula>
    </cfRule>
  </conditionalFormatting>
  <conditionalFormatting sqref="AH153">
    <cfRule type="cellIs" dxfId="0" priority="7313" operator="equal">
      <formula>"未完成"</formula>
    </cfRule>
  </conditionalFormatting>
  <conditionalFormatting sqref="AL153:AM153">
    <cfRule type="cellIs" dxfId="1" priority="10951" operator="equal">
      <formula>"未完成"</formula>
    </cfRule>
    <cfRule type="cellIs" dxfId="0" priority="10965" operator="equal">
      <formula>"未完成"</formula>
    </cfRule>
  </conditionalFormatting>
  <conditionalFormatting sqref="S154">
    <cfRule type="cellIs" dxfId="0" priority="10922" operator="equal">
      <formula>"欠"</formula>
    </cfRule>
  </conditionalFormatting>
  <conditionalFormatting sqref="AG154">
    <cfRule type="cellIs" dxfId="0" priority="10978" operator="equal">
      <formula>"未完成"</formula>
    </cfRule>
  </conditionalFormatting>
  <conditionalFormatting sqref="AH154">
    <cfRule type="cellIs" dxfId="0" priority="7312" operator="equal">
      <formula>"未完成"</formula>
    </cfRule>
  </conditionalFormatting>
  <conditionalFormatting sqref="AL154:AM154">
    <cfRule type="cellIs" dxfId="1" priority="10950" operator="equal">
      <formula>"未完成"</formula>
    </cfRule>
    <cfRule type="cellIs" dxfId="0" priority="10964" operator="equal">
      <formula>"未完成"</formula>
    </cfRule>
  </conditionalFormatting>
  <conditionalFormatting sqref="S155">
    <cfRule type="cellIs" dxfId="0" priority="10921" operator="equal">
      <formula>"欠"</formula>
    </cfRule>
  </conditionalFormatting>
  <conditionalFormatting sqref="AG155">
    <cfRule type="cellIs" dxfId="0" priority="10977" operator="equal">
      <formula>"未完成"</formula>
    </cfRule>
  </conditionalFormatting>
  <conditionalFormatting sqref="AH155">
    <cfRule type="cellIs" dxfId="0" priority="7311" operator="equal">
      <formula>"未完成"</formula>
    </cfRule>
  </conditionalFormatting>
  <conditionalFormatting sqref="AL155:AM155">
    <cfRule type="cellIs" dxfId="1" priority="10949" operator="equal">
      <formula>"未完成"</formula>
    </cfRule>
    <cfRule type="cellIs" dxfId="0" priority="10963" operator="equal">
      <formula>"未完成"</formula>
    </cfRule>
  </conditionalFormatting>
  <conditionalFormatting sqref="S156">
    <cfRule type="cellIs" dxfId="0" priority="10920" operator="equal">
      <formula>"欠"</formula>
    </cfRule>
  </conditionalFormatting>
  <conditionalFormatting sqref="AG156">
    <cfRule type="cellIs" dxfId="0" priority="10976" operator="equal">
      <formula>"未完成"</formula>
    </cfRule>
  </conditionalFormatting>
  <conditionalFormatting sqref="AH156">
    <cfRule type="cellIs" dxfId="0" priority="7310" operator="equal">
      <formula>"未完成"</formula>
    </cfRule>
  </conditionalFormatting>
  <conditionalFormatting sqref="AL156:AM156">
    <cfRule type="cellIs" dxfId="1" priority="10948" operator="equal">
      <formula>"未完成"</formula>
    </cfRule>
    <cfRule type="cellIs" dxfId="0" priority="10962" operator="equal">
      <formula>"未完成"</formula>
    </cfRule>
  </conditionalFormatting>
  <conditionalFormatting sqref="S157">
    <cfRule type="cellIs" dxfId="0" priority="10919" operator="equal">
      <formula>"欠"</formula>
    </cfRule>
  </conditionalFormatting>
  <conditionalFormatting sqref="AG157">
    <cfRule type="cellIs" dxfId="0" priority="10975" operator="equal">
      <formula>"未完成"</formula>
    </cfRule>
  </conditionalFormatting>
  <conditionalFormatting sqref="AH157">
    <cfRule type="cellIs" dxfId="0" priority="7309" operator="equal">
      <formula>"未完成"</formula>
    </cfRule>
  </conditionalFormatting>
  <conditionalFormatting sqref="AL157:AM157">
    <cfRule type="cellIs" dxfId="1" priority="10947" operator="equal">
      <formula>"未完成"</formula>
    </cfRule>
    <cfRule type="cellIs" dxfId="0" priority="10961" operator="equal">
      <formula>"未完成"</formula>
    </cfRule>
  </conditionalFormatting>
  <conditionalFormatting sqref="S158">
    <cfRule type="cellIs" dxfId="0" priority="10918" operator="equal">
      <formula>"欠"</formula>
    </cfRule>
  </conditionalFormatting>
  <conditionalFormatting sqref="AG158">
    <cfRule type="cellIs" dxfId="0" priority="10974" operator="equal">
      <formula>"未完成"</formula>
    </cfRule>
  </conditionalFormatting>
  <conditionalFormatting sqref="AH158">
    <cfRule type="cellIs" dxfId="0" priority="7308" operator="equal">
      <formula>"未完成"</formula>
    </cfRule>
  </conditionalFormatting>
  <conditionalFormatting sqref="AL158:AM158">
    <cfRule type="cellIs" dxfId="1" priority="10946" operator="equal">
      <formula>"未完成"</formula>
    </cfRule>
    <cfRule type="cellIs" dxfId="0" priority="10960" operator="equal">
      <formula>"未完成"</formula>
    </cfRule>
  </conditionalFormatting>
  <conditionalFormatting sqref="S159">
    <cfRule type="cellIs" dxfId="0" priority="10917" operator="equal">
      <formula>"欠"</formula>
    </cfRule>
  </conditionalFormatting>
  <conditionalFormatting sqref="AG159">
    <cfRule type="cellIs" dxfId="0" priority="10973" operator="equal">
      <formula>"未完成"</formula>
    </cfRule>
  </conditionalFormatting>
  <conditionalFormatting sqref="AH159">
    <cfRule type="cellIs" dxfId="0" priority="7307" operator="equal">
      <formula>"未完成"</formula>
    </cfRule>
  </conditionalFormatting>
  <conditionalFormatting sqref="AL159:AM159">
    <cfRule type="cellIs" dxfId="1" priority="10945" operator="equal">
      <formula>"未完成"</formula>
    </cfRule>
    <cfRule type="cellIs" dxfId="0" priority="10959" operator="equal">
      <formula>"未完成"</formula>
    </cfRule>
  </conditionalFormatting>
  <conditionalFormatting sqref="S160">
    <cfRule type="cellIs" dxfId="0" priority="10916" operator="equal">
      <formula>"欠"</formula>
    </cfRule>
  </conditionalFormatting>
  <conditionalFormatting sqref="AG160">
    <cfRule type="cellIs" dxfId="0" priority="10972" operator="equal">
      <formula>"未完成"</formula>
    </cfRule>
  </conditionalFormatting>
  <conditionalFormatting sqref="AH160">
    <cfRule type="cellIs" dxfId="0" priority="7306" operator="equal">
      <formula>"未完成"</formula>
    </cfRule>
  </conditionalFormatting>
  <conditionalFormatting sqref="AL160:AM160">
    <cfRule type="cellIs" dxfId="1" priority="10944" operator="equal">
      <formula>"未完成"</formula>
    </cfRule>
    <cfRule type="cellIs" dxfId="0" priority="10958" operator="equal">
      <formula>"未完成"</formula>
    </cfRule>
  </conditionalFormatting>
  <conditionalFormatting sqref="S161">
    <cfRule type="cellIs" dxfId="0" priority="10915" operator="equal">
      <formula>"欠"</formula>
    </cfRule>
  </conditionalFormatting>
  <conditionalFormatting sqref="AG161">
    <cfRule type="cellIs" dxfId="0" priority="10971" operator="equal">
      <formula>"未完成"</formula>
    </cfRule>
  </conditionalFormatting>
  <conditionalFormatting sqref="AH161">
    <cfRule type="cellIs" dxfId="0" priority="7305" operator="equal">
      <formula>"未完成"</formula>
    </cfRule>
  </conditionalFormatting>
  <conditionalFormatting sqref="AL161:AM161">
    <cfRule type="cellIs" dxfId="1" priority="10943" operator="equal">
      <formula>"未完成"</formula>
    </cfRule>
    <cfRule type="cellIs" dxfId="0" priority="10957" operator="equal">
      <formula>"未完成"</formula>
    </cfRule>
  </conditionalFormatting>
  <conditionalFormatting sqref="S162">
    <cfRule type="cellIs" dxfId="0" priority="10906" operator="equal">
      <formula>"欠"</formula>
    </cfRule>
  </conditionalFormatting>
  <conditionalFormatting sqref="AG162">
    <cfRule type="cellIs" dxfId="0" priority="10914" operator="equal">
      <formula>"未完成"</formula>
    </cfRule>
  </conditionalFormatting>
  <conditionalFormatting sqref="AH162">
    <cfRule type="cellIs" dxfId="0" priority="7304" operator="equal">
      <formula>"未完成"</formula>
    </cfRule>
  </conditionalFormatting>
  <conditionalFormatting sqref="AL162:AM162">
    <cfRule type="cellIs" dxfId="1" priority="10910" operator="equal">
      <formula>"未完成"</formula>
    </cfRule>
    <cfRule type="cellIs" dxfId="0" priority="10912" operator="equal">
      <formula>"未完成"</formula>
    </cfRule>
  </conditionalFormatting>
  <conditionalFormatting sqref="S163">
    <cfRule type="cellIs" dxfId="0" priority="10905" operator="equal">
      <formula>"欠"</formula>
    </cfRule>
  </conditionalFormatting>
  <conditionalFormatting sqref="AG163">
    <cfRule type="cellIs" dxfId="0" priority="10913" operator="equal">
      <formula>"未完成"</formula>
    </cfRule>
  </conditionalFormatting>
  <conditionalFormatting sqref="AH163">
    <cfRule type="cellIs" dxfId="0" priority="7303" operator="equal">
      <formula>"未完成"</formula>
    </cfRule>
  </conditionalFormatting>
  <conditionalFormatting sqref="AL163:AM163">
    <cfRule type="cellIs" dxfId="1" priority="10909" operator="equal">
      <formula>"未完成"</formula>
    </cfRule>
    <cfRule type="cellIs" dxfId="0" priority="10911" operator="equal">
      <formula>"未完成"</formula>
    </cfRule>
  </conditionalFormatting>
  <conditionalFormatting sqref="S164">
    <cfRule type="cellIs" dxfId="0" priority="10896" operator="equal">
      <formula>"欠"</formula>
    </cfRule>
  </conditionalFormatting>
  <conditionalFormatting sqref="AG164">
    <cfRule type="cellIs" dxfId="0" priority="10904" operator="equal">
      <formula>"未完成"</formula>
    </cfRule>
  </conditionalFormatting>
  <conditionalFormatting sqref="AH164">
    <cfRule type="cellIs" dxfId="0" priority="7302" operator="equal">
      <formula>"未完成"</formula>
    </cfRule>
  </conditionalFormatting>
  <conditionalFormatting sqref="AL164:AM164">
    <cfRule type="cellIs" dxfId="1" priority="10900" operator="equal">
      <formula>"未完成"</formula>
    </cfRule>
    <cfRule type="cellIs" dxfId="0" priority="10902" operator="equal">
      <formula>"未完成"</formula>
    </cfRule>
  </conditionalFormatting>
  <conditionalFormatting sqref="S165">
    <cfRule type="cellIs" dxfId="0" priority="10895" operator="equal">
      <formula>"欠"</formula>
    </cfRule>
  </conditionalFormatting>
  <conditionalFormatting sqref="AG165">
    <cfRule type="cellIs" dxfId="0" priority="10903" operator="equal">
      <formula>"未完成"</formula>
    </cfRule>
  </conditionalFormatting>
  <conditionalFormatting sqref="AH165">
    <cfRule type="cellIs" dxfId="0" priority="7301" operator="equal">
      <formula>"未完成"</formula>
    </cfRule>
  </conditionalFormatting>
  <conditionalFormatting sqref="AL165:AM165">
    <cfRule type="cellIs" dxfId="1" priority="10899" operator="equal">
      <formula>"未完成"</formula>
    </cfRule>
    <cfRule type="cellIs" dxfId="0" priority="10901" operator="equal">
      <formula>"未完成"</formula>
    </cfRule>
  </conditionalFormatting>
  <conditionalFormatting sqref="S166">
    <cfRule type="cellIs" dxfId="0" priority="10791" operator="equal">
      <formula>"欠"</formula>
    </cfRule>
  </conditionalFormatting>
  <conditionalFormatting sqref="AG166">
    <cfRule type="cellIs" dxfId="0" priority="10823" operator="equal">
      <formula>"未完成"</formula>
    </cfRule>
  </conditionalFormatting>
  <conditionalFormatting sqref="AH166">
    <cfRule type="cellIs" dxfId="0" priority="7300" operator="equal">
      <formula>"未完成"</formula>
    </cfRule>
  </conditionalFormatting>
  <conditionalFormatting sqref="AL166:AM166">
    <cfRule type="cellIs" dxfId="1" priority="10807" operator="equal">
      <formula>"未完成"</formula>
    </cfRule>
    <cfRule type="cellIs" dxfId="0" priority="10815" operator="equal">
      <formula>"未完成"</formula>
    </cfRule>
  </conditionalFormatting>
  <conditionalFormatting sqref="S167">
    <cfRule type="cellIs" dxfId="0" priority="10790" operator="equal">
      <formula>"欠"</formula>
    </cfRule>
  </conditionalFormatting>
  <conditionalFormatting sqref="AG167">
    <cfRule type="cellIs" dxfId="0" priority="10822" operator="equal">
      <formula>"未完成"</formula>
    </cfRule>
  </conditionalFormatting>
  <conditionalFormatting sqref="AH167">
    <cfRule type="cellIs" dxfId="0" priority="7299" operator="equal">
      <formula>"未完成"</formula>
    </cfRule>
  </conditionalFormatting>
  <conditionalFormatting sqref="AL167:AM167">
    <cfRule type="cellIs" dxfId="1" priority="10806" operator="equal">
      <formula>"未完成"</formula>
    </cfRule>
    <cfRule type="cellIs" dxfId="0" priority="10814" operator="equal">
      <formula>"未完成"</formula>
    </cfRule>
  </conditionalFormatting>
  <conditionalFormatting sqref="S168">
    <cfRule type="cellIs" dxfId="0" priority="10789" operator="equal">
      <formula>"欠"</formula>
    </cfRule>
  </conditionalFormatting>
  <conditionalFormatting sqref="AG168">
    <cfRule type="cellIs" dxfId="0" priority="10821" operator="equal">
      <formula>"未完成"</formula>
    </cfRule>
  </conditionalFormatting>
  <conditionalFormatting sqref="AH168">
    <cfRule type="cellIs" dxfId="0" priority="7298" operator="equal">
      <formula>"未完成"</formula>
    </cfRule>
  </conditionalFormatting>
  <conditionalFormatting sqref="AL168:AM168">
    <cfRule type="cellIs" dxfId="1" priority="10805" operator="equal">
      <formula>"未完成"</formula>
    </cfRule>
    <cfRule type="cellIs" dxfId="0" priority="10813" operator="equal">
      <formula>"未完成"</formula>
    </cfRule>
  </conditionalFormatting>
  <conditionalFormatting sqref="S169">
    <cfRule type="cellIs" dxfId="0" priority="10788" operator="equal">
      <formula>"欠"</formula>
    </cfRule>
  </conditionalFormatting>
  <conditionalFormatting sqref="AG169">
    <cfRule type="cellIs" dxfId="0" priority="10820" operator="equal">
      <formula>"未完成"</formula>
    </cfRule>
  </conditionalFormatting>
  <conditionalFormatting sqref="AH169">
    <cfRule type="cellIs" dxfId="0" priority="7297" operator="equal">
      <formula>"未完成"</formula>
    </cfRule>
  </conditionalFormatting>
  <conditionalFormatting sqref="AL169:AM169">
    <cfRule type="cellIs" dxfId="1" priority="10804" operator="equal">
      <formula>"未完成"</formula>
    </cfRule>
    <cfRule type="cellIs" dxfId="0" priority="10812" operator="equal">
      <formula>"未完成"</formula>
    </cfRule>
  </conditionalFormatting>
  <conditionalFormatting sqref="S170">
    <cfRule type="cellIs" dxfId="0" priority="10787" operator="equal">
      <formula>"欠"</formula>
    </cfRule>
  </conditionalFormatting>
  <conditionalFormatting sqref="AG170">
    <cfRule type="cellIs" dxfId="0" priority="10819" operator="equal">
      <formula>"未完成"</formula>
    </cfRule>
  </conditionalFormatting>
  <conditionalFormatting sqref="AH170">
    <cfRule type="cellIs" dxfId="0" priority="7296" operator="equal">
      <formula>"未完成"</formula>
    </cfRule>
  </conditionalFormatting>
  <conditionalFormatting sqref="AL170:AM170">
    <cfRule type="cellIs" dxfId="1" priority="10803" operator="equal">
      <formula>"未完成"</formula>
    </cfRule>
    <cfRule type="cellIs" dxfId="0" priority="10811" operator="equal">
      <formula>"未完成"</formula>
    </cfRule>
  </conditionalFormatting>
  <conditionalFormatting sqref="S171">
    <cfRule type="cellIs" dxfId="0" priority="10786" operator="equal">
      <formula>"欠"</formula>
    </cfRule>
  </conditionalFormatting>
  <conditionalFormatting sqref="AG171">
    <cfRule type="cellIs" dxfId="0" priority="10818" operator="equal">
      <formula>"未完成"</formula>
    </cfRule>
  </conditionalFormatting>
  <conditionalFormatting sqref="AH171">
    <cfRule type="cellIs" dxfId="0" priority="7295" operator="equal">
      <formula>"未完成"</formula>
    </cfRule>
  </conditionalFormatting>
  <conditionalFormatting sqref="AL171:AM171">
    <cfRule type="cellIs" dxfId="1" priority="10802" operator="equal">
      <formula>"未完成"</formula>
    </cfRule>
    <cfRule type="cellIs" dxfId="0" priority="10810" operator="equal">
      <formula>"未完成"</formula>
    </cfRule>
  </conditionalFormatting>
  <conditionalFormatting sqref="S172">
    <cfRule type="cellIs" dxfId="0" priority="10785" operator="equal">
      <formula>"欠"</formula>
    </cfRule>
  </conditionalFormatting>
  <conditionalFormatting sqref="AG172">
    <cfRule type="cellIs" dxfId="0" priority="10817" operator="equal">
      <formula>"未完成"</formula>
    </cfRule>
  </conditionalFormatting>
  <conditionalFormatting sqref="AH172">
    <cfRule type="cellIs" dxfId="0" priority="7294" operator="equal">
      <formula>"未完成"</formula>
    </cfRule>
  </conditionalFormatting>
  <conditionalFormatting sqref="AL172:AM172">
    <cfRule type="cellIs" dxfId="1" priority="10801" operator="equal">
      <formula>"未完成"</formula>
    </cfRule>
    <cfRule type="cellIs" dxfId="0" priority="10809" operator="equal">
      <formula>"未完成"</formula>
    </cfRule>
  </conditionalFormatting>
  <conditionalFormatting sqref="S173">
    <cfRule type="cellIs" dxfId="0" priority="10784" operator="equal">
      <formula>"欠"</formula>
    </cfRule>
  </conditionalFormatting>
  <conditionalFormatting sqref="AG173">
    <cfRule type="cellIs" dxfId="0" priority="10816" operator="equal">
      <formula>"未完成"</formula>
    </cfRule>
  </conditionalFormatting>
  <conditionalFormatting sqref="AH173">
    <cfRule type="cellIs" dxfId="0" priority="7293" operator="equal">
      <formula>"未完成"</formula>
    </cfRule>
  </conditionalFormatting>
  <conditionalFormatting sqref="AL173:AM173">
    <cfRule type="cellIs" dxfId="1" priority="10800" operator="equal">
      <formula>"未完成"</formula>
    </cfRule>
    <cfRule type="cellIs" dxfId="0" priority="10808" operator="equal">
      <formula>"未完成"</formula>
    </cfRule>
  </conditionalFormatting>
  <conditionalFormatting sqref="S174">
    <cfRule type="cellIs" dxfId="0" priority="10614" operator="equal">
      <formula>"欠"</formula>
    </cfRule>
  </conditionalFormatting>
  <conditionalFormatting sqref="AG174">
    <cfRule type="cellIs" dxfId="0" priority="10722" operator="equal">
      <formula>"未完成"</formula>
    </cfRule>
  </conditionalFormatting>
  <conditionalFormatting sqref="AH174">
    <cfRule type="cellIs" dxfId="0" priority="7288" operator="equal">
      <formula>"未完成"</formula>
    </cfRule>
  </conditionalFormatting>
  <conditionalFormatting sqref="AL174:AM174">
    <cfRule type="cellIs" dxfId="1" priority="10668" operator="equal">
      <formula>"未完成"</formula>
    </cfRule>
    <cfRule type="cellIs" dxfId="0" priority="10695" operator="equal">
      <formula>"未完成"</formula>
    </cfRule>
  </conditionalFormatting>
  <conditionalFormatting sqref="S175">
    <cfRule type="cellIs" dxfId="0" priority="10613" operator="equal">
      <formula>"欠"</formula>
    </cfRule>
  </conditionalFormatting>
  <conditionalFormatting sqref="AG175">
    <cfRule type="cellIs" dxfId="0" priority="10721" operator="equal">
      <formula>"未完成"</formula>
    </cfRule>
  </conditionalFormatting>
  <conditionalFormatting sqref="AH175">
    <cfRule type="cellIs" dxfId="0" priority="7287" operator="equal">
      <formula>"未完成"</formula>
    </cfRule>
  </conditionalFormatting>
  <conditionalFormatting sqref="AL175:AM175">
    <cfRule type="cellIs" dxfId="1" priority="10667" operator="equal">
      <formula>"未完成"</formula>
    </cfRule>
    <cfRule type="cellIs" dxfId="0" priority="10694" operator="equal">
      <formula>"未完成"</formula>
    </cfRule>
  </conditionalFormatting>
  <conditionalFormatting sqref="S176">
    <cfRule type="cellIs" dxfId="0" priority="10612" operator="equal">
      <formula>"欠"</formula>
    </cfRule>
  </conditionalFormatting>
  <conditionalFormatting sqref="AL176:AM176">
    <cfRule type="cellIs" dxfId="1" priority="10666" operator="equal">
      <formula>"未完成"</formula>
    </cfRule>
    <cfRule type="cellIs" dxfId="0" priority="10693" operator="equal">
      <formula>"未完成"</formula>
    </cfRule>
  </conditionalFormatting>
  <conditionalFormatting sqref="S177">
    <cfRule type="cellIs" dxfId="0" priority="10611" operator="equal">
      <formula>"欠"</formula>
    </cfRule>
  </conditionalFormatting>
  <conditionalFormatting sqref="AL177:AM177">
    <cfRule type="cellIs" dxfId="1" priority="10665" operator="equal">
      <formula>"未完成"</formula>
    </cfRule>
    <cfRule type="cellIs" dxfId="0" priority="10692" operator="equal">
      <formula>"未完成"</formula>
    </cfRule>
  </conditionalFormatting>
  <conditionalFormatting sqref="S178">
    <cfRule type="cellIs" dxfId="0" priority="10610" operator="equal">
      <formula>"欠"</formula>
    </cfRule>
  </conditionalFormatting>
  <conditionalFormatting sqref="AL178:AM178">
    <cfRule type="cellIs" dxfId="1" priority="10664" operator="equal">
      <formula>"未完成"</formula>
    </cfRule>
    <cfRule type="cellIs" dxfId="0" priority="10691" operator="equal">
      <formula>"未完成"</formula>
    </cfRule>
  </conditionalFormatting>
  <conditionalFormatting sqref="S179">
    <cfRule type="cellIs" dxfId="0" priority="10609" operator="equal">
      <formula>"欠"</formula>
    </cfRule>
  </conditionalFormatting>
  <conditionalFormatting sqref="AL179:AM179">
    <cfRule type="cellIs" dxfId="1" priority="10663" operator="equal">
      <formula>"未完成"</formula>
    </cfRule>
    <cfRule type="cellIs" dxfId="0" priority="10690" operator="equal">
      <formula>"未完成"</formula>
    </cfRule>
  </conditionalFormatting>
  <conditionalFormatting sqref="S180">
    <cfRule type="cellIs" dxfId="0" priority="10608" operator="equal">
      <formula>"欠"</formula>
    </cfRule>
  </conditionalFormatting>
  <conditionalFormatting sqref="AL180:AM180">
    <cfRule type="cellIs" dxfId="1" priority="10662" operator="equal">
      <formula>"未完成"</formula>
    </cfRule>
    <cfRule type="cellIs" dxfId="0" priority="10689" operator="equal">
      <formula>"未完成"</formula>
    </cfRule>
  </conditionalFormatting>
  <conditionalFormatting sqref="S181">
    <cfRule type="cellIs" dxfId="0" priority="10607" operator="equal">
      <formula>"欠"</formula>
    </cfRule>
  </conditionalFormatting>
  <conditionalFormatting sqref="AL181:AM181">
    <cfRule type="cellIs" dxfId="1" priority="10661" operator="equal">
      <formula>"未完成"</formula>
    </cfRule>
    <cfRule type="cellIs" dxfId="0" priority="10688" operator="equal">
      <formula>"未完成"</formula>
    </cfRule>
  </conditionalFormatting>
  <conditionalFormatting sqref="S182">
    <cfRule type="cellIs" dxfId="0" priority="10606" operator="equal">
      <formula>"欠"</formula>
    </cfRule>
  </conditionalFormatting>
  <conditionalFormatting sqref="AL182:AM182">
    <cfRule type="cellIs" dxfId="1" priority="10660" operator="equal">
      <formula>"未完成"</formula>
    </cfRule>
    <cfRule type="cellIs" dxfId="0" priority="10687" operator="equal">
      <formula>"未完成"</formula>
    </cfRule>
  </conditionalFormatting>
  <conditionalFormatting sqref="S183">
    <cfRule type="cellIs" dxfId="0" priority="10605" operator="equal">
      <formula>"欠"</formula>
    </cfRule>
  </conditionalFormatting>
  <conditionalFormatting sqref="AL183:AM183">
    <cfRule type="cellIs" dxfId="1" priority="10659" operator="equal">
      <formula>"未完成"</formula>
    </cfRule>
    <cfRule type="cellIs" dxfId="0" priority="10686" operator="equal">
      <formula>"未完成"</formula>
    </cfRule>
  </conditionalFormatting>
  <conditionalFormatting sqref="S184">
    <cfRule type="cellIs" dxfId="0" priority="10604" operator="equal">
      <formula>"欠"</formula>
    </cfRule>
  </conditionalFormatting>
  <conditionalFormatting sqref="AL184:AM184">
    <cfRule type="cellIs" dxfId="1" priority="10658" operator="equal">
      <formula>"未完成"</formula>
    </cfRule>
    <cfRule type="cellIs" dxfId="0" priority="10685" operator="equal">
      <formula>"未完成"</formula>
    </cfRule>
  </conditionalFormatting>
  <conditionalFormatting sqref="S185">
    <cfRule type="cellIs" dxfId="0" priority="10603" operator="equal">
      <formula>"欠"</formula>
    </cfRule>
  </conditionalFormatting>
  <conditionalFormatting sqref="AL185:AM185">
    <cfRule type="cellIs" dxfId="1" priority="10657" operator="equal">
      <formula>"未完成"</formula>
    </cfRule>
    <cfRule type="cellIs" dxfId="0" priority="10684" operator="equal">
      <formula>"未完成"</formula>
    </cfRule>
  </conditionalFormatting>
  <conditionalFormatting sqref="S186">
    <cfRule type="cellIs" dxfId="0" priority="10602" operator="equal">
      <formula>"欠"</formula>
    </cfRule>
  </conditionalFormatting>
  <conditionalFormatting sqref="AL186:AM186">
    <cfRule type="cellIs" dxfId="1" priority="10656" operator="equal">
      <formula>"未完成"</formula>
    </cfRule>
    <cfRule type="cellIs" dxfId="0" priority="10683" operator="equal">
      <formula>"未完成"</formula>
    </cfRule>
  </conditionalFormatting>
  <conditionalFormatting sqref="S187">
    <cfRule type="cellIs" dxfId="0" priority="10601" operator="equal">
      <formula>"欠"</formula>
    </cfRule>
  </conditionalFormatting>
  <conditionalFormatting sqref="AL187:AM187">
    <cfRule type="cellIs" dxfId="1" priority="10655" operator="equal">
      <formula>"未完成"</formula>
    </cfRule>
    <cfRule type="cellIs" dxfId="0" priority="10682" operator="equal">
      <formula>"未完成"</formula>
    </cfRule>
  </conditionalFormatting>
  <conditionalFormatting sqref="S188">
    <cfRule type="cellIs" dxfId="0" priority="10600" operator="equal">
      <formula>"欠"</formula>
    </cfRule>
  </conditionalFormatting>
  <conditionalFormatting sqref="AL188:AM188">
    <cfRule type="cellIs" dxfId="1" priority="10654" operator="equal">
      <formula>"未完成"</formula>
    </cfRule>
    <cfRule type="cellIs" dxfId="0" priority="10681" operator="equal">
      <formula>"未完成"</formula>
    </cfRule>
  </conditionalFormatting>
  <conditionalFormatting sqref="S189">
    <cfRule type="cellIs" dxfId="0" priority="10599" operator="equal">
      <formula>"欠"</formula>
    </cfRule>
  </conditionalFormatting>
  <conditionalFormatting sqref="AL189:AM189">
    <cfRule type="cellIs" dxfId="1" priority="10653" operator="equal">
      <formula>"未完成"</formula>
    </cfRule>
    <cfRule type="cellIs" dxfId="0" priority="10680" operator="equal">
      <formula>"未完成"</formula>
    </cfRule>
  </conditionalFormatting>
  <conditionalFormatting sqref="S190">
    <cfRule type="cellIs" dxfId="0" priority="10598" operator="equal">
      <formula>"欠"</formula>
    </cfRule>
  </conditionalFormatting>
  <conditionalFormatting sqref="AL190:AM190">
    <cfRule type="cellIs" dxfId="1" priority="10652" operator="equal">
      <formula>"未完成"</formula>
    </cfRule>
    <cfRule type="cellIs" dxfId="0" priority="10679" operator="equal">
      <formula>"未完成"</formula>
    </cfRule>
  </conditionalFormatting>
  <conditionalFormatting sqref="S191">
    <cfRule type="cellIs" dxfId="0" priority="10597" operator="equal">
      <formula>"欠"</formula>
    </cfRule>
  </conditionalFormatting>
  <conditionalFormatting sqref="AL191:AM191">
    <cfRule type="cellIs" dxfId="1" priority="10651" operator="equal">
      <formula>"未完成"</formula>
    </cfRule>
    <cfRule type="cellIs" dxfId="0" priority="10678" operator="equal">
      <formula>"未完成"</formula>
    </cfRule>
  </conditionalFormatting>
  <conditionalFormatting sqref="S192">
    <cfRule type="cellIs" dxfId="0" priority="10596" operator="equal">
      <formula>"欠"</formula>
    </cfRule>
  </conditionalFormatting>
  <conditionalFormatting sqref="AL192:AM192">
    <cfRule type="cellIs" dxfId="1" priority="10650" operator="equal">
      <formula>"未完成"</formula>
    </cfRule>
    <cfRule type="cellIs" dxfId="0" priority="10677" operator="equal">
      <formula>"未完成"</formula>
    </cfRule>
  </conditionalFormatting>
  <conditionalFormatting sqref="S193">
    <cfRule type="cellIs" dxfId="0" priority="10595" operator="equal">
      <formula>"欠"</formula>
    </cfRule>
  </conditionalFormatting>
  <conditionalFormatting sqref="AL193:AM193">
    <cfRule type="cellIs" dxfId="1" priority="10649" operator="equal">
      <formula>"未完成"</formula>
    </cfRule>
    <cfRule type="cellIs" dxfId="0" priority="10676" operator="equal">
      <formula>"未完成"</formula>
    </cfRule>
  </conditionalFormatting>
  <conditionalFormatting sqref="S194">
    <cfRule type="cellIs" dxfId="0" priority="10594" operator="equal">
      <formula>"欠"</formula>
    </cfRule>
  </conditionalFormatting>
  <conditionalFormatting sqref="AL194:AM194">
    <cfRule type="cellIs" dxfId="1" priority="10648" operator="equal">
      <formula>"未完成"</formula>
    </cfRule>
    <cfRule type="cellIs" dxfId="0" priority="10675" operator="equal">
      <formula>"未完成"</formula>
    </cfRule>
  </conditionalFormatting>
  <conditionalFormatting sqref="S195">
    <cfRule type="cellIs" dxfId="0" priority="10593" operator="equal">
      <formula>"欠"</formula>
    </cfRule>
  </conditionalFormatting>
  <conditionalFormatting sqref="AL195:AM195">
    <cfRule type="cellIs" dxfId="1" priority="10647" operator="equal">
      <formula>"未完成"</formula>
    </cfRule>
    <cfRule type="cellIs" dxfId="0" priority="10674" operator="equal">
      <formula>"未完成"</formula>
    </cfRule>
  </conditionalFormatting>
  <conditionalFormatting sqref="S196">
    <cfRule type="cellIs" dxfId="0" priority="10592" operator="equal">
      <formula>"欠"</formula>
    </cfRule>
  </conditionalFormatting>
  <conditionalFormatting sqref="AL196:AM196">
    <cfRule type="cellIs" dxfId="1" priority="10646" operator="equal">
      <formula>"未完成"</formula>
    </cfRule>
    <cfRule type="cellIs" dxfId="0" priority="10673" operator="equal">
      <formula>"未完成"</formula>
    </cfRule>
  </conditionalFormatting>
  <conditionalFormatting sqref="S197">
    <cfRule type="cellIs" dxfId="0" priority="10591" operator="equal">
      <formula>"欠"</formula>
    </cfRule>
  </conditionalFormatting>
  <conditionalFormatting sqref="AL197:AM197">
    <cfRule type="cellIs" dxfId="1" priority="10645" operator="equal">
      <formula>"未完成"</formula>
    </cfRule>
    <cfRule type="cellIs" dxfId="0" priority="10672" operator="equal">
      <formula>"未完成"</formula>
    </cfRule>
  </conditionalFormatting>
  <conditionalFormatting sqref="S198">
    <cfRule type="cellIs" dxfId="0" priority="10590" operator="equal">
      <formula>"欠"</formula>
    </cfRule>
  </conditionalFormatting>
  <conditionalFormatting sqref="AL198:AM198">
    <cfRule type="cellIs" dxfId="1" priority="10644" operator="equal">
      <formula>"未完成"</formula>
    </cfRule>
    <cfRule type="cellIs" dxfId="0" priority="10671" operator="equal">
      <formula>"未完成"</formula>
    </cfRule>
  </conditionalFormatting>
  <conditionalFormatting sqref="S199">
    <cfRule type="cellIs" dxfId="0" priority="10589" operator="equal">
      <formula>"欠"</formula>
    </cfRule>
  </conditionalFormatting>
  <conditionalFormatting sqref="AL199:AM199">
    <cfRule type="cellIs" dxfId="1" priority="10643" operator="equal">
      <formula>"未完成"</formula>
    </cfRule>
    <cfRule type="cellIs" dxfId="0" priority="10670" operator="equal">
      <formula>"未完成"</formula>
    </cfRule>
  </conditionalFormatting>
  <conditionalFormatting sqref="S200">
    <cfRule type="cellIs" dxfId="0" priority="10588" operator="equal">
      <formula>"欠"</formula>
    </cfRule>
  </conditionalFormatting>
  <conditionalFormatting sqref="AL200:AM200">
    <cfRule type="cellIs" dxfId="1" priority="10642" operator="equal">
      <formula>"未完成"</formula>
    </cfRule>
    <cfRule type="cellIs" dxfId="0" priority="10669" operator="equal">
      <formula>"未完成"</formula>
    </cfRule>
  </conditionalFormatting>
  <conditionalFormatting sqref="S201">
    <cfRule type="cellIs" dxfId="0" priority="10583" operator="equal">
      <formula>"欠"</formula>
    </cfRule>
  </conditionalFormatting>
  <conditionalFormatting sqref="AL201:AM201">
    <cfRule type="cellIs" dxfId="1" priority="10585" operator="equal">
      <formula>"未完成"</formula>
    </cfRule>
    <cfRule type="cellIs" dxfId="0" priority="10586" operator="equal">
      <formula>"未完成"</formula>
    </cfRule>
  </conditionalFormatting>
  <conditionalFormatting sqref="S202">
    <cfRule type="cellIs" dxfId="0" priority="10506" operator="equal">
      <formula>"欠"</formula>
    </cfRule>
  </conditionalFormatting>
  <conditionalFormatting sqref="AG202">
    <cfRule type="cellIs" dxfId="0" priority="10570" operator="equal">
      <formula>"未完成"</formula>
    </cfRule>
  </conditionalFormatting>
  <conditionalFormatting sqref="AH202">
    <cfRule type="cellIs" dxfId="0" priority="7284" operator="equal">
      <formula>"未完成"</formula>
    </cfRule>
  </conditionalFormatting>
  <conditionalFormatting sqref="AL202:AM202">
    <cfRule type="cellIs" dxfId="1" priority="10538" operator="equal">
      <formula>"未完成"</formula>
    </cfRule>
    <cfRule type="cellIs" dxfId="0" priority="10554" operator="equal">
      <formula>"未完成"</formula>
    </cfRule>
  </conditionalFormatting>
  <conditionalFormatting sqref="S203">
    <cfRule type="cellIs" dxfId="0" priority="10505" operator="equal">
      <formula>"欠"</formula>
    </cfRule>
  </conditionalFormatting>
  <conditionalFormatting sqref="AG203">
    <cfRule type="cellIs" dxfId="0" priority="10569" operator="equal">
      <formula>"未完成"</formula>
    </cfRule>
  </conditionalFormatting>
  <conditionalFormatting sqref="AH203">
    <cfRule type="cellIs" dxfId="0" priority="7283" operator="equal">
      <formula>"未完成"</formula>
    </cfRule>
  </conditionalFormatting>
  <conditionalFormatting sqref="AL203:AM203">
    <cfRule type="cellIs" dxfId="1" priority="10537" operator="equal">
      <formula>"未完成"</formula>
    </cfRule>
    <cfRule type="cellIs" dxfId="0" priority="10553" operator="equal">
      <formula>"未完成"</formula>
    </cfRule>
  </conditionalFormatting>
  <conditionalFormatting sqref="S204">
    <cfRule type="cellIs" dxfId="0" priority="10504" operator="equal">
      <formula>"欠"</formula>
    </cfRule>
  </conditionalFormatting>
  <conditionalFormatting sqref="AL204:AM204">
    <cfRule type="cellIs" dxfId="1" priority="10536" operator="equal">
      <formula>"未完成"</formula>
    </cfRule>
    <cfRule type="cellIs" dxfId="0" priority="10552" operator="equal">
      <formula>"未完成"</formula>
    </cfRule>
  </conditionalFormatting>
  <conditionalFormatting sqref="S205">
    <cfRule type="cellIs" dxfId="0" priority="10503" operator="equal">
      <formula>"欠"</formula>
    </cfRule>
  </conditionalFormatting>
  <conditionalFormatting sqref="AL205:AM205">
    <cfRule type="cellIs" dxfId="1" priority="10535" operator="equal">
      <formula>"未完成"</formula>
    </cfRule>
    <cfRule type="cellIs" dxfId="0" priority="10551" operator="equal">
      <formula>"未完成"</formula>
    </cfRule>
  </conditionalFormatting>
  <conditionalFormatting sqref="S206">
    <cfRule type="cellIs" dxfId="0" priority="10502" operator="equal">
      <formula>"欠"</formula>
    </cfRule>
  </conditionalFormatting>
  <conditionalFormatting sqref="AL206:AM206">
    <cfRule type="cellIs" dxfId="1" priority="10534" operator="equal">
      <formula>"未完成"</formula>
    </cfRule>
    <cfRule type="cellIs" dxfId="0" priority="10550" operator="equal">
      <formula>"未完成"</formula>
    </cfRule>
  </conditionalFormatting>
  <conditionalFormatting sqref="S207">
    <cfRule type="cellIs" dxfId="0" priority="10501" operator="equal">
      <formula>"欠"</formula>
    </cfRule>
  </conditionalFormatting>
  <conditionalFormatting sqref="AL207:AM207">
    <cfRule type="cellIs" dxfId="1" priority="10533" operator="equal">
      <formula>"未完成"</formula>
    </cfRule>
    <cfRule type="cellIs" dxfId="0" priority="10549" operator="equal">
      <formula>"未完成"</formula>
    </cfRule>
  </conditionalFormatting>
  <conditionalFormatting sqref="S208">
    <cfRule type="cellIs" dxfId="0" priority="10500" operator="equal">
      <formula>"欠"</formula>
    </cfRule>
  </conditionalFormatting>
  <conditionalFormatting sqref="AL208:AM208">
    <cfRule type="cellIs" dxfId="1" priority="10532" operator="equal">
      <formula>"未完成"</formula>
    </cfRule>
    <cfRule type="cellIs" dxfId="0" priority="10548" operator="equal">
      <formula>"未完成"</formula>
    </cfRule>
  </conditionalFormatting>
  <conditionalFormatting sqref="S209">
    <cfRule type="cellIs" dxfId="0" priority="10499" operator="equal">
      <formula>"欠"</formula>
    </cfRule>
  </conditionalFormatting>
  <conditionalFormatting sqref="AL209:AM209">
    <cfRule type="cellIs" dxfId="1" priority="10531" operator="equal">
      <formula>"未完成"</formula>
    </cfRule>
    <cfRule type="cellIs" dxfId="0" priority="10547" operator="equal">
      <formula>"未完成"</formula>
    </cfRule>
  </conditionalFormatting>
  <conditionalFormatting sqref="S210">
    <cfRule type="cellIs" dxfId="0" priority="10498" operator="equal">
      <formula>"欠"</formula>
    </cfRule>
  </conditionalFormatting>
  <conditionalFormatting sqref="AL210:AM210">
    <cfRule type="cellIs" dxfId="1" priority="10530" operator="equal">
      <formula>"未完成"</formula>
    </cfRule>
    <cfRule type="cellIs" dxfId="0" priority="10546" operator="equal">
      <formula>"未完成"</formula>
    </cfRule>
  </conditionalFormatting>
  <conditionalFormatting sqref="S211">
    <cfRule type="cellIs" dxfId="0" priority="10497" operator="equal">
      <formula>"欠"</formula>
    </cfRule>
  </conditionalFormatting>
  <conditionalFormatting sqref="AL211:AM211">
    <cfRule type="cellIs" dxfId="1" priority="10529" operator="equal">
      <formula>"未完成"</formula>
    </cfRule>
    <cfRule type="cellIs" dxfId="0" priority="10545" operator="equal">
      <formula>"未完成"</formula>
    </cfRule>
  </conditionalFormatting>
  <conditionalFormatting sqref="S212">
    <cfRule type="cellIs" dxfId="0" priority="10496" operator="equal">
      <formula>"欠"</formula>
    </cfRule>
  </conditionalFormatting>
  <conditionalFormatting sqref="AL212:AM212">
    <cfRule type="cellIs" dxfId="1" priority="10528" operator="equal">
      <formula>"未完成"</formula>
    </cfRule>
    <cfRule type="cellIs" dxfId="0" priority="10544" operator="equal">
      <formula>"未完成"</formula>
    </cfRule>
  </conditionalFormatting>
  <conditionalFormatting sqref="S213">
    <cfRule type="cellIs" dxfId="0" priority="10495" operator="equal">
      <formula>"欠"</formula>
    </cfRule>
  </conditionalFormatting>
  <conditionalFormatting sqref="AL213:AM213">
    <cfRule type="cellIs" dxfId="1" priority="10527" operator="equal">
      <formula>"未完成"</formula>
    </cfRule>
    <cfRule type="cellIs" dxfId="0" priority="10543" operator="equal">
      <formula>"未完成"</formula>
    </cfRule>
  </conditionalFormatting>
  <conditionalFormatting sqref="S214">
    <cfRule type="cellIs" dxfId="0" priority="10494" operator="equal">
      <formula>"欠"</formula>
    </cfRule>
  </conditionalFormatting>
  <conditionalFormatting sqref="AL214:AM214">
    <cfRule type="cellIs" dxfId="1" priority="10526" operator="equal">
      <formula>"未完成"</formula>
    </cfRule>
    <cfRule type="cellIs" dxfId="0" priority="10542" operator="equal">
      <formula>"未完成"</formula>
    </cfRule>
  </conditionalFormatting>
  <conditionalFormatting sqref="S215">
    <cfRule type="cellIs" dxfId="0" priority="10493" operator="equal">
      <formula>"欠"</formula>
    </cfRule>
  </conditionalFormatting>
  <conditionalFormatting sqref="AL215:AM215">
    <cfRule type="cellIs" dxfId="1" priority="10525" operator="equal">
      <formula>"未完成"</formula>
    </cfRule>
    <cfRule type="cellIs" dxfId="0" priority="10541" operator="equal">
      <formula>"未完成"</formula>
    </cfRule>
  </conditionalFormatting>
  <conditionalFormatting sqref="S216">
    <cfRule type="cellIs" dxfId="0" priority="10492" operator="equal">
      <formula>"欠"</formula>
    </cfRule>
  </conditionalFormatting>
  <conditionalFormatting sqref="AL216:AM216">
    <cfRule type="cellIs" dxfId="1" priority="10524" operator="equal">
      <formula>"未完成"</formula>
    </cfRule>
    <cfRule type="cellIs" dxfId="0" priority="10540" operator="equal">
      <formula>"未完成"</formula>
    </cfRule>
  </conditionalFormatting>
  <conditionalFormatting sqref="S217">
    <cfRule type="cellIs" dxfId="0" priority="10491" operator="equal">
      <formula>"欠"</formula>
    </cfRule>
  </conditionalFormatting>
  <conditionalFormatting sqref="AL217:AM217">
    <cfRule type="cellIs" dxfId="1" priority="10523" operator="equal">
      <formula>"未完成"</formula>
    </cfRule>
    <cfRule type="cellIs" dxfId="0" priority="10539" operator="equal">
      <formula>"未完成"</formula>
    </cfRule>
  </conditionalFormatting>
  <conditionalFormatting sqref="S218">
    <cfRule type="cellIs" dxfId="0" priority="10470" operator="equal">
      <formula>"欠"</formula>
    </cfRule>
  </conditionalFormatting>
  <conditionalFormatting sqref="AL218:AM218">
    <cfRule type="cellIs" dxfId="1" priority="10480" operator="equal">
      <formula>"未完成"</formula>
    </cfRule>
    <cfRule type="cellIs" dxfId="0" priority="10485" operator="equal">
      <formula>"未完成"</formula>
    </cfRule>
  </conditionalFormatting>
  <conditionalFormatting sqref="S219">
    <cfRule type="cellIs" dxfId="0" priority="10469" operator="equal">
      <formula>"欠"</formula>
    </cfRule>
  </conditionalFormatting>
  <conditionalFormatting sqref="AL219:AM219">
    <cfRule type="cellIs" dxfId="1" priority="10479" operator="equal">
      <formula>"未完成"</formula>
    </cfRule>
    <cfRule type="cellIs" dxfId="0" priority="10484" operator="equal">
      <formula>"未完成"</formula>
    </cfRule>
  </conditionalFormatting>
  <conditionalFormatting sqref="S220">
    <cfRule type="cellIs" dxfId="0" priority="10468" operator="equal">
      <formula>"欠"</formula>
    </cfRule>
  </conditionalFormatting>
  <conditionalFormatting sqref="AL220:AM220">
    <cfRule type="cellIs" dxfId="1" priority="10478" operator="equal">
      <formula>"未完成"</formula>
    </cfRule>
    <cfRule type="cellIs" dxfId="0" priority="10483" operator="equal">
      <formula>"未完成"</formula>
    </cfRule>
  </conditionalFormatting>
  <conditionalFormatting sqref="S221">
    <cfRule type="cellIs" dxfId="0" priority="10467" operator="equal">
      <formula>"欠"</formula>
    </cfRule>
  </conditionalFormatting>
  <conditionalFormatting sqref="AL221:AM221">
    <cfRule type="cellIs" dxfId="1" priority="10477" operator="equal">
      <formula>"未完成"</formula>
    </cfRule>
    <cfRule type="cellIs" dxfId="0" priority="10482" operator="equal">
      <formula>"未完成"</formula>
    </cfRule>
  </conditionalFormatting>
  <conditionalFormatting sqref="S222">
    <cfRule type="cellIs" dxfId="0" priority="10466" operator="equal">
      <formula>"欠"</formula>
    </cfRule>
  </conditionalFormatting>
  <conditionalFormatting sqref="AL222:AM222">
    <cfRule type="cellIs" dxfId="1" priority="10476" operator="equal">
      <formula>"未完成"</formula>
    </cfRule>
    <cfRule type="cellIs" dxfId="0" priority="10481" operator="equal">
      <formula>"未完成"</formula>
    </cfRule>
  </conditionalFormatting>
  <conditionalFormatting sqref="S223">
    <cfRule type="cellIs" dxfId="0" priority="10461" operator="equal">
      <formula>"欠"</formula>
    </cfRule>
  </conditionalFormatting>
  <conditionalFormatting sqref="AL223:AM223">
    <cfRule type="cellIs" dxfId="1" priority="10463" operator="equal">
      <formula>"未完成"</formula>
    </cfRule>
    <cfRule type="cellIs" dxfId="0" priority="10464" operator="equal">
      <formula>"未完成"</formula>
    </cfRule>
  </conditionalFormatting>
  <conditionalFormatting sqref="S224">
    <cfRule type="cellIs" dxfId="0" priority="10433" operator="equal">
      <formula>"欠"</formula>
    </cfRule>
  </conditionalFormatting>
  <conditionalFormatting sqref="T224:U224">
    <cfRule type="containsText" dxfId="2" priority="10427" operator="between" text="欠">
      <formula>NOT(ISERROR(SEARCH("欠",T224)))</formula>
    </cfRule>
  </conditionalFormatting>
  <conditionalFormatting sqref="AL224:AM224">
    <cfRule type="cellIs" dxfId="1" priority="10445" operator="equal">
      <formula>"未完成"</formula>
    </cfRule>
    <cfRule type="cellIs" dxfId="0" priority="10451" operator="equal">
      <formula>"未完成"</formula>
    </cfRule>
  </conditionalFormatting>
  <conditionalFormatting sqref="S225">
    <cfRule type="cellIs" dxfId="0" priority="10432" operator="equal">
      <formula>"欠"</formula>
    </cfRule>
  </conditionalFormatting>
  <conditionalFormatting sqref="T225:U225">
    <cfRule type="containsText" dxfId="2" priority="10426" operator="between" text="欠">
      <formula>NOT(ISERROR(SEARCH("欠",T225)))</formula>
    </cfRule>
  </conditionalFormatting>
  <conditionalFormatting sqref="AL225:AM225">
    <cfRule type="cellIs" dxfId="1" priority="10444" operator="equal">
      <formula>"未完成"</formula>
    </cfRule>
    <cfRule type="cellIs" dxfId="0" priority="10450" operator="equal">
      <formula>"未完成"</formula>
    </cfRule>
  </conditionalFormatting>
  <conditionalFormatting sqref="S226">
    <cfRule type="cellIs" dxfId="0" priority="10431" operator="equal">
      <formula>"欠"</formula>
    </cfRule>
  </conditionalFormatting>
  <conditionalFormatting sqref="T226:U226">
    <cfRule type="containsText" dxfId="2" priority="10425" operator="between" text="欠">
      <formula>NOT(ISERROR(SEARCH("欠",T226)))</formula>
    </cfRule>
  </conditionalFormatting>
  <conditionalFormatting sqref="AL226:AM226">
    <cfRule type="cellIs" dxfId="1" priority="10443" operator="equal">
      <formula>"未完成"</formula>
    </cfRule>
    <cfRule type="cellIs" dxfId="0" priority="10449" operator="equal">
      <formula>"未完成"</formula>
    </cfRule>
  </conditionalFormatting>
  <conditionalFormatting sqref="S227">
    <cfRule type="cellIs" dxfId="0" priority="10429" operator="equal">
      <formula>"欠"</formula>
    </cfRule>
  </conditionalFormatting>
  <conditionalFormatting sqref="T227:U227">
    <cfRule type="containsText" dxfId="2" priority="10423" operator="between" text="欠">
      <formula>NOT(ISERROR(SEARCH("欠",T227)))</formula>
    </cfRule>
  </conditionalFormatting>
  <conditionalFormatting sqref="AL227:AM227">
    <cfRule type="cellIs" dxfId="1" priority="10441" operator="equal">
      <formula>"未完成"</formula>
    </cfRule>
    <cfRule type="cellIs" dxfId="0" priority="10447" operator="equal">
      <formula>"未完成"</formula>
    </cfRule>
  </conditionalFormatting>
  <conditionalFormatting sqref="S228">
    <cfRule type="cellIs" dxfId="0" priority="10428" operator="equal">
      <formula>"欠"</formula>
    </cfRule>
  </conditionalFormatting>
  <conditionalFormatting sqref="T228:U228">
    <cfRule type="containsText" dxfId="2" priority="10422" operator="between" text="欠">
      <formula>NOT(ISERROR(SEARCH("欠",T228)))</formula>
    </cfRule>
  </conditionalFormatting>
  <conditionalFormatting sqref="AL228:AM228">
    <cfRule type="cellIs" dxfId="1" priority="10440" operator="equal">
      <formula>"未完成"</formula>
    </cfRule>
    <cfRule type="cellIs" dxfId="0" priority="10446" operator="equal">
      <formula>"未完成"</formula>
    </cfRule>
  </conditionalFormatting>
  <conditionalFormatting sqref="S229">
    <cfRule type="cellIs" dxfId="0" priority="10430" operator="equal">
      <formula>"欠"</formula>
    </cfRule>
  </conditionalFormatting>
  <conditionalFormatting sqref="T229:U229">
    <cfRule type="containsText" dxfId="2" priority="10424" operator="between" text="欠">
      <formula>NOT(ISERROR(SEARCH("欠",T229)))</formula>
    </cfRule>
  </conditionalFormatting>
  <conditionalFormatting sqref="AL229:AM229">
    <cfRule type="cellIs" dxfId="1" priority="10442" operator="equal">
      <formula>"未完成"</formula>
    </cfRule>
    <cfRule type="cellIs" dxfId="0" priority="10448" operator="equal">
      <formula>"未完成"</formula>
    </cfRule>
  </conditionalFormatting>
  <conditionalFormatting sqref="S230">
    <cfRule type="cellIs" dxfId="0" priority="10316" operator="equal">
      <formula>"欠"</formula>
    </cfRule>
  </conditionalFormatting>
  <conditionalFormatting sqref="T230:U230">
    <cfRule type="containsText" dxfId="2" priority="10302" operator="between" text="欠">
      <formula>NOT(ISERROR(SEARCH("欠",T230)))</formula>
    </cfRule>
  </conditionalFormatting>
  <conditionalFormatting sqref="AL230:AM230">
    <cfRule type="cellIs" dxfId="1" priority="10344" operator="equal">
      <formula>"未完成"</formula>
    </cfRule>
    <cfRule type="cellIs" dxfId="0" priority="10358" operator="equal">
      <formula>"未完成"</formula>
    </cfRule>
  </conditionalFormatting>
  <conditionalFormatting sqref="S231">
    <cfRule type="cellIs" dxfId="0" priority="10315" operator="equal">
      <formula>"欠"</formula>
    </cfRule>
  </conditionalFormatting>
  <conditionalFormatting sqref="T231:U231">
    <cfRule type="containsText" dxfId="2" priority="10301" operator="between" text="欠">
      <formula>NOT(ISERROR(SEARCH("欠",T231)))</formula>
    </cfRule>
  </conditionalFormatting>
  <conditionalFormatting sqref="AL231:AM231">
    <cfRule type="cellIs" dxfId="1" priority="10343" operator="equal">
      <formula>"未完成"</formula>
    </cfRule>
    <cfRule type="cellIs" dxfId="0" priority="10357" operator="equal">
      <formula>"未完成"</formula>
    </cfRule>
  </conditionalFormatting>
  <conditionalFormatting sqref="S232">
    <cfRule type="cellIs" dxfId="0" priority="10314" operator="equal">
      <formula>"欠"</formula>
    </cfRule>
  </conditionalFormatting>
  <conditionalFormatting sqref="T232:U232">
    <cfRule type="containsText" dxfId="2" priority="10300" operator="between" text="欠">
      <formula>NOT(ISERROR(SEARCH("欠",T232)))</formula>
    </cfRule>
  </conditionalFormatting>
  <conditionalFormatting sqref="AL232:AM232">
    <cfRule type="cellIs" dxfId="1" priority="10342" operator="equal">
      <formula>"未完成"</formula>
    </cfRule>
    <cfRule type="cellIs" dxfId="0" priority="10356" operator="equal">
      <formula>"未完成"</formula>
    </cfRule>
  </conditionalFormatting>
  <conditionalFormatting sqref="S233">
    <cfRule type="cellIs" dxfId="0" priority="10313" operator="equal">
      <formula>"欠"</formula>
    </cfRule>
  </conditionalFormatting>
  <conditionalFormatting sqref="T233:U233">
    <cfRule type="containsText" dxfId="2" priority="10299" operator="between" text="欠">
      <formula>NOT(ISERROR(SEARCH("欠",T233)))</formula>
    </cfRule>
  </conditionalFormatting>
  <conditionalFormatting sqref="AL233:AM233">
    <cfRule type="cellIs" dxfId="1" priority="10341" operator="equal">
      <formula>"未完成"</formula>
    </cfRule>
    <cfRule type="cellIs" dxfId="0" priority="10355" operator="equal">
      <formula>"未完成"</formula>
    </cfRule>
  </conditionalFormatting>
  <conditionalFormatting sqref="S234">
    <cfRule type="cellIs" dxfId="0" priority="10312" operator="equal">
      <formula>"欠"</formula>
    </cfRule>
  </conditionalFormatting>
  <conditionalFormatting sqref="T234:U234">
    <cfRule type="containsText" dxfId="2" priority="10298" operator="between" text="欠">
      <formula>NOT(ISERROR(SEARCH("欠",T234)))</formula>
    </cfRule>
  </conditionalFormatting>
  <conditionalFormatting sqref="AL234:AM234">
    <cfRule type="cellIs" dxfId="1" priority="10340" operator="equal">
      <formula>"未完成"</formula>
    </cfRule>
    <cfRule type="cellIs" dxfId="0" priority="10354" operator="equal">
      <formula>"未完成"</formula>
    </cfRule>
  </conditionalFormatting>
  <conditionalFormatting sqref="S235">
    <cfRule type="cellIs" dxfId="0" priority="10311" operator="equal">
      <formula>"欠"</formula>
    </cfRule>
  </conditionalFormatting>
  <conditionalFormatting sqref="T235:U235">
    <cfRule type="containsText" dxfId="2" priority="10297" operator="between" text="欠">
      <formula>NOT(ISERROR(SEARCH("欠",T235)))</formula>
    </cfRule>
  </conditionalFormatting>
  <conditionalFormatting sqref="AL235:AM235">
    <cfRule type="cellIs" dxfId="1" priority="10339" operator="equal">
      <formula>"未完成"</formula>
    </cfRule>
    <cfRule type="cellIs" dxfId="0" priority="10353" operator="equal">
      <formula>"未完成"</formula>
    </cfRule>
  </conditionalFormatting>
  <conditionalFormatting sqref="S236">
    <cfRule type="cellIs" dxfId="0" priority="10310" operator="equal">
      <formula>"欠"</formula>
    </cfRule>
  </conditionalFormatting>
  <conditionalFormatting sqref="T236:U236">
    <cfRule type="containsText" dxfId="2" priority="10296" operator="between" text="欠">
      <formula>NOT(ISERROR(SEARCH("欠",T236)))</formula>
    </cfRule>
  </conditionalFormatting>
  <conditionalFormatting sqref="AL236:AM236">
    <cfRule type="cellIs" dxfId="1" priority="10338" operator="equal">
      <formula>"未完成"</formula>
    </cfRule>
    <cfRule type="cellIs" dxfId="0" priority="10352" operator="equal">
      <formula>"未完成"</formula>
    </cfRule>
  </conditionalFormatting>
  <conditionalFormatting sqref="S237">
    <cfRule type="cellIs" dxfId="0" priority="10309" operator="equal">
      <formula>"欠"</formula>
    </cfRule>
  </conditionalFormatting>
  <conditionalFormatting sqref="T237:U237">
    <cfRule type="containsText" dxfId="2" priority="10295" operator="between" text="欠">
      <formula>NOT(ISERROR(SEARCH("欠",T237)))</formula>
    </cfRule>
  </conditionalFormatting>
  <conditionalFormatting sqref="AL237:AM237">
    <cfRule type="cellIs" dxfId="1" priority="10337" operator="equal">
      <formula>"未完成"</formula>
    </cfRule>
    <cfRule type="cellIs" dxfId="0" priority="10351" operator="equal">
      <formula>"未完成"</formula>
    </cfRule>
  </conditionalFormatting>
  <conditionalFormatting sqref="S238">
    <cfRule type="cellIs" dxfId="0" priority="10308" operator="equal">
      <formula>"欠"</formula>
    </cfRule>
  </conditionalFormatting>
  <conditionalFormatting sqref="T238:U238">
    <cfRule type="containsText" dxfId="2" priority="10294" operator="between" text="欠">
      <formula>NOT(ISERROR(SEARCH("欠",T238)))</formula>
    </cfRule>
  </conditionalFormatting>
  <conditionalFormatting sqref="AL238:AM238">
    <cfRule type="cellIs" dxfId="1" priority="10336" operator="equal">
      <formula>"未完成"</formula>
    </cfRule>
    <cfRule type="cellIs" dxfId="0" priority="10350" operator="equal">
      <formula>"未完成"</formula>
    </cfRule>
  </conditionalFormatting>
  <conditionalFormatting sqref="S239">
    <cfRule type="cellIs" dxfId="0" priority="10307" operator="equal">
      <formula>"欠"</formula>
    </cfRule>
  </conditionalFormatting>
  <conditionalFormatting sqref="T239:U239">
    <cfRule type="containsText" dxfId="2" priority="10293" operator="between" text="欠">
      <formula>NOT(ISERROR(SEARCH("欠",T239)))</formula>
    </cfRule>
  </conditionalFormatting>
  <conditionalFormatting sqref="AL239:AM239">
    <cfRule type="cellIs" dxfId="1" priority="10335" operator="equal">
      <formula>"未完成"</formula>
    </cfRule>
    <cfRule type="cellIs" dxfId="0" priority="10349" operator="equal">
      <formula>"未完成"</formula>
    </cfRule>
  </conditionalFormatting>
  <conditionalFormatting sqref="S240">
    <cfRule type="cellIs" dxfId="0" priority="10306" operator="equal">
      <formula>"欠"</formula>
    </cfRule>
  </conditionalFormatting>
  <conditionalFormatting sqref="T240:U240">
    <cfRule type="containsText" dxfId="2" priority="10292" operator="between" text="欠">
      <formula>NOT(ISERROR(SEARCH("欠",T240)))</formula>
    </cfRule>
  </conditionalFormatting>
  <conditionalFormatting sqref="AL240:AM240">
    <cfRule type="cellIs" dxfId="1" priority="10334" operator="equal">
      <formula>"未完成"</formula>
    </cfRule>
    <cfRule type="cellIs" dxfId="0" priority="10348" operator="equal">
      <formula>"未完成"</formula>
    </cfRule>
  </conditionalFormatting>
  <conditionalFormatting sqref="S241">
    <cfRule type="cellIs" dxfId="0" priority="10305" operator="equal">
      <formula>"欠"</formula>
    </cfRule>
  </conditionalFormatting>
  <conditionalFormatting sqref="T241:U241">
    <cfRule type="containsText" dxfId="2" priority="10291" operator="between" text="欠">
      <formula>NOT(ISERROR(SEARCH("欠",T241)))</formula>
    </cfRule>
  </conditionalFormatting>
  <conditionalFormatting sqref="AL241:AM241">
    <cfRule type="cellIs" dxfId="1" priority="10333" operator="equal">
      <formula>"未完成"</formula>
    </cfRule>
    <cfRule type="cellIs" dxfId="0" priority="10347" operator="equal">
      <formula>"未完成"</formula>
    </cfRule>
  </conditionalFormatting>
  <conditionalFormatting sqref="S242">
    <cfRule type="cellIs" dxfId="0" priority="10304" operator="equal">
      <formula>"欠"</formula>
    </cfRule>
  </conditionalFormatting>
  <conditionalFormatting sqref="T242:U242">
    <cfRule type="containsText" dxfId="2" priority="10290" operator="between" text="欠">
      <formula>NOT(ISERROR(SEARCH("欠",T242)))</formula>
    </cfRule>
  </conditionalFormatting>
  <conditionalFormatting sqref="AL242:AM242">
    <cfRule type="cellIs" dxfId="1" priority="10332" operator="equal">
      <formula>"未完成"</formula>
    </cfRule>
    <cfRule type="cellIs" dxfId="0" priority="10346" operator="equal">
      <formula>"未完成"</formula>
    </cfRule>
  </conditionalFormatting>
  <conditionalFormatting sqref="S243">
    <cfRule type="cellIs" dxfId="0" priority="10303" operator="equal">
      <formula>"欠"</formula>
    </cfRule>
  </conditionalFormatting>
  <conditionalFormatting sqref="T243:U243">
    <cfRule type="containsText" dxfId="2" priority="10289" operator="between" text="欠">
      <formula>NOT(ISERROR(SEARCH("欠",T243)))</formula>
    </cfRule>
  </conditionalFormatting>
  <conditionalFormatting sqref="AL243:AM243">
    <cfRule type="cellIs" dxfId="1" priority="10331" operator="equal">
      <formula>"未完成"</formula>
    </cfRule>
    <cfRule type="cellIs" dxfId="0" priority="10345" operator="equal">
      <formula>"未完成"</formula>
    </cfRule>
  </conditionalFormatting>
  <conditionalFormatting sqref="S244">
    <cfRule type="cellIs" dxfId="0" priority="10264" operator="equal">
      <formula>"欠"</formula>
    </cfRule>
  </conditionalFormatting>
  <conditionalFormatting sqref="T244:U244">
    <cfRule type="containsText" dxfId="2" priority="10258" operator="between" text="欠">
      <formula>NOT(ISERROR(SEARCH("欠",T244)))</formula>
    </cfRule>
  </conditionalFormatting>
  <conditionalFormatting sqref="AL244:AM244">
    <cfRule type="cellIs" dxfId="1" priority="10276" operator="equal">
      <formula>"未完成"</formula>
    </cfRule>
    <cfRule type="cellIs" dxfId="0" priority="10282" operator="equal">
      <formula>"未完成"</formula>
    </cfRule>
  </conditionalFormatting>
  <conditionalFormatting sqref="S245">
    <cfRule type="cellIs" dxfId="0" priority="10263" operator="equal">
      <formula>"欠"</formula>
    </cfRule>
  </conditionalFormatting>
  <conditionalFormatting sqref="T245:U245">
    <cfRule type="containsText" dxfId="2" priority="10257" operator="between" text="欠">
      <formula>NOT(ISERROR(SEARCH("欠",T245)))</formula>
    </cfRule>
  </conditionalFormatting>
  <conditionalFormatting sqref="AL245:AM245">
    <cfRule type="cellIs" dxfId="1" priority="10275" operator="equal">
      <formula>"未完成"</formula>
    </cfRule>
    <cfRule type="cellIs" dxfId="0" priority="10281" operator="equal">
      <formula>"未完成"</formula>
    </cfRule>
  </conditionalFormatting>
  <conditionalFormatting sqref="S246">
    <cfRule type="cellIs" dxfId="0" priority="10262" operator="equal">
      <formula>"欠"</formula>
    </cfRule>
  </conditionalFormatting>
  <conditionalFormatting sqref="T246:U246">
    <cfRule type="containsText" dxfId="2" priority="10256" operator="between" text="欠">
      <formula>NOT(ISERROR(SEARCH("欠",T246)))</formula>
    </cfRule>
  </conditionalFormatting>
  <conditionalFormatting sqref="AL246:AM246">
    <cfRule type="cellIs" dxfId="1" priority="10274" operator="equal">
      <formula>"未完成"</formula>
    </cfRule>
    <cfRule type="cellIs" dxfId="0" priority="10280" operator="equal">
      <formula>"未完成"</formula>
    </cfRule>
  </conditionalFormatting>
  <conditionalFormatting sqref="S247">
    <cfRule type="cellIs" dxfId="0" priority="10261" operator="equal">
      <formula>"欠"</formula>
    </cfRule>
  </conditionalFormatting>
  <conditionalFormatting sqref="T247:U247">
    <cfRule type="containsText" dxfId="2" priority="10255" operator="between" text="欠">
      <formula>NOT(ISERROR(SEARCH("欠",T247)))</formula>
    </cfRule>
  </conditionalFormatting>
  <conditionalFormatting sqref="AL247:AM247">
    <cfRule type="cellIs" dxfId="1" priority="10273" operator="equal">
      <formula>"未完成"</formula>
    </cfRule>
    <cfRule type="cellIs" dxfId="0" priority="10279" operator="equal">
      <formula>"未完成"</formula>
    </cfRule>
  </conditionalFormatting>
  <conditionalFormatting sqref="S248">
    <cfRule type="cellIs" dxfId="0" priority="10260" operator="equal">
      <formula>"欠"</formula>
    </cfRule>
  </conditionalFormatting>
  <conditionalFormatting sqref="T248:U248">
    <cfRule type="containsText" dxfId="2" priority="10254" operator="between" text="欠">
      <formula>NOT(ISERROR(SEARCH("欠",T248)))</formula>
    </cfRule>
  </conditionalFormatting>
  <conditionalFormatting sqref="AL248:AM248">
    <cfRule type="cellIs" dxfId="1" priority="10272" operator="equal">
      <formula>"未完成"</formula>
    </cfRule>
    <cfRule type="cellIs" dxfId="0" priority="10278" operator="equal">
      <formula>"未完成"</formula>
    </cfRule>
  </conditionalFormatting>
  <conditionalFormatting sqref="S249">
    <cfRule type="cellIs" dxfId="0" priority="10259" operator="equal">
      <formula>"欠"</formula>
    </cfRule>
  </conditionalFormatting>
  <conditionalFormatting sqref="T249:U249">
    <cfRule type="containsText" dxfId="2" priority="10253" operator="between" text="欠">
      <formula>NOT(ISERROR(SEARCH("欠",T249)))</formula>
    </cfRule>
  </conditionalFormatting>
  <conditionalFormatting sqref="AL249:AM249">
    <cfRule type="cellIs" dxfId="1" priority="10271" operator="equal">
      <formula>"未完成"</formula>
    </cfRule>
    <cfRule type="cellIs" dxfId="0" priority="10277" operator="equal">
      <formula>"未完成"</formula>
    </cfRule>
  </conditionalFormatting>
  <conditionalFormatting sqref="S250">
    <cfRule type="cellIs" dxfId="0" priority="10223" operator="equal">
      <formula>"欠"</formula>
    </cfRule>
  </conditionalFormatting>
  <conditionalFormatting sqref="T250:U250">
    <cfRule type="containsText" dxfId="2" priority="10216" operator="between" text="欠">
      <formula>NOT(ISERROR(SEARCH("欠",T250)))</formula>
    </cfRule>
  </conditionalFormatting>
  <conditionalFormatting sqref="AG250">
    <cfRule type="cellIs" dxfId="0" priority="10251" operator="equal">
      <formula>"未完成"</formula>
    </cfRule>
  </conditionalFormatting>
  <conditionalFormatting sqref="AH250">
    <cfRule type="cellIs" dxfId="0" priority="7281" operator="equal">
      <formula>"未完成"</formula>
    </cfRule>
  </conditionalFormatting>
  <conditionalFormatting sqref="AL250:AM250">
    <cfRule type="cellIs" dxfId="1" priority="10237" operator="equal">
      <formula>"未完成"</formula>
    </cfRule>
    <cfRule type="cellIs" dxfId="0" priority="10244" operator="equal">
      <formula>"未完成"</formula>
    </cfRule>
  </conditionalFormatting>
  <conditionalFormatting sqref="S251">
    <cfRule type="cellIs" dxfId="0" priority="10222" operator="equal">
      <formula>"欠"</formula>
    </cfRule>
  </conditionalFormatting>
  <conditionalFormatting sqref="T251:U251">
    <cfRule type="containsText" dxfId="2" priority="10215" operator="between" text="欠">
      <formula>NOT(ISERROR(SEARCH("欠",T251)))</formula>
    </cfRule>
  </conditionalFormatting>
  <conditionalFormatting sqref="AG251">
    <cfRule type="cellIs" dxfId="0" priority="10250" operator="equal">
      <formula>"未完成"</formula>
    </cfRule>
  </conditionalFormatting>
  <conditionalFormatting sqref="AH251">
    <cfRule type="cellIs" dxfId="0" priority="7280" operator="equal">
      <formula>"未完成"</formula>
    </cfRule>
  </conditionalFormatting>
  <conditionalFormatting sqref="AL251:AM251">
    <cfRule type="cellIs" dxfId="1" priority="10236" operator="equal">
      <formula>"未完成"</formula>
    </cfRule>
    <cfRule type="cellIs" dxfId="0" priority="10243" operator="equal">
      <formula>"未完成"</formula>
    </cfRule>
  </conditionalFormatting>
  <conditionalFormatting sqref="S252">
    <cfRule type="cellIs" dxfId="0" priority="10221" operator="equal">
      <formula>"欠"</formula>
    </cfRule>
  </conditionalFormatting>
  <conditionalFormatting sqref="T252:U252">
    <cfRule type="containsText" dxfId="2" priority="10214" operator="between" text="欠">
      <formula>NOT(ISERROR(SEARCH("欠",T252)))</formula>
    </cfRule>
  </conditionalFormatting>
  <conditionalFormatting sqref="AG252">
    <cfRule type="cellIs" dxfId="0" priority="10249" operator="equal">
      <formula>"未完成"</formula>
    </cfRule>
  </conditionalFormatting>
  <conditionalFormatting sqref="AH252">
    <cfRule type="cellIs" dxfId="0" priority="7279" operator="equal">
      <formula>"未完成"</formula>
    </cfRule>
  </conditionalFormatting>
  <conditionalFormatting sqref="AL252:AM252">
    <cfRule type="cellIs" dxfId="1" priority="10235" operator="equal">
      <formula>"未完成"</formula>
    </cfRule>
    <cfRule type="cellIs" dxfId="0" priority="10242" operator="equal">
      <formula>"未完成"</formula>
    </cfRule>
  </conditionalFormatting>
  <conditionalFormatting sqref="S253">
    <cfRule type="cellIs" dxfId="0" priority="10220" operator="equal">
      <formula>"欠"</formula>
    </cfRule>
  </conditionalFormatting>
  <conditionalFormatting sqref="T253:U253">
    <cfRule type="containsText" dxfId="2" priority="10213" operator="between" text="欠">
      <formula>NOT(ISERROR(SEARCH("欠",T253)))</formula>
    </cfRule>
  </conditionalFormatting>
  <conditionalFormatting sqref="AG253">
    <cfRule type="cellIs" dxfId="0" priority="10248" operator="equal">
      <formula>"未完成"</formula>
    </cfRule>
  </conditionalFormatting>
  <conditionalFormatting sqref="AH253">
    <cfRule type="cellIs" dxfId="0" priority="7278" operator="equal">
      <formula>"未完成"</formula>
    </cfRule>
  </conditionalFormatting>
  <conditionalFormatting sqref="AL253:AM253">
    <cfRule type="cellIs" dxfId="1" priority="10234" operator="equal">
      <formula>"未完成"</formula>
    </cfRule>
    <cfRule type="cellIs" dxfId="0" priority="10241" operator="equal">
      <formula>"未完成"</formula>
    </cfRule>
  </conditionalFormatting>
  <conditionalFormatting sqref="S254">
    <cfRule type="cellIs" dxfId="0" priority="10219" operator="equal">
      <formula>"欠"</formula>
    </cfRule>
  </conditionalFormatting>
  <conditionalFormatting sqref="T254:U254">
    <cfRule type="containsText" dxfId="2" priority="10212" operator="between" text="欠">
      <formula>NOT(ISERROR(SEARCH("欠",T254)))</formula>
    </cfRule>
  </conditionalFormatting>
  <conditionalFormatting sqref="AG254">
    <cfRule type="cellIs" dxfId="0" priority="10247" operator="equal">
      <formula>"未完成"</formula>
    </cfRule>
  </conditionalFormatting>
  <conditionalFormatting sqref="AH254">
    <cfRule type="cellIs" dxfId="0" priority="7277" operator="equal">
      <formula>"未完成"</formula>
    </cfRule>
  </conditionalFormatting>
  <conditionalFormatting sqref="AL254:AM254">
    <cfRule type="cellIs" dxfId="1" priority="10233" operator="equal">
      <formula>"未完成"</formula>
    </cfRule>
    <cfRule type="cellIs" dxfId="0" priority="10240" operator="equal">
      <formula>"未完成"</formula>
    </cfRule>
  </conditionalFormatting>
  <conditionalFormatting sqref="S255">
    <cfRule type="cellIs" dxfId="0" priority="10218" operator="equal">
      <formula>"欠"</formula>
    </cfRule>
  </conditionalFormatting>
  <conditionalFormatting sqref="T255:U255">
    <cfRule type="containsText" dxfId="2" priority="10211" operator="between" text="欠">
      <formula>NOT(ISERROR(SEARCH("欠",T255)))</formula>
    </cfRule>
  </conditionalFormatting>
  <conditionalFormatting sqref="AG255">
    <cfRule type="cellIs" dxfId="0" priority="10246" operator="equal">
      <formula>"未完成"</formula>
    </cfRule>
  </conditionalFormatting>
  <conditionalFormatting sqref="AH255">
    <cfRule type="cellIs" dxfId="0" priority="7276" operator="equal">
      <formula>"未完成"</formula>
    </cfRule>
  </conditionalFormatting>
  <conditionalFormatting sqref="AL255:AM255">
    <cfRule type="cellIs" dxfId="1" priority="10232" operator="equal">
      <formula>"未完成"</formula>
    </cfRule>
    <cfRule type="cellIs" dxfId="0" priority="10239" operator="equal">
      <formula>"未完成"</formula>
    </cfRule>
  </conditionalFormatting>
  <conditionalFormatting sqref="S256">
    <cfRule type="cellIs" dxfId="0" priority="10217" operator="equal">
      <formula>"欠"</formula>
    </cfRule>
  </conditionalFormatting>
  <conditionalFormatting sqref="T256:U256">
    <cfRule type="containsText" dxfId="2" priority="10210" operator="between" text="欠">
      <formula>NOT(ISERROR(SEARCH("欠",T256)))</formula>
    </cfRule>
  </conditionalFormatting>
  <conditionalFormatting sqref="AG256">
    <cfRule type="cellIs" dxfId="0" priority="10245" operator="equal">
      <formula>"未完成"</formula>
    </cfRule>
  </conditionalFormatting>
  <conditionalFormatting sqref="AH256">
    <cfRule type="cellIs" dxfId="0" priority="7275" operator="equal">
      <formula>"未完成"</formula>
    </cfRule>
  </conditionalFormatting>
  <conditionalFormatting sqref="AL256:AM256">
    <cfRule type="cellIs" dxfId="1" priority="10231" operator="equal">
      <formula>"未完成"</formula>
    </cfRule>
    <cfRule type="cellIs" dxfId="0" priority="10238" operator="equal">
      <formula>"未完成"</formula>
    </cfRule>
  </conditionalFormatting>
  <conditionalFormatting sqref="S257">
    <cfRule type="cellIs" dxfId="0" priority="10130" operator="equal">
      <formula>"欠"</formula>
    </cfRule>
  </conditionalFormatting>
  <conditionalFormatting sqref="T257:U257">
    <cfRule type="containsText" dxfId="2" priority="10117" operator="between" text="欠">
      <formula>NOT(ISERROR(SEARCH("欠",T257)))</formula>
    </cfRule>
  </conditionalFormatting>
  <conditionalFormatting sqref="AG257">
    <cfRule type="cellIs" dxfId="0" priority="10182" operator="equal">
      <formula>"未完成"</formula>
    </cfRule>
  </conditionalFormatting>
  <conditionalFormatting sqref="AH257">
    <cfRule type="cellIs" dxfId="0" priority="7273" operator="equal">
      <formula>"未完成"</formula>
    </cfRule>
  </conditionalFormatting>
  <conditionalFormatting sqref="AL257:AM257">
    <cfRule type="cellIs" dxfId="1" priority="10156" operator="equal">
      <formula>"未完成"</formula>
    </cfRule>
    <cfRule type="cellIs" dxfId="0" priority="10169" operator="equal">
      <formula>"未完成"</formula>
    </cfRule>
  </conditionalFormatting>
  <conditionalFormatting sqref="S258">
    <cfRule type="cellIs" dxfId="0" priority="10129" operator="equal">
      <formula>"欠"</formula>
    </cfRule>
  </conditionalFormatting>
  <conditionalFormatting sqref="T258:U258">
    <cfRule type="containsText" dxfId="2" priority="10116" operator="between" text="欠">
      <formula>NOT(ISERROR(SEARCH("欠",T258)))</formula>
    </cfRule>
  </conditionalFormatting>
  <conditionalFormatting sqref="AG258">
    <cfRule type="cellIs" dxfId="0" priority="10181" operator="equal">
      <formula>"未完成"</formula>
    </cfRule>
  </conditionalFormatting>
  <conditionalFormatting sqref="AH258">
    <cfRule type="cellIs" dxfId="0" priority="7272" operator="equal">
      <formula>"未完成"</formula>
    </cfRule>
  </conditionalFormatting>
  <conditionalFormatting sqref="AL258:AM258">
    <cfRule type="cellIs" dxfId="1" priority="10155" operator="equal">
      <formula>"未完成"</formula>
    </cfRule>
    <cfRule type="cellIs" dxfId="0" priority="10168" operator="equal">
      <formula>"未完成"</formula>
    </cfRule>
  </conditionalFormatting>
  <conditionalFormatting sqref="S259">
    <cfRule type="cellIs" dxfId="0" priority="10128" operator="equal">
      <formula>"欠"</formula>
    </cfRule>
  </conditionalFormatting>
  <conditionalFormatting sqref="T259:U259">
    <cfRule type="containsText" dxfId="2" priority="10115" operator="between" text="欠">
      <formula>NOT(ISERROR(SEARCH("欠",T259)))</formula>
    </cfRule>
  </conditionalFormatting>
  <conditionalFormatting sqref="AL259:AM259">
    <cfRule type="cellIs" dxfId="1" priority="10154" operator="equal">
      <formula>"未完成"</formula>
    </cfRule>
    <cfRule type="cellIs" dxfId="0" priority="10167" operator="equal">
      <formula>"未完成"</formula>
    </cfRule>
  </conditionalFormatting>
  <conditionalFormatting sqref="S260">
    <cfRule type="cellIs" dxfId="0" priority="10127" operator="equal">
      <formula>"欠"</formula>
    </cfRule>
  </conditionalFormatting>
  <conditionalFormatting sqref="T260:U260">
    <cfRule type="containsText" dxfId="2" priority="10114" operator="between" text="欠">
      <formula>NOT(ISERROR(SEARCH("欠",T260)))</formula>
    </cfRule>
  </conditionalFormatting>
  <conditionalFormatting sqref="AG260">
    <cfRule type="cellIs" dxfId="0" priority="10179" operator="equal">
      <formula>"未完成"</formula>
    </cfRule>
  </conditionalFormatting>
  <conditionalFormatting sqref="AH260">
    <cfRule type="cellIs" dxfId="0" priority="7271" operator="equal">
      <formula>"未完成"</formula>
    </cfRule>
  </conditionalFormatting>
  <conditionalFormatting sqref="AL260:AM260">
    <cfRule type="cellIs" dxfId="1" priority="10153" operator="equal">
      <formula>"未完成"</formula>
    </cfRule>
    <cfRule type="cellIs" dxfId="0" priority="10166" operator="equal">
      <formula>"未完成"</formula>
    </cfRule>
  </conditionalFormatting>
  <conditionalFormatting sqref="S261">
    <cfRule type="cellIs" dxfId="0" priority="10126" operator="equal">
      <formula>"欠"</formula>
    </cfRule>
  </conditionalFormatting>
  <conditionalFormatting sqref="T261:U261">
    <cfRule type="containsText" dxfId="2" priority="10113" operator="between" text="欠">
      <formula>NOT(ISERROR(SEARCH("欠",T261)))</formula>
    </cfRule>
  </conditionalFormatting>
  <conditionalFormatting sqref="AG261">
    <cfRule type="cellIs" dxfId="0" priority="10178" operator="equal">
      <formula>"未完成"</formula>
    </cfRule>
  </conditionalFormatting>
  <conditionalFormatting sqref="AH261">
    <cfRule type="cellIs" dxfId="0" priority="7270" operator="equal">
      <formula>"未完成"</formula>
    </cfRule>
  </conditionalFormatting>
  <conditionalFormatting sqref="AL261:AM261">
    <cfRule type="cellIs" dxfId="1" priority="10152" operator="equal">
      <formula>"未完成"</formula>
    </cfRule>
    <cfRule type="cellIs" dxfId="0" priority="10165" operator="equal">
      <formula>"未完成"</formula>
    </cfRule>
  </conditionalFormatting>
  <conditionalFormatting sqref="S262">
    <cfRule type="cellIs" dxfId="0" priority="10125" operator="equal">
      <formula>"欠"</formula>
    </cfRule>
  </conditionalFormatting>
  <conditionalFormatting sqref="T262:U262">
    <cfRule type="containsText" dxfId="2" priority="10112" operator="between" text="欠">
      <formula>NOT(ISERROR(SEARCH("欠",T262)))</formula>
    </cfRule>
  </conditionalFormatting>
  <conditionalFormatting sqref="AG262">
    <cfRule type="cellIs" dxfId="0" priority="10177" operator="equal">
      <formula>"未完成"</formula>
    </cfRule>
  </conditionalFormatting>
  <conditionalFormatting sqref="AH262">
    <cfRule type="cellIs" dxfId="0" priority="7269" operator="equal">
      <formula>"未完成"</formula>
    </cfRule>
  </conditionalFormatting>
  <conditionalFormatting sqref="AL262:AM262">
    <cfRule type="cellIs" dxfId="1" priority="10151" operator="equal">
      <formula>"未完成"</formula>
    </cfRule>
    <cfRule type="cellIs" dxfId="0" priority="10164" operator="equal">
      <formula>"未完成"</formula>
    </cfRule>
  </conditionalFormatting>
  <conditionalFormatting sqref="S263">
    <cfRule type="cellIs" dxfId="0" priority="10124" operator="equal">
      <formula>"欠"</formula>
    </cfRule>
  </conditionalFormatting>
  <conditionalFormatting sqref="T263:U263">
    <cfRule type="containsText" dxfId="2" priority="10111" operator="between" text="欠">
      <formula>NOT(ISERROR(SEARCH("欠",T263)))</formula>
    </cfRule>
  </conditionalFormatting>
  <conditionalFormatting sqref="AG263">
    <cfRule type="cellIs" dxfId="0" priority="10176" operator="equal">
      <formula>"未完成"</formula>
    </cfRule>
  </conditionalFormatting>
  <conditionalFormatting sqref="AH263">
    <cfRule type="cellIs" dxfId="0" priority="7268" operator="equal">
      <formula>"未完成"</formula>
    </cfRule>
  </conditionalFormatting>
  <conditionalFormatting sqref="AL263:AM263">
    <cfRule type="cellIs" dxfId="1" priority="10150" operator="equal">
      <formula>"未完成"</formula>
    </cfRule>
    <cfRule type="cellIs" dxfId="0" priority="10163" operator="equal">
      <formula>"未完成"</formula>
    </cfRule>
  </conditionalFormatting>
  <conditionalFormatting sqref="S264">
    <cfRule type="cellIs" dxfId="0" priority="10123" operator="equal">
      <formula>"欠"</formula>
    </cfRule>
  </conditionalFormatting>
  <conditionalFormatting sqref="T264:U264">
    <cfRule type="containsText" dxfId="2" priority="10110" operator="between" text="欠">
      <formula>NOT(ISERROR(SEARCH("欠",T264)))</formula>
    </cfRule>
  </conditionalFormatting>
  <conditionalFormatting sqref="AG264">
    <cfRule type="cellIs" dxfId="0" priority="10175" operator="equal">
      <formula>"未完成"</formula>
    </cfRule>
  </conditionalFormatting>
  <conditionalFormatting sqref="AH264">
    <cfRule type="cellIs" dxfId="0" priority="7267" operator="equal">
      <formula>"未完成"</formula>
    </cfRule>
  </conditionalFormatting>
  <conditionalFormatting sqref="AL264:AM264">
    <cfRule type="cellIs" dxfId="1" priority="10149" operator="equal">
      <formula>"未完成"</formula>
    </cfRule>
    <cfRule type="cellIs" dxfId="0" priority="10162" operator="equal">
      <formula>"未完成"</formula>
    </cfRule>
  </conditionalFormatting>
  <conditionalFormatting sqref="S265">
    <cfRule type="cellIs" dxfId="0" priority="10122" operator="equal">
      <formula>"欠"</formula>
    </cfRule>
  </conditionalFormatting>
  <conditionalFormatting sqref="T265:U265">
    <cfRule type="containsText" dxfId="2" priority="10109" operator="between" text="欠">
      <formula>NOT(ISERROR(SEARCH("欠",T265)))</formula>
    </cfRule>
  </conditionalFormatting>
  <conditionalFormatting sqref="AG265">
    <cfRule type="cellIs" dxfId="0" priority="10174" operator="equal">
      <formula>"未完成"</formula>
    </cfRule>
  </conditionalFormatting>
  <conditionalFormatting sqref="AH265">
    <cfRule type="cellIs" dxfId="0" priority="7266" operator="equal">
      <formula>"未完成"</formula>
    </cfRule>
  </conditionalFormatting>
  <conditionalFormatting sqref="AL265:AM265">
    <cfRule type="cellIs" dxfId="1" priority="10148" operator="equal">
      <formula>"未完成"</formula>
    </cfRule>
    <cfRule type="cellIs" dxfId="0" priority="10161" operator="equal">
      <formula>"未完成"</formula>
    </cfRule>
  </conditionalFormatting>
  <conditionalFormatting sqref="S266">
    <cfRule type="cellIs" dxfId="0" priority="10121" operator="equal">
      <formula>"欠"</formula>
    </cfRule>
  </conditionalFormatting>
  <conditionalFormatting sqref="T266:U266">
    <cfRule type="containsText" dxfId="2" priority="10108" operator="between" text="欠">
      <formula>NOT(ISERROR(SEARCH("欠",T266)))</formula>
    </cfRule>
  </conditionalFormatting>
  <conditionalFormatting sqref="AG266">
    <cfRule type="cellIs" dxfId="0" priority="10173" operator="equal">
      <formula>"未完成"</formula>
    </cfRule>
  </conditionalFormatting>
  <conditionalFormatting sqref="AH266">
    <cfRule type="cellIs" dxfId="0" priority="7265" operator="equal">
      <formula>"未完成"</formula>
    </cfRule>
  </conditionalFormatting>
  <conditionalFormatting sqref="AL266:AM266">
    <cfRule type="cellIs" dxfId="1" priority="10147" operator="equal">
      <formula>"未完成"</formula>
    </cfRule>
    <cfRule type="cellIs" dxfId="0" priority="10160" operator="equal">
      <formula>"未完成"</formula>
    </cfRule>
  </conditionalFormatting>
  <conditionalFormatting sqref="S267">
    <cfRule type="cellIs" dxfId="0" priority="10120" operator="equal">
      <formula>"欠"</formula>
    </cfRule>
  </conditionalFormatting>
  <conditionalFormatting sqref="T267:U267">
    <cfRule type="containsText" dxfId="2" priority="10107" operator="between" text="欠">
      <formula>NOT(ISERROR(SEARCH("欠",T267)))</formula>
    </cfRule>
  </conditionalFormatting>
  <conditionalFormatting sqref="AG267">
    <cfRule type="cellIs" dxfId="0" priority="10172" operator="equal">
      <formula>"未完成"</formula>
    </cfRule>
  </conditionalFormatting>
  <conditionalFormatting sqref="AH267">
    <cfRule type="cellIs" dxfId="0" priority="7264" operator="equal">
      <formula>"未完成"</formula>
    </cfRule>
  </conditionalFormatting>
  <conditionalFormatting sqref="AL267:AM267">
    <cfRule type="cellIs" dxfId="1" priority="10146" operator="equal">
      <formula>"未完成"</formula>
    </cfRule>
    <cfRule type="cellIs" dxfId="0" priority="10159" operator="equal">
      <formula>"未完成"</formula>
    </cfRule>
  </conditionalFormatting>
  <conditionalFormatting sqref="S268">
    <cfRule type="cellIs" dxfId="0" priority="10119" operator="equal">
      <formula>"欠"</formula>
    </cfRule>
  </conditionalFormatting>
  <conditionalFormatting sqref="T268:U268">
    <cfRule type="containsText" dxfId="2" priority="10106" operator="between" text="欠">
      <formula>NOT(ISERROR(SEARCH("欠",T268)))</formula>
    </cfRule>
  </conditionalFormatting>
  <conditionalFormatting sqref="AL268:AM268">
    <cfRule type="cellIs" dxfId="1" priority="10145" operator="equal">
      <formula>"未完成"</formula>
    </cfRule>
    <cfRule type="cellIs" dxfId="0" priority="10158" operator="equal">
      <formula>"未完成"</formula>
    </cfRule>
  </conditionalFormatting>
  <conditionalFormatting sqref="S269">
    <cfRule type="cellIs" dxfId="0" priority="10118" operator="equal">
      <formula>"欠"</formula>
    </cfRule>
  </conditionalFormatting>
  <conditionalFormatting sqref="T269:U269">
    <cfRule type="containsText" dxfId="2" priority="10105" operator="between" text="欠">
      <formula>NOT(ISERROR(SEARCH("欠",T269)))</formula>
    </cfRule>
  </conditionalFormatting>
  <conditionalFormatting sqref="AG269">
    <cfRule type="cellIs" dxfId="0" priority="10170" operator="equal">
      <formula>"未完成"</formula>
    </cfRule>
  </conditionalFormatting>
  <conditionalFormatting sqref="AH269">
    <cfRule type="cellIs" dxfId="0" priority="7263" operator="equal">
      <formula>"未完成"</formula>
    </cfRule>
  </conditionalFormatting>
  <conditionalFormatting sqref="AL269:AM269">
    <cfRule type="cellIs" dxfId="1" priority="10144" operator="equal">
      <formula>"未完成"</formula>
    </cfRule>
    <cfRule type="cellIs" dxfId="0" priority="10157" operator="equal">
      <formula>"未完成"</formula>
    </cfRule>
  </conditionalFormatting>
  <conditionalFormatting sqref="S270">
    <cfRule type="cellIs" dxfId="0" priority="9973" operator="equal">
      <formula>"欠"</formula>
    </cfRule>
  </conditionalFormatting>
  <conditionalFormatting sqref="T270:U270">
    <cfRule type="containsText" dxfId="2" priority="9947" operator="between" text="欠">
      <formula>NOT(ISERROR(SEARCH("欠",T270)))</formula>
    </cfRule>
  </conditionalFormatting>
  <conditionalFormatting sqref="AG270">
    <cfRule type="cellIs" dxfId="0" priority="10077" operator="equal">
      <formula>"未完成"</formula>
    </cfRule>
  </conditionalFormatting>
  <conditionalFormatting sqref="AH270">
    <cfRule type="cellIs" dxfId="0" priority="7260" operator="equal">
      <formula>"未完成"</formula>
    </cfRule>
  </conditionalFormatting>
  <conditionalFormatting sqref="AL270:AM270">
    <cfRule type="cellIs" dxfId="1" priority="10025" operator="equal">
      <formula>"未完成"</formula>
    </cfRule>
    <cfRule type="cellIs" dxfId="0" priority="10051" operator="equal">
      <formula>"未完成"</formula>
    </cfRule>
  </conditionalFormatting>
  <conditionalFormatting sqref="S271">
    <cfRule type="cellIs" dxfId="0" priority="9972" operator="equal">
      <formula>"欠"</formula>
    </cfRule>
  </conditionalFormatting>
  <conditionalFormatting sqref="T271:U271">
    <cfRule type="containsText" dxfId="2" priority="9946" operator="between" text="欠">
      <formula>NOT(ISERROR(SEARCH("欠",T271)))</formula>
    </cfRule>
  </conditionalFormatting>
  <conditionalFormatting sqref="AG271">
    <cfRule type="cellIs" dxfId="0" priority="10076" operator="equal">
      <formula>"未完成"</formula>
    </cfRule>
  </conditionalFormatting>
  <conditionalFormatting sqref="AH271">
    <cfRule type="cellIs" dxfId="0" priority="7259" operator="equal">
      <formula>"未完成"</formula>
    </cfRule>
  </conditionalFormatting>
  <conditionalFormatting sqref="AL271:AM271">
    <cfRule type="cellIs" dxfId="1" priority="10024" operator="equal">
      <formula>"未完成"</formula>
    </cfRule>
    <cfRule type="cellIs" dxfId="0" priority="10050" operator="equal">
      <formula>"未完成"</formula>
    </cfRule>
  </conditionalFormatting>
  <conditionalFormatting sqref="S272">
    <cfRule type="cellIs" dxfId="0" priority="9971" operator="equal">
      <formula>"欠"</formula>
    </cfRule>
  </conditionalFormatting>
  <conditionalFormatting sqref="T272:U272">
    <cfRule type="containsText" dxfId="2" priority="9945" operator="between" text="欠">
      <formula>NOT(ISERROR(SEARCH("欠",T272)))</formula>
    </cfRule>
  </conditionalFormatting>
  <conditionalFormatting sqref="AG272">
    <cfRule type="cellIs" dxfId="0" priority="10075" operator="equal">
      <formula>"未完成"</formula>
    </cfRule>
  </conditionalFormatting>
  <conditionalFormatting sqref="AH272">
    <cfRule type="cellIs" dxfId="0" priority="7258" operator="equal">
      <formula>"未完成"</formula>
    </cfRule>
  </conditionalFormatting>
  <conditionalFormatting sqref="AL272:AM272">
    <cfRule type="cellIs" dxfId="1" priority="10023" operator="equal">
      <formula>"未完成"</formula>
    </cfRule>
    <cfRule type="cellIs" dxfId="0" priority="10049" operator="equal">
      <formula>"未完成"</formula>
    </cfRule>
  </conditionalFormatting>
  <conditionalFormatting sqref="S273">
    <cfRule type="cellIs" dxfId="0" priority="9970" operator="equal">
      <formula>"欠"</formula>
    </cfRule>
  </conditionalFormatting>
  <conditionalFormatting sqref="T273:U273">
    <cfRule type="containsText" dxfId="2" priority="9944" operator="between" text="欠">
      <formula>NOT(ISERROR(SEARCH("欠",T273)))</formula>
    </cfRule>
  </conditionalFormatting>
  <conditionalFormatting sqref="AG273">
    <cfRule type="cellIs" dxfId="0" priority="10074" operator="equal">
      <formula>"未完成"</formula>
    </cfRule>
  </conditionalFormatting>
  <conditionalFormatting sqref="AH273">
    <cfRule type="cellIs" dxfId="0" priority="7257" operator="equal">
      <formula>"未完成"</formula>
    </cfRule>
  </conditionalFormatting>
  <conditionalFormatting sqref="AL273:AM273">
    <cfRule type="cellIs" dxfId="1" priority="10022" operator="equal">
      <formula>"未完成"</formula>
    </cfRule>
    <cfRule type="cellIs" dxfId="0" priority="10048" operator="equal">
      <formula>"未完成"</formula>
    </cfRule>
  </conditionalFormatting>
  <conditionalFormatting sqref="S274">
    <cfRule type="cellIs" dxfId="0" priority="9969" operator="equal">
      <formula>"欠"</formula>
    </cfRule>
  </conditionalFormatting>
  <conditionalFormatting sqref="T274:U274">
    <cfRule type="containsText" dxfId="2" priority="9943" operator="between" text="欠">
      <formula>NOT(ISERROR(SEARCH("欠",T274)))</formula>
    </cfRule>
  </conditionalFormatting>
  <conditionalFormatting sqref="AG274">
    <cfRule type="cellIs" dxfId="0" priority="10073" operator="equal">
      <formula>"未完成"</formula>
    </cfRule>
  </conditionalFormatting>
  <conditionalFormatting sqref="AH274">
    <cfRule type="cellIs" dxfId="0" priority="7256" operator="equal">
      <formula>"未完成"</formula>
    </cfRule>
  </conditionalFormatting>
  <conditionalFormatting sqref="AL274:AM274">
    <cfRule type="cellIs" dxfId="1" priority="10021" operator="equal">
      <formula>"未完成"</formula>
    </cfRule>
    <cfRule type="cellIs" dxfId="0" priority="10047" operator="equal">
      <formula>"未完成"</formula>
    </cfRule>
  </conditionalFormatting>
  <conditionalFormatting sqref="S275">
    <cfRule type="cellIs" dxfId="0" priority="9968" operator="equal">
      <formula>"欠"</formula>
    </cfRule>
  </conditionalFormatting>
  <conditionalFormatting sqref="T275:U275">
    <cfRule type="containsText" dxfId="2" priority="9942" operator="between" text="欠">
      <formula>NOT(ISERROR(SEARCH("欠",T275)))</formula>
    </cfRule>
  </conditionalFormatting>
  <conditionalFormatting sqref="AG275">
    <cfRule type="cellIs" dxfId="0" priority="10072" operator="equal">
      <formula>"未完成"</formula>
    </cfRule>
  </conditionalFormatting>
  <conditionalFormatting sqref="AH275">
    <cfRule type="cellIs" dxfId="0" priority="7255" operator="equal">
      <formula>"未完成"</formula>
    </cfRule>
  </conditionalFormatting>
  <conditionalFormatting sqref="AL275:AM275">
    <cfRule type="cellIs" dxfId="1" priority="10020" operator="equal">
      <formula>"未完成"</formula>
    </cfRule>
    <cfRule type="cellIs" dxfId="0" priority="10046" operator="equal">
      <formula>"未完成"</formula>
    </cfRule>
  </conditionalFormatting>
  <conditionalFormatting sqref="S276">
    <cfRule type="cellIs" dxfId="0" priority="9967" operator="equal">
      <formula>"欠"</formula>
    </cfRule>
  </conditionalFormatting>
  <conditionalFormatting sqref="T276:U276">
    <cfRule type="containsText" dxfId="2" priority="9941" operator="between" text="欠">
      <formula>NOT(ISERROR(SEARCH("欠",T276)))</formula>
    </cfRule>
  </conditionalFormatting>
  <conditionalFormatting sqref="AG276">
    <cfRule type="cellIs" dxfId="0" priority="10071" operator="equal">
      <formula>"未完成"</formula>
    </cfRule>
  </conditionalFormatting>
  <conditionalFormatting sqref="AH276">
    <cfRule type="cellIs" dxfId="0" priority="7254" operator="equal">
      <formula>"未完成"</formula>
    </cfRule>
  </conditionalFormatting>
  <conditionalFormatting sqref="AL276:AM276">
    <cfRule type="cellIs" dxfId="1" priority="10019" operator="equal">
      <formula>"未完成"</formula>
    </cfRule>
    <cfRule type="cellIs" dxfId="0" priority="10045" operator="equal">
      <formula>"未完成"</formula>
    </cfRule>
  </conditionalFormatting>
  <conditionalFormatting sqref="S277">
    <cfRule type="cellIs" dxfId="0" priority="9966" operator="equal">
      <formula>"欠"</formula>
    </cfRule>
  </conditionalFormatting>
  <conditionalFormatting sqref="T277:U277">
    <cfRule type="containsText" dxfId="2" priority="9940" operator="between" text="欠">
      <formula>NOT(ISERROR(SEARCH("欠",T277)))</formula>
    </cfRule>
  </conditionalFormatting>
  <conditionalFormatting sqref="AG277">
    <cfRule type="cellIs" dxfId="0" priority="10070" operator="equal">
      <formula>"未完成"</formula>
    </cfRule>
  </conditionalFormatting>
  <conditionalFormatting sqref="AH277">
    <cfRule type="cellIs" dxfId="0" priority="7253" operator="equal">
      <formula>"未完成"</formula>
    </cfRule>
  </conditionalFormatting>
  <conditionalFormatting sqref="AL277:AM277">
    <cfRule type="cellIs" dxfId="1" priority="10018" operator="equal">
      <formula>"未完成"</formula>
    </cfRule>
    <cfRule type="cellIs" dxfId="0" priority="10044" operator="equal">
      <formula>"未完成"</formula>
    </cfRule>
  </conditionalFormatting>
  <conditionalFormatting sqref="S278">
    <cfRule type="cellIs" dxfId="0" priority="9965" operator="equal">
      <formula>"欠"</formula>
    </cfRule>
  </conditionalFormatting>
  <conditionalFormatting sqref="T278:U278">
    <cfRule type="containsText" dxfId="2" priority="9939" operator="between" text="欠">
      <formula>NOT(ISERROR(SEARCH("欠",T278)))</formula>
    </cfRule>
  </conditionalFormatting>
  <conditionalFormatting sqref="AG278">
    <cfRule type="cellIs" dxfId="0" priority="10069" operator="equal">
      <formula>"未完成"</formula>
    </cfRule>
  </conditionalFormatting>
  <conditionalFormatting sqref="AH278">
    <cfRule type="cellIs" dxfId="0" priority="7252" operator="equal">
      <formula>"未完成"</formula>
    </cfRule>
  </conditionalFormatting>
  <conditionalFormatting sqref="AL278:AM278">
    <cfRule type="cellIs" dxfId="1" priority="10017" operator="equal">
      <formula>"未完成"</formula>
    </cfRule>
    <cfRule type="cellIs" dxfId="0" priority="10043" operator="equal">
      <formula>"未完成"</formula>
    </cfRule>
  </conditionalFormatting>
  <conditionalFormatting sqref="S279">
    <cfRule type="cellIs" dxfId="0" priority="9964" operator="equal">
      <formula>"欠"</formula>
    </cfRule>
  </conditionalFormatting>
  <conditionalFormatting sqref="T279:U279">
    <cfRule type="containsText" dxfId="2" priority="9938" operator="between" text="欠">
      <formula>NOT(ISERROR(SEARCH("欠",T279)))</formula>
    </cfRule>
  </conditionalFormatting>
  <conditionalFormatting sqref="AG279">
    <cfRule type="cellIs" dxfId="0" priority="10068" operator="equal">
      <formula>"未完成"</formula>
    </cfRule>
  </conditionalFormatting>
  <conditionalFormatting sqref="AH279">
    <cfRule type="cellIs" dxfId="0" priority="7251" operator="equal">
      <formula>"未完成"</formula>
    </cfRule>
  </conditionalFormatting>
  <conditionalFormatting sqref="AL279:AM279">
    <cfRule type="cellIs" dxfId="1" priority="10016" operator="equal">
      <formula>"未完成"</formula>
    </cfRule>
    <cfRule type="cellIs" dxfId="0" priority="10042" operator="equal">
      <formula>"未完成"</formula>
    </cfRule>
  </conditionalFormatting>
  <conditionalFormatting sqref="S280">
    <cfRule type="cellIs" dxfId="0" priority="9963" operator="equal">
      <formula>"欠"</formula>
    </cfRule>
  </conditionalFormatting>
  <conditionalFormatting sqref="T280:U280">
    <cfRule type="containsText" dxfId="2" priority="9937" operator="between" text="欠">
      <formula>NOT(ISERROR(SEARCH("欠",T280)))</formula>
    </cfRule>
  </conditionalFormatting>
  <conditionalFormatting sqref="AG280">
    <cfRule type="cellIs" dxfId="0" priority="10067" operator="equal">
      <formula>"未完成"</formula>
    </cfRule>
  </conditionalFormatting>
  <conditionalFormatting sqref="AH280">
    <cfRule type="cellIs" dxfId="0" priority="7250" operator="equal">
      <formula>"未完成"</formula>
    </cfRule>
  </conditionalFormatting>
  <conditionalFormatting sqref="AL280:AM280">
    <cfRule type="cellIs" dxfId="1" priority="10015" operator="equal">
      <formula>"未完成"</formula>
    </cfRule>
    <cfRule type="cellIs" dxfId="0" priority="10041" operator="equal">
      <formula>"未完成"</formula>
    </cfRule>
  </conditionalFormatting>
  <conditionalFormatting sqref="S281">
    <cfRule type="cellIs" dxfId="0" priority="9962" operator="equal">
      <formula>"欠"</formula>
    </cfRule>
  </conditionalFormatting>
  <conditionalFormatting sqref="T281:U281">
    <cfRule type="containsText" dxfId="2" priority="9936" operator="between" text="欠">
      <formula>NOT(ISERROR(SEARCH("欠",T281)))</formula>
    </cfRule>
  </conditionalFormatting>
  <conditionalFormatting sqref="AG281">
    <cfRule type="cellIs" dxfId="0" priority="10066" operator="equal">
      <formula>"未完成"</formula>
    </cfRule>
  </conditionalFormatting>
  <conditionalFormatting sqref="AH281">
    <cfRule type="cellIs" dxfId="0" priority="7249" operator="equal">
      <formula>"未完成"</formula>
    </cfRule>
  </conditionalFormatting>
  <conditionalFormatting sqref="AL281:AM281">
    <cfRule type="cellIs" dxfId="1" priority="10014" operator="equal">
      <formula>"未完成"</formula>
    </cfRule>
    <cfRule type="cellIs" dxfId="0" priority="10040" operator="equal">
      <formula>"未完成"</formula>
    </cfRule>
  </conditionalFormatting>
  <conditionalFormatting sqref="S282">
    <cfRule type="cellIs" dxfId="0" priority="9961" operator="equal">
      <formula>"欠"</formula>
    </cfRule>
  </conditionalFormatting>
  <conditionalFormatting sqref="T282:U282">
    <cfRule type="containsText" dxfId="2" priority="9935" operator="between" text="欠">
      <formula>NOT(ISERROR(SEARCH("欠",T282)))</formula>
    </cfRule>
  </conditionalFormatting>
  <conditionalFormatting sqref="AG282">
    <cfRule type="cellIs" dxfId="0" priority="10065" operator="equal">
      <formula>"未完成"</formula>
    </cfRule>
  </conditionalFormatting>
  <conditionalFormatting sqref="AH282">
    <cfRule type="cellIs" dxfId="0" priority="7248" operator="equal">
      <formula>"未完成"</formula>
    </cfRule>
  </conditionalFormatting>
  <conditionalFormatting sqref="AL282:AM282">
    <cfRule type="cellIs" dxfId="1" priority="10013" operator="equal">
      <formula>"未完成"</formula>
    </cfRule>
    <cfRule type="cellIs" dxfId="0" priority="10039" operator="equal">
      <formula>"未完成"</formula>
    </cfRule>
  </conditionalFormatting>
  <conditionalFormatting sqref="S283">
    <cfRule type="cellIs" dxfId="0" priority="9960" operator="equal">
      <formula>"欠"</formula>
    </cfRule>
  </conditionalFormatting>
  <conditionalFormatting sqref="T283:U283">
    <cfRule type="containsText" dxfId="2" priority="9934" operator="between" text="欠">
      <formula>NOT(ISERROR(SEARCH("欠",T283)))</formula>
    </cfRule>
  </conditionalFormatting>
  <conditionalFormatting sqref="AG283">
    <cfRule type="cellIs" dxfId="0" priority="10064" operator="equal">
      <formula>"未完成"</formula>
    </cfRule>
  </conditionalFormatting>
  <conditionalFormatting sqref="AH283">
    <cfRule type="cellIs" dxfId="0" priority="7247" operator="equal">
      <formula>"未完成"</formula>
    </cfRule>
  </conditionalFormatting>
  <conditionalFormatting sqref="AL283:AM283">
    <cfRule type="cellIs" dxfId="1" priority="10012" operator="equal">
      <formula>"未完成"</formula>
    </cfRule>
    <cfRule type="cellIs" dxfId="0" priority="10038" operator="equal">
      <formula>"未完成"</formula>
    </cfRule>
  </conditionalFormatting>
  <conditionalFormatting sqref="S284">
    <cfRule type="cellIs" dxfId="0" priority="9959" operator="equal">
      <formula>"欠"</formula>
    </cfRule>
  </conditionalFormatting>
  <conditionalFormatting sqref="T284:U284">
    <cfRule type="containsText" dxfId="2" priority="9933" operator="between" text="欠">
      <formula>NOT(ISERROR(SEARCH("欠",T284)))</formula>
    </cfRule>
  </conditionalFormatting>
  <conditionalFormatting sqref="AG284">
    <cfRule type="cellIs" dxfId="0" priority="10063" operator="equal">
      <formula>"未完成"</formula>
    </cfRule>
  </conditionalFormatting>
  <conditionalFormatting sqref="AH284">
    <cfRule type="cellIs" dxfId="0" priority="7246" operator="equal">
      <formula>"未完成"</formula>
    </cfRule>
  </conditionalFormatting>
  <conditionalFormatting sqref="AL284:AM284">
    <cfRule type="cellIs" dxfId="1" priority="10011" operator="equal">
      <formula>"未完成"</formula>
    </cfRule>
    <cfRule type="cellIs" dxfId="0" priority="10037" operator="equal">
      <formula>"未完成"</formula>
    </cfRule>
  </conditionalFormatting>
  <conditionalFormatting sqref="S285">
    <cfRule type="cellIs" dxfId="0" priority="9958" operator="equal">
      <formula>"欠"</formula>
    </cfRule>
  </conditionalFormatting>
  <conditionalFormatting sqref="T285:U285">
    <cfRule type="containsText" dxfId="2" priority="9932" operator="between" text="欠">
      <formula>NOT(ISERROR(SEARCH("欠",T285)))</formula>
    </cfRule>
  </conditionalFormatting>
  <conditionalFormatting sqref="AG285">
    <cfRule type="cellIs" dxfId="0" priority="10062" operator="equal">
      <formula>"未完成"</formula>
    </cfRule>
  </conditionalFormatting>
  <conditionalFormatting sqref="AH285">
    <cfRule type="cellIs" dxfId="0" priority="7245" operator="equal">
      <formula>"未完成"</formula>
    </cfRule>
  </conditionalFormatting>
  <conditionalFormatting sqref="AL285:AM285">
    <cfRule type="cellIs" dxfId="1" priority="10010" operator="equal">
      <formula>"未完成"</formula>
    </cfRule>
    <cfRule type="cellIs" dxfId="0" priority="10036" operator="equal">
      <formula>"未完成"</formula>
    </cfRule>
  </conditionalFormatting>
  <conditionalFormatting sqref="S286">
    <cfRule type="cellIs" dxfId="0" priority="9957" operator="equal">
      <formula>"欠"</formula>
    </cfRule>
  </conditionalFormatting>
  <conditionalFormatting sqref="T286:U286">
    <cfRule type="containsText" dxfId="2" priority="9931" operator="between" text="欠">
      <formula>NOT(ISERROR(SEARCH("欠",T286)))</formula>
    </cfRule>
  </conditionalFormatting>
  <conditionalFormatting sqref="AG286">
    <cfRule type="cellIs" dxfId="0" priority="10061" operator="equal">
      <formula>"未完成"</formula>
    </cfRule>
  </conditionalFormatting>
  <conditionalFormatting sqref="AH286">
    <cfRule type="cellIs" dxfId="0" priority="7244" operator="equal">
      <formula>"未完成"</formula>
    </cfRule>
  </conditionalFormatting>
  <conditionalFormatting sqref="AL286:AM286">
    <cfRule type="cellIs" dxfId="1" priority="10009" operator="equal">
      <formula>"未完成"</formula>
    </cfRule>
    <cfRule type="cellIs" dxfId="0" priority="10035" operator="equal">
      <formula>"未完成"</formula>
    </cfRule>
  </conditionalFormatting>
  <conditionalFormatting sqref="S287">
    <cfRule type="cellIs" dxfId="0" priority="9956" operator="equal">
      <formula>"欠"</formula>
    </cfRule>
  </conditionalFormatting>
  <conditionalFormatting sqref="T287:U287">
    <cfRule type="containsText" dxfId="2" priority="9930" operator="between" text="欠">
      <formula>NOT(ISERROR(SEARCH("欠",T287)))</formula>
    </cfRule>
  </conditionalFormatting>
  <conditionalFormatting sqref="AG287">
    <cfRule type="cellIs" dxfId="0" priority="10060" operator="equal">
      <formula>"未完成"</formula>
    </cfRule>
  </conditionalFormatting>
  <conditionalFormatting sqref="AH287">
    <cfRule type="cellIs" dxfId="0" priority="7243" operator="equal">
      <formula>"未完成"</formula>
    </cfRule>
  </conditionalFormatting>
  <conditionalFormatting sqref="AL287:AM287">
    <cfRule type="cellIs" dxfId="1" priority="10008" operator="equal">
      <formula>"未完成"</formula>
    </cfRule>
    <cfRule type="cellIs" dxfId="0" priority="10034" operator="equal">
      <formula>"未完成"</formula>
    </cfRule>
  </conditionalFormatting>
  <conditionalFormatting sqref="S288">
    <cfRule type="cellIs" dxfId="0" priority="9955" operator="equal">
      <formula>"欠"</formula>
    </cfRule>
  </conditionalFormatting>
  <conditionalFormatting sqref="T288:U288">
    <cfRule type="containsText" dxfId="2" priority="9929" operator="between" text="欠">
      <formula>NOT(ISERROR(SEARCH("欠",T288)))</formula>
    </cfRule>
  </conditionalFormatting>
  <conditionalFormatting sqref="AG288">
    <cfRule type="cellIs" dxfId="0" priority="10059" operator="equal">
      <formula>"未完成"</formula>
    </cfRule>
  </conditionalFormatting>
  <conditionalFormatting sqref="AH288">
    <cfRule type="cellIs" dxfId="0" priority="7242" operator="equal">
      <formula>"未完成"</formula>
    </cfRule>
  </conditionalFormatting>
  <conditionalFormatting sqref="AL288:AM288">
    <cfRule type="cellIs" dxfId="1" priority="10007" operator="equal">
      <formula>"未完成"</formula>
    </cfRule>
    <cfRule type="cellIs" dxfId="0" priority="10033" operator="equal">
      <formula>"未完成"</formula>
    </cfRule>
  </conditionalFormatting>
  <conditionalFormatting sqref="S289">
    <cfRule type="cellIs" dxfId="0" priority="9954" operator="equal">
      <formula>"欠"</formula>
    </cfRule>
  </conditionalFormatting>
  <conditionalFormatting sqref="T289:U289">
    <cfRule type="containsText" dxfId="2" priority="9928" operator="between" text="欠">
      <formula>NOT(ISERROR(SEARCH("欠",T289)))</formula>
    </cfRule>
  </conditionalFormatting>
  <conditionalFormatting sqref="AG289">
    <cfRule type="cellIs" dxfId="0" priority="10058" operator="equal">
      <formula>"未完成"</formula>
    </cfRule>
  </conditionalFormatting>
  <conditionalFormatting sqref="AH289">
    <cfRule type="cellIs" dxfId="0" priority="7241" operator="equal">
      <formula>"未完成"</formula>
    </cfRule>
  </conditionalFormatting>
  <conditionalFormatting sqref="AL289:AM289">
    <cfRule type="cellIs" dxfId="1" priority="10006" operator="equal">
      <formula>"未完成"</formula>
    </cfRule>
    <cfRule type="cellIs" dxfId="0" priority="10032" operator="equal">
      <formula>"未完成"</formula>
    </cfRule>
  </conditionalFormatting>
  <conditionalFormatting sqref="S290">
    <cfRule type="cellIs" dxfId="0" priority="9953" operator="equal">
      <formula>"欠"</formula>
    </cfRule>
  </conditionalFormatting>
  <conditionalFormatting sqref="T290:U290">
    <cfRule type="containsText" dxfId="2" priority="9927" operator="between" text="欠">
      <formula>NOT(ISERROR(SEARCH("欠",T290)))</formula>
    </cfRule>
  </conditionalFormatting>
  <conditionalFormatting sqref="AG290">
    <cfRule type="cellIs" dxfId="0" priority="10057" operator="equal">
      <formula>"未完成"</formula>
    </cfRule>
  </conditionalFormatting>
  <conditionalFormatting sqref="AH290">
    <cfRule type="cellIs" dxfId="0" priority="7240" operator="equal">
      <formula>"未完成"</formula>
    </cfRule>
  </conditionalFormatting>
  <conditionalFormatting sqref="AL290:AM290">
    <cfRule type="cellIs" dxfId="1" priority="10005" operator="equal">
      <formula>"未完成"</formula>
    </cfRule>
    <cfRule type="cellIs" dxfId="0" priority="10031" operator="equal">
      <formula>"未完成"</formula>
    </cfRule>
  </conditionalFormatting>
  <conditionalFormatting sqref="AG291">
    <cfRule type="cellIs" dxfId="0" priority="10056" operator="equal">
      <formula>"未完成"</formula>
    </cfRule>
  </conditionalFormatting>
  <conditionalFormatting sqref="AH291">
    <cfRule type="cellIs" dxfId="0" priority="7239" operator="equal">
      <formula>"未完成"</formula>
    </cfRule>
  </conditionalFormatting>
  <conditionalFormatting sqref="AL291:AM291">
    <cfRule type="cellIs" dxfId="1" priority="10004" operator="equal">
      <formula>"未完成"</formula>
    </cfRule>
    <cfRule type="cellIs" dxfId="0" priority="10030" operator="equal">
      <formula>"未完成"</formula>
    </cfRule>
  </conditionalFormatting>
  <conditionalFormatting sqref="S292">
    <cfRule type="cellIs" dxfId="0" priority="9951" operator="equal">
      <formula>"欠"</formula>
    </cfRule>
  </conditionalFormatting>
  <conditionalFormatting sqref="T292:U292">
    <cfRule type="containsText" dxfId="2" priority="9925" operator="between" text="欠">
      <formula>NOT(ISERROR(SEARCH("欠",T292)))</formula>
    </cfRule>
  </conditionalFormatting>
  <conditionalFormatting sqref="AG292">
    <cfRule type="cellIs" dxfId="0" priority="10055" operator="equal">
      <formula>"未完成"</formula>
    </cfRule>
  </conditionalFormatting>
  <conditionalFormatting sqref="AH292">
    <cfRule type="cellIs" dxfId="0" priority="7238" operator="equal">
      <formula>"未完成"</formula>
    </cfRule>
  </conditionalFormatting>
  <conditionalFormatting sqref="AL292:AM292">
    <cfRule type="cellIs" dxfId="1" priority="10003" operator="equal">
      <formula>"未完成"</formula>
    </cfRule>
    <cfRule type="cellIs" dxfId="0" priority="10029" operator="equal">
      <formula>"未完成"</formula>
    </cfRule>
  </conditionalFormatting>
  <conditionalFormatting sqref="T293:U293">
    <cfRule type="containsText" dxfId="2" priority="9924" operator="between" text="欠">
      <formula>NOT(ISERROR(SEARCH("欠",T293)))</formula>
    </cfRule>
  </conditionalFormatting>
  <conditionalFormatting sqref="AG293">
    <cfRule type="cellIs" dxfId="0" priority="10054" operator="equal">
      <formula>"未完成"</formula>
    </cfRule>
  </conditionalFormatting>
  <conditionalFormatting sqref="AH293">
    <cfRule type="cellIs" dxfId="0" priority="7237" operator="equal">
      <formula>"未完成"</formula>
    </cfRule>
  </conditionalFormatting>
  <conditionalFormatting sqref="AL293:AM293">
    <cfRule type="cellIs" dxfId="1" priority="10002" operator="equal">
      <formula>"未完成"</formula>
    </cfRule>
    <cfRule type="cellIs" dxfId="0" priority="10028" operator="equal">
      <formula>"未完成"</formula>
    </cfRule>
  </conditionalFormatting>
  <conditionalFormatting sqref="S294">
    <cfRule type="cellIs" dxfId="0" priority="9949" operator="equal">
      <formula>"欠"</formula>
    </cfRule>
  </conditionalFormatting>
  <conditionalFormatting sqref="T294:U294">
    <cfRule type="containsText" dxfId="2" priority="9923" operator="between" text="欠">
      <formula>NOT(ISERROR(SEARCH("欠",T294)))</formula>
    </cfRule>
  </conditionalFormatting>
  <conditionalFormatting sqref="AG294">
    <cfRule type="cellIs" dxfId="0" priority="10053" operator="equal">
      <formula>"未完成"</formula>
    </cfRule>
  </conditionalFormatting>
  <conditionalFormatting sqref="AH294">
    <cfRule type="cellIs" dxfId="0" priority="7236" operator="equal">
      <formula>"未完成"</formula>
    </cfRule>
  </conditionalFormatting>
  <conditionalFormatting sqref="AL294:AM294">
    <cfRule type="cellIs" dxfId="1" priority="10001" operator="equal">
      <formula>"未完成"</formula>
    </cfRule>
    <cfRule type="cellIs" dxfId="0" priority="10027" operator="equal">
      <formula>"未完成"</formula>
    </cfRule>
  </conditionalFormatting>
  <conditionalFormatting sqref="S295">
    <cfRule type="cellIs" dxfId="0" priority="9948" operator="equal">
      <formula>"欠"</formula>
    </cfRule>
  </conditionalFormatting>
  <conditionalFormatting sqref="T295:U295">
    <cfRule type="containsText" dxfId="2" priority="9922" operator="between" text="欠">
      <formula>NOT(ISERROR(SEARCH("欠",T295)))</formula>
    </cfRule>
  </conditionalFormatting>
  <conditionalFormatting sqref="AG295">
    <cfRule type="cellIs" dxfId="0" priority="10052" operator="equal">
      <formula>"未完成"</formula>
    </cfRule>
  </conditionalFormatting>
  <conditionalFormatting sqref="AH295">
    <cfRule type="cellIs" dxfId="0" priority="7235" operator="equal">
      <formula>"未完成"</formula>
    </cfRule>
  </conditionalFormatting>
  <conditionalFormatting sqref="AL295:AM295">
    <cfRule type="cellIs" dxfId="1" priority="10000" operator="equal">
      <formula>"未完成"</formula>
    </cfRule>
    <cfRule type="cellIs" dxfId="0" priority="10026" operator="equal">
      <formula>"未完成"</formula>
    </cfRule>
  </conditionalFormatting>
  <conditionalFormatting sqref="S296">
    <cfRule type="cellIs" dxfId="0" priority="9860" operator="equal">
      <formula>"欠"</formula>
    </cfRule>
  </conditionalFormatting>
  <conditionalFormatting sqref="T296:U296">
    <cfRule type="containsText" dxfId="2" priority="9847" operator="between" text="欠">
      <formula>NOT(ISERROR(SEARCH("欠",T296)))</formula>
    </cfRule>
  </conditionalFormatting>
  <conditionalFormatting sqref="AG296">
    <cfRule type="cellIs" dxfId="0" priority="9912" operator="equal">
      <formula>"未完成"</formula>
    </cfRule>
  </conditionalFormatting>
  <conditionalFormatting sqref="AH296">
    <cfRule type="cellIs" dxfId="0" priority="7234" operator="equal">
      <formula>"未完成"</formula>
    </cfRule>
  </conditionalFormatting>
  <conditionalFormatting sqref="AL296:AM296">
    <cfRule type="cellIs" dxfId="1" priority="9886" operator="equal">
      <formula>"未完成"</formula>
    </cfRule>
    <cfRule type="cellIs" dxfId="0" priority="9899" operator="equal">
      <formula>"未完成"</formula>
    </cfRule>
  </conditionalFormatting>
  <conditionalFormatting sqref="S297">
    <cfRule type="cellIs" dxfId="0" priority="9859" operator="equal">
      <formula>"欠"</formula>
    </cfRule>
  </conditionalFormatting>
  <conditionalFormatting sqref="T297:U297">
    <cfRule type="containsText" dxfId="2" priority="9846" operator="between" text="欠">
      <formula>NOT(ISERROR(SEARCH("欠",T297)))</formula>
    </cfRule>
  </conditionalFormatting>
  <conditionalFormatting sqref="AG297">
    <cfRule type="cellIs" dxfId="0" priority="9911" operator="equal">
      <formula>"未完成"</formula>
    </cfRule>
  </conditionalFormatting>
  <conditionalFormatting sqref="AH297">
    <cfRule type="cellIs" dxfId="0" priority="7233" operator="equal">
      <formula>"未完成"</formula>
    </cfRule>
  </conditionalFormatting>
  <conditionalFormatting sqref="AL297:AM297">
    <cfRule type="cellIs" dxfId="1" priority="9885" operator="equal">
      <formula>"未完成"</formula>
    </cfRule>
    <cfRule type="cellIs" dxfId="0" priority="9898" operator="equal">
      <formula>"未完成"</formula>
    </cfRule>
  </conditionalFormatting>
  <conditionalFormatting sqref="S298">
    <cfRule type="cellIs" dxfId="0" priority="9858" operator="equal">
      <formula>"欠"</formula>
    </cfRule>
  </conditionalFormatting>
  <conditionalFormatting sqref="T298:U298">
    <cfRule type="containsText" dxfId="2" priority="9845" operator="between" text="欠">
      <formula>NOT(ISERROR(SEARCH("欠",T298)))</formula>
    </cfRule>
  </conditionalFormatting>
  <conditionalFormatting sqref="AG298">
    <cfRule type="cellIs" dxfId="0" priority="9910" operator="equal">
      <formula>"未完成"</formula>
    </cfRule>
  </conditionalFormatting>
  <conditionalFormatting sqref="AH298">
    <cfRule type="cellIs" dxfId="0" priority="7232" operator="equal">
      <formula>"未完成"</formula>
    </cfRule>
  </conditionalFormatting>
  <conditionalFormatting sqref="AL298:AM298">
    <cfRule type="cellIs" dxfId="1" priority="9884" operator="equal">
      <formula>"未完成"</formula>
    </cfRule>
    <cfRule type="cellIs" dxfId="0" priority="9897" operator="equal">
      <formula>"未完成"</formula>
    </cfRule>
  </conditionalFormatting>
  <conditionalFormatting sqref="S299">
    <cfRule type="cellIs" dxfId="0" priority="9857" operator="equal">
      <formula>"欠"</formula>
    </cfRule>
  </conditionalFormatting>
  <conditionalFormatting sqref="T299:U299">
    <cfRule type="containsText" dxfId="2" priority="9844" operator="between" text="欠">
      <formula>NOT(ISERROR(SEARCH("欠",T299)))</formula>
    </cfRule>
  </conditionalFormatting>
  <conditionalFormatting sqref="AG299">
    <cfRule type="cellIs" dxfId="0" priority="9909" operator="equal">
      <formula>"未完成"</formula>
    </cfRule>
  </conditionalFormatting>
  <conditionalFormatting sqref="AH299">
    <cfRule type="cellIs" dxfId="0" priority="7231" operator="equal">
      <formula>"未完成"</formula>
    </cfRule>
  </conditionalFormatting>
  <conditionalFormatting sqref="AL299:AM299">
    <cfRule type="cellIs" dxfId="1" priority="9883" operator="equal">
      <formula>"未完成"</formula>
    </cfRule>
    <cfRule type="cellIs" dxfId="0" priority="9896" operator="equal">
      <formula>"未完成"</formula>
    </cfRule>
  </conditionalFormatting>
  <conditionalFormatting sqref="S300">
    <cfRule type="cellIs" dxfId="0" priority="9856" operator="equal">
      <formula>"欠"</formula>
    </cfRule>
  </conditionalFormatting>
  <conditionalFormatting sqref="T300:U300">
    <cfRule type="containsText" dxfId="2" priority="9843" operator="between" text="欠">
      <formula>NOT(ISERROR(SEARCH("欠",T300)))</formula>
    </cfRule>
  </conditionalFormatting>
  <conditionalFormatting sqref="AG300">
    <cfRule type="cellIs" dxfId="0" priority="9908" operator="equal">
      <formula>"未完成"</formula>
    </cfRule>
  </conditionalFormatting>
  <conditionalFormatting sqref="AH300">
    <cfRule type="cellIs" dxfId="0" priority="7230" operator="equal">
      <formula>"未完成"</formula>
    </cfRule>
  </conditionalFormatting>
  <conditionalFormatting sqref="AL300:AM300">
    <cfRule type="cellIs" dxfId="1" priority="9882" operator="equal">
      <formula>"未完成"</formula>
    </cfRule>
    <cfRule type="cellIs" dxfId="0" priority="9895" operator="equal">
      <formula>"未完成"</formula>
    </cfRule>
  </conditionalFormatting>
  <conditionalFormatting sqref="S301">
    <cfRule type="cellIs" dxfId="0" priority="9855" operator="equal">
      <formula>"欠"</formula>
    </cfRule>
  </conditionalFormatting>
  <conditionalFormatting sqref="T301:U301">
    <cfRule type="containsText" dxfId="2" priority="9842" operator="between" text="欠">
      <formula>NOT(ISERROR(SEARCH("欠",T301)))</formula>
    </cfRule>
  </conditionalFormatting>
  <conditionalFormatting sqref="AG301">
    <cfRule type="cellIs" dxfId="0" priority="9907" operator="equal">
      <formula>"未完成"</formula>
    </cfRule>
  </conditionalFormatting>
  <conditionalFormatting sqref="AH301">
    <cfRule type="cellIs" dxfId="0" priority="7229" operator="equal">
      <formula>"未完成"</formula>
    </cfRule>
  </conditionalFormatting>
  <conditionalFormatting sqref="AL301:AM301">
    <cfRule type="cellIs" dxfId="1" priority="9881" operator="equal">
      <formula>"未完成"</formula>
    </cfRule>
    <cfRule type="cellIs" dxfId="0" priority="9894" operator="equal">
      <formula>"未完成"</formula>
    </cfRule>
  </conditionalFormatting>
  <conditionalFormatting sqref="S302">
    <cfRule type="cellIs" dxfId="0" priority="9854" operator="equal">
      <formula>"欠"</formula>
    </cfRule>
  </conditionalFormatting>
  <conditionalFormatting sqref="T302:U302">
    <cfRule type="containsText" dxfId="2" priority="9841" operator="between" text="欠">
      <formula>NOT(ISERROR(SEARCH("欠",T302)))</formula>
    </cfRule>
  </conditionalFormatting>
  <conditionalFormatting sqref="AG302">
    <cfRule type="cellIs" dxfId="0" priority="9906" operator="equal">
      <formula>"未完成"</formula>
    </cfRule>
  </conditionalFormatting>
  <conditionalFormatting sqref="AH302">
    <cfRule type="cellIs" dxfId="0" priority="7228" operator="equal">
      <formula>"未完成"</formula>
    </cfRule>
  </conditionalFormatting>
  <conditionalFormatting sqref="AL302:AM302">
    <cfRule type="cellIs" dxfId="1" priority="9880" operator="equal">
      <formula>"未完成"</formula>
    </cfRule>
    <cfRule type="cellIs" dxfId="0" priority="9893" operator="equal">
      <formula>"未完成"</formula>
    </cfRule>
  </conditionalFormatting>
  <conditionalFormatting sqref="S303">
    <cfRule type="cellIs" dxfId="0" priority="9853" operator="equal">
      <formula>"欠"</formula>
    </cfRule>
  </conditionalFormatting>
  <conditionalFormatting sqref="T303:U303">
    <cfRule type="containsText" dxfId="2" priority="9840" operator="between" text="欠">
      <formula>NOT(ISERROR(SEARCH("欠",T303)))</formula>
    </cfRule>
  </conditionalFormatting>
  <conditionalFormatting sqref="AG303">
    <cfRule type="cellIs" dxfId="0" priority="9905" operator="equal">
      <formula>"未完成"</formula>
    </cfRule>
  </conditionalFormatting>
  <conditionalFormatting sqref="AH303">
    <cfRule type="cellIs" dxfId="0" priority="7227" operator="equal">
      <formula>"未完成"</formula>
    </cfRule>
  </conditionalFormatting>
  <conditionalFormatting sqref="AL303:AM303">
    <cfRule type="cellIs" dxfId="1" priority="9879" operator="equal">
      <formula>"未完成"</formula>
    </cfRule>
    <cfRule type="cellIs" dxfId="0" priority="9892" operator="equal">
      <formula>"未完成"</formula>
    </cfRule>
  </conditionalFormatting>
  <conditionalFormatting sqref="S304">
    <cfRule type="cellIs" dxfId="0" priority="9852" operator="equal">
      <formula>"欠"</formula>
    </cfRule>
  </conditionalFormatting>
  <conditionalFormatting sqref="T304:U304">
    <cfRule type="containsText" dxfId="2" priority="9839" operator="between" text="欠">
      <formula>NOT(ISERROR(SEARCH("欠",T304)))</formula>
    </cfRule>
  </conditionalFormatting>
  <conditionalFormatting sqref="AG304">
    <cfRule type="cellIs" dxfId="0" priority="9904" operator="equal">
      <formula>"未完成"</formula>
    </cfRule>
  </conditionalFormatting>
  <conditionalFormatting sqref="AH304">
    <cfRule type="cellIs" dxfId="0" priority="7226" operator="equal">
      <formula>"未完成"</formula>
    </cfRule>
  </conditionalFormatting>
  <conditionalFormatting sqref="AL304:AM304">
    <cfRule type="cellIs" dxfId="1" priority="9878" operator="equal">
      <formula>"未完成"</formula>
    </cfRule>
    <cfRule type="cellIs" dxfId="0" priority="9891" operator="equal">
      <formula>"未完成"</formula>
    </cfRule>
  </conditionalFormatting>
  <conditionalFormatting sqref="S305">
    <cfRule type="cellIs" dxfId="0" priority="9851" operator="equal">
      <formula>"欠"</formula>
    </cfRule>
  </conditionalFormatting>
  <conditionalFormatting sqref="T305:U305">
    <cfRule type="containsText" dxfId="2" priority="9838" operator="between" text="欠">
      <formula>NOT(ISERROR(SEARCH("欠",T305)))</formula>
    </cfRule>
  </conditionalFormatting>
  <conditionalFormatting sqref="AG305">
    <cfRule type="cellIs" dxfId="0" priority="9903" operator="equal">
      <formula>"未完成"</formula>
    </cfRule>
  </conditionalFormatting>
  <conditionalFormatting sqref="AH305">
    <cfRule type="cellIs" dxfId="0" priority="7225" operator="equal">
      <formula>"未完成"</formula>
    </cfRule>
  </conditionalFormatting>
  <conditionalFormatting sqref="AL305:AM305">
    <cfRule type="cellIs" dxfId="1" priority="9877" operator="equal">
      <formula>"未完成"</formula>
    </cfRule>
    <cfRule type="cellIs" dxfId="0" priority="9890" operator="equal">
      <formula>"未完成"</formula>
    </cfRule>
  </conditionalFormatting>
  <conditionalFormatting sqref="S306">
    <cfRule type="cellIs" dxfId="0" priority="9850" operator="equal">
      <formula>"欠"</formula>
    </cfRule>
  </conditionalFormatting>
  <conditionalFormatting sqref="T306:U306">
    <cfRule type="containsText" dxfId="2" priority="9837" operator="between" text="欠">
      <formula>NOT(ISERROR(SEARCH("欠",T306)))</formula>
    </cfRule>
  </conditionalFormatting>
  <conditionalFormatting sqref="AG306">
    <cfRule type="cellIs" dxfId="0" priority="9902" operator="equal">
      <formula>"未完成"</formula>
    </cfRule>
  </conditionalFormatting>
  <conditionalFormatting sqref="AH306">
    <cfRule type="cellIs" dxfId="0" priority="7224" operator="equal">
      <formula>"未完成"</formula>
    </cfRule>
  </conditionalFormatting>
  <conditionalFormatting sqref="AL306:AM306">
    <cfRule type="cellIs" dxfId="1" priority="9876" operator="equal">
      <formula>"未完成"</formula>
    </cfRule>
    <cfRule type="cellIs" dxfId="0" priority="9889" operator="equal">
      <formula>"未完成"</formula>
    </cfRule>
  </conditionalFormatting>
  <conditionalFormatting sqref="S307">
    <cfRule type="cellIs" dxfId="0" priority="9849" operator="equal">
      <formula>"欠"</formula>
    </cfRule>
  </conditionalFormatting>
  <conditionalFormatting sqref="T307:U307">
    <cfRule type="containsText" dxfId="2" priority="9836" operator="between" text="欠">
      <formula>NOT(ISERROR(SEARCH("欠",T307)))</formula>
    </cfRule>
  </conditionalFormatting>
  <conditionalFormatting sqref="AG307">
    <cfRule type="cellIs" dxfId="0" priority="9901" operator="equal">
      <formula>"未完成"</formula>
    </cfRule>
  </conditionalFormatting>
  <conditionalFormatting sqref="AH307">
    <cfRule type="cellIs" dxfId="0" priority="7223" operator="equal">
      <formula>"未完成"</formula>
    </cfRule>
  </conditionalFormatting>
  <conditionalFormatting sqref="AL307:AM307">
    <cfRule type="cellIs" dxfId="1" priority="9875" operator="equal">
      <formula>"未完成"</formula>
    </cfRule>
    <cfRule type="cellIs" dxfId="0" priority="9888" operator="equal">
      <formula>"未完成"</formula>
    </cfRule>
  </conditionalFormatting>
  <conditionalFormatting sqref="S308">
    <cfRule type="cellIs" dxfId="0" priority="9848" operator="equal">
      <formula>"欠"</formula>
    </cfRule>
  </conditionalFormatting>
  <conditionalFormatting sqref="T308:U308">
    <cfRule type="containsText" dxfId="2" priority="9835" operator="between" text="欠">
      <formula>NOT(ISERROR(SEARCH("欠",T308)))</formula>
    </cfRule>
  </conditionalFormatting>
  <conditionalFormatting sqref="AG308">
    <cfRule type="cellIs" dxfId="0" priority="9900" operator="equal">
      <formula>"未完成"</formula>
    </cfRule>
  </conditionalFormatting>
  <conditionalFormatting sqref="AH308">
    <cfRule type="cellIs" dxfId="0" priority="7222" operator="equal">
      <formula>"未完成"</formula>
    </cfRule>
  </conditionalFormatting>
  <conditionalFormatting sqref="AL308:AM308">
    <cfRule type="cellIs" dxfId="1" priority="9874" operator="equal">
      <formula>"未完成"</formula>
    </cfRule>
    <cfRule type="cellIs" dxfId="0" priority="9887" operator="equal">
      <formula>"未完成"</formula>
    </cfRule>
  </conditionalFormatting>
  <conditionalFormatting sqref="S309">
    <cfRule type="cellIs" dxfId="0" priority="9681" operator="equal">
      <formula>"欠"</formula>
    </cfRule>
  </conditionalFormatting>
  <conditionalFormatting sqref="T309:U309">
    <cfRule type="containsText" dxfId="2" priority="9666" operator="between" text="欠">
      <formula>NOT(ISERROR(SEARCH("欠",T309)))</formula>
    </cfRule>
  </conditionalFormatting>
  <conditionalFormatting sqref="AG309">
    <cfRule type="cellIs" dxfId="0" priority="9741" operator="equal">
      <formula>"未完成"</formula>
    </cfRule>
  </conditionalFormatting>
  <conditionalFormatting sqref="AH309">
    <cfRule type="cellIs" dxfId="0" priority="7219" operator="equal">
      <formula>"未完成"</formula>
    </cfRule>
  </conditionalFormatting>
  <conditionalFormatting sqref="AL309:AM309">
    <cfRule type="cellIs" dxfId="1" priority="9711" operator="equal">
      <formula>"未完成"</formula>
    </cfRule>
    <cfRule type="cellIs" dxfId="0" priority="9726" operator="equal">
      <formula>"未完成"</formula>
    </cfRule>
  </conditionalFormatting>
  <conditionalFormatting sqref="S310">
    <cfRule type="cellIs" dxfId="0" priority="9680" operator="equal">
      <formula>"欠"</formula>
    </cfRule>
  </conditionalFormatting>
  <conditionalFormatting sqref="T310:U310">
    <cfRule type="containsText" dxfId="2" priority="9665" operator="between" text="欠">
      <formula>NOT(ISERROR(SEARCH("欠",T310)))</formula>
    </cfRule>
  </conditionalFormatting>
  <conditionalFormatting sqref="AG310">
    <cfRule type="cellIs" dxfId="0" priority="9740" operator="equal">
      <formula>"未完成"</formula>
    </cfRule>
  </conditionalFormatting>
  <conditionalFormatting sqref="AH310">
    <cfRule type="cellIs" dxfId="0" priority="7218" operator="equal">
      <formula>"未完成"</formula>
    </cfRule>
  </conditionalFormatting>
  <conditionalFormatting sqref="AL310:AM310">
    <cfRule type="cellIs" dxfId="1" priority="9710" operator="equal">
      <formula>"未完成"</formula>
    </cfRule>
    <cfRule type="cellIs" dxfId="0" priority="9725" operator="equal">
      <formula>"未完成"</formula>
    </cfRule>
  </conditionalFormatting>
  <conditionalFormatting sqref="S311">
    <cfRule type="cellIs" dxfId="0" priority="9679" operator="equal">
      <formula>"欠"</formula>
    </cfRule>
  </conditionalFormatting>
  <conditionalFormatting sqref="T311:U311">
    <cfRule type="containsText" dxfId="2" priority="9664" operator="between" text="欠">
      <formula>NOT(ISERROR(SEARCH("欠",T311)))</formula>
    </cfRule>
  </conditionalFormatting>
  <conditionalFormatting sqref="AG311">
    <cfRule type="cellIs" dxfId="0" priority="9739" operator="equal">
      <formula>"未完成"</formula>
    </cfRule>
  </conditionalFormatting>
  <conditionalFormatting sqref="AH311">
    <cfRule type="cellIs" dxfId="0" priority="7217" operator="equal">
      <formula>"未完成"</formula>
    </cfRule>
  </conditionalFormatting>
  <conditionalFormatting sqref="AL311:AM311">
    <cfRule type="cellIs" dxfId="1" priority="9709" operator="equal">
      <formula>"未完成"</formula>
    </cfRule>
    <cfRule type="cellIs" dxfId="0" priority="9724" operator="equal">
      <formula>"未完成"</formula>
    </cfRule>
  </conditionalFormatting>
  <conditionalFormatting sqref="S312">
    <cfRule type="cellIs" dxfId="0" priority="9678" operator="equal">
      <formula>"欠"</formula>
    </cfRule>
  </conditionalFormatting>
  <conditionalFormatting sqref="T312:U312">
    <cfRule type="containsText" dxfId="2" priority="9663" operator="between" text="欠">
      <formula>NOT(ISERROR(SEARCH("欠",T312)))</formula>
    </cfRule>
  </conditionalFormatting>
  <conditionalFormatting sqref="AG312">
    <cfRule type="cellIs" dxfId="0" priority="9738" operator="equal">
      <formula>"未完成"</formula>
    </cfRule>
  </conditionalFormatting>
  <conditionalFormatting sqref="AH312">
    <cfRule type="cellIs" dxfId="0" priority="7216" operator="equal">
      <formula>"未完成"</formula>
    </cfRule>
  </conditionalFormatting>
  <conditionalFormatting sqref="AL312:AM312">
    <cfRule type="cellIs" dxfId="1" priority="9708" operator="equal">
      <formula>"未完成"</formula>
    </cfRule>
    <cfRule type="cellIs" dxfId="0" priority="9723" operator="equal">
      <formula>"未完成"</formula>
    </cfRule>
  </conditionalFormatting>
  <conditionalFormatting sqref="S313">
    <cfRule type="cellIs" dxfId="0" priority="9677" operator="equal">
      <formula>"欠"</formula>
    </cfRule>
  </conditionalFormatting>
  <conditionalFormatting sqref="T313:U313">
    <cfRule type="containsText" dxfId="2" priority="9662" operator="between" text="欠">
      <formula>NOT(ISERROR(SEARCH("欠",T313)))</formula>
    </cfRule>
  </conditionalFormatting>
  <conditionalFormatting sqref="AG313">
    <cfRule type="cellIs" dxfId="0" priority="9737" operator="equal">
      <formula>"未完成"</formula>
    </cfRule>
  </conditionalFormatting>
  <conditionalFormatting sqref="AH313">
    <cfRule type="cellIs" dxfId="0" priority="7215" operator="equal">
      <formula>"未完成"</formula>
    </cfRule>
  </conditionalFormatting>
  <conditionalFormatting sqref="AL313:AM313">
    <cfRule type="cellIs" dxfId="1" priority="9707" operator="equal">
      <formula>"未完成"</formula>
    </cfRule>
    <cfRule type="cellIs" dxfId="0" priority="9722" operator="equal">
      <formula>"未完成"</formula>
    </cfRule>
  </conditionalFormatting>
  <conditionalFormatting sqref="AG314">
    <cfRule type="cellIs" dxfId="0" priority="9736" operator="equal">
      <formula>"未完成"</formula>
    </cfRule>
  </conditionalFormatting>
  <conditionalFormatting sqref="AH314">
    <cfRule type="cellIs" dxfId="0" priority="7214" operator="equal">
      <formula>"未完成"</formula>
    </cfRule>
  </conditionalFormatting>
  <conditionalFormatting sqref="AL314:AM314">
    <cfRule type="cellIs" dxfId="1" priority="9706" operator="equal">
      <formula>"未完成"</formula>
    </cfRule>
    <cfRule type="cellIs" dxfId="0" priority="9721" operator="equal">
      <formula>"未完成"</formula>
    </cfRule>
  </conditionalFormatting>
  <conditionalFormatting sqref="S315">
    <cfRule type="cellIs" dxfId="0" priority="9675" operator="equal">
      <formula>"欠"</formula>
    </cfRule>
  </conditionalFormatting>
  <conditionalFormatting sqref="T315:U315">
    <cfRule type="containsText" dxfId="2" priority="9660" operator="between" text="欠">
      <formula>NOT(ISERROR(SEARCH("欠",T315)))</formula>
    </cfRule>
  </conditionalFormatting>
  <conditionalFormatting sqref="AG315">
    <cfRule type="cellIs" dxfId="0" priority="9735" operator="equal">
      <formula>"未完成"</formula>
    </cfRule>
  </conditionalFormatting>
  <conditionalFormatting sqref="AH315">
    <cfRule type="cellIs" dxfId="0" priority="7213" operator="equal">
      <formula>"未完成"</formula>
    </cfRule>
  </conditionalFormatting>
  <conditionalFormatting sqref="AL315:AM315">
    <cfRule type="cellIs" dxfId="1" priority="9705" operator="equal">
      <formula>"未完成"</formula>
    </cfRule>
    <cfRule type="cellIs" dxfId="0" priority="9720" operator="equal">
      <formula>"未完成"</formula>
    </cfRule>
  </conditionalFormatting>
  <conditionalFormatting sqref="S316">
    <cfRule type="cellIs" dxfId="0" priority="9674" operator="equal">
      <formula>"欠"</formula>
    </cfRule>
  </conditionalFormatting>
  <conditionalFormatting sqref="T316:U316">
    <cfRule type="containsText" dxfId="2" priority="9659" operator="between" text="欠">
      <formula>NOT(ISERROR(SEARCH("欠",T316)))</formula>
    </cfRule>
  </conditionalFormatting>
  <conditionalFormatting sqref="AG316">
    <cfRule type="cellIs" dxfId="0" priority="9734" operator="equal">
      <formula>"未完成"</formula>
    </cfRule>
  </conditionalFormatting>
  <conditionalFormatting sqref="AH316">
    <cfRule type="cellIs" dxfId="0" priority="7212" operator="equal">
      <formula>"未完成"</formula>
    </cfRule>
  </conditionalFormatting>
  <conditionalFormatting sqref="AL316:AM316">
    <cfRule type="cellIs" dxfId="1" priority="9704" operator="equal">
      <formula>"未完成"</formula>
    </cfRule>
    <cfRule type="cellIs" dxfId="0" priority="9719" operator="equal">
      <formula>"未完成"</formula>
    </cfRule>
  </conditionalFormatting>
  <conditionalFormatting sqref="S317">
    <cfRule type="cellIs" dxfId="0" priority="9673" operator="equal">
      <formula>"欠"</formula>
    </cfRule>
  </conditionalFormatting>
  <conditionalFormatting sqref="T317:U317">
    <cfRule type="containsText" dxfId="2" priority="9658" operator="between" text="欠">
      <formula>NOT(ISERROR(SEARCH("欠",T317)))</formula>
    </cfRule>
  </conditionalFormatting>
  <conditionalFormatting sqref="AG317">
    <cfRule type="cellIs" dxfId="0" priority="9733" operator="equal">
      <formula>"未完成"</formula>
    </cfRule>
  </conditionalFormatting>
  <conditionalFormatting sqref="AH317">
    <cfRule type="cellIs" dxfId="0" priority="7211" operator="equal">
      <formula>"未完成"</formula>
    </cfRule>
  </conditionalFormatting>
  <conditionalFormatting sqref="AL317:AM317">
    <cfRule type="cellIs" dxfId="1" priority="9703" operator="equal">
      <formula>"未完成"</formula>
    </cfRule>
    <cfRule type="cellIs" dxfId="0" priority="9718" operator="equal">
      <formula>"未完成"</formula>
    </cfRule>
  </conditionalFormatting>
  <conditionalFormatting sqref="S318">
    <cfRule type="cellIs" dxfId="0" priority="9672" operator="equal">
      <formula>"欠"</formula>
    </cfRule>
  </conditionalFormatting>
  <conditionalFormatting sqref="T318:U318">
    <cfRule type="containsText" dxfId="2" priority="9657" operator="between" text="欠">
      <formula>NOT(ISERROR(SEARCH("欠",T318)))</formula>
    </cfRule>
  </conditionalFormatting>
  <conditionalFormatting sqref="AG318">
    <cfRule type="cellIs" dxfId="0" priority="9732" operator="equal">
      <formula>"未完成"</formula>
    </cfRule>
  </conditionalFormatting>
  <conditionalFormatting sqref="AH318">
    <cfRule type="cellIs" dxfId="0" priority="7210" operator="equal">
      <formula>"未完成"</formula>
    </cfRule>
  </conditionalFormatting>
  <conditionalFormatting sqref="AL318:AM318">
    <cfRule type="cellIs" dxfId="1" priority="9702" operator="equal">
      <formula>"未完成"</formula>
    </cfRule>
    <cfRule type="cellIs" dxfId="0" priority="9717" operator="equal">
      <formula>"未完成"</formula>
    </cfRule>
  </conditionalFormatting>
  <conditionalFormatting sqref="S319">
    <cfRule type="cellIs" dxfId="0" priority="9671" operator="equal">
      <formula>"欠"</formula>
    </cfRule>
  </conditionalFormatting>
  <conditionalFormatting sqref="T319:U319">
    <cfRule type="containsText" dxfId="2" priority="9656" operator="between" text="欠">
      <formula>NOT(ISERROR(SEARCH("欠",T319)))</formula>
    </cfRule>
  </conditionalFormatting>
  <conditionalFormatting sqref="AG319">
    <cfRule type="cellIs" dxfId="0" priority="9731" operator="equal">
      <formula>"未完成"</formula>
    </cfRule>
  </conditionalFormatting>
  <conditionalFormatting sqref="AH319">
    <cfRule type="cellIs" dxfId="0" priority="7209" operator="equal">
      <formula>"未完成"</formula>
    </cfRule>
  </conditionalFormatting>
  <conditionalFormatting sqref="AL319:AM319">
    <cfRule type="cellIs" dxfId="1" priority="9701" operator="equal">
      <formula>"未完成"</formula>
    </cfRule>
    <cfRule type="cellIs" dxfId="0" priority="9716" operator="equal">
      <formula>"未完成"</formula>
    </cfRule>
  </conditionalFormatting>
  <conditionalFormatting sqref="S320">
    <cfRule type="cellIs" dxfId="0" priority="9670" operator="equal">
      <formula>"欠"</formula>
    </cfRule>
  </conditionalFormatting>
  <conditionalFormatting sqref="T320:U320">
    <cfRule type="containsText" dxfId="2" priority="9655" operator="between" text="欠">
      <formula>NOT(ISERROR(SEARCH("欠",T320)))</formula>
    </cfRule>
  </conditionalFormatting>
  <conditionalFormatting sqref="AG320">
    <cfRule type="cellIs" dxfId="0" priority="9730" operator="equal">
      <formula>"未完成"</formula>
    </cfRule>
  </conditionalFormatting>
  <conditionalFormatting sqref="AH320">
    <cfRule type="cellIs" dxfId="0" priority="7208" operator="equal">
      <formula>"未完成"</formula>
    </cfRule>
  </conditionalFormatting>
  <conditionalFormatting sqref="AL320:AM320">
    <cfRule type="cellIs" dxfId="1" priority="9700" operator="equal">
      <formula>"未完成"</formula>
    </cfRule>
    <cfRule type="cellIs" dxfId="0" priority="9715" operator="equal">
      <formula>"未完成"</formula>
    </cfRule>
  </conditionalFormatting>
  <conditionalFormatting sqref="S321">
    <cfRule type="cellIs" dxfId="0" priority="9669" operator="equal">
      <formula>"欠"</formula>
    </cfRule>
  </conditionalFormatting>
  <conditionalFormatting sqref="T321:U321">
    <cfRule type="containsText" dxfId="2" priority="9654" operator="between" text="欠">
      <formula>NOT(ISERROR(SEARCH("欠",T321)))</formula>
    </cfRule>
  </conditionalFormatting>
  <conditionalFormatting sqref="AG321">
    <cfRule type="cellIs" dxfId="0" priority="9729" operator="equal">
      <formula>"未完成"</formula>
    </cfRule>
  </conditionalFormatting>
  <conditionalFormatting sqref="AH321">
    <cfRule type="cellIs" dxfId="0" priority="7207" operator="equal">
      <formula>"未完成"</formula>
    </cfRule>
  </conditionalFormatting>
  <conditionalFormatting sqref="AL321:AM321">
    <cfRule type="cellIs" dxfId="1" priority="9699" operator="equal">
      <formula>"未完成"</formula>
    </cfRule>
    <cfRule type="cellIs" dxfId="0" priority="9714" operator="equal">
      <formula>"未完成"</formula>
    </cfRule>
  </conditionalFormatting>
  <conditionalFormatting sqref="S322">
    <cfRule type="cellIs" dxfId="0" priority="9668" operator="equal">
      <formula>"欠"</formula>
    </cfRule>
  </conditionalFormatting>
  <conditionalFormatting sqref="T322:U322">
    <cfRule type="containsText" dxfId="2" priority="9653" operator="between" text="欠">
      <formula>NOT(ISERROR(SEARCH("欠",T322)))</formula>
    </cfRule>
  </conditionalFormatting>
  <conditionalFormatting sqref="AG322">
    <cfRule type="cellIs" dxfId="0" priority="9728" operator="equal">
      <formula>"未完成"</formula>
    </cfRule>
  </conditionalFormatting>
  <conditionalFormatting sqref="AH322">
    <cfRule type="cellIs" dxfId="0" priority="7206" operator="equal">
      <formula>"未完成"</formula>
    </cfRule>
  </conditionalFormatting>
  <conditionalFormatting sqref="AL322:AM322">
    <cfRule type="cellIs" dxfId="1" priority="9698" operator="equal">
      <formula>"未完成"</formula>
    </cfRule>
    <cfRule type="cellIs" dxfId="0" priority="9713" operator="equal">
      <formula>"未完成"</formula>
    </cfRule>
  </conditionalFormatting>
  <conditionalFormatting sqref="S323">
    <cfRule type="cellIs" dxfId="0" priority="9667" operator="equal">
      <formula>"欠"</formula>
    </cfRule>
  </conditionalFormatting>
  <conditionalFormatting sqref="T323:U323">
    <cfRule type="containsText" dxfId="2" priority="9652" operator="between" text="欠">
      <formula>NOT(ISERROR(SEARCH("欠",T323)))</formula>
    </cfRule>
  </conditionalFormatting>
  <conditionalFormatting sqref="AG323">
    <cfRule type="cellIs" dxfId="0" priority="9727" operator="equal">
      <formula>"未完成"</formula>
    </cfRule>
  </conditionalFormatting>
  <conditionalFormatting sqref="AH323">
    <cfRule type="cellIs" dxfId="0" priority="7205" operator="equal">
      <formula>"未完成"</formula>
    </cfRule>
  </conditionalFormatting>
  <conditionalFormatting sqref="AL323:AM323">
    <cfRule type="cellIs" dxfId="1" priority="9697" operator="equal">
      <formula>"未完成"</formula>
    </cfRule>
    <cfRule type="cellIs" dxfId="0" priority="9712" operator="equal">
      <formula>"未完成"</formula>
    </cfRule>
  </conditionalFormatting>
  <conditionalFormatting sqref="S324">
    <cfRule type="cellIs" dxfId="0" priority="9647" operator="equal">
      <formula>"欠"</formula>
    </cfRule>
  </conditionalFormatting>
  <conditionalFormatting sqref="T324:U324">
    <cfRule type="containsText" dxfId="2" priority="9646" operator="between" text="欠">
      <formula>NOT(ISERROR(SEARCH("欠",T324)))</formula>
    </cfRule>
  </conditionalFormatting>
  <conditionalFormatting sqref="AG324">
    <cfRule type="cellIs" dxfId="0" priority="9651" operator="equal">
      <formula>"未完成"</formula>
    </cfRule>
  </conditionalFormatting>
  <conditionalFormatting sqref="AH324">
    <cfRule type="cellIs" dxfId="0" priority="7204" operator="equal">
      <formula>"未完成"</formula>
    </cfRule>
  </conditionalFormatting>
  <conditionalFormatting sqref="AL324:AM324">
    <cfRule type="cellIs" dxfId="1" priority="9649" operator="equal">
      <formula>"未完成"</formula>
    </cfRule>
    <cfRule type="cellIs" dxfId="0" priority="9650" operator="equal">
      <formula>"未完成"</formula>
    </cfRule>
  </conditionalFormatting>
  <conditionalFormatting sqref="S325">
    <cfRule type="cellIs" dxfId="0" priority="9637" operator="equal">
      <formula>"欠"</formula>
    </cfRule>
  </conditionalFormatting>
  <conditionalFormatting sqref="T325:U325">
    <cfRule type="containsText" dxfId="2" priority="9635" operator="between" text="欠">
      <formula>NOT(ISERROR(SEARCH("欠",T325)))</formula>
    </cfRule>
  </conditionalFormatting>
  <conditionalFormatting sqref="AG325">
    <cfRule type="cellIs" dxfId="0" priority="9645" operator="equal">
      <formula>"未完成"</formula>
    </cfRule>
  </conditionalFormatting>
  <conditionalFormatting sqref="AH325">
    <cfRule type="cellIs" dxfId="0" priority="7203" operator="equal">
      <formula>"未完成"</formula>
    </cfRule>
  </conditionalFormatting>
  <conditionalFormatting sqref="AL325:AM325">
    <cfRule type="cellIs" dxfId="1" priority="9641" operator="equal">
      <formula>"未完成"</formula>
    </cfRule>
    <cfRule type="cellIs" dxfId="0" priority="9643" operator="equal">
      <formula>"未完成"</formula>
    </cfRule>
  </conditionalFormatting>
  <conditionalFormatting sqref="S326">
    <cfRule type="cellIs" dxfId="0" priority="9636" operator="equal">
      <formula>"欠"</formula>
    </cfRule>
  </conditionalFormatting>
  <conditionalFormatting sqref="T326:U326">
    <cfRule type="containsText" dxfId="2" priority="9634" operator="between" text="欠">
      <formula>NOT(ISERROR(SEARCH("欠",T326)))</formula>
    </cfRule>
  </conditionalFormatting>
  <conditionalFormatting sqref="AG326">
    <cfRule type="cellIs" dxfId="0" priority="9644" operator="equal">
      <formula>"未完成"</formula>
    </cfRule>
  </conditionalFormatting>
  <conditionalFormatting sqref="AH326">
    <cfRule type="cellIs" dxfId="0" priority="7202" operator="equal">
      <formula>"未完成"</formula>
    </cfRule>
  </conditionalFormatting>
  <conditionalFormatting sqref="AL326:AM326">
    <cfRule type="cellIs" dxfId="1" priority="9640" operator="equal">
      <formula>"未完成"</formula>
    </cfRule>
    <cfRule type="cellIs" dxfId="0" priority="9642" operator="equal">
      <formula>"未完成"</formula>
    </cfRule>
  </conditionalFormatting>
  <conditionalFormatting sqref="S327">
    <cfRule type="cellIs" dxfId="0" priority="9482" operator="equal">
      <formula>"欠"</formula>
    </cfRule>
  </conditionalFormatting>
  <conditionalFormatting sqref="T327:U327">
    <cfRule type="containsText" dxfId="0" priority="9430" operator="between" text="欠">
      <formula>NOT(ISERROR(SEARCH("欠",T327)))</formula>
    </cfRule>
    <cfRule type="containsText" dxfId="2" priority="9456" operator="between" text="欠">
      <formula>NOT(ISERROR(SEARCH("欠",T327)))</formula>
    </cfRule>
  </conditionalFormatting>
  <conditionalFormatting sqref="AG327">
    <cfRule type="cellIs" dxfId="0" priority="9586" operator="equal">
      <formula>"未完成"</formula>
    </cfRule>
  </conditionalFormatting>
  <conditionalFormatting sqref="AH327">
    <cfRule type="cellIs" dxfId="0" priority="7201" operator="equal">
      <formula>"未完成"</formula>
    </cfRule>
  </conditionalFormatting>
  <conditionalFormatting sqref="AL327:AM327">
    <cfRule type="cellIs" dxfId="1" priority="9534" operator="equal">
      <formula>"未完成"</formula>
    </cfRule>
    <cfRule type="cellIs" dxfId="0" priority="9560" operator="equal">
      <formula>"未完成"</formula>
    </cfRule>
  </conditionalFormatting>
  <conditionalFormatting sqref="S328">
    <cfRule type="cellIs" dxfId="0" priority="9481" operator="equal">
      <formula>"欠"</formula>
    </cfRule>
  </conditionalFormatting>
  <conditionalFormatting sqref="T328:U328">
    <cfRule type="containsText" dxfId="0" priority="9429" operator="between" text="欠">
      <formula>NOT(ISERROR(SEARCH("欠",T328)))</formula>
    </cfRule>
    <cfRule type="containsText" dxfId="2" priority="9455" operator="between" text="欠">
      <formula>NOT(ISERROR(SEARCH("欠",T328)))</formula>
    </cfRule>
  </conditionalFormatting>
  <conditionalFormatting sqref="AG328">
    <cfRule type="cellIs" dxfId="0" priority="9585" operator="equal">
      <formula>"未完成"</formula>
    </cfRule>
  </conditionalFormatting>
  <conditionalFormatting sqref="AH328">
    <cfRule type="cellIs" dxfId="0" priority="7200" operator="equal">
      <formula>"未完成"</formula>
    </cfRule>
  </conditionalFormatting>
  <conditionalFormatting sqref="AL328:AM328">
    <cfRule type="cellIs" dxfId="1" priority="9533" operator="equal">
      <formula>"未完成"</formula>
    </cfRule>
    <cfRule type="cellIs" dxfId="0" priority="9559" operator="equal">
      <formula>"未完成"</formula>
    </cfRule>
  </conditionalFormatting>
  <conditionalFormatting sqref="S329">
    <cfRule type="cellIs" dxfId="0" priority="9480" operator="equal">
      <formula>"欠"</formula>
    </cfRule>
  </conditionalFormatting>
  <conditionalFormatting sqref="T329:U329">
    <cfRule type="containsText" dxfId="0" priority="9428" operator="between" text="欠">
      <formula>NOT(ISERROR(SEARCH("欠",T329)))</formula>
    </cfRule>
    <cfRule type="containsText" dxfId="2" priority="9454" operator="between" text="欠">
      <formula>NOT(ISERROR(SEARCH("欠",T329)))</formula>
    </cfRule>
  </conditionalFormatting>
  <conditionalFormatting sqref="AG329">
    <cfRule type="cellIs" dxfId="0" priority="9584" operator="equal">
      <formula>"未完成"</formula>
    </cfRule>
  </conditionalFormatting>
  <conditionalFormatting sqref="AH329">
    <cfRule type="cellIs" dxfId="0" priority="7199" operator="equal">
      <formula>"未完成"</formula>
    </cfRule>
  </conditionalFormatting>
  <conditionalFormatting sqref="AL329:AM329">
    <cfRule type="cellIs" dxfId="1" priority="9532" operator="equal">
      <formula>"未完成"</formula>
    </cfRule>
    <cfRule type="cellIs" dxfId="0" priority="9558" operator="equal">
      <formula>"未完成"</formula>
    </cfRule>
  </conditionalFormatting>
  <conditionalFormatting sqref="S330">
    <cfRule type="cellIs" dxfId="0" priority="9479" operator="equal">
      <formula>"欠"</formula>
    </cfRule>
  </conditionalFormatting>
  <conditionalFormatting sqref="T330:U330">
    <cfRule type="containsText" dxfId="0" priority="9427" operator="between" text="欠">
      <formula>NOT(ISERROR(SEARCH("欠",T330)))</formula>
    </cfRule>
    <cfRule type="containsText" dxfId="2" priority="9453" operator="between" text="欠">
      <formula>NOT(ISERROR(SEARCH("欠",T330)))</formula>
    </cfRule>
  </conditionalFormatting>
  <conditionalFormatting sqref="AG330">
    <cfRule type="cellIs" dxfId="0" priority="9583" operator="equal">
      <formula>"未完成"</formula>
    </cfRule>
  </conditionalFormatting>
  <conditionalFormatting sqref="AH330">
    <cfRule type="cellIs" dxfId="0" priority="7198" operator="equal">
      <formula>"未完成"</formula>
    </cfRule>
  </conditionalFormatting>
  <conditionalFormatting sqref="AL330:AM330">
    <cfRule type="cellIs" dxfId="1" priority="9531" operator="equal">
      <formula>"未完成"</formula>
    </cfRule>
    <cfRule type="cellIs" dxfId="0" priority="9557" operator="equal">
      <formula>"未完成"</formula>
    </cfRule>
  </conditionalFormatting>
  <conditionalFormatting sqref="S331">
    <cfRule type="cellIs" dxfId="0" priority="9478" operator="equal">
      <formula>"欠"</formula>
    </cfRule>
  </conditionalFormatting>
  <conditionalFormatting sqref="T331:U331">
    <cfRule type="containsText" dxfId="0" priority="9426" operator="between" text="欠">
      <formula>NOT(ISERROR(SEARCH("欠",T331)))</formula>
    </cfRule>
    <cfRule type="containsText" dxfId="2" priority="9452" operator="between" text="欠">
      <formula>NOT(ISERROR(SEARCH("欠",T331)))</formula>
    </cfRule>
  </conditionalFormatting>
  <conditionalFormatting sqref="AG331">
    <cfRule type="cellIs" dxfId="0" priority="9582" operator="equal">
      <formula>"未完成"</formula>
    </cfRule>
  </conditionalFormatting>
  <conditionalFormatting sqref="AH331">
    <cfRule type="cellIs" dxfId="0" priority="7197" operator="equal">
      <formula>"未完成"</formula>
    </cfRule>
  </conditionalFormatting>
  <conditionalFormatting sqref="AL331:AM331">
    <cfRule type="cellIs" dxfId="1" priority="9530" operator="equal">
      <formula>"未完成"</formula>
    </cfRule>
    <cfRule type="cellIs" dxfId="0" priority="9556" operator="equal">
      <formula>"未完成"</formula>
    </cfRule>
  </conditionalFormatting>
  <conditionalFormatting sqref="AG332">
    <cfRule type="cellIs" dxfId="0" priority="9581" operator="equal">
      <formula>"未完成"</formula>
    </cfRule>
  </conditionalFormatting>
  <conditionalFormatting sqref="AH332">
    <cfRule type="cellIs" dxfId="0" priority="7196" operator="equal">
      <formula>"未完成"</formula>
    </cfRule>
  </conditionalFormatting>
  <conditionalFormatting sqref="AL332:AM332">
    <cfRule type="cellIs" dxfId="1" priority="9529" operator="equal">
      <formula>"未完成"</formula>
    </cfRule>
    <cfRule type="cellIs" dxfId="0" priority="9555" operator="equal">
      <formula>"未完成"</formula>
    </cfRule>
  </conditionalFormatting>
  <conditionalFormatting sqref="S333">
    <cfRule type="cellIs" dxfId="0" priority="9476" operator="equal">
      <formula>"欠"</formula>
    </cfRule>
  </conditionalFormatting>
  <conditionalFormatting sqref="T333:U333">
    <cfRule type="containsText" dxfId="0" priority="9424" operator="between" text="欠">
      <formula>NOT(ISERROR(SEARCH("欠",T333)))</formula>
    </cfRule>
    <cfRule type="containsText" dxfId="2" priority="9450" operator="between" text="欠">
      <formula>NOT(ISERROR(SEARCH("欠",T333)))</formula>
    </cfRule>
  </conditionalFormatting>
  <conditionalFormatting sqref="AG333">
    <cfRule type="cellIs" dxfId="0" priority="9580" operator="equal">
      <formula>"未完成"</formula>
    </cfRule>
  </conditionalFormatting>
  <conditionalFormatting sqref="AH333">
    <cfRule type="cellIs" dxfId="0" priority="7195" operator="equal">
      <formula>"未完成"</formula>
    </cfRule>
  </conditionalFormatting>
  <conditionalFormatting sqref="AL333:AM333">
    <cfRule type="cellIs" dxfId="1" priority="9528" operator="equal">
      <formula>"未完成"</formula>
    </cfRule>
    <cfRule type="cellIs" dxfId="0" priority="9554" operator="equal">
      <formula>"未完成"</formula>
    </cfRule>
  </conditionalFormatting>
  <conditionalFormatting sqref="S334">
    <cfRule type="cellIs" dxfId="0" priority="9475" operator="equal">
      <formula>"欠"</formula>
    </cfRule>
  </conditionalFormatting>
  <conditionalFormatting sqref="T334:U334">
    <cfRule type="containsText" dxfId="0" priority="9423" operator="between" text="欠">
      <formula>NOT(ISERROR(SEARCH("欠",T334)))</formula>
    </cfRule>
    <cfRule type="containsText" dxfId="2" priority="9449" operator="between" text="欠">
      <formula>NOT(ISERROR(SEARCH("欠",T334)))</formula>
    </cfRule>
  </conditionalFormatting>
  <conditionalFormatting sqref="AG334">
    <cfRule type="cellIs" dxfId="0" priority="9579" operator="equal">
      <formula>"未完成"</formula>
    </cfRule>
  </conditionalFormatting>
  <conditionalFormatting sqref="AH334">
    <cfRule type="cellIs" dxfId="0" priority="7194" operator="equal">
      <formula>"未完成"</formula>
    </cfRule>
  </conditionalFormatting>
  <conditionalFormatting sqref="AL334:AM334">
    <cfRule type="cellIs" dxfId="1" priority="9527" operator="equal">
      <formula>"未完成"</formula>
    </cfRule>
    <cfRule type="cellIs" dxfId="0" priority="9553" operator="equal">
      <formula>"未完成"</formula>
    </cfRule>
  </conditionalFormatting>
  <conditionalFormatting sqref="S335">
    <cfRule type="cellIs" dxfId="0" priority="9474" operator="equal">
      <formula>"欠"</formula>
    </cfRule>
  </conditionalFormatting>
  <conditionalFormatting sqref="T335:U335">
    <cfRule type="containsText" dxfId="0" priority="9422" operator="between" text="欠">
      <formula>NOT(ISERROR(SEARCH("欠",T335)))</formula>
    </cfRule>
    <cfRule type="containsText" dxfId="2" priority="9448" operator="between" text="欠">
      <formula>NOT(ISERROR(SEARCH("欠",T335)))</formula>
    </cfRule>
  </conditionalFormatting>
  <conditionalFormatting sqref="AG335">
    <cfRule type="cellIs" dxfId="0" priority="9578" operator="equal">
      <formula>"未完成"</formula>
    </cfRule>
  </conditionalFormatting>
  <conditionalFormatting sqref="AH335">
    <cfRule type="cellIs" dxfId="0" priority="7193" operator="equal">
      <formula>"未完成"</formula>
    </cfRule>
  </conditionalFormatting>
  <conditionalFormatting sqref="AL335:AM335">
    <cfRule type="cellIs" dxfId="1" priority="9526" operator="equal">
      <formula>"未完成"</formula>
    </cfRule>
    <cfRule type="cellIs" dxfId="0" priority="9552" operator="equal">
      <formula>"未完成"</formula>
    </cfRule>
  </conditionalFormatting>
  <conditionalFormatting sqref="S336">
    <cfRule type="cellIs" dxfId="0" priority="9473" operator="equal">
      <formula>"欠"</formula>
    </cfRule>
  </conditionalFormatting>
  <conditionalFormatting sqref="T336:U336">
    <cfRule type="containsText" dxfId="0" priority="9421" operator="between" text="欠">
      <formula>NOT(ISERROR(SEARCH("欠",T336)))</formula>
    </cfRule>
    <cfRule type="containsText" dxfId="2" priority="9447" operator="between" text="欠">
      <formula>NOT(ISERROR(SEARCH("欠",T336)))</formula>
    </cfRule>
  </conditionalFormatting>
  <conditionalFormatting sqref="AG336">
    <cfRule type="cellIs" dxfId="0" priority="9577" operator="equal">
      <formula>"未完成"</formula>
    </cfRule>
  </conditionalFormatting>
  <conditionalFormatting sqref="AH336">
    <cfRule type="cellIs" dxfId="0" priority="7192" operator="equal">
      <formula>"未完成"</formula>
    </cfRule>
  </conditionalFormatting>
  <conditionalFormatting sqref="AL336:AM336">
    <cfRule type="cellIs" dxfId="1" priority="9525" operator="equal">
      <formula>"未完成"</formula>
    </cfRule>
    <cfRule type="cellIs" dxfId="0" priority="9551" operator="equal">
      <formula>"未完成"</formula>
    </cfRule>
  </conditionalFormatting>
  <conditionalFormatting sqref="S337">
    <cfRule type="cellIs" dxfId="0" priority="9472" operator="equal">
      <formula>"欠"</formula>
    </cfRule>
  </conditionalFormatting>
  <conditionalFormatting sqref="T337:U337">
    <cfRule type="containsText" dxfId="0" priority="9420" operator="between" text="欠">
      <formula>NOT(ISERROR(SEARCH("欠",T337)))</formula>
    </cfRule>
    <cfRule type="containsText" dxfId="2" priority="9446" operator="between" text="欠">
      <formula>NOT(ISERROR(SEARCH("欠",T337)))</formula>
    </cfRule>
  </conditionalFormatting>
  <conditionalFormatting sqref="AG337">
    <cfRule type="cellIs" dxfId="0" priority="9576" operator="equal">
      <formula>"未完成"</formula>
    </cfRule>
  </conditionalFormatting>
  <conditionalFormatting sqref="AH337">
    <cfRule type="cellIs" dxfId="0" priority="7191" operator="equal">
      <formula>"未完成"</formula>
    </cfRule>
  </conditionalFormatting>
  <conditionalFormatting sqref="AL337:AM337">
    <cfRule type="cellIs" dxfId="1" priority="9524" operator="equal">
      <formula>"未完成"</formula>
    </cfRule>
    <cfRule type="cellIs" dxfId="0" priority="9550" operator="equal">
      <formula>"未完成"</formula>
    </cfRule>
  </conditionalFormatting>
  <conditionalFormatting sqref="S338">
    <cfRule type="cellIs" dxfId="0" priority="9471" operator="equal">
      <formula>"欠"</formula>
    </cfRule>
  </conditionalFormatting>
  <conditionalFormatting sqref="T338:U338">
    <cfRule type="containsText" dxfId="0" priority="9419" operator="between" text="欠">
      <formula>NOT(ISERROR(SEARCH("欠",T338)))</formula>
    </cfRule>
    <cfRule type="containsText" dxfId="2" priority="9445" operator="between" text="欠">
      <formula>NOT(ISERROR(SEARCH("欠",T338)))</formula>
    </cfRule>
  </conditionalFormatting>
  <conditionalFormatting sqref="AG338">
    <cfRule type="cellIs" dxfId="0" priority="9575" operator="equal">
      <formula>"未完成"</formula>
    </cfRule>
  </conditionalFormatting>
  <conditionalFormatting sqref="AH338">
    <cfRule type="cellIs" dxfId="0" priority="7190" operator="equal">
      <formula>"未完成"</formula>
    </cfRule>
  </conditionalFormatting>
  <conditionalFormatting sqref="AL338:AM338">
    <cfRule type="cellIs" dxfId="1" priority="9523" operator="equal">
      <formula>"未完成"</formula>
    </cfRule>
    <cfRule type="cellIs" dxfId="0" priority="9549" operator="equal">
      <formula>"未完成"</formula>
    </cfRule>
  </conditionalFormatting>
  <conditionalFormatting sqref="S339">
    <cfRule type="cellIs" dxfId="0" priority="9470" operator="equal">
      <formula>"欠"</formula>
    </cfRule>
  </conditionalFormatting>
  <conditionalFormatting sqref="T339:U339">
    <cfRule type="containsText" dxfId="0" priority="9418" operator="between" text="欠">
      <formula>NOT(ISERROR(SEARCH("欠",T339)))</formula>
    </cfRule>
    <cfRule type="containsText" dxfId="2" priority="9444" operator="between" text="欠">
      <formula>NOT(ISERROR(SEARCH("欠",T339)))</formula>
    </cfRule>
  </conditionalFormatting>
  <conditionalFormatting sqref="AG339">
    <cfRule type="cellIs" dxfId="0" priority="9574" operator="equal">
      <formula>"未完成"</formula>
    </cfRule>
  </conditionalFormatting>
  <conditionalFormatting sqref="AH339">
    <cfRule type="cellIs" dxfId="0" priority="7189" operator="equal">
      <formula>"未完成"</formula>
    </cfRule>
  </conditionalFormatting>
  <conditionalFormatting sqref="AL339:AM339">
    <cfRule type="cellIs" dxfId="1" priority="9522" operator="equal">
      <formula>"未完成"</formula>
    </cfRule>
    <cfRule type="cellIs" dxfId="0" priority="9548" operator="equal">
      <formula>"未完成"</formula>
    </cfRule>
  </conditionalFormatting>
  <conditionalFormatting sqref="S340">
    <cfRule type="cellIs" dxfId="0" priority="9469" operator="equal">
      <formula>"欠"</formula>
    </cfRule>
  </conditionalFormatting>
  <conditionalFormatting sqref="T340:U340">
    <cfRule type="containsText" dxfId="0" priority="9417" operator="between" text="欠">
      <formula>NOT(ISERROR(SEARCH("欠",T340)))</formula>
    </cfRule>
    <cfRule type="containsText" dxfId="2" priority="9443" operator="between" text="欠">
      <formula>NOT(ISERROR(SEARCH("欠",T340)))</formula>
    </cfRule>
  </conditionalFormatting>
  <conditionalFormatting sqref="AG340">
    <cfRule type="cellIs" dxfId="0" priority="9573" operator="equal">
      <formula>"未完成"</formula>
    </cfRule>
  </conditionalFormatting>
  <conditionalFormatting sqref="AH340">
    <cfRule type="cellIs" dxfId="0" priority="7188" operator="equal">
      <formula>"未完成"</formula>
    </cfRule>
  </conditionalFormatting>
  <conditionalFormatting sqref="AL340:AM340">
    <cfRule type="cellIs" dxfId="1" priority="9521" operator="equal">
      <formula>"未完成"</formula>
    </cfRule>
    <cfRule type="cellIs" dxfId="0" priority="9547" operator="equal">
      <formula>"未完成"</formula>
    </cfRule>
  </conditionalFormatting>
  <conditionalFormatting sqref="S341">
    <cfRule type="cellIs" dxfId="0" priority="9468" operator="equal">
      <formula>"欠"</formula>
    </cfRule>
  </conditionalFormatting>
  <conditionalFormatting sqref="T341:U341">
    <cfRule type="containsText" dxfId="0" priority="9416" operator="between" text="欠">
      <formula>NOT(ISERROR(SEARCH("欠",T341)))</formula>
    </cfRule>
    <cfRule type="containsText" dxfId="2" priority="9442" operator="between" text="欠">
      <formula>NOT(ISERROR(SEARCH("欠",T341)))</formula>
    </cfRule>
  </conditionalFormatting>
  <conditionalFormatting sqref="AG341">
    <cfRule type="cellIs" dxfId="0" priority="9572" operator="equal">
      <formula>"未完成"</formula>
    </cfRule>
  </conditionalFormatting>
  <conditionalFormatting sqref="AH341">
    <cfRule type="cellIs" dxfId="0" priority="7187" operator="equal">
      <formula>"未完成"</formula>
    </cfRule>
  </conditionalFormatting>
  <conditionalFormatting sqref="AL341:AM341">
    <cfRule type="cellIs" dxfId="1" priority="9520" operator="equal">
      <formula>"未完成"</formula>
    </cfRule>
    <cfRule type="cellIs" dxfId="0" priority="9546" operator="equal">
      <formula>"未完成"</formula>
    </cfRule>
  </conditionalFormatting>
  <conditionalFormatting sqref="S342">
    <cfRule type="cellIs" dxfId="0" priority="9467" operator="equal">
      <formula>"欠"</formula>
    </cfRule>
  </conditionalFormatting>
  <conditionalFormatting sqref="T342:U342">
    <cfRule type="containsText" dxfId="0" priority="9415" operator="between" text="欠">
      <formula>NOT(ISERROR(SEARCH("欠",T342)))</formula>
    </cfRule>
    <cfRule type="containsText" dxfId="2" priority="9441" operator="between" text="欠">
      <formula>NOT(ISERROR(SEARCH("欠",T342)))</formula>
    </cfRule>
  </conditionalFormatting>
  <conditionalFormatting sqref="AG342">
    <cfRule type="cellIs" dxfId="0" priority="9571" operator="equal">
      <formula>"未完成"</formula>
    </cfRule>
  </conditionalFormatting>
  <conditionalFormatting sqref="AH342">
    <cfRule type="cellIs" dxfId="0" priority="7186" operator="equal">
      <formula>"未完成"</formula>
    </cfRule>
  </conditionalFormatting>
  <conditionalFormatting sqref="AL342:AM342">
    <cfRule type="cellIs" dxfId="1" priority="9519" operator="equal">
      <formula>"未完成"</formula>
    </cfRule>
    <cfRule type="cellIs" dxfId="0" priority="9545" operator="equal">
      <formula>"未完成"</formula>
    </cfRule>
  </conditionalFormatting>
  <conditionalFormatting sqref="S343">
    <cfRule type="cellIs" dxfId="0" priority="9466" operator="equal">
      <formula>"欠"</formula>
    </cfRule>
  </conditionalFormatting>
  <conditionalFormatting sqref="T343:U343">
    <cfRule type="containsText" dxfId="0" priority="9414" operator="between" text="欠">
      <formula>NOT(ISERROR(SEARCH("欠",T343)))</formula>
    </cfRule>
    <cfRule type="containsText" dxfId="2" priority="9440" operator="between" text="欠">
      <formula>NOT(ISERROR(SEARCH("欠",T343)))</formula>
    </cfRule>
  </conditionalFormatting>
  <conditionalFormatting sqref="AG343">
    <cfRule type="cellIs" dxfId="0" priority="9570" operator="equal">
      <formula>"未完成"</formula>
    </cfRule>
  </conditionalFormatting>
  <conditionalFormatting sqref="AH343">
    <cfRule type="cellIs" dxfId="0" priority="7185" operator="equal">
      <formula>"未完成"</formula>
    </cfRule>
  </conditionalFormatting>
  <conditionalFormatting sqref="AL343:AM343">
    <cfRule type="cellIs" dxfId="1" priority="9518" operator="equal">
      <formula>"未完成"</formula>
    </cfRule>
    <cfRule type="cellIs" dxfId="0" priority="9544" operator="equal">
      <formula>"未完成"</formula>
    </cfRule>
  </conditionalFormatting>
  <conditionalFormatting sqref="S344">
    <cfRule type="cellIs" dxfId="0" priority="9465" operator="equal">
      <formula>"欠"</formula>
    </cfRule>
  </conditionalFormatting>
  <conditionalFormatting sqref="T344:U344">
    <cfRule type="containsText" dxfId="0" priority="9413" operator="between" text="欠">
      <formula>NOT(ISERROR(SEARCH("欠",T344)))</formula>
    </cfRule>
    <cfRule type="containsText" dxfId="2" priority="9439" operator="between" text="欠">
      <formula>NOT(ISERROR(SEARCH("欠",T344)))</formula>
    </cfRule>
  </conditionalFormatting>
  <conditionalFormatting sqref="AG344">
    <cfRule type="cellIs" dxfId="0" priority="9569" operator="equal">
      <formula>"未完成"</formula>
    </cfRule>
  </conditionalFormatting>
  <conditionalFormatting sqref="AH344">
    <cfRule type="cellIs" dxfId="0" priority="7184" operator="equal">
      <formula>"未完成"</formula>
    </cfRule>
  </conditionalFormatting>
  <conditionalFormatting sqref="AL344:AM344">
    <cfRule type="cellIs" dxfId="1" priority="9517" operator="equal">
      <formula>"未完成"</formula>
    </cfRule>
    <cfRule type="cellIs" dxfId="0" priority="9543" operator="equal">
      <formula>"未完成"</formula>
    </cfRule>
  </conditionalFormatting>
  <conditionalFormatting sqref="S345">
    <cfRule type="cellIs" dxfId="0" priority="9464" operator="equal">
      <formula>"欠"</formula>
    </cfRule>
  </conditionalFormatting>
  <conditionalFormatting sqref="T345:U345">
    <cfRule type="containsText" dxfId="0" priority="9412" operator="between" text="欠">
      <formula>NOT(ISERROR(SEARCH("欠",T345)))</formula>
    </cfRule>
    <cfRule type="containsText" dxfId="2" priority="9438" operator="between" text="欠">
      <formula>NOT(ISERROR(SEARCH("欠",T345)))</formula>
    </cfRule>
  </conditionalFormatting>
  <conditionalFormatting sqref="AG345">
    <cfRule type="cellIs" dxfId="0" priority="9568" operator="equal">
      <formula>"未完成"</formula>
    </cfRule>
  </conditionalFormatting>
  <conditionalFormatting sqref="AH345">
    <cfRule type="cellIs" dxfId="0" priority="7183" operator="equal">
      <formula>"未完成"</formula>
    </cfRule>
  </conditionalFormatting>
  <conditionalFormatting sqref="AL345:AM345">
    <cfRule type="cellIs" dxfId="1" priority="9516" operator="equal">
      <formula>"未完成"</formula>
    </cfRule>
    <cfRule type="cellIs" dxfId="0" priority="9542" operator="equal">
      <formula>"未完成"</formula>
    </cfRule>
  </conditionalFormatting>
  <conditionalFormatting sqref="S346">
    <cfRule type="cellIs" dxfId="0" priority="9463" operator="equal">
      <formula>"欠"</formula>
    </cfRule>
  </conditionalFormatting>
  <conditionalFormatting sqref="T346:U346">
    <cfRule type="containsText" dxfId="0" priority="9411" operator="between" text="欠">
      <formula>NOT(ISERROR(SEARCH("欠",T346)))</formula>
    </cfRule>
    <cfRule type="containsText" dxfId="2" priority="9437" operator="between" text="欠">
      <formula>NOT(ISERROR(SEARCH("欠",T346)))</formula>
    </cfRule>
  </conditionalFormatting>
  <conditionalFormatting sqref="AG346">
    <cfRule type="cellIs" dxfId="0" priority="9567" operator="equal">
      <formula>"未完成"</formula>
    </cfRule>
  </conditionalFormatting>
  <conditionalFormatting sqref="AH346">
    <cfRule type="cellIs" dxfId="0" priority="7182" operator="equal">
      <formula>"未完成"</formula>
    </cfRule>
  </conditionalFormatting>
  <conditionalFormatting sqref="AL346:AM346">
    <cfRule type="cellIs" dxfId="1" priority="9515" operator="equal">
      <formula>"未完成"</formula>
    </cfRule>
    <cfRule type="cellIs" dxfId="0" priority="9541" operator="equal">
      <formula>"未完成"</formula>
    </cfRule>
  </conditionalFormatting>
  <conditionalFormatting sqref="S347">
    <cfRule type="cellIs" dxfId="0" priority="9462" operator="equal">
      <formula>"欠"</formula>
    </cfRule>
  </conditionalFormatting>
  <conditionalFormatting sqref="T347:U347">
    <cfRule type="containsText" dxfId="0" priority="9410" operator="between" text="欠">
      <formula>NOT(ISERROR(SEARCH("欠",T347)))</formula>
    </cfRule>
    <cfRule type="containsText" dxfId="2" priority="9436" operator="between" text="欠">
      <formula>NOT(ISERROR(SEARCH("欠",T347)))</formula>
    </cfRule>
  </conditionalFormatting>
  <conditionalFormatting sqref="AG347">
    <cfRule type="cellIs" dxfId="0" priority="9566" operator="equal">
      <formula>"未完成"</formula>
    </cfRule>
  </conditionalFormatting>
  <conditionalFormatting sqref="AH347">
    <cfRule type="cellIs" dxfId="0" priority="7181" operator="equal">
      <formula>"未完成"</formula>
    </cfRule>
  </conditionalFormatting>
  <conditionalFormatting sqref="AL347:AM347">
    <cfRule type="cellIs" dxfId="1" priority="9514" operator="equal">
      <formula>"未完成"</formula>
    </cfRule>
    <cfRule type="cellIs" dxfId="0" priority="9540" operator="equal">
      <formula>"未完成"</formula>
    </cfRule>
  </conditionalFormatting>
  <conditionalFormatting sqref="S348">
    <cfRule type="cellIs" dxfId="0" priority="9461" operator="equal">
      <formula>"欠"</formula>
    </cfRule>
  </conditionalFormatting>
  <conditionalFormatting sqref="T348:U348">
    <cfRule type="containsText" dxfId="0" priority="9409" operator="between" text="欠">
      <formula>NOT(ISERROR(SEARCH("欠",T348)))</formula>
    </cfRule>
    <cfRule type="containsText" dxfId="2" priority="9435" operator="between" text="欠">
      <formula>NOT(ISERROR(SEARCH("欠",T348)))</formula>
    </cfRule>
  </conditionalFormatting>
  <conditionalFormatting sqref="AG348">
    <cfRule type="cellIs" dxfId="0" priority="9565" operator="equal">
      <formula>"未完成"</formula>
    </cfRule>
  </conditionalFormatting>
  <conditionalFormatting sqref="AH348">
    <cfRule type="cellIs" dxfId="0" priority="7180" operator="equal">
      <formula>"未完成"</formula>
    </cfRule>
  </conditionalFormatting>
  <conditionalFormatting sqref="AL348:AM348">
    <cfRule type="cellIs" dxfId="1" priority="9513" operator="equal">
      <formula>"未完成"</formula>
    </cfRule>
    <cfRule type="cellIs" dxfId="0" priority="9539" operator="equal">
      <formula>"未完成"</formula>
    </cfRule>
  </conditionalFormatting>
  <conditionalFormatting sqref="S349">
    <cfRule type="cellIs" dxfId="0" priority="9460" operator="equal">
      <formula>"欠"</formula>
    </cfRule>
  </conditionalFormatting>
  <conditionalFormatting sqref="T349:U349">
    <cfRule type="containsText" dxfId="0" priority="9408" operator="between" text="欠">
      <formula>NOT(ISERROR(SEARCH("欠",T349)))</formula>
    </cfRule>
    <cfRule type="containsText" dxfId="2" priority="9434" operator="between" text="欠">
      <formula>NOT(ISERROR(SEARCH("欠",T349)))</formula>
    </cfRule>
  </conditionalFormatting>
  <conditionalFormatting sqref="AG349">
    <cfRule type="cellIs" dxfId="0" priority="9564" operator="equal">
      <formula>"未完成"</formula>
    </cfRule>
  </conditionalFormatting>
  <conditionalFormatting sqref="AH349">
    <cfRule type="cellIs" dxfId="0" priority="7179" operator="equal">
      <formula>"未完成"</formula>
    </cfRule>
  </conditionalFormatting>
  <conditionalFormatting sqref="AL349:AM349">
    <cfRule type="cellIs" dxfId="1" priority="9512" operator="equal">
      <formula>"未完成"</formula>
    </cfRule>
    <cfRule type="cellIs" dxfId="0" priority="9538" operator="equal">
      <formula>"未完成"</formula>
    </cfRule>
  </conditionalFormatting>
  <conditionalFormatting sqref="S350">
    <cfRule type="cellIs" dxfId="0" priority="9459" operator="equal">
      <formula>"欠"</formula>
    </cfRule>
  </conditionalFormatting>
  <conditionalFormatting sqref="T350:U350">
    <cfRule type="containsText" dxfId="0" priority="9407" operator="between" text="欠">
      <formula>NOT(ISERROR(SEARCH("欠",T350)))</formula>
    </cfRule>
    <cfRule type="containsText" dxfId="2" priority="9433" operator="between" text="欠">
      <formula>NOT(ISERROR(SEARCH("欠",T350)))</formula>
    </cfRule>
  </conditionalFormatting>
  <conditionalFormatting sqref="AG350">
    <cfRule type="cellIs" dxfId="0" priority="9563" operator="equal">
      <formula>"未完成"</formula>
    </cfRule>
  </conditionalFormatting>
  <conditionalFormatting sqref="AH350">
    <cfRule type="cellIs" dxfId="0" priority="7178" operator="equal">
      <formula>"未完成"</formula>
    </cfRule>
  </conditionalFormatting>
  <conditionalFormatting sqref="AL350:AM350">
    <cfRule type="cellIs" dxfId="1" priority="9511" operator="equal">
      <formula>"未完成"</formula>
    </cfRule>
    <cfRule type="cellIs" dxfId="0" priority="9537" operator="equal">
      <formula>"未完成"</formula>
    </cfRule>
  </conditionalFormatting>
  <conditionalFormatting sqref="S351">
    <cfRule type="cellIs" dxfId="0" priority="9458" operator="equal">
      <formula>"欠"</formula>
    </cfRule>
  </conditionalFormatting>
  <conditionalFormatting sqref="T351:U351">
    <cfRule type="containsText" dxfId="0" priority="9406" operator="between" text="欠">
      <formula>NOT(ISERROR(SEARCH("欠",T351)))</formula>
    </cfRule>
    <cfRule type="containsText" dxfId="2" priority="9432" operator="between" text="欠">
      <formula>NOT(ISERROR(SEARCH("欠",T351)))</formula>
    </cfRule>
  </conditionalFormatting>
  <conditionalFormatting sqref="AG351">
    <cfRule type="cellIs" dxfId="0" priority="9562" operator="equal">
      <formula>"未完成"</formula>
    </cfRule>
  </conditionalFormatting>
  <conditionalFormatting sqref="AH351">
    <cfRule type="cellIs" dxfId="0" priority="7177" operator="equal">
      <formula>"未完成"</formula>
    </cfRule>
  </conditionalFormatting>
  <conditionalFormatting sqref="AL351:AM351">
    <cfRule type="cellIs" dxfId="1" priority="9510" operator="equal">
      <formula>"未完成"</formula>
    </cfRule>
    <cfRule type="cellIs" dxfId="0" priority="9536" operator="equal">
      <formula>"未完成"</formula>
    </cfRule>
  </conditionalFormatting>
  <conditionalFormatting sqref="S352">
    <cfRule type="cellIs" dxfId="0" priority="9457" operator="equal">
      <formula>"欠"</formula>
    </cfRule>
  </conditionalFormatting>
  <conditionalFormatting sqref="T352:U352">
    <cfRule type="containsText" dxfId="0" priority="9405" operator="between" text="欠">
      <formula>NOT(ISERROR(SEARCH("欠",T352)))</formula>
    </cfRule>
    <cfRule type="containsText" dxfId="2" priority="9431" operator="between" text="欠">
      <formula>NOT(ISERROR(SEARCH("欠",T352)))</formula>
    </cfRule>
  </conditionalFormatting>
  <conditionalFormatting sqref="AG352">
    <cfRule type="cellIs" dxfId="0" priority="9561" operator="equal">
      <formula>"未完成"</formula>
    </cfRule>
  </conditionalFormatting>
  <conditionalFormatting sqref="AH352">
    <cfRule type="cellIs" dxfId="0" priority="7176" operator="equal">
      <formula>"未完成"</formula>
    </cfRule>
  </conditionalFormatting>
  <conditionalFormatting sqref="AL352:AM352">
    <cfRule type="cellIs" dxfId="1" priority="9509" operator="equal">
      <formula>"未完成"</formula>
    </cfRule>
    <cfRule type="cellIs" dxfId="0" priority="9535" operator="equal">
      <formula>"未完成"</formula>
    </cfRule>
  </conditionalFormatting>
  <conditionalFormatting sqref="S353">
    <cfRule type="cellIs" dxfId="0" priority="9390" operator="equal">
      <formula>"欠"</formula>
    </cfRule>
  </conditionalFormatting>
  <conditionalFormatting sqref="T353:U353">
    <cfRule type="containsText" dxfId="0" priority="9386" operator="between" text="欠">
      <formula>NOT(ISERROR(SEARCH("欠",T353)))</formula>
    </cfRule>
    <cfRule type="containsText" dxfId="2" priority="9388" operator="between" text="欠">
      <formula>NOT(ISERROR(SEARCH("欠",T353)))</formula>
    </cfRule>
  </conditionalFormatting>
  <conditionalFormatting sqref="AG353">
    <cfRule type="cellIs" dxfId="0" priority="9398" operator="equal">
      <formula>"未完成"</formula>
    </cfRule>
  </conditionalFormatting>
  <conditionalFormatting sqref="AH353">
    <cfRule type="cellIs" dxfId="0" priority="7175" operator="equal">
      <formula>"未完成"</formula>
    </cfRule>
  </conditionalFormatting>
  <conditionalFormatting sqref="AL353:AM353">
    <cfRule type="cellIs" dxfId="1" priority="9394" operator="equal">
      <formula>"未完成"</formula>
    </cfRule>
    <cfRule type="cellIs" dxfId="0" priority="9396" operator="equal">
      <formula>"未完成"</formula>
    </cfRule>
  </conditionalFormatting>
  <conditionalFormatting sqref="S354">
    <cfRule type="cellIs" dxfId="0" priority="9389" operator="equal">
      <formula>"欠"</formula>
    </cfRule>
  </conditionalFormatting>
  <conditionalFormatting sqref="T354:U354">
    <cfRule type="containsText" dxfId="0" priority="9385" operator="between" text="欠">
      <formula>NOT(ISERROR(SEARCH("欠",T354)))</formula>
    </cfRule>
    <cfRule type="containsText" dxfId="2" priority="9387" operator="between" text="欠">
      <formula>NOT(ISERROR(SEARCH("欠",T354)))</formula>
    </cfRule>
  </conditionalFormatting>
  <conditionalFormatting sqref="AG354">
    <cfRule type="cellIs" dxfId="0" priority="9397" operator="equal">
      <formula>"未完成"</formula>
    </cfRule>
  </conditionalFormatting>
  <conditionalFormatting sqref="AH354">
    <cfRule type="cellIs" dxfId="0" priority="7174" operator="equal">
      <formula>"未完成"</formula>
    </cfRule>
  </conditionalFormatting>
  <conditionalFormatting sqref="AL354:AM354">
    <cfRule type="cellIs" dxfId="1" priority="9393" operator="equal">
      <formula>"未完成"</formula>
    </cfRule>
    <cfRule type="cellIs" dxfId="0" priority="9395" operator="equal">
      <formula>"未完成"</formula>
    </cfRule>
  </conditionalFormatting>
  <conditionalFormatting sqref="S355">
    <cfRule type="cellIs" dxfId="0" priority="9279" operator="equal">
      <formula>"欠"</formula>
    </cfRule>
  </conditionalFormatting>
  <conditionalFormatting sqref="T355:U355">
    <cfRule type="containsText" dxfId="0" priority="9263" operator="between" text="欠">
      <formula>NOT(ISERROR(SEARCH("欠",T355)))</formula>
    </cfRule>
    <cfRule type="containsText" dxfId="2" priority="9271" operator="between" text="欠">
      <formula>NOT(ISERROR(SEARCH("欠",T355)))</formula>
    </cfRule>
  </conditionalFormatting>
  <conditionalFormatting sqref="AG355">
    <cfRule type="cellIs" dxfId="0" priority="9311" operator="equal">
      <formula>"未完成"</formula>
    </cfRule>
  </conditionalFormatting>
  <conditionalFormatting sqref="AH355">
    <cfRule type="cellIs" dxfId="0" priority="7173" operator="equal">
      <formula>"未完成"</formula>
    </cfRule>
  </conditionalFormatting>
  <conditionalFormatting sqref="AL355:AM355">
    <cfRule type="cellIs" dxfId="1" priority="9295" operator="equal">
      <formula>"未完成"</formula>
    </cfRule>
    <cfRule type="cellIs" dxfId="0" priority="9303" operator="equal">
      <formula>"未完成"</formula>
    </cfRule>
  </conditionalFormatting>
  <conditionalFormatting sqref="S356">
    <cfRule type="cellIs" dxfId="0" priority="9278" operator="equal">
      <formula>"欠"</formula>
    </cfRule>
  </conditionalFormatting>
  <conditionalFormatting sqref="T356:U356">
    <cfRule type="containsText" dxfId="0" priority="9262" operator="between" text="欠">
      <formula>NOT(ISERROR(SEARCH("欠",T356)))</formula>
    </cfRule>
    <cfRule type="containsText" dxfId="2" priority="9270" operator="between" text="欠">
      <formula>NOT(ISERROR(SEARCH("欠",T356)))</formula>
    </cfRule>
  </conditionalFormatting>
  <conditionalFormatting sqref="AG356">
    <cfRule type="cellIs" dxfId="0" priority="9310" operator="equal">
      <formula>"未完成"</formula>
    </cfRule>
  </conditionalFormatting>
  <conditionalFormatting sqref="AH356">
    <cfRule type="cellIs" dxfId="0" priority="7172" operator="equal">
      <formula>"未完成"</formula>
    </cfRule>
  </conditionalFormatting>
  <conditionalFormatting sqref="AL356:AM356">
    <cfRule type="cellIs" dxfId="1" priority="9294" operator="equal">
      <formula>"未完成"</formula>
    </cfRule>
    <cfRule type="cellIs" dxfId="0" priority="9302" operator="equal">
      <formula>"未完成"</formula>
    </cfRule>
  </conditionalFormatting>
  <conditionalFormatting sqref="S357">
    <cfRule type="cellIs" dxfId="0" priority="9277" operator="equal">
      <formula>"欠"</formula>
    </cfRule>
  </conditionalFormatting>
  <conditionalFormatting sqref="T357:U357">
    <cfRule type="containsText" dxfId="0" priority="9261" operator="between" text="欠">
      <formula>NOT(ISERROR(SEARCH("欠",T357)))</formula>
    </cfRule>
    <cfRule type="containsText" dxfId="2" priority="9269" operator="between" text="欠">
      <formula>NOT(ISERROR(SEARCH("欠",T357)))</formula>
    </cfRule>
  </conditionalFormatting>
  <conditionalFormatting sqref="AG357">
    <cfRule type="cellIs" dxfId="0" priority="9309" operator="equal">
      <formula>"未完成"</formula>
    </cfRule>
  </conditionalFormatting>
  <conditionalFormatting sqref="AH357">
    <cfRule type="cellIs" dxfId="0" priority="7171" operator="equal">
      <formula>"未完成"</formula>
    </cfRule>
  </conditionalFormatting>
  <conditionalFormatting sqref="AL357:AM357">
    <cfRule type="cellIs" dxfId="1" priority="9293" operator="equal">
      <formula>"未完成"</formula>
    </cfRule>
    <cfRule type="cellIs" dxfId="0" priority="9301" operator="equal">
      <formula>"未完成"</formula>
    </cfRule>
  </conditionalFormatting>
  <conditionalFormatting sqref="S358">
    <cfRule type="cellIs" dxfId="0" priority="9276" operator="equal">
      <formula>"欠"</formula>
    </cfRule>
  </conditionalFormatting>
  <conditionalFormatting sqref="T358:U358">
    <cfRule type="containsText" dxfId="0" priority="9260" operator="between" text="欠">
      <formula>NOT(ISERROR(SEARCH("欠",T358)))</formula>
    </cfRule>
    <cfRule type="containsText" dxfId="2" priority="9268" operator="between" text="欠">
      <formula>NOT(ISERROR(SEARCH("欠",T358)))</formula>
    </cfRule>
  </conditionalFormatting>
  <conditionalFormatting sqref="AG358">
    <cfRule type="cellIs" dxfId="0" priority="9308" operator="equal">
      <formula>"未完成"</formula>
    </cfRule>
  </conditionalFormatting>
  <conditionalFormatting sqref="AH358">
    <cfRule type="cellIs" dxfId="0" priority="7170" operator="equal">
      <formula>"未完成"</formula>
    </cfRule>
  </conditionalFormatting>
  <conditionalFormatting sqref="AL358:AM358">
    <cfRule type="cellIs" dxfId="1" priority="9292" operator="equal">
      <formula>"未完成"</formula>
    </cfRule>
    <cfRule type="cellIs" dxfId="0" priority="9300" operator="equal">
      <formula>"未完成"</formula>
    </cfRule>
  </conditionalFormatting>
  <conditionalFormatting sqref="S359">
    <cfRule type="cellIs" dxfId="0" priority="9275" operator="equal">
      <formula>"欠"</formula>
    </cfRule>
  </conditionalFormatting>
  <conditionalFormatting sqref="T359:U359">
    <cfRule type="containsText" dxfId="0" priority="9259" operator="between" text="欠">
      <formula>NOT(ISERROR(SEARCH("欠",T359)))</formula>
    </cfRule>
    <cfRule type="containsText" dxfId="2" priority="9267" operator="between" text="欠">
      <formula>NOT(ISERROR(SEARCH("欠",T359)))</formula>
    </cfRule>
  </conditionalFormatting>
  <conditionalFormatting sqref="AG359">
    <cfRule type="cellIs" dxfId="0" priority="9307" operator="equal">
      <formula>"未完成"</formula>
    </cfRule>
  </conditionalFormatting>
  <conditionalFormatting sqref="AH359">
    <cfRule type="cellIs" dxfId="0" priority="7169" operator="equal">
      <formula>"未完成"</formula>
    </cfRule>
  </conditionalFormatting>
  <conditionalFormatting sqref="AL359:AM359">
    <cfRule type="cellIs" dxfId="1" priority="9291" operator="equal">
      <formula>"未完成"</formula>
    </cfRule>
    <cfRule type="cellIs" dxfId="0" priority="9299" operator="equal">
      <formula>"未完成"</formula>
    </cfRule>
  </conditionalFormatting>
  <conditionalFormatting sqref="S360">
    <cfRule type="cellIs" dxfId="0" priority="9274" operator="equal">
      <formula>"欠"</formula>
    </cfRule>
  </conditionalFormatting>
  <conditionalFormatting sqref="T360:U360">
    <cfRule type="containsText" dxfId="0" priority="9258" operator="between" text="欠">
      <formula>NOT(ISERROR(SEARCH("欠",T360)))</formula>
    </cfRule>
    <cfRule type="containsText" dxfId="2" priority="9266" operator="between" text="欠">
      <formula>NOT(ISERROR(SEARCH("欠",T360)))</formula>
    </cfRule>
  </conditionalFormatting>
  <conditionalFormatting sqref="AG360">
    <cfRule type="cellIs" dxfId="0" priority="9306" operator="equal">
      <formula>"未完成"</formula>
    </cfRule>
  </conditionalFormatting>
  <conditionalFormatting sqref="AH360">
    <cfRule type="cellIs" dxfId="0" priority="7168" operator="equal">
      <formula>"未完成"</formula>
    </cfRule>
  </conditionalFormatting>
  <conditionalFormatting sqref="AL360:AM360">
    <cfRule type="cellIs" dxfId="1" priority="9290" operator="equal">
      <formula>"未完成"</formula>
    </cfRule>
    <cfRule type="cellIs" dxfId="0" priority="9298" operator="equal">
      <formula>"未完成"</formula>
    </cfRule>
  </conditionalFormatting>
  <conditionalFormatting sqref="S361">
    <cfRule type="cellIs" dxfId="0" priority="9273" operator="equal">
      <formula>"欠"</formula>
    </cfRule>
  </conditionalFormatting>
  <conditionalFormatting sqref="T361:U361">
    <cfRule type="containsText" dxfId="0" priority="9257" operator="between" text="欠">
      <formula>NOT(ISERROR(SEARCH("欠",T361)))</formula>
    </cfRule>
    <cfRule type="containsText" dxfId="2" priority="9265" operator="between" text="欠">
      <formula>NOT(ISERROR(SEARCH("欠",T361)))</formula>
    </cfRule>
  </conditionalFormatting>
  <conditionalFormatting sqref="AG361">
    <cfRule type="cellIs" dxfId="0" priority="9305" operator="equal">
      <formula>"未完成"</formula>
    </cfRule>
  </conditionalFormatting>
  <conditionalFormatting sqref="AH361">
    <cfRule type="cellIs" dxfId="0" priority="7167" operator="equal">
      <formula>"未完成"</formula>
    </cfRule>
  </conditionalFormatting>
  <conditionalFormatting sqref="AL361:AM361">
    <cfRule type="cellIs" dxfId="1" priority="9289" operator="equal">
      <formula>"未完成"</formula>
    </cfRule>
    <cfRule type="cellIs" dxfId="0" priority="9297" operator="equal">
      <formula>"未完成"</formula>
    </cfRule>
  </conditionalFormatting>
  <conditionalFormatting sqref="S362">
    <cfRule type="cellIs" dxfId="0" priority="9272" operator="equal">
      <formula>"欠"</formula>
    </cfRule>
  </conditionalFormatting>
  <conditionalFormatting sqref="T362:U362">
    <cfRule type="containsText" dxfId="0" priority="9256" operator="between" text="欠">
      <formula>NOT(ISERROR(SEARCH("欠",T362)))</formula>
    </cfRule>
    <cfRule type="containsText" dxfId="2" priority="9264" operator="between" text="欠">
      <formula>NOT(ISERROR(SEARCH("欠",T362)))</formula>
    </cfRule>
  </conditionalFormatting>
  <conditionalFormatting sqref="AG362">
    <cfRule type="cellIs" dxfId="0" priority="9304" operator="equal">
      <formula>"未完成"</formula>
    </cfRule>
  </conditionalFormatting>
  <conditionalFormatting sqref="AH362">
    <cfRule type="cellIs" dxfId="0" priority="7166" operator="equal">
      <formula>"未完成"</formula>
    </cfRule>
  </conditionalFormatting>
  <conditionalFormatting sqref="AL362:AM362">
    <cfRule type="cellIs" dxfId="1" priority="9288" operator="equal">
      <formula>"未完成"</formula>
    </cfRule>
    <cfRule type="cellIs" dxfId="0" priority="9296" operator="equal">
      <formula>"未完成"</formula>
    </cfRule>
  </conditionalFormatting>
  <conditionalFormatting sqref="W389">
    <cfRule type="cellIs" dxfId="0" priority="10084" operator="equal">
      <formula>"欠"</formula>
    </cfRule>
  </conditionalFormatting>
  <conditionalFormatting sqref="AG389">
    <cfRule type="cellIs" dxfId="0" priority="10079" operator="equal">
      <formula>"未完成"</formula>
    </cfRule>
  </conditionalFormatting>
  <conditionalFormatting sqref="AH389">
    <cfRule type="cellIs" dxfId="0" priority="7261" operator="equal">
      <formula>"未完成"</formula>
    </cfRule>
  </conditionalFormatting>
  <conditionalFormatting sqref="AL389:AM389">
    <cfRule type="cellIs" dxfId="1" priority="10080" operator="equal">
      <formula>"未完成"</formula>
    </cfRule>
    <cfRule type="cellIs" dxfId="0" priority="10081" operator="equal">
      <formula>"未完成"</formula>
    </cfRule>
  </conditionalFormatting>
  <conditionalFormatting sqref="AE421">
    <cfRule type="cellIs" dxfId="0" priority="10187" operator="equal">
      <formula>"未完成"</formula>
    </cfRule>
  </conditionalFormatting>
  <conditionalFormatting sqref="W422">
    <cfRule type="cellIs" dxfId="0" priority="9826" operator="equal">
      <formula>"欠"</formula>
    </cfRule>
  </conditionalFormatting>
  <conditionalFormatting sqref="AG422">
    <cfRule type="cellIs" dxfId="0" priority="9820" operator="equal">
      <formula>"未完成"</formula>
    </cfRule>
  </conditionalFormatting>
  <conditionalFormatting sqref="AH422">
    <cfRule type="cellIs" dxfId="0" priority="7221" operator="equal">
      <formula>"未完成"</formula>
    </cfRule>
  </conditionalFormatting>
  <conditionalFormatting sqref="AL422">
    <cfRule type="cellIs" dxfId="1" priority="9821" operator="equal">
      <formula>"未完成"</formula>
    </cfRule>
    <cfRule type="cellIs" dxfId="0" priority="9822" operator="equal">
      <formula>"未完成"</formula>
    </cfRule>
  </conditionalFormatting>
  <conditionalFormatting sqref="AM422">
    <cfRule type="cellIs" dxfId="1" priority="9827" operator="equal">
      <formula>"未完成"</formula>
    </cfRule>
    <cfRule type="cellIs" dxfId="0" priority="9828" operator="equal">
      <formula>"未完成"</formula>
    </cfRule>
  </conditionalFormatting>
  <conditionalFormatting sqref="R424">
    <cfRule type="containsText" dxfId="0" priority="8950" operator="between" text="欠">
      <formula>NOT(ISERROR(SEARCH("欠",R424)))</formula>
    </cfRule>
  </conditionalFormatting>
  <conditionalFormatting sqref="W424">
    <cfRule type="cellIs" dxfId="0" priority="9037" operator="equal">
      <formula>"欠"</formula>
    </cfRule>
  </conditionalFormatting>
  <conditionalFormatting sqref="AG424">
    <cfRule type="cellIs" dxfId="0" priority="9066" operator="equal">
      <formula>"未完成"</formula>
    </cfRule>
  </conditionalFormatting>
  <conditionalFormatting sqref="AH424">
    <cfRule type="cellIs" dxfId="0" priority="7164" operator="equal">
      <formula>"未完成"</formula>
    </cfRule>
  </conditionalFormatting>
  <conditionalFormatting sqref="AL424:AM424">
    <cfRule type="cellIs" dxfId="1" priority="9095" operator="equal">
      <formula>"未完成"</formula>
    </cfRule>
    <cfRule type="cellIs" dxfId="0" priority="9124" operator="equal">
      <formula>"未完成"</formula>
    </cfRule>
  </conditionalFormatting>
  <conditionalFormatting sqref="R425">
    <cfRule type="containsText" dxfId="0" priority="8949" operator="between" text="欠">
      <formula>NOT(ISERROR(SEARCH("欠",R425)))</formula>
    </cfRule>
  </conditionalFormatting>
  <conditionalFormatting sqref="R425:V425">
    <cfRule type="cellIs" dxfId="0" priority="9007" operator="equal">
      <formula>"欠"</formula>
    </cfRule>
  </conditionalFormatting>
  <conditionalFormatting sqref="T425:U425">
    <cfRule type="containsText" dxfId="0" priority="8978" operator="between" text="欠">
      <formula>NOT(ISERROR(SEARCH("欠",T425)))</formula>
    </cfRule>
  </conditionalFormatting>
  <conditionalFormatting sqref="W425">
    <cfRule type="cellIs" dxfId="0" priority="9036" operator="equal">
      <formula>"欠"</formula>
    </cfRule>
  </conditionalFormatting>
  <conditionalFormatting sqref="AG425">
    <cfRule type="cellIs" dxfId="0" priority="9065" operator="equal">
      <formula>"未完成"</formula>
    </cfRule>
  </conditionalFormatting>
  <conditionalFormatting sqref="AH425">
    <cfRule type="cellIs" dxfId="0" priority="7163" operator="equal">
      <formula>"未完成"</formula>
    </cfRule>
  </conditionalFormatting>
  <conditionalFormatting sqref="AL425:AM425">
    <cfRule type="cellIs" dxfId="1" priority="9094" operator="equal">
      <formula>"未完成"</formula>
    </cfRule>
    <cfRule type="cellIs" dxfId="0" priority="9123" operator="equal">
      <formula>"未完成"</formula>
    </cfRule>
  </conditionalFormatting>
  <conditionalFormatting sqref="R426">
    <cfRule type="containsText" dxfId="0" priority="8947" operator="between" text="欠">
      <formula>NOT(ISERROR(SEARCH("欠",R426)))</formula>
    </cfRule>
  </conditionalFormatting>
  <conditionalFormatting sqref="R426:V426">
    <cfRule type="cellIs" dxfId="0" priority="9005" operator="equal">
      <formula>"欠"</formula>
    </cfRule>
  </conditionalFormatting>
  <conditionalFormatting sqref="T426:U426">
    <cfRule type="containsText" dxfId="0" priority="8976" operator="between" text="欠">
      <formula>NOT(ISERROR(SEARCH("欠",T426)))</formula>
    </cfRule>
  </conditionalFormatting>
  <conditionalFormatting sqref="W426">
    <cfRule type="cellIs" dxfId="0" priority="9034" operator="equal">
      <formula>"欠"</formula>
    </cfRule>
  </conditionalFormatting>
  <conditionalFormatting sqref="AG426">
    <cfRule type="cellIs" dxfId="0" priority="9063" operator="equal">
      <formula>"未完成"</formula>
    </cfRule>
  </conditionalFormatting>
  <conditionalFormatting sqref="AH426">
    <cfRule type="cellIs" dxfId="0" priority="7161" operator="equal">
      <formula>"未完成"</formula>
    </cfRule>
  </conditionalFormatting>
  <conditionalFormatting sqref="AL426:AM426">
    <cfRule type="cellIs" dxfId="1" priority="9092" operator="equal">
      <formula>"未完成"</formula>
    </cfRule>
    <cfRule type="cellIs" dxfId="0" priority="9121" operator="equal">
      <formula>"未完成"</formula>
    </cfRule>
  </conditionalFormatting>
  <conditionalFormatting sqref="R427">
    <cfRule type="containsText" dxfId="0" priority="8946" operator="between" text="欠">
      <formula>NOT(ISERROR(SEARCH("欠",R427)))</formula>
    </cfRule>
  </conditionalFormatting>
  <conditionalFormatting sqref="T427:U427">
    <cfRule type="containsText" dxfId="0" priority="8975" operator="between" text="欠">
      <formula>NOT(ISERROR(SEARCH("欠",T427)))</formula>
    </cfRule>
  </conditionalFormatting>
  <conditionalFormatting sqref="W427">
    <cfRule type="cellIs" dxfId="0" priority="9033" operator="equal">
      <formula>"欠"</formula>
    </cfRule>
  </conditionalFormatting>
  <conditionalFormatting sqref="AG427">
    <cfRule type="cellIs" dxfId="0" priority="9062" operator="equal">
      <formula>"未完成"</formula>
    </cfRule>
  </conditionalFormatting>
  <conditionalFormatting sqref="AH427">
    <cfRule type="cellIs" dxfId="0" priority="7160" operator="equal">
      <formula>"未完成"</formula>
    </cfRule>
  </conditionalFormatting>
  <conditionalFormatting sqref="AL427:AM427">
    <cfRule type="cellIs" dxfId="1" priority="9091" operator="equal">
      <formula>"未完成"</formula>
    </cfRule>
    <cfRule type="cellIs" dxfId="0" priority="9120" operator="equal">
      <formula>"未完成"</formula>
    </cfRule>
  </conditionalFormatting>
  <conditionalFormatting sqref="R428">
    <cfRule type="containsText" dxfId="0" priority="8945" operator="between" text="欠">
      <formula>NOT(ISERROR(SEARCH("欠",R428)))</formula>
    </cfRule>
  </conditionalFormatting>
  <conditionalFormatting sqref="T428:U428">
    <cfRule type="containsText" dxfId="0" priority="8974" operator="between" text="欠">
      <formula>NOT(ISERROR(SEARCH("欠",T428)))</formula>
    </cfRule>
  </conditionalFormatting>
  <conditionalFormatting sqref="W428">
    <cfRule type="cellIs" dxfId="0" priority="9032" operator="equal">
      <formula>"欠"</formula>
    </cfRule>
  </conditionalFormatting>
  <conditionalFormatting sqref="AG428">
    <cfRule type="cellIs" dxfId="0" priority="9061" operator="equal">
      <formula>"未完成"</formula>
    </cfRule>
  </conditionalFormatting>
  <conditionalFormatting sqref="AH428">
    <cfRule type="cellIs" dxfId="0" priority="7159" operator="equal">
      <formula>"未完成"</formula>
    </cfRule>
  </conditionalFormatting>
  <conditionalFormatting sqref="AL428:AM428">
    <cfRule type="cellIs" dxfId="1" priority="9090" operator="equal">
      <formula>"未完成"</formula>
    </cfRule>
    <cfRule type="cellIs" dxfId="0" priority="9119" operator="equal">
      <formula>"未完成"</formula>
    </cfRule>
  </conditionalFormatting>
  <conditionalFormatting sqref="R429">
    <cfRule type="containsText" dxfId="0" priority="8944" operator="between" text="欠">
      <formula>NOT(ISERROR(SEARCH("欠",R429)))</formula>
    </cfRule>
  </conditionalFormatting>
  <conditionalFormatting sqref="R429:V429">
    <cfRule type="cellIs" dxfId="0" priority="9002" operator="equal">
      <formula>"欠"</formula>
    </cfRule>
  </conditionalFormatting>
  <conditionalFormatting sqref="T429:U429">
    <cfRule type="containsText" dxfId="0" priority="8973" operator="between" text="欠">
      <formula>NOT(ISERROR(SEARCH("欠",T429)))</formula>
    </cfRule>
  </conditionalFormatting>
  <conditionalFormatting sqref="W429">
    <cfRule type="cellIs" dxfId="0" priority="9031" operator="equal">
      <formula>"欠"</formula>
    </cfRule>
  </conditionalFormatting>
  <conditionalFormatting sqref="AG429">
    <cfRule type="cellIs" dxfId="0" priority="9060" operator="equal">
      <formula>"未完成"</formula>
    </cfRule>
  </conditionalFormatting>
  <conditionalFormatting sqref="AH429">
    <cfRule type="cellIs" dxfId="0" priority="7158" operator="equal">
      <formula>"未完成"</formula>
    </cfRule>
  </conditionalFormatting>
  <conditionalFormatting sqref="AL429:AM429">
    <cfRule type="cellIs" dxfId="1" priority="9089" operator="equal">
      <formula>"未完成"</formula>
    </cfRule>
    <cfRule type="cellIs" dxfId="0" priority="9118" operator="equal">
      <formula>"未完成"</formula>
    </cfRule>
  </conditionalFormatting>
  <conditionalFormatting sqref="R430">
    <cfRule type="containsText" dxfId="0" priority="8943" operator="between" text="欠">
      <formula>NOT(ISERROR(SEARCH("欠",R430)))</formula>
    </cfRule>
  </conditionalFormatting>
  <conditionalFormatting sqref="R430:V430">
    <cfRule type="cellIs" dxfId="0" priority="9001" operator="equal">
      <formula>"欠"</formula>
    </cfRule>
  </conditionalFormatting>
  <conditionalFormatting sqref="T430:U430">
    <cfRule type="containsText" dxfId="0" priority="8972" operator="between" text="欠">
      <formula>NOT(ISERROR(SEARCH("欠",T430)))</formula>
    </cfRule>
  </conditionalFormatting>
  <conditionalFormatting sqref="W430">
    <cfRule type="cellIs" dxfId="0" priority="9030" operator="equal">
      <formula>"欠"</formula>
    </cfRule>
  </conditionalFormatting>
  <conditionalFormatting sqref="AG430">
    <cfRule type="cellIs" dxfId="0" priority="9059" operator="equal">
      <formula>"未完成"</formula>
    </cfRule>
  </conditionalFormatting>
  <conditionalFormatting sqref="AH430">
    <cfRule type="cellIs" dxfId="0" priority="7157" operator="equal">
      <formula>"未完成"</formula>
    </cfRule>
  </conditionalFormatting>
  <conditionalFormatting sqref="AL430:AM430">
    <cfRule type="cellIs" dxfId="1" priority="9088" operator="equal">
      <formula>"未完成"</formula>
    </cfRule>
    <cfRule type="cellIs" dxfId="0" priority="9117" operator="equal">
      <formula>"未完成"</formula>
    </cfRule>
  </conditionalFormatting>
  <conditionalFormatting sqref="R431">
    <cfRule type="containsText" dxfId="0" priority="8942" operator="between" text="欠">
      <formula>NOT(ISERROR(SEARCH("欠",R431)))</formula>
    </cfRule>
  </conditionalFormatting>
  <conditionalFormatting sqref="R431:V431">
    <cfRule type="cellIs" dxfId="0" priority="9000" operator="equal">
      <formula>"欠"</formula>
    </cfRule>
  </conditionalFormatting>
  <conditionalFormatting sqref="T431:U431">
    <cfRule type="containsText" dxfId="0" priority="8971" operator="between" text="欠">
      <formula>NOT(ISERROR(SEARCH("欠",T431)))</formula>
    </cfRule>
  </conditionalFormatting>
  <conditionalFormatting sqref="W431">
    <cfRule type="cellIs" dxfId="0" priority="9029" operator="equal">
      <formula>"欠"</formula>
    </cfRule>
  </conditionalFormatting>
  <conditionalFormatting sqref="AG431">
    <cfRule type="cellIs" dxfId="0" priority="9058" operator="equal">
      <formula>"未完成"</formula>
    </cfRule>
  </conditionalFormatting>
  <conditionalFormatting sqref="AH431">
    <cfRule type="cellIs" dxfId="0" priority="7156" operator="equal">
      <formula>"未完成"</formula>
    </cfRule>
  </conditionalFormatting>
  <conditionalFormatting sqref="AL431:AM431">
    <cfRule type="cellIs" dxfId="1" priority="9087" operator="equal">
      <formula>"未完成"</formula>
    </cfRule>
    <cfRule type="cellIs" dxfId="0" priority="9116" operator="equal">
      <formula>"未完成"</formula>
    </cfRule>
  </conditionalFormatting>
  <conditionalFormatting sqref="R432">
    <cfRule type="containsText" dxfId="0" priority="8941" operator="between" text="欠">
      <formula>NOT(ISERROR(SEARCH("欠",R432)))</formula>
    </cfRule>
  </conditionalFormatting>
  <conditionalFormatting sqref="R432:V432">
    <cfRule type="cellIs" dxfId="0" priority="8999" operator="equal">
      <formula>"欠"</formula>
    </cfRule>
  </conditionalFormatting>
  <conditionalFormatting sqref="T432:U432">
    <cfRule type="containsText" dxfId="0" priority="8970" operator="between" text="欠">
      <formula>NOT(ISERROR(SEARCH("欠",T432)))</formula>
    </cfRule>
  </conditionalFormatting>
  <conditionalFormatting sqref="W432">
    <cfRule type="cellIs" dxfId="0" priority="9028" operator="equal">
      <formula>"欠"</formula>
    </cfRule>
  </conditionalFormatting>
  <conditionalFormatting sqref="AG432">
    <cfRule type="cellIs" dxfId="0" priority="9057" operator="equal">
      <formula>"未完成"</formula>
    </cfRule>
  </conditionalFormatting>
  <conditionalFormatting sqref="AH432">
    <cfRule type="cellIs" dxfId="0" priority="7155" operator="equal">
      <formula>"未完成"</formula>
    </cfRule>
  </conditionalFormatting>
  <conditionalFormatting sqref="AL432:AM432">
    <cfRule type="cellIs" dxfId="1" priority="9086" operator="equal">
      <formula>"未完成"</formula>
    </cfRule>
    <cfRule type="cellIs" dxfId="0" priority="9115" operator="equal">
      <formula>"未完成"</formula>
    </cfRule>
  </conditionalFormatting>
  <conditionalFormatting sqref="R433">
    <cfRule type="containsText" dxfId="0" priority="8940" operator="between" text="欠">
      <formula>NOT(ISERROR(SEARCH("欠",R433)))</formula>
    </cfRule>
  </conditionalFormatting>
  <conditionalFormatting sqref="R433:V433">
    <cfRule type="cellIs" dxfId="0" priority="8998" operator="equal">
      <formula>"欠"</formula>
    </cfRule>
  </conditionalFormatting>
  <conditionalFormatting sqref="T433:U433">
    <cfRule type="containsText" dxfId="0" priority="8969" operator="between" text="欠">
      <formula>NOT(ISERROR(SEARCH("欠",T433)))</formula>
    </cfRule>
  </conditionalFormatting>
  <conditionalFormatting sqref="W433">
    <cfRule type="cellIs" dxfId="0" priority="9027" operator="equal">
      <formula>"欠"</formula>
    </cfRule>
  </conditionalFormatting>
  <conditionalFormatting sqref="AG433">
    <cfRule type="cellIs" dxfId="0" priority="9056" operator="equal">
      <formula>"未完成"</formula>
    </cfRule>
  </conditionalFormatting>
  <conditionalFormatting sqref="AH433">
    <cfRule type="cellIs" dxfId="0" priority="7154" operator="equal">
      <formula>"未完成"</formula>
    </cfRule>
  </conditionalFormatting>
  <conditionalFormatting sqref="AL433:AM433">
    <cfRule type="cellIs" dxfId="1" priority="9085" operator="equal">
      <formula>"未完成"</formula>
    </cfRule>
    <cfRule type="cellIs" dxfId="0" priority="9114" operator="equal">
      <formula>"未完成"</formula>
    </cfRule>
  </conditionalFormatting>
  <conditionalFormatting sqref="R434">
    <cfRule type="containsText" dxfId="0" priority="8939" operator="between" text="欠">
      <formula>NOT(ISERROR(SEARCH("欠",R434)))</formula>
    </cfRule>
  </conditionalFormatting>
  <conditionalFormatting sqref="R434:V434">
    <cfRule type="cellIs" dxfId="0" priority="8997" operator="equal">
      <formula>"欠"</formula>
    </cfRule>
  </conditionalFormatting>
  <conditionalFormatting sqref="T434:U434">
    <cfRule type="containsText" dxfId="0" priority="8968" operator="between" text="欠">
      <formula>NOT(ISERROR(SEARCH("欠",T434)))</formula>
    </cfRule>
  </conditionalFormatting>
  <conditionalFormatting sqref="W434">
    <cfRule type="cellIs" dxfId="0" priority="9026" operator="equal">
      <formula>"欠"</formula>
    </cfRule>
  </conditionalFormatting>
  <conditionalFormatting sqref="AG434">
    <cfRule type="cellIs" dxfId="0" priority="9055" operator="equal">
      <formula>"未完成"</formula>
    </cfRule>
  </conditionalFormatting>
  <conditionalFormatting sqref="AH434">
    <cfRule type="cellIs" dxfId="0" priority="7153" operator="equal">
      <formula>"未完成"</formula>
    </cfRule>
  </conditionalFormatting>
  <conditionalFormatting sqref="AL434:AM434">
    <cfRule type="cellIs" dxfId="1" priority="9084" operator="equal">
      <formula>"未完成"</formula>
    </cfRule>
    <cfRule type="cellIs" dxfId="0" priority="9113" operator="equal">
      <formula>"未完成"</formula>
    </cfRule>
  </conditionalFormatting>
  <conditionalFormatting sqref="R435">
    <cfRule type="containsText" dxfId="0" priority="8938" operator="between" text="欠">
      <formula>NOT(ISERROR(SEARCH("欠",R435)))</formula>
    </cfRule>
  </conditionalFormatting>
  <conditionalFormatting sqref="R435:V435">
    <cfRule type="cellIs" dxfId="0" priority="8996" operator="equal">
      <formula>"欠"</formula>
    </cfRule>
  </conditionalFormatting>
  <conditionalFormatting sqref="T435:U435">
    <cfRule type="containsText" dxfId="0" priority="8967" operator="between" text="欠">
      <formula>NOT(ISERROR(SEARCH("欠",T435)))</formula>
    </cfRule>
  </conditionalFormatting>
  <conditionalFormatting sqref="W435">
    <cfRule type="cellIs" dxfId="0" priority="9025" operator="equal">
      <formula>"欠"</formula>
    </cfRule>
  </conditionalFormatting>
  <conditionalFormatting sqref="AG435">
    <cfRule type="cellIs" dxfId="0" priority="9054" operator="equal">
      <formula>"未完成"</formula>
    </cfRule>
  </conditionalFormatting>
  <conditionalFormatting sqref="AH435">
    <cfRule type="cellIs" dxfId="0" priority="7152" operator="equal">
      <formula>"未完成"</formula>
    </cfRule>
  </conditionalFormatting>
  <conditionalFormatting sqref="AL435:AM435">
    <cfRule type="cellIs" dxfId="1" priority="9083" operator="equal">
      <formula>"未完成"</formula>
    </cfRule>
    <cfRule type="cellIs" dxfId="0" priority="9112" operator="equal">
      <formula>"未完成"</formula>
    </cfRule>
  </conditionalFormatting>
  <conditionalFormatting sqref="R436">
    <cfRule type="containsText" dxfId="0" priority="8936" operator="between" text="欠">
      <formula>NOT(ISERROR(SEARCH("欠",R436)))</formula>
    </cfRule>
  </conditionalFormatting>
  <conditionalFormatting sqref="R436:V436">
    <cfRule type="cellIs" dxfId="0" priority="8994" operator="equal">
      <formula>"欠"</formula>
    </cfRule>
  </conditionalFormatting>
  <conditionalFormatting sqref="T436:U436">
    <cfRule type="containsText" dxfId="0" priority="8965" operator="between" text="欠">
      <formula>NOT(ISERROR(SEARCH("欠",T436)))</formula>
    </cfRule>
  </conditionalFormatting>
  <conditionalFormatting sqref="W436">
    <cfRule type="cellIs" dxfId="0" priority="9023" operator="equal">
      <formula>"欠"</formula>
    </cfRule>
  </conditionalFormatting>
  <conditionalFormatting sqref="AG436">
    <cfRule type="cellIs" dxfId="0" priority="9052" operator="equal">
      <formula>"未完成"</formula>
    </cfRule>
  </conditionalFormatting>
  <conditionalFormatting sqref="AH436">
    <cfRule type="cellIs" dxfId="0" priority="7150" operator="equal">
      <formula>"未完成"</formula>
    </cfRule>
  </conditionalFormatting>
  <conditionalFormatting sqref="AL436:AM436">
    <cfRule type="cellIs" dxfId="1" priority="9081" operator="equal">
      <formula>"未完成"</formula>
    </cfRule>
    <cfRule type="cellIs" dxfId="0" priority="9110" operator="equal">
      <formula>"未完成"</formula>
    </cfRule>
  </conditionalFormatting>
  <conditionalFormatting sqref="R437">
    <cfRule type="containsText" dxfId="0" priority="8935" operator="between" text="欠">
      <formula>NOT(ISERROR(SEARCH("欠",R437)))</formula>
    </cfRule>
  </conditionalFormatting>
  <conditionalFormatting sqref="R437:V437">
    <cfRule type="cellIs" dxfId="0" priority="8993" operator="equal">
      <formula>"欠"</formula>
    </cfRule>
  </conditionalFormatting>
  <conditionalFormatting sqref="T437:U437">
    <cfRule type="containsText" dxfId="0" priority="8964" operator="between" text="欠">
      <formula>NOT(ISERROR(SEARCH("欠",T437)))</formula>
    </cfRule>
  </conditionalFormatting>
  <conditionalFormatting sqref="W437">
    <cfRule type="cellIs" dxfId="0" priority="9022" operator="equal">
      <formula>"欠"</formula>
    </cfRule>
  </conditionalFormatting>
  <conditionalFormatting sqref="AG437">
    <cfRule type="cellIs" dxfId="0" priority="9051" operator="equal">
      <formula>"未完成"</formula>
    </cfRule>
  </conditionalFormatting>
  <conditionalFormatting sqref="AH437">
    <cfRule type="cellIs" dxfId="0" priority="7149" operator="equal">
      <formula>"未完成"</formula>
    </cfRule>
  </conditionalFormatting>
  <conditionalFormatting sqref="AL437:AM437">
    <cfRule type="cellIs" dxfId="1" priority="9080" operator="equal">
      <formula>"未完成"</formula>
    </cfRule>
    <cfRule type="cellIs" dxfId="0" priority="9109" operator="equal">
      <formula>"未完成"</formula>
    </cfRule>
  </conditionalFormatting>
  <conditionalFormatting sqref="R438">
    <cfRule type="containsText" dxfId="0" priority="8934" operator="between" text="欠">
      <formula>NOT(ISERROR(SEARCH("欠",R438)))</formula>
    </cfRule>
  </conditionalFormatting>
  <conditionalFormatting sqref="R438:V438">
    <cfRule type="cellIs" dxfId="0" priority="8992" operator="equal">
      <formula>"欠"</formula>
    </cfRule>
  </conditionalFormatting>
  <conditionalFormatting sqref="T438:U438">
    <cfRule type="containsText" dxfId="0" priority="8963" operator="between" text="欠">
      <formula>NOT(ISERROR(SEARCH("欠",T438)))</formula>
    </cfRule>
  </conditionalFormatting>
  <conditionalFormatting sqref="W438">
    <cfRule type="cellIs" dxfId="0" priority="9021" operator="equal">
      <formula>"欠"</formula>
    </cfRule>
  </conditionalFormatting>
  <conditionalFormatting sqref="AG438">
    <cfRule type="cellIs" dxfId="0" priority="9050" operator="equal">
      <formula>"未完成"</formula>
    </cfRule>
  </conditionalFormatting>
  <conditionalFormatting sqref="AH438">
    <cfRule type="cellIs" dxfId="0" priority="7148" operator="equal">
      <formula>"未完成"</formula>
    </cfRule>
  </conditionalFormatting>
  <conditionalFormatting sqref="AL438:AM438">
    <cfRule type="cellIs" dxfId="1" priority="9079" operator="equal">
      <formula>"未完成"</formula>
    </cfRule>
    <cfRule type="cellIs" dxfId="0" priority="9108" operator="equal">
      <formula>"未完成"</formula>
    </cfRule>
  </conditionalFormatting>
  <conditionalFormatting sqref="R439">
    <cfRule type="containsText" dxfId="0" priority="8948" operator="between" text="欠">
      <formula>NOT(ISERROR(SEARCH("欠",R439)))</formula>
    </cfRule>
  </conditionalFormatting>
  <conditionalFormatting sqref="R439:V439">
    <cfRule type="cellIs" dxfId="0" priority="9006" operator="equal">
      <formula>"欠"</formula>
    </cfRule>
  </conditionalFormatting>
  <conditionalFormatting sqref="T439:U439">
    <cfRule type="containsText" dxfId="0" priority="8977" operator="between" text="欠">
      <formula>NOT(ISERROR(SEARCH("欠",T439)))</formula>
    </cfRule>
  </conditionalFormatting>
  <conditionalFormatting sqref="W439">
    <cfRule type="cellIs" dxfId="0" priority="9035" operator="equal">
      <formula>"欠"</formula>
    </cfRule>
  </conditionalFormatting>
  <conditionalFormatting sqref="AG439">
    <cfRule type="cellIs" dxfId="0" priority="9064" operator="equal">
      <formula>"未完成"</formula>
    </cfRule>
  </conditionalFormatting>
  <conditionalFormatting sqref="AH439">
    <cfRule type="cellIs" dxfId="0" priority="7162" operator="equal">
      <formula>"未完成"</formula>
    </cfRule>
  </conditionalFormatting>
  <conditionalFormatting sqref="AL439:AM439">
    <cfRule type="cellIs" dxfId="1" priority="9093" operator="equal">
      <formula>"未完成"</formula>
    </cfRule>
    <cfRule type="cellIs" dxfId="0" priority="9122" operator="equal">
      <formula>"未完成"</formula>
    </cfRule>
  </conditionalFormatting>
  <conditionalFormatting sqref="W440">
    <cfRule type="cellIs" dxfId="0" priority="9017" operator="equal">
      <formula>"欠"</formula>
    </cfRule>
  </conditionalFormatting>
  <conditionalFormatting sqref="AG440">
    <cfRule type="cellIs" dxfId="0" priority="9046" operator="equal">
      <formula>"未完成"</formula>
    </cfRule>
  </conditionalFormatting>
  <conditionalFormatting sqref="AH440">
    <cfRule type="cellIs" dxfId="0" priority="7144" operator="equal">
      <formula>"未完成"</formula>
    </cfRule>
  </conditionalFormatting>
  <conditionalFormatting sqref="AL440:AM440">
    <cfRule type="cellIs" dxfId="1" priority="9075" operator="equal">
      <formula>"未完成"</formula>
    </cfRule>
    <cfRule type="cellIs" dxfId="0" priority="9104" operator="equal">
      <formula>"未完成"</formula>
    </cfRule>
  </conditionalFormatting>
  <conditionalFormatting sqref="W441">
    <cfRule type="cellIs" dxfId="0" priority="9016" operator="equal">
      <formula>"欠"</formula>
    </cfRule>
  </conditionalFormatting>
  <conditionalFormatting sqref="AG441">
    <cfRule type="cellIs" dxfId="0" priority="9045" operator="equal">
      <formula>"未完成"</formula>
    </cfRule>
  </conditionalFormatting>
  <conditionalFormatting sqref="AH441">
    <cfRule type="cellIs" dxfId="0" priority="7143" operator="equal">
      <formula>"未完成"</formula>
    </cfRule>
  </conditionalFormatting>
  <conditionalFormatting sqref="AL441:AM441">
    <cfRule type="cellIs" dxfId="1" priority="9074" operator="equal">
      <formula>"未完成"</formula>
    </cfRule>
    <cfRule type="cellIs" dxfId="0" priority="9103" operator="equal">
      <formula>"未完成"</formula>
    </cfRule>
  </conditionalFormatting>
  <conditionalFormatting sqref="R442">
    <cfRule type="containsText" dxfId="0" priority="8937" operator="between" text="欠">
      <formula>NOT(ISERROR(SEARCH("欠",R442)))</formula>
    </cfRule>
  </conditionalFormatting>
  <conditionalFormatting sqref="R442:V442">
    <cfRule type="cellIs" dxfId="0" priority="8995" operator="equal">
      <formula>"欠"</formula>
    </cfRule>
  </conditionalFormatting>
  <conditionalFormatting sqref="T442:U442">
    <cfRule type="containsText" dxfId="0" priority="8966" operator="between" text="欠">
      <formula>NOT(ISERROR(SEARCH("欠",T442)))</formula>
    </cfRule>
  </conditionalFormatting>
  <conditionalFormatting sqref="W442">
    <cfRule type="cellIs" dxfId="0" priority="9024" operator="equal">
      <formula>"欠"</formula>
    </cfRule>
  </conditionalFormatting>
  <conditionalFormatting sqref="AG442">
    <cfRule type="cellIs" dxfId="0" priority="9053" operator="equal">
      <formula>"未完成"</formula>
    </cfRule>
  </conditionalFormatting>
  <conditionalFormatting sqref="AH442">
    <cfRule type="cellIs" dxfId="0" priority="7151" operator="equal">
      <formula>"未完成"</formula>
    </cfRule>
  </conditionalFormatting>
  <conditionalFormatting sqref="AL442:AM442">
    <cfRule type="cellIs" dxfId="1" priority="9082" operator="equal">
      <formula>"未完成"</formula>
    </cfRule>
    <cfRule type="cellIs" dxfId="0" priority="9111" operator="equal">
      <formula>"未完成"</formula>
    </cfRule>
  </conditionalFormatting>
  <conditionalFormatting sqref="R443">
    <cfRule type="containsText" dxfId="0" priority="8932" operator="between" text="欠">
      <formula>NOT(ISERROR(SEARCH("欠",R443)))</formula>
    </cfRule>
  </conditionalFormatting>
  <conditionalFormatting sqref="R443:V443">
    <cfRule type="cellIs" dxfId="0" priority="8990" operator="equal">
      <formula>"欠"</formula>
    </cfRule>
  </conditionalFormatting>
  <conditionalFormatting sqref="T443:U443">
    <cfRule type="containsText" dxfId="0" priority="8961" operator="between" text="欠">
      <formula>NOT(ISERROR(SEARCH("欠",T443)))</formula>
    </cfRule>
  </conditionalFormatting>
  <conditionalFormatting sqref="W443">
    <cfRule type="cellIs" dxfId="0" priority="9019" operator="equal">
      <formula>"欠"</formula>
    </cfRule>
  </conditionalFormatting>
  <conditionalFormatting sqref="AG443">
    <cfRule type="cellIs" dxfId="0" priority="9048" operator="equal">
      <formula>"未完成"</formula>
    </cfRule>
  </conditionalFormatting>
  <conditionalFormatting sqref="AH443">
    <cfRule type="cellIs" dxfId="0" priority="7146" operator="equal">
      <formula>"未完成"</formula>
    </cfRule>
  </conditionalFormatting>
  <conditionalFormatting sqref="AL443:AM443">
    <cfRule type="cellIs" dxfId="1" priority="9077" operator="equal">
      <formula>"未完成"</formula>
    </cfRule>
    <cfRule type="cellIs" dxfId="0" priority="9106" operator="equal">
      <formula>"未完成"</formula>
    </cfRule>
  </conditionalFormatting>
  <conditionalFormatting sqref="R444">
    <cfRule type="containsText" dxfId="0" priority="8933" operator="between" text="欠">
      <formula>NOT(ISERROR(SEARCH("欠",R444)))</formula>
    </cfRule>
  </conditionalFormatting>
  <conditionalFormatting sqref="R444:V444">
    <cfRule type="cellIs" dxfId="0" priority="8991" operator="equal">
      <formula>"欠"</formula>
    </cfRule>
  </conditionalFormatting>
  <conditionalFormatting sqref="T444:U444">
    <cfRule type="containsText" dxfId="0" priority="8962" operator="between" text="欠">
      <formula>NOT(ISERROR(SEARCH("欠",T444)))</formula>
    </cfRule>
  </conditionalFormatting>
  <conditionalFormatting sqref="W444">
    <cfRule type="cellIs" dxfId="0" priority="9020" operator="equal">
      <formula>"欠"</formula>
    </cfRule>
  </conditionalFormatting>
  <conditionalFormatting sqref="AG444">
    <cfRule type="cellIs" dxfId="0" priority="9049" operator="equal">
      <formula>"未完成"</formula>
    </cfRule>
  </conditionalFormatting>
  <conditionalFormatting sqref="AH444">
    <cfRule type="cellIs" dxfId="0" priority="7147" operator="equal">
      <formula>"未完成"</formula>
    </cfRule>
  </conditionalFormatting>
  <conditionalFormatting sqref="AL444:AM444">
    <cfRule type="cellIs" dxfId="1" priority="9078" operator="equal">
      <formula>"未完成"</formula>
    </cfRule>
    <cfRule type="cellIs" dxfId="0" priority="9107" operator="equal">
      <formula>"未完成"</formula>
    </cfRule>
  </conditionalFormatting>
  <conditionalFormatting sqref="R445">
    <cfRule type="containsText" dxfId="0" priority="8928" operator="between" text="欠">
      <formula>NOT(ISERROR(SEARCH("欠",R445)))</formula>
    </cfRule>
  </conditionalFormatting>
  <conditionalFormatting sqref="R445:V445">
    <cfRule type="cellIs" dxfId="0" priority="8986" operator="equal">
      <formula>"欠"</formula>
    </cfRule>
  </conditionalFormatting>
  <conditionalFormatting sqref="T445:U445">
    <cfRule type="containsText" dxfId="0" priority="8957" operator="between" text="欠">
      <formula>NOT(ISERROR(SEARCH("欠",T445)))</formula>
    </cfRule>
  </conditionalFormatting>
  <conditionalFormatting sqref="W445">
    <cfRule type="cellIs" dxfId="0" priority="9015" operator="equal">
      <formula>"欠"</formula>
    </cfRule>
  </conditionalFormatting>
  <conditionalFormatting sqref="AG445">
    <cfRule type="cellIs" dxfId="0" priority="9044" operator="equal">
      <formula>"未完成"</formula>
    </cfRule>
  </conditionalFormatting>
  <conditionalFormatting sqref="AH445">
    <cfRule type="cellIs" dxfId="0" priority="7142" operator="equal">
      <formula>"未完成"</formula>
    </cfRule>
  </conditionalFormatting>
  <conditionalFormatting sqref="AL445:AM445">
    <cfRule type="cellIs" dxfId="1" priority="9073" operator="equal">
      <formula>"未完成"</formula>
    </cfRule>
    <cfRule type="cellIs" dxfId="0" priority="9102" operator="equal">
      <formula>"未完成"</formula>
    </cfRule>
  </conditionalFormatting>
  <conditionalFormatting sqref="R446">
    <cfRule type="containsText" dxfId="0" priority="8927" operator="between" text="欠">
      <formula>NOT(ISERROR(SEARCH("欠",R446)))</formula>
    </cfRule>
  </conditionalFormatting>
  <conditionalFormatting sqref="R446:V446">
    <cfRule type="cellIs" dxfId="0" priority="8985" operator="equal">
      <formula>"欠"</formula>
    </cfRule>
  </conditionalFormatting>
  <conditionalFormatting sqref="T446:U446">
    <cfRule type="containsText" dxfId="0" priority="8956" operator="between" text="欠">
      <formula>NOT(ISERROR(SEARCH("欠",T446)))</formula>
    </cfRule>
  </conditionalFormatting>
  <conditionalFormatting sqref="W446">
    <cfRule type="cellIs" dxfId="0" priority="9014" operator="equal">
      <formula>"欠"</formula>
    </cfRule>
  </conditionalFormatting>
  <conditionalFormatting sqref="AG446">
    <cfRule type="cellIs" dxfId="0" priority="9043" operator="equal">
      <formula>"未完成"</formula>
    </cfRule>
  </conditionalFormatting>
  <conditionalFormatting sqref="AH446">
    <cfRule type="cellIs" dxfId="0" priority="7141" operator="equal">
      <formula>"未完成"</formula>
    </cfRule>
  </conditionalFormatting>
  <conditionalFormatting sqref="AL446:AM446">
    <cfRule type="cellIs" dxfId="1" priority="9072" operator="equal">
      <formula>"未完成"</formula>
    </cfRule>
    <cfRule type="cellIs" dxfId="0" priority="9101" operator="equal">
      <formula>"未完成"</formula>
    </cfRule>
  </conditionalFormatting>
  <conditionalFormatting sqref="R447">
    <cfRule type="containsText" dxfId="0" priority="8926" operator="between" text="欠">
      <formula>NOT(ISERROR(SEARCH("欠",R447)))</formula>
    </cfRule>
  </conditionalFormatting>
  <conditionalFormatting sqref="R447:V447">
    <cfRule type="cellIs" dxfId="0" priority="8984" operator="equal">
      <formula>"欠"</formula>
    </cfRule>
  </conditionalFormatting>
  <conditionalFormatting sqref="T447:U447">
    <cfRule type="containsText" dxfId="0" priority="8955" operator="between" text="欠">
      <formula>NOT(ISERROR(SEARCH("欠",T447)))</formula>
    </cfRule>
  </conditionalFormatting>
  <conditionalFormatting sqref="W447">
    <cfRule type="cellIs" dxfId="0" priority="9013" operator="equal">
      <formula>"欠"</formula>
    </cfRule>
  </conditionalFormatting>
  <conditionalFormatting sqref="AG447">
    <cfRule type="cellIs" dxfId="0" priority="9042" operator="equal">
      <formula>"未完成"</formula>
    </cfRule>
  </conditionalFormatting>
  <conditionalFormatting sqref="AH447">
    <cfRule type="cellIs" dxfId="0" priority="7140" operator="equal">
      <formula>"未完成"</formula>
    </cfRule>
  </conditionalFormatting>
  <conditionalFormatting sqref="AL447:AM447">
    <cfRule type="cellIs" dxfId="1" priority="9071" operator="equal">
      <formula>"未完成"</formula>
    </cfRule>
    <cfRule type="cellIs" dxfId="0" priority="9100" operator="equal">
      <formula>"未完成"</formula>
    </cfRule>
  </conditionalFormatting>
  <conditionalFormatting sqref="R448">
    <cfRule type="containsText" dxfId="0" priority="8925" operator="between" text="欠">
      <formula>NOT(ISERROR(SEARCH("欠",R448)))</formula>
    </cfRule>
  </conditionalFormatting>
  <conditionalFormatting sqref="R448:V448">
    <cfRule type="cellIs" dxfId="0" priority="8983" operator="equal">
      <formula>"欠"</formula>
    </cfRule>
  </conditionalFormatting>
  <conditionalFormatting sqref="T448:U448">
    <cfRule type="containsText" dxfId="0" priority="8954" operator="between" text="欠">
      <formula>NOT(ISERROR(SEARCH("欠",T448)))</formula>
    </cfRule>
  </conditionalFormatting>
  <conditionalFormatting sqref="W448">
    <cfRule type="cellIs" dxfId="0" priority="9012" operator="equal">
      <formula>"欠"</formula>
    </cfRule>
  </conditionalFormatting>
  <conditionalFormatting sqref="AG448">
    <cfRule type="cellIs" dxfId="0" priority="9041" operator="equal">
      <formula>"未完成"</formula>
    </cfRule>
  </conditionalFormatting>
  <conditionalFormatting sqref="AH448">
    <cfRule type="cellIs" dxfId="0" priority="7139" operator="equal">
      <formula>"未完成"</formula>
    </cfRule>
  </conditionalFormatting>
  <conditionalFormatting sqref="AL448:AM448">
    <cfRule type="cellIs" dxfId="1" priority="9070" operator="equal">
      <formula>"未完成"</formula>
    </cfRule>
    <cfRule type="cellIs" dxfId="0" priority="9099" operator="equal">
      <formula>"未完成"</formula>
    </cfRule>
  </conditionalFormatting>
  <conditionalFormatting sqref="R449">
    <cfRule type="containsText" dxfId="0" priority="8924" operator="between" text="欠">
      <formula>NOT(ISERROR(SEARCH("欠",R449)))</formula>
    </cfRule>
  </conditionalFormatting>
  <conditionalFormatting sqref="R449:V449">
    <cfRule type="cellIs" dxfId="0" priority="8982" operator="equal">
      <formula>"欠"</formula>
    </cfRule>
  </conditionalFormatting>
  <conditionalFormatting sqref="T449:U449">
    <cfRule type="containsText" dxfId="0" priority="8953" operator="between" text="欠">
      <formula>NOT(ISERROR(SEARCH("欠",T449)))</formula>
    </cfRule>
  </conditionalFormatting>
  <conditionalFormatting sqref="W449">
    <cfRule type="cellIs" dxfId="0" priority="9011" operator="equal">
      <formula>"欠"</formula>
    </cfRule>
  </conditionalFormatting>
  <conditionalFormatting sqref="AG449">
    <cfRule type="cellIs" dxfId="0" priority="9040" operator="equal">
      <formula>"未完成"</formula>
    </cfRule>
  </conditionalFormatting>
  <conditionalFormatting sqref="AH449">
    <cfRule type="cellIs" dxfId="0" priority="7138" operator="equal">
      <formula>"未完成"</formula>
    </cfRule>
  </conditionalFormatting>
  <conditionalFormatting sqref="AL449:AM449">
    <cfRule type="cellIs" dxfId="1" priority="9069" operator="equal">
      <formula>"未完成"</formula>
    </cfRule>
    <cfRule type="cellIs" dxfId="0" priority="9098" operator="equal">
      <formula>"未完成"</formula>
    </cfRule>
  </conditionalFormatting>
  <conditionalFormatting sqref="R450">
    <cfRule type="containsText" dxfId="0" priority="8923" operator="between" text="欠">
      <formula>NOT(ISERROR(SEARCH("欠",R450)))</formula>
    </cfRule>
  </conditionalFormatting>
  <conditionalFormatting sqref="R450:V450">
    <cfRule type="cellIs" dxfId="0" priority="8981" operator="equal">
      <formula>"欠"</formula>
    </cfRule>
  </conditionalFormatting>
  <conditionalFormatting sqref="T450:U450">
    <cfRule type="containsText" dxfId="0" priority="8952" operator="between" text="欠">
      <formula>NOT(ISERROR(SEARCH("欠",T450)))</formula>
    </cfRule>
  </conditionalFormatting>
  <conditionalFormatting sqref="W450">
    <cfRule type="cellIs" dxfId="0" priority="9010" operator="equal">
      <formula>"欠"</formula>
    </cfRule>
  </conditionalFormatting>
  <conditionalFormatting sqref="AG450">
    <cfRule type="cellIs" dxfId="0" priority="9039" operator="equal">
      <formula>"未完成"</formula>
    </cfRule>
  </conditionalFormatting>
  <conditionalFormatting sqref="AH450">
    <cfRule type="cellIs" dxfId="0" priority="7137" operator="equal">
      <formula>"未完成"</formula>
    </cfRule>
  </conditionalFormatting>
  <conditionalFormatting sqref="AL450:AM450">
    <cfRule type="cellIs" dxfId="1" priority="9068" operator="equal">
      <formula>"未完成"</formula>
    </cfRule>
    <cfRule type="cellIs" dxfId="0" priority="9097" operator="equal">
      <formula>"未完成"</formula>
    </cfRule>
  </conditionalFormatting>
  <conditionalFormatting sqref="T451:U451">
    <cfRule type="cellIs" dxfId="0" priority="9625" operator="equal">
      <formula>"欠"</formula>
    </cfRule>
  </conditionalFormatting>
  <conditionalFormatting sqref="Q452">
    <cfRule type="cellIs" dxfId="0" priority="9384" operator="equal">
      <formula>"欠"</formula>
    </cfRule>
  </conditionalFormatting>
  <conditionalFormatting sqref="R452">
    <cfRule type="cellIs" dxfId="0" priority="9383" operator="equal">
      <formula>"欠"</formula>
    </cfRule>
  </conditionalFormatting>
  <conditionalFormatting sqref="AK452">
    <cfRule type="cellIs" dxfId="1" priority="9381" operator="equal">
      <formula>"未完成"</formula>
    </cfRule>
    <cfRule type="cellIs" dxfId="0" priority="9382" operator="equal">
      <formula>"未完成"</formula>
    </cfRule>
  </conditionalFormatting>
  <conditionalFormatting sqref="AL452">
    <cfRule type="cellIs" dxfId="0" priority="9380" operator="equal">
      <formula>"欠"</formula>
    </cfRule>
  </conditionalFormatting>
  <conditionalFormatting sqref="R453">
    <cfRule type="cellIs" dxfId="0" priority="9374" operator="equal">
      <formula>"欠"</formula>
    </cfRule>
  </conditionalFormatting>
  <conditionalFormatting sqref="S453">
    <cfRule type="containsText" dxfId="0" priority="9369" operator="between" text="欠">
      <formula>NOT(ISERROR(SEARCH("欠",S453)))</formula>
    </cfRule>
    <cfRule type="cellIs" dxfId="0" priority="9370" operator="equal">
      <formula>"欠"</formula>
    </cfRule>
  </conditionalFormatting>
  <conditionalFormatting sqref="T453:U453">
    <cfRule type="containsText" dxfId="0" priority="9367" operator="between" text="欠">
      <formula>NOT(ISERROR(SEARCH("欠",T453)))</formula>
    </cfRule>
    <cfRule type="cellIs" dxfId="0" priority="9368" operator="equal">
      <formula>"欠"</formula>
    </cfRule>
  </conditionalFormatting>
  <conditionalFormatting sqref="Q454">
    <cfRule type="cellIs" dxfId="0" priority="9366" operator="equal">
      <formula>"欠"</formula>
    </cfRule>
  </conditionalFormatting>
  <conditionalFormatting sqref="AK454">
    <cfRule type="cellIs" dxfId="1" priority="9363" operator="equal">
      <formula>"未完成"</formula>
    </cfRule>
    <cfRule type="cellIs" dxfId="0" priority="9364" operator="equal">
      <formula>"未完成"</formula>
    </cfRule>
  </conditionalFormatting>
  <conditionalFormatting sqref="AL454">
    <cfRule type="cellIs" dxfId="0" priority="9362" operator="equal">
      <formula>"欠"</formula>
    </cfRule>
  </conditionalFormatting>
  <conditionalFormatting sqref="AE459">
    <cfRule type="cellIs" dxfId="0" priority="9782" operator="equal">
      <formula>"未完成"</formula>
    </cfRule>
  </conditionalFormatting>
  <conditionalFormatting sqref="Q464">
    <cfRule type="cellIs" dxfId="0" priority="9357" operator="equal">
      <formula>"欠"</formula>
    </cfRule>
  </conditionalFormatting>
  <conditionalFormatting sqref="R464">
    <cfRule type="cellIs" dxfId="0" priority="9356" operator="equal">
      <formula>"欠"</formula>
    </cfRule>
  </conditionalFormatting>
  <conditionalFormatting sqref="T464:U464">
    <cfRule type="containsText" dxfId="0" priority="9349" operator="between" text="欠">
      <formula>NOT(ISERROR(SEARCH("欠",T464)))</formula>
    </cfRule>
    <cfRule type="cellIs" dxfId="0" priority="9350" operator="equal">
      <formula>"欠"</formula>
    </cfRule>
  </conditionalFormatting>
  <conditionalFormatting sqref="AK464">
    <cfRule type="cellIs" dxfId="1" priority="9354" operator="equal">
      <formula>"未完成"</formula>
    </cfRule>
    <cfRule type="cellIs" dxfId="0" priority="9355" operator="equal">
      <formula>"未完成"</formula>
    </cfRule>
  </conditionalFormatting>
  <conditionalFormatting sqref="AL464">
    <cfRule type="cellIs" dxfId="0" priority="9353" operator="equal">
      <formula>"欠"</formula>
    </cfRule>
  </conditionalFormatting>
  <conditionalFormatting sqref="Q469">
    <cfRule type="cellIs" dxfId="0" priority="9805" operator="equal">
      <formula>"欠"</formula>
    </cfRule>
  </conditionalFormatting>
  <conditionalFormatting sqref="S469">
    <cfRule type="containsText" dxfId="0" priority="9757" operator="between" text="欠">
      <formula>NOT(ISERROR(SEARCH("欠",S469)))</formula>
    </cfRule>
    <cfRule type="cellIs" dxfId="0" priority="9763" operator="equal">
      <formula>"欠"</formula>
    </cfRule>
  </conditionalFormatting>
  <conditionalFormatting sqref="T469:U469">
    <cfRule type="cellIs" dxfId="0" priority="9775" operator="equal">
      <formula>"欠"</formula>
    </cfRule>
  </conditionalFormatting>
  <conditionalFormatting sqref="AK469">
    <cfRule type="cellIs" dxfId="1" priority="9787" operator="equal">
      <formula>"未完成"</formula>
    </cfRule>
    <cfRule type="cellIs" dxfId="0" priority="9793" operator="equal">
      <formula>"未完成"</formula>
    </cfRule>
  </conditionalFormatting>
  <conditionalFormatting sqref="AL469">
    <cfRule type="cellIs" dxfId="0" priority="9769" operator="equal">
      <formula>"欠"</formula>
    </cfRule>
  </conditionalFormatting>
  <conditionalFormatting sqref="Q470">
    <cfRule type="cellIs" dxfId="0" priority="9804" operator="equal">
      <formula>"欠"</formula>
    </cfRule>
  </conditionalFormatting>
  <conditionalFormatting sqref="S470">
    <cfRule type="containsText" dxfId="0" priority="9756" operator="between" text="欠">
      <formula>NOT(ISERROR(SEARCH("欠",S470)))</formula>
    </cfRule>
    <cfRule type="cellIs" dxfId="0" priority="9762" operator="equal">
      <formula>"欠"</formula>
    </cfRule>
  </conditionalFormatting>
  <conditionalFormatting sqref="T470:U470">
    <cfRule type="cellIs" dxfId="0" priority="9774" operator="equal">
      <formula>"欠"</formula>
    </cfRule>
  </conditionalFormatting>
  <conditionalFormatting sqref="AK470">
    <cfRule type="cellIs" dxfId="1" priority="9786" operator="equal">
      <formula>"未完成"</formula>
    </cfRule>
    <cfRule type="cellIs" dxfId="0" priority="9792" operator="equal">
      <formula>"未完成"</formula>
    </cfRule>
  </conditionalFormatting>
  <conditionalFormatting sqref="AL470">
    <cfRule type="cellIs" dxfId="0" priority="9768" operator="equal">
      <formula>"欠"</formula>
    </cfRule>
  </conditionalFormatting>
  <conditionalFormatting sqref="Q471">
    <cfRule type="cellIs" dxfId="0" priority="9803" operator="equal">
      <formula>"欠"</formula>
    </cfRule>
  </conditionalFormatting>
  <conditionalFormatting sqref="S471">
    <cfRule type="containsText" dxfId="0" priority="9755" operator="between" text="欠">
      <formula>NOT(ISERROR(SEARCH("欠",S471)))</formula>
    </cfRule>
    <cfRule type="cellIs" dxfId="0" priority="9761" operator="equal">
      <formula>"欠"</formula>
    </cfRule>
  </conditionalFormatting>
  <conditionalFormatting sqref="T471:U471">
    <cfRule type="cellIs" dxfId="0" priority="9773" operator="equal">
      <formula>"欠"</formula>
    </cfRule>
  </conditionalFormatting>
  <conditionalFormatting sqref="AK471">
    <cfRule type="cellIs" dxfId="1" priority="9785" operator="equal">
      <formula>"未完成"</formula>
    </cfRule>
    <cfRule type="cellIs" dxfId="0" priority="9791" operator="equal">
      <formula>"未完成"</formula>
    </cfRule>
  </conditionalFormatting>
  <conditionalFormatting sqref="AL471">
    <cfRule type="cellIs" dxfId="0" priority="9767" operator="equal">
      <formula>"欠"</formula>
    </cfRule>
  </conditionalFormatting>
  <conditionalFormatting sqref="Q474">
    <cfRule type="cellIs" dxfId="0" priority="9185" operator="equal">
      <formula>"欠"</formula>
    </cfRule>
  </conditionalFormatting>
  <conditionalFormatting sqref="R474">
    <cfRule type="containsText" dxfId="0" priority="9177" operator="between" text="欠">
      <formula>NOT(ISERROR(SEARCH("欠",R474)))</formula>
    </cfRule>
    <cfRule type="cellIs" dxfId="0" priority="9184" operator="equal">
      <formula>"欠"</formula>
    </cfRule>
  </conditionalFormatting>
  <conditionalFormatting sqref="T474:U474">
    <cfRule type="containsText" dxfId="0" priority="9178" operator="between" text="欠">
      <formula>NOT(ISERROR(SEARCH("欠",T474)))</formula>
    </cfRule>
    <cfRule type="containsText" dxfId="2" priority="9179" operator="between" text="欠">
      <formula>NOT(ISERROR(SEARCH("欠",T474)))</formula>
    </cfRule>
    <cfRule type="cellIs" dxfId="0" priority="9180" operator="equal">
      <formula>"欠"</formula>
    </cfRule>
  </conditionalFormatting>
  <conditionalFormatting sqref="AK474">
    <cfRule type="cellIs" dxfId="1" priority="9182" operator="equal">
      <formula>"未完成"</formula>
    </cfRule>
    <cfRule type="cellIs" dxfId="0" priority="9183" operator="equal">
      <formula>"未完成"</formula>
    </cfRule>
  </conditionalFormatting>
  <conditionalFormatting sqref="AL474">
    <cfRule type="cellIs" dxfId="0" priority="9181" operator="equal">
      <formula>"欠"</formula>
    </cfRule>
  </conditionalFormatting>
  <conditionalFormatting sqref="Q475">
    <cfRule type="cellIs" dxfId="0" priority="8705" operator="equal">
      <formula>"欠"</formula>
    </cfRule>
  </conditionalFormatting>
  <conditionalFormatting sqref="R475">
    <cfRule type="containsText" dxfId="0" priority="8696" operator="between" text="欠">
      <formula>NOT(ISERROR(SEARCH("欠",R475)))</formula>
    </cfRule>
    <cfRule type="cellIs" dxfId="0" priority="8698" operator="equal">
      <formula>"欠"</formula>
    </cfRule>
  </conditionalFormatting>
  <conditionalFormatting sqref="T475:U475">
    <cfRule type="containsText" dxfId="0" priority="8697" operator="between" text="欠">
      <formula>NOT(ISERROR(SEARCH("欠",T475)))</formula>
    </cfRule>
    <cfRule type="cellIs" dxfId="0" priority="8702" operator="equal">
      <formula>"欠"</formula>
    </cfRule>
  </conditionalFormatting>
  <conditionalFormatting sqref="AK475">
    <cfRule type="cellIs" dxfId="1" priority="8703" operator="equal">
      <formula>"未完成"</formula>
    </cfRule>
    <cfRule type="cellIs" dxfId="0" priority="8704" operator="equal">
      <formula>"未完成"</formula>
    </cfRule>
  </conditionalFormatting>
  <conditionalFormatting sqref="AL475">
    <cfRule type="cellIs" dxfId="0" priority="8701" operator="equal">
      <formula>"欠"</formula>
    </cfRule>
  </conditionalFormatting>
  <conditionalFormatting sqref="Q476">
    <cfRule type="cellIs" dxfId="0" priority="9802" operator="equal">
      <formula>"欠"</formula>
    </cfRule>
  </conditionalFormatting>
  <conditionalFormatting sqref="S476">
    <cfRule type="containsText" dxfId="0" priority="9754" operator="between" text="欠">
      <formula>NOT(ISERROR(SEARCH("欠",S476)))</formula>
    </cfRule>
    <cfRule type="cellIs" dxfId="0" priority="9760" operator="equal">
      <formula>"欠"</formula>
    </cfRule>
  </conditionalFormatting>
  <conditionalFormatting sqref="AK476">
    <cfRule type="cellIs" dxfId="1" priority="9784" operator="equal">
      <formula>"未完成"</formula>
    </cfRule>
    <cfRule type="cellIs" dxfId="0" priority="9790" operator="equal">
      <formula>"未完成"</formula>
    </cfRule>
  </conditionalFormatting>
  <conditionalFormatting sqref="AL476">
    <cfRule type="cellIs" dxfId="0" priority="9766" operator="equal">
      <formula>"欠"</formula>
    </cfRule>
  </conditionalFormatting>
  <conditionalFormatting sqref="S477">
    <cfRule type="containsText" dxfId="0" priority="9753" operator="between" text="欠">
      <formula>NOT(ISERROR(SEARCH("欠",S477)))</formula>
    </cfRule>
    <cfRule type="cellIs" dxfId="0" priority="9759" operator="equal">
      <formula>"欠"</formula>
    </cfRule>
  </conditionalFormatting>
  <conditionalFormatting sqref="R478">
    <cfRule type="cellIs" dxfId="0" priority="9628" operator="equal">
      <formula>"欠"</formula>
    </cfRule>
  </conditionalFormatting>
  <conditionalFormatting sqref="T478:U478">
    <cfRule type="cellIs" dxfId="0" priority="9771" operator="equal">
      <formula>"欠"</formula>
    </cfRule>
  </conditionalFormatting>
  <conditionalFormatting sqref="Q479">
    <cfRule type="cellIs" dxfId="0" priority="9612" operator="equal">
      <formula>"欠"</formula>
    </cfRule>
  </conditionalFormatting>
  <conditionalFormatting sqref="R479">
    <cfRule type="cellIs" dxfId="0" priority="9402" operator="equal">
      <formula>"欠"</formula>
    </cfRule>
  </conditionalFormatting>
  <conditionalFormatting sqref="T479:U479">
    <cfRule type="cellIs" dxfId="0" priority="9608" operator="equal">
      <formula>"欠"</formula>
    </cfRule>
  </conditionalFormatting>
  <conditionalFormatting sqref="AK479">
    <cfRule type="cellIs" dxfId="1" priority="9609" operator="equal">
      <formula>"未完成"</formula>
    </cfRule>
    <cfRule type="cellIs" dxfId="0" priority="9610" operator="equal">
      <formula>"未完成"</formula>
    </cfRule>
  </conditionalFormatting>
  <conditionalFormatting sqref="AL479">
    <cfRule type="cellIs" dxfId="0" priority="9607" operator="equal">
      <formula>"欠"</formula>
    </cfRule>
  </conditionalFormatting>
  <conditionalFormatting sqref="R487">
    <cfRule type="cellIs" dxfId="0" priority="8902" operator="equal">
      <formula>"欠"</formula>
    </cfRule>
  </conditionalFormatting>
  <conditionalFormatting sqref="S487">
    <cfRule type="cellIs" dxfId="0" priority="9400" operator="equal">
      <formula>"欠"</formula>
    </cfRule>
  </conditionalFormatting>
  <conditionalFormatting sqref="S488">
    <cfRule type="cellIs" dxfId="0" priority="9165" operator="equal">
      <formula>"欠"</formula>
    </cfRule>
  </conditionalFormatting>
  <conditionalFormatting sqref="Q491">
    <cfRule type="cellIs" dxfId="0" priority="9175" operator="equal">
      <formula>"欠"</formula>
    </cfRule>
  </conditionalFormatting>
  <conditionalFormatting sqref="T491:U491">
    <cfRule type="containsText" dxfId="0" priority="9168" operator="between" text="欠">
      <formula>NOT(ISERROR(SEARCH("欠",T491)))</formula>
    </cfRule>
    <cfRule type="containsText" dxfId="2" priority="9169" operator="between" text="欠">
      <formula>NOT(ISERROR(SEARCH("欠",T491)))</formula>
    </cfRule>
    <cfRule type="cellIs" dxfId="0" priority="9170" operator="equal">
      <formula>"欠"</formula>
    </cfRule>
  </conditionalFormatting>
  <conditionalFormatting sqref="AK491">
    <cfRule type="cellIs" dxfId="1" priority="9172" operator="equal">
      <formula>"未完成"</formula>
    </cfRule>
    <cfRule type="cellIs" dxfId="0" priority="9173" operator="equal">
      <formula>"未完成"</formula>
    </cfRule>
  </conditionalFormatting>
  <conditionalFormatting sqref="AL491">
    <cfRule type="cellIs" dxfId="0" priority="9171" operator="equal">
      <formula>"欠"</formula>
    </cfRule>
  </conditionalFormatting>
  <conditionalFormatting sqref="Q505">
    <cfRule type="cellIs" dxfId="0" priority="9150" operator="equal">
      <formula>"欠"</formula>
    </cfRule>
  </conditionalFormatting>
  <conditionalFormatting sqref="R505">
    <cfRule type="containsText" dxfId="0" priority="9143" operator="between" text="欠">
      <formula>NOT(ISERROR(SEARCH("欠",R505)))</formula>
    </cfRule>
  </conditionalFormatting>
  <conditionalFormatting sqref="T505:U505">
    <cfRule type="containsText" dxfId="0" priority="9144" operator="between" text="欠">
      <formula>NOT(ISERROR(SEARCH("欠",T505)))</formula>
    </cfRule>
  </conditionalFormatting>
  <conditionalFormatting sqref="V505">
    <cfRule type="cellIs" dxfId="0" priority="9145" operator="equal">
      <formula>"欠"</formula>
    </cfRule>
  </conditionalFormatting>
  <conditionalFormatting sqref="AK505">
    <cfRule type="cellIs" dxfId="1" priority="9148" operator="equal">
      <formula>"未完成"</formula>
    </cfRule>
    <cfRule type="cellIs" dxfId="0" priority="9149" operator="equal">
      <formula>"未完成"</formula>
    </cfRule>
  </conditionalFormatting>
  <conditionalFormatting sqref="AL505">
    <cfRule type="cellIs" dxfId="0" priority="9147" operator="equal">
      <formula>"欠"</formula>
    </cfRule>
  </conditionalFormatting>
  <conditionalFormatting sqref="Q506">
    <cfRule type="cellIs" dxfId="0" priority="9142" operator="equal">
      <formula>"欠"</formula>
    </cfRule>
  </conditionalFormatting>
  <conditionalFormatting sqref="R506">
    <cfRule type="containsText" dxfId="0" priority="9135" operator="between" text="欠">
      <formula>NOT(ISERROR(SEARCH("欠",R506)))</formula>
    </cfRule>
  </conditionalFormatting>
  <conditionalFormatting sqref="S506">
    <cfRule type="containsText" dxfId="0" priority="9132" operator="between" text="欠">
      <formula>NOT(ISERROR(SEARCH("欠",S506)))</formula>
    </cfRule>
    <cfRule type="cellIs" dxfId="0" priority="9133" operator="equal">
      <formula>"欠"</formula>
    </cfRule>
  </conditionalFormatting>
  <conditionalFormatting sqref="T506:U506">
    <cfRule type="containsText" dxfId="0" priority="9136" operator="between" text="欠">
      <formula>NOT(ISERROR(SEARCH("欠",T506)))</formula>
    </cfRule>
  </conditionalFormatting>
  <conditionalFormatting sqref="V506">
    <cfRule type="cellIs" dxfId="0" priority="9137" operator="equal">
      <formula>"欠"</formula>
    </cfRule>
  </conditionalFormatting>
  <conditionalFormatting sqref="AK506">
    <cfRule type="cellIs" dxfId="1" priority="9140" operator="equal">
      <formula>"未完成"</formula>
    </cfRule>
    <cfRule type="cellIs" dxfId="0" priority="9141" operator="equal">
      <formula>"未完成"</formula>
    </cfRule>
  </conditionalFormatting>
  <conditionalFormatting sqref="AL506">
    <cfRule type="cellIs" dxfId="0" priority="9139" operator="equal">
      <formula>"欠"</formula>
    </cfRule>
  </conditionalFormatting>
  <conditionalFormatting sqref="T508:U508">
    <cfRule type="cellIs" dxfId="0" priority="8898" operator="equal">
      <formula>"欠"</formula>
    </cfRule>
  </conditionalFormatting>
  <conditionalFormatting sqref="T509:U509">
    <cfRule type="cellIs" dxfId="0" priority="9164" operator="equal">
      <formula>"欠"</formula>
    </cfRule>
  </conditionalFormatting>
  <conditionalFormatting sqref="Q510">
    <cfRule type="cellIs" dxfId="0" priority="9327" operator="equal">
      <formula>"欠"</formula>
    </cfRule>
  </conditionalFormatting>
  <conditionalFormatting sqref="AK510">
    <cfRule type="cellIs" dxfId="1" priority="9325" operator="equal">
      <formula>"未完成"</formula>
    </cfRule>
    <cfRule type="cellIs" dxfId="0" priority="9326" operator="equal">
      <formula>"未完成"</formula>
    </cfRule>
  </conditionalFormatting>
  <conditionalFormatting sqref="AL510">
    <cfRule type="cellIs" dxfId="0" priority="9324" operator="equal">
      <formula>"欠"</formula>
    </cfRule>
  </conditionalFormatting>
  <conditionalFormatting sqref="R513">
    <cfRule type="containsText" dxfId="0" priority="8951" operator="between" text="欠">
      <formula>NOT(ISERROR(SEARCH("欠",R513)))</formula>
    </cfRule>
  </conditionalFormatting>
  <conditionalFormatting sqref="R513:V513">
    <cfRule type="cellIs" dxfId="0" priority="9009" operator="equal">
      <formula>"欠"</formula>
    </cfRule>
  </conditionalFormatting>
  <conditionalFormatting sqref="T513:U513">
    <cfRule type="containsText" dxfId="0" priority="8980" operator="between" text="欠">
      <formula>NOT(ISERROR(SEARCH("欠",T513)))</formula>
    </cfRule>
  </conditionalFormatting>
  <conditionalFormatting sqref="W513">
    <cfRule type="cellIs" dxfId="0" priority="9038" operator="equal">
      <formula>"欠"</formula>
    </cfRule>
  </conditionalFormatting>
  <conditionalFormatting sqref="AG513">
    <cfRule type="cellIs" dxfId="0" priority="9067" operator="equal">
      <formula>"未完成"</formula>
    </cfRule>
  </conditionalFormatting>
  <conditionalFormatting sqref="AH513">
    <cfRule type="cellIs" dxfId="0" priority="7165" operator="equal">
      <formula>"未完成"</formula>
    </cfRule>
  </conditionalFormatting>
  <conditionalFormatting sqref="AL513:AM513">
    <cfRule type="cellIs" dxfId="1" priority="9096" operator="equal">
      <formula>"未完成"</formula>
    </cfRule>
    <cfRule type="cellIs" dxfId="0" priority="9125" operator="equal">
      <formula>"未完成"</formula>
    </cfRule>
  </conditionalFormatting>
  <conditionalFormatting sqref="R514">
    <cfRule type="containsText" dxfId="0" priority="8931" operator="between" text="欠">
      <formula>NOT(ISERROR(SEARCH("欠",R514)))</formula>
    </cfRule>
  </conditionalFormatting>
  <conditionalFormatting sqref="R514:V514">
    <cfRule type="cellIs" dxfId="0" priority="8989" operator="equal">
      <formula>"欠"</formula>
    </cfRule>
  </conditionalFormatting>
  <conditionalFormatting sqref="T514:U514">
    <cfRule type="containsText" dxfId="0" priority="8960" operator="between" text="欠">
      <formula>NOT(ISERROR(SEARCH("欠",T514)))</formula>
    </cfRule>
  </conditionalFormatting>
  <conditionalFormatting sqref="W514">
    <cfRule type="cellIs" dxfId="0" priority="9018" operator="equal">
      <formula>"欠"</formula>
    </cfRule>
  </conditionalFormatting>
  <conditionalFormatting sqref="AG514">
    <cfRule type="cellIs" dxfId="0" priority="9047" operator="equal">
      <formula>"未完成"</formula>
    </cfRule>
  </conditionalFormatting>
  <conditionalFormatting sqref="AH514">
    <cfRule type="cellIs" dxfId="0" priority="7145" operator="equal">
      <formula>"未完成"</formula>
    </cfRule>
  </conditionalFormatting>
  <conditionalFormatting sqref="AL514:AM514">
    <cfRule type="cellIs" dxfId="1" priority="9076" operator="equal">
      <formula>"未完成"</formula>
    </cfRule>
    <cfRule type="cellIs" dxfId="0" priority="9105" operator="equal">
      <formula>"未完成"</formula>
    </cfRule>
  </conditionalFormatting>
  <conditionalFormatting sqref="Q524">
    <cfRule type="cellIs" dxfId="0" priority="8922" operator="equal">
      <formula>"欠"</formula>
    </cfRule>
  </conditionalFormatting>
  <conditionalFormatting sqref="R524">
    <cfRule type="containsText" dxfId="0" priority="8914" operator="between" text="欠">
      <formula>NOT(ISERROR(SEARCH("欠",R524)))</formula>
    </cfRule>
    <cfRule type="cellIs" dxfId="0" priority="8921" operator="equal">
      <formula>"欠"</formula>
    </cfRule>
  </conditionalFormatting>
  <conditionalFormatting sqref="T524:U524">
    <cfRule type="containsText" dxfId="0" priority="8899" operator="between" text="欠">
      <formula>NOT(ISERROR(SEARCH("欠",T524)))</formula>
    </cfRule>
    <cfRule type="containsText" dxfId="2" priority="8900" operator="between" text="欠">
      <formula>NOT(ISERROR(SEARCH("欠",T524)))</formula>
    </cfRule>
    <cfRule type="cellIs" dxfId="0" priority="8901" operator="equal">
      <formula>"欠"</formula>
    </cfRule>
  </conditionalFormatting>
  <conditionalFormatting sqref="AK524">
    <cfRule type="cellIs" dxfId="1" priority="8919" operator="equal">
      <formula>"未完成"</formula>
    </cfRule>
    <cfRule type="cellIs" dxfId="0" priority="8920" operator="equal">
      <formula>"未完成"</formula>
    </cfRule>
  </conditionalFormatting>
  <conditionalFormatting sqref="AL524">
    <cfRule type="cellIs" dxfId="0" priority="8918" operator="equal">
      <formula>"欠"</formula>
    </cfRule>
  </conditionalFormatting>
  <conditionalFormatting sqref="Q532">
    <cfRule type="cellIs" dxfId="0" priority="8855" operator="equal">
      <formula>"欠"</formula>
    </cfRule>
  </conditionalFormatting>
  <conditionalFormatting sqref="AK532">
    <cfRule type="cellIs" dxfId="1" priority="8849" operator="equal">
      <formula>"未完成"</formula>
    </cfRule>
    <cfRule type="cellIs" dxfId="0" priority="8852" operator="equal">
      <formula>"未完成"</formula>
    </cfRule>
  </conditionalFormatting>
  <conditionalFormatting sqref="AL532">
    <cfRule type="cellIs" dxfId="0" priority="8846" operator="equal">
      <formula>"欠"</formula>
    </cfRule>
  </conditionalFormatting>
  <conditionalFormatting sqref="Q533">
    <cfRule type="cellIs" dxfId="0" priority="8854" operator="equal">
      <formula>"欠"</formula>
    </cfRule>
  </conditionalFormatting>
  <conditionalFormatting sqref="AK533">
    <cfRule type="cellIs" dxfId="1" priority="8848" operator="equal">
      <formula>"未完成"</formula>
    </cfRule>
    <cfRule type="cellIs" dxfId="0" priority="8851" operator="equal">
      <formula>"未完成"</formula>
    </cfRule>
  </conditionalFormatting>
  <conditionalFormatting sqref="AL533">
    <cfRule type="cellIs" dxfId="0" priority="8845" operator="equal">
      <formula>"欠"</formula>
    </cfRule>
  </conditionalFormatting>
  <conditionalFormatting sqref="S536">
    <cfRule type="cellIs" dxfId="0" priority="8375" operator="equal">
      <formula>"欠"</formula>
    </cfRule>
  </conditionalFormatting>
  <conditionalFormatting sqref="T536:U536">
    <cfRule type="containsText" dxfId="0" priority="8377" operator="between" text="欠">
      <formula>NOT(ISERROR(SEARCH("欠",T536)))</formula>
    </cfRule>
    <cfRule type="containsText" dxfId="2" priority="8378" operator="between" text="欠">
      <formula>NOT(ISERROR(SEARCH("欠",T536)))</formula>
    </cfRule>
    <cfRule type="cellIs" dxfId="0" priority="8379" operator="equal">
      <formula>"欠"</formula>
    </cfRule>
  </conditionalFormatting>
  <conditionalFormatting sqref="Q546">
    <cfRule type="cellIs" dxfId="0" priority="7812" operator="equal">
      <formula>"欠"</formula>
    </cfRule>
  </conditionalFormatting>
  <conditionalFormatting sqref="R546">
    <cfRule type="cellIs" dxfId="0" priority="7814" operator="equal">
      <formula>"欠"</formula>
    </cfRule>
    <cfRule type="containsText" dxfId="0" priority="7816" operator="between" text="欠">
      <formula>NOT(ISERROR(SEARCH("欠",R546)))</formula>
    </cfRule>
  </conditionalFormatting>
  <conditionalFormatting sqref="T546:U546">
    <cfRule type="containsText" dxfId="0" priority="7818" operator="between" text="欠">
      <formula>NOT(ISERROR(SEARCH("欠",T546)))</formula>
    </cfRule>
    <cfRule type="cellIs" dxfId="0" priority="7822" operator="equal">
      <formula>"欠"</formula>
    </cfRule>
  </conditionalFormatting>
  <conditionalFormatting sqref="V546">
    <cfRule type="cellIs" dxfId="0" priority="7820" operator="equal">
      <formula>"欠"</formula>
    </cfRule>
  </conditionalFormatting>
  <conditionalFormatting sqref="AK546">
    <cfRule type="cellIs" dxfId="1" priority="7808" operator="equal">
      <formula>"未完成"</formula>
    </cfRule>
    <cfRule type="cellIs" dxfId="0" priority="7810" operator="equal">
      <formula>"未完成"</formula>
    </cfRule>
  </conditionalFormatting>
  <conditionalFormatting sqref="AL546">
    <cfRule type="cellIs" dxfId="0" priority="7806" operator="equal">
      <formula>"欠"</formula>
    </cfRule>
  </conditionalFormatting>
  <conditionalFormatting sqref="Q547">
    <cfRule type="cellIs" dxfId="0" priority="7811" operator="equal">
      <formula>"欠"</formula>
    </cfRule>
  </conditionalFormatting>
  <conditionalFormatting sqref="R547">
    <cfRule type="cellIs" dxfId="0" priority="7813" operator="equal">
      <formula>"欠"</formula>
    </cfRule>
    <cfRule type="containsText" dxfId="0" priority="7815" operator="between" text="欠">
      <formula>NOT(ISERROR(SEARCH("欠",R547)))</formula>
    </cfRule>
  </conditionalFormatting>
  <conditionalFormatting sqref="T547:U547">
    <cfRule type="containsText" dxfId="0" priority="7817" operator="between" text="欠">
      <formula>NOT(ISERROR(SEARCH("欠",T547)))</formula>
    </cfRule>
    <cfRule type="cellIs" dxfId="0" priority="7821" operator="equal">
      <formula>"欠"</formula>
    </cfRule>
  </conditionalFormatting>
  <conditionalFormatting sqref="V547">
    <cfRule type="cellIs" dxfId="0" priority="7819" operator="equal">
      <formula>"欠"</formula>
    </cfRule>
  </conditionalFormatting>
  <conditionalFormatting sqref="AK547">
    <cfRule type="cellIs" dxfId="1" priority="7807" operator="equal">
      <formula>"未完成"</formula>
    </cfRule>
    <cfRule type="cellIs" dxfId="0" priority="7809" operator="equal">
      <formula>"未完成"</formula>
    </cfRule>
  </conditionalFormatting>
  <conditionalFormatting sqref="AL547">
    <cfRule type="cellIs" dxfId="0" priority="7805" operator="equal">
      <formula>"欠"</formula>
    </cfRule>
  </conditionalFormatting>
  <conditionalFormatting sqref="Q548">
    <cfRule type="cellIs" dxfId="0" priority="8661" operator="equal">
      <formula>"欠"</formula>
    </cfRule>
  </conditionalFormatting>
  <conditionalFormatting sqref="AK548">
    <cfRule type="cellIs" dxfId="1" priority="8640" operator="equal">
      <formula>"未完成"</formula>
    </cfRule>
    <cfRule type="cellIs" dxfId="0" priority="8647" operator="equal">
      <formula>"未完成"</formula>
    </cfRule>
  </conditionalFormatting>
  <conditionalFormatting sqref="AL548">
    <cfRule type="cellIs" dxfId="0" priority="8633" operator="equal">
      <formula>"欠"</formula>
    </cfRule>
  </conditionalFormatting>
  <conditionalFormatting sqref="Q549">
    <cfRule type="cellIs" dxfId="0" priority="8660" operator="equal">
      <formula>"欠"</formula>
    </cfRule>
  </conditionalFormatting>
  <conditionalFormatting sqref="AK549">
    <cfRule type="cellIs" dxfId="1" priority="8639" operator="equal">
      <formula>"未完成"</formula>
    </cfRule>
    <cfRule type="cellIs" dxfId="0" priority="8646" operator="equal">
      <formula>"未完成"</formula>
    </cfRule>
  </conditionalFormatting>
  <conditionalFormatting sqref="AL549">
    <cfRule type="cellIs" dxfId="0" priority="8632" operator="equal">
      <formula>"欠"</formula>
    </cfRule>
  </conditionalFormatting>
  <conditionalFormatting sqref="Q550">
    <cfRule type="cellIs" dxfId="0" priority="8659" operator="equal">
      <formula>"欠"</formula>
    </cfRule>
  </conditionalFormatting>
  <conditionalFormatting sqref="AK550">
    <cfRule type="cellIs" dxfId="1" priority="8638" operator="equal">
      <formula>"未完成"</formula>
    </cfRule>
    <cfRule type="cellIs" dxfId="0" priority="8645" operator="equal">
      <formula>"未完成"</formula>
    </cfRule>
  </conditionalFormatting>
  <conditionalFormatting sqref="AL550">
    <cfRule type="cellIs" dxfId="0" priority="8631" operator="equal">
      <formula>"欠"</formula>
    </cfRule>
  </conditionalFormatting>
  <conditionalFormatting sqref="Q551">
    <cfRule type="cellIs" dxfId="0" priority="8658" operator="equal">
      <formula>"欠"</formula>
    </cfRule>
  </conditionalFormatting>
  <conditionalFormatting sqref="AK551">
    <cfRule type="cellIs" dxfId="1" priority="8637" operator="equal">
      <formula>"未完成"</formula>
    </cfRule>
    <cfRule type="cellIs" dxfId="0" priority="8644" operator="equal">
      <formula>"未完成"</formula>
    </cfRule>
  </conditionalFormatting>
  <conditionalFormatting sqref="AL551">
    <cfRule type="cellIs" dxfId="0" priority="8630" operator="equal">
      <formula>"欠"</formula>
    </cfRule>
  </conditionalFormatting>
  <conditionalFormatting sqref="Q552">
    <cfRule type="cellIs" dxfId="0" priority="8657" operator="equal">
      <formula>"欠"</formula>
    </cfRule>
  </conditionalFormatting>
  <conditionalFormatting sqref="AK552">
    <cfRule type="cellIs" dxfId="1" priority="8636" operator="equal">
      <formula>"未完成"</formula>
    </cfRule>
    <cfRule type="cellIs" dxfId="0" priority="8643" operator="equal">
      <formula>"未完成"</formula>
    </cfRule>
  </conditionalFormatting>
  <conditionalFormatting sqref="AL552">
    <cfRule type="cellIs" dxfId="0" priority="8629" operator="equal">
      <formula>"欠"</formula>
    </cfRule>
  </conditionalFormatting>
  <conditionalFormatting sqref="Q553">
    <cfRule type="cellIs" dxfId="0" priority="8656" operator="equal">
      <formula>"欠"</formula>
    </cfRule>
  </conditionalFormatting>
  <conditionalFormatting sqref="AK553">
    <cfRule type="cellIs" dxfId="1" priority="8635" operator="equal">
      <formula>"未完成"</formula>
    </cfRule>
    <cfRule type="cellIs" dxfId="0" priority="8642" operator="equal">
      <formula>"未完成"</formula>
    </cfRule>
  </conditionalFormatting>
  <conditionalFormatting sqref="AL553">
    <cfRule type="cellIs" dxfId="0" priority="8628" operator="equal">
      <formula>"欠"</formula>
    </cfRule>
  </conditionalFormatting>
  <conditionalFormatting sqref="Q554">
    <cfRule type="cellIs" dxfId="0" priority="8655" operator="equal">
      <formula>"欠"</formula>
    </cfRule>
  </conditionalFormatting>
  <conditionalFormatting sqref="AK554">
    <cfRule type="cellIs" dxfId="1" priority="8634" operator="equal">
      <formula>"未完成"</formula>
    </cfRule>
    <cfRule type="cellIs" dxfId="0" priority="8641" operator="equal">
      <formula>"未完成"</formula>
    </cfRule>
  </conditionalFormatting>
  <conditionalFormatting sqref="AL554">
    <cfRule type="cellIs" dxfId="0" priority="8627" operator="equal">
      <formula>"欠"</formula>
    </cfRule>
  </conditionalFormatting>
  <conditionalFormatting sqref="V555">
    <cfRule type="cellIs" dxfId="0" priority="8327" operator="equal">
      <formula>"欠"</formula>
    </cfRule>
  </conditionalFormatting>
  <conditionalFormatting sqref="Q559">
    <cfRule type="cellIs" dxfId="0" priority="8684" operator="equal">
      <formula>"欠"</formula>
    </cfRule>
  </conditionalFormatting>
  <conditionalFormatting sqref="R559">
    <cfRule type="containsText" dxfId="0" priority="8676" operator="between" text="欠">
      <formula>NOT(ISERROR(SEARCH("欠",R559)))</formula>
    </cfRule>
    <cfRule type="cellIs" dxfId="0" priority="8677" operator="equal">
      <formula>"欠"</formula>
    </cfRule>
  </conditionalFormatting>
  <conditionalFormatting sqref="T559:U559">
    <cfRule type="containsText" dxfId="0" priority="8678" operator="between" text="欠">
      <formula>NOT(ISERROR(SEARCH("欠",T559)))</formula>
    </cfRule>
    <cfRule type="containsText" dxfId="2" priority="8679" operator="between" text="欠">
      <formula>NOT(ISERROR(SEARCH("欠",T559)))</formula>
    </cfRule>
    <cfRule type="cellIs" dxfId="0" priority="8680" operator="equal">
      <formula>"欠"</formula>
    </cfRule>
  </conditionalFormatting>
  <conditionalFormatting sqref="AK559">
    <cfRule type="cellIs" dxfId="1" priority="8682" operator="equal">
      <formula>"未完成"</formula>
    </cfRule>
    <cfRule type="cellIs" dxfId="0" priority="8683" operator="equal">
      <formula>"未完成"</formula>
    </cfRule>
  </conditionalFormatting>
  <conditionalFormatting sqref="AL559">
    <cfRule type="cellIs" dxfId="0" priority="8681" operator="equal">
      <formula>"欠"</formula>
    </cfRule>
  </conditionalFormatting>
  <conditionalFormatting sqref="Q561">
    <cfRule type="cellIs" dxfId="0" priority="9246" operator="equal">
      <formula>"欠"</formula>
    </cfRule>
  </conditionalFormatting>
  <conditionalFormatting sqref="AK561">
    <cfRule type="cellIs" dxfId="1" priority="9231" operator="equal">
      <formula>"未完成"</formula>
    </cfRule>
    <cfRule type="cellIs" dxfId="0" priority="9236" operator="equal">
      <formula>"未完成"</formula>
    </cfRule>
  </conditionalFormatting>
  <conditionalFormatting sqref="AL561">
    <cfRule type="cellIs" dxfId="0" priority="9226" operator="equal">
      <formula>"欠"</formula>
    </cfRule>
  </conditionalFormatting>
  <conditionalFormatting sqref="R562">
    <cfRule type="containsText" dxfId="0" priority="8819" operator="between" text="欠">
      <formula>NOT(ISERROR(SEARCH("欠",R562)))</formula>
    </cfRule>
    <cfRule type="cellIs" dxfId="0" priority="8820" operator="equal">
      <formula>"欠"</formula>
    </cfRule>
  </conditionalFormatting>
  <conditionalFormatting sqref="S562">
    <cfRule type="cellIs" dxfId="0" priority="8708" operator="equal">
      <formula>"欠"</formula>
    </cfRule>
  </conditionalFormatting>
  <conditionalFormatting sqref="R563">
    <cfRule type="containsText" dxfId="0" priority="8603" operator="between" text="欠">
      <formula>NOT(ISERROR(SEARCH("欠",R563)))</formula>
    </cfRule>
    <cfRule type="cellIs" dxfId="0" priority="8604" operator="equal">
      <formula>"欠"</formula>
    </cfRule>
  </conditionalFormatting>
  <conditionalFormatting sqref="T563:U563">
    <cfRule type="containsText" dxfId="0" priority="8605" operator="between" text="欠">
      <formula>NOT(ISERROR(SEARCH("欠",T563)))</formula>
    </cfRule>
    <cfRule type="containsText" dxfId="2" priority="8606" operator="between" text="欠">
      <formula>NOT(ISERROR(SEARCH("欠",T563)))</formula>
    </cfRule>
    <cfRule type="cellIs" dxfId="0" priority="8607" operator="equal">
      <formula>"欠"</formula>
    </cfRule>
  </conditionalFormatting>
  <conditionalFormatting sqref="Q572">
    <cfRule type="cellIs" dxfId="0" priority="8359" operator="equal">
      <formula>"欠"</formula>
    </cfRule>
  </conditionalFormatting>
  <conditionalFormatting sqref="AK572">
    <cfRule type="cellIs" dxfId="1" priority="8357" operator="equal">
      <formula>"未完成"</formula>
    </cfRule>
    <cfRule type="cellIs" dxfId="0" priority="8358" operator="equal">
      <formula>"未完成"</formula>
    </cfRule>
  </conditionalFormatting>
  <conditionalFormatting sqref="AL572">
    <cfRule type="cellIs" dxfId="0" priority="8356" operator="equal">
      <formula>"欠"</formula>
    </cfRule>
  </conditionalFormatting>
  <conditionalFormatting sqref="Q584">
    <cfRule type="cellIs" dxfId="0" priority="7937" operator="equal">
      <formula>"欠"</formula>
    </cfRule>
  </conditionalFormatting>
  <conditionalFormatting sqref="R584">
    <cfRule type="containsText" dxfId="0" priority="7932" operator="between" text="欠">
      <formula>NOT(ISERROR(SEARCH("欠",R584)))</formula>
    </cfRule>
    <cfRule type="cellIs" dxfId="0" priority="7936" operator="equal">
      <formula>"欠"</formula>
    </cfRule>
  </conditionalFormatting>
  <conditionalFormatting sqref="S584:U584">
    <cfRule type="cellIs" dxfId="0" priority="7938" operator="equal">
      <formula>"欠"</formula>
    </cfRule>
  </conditionalFormatting>
  <conditionalFormatting sqref="V584">
    <cfRule type="cellIs" dxfId="0" priority="7931" operator="equal">
      <formula>"欠"</formula>
    </cfRule>
  </conditionalFormatting>
  <conditionalFormatting sqref="AK584">
    <cfRule type="cellIs" dxfId="1" priority="7934" operator="equal">
      <formula>"未完成"</formula>
    </cfRule>
    <cfRule type="cellIs" dxfId="0" priority="7935" operator="equal">
      <formula>"未完成"</formula>
    </cfRule>
  </conditionalFormatting>
  <conditionalFormatting sqref="AL584">
    <cfRule type="cellIs" dxfId="0" priority="7933" operator="equal">
      <formula>"欠"</formula>
    </cfRule>
  </conditionalFormatting>
  <conditionalFormatting sqref="Q587">
    <cfRule type="cellIs" dxfId="0" priority="8551" operator="equal">
      <formula>"欠"</formula>
    </cfRule>
  </conditionalFormatting>
  <conditionalFormatting sqref="T587:U587">
    <cfRule type="containsText" dxfId="0" priority="8545" operator="between" text="欠">
      <formula>NOT(ISERROR(SEARCH("欠",T587)))</formula>
    </cfRule>
    <cfRule type="containsText" dxfId="2" priority="8546" operator="between" text="欠">
      <formula>NOT(ISERROR(SEARCH("欠",T587)))</formula>
    </cfRule>
    <cfRule type="cellIs" dxfId="0" priority="8547" operator="equal">
      <formula>"欠"</formula>
    </cfRule>
  </conditionalFormatting>
  <conditionalFormatting sqref="AK587">
    <cfRule type="cellIs" dxfId="1" priority="8549" operator="equal">
      <formula>"未完成"</formula>
    </cfRule>
    <cfRule type="cellIs" dxfId="0" priority="8550" operator="equal">
      <formula>"未完成"</formula>
    </cfRule>
  </conditionalFormatting>
  <conditionalFormatting sqref="AL587">
    <cfRule type="cellIs" dxfId="0" priority="8548" operator="equal">
      <formula>"欠"</formula>
    </cfRule>
  </conditionalFormatting>
  <conditionalFormatting sqref="Q590">
    <cfRule type="cellIs" dxfId="0" priority="8541" operator="equal">
      <formula>"欠"</formula>
    </cfRule>
  </conditionalFormatting>
  <conditionalFormatting sqref="AK590">
    <cfRule type="cellIs" dxfId="1" priority="8539" operator="equal">
      <formula>"未完成"</formula>
    </cfRule>
    <cfRule type="cellIs" dxfId="0" priority="8540" operator="equal">
      <formula>"未完成"</formula>
    </cfRule>
  </conditionalFormatting>
  <conditionalFormatting sqref="AL590">
    <cfRule type="cellIs" dxfId="0" priority="8538" operator="equal">
      <formula>"欠"</formula>
    </cfRule>
  </conditionalFormatting>
  <conditionalFormatting sqref="R594">
    <cfRule type="containsText" dxfId="0" priority="8397" operator="between" text="欠">
      <formula>NOT(ISERROR(SEARCH("欠",R594)))</formula>
    </cfRule>
    <cfRule type="cellIs" dxfId="0" priority="8400" operator="equal">
      <formula>"欠"</formula>
    </cfRule>
  </conditionalFormatting>
  <conditionalFormatting sqref="S594">
    <cfRule type="cellIs" dxfId="0" priority="8424" operator="equal">
      <formula>"欠"</formula>
    </cfRule>
  </conditionalFormatting>
  <conditionalFormatting sqref="T594:U594">
    <cfRule type="containsText" dxfId="0" priority="8403" operator="between" text="欠">
      <formula>NOT(ISERROR(SEARCH("欠",T594)))</formula>
    </cfRule>
    <cfRule type="containsText" dxfId="2" priority="8406" operator="between" text="欠">
      <formula>NOT(ISERROR(SEARCH("欠",T594)))</formula>
    </cfRule>
    <cfRule type="cellIs" dxfId="0" priority="8409" operator="equal">
      <formula>"欠"</formula>
    </cfRule>
  </conditionalFormatting>
  <conditionalFormatting sqref="Q603">
    <cfRule type="cellIs" dxfId="0" priority="8419" operator="equal">
      <formula>"欠"</formula>
    </cfRule>
  </conditionalFormatting>
  <conditionalFormatting sqref="R603">
    <cfRule type="containsText" dxfId="0" priority="8395" operator="between" text="欠">
      <formula>NOT(ISERROR(SEARCH("欠",R603)))</formula>
    </cfRule>
    <cfRule type="cellIs" dxfId="0" priority="8398" operator="equal">
      <formula>"欠"</formula>
    </cfRule>
  </conditionalFormatting>
  <conditionalFormatting sqref="T603:U603">
    <cfRule type="containsText" dxfId="0" priority="8401" operator="between" text="欠">
      <formula>NOT(ISERROR(SEARCH("欠",T603)))</formula>
    </cfRule>
    <cfRule type="containsText" dxfId="2" priority="8404" operator="between" text="欠">
      <formula>NOT(ISERROR(SEARCH("欠",T603)))</formula>
    </cfRule>
    <cfRule type="cellIs" dxfId="0" priority="8407" operator="equal">
      <formula>"欠"</formula>
    </cfRule>
  </conditionalFormatting>
  <conditionalFormatting sqref="AK603">
    <cfRule type="cellIs" dxfId="1" priority="8413" operator="equal">
      <formula>"未完成"</formula>
    </cfRule>
    <cfRule type="cellIs" dxfId="0" priority="8416" operator="equal">
      <formula>"未完成"</formula>
    </cfRule>
  </conditionalFormatting>
  <conditionalFormatting sqref="AL603">
    <cfRule type="cellIs" dxfId="0" priority="8410" operator="equal">
      <formula>"欠"</formula>
    </cfRule>
  </conditionalFormatting>
  <conditionalFormatting sqref="Q606">
    <cfRule type="cellIs" dxfId="0" priority="8692" operator="equal">
      <formula>"欠"</formula>
    </cfRule>
  </conditionalFormatting>
  <conditionalFormatting sqref="R606">
    <cfRule type="cellIs" dxfId="0" priority="8693" operator="equal">
      <formula>"欠"</formula>
    </cfRule>
    <cfRule type="containsText" dxfId="0" priority="8694" operator="between" text="欠">
      <formula>NOT(ISERROR(SEARCH("欠",R606)))</formula>
    </cfRule>
  </conditionalFormatting>
  <conditionalFormatting sqref="T606:U606">
    <cfRule type="containsText" dxfId="0" priority="8686" operator="between" text="欠">
      <formula>NOT(ISERROR(SEARCH("欠",T606)))</formula>
    </cfRule>
    <cfRule type="containsText" dxfId="2" priority="8687" operator="between" text="欠">
      <formula>NOT(ISERROR(SEARCH("欠",T606)))</formula>
    </cfRule>
    <cfRule type="cellIs" dxfId="0" priority="8688" operator="equal">
      <formula>"欠"</formula>
    </cfRule>
  </conditionalFormatting>
  <conditionalFormatting sqref="AK606">
    <cfRule type="cellIs" dxfId="1" priority="8690" operator="equal">
      <formula>"未完成"</formula>
    </cfRule>
    <cfRule type="cellIs" dxfId="0" priority="8691" operator="equal">
      <formula>"未完成"</formula>
    </cfRule>
  </conditionalFormatting>
  <conditionalFormatting sqref="AL606">
    <cfRule type="cellIs" dxfId="0" priority="8689" operator="equal">
      <formula>"欠"</formula>
    </cfRule>
  </conditionalFormatting>
  <conditionalFormatting sqref="Q608">
    <cfRule type="cellIs" dxfId="0" priority="8312" operator="equal">
      <formula>"欠"</formula>
    </cfRule>
  </conditionalFormatting>
  <conditionalFormatting sqref="T608:U608">
    <cfRule type="containsText" dxfId="0" priority="8306" operator="between" text="欠">
      <formula>NOT(ISERROR(SEARCH("欠",T608)))</formula>
    </cfRule>
    <cfRule type="containsText" dxfId="2" priority="8307" operator="between" text="欠">
      <formula>NOT(ISERROR(SEARCH("欠",T608)))</formula>
    </cfRule>
    <cfRule type="cellIs" dxfId="0" priority="8308" operator="equal">
      <formula>"欠"</formula>
    </cfRule>
  </conditionalFormatting>
  <conditionalFormatting sqref="AK608">
    <cfRule type="cellIs" dxfId="1" priority="8310" operator="equal">
      <formula>"未完成"</formula>
    </cfRule>
    <cfRule type="cellIs" dxfId="0" priority="8311" operator="equal">
      <formula>"未完成"</formula>
    </cfRule>
  </conditionalFormatting>
  <conditionalFormatting sqref="AL608">
    <cfRule type="cellIs" dxfId="0" priority="8309" operator="equal">
      <formula>"欠"</formula>
    </cfRule>
  </conditionalFormatting>
  <conditionalFormatting sqref="Q619">
    <cfRule type="cellIs" dxfId="0" priority="8420" operator="equal">
      <formula>"欠"</formula>
    </cfRule>
  </conditionalFormatting>
  <conditionalFormatting sqref="R619">
    <cfRule type="containsText" dxfId="0" priority="8396" operator="between" text="欠">
      <formula>NOT(ISERROR(SEARCH("欠",R619)))</formula>
    </cfRule>
    <cfRule type="cellIs" dxfId="0" priority="8399" operator="equal">
      <formula>"欠"</formula>
    </cfRule>
  </conditionalFormatting>
  <conditionalFormatting sqref="S619">
    <cfRule type="cellIs" dxfId="0" priority="8423" operator="equal">
      <formula>"欠"</formula>
    </cfRule>
  </conditionalFormatting>
  <conditionalFormatting sqref="T619:U619">
    <cfRule type="containsText" dxfId="0" priority="8402" operator="between" text="欠">
      <formula>NOT(ISERROR(SEARCH("欠",T619)))</formula>
    </cfRule>
    <cfRule type="containsText" dxfId="2" priority="8405" operator="between" text="欠">
      <formula>NOT(ISERROR(SEARCH("欠",T619)))</formula>
    </cfRule>
    <cfRule type="cellIs" dxfId="0" priority="8408" operator="equal">
      <formula>"欠"</formula>
    </cfRule>
  </conditionalFormatting>
  <conditionalFormatting sqref="AK619">
    <cfRule type="cellIs" dxfId="1" priority="8414" operator="equal">
      <formula>"未完成"</formula>
    </cfRule>
    <cfRule type="cellIs" dxfId="0" priority="8417" operator="equal">
      <formula>"未完成"</formula>
    </cfRule>
  </conditionalFormatting>
  <conditionalFormatting sqref="AL619">
    <cfRule type="cellIs" dxfId="0" priority="8411" operator="equal">
      <formula>"欠"</formula>
    </cfRule>
  </conditionalFormatting>
  <conditionalFormatting sqref="Q620">
    <cfRule type="cellIs" dxfId="0" priority="8431" operator="equal">
      <formula>"欠"</formula>
    </cfRule>
  </conditionalFormatting>
  <conditionalFormatting sqref="T620:U620">
    <cfRule type="containsText" dxfId="0" priority="8425" operator="between" text="欠">
      <formula>NOT(ISERROR(SEARCH("欠",T620)))</formula>
    </cfRule>
    <cfRule type="containsText" dxfId="2" priority="8426" operator="between" text="欠">
      <formula>NOT(ISERROR(SEARCH("欠",T620)))</formula>
    </cfRule>
    <cfRule type="cellIs" dxfId="0" priority="8427" operator="equal">
      <formula>"欠"</formula>
    </cfRule>
  </conditionalFormatting>
  <conditionalFormatting sqref="AK620">
    <cfRule type="cellIs" dxfId="1" priority="8429" operator="equal">
      <formula>"未完成"</formula>
    </cfRule>
    <cfRule type="cellIs" dxfId="0" priority="8430" operator="equal">
      <formula>"未完成"</formula>
    </cfRule>
  </conditionalFormatting>
  <conditionalFormatting sqref="AL620">
    <cfRule type="cellIs" dxfId="0" priority="8428" operator="equal">
      <formula>"欠"</formula>
    </cfRule>
  </conditionalFormatting>
  <conditionalFormatting sqref="S621">
    <cfRule type="cellIs" dxfId="0" priority="8279" operator="equal">
      <formula>"欠"</formula>
    </cfRule>
  </conditionalFormatting>
  <conditionalFormatting sqref="T621:U621">
    <cfRule type="containsText" dxfId="0" priority="8286" operator="between" text="欠">
      <formula>NOT(ISERROR(SEARCH("欠",T621)))</formula>
    </cfRule>
    <cfRule type="cellIs" dxfId="0" priority="8287" operator="equal">
      <formula>"欠"</formula>
    </cfRule>
  </conditionalFormatting>
  <conditionalFormatting sqref="R622">
    <cfRule type="containsText" dxfId="0" priority="8529" operator="between" text="欠">
      <formula>NOT(ISERROR(SEARCH("欠",R622)))</formula>
    </cfRule>
    <cfRule type="cellIs" dxfId="0" priority="8530" operator="equal">
      <formula>"欠"</formula>
    </cfRule>
  </conditionalFormatting>
  <conditionalFormatting sqref="S624">
    <cfRule type="cellIs" dxfId="0" priority="8275" operator="equal">
      <formula>"欠"</formula>
    </cfRule>
  </conditionalFormatting>
  <conditionalFormatting sqref="Q625">
    <cfRule type="cellIs" dxfId="0" priority="9159" operator="equal">
      <formula>"欠"</formula>
    </cfRule>
  </conditionalFormatting>
  <conditionalFormatting sqref="AK625">
    <cfRule type="cellIs" dxfId="1" priority="9157" operator="equal">
      <formula>"未完成"</formula>
    </cfRule>
    <cfRule type="cellIs" dxfId="0" priority="9158" operator="equal">
      <formula>"未完成"</formula>
    </cfRule>
  </conditionalFormatting>
  <conditionalFormatting sqref="AL625">
    <cfRule type="cellIs" dxfId="0" priority="9156" operator="equal">
      <formula>"欠"</formula>
    </cfRule>
  </conditionalFormatting>
  <conditionalFormatting sqref="Q627">
    <cfRule type="cellIs" dxfId="0" priority="7582" operator="equal">
      <formula>"欠"</formula>
    </cfRule>
  </conditionalFormatting>
  <conditionalFormatting sqref="R627">
    <cfRule type="containsText" dxfId="0" priority="7572" operator="between" text="欠">
      <formula>NOT(ISERROR(SEARCH("欠",R627)))</formula>
    </cfRule>
    <cfRule type="cellIs" dxfId="0" priority="7575" operator="equal">
      <formula>"欠"</formula>
    </cfRule>
  </conditionalFormatting>
  <conditionalFormatting sqref="S627">
    <cfRule type="cellIs" dxfId="0" priority="7583" operator="equal">
      <formula>"欠"</formula>
    </cfRule>
  </conditionalFormatting>
  <conditionalFormatting sqref="T627:U627">
    <cfRule type="containsText" dxfId="0" priority="7573" operator="between" text="欠">
      <formula>NOT(ISERROR(SEARCH("欠",T627)))</formula>
    </cfRule>
    <cfRule type="containsText" dxfId="2" priority="7577" operator="between" text="欠">
      <formula>NOT(ISERROR(SEARCH("欠",T627)))</formula>
    </cfRule>
    <cfRule type="cellIs" dxfId="0" priority="7578" operator="equal">
      <formula>"欠"</formula>
    </cfRule>
  </conditionalFormatting>
  <conditionalFormatting sqref="AK627">
    <cfRule type="cellIs" dxfId="1" priority="7580" operator="equal">
      <formula>"未完成"</formula>
    </cfRule>
    <cfRule type="cellIs" dxfId="0" priority="7581" operator="equal">
      <formula>"未完成"</formula>
    </cfRule>
  </conditionalFormatting>
  <conditionalFormatting sqref="AL627">
    <cfRule type="cellIs" dxfId="0" priority="7579" operator="equal">
      <formula>"欠"</formula>
    </cfRule>
  </conditionalFormatting>
  <conditionalFormatting sqref="Q629">
    <cfRule type="cellIs" dxfId="0" priority="8886" operator="equal">
      <formula>"欠"</formula>
    </cfRule>
  </conditionalFormatting>
  <conditionalFormatting sqref="T629:U629">
    <cfRule type="containsText" dxfId="0" priority="8872" operator="between" text="欠">
      <formula>NOT(ISERROR(SEARCH("欠",T629)))</formula>
    </cfRule>
    <cfRule type="containsText" dxfId="2" priority="8874" operator="between" text="欠">
      <formula>NOT(ISERROR(SEARCH("欠",T629)))</formula>
    </cfRule>
    <cfRule type="cellIs" dxfId="0" priority="8876" operator="equal">
      <formula>"欠"</formula>
    </cfRule>
  </conditionalFormatting>
  <conditionalFormatting sqref="AK629">
    <cfRule type="cellIs" dxfId="1" priority="8880" operator="equal">
      <formula>"未完成"</formula>
    </cfRule>
    <cfRule type="cellIs" dxfId="0" priority="8882" operator="equal">
      <formula>"未完成"</formula>
    </cfRule>
  </conditionalFormatting>
  <conditionalFormatting sqref="AL629">
    <cfRule type="cellIs" dxfId="0" priority="8878" operator="equal">
      <formula>"欠"</formula>
    </cfRule>
  </conditionalFormatting>
  <conditionalFormatting sqref="AK631">
    <cfRule type="cellIs" dxfId="1" priority="8505" operator="equal">
      <formula>"未完成"</formula>
    </cfRule>
    <cfRule type="cellIs" dxfId="0" priority="8506" operator="equal">
      <formula>"未完成"</formula>
    </cfRule>
  </conditionalFormatting>
  <conditionalFormatting sqref="S632">
    <cfRule type="cellIs" dxfId="0" priority="7942" operator="equal">
      <formula>"欠"</formula>
    </cfRule>
  </conditionalFormatting>
  <conditionalFormatting sqref="T632:U632">
    <cfRule type="cellIs" dxfId="0" priority="7941" operator="equal">
      <formula>"欠"</formula>
    </cfRule>
  </conditionalFormatting>
  <conditionalFormatting sqref="Q633">
    <cfRule type="cellIs" dxfId="0" priority="8517" operator="equal">
      <formula>"欠"</formula>
    </cfRule>
  </conditionalFormatting>
  <conditionalFormatting sqref="R633">
    <cfRule type="containsText" dxfId="0" priority="8389" operator="between" text="欠">
      <formula>NOT(ISERROR(SEARCH("欠",R633)))</formula>
    </cfRule>
    <cfRule type="cellIs" dxfId="0" priority="8390" operator="equal">
      <formula>"欠"</formula>
    </cfRule>
  </conditionalFormatting>
  <conditionalFormatting sqref="T633:U633">
    <cfRule type="cellIs" dxfId="0" priority="8388" operator="equal">
      <formula>"欠"</formula>
    </cfRule>
  </conditionalFormatting>
  <conditionalFormatting sqref="AK633">
    <cfRule type="cellIs" dxfId="1" priority="8515" operator="equal">
      <formula>"未完成"</formula>
    </cfRule>
    <cfRule type="cellIs" dxfId="0" priority="8516" operator="equal">
      <formula>"未完成"</formula>
    </cfRule>
  </conditionalFormatting>
  <conditionalFormatting sqref="AL633">
    <cfRule type="cellIs" dxfId="0" priority="8514" operator="equal">
      <formula>"欠"</formula>
    </cfRule>
  </conditionalFormatting>
  <conditionalFormatting sqref="Q636">
    <cfRule type="cellIs" dxfId="0" priority="8207" operator="equal">
      <formula>"欠"</formula>
    </cfRule>
  </conditionalFormatting>
  <conditionalFormatting sqref="R636">
    <cfRule type="containsText" dxfId="0" priority="7939" operator="between" text="欠">
      <formula>NOT(ISERROR(SEARCH("欠",R636)))</formula>
    </cfRule>
    <cfRule type="cellIs" dxfId="0" priority="7940" operator="equal">
      <formula>"欠"</formula>
    </cfRule>
  </conditionalFormatting>
  <conditionalFormatting sqref="T636:U636">
    <cfRule type="containsText" dxfId="0" priority="8201" operator="between" text="欠">
      <formula>NOT(ISERROR(SEARCH("欠",T636)))</formula>
    </cfRule>
    <cfRule type="containsText" dxfId="2" priority="8202" operator="between" text="欠">
      <formula>NOT(ISERROR(SEARCH("欠",T636)))</formula>
    </cfRule>
    <cfRule type="cellIs" dxfId="0" priority="8203" operator="equal">
      <formula>"欠"</formula>
    </cfRule>
  </conditionalFormatting>
  <conditionalFormatting sqref="AK636">
    <cfRule type="cellIs" dxfId="1" priority="8205" operator="equal">
      <formula>"未完成"</formula>
    </cfRule>
    <cfRule type="cellIs" dxfId="0" priority="8206" operator="equal">
      <formula>"未完成"</formula>
    </cfRule>
  </conditionalFormatting>
  <conditionalFormatting sqref="AL636">
    <cfRule type="cellIs" dxfId="0" priority="8204" operator="equal">
      <formula>"欠"</formula>
    </cfRule>
  </conditionalFormatting>
  <conditionalFormatting sqref="T637:U637">
    <cfRule type="cellIs" dxfId="0" priority="8231" operator="equal">
      <formula>"欠"</formula>
    </cfRule>
  </conditionalFormatting>
  <conditionalFormatting sqref="Q640">
    <cfRule type="cellIs" dxfId="0" priority="8226" operator="equal">
      <formula>"欠"</formula>
    </cfRule>
  </conditionalFormatting>
  <conditionalFormatting sqref="R640">
    <cfRule type="cellIs" dxfId="0" priority="8218" operator="equal">
      <formula>"欠"</formula>
    </cfRule>
    <cfRule type="containsText" dxfId="0" priority="8219" operator="between" text="欠">
      <formula>NOT(ISERROR(SEARCH("欠",R640)))</formula>
    </cfRule>
  </conditionalFormatting>
  <conditionalFormatting sqref="S640">
    <cfRule type="cellIs" dxfId="0" priority="7968" operator="equal">
      <formula>"欠"</formula>
    </cfRule>
  </conditionalFormatting>
  <conditionalFormatting sqref="T640:U640">
    <cfRule type="containsText" dxfId="0" priority="8220" operator="between" text="欠">
      <formula>NOT(ISERROR(SEARCH("欠",T640)))</formula>
    </cfRule>
    <cfRule type="containsText" dxfId="2" priority="8221" operator="between" text="欠">
      <formula>NOT(ISERROR(SEARCH("欠",T640)))</formula>
    </cfRule>
    <cfRule type="cellIs" dxfId="0" priority="8222" operator="equal">
      <formula>"欠"</formula>
    </cfRule>
  </conditionalFormatting>
  <conditionalFormatting sqref="AK640">
    <cfRule type="cellIs" dxfId="1" priority="8224" operator="equal">
      <formula>"未完成"</formula>
    </cfRule>
    <cfRule type="cellIs" dxfId="0" priority="8225" operator="equal">
      <formula>"未完成"</formula>
    </cfRule>
  </conditionalFormatting>
  <conditionalFormatting sqref="AL640">
    <cfRule type="cellIs" dxfId="0" priority="8223" operator="equal">
      <formula>"欠"</formula>
    </cfRule>
  </conditionalFormatting>
  <conditionalFormatting sqref="R641">
    <cfRule type="cellIs" dxfId="0" priority="8521" operator="equal">
      <formula>"欠"</formula>
    </cfRule>
    <cfRule type="containsText" dxfId="0" priority="8522" operator="between" text="欠">
      <formula>NOT(ISERROR(SEARCH("欠",R641)))</formula>
    </cfRule>
  </conditionalFormatting>
  <conditionalFormatting sqref="Q642">
    <cfRule type="cellIs" dxfId="0" priority="8791" operator="equal">
      <formula>"欠"</formula>
    </cfRule>
  </conditionalFormatting>
  <conditionalFormatting sqref="S642">
    <cfRule type="cellIs" dxfId="0" priority="8798" operator="equal">
      <formula>"欠"</formula>
    </cfRule>
  </conditionalFormatting>
  <conditionalFormatting sqref="T642:U642">
    <cfRule type="cellIs" dxfId="0" priority="7959" operator="equal">
      <formula>"欠"</formula>
    </cfRule>
  </conditionalFormatting>
  <conditionalFormatting sqref="V642">
    <cfRule type="cellIs" dxfId="0" priority="8712" operator="equal">
      <formula>"欠"</formula>
    </cfRule>
  </conditionalFormatting>
  <conditionalFormatting sqref="AK642">
    <cfRule type="cellIs" dxfId="1" priority="8777" operator="equal">
      <formula>"未完成"</formula>
    </cfRule>
    <cfRule type="cellIs" dxfId="0" priority="8784" operator="equal">
      <formula>"未完成"</formula>
    </cfRule>
  </conditionalFormatting>
  <conditionalFormatting sqref="AL642">
    <cfRule type="cellIs" dxfId="0" priority="8770" operator="equal">
      <formula>"欠"</formula>
    </cfRule>
  </conditionalFormatting>
  <conditionalFormatting sqref="Q643">
    <cfRule type="cellIs" dxfId="0" priority="8790" operator="equal">
      <formula>"欠"</formula>
    </cfRule>
  </conditionalFormatting>
  <conditionalFormatting sqref="S643">
    <cfRule type="cellIs" dxfId="0" priority="8797" operator="equal">
      <formula>"欠"</formula>
    </cfRule>
  </conditionalFormatting>
  <conditionalFormatting sqref="AK643">
    <cfRule type="cellIs" dxfId="1" priority="8776" operator="equal">
      <formula>"未完成"</formula>
    </cfRule>
    <cfRule type="cellIs" dxfId="0" priority="8783" operator="equal">
      <formula>"未完成"</formula>
    </cfRule>
  </conditionalFormatting>
  <conditionalFormatting sqref="AL643">
    <cfRule type="cellIs" dxfId="0" priority="8769" operator="equal">
      <formula>"欠"</formula>
    </cfRule>
  </conditionalFormatting>
  <conditionalFormatting sqref="Q647">
    <cfRule type="cellIs" dxfId="0" priority="8322" operator="equal">
      <formula>"欠"</formula>
    </cfRule>
  </conditionalFormatting>
  <conditionalFormatting sqref="V647">
    <cfRule type="cellIs" dxfId="0" priority="8316" operator="equal">
      <formula>"欠"</formula>
    </cfRule>
  </conditionalFormatting>
  <conditionalFormatting sqref="AK647">
    <cfRule type="cellIs" dxfId="1" priority="8320" operator="equal">
      <formula>"未完成"</formula>
    </cfRule>
    <cfRule type="cellIs" dxfId="0" priority="8321" operator="equal">
      <formula>"未完成"</formula>
    </cfRule>
  </conditionalFormatting>
  <conditionalFormatting sqref="AL647">
    <cfRule type="cellIs" dxfId="0" priority="8319" operator="equal">
      <formula>"欠"</formula>
    </cfRule>
  </conditionalFormatting>
  <conditionalFormatting sqref="T648:U648">
    <cfRule type="cellIs" dxfId="0" priority="7958" operator="equal">
      <formula>"欠"</formula>
    </cfRule>
  </conditionalFormatting>
  <conditionalFormatting sqref="R649">
    <cfRule type="containsText" dxfId="0" priority="7956" operator="between" text="欠">
      <formula>NOT(ISERROR(SEARCH("欠",R649)))</formula>
    </cfRule>
    <cfRule type="cellIs" dxfId="0" priority="7957" operator="equal">
      <formula>"欠"</formula>
    </cfRule>
  </conditionalFormatting>
  <conditionalFormatting sqref="Q650">
    <cfRule type="cellIs" dxfId="0" priority="8787" operator="equal">
      <formula>"欠"</formula>
    </cfRule>
  </conditionalFormatting>
  <conditionalFormatting sqref="AK650">
    <cfRule type="cellIs" dxfId="1" priority="8773" operator="equal">
      <formula>"未完成"</formula>
    </cfRule>
    <cfRule type="cellIs" dxfId="0" priority="8780" operator="equal">
      <formula>"未完成"</formula>
    </cfRule>
  </conditionalFormatting>
  <conditionalFormatting sqref="AL650">
    <cfRule type="cellIs" dxfId="0" priority="8766" operator="equal">
      <formula>"欠"</formula>
    </cfRule>
  </conditionalFormatting>
  <conditionalFormatting sqref="Q651">
    <cfRule type="cellIs" dxfId="0" priority="8786" operator="equal">
      <formula>"欠"</formula>
    </cfRule>
  </conditionalFormatting>
  <conditionalFormatting sqref="AK651">
    <cfRule type="cellIs" dxfId="1" priority="8772" operator="equal">
      <formula>"未完成"</formula>
    </cfRule>
    <cfRule type="cellIs" dxfId="0" priority="8779" operator="equal">
      <formula>"未完成"</formula>
    </cfRule>
  </conditionalFormatting>
  <conditionalFormatting sqref="AL651">
    <cfRule type="cellIs" dxfId="0" priority="8765" operator="equal">
      <formula>"欠"</formula>
    </cfRule>
  </conditionalFormatting>
  <conditionalFormatting sqref="Q653">
    <cfRule type="cellIs" dxfId="0" priority="8241" operator="equal">
      <formula>"欠"</formula>
    </cfRule>
  </conditionalFormatting>
  <conditionalFormatting sqref="R653">
    <cfRule type="cellIs" dxfId="0" priority="8236" operator="equal">
      <formula>"欠"</formula>
    </cfRule>
    <cfRule type="containsText" dxfId="0" priority="8237" operator="between" text="欠">
      <formula>NOT(ISERROR(SEARCH("欠",R653)))</formula>
    </cfRule>
  </conditionalFormatting>
  <conditionalFormatting sqref="V653">
    <cfRule type="cellIs" dxfId="0" priority="8232" operator="equal">
      <formula>"欠"</formula>
    </cfRule>
  </conditionalFormatting>
  <conditionalFormatting sqref="S656">
    <cfRule type="cellIs" dxfId="0" priority="7531" operator="equal">
      <formula>"欠"</formula>
    </cfRule>
  </conditionalFormatting>
  <conditionalFormatting sqref="Q657">
    <cfRule type="cellIs" dxfId="0" priority="7557" operator="equal">
      <formula>"欠"</formula>
    </cfRule>
  </conditionalFormatting>
  <conditionalFormatting sqref="S657">
    <cfRule type="cellIs" dxfId="0" priority="7532" operator="equal">
      <formula>"欠"</formula>
    </cfRule>
  </conditionalFormatting>
  <conditionalFormatting sqref="V657">
    <cfRule type="cellIs" dxfId="0" priority="7548" operator="equal">
      <formula>"欠"</formula>
    </cfRule>
  </conditionalFormatting>
  <conditionalFormatting sqref="AK657">
    <cfRule type="cellIs" dxfId="1" priority="7555" operator="equal">
      <formula>"未完成"</formula>
    </cfRule>
    <cfRule type="cellIs" dxfId="0" priority="7556" operator="equal">
      <formula>"未完成"</formula>
    </cfRule>
  </conditionalFormatting>
  <conditionalFormatting sqref="AL657">
    <cfRule type="cellIs" dxfId="0" priority="7554" operator="equal">
      <formula>"欠"</formula>
    </cfRule>
  </conditionalFormatting>
  <conditionalFormatting sqref="S661">
    <cfRule type="cellIs" dxfId="0" priority="8329" operator="equal">
      <formula>"欠"</formula>
    </cfRule>
  </conditionalFormatting>
  <conditionalFormatting sqref="T661:U661">
    <cfRule type="cellIs" dxfId="0" priority="8328" operator="equal">
      <formula>"欠"</formula>
    </cfRule>
  </conditionalFormatting>
  <conditionalFormatting sqref="Q662">
    <cfRule type="cellIs" dxfId="0" priority="6872" operator="equal">
      <formula>"欠"</formula>
    </cfRule>
  </conditionalFormatting>
  <conditionalFormatting sqref="R662">
    <cfRule type="cellIs" dxfId="0" priority="6984" operator="equal">
      <formula>"欠"</formula>
    </cfRule>
    <cfRule type="containsText" dxfId="0" priority="6928" operator="between" text="欠">
      <formula>NOT(ISERROR(SEARCH("欠",R662)))</formula>
    </cfRule>
  </conditionalFormatting>
  <conditionalFormatting sqref="S662">
    <cfRule type="cellIs" dxfId="0" priority="6648" operator="equal">
      <formula>"欠"</formula>
    </cfRule>
  </conditionalFormatting>
  <conditionalFormatting sqref="T662:U662">
    <cfRule type="containsText" dxfId="0" priority="6536" operator="between" text="欠">
      <formula>NOT(ISERROR(SEARCH("欠",T662)))</formula>
    </cfRule>
    <cfRule type="cellIs" dxfId="0" priority="6592" operator="equal">
      <formula>"欠"</formula>
    </cfRule>
  </conditionalFormatting>
  <conditionalFormatting sqref="AK662">
    <cfRule type="cellIs" dxfId="1" priority="6760" operator="equal">
      <formula>"未完成"</formula>
    </cfRule>
    <cfRule type="cellIs" dxfId="0" priority="6816" operator="equal">
      <formula>"未完成"</formula>
    </cfRule>
  </conditionalFormatting>
  <conditionalFormatting sqref="AL662">
    <cfRule type="cellIs" dxfId="0" priority="6704" operator="equal">
      <formula>"欠"</formula>
    </cfRule>
  </conditionalFormatting>
  <conditionalFormatting sqref="Q663">
    <cfRule type="cellIs" dxfId="0" priority="6871" operator="equal">
      <formula>"欠"</formula>
    </cfRule>
  </conditionalFormatting>
  <conditionalFormatting sqref="R663">
    <cfRule type="cellIs" dxfId="0" priority="6983" operator="equal">
      <formula>"欠"</formula>
    </cfRule>
    <cfRule type="containsText" dxfId="0" priority="6927" operator="between" text="欠">
      <formula>NOT(ISERROR(SEARCH("欠",R663)))</formula>
    </cfRule>
  </conditionalFormatting>
  <conditionalFormatting sqref="S663">
    <cfRule type="cellIs" dxfId="0" priority="6647" operator="equal">
      <formula>"欠"</formula>
    </cfRule>
  </conditionalFormatting>
  <conditionalFormatting sqref="T663:U663">
    <cfRule type="containsText" dxfId="0" priority="6535" operator="between" text="欠">
      <formula>NOT(ISERROR(SEARCH("欠",T663)))</formula>
    </cfRule>
    <cfRule type="cellIs" dxfId="0" priority="6591" operator="equal">
      <formula>"欠"</formula>
    </cfRule>
  </conditionalFormatting>
  <conditionalFormatting sqref="AK663">
    <cfRule type="cellIs" dxfId="1" priority="6759" operator="equal">
      <formula>"未完成"</formula>
    </cfRule>
    <cfRule type="cellIs" dxfId="0" priority="6815" operator="equal">
      <formula>"未完成"</formula>
    </cfRule>
  </conditionalFormatting>
  <conditionalFormatting sqref="AL663">
    <cfRule type="cellIs" dxfId="0" priority="6703" operator="equal">
      <formula>"欠"</formula>
    </cfRule>
  </conditionalFormatting>
  <conditionalFormatting sqref="Q664">
    <cfRule type="cellIs" dxfId="0" priority="6870" operator="equal">
      <formula>"欠"</formula>
    </cfRule>
  </conditionalFormatting>
  <conditionalFormatting sqref="R664">
    <cfRule type="cellIs" dxfId="0" priority="6982" operator="equal">
      <formula>"欠"</formula>
    </cfRule>
    <cfRule type="containsText" dxfId="0" priority="6926" operator="between" text="欠">
      <formula>NOT(ISERROR(SEARCH("欠",R664)))</formula>
    </cfRule>
  </conditionalFormatting>
  <conditionalFormatting sqref="S664">
    <cfRule type="cellIs" dxfId="0" priority="6646" operator="equal">
      <formula>"欠"</formula>
    </cfRule>
  </conditionalFormatting>
  <conditionalFormatting sqref="T664:U664">
    <cfRule type="containsText" dxfId="0" priority="6534" operator="between" text="欠">
      <formula>NOT(ISERROR(SEARCH("欠",T664)))</formula>
    </cfRule>
    <cfRule type="cellIs" dxfId="0" priority="6590" operator="equal">
      <formula>"欠"</formula>
    </cfRule>
  </conditionalFormatting>
  <conditionalFormatting sqref="AK664">
    <cfRule type="cellIs" dxfId="1" priority="6758" operator="equal">
      <formula>"未完成"</formula>
    </cfRule>
    <cfRule type="cellIs" dxfId="0" priority="6814" operator="equal">
      <formula>"未完成"</formula>
    </cfRule>
  </conditionalFormatting>
  <conditionalFormatting sqref="AL664">
    <cfRule type="cellIs" dxfId="0" priority="6702" operator="equal">
      <formula>"欠"</formula>
    </cfRule>
  </conditionalFormatting>
  <conditionalFormatting sqref="Q665">
    <cfRule type="cellIs" dxfId="0" priority="6869" operator="equal">
      <formula>"欠"</formula>
    </cfRule>
  </conditionalFormatting>
  <conditionalFormatting sqref="R665">
    <cfRule type="cellIs" dxfId="0" priority="6981" operator="equal">
      <formula>"欠"</formula>
    </cfRule>
    <cfRule type="containsText" dxfId="0" priority="6925" operator="between" text="欠">
      <formula>NOT(ISERROR(SEARCH("欠",R665)))</formula>
    </cfRule>
  </conditionalFormatting>
  <conditionalFormatting sqref="S665">
    <cfRule type="cellIs" dxfId="0" priority="6645" operator="equal">
      <formula>"欠"</formula>
    </cfRule>
  </conditionalFormatting>
  <conditionalFormatting sqref="T665:U665">
    <cfRule type="containsText" dxfId="0" priority="6533" operator="between" text="欠">
      <formula>NOT(ISERROR(SEARCH("欠",T665)))</formula>
    </cfRule>
    <cfRule type="cellIs" dxfId="0" priority="6589" operator="equal">
      <formula>"欠"</formula>
    </cfRule>
  </conditionalFormatting>
  <conditionalFormatting sqref="AK665">
    <cfRule type="cellIs" dxfId="1" priority="6757" operator="equal">
      <formula>"未完成"</formula>
    </cfRule>
    <cfRule type="cellIs" dxfId="0" priority="6813" operator="equal">
      <formula>"未完成"</formula>
    </cfRule>
  </conditionalFormatting>
  <conditionalFormatting sqref="AL665">
    <cfRule type="cellIs" dxfId="0" priority="6701" operator="equal">
      <formula>"欠"</formula>
    </cfRule>
  </conditionalFormatting>
  <conditionalFormatting sqref="Q666">
    <cfRule type="cellIs" dxfId="0" priority="6868" operator="equal">
      <formula>"欠"</formula>
    </cfRule>
  </conditionalFormatting>
  <conditionalFormatting sqref="R666">
    <cfRule type="cellIs" dxfId="0" priority="6980" operator="equal">
      <formula>"欠"</formula>
    </cfRule>
    <cfRule type="containsText" dxfId="0" priority="6924" operator="between" text="欠">
      <formula>NOT(ISERROR(SEARCH("欠",R666)))</formula>
    </cfRule>
  </conditionalFormatting>
  <conditionalFormatting sqref="T666:U666">
    <cfRule type="containsText" dxfId="0" priority="6532" operator="between" text="欠">
      <formula>NOT(ISERROR(SEARCH("欠",T666)))</formula>
    </cfRule>
    <cfRule type="cellIs" dxfId="0" priority="6588" operator="equal">
      <formula>"欠"</formula>
    </cfRule>
  </conditionalFormatting>
  <conditionalFormatting sqref="AK666">
    <cfRule type="cellIs" dxfId="1" priority="6756" operator="equal">
      <formula>"未完成"</formula>
    </cfRule>
    <cfRule type="cellIs" dxfId="0" priority="6812" operator="equal">
      <formula>"未完成"</formula>
    </cfRule>
  </conditionalFormatting>
  <conditionalFormatting sqref="AL666">
    <cfRule type="cellIs" dxfId="0" priority="6700" operator="equal">
      <formula>"欠"</formula>
    </cfRule>
  </conditionalFormatting>
  <conditionalFormatting sqref="Q667">
    <cfRule type="cellIs" dxfId="0" priority="6867" operator="equal">
      <formula>"欠"</formula>
    </cfRule>
  </conditionalFormatting>
  <conditionalFormatting sqref="R667">
    <cfRule type="cellIs" dxfId="0" priority="6979" operator="equal">
      <formula>"欠"</formula>
    </cfRule>
    <cfRule type="containsText" dxfId="0" priority="6923" operator="between" text="欠">
      <formula>NOT(ISERROR(SEARCH("欠",R667)))</formula>
    </cfRule>
  </conditionalFormatting>
  <conditionalFormatting sqref="S667">
    <cfRule type="cellIs" dxfId="0" priority="6643" operator="equal">
      <formula>"欠"</formula>
    </cfRule>
  </conditionalFormatting>
  <conditionalFormatting sqref="T667:U667">
    <cfRule type="containsText" dxfId="0" priority="6531" operator="between" text="欠">
      <formula>NOT(ISERROR(SEARCH("欠",T667)))</formula>
    </cfRule>
    <cfRule type="cellIs" dxfId="0" priority="6587" operator="equal">
      <formula>"欠"</formula>
    </cfRule>
  </conditionalFormatting>
  <conditionalFormatting sqref="AK667">
    <cfRule type="cellIs" dxfId="1" priority="6755" operator="equal">
      <formula>"未完成"</formula>
    </cfRule>
    <cfRule type="cellIs" dxfId="0" priority="6811" operator="equal">
      <formula>"未完成"</formula>
    </cfRule>
  </conditionalFormatting>
  <conditionalFormatting sqref="AL667">
    <cfRule type="cellIs" dxfId="0" priority="6699" operator="equal">
      <formula>"欠"</formula>
    </cfRule>
  </conditionalFormatting>
  <conditionalFormatting sqref="Q668">
    <cfRule type="cellIs" dxfId="0" priority="6866" operator="equal">
      <formula>"欠"</formula>
    </cfRule>
  </conditionalFormatting>
  <conditionalFormatting sqref="R668">
    <cfRule type="cellIs" dxfId="0" priority="6978" operator="equal">
      <formula>"欠"</formula>
    </cfRule>
    <cfRule type="containsText" dxfId="0" priority="6922" operator="between" text="欠">
      <formula>NOT(ISERROR(SEARCH("欠",R668)))</formula>
    </cfRule>
  </conditionalFormatting>
  <conditionalFormatting sqref="S668">
    <cfRule type="cellIs" dxfId="0" priority="6642" operator="equal">
      <formula>"欠"</formula>
    </cfRule>
  </conditionalFormatting>
  <conditionalFormatting sqref="T668:U668">
    <cfRule type="containsText" dxfId="0" priority="6530" operator="between" text="欠">
      <formula>NOT(ISERROR(SEARCH("欠",T668)))</formula>
    </cfRule>
    <cfRule type="cellIs" dxfId="0" priority="6586" operator="equal">
      <formula>"欠"</formula>
    </cfRule>
  </conditionalFormatting>
  <conditionalFormatting sqref="AK668">
    <cfRule type="cellIs" dxfId="1" priority="6754" operator="equal">
      <formula>"未完成"</formula>
    </cfRule>
    <cfRule type="cellIs" dxfId="0" priority="6810" operator="equal">
      <formula>"未完成"</formula>
    </cfRule>
  </conditionalFormatting>
  <conditionalFormatting sqref="AL668">
    <cfRule type="cellIs" dxfId="0" priority="6698" operator="equal">
      <formula>"欠"</formula>
    </cfRule>
  </conditionalFormatting>
  <conditionalFormatting sqref="Q669">
    <cfRule type="cellIs" dxfId="0" priority="6865" operator="equal">
      <formula>"欠"</formula>
    </cfRule>
  </conditionalFormatting>
  <conditionalFormatting sqref="R669">
    <cfRule type="cellIs" dxfId="0" priority="6977" operator="equal">
      <formula>"欠"</formula>
    </cfRule>
    <cfRule type="containsText" dxfId="0" priority="6921" operator="between" text="欠">
      <formula>NOT(ISERROR(SEARCH("欠",R669)))</formula>
    </cfRule>
  </conditionalFormatting>
  <conditionalFormatting sqref="AK669">
    <cfRule type="cellIs" dxfId="1" priority="6753" operator="equal">
      <formula>"未完成"</formula>
    </cfRule>
    <cfRule type="cellIs" dxfId="0" priority="6809" operator="equal">
      <formula>"未完成"</formula>
    </cfRule>
  </conditionalFormatting>
  <conditionalFormatting sqref="AL669">
    <cfRule type="cellIs" dxfId="0" priority="6697" operator="equal">
      <formula>"欠"</formula>
    </cfRule>
  </conditionalFormatting>
  <conditionalFormatting sqref="Q670">
    <cfRule type="cellIs" dxfId="0" priority="6864" operator="equal">
      <formula>"欠"</formula>
    </cfRule>
  </conditionalFormatting>
  <conditionalFormatting sqref="R670">
    <cfRule type="cellIs" dxfId="0" priority="6976" operator="equal">
      <formula>"欠"</formula>
    </cfRule>
    <cfRule type="containsText" dxfId="0" priority="6920" operator="between" text="欠">
      <formula>NOT(ISERROR(SEARCH("欠",R670)))</formula>
    </cfRule>
  </conditionalFormatting>
  <conditionalFormatting sqref="S670">
    <cfRule type="cellIs" dxfId="0" priority="6640" operator="equal">
      <formula>"欠"</formula>
    </cfRule>
  </conditionalFormatting>
  <conditionalFormatting sqref="T670:U670">
    <cfRule type="containsText" dxfId="0" priority="6528" operator="between" text="欠">
      <formula>NOT(ISERROR(SEARCH("欠",T670)))</formula>
    </cfRule>
    <cfRule type="cellIs" dxfId="0" priority="6584" operator="equal">
      <formula>"欠"</formula>
    </cfRule>
  </conditionalFormatting>
  <conditionalFormatting sqref="AK670">
    <cfRule type="cellIs" dxfId="1" priority="6752" operator="equal">
      <formula>"未完成"</formula>
    </cfRule>
    <cfRule type="cellIs" dxfId="0" priority="6808" operator="equal">
      <formula>"未完成"</formula>
    </cfRule>
  </conditionalFormatting>
  <conditionalFormatting sqref="AL670">
    <cfRule type="cellIs" dxfId="0" priority="6696" operator="equal">
      <formula>"欠"</formula>
    </cfRule>
  </conditionalFormatting>
  <conditionalFormatting sqref="Q671">
    <cfRule type="cellIs" dxfId="0" priority="6863" operator="equal">
      <formula>"欠"</formula>
    </cfRule>
  </conditionalFormatting>
  <conditionalFormatting sqref="R671">
    <cfRule type="cellIs" dxfId="0" priority="6975" operator="equal">
      <formula>"欠"</formula>
    </cfRule>
    <cfRule type="containsText" dxfId="0" priority="6919" operator="between" text="欠">
      <formula>NOT(ISERROR(SEARCH("欠",R671)))</formula>
    </cfRule>
  </conditionalFormatting>
  <conditionalFormatting sqref="S671">
    <cfRule type="cellIs" dxfId="0" priority="6639" operator="equal">
      <formula>"欠"</formula>
    </cfRule>
  </conditionalFormatting>
  <conditionalFormatting sqref="T671:U671">
    <cfRule type="containsText" dxfId="0" priority="6527" operator="between" text="欠">
      <formula>NOT(ISERROR(SEARCH("欠",T671)))</formula>
    </cfRule>
    <cfRule type="cellIs" dxfId="0" priority="6583" operator="equal">
      <formula>"欠"</formula>
    </cfRule>
  </conditionalFormatting>
  <conditionalFormatting sqref="AK671">
    <cfRule type="cellIs" dxfId="1" priority="6751" operator="equal">
      <formula>"未完成"</formula>
    </cfRule>
    <cfRule type="cellIs" dxfId="0" priority="6807" operator="equal">
      <formula>"未完成"</formula>
    </cfRule>
  </conditionalFormatting>
  <conditionalFormatting sqref="AL671">
    <cfRule type="cellIs" dxfId="0" priority="6695" operator="equal">
      <formula>"欠"</formula>
    </cfRule>
  </conditionalFormatting>
  <conditionalFormatting sqref="Q672">
    <cfRule type="cellIs" dxfId="0" priority="6862" operator="equal">
      <formula>"欠"</formula>
    </cfRule>
  </conditionalFormatting>
  <conditionalFormatting sqref="R672">
    <cfRule type="cellIs" dxfId="0" priority="6974" operator="equal">
      <formula>"欠"</formula>
    </cfRule>
    <cfRule type="containsText" dxfId="0" priority="6918" operator="between" text="欠">
      <formula>NOT(ISERROR(SEARCH("欠",R672)))</formula>
    </cfRule>
  </conditionalFormatting>
  <conditionalFormatting sqref="S672">
    <cfRule type="cellIs" dxfId="0" priority="6638" operator="equal">
      <formula>"欠"</formula>
    </cfRule>
  </conditionalFormatting>
  <conditionalFormatting sqref="T672:U672">
    <cfRule type="containsText" dxfId="0" priority="6526" operator="between" text="欠">
      <formula>NOT(ISERROR(SEARCH("欠",T672)))</formula>
    </cfRule>
    <cfRule type="cellIs" dxfId="0" priority="6582" operator="equal">
      <formula>"欠"</formula>
    </cfRule>
  </conditionalFormatting>
  <conditionalFormatting sqref="AK672">
    <cfRule type="cellIs" dxfId="1" priority="6750" operator="equal">
      <formula>"未完成"</formula>
    </cfRule>
    <cfRule type="cellIs" dxfId="0" priority="6806" operator="equal">
      <formula>"未完成"</formula>
    </cfRule>
  </conditionalFormatting>
  <conditionalFormatting sqref="AL672">
    <cfRule type="cellIs" dxfId="0" priority="6694" operator="equal">
      <formula>"欠"</formula>
    </cfRule>
  </conditionalFormatting>
  <conditionalFormatting sqref="Q673">
    <cfRule type="cellIs" dxfId="0" priority="6861" operator="equal">
      <formula>"欠"</formula>
    </cfRule>
  </conditionalFormatting>
  <conditionalFormatting sqref="R673">
    <cfRule type="cellIs" dxfId="0" priority="6973" operator="equal">
      <formula>"欠"</formula>
    </cfRule>
    <cfRule type="containsText" dxfId="0" priority="6917" operator="between" text="欠">
      <formula>NOT(ISERROR(SEARCH("欠",R673)))</formula>
    </cfRule>
  </conditionalFormatting>
  <conditionalFormatting sqref="S673">
    <cfRule type="cellIs" dxfId="0" priority="6637" operator="equal">
      <formula>"欠"</formula>
    </cfRule>
  </conditionalFormatting>
  <conditionalFormatting sqref="T673:U673">
    <cfRule type="containsText" dxfId="0" priority="6525" operator="between" text="欠">
      <formula>NOT(ISERROR(SEARCH("欠",T673)))</formula>
    </cfRule>
    <cfRule type="cellIs" dxfId="0" priority="6581" operator="equal">
      <formula>"欠"</formula>
    </cfRule>
  </conditionalFormatting>
  <conditionalFormatting sqref="AK673">
    <cfRule type="cellIs" dxfId="1" priority="6749" operator="equal">
      <formula>"未完成"</formula>
    </cfRule>
    <cfRule type="cellIs" dxfId="0" priority="6805" operator="equal">
      <formula>"未完成"</formula>
    </cfRule>
  </conditionalFormatting>
  <conditionalFormatting sqref="AL673">
    <cfRule type="cellIs" dxfId="0" priority="6693" operator="equal">
      <formula>"欠"</formula>
    </cfRule>
  </conditionalFormatting>
  <conditionalFormatting sqref="Q674">
    <cfRule type="cellIs" dxfId="0" priority="6860" operator="equal">
      <formula>"欠"</formula>
    </cfRule>
  </conditionalFormatting>
  <conditionalFormatting sqref="R674">
    <cfRule type="cellIs" dxfId="0" priority="6972" operator="equal">
      <formula>"欠"</formula>
    </cfRule>
    <cfRule type="containsText" dxfId="0" priority="6916" operator="between" text="欠">
      <formula>NOT(ISERROR(SEARCH("欠",R674)))</formula>
    </cfRule>
  </conditionalFormatting>
  <conditionalFormatting sqref="S674">
    <cfRule type="cellIs" dxfId="0" priority="6636" operator="equal">
      <formula>"欠"</formula>
    </cfRule>
  </conditionalFormatting>
  <conditionalFormatting sqref="T674:U674">
    <cfRule type="containsText" dxfId="0" priority="6524" operator="between" text="欠">
      <formula>NOT(ISERROR(SEARCH("欠",T674)))</formula>
    </cfRule>
    <cfRule type="cellIs" dxfId="0" priority="6580" operator="equal">
      <formula>"欠"</formula>
    </cfRule>
  </conditionalFormatting>
  <conditionalFormatting sqref="AK674">
    <cfRule type="cellIs" dxfId="1" priority="6748" operator="equal">
      <formula>"未完成"</formula>
    </cfRule>
    <cfRule type="cellIs" dxfId="0" priority="6804" operator="equal">
      <formula>"未完成"</formula>
    </cfRule>
  </conditionalFormatting>
  <conditionalFormatting sqref="AL674">
    <cfRule type="cellIs" dxfId="0" priority="6692" operator="equal">
      <formula>"欠"</formula>
    </cfRule>
  </conditionalFormatting>
  <conditionalFormatting sqref="Q675">
    <cfRule type="cellIs" dxfId="0" priority="6859" operator="equal">
      <formula>"欠"</formula>
    </cfRule>
  </conditionalFormatting>
  <conditionalFormatting sqref="R675">
    <cfRule type="cellIs" dxfId="0" priority="6971" operator="equal">
      <formula>"欠"</formula>
    </cfRule>
    <cfRule type="containsText" dxfId="0" priority="6915" operator="between" text="欠">
      <formula>NOT(ISERROR(SEARCH("欠",R675)))</formula>
    </cfRule>
  </conditionalFormatting>
  <conditionalFormatting sqref="S675">
    <cfRule type="cellIs" dxfId="0" priority="6635" operator="equal">
      <formula>"欠"</formula>
    </cfRule>
  </conditionalFormatting>
  <conditionalFormatting sqref="T675:U675">
    <cfRule type="containsText" dxfId="0" priority="6523" operator="between" text="欠">
      <formula>NOT(ISERROR(SEARCH("欠",T675)))</formula>
    </cfRule>
    <cfRule type="cellIs" dxfId="0" priority="6579" operator="equal">
      <formula>"欠"</formula>
    </cfRule>
  </conditionalFormatting>
  <conditionalFormatting sqref="AK675">
    <cfRule type="cellIs" dxfId="1" priority="6747" operator="equal">
      <formula>"未完成"</formula>
    </cfRule>
    <cfRule type="cellIs" dxfId="0" priority="6803" operator="equal">
      <formula>"未完成"</formula>
    </cfRule>
  </conditionalFormatting>
  <conditionalFormatting sqref="AL675">
    <cfRule type="cellIs" dxfId="0" priority="6691" operator="equal">
      <formula>"欠"</formula>
    </cfRule>
  </conditionalFormatting>
  <conditionalFormatting sqref="Q676">
    <cfRule type="cellIs" dxfId="0" priority="6858" operator="equal">
      <formula>"欠"</formula>
    </cfRule>
  </conditionalFormatting>
  <conditionalFormatting sqref="R676">
    <cfRule type="cellIs" dxfId="0" priority="6970" operator="equal">
      <formula>"欠"</formula>
    </cfRule>
    <cfRule type="containsText" dxfId="0" priority="6914" operator="between" text="欠">
      <formula>NOT(ISERROR(SEARCH("欠",R676)))</formula>
    </cfRule>
  </conditionalFormatting>
  <conditionalFormatting sqref="S676">
    <cfRule type="cellIs" dxfId="0" priority="6634" operator="equal">
      <formula>"欠"</formula>
    </cfRule>
  </conditionalFormatting>
  <conditionalFormatting sqref="T676:U676">
    <cfRule type="containsText" dxfId="0" priority="6522" operator="between" text="欠">
      <formula>NOT(ISERROR(SEARCH("欠",T676)))</formula>
    </cfRule>
    <cfRule type="cellIs" dxfId="0" priority="6578" operator="equal">
      <formula>"欠"</formula>
    </cfRule>
  </conditionalFormatting>
  <conditionalFormatting sqref="AK676">
    <cfRule type="cellIs" dxfId="1" priority="6746" operator="equal">
      <formula>"未完成"</formula>
    </cfRule>
    <cfRule type="cellIs" dxfId="0" priority="6802" operator="equal">
      <formula>"未完成"</formula>
    </cfRule>
  </conditionalFormatting>
  <conditionalFormatting sqref="AL676">
    <cfRule type="cellIs" dxfId="0" priority="6690" operator="equal">
      <formula>"欠"</formula>
    </cfRule>
  </conditionalFormatting>
  <conditionalFormatting sqref="Q677">
    <cfRule type="cellIs" dxfId="0" priority="6857" operator="equal">
      <formula>"欠"</formula>
    </cfRule>
  </conditionalFormatting>
  <conditionalFormatting sqref="R677">
    <cfRule type="cellIs" dxfId="0" priority="6969" operator="equal">
      <formula>"欠"</formula>
    </cfRule>
    <cfRule type="containsText" dxfId="0" priority="6913" operator="between" text="欠">
      <formula>NOT(ISERROR(SEARCH("欠",R677)))</formula>
    </cfRule>
  </conditionalFormatting>
  <conditionalFormatting sqref="S677">
    <cfRule type="cellIs" dxfId="0" priority="6633" operator="equal">
      <formula>"欠"</formula>
    </cfRule>
  </conditionalFormatting>
  <conditionalFormatting sqref="T677:U677">
    <cfRule type="containsText" dxfId="0" priority="6521" operator="between" text="欠">
      <formula>NOT(ISERROR(SEARCH("欠",T677)))</formula>
    </cfRule>
    <cfRule type="cellIs" dxfId="0" priority="6577" operator="equal">
      <formula>"欠"</formula>
    </cfRule>
  </conditionalFormatting>
  <conditionalFormatting sqref="AK677">
    <cfRule type="cellIs" dxfId="1" priority="6745" operator="equal">
      <formula>"未完成"</formula>
    </cfRule>
    <cfRule type="cellIs" dxfId="0" priority="6801" operator="equal">
      <formula>"未完成"</formula>
    </cfRule>
  </conditionalFormatting>
  <conditionalFormatting sqref="AL677">
    <cfRule type="cellIs" dxfId="0" priority="6689" operator="equal">
      <formula>"欠"</formula>
    </cfRule>
  </conditionalFormatting>
  <conditionalFormatting sqref="Q678">
    <cfRule type="cellIs" dxfId="0" priority="6856" operator="equal">
      <formula>"欠"</formula>
    </cfRule>
  </conditionalFormatting>
  <conditionalFormatting sqref="R678">
    <cfRule type="cellIs" dxfId="0" priority="6968" operator="equal">
      <formula>"欠"</formula>
    </cfRule>
    <cfRule type="containsText" dxfId="0" priority="6912" operator="between" text="欠">
      <formula>NOT(ISERROR(SEARCH("欠",R678)))</formula>
    </cfRule>
  </conditionalFormatting>
  <conditionalFormatting sqref="S678">
    <cfRule type="cellIs" dxfId="0" priority="6632" operator="equal">
      <formula>"欠"</formula>
    </cfRule>
  </conditionalFormatting>
  <conditionalFormatting sqref="T678:U678">
    <cfRule type="containsText" dxfId="0" priority="6520" operator="between" text="欠">
      <formula>NOT(ISERROR(SEARCH("欠",T678)))</formula>
    </cfRule>
    <cfRule type="cellIs" dxfId="0" priority="6576" operator="equal">
      <formula>"欠"</formula>
    </cfRule>
  </conditionalFormatting>
  <conditionalFormatting sqref="AK678">
    <cfRule type="cellIs" dxfId="1" priority="6744" operator="equal">
      <formula>"未完成"</formula>
    </cfRule>
    <cfRule type="cellIs" dxfId="0" priority="6800" operator="equal">
      <formula>"未完成"</formula>
    </cfRule>
  </conditionalFormatting>
  <conditionalFormatting sqref="AL678">
    <cfRule type="cellIs" dxfId="0" priority="6688" operator="equal">
      <formula>"欠"</formula>
    </cfRule>
  </conditionalFormatting>
  <conditionalFormatting sqref="Q679">
    <cfRule type="cellIs" dxfId="0" priority="6855" operator="equal">
      <formula>"欠"</formula>
    </cfRule>
  </conditionalFormatting>
  <conditionalFormatting sqref="R679">
    <cfRule type="cellIs" dxfId="0" priority="6967" operator="equal">
      <formula>"欠"</formula>
    </cfRule>
    <cfRule type="containsText" dxfId="0" priority="6911" operator="between" text="欠">
      <formula>NOT(ISERROR(SEARCH("欠",R679)))</formula>
    </cfRule>
  </conditionalFormatting>
  <conditionalFormatting sqref="S679">
    <cfRule type="cellIs" dxfId="0" priority="6631" operator="equal">
      <formula>"欠"</formula>
    </cfRule>
  </conditionalFormatting>
  <conditionalFormatting sqref="T679:U679">
    <cfRule type="containsText" dxfId="0" priority="6519" operator="between" text="欠">
      <formula>NOT(ISERROR(SEARCH("欠",T679)))</formula>
    </cfRule>
    <cfRule type="cellIs" dxfId="0" priority="6575" operator="equal">
      <formula>"欠"</formula>
    </cfRule>
  </conditionalFormatting>
  <conditionalFormatting sqref="AK679">
    <cfRule type="cellIs" dxfId="1" priority="6743" operator="equal">
      <formula>"未完成"</formula>
    </cfRule>
    <cfRule type="cellIs" dxfId="0" priority="6799" operator="equal">
      <formula>"未完成"</formula>
    </cfRule>
  </conditionalFormatting>
  <conditionalFormatting sqref="AL679">
    <cfRule type="cellIs" dxfId="0" priority="6687" operator="equal">
      <formula>"欠"</formula>
    </cfRule>
  </conditionalFormatting>
  <conditionalFormatting sqref="Q680">
    <cfRule type="cellIs" dxfId="0" priority="6854" operator="equal">
      <formula>"欠"</formula>
    </cfRule>
  </conditionalFormatting>
  <conditionalFormatting sqref="R680">
    <cfRule type="cellIs" dxfId="0" priority="6966" operator="equal">
      <formula>"欠"</formula>
    </cfRule>
    <cfRule type="containsText" dxfId="0" priority="6910" operator="between" text="欠">
      <formula>NOT(ISERROR(SEARCH("欠",R680)))</formula>
    </cfRule>
  </conditionalFormatting>
  <conditionalFormatting sqref="S680">
    <cfRule type="cellIs" dxfId="0" priority="6630" operator="equal">
      <formula>"欠"</formula>
    </cfRule>
  </conditionalFormatting>
  <conditionalFormatting sqref="T680:U680">
    <cfRule type="containsText" dxfId="0" priority="6518" operator="between" text="欠">
      <formula>NOT(ISERROR(SEARCH("欠",T680)))</formula>
    </cfRule>
    <cfRule type="cellIs" dxfId="0" priority="6574" operator="equal">
      <formula>"欠"</formula>
    </cfRule>
  </conditionalFormatting>
  <conditionalFormatting sqref="AK680">
    <cfRule type="cellIs" dxfId="1" priority="6742" operator="equal">
      <formula>"未完成"</formula>
    </cfRule>
    <cfRule type="cellIs" dxfId="0" priority="6798" operator="equal">
      <formula>"未完成"</formula>
    </cfRule>
  </conditionalFormatting>
  <conditionalFormatting sqref="AL680">
    <cfRule type="cellIs" dxfId="0" priority="6686" operator="equal">
      <formula>"欠"</formula>
    </cfRule>
  </conditionalFormatting>
  <conditionalFormatting sqref="Q681">
    <cfRule type="cellIs" dxfId="0" priority="6853" operator="equal">
      <formula>"欠"</formula>
    </cfRule>
  </conditionalFormatting>
  <conditionalFormatting sqref="R681">
    <cfRule type="cellIs" dxfId="0" priority="6965" operator="equal">
      <formula>"欠"</formula>
    </cfRule>
    <cfRule type="containsText" dxfId="0" priority="6909" operator="between" text="欠">
      <formula>NOT(ISERROR(SEARCH("欠",R681)))</formula>
    </cfRule>
  </conditionalFormatting>
  <conditionalFormatting sqref="S681">
    <cfRule type="cellIs" dxfId="0" priority="6629" operator="equal">
      <formula>"欠"</formula>
    </cfRule>
  </conditionalFormatting>
  <conditionalFormatting sqref="T681:U681">
    <cfRule type="containsText" dxfId="0" priority="6517" operator="between" text="欠">
      <formula>NOT(ISERROR(SEARCH("欠",T681)))</formula>
    </cfRule>
    <cfRule type="cellIs" dxfId="0" priority="6573" operator="equal">
      <formula>"欠"</formula>
    </cfRule>
  </conditionalFormatting>
  <conditionalFormatting sqref="AK681">
    <cfRule type="cellIs" dxfId="1" priority="6741" operator="equal">
      <formula>"未完成"</formula>
    </cfRule>
    <cfRule type="cellIs" dxfId="0" priority="6797" operator="equal">
      <formula>"未完成"</formula>
    </cfRule>
  </conditionalFormatting>
  <conditionalFormatting sqref="AL681">
    <cfRule type="cellIs" dxfId="0" priority="6685" operator="equal">
      <formula>"欠"</formula>
    </cfRule>
  </conditionalFormatting>
  <conditionalFormatting sqref="Q682">
    <cfRule type="cellIs" dxfId="0" priority="6852" operator="equal">
      <formula>"欠"</formula>
    </cfRule>
  </conditionalFormatting>
  <conditionalFormatting sqref="R682">
    <cfRule type="cellIs" dxfId="0" priority="6964" operator="equal">
      <formula>"欠"</formula>
    </cfRule>
    <cfRule type="containsText" dxfId="0" priority="6908" operator="between" text="欠">
      <formula>NOT(ISERROR(SEARCH("欠",R682)))</formula>
    </cfRule>
  </conditionalFormatting>
  <conditionalFormatting sqref="S682">
    <cfRule type="cellIs" dxfId="0" priority="6628" operator="equal">
      <formula>"欠"</formula>
    </cfRule>
  </conditionalFormatting>
  <conditionalFormatting sqref="AK682">
    <cfRule type="cellIs" dxfId="1" priority="6740" operator="equal">
      <formula>"未完成"</formula>
    </cfRule>
    <cfRule type="cellIs" dxfId="0" priority="6796" operator="equal">
      <formula>"未完成"</formula>
    </cfRule>
  </conditionalFormatting>
  <conditionalFormatting sqref="AL682">
    <cfRule type="cellIs" dxfId="0" priority="6684" operator="equal">
      <formula>"欠"</formula>
    </cfRule>
  </conditionalFormatting>
  <conditionalFormatting sqref="Q683">
    <cfRule type="cellIs" dxfId="0" priority="6851" operator="equal">
      <formula>"欠"</formula>
    </cfRule>
  </conditionalFormatting>
  <conditionalFormatting sqref="R683">
    <cfRule type="cellIs" dxfId="0" priority="6963" operator="equal">
      <formula>"欠"</formula>
    </cfRule>
    <cfRule type="containsText" dxfId="0" priority="6907" operator="between" text="欠">
      <formula>NOT(ISERROR(SEARCH("欠",R683)))</formula>
    </cfRule>
  </conditionalFormatting>
  <conditionalFormatting sqref="S683">
    <cfRule type="cellIs" dxfId="0" priority="6627" operator="equal">
      <formula>"欠"</formula>
    </cfRule>
  </conditionalFormatting>
  <conditionalFormatting sqref="AK683">
    <cfRule type="cellIs" dxfId="1" priority="6739" operator="equal">
      <formula>"未完成"</formula>
    </cfRule>
    <cfRule type="cellIs" dxfId="0" priority="6795" operator="equal">
      <formula>"未完成"</formula>
    </cfRule>
  </conditionalFormatting>
  <conditionalFormatting sqref="AL683">
    <cfRule type="cellIs" dxfId="0" priority="6683" operator="equal">
      <formula>"欠"</formula>
    </cfRule>
  </conditionalFormatting>
  <conditionalFormatting sqref="Q684">
    <cfRule type="cellIs" dxfId="0" priority="6850" operator="equal">
      <formula>"欠"</formula>
    </cfRule>
  </conditionalFormatting>
  <conditionalFormatting sqref="R684">
    <cfRule type="cellIs" dxfId="0" priority="6962" operator="equal">
      <formula>"欠"</formula>
    </cfRule>
    <cfRule type="containsText" dxfId="0" priority="6906" operator="between" text="欠">
      <formula>NOT(ISERROR(SEARCH("欠",R684)))</formula>
    </cfRule>
  </conditionalFormatting>
  <conditionalFormatting sqref="S684">
    <cfRule type="cellIs" dxfId="0" priority="6626" operator="equal">
      <formula>"欠"</formula>
    </cfRule>
  </conditionalFormatting>
  <conditionalFormatting sqref="T684:U684">
    <cfRule type="containsText" dxfId="0" priority="6514" operator="between" text="欠">
      <formula>NOT(ISERROR(SEARCH("欠",T684)))</formula>
    </cfRule>
    <cfRule type="cellIs" dxfId="0" priority="6570" operator="equal">
      <formula>"欠"</formula>
    </cfRule>
  </conditionalFormatting>
  <conditionalFormatting sqref="AK684">
    <cfRule type="cellIs" dxfId="1" priority="6738" operator="equal">
      <formula>"未完成"</formula>
    </cfRule>
    <cfRule type="cellIs" dxfId="0" priority="6794" operator="equal">
      <formula>"未完成"</formula>
    </cfRule>
  </conditionalFormatting>
  <conditionalFormatting sqref="AL684">
    <cfRule type="cellIs" dxfId="0" priority="6682" operator="equal">
      <formula>"欠"</formula>
    </cfRule>
  </conditionalFormatting>
  <conditionalFormatting sqref="Q685">
    <cfRule type="cellIs" dxfId="0" priority="6849" operator="equal">
      <formula>"欠"</formula>
    </cfRule>
  </conditionalFormatting>
  <conditionalFormatting sqref="R685">
    <cfRule type="cellIs" dxfId="0" priority="6961" operator="equal">
      <formula>"欠"</formula>
    </cfRule>
    <cfRule type="containsText" dxfId="0" priority="6905" operator="between" text="欠">
      <formula>NOT(ISERROR(SEARCH("欠",R685)))</formula>
    </cfRule>
  </conditionalFormatting>
  <conditionalFormatting sqref="S685">
    <cfRule type="cellIs" dxfId="0" priority="6625" operator="equal">
      <formula>"欠"</formula>
    </cfRule>
  </conditionalFormatting>
  <conditionalFormatting sqref="T685:U685">
    <cfRule type="containsText" dxfId="0" priority="6513" operator="between" text="欠">
      <formula>NOT(ISERROR(SEARCH("欠",T685)))</formula>
    </cfRule>
    <cfRule type="cellIs" dxfId="0" priority="6569" operator="equal">
      <formula>"欠"</formula>
    </cfRule>
  </conditionalFormatting>
  <conditionalFormatting sqref="AK685">
    <cfRule type="cellIs" dxfId="1" priority="6737" operator="equal">
      <formula>"未完成"</formula>
    </cfRule>
    <cfRule type="cellIs" dxfId="0" priority="6793" operator="equal">
      <formula>"未完成"</formula>
    </cfRule>
  </conditionalFormatting>
  <conditionalFormatting sqref="AL685">
    <cfRule type="cellIs" dxfId="0" priority="6681" operator="equal">
      <formula>"欠"</formula>
    </cfRule>
  </conditionalFormatting>
  <conditionalFormatting sqref="Q686">
    <cfRule type="cellIs" dxfId="0" priority="6848" operator="equal">
      <formula>"欠"</formula>
    </cfRule>
  </conditionalFormatting>
  <conditionalFormatting sqref="R686">
    <cfRule type="cellIs" dxfId="0" priority="6960" operator="equal">
      <formula>"欠"</formula>
    </cfRule>
    <cfRule type="containsText" dxfId="0" priority="6904" operator="between" text="欠">
      <formula>NOT(ISERROR(SEARCH("欠",R686)))</formula>
    </cfRule>
  </conditionalFormatting>
  <conditionalFormatting sqref="S686">
    <cfRule type="cellIs" dxfId="0" priority="6624" operator="equal">
      <formula>"欠"</formula>
    </cfRule>
  </conditionalFormatting>
  <conditionalFormatting sqref="T686:U686">
    <cfRule type="containsText" dxfId="0" priority="6512" operator="between" text="欠">
      <formula>NOT(ISERROR(SEARCH("欠",T686)))</formula>
    </cfRule>
    <cfRule type="cellIs" dxfId="0" priority="6568" operator="equal">
      <formula>"欠"</formula>
    </cfRule>
  </conditionalFormatting>
  <conditionalFormatting sqref="AK686">
    <cfRule type="cellIs" dxfId="1" priority="6736" operator="equal">
      <formula>"未完成"</formula>
    </cfRule>
    <cfRule type="cellIs" dxfId="0" priority="6792" operator="equal">
      <formula>"未完成"</formula>
    </cfRule>
  </conditionalFormatting>
  <conditionalFormatting sqref="AL686">
    <cfRule type="cellIs" dxfId="0" priority="6680" operator="equal">
      <formula>"欠"</formula>
    </cfRule>
  </conditionalFormatting>
  <conditionalFormatting sqref="Q687">
    <cfRule type="cellIs" dxfId="0" priority="6847" operator="equal">
      <formula>"欠"</formula>
    </cfRule>
  </conditionalFormatting>
  <conditionalFormatting sqref="R687">
    <cfRule type="cellIs" dxfId="0" priority="6959" operator="equal">
      <formula>"欠"</formula>
    </cfRule>
    <cfRule type="containsText" dxfId="0" priority="6903" operator="between" text="欠">
      <formula>NOT(ISERROR(SEARCH("欠",R687)))</formula>
    </cfRule>
  </conditionalFormatting>
  <conditionalFormatting sqref="S687">
    <cfRule type="cellIs" dxfId="0" priority="6623" operator="equal">
      <formula>"欠"</formula>
    </cfRule>
  </conditionalFormatting>
  <conditionalFormatting sqref="T687:U687">
    <cfRule type="containsText" dxfId="0" priority="6511" operator="between" text="欠">
      <formula>NOT(ISERROR(SEARCH("欠",T687)))</formula>
    </cfRule>
    <cfRule type="cellIs" dxfId="0" priority="6567" operator="equal">
      <formula>"欠"</formula>
    </cfRule>
  </conditionalFormatting>
  <conditionalFormatting sqref="AK687">
    <cfRule type="cellIs" dxfId="1" priority="6735" operator="equal">
      <formula>"未完成"</formula>
    </cfRule>
    <cfRule type="cellIs" dxfId="0" priority="6791" operator="equal">
      <formula>"未完成"</formula>
    </cfRule>
  </conditionalFormatting>
  <conditionalFormatting sqref="AL687">
    <cfRule type="cellIs" dxfId="0" priority="6679" operator="equal">
      <formula>"欠"</formula>
    </cfRule>
  </conditionalFormatting>
  <conditionalFormatting sqref="Q688">
    <cfRule type="cellIs" dxfId="0" priority="6846" operator="equal">
      <formula>"欠"</formula>
    </cfRule>
  </conditionalFormatting>
  <conditionalFormatting sqref="R688">
    <cfRule type="cellIs" dxfId="0" priority="6958" operator="equal">
      <formula>"欠"</formula>
    </cfRule>
    <cfRule type="containsText" dxfId="0" priority="6902" operator="between" text="欠">
      <formula>NOT(ISERROR(SEARCH("欠",R688)))</formula>
    </cfRule>
  </conditionalFormatting>
  <conditionalFormatting sqref="S688">
    <cfRule type="cellIs" dxfId="0" priority="6622" operator="equal">
      <formula>"欠"</formula>
    </cfRule>
  </conditionalFormatting>
  <conditionalFormatting sqref="T688:U688">
    <cfRule type="containsText" dxfId="0" priority="6510" operator="between" text="欠">
      <formula>NOT(ISERROR(SEARCH("欠",T688)))</formula>
    </cfRule>
    <cfRule type="cellIs" dxfId="0" priority="6566" operator="equal">
      <formula>"欠"</formula>
    </cfRule>
  </conditionalFormatting>
  <conditionalFormatting sqref="AK688">
    <cfRule type="cellIs" dxfId="1" priority="6734" operator="equal">
      <formula>"未完成"</formula>
    </cfRule>
    <cfRule type="cellIs" dxfId="0" priority="6790" operator="equal">
      <formula>"未完成"</formula>
    </cfRule>
  </conditionalFormatting>
  <conditionalFormatting sqref="AL688">
    <cfRule type="cellIs" dxfId="0" priority="6678" operator="equal">
      <formula>"欠"</formula>
    </cfRule>
  </conditionalFormatting>
  <conditionalFormatting sqref="Q689">
    <cfRule type="cellIs" dxfId="0" priority="6845" operator="equal">
      <formula>"欠"</formula>
    </cfRule>
  </conditionalFormatting>
  <conditionalFormatting sqref="R689">
    <cfRule type="cellIs" dxfId="0" priority="6957" operator="equal">
      <formula>"欠"</formula>
    </cfRule>
    <cfRule type="containsText" dxfId="0" priority="6901" operator="between" text="欠">
      <formula>NOT(ISERROR(SEARCH("欠",R689)))</formula>
    </cfRule>
  </conditionalFormatting>
  <conditionalFormatting sqref="S689">
    <cfRule type="cellIs" dxfId="0" priority="6621" operator="equal">
      <formula>"欠"</formula>
    </cfRule>
  </conditionalFormatting>
  <conditionalFormatting sqref="T689:U689">
    <cfRule type="containsText" dxfId="0" priority="6509" operator="between" text="欠">
      <formula>NOT(ISERROR(SEARCH("欠",T689)))</formula>
    </cfRule>
    <cfRule type="cellIs" dxfId="0" priority="6565" operator="equal">
      <formula>"欠"</formula>
    </cfRule>
  </conditionalFormatting>
  <conditionalFormatting sqref="AK689">
    <cfRule type="cellIs" dxfId="1" priority="6733" operator="equal">
      <formula>"未完成"</formula>
    </cfRule>
    <cfRule type="cellIs" dxfId="0" priority="6789" operator="equal">
      <formula>"未完成"</formula>
    </cfRule>
  </conditionalFormatting>
  <conditionalFormatting sqref="AL689">
    <cfRule type="cellIs" dxfId="0" priority="6677" operator="equal">
      <formula>"欠"</formula>
    </cfRule>
  </conditionalFormatting>
  <conditionalFormatting sqref="Q690">
    <cfRule type="cellIs" dxfId="0" priority="6844" operator="equal">
      <formula>"欠"</formula>
    </cfRule>
  </conditionalFormatting>
  <conditionalFormatting sqref="R690">
    <cfRule type="cellIs" dxfId="0" priority="6956" operator="equal">
      <formula>"欠"</formula>
    </cfRule>
    <cfRule type="containsText" dxfId="0" priority="6900" operator="between" text="欠">
      <formula>NOT(ISERROR(SEARCH("欠",R690)))</formula>
    </cfRule>
  </conditionalFormatting>
  <conditionalFormatting sqref="S690">
    <cfRule type="cellIs" dxfId="0" priority="6620" operator="equal">
      <formula>"欠"</formula>
    </cfRule>
  </conditionalFormatting>
  <conditionalFormatting sqref="T690:U690">
    <cfRule type="containsText" dxfId="0" priority="6508" operator="between" text="欠">
      <formula>NOT(ISERROR(SEARCH("欠",T690)))</formula>
    </cfRule>
    <cfRule type="cellIs" dxfId="0" priority="6564" operator="equal">
      <formula>"欠"</formula>
    </cfRule>
  </conditionalFormatting>
  <conditionalFormatting sqref="AK690">
    <cfRule type="cellIs" dxfId="1" priority="6732" operator="equal">
      <formula>"未完成"</formula>
    </cfRule>
    <cfRule type="cellIs" dxfId="0" priority="6788" operator="equal">
      <formula>"未完成"</formula>
    </cfRule>
  </conditionalFormatting>
  <conditionalFormatting sqref="AL690">
    <cfRule type="cellIs" dxfId="0" priority="6676" operator="equal">
      <formula>"欠"</formula>
    </cfRule>
  </conditionalFormatting>
  <conditionalFormatting sqref="Q691">
    <cfRule type="cellIs" dxfId="0" priority="6843" operator="equal">
      <formula>"欠"</formula>
    </cfRule>
  </conditionalFormatting>
  <conditionalFormatting sqref="R691">
    <cfRule type="cellIs" dxfId="0" priority="6955" operator="equal">
      <formula>"欠"</formula>
    </cfRule>
    <cfRule type="containsText" dxfId="0" priority="6899" operator="between" text="欠">
      <formula>NOT(ISERROR(SEARCH("欠",R691)))</formula>
    </cfRule>
  </conditionalFormatting>
  <conditionalFormatting sqref="AK691">
    <cfRule type="cellIs" dxfId="1" priority="6731" operator="equal">
      <formula>"未完成"</formula>
    </cfRule>
    <cfRule type="cellIs" dxfId="0" priority="6787" operator="equal">
      <formula>"未完成"</formula>
    </cfRule>
  </conditionalFormatting>
  <conditionalFormatting sqref="AL691">
    <cfRule type="cellIs" dxfId="0" priority="6675" operator="equal">
      <formula>"欠"</formula>
    </cfRule>
  </conditionalFormatting>
  <conditionalFormatting sqref="Q692">
    <cfRule type="cellIs" dxfId="0" priority="6842" operator="equal">
      <formula>"欠"</formula>
    </cfRule>
  </conditionalFormatting>
  <conditionalFormatting sqref="R692">
    <cfRule type="cellIs" dxfId="0" priority="6954" operator="equal">
      <formula>"欠"</formula>
    </cfRule>
    <cfRule type="containsText" dxfId="0" priority="6898" operator="between" text="欠">
      <formula>NOT(ISERROR(SEARCH("欠",R692)))</formula>
    </cfRule>
  </conditionalFormatting>
  <conditionalFormatting sqref="S692">
    <cfRule type="cellIs" dxfId="0" priority="6618" operator="equal">
      <formula>"欠"</formula>
    </cfRule>
  </conditionalFormatting>
  <conditionalFormatting sqref="T692:U692">
    <cfRule type="containsText" dxfId="0" priority="6506" operator="between" text="欠">
      <formula>NOT(ISERROR(SEARCH("欠",T692)))</formula>
    </cfRule>
    <cfRule type="cellIs" dxfId="0" priority="6562" operator="equal">
      <formula>"欠"</formula>
    </cfRule>
  </conditionalFormatting>
  <conditionalFormatting sqref="AK692">
    <cfRule type="cellIs" dxfId="1" priority="6730" operator="equal">
      <formula>"未完成"</formula>
    </cfRule>
    <cfRule type="cellIs" dxfId="0" priority="6786" operator="equal">
      <formula>"未完成"</formula>
    </cfRule>
  </conditionalFormatting>
  <conditionalFormatting sqref="AL692">
    <cfRule type="cellIs" dxfId="0" priority="6674" operator="equal">
      <formula>"欠"</formula>
    </cfRule>
  </conditionalFormatting>
  <conditionalFormatting sqref="Q693">
    <cfRule type="cellIs" dxfId="0" priority="6841" operator="equal">
      <formula>"欠"</formula>
    </cfRule>
  </conditionalFormatting>
  <conditionalFormatting sqref="R693">
    <cfRule type="cellIs" dxfId="0" priority="6953" operator="equal">
      <formula>"欠"</formula>
    </cfRule>
    <cfRule type="containsText" dxfId="0" priority="6897" operator="between" text="欠">
      <formula>NOT(ISERROR(SEARCH("欠",R693)))</formula>
    </cfRule>
  </conditionalFormatting>
  <conditionalFormatting sqref="S693">
    <cfRule type="cellIs" dxfId="0" priority="6617" operator="equal">
      <formula>"欠"</formula>
    </cfRule>
  </conditionalFormatting>
  <conditionalFormatting sqref="T693:U693">
    <cfRule type="containsText" dxfId="0" priority="6505" operator="between" text="欠">
      <formula>NOT(ISERROR(SEARCH("欠",T693)))</formula>
    </cfRule>
    <cfRule type="cellIs" dxfId="0" priority="6561" operator="equal">
      <formula>"欠"</formula>
    </cfRule>
  </conditionalFormatting>
  <conditionalFormatting sqref="AK693">
    <cfRule type="cellIs" dxfId="1" priority="6729" operator="equal">
      <formula>"未完成"</formula>
    </cfRule>
    <cfRule type="cellIs" dxfId="0" priority="6785" operator="equal">
      <formula>"未完成"</formula>
    </cfRule>
  </conditionalFormatting>
  <conditionalFormatting sqref="AL693">
    <cfRule type="cellIs" dxfId="0" priority="6673" operator="equal">
      <formula>"欠"</formula>
    </cfRule>
  </conditionalFormatting>
  <conditionalFormatting sqref="Q694">
    <cfRule type="cellIs" dxfId="0" priority="6840" operator="equal">
      <formula>"欠"</formula>
    </cfRule>
  </conditionalFormatting>
  <conditionalFormatting sqref="R694">
    <cfRule type="cellIs" dxfId="0" priority="6952" operator="equal">
      <formula>"欠"</formula>
    </cfRule>
    <cfRule type="containsText" dxfId="0" priority="6896" operator="between" text="欠">
      <formula>NOT(ISERROR(SEARCH("欠",R694)))</formula>
    </cfRule>
  </conditionalFormatting>
  <conditionalFormatting sqref="S694">
    <cfRule type="cellIs" dxfId="0" priority="6616" operator="equal">
      <formula>"欠"</formula>
    </cfRule>
  </conditionalFormatting>
  <conditionalFormatting sqref="T694:U694">
    <cfRule type="containsText" dxfId="0" priority="6504" operator="between" text="欠">
      <formula>NOT(ISERROR(SEARCH("欠",T694)))</formula>
    </cfRule>
    <cfRule type="cellIs" dxfId="0" priority="6560" operator="equal">
      <formula>"欠"</formula>
    </cfRule>
  </conditionalFormatting>
  <conditionalFormatting sqref="AK694">
    <cfRule type="cellIs" dxfId="1" priority="6728" operator="equal">
      <formula>"未完成"</formula>
    </cfRule>
    <cfRule type="cellIs" dxfId="0" priority="6784" operator="equal">
      <formula>"未完成"</formula>
    </cfRule>
  </conditionalFormatting>
  <conditionalFormatting sqref="AL694">
    <cfRule type="cellIs" dxfId="0" priority="6672" operator="equal">
      <formula>"欠"</formula>
    </cfRule>
  </conditionalFormatting>
  <conditionalFormatting sqref="Q695">
    <cfRule type="cellIs" dxfId="0" priority="6839" operator="equal">
      <formula>"欠"</formula>
    </cfRule>
  </conditionalFormatting>
  <conditionalFormatting sqref="R695">
    <cfRule type="cellIs" dxfId="0" priority="6951" operator="equal">
      <formula>"欠"</formula>
    </cfRule>
    <cfRule type="containsText" dxfId="0" priority="6895" operator="between" text="欠">
      <formula>NOT(ISERROR(SEARCH("欠",R695)))</formula>
    </cfRule>
  </conditionalFormatting>
  <conditionalFormatting sqref="T695:U695">
    <cfRule type="containsText" dxfId="0" priority="6503" operator="between" text="欠">
      <formula>NOT(ISERROR(SEARCH("欠",T695)))</formula>
    </cfRule>
    <cfRule type="cellIs" dxfId="0" priority="6559" operator="equal">
      <formula>"欠"</formula>
    </cfRule>
  </conditionalFormatting>
  <conditionalFormatting sqref="AK695">
    <cfRule type="cellIs" dxfId="1" priority="6727" operator="equal">
      <formula>"未完成"</formula>
    </cfRule>
    <cfRule type="cellIs" dxfId="0" priority="6783" operator="equal">
      <formula>"未完成"</formula>
    </cfRule>
  </conditionalFormatting>
  <conditionalFormatting sqref="AL695">
    <cfRule type="cellIs" dxfId="0" priority="6671" operator="equal">
      <formula>"欠"</formula>
    </cfRule>
  </conditionalFormatting>
  <conditionalFormatting sqref="Q696">
    <cfRule type="cellIs" dxfId="0" priority="6838" operator="equal">
      <formula>"欠"</formula>
    </cfRule>
  </conditionalFormatting>
  <conditionalFormatting sqref="R696">
    <cfRule type="cellIs" dxfId="0" priority="6950" operator="equal">
      <formula>"欠"</formula>
    </cfRule>
    <cfRule type="containsText" dxfId="0" priority="6894" operator="between" text="欠">
      <formula>NOT(ISERROR(SEARCH("欠",R696)))</formula>
    </cfRule>
  </conditionalFormatting>
  <conditionalFormatting sqref="T696:U696">
    <cfRule type="containsText" dxfId="0" priority="6502" operator="between" text="欠">
      <formula>NOT(ISERROR(SEARCH("欠",T696)))</formula>
    </cfRule>
    <cfRule type="cellIs" dxfId="0" priority="6558" operator="equal">
      <formula>"欠"</formula>
    </cfRule>
  </conditionalFormatting>
  <conditionalFormatting sqref="AK696">
    <cfRule type="cellIs" dxfId="1" priority="6726" operator="equal">
      <formula>"未完成"</formula>
    </cfRule>
    <cfRule type="cellIs" dxfId="0" priority="6782" operator="equal">
      <formula>"未完成"</formula>
    </cfRule>
  </conditionalFormatting>
  <conditionalFormatting sqref="AL696">
    <cfRule type="cellIs" dxfId="0" priority="6670" operator="equal">
      <formula>"欠"</formula>
    </cfRule>
  </conditionalFormatting>
  <conditionalFormatting sqref="Q697">
    <cfRule type="cellIs" dxfId="0" priority="6837" operator="equal">
      <formula>"欠"</formula>
    </cfRule>
  </conditionalFormatting>
  <conditionalFormatting sqref="R697">
    <cfRule type="cellIs" dxfId="0" priority="6949" operator="equal">
      <formula>"欠"</formula>
    </cfRule>
    <cfRule type="containsText" dxfId="0" priority="6893" operator="between" text="欠">
      <formula>NOT(ISERROR(SEARCH("欠",R697)))</formula>
    </cfRule>
  </conditionalFormatting>
  <conditionalFormatting sqref="T697:U697">
    <cfRule type="containsText" dxfId="0" priority="6501" operator="between" text="欠">
      <formula>NOT(ISERROR(SEARCH("欠",T697)))</formula>
    </cfRule>
    <cfRule type="cellIs" dxfId="0" priority="6557" operator="equal">
      <formula>"欠"</formula>
    </cfRule>
  </conditionalFormatting>
  <conditionalFormatting sqref="AK697">
    <cfRule type="cellIs" dxfId="1" priority="6725" operator="equal">
      <formula>"未完成"</formula>
    </cfRule>
    <cfRule type="cellIs" dxfId="0" priority="6781" operator="equal">
      <formula>"未完成"</formula>
    </cfRule>
  </conditionalFormatting>
  <conditionalFormatting sqref="AL697">
    <cfRule type="cellIs" dxfId="0" priority="6669" operator="equal">
      <formula>"欠"</formula>
    </cfRule>
  </conditionalFormatting>
  <conditionalFormatting sqref="Q698">
    <cfRule type="cellIs" dxfId="0" priority="6836" operator="equal">
      <formula>"欠"</formula>
    </cfRule>
  </conditionalFormatting>
  <conditionalFormatting sqref="R698">
    <cfRule type="cellIs" dxfId="0" priority="6948" operator="equal">
      <formula>"欠"</formula>
    </cfRule>
    <cfRule type="containsText" dxfId="0" priority="6892" operator="between" text="欠">
      <formula>NOT(ISERROR(SEARCH("欠",R698)))</formula>
    </cfRule>
  </conditionalFormatting>
  <conditionalFormatting sqref="T698:U698">
    <cfRule type="containsText" dxfId="0" priority="6500" operator="between" text="欠">
      <formula>NOT(ISERROR(SEARCH("欠",T698)))</formula>
    </cfRule>
    <cfRule type="cellIs" dxfId="0" priority="6556" operator="equal">
      <formula>"欠"</formula>
    </cfRule>
  </conditionalFormatting>
  <conditionalFormatting sqref="AK698">
    <cfRule type="cellIs" dxfId="1" priority="6724" operator="equal">
      <formula>"未完成"</formula>
    </cfRule>
    <cfRule type="cellIs" dxfId="0" priority="6780" operator="equal">
      <formula>"未完成"</formula>
    </cfRule>
  </conditionalFormatting>
  <conditionalFormatting sqref="AL698">
    <cfRule type="cellIs" dxfId="0" priority="6668" operator="equal">
      <formula>"欠"</formula>
    </cfRule>
  </conditionalFormatting>
  <conditionalFormatting sqref="Q699">
    <cfRule type="cellIs" dxfId="0" priority="6835" operator="equal">
      <formula>"欠"</formula>
    </cfRule>
  </conditionalFormatting>
  <conditionalFormatting sqref="R699">
    <cfRule type="cellIs" dxfId="0" priority="6947" operator="equal">
      <formula>"欠"</formula>
    </cfRule>
    <cfRule type="containsText" dxfId="0" priority="6891" operator="between" text="欠">
      <formula>NOT(ISERROR(SEARCH("欠",R699)))</formula>
    </cfRule>
  </conditionalFormatting>
  <conditionalFormatting sqref="S699">
    <cfRule type="cellIs" dxfId="0" priority="6611" operator="equal">
      <formula>"欠"</formula>
    </cfRule>
  </conditionalFormatting>
  <conditionalFormatting sqref="T699:U699">
    <cfRule type="containsText" dxfId="0" priority="6499" operator="between" text="欠">
      <formula>NOT(ISERROR(SEARCH("欠",T699)))</formula>
    </cfRule>
    <cfRule type="cellIs" dxfId="0" priority="6555" operator="equal">
      <formula>"欠"</formula>
    </cfRule>
  </conditionalFormatting>
  <conditionalFormatting sqref="AK699">
    <cfRule type="cellIs" dxfId="1" priority="6723" operator="equal">
      <formula>"未完成"</formula>
    </cfRule>
    <cfRule type="cellIs" dxfId="0" priority="6779" operator="equal">
      <formula>"未完成"</formula>
    </cfRule>
  </conditionalFormatting>
  <conditionalFormatting sqref="AL699">
    <cfRule type="cellIs" dxfId="0" priority="6667" operator="equal">
      <formula>"欠"</formula>
    </cfRule>
  </conditionalFormatting>
  <conditionalFormatting sqref="Q700">
    <cfRule type="cellIs" dxfId="0" priority="6834" operator="equal">
      <formula>"欠"</formula>
    </cfRule>
  </conditionalFormatting>
  <conditionalFormatting sqref="R700">
    <cfRule type="cellIs" dxfId="0" priority="6946" operator="equal">
      <formula>"欠"</formula>
    </cfRule>
    <cfRule type="containsText" dxfId="0" priority="6890" operator="between" text="欠">
      <formula>NOT(ISERROR(SEARCH("欠",R700)))</formula>
    </cfRule>
  </conditionalFormatting>
  <conditionalFormatting sqref="T700:U700">
    <cfRule type="containsText" dxfId="0" priority="6498" operator="between" text="欠">
      <formula>NOT(ISERROR(SEARCH("欠",T700)))</formula>
    </cfRule>
    <cfRule type="cellIs" dxfId="0" priority="6554" operator="equal">
      <formula>"欠"</formula>
    </cfRule>
  </conditionalFormatting>
  <conditionalFormatting sqref="AK700">
    <cfRule type="cellIs" dxfId="1" priority="6722" operator="equal">
      <formula>"未完成"</formula>
    </cfRule>
    <cfRule type="cellIs" dxfId="0" priority="6778" operator="equal">
      <formula>"未完成"</formula>
    </cfRule>
  </conditionalFormatting>
  <conditionalFormatting sqref="AL700">
    <cfRule type="cellIs" dxfId="0" priority="6666" operator="equal">
      <formula>"欠"</formula>
    </cfRule>
  </conditionalFormatting>
  <conditionalFormatting sqref="Q701">
    <cfRule type="cellIs" dxfId="0" priority="6833" operator="equal">
      <formula>"欠"</formula>
    </cfRule>
  </conditionalFormatting>
  <conditionalFormatting sqref="R701">
    <cfRule type="cellIs" dxfId="0" priority="6945" operator="equal">
      <formula>"欠"</formula>
    </cfRule>
    <cfRule type="containsText" dxfId="0" priority="6889" operator="between" text="欠">
      <formula>NOT(ISERROR(SEARCH("欠",R701)))</formula>
    </cfRule>
  </conditionalFormatting>
  <conditionalFormatting sqref="S701">
    <cfRule type="cellIs" dxfId="0" priority="6609" operator="equal">
      <formula>"欠"</formula>
    </cfRule>
  </conditionalFormatting>
  <conditionalFormatting sqref="T701:U701">
    <cfRule type="containsText" dxfId="0" priority="6497" operator="between" text="欠">
      <formula>NOT(ISERROR(SEARCH("欠",T701)))</formula>
    </cfRule>
    <cfRule type="cellIs" dxfId="0" priority="6553" operator="equal">
      <formula>"欠"</formula>
    </cfRule>
  </conditionalFormatting>
  <conditionalFormatting sqref="AK701">
    <cfRule type="cellIs" dxfId="1" priority="6721" operator="equal">
      <formula>"未完成"</formula>
    </cfRule>
    <cfRule type="cellIs" dxfId="0" priority="6777" operator="equal">
      <formula>"未完成"</formula>
    </cfRule>
  </conditionalFormatting>
  <conditionalFormatting sqref="AL701">
    <cfRule type="cellIs" dxfId="0" priority="6665" operator="equal">
      <formula>"欠"</formula>
    </cfRule>
  </conditionalFormatting>
  <conditionalFormatting sqref="Q702">
    <cfRule type="cellIs" dxfId="0" priority="6832" operator="equal">
      <formula>"欠"</formula>
    </cfRule>
  </conditionalFormatting>
  <conditionalFormatting sqref="R702">
    <cfRule type="cellIs" dxfId="0" priority="6944" operator="equal">
      <formula>"欠"</formula>
    </cfRule>
    <cfRule type="containsText" dxfId="0" priority="6888" operator="between" text="欠">
      <formula>NOT(ISERROR(SEARCH("欠",R702)))</formula>
    </cfRule>
  </conditionalFormatting>
  <conditionalFormatting sqref="T702:U702">
    <cfRule type="containsText" dxfId="0" priority="6496" operator="between" text="欠">
      <formula>NOT(ISERROR(SEARCH("欠",T702)))</formula>
    </cfRule>
    <cfRule type="cellIs" dxfId="0" priority="6552" operator="equal">
      <formula>"欠"</formula>
    </cfRule>
  </conditionalFormatting>
  <conditionalFormatting sqref="AK702">
    <cfRule type="cellIs" dxfId="1" priority="6720" operator="equal">
      <formula>"未完成"</formula>
    </cfRule>
    <cfRule type="cellIs" dxfId="0" priority="6776" operator="equal">
      <formula>"未完成"</formula>
    </cfRule>
  </conditionalFormatting>
  <conditionalFormatting sqref="AL702">
    <cfRule type="cellIs" dxfId="0" priority="6664" operator="equal">
      <formula>"欠"</formula>
    </cfRule>
  </conditionalFormatting>
  <conditionalFormatting sqref="Q703">
    <cfRule type="cellIs" dxfId="0" priority="6831" operator="equal">
      <formula>"欠"</formula>
    </cfRule>
  </conditionalFormatting>
  <conditionalFormatting sqref="R703">
    <cfRule type="cellIs" dxfId="0" priority="6943" operator="equal">
      <formula>"欠"</formula>
    </cfRule>
    <cfRule type="containsText" dxfId="0" priority="6887" operator="between" text="欠">
      <formula>NOT(ISERROR(SEARCH("欠",R703)))</formula>
    </cfRule>
  </conditionalFormatting>
  <conditionalFormatting sqref="S703">
    <cfRule type="cellIs" dxfId="0" priority="6607" operator="equal">
      <formula>"欠"</formula>
    </cfRule>
  </conditionalFormatting>
  <conditionalFormatting sqref="T703:U703">
    <cfRule type="containsText" dxfId="0" priority="6495" operator="between" text="欠">
      <formula>NOT(ISERROR(SEARCH("欠",T703)))</formula>
    </cfRule>
    <cfRule type="cellIs" dxfId="0" priority="6551" operator="equal">
      <formula>"欠"</formula>
    </cfRule>
  </conditionalFormatting>
  <conditionalFormatting sqref="AK703">
    <cfRule type="cellIs" dxfId="1" priority="6719" operator="equal">
      <formula>"未完成"</formula>
    </cfRule>
    <cfRule type="cellIs" dxfId="0" priority="6775" operator="equal">
      <formula>"未完成"</formula>
    </cfRule>
  </conditionalFormatting>
  <conditionalFormatting sqref="AL703">
    <cfRule type="cellIs" dxfId="0" priority="6663" operator="equal">
      <formula>"欠"</formula>
    </cfRule>
  </conditionalFormatting>
  <conditionalFormatting sqref="Q704">
    <cfRule type="cellIs" dxfId="0" priority="6830" operator="equal">
      <formula>"欠"</formula>
    </cfRule>
  </conditionalFormatting>
  <conditionalFormatting sqref="R704">
    <cfRule type="cellIs" dxfId="0" priority="6942" operator="equal">
      <formula>"欠"</formula>
    </cfRule>
    <cfRule type="containsText" dxfId="0" priority="6886" operator="between" text="欠">
      <formula>NOT(ISERROR(SEARCH("欠",R704)))</formula>
    </cfRule>
  </conditionalFormatting>
  <conditionalFormatting sqref="S704">
    <cfRule type="cellIs" dxfId="0" priority="6606" operator="equal">
      <formula>"欠"</formula>
    </cfRule>
  </conditionalFormatting>
  <conditionalFormatting sqref="T704:U704">
    <cfRule type="containsText" dxfId="0" priority="6494" operator="between" text="欠">
      <formula>NOT(ISERROR(SEARCH("欠",T704)))</formula>
    </cfRule>
    <cfRule type="cellIs" dxfId="0" priority="6550" operator="equal">
      <formula>"欠"</formula>
    </cfRule>
  </conditionalFormatting>
  <conditionalFormatting sqref="AK704">
    <cfRule type="cellIs" dxfId="1" priority="6718" operator="equal">
      <formula>"未完成"</formula>
    </cfRule>
    <cfRule type="cellIs" dxfId="0" priority="6774" operator="equal">
      <formula>"未完成"</formula>
    </cfRule>
  </conditionalFormatting>
  <conditionalFormatting sqref="AL704">
    <cfRule type="cellIs" dxfId="0" priority="6662" operator="equal">
      <formula>"欠"</formula>
    </cfRule>
  </conditionalFormatting>
  <conditionalFormatting sqref="Q705">
    <cfRule type="cellIs" dxfId="0" priority="6829" operator="equal">
      <formula>"欠"</formula>
    </cfRule>
  </conditionalFormatting>
  <conditionalFormatting sqref="R705">
    <cfRule type="cellIs" dxfId="0" priority="6941" operator="equal">
      <formula>"欠"</formula>
    </cfRule>
    <cfRule type="containsText" dxfId="0" priority="6885" operator="between" text="欠">
      <formula>NOT(ISERROR(SEARCH("欠",R705)))</formula>
    </cfRule>
  </conditionalFormatting>
  <conditionalFormatting sqref="S705">
    <cfRule type="cellIs" dxfId="0" priority="6605" operator="equal">
      <formula>"欠"</formula>
    </cfRule>
  </conditionalFormatting>
  <conditionalFormatting sqref="T705:U705">
    <cfRule type="containsText" dxfId="0" priority="6493" operator="between" text="欠">
      <formula>NOT(ISERROR(SEARCH("欠",T705)))</formula>
    </cfRule>
    <cfRule type="cellIs" dxfId="0" priority="6549" operator="equal">
      <formula>"欠"</formula>
    </cfRule>
  </conditionalFormatting>
  <conditionalFormatting sqref="AK705">
    <cfRule type="cellIs" dxfId="1" priority="6717" operator="equal">
      <formula>"未完成"</formula>
    </cfRule>
    <cfRule type="cellIs" dxfId="0" priority="6773" operator="equal">
      <formula>"未完成"</formula>
    </cfRule>
  </conditionalFormatting>
  <conditionalFormatting sqref="AL705">
    <cfRule type="cellIs" dxfId="0" priority="6661" operator="equal">
      <formula>"欠"</formula>
    </cfRule>
  </conditionalFormatting>
  <conditionalFormatting sqref="Q706">
    <cfRule type="cellIs" dxfId="0" priority="6828" operator="equal">
      <formula>"欠"</formula>
    </cfRule>
  </conditionalFormatting>
  <conditionalFormatting sqref="R706">
    <cfRule type="cellIs" dxfId="0" priority="6940" operator="equal">
      <formula>"欠"</formula>
    </cfRule>
    <cfRule type="containsText" dxfId="0" priority="6884" operator="between" text="欠">
      <formula>NOT(ISERROR(SEARCH("欠",R706)))</formula>
    </cfRule>
  </conditionalFormatting>
  <conditionalFormatting sqref="S706">
    <cfRule type="cellIs" dxfId="0" priority="6604" operator="equal">
      <formula>"欠"</formula>
    </cfRule>
  </conditionalFormatting>
  <conditionalFormatting sqref="T706:U706">
    <cfRule type="containsText" dxfId="0" priority="6492" operator="between" text="欠">
      <formula>NOT(ISERROR(SEARCH("欠",T706)))</formula>
    </cfRule>
    <cfRule type="cellIs" dxfId="0" priority="6548" operator="equal">
      <formula>"欠"</formula>
    </cfRule>
  </conditionalFormatting>
  <conditionalFormatting sqref="AK706">
    <cfRule type="cellIs" dxfId="1" priority="6716" operator="equal">
      <formula>"未完成"</formula>
    </cfRule>
    <cfRule type="cellIs" dxfId="0" priority="6772" operator="equal">
      <formula>"未完成"</formula>
    </cfRule>
  </conditionalFormatting>
  <conditionalFormatting sqref="AL706">
    <cfRule type="cellIs" dxfId="0" priority="6660" operator="equal">
      <formula>"欠"</formula>
    </cfRule>
  </conditionalFormatting>
  <conditionalFormatting sqref="Q707">
    <cfRule type="cellIs" dxfId="0" priority="6827" operator="equal">
      <formula>"欠"</formula>
    </cfRule>
  </conditionalFormatting>
  <conditionalFormatting sqref="R707">
    <cfRule type="cellIs" dxfId="0" priority="6939" operator="equal">
      <formula>"欠"</formula>
    </cfRule>
    <cfRule type="containsText" dxfId="0" priority="6883" operator="between" text="欠">
      <formula>NOT(ISERROR(SEARCH("欠",R707)))</formula>
    </cfRule>
  </conditionalFormatting>
  <conditionalFormatting sqref="S707">
    <cfRule type="cellIs" dxfId="0" priority="6603" operator="equal">
      <formula>"欠"</formula>
    </cfRule>
  </conditionalFormatting>
  <conditionalFormatting sqref="T707:U707">
    <cfRule type="containsText" dxfId="0" priority="6491" operator="between" text="欠">
      <formula>NOT(ISERROR(SEARCH("欠",T707)))</formula>
    </cfRule>
    <cfRule type="cellIs" dxfId="0" priority="6547" operator="equal">
      <formula>"欠"</formula>
    </cfRule>
  </conditionalFormatting>
  <conditionalFormatting sqref="AK707">
    <cfRule type="cellIs" dxfId="1" priority="6715" operator="equal">
      <formula>"未完成"</formula>
    </cfRule>
    <cfRule type="cellIs" dxfId="0" priority="6771" operator="equal">
      <formula>"未完成"</formula>
    </cfRule>
  </conditionalFormatting>
  <conditionalFormatting sqref="AL707">
    <cfRule type="cellIs" dxfId="0" priority="6659" operator="equal">
      <formula>"欠"</formula>
    </cfRule>
  </conditionalFormatting>
  <conditionalFormatting sqref="Q708">
    <cfRule type="cellIs" dxfId="0" priority="6826" operator="equal">
      <formula>"欠"</formula>
    </cfRule>
  </conditionalFormatting>
  <conditionalFormatting sqref="R708">
    <cfRule type="cellIs" dxfId="0" priority="6938" operator="equal">
      <formula>"欠"</formula>
    </cfRule>
    <cfRule type="containsText" dxfId="0" priority="6882" operator="between" text="欠">
      <formula>NOT(ISERROR(SEARCH("欠",R708)))</formula>
    </cfRule>
  </conditionalFormatting>
  <conditionalFormatting sqref="S708">
    <cfRule type="cellIs" dxfId="0" priority="6602" operator="equal">
      <formula>"欠"</formula>
    </cfRule>
  </conditionalFormatting>
  <conditionalFormatting sqref="T708:U708">
    <cfRule type="containsText" dxfId="0" priority="6490" operator="between" text="欠">
      <formula>NOT(ISERROR(SEARCH("欠",T708)))</formula>
    </cfRule>
    <cfRule type="cellIs" dxfId="0" priority="6546" operator="equal">
      <formula>"欠"</formula>
    </cfRule>
  </conditionalFormatting>
  <conditionalFormatting sqref="AK708">
    <cfRule type="cellIs" dxfId="1" priority="6714" operator="equal">
      <formula>"未完成"</formula>
    </cfRule>
    <cfRule type="cellIs" dxfId="0" priority="6770" operator="equal">
      <formula>"未完成"</formula>
    </cfRule>
  </conditionalFormatting>
  <conditionalFormatting sqref="AL708">
    <cfRule type="cellIs" dxfId="0" priority="6658" operator="equal">
      <formula>"欠"</formula>
    </cfRule>
  </conditionalFormatting>
  <conditionalFormatting sqref="Q709">
    <cfRule type="cellIs" dxfId="0" priority="6825" operator="equal">
      <formula>"欠"</formula>
    </cfRule>
  </conditionalFormatting>
  <conditionalFormatting sqref="R709">
    <cfRule type="cellIs" dxfId="0" priority="6937" operator="equal">
      <formula>"欠"</formula>
    </cfRule>
    <cfRule type="containsText" dxfId="0" priority="6881" operator="between" text="欠">
      <formula>NOT(ISERROR(SEARCH("欠",R709)))</formula>
    </cfRule>
  </conditionalFormatting>
  <conditionalFormatting sqref="S709">
    <cfRule type="cellIs" dxfId="0" priority="6601" operator="equal">
      <formula>"欠"</formula>
    </cfRule>
  </conditionalFormatting>
  <conditionalFormatting sqref="T709:U709">
    <cfRule type="containsText" dxfId="0" priority="6489" operator="between" text="欠">
      <formula>NOT(ISERROR(SEARCH("欠",T709)))</formula>
    </cfRule>
    <cfRule type="cellIs" dxfId="0" priority="6545" operator="equal">
      <formula>"欠"</formula>
    </cfRule>
  </conditionalFormatting>
  <conditionalFormatting sqref="AK709">
    <cfRule type="cellIs" dxfId="1" priority="6713" operator="equal">
      <formula>"未完成"</formula>
    </cfRule>
    <cfRule type="cellIs" dxfId="0" priority="6769" operator="equal">
      <formula>"未完成"</formula>
    </cfRule>
  </conditionalFormatting>
  <conditionalFormatting sqref="AL709">
    <cfRule type="cellIs" dxfId="0" priority="6657" operator="equal">
      <formula>"欠"</formula>
    </cfRule>
  </conditionalFormatting>
  <conditionalFormatting sqref="Q710">
    <cfRule type="cellIs" dxfId="0" priority="6824" operator="equal">
      <formula>"欠"</formula>
    </cfRule>
  </conditionalFormatting>
  <conditionalFormatting sqref="R710">
    <cfRule type="cellIs" dxfId="0" priority="6936" operator="equal">
      <formula>"欠"</formula>
    </cfRule>
    <cfRule type="containsText" dxfId="0" priority="6880" operator="between" text="欠">
      <formula>NOT(ISERROR(SEARCH("欠",R710)))</formula>
    </cfRule>
  </conditionalFormatting>
  <conditionalFormatting sqref="S710">
    <cfRule type="cellIs" dxfId="0" priority="6600" operator="equal">
      <formula>"欠"</formula>
    </cfRule>
  </conditionalFormatting>
  <conditionalFormatting sqref="T710:U710">
    <cfRule type="containsText" dxfId="0" priority="6488" operator="between" text="欠">
      <formula>NOT(ISERROR(SEARCH("欠",T710)))</formula>
    </cfRule>
    <cfRule type="cellIs" dxfId="0" priority="6544" operator="equal">
      <formula>"欠"</formula>
    </cfRule>
  </conditionalFormatting>
  <conditionalFormatting sqref="AK710">
    <cfRule type="cellIs" dxfId="1" priority="6712" operator="equal">
      <formula>"未完成"</formula>
    </cfRule>
    <cfRule type="cellIs" dxfId="0" priority="6768" operator="equal">
      <formula>"未完成"</formula>
    </cfRule>
  </conditionalFormatting>
  <conditionalFormatting sqref="AL710">
    <cfRule type="cellIs" dxfId="0" priority="6656" operator="equal">
      <formula>"欠"</formula>
    </cfRule>
  </conditionalFormatting>
  <conditionalFormatting sqref="Q711">
    <cfRule type="cellIs" dxfId="0" priority="6823" operator="equal">
      <formula>"欠"</formula>
    </cfRule>
  </conditionalFormatting>
  <conditionalFormatting sqref="R711">
    <cfRule type="cellIs" dxfId="0" priority="6935" operator="equal">
      <formula>"欠"</formula>
    </cfRule>
    <cfRule type="containsText" dxfId="0" priority="6879" operator="between" text="欠">
      <formula>NOT(ISERROR(SEARCH("欠",R711)))</formula>
    </cfRule>
  </conditionalFormatting>
  <conditionalFormatting sqref="S711">
    <cfRule type="cellIs" dxfId="0" priority="6599" operator="equal">
      <formula>"欠"</formula>
    </cfRule>
  </conditionalFormatting>
  <conditionalFormatting sqref="T711:U711">
    <cfRule type="containsText" dxfId="0" priority="6487" operator="between" text="欠">
      <formula>NOT(ISERROR(SEARCH("欠",T711)))</formula>
    </cfRule>
    <cfRule type="cellIs" dxfId="0" priority="6543" operator="equal">
      <formula>"欠"</formula>
    </cfRule>
  </conditionalFormatting>
  <conditionalFormatting sqref="AK711">
    <cfRule type="cellIs" dxfId="1" priority="6711" operator="equal">
      <formula>"未完成"</formula>
    </cfRule>
    <cfRule type="cellIs" dxfId="0" priority="6767" operator="equal">
      <formula>"未完成"</formula>
    </cfRule>
  </conditionalFormatting>
  <conditionalFormatting sqref="AL711">
    <cfRule type="cellIs" dxfId="0" priority="6655" operator="equal">
      <formula>"欠"</formula>
    </cfRule>
  </conditionalFormatting>
  <conditionalFormatting sqref="Q712">
    <cfRule type="cellIs" dxfId="0" priority="6822" operator="equal">
      <formula>"欠"</formula>
    </cfRule>
  </conditionalFormatting>
  <conditionalFormatting sqref="R712">
    <cfRule type="cellIs" dxfId="0" priority="6934" operator="equal">
      <formula>"欠"</formula>
    </cfRule>
    <cfRule type="containsText" dxfId="0" priority="6878" operator="between" text="欠">
      <formula>NOT(ISERROR(SEARCH("欠",R712)))</formula>
    </cfRule>
  </conditionalFormatting>
  <conditionalFormatting sqref="S712">
    <cfRule type="cellIs" dxfId="0" priority="6598" operator="equal">
      <formula>"欠"</formula>
    </cfRule>
  </conditionalFormatting>
  <conditionalFormatting sqref="T712:U712">
    <cfRule type="containsText" dxfId="0" priority="6486" operator="between" text="欠">
      <formula>NOT(ISERROR(SEARCH("欠",T712)))</formula>
    </cfRule>
    <cfRule type="cellIs" dxfId="0" priority="6542" operator="equal">
      <formula>"欠"</formula>
    </cfRule>
  </conditionalFormatting>
  <conditionalFormatting sqref="AK712">
    <cfRule type="cellIs" dxfId="1" priority="6710" operator="equal">
      <formula>"未完成"</formula>
    </cfRule>
    <cfRule type="cellIs" dxfId="0" priority="6766" operator="equal">
      <formula>"未完成"</formula>
    </cfRule>
  </conditionalFormatting>
  <conditionalFormatting sqref="AL712">
    <cfRule type="cellIs" dxfId="0" priority="6654" operator="equal">
      <formula>"欠"</formula>
    </cfRule>
  </conditionalFormatting>
  <conditionalFormatting sqref="Q713">
    <cfRule type="cellIs" dxfId="0" priority="6821" operator="equal">
      <formula>"欠"</formula>
    </cfRule>
  </conditionalFormatting>
  <conditionalFormatting sqref="R713">
    <cfRule type="cellIs" dxfId="0" priority="6933" operator="equal">
      <formula>"欠"</formula>
    </cfRule>
    <cfRule type="containsText" dxfId="0" priority="6877" operator="between" text="欠">
      <formula>NOT(ISERROR(SEARCH("欠",R713)))</formula>
    </cfRule>
  </conditionalFormatting>
  <conditionalFormatting sqref="S713">
    <cfRule type="cellIs" dxfId="0" priority="6597" operator="equal">
      <formula>"欠"</formula>
    </cfRule>
  </conditionalFormatting>
  <conditionalFormatting sqref="T713:U713">
    <cfRule type="containsText" dxfId="0" priority="6485" operator="between" text="欠">
      <formula>NOT(ISERROR(SEARCH("欠",T713)))</formula>
    </cfRule>
    <cfRule type="cellIs" dxfId="0" priority="6541" operator="equal">
      <formula>"欠"</formula>
    </cfRule>
  </conditionalFormatting>
  <conditionalFormatting sqref="AK713">
    <cfRule type="cellIs" dxfId="1" priority="6709" operator="equal">
      <formula>"未完成"</formula>
    </cfRule>
    <cfRule type="cellIs" dxfId="0" priority="6765" operator="equal">
      <formula>"未完成"</formula>
    </cfRule>
  </conditionalFormatting>
  <conditionalFormatting sqref="AL713">
    <cfRule type="cellIs" dxfId="0" priority="6653" operator="equal">
      <formula>"欠"</formula>
    </cfRule>
  </conditionalFormatting>
  <conditionalFormatting sqref="Q714">
    <cfRule type="cellIs" dxfId="0" priority="6820" operator="equal">
      <formula>"欠"</formula>
    </cfRule>
  </conditionalFormatting>
  <conditionalFormatting sqref="R714">
    <cfRule type="cellIs" dxfId="0" priority="6932" operator="equal">
      <formula>"欠"</formula>
    </cfRule>
    <cfRule type="containsText" dxfId="0" priority="6876" operator="between" text="欠">
      <formula>NOT(ISERROR(SEARCH("欠",R714)))</formula>
    </cfRule>
  </conditionalFormatting>
  <conditionalFormatting sqref="S714">
    <cfRule type="cellIs" dxfId="0" priority="6596" operator="equal">
      <formula>"欠"</formula>
    </cfRule>
  </conditionalFormatting>
  <conditionalFormatting sqref="AK714">
    <cfRule type="cellIs" dxfId="1" priority="6708" operator="equal">
      <formula>"未完成"</formula>
    </cfRule>
    <cfRule type="cellIs" dxfId="0" priority="6764" operator="equal">
      <formula>"未完成"</formula>
    </cfRule>
  </conditionalFormatting>
  <conditionalFormatting sqref="AL714">
    <cfRule type="cellIs" dxfId="0" priority="6652" operator="equal">
      <formula>"欠"</formula>
    </cfRule>
  </conditionalFormatting>
  <conditionalFormatting sqref="Q715">
    <cfRule type="cellIs" dxfId="0" priority="6819" operator="equal">
      <formula>"欠"</formula>
    </cfRule>
  </conditionalFormatting>
  <conditionalFormatting sqref="R715">
    <cfRule type="cellIs" dxfId="0" priority="6931" operator="equal">
      <formula>"欠"</formula>
    </cfRule>
    <cfRule type="containsText" dxfId="0" priority="6875" operator="between" text="欠">
      <formula>NOT(ISERROR(SEARCH("欠",R715)))</formula>
    </cfRule>
  </conditionalFormatting>
  <conditionalFormatting sqref="S715">
    <cfRule type="cellIs" dxfId="0" priority="6595" operator="equal">
      <formula>"欠"</formula>
    </cfRule>
  </conditionalFormatting>
  <conditionalFormatting sqref="AK715">
    <cfRule type="cellIs" dxfId="1" priority="6707" operator="equal">
      <formula>"未完成"</formula>
    </cfRule>
    <cfRule type="cellIs" dxfId="0" priority="6763" operator="equal">
      <formula>"未完成"</formula>
    </cfRule>
  </conditionalFormatting>
  <conditionalFormatting sqref="AL715">
    <cfRule type="cellIs" dxfId="0" priority="6651" operator="equal">
      <formula>"欠"</formula>
    </cfRule>
  </conditionalFormatting>
  <conditionalFormatting sqref="Q716">
    <cfRule type="cellIs" dxfId="0" priority="6818" operator="equal">
      <formula>"欠"</formula>
    </cfRule>
  </conditionalFormatting>
  <conditionalFormatting sqref="R716">
    <cfRule type="cellIs" dxfId="0" priority="6930" operator="equal">
      <formula>"欠"</formula>
    </cfRule>
    <cfRule type="containsText" dxfId="0" priority="6874" operator="between" text="欠">
      <formula>NOT(ISERROR(SEARCH("欠",R716)))</formula>
    </cfRule>
  </conditionalFormatting>
  <conditionalFormatting sqref="S716">
    <cfRule type="cellIs" dxfId="0" priority="6594" operator="equal">
      <formula>"欠"</formula>
    </cfRule>
  </conditionalFormatting>
  <conditionalFormatting sqref="T716:U716">
    <cfRule type="containsText" dxfId="0" priority="6482" operator="between" text="欠">
      <formula>NOT(ISERROR(SEARCH("欠",T716)))</formula>
    </cfRule>
    <cfRule type="cellIs" dxfId="0" priority="6538" operator="equal">
      <formula>"欠"</formula>
    </cfRule>
  </conditionalFormatting>
  <conditionalFormatting sqref="AK716">
    <cfRule type="cellIs" dxfId="1" priority="6706" operator="equal">
      <formula>"未完成"</formula>
    </cfRule>
    <cfRule type="cellIs" dxfId="0" priority="6762" operator="equal">
      <formula>"未完成"</formula>
    </cfRule>
  </conditionalFormatting>
  <conditionalFormatting sqref="AL716">
    <cfRule type="cellIs" dxfId="0" priority="6650" operator="equal">
      <formula>"欠"</formula>
    </cfRule>
  </conditionalFormatting>
  <conditionalFormatting sqref="Q717">
    <cfRule type="cellIs" dxfId="0" priority="6817" operator="equal">
      <formula>"欠"</formula>
    </cfRule>
  </conditionalFormatting>
  <conditionalFormatting sqref="R717">
    <cfRule type="cellIs" dxfId="0" priority="6929" operator="equal">
      <formula>"欠"</formula>
    </cfRule>
    <cfRule type="containsText" dxfId="0" priority="6873" operator="between" text="欠">
      <formula>NOT(ISERROR(SEARCH("欠",R717)))</formula>
    </cfRule>
  </conditionalFormatting>
  <conditionalFormatting sqref="S717">
    <cfRule type="cellIs" dxfId="0" priority="6593" operator="equal">
      <formula>"欠"</formula>
    </cfRule>
  </conditionalFormatting>
  <conditionalFormatting sqref="T717:U717">
    <cfRule type="containsText" dxfId="0" priority="6481" operator="between" text="欠">
      <formula>NOT(ISERROR(SEARCH("欠",T717)))</formula>
    </cfRule>
    <cfRule type="cellIs" dxfId="0" priority="6537" operator="equal">
      <formula>"欠"</formula>
    </cfRule>
  </conditionalFormatting>
  <conditionalFormatting sqref="AK717">
    <cfRule type="cellIs" dxfId="1" priority="6705" operator="equal">
      <formula>"未完成"</formula>
    </cfRule>
    <cfRule type="cellIs" dxfId="0" priority="6761" operator="equal">
      <formula>"未完成"</formula>
    </cfRule>
  </conditionalFormatting>
  <conditionalFormatting sqref="AL717">
    <cfRule type="cellIs" dxfId="0" priority="6649" operator="equal">
      <formula>"欠"</formula>
    </cfRule>
  </conditionalFormatting>
  <conditionalFormatting sqref="Q718">
    <cfRule type="cellIs" dxfId="0" priority="6408" operator="equal">
      <formula>"欠"</formula>
    </cfRule>
  </conditionalFormatting>
  <conditionalFormatting sqref="R718">
    <cfRule type="cellIs" dxfId="0" priority="6424" operator="equal">
      <formula>"欠"</formula>
    </cfRule>
    <cfRule type="containsText" dxfId="0" priority="6416" operator="between" text="欠">
      <formula>NOT(ISERROR(SEARCH("欠",R718)))</formula>
    </cfRule>
  </conditionalFormatting>
  <conditionalFormatting sqref="S718">
    <cfRule type="cellIs" dxfId="0" priority="6376" operator="equal">
      <formula>"欠"</formula>
    </cfRule>
  </conditionalFormatting>
  <conditionalFormatting sqref="T718:U718">
    <cfRule type="containsText" dxfId="0" priority="6360" operator="between" text="欠">
      <formula>NOT(ISERROR(SEARCH("欠",T718)))</formula>
    </cfRule>
    <cfRule type="cellIs" dxfId="0" priority="6368" operator="equal">
      <formula>"欠"</formula>
    </cfRule>
  </conditionalFormatting>
  <conditionalFormatting sqref="AK718">
    <cfRule type="cellIs" dxfId="1" priority="6392" operator="equal">
      <formula>"未完成"</formula>
    </cfRule>
    <cfRule type="cellIs" dxfId="0" priority="6400" operator="equal">
      <formula>"未完成"</formula>
    </cfRule>
  </conditionalFormatting>
  <conditionalFormatting sqref="AL718">
    <cfRule type="cellIs" dxfId="0" priority="6384" operator="equal">
      <formula>"欠"</formula>
    </cfRule>
  </conditionalFormatting>
  <conditionalFormatting sqref="Q719">
    <cfRule type="cellIs" dxfId="0" priority="6407" operator="equal">
      <formula>"欠"</formula>
    </cfRule>
  </conditionalFormatting>
  <conditionalFormatting sqref="R719">
    <cfRule type="cellIs" dxfId="0" priority="6423" operator="equal">
      <formula>"欠"</formula>
    </cfRule>
    <cfRule type="containsText" dxfId="0" priority="6415" operator="between" text="欠">
      <formula>NOT(ISERROR(SEARCH("欠",R719)))</formula>
    </cfRule>
  </conditionalFormatting>
  <conditionalFormatting sqref="S719">
    <cfRule type="cellIs" dxfId="0" priority="6375" operator="equal">
      <formula>"欠"</formula>
    </cfRule>
  </conditionalFormatting>
  <conditionalFormatting sqref="AK719">
    <cfRule type="cellIs" dxfId="1" priority="6391" operator="equal">
      <formula>"未完成"</formula>
    </cfRule>
    <cfRule type="cellIs" dxfId="0" priority="6399" operator="equal">
      <formula>"未完成"</formula>
    </cfRule>
  </conditionalFormatting>
  <conditionalFormatting sqref="AL719">
    <cfRule type="cellIs" dxfId="0" priority="6383" operator="equal">
      <formula>"欠"</formula>
    </cfRule>
  </conditionalFormatting>
  <conditionalFormatting sqref="Q720">
    <cfRule type="cellIs" dxfId="0" priority="6406" operator="equal">
      <formula>"欠"</formula>
    </cfRule>
  </conditionalFormatting>
  <conditionalFormatting sqref="R720">
    <cfRule type="cellIs" dxfId="0" priority="6422" operator="equal">
      <formula>"欠"</formula>
    </cfRule>
    <cfRule type="containsText" dxfId="0" priority="6414" operator="between" text="欠">
      <formula>NOT(ISERROR(SEARCH("欠",R720)))</formula>
    </cfRule>
  </conditionalFormatting>
  <conditionalFormatting sqref="AK720">
    <cfRule type="cellIs" dxfId="1" priority="6390" operator="equal">
      <formula>"未完成"</formula>
    </cfRule>
    <cfRule type="cellIs" dxfId="0" priority="6398" operator="equal">
      <formula>"未完成"</formula>
    </cfRule>
  </conditionalFormatting>
  <conditionalFormatting sqref="AL720">
    <cfRule type="cellIs" dxfId="0" priority="6382" operator="equal">
      <formula>"欠"</formula>
    </cfRule>
  </conditionalFormatting>
  <conditionalFormatting sqref="Q721">
    <cfRule type="cellIs" dxfId="0" priority="6405" operator="equal">
      <formula>"欠"</formula>
    </cfRule>
  </conditionalFormatting>
  <conditionalFormatting sqref="R721">
    <cfRule type="cellIs" dxfId="0" priority="6421" operator="equal">
      <formula>"欠"</formula>
    </cfRule>
    <cfRule type="containsText" dxfId="0" priority="6413" operator="between" text="欠">
      <formula>NOT(ISERROR(SEARCH("欠",R721)))</formula>
    </cfRule>
  </conditionalFormatting>
  <conditionalFormatting sqref="T721:U721">
    <cfRule type="containsText" dxfId="0" priority="6357" operator="between" text="欠">
      <formula>NOT(ISERROR(SEARCH("欠",T721)))</formula>
    </cfRule>
    <cfRule type="cellIs" dxfId="0" priority="6365" operator="equal">
      <formula>"欠"</formula>
    </cfRule>
  </conditionalFormatting>
  <conditionalFormatting sqref="AK721">
    <cfRule type="cellIs" dxfId="1" priority="6389" operator="equal">
      <formula>"未完成"</formula>
    </cfRule>
    <cfRule type="cellIs" dxfId="0" priority="6397" operator="equal">
      <formula>"未完成"</formula>
    </cfRule>
  </conditionalFormatting>
  <conditionalFormatting sqref="AL721">
    <cfRule type="cellIs" dxfId="0" priority="6381" operator="equal">
      <formula>"欠"</formula>
    </cfRule>
  </conditionalFormatting>
  <conditionalFormatting sqref="Q722">
    <cfRule type="cellIs" dxfId="0" priority="6404" operator="equal">
      <formula>"欠"</formula>
    </cfRule>
  </conditionalFormatting>
  <conditionalFormatting sqref="R722">
    <cfRule type="cellIs" dxfId="0" priority="6420" operator="equal">
      <formula>"欠"</formula>
    </cfRule>
    <cfRule type="containsText" dxfId="0" priority="6412" operator="between" text="欠">
      <formula>NOT(ISERROR(SEARCH("欠",R722)))</formula>
    </cfRule>
  </conditionalFormatting>
  <conditionalFormatting sqref="S722">
    <cfRule type="cellIs" dxfId="0" priority="6372" operator="equal">
      <formula>"欠"</formula>
    </cfRule>
  </conditionalFormatting>
  <conditionalFormatting sqref="T722:U722">
    <cfRule type="containsText" dxfId="0" priority="6356" operator="between" text="欠">
      <formula>NOT(ISERROR(SEARCH("欠",T722)))</formula>
    </cfRule>
    <cfRule type="cellIs" dxfId="0" priority="6364" operator="equal">
      <formula>"欠"</formula>
    </cfRule>
  </conditionalFormatting>
  <conditionalFormatting sqref="AK722">
    <cfRule type="cellIs" dxfId="1" priority="6388" operator="equal">
      <formula>"未完成"</formula>
    </cfRule>
    <cfRule type="cellIs" dxfId="0" priority="6396" operator="equal">
      <formula>"未完成"</formula>
    </cfRule>
  </conditionalFormatting>
  <conditionalFormatting sqref="AL722">
    <cfRule type="cellIs" dxfId="0" priority="6380" operator="equal">
      <formula>"欠"</formula>
    </cfRule>
  </conditionalFormatting>
  <conditionalFormatting sqref="Q723">
    <cfRule type="cellIs" dxfId="0" priority="6403" operator="equal">
      <formula>"欠"</formula>
    </cfRule>
  </conditionalFormatting>
  <conditionalFormatting sqref="R723">
    <cfRule type="cellIs" dxfId="0" priority="6419" operator="equal">
      <formula>"欠"</formula>
    </cfRule>
    <cfRule type="containsText" dxfId="0" priority="6411" operator="between" text="欠">
      <formula>NOT(ISERROR(SEARCH("欠",R723)))</formula>
    </cfRule>
  </conditionalFormatting>
  <conditionalFormatting sqref="S723">
    <cfRule type="cellIs" dxfId="0" priority="6371" operator="equal">
      <formula>"欠"</formula>
    </cfRule>
  </conditionalFormatting>
  <conditionalFormatting sqref="AK723">
    <cfRule type="cellIs" dxfId="1" priority="6387" operator="equal">
      <formula>"未完成"</formula>
    </cfRule>
    <cfRule type="cellIs" dxfId="0" priority="6395" operator="equal">
      <formula>"未完成"</formula>
    </cfRule>
  </conditionalFormatting>
  <conditionalFormatting sqref="AL723">
    <cfRule type="cellIs" dxfId="0" priority="6379" operator="equal">
      <formula>"欠"</formula>
    </cfRule>
  </conditionalFormatting>
  <conditionalFormatting sqref="Q724">
    <cfRule type="cellIs" dxfId="0" priority="6402" operator="equal">
      <formula>"欠"</formula>
    </cfRule>
  </conditionalFormatting>
  <conditionalFormatting sqref="R724">
    <cfRule type="cellIs" dxfId="0" priority="6418" operator="equal">
      <formula>"欠"</formula>
    </cfRule>
    <cfRule type="containsText" dxfId="0" priority="6410" operator="between" text="欠">
      <formula>NOT(ISERROR(SEARCH("欠",R724)))</formula>
    </cfRule>
  </conditionalFormatting>
  <conditionalFormatting sqref="S724">
    <cfRule type="cellIs" dxfId="0" priority="6370" operator="equal">
      <formula>"欠"</formula>
    </cfRule>
  </conditionalFormatting>
  <conditionalFormatting sqref="T724:U724">
    <cfRule type="containsText" dxfId="0" priority="6354" operator="between" text="欠">
      <formula>NOT(ISERROR(SEARCH("欠",T724)))</formula>
    </cfRule>
    <cfRule type="cellIs" dxfId="0" priority="6362" operator="equal">
      <formula>"欠"</formula>
    </cfRule>
  </conditionalFormatting>
  <conditionalFormatting sqref="AK724">
    <cfRule type="cellIs" dxfId="1" priority="6386" operator="equal">
      <formula>"未完成"</formula>
    </cfRule>
    <cfRule type="cellIs" dxfId="0" priority="6394" operator="equal">
      <formula>"未完成"</formula>
    </cfRule>
  </conditionalFormatting>
  <conditionalFormatting sqref="AL724">
    <cfRule type="cellIs" dxfId="0" priority="6378" operator="equal">
      <formula>"欠"</formula>
    </cfRule>
  </conditionalFormatting>
  <conditionalFormatting sqref="Q725">
    <cfRule type="cellIs" dxfId="0" priority="6401" operator="equal">
      <formula>"欠"</formula>
    </cfRule>
  </conditionalFormatting>
  <conditionalFormatting sqref="R725">
    <cfRule type="cellIs" dxfId="0" priority="6417" operator="equal">
      <formula>"欠"</formula>
    </cfRule>
    <cfRule type="containsText" dxfId="0" priority="6409" operator="between" text="欠">
      <formula>NOT(ISERROR(SEARCH("欠",R725)))</formula>
    </cfRule>
  </conditionalFormatting>
  <conditionalFormatting sqref="S725">
    <cfRule type="cellIs" dxfId="0" priority="6369" operator="equal">
      <formula>"欠"</formula>
    </cfRule>
  </conditionalFormatting>
  <conditionalFormatting sqref="T725:U725">
    <cfRule type="containsText" dxfId="0" priority="6353" operator="between" text="欠">
      <formula>NOT(ISERROR(SEARCH("欠",T725)))</formula>
    </cfRule>
    <cfRule type="cellIs" dxfId="0" priority="6361" operator="equal">
      <formula>"欠"</formula>
    </cfRule>
  </conditionalFormatting>
  <conditionalFormatting sqref="AK725">
    <cfRule type="cellIs" dxfId="1" priority="6385" operator="equal">
      <formula>"未完成"</formula>
    </cfRule>
    <cfRule type="cellIs" dxfId="0" priority="6393" operator="equal">
      <formula>"未完成"</formula>
    </cfRule>
  </conditionalFormatting>
  <conditionalFormatting sqref="AL725">
    <cfRule type="cellIs" dxfId="0" priority="6377" operator="equal">
      <formula>"欠"</formula>
    </cfRule>
  </conditionalFormatting>
  <conditionalFormatting sqref="Q726">
    <cfRule type="cellIs" dxfId="0" priority="6197" operator="equal">
      <formula>"欠"</formula>
    </cfRule>
  </conditionalFormatting>
  <conditionalFormatting sqref="R726">
    <cfRule type="cellIs" dxfId="0" priority="6287" operator="equal">
      <formula>"欠"</formula>
    </cfRule>
    <cfRule type="containsText" dxfId="0" priority="6242" operator="between" text="欠">
      <formula>NOT(ISERROR(SEARCH("欠",R726)))</formula>
    </cfRule>
  </conditionalFormatting>
  <conditionalFormatting sqref="S726">
    <cfRule type="cellIs" dxfId="0" priority="6017" operator="equal">
      <formula>"欠"</formula>
    </cfRule>
  </conditionalFormatting>
  <conditionalFormatting sqref="T726:U726">
    <cfRule type="containsText" dxfId="0" priority="5927" operator="between" text="欠">
      <formula>NOT(ISERROR(SEARCH("欠",T726)))</formula>
    </cfRule>
    <cfRule type="cellIs" dxfId="0" priority="5972" operator="equal">
      <formula>"欠"</formula>
    </cfRule>
  </conditionalFormatting>
  <conditionalFormatting sqref="AK726">
    <cfRule type="cellIs" dxfId="1" priority="6107" operator="equal">
      <formula>"未完成"</formula>
    </cfRule>
    <cfRule type="cellIs" dxfId="0" priority="6152" operator="equal">
      <formula>"未完成"</formula>
    </cfRule>
  </conditionalFormatting>
  <conditionalFormatting sqref="AL726">
    <cfRule type="cellIs" dxfId="0" priority="6062" operator="equal">
      <formula>"欠"</formula>
    </cfRule>
  </conditionalFormatting>
  <conditionalFormatting sqref="Q727">
    <cfRule type="cellIs" dxfId="0" priority="6196" operator="equal">
      <formula>"欠"</formula>
    </cfRule>
  </conditionalFormatting>
  <conditionalFormatting sqref="R727">
    <cfRule type="cellIs" dxfId="0" priority="6286" operator="equal">
      <formula>"欠"</formula>
    </cfRule>
    <cfRule type="containsText" dxfId="0" priority="6241" operator="between" text="欠">
      <formula>NOT(ISERROR(SEARCH("欠",R727)))</formula>
    </cfRule>
  </conditionalFormatting>
  <conditionalFormatting sqref="S727">
    <cfRule type="cellIs" dxfId="0" priority="6016" operator="equal">
      <formula>"欠"</formula>
    </cfRule>
  </conditionalFormatting>
  <conditionalFormatting sqref="T727:U727">
    <cfRule type="containsText" dxfId="0" priority="5926" operator="between" text="欠">
      <formula>NOT(ISERROR(SEARCH("欠",T727)))</formula>
    </cfRule>
    <cfRule type="cellIs" dxfId="0" priority="5971" operator="equal">
      <formula>"欠"</formula>
    </cfRule>
  </conditionalFormatting>
  <conditionalFormatting sqref="AK727">
    <cfRule type="cellIs" dxfId="1" priority="6106" operator="equal">
      <formula>"未完成"</formula>
    </cfRule>
    <cfRule type="cellIs" dxfId="0" priority="6151" operator="equal">
      <formula>"未完成"</formula>
    </cfRule>
  </conditionalFormatting>
  <conditionalFormatting sqref="AL727">
    <cfRule type="cellIs" dxfId="0" priority="6061" operator="equal">
      <formula>"欠"</formula>
    </cfRule>
  </conditionalFormatting>
  <conditionalFormatting sqref="Q728">
    <cfRule type="cellIs" dxfId="0" priority="6195" operator="equal">
      <formula>"欠"</formula>
    </cfRule>
  </conditionalFormatting>
  <conditionalFormatting sqref="R728">
    <cfRule type="cellIs" dxfId="0" priority="6285" operator="equal">
      <formula>"欠"</formula>
    </cfRule>
    <cfRule type="containsText" dxfId="0" priority="6240" operator="between" text="欠">
      <formula>NOT(ISERROR(SEARCH("欠",R728)))</formula>
    </cfRule>
  </conditionalFormatting>
  <conditionalFormatting sqref="S728">
    <cfRule type="cellIs" dxfId="0" priority="6015" operator="equal">
      <formula>"欠"</formula>
    </cfRule>
  </conditionalFormatting>
  <conditionalFormatting sqref="T728:U728">
    <cfRule type="containsText" dxfId="0" priority="5925" operator="between" text="欠">
      <formula>NOT(ISERROR(SEARCH("欠",T728)))</formula>
    </cfRule>
    <cfRule type="cellIs" dxfId="0" priority="5970" operator="equal">
      <formula>"欠"</formula>
    </cfRule>
  </conditionalFormatting>
  <conditionalFormatting sqref="AK728">
    <cfRule type="cellIs" dxfId="1" priority="6105" operator="equal">
      <formula>"未完成"</formula>
    </cfRule>
    <cfRule type="cellIs" dxfId="0" priority="6150" operator="equal">
      <formula>"未完成"</formula>
    </cfRule>
  </conditionalFormatting>
  <conditionalFormatting sqref="AL728">
    <cfRule type="cellIs" dxfId="0" priority="6060" operator="equal">
      <formula>"欠"</formula>
    </cfRule>
  </conditionalFormatting>
  <conditionalFormatting sqref="Q729">
    <cfRule type="cellIs" dxfId="0" priority="6194" operator="equal">
      <formula>"欠"</formula>
    </cfRule>
  </conditionalFormatting>
  <conditionalFormatting sqref="R729">
    <cfRule type="cellIs" dxfId="0" priority="6284" operator="equal">
      <formula>"欠"</formula>
    </cfRule>
    <cfRule type="containsText" dxfId="0" priority="6239" operator="between" text="欠">
      <formula>NOT(ISERROR(SEARCH("欠",R729)))</formula>
    </cfRule>
  </conditionalFormatting>
  <conditionalFormatting sqref="S729">
    <cfRule type="cellIs" dxfId="0" priority="6014" operator="equal">
      <formula>"欠"</formula>
    </cfRule>
  </conditionalFormatting>
  <conditionalFormatting sqref="T729:U729">
    <cfRule type="containsText" dxfId="0" priority="5924" operator="between" text="欠">
      <formula>NOT(ISERROR(SEARCH("欠",T729)))</formula>
    </cfRule>
    <cfRule type="cellIs" dxfId="0" priority="5969" operator="equal">
      <formula>"欠"</formula>
    </cfRule>
  </conditionalFormatting>
  <conditionalFormatting sqref="AK729">
    <cfRule type="cellIs" dxfId="1" priority="6104" operator="equal">
      <formula>"未完成"</formula>
    </cfRule>
    <cfRule type="cellIs" dxfId="0" priority="6149" operator="equal">
      <formula>"未完成"</formula>
    </cfRule>
  </conditionalFormatting>
  <conditionalFormatting sqref="AL729">
    <cfRule type="cellIs" dxfId="0" priority="6059" operator="equal">
      <formula>"欠"</formula>
    </cfRule>
  </conditionalFormatting>
  <conditionalFormatting sqref="Q730">
    <cfRule type="cellIs" dxfId="0" priority="6193" operator="equal">
      <formula>"欠"</formula>
    </cfRule>
  </conditionalFormatting>
  <conditionalFormatting sqref="R730">
    <cfRule type="cellIs" dxfId="0" priority="6283" operator="equal">
      <formula>"欠"</formula>
    </cfRule>
    <cfRule type="containsText" dxfId="0" priority="6238" operator="between" text="欠">
      <formula>NOT(ISERROR(SEARCH("欠",R730)))</formula>
    </cfRule>
  </conditionalFormatting>
  <conditionalFormatting sqref="S730">
    <cfRule type="cellIs" dxfId="0" priority="6013" operator="equal">
      <formula>"欠"</formula>
    </cfRule>
  </conditionalFormatting>
  <conditionalFormatting sqref="T730:U730">
    <cfRule type="containsText" dxfId="0" priority="5923" operator="between" text="欠">
      <formula>NOT(ISERROR(SEARCH("欠",T730)))</formula>
    </cfRule>
    <cfRule type="cellIs" dxfId="0" priority="5968" operator="equal">
      <formula>"欠"</formula>
    </cfRule>
  </conditionalFormatting>
  <conditionalFormatting sqref="AK730">
    <cfRule type="cellIs" dxfId="1" priority="6103" operator="equal">
      <formula>"未完成"</formula>
    </cfRule>
    <cfRule type="cellIs" dxfId="0" priority="6148" operator="equal">
      <formula>"未完成"</formula>
    </cfRule>
  </conditionalFormatting>
  <conditionalFormatting sqref="AL730">
    <cfRule type="cellIs" dxfId="0" priority="6058" operator="equal">
      <formula>"欠"</formula>
    </cfRule>
  </conditionalFormatting>
  <conditionalFormatting sqref="Q731">
    <cfRule type="cellIs" dxfId="0" priority="6192" operator="equal">
      <formula>"欠"</formula>
    </cfRule>
  </conditionalFormatting>
  <conditionalFormatting sqref="R731">
    <cfRule type="cellIs" dxfId="0" priority="6282" operator="equal">
      <formula>"欠"</formula>
    </cfRule>
    <cfRule type="containsText" dxfId="0" priority="6237" operator="between" text="欠">
      <formula>NOT(ISERROR(SEARCH("欠",R731)))</formula>
    </cfRule>
  </conditionalFormatting>
  <conditionalFormatting sqref="S731">
    <cfRule type="cellIs" dxfId="0" priority="6012" operator="equal">
      <formula>"欠"</formula>
    </cfRule>
  </conditionalFormatting>
  <conditionalFormatting sqref="T731:U731">
    <cfRule type="containsText" dxfId="0" priority="5922" operator="between" text="欠">
      <formula>NOT(ISERROR(SEARCH("欠",T731)))</formula>
    </cfRule>
    <cfRule type="cellIs" dxfId="0" priority="5967" operator="equal">
      <formula>"欠"</formula>
    </cfRule>
  </conditionalFormatting>
  <conditionalFormatting sqref="AK731">
    <cfRule type="cellIs" dxfId="1" priority="6102" operator="equal">
      <formula>"未完成"</formula>
    </cfRule>
    <cfRule type="cellIs" dxfId="0" priority="6147" operator="equal">
      <formula>"未完成"</formula>
    </cfRule>
  </conditionalFormatting>
  <conditionalFormatting sqref="AL731">
    <cfRule type="cellIs" dxfId="0" priority="6057" operator="equal">
      <formula>"欠"</formula>
    </cfRule>
  </conditionalFormatting>
  <conditionalFormatting sqref="Q732">
    <cfRule type="cellIs" dxfId="0" priority="6191" operator="equal">
      <formula>"欠"</formula>
    </cfRule>
  </conditionalFormatting>
  <conditionalFormatting sqref="R732">
    <cfRule type="cellIs" dxfId="0" priority="6281" operator="equal">
      <formula>"欠"</formula>
    </cfRule>
    <cfRule type="containsText" dxfId="0" priority="6236" operator="between" text="欠">
      <formula>NOT(ISERROR(SEARCH("欠",R732)))</formula>
    </cfRule>
  </conditionalFormatting>
  <conditionalFormatting sqref="S732">
    <cfRule type="cellIs" dxfId="0" priority="6011" operator="equal">
      <formula>"欠"</formula>
    </cfRule>
  </conditionalFormatting>
  <conditionalFormatting sqref="T732:U732">
    <cfRule type="containsText" dxfId="0" priority="5921" operator="between" text="欠">
      <formula>NOT(ISERROR(SEARCH("欠",T732)))</formula>
    </cfRule>
    <cfRule type="cellIs" dxfId="0" priority="5966" operator="equal">
      <formula>"欠"</formula>
    </cfRule>
  </conditionalFormatting>
  <conditionalFormatting sqref="AK732">
    <cfRule type="cellIs" dxfId="1" priority="6101" operator="equal">
      <formula>"未完成"</formula>
    </cfRule>
    <cfRule type="cellIs" dxfId="0" priority="6146" operator="equal">
      <formula>"未完成"</formula>
    </cfRule>
  </conditionalFormatting>
  <conditionalFormatting sqref="AL732">
    <cfRule type="cellIs" dxfId="0" priority="6056" operator="equal">
      <formula>"欠"</formula>
    </cfRule>
  </conditionalFormatting>
  <conditionalFormatting sqref="Q733">
    <cfRule type="cellIs" dxfId="0" priority="6190" operator="equal">
      <formula>"欠"</formula>
    </cfRule>
  </conditionalFormatting>
  <conditionalFormatting sqref="R733">
    <cfRule type="cellIs" dxfId="0" priority="6280" operator="equal">
      <formula>"欠"</formula>
    </cfRule>
    <cfRule type="containsText" dxfId="0" priority="6235" operator="between" text="欠">
      <formula>NOT(ISERROR(SEARCH("欠",R733)))</formula>
    </cfRule>
  </conditionalFormatting>
  <conditionalFormatting sqref="S733">
    <cfRule type="cellIs" dxfId="0" priority="6010" operator="equal">
      <formula>"欠"</formula>
    </cfRule>
  </conditionalFormatting>
  <conditionalFormatting sqref="T733:U733">
    <cfRule type="containsText" dxfId="0" priority="5920" operator="between" text="欠">
      <formula>NOT(ISERROR(SEARCH("欠",T733)))</formula>
    </cfRule>
    <cfRule type="cellIs" dxfId="0" priority="5965" operator="equal">
      <formula>"欠"</formula>
    </cfRule>
  </conditionalFormatting>
  <conditionalFormatting sqref="AK733">
    <cfRule type="cellIs" dxfId="1" priority="6100" operator="equal">
      <formula>"未完成"</formula>
    </cfRule>
    <cfRule type="cellIs" dxfId="0" priority="6145" operator="equal">
      <formula>"未完成"</formula>
    </cfRule>
  </conditionalFormatting>
  <conditionalFormatting sqref="AL733">
    <cfRule type="cellIs" dxfId="0" priority="6055" operator="equal">
      <formula>"欠"</formula>
    </cfRule>
  </conditionalFormatting>
  <conditionalFormatting sqref="Q734">
    <cfRule type="cellIs" dxfId="0" priority="6189" operator="equal">
      <formula>"欠"</formula>
    </cfRule>
  </conditionalFormatting>
  <conditionalFormatting sqref="R734">
    <cfRule type="cellIs" dxfId="0" priority="6279" operator="equal">
      <formula>"欠"</formula>
    </cfRule>
    <cfRule type="containsText" dxfId="0" priority="6234" operator="between" text="欠">
      <formula>NOT(ISERROR(SEARCH("欠",R734)))</formula>
    </cfRule>
  </conditionalFormatting>
  <conditionalFormatting sqref="S734">
    <cfRule type="cellIs" dxfId="0" priority="6009" operator="equal">
      <formula>"欠"</formula>
    </cfRule>
  </conditionalFormatting>
  <conditionalFormatting sqref="T734:U734">
    <cfRule type="containsText" dxfId="0" priority="5919" operator="between" text="欠">
      <formula>NOT(ISERROR(SEARCH("欠",T734)))</formula>
    </cfRule>
    <cfRule type="cellIs" dxfId="0" priority="5964" operator="equal">
      <formula>"欠"</formula>
    </cfRule>
  </conditionalFormatting>
  <conditionalFormatting sqref="AK734">
    <cfRule type="cellIs" dxfId="1" priority="6099" operator="equal">
      <formula>"未完成"</formula>
    </cfRule>
    <cfRule type="cellIs" dxfId="0" priority="6144" operator="equal">
      <formula>"未完成"</formula>
    </cfRule>
  </conditionalFormatting>
  <conditionalFormatting sqref="AL734">
    <cfRule type="cellIs" dxfId="0" priority="6054" operator="equal">
      <formula>"欠"</formula>
    </cfRule>
  </conditionalFormatting>
  <conditionalFormatting sqref="Q735">
    <cfRule type="cellIs" dxfId="0" priority="6188" operator="equal">
      <formula>"欠"</formula>
    </cfRule>
  </conditionalFormatting>
  <conditionalFormatting sqref="R735">
    <cfRule type="cellIs" dxfId="0" priority="6278" operator="equal">
      <formula>"欠"</formula>
    </cfRule>
    <cfRule type="containsText" dxfId="0" priority="6233" operator="between" text="欠">
      <formula>NOT(ISERROR(SEARCH("欠",R735)))</formula>
    </cfRule>
  </conditionalFormatting>
  <conditionalFormatting sqref="S735">
    <cfRule type="cellIs" dxfId="0" priority="6008" operator="equal">
      <formula>"欠"</formula>
    </cfRule>
  </conditionalFormatting>
  <conditionalFormatting sqref="T735:U735">
    <cfRule type="containsText" dxfId="0" priority="5918" operator="between" text="欠">
      <formula>NOT(ISERROR(SEARCH("欠",T735)))</formula>
    </cfRule>
    <cfRule type="cellIs" dxfId="0" priority="5963" operator="equal">
      <formula>"欠"</formula>
    </cfRule>
  </conditionalFormatting>
  <conditionalFormatting sqref="AK735">
    <cfRule type="cellIs" dxfId="1" priority="6098" operator="equal">
      <formula>"未完成"</formula>
    </cfRule>
    <cfRule type="cellIs" dxfId="0" priority="6143" operator="equal">
      <formula>"未完成"</formula>
    </cfRule>
  </conditionalFormatting>
  <conditionalFormatting sqref="AL735">
    <cfRule type="cellIs" dxfId="0" priority="6053" operator="equal">
      <formula>"欠"</formula>
    </cfRule>
  </conditionalFormatting>
  <conditionalFormatting sqref="Q736">
    <cfRule type="cellIs" dxfId="0" priority="6187" operator="equal">
      <formula>"欠"</formula>
    </cfRule>
  </conditionalFormatting>
  <conditionalFormatting sqref="R736">
    <cfRule type="cellIs" dxfId="0" priority="6277" operator="equal">
      <formula>"欠"</formula>
    </cfRule>
    <cfRule type="containsText" dxfId="0" priority="6232" operator="between" text="欠">
      <formula>NOT(ISERROR(SEARCH("欠",R736)))</formula>
    </cfRule>
  </conditionalFormatting>
  <conditionalFormatting sqref="S736">
    <cfRule type="cellIs" dxfId="0" priority="6007" operator="equal">
      <formula>"欠"</formula>
    </cfRule>
  </conditionalFormatting>
  <conditionalFormatting sqref="T736:U736">
    <cfRule type="containsText" dxfId="0" priority="5917" operator="between" text="欠">
      <formula>NOT(ISERROR(SEARCH("欠",T736)))</formula>
    </cfRule>
    <cfRule type="cellIs" dxfId="0" priority="5962" operator="equal">
      <formula>"欠"</formula>
    </cfRule>
  </conditionalFormatting>
  <conditionalFormatting sqref="AK736">
    <cfRule type="cellIs" dxfId="1" priority="6097" operator="equal">
      <formula>"未完成"</formula>
    </cfRule>
    <cfRule type="cellIs" dxfId="0" priority="6142" operator="equal">
      <formula>"未完成"</formula>
    </cfRule>
  </conditionalFormatting>
  <conditionalFormatting sqref="AL736">
    <cfRule type="cellIs" dxfId="0" priority="6052" operator="equal">
      <formula>"欠"</formula>
    </cfRule>
  </conditionalFormatting>
  <conditionalFormatting sqref="Q737">
    <cfRule type="cellIs" dxfId="0" priority="6186" operator="equal">
      <formula>"欠"</formula>
    </cfRule>
  </conditionalFormatting>
  <conditionalFormatting sqref="R737">
    <cfRule type="cellIs" dxfId="0" priority="6276" operator="equal">
      <formula>"欠"</formula>
    </cfRule>
    <cfRule type="containsText" dxfId="0" priority="6231" operator="between" text="欠">
      <formula>NOT(ISERROR(SEARCH("欠",R737)))</formula>
    </cfRule>
  </conditionalFormatting>
  <conditionalFormatting sqref="S737">
    <cfRule type="cellIs" dxfId="0" priority="6006" operator="equal">
      <formula>"欠"</formula>
    </cfRule>
  </conditionalFormatting>
  <conditionalFormatting sqref="T737:U737">
    <cfRule type="containsText" dxfId="0" priority="5916" operator="between" text="欠">
      <formula>NOT(ISERROR(SEARCH("欠",T737)))</formula>
    </cfRule>
    <cfRule type="cellIs" dxfId="0" priority="5961" operator="equal">
      <formula>"欠"</formula>
    </cfRule>
  </conditionalFormatting>
  <conditionalFormatting sqref="AK737">
    <cfRule type="cellIs" dxfId="1" priority="6096" operator="equal">
      <formula>"未完成"</formula>
    </cfRule>
    <cfRule type="cellIs" dxfId="0" priority="6141" operator="equal">
      <formula>"未完成"</formula>
    </cfRule>
  </conditionalFormatting>
  <conditionalFormatting sqref="AL737">
    <cfRule type="cellIs" dxfId="0" priority="6051" operator="equal">
      <formula>"欠"</formula>
    </cfRule>
  </conditionalFormatting>
  <conditionalFormatting sqref="Q738">
    <cfRule type="cellIs" dxfId="0" priority="6185" operator="equal">
      <formula>"欠"</formula>
    </cfRule>
  </conditionalFormatting>
  <conditionalFormatting sqref="R738">
    <cfRule type="cellIs" dxfId="0" priority="6275" operator="equal">
      <formula>"欠"</formula>
    </cfRule>
    <cfRule type="containsText" dxfId="0" priority="6230" operator="between" text="欠">
      <formula>NOT(ISERROR(SEARCH("欠",R738)))</formula>
    </cfRule>
  </conditionalFormatting>
  <conditionalFormatting sqref="S738">
    <cfRule type="cellIs" dxfId="0" priority="6005" operator="equal">
      <formula>"欠"</formula>
    </cfRule>
  </conditionalFormatting>
  <conditionalFormatting sqref="T738:U738">
    <cfRule type="containsText" dxfId="0" priority="5915" operator="between" text="欠">
      <formula>NOT(ISERROR(SEARCH("欠",T738)))</formula>
    </cfRule>
    <cfRule type="cellIs" dxfId="0" priority="5960" operator="equal">
      <formula>"欠"</formula>
    </cfRule>
  </conditionalFormatting>
  <conditionalFormatting sqref="AK738">
    <cfRule type="cellIs" dxfId="1" priority="6095" operator="equal">
      <formula>"未完成"</formula>
    </cfRule>
    <cfRule type="cellIs" dxfId="0" priority="6140" operator="equal">
      <formula>"未完成"</formula>
    </cfRule>
  </conditionalFormatting>
  <conditionalFormatting sqref="AL738">
    <cfRule type="cellIs" dxfId="0" priority="6050" operator="equal">
      <formula>"欠"</formula>
    </cfRule>
  </conditionalFormatting>
  <conditionalFormatting sqref="Q739">
    <cfRule type="cellIs" dxfId="0" priority="6184" operator="equal">
      <formula>"欠"</formula>
    </cfRule>
  </conditionalFormatting>
  <conditionalFormatting sqref="R739">
    <cfRule type="cellIs" dxfId="0" priority="6274" operator="equal">
      <formula>"欠"</formula>
    </cfRule>
    <cfRule type="containsText" dxfId="0" priority="6229" operator="between" text="欠">
      <formula>NOT(ISERROR(SEARCH("欠",R739)))</formula>
    </cfRule>
  </conditionalFormatting>
  <conditionalFormatting sqref="S739">
    <cfRule type="cellIs" dxfId="0" priority="6004" operator="equal">
      <formula>"欠"</formula>
    </cfRule>
  </conditionalFormatting>
  <conditionalFormatting sqref="T739:U739">
    <cfRule type="containsText" dxfId="0" priority="5914" operator="between" text="欠">
      <formula>NOT(ISERROR(SEARCH("欠",T739)))</formula>
    </cfRule>
    <cfRule type="cellIs" dxfId="0" priority="5959" operator="equal">
      <formula>"欠"</formula>
    </cfRule>
  </conditionalFormatting>
  <conditionalFormatting sqref="AK739">
    <cfRule type="cellIs" dxfId="1" priority="6094" operator="equal">
      <formula>"未完成"</formula>
    </cfRule>
    <cfRule type="cellIs" dxfId="0" priority="6139" operator="equal">
      <formula>"未完成"</formula>
    </cfRule>
  </conditionalFormatting>
  <conditionalFormatting sqref="AL739">
    <cfRule type="cellIs" dxfId="0" priority="6049" operator="equal">
      <formula>"欠"</formula>
    </cfRule>
  </conditionalFormatting>
  <conditionalFormatting sqref="Q740">
    <cfRule type="cellIs" dxfId="0" priority="6183" operator="equal">
      <formula>"欠"</formula>
    </cfRule>
  </conditionalFormatting>
  <conditionalFormatting sqref="R740">
    <cfRule type="cellIs" dxfId="0" priority="6273" operator="equal">
      <formula>"欠"</formula>
    </cfRule>
    <cfRule type="containsText" dxfId="0" priority="6228" operator="between" text="欠">
      <formula>NOT(ISERROR(SEARCH("欠",R740)))</formula>
    </cfRule>
  </conditionalFormatting>
  <conditionalFormatting sqref="S740">
    <cfRule type="cellIs" dxfId="0" priority="6003" operator="equal">
      <formula>"欠"</formula>
    </cfRule>
  </conditionalFormatting>
  <conditionalFormatting sqref="T740:U740">
    <cfRule type="containsText" dxfId="0" priority="5913" operator="between" text="欠">
      <formula>NOT(ISERROR(SEARCH("欠",T740)))</formula>
    </cfRule>
    <cfRule type="cellIs" dxfId="0" priority="5958" operator="equal">
      <formula>"欠"</formula>
    </cfRule>
  </conditionalFormatting>
  <conditionalFormatting sqref="AK740">
    <cfRule type="cellIs" dxfId="1" priority="6093" operator="equal">
      <formula>"未完成"</formula>
    </cfRule>
    <cfRule type="cellIs" dxfId="0" priority="6138" operator="equal">
      <formula>"未完成"</formula>
    </cfRule>
  </conditionalFormatting>
  <conditionalFormatting sqref="AL740">
    <cfRule type="cellIs" dxfId="0" priority="6048" operator="equal">
      <formula>"欠"</formula>
    </cfRule>
  </conditionalFormatting>
  <conditionalFormatting sqref="Q741">
    <cfRule type="cellIs" dxfId="0" priority="6182" operator="equal">
      <formula>"欠"</formula>
    </cfRule>
  </conditionalFormatting>
  <conditionalFormatting sqref="R741">
    <cfRule type="cellIs" dxfId="0" priority="6272" operator="equal">
      <formula>"欠"</formula>
    </cfRule>
    <cfRule type="containsText" dxfId="0" priority="6227" operator="between" text="欠">
      <formula>NOT(ISERROR(SEARCH("欠",R741)))</formula>
    </cfRule>
  </conditionalFormatting>
  <conditionalFormatting sqref="S741">
    <cfRule type="cellIs" dxfId="0" priority="6002" operator="equal">
      <formula>"欠"</formula>
    </cfRule>
  </conditionalFormatting>
  <conditionalFormatting sqref="T741:U741">
    <cfRule type="containsText" dxfId="0" priority="5912" operator="between" text="欠">
      <formula>NOT(ISERROR(SEARCH("欠",T741)))</formula>
    </cfRule>
    <cfRule type="cellIs" dxfId="0" priority="5957" operator="equal">
      <formula>"欠"</formula>
    </cfRule>
  </conditionalFormatting>
  <conditionalFormatting sqref="AK741">
    <cfRule type="cellIs" dxfId="1" priority="6092" operator="equal">
      <formula>"未完成"</formula>
    </cfRule>
    <cfRule type="cellIs" dxfId="0" priority="6137" operator="equal">
      <formula>"未完成"</formula>
    </cfRule>
  </conditionalFormatting>
  <conditionalFormatting sqref="AL741">
    <cfRule type="cellIs" dxfId="0" priority="6047" operator="equal">
      <formula>"欠"</formula>
    </cfRule>
  </conditionalFormatting>
  <conditionalFormatting sqref="Q742">
    <cfRule type="cellIs" dxfId="0" priority="6181" operator="equal">
      <formula>"欠"</formula>
    </cfRule>
  </conditionalFormatting>
  <conditionalFormatting sqref="R742">
    <cfRule type="cellIs" dxfId="0" priority="6271" operator="equal">
      <formula>"欠"</formula>
    </cfRule>
    <cfRule type="containsText" dxfId="0" priority="6226" operator="between" text="欠">
      <formula>NOT(ISERROR(SEARCH("欠",R742)))</formula>
    </cfRule>
  </conditionalFormatting>
  <conditionalFormatting sqref="S742">
    <cfRule type="cellIs" dxfId="0" priority="6001" operator="equal">
      <formula>"欠"</formula>
    </cfRule>
  </conditionalFormatting>
  <conditionalFormatting sqref="T742:U742">
    <cfRule type="containsText" dxfId="0" priority="5911" operator="between" text="欠">
      <formula>NOT(ISERROR(SEARCH("欠",T742)))</formula>
    </cfRule>
    <cfRule type="cellIs" dxfId="0" priority="5956" operator="equal">
      <formula>"欠"</formula>
    </cfRule>
  </conditionalFormatting>
  <conditionalFormatting sqref="AK742">
    <cfRule type="cellIs" dxfId="1" priority="6091" operator="equal">
      <formula>"未完成"</formula>
    </cfRule>
    <cfRule type="cellIs" dxfId="0" priority="6136" operator="equal">
      <formula>"未完成"</formula>
    </cfRule>
  </conditionalFormatting>
  <conditionalFormatting sqref="AL742">
    <cfRule type="cellIs" dxfId="0" priority="6046" operator="equal">
      <formula>"欠"</formula>
    </cfRule>
  </conditionalFormatting>
  <conditionalFormatting sqref="Q743">
    <cfRule type="cellIs" dxfId="0" priority="6180" operator="equal">
      <formula>"欠"</formula>
    </cfRule>
  </conditionalFormatting>
  <conditionalFormatting sqref="R743">
    <cfRule type="cellIs" dxfId="0" priority="6270" operator="equal">
      <formula>"欠"</formula>
    </cfRule>
    <cfRule type="containsText" dxfId="0" priority="6225" operator="between" text="欠">
      <formula>NOT(ISERROR(SEARCH("欠",R743)))</formula>
    </cfRule>
  </conditionalFormatting>
  <conditionalFormatting sqref="S743">
    <cfRule type="cellIs" dxfId="0" priority="6000" operator="equal">
      <formula>"欠"</formula>
    </cfRule>
  </conditionalFormatting>
  <conditionalFormatting sqref="T743:U743">
    <cfRule type="containsText" dxfId="0" priority="5910" operator="between" text="欠">
      <formula>NOT(ISERROR(SEARCH("欠",T743)))</formula>
    </cfRule>
    <cfRule type="cellIs" dxfId="0" priority="5955" operator="equal">
      <formula>"欠"</formula>
    </cfRule>
  </conditionalFormatting>
  <conditionalFormatting sqref="AK743">
    <cfRule type="cellIs" dxfId="1" priority="6090" operator="equal">
      <formula>"未完成"</formula>
    </cfRule>
    <cfRule type="cellIs" dxfId="0" priority="6135" operator="equal">
      <formula>"未完成"</formula>
    </cfRule>
  </conditionalFormatting>
  <conditionalFormatting sqref="AL743">
    <cfRule type="cellIs" dxfId="0" priority="6045" operator="equal">
      <formula>"欠"</formula>
    </cfRule>
  </conditionalFormatting>
  <conditionalFormatting sqref="Q744">
    <cfRule type="cellIs" dxfId="0" priority="6179" operator="equal">
      <formula>"欠"</formula>
    </cfRule>
  </conditionalFormatting>
  <conditionalFormatting sqref="R744">
    <cfRule type="cellIs" dxfId="0" priority="6269" operator="equal">
      <formula>"欠"</formula>
    </cfRule>
    <cfRule type="containsText" dxfId="0" priority="6224" operator="between" text="欠">
      <formula>NOT(ISERROR(SEARCH("欠",R744)))</formula>
    </cfRule>
  </conditionalFormatting>
  <conditionalFormatting sqref="S744">
    <cfRule type="cellIs" dxfId="0" priority="5999" operator="equal">
      <formula>"欠"</formula>
    </cfRule>
  </conditionalFormatting>
  <conditionalFormatting sqref="T744:U744">
    <cfRule type="containsText" dxfId="0" priority="5909" operator="between" text="欠">
      <formula>NOT(ISERROR(SEARCH("欠",T744)))</formula>
    </cfRule>
    <cfRule type="cellIs" dxfId="0" priority="5954" operator="equal">
      <formula>"欠"</formula>
    </cfRule>
  </conditionalFormatting>
  <conditionalFormatting sqref="AK744">
    <cfRule type="cellIs" dxfId="1" priority="6089" operator="equal">
      <formula>"未完成"</formula>
    </cfRule>
    <cfRule type="cellIs" dxfId="0" priority="6134" operator="equal">
      <formula>"未完成"</formula>
    </cfRule>
  </conditionalFormatting>
  <conditionalFormatting sqref="AL744">
    <cfRule type="cellIs" dxfId="0" priority="6044" operator="equal">
      <formula>"欠"</formula>
    </cfRule>
  </conditionalFormatting>
  <conditionalFormatting sqref="Q745">
    <cfRule type="cellIs" dxfId="0" priority="6178" operator="equal">
      <formula>"欠"</formula>
    </cfRule>
  </conditionalFormatting>
  <conditionalFormatting sqref="R745">
    <cfRule type="cellIs" dxfId="0" priority="6268" operator="equal">
      <formula>"欠"</formula>
    </cfRule>
    <cfRule type="containsText" dxfId="0" priority="6223" operator="between" text="欠">
      <formula>NOT(ISERROR(SEARCH("欠",R745)))</formula>
    </cfRule>
  </conditionalFormatting>
  <conditionalFormatting sqref="S745">
    <cfRule type="cellIs" dxfId="0" priority="5998" operator="equal">
      <formula>"欠"</formula>
    </cfRule>
  </conditionalFormatting>
  <conditionalFormatting sqref="T745:U745">
    <cfRule type="containsText" dxfId="0" priority="5908" operator="between" text="欠">
      <formula>NOT(ISERROR(SEARCH("欠",T745)))</formula>
    </cfRule>
    <cfRule type="cellIs" dxfId="0" priority="5953" operator="equal">
      <formula>"欠"</formula>
    </cfRule>
  </conditionalFormatting>
  <conditionalFormatting sqref="AK745">
    <cfRule type="cellIs" dxfId="1" priority="6088" operator="equal">
      <formula>"未完成"</formula>
    </cfRule>
    <cfRule type="cellIs" dxfId="0" priority="6133" operator="equal">
      <formula>"未完成"</formula>
    </cfRule>
  </conditionalFormatting>
  <conditionalFormatting sqref="AL745">
    <cfRule type="cellIs" dxfId="0" priority="6043" operator="equal">
      <formula>"欠"</formula>
    </cfRule>
  </conditionalFormatting>
  <conditionalFormatting sqref="Q746">
    <cfRule type="cellIs" dxfId="0" priority="6177" operator="equal">
      <formula>"欠"</formula>
    </cfRule>
  </conditionalFormatting>
  <conditionalFormatting sqref="R746">
    <cfRule type="cellIs" dxfId="0" priority="6267" operator="equal">
      <formula>"欠"</formula>
    </cfRule>
    <cfRule type="containsText" dxfId="0" priority="6222" operator="between" text="欠">
      <formula>NOT(ISERROR(SEARCH("欠",R746)))</formula>
    </cfRule>
  </conditionalFormatting>
  <conditionalFormatting sqref="S746">
    <cfRule type="cellIs" dxfId="0" priority="5997" operator="equal">
      <formula>"欠"</formula>
    </cfRule>
  </conditionalFormatting>
  <conditionalFormatting sqref="T746:U746">
    <cfRule type="containsText" dxfId="0" priority="5907" operator="between" text="欠">
      <formula>NOT(ISERROR(SEARCH("欠",T746)))</formula>
    </cfRule>
    <cfRule type="cellIs" dxfId="0" priority="5952" operator="equal">
      <formula>"欠"</formula>
    </cfRule>
  </conditionalFormatting>
  <conditionalFormatting sqref="AK746">
    <cfRule type="cellIs" dxfId="1" priority="6087" operator="equal">
      <formula>"未完成"</formula>
    </cfRule>
    <cfRule type="cellIs" dxfId="0" priority="6132" operator="equal">
      <formula>"未完成"</formula>
    </cfRule>
  </conditionalFormatting>
  <conditionalFormatting sqref="AL746">
    <cfRule type="cellIs" dxfId="0" priority="6042" operator="equal">
      <formula>"欠"</formula>
    </cfRule>
  </conditionalFormatting>
  <conditionalFormatting sqref="Q747">
    <cfRule type="cellIs" dxfId="0" priority="6176" operator="equal">
      <formula>"欠"</formula>
    </cfRule>
  </conditionalFormatting>
  <conditionalFormatting sqref="R747">
    <cfRule type="cellIs" dxfId="0" priority="6266" operator="equal">
      <formula>"欠"</formula>
    </cfRule>
    <cfRule type="containsText" dxfId="0" priority="6221" operator="between" text="欠">
      <formula>NOT(ISERROR(SEARCH("欠",R747)))</formula>
    </cfRule>
  </conditionalFormatting>
  <conditionalFormatting sqref="S747">
    <cfRule type="cellIs" dxfId="0" priority="5996" operator="equal">
      <formula>"欠"</formula>
    </cfRule>
  </conditionalFormatting>
  <conditionalFormatting sqref="T747:U747">
    <cfRule type="containsText" dxfId="0" priority="5906" operator="between" text="欠">
      <formula>NOT(ISERROR(SEARCH("欠",T747)))</formula>
    </cfRule>
    <cfRule type="cellIs" dxfId="0" priority="5951" operator="equal">
      <formula>"欠"</formula>
    </cfRule>
  </conditionalFormatting>
  <conditionalFormatting sqref="AK747">
    <cfRule type="cellIs" dxfId="1" priority="6086" operator="equal">
      <formula>"未完成"</formula>
    </cfRule>
    <cfRule type="cellIs" dxfId="0" priority="6131" operator="equal">
      <formula>"未完成"</formula>
    </cfRule>
  </conditionalFormatting>
  <conditionalFormatting sqref="AL747">
    <cfRule type="cellIs" dxfId="0" priority="6041" operator="equal">
      <formula>"欠"</formula>
    </cfRule>
  </conditionalFormatting>
  <conditionalFormatting sqref="Q748">
    <cfRule type="cellIs" dxfId="0" priority="6175" operator="equal">
      <formula>"欠"</formula>
    </cfRule>
  </conditionalFormatting>
  <conditionalFormatting sqref="R748">
    <cfRule type="cellIs" dxfId="0" priority="6265" operator="equal">
      <formula>"欠"</formula>
    </cfRule>
    <cfRule type="containsText" dxfId="0" priority="6220" operator="between" text="欠">
      <formula>NOT(ISERROR(SEARCH("欠",R748)))</formula>
    </cfRule>
  </conditionalFormatting>
  <conditionalFormatting sqref="S748">
    <cfRule type="cellIs" dxfId="0" priority="5995" operator="equal">
      <formula>"欠"</formula>
    </cfRule>
  </conditionalFormatting>
  <conditionalFormatting sqref="T748:U748">
    <cfRule type="containsText" dxfId="0" priority="5905" operator="between" text="欠">
      <formula>NOT(ISERROR(SEARCH("欠",T748)))</formula>
    </cfRule>
    <cfRule type="cellIs" dxfId="0" priority="5950" operator="equal">
      <formula>"欠"</formula>
    </cfRule>
  </conditionalFormatting>
  <conditionalFormatting sqref="AK748">
    <cfRule type="cellIs" dxfId="1" priority="6085" operator="equal">
      <formula>"未完成"</formula>
    </cfRule>
    <cfRule type="cellIs" dxfId="0" priority="6130" operator="equal">
      <formula>"未完成"</formula>
    </cfRule>
  </conditionalFormatting>
  <conditionalFormatting sqref="AL748">
    <cfRule type="cellIs" dxfId="0" priority="6040" operator="equal">
      <formula>"欠"</formula>
    </cfRule>
  </conditionalFormatting>
  <conditionalFormatting sqref="Q749">
    <cfRule type="cellIs" dxfId="0" priority="6174" operator="equal">
      <formula>"欠"</formula>
    </cfRule>
  </conditionalFormatting>
  <conditionalFormatting sqref="R749">
    <cfRule type="cellIs" dxfId="0" priority="6264" operator="equal">
      <formula>"欠"</formula>
    </cfRule>
    <cfRule type="containsText" dxfId="0" priority="6219" operator="between" text="欠">
      <formula>NOT(ISERROR(SEARCH("欠",R749)))</formula>
    </cfRule>
  </conditionalFormatting>
  <conditionalFormatting sqref="T749:U749">
    <cfRule type="containsText" dxfId="0" priority="5904" operator="between" text="欠">
      <formula>NOT(ISERROR(SEARCH("欠",T749)))</formula>
    </cfRule>
    <cfRule type="cellIs" dxfId="0" priority="5949" operator="equal">
      <formula>"欠"</formula>
    </cfRule>
  </conditionalFormatting>
  <conditionalFormatting sqref="AK749">
    <cfRule type="cellIs" dxfId="1" priority="6084" operator="equal">
      <formula>"未完成"</formula>
    </cfRule>
    <cfRule type="cellIs" dxfId="0" priority="6129" operator="equal">
      <formula>"未完成"</formula>
    </cfRule>
  </conditionalFormatting>
  <conditionalFormatting sqref="AL749">
    <cfRule type="cellIs" dxfId="0" priority="6039" operator="equal">
      <formula>"欠"</formula>
    </cfRule>
  </conditionalFormatting>
  <conditionalFormatting sqref="Q750">
    <cfRule type="cellIs" dxfId="0" priority="6173" operator="equal">
      <formula>"欠"</formula>
    </cfRule>
  </conditionalFormatting>
  <conditionalFormatting sqref="R750">
    <cfRule type="cellIs" dxfId="0" priority="6263" operator="equal">
      <formula>"欠"</formula>
    </cfRule>
    <cfRule type="containsText" dxfId="0" priority="6218" operator="between" text="欠">
      <formula>NOT(ISERROR(SEARCH("欠",R750)))</formula>
    </cfRule>
  </conditionalFormatting>
  <conditionalFormatting sqref="S750">
    <cfRule type="cellIs" dxfId="0" priority="5993" operator="equal">
      <formula>"欠"</formula>
    </cfRule>
  </conditionalFormatting>
  <conditionalFormatting sqref="T750:U750">
    <cfRule type="containsText" dxfId="0" priority="5903" operator="between" text="欠">
      <formula>NOT(ISERROR(SEARCH("欠",T750)))</formula>
    </cfRule>
    <cfRule type="cellIs" dxfId="0" priority="5948" operator="equal">
      <formula>"欠"</formula>
    </cfRule>
  </conditionalFormatting>
  <conditionalFormatting sqref="AK750">
    <cfRule type="cellIs" dxfId="1" priority="6083" operator="equal">
      <formula>"未完成"</formula>
    </cfRule>
    <cfRule type="cellIs" dxfId="0" priority="6128" operator="equal">
      <formula>"未完成"</formula>
    </cfRule>
  </conditionalFormatting>
  <conditionalFormatting sqref="AL750">
    <cfRule type="cellIs" dxfId="0" priority="6038" operator="equal">
      <formula>"欠"</formula>
    </cfRule>
  </conditionalFormatting>
  <conditionalFormatting sqref="Q751">
    <cfRule type="cellIs" dxfId="0" priority="6172" operator="equal">
      <formula>"欠"</formula>
    </cfRule>
  </conditionalFormatting>
  <conditionalFormatting sqref="R751">
    <cfRule type="cellIs" dxfId="0" priority="6262" operator="equal">
      <formula>"欠"</formula>
    </cfRule>
    <cfRule type="containsText" dxfId="0" priority="6217" operator="between" text="欠">
      <formula>NOT(ISERROR(SEARCH("欠",R751)))</formula>
    </cfRule>
  </conditionalFormatting>
  <conditionalFormatting sqref="S751">
    <cfRule type="cellIs" dxfId="0" priority="5992" operator="equal">
      <formula>"欠"</formula>
    </cfRule>
  </conditionalFormatting>
  <conditionalFormatting sqref="T751:U751">
    <cfRule type="containsText" dxfId="0" priority="5902" operator="between" text="欠">
      <formula>NOT(ISERROR(SEARCH("欠",T751)))</formula>
    </cfRule>
    <cfRule type="cellIs" dxfId="0" priority="5947" operator="equal">
      <formula>"欠"</formula>
    </cfRule>
  </conditionalFormatting>
  <conditionalFormatting sqref="AK751">
    <cfRule type="cellIs" dxfId="1" priority="6082" operator="equal">
      <formula>"未完成"</formula>
    </cfRule>
    <cfRule type="cellIs" dxfId="0" priority="6127" operator="equal">
      <formula>"未完成"</formula>
    </cfRule>
  </conditionalFormatting>
  <conditionalFormatting sqref="AL751">
    <cfRule type="cellIs" dxfId="0" priority="6037" operator="equal">
      <formula>"欠"</formula>
    </cfRule>
  </conditionalFormatting>
  <conditionalFormatting sqref="Q752">
    <cfRule type="cellIs" dxfId="0" priority="6171" operator="equal">
      <formula>"欠"</formula>
    </cfRule>
  </conditionalFormatting>
  <conditionalFormatting sqref="R752">
    <cfRule type="cellIs" dxfId="0" priority="6261" operator="equal">
      <formula>"欠"</formula>
    </cfRule>
    <cfRule type="containsText" dxfId="0" priority="6216" operator="between" text="欠">
      <formula>NOT(ISERROR(SEARCH("欠",R752)))</formula>
    </cfRule>
  </conditionalFormatting>
  <conditionalFormatting sqref="T752:U752">
    <cfRule type="containsText" dxfId="0" priority="5901" operator="between" text="欠">
      <formula>NOT(ISERROR(SEARCH("欠",T752)))</formula>
    </cfRule>
    <cfRule type="cellIs" dxfId="0" priority="5946" operator="equal">
      <formula>"欠"</formula>
    </cfRule>
  </conditionalFormatting>
  <conditionalFormatting sqref="AK752">
    <cfRule type="cellIs" dxfId="1" priority="6081" operator="equal">
      <formula>"未完成"</formula>
    </cfRule>
    <cfRule type="cellIs" dxfId="0" priority="6126" operator="equal">
      <formula>"未完成"</formula>
    </cfRule>
  </conditionalFormatting>
  <conditionalFormatting sqref="AL752">
    <cfRule type="cellIs" dxfId="0" priority="6036" operator="equal">
      <formula>"欠"</formula>
    </cfRule>
  </conditionalFormatting>
  <conditionalFormatting sqref="Q753">
    <cfRule type="cellIs" dxfId="0" priority="6170" operator="equal">
      <formula>"欠"</formula>
    </cfRule>
  </conditionalFormatting>
  <conditionalFormatting sqref="R753">
    <cfRule type="cellIs" dxfId="0" priority="6260" operator="equal">
      <formula>"欠"</formula>
    </cfRule>
    <cfRule type="containsText" dxfId="0" priority="6215" operator="between" text="欠">
      <formula>NOT(ISERROR(SEARCH("欠",R753)))</formula>
    </cfRule>
  </conditionalFormatting>
  <conditionalFormatting sqref="S753">
    <cfRule type="cellIs" dxfId="0" priority="5990" operator="equal">
      <formula>"欠"</formula>
    </cfRule>
  </conditionalFormatting>
  <conditionalFormatting sqref="AK753">
    <cfRule type="cellIs" dxfId="1" priority="6080" operator="equal">
      <formula>"未完成"</formula>
    </cfRule>
    <cfRule type="cellIs" dxfId="0" priority="6125" operator="equal">
      <formula>"未完成"</formula>
    </cfRule>
  </conditionalFormatting>
  <conditionalFormatting sqref="AL753">
    <cfRule type="cellIs" dxfId="0" priority="6035" operator="equal">
      <formula>"欠"</formula>
    </cfRule>
  </conditionalFormatting>
  <conditionalFormatting sqref="Q754">
    <cfRule type="cellIs" dxfId="0" priority="6169" operator="equal">
      <formula>"欠"</formula>
    </cfRule>
  </conditionalFormatting>
  <conditionalFormatting sqref="R754">
    <cfRule type="cellIs" dxfId="0" priority="6259" operator="equal">
      <formula>"欠"</formula>
    </cfRule>
    <cfRule type="containsText" dxfId="0" priority="6214" operator="between" text="欠">
      <formula>NOT(ISERROR(SEARCH("欠",R754)))</formula>
    </cfRule>
  </conditionalFormatting>
  <conditionalFormatting sqref="S754">
    <cfRule type="cellIs" dxfId="0" priority="5989" operator="equal">
      <formula>"欠"</formula>
    </cfRule>
  </conditionalFormatting>
  <conditionalFormatting sqref="T754:U754">
    <cfRule type="containsText" dxfId="0" priority="5899" operator="between" text="欠">
      <formula>NOT(ISERROR(SEARCH("欠",T754)))</formula>
    </cfRule>
    <cfRule type="cellIs" dxfId="0" priority="5944" operator="equal">
      <formula>"欠"</formula>
    </cfRule>
  </conditionalFormatting>
  <conditionalFormatting sqref="AK754">
    <cfRule type="cellIs" dxfId="1" priority="6079" operator="equal">
      <formula>"未完成"</formula>
    </cfRule>
    <cfRule type="cellIs" dxfId="0" priority="6124" operator="equal">
      <formula>"未完成"</formula>
    </cfRule>
  </conditionalFormatting>
  <conditionalFormatting sqref="AL754">
    <cfRule type="cellIs" dxfId="0" priority="6034" operator="equal">
      <formula>"欠"</formula>
    </cfRule>
  </conditionalFormatting>
  <conditionalFormatting sqref="Q755">
    <cfRule type="cellIs" dxfId="0" priority="6168" operator="equal">
      <formula>"欠"</formula>
    </cfRule>
  </conditionalFormatting>
  <conditionalFormatting sqref="R755">
    <cfRule type="cellIs" dxfId="0" priority="6258" operator="equal">
      <formula>"欠"</formula>
    </cfRule>
    <cfRule type="containsText" dxfId="0" priority="6213" operator="between" text="欠">
      <formula>NOT(ISERROR(SEARCH("欠",R755)))</formula>
    </cfRule>
  </conditionalFormatting>
  <conditionalFormatting sqref="S755">
    <cfRule type="cellIs" dxfId="0" priority="5988" operator="equal">
      <formula>"欠"</formula>
    </cfRule>
  </conditionalFormatting>
  <conditionalFormatting sqref="T755:U755">
    <cfRule type="containsText" dxfId="0" priority="5898" operator="between" text="欠">
      <formula>NOT(ISERROR(SEARCH("欠",T755)))</formula>
    </cfRule>
    <cfRule type="cellIs" dxfId="0" priority="5943" operator="equal">
      <formula>"欠"</formula>
    </cfRule>
  </conditionalFormatting>
  <conditionalFormatting sqref="AK755">
    <cfRule type="cellIs" dxfId="1" priority="6078" operator="equal">
      <formula>"未完成"</formula>
    </cfRule>
    <cfRule type="cellIs" dxfId="0" priority="6123" operator="equal">
      <formula>"未完成"</formula>
    </cfRule>
  </conditionalFormatting>
  <conditionalFormatting sqref="AL755">
    <cfRule type="cellIs" dxfId="0" priority="6033" operator="equal">
      <formula>"欠"</formula>
    </cfRule>
  </conditionalFormatting>
  <conditionalFormatting sqref="Q756">
    <cfRule type="cellIs" dxfId="0" priority="6167" operator="equal">
      <formula>"欠"</formula>
    </cfRule>
  </conditionalFormatting>
  <conditionalFormatting sqref="R756">
    <cfRule type="cellIs" dxfId="0" priority="6257" operator="equal">
      <formula>"欠"</formula>
    </cfRule>
    <cfRule type="containsText" dxfId="0" priority="6212" operator="between" text="欠">
      <formula>NOT(ISERROR(SEARCH("欠",R756)))</formula>
    </cfRule>
  </conditionalFormatting>
  <conditionalFormatting sqref="S756">
    <cfRule type="cellIs" dxfId="0" priority="5987" operator="equal">
      <formula>"欠"</formula>
    </cfRule>
  </conditionalFormatting>
  <conditionalFormatting sqref="T756:U756">
    <cfRule type="containsText" dxfId="0" priority="5897" operator="between" text="欠">
      <formula>NOT(ISERROR(SEARCH("欠",T756)))</formula>
    </cfRule>
    <cfRule type="cellIs" dxfId="0" priority="5942" operator="equal">
      <formula>"欠"</formula>
    </cfRule>
  </conditionalFormatting>
  <conditionalFormatting sqref="AK756">
    <cfRule type="cellIs" dxfId="1" priority="6077" operator="equal">
      <formula>"未完成"</formula>
    </cfRule>
    <cfRule type="cellIs" dxfId="0" priority="6122" operator="equal">
      <formula>"未完成"</formula>
    </cfRule>
  </conditionalFormatting>
  <conditionalFormatting sqref="AL756">
    <cfRule type="cellIs" dxfId="0" priority="6032" operator="equal">
      <formula>"欠"</formula>
    </cfRule>
  </conditionalFormatting>
  <conditionalFormatting sqref="Q757">
    <cfRule type="cellIs" dxfId="0" priority="6166" operator="equal">
      <formula>"欠"</formula>
    </cfRule>
  </conditionalFormatting>
  <conditionalFormatting sqref="R757">
    <cfRule type="cellIs" dxfId="0" priority="6256" operator="equal">
      <formula>"欠"</formula>
    </cfRule>
    <cfRule type="containsText" dxfId="0" priority="6211" operator="between" text="欠">
      <formula>NOT(ISERROR(SEARCH("欠",R757)))</formula>
    </cfRule>
  </conditionalFormatting>
  <conditionalFormatting sqref="S757">
    <cfRule type="cellIs" dxfId="0" priority="5986" operator="equal">
      <formula>"欠"</formula>
    </cfRule>
  </conditionalFormatting>
  <conditionalFormatting sqref="T757:U757">
    <cfRule type="containsText" dxfId="0" priority="5896" operator="between" text="欠">
      <formula>NOT(ISERROR(SEARCH("欠",T757)))</formula>
    </cfRule>
    <cfRule type="cellIs" dxfId="0" priority="5941" operator="equal">
      <formula>"欠"</formula>
    </cfRule>
  </conditionalFormatting>
  <conditionalFormatting sqref="AK757">
    <cfRule type="cellIs" dxfId="1" priority="6076" operator="equal">
      <formula>"未完成"</formula>
    </cfRule>
    <cfRule type="cellIs" dxfId="0" priority="6121" operator="equal">
      <formula>"未完成"</formula>
    </cfRule>
  </conditionalFormatting>
  <conditionalFormatting sqref="AL757">
    <cfRule type="cellIs" dxfId="0" priority="6031" operator="equal">
      <formula>"欠"</formula>
    </cfRule>
  </conditionalFormatting>
  <conditionalFormatting sqref="Q758">
    <cfRule type="cellIs" dxfId="0" priority="6165" operator="equal">
      <formula>"欠"</formula>
    </cfRule>
  </conditionalFormatting>
  <conditionalFormatting sqref="R758">
    <cfRule type="cellIs" dxfId="0" priority="6255" operator="equal">
      <formula>"欠"</formula>
    </cfRule>
    <cfRule type="containsText" dxfId="0" priority="6210" operator="between" text="欠">
      <formula>NOT(ISERROR(SEARCH("欠",R758)))</formula>
    </cfRule>
  </conditionalFormatting>
  <conditionalFormatting sqref="S758">
    <cfRule type="cellIs" dxfId="0" priority="5985" operator="equal">
      <formula>"欠"</formula>
    </cfRule>
  </conditionalFormatting>
  <conditionalFormatting sqref="T758:U758">
    <cfRule type="containsText" dxfId="0" priority="5895" operator="between" text="欠">
      <formula>NOT(ISERROR(SEARCH("欠",T758)))</formula>
    </cfRule>
    <cfRule type="cellIs" dxfId="0" priority="5940" operator="equal">
      <formula>"欠"</formula>
    </cfRule>
  </conditionalFormatting>
  <conditionalFormatting sqref="AK758">
    <cfRule type="cellIs" dxfId="1" priority="6075" operator="equal">
      <formula>"未完成"</formula>
    </cfRule>
    <cfRule type="cellIs" dxfId="0" priority="6120" operator="equal">
      <formula>"未完成"</formula>
    </cfRule>
  </conditionalFormatting>
  <conditionalFormatting sqref="AL758">
    <cfRule type="cellIs" dxfId="0" priority="6030" operator="equal">
      <formula>"欠"</formula>
    </cfRule>
  </conditionalFormatting>
  <conditionalFormatting sqref="Q759">
    <cfRule type="cellIs" dxfId="0" priority="6164" operator="equal">
      <formula>"欠"</formula>
    </cfRule>
  </conditionalFormatting>
  <conditionalFormatting sqref="R759">
    <cfRule type="cellIs" dxfId="0" priority="6254" operator="equal">
      <formula>"欠"</formula>
    </cfRule>
    <cfRule type="containsText" dxfId="0" priority="6209" operator="between" text="欠">
      <formula>NOT(ISERROR(SEARCH("欠",R759)))</formula>
    </cfRule>
  </conditionalFormatting>
  <conditionalFormatting sqref="S759">
    <cfRule type="cellIs" dxfId="0" priority="5984" operator="equal">
      <formula>"欠"</formula>
    </cfRule>
  </conditionalFormatting>
  <conditionalFormatting sqref="T759:U759">
    <cfRule type="containsText" dxfId="0" priority="5894" operator="between" text="欠">
      <formula>NOT(ISERROR(SEARCH("欠",T759)))</formula>
    </cfRule>
    <cfRule type="cellIs" dxfId="0" priority="5939" operator="equal">
      <formula>"欠"</formula>
    </cfRule>
  </conditionalFormatting>
  <conditionalFormatting sqref="AK759">
    <cfRule type="cellIs" dxfId="1" priority="6074" operator="equal">
      <formula>"未完成"</formula>
    </cfRule>
    <cfRule type="cellIs" dxfId="0" priority="6119" operator="equal">
      <formula>"未完成"</formula>
    </cfRule>
  </conditionalFormatting>
  <conditionalFormatting sqref="AL759">
    <cfRule type="cellIs" dxfId="0" priority="6029" operator="equal">
      <formula>"欠"</formula>
    </cfRule>
  </conditionalFormatting>
  <conditionalFormatting sqref="Q760">
    <cfRule type="cellIs" dxfId="0" priority="6163" operator="equal">
      <formula>"欠"</formula>
    </cfRule>
  </conditionalFormatting>
  <conditionalFormatting sqref="R760">
    <cfRule type="cellIs" dxfId="0" priority="6253" operator="equal">
      <formula>"欠"</formula>
    </cfRule>
    <cfRule type="containsText" dxfId="0" priority="6208" operator="between" text="欠">
      <formula>NOT(ISERROR(SEARCH("欠",R760)))</formula>
    </cfRule>
  </conditionalFormatting>
  <conditionalFormatting sqref="T760:U760">
    <cfRule type="containsText" dxfId="0" priority="5893" operator="between" text="欠">
      <formula>NOT(ISERROR(SEARCH("欠",T760)))</formula>
    </cfRule>
    <cfRule type="cellIs" dxfId="0" priority="5938" operator="equal">
      <formula>"欠"</formula>
    </cfRule>
  </conditionalFormatting>
  <conditionalFormatting sqref="AK760">
    <cfRule type="cellIs" dxfId="1" priority="6073" operator="equal">
      <formula>"未完成"</formula>
    </cfRule>
    <cfRule type="cellIs" dxfId="0" priority="6118" operator="equal">
      <formula>"未完成"</formula>
    </cfRule>
  </conditionalFormatting>
  <conditionalFormatting sqref="AL760">
    <cfRule type="cellIs" dxfId="0" priority="6028" operator="equal">
      <formula>"欠"</formula>
    </cfRule>
  </conditionalFormatting>
  <conditionalFormatting sqref="Q761">
    <cfRule type="cellIs" dxfId="0" priority="6162" operator="equal">
      <formula>"欠"</formula>
    </cfRule>
  </conditionalFormatting>
  <conditionalFormatting sqref="R761">
    <cfRule type="cellIs" dxfId="0" priority="6252" operator="equal">
      <formula>"欠"</formula>
    </cfRule>
    <cfRule type="containsText" dxfId="0" priority="6207" operator="between" text="欠">
      <formula>NOT(ISERROR(SEARCH("欠",R761)))</formula>
    </cfRule>
  </conditionalFormatting>
  <conditionalFormatting sqref="S761">
    <cfRule type="cellIs" dxfId="0" priority="5982" operator="equal">
      <formula>"欠"</formula>
    </cfRule>
  </conditionalFormatting>
  <conditionalFormatting sqref="T761:U761">
    <cfRule type="containsText" dxfId="0" priority="5892" operator="between" text="欠">
      <formula>NOT(ISERROR(SEARCH("欠",T761)))</formula>
    </cfRule>
    <cfRule type="cellIs" dxfId="0" priority="5937" operator="equal">
      <formula>"欠"</formula>
    </cfRule>
  </conditionalFormatting>
  <conditionalFormatting sqref="AK761">
    <cfRule type="cellIs" dxfId="1" priority="6072" operator="equal">
      <formula>"未完成"</formula>
    </cfRule>
    <cfRule type="cellIs" dxfId="0" priority="6117" operator="equal">
      <formula>"未完成"</formula>
    </cfRule>
  </conditionalFormatting>
  <conditionalFormatting sqref="AL761">
    <cfRule type="cellIs" dxfId="0" priority="6027" operator="equal">
      <formula>"欠"</formula>
    </cfRule>
  </conditionalFormatting>
  <conditionalFormatting sqref="Q762">
    <cfRule type="cellIs" dxfId="0" priority="6161" operator="equal">
      <formula>"欠"</formula>
    </cfRule>
  </conditionalFormatting>
  <conditionalFormatting sqref="R762">
    <cfRule type="cellIs" dxfId="0" priority="6251" operator="equal">
      <formula>"欠"</formula>
    </cfRule>
    <cfRule type="containsText" dxfId="0" priority="6206" operator="between" text="欠">
      <formula>NOT(ISERROR(SEARCH("欠",R762)))</formula>
    </cfRule>
  </conditionalFormatting>
  <conditionalFormatting sqref="S762">
    <cfRule type="cellIs" dxfId="0" priority="5981" operator="equal">
      <formula>"欠"</formula>
    </cfRule>
  </conditionalFormatting>
  <conditionalFormatting sqref="T762:U762">
    <cfRule type="containsText" dxfId="0" priority="5891" operator="between" text="欠">
      <formula>NOT(ISERROR(SEARCH("欠",T762)))</formula>
    </cfRule>
    <cfRule type="cellIs" dxfId="0" priority="5936" operator="equal">
      <formula>"欠"</formula>
    </cfRule>
  </conditionalFormatting>
  <conditionalFormatting sqref="AK762">
    <cfRule type="cellIs" dxfId="1" priority="6071" operator="equal">
      <formula>"未完成"</formula>
    </cfRule>
    <cfRule type="cellIs" dxfId="0" priority="6116" operator="equal">
      <formula>"未完成"</formula>
    </cfRule>
  </conditionalFormatting>
  <conditionalFormatting sqref="AL762">
    <cfRule type="cellIs" dxfId="0" priority="6026" operator="equal">
      <formula>"欠"</formula>
    </cfRule>
  </conditionalFormatting>
  <conditionalFormatting sqref="Q763">
    <cfRule type="cellIs" dxfId="0" priority="6160" operator="equal">
      <formula>"欠"</formula>
    </cfRule>
  </conditionalFormatting>
  <conditionalFormatting sqref="R763">
    <cfRule type="cellIs" dxfId="0" priority="6250" operator="equal">
      <formula>"欠"</formula>
    </cfRule>
    <cfRule type="containsText" dxfId="0" priority="6205" operator="between" text="欠">
      <formula>NOT(ISERROR(SEARCH("欠",R763)))</formula>
    </cfRule>
  </conditionalFormatting>
  <conditionalFormatting sqref="S763">
    <cfRule type="cellIs" dxfId="0" priority="5980" operator="equal">
      <formula>"欠"</formula>
    </cfRule>
  </conditionalFormatting>
  <conditionalFormatting sqref="T763:U763">
    <cfRule type="containsText" dxfId="0" priority="5890" operator="between" text="欠">
      <formula>NOT(ISERROR(SEARCH("欠",T763)))</formula>
    </cfRule>
    <cfRule type="cellIs" dxfId="0" priority="5935" operator="equal">
      <formula>"欠"</formula>
    </cfRule>
  </conditionalFormatting>
  <conditionalFormatting sqref="AK763">
    <cfRule type="cellIs" dxfId="1" priority="6070" operator="equal">
      <formula>"未完成"</formula>
    </cfRule>
    <cfRule type="cellIs" dxfId="0" priority="6115" operator="equal">
      <formula>"未完成"</formula>
    </cfRule>
  </conditionalFormatting>
  <conditionalFormatting sqref="AL763">
    <cfRule type="cellIs" dxfId="0" priority="6025" operator="equal">
      <formula>"欠"</formula>
    </cfRule>
  </conditionalFormatting>
  <conditionalFormatting sqref="Q764">
    <cfRule type="cellIs" dxfId="0" priority="6159" operator="equal">
      <formula>"欠"</formula>
    </cfRule>
  </conditionalFormatting>
  <conditionalFormatting sqref="R764">
    <cfRule type="cellIs" dxfId="0" priority="6249" operator="equal">
      <formula>"欠"</formula>
    </cfRule>
    <cfRule type="containsText" dxfId="0" priority="6204" operator="between" text="欠">
      <formula>NOT(ISERROR(SEARCH("欠",R764)))</formula>
    </cfRule>
  </conditionalFormatting>
  <conditionalFormatting sqref="S764">
    <cfRule type="cellIs" dxfId="0" priority="5979" operator="equal">
      <formula>"欠"</formula>
    </cfRule>
  </conditionalFormatting>
  <conditionalFormatting sqref="T764:U764">
    <cfRule type="containsText" dxfId="0" priority="5889" operator="between" text="欠">
      <formula>NOT(ISERROR(SEARCH("欠",T764)))</formula>
    </cfRule>
    <cfRule type="cellIs" dxfId="0" priority="5934" operator="equal">
      <formula>"欠"</formula>
    </cfRule>
  </conditionalFormatting>
  <conditionalFormatting sqref="AK764">
    <cfRule type="cellIs" dxfId="1" priority="6069" operator="equal">
      <formula>"未完成"</formula>
    </cfRule>
    <cfRule type="cellIs" dxfId="0" priority="6114" operator="equal">
      <formula>"未完成"</formula>
    </cfRule>
  </conditionalFormatting>
  <conditionalFormatting sqref="AL764">
    <cfRule type="cellIs" dxfId="0" priority="6024" operator="equal">
      <formula>"欠"</formula>
    </cfRule>
  </conditionalFormatting>
  <conditionalFormatting sqref="Q765">
    <cfRule type="cellIs" dxfId="0" priority="6158" operator="equal">
      <formula>"欠"</formula>
    </cfRule>
  </conditionalFormatting>
  <conditionalFormatting sqref="R765">
    <cfRule type="cellIs" dxfId="0" priority="6248" operator="equal">
      <formula>"欠"</formula>
    </cfRule>
    <cfRule type="containsText" dxfId="0" priority="6203" operator="between" text="欠">
      <formula>NOT(ISERROR(SEARCH("欠",R765)))</formula>
    </cfRule>
  </conditionalFormatting>
  <conditionalFormatting sqref="S765">
    <cfRule type="cellIs" dxfId="0" priority="5978" operator="equal">
      <formula>"欠"</formula>
    </cfRule>
  </conditionalFormatting>
  <conditionalFormatting sqref="T765:U765">
    <cfRule type="containsText" dxfId="0" priority="5888" operator="between" text="欠">
      <formula>NOT(ISERROR(SEARCH("欠",T765)))</formula>
    </cfRule>
    <cfRule type="cellIs" dxfId="0" priority="5933" operator="equal">
      <formula>"欠"</formula>
    </cfRule>
  </conditionalFormatting>
  <conditionalFormatting sqref="AK765">
    <cfRule type="cellIs" dxfId="1" priority="6068" operator="equal">
      <formula>"未完成"</formula>
    </cfRule>
    <cfRule type="cellIs" dxfId="0" priority="6113" operator="equal">
      <formula>"未完成"</formula>
    </cfRule>
  </conditionalFormatting>
  <conditionalFormatting sqref="AL765">
    <cfRule type="cellIs" dxfId="0" priority="6023" operator="equal">
      <formula>"欠"</formula>
    </cfRule>
  </conditionalFormatting>
  <conditionalFormatting sqref="Q766">
    <cfRule type="cellIs" dxfId="0" priority="6157" operator="equal">
      <formula>"欠"</formula>
    </cfRule>
  </conditionalFormatting>
  <conditionalFormatting sqref="R766">
    <cfRule type="cellIs" dxfId="0" priority="6247" operator="equal">
      <formula>"欠"</formula>
    </cfRule>
    <cfRule type="containsText" dxfId="0" priority="6202" operator="between" text="欠">
      <formula>NOT(ISERROR(SEARCH("欠",R766)))</formula>
    </cfRule>
  </conditionalFormatting>
  <conditionalFormatting sqref="S766">
    <cfRule type="cellIs" dxfId="0" priority="5977" operator="equal">
      <formula>"欠"</formula>
    </cfRule>
  </conditionalFormatting>
  <conditionalFormatting sqref="T766:U766">
    <cfRule type="containsText" dxfId="0" priority="5887" operator="between" text="欠">
      <formula>NOT(ISERROR(SEARCH("欠",T766)))</formula>
    </cfRule>
    <cfRule type="cellIs" dxfId="0" priority="5932" operator="equal">
      <formula>"欠"</formula>
    </cfRule>
  </conditionalFormatting>
  <conditionalFormatting sqref="AK766">
    <cfRule type="cellIs" dxfId="1" priority="6067" operator="equal">
      <formula>"未完成"</formula>
    </cfRule>
    <cfRule type="cellIs" dxfId="0" priority="6112" operator="equal">
      <formula>"未完成"</formula>
    </cfRule>
  </conditionalFormatting>
  <conditionalFormatting sqref="AL766">
    <cfRule type="cellIs" dxfId="0" priority="6022" operator="equal">
      <formula>"欠"</formula>
    </cfRule>
  </conditionalFormatting>
  <conditionalFormatting sqref="Q767">
    <cfRule type="cellIs" dxfId="0" priority="6156" operator="equal">
      <formula>"欠"</formula>
    </cfRule>
  </conditionalFormatting>
  <conditionalFormatting sqref="R767">
    <cfRule type="cellIs" dxfId="0" priority="6246" operator="equal">
      <formula>"欠"</formula>
    </cfRule>
    <cfRule type="containsText" dxfId="0" priority="6201" operator="between" text="欠">
      <formula>NOT(ISERROR(SEARCH("欠",R767)))</formula>
    </cfRule>
  </conditionalFormatting>
  <conditionalFormatting sqref="S767">
    <cfRule type="cellIs" dxfId="0" priority="5976" operator="equal">
      <formula>"欠"</formula>
    </cfRule>
  </conditionalFormatting>
  <conditionalFormatting sqref="T767:U767">
    <cfRule type="containsText" dxfId="0" priority="5886" operator="between" text="欠">
      <formula>NOT(ISERROR(SEARCH("欠",T767)))</formula>
    </cfRule>
    <cfRule type="cellIs" dxfId="0" priority="5931" operator="equal">
      <formula>"欠"</formula>
    </cfRule>
  </conditionalFormatting>
  <conditionalFormatting sqref="AK767">
    <cfRule type="cellIs" dxfId="1" priority="6066" operator="equal">
      <formula>"未完成"</formula>
    </cfRule>
    <cfRule type="cellIs" dxfId="0" priority="6111" operator="equal">
      <formula>"未完成"</formula>
    </cfRule>
  </conditionalFormatting>
  <conditionalFormatting sqref="AL767">
    <cfRule type="cellIs" dxfId="0" priority="6021" operator="equal">
      <formula>"欠"</formula>
    </cfRule>
  </conditionalFormatting>
  <conditionalFormatting sqref="Q768">
    <cfRule type="cellIs" dxfId="0" priority="6155" operator="equal">
      <formula>"欠"</formula>
    </cfRule>
  </conditionalFormatting>
  <conditionalFormatting sqref="R768">
    <cfRule type="cellIs" dxfId="0" priority="6245" operator="equal">
      <formula>"欠"</formula>
    </cfRule>
    <cfRule type="containsText" dxfId="0" priority="6200" operator="between" text="欠">
      <formula>NOT(ISERROR(SEARCH("欠",R768)))</formula>
    </cfRule>
  </conditionalFormatting>
  <conditionalFormatting sqref="S768">
    <cfRule type="cellIs" dxfId="0" priority="5975" operator="equal">
      <formula>"欠"</formula>
    </cfRule>
  </conditionalFormatting>
  <conditionalFormatting sqref="T768:U768">
    <cfRule type="containsText" dxfId="0" priority="5885" operator="between" text="欠">
      <formula>NOT(ISERROR(SEARCH("欠",T768)))</formula>
    </cfRule>
    <cfRule type="cellIs" dxfId="0" priority="5930" operator="equal">
      <formula>"欠"</formula>
    </cfRule>
  </conditionalFormatting>
  <conditionalFormatting sqref="AK768">
    <cfRule type="cellIs" dxfId="1" priority="6065" operator="equal">
      <formula>"未完成"</formula>
    </cfRule>
    <cfRule type="cellIs" dxfId="0" priority="6110" operator="equal">
      <formula>"未完成"</formula>
    </cfRule>
  </conditionalFormatting>
  <conditionalFormatting sqref="AL768">
    <cfRule type="cellIs" dxfId="0" priority="6020" operator="equal">
      <formula>"欠"</formula>
    </cfRule>
  </conditionalFormatting>
  <conditionalFormatting sqref="Q769">
    <cfRule type="cellIs" dxfId="0" priority="6154" operator="equal">
      <formula>"欠"</formula>
    </cfRule>
  </conditionalFormatting>
  <conditionalFormatting sqref="R769">
    <cfRule type="cellIs" dxfId="0" priority="6244" operator="equal">
      <formula>"欠"</formula>
    </cfRule>
    <cfRule type="containsText" dxfId="0" priority="6199" operator="between" text="欠">
      <formula>NOT(ISERROR(SEARCH("欠",R769)))</formula>
    </cfRule>
  </conditionalFormatting>
  <conditionalFormatting sqref="S769">
    <cfRule type="cellIs" dxfId="0" priority="5974" operator="equal">
      <formula>"欠"</formula>
    </cfRule>
  </conditionalFormatting>
  <conditionalFormatting sqref="T769:U769">
    <cfRule type="containsText" dxfId="0" priority="5884" operator="between" text="欠">
      <formula>NOT(ISERROR(SEARCH("欠",T769)))</formula>
    </cfRule>
    <cfRule type="cellIs" dxfId="0" priority="5929" operator="equal">
      <formula>"欠"</formula>
    </cfRule>
  </conditionalFormatting>
  <conditionalFormatting sqref="AK769">
    <cfRule type="cellIs" dxfId="1" priority="6064" operator="equal">
      <formula>"未完成"</formula>
    </cfRule>
    <cfRule type="cellIs" dxfId="0" priority="6109" operator="equal">
      <formula>"未完成"</formula>
    </cfRule>
  </conditionalFormatting>
  <conditionalFormatting sqref="AL769">
    <cfRule type="cellIs" dxfId="0" priority="6019" operator="equal">
      <formula>"欠"</formula>
    </cfRule>
  </conditionalFormatting>
  <conditionalFormatting sqref="Q770">
    <cfRule type="cellIs" dxfId="0" priority="6153" operator="equal">
      <formula>"欠"</formula>
    </cfRule>
  </conditionalFormatting>
  <conditionalFormatting sqref="R770">
    <cfRule type="cellIs" dxfId="0" priority="6243" operator="equal">
      <formula>"欠"</formula>
    </cfRule>
    <cfRule type="containsText" dxfId="0" priority="6198" operator="between" text="欠">
      <formula>NOT(ISERROR(SEARCH("欠",R770)))</formula>
    </cfRule>
  </conditionalFormatting>
  <conditionalFormatting sqref="T770:U770">
    <cfRule type="containsText" dxfId="0" priority="5883" operator="between" text="欠">
      <formula>NOT(ISERROR(SEARCH("欠",T770)))</formula>
    </cfRule>
    <cfRule type="cellIs" dxfId="0" priority="5928" operator="equal">
      <formula>"欠"</formula>
    </cfRule>
  </conditionalFormatting>
  <conditionalFormatting sqref="AK770">
    <cfRule type="cellIs" dxfId="1" priority="6063" operator="equal">
      <formula>"未完成"</formula>
    </cfRule>
    <cfRule type="cellIs" dxfId="0" priority="6108" operator="equal">
      <formula>"未完成"</formula>
    </cfRule>
  </conditionalFormatting>
  <conditionalFormatting sqref="AL770">
    <cfRule type="cellIs" dxfId="0" priority="6018" operator="equal">
      <formula>"欠"</formula>
    </cfRule>
  </conditionalFormatting>
  <conditionalFormatting sqref="Q771">
    <cfRule type="cellIs" dxfId="0" priority="5633" operator="equal">
      <formula>"欠"</formula>
    </cfRule>
  </conditionalFormatting>
  <conditionalFormatting sqref="R771">
    <cfRule type="cellIs" dxfId="0" priority="5727" operator="equal">
      <formula>"欠"</formula>
    </cfRule>
    <cfRule type="containsText" dxfId="0" priority="5680" operator="between" text="欠">
      <formula>NOT(ISERROR(SEARCH("欠",R771)))</formula>
    </cfRule>
  </conditionalFormatting>
  <conditionalFormatting sqref="S771">
    <cfRule type="cellIs" dxfId="0" priority="5445" operator="equal">
      <formula>"欠"</formula>
    </cfRule>
  </conditionalFormatting>
  <conditionalFormatting sqref="T771:U771">
    <cfRule type="containsText" dxfId="0" priority="5351" operator="between" text="欠">
      <formula>NOT(ISERROR(SEARCH("欠",T771)))</formula>
    </cfRule>
    <cfRule type="cellIs" dxfId="0" priority="5398" operator="equal">
      <formula>"欠"</formula>
    </cfRule>
  </conditionalFormatting>
  <conditionalFormatting sqref="AK771">
    <cfRule type="cellIs" dxfId="1" priority="5539" operator="equal">
      <formula>"未完成"</formula>
    </cfRule>
    <cfRule type="cellIs" dxfId="0" priority="5586" operator="equal">
      <formula>"未完成"</formula>
    </cfRule>
  </conditionalFormatting>
  <conditionalFormatting sqref="AL771">
    <cfRule type="cellIs" dxfId="0" priority="5492" operator="equal">
      <formula>"欠"</formula>
    </cfRule>
  </conditionalFormatting>
  <conditionalFormatting sqref="Q772">
    <cfRule type="cellIs" dxfId="0" priority="5632" operator="equal">
      <formula>"欠"</formula>
    </cfRule>
  </conditionalFormatting>
  <conditionalFormatting sqref="R772">
    <cfRule type="cellIs" dxfId="0" priority="5726" operator="equal">
      <formula>"欠"</formula>
    </cfRule>
    <cfRule type="containsText" dxfId="0" priority="5679" operator="between" text="欠">
      <formula>NOT(ISERROR(SEARCH("欠",R772)))</formula>
    </cfRule>
  </conditionalFormatting>
  <conditionalFormatting sqref="S772">
    <cfRule type="cellIs" dxfId="0" priority="5444" operator="equal">
      <formula>"欠"</formula>
    </cfRule>
  </conditionalFormatting>
  <conditionalFormatting sqref="AK772">
    <cfRule type="cellIs" dxfId="1" priority="5538" operator="equal">
      <formula>"未完成"</formula>
    </cfRule>
    <cfRule type="cellIs" dxfId="0" priority="5585" operator="equal">
      <formula>"未完成"</formula>
    </cfRule>
  </conditionalFormatting>
  <conditionalFormatting sqref="AL772">
    <cfRule type="cellIs" dxfId="0" priority="5491" operator="equal">
      <formula>"欠"</formula>
    </cfRule>
  </conditionalFormatting>
  <conditionalFormatting sqref="Q773">
    <cfRule type="cellIs" dxfId="0" priority="5631" operator="equal">
      <formula>"欠"</formula>
    </cfRule>
  </conditionalFormatting>
  <conditionalFormatting sqref="R773">
    <cfRule type="cellIs" dxfId="0" priority="5725" operator="equal">
      <formula>"欠"</formula>
    </cfRule>
    <cfRule type="containsText" dxfId="0" priority="5678" operator="between" text="欠">
      <formula>NOT(ISERROR(SEARCH("欠",R773)))</formula>
    </cfRule>
  </conditionalFormatting>
  <conditionalFormatting sqref="S773">
    <cfRule type="cellIs" dxfId="0" priority="5443" operator="equal">
      <formula>"欠"</formula>
    </cfRule>
  </conditionalFormatting>
  <conditionalFormatting sqref="T773:U773">
    <cfRule type="containsText" dxfId="0" priority="5349" operator="between" text="欠">
      <formula>NOT(ISERROR(SEARCH("欠",T773)))</formula>
    </cfRule>
    <cfRule type="cellIs" dxfId="0" priority="5396" operator="equal">
      <formula>"欠"</formula>
    </cfRule>
  </conditionalFormatting>
  <conditionalFormatting sqref="AK773">
    <cfRule type="cellIs" dxfId="1" priority="5537" operator="equal">
      <formula>"未完成"</formula>
    </cfRule>
    <cfRule type="cellIs" dxfId="0" priority="5584" operator="equal">
      <formula>"未完成"</formula>
    </cfRule>
  </conditionalFormatting>
  <conditionalFormatting sqref="AL773">
    <cfRule type="cellIs" dxfId="0" priority="5490" operator="equal">
      <formula>"欠"</formula>
    </cfRule>
  </conditionalFormatting>
  <conditionalFormatting sqref="Q774">
    <cfRule type="cellIs" dxfId="0" priority="5630" operator="equal">
      <formula>"欠"</formula>
    </cfRule>
  </conditionalFormatting>
  <conditionalFormatting sqref="R774">
    <cfRule type="cellIs" dxfId="0" priority="5724" operator="equal">
      <formula>"欠"</formula>
    </cfRule>
    <cfRule type="containsText" dxfId="0" priority="5677" operator="between" text="欠">
      <formula>NOT(ISERROR(SEARCH("欠",R774)))</formula>
    </cfRule>
  </conditionalFormatting>
  <conditionalFormatting sqref="S774">
    <cfRule type="cellIs" dxfId="0" priority="5442" operator="equal">
      <formula>"欠"</formula>
    </cfRule>
  </conditionalFormatting>
  <conditionalFormatting sqref="T774:U774">
    <cfRule type="containsText" dxfId="0" priority="5348" operator="between" text="欠">
      <formula>NOT(ISERROR(SEARCH("欠",T774)))</formula>
    </cfRule>
    <cfRule type="cellIs" dxfId="0" priority="5395" operator="equal">
      <formula>"欠"</formula>
    </cfRule>
  </conditionalFormatting>
  <conditionalFormatting sqref="AK774">
    <cfRule type="cellIs" dxfId="1" priority="5536" operator="equal">
      <formula>"未完成"</formula>
    </cfRule>
    <cfRule type="cellIs" dxfId="0" priority="5583" operator="equal">
      <formula>"未完成"</formula>
    </cfRule>
  </conditionalFormatting>
  <conditionalFormatting sqref="AL774">
    <cfRule type="cellIs" dxfId="0" priority="5489" operator="equal">
      <formula>"欠"</formula>
    </cfRule>
  </conditionalFormatting>
  <conditionalFormatting sqref="Q775">
    <cfRule type="cellIs" dxfId="0" priority="5629" operator="equal">
      <formula>"欠"</formula>
    </cfRule>
  </conditionalFormatting>
  <conditionalFormatting sqref="R775">
    <cfRule type="cellIs" dxfId="0" priority="5723" operator="equal">
      <formula>"欠"</formula>
    </cfRule>
    <cfRule type="containsText" dxfId="0" priority="5676" operator="between" text="欠">
      <formula>NOT(ISERROR(SEARCH("欠",R775)))</formula>
    </cfRule>
  </conditionalFormatting>
  <conditionalFormatting sqref="S775">
    <cfRule type="cellIs" dxfId="0" priority="5441" operator="equal">
      <formula>"欠"</formula>
    </cfRule>
  </conditionalFormatting>
  <conditionalFormatting sqref="T775:U775">
    <cfRule type="containsText" dxfId="0" priority="5347" operator="between" text="欠">
      <formula>NOT(ISERROR(SEARCH("欠",T775)))</formula>
    </cfRule>
    <cfRule type="cellIs" dxfId="0" priority="5394" operator="equal">
      <formula>"欠"</formula>
    </cfRule>
  </conditionalFormatting>
  <conditionalFormatting sqref="AK775">
    <cfRule type="cellIs" dxfId="1" priority="5535" operator="equal">
      <formula>"未完成"</formula>
    </cfRule>
    <cfRule type="cellIs" dxfId="0" priority="5582" operator="equal">
      <formula>"未完成"</formula>
    </cfRule>
  </conditionalFormatting>
  <conditionalFormatting sqref="AL775">
    <cfRule type="cellIs" dxfId="0" priority="5488" operator="equal">
      <formula>"欠"</formula>
    </cfRule>
  </conditionalFormatting>
  <conditionalFormatting sqref="Q776">
    <cfRule type="cellIs" dxfId="0" priority="5628" operator="equal">
      <formula>"欠"</formula>
    </cfRule>
  </conditionalFormatting>
  <conditionalFormatting sqref="R776">
    <cfRule type="cellIs" dxfId="0" priority="5722" operator="equal">
      <formula>"欠"</formula>
    </cfRule>
    <cfRule type="containsText" dxfId="0" priority="5675" operator="between" text="欠">
      <formula>NOT(ISERROR(SEARCH("欠",R776)))</formula>
    </cfRule>
  </conditionalFormatting>
  <conditionalFormatting sqref="S776">
    <cfRule type="cellIs" dxfId="0" priority="5440" operator="equal">
      <formula>"欠"</formula>
    </cfRule>
  </conditionalFormatting>
  <conditionalFormatting sqref="T776:U776">
    <cfRule type="containsText" dxfId="0" priority="5346" operator="between" text="欠">
      <formula>NOT(ISERROR(SEARCH("欠",T776)))</formula>
    </cfRule>
    <cfRule type="cellIs" dxfId="0" priority="5393" operator="equal">
      <formula>"欠"</formula>
    </cfRule>
  </conditionalFormatting>
  <conditionalFormatting sqref="AK776">
    <cfRule type="cellIs" dxfId="1" priority="5534" operator="equal">
      <formula>"未完成"</formula>
    </cfRule>
    <cfRule type="cellIs" dxfId="0" priority="5581" operator="equal">
      <formula>"未完成"</formula>
    </cfRule>
  </conditionalFormatting>
  <conditionalFormatting sqref="AL776">
    <cfRule type="cellIs" dxfId="0" priority="5487" operator="equal">
      <formula>"欠"</formula>
    </cfRule>
  </conditionalFormatting>
  <conditionalFormatting sqref="Q777">
    <cfRule type="cellIs" dxfId="0" priority="5627" operator="equal">
      <formula>"欠"</formula>
    </cfRule>
  </conditionalFormatting>
  <conditionalFormatting sqref="R777">
    <cfRule type="cellIs" dxfId="0" priority="5721" operator="equal">
      <formula>"欠"</formula>
    </cfRule>
    <cfRule type="containsText" dxfId="0" priority="5674" operator="between" text="欠">
      <formula>NOT(ISERROR(SEARCH("欠",R777)))</formula>
    </cfRule>
  </conditionalFormatting>
  <conditionalFormatting sqref="S777">
    <cfRule type="cellIs" dxfId="0" priority="5439" operator="equal">
      <formula>"欠"</formula>
    </cfRule>
  </conditionalFormatting>
  <conditionalFormatting sqref="T777:U777">
    <cfRule type="containsText" dxfId="0" priority="5345" operator="between" text="欠">
      <formula>NOT(ISERROR(SEARCH("欠",T777)))</formula>
    </cfRule>
    <cfRule type="cellIs" dxfId="0" priority="5392" operator="equal">
      <formula>"欠"</formula>
    </cfRule>
  </conditionalFormatting>
  <conditionalFormatting sqref="AK777">
    <cfRule type="cellIs" dxfId="1" priority="5533" operator="equal">
      <formula>"未完成"</formula>
    </cfRule>
    <cfRule type="cellIs" dxfId="0" priority="5580" operator="equal">
      <formula>"未完成"</formula>
    </cfRule>
  </conditionalFormatting>
  <conditionalFormatting sqref="AL777">
    <cfRule type="cellIs" dxfId="0" priority="5486" operator="equal">
      <formula>"欠"</formula>
    </cfRule>
  </conditionalFormatting>
  <conditionalFormatting sqref="Q778">
    <cfRule type="cellIs" dxfId="0" priority="5626" operator="equal">
      <formula>"欠"</formula>
    </cfRule>
  </conditionalFormatting>
  <conditionalFormatting sqref="R778">
    <cfRule type="cellIs" dxfId="0" priority="5720" operator="equal">
      <formula>"欠"</formula>
    </cfRule>
    <cfRule type="containsText" dxfId="0" priority="5673" operator="between" text="欠">
      <formula>NOT(ISERROR(SEARCH("欠",R778)))</formula>
    </cfRule>
  </conditionalFormatting>
  <conditionalFormatting sqref="S778">
    <cfRule type="cellIs" dxfId="0" priority="5438" operator="equal">
      <formula>"欠"</formula>
    </cfRule>
  </conditionalFormatting>
  <conditionalFormatting sqref="T778:U778">
    <cfRule type="containsText" dxfId="0" priority="5344" operator="between" text="欠">
      <formula>NOT(ISERROR(SEARCH("欠",T778)))</formula>
    </cfRule>
    <cfRule type="cellIs" dxfId="0" priority="5391" operator="equal">
      <formula>"欠"</formula>
    </cfRule>
  </conditionalFormatting>
  <conditionalFormatting sqref="AK778">
    <cfRule type="cellIs" dxfId="1" priority="5532" operator="equal">
      <formula>"未完成"</formula>
    </cfRule>
    <cfRule type="cellIs" dxfId="0" priority="5579" operator="equal">
      <formula>"未完成"</formula>
    </cfRule>
  </conditionalFormatting>
  <conditionalFormatting sqref="AL778">
    <cfRule type="cellIs" dxfId="0" priority="5485" operator="equal">
      <formula>"欠"</formula>
    </cfRule>
  </conditionalFormatting>
  <conditionalFormatting sqref="Q779">
    <cfRule type="cellIs" dxfId="0" priority="5625" operator="equal">
      <formula>"欠"</formula>
    </cfRule>
  </conditionalFormatting>
  <conditionalFormatting sqref="R779">
    <cfRule type="cellIs" dxfId="0" priority="5719" operator="equal">
      <formula>"欠"</formula>
    </cfRule>
    <cfRule type="containsText" dxfId="0" priority="5672" operator="between" text="欠">
      <formula>NOT(ISERROR(SEARCH("欠",R779)))</formula>
    </cfRule>
  </conditionalFormatting>
  <conditionalFormatting sqref="S779">
    <cfRule type="cellIs" dxfId="0" priority="5437" operator="equal">
      <formula>"欠"</formula>
    </cfRule>
  </conditionalFormatting>
  <conditionalFormatting sqref="T779:U779">
    <cfRule type="containsText" dxfId="0" priority="5343" operator="between" text="欠">
      <formula>NOT(ISERROR(SEARCH("欠",T779)))</formula>
    </cfRule>
    <cfRule type="cellIs" dxfId="0" priority="5390" operator="equal">
      <formula>"欠"</formula>
    </cfRule>
  </conditionalFormatting>
  <conditionalFormatting sqref="AK779">
    <cfRule type="cellIs" dxfId="1" priority="5531" operator="equal">
      <formula>"未完成"</formula>
    </cfRule>
    <cfRule type="cellIs" dxfId="0" priority="5578" operator="equal">
      <formula>"未完成"</formula>
    </cfRule>
  </conditionalFormatting>
  <conditionalFormatting sqref="AL779">
    <cfRule type="cellIs" dxfId="0" priority="5484" operator="equal">
      <formula>"欠"</formula>
    </cfRule>
  </conditionalFormatting>
  <conditionalFormatting sqref="Q780">
    <cfRule type="cellIs" dxfId="0" priority="5624" operator="equal">
      <formula>"欠"</formula>
    </cfRule>
  </conditionalFormatting>
  <conditionalFormatting sqref="R780">
    <cfRule type="cellIs" dxfId="0" priority="5718" operator="equal">
      <formula>"欠"</formula>
    </cfRule>
    <cfRule type="containsText" dxfId="0" priority="5671" operator="between" text="欠">
      <formula>NOT(ISERROR(SEARCH("欠",R780)))</formula>
    </cfRule>
  </conditionalFormatting>
  <conditionalFormatting sqref="S780">
    <cfRule type="cellIs" dxfId="0" priority="5436" operator="equal">
      <formula>"欠"</formula>
    </cfRule>
  </conditionalFormatting>
  <conditionalFormatting sqref="T780:U780">
    <cfRule type="containsText" dxfId="0" priority="5342" operator="between" text="欠">
      <formula>NOT(ISERROR(SEARCH("欠",T780)))</formula>
    </cfRule>
    <cfRule type="cellIs" dxfId="0" priority="5389" operator="equal">
      <formula>"欠"</formula>
    </cfRule>
  </conditionalFormatting>
  <conditionalFormatting sqref="AK780">
    <cfRule type="cellIs" dxfId="1" priority="5530" operator="equal">
      <formula>"未完成"</formula>
    </cfRule>
    <cfRule type="cellIs" dxfId="0" priority="5577" operator="equal">
      <formula>"未完成"</formula>
    </cfRule>
  </conditionalFormatting>
  <conditionalFormatting sqref="AL780">
    <cfRule type="cellIs" dxfId="0" priority="5483" operator="equal">
      <formula>"欠"</formula>
    </cfRule>
  </conditionalFormatting>
  <conditionalFormatting sqref="Q781">
    <cfRule type="cellIs" dxfId="0" priority="5623" operator="equal">
      <formula>"欠"</formula>
    </cfRule>
  </conditionalFormatting>
  <conditionalFormatting sqref="R781">
    <cfRule type="cellIs" dxfId="0" priority="5717" operator="equal">
      <formula>"欠"</formula>
    </cfRule>
    <cfRule type="containsText" dxfId="0" priority="5670" operator="between" text="欠">
      <formula>NOT(ISERROR(SEARCH("欠",R781)))</formula>
    </cfRule>
  </conditionalFormatting>
  <conditionalFormatting sqref="S781">
    <cfRule type="cellIs" dxfId="0" priority="5435" operator="equal">
      <formula>"欠"</formula>
    </cfRule>
  </conditionalFormatting>
  <conditionalFormatting sqref="T781:U781">
    <cfRule type="containsText" dxfId="0" priority="5341" operator="between" text="欠">
      <formula>NOT(ISERROR(SEARCH("欠",T781)))</formula>
    </cfRule>
    <cfRule type="cellIs" dxfId="0" priority="5388" operator="equal">
      <formula>"欠"</formula>
    </cfRule>
  </conditionalFormatting>
  <conditionalFormatting sqref="AK781">
    <cfRule type="cellIs" dxfId="1" priority="5529" operator="equal">
      <formula>"未完成"</formula>
    </cfRule>
    <cfRule type="cellIs" dxfId="0" priority="5576" operator="equal">
      <formula>"未完成"</formula>
    </cfRule>
  </conditionalFormatting>
  <conditionalFormatting sqref="AL781">
    <cfRule type="cellIs" dxfId="0" priority="5482" operator="equal">
      <formula>"欠"</formula>
    </cfRule>
  </conditionalFormatting>
  <conditionalFormatting sqref="Q782">
    <cfRule type="cellIs" dxfId="0" priority="5622" operator="equal">
      <formula>"欠"</formula>
    </cfRule>
  </conditionalFormatting>
  <conditionalFormatting sqref="R782">
    <cfRule type="cellIs" dxfId="0" priority="5716" operator="equal">
      <formula>"欠"</formula>
    </cfRule>
    <cfRule type="containsText" dxfId="0" priority="5669" operator="between" text="欠">
      <formula>NOT(ISERROR(SEARCH("欠",R782)))</formula>
    </cfRule>
  </conditionalFormatting>
  <conditionalFormatting sqref="S782">
    <cfRule type="cellIs" dxfId="0" priority="5434" operator="equal">
      <formula>"欠"</formula>
    </cfRule>
  </conditionalFormatting>
  <conditionalFormatting sqref="T782:U782">
    <cfRule type="containsText" dxfId="0" priority="5340" operator="between" text="欠">
      <formula>NOT(ISERROR(SEARCH("欠",T782)))</formula>
    </cfRule>
    <cfRule type="cellIs" dxfId="0" priority="5387" operator="equal">
      <formula>"欠"</formula>
    </cfRule>
  </conditionalFormatting>
  <conditionalFormatting sqref="AK782">
    <cfRule type="cellIs" dxfId="1" priority="5528" operator="equal">
      <formula>"未完成"</formula>
    </cfRule>
    <cfRule type="cellIs" dxfId="0" priority="5575" operator="equal">
      <formula>"未完成"</formula>
    </cfRule>
  </conditionalFormatting>
  <conditionalFormatting sqref="AL782">
    <cfRule type="cellIs" dxfId="0" priority="5481" operator="equal">
      <formula>"欠"</formula>
    </cfRule>
  </conditionalFormatting>
  <conditionalFormatting sqref="Q783">
    <cfRule type="cellIs" dxfId="0" priority="5621" operator="equal">
      <formula>"欠"</formula>
    </cfRule>
  </conditionalFormatting>
  <conditionalFormatting sqref="R783">
    <cfRule type="cellIs" dxfId="0" priority="5715" operator="equal">
      <formula>"欠"</formula>
    </cfRule>
    <cfRule type="containsText" dxfId="0" priority="5668" operator="between" text="欠">
      <formula>NOT(ISERROR(SEARCH("欠",R783)))</formula>
    </cfRule>
  </conditionalFormatting>
  <conditionalFormatting sqref="S783">
    <cfRule type="cellIs" dxfId="0" priority="5433" operator="equal">
      <formula>"欠"</formula>
    </cfRule>
  </conditionalFormatting>
  <conditionalFormatting sqref="T783:U783">
    <cfRule type="containsText" dxfId="0" priority="5339" operator="between" text="欠">
      <formula>NOT(ISERROR(SEARCH("欠",T783)))</formula>
    </cfRule>
    <cfRule type="cellIs" dxfId="0" priority="5386" operator="equal">
      <formula>"欠"</formula>
    </cfRule>
  </conditionalFormatting>
  <conditionalFormatting sqref="AK783">
    <cfRule type="cellIs" dxfId="1" priority="5527" operator="equal">
      <formula>"未完成"</formula>
    </cfRule>
    <cfRule type="cellIs" dxfId="0" priority="5574" operator="equal">
      <formula>"未完成"</formula>
    </cfRule>
  </conditionalFormatting>
  <conditionalFormatting sqref="AL783">
    <cfRule type="cellIs" dxfId="0" priority="5480" operator="equal">
      <formula>"欠"</formula>
    </cfRule>
  </conditionalFormatting>
  <conditionalFormatting sqref="Q784">
    <cfRule type="cellIs" dxfId="0" priority="5620" operator="equal">
      <formula>"欠"</formula>
    </cfRule>
  </conditionalFormatting>
  <conditionalFormatting sqref="R784">
    <cfRule type="cellIs" dxfId="0" priority="5714" operator="equal">
      <formula>"欠"</formula>
    </cfRule>
    <cfRule type="containsText" dxfId="0" priority="5667" operator="between" text="欠">
      <formula>NOT(ISERROR(SEARCH("欠",R784)))</formula>
    </cfRule>
  </conditionalFormatting>
  <conditionalFormatting sqref="S784">
    <cfRule type="cellIs" dxfId="0" priority="5432" operator="equal">
      <formula>"欠"</formula>
    </cfRule>
  </conditionalFormatting>
  <conditionalFormatting sqref="T784:U784">
    <cfRule type="containsText" dxfId="0" priority="5338" operator="between" text="欠">
      <formula>NOT(ISERROR(SEARCH("欠",T784)))</formula>
    </cfRule>
    <cfRule type="cellIs" dxfId="0" priority="5385" operator="equal">
      <formula>"欠"</formula>
    </cfRule>
  </conditionalFormatting>
  <conditionalFormatting sqref="AK784">
    <cfRule type="cellIs" dxfId="1" priority="5526" operator="equal">
      <formula>"未完成"</formula>
    </cfRule>
    <cfRule type="cellIs" dxfId="0" priority="5573" operator="equal">
      <formula>"未完成"</formula>
    </cfRule>
  </conditionalFormatting>
  <conditionalFormatting sqref="AL784">
    <cfRule type="cellIs" dxfId="0" priority="5479" operator="equal">
      <formula>"欠"</formula>
    </cfRule>
  </conditionalFormatting>
  <conditionalFormatting sqref="Q785">
    <cfRule type="cellIs" dxfId="0" priority="5619" operator="equal">
      <formula>"欠"</formula>
    </cfRule>
  </conditionalFormatting>
  <conditionalFormatting sqref="R785">
    <cfRule type="cellIs" dxfId="0" priority="5713" operator="equal">
      <formula>"欠"</formula>
    </cfRule>
    <cfRule type="containsText" dxfId="0" priority="5666" operator="between" text="欠">
      <formula>NOT(ISERROR(SEARCH("欠",R785)))</formula>
    </cfRule>
  </conditionalFormatting>
  <conditionalFormatting sqref="T785:U785">
    <cfRule type="containsText" dxfId="0" priority="5337" operator="between" text="欠">
      <formula>NOT(ISERROR(SEARCH("欠",T785)))</formula>
    </cfRule>
    <cfRule type="cellIs" dxfId="0" priority="5384" operator="equal">
      <formula>"欠"</formula>
    </cfRule>
  </conditionalFormatting>
  <conditionalFormatting sqref="AK785">
    <cfRule type="cellIs" dxfId="1" priority="5525" operator="equal">
      <formula>"未完成"</formula>
    </cfRule>
    <cfRule type="cellIs" dxfId="0" priority="5572" operator="equal">
      <formula>"未完成"</formula>
    </cfRule>
  </conditionalFormatting>
  <conditionalFormatting sqref="AL785">
    <cfRule type="cellIs" dxfId="0" priority="5478" operator="equal">
      <formula>"欠"</formula>
    </cfRule>
  </conditionalFormatting>
  <conditionalFormatting sqref="Q786">
    <cfRule type="cellIs" dxfId="0" priority="5618" operator="equal">
      <formula>"欠"</formula>
    </cfRule>
  </conditionalFormatting>
  <conditionalFormatting sqref="R786">
    <cfRule type="cellIs" dxfId="0" priority="5712" operator="equal">
      <formula>"欠"</formula>
    </cfRule>
    <cfRule type="containsText" dxfId="0" priority="5665" operator="between" text="欠">
      <formula>NOT(ISERROR(SEARCH("欠",R786)))</formula>
    </cfRule>
  </conditionalFormatting>
  <conditionalFormatting sqref="S786">
    <cfRule type="cellIs" dxfId="0" priority="5430" operator="equal">
      <formula>"欠"</formula>
    </cfRule>
  </conditionalFormatting>
  <conditionalFormatting sqref="T786:U786">
    <cfRule type="containsText" dxfId="0" priority="5336" operator="between" text="欠">
      <formula>NOT(ISERROR(SEARCH("欠",T786)))</formula>
    </cfRule>
    <cfRule type="cellIs" dxfId="0" priority="5383" operator="equal">
      <formula>"欠"</formula>
    </cfRule>
  </conditionalFormatting>
  <conditionalFormatting sqref="AK786">
    <cfRule type="cellIs" dxfId="1" priority="5524" operator="equal">
      <formula>"未完成"</formula>
    </cfRule>
    <cfRule type="cellIs" dxfId="0" priority="5571" operator="equal">
      <formula>"未完成"</formula>
    </cfRule>
  </conditionalFormatting>
  <conditionalFormatting sqref="AL786">
    <cfRule type="cellIs" dxfId="0" priority="5477" operator="equal">
      <formula>"欠"</formula>
    </cfRule>
  </conditionalFormatting>
  <conditionalFormatting sqref="Q787">
    <cfRule type="cellIs" dxfId="0" priority="5617" operator="equal">
      <formula>"欠"</formula>
    </cfRule>
  </conditionalFormatting>
  <conditionalFormatting sqref="R787">
    <cfRule type="cellIs" dxfId="0" priority="5711" operator="equal">
      <formula>"欠"</formula>
    </cfRule>
    <cfRule type="containsText" dxfId="0" priority="5664" operator="between" text="欠">
      <formula>NOT(ISERROR(SEARCH("欠",R787)))</formula>
    </cfRule>
  </conditionalFormatting>
  <conditionalFormatting sqref="S787">
    <cfRule type="cellIs" dxfId="0" priority="5429" operator="equal">
      <formula>"欠"</formula>
    </cfRule>
  </conditionalFormatting>
  <conditionalFormatting sqref="T787:U787">
    <cfRule type="containsText" dxfId="0" priority="5335" operator="between" text="欠">
      <formula>NOT(ISERROR(SEARCH("欠",T787)))</formula>
    </cfRule>
    <cfRule type="cellIs" dxfId="0" priority="5382" operator="equal">
      <formula>"欠"</formula>
    </cfRule>
  </conditionalFormatting>
  <conditionalFormatting sqref="AK787">
    <cfRule type="cellIs" dxfId="1" priority="5523" operator="equal">
      <formula>"未完成"</formula>
    </cfRule>
    <cfRule type="cellIs" dxfId="0" priority="5570" operator="equal">
      <formula>"未完成"</formula>
    </cfRule>
  </conditionalFormatting>
  <conditionalFormatting sqref="AL787">
    <cfRule type="cellIs" dxfId="0" priority="5476" operator="equal">
      <formula>"欠"</formula>
    </cfRule>
  </conditionalFormatting>
  <conditionalFormatting sqref="Q788">
    <cfRule type="cellIs" dxfId="0" priority="5616" operator="equal">
      <formula>"欠"</formula>
    </cfRule>
  </conditionalFormatting>
  <conditionalFormatting sqref="R788">
    <cfRule type="cellIs" dxfId="0" priority="5710" operator="equal">
      <formula>"欠"</formula>
    </cfRule>
    <cfRule type="containsText" dxfId="0" priority="5663" operator="between" text="欠">
      <formula>NOT(ISERROR(SEARCH("欠",R788)))</formula>
    </cfRule>
  </conditionalFormatting>
  <conditionalFormatting sqref="S788">
    <cfRule type="cellIs" dxfId="0" priority="5428" operator="equal">
      <formula>"欠"</formula>
    </cfRule>
  </conditionalFormatting>
  <conditionalFormatting sqref="T788:U788">
    <cfRule type="containsText" dxfId="0" priority="5334" operator="between" text="欠">
      <formula>NOT(ISERROR(SEARCH("欠",T788)))</formula>
    </cfRule>
    <cfRule type="cellIs" dxfId="0" priority="5381" operator="equal">
      <formula>"欠"</formula>
    </cfRule>
  </conditionalFormatting>
  <conditionalFormatting sqref="AK788">
    <cfRule type="cellIs" dxfId="1" priority="5522" operator="equal">
      <formula>"未完成"</formula>
    </cfRule>
    <cfRule type="cellIs" dxfId="0" priority="5569" operator="equal">
      <formula>"未完成"</formula>
    </cfRule>
  </conditionalFormatting>
  <conditionalFormatting sqref="AL788">
    <cfRule type="cellIs" dxfId="0" priority="5475" operator="equal">
      <formula>"欠"</formula>
    </cfRule>
  </conditionalFormatting>
  <conditionalFormatting sqref="Q789">
    <cfRule type="cellIs" dxfId="0" priority="5615" operator="equal">
      <formula>"欠"</formula>
    </cfRule>
  </conditionalFormatting>
  <conditionalFormatting sqref="R789">
    <cfRule type="cellIs" dxfId="0" priority="5709" operator="equal">
      <formula>"欠"</formula>
    </cfRule>
    <cfRule type="containsText" dxfId="0" priority="5662" operator="between" text="欠">
      <formula>NOT(ISERROR(SEARCH("欠",R789)))</formula>
    </cfRule>
  </conditionalFormatting>
  <conditionalFormatting sqref="S789">
    <cfRule type="cellIs" dxfId="0" priority="5427" operator="equal">
      <formula>"欠"</formula>
    </cfRule>
  </conditionalFormatting>
  <conditionalFormatting sqref="T789:U789">
    <cfRule type="containsText" dxfId="0" priority="5333" operator="between" text="欠">
      <formula>NOT(ISERROR(SEARCH("欠",T789)))</formula>
    </cfRule>
    <cfRule type="cellIs" dxfId="0" priority="5380" operator="equal">
      <formula>"欠"</formula>
    </cfRule>
  </conditionalFormatting>
  <conditionalFormatting sqref="AK789">
    <cfRule type="cellIs" dxfId="1" priority="5521" operator="equal">
      <formula>"未完成"</formula>
    </cfRule>
    <cfRule type="cellIs" dxfId="0" priority="5568" operator="equal">
      <formula>"未完成"</formula>
    </cfRule>
  </conditionalFormatting>
  <conditionalFormatting sqref="AL789">
    <cfRule type="cellIs" dxfId="0" priority="5474" operator="equal">
      <formula>"欠"</formula>
    </cfRule>
  </conditionalFormatting>
  <conditionalFormatting sqref="Q790">
    <cfRule type="cellIs" dxfId="0" priority="5614" operator="equal">
      <formula>"欠"</formula>
    </cfRule>
  </conditionalFormatting>
  <conditionalFormatting sqref="R790">
    <cfRule type="cellIs" dxfId="0" priority="5708" operator="equal">
      <formula>"欠"</formula>
    </cfRule>
    <cfRule type="containsText" dxfId="0" priority="5661" operator="between" text="欠">
      <formula>NOT(ISERROR(SEARCH("欠",R790)))</formula>
    </cfRule>
  </conditionalFormatting>
  <conditionalFormatting sqref="S790">
    <cfRule type="cellIs" dxfId="0" priority="5426" operator="equal">
      <formula>"欠"</formula>
    </cfRule>
  </conditionalFormatting>
  <conditionalFormatting sqref="T790:U790">
    <cfRule type="containsText" dxfId="0" priority="5332" operator="between" text="欠">
      <formula>NOT(ISERROR(SEARCH("欠",T790)))</formula>
    </cfRule>
    <cfRule type="cellIs" dxfId="0" priority="5379" operator="equal">
      <formula>"欠"</formula>
    </cfRule>
  </conditionalFormatting>
  <conditionalFormatting sqref="AK790">
    <cfRule type="cellIs" dxfId="1" priority="5520" operator="equal">
      <formula>"未完成"</formula>
    </cfRule>
    <cfRule type="cellIs" dxfId="0" priority="5567" operator="equal">
      <formula>"未完成"</formula>
    </cfRule>
  </conditionalFormatting>
  <conditionalFormatting sqref="AL790">
    <cfRule type="cellIs" dxfId="0" priority="5473" operator="equal">
      <formula>"欠"</formula>
    </cfRule>
  </conditionalFormatting>
  <conditionalFormatting sqref="Q791">
    <cfRule type="cellIs" dxfId="0" priority="5613" operator="equal">
      <formula>"欠"</formula>
    </cfRule>
  </conditionalFormatting>
  <conditionalFormatting sqref="R791">
    <cfRule type="cellIs" dxfId="0" priority="5707" operator="equal">
      <formula>"欠"</formula>
    </cfRule>
    <cfRule type="containsText" dxfId="0" priority="5660" operator="between" text="欠">
      <formula>NOT(ISERROR(SEARCH("欠",R791)))</formula>
    </cfRule>
  </conditionalFormatting>
  <conditionalFormatting sqref="S791">
    <cfRule type="cellIs" dxfId="0" priority="5425" operator="equal">
      <formula>"欠"</formula>
    </cfRule>
  </conditionalFormatting>
  <conditionalFormatting sqref="T791:U791">
    <cfRule type="containsText" dxfId="0" priority="5331" operator="between" text="欠">
      <formula>NOT(ISERROR(SEARCH("欠",T791)))</formula>
    </cfRule>
    <cfRule type="cellIs" dxfId="0" priority="5378" operator="equal">
      <formula>"欠"</formula>
    </cfRule>
  </conditionalFormatting>
  <conditionalFormatting sqref="AK791">
    <cfRule type="cellIs" dxfId="1" priority="5519" operator="equal">
      <formula>"未完成"</formula>
    </cfRule>
    <cfRule type="cellIs" dxfId="0" priority="5566" operator="equal">
      <formula>"未完成"</formula>
    </cfRule>
  </conditionalFormatting>
  <conditionalFormatting sqref="AL791">
    <cfRule type="cellIs" dxfId="0" priority="5472" operator="equal">
      <formula>"欠"</formula>
    </cfRule>
  </conditionalFormatting>
  <conditionalFormatting sqref="Q792">
    <cfRule type="cellIs" dxfId="0" priority="5612" operator="equal">
      <formula>"欠"</formula>
    </cfRule>
  </conditionalFormatting>
  <conditionalFormatting sqref="R792">
    <cfRule type="cellIs" dxfId="0" priority="5706" operator="equal">
      <formula>"欠"</formula>
    </cfRule>
    <cfRule type="containsText" dxfId="0" priority="5659" operator="between" text="欠">
      <formula>NOT(ISERROR(SEARCH("欠",R792)))</formula>
    </cfRule>
  </conditionalFormatting>
  <conditionalFormatting sqref="S792">
    <cfRule type="cellIs" dxfId="0" priority="5424" operator="equal">
      <formula>"欠"</formula>
    </cfRule>
  </conditionalFormatting>
  <conditionalFormatting sqref="T792:U792">
    <cfRule type="containsText" dxfId="0" priority="5330" operator="between" text="欠">
      <formula>NOT(ISERROR(SEARCH("欠",T792)))</formula>
    </cfRule>
    <cfRule type="cellIs" dxfId="0" priority="5377" operator="equal">
      <formula>"欠"</formula>
    </cfRule>
  </conditionalFormatting>
  <conditionalFormatting sqref="AK792">
    <cfRule type="cellIs" dxfId="1" priority="5518" operator="equal">
      <formula>"未完成"</formula>
    </cfRule>
    <cfRule type="cellIs" dxfId="0" priority="5565" operator="equal">
      <formula>"未完成"</formula>
    </cfRule>
  </conditionalFormatting>
  <conditionalFormatting sqref="AL792">
    <cfRule type="cellIs" dxfId="0" priority="5471" operator="equal">
      <formula>"欠"</formula>
    </cfRule>
  </conditionalFormatting>
  <conditionalFormatting sqref="Q793">
    <cfRule type="cellIs" dxfId="0" priority="5611" operator="equal">
      <formula>"欠"</formula>
    </cfRule>
  </conditionalFormatting>
  <conditionalFormatting sqref="R793">
    <cfRule type="cellIs" dxfId="0" priority="5705" operator="equal">
      <formula>"欠"</formula>
    </cfRule>
    <cfRule type="containsText" dxfId="0" priority="5658" operator="between" text="欠">
      <formula>NOT(ISERROR(SEARCH("欠",R793)))</formula>
    </cfRule>
  </conditionalFormatting>
  <conditionalFormatting sqref="S793">
    <cfRule type="cellIs" dxfId="0" priority="5423" operator="equal">
      <formula>"欠"</formula>
    </cfRule>
  </conditionalFormatting>
  <conditionalFormatting sqref="T793:U793">
    <cfRule type="containsText" dxfId="0" priority="5329" operator="between" text="欠">
      <formula>NOT(ISERROR(SEARCH("欠",T793)))</formula>
    </cfRule>
    <cfRule type="cellIs" dxfId="0" priority="5376" operator="equal">
      <formula>"欠"</formula>
    </cfRule>
  </conditionalFormatting>
  <conditionalFormatting sqref="AK793">
    <cfRule type="cellIs" dxfId="1" priority="5517" operator="equal">
      <formula>"未完成"</formula>
    </cfRule>
    <cfRule type="cellIs" dxfId="0" priority="5564" operator="equal">
      <formula>"未完成"</formula>
    </cfRule>
  </conditionalFormatting>
  <conditionalFormatting sqref="AL793">
    <cfRule type="cellIs" dxfId="0" priority="5470" operator="equal">
      <formula>"欠"</formula>
    </cfRule>
  </conditionalFormatting>
  <conditionalFormatting sqref="Q794">
    <cfRule type="cellIs" dxfId="0" priority="5610" operator="equal">
      <formula>"欠"</formula>
    </cfRule>
  </conditionalFormatting>
  <conditionalFormatting sqref="R794">
    <cfRule type="cellIs" dxfId="0" priority="5704" operator="equal">
      <formula>"欠"</formula>
    </cfRule>
    <cfRule type="containsText" dxfId="0" priority="5657" operator="between" text="欠">
      <formula>NOT(ISERROR(SEARCH("欠",R794)))</formula>
    </cfRule>
  </conditionalFormatting>
  <conditionalFormatting sqref="S794">
    <cfRule type="cellIs" dxfId="0" priority="5422" operator="equal">
      <formula>"欠"</formula>
    </cfRule>
  </conditionalFormatting>
  <conditionalFormatting sqref="T794:U794">
    <cfRule type="containsText" dxfId="0" priority="5328" operator="between" text="欠">
      <formula>NOT(ISERROR(SEARCH("欠",T794)))</formula>
    </cfRule>
    <cfRule type="cellIs" dxfId="0" priority="5375" operator="equal">
      <formula>"欠"</formula>
    </cfRule>
  </conditionalFormatting>
  <conditionalFormatting sqref="AK794">
    <cfRule type="cellIs" dxfId="1" priority="5516" operator="equal">
      <formula>"未完成"</formula>
    </cfRule>
    <cfRule type="cellIs" dxfId="0" priority="5563" operator="equal">
      <formula>"未完成"</formula>
    </cfRule>
  </conditionalFormatting>
  <conditionalFormatting sqref="AL794">
    <cfRule type="cellIs" dxfId="0" priority="5469" operator="equal">
      <formula>"欠"</formula>
    </cfRule>
  </conditionalFormatting>
  <conditionalFormatting sqref="Q795">
    <cfRule type="cellIs" dxfId="0" priority="5609" operator="equal">
      <formula>"欠"</formula>
    </cfRule>
  </conditionalFormatting>
  <conditionalFormatting sqref="R795">
    <cfRule type="cellIs" dxfId="0" priority="5703" operator="equal">
      <formula>"欠"</formula>
    </cfRule>
    <cfRule type="containsText" dxfId="0" priority="5656" operator="between" text="欠">
      <formula>NOT(ISERROR(SEARCH("欠",R795)))</formula>
    </cfRule>
  </conditionalFormatting>
  <conditionalFormatting sqref="S795">
    <cfRule type="cellIs" dxfId="0" priority="5421" operator="equal">
      <formula>"欠"</formula>
    </cfRule>
  </conditionalFormatting>
  <conditionalFormatting sqref="T795:U795">
    <cfRule type="containsText" dxfId="0" priority="5327" operator="between" text="欠">
      <formula>NOT(ISERROR(SEARCH("欠",T795)))</formula>
    </cfRule>
    <cfRule type="cellIs" dxfId="0" priority="5374" operator="equal">
      <formula>"欠"</formula>
    </cfRule>
  </conditionalFormatting>
  <conditionalFormatting sqref="AK795">
    <cfRule type="cellIs" dxfId="1" priority="5515" operator="equal">
      <formula>"未完成"</formula>
    </cfRule>
    <cfRule type="cellIs" dxfId="0" priority="5562" operator="equal">
      <formula>"未完成"</formula>
    </cfRule>
  </conditionalFormatting>
  <conditionalFormatting sqref="AL795">
    <cfRule type="cellIs" dxfId="0" priority="5468" operator="equal">
      <formula>"欠"</formula>
    </cfRule>
  </conditionalFormatting>
  <conditionalFormatting sqref="Q796">
    <cfRule type="cellIs" dxfId="0" priority="5608" operator="equal">
      <formula>"欠"</formula>
    </cfRule>
  </conditionalFormatting>
  <conditionalFormatting sqref="R796">
    <cfRule type="cellIs" dxfId="0" priority="5702" operator="equal">
      <formula>"欠"</formula>
    </cfRule>
    <cfRule type="containsText" dxfId="0" priority="5655" operator="between" text="欠">
      <formula>NOT(ISERROR(SEARCH("欠",R796)))</formula>
    </cfRule>
  </conditionalFormatting>
  <conditionalFormatting sqref="S796">
    <cfRule type="cellIs" dxfId="0" priority="5420" operator="equal">
      <formula>"欠"</formula>
    </cfRule>
  </conditionalFormatting>
  <conditionalFormatting sqref="T796:U796">
    <cfRule type="containsText" dxfId="0" priority="5326" operator="between" text="欠">
      <formula>NOT(ISERROR(SEARCH("欠",T796)))</formula>
    </cfRule>
    <cfRule type="cellIs" dxfId="0" priority="5373" operator="equal">
      <formula>"欠"</formula>
    </cfRule>
  </conditionalFormatting>
  <conditionalFormatting sqref="AK796">
    <cfRule type="cellIs" dxfId="1" priority="5514" operator="equal">
      <formula>"未完成"</formula>
    </cfRule>
    <cfRule type="cellIs" dxfId="0" priority="5561" operator="equal">
      <formula>"未完成"</formula>
    </cfRule>
  </conditionalFormatting>
  <conditionalFormatting sqref="AL796">
    <cfRule type="cellIs" dxfId="0" priority="5467" operator="equal">
      <formula>"欠"</formula>
    </cfRule>
  </conditionalFormatting>
  <conditionalFormatting sqref="Q797">
    <cfRule type="cellIs" dxfId="0" priority="5607" operator="equal">
      <formula>"欠"</formula>
    </cfRule>
  </conditionalFormatting>
  <conditionalFormatting sqref="R797">
    <cfRule type="cellIs" dxfId="0" priority="5701" operator="equal">
      <formula>"欠"</formula>
    </cfRule>
    <cfRule type="containsText" dxfId="0" priority="5654" operator="between" text="欠">
      <formula>NOT(ISERROR(SEARCH("欠",R797)))</formula>
    </cfRule>
  </conditionalFormatting>
  <conditionalFormatting sqref="S797">
    <cfRule type="cellIs" dxfId="0" priority="5419" operator="equal">
      <formula>"欠"</formula>
    </cfRule>
  </conditionalFormatting>
  <conditionalFormatting sqref="T797:U797">
    <cfRule type="containsText" dxfId="0" priority="5325" operator="between" text="欠">
      <formula>NOT(ISERROR(SEARCH("欠",T797)))</formula>
    </cfRule>
    <cfRule type="cellIs" dxfId="0" priority="5372" operator="equal">
      <formula>"欠"</formula>
    </cfRule>
  </conditionalFormatting>
  <conditionalFormatting sqref="AK797">
    <cfRule type="cellIs" dxfId="1" priority="5513" operator="equal">
      <formula>"未完成"</formula>
    </cfRule>
    <cfRule type="cellIs" dxfId="0" priority="5560" operator="equal">
      <formula>"未完成"</formula>
    </cfRule>
  </conditionalFormatting>
  <conditionalFormatting sqref="AL797">
    <cfRule type="cellIs" dxfId="0" priority="5466" operator="equal">
      <formula>"欠"</formula>
    </cfRule>
  </conditionalFormatting>
  <conditionalFormatting sqref="Q798">
    <cfRule type="cellIs" dxfId="0" priority="5606" operator="equal">
      <formula>"欠"</formula>
    </cfRule>
  </conditionalFormatting>
  <conditionalFormatting sqref="R798">
    <cfRule type="cellIs" dxfId="0" priority="5700" operator="equal">
      <formula>"欠"</formula>
    </cfRule>
    <cfRule type="containsText" dxfId="0" priority="5653" operator="between" text="欠">
      <formula>NOT(ISERROR(SEARCH("欠",R798)))</formula>
    </cfRule>
  </conditionalFormatting>
  <conditionalFormatting sqref="S798">
    <cfRule type="cellIs" dxfId="0" priority="5418" operator="equal">
      <formula>"欠"</formula>
    </cfRule>
  </conditionalFormatting>
  <conditionalFormatting sqref="T798:U798">
    <cfRule type="containsText" dxfId="0" priority="5324" operator="between" text="欠">
      <formula>NOT(ISERROR(SEARCH("欠",T798)))</formula>
    </cfRule>
    <cfRule type="cellIs" dxfId="0" priority="5371" operator="equal">
      <formula>"欠"</formula>
    </cfRule>
  </conditionalFormatting>
  <conditionalFormatting sqref="AK798">
    <cfRule type="cellIs" dxfId="1" priority="5512" operator="equal">
      <formula>"未完成"</formula>
    </cfRule>
    <cfRule type="cellIs" dxfId="0" priority="5559" operator="equal">
      <formula>"未完成"</formula>
    </cfRule>
  </conditionalFormatting>
  <conditionalFormatting sqref="AL798">
    <cfRule type="cellIs" dxfId="0" priority="5465" operator="equal">
      <formula>"欠"</formula>
    </cfRule>
  </conditionalFormatting>
  <conditionalFormatting sqref="Q799">
    <cfRule type="cellIs" dxfId="0" priority="5605" operator="equal">
      <formula>"欠"</formula>
    </cfRule>
  </conditionalFormatting>
  <conditionalFormatting sqref="R799">
    <cfRule type="cellIs" dxfId="0" priority="5699" operator="equal">
      <formula>"欠"</formula>
    </cfRule>
    <cfRule type="containsText" dxfId="0" priority="5652" operator="between" text="欠">
      <formula>NOT(ISERROR(SEARCH("欠",R799)))</formula>
    </cfRule>
  </conditionalFormatting>
  <conditionalFormatting sqref="S799">
    <cfRule type="cellIs" dxfId="0" priority="5417" operator="equal">
      <formula>"欠"</formula>
    </cfRule>
  </conditionalFormatting>
  <conditionalFormatting sqref="T799:U799">
    <cfRule type="containsText" dxfId="0" priority="5323" operator="between" text="欠">
      <formula>NOT(ISERROR(SEARCH("欠",T799)))</formula>
    </cfRule>
    <cfRule type="cellIs" dxfId="0" priority="5370" operator="equal">
      <formula>"欠"</formula>
    </cfRule>
  </conditionalFormatting>
  <conditionalFormatting sqref="AK799">
    <cfRule type="cellIs" dxfId="1" priority="5511" operator="equal">
      <formula>"未完成"</formula>
    </cfRule>
    <cfRule type="cellIs" dxfId="0" priority="5558" operator="equal">
      <formula>"未完成"</formula>
    </cfRule>
  </conditionalFormatting>
  <conditionalFormatting sqref="AL799">
    <cfRule type="cellIs" dxfId="0" priority="5464" operator="equal">
      <formula>"欠"</formula>
    </cfRule>
  </conditionalFormatting>
  <conditionalFormatting sqref="Q800">
    <cfRule type="cellIs" dxfId="0" priority="5604" operator="equal">
      <formula>"欠"</formula>
    </cfRule>
  </conditionalFormatting>
  <conditionalFormatting sqref="R800">
    <cfRule type="cellIs" dxfId="0" priority="5698" operator="equal">
      <formula>"欠"</formula>
    </cfRule>
    <cfRule type="containsText" dxfId="0" priority="5651" operator="between" text="欠">
      <formula>NOT(ISERROR(SEARCH("欠",R800)))</formula>
    </cfRule>
  </conditionalFormatting>
  <conditionalFormatting sqref="S800">
    <cfRule type="cellIs" dxfId="0" priority="5416" operator="equal">
      <formula>"欠"</formula>
    </cfRule>
  </conditionalFormatting>
  <conditionalFormatting sqref="T800:U800">
    <cfRule type="containsText" dxfId="0" priority="5322" operator="between" text="欠">
      <formula>NOT(ISERROR(SEARCH("欠",T800)))</formula>
    </cfRule>
    <cfRule type="cellIs" dxfId="0" priority="5369" operator="equal">
      <formula>"欠"</formula>
    </cfRule>
  </conditionalFormatting>
  <conditionalFormatting sqref="AK800">
    <cfRule type="cellIs" dxfId="1" priority="5510" operator="equal">
      <formula>"未完成"</formula>
    </cfRule>
    <cfRule type="cellIs" dxfId="0" priority="5557" operator="equal">
      <formula>"未完成"</formula>
    </cfRule>
  </conditionalFormatting>
  <conditionalFormatting sqref="AL800">
    <cfRule type="cellIs" dxfId="0" priority="5463" operator="equal">
      <formula>"欠"</formula>
    </cfRule>
  </conditionalFormatting>
  <conditionalFormatting sqref="Q801">
    <cfRule type="cellIs" dxfId="0" priority="5603" operator="equal">
      <formula>"欠"</formula>
    </cfRule>
  </conditionalFormatting>
  <conditionalFormatting sqref="R801">
    <cfRule type="cellIs" dxfId="0" priority="5697" operator="equal">
      <formula>"欠"</formula>
    </cfRule>
    <cfRule type="containsText" dxfId="0" priority="5650" operator="between" text="欠">
      <formula>NOT(ISERROR(SEARCH("欠",R801)))</formula>
    </cfRule>
  </conditionalFormatting>
  <conditionalFormatting sqref="S801">
    <cfRule type="cellIs" dxfId="0" priority="5415" operator="equal">
      <formula>"欠"</formula>
    </cfRule>
  </conditionalFormatting>
  <conditionalFormatting sqref="T801:U801">
    <cfRule type="containsText" dxfId="0" priority="5321" operator="between" text="欠">
      <formula>NOT(ISERROR(SEARCH("欠",T801)))</formula>
    </cfRule>
    <cfRule type="cellIs" dxfId="0" priority="5368" operator="equal">
      <formula>"欠"</formula>
    </cfRule>
  </conditionalFormatting>
  <conditionalFormatting sqref="AK801">
    <cfRule type="cellIs" dxfId="1" priority="5509" operator="equal">
      <formula>"未完成"</formula>
    </cfRule>
    <cfRule type="cellIs" dxfId="0" priority="5556" operator="equal">
      <formula>"未完成"</formula>
    </cfRule>
  </conditionalFormatting>
  <conditionalFormatting sqref="AL801">
    <cfRule type="cellIs" dxfId="0" priority="5462" operator="equal">
      <formula>"欠"</formula>
    </cfRule>
  </conditionalFormatting>
  <conditionalFormatting sqref="Q802">
    <cfRule type="cellIs" dxfId="0" priority="5602" operator="equal">
      <formula>"欠"</formula>
    </cfRule>
  </conditionalFormatting>
  <conditionalFormatting sqref="R802">
    <cfRule type="cellIs" dxfId="0" priority="5696" operator="equal">
      <formula>"欠"</formula>
    </cfRule>
    <cfRule type="containsText" dxfId="0" priority="5649" operator="between" text="欠">
      <formula>NOT(ISERROR(SEARCH("欠",R802)))</formula>
    </cfRule>
  </conditionalFormatting>
  <conditionalFormatting sqref="S802">
    <cfRule type="cellIs" dxfId="0" priority="5414" operator="equal">
      <formula>"欠"</formula>
    </cfRule>
  </conditionalFormatting>
  <conditionalFormatting sqref="T802:U802">
    <cfRule type="containsText" dxfId="0" priority="5320" operator="between" text="欠">
      <formula>NOT(ISERROR(SEARCH("欠",T802)))</formula>
    </cfRule>
    <cfRule type="cellIs" dxfId="0" priority="5367" operator="equal">
      <formula>"欠"</formula>
    </cfRule>
  </conditionalFormatting>
  <conditionalFormatting sqref="AK802">
    <cfRule type="cellIs" dxfId="1" priority="5508" operator="equal">
      <formula>"未完成"</formula>
    </cfRule>
    <cfRule type="cellIs" dxfId="0" priority="5555" operator="equal">
      <formula>"未完成"</formula>
    </cfRule>
  </conditionalFormatting>
  <conditionalFormatting sqref="AL802">
    <cfRule type="cellIs" dxfId="0" priority="5461" operator="equal">
      <formula>"欠"</formula>
    </cfRule>
  </conditionalFormatting>
  <conditionalFormatting sqref="Q803">
    <cfRule type="cellIs" dxfId="0" priority="5601" operator="equal">
      <formula>"欠"</formula>
    </cfRule>
  </conditionalFormatting>
  <conditionalFormatting sqref="R803">
    <cfRule type="cellIs" dxfId="0" priority="5695" operator="equal">
      <formula>"欠"</formula>
    </cfRule>
    <cfRule type="containsText" dxfId="0" priority="5648" operator="between" text="欠">
      <formula>NOT(ISERROR(SEARCH("欠",R803)))</formula>
    </cfRule>
  </conditionalFormatting>
  <conditionalFormatting sqref="S803">
    <cfRule type="cellIs" dxfId="0" priority="5413" operator="equal">
      <formula>"欠"</formula>
    </cfRule>
  </conditionalFormatting>
  <conditionalFormatting sqref="T803:U803">
    <cfRule type="containsText" dxfId="0" priority="5319" operator="between" text="欠">
      <formula>NOT(ISERROR(SEARCH("欠",T803)))</formula>
    </cfRule>
    <cfRule type="cellIs" dxfId="0" priority="5366" operator="equal">
      <formula>"欠"</formula>
    </cfRule>
  </conditionalFormatting>
  <conditionalFormatting sqref="AK803">
    <cfRule type="cellIs" dxfId="1" priority="5507" operator="equal">
      <formula>"未完成"</formula>
    </cfRule>
    <cfRule type="cellIs" dxfId="0" priority="5554" operator="equal">
      <formula>"未完成"</formula>
    </cfRule>
  </conditionalFormatting>
  <conditionalFormatting sqref="AL803">
    <cfRule type="cellIs" dxfId="0" priority="5460" operator="equal">
      <formula>"欠"</formula>
    </cfRule>
  </conditionalFormatting>
  <conditionalFormatting sqref="Q804">
    <cfRule type="cellIs" dxfId="0" priority="5600" operator="equal">
      <formula>"欠"</formula>
    </cfRule>
  </conditionalFormatting>
  <conditionalFormatting sqref="R804">
    <cfRule type="cellIs" dxfId="0" priority="5694" operator="equal">
      <formula>"欠"</formula>
    </cfRule>
    <cfRule type="containsText" dxfId="0" priority="5647" operator="between" text="欠">
      <formula>NOT(ISERROR(SEARCH("欠",R804)))</formula>
    </cfRule>
  </conditionalFormatting>
  <conditionalFormatting sqref="S804">
    <cfRule type="cellIs" dxfId="0" priority="5412" operator="equal">
      <formula>"欠"</formula>
    </cfRule>
  </conditionalFormatting>
  <conditionalFormatting sqref="T804:U804">
    <cfRule type="containsText" dxfId="0" priority="5318" operator="between" text="欠">
      <formula>NOT(ISERROR(SEARCH("欠",T804)))</formula>
    </cfRule>
    <cfRule type="cellIs" dxfId="0" priority="5365" operator="equal">
      <formula>"欠"</formula>
    </cfRule>
  </conditionalFormatting>
  <conditionalFormatting sqref="AK804">
    <cfRule type="cellIs" dxfId="1" priority="5506" operator="equal">
      <formula>"未完成"</formula>
    </cfRule>
    <cfRule type="cellIs" dxfId="0" priority="5553" operator="equal">
      <formula>"未完成"</formula>
    </cfRule>
  </conditionalFormatting>
  <conditionalFormatting sqref="AL804">
    <cfRule type="cellIs" dxfId="0" priority="5459" operator="equal">
      <formula>"欠"</formula>
    </cfRule>
  </conditionalFormatting>
  <conditionalFormatting sqref="Q805">
    <cfRule type="cellIs" dxfId="0" priority="5599" operator="equal">
      <formula>"欠"</formula>
    </cfRule>
  </conditionalFormatting>
  <conditionalFormatting sqref="R805">
    <cfRule type="cellIs" dxfId="0" priority="5693" operator="equal">
      <formula>"欠"</formula>
    </cfRule>
    <cfRule type="containsText" dxfId="0" priority="5646" operator="between" text="欠">
      <formula>NOT(ISERROR(SEARCH("欠",R805)))</formula>
    </cfRule>
  </conditionalFormatting>
  <conditionalFormatting sqref="S805">
    <cfRule type="cellIs" dxfId="0" priority="5411" operator="equal">
      <formula>"欠"</formula>
    </cfRule>
  </conditionalFormatting>
  <conditionalFormatting sqref="T805:U805">
    <cfRule type="containsText" dxfId="0" priority="5317" operator="between" text="欠">
      <formula>NOT(ISERROR(SEARCH("欠",T805)))</formula>
    </cfRule>
    <cfRule type="cellIs" dxfId="0" priority="5364" operator="equal">
      <formula>"欠"</formula>
    </cfRule>
  </conditionalFormatting>
  <conditionalFormatting sqref="AK805">
    <cfRule type="cellIs" dxfId="1" priority="5505" operator="equal">
      <formula>"未完成"</formula>
    </cfRule>
    <cfRule type="cellIs" dxfId="0" priority="5552" operator="equal">
      <formula>"未完成"</formula>
    </cfRule>
  </conditionalFormatting>
  <conditionalFormatting sqref="AL805">
    <cfRule type="cellIs" dxfId="0" priority="5458" operator="equal">
      <formula>"欠"</formula>
    </cfRule>
  </conditionalFormatting>
  <conditionalFormatting sqref="Q806">
    <cfRule type="cellIs" dxfId="0" priority="5598" operator="equal">
      <formula>"欠"</formula>
    </cfRule>
  </conditionalFormatting>
  <conditionalFormatting sqref="R806">
    <cfRule type="cellIs" dxfId="0" priority="5692" operator="equal">
      <formula>"欠"</formula>
    </cfRule>
    <cfRule type="containsText" dxfId="0" priority="5645" operator="between" text="欠">
      <formula>NOT(ISERROR(SEARCH("欠",R806)))</formula>
    </cfRule>
  </conditionalFormatting>
  <conditionalFormatting sqref="S806">
    <cfRule type="cellIs" dxfId="0" priority="5410" operator="equal">
      <formula>"欠"</formula>
    </cfRule>
  </conditionalFormatting>
  <conditionalFormatting sqref="T806:U806">
    <cfRule type="containsText" dxfId="0" priority="5316" operator="between" text="欠">
      <formula>NOT(ISERROR(SEARCH("欠",T806)))</formula>
    </cfRule>
    <cfRule type="cellIs" dxfId="0" priority="5363" operator="equal">
      <formula>"欠"</formula>
    </cfRule>
  </conditionalFormatting>
  <conditionalFormatting sqref="AK806">
    <cfRule type="cellIs" dxfId="1" priority="5504" operator="equal">
      <formula>"未完成"</formula>
    </cfRule>
    <cfRule type="cellIs" dxfId="0" priority="5551" operator="equal">
      <formula>"未完成"</formula>
    </cfRule>
  </conditionalFormatting>
  <conditionalFormatting sqref="AL806">
    <cfRule type="cellIs" dxfId="0" priority="5457" operator="equal">
      <formula>"欠"</formula>
    </cfRule>
  </conditionalFormatting>
  <conditionalFormatting sqref="Q807">
    <cfRule type="cellIs" dxfId="0" priority="5597" operator="equal">
      <formula>"欠"</formula>
    </cfRule>
  </conditionalFormatting>
  <conditionalFormatting sqref="R807">
    <cfRule type="cellIs" dxfId="0" priority="5691" operator="equal">
      <formula>"欠"</formula>
    </cfRule>
    <cfRule type="containsText" dxfId="0" priority="5644" operator="between" text="欠">
      <formula>NOT(ISERROR(SEARCH("欠",R807)))</formula>
    </cfRule>
  </conditionalFormatting>
  <conditionalFormatting sqref="S807">
    <cfRule type="cellIs" dxfId="0" priority="5409" operator="equal">
      <formula>"欠"</formula>
    </cfRule>
  </conditionalFormatting>
  <conditionalFormatting sqref="T807:U807">
    <cfRule type="containsText" dxfId="0" priority="5315" operator="between" text="欠">
      <formula>NOT(ISERROR(SEARCH("欠",T807)))</formula>
    </cfRule>
    <cfRule type="cellIs" dxfId="0" priority="5362" operator="equal">
      <formula>"欠"</formula>
    </cfRule>
  </conditionalFormatting>
  <conditionalFormatting sqref="AK807">
    <cfRule type="cellIs" dxfId="1" priority="5503" operator="equal">
      <formula>"未完成"</formula>
    </cfRule>
    <cfRule type="cellIs" dxfId="0" priority="5550" operator="equal">
      <formula>"未完成"</formula>
    </cfRule>
  </conditionalFormatting>
  <conditionalFormatting sqref="AL807">
    <cfRule type="cellIs" dxfId="0" priority="5456" operator="equal">
      <formula>"欠"</formula>
    </cfRule>
  </conditionalFormatting>
  <conditionalFormatting sqref="Q808">
    <cfRule type="cellIs" dxfId="0" priority="5596" operator="equal">
      <formula>"欠"</formula>
    </cfRule>
  </conditionalFormatting>
  <conditionalFormatting sqref="R808">
    <cfRule type="cellIs" dxfId="0" priority="5690" operator="equal">
      <formula>"欠"</formula>
    </cfRule>
    <cfRule type="containsText" dxfId="0" priority="5643" operator="between" text="欠">
      <formula>NOT(ISERROR(SEARCH("欠",R808)))</formula>
    </cfRule>
  </conditionalFormatting>
  <conditionalFormatting sqref="S808">
    <cfRule type="cellIs" dxfId="0" priority="5408" operator="equal">
      <formula>"欠"</formula>
    </cfRule>
  </conditionalFormatting>
  <conditionalFormatting sqref="T808:U808">
    <cfRule type="containsText" dxfId="0" priority="5314" operator="between" text="欠">
      <formula>NOT(ISERROR(SEARCH("欠",T808)))</formula>
    </cfRule>
    <cfRule type="cellIs" dxfId="0" priority="5361" operator="equal">
      <formula>"欠"</formula>
    </cfRule>
  </conditionalFormatting>
  <conditionalFormatting sqref="AK808">
    <cfRule type="cellIs" dxfId="1" priority="5502" operator="equal">
      <formula>"未完成"</formula>
    </cfRule>
    <cfRule type="cellIs" dxfId="0" priority="5549" operator="equal">
      <formula>"未完成"</formula>
    </cfRule>
  </conditionalFormatting>
  <conditionalFormatting sqref="AL808">
    <cfRule type="cellIs" dxfId="0" priority="5455" operator="equal">
      <formula>"欠"</formula>
    </cfRule>
  </conditionalFormatting>
  <conditionalFormatting sqref="Q809">
    <cfRule type="cellIs" dxfId="0" priority="5595" operator="equal">
      <formula>"欠"</formula>
    </cfRule>
  </conditionalFormatting>
  <conditionalFormatting sqref="R809">
    <cfRule type="cellIs" dxfId="0" priority="5689" operator="equal">
      <formula>"欠"</formula>
    </cfRule>
    <cfRule type="containsText" dxfId="0" priority="5642" operator="between" text="欠">
      <formula>NOT(ISERROR(SEARCH("欠",R809)))</formula>
    </cfRule>
  </conditionalFormatting>
  <conditionalFormatting sqref="S809">
    <cfRule type="cellIs" dxfId="0" priority="5407" operator="equal">
      <formula>"欠"</formula>
    </cfRule>
  </conditionalFormatting>
  <conditionalFormatting sqref="T809:U809">
    <cfRule type="containsText" dxfId="0" priority="5313" operator="between" text="欠">
      <formula>NOT(ISERROR(SEARCH("欠",T809)))</formula>
    </cfRule>
    <cfRule type="cellIs" dxfId="0" priority="5360" operator="equal">
      <formula>"欠"</formula>
    </cfRule>
  </conditionalFormatting>
  <conditionalFormatting sqref="AK809">
    <cfRule type="cellIs" dxfId="1" priority="5501" operator="equal">
      <formula>"未完成"</formula>
    </cfRule>
    <cfRule type="cellIs" dxfId="0" priority="5548" operator="equal">
      <formula>"未完成"</formula>
    </cfRule>
  </conditionalFormatting>
  <conditionalFormatting sqref="AL809">
    <cfRule type="cellIs" dxfId="0" priority="5454" operator="equal">
      <formula>"欠"</formula>
    </cfRule>
  </conditionalFormatting>
  <conditionalFormatting sqref="Q810">
    <cfRule type="cellIs" dxfId="0" priority="5594" operator="equal">
      <formula>"欠"</formula>
    </cfRule>
  </conditionalFormatting>
  <conditionalFormatting sqref="R810">
    <cfRule type="cellIs" dxfId="0" priority="5688" operator="equal">
      <formula>"欠"</formula>
    </cfRule>
    <cfRule type="containsText" dxfId="0" priority="5641" operator="between" text="欠">
      <formula>NOT(ISERROR(SEARCH("欠",R810)))</formula>
    </cfRule>
  </conditionalFormatting>
  <conditionalFormatting sqref="S810">
    <cfRule type="cellIs" dxfId="0" priority="5406" operator="equal">
      <formula>"欠"</formula>
    </cfRule>
  </conditionalFormatting>
  <conditionalFormatting sqref="T810:U810">
    <cfRule type="containsText" dxfId="0" priority="5312" operator="between" text="欠">
      <formula>NOT(ISERROR(SEARCH("欠",T810)))</formula>
    </cfRule>
    <cfRule type="cellIs" dxfId="0" priority="5359" operator="equal">
      <formula>"欠"</formula>
    </cfRule>
  </conditionalFormatting>
  <conditionalFormatting sqref="AK810">
    <cfRule type="cellIs" dxfId="1" priority="5500" operator="equal">
      <formula>"未完成"</formula>
    </cfRule>
    <cfRule type="cellIs" dxfId="0" priority="5547" operator="equal">
      <formula>"未完成"</formula>
    </cfRule>
  </conditionalFormatting>
  <conditionalFormatting sqref="AL810">
    <cfRule type="cellIs" dxfId="0" priority="5453" operator="equal">
      <formula>"欠"</formula>
    </cfRule>
  </conditionalFormatting>
  <conditionalFormatting sqref="Q811">
    <cfRule type="cellIs" dxfId="0" priority="5593" operator="equal">
      <formula>"欠"</formula>
    </cfRule>
  </conditionalFormatting>
  <conditionalFormatting sqref="R811">
    <cfRule type="cellIs" dxfId="0" priority="5687" operator="equal">
      <formula>"欠"</formula>
    </cfRule>
    <cfRule type="containsText" dxfId="0" priority="5640" operator="between" text="欠">
      <formula>NOT(ISERROR(SEARCH("欠",R811)))</formula>
    </cfRule>
  </conditionalFormatting>
  <conditionalFormatting sqref="T811:U811">
    <cfRule type="containsText" dxfId="0" priority="5311" operator="between" text="欠">
      <formula>NOT(ISERROR(SEARCH("欠",T811)))</formula>
    </cfRule>
    <cfRule type="cellIs" dxfId="0" priority="5358" operator="equal">
      <formula>"欠"</formula>
    </cfRule>
  </conditionalFormatting>
  <conditionalFormatting sqref="AK811">
    <cfRule type="cellIs" dxfId="1" priority="5499" operator="equal">
      <formula>"未完成"</formula>
    </cfRule>
    <cfRule type="cellIs" dxfId="0" priority="5546" operator="equal">
      <formula>"未完成"</formula>
    </cfRule>
  </conditionalFormatting>
  <conditionalFormatting sqref="AL811">
    <cfRule type="cellIs" dxfId="0" priority="5452" operator="equal">
      <formula>"欠"</formula>
    </cfRule>
  </conditionalFormatting>
  <conditionalFormatting sqref="Q812">
    <cfRule type="cellIs" dxfId="0" priority="5592" operator="equal">
      <formula>"欠"</formula>
    </cfRule>
  </conditionalFormatting>
  <conditionalFormatting sqref="R812">
    <cfRule type="cellIs" dxfId="0" priority="5686" operator="equal">
      <formula>"欠"</formula>
    </cfRule>
    <cfRule type="containsText" dxfId="0" priority="5639" operator="between" text="欠">
      <formula>NOT(ISERROR(SEARCH("欠",R812)))</formula>
    </cfRule>
  </conditionalFormatting>
  <conditionalFormatting sqref="S812">
    <cfRule type="cellIs" dxfId="0" priority="5404" operator="equal">
      <formula>"欠"</formula>
    </cfRule>
  </conditionalFormatting>
  <conditionalFormatting sqref="T812:U812">
    <cfRule type="containsText" dxfId="0" priority="5310" operator="between" text="欠">
      <formula>NOT(ISERROR(SEARCH("欠",T812)))</formula>
    </cfRule>
    <cfRule type="cellIs" dxfId="0" priority="5357" operator="equal">
      <formula>"欠"</formula>
    </cfRule>
  </conditionalFormatting>
  <conditionalFormatting sqref="AK812">
    <cfRule type="cellIs" dxfId="1" priority="5498" operator="equal">
      <formula>"未完成"</formula>
    </cfRule>
    <cfRule type="cellIs" dxfId="0" priority="5545" operator="equal">
      <formula>"未完成"</formula>
    </cfRule>
  </conditionalFormatting>
  <conditionalFormatting sqref="AL812">
    <cfRule type="cellIs" dxfId="0" priority="5451" operator="equal">
      <formula>"欠"</formula>
    </cfRule>
  </conditionalFormatting>
  <conditionalFormatting sqref="Q813">
    <cfRule type="cellIs" dxfId="0" priority="5591" operator="equal">
      <formula>"欠"</formula>
    </cfRule>
  </conditionalFormatting>
  <conditionalFormatting sqref="R813">
    <cfRule type="cellIs" dxfId="0" priority="5685" operator="equal">
      <formula>"欠"</formula>
    </cfRule>
    <cfRule type="containsText" dxfId="0" priority="5638" operator="between" text="欠">
      <formula>NOT(ISERROR(SEARCH("欠",R813)))</formula>
    </cfRule>
  </conditionalFormatting>
  <conditionalFormatting sqref="S813">
    <cfRule type="cellIs" dxfId="0" priority="5403" operator="equal">
      <formula>"欠"</formula>
    </cfRule>
  </conditionalFormatting>
  <conditionalFormatting sqref="T813:U813">
    <cfRule type="containsText" dxfId="0" priority="5309" operator="between" text="欠">
      <formula>NOT(ISERROR(SEARCH("欠",T813)))</formula>
    </cfRule>
    <cfRule type="cellIs" dxfId="0" priority="5356" operator="equal">
      <formula>"欠"</formula>
    </cfRule>
  </conditionalFormatting>
  <conditionalFormatting sqref="AK813">
    <cfRule type="cellIs" dxfId="1" priority="5497" operator="equal">
      <formula>"未完成"</formula>
    </cfRule>
    <cfRule type="cellIs" dxfId="0" priority="5544" operator="equal">
      <formula>"未完成"</formula>
    </cfRule>
  </conditionalFormatting>
  <conditionalFormatting sqref="AL813">
    <cfRule type="cellIs" dxfId="0" priority="5450" operator="equal">
      <formula>"欠"</formula>
    </cfRule>
  </conditionalFormatting>
  <conditionalFormatting sqref="Q814">
    <cfRule type="cellIs" dxfId="0" priority="5590" operator="equal">
      <formula>"欠"</formula>
    </cfRule>
  </conditionalFormatting>
  <conditionalFormatting sqref="R814">
    <cfRule type="cellIs" dxfId="0" priority="5684" operator="equal">
      <formula>"欠"</formula>
    </cfRule>
    <cfRule type="containsText" dxfId="0" priority="5637" operator="between" text="欠">
      <formula>NOT(ISERROR(SEARCH("欠",R814)))</formula>
    </cfRule>
  </conditionalFormatting>
  <conditionalFormatting sqref="S814">
    <cfRule type="cellIs" dxfId="0" priority="5402" operator="equal">
      <formula>"欠"</formula>
    </cfRule>
  </conditionalFormatting>
  <conditionalFormatting sqref="T814:U814">
    <cfRule type="containsText" dxfId="0" priority="5308" operator="between" text="欠">
      <formula>NOT(ISERROR(SEARCH("欠",T814)))</formula>
    </cfRule>
    <cfRule type="cellIs" dxfId="0" priority="5355" operator="equal">
      <formula>"欠"</formula>
    </cfRule>
  </conditionalFormatting>
  <conditionalFormatting sqref="AK814">
    <cfRule type="cellIs" dxfId="1" priority="5496" operator="equal">
      <formula>"未完成"</formula>
    </cfRule>
    <cfRule type="cellIs" dxfId="0" priority="5543" operator="equal">
      <formula>"未完成"</formula>
    </cfRule>
  </conditionalFormatting>
  <conditionalFormatting sqref="AL814">
    <cfRule type="cellIs" dxfId="0" priority="5449" operator="equal">
      <formula>"欠"</formula>
    </cfRule>
  </conditionalFormatting>
  <conditionalFormatting sqref="Q815">
    <cfRule type="cellIs" dxfId="0" priority="5589" operator="equal">
      <formula>"欠"</formula>
    </cfRule>
  </conditionalFormatting>
  <conditionalFormatting sqref="R815">
    <cfRule type="cellIs" dxfId="0" priority="5683" operator="equal">
      <formula>"欠"</formula>
    </cfRule>
    <cfRule type="containsText" dxfId="0" priority="5636" operator="between" text="欠">
      <formula>NOT(ISERROR(SEARCH("欠",R815)))</formula>
    </cfRule>
  </conditionalFormatting>
  <conditionalFormatting sqref="S815">
    <cfRule type="cellIs" dxfId="0" priority="5401" operator="equal">
      <formula>"欠"</formula>
    </cfRule>
  </conditionalFormatting>
  <conditionalFormatting sqref="T815:U815">
    <cfRule type="containsText" dxfId="0" priority="5307" operator="between" text="欠">
      <formula>NOT(ISERROR(SEARCH("欠",T815)))</formula>
    </cfRule>
    <cfRule type="cellIs" dxfId="0" priority="5354" operator="equal">
      <formula>"欠"</formula>
    </cfRule>
  </conditionalFormatting>
  <conditionalFormatting sqref="AK815">
    <cfRule type="cellIs" dxfId="1" priority="5495" operator="equal">
      <formula>"未完成"</formula>
    </cfRule>
    <cfRule type="cellIs" dxfId="0" priority="5542" operator="equal">
      <formula>"未完成"</formula>
    </cfRule>
  </conditionalFormatting>
  <conditionalFormatting sqref="AL815">
    <cfRule type="cellIs" dxfId="0" priority="5448" operator="equal">
      <formula>"欠"</formula>
    </cfRule>
  </conditionalFormatting>
  <conditionalFormatting sqref="Q816">
    <cfRule type="cellIs" dxfId="0" priority="5588" operator="equal">
      <formula>"欠"</formula>
    </cfRule>
  </conditionalFormatting>
  <conditionalFormatting sqref="R816">
    <cfRule type="cellIs" dxfId="0" priority="5682" operator="equal">
      <formula>"欠"</formula>
    </cfRule>
    <cfRule type="containsText" dxfId="0" priority="5635" operator="between" text="欠">
      <formula>NOT(ISERROR(SEARCH("欠",R816)))</formula>
    </cfRule>
  </conditionalFormatting>
  <conditionalFormatting sqref="S816">
    <cfRule type="cellIs" dxfId="0" priority="5400" operator="equal">
      <formula>"欠"</formula>
    </cfRule>
  </conditionalFormatting>
  <conditionalFormatting sqref="T816:U816">
    <cfRule type="containsText" dxfId="0" priority="5306" operator="between" text="欠">
      <formula>NOT(ISERROR(SEARCH("欠",T816)))</formula>
    </cfRule>
    <cfRule type="cellIs" dxfId="0" priority="5353" operator="equal">
      <formula>"欠"</formula>
    </cfRule>
  </conditionalFormatting>
  <conditionalFormatting sqref="AK816">
    <cfRule type="cellIs" dxfId="1" priority="5494" operator="equal">
      <formula>"未完成"</formula>
    </cfRule>
    <cfRule type="cellIs" dxfId="0" priority="5541" operator="equal">
      <formula>"未完成"</formula>
    </cfRule>
  </conditionalFormatting>
  <conditionalFormatting sqref="AL816">
    <cfRule type="cellIs" dxfId="0" priority="5447" operator="equal">
      <formula>"欠"</formula>
    </cfRule>
  </conditionalFormatting>
  <conditionalFormatting sqref="Q817">
    <cfRule type="cellIs" dxfId="0" priority="5587" operator="equal">
      <formula>"欠"</formula>
    </cfRule>
  </conditionalFormatting>
  <conditionalFormatting sqref="R817">
    <cfRule type="cellIs" dxfId="0" priority="5681" operator="equal">
      <formula>"欠"</formula>
    </cfRule>
    <cfRule type="containsText" dxfId="0" priority="5634" operator="between" text="欠">
      <formula>NOT(ISERROR(SEARCH("欠",R817)))</formula>
    </cfRule>
  </conditionalFormatting>
  <conditionalFormatting sqref="S817">
    <cfRule type="cellIs" dxfId="0" priority="5399" operator="equal">
      <formula>"欠"</formula>
    </cfRule>
  </conditionalFormatting>
  <conditionalFormatting sqref="T817:U817">
    <cfRule type="containsText" dxfId="0" priority="5305" operator="between" text="欠">
      <formula>NOT(ISERROR(SEARCH("欠",T817)))</formula>
    </cfRule>
    <cfRule type="cellIs" dxfId="0" priority="5352" operator="equal">
      <formula>"欠"</formula>
    </cfRule>
  </conditionalFormatting>
  <conditionalFormatting sqref="AK817">
    <cfRule type="cellIs" dxfId="1" priority="5493" operator="equal">
      <formula>"未完成"</formula>
    </cfRule>
    <cfRule type="cellIs" dxfId="0" priority="5540" operator="equal">
      <formula>"未完成"</formula>
    </cfRule>
  </conditionalFormatting>
  <conditionalFormatting sqref="AL817">
    <cfRule type="cellIs" dxfId="0" priority="5446" operator="equal">
      <formula>"欠"</formula>
    </cfRule>
  </conditionalFormatting>
  <conditionalFormatting sqref="Q818">
    <cfRule type="cellIs" dxfId="0" priority="5210" operator="equal">
      <formula>"欠"</formula>
    </cfRule>
  </conditionalFormatting>
  <conditionalFormatting sqref="R818">
    <cfRule type="cellIs" dxfId="0" priority="5230" operator="equal">
      <formula>"欠"</formula>
    </cfRule>
    <cfRule type="containsText" dxfId="0" priority="5220" operator="between" text="欠">
      <formula>NOT(ISERROR(SEARCH("欠",R818)))</formula>
    </cfRule>
  </conditionalFormatting>
  <conditionalFormatting sqref="S818">
    <cfRule type="cellIs" dxfId="0" priority="5170" operator="equal">
      <formula>"欠"</formula>
    </cfRule>
  </conditionalFormatting>
  <conditionalFormatting sqref="T818:U818">
    <cfRule type="containsText" dxfId="0" priority="5150" operator="between" text="欠">
      <formula>NOT(ISERROR(SEARCH("欠",T818)))</formula>
    </cfRule>
    <cfRule type="cellIs" dxfId="0" priority="5160" operator="equal">
      <formula>"欠"</formula>
    </cfRule>
  </conditionalFormatting>
  <conditionalFormatting sqref="AK818">
    <cfRule type="cellIs" dxfId="1" priority="5190" operator="equal">
      <formula>"未完成"</formula>
    </cfRule>
    <cfRule type="cellIs" dxfId="0" priority="5200" operator="equal">
      <formula>"未完成"</formula>
    </cfRule>
  </conditionalFormatting>
  <conditionalFormatting sqref="AL818">
    <cfRule type="cellIs" dxfId="0" priority="5180" operator="equal">
      <formula>"欠"</formula>
    </cfRule>
  </conditionalFormatting>
  <conditionalFormatting sqref="Q819">
    <cfRule type="cellIs" dxfId="0" priority="5209" operator="equal">
      <formula>"欠"</formula>
    </cfRule>
  </conditionalFormatting>
  <conditionalFormatting sqref="R819">
    <cfRule type="cellIs" dxfId="0" priority="5229" operator="equal">
      <formula>"欠"</formula>
    </cfRule>
    <cfRule type="containsText" dxfId="0" priority="5219" operator="between" text="欠">
      <formula>NOT(ISERROR(SEARCH("欠",R819)))</formula>
    </cfRule>
  </conditionalFormatting>
  <conditionalFormatting sqref="S819">
    <cfRule type="cellIs" dxfId="0" priority="5169" operator="equal">
      <formula>"欠"</formula>
    </cfRule>
  </conditionalFormatting>
  <conditionalFormatting sqref="T819:U819">
    <cfRule type="containsText" dxfId="0" priority="5149" operator="between" text="欠">
      <formula>NOT(ISERROR(SEARCH("欠",T819)))</formula>
    </cfRule>
    <cfRule type="cellIs" dxfId="0" priority="5159" operator="equal">
      <formula>"欠"</formula>
    </cfRule>
  </conditionalFormatting>
  <conditionalFormatting sqref="AK819">
    <cfRule type="cellIs" dxfId="1" priority="5189" operator="equal">
      <formula>"未完成"</formula>
    </cfRule>
    <cfRule type="cellIs" dxfId="0" priority="5199" operator="equal">
      <formula>"未完成"</formula>
    </cfRule>
  </conditionalFormatting>
  <conditionalFormatting sqref="AL819">
    <cfRule type="cellIs" dxfId="0" priority="5179" operator="equal">
      <formula>"欠"</formula>
    </cfRule>
  </conditionalFormatting>
  <conditionalFormatting sqref="Q820">
    <cfRule type="cellIs" dxfId="0" priority="5208" operator="equal">
      <formula>"欠"</formula>
    </cfRule>
  </conditionalFormatting>
  <conditionalFormatting sqref="R820">
    <cfRule type="cellIs" dxfId="0" priority="5228" operator="equal">
      <formula>"欠"</formula>
    </cfRule>
    <cfRule type="containsText" dxfId="0" priority="5218" operator="between" text="欠">
      <formula>NOT(ISERROR(SEARCH("欠",R820)))</formula>
    </cfRule>
  </conditionalFormatting>
  <conditionalFormatting sqref="S820">
    <cfRule type="cellIs" dxfId="0" priority="5168" operator="equal">
      <formula>"欠"</formula>
    </cfRule>
  </conditionalFormatting>
  <conditionalFormatting sqref="T820:U820">
    <cfRule type="containsText" dxfId="0" priority="5148" operator="between" text="欠">
      <formula>NOT(ISERROR(SEARCH("欠",T820)))</formula>
    </cfRule>
    <cfRule type="cellIs" dxfId="0" priority="5158" operator="equal">
      <formula>"欠"</formula>
    </cfRule>
  </conditionalFormatting>
  <conditionalFormatting sqref="AK820">
    <cfRule type="cellIs" dxfId="1" priority="5188" operator="equal">
      <formula>"未完成"</formula>
    </cfRule>
    <cfRule type="cellIs" dxfId="0" priority="5198" operator="equal">
      <formula>"未完成"</formula>
    </cfRule>
  </conditionalFormatting>
  <conditionalFormatting sqref="AL820">
    <cfRule type="cellIs" dxfId="0" priority="5178" operator="equal">
      <formula>"欠"</formula>
    </cfRule>
  </conditionalFormatting>
  <conditionalFormatting sqref="Q821">
    <cfRule type="cellIs" dxfId="0" priority="5207" operator="equal">
      <formula>"欠"</formula>
    </cfRule>
  </conditionalFormatting>
  <conditionalFormatting sqref="R821">
    <cfRule type="cellIs" dxfId="0" priority="5227" operator="equal">
      <formula>"欠"</formula>
    </cfRule>
    <cfRule type="containsText" dxfId="0" priority="5217" operator="between" text="欠">
      <formula>NOT(ISERROR(SEARCH("欠",R821)))</formula>
    </cfRule>
  </conditionalFormatting>
  <conditionalFormatting sqref="S821">
    <cfRule type="cellIs" dxfId="0" priority="5167" operator="equal">
      <formula>"欠"</formula>
    </cfRule>
  </conditionalFormatting>
  <conditionalFormatting sqref="T821:U821">
    <cfRule type="containsText" dxfId="0" priority="5147" operator="between" text="欠">
      <formula>NOT(ISERROR(SEARCH("欠",T821)))</formula>
    </cfRule>
    <cfRule type="cellIs" dxfId="0" priority="5157" operator="equal">
      <formula>"欠"</formula>
    </cfRule>
  </conditionalFormatting>
  <conditionalFormatting sqref="AK821">
    <cfRule type="cellIs" dxfId="1" priority="5187" operator="equal">
      <formula>"未完成"</formula>
    </cfRule>
    <cfRule type="cellIs" dxfId="0" priority="5197" operator="equal">
      <formula>"未完成"</formula>
    </cfRule>
  </conditionalFormatting>
  <conditionalFormatting sqref="AL821">
    <cfRule type="cellIs" dxfId="0" priority="5177" operator="equal">
      <formula>"欠"</formula>
    </cfRule>
  </conditionalFormatting>
  <conditionalFormatting sqref="Q822">
    <cfRule type="cellIs" dxfId="0" priority="5206" operator="equal">
      <formula>"欠"</formula>
    </cfRule>
  </conditionalFormatting>
  <conditionalFormatting sqref="R822">
    <cfRule type="cellIs" dxfId="0" priority="5226" operator="equal">
      <formula>"欠"</formula>
    </cfRule>
    <cfRule type="containsText" dxfId="0" priority="5216" operator="between" text="欠">
      <formula>NOT(ISERROR(SEARCH("欠",R822)))</formula>
    </cfRule>
  </conditionalFormatting>
  <conditionalFormatting sqref="S822">
    <cfRule type="cellIs" dxfId="0" priority="5166" operator="equal">
      <formula>"欠"</formula>
    </cfRule>
  </conditionalFormatting>
  <conditionalFormatting sqref="T822:U822">
    <cfRule type="containsText" dxfId="0" priority="5146" operator="between" text="欠">
      <formula>NOT(ISERROR(SEARCH("欠",T822)))</formula>
    </cfRule>
    <cfRule type="cellIs" dxfId="0" priority="5156" operator="equal">
      <formula>"欠"</formula>
    </cfRule>
  </conditionalFormatting>
  <conditionalFormatting sqref="AK822">
    <cfRule type="cellIs" dxfId="1" priority="5186" operator="equal">
      <formula>"未完成"</formula>
    </cfRule>
    <cfRule type="cellIs" dxfId="0" priority="5196" operator="equal">
      <formula>"未完成"</formula>
    </cfRule>
  </conditionalFormatting>
  <conditionalFormatting sqref="AL822">
    <cfRule type="cellIs" dxfId="0" priority="5176" operator="equal">
      <formula>"欠"</formula>
    </cfRule>
  </conditionalFormatting>
  <conditionalFormatting sqref="Q823">
    <cfRule type="cellIs" dxfId="0" priority="5204" operator="equal">
      <formula>"欠"</formula>
    </cfRule>
  </conditionalFormatting>
  <conditionalFormatting sqref="R823">
    <cfRule type="containsText" dxfId="0" priority="5214" operator="between" text="欠">
      <formula>NOT(ISERROR(SEARCH("欠",R823)))</formula>
    </cfRule>
    <cfRule type="cellIs" dxfId="0" priority="5224" operator="equal">
      <formula>"欠"</formula>
    </cfRule>
  </conditionalFormatting>
  <conditionalFormatting sqref="S823">
    <cfRule type="cellIs" dxfId="0" priority="5164" operator="equal">
      <formula>"欠"</formula>
    </cfRule>
  </conditionalFormatting>
  <conditionalFormatting sqref="T823:U823">
    <cfRule type="containsText" dxfId="0" priority="5144" operator="between" text="欠">
      <formula>NOT(ISERROR(SEARCH("欠",T823)))</formula>
    </cfRule>
    <cfRule type="cellIs" dxfId="0" priority="5154" operator="equal">
      <formula>"欠"</formula>
    </cfRule>
  </conditionalFormatting>
  <conditionalFormatting sqref="AK823">
    <cfRule type="cellIs" dxfId="1" priority="5184" operator="equal">
      <formula>"未完成"</formula>
    </cfRule>
    <cfRule type="cellIs" dxfId="0" priority="5194" operator="equal">
      <formula>"未完成"</formula>
    </cfRule>
  </conditionalFormatting>
  <conditionalFormatting sqref="AL823">
    <cfRule type="cellIs" dxfId="0" priority="5174" operator="equal">
      <formula>"欠"</formula>
    </cfRule>
  </conditionalFormatting>
  <conditionalFormatting sqref="Q824">
    <cfRule type="cellIs" dxfId="0" priority="5203" operator="equal">
      <formula>"欠"</formula>
    </cfRule>
  </conditionalFormatting>
  <conditionalFormatting sqref="AK824">
    <cfRule type="cellIs" dxfId="1" priority="5183" operator="equal">
      <formula>"未完成"</formula>
    </cfRule>
    <cfRule type="cellIs" dxfId="0" priority="5193" operator="equal">
      <formula>"未完成"</formula>
    </cfRule>
  </conditionalFormatting>
  <conditionalFormatting sqref="AL824">
    <cfRule type="cellIs" dxfId="0" priority="5173" operator="equal">
      <formula>"欠"</formula>
    </cfRule>
  </conditionalFormatting>
  <conditionalFormatting sqref="Q825">
    <cfRule type="cellIs" dxfId="0" priority="5202" operator="equal">
      <formula>"欠"</formula>
    </cfRule>
  </conditionalFormatting>
  <conditionalFormatting sqref="R825">
    <cfRule type="containsText" dxfId="0" priority="5212" operator="between" text="欠">
      <formula>NOT(ISERROR(SEARCH("欠",R825)))</formula>
    </cfRule>
    <cfRule type="cellIs" dxfId="0" priority="5222" operator="equal">
      <formula>"欠"</formula>
    </cfRule>
  </conditionalFormatting>
  <conditionalFormatting sqref="S825">
    <cfRule type="cellIs" dxfId="0" priority="5162" operator="equal">
      <formula>"欠"</formula>
    </cfRule>
  </conditionalFormatting>
  <conditionalFormatting sqref="T825:U825">
    <cfRule type="containsText" dxfId="0" priority="5142" operator="between" text="欠">
      <formula>NOT(ISERROR(SEARCH("欠",T825)))</formula>
    </cfRule>
    <cfRule type="cellIs" dxfId="0" priority="5152" operator="equal">
      <formula>"欠"</formula>
    </cfRule>
  </conditionalFormatting>
  <conditionalFormatting sqref="AK825">
    <cfRule type="cellIs" dxfId="1" priority="5182" operator="equal">
      <formula>"未完成"</formula>
    </cfRule>
    <cfRule type="cellIs" dxfId="0" priority="5192" operator="equal">
      <formula>"未完成"</formula>
    </cfRule>
  </conditionalFormatting>
  <conditionalFormatting sqref="AL825">
    <cfRule type="cellIs" dxfId="0" priority="5172" operator="equal">
      <formula>"欠"</formula>
    </cfRule>
  </conditionalFormatting>
  <conditionalFormatting sqref="Q826">
    <cfRule type="cellIs" dxfId="0" priority="5201" operator="equal">
      <formula>"欠"</formula>
    </cfRule>
  </conditionalFormatting>
  <conditionalFormatting sqref="R826">
    <cfRule type="containsText" dxfId="0" priority="5211" operator="between" text="欠">
      <formula>NOT(ISERROR(SEARCH("欠",R826)))</formula>
    </cfRule>
    <cfRule type="cellIs" dxfId="0" priority="5221" operator="equal">
      <formula>"欠"</formula>
    </cfRule>
  </conditionalFormatting>
  <conditionalFormatting sqref="S826">
    <cfRule type="cellIs" dxfId="0" priority="5161" operator="equal">
      <formula>"欠"</formula>
    </cfRule>
  </conditionalFormatting>
  <conditionalFormatting sqref="T826:U826">
    <cfRule type="containsText" dxfId="0" priority="5141" operator="between" text="欠">
      <formula>NOT(ISERROR(SEARCH("欠",T826)))</formula>
    </cfRule>
    <cfRule type="cellIs" dxfId="0" priority="5151" operator="equal">
      <formula>"欠"</formula>
    </cfRule>
  </conditionalFormatting>
  <conditionalFormatting sqref="AK826">
    <cfRule type="cellIs" dxfId="1" priority="5181" operator="equal">
      <formula>"未完成"</formula>
    </cfRule>
    <cfRule type="cellIs" dxfId="0" priority="5191" operator="equal">
      <formula>"未完成"</formula>
    </cfRule>
  </conditionalFormatting>
  <conditionalFormatting sqref="AL826">
    <cfRule type="cellIs" dxfId="0" priority="5171" operator="equal">
      <formula>"欠"</formula>
    </cfRule>
  </conditionalFormatting>
  <conditionalFormatting sqref="Q827">
    <cfRule type="cellIs" dxfId="0" priority="4847" operator="equal">
      <formula>"欠"</formula>
    </cfRule>
  </conditionalFormatting>
  <conditionalFormatting sqref="R827">
    <cfRule type="containsText" dxfId="0" priority="4869" operator="between" text="欠">
      <formula>NOT(ISERROR(SEARCH("欠",R827)))</formula>
    </cfRule>
    <cfRule type="cellIs" dxfId="0" priority="4891" operator="equal">
      <formula>"欠"</formula>
    </cfRule>
  </conditionalFormatting>
  <conditionalFormatting sqref="S827">
    <cfRule type="cellIs" dxfId="0" priority="4759" operator="equal">
      <formula>"欠"</formula>
    </cfRule>
  </conditionalFormatting>
  <conditionalFormatting sqref="T827:U827">
    <cfRule type="containsText" dxfId="0" priority="4715" operator="between" text="欠">
      <formula>NOT(ISERROR(SEARCH("欠",T827)))</formula>
    </cfRule>
    <cfRule type="cellIs" dxfId="0" priority="4737" operator="equal">
      <formula>"欠"</formula>
    </cfRule>
  </conditionalFormatting>
  <conditionalFormatting sqref="AK827">
    <cfRule type="cellIs" dxfId="1" priority="4803" operator="equal">
      <formula>"未完成"</formula>
    </cfRule>
    <cfRule type="cellIs" dxfId="0" priority="4825" operator="equal">
      <formula>"未完成"</formula>
    </cfRule>
  </conditionalFormatting>
  <conditionalFormatting sqref="AL827">
    <cfRule type="cellIs" dxfId="0" priority="4781" operator="equal">
      <formula>"欠"</formula>
    </cfRule>
  </conditionalFormatting>
  <conditionalFormatting sqref="Q828">
    <cfRule type="cellIs" dxfId="0" priority="4846" operator="equal">
      <formula>"欠"</formula>
    </cfRule>
  </conditionalFormatting>
  <conditionalFormatting sqref="R828">
    <cfRule type="containsText" dxfId="0" priority="4868" operator="between" text="欠">
      <formula>NOT(ISERROR(SEARCH("欠",R828)))</formula>
    </cfRule>
    <cfRule type="cellIs" dxfId="0" priority="4890" operator="equal">
      <formula>"欠"</formula>
    </cfRule>
  </conditionalFormatting>
  <conditionalFormatting sqref="S828">
    <cfRule type="cellIs" dxfId="0" priority="4758" operator="equal">
      <formula>"欠"</formula>
    </cfRule>
  </conditionalFormatting>
  <conditionalFormatting sqref="T828:U828">
    <cfRule type="containsText" dxfId="0" priority="4714" operator="between" text="欠">
      <formula>NOT(ISERROR(SEARCH("欠",T828)))</formula>
    </cfRule>
    <cfRule type="cellIs" dxfId="0" priority="4736" operator="equal">
      <formula>"欠"</formula>
    </cfRule>
  </conditionalFormatting>
  <conditionalFormatting sqref="AK828">
    <cfRule type="cellIs" dxfId="1" priority="4802" operator="equal">
      <formula>"未完成"</formula>
    </cfRule>
    <cfRule type="cellIs" dxfId="0" priority="4824" operator="equal">
      <formula>"未完成"</formula>
    </cfRule>
  </conditionalFormatting>
  <conditionalFormatting sqref="AL828">
    <cfRule type="cellIs" dxfId="0" priority="4780" operator="equal">
      <formula>"欠"</formula>
    </cfRule>
  </conditionalFormatting>
  <conditionalFormatting sqref="Q829">
    <cfRule type="cellIs" dxfId="0" priority="4845" operator="equal">
      <formula>"欠"</formula>
    </cfRule>
  </conditionalFormatting>
  <conditionalFormatting sqref="R829">
    <cfRule type="containsText" dxfId="0" priority="4867" operator="between" text="欠">
      <formula>NOT(ISERROR(SEARCH("欠",R829)))</formula>
    </cfRule>
    <cfRule type="cellIs" dxfId="0" priority="4889" operator="equal">
      <formula>"欠"</formula>
    </cfRule>
  </conditionalFormatting>
  <conditionalFormatting sqref="S829">
    <cfRule type="cellIs" dxfId="0" priority="4757" operator="equal">
      <formula>"欠"</formula>
    </cfRule>
  </conditionalFormatting>
  <conditionalFormatting sqref="T829:U829">
    <cfRule type="containsText" dxfId="0" priority="4713" operator="between" text="欠">
      <formula>NOT(ISERROR(SEARCH("欠",T829)))</formula>
    </cfRule>
    <cfRule type="cellIs" dxfId="0" priority="4735" operator="equal">
      <formula>"欠"</formula>
    </cfRule>
  </conditionalFormatting>
  <conditionalFormatting sqref="AK829">
    <cfRule type="cellIs" dxfId="1" priority="4801" operator="equal">
      <formula>"未完成"</formula>
    </cfRule>
    <cfRule type="cellIs" dxfId="0" priority="4823" operator="equal">
      <formula>"未完成"</formula>
    </cfRule>
  </conditionalFormatting>
  <conditionalFormatting sqref="AL829">
    <cfRule type="cellIs" dxfId="0" priority="4779" operator="equal">
      <formula>"欠"</formula>
    </cfRule>
  </conditionalFormatting>
  <conditionalFormatting sqref="Q830">
    <cfRule type="cellIs" dxfId="0" priority="4844" operator="equal">
      <formula>"欠"</formula>
    </cfRule>
  </conditionalFormatting>
  <conditionalFormatting sqref="R830">
    <cfRule type="containsText" dxfId="0" priority="4866" operator="between" text="欠">
      <formula>NOT(ISERROR(SEARCH("欠",R830)))</formula>
    </cfRule>
    <cfRule type="cellIs" dxfId="0" priority="4888" operator="equal">
      <formula>"欠"</formula>
    </cfRule>
  </conditionalFormatting>
  <conditionalFormatting sqref="S830">
    <cfRule type="cellIs" dxfId="0" priority="4756" operator="equal">
      <formula>"欠"</formula>
    </cfRule>
  </conditionalFormatting>
  <conditionalFormatting sqref="T830:U830">
    <cfRule type="containsText" dxfId="0" priority="4712" operator="between" text="欠">
      <formula>NOT(ISERROR(SEARCH("欠",T830)))</formula>
    </cfRule>
    <cfRule type="cellIs" dxfId="0" priority="4734" operator="equal">
      <formula>"欠"</formula>
    </cfRule>
  </conditionalFormatting>
  <conditionalFormatting sqref="AK830">
    <cfRule type="cellIs" dxfId="1" priority="4800" operator="equal">
      <formula>"未完成"</formula>
    </cfRule>
    <cfRule type="cellIs" dxfId="0" priority="4822" operator="equal">
      <formula>"未完成"</formula>
    </cfRule>
  </conditionalFormatting>
  <conditionalFormatting sqref="AL830">
    <cfRule type="cellIs" dxfId="0" priority="4778" operator="equal">
      <formula>"欠"</formula>
    </cfRule>
  </conditionalFormatting>
  <conditionalFormatting sqref="Q831">
    <cfRule type="cellIs" dxfId="0" priority="4843" operator="equal">
      <formula>"欠"</formula>
    </cfRule>
  </conditionalFormatting>
  <conditionalFormatting sqref="R831">
    <cfRule type="containsText" dxfId="0" priority="4865" operator="between" text="欠">
      <formula>NOT(ISERROR(SEARCH("欠",R831)))</formula>
    </cfRule>
    <cfRule type="cellIs" dxfId="0" priority="4887" operator="equal">
      <formula>"欠"</formula>
    </cfRule>
  </conditionalFormatting>
  <conditionalFormatting sqref="S831">
    <cfRule type="cellIs" dxfId="0" priority="4755" operator="equal">
      <formula>"欠"</formula>
    </cfRule>
  </conditionalFormatting>
  <conditionalFormatting sqref="T831:U831">
    <cfRule type="containsText" dxfId="0" priority="4711" operator="between" text="欠">
      <formula>NOT(ISERROR(SEARCH("欠",T831)))</formula>
    </cfRule>
    <cfRule type="cellIs" dxfId="0" priority="4733" operator="equal">
      <formula>"欠"</formula>
    </cfRule>
  </conditionalFormatting>
  <conditionalFormatting sqref="AK831">
    <cfRule type="cellIs" dxfId="1" priority="4799" operator="equal">
      <formula>"未完成"</formula>
    </cfRule>
    <cfRule type="cellIs" dxfId="0" priority="4821" operator="equal">
      <formula>"未完成"</formula>
    </cfRule>
  </conditionalFormatting>
  <conditionalFormatting sqref="AL831">
    <cfRule type="cellIs" dxfId="0" priority="4777" operator="equal">
      <formula>"欠"</formula>
    </cfRule>
  </conditionalFormatting>
  <conditionalFormatting sqref="Q832">
    <cfRule type="cellIs" dxfId="0" priority="4842" operator="equal">
      <formula>"欠"</formula>
    </cfRule>
  </conditionalFormatting>
  <conditionalFormatting sqref="R832">
    <cfRule type="containsText" dxfId="0" priority="4864" operator="between" text="欠">
      <formula>NOT(ISERROR(SEARCH("欠",R832)))</formula>
    </cfRule>
    <cfRule type="cellIs" dxfId="0" priority="4886" operator="equal">
      <formula>"欠"</formula>
    </cfRule>
  </conditionalFormatting>
  <conditionalFormatting sqref="S832">
    <cfRule type="cellIs" dxfId="0" priority="4754" operator="equal">
      <formula>"欠"</formula>
    </cfRule>
  </conditionalFormatting>
  <conditionalFormatting sqref="T832:U832">
    <cfRule type="containsText" dxfId="0" priority="4710" operator="between" text="欠">
      <formula>NOT(ISERROR(SEARCH("欠",T832)))</formula>
    </cfRule>
    <cfRule type="cellIs" dxfId="0" priority="4732" operator="equal">
      <formula>"欠"</formula>
    </cfRule>
  </conditionalFormatting>
  <conditionalFormatting sqref="AK832">
    <cfRule type="cellIs" dxfId="1" priority="4798" operator="equal">
      <formula>"未完成"</formula>
    </cfRule>
    <cfRule type="cellIs" dxfId="0" priority="4820" operator="equal">
      <formula>"未完成"</formula>
    </cfRule>
  </conditionalFormatting>
  <conditionalFormatting sqref="AL832">
    <cfRule type="cellIs" dxfId="0" priority="4776" operator="equal">
      <formula>"欠"</formula>
    </cfRule>
  </conditionalFormatting>
  <conditionalFormatting sqref="Q833">
    <cfRule type="cellIs" dxfId="0" priority="4841" operator="equal">
      <formula>"欠"</formula>
    </cfRule>
  </conditionalFormatting>
  <conditionalFormatting sqref="R833">
    <cfRule type="containsText" dxfId="0" priority="4863" operator="between" text="欠">
      <formula>NOT(ISERROR(SEARCH("欠",R833)))</formula>
    </cfRule>
    <cfRule type="cellIs" dxfId="0" priority="4885" operator="equal">
      <formula>"欠"</formula>
    </cfRule>
  </conditionalFormatting>
  <conditionalFormatting sqref="S833">
    <cfRule type="cellIs" dxfId="0" priority="4753" operator="equal">
      <formula>"欠"</formula>
    </cfRule>
  </conditionalFormatting>
  <conditionalFormatting sqref="T833:U833">
    <cfRule type="containsText" dxfId="0" priority="4709" operator="between" text="欠">
      <formula>NOT(ISERROR(SEARCH("欠",T833)))</formula>
    </cfRule>
    <cfRule type="cellIs" dxfId="0" priority="4731" operator="equal">
      <formula>"欠"</formula>
    </cfRule>
  </conditionalFormatting>
  <conditionalFormatting sqref="AK833">
    <cfRule type="cellIs" dxfId="1" priority="4797" operator="equal">
      <formula>"未完成"</formula>
    </cfRule>
    <cfRule type="cellIs" dxfId="0" priority="4819" operator="equal">
      <formula>"未完成"</formula>
    </cfRule>
  </conditionalFormatting>
  <conditionalFormatting sqref="AL833">
    <cfRule type="cellIs" dxfId="0" priority="4775" operator="equal">
      <formula>"欠"</formula>
    </cfRule>
  </conditionalFormatting>
  <conditionalFormatting sqref="Q834">
    <cfRule type="cellIs" dxfId="0" priority="4840" operator="equal">
      <formula>"欠"</formula>
    </cfRule>
  </conditionalFormatting>
  <conditionalFormatting sqref="R834">
    <cfRule type="containsText" dxfId="0" priority="4862" operator="between" text="欠">
      <formula>NOT(ISERROR(SEARCH("欠",R834)))</formula>
    </cfRule>
    <cfRule type="cellIs" dxfId="0" priority="4884" operator="equal">
      <formula>"欠"</formula>
    </cfRule>
  </conditionalFormatting>
  <conditionalFormatting sqref="S834">
    <cfRule type="cellIs" dxfId="0" priority="4752" operator="equal">
      <formula>"欠"</formula>
    </cfRule>
  </conditionalFormatting>
  <conditionalFormatting sqref="T834:U834">
    <cfRule type="containsText" dxfId="0" priority="4708" operator="between" text="欠">
      <formula>NOT(ISERROR(SEARCH("欠",T834)))</formula>
    </cfRule>
    <cfRule type="cellIs" dxfId="0" priority="4730" operator="equal">
      <formula>"欠"</formula>
    </cfRule>
  </conditionalFormatting>
  <conditionalFormatting sqref="AK834">
    <cfRule type="cellIs" dxfId="1" priority="4796" operator="equal">
      <formula>"未完成"</formula>
    </cfRule>
    <cfRule type="cellIs" dxfId="0" priority="4818" operator="equal">
      <formula>"未完成"</formula>
    </cfRule>
  </conditionalFormatting>
  <conditionalFormatting sqref="AL834">
    <cfRule type="cellIs" dxfId="0" priority="4774" operator="equal">
      <formula>"欠"</formula>
    </cfRule>
  </conditionalFormatting>
  <conditionalFormatting sqref="Q835">
    <cfRule type="cellIs" dxfId="0" priority="4839" operator="equal">
      <formula>"欠"</formula>
    </cfRule>
  </conditionalFormatting>
  <conditionalFormatting sqref="R835">
    <cfRule type="containsText" dxfId="0" priority="4861" operator="between" text="欠">
      <formula>NOT(ISERROR(SEARCH("欠",R835)))</formula>
    </cfRule>
    <cfRule type="cellIs" dxfId="0" priority="4883" operator="equal">
      <formula>"欠"</formula>
    </cfRule>
  </conditionalFormatting>
  <conditionalFormatting sqref="S835">
    <cfRule type="cellIs" dxfId="0" priority="4751" operator="equal">
      <formula>"欠"</formula>
    </cfRule>
  </conditionalFormatting>
  <conditionalFormatting sqref="T835:U835">
    <cfRule type="containsText" dxfId="0" priority="4707" operator="between" text="欠">
      <formula>NOT(ISERROR(SEARCH("欠",T835)))</formula>
    </cfRule>
    <cfRule type="cellIs" dxfId="0" priority="4729" operator="equal">
      <formula>"欠"</formula>
    </cfRule>
  </conditionalFormatting>
  <conditionalFormatting sqref="AK835">
    <cfRule type="cellIs" dxfId="1" priority="4795" operator="equal">
      <formula>"未完成"</formula>
    </cfRule>
    <cfRule type="cellIs" dxfId="0" priority="4817" operator="equal">
      <formula>"未完成"</formula>
    </cfRule>
  </conditionalFormatting>
  <conditionalFormatting sqref="AL835">
    <cfRule type="cellIs" dxfId="0" priority="4773" operator="equal">
      <formula>"欠"</formula>
    </cfRule>
  </conditionalFormatting>
  <conditionalFormatting sqref="Q836">
    <cfRule type="cellIs" dxfId="0" priority="4838" operator="equal">
      <formula>"欠"</formula>
    </cfRule>
  </conditionalFormatting>
  <conditionalFormatting sqref="R836">
    <cfRule type="containsText" dxfId="0" priority="4860" operator="between" text="欠">
      <formula>NOT(ISERROR(SEARCH("欠",R836)))</formula>
    </cfRule>
    <cfRule type="cellIs" dxfId="0" priority="4882" operator="equal">
      <formula>"欠"</formula>
    </cfRule>
  </conditionalFormatting>
  <conditionalFormatting sqref="S836">
    <cfRule type="cellIs" dxfId="0" priority="4750" operator="equal">
      <formula>"欠"</formula>
    </cfRule>
  </conditionalFormatting>
  <conditionalFormatting sqref="T836:U836">
    <cfRule type="containsText" dxfId="0" priority="4706" operator="between" text="欠">
      <formula>NOT(ISERROR(SEARCH("欠",T836)))</formula>
    </cfRule>
    <cfRule type="cellIs" dxfId="0" priority="4728" operator="equal">
      <formula>"欠"</formula>
    </cfRule>
  </conditionalFormatting>
  <conditionalFormatting sqref="AK836">
    <cfRule type="cellIs" dxfId="1" priority="4794" operator="equal">
      <formula>"未完成"</formula>
    </cfRule>
    <cfRule type="cellIs" dxfId="0" priority="4816" operator="equal">
      <formula>"未完成"</formula>
    </cfRule>
  </conditionalFormatting>
  <conditionalFormatting sqref="AL836">
    <cfRule type="cellIs" dxfId="0" priority="4772" operator="equal">
      <formula>"欠"</formula>
    </cfRule>
  </conditionalFormatting>
  <conditionalFormatting sqref="Q837">
    <cfRule type="cellIs" dxfId="0" priority="4837" operator="equal">
      <formula>"欠"</formula>
    </cfRule>
  </conditionalFormatting>
  <conditionalFormatting sqref="R837">
    <cfRule type="containsText" dxfId="0" priority="4859" operator="between" text="欠">
      <formula>NOT(ISERROR(SEARCH("欠",R837)))</formula>
    </cfRule>
    <cfRule type="cellIs" dxfId="0" priority="4881" operator="equal">
      <formula>"欠"</formula>
    </cfRule>
  </conditionalFormatting>
  <conditionalFormatting sqref="S837">
    <cfRule type="cellIs" dxfId="0" priority="4749" operator="equal">
      <formula>"欠"</formula>
    </cfRule>
  </conditionalFormatting>
  <conditionalFormatting sqref="T837:U837">
    <cfRule type="containsText" dxfId="0" priority="4705" operator="between" text="欠">
      <formula>NOT(ISERROR(SEARCH("欠",T837)))</formula>
    </cfRule>
    <cfRule type="cellIs" dxfId="0" priority="4727" operator="equal">
      <formula>"欠"</formula>
    </cfRule>
  </conditionalFormatting>
  <conditionalFormatting sqref="AK837">
    <cfRule type="cellIs" dxfId="1" priority="4793" operator="equal">
      <formula>"未完成"</formula>
    </cfRule>
    <cfRule type="cellIs" dxfId="0" priority="4815" operator="equal">
      <formula>"未完成"</formula>
    </cfRule>
  </conditionalFormatting>
  <conditionalFormatting sqref="AL837">
    <cfRule type="cellIs" dxfId="0" priority="4771" operator="equal">
      <formula>"欠"</formula>
    </cfRule>
  </conditionalFormatting>
  <conditionalFormatting sqref="Q838">
    <cfRule type="cellIs" dxfId="0" priority="4836" operator="equal">
      <formula>"欠"</formula>
    </cfRule>
  </conditionalFormatting>
  <conditionalFormatting sqref="R838">
    <cfRule type="containsText" dxfId="0" priority="4858" operator="between" text="欠">
      <formula>NOT(ISERROR(SEARCH("欠",R838)))</formula>
    </cfRule>
    <cfRule type="cellIs" dxfId="0" priority="4880" operator="equal">
      <formula>"欠"</formula>
    </cfRule>
  </conditionalFormatting>
  <conditionalFormatting sqref="S838">
    <cfRule type="cellIs" dxfId="0" priority="4748" operator="equal">
      <formula>"欠"</formula>
    </cfRule>
  </conditionalFormatting>
  <conditionalFormatting sqref="T838:U838">
    <cfRule type="containsText" dxfId="0" priority="4704" operator="between" text="欠">
      <formula>NOT(ISERROR(SEARCH("欠",T838)))</formula>
    </cfRule>
    <cfRule type="cellIs" dxfId="0" priority="4726" operator="equal">
      <formula>"欠"</formula>
    </cfRule>
  </conditionalFormatting>
  <conditionalFormatting sqref="AK838">
    <cfRule type="cellIs" dxfId="1" priority="4792" operator="equal">
      <formula>"未完成"</formula>
    </cfRule>
    <cfRule type="cellIs" dxfId="0" priority="4814" operator="equal">
      <formula>"未完成"</formula>
    </cfRule>
  </conditionalFormatting>
  <conditionalFormatting sqref="AL838">
    <cfRule type="cellIs" dxfId="0" priority="4770" operator="equal">
      <formula>"欠"</formula>
    </cfRule>
  </conditionalFormatting>
  <conditionalFormatting sqref="Q839">
    <cfRule type="cellIs" dxfId="0" priority="4835" operator="equal">
      <formula>"欠"</formula>
    </cfRule>
  </conditionalFormatting>
  <conditionalFormatting sqref="R839">
    <cfRule type="containsText" dxfId="0" priority="4857" operator="between" text="欠">
      <formula>NOT(ISERROR(SEARCH("欠",R839)))</formula>
    </cfRule>
    <cfRule type="cellIs" dxfId="0" priority="4879" operator="equal">
      <formula>"欠"</formula>
    </cfRule>
  </conditionalFormatting>
  <conditionalFormatting sqref="S839">
    <cfRule type="cellIs" dxfId="0" priority="4747" operator="equal">
      <formula>"欠"</formula>
    </cfRule>
  </conditionalFormatting>
  <conditionalFormatting sqref="AK839">
    <cfRule type="cellIs" dxfId="1" priority="4791" operator="equal">
      <formula>"未完成"</formula>
    </cfRule>
    <cfRule type="cellIs" dxfId="0" priority="4813" operator="equal">
      <formula>"未完成"</formula>
    </cfRule>
  </conditionalFormatting>
  <conditionalFormatting sqref="AL839">
    <cfRule type="cellIs" dxfId="0" priority="4769" operator="equal">
      <formula>"欠"</formula>
    </cfRule>
  </conditionalFormatting>
  <conditionalFormatting sqref="Q840">
    <cfRule type="cellIs" dxfId="0" priority="4834" operator="equal">
      <formula>"欠"</formula>
    </cfRule>
  </conditionalFormatting>
  <conditionalFormatting sqref="R840">
    <cfRule type="containsText" dxfId="0" priority="4856" operator="between" text="欠">
      <formula>NOT(ISERROR(SEARCH("欠",R840)))</formula>
    </cfRule>
    <cfRule type="cellIs" dxfId="0" priority="4878" operator="equal">
      <formula>"欠"</formula>
    </cfRule>
  </conditionalFormatting>
  <conditionalFormatting sqref="S840">
    <cfRule type="cellIs" dxfId="0" priority="4746" operator="equal">
      <formula>"欠"</formula>
    </cfRule>
  </conditionalFormatting>
  <conditionalFormatting sqref="AK840">
    <cfRule type="cellIs" dxfId="1" priority="4790" operator="equal">
      <formula>"未完成"</formula>
    </cfRule>
    <cfRule type="cellIs" dxfId="0" priority="4812" operator="equal">
      <formula>"未完成"</formula>
    </cfRule>
  </conditionalFormatting>
  <conditionalFormatting sqref="AL840">
    <cfRule type="cellIs" dxfId="0" priority="4768" operator="equal">
      <formula>"欠"</formula>
    </cfRule>
  </conditionalFormatting>
  <conditionalFormatting sqref="Q841">
    <cfRule type="cellIs" dxfId="0" priority="4833" operator="equal">
      <formula>"欠"</formula>
    </cfRule>
  </conditionalFormatting>
  <conditionalFormatting sqref="R841">
    <cfRule type="containsText" dxfId="0" priority="4855" operator="between" text="欠">
      <formula>NOT(ISERROR(SEARCH("欠",R841)))</formula>
    </cfRule>
    <cfRule type="cellIs" dxfId="0" priority="4877" operator="equal">
      <formula>"欠"</formula>
    </cfRule>
  </conditionalFormatting>
  <conditionalFormatting sqref="S841">
    <cfRule type="cellIs" dxfId="0" priority="4745" operator="equal">
      <formula>"欠"</formula>
    </cfRule>
  </conditionalFormatting>
  <conditionalFormatting sqref="AK841">
    <cfRule type="cellIs" dxfId="1" priority="4789" operator="equal">
      <formula>"未完成"</formula>
    </cfRule>
    <cfRule type="cellIs" dxfId="0" priority="4811" operator="equal">
      <formula>"未完成"</formula>
    </cfRule>
  </conditionalFormatting>
  <conditionalFormatting sqref="AL841">
    <cfRule type="cellIs" dxfId="0" priority="4767" operator="equal">
      <formula>"欠"</formula>
    </cfRule>
  </conditionalFormatting>
  <conditionalFormatting sqref="Q842">
    <cfRule type="cellIs" dxfId="0" priority="4832" operator="equal">
      <formula>"欠"</formula>
    </cfRule>
  </conditionalFormatting>
  <conditionalFormatting sqref="R842">
    <cfRule type="containsText" dxfId="0" priority="4854" operator="between" text="欠">
      <formula>NOT(ISERROR(SEARCH("欠",R842)))</formula>
    </cfRule>
    <cfRule type="cellIs" dxfId="0" priority="4876" operator="equal">
      <formula>"欠"</formula>
    </cfRule>
  </conditionalFormatting>
  <conditionalFormatting sqref="S842">
    <cfRule type="cellIs" dxfId="0" priority="4744" operator="equal">
      <formula>"欠"</formula>
    </cfRule>
  </conditionalFormatting>
  <conditionalFormatting sqref="AK842">
    <cfRule type="cellIs" dxfId="1" priority="4788" operator="equal">
      <formula>"未完成"</formula>
    </cfRule>
    <cfRule type="cellIs" dxfId="0" priority="4810" operator="equal">
      <formula>"未完成"</formula>
    </cfRule>
  </conditionalFormatting>
  <conditionalFormatting sqref="AL842">
    <cfRule type="cellIs" dxfId="0" priority="4766" operator="equal">
      <formula>"欠"</formula>
    </cfRule>
  </conditionalFormatting>
  <conditionalFormatting sqref="Q843">
    <cfRule type="cellIs" dxfId="0" priority="4831" operator="equal">
      <formula>"欠"</formula>
    </cfRule>
  </conditionalFormatting>
  <conditionalFormatting sqref="R843">
    <cfRule type="containsText" dxfId="0" priority="4853" operator="between" text="欠">
      <formula>NOT(ISERROR(SEARCH("欠",R843)))</formula>
    </cfRule>
    <cfRule type="cellIs" dxfId="0" priority="4875" operator="equal">
      <formula>"欠"</formula>
    </cfRule>
  </conditionalFormatting>
  <conditionalFormatting sqref="S843">
    <cfRule type="cellIs" dxfId="0" priority="4743" operator="equal">
      <formula>"欠"</formula>
    </cfRule>
  </conditionalFormatting>
  <conditionalFormatting sqref="AK843">
    <cfRule type="cellIs" dxfId="1" priority="4787" operator="equal">
      <formula>"未完成"</formula>
    </cfRule>
    <cfRule type="cellIs" dxfId="0" priority="4809" operator="equal">
      <formula>"未完成"</formula>
    </cfRule>
  </conditionalFormatting>
  <conditionalFormatting sqref="AL843">
    <cfRule type="cellIs" dxfId="0" priority="4765" operator="equal">
      <formula>"欠"</formula>
    </cfRule>
  </conditionalFormatting>
  <conditionalFormatting sqref="Q844">
    <cfRule type="cellIs" dxfId="0" priority="4830" operator="equal">
      <formula>"欠"</formula>
    </cfRule>
  </conditionalFormatting>
  <conditionalFormatting sqref="R844">
    <cfRule type="containsText" dxfId="0" priority="4852" operator="between" text="欠">
      <formula>NOT(ISERROR(SEARCH("欠",R844)))</formula>
    </cfRule>
    <cfRule type="cellIs" dxfId="0" priority="4874" operator="equal">
      <formula>"欠"</formula>
    </cfRule>
  </conditionalFormatting>
  <conditionalFormatting sqref="S844">
    <cfRule type="cellIs" dxfId="0" priority="4742" operator="equal">
      <formula>"欠"</formula>
    </cfRule>
  </conditionalFormatting>
  <conditionalFormatting sqref="AK844">
    <cfRule type="cellIs" dxfId="1" priority="4786" operator="equal">
      <formula>"未完成"</formula>
    </cfRule>
    <cfRule type="cellIs" dxfId="0" priority="4808" operator="equal">
      <formula>"未完成"</formula>
    </cfRule>
  </conditionalFormatting>
  <conditionalFormatting sqref="AL844">
    <cfRule type="cellIs" dxfId="0" priority="4764" operator="equal">
      <formula>"欠"</formula>
    </cfRule>
  </conditionalFormatting>
  <conditionalFormatting sqref="Q845">
    <cfRule type="cellIs" dxfId="0" priority="4829" operator="equal">
      <formula>"欠"</formula>
    </cfRule>
  </conditionalFormatting>
  <conditionalFormatting sqref="R845">
    <cfRule type="containsText" dxfId="0" priority="4851" operator="between" text="欠">
      <formula>NOT(ISERROR(SEARCH("欠",R845)))</formula>
    </cfRule>
    <cfRule type="cellIs" dxfId="0" priority="4873" operator="equal">
      <formula>"欠"</formula>
    </cfRule>
  </conditionalFormatting>
  <conditionalFormatting sqref="S845">
    <cfRule type="cellIs" dxfId="0" priority="4741" operator="equal">
      <formula>"欠"</formula>
    </cfRule>
  </conditionalFormatting>
  <conditionalFormatting sqref="AK845">
    <cfRule type="cellIs" dxfId="1" priority="4785" operator="equal">
      <formula>"未完成"</formula>
    </cfRule>
    <cfRule type="cellIs" dxfId="0" priority="4807" operator="equal">
      <formula>"未完成"</formula>
    </cfRule>
  </conditionalFormatting>
  <conditionalFormatting sqref="AL845">
    <cfRule type="cellIs" dxfId="0" priority="4763" operator="equal">
      <formula>"欠"</formula>
    </cfRule>
  </conditionalFormatting>
  <conditionalFormatting sqref="Q846">
    <cfRule type="cellIs" dxfId="0" priority="4828" operator="equal">
      <formula>"欠"</formula>
    </cfRule>
  </conditionalFormatting>
  <conditionalFormatting sqref="R846">
    <cfRule type="containsText" dxfId="0" priority="4850" operator="between" text="欠">
      <formula>NOT(ISERROR(SEARCH("欠",R846)))</formula>
    </cfRule>
    <cfRule type="cellIs" dxfId="0" priority="4872" operator="equal">
      <formula>"欠"</formula>
    </cfRule>
  </conditionalFormatting>
  <conditionalFormatting sqref="S846">
    <cfRule type="cellIs" dxfId="0" priority="4740" operator="equal">
      <formula>"欠"</formula>
    </cfRule>
  </conditionalFormatting>
  <conditionalFormatting sqref="T846:U846">
    <cfRule type="containsText" dxfId="0" priority="4696" operator="between" text="欠">
      <formula>NOT(ISERROR(SEARCH("欠",T846)))</formula>
    </cfRule>
    <cfRule type="cellIs" dxfId="0" priority="4718" operator="equal">
      <formula>"欠"</formula>
    </cfRule>
  </conditionalFormatting>
  <conditionalFormatting sqref="AK846">
    <cfRule type="cellIs" dxfId="1" priority="4784" operator="equal">
      <formula>"未完成"</formula>
    </cfRule>
    <cfRule type="cellIs" dxfId="0" priority="4806" operator="equal">
      <formula>"未完成"</formula>
    </cfRule>
  </conditionalFormatting>
  <conditionalFormatting sqref="AL846">
    <cfRule type="cellIs" dxfId="0" priority="4762" operator="equal">
      <formula>"欠"</formula>
    </cfRule>
  </conditionalFormatting>
  <conditionalFormatting sqref="Q847">
    <cfRule type="cellIs" dxfId="0" priority="4827" operator="equal">
      <formula>"欠"</formula>
    </cfRule>
  </conditionalFormatting>
  <conditionalFormatting sqref="R847">
    <cfRule type="containsText" dxfId="0" priority="4849" operator="between" text="欠">
      <formula>NOT(ISERROR(SEARCH("欠",R847)))</formula>
    </cfRule>
    <cfRule type="cellIs" dxfId="0" priority="4871" operator="equal">
      <formula>"欠"</formula>
    </cfRule>
  </conditionalFormatting>
  <conditionalFormatting sqref="S847">
    <cfRule type="cellIs" dxfId="0" priority="4739" operator="equal">
      <formula>"欠"</formula>
    </cfRule>
  </conditionalFormatting>
  <conditionalFormatting sqref="T847:U847">
    <cfRule type="containsText" dxfId="0" priority="4695" operator="between" text="欠">
      <formula>NOT(ISERROR(SEARCH("欠",T847)))</formula>
    </cfRule>
    <cfRule type="cellIs" dxfId="0" priority="4717" operator="equal">
      <formula>"欠"</formula>
    </cfRule>
  </conditionalFormatting>
  <conditionalFormatting sqref="AK847">
    <cfRule type="cellIs" dxfId="1" priority="4783" operator="equal">
      <formula>"未完成"</formula>
    </cfRule>
    <cfRule type="cellIs" dxfId="0" priority="4805" operator="equal">
      <formula>"未完成"</formula>
    </cfRule>
  </conditionalFormatting>
  <conditionalFormatting sqref="AL847">
    <cfRule type="cellIs" dxfId="0" priority="4761" operator="equal">
      <formula>"欠"</formula>
    </cfRule>
  </conditionalFormatting>
  <conditionalFormatting sqref="Q848">
    <cfRule type="cellIs" dxfId="0" priority="4826" operator="equal">
      <formula>"欠"</formula>
    </cfRule>
  </conditionalFormatting>
  <conditionalFormatting sqref="R848">
    <cfRule type="containsText" dxfId="0" priority="4848" operator="between" text="欠">
      <formula>NOT(ISERROR(SEARCH("欠",R848)))</formula>
    </cfRule>
    <cfRule type="cellIs" dxfId="0" priority="4870" operator="equal">
      <formula>"欠"</formula>
    </cfRule>
  </conditionalFormatting>
  <conditionalFormatting sqref="S848">
    <cfRule type="cellIs" dxfId="0" priority="4738" operator="equal">
      <formula>"欠"</formula>
    </cfRule>
  </conditionalFormatting>
  <conditionalFormatting sqref="T848:U848">
    <cfRule type="containsText" dxfId="0" priority="4694" operator="between" text="欠">
      <formula>NOT(ISERROR(SEARCH("欠",T848)))</formula>
    </cfRule>
    <cfRule type="cellIs" dxfId="0" priority="4716" operator="equal">
      <formula>"欠"</formula>
    </cfRule>
  </conditionalFormatting>
  <conditionalFormatting sqref="AK848">
    <cfRule type="cellIs" dxfId="1" priority="4782" operator="equal">
      <formula>"未完成"</formula>
    </cfRule>
    <cfRule type="cellIs" dxfId="0" priority="4804" operator="equal">
      <formula>"未完成"</formula>
    </cfRule>
  </conditionalFormatting>
  <conditionalFormatting sqref="AL848">
    <cfRule type="cellIs" dxfId="0" priority="4760" operator="equal">
      <formula>"欠"</formula>
    </cfRule>
  </conditionalFormatting>
  <conditionalFormatting sqref="Q849">
    <cfRule type="cellIs" dxfId="0" priority="8164" operator="equal">
      <formula>"欠"</formula>
    </cfRule>
  </conditionalFormatting>
  <conditionalFormatting sqref="V849">
    <cfRule type="cellIs" dxfId="0" priority="8064" operator="equal">
      <formula>"欠"</formula>
    </cfRule>
  </conditionalFormatting>
  <conditionalFormatting sqref="Q850">
    <cfRule type="cellIs" dxfId="0" priority="8163" operator="equal">
      <formula>"欠"</formula>
    </cfRule>
  </conditionalFormatting>
  <conditionalFormatting sqref="V850">
    <cfRule type="cellIs" dxfId="0" priority="8063" operator="equal">
      <formula>"欠"</formula>
    </cfRule>
  </conditionalFormatting>
  <conditionalFormatting sqref="Q851">
    <cfRule type="cellIs" dxfId="0" priority="8162" operator="equal">
      <formula>"欠"</formula>
    </cfRule>
  </conditionalFormatting>
  <conditionalFormatting sqref="V851">
    <cfRule type="cellIs" dxfId="0" priority="8062" operator="equal">
      <formula>"欠"</formula>
    </cfRule>
  </conditionalFormatting>
  <conditionalFormatting sqref="Q852">
    <cfRule type="cellIs" dxfId="0" priority="6330" operator="equal">
      <formula>"欠"</formula>
    </cfRule>
  </conditionalFormatting>
  <conditionalFormatting sqref="R852">
    <cfRule type="containsText" dxfId="0" priority="6321" operator="between" text="欠">
      <formula>NOT(ISERROR(SEARCH("欠",R852)))</formula>
    </cfRule>
    <cfRule type="cellIs" dxfId="0" priority="6322" operator="equal">
      <formula>"欠"</formula>
    </cfRule>
  </conditionalFormatting>
  <conditionalFormatting sqref="S852">
    <cfRule type="cellIs" dxfId="0" priority="6331" operator="equal">
      <formula>"欠"</formula>
    </cfRule>
  </conditionalFormatting>
  <conditionalFormatting sqref="T852:U852">
    <cfRule type="containsText" dxfId="0" priority="6324" operator="between" text="欠">
      <formula>NOT(ISERROR(SEARCH("欠",T852)))</formula>
    </cfRule>
    <cfRule type="cellIs" dxfId="0" priority="6325" operator="equal">
      <formula>"欠"</formula>
    </cfRule>
  </conditionalFormatting>
  <conditionalFormatting sqref="V852">
    <cfRule type="cellIs" dxfId="0" priority="6326" operator="equal">
      <formula>"欠"</formula>
    </cfRule>
  </conditionalFormatting>
  <conditionalFormatting sqref="AK852">
    <cfRule type="cellIs" dxfId="1" priority="6328" operator="equal">
      <formula>"未完成"</formula>
    </cfRule>
    <cfRule type="cellIs" dxfId="0" priority="6329" operator="equal">
      <formula>"未完成"</formula>
    </cfRule>
  </conditionalFormatting>
  <conditionalFormatting sqref="AL852">
    <cfRule type="cellIs" dxfId="0" priority="6327" operator="equal">
      <formula>"欠"</formula>
    </cfRule>
  </conditionalFormatting>
  <conditionalFormatting sqref="Q853">
    <cfRule type="cellIs" dxfId="0" priority="6989" operator="equal">
      <formula>"欠"</formula>
    </cfRule>
  </conditionalFormatting>
  <conditionalFormatting sqref="R853">
    <cfRule type="containsText" dxfId="0" priority="6993" operator="between" text="欠">
      <formula>NOT(ISERROR(SEARCH("欠",R853)))</formula>
    </cfRule>
    <cfRule type="cellIs" dxfId="0" priority="6994" operator="equal">
      <formula>"欠"</formula>
    </cfRule>
  </conditionalFormatting>
  <conditionalFormatting sqref="S853">
    <cfRule type="cellIs" dxfId="0" priority="6990" operator="equal">
      <formula>"欠"</formula>
    </cfRule>
  </conditionalFormatting>
  <conditionalFormatting sqref="V853">
    <cfRule type="cellIs" dxfId="0" priority="6985" operator="equal">
      <formula>"欠"</formula>
    </cfRule>
  </conditionalFormatting>
  <conditionalFormatting sqref="AK853">
    <cfRule type="cellIs" dxfId="1" priority="6987" operator="equal">
      <formula>"未完成"</formula>
    </cfRule>
    <cfRule type="cellIs" dxfId="0" priority="6988" operator="equal">
      <formula>"未完成"</formula>
    </cfRule>
  </conditionalFormatting>
  <conditionalFormatting sqref="AL853">
    <cfRule type="cellIs" dxfId="0" priority="6986" operator="equal">
      <formula>"欠"</formula>
    </cfRule>
  </conditionalFormatting>
  <conditionalFormatting sqref="Q865">
    <cfRule type="cellIs" dxfId="0" priority="6297" operator="equal">
      <formula>"欠"</formula>
    </cfRule>
  </conditionalFormatting>
  <conditionalFormatting sqref="R865">
    <cfRule type="containsText" dxfId="0" priority="6288" operator="between" text="欠">
      <formula>NOT(ISERROR(SEARCH("欠",R865)))</formula>
    </cfRule>
    <cfRule type="cellIs" dxfId="0" priority="6292" operator="equal">
      <formula>"欠"</formula>
    </cfRule>
  </conditionalFormatting>
  <conditionalFormatting sqref="V865">
    <cfRule type="cellIs" dxfId="0" priority="6293" operator="equal">
      <formula>"欠"</formula>
    </cfRule>
  </conditionalFormatting>
  <conditionalFormatting sqref="AK865">
    <cfRule type="cellIs" dxfId="1" priority="6295" operator="equal">
      <formula>"未完成"</formula>
    </cfRule>
    <cfRule type="cellIs" dxfId="0" priority="6296" operator="equal">
      <formula>"未完成"</formula>
    </cfRule>
  </conditionalFormatting>
  <conditionalFormatting sqref="AL865">
    <cfRule type="cellIs" dxfId="0" priority="6294" operator="equal">
      <formula>"欠"</formula>
    </cfRule>
  </conditionalFormatting>
  <conditionalFormatting sqref="R866">
    <cfRule type="containsText" dxfId="0" priority="5848" operator="between" text="欠">
      <formula>NOT(ISERROR(SEARCH("欠",R866)))</formula>
    </cfRule>
    <cfRule type="cellIs" dxfId="0" priority="5850" operator="equal">
      <formula>"欠"</formula>
    </cfRule>
  </conditionalFormatting>
  <conditionalFormatting sqref="R869">
    <cfRule type="containsText" dxfId="0" priority="7383" operator="between" text="欠">
      <formula>NOT(ISERROR(SEARCH("欠",R869)))</formula>
    </cfRule>
    <cfRule type="cellIs" dxfId="0" priority="7384" operator="equal">
      <formula>"欠"</formula>
    </cfRule>
  </conditionalFormatting>
  <conditionalFormatting sqref="Q870">
    <cfRule type="cellIs" dxfId="0" priority="6319" operator="equal">
      <formula>"欠"</formula>
    </cfRule>
  </conditionalFormatting>
  <conditionalFormatting sqref="V870">
    <cfRule type="cellIs" dxfId="0" priority="6315" operator="equal">
      <formula>"欠"</formula>
    </cfRule>
  </conditionalFormatting>
  <conditionalFormatting sqref="AK870">
    <cfRule type="cellIs" dxfId="1" priority="6317" operator="equal">
      <formula>"未完成"</formula>
    </cfRule>
    <cfRule type="cellIs" dxfId="0" priority="6318" operator="equal">
      <formula>"未完成"</formula>
    </cfRule>
  </conditionalFormatting>
  <conditionalFormatting sqref="AL870">
    <cfRule type="cellIs" dxfId="0" priority="6316" operator="equal">
      <formula>"欠"</formula>
    </cfRule>
  </conditionalFormatting>
  <conditionalFormatting sqref="Q871">
    <cfRule type="cellIs" dxfId="0" priority="6308" operator="equal">
      <formula>"欠"</formula>
    </cfRule>
  </conditionalFormatting>
  <conditionalFormatting sqref="V871">
    <cfRule type="cellIs" dxfId="0" priority="6304" operator="equal">
      <formula>"欠"</formula>
    </cfRule>
  </conditionalFormatting>
  <conditionalFormatting sqref="AK871">
    <cfRule type="cellIs" dxfId="1" priority="6306" operator="equal">
      <formula>"未完成"</formula>
    </cfRule>
    <cfRule type="cellIs" dxfId="0" priority="6307" operator="equal">
      <formula>"未完成"</formula>
    </cfRule>
  </conditionalFormatting>
  <conditionalFormatting sqref="AL871">
    <cfRule type="cellIs" dxfId="0" priority="6305" operator="equal">
      <formula>"欠"</formula>
    </cfRule>
  </conditionalFormatting>
  <conditionalFormatting sqref="Q873">
    <cfRule type="cellIs" dxfId="0" priority="5834" operator="equal">
      <formula>"欠"</formula>
    </cfRule>
  </conditionalFormatting>
  <conditionalFormatting sqref="AK873">
    <cfRule type="cellIs" dxfId="1" priority="5830" operator="equal">
      <formula>"未完成"</formula>
    </cfRule>
    <cfRule type="cellIs" dxfId="0" priority="5832" operator="equal">
      <formula>"未完成"</formula>
    </cfRule>
  </conditionalFormatting>
  <conditionalFormatting sqref="AL873">
    <cfRule type="cellIs" dxfId="0" priority="5828" operator="equal">
      <formula>"欠"</formula>
    </cfRule>
  </conditionalFormatting>
  <conditionalFormatting sqref="Q874">
    <cfRule type="cellIs" dxfId="0" priority="5833" operator="equal">
      <formula>"欠"</formula>
    </cfRule>
  </conditionalFormatting>
  <conditionalFormatting sqref="AK874">
    <cfRule type="cellIs" dxfId="1" priority="5829" operator="equal">
      <formula>"未完成"</formula>
    </cfRule>
    <cfRule type="cellIs" dxfId="0" priority="5831" operator="equal">
      <formula>"未完成"</formula>
    </cfRule>
  </conditionalFormatting>
  <conditionalFormatting sqref="AL874">
    <cfRule type="cellIs" dxfId="0" priority="5827" operator="equal">
      <formula>"欠"</formula>
    </cfRule>
  </conditionalFormatting>
  <conditionalFormatting sqref="Q875">
    <cfRule type="cellIs" dxfId="0" priority="5818" operator="equal">
      <formula>"欠"</formula>
    </cfRule>
  </conditionalFormatting>
  <conditionalFormatting sqref="R875">
    <cfRule type="containsText" dxfId="0" priority="5802" operator="between" text="欠">
      <formula>NOT(ISERROR(SEARCH("欠",R875)))</formula>
    </cfRule>
    <cfRule type="cellIs" dxfId="0" priority="5804" operator="equal">
      <formula>"欠"</formula>
    </cfRule>
  </conditionalFormatting>
  <conditionalFormatting sqref="S875">
    <cfRule type="cellIs" dxfId="0" priority="5820" operator="equal">
      <formula>"欠"</formula>
    </cfRule>
  </conditionalFormatting>
  <conditionalFormatting sqref="T875:U875">
    <cfRule type="containsText" dxfId="0" priority="5806" operator="between" text="欠">
      <formula>NOT(ISERROR(SEARCH("欠",T875)))</formula>
    </cfRule>
    <cfRule type="cellIs" dxfId="0" priority="5808" operator="equal">
      <formula>"欠"</formula>
    </cfRule>
  </conditionalFormatting>
  <conditionalFormatting sqref="V875">
    <cfRule type="cellIs" dxfId="0" priority="5810" operator="equal">
      <formula>"欠"</formula>
    </cfRule>
  </conditionalFormatting>
  <conditionalFormatting sqref="AK875">
    <cfRule type="cellIs" dxfId="1" priority="5814" operator="equal">
      <formula>"未完成"</formula>
    </cfRule>
    <cfRule type="cellIs" dxfId="0" priority="5816" operator="equal">
      <formula>"未完成"</formula>
    </cfRule>
  </conditionalFormatting>
  <conditionalFormatting sqref="AL875">
    <cfRule type="cellIs" dxfId="0" priority="5812" operator="equal">
      <formula>"欠"</formula>
    </cfRule>
  </conditionalFormatting>
  <conditionalFormatting sqref="Q876">
    <cfRule type="cellIs" dxfId="0" priority="5817" operator="equal">
      <formula>"欠"</formula>
    </cfRule>
  </conditionalFormatting>
  <conditionalFormatting sqref="R876">
    <cfRule type="containsText" dxfId="0" priority="5801" operator="between" text="欠">
      <formula>NOT(ISERROR(SEARCH("欠",R876)))</formula>
    </cfRule>
    <cfRule type="cellIs" dxfId="0" priority="5803" operator="equal">
      <formula>"欠"</formula>
    </cfRule>
  </conditionalFormatting>
  <conditionalFormatting sqref="T876:U876">
    <cfRule type="containsText" dxfId="0" priority="5805" operator="between" text="欠">
      <formula>NOT(ISERROR(SEARCH("欠",T876)))</formula>
    </cfRule>
    <cfRule type="cellIs" dxfId="0" priority="5807" operator="equal">
      <formula>"欠"</formula>
    </cfRule>
  </conditionalFormatting>
  <conditionalFormatting sqref="V876">
    <cfRule type="cellIs" dxfId="0" priority="5809" operator="equal">
      <formula>"欠"</formula>
    </cfRule>
  </conditionalFormatting>
  <conditionalFormatting sqref="AK876">
    <cfRule type="cellIs" dxfId="1" priority="5813" operator="equal">
      <formula>"未完成"</formula>
    </cfRule>
    <cfRule type="cellIs" dxfId="0" priority="5815" operator="equal">
      <formula>"未完成"</formula>
    </cfRule>
  </conditionalFormatting>
  <conditionalFormatting sqref="AL876">
    <cfRule type="cellIs" dxfId="0" priority="5811" operator="equal">
      <formula>"欠"</formula>
    </cfRule>
  </conditionalFormatting>
  <conditionalFormatting sqref="Q877">
    <cfRule type="cellIs" dxfId="0" priority="6341" operator="equal">
      <formula>"欠"</formula>
    </cfRule>
  </conditionalFormatting>
  <conditionalFormatting sqref="R877">
    <cfRule type="containsText" dxfId="0" priority="6332" operator="between" text="欠">
      <formula>NOT(ISERROR(SEARCH("欠",R877)))</formula>
    </cfRule>
    <cfRule type="cellIs" dxfId="0" priority="6333" operator="equal">
      <formula>"欠"</formula>
    </cfRule>
  </conditionalFormatting>
  <conditionalFormatting sqref="T877:U877">
    <cfRule type="containsText" dxfId="0" priority="6335" operator="between" text="欠">
      <formula>NOT(ISERROR(SEARCH("欠",T877)))</formula>
    </cfRule>
    <cfRule type="cellIs" dxfId="0" priority="6336" operator="equal">
      <formula>"欠"</formula>
    </cfRule>
  </conditionalFormatting>
  <conditionalFormatting sqref="V877">
    <cfRule type="cellIs" dxfId="0" priority="6337" operator="equal">
      <formula>"欠"</formula>
    </cfRule>
  </conditionalFormatting>
  <conditionalFormatting sqref="AK877">
    <cfRule type="cellIs" dxfId="1" priority="6339" operator="equal">
      <formula>"未完成"</formula>
    </cfRule>
    <cfRule type="cellIs" dxfId="0" priority="6340" operator="equal">
      <formula>"未完成"</formula>
    </cfRule>
  </conditionalFormatting>
  <conditionalFormatting sqref="AL877">
    <cfRule type="cellIs" dxfId="0" priority="6338" operator="equal">
      <formula>"欠"</formula>
    </cfRule>
  </conditionalFormatting>
  <conditionalFormatting sqref="Q878">
    <cfRule type="cellIs" dxfId="0" priority="5845" operator="equal">
      <formula>"欠"</formula>
    </cfRule>
  </conditionalFormatting>
  <conditionalFormatting sqref="R878">
    <cfRule type="containsText" dxfId="0" priority="5839" operator="between" text="欠">
      <formula>NOT(ISERROR(SEARCH("欠",R878)))</formula>
    </cfRule>
    <cfRule type="cellIs" dxfId="0" priority="5840" operator="equal">
      <formula>"欠"</formula>
    </cfRule>
  </conditionalFormatting>
  <conditionalFormatting sqref="T878:U878">
    <cfRule type="containsText" dxfId="0" priority="5841" operator="between" text="欠">
      <formula>NOT(ISERROR(SEARCH("欠",T878)))</formula>
    </cfRule>
    <cfRule type="cellIs" dxfId="0" priority="5846" operator="equal">
      <formula>"欠"</formula>
    </cfRule>
  </conditionalFormatting>
  <conditionalFormatting sqref="AK878">
    <cfRule type="cellIs" dxfId="1" priority="5843" operator="equal">
      <formula>"未完成"</formula>
    </cfRule>
    <cfRule type="cellIs" dxfId="0" priority="5844" operator="equal">
      <formula>"未完成"</formula>
    </cfRule>
  </conditionalFormatting>
  <conditionalFormatting sqref="AL878">
    <cfRule type="cellIs" dxfId="0" priority="5842" operator="equal">
      <formula>"欠"</formula>
    </cfRule>
  </conditionalFormatting>
  <conditionalFormatting sqref="AH882">
    <cfRule type="cellIs" dxfId="0" priority="5095" operator="equal">
      <formula>"未完成"</formula>
    </cfRule>
  </conditionalFormatting>
  <conditionalFormatting sqref="Q883">
    <cfRule type="cellIs" dxfId="0" priority="5882" operator="equal">
      <formula>"欠"</formula>
    </cfRule>
  </conditionalFormatting>
  <conditionalFormatting sqref="V883">
    <cfRule type="cellIs" dxfId="0" priority="5878" operator="equal">
      <formula>"欠"</formula>
    </cfRule>
  </conditionalFormatting>
  <conditionalFormatting sqref="AK883">
    <cfRule type="cellIs" dxfId="1" priority="5880" operator="equal">
      <formula>"未完成"</formula>
    </cfRule>
    <cfRule type="cellIs" dxfId="0" priority="5881" operator="equal">
      <formula>"未完成"</formula>
    </cfRule>
  </conditionalFormatting>
  <conditionalFormatting sqref="AL883">
    <cfRule type="cellIs" dxfId="0" priority="5879" operator="equal">
      <formula>"欠"</formula>
    </cfRule>
  </conditionalFormatting>
  <conditionalFormatting sqref="R884">
    <cfRule type="containsText" dxfId="0" priority="4233" operator="between" text="欠">
      <formula>NOT(ISERROR(SEARCH("欠",R884)))</formula>
    </cfRule>
    <cfRule type="cellIs" dxfId="0" priority="4234" operator="equal">
      <formula>"欠"</formula>
    </cfRule>
  </conditionalFormatting>
  <conditionalFormatting sqref="S884">
    <cfRule type="cellIs" dxfId="0" priority="4237" operator="equal">
      <formula>"欠"</formula>
    </cfRule>
  </conditionalFormatting>
  <conditionalFormatting sqref="T884:U884">
    <cfRule type="containsText" dxfId="0" priority="4235" operator="between" text="欠">
      <formula>NOT(ISERROR(SEARCH("欠",T884)))</formula>
    </cfRule>
    <cfRule type="cellIs" dxfId="0" priority="4236" operator="equal">
      <formula>"欠"</formula>
    </cfRule>
  </conditionalFormatting>
  <conditionalFormatting sqref="Q887">
    <cfRule type="cellIs" dxfId="0" priority="5205" operator="equal">
      <formula>"欠"</formula>
    </cfRule>
  </conditionalFormatting>
  <conditionalFormatting sqref="R887">
    <cfRule type="containsText" dxfId="0" priority="5215" operator="between" text="欠">
      <formula>NOT(ISERROR(SEARCH("欠",R887)))</formula>
    </cfRule>
    <cfRule type="cellIs" dxfId="0" priority="5225" operator="equal">
      <formula>"欠"</formula>
    </cfRule>
  </conditionalFormatting>
  <conditionalFormatting sqref="T887:U887">
    <cfRule type="containsText" dxfId="0" priority="5145" operator="between" text="欠">
      <formula>NOT(ISERROR(SEARCH("欠",T887)))</formula>
    </cfRule>
    <cfRule type="cellIs" dxfId="0" priority="5155" operator="equal">
      <formula>"欠"</formula>
    </cfRule>
  </conditionalFormatting>
  <conditionalFormatting sqref="AK887">
    <cfRule type="cellIs" dxfId="1" priority="5185" operator="equal">
      <formula>"未完成"</formula>
    </cfRule>
    <cfRule type="cellIs" dxfId="0" priority="5195" operator="equal">
      <formula>"未完成"</formula>
    </cfRule>
  </conditionalFormatting>
  <conditionalFormatting sqref="AL887">
    <cfRule type="cellIs" dxfId="0" priority="5175" operator="equal">
      <formula>"欠"</formula>
    </cfRule>
  </conditionalFormatting>
  <conditionalFormatting sqref="R888">
    <cfRule type="containsText" dxfId="0" priority="4225" operator="between" text="欠">
      <formula>NOT(ISERROR(SEARCH("欠",R888)))</formula>
    </cfRule>
    <cfRule type="cellIs" dxfId="0" priority="4226" operator="equal">
      <formula>"欠"</formula>
    </cfRule>
  </conditionalFormatting>
  <conditionalFormatting sqref="S888">
    <cfRule type="cellIs" dxfId="0" priority="4227" operator="equal">
      <formula>"欠"</formula>
    </cfRule>
  </conditionalFormatting>
  <conditionalFormatting sqref="T888:U888">
    <cfRule type="containsText" dxfId="0" priority="4222" operator="between" text="欠">
      <formula>NOT(ISERROR(SEARCH("欠",T888)))</formula>
    </cfRule>
    <cfRule type="containsText" dxfId="2" priority="4223" operator="between" text="欠">
      <formula>NOT(ISERROR(SEARCH("欠",T888)))</formula>
    </cfRule>
    <cfRule type="cellIs" dxfId="0" priority="4224" operator="equal">
      <formula>"欠"</formula>
    </cfRule>
  </conditionalFormatting>
  <conditionalFormatting sqref="Q889">
    <cfRule type="cellIs" dxfId="0" priority="5279" operator="equal">
      <formula>"欠"</formula>
    </cfRule>
  </conditionalFormatting>
  <conditionalFormatting sqref="S889">
    <cfRule type="cellIs" dxfId="0" priority="4204" operator="equal">
      <formula>"欠"</formula>
    </cfRule>
  </conditionalFormatting>
  <conditionalFormatting sqref="T889:U889">
    <cfRule type="containsText" dxfId="0" priority="4201" operator="between" text="欠">
      <formula>NOT(ISERROR(SEARCH("欠",T889)))</formula>
    </cfRule>
    <cfRule type="containsText" dxfId="2" priority="4202" operator="between" text="欠">
      <formula>NOT(ISERROR(SEARCH("欠",T889)))</formula>
    </cfRule>
    <cfRule type="cellIs" dxfId="0" priority="4203" operator="equal">
      <formula>"欠"</formula>
    </cfRule>
  </conditionalFormatting>
  <conditionalFormatting sqref="V889">
    <cfRule type="cellIs" dxfId="0" priority="5275" operator="equal">
      <formula>"欠"</formula>
    </cfRule>
  </conditionalFormatting>
  <conditionalFormatting sqref="AK889">
    <cfRule type="cellIs" dxfId="1" priority="5277" operator="equal">
      <formula>"未完成"</formula>
    </cfRule>
    <cfRule type="cellIs" dxfId="0" priority="5278" operator="equal">
      <formula>"未完成"</formula>
    </cfRule>
  </conditionalFormatting>
  <conditionalFormatting sqref="AL889">
    <cfRule type="cellIs" dxfId="0" priority="5276" operator="equal">
      <formula>"欠"</formula>
    </cfRule>
  </conditionalFormatting>
  <conditionalFormatting sqref="Q892">
    <cfRule type="cellIs" dxfId="0" priority="5770" operator="equal">
      <formula>"欠"</formula>
    </cfRule>
  </conditionalFormatting>
  <conditionalFormatting sqref="R892">
    <cfRule type="containsText" dxfId="0" priority="4179" operator="between" text="欠">
      <formula>NOT(ISERROR(SEARCH("欠",R892)))</formula>
    </cfRule>
    <cfRule type="cellIs" dxfId="0" priority="4182" operator="equal">
      <formula>"欠"</formula>
    </cfRule>
  </conditionalFormatting>
  <conditionalFormatting sqref="S892">
    <cfRule type="cellIs" dxfId="0" priority="4178" operator="equal">
      <formula>"欠"</formula>
    </cfRule>
  </conditionalFormatting>
  <conditionalFormatting sqref="T892:U892">
    <cfRule type="containsText" dxfId="0" priority="4180" operator="between" text="欠">
      <formula>NOT(ISERROR(SEARCH("欠",T892)))</formula>
    </cfRule>
    <cfRule type="cellIs" dxfId="0" priority="4181" operator="equal">
      <formula>"欠"</formula>
    </cfRule>
  </conditionalFormatting>
  <conditionalFormatting sqref="V892">
    <cfRule type="cellIs" dxfId="0" priority="5766" operator="equal">
      <formula>"欠"</formula>
    </cfRule>
  </conditionalFormatting>
  <conditionalFormatting sqref="AK892">
    <cfRule type="cellIs" dxfId="1" priority="5768" operator="equal">
      <formula>"未完成"</formula>
    </cfRule>
    <cfRule type="cellIs" dxfId="0" priority="5769" operator="equal">
      <formula>"未完成"</formula>
    </cfRule>
  </conditionalFormatting>
  <conditionalFormatting sqref="AL892">
    <cfRule type="cellIs" dxfId="0" priority="5767" operator="equal">
      <formula>"欠"</formula>
    </cfRule>
  </conditionalFormatting>
  <conditionalFormatting sqref="Q893">
    <cfRule type="cellIs" dxfId="0" priority="8159" operator="equal">
      <formula>"欠"</formula>
    </cfRule>
  </conditionalFormatting>
  <conditionalFormatting sqref="V893">
    <cfRule type="cellIs" dxfId="0" priority="8059" operator="equal">
      <formula>"欠"</formula>
    </cfRule>
  </conditionalFormatting>
  <conditionalFormatting sqref="R895">
    <cfRule type="containsText" dxfId="0" priority="4228" operator="between" text="欠">
      <formula>NOT(ISERROR(SEARCH("欠",R895)))</formula>
    </cfRule>
    <cfRule type="cellIs" dxfId="0" priority="4229" operator="equal">
      <formula>"欠"</formula>
    </cfRule>
  </conditionalFormatting>
  <conditionalFormatting sqref="S895">
    <cfRule type="cellIs" dxfId="0" priority="4232" operator="equal">
      <formula>"欠"</formula>
    </cfRule>
  </conditionalFormatting>
  <conditionalFormatting sqref="T895:U895">
    <cfRule type="containsText" dxfId="0" priority="4230" operator="between" text="欠">
      <formula>NOT(ISERROR(SEARCH("欠",T895)))</formula>
    </cfRule>
    <cfRule type="cellIs" dxfId="0" priority="4231" operator="equal">
      <formula>"欠"</formula>
    </cfRule>
  </conditionalFormatting>
  <conditionalFormatting sqref="Q897">
    <cfRule type="cellIs" dxfId="0" priority="5780" operator="equal">
      <formula>"欠"</formula>
    </cfRule>
  </conditionalFormatting>
  <conditionalFormatting sqref="R897">
    <cfRule type="containsText" dxfId="0" priority="4183" operator="between" text="欠">
      <formula>NOT(ISERROR(SEARCH("欠",R897)))</formula>
    </cfRule>
    <cfRule type="cellIs" dxfId="0" priority="4184" operator="equal">
      <formula>"欠"</formula>
    </cfRule>
  </conditionalFormatting>
  <conditionalFormatting sqref="T897:U897">
    <cfRule type="containsText" dxfId="0" priority="4185" operator="between" text="欠">
      <formula>NOT(ISERROR(SEARCH("欠",T897)))</formula>
    </cfRule>
    <cfRule type="cellIs" dxfId="0" priority="4186" operator="equal">
      <formula>"欠"</formula>
    </cfRule>
  </conditionalFormatting>
  <conditionalFormatting sqref="V897">
    <cfRule type="cellIs" dxfId="0" priority="5776" operator="equal">
      <formula>"欠"</formula>
    </cfRule>
  </conditionalFormatting>
  <conditionalFormatting sqref="AK897">
    <cfRule type="cellIs" dxfId="1" priority="5778" operator="equal">
      <formula>"未完成"</formula>
    </cfRule>
    <cfRule type="cellIs" dxfId="0" priority="5779" operator="equal">
      <formula>"未完成"</formula>
    </cfRule>
  </conditionalFormatting>
  <conditionalFormatting sqref="AL897">
    <cfRule type="cellIs" dxfId="0" priority="5777" operator="equal">
      <formula>"欠"</formula>
    </cfRule>
  </conditionalFormatting>
  <conditionalFormatting sqref="S909">
    <cfRule type="cellIs" dxfId="0" priority="4131" operator="equal">
      <formula>"欠"</formula>
    </cfRule>
  </conditionalFormatting>
  <conditionalFormatting sqref="T909:U909">
    <cfRule type="containsText" dxfId="0" priority="4127" operator="between" text="欠">
      <formula>NOT(ISERROR(SEARCH("欠",T909)))</formula>
    </cfRule>
    <cfRule type="cellIs" dxfId="0" priority="4129" operator="equal">
      <formula>"欠"</formula>
    </cfRule>
  </conditionalFormatting>
  <conditionalFormatting sqref="Q911">
    <cfRule type="cellIs" dxfId="0" priority="5788" operator="equal">
      <formula>"欠"</formula>
    </cfRule>
  </conditionalFormatting>
  <conditionalFormatting sqref="R911">
    <cfRule type="containsText" dxfId="0" priority="4218" operator="between" text="欠">
      <formula>NOT(ISERROR(SEARCH("欠",R911)))</formula>
    </cfRule>
    <cfRule type="cellIs" dxfId="0" priority="4219" operator="equal">
      <formula>"欠"</formula>
    </cfRule>
  </conditionalFormatting>
  <conditionalFormatting sqref="S911">
    <cfRule type="cellIs" dxfId="0" priority="4217" operator="equal">
      <formula>"欠"</formula>
    </cfRule>
  </conditionalFormatting>
  <conditionalFormatting sqref="T911:U911">
    <cfRule type="containsText" dxfId="0" priority="4210" operator="between" text="欠">
      <formula>NOT(ISERROR(SEARCH("欠",T911)))</formula>
    </cfRule>
    <cfRule type="cellIs" dxfId="0" priority="4211" operator="equal">
      <formula>"欠"</formula>
    </cfRule>
  </conditionalFormatting>
  <conditionalFormatting sqref="AK911">
    <cfRule type="cellIs" dxfId="1" priority="5786" operator="equal">
      <formula>"未完成"</formula>
    </cfRule>
    <cfRule type="cellIs" dxfId="0" priority="5787" operator="equal">
      <formula>"未完成"</formula>
    </cfRule>
  </conditionalFormatting>
  <conditionalFormatting sqref="AL911">
    <cfRule type="cellIs" dxfId="0" priority="5785" operator="equal">
      <formula>"欠"</formula>
    </cfRule>
  </conditionalFormatting>
  <conditionalFormatting sqref="Q914">
    <cfRule type="cellIs" dxfId="0" priority="8157" operator="equal">
      <formula>"欠"</formula>
    </cfRule>
  </conditionalFormatting>
  <conditionalFormatting sqref="V914">
    <cfRule type="cellIs" dxfId="0" priority="8057" operator="equal">
      <formula>"欠"</formula>
    </cfRule>
  </conditionalFormatting>
  <conditionalFormatting sqref="T915:U915">
    <cfRule type="containsText" dxfId="0" priority="4194" operator="between" text="欠">
      <formula>NOT(ISERROR(SEARCH("欠",T915)))</formula>
    </cfRule>
    <cfRule type="containsText" dxfId="2" priority="4195" operator="between" text="欠">
      <formula>NOT(ISERROR(SEARCH("欠",T915)))</formula>
    </cfRule>
    <cfRule type="cellIs" dxfId="0" priority="4196" operator="equal">
      <formula>"欠"</formula>
    </cfRule>
  </conditionalFormatting>
  <conditionalFormatting sqref="Q916">
    <cfRule type="cellIs" dxfId="0" priority="8156" operator="equal">
      <formula>"欠"</formula>
    </cfRule>
  </conditionalFormatting>
  <conditionalFormatting sqref="V916">
    <cfRule type="cellIs" dxfId="0" priority="8056" operator="equal">
      <formula>"欠"</formula>
    </cfRule>
  </conditionalFormatting>
  <conditionalFormatting sqref="Q917">
    <cfRule type="cellIs" dxfId="0" priority="5058" operator="equal">
      <formula>"欠"</formula>
    </cfRule>
  </conditionalFormatting>
  <conditionalFormatting sqref="R917">
    <cfRule type="containsText" dxfId="0" priority="5049" operator="between" text="欠">
      <formula>NOT(ISERROR(SEARCH("欠",R917)))</formula>
    </cfRule>
    <cfRule type="cellIs" dxfId="0" priority="5050" operator="equal">
      <formula>"欠"</formula>
    </cfRule>
  </conditionalFormatting>
  <conditionalFormatting sqref="S917">
    <cfRule type="cellIs" dxfId="0" priority="5053" operator="equal">
      <formula>"欠"</formula>
    </cfRule>
  </conditionalFormatting>
  <conditionalFormatting sqref="T917:U917">
    <cfRule type="containsText" dxfId="0" priority="5051" operator="between" text="欠">
      <formula>NOT(ISERROR(SEARCH("欠",T917)))</formula>
    </cfRule>
    <cfRule type="cellIs" dxfId="0" priority="5052" operator="equal">
      <formula>"欠"</formula>
    </cfRule>
  </conditionalFormatting>
  <conditionalFormatting sqref="V917">
    <cfRule type="cellIs" dxfId="0" priority="5054" operator="equal">
      <formula>"欠"</formula>
    </cfRule>
  </conditionalFormatting>
  <conditionalFormatting sqref="AK917">
    <cfRule type="cellIs" dxfId="1" priority="5056" operator="equal">
      <formula>"未完成"</formula>
    </cfRule>
    <cfRule type="cellIs" dxfId="0" priority="5057" operator="equal">
      <formula>"未完成"</formula>
    </cfRule>
  </conditionalFormatting>
  <conditionalFormatting sqref="AL917">
    <cfRule type="cellIs" dxfId="0" priority="5055" operator="equal">
      <formula>"欠"</formula>
    </cfRule>
  </conditionalFormatting>
  <conditionalFormatting sqref="Q920">
    <cfRule type="cellIs" dxfId="0" priority="5121" operator="equal">
      <formula>"欠"</formula>
    </cfRule>
  </conditionalFormatting>
  <conditionalFormatting sqref="V920">
    <cfRule type="cellIs" dxfId="0" priority="5117" operator="equal">
      <formula>"欠"</formula>
    </cfRule>
  </conditionalFormatting>
  <conditionalFormatting sqref="AK920">
    <cfRule type="cellIs" dxfId="1" priority="5119" operator="equal">
      <formula>"未完成"</formula>
    </cfRule>
    <cfRule type="cellIs" dxfId="0" priority="5120" operator="equal">
      <formula>"未完成"</formula>
    </cfRule>
  </conditionalFormatting>
  <conditionalFormatting sqref="AL920">
    <cfRule type="cellIs" dxfId="0" priority="5118" operator="equal">
      <formula>"欠"</formula>
    </cfRule>
  </conditionalFormatting>
  <conditionalFormatting sqref="S921">
    <cfRule type="cellIs" dxfId="0" priority="4158" operator="equal">
      <formula>"欠"</formula>
    </cfRule>
  </conditionalFormatting>
  <conditionalFormatting sqref="T921:U921">
    <cfRule type="containsText" dxfId="0" priority="4121" operator="between" text="欠">
      <formula>NOT(ISERROR(SEARCH("欠",T921)))</formula>
    </cfRule>
    <cfRule type="containsText" dxfId="2" priority="4122" operator="between" text="欠">
      <formula>NOT(ISERROR(SEARCH("欠",T921)))</formula>
    </cfRule>
    <cfRule type="cellIs" dxfId="0" priority="4123" operator="equal">
      <formula>"欠"</formula>
    </cfRule>
  </conditionalFormatting>
  <conditionalFormatting sqref="R922">
    <cfRule type="containsText" dxfId="0" priority="4136" operator="between" text="欠">
      <formula>NOT(ISERROR(SEARCH("欠",R922)))</formula>
    </cfRule>
    <cfRule type="cellIs" dxfId="0" priority="4137" operator="equal">
      <formula>"欠"</formula>
    </cfRule>
  </conditionalFormatting>
  <conditionalFormatting sqref="S922">
    <cfRule type="cellIs" dxfId="0" priority="4140" operator="equal">
      <formula>"欠"</formula>
    </cfRule>
  </conditionalFormatting>
  <conditionalFormatting sqref="T922:U922">
    <cfRule type="containsText" dxfId="0" priority="4138" operator="between" text="欠">
      <formula>NOT(ISERROR(SEARCH("欠",T922)))</formula>
    </cfRule>
    <cfRule type="cellIs" dxfId="0" priority="4139" operator="equal">
      <formula>"欠"</formula>
    </cfRule>
  </conditionalFormatting>
  <conditionalFormatting sqref="Q923">
    <cfRule type="cellIs" dxfId="0" priority="8154" operator="equal">
      <formula>"欠"</formula>
    </cfRule>
  </conditionalFormatting>
  <conditionalFormatting sqref="V923">
    <cfRule type="cellIs" dxfId="0" priority="8054" operator="equal">
      <formula>"欠"</formula>
    </cfRule>
  </conditionalFormatting>
  <conditionalFormatting sqref="R925">
    <cfRule type="containsText" dxfId="0" priority="4162" operator="between" text="欠">
      <formula>NOT(ISERROR(SEARCH("欠",R925)))</formula>
    </cfRule>
    <cfRule type="cellIs" dxfId="0" priority="4163" operator="equal">
      <formula>"欠"</formula>
    </cfRule>
  </conditionalFormatting>
  <conditionalFormatting sqref="S925">
    <cfRule type="cellIs" dxfId="0" priority="4164" operator="equal">
      <formula>"欠"</formula>
    </cfRule>
  </conditionalFormatting>
  <conditionalFormatting sqref="T925:U925">
    <cfRule type="containsText" dxfId="0" priority="4160" operator="between" text="欠">
      <formula>NOT(ISERROR(SEARCH("欠",T925)))</formula>
    </cfRule>
    <cfRule type="cellIs" dxfId="0" priority="4161" operator="equal">
      <formula>"欠"</formula>
    </cfRule>
  </conditionalFormatting>
  <conditionalFormatting sqref="T927:U927">
    <cfRule type="containsText" dxfId="0" priority="4114" operator="between" text="欠">
      <formula>NOT(ISERROR(SEARCH("欠",T927)))</formula>
    </cfRule>
    <cfRule type="cellIs" dxfId="0" priority="4119" operator="equal">
      <formula>"欠"</formula>
    </cfRule>
  </conditionalFormatting>
  <conditionalFormatting sqref="S928">
    <cfRule type="cellIs" dxfId="0" priority="4157" operator="equal">
      <formula>"欠"</formula>
    </cfRule>
  </conditionalFormatting>
  <conditionalFormatting sqref="S929">
    <cfRule type="cellIs" dxfId="0" priority="4130" operator="equal">
      <formula>"欠"</formula>
    </cfRule>
  </conditionalFormatting>
  <conditionalFormatting sqref="T929:U929">
    <cfRule type="containsText" dxfId="0" priority="4126" operator="between" text="欠">
      <formula>NOT(ISERROR(SEARCH("欠",T929)))</formula>
    </cfRule>
    <cfRule type="cellIs" dxfId="0" priority="4128" operator="equal">
      <formula>"欠"</formula>
    </cfRule>
  </conditionalFormatting>
  <conditionalFormatting sqref="S930">
    <cfRule type="cellIs" dxfId="0" priority="5760" operator="equal">
      <formula>"欠"</formula>
    </cfRule>
  </conditionalFormatting>
  <conditionalFormatting sqref="T930:U930">
    <cfRule type="containsText" dxfId="0" priority="5751" operator="between" text="欠">
      <formula>NOT(ISERROR(SEARCH("欠",T930)))</formula>
    </cfRule>
    <cfRule type="cellIs" dxfId="0" priority="5752" operator="equal">
      <formula>"欠"</formula>
    </cfRule>
  </conditionalFormatting>
  <conditionalFormatting sqref="Q931">
    <cfRule type="cellIs" dxfId="0" priority="5291" operator="equal">
      <formula>"欠"</formula>
    </cfRule>
  </conditionalFormatting>
  <conditionalFormatting sqref="V931">
    <cfRule type="cellIs" dxfId="0" priority="5287" operator="equal">
      <formula>"欠"</formula>
    </cfRule>
  </conditionalFormatting>
  <conditionalFormatting sqref="AH931">
    <cfRule type="cellIs" dxfId="0" priority="5281" operator="equal">
      <formula>"未完成"</formula>
    </cfRule>
  </conditionalFormatting>
  <conditionalFormatting sqref="AK931">
    <cfRule type="cellIs" dxfId="1" priority="5289" operator="equal">
      <formula>"未完成"</formula>
    </cfRule>
    <cfRule type="cellIs" dxfId="0" priority="5290" operator="equal">
      <formula>"未完成"</formula>
    </cfRule>
  </conditionalFormatting>
  <conditionalFormatting sqref="AL931">
    <cfRule type="cellIs" dxfId="0" priority="5288" operator="equal">
      <formula>"欠"</formula>
    </cfRule>
  </conditionalFormatting>
  <conditionalFormatting sqref="R935">
    <cfRule type="containsText" dxfId="0" priority="4989" operator="between" text="欠">
      <formula>NOT(ISERROR(SEARCH("欠",R935)))</formula>
    </cfRule>
  </conditionalFormatting>
  <conditionalFormatting sqref="AG935">
    <cfRule type="cellIs" dxfId="0" priority="4992" operator="equal">
      <formula>"未完成"</formula>
    </cfRule>
  </conditionalFormatting>
  <conditionalFormatting sqref="AH935">
    <cfRule type="cellIs" dxfId="0" priority="4986" operator="equal">
      <formula>"未完成"</formula>
    </cfRule>
  </conditionalFormatting>
  <conditionalFormatting sqref="AL935:AM935">
    <cfRule type="cellIs" dxfId="1" priority="4995" operator="equal">
      <formula>"未完成"</formula>
    </cfRule>
    <cfRule type="cellIs" dxfId="0" priority="4996" operator="equal">
      <formula>"未完成"</formula>
    </cfRule>
  </conditionalFormatting>
  <conditionalFormatting sqref="Q936">
    <cfRule type="cellIs" dxfId="0" priority="5071" operator="equal">
      <formula>"欠"</formula>
    </cfRule>
  </conditionalFormatting>
  <conditionalFormatting sqref="S936">
    <cfRule type="cellIs" dxfId="0" priority="5072" operator="equal">
      <formula>"欠"</formula>
    </cfRule>
  </conditionalFormatting>
  <conditionalFormatting sqref="V936">
    <cfRule type="cellIs" dxfId="0" priority="5067" operator="equal">
      <formula>"欠"</formula>
    </cfRule>
  </conditionalFormatting>
  <conditionalFormatting sqref="AH936">
    <cfRule type="cellIs" dxfId="0" priority="5059" operator="equal">
      <formula>"未完成"</formula>
    </cfRule>
  </conditionalFormatting>
  <conditionalFormatting sqref="AK936">
    <cfRule type="cellIs" dxfId="1" priority="5069" operator="equal">
      <formula>"未完成"</formula>
    </cfRule>
    <cfRule type="cellIs" dxfId="0" priority="5070" operator="equal">
      <formula>"未完成"</formula>
    </cfRule>
  </conditionalFormatting>
  <conditionalFormatting sqref="AL936">
    <cfRule type="cellIs" dxfId="0" priority="5068" operator="equal">
      <formula>"欠"</formula>
    </cfRule>
  </conditionalFormatting>
  <conditionalFormatting sqref="Q937">
    <cfRule type="cellIs" dxfId="0" priority="8153" operator="equal">
      <formula>"欠"</formula>
    </cfRule>
  </conditionalFormatting>
  <conditionalFormatting sqref="V937">
    <cfRule type="cellIs" dxfId="0" priority="8053" operator="equal">
      <formula>"欠"</formula>
    </cfRule>
  </conditionalFormatting>
  <conditionalFormatting sqref="Q938">
    <cfRule type="cellIs" dxfId="0" priority="8152" operator="equal">
      <formula>"欠"</formula>
    </cfRule>
  </conditionalFormatting>
  <conditionalFormatting sqref="V938">
    <cfRule type="cellIs" dxfId="0" priority="8052" operator="equal">
      <formula>"欠"</formula>
    </cfRule>
  </conditionalFormatting>
  <conditionalFormatting sqref="Q939">
    <cfRule type="cellIs" dxfId="0" priority="5138" operator="equal">
      <formula>"欠"</formula>
    </cfRule>
  </conditionalFormatting>
  <conditionalFormatting sqref="R939">
    <cfRule type="containsText" dxfId="0" priority="4132" operator="between" text="欠">
      <formula>NOT(ISERROR(SEARCH("欠",R939)))</formula>
    </cfRule>
    <cfRule type="cellIs" dxfId="0" priority="4133" operator="equal">
      <formula>"欠"</formula>
    </cfRule>
  </conditionalFormatting>
  <conditionalFormatting sqref="S939">
    <cfRule type="cellIs" dxfId="0" priority="4125" operator="equal">
      <formula>"欠"</formula>
    </cfRule>
  </conditionalFormatting>
  <conditionalFormatting sqref="T939:U939">
    <cfRule type="containsText" dxfId="0" priority="4134" operator="between" text="欠">
      <formula>NOT(ISERROR(SEARCH("欠",T939)))</formula>
    </cfRule>
    <cfRule type="cellIs" dxfId="0" priority="4135" operator="equal">
      <formula>"欠"</formula>
    </cfRule>
  </conditionalFormatting>
  <conditionalFormatting sqref="AK939">
    <cfRule type="cellIs" dxfId="1" priority="5136" operator="equal">
      <formula>"未完成"</formula>
    </cfRule>
    <cfRule type="cellIs" dxfId="0" priority="5137" operator="equal">
      <formula>"未完成"</formula>
    </cfRule>
  </conditionalFormatting>
  <conditionalFormatting sqref="AL939">
    <cfRule type="cellIs" dxfId="0" priority="5135" operator="equal">
      <formula>"欠"</formula>
    </cfRule>
  </conditionalFormatting>
  <conditionalFormatting sqref="Q940">
    <cfRule type="cellIs" dxfId="0" priority="5129" operator="equal">
      <formula>"欠"</formula>
    </cfRule>
  </conditionalFormatting>
  <conditionalFormatting sqref="R940">
    <cfRule type="containsText" dxfId="0" priority="5123" operator="between" text="欠">
      <formula>NOT(ISERROR(SEARCH("欠",R940)))</formula>
    </cfRule>
    <cfRule type="cellIs" dxfId="0" priority="5124" operator="equal">
      <formula>"欠"</formula>
    </cfRule>
  </conditionalFormatting>
  <conditionalFormatting sqref="T940:U940">
    <cfRule type="containsText" dxfId="0" priority="5125" operator="between" text="欠">
      <formula>NOT(ISERROR(SEARCH("欠",T940)))</formula>
    </cfRule>
    <cfRule type="cellIs" dxfId="0" priority="5130" operator="equal">
      <formula>"欠"</formula>
    </cfRule>
  </conditionalFormatting>
  <conditionalFormatting sqref="AK940">
    <cfRule type="cellIs" dxfId="1" priority="5127" operator="equal">
      <formula>"未完成"</formula>
    </cfRule>
    <cfRule type="cellIs" dxfId="0" priority="5128" operator="equal">
      <formula>"未完成"</formula>
    </cfRule>
  </conditionalFormatting>
  <conditionalFormatting sqref="AL940">
    <cfRule type="cellIs" dxfId="0" priority="5126" operator="equal">
      <formula>"欠"</formula>
    </cfRule>
  </conditionalFormatting>
  <conditionalFormatting sqref="Q942">
    <cfRule type="cellIs" dxfId="0" priority="8161" operator="equal">
      <formula>"欠"</formula>
    </cfRule>
  </conditionalFormatting>
  <conditionalFormatting sqref="V942">
    <cfRule type="cellIs" dxfId="0" priority="8061" operator="equal">
      <formula>"欠"</formula>
    </cfRule>
  </conditionalFormatting>
  <conditionalFormatting sqref="Q948">
    <cfRule type="cellIs" dxfId="0" priority="4315" operator="equal">
      <formula>"欠"</formula>
    </cfRule>
  </conditionalFormatting>
  <conditionalFormatting sqref="R948">
    <cfRule type="containsText" dxfId="0" priority="4316" operator="between" text="欠">
      <formula>NOT(ISERROR(SEARCH("欠",R948)))</formula>
    </cfRule>
    <cfRule type="cellIs" dxfId="0" priority="4318" operator="equal">
      <formula>"欠"</formula>
    </cfRule>
  </conditionalFormatting>
  <conditionalFormatting sqref="S948">
    <cfRule type="cellIs" dxfId="0" priority="4307" operator="equal">
      <formula>"欠"</formula>
    </cfRule>
  </conditionalFormatting>
  <conditionalFormatting sqref="T948:U948">
    <cfRule type="containsText" dxfId="0" priority="4309" operator="between" text="欠">
      <formula>NOT(ISERROR(SEARCH("欠",T948)))</formula>
    </cfRule>
    <cfRule type="cellIs" dxfId="0" priority="4310" operator="equal">
      <formula>"欠"</formula>
    </cfRule>
  </conditionalFormatting>
  <conditionalFormatting sqref="V948">
    <cfRule type="cellIs" dxfId="0" priority="4311" operator="equal">
      <formula>"欠"</formula>
    </cfRule>
  </conditionalFormatting>
  <conditionalFormatting sqref="AH948">
    <cfRule type="cellIs" dxfId="0" priority="4308" operator="equal">
      <formula>"未完成"</formula>
    </cfRule>
  </conditionalFormatting>
  <conditionalFormatting sqref="AK948">
    <cfRule type="cellIs" dxfId="1" priority="4313" operator="equal">
      <formula>"未完成"</formula>
    </cfRule>
    <cfRule type="cellIs" dxfId="0" priority="4314" operator="equal">
      <formula>"未完成"</formula>
    </cfRule>
  </conditionalFormatting>
  <conditionalFormatting sqref="AL948">
    <cfRule type="cellIs" dxfId="0" priority="4312" operator="equal">
      <formula>"欠"</formula>
    </cfRule>
  </conditionalFormatting>
  <conditionalFormatting sqref="Q949">
    <cfRule type="cellIs" dxfId="0" priority="5017" operator="equal">
      <formula>"欠"</formula>
    </cfRule>
  </conditionalFormatting>
  <conditionalFormatting sqref="R949">
    <cfRule type="containsText" dxfId="0" priority="5011" operator="between" text="欠">
      <formula>NOT(ISERROR(SEARCH("欠",R949)))</formula>
    </cfRule>
    <cfRule type="cellIs" dxfId="0" priority="5012" operator="equal">
      <formula>"欠"</formula>
    </cfRule>
  </conditionalFormatting>
  <conditionalFormatting sqref="S949">
    <cfRule type="cellIs" dxfId="0" priority="5022" operator="equal">
      <formula>"欠"</formula>
    </cfRule>
  </conditionalFormatting>
  <conditionalFormatting sqref="T949:U949">
    <cfRule type="containsText" dxfId="0" priority="5019" operator="between" text="欠">
      <formula>NOT(ISERROR(SEARCH("欠",T949)))</formula>
    </cfRule>
    <cfRule type="containsText" dxfId="2" priority="5020" operator="between" text="欠">
      <formula>NOT(ISERROR(SEARCH("欠",T949)))</formula>
    </cfRule>
    <cfRule type="cellIs" dxfId="0" priority="5021" operator="equal">
      <formula>"欠"</formula>
    </cfRule>
  </conditionalFormatting>
  <conditionalFormatting sqref="V949">
    <cfRule type="cellIs" dxfId="0" priority="5013" operator="equal">
      <formula>"欠"</formula>
    </cfRule>
  </conditionalFormatting>
  <conditionalFormatting sqref="AK949">
    <cfRule type="cellIs" dxfId="1" priority="5015" operator="equal">
      <formula>"未完成"</formula>
    </cfRule>
    <cfRule type="cellIs" dxfId="0" priority="5016" operator="equal">
      <formula>"未完成"</formula>
    </cfRule>
  </conditionalFormatting>
  <conditionalFormatting sqref="AL949">
    <cfRule type="cellIs" dxfId="0" priority="5014" operator="equal">
      <formula>"欠"</formula>
    </cfRule>
  </conditionalFormatting>
  <conditionalFormatting sqref="Q956">
    <cfRule type="cellIs" dxfId="0" priority="5250" operator="equal">
      <formula>"欠"</formula>
    </cfRule>
  </conditionalFormatting>
  <conditionalFormatting sqref="V956">
    <cfRule type="cellIs" dxfId="0" priority="5246" operator="equal">
      <formula>"欠"</formula>
    </cfRule>
  </conditionalFormatting>
  <conditionalFormatting sqref="AK956">
    <cfRule type="cellIs" dxfId="1" priority="5248" operator="equal">
      <formula>"未完成"</formula>
    </cfRule>
    <cfRule type="cellIs" dxfId="0" priority="5249" operator="equal">
      <formula>"未完成"</formula>
    </cfRule>
  </conditionalFormatting>
  <conditionalFormatting sqref="AL956">
    <cfRule type="cellIs" dxfId="0" priority="5247" operator="equal">
      <formula>"欠"</formula>
    </cfRule>
  </conditionalFormatting>
  <conditionalFormatting sqref="Q957">
    <cfRule type="cellIs" dxfId="0" priority="5240" operator="equal">
      <formula>"欠"</formula>
    </cfRule>
  </conditionalFormatting>
  <conditionalFormatting sqref="V957">
    <cfRule type="cellIs" dxfId="0" priority="5236" operator="equal">
      <formula>"欠"</formula>
    </cfRule>
  </conditionalFormatting>
  <conditionalFormatting sqref="AK957">
    <cfRule type="cellIs" dxfId="1" priority="5238" operator="equal">
      <formula>"未完成"</formula>
    </cfRule>
    <cfRule type="cellIs" dxfId="0" priority="5239" operator="equal">
      <formula>"未完成"</formula>
    </cfRule>
  </conditionalFormatting>
  <conditionalFormatting sqref="AL957">
    <cfRule type="cellIs" dxfId="0" priority="5237" operator="equal">
      <formula>"欠"</formula>
    </cfRule>
  </conditionalFormatting>
  <conditionalFormatting sqref="V958">
    <cfRule type="cellIs" dxfId="0" priority="8051" operator="equal">
      <formula>"欠"</formula>
    </cfRule>
  </conditionalFormatting>
  <conditionalFormatting sqref="Q970">
    <cfRule type="cellIs" dxfId="0" priority="4936" operator="equal">
      <formula>"欠"</formula>
    </cfRule>
  </conditionalFormatting>
  <conditionalFormatting sqref="R970">
    <cfRule type="containsText" dxfId="0" priority="4928" operator="between" text="欠">
      <formula>NOT(ISERROR(SEARCH("欠",R970)))</formula>
    </cfRule>
    <cfRule type="cellIs" dxfId="0" priority="4929" operator="equal">
      <formula>"欠"</formula>
    </cfRule>
  </conditionalFormatting>
  <conditionalFormatting sqref="T970:U970">
    <cfRule type="containsText" dxfId="0" priority="4937" operator="between" text="欠">
      <formula>NOT(ISERROR(SEARCH("欠",T970)))</formula>
    </cfRule>
    <cfRule type="containsText" dxfId="2" priority="4938" operator="between" text="欠">
      <formula>NOT(ISERROR(SEARCH("欠",T970)))</formula>
    </cfRule>
    <cfRule type="cellIs" dxfId="0" priority="4939" operator="equal">
      <formula>"欠"</formula>
    </cfRule>
  </conditionalFormatting>
  <conditionalFormatting sqref="V970">
    <cfRule type="cellIs" dxfId="0" priority="4932" operator="equal">
      <formula>"欠"</formula>
    </cfRule>
  </conditionalFormatting>
  <conditionalFormatting sqref="AH970">
    <cfRule type="cellIs" dxfId="0" priority="4930" operator="equal">
      <formula>"未完成"</formula>
    </cfRule>
  </conditionalFormatting>
  <conditionalFormatting sqref="AK970">
    <cfRule type="cellIs" dxfId="1" priority="4934" operator="equal">
      <formula>"未完成"</formula>
    </cfRule>
    <cfRule type="cellIs" dxfId="0" priority="4935" operator="equal">
      <formula>"未完成"</formula>
    </cfRule>
  </conditionalFormatting>
  <conditionalFormatting sqref="AL970">
    <cfRule type="cellIs" dxfId="0" priority="4933" operator="equal">
      <formula>"欠"</formula>
    </cfRule>
  </conditionalFormatting>
  <conditionalFormatting sqref="Q974">
    <cfRule type="cellIs" dxfId="0" priority="5303" operator="equal">
      <formula>"欠"</formula>
    </cfRule>
  </conditionalFormatting>
  <conditionalFormatting sqref="V974">
    <cfRule type="cellIs" dxfId="0" priority="5299" operator="equal">
      <formula>"欠"</formula>
    </cfRule>
  </conditionalFormatting>
  <conditionalFormatting sqref="AH974">
    <cfRule type="cellIs" dxfId="0" priority="5293" operator="equal">
      <formula>"未完成"</formula>
    </cfRule>
  </conditionalFormatting>
  <conditionalFormatting sqref="AK974">
    <cfRule type="cellIs" dxfId="1" priority="5301" operator="equal">
      <formula>"未完成"</formula>
    </cfRule>
    <cfRule type="cellIs" dxfId="0" priority="5302" operator="equal">
      <formula>"未完成"</formula>
    </cfRule>
  </conditionalFormatting>
  <conditionalFormatting sqref="AL974">
    <cfRule type="cellIs" dxfId="0" priority="5300" operator="equal">
      <formula>"欠"</formula>
    </cfRule>
  </conditionalFormatting>
  <conditionalFormatting sqref="Q977">
    <cfRule type="cellIs" dxfId="0" priority="5028" operator="equal">
      <formula>"欠"</formula>
    </cfRule>
  </conditionalFormatting>
  <conditionalFormatting sqref="R977">
    <cfRule type="containsText" dxfId="0" priority="5029" operator="between" text="欠">
      <formula>NOT(ISERROR(SEARCH("欠",R977)))</formula>
    </cfRule>
    <cfRule type="cellIs" dxfId="0" priority="5032" operator="equal">
      <formula>"欠"</formula>
    </cfRule>
  </conditionalFormatting>
  <conditionalFormatting sqref="T977:U977">
    <cfRule type="containsText" dxfId="0" priority="5030" operator="between" text="欠">
      <formula>NOT(ISERROR(SEARCH("欠",T977)))</formula>
    </cfRule>
    <cfRule type="containsText" dxfId="2" priority="5034" operator="between" text="欠">
      <formula>NOT(ISERROR(SEARCH("欠",T977)))</formula>
    </cfRule>
    <cfRule type="cellIs" dxfId="0" priority="5035" operator="equal">
      <formula>"欠"</formula>
    </cfRule>
  </conditionalFormatting>
  <conditionalFormatting sqref="V977">
    <cfRule type="cellIs" dxfId="0" priority="5024" operator="equal">
      <formula>"欠"</formula>
    </cfRule>
  </conditionalFormatting>
  <conditionalFormatting sqref="AH977">
    <cfRule type="cellIs" dxfId="0" priority="5023" operator="equal">
      <formula>"未完成"</formula>
    </cfRule>
  </conditionalFormatting>
  <conditionalFormatting sqref="AK977">
    <cfRule type="cellIs" dxfId="1" priority="5026" operator="equal">
      <formula>"未完成"</formula>
    </cfRule>
    <cfRule type="cellIs" dxfId="0" priority="5027" operator="equal">
      <formula>"未完成"</formula>
    </cfRule>
  </conditionalFormatting>
  <conditionalFormatting sqref="AL977">
    <cfRule type="cellIs" dxfId="0" priority="5025" operator="equal">
      <formula>"欠"</formula>
    </cfRule>
  </conditionalFormatting>
  <conditionalFormatting sqref="O978">
    <cfRule type="cellIs" dxfId="0" priority="3767" operator="equal">
      <formula>"欠"</formula>
    </cfRule>
  </conditionalFormatting>
  <conditionalFormatting sqref="Q978">
    <cfRule type="cellIs" dxfId="0" priority="5005" operator="equal">
      <formula>"欠"</formula>
    </cfRule>
  </conditionalFormatting>
  <conditionalFormatting sqref="R978">
    <cfRule type="containsText" dxfId="0" priority="4997" operator="between" text="欠">
      <formula>NOT(ISERROR(SEARCH("欠",R978)))</formula>
    </cfRule>
    <cfRule type="cellIs" dxfId="0" priority="4998" operator="equal">
      <formula>"欠"</formula>
    </cfRule>
  </conditionalFormatting>
  <conditionalFormatting sqref="T978:U978">
    <cfRule type="containsText" dxfId="0" priority="5000" operator="between" text="欠">
      <formula>NOT(ISERROR(SEARCH("欠",T978)))</formula>
    </cfRule>
    <cfRule type="containsText" dxfId="2" priority="5007" operator="between" text="欠">
      <formula>NOT(ISERROR(SEARCH("欠",T978)))</formula>
    </cfRule>
    <cfRule type="cellIs" dxfId="0" priority="5008" operator="equal">
      <formula>"欠"</formula>
    </cfRule>
  </conditionalFormatting>
  <conditionalFormatting sqref="V978">
    <cfRule type="cellIs" dxfId="0" priority="5001" operator="equal">
      <formula>"欠"</formula>
    </cfRule>
  </conditionalFormatting>
  <conditionalFormatting sqref="AH978">
    <cfRule type="cellIs" dxfId="0" priority="4999" operator="equal">
      <formula>"未完成"</formula>
    </cfRule>
  </conditionalFormatting>
  <conditionalFormatting sqref="AK978">
    <cfRule type="cellIs" dxfId="1" priority="5003" operator="equal">
      <formula>"未完成"</formula>
    </cfRule>
    <cfRule type="cellIs" dxfId="0" priority="5004" operator="equal">
      <formula>"未完成"</formula>
    </cfRule>
  </conditionalFormatting>
  <conditionalFormatting sqref="AL978">
    <cfRule type="cellIs" dxfId="0" priority="5002" operator="equal">
      <formula>"欠"</formula>
    </cfRule>
  </conditionalFormatting>
  <conditionalFormatting sqref="Q979">
    <cfRule type="cellIs" dxfId="0" priority="4100" operator="equal">
      <formula>"欠"</formula>
    </cfRule>
  </conditionalFormatting>
  <conditionalFormatting sqref="R979">
    <cfRule type="containsText" dxfId="0" priority="4091" operator="between" text="欠">
      <formula>NOT(ISERROR(SEARCH("欠",R979)))</formula>
    </cfRule>
    <cfRule type="cellIs" dxfId="0" priority="4095" operator="equal">
      <formula>"欠"</formula>
    </cfRule>
  </conditionalFormatting>
  <conditionalFormatting sqref="S979">
    <cfRule type="cellIs" dxfId="0" priority="4101" operator="equal">
      <formula>"欠"</formula>
    </cfRule>
  </conditionalFormatting>
  <conditionalFormatting sqref="T979:U979">
    <cfRule type="containsText" dxfId="0" priority="4092" operator="between" text="欠">
      <formula>NOT(ISERROR(SEARCH("欠",T979)))</formula>
    </cfRule>
    <cfRule type="cellIs" dxfId="0" priority="4093" operator="equal">
      <formula>"欠"</formula>
    </cfRule>
  </conditionalFormatting>
  <conditionalFormatting sqref="V979">
    <cfRule type="cellIs" dxfId="0" priority="4096" operator="equal">
      <formula>"欠"</formula>
    </cfRule>
  </conditionalFormatting>
  <conditionalFormatting sqref="AH979">
    <cfRule type="cellIs" dxfId="0" priority="4090" operator="equal">
      <formula>"未完成"</formula>
    </cfRule>
  </conditionalFormatting>
  <conditionalFormatting sqref="AK979">
    <cfRule type="cellIs" dxfId="1" priority="4098" operator="equal">
      <formula>"未完成"</formula>
    </cfRule>
    <cfRule type="cellIs" dxfId="0" priority="4099" operator="equal">
      <formula>"未完成"</formula>
    </cfRule>
  </conditionalFormatting>
  <conditionalFormatting sqref="AL979">
    <cfRule type="cellIs" dxfId="0" priority="4097" operator="equal">
      <formula>"欠"</formula>
    </cfRule>
  </conditionalFormatting>
  <conditionalFormatting sqref="Q980">
    <cfRule type="cellIs" dxfId="0" priority="3436" operator="equal">
      <formula>"欠"</formula>
    </cfRule>
  </conditionalFormatting>
  <conditionalFormatting sqref="R980">
    <cfRule type="containsText" dxfId="0" priority="3437" operator="between" text="欠">
      <formula>NOT(ISERROR(SEARCH("欠",R980)))</formula>
    </cfRule>
    <cfRule type="cellIs" dxfId="0" priority="3439" operator="equal">
      <formula>"欠"</formula>
    </cfRule>
  </conditionalFormatting>
  <conditionalFormatting sqref="S980">
    <cfRule type="cellIs" dxfId="0" priority="3442" operator="equal">
      <formula>"欠"</formula>
    </cfRule>
  </conditionalFormatting>
  <conditionalFormatting sqref="T980:U980">
    <cfRule type="containsText" dxfId="0" priority="3438" operator="between" text="欠">
      <formula>NOT(ISERROR(SEARCH("欠",T980)))</formula>
    </cfRule>
    <cfRule type="containsText" dxfId="2" priority="3440" operator="between" text="欠">
      <formula>NOT(ISERROR(SEARCH("欠",T980)))</formula>
    </cfRule>
    <cfRule type="cellIs" dxfId="0" priority="3441" operator="equal">
      <formula>"欠"</formula>
    </cfRule>
  </conditionalFormatting>
  <conditionalFormatting sqref="V980">
    <cfRule type="cellIs" dxfId="0" priority="3432" operator="equal">
      <formula>"欠"</formula>
    </cfRule>
  </conditionalFormatting>
  <conditionalFormatting sqref="AH980">
    <cfRule type="cellIs" dxfId="0" priority="3431" operator="equal">
      <formula>"未完成"</formula>
    </cfRule>
  </conditionalFormatting>
  <conditionalFormatting sqref="AK980">
    <cfRule type="cellIs" dxfId="1" priority="3434" operator="equal">
      <formula>"未完成"</formula>
    </cfRule>
    <cfRule type="cellIs" dxfId="0" priority="3435" operator="equal">
      <formula>"未完成"</formula>
    </cfRule>
  </conditionalFormatting>
  <conditionalFormatting sqref="AL980">
    <cfRule type="cellIs" dxfId="0" priority="3433" operator="equal">
      <formula>"欠"</formula>
    </cfRule>
  </conditionalFormatting>
  <conditionalFormatting sqref="Q981">
    <cfRule type="cellIs" dxfId="0" priority="4392" operator="equal">
      <formula>"欠"</formula>
    </cfRule>
  </conditionalFormatting>
  <conditionalFormatting sqref="R981">
    <cfRule type="containsText" dxfId="0" priority="4393" operator="between" text="欠">
      <formula>NOT(ISERROR(SEARCH("欠",R981)))</formula>
    </cfRule>
    <cfRule type="cellIs" dxfId="0" priority="4396" operator="equal">
      <formula>"欠"</formula>
    </cfRule>
  </conditionalFormatting>
  <conditionalFormatting sqref="T981:U981">
    <cfRule type="containsText" dxfId="0" priority="4265" operator="between" text="欠">
      <formula>NOT(ISERROR(SEARCH("欠",T981)))</formula>
    </cfRule>
    <cfRule type="containsText" dxfId="2" priority="4267" operator="between" text="欠">
      <formula>NOT(ISERROR(SEARCH("欠",T981)))</formula>
    </cfRule>
    <cfRule type="cellIs" dxfId="0" priority="4268" operator="equal">
      <formula>"欠"</formula>
    </cfRule>
  </conditionalFormatting>
  <conditionalFormatting sqref="V981">
    <cfRule type="cellIs" dxfId="0" priority="4388" operator="equal">
      <formula>"欠"</formula>
    </cfRule>
  </conditionalFormatting>
  <conditionalFormatting sqref="AH981">
    <cfRule type="cellIs" dxfId="0" priority="4387" operator="equal">
      <formula>"未完成"</formula>
    </cfRule>
  </conditionalFormatting>
  <conditionalFormatting sqref="AK981">
    <cfRule type="cellIs" dxfId="1" priority="4390" operator="equal">
      <formula>"未完成"</formula>
    </cfRule>
    <cfRule type="cellIs" dxfId="0" priority="4391" operator="equal">
      <formula>"未完成"</formula>
    </cfRule>
  </conditionalFormatting>
  <conditionalFormatting sqref="AL981">
    <cfRule type="cellIs" dxfId="0" priority="4389" operator="equal">
      <formula>"欠"</formula>
    </cfRule>
  </conditionalFormatting>
  <conditionalFormatting sqref="Q985">
    <cfRule type="cellIs" dxfId="0" priority="4529" operator="equal">
      <formula>"欠"</formula>
    </cfRule>
  </conditionalFormatting>
  <conditionalFormatting sqref="T985:U985">
    <cfRule type="containsText" dxfId="0" priority="4263" operator="between" text="欠">
      <formula>NOT(ISERROR(SEARCH("欠",T985)))</formula>
    </cfRule>
    <cfRule type="cellIs" dxfId="0" priority="4264" operator="equal">
      <formula>"欠"</formula>
    </cfRule>
  </conditionalFormatting>
  <conditionalFormatting sqref="AK985">
    <cfRule type="cellIs" dxfId="1" priority="4527" operator="equal">
      <formula>"未完成"</formula>
    </cfRule>
    <cfRule type="cellIs" dxfId="0" priority="4528" operator="equal">
      <formula>"未完成"</formula>
    </cfRule>
  </conditionalFormatting>
  <conditionalFormatting sqref="AL985">
    <cfRule type="cellIs" dxfId="0" priority="4526" operator="equal">
      <formula>"欠"</formula>
    </cfRule>
  </conditionalFormatting>
  <conditionalFormatting sqref="Q986">
    <cfRule type="cellIs" dxfId="0" priority="4598" operator="equal">
      <formula>"欠"</formula>
    </cfRule>
  </conditionalFormatting>
  <conditionalFormatting sqref="AK986">
    <cfRule type="cellIs" dxfId="1" priority="4596" operator="equal">
      <formula>"未完成"</formula>
    </cfRule>
    <cfRule type="cellIs" dxfId="0" priority="4597" operator="equal">
      <formula>"未完成"</formula>
    </cfRule>
  </conditionalFormatting>
  <conditionalFormatting sqref="AL986">
    <cfRule type="cellIs" dxfId="0" priority="4595" operator="equal">
      <formula>"欠"</formula>
    </cfRule>
  </conditionalFormatting>
  <conditionalFormatting sqref="Q987">
    <cfRule type="cellIs" dxfId="0" priority="4589" operator="equal">
      <formula>"欠"</formula>
    </cfRule>
  </conditionalFormatting>
  <conditionalFormatting sqref="AK987">
    <cfRule type="cellIs" dxfId="1" priority="4587" operator="equal">
      <formula>"未完成"</formula>
    </cfRule>
    <cfRule type="cellIs" dxfId="0" priority="4588" operator="equal">
      <formula>"未完成"</formula>
    </cfRule>
  </conditionalFormatting>
  <conditionalFormatting sqref="AL987">
    <cfRule type="cellIs" dxfId="0" priority="4586" operator="equal">
      <formula>"欠"</formula>
    </cfRule>
  </conditionalFormatting>
  <conditionalFormatting sqref="Q990">
    <cfRule type="cellIs" dxfId="0" priority="4666" operator="equal">
      <formula>"欠"</formula>
    </cfRule>
  </conditionalFormatting>
  <conditionalFormatting sqref="AL990">
    <cfRule type="cellIs" dxfId="0" priority="4663" operator="equal">
      <formula>"欠"</formula>
    </cfRule>
  </conditionalFormatting>
  <conditionalFormatting sqref="Q991">
    <cfRule type="cellIs" dxfId="0" priority="4291" operator="equal">
      <formula>"欠"</formula>
    </cfRule>
  </conditionalFormatting>
  <conditionalFormatting sqref="R991">
    <cfRule type="containsText" dxfId="0" priority="4292" operator="between" text="欠">
      <formula>NOT(ISERROR(SEARCH("欠",R991)))</formula>
    </cfRule>
    <cfRule type="cellIs" dxfId="0" priority="4294" operator="equal">
      <formula>"欠"</formula>
    </cfRule>
  </conditionalFormatting>
  <conditionalFormatting sqref="S991">
    <cfRule type="cellIs" dxfId="0" priority="4283" operator="equal">
      <formula>"欠"</formula>
    </cfRule>
  </conditionalFormatting>
  <conditionalFormatting sqref="T991:U991">
    <cfRule type="containsText" dxfId="0" priority="4285" operator="between" text="欠">
      <formula>NOT(ISERROR(SEARCH("欠",T991)))</formula>
    </cfRule>
    <cfRule type="cellIs" dxfId="0" priority="4286" operator="equal">
      <formula>"欠"</formula>
    </cfRule>
  </conditionalFormatting>
  <conditionalFormatting sqref="V991">
    <cfRule type="cellIs" dxfId="0" priority="4287" operator="equal">
      <formula>"欠"</formula>
    </cfRule>
  </conditionalFormatting>
  <conditionalFormatting sqref="AH991">
    <cfRule type="cellIs" dxfId="0" priority="4284" operator="equal">
      <formula>"未完成"</formula>
    </cfRule>
  </conditionalFormatting>
  <conditionalFormatting sqref="AK991">
    <cfRule type="cellIs" dxfId="1" priority="4289" operator="equal">
      <formula>"未完成"</formula>
    </cfRule>
    <cfRule type="cellIs" dxfId="0" priority="4290" operator="equal">
      <formula>"未完成"</formula>
    </cfRule>
  </conditionalFormatting>
  <conditionalFormatting sqref="AL991">
    <cfRule type="cellIs" dxfId="0" priority="4288" operator="equal">
      <formula>"欠"</formula>
    </cfRule>
  </conditionalFormatting>
  <conditionalFormatting sqref="R992">
    <cfRule type="containsText" dxfId="0" priority="4516" operator="between" text="欠">
      <formula>NOT(ISERROR(SEARCH("欠",R992)))</formula>
    </cfRule>
  </conditionalFormatting>
  <conditionalFormatting sqref="S992">
    <cfRule type="cellIs" dxfId="0" priority="4522" operator="equal">
      <formula>"欠"</formula>
    </cfRule>
  </conditionalFormatting>
  <conditionalFormatting sqref="AG992">
    <cfRule type="cellIs" dxfId="0" priority="4521" operator="equal">
      <formula>"未完成"</formula>
    </cfRule>
  </conditionalFormatting>
  <conditionalFormatting sqref="AH992">
    <cfRule type="cellIs" dxfId="0" priority="4515" operator="equal">
      <formula>"未完成"</formula>
    </cfRule>
  </conditionalFormatting>
  <conditionalFormatting sqref="AK992">
    <cfRule type="cellIs" dxfId="1" priority="1601" operator="equal">
      <formula>"未完成"</formula>
    </cfRule>
    <cfRule type="cellIs" dxfId="0" priority="1602" operator="equal">
      <formula>"未完成"</formula>
    </cfRule>
  </conditionalFormatting>
  <conditionalFormatting sqref="AL992:AM992">
    <cfRule type="cellIs" dxfId="1" priority="4524" operator="equal">
      <formula>"未完成"</formula>
    </cfRule>
    <cfRule type="cellIs" dxfId="0" priority="4525" operator="equal">
      <formula>"未完成"</formula>
    </cfRule>
  </conditionalFormatting>
  <conditionalFormatting sqref="Q993">
    <cfRule type="cellIs" dxfId="0" priority="4025" operator="equal">
      <formula>"欠"</formula>
    </cfRule>
  </conditionalFormatting>
  <conditionalFormatting sqref="R993">
    <cfRule type="containsText" dxfId="0" priority="4026" operator="between" text="欠">
      <formula>NOT(ISERROR(SEARCH("欠",R993)))</formula>
    </cfRule>
    <cfRule type="cellIs" dxfId="0" priority="4032" operator="equal">
      <formula>"欠"</formula>
    </cfRule>
  </conditionalFormatting>
  <conditionalFormatting sqref="T993:U993">
    <cfRule type="containsText" dxfId="0" priority="4027" operator="between" text="欠">
      <formula>NOT(ISERROR(SEARCH("欠",T993)))</formula>
    </cfRule>
    <cfRule type="containsText" dxfId="2" priority="4029" operator="between" text="欠">
      <formula>NOT(ISERROR(SEARCH("欠",T993)))</formula>
    </cfRule>
    <cfRule type="cellIs" dxfId="0" priority="4030" operator="equal">
      <formula>"欠"</formula>
    </cfRule>
  </conditionalFormatting>
  <conditionalFormatting sqref="V993">
    <cfRule type="cellIs" dxfId="0" priority="4021" operator="equal">
      <formula>"欠"</formula>
    </cfRule>
  </conditionalFormatting>
  <conditionalFormatting sqref="AH993">
    <cfRule type="cellIs" dxfId="0" priority="4020" operator="equal">
      <formula>"未完成"</formula>
    </cfRule>
  </conditionalFormatting>
  <conditionalFormatting sqref="AK993">
    <cfRule type="cellIs" dxfId="1" priority="4023" operator="equal">
      <formula>"未完成"</formula>
    </cfRule>
    <cfRule type="cellIs" dxfId="0" priority="4024" operator="equal">
      <formula>"未完成"</formula>
    </cfRule>
  </conditionalFormatting>
  <conditionalFormatting sqref="AL993">
    <cfRule type="cellIs" dxfId="0" priority="4022" operator="equal">
      <formula>"欠"</formula>
    </cfRule>
  </conditionalFormatting>
  <conditionalFormatting sqref="Q994">
    <cfRule type="cellIs" dxfId="0" priority="4924" operator="equal">
      <formula>"欠"</formula>
    </cfRule>
  </conditionalFormatting>
  <conditionalFormatting sqref="R994">
    <cfRule type="containsText" dxfId="0" priority="4926" operator="between" text="欠">
      <formula>NOT(ISERROR(SEARCH("欠",R994)))</formula>
    </cfRule>
    <cfRule type="cellIs" dxfId="0" priority="4927" operator="equal">
      <formula>"欠"</formula>
    </cfRule>
  </conditionalFormatting>
  <conditionalFormatting sqref="S994">
    <cfRule type="cellIs" dxfId="0" priority="4916" operator="equal">
      <formula>"欠"</formula>
    </cfRule>
  </conditionalFormatting>
  <conditionalFormatting sqref="T994:U994">
    <cfRule type="containsText" dxfId="0" priority="4918" operator="between" text="欠">
      <formula>NOT(ISERROR(SEARCH("欠",T994)))</formula>
    </cfRule>
    <cfRule type="cellIs" dxfId="0" priority="4919" operator="equal">
      <formula>"欠"</formula>
    </cfRule>
  </conditionalFormatting>
  <conditionalFormatting sqref="V994">
    <cfRule type="cellIs" dxfId="0" priority="4920" operator="equal">
      <formula>"欠"</formula>
    </cfRule>
  </conditionalFormatting>
  <conditionalFormatting sqref="AH994">
    <cfRule type="cellIs" dxfId="0" priority="4917" operator="equal">
      <formula>"未完成"</formula>
    </cfRule>
  </conditionalFormatting>
  <conditionalFormatting sqref="AK994">
    <cfRule type="cellIs" dxfId="1" priority="4922" operator="equal">
      <formula>"未完成"</formula>
    </cfRule>
    <cfRule type="cellIs" dxfId="0" priority="4923" operator="equal">
      <formula>"未完成"</formula>
    </cfRule>
  </conditionalFormatting>
  <conditionalFormatting sqref="AL994">
    <cfRule type="cellIs" dxfId="0" priority="4921" operator="equal">
      <formula>"欠"</formula>
    </cfRule>
  </conditionalFormatting>
  <conditionalFormatting sqref="Q997">
    <cfRule type="cellIs" dxfId="0" priority="3795" operator="equal">
      <formula>"欠"</formula>
    </cfRule>
  </conditionalFormatting>
  <conditionalFormatting sqref="R997">
    <cfRule type="containsText" dxfId="0" priority="3800" operator="between" text="欠">
      <formula>NOT(ISERROR(SEARCH("欠",R997)))</formula>
    </cfRule>
    <cfRule type="cellIs" dxfId="0" priority="3815" operator="equal">
      <formula>"欠"</formula>
    </cfRule>
  </conditionalFormatting>
  <conditionalFormatting sqref="S997">
    <cfRule type="cellIs" dxfId="0" priority="3835" operator="equal">
      <formula>"欠"</formula>
    </cfRule>
  </conditionalFormatting>
  <conditionalFormatting sqref="T997:U997">
    <cfRule type="containsText" dxfId="0" priority="3805" operator="between" text="欠">
      <formula>NOT(ISERROR(SEARCH("欠",T997)))</formula>
    </cfRule>
    <cfRule type="containsText" dxfId="2" priority="3825" operator="between" text="欠">
      <formula>NOT(ISERROR(SEARCH("欠",T997)))</formula>
    </cfRule>
    <cfRule type="cellIs" dxfId="0" priority="3830" operator="equal">
      <formula>"欠"</formula>
    </cfRule>
  </conditionalFormatting>
  <conditionalFormatting sqref="V997">
    <cfRule type="cellIs" dxfId="0" priority="3775" operator="equal">
      <formula>"欠"</formula>
    </cfRule>
  </conditionalFormatting>
  <conditionalFormatting sqref="AH997">
    <cfRule type="cellIs" dxfId="0" priority="3770" operator="equal">
      <formula>"未完成"</formula>
    </cfRule>
  </conditionalFormatting>
  <conditionalFormatting sqref="AK997">
    <cfRule type="cellIs" dxfId="1" priority="3785" operator="equal">
      <formula>"未完成"</formula>
    </cfRule>
    <cfRule type="cellIs" dxfId="0" priority="3790" operator="equal">
      <formula>"未完成"</formula>
    </cfRule>
  </conditionalFormatting>
  <conditionalFormatting sqref="AL997">
    <cfRule type="cellIs" dxfId="0" priority="3780" operator="equal">
      <formula>"欠"</formula>
    </cfRule>
  </conditionalFormatting>
  <conditionalFormatting sqref="V998">
    <cfRule type="cellIs" dxfId="0" priority="4674" operator="equal">
      <formula>"欠"</formula>
    </cfRule>
  </conditionalFormatting>
  <conditionalFormatting sqref="AH998">
    <cfRule type="cellIs" dxfId="0" priority="4671" operator="equal">
      <formula>"未完成"</formula>
    </cfRule>
  </conditionalFormatting>
  <conditionalFormatting sqref="AK998">
    <cfRule type="cellIs" dxfId="1" priority="4676" operator="equal">
      <formula>"未完成"</formula>
    </cfRule>
    <cfRule type="cellIs" dxfId="0" priority="4677" operator="equal">
      <formula>"未完成"</formula>
    </cfRule>
  </conditionalFormatting>
  <conditionalFormatting sqref="AH999">
    <cfRule type="cellIs" dxfId="0" priority="4659" operator="equal">
      <formula>"未完成"</formula>
    </cfRule>
  </conditionalFormatting>
  <conditionalFormatting sqref="Q1000">
    <cfRule type="cellIs" dxfId="0" priority="3794" operator="equal">
      <formula>"欠"</formula>
    </cfRule>
  </conditionalFormatting>
  <conditionalFormatting sqref="R1000">
    <cfRule type="containsText" dxfId="0" priority="3799" operator="between" text="欠">
      <formula>NOT(ISERROR(SEARCH("欠",R1000)))</formula>
    </cfRule>
    <cfRule type="cellIs" dxfId="0" priority="3814" operator="equal">
      <formula>"欠"</formula>
    </cfRule>
  </conditionalFormatting>
  <conditionalFormatting sqref="S1000">
    <cfRule type="cellIs" dxfId="0" priority="3834" operator="equal">
      <formula>"欠"</formula>
    </cfRule>
  </conditionalFormatting>
  <conditionalFormatting sqref="T1000:U1000">
    <cfRule type="containsText" dxfId="0" priority="3804" operator="between" text="欠">
      <formula>NOT(ISERROR(SEARCH("欠",T1000)))</formula>
    </cfRule>
    <cfRule type="containsText" dxfId="2" priority="3824" operator="between" text="欠">
      <formula>NOT(ISERROR(SEARCH("欠",T1000)))</formula>
    </cfRule>
    <cfRule type="cellIs" dxfId="0" priority="3829" operator="equal">
      <formula>"欠"</formula>
    </cfRule>
  </conditionalFormatting>
  <conditionalFormatting sqref="V1000">
    <cfRule type="cellIs" dxfId="0" priority="3774" operator="equal">
      <formula>"欠"</formula>
    </cfRule>
  </conditionalFormatting>
  <conditionalFormatting sqref="AK1000">
    <cfRule type="cellIs" dxfId="1" priority="3784" operator="equal">
      <formula>"未完成"</formula>
    </cfRule>
    <cfRule type="cellIs" dxfId="0" priority="3789" operator="equal">
      <formula>"未完成"</formula>
    </cfRule>
  </conditionalFormatting>
  <conditionalFormatting sqref="AL1000">
    <cfRule type="cellIs" dxfId="0" priority="3779" operator="equal">
      <formula>"欠"</formula>
    </cfRule>
  </conditionalFormatting>
  <conditionalFormatting sqref="Q1001">
    <cfRule type="cellIs" dxfId="0" priority="1611" operator="equal">
      <formula>"欠"</formula>
    </cfRule>
  </conditionalFormatting>
  <conditionalFormatting sqref="R1001">
    <cfRule type="containsText" dxfId="0" priority="1606" operator="between" text="欠">
      <formula>NOT(ISERROR(SEARCH("欠",R1001)))</formula>
    </cfRule>
    <cfRule type="cellIs" dxfId="0" priority="1607" operator="equal">
      <formula>"欠"</formula>
    </cfRule>
  </conditionalFormatting>
  <conditionalFormatting sqref="S1001">
    <cfRule type="cellIs" dxfId="0" priority="1605" operator="equal">
      <formula>"欠"</formula>
    </cfRule>
  </conditionalFormatting>
  <conditionalFormatting sqref="T1001:U1001">
    <cfRule type="containsText" dxfId="0" priority="1603" operator="between" text="欠">
      <formula>NOT(ISERROR(SEARCH("欠",T1001)))</formula>
    </cfRule>
    <cfRule type="cellIs" dxfId="0" priority="1604" operator="equal">
      <formula>"欠"</formula>
    </cfRule>
  </conditionalFormatting>
  <conditionalFormatting sqref="AK1001">
    <cfRule type="cellIs" dxfId="1" priority="1609" operator="equal">
      <formula>"未完成"</formula>
    </cfRule>
    <cfRule type="cellIs" dxfId="0" priority="1610" operator="equal">
      <formula>"未完成"</formula>
    </cfRule>
  </conditionalFormatting>
  <conditionalFormatting sqref="AL1001">
    <cfRule type="cellIs" dxfId="0" priority="1608" operator="equal">
      <formula>"欠"</formula>
    </cfRule>
  </conditionalFormatting>
  <conditionalFormatting sqref="Q1004">
    <cfRule type="cellIs" dxfId="0" priority="3741" operator="equal">
      <formula>"欠"</formula>
    </cfRule>
  </conditionalFormatting>
  <conditionalFormatting sqref="S1004">
    <cfRule type="cellIs" dxfId="0" priority="3685" operator="equal">
      <formula>"欠"</formula>
    </cfRule>
  </conditionalFormatting>
  <conditionalFormatting sqref="T1004:U1004">
    <cfRule type="containsText" dxfId="0" priority="3699" operator="between" text="欠">
      <formula>NOT(ISERROR(SEARCH("欠",T1004)))</formula>
    </cfRule>
    <cfRule type="cellIs" dxfId="0" priority="3706" operator="equal">
      <formula>"欠"</formula>
    </cfRule>
  </conditionalFormatting>
  <conditionalFormatting sqref="V1004">
    <cfRule type="cellIs" dxfId="0" priority="3713" operator="equal">
      <formula>"欠"</formula>
    </cfRule>
  </conditionalFormatting>
  <conditionalFormatting sqref="AH1004">
    <cfRule type="cellIs" dxfId="0" priority="3692" operator="equal">
      <formula>"未完成"</formula>
    </cfRule>
  </conditionalFormatting>
  <conditionalFormatting sqref="AK1004">
    <cfRule type="cellIs" dxfId="1" priority="3727" operator="equal">
      <formula>"未完成"</formula>
    </cfRule>
    <cfRule type="cellIs" dxfId="0" priority="3734" operator="equal">
      <formula>"未完成"</formula>
    </cfRule>
  </conditionalFormatting>
  <conditionalFormatting sqref="AL1004">
    <cfRule type="cellIs" dxfId="0" priority="3720" operator="equal">
      <formula>"欠"</formula>
    </cfRule>
  </conditionalFormatting>
  <conditionalFormatting sqref="Q1005">
    <cfRule type="cellIs" dxfId="0" priority="4060" operator="equal">
      <formula>"欠"</formula>
    </cfRule>
  </conditionalFormatting>
  <conditionalFormatting sqref="S1005">
    <cfRule type="cellIs" dxfId="0" priority="4062" operator="equal">
      <formula>"欠"</formula>
    </cfRule>
  </conditionalFormatting>
  <conditionalFormatting sqref="AH1005">
    <cfRule type="cellIs" dxfId="0" priority="4046" operator="equal">
      <formula>"未完成"</formula>
    </cfRule>
  </conditionalFormatting>
  <conditionalFormatting sqref="AK1005">
    <cfRule type="cellIs" dxfId="1" priority="4056" operator="equal">
      <formula>"未完成"</formula>
    </cfRule>
    <cfRule type="cellIs" dxfId="0" priority="4058" operator="equal">
      <formula>"未完成"</formula>
    </cfRule>
  </conditionalFormatting>
  <conditionalFormatting sqref="AL1005">
    <cfRule type="cellIs" dxfId="0" priority="4054" operator="equal">
      <formula>"欠"</formula>
    </cfRule>
  </conditionalFormatting>
  <conditionalFormatting sqref="Q1006">
    <cfRule type="cellIs" dxfId="0" priority="4059" operator="equal">
      <formula>"欠"</formula>
    </cfRule>
  </conditionalFormatting>
  <conditionalFormatting sqref="AK1006">
    <cfRule type="cellIs" dxfId="1" priority="4055" operator="equal">
      <formula>"未完成"</formula>
    </cfRule>
    <cfRule type="cellIs" dxfId="0" priority="4057" operator="equal">
      <formula>"未完成"</formula>
    </cfRule>
  </conditionalFormatting>
  <conditionalFormatting sqref="AL1006">
    <cfRule type="cellIs" dxfId="0" priority="4053" operator="equal">
      <formula>"欠"</formula>
    </cfRule>
  </conditionalFormatting>
  <conditionalFormatting sqref="Q1007">
    <cfRule type="cellIs" dxfId="0" priority="3796" operator="equal">
      <formula>"欠"</formula>
    </cfRule>
  </conditionalFormatting>
  <conditionalFormatting sqref="R1007">
    <cfRule type="containsText" dxfId="0" priority="3801" operator="between" text="欠">
      <formula>NOT(ISERROR(SEARCH("欠",R1007)))</formula>
    </cfRule>
    <cfRule type="cellIs" dxfId="0" priority="3816" operator="equal">
      <formula>"欠"</formula>
    </cfRule>
  </conditionalFormatting>
  <conditionalFormatting sqref="S1007">
    <cfRule type="cellIs" dxfId="0" priority="3836" operator="equal">
      <formula>"欠"</formula>
    </cfRule>
  </conditionalFormatting>
  <conditionalFormatting sqref="T1007:U1007">
    <cfRule type="containsText" dxfId="0" priority="3806" operator="between" text="欠">
      <formula>NOT(ISERROR(SEARCH("欠",T1007)))</formula>
    </cfRule>
    <cfRule type="containsText" dxfId="2" priority="3826" operator="between" text="欠">
      <formula>NOT(ISERROR(SEARCH("欠",T1007)))</formula>
    </cfRule>
    <cfRule type="cellIs" dxfId="0" priority="3831" operator="equal">
      <formula>"欠"</formula>
    </cfRule>
  </conditionalFormatting>
  <conditionalFormatting sqref="V1007">
    <cfRule type="cellIs" dxfId="0" priority="3776" operator="equal">
      <formula>"欠"</formula>
    </cfRule>
  </conditionalFormatting>
  <conditionalFormatting sqref="AK1007">
    <cfRule type="cellIs" dxfId="1" priority="3786" operator="equal">
      <formula>"未完成"</formula>
    </cfRule>
    <cfRule type="cellIs" dxfId="0" priority="3791" operator="equal">
      <formula>"未完成"</formula>
    </cfRule>
  </conditionalFormatting>
  <conditionalFormatting sqref="AL1007">
    <cfRule type="cellIs" dxfId="0" priority="3781" operator="equal">
      <formula>"欠"</formula>
    </cfRule>
  </conditionalFormatting>
  <conditionalFormatting sqref="Q1008">
    <cfRule type="cellIs" dxfId="0" priority="4482" operator="equal">
      <formula>"欠"</formula>
    </cfRule>
  </conditionalFormatting>
  <conditionalFormatting sqref="R1008">
    <cfRule type="containsText" dxfId="0" priority="4472" operator="between" text="欠">
      <formula>NOT(ISERROR(SEARCH("欠",R1008)))</formula>
    </cfRule>
    <cfRule type="cellIs" dxfId="0" priority="4473" operator="equal">
      <formula>"欠"</formula>
    </cfRule>
  </conditionalFormatting>
  <conditionalFormatting sqref="S1008">
    <cfRule type="cellIs" dxfId="0" priority="4476" operator="equal">
      <formula>"欠"</formula>
    </cfRule>
  </conditionalFormatting>
  <conditionalFormatting sqref="T1008:U1008">
    <cfRule type="containsText" dxfId="0" priority="4474" operator="between" text="欠">
      <formula>NOT(ISERROR(SEARCH("欠",T1008)))</formula>
    </cfRule>
    <cfRule type="cellIs" dxfId="0" priority="4475" operator="equal">
      <formula>"欠"</formula>
    </cfRule>
  </conditionalFormatting>
  <conditionalFormatting sqref="V1008">
    <cfRule type="cellIs" dxfId="0" priority="4478" operator="equal">
      <formula>"欠"</formula>
    </cfRule>
  </conditionalFormatting>
  <conditionalFormatting sqref="AK1008">
    <cfRule type="cellIs" dxfId="1" priority="4480" operator="equal">
      <formula>"未完成"</formula>
    </cfRule>
    <cfRule type="cellIs" dxfId="0" priority="4481" operator="equal">
      <formula>"未完成"</formula>
    </cfRule>
  </conditionalFormatting>
  <conditionalFormatting sqref="AL1008">
    <cfRule type="cellIs" dxfId="0" priority="4479" operator="equal">
      <formula>"欠"</formula>
    </cfRule>
  </conditionalFormatting>
  <conditionalFormatting sqref="Q1009">
    <cfRule type="cellIs" dxfId="0" priority="4571" operator="equal">
      <formula>"欠"</formula>
    </cfRule>
  </conditionalFormatting>
  <conditionalFormatting sqref="AK1009">
    <cfRule type="cellIs" dxfId="1" priority="4569" operator="equal">
      <formula>"未完成"</formula>
    </cfRule>
    <cfRule type="cellIs" dxfId="0" priority="4570" operator="equal">
      <formula>"未完成"</formula>
    </cfRule>
  </conditionalFormatting>
  <conditionalFormatting sqref="AL1009">
    <cfRule type="cellIs" dxfId="0" priority="4568" operator="equal">
      <formula>"欠"</formula>
    </cfRule>
  </conditionalFormatting>
  <conditionalFormatting sqref="Q1010">
    <cfRule type="cellIs" dxfId="0" priority="4690" operator="equal">
      <formula>"欠"</formula>
    </cfRule>
  </conditionalFormatting>
  <conditionalFormatting sqref="V1010">
    <cfRule type="cellIs" dxfId="0" priority="4686" operator="equal">
      <formula>"欠"</formula>
    </cfRule>
  </conditionalFormatting>
  <conditionalFormatting sqref="AK1010">
    <cfRule type="cellIs" dxfId="1" priority="4688" operator="equal">
      <formula>"未完成"</formula>
    </cfRule>
    <cfRule type="cellIs" dxfId="0" priority="4689" operator="equal">
      <formula>"未完成"</formula>
    </cfRule>
  </conditionalFormatting>
  <conditionalFormatting sqref="AL1010">
    <cfRule type="cellIs" dxfId="0" priority="4687" operator="equal">
      <formula>"欠"</formula>
    </cfRule>
  </conditionalFormatting>
  <conditionalFormatting sqref="Q1011">
    <cfRule type="cellIs" dxfId="0" priority="4912" operator="equal">
      <formula>"欠"</formula>
    </cfRule>
  </conditionalFormatting>
  <conditionalFormatting sqref="V1011">
    <cfRule type="cellIs" dxfId="0" priority="4908" operator="equal">
      <formula>"欠"</formula>
    </cfRule>
  </conditionalFormatting>
  <conditionalFormatting sqref="AK1011">
    <cfRule type="cellIs" dxfId="1" priority="4910" operator="equal">
      <formula>"未完成"</formula>
    </cfRule>
    <cfRule type="cellIs" dxfId="0" priority="4911" operator="equal">
      <formula>"未完成"</formula>
    </cfRule>
  </conditionalFormatting>
  <conditionalFormatting sqref="AL1011">
    <cfRule type="cellIs" dxfId="0" priority="4909" operator="equal">
      <formula>"欠"</formula>
    </cfRule>
  </conditionalFormatting>
  <conditionalFormatting sqref="Q1012">
    <cfRule type="cellIs" dxfId="0" priority="4900" operator="equal">
      <formula>"欠"</formula>
    </cfRule>
  </conditionalFormatting>
  <conditionalFormatting sqref="V1012">
    <cfRule type="cellIs" dxfId="0" priority="4896" operator="equal">
      <formula>"欠"</formula>
    </cfRule>
  </conditionalFormatting>
  <conditionalFormatting sqref="AK1012">
    <cfRule type="cellIs" dxfId="1" priority="4898" operator="equal">
      <formula>"未完成"</formula>
    </cfRule>
    <cfRule type="cellIs" dxfId="0" priority="4899" operator="equal">
      <formula>"未完成"</formula>
    </cfRule>
  </conditionalFormatting>
  <conditionalFormatting sqref="AL1012">
    <cfRule type="cellIs" dxfId="0" priority="4897" operator="equal">
      <formula>"欠"</formula>
    </cfRule>
  </conditionalFormatting>
  <conditionalFormatting sqref="AG1013">
    <cfRule type="cellIs" dxfId="0" priority="4356" operator="equal">
      <formula>"未完成"</formula>
    </cfRule>
  </conditionalFormatting>
  <conditionalFormatting sqref="AL1013:AM1013">
    <cfRule type="cellIs" dxfId="1" priority="4359" operator="equal">
      <formula>"未完成"</formula>
    </cfRule>
    <cfRule type="cellIs" dxfId="0" priority="4360" operator="equal">
      <formula>"未完成"</formula>
    </cfRule>
  </conditionalFormatting>
  <conditionalFormatting sqref="V1014:W1014">
    <cfRule type="cellIs" dxfId="0" priority="4347" operator="equal">
      <formula>"欠"</formula>
    </cfRule>
  </conditionalFormatting>
  <conditionalFormatting sqref="AG1014">
    <cfRule type="cellIs" dxfId="0" priority="4345" operator="equal">
      <formula>"未完成"</formula>
    </cfRule>
  </conditionalFormatting>
  <conditionalFormatting sqref="AL1014:AM1014">
    <cfRule type="cellIs" dxfId="1" priority="4348" operator="equal">
      <formula>"未完成"</formula>
    </cfRule>
    <cfRule type="cellIs" dxfId="0" priority="4349" operator="equal">
      <formula>"未完成"</formula>
    </cfRule>
  </conditionalFormatting>
  <conditionalFormatting sqref="V1015:W1015">
    <cfRule type="cellIs" dxfId="0" priority="4336" operator="equal">
      <formula>"欠"</formula>
    </cfRule>
  </conditionalFormatting>
  <conditionalFormatting sqref="AG1015">
    <cfRule type="cellIs" dxfId="0" priority="4334" operator="equal">
      <formula>"未完成"</formula>
    </cfRule>
  </conditionalFormatting>
  <conditionalFormatting sqref="AL1015:AM1015">
    <cfRule type="cellIs" dxfId="1" priority="4337" operator="equal">
      <formula>"未完成"</formula>
    </cfRule>
    <cfRule type="cellIs" dxfId="0" priority="4338" operator="equal">
      <formula>"未完成"</formula>
    </cfRule>
  </conditionalFormatting>
  <conditionalFormatting sqref="Q1017">
    <cfRule type="cellIs" dxfId="0" priority="4543" operator="equal">
      <formula>"欠"</formula>
    </cfRule>
  </conditionalFormatting>
  <conditionalFormatting sqref="R1017">
    <cfRule type="containsText" dxfId="0" priority="4545" operator="between" text="欠">
      <formula>NOT(ISERROR(SEARCH("欠",R1017)))</formula>
    </cfRule>
    <cfRule type="cellIs" dxfId="0" priority="4546" operator="equal">
      <formula>"欠"</formula>
    </cfRule>
  </conditionalFormatting>
  <conditionalFormatting sqref="S1017">
    <cfRule type="cellIs" dxfId="0" priority="4535" operator="equal">
      <formula>"欠"</formula>
    </cfRule>
  </conditionalFormatting>
  <conditionalFormatting sqref="T1017:U1017">
    <cfRule type="containsText" dxfId="0" priority="4537" operator="between" text="欠">
      <formula>NOT(ISERROR(SEARCH("欠",T1017)))</formula>
    </cfRule>
    <cfRule type="cellIs" dxfId="0" priority="4538" operator="equal">
      <formula>"欠"</formula>
    </cfRule>
  </conditionalFormatting>
  <conditionalFormatting sqref="V1017">
    <cfRule type="cellIs" dxfId="0" priority="4539" operator="equal">
      <formula>"欠"</formula>
    </cfRule>
  </conditionalFormatting>
  <conditionalFormatting sqref="AK1017">
    <cfRule type="cellIs" dxfId="1" priority="4541" operator="equal">
      <formula>"未完成"</formula>
    </cfRule>
    <cfRule type="cellIs" dxfId="0" priority="4542" operator="equal">
      <formula>"未完成"</formula>
    </cfRule>
  </conditionalFormatting>
  <conditionalFormatting sqref="AL1017">
    <cfRule type="cellIs" dxfId="0" priority="4540" operator="equal">
      <formula>"欠"</formula>
    </cfRule>
  </conditionalFormatting>
  <conditionalFormatting sqref="Q1018">
    <cfRule type="cellIs" dxfId="0" priority="3735" operator="equal">
      <formula>"欠"</formula>
    </cfRule>
  </conditionalFormatting>
  <conditionalFormatting sqref="T1018:U1018">
    <cfRule type="containsText" dxfId="0" priority="3693" operator="between" text="欠">
      <formula>NOT(ISERROR(SEARCH("欠",T1018)))</formula>
    </cfRule>
    <cfRule type="cellIs" dxfId="0" priority="3700" operator="equal">
      <formula>"欠"</formula>
    </cfRule>
  </conditionalFormatting>
  <conditionalFormatting sqref="V1018">
    <cfRule type="cellIs" dxfId="0" priority="3707" operator="equal">
      <formula>"欠"</formula>
    </cfRule>
  </conditionalFormatting>
  <conditionalFormatting sqref="AK1018">
    <cfRule type="cellIs" dxfId="1" priority="3721" operator="equal">
      <formula>"未完成"</formula>
    </cfRule>
    <cfRule type="cellIs" dxfId="0" priority="3728" operator="equal">
      <formula>"未完成"</formula>
    </cfRule>
  </conditionalFormatting>
  <conditionalFormatting sqref="AL1018">
    <cfRule type="cellIs" dxfId="0" priority="3714" operator="equal">
      <formula>"欠"</formula>
    </cfRule>
  </conditionalFormatting>
  <conditionalFormatting sqref="Q1019">
    <cfRule type="cellIs" dxfId="0" priority="3797" operator="equal">
      <formula>"欠"</formula>
    </cfRule>
  </conditionalFormatting>
  <conditionalFormatting sqref="R1019">
    <cfRule type="containsText" dxfId="0" priority="3802" operator="between" text="欠">
      <formula>NOT(ISERROR(SEARCH("欠",R1019)))</formula>
    </cfRule>
    <cfRule type="cellIs" dxfId="0" priority="3817" operator="equal">
      <formula>"欠"</formula>
    </cfRule>
  </conditionalFormatting>
  <conditionalFormatting sqref="S1019">
    <cfRule type="cellIs" dxfId="0" priority="3837" operator="equal">
      <formula>"欠"</formula>
    </cfRule>
  </conditionalFormatting>
  <conditionalFormatting sqref="T1019:U1019">
    <cfRule type="containsText" dxfId="0" priority="3807" operator="between" text="欠">
      <formula>NOT(ISERROR(SEARCH("欠",T1019)))</formula>
    </cfRule>
    <cfRule type="containsText" dxfId="2" priority="3827" operator="between" text="欠">
      <formula>NOT(ISERROR(SEARCH("欠",T1019)))</formula>
    </cfRule>
    <cfRule type="cellIs" dxfId="0" priority="3832" operator="equal">
      <formula>"欠"</formula>
    </cfRule>
  </conditionalFormatting>
  <conditionalFormatting sqref="V1019">
    <cfRule type="cellIs" dxfId="0" priority="3777" operator="equal">
      <formula>"欠"</formula>
    </cfRule>
  </conditionalFormatting>
  <conditionalFormatting sqref="AK1019">
    <cfRule type="cellIs" dxfId="1" priority="3787" operator="equal">
      <formula>"未完成"</formula>
    </cfRule>
    <cfRule type="cellIs" dxfId="0" priority="3792" operator="equal">
      <formula>"未完成"</formula>
    </cfRule>
  </conditionalFormatting>
  <conditionalFormatting sqref="AL1019">
    <cfRule type="cellIs" dxfId="0" priority="3782" operator="equal">
      <formula>"欠"</formula>
    </cfRule>
  </conditionalFormatting>
  <conditionalFormatting sqref="Q1020">
    <cfRule type="cellIs" dxfId="0" priority="4303" operator="equal">
      <formula>"欠"</formula>
    </cfRule>
  </conditionalFormatting>
  <conditionalFormatting sqref="V1020">
    <cfRule type="cellIs" dxfId="0" priority="4299" operator="equal">
      <formula>"欠"</formula>
    </cfRule>
  </conditionalFormatting>
  <conditionalFormatting sqref="AK1020">
    <cfRule type="cellIs" dxfId="1" priority="4301" operator="equal">
      <formula>"未完成"</formula>
    </cfRule>
    <cfRule type="cellIs" dxfId="0" priority="4302" operator="equal">
      <formula>"未完成"</formula>
    </cfRule>
  </conditionalFormatting>
  <conditionalFormatting sqref="AL1020">
    <cfRule type="cellIs" dxfId="0" priority="4300" operator="equal">
      <formula>"欠"</formula>
    </cfRule>
  </conditionalFormatting>
  <conditionalFormatting sqref="Q1021">
    <cfRule type="cellIs" dxfId="0" priority="3739" operator="equal">
      <formula>"欠"</formula>
    </cfRule>
  </conditionalFormatting>
  <conditionalFormatting sqref="V1021">
    <cfRule type="cellIs" dxfId="0" priority="3711" operator="equal">
      <formula>"欠"</formula>
    </cfRule>
  </conditionalFormatting>
  <conditionalFormatting sqref="AK1021">
    <cfRule type="cellIs" dxfId="1" priority="3725" operator="equal">
      <formula>"未完成"</formula>
    </cfRule>
    <cfRule type="cellIs" dxfId="0" priority="3732" operator="equal">
      <formula>"未完成"</formula>
    </cfRule>
  </conditionalFormatting>
  <conditionalFormatting sqref="AL1021">
    <cfRule type="cellIs" dxfId="0" priority="3718" operator="equal">
      <formula>"欠"</formula>
    </cfRule>
  </conditionalFormatting>
  <conditionalFormatting sqref="Q1022">
    <cfRule type="cellIs" dxfId="0" priority="3738" operator="equal">
      <formula>"欠"</formula>
    </cfRule>
  </conditionalFormatting>
  <conditionalFormatting sqref="V1022">
    <cfRule type="cellIs" dxfId="0" priority="3710" operator="equal">
      <formula>"欠"</formula>
    </cfRule>
  </conditionalFormatting>
  <conditionalFormatting sqref="AK1022">
    <cfRule type="cellIs" dxfId="1" priority="3724" operator="equal">
      <formula>"未完成"</formula>
    </cfRule>
    <cfRule type="cellIs" dxfId="0" priority="3731" operator="equal">
      <formula>"未完成"</formula>
    </cfRule>
  </conditionalFormatting>
  <conditionalFormatting sqref="AL1022">
    <cfRule type="cellIs" dxfId="0" priority="3717" operator="equal">
      <formula>"欠"</formula>
    </cfRule>
  </conditionalFormatting>
  <conditionalFormatting sqref="Q1023">
    <cfRule type="cellIs" dxfId="0" priority="2923" operator="equal">
      <formula>"欠"</formula>
    </cfRule>
  </conditionalFormatting>
  <conditionalFormatting sqref="R1023">
    <cfRule type="containsText" dxfId="0" priority="2929" operator="between" text="欠">
      <formula>NOT(ISERROR(SEARCH("欠",R1023)))</formula>
    </cfRule>
    <cfRule type="cellIs" dxfId="0" priority="2947" operator="equal">
      <formula>"欠"</formula>
    </cfRule>
  </conditionalFormatting>
  <conditionalFormatting sqref="S1023">
    <cfRule type="cellIs" dxfId="0" priority="2971" operator="equal">
      <formula>"欠"</formula>
    </cfRule>
  </conditionalFormatting>
  <conditionalFormatting sqref="T1023:U1023">
    <cfRule type="cellIs" dxfId="0" priority="2892" operator="equal">
      <formula>"欠"</formula>
    </cfRule>
  </conditionalFormatting>
  <conditionalFormatting sqref="V1023">
    <cfRule type="cellIs" dxfId="0" priority="2899" operator="equal">
      <formula>"欠"</formula>
    </cfRule>
  </conditionalFormatting>
  <conditionalFormatting sqref="AK1023">
    <cfRule type="cellIs" dxfId="1" priority="2911" operator="equal">
      <formula>"未完成"</formula>
    </cfRule>
    <cfRule type="cellIs" dxfId="0" priority="2917" operator="equal">
      <formula>"未完成"</formula>
    </cfRule>
  </conditionalFormatting>
  <conditionalFormatting sqref="AL1023">
    <cfRule type="cellIs" dxfId="0" priority="2905" operator="equal">
      <formula>"欠"</formula>
    </cfRule>
  </conditionalFormatting>
  <conditionalFormatting sqref="Q1024">
    <cfRule type="cellIs" dxfId="0" priority="3557" operator="equal">
      <formula>"欠"</formula>
    </cfRule>
  </conditionalFormatting>
  <conditionalFormatting sqref="R1024">
    <cfRule type="containsText" dxfId="0" priority="3552" operator="between" text="欠">
      <formula>NOT(ISERROR(SEARCH("欠",R1024)))</formula>
    </cfRule>
    <cfRule type="cellIs" dxfId="0" priority="3553" operator="equal">
      <formula>"欠"</formula>
    </cfRule>
  </conditionalFormatting>
  <conditionalFormatting sqref="T1024:U1024">
    <cfRule type="containsText" dxfId="0" priority="3549" operator="between" text="欠">
      <formula>NOT(ISERROR(SEARCH("欠",T1024)))</formula>
    </cfRule>
    <cfRule type="cellIs" dxfId="0" priority="3550" operator="equal">
      <formula>"欠"</formula>
    </cfRule>
  </conditionalFormatting>
  <conditionalFormatting sqref="AK1024">
    <cfRule type="cellIs" dxfId="1" priority="3555" operator="equal">
      <formula>"未完成"</formula>
    </cfRule>
    <cfRule type="cellIs" dxfId="0" priority="3556" operator="equal">
      <formula>"未完成"</formula>
    </cfRule>
  </conditionalFormatting>
  <conditionalFormatting sqref="AL1024">
    <cfRule type="cellIs" dxfId="0" priority="3554" operator="equal">
      <formula>"欠"</formula>
    </cfRule>
  </conditionalFormatting>
  <conditionalFormatting sqref="Q1025">
    <cfRule type="cellIs" dxfId="0" priority="4654" operator="equal">
      <formula>"欠"</formula>
    </cfRule>
  </conditionalFormatting>
  <conditionalFormatting sqref="V1025">
    <cfRule type="cellIs" dxfId="0" priority="4650" operator="equal">
      <formula>"欠"</formula>
    </cfRule>
  </conditionalFormatting>
  <conditionalFormatting sqref="AK1025">
    <cfRule type="cellIs" dxfId="1" priority="4652" operator="equal">
      <formula>"未完成"</formula>
    </cfRule>
    <cfRule type="cellIs" dxfId="0" priority="4653" operator="equal">
      <formula>"未完成"</formula>
    </cfRule>
  </conditionalFormatting>
  <conditionalFormatting sqref="AL1025">
    <cfRule type="cellIs" dxfId="0" priority="4651" operator="equal">
      <formula>"欠"</formula>
    </cfRule>
  </conditionalFormatting>
  <conditionalFormatting sqref="Q1026">
    <cfRule type="cellIs" dxfId="0" priority="4630" operator="equal">
      <formula>"欠"</formula>
    </cfRule>
  </conditionalFormatting>
  <conditionalFormatting sqref="V1026">
    <cfRule type="cellIs" dxfId="0" priority="4626" operator="equal">
      <formula>"欠"</formula>
    </cfRule>
  </conditionalFormatting>
  <conditionalFormatting sqref="AK1026">
    <cfRule type="cellIs" dxfId="1" priority="4628" operator="equal">
      <formula>"未完成"</formula>
    </cfRule>
    <cfRule type="cellIs" dxfId="0" priority="4629" operator="equal">
      <formula>"未完成"</formula>
    </cfRule>
  </conditionalFormatting>
  <conditionalFormatting sqref="AL1026">
    <cfRule type="cellIs" dxfId="0" priority="4627" operator="equal">
      <formula>"欠"</formula>
    </cfRule>
  </conditionalFormatting>
  <conditionalFormatting sqref="Q1027">
    <cfRule type="cellIs" dxfId="0" priority="1620" operator="equal">
      <formula>"欠"</formula>
    </cfRule>
  </conditionalFormatting>
  <conditionalFormatting sqref="R1027">
    <cfRule type="containsText" dxfId="0" priority="1615" operator="between" text="欠">
      <formula>NOT(ISERROR(SEARCH("欠",R1027)))</formula>
    </cfRule>
    <cfRule type="cellIs" dxfId="0" priority="1616" operator="equal">
      <formula>"欠"</formula>
    </cfRule>
  </conditionalFormatting>
  <conditionalFormatting sqref="S1027">
    <cfRule type="cellIs" dxfId="0" priority="1614" operator="equal">
      <formula>"欠"</formula>
    </cfRule>
  </conditionalFormatting>
  <conditionalFormatting sqref="T1027:U1027">
    <cfRule type="containsText" dxfId="0" priority="1612" operator="between" text="欠">
      <formula>NOT(ISERROR(SEARCH("欠",T1027)))</formula>
    </cfRule>
    <cfRule type="cellIs" dxfId="0" priority="1613" operator="equal">
      <formula>"欠"</formula>
    </cfRule>
  </conditionalFormatting>
  <conditionalFormatting sqref="AK1027">
    <cfRule type="cellIs" dxfId="1" priority="1618" operator="equal">
      <formula>"未完成"</formula>
    </cfRule>
    <cfRule type="cellIs" dxfId="0" priority="1619" operator="equal">
      <formula>"未完成"</formula>
    </cfRule>
  </conditionalFormatting>
  <conditionalFormatting sqref="AL1027">
    <cfRule type="cellIs" dxfId="0" priority="1617" operator="equal">
      <formula>"欠"</formula>
    </cfRule>
  </conditionalFormatting>
  <conditionalFormatting sqref="Q1028">
    <cfRule type="cellIs" dxfId="0" priority="2926" operator="equal">
      <formula>"欠"</formula>
    </cfRule>
  </conditionalFormatting>
  <conditionalFormatting sqref="R1028">
    <cfRule type="containsText" dxfId="0" priority="2932" operator="between" text="欠">
      <formula>NOT(ISERROR(SEARCH("欠",R1028)))</formula>
    </cfRule>
    <cfRule type="cellIs" dxfId="0" priority="2950" operator="equal">
      <formula>"欠"</formula>
    </cfRule>
  </conditionalFormatting>
  <conditionalFormatting sqref="S1028">
    <cfRule type="cellIs" dxfId="0" priority="2974" operator="equal">
      <formula>"欠"</formula>
    </cfRule>
  </conditionalFormatting>
  <conditionalFormatting sqref="T1028:U1028">
    <cfRule type="containsText" dxfId="0" priority="2938" operator="between" text="欠">
      <formula>NOT(ISERROR(SEARCH("欠",T1028)))</formula>
    </cfRule>
    <cfRule type="containsText" dxfId="2" priority="2962" operator="between" text="欠">
      <formula>NOT(ISERROR(SEARCH("欠",T1028)))</formula>
    </cfRule>
    <cfRule type="cellIs" dxfId="0" priority="2968" operator="equal">
      <formula>"欠"</formula>
    </cfRule>
  </conditionalFormatting>
  <conditionalFormatting sqref="V1028">
    <cfRule type="cellIs" dxfId="0" priority="2902" operator="equal">
      <formula>"欠"</formula>
    </cfRule>
  </conditionalFormatting>
  <conditionalFormatting sqref="AK1028">
    <cfRule type="cellIs" dxfId="1" priority="2914" operator="equal">
      <formula>"未完成"</formula>
    </cfRule>
    <cfRule type="cellIs" dxfId="0" priority="2920" operator="equal">
      <formula>"未完成"</formula>
    </cfRule>
  </conditionalFormatting>
  <conditionalFormatting sqref="AL1028">
    <cfRule type="cellIs" dxfId="0" priority="2908" operator="equal">
      <formula>"欠"</formula>
    </cfRule>
  </conditionalFormatting>
  <conditionalFormatting sqref="Q1029">
    <cfRule type="cellIs" dxfId="0" priority="4383" operator="equal">
      <formula>"欠"</formula>
    </cfRule>
  </conditionalFormatting>
  <conditionalFormatting sqref="R1029">
    <cfRule type="containsText" dxfId="0" priority="4384" operator="between" text="欠">
      <formula>NOT(ISERROR(SEARCH("欠",R1029)))</formula>
    </cfRule>
    <cfRule type="cellIs" dxfId="0" priority="4386" operator="equal">
      <formula>"欠"</formula>
    </cfRule>
  </conditionalFormatting>
  <conditionalFormatting sqref="S1029">
    <cfRule type="cellIs" dxfId="0" priority="4375" operator="equal">
      <formula>"欠"</formula>
    </cfRule>
  </conditionalFormatting>
  <conditionalFormatting sqref="V1029">
    <cfRule type="cellIs" dxfId="0" priority="4379" operator="equal">
      <formula>"欠"</formula>
    </cfRule>
  </conditionalFormatting>
  <conditionalFormatting sqref="AK1029">
    <cfRule type="cellIs" dxfId="1" priority="4381" operator="equal">
      <formula>"未完成"</formula>
    </cfRule>
    <cfRule type="cellIs" dxfId="0" priority="4382" operator="equal">
      <formula>"未完成"</formula>
    </cfRule>
  </conditionalFormatting>
  <conditionalFormatting sqref="AL1029">
    <cfRule type="cellIs" dxfId="0" priority="4380" operator="equal">
      <formula>"欠"</formula>
    </cfRule>
  </conditionalFormatting>
  <conditionalFormatting sqref="Q1030">
    <cfRule type="cellIs" dxfId="0" priority="4468" operator="equal">
      <formula>"欠"</formula>
    </cfRule>
  </conditionalFormatting>
  <conditionalFormatting sqref="V1030">
    <cfRule type="cellIs" dxfId="0" priority="4464" operator="equal">
      <formula>"欠"</formula>
    </cfRule>
  </conditionalFormatting>
  <conditionalFormatting sqref="AK1030">
    <cfRule type="cellIs" dxfId="1" priority="4466" operator="equal">
      <formula>"未完成"</formula>
    </cfRule>
    <cfRule type="cellIs" dxfId="0" priority="4467" operator="equal">
      <formula>"未完成"</formula>
    </cfRule>
  </conditionalFormatting>
  <conditionalFormatting sqref="AL1030">
    <cfRule type="cellIs" dxfId="0" priority="4465" operator="equal">
      <formula>"欠"</formula>
    </cfRule>
  </conditionalFormatting>
  <conditionalFormatting sqref="Q1031">
    <cfRule type="cellIs" dxfId="0" priority="3544" operator="equal">
      <formula>"欠"</formula>
    </cfRule>
  </conditionalFormatting>
  <conditionalFormatting sqref="R1031">
    <cfRule type="containsText" dxfId="0" priority="3546" operator="between" text="欠">
      <formula>NOT(ISERROR(SEARCH("欠",R1031)))</formula>
    </cfRule>
    <cfRule type="cellIs" dxfId="0" priority="3547" operator="equal">
      <formula>"欠"</formula>
    </cfRule>
  </conditionalFormatting>
  <conditionalFormatting sqref="S1031">
    <cfRule type="cellIs" dxfId="0" priority="3545" operator="equal">
      <formula>"欠"</formula>
    </cfRule>
  </conditionalFormatting>
  <conditionalFormatting sqref="T1031:U1031">
    <cfRule type="containsText" dxfId="0" priority="3539" operator="between" text="欠">
      <formula>NOT(ISERROR(SEARCH("欠",T1031)))</formula>
    </cfRule>
    <cfRule type="cellIs" dxfId="0" priority="3540" operator="equal">
      <formula>"欠"</formula>
    </cfRule>
  </conditionalFormatting>
  <conditionalFormatting sqref="V1031">
    <cfRule type="cellIs" dxfId="0" priority="3548" operator="equal">
      <formula>"欠"</formula>
    </cfRule>
  </conditionalFormatting>
  <conditionalFormatting sqref="AK1031">
    <cfRule type="cellIs" dxfId="1" priority="3542" operator="equal">
      <formula>"未完成"</formula>
    </cfRule>
    <cfRule type="cellIs" dxfId="0" priority="3543" operator="equal">
      <formula>"未完成"</formula>
    </cfRule>
  </conditionalFormatting>
  <conditionalFormatting sqref="AL1031">
    <cfRule type="cellIs" dxfId="0" priority="3541" operator="equal">
      <formula>"欠"</formula>
    </cfRule>
  </conditionalFormatting>
  <conditionalFormatting sqref="T1032:U1032">
    <cfRule type="containsText" dxfId="0" priority="2007" operator="between" text="欠">
      <formula>NOT(ISERROR(SEARCH("欠",T1032)))</formula>
    </cfRule>
    <cfRule type="cellIs" dxfId="0" priority="2008" operator="equal">
      <formula>"欠"</formula>
    </cfRule>
  </conditionalFormatting>
  <conditionalFormatting sqref="V1032">
    <cfRule type="cellIs" dxfId="0" priority="4452" operator="equal">
      <formula>"欠"</formula>
    </cfRule>
  </conditionalFormatting>
  <conditionalFormatting sqref="AK1032">
    <cfRule type="cellIs" dxfId="1" priority="4454" operator="equal">
      <formula>"未完成"</formula>
    </cfRule>
    <cfRule type="cellIs" dxfId="0" priority="4455" operator="equal">
      <formula>"未完成"</formula>
    </cfRule>
  </conditionalFormatting>
  <conditionalFormatting sqref="AL1032">
    <cfRule type="cellIs" dxfId="0" priority="4453" operator="equal">
      <formula>"欠"</formula>
    </cfRule>
  </conditionalFormatting>
  <conditionalFormatting sqref="V1033">
    <cfRule type="cellIs" dxfId="0" priority="3515" operator="equal">
      <formula>"欠"</formula>
    </cfRule>
  </conditionalFormatting>
  <conditionalFormatting sqref="AK1033">
    <cfRule type="cellIs" dxfId="1" priority="3485" operator="equal">
      <formula>"未完成"</formula>
    </cfRule>
    <cfRule type="cellIs" dxfId="0" priority="3490" operator="equal">
      <formula>"未完成"</formula>
    </cfRule>
  </conditionalFormatting>
  <conditionalFormatting sqref="V1034">
    <cfRule type="cellIs" dxfId="0" priority="3514" operator="equal">
      <formula>"欠"</formula>
    </cfRule>
  </conditionalFormatting>
  <conditionalFormatting sqref="AK1034">
    <cfRule type="cellIs" dxfId="1" priority="3484" operator="equal">
      <formula>"未完成"</formula>
    </cfRule>
    <cfRule type="cellIs" dxfId="0" priority="3489" operator="equal">
      <formula>"未完成"</formula>
    </cfRule>
  </conditionalFormatting>
  <conditionalFormatting sqref="V1035">
    <cfRule type="cellIs" dxfId="0" priority="3513" operator="equal">
      <formula>"欠"</formula>
    </cfRule>
  </conditionalFormatting>
  <conditionalFormatting sqref="AK1035">
    <cfRule type="cellIs" dxfId="1" priority="3483" operator="equal">
      <formula>"未完成"</formula>
    </cfRule>
    <cfRule type="cellIs" dxfId="0" priority="3488" operator="equal">
      <formula>"未完成"</formula>
    </cfRule>
  </conditionalFormatting>
  <conditionalFormatting sqref="V1036">
    <cfRule type="cellIs" dxfId="0" priority="3512" operator="equal">
      <formula>"欠"</formula>
    </cfRule>
  </conditionalFormatting>
  <conditionalFormatting sqref="AK1036">
    <cfRule type="cellIs" dxfId="1" priority="3482" operator="equal">
      <formula>"未完成"</formula>
    </cfRule>
    <cfRule type="cellIs" dxfId="0" priority="3487" operator="equal">
      <formula>"未完成"</formula>
    </cfRule>
  </conditionalFormatting>
  <conditionalFormatting sqref="V1037">
    <cfRule type="cellIs" dxfId="0" priority="3511" operator="equal">
      <formula>"欠"</formula>
    </cfRule>
  </conditionalFormatting>
  <conditionalFormatting sqref="AK1037">
    <cfRule type="cellIs" dxfId="1" priority="3481" operator="equal">
      <formula>"未完成"</formula>
    </cfRule>
    <cfRule type="cellIs" dxfId="0" priority="3486" operator="equal">
      <formula>"未完成"</formula>
    </cfRule>
  </conditionalFormatting>
  <conditionalFormatting sqref="T1038:U1038">
    <cfRule type="containsText" dxfId="0" priority="2005" operator="between" text="欠">
      <formula>NOT(ISERROR(SEARCH("欠",T1038)))</formula>
    </cfRule>
    <cfRule type="cellIs" dxfId="0" priority="2006" operator="equal">
      <formula>"欠"</formula>
    </cfRule>
  </conditionalFormatting>
  <conditionalFormatting sqref="V1038">
    <cfRule type="cellIs" dxfId="0" priority="4440" operator="equal">
      <formula>"欠"</formula>
    </cfRule>
  </conditionalFormatting>
  <conditionalFormatting sqref="AK1038">
    <cfRule type="cellIs" dxfId="1" priority="4442" operator="equal">
      <formula>"未完成"</formula>
    </cfRule>
    <cfRule type="cellIs" dxfId="0" priority="4443" operator="equal">
      <formula>"未完成"</formula>
    </cfRule>
  </conditionalFormatting>
  <conditionalFormatting sqref="AL1038">
    <cfRule type="cellIs" dxfId="0" priority="4441" operator="equal">
      <formula>"欠"</formula>
    </cfRule>
  </conditionalFormatting>
  <conditionalFormatting sqref="Q1039">
    <cfRule type="cellIs" dxfId="0" priority="3740" operator="equal">
      <formula>"欠"</formula>
    </cfRule>
  </conditionalFormatting>
  <conditionalFormatting sqref="R1039">
    <cfRule type="containsText" dxfId="0" priority="3747" operator="between" text="欠">
      <formula>NOT(ISERROR(SEARCH("欠",R1039)))</formula>
    </cfRule>
    <cfRule type="cellIs" dxfId="0" priority="3754" operator="equal">
      <formula>"欠"</formula>
    </cfRule>
  </conditionalFormatting>
  <conditionalFormatting sqref="T1039:U1039">
    <cfRule type="containsText" dxfId="0" priority="3698" operator="between" text="欠">
      <formula>NOT(ISERROR(SEARCH("欠",T1039)))</formula>
    </cfRule>
    <cfRule type="cellIs" dxfId="0" priority="3705" operator="equal">
      <formula>"欠"</formula>
    </cfRule>
  </conditionalFormatting>
  <conditionalFormatting sqref="AK1039">
    <cfRule type="cellIs" dxfId="1" priority="3726" operator="equal">
      <formula>"未完成"</formula>
    </cfRule>
    <cfRule type="cellIs" dxfId="0" priority="3733" operator="equal">
      <formula>"未完成"</formula>
    </cfRule>
  </conditionalFormatting>
  <conditionalFormatting sqref="AL1039">
    <cfRule type="cellIs" dxfId="0" priority="3719" operator="equal">
      <formula>"欠"</formula>
    </cfRule>
  </conditionalFormatting>
  <conditionalFormatting sqref="Q1040">
    <cfRule type="cellIs" dxfId="0" priority="3736" operator="equal">
      <formula>"欠"</formula>
    </cfRule>
  </conditionalFormatting>
  <conditionalFormatting sqref="R1040">
    <cfRule type="containsText" dxfId="0" priority="3743" operator="between" text="欠">
      <formula>NOT(ISERROR(SEARCH("欠",R1040)))</formula>
    </cfRule>
    <cfRule type="cellIs" dxfId="0" priority="3750" operator="equal">
      <formula>"欠"</formula>
    </cfRule>
  </conditionalFormatting>
  <conditionalFormatting sqref="T1040:U1040">
    <cfRule type="containsText" dxfId="0" priority="3694" operator="between" text="欠">
      <formula>NOT(ISERROR(SEARCH("欠",T1040)))</formula>
    </cfRule>
    <cfRule type="cellIs" dxfId="0" priority="3701" operator="equal">
      <formula>"欠"</formula>
    </cfRule>
  </conditionalFormatting>
  <conditionalFormatting sqref="AK1040">
    <cfRule type="cellIs" dxfId="1" priority="3722" operator="equal">
      <formula>"未完成"</formula>
    </cfRule>
    <cfRule type="cellIs" dxfId="0" priority="3729" operator="equal">
      <formula>"未完成"</formula>
    </cfRule>
  </conditionalFormatting>
  <conditionalFormatting sqref="AL1040">
    <cfRule type="cellIs" dxfId="0" priority="3715" operator="equal">
      <formula>"欠"</formula>
    </cfRule>
  </conditionalFormatting>
  <conditionalFormatting sqref="T1041:U1041">
    <cfRule type="containsText" dxfId="0" priority="2003" operator="between" text="欠">
      <formula>NOT(ISERROR(SEARCH("欠",T1041)))</formula>
    </cfRule>
    <cfRule type="cellIs" dxfId="0" priority="2004" operator="equal">
      <formula>"欠"</formula>
    </cfRule>
  </conditionalFormatting>
  <conditionalFormatting sqref="V1041">
    <cfRule type="cellIs" dxfId="0" priority="4428" operator="equal">
      <formula>"欠"</formula>
    </cfRule>
  </conditionalFormatting>
  <conditionalFormatting sqref="AK1041">
    <cfRule type="cellIs" dxfId="1" priority="4430" operator="equal">
      <formula>"未完成"</formula>
    </cfRule>
    <cfRule type="cellIs" dxfId="0" priority="4431" operator="equal">
      <formula>"未完成"</formula>
    </cfRule>
  </conditionalFormatting>
  <conditionalFormatting sqref="AL1041">
    <cfRule type="cellIs" dxfId="0" priority="4429" operator="equal">
      <formula>"欠"</formula>
    </cfRule>
  </conditionalFormatting>
  <conditionalFormatting sqref="Q1042">
    <cfRule type="cellIs" dxfId="0" priority="4562" operator="equal">
      <formula>"欠"</formula>
    </cfRule>
  </conditionalFormatting>
  <conditionalFormatting sqref="AK1042">
    <cfRule type="cellIs" dxfId="1" priority="4560" operator="equal">
      <formula>"未完成"</formula>
    </cfRule>
    <cfRule type="cellIs" dxfId="0" priority="4561" operator="equal">
      <formula>"未完成"</formula>
    </cfRule>
  </conditionalFormatting>
  <conditionalFormatting sqref="AL1042">
    <cfRule type="cellIs" dxfId="0" priority="4559" operator="equal">
      <formula>"欠"</formula>
    </cfRule>
  </conditionalFormatting>
  <conditionalFormatting sqref="Q1044">
    <cfRule type="cellIs" dxfId="0" priority="3142" operator="equal">
      <formula>"欠"</formula>
    </cfRule>
  </conditionalFormatting>
  <conditionalFormatting sqref="S1044">
    <cfRule type="cellIs" dxfId="0" priority="3318" operator="equal">
      <formula>"欠"</formula>
    </cfRule>
  </conditionalFormatting>
  <conditionalFormatting sqref="T1044:U1044">
    <cfRule type="containsText" dxfId="0" priority="3186" operator="between" text="欠">
      <formula>NOT(ISERROR(SEARCH("欠",T1044)))</formula>
    </cfRule>
    <cfRule type="containsText" dxfId="2" priority="3274" operator="between" text="欠">
      <formula>NOT(ISERROR(SEARCH("欠",T1044)))</formula>
    </cfRule>
    <cfRule type="cellIs" dxfId="0" priority="3296" operator="equal">
      <formula>"欠"</formula>
    </cfRule>
  </conditionalFormatting>
  <conditionalFormatting sqref="V1044">
    <cfRule type="cellIs" dxfId="0" priority="3054" operator="equal">
      <formula>"欠"</formula>
    </cfRule>
  </conditionalFormatting>
  <conditionalFormatting sqref="AK1044">
    <cfRule type="cellIs" dxfId="1" priority="3098" operator="equal">
      <formula>"未完成"</formula>
    </cfRule>
    <cfRule type="cellIs" dxfId="0" priority="3120" operator="equal">
      <formula>"未完成"</formula>
    </cfRule>
  </conditionalFormatting>
  <conditionalFormatting sqref="AL1044">
    <cfRule type="cellIs" dxfId="0" priority="3076" operator="equal">
      <formula>"欠"</formula>
    </cfRule>
  </conditionalFormatting>
  <conditionalFormatting sqref="Q1045">
    <cfRule type="cellIs" dxfId="0" priority="3141" operator="equal">
      <formula>"欠"</formula>
    </cfRule>
  </conditionalFormatting>
  <conditionalFormatting sqref="S1045">
    <cfRule type="cellIs" dxfId="0" priority="3317" operator="equal">
      <formula>"欠"</formula>
    </cfRule>
  </conditionalFormatting>
  <conditionalFormatting sqref="T1045:U1045">
    <cfRule type="containsText" dxfId="0" priority="3185" operator="between" text="欠">
      <formula>NOT(ISERROR(SEARCH("欠",T1045)))</formula>
    </cfRule>
    <cfRule type="containsText" dxfId="2" priority="3273" operator="between" text="欠">
      <formula>NOT(ISERROR(SEARCH("欠",T1045)))</formula>
    </cfRule>
    <cfRule type="cellIs" dxfId="0" priority="3295" operator="equal">
      <formula>"欠"</formula>
    </cfRule>
  </conditionalFormatting>
  <conditionalFormatting sqref="V1045">
    <cfRule type="cellIs" dxfId="0" priority="3053" operator="equal">
      <formula>"欠"</formula>
    </cfRule>
  </conditionalFormatting>
  <conditionalFormatting sqref="AK1045">
    <cfRule type="cellIs" dxfId="1" priority="3097" operator="equal">
      <formula>"未完成"</formula>
    </cfRule>
    <cfRule type="cellIs" dxfId="0" priority="3119" operator="equal">
      <formula>"未完成"</formula>
    </cfRule>
  </conditionalFormatting>
  <conditionalFormatting sqref="AL1045">
    <cfRule type="cellIs" dxfId="0" priority="3075" operator="equal">
      <formula>"欠"</formula>
    </cfRule>
  </conditionalFormatting>
  <conditionalFormatting sqref="Q1046">
    <cfRule type="cellIs" dxfId="0" priority="3138" operator="equal">
      <formula>"欠"</formula>
    </cfRule>
  </conditionalFormatting>
  <conditionalFormatting sqref="R1046">
    <cfRule type="containsText" dxfId="0" priority="3160" operator="between" text="欠">
      <formula>NOT(ISERROR(SEARCH("欠",R1046)))</formula>
    </cfRule>
    <cfRule type="cellIs" dxfId="0" priority="3226" operator="equal">
      <formula>"欠"</formula>
    </cfRule>
  </conditionalFormatting>
  <conditionalFormatting sqref="S1046">
    <cfRule type="cellIs" dxfId="0" priority="3314" operator="equal">
      <formula>"欠"</formula>
    </cfRule>
  </conditionalFormatting>
  <conditionalFormatting sqref="T1046:U1046">
    <cfRule type="containsText" dxfId="0" priority="3182" operator="between" text="欠">
      <formula>NOT(ISERROR(SEARCH("欠",T1046)))</formula>
    </cfRule>
    <cfRule type="containsText" dxfId="2" priority="3270" operator="between" text="欠">
      <formula>NOT(ISERROR(SEARCH("欠",T1046)))</formula>
    </cfRule>
    <cfRule type="cellIs" dxfId="0" priority="3292" operator="equal">
      <formula>"欠"</formula>
    </cfRule>
  </conditionalFormatting>
  <conditionalFormatting sqref="V1046">
    <cfRule type="cellIs" dxfId="0" priority="3050" operator="equal">
      <formula>"欠"</formula>
    </cfRule>
  </conditionalFormatting>
  <conditionalFormatting sqref="AK1046">
    <cfRule type="cellIs" dxfId="1" priority="3094" operator="equal">
      <formula>"未完成"</formula>
    </cfRule>
    <cfRule type="cellIs" dxfId="0" priority="3116" operator="equal">
      <formula>"未完成"</formula>
    </cfRule>
  </conditionalFormatting>
  <conditionalFormatting sqref="AL1046">
    <cfRule type="cellIs" dxfId="0" priority="3072" operator="equal">
      <formula>"欠"</formula>
    </cfRule>
  </conditionalFormatting>
  <conditionalFormatting sqref="Q1047">
    <cfRule type="cellIs" dxfId="0" priority="3843" operator="equal">
      <formula>"欠"</formula>
    </cfRule>
  </conditionalFormatting>
  <conditionalFormatting sqref="R1047">
    <cfRule type="containsText" dxfId="0" priority="3844" operator="between" text="欠">
      <formula>NOT(ISERROR(SEARCH("欠",R1047)))</formula>
    </cfRule>
    <cfRule type="cellIs" dxfId="0" priority="3847" operator="equal">
      <formula>"欠"</formula>
    </cfRule>
  </conditionalFormatting>
  <conditionalFormatting sqref="S1047">
    <cfRule type="cellIs" dxfId="0" priority="3851" operator="equal">
      <formula>"欠"</formula>
    </cfRule>
  </conditionalFormatting>
  <conditionalFormatting sqref="T1047:U1047">
    <cfRule type="containsText" dxfId="0" priority="3845" operator="between" text="欠">
      <formula>NOT(ISERROR(SEARCH("欠",T1047)))</formula>
    </cfRule>
    <cfRule type="containsText" dxfId="2" priority="3849" operator="between" text="欠">
      <formula>NOT(ISERROR(SEARCH("欠",T1047)))</formula>
    </cfRule>
    <cfRule type="cellIs" dxfId="0" priority="3850" operator="equal">
      <formula>"欠"</formula>
    </cfRule>
  </conditionalFormatting>
  <conditionalFormatting sqref="V1047">
    <cfRule type="cellIs" dxfId="0" priority="3839" operator="equal">
      <formula>"欠"</formula>
    </cfRule>
  </conditionalFormatting>
  <conditionalFormatting sqref="AK1047">
    <cfRule type="cellIs" dxfId="1" priority="3841" operator="equal">
      <formula>"未完成"</formula>
    </cfRule>
    <cfRule type="cellIs" dxfId="0" priority="3842" operator="equal">
      <formula>"未完成"</formula>
    </cfRule>
  </conditionalFormatting>
  <conditionalFormatting sqref="AL1047">
    <cfRule type="cellIs" dxfId="0" priority="3840" operator="equal">
      <formula>"欠"</formula>
    </cfRule>
  </conditionalFormatting>
  <conditionalFormatting sqref="Q1048">
    <cfRule type="cellIs" dxfId="0" priority="4419" operator="equal">
      <formula>"欠"</formula>
    </cfRule>
  </conditionalFormatting>
  <conditionalFormatting sqref="R1048">
    <cfRule type="containsText" dxfId="0" priority="4421" operator="between" text="欠">
      <formula>NOT(ISERROR(SEARCH("欠",R1048)))</formula>
    </cfRule>
    <cfRule type="cellIs" dxfId="0" priority="4423" operator="equal">
      <formula>"欠"</formula>
    </cfRule>
  </conditionalFormatting>
  <conditionalFormatting sqref="T1048:U1048">
    <cfRule type="containsText" dxfId="0" priority="4413" operator="between" text="欠">
      <formula>NOT(ISERROR(SEARCH("欠",T1048)))</formula>
    </cfRule>
    <cfRule type="cellIs" dxfId="0" priority="4414" operator="equal">
      <formula>"欠"</formula>
    </cfRule>
  </conditionalFormatting>
  <conditionalFormatting sqref="V1048">
    <cfRule type="cellIs" dxfId="0" priority="4415" operator="equal">
      <formula>"欠"</formula>
    </cfRule>
  </conditionalFormatting>
  <conditionalFormatting sqref="AK1048">
    <cfRule type="cellIs" dxfId="1" priority="4417" operator="equal">
      <formula>"未完成"</formula>
    </cfRule>
    <cfRule type="cellIs" dxfId="0" priority="4418" operator="equal">
      <formula>"未完成"</formula>
    </cfRule>
  </conditionalFormatting>
  <conditionalFormatting sqref="AL1048">
    <cfRule type="cellIs" dxfId="0" priority="4416" operator="equal">
      <formula>"欠"</formula>
    </cfRule>
  </conditionalFormatting>
  <conditionalFormatting sqref="AG1049">
    <cfRule type="cellIs" dxfId="0" priority="4981" operator="equal">
      <formula>"未完成"</formula>
    </cfRule>
  </conditionalFormatting>
  <conditionalFormatting sqref="AL1049:AM1049">
    <cfRule type="cellIs" dxfId="1" priority="4984" operator="equal">
      <formula>"未完成"</formula>
    </cfRule>
    <cfRule type="cellIs" dxfId="0" priority="4985" operator="equal">
      <formula>"未完成"</formula>
    </cfRule>
  </conditionalFormatting>
  <conditionalFormatting sqref="V1050:W1050">
    <cfRule type="cellIs" dxfId="0" priority="4972" operator="equal">
      <formula>"欠"</formula>
    </cfRule>
  </conditionalFormatting>
  <conditionalFormatting sqref="AG1050">
    <cfRule type="cellIs" dxfId="0" priority="4970" operator="equal">
      <formula>"未完成"</formula>
    </cfRule>
  </conditionalFormatting>
  <conditionalFormatting sqref="AL1050:AM1050">
    <cfRule type="cellIs" dxfId="1" priority="4973" operator="equal">
      <formula>"未完成"</formula>
    </cfRule>
    <cfRule type="cellIs" dxfId="0" priority="4974" operator="equal">
      <formula>"未完成"</formula>
    </cfRule>
  </conditionalFormatting>
  <conditionalFormatting sqref="V1051:W1051">
    <cfRule type="cellIs" dxfId="0" priority="4961" operator="equal">
      <formula>"欠"</formula>
    </cfRule>
  </conditionalFormatting>
  <conditionalFormatting sqref="AG1051">
    <cfRule type="cellIs" dxfId="0" priority="4959" operator="equal">
      <formula>"未完成"</formula>
    </cfRule>
  </conditionalFormatting>
  <conditionalFormatting sqref="AL1051:AM1051">
    <cfRule type="cellIs" dxfId="1" priority="4962" operator="equal">
      <formula>"未完成"</formula>
    </cfRule>
    <cfRule type="cellIs" dxfId="0" priority="4963" operator="equal">
      <formula>"未完成"</formula>
    </cfRule>
  </conditionalFormatting>
  <conditionalFormatting sqref="Q1052">
    <cfRule type="cellIs" dxfId="0" priority="430" operator="equal">
      <formula>"欠"</formula>
    </cfRule>
  </conditionalFormatting>
  <conditionalFormatting sqref="R1052">
    <cfRule type="containsText" dxfId="0" priority="422" operator="between" text="欠">
      <formula>NOT(ISERROR(SEARCH("欠",R1052)))</formula>
    </cfRule>
    <cfRule type="cellIs" dxfId="0" priority="423" operator="equal">
      <formula>"欠"</formula>
    </cfRule>
  </conditionalFormatting>
  <conditionalFormatting sqref="S1052">
    <cfRule type="cellIs" dxfId="0" priority="424" operator="equal">
      <formula>"欠"</formula>
    </cfRule>
  </conditionalFormatting>
  <conditionalFormatting sqref="T1052:U1052">
    <cfRule type="containsText" dxfId="0" priority="431" operator="between" text="欠">
      <formula>NOT(ISERROR(SEARCH("欠",T1052)))</formula>
    </cfRule>
    <cfRule type="containsText" dxfId="2" priority="432" operator="between" text="欠">
      <formula>NOT(ISERROR(SEARCH("欠",T1052)))</formula>
    </cfRule>
    <cfRule type="cellIs" dxfId="0" priority="433" operator="equal">
      <formula>"欠"</formula>
    </cfRule>
  </conditionalFormatting>
  <conditionalFormatting sqref="V1052">
    <cfRule type="cellIs" dxfId="0" priority="426" operator="equal">
      <formula>"欠"</formula>
    </cfRule>
  </conditionalFormatting>
  <conditionalFormatting sqref="AK1052">
    <cfRule type="cellIs" dxfId="1" priority="428" operator="equal">
      <formula>"未完成"</formula>
    </cfRule>
    <cfRule type="cellIs" dxfId="0" priority="429" operator="equal">
      <formula>"未完成"</formula>
    </cfRule>
  </conditionalFormatting>
  <conditionalFormatting sqref="AL1052">
    <cfRule type="cellIs" dxfId="0" priority="427" operator="equal">
      <formula>"欠"</formula>
    </cfRule>
  </conditionalFormatting>
  <conditionalFormatting sqref="Q1053">
    <cfRule type="cellIs" dxfId="0" priority="3125" operator="equal">
      <formula>"欠"</formula>
    </cfRule>
  </conditionalFormatting>
  <conditionalFormatting sqref="T1053:U1053">
    <cfRule type="containsText" dxfId="0" priority="3169" operator="between" text="欠">
      <formula>NOT(ISERROR(SEARCH("欠",T1053)))</formula>
    </cfRule>
    <cfRule type="containsText" dxfId="2" priority="3257" operator="between" text="欠">
      <formula>NOT(ISERROR(SEARCH("欠",T1053)))</formula>
    </cfRule>
    <cfRule type="cellIs" dxfId="0" priority="3279" operator="equal">
      <formula>"欠"</formula>
    </cfRule>
  </conditionalFormatting>
  <conditionalFormatting sqref="V1053">
    <cfRule type="cellIs" dxfId="0" priority="3037" operator="equal">
      <formula>"欠"</formula>
    </cfRule>
  </conditionalFormatting>
  <conditionalFormatting sqref="AK1053">
    <cfRule type="cellIs" dxfId="1" priority="3081" operator="equal">
      <formula>"未完成"</formula>
    </cfRule>
    <cfRule type="cellIs" dxfId="0" priority="3103" operator="equal">
      <formula>"未完成"</formula>
    </cfRule>
  </conditionalFormatting>
  <conditionalFormatting sqref="AL1053">
    <cfRule type="cellIs" dxfId="0" priority="3059" operator="equal">
      <formula>"欠"</formula>
    </cfRule>
  </conditionalFormatting>
  <conditionalFormatting sqref="Q1054">
    <cfRule type="cellIs" dxfId="0" priority="3413" operator="equal">
      <formula>"欠"</formula>
    </cfRule>
  </conditionalFormatting>
  <conditionalFormatting sqref="T1054:U1054">
    <cfRule type="containsText" dxfId="0" priority="3417" operator="between" text="欠">
      <formula>NOT(ISERROR(SEARCH("欠",T1054)))</formula>
    </cfRule>
    <cfRule type="containsText" dxfId="2" priority="3425" operator="between" text="欠">
      <formula>NOT(ISERROR(SEARCH("欠",T1054)))</formula>
    </cfRule>
    <cfRule type="cellIs" dxfId="0" priority="3427" operator="equal">
      <formula>"欠"</formula>
    </cfRule>
  </conditionalFormatting>
  <conditionalFormatting sqref="V1054">
    <cfRule type="cellIs" dxfId="0" priority="3405" operator="equal">
      <formula>"欠"</formula>
    </cfRule>
  </conditionalFormatting>
  <conditionalFormatting sqref="AK1054">
    <cfRule type="cellIs" dxfId="1" priority="3409" operator="equal">
      <formula>"未完成"</formula>
    </cfRule>
    <cfRule type="cellIs" dxfId="0" priority="3411" operator="equal">
      <formula>"未完成"</formula>
    </cfRule>
  </conditionalFormatting>
  <conditionalFormatting sqref="AL1054">
    <cfRule type="cellIs" dxfId="0" priority="3407" operator="equal">
      <formula>"欠"</formula>
    </cfRule>
  </conditionalFormatting>
  <conditionalFormatting sqref="Q1055">
    <cfRule type="cellIs" dxfId="0" priority="508" operator="equal">
      <formula>"欠"</formula>
    </cfRule>
  </conditionalFormatting>
  <conditionalFormatting sqref="T1055:U1055">
    <cfRule type="containsText" dxfId="0" priority="2760" operator="between" text="欠">
      <formula>NOT(ISERROR(SEARCH("欠",T1055)))</formula>
    </cfRule>
    <cfRule type="containsText" dxfId="2" priority="2761" operator="between" text="欠">
      <formula>NOT(ISERROR(SEARCH("欠",T1055)))</formula>
    </cfRule>
    <cfRule type="cellIs" dxfId="0" priority="2762" operator="equal">
      <formula>"欠"</formula>
    </cfRule>
  </conditionalFormatting>
  <conditionalFormatting sqref="V1055">
    <cfRule type="cellIs" dxfId="0" priority="3406" operator="equal">
      <formula>"欠"</formula>
    </cfRule>
  </conditionalFormatting>
  <conditionalFormatting sqref="AK1055">
    <cfRule type="cellIs" dxfId="1" priority="3410" operator="equal">
      <formula>"未完成"</formula>
    </cfRule>
    <cfRule type="cellIs" dxfId="0" priority="3412" operator="equal">
      <formula>"未完成"</formula>
    </cfRule>
  </conditionalFormatting>
  <conditionalFormatting sqref="AL1055">
    <cfRule type="cellIs" dxfId="0" priority="3408" operator="equal">
      <formula>"欠"</formula>
    </cfRule>
  </conditionalFormatting>
  <conditionalFormatting sqref="Q1056">
    <cfRule type="cellIs" dxfId="0" priority="3354" operator="equal">
      <formula>"欠"</formula>
    </cfRule>
  </conditionalFormatting>
  <conditionalFormatting sqref="R1056">
    <cfRule type="containsText" dxfId="0" priority="3360" operator="between" text="欠">
      <formula>NOT(ISERROR(SEARCH("欠",R1056)))</formula>
    </cfRule>
    <cfRule type="cellIs" dxfId="0" priority="3378" operator="equal">
      <formula>"欠"</formula>
    </cfRule>
  </conditionalFormatting>
  <conditionalFormatting sqref="S1056">
    <cfRule type="cellIs" dxfId="0" priority="3402" operator="equal">
      <formula>"欠"</formula>
    </cfRule>
  </conditionalFormatting>
  <conditionalFormatting sqref="T1056:U1056">
    <cfRule type="containsText" dxfId="0" priority="3366" operator="between" text="欠">
      <formula>NOT(ISERROR(SEARCH("欠",T1056)))</formula>
    </cfRule>
    <cfRule type="containsText" dxfId="2" priority="3390" operator="between" text="欠">
      <formula>NOT(ISERROR(SEARCH("欠",T1056)))</formula>
    </cfRule>
    <cfRule type="cellIs" dxfId="0" priority="3396" operator="equal">
      <formula>"欠"</formula>
    </cfRule>
  </conditionalFormatting>
  <conditionalFormatting sqref="V1056">
    <cfRule type="cellIs" dxfId="0" priority="3330" operator="equal">
      <formula>"欠"</formula>
    </cfRule>
  </conditionalFormatting>
  <conditionalFormatting sqref="AK1056">
    <cfRule type="cellIs" dxfId="1" priority="3342" operator="equal">
      <formula>"未完成"</formula>
    </cfRule>
    <cfRule type="cellIs" dxfId="0" priority="3348" operator="equal">
      <formula>"未完成"</formula>
    </cfRule>
  </conditionalFormatting>
  <conditionalFormatting sqref="AL1056">
    <cfRule type="cellIs" dxfId="0" priority="3336" operator="equal">
      <formula>"欠"</formula>
    </cfRule>
  </conditionalFormatting>
  <conditionalFormatting sqref="Q1058">
    <cfRule type="cellIs" dxfId="0" priority="2925" operator="equal">
      <formula>"欠"</formula>
    </cfRule>
  </conditionalFormatting>
  <conditionalFormatting sqref="R1058">
    <cfRule type="containsText" dxfId="0" priority="2931" operator="between" text="欠">
      <formula>NOT(ISERROR(SEARCH("欠",R1058)))</formula>
    </cfRule>
    <cfRule type="cellIs" dxfId="0" priority="2949" operator="equal">
      <formula>"欠"</formula>
    </cfRule>
  </conditionalFormatting>
  <conditionalFormatting sqref="S1058">
    <cfRule type="cellIs" dxfId="0" priority="2973" operator="equal">
      <formula>"欠"</formula>
    </cfRule>
  </conditionalFormatting>
  <conditionalFormatting sqref="T1058:U1058">
    <cfRule type="containsText" dxfId="0" priority="2937" operator="between" text="欠">
      <formula>NOT(ISERROR(SEARCH("欠",T1058)))</formula>
    </cfRule>
    <cfRule type="containsText" dxfId="2" priority="2961" operator="between" text="欠">
      <formula>NOT(ISERROR(SEARCH("欠",T1058)))</formula>
    </cfRule>
    <cfRule type="cellIs" dxfId="0" priority="2967" operator="equal">
      <formula>"欠"</formula>
    </cfRule>
  </conditionalFormatting>
  <conditionalFormatting sqref="V1058">
    <cfRule type="cellIs" dxfId="0" priority="2901" operator="equal">
      <formula>"欠"</formula>
    </cfRule>
  </conditionalFormatting>
  <conditionalFormatting sqref="AK1058">
    <cfRule type="cellIs" dxfId="1" priority="2913" operator="equal">
      <formula>"未完成"</formula>
    </cfRule>
    <cfRule type="cellIs" dxfId="0" priority="2919" operator="equal">
      <formula>"未完成"</formula>
    </cfRule>
  </conditionalFormatting>
  <conditionalFormatting sqref="AL1058">
    <cfRule type="cellIs" dxfId="0" priority="2907" operator="equal">
      <formula>"欠"</formula>
    </cfRule>
  </conditionalFormatting>
  <conditionalFormatting sqref="Q1060">
    <cfRule type="cellIs" dxfId="0" priority="3353" operator="equal">
      <formula>"欠"</formula>
    </cfRule>
  </conditionalFormatting>
  <conditionalFormatting sqref="V1060">
    <cfRule type="cellIs" dxfId="0" priority="3329" operator="equal">
      <formula>"欠"</formula>
    </cfRule>
  </conditionalFormatting>
  <conditionalFormatting sqref="AK1060">
    <cfRule type="cellIs" dxfId="1" priority="3341" operator="equal">
      <formula>"未完成"</formula>
    </cfRule>
    <cfRule type="cellIs" dxfId="0" priority="3347" operator="equal">
      <formula>"未完成"</formula>
    </cfRule>
  </conditionalFormatting>
  <conditionalFormatting sqref="AL1060">
    <cfRule type="cellIs" dxfId="0" priority="3335" operator="equal">
      <formula>"欠"</formula>
    </cfRule>
  </conditionalFormatting>
  <conditionalFormatting sqref="Q1061">
    <cfRule type="cellIs" dxfId="0" priority="3352" operator="equal">
      <formula>"欠"</formula>
    </cfRule>
  </conditionalFormatting>
  <conditionalFormatting sqref="V1061">
    <cfRule type="cellIs" dxfId="0" priority="3328" operator="equal">
      <formula>"欠"</formula>
    </cfRule>
  </conditionalFormatting>
  <conditionalFormatting sqref="AK1061">
    <cfRule type="cellIs" dxfId="1" priority="3340" operator="equal">
      <formula>"未完成"</formula>
    </cfRule>
    <cfRule type="cellIs" dxfId="0" priority="3346" operator="equal">
      <formula>"未完成"</formula>
    </cfRule>
  </conditionalFormatting>
  <conditionalFormatting sqref="AL1061">
    <cfRule type="cellIs" dxfId="0" priority="3334" operator="equal">
      <formula>"欠"</formula>
    </cfRule>
  </conditionalFormatting>
  <conditionalFormatting sqref="Q1062">
    <cfRule type="cellIs" dxfId="0" priority="2882" operator="equal">
      <formula>"欠"</formula>
    </cfRule>
  </conditionalFormatting>
  <conditionalFormatting sqref="R1062">
    <cfRule type="containsText" dxfId="0" priority="2883" operator="between" text="欠">
      <formula>NOT(ISERROR(SEARCH("欠",R1062)))</formula>
    </cfRule>
    <cfRule type="cellIs" dxfId="0" priority="2886" operator="equal">
      <formula>"欠"</formula>
    </cfRule>
  </conditionalFormatting>
  <conditionalFormatting sqref="S1062">
    <cfRule type="cellIs" dxfId="0" priority="2890" operator="equal">
      <formula>"欠"</formula>
    </cfRule>
  </conditionalFormatting>
  <conditionalFormatting sqref="T1062:U1062">
    <cfRule type="containsText" dxfId="0" priority="2884" operator="between" text="欠">
      <formula>NOT(ISERROR(SEARCH("欠",T1062)))</formula>
    </cfRule>
    <cfRule type="containsText" dxfId="2" priority="2888" operator="between" text="欠">
      <formula>NOT(ISERROR(SEARCH("欠",T1062)))</formula>
    </cfRule>
    <cfRule type="cellIs" dxfId="0" priority="2889" operator="equal">
      <formula>"欠"</formula>
    </cfRule>
  </conditionalFormatting>
  <conditionalFormatting sqref="V1062">
    <cfRule type="cellIs" dxfId="0" priority="2878" operator="equal">
      <formula>"欠"</formula>
    </cfRule>
  </conditionalFormatting>
  <conditionalFormatting sqref="AK1062">
    <cfRule type="cellIs" dxfId="1" priority="2880" operator="equal">
      <formula>"未完成"</formula>
    </cfRule>
    <cfRule type="cellIs" dxfId="0" priority="2881" operator="equal">
      <formula>"未完成"</formula>
    </cfRule>
  </conditionalFormatting>
  <conditionalFormatting sqref="AL1062">
    <cfRule type="cellIs" dxfId="0" priority="2879" operator="equal">
      <formula>"欠"</formula>
    </cfRule>
  </conditionalFormatting>
  <conditionalFormatting sqref="Q1063">
    <cfRule type="cellIs" dxfId="0" priority="3657" operator="equal">
      <formula>"欠"</formula>
    </cfRule>
  </conditionalFormatting>
  <conditionalFormatting sqref="V1063">
    <cfRule type="cellIs" dxfId="0" priority="3641" operator="equal">
      <formula>"欠"</formula>
    </cfRule>
  </conditionalFormatting>
  <conditionalFormatting sqref="AK1063">
    <cfRule type="cellIs" dxfId="1" priority="3649" operator="equal">
      <formula>"未完成"</formula>
    </cfRule>
    <cfRule type="cellIs" dxfId="0" priority="3653" operator="equal">
      <formula>"未完成"</formula>
    </cfRule>
  </conditionalFormatting>
  <conditionalFormatting sqref="AL1063">
    <cfRule type="cellIs" dxfId="0" priority="3645" operator="equal">
      <formula>"欠"</formula>
    </cfRule>
  </conditionalFormatting>
  <conditionalFormatting sqref="Q1064">
    <cfRule type="cellIs" dxfId="0" priority="3656" operator="equal">
      <formula>"欠"</formula>
    </cfRule>
  </conditionalFormatting>
  <conditionalFormatting sqref="V1064">
    <cfRule type="cellIs" dxfId="0" priority="3640" operator="equal">
      <formula>"欠"</formula>
    </cfRule>
  </conditionalFormatting>
  <conditionalFormatting sqref="AK1064">
    <cfRule type="cellIs" dxfId="1" priority="3648" operator="equal">
      <formula>"未完成"</formula>
    </cfRule>
    <cfRule type="cellIs" dxfId="0" priority="3652" operator="equal">
      <formula>"未完成"</formula>
    </cfRule>
  </conditionalFormatting>
  <conditionalFormatting sqref="AL1064">
    <cfRule type="cellIs" dxfId="0" priority="3644" operator="equal">
      <formula>"欠"</formula>
    </cfRule>
  </conditionalFormatting>
  <conditionalFormatting sqref="Q1065">
    <cfRule type="cellIs" dxfId="0" priority="2924" operator="equal">
      <formula>"欠"</formula>
    </cfRule>
  </conditionalFormatting>
  <conditionalFormatting sqref="R1065">
    <cfRule type="containsText" dxfId="0" priority="2930" operator="between" text="欠">
      <formula>NOT(ISERROR(SEARCH("欠",R1065)))</formula>
    </cfRule>
    <cfRule type="cellIs" dxfId="0" priority="2948" operator="equal">
      <formula>"欠"</formula>
    </cfRule>
  </conditionalFormatting>
  <conditionalFormatting sqref="S1065">
    <cfRule type="cellIs" dxfId="0" priority="2972" operator="equal">
      <formula>"欠"</formula>
    </cfRule>
  </conditionalFormatting>
  <conditionalFormatting sqref="T1065:U1065">
    <cfRule type="containsText" dxfId="0" priority="2936" operator="between" text="欠">
      <formula>NOT(ISERROR(SEARCH("欠",T1065)))</formula>
    </cfRule>
    <cfRule type="containsText" dxfId="2" priority="2960" operator="between" text="欠">
      <formula>NOT(ISERROR(SEARCH("欠",T1065)))</formula>
    </cfRule>
    <cfRule type="cellIs" dxfId="0" priority="2966" operator="equal">
      <formula>"欠"</formula>
    </cfRule>
  </conditionalFormatting>
  <conditionalFormatting sqref="V1065">
    <cfRule type="cellIs" dxfId="0" priority="2900" operator="equal">
      <formula>"欠"</formula>
    </cfRule>
  </conditionalFormatting>
  <conditionalFormatting sqref="AK1065">
    <cfRule type="cellIs" dxfId="1" priority="2912" operator="equal">
      <formula>"未完成"</formula>
    </cfRule>
    <cfRule type="cellIs" dxfId="0" priority="2918" operator="equal">
      <formula>"未完成"</formula>
    </cfRule>
  </conditionalFormatting>
  <conditionalFormatting sqref="AL1065">
    <cfRule type="cellIs" dxfId="0" priority="2906" operator="equal">
      <formula>"欠"</formula>
    </cfRule>
  </conditionalFormatting>
  <conditionalFormatting sqref="Q1066">
    <cfRule type="cellIs" dxfId="0" priority="3602" operator="equal">
      <formula>"欠"</formula>
    </cfRule>
  </conditionalFormatting>
  <conditionalFormatting sqref="V1066">
    <cfRule type="cellIs" dxfId="0" priority="3582" operator="equal">
      <formula>"欠"</formula>
    </cfRule>
  </conditionalFormatting>
  <conditionalFormatting sqref="AK1066">
    <cfRule type="cellIs" dxfId="1" priority="3592" operator="equal">
      <formula>"未完成"</formula>
    </cfRule>
    <cfRule type="cellIs" dxfId="0" priority="3597" operator="equal">
      <formula>"未完成"</formula>
    </cfRule>
  </conditionalFormatting>
  <conditionalFormatting sqref="AL1066">
    <cfRule type="cellIs" dxfId="0" priority="3587" operator="equal">
      <formula>"欠"</formula>
    </cfRule>
  </conditionalFormatting>
  <conditionalFormatting sqref="Q1067">
    <cfRule type="cellIs" dxfId="0" priority="3601" operator="equal">
      <formula>"欠"</formula>
    </cfRule>
  </conditionalFormatting>
  <conditionalFormatting sqref="V1067">
    <cfRule type="cellIs" dxfId="0" priority="3581" operator="equal">
      <formula>"欠"</formula>
    </cfRule>
  </conditionalFormatting>
  <conditionalFormatting sqref="AK1067">
    <cfRule type="cellIs" dxfId="1" priority="3591" operator="equal">
      <formula>"未完成"</formula>
    </cfRule>
    <cfRule type="cellIs" dxfId="0" priority="3596" operator="equal">
      <formula>"未完成"</formula>
    </cfRule>
  </conditionalFormatting>
  <conditionalFormatting sqref="AL1067">
    <cfRule type="cellIs" dxfId="0" priority="3586" operator="equal">
      <formula>"欠"</formula>
    </cfRule>
  </conditionalFormatting>
  <conditionalFormatting sqref="Q1068">
    <cfRule type="cellIs" dxfId="0" priority="3600" operator="equal">
      <formula>"欠"</formula>
    </cfRule>
  </conditionalFormatting>
  <conditionalFormatting sqref="V1068">
    <cfRule type="cellIs" dxfId="0" priority="3580" operator="equal">
      <formula>"欠"</formula>
    </cfRule>
  </conditionalFormatting>
  <conditionalFormatting sqref="AK1068">
    <cfRule type="cellIs" dxfId="1" priority="3590" operator="equal">
      <formula>"未完成"</formula>
    </cfRule>
    <cfRule type="cellIs" dxfId="0" priority="3595" operator="equal">
      <formula>"未完成"</formula>
    </cfRule>
  </conditionalFormatting>
  <conditionalFormatting sqref="AL1068">
    <cfRule type="cellIs" dxfId="0" priority="3585" operator="equal">
      <formula>"欠"</formula>
    </cfRule>
  </conditionalFormatting>
  <conditionalFormatting sqref="Q1069">
    <cfRule type="cellIs" dxfId="0" priority="3599" operator="equal">
      <formula>"欠"</formula>
    </cfRule>
  </conditionalFormatting>
  <conditionalFormatting sqref="V1069">
    <cfRule type="cellIs" dxfId="0" priority="3579" operator="equal">
      <formula>"欠"</formula>
    </cfRule>
  </conditionalFormatting>
  <conditionalFormatting sqref="AK1069">
    <cfRule type="cellIs" dxfId="1" priority="3589" operator="equal">
      <formula>"未完成"</formula>
    </cfRule>
    <cfRule type="cellIs" dxfId="0" priority="3594" operator="equal">
      <formula>"未完成"</formula>
    </cfRule>
  </conditionalFormatting>
  <conditionalFormatting sqref="AL1069">
    <cfRule type="cellIs" dxfId="0" priority="3584" operator="equal">
      <formula>"欠"</formula>
    </cfRule>
  </conditionalFormatting>
  <conditionalFormatting sqref="Q1070">
    <cfRule type="cellIs" dxfId="0" priority="3598" operator="equal">
      <formula>"欠"</formula>
    </cfRule>
  </conditionalFormatting>
  <conditionalFormatting sqref="V1070">
    <cfRule type="cellIs" dxfId="0" priority="3578" operator="equal">
      <formula>"欠"</formula>
    </cfRule>
  </conditionalFormatting>
  <conditionalFormatting sqref="AK1070">
    <cfRule type="cellIs" dxfId="1" priority="3588" operator="equal">
      <formula>"未完成"</formula>
    </cfRule>
    <cfRule type="cellIs" dxfId="0" priority="3593" operator="equal">
      <formula>"未完成"</formula>
    </cfRule>
  </conditionalFormatting>
  <conditionalFormatting sqref="AL1070">
    <cfRule type="cellIs" dxfId="0" priority="3583" operator="equal">
      <formula>"欠"</formula>
    </cfRule>
  </conditionalFormatting>
  <conditionalFormatting sqref="Q1071">
    <cfRule type="cellIs" dxfId="0" priority="3737" operator="equal">
      <formula>"欠"</formula>
    </cfRule>
  </conditionalFormatting>
  <conditionalFormatting sqref="R1071">
    <cfRule type="containsText" dxfId="0" priority="3744" operator="between" text="欠">
      <formula>NOT(ISERROR(SEARCH("欠",R1071)))</formula>
    </cfRule>
    <cfRule type="cellIs" dxfId="0" priority="3751" operator="equal">
      <formula>"欠"</formula>
    </cfRule>
  </conditionalFormatting>
  <conditionalFormatting sqref="S1071">
    <cfRule type="cellIs" dxfId="0" priority="3681" operator="equal">
      <formula>"欠"</formula>
    </cfRule>
  </conditionalFormatting>
  <conditionalFormatting sqref="T1071:U1071">
    <cfRule type="containsText" dxfId="0" priority="3695" operator="between" text="欠">
      <formula>NOT(ISERROR(SEARCH("欠",T1071)))</formula>
    </cfRule>
    <cfRule type="cellIs" dxfId="0" priority="3702" operator="equal">
      <formula>"欠"</formula>
    </cfRule>
  </conditionalFormatting>
  <conditionalFormatting sqref="V1071">
    <cfRule type="cellIs" dxfId="0" priority="3709" operator="equal">
      <formula>"欠"</formula>
    </cfRule>
  </conditionalFormatting>
  <conditionalFormatting sqref="AK1071">
    <cfRule type="cellIs" dxfId="1" priority="3723" operator="equal">
      <formula>"未完成"</formula>
    </cfRule>
    <cfRule type="cellIs" dxfId="0" priority="3730" operator="equal">
      <formula>"未完成"</formula>
    </cfRule>
  </conditionalFormatting>
  <conditionalFormatting sqref="AL1071">
    <cfRule type="cellIs" dxfId="0" priority="3716" operator="equal">
      <formula>"欠"</formula>
    </cfRule>
  </conditionalFormatting>
  <conditionalFormatting sqref="Q1072">
    <cfRule type="cellIs" dxfId="0" priority="506" operator="equal">
      <formula>"欠"</formula>
    </cfRule>
  </conditionalFormatting>
  <conditionalFormatting sqref="T1072:U1072">
    <cfRule type="containsText" dxfId="0" priority="2792" operator="between" text="欠">
      <formula>NOT(ISERROR(SEARCH("欠",T1072)))</formula>
    </cfRule>
    <cfRule type="containsText" dxfId="2" priority="2808" operator="between" text="欠">
      <formula>NOT(ISERROR(SEARCH("欠",T1072)))</formula>
    </cfRule>
    <cfRule type="cellIs" dxfId="0" priority="2812" operator="equal">
      <formula>"欠"</formula>
    </cfRule>
  </conditionalFormatting>
  <conditionalFormatting sqref="V1072">
    <cfRule type="cellIs" dxfId="0" priority="2768" operator="equal">
      <formula>"欠"</formula>
    </cfRule>
  </conditionalFormatting>
  <conditionalFormatting sqref="AK1072">
    <cfRule type="cellIs" dxfId="1" priority="2776" operator="equal">
      <formula>"未完成"</formula>
    </cfRule>
    <cfRule type="cellIs" dxfId="0" priority="2780" operator="equal">
      <formula>"未完成"</formula>
    </cfRule>
  </conditionalFormatting>
  <conditionalFormatting sqref="AL1072">
    <cfRule type="cellIs" dxfId="0" priority="2772" operator="equal">
      <formula>"欠"</formula>
    </cfRule>
  </conditionalFormatting>
  <conditionalFormatting sqref="Q1073">
    <cfRule type="cellIs" dxfId="0" priority="2783" operator="equal">
      <formula>"欠"</formula>
    </cfRule>
  </conditionalFormatting>
  <conditionalFormatting sqref="T1073:U1073">
    <cfRule type="containsText" dxfId="0" priority="2791" operator="between" text="欠">
      <formula>NOT(ISERROR(SEARCH("欠",T1073)))</formula>
    </cfRule>
    <cfRule type="containsText" dxfId="2" priority="2807" operator="between" text="欠">
      <formula>NOT(ISERROR(SEARCH("欠",T1073)))</formula>
    </cfRule>
    <cfRule type="cellIs" dxfId="0" priority="2811" operator="equal">
      <formula>"欠"</formula>
    </cfRule>
  </conditionalFormatting>
  <conditionalFormatting sqref="V1073">
    <cfRule type="cellIs" dxfId="0" priority="2767" operator="equal">
      <formula>"欠"</formula>
    </cfRule>
  </conditionalFormatting>
  <conditionalFormatting sqref="AK1073">
    <cfRule type="cellIs" dxfId="1" priority="2775" operator="equal">
      <formula>"未完成"</formula>
    </cfRule>
    <cfRule type="cellIs" dxfId="0" priority="2779" operator="equal">
      <formula>"未完成"</formula>
    </cfRule>
  </conditionalFormatting>
  <conditionalFormatting sqref="AL1073">
    <cfRule type="cellIs" dxfId="0" priority="2771" operator="equal">
      <formula>"欠"</formula>
    </cfRule>
  </conditionalFormatting>
  <conditionalFormatting sqref="Q1074">
    <cfRule type="cellIs" dxfId="0" priority="3676" operator="equal">
      <formula>"欠"</formula>
    </cfRule>
  </conditionalFormatting>
  <conditionalFormatting sqref="T1074:U1074">
    <cfRule type="containsText" dxfId="0" priority="3670" operator="between" text="欠">
      <formula>NOT(ISERROR(SEARCH("欠",T1074)))</formula>
    </cfRule>
    <cfRule type="cellIs" dxfId="0" priority="3671" operator="equal">
      <formula>"欠"</formula>
    </cfRule>
  </conditionalFormatting>
  <conditionalFormatting sqref="V1074">
    <cfRule type="cellIs" dxfId="0" priority="3672" operator="equal">
      <formula>"欠"</formula>
    </cfRule>
  </conditionalFormatting>
  <conditionalFormatting sqref="AK1074">
    <cfRule type="cellIs" dxfId="1" priority="3674" operator="equal">
      <formula>"未完成"</formula>
    </cfRule>
    <cfRule type="cellIs" dxfId="0" priority="3675" operator="equal">
      <formula>"未完成"</formula>
    </cfRule>
  </conditionalFormatting>
  <conditionalFormatting sqref="AL1074">
    <cfRule type="cellIs" dxfId="0" priority="3673" operator="equal">
      <formula>"欠"</formula>
    </cfRule>
  </conditionalFormatting>
  <conditionalFormatting sqref="Q1075">
    <cfRule type="cellIs" dxfId="0" priority="4619" operator="equal">
      <formula>"欠"</formula>
    </cfRule>
  </conditionalFormatting>
  <conditionalFormatting sqref="Q1076">
    <cfRule type="cellIs" dxfId="0" priority="3793" operator="equal">
      <formula>"欠"</formula>
    </cfRule>
  </conditionalFormatting>
  <conditionalFormatting sqref="R1076">
    <cfRule type="containsText" dxfId="0" priority="3798" operator="between" text="欠">
      <formula>NOT(ISERROR(SEARCH("欠",R1076)))</formula>
    </cfRule>
    <cfRule type="cellIs" dxfId="0" priority="3813" operator="equal">
      <formula>"欠"</formula>
    </cfRule>
  </conditionalFormatting>
  <conditionalFormatting sqref="S1076">
    <cfRule type="cellIs" dxfId="0" priority="3833" operator="equal">
      <formula>"欠"</formula>
    </cfRule>
  </conditionalFormatting>
  <conditionalFormatting sqref="T1076:U1076">
    <cfRule type="containsText" dxfId="0" priority="3803" operator="between" text="欠">
      <formula>NOT(ISERROR(SEARCH("欠",T1076)))</formula>
    </cfRule>
    <cfRule type="containsText" dxfId="2" priority="3823" operator="between" text="欠">
      <formula>NOT(ISERROR(SEARCH("欠",T1076)))</formula>
    </cfRule>
    <cfRule type="cellIs" dxfId="0" priority="3828" operator="equal">
      <formula>"欠"</formula>
    </cfRule>
  </conditionalFormatting>
  <conditionalFormatting sqref="V1076">
    <cfRule type="cellIs" dxfId="0" priority="3773" operator="equal">
      <formula>"欠"</formula>
    </cfRule>
  </conditionalFormatting>
  <conditionalFormatting sqref="AK1076">
    <cfRule type="cellIs" dxfId="1" priority="3783" operator="equal">
      <formula>"未完成"</formula>
    </cfRule>
    <cfRule type="cellIs" dxfId="0" priority="3788" operator="equal">
      <formula>"未完成"</formula>
    </cfRule>
  </conditionalFormatting>
  <conditionalFormatting sqref="AL1076">
    <cfRule type="cellIs" dxfId="0" priority="3778" operator="equal">
      <formula>"欠"</formula>
    </cfRule>
  </conditionalFormatting>
  <conditionalFormatting sqref="Q1077">
    <cfRule type="cellIs" dxfId="0" priority="3124" operator="equal">
      <formula>"欠"</formula>
    </cfRule>
  </conditionalFormatting>
  <conditionalFormatting sqref="V1077">
    <cfRule type="cellIs" dxfId="0" priority="3036" operator="equal">
      <formula>"欠"</formula>
    </cfRule>
  </conditionalFormatting>
  <conditionalFormatting sqref="AK1077">
    <cfRule type="cellIs" dxfId="1" priority="3080" operator="equal">
      <formula>"未完成"</formula>
    </cfRule>
    <cfRule type="cellIs" dxfId="0" priority="3102" operator="equal">
      <formula>"未完成"</formula>
    </cfRule>
  </conditionalFormatting>
  <conditionalFormatting sqref="AL1077">
    <cfRule type="cellIs" dxfId="0" priority="3058" operator="equal">
      <formula>"欠"</formula>
    </cfRule>
  </conditionalFormatting>
  <conditionalFormatting sqref="Q1078">
    <cfRule type="cellIs" dxfId="0" priority="3123" operator="equal">
      <formula>"欠"</formula>
    </cfRule>
  </conditionalFormatting>
  <conditionalFormatting sqref="V1078">
    <cfRule type="cellIs" dxfId="0" priority="3035" operator="equal">
      <formula>"欠"</formula>
    </cfRule>
  </conditionalFormatting>
  <conditionalFormatting sqref="AK1078">
    <cfRule type="cellIs" dxfId="1" priority="3079" operator="equal">
      <formula>"未完成"</formula>
    </cfRule>
    <cfRule type="cellIs" dxfId="0" priority="3101" operator="equal">
      <formula>"未完成"</formula>
    </cfRule>
  </conditionalFormatting>
  <conditionalFormatting sqref="AL1078">
    <cfRule type="cellIs" dxfId="0" priority="3057" operator="equal">
      <formula>"欠"</formula>
    </cfRule>
  </conditionalFormatting>
  <conditionalFormatting sqref="Q1082">
    <cfRule type="cellIs" dxfId="0" priority="2633" operator="equal">
      <formula>"欠"</formula>
    </cfRule>
  </conditionalFormatting>
  <conditionalFormatting sqref="T1082:U1082">
    <cfRule type="containsText" dxfId="0" priority="2634" operator="between" text="欠">
      <formula>NOT(ISERROR(SEARCH("欠",T1082)))</formula>
    </cfRule>
    <cfRule type="containsText" dxfId="2" priority="2635" operator="between" text="欠">
      <formula>NOT(ISERROR(SEARCH("欠",T1082)))</formula>
    </cfRule>
    <cfRule type="cellIs" dxfId="0" priority="2636" operator="equal">
      <formula>"欠"</formula>
    </cfRule>
  </conditionalFormatting>
  <conditionalFormatting sqref="V1082">
    <cfRule type="cellIs" dxfId="0" priority="2629" operator="equal">
      <formula>"欠"</formula>
    </cfRule>
  </conditionalFormatting>
  <conditionalFormatting sqref="AK1082">
    <cfRule type="cellIs" dxfId="1" priority="2631" operator="equal">
      <formula>"未完成"</formula>
    </cfRule>
    <cfRule type="cellIs" dxfId="0" priority="2632" operator="equal">
      <formula>"未完成"</formula>
    </cfRule>
  </conditionalFormatting>
  <conditionalFormatting sqref="AL1082">
    <cfRule type="cellIs" dxfId="0" priority="2630" operator="equal">
      <formula>"欠"</formula>
    </cfRule>
  </conditionalFormatting>
  <conditionalFormatting sqref="Q1083">
    <cfRule type="cellIs" dxfId="0" priority="2621" operator="equal">
      <formula>"欠"</formula>
    </cfRule>
  </conditionalFormatting>
  <conditionalFormatting sqref="T1083:U1083">
    <cfRule type="containsText" dxfId="0" priority="2622" operator="between" text="欠">
      <formula>NOT(ISERROR(SEARCH("欠",T1083)))</formula>
    </cfRule>
    <cfRule type="containsText" dxfId="2" priority="2623" operator="between" text="欠">
      <formula>NOT(ISERROR(SEARCH("欠",T1083)))</formula>
    </cfRule>
    <cfRule type="cellIs" dxfId="0" priority="2624" operator="equal">
      <formula>"欠"</formula>
    </cfRule>
  </conditionalFormatting>
  <conditionalFormatting sqref="V1083">
    <cfRule type="cellIs" dxfId="0" priority="2617" operator="equal">
      <formula>"欠"</formula>
    </cfRule>
  </conditionalFormatting>
  <conditionalFormatting sqref="AK1083">
    <cfRule type="cellIs" dxfId="1" priority="2619" operator="equal">
      <formula>"未完成"</formula>
    </cfRule>
    <cfRule type="cellIs" dxfId="0" priority="2620" operator="equal">
      <formula>"未完成"</formula>
    </cfRule>
  </conditionalFormatting>
  <conditionalFormatting sqref="AL1083">
    <cfRule type="cellIs" dxfId="0" priority="2618" operator="equal">
      <formula>"欠"</formula>
    </cfRule>
  </conditionalFormatting>
  <conditionalFormatting sqref="Q1084">
    <cfRule type="cellIs" dxfId="0" priority="439" operator="equal">
      <formula>"欠"</formula>
    </cfRule>
  </conditionalFormatting>
  <conditionalFormatting sqref="R1084">
    <cfRule type="containsText" dxfId="0" priority="443" operator="between" text="欠">
      <formula>NOT(ISERROR(SEARCH("欠",R1084)))</formula>
    </cfRule>
    <cfRule type="cellIs" dxfId="0" priority="444" operator="equal">
      <formula>"欠"</formula>
    </cfRule>
  </conditionalFormatting>
  <conditionalFormatting sqref="S1084">
    <cfRule type="cellIs" dxfId="0" priority="445" operator="equal">
      <formula>"欠"</formula>
    </cfRule>
  </conditionalFormatting>
  <conditionalFormatting sqref="T1084:U1084">
    <cfRule type="containsText" dxfId="0" priority="440" operator="between" text="欠">
      <formula>NOT(ISERROR(SEARCH("欠",T1084)))</formula>
    </cfRule>
    <cfRule type="containsText" dxfId="2" priority="441" operator="between" text="欠">
      <formula>NOT(ISERROR(SEARCH("欠",T1084)))</formula>
    </cfRule>
    <cfRule type="cellIs" dxfId="0" priority="442" operator="equal">
      <formula>"欠"</formula>
    </cfRule>
  </conditionalFormatting>
  <conditionalFormatting sqref="V1084">
    <cfRule type="cellIs" dxfId="0" priority="435" operator="equal">
      <formula>"欠"</formula>
    </cfRule>
  </conditionalFormatting>
  <conditionalFormatting sqref="AK1084">
    <cfRule type="cellIs" dxfId="1" priority="437" operator="equal">
      <formula>"未完成"</formula>
    </cfRule>
    <cfRule type="cellIs" dxfId="0" priority="438" operator="equal">
      <formula>"未完成"</formula>
    </cfRule>
  </conditionalFormatting>
  <conditionalFormatting sqref="AL1084">
    <cfRule type="cellIs" dxfId="0" priority="436" operator="equal">
      <formula>"欠"</formula>
    </cfRule>
  </conditionalFormatting>
  <conditionalFormatting sqref="Q1085">
    <cfRule type="cellIs" dxfId="0" priority="960" operator="equal">
      <formula>"欠"</formula>
    </cfRule>
  </conditionalFormatting>
  <conditionalFormatting sqref="R1085">
    <cfRule type="containsText" dxfId="0" priority="961" operator="between" text="欠">
      <formula>NOT(ISERROR(SEARCH("欠",R1085)))</formula>
    </cfRule>
    <cfRule type="cellIs" dxfId="0" priority="964" operator="equal">
      <formula>"欠"</formula>
    </cfRule>
  </conditionalFormatting>
  <conditionalFormatting sqref="S1085">
    <cfRule type="cellIs" dxfId="0" priority="968" operator="equal">
      <formula>"欠"</formula>
    </cfRule>
  </conditionalFormatting>
  <conditionalFormatting sqref="T1085:U1085">
    <cfRule type="containsText" dxfId="0" priority="962" operator="between" text="欠">
      <formula>NOT(ISERROR(SEARCH("欠",T1085)))</formula>
    </cfRule>
    <cfRule type="containsText" dxfId="2" priority="966" operator="between" text="欠">
      <formula>NOT(ISERROR(SEARCH("欠",T1085)))</formula>
    </cfRule>
    <cfRule type="cellIs" dxfId="0" priority="967" operator="equal">
      <formula>"欠"</formula>
    </cfRule>
  </conditionalFormatting>
  <conditionalFormatting sqref="V1085">
    <cfRule type="cellIs" dxfId="0" priority="956" operator="equal">
      <formula>"欠"</formula>
    </cfRule>
  </conditionalFormatting>
  <conditionalFormatting sqref="AK1085">
    <cfRule type="cellIs" dxfId="1" priority="958" operator="equal">
      <formula>"未完成"</formula>
    </cfRule>
    <cfRule type="cellIs" dxfId="0" priority="959" operator="equal">
      <formula>"未完成"</formula>
    </cfRule>
  </conditionalFormatting>
  <conditionalFormatting sqref="AL1085">
    <cfRule type="cellIs" dxfId="0" priority="957" operator="equal">
      <formula>"欠"</formula>
    </cfRule>
  </conditionalFormatting>
  <conditionalFormatting sqref="Q1086">
    <cfRule type="cellIs" dxfId="0" priority="1203" operator="equal">
      <formula>"欠"</formula>
    </cfRule>
  </conditionalFormatting>
  <conditionalFormatting sqref="R1086">
    <cfRule type="containsText" dxfId="0" priority="1221" operator="between" text="欠">
      <formula>NOT(ISERROR(SEARCH("欠",R1086)))</formula>
    </cfRule>
    <cfRule type="cellIs" dxfId="0" priority="1275" operator="equal">
      <formula>"欠"</formula>
    </cfRule>
  </conditionalFormatting>
  <conditionalFormatting sqref="S1086">
    <cfRule type="cellIs" dxfId="0" priority="1347" operator="equal">
      <formula>"欠"</formula>
    </cfRule>
  </conditionalFormatting>
  <conditionalFormatting sqref="T1086:U1086">
    <cfRule type="containsText" dxfId="0" priority="1239" operator="between" text="欠">
      <formula>NOT(ISERROR(SEARCH("欠",T1086)))</formula>
    </cfRule>
    <cfRule type="containsText" dxfId="2" priority="1311" operator="between" text="欠">
      <formula>NOT(ISERROR(SEARCH("欠",T1086)))</formula>
    </cfRule>
    <cfRule type="cellIs" dxfId="0" priority="1329" operator="equal">
      <formula>"欠"</formula>
    </cfRule>
  </conditionalFormatting>
  <conditionalFormatting sqref="V1086">
    <cfRule type="cellIs" dxfId="0" priority="1131" operator="equal">
      <formula>"欠"</formula>
    </cfRule>
  </conditionalFormatting>
  <conditionalFormatting sqref="AK1086">
    <cfRule type="cellIs" dxfId="1" priority="1167" operator="equal">
      <formula>"未完成"</formula>
    </cfRule>
    <cfRule type="cellIs" dxfId="0" priority="1185" operator="equal">
      <formula>"未完成"</formula>
    </cfRule>
  </conditionalFormatting>
  <conditionalFormatting sqref="AL1086">
    <cfRule type="cellIs" dxfId="0" priority="1149" operator="equal">
      <formula>"欠"</formula>
    </cfRule>
  </conditionalFormatting>
  <conditionalFormatting sqref="Q1087">
    <cfRule type="cellIs" dxfId="0" priority="1104" operator="equal">
      <formula>"欠"</formula>
    </cfRule>
  </conditionalFormatting>
  <conditionalFormatting sqref="R1087">
    <cfRule type="containsText" dxfId="0" priority="1105" operator="between" text="欠">
      <formula>NOT(ISERROR(SEARCH("欠",R1087)))</formula>
    </cfRule>
    <cfRule type="cellIs" dxfId="0" priority="1108" operator="equal">
      <formula>"欠"</formula>
    </cfRule>
  </conditionalFormatting>
  <conditionalFormatting sqref="S1087">
    <cfRule type="cellIs" dxfId="0" priority="1112" operator="equal">
      <formula>"欠"</formula>
    </cfRule>
  </conditionalFormatting>
  <conditionalFormatting sqref="T1087:U1087">
    <cfRule type="containsText" dxfId="0" priority="1106" operator="between" text="欠">
      <formula>NOT(ISERROR(SEARCH("欠",T1087)))</formula>
    </cfRule>
    <cfRule type="containsText" dxfId="2" priority="1110" operator="between" text="欠">
      <formula>NOT(ISERROR(SEARCH("欠",T1087)))</formula>
    </cfRule>
    <cfRule type="cellIs" dxfId="0" priority="1111" operator="equal">
      <formula>"欠"</formula>
    </cfRule>
  </conditionalFormatting>
  <conditionalFormatting sqref="V1087">
    <cfRule type="cellIs" dxfId="0" priority="1100" operator="equal">
      <formula>"欠"</formula>
    </cfRule>
  </conditionalFormatting>
  <conditionalFormatting sqref="AK1087">
    <cfRule type="cellIs" dxfId="1" priority="1102" operator="equal">
      <formula>"未完成"</formula>
    </cfRule>
    <cfRule type="cellIs" dxfId="0" priority="1103" operator="equal">
      <formula>"未完成"</formula>
    </cfRule>
  </conditionalFormatting>
  <conditionalFormatting sqref="AL1087">
    <cfRule type="cellIs" dxfId="0" priority="1101" operator="equal">
      <formula>"欠"</formula>
    </cfRule>
  </conditionalFormatting>
  <conditionalFormatting sqref="Q1090">
    <cfRule type="cellIs" dxfId="0" priority="3137" operator="equal">
      <formula>"欠"</formula>
    </cfRule>
  </conditionalFormatting>
  <conditionalFormatting sqref="V1090">
    <cfRule type="cellIs" dxfId="0" priority="3049" operator="equal">
      <formula>"欠"</formula>
    </cfRule>
  </conditionalFormatting>
  <conditionalFormatting sqref="AK1090">
    <cfRule type="cellIs" dxfId="1" priority="3093" operator="equal">
      <formula>"未完成"</formula>
    </cfRule>
    <cfRule type="cellIs" dxfId="0" priority="3115" operator="equal">
      <formula>"未完成"</formula>
    </cfRule>
  </conditionalFormatting>
  <conditionalFormatting sqref="AL1090">
    <cfRule type="cellIs" dxfId="0" priority="3071" operator="equal">
      <formula>"欠"</formula>
    </cfRule>
  </conditionalFormatting>
  <conditionalFormatting sqref="Q1091">
    <cfRule type="cellIs" dxfId="0" priority="507" operator="equal">
      <formula>"欠"</formula>
    </cfRule>
  </conditionalFormatting>
  <conditionalFormatting sqref="V1091">
    <cfRule type="cellIs" dxfId="0" priority="3048" operator="equal">
      <formula>"欠"</formula>
    </cfRule>
  </conditionalFormatting>
  <conditionalFormatting sqref="AK1091">
    <cfRule type="cellIs" dxfId="1" priority="3092" operator="equal">
      <formula>"未完成"</formula>
    </cfRule>
    <cfRule type="cellIs" dxfId="0" priority="3114" operator="equal">
      <formula>"未完成"</formula>
    </cfRule>
  </conditionalFormatting>
  <conditionalFormatting sqref="AL1091">
    <cfRule type="cellIs" dxfId="0" priority="3070" operator="equal">
      <formula>"欠"</formula>
    </cfRule>
  </conditionalFormatting>
  <conditionalFormatting sqref="T1092:U1092">
    <cfRule type="containsText" dxfId="0" priority="5740" operator="between" text="欠">
      <formula>NOT(ISERROR(SEARCH("欠",T1092)))</formula>
    </cfRule>
    <cfRule type="cellIs" dxfId="0" priority="5741" operator="equal">
      <formula>"欠"</formula>
    </cfRule>
  </conditionalFormatting>
  <conditionalFormatting sqref="Q1093">
    <cfRule type="cellIs" dxfId="0" priority="2739" operator="equal">
      <formula>"欠"</formula>
    </cfRule>
  </conditionalFormatting>
  <conditionalFormatting sqref="R1093">
    <cfRule type="containsText" dxfId="0" priority="2740" operator="between" text="欠">
      <formula>NOT(ISERROR(SEARCH("欠",R1093)))</formula>
    </cfRule>
    <cfRule type="cellIs" dxfId="0" priority="2742" operator="equal">
      <formula>"欠"</formula>
    </cfRule>
  </conditionalFormatting>
  <conditionalFormatting sqref="S1093">
    <cfRule type="cellIs" dxfId="0" priority="2745" operator="equal">
      <formula>"欠"</formula>
    </cfRule>
  </conditionalFormatting>
  <conditionalFormatting sqref="T1093:U1093">
    <cfRule type="containsText" dxfId="0" priority="2741" operator="between" text="欠">
      <formula>NOT(ISERROR(SEARCH("欠",T1093)))</formula>
    </cfRule>
    <cfRule type="containsText" dxfId="2" priority="2743" operator="between" text="欠">
      <formula>NOT(ISERROR(SEARCH("欠",T1093)))</formula>
    </cfRule>
    <cfRule type="cellIs" dxfId="0" priority="2744" operator="equal">
      <formula>"欠"</formula>
    </cfRule>
  </conditionalFormatting>
  <conditionalFormatting sqref="V1093">
    <cfRule type="cellIs" dxfId="0" priority="2735" operator="equal">
      <formula>"欠"</formula>
    </cfRule>
  </conditionalFormatting>
  <conditionalFormatting sqref="AK1093">
    <cfRule type="cellIs" dxfId="1" priority="2737" operator="equal">
      <formula>"未完成"</formula>
    </cfRule>
    <cfRule type="cellIs" dxfId="0" priority="2738" operator="equal">
      <formula>"未完成"</formula>
    </cfRule>
  </conditionalFormatting>
  <conditionalFormatting sqref="AL1093">
    <cfRule type="cellIs" dxfId="0" priority="2736" operator="equal">
      <formula>"欠"</formula>
    </cfRule>
  </conditionalFormatting>
  <conditionalFormatting sqref="Q1094">
    <cfRule type="cellIs" dxfId="0" priority="2727" operator="equal">
      <formula>"欠"</formula>
    </cfRule>
  </conditionalFormatting>
  <conditionalFormatting sqref="V1094">
    <cfRule type="cellIs" dxfId="0" priority="2723" operator="equal">
      <formula>"欠"</formula>
    </cfRule>
  </conditionalFormatting>
  <conditionalFormatting sqref="AK1094">
    <cfRule type="cellIs" dxfId="1" priority="2725" operator="equal">
      <formula>"未完成"</formula>
    </cfRule>
    <cfRule type="cellIs" dxfId="0" priority="2726" operator="equal">
      <formula>"未完成"</formula>
    </cfRule>
  </conditionalFormatting>
  <conditionalFormatting sqref="Q1095">
    <cfRule type="cellIs" dxfId="0" priority="2685" operator="equal">
      <formula>"欠"</formula>
    </cfRule>
  </conditionalFormatting>
  <conditionalFormatting sqref="V1095">
    <cfRule type="cellIs" dxfId="0" priority="2661" operator="equal">
      <formula>"欠"</formula>
    </cfRule>
  </conditionalFormatting>
  <conditionalFormatting sqref="AK1095">
    <cfRule type="cellIs" dxfId="1" priority="2673" operator="equal">
      <formula>"未完成"</formula>
    </cfRule>
    <cfRule type="cellIs" dxfId="0" priority="2679" operator="equal">
      <formula>"未完成"</formula>
    </cfRule>
  </conditionalFormatting>
  <conditionalFormatting sqref="Q1096">
    <cfRule type="cellIs" dxfId="0" priority="2684" operator="equal">
      <formula>"欠"</formula>
    </cfRule>
  </conditionalFormatting>
  <conditionalFormatting sqref="V1096">
    <cfRule type="cellIs" dxfId="0" priority="2660" operator="equal">
      <formula>"欠"</formula>
    </cfRule>
  </conditionalFormatting>
  <conditionalFormatting sqref="AK1096">
    <cfRule type="cellIs" dxfId="1" priority="2672" operator="equal">
      <formula>"未完成"</formula>
    </cfRule>
    <cfRule type="cellIs" dxfId="0" priority="2678" operator="equal">
      <formula>"未完成"</formula>
    </cfRule>
  </conditionalFormatting>
  <conditionalFormatting sqref="Q1097">
    <cfRule type="cellIs" dxfId="0" priority="2683" operator="equal">
      <formula>"欠"</formula>
    </cfRule>
  </conditionalFormatting>
  <conditionalFormatting sqref="V1097">
    <cfRule type="cellIs" dxfId="0" priority="2659" operator="equal">
      <formula>"欠"</formula>
    </cfRule>
  </conditionalFormatting>
  <conditionalFormatting sqref="AK1097">
    <cfRule type="cellIs" dxfId="1" priority="2671" operator="equal">
      <formula>"未完成"</formula>
    </cfRule>
    <cfRule type="cellIs" dxfId="0" priority="2677" operator="equal">
      <formula>"未完成"</formula>
    </cfRule>
  </conditionalFormatting>
  <conditionalFormatting sqref="Q1098">
    <cfRule type="cellIs" dxfId="0" priority="2682" operator="equal">
      <formula>"欠"</formula>
    </cfRule>
  </conditionalFormatting>
  <conditionalFormatting sqref="V1098">
    <cfRule type="cellIs" dxfId="0" priority="2658" operator="equal">
      <formula>"欠"</formula>
    </cfRule>
  </conditionalFormatting>
  <conditionalFormatting sqref="AK1098">
    <cfRule type="cellIs" dxfId="1" priority="2670" operator="equal">
      <formula>"未完成"</formula>
    </cfRule>
    <cfRule type="cellIs" dxfId="0" priority="2676" operator="equal">
      <formula>"未完成"</formula>
    </cfRule>
  </conditionalFormatting>
  <conditionalFormatting sqref="Q1099">
    <cfRule type="cellIs" dxfId="0" priority="2681" operator="equal">
      <formula>"欠"</formula>
    </cfRule>
  </conditionalFormatting>
  <conditionalFormatting sqref="V1099">
    <cfRule type="cellIs" dxfId="0" priority="2657" operator="equal">
      <formula>"欠"</formula>
    </cfRule>
  </conditionalFormatting>
  <conditionalFormatting sqref="AK1099">
    <cfRule type="cellIs" dxfId="1" priority="2669" operator="equal">
      <formula>"未完成"</formula>
    </cfRule>
    <cfRule type="cellIs" dxfId="0" priority="2675" operator="equal">
      <formula>"未完成"</formula>
    </cfRule>
  </conditionalFormatting>
  <conditionalFormatting sqref="Q1100">
    <cfRule type="cellIs" dxfId="0" priority="2680" operator="equal">
      <formula>"欠"</formula>
    </cfRule>
  </conditionalFormatting>
  <conditionalFormatting sqref="V1100">
    <cfRule type="cellIs" dxfId="0" priority="2656" operator="equal">
      <formula>"欠"</formula>
    </cfRule>
  </conditionalFormatting>
  <conditionalFormatting sqref="AK1100">
    <cfRule type="cellIs" dxfId="1" priority="2668" operator="equal">
      <formula>"未完成"</formula>
    </cfRule>
    <cfRule type="cellIs" dxfId="0" priority="2674" operator="equal">
      <formula>"未完成"</formula>
    </cfRule>
  </conditionalFormatting>
  <conditionalFormatting sqref="Q1102">
    <cfRule type="cellIs" dxfId="0" priority="2472" operator="equal">
      <formula>"欠"</formula>
    </cfRule>
  </conditionalFormatting>
  <conditionalFormatting sqref="R1102">
    <cfRule type="containsText" dxfId="0" priority="2478" operator="between" text="欠">
      <formula>NOT(ISERROR(SEARCH("欠",R1102)))</formula>
    </cfRule>
    <cfRule type="cellIs" dxfId="0" priority="2490" operator="equal">
      <formula>"欠"</formula>
    </cfRule>
  </conditionalFormatting>
  <conditionalFormatting sqref="S1102">
    <cfRule type="cellIs" dxfId="0" priority="2508" operator="equal">
      <formula>"欠"</formula>
    </cfRule>
  </conditionalFormatting>
  <conditionalFormatting sqref="T1102:U1102">
    <cfRule type="containsText" dxfId="0" priority="2484" operator="between" text="欠">
      <formula>NOT(ISERROR(SEARCH("欠",T1102)))</formula>
    </cfRule>
    <cfRule type="containsText" dxfId="2" priority="2496" operator="between" text="欠">
      <formula>NOT(ISERROR(SEARCH("欠",T1102)))</formula>
    </cfRule>
    <cfRule type="cellIs" dxfId="0" priority="2502" operator="equal">
      <formula>"欠"</formula>
    </cfRule>
  </conditionalFormatting>
  <conditionalFormatting sqref="V1102">
    <cfRule type="cellIs" dxfId="0" priority="2448" operator="equal">
      <formula>"欠"</formula>
    </cfRule>
  </conditionalFormatting>
  <conditionalFormatting sqref="AK1102">
    <cfRule type="cellIs" dxfId="1" priority="2460" operator="equal">
      <formula>"未完成"</formula>
    </cfRule>
    <cfRule type="cellIs" dxfId="0" priority="2466" operator="equal">
      <formula>"未完成"</formula>
    </cfRule>
  </conditionalFormatting>
  <conditionalFormatting sqref="AL1102">
    <cfRule type="cellIs" dxfId="0" priority="2454" operator="equal">
      <formula>"欠"</formula>
    </cfRule>
  </conditionalFormatting>
  <conditionalFormatting sqref="Q1103">
    <cfRule type="cellIs" dxfId="0" priority="2751" operator="equal">
      <formula>"欠"</formula>
    </cfRule>
  </conditionalFormatting>
  <conditionalFormatting sqref="R1103">
    <cfRule type="containsText" dxfId="0" priority="2752" operator="between" text="欠">
      <formula>NOT(ISERROR(SEARCH("欠",R1103)))</formula>
    </cfRule>
    <cfRule type="cellIs" dxfId="0" priority="2754" operator="equal">
      <formula>"欠"</formula>
    </cfRule>
  </conditionalFormatting>
  <conditionalFormatting sqref="S1103">
    <cfRule type="cellIs" dxfId="0" priority="2757" operator="equal">
      <formula>"欠"</formula>
    </cfRule>
  </conditionalFormatting>
  <conditionalFormatting sqref="T1103:U1103">
    <cfRule type="containsText" dxfId="0" priority="2753" operator="between" text="欠">
      <formula>NOT(ISERROR(SEARCH("欠",T1103)))</formula>
    </cfRule>
    <cfRule type="containsText" dxfId="2" priority="2755" operator="between" text="欠">
      <formula>NOT(ISERROR(SEARCH("欠",T1103)))</formula>
    </cfRule>
    <cfRule type="cellIs" dxfId="0" priority="2756" operator="equal">
      <formula>"欠"</formula>
    </cfRule>
  </conditionalFormatting>
  <conditionalFormatting sqref="V1103">
    <cfRule type="cellIs" dxfId="0" priority="2747" operator="equal">
      <formula>"欠"</formula>
    </cfRule>
  </conditionalFormatting>
  <conditionalFormatting sqref="AH1103">
    <cfRule type="cellIs" dxfId="0" priority="2746" operator="equal">
      <formula>"未完成"</formula>
    </cfRule>
  </conditionalFormatting>
  <conditionalFormatting sqref="AK1103">
    <cfRule type="cellIs" dxfId="1" priority="2749" operator="equal">
      <formula>"未完成"</formula>
    </cfRule>
    <cfRule type="cellIs" dxfId="0" priority="2750" operator="equal">
      <formula>"未完成"</formula>
    </cfRule>
  </conditionalFormatting>
  <conditionalFormatting sqref="AL1103">
    <cfRule type="cellIs" dxfId="0" priority="2748" operator="equal">
      <formula>"欠"</formula>
    </cfRule>
  </conditionalFormatting>
  <conditionalFormatting sqref="Q1104">
    <cfRule type="cellIs" dxfId="0" priority="3658" operator="equal">
      <formula>"欠"</formula>
    </cfRule>
  </conditionalFormatting>
  <conditionalFormatting sqref="S1104">
    <cfRule type="cellIs" dxfId="0" priority="3626" operator="equal">
      <formula>"欠"</formula>
    </cfRule>
  </conditionalFormatting>
  <conditionalFormatting sqref="T1104:U1104">
    <cfRule type="containsText" dxfId="0" priority="3634" operator="between" text="欠">
      <formula>NOT(ISERROR(SEARCH("欠",T1104)))</formula>
    </cfRule>
    <cfRule type="cellIs" dxfId="0" priority="3638" operator="equal">
      <formula>"欠"</formula>
    </cfRule>
  </conditionalFormatting>
  <conditionalFormatting sqref="V1104">
    <cfRule type="cellIs" dxfId="0" priority="3642" operator="equal">
      <formula>"欠"</formula>
    </cfRule>
  </conditionalFormatting>
  <conditionalFormatting sqref="AH1104">
    <cfRule type="cellIs" dxfId="0" priority="3630" operator="equal">
      <formula>"未完成"</formula>
    </cfRule>
  </conditionalFormatting>
  <conditionalFormatting sqref="AK1104">
    <cfRule type="cellIs" dxfId="1" priority="3650" operator="equal">
      <formula>"未完成"</formula>
    </cfRule>
    <cfRule type="cellIs" dxfId="0" priority="3654" operator="equal">
      <formula>"未完成"</formula>
    </cfRule>
  </conditionalFormatting>
  <conditionalFormatting sqref="AL1104">
    <cfRule type="cellIs" dxfId="0" priority="3646" operator="equal">
      <formula>"欠"</formula>
    </cfRule>
  </conditionalFormatting>
  <conditionalFormatting sqref="V1105">
    <cfRule type="cellIs" dxfId="0" priority="3052" operator="equal">
      <formula>"欠"</formula>
    </cfRule>
  </conditionalFormatting>
  <conditionalFormatting sqref="AH1105">
    <cfRule type="cellIs" dxfId="0" priority="3030" operator="equal">
      <formula>"未完成"</formula>
    </cfRule>
  </conditionalFormatting>
  <conditionalFormatting sqref="AK1105">
    <cfRule type="cellIs" dxfId="1" priority="3096" operator="equal">
      <formula>"未完成"</formula>
    </cfRule>
    <cfRule type="cellIs" dxfId="0" priority="3118" operator="equal">
      <formula>"未完成"</formula>
    </cfRule>
  </conditionalFormatting>
  <conditionalFormatting sqref="AL1105">
    <cfRule type="cellIs" dxfId="0" priority="3074" operator="equal">
      <formula>"欠"</formula>
    </cfRule>
  </conditionalFormatting>
  <conditionalFormatting sqref="V1106">
    <cfRule type="cellIs" dxfId="0" priority="3051" operator="equal">
      <formula>"欠"</formula>
    </cfRule>
  </conditionalFormatting>
  <conditionalFormatting sqref="AH1106">
    <cfRule type="cellIs" dxfId="0" priority="3029" operator="equal">
      <formula>"未完成"</formula>
    </cfRule>
  </conditionalFormatting>
  <conditionalFormatting sqref="AK1106">
    <cfRule type="cellIs" dxfId="1" priority="3095" operator="equal">
      <formula>"未完成"</formula>
    </cfRule>
    <cfRule type="cellIs" dxfId="0" priority="3117" operator="equal">
      <formula>"未完成"</formula>
    </cfRule>
  </conditionalFormatting>
  <conditionalFormatting sqref="AL1106">
    <cfRule type="cellIs" dxfId="0" priority="3073" operator="equal">
      <formula>"欠"</formula>
    </cfRule>
  </conditionalFormatting>
  <conditionalFormatting sqref="Q1107">
    <cfRule type="cellIs" dxfId="0" priority="2352" operator="equal">
      <formula>"欠"</formula>
    </cfRule>
  </conditionalFormatting>
  <conditionalFormatting sqref="R1107">
    <cfRule type="containsText" dxfId="0" priority="2353" operator="between" text="欠">
      <formula>NOT(ISERROR(SEARCH("欠",R1107)))</formula>
    </cfRule>
    <cfRule type="cellIs" dxfId="0" priority="2356" operator="equal">
      <formula>"欠"</formula>
    </cfRule>
  </conditionalFormatting>
  <conditionalFormatting sqref="S1107">
    <cfRule type="cellIs" dxfId="0" priority="2360" operator="equal">
      <formula>"欠"</formula>
    </cfRule>
  </conditionalFormatting>
  <conditionalFormatting sqref="T1107:U1107">
    <cfRule type="containsText" dxfId="0" priority="2354" operator="between" text="欠">
      <formula>NOT(ISERROR(SEARCH("欠",T1107)))</formula>
    </cfRule>
    <cfRule type="containsText" dxfId="2" priority="2358" operator="between" text="欠">
      <formula>NOT(ISERROR(SEARCH("欠",T1107)))</formula>
    </cfRule>
    <cfRule type="cellIs" dxfId="0" priority="2359" operator="equal">
      <formula>"欠"</formula>
    </cfRule>
  </conditionalFormatting>
  <conditionalFormatting sqref="V1107">
    <cfRule type="cellIs" dxfId="0" priority="2348" operator="equal">
      <formula>"欠"</formula>
    </cfRule>
  </conditionalFormatting>
  <conditionalFormatting sqref="AH1107">
    <cfRule type="cellIs" dxfId="0" priority="2347" operator="equal">
      <formula>"未完成"</formula>
    </cfRule>
  </conditionalFormatting>
  <conditionalFormatting sqref="AK1107">
    <cfRule type="cellIs" dxfId="1" priority="2350" operator="equal">
      <formula>"未完成"</formula>
    </cfRule>
    <cfRule type="cellIs" dxfId="0" priority="2351" operator="equal">
      <formula>"未完成"</formula>
    </cfRule>
  </conditionalFormatting>
  <conditionalFormatting sqref="AL1107">
    <cfRule type="cellIs" dxfId="0" priority="2349" operator="equal">
      <formula>"欠"</formula>
    </cfRule>
  </conditionalFormatting>
  <conditionalFormatting sqref="Q1108">
    <cfRule type="cellIs" dxfId="0" priority="3122" operator="equal">
      <formula>"欠"</formula>
    </cfRule>
  </conditionalFormatting>
  <conditionalFormatting sqref="R1108">
    <cfRule type="containsText" dxfId="0" priority="3144" operator="between" text="欠">
      <formula>NOT(ISERROR(SEARCH("欠",R1108)))</formula>
    </cfRule>
    <cfRule type="cellIs" dxfId="0" priority="3210" operator="equal">
      <formula>"欠"</formula>
    </cfRule>
  </conditionalFormatting>
  <conditionalFormatting sqref="S1108">
    <cfRule type="cellIs" dxfId="0" priority="3298" operator="equal">
      <formula>"欠"</formula>
    </cfRule>
  </conditionalFormatting>
  <conditionalFormatting sqref="T1108:U1108">
    <cfRule type="containsText" dxfId="0" priority="3166" operator="between" text="欠">
      <formula>NOT(ISERROR(SEARCH("欠",T1108)))</formula>
    </cfRule>
    <cfRule type="containsText" dxfId="2" priority="3254" operator="between" text="欠">
      <formula>NOT(ISERROR(SEARCH("欠",T1108)))</formula>
    </cfRule>
    <cfRule type="cellIs" dxfId="0" priority="3276" operator="equal">
      <formula>"欠"</formula>
    </cfRule>
  </conditionalFormatting>
  <conditionalFormatting sqref="V1108">
    <cfRule type="cellIs" dxfId="0" priority="3034" operator="equal">
      <formula>"欠"</formula>
    </cfRule>
  </conditionalFormatting>
  <conditionalFormatting sqref="AH1108">
    <cfRule type="cellIs" dxfId="0" priority="3012" operator="equal">
      <formula>"未完成"</formula>
    </cfRule>
  </conditionalFormatting>
  <conditionalFormatting sqref="AK1108">
    <cfRule type="cellIs" dxfId="1" priority="3078" operator="equal">
      <formula>"未完成"</formula>
    </cfRule>
    <cfRule type="cellIs" dxfId="0" priority="3100" operator="equal">
      <formula>"未完成"</formula>
    </cfRule>
  </conditionalFormatting>
  <conditionalFormatting sqref="AL1108">
    <cfRule type="cellIs" dxfId="0" priority="3056" operator="equal">
      <formula>"欠"</formula>
    </cfRule>
  </conditionalFormatting>
  <conditionalFormatting sqref="Q1109">
    <cfRule type="cellIs" dxfId="0" priority="2389" operator="equal">
      <formula>"欠"</formula>
    </cfRule>
  </conditionalFormatting>
  <conditionalFormatting sqref="V1109">
    <cfRule type="cellIs" dxfId="0" priority="2369" operator="equal">
      <formula>"欠"</formula>
    </cfRule>
  </conditionalFormatting>
  <conditionalFormatting sqref="AH1109">
    <cfRule type="cellIs" dxfId="0" priority="2364" operator="equal">
      <formula>"未完成"</formula>
    </cfRule>
  </conditionalFormatting>
  <conditionalFormatting sqref="AK1109">
    <cfRule type="cellIs" dxfId="1" priority="2379" operator="equal">
      <formula>"未完成"</formula>
    </cfRule>
    <cfRule type="cellIs" dxfId="0" priority="2384" operator="equal">
      <formula>"未完成"</formula>
    </cfRule>
  </conditionalFormatting>
  <conditionalFormatting sqref="AL1109">
    <cfRule type="cellIs" dxfId="0" priority="2374" operator="equal">
      <formula>"欠"</formula>
    </cfRule>
  </conditionalFormatting>
  <conditionalFormatting sqref="Q1110">
    <cfRule type="cellIs" dxfId="0" priority="2388" operator="equal">
      <formula>"欠"</formula>
    </cfRule>
  </conditionalFormatting>
  <conditionalFormatting sqref="V1110">
    <cfRule type="cellIs" dxfId="0" priority="2368" operator="equal">
      <formula>"欠"</formula>
    </cfRule>
  </conditionalFormatting>
  <conditionalFormatting sqref="AH1110">
    <cfRule type="cellIs" dxfId="0" priority="2363" operator="equal">
      <formula>"未完成"</formula>
    </cfRule>
  </conditionalFormatting>
  <conditionalFormatting sqref="AK1110">
    <cfRule type="cellIs" dxfId="1" priority="2378" operator="equal">
      <formula>"未完成"</formula>
    </cfRule>
    <cfRule type="cellIs" dxfId="0" priority="2383" operator="equal">
      <formula>"未完成"</formula>
    </cfRule>
  </conditionalFormatting>
  <conditionalFormatting sqref="AL1110">
    <cfRule type="cellIs" dxfId="0" priority="2373" operator="equal">
      <formula>"欠"</formula>
    </cfRule>
  </conditionalFormatting>
  <conditionalFormatting sqref="Q1111">
    <cfRule type="cellIs" dxfId="0" priority="2387" operator="equal">
      <formula>"欠"</formula>
    </cfRule>
  </conditionalFormatting>
  <conditionalFormatting sqref="V1111">
    <cfRule type="cellIs" dxfId="0" priority="2367" operator="equal">
      <formula>"欠"</formula>
    </cfRule>
  </conditionalFormatting>
  <conditionalFormatting sqref="AH1111">
    <cfRule type="cellIs" dxfId="0" priority="2362" operator="equal">
      <formula>"未完成"</formula>
    </cfRule>
  </conditionalFormatting>
  <conditionalFormatting sqref="AK1111">
    <cfRule type="cellIs" dxfId="1" priority="2377" operator="equal">
      <formula>"未完成"</formula>
    </cfRule>
    <cfRule type="cellIs" dxfId="0" priority="2382" operator="equal">
      <formula>"未完成"</formula>
    </cfRule>
  </conditionalFormatting>
  <conditionalFormatting sqref="AL1111">
    <cfRule type="cellIs" dxfId="0" priority="2372" operator="equal">
      <formula>"欠"</formula>
    </cfRule>
  </conditionalFormatting>
  <conditionalFormatting sqref="Q1112">
    <cfRule type="cellIs" dxfId="0" priority="254" operator="equal">
      <formula>"欠"</formula>
    </cfRule>
  </conditionalFormatting>
  <conditionalFormatting sqref="V1112">
    <cfRule type="cellIs" dxfId="0" priority="250" operator="equal">
      <formula>"欠"</formula>
    </cfRule>
  </conditionalFormatting>
  <conditionalFormatting sqref="AH1112">
    <cfRule type="cellIs" dxfId="0" priority="249" operator="equal">
      <formula>"未完成"</formula>
    </cfRule>
  </conditionalFormatting>
  <conditionalFormatting sqref="AK1112">
    <cfRule type="cellIs" dxfId="1" priority="252" operator="equal">
      <formula>"未完成"</formula>
    </cfRule>
    <cfRule type="cellIs" dxfId="0" priority="253" operator="equal">
      <formula>"未完成"</formula>
    </cfRule>
  </conditionalFormatting>
  <conditionalFormatting sqref="AL1112">
    <cfRule type="cellIs" dxfId="0" priority="251" operator="equal">
      <formula>"欠"</formula>
    </cfRule>
  </conditionalFormatting>
  <conditionalFormatting sqref="V1113">
    <cfRule type="cellIs" dxfId="0" priority="2447" operator="equal">
      <formula>"欠"</formula>
    </cfRule>
  </conditionalFormatting>
  <conditionalFormatting sqref="AH1113">
    <cfRule type="cellIs" dxfId="0" priority="2441" operator="equal">
      <formula>"未完成"</formula>
    </cfRule>
  </conditionalFormatting>
  <conditionalFormatting sqref="AK1113">
    <cfRule type="cellIs" dxfId="1" priority="2459" operator="equal">
      <formula>"未完成"</formula>
    </cfRule>
    <cfRule type="cellIs" dxfId="0" priority="2465" operator="equal">
      <formula>"未完成"</formula>
    </cfRule>
  </conditionalFormatting>
  <conditionalFormatting sqref="V1114">
    <cfRule type="cellIs" dxfId="0" priority="2446" operator="equal">
      <formula>"欠"</formula>
    </cfRule>
  </conditionalFormatting>
  <conditionalFormatting sqref="AH1114">
    <cfRule type="cellIs" dxfId="0" priority="2440" operator="equal">
      <formula>"未完成"</formula>
    </cfRule>
  </conditionalFormatting>
  <conditionalFormatting sqref="AK1114">
    <cfRule type="cellIs" dxfId="1" priority="2458" operator="equal">
      <formula>"未完成"</formula>
    </cfRule>
    <cfRule type="cellIs" dxfId="0" priority="2464" operator="equal">
      <formula>"未完成"</formula>
    </cfRule>
  </conditionalFormatting>
  <conditionalFormatting sqref="V1115">
    <cfRule type="cellIs" dxfId="0" priority="2445" operator="equal">
      <formula>"欠"</formula>
    </cfRule>
  </conditionalFormatting>
  <conditionalFormatting sqref="AH1115">
    <cfRule type="cellIs" dxfId="0" priority="2439" operator="equal">
      <formula>"未完成"</formula>
    </cfRule>
  </conditionalFormatting>
  <conditionalFormatting sqref="AK1115">
    <cfRule type="cellIs" dxfId="1" priority="2457" operator="equal">
      <formula>"未完成"</formula>
    </cfRule>
    <cfRule type="cellIs" dxfId="0" priority="2463" operator="equal">
      <formula>"未完成"</formula>
    </cfRule>
  </conditionalFormatting>
  <conditionalFormatting sqref="V1116">
    <cfRule type="cellIs" dxfId="0" priority="2444" operator="equal">
      <formula>"欠"</formula>
    </cfRule>
  </conditionalFormatting>
  <conditionalFormatting sqref="AH1116">
    <cfRule type="cellIs" dxfId="0" priority="2438" operator="equal">
      <formula>"未完成"</formula>
    </cfRule>
  </conditionalFormatting>
  <conditionalFormatting sqref="AK1116">
    <cfRule type="cellIs" dxfId="1" priority="2456" operator="equal">
      <formula>"未完成"</formula>
    </cfRule>
    <cfRule type="cellIs" dxfId="0" priority="2462" operator="equal">
      <formula>"未完成"</formula>
    </cfRule>
  </conditionalFormatting>
  <conditionalFormatting sqref="V1117">
    <cfRule type="cellIs" dxfId="0" priority="2443" operator="equal">
      <formula>"欠"</formula>
    </cfRule>
  </conditionalFormatting>
  <conditionalFormatting sqref="AH1117">
    <cfRule type="cellIs" dxfId="0" priority="2437" operator="equal">
      <formula>"未完成"</formula>
    </cfRule>
  </conditionalFormatting>
  <conditionalFormatting sqref="AK1117">
    <cfRule type="cellIs" dxfId="1" priority="2455" operator="equal">
      <formula>"未完成"</formula>
    </cfRule>
    <cfRule type="cellIs" dxfId="0" priority="2461" operator="equal">
      <formula>"未完成"</formula>
    </cfRule>
  </conditionalFormatting>
  <conditionalFormatting sqref="Q1118">
    <cfRule type="cellIs" dxfId="0" priority="2514" operator="equal">
      <formula>"欠"</formula>
    </cfRule>
  </conditionalFormatting>
  <conditionalFormatting sqref="R1118">
    <cfRule type="containsText" dxfId="0" priority="2515" operator="between" text="欠">
      <formula>NOT(ISERROR(SEARCH("欠",R1118)))</formula>
    </cfRule>
    <cfRule type="cellIs" dxfId="0" priority="2517" operator="equal">
      <formula>"欠"</formula>
    </cfRule>
  </conditionalFormatting>
  <conditionalFormatting sqref="S1118">
    <cfRule type="cellIs" dxfId="0" priority="2520" operator="equal">
      <formula>"欠"</formula>
    </cfRule>
  </conditionalFormatting>
  <conditionalFormatting sqref="T1118:U1118">
    <cfRule type="containsText" dxfId="0" priority="2516" operator="between" text="欠">
      <formula>NOT(ISERROR(SEARCH("欠",T1118)))</formula>
    </cfRule>
    <cfRule type="containsText" dxfId="2" priority="2518" operator="between" text="欠">
      <formula>NOT(ISERROR(SEARCH("欠",T1118)))</formula>
    </cfRule>
    <cfRule type="cellIs" dxfId="0" priority="2519" operator="equal">
      <formula>"欠"</formula>
    </cfRule>
  </conditionalFormatting>
  <conditionalFormatting sqref="V1118">
    <cfRule type="cellIs" dxfId="0" priority="2510" operator="equal">
      <formula>"欠"</formula>
    </cfRule>
  </conditionalFormatting>
  <conditionalFormatting sqref="AH1118">
    <cfRule type="cellIs" dxfId="0" priority="2509" operator="equal">
      <formula>"未完成"</formula>
    </cfRule>
  </conditionalFormatting>
  <conditionalFormatting sqref="AK1118">
    <cfRule type="cellIs" dxfId="1" priority="2512" operator="equal">
      <formula>"未完成"</formula>
    </cfRule>
    <cfRule type="cellIs" dxfId="0" priority="2513" operator="equal">
      <formula>"未完成"</formula>
    </cfRule>
  </conditionalFormatting>
  <conditionalFormatting sqref="AL1118">
    <cfRule type="cellIs" dxfId="0" priority="2511" operator="equal">
      <formula>"欠"</formula>
    </cfRule>
  </conditionalFormatting>
  <conditionalFormatting sqref="Q1119">
    <cfRule type="cellIs" dxfId="0" priority="3121" operator="equal">
      <formula>"欠"</formula>
    </cfRule>
  </conditionalFormatting>
  <conditionalFormatting sqref="R1119">
    <cfRule type="containsText" dxfId="0" priority="3143" operator="between" text="欠">
      <formula>NOT(ISERROR(SEARCH("欠",R1119)))</formula>
    </cfRule>
    <cfRule type="cellIs" dxfId="0" priority="3209" operator="equal">
      <formula>"欠"</formula>
    </cfRule>
  </conditionalFormatting>
  <conditionalFormatting sqref="S1119">
    <cfRule type="cellIs" dxfId="0" priority="3297" operator="equal">
      <formula>"欠"</formula>
    </cfRule>
  </conditionalFormatting>
  <conditionalFormatting sqref="T1119:U1119">
    <cfRule type="containsText" dxfId="0" priority="3165" operator="between" text="欠">
      <formula>NOT(ISERROR(SEARCH("欠",T1119)))</formula>
    </cfRule>
    <cfRule type="containsText" dxfId="2" priority="3253" operator="between" text="欠">
      <formula>NOT(ISERROR(SEARCH("欠",T1119)))</formula>
    </cfRule>
    <cfRule type="cellIs" dxfId="0" priority="3275" operator="equal">
      <formula>"欠"</formula>
    </cfRule>
  </conditionalFormatting>
  <conditionalFormatting sqref="V1119">
    <cfRule type="cellIs" dxfId="0" priority="3033" operator="equal">
      <formula>"欠"</formula>
    </cfRule>
  </conditionalFormatting>
  <conditionalFormatting sqref="AH1119">
    <cfRule type="cellIs" dxfId="0" priority="3011" operator="equal">
      <formula>"未完成"</formula>
    </cfRule>
  </conditionalFormatting>
  <conditionalFormatting sqref="AK1119">
    <cfRule type="cellIs" dxfId="1" priority="3077" operator="equal">
      <formula>"未完成"</formula>
    </cfRule>
    <cfRule type="cellIs" dxfId="0" priority="3099" operator="equal">
      <formula>"未完成"</formula>
    </cfRule>
  </conditionalFormatting>
  <conditionalFormatting sqref="AL1119">
    <cfRule type="cellIs" dxfId="0" priority="3055" operator="equal">
      <formula>"欠"</formula>
    </cfRule>
  </conditionalFormatting>
  <conditionalFormatting sqref="Q1120">
    <cfRule type="cellIs" dxfId="0" priority="2390" operator="equal">
      <formula>"欠"</formula>
    </cfRule>
  </conditionalFormatting>
  <conditionalFormatting sqref="T1120:U1120">
    <cfRule type="containsText" dxfId="0" priority="2400" operator="between" text="欠">
      <formula>NOT(ISERROR(SEARCH("欠",T1120)))</formula>
    </cfRule>
    <cfRule type="containsText" dxfId="2" priority="2420" operator="between" text="欠">
      <formula>NOT(ISERROR(SEARCH("欠",T1120)))</formula>
    </cfRule>
    <cfRule type="cellIs" dxfId="0" priority="2425" operator="equal">
      <formula>"欠"</formula>
    </cfRule>
  </conditionalFormatting>
  <conditionalFormatting sqref="V1120">
    <cfRule type="cellIs" dxfId="0" priority="2370" operator="equal">
      <formula>"欠"</formula>
    </cfRule>
  </conditionalFormatting>
  <conditionalFormatting sqref="AH1120">
    <cfRule type="cellIs" dxfId="0" priority="2365" operator="equal">
      <formula>"未完成"</formula>
    </cfRule>
  </conditionalFormatting>
  <conditionalFormatting sqref="AK1120">
    <cfRule type="cellIs" dxfId="1" priority="2380" operator="equal">
      <formula>"未完成"</formula>
    </cfRule>
    <cfRule type="cellIs" dxfId="0" priority="2385" operator="equal">
      <formula>"未完成"</formula>
    </cfRule>
  </conditionalFormatting>
  <conditionalFormatting sqref="AL1120">
    <cfRule type="cellIs" dxfId="0" priority="2375" operator="equal">
      <formula>"欠"</formula>
    </cfRule>
  </conditionalFormatting>
  <conditionalFormatting sqref="Q1121">
    <cfRule type="cellIs" dxfId="0" priority="3351" operator="equal">
      <formula>"欠"</formula>
    </cfRule>
  </conditionalFormatting>
  <conditionalFormatting sqref="R1121">
    <cfRule type="containsText" dxfId="0" priority="3357" operator="between" text="欠">
      <formula>NOT(ISERROR(SEARCH("欠",R1121)))</formula>
    </cfRule>
    <cfRule type="cellIs" dxfId="0" priority="3375" operator="equal">
      <formula>"欠"</formula>
    </cfRule>
  </conditionalFormatting>
  <conditionalFormatting sqref="S1121">
    <cfRule type="cellIs" dxfId="0" priority="3399" operator="equal">
      <formula>"欠"</formula>
    </cfRule>
  </conditionalFormatting>
  <conditionalFormatting sqref="T1121:U1121">
    <cfRule type="containsText" dxfId="0" priority="3363" operator="between" text="欠">
      <formula>NOT(ISERROR(SEARCH("欠",T1121)))</formula>
    </cfRule>
    <cfRule type="containsText" dxfId="2" priority="3387" operator="between" text="欠">
      <formula>NOT(ISERROR(SEARCH("欠",T1121)))</formula>
    </cfRule>
    <cfRule type="cellIs" dxfId="0" priority="3393" operator="equal">
      <formula>"欠"</formula>
    </cfRule>
  </conditionalFormatting>
  <conditionalFormatting sqref="V1121">
    <cfRule type="cellIs" dxfId="0" priority="3327" operator="equal">
      <formula>"欠"</formula>
    </cfRule>
  </conditionalFormatting>
  <conditionalFormatting sqref="AH1121">
    <cfRule type="cellIs" dxfId="0" priority="3321" operator="equal">
      <formula>"未完成"</formula>
    </cfRule>
  </conditionalFormatting>
  <conditionalFormatting sqref="AK1121">
    <cfRule type="cellIs" dxfId="1" priority="3339" operator="equal">
      <formula>"未完成"</formula>
    </cfRule>
    <cfRule type="cellIs" dxfId="0" priority="3345" operator="equal">
      <formula>"未完成"</formula>
    </cfRule>
  </conditionalFormatting>
  <conditionalFormatting sqref="AL1121">
    <cfRule type="cellIs" dxfId="0" priority="3333" operator="equal">
      <formula>"欠"</formula>
    </cfRule>
  </conditionalFormatting>
  <conditionalFormatting sqref="Q1123">
    <cfRule type="cellIs" dxfId="0" priority="2571" operator="equal">
      <formula>"欠"</formula>
    </cfRule>
  </conditionalFormatting>
  <conditionalFormatting sqref="R1123">
    <cfRule type="containsText" dxfId="0" priority="2572" operator="between" text="欠">
      <formula>NOT(ISERROR(SEARCH("欠",R1123)))</formula>
    </cfRule>
    <cfRule type="cellIs" dxfId="0" priority="2574" operator="equal">
      <formula>"欠"</formula>
    </cfRule>
  </conditionalFormatting>
  <conditionalFormatting sqref="S1123">
    <cfRule type="cellIs" dxfId="0" priority="2577" operator="equal">
      <formula>"欠"</formula>
    </cfRule>
  </conditionalFormatting>
  <conditionalFormatting sqref="T1123:U1123">
    <cfRule type="containsText" dxfId="0" priority="2573" operator="between" text="欠">
      <formula>NOT(ISERROR(SEARCH("欠",T1123)))</formula>
    </cfRule>
    <cfRule type="containsText" dxfId="2" priority="2575" operator="between" text="欠">
      <formula>NOT(ISERROR(SEARCH("欠",T1123)))</formula>
    </cfRule>
    <cfRule type="cellIs" dxfId="0" priority="2576" operator="equal">
      <formula>"欠"</formula>
    </cfRule>
  </conditionalFormatting>
  <conditionalFormatting sqref="V1123">
    <cfRule type="cellIs" dxfId="0" priority="2567" operator="equal">
      <formula>"欠"</formula>
    </cfRule>
  </conditionalFormatting>
  <conditionalFormatting sqref="AH1123">
    <cfRule type="cellIs" dxfId="0" priority="2566" operator="equal">
      <formula>"未完成"</formula>
    </cfRule>
  </conditionalFormatting>
  <conditionalFormatting sqref="AK1123">
    <cfRule type="cellIs" dxfId="1" priority="2569" operator="equal">
      <formula>"未完成"</formula>
    </cfRule>
    <cfRule type="cellIs" dxfId="0" priority="2570" operator="equal">
      <formula>"未完成"</formula>
    </cfRule>
  </conditionalFormatting>
  <conditionalFormatting sqref="AL1123">
    <cfRule type="cellIs" dxfId="0" priority="2568" operator="equal">
      <formula>"欠"</formula>
    </cfRule>
  </conditionalFormatting>
  <conditionalFormatting sqref="Q1124">
    <cfRule type="cellIs" dxfId="0" priority="2268" operator="equal">
      <formula>"欠"</formula>
    </cfRule>
  </conditionalFormatting>
  <conditionalFormatting sqref="T1124:U1124">
    <cfRule type="containsText" dxfId="0" priority="2273" operator="between" text="欠">
      <formula>NOT(ISERROR(SEARCH("欠",T1124)))</formula>
    </cfRule>
    <cfRule type="containsText" dxfId="2" priority="2274" operator="between" text="欠">
      <formula>NOT(ISERROR(SEARCH("欠",T1124)))</formula>
    </cfRule>
    <cfRule type="cellIs" dxfId="0" priority="2275" operator="equal">
      <formula>"欠"</formula>
    </cfRule>
  </conditionalFormatting>
  <conditionalFormatting sqref="V1124">
    <cfRule type="cellIs" dxfId="0" priority="2264" operator="equal">
      <formula>"欠"</formula>
    </cfRule>
  </conditionalFormatting>
  <conditionalFormatting sqref="AH1124">
    <cfRule type="cellIs" dxfId="0" priority="2263" operator="equal">
      <formula>"未完成"</formula>
    </cfRule>
  </conditionalFormatting>
  <conditionalFormatting sqref="AK1124">
    <cfRule type="cellIs" dxfId="1" priority="2266" operator="equal">
      <formula>"未完成"</formula>
    </cfRule>
    <cfRule type="cellIs" dxfId="0" priority="2267" operator="equal">
      <formula>"未完成"</formula>
    </cfRule>
  </conditionalFormatting>
  <conditionalFormatting sqref="AL1124">
    <cfRule type="cellIs" dxfId="0" priority="2265" operator="equal">
      <formula>"欠"</formula>
    </cfRule>
  </conditionalFormatting>
  <conditionalFormatting sqref="Q1125">
    <cfRule type="cellIs" dxfId="0" priority="1848" operator="equal">
      <formula>"欠"</formula>
    </cfRule>
  </conditionalFormatting>
  <conditionalFormatting sqref="V1125">
    <cfRule type="cellIs" dxfId="0" priority="1804" operator="equal">
      <formula>"欠"</formula>
    </cfRule>
  </conditionalFormatting>
  <conditionalFormatting sqref="AH1125">
    <cfRule type="cellIs" dxfId="0" priority="1793" operator="equal">
      <formula>"未完成"</formula>
    </cfRule>
  </conditionalFormatting>
  <conditionalFormatting sqref="AK1125">
    <cfRule type="cellIs" dxfId="1" priority="1826" operator="equal">
      <formula>"未完成"</formula>
    </cfRule>
    <cfRule type="cellIs" dxfId="0" priority="1837" operator="equal">
      <formula>"未完成"</formula>
    </cfRule>
  </conditionalFormatting>
  <conditionalFormatting sqref="AL1125">
    <cfRule type="cellIs" dxfId="0" priority="1815" operator="equal">
      <formula>"欠"</formula>
    </cfRule>
  </conditionalFormatting>
  <conditionalFormatting sqref="Q1126">
    <cfRule type="cellIs" dxfId="0" priority="1847" operator="equal">
      <formula>"欠"</formula>
    </cfRule>
  </conditionalFormatting>
  <conditionalFormatting sqref="V1126">
    <cfRule type="cellIs" dxfId="0" priority="1803" operator="equal">
      <formula>"欠"</formula>
    </cfRule>
  </conditionalFormatting>
  <conditionalFormatting sqref="AH1126">
    <cfRule type="cellIs" dxfId="0" priority="1792" operator="equal">
      <formula>"未完成"</formula>
    </cfRule>
  </conditionalFormatting>
  <conditionalFormatting sqref="AK1126">
    <cfRule type="cellIs" dxfId="1" priority="1825" operator="equal">
      <formula>"未完成"</formula>
    </cfRule>
    <cfRule type="cellIs" dxfId="0" priority="1836" operator="equal">
      <formula>"未完成"</formula>
    </cfRule>
  </conditionalFormatting>
  <conditionalFormatting sqref="AL1126">
    <cfRule type="cellIs" dxfId="0" priority="1814" operator="equal">
      <formula>"欠"</formula>
    </cfRule>
  </conditionalFormatting>
  <conditionalFormatting sqref="Q1127">
    <cfRule type="cellIs" dxfId="0" priority="1972" operator="equal">
      <formula>"欠"</formula>
    </cfRule>
  </conditionalFormatting>
  <conditionalFormatting sqref="V1127">
    <cfRule type="cellIs" dxfId="0" priority="1968" operator="equal">
      <formula>"欠"</formula>
    </cfRule>
  </conditionalFormatting>
  <conditionalFormatting sqref="AH1127">
    <cfRule type="cellIs" dxfId="0" priority="1967" operator="equal">
      <formula>"未完成"</formula>
    </cfRule>
  </conditionalFormatting>
  <conditionalFormatting sqref="AK1127">
    <cfRule type="cellIs" dxfId="1" priority="1970" operator="equal">
      <formula>"未完成"</formula>
    </cfRule>
    <cfRule type="cellIs" dxfId="0" priority="1971" operator="equal">
      <formula>"未完成"</formula>
    </cfRule>
  </conditionalFormatting>
  <conditionalFormatting sqref="AL1127">
    <cfRule type="cellIs" dxfId="0" priority="1969" operator="equal">
      <formula>"欠"</formula>
    </cfRule>
  </conditionalFormatting>
  <conditionalFormatting sqref="Q1128">
    <cfRule type="cellIs" dxfId="0" priority="2322" operator="equal">
      <formula>"欠"</formula>
    </cfRule>
  </conditionalFormatting>
  <conditionalFormatting sqref="T1128:U1128">
    <cfRule type="containsText" dxfId="0" priority="2328" operator="between" text="欠">
      <formula>NOT(ISERROR(SEARCH("欠",T1128)))</formula>
    </cfRule>
    <cfRule type="containsText" dxfId="2" priority="2340" operator="between" text="欠">
      <formula>NOT(ISERROR(SEARCH("欠",T1128)))</formula>
    </cfRule>
    <cfRule type="cellIs" dxfId="0" priority="2343" operator="equal">
      <formula>"欠"</formula>
    </cfRule>
  </conditionalFormatting>
  <conditionalFormatting sqref="V1128">
    <cfRule type="cellIs" dxfId="0" priority="2310" operator="equal">
      <formula>"欠"</formula>
    </cfRule>
  </conditionalFormatting>
  <conditionalFormatting sqref="AH1128">
    <cfRule type="cellIs" dxfId="0" priority="2307" operator="equal">
      <formula>"未完成"</formula>
    </cfRule>
  </conditionalFormatting>
  <conditionalFormatting sqref="AL1128">
    <cfRule type="cellIs" dxfId="0" priority="2313" operator="equal">
      <formula>"欠"</formula>
    </cfRule>
  </conditionalFormatting>
  <conditionalFormatting sqref="Q1130">
    <cfRule type="cellIs" dxfId="0" priority="2583" operator="equal">
      <formula>"欠"</formula>
    </cfRule>
  </conditionalFormatting>
  <conditionalFormatting sqref="R1130">
    <cfRule type="containsText" dxfId="0" priority="2584" operator="between" text="欠">
      <formula>NOT(ISERROR(SEARCH("欠",R1130)))</formula>
    </cfRule>
    <cfRule type="cellIs" dxfId="0" priority="2586" operator="equal">
      <formula>"欠"</formula>
    </cfRule>
  </conditionalFormatting>
  <conditionalFormatting sqref="T1130:U1130">
    <cfRule type="containsText" dxfId="0" priority="2585" operator="between" text="欠">
      <formula>NOT(ISERROR(SEARCH("欠",T1130)))</formula>
    </cfRule>
    <cfRule type="containsText" dxfId="2" priority="2587" operator="between" text="欠">
      <formula>NOT(ISERROR(SEARCH("欠",T1130)))</formula>
    </cfRule>
    <cfRule type="cellIs" dxfId="0" priority="2588" operator="equal">
      <formula>"欠"</formula>
    </cfRule>
  </conditionalFormatting>
  <conditionalFormatting sqref="V1130">
    <cfRule type="cellIs" dxfId="0" priority="2579" operator="equal">
      <formula>"欠"</formula>
    </cfRule>
  </conditionalFormatting>
  <conditionalFormatting sqref="AH1130">
    <cfRule type="cellIs" dxfId="0" priority="2578" operator="equal">
      <formula>"未完成"</formula>
    </cfRule>
  </conditionalFormatting>
  <conditionalFormatting sqref="AK1130">
    <cfRule type="cellIs" dxfId="1" priority="2581" operator="equal">
      <formula>"未完成"</formula>
    </cfRule>
    <cfRule type="cellIs" dxfId="0" priority="2582" operator="equal">
      <formula>"未完成"</formula>
    </cfRule>
  </conditionalFormatting>
  <conditionalFormatting sqref="AL1130">
    <cfRule type="cellIs" dxfId="0" priority="2580" operator="equal">
      <formula>"欠"</formula>
    </cfRule>
  </conditionalFormatting>
  <conditionalFormatting sqref="Q1131">
    <cfRule type="cellIs" dxfId="0" priority="2928" operator="equal">
      <formula>"欠"</formula>
    </cfRule>
  </conditionalFormatting>
  <conditionalFormatting sqref="V1131">
    <cfRule type="cellIs" dxfId="0" priority="2904" operator="equal">
      <formula>"欠"</formula>
    </cfRule>
  </conditionalFormatting>
  <conditionalFormatting sqref="AH1131">
    <cfRule type="cellIs" dxfId="0" priority="2898" operator="equal">
      <formula>"未完成"</formula>
    </cfRule>
  </conditionalFormatting>
  <conditionalFormatting sqref="AK1131">
    <cfRule type="cellIs" dxfId="1" priority="2916" operator="equal">
      <formula>"未完成"</formula>
    </cfRule>
    <cfRule type="cellIs" dxfId="0" priority="2922" operator="equal">
      <formula>"未完成"</formula>
    </cfRule>
  </conditionalFormatting>
  <conditionalFormatting sqref="AL1131">
    <cfRule type="cellIs" dxfId="0" priority="2910" operator="equal">
      <formula>"欠"</formula>
    </cfRule>
  </conditionalFormatting>
  <conditionalFormatting sqref="Q1132">
    <cfRule type="cellIs" dxfId="0" priority="1953" operator="equal">
      <formula>"欠"</formula>
    </cfRule>
  </conditionalFormatting>
  <conditionalFormatting sqref="T1132:U1132">
    <cfRule type="containsText" dxfId="0" priority="1957" operator="between" text="欠">
      <formula>NOT(ISERROR(SEARCH("欠",T1132)))</formula>
    </cfRule>
    <cfRule type="containsText" dxfId="2" priority="1961" operator="between" text="欠">
      <formula>NOT(ISERROR(SEARCH("欠",T1132)))</formula>
    </cfRule>
    <cfRule type="cellIs" dxfId="0" priority="1963" operator="equal">
      <formula>"欠"</formula>
    </cfRule>
  </conditionalFormatting>
  <conditionalFormatting sqref="V1132">
    <cfRule type="cellIs" dxfId="0" priority="1945" operator="equal">
      <formula>"欠"</formula>
    </cfRule>
  </conditionalFormatting>
  <conditionalFormatting sqref="AH1132">
    <cfRule type="cellIs" dxfId="0" priority="1943" operator="equal">
      <formula>"未完成"</formula>
    </cfRule>
  </conditionalFormatting>
  <conditionalFormatting sqref="AK1132">
    <cfRule type="cellIs" dxfId="1" priority="1949" operator="equal">
      <formula>"未完成"</formula>
    </cfRule>
    <cfRule type="cellIs" dxfId="0" priority="1951" operator="equal">
      <formula>"未完成"</formula>
    </cfRule>
  </conditionalFormatting>
  <conditionalFormatting sqref="AL1132">
    <cfRule type="cellIs" dxfId="0" priority="1947" operator="equal">
      <formula>"欠"</formula>
    </cfRule>
  </conditionalFormatting>
  <conditionalFormatting sqref="Q1133">
    <cfRule type="cellIs" dxfId="0" priority="1594" operator="equal">
      <formula>"欠"</formula>
    </cfRule>
  </conditionalFormatting>
  <conditionalFormatting sqref="R1133">
    <cfRule type="containsText" dxfId="0" priority="1598" operator="between" text="欠">
      <formula>NOT(ISERROR(SEARCH("欠",R1133)))</formula>
    </cfRule>
    <cfRule type="cellIs" dxfId="0" priority="1599" operator="equal">
      <formula>"欠"</formula>
    </cfRule>
  </conditionalFormatting>
  <conditionalFormatting sqref="S1133">
    <cfRule type="cellIs" dxfId="0" priority="1600" operator="equal">
      <formula>"欠"</formula>
    </cfRule>
  </conditionalFormatting>
  <conditionalFormatting sqref="T1133:U1133">
    <cfRule type="containsText" dxfId="0" priority="1595" operator="between" text="欠">
      <formula>NOT(ISERROR(SEARCH("欠",T1133)))</formula>
    </cfRule>
    <cfRule type="containsText" dxfId="2" priority="1596" operator="between" text="欠">
      <formula>NOT(ISERROR(SEARCH("欠",T1133)))</formula>
    </cfRule>
    <cfRule type="cellIs" dxfId="0" priority="1597" operator="equal">
      <formula>"欠"</formula>
    </cfRule>
  </conditionalFormatting>
  <conditionalFormatting sqref="V1133">
    <cfRule type="cellIs" dxfId="0" priority="1590" operator="equal">
      <formula>"欠"</formula>
    </cfRule>
  </conditionalFormatting>
  <conditionalFormatting sqref="AH1133">
    <cfRule type="cellIs" dxfId="0" priority="1589" operator="equal">
      <formula>"未完成"</formula>
    </cfRule>
  </conditionalFormatting>
  <conditionalFormatting sqref="AK1133">
    <cfRule type="cellIs" dxfId="1" priority="1592" operator="equal">
      <formula>"未完成"</formula>
    </cfRule>
    <cfRule type="cellIs" dxfId="0" priority="1593" operator="equal">
      <formula>"未完成"</formula>
    </cfRule>
  </conditionalFormatting>
  <conditionalFormatting sqref="AL1133">
    <cfRule type="cellIs" dxfId="0" priority="1591" operator="equal">
      <formula>"欠"</formula>
    </cfRule>
  </conditionalFormatting>
  <conditionalFormatting sqref="Q1135">
    <cfRule type="cellIs" dxfId="0" priority="3135" operator="equal">
      <formula>"欠"</formula>
    </cfRule>
  </conditionalFormatting>
  <conditionalFormatting sqref="V1135">
    <cfRule type="cellIs" dxfId="0" priority="3047" operator="equal">
      <formula>"欠"</formula>
    </cfRule>
  </conditionalFormatting>
  <conditionalFormatting sqref="AH1135">
    <cfRule type="cellIs" dxfId="0" priority="3025" operator="equal">
      <formula>"未完成"</formula>
    </cfRule>
  </conditionalFormatting>
  <conditionalFormatting sqref="AK1135">
    <cfRule type="cellIs" dxfId="1" priority="3091" operator="equal">
      <formula>"未完成"</formula>
    </cfRule>
    <cfRule type="cellIs" dxfId="0" priority="3113" operator="equal">
      <formula>"未完成"</formula>
    </cfRule>
  </conditionalFormatting>
  <conditionalFormatting sqref="AL1135">
    <cfRule type="cellIs" dxfId="0" priority="3069" operator="equal">
      <formula>"欠"</formula>
    </cfRule>
  </conditionalFormatting>
  <conditionalFormatting sqref="Q1136">
    <cfRule type="cellIs" dxfId="0" priority="3134" operator="equal">
      <formula>"欠"</formula>
    </cfRule>
  </conditionalFormatting>
  <conditionalFormatting sqref="V1136">
    <cfRule type="cellIs" dxfId="0" priority="3046" operator="equal">
      <formula>"欠"</formula>
    </cfRule>
  </conditionalFormatting>
  <conditionalFormatting sqref="AH1136">
    <cfRule type="cellIs" dxfId="0" priority="3024" operator="equal">
      <formula>"未完成"</formula>
    </cfRule>
  </conditionalFormatting>
  <conditionalFormatting sqref="AK1136">
    <cfRule type="cellIs" dxfId="1" priority="3090" operator="equal">
      <formula>"未完成"</formula>
    </cfRule>
    <cfRule type="cellIs" dxfId="0" priority="3112" operator="equal">
      <formula>"未完成"</formula>
    </cfRule>
  </conditionalFormatting>
  <conditionalFormatting sqref="AL1136">
    <cfRule type="cellIs" dxfId="0" priority="3068" operator="equal">
      <formula>"欠"</formula>
    </cfRule>
  </conditionalFormatting>
  <conditionalFormatting sqref="Q1137">
    <cfRule type="cellIs" dxfId="0" priority="3133" operator="equal">
      <formula>"欠"</formula>
    </cfRule>
  </conditionalFormatting>
  <conditionalFormatting sqref="V1137">
    <cfRule type="cellIs" dxfId="0" priority="3045" operator="equal">
      <formula>"欠"</formula>
    </cfRule>
  </conditionalFormatting>
  <conditionalFormatting sqref="AH1137">
    <cfRule type="cellIs" dxfId="0" priority="3023" operator="equal">
      <formula>"未完成"</formula>
    </cfRule>
  </conditionalFormatting>
  <conditionalFormatting sqref="AK1137">
    <cfRule type="cellIs" dxfId="1" priority="3089" operator="equal">
      <formula>"未完成"</formula>
    </cfRule>
    <cfRule type="cellIs" dxfId="0" priority="3111" operator="equal">
      <formula>"未完成"</formula>
    </cfRule>
  </conditionalFormatting>
  <conditionalFormatting sqref="AL1137">
    <cfRule type="cellIs" dxfId="0" priority="3067" operator="equal">
      <formula>"欠"</formula>
    </cfRule>
  </conditionalFormatting>
  <conditionalFormatting sqref="Q1138">
    <cfRule type="cellIs" dxfId="0" priority="3132" operator="equal">
      <formula>"欠"</formula>
    </cfRule>
  </conditionalFormatting>
  <conditionalFormatting sqref="V1138">
    <cfRule type="cellIs" dxfId="0" priority="3044" operator="equal">
      <formula>"欠"</formula>
    </cfRule>
  </conditionalFormatting>
  <conditionalFormatting sqref="AH1138">
    <cfRule type="cellIs" dxfId="0" priority="3022" operator="equal">
      <formula>"未完成"</formula>
    </cfRule>
  </conditionalFormatting>
  <conditionalFormatting sqref="AK1138">
    <cfRule type="cellIs" dxfId="1" priority="3088" operator="equal">
      <formula>"未完成"</formula>
    </cfRule>
    <cfRule type="cellIs" dxfId="0" priority="3110" operator="equal">
      <formula>"未完成"</formula>
    </cfRule>
  </conditionalFormatting>
  <conditionalFormatting sqref="AL1138">
    <cfRule type="cellIs" dxfId="0" priority="3066" operator="equal">
      <formula>"欠"</formula>
    </cfRule>
  </conditionalFormatting>
  <conditionalFormatting sqref="Q1139">
    <cfRule type="cellIs" dxfId="0" priority="3131" operator="equal">
      <formula>"欠"</formula>
    </cfRule>
  </conditionalFormatting>
  <conditionalFormatting sqref="V1139">
    <cfRule type="cellIs" dxfId="0" priority="3043" operator="equal">
      <formula>"欠"</formula>
    </cfRule>
  </conditionalFormatting>
  <conditionalFormatting sqref="AH1139">
    <cfRule type="cellIs" dxfId="0" priority="3021" operator="equal">
      <formula>"未完成"</formula>
    </cfRule>
  </conditionalFormatting>
  <conditionalFormatting sqref="AK1139">
    <cfRule type="cellIs" dxfId="1" priority="3087" operator="equal">
      <formula>"未完成"</formula>
    </cfRule>
    <cfRule type="cellIs" dxfId="0" priority="3109" operator="equal">
      <formula>"未完成"</formula>
    </cfRule>
  </conditionalFormatting>
  <conditionalFormatting sqref="AL1139">
    <cfRule type="cellIs" dxfId="0" priority="3065" operator="equal">
      <formula>"欠"</formula>
    </cfRule>
  </conditionalFormatting>
  <conditionalFormatting sqref="Q1140">
    <cfRule type="cellIs" dxfId="0" priority="3130" operator="equal">
      <formula>"欠"</formula>
    </cfRule>
  </conditionalFormatting>
  <conditionalFormatting sqref="V1140">
    <cfRule type="cellIs" dxfId="0" priority="3042" operator="equal">
      <formula>"欠"</formula>
    </cfRule>
  </conditionalFormatting>
  <conditionalFormatting sqref="AH1140">
    <cfRule type="cellIs" dxfId="0" priority="3020" operator="equal">
      <formula>"未完成"</formula>
    </cfRule>
  </conditionalFormatting>
  <conditionalFormatting sqref="AK1140">
    <cfRule type="cellIs" dxfId="1" priority="3086" operator="equal">
      <formula>"未完成"</formula>
    </cfRule>
    <cfRule type="cellIs" dxfId="0" priority="3108" operator="equal">
      <formula>"未完成"</formula>
    </cfRule>
  </conditionalFormatting>
  <conditionalFormatting sqref="AL1140">
    <cfRule type="cellIs" dxfId="0" priority="3064" operator="equal">
      <formula>"欠"</formula>
    </cfRule>
  </conditionalFormatting>
  <conditionalFormatting sqref="Q1141">
    <cfRule type="cellIs" dxfId="0" priority="2386" operator="equal">
      <formula>"欠"</formula>
    </cfRule>
  </conditionalFormatting>
  <conditionalFormatting sqref="R1141">
    <cfRule type="containsText" dxfId="0" priority="2391" operator="between" text="欠">
      <formula>NOT(ISERROR(SEARCH("欠",R1141)))</formula>
    </cfRule>
    <cfRule type="cellIs" dxfId="0" priority="2406" operator="equal">
      <formula>"欠"</formula>
    </cfRule>
  </conditionalFormatting>
  <conditionalFormatting sqref="S1141">
    <cfRule type="cellIs" dxfId="0" priority="2426" operator="equal">
      <formula>"欠"</formula>
    </cfRule>
  </conditionalFormatting>
  <conditionalFormatting sqref="T1141:U1141">
    <cfRule type="containsText" dxfId="0" priority="2396" operator="between" text="欠">
      <formula>NOT(ISERROR(SEARCH("欠",T1141)))</formula>
    </cfRule>
    <cfRule type="containsText" dxfId="2" priority="2416" operator="between" text="欠">
      <formula>NOT(ISERROR(SEARCH("欠",T1141)))</formula>
    </cfRule>
    <cfRule type="cellIs" dxfId="0" priority="2421" operator="equal">
      <formula>"欠"</formula>
    </cfRule>
  </conditionalFormatting>
  <conditionalFormatting sqref="V1141">
    <cfRule type="cellIs" dxfId="0" priority="2366" operator="equal">
      <formula>"欠"</formula>
    </cfRule>
  </conditionalFormatting>
  <conditionalFormatting sqref="AH1141">
    <cfRule type="cellIs" dxfId="0" priority="2361" operator="equal">
      <formula>"未完成"</formula>
    </cfRule>
  </conditionalFormatting>
  <conditionalFormatting sqref="AK1141">
    <cfRule type="cellIs" dxfId="1" priority="2376" operator="equal">
      <formula>"未完成"</formula>
    </cfRule>
    <cfRule type="cellIs" dxfId="0" priority="2381" operator="equal">
      <formula>"未完成"</formula>
    </cfRule>
  </conditionalFormatting>
  <conditionalFormatting sqref="AL1141">
    <cfRule type="cellIs" dxfId="0" priority="2371" operator="equal">
      <formula>"欠"</formula>
    </cfRule>
  </conditionalFormatting>
  <conditionalFormatting sqref="Q1142">
    <cfRule type="cellIs" dxfId="0" priority="3621" operator="equal">
      <formula>"欠"</formula>
    </cfRule>
  </conditionalFormatting>
  <conditionalFormatting sqref="R1142">
    <cfRule type="containsText" dxfId="0" priority="3622" operator="between" text="欠">
      <formula>NOT(ISERROR(SEARCH("欠",R1142)))</formula>
    </cfRule>
    <cfRule type="cellIs" dxfId="0" priority="3623" operator="equal">
      <formula>"欠"</formula>
    </cfRule>
  </conditionalFormatting>
  <conditionalFormatting sqref="S1142">
    <cfRule type="cellIs" dxfId="0" priority="3613" operator="equal">
      <formula>"欠"</formula>
    </cfRule>
  </conditionalFormatting>
  <conditionalFormatting sqref="T1142:U1142">
    <cfRule type="containsText" dxfId="0" priority="3615" operator="between" text="欠">
      <formula>NOT(ISERROR(SEARCH("欠",T1142)))</formula>
    </cfRule>
    <cfRule type="cellIs" dxfId="0" priority="3616" operator="equal">
      <formula>"欠"</formula>
    </cfRule>
  </conditionalFormatting>
  <conditionalFormatting sqref="V1142">
    <cfRule type="cellIs" dxfId="0" priority="3617" operator="equal">
      <formula>"欠"</formula>
    </cfRule>
  </conditionalFormatting>
  <conditionalFormatting sqref="AH1142">
    <cfRule type="cellIs" dxfId="0" priority="3614" operator="equal">
      <formula>"未完成"</formula>
    </cfRule>
  </conditionalFormatting>
  <conditionalFormatting sqref="AK1142">
    <cfRule type="cellIs" dxfId="1" priority="3619" operator="equal">
      <formula>"未完成"</formula>
    </cfRule>
    <cfRule type="cellIs" dxfId="0" priority="3620" operator="equal">
      <formula>"未完成"</formula>
    </cfRule>
  </conditionalFormatting>
  <conditionalFormatting sqref="AL1142">
    <cfRule type="cellIs" dxfId="0" priority="3618" operator="equal">
      <formula>"欠"</formula>
    </cfRule>
  </conditionalFormatting>
  <conditionalFormatting sqref="Q1143">
    <cfRule type="cellIs" dxfId="0" priority="4257" operator="equal">
      <formula>"欠"</formula>
    </cfRule>
  </conditionalFormatting>
  <conditionalFormatting sqref="R1143">
    <cfRule type="containsText" dxfId="0" priority="4249" operator="between" text="欠">
      <formula>NOT(ISERROR(SEARCH("欠",R1143)))</formula>
    </cfRule>
    <cfRule type="cellIs" dxfId="0" priority="4250" operator="equal">
      <formula>"欠"</formula>
    </cfRule>
  </conditionalFormatting>
  <conditionalFormatting sqref="S1143">
    <cfRule type="cellIs" dxfId="0" priority="4260" operator="equal">
      <formula>"欠"</formula>
    </cfRule>
  </conditionalFormatting>
  <conditionalFormatting sqref="T1143:U1143">
    <cfRule type="containsText" dxfId="0" priority="4252" operator="between" text="欠">
      <formula>NOT(ISERROR(SEARCH("欠",T1143)))</formula>
    </cfRule>
    <cfRule type="containsText" dxfId="2" priority="4258" operator="between" text="欠">
      <formula>NOT(ISERROR(SEARCH("欠",T1143)))</formula>
    </cfRule>
    <cfRule type="cellIs" dxfId="0" priority="4259" operator="equal">
      <formula>"欠"</formula>
    </cfRule>
  </conditionalFormatting>
  <conditionalFormatting sqref="V1143">
    <cfRule type="cellIs" dxfId="0" priority="4253" operator="equal">
      <formula>"欠"</formula>
    </cfRule>
  </conditionalFormatting>
  <conditionalFormatting sqref="AH1143">
    <cfRule type="cellIs" dxfId="0" priority="4251" operator="equal">
      <formula>"未完成"</formula>
    </cfRule>
  </conditionalFormatting>
  <conditionalFormatting sqref="AK1143">
    <cfRule type="cellIs" dxfId="1" priority="4255" operator="equal">
      <formula>"未完成"</formula>
    </cfRule>
    <cfRule type="cellIs" dxfId="0" priority="4256" operator="equal">
      <formula>"未完成"</formula>
    </cfRule>
  </conditionalFormatting>
  <conditionalFormatting sqref="AL1143">
    <cfRule type="cellIs" dxfId="0" priority="4254" operator="equal">
      <formula>"欠"</formula>
    </cfRule>
  </conditionalFormatting>
  <conditionalFormatting sqref="Q1144">
    <cfRule type="cellIs" dxfId="0" priority="2074" operator="equal">
      <formula>"欠"</formula>
    </cfRule>
  </conditionalFormatting>
  <conditionalFormatting sqref="R1144">
    <cfRule type="containsText" dxfId="0" priority="2086" operator="between" text="欠">
      <formula>NOT(ISERROR(SEARCH("欠",R1144)))</formula>
    </cfRule>
    <cfRule type="cellIs" dxfId="0" priority="2122" operator="equal">
      <formula>"欠"</formula>
    </cfRule>
  </conditionalFormatting>
  <conditionalFormatting sqref="T1144:U1144">
    <cfRule type="containsText" dxfId="0" priority="2098" operator="between" text="欠">
      <formula>NOT(ISERROR(SEARCH("欠",T1144)))</formula>
    </cfRule>
    <cfRule type="containsText" dxfId="2" priority="2146" operator="between" text="欠">
      <formula>NOT(ISERROR(SEARCH("欠",T1144)))</formula>
    </cfRule>
    <cfRule type="cellIs" dxfId="0" priority="2158" operator="equal">
      <formula>"欠"</formula>
    </cfRule>
  </conditionalFormatting>
  <conditionalFormatting sqref="V1144">
    <cfRule type="cellIs" dxfId="0" priority="2026" operator="equal">
      <formula>"欠"</formula>
    </cfRule>
  </conditionalFormatting>
  <conditionalFormatting sqref="AH1144">
    <cfRule type="cellIs" dxfId="0" priority="2014" operator="equal">
      <formula>"未完成"</formula>
    </cfRule>
  </conditionalFormatting>
  <conditionalFormatting sqref="AK1144">
    <cfRule type="cellIs" dxfId="1" priority="2050" operator="equal">
      <formula>"未完成"</formula>
    </cfRule>
    <cfRule type="cellIs" dxfId="0" priority="2062" operator="equal">
      <formula>"未完成"</formula>
    </cfRule>
  </conditionalFormatting>
  <conditionalFormatting sqref="AL1144">
    <cfRule type="cellIs" dxfId="0" priority="2038" operator="equal">
      <formula>"欠"</formula>
    </cfRule>
  </conditionalFormatting>
  <conditionalFormatting sqref="V1145">
    <cfRule type="cellIs" dxfId="0" priority="1644" operator="equal">
      <formula>"欠"</formula>
    </cfRule>
  </conditionalFormatting>
  <conditionalFormatting sqref="AH1145">
    <cfRule type="cellIs" dxfId="0" priority="1637" operator="equal">
      <formula>"未完成"</formula>
    </cfRule>
  </conditionalFormatting>
  <conditionalFormatting sqref="AK1145">
    <cfRule type="cellIs" dxfId="1" priority="1658" operator="equal">
      <formula>"未完成"</formula>
    </cfRule>
    <cfRule type="cellIs" dxfId="0" priority="1665" operator="equal">
      <formula>"未完成"</formula>
    </cfRule>
  </conditionalFormatting>
  <conditionalFormatting sqref="V1146">
    <cfRule type="cellIs" dxfId="0" priority="1643" operator="equal">
      <formula>"欠"</formula>
    </cfRule>
  </conditionalFormatting>
  <conditionalFormatting sqref="AH1146">
    <cfRule type="cellIs" dxfId="0" priority="1636" operator="equal">
      <formula>"未完成"</formula>
    </cfRule>
  </conditionalFormatting>
  <conditionalFormatting sqref="AK1146">
    <cfRule type="cellIs" dxfId="1" priority="1657" operator="equal">
      <formula>"未完成"</formula>
    </cfRule>
    <cfRule type="cellIs" dxfId="0" priority="1664" operator="equal">
      <formula>"未完成"</formula>
    </cfRule>
  </conditionalFormatting>
  <conditionalFormatting sqref="V1147">
    <cfRule type="cellIs" dxfId="0" priority="1642" operator="equal">
      <formula>"欠"</formula>
    </cfRule>
  </conditionalFormatting>
  <conditionalFormatting sqref="AH1147">
    <cfRule type="cellIs" dxfId="0" priority="1635" operator="equal">
      <formula>"未完成"</formula>
    </cfRule>
  </conditionalFormatting>
  <conditionalFormatting sqref="AK1147">
    <cfRule type="cellIs" dxfId="1" priority="1656" operator="equal">
      <formula>"未完成"</formula>
    </cfRule>
    <cfRule type="cellIs" dxfId="0" priority="1663" operator="equal">
      <formula>"未完成"</formula>
    </cfRule>
  </conditionalFormatting>
  <conditionalFormatting sqref="V1148">
    <cfRule type="cellIs" dxfId="0" priority="1641" operator="equal">
      <formula>"欠"</formula>
    </cfRule>
  </conditionalFormatting>
  <conditionalFormatting sqref="AH1148">
    <cfRule type="cellIs" dxfId="0" priority="1634" operator="equal">
      <formula>"未完成"</formula>
    </cfRule>
  </conditionalFormatting>
  <conditionalFormatting sqref="AK1148">
    <cfRule type="cellIs" dxfId="1" priority="1655" operator="equal">
      <formula>"未完成"</formula>
    </cfRule>
    <cfRule type="cellIs" dxfId="0" priority="1662" operator="equal">
      <formula>"未完成"</formula>
    </cfRule>
  </conditionalFormatting>
  <conditionalFormatting sqref="Q1149">
    <cfRule type="cellIs" dxfId="0" priority="1846" operator="equal">
      <formula>"欠"</formula>
    </cfRule>
  </conditionalFormatting>
  <conditionalFormatting sqref="T1149:U1149">
    <cfRule type="containsText" dxfId="0" priority="1868" operator="between" text="欠">
      <formula>NOT(ISERROR(SEARCH("欠",T1149)))</formula>
    </cfRule>
    <cfRule type="containsText" dxfId="2" priority="1912" operator="between" text="欠">
      <formula>NOT(ISERROR(SEARCH("欠",T1149)))</formula>
    </cfRule>
    <cfRule type="cellIs" dxfId="0" priority="1923" operator="equal">
      <formula>"欠"</formula>
    </cfRule>
  </conditionalFormatting>
  <conditionalFormatting sqref="V1149">
    <cfRule type="cellIs" dxfId="0" priority="1802" operator="equal">
      <formula>"欠"</formula>
    </cfRule>
  </conditionalFormatting>
  <conditionalFormatting sqref="AH1149">
    <cfRule type="cellIs" dxfId="0" priority="1791" operator="equal">
      <formula>"未完成"</formula>
    </cfRule>
  </conditionalFormatting>
  <conditionalFormatting sqref="AK1149">
    <cfRule type="cellIs" dxfId="1" priority="1824" operator="equal">
      <formula>"未完成"</formula>
    </cfRule>
    <cfRule type="cellIs" dxfId="0" priority="1835" operator="equal">
      <formula>"未完成"</formula>
    </cfRule>
  </conditionalFormatting>
  <conditionalFormatting sqref="AL1149">
    <cfRule type="cellIs" dxfId="0" priority="1813" operator="equal">
      <formula>"欠"</formula>
    </cfRule>
  </conditionalFormatting>
  <conditionalFormatting sqref="Q1150">
    <cfRule type="cellIs" dxfId="0" priority="1854" operator="equal">
      <formula>"欠"</formula>
    </cfRule>
  </conditionalFormatting>
  <conditionalFormatting sqref="T1150:U1150">
    <cfRule type="containsText" dxfId="0" priority="1876" operator="between" text="欠">
      <formula>NOT(ISERROR(SEARCH("欠",T1150)))</formula>
    </cfRule>
    <cfRule type="containsText" dxfId="2" priority="1920" operator="between" text="欠">
      <formula>NOT(ISERROR(SEARCH("欠",T1150)))</formula>
    </cfRule>
    <cfRule type="cellIs" dxfId="0" priority="1931" operator="equal">
      <formula>"欠"</formula>
    </cfRule>
  </conditionalFormatting>
  <conditionalFormatting sqref="V1150">
    <cfRule type="cellIs" dxfId="0" priority="1810" operator="equal">
      <formula>"欠"</formula>
    </cfRule>
  </conditionalFormatting>
  <conditionalFormatting sqref="AH1150">
    <cfRule type="cellIs" dxfId="0" priority="1799" operator="equal">
      <formula>"未完成"</formula>
    </cfRule>
  </conditionalFormatting>
  <conditionalFormatting sqref="AK1150">
    <cfRule type="cellIs" dxfId="1" priority="1832" operator="equal">
      <formula>"未完成"</formula>
    </cfRule>
    <cfRule type="cellIs" dxfId="0" priority="1843" operator="equal">
      <formula>"未完成"</formula>
    </cfRule>
  </conditionalFormatting>
  <conditionalFormatting sqref="AL1150">
    <cfRule type="cellIs" dxfId="0" priority="1821" operator="equal">
      <formula>"欠"</formula>
    </cfRule>
  </conditionalFormatting>
  <conditionalFormatting sqref="Q1151">
    <cfRule type="cellIs" dxfId="0" priority="2204" operator="equal">
      <formula>"欠"</formula>
    </cfRule>
  </conditionalFormatting>
  <conditionalFormatting sqref="R1151">
    <cfRule type="containsText" dxfId="0" priority="2209" operator="between" text="欠">
      <formula>NOT(ISERROR(SEARCH("欠",R1151)))</formula>
    </cfRule>
    <cfRule type="cellIs" dxfId="0" priority="2224" operator="equal">
      <formula>"欠"</formula>
    </cfRule>
  </conditionalFormatting>
  <conditionalFormatting sqref="T1151:U1151">
    <cfRule type="containsText" dxfId="0" priority="2214" operator="between" text="欠">
      <formula>NOT(ISERROR(SEARCH("欠",T1151)))</formula>
    </cfRule>
    <cfRule type="containsText" dxfId="2" priority="2234" operator="between" text="欠">
      <formula>NOT(ISERROR(SEARCH("欠",T1151)))</formula>
    </cfRule>
    <cfRule type="cellIs" dxfId="0" priority="2239" operator="equal">
      <formula>"欠"</formula>
    </cfRule>
  </conditionalFormatting>
  <conditionalFormatting sqref="V1151">
    <cfRule type="cellIs" dxfId="0" priority="2184" operator="equal">
      <formula>"欠"</formula>
    </cfRule>
  </conditionalFormatting>
  <conditionalFormatting sqref="AH1151">
    <cfRule type="cellIs" dxfId="0" priority="2179" operator="equal">
      <formula>"未完成"</formula>
    </cfRule>
  </conditionalFormatting>
  <conditionalFormatting sqref="AK1151">
    <cfRule type="cellIs" dxfId="1" priority="2194" operator="equal">
      <formula>"未完成"</formula>
    </cfRule>
    <cfRule type="cellIs" dxfId="0" priority="2199" operator="equal">
      <formula>"未完成"</formula>
    </cfRule>
  </conditionalFormatting>
  <conditionalFormatting sqref="AL1151">
    <cfRule type="cellIs" dxfId="0" priority="2189" operator="equal">
      <formula>"欠"</formula>
    </cfRule>
  </conditionalFormatting>
  <conditionalFormatting sqref="Q1152">
    <cfRule type="cellIs" dxfId="0" priority="2321" operator="equal">
      <formula>"欠"</formula>
    </cfRule>
  </conditionalFormatting>
  <conditionalFormatting sqref="V1152">
    <cfRule type="cellIs" dxfId="0" priority="2309" operator="equal">
      <formula>"欠"</formula>
    </cfRule>
  </conditionalFormatting>
  <conditionalFormatting sqref="AH1152">
    <cfRule type="cellIs" dxfId="0" priority="2306" operator="equal">
      <formula>"未完成"</formula>
    </cfRule>
  </conditionalFormatting>
  <conditionalFormatting sqref="AK1152">
    <cfRule type="cellIs" dxfId="1" priority="2315" operator="equal">
      <formula>"未完成"</formula>
    </cfRule>
    <cfRule type="cellIs" dxfId="0" priority="2318" operator="equal">
      <formula>"未完成"</formula>
    </cfRule>
  </conditionalFormatting>
  <conditionalFormatting sqref="AL1152">
    <cfRule type="cellIs" dxfId="0" priority="2312" operator="equal">
      <formula>"欠"</formula>
    </cfRule>
  </conditionalFormatting>
  <conditionalFormatting sqref="Q1153">
    <cfRule type="cellIs" dxfId="0" priority="2320" operator="equal">
      <formula>"欠"</formula>
    </cfRule>
  </conditionalFormatting>
  <conditionalFormatting sqref="V1153">
    <cfRule type="cellIs" dxfId="0" priority="2308" operator="equal">
      <formula>"欠"</formula>
    </cfRule>
  </conditionalFormatting>
  <conditionalFormatting sqref="AH1153">
    <cfRule type="cellIs" dxfId="0" priority="2305" operator="equal">
      <formula>"未完成"</formula>
    </cfRule>
  </conditionalFormatting>
  <conditionalFormatting sqref="AK1153">
    <cfRule type="cellIs" dxfId="1" priority="2314" operator="equal">
      <formula>"未完成"</formula>
    </cfRule>
    <cfRule type="cellIs" dxfId="0" priority="2317" operator="equal">
      <formula>"未完成"</formula>
    </cfRule>
  </conditionalFormatting>
  <conditionalFormatting sqref="AL1153">
    <cfRule type="cellIs" dxfId="0" priority="2311" operator="equal">
      <formula>"欠"</formula>
    </cfRule>
  </conditionalFormatting>
  <conditionalFormatting sqref="Q1154">
    <cfRule type="cellIs" dxfId="0" priority="2073" operator="equal">
      <formula>"欠"</formula>
    </cfRule>
  </conditionalFormatting>
  <conditionalFormatting sqref="R1154">
    <cfRule type="containsText" dxfId="0" priority="2085" operator="between" text="欠">
      <formula>NOT(ISERROR(SEARCH("欠",R1154)))</formula>
    </cfRule>
    <cfRule type="cellIs" dxfId="0" priority="2121" operator="equal">
      <formula>"欠"</formula>
    </cfRule>
  </conditionalFormatting>
  <conditionalFormatting sqref="S1154">
    <cfRule type="cellIs" dxfId="0" priority="2169" operator="equal">
      <formula>"欠"</formula>
    </cfRule>
  </conditionalFormatting>
  <conditionalFormatting sqref="T1154:U1154">
    <cfRule type="containsText" dxfId="0" priority="2097" operator="between" text="欠">
      <formula>NOT(ISERROR(SEARCH("欠",T1154)))</formula>
    </cfRule>
    <cfRule type="containsText" dxfId="2" priority="2145" operator="between" text="欠">
      <formula>NOT(ISERROR(SEARCH("欠",T1154)))</formula>
    </cfRule>
    <cfRule type="cellIs" dxfId="0" priority="2157" operator="equal">
      <formula>"欠"</formula>
    </cfRule>
  </conditionalFormatting>
  <conditionalFormatting sqref="V1154">
    <cfRule type="cellIs" dxfId="0" priority="2025" operator="equal">
      <formula>"欠"</formula>
    </cfRule>
  </conditionalFormatting>
  <conditionalFormatting sqref="AH1154">
    <cfRule type="cellIs" dxfId="0" priority="2013" operator="equal">
      <formula>"未完成"</formula>
    </cfRule>
  </conditionalFormatting>
  <conditionalFormatting sqref="AK1154">
    <cfRule type="cellIs" dxfId="1" priority="2049" operator="equal">
      <formula>"未完成"</formula>
    </cfRule>
    <cfRule type="cellIs" dxfId="0" priority="2061" operator="equal">
      <formula>"未完成"</formula>
    </cfRule>
  </conditionalFormatting>
  <conditionalFormatting sqref="AL1154">
    <cfRule type="cellIs" dxfId="0" priority="2037" operator="equal">
      <formula>"欠"</formula>
    </cfRule>
  </conditionalFormatting>
  <conditionalFormatting sqref="Q1155">
    <cfRule type="cellIs" dxfId="0" priority="2597" operator="equal">
      <formula>"欠"</formula>
    </cfRule>
  </conditionalFormatting>
  <conditionalFormatting sqref="R1155">
    <cfRule type="containsText" dxfId="0" priority="2590" operator="between" text="欠">
      <formula>NOT(ISERROR(SEARCH("欠",R1155)))</formula>
    </cfRule>
    <cfRule type="cellIs" dxfId="0" priority="2591" operator="equal">
      <formula>"欠"</formula>
    </cfRule>
  </conditionalFormatting>
  <conditionalFormatting sqref="S1155">
    <cfRule type="cellIs" dxfId="0" priority="2601" operator="equal">
      <formula>"欠"</formula>
    </cfRule>
  </conditionalFormatting>
  <conditionalFormatting sqref="T1155:U1155">
    <cfRule type="containsText" dxfId="0" priority="2598" operator="between" text="欠">
      <formula>NOT(ISERROR(SEARCH("欠",T1155)))</formula>
    </cfRule>
    <cfRule type="containsText" dxfId="2" priority="2599" operator="between" text="欠">
      <formula>NOT(ISERROR(SEARCH("欠",T1155)))</formula>
    </cfRule>
    <cfRule type="cellIs" dxfId="0" priority="2600" operator="equal">
      <formula>"欠"</formula>
    </cfRule>
  </conditionalFormatting>
  <conditionalFormatting sqref="V1155">
    <cfRule type="cellIs" dxfId="0" priority="2593" operator="equal">
      <formula>"欠"</formula>
    </cfRule>
  </conditionalFormatting>
  <conditionalFormatting sqref="AH1155">
    <cfRule type="cellIs" dxfId="0" priority="2592" operator="equal">
      <formula>"未完成"</formula>
    </cfRule>
  </conditionalFormatting>
  <conditionalFormatting sqref="AL1155">
    <cfRule type="cellIs" dxfId="0" priority="2594" operator="equal">
      <formula>"欠"</formula>
    </cfRule>
  </conditionalFormatting>
  <conditionalFormatting sqref="Q1156">
    <cfRule type="cellIs" dxfId="0" priority="1757" operator="equal">
      <formula>"欠"</formula>
    </cfRule>
  </conditionalFormatting>
  <conditionalFormatting sqref="T1156:U1156">
    <cfRule type="containsText" dxfId="0" priority="1761" operator="between" text="欠">
      <formula>NOT(ISERROR(SEARCH("欠",T1156)))</formula>
    </cfRule>
    <cfRule type="containsText" dxfId="2" priority="1769" operator="between" text="欠">
      <formula>NOT(ISERROR(SEARCH("欠",T1156)))</formula>
    </cfRule>
    <cfRule type="cellIs" dxfId="0" priority="1771" operator="equal">
      <formula>"欠"</formula>
    </cfRule>
  </conditionalFormatting>
  <conditionalFormatting sqref="V1156">
    <cfRule type="cellIs" dxfId="0" priority="1749" operator="equal">
      <formula>"欠"</formula>
    </cfRule>
  </conditionalFormatting>
  <conditionalFormatting sqref="AH1156">
    <cfRule type="cellIs" dxfId="0" priority="1747" operator="equal">
      <formula>"未完成"</formula>
    </cfRule>
  </conditionalFormatting>
  <conditionalFormatting sqref="AK1156">
    <cfRule type="cellIs" dxfId="1" priority="1753" operator="equal">
      <formula>"未完成"</formula>
    </cfRule>
    <cfRule type="cellIs" dxfId="0" priority="1755" operator="equal">
      <formula>"未完成"</formula>
    </cfRule>
  </conditionalFormatting>
  <conditionalFormatting sqref="AL1156">
    <cfRule type="cellIs" dxfId="0" priority="1751" operator="equal">
      <formula>"欠"</formula>
    </cfRule>
  </conditionalFormatting>
  <conditionalFormatting sqref="Q1157">
    <cfRule type="cellIs" dxfId="0" priority="1056" operator="equal">
      <formula>"欠"</formula>
    </cfRule>
  </conditionalFormatting>
  <conditionalFormatting sqref="R1157">
    <cfRule type="containsText" dxfId="0" priority="1061" operator="between" text="欠">
      <formula>NOT(ISERROR(SEARCH("欠",R1157)))</formula>
    </cfRule>
    <cfRule type="cellIs" dxfId="0" priority="1076" operator="equal">
      <formula>"欠"</formula>
    </cfRule>
  </conditionalFormatting>
  <conditionalFormatting sqref="V1157">
    <cfRule type="cellIs" dxfId="0" priority="1036" operator="equal">
      <formula>"欠"</formula>
    </cfRule>
  </conditionalFormatting>
  <conditionalFormatting sqref="AH1157">
    <cfRule type="cellIs" dxfId="0" priority="1031" operator="equal">
      <formula>"未完成"</formula>
    </cfRule>
  </conditionalFormatting>
  <conditionalFormatting sqref="AK1157">
    <cfRule type="cellIs" dxfId="1" priority="1046" operator="equal">
      <formula>"未完成"</formula>
    </cfRule>
    <cfRule type="cellIs" dxfId="0" priority="1051" operator="equal">
      <formula>"未完成"</formula>
    </cfRule>
  </conditionalFormatting>
  <conditionalFormatting sqref="AL1157">
    <cfRule type="cellIs" dxfId="0" priority="1041" operator="equal">
      <formula>"欠"</formula>
    </cfRule>
  </conditionalFormatting>
  <conditionalFormatting sqref="Q1158">
    <cfRule type="cellIs" dxfId="0" priority="2537" operator="equal">
      <formula>"欠"</formula>
    </cfRule>
  </conditionalFormatting>
  <conditionalFormatting sqref="R1158">
    <cfRule type="containsText" dxfId="0" priority="2530" operator="between" text="欠">
      <formula>NOT(ISERROR(SEARCH("欠",R1158)))</formula>
    </cfRule>
    <cfRule type="cellIs" dxfId="0" priority="2531" operator="equal">
      <formula>"欠"</formula>
    </cfRule>
  </conditionalFormatting>
  <conditionalFormatting sqref="S1158">
    <cfRule type="cellIs" dxfId="0" priority="2541" operator="equal">
      <formula>"欠"</formula>
    </cfRule>
  </conditionalFormatting>
  <conditionalFormatting sqref="T1158:U1158">
    <cfRule type="containsText" dxfId="0" priority="2538" operator="between" text="欠">
      <formula>NOT(ISERROR(SEARCH("欠",T1158)))</formula>
    </cfRule>
    <cfRule type="containsText" dxfId="2" priority="2539" operator="between" text="欠">
      <formula>NOT(ISERROR(SEARCH("欠",T1158)))</formula>
    </cfRule>
    <cfRule type="cellIs" dxfId="0" priority="2540" operator="equal">
      <formula>"欠"</formula>
    </cfRule>
  </conditionalFormatting>
  <conditionalFormatting sqref="V1158">
    <cfRule type="cellIs" dxfId="0" priority="2533" operator="equal">
      <formula>"欠"</formula>
    </cfRule>
  </conditionalFormatting>
  <conditionalFormatting sqref="AH1158">
    <cfRule type="cellIs" dxfId="0" priority="2532" operator="equal">
      <formula>"未完成"</formula>
    </cfRule>
  </conditionalFormatting>
  <conditionalFormatting sqref="AK1158">
    <cfRule type="cellIs" dxfId="1" priority="2535" operator="equal">
      <formula>"未完成"</formula>
    </cfRule>
    <cfRule type="cellIs" dxfId="0" priority="2536" operator="equal">
      <formula>"未完成"</formula>
    </cfRule>
  </conditionalFormatting>
  <conditionalFormatting sqref="AL1158">
    <cfRule type="cellIs" dxfId="0" priority="2534" operator="equal">
      <formula>"欠"</formula>
    </cfRule>
  </conditionalFormatting>
  <conditionalFormatting sqref="Q1159">
    <cfRule type="cellIs" dxfId="0" priority="1673" operator="equal">
      <formula>"欠"</formula>
    </cfRule>
  </conditionalFormatting>
  <conditionalFormatting sqref="V1159">
    <cfRule type="cellIs" dxfId="0" priority="1645" operator="equal">
      <formula>"欠"</formula>
    </cfRule>
  </conditionalFormatting>
  <conditionalFormatting sqref="AH1159">
    <cfRule type="cellIs" dxfId="0" priority="1638" operator="equal">
      <formula>"未完成"</formula>
    </cfRule>
  </conditionalFormatting>
  <conditionalFormatting sqref="AK1159">
    <cfRule type="cellIs" dxfId="1" priority="1659" operator="equal">
      <formula>"未完成"</formula>
    </cfRule>
    <cfRule type="cellIs" dxfId="0" priority="1666" operator="equal">
      <formula>"未完成"</formula>
    </cfRule>
  </conditionalFormatting>
  <conditionalFormatting sqref="Q1160">
    <cfRule type="cellIs" dxfId="0" priority="1758" operator="equal">
      <formula>"欠"</formula>
    </cfRule>
  </conditionalFormatting>
  <conditionalFormatting sqref="T1160:U1160">
    <cfRule type="containsText" dxfId="0" priority="1762" operator="between" text="欠">
      <formula>NOT(ISERROR(SEARCH("欠",T1160)))</formula>
    </cfRule>
    <cfRule type="containsText" dxfId="2" priority="1770" operator="between" text="欠">
      <formula>NOT(ISERROR(SEARCH("欠",T1160)))</formula>
    </cfRule>
    <cfRule type="cellIs" dxfId="0" priority="1772" operator="equal">
      <formula>"欠"</formula>
    </cfRule>
  </conditionalFormatting>
  <conditionalFormatting sqref="V1160">
    <cfRule type="cellIs" dxfId="0" priority="1750" operator="equal">
      <formula>"欠"</formula>
    </cfRule>
  </conditionalFormatting>
  <conditionalFormatting sqref="AH1160">
    <cfRule type="cellIs" dxfId="0" priority="1748" operator="equal">
      <formula>"未完成"</formula>
    </cfRule>
  </conditionalFormatting>
  <conditionalFormatting sqref="AK1160">
    <cfRule type="cellIs" dxfId="1" priority="1754" operator="equal">
      <formula>"未完成"</formula>
    </cfRule>
    <cfRule type="cellIs" dxfId="0" priority="1756" operator="equal">
      <formula>"未完成"</formula>
    </cfRule>
  </conditionalFormatting>
  <conditionalFormatting sqref="AL1160">
    <cfRule type="cellIs" dxfId="0" priority="1752" operator="equal">
      <formula>"欠"</formula>
    </cfRule>
  </conditionalFormatting>
  <conditionalFormatting sqref="Q1161">
    <cfRule type="cellIs" dxfId="0" priority="2609" operator="equal">
      <formula>"欠"</formula>
    </cfRule>
  </conditionalFormatting>
  <conditionalFormatting sqref="R1161">
    <cfRule type="containsText" dxfId="0" priority="2602" operator="between" text="欠">
      <formula>NOT(ISERROR(SEARCH("欠",R1161)))</formula>
    </cfRule>
    <cfRule type="cellIs" dxfId="0" priority="2603" operator="equal">
      <formula>"欠"</formula>
    </cfRule>
  </conditionalFormatting>
  <conditionalFormatting sqref="S1161">
    <cfRule type="cellIs" dxfId="0" priority="2613" operator="equal">
      <formula>"欠"</formula>
    </cfRule>
  </conditionalFormatting>
  <conditionalFormatting sqref="T1161:U1161">
    <cfRule type="containsText" dxfId="0" priority="2610" operator="between" text="欠">
      <formula>NOT(ISERROR(SEARCH("欠",T1161)))</formula>
    </cfRule>
    <cfRule type="containsText" dxfId="2" priority="2611" operator="between" text="欠">
      <formula>NOT(ISERROR(SEARCH("欠",T1161)))</formula>
    </cfRule>
    <cfRule type="cellIs" dxfId="0" priority="2612" operator="equal">
      <formula>"欠"</formula>
    </cfRule>
  </conditionalFormatting>
  <conditionalFormatting sqref="V1161">
    <cfRule type="cellIs" dxfId="0" priority="2605" operator="equal">
      <formula>"欠"</formula>
    </cfRule>
  </conditionalFormatting>
  <conditionalFormatting sqref="AH1161">
    <cfRule type="cellIs" dxfId="0" priority="2604" operator="equal">
      <formula>"未完成"</formula>
    </cfRule>
  </conditionalFormatting>
  <conditionalFormatting sqref="AK1161">
    <cfRule type="cellIs" dxfId="1" priority="2607" operator="equal">
      <formula>"未完成"</formula>
    </cfRule>
    <cfRule type="cellIs" dxfId="0" priority="2608" operator="equal">
      <formula>"未完成"</formula>
    </cfRule>
  </conditionalFormatting>
  <conditionalFormatting sqref="AL1161">
    <cfRule type="cellIs" dxfId="0" priority="2606" operator="equal">
      <formula>"欠"</formula>
    </cfRule>
  </conditionalFormatting>
  <conditionalFormatting sqref="Q1162">
    <cfRule type="cellIs" dxfId="0" priority="1668" operator="equal">
      <formula>"欠"</formula>
    </cfRule>
  </conditionalFormatting>
  <conditionalFormatting sqref="T1162:U1162">
    <cfRule type="containsText" dxfId="0" priority="1015" operator="between" text="欠">
      <formula>NOT(ISERROR(SEARCH("欠",T1162)))</formula>
    </cfRule>
    <cfRule type="cellIs" dxfId="0" priority="1016" operator="equal">
      <formula>"欠"</formula>
    </cfRule>
  </conditionalFormatting>
  <conditionalFormatting sqref="V1162">
    <cfRule type="cellIs" dxfId="0" priority="1640" operator="equal">
      <formula>"欠"</formula>
    </cfRule>
  </conditionalFormatting>
  <conditionalFormatting sqref="AH1162">
    <cfRule type="cellIs" dxfId="0" priority="1633" operator="equal">
      <formula>"未完成"</formula>
    </cfRule>
  </conditionalFormatting>
  <conditionalFormatting sqref="AK1162">
    <cfRule type="cellIs" dxfId="1" priority="1654" operator="equal">
      <formula>"未完成"</formula>
    </cfRule>
    <cfRule type="cellIs" dxfId="0" priority="1661" operator="equal">
      <formula>"未完成"</formula>
    </cfRule>
  </conditionalFormatting>
  <conditionalFormatting sqref="AL1162">
    <cfRule type="cellIs" dxfId="0" priority="1647" operator="equal">
      <formula>"欠"</formula>
    </cfRule>
  </conditionalFormatting>
  <conditionalFormatting sqref="Q1165">
    <cfRule type="cellIs" dxfId="0" priority="1674" operator="equal">
      <formula>"欠"</formula>
    </cfRule>
  </conditionalFormatting>
  <conditionalFormatting sqref="R1165">
    <cfRule type="containsText" dxfId="0" priority="1681" operator="between" text="欠">
      <formula>NOT(ISERROR(SEARCH("欠",R1165)))</formula>
    </cfRule>
    <cfRule type="cellIs" dxfId="0" priority="1702" operator="equal">
      <formula>"欠"</formula>
    </cfRule>
  </conditionalFormatting>
  <conditionalFormatting sqref="S1165">
    <cfRule type="cellIs" dxfId="0" priority="1730" operator="equal">
      <formula>"欠"</formula>
    </cfRule>
  </conditionalFormatting>
  <conditionalFormatting sqref="T1165:U1165">
    <cfRule type="containsText" dxfId="0" priority="1688" operator="between" text="欠">
      <formula>NOT(ISERROR(SEARCH("欠",T1165)))</formula>
    </cfRule>
    <cfRule type="containsText" dxfId="2" priority="1716" operator="between" text="欠">
      <formula>NOT(ISERROR(SEARCH("欠",T1165)))</formula>
    </cfRule>
    <cfRule type="cellIs" dxfId="0" priority="1723" operator="equal">
      <formula>"欠"</formula>
    </cfRule>
  </conditionalFormatting>
  <conditionalFormatting sqref="V1165">
    <cfRule type="cellIs" dxfId="0" priority="1646" operator="equal">
      <formula>"欠"</formula>
    </cfRule>
  </conditionalFormatting>
  <conditionalFormatting sqref="AH1165">
    <cfRule type="cellIs" dxfId="0" priority="1639" operator="equal">
      <formula>"未完成"</formula>
    </cfRule>
  </conditionalFormatting>
  <conditionalFormatting sqref="AK1165">
    <cfRule type="cellIs" dxfId="1" priority="1660" operator="equal">
      <formula>"未完成"</formula>
    </cfRule>
    <cfRule type="cellIs" dxfId="0" priority="1667" operator="equal">
      <formula>"未完成"</formula>
    </cfRule>
  </conditionalFormatting>
  <conditionalFormatting sqref="AL1165">
    <cfRule type="cellIs" dxfId="0" priority="1653" operator="equal">
      <formula>"欠"</formula>
    </cfRule>
  </conditionalFormatting>
  <conditionalFormatting sqref="Q1166">
    <cfRule type="cellIs" dxfId="0" priority="1370" operator="equal">
      <formula>"欠"</formula>
    </cfRule>
  </conditionalFormatting>
  <conditionalFormatting sqref="V1166">
    <cfRule type="cellIs" dxfId="0" priority="1366" operator="equal">
      <formula>"欠"</formula>
    </cfRule>
  </conditionalFormatting>
  <conditionalFormatting sqref="AH1166">
    <cfRule type="cellIs" dxfId="0" priority="1365" operator="equal">
      <formula>"未完成"</formula>
    </cfRule>
  </conditionalFormatting>
  <conditionalFormatting sqref="AK1166">
    <cfRule type="cellIs" dxfId="1" priority="1368" operator="equal">
      <formula>"未完成"</formula>
    </cfRule>
    <cfRule type="cellIs" dxfId="0" priority="1369" operator="equal">
      <formula>"未完成"</formula>
    </cfRule>
  </conditionalFormatting>
  <conditionalFormatting sqref="AL1166">
    <cfRule type="cellIs" dxfId="0" priority="1367" operator="equal">
      <formula>"欠"</formula>
    </cfRule>
  </conditionalFormatting>
  <conditionalFormatting sqref="Q1167">
    <cfRule type="cellIs" dxfId="0" priority="1572" operator="equal">
      <formula>"欠"</formula>
    </cfRule>
  </conditionalFormatting>
  <conditionalFormatting sqref="R1167">
    <cfRule type="containsText" dxfId="0" priority="1022" operator="between" text="欠">
      <formula>NOT(ISERROR(SEARCH("欠",R1167)))</formula>
    </cfRule>
    <cfRule type="cellIs" dxfId="0" priority="1024" operator="equal">
      <formula>"欠"</formula>
    </cfRule>
  </conditionalFormatting>
  <conditionalFormatting sqref="T1167:U1167">
    <cfRule type="containsText" dxfId="0" priority="1025" operator="between" text="欠">
      <formula>NOT(ISERROR(SEARCH("欠",T1167)))</formula>
    </cfRule>
    <cfRule type="cellIs" dxfId="0" priority="1026" operator="equal">
      <formula>"欠"</formula>
    </cfRule>
  </conditionalFormatting>
  <conditionalFormatting sqref="V1167">
    <cfRule type="cellIs" dxfId="0" priority="1564" operator="equal">
      <formula>"欠"</formula>
    </cfRule>
  </conditionalFormatting>
  <conditionalFormatting sqref="AH1167">
    <cfRule type="cellIs" dxfId="0" priority="1562" operator="equal">
      <formula>"未完成"</formula>
    </cfRule>
  </conditionalFormatting>
  <conditionalFormatting sqref="AK1167">
    <cfRule type="cellIs" dxfId="1" priority="1568" operator="equal">
      <formula>"未完成"</formula>
    </cfRule>
    <cfRule type="cellIs" dxfId="0" priority="1570" operator="equal">
      <formula>"未完成"</formula>
    </cfRule>
  </conditionalFormatting>
  <conditionalFormatting sqref="AL1167">
    <cfRule type="cellIs" dxfId="0" priority="1566" operator="equal">
      <formula>"欠"</formula>
    </cfRule>
  </conditionalFormatting>
  <conditionalFormatting sqref="Q1168">
    <cfRule type="cellIs" dxfId="0" priority="4366" operator="equal">
      <formula>"欠"</formula>
    </cfRule>
  </conditionalFormatting>
  <conditionalFormatting sqref="R1168">
    <cfRule type="containsText" dxfId="0" priority="4367" operator="between" text="欠">
      <formula>NOT(ISERROR(SEARCH("欠",R1168)))</formula>
    </cfRule>
    <cfRule type="cellIs" dxfId="0" priority="4370" operator="equal">
      <formula>"欠"</formula>
    </cfRule>
  </conditionalFormatting>
  <conditionalFormatting sqref="S1168">
    <cfRule type="cellIs" dxfId="0" priority="4374" operator="equal">
      <formula>"欠"</formula>
    </cfRule>
  </conditionalFormatting>
  <conditionalFormatting sqref="T1168:U1168">
    <cfRule type="containsText" dxfId="0" priority="4368" operator="between" text="欠">
      <formula>NOT(ISERROR(SEARCH("欠",T1168)))</formula>
    </cfRule>
    <cfRule type="containsText" dxfId="2" priority="4372" operator="between" text="欠">
      <formula>NOT(ISERROR(SEARCH("欠",T1168)))</formula>
    </cfRule>
    <cfRule type="cellIs" dxfId="0" priority="4373" operator="equal">
      <formula>"欠"</formula>
    </cfRule>
  </conditionalFormatting>
  <conditionalFormatting sqref="AH1168">
    <cfRule type="cellIs" dxfId="0" priority="4361" operator="equal">
      <formula>"未完成"</formula>
    </cfRule>
  </conditionalFormatting>
  <conditionalFormatting sqref="AK1168">
    <cfRule type="cellIs" dxfId="1" priority="4364" operator="equal">
      <formula>"未完成"</formula>
    </cfRule>
    <cfRule type="cellIs" dxfId="0" priority="4365" operator="equal">
      <formula>"未完成"</formula>
    </cfRule>
  </conditionalFormatting>
  <conditionalFormatting sqref="AL1168">
    <cfRule type="cellIs" dxfId="0" priority="4363" operator="equal">
      <formula>"欠"</formula>
    </cfRule>
  </conditionalFormatting>
  <conditionalFormatting sqref="Q1169">
    <cfRule type="cellIs" dxfId="0" priority="3659" operator="equal">
      <formula>"欠"</formula>
    </cfRule>
  </conditionalFormatting>
  <conditionalFormatting sqref="R1169">
    <cfRule type="containsText" dxfId="0" priority="3663" operator="between" text="欠">
      <formula>NOT(ISERROR(SEARCH("欠",R1169)))</formula>
    </cfRule>
    <cfRule type="cellIs" dxfId="0" priority="3667" operator="equal">
      <formula>"欠"</formula>
    </cfRule>
  </conditionalFormatting>
  <conditionalFormatting sqref="S1169">
    <cfRule type="cellIs" dxfId="0" priority="3627" operator="equal">
      <formula>"欠"</formula>
    </cfRule>
  </conditionalFormatting>
  <conditionalFormatting sqref="T1169:U1169">
    <cfRule type="containsText" dxfId="0" priority="3635" operator="between" text="欠">
      <formula>NOT(ISERROR(SEARCH("欠",T1169)))</formula>
    </cfRule>
    <cfRule type="cellIs" dxfId="0" priority="3639" operator="equal">
      <formula>"欠"</formula>
    </cfRule>
  </conditionalFormatting>
  <conditionalFormatting sqref="V1169">
    <cfRule type="cellIs" dxfId="0" priority="3643" operator="equal">
      <formula>"欠"</formula>
    </cfRule>
  </conditionalFormatting>
  <conditionalFormatting sqref="AH1169">
    <cfRule type="cellIs" dxfId="0" priority="3631" operator="equal">
      <formula>"未完成"</formula>
    </cfRule>
  </conditionalFormatting>
  <conditionalFormatting sqref="AK1169">
    <cfRule type="cellIs" dxfId="1" priority="3651" operator="equal">
      <formula>"未完成"</formula>
    </cfRule>
    <cfRule type="cellIs" dxfId="0" priority="3655" operator="equal">
      <formula>"未完成"</formula>
    </cfRule>
  </conditionalFormatting>
  <conditionalFormatting sqref="AL1169">
    <cfRule type="cellIs" dxfId="0" priority="3647" operator="equal">
      <formula>"欠"</formula>
    </cfRule>
  </conditionalFormatting>
  <conditionalFormatting sqref="Q1170">
    <cfRule type="cellIs" dxfId="0" priority="1990" operator="equal">
      <formula>"欠"</formula>
    </cfRule>
  </conditionalFormatting>
  <conditionalFormatting sqref="R1170">
    <cfRule type="containsText" dxfId="0" priority="1743" operator="between" text="欠">
      <formula>NOT(ISERROR(SEARCH("欠",R1170)))</formula>
    </cfRule>
    <cfRule type="cellIs" dxfId="0" priority="1745" operator="equal">
      <formula>"欠"</formula>
    </cfRule>
  </conditionalFormatting>
  <conditionalFormatting sqref="T1170:U1170">
    <cfRule type="containsText" dxfId="0" priority="1983" operator="between" text="欠">
      <formula>NOT(ISERROR(SEARCH("欠",T1170)))</formula>
    </cfRule>
    <cfRule type="cellIs" dxfId="0" priority="1984" operator="equal">
      <formula>"欠"</formula>
    </cfRule>
  </conditionalFormatting>
  <conditionalFormatting sqref="V1170">
    <cfRule type="cellIs" dxfId="0" priority="1986" operator="equal">
      <formula>"欠"</formula>
    </cfRule>
  </conditionalFormatting>
  <conditionalFormatting sqref="AK1170">
    <cfRule type="cellIs" dxfId="1" priority="1988" operator="equal">
      <formula>"未完成"</formula>
    </cfRule>
    <cfRule type="cellIs" dxfId="0" priority="1989" operator="equal">
      <formula>"未完成"</formula>
    </cfRule>
  </conditionalFormatting>
  <conditionalFormatting sqref="AL1170">
    <cfRule type="cellIs" dxfId="0" priority="1987" operator="equal">
      <formula>"欠"</formula>
    </cfRule>
  </conditionalFormatting>
  <conditionalFormatting sqref="Q1171">
    <cfRule type="cellIs" dxfId="0" priority="2076" operator="equal">
      <formula>"欠"</formula>
    </cfRule>
  </conditionalFormatting>
  <conditionalFormatting sqref="V1171">
    <cfRule type="cellIs" dxfId="0" priority="2028" operator="equal">
      <formula>"欠"</formula>
    </cfRule>
  </conditionalFormatting>
  <conditionalFormatting sqref="AH1171">
    <cfRule type="cellIs" dxfId="0" priority="2016" operator="equal">
      <formula>"未完成"</formula>
    </cfRule>
  </conditionalFormatting>
  <conditionalFormatting sqref="AK1171">
    <cfRule type="cellIs" dxfId="1" priority="2052" operator="equal">
      <formula>"未完成"</formula>
    </cfRule>
    <cfRule type="cellIs" dxfId="0" priority="2064" operator="equal">
      <formula>"未完成"</formula>
    </cfRule>
  </conditionalFormatting>
  <conditionalFormatting sqref="AL1171">
    <cfRule type="cellIs" dxfId="0" priority="2040" operator="equal">
      <formula>"欠"</formula>
    </cfRule>
  </conditionalFormatting>
  <conditionalFormatting sqref="Q1172">
    <cfRule type="cellIs" dxfId="0" priority="2075" operator="equal">
      <formula>"欠"</formula>
    </cfRule>
  </conditionalFormatting>
  <conditionalFormatting sqref="V1172">
    <cfRule type="cellIs" dxfId="0" priority="2027" operator="equal">
      <formula>"欠"</formula>
    </cfRule>
  </conditionalFormatting>
  <conditionalFormatting sqref="AH1172">
    <cfRule type="cellIs" dxfId="0" priority="2015" operator="equal">
      <formula>"未完成"</formula>
    </cfRule>
  </conditionalFormatting>
  <conditionalFormatting sqref="AK1172">
    <cfRule type="cellIs" dxfId="1" priority="2051" operator="equal">
      <formula>"未完成"</formula>
    </cfRule>
    <cfRule type="cellIs" dxfId="0" priority="2063" operator="equal">
      <formula>"未完成"</formula>
    </cfRule>
  </conditionalFormatting>
  <conditionalFormatting sqref="AL1172">
    <cfRule type="cellIs" dxfId="0" priority="2039" operator="equal">
      <formula>"欠"</formula>
    </cfRule>
  </conditionalFormatting>
  <conditionalFormatting sqref="Q1173">
    <cfRule type="cellIs" dxfId="0" priority="2288" operator="equal">
      <formula>"欠"</formula>
    </cfRule>
  </conditionalFormatting>
  <conditionalFormatting sqref="V1173">
    <cfRule type="cellIs" dxfId="0" priority="2280" operator="equal">
      <formula>"欠"</formula>
    </cfRule>
  </conditionalFormatting>
  <conditionalFormatting sqref="AH1173">
    <cfRule type="cellIs" dxfId="0" priority="2278" operator="equal">
      <formula>"未完成"</formula>
    </cfRule>
  </conditionalFormatting>
  <conditionalFormatting sqref="AK1173">
    <cfRule type="cellIs" dxfId="1" priority="2284" operator="equal">
      <formula>"未完成"</formula>
    </cfRule>
    <cfRule type="cellIs" dxfId="0" priority="2286" operator="equal">
      <formula>"未完成"</formula>
    </cfRule>
  </conditionalFormatting>
  <conditionalFormatting sqref="AL1173">
    <cfRule type="cellIs" dxfId="0" priority="2282" operator="equal">
      <formula>"欠"</formula>
    </cfRule>
  </conditionalFormatting>
  <conditionalFormatting sqref="Q1174">
    <cfRule type="cellIs" dxfId="0" priority="2287" operator="equal">
      <formula>"欠"</formula>
    </cfRule>
  </conditionalFormatting>
  <conditionalFormatting sqref="V1174">
    <cfRule type="cellIs" dxfId="0" priority="2279" operator="equal">
      <formula>"欠"</formula>
    </cfRule>
  </conditionalFormatting>
  <conditionalFormatting sqref="AH1174">
    <cfRule type="cellIs" dxfId="0" priority="2277" operator="equal">
      <formula>"未完成"</formula>
    </cfRule>
  </conditionalFormatting>
  <conditionalFormatting sqref="AK1174">
    <cfRule type="cellIs" dxfId="1" priority="2283" operator="equal">
      <formula>"未完成"</formula>
    </cfRule>
    <cfRule type="cellIs" dxfId="0" priority="2285" operator="equal">
      <formula>"未完成"</formula>
    </cfRule>
  </conditionalFormatting>
  <conditionalFormatting sqref="AL1174">
    <cfRule type="cellIs" dxfId="0" priority="2281" operator="equal">
      <formula>"欠"</formula>
    </cfRule>
  </conditionalFormatting>
  <conditionalFormatting sqref="Q1175">
    <cfRule type="cellIs" dxfId="0" priority="3524" operator="equal">
      <formula>"欠"</formula>
    </cfRule>
  </conditionalFormatting>
  <conditionalFormatting sqref="T1175:U1175">
    <cfRule type="containsText" dxfId="0" priority="3448" operator="between" text="欠">
      <formula>NOT(ISERROR(SEARCH("欠",T1175)))</formula>
    </cfRule>
    <cfRule type="cellIs" dxfId="0" priority="3449" operator="equal">
      <formula>"欠"</formula>
    </cfRule>
  </conditionalFormatting>
  <conditionalFormatting sqref="V1175">
    <cfRule type="cellIs" dxfId="0" priority="3520" operator="equal">
      <formula>"欠"</formula>
    </cfRule>
  </conditionalFormatting>
  <conditionalFormatting sqref="AH1175">
    <cfRule type="cellIs" dxfId="0" priority="3517" operator="equal">
      <formula>"未完成"</formula>
    </cfRule>
  </conditionalFormatting>
  <conditionalFormatting sqref="AK1175">
    <cfRule type="cellIs" dxfId="1" priority="3522" operator="equal">
      <formula>"未完成"</formula>
    </cfRule>
    <cfRule type="cellIs" dxfId="0" priority="3523" operator="equal">
      <formula>"未完成"</formula>
    </cfRule>
  </conditionalFormatting>
  <conditionalFormatting sqref="AL1175">
    <cfRule type="cellIs" dxfId="0" priority="3521" operator="equal">
      <formula>"欠"</formula>
    </cfRule>
  </conditionalFormatting>
  <conditionalFormatting sqref="Q1176">
    <cfRule type="cellIs" dxfId="0" priority="2072" operator="equal">
      <formula>"欠"</formula>
    </cfRule>
  </conditionalFormatting>
  <conditionalFormatting sqref="R1176">
    <cfRule type="containsText" dxfId="0" priority="2084" operator="between" text="欠">
      <formula>NOT(ISERROR(SEARCH("欠",R1176)))</formula>
    </cfRule>
    <cfRule type="cellIs" dxfId="0" priority="2120" operator="equal">
      <formula>"欠"</formula>
    </cfRule>
  </conditionalFormatting>
  <conditionalFormatting sqref="T1176:U1176">
    <cfRule type="containsText" dxfId="0" priority="2096" operator="between" text="欠">
      <formula>NOT(ISERROR(SEARCH("欠",T1176)))</formula>
    </cfRule>
    <cfRule type="containsText" dxfId="2" priority="2144" operator="between" text="欠">
      <formula>NOT(ISERROR(SEARCH("欠",T1176)))</formula>
    </cfRule>
    <cfRule type="cellIs" dxfId="0" priority="2156" operator="equal">
      <formula>"欠"</formula>
    </cfRule>
  </conditionalFormatting>
  <conditionalFormatting sqref="V1176">
    <cfRule type="cellIs" dxfId="0" priority="2024" operator="equal">
      <formula>"欠"</formula>
    </cfRule>
  </conditionalFormatting>
  <conditionalFormatting sqref="AH1176">
    <cfRule type="cellIs" dxfId="0" priority="2012" operator="equal">
      <formula>"未完成"</formula>
    </cfRule>
  </conditionalFormatting>
  <conditionalFormatting sqref="AK1176">
    <cfRule type="cellIs" dxfId="1" priority="2048" operator="equal">
      <formula>"未完成"</formula>
    </cfRule>
    <cfRule type="cellIs" dxfId="0" priority="2060" operator="equal">
      <formula>"未完成"</formula>
    </cfRule>
  </conditionalFormatting>
  <conditionalFormatting sqref="AL1176">
    <cfRule type="cellIs" dxfId="0" priority="2036" operator="equal">
      <formula>"欠"</formula>
    </cfRule>
  </conditionalFormatting>
  <conditionalFormatting sqref="V1177">
    <cfRule type="cellIs" dxfId="0" priority="1809" operator="equal">
      <formula>"欠"</formula>
    </cfRule>
  </conditionalFormatting>
  <conditionalFormatting sqref="AH1177">
    <cfRule type="cellIs" dxfId="0" priority="1798" operator="equal">
      <formula>"未完成"</formula>
    </cfRule>
  </conditionalFormatting>
  <conditionalFormatting sqref="AK1177">
    <cfRule type="cellIs" dxfId="1" priority="1831" operator="equal">
      <formula>"未完成"</formula>
    </cfRule>
    <cfRule type="cellIs" dxfId="0" priority="1842" operator="equal">
      <formula>"未完成"</formula>
    </cfRule>
  </conditionalFormatting>
  <conditionalFormatting sqref="AL1177">
    <cfRule type="cellIs" dxfId="0" priority="1820" operator="equal">
      <formula>"欠"</formula>
    </cfRule>
  </conditionalFormatting>
  <conditionalFormatting sqref="V1178">
    <cfRule type="cellIs" dxfId="0" priority="1808" operator="equal">
      <formula>"欠"</formula>
    </cfRule>
  </conditionalFormatting>
  <conditionalFormatting sqref="AH1178">
    <cfRule type="cellIs" dxfId="0" priority="1797" operator="equal">
      <formula>"未完成"</formula>
    </cfRule>
  </conditionalFormatting>
  <conditionalFormatting sqref="AK1178">
    <cfRule type="cellIs" dxfId="1" priority="1830" operator="equal">
      <formula>"未完成"</formula>
    </cfRule>
    <cfRule type="cellIs" dxfId="0" priority="1841" operator="equal">
      <formula>"未完成"</formula>
    </cfRule>
  </conditionalFormatting>
  <conditionalFormatting sqref="AL1178">
    <cfRule type="cellIs" dxfId="0" priority="1819" operator="equal">
      <formula>"欠"</formula>
    </cfRule>
  </conditionalFormatting>
  <conditionalFormatting sqref="S1179">
    <cfRule type="cellIs" dxfId="0" priority="940" operator="equal">
      <formula>"欠"</formula>
    </cfRule>
  </conditionalFormatting>
  <conditionalFormatting sqref="T1179:U1179">
    <cfRule type="containsText" dxfId="0" priority="948" operator="between" text="欠">
      <formula>NOT(ISERROR(SEARCH("欠",T1179)))</formula>
    </cfRule>
    <cfRule type="containsText" dxfId="2" priority="952" operator="between" text="欠">
      <formula>NOT(ISERROR(SEARCH("欠",T1179)))</formula>
    </cfRule>
    <cfRule type="cellIs" dxfId="0" priority="953" operator="equal">
      <formula>"欠"</formula>
    </cfRule>
  </conditionalFormatting>
  <conditionalFormatting sqref="V1179">
    <cfRule type="cellIs" dxfId="0" priority="942" operator="equal">
      <formula>"欠"</formula>
    </cfRule>
  </conditionalFormatting>
  <conditionalFormatting sqref="AH1179">
    <cfRule type="cellIs" dxfId="0" priority="941" operator="equal">
      <formula>"未完成"</formula>
    </cfRule>
  </conditionalFormatting>
  <conditionalFormatting sqref="AK1179">
    <cfRule type="cellIs" dxfId="1" priority="944" operator="equal">
      <formula>"未完成"</formula>
    </cfRule>
    <cfRule type="cellIs" dxfId="0" priority="945" operator="equal">
      <formula>"未完成"</formula>
    </cfRule>
  </conditionalFormatting>
  <conditionalFormatting sqref="AL1179">
    <cfRule type="cellIs" dxfId="0" priority="943" operator="equal">
      <formula>"欠"</formula>
    </cfRule>
  </conditionalFormatting>
  <conditionalFormatting sqref="Q1180">
    <cfRule type="cellIs" dxfId="0" priority="1206" operator="equal">
      <formula>"欠"</formula>
    </cfRule>
  </conditionalFormatting>
  <conditionalFormatting sqref="R1180">
    <cfRule type="containsText" dxfId="0" priority="1224" operator="between" text="欠">
      <formula>NOT(ISERROR(SEARCH("欠",R1180)))</formula>
    </cfRule>
    <cfRule type="cellIs" dxfId="0" priority="1278" operator="equal">
      <formula>"欠"</formula>
    </cfRule>
  </conditionalFormatting>
  <conditionalFormatting sqref="T1180:U1180">
    <cfRule type="containsText" dxfId="0" priority="1242" operator="between" text="欠">
      <formula>NOT(ISERROR(SEARCH("欠",T1180)))</formula>
    </cfRule>
    <cfRule type="containsText" dxfId="2" priority="1314" operator="between" text="欠">
      <formula>NOT(ISERROR(SEARCH("欠",T1180)))</formula>
    </cfRule>
    <cfRule type="cellIs" dxfId="0" priority="1332" operator="equal">
      <formula>"欠"</formula>
    </cfRule>
  </conditionalFormatting>
  <conditionalFormatting sqref="V1180">
    <cfRule type="cellIs" dxfId="0" priority="1134" operator="equal">
      <formula>"欠"</formula>
    </cfRule>
  </conditionalFormatting>
  <conditionalFormatting sqref="AH1180">
    <cfRule type="cellIs" dxfId="0" priority="1116" operator="equal">
      <formula>"未完成"</formula>
    </cfRule>
  </conditionalFormatting>
  <conditionalFormatting sqref="AK1180">
    <cfRule type="cellIs" dxfId="1" priority="1170" operator="equal">
      <formula>"未完成"</formula>
    </cfRule>
    <cfRule type="cellIs" dxfId="0" priority="1188" operator="equal">
      <formula>"未完成"</formula>
    </cfRule>
  </conditionalFormatting>
  <conditionalFormatting sqref="AL1180">
    <cfRule type="cellIs" dxfId="0" priority="1152" operator="equal">
      <formula>"欠"</formula>
    </cfRule>
  </conditionalFormatting>
  <conditionalFormatting sqref="Q1181">
    <cfRule type="cellIs" dxfId="0" priority="1207" operator="equal">
      <formula>"欠"</formula>
    </cfRule>
  </conditionalFormatting>
  <conditionalFormatting sqref="R1181">
    <cfRule type="containsText" dxfId="0" priority="1225" operator="between" text="欠">
      <formula>NOT(ISERROR(SEARCH("欠",R1181)))</formula>
    </cfRule>
    <cfRule type="cellIs" dxfId="0" priority="1279" operator="equal">
      <formula>"欠"</formula>
    </cfRule>
  </conditionalFormatting>
  <conditionalFormatting sqref="S1181">
    <cfRule type="cellIs" dxfId="0" priority="1351" operator="equal">
      <formula>"欠"</formula>
    </cfRule>
  </conditionalFormatting>
  <conditionalFormatting sqref="T1181:U1181">
    <cfRule type="containsText" dxfId="0" priority="1243" operator="between" text="欠">
      <formula>NOT(ISERROR(SEARCH("欠",T1181)))</formula>
    </cfRule>
    <cfRule type="containsText" dxfId="2" priority="1315" operator="between" text="欠">
      <formula>NOT(ISERROR(SEARCH("欠",T1181)))</formula>
    </cfRule>
    <cfRule type="cellIs" dxfId="0" priority="1333" operator="equal">
      <formula>"欠"</formula>
    </cfRule>
  </conditionalFormatting>
  <conditionalFormatting sqref="V1181">
    <cfRule type="cellIs" dxfId="0" priority="1135" operator="equal">
      <formula>"欠"</formula>
    </cfRule>
  </conditionalFormatting>
  <conditionalFormatting sqref="AH1181">
    <cfRule type="cellIs" dxfId="0" priority="1117" operator="equal">
      <formula>"未完成"</formula>
    </cfRule>
  </conditionalFormatting>
  <conditionalFormatting sqref="AK1181">
    <cfRule type="cellIs" dxfId="1" priority="1171" operator="equal">
      <formula>"未完成"</formula>
    </cfRule>
    <cfRule type="cellIs" dxfId="0" priority="1189" operator="equal">
      <formula>"未完成"</formula>
    </cfRule>
  </conditionalFormatting>
  <conditionalFormatting sqref="AL1181">
    <cfRule type="cellIs" dxfId="0" priority="1153" operator="equal">
      <formula>"欠"</formula>
    </cfRule>
  </conditionalFormatting>
  <conditionalFormatting sqref="Q1182">
    <cfRule type="cellIs" dxfId="0" priority="2927" operator="equal">
      <formula>"欠"</formula>
    </cfRule>
  </conditionalFormatting>
  <conditionalFormatting sqref="V1182">
    <cfRule type="cellIs" dxfId="0" priority="2903" operator="equal">
      <formula>"欠"</formula>
    </cfRule>
  </conditionalFormatting>
  <conditionalFormatting sqref="AH1182">
    <cfRule type="cellIs" dxfId="0" priority="2897" operator="equal">
      <formula>"未完成"</formula>
    </cfRule>
  </conditionalFormatting>
  <conditionalFormatting sqref="AK1182">
    <cfRule type="cellIs" dxfId="1" priority="2915" operator="equal">
      <formula>"未完成"</formula>
    </cfRule>
    <cfRule type="cellIs" dxfId="0" priority="2921" operator="equal">
      <formula>"未完成"</formula>
    </cfRule>
  </conditionalFormatting>
  <conditionalFormatting sqref="AL1182">
    <cfRule type="cellIs" dxfId="0" priority="2909" operator="equal">
      <formula>"欠"</formula>
    </cfRule>
  </conditionalFormatting>
  <conditionalFormatting sqref="Q1183">
    <cfRule type="cellIs" dxfId="0" priority="3535" operator="equal">
      <formula>"欠"</formula>
    </cfRule>
  </conditionalFormatting>
  <conditionalFormatting sqref="R1183">
    <cfRule type="containsText" dxfId="0" priority="3536" operator="between" text="欠">
      <formula>NOT(ISERROR(SEARCH("欠",R1183)))</formula>
    </cfRule>
    <cfRule type="cellIs" dxfId="0" priority="3537" operator="equal">
      <formula>"欠"</formula>
    </cfRule>
  </conditionalFormatting>
  <conditionalFormatting sqref="S1183">
    <cfRule type="cellIs" dxfId="0" priority="3527" operator="equal">
      <formula>"欠"</formula>
    </cfRule>
  </conditionalFormatting>
  <conditionalFormatting sqref="T1183:U1183">
    <cfRule type="containsText" dxfId="0" priority="3529" operator="between" text="欠">
      <formula>NOT(ISERROR(SEARCH("欠",T1183)))</formula>
    </cfRule>
    <cfRule type="cellIs" dxfId="0" priority="3530" operator="equal">
      <formula>"欠"</formula>
    </cfRule>
  </conditionalFormatting>
  <conditionalFormatting sqref="V1183">
    <cfRule type="cellIs" dxfId="0" priority="3531" operator="equal">
      <formula>"欠"</formula>
    </cfRule>
  </conditionalFormatting>
  <conditionalFormatting sqref="AH1183">
    <cfRule type="cellIs" dxfId="0" priority="3528" operator="equal">
      <formula>"未完成"</formula>
    </cfRule>
  </conditionalFormatting>
  <conditionalFormatting sqref="AK1183">
    <cfRule type="cellIs" dxfId="1" priority="3533" operator="equal">
      <formula>"未完成"</formula>
    </cfRule>
    <cfRule type="cellIs" dxfId="0" priority="3534" operator="equal">
      <formula>"未完成"</formula>
    </cfRule>
  </conditionalFormatting>
  <conditionalFormatting sqref="AL1183">
    <cfRule type="cellIs" dxfId="0" priority="3532" operator="equal">
      <formula>"欠"</formula>
    </cfRule>
  </conditionalFormatting>
  <conditionalFormatting sqref="Q1184">
    <cfRule type="cellIs" dxfId="0" priority="2547" operator="equal">
      <formula>"欠"</formula>
    </cfRule>
  </conditionalFormatting>
  <conditionalFormatting sqref="R1184">
    <cfRule type="containsText" dxfId="0" priority="2548" operator="between" text="欠">
      <formula>NOT(ISERROR(SEARCH("欠",R1184)))</formula>
    </cfRule>
    <cfRule type="cellIs" dxfId="0" priority="2550" operator="equal">
      <formula>"欠"</formula>
    </cfRule>
  </conditionalFormatting>
  <conditionalFormatting sqref="S1184">
    <cfRule type="cellIs" dxfId="0" priority="2553" operator="equal">
      <formula>"欠"</formula>
    </cfRule>
  </conditionalFormatting>
  <conditionalFormatting sqref="T1184:U1184">
    <cfRule type="containsText" dxfId="0" priority="2549" operator="between" text="欠">
      <formula>NOT(ISERROR(SEARCH("欠",T1184)))</formula>
    </cfRule>
    <cfRule type="containsText" dxfId="2" priority="2551" operator="between" text="欠">
      <formula>NOT(ISERROR(SEARCH("欠",T1184)))</formula>
    </cfRule>
    <cfRule type="cellIs" dxfId="0" priority="2552" operator="equal">
      <formula>"欠"</formula>
    </cfRule>
  </conditionalFormatting>
  <conditionalFormatting sqref="V1184">
    <cfRule type="cellIs" dxfId="0" priority="2543" operator="equal">
      <formula>"欠"</formula>
    </cfRule>
  </conditionalFormatting>
  <conditionalFormatting sqref="AH1184">
    <cfRule type="cellIs" dxfId="0" priority="2542" operator="equal">
      <formula>"未完成"</formula>
    </cfRule>
  </conditionalFormatting>
  <conditionalFormatting sqref="AK1184">
    <cfRule type="cellIs" dxfId="1" priority="2545" operator="equal">
      <formula>"未完成"</formula>
    </cfRule>
    <cfRule type="cellIs" dxfId="0" priority="2546" operator="equal">
      <formula>"未完成"</formula>
    </cfRule>
  </conditionalFormatting>
  <conditionalFormatting sqref="AL1184">
    <cfRule type="cellIs" dxfId="0" priority="2544" operator="equal">
      <formula>"欠"</formula>
    </cfRule>
  </conditionalFormatting>
  <conditionalFormatting sqref="Q1185">
    <cfRule type="cellIs" dxfId="0" priority="1447" operator="equal">
      <formula>"欠"</formula>
    </cfRule>
  </conditionalFormatting>
  <conditionalFormatting sqref="V1185">
    <cfRule type="cellIs" dxfId="0" priority="1395" operator="equal">
      <formula>"欠"</formula>
    </cfRule>
  </conditionalFormatting>
  <conditionalFormatting sqref="AH1185">
    <cfRule type="cellIs" dxfId="0" priority="1382" operator="equal">
      <formula>"未完成"</formula>
    </cfRule>
  </conditionalFormatting>
  <conditionalFormatting sqref="AK1185">
    <cfRule type="cellIs" dxfId="1" priority="1421" operator="equal">
      <formula>"未完成"</formula>
    </cfRule>
    <cfRule type="cellIs" dxfId="0" priority="1434" operator="equal">
      <formula>"未完成"</formula>
    </cfRule>
  </conditionalFormatting>
  <conditionalFormatting sqref="T1186:U1186">
    <cfRule type="containsText" dxfId="0" priority="387" operator="between" text="欠">
      <formula>NOT(ISERROR(SEARCH("欠",T1186)))</formula>
    </cfRule>
    <cfRule type="containsText" dxfId="2" priority="391" operator="between" text="欠">
      <formula>NOT(ISERROR(SEARCH("欠",T1186)))</formula>
    </cfRule>
    <cfRule type="cellIs" dxfId="0" priority="392" operator="equal">
      <formula>"欠"</formula>
    </cfRule>
  </conditionalFormatting>
  <conditionalFormatting sqref="V1186">
    <cfRule type="cellIs" dxfId="0" priority="381" operator="equal">
      <formula>"欠"</formula>
    </cfRule>
  </conditionalFormatting>
  <conditionalFormatting sqref="AH1186">
    <cfRule type="cellIs" dxfId="0" priority="380" operator="equal">
      <formula>"未完成"</formula>
    </cfRule>
  </conditionalFormatting>
  <conditionalFormatting sqref="AK1186">
    <cfRule type="cellIs" dxfId="1" priority="383" operator="equal">
      <formula>"未完成"</formula>
    </cfRule>
    <cfRule type="cellIs" dxfId="0" priority="384" operator="equal">
      <formula>"未完成"</formula>
    </cfRule>
  </conditionalFormatting>
  <conditionalFormatting sqref="AL1186">
    <cfRule type="cellIs" dxfId="0" priority="382" operator="equal">
      <formula>"欠"</formula>
    </cfRule>
  </conditionalFormatting>
  <conditionalFormatting sqref="Q1187">
    <cfRule type="cellIs" dxfId="0" priority="286" operator="equal">
      <formula>"欠"</formula>
    </cfRule>
  </conditionalFormatting>
  <conditionalFormatting sqref="R1187">
    <cfRule type="containsText" dxfId="0" priority="277" operator="between" text="欠">
      <formula>NOT(ISERROR(SEARCH("欠",R1187)))</formula>
    </cfRule>
    <cfRule type="cellIs" dxfId="0" priority="278" operator="equal">
      <formula>"欠"</formula>
    </cfRule>
  </conditionalFormatting>
  <conditionalFormatting sqref="T1187:U1187">
    <cfRule type="containsText" dxfId="0" priority="279" operator="between" text="欠">
      <formula>NOT(ISERROR(SEARCH("欠",T1187)))</formula>
    </cfRule>
    <cfRule type="cellIs" dxfId="0" priority="280" operator="equal">
      <formula>"欠"</formula>
    </cfRule>
  </conditionalFormatting>
  <conditionalFormatting sqref="V1187">
    <cfRule type="cellIs" dxfId="0" priority="282" operator="equal">
      <formula>"欠"</formula>
    </cfRule>
  </conditionalFormatting>
  <conditionalFormatting sqref="AH1187">
    <cfRule type="cellIs" dxfId="0" priority="281" operator="equal">
      <formula>"未完成"</formula>
    </cfRule>
  </conditionalFormatting>
  <conditionalFormatting sqref="AK1187">
    <cfRule type="cellIs" dxfId="1" priority="284" operator="equal">
      <formula>"未完成"</formula>
    </cfRule>
    <cfRule type="cellIs" dxfId="0" priority="285" operator="equal">
      <formula>"未完成"</formula>
    </cfRule>
  </conditionalFormatting>
  <conditionalFormatting sqref="AL1187">
    <cfRule type="cellIs" dxfId="0" priority="283" operator="equal">
      <formula>"欠"</formula>
    </cfRule>
  </conditionalFormatting>
  <conditionalFormatting sqref="Q1188">
    <cfRule type="cellIs" dxfId="0" priority="3129" operator="equal">
      <formula>"欠"</formula>
    </cfRule>
  </conditionalFormatting>
  <conditionalFormatting sqref="V1188">
    <cfRule type="cellIs" dxfId="0" priority="3041" operator="equal">
      <formula>"欠"</formula>
    </cfRule>
  </conditionalFormatting>
  <conditionalFormatting sqref="AH1188">
    <cfRule type="cellIs" dxfId="0" priority="3019" operator="equal">
      <formula>"未完成"</formula>
    </cfRule>
  </conditionalFormatting>
  <conditionalFormatting sqref="AK1188">
    <cfRule type="cellIs" dxfId="1" priority="3085" operator="equal">
      <formula>"未完成"</formula>
    </cfRule>
    <cfRule type="cellIs" dxfId="0" priority="3107" operator="equal">
      <formula>"未完成"</formula>
    </cfRule>
  </conditionalFormatting>
  <conditionalFormatting sqref="AL1188">
    <cfRule type="cellIs" dxfId="0" priority="3063" operator="equal">
      <formula>"欠"</formula>
    </cfRule>
  </conditionalFormatting>
  <conditionalFormatting sqref="Q1189">
    <cfRule type="cellIs" dxfId="0" priority="3128" operator="equal">
      <formula>"欠"</formula>
    </cfRule>
  </conditionalFormatting>
  <conditionalFormatting sqref="V1189">
    <cfRule type="cellIs" dxfId="0" priority="3040" operator="equal">
      <formula>"欠"</formula>
    </cfRule>
  </conditionalFormatting>
  <conditionalFormatting sqref="AH1189">
    <cfRule type="cellIs" dxfId="0" priority="3018" operator="equal">
      <formula>"未完成"</formula>
    </cfRule>
  </conditionalFormatting>
  <conditionalFormatting sqref="AK1189">
    <cfRule type="cellIs" dxfId="1" priority="3084" operator="equal">
      <formula>"未完成"</formula>
    </cfRule>
    <cfRule type="cellIs" dxfId="0" priority="3106" operator="equal">
      <formula>"未完成"</formula>
    </cfRule>
  </conditionalFormatting>
  <conditionalFormatting sqref="AL1189">
    <cfRule type="cellIs" dxfId="0" priority="3062" operator="equal">
      <formula>"欠"</formula>
    </cfRule>
  </conditionalFormatting>
  <conditionalFormatting sqref="Q1190">
    <cfRule type="cellIs" dxfId="0" priority="2208" operator="equal">
      <formula>"欠"</formula>
    </cfRule>
  </conditionalFormatting>
  <conditionalFormatting sqref="V1190">
    <cfRule type="cellIs" dxfId="0" priority="2188" operator="equal">
      <formula>"欠"</formula>
    </cfRule>
  </conditionalFormatting>
  <conditionalFormatting sqref="AH1190">
    <cfRule type="cellIs" dxfId="0" priority="2183" operator="equal">
      <formula>"未完成"</formula>
    </cfRule>
  </conditionalFormatting>
  <conditionalFormatting sqref="AK1190">
    <cfRule type="cellIs" dxfId="1" priority="2198" operator="equal">
      <formula>"未完成"</formula>
    </cfRule>
    <cfRule type="cellIs" dxfId="0" priority="2203" operator="equal">
      <formula>"未完成"</formula>
    </cfRule>
  </conditionalFormatting>
  <conditionalFormatting sqref="AL1190">
    <cfRule type="cellIs" dxfId="0" priority="2193" operator="equal">
      <formula>"欠"</formula>
    </cfRule>
  </conditionalFormatting>
  <conditionalFormatting sqref="Q1191">
    <cfRule type="cellIs" dxfId="0" priority="2207" operator="equal">
      <formula>"欠"</formula>
    </cfRule>
  </conditionalFormatting>
  <conditionalFormatting sqref="V1191">
    <cfRule type="cellIs" dxfId="0" priority="2187" operator="equal">
      <formula>"欠"</formula>
    </cfRule>
  </conditionalFormatting>
  <conditionalFormatting sqref="AH1191">
    <cfRule type="cellIs" dxfId="0" priority="2182" operator="equal">
      <formula>"未完成"</formula>
    </cfRule>
  </conditionalFormatting>
  <conditionalFormatting sqref="AK1191">
    <cfRule type="cellIs" dxfId="1" priority="2197" operator="equal">
      <formula>"未完成"</formula>
    </cfRule>
    <cfRule type="cellIs" dxfId="0" priority="2202" operator="equal">
      <formula>"未完成"</formula>
    </cfRule>
  </conditionalFormatting>
  <conditionalFormatting sqref="AL1191">
    <cfRule type="cellIs" dxfId="0" priority="2192" operator="equal">
      <formula>"欠"</formula>
    </cfRule>
  </conditionalFormatting>
  <conditionalFormatting sqref="Q1192">
    <cfRule type="cellIs" dxfId="0" priority="3458" operator="equal">
      <formula>"欠"</formula>
    </cfRule>
  </conditionalFormatting>
  <conditionalFormatting sqref="T1192:U1192">
    <cfRule type="containsText" dxfId="0" priority="3443" operator="between" text="欠">
      <formula>NOT(ISERROR(SEARCH("欠",T1192)))</formula>
    </cfRule>
    <cfRule type="cellIs" dxfId="0" priority="3444" operator="equal">
      <formula>"欠"</formula>
    </cfRule>
  </conditionalFormatting>
  <conditionalFormatting sqref="V1192">
    <cfRule type="cellIs" dxfId="0" priority="3454" operator="equal">
      <formula>"欠"</formula>
    </cfRule>
  </conditionalFormatting>
  <conditionalFormatting sqref="AH1192">
    <cfRule type="cellIs" dxfId="0" priority="3451" operator="equal">
      <formula>"未完成"</formula>
    </cfRule>
  </conditionalFormatting>
  <conditionalFormatting sqref="AK1192">
    <cfRule type="cellIs" dxfId="1" priority="3456" operator="equal">
      <formula>"未完成"</formula>
    </cfRule>
    <cfRule type="cellIs" dxfId="0" priority="3457" operator="equal">
      <formula>"未完成"</formula>
    </cfRule>
  </conditionalFormatting>
  <conditionalFormatting sqref="AL1192">
    <cfRule type="cellIs" dxfId="0" priority="3455" operator="equal">
      <formula>"欠"</formula>
    </cfRule>
  </conditionalFormatting>
  <conditionalFormatting sqref="Q1193">
    <cfRule type="cellIs" dxfId="0" priority="1205" operator="equal">
      <formula>"欠"</formula>
    </cfRule>
  </conditionalFormatting>
  <conditionalFormatting sqref="R1193">
    <cfRule type="containsText" dxfId="0" priority="1223" operator="between" text="欠">
      <formula>NOT(ISERROR(SEARCH("欠",R1193)))</formula>
    </cfRule>
    <cfRule type="cellIs" dxfId="0" priority="1277" operator="equal">
      <formula>"欠"</formula>
    </cfRule>
  </conditionalFormatting>
  <conditionalFormatting sqref="T1193:U1193">
    <cfRule type="containsText" dxfId="0" priority="1241" operator="between" text="欠">
      <formula>NOT(ISERROR(SEARCH("欠",T1193)))</formula>
    </cfRule>
    <cfRule type="containsText" dxfId="2" priority="1313" operator="between" text="欠">
      <formula>NOT(ISERROR(SEARCH("欠",T1193)))</formula>
    </cfRule>
    <cfRule type="cellIs" dxfId="0" priority="1331" operator="equal">
      <formula>"欠"</formula>
    </cfRule>
  </conditionalFormatting>
  <conditionalFormatting sqref="V1193">
    <cfRule type="cellIs" dxfId="0" priority="1133" operator="equal">
      <formula>"欠"</formula>
    </cfRule>
  </conditionalFormatting>
  <conditionalFormatting sqref="AH1193">
    <cfRule type="cellIs" dxfId="0" priority="1115" operator="equal">
      <formula>"未完成"</formula>
    </cfRule>
  </conditionalFormatting>
  <conditionalFormatting sqref="AK1193">
    <cfRule type="cellIs" dxfId="1" priority="1169" operator="equal">
      <formula>"未完成"</formula>
    </cfRule>
    <cfRule type="cellIs" dxfId="0" priority="1187" operator="equal">
      <formula>"未完成"</formula>
    </cfRule>
  </conditionalFormatting>
  <conditionalFormatting sqref="AL1193">
    <cfRule type="cellIs" dxfId="0" priority="1151" operator="equal">
      <formula>"欠"</formula>
    </cfRule>
  </conditionalFormatting>
  <conditionalFormatting sqref="Q1194">
    <cfRule type="cellIs" dxfId="0" priority="1849" operator="equal">
      <formula>"欠"</formula>
    </cfRule>
  </conditionalFormatting>
  <conditionalFormatting sqref="R1194">
    <cfRule type="containsText" dxfId="0" priority="1860" operator="between" text="欠">
      <formula>NOT(ISERROR(SEARCH("欠",R1194)))</formula>
    </cfRule>
    <cfRule type="cellIs" dxfId="0" priority="1893" operator="equal">
      <formula>"欠"</formula>
    </cfRule>
  </conditionalFormatting>
  <conditionalFormatting sqref="T1194:U1194">
    <cfRule type="containsText" dxfId="0" priority="1871" operator="between" text="欠">
      <formula>NOT(ISERROR(SEARCH("欠",T1194)))</formula>
    </cfRule>
    <cfRule type="containsText" dxfId="2" priority="1915" operator="between" text="欠">
      <formula>NOT(ISERROR(SEARCH("欠",T1194)))</formula>
    </cfRule>
    <cfRule type="cellIs" dxfId="0" priority="1926" operator="equal">
      <formula>"欠"</formula>
    </cfRule>
  </conditionalFormatting>
  <conditionalFormatting sqref="V1194">
    <cfRule type="cellIs" dxfId="0" priority="1805" operator="equal">
      <formula>"欠"</formula>
    </cfRule>
  </conditionalFormatting>
  <conditionalFormatting sqref="AH1194">
    <cfRule type="cellIs" dxfId="0" priority="1794" operator="equal">
      <formula>"未完成"</formula>
    </cfRule>
  </conditionalFormatting>
  <conditionalFormatting sqref="AK1194">
    <cfRule type="cellIs" dxfId="1" priority="1827" operator="equal">
      <formula>"未完成"</formula>
    </cfRule>
    <cfRule type="cellIs" dxfId="0" priority="1838" operator="equal">
      <formula>"未完成"</formula>
    </cfRule>
  </conditionalFormatting>
  <conditionalFormatting sqref="AL1194">
    <cfRule type="cellIs" dxfId="0" priority="1816" operator="equal">
      <formula>"欠"</formula>
    </cfRule>
  </conditionalFormatting>
  <conditionalFormatting sqref="Q1195">
    <cfRule type="cellIs" dxfId="0" priority="1204" operator="equal">
      <formula>"欠"</formula>
    </cfRule>
  </conditionalFormatting>
  <conditionalFormatting sqref="R1195">
    <cfRule type="containsText" dxfId="0" priority="1222" operator="between" text="欠">
      <formula>NOT(ISERROR(SEARCH("欠",R1195)))</formula>
    </cfRule>
    <cfRule type="cellIs" dxfId="0" priority="1276" operator="equal">
      <formula>"欠"</formula>
    </cfRule>
  </conditionalFormatting>
  <conditionalFormatting sqref="S1195">
    <cfRule type="cellIs" dxfId="0" priority="1348" operator="equal">
      <formula>"欠"</formula>
    </cfRule>
  </conditionalFormatting>
  <conditionalFormatting sqref="T1195:U1195">
    <cfRule type="containsText" dxfId="0" priority="1240" operator="between" text="欠">
      <formula>NOT(ISERROR(SEARCH("欠",T1195)))</formula>
    </cfRule>
    <cfRule type="containsText" dxfId="2" priority="1312" operator="between" text="欠">
      <formula>NOT(ISERROR(SEARCH("欠",T1195)))</formula>
    </cfRule>
    <cfRule type="cellIs" dxfId="0" priority="1330" operator="equal">
      <formula>"欠"</formula>
    </cfRule>
  </conditionalFormatting>
  <conditionalFormatting sqref="V1195">
    <cfRule type="cellIs" dxfId="0" priority="1132" operator="equal">
      <formula>"欠"</formula>
    </cfRule>
  </conditionalFormatting>
  <conditionalFormatting sqref="AH1195">
    <cfRule type="cellIs" dxfId="0" priority="1114" operator="equal">
      <formula>"未完成"</formula>
    </cfRule>
  </conditionalFormatting>
  <conditionalFormatting sqref="AK1195">
    <cfRule type="cellIs" dxfId="1" priority="1168" operator="equal">
      <formula>"未完成"</formula>
    </cfRule>
    <cfRule type="cellIs" dxfId="0" priority="1186" operator="equal">
      <formula>"未完成"</formula>
    </cfRule>
  </conditionalFormatting>
  <conditionalFormatting sqref="AL1195">
    <cfRule type="cellIs" dxfId="0" priority="1150" operator="equal">
      <formula>"欠"</formula>
    </cfRule>
  </conditionalFormatting>
  <conditionalFormatting sqref="Q1196">
    <cfRule type="cellIs" dxfId="0" priority="1451" operator="equal">
      <formula>"欠"</formula>
    </cfRule>
  </conditionalFormatting>
  <conditionalFormatting sqref="R1196">
    <cfRule type="containsText" dxfId="0" priority="1464" operator="between" text="欠">
      <formula>NOT(ISERROR(SEARCH("欠",R1196)))</formula>
    </cfRule>
    <cfRule type="cellIs" dxfId="0" priority="1503" operator="equal">
      <formula>"欠"</formula>
    </cfRule>
  </conditionalFormatting>
  <conditionalFormatting sqref="T1196:U1196">
    <cfRule type="containsText" dxfId="0" priority="1477" operator="between" text="欠">
      <formula>NOT(ISERROR(SEARCH("欠",T1196)))</formula>
    </cfRule>
    <cfRule type="containsText" dxfId="2" priority="1529" operator="between" text="欠">
      <formula>NOT(ISERROR(SEARCH("欠",T1196)))</formula>
    </cfRule>
    <cfRule type="cellIs" dxfId="0" priority="1542" operator="equal">
      <formula>"欠"</formula>
    </cfRule>
  </conditionalFormatting>
  <conditionalFormatting sqref="V1196">
    <cfRule type="cellIs" dxfId="0" priority="1399" operator="equal">
      <formula>"欠"</formula>
    </cfRule>
  </conditionalFormatting>
  <conditionalFormatting sqref="AH1196">
    <cfRule type="cellIs" dxfId="0" priority="1386" operator="equal">
      <formula>"未完成"</formula>
    </cfRule>
  </conditionalFormatting>
  <conditionalFormatting sqref="AK1196">
    <cfRule type="cellIs" dxfId="1" priority="1425" operator="equal">
      <formula>"未完成"</formula>
    </cfRule>
    <cfRule type="cellIs" dxfId="0" priority="1438" operator="equal">
      <formula>"未完成"</formula>
    </cfRule>
  </conditionalFormatting>
  <conditionalFormatting sqref="AL1196">
    <cfRule type="cellIs" dxfId="0" priority="1412" operator="equal">
      <formula>"欠"</formula>
    </cfRule>
  </conditionalFormatting>
  <conditionalFormatting sqref="Q1197">
    <cfRule type="cellIs" dxfId="0" priority="1058" operator="equal">
      <formula>"欠"</formula>
    </cfRule>
  </conditionalFormatting>
  <conditionalFormatting sqref="R1197">
    <cfRule type="containsText" dxfId="0" priority="1063" operator="between" text="欠">
      <formula>NOT(ISERROR(SEARCH("欠",R1197)))</formula>
    </cfRule>
    <cfRule type="cellIs" dxfId="0" priority="1078" operator="equal">
      <formula>"欠"</formula>
    </cfRule>
  </conditionalFormatting>
  <conditionalFormatting sqref="T1197:U1197">
    <cfRule type="containsText" dxfId="0" priority="1068" operator="between" text="欠">
      <formula>NOT(ISERROR(SEARCH("欠",T1197)))</formula>
    </cfRule>
    <cfRule type="containsText" dxfId="2" priority="1088" operator="between" text="欠">
      <formula>NOT(ISERROR(SEARCH("欠",T1197)))</formula>
    </cfRule>
    <cfRule type="cellIs" dxfId="0" priority="1093" operator="equal">
      <formula>"欠"</formula>
    </cfRule>
  </conditionalFormatting>
  <conditionalFormatting sqref="V1197">
    <cfRule type="cellIs" dxfId="0" priority="1038" operator="equal">
      <formula>"欠"</formula>
    </cfRule>
  </conditionalFormatting>
  <conditionalFormatting sqref="AH1197">
    <cfRule type="cellIs" dxfId="0" priority="1033" operator="equal">
      <formula>"未完成"</formula>
    </cfRule>
  </conditionalFormatting>
  <conditionalFormatting sqref="AK1197">
    <cfRule type="cellIs" dxfId="1" priority="1048" operator="equal">
      <formula>"未完成"</formula>
    </cfRule>
    <cfRule type="cellIs" dxfId="0" priority="1053" operator="equal">
      <formula>"未完成"</formula>
    </cfRule>
  </conditionalFormatting>
  <conditionalFormatting sqref="AL1197">
    <cfRule type="cellIs" dxfId="0" priority="1043" operator="equal">
      <formula>"欠"</formula>
    </cfRule>
  </conditionalFormatting>
  <conditionalFormatting sqref="Q1198">
    <cfRule type="cellIs" dxfId="0" priority="821" operator="equal">
      <formula>"欠"</formula>
    </cfRule>
  </conditionalFormatting>
  <conditionalFormatting sqref="R1198">
    <cfRule type="containsText" dxfId="0" priority="833" operator="between" text="欠">
      <formula>NOT(ISERROR(SEARCH("欠",R1198)))</formula>
    </cfRule>
    <cfRule type="cellIs" dxfId="0" priority="869" operator="equal">
      <formula>"欠"</formula>
    </cfRule>
  </conditionalFormatting>
  <conditionalFormatting sqref="T1198:U1198">
    <cfRule type="containsText" dxfId="0" priority="845" operator="between" text="欠">
      <formula>NOT(ISERROR(SEARCH("欠",T1198)))</formula>
    </cfRule>
    <cfRule type="containsText" dxfId="2" priority="893" operator="between" text="欠">
      <formula>NOT(ISERROR(SEARCH("欠",T1198)))</formula>
    </cfRule>
    <cfRule type="cellIs" dxfId="0" priority="905" operator="equal">
      <formula>"欠"</formula>
    </cfRule>
  </conditionalFormatting>
  <conditionalFormatting sqref="V1198">
    <cfRule type="cellIs" dxfId="0" priority="773" operator="equal">
      <formula>"欠"</formula>
    </cfRule>
  </conditionalFormatting>
  <conditionalFormatting sqref="AH1198">
    <cfRule type="cellIs" dxfId="0" priority="761" operator="equal">
      <formula>"未完成"</formula>
    </cfRule>
  </conditionalFormatting>
  <conditionalFormatting sqref="AK1198">
    <cfRule type="cellIs" dxfId="1" priority="797" operator="equal">
      <formula>"未完成"</formula>
    </cfRule>
    <cfRule type="cellIs" dxfId="0" priority="809" operator="equal">
      <formula>"未完成"</formula>
    </cfRule>
  </conditionalFormatting>
  <conditionalFormatting sqref="AL1198">
    <cfRule type="cellIs" dxfId="0" priority="785" operator="equal">
      <formula>"欠"</formula>
    </cfRule>
  </conditionalFormatting>
  <conditionalFormatting sqref="T1199:U1199">
    <cfRule type="containsText" dxfId="0" priority="295" operator="between" text="欠">
      <formula>NOT(ISERROR(SEARCH("欠",T1199)))</formula>
    </cfRule>
    <cfRule type="containsText" dxfId="2" priority="297" operator="between" text="欠">
      <formula>NOT(ISERROR(SEARCH("欠",T1199)))</formula>
    </cfRule>
    <cfRule type="cellIs" dxfId="0" priority="298" operator="equal">
      <formula>"欠"</formula>
    </cfRule>
  </conditionalFormatting>
  <conditionalFormatting sqref="V1199">
    <cfRule type="cellIs" dxfId="0" priority="289" operator="equal">
      <formula>"欠"</formula>
    </cfRule>
  </conditionalFormatting>
  <conditionalFormatting sqref="AH1199">
    <cfRule type="cellIs" dxfId="0" priority="288" operator="equal">
      <formula>"未完成"</formula>
    </cfRule>
  </conditionalFormatting>
  <conditionalFormatting sqref="AK1199">
    <cfRule type="cellIs" dxfId="1" priority="291" operator="equal">
      <formula>"未完成"</formula>
    </cfRule>
    <cfRule type="cellIs" dxfId="0" priority="292" operator="equal">
      <formula>"未完成"</formula>
    </cfRule>
  </conditionalFormatting>
  <conditionalFormatting sqref="AL1199">
    <cfRule type="cellIs" dxfId="0" priority="290" operator="equal">
      <formula>"欠"</formula>
    </cfRule>
  </conditionalFormatting>
  <conditionalFormatting sqref="T1200:U1200">
    <cfRule type="containsText" dxfId="0" priority="1782" operator="between" text="欠">
      <formula>NOT(ISERROR(SEARCH("欠",T1200)))</formula>
    </cfRule>
    <cfRule type="containsText" dxfId="2" priority="1786" operator="between" text="欠">
      <formula>NOT(ISERROR(SEARCH("欠",T1200)))</formula>
    </cfRule>
    <cfRule type="cellIs" dxfId="0" priority="1787" operator="equal">
      <formula>"欠"</formula>
    </cfRule>
  </conditionalFormatting>
  <conditionalFormatting sqref="V1200">
    <cfRule type="cellIs" dxfId="0" priority="1776" operator="equal">
      <formula>"欠"</formula>
    </cfRule>
  </conditionalFormatting>
  <conditionalFormatting sqref="AH1200">
    <cfRule type="cellIs" dxfId="0" priority="1775" operator="equal">
      <formula>"未完成"</formula>
    </cfRule>
  </conditionalFormatting>
  <conditionalFormatting sqref="AK1200">
    <cfRule type="cellIs" dxfId="1" priority="1778" operator="equal">
      <formula>"未完成"</formula>
    </cfRule>
    <cfRule type="cellIs" dxfId="0" priority="1779" operator="equal">
      <formula>"未完成"</formula>
    </cfRule>
  </conditionalFormatting>
  <conditionalFormatting sqref="AL1200">
    <cfRule type="cellIs" dxfId="0" priority="1777" operator="equal">
      <formula>"欠"</formula>
    </cfRule>
  </conditionalFormatting>
  <conditionalFormatting sqref="S1201">
    <cfRule type="cellIs" dxfId="0" priority="1624" operator="equal">
      <formula>"欠"</formula>
    </cfRule>
  </conditionalFormatting>
  <conditionalFormatting sqref="T1201:U1201">
    <cfRule type="containsText" dxfId="0" priority="1623" operator="between" text="欠">
      <formula>NOT(ISERROR(SEARCH("欠",T1201)))</formula>
    </cfRule>
    <cfRule type="cellIs" dxfId="0" priority="1625" operator="equal">
      <formula>"欠"</formula>
    </cfRule>
  </conditionalFormatting>
  <conditionalFormatting sqref="V1201">
    <cfRule type="cellIs" dxfId="0" priority="1627" operator="equal">
      <formula>"欠"</formula>
    </cfRule>
  </conditionalFormatting>
  <conditionalFormatting sqref="AH1201">
    <cfRule type="cellIs" dxfId="0" priority="1626" operator="equal">
      <formula>"未完成"</formula>
    </cfRule>
  </conditionalFormatting>
  <conditionalFormatting sqref="AI1201">
    <cfRule type="cellIs" dxfId="0" priority="1632" operator="equal">
      <formula>"未完成"</formula>
    </cfRule>
  </conditionalFormatting>
  <conditionalFormatting sqref="AK1201">
    <cfRule type="cellIs" dxfId="1" priority="1629" operator="equal">
      <formula>"未完成"</formula>
    </cfRule>
    <cfRule type="cellIs" dxfId="0" priority="1630" operator="equal">
      <formula>"未完成"</formula>
    </cfRule>
  </conditionalFormatting>
  <conditionalFormatting sqref="AL1201">
    <cfRule type="cellIs" dxfId="0" priority="1628" operator="equal">
      <formula>"欠"</formula>
    </cfRule>
  </conditionalFormatting>
  <conditionalFormatting sqref="Q1202">
    <cfRule type="cellIs" dxfId="0" priority="2206" operator="equal">
      <formula>"欠"</formula>
    </cfRule>
  </conditionalFormatting>
  <conditionalFormatting sqref="V1202">
    <cfRule type="cellIs" dxfId="0" priority="2186" operator="equal">
      <formula>"欠"</formula>
    </cfRule>
  </conditionalFormatting>
  <conditionalFormatting sqref="AH1202">
    <cfRule type="cellIs" dxfId="0" priority="2181" operator="equal">
      <formula>"未完成"</formula>
    </cfRule>
  </conditionalFormatting>
  <conditionalFormatting sqref="AK1202">
    <cfRule type="cellIs" dxfId="1" priority="2196" operator="equal">
      <formula>"未完成"</formula>
    </cfRule>
    <cfRule type="cellIs" dxfId="0" priority="2201" operator="equal">
      <formula>"未完成"</formula>
    </cfRule>
  </conditionalFormatting>
  <conditionalFormatting sqref="AL1202">
    <cfRule type="cellIs" dxfId="0" priority="2191" operator="equal">
      <formula>"欠"</formula>
    </cfRule>
  </conditionalFormatting>
  <conditionalFormatting sqref="Q1203">
    <cfRule type="cellIs" dxfId="0" priority="2205" operator="equal">
      <formula>"欠"</formula>
    </cfRule>
  </conditionalFormatting>
  <conditionalFormatting sqref="V1203">
    <cfRule type="cellIs" dxfId="0" priority="2185" operator="equal">
      <formula>"欠"</formula>
    </cfRule>
  </conditionalFormatting>
  <conditionalFormatting sqref="AH1203">
    <cfRule type="cellIs" dxfId="0" priority="2180" operator="equal">
      <formula>"未完成"</formula>
    </cfRule>
  </conditionalFormatting>
  <conditionalFormatting sqref="AK1203">
    <cfRule type="cellIs" dxfId="1" priority="2195" operator="equal">
      <formula>"未完成"</formula>
    </cfRule>
    <cfRule type="cellIs" dxfId="0" priority="2200" operator="equal">
      <formula>"未完成"</formula>
    </cfRule>
  </conditionalFormatting>
  <conditionalFormatting sqref="AL1203">
    <cfRule type="cellIs" dxfId="0" priority="2190" operator="equal">
      <formula>"欠"</formula>
    </cfRule>
  </conditionalFormatting>
  <conditionalFormatting sqref="V1204">
    <cfRule type="cellIs" dxfId="0" priority="974" operator="equal">
      <formula>"欠"</formula>
    </cfRule>
  </conditionalFormatting>
  <conditionalFormatting sqref="AH1204">
    <cfRule type="cellIs" dxfId="0" priority="971" operator="equal">
      <formula>"未完成"</formula>
    </cfRule>
  </conditionalFormatting>
  <conditionalFormatting sqref="AK1204">
    <cfRule type="cellIs" dxfId="1" priority="980" operator="equal">
      <formula>"未完成"</formula>
    </cfRule>
    <cfRule type="cellIs" dxfId="0" priority="983" operator="equal">
      <formula>"未完成"</formula>
    </cfRule>
  </conditionalFormatting>
  <conditionalFormatting sqref="AL1204">
    <cfRule type="cellIs" dxfId="0" priority="977" operator="equal">
      <formula>"欠"</formula>
    </cfRule>
  </conditionalFormatting>
  <conditionalFormatting sqref="V1205">
    <cfRule type="cellIs" dxfId="0" priority="973" operator="equal">
      <formula>"欠"</formula>
    </cfRule>
  </conditionalFormatting>
  <conditionalFormatting sqref="AH1205">
    <cfRule type="cellIs" dxfId="0" priority="970" operator="equal">
      <formula>"未完成"</formula>
    </cfRule>
  </conditionalFormatting>
  <conditionalFormatting sqref="AK1205">
    <cfRule type="cellIs" dxfId="1" priority="979" operator="equal">
      <formula>"未完成"</formula>
    </cfRule>
    <cfRule type="cellIs" dxfId="0" priority="982" operator="equal">
      <formula>"未完成"</formula>
    </cfRule>
  </conditionalFormatting>
  <conditionalFormatting sqref="AL1205">
    <cfRule type="cellIs" dxfId="0" priority="976" operator="equal">
      <formula>"欠"</formula>
    </cfRule>
  </conditionalFormatting>
  <conditionalFormatting sqref="Q1206">
    <cfRule type="cellIs" dxfId="0" priority="465" operator="equal">
      <formula>"欠"</formula>
    </cfRule>
  </conditionalFormatting>
  <conditionalFormatting sqref="R1206">
    <cfRule type="containsText" dxfId="0" priority="458" operator="between" text="欠">
      <formula>NOT(ISERROR(SEARCH("欠",R1206)))</formula>
    </cfRule>
    <cfRule type="cellIs" dxfId="0" priority="459" operator="equal">
      <formula>"欠"</formula>
    </cfRule>
  </conditionalFormatting>
  <conditionalFormatting sqref="S1206">
    <cfRule type="cellIs" dxfId="0" priority="469" operator="equal">
      <formula>"欠"</formula>
    </cfRule>
  </conditionalFormatting>
  <conditionalFormatting sqref="T1206:U1206">
    <cfRule type="containsText" dxfId="0" priority="466" operator="between" text="欠">
      <formula>NOT(ISERROR(SEARCH("欠",T1206)))</formula>
    </cfRule>
    <cfRule type="containsText" dxfId="2" priority="467" operator="between" text="欠">
      <formula>NOT(ISERROR(SEARCH("欠",T1206)))</formula>
    </cfRule>
    <cfRule type="cellIs" dxfId="0" priority="468" operator="equal">
      <formula>"欠"</formula>
    </cfRule>
  </conditionalFormatting>
  <conditionalFormatting sqref="V1206">
    <cfRule type="cellIs" dxfId="0" priority="461" operator="equal">
      <formula>"欠"</formula>
    </cfRule>
  </conditionalFormatting>
  <conditionalFormatting sqref="AH1206">
    <cfRule type="cellIs" dxfId="0" priority="460" operator="equal">
      <formula>"未完成"</formula>
    </cfRule>
  </conditionalFormatting>
  <conditionalFormatting sqref="AK1206">
    <cfRule type="cellIs" dxfId="1" priority="463" operator="equal">
      <formula>"未完成"</formula>
    </cfRule>
    <cfRule type="cellIs" dxfId="0" priority="464" operator="equal">
      <formula>"未完成"</formula>
    </cfRule>
  </conditionalFormatting>
  <conditionalFormatting sqref="AL1206">
    <cfRule type="cellIs" dxfId="0" priority="462" operator="equal">
      <formula>"欠"</formula>
    </cfRule>
  </conditionalFormatting>
  <conditionalFormatting sqref="Q1207">
    <cfRule type="cellIs" dxfId="0" priority="1571" operator="equal">
      <formula>"欠"</formula>
    </cfRule>
  </conditionalFormatting>
  <conditionalFormatting sqref="R1207">
    <cfRule type="containsText" dxfId="0" priority="1573" operator="between" text="欠">
      <formula>NOT(ISERROR(SEARCH("欠",R1207)))</formula>
    </cfRule>
    <cfRule type="cellIs" dxfId="0" priority="1579" operator="equal">
      <formula>"欠"</formula>
    </cfRule>
  </conditionalFormatting>
  <conditionalFormatting sqref="T1207:U1207">
    <cfRule type="cellIs" dxfId="0" priority="1019" operator="equal">
      <formula>"欠"</formula>
    </cfRule>
  </conditionalFormatting>
  <conditionalFormatting sqref="V1207">
    <cfRule type="cellIs" dxfId="0" priority="1563" operator="equal">
      <formula>"欠"</formula>
    </cfRule>
  </conditionalFormatting>
  <conditionalFormatting sqref="AH1207">
    <cfRule type="cellIs" dxfId="0" priority="1561" operator="equal">
      <formula>"未完成"</formula>
    </cfRule>
  </conditionalFormatting>
  <conditionalFormatting sqref="AK1207">
    <cfRule type="cellIs" dxfId="1" priority="1567" operator="equal">
      <formula>"未完成"</formula>
    </cfRule>
    <cfRule type="cellIs" dxfId="0" priority="1569" operator="equal">
      <formula>"未完成"</formula>
    </cfRule>
  </conditionalFormatting>
  <conditionalFormatting sqref="AL1207">
    <cfRule type="cellIs" dxfId="0" priority="1565" operator="equal">
      <formula>"欠"</formula>
    </cfRule>
  </conditionalFormatting>
  <conditionalFormatting sqref="Q1208">
    <cfRule type="cellIs" dxfId="0" priority="827" operator="equal">
      <formula>"欠"</formula>
    </cfRule>
  </conditionalFormatting>
  <conditionalFormatting sqref="R1208">
    <cfRule type="containsText" dxfId="0" priority="839" operator="between" text="欠">
      <formula>NOT(ISERROR(SEARCH("欠",R1208)))</formula>
    </cfRule>
    <cfRule type="cellIs" dxfId="0" priority="875" operator="equal">
      <formula>"欠"</formula>
    </cfRule>
  </conditionalFormatting>
  <conditionalFormatting sqref="V1208">
    <cfRule type="cellIs" dxfId="0" priority="779" operator="equal">
      <formula>"欠"</formula>
    </cfRule>
  </conditionalFormatting>
  <conditionalFormatting sqref="AH1208">
    <cfRule type="cellIs" dxfId="0" priority="767" operator="equal">
      <formula>"未完成"</formula>
    </cfRule>
  </conditionalFormatting>
  <conditionalFormatting sqref="AK1208">
    <cfRule type="cellIs" dxfId="1" priority="803" operator="equal">
      <formula>"未完成"</formula>
    </cfRule>
    <cfRule type="cellIs" dxfId="0" priority="815" operator="equal">
      <formula>"未完成"</formula>
    </cfRule>
  </conditionalFormatting>
  <conditionalFormatting sqref="AL1208">
    <cfRule type="cellIs" dxfId="0" priority="791" operator="equal">
      <formula>"欠"</formula>
    </cfRule>
  </conditionalFormatting>
  <conditionalFormatting sqref="V1209">
    <cfRule type="cellIs" dxfId="0" priority="776" operator="equal">
      <formula>"欠"</formula>
    </cfRule>
  </conditionalFormatting>
  <conditionalFormatting sqref="AH1209">
    <cfRule type="cellIs" dxfId="0" priority="764" operator="equal">
      <formula>"未完成"</formula>
    </cfRule>
  </conditionalFormatting>
  <conditionalFormatting sqref="AK1209">
    <cfRule type="cellIs" dxfId="1" priority="800" operator="equal">
      <formula>"未完成"</formula>
    </cfRule>
    <cfRule type="cellIs" dxfId="0" priority="812" operator="equal">
      <formula>"未完成"</formula>
    </cfRule>
  </conditionalFormatting>
  <conditionalFormatting sqref="AL1209">
    <cfRule type="cellIs" dxfId="0" priority="788" operator="equal">
      <formula>"欠"</formula>
    </cfRule>
  </conditionalFormatting>
  <conditionalFormatting sqref="V1210">
    <cfRule type="cellIs" dxfId="0" priority="775" operator="equal">
      <formula>"欠"</formula>
    </cfRule>
  </conditionalFormatting>
  <conditionalFormatting sqref="AH1210">
    <cfRule type="cellIs" dxfId="0" priority="763" operator="equal">
      <formula>"未完成"</formula>
    </cfRule>
  </conditionalFormatting>
  <conditionalFormatting sqref="AK1210">
    <cfRule type="cellIs" dxfId="1" priority="799" operator="equal">
      <formula>"未完成"</formula>
    </cfRule>
    <cfRule type="cellIs" dxfId="0" priority="811" operator="equal">
      <formula>"未完成"</formula>
    </cfRule>
  </conditionalFormatting>
  <conditionalFormatting sqref="AL1210">
    <cfRule type="cellIs" dxfId="0" priority="787" operator="equal">
      <formula>"欠"</formula>
    </cfRule>
  </conditionalFormatting>
  <conditionalFormatting sqref="V1211">
    <cfRule type="cellIs" dxfId="0" priority="774" operator="equal">
      <formula>"欠"</formula>
    </cfRule>
  </conditionalFormatting>
  <conditionalFormatting sqref="AH1211">
    <cfRule type="cellIs" dxfId="0" priority="762" operator="equal">
      <formula>"未完成"</formula>
    </cfRule>
  </conditionalFormatting>
  <conditionalFormatting sqref="AK1211">
    <cfRule type="cellIs" dxfId="1" priority="798" operator="equal">
      <formula>"未完成"</formula>
    </cfRule>
    <cfRule type="cellIs" dxfId="0" priority="810" operator="equal">
      <formula>"未完成"</formula>
    </cfRule>
  </conditionalFormatting>
  <conditionalFormatting sqref="AL1211">
    <cfRule type="cellIs" dxfId="0" priority="786" operator="equal">
      <formula>"欠"</formula>
    </cfRule>
  </conditionalFormatting>
  <conditionalFormatting sqref="Q1212">
    <cfRule type="cellIs" dxfId="0" priority="1851" operator="equal">
      <formula>"欠"</formula>
    </cfRule>
  </conditionalFormatting>
  <conditionalFormatting sqref="T1212:U1212">
    <cfRule type="containsText" dxfId="0" priority="1873" operator="between" text="欠">
      <formula>NOT(ISERROR(SEARCH("欠",T1212)))</formula>
    </cfRule>
    <cfRule type="containsText" dxfId="2" priority="1917" operator="between" text="欠">
      <formula>NOT(ISERROR(SEARCH("欠",T1212)))</formula>
    </cfRule>
    <cfRule type="cellIs" dxfId="0" priority="1928" operator="equal">
      <formula>"欠"</formula>
    </cfRule>
  </conditionalFormatting>
  <conditionalFormatting sqref="V1212">
    <cfRule type="cellIs" dxfId="0" priority="1807" operator="equal">
      <formula>"欠"</formula>
    </cfRule>
  </conditionalFormatting>
  <conditionalFormatting sqref="AH1212">
    <cfRule type="cellIs" dxfId="0" priority="1796" operator="equal">
      <formula>"未完成"</formula>
    </cfRule>
  </conditionalFormatting>
  <conditionalFormatting sqref="AK1212">
    <cfRule type="cellIs" dxfId="1" priority="1829" operator="equal">
      <formula>"未完成"</formula>
    </cfRule>
    <cfRule type="cellIs" dxfId="0" priority="1840" operator="equal">
      <formula>"未完成"</formula>
    </cfRule>
  </conditionalFormatting>
  <conditionalFormatting sqref="AL1212">
    <cfRule type="cellIs" dxfId="0" priority="1818" operator="equal">
      <formula>"欠"</formula>
    </cfRule>
  </conditionalFormatting>
  <conditionalFormatting sqref="Q1214">
    <cfRule type="cellIs" dxfId="0" priority="523" operator="equal">
      <formula>"欠"</formula>
    </cfRule>
  </conditionalFormatting>
  <conditionalFormatting sqref="R1214">
    <cfRule type="containsText" dxfId="0" priority="524" operator="between" text="欠">
      <formula>NOT(ISERROR(SEARCH("欠",R1214)))</formula>
    </cfRule>
    <cfRule type="cellIs" dxfId="0" priority="526" operator="equal">
      <formula>"欠"</formula>
    </cfRule>
  </conditionalFormatting>
  <conditionalFormatting sqref="S1214">
    <cfRule type="cellIs" dxfId="0" priority="527" operator="equal">
      <formula>"欠"</formula>
    </cfRule>
  </conditionalFormatting>
  <conditionalFormatting sqref="T1214:U1214">
    <cfRule type="containsText" dxfId="0" priority="515" operator="between" text="欠">
      <formula>NOT(ISERROR(SEARCH("欠",T1214)))</formula>
    </cfRule>
    <cfRule type="cellIs" dxfId="0" priority="516" operator="equal">
      <formula>"欠"</formula>
    </cfRule>
  </conditionalFormatting>
  <conditionalFormatting sqref="V1214">
    <cfRule type="containsText" dxfId="0" priority="517" operator="between" text="欠">
      <formula>NOT(ISERROR(SEARCH("欠",V1214)))</formula>
    </cfRule>
    <cfRule type="cellIs" dxfId="0" priority="518" operator="equal">
      <formula>"欠"</formula>
    </cfRule>
  </conditionalFormatting>
  <conditionalFormatting sqref="AH1214">
    <cfRule type="cellIs" dxfId="0" priority="519" operator="equal">
      <formula>"未完成"</formula>
    </cfRule>
  </conditionalFormatting>
  <conditionalFormatting sqref="AK1214">
    <cfRule type="cellIs" dxfId="1" priority="521" operator="equal">
      <formula>"未完成"</formula>
    </cfRule>
    <cfRule type="cellIs" dxfId="0" priority="522" operator="equal">
      <formula>"未完成"</formula>
    </cfRule>
  </conditionalFormatting>
  <conditionalFormatting sqref="AL1214">
    <cfRule type="cellIs" dxfId="0" priority="520" operator="equal">
      <formula>"欠"</formula>
    </cfRule>
  </conditionalFormatting>
  <conditionalFormatting sqref="Q1215">
    <cfRule type="cellIs" dxfId="0" priority="451" operator="equal">
      <formula>"欠"</formula>
    </cfRule>
  </conditionalFormatting>
  <conditionalFormatting sqref="R1215">
    <cfRule type="containsText" dxfId="0" priority="452" operator="between" text="欠">
      <formula>NOT(ISERROR(SEARCH("欠",R1215)))</formula>
    </cfRule>
    <cfRule type="cellIs" dxfId="0" priority="454" operator="equal">
      <formula>"欠"</formula>
    </cfRule>
  </conditionalFormatting>
  <conditionalFormatting sqref="S1215">
    <cfRule type="cellIs" dxfId="0" priority="457" operator="equal">
      <formula>"欠"</formula>
    </cfRule>
  </conditionalFormatting>
  <conditionalFormatting sqref="V1215">
    <cfRule type="cellIs" dxfId="0" priority="447" operator="equal">
      <formula>"欠"</formula>
    </cfRule>
  </conditionalFormatting>
  <conditionalFormatting sqref="AH1215">
    <cfRule type="cellIs" dxfId="0" priority="446" operator="equal">
      <formula>"未完成"</formula>
    </cfRule>
  </conditionalFormatting>
  <conditionalFormatting sqref="AK1215">
    <cfRule type="cellIs" dxfId="1" priority="449" operator="equal">
      <formula>"未完成"</formula>
    </cfRule>
    <cfRule type="cellIs" dxfId="0" priority="450" operator="equal">
      <formula>"未完成"</formula>
    </cfRule>
  </conditionalFormatting>
  <conditionalFormatting sqref="AL1215">
    <cfRule type="cellIs" dxfId="0" priority="448" operator="equal">
      <formula>"欠"</formula>
    </cfRule>
  </conditionalFormatting>
  <conditionalFormatting sqref="Q1216">
    <cfRule type="cellIs" dxfId="0" priority="2082" operator="equal">
      <formula>"欠"</formula>
    </cfRule>
  </conditionalFormatting>
  <conditionalFormatting sqref="V1216">
    <cfRule type="cellIs" dxfId="0" priority="2034" operator="equal">
      <formula>"欠"</formula>
    </cfRule>
  </conditionalFormatting>
  <conditionalFormatting sqref="AH1216">
    <cfRule type="cellIs" dxfId="0" priority="2022" operator="equal">
      <formula>"未完成"</formula>
    </cfRule>
  </conditionalFormatting>
  <conditionalFormatting sqref="AK1216">
    <cfRule type="cellIs" dxfId="1" priority="2058" operator="equal">
      <formula>"未完成"</formula>
    </cfRule>
    <cfRule type="cellIs" dxfId="0" priority="2070" operator="equal">
      <formula>"未完成"</formula>
    </cfRule>
  </conditionalFormatting>
  <conditionalFormatting sqref="AL1216">
    <cfRule type="cellIs" dxfId="0" priority="2046" operator="equal">
      <formula>"欠"</formula>
    </cfRule>
  </conditionalFormatting>
  <conditionalFormatting sqref="Q1217">
    <cfRule type="cellIs" dxfId="0" priority="2081" operator="equal">
      <formula>"欠"</formula>
    </cfRule>
  </conditionalFormatting>
  <conditionalFormatting sqref="V1217">
    <cfRule type="cellIs" dxfId="0" priority="2033" operator="equal">
      <formula>"欠"</formula>
    </cfRule>
  </conditionalFormatting>
  <conditionalFormatting sqref="AH1217">
    <cfRule type="cellIs" dxfId="0" priority="2021" operator="equal">
      <formula>"未完成"</formula>
    </cfRule>
  </conditionalFormatting>
  <conditionalFormatting sqref="AK1217">
    <cfRule type="cellIs" dxfId="1" priority="2057" operator="equal">
      <formula>"未完成"</formula>
    </cfRule>
    <cfRule type="cellIs" dxfId="0" priority="2069" operator="equal">
      <formula>"未完成"</formula>
    </cfRule>
  </conditionalFormatting>
  <conditionalFormatting sqref="AL1217">
    <cfRule type="cellIs" dxfId="0" priority="2045" operator="equal">
      <formula>"欠"</formula>
    </cfRule>
  </conditionalFormatting>
  <conditionalFormatting sqref="Q1218">
    <cfRule type="cellIs" dxfId="0" priority="2080" operator="equal">
      <formula>"欠"</formula>
    </cfRule>
  </conditionalFormatting>
  <conditionalFormatting sqref="V1218">
    <cfRule type="cellIs" dxfId="0" priority="2032" operator="equal">
      <formula>"欠"</formula>
    </cfRule>
  </conditionalFormatting>
  <conditionalFormatting sqref="AH1218">
    <cfRule type="cellIs" dxfId="0" priority="2020" operator="equal">
      <formula>"未完成"</formula>
    </cfRule>
  </conditionalFormatting>
  <conditionalFormatting sqref="AK1218">
    <cfRule type="cellIs" dxfId="1" priority="2056" operator="equal">
      <formula>"未完成"</formula>
    </cfRule>
    <cfRule type="cellIs" dxfId="0" priority="2068" operator="equal">
      <formula>"未完成"</formula>
    </cfRule>
  </conditionalFormatting>
  <conditionalFormatting sqref="AL1218">
    <cfRule type="cellIs" dxfId="0" priority="2044" operator="equal">
      <formula>"欠"</formula>
    </cfRule>
  </conditionalFormatting>
  <conditionalFormatting sqref="Q1220">
    <cfRule type="cellIs" dxfId="0" priority="2071" operator="equal">
      <formula>"欠"</formula>
    </cfRule>
  </conditionalFormatting>
  <conditionalFormatting sqref="V1220">
    <cfRule type="cellIs" dxfId="0" priority="2023" operator="equal">
      <formula>"欠"</formula>
    </cfRule>
  </conditionalFormatting>
  <conditionalFormatting sqref="AH1220">
    <cfRule type="cellIs" dxfId="0" priority="2011" operator="equal">
      <formula>"未完成"</formula>
    </cfRule>
  </conditionalFormatting>
  <conditionalFormatting sqref="AK1220">
    <cfRule type="cellIs" dxfId="1" priority="2047" operator="equal">
      <formula>"未完成"</formula>
    </cfRule>
    <cfRule type="cellIs" dxfId="0" priority="2059" operator="equal">
      <formula>"未完成"</formula>
    </cfRule>
  </conditionalFormatting>
  <conditionalFormatting sqref="AL1220">
    <cfRule type="cellIs" dxfId="0" priority="2035" operator="equal">
      <formula>"欠"</formula>
    </cfRule>
  </conditionalFormatting>
  <conditionalFormatting sqref="Q1221">
    <cfRule type="cellIs" dxfId="0" priority="104" operator="equal">
      <formula>"欠"</formula>
    </cfRule>
  </conditionalFormatting>
  <conditionalFormatting sqref="R1221">
    <cfRule type="containsText" dxfId="0" priority="97" operator="between" text="欠">
      <formula>NOT(ISERROR(SEARCH("欠",R1221)))</formula>
    </cfRule>
    <cfRule type="cellIs" dxfId="0" priority="98" operator="equal">
      <formula>"欠"</formula>
    </cfRule>
  </conditionalFormatting>
  <conditionalFormatting sqref="T1221:U1221">
    <cfRule type="containsText" dxfId="0" priority="105" operator="between" text="欠">
      <formula>NOT(ISERROR(SEARCH("欠",T1221)))</formula>
    </cfRule>
    <cfRule type="containsText" dxfId="2" priority="106" operator="between" text="欠">
      <formula>NOT(ISERROR(SEARCH("欠",T1221)))</formula>
    </cfRule>
    <cfRule type="cellIs" dxfId="0" priority="107" operator="equal">
      <formula>"欠"</formula>
    </cfRule>
  </conditionalFormatting>
  <conditionalFormatting sqref="V1221">
    <cfRule type="cellIs" dxfId="0" priority="100" operator="equal">
      <formula>"欠"</formula>
    </cfRule>
  </conditionalFormatting>
  <conditionalFormatting sqref="AH1221">
    <cfRule type="cellIs" dxfId="0" priority="99" operator="equal">
      <formula>"未完成"</formula>
    </cfRule>
  </conditionalFormatting>
  <conditionalFormatting sqref="AK1221">
    <cfRule type="cellIs" dxfId="1" priority="102" operator="equal">
      <formula>"未完成"</formula>
    </cfRule>
    <cfRule type="cellIs" dxfId="0" priority="103" operator="equal">
      <formula>"未完成"</formula>
    </cfRule>
  </conditionalFormatting>
  <conditionalFormatting sqref="AL1221">
    <cfRule type="cellIs" dxfId="0" priority="101" operator="equal">
      <formula>"欠"</formula>
    </cfRule>
  </conditionalFormatting>
  <conditionalFormatting sqref="Q1222">
    <cfRule type="cellIs" dxfId="0" priority="1219" operator="equal">
      <formula>"欠"</formula>
    </cfRule>
  </conditionalFormatting>
  <conditionalFormatting sqref="V1222">
    <cfRule type="cellIs" dxfId="0" priority="1147" operator="equal">
      <formula>"欠"</formula>
    </cfRule>
  </conditionalFormatting>
  <conditionalFormatting sqref="AH1222">
    <cfRule type="cellIs" dxfId="0" priority="1129" operator="equal">
      <formula>"未完成"</formula>
    </cfRule>
  </conditionalFormatting>
  <conditionalFormatting sqref="AK1222">
    <cfRule type="cellIs" dxfId="1" priority="1183" operator="equal">
      <formula>"未完成"</formula>
    </cfRule>
    <cfRule type="cellIs" dxfId="0" priority="1201" operator="equal">
      <formula>"未完成"</formula>
    </cfRule>
  </conditionalFormatting>
  <conditionalFormatting sqref="AL1222">
    <cfRule type="cellIs" dxfId="0" priority="1165" operator="equal">
      <formula>"欠"</formula>
    </cfRule>
  </conditionalFormatting>
  <conditionalFormatting sqref="Q1223">
    <cfRule type="cellIs" dxfId="0" priority="1218" operator="equal">
      <formula>"欠"</formula>
    </cfRule>
  </conditionalFormatting>
  <conditionalFormatting sqref="V1223">
    <cfRule type="cellIs" dxfId="0" priority="1146" operator="equal">
      <formula>"欠"</formula>
    </cfRule>
  </conditionalFormatting>
  <conditionalFormatting sqref="AH1223">
    <cfRule type="cellIs" dxfId="0" priority="1128" operator="equal">
      <formula>"未完成"</formula>
    </cfRule>
  </conditionalFormatting>
  <conditionalFormatting sqref="AK1223">
    <cfRule type="cellIs" dxfId="1" priority="1182" operator="equal">
      <formula>"未完成"</formula>
    </cfRule>
    <cfRule type="cellIs" dxfId="0" priority="1200" operator="equal">
      <formula>"未完成"</formula>
    </cfRule>
  </conditionalFormatting>
  <conditionalFormatting sqref="AL1223">
    <cfRule type="cellIs" dxfId="0" priority="1164" operator="equal">
      <formula>"欠"</formula>
    </cfRule>
  </conditionalFormatting>
  <conditionalFormatting sqref="V1224">
    <cfRule type="cellIs" dxfId="0" priority="1145" operator="equal">
      <formula>"欠"</formula>
    </cfRule>
  </conditionalFormatting>
  <conditionalFormatting sqref="AH1224">
    <cfRule type="cellIs" dxfId="0" priority="1127" operator="equal">
      <formula>"未完成"</formula>
    </cfRule>
  </conditionalFormatting>
  <conditionalFormatting sqref="AK1224">
    <cfRule type="cellIs" dxfId="1" priority="1181" operator="equal">
      <formula>"未完成"</formula>
    </cfRule>
    <cfRule type="cellIs" dxfId="0" priority="1199" operator="equal">
      <formula>"未完成"</formula>
    </cfRule>
  </conditionalFormatting>
  <conditionalFormatting sqref="V1225">
    <cfRule type="cellIs" dxfId="0" priority="1144" operator="equal">
      <formula>"欠"</formula>
    </cfRule>
  </conditionalFormatting>
  <conditionalFormatting sqref="AH1225">
    <cfRule type="cellIs" dxfId="0" priority="1126" operator="equal">
      <formula>"未完成"</formula>
    </cfRule>
  </conditionalFormatting>
  <conditionalFormatting sqref="AK1225">
    <cfRule type="cellIs" dxfId="1" priority="1180" operator="equal">
      <formula>"未完成"</formula>
    </cfRule>
    <cfRule type="cellIs" dxfId="0" priority="1198" operator="equal">
      <formula>"未完成"</formula>
    </cfRule>
  </conditionalFormatting>
  <conditionalFormatting sqref="V1226">
    <cfRule type="cellIs" dxfId="0" priority="1143" operator="equal">
      <formula>"欠"</formula>
    </cfRule>
  </conditionalFormatting>
  <conditionalFormatting sqref="AH1226">
    <cfRule type="cellIs" dxfId="0" priority="1125" operator="equal">
      <formula>"未完成"</formula>
    </cfRule>
  </conditionalFormatting>
  <conditionalFormatting sqref="AK1226">
    <cfRule type="cellIs" dxfId="1" priority="1179" operator="equal">
      <formula>"未完成"</formula>
    </cfRule>
    <cfRule type="cellIs" dxfId="0" priority="1197" operator="equal">
      <formula>"未完成"</formula>
    </cfRule>
  </conditionalFormatting>
  <conditionalFormatting sqref="V1227">
    <cfRule type="cellIs" dxfId="0" priority="1142" operator="equal">
      <formula>"欠"</formula>
    </cfRule>
  </conditionalFormatting>
  <conditionalFormatting sqref="AH1227">
    <cfRule type="cellIs" dxfId="0" priority="1124" operator="equal">
      <formula>"未完成"</formula>
    </cfRule>
  </conditionalFormatting>
  <conditionalFormatting sqref="AK1227">
    <cfRule type="cellIs" dxfId="1" priority="1178" operator="equal">
      <formula>"未完成"</formula>
    </cfRule>
    <cfRule type="cellIs" dxfId="0" priority="1196" operator="equal">
      <formula>"未完成"</formula>
    </cfRule>
  </conditionalFormatting>
  <conditionalFormatting sqref="V1228">
    <cfRule type="cellIs" dxfId="0" priority="1141" operator="equal">
      <formula>"欠"</formula>
    </cfRule>
  </conditionalFormatting>
  <conditionalFormatting sqref="AH1228">
    <cfRule type="cellIs" dxfId="0" priority="1123" operator="equal">
      <formula>"未完成"</formula>
    </cfRule>
  </conditionalFormatting>
  <conditionalFormatting sqref="AK1228">
    <cfRule type="cellIs" dxfId="1" priority="1177" operator="equal">
      <formula>"未完成"</formula>
    </cfRule>
    <cfRule type="cellIs" dxfId="0" priority="1195" operator="equal">
      <formula>"未完成"</formula>
    </cfRule>
  </conditionalFormatting>
  <conditionalFormatting sqref="V1229">
    <cfRule type="cellIs" dxfId="0" priority="1140" operator="equal">
      <formula>"欠"</formula>
    </cfRule>
  </conditionalFormatting>
  <conditionalFormatting sqref="AH1229">
    <cfRule type="cellIs" dxfId="0" priority="1122" operator="equal">
      <formula>"未完成"</formula>
    </cfRule>
  </conditionalFormatting>
  <conditionalFormatting sqref="AK1229">
    <cfRule type="cellIs" dxfId="1" priority="1176" operator="equal">
      <formula>"未完成"</formula>
    </cfRule>
    <cfRule type="cellIs" dxfId="0" priority="1194" operator="equal">
      <formula>"未完成"</formula>
    </cfRule>
  </conditionalFormatting>
  <conditionalFormatting sqref="V1230">
    <cfRule type="cellIs" dxfId="0" priority="1139" operator="equal">
      <formula>"欠"</formula>
    </cfRule>
  </conditionalFormatting>
  <conditionalFormatting sqref="AH1230">
    <cfRule type="cellIs" dxfId="0" priority="1121" operator="equal">
      <formula>"未完成"</formula>
    </cfRule>
  </conditionalFormatting>
  <conditionalFormatting sqref="AK1230">
    <cfRule type="cellIs" dxfId="1" priority="1175" operator="equal">
      <formula>"未完成"</formula>
    </cfRule>
    <cfRule type="cellIs" dxfId="0" priority="1193" operator="equal">
      <formula>"未完成"</formula>
    </cfRule>
  </conditionalFormatting>
  <conditionalFormatting sqref="V1231">
    <cfRule type="cellIs" dxfId="0" priority="1138" operator="equal">
      <formula>"欠"</formula>
    </cfRule>
  </conditionalFormatting>
  <conditionalFormatting sqref="AH1231">
    <cfRule type="cellIs" dxfId="0" priority="1120" operator="equal">
      <formula>"未完成"</formula>
    </cfRule>
  </conditionalFormatting>
  <conditionalFormatting sqref="AK1231">
    <cfRule type="cellIs" dxfId="1" priority="1174" operator="equal">
      <formula>"未完成"</formula>
    </cfRule>
    <cfRule type="cellIs" dxfId="0" priority="1192" operator="equal">
      <formula>"未完成"</formula>
    </cfRule>
  </conditionalFormatting>
  <conditionalFormatting sqref="V1232">
    <cfRule type="cellIs" dxfId="0" priority="1137" operator="equal">
      <formula>"欠"</formula>
    </cfRule>
  </conditionalFormatting>
  <conditionalFormatting sqref="AH1232">
    <cfRule type="cellIs" dxfId="0" priority="1119" operator="equal">
      <formula>"未完成"</formula>
    </cfRule>
  </conditionalFormatting>
  <conditionalFormatting sqref="AK1232">
    <cfRule type="cellIs" dxfId="1" priority="1173" operator="equal">
      <formula>"未完成"</formula>
    </cfRule>
    <cfRule type="cellIs" dxfId="0" priority="1191" operator="equal">
      <formula>"未完成"</formula>
    </cfRule>
  </conditionalFormatting>
  <conditionalFormatting sqref="V1233">
    <cfRule type="cellIs" dxfId="0" priority="1136" operator="equal">
      <formula>"欠"</formula>
    </cfRule>
  </conditionalFormatting>
  <conditionalFormatting sqref="AH1233">
    <cfRule type="cellIs" dxfId="0" priority="1118" operator="equal">
      <formula>"未完成"</formula>
    </cfRule>
  </conditionalFormatting>
  <conditionalFormatting sqref="AK1233">
    <cfRule type="cellIs" dxfId="1" priority="1172" operator="equal">
      <formula>"未完成"</formula>
    </cfRule>
    <cfRule type="cellIs" dxfId="0" priority="1190" operator="equal">
      <formula>"未完成"</formula>
    </cfRule>
  </conditionalFormatting>
  <conditionalFormatting sqref="Q1234">
    <cfRule type="cellIs" dxfId="0" priority="268" operator="equal">
      <formula>"欠"</formula>
    </cfRule>
  </conditionalFormatting>
  <conditionalFormatting sqref="V1234">
    <cfRule type="cellIs" dxfId="0" priority="264" operator="equal">
      <formula>"欠"</formula>
    </cfRule>
  </conditionalFormatting>
  <conditionalFormatting sqref="AH1234">
    <cfRule type="cellIs" dxfId="0" priority="263" operator="equal">
      <formula>"未完成"</formula>
    </cfRule>
  </conditionalFormatting>
  <conditionalFormatting sqref="AK1234">
    <cfRule type="cellIs" dxfId="1" priority="266" operator="equal">
      <formula>"未完成"</formula>
    </cfRule>
    <cfRule type="cellIs" dxfId="0" priority="267" operator="equal">
      <formula>"未完成"</formula>
    </cfRule>
  </conditionalFormatting>
  <conditionalFormatting sqref="AL1234">
    <cfRule type="cellIs" dxfId="0" priority="265" operator="equal">
      <formula>"欠"</formula>
    </cfRule>
  </conditionalFormatting>
  <conditionalFormatting sqref="Q1235">
    <cfRule type="cellIs" dxfId="0" priority="487" operator="equal">
      <formula>"欠"</formula>
    </cfRule>
  </conditionalFormatting>
  <conditionalFormatting sqref="R1235">
    <cfRule type="containsText" dxfId="0" priority="488" operator="between" text="欠">
      <formula>NOT(ISERROR(SEARCH("欠",R1235)))</formula>
    </cfRule>
    <cfRule type="cellIs" dxfId="0" priority="490" operator="equal">
      <formula>"欠"</formula>
    </cfRule>
  </conditionalFormatting>
  <conditionalFormatting sqref="S1235">
    <cfRule type="cellIs" dxfId="0" priority="493" operator="equal">
      <formula>"欠"</formula>
    </cfRule>
  </conditionalFormatting>
  <conditionalFormatting sqref="T1235:U1235">
    <cfRule type="containsText" dxfId="0" priority="489" operator="between" text="欠">
      <formula>NOT(ISERROR(SEARCH("欠",T1235)))</formula>
    </cfRule>
    <cfRule type="containsText" dxfId="2" priority="491" operator="between" text="欠">
      <formula>NOT(ISERROR(SEARCH("欠",T1235)))</formula>
    </cfRule>
    <cfRule type="cellIs" dxfId="0" priority="492" operator="equal">
      <formula>"欠"</formula>
    </cfRule>
  </conditionalFormatting>
  <conditionalFormatting sqref="V1235">
    <cfRule type="cellIs" dxfId="0" priority="483" operator="equal">
      <formula>"欠"</formula>
    </cfRule>
  </conditionalFormatting>
  <conditionalFormatting sqref="AH1235">
    <cfRule type="cellIs" dxfId="0" priority="482" operator="equal">
      <formula>"未完成"</formula>
    </cfRule>
  </conditionalFormatting>
  <conditionalFormatting sqref="AK1235">
    <cfRule type="cellIs" dxfId="1" priority="485" operator="equal">
      <formula>"未完成"</formula>
    </cfRule>
    <cfRule type="cellIs" dxfId="0" priority="486" operator="equal">
      <formula>"未完成"</formula>
    </cfRule>
  </conditionalFormatting>
  <conditionalFormatting sqref="AL1235">
    <cfRule type="cellIs" dxfId="0" priority="484" operator="equal">
      <formula>"欠"</formula>
    </cfRule>
  </conditionalFormatting>
  <conditionalFormatting sqref="Q1237">
    <cfRule type="cellIs" dxfId="0" priority="2993" operator="equal">
      <formula>"欠"</formula>
    </cfRule>
  </conditionalFormatting>
  <conditionalFormatting sqref="R1237">
    <cfRule type="containsText" dxfId="0" priority="2995" operator="between" text="欠">
      <formula>NOT(ISERROR(SEARCH("欠",R1237)))</formula>
    </cfRule>
    <cfRule type="cellIs" dxfId="0" priority="3001" operator="equal">
      <formula>"欠"</formula>
    </cfRule>
  </conditionalFormatting>
  <conditionalFormatting sqref="S1237">
    <cfRule type="cellIs" dxfId="0" priority="3009" operator="equal">
      <formula>"欠"</formula>
    </cfRule>
  </conditionalFormatting>
  <conditionalFormatting sqref="T1237:U1237">
    <cfRule type="containsText" dxfId="0" priority="2997" operator="between" text="欠">
      <formula>NOT(ISERROR(SEARCH("欠",T1237)))</formula>
    </cfRule>
    <cfRule type="containsText" dxfId="2" priority="3005" operator="between" text="欠">
      <formula>NOT(ISERROR(SEARCH("欠",T1237)))</formula>
    </cfRule>
    <cfRule type="cellIs" dxfId="0" priority="3007" operator="equal">
      <formula>"欠"</formula>
    </cfRule>
  </conditionalFormatting>
  <conditionalFormatting sqref="V1237">
    <cfRule type="cellIs" dxfId="0" priority="2985" operator="equal">
      <formula>"欠"</formula>
    </cfRule>
  </conditionalFormatting>
  <conditionalFormatting sqref="AH1237">
    <cfRule type="cellIs" dxfId="0" priority="2983" operator="equal">
      <formula>"未完成"</formula>
    </cfRule>
  </conditionalFormatting>
  <conditionalFormatting sqref="AK1237">
    <cfRule type="cellIs" dxfId="1" priority="2989" operator="equal">
      <formula>"未完成"</formula>
    </cfRule>
    <cfRule type="cellIs" dxfId="0" priority="2991" operator="equal">
      <formula>"未完成"</formula>
    </cfRule>
  </conditionalFormatting>
  <conditionalFormatting sqref="AL1237">
    <cfRule type="cellIs" dxfId="0" priority="2987" operator="equal">
      <formula>"欠"</formula>
    </cfRule>
  </conditionalFormatting>
  <conditionalFormatting sqref="Q1238">
    <cfRule type="cellIs" dxfId="0" priority="413" operator="equal">
      <formula>"欠"</formula>
    </cfRule>
  </conditionalFormatting>
  <conditionalFormatting sqref="V1238">
    <cfRule type="cellIs" dxfId="0" priority="409" operator="equal">
      <formula>"欠"</formula>
    </cfRule>
  </conditionalFormatting>
  <conditionalFormatting sqref="AH1238">
    <cfRule type="cellIs" dxfId="0" priority="408" operator="equal">
      <formula>"未完成"</formula>
    </cfRule>
  </conditionalFormatting>
  <conditionalFormatting sqref="AK1238">
    <cfRule type="cellIs" dxfId="1" priority="411" operator="equal">
      <formula>"未完成"</formula>
    </cfRule>
    <cfRule type="cellIs" dxfId="0" priority="412" operator="equal">
      <formula>"未完成"</formula>
    </cfRule>
  </conditionalFormatting>
  <conditionalFormatting sqref="AL1238">
    <cfRule type="cellIs" dxfId="0" priority="410" operator="equal">
      <formula>"欠"</formula>
    </cfRule>
  </conditionalFormatting>
  <conditionalFormatting sqref="Q1241">
    <cfRule type="cellIs" dxfId="0" priority="1456" operator="equal">
      <formula>"欠"</formula>
    </cfRule>
  </conditionalFormatting>
  <conditionalFormatting sqref="V1241">
    <cfRule type="cellIs" dxfId="0" priority="1404" operator="equal">
      <formula>"欠"</formula>
    </cfRule>
  </conditionalFormatting>
  <conditionalFormatting sqref="AH1241">
    <cfRule type="cellIs" dxfId="0" priority="1391" operator="equal">
      <formula>"未完成"</formula>
    </cfRule>
  </conditionalFormatting>
  <conditionalFormatting sqref="AK1241">
    <cfRule type="cellIs" dxfId="1" priority="1430" operator="equal">
      <formula>"未完成"</formula>
    </cfRule>
    <cfRule type="cellIs" dxfId="0" priority="1443" operator="equal">
      <formula>"未完成"</formula>
    </cfRule>
  </conditionalFormatting>
  <conditionalFormatting sqref="AL1241">
    <cfRule type="cellIs" dxfId="0" priority="1417" operator="equal">
      <formula>"欠"</formula>
    </cfRule>
  </conditionalFormatting>
  <conditionalFormatting sqref="Q1242">
    <cfRule type="cellIs" dxfId="0" priority="1220" operator="equal">
      <formula>"欠"</formula>
    </cfRule>
  </conditionalFormatting>
  <conditionalFormatting sqref="V1242">
    <cfRule type="cellIs" dxfId="0" priority="1148" operator="equal">
      <formula>"欠"</formula>
    </cfRule>
  </conditionalFormatting>
  <conditionalFormatting sqref="AH1242">
    <cfRule type="cellIs" dxfId="0" priority="1130" operator="equal">
      <formula>"未完成"</formula>
    </cfRule>
  </conditionalFormatting>
  <conditionalFormatting sqref="AK1242">
    <cfRule type="cellIs" dxfId="1" priority="1184" operator="equal">
      <formula>"未完成"</formula>
    </cfRule>
    <cfRule type="cellIs" dxfId="0" priority="1202" operator="equal">
      <formula>"未完成"</formula>
    </cfRule>
  </conditionalFormatting>
  <conditionalFormatting sqref="AL1242">
    <cfRule type="cellIs" dxfId="0" priority="1166" operator="equal">
      <formula>"欠"</formula>
    </cfRule>
  </conditionalFormatting>
  <conditionalFormatting sqref="Q1250">
    <cfRule type="cellIs" dxfId="0" priority="2559" operator="equal">
      <formula>"欠"</formula>
    </cfRule>
  </conditionalFormatting>
  <conditionalFormatting sqref="R1250">
    <cfRule type="containsText" dxfId="0" priority="2560" operator="between" text="欠">
      <formula>NOT(ISERROR(SEARCH("欠",R1250)))</formula>
    </cfRule>
    <cfRule type="cellIs" dxfId="0" priority="2562" operator="equal">
      <formula>"欠"</formula>
    </cfRule>
  </conditionalFormatting>
  <conditionalFormatting sqref="S1250">
    <cfRule type="cellIs" dxfId="0" priority="2565" operator="equal">
      <formula>"欠"</formula>
    </cfRule>
  </conditionalFormatting>
  <conditionalFormatting sqref="T1250:U1250">
    <cfRule type="containsText" dxfId="0" priority="2561" operator="between" text="欠">
      <formula>NOT(ISERROR(SEARCH("欠",T1250)))</formula>
    </cfRule>
    <cfRule type="containsText" dxfId="2" priority="2563" operator="between" text="欠">
      <formula>NOT(ISERROR(SEARCH("欠",T1250)))</formula>
    </cfRule>
    <cfRule type="cellIs" dxfId="0" priority="2564" operator="equal">
      <formula>"欠"</formula>
    </cfRule>
  </conditionalFormatting>
  <conditionalFormatting sqref="V1250">
    <cfRule type="cellIs" dxfId="0" priority="2555" operator="equal">
      <formula>"欠"</formula>
    </cfRule>
  </conditionalFormatting>
  <conditionalFormatting sqref="AH1250">
    <cfRule type="cellIs" dxfId="0" priority="2554" operator="equal">
      <formula>"未完成"</formula>
    </cfRule>
  </conditionalFormatting>
  <conditionalFormatting sqref="AK1250">
    <cfRule type="cellIs" dxfId="1" priority="2557" operator="equal">
      <formula>"未完成"</formula>
    </cfRule>
    <cfRule type="cellIs" dxfId="0" priority="2558" operator="equal">
      <formula>"未完成"</formula>
    </cfRule>
  </conditionalFormatting>
  <conditionalFormatting sqref="AL1250">
    <cfRule type="cellIs" dxfId="0" priority="2556" operator="equal">
      <formula>"欠"</formula>
    </cfRule>
  </conditionalFormatting>
  <conditionalFormatting sqref="Q1251">
    <cfRule type="cellIs" dxfId="0" priority="1450" operator="equal">
      <formula>"欠"</formula>
    </cfRule>
  </conditionalFormatting>
  <conditionalFormatting sqref="R1251">
    <cfRule type="containsText" dxfId="0" priority="1011" operator="between" text="欠">
      <formula>NOT(ISERROR(SEARCH("欠",R1251)))</formula>
    </cfRule>
    <cfRule type="cellIs" dxfId="0" priority="1013" operator="equal">
      <formula>"欠"</formula>
    </cfRule>
  </conditionalFormatting>
  <conditionalFormatting sqref="S1251">
    <cfRule type="cellIs" dxfId="0" priority="1014" operator="equal">
      <formula>"欠"</formula>
    </cfRule>
  </conditionalFormatting>
  <conditionalFormatting sqref="T1251:U1251">
    <cfRule type="containsText" dxfId="0" priority="1476" operator="between" text="欠">
      <formula>NOT(ISERROR(SEARCH("欠",T1251)))</formula>
    </cfRule>
    <cfRule type="containsText" dxfId="2" priority="1528" operator="between" text="欠">
      <formula>NOT(ISERROR(SEARCH("欠",T1251)))</formula>
    </cfRule>
    <cfRule type="cellIs" dxfId="0" priority="1541" operator="equal">
      <formula>"欠"</formula>
    </cfRule>
  </conditionalFormatting>
  <conditionalFormatting sqref="V1251">
    <cfRule type="cellIs" dxfId="0" priority="1398" operator="equal">
      <formula>"欠"</formula>
    </cfRule>
  </conditionalFormatting>
  <conditionalFormatting sqref="AH1251">
    <cfRule type="cellIs" dxfId="0" priority="1385" operator="equal">
      <formula>"未完成"</formula>
    </cfRule>
  </conditionalFormatting>
  <conditionalFormatting sqref="AK1251">
    <cfRule type="cellIs" dxfId="1" priority="1424" operator="equal">
      <formula>"未完成"</formula>
    </cfRule>
    <cfRule type="cellIs" dxfId="0" priority="1437" operator="equal">
      <formula>"未完成"</formula>
    </cfRule>
  </conditionalFormatting>
  <conditionalFormatting sqref="AL1251">
    <cfRule type="cellIs" dxfId="0" priority="1411" operator="equal">
      <formula>"欠"</formula>
    </cfRule>
  </conditionalFormatting>
  <conditionalFormatting sqref="Q1252">
    <cfRule type="cellIs" dxfId="0" priority="1446" operator="equal">
      <formula>"欠"</formula>
    </cfRule>
  </conditionalFormatting>
  <conditionalFormatting sqref="V1252">
    <cfRule type="cellIs" dxfId="0" priority="1394" operator="equal">
      <formula>"欠"</formula>
    </cfRule>
  </conditionalFormatting>
  <conditionalFormatting sqref="AH1252">
    <cfRule type="cellIs" dxfId="0" priority="1381" operator="equal">
      <formula>"未完成"</formula>
    </cfRule>
  </conditionalFormatting>
  <conditionalFormatting sqref="AK1252">
    <cfRule type="cellIs" dxfId="1" priority="1420" operator="equal">
      <formula>"未完成"</formula>
    </cfRule>
    <cfRule type="cellIs" dxfId="0" priority="1433" operator="equal">
      <formula>"未完成"</formula>
    </cfRule>
  </conditionalFormatting>
  <conditionalFormatting sqref="Q1253">
    <cfRule type="cellIs" dxfId="0" priority="3350" operator="equal">
      <formula>"欠"</formula>
    </cfRule>
  </conditionalFormatting>
  <conditionalFormatting sqref="R1253">
    <cfRule type="containsText" dxfId="0" priority="513" operator="between" text="欠">
      <formula>NOT(ISERROR(SEARCH("欠",R1253)))</formula>
    </cfRule>
    <cfRule type="cellIs" dxfId="0" priority="514" operator="equal">
      <formula>"欠"</formula>
    </cfRule>
  </conditionalFormatting>
  <conditionalFormatting sqref="T1253:U1253">
    <cfRule type="containsText" dxfId="0" priority="3362" operator="between" text="欠">
      <formula>NOT(ISERROR(SEARCH("欠",T1253)))</formula>
    </cfRule>
    <cfRule type="containsText" dxfId="2" priority="3386" operator="between" text="欠">
      <formula>NOT(ISERROR(SEARCH("欠",T1253)))</formula>
    </cfRule>
    <cfRule type="cellIs" dxfId="0" priority="3392" operator="equal">
      <formula>"欠"</formula>
    </cfRule>
  </conditionalFormatting>
  <conditionalFormatting sqref="V1253">
    <cfRule type="cellIs" dxfId="0" priority="3326" operator="equal">
      <formula>"欠"</formula>
    </cfRule>
  </conditionalFormatting>
  <conditionalFormatting sqref="AH1253">
    <cfRule type="cellIs" dxfId="0" priority="3320" operator="equal">
      <formula>"未完成"</formula>
    </cfRule>
  </conditionalFormatting>
  <conditionalFormatting sqref="AK1253">
    <cfRule type="cellIs" dxfId="1" priority="3338" operator="equal">
      <formula>"未完成"</formula>
    </cfRule>
    <cfRule type="cellIs" dxfId="0" priority="3344" operator="equal">
      <formula>"未完成"</formula>
    </cfRule>
  </conditionalFormatting>
  <conditionalFormatting sqref="AL1253">
    <cfRule type="cellIs" dxfId="0" priority="3332" operator="equal">
      <formula>"欠"</formula>
    </cfRule>
  </conditionalFormatting>
  <conditionalFormatting sqref="V1254">
    <cfRule type="cellIs" dxfId="0" priority="1401" operator="equal">
      <formula>"欠"</formula>
    </cfRule>
  </conditionalFormatting>
  <conditionalFormatting sqref="AH1254">
    <cfRule type="cellIs" dxfId="0" priority="1388" operator="equal">
      <formula>"未完成"</formula>
    </cfRule>
  </conditionalFormatting>
  <conditionalFormatting sqref="AK1254">
    <cfRule type="cellIs" dxfId="1" priority="1427" operator="equal">
      <formula>"未完成"</formula>
    </cfRule>
    <cfRule type="cellIs" dxfId="0" priority="1440" operator="equal">
      <formula>"未完成"</formula>
    </cfRule>
  </conditionalFormatting>
  <conditionalFormatting sqref="AL1254">
    <cfRule type="cellIs" dxfId="0" priority="1414" operator="equal">
      <formula>"欠"</formula>
    </cfRule>
  </conditionalFormatting>
  <conditionalFormatting sqref="V1255">
    <cfRule type="cellIs" dxfId="0" priority="1400" operator="equal">
      <formula>"欠"</formula>
    </cfRule>
  </conditionalFormatting>
  <conditionalFormatting sqref="AH1255">
    <cfRule type="cellIs" dxfId="0" priority="1387" operator="equal">
      <formula>"未完成"</formula>
    </cfRule>
  </conditionalFormatting>
  <conditionalFormatting sqref="AK1255">
    <cfRule type="cellIs" dxfId="1" priority="1426" operator="equal">
      <formula>"未完成"</formula>
    </cfRule>
    <cfRule type="cellIs" dxfId="0" priority="1439" operator="equal">
      <formula>"未完成"</formula>
    </cfRule>
  </conditionalFormatting>
  <conditionalFormatting sqref="AL1255">
    <cfRule type="cellIs" dxfId="0" priority="1413" operator="equal">
      <formula>"欠"</formula>
    </cfRule>
  </conditionalFormatting>
  <conditionalFormatting sqref="Q1256">
    <cfRule type="cellIs" dxfId="0" priority="4327" operator="equal">
      <formula>"欠"</formula>
    </cfRule>
  </conditionalFormatting>
  <conditionalFormatting sqref="R1256">
    <cfRule type="containsText" dxfId="0" priority="4322" operator="between" text="欠">
      <formula>NOT(ISERROR(SEARCH("欠",R1256)))</formula>
    </cfRule>
    <cfRule type="cellIs" dxfId="0" priority="4323" operator="equal">
      <formula>"欠"</formula>
    </cfRule>
  </conditionalFormatting>
  <conditionalFormatting sqref="T1256:U1256">
    <cfRule type="containsText" dxfId="0" priority="4319" operator="between" text="欠">
      <formula>NOT(ISERROR(SEARCH("欠",T1256)))</formula>
    </cfRule>
    <cfRule type="cellIs" dxfId="0" priority="4320" operator="equal">
      <formula>"欠"</formula>
    </cfRule>
  </conditionalFormatting>
  <conditionalFormatting sqref="AK1256">
    <cfRule type="cellIs" dxfId="1" priority="4325" operator="equal">
      <formula>"未完成"</formula>
    </cfRule>
    <cfRule type="cellIs" dxfId="0" priority="4326" operator="equal">
      <formula>"未完成"</formula>
    </cfRule>
  </conditionalFormatting>
  <conditionalFormatting sqref="AL1256">
    <cfRule type="cellIs" dxfId="0" priority="4324" operator="equal">
      <formula>"欠"</formula>
    </cfRule>
  </conditionalFormatting>
  <conditionalFormatting sqref="Q1258">
    <cfRule type="cellIs" dxfId="0" priority="88" operator="equal">
      <formula>"欠"</formula>
    </cfRule>
  </conditionalFormatting>
  <conditionalFormatting sqref="R1258">
    <cfRule type="containsText" dxfId="0" priority="89" operator="between" text="欠">
      <formula>NOT(ISERROR(SEARCH("欠",R1258)))</formula>
    </cfRule>
    <cfRule type="cellIs" dxfId="0" priority="92" operator="equal">
      <formula>"欠"</formula>
    </cfRule>
  </conditionalFormatting>
  <conditionalFormatting sqref="S1258">
    <cfRule type="cellIs" dxfId="0" priority="96" operator="equal">
      <formula>"欠"</formula>
    </cfRule>
  </conditionalFormatting>
  <conditionalFormatting sqref="T1258:U1258">
    <cfRule type="containsText" dxfId="0" priority="90" operator="between" text="欠">
      <formula>NOT(ISERROR(SEARCH("欠",T1258)))</formula>
    </cfRule>
    <cfRule type="containsText" dxfId="2" priority="94" operator="between" text="欠">
      <formula>NOT(ISERROR(SEARCH("欠",T1258)))</formula>
    </cfRule>
    <cfRule type="cellIs" dxfId="0" priority="95" operator="equal">
      <formula>"欠"</formula>
    </cfRule>
  </conditionalFormatting>
  <conditionalFormatting sqref="V1258">
    <cfRule type="cellIs" dxfId="0" priority="84" operator="equal">
      <formula>"欠"</formula>
    </cfRule>
  </conditionalFormatting>
  <conditionalFormatting sqref="AH1258">
    <cfRule type="cellIs" dxfId="0" priority="83" operator="equal">
      <formula>"未完成"</formula>
    </cfRule>
  </conditionalFormatting>
  <conditionalFormatting sqref="AK1258">
    <cfRule type="cellIs" dxfId="1" priority="86" operator="equal">
      <formula>"未完成"</formula>
    </cfRule>
    <cfRule type="cellIs" dxfId="0" priority="87" operator="equal">
      <formula>"未完成"</formula>
    </cfRule>
  </conditionalFormatting>
  <conditionalFormatting sqref="AL1258">
    <cfRule type="cellIs" dxfId="0" priority="85" operator="equal">
      <formula>"欠"</formula>
    </cfRule>
  </conditionalFormatting>
  <conditionalFormatting sqref="Q1261">
    <cfRule type="cellIs" dxfId="0" priority="1444" operator="equal">
      <formula>"欠"</formula>
    </cfRule>
  </conditionalFormatting>
  <conditionalFormatting sqref="V1261">
    <cfRule type="cellIs" dxfId="0" priority="1392" operator="equal">
      <formula>"欠"</formula>
    </cfRule>
  </conditionalFormatting>
  <conditionalFormatting sqref="AH1261">
    <cfRule type="cellIs" dxfId="0" priority="1379" operator="equal">
      <formula>"未完成"</formula>
    </cfRule>
  </conditionalFormatting>
  <conditionalFormatting sqref="AK1261">
    <cfRule type="cellIs" dxfId="1" priority="1418" operator="equal">
      <formula>"未完成"</formula>
    </cfRule>
    <cfRule type="cellIs" dxfId="0" priority="1431" operator="equal">
      <formula>"未完成"</formula>
    </cfRule>
  </conditionalFormatting>
  <conditionalFormatting sqref="Q1265">
    <cfRule type="cellIs" dxfId="0" priority="1448" operator="equal">
      <formula>"欠"</formula>
    </cfRule>
  </conditionalFormatting>
  <conditionalFormatting sqref="V1265">
    <cfRule type="cellIs" dxfId="0" priority="1396" operator="equal">
      <formula>"欠"</formula>
    </cfRule>
  </conditionalFormatting>
  <conditionalFormatting sqref="AH1265">
    <cfRule type="cellIs" dxfId="0" priority="1383" operator="equal">
      <formula>"未完成"</formula>
    </cfRule>
  </conditionalFormatting>
  <conditionalFormatting sqref="AK1265">
    <cfRule type="cellIs" dxfId="1" priority="1422" operator="equal">
      <formula>"未完成"</formula>
    </cfRule>
    <cfRule type="cellIs" dxfId="0" priority="1435" operator="equal">
      <formula>"未完成"</formula>
    </cfRule>
  </conditionalFormatting>
  <conditionalFormatting sqref="Q1266">
    <cfRule type="cellIs" dxfId="0" priority="143" operator="equal">
      <formula>"欠"</formula>
    </cfRule>
  </conditionalFormatting>
  <conditionalFormatting sqref="V1266">
    <cfRule type="cellIs" dxfId="0" priority="127" operator="equal">
      <formula>"欠"</formula>
    </cfRule>
  </conditionalFormatting>
  <conditionalFormatting sqref="AH1266">
    <cfRule type="cellIs" dxfId="0" priority="123" operator="equal">
      <formula>"未完成"</formula>
    </cfRule>
  </conditionalFormatting>
  <conditionalFormatting sqref="AK1266">
    <cfRule type="cellIs" dxfId="1" priority="135" operator="equal">
      <formula>"未完成"</formula>
    </cfRule>
    <cfRule type="cellIs" dxfId="0" priority="139" operator="equal">
      <formula>"未完成"</formula>
    </cfRule>
  </conditionalFormatting>
  <conditionalFormatting sqref="Q1267">
    <cfRule type="cellIs" dxfId="0" priority="1445" operator="equal">
      <formula>"欠"</formula>
    </cfRule>
  </conditionalFormatting>
  <conditionalFormatting sqref="V1267">
    <cfRule type="cellIs" dxfId="0" priority="1393" operator="equal">
      <formula>"欠"</formula>
    </cfRule>
  </conditionalFormatting>
  <conditionalFormatting sqref="AH1267">
    <cfRule type="cellIs" dxfId="0" priority="1380" operator="equal">
      <formula>"未完成"</formula>
    </cfRule>
  </conditionalFormatting>
  <conditionalFormatting sqref="AK1267">
    <cfRule type="cellIs" dxfId="1" priority="1419" operator="equal">
      <formula>"未完成"</formula>
    </cfRule>
    <cfRule type="cellIs" dxfId="0" priority="1432" operator="equal">
      <formula>"未完成"</formula>
    </cfRule>
  </conditionalFormatting>
  <conditionalFormatting sqref="R1268">
    <cfRule type="containsText" dxfId="0" priority="52" operator="between" text="欠">
      <formula>NOT(ISERROR(SEARCH("欠",R1268)))</formula>
    </cfRule>
    <cfRule type="cellIs" dxfId="0" priority="53" operator="equal">
      <formula>"欠"</formula>
    </cfRule>
  </conditionalFormatting>
  <conditionalFormatting sqref="Q1269">
    <cfRule type="cellIs" dxfId="0" priority="832" operator="equal">
      <formula>"欠"</formula>
    </cfRule>
  </conditionalFormatting>
  <conditionalFormatting sqref="V1269">
    <cfRule type="cellIs" dxfId="0" priority="784" operator="equal">
      <formula>"欠"</formula>
    </cfRule>
  </conditionalFormatting>
  <conditionalFormatting sqref="AH1269">
    <cfRule type="cellIs" dxfId="0" priority="772" operator="equal">
      <formula>"未完成"</formula>
    </cfRule>
  </conditionalFormatting>
  <conditionalFormatting sqref="AK1269">
    <cfRule type="cellIs" dxfId="1" priority="808" operator="equal">
      <formula>"未完成"</formula>
    </cfRule>
    <cfRule type="cellIs" dxfId="0" priority="820" operator="equal">
      <formula>"未完成"</formula>
    </cfRule>
  </conditionalFormatting>
  <conditionalFormatting sqref="AL1269">
    <cfRule type="cellIs" dxfId="0" priority="796" operator="equal">
      <formula>"欠"</formula>
    </cfRule>
  </conditionalFormatting>
  <conditionalFormatting sqref="Q1273">
    <cfRule type="cellIs" dxfId="0" priority="831" operator="equal">
      <formula>"欠"</formula>
    </cfRule>
  </conditionalFormatting>
  <conditionalFormatting sqref="V1273">
    <cfRule type="cellIs" dxfId="0" priority="783" operator="equal">
      <formula>"欠"</formula>
    </cfRule>
  </conditionalFormatting>
  <conditionalFormatting sqref="AH1273">
    <cfRule type="cellIs" dxfId="0" priority="771" operator="equal">
      <formula>"未完成"</formula>
    </cfRule>
  </conditionalFormatting>
  <conditionalFormatting sqref="AK1273">
    <cfRule type="cellIs" dxfId="1" priority="807" operator="equal">
      <formula>"未完成"</formula>
    </cfRule>
    <cfRule type="cellIs" dxfId="0" priority="819" operator="equal">
      <formula>"未完成"</formula>
    </cfRule>
  </conditionalFormatting>
  <conditionalFormatting sqref="AL1273">
    <cfRule type="cellIs" dxfId="0" priority="795" operator="equal">
      <formula>"欠"</formula>
    </cfRule>
  </conditionalFormatting>
  <conditionalFormatting sqref="Q1276">
    <cfRule type="cellIs" dxfId="0" priority="830" operator="equal">
      <formula>"欠"</formula>
    </cfRule>
  </conditionalFormatting>
  <conditionalFormatting sqref="V1276">
    <cfRule type="cellIs" dxfId="0" priority="782" operator="equal">
      <formula>"欠"</formula>
    </cfRule>
  </conditionalFormatting>
  <conditionalFormatting sqref="AH1276">
    <cfRule type="cellIs" dxfId="0" priority="770" operator="equal">
      <formula>"未完成"</formula>
    </cfRule>
  </conditionalFormatting>
  <conditionalFormatting sqref="AK1276">
    <cfRule type="cellIs" dxfId="1" priority="806" operator="equal">
      <formula>"未完成"</formula>
    </cfRule>
    <cfRule type="cellIs" dxfId="0" priority="818" operator="equal">
      <formula>"未完成"</formula>
    </cfRule>
  </conditionalFormatting>
  <conditionalFormatting sqref="AL1276">
    <cfRule type="cellIs" dxfId="0" priority="794" operator="equal">
      <formula>"欠"</formula>
    </cfRule>
  </conditionalFormatting>
  <conditionalFormatting sqref="Q1277">
    <cfRule type="cellIs" dxfId="0" priority="240" operator="equal">
      <formula>"欠"</formula>
    </cfRule>
  </conditionalFormatting>
  <conditionalFormatting sqref="R1277">
    <cfRule type="containsText" dxfId="0" priority="241" operator="between" text="欠">
      <formula>NOT(ISERROR(SEARCH("欠",R1277)))</formula>
    </cfRule>
    <cfRule type="cellIs" dxfId="0" priority="244" operator="equal">
      <formula>"欠"</formula>
    </cfRule>
  </conditionalFormatting>
  <conditionalFormatting sqref="S1277">
    <cfRule type="cellIs" dxfId="0" priority="248" operator="equal">
      <formula>"欠"</formula>
    </cfRule>
  </conditionalFormatting>
  <conditionalFormatting sqref="V1277">
    <cfRule type="cellIs" dxfId="0" priority="236" operator="equal">
      <formula>"欠"</formula>
    </cfRule>
  </conditionalFormatting>
  <conditionalFormatting sqref="AH1277">
    <cfRule type="cellIs" dxfId="0" priority="235" operator="equal">
      <formula>"未完成"</formula>
    </cfRule>
  </conditionalFormatting>
  <conditionalFormatting sqref="AK1277">
    <cfRule type="cellIs" dxfId="1" priority="238" operator="equal">
      <formula>"未完成"</formula>
    </cfRule>
    <cfRule type="cellIs" dxfId="0" priority="239" operator="equal">
      <formula>"未完成"</formula>
    </cfRule>
  </conditionalFormatting>
  <conditionalFormatting sqref="AL1277">
    <cfRule type="cellIs" dxfId="0" priority="237" operator="equal">
      <formula>"欠"</formula>
    </cfRule>
  </conditionalFormatting>
  <conditionalFormatting sqref="Q1279">
    <cfRule type="cellIs" dxfId="0" priority="536" operator="equal">
      <formula>"欠"</formula>
    </cfRule>
  </conditionalFormatting>
  <conditionalFormatting sqref="T1279:U1279">
    <cfRule type="containsText" dxfId="0" priority="528" operator="between" text="欠">
      <formula>NOT(ISERROR(SEARCH("欠",T1279)))</formula>
    </cfRule>
    <cfRule type="cellIs" dxfId="0" priority="529" operator="equal">
      <formula>"欠"</formula>
    </cfRule>
  </conditionalFormatting>
  <conditionalFormatting sqref="V1279">
    <cfRule type="containsText" dxfId="0" priority="530" operator="between" text="欠">
      <formula>NOT(ISERROR(SEARCH("欠",V1279)))</formula>
    </cfRule>
    <cfRule type="cellIs" dxfId="0" priority="531" operator="equal">
      <formula>"欠"</formula>
    </cfRule>
  </conditionalFormatting>
  <conditionalFormatting sqref="AH1279">
    <cfRule type="cellIs" dxfId="0" priority="532" operator="equal">
      <formula>"未完成"</formula>
    </cfRule>
  </conditionalFormatting>
  <conditionalFormatting sqref="AK1279">
    <cfRule type="cellIs" dxfId="1" priority="534" operator="equal">
      <formula>"未完成"</formula>
    </cfRule>
    <cfRule type="cellIs" dxfId="0" priority="535" operator="equal">
      <formula>"未完成"</formula>
    </cfRule>
  </conditionalFormatting>
  <conditionalFormatting sqref="AL1279">
    <cfRule type="cellIs" dxfId="0" priority="533" operator="equal">
      <formula>"欠"</formula>
    </cfRule>
  </conditionalFormatting>
  <conditionalFormatting sqref="Q1280">
    <cfRule type="cellIs" dxfId="0" priority="1449" operator="equal">
      <formula>"欠"</formula>
    </cfRule>
  </conditionalFormatting>
  <conditionalFormatting sqref="R1280">
    <cfRule type="containsText" dxfId="0" priority="1462" operator="between" text="欠">
      <formula>NOT(ISERROR(SEARCH("欠",R1280)))</formula>
    </cfRule>
    <cfRule type="cellIs" dxfId="0" priority="1501" operator="equal">
      <formula>"欠"</formula>
    </cfRule>
  </conditionalFormatting>
  <conditionalFormatting sqref="S1280">
    <cfRule type="cellIs" dxfId="0" priority="1553" operator="equal">
      <formula>"欠"</formula>
    </cfRule>
  </conditionalFormatting>
  <conditionalFormatting sqref="T1280:U1280">
    <cfRule type="containsText" dxfId="0" priority="1475" operator="between" text="欠">
      <formula>NOT(ISERROR(SEARCH("欠",T1280)))</formula>
    </cfRule>
    <cfRule type="containsText" dxfId="2" priority="1527" operator="between" text="欠">
      <formula>NOT(ISERROR(SEARCH("欠",T1280)))</formula>
    </cfRule>
    <cfRule type="cellIs" dxfId="0" priority="1540" operator="equal">
      <formula>"欠"</formula>
    </cfRule>
  </conditionalFormatting>
  <conditionalFormatting sqref="V1280">
    <cfRule type="cellIs" dxfId="0" priority="1397" operator="equal">
      <formula>"欠"</formula>
    </cfRule>
  </conditionalFormatting>
  <conditionalFormatting sqref="AH1280">
    <cfRule type="cellIs" dxfId="0" priority="1384" operator="equal">
      <formula>"未完成"</formula>
    </cfRule>
  </conditionalFormatting>
  <conditionalFormatting sqref="AK1280">
    <cfRule type="cellIs" dxfId="1" priority="1423" operator="equal">
      <formula>"未完成"</formula>
    </cfRule>
    <cfRule type="cellIs" dxfId="0" priority="1436" operator="equal">
      <formula>"未完成"</formula>
    </cfRule>
  </conditionalFormatting>
  <conditionalFormatting sqref="AL1280">
    <cfRule type="cellIs" dxfId="0" priority="1410" operator="equal">
      <formula>"欠"</formula>
    </cfRule>
  </conditionalFormatting>
  <conditionalFormatting sqref="Q1281">
    <cfRule type="cellIs" dxfId="0" priority="828" operator="equal">
      <formula>"欠"</formula>
    </cfRule>
  </conditionalFormatting>
  <conditionalFormatting sqref="R1281">
    <cfRule type="containsText" dxfId="0" priority="840" operator="between" text="欠">
      <formula>NOT(ISERROR(SEARCH("欠",R1281)))</formula>
    </cfRule>
    <cfRule type="cellIs" dxfId="0" priority="876" operator="equal">
      <formula>"欠"</formula>
    </cfRule>
  </conditionalFormatting>
  <conditionalFormatting sqref="T1281:U1281">
    <cfRule type="containsText" dxfId="0" priority="852" operator="between" text="欠">
      <formula>NOT(ISERROR(SEARCH("欠",T1281)))</formula>
    </cfRule>
    <cfRule type="containsText" dxfId="2" priority="900" operator="between" text="欠">
      <formula>NOT(ISERROR(SEARCH("欠",T1281)))</formula>
    </cfRule>
    <cfRule type="cellIs" dxfId="0" priority="912" operator="equal">
      <formula>"欠"</formula>
    </cfRule>
  </conditionalFormatting>
  <conditionalFormatting sqref="V1281">
    <cfRule type="cellIs" dxfId="0" priority="780" operator="equal">
      <formula>"欠"</formula>
    </cfRule>
  </conditionalFormatting>
  <conditionalFormatting sqref="AH1281">
    <cfRule type="cellIs" dxfId="0" priority="768" operator="equal">
      <formula>"未完成"</formula>
    </cfRule>
  </conditionalFormatting>
  <conditionalFormatting sqref="AK1281">
    <cfRule type="cellIs" dxfId="1" priority="804" operator="equal">
      <formula>"未完成"</formula>
    </cfRule>
    <cfRule type="cellIs" dxfId="0" priority="816" operator="equal">
      <formula>"未完成"</formula>
    </cfRule>
  </conditionalFormatting>
  <conditionalFormatting sqref="AL1281">
    <cfRule type="cellIs" dxfId="0" priority="792" operator="equal">
      <formula>"欠"</formula>
    </cfRule>
  </conditionalFormatting>
  <conditionalFormatting sqref="Q1282">
    <cfRule type="cellIs" dxfId="0" priority="76" operator="equal">
      <formula>"欠"</formula>
    </cfRule>
  </conditionalFormatting>
  <conditionalFormatting sqref="R1282">
    <cfRule type="containsText" dxfId="0" priority="78" operator="between" text="欠">
      <formula>NOT(ISERROR(SEARCH("欠",R1282)))</formula>
    </cfRule>
    <cfRule type="cellIs" dxfId="0" priority="80" operator="equal">
      <formula>"欠"</formula>
    </cfRule>
  </conditionalFormatting>
  <conditionalFormatting sqref="S1282">
    <cfRule type="cellIs" dxfId="0" priority="82" operator="equal">
      <formula>"欠"</formula>
    </cfRule>
  </conditionalFormatting>
  <conditionalFormatting sqref="T1282:U1282">
    <cfRule type="containsText" dxfId="0" priority="60" operator="between" text="欠">
      <formula>NOT(ISERROR(SEARCH("欠",T1282)))</formula>
    </cfRule>
    <cfRule type="cellIs" dxfId="0" priority="62" operator="equal">
      <formula>"欠"</formula>
    </cfRule>
  </conditionalFormatting>
  <conditionalFormatting sqref="V1282">
    <cfRule type="containsText" dxfId="0" priority="64" operator="between" text="欠">
      <formula>NOT(ISERROR(SEARCH("欠",V1282)))</formula>
    </cfRule>
    <cfRule type="cellIs" dxfId="0" priority="66" operator="equal">
      <formula>"欠"</formula>
    </cfRule>
  </conditionalFormatting>
  <conditionalFormatting sqref="AH1282">
    <cfRule type="cellIs" dxfId="0" priority="68" operator="equal">
      <formula>"未完成"</formula>
    </cfRule>
  </conditionalFormatting>
  <conditionalFormatting sqref="AK1282">
    <cfRule type="cellIs" dxfId="1" priority="72" operator="equal">
      <formula>"未完成"</formula>
    </cfRule>
    <cfRule type="cellIs" dxfId="0" priority="74" operator="equal">
      <formula>"未完成"</formula>
    </cfRule>
  </conditionalFormatting>
  <conditionalFormatting sqref="AL1282">
    <cfRule type="cellIs" dxfId="0" priority="70" operator="equal">
      <formula>"欠"</formula>
    </cfRule>
  </conditionalFormatting>
  <conditionalFormatting sqref="Q1283">
    <cfRule type="cellIs" dxfId="0" priority="2643" operator="equal">
      <formula>"欠"</formula>
    </cfRule>
  </conditionalFormatting>
  <conditionalFormatting sqref="R1283">
    <cfRule type="containsText" dxfId="0" priority="2644" operator="between" text="欠">
      <formula>NOT(ISERROR(SEARCH("欠",R1283)))</formula>
    </cfRule>
    <cfRule type="cellIs" dxfId="0" priority="2646" operator="equal">
      <formula>"欠"</formula>
    </cfRule>
  </conditionalFormatting>
  <conditionalFormatting sqref="S1283">
    <cfRule type="cellIs" dxfId="0" priority="2649" operator="equal">
      <formula>"欠"</formula>
    </cfRule>
  </conditionalFormatting>
  <conditionalFormatting sqref="T1283:U1283">
    <cfRule type="containsText" dxfId="0" priority="2645" operator="between" text="欠">
      <formula>NOT(ISERROR(SEARCH("欠",T1283)))</formula>
    </cfRule>
    <cfRule type="containsText" dxfId="2" priority="2647" operator="between" text="欠">
      <formula>NOT(ISERROR(SEARCH("欠",T1283)))</formula>
    </cfRule>
    <cfRule type="cellIs" dxfId="0" priority="2648" operator="equal">
      <formula>"欠"</formula>
    </cfRule>
  </conditionalFormatting>
  <conditionalFormatting sqref="V1283">
    <cfRule type="cellIs" dxfId="0" priority="2639" operator="equal">
      <formula>"欠"</formula>
    </cfRule>
  </conditionalFormatting>
  <conditionalFormatting sqref="AH1283">
    <cfRule type="cellIs" dxfId="0" priority="2638" operator="equal">
      <formula>"未完成"</formula>
    </cfRule>
  </conditionalFormatting>
  <conditionalFormatting sqref="AK1283">
    <cfRule type="cellIs" dxfId="1" priority="2641" operator="equal">
      <formula>"未完成"</formula>
    </cfRule>
    <cfRule type="cellIs" dxfId="0" priority="2642" operator="equal">
      <formula>"未完成"</formula>
    </cfRule>
  </conditionalFormatting>
  <conditionalFormatting sqref="AL1283">
    <cfRule type="cellIs" dxfId="0" priority="2640" operator="equal">
      <formula>"欠"</formula>
    </cfRule>
  </conditionalFormatting>
  <conditionalFormatting sqref="Q1290">
    <cfRule type="cellIs" dxfId="0" priority="399" operator="equal">
      <formula>"欠"</formula>
    </cfRule>
  </conditionalFormatting>
  <conditionalFormatting sqref="V1290">
    <cfRule type="cellIs" dxfId="0" priority="395" operator="equal">
      <formula>"欠"</formula>
    </cfRule>
  </conditionalFormatting>
  <conditionalFormatting sqref="AH1290">
    <cfRule type="cellIs" dxfId="0" priority="394" operator="equal">
      <formula>"未完成"</formula>
    </cfRule>
  </conditionalFormatting>
  <conditionalFormatting sqref="Q1291">
    <cfRule type="cellIs" dxfId="0" priority="307" operator="equal">
      <formula>"欠"</formula>
    </cfRule>
  </conditionalFormatting>
  <conditionalFormatting sqref="R1291">
    <cfRule type="containsText" dxfId="0" priority="300" operator="between" text="欠">
      <formula>NOT(ISERROR(SEARCH("欠",R1291)))</formula>
    </cfRule>
    <cfRule type="cellIs" dxfId="0" priority="301" operator="equal">
      <formula>"欠"</formula>
    </cfRule>
  </conditionalFormatting>
  <conditionalFormatting sqref="S1291">
    <cfRule type="cellIs" dxfId="0" priority="311" operator="equal">
      <formula>"欠"</formula>
    </cfRule>
  </conditionalFormatting>
  <conditionalFormatting sqref="T1291:U1291">
    <cfRule type="containsText" dxfId="0" priority="308" operator="between" text="欠">
      <formula>NOT(ISERROR(SEARCH("欠",T1291)))</formula>
    </cfRule>
    <cfRule type="containsText" dxfId="2" priority="309" operator="between" text="欠">
      <formula>NOT(ISERROR(SEARCH("欠",T1291)))</formula>
    </cfRule>
    <cfRule type="cellIs" dxfId="0" priority="310" operator="equal">
      <formula>"欠"</formula>
    </cfRule>
  </conditionalFormatting>
  <conditionalFormatting sqref="V1291">
    <cfRule type="cellIs" dxfId="0" priority="303" operator="equal">
      <formula>"欠"</formula>
    </cfRule>
  </conditionalFormatting>
  <conditionalFormatting sqref="AH1291">
    <cfRule type="cellIs" dxfId="0" priority="302" operator="equal">
      <formula>"未完成"</formula>
    </cfRule>
  </conditionalFormatting>
  <conditionalFormatting sqref="AK1291">
    <cfRule type="cellIs" dxfId="1" priority="305" operator="equal">
      <formula>"未完成"</formula>
    </cfRule>
    <cfRule type="cellIs" dxfId="0" priority="306" operator="equal">
      <formula>"未完成"</formula>
    </cfRule>
  </conditionalFormatting>
  <conditionalFormatting sqref="AL1291">
    <cfRule type="cellIs" dxfId="0" priority="304" operator="equal">
      <formula>"欠"</formula>
    </cfRule>
  </conditionalFormatting>
  <conditionalFormatting sqref="Q1292">
    <cfRule type="cellIs" dxfId="0" priority="752" operator="equal">
      <formula>"欠"</formula>
    </cfRule>
  </conditionalFormatting>
  <conditionalFormatting sqref="T1292:U1292">
    <cfRule type="containsText" dxfId="0" priority="754" operator="between" text="欠">
      <formula>NOT(ISERROR(SEARCH("欠",T1292)))</formula>
    </cfRule>
    <cfRule type="containsText" dxfId="2" priority="758" operator="between" text="欠">
      <formula>NOT(ISERROR(SEARCH("欠",T1292)))</formula>
    </cfRule>
    <cfRule type="cellIs" dxfId="0" priority="759" operator="equal">
      <formula>"欠"</formula>
    </cfRule>
  </conditionalFormatting>
  <conditionalFormatting sqref="V1292">
    <cfRule type="cellIs" dxfId="0" priority="748" operator="equal">
      <formula>"欠"</formula>
    </cfRule>
  </conditionalFormatting>
  <conditionalFormatting sqref="AH1292">
    <cfRule type="cellIs" dxfId="0" priority="747" operator="equal">
      <formula>"未完成"</formula>
    </cfRule>
  </conditionalFormatting>
  <conditionalFormatting sqref="AK1292">
    <cfRule type="cellIs" dxfId="1" priority="750" operator="equal">
      <formula>"未完成"</formula>
    </cfRule>
    <cfRule type="cellIs" dxfId="0" priority="751" operator="equal">
      <formula>"未完成"</formula>
    </cfRule>
  </conditionalFormatting>
  <conditionalFormatting sqref="AL1292">
    <cfRule type="cellIs" dxfId="0" priority="749" operator="equal">
      <formula>"欠"</formula>
    </cfRule>
  </conditionalFormatting>
  <conditionalFormatting sqref="Q1295">
    <cfRule type="cellIs" dxfId="0" priority="1954" operator="equal">
      <formula>"欠"</formula>
    </cfRule>
  </conditionalFormatting>
  <conditionalFormatting sqref="R1295">
    <cfRule type="containsText" dxfId="0" priority="1735" operator="between" text="欠">
      <formula>NOT(ISERROR(SEARCH("欠",R1295)))</formula>
    </cfRule>
    <cfRule type="cellIs" dxfId="0" priority="1737" operator="equal">
      <formula>"欠"</formula>
    </cfRule>
  </conditionalFormatting>
  <conditionalFormatting sqref="S1295">
    <cfRule type="cellIs" dxfId="0" priority="1738" operator="equal">
      <formula>"欠"</formula>
    </cfRule>
  </conditionalFormatting>
  <conditionalFormatting sqref="T1295:U1295">
    <cfRule type="containsText" dxfId="0" priority="1958" operator="between" text="欠">
      <formula>NOT(ISERROR(SEARCH("欠",T1295)))</formula>
    </cfRule>
    <cfRule type="containsText" dxfId="2" priority="1962" operator="between" text="欠">
      <formula>NOT(ISERROR(SEARCH("欠",T1295)))</formula>
    </cfRule>
    <cfRule type="cellIs" dxfId="0" priority="1964" operator="equal">
      <formula>"欠"</formula>
    </cfRule>
  </conditionalFormatting>
  <conditionalFormatting sqref="V1295">
    <cfRule type="cellIs" dxfId="0" priority="1946" operator="equal">
      <formula>"欠"</formula>
    </cfRule>
  </conditionalFormatting>
  <conditionalFormatting sqref="AH1295">
    <cfRule type="cellIs" dxfId="0" priority="1944" operator="equal">
      <formula>"未完成"</formula>
    </cfRule>
  </conditionalFormatting>
  <conditionalFormatting sqref="AK1295">
    <cfRule type="cellIs" dxfId="1" priority="1950" operator="equal">
      <formula>"未完成"</formula>
    </cfRule>
    <cfRule type="cellIs" dxfId="0" priority="1952" operator="equal">
      <formula>"未完成"</formula>
    </cfRule>
  </conditionalFormatting>
  <conditionalFormatting sqref="AL1295">
    <cfRule type="cellIs" dxfId="0" priority="1948" operator="equal">
      <formula>"欠"</formula>
    </cfRule>
  </conditionalFormatting>
  <conditionalFormatting sqref="Q1296">
    <cfRule type="cellIs" dxfId="0" priority="363" operator="equal">
      <formula>"欠"</formula>
    </cfRule>
  </conditionalFormatting>
  <conditionalFormatting sqref="AK1296">
    <cfRule type="cellIs" dxfId="1" priority="361" operator="equal">
      <formula>"未完成"</formula>
    </cfRule>
    <cfRule type="cellIs" dxfId="0" priority="362" operator="equal">
      <formula>"未完成"</formula>
    </cfRule>
  </conditionalFormatting>
  <conditionalFormatting sqref="AL1296">
    <cfRule type="cellIs" dxfId="0" priority="360" operator="equal">
      <formula>"欠"</formula>
    </cfRule>
  </conditionalFormatting>
  <conditionalFormatting sqref="AK1297">
    <cfRule type="cellIs" dxfId="1" priority="339" operator="equal">
      <formula>"未完成"</formula>
    </cfRule>
    <cfRule type="cellIs" dxfId="0" priority="343" operator="equal">
      <formula>"未完成"</formula>
    </cfRule>
  </conditionalFormatting>
  <conditionalFormatting sqref="AL1297">
    <cfRule type="cellIs" dxfId="0" priority="335" operator="equal">
      <formula>"欠"</formula>
    </cfRule>
  </conditionalFormatting>
  <conditionalFormatting sqref="AK1298">
    <cfRule type="cellIs" dxfId="1" priority="338" operator="equal">
      <formula>"未完成"</formula>
    </cfRule>
    <cfRule type="cellIs" dxfId="0" priority="342" operator="equal">
      <formula>"未完成"</formula>
    </cfRule>
  </conditionalFormatting>
  <conditionalFormatting sqref="AL1298">
    <cfRule type="cellIs" dxfId="0" priority="334" operator="equal">
      <formula>"欠"</formula>
    </cfRule>
  </conditionalFormatting>
  <conditionalFormatting sqref="Q1312">
    <cfRule type="cellIs" dxfId="0" priority="1844" operator="equal">
      <formula>"欠"</formula>
    </cfRule>
  </conditionalFormatting>
  <conditionalFormatting sqref="T1312:U1312">
    <cfRule type="containsText" dxfId="0" priority="1866" operator="between" text="欠">
      <formula>NOT(ISERROR(SEARCH("欠",T1312)))</formula>
    </cfRule>
    <cfRule type="containsText" dxfId="2" priority="1910" operator="between" text="欠">
      <formula>NOT(ISERROR(SEARCH("欠",T1312)))</formula>
    </cfRule>
    <cfRule type="cellIs" dxfId="0" priority="1921" operator="equal">
      <formula>"欠"</formula>
    </cfRule>
  </conditionalFormatting>
  <conditionalFormatting sqref="V1312">
    <cfRule type="cellIs" dxfId="0" priority="1800" operator="equal">
      <formula>"欠"</formula>
    </cfRule>
  </conditionalFormatting>
  <conditionalFormatting sqref="AH1312">
    <cfRule type="cellIs" dxfId="0" priority="1789" operator="equal">
      <formula>"未完成"</formula>
    </cfRule>
  </conditionalFormatting>
  <conditionalFormatting sqref="AK1312">
    <cfRule type="cellIs" dxfId="1" priority="1822" operator="equal">
      <formula>"未完成"</formula>
    </cfRule>
    <cfRule type="cellIs" dxfId="0" priority="1833" operator="equal">
      <formula>"未完成"</formula>
    </cfRule>
  </conditionalFormatting>
  <conditionalFormatting sqref="AL1312">
    <cfRule type="cellIs" dxfId="0" priority="1811" operator="equal">
      <formula>"欠"</formula>
    </cfRule>
  </conditionalFormatting>
  <conditionalFormatting sqref="Q1313">
    <cfRule type="cellIs" dxfId="0" priority="114" operator="equal">
      <formula>"欠"</formula>
    </cfRule>
  </conditionalFormatting>
  <conditionalFormatting sqref="R1313">
    <cfRule type="containsText" dxfId="0" priority="115" operator="between" text="欠">
      <formula>NOT(ISERROR(SEARCH("欠",R1313)))</formula>
    </cfRule>
    <cfRule type="cellIs" dxfId="0" priority="117" operator="equal">
      <formula>"欠"</formula>
    </cfRule>
  </conditionalFormatting>
  <conditionalFormatting sqref="T1313:U1313">
    <cfRule type="containsText" dxfId="0" priority="118" operator="between" text="欠">
      <formula>NOT(ISERROR(SEARCH("欠",T1313)))</formula>
    </cfRule>
    <cfRule type="containsText" dxfId="2" priority="120" operator="between" text="欠">
      <formula>NOT(ISERROR(SEARCH("欠",T1313)))</formula>
    </cfRule>
    <cfRule type="cellIs" dxfId="0" priority="122" operator="equal">
      <formula>"欠"</formula>
    </cfRule>
  </conditionalFormatting>
  <conditionalFormatting sqref="V1313">
    <cfRule type="cellIs" dxfId="0" priority="110" operator="equal">
      <formula>"欠"</formula>
    </cfRule>
  </conditionalFormatting>
  <conditionalFormatting sqref="AH1313">
    <cfRule type="cellIs" dxfId="0" priority="109" operator="equal">
      <formula>"未完成"</formula>
    </cfRule>
  </conditionalFormatting>
  <conditionalFormatting sqref="AK1313">
    <cfRule type="cellIs" dxfId="1" priority="112" operator="equal">
      <formula>"未完成"</formula>
    </cfRule>
    <cfRule type="cellIs" dxfId="0" priority="113" operator="equal">
      <formula>"未完成"</formula>
    </cfRule>
  </conditionalFormatting>
  <conditionalFormatting sqref="AL1313">
    <cfRule type="cellIs" dxfId="0" priority="111" operator="equal">
      <formula>"欠"</formula>
    </cfRule>
  </conditionalFormatting>
  <conditionalFormatting sqref="Q1314">
    <cfRule type="cellIs" dxfId="0" priority="829" operator="equal">
      <formula>"欠"</formula>
    </cfRule>
  </conditionalFormatting>
  <conditionalFormatting sqref="V1314">
    <cfRule type="cellIs" dxfId="0" priority="781" operator="equal">
      <formula>"欠"</formula>
    </cfRule>
  </conditionalFormatting>
  <conditionalFormatting sqref="AH1314">
    <cfRule type="cellIs" dxfId="0" priority="769" operator="equal">
      <formula>"未完成"</formula>
    </cfRule>
  </conditionalFormatting>
  <conditionalFormatting sqref="AK1314">
    <cfRule type="cellIs" dxfId="1" priority="805" operator="equal">
      <formula>"未完成"</formula>
    </cfRule>
    <cfRule type="cellIs" dxfId="0" priority="817" operator="equal">
      <formula>"未完成"</formula>
    </cfRule>
  </conditionalFormatting>
  <conditionalFormatting sqref="AL1314">
    <cfRule type="cellIs" dxfId="0" priority="793" operator="equal">
      <formula>"欠"</formula>
    </cfRule>
  </conditionalFormatting>
  <conditionalFormatting sqref="Q1324">
    <cfRule type="cellIs" dxfId="0" priority="1845" operator="equal">
      <formula>"欠"</formula>
    </cfRule>
  </conditionalFormatting>
  <conditionalFormatting sqref="T1324:U1324">
    <cfRule type="containsText" dxfId="0" priority="1867" operator="between" text="欠">
      <formula>NOT(ISERROR(SEARCH("欠",T1324)))</formula>
    </cfRule>
    <cfRule type="containsText" dxfId="2" priority="1911" operator="between" text="欠">
      <formula>NOT(ISERROR(SEARCH("欠",T1324)))</formula>
    </cfRule>
    <cfRule type="cellIs" dxfId="0" priority="1922" operator="equal">
      <formula>"欠"</formula>
    </cfRule>
  </conditionalFormatting>
  <conditionalFormatting sqref="V1324">
    <cfRule type="cellIs" dxfId="0" priority="1801" operator="equal">
      <formula>"欠"</formula>
    </cfRule>
  </conditionalFormatting>
  <conditionalFormatting sqref="AH1324">
    <cfRule type="cellIs" dxfId="0" priority="1790" operator="equal">
      <formula>"未完成"</formula>
    </cfRule>
  </conditionalFormatting>
  <conditionalFormatting sqref="AK1324">
    <cfRule type="cellIs" dxfId="1" priority="1823" operator="equal">
      <formula>"未完成"</formula>
    </cfRule>
    <cfRule type="cellIs" dxfId="0" priority="1834" operator="equal">
      <formula>"未完成"</formula>
    </cfRule>
  </conditionalFormatting>
  <conditionalFormatting sqref="AL1324">
    <cfRule type="cellIs" dxfId="0" priority="1812" operator="equal">
      <formula>"欠"</formula>
    </cfRule>
  </conditionalFormatting>
  <conditionalFormatting sqref="Q1327">
    <cfRule type="cellIs" dxfId="0" priority="939" operator="equal">
      <formula>"欠"</formula>
    </cfRule>
  </conditionalFormatting>
  <conditionalFormatting sqref="R1327">
    <cfRule type="containsText" dxfId="0" priority="929" operator="between" text="欠">
      <formula>NOT(ISERROR(SEARCH("欠",R1327)))</formula>
    </cfRule>
    <cfRule type="cellIs" dxfId="0" priority="931" operator="equal">
      <formula>"欠"</formula>
    </cfRule>
  </conditionalFormatting>
  <conditionalFormatting sqref="T1327:U1327">
    <cfRule type="containsText" dxfId="0" priority="933" operator="between" text="欠">
      <formula>NOT(ISERROR(SEARCH("欠",T1327)))</formula>
    </cfRule>
    <cfRule type="cellIs" dxfId="0" priority="934" operator="equal">
      <formula>"欠"</formula>
    </cfRule>
  </conditionalFormatting>
  <conditionalFormatting sqref="V1327">
    <cfRule type="cellIs" dxfId="0" priority="935" operator="equal">
      <formula>"欠"</formula>
    </cfRule>
  </conditionalFormatting>
  <conditionalFormatting sqref="AK1327">
    <cfRule type="cellIs" dxfId="1" priority="937" operator="equal">
      <formula>"未完成"</formula>
    </cfRule>
    <cfRule type="cellIs" dxfId="0" priority="938" operator="equal">
      <formula>"未完成"</formula>
    </cfRule>
  </conditionalFormatting>
  <conditionalFormatting sqref="AL1327">
    <cfRule type="cellIs" dxfId="0" priority="936" operator="equal">
      <formula>"欠"</formula>
    </cfRule>
  </conditionalFormatting>
  <conditionalFormatting sqref="Q1332">
    <cfRule type="cellIs" dxfId="0" priority="984" operator="equal">
      <formula>"欠"</formula>
    </cfRule>
  </conditionalFormatting>
  <conditionalFormatting sqref="R1332">
    <cfRule type="containsText" dxfId="0" priority="987" operator="between" text="欠">
      <formula>NOT(ISERROR(SEARCH("欠",R1332)))</formula>
    </cfRule>
    <cfRule type="cellIs" dxfId="0" priority="996" operator="equal">
      <formula>"欠"</formula>
    </cfRule>
  </conditionalFormatting>
  <conditionalFormatting sqref="T1332:U1332">
    <cfRule type="containsText" dxfId="0" priority="990" operator="between" text="欠">
      <formula>NOT(ISERROR(SEARCH("欠",T1332)))</formula>
    </cfRule>
    <cfRule type="containsText" dxfId="2" priority="1002" operator="between" text="欠">
      <formula>NOT(ISERROR(SEARCH("欠",T1332)))</formula>
    </cfRule>
    <cfRule type="cellIs" dxfId="0" priority="1005" operator="equal">
      <formula>"欠"</formula>
    </cfRule>
  </conditionalFormatting>
  <conditionalFormatting sqref="V1332">
    <cfRule type="cellIs" dxfId="0" priority="972" operator="equal">
      <formula>"欠"</formula>
    </cfRule>
  </conditionalFormatting>
  <conditionalFormatting sqref="AH1332">
    <cfRule type="cellIs" dxfId="0" priority="969" operator="equal">
      <formula>"未完成"</formula>
    </cfRule>
  </conditionalFormatting>
  <conditionalFormatting sqref="AK1332">
    <cfRule type="cellIs" dxfId="1" priority="978" operator="equal">
      <formula>"未完成"</formula>
    </cfRule>
    <cfRule type="cellIs" dxfId="0" priority="981" operator="equal">
      <formula>"未完成"</formula>
    </cfRule>
  </conditionalFormatting>
  <conditionalFormatting sqref="AL1332">
    <cfRule type="cellIs" dxfId="0" priority="975" operator="equal">
      <formula>"欠"</formula>
    </cfRule>
  </conditionalFormatting>
  <conditionalFormatting sqref="Q1333">
    <cfRule type="cellIs" dxfId="0" priority="38" operator="equal">
      <formula>"欠"</formula>
    </cfRule>
  </conditionalFormatting>
  <conditionalFormatting sqref="R1333">
    <cfRule type="containsText" dxfId="3" priority="23" operator="between" text="欠">
      <formula>NOT(ISERROR(SEARCH("欠",R1333)))</formula>
    </cfRule>
    <cfRule type="containsText" dxfId="0" priority="28" operator="between" text="欠">
      <formula>NOT(ISERROR(SEARCH("欠",R1333)))</formula>
    </cfRule>
    <cfRule type="cellIs" dxfId="0" priority="29" operator="equal">
      <formula>"欠"</formula>
    </cfRule>
  </conditionalFormatting>
  <conditionalFormatting sqref="V1333">
    <cfRule type="cellIs" dxfId="0" priority="34" operator="equal">
      <formula>"欠"</formula>
    </cfRule>
  </conditionalFormatting>
  <conditionalFormatting sqref="W1333">
    <cfRule type="containsText" dxfId="3" priority="24" operator="between" text="欠">
      <formula>NOT(ISERROR(SEARCH("欠",W1333)))</formula>
    </cfRule>
    <cfRule type="containsText" dxfId="3" priority="25" operator="between" text="未安排">
      <formula>NOT(ISERROR(SEARCH("未安排",W1333)))</formula>
    </cfRule>
    <cfRule type="cellIs" dxfId="3" priority="26" operator="equal">
      <formula>"否"</formula>
    </cfRule>
  </conditionalFormatting>
  <conditionalFormatting sqref="AB1333">
    <cfRule type="containsText" dxfId="3" priority="21" operator="between" text="欠">
      <formula>NOT(ISERROR(SEARCH("欠",AB1333)))</formula>
    </cfRule>
    <cfRule type="containsText" dxfId="3" priority="27" operator="between" text="否">
      <formula>NOT(ISERROR(SEARCH("否",AB1333)))</formula>
    </cfRule>
  </conditionalFormatting>
  <conditionalFormatting sqref="AI1333">
    <cfRule type="cellIs" dxfId="0" priority="33" operator="equal">
      <formula>"未完成"</formula>
    </cfRule>
  </conditionalFormatting>
  <conditionalFormatting sqref="AJ1333">
    <cfRule type="cellIs" dxfId="0" priority="39" operator="equal">
      <formula>"未完成"</formula>
    </cfRule>
  </conditionalFormatting>
  <conditionalFormatting sqref="AL1333">
    <cfRule type="cellIs" dxfId="1" priority="36" operator="equal">
      <formula>"未完成"</formula>
    </cfRule>
    <cfRule type="cellIs" dxfId="0" priority="37" operator="equal">
      <formula>"未完成"</formula>
    </cfRule>
  </conditionalFormatting>
  <conditionalFormatting sqref="AM1333">
    <cfRule type="cellIs" dxfId="0" priority="35" operator="equal">
      <formula>"欠"</formula>
    </cfRule>
  </conditionalFormatting>
  <conditionalFormatting sqref="Q1336">
    <cfRule type="cellIs" dxfId="0" priority="75" operator="equal">
      <formula>"欠"</formula>
    </cfRule>
  </conditionalFormatting>
  <conditionalFormatting sqref="R1336">
    <cfRule type="containsText" dxfId="0" priority="54" operator="between" text="欠">
      <formula>NOT(ISERROR(SEARCH("欠",R1336)))</formula>
    </cfRule>
    <cfRule type="cellIs" dxfId="0" priority="55" operator="equal">
      <formula>"欠"</formula>
    </cfRule>
  </conditionalFormatting>
  <conditionalFormatting sqref="S1336">
    <cfRule type="cellIs" dxfId="0" priority="57" operator="equal">
      <formula>"欠"</formula>
    </cfRule>
  </conditionalFormatting>
  <conditionalFormatting sqref="T1336:U1336">
    <cfRule type="containsText" dxfId="0" priority="56" operator="between" text="欠">
      <formula>NOT(ISERROR(SEARCH("欠",T1336)))</formula>
    </cfRule>
    <cfRule type="cellIs" dxfId="0" priority="58" operator="equal">
      <formula>"欠"</formula>
    </cfRule>
  </conditionalFormatting>
  <conditionalFormatting sqref="V1336">
    <cfRule type="containsText" dxfId="0" priority="63" operator="between" text="欠">
      <formula>NOT(ISERROR(SEARCH("欠",V1336)))</formula>
    </cfRule>
    <cfRule type="cellIs" dxfId="0" priority="65" operator="equal">
      <formula>"欠"</formula>
    </cfRule>
  </conditionalFormatting>
  <conditionalFormatting sqref="AH1336">
    <cfRule type="cellIs" dxfId="0" priority="67" operator="equal">
      <formula>"未完成"</formula>
    </cfRule>
  </conditionalFormatting>
  <conditionalFormatting sqref="AK1336">
    <cfRule type="cellIs" dxfId="1" priority="71" operator="equal">
      <formula>"未完成"</formula>
    </cfRule>
    <cfRule type="cellIs" dxfId="0" priority="73" operator="equal">
      <formula>"未完成"</formula>
    </cfRule>
  </conditionalFormatting>
  <conditionalFormatting sqref="AL1336">
    <cfRule type="cellIs" dxfId="0" priority="69" operator="equal">
      <formula>"欠"</formula>
    </cfRule>
  </conditionalFormatting>
  <conditionalFormatting sqref="Q1337">
    <cfRule type="cellIs" dxfId="0" priority="1057" operator="equal">
      <formula>"欠"</formula>
    </cfRule>
  </conditionalFormatting>
  <conditionalFormatting sqref="V1337">
    <cfRule type="cellIs" dxfId="0" priority="1037" operator="equal">
      <formula>"欠"</formula>
    </cfRule>
  </conditionalFormatting>
  <conditionalFormatting sqref="AH1337">
    <cfRule type="cellIs" dxfId="0" priority="1032" operator="equal">
      <formula>"未完成"</formula>
    </cfRule>
  </conditionalFormatting>
  <conditionalFormatting sqref="AK1337">
    <cfRule type="cellIs" dxfId="1" priority="1047" operator="equal">
      <formula>"未完成"</formula>
    </cfRule>
    <cfRule type="cellIs" dxfId="0" priority="1052" operator="equal">
      <formula>"未完成"</formula>
    </cfRule>
  </conditionalFormatting>
  <conditionalFormatting sqref="AL1337">
    <cfRule type="cellIs" dxfId="0" priority="1042" operator="equal">
      <formula>"欠"</formula>
    </cfRule>
  </conditionalFormatting>
  <conditionalFormatting sqref="Q1339">
    <cfRule type="cellIs" dxfId="0" priority="226" operator="equal">
      <formula>"欠"</formula>
    </cfRule>
  </conditionalFormatting>
  <conditionalFormatting sqref="R1339">
    <cfRule type="containsText" dxfId="0" priority="227" operator="between" text="欠">
      <formula>NOT(ISERROR(SEARCH("欠",R1339)))</formula>
    </cfRule>
    <cfRule type="cellIs" dxfId="0" priority="230" operator="equal">
      <formula>"欠"</formula>
    </cfRule>
  </conditionalFormatting>
  <conditionalFormatting sqref="V1339">
    <cfRule type="cellIs" dxfId="0" priority="222" operator="equal">
      <formula>"欠"</formula>
    </cfRule>
  </conditionalFormatting>
  <conditionalFormatting sqref="AH1339">
    <cfRule type="cellIs" dxfId="0" priority="221" operator="equal">
      <formula>"未完成"</formula>
    </cfRule>
  </conditionalFormatting>
  <conditionalFormatting sqref="AK1339">
    <cfRule type="cellIs" dxfId="1" priority="224" operator="equal">
      <formula>"未完成"</formula>
    </cfRule>
    <cfRule type="cellIs" dxfId="0" priority="225" operator="equal">
      <formula>"未完成"</formula>
    </cfRule>
  </conditionalFormatting>
  <conditionalFormatting sqref="AL1339">
    <cfRule type="cellIs" dxfId="0" priority="223" operator="equal">
      <formula>"欠"</formula>
    </cfRule>
  </conditionalFormatting>
  <conditionalFormatting sqref="Q1352">
    <cfRule type="cellIs" dxfId="0" priority="348" operator="equal">
      <formula>"欠"</formula>
    </cfRule>
  </conditionalFormatting>
  <conditionalFormatting sqref="AK1352">
    <cfRule type="cellIs" dxfId="1" priority="340" operator="equal">
      <formula>"未完成"</formula>
    </cfRule>
    <cfRule type="cellIs" dxfId="0" priority="344" operator="equal">
      <formula>"未完成"</formula>
    </cfRule>
  </conditionalFormatting>
  <conditionalFormatting sqref="AL1352">
    <cfRule type="cellIs" dxfId="0" priority="336" operator="equal">
      <formula>"欠"</formula>
    </cfRule>
  </conditionalFormatting>
  <conditionalFormatting sqref="Q1353">
    <cfRule type="cellIs" dxfId="0" priority="345" operator="equal">
      <formula>"欠"</formula>
    </cfRule>
  </conditionalFormatting>
  <conditionalFormatting sqref="AK1353">
    <cfRule type="cellIs" dxfId="1" priority="337" operator="equal">
      <formula>"未完成"</formula>
    </cfRule>
    <cfRule type="cellIs" dxfId="0" priority="341" operator="equal">
      <formula>"未完成"</formula>
    </cfRule>
  </conditionalFormatting>
  <conditionalFormatting sqref="AL1353">
    <cfRule type="cellIs" dxfId="0" priority="333" operator="equal">
      <formula>"欠"</formula>
    </cfRule>
  </conditionalFormatting>
  <conditionalFormatting sqref="Q1354">
    <cfRule type="cellIs" dxfId="0" priority="318" operator="equal">
      <formula>"欠"</formula>
    </cfRule>
  </conditionalFormatting>
  <conditionalFormatting sqref="AK1354">
    <cfRule type="cellIs" dxfId="1" priority="316" operator="equal">
      <formula>"未完成"</formula>
    </cfRule>
    <cfRule type="cellIs" dxfId="0" priority="317" operator="equal">
      <formula>"未完成"</formula>
    </cfRule>
  </conditionalFormatting>
  <conditionalFormatting sqref="AL1354">
    <cfRule type="cellIs" dxfId="0" priority="315" operator="equal">
      <formula>"欠"</formula>
    </cfRule>
  </conditionalFormatting>
  <conditionalFormatting sqref="Q1356">
    <cfRule type="cellIs" dxfId="0" priority="1850" operator="equal">
      <formula>"欠"</formula>
    </cfRule>
  </conditionalFormatting>
  <conditionalFormatting sqref="R1356">
    <cfRule type="containsText" dxfId="0" priority="1731" operator="between" text="欠">
      <formula>NOT(ISERROR(SEARCH("欠",R1356)))</formula>
    </cfRule>
    <cfRule type="cellIs" dxfId="0" priority="1733" operator="equal">
      <formula>"欠"</formula>
    </cfRule>
  </conditionalFormatting>
  <conditionalFormatting sqref="S1356">
    <cfRule type="cellIs" dxfId="0" priority="1734" operator="equal">
      <formula>"欠"</formula>
    </cfRule>
  </conditionalFormatting>
  <conditionalFormatting sqref="T1356:U1356">
    <cfRule type="containsText" dxfId="0" priority="1872" operator="between" text="欠">
      <formula>NOT(ISERROR(SEARCH("欠",T1356)))</formula>
    </cfRule>
    <cfRule type="containsText" dxfId="2" priority="1916" operator="between" text="欠">
      <formula>NOT(ISERROR(SEARCH("欠",T1356)))</formula>
    </cfRule>
    <cfRule type="cellIs" dxfId="0" priority="1927" operator="equal">
      <formula>"欠"</formula>
    </cfRule>
  </conditionalFormatting>
  <conditionalFormatting sqref="V1356">
    <cfRule type="cellIs" dxfId="0" priority="1806" operator="equal">
      <formula>"欠"</formula>
    </cfRule>
  </conditionalFormatting>
  <conditionalFormatting sqref="AH1356">
    <cfRule type="cellIs" dxfId="0" priority="1795" operator="equal">
      <formula>"未完成"</formula>
    </cfRule>
  </conditionalFormatting>
  <conditionalFormatting sqref="AK1356">
    <cfRule type="cellIs" dxfId="1" priority="1828" operator="equal">
      <formula>"未完成"</formula>
    </cfRule>
    <cfRule type="cellIs" dxfId="0" priority="1839" operator="equal">
      <formula>"未完成"</formula>
    </cfRule>
  </conditionalFormatting>
  <conditionalFormatting sqref="AL1356">
    <cfRule type="cellIs" dxfId="0" priority="1817" operator="equal">
      <formula>"欠"</formula>
    </cfRule>
  </conditionalFormatting>
  <conditionalFormatting sqref="Q1360">
    <cfRule type="cellIs" dxfId="0" priority="212" operator="equal">
      <formula>"欠"</formula>
    </cfRule>
  </conditionalFormatting>
  <conditionalFormatting sqref="V1360">
    <cfRule type="cellIs" dxfId="0" priority="208" operator="equal">
      <formula>"欠"</formula>
    </cfRule>
  </conditionalFormatting>
  <conditionalFormatting sqref="AH1360">
    <cfRule type="cellIs" dxfId="0" priority="207" operator="equal">
      <formula>"未完成"</formula>
    </cfRule>
  </conditionalFormatting>
  <conditionalFormatting sqref="AK1360">
    <cfRule type="cellIs" dxfId="1" priority="210" operator="equal">
      <formula>"未完成"</formula>
    </cfRule>
    <cfRule type="cellIs" dxfId="0" priority="211" operator="equal">
      <formula>"未完成"</formula>
    </cfRule>
  </conditionalFormatting>
  <conditionalFormatting sqref="AL1360">
    <cfRule type="cellIs" dxfId="0" priority="209" operator="equal">
      <formula>"欠"</formula>
    </cfRule>
  </conditionalFormatting>
  <conditionalFormatting sqref="Q1361">
    <cfRule type="cellIs" dxfId="0" priority="146" operator="equal">
      <formula>"欠"</formula>
    </cfRule>
  </conditionalFormatting>
  <conditionalFormatting sqref="V1361">
    <cfRule type="cellIs" dxfId="0" priority="130" operator="equal">
      <formula>"欠"</formula>
    </cfRule>
  </conditionalFormatting>
  <conditionalFormatting sqref="AH1361">
    <cfRule type="cellIs" dxfId="0" priority="126" operator="equal">
      <formula>"未完成"</formula>
    </cfRule>
  </conditionalFormatting>
  <conditionalFormatting sqref="AK1361">
    <cfRule type="cellIs" dxfId="1" priority="138" operator="equal">
      <formula>"未完成"</formula>
    </cfRule>
    <cfRule type="cellIs" dxfId="0" priority="142" operator="equal">
      <formula>"未完成"</formula>
    </cfRule>
  </conditionalFormatting>
  <conditionalFormatting sqref="Q1362">
    <cfRule type="cellIs" dxfId="0" priority="144" operator="equal">
      <formula>"欠"</formula>
    </cfRule>
  </conditionalFormatting>
  <conditionalFormatting sqref="V1362">
    <cfRule type="cellIs" dxfId="0" priority="128" operator="equal">
      <formula>"欠"</formula>
    </cfRule>
  </conditionalFormatting>
  <conditionalFormatting sqref="AH1362">
    <cfRule type="cellIs" dxfId="0" priority="124" operator="equal">
      <formula>"未完成"</formula>
    </cfRule>
  </conditionalFormatting>
  <conditionalFormatting sqref="AK1362">
    <cfRule type="cellIs" dxfId="1" priority="136" operator="equal">
      <formula>"未完成"</formula>
    </cfRule>
    <cfRule type="cellIs" dxfId="0" priority="140" operator="equal">
      <formula>"未完成"</formula>
    </cfRule>
  </conditionalFormatting>
  <conditionalFormatting sqref="Q1367">
    <cfRule type="cellIs" dxfId="0" priority="145" operator="equal">
      <formula>"欠"</formula>
    </cfRule>
  </conditionalFormatting>
  <conditionalFormatting sqref="V1367">
    <cfRule type="cellIs" dxfId="0" priority="129" operator="equal">
      <formula>"欠"</formula>
    </cfRule>
  </conditionalFormatting>
  <conditionalFormatting sqref="AH1367">
    <cfRule type="cellIs" dxfId="0" priority="125" operator="equal">
      <formula>"未完成"</formula>
    </cfRule>
  </conditionalFormatting>
  <conditionalFormatting sqref="AK1367">
    <cfRule type="cellIs" dxfId="1" priority="137" operator="equal">
      <formula>"未完成"</formula>
    </cfRule>
    <cfRule type="cellIs" dxfId="0" priority="141" operator="equal">
      <formula>"未完成"</formula>
    </cfRule>
  </conditionalFormatting>
  <conditionalFormatting sqref="Q1369">
    <cfRule type="cellIs" dxfId="0" priority="3349" operator="equal">
      <formula>"欠"</formula>
    </cfRule>
  </conditionalFormatting>
  <conditionalFormatting sqref="S1369">
    <cfRule type="cellIs" dxfId="0" priority="3397" operator="equal">
      <formula>"欠"</formula>
    </cfRule>
  </conditionalFormatting>
  <conditionalFormatting sqref="T1369:U1369">
    <cfRule type="containsText" dxfId="0" priority="3361" operator="between" text="欠">
      <formula>NOT(ISERROR(SEARCH("欠",T1369)))</formula>
    </cfRule>
    <cfRule type="containsText" dxfId="2" priority="3385" operator="between" text="欠">
      <formula>NOT(ISERROR(SEARCH("欠",T1369)))</formula>
    </cfRule>
    <cfRule type="cellIs" dxfId="0" priority="3391" operator="equal">
      <formula>"欠"</formula>
    </cfRule>
  </conditionalFormatting>
  <conditionalFormatting sqref="V1369">
    <cfRule type="cellIs" dxfId="0" priority="3325" operator="equal">
      <formula>"欠"</formula>
    </cfRule>
  </conditionalFormatting>
  <conditionalFormatting sqref="AH1369">
    <cfRule type="cellIs" dxfId="0" priority="3319" operator="equal">
      <formula>"未完成"</formula>
    </cfRule>
  </conditionalFormatting>
  <conditionalFormatting sqref="AK1369">
    <cfRule type="cellIs" dxfId="1" priority="3337" operator="equal">
      <formula>"未完成"</formula>
    </cfRule>
    <cfRule type="cellIs" dxfId="0" priority="3343" operator="equal">
      <formula>"未完成"</formula>
    </cfRule>
  </conditionalFormatting>
  <conditionalFormatting sqref="AL1369">
    <cfRule type="cellIs" dxfId="0" priority="3331" operator="equal">
      <formula>"欠"</formula>
    </cfRule>
  </conditionalFormatting>
  <conditionalFormatting sqref="Q1370">
    <cfRule type="cellIs" dxfId="0" priority="1454" operator="equal">
      <formula>"欠"</formula>
    </cfRule>
  </conditionalFormatting>
  <conditionalFormatting sqref="V1370">
    <cfRule type="cellIs" dxfId="0" priority="1402" operator="equal">
      <formula>"欠"</formula>
    </cfRule>
  </conditionalFormatting>
  <conditionalFormatting sqref="AH1370">
    <cfRule type="cellIs" dxfId="0" priority="1389" operator="equal">
      <formula>"未完成"</formula>
    </cfRule>
  </conditionalFormatting>
  <conditionalFormatting sqref="AK1370">
    <cfRule type="cellIs" dxfId="1" priority="1428" operator="equal">
      <formula>"未完成"</formula>
    </cfRule>
    <cfRule type="cellIs" dxfId="0" priority="1441" operator="equal">
      <formula>"未完成"</formula>
    </cfRule>
  </conditionalFormatting>
  <conditionalFormatting sqref="AL1370">
    <cfRule type="cellIs" dxfId="0" priority="1415" operator="equal">
      <formula>"欠"</formula>
    </cfRule>
  </conditionalFormatting>
  <conditionalFormatting sqref="Q1371">
    <cfRule type="cellIs" dxfId="0" priority="825" operator="equal">
      <formula>"欠"</formula>
    </cfRule>
  </conditionalFormatting>
  <conditionalFormatting sqref="R1371">
    <cfRule type="containsText" dxfId="0" priority="509" operator="between" text="欠">
      <formula>NOT(ISERROR(SEARCH("欠",R1371)))</formula>
    </cfRule>
    <cfRule type="cellIs" dxfId="0" priority="510" operator="equal">
      <formula>"欠"</formula>
    </cfRule>
  </conditionalFormatting>
  <conditionalFormatting sqref="T1371:U1371">
    <cfRule type="containsText" dxfId="0" priority="850" operator="between" text="欠">
      <formula>NOT(ISERROR(SEARCH("欠",T1371)))</formula>
    </cfRule>
    <cfRule type="containsText" dxfId="2" priority="898" operator="between" text="欠">
      <formula>NOT(ISERROR(SEARCH("欠",T1371)))</formula>
    </cfRule>
    <cfRule type="cellIs" dxfId="0" priority="910" operator="equal">
      <formula>"欠"</formula>
    </cfRule>
  </conditionalFormatting>
  <conditionalFormatting sqref="AH1371">
    <cfRule type="cellIs" dxfId="0" priority="765" operator="equal">
      <formula>"未完成"</formula>
    </cfRule>
  </conditionalFormatting>
  <conditionalFormatting sqref="AK1371">
    <cfRule type="cellIs" dxfId="1" priority="801" operator="equal">
      <formula>"未完成"</formula>
    </cfRule>
    <cfRule type="cellIs" dxfId="0" priority="813" operator="equal">
      <formula>"未完成"</formula>
    </cfRule>
  </conditionalFormatting>
  <conditionalFormatting sqref="AL1371">
    <cfRule type="cellIs" dxfId="0" priority="789" operator="equal">
      <formula>"欠"</formula>
    </cfRule>
  </conditionalFormatting>
  <conditionalFormatting sqref="Q1373">
    <cfRule type="cellIs" dxfId="0" priority="1055" operator="equal">
      <formula>"欠"</formula>
    </cfRule>
  </conditionalFormatting>
  <conditionalFormatting sqref="V1373">
    <cfRule type="cellIs" dxfId="0" priority="1035" operator="equal">
      <formula>"欠"</formula>
    </cfRule>
  </conditionalFormatting>
  <conditionalFormatting sqref="AH1373">
    <cfRule type="cellIs" dxfId="0" priority="1030" operator="equal">
      <formula>"未完成"</formula>
    </cfRule>
  </conditionalFormatting>
  <conditionalFormatting sqref="AK1373">
    <cfRule type="cellIs" dxfId="1" priority="1045" operator="equal">
      <formula>"未完成"</formula>
    </cfRule>
    <cfRule type="cellIs" dxfId="0" priority="1050" operator="equal">
      <formula>"未完成"</formula>
    </cfRule>
  </conditionalFormatting>
  <conditionalFormatting sqref="AL1373">
    <cfRule type="cellIs" dxfId="0" priority="1040" operator="equal">
      <formula>"欠"</formula>
    </cfRule>
  </conditionalFormatting>
  <conditionalFormatting sqref="Q1376">
    <cfRule type="cellIs" dxfId="0" priority="582" operator="equal">
      <formula>"欠"</formula>
    </cfRule>
  </conditionalFormatting>
  <conditionalFormatting sqref="V1376">
    <cfRule type="cellIs" dxfId="0" priority="566" operator="equal">
      <formula>"欠"</formula>
    </cfRule>
  </conditionalFormatting>
  <conditionalFormatting sqref="AH1376">
    <cfRule type="cellIs" dxfId="0" priority="562" operator="equal">
      <formula>"未完成"</formula>
    </cfRule>
  </conditionalFormatting>
  <conditionalFormatting sqref="AK1376">
    <cfRule type="cellIs" dxfId="1" priority="574" operator="equal">
      <formula>"未完成"</formula>
    </cfRule>
    <cfRule type="cellIs" dxfId="0" priority="578" operator="equal">
      <formula>"未完成"</formula>
    </cfRule>
  </conditionalFormatting>
  <conditionalFormatting sqref="AL1376">
    <cfRule type="cellIs" dxfId="0" priority="570" operator="equal">
      <formula>"欠"</formula>
    </cfRule>
  </conditionalFormatting>
  <conditionalFormatting sqref="Q1383">
    <cfRule type="cellIs" dxfId="0" priority="2994" operator="equal">
      <formula>"欠"</formula>
    </cfRule>
  </conditionalFormatting>
  <conditionalFormatting sqref="R1383">
    <cfRule type="containsText" dxfId="0" priority="2996" operator="between" text="欠">
      <formula>NOT(ISERROR(SEARCH("欠",R1383)))</formula>
    </cfRule>
    <cfRule type="cellIs" dxfId="0" priority="3002" operator="equal">
      <formula>"欠"</formula>
    </cfRule>
  </conditionalFormatting>
  <conditionalFormatting sqref="S1383">
    <cfRule type="cellIs" dxfId="0" priority="3010" operator="equal">
      <formula>"欠"</formula>
    </cfRule>
  </conditionalFormatting>
  <conditionalFormatting sqref="T1383:U1383">
    <cfRule type="containsText" dxfId="0" priority="2998" operator="between" text="欠">
      <formula>NOT(ISERROR(SEARCH("欠",T1383)))</formula>
    </cfRule>
    <cfRule type="containsText" dxfId="2" priority="3006" operator="between" text="欠">
      <formula>NOT(ISERROR(SEARCH("欠",T1383)))</formula>
    </cfRule>
    <cfRule type="cellIs" dxfId="0" priority="3008" operator="equal">
      <formula>"欠"</formula>
    </cfRule>
  </conditionalFormatting>
  <conditionalFormatting sqref="V1383">
    <cfRule type="cellIs" dxfId="0" priority="2986" operator="equal">
      <formula>"欠"</formula>
    </cfRule>
  </conditionalFormatting>
  <conditionalFormatting sqref="AH1383">
    <cfRule type="cellIs" dxfId="0" priority="2984" operator="equal">
      <formula>"未完成"</formula>
    </cfRule>
  </conditionalFormatting>
  <conditionalFormatting sqref="AK1383">
    <cfRule type="cellIs" dxfId="1" priority="2990" operator="equal">
      <formula>"未完成"</formula>
    </cfRule>
    <cfRule type="cellIs" dxfId="0" priority="2992" operator="equal">
      <formula>"未完成"</formula>
    </cfRule>
  </conditionalFormatting>
  <conditionalFormatting sqref="AL1383">
    <cfRule type="cellIs" dxfId="0" priority="2988" operator="equal">
      <formula>"欠"</formula>
    </cfRule>
  </conditionalFormatting>
  <conditionalFormatting sqref="Q1384">
    <cfRule type="cellIs" dxfId="0" priority="1455" operator="equal">
      <formula>"欠"</formula>
    </cfRule>
  </conditionalFormatting>
  <conditionalFormatting sqref="V1384">
    <cfRule type="cellIs" dxfId="0" priority="1403" operator="equal">
      <formula>"欠"</formula>
    </cfRule>
  </conditionalFormatting>
  <conditionalFormatting sqref="AH1384">
    <cfRule type="cellIs" dxfId="0" priority="1390" operator="equal">
      <formula>"未完成"</formula>
    </cfRule>
  </conditionalFormatting>
  <conditionalFormatting sqref="AK1384">
    <cfRule type="cellIs" dxfId="1" priority="1429" operator="equal">
      <formula>"未完成"</formula>
    </cfRule>
    <cfRule type="cellIs" dxfId="0" priority="1442" operator="equal">
      <formula>"未完成"</formula>
    </cfRule>
  </conditionalFormatting>
  <conditionalFormatting sqref="AL1384">
    <cfRule type="cellIs" dxfId="0" priority="1416" operator="equal">
      <formula>"欠"</formula>
    </cfRule>
  </conditionalFormatting>
  <conditionalFormatting sqref="Q1400">
    <cfRule type="cellIs" dxfId="0" priority="2079" operator="equal">
      <formula>"欠"</formula>
    </cfRule>
  </conditionalFormatting>
  <conditionalFormatting sqref="T1400:U1400">
    <cfRule type="containsText" dxfId="0" priority="2103" operator="between" text="欠">
      <formula>NOT(ISERROR(SEARCH("欠",T1400)))</formula>
    </cfRule>
    <cfRule type="containsText" dxfId="2" priority="2151" operator="between" text="欠">
      <formula>NOT(ISERROR(SEARCH("欠",T1400)))</formula>
    </cfRule>
    <cfRule type="cellIs" dxfId="0" priority="2163" operator="equal">
      <formula>"欠"</formula>
    </cfRule>
  </conditionalFormatting>
  <conditionalFormatting sqref="V1400">
    <cfRule type="cellIs" dxfId="0" priority="2031" operator="equal">
      <formula>"欠"</formula>
    </cfRule>
  </conditionalFormatting>
  <conditionalFormatting sqref="AH1400">
    <cfRule type="cellIs" dxfId="0" priority="2019" operator="equal">
      <formula>"未完成"</formula>
    </cfRule>
  </conditionalFormatting>
  <conditionalFormatting sqref="AK1400">
    <cfRule type="cellIs" dxfId="1" priority="2055" operator="equal">
      <formula>"未完成"</formula>
    </cfRule>
    <cfRule type="cellIs" dxfId="0" priority="2067" operator="equal">
      <formula>"未完成"</formula>
    </cfRule>
  </conditionalFormatting>
  <conditionalFormatting sqref="AL1400">
    <cfRule type="cellIs" dxfId="0" priority="2043" operator="equal">
      <formula>"欠"</formula>
    </cfRule>
  </conditionalFormatting>
  <conditionalFormatting sqref="Q1401">
    <cfRule type="cellIs" dxfId="0" priority="2078" operator="equal">
      <formula>"欠"</formula>
    </cfRule>
  </conditionalFormatting>
  <conditionalFormatting sqref="V1401">
    <cfRule type="cellIs" dxfId="0" priority="2030" operator="equal">
      <formula>"欠"</formula>
    </cfRule>
  </conditionalFormatting>
  <conditionalFormatting sqref="AH1401">
    <cfRule type="cellIs" dxfId="0" priority="2018" operator="equal">
      <formula>"未完成"</formula>
    </cfRule>
  </conditionalFormatting>
  <conditionalFormatting sqref="AK1401">
    <cfRule type="cellIs" dxfId="1" priority="2054" operator="equal">
      <formula>"未完成"</formula>
    </cfRule>
    <cfRule type="cellIs" dxfId="0" priority="2066" operator="equal">
      <formula>"未完成"</formula>
    </cfRule>
  </conditionalFormatting>
  <conditionalFormatting sqref="AL1401">
    <cfRule type="cellIs" dxfId="0" priority="2042" operator="equal">
      <formula>"欠"</formula>
    </cfRule>
  </conditionalFormatting>
  <conditionalFormatting sqref="Q1402">
    <cfRule type="cellIs" dxfId="0" priority="2077" operator="equal">
      <formula>"欠"</formula>
    </cfRule>
  </conditionalFormatting>
  <conditionalFormatting sqref="V1402">
    <cfRule type="cellIs" dxfId="0" priority="2029" operator="equal">
      <formula>"欠"</formula>
    </cfRule>
  </conditionalFormatting>
  <conditionalFormatting sqref="AH1402">
    <cfRule type="cellIs" dxfId="0" priority="2017" operator="equal">
      <formula>"未完成"</formula>
    </cfRule>
  </conditionalFormatting>
  <conditionalFormatting sqref="AK1402">
    <cfRule type="cellIs" dxfId="1" priority="2053" operator="equal">
      <formula>"未完成"</formula>
    </cfRule>
    <cfRule type="cellIs" dxfId="0" priority="2065" operator="equal">
      <formula>"未完成"</formula>
    </cfRule>
  </conditionalFormatting>
  <conditionalFormatting sqref="AL1402">
    <cfRule type="cellIs" dxfId="0" priority="2041" operator="equal">
      <formula>"欠"</formula>
    </cfRule>
  </conditionalFormatting>
  <conditionalFormatting sqref="AG1429">
    <cfRule type="cellIs" dxfId="0" priority="13700" operator="equal">
      <formula>"未完成"</formula>
    </cfRule>
  </conditionalFormatting>
  <conditionalFormatting sqref="Q1444">
    <cfRule type="cellIs" dxfId="0" priority="3127" operator="equal">
      <formula>"欠"</formula>
    </cfRule>
  </conditionalFormatting>
  <conditionalFormatting sqref="V1444">
    <cfRule type="cellIs" dxfId="0" priority="3039" operator="equal">
      <formula>"欠"</formula>
    </cfRule>
  </conditionalFormatting>
  <conditionalFormatting sqref="AH1444">
    <cfRule type="cellIs" dxfId="0" priority="3017" operator="equal">
      <formula>"未完成"</formula>
    </cfRule>
  </conditionalFormatting>
  <conditionalFormatting sqref="AK1444">
    <cfRule type="cellIs" dxfId="1" priority="3083" operator="equal">
      <formula>"未完成"</formula>
    </cfRule>
    <cfRule type="cellIs" dxfId="0" priority="3105" operator="equal">
      <formula>"未完成"</formula>
    </cfRule>
  </conditionalFormatting>
  <conditionalFormatting sqref="AL1444">
    <cfRule type="cellIs" dxfId="0" priority="3061" operator="equal">
      <formula>"欠"</formula>
    </cfRule>
  </conditionalFormatting>
  <conditionalFormatting sqref="Q1445">
    <cfRule type="cellIs" dxfId="0" priority="3126" operator="equal">
      <formula>"欠"</formula>
    </cfRule>
  </conditionalFormatting>
  <conditionalFormatting sqref="V1445">
    <cfRule type="cellIs" dxfId="0" priority="3038" operator="equal">
      <formula>"欠"</formula>
    </cfRule>
  </conditionalFormatting>
  <conditionalFormatting sqref="AH1445">
    <cfRule type="cellIs" dxfId="0" priority="3016" operator="equal">
      <formula>"未完成"</formula>
    </cfRule>
  </conditionalFormatting>
  <conditionalFormatting sqref="AK1445">
    <cfRule type="cellIs" dxfId="1" priority="3082" operator="equal">
      <formula>"未完成"</formula>
    </cfRule>
    <cfRule type="cellIs" dxfId="0" priority="3104" operator="equal">
      <formula>"未完成"</formula>
    </cfRule>
  </conditionalFormatting>
  <conditionalFormatting sqref="AL1445">
    <cfRule type="cellIs" dxfId="0" priority="3060" operator="equal">
      <formula>"欠"</formula>
    </cfRule>
  </conditionalFormatting>
  <conditionalFormatting sqref="Q1446">
    <cfRule type="cellIs" dxfId="0" priority="198" operator="equal">
      <formula>"欠"</formula>
    </cfRule>
  </conditionalFormatting>
  <conditionalFormatting sqref="V1446">
    <cfRule type="cellIs" dxfId="0" priority="194" operator="equal">
      <formula>"欠"</formula>
    </cfRule>
  </conditionalFormatting>
  <conditionalFormatting sqref="AH1446">
    <cfRule type="cellIs" dxfId="0" priority="193" operator="equal">
      <formula>"未完成"</formula>
    </cfRule>
  </conditionalFormatting>
  <conditionalFormatting sqref="AK1446">
    <cfRule type="cellIs" dxfId="1" priority="196" operator="equal">
      <formula>"未完成"</formula>
    </cfRule>
    <cfRule type="cellIs" dxfId="0" priority="197" operator="equal">
      <formula>"未完成"</formula>
    </cfRule>
  </conditionalFormatting>
  <conditionalFormatting sqref="AL1446">
    <cfRule type="cellIs" dxfId="0" priority="195" operator="equal">
      <formula>"欠"</formula>
    </cfRule>
  </conditionalFormatting>
  <conditionalFormatting sqref="Q1448">
    <cfRule type="cellIs" dxfId="0" priority="580" operator="equal">
      <formula>"欠"</formula>
    </cfRule>
  </conditionalFormatting>
  <conditionalFormatting sqref="V1448">
    <cfRule type="cellIs" dxfId="0" priority="564" operator="equal">
      <formula>"欠"</formula>
    </cfRule>
  </conditionalFormatting>
  <conditionalFormatting sqref="AH1448">
    <cfRule type="cellIs" dxfId="0" priority="560" operator="equal">
      <formula>"未完成"</formula>
    </cfRule>
  </conditionalFormatting>
  <conditionalFormatting sqref="AK1448">
    <cfRule type="cellIs" dxfId="1" priority="572" operator="equal">
      <formula>"未完成"</formula>
    </cfRule>
    <cfRule type="cellIs" dxfId="0" priority="576" operator="equal">
      <formula>"未完成"</formula>
    </cfRule>
  </conditionalFormatting>
  <conditionalFormatting sqref="AL1448">
    <cfRule type="cellIs" dxfId="0" priority="568" operator="equal">
      <formula>"欠"</formula>
    </cfRule>
  </conditionalFormatting>
  <conditionalFormatting sqref="Q1460">
    <cfRule type="cellIs" dxfId="0" priority="579" operator="equal">
      <formula>"欠"</formula>
    </cfRule>
  </conditionalFormatting>
  <conditionalFormatting sqref="V1460">
    <cfRule type="cellIs" dxfId="0" priority="563" operator="equal">
      <formula>"欠"</formula>
    </cfRule>
  </conditionalFormatting>
  <conditionalFormatting sqref="AH1460">
    <cfRule type="cellIs" dxfId="0" priority="559" operator="equal">
      <formula>"未完成"</formula>
    </cfRule>
  </conditionalFormatting>
  <conditionalFormatting sqref="AK1460">
    <cfRule type="cellIs" dxfId="1" priority="571" operator="equal">
      <formula>"未完成"</formula>
    </cfRule>
    <cfRule type="cellIs" dxfId="0" priority="575" operator="equal">
      <formula>"未完成"</formula>
    </cfRule>
  </conditionalFormatting>
  <conditionalFormatting sqref="AL1460">
    <cfRule type="cellIs" dxfId="0" priority="567" operator="equal">
      <formula>"欠"</formula>
    </cfRule>
  </conditionalFormatting>
  <conditionalFormatting sqref="Q1480">
    <cfRule type="cellIs" dxfId="0" priority="184" operator="equal">
      <formula>"欠"</formula>
    </cfRule>
  </conditionalFormatting>
  <conditionalFormatting sqref="V1480">
    <cfRule type="cellIs" dxfId="0" priority="180" operator="equal">
      <formula>"欠"</formula>
    </cfRule>
  </conditionalFormatting>
  <conditionalFormatting sqref="AH1480">
    <cfRule type="cellIs" dxfId="0" priority="179" operator="equal">
      <formula>"未完成"</formula>
    </cfRule>
  </conditionalFormatting>
  <conditionalFormatting sqref="AK1480">
    <cfRule type="cellIs" dxfId="1" priority="182" operator="equal">
      <formula>"未完成"</formula>
    </cfRule>
    <cfRule type="cellIs" dxfId="0" priority="183" operator="equal">
      <formula>"未完成"</formula>
    </cfRule>
  </conditionalFormatting>
  <conditionalFormatting sqref="AG1531">
    <cfRule type="cellIs" dxfId="0" priority="13699" operator="equal">
      <formula>"未完成"</formula>
    </cfRule>
  </conditionalFormatting>
  <conditionalFormatting sqref="S1539">
    <cfRule type="cellIs" dxfId="0" priority="13690" operator="equal">
      <formula>"欠"</formula>
    </cfRule>
  </conditionalFormatting>
  <conditionalFormatting sqref="AG1539">
    <cfRule type="cellIs" dxfId="0" priority="13697" operator="equal">
      <formula>"未完成"</formula>
    </cfRule>
  </conditionalFormatting>
  <conditionalFormatting sqref="S1540">
    <cfRule type="cellIs" dxfId="0" priority="13689" operator="equal">
      <formula>"欠"</formula>
    </cfRule>
  </conditionalFormatting>
  <conditionalFormatting sqref="Q534:Q536">
    <cfRule type="cellIs" dxfId="0" priority="8853" operator="equal">
      <formula>"欠"</formula>
    </cfRule>
  </conditionalFormatting>
  <conditionalFormatting sqref="Q540:Q542">
    <cfRule type="cellIs" dxfId="0" priority="9195" operator="equal">
      <formula>"欠"</formula>
    </cfRule>
  </conditionalFormatting>
  <conditionalFormatting sqref="Q563:Q569">
    <cfRule type="cellIs" dxfId="0" priority="8611" operator="equal">
      <formula>"欠"</formula>
    </cfRule>
  </conditionalFormatting>
  <conditionalFormatting sqref="Q578:Q580">
    <cfRule type="cellIs" dxfId="0" priority="8867" operator="equal">
      <formula>"欠"</formula>
    </cfRule>
  </conditionalFormatting>
  <conditionalFormatting sqref="Q594:Q601">
    <cfRule type="cellIs" dxfId="0" priority="8421" operator="equal">
      <formula>"欠"</formula>
    </cfRule>
  </conditionalFormatting>
  <conditionalFormatting sqref="Q604:Q605">
    <cfRule type="cellIs" dxfId="0" priority="8369" operator="equal">
      <formula>"欠"</formula>
    </cfRule>
  </conditionalFormatting>
  <conditionalFormatting sqref="Q644:Q646">
    <cfRule type="cellIs" dxfId="0" priority="8789" operator="equal">
      <formula>"欠"</formula>
    </cfRule>
  </conditionalFormatting>
  <conditionalFormatting sqref="Q648:Q649">
    <cfRule type="cellIs" dxfId="0" priority="8788" operator="equal">
      <formula>"欠"</formula>
    </cfRule>
  </conditionalFormatting>
  <conditionalFormatting sqref="Q659:Q660">
    <cfRule type="cellIs" dxfId="0" priority="7803" operator="equal">
      <formula>"欠"</formula>
    </cfRule>
  </conditionalFormatting>
  <conditionalFormatting sqref="Q854:Q856">
    <cfRule type="cellIs" dxfId="0" priority="5861" operator="equal">
      <formula>"欠"</formula>
    </cfRule>
  </conditionalFormatting>
  <conditionalFormatting sqref="Q912:Q913">
    <cfRule type="cellIs" dxfId="0" priority="5736" operator="equal">
      <formula>"欠"</formula>
    </cfRule>
  </conditionalFormatting>
  <conditionalFormatting sqref="Q950:Q953">
    <cfRule type="cellIs" dxfId="0" priority="5270" operator="equal">
      <formula>"欠"</formula>
    </cfRule>
  </conditionalFormatting>
  <conditionalFormatting sqref="Q954:Q955">
    <cfRule type="cellIs" dxfId="0" priority="5260" operator="equal">
      <formula>"欠"</formula>
    </cfRule>
  </conditionalFormatting>
  <conditionalFormatting sqref="Q959:Q962">
    <cfRule type="cellIs" dxfId="0" priority="7681" operator="equal">
      <formula>"欠"</formula>
    </cfRule>
  </conditionalFormatting>
  <conditionalFormatting sqref="Q971:Q972">
    <cfRule type="cellIs" dxfId="0" priority="8150" operator="equal">
      <formula>"欠"</formula>
    </cfRule>
  </conditionalFormatting>
  <conditionalFormatting sqref="Q998:Q999">
    <cfRule type="cellIs" dxfId="0" priority="4678" operator="equal">
      <formula>"欠"</formula>
    </cfRule>
  </conditionalFormatting>
  <conditionalFormatting sqref="Q1033:Q1037">
    <cfRule type="cellIs" dxfId="0" priority="3495" operator="equal">
      <formula>"欠"</formula>
    </cfRule>
  </conditionalFormatting>
  <conditionalFormatting sqref="Q1101:Q1102">
    <cfRule type="cellIs" dxfId="0" priority="2254" operator="equal">
      <formula>"欠"</formula>
    </cfRule>
  </conditionalFormatting>
  <conditionalFormatting sqref="Q1105:Q1106">
    <cfRule type="cellIs" dxfId="0" priority="3140" operator="equal">
      <formula>"欠"</formula>
    </cfRule>
  </conditionalFormatting>
  <conditionalFormatting sqref="Q1113:Q1117">
    <cfRule type="cellIs" dxfId="0" priority="2471" operator="equal">
      <formula>"欠"</formula>
    </cfRule>
  </conditionalFormatting>
  <conditionalFormatting sqref="Q1123:Q1124">
    <cfRule type="cellIs" dxfId="0" priority="2529" operator="equal">
      <formula>"欠"</formula>
    </cfRule>
  </conditionalFormatting>
  <conditionalFormatting sqref="Q1145:Q1148">
    <cfRule type="cellIs" dxfId="0" priority="1672" operator="equal">
      <formula>"欠"</formula>
    </cfRule>
  </conditionalFormatting>
  <conditionalFormatting sqref="Q1177:Q1179">
    <cfRule type="cellIs" dxfId="0" priority="1853" operator="equal">
      <formula>"欠"</formula>
    </cfRule>
  </conditionalFormatting>
  <conditionalFormatting sqref="Q1200:Q1201">
    <cfRule type="cellIs" dxfId="0" priority="1780" operator="equal">
      <formula>"欠"</formula>
    </cfRule>
  </conditionalFormatting>
  <conditionalFormatting sqref="Q1204:Q1205">
    <cfRule type="cellIs" dxfId="0" priority="986" operator="equal">
      <formula>"欠"</formula>
    </cfRule>
  </conditionalFormatting>
  <conditionalFormatting sqref="Q1209:Q1211">
    <cfRule type="cellIs" dxfId="0" priority="824" operator="equal">
      <formula>"欠"</formula>
    </cfRule>
  </conditionalFormatting>
  <conditionalFormatting sqref="Q1224:Q1233">
    <cfRule type="cellIs" dxfId="0" priority="1217" operator="equal">
      <formula>"欠"</formula>
    </cfRule>
  </conditionalFormatting>
  <conditionalFormatting sqref="Q1243:Q1244">
    <cfRule type="cellIs" dxfId="0" priority="1996" operator="equal">
      <formula>"欠"</formula>
    </cfRule>
  </conditionalFormatting>
  <conditionalFormatting sqref="Q1254:Q1255">
    <cfRule type="cellIs" dxfId="0" priority="1453" operator="equal">
      <formula>"欠"</formula>
    </cfRule>
  </conditionalFormatting>
  <conditionalFormatting sqref="Q1278:Q1279">
    <cfRule type="cellIs" dxfId="0" priority="552" operator="equal">
      <formula>"欠"</formula>
    </cfRule>
  </conditionalFormatting>
  <conditionalFormatting sqref="Q1297:Q1298">
    <cfRule type="cellIs" dxfId="0" priority="347" operator="equal">
      <formula>"欠"</formula>
    </cfRule>
  </conditionalFormatting>
  <conditionalFormatting sqref="Q1357:Q1363">
    <cfRule type="cellIs" dxfId="0" priority="371" operator="equal">
      <formula>"欠"</formula>
    </cfRule>
  </conditionalFormatting>
  <conditionalFormatting sqref="Q1383:Q1394">
    <cfRule type="cellIs" dxfId="0" priority="1054" operator="equal">
      <formula>"欠"</formula>
    </cfRule>
  </conditionalFormatting>
  <conditionalFormatting sqref="Q1422:Q1424">
    <cfRule type="cellIs" dxfId="0" priority="581" operator="equal">
      <formula>"欠"</formula>
    </cfRule>
  </conditionalFormatting>
  <conditionalFormatting sqref="Q1448:Q1527">
    <cfRule type="cellIs" dxfId="0" priority="18" operator="equal">
      <formula>"欠"</formula>
    </cfRule>
  </conditionalFormatting>
  <conditionalFormatting sqref="R440:R441">
    <cfRule type="containsText" dxfId="0" priority="8930" operator="between" text="欠">
      <formula>NOT(ISERROR(SEARCH("欠",R440)))</formula>
    </cfRule>
  </conditionalFormatting>
  <conditionalFormatting sqref="R480:R481">
    <cfRule type="cellIs" dxfId="0" priority="9795" operator="equal">
      <formula>"欠"</formula>
    </cfRule>
  </conditionalFormatting>
  <conditionalFormatting sqref="R530:R531">
    <cfRule type="cellIs" dxfId="0" priority="9134" operator="equal">
      <formula>"欠"</formula>
    </cfRule>
  </conditionalFormatting>
  <conditionalFormatting sqref="R540:R541">
    <cfRule type="containsText" dxfId="0" priority="7969" operator="between" text="欠">
      <formula>NOT(ISERROR(SEARCH("欠",R540)))</formula>
    </cfRule>
    <cfRule type="cellIs" dxfId="0" priority="7970" operator="equal">
      <formula>"欠"</formula>
    </cfRule>
  </conditionalFormatting>
  <conditionalFormatting sqref="R556:R558">
    <cfRule type="containsText" dxfId="0" priority="8531" operator="between" text="欠">
      <formula>NOT(ISERROR(SEARCH("欠",R556)))</formula>
    </cfRule>
    <cfRule type="cellIs" dxfId="0" priority="8532" operator="equal">
      <formula>"欠"</formula>
    </cfRule>
  </conditionalFormatting>
  <conditionalFormatting sqref="R565:R569">
    <cfRule type="cellIs" dxfId="0" priority="8340" operator="equal">
      <formula>"欠"</formula>
    </cfRule>
    <cfRule type="containsText" dxfId="0" priority="8341" operator="between" text="欠">
      <formula>NOT(ISERROR(SEARCH("欠",R565)))</formula>
    </cfRule>
  </conditionalFormatting>
  <conditionalFormatting sqref="R570:R576">
    <cfRule type="containsText" dxfId="0" priority="8393" operator="between" text="欠">
      <formula>NOT(ISERROR(SEARCH("欠",R570)))</formula>
    </cfRule>
    <cfRule type="cellIs" dxfId="0" priority="8394" operator="equal">
      <formula>"欠"</formula>
    </cfRule>
  </conditionalFormatting>
  <conditionalFormatting sqref="R579:R580">
    <cfRule type="cellIs" dxfId="0" priority="8282" operator="equal">
      <formula>"欠"</formula>
    </cfRule>
    <cfRule type="containsText" dxfId="0" priority="8283" operator="between" text="欠">
      <formula>NOT(ISERROR(SEARCH("欠",R579)))</formula>
    </cfRule>
  </conditionalFormatting>
  <conditionalFormatting sqref="R592:R593">
    <cfRule type="containsText" dxfId="0" priority="8294" operator="between" text="欠">
      <formula>NOT(ISERROR(SEARCH("欠",R592)))</formula>
    </cfRule>
    <cfRule type="cellIs" dxfId="0" priority="8295" operator="equal">
      <formula>"欠"</formula>
    </cfRule>
  </conditionalFormatting>
  <conditionalFormatting sqref="R595:R601">
    <cfRule type="cellIs" dxfId="0" priority="8288" operator="equal">
      <formula>"欠"</formula>
    </cfRule>
    <cfRule type="containsText" dxfId="0" priority="8289" operator="between" text="欠">
      <formula>NOT(ISERROR(SEARCH("欠",R595)))</formula>
    </cfRule>
  </conditionalFormatting>
  <conditionalFormatting sqref="R610:R612">
    <cfRule type="containsText" dxfId="0" priority="8292" operator="between" text="欠">
      <formula>NOT(ISERROR(SEARCH("欠",R610)))</formula>
    </cfRule>
    <cfRule type="cellIs" dxfId="0" priority="8293" operator="equal">
      <formula>"欠"</formula>
    </cfRule>
  </conditionalFormatting>
  <conditionalFormatting sqref="R616:R618">
    <cfRule type="cellIs" dxfId="0" priority="8706" operator="equal">
      <formula>"欠"</formula>
    </cfRule>
    <cfRule type="containsText" dxfId="0" priority="8707" operator="between" text="欠">
      <formula>NOT(ISERROR(SEARCH("欠",R616)))</formula>
    </cfRule>
  </conditionalFormatting>
  <conditionalFormatting sqref="R625:R626">
    <cfRule type="containsText" dxfId="0" priority="9151" operator="between" text="欠">
      <formula>NOT(ISERROR(SEARCH("欠",R625)))</formula>
    </cfRule>
    <cfRule type="cellIs" dxfId="0" priority="9152" operator="equal">
      <formula>"欠"</formula>
    </cfRule>
  </conditionalFormatting>
  <conditionalFormatting sqref="R638:R639">
    <cfRule type="containsText" dxfId="0" priority="8228" operator="between" text="欠">
      <formula>NOT(ISERROR(SEARCH("欠",R638)))</formula>
    </cfRule>
    <cfRule type="cellIs" dxfId="0" priority="8229" operator="equal">
      <formula>"欠"</formula>
    </cfRule>
  </conditionalFormatting>
  <conditionalFormatting sqref="R659:R660">
    <cfRule type="containsText" dxfId="0" priority="7794" operator="between" text="欠">
      <formula>NOT(ISERROR(SEARCH("欠",R659)))</formula>
    </cfRule>
    <cfRule type="cellIs" dxfId="0" priority="7795" operator="equal">
      <formula>"欠"</formula>
    </cfRule>
  </conditionalFormatting>
  <conditionalFormatting sqref="R854:R856">
    <cfRule type="containsText" dxfId="0" priority="5851" operator="between" text="欠">
      <formula>NOT(ISERROR(SEARCH("欠",R854)))</formula>
    </cfRule>
    <cfRule type="cellIs" dxfId="0" priority="5852" operator="equal">
      <formula>"欠"</formula>
    </cfRule>
  </conditionalFormatting>
  <conditionalFormatting sqref="R870:R871">
    <cfRule type="containsText" dxfId="0" priority="6310" operator="between" text="欠">
      <formula>NOT(ISERROR(SEARCH("欠",R870)))</formula>
    </cfRule>
    <cfRule type="cellIs" dxfId="0" priority="6314" operator="equal">
      <formula>"欠"</formula>
    </cfRule>
  </conditionalFormatting>
  <conditionalFormatting sqref="R873:R874">
    <cfRule type="containsText" dxfId="0" priority="5836" operator="between" text="欠">
      <formula>NOT(ISERROR(SEARCH("欠",R873)))</formula>
    </cfRule>
    <cfRule type="cellIs" dxfId="0" priority="5838" operator="equal">
      <formula>"欠"</formula>
    </cfRule>
  </conditionalFormatting>
  <conditionalFormatting sqref="R885:R886">
    <cfRule type="containsText" dxfId="0" priority="4212" operator="between" text="欠">
      <formula>NOT(ISERROR(SEARCH("欠",R885)))</formula>
    </cfRule>
    <cfRule type="cellIs" dxfId="0" priority="4213" operator="equal">
      <formula>"欠"</formula>
    </cfRule>
  </conditionalFormatting>
  <conditionalFormatting sqref="R898:R908">
    <cfRule type="containsText" dxfId="0" priority="4187" operator="between" text="欠">
      <formula>NOT(ISERROR(SEARCH("欠",R898)))</formula>
    </cfRule>
    <cfRule type="cellIs" dxfId="0" priority="4188" operator="equal">
      <formula>"欠"</formula>
    </cfRule>
  </conditionalFormatting>
  <conditionalFormatting sqref="R912:R913">
    <cfRule type="containsText" dxfId="0" priority="4205" operator="between" text="欠">
      <formula>NOT(ISERROR(SEARCH("欠",R912)))</formula>
    </cfRule>
    <cfRule type="cellIs" dxfId="0" priority="4206" operator="equal">
      <formula>"欠"</formula>
    </cfRule>
  </conditionalFormatting>
  <conditionalFormatting sqref="R952:R957">
    <cfRule type="containsText" dxfId="0" priority="5261" operator="between" text="欠">
      <formula>NOT(ISERROR(SEARCH("欠",R952)))</formula>
    </cfRule>
    <cfRule type="cellIs" dxfId="0" priority="5262" operator="equal">
      <formula>"欠"</formula>
    </cfRule>
  </conditionalFormatting>
  <conditionalFormatting sqref="R985:R987">
    <cfRule type="containsText" dxfId="0" priority="4533" operator="between" text="欠">
      <formula>NOT(ISERROR(SEARCH("欠",R985)))</formula>
    </cfRule>
    <cfRule type="cellIs" dxfId="0" priority="4534" operator="equal">
      <formula>"欠"</formula>
    </cfRule>
  </conditionalFormatting>
  <conditionalFormatting sqref="R1011:R1012">
    <cfRule type="containsText" dxfId="0" priority="4913" operator="between" text="欠">
      <formula>NOT(ISERROR(SEARCH("欠",R1011)))</formula>
    </cfRule>
    <cfRule type="cellIs" dxfId="0" priority="4915" operator="equal">
      <formula>"欠"</formula>
    </cfRule>
  </conditionalFormatting>
  <conditionalFormatting sqref="R1013:R1015">
    <cfRule type="containsText" dxfId="0" priority="4261" operator="between" text="欠">
      <formula>NOT(ISERROR(SEARCH("欠",R1013)))</formula>
    </cfRule>
    <cfRule type="cellIs" dxfId="0" priority="4262" operator="equal">
      <formula>"欠"</formula>
    </cfRule>
  </conditionalFormatting>
  <conditionalFormatting sqref="R1044:R1045">
    <cfRule type="containsText" dxfId="0" priority="3164" operator="between" text="欠">
      <formula>NOT(ISERROR(SEARCH("欠",R1044)))</formula>
    </cfRule>
    <cfRule type="cellIs" dxfId="0" priority="3230" operator="equal">
      <formula>"欠"</formula>
    </cfRule>
  </conditionalFormatting>
  <conditionalFormatting sqref="R1049:R1051">
    <cfRule type="containsText" dxfId="0" priority="4976" operator="between" text="欠">
      <formula>NOT(ISERROR(SEARCH("欠",R1049)))</formula>
    </cfRule>
  </conditionalFormatting>
  <conditionalFormatting sqref="R1054:R1055">
    <cfRule type="containsText" dxfId="0" priority="3416" operator="between" text="欠">
      <formula>NOT(ISERROR(SEARCH("欠",R1054)))</formula>
    </cfRule>
    <cfRule type="cellIs" dxfId="0" priority="3422" operator="equal">
      <formula>"欠"</formula>
    </cfRule>
  </conditionalFormatting>
  <conditionalFormatting sqref="R1060:R1061">
    <cfRule type="containsText" dxfId="0" priority="3359" operator="between" text="欠">
      <formula>NOT(ISERROR(SEARCH("欠",R1060)))</formula>
    </cfRule>
    <cfRule type="cellIs" dxfId="0" priority="3377" operator="equal">
      <formula>"欠"</formula>
    </cfRule>
  </conditionalFormatting>
  <conditionalFormatting sqref="R1066:R1070">
    <cfRule type="containsText" dxfId="0" priority="3607" operator="between" text="欠">
      <formula>NOT(ISERROR(SEARCH("欠",R1066)))</formula>
    </cfRule>
    <cfRule type="cellIs" dxfId="0" priority="3612" operator="equal">
      <formula>"欠"</formula>
    </cfRule>
  </conditionalFormatting>
  <conditionalFormatting sqref="R1082:R1083">
    <cfRule type="containsText" dxfId="0" priority="2626" operator="between" text="欠">
      <formula>NOT(ISERROR(SEARCH("欠",R1082)))</formula>
    </cfRule>
    <cfRule type="cellIs" dxfId="0" priority="2627" operator="equal">
      <formula>"欠"</formula>
    </cfRule>
  </conditionalFormatting>
  <conditionalFormatting sqref="R1094:R1100">
    <cfRule type="containsText" dxfId="0" priority="2728" operator="between" text="欠">
      <formula>NOT(ISERROR(SEARCH("欠",R1094)))</formula>
    </cfRule>
    <cfRule type="cellIs" dxfId="0" priority="2730" operator="equal">
      <formula>"欠"</formula>
    </cfRule>
  </conditionalFormatting>
  <conditionalFormatting sqref="R1101:R1102">
    <cfRule type="containsText" dxfId="0" priority="2257" operator="between" text="欠">
      <formula>NOT(ISERROR(SEARCH("欠",R1101)))</formula>
    </cfRule>
    <cfRule type="cellIs" dxfId="0" priority="2258" operator="equal">
      <formula>"欠"</formula>
    </cfRule>
  </conditionalFormatting>
  <conditionalFormatting sqref="R1105:R1106">
    <cfRule type="containsText" dxfId="0" priority="3162" operator="between" text="欠">
      <formula>NOT(ISERROR(SEARCH("欠",R1105)))</formula>
    </cfRule>
    <cfRule type="cellIs" dxfId="0" priority="3228" operator="equal">
      <formula>"欠"</formula>
    </cfRule>
  </conditionalFormatting>
  <conditionalFormatting sqref="R1130:R1131">
    <cfRule type="containsText" dxfId="0" priority="3662" operator="between" text="欠">
      <formula>NOT(ISERROR(SEARCH("欠",R1130)))</formula>
    </cfRule>
    <cfRule type="cellIs" dxfId="0" priority="3666" operator="equal">
      <formula>"欠"</formula>
    </cfRule>
  </conditionalFormatting>
  <conditionalFormatting sqref="R1142:R1144">
    <cfRule type="containsText" dxfId="0" priority="947" operator="between" text="欠">
      <formula>NOT(ISERROR(SEARCH("欠",R1142)))</formula>
    </cfRule>
    <cfRule type="cellIs" dxfId="0" priority="950" operator="equal">
      <formula>"欠"</formula>
    </cfRule>
  </conditionalFormatting>
  <conditionalFormatting sqref="R1171:R1172">
    <cfRule type="containsText" dxfId="0" priority="2088" operator="between" text="欠">
      <formula>NOT(ISERROR(SEARCH("欠",R1171)))</formula>
    </cfRule>
    <cfRule type="cellIs" dxfId="0" priority="2124" operator="equal">
      <formula>"欠"</formula>
    </cfRule>
  </conditionalFormatting>
  <conditionalFormatting sqref="R1173:R1174">
    <cfRule type="containsText" dxfId="0" priority="2290" operator="between" text="欠">
      <formula>NOT(ISERROR(SEARCH("欠",R1173)))</formula>
    </cfRule>
    <cfRule type="cellIs" dxfId="0" priority="2296" operator="equal">
      <formula>"欠"</formula>
    </cfRule>
  </conditionalFormatting>
  <conditionalFormatting sqref="R1175:R1176">
    <cfRule type="containsText" dxfId="0" priority="3446" operator="between" text="欠">
      <formula>NOT(ISERROR(SEARCH("欠",R1175)))</formula>
    </cfRule>
    <cfRule type="cellIs" dxfId="0" priority="3447" operator="equal">
      <formula>"欠"</formula>
    </cfRule>
  </conditionalFormatting>
  <conditionalFormatting sqref="R1198:R1199">
    <cfRule type="containsText" dxfId="0" priority="386" operator="between" text="欠">
      <formula>NOT(ISERROR(SEARCH("欠",R1198)))</formula>
    </cfRule>
    <cfRule type="cellIs" dxfId="0" priority="389" operator="equal">
      <formula>"欠"</formula>
    </cfRule>
  </conditionalFormatting>
  <conditionalFormatting sqref="R1204:R1205">
    <cfRule type="containsText" dxfId="0" priority="989" operator="between" text="欠">
      <formula>NOT(ISERROR(SEARCH("欠",R1204)))</formula>
    </cfRule>
    <cfRule type="cellIs" dxfId="0" priority="998" operator="equal">
      <formula>"欠"</formula>
    </cfRule>
  </conditionalFormatting>
  <conditionalFormatting sqref="R1209:R1211">
    <cfRule type="containsText" dxfId="0" priority="836" operator="between" text="欠">
      <formula>NOT(ISERROR(SEARCH("欠",R1209)))</formula>
    </cfRule>
    <cfRule type="cellIs" dxfId="0" priority="872" operator="equal">
      <formula>"欠"</formula>
    </cfRule>
  </conditionalFormatting>
  <conditionalFormatting sqref="R1222:R1233">
    <cfRule type="containsText" dxfId="0" priority="1237" operator="between" text="欠">
      <formula>NOT(ISERROR(SEARCH("欠",R1222)))</formula>
    </cfRule>
    <cfRule type="cellIs" dxfId="0" priority="1291" operator="equal">
      <formula>"欠"</formula>
    </cfRule>
  </conditionalFormatting>
  <conditionalFormatting sqref="R1243:R1244">
    <cfRule type="containsText" dxfId="0" priority="1997" operator="between" text="欠">
      <formula>NOT(ISERROR(SEARCH("欠",R1243)))</formula>
    </cfRule>
    <cfRule type="cellIs" dxfId="0" priority="1999" operator="equal">
      <formula>"欠"</formula>
    </cfRule>
  </conditionalFormatting>
  <conditionalFormatting sqref="R1283:R1284">
    <cfRule type="containsText" dxfId="0" priority="1856" operator="between" text="欠">
      <formula>NOT(ISERROR(SEARCH("欠",R1283)))</formula>
    </cfRule>
    <cfRule type="cellIs" dxfId="0" priority="1889" operator="equal">
      <formula>"欠"</formula>
    </cfRule>
  </conditionalFormatting>
  <conditionalFormatting sqref="R1297:R1299">
    <cfRule type="containsText" dxfId="0" priority="2091" operator="between" text="欠">
      <formula>NOT(ISERROR(SEARCH("欠",R1297)))</formula>
    </cfRule>
    <cfRule type="cellIs" dxfId="0" priority="2127" operator="equal">
      <formula>"欠"</formula>
    </cfRule>
  </conditionalFormatting>
  <conditionalFormatting sqref="R1355:R1356">
    <cfRule type="containsText" dxfId="0" priority="753" operator="between" text="欠">
      <formula>NOT(ISERROR(SEARCH("欠",R1355)))</formula>
    </cfRule>
    <cfRule type="cellIs" dxfId="0" priority="756" operator="equal">
      <formula>"欠"</formula>
    </cfRule>
  </conditionalFormatting>
  <conditionalFormatting sqref="R1357:R1363">
    <cfRule type="containsText" dxfId="0" priority="372" operator="between" text="欠">
      <formula>NOT(ISERROR(SEARCH("欠",R1357)))</formula>
    </cfRule>
    <cfRule type="cellIs" dxfId="0" priority="375" operator="equal">
      <formula>"欠"</formula>
    </cfRule>
  </conditionalFormatting>
  <conditionalFormatting sqref="S478:S479">
    <cfRule type="cellIs" dxfId="0" priority="9629" operator="equal">
      <formula>"欠"</formula>
    </cfRule>
  </conditionalFormatting>
  <conditionalFormatting sqref="S572:S576">
    <cfRule type="cellIs" dxfId="0" priority="8335" operator="equal">
      <formula>"欠"</formula>
    </cfRule>
  </conditionalFormatting>
  <conditionalFormatting sqref="S579:S580">
    <cfRule type="cellIs" dxfId="0" priority="8285" operator="equal">
      <formula>"欠"</formula>
    </cfRule>
  </conditionalFormatting>
  <conditionalFormatting sqref="S595:S601">
    <cfRule type="cellIs" dxfId="0" priority="8291" operator="equal">
      <formula>"欠"</formula>
    </cfRule>
  </conditionalFormatting>
  <conditionalFormatting sqref="S611:S612">
    <cfRule type="cellIs" dxfId="0" priority="8278" operator="equal">
      <formula>"欠"</formula>
    </cfRule>
  </conditionalFormatting>
  <conditionalFormatting sqref="S638:S639">
    <cfRule type="cellIs" dxfId="0" priority="8230" operator="equal">
      <formula>"欠"</formula>
    </cfRule>
  </conditionalFormatting>
  <conditionalFormatting sqref="S854:S856">
    <cfRule type="cellIs" dxfId="0" priority="5862" operator="equal">
      <formula>"欠"</formula>
    </cfRule>
  </conditionalFormatting>
  <conditionalFormatting sqref="S873:S874">
    <cfRule type="cellIs" dxfId="0" priority="5826" operator="equal">
      <formula>"欠"</formula>
    </cfRule>
  </conditionalFormatting>
  <conditionalFormatting sqref="S885:S886">
    <cfRule type="cellIs" dxfId="0" priority="4216" operator="equal">
      <formula>"欠"</formula>
    </cfRule>
  </conditionalFormatting>
  <conditionalFormatting sqref="S912:S913">
    <cfRule type="cellIs" dxfId="0" priority="4209" operator="equal">
      <formula>"欠"</formula>
    </cfRule>
  </conditionalFormatting>
  <conditionalFormatting sqref="S952:S957">
    <cfRule type="cellIs" dxfId="0" priority="5265" operator="equal">
      <formula>"欠"</formula>
    </cfRule>
  </conditionalFormatting>
  <conditionalFormatting sqref="S977:S978">
    <cfRule type="cellIs" dxfId="0" priority="5036" operator="equal">
      <formula>"欠"</formula>
    </cfRule>
  </conditionalFormatting>
  <conditionalFormatting sqref="S1013:S1015">
    <cfRule type="cellIs" dxfId="0" priority="4357" operator="equal">
      <formula>"欠"</formula>
    </cfRule>
  </conditionalFormatting>
  <conditionalFormatting sqref="S1054:S1055">
    <cfRule type="cellIs" dxfId="0" priority="2758" operator="equal">
      <formula>"欠"</formula>
    </cfRule>
  </conditionalFormatting>
  <conditionalFormatting sqref="S1060:S1061">
    <cfRule type="cellIs" dxfId="0" priority="3401" operator="equal">
      <formula>"欠"</formula>
    </cfRule>
  </conditionalFormatting>
  <conditionalFormatting sqref="S1066:S1070">
    <cfRule type="cellIs" dxfId="0" priority="3562" operator="equal">
      <formula>"欠"</formula>
    </cfRule>
  </conditionalFormatting>
  <conditionalFormatting sqref="S1077:S1078">
    <cfRule type="cellIs" dxfId="0" priority="3300" operator="equal">
      <formula>"欠"</formula>
    </cfRule>
  </conditionalFormatting>
  <conditionalFormatting sqref="S1082:S1083">
    <cfRule type="cellIs" dxfId="0" priority="2637" operator="equal">
      <formula>"欠"</formula>
    </cfRule>
  </conditionalFormatting>
  <conditionalFormatting sqref="S1101:S1102">
    <cfRule type="cellIs" dxfId="0" priority="2262" operator="equal">
      <formula>"欠"</formula>
    </cfRule>
  </conditionalFormatting>
  <conditionalFormatting sqref="S1105:S1106">
    <cfRule type="cellIs" dxfId="0" priority="3316" operator="equal">
      <formula>"欠"</formula>
    </cfRule>
  </conditionalFormatting>
  <conditionalFormatting sqref="S1113:S1117">
    <cfRule type="cellIs" dxfId="0" priority="2507" operator="equal">
      <formula>"欠"</formula>
    </cfRule>
  </conditionalFormatting>
  <conditionalFormatting sqref="S1152:S1153">
    <cfRule type="cellIs" dxfId="0" priority="2345" operator="equal">
      <formula>"欠"</formula>
    </cfRule>
  </conditionalFormatting>
  <conditionalFormatting sqref="S1173:S1174">
    <cfRule type="cellIs" dxfId="0" priority="2304" operator="equal">
      <formula>"欠"</formula>
    </cfRule>
  </conditionalFormatting>
  <conditionalFormatting sqref="S1175:S1176">
    <cfRule type="cellIs" dxfId="0" priority="3445" operator="equal">
      <formula>"欠"</formula>
    </cfRule>
  </conditionalFormatting>
  <conditionalFormatting sqref="S1177:S1178">
    <cfRule type="cellIs" dxfId="0" priority="1941" operator="equal">
      <formula>"欠"</formula>
    </cfRule>
  </conditionalFormatting>
  <conditionalFormatting sqref="S1209:S1211">
    <cfRule type="cellIs" dxfId="0" priority="920" operator="equal">
      <formula>"欠"</formula>
    </cfRule>
  </conditionalFormatting>
  <conditionalFormatting sqref="V565:V569">
    <cfRule type="cellIs" dxfId="0" priority="8342" operator="equal">
      <formula>"欠"</formula>
    </cfRule>
  </conditionalFormatting>
  <conditionalFormatting sqref="V579:V580">
    <cfRule type="cellIs" dxfId="0" priority="8284" operator="equal">
      <formula>"欠"</formula>
    </cfRule>
  </conditionalFormatting>
  <conditionalFormatting sqref="V595:V601">
    <cfRule type="cellIs" dxfId="0" priority="8290" operator="equal">
      <formula>"欠"</formula>
    </cfRule>
  </conditionalFormatting>
  <conditionalFormatting sqref="V659:V660">
    <cfRule type="cellIs" dxfId="0" priority="7799" operator="equal">
      <formula>"欠"</formula>
    </cfRule>
  </conditionalFormatting>
  <conditionalFormatting sqref="V854:V856">
    <cfRule type="cellIs" dxfId="0" priority="5857" operator="equal">
      <formula>"欠"</formula>
    </cfRule>
  </conditionalFormatting>
  <conditionalFormatting sqref="V912:V913">
    <cfRule type="cellIs" dxfId="0" priority="5732" operator="equal">
      <formula>"欠"</formula>
    </cfRule>
  </conditionalFormatting>
  <conditionalFormatting sqref="V950:V953">
    <cfRule type="cellIs" dxfId="0" priority="5266" operator="equal">
      <formula>"欠"</formula>
    </cfRule>
  </conditionalFormatting>
  <conditionalFormatting sqref="V954:V955">
    <cfRule type="cellIs" dxfId="0" priority="5256" operator="equal">
      <formula>"欠"</formula>
    </cfRule>
  </conditionalFormatting>
  <conditionalFormatting sqref="V959:V962">
    <cfRule type="cellIs" dxfId="0" priority="7677" operator="equal">
      <formula>"欠"</formula>
    </cfRule>
  </conditionalFormatting>
  <conditionalFormatting sqref="V971:V972">
    <cfRule type="cellIs" dxfId="0" priority="8050" operator="equal">
      <formula>"欠"</formula>
    </cfRule>
  </conditionalFormatting>
  <conditionalFormatting sqref="V1101:V1102">
    <cfRule type="cellIs" dxfId="0" priority="2250" operator="equal">
      <formula>"欠"</formula>
    </cfRule>
  </conditionalFormatting>
  <conditionalFormatting sqref="V1243:V1244">
    <cfRule type="cellIs" dxfId="0" priority="1992" operator="equal">
      <formula>"欠"</formula>
    </cfRule>
  </conditionalFormatting>
  <conditionalFormatting sqref="V1278:V1279">
    <cfRule type="cellIs" dxfId="0" priority="548" operator="equal">
      <formula>"欠"</formula>
    </cfRule>
  </conditionalFormatting>
  <conditionalFormatting sqref="V1422:V1424">
    <cfRule type="cellIs" dxfId="0" priority="565" operator="equal">
      <formula>"欠"</formula>
    </cfRule>
  </conditionalFormatting>
  <conditionalFormatting sqref="W363:W364">
    <cfRule type="cellIs" dxfId="0" priority="12656" operator="equal">
      <formula>"欠"</formula>
    </cfRule>
  </conditionalFormatting>
  <conditionalFormatting sqref="W379:W380">
    <cfRule type="cellIs" dxfId="0" priority="10086" operator="equal">
      <formula>"欠"</formula>
    </cfRule>
  </conditionalFormatting>
  <conditionalFormatting sqref="W406:W408">
    <cfRule type="cellIs" dxfId="0" priority="12663" operator="equal">
      <formula>"欠"</formula>
    </cfRule>
  </conditionalFormatting>
  <conditionalFormatting sqref="W414:W417">
    <cfRule type="cellIs" dxfId="0" priority="10195" operator="equal">
      <formula>"欠"</formula>
    </cfRule>
  </conditionalFormatting>
  <conditionalFormatting sqref="W418:W419">
    <cfRule type="cellIs" dxfId="0" priority="9746" operator="equal">
      <formula>"欠"</formula>
    </cfRule>
  </conditionalFormatting>
  <conditionalFormatting sqref="W1448:W1527">
    <cfRule type="containsText" dxfId="3" priority="4" operator="between" text="欠">
      <formula>NOT(ISERROR(SEARCH("欠",W1448)))</formula>
    </cfRule>
    <cfRule type="containsText" dxfId="3" priority="5" operator="between" text="未安排">
      <formula>NOT(ISERROR(SEARCH("未安排",W1448)))</formula>
    </cfRule>
    <cfRule type="cellIs" dxfId="3" priority="6" operator="equal">
      <formula>"否"</formula>
    </cfRule>
  </conditionalFormatting>
  <conditionalFormatting sqref="AB1448:AB1527">
    <cfRule type="containsText" dxfId="3" priority="1" operator="between" text="欠">
      <formula>NOT(ISERROR(SEARCH("欠",AB1448)))</formula>
    </cfRule>
    <cfRule type="containsText" dxfId="3" priority="7" operator="between" text="否">
      <formula>NOT(ISERROR(SEARCH("否",AB1448)))</formula>
    </cfRule>
  </conditionalFormatting>
  <conditionalFormatting sqref="AE500:AE501">
    <cfRule type="cellIs" dxfId="0" priority="9777" operator="equal">
      <formula>"未完成"</formula>
    </cfRule>
  </conditionalFormatting>
  <conditionalFormatting sqref="AG18:AG19">
    <cfRule type="cellIs" dxfId="0" priority="12297" operator="equal">
      <formula>"未完成"</formula>
    </cfRule>
  </conditionalFormatting>
  <conditionalFormatting sqref="AG21:AG87">
    <cfRule type="cellIs" dxfId="0" priority="10996" operator="equal">
      <formula>"未完成"</formula>
    </cfRule>
  </conditionalFormatting>
  <conditionalFormatting sqref="AG95:AG97">
    <cfRule type="cellIs" dxfId="0" priority="12070" operator="equal">
      <formula>"未完成"</formula>
    </cfRule>
  </conditionalFormatting>
  <conditionalFormatting sqref="AG176:AG201">
    <cfRule type="cellIs" dxfId="0" priority="10720" operator="equal">
      <formula>"未完成"</formula>
    </cfRule>
  </conditionalFormatting>
  <conditionalFormatting sqref="AG204:AG249">
    <cfRule type="cellIs" dxfId="0" priority="10568" operator="equal">
      <formula>"未完成"</formula>
    </cfRule>
  </conditionalFormatting>
  <conditionalFormatting sqref="AG374:AG375">
    <cfRule type="cellIs" dxfId="0" priority="10776" operator="equal">
      <formula>"未完成"</formula>
    </cfRule>
  </conditionalFormatting>
  <conditionalFormatting sqref="AG379:AG380">
    <cfRule type="cellIs" dxfId="0" priority="10089" operator="equal">
      <formula>"未完成"</formula>
    </cfRule>
  </conditionalFormatting>
  <conditionalFormatting sqref="AG414:AG417">
    <cfRule type="cellIs" dxfId="0" priority="10198" operator="equal">
      <formula>"未完成"</formula>
    </cfRule>
  </conditionalFormatting>
  <conditionalFormatting sqref="AG418:AG419">
    <cfRule type="cellIs" dxfId="0" priority="9749" operator="equal">
      <formula>"未完成"</formula>
    </cfRule>
  </conditionalFormatting>
  <conditionalFormatting sqref="AH18:AH19">
    <cfRule type="cellIs" dxfId="0" priority="7355" operator="equal">
      <formula>"未完成"</formula>
    </cfRule>
  </conditionalFormatting>
  <conditionalFormatting sqref="AH21:AH87">
    <cfRule type="cellIs" dxfId="0" priority="7319" operator="equal">
      <formula>"未完成"</formula>
    </cfRule>
  </conditionalFormatting>
  <conditionalFormatting sqref="AH95:AH97">
    <cfRule type="cellIs" dxfId="0" priority="7353" operator="equal">
      <formula>"未完成"</formula>
    </cfRule>
  </conditionalFormatting>
  <conditionalFormatting sqref="AH176:AH201">
    <cfRule type="cellIs" dxfId="0" priority="7286" operator="equal">
      <formula>"未完成"</formula>
    </cfRule>
  </conditionalFormatting>
  <conditionalFormatting sqref="AH204:AH249">
    <cfRule type="cellIs" dxfId="0" priority="7282" operator="equal">
      <formula>"未完成"</formula>
    </cfRule>
  </conditionalFormatting>
  <conditionalFormatting sqref="AH374:AH375">
    <cfRule type="cellIs" dxfId="0" priority="7292" operator="equal">
      <formula>"未完成"</formula>
    </cfRule>
  </conditionalFormatting>
  <conditionalFormatting sqref="AH379:AH380">
    <cfRule type="cellIs" dxfId="0" priority="7262" operator="equal">
      <formula>"未完成"</formula>
    </cfRule>
  </conditionalFormatting>
  <conditionalFormatting sqref="AH414:AH417">
    <cfRule type="cellIs" dxfId="0" priority="7274" operator="equal">
      <formula>"未完成"</formula>
    </cfRule>
  </conditionalFormatting>
  <conditionalFormatting sqref="AH418:AH419">
    <cfRule type="cellIs" dxfId="0" priority="7220" operator="equal">
      <formula>"未完成"</formula>
    </cfRule>
  </conditionalFormatting>
  <conditionalFormatting sqref="AH866:AH867">
    <cfRule type="cellIs" dxfId="0" priority="5096" operator="equal">
      <formula>"未完成"</formula>
    </cfRule>
  </conditionalFormatting>
  <conditionalFormatting sqref="AH1002:AH1003">
    <cfRule type="cellIs" dxfId="0" priority="5738" operator="equal">
      <formula>"未完成"</formula>
    </cfRule>
  </conditionalFormatting>
  <conditionalFormatting sqref="AH1243:AH1244">
    <cfRule type="cellIs" dxfId="0" priority="1991" operator="equal">
      <formula>"未完成"</formula>
    </cfRule>
  </conditionalFormatting>
  <conditionalFormatting sqref="AH1278:AH1279">
    <cfRule type="cellIs" dxfId="0" priority="547" operator="equal">
      <formula>"未完成"</formula>
    </cfRule>
  </conditionalFormatting>
  <conditionalFormatting sqref="AH1357:AH1363">
    <cfRule type="cellIs" dxfId="0" priority="366" operator="equal">
      <formula>"未完成"</formula>
    </cfRule>
  </conditionalFormatting>
  <conditionalFormatting sqref="AH1383:AH1394">
    <cfRule type="cellIs" dxfId="0" priority="1029" operator="equal">
      <formula>"未完成"</formula>
    </cfRule>
  </conditionalFormatting>
  <conditionalFormatting sqref="AH1422:AH1424">
    <cfRule type="cellIs" dxfId="0" priority="561" operator="equal">
      <formula>"未完成"</formula>
    </cfRule>
  </conditionalFormatting>
  <conditionalFormatting sqref="AI1448:AI1527">
    <cfRule type="cellIs" dxfId="0" priority="13" operator="equal">
      <formula>"未完成"</formula>
    </cfRule>
  </conditionalFormatting>
  <conditionalFormatting sqref="AK534:AK536">
    <cfRule type="cellIs" dxfId="1" priority="8847" operator="equal">
      <formula>"未完成"</formula>
    </cfRule>
    <cfRule type="cellIs" dxfId="0" priority="8850" operator="equal">
      <formula>"未完成"</formula>
    </cfRule>
  </conditionalFormatting>
  <conditionalFormatting sqref="AK540:AK542">
    <cfRule type="cellIs" dxfId="1" priority="9192" operator="equal">
      <formula>"未完成"</formula>
    </cfRule>
    <cfRule type="cellIs" dxfId="0" priority="9193" operator="equal">
      <formula>"未完成"</formula>
    </cfRule>
  </conditionalFormatting>
  <conditionalFormatting sqref="AK563:AK569">
    <cfRule type="cellIs" dxfId="1" priority="8609" operator="equal">
      <formula>"未完成"</formula>
    </cfRule>
    <cfRule type="cellIs" dxfId="0" priority="8610" operator="equal">
      <formula>"未完成"</formula>
    </cfRule>
  </conditionalFormatting>
  <conditionalFormatting sqref="AK578:AK580">
    <cfRule type="cellIs" dxfId="1" priority="8865" operator="equal">
      <formula>"未完成"</formula>
    </cfRule>
    <cfRule type="cellIs" dxfId="0" priority="8866" operator="equal">
      <formula>"未完成"</formula>
    </cfRule>
  </conditionalFormatting>
  <conditionalFormatting sqref="AK594:AK601">
    <cfRule type="cellIs" dxfId="1" priority="8415" operator="equal">
      <formula>"未完成"</formula>
    </cfRule>
    <cfRule type="cellIs" dxfId="0" priority="8418" operator="equal">
      <formula>"未完成"</formula>
    </cfRule>
  </conditionalFormatting>
  <conditionalFormatting sqref="AK604:AK605">
    <cfRule type="cellIs" dxfId="1" priority="8367" operator="equal">
      <formula>"未完成"</formula>
    </cfRule>
    <cfRule type="cellIs" dxfId="0" priority="8368" operator="equal">
      <formula>"未完成"</formula>
    </cfRule>
  </conditionalFormatting>
  <conditionalFormatting sqref="AK648:AK649">
    <cfRule type="cellIs" dxfId="1" priority="8774" operator="equal">
      <formula>"未完成"</formula>
    </cfRule>
    <cfRule type="cellIs" dxfId="0" priority="8781" operator="equal">
      <formula>"未完成"</formula>
    </cfRule>
  </conditionalFormatting>
  <conditionalFormatting sqref="AK653:AK654">
    <cfRule type="cellIs" dxfId="1" priority="8239" operator="equal">
      <formula>"未完成"</formula>
    </cfRule>
    <cfRule type="cellIs" dxfId="0" priority="8240" operator="equal">
      <formula>"未完成"</formula>
    </cfRule>
  </conditionalFormatting>
  <conditionalFormatting sqref="AK659:AK660">
    <cfRule type="cellIs" dxfId="1" priority="7801" operator="equal">
      <formula>"未完成"</formula>
    </cfRule>
    <cfRule type="cellIs" dxfId="0" priority="7802" operator="equal">
      <formula>"未完成"</formula>
    </cfRule>
  </conditionalFormatting>
  <conditionalFormatting sqref="AK854:AK856">
    <cfRule type="cellIs" dxfId="1" priority="5859" operator="equal">
      <formula>"未完成"</formula>
    </cfRule>
    <cfRule type="cellIs" dxfId="0" priority="5860" operator="equal">
      <formula>"未完成"</formula>
    </cfRule>
  </conditionalFormatting>
  <conditionalFormatting sqref="AK912:AK913">
    <cfRule type="cellIs" dxfId="1" priority="5734" operator="equal">
      <formula>"未完成"</formula>
    </cfRule>
    <cfRule type="cellIs" dxfId="0" priority="5735" operator="equal">
      <formula>"未完成"</formula>
    </cfRule>
  </conditionalFormatting>
  <conditionalFormatting sqref="AK950:AK953">
    <cfRule type="cellIs" dxfId="1" priority="5268" operator="equal">
      <formula>"未完成"</formula>
    </cfRule>
    <cfRule type="cellIs" dxfId="0" priority="5269" operator="equal">
      <formula>"未完成"</formula>
    </cfRule>
  </conditionalFormatting>
  <conditionalFormatting sqref="AK954:AK955">
    <cfRule type="cellIs" dxfId="1" priority="5258" operator="equal">
      <formula>"未完成"</formula>
    </cfRule>
    <cfRule type="cellIs" dxfId="0" priority="5259" operator="equal">
      <formula>"未完成"</formula>
    </cfRule>
  </conditionalFormatting>
  <conditionalFormatting sqref="AK959:AK962">
    <cfRule type="cellIs" dxfId="1" priority="7679" operator="equal">
      <formula>"未完成"</formula>
    </cfRule>
    <cfRule type="cellIs" dxfId="0" priority="7680" operator="equal">
      <formula>"未完成"</formula>
    </cfRule>
  </conditionalFormatting>
  <conditionalFormatting sqref="AK1101:AK1102">
    <cfRule type="cellIs" dxfId="1" priority="2252" operator="equal">
      <formula>"未完成"</formula>
    </cfRule>
    <cfRule type="cellIs" dxfId="0" priority="2253" operator="equal">
      <formula>"未完成"</formula>
    </cfRule>
  </conditionalFormatting>
  <conditionalFormatting sqref="AK1123:AK1124">
    <cfRule type="cellIs" dxfId="1" priority="2527" operator="equal">
      <formula>"未完成"</formula>
    </cfRule>
    <cfRule type="cellIs" dxfId="0" priority="2528" operator="equal">
      <formula>"未完成"</formula>
    </cfRule>
  </conditionalFormatting>
  <conditionalFormatting sqref="AK1243:AK1244">
    <cfRule type="cellIs" dxfId="1" priority="1994" operator="equal">
      <formula>"未完成"</formula>
    </cfRule>
    <cfRule type="cellIs" dxfId="0" priority="1995" operator="equal">
      <formula>"未完成"</formula>
    </cfRule>
  </conditionalFormatting>
  <conditionalFormatting sqref="AK1278:AK1279">
    <cfRule type="cellIs" dxfId="1" priority="550" operator="equal">
      <formula>"未完成"</formula>
    </cfRule>
    <cfRule type="cellIs" dxfId="0" priority="551" operator="equal">
      <formula>"未完成"</formula>
    </cfRule>
  </conditionalFormatting>
  <conditionalFormatting sqref="AK1357:AK1363">
    <cfRule type="cellIs" dxfId="1" priority="369" operator="equal">
      <formula>"未完成"</formula>
    </cfRule>
    <cfRule type="cellIs" dxfId="0" priority="370" operator="equal">
      <formula>"未完成"</formula>
    </cfRule>
  </conditionalFormatting>
  <conditionalFormatting sqref="AK1383:AK1394">
    <cfRule type="cellIs" dxfId="1" priority="1044" operator="equal">
      <formula>"未完成"</formula>
    </cfRule>
    <cfRule type="cellIs" dxfId="0" priority="1049" operator="equal">
      <formula>"未完成"</formula>
    </cfRule>
  </conditionalFormatting>
  <conditionalFormatting sqref="AK1422:AK1424">
    <cfRule type="cellIs" dxfId="1" priority="573" operator="equal">
      <formula>"未完成"</formula>
    </cfRule>
    <cfRule type="cellIs" dxfId="0" priority="577" operator="equal">
      <formula>"未完成"</formula>
    </cfRule>
  </conditionalFormatting>
  <conditionalFormatting sqref="AL374:AL375">
    <cfRule type="cellIs" dxfId="1" priority="10777" operator="equal">
      <formula>"未完成"</formula>
    </cfRule>
    <cfRule type="cellIs" dxfId="0" priority="10778" operator="equal">
      <formula>"未完成"</formula>
    </cfRule>
  </conditionalFormatting>
  <conditionalFormatting sqref="AL534:AL536">
    <cfRule type="cellIs" dxfId="0" priority="8844" operator="equal">
      <formula>"欠"</formula>
    </cfRule>
  </conditionalFormatting>
  <conditionalFormatting sqref="AL540:AL542">
    <cfRule type="cellIs" dxfId="0" priority="9191" operator="equal">
      <formula>"欠"</formula>
    </cfRule>
  </conditionalFormatting>
  <conditionalFormatting sqref="AL563:AL569">
    <cfRule type="cellIs" dxfId="0" priority="8608" operator="equal">
      <formula>"欠"</formula>
    </cfRule>
  </conditionalFormatting>
  <conditionalFormatting sqref="AL578:AL580">
    <cfRule type="cellIs" dxfId="0" priority="8864" operator="equal">
      <formula>"欠"</formula>
    </cfRule>
  </conditionalFormatting>
  <conditionalFormatting sqref="AL594:AL601">
    <cfRule type="cellIs" dxfId="0" priority="8412" operator="equal">
      <formula>"欠"</formula>
    </cfRule>
  </conditionalFormatting>
  <conditionalFormatting sqref="AL604:AL605">
    <cfRule type="cellIs" dxfId="0" priority="8366" operator="equal">
      <formula>"欠"</formula>
    </cfRule>
  </conditionalFormatting>
  <conditionalFormatting sqref="AL644:AL646">
    <cfRule type="cellIs" dxfId="0" priority="8768" operator="equal">
      <formula>"欠"</formula>
    </cfRule>
  </conditionalFormatting>
  <conditionalFormatting sqref="AL648:AL649">
    <cfRule type="cellIs" dxfId="0" priority="8767" operator="equal">
      <formula>"欠"</formula>
    </cfRule>
  </conditionalFormatting>
  <conditionalFormatting sqref="AL653:AL654">
    <cfRule type="cellIs" dxfId="0" priority="8238" operator="equal">
      <formula>"欠"</formula>
    </cfRule>
  </conditionalFormatting>
  <conditionalFormatting sqref="AL659:AL660">
    <cfRule type="cellIs" dxfId="0" priority="7800" operator="equal">
      <formula>"欠"</formula>
    </cfRule>
  </conditionalFormatting>
  <conditionalFormatting sqref="AL854:AL856">
    <cfRule type="cellIs" dxfId="0" priority="5858" operator="equal">
      <formula>"欠"</formula>
    </cfRule>
  </conditionalFormatting>
  <conditionalFormatting sqref="AL912:AL913">
    <cfRule type="cellIs" dxfId="0" priority="5733" operator="equal">
      <formula>"欠"</formula>
    </cfRule>
  </conditionalFormatting>
  <conditionalFormatting sqref="AL950:AL953">
    <cfRule type="cellIs" dxfId="0" priority="5267" operator="equal">
      <formula>"欠"</formula>
    </cfRule>
  </conditionalFormatting>
  <conditionalFormatting sqref="AL954:AL955">
    <cfRule type="cellIs" dxfId="0" priority="5257" operator="equal">
      <formula>"欠"</formula>
    </cfRule>
  </conditionalFormatting>
  <conditionalFormatting sqref="AL959:AL962">
    <cfRule type="cellIs" dxfId="0" priority="7678" operator="equal">
      <formula>"欠"</formula>
    </cfRule>
  </conditionalFormatting>
  <conditionalFormatting sqref="AL998:AL999">
    <cfRule type="cellIs" dxfId="0" priority="4675" operator="equal">
      <formula>"欠"</formula>
    </cfRule>
  </conditionalFormatting>
  <conditionalFormatting sqref="AL1033:AL1037">
    <cfRule type="cellIs" dxfId="0" priority="3480" operator="equal">
      <formula>"欠"</formula>
    </cfRule>
  </conditionalFormatting>
  <conditionalFormatting sqref="AL1094:AL1100">
    <cfRule type="cellIs" dxfId="0" priority="2724" operator="equal">
      <formula>"欠"</formula>
    </cfRule>
  </conditionalFormatting>
  <conditionalFormatting sqref="AL1101:AL1102">
    <cfRule type="cellIs" dxfId="0" priority="2251" operator="equal">
      <formula>"欠"</formula>
    </cfRule>
  </conditionalFormatting>
  <conditionalFormatting sqref="AL1113:AL1117">
    <cfRule type="cellIs" dxfId="0" priority="2453" operator="equal">
      <formula>"欠"</formula>
    </cfRule>
  </conditionalFormatting>
  <conditionalFormatting sqref="AL1123:AL1124">
    <cfRule type="cellIs" dxfId="0" priority="2526" operator="equal">
      <formula>"欠"</formula>
    </cfRule>
  </conditionalFormatting>
  <conditionalFormatting sqref="AL1130:AL1134">
    <cfRule type="cellIs" dxfId="0" priority="1652" operator="equal">
      <formula>"欠"</formula>
    </cfRule>
  </conditionalFormatting>
  <conditionalFormatting sqref="AL1196:AL1200">
    <cfRule type="cellIs" dxfId="0" priority="1409" operator="equal">
      <formula>"欠"</formula>
    </cfRule>
  </conditionalFormatting>
  <conditionalFormatting sqref="AL1224:AL1233">
    <cfRule type="cellIs" dxfId="0" priority="1163" operator="equal">
      <formula>"欠"</formula>
    </cfRule>
  </conditionalFormatting>
  <conditionalFormatting sqref="AL1243:AL1244">
    <cfRule type="cellIs" dxfId="0" priority="1993" operator="equal">
      <formula>"欠"</formula>
    </cfRule>
  </conditionalFormatting>
  <conditionalFormatting sqref="AL1278:AL1279">
    <cfRule type="cellIs" dxfId="0" priority="549" operator="equal">
      <formula>"欠"</formula>
    </cfRule>
  </conditionalFormatting>
  <conditionalFormatting sqref="AL1357:AL1363">
    <cfRule type="cellIs" dxfId="0" priority="368" operator="equal">
      <formula>"欠"</formula>
    </cfRule>
  </conditionalFormatting>
  <conditionalFormatting sqref="AL1383:AL1394">
    <cfRule type="cellIs" dxfId="0" priority="1039" operator="equal">
      <formula>"欠"</formula>
    </cfRule>
  </conditionalFormatting>
  <conditionalFormatting sqref="AL1422:AL1424">
    <cfRule type="cellIs" dxfId="0" priority="569" operator="equal">
      <formula>"欠"</formula>
    </cfRule>
  </conditionalFormatting>
  <conditionalFormatting sqref="AL1448:AL1527">
    <cfRule type="cellIs" dxfId="1" priority="16" operator="equal">
      <formula>"未完成"</formula>
    </cfRule>
    <cfRule type="cellIs" dxfId="0" priority="17" operator="equal">
      <formula>"未完成"</formula>
    </cfRule>
  </conditionalFormatting>
  <conditionalFormatting sqref="AM1448:AM1527">
    <cfRule type="cellIs" dxfId="0" priority="15" operator="equal">
      <formula>"欠"</formula>
    </cfRule>
  </conditionalFormatting>
  <conditionalFormatting sqref="R1:R626 R628:R661 R849:R851 R869 R872 R882:R883 R930 R936 R944:R945 R958 R962 R971:R973 R976 R984 R988:R989 R996 R1002:R1003 R1016 R1080:R1081 R1088:R1089 R1092 R1129 R1134 R1163:R1164 R1388:R1389 R1480:R1491 R1515:R1526 R1531:R1534 R1537:R1048576">
    <cfRule type="containsText" dxfId="0" priority="7786" operator="between" text="欠">
      <formula>NOT(ISERROR(SEARCH("欠",R1)))</formula>
    </cfRule>
  </conditionalFormatting>
  <conditionalFormatting sqref="R1:R423 R451:R473 R476:R490 R492:R504 R507:R512 R515:R523 R525:R531 R537 R543:R544 R578 R590:R591 R608 R615 R634 R645:R647 R1506:R1526 R1528 R1531:R1534 R1537:R1048576">
    <cfRule type="containsText" dxfId="0" priority="9197" operator="between" text="欠">
      <formula>NOT(ISERROR(SEARCH("欠",R1)))</formula>
    </cfRule>
  </conditionalFormatting>
  <conditionalFormatting sqref="R1:R1373 R1375:R1447 R1528:R1532 R1535:R1048576">
    <cfRule type="containsText" dxfId="3" priority="42" operator="between" text="欠">
      <formula>NOT(ISERROR(SEARCH("欠",R1)))</formula>
    </cfRule>
  </conditionalFormatting>
  <conditionalFormatting sqref="T1:U1389 T1391:U1403 T1404 T1406:U1447 T1454:T1455 T1457 U1460 T1463:U1470 T1473:T1474 T1478:T1479 T1500 T1515 T1528:U1532 U1533:U1534 T1535:U1048576">
    <cfRule type="containsText" dxfId="3" priority="44" operator="between" text="欠">
      <formula>NOT(ISERROR(SEARCH("欠",T1)))</formula>
    </cfRule>
  </conditionalFormatting>
  <conditionalFormatting sqref="T1:U84 T86:U326 T363:U424 T451:U452 T454:U463 T465:U473 T476:U485 T487:U490 T492:U498 T500:U504 T509:U512 T516:U523 T525:U527 T548:U554 T556:U558 T578:U578 T582:U583 T585:U585 T624:U624 T645:U646 T931:U932 T974:U976 T1157:U1157 T1208:U1208 T1506:U1509 U1510:U1513 T1514:U1518 U1519 T1520:U1526 U1527 T1528:U1528 U1529:U1530 T1531:U1532 U1533 T1534:U1534 U1535:U1536 T1537:U1048576">
    <cfRule type="containsText" dxfId="0" priority="9587" operator="between" text="欠">
      <formula>NOT(ISERROR(SEARCH("欠",T1)))</formula>
    </cfRule>
  </conditionalFormatting>
  <conditionalFormatting sqref="T1:U84 T86:U223 T1506:U1509 U1510:U1513 T1514:U1518 U1519 T1520:U1526 U1527 T1528:U1528 U1529:U1530 T1531:U1532 U1533 T1534:U1534 U1535:U1536 T1537:U1048576">
    <cfRule type="containsText" dxfId="2" priority="10460" operator="between" text="欠">
      <formula>NOT(ISERROR(SEARCH("欠",T1)))</formula>
    </cfRule>
  </conditionalFormatting>
  <conditionalFormatting sqref="T1:U531 T535:U626 T628:U661 T682:U683 T714:U715 T849:U851 T869:U869 T872:U872 T931:U932 T944:U945 T958:U958 T962:U962 T967:U967 T971:U976 T988:U989 T992:U992 T1002:U1003 T1157:U1157 T1163:U1164 T1208:U1208 T1388:U1389 U1480 T1481:U1490 T1491 T1515:U1517 U1518:U1519 T1520:U1526 U1527:U1530 T1531:U1534 U1535:U1536 T1537:U1048576">
    <cfRule type="containsText" dxfId="0" priority="7787" operator="between" text="欠">
      <formula>NOT(ISERROR(SEARCH("欠",T1)))</formula>
    </cfRule>
  </conditionalFormatting>
  <conditionalFormatting sqref="W1:W1373 W1375:W1447 W1528:W1048576">
    <cfRule type="containsText" dxfId="3" priority="43" operator="between" text="欠">
      <formula>NOT(ISERROR(SEARCH("欠",W1)))</formula>
    </cfRule>
    <cfRule type="containsText" dxfId="3" priority="45" operator="between" text="未安排">
      <formula>NOT(ISERROR(SEARCH("未安排",W1)))</formula>
    </cfRule>
  </conditionalFormatting>
  <conditionalFormatting sqref="AB1:AB1373 AB1375:AB1447 AB1528:AB1048576">
    <cfRule type="containsText" dxfId="3" priority="41" operator="between" text="欠">
      <formula>NOT(ISERROR(SEARCH("欠",AB1)))</formula>
    </cfRule>
    <cfRule type="containsText" dxfId="3" priority="46" operator="between" text="否">
      <formula>NOT(ISERROR(SEARCH("否",AB1)))</formula>
    </cfRule>
  </conditionalFormatting>
  <conditionalFormatting sqref="AG1 AG1540:AG1543 AG1548:AG1048576">
    <cfRule type="cellIs" dxfId="0" priority="13716" operator="equal">
      <formula>"未完成"</formula>
    </cfRule>
  </conditionalFormatting>
  <conditionalFormatting sqref="AH1 AH1506:AH1538 AH1543:AH1048576">
    <cfRule type="cellIs" dxfId="0" priority="7380" operator="equal">
      <formula>"未完成"</formula>
    </cfRule>
  </conditionalFormatting>
  <conditionalFormatting sqref="R2 T2:W2 R1520:R1521 T1520:W1521 U1522:W1522">
    <cfRule type="cellIs" dxfId="0" priority="13720" operator="equal">
      <formula>"欠"</formula>
    </cfRule>
  </conditionalFormatting>
  <conditionalFormatting sqref="AL2:AM2 AK1506:AM1540">
    <cfRule type="cellIs" dxfId="1" priority="13724" operator="equal">
      <formula>"未完成"</formula>
    </cfRule>
    <cfRule type="cellIs" dxfId="0" priority="13725" operator="equal">
      <formula>"未完成"</formula>
    </cfRule>
  </conditionalFormatting>
  <conditionalFormatting sqref="R3 T3:W3">
    <cfRule type="cellIs" dxfId="0" priority="12360" operator="equal">
      <formula>"欠"</formula>
    </cfRule>
  </conditionalFormatting>
  <conditionalFormatting sqref="R4 T4:W4">
    <cfRule type="cellIs" dxfId="0" priority="12359" operator="equal">
      <formula>"欠"</formula>
    </cfRule>
  </conditionalFormatting>
  <conditionalFormatting sqref="R5 T5:W5">
    <cfRule type="cellIs" dxfId="0" priority="12358" operator="equal">
      <formula>"欠"</formula>
    </cfRule>
  </conditionalFormatting>
  <conditionalFormatting sqref="R6 T6:W6">
    <cfRule type="cellIs" dxfId="0" priority="12357" operator="equal">
      <formula>"欠"</formula>
    </cfRule>
  </conditionalFormatting>
  <conditionalFormatting sqref="R7 T7:W7">
    <cfRule type="cellIs" dxfId="0" priority="12356" operator="equal">
      <formula>"欠"</formula>
    </cfRule>
  </conditionalFormatting>
  <conditionalFormatting sqref="R8 T8:W8">
    <cfRule type="cellIs" dxfId="0" priority="12355" operator="equal">
      <formula>"欠"</formula>
    </cfRule>
  </conditionalFormatting>
  <conditionalFormatting sqref="R9 T9:W9">
    <cfRule type="cellIs" dxfId="0" priority="12354" operator="equal">
      <formula>"欠"</formula>
    </cfRule>
  </conditionalFormatting>
  <conditionalFormatting sqref="R10 T10:W10">
    <cfRule type="cellIs" dxfId="0" priority="12353" operator="equal">
      <formula>"欠"</formula>
    </cfRule>
  </conditionalFormatting>
  <conditionalFormatting sqref="R11 T11:W11">
    <cfRule type="cellIs" dxfId="0" priority="12352" operator="equal">
      <formula>"欠"</formula>
    </cfRule>
  </conditionalFormatting>
  <conditionalFormatting sqref="R12 T12:W12">
    <cfRule type="cellIs" dxfId="0" priority="12351" operator="equal">
      <formula>"欠"</formula>
    </cfRule>
  </conditionalFormatting>
  <conditionalFormatting sqref="R13 T13:W13 T14:U14">
    <cfRule type="cellIs" dxfId="0" priority="12350" operator="equal">
      <formula>"欠"</formula>
    </cfRule>
  </conditionalFormatting>
  <conditionalFormatting sqref="R14 V14:W14">
    <cfRule type="cellIs" dxfId="0" priority="12349" operator="equal">
      <formula>"欠"</formula>
    </cfRule>
  </conditionalFormatting>
  <conditionalFormatting sqref="R15 V15 T15:T16 T21 T34 T44:T48">
    <cfRule type="cellIs" dxfId="0" priority="12308" operator="equal">
      <formula>"欠"</formula>
    </cfRule>
  </conditionalFormatting>
  <conditionalFormatting sqref="V15:V16 V21 V34 V44:V48 V63 V69 V86:V90 V117:V118 V135:V139 V155 V169 V189:V190 V196:V199 V211:V212 V218:V222 V237:V238 V243:V255 V275:V278 V300:V301 V309 V315:V319 V333:V334 V345:V349 V368:V369 V385:V386">
    <cfRule type="cellIs" dxfId="0" priority="9338" operator="equal">
      <formula>"欠"</formula>
    </cfRule>
  </conditionalFormatting>
  <conditionalFormatting sqref="R16 W16">
    <cfRule type="cellIs" dxfId="0" priority="12307" operator="equal">
      <formula>"欠"</formula>
    </cfRule>
  </conditionalFormatting>
  <conditionalFormatting sqref="R17 T17:W17">
    <cfRule type="cellIs" dxfId="0" priority="12306" operator="equal">
      <formula>"欠"</formula>
    </cfRule>
  </conditionalFormatting>
  <conditionalFormatting sqref="R18 T18:W18 T38:U39">
    <cfRule type="cellIs" dxfId="0" priority="12305" operator="equal">
      <formula>"欠"</formula>
    </cfRule>
  </conditionalFormatting>
  <conditionalFormatting sqref="R19 T19:W19">
    <cfRule type="cellIs" dxfId="0" priority="12006" operator="equal">
      <formula>"欠"</formula>
    </cfRule>
  </conditionalFormatting>
  <conditionalFormatting sqref="R20 T20:W20">
    <cfRule type="cellIs" dxfId="0" priority="12005" operator="equal">
      <formula>"欠"</formula>
    </cfRule>
  </conditionalFormatting>
  <conditionalFormatting sqref="R21 W21">
    <cfRule type="cellIs" dxfId="0" priority="12004" operator="equal">
      <formula>"欠"</formula>
    </cfRule>
  </conditionalFormatting>
  <conditionalFormatting sqref="R22 T22:W22">
    <cfRule type="cellIs" dxfId="0" priority="12003" operator="equal">
      <formula>"欠"</formula>
    </cfRule>
  </conditionalFormatting>
  <conditionalFormatting sqref="R23 T23:W23">
    <cfRule type="cellIs" dxfId="0" priority="12002" operator="equal">
      <formula>"欠"</formula>
    </cfRule>
  </conditionalFormatting>
  <conditionalFormatting sqref="R24 T24:W24">
    <cfRule type="cellIs" dxfId="0" priority="12001" operator="equal">
      <formula>"欠"</formula>
    </cfRule>
  </conditionalFormatting>
  <conditionalFormatting sqref="R25 T25:W25">
    <cfRule type="cellIs" dxfId="0" priority="12000" operator="equal">
      <formula>"欠"</formula>
    </cfRule>
  </conditionalFormatting>
  <conditionalFormatting sqref="R26 T26:W26">
    <cfRule type="cellIs" dxfId="0" priority="11999" operator="equal">
      <formula>"欠"</formula>
    </cfRule>
  </conditionalFormatting>
  <conditionalFormatting sqref="R27 T27:W27">
    <cfRule type="cellIs" dxfId="0" priority="11998" operator="equal">
      <formula>"欠"</formula>
    </cfRule>
  </conditionalFormatting>
  <conditionalFormatting sqref="R28 T28:W28">
    <cfRule type="cellIs" dxfId="0" priority="11997" operator="equal">
      <formula>"欠"</formula>
    </cfRule>
  </conditionalFormatting>
  <conditionalFormatting sqref="R29 T29:W29">
    <cfRule type="cellIs" dxfId="0" priority="11996" operator="equal">
      <formula>"欠"</formula>
    </cfRule>
  </conditionalFormatting>
  <conditionalFormatting sqref="R30 T30:W30">
    <cfRule type="cellIs" dxfId="0" priority="11995" operator="equal">
      <formula>"欠"</formula>
    </cfRule>
  </conditionalFormatting>
  <conditionalFormatting sqref="R31 T31:W31">
    <cfRule type="cellIs" dxfId="0" priority="11994" operator="equal">
      <formula>"欠"</formula>
    </cfRule>
  </conditionalFormatting>
  <conditionalFormatting sqref="R32 T32:W32">
    <cfRule type="cellIs" dxfId="0" priority="11993" operator="equal">
      <formula>"欠"</formula>
    </cfRule>
  </conditionalFormatting>
  <conditionalFormatting sqref="R33 T33:W33">
    <cfRule type="cellIs" dxfId="0" priority="11992" operator="equal">
      <formula>"欠"</formula>
    </cfRule>
  </conditionalFormatting>
  <conditionalFormatting sqref="R34 W34">
    <cfRule type="cellIs" dxfId="0" priority="11991" operator="equal">
      <formula>"欠"</formula>
    </cfRule>
  </conditionalFormatting>
  <conditionalFormatting sqref="R35 T35:W35">
    <cfRule type="cellIs" dxfId="0" priority="11990" operator="equal">
      <formula>"欠"</formula>
    </cfRule>
  </conditionalFormatting>
  <conditionalFormatting sqref="R36 T36:W36">
    <cfRule type="cellIs" dxfId="0" priority="11919" operator="equal">
      <formula>"欠"</formula>
    </cfRule>
  </conditionalFormatting>
  <conditionalFormatting sqref="R37 T37:W37">
    <cfRule type="cellIs" dxfId="0" priority="11918" operator="equal">
      <formula>"欠"</formula>
    </cfRule>
  </conditionalFormatting>
  <conditionalFormatting sqref="R38 V38:W38">
    <cfRule type="cellIs" dxfId="0" priority="11917" operator="equal">
      <formula>"欠"</formula>
    </cfRule>
  </conditionalFormatting>
  <conditionalFormatting sqref="R39 V39:W39">
    <cfRule type="cellIs" dxfId="0" priority="11916" operator="equal">
      <formula>"欠"</formula>
    </cfRule>
  </conditionalFormatting>
  <conditionalFormatting sqref="R40 T40:W40">
    <cfRule type="cellIs" dxfId="0" priority="11915" operator="equal">
      <formula>"欠"</formula>
    </cfRule>
  </conditionalFormatting>
  <conditionalFormatting sqref="R41 T41:W41">
    <cfRule type="cellIs" dxfId="0" priority="11914" operator="equal">
      <formula>"欠"</formula>
    </cfRule>
  </conditionalFormatting>
  <conditionalFormatting sqref="R42 T42:W42">
    <cfRule type="cellIs" dxfId="0" priority="11913" operator="equal">
      <formula>"欠"</formula>
    </cfRule>
  </conditionalFormatting>
  <conditionalFormatting sqref="R43 T43:W43">
    <cfRule type="cellIs" dxfId="0" priority="11912" operator="equal">
      <formula>"欠"</formula>
    </cfRule>
  </conditionalFormatting>
  <conditionalFormatting sqref="R44 W44">
    <cfRule type="cellIs" dxfId="0" priority="11911" operator="equal">
      <formula>"欠"</formula>
    </cfRule>
  </conditionalFormatting>
  <conditionalFormatting sqref="R45 W45">
    <cfRule type="cellIs" dxfId="0" priority="11910" operator="equal">
      <formula>"欠"</formula>
    </cfRule>
  </conditionalFormatting>
  <conditionalFormatting sqref="R46 W46">
    <cfRule type="cellIs" dxfId="0" priority="11909" operator="equal">
      <formula>"欠"</formula>
    </cfRule>
  </conditionalFormatting>
  <conditionalFormatting sqref="R47 W47">
    <cfRule type="cellIs" dxfId="0" priority="11908" operator="equal">
      <formula>"欠"</formula>
    </cfRule>
  </conditionalFormatting>
  <conditionalFormatting sqref="R48 W48">
    <cfRule type="cellIs" dxfId="0" priority="11907" operator="equal">
      <formula>"欠"</formula>
    </cfRule>
  </conditionalFormatting>
  <conditionalFormatting sqref="R49 T49:W49">
    <cfRule type="cellIs" dxfId="0" priority="11906" operator="equal">
      <formula>"欠"</formula>
    </cfRule>
  </conditionalFormatting>
  <conditionalFormatting sqref="R50 T50:W50">
    <cfRule type="cellIs" dxfId="0" priority="11905" operator="equal">
      <formula>"欠"</formula>
    </cfRule>
  </conditionalFormatting>
  <conditionalFormatting sqref="R51 T51:W51">
    <cfRule type="cellIs" dxfId="0" priority="11904" operator="equal">
      <formula>"欠"</formula>
    </cfRule>
  </conditionalFormatting>
  <conditionalFormatting sqref="R52 T52:W52">
    <cfRule type="cellIs" dxfId="0" priority="11903" operator="equal">
      <formula>"欠"</formula>
    </cfRule>
  </conditionalFormatting>
  <conditionalFormatting sqref="R53 T53:W53">
    <cfRule type="cellIs" dxfId="0" priority="11902" operator="equal">
      <formula>"欠"</formula>
    </cfRule>
  </conditionalFormatting>
  <conditionalFormatting sqref="R54 T54:W54">
    <cfRule type="cellIs" dxfId="0" priority="11824" operator="equal">
      <formula>"欠"</formula>
    </cfRule>
  </conditionalFormatting>
  <conditionalFormatting sqref="R55 T55:W55">
    <cfRule type="cellIs" dxfId="0" priority="11823" operator="equal">
      <formula>"欠"</formula>
    </cfRule>
  </conditionalFormatting>
  <conditionalFormatting sqref="R56 T56:W56">
    <cfRule type="cellIs" dxfId="0" priority="11822" operator="equal">
      <formula>"欠"</formula>
    </cfRule>
  </conditionalFormatting>
  <conditionalFormatting sqref="R57 T57:W57">
    <cfRule type="cellIs" dxfId="0" priority="11821" operator="equal">
      <formula>"欠"</formula>
    </cfRule>
  </conditionalFormatting>
  <conditionalFormatting sqref="R58 T58:W58">
    <cfRule type="cellIs" dxfId="0" priority="11820" operator="equal">
      <formula>"欠"</formula>
    </cfRule>
  </conditionalFormatting>
  <conditionalFormatting sqref="R59 T59:W59">
    <cfRule type="cellIs" dxfId="0" priority="11805" operator="equal">
      <formula>"欠"</formula>
    </cfRule>
  </conditionalFormatting>
  <conditionalFormatting sqref="R60 T60:W60">
    <cfRule type="cellIs" dxfId="0" priority="11804" operator="equal">
      <formula>"欠"</formula>
    </cfRule>
  </conditionalFormatting>
  <conditionalFormatting sqref="R61 T61:W61">
    <cfRule type="cellIs" dxfId="0" priority="11625" operator="equal">
      <formula>"欠"</formula>
    </cfRule>
  </conditionalFormatting>
  <conditionalFormatting sqref="R62 T62:W62">
    <cfRule type="cellIs" dxfId="0" priority="11624" operator="equal">
      <formula>"欠"</formula>
    </cfRule>
  </conditionalFormatting>
  <conditionalFormatting sqref="R63 T63:U63 W63">
    <cfRule type="cellIs" dxfId="0" priority="11623" operator="equal">
      <formula>"欠"</formula>
    </cfRule>
  </conditionalFormatting>
  <conditionalFormatting sqref="R64 T64:W64">
    <cfRule type="cellIs" dxfId="0" priority="11622" operator="equal">
      <formula>"欠"</formula>
    </cfRule>
  </conditionalFormatting>
  <conditionalFormatting sqref="R65 T65:W65">
    <cfRule type="cellIs" dxfId="0" priority="11621" operator="equal">
      <formula>"欠"</formula>
    </cfRule>
  </conditionalFormatting>
  <conditionalFormatting sqref="R66 T66:W66">
    <cfRule type="cellIs" dxfId="0" priority="11620" operator="equal">
      <formula>"欠"</formula>
    </cfRule>
  </conditionalFormatting>
  <conditionalFormatting sqref="R67 T67:W67">
    <cfRule type="cellIs" dxfId="0" priority="11619" operator="equal">
      <formula>"欠"</formula>
    </cfRule>
  </conditionalFormatting>
  <conditionalFormatting sqref="R68 T68:W68">
    <cfRule type="cellIs" dxfId="0" priority="11618" operator="equal">
      <formula>"欠"</formula>
    </cfRule>
  </conditionalFormatting>
  <conditionalFormatting sqref="R69 T69:U69 W69">
    <cfRule type="cellIs" dxfId="0" priority="11617" operator="equal">
      <formula>"欠"</formula>
    </cfRule>
  </conditionalFormatting>
  <conditionalFormatting sqref="R70 T70:W70">
    <cfRule type="cellIs" dxfId="0" priority="11616" operator="equal">
      <formula>"欠"</formula>
    </cfRule>
  </conditionalFormatting>
  <conditionalFormatting sqref="R71 T71:W71">
    <cfRule type="cellIs" dxfId="0" priority="11615" operator="equal">
      <formula>"欠"</formula>
    </cfRule>
  </conditionalFormatting>
  <conditionalFormatting sqref="R72 T72:W72">
    <cfRule type="cellIs" dxfId="0" priority="11614" operator="equal">
      <formula>"欠"</formula>
    </cfRule>
  </conditionalFormatting>
  <conditionalFormatting sqref="R73 T73:W73">
    <cfRule type="cellIs" dxfId="0" priority="11613" operator="equal">
      <formula>"欠"</formula>
    </cfRule>
  </conditionalFormatting>
  <conditionalFormatting sqref="R74 T74:W74">
    <cfRule type="cellIs" dxfId="0" priority="11612" operator="equal">
      <formula>"欠"</formula>
    </cfRule>
  </conditionalFormatting>
  <conditionalFormatting sqref="R75 T75:W75">
    <cfRule type="cellIs" dxfId="0" priority="11611" operator="equal">
      <formula>"欠"</formula>
    </cfRule>
  </conditionalFormatting>
  <conditionalFormatting sqref="R76 T76:W76">
    <cfRule type="cellIs" dxfId="0" priority="11610" operator="equal">
      <formula>"欠"</formula>
    </cfRule>
  </conditionalFormatting>
  <conditionalFormatting sqref="R77 T77:W77">
    <cfRule type="cellIs" dxfId="0" priority="11542" operator="equal">
      <formula>"欠"</formula>
    </cfRule>
  </conditionalFormatting>
  <conditionalFormatting sqref="R78 T78:W78">
    <cfRule type="cellIs" dxfId="0" priority="11541" operator="equal">
      <formula>"欠"</formula>
    </cfRule>
  </conditionalFormatting>
  <conditionalFormatting sqref="R79 T79:W79">
    <cfRule type="cellIs" dxfId="0" priority="11540" operator="equal">
      <formula>"欠"</formula>
    </cfRule>
  </conditionalFormatting>
  <conditionalFormatting sqref="R80 T80:W80">
    <cfRule type="cellIs" dxfId="0" priority="11539" operator="equal">
      <formula>"欠"</formula>
    </cfRule>
  </conditionalFormatting>
  <conditionalFormatting sqref="R81 T81:W81">
    <cfRule type="cellIs" dxfId="0" priority="11538" operator="equal">
      <formula>"欠"</formula>
    </cfRule>
  </conditionalFormatting>
  <conditionalFormatting sqref="R82 T82:W82">
    <cfRule type="cellIs" dxfId="0" priority="11535" operator="equal">
      <formula>"欠"</formula>
    </cfRule>
  </conditionalFormatting>
  <conditionalFormatting sqref="R83 T83:W83">
    <cfRule type="cellIs" dxfId="0" priority="11534" operator="equal">
      <formula>"欠"</formula>
    </cfRule>
  </conditionalFormatting>
  <conditionalFormatting sqref="R84 T84:W84">
    <cfRule type="cellIs" dxfId="0" priority="11513" operator="equal">
      <formula>"欠"</formula>
    </cfRule>
  </conditionalFormatting>
  <conditionalFormatting sqref="R85 V85:W85">
    <cfRule type="cellIs" dxfId="0" priority="11467" operator="equal">
      <formula>"欠"</formula>
    </cfRule>
  </conditionalFormatting>
  <conditionalFormatting sqref="R86 V86 T86:T90 T117:T118">
    <cfRule type="cellIs" dxfId="0" priority="11452" operator="equal">
      <formula>"欠"</formula>
    </cfRule>
  </conditionalFormatting>
  <conditionalFormatting sqref="R87 W87">
    <cfRule type="cellIs" dxfId="0" priority="11451" operator="equal">
      <formula>"欠"</formula>
    </cfRule>
  </conditionalFormatting>
  <conditionalFormatting sqref="R88 W88">
    <cfRule type="cellIs" dxfId="0" priority="11450" operator="equal">
      <formula>"欠"</formula>
    </cfRule>
  </conditionalFormatting>
  <conditionalFormatting sqref="R89 W89">
    <cfRule type="cellIs" dxfId="0" priority="11449" operator="equal">
      <formula>"欠"</formula>
    </cfRule>
  </conditionalFormatting>
  <conditionalFormatting sqref="R90 W90">
    <cfRule type="cellIs" dxfId="0" priority="11448" operator="equal">
      <formula>"欠"</formula>
    </cfRule>
  </conditionalFormatting>
  <conditionalFormatting sqref="R91 T91:W91">
    <cfRule type="cellIs" dxfId="0" priority="11447" operator="equal">
      <formula>"欠"</formula>
    </cfRule>
  </conditionalFormatting>
  <conditionalFormatting sqref="R92 T92:W92">
    <cfRule type="cellIs" dxfId="0" priority="11432" operator="equal">
      <formula>"欠"</formula>
    </cfRule>
  </conditionalFormatting>
  <conditionalFormatting sqref="R93 T93:W93">
    <cfRule type="cellIs" dxfId="0" priority="10733" operator="equal">
      <formula>"欠"</formula>
    </cfRule>
  </conditionalFormatting>
  <conditionalFormatting sqref="R94 T94:W94">
    <cfRule type="cellIs" dxfId="0" priority="10732" operator="equal">
      <formula>"欠"</formula>
    </cfRule>
  </conditionalFormatting>
  <conditionalFormatting sqref="R95 T95:W95">
    <cfRule type="cellIs" dxfId="0" priority="11427" operator="equal">
      <formula>"欠"</formula>
    </cfRule>
  </conditionalFormatting>
  <conditionalFormatting sqref="R96 T96:W96">
    <cfRule type="cellIs" dxfId="0" priority="11413" operator="equal">
      <formula>"欠"</formula>
    </cfRule>
  </conditionalFormatting>
  <conditionalFormatting sqref="R97 T97:W97">
    <cfRule type="cellIs" dxfId="0" priority="11314" operator="equal">
      <formula>"欠"</formula>
    </cfRule>
  </conditionalFormatting>
  <conditionalFormatting sqref="R98 T98:W98">
    <cfRule type="cellIs" dxfId="0" priority="11313" operator="equal">
      <formula>"欠"</formula>
    </cfRule>
  </conditionalFormatting>
  <conditionalFormatting sqref="S98 S1332">
    <cfRule type="cellIs" dxfId="0" priority="11286" operator="equal">
      <formula>"欠"</formula>
    </cfRule>
  </conditionalFormatting>
  <conditionalFormatting sqref="R99 T99:W99">
    <cfRule type="cellIs" dxfId="0" priority="11312" operator="equal">
      <formula>"欠"</formula>
    </cfRule>
  </conditionalFormatting>
  <conditionalFormatting sqref="R100 T100:W100">
    <cfRule type="cellIs" dxfId="0" priority="11311" operator="equal">
      <formula>"欠"</formula>
    </cfRule>
  </conditionalFormatting>
  <conditionalFormatting sqref="R101 T101:W101">
    <cfRule type="cellIs" dxfId="0" priority="11310" operator="equal">
      <formula>"欠"</formula>
    </cfRule>
  </conditionalFormatting>
  <conditionalFormatting sqref="R102 T102:W102">
    <cfRule type="cellIs" dxfId="0" priority="11309" operator="equal">
      <formula>"欠"</formula>
    </cfRule>
  </conditionalFormatting>
  <conditionalFormatting sqref="R103 T103:W103">
    <cfRule type="cellIs" dxfId="0" priority="11308" operator="equal">
      <formula>"欠"</formula>
    </cfRule>
  </conditionalFormatting>
  <conditionalFormatting sqref="R104 T104:W104">
    <cfRule type="cellIs" dxfId="0" priority="11307" operator="equal">
      <formula>"欠"</formula>
    </cfRule>
  </conditionalFormatting>
  <conditionalFormatting sqref="R105 T105:W105">
    <cfRule type="cellIs" dxfId="0" priority="11306" operator="equal">
      <formula>"欠"</formula>
    </cfRule>
  </conditionalFormatting>
  <conditionalFormatting sqref="R106 T106:W106">
    <cfRule type="cellIs" dxfId="0" priority="11305" operator="equal">
      <formula>"欠"</formula>
    </cfRule>
  </conditionalFormatting>
  <conditionalFormatting sqref="R107 T107:W107">
    <cfRule type="cellIs" dxfId="0" priority="11303" operator="equal">
      <formula>"欠"</formula>
    </cfRule>
  </conditionalFormatting>
  <conditionalFormatting sqref="R108 T108:W108">
    <cfRule type="cellIs" dxfId="0" priority="11302" operator="equal">
      <formula>"欠"</formula>
    </cfRule>
  </conditionalFormatting>
  <conditionalFormatting sqref="R109 T109:W109">
    <cfRule type="cellIs" dxfId="0" priority="11301" operator="equal">
      <formula>"欠"</formula>
    </cfRule>
  </conditionalFormatting>
  <conditionalFormatting sqref="R110 T110:W110">
    <cfRule type="cellIs" dxfId="0" priority="11300" operator="equal">
      <formula>"欠"</formula>
    </cfRule>
  </conditionalFormatting>
  <conditionalFormatting sqref="R111 T111:W111">
    <cfRule type="cellIs" dxfId="0" priority="11299" operator="equal">
      <formula>"欠"</formula>
    </cfRule>
  </conditionalFormatting>
  <conditionalFormatting sqref="R112 T112:W112">
    <cfRule type="cellIs" dxfId="0" priority="11298" operator="equal">
      <formula>"欠"</formula>
    </cfRule>
  </conditionalFormatting>
  <conditionalFormatting sqref="R113 T113:W113">
    <cfRule type="cellIs" dxfId="0" priority="11297" operator="equal">
      <formula>"欠"</formula>
    </cfRule>
  </conditionalFormatting>
  <conditionalFormatting sqref="R114 T114:W114">
    <cfRule type="cellIs" dxfId="0" priority="11296" operator="equal">
      <formula>"欠"</formula>
    </cfRule>
  </conditionalFormatting>
  <conditionalFormatting sqref="R115 T115:W115">
    <cfRule type="cellIs" dxfId="0" priority="11295" operator="equal">
      <formula>"欠"</formula>
    </cfRule>
  </conditionalFormatting>
  <conditionalFormatting sqref="R116 T116:W116">
    <cfRule type="cellIs" dxfId="0" priority="11294" operator="equal">
      <formula>"欠"</formula>
    </cfRule>
  </conditionalFormatting>
  <conditionalFormatting sqref="R117 W117">
    <cfRule type="cellIs" dxfId="0" priority="11293" operator="equal">
      <formula>"欠"</formula>
    </cfRule>
  </conditionalFormatting>
  <conditionalFormatting sqref="R118 W118">
    <cfRule type="cellIs" dxfId="0" priority="11292" operator="equal">
      <formula>"欠"</formula>
    </cfRule>
  </conditionalFormatting>
  <conditionalFormatting sqref="R119 T119:W119">
    <cfRule type="cellIs" dxfId="0" priority="11304" operator="equal">
      <formula>"欠"</formula>
    </cfRule>
  </conditionalFormatting>
  <conditionalFormatting sqref="R120 T120:W120">
    <cfRule type="cellIs" dxfId="0" priority="11291" operator="equal">
      <formula>"欠"</formula>
    </cfRule>
  </conditionalFormatting>
  <conditionalFormatting sqref="R121 T121:W121">
    <cfRule type="cellIs" dxfId="0" priority="11290" operator="equal">
      <formula>"欠"</formula>
    </cfRule>
  </conditionalFormatting>
  <conditionalFormatting sqref="R122 T122:W122">
    <cfRule type="cellIs" dxfId="0" priority="11289" operator="equal">
      <formula>"欠"</formula>
    </cfRule>
  </conditionalFormatting>
  <conditionalFormatting sqref="R123 T123:W123">
    <cfRule type="cellIs" dxfId="0" priority="11288" operator="equal">
      <formula>"欠"</formula>
    </cfRule>
  </conditionalFormatting>
  <conditionalFormatting sqref="S123 S981">
    <cfRule type="cellIs" dxfId="0" priority="11261" operator="equal">
      <formula>"欠"</formula>
    </cfRule>
  </conditionalFormatting>
  <conditionalFormatting sqref="AG123:AG147 AG259 AG268">
    <cfRule type="cellIs" dxfId="0" priority="11369" operator="equal">
      <formula>"未完成"</formula>
    </cfRule>
  </conditionalFormatting>
  <conditionalFormatting sqref="AH123:AH147 AH259 AH268">
    <cfRule type="cellIs" dxfId="0" priority="7321" operator="equal">
      <formula>"未完成"</formula>
    </cfRule>
  </conditionalFormatting>
  <conditionalFormatting sqref="R124 T124:W124">
    <cfRule type="cellIs" dxfId="0" priority="11208" operator="equal">
      <formula>"欠"</formula>
    </cfRule>
  </conditionalFormatting>
  <conditionalFormatting sqref="R125 T125:W125">
    <cfRule type="cellIs" dxfId="0" priority="11182" operator="equal">
      <formula>"欠"</formula>
    </cfRule>
  </conditionalFormatting>
  <conditionalFormatting sqref="R126 T126:W126">
    <cfRule type="cellIs" dxfId="0" priority="11181" operator="equal">
      <formula>"欠"</formula>
    </cfRule>
  </conditionalFormatting>
  <conditionalFormatting sqref="R127 T127:W127">
    <cfRule type="cellIs" dxfId="0" priority="11180" operator="equal">
      <formula>"欠"</formula>
    </cfRule>
  </conditionalFormatting>
  <conditionalFormatting sqref="R128 T128:W128">
    <cfRule type="cellIs" dxfId="0" priority="11179" operator="equal">
      <formula>"欠"</formula>
    </cfRule>
  </conditionalFormatting>
  <conditionalFormatting sqref="R129 T129:W129">
    <cfRule type="cellIs" dxfId="0" priority="11178" operator="equal">
      <formula>"欠"</formula>
    </cfRule>
  </conditionalFormatting>
  <conditionalFormatting sqref="R130 T130:W130">
    <cfRule type="cellIs" dxfId="0" priority="11177" operator="equal">
      <formula>"欠"</formula>
    </cfRule>
  </conditionalFormatting>
  <conditionalFormatting sqref="R131 T131:W131">
    <cfRule type="cellIs" dxfId="0" priority="11176" operator="equal">
      <formula>"欠"</formula>
    </cfRule>
  </conditionalFormatting>
  <conditionalFormatting sqref="R132 T132:W132">
    <cfRule type="cellIs" dxfId="0" priority="11175" operator="equal">
      <formula>"欠"</formula>
    </cfRule>
  </conditionalFormatting>
  <conditionalFormatting sqref="R133 T133:W133">
    <cfRule type="cellIs" dxfId="0" priority="11027" operator="equal">
      <formula>"欠"</formula>
    </cfRule>
  </conditionalFormatting>
  <conditionalFormatting sqref="R134 T134:W134">
    <cfRule type="cellIs" dxfId="0" priority="11026" operator="equal">
      <formula>"欠"</formula>
    </cfRule>
  </conditionalFormatting>
  <conditionalFormatting sqref="R135 T135:U135 W135">
    <cfRule type="cellIs" dxfId="0" priority="11025" operator="equal">
      <formula>"欠"</formula>
    </cfRule>
  </conditionalFormatting>
  <conditionalFormatting sqref="R136 T136:U136 W136">
    <cfRule type="cellIs" dxfId="0" priority="11024" operator="equal">
      <formula>"欠"</formula>
    </cfRule>
  </conditionalFormatting>
  <conditionalFormatting sqref="R137 T137:U137 W137">
    <cfRule type="cellIs" dxfId="0" priority="11023" operator="equal">
      <formula>"欠"</formula>
    </cfRule>
  </conditionalFormatting>
  <conditionalFormatting sqref="R138 T138:U138 W138">
    <cfRule type="cellIs" dxfId="0" priority="11022" operator="equal">
      <formula>"欠"</formula>
    </cfRule>
  </conditionalFormatting>
  <conditionalFormatting sqref="R139 T139:U139 W139">
    <cfRule type="cellIs" dxfId="0" priority="11021" operator="equal">
      <formula>"欠"</formula>
    </cfRule>
  </conditionalFormatting>
  <conditionalFormatting sqref="R140 T140:W140">
    <cfRule type="cellIs" dxfId="0" priority="11020" operator="equal">
      <formula>"欠"</formula>
    </cfRule>
  </conditionalFormatting>
  <conditionalFormatting sqref="R141 T141:W141">
    <cfRule type="cellIs" dxfId="0" priority="11019" operator="equal">
      <formula>"欠"</formula>
    </cfRule>
  </conditionalFormatting>
  <conditionalFormatting sqref="R142 T142:W142">
    <cfRule type="cellIs" dxfId="0" priority="11018" operator="equal">
      <formula>"欠"</formula>
    </cfRule>
  </conditionalFormatting>
  <conditionalFormatting sqref="R143 T143:W143">
    <cfRule type="cellIs" dxfId="0" priority="11017" operator="equal">
      <formula>"欠"</formula>
    </cfRule>
  </conditionalFormatting>
  <conditionalFormatting sqref="R144 T144:W144">
    <cfRule type="cellIs" dxfId="0" priority="11016" operator="equal">
      <formula>"欠"</formula>
    </cfRule>
  </conditionalFormatting>
  <conditionalFormatting sqref="R145 T145:W145">
    <cfRule type="cellIs" dxfId="0" priority="11015" operator="equal">
      <formula>"欠"</formula>
    </cfRule>
  </conditionalFormatting>
  <conditionalFormatting sqref="R146 T146:W146">
    <cfRule type="cellIs" dxfId="0" priority="11014" operator="equal">
      <formula>"欠"</formula>
    </cfRule>
  </conditionalFormatting>
  <conditionalFormatting sqref="S146:S147 S396 S427:S428 S540:S541 S546:S547 S561 S581 S602 S628:S630 S696:S698 S700 S702">
    <cfRule type="cellIs" dxfId="0" priority="10999" operator="equal">
      <formula>"欠"</formula>
    </cfRule>
  </conditionalFormatting>
  <conditionalFormatting sqref="R147 T147:W147">
    <cfRule type="cellIs" dxfId="0" priority="11013" operator="equal">
      <formula>"欠"</formula>
    </cfRule>
  </conditionalFormatting>
  <conditionalFormatting sqref="R148 T148:W148">
    <cfRule type="cellIs" dxfId="0" priority="10942" operator="equal">
      <formula>"欠"</formula>
    </cfRule>
  </conditionalFormatting>
  <conditionalFormatting sqref="R149 T149:W149">
    <cfRule type="cellIs" dxfId="0" priority="10941" operator="equal">
      <formula>"欠"</formula>
    </cfRule>
  </conditionalFormatting>
  <conditionalFormatting sqref="R150 T150:W150">
    <cfRule type="cellIs" dxfId="0" priority="10940" operator="equal">
      <formula>"欠"</formula>
    </cfRule>
  </conditionalFormatting>
  <conditionalFormatting sqref="R151 T151:W151">
    <cfRule type="cellIs" dxfId="0" priority="10939" operator="equal">
      <formula>"欠"</formula>
    </cfRule>
  </conditionalFormatting>
  <conditionalFormatting sqref="R152 T152:W152">
    <cfRule type="cellIs" dxfId="0" priority="10938" operator="equal">
      <formula>"欠"</formula>
    </cfRule>
  </conditionalFormatting>
  <conditionalFormatting sqref="S152 S1414">
    <cfRule type="cellIs" dxfId="0" priority="10924" operator="equal">
      <formula>"欠"</formula>
    </cfRule>
  </conditionalFormatting>
  <conditionalFormatting sqref="R153 T153:W153">
    <cfRule type="cellIs" dxfId="0" priority="10937" operator="equal">
      <formula>"欠"</formula>
    </cfRule>
  </conditionalFormatting>
  <conditionalFormatting sqref="R154 T154:W154">
    <cfRule type="cellIs" dxfId="0" priority="10936" operator="equal">
      <formula>"欠"</formula>
    </cfRule>
  </conditionalFormatting>
  <conditionalFormatting sqref="R155 T155:U155 W155">
    <cfRule type="cellIs" dxfId="0" priority="10935" operator="equal">
      <formula>"欠"</formula>
    </cfRule>
  </conditionalFormatting>
  <conditionalFormatting sqref="R156 T156:W156">
    <cfRule type="cellIs" dxfId="0" priority="10934" operator="equal">
      <formula>"欠"</formula>
    </cfRule>
  </conditionalFormatting>
  <conditionalFormatting sqref="R157 T157:W157">
    <cfRule type="cellIs" dxfId="0" priority="10933" operator="equal">
      <formula>"欠"</formula>
    </cfRule>
  </conditionalFormatting>
  <conditionalFormatting sqref="R158 T158:W158">
    <cfRule type="cellIs" dxfId="0" priority="10932" operator="equal">
      <formula>"欠"</formula>
    </cfRule>
  </conditionalFormatting>
  <conditionalFormatting sqref="R159 T159:W159">
    <cfRule type="cellIs" dxfId="0" priority="10931" operator="equal">
      <formula>"欠"</formula>
    </cfRule>
  </conditionalFormatting>
  <conditionalFormatting sqref="R160 T160:W160">
    <cfRule type="cellIs" dxfId="0" priority="10930" operator="equal">
      <formula>"欠"</formula>
    </cfRule>
  </conditionalFormatting>
  <conditionalFormatting sqref="R161 T161:W161">
    <cfRule type="cellIs" dxfId="0" priority="10929" operator="equal">
      <formula>"欠"</formula>
    </cfRule>
  </conditionalFormatting>
  <conditionalFormatting sqref="R162 T162:W162">
    <cfRule type="cellIs" dxfId="0" priority="10908" operator="equal">
      <formula>"欠"</formula>
    </cfRule>
  </conditionalFormatting>
  <conditionalFormatting sqref="R163 T163:W163">
    <cfRule type="cellIs" dxfId="0" priority="10907" operator="equal">
      <formula>"欠"</formula>
    </cfRule>
  </conditionalFormatting>
  <conditionalFormatting sqref="R164 T164:W164">
    <cfRule type="cellIs" dxfId="0" priority="10898" operator="equal">
      <formula>"欠"</formula>
    </cfRule>
  </conditionalFormatting>
  <conditionalFormatting sqref="R165 T165:W165">
    <cfRule type="cellIs" dxfId="0" priority="10897" operator="equal">
      <formula>"欠"</formula>
    </cfRule>
  </conditionalFormatting>
  <conditionalFormatting sqref="R166 T166:W166">
    <cfRule type="cellIs" dxfId="0" priority="10799" operator="equal">
      <formula>"欠"</formula>
    </cfRule>
  </conditionalFormatting>
  <conditionalFormatting sqref="R167 T167:W167">
    <cfRule type="cellIs" dxfId="0" priority="10798" operator="equal">
      <formula>"欠"</formula>
    </cfRule>
  </conditionalFormatting>
  <conditionalFormatting sqref="R168 T168:W168">
    <cfRule type="cellIs" dxfId="0" priority="10797" operator="equal">
      <formula>"欠"</formula>
    </cfRule>
  </conditionalFormatting>
  <conditionalFormatting sqref="R169 T169:U169 W169">
    <cfRule type="cellIs" dxfId="0" priority="10796" operator="equal">
      <formula>"欠"</formula>
    </cfRule>
  </conditionalFormatting>
  <conditionalFormatting sqref="R170 T170:W170">
    <cfRule type="cellIs" dxfId="0" priority="10795" operator="equal">
      <formula>"欠"</formula>
    </cfRule>
  </conditionalFormatting>
  <conditionalFormatting sqref="R171 T171:W171">
    <cfRule type="cellIs" dxfId="0" priority="10794" operator="equal">
      <formula>"欠"</formula>
    </cfRule>
  </conditionalFormatting>
  <conditionalFormatting sqref="R172 T172:W172">
    <cfRule type="cellIs" dxfId="0" priority="10793" operator="equal">
      <formula>"欠"</formula>
    </cfRule>
  </conditionalFormatting>
  <conditionalFormatting sqref="R173 T173:W173">
    <cfRule type="cellIs" dxfId="0" priority="10792" operator="equal">
      <formula>"欠"</formula>
    </cfRule>
  </conditionalFormatting>
  <conditionalFormatting sqref="R174 T174:W174">
    <cfRule type="cellIs" dxfId="0" priority="10641" operator="equal">
      <formula>"欠"</formula>
    </cfRule>
  </conditionalFormatting>
  <conditionalFormatting sqref="R175 T175:W175">
    <cfRule type="cellIs" dxfId="0" priority="10640" operator="equal">
      <formula>"欠"</formula>
    </cfRule>
  </conditionalFormatting>
  <conditionalFormatting sqref="R176 T176:W176">
    <cfRule type="cellIs" dxfId="0" priority="10639" operator="equal">
      <formula>"欠"</formula>
    </cfRule>
  </conditionalFormatting>
  <conditionalFormatting sqref="R177 T177:W177">
    <cfRule type="cellIs" dxfId="0" priority="10638" operator="equal">
      <formula>"欠"</formula>
    </cfRule>
  </conditionalFormatting>
  <conditionalFormatting sqref="R178 T178:W178">
    <cfRule type="cellIs" dxfId="0" priority="10637" operator="equal">
      <formula>"欠"</formula>
    </cfRule>
  </conditionalFormatting>
  <conditionalFormatting sqref="R179 T179:W179">
    <cfRule type="cellIs" dxfId="0" priority="10636" operator="equal">
      <formula>"欠"</formula>
    </cfRule>
  </conditionalFormatting>
  <conditionalFormatting sqref="R180 T180:W180">
    <cfRule type="cellIs" dxfId="0" priority="10635" operator="equal">
      <formula>"欠"</formula>
    </cfRule>
  </conditionalFormatting>
  <conditionalFormatting sqref="R181 T181:W181">
    <cfRule type="cellIs" dxfId="0" priority="10634" operator="equal">
      <formula>"欠"</formula>
    </cfRule>
  </conditionalFormatting>
  <conditionalFormatting sqref="R182 T182:W182">
    <cfRule type="cellIs" dxfId="0" priority="10633" operator="equal">
      <formula>"欠"</formula>
    </cfRule>
  </conditionalFormatting>
  <conditionalFormatting sqref="R183 T183:W183">
    <cfRule type="cellIs" dxfId="0" priority="10632" operator="equal">
      <formula>"欠"</formula>
    </cfRule>
  </conditionalFormatting>
  <conditionalFormatting sqref="R184 T184:W184">
    <cfRule type="cellIs" dxfId="0" priority="10631" operator="equal">
      <formula>"欠"</formula>
    </cfRule>
  </conditionalFormatting>
  <conditionalFormatting sqref="R185 T185:W185">
    <cfRule type="cellIs" dxfId="0" priority="10630" operator="equal">
      <formula>"欠"</formula>
    </cfRule>
  </conditionalFormatting>
  <conditionalFormatting sqref="R186 T186:W186">
    <cfRule type="cellIs" dxfId="0" priority="10629" operator="equal">
      <formula>"欠"</formula>
    </cfRule>
  </conditionalFormatting>
  <conditionalFormatting sqref="R187 T187:W187">
    <cfRule type="cellIs" dxfId="0" priority="10628" operator="equal">
      <formula>"欠"</formula>
    </cfRule>
  </conditionalFormatting>
  <conditionalFormatting sqref="R188 T188:W188">
    <cfRule type="cellIs" dxfId="0" priority="10627" operator="equal">
      <formula>"欠"</formula>
    </cfRule>
  </conditionalFormatting>
  <conditionalFormatting sqref="R189 T189:U189 W189">
    <cfRule type="cellIs" dxfId="0" priority="10626" operator="equal">
      <formula>"欠"</formula>
    </cfRule>
  </conditionalFormatting>
  <conditionalFormatting sqref="R190 T190:U190 W190">
    <cfRule type="cellIs" dxfId="0" priority="10625" operator="equal">
      <formula>"欠"</formula>
    </cfRule>
  </conditionalFormatting>
  <conditionalFormatting sqref="R191 T191:W191">
    <cfRule type="cellIs" dxfId="0" priority="10624" operator="equal">
      <formula>"欠"</formula>
    </cfRule>
  </conditionalFormatting>
  <conditionalFormatting sqref="R192 T192:W192">
    <cfRule type="cellIs" dxfId="0" priority="10623" operator="equal">
      <formula>"欠"</formula>
    </cfRule>
  </conditionalFormatting>
  <conditionalFormatting sqref="R193 T193:W193">
    <cfRule type="cellIs" dxfId="0" priority="10622" operator="equal">
      <formula>"欠"</formula>
    </cfRule>
  </conditionalFormatting>
  <conditionalFormatting sqref="R194 T194:W194">
    <cfRule type="cellIs" dxfId="0" priority="10621" operator="equal">
      <formula>"欠"</formula>
    </cfRule>
  </conditionalFormatting>
  <conditionalFormatting sqref="R195 T195:W195">
    <cfRule type="cellIs" dxfId="0" priority="10620" operator="equal">
      <formula>"欠"</formula>
    </cfRule>
  </conditionalFormatting>
  <conditionalFormatting sqref="R196 T196:U196 W196">
    <cfRule type="cellIs" dxfId="0" priority="10619" operator="equal">
      <formula>"欠"</formula>
    </cfRule>
  </conditionalFormatting>
  <conditionalFormatting sqref="R197 T197:U197 W197">
    <cfRule type="cellIs" dxfId="0" priority="10618" operator="equal">
      <formula>"欠"</formula>
    </cfRule>
  </conditionalFormatting>
  <conditionalFormatting sqref="R198 T198:U198 W198">
    <cfRule type="cellIs" dxfId="0" priority="10617" operator="equal">
      <formula>"欠"</formula>
    </cfRule>
  </conditionalFormatting>
  <conditionalFormatting sqref="R199 T199:U199 W199">
    <cfRule type="cellIs" dxfId="0" priority="10616" operator="equal">
      <formula>"欠"</formula>
    </cfRule>
  </conditionalFormatting>
  <conditionalFormatting sqref="R200 T200:W200">
    <cfRule type="cellIs" dxfId="0" priority="10615" operator="equal">
      <formula>"欠"</formula>
    </cfRule>
  </conditionalFormatting>
  <conditionalFormatting sqref="R201 T201:W201">
    <cfRule type="cellIs" dxfId="0" priority="10584" operator="equal">
      <formula>"欠"</formula>
    </cfRule>
  </conditionalFormatting>
  <conditionalFormatting sqref="R202 T202:W202">
    <cfRule type="cellIs" dxfId="0" priority="10522" operator="equal">
      <formula>"欠"</formula>
    </cfRule>
  </conditionalFormatting>
  <conditionalFormatting sqref="R203 T203:W203">
    <cfRule type="cellIs" dxfId="0" priority="10521" operator="equal">
      <formula>"欠"</formula>
    </cfRule>
  </conditionalFormatting>
  <conditionalFormatting sqref="R204 T204:W204">
    <cfRule type="cellIs" dxfId="0" priority="10520" operator="equal">
      <formula>"欠"</formula>
    </cfRule>
  </conditionalFormatting>
  <conditionalFormatting sqref="R205 T205:W205">
    <cfRule type="cellIs" dxfId="0" priority="10519" operator="equal">
      <formula>"欠"</formula>
    </cfRule>
  </conditionalFormatting>
  <conditionalFormatting sqref="R206 T206:W206">
    <cfRule type="cellIs" dxfId="0" priority="10518" operator="equal">
      <formula>"欠"</formula>
    </cfRule>
  </conditionalFormatting>
  <conditionalFormatting sqref="R207 T207:W207">
    <cfRule type="cellIs" dxfId="0" priority="10517" operator="equal">
      <formula>"欠"</formula>
    </cfRule>
  </conditionalFormatting>
  <conditionalFormatting sqref="R208 T208:W208">
    <cfRule type="cellIs" dxfId="0" priority="10516" operator="equal">
      <formula>"欠"</formula>
    </cfRule>
  </conditionalFormatting>
  <conditionalFormatting sqref="R209 T209:W209">
    <cfRule type="cellIs" dxfId="0" priority="10515" operator="equal">
      <formula>"欠"</formula>
    </cfRule>
  </conditionalFormatting>
  <conditionalFormatting sqref="R210 T210:W210">
    <cfRule type="cellIs" dxfId="0" priority="10514" operator="equal">
      <formula>"欠"</formula>
    </cfRule>
  </conditionalFormatting>
  <conditionalFormatting sqref="R211 T211:U211 W211">
    <cfRule type="cellIs" dxfId="0" priority="10513" operator="equal">
      <formula>"欠"</formula>
    </cfRule>
  </conditionalFormatting>
  <conditionalFormatting sqref="R212 T212:U212 W212">
    <cfRule type="cellIs" dxfId="0" priority="10512" operator="equal">
      <formula>"欠"</formula>
    </cfRule>
  </conditionalFormatting>
  <conditionalFormatting sqref="R213 T213:W213">
    <cfRule type="cellIs" dxfId="0" priority="10511" operator="equal">
      <formula>"欠"</formula>
    </cfRule>
  </conditionalFormatting>
  <conditionalFormatting sqref="R214 T214:W214">
    <cfRule type="cellIs" dxfId="0" priority="10510" operator="equal">
      <formula>"欠"</formula>
    </cfRule>
  </conditionalFormatting>
  <conditionalFormatting sqref="R215 T215:W215">
    <cfRule type="cellIs" dxfId="0" priority="10509" operator="equal">
      <formula>"欠"</formula>
    </cfRule>
  </conditionalFormatting>
  <conditionalFormatting sqref="R216 T216:W216">
    <cfRule type="cellIs" dxfId="0" priority="10508" operator="equal">
      <formula>"欠"</formula>
    </cfRule>
  </conditionalFormatting>
  <conditionalFormatting sqref="R217 T217:W217">
    <cfRule type="cellIs" dxfId="0" priority="10507" operator="equal">
      <formula>"欠"</formula>
    </cfRule>
  </conditionalFormatting>
  <conditionalFormatting sqref="R218 T218:U218 W218">
    <cfRule type="cellIs" dxfId="0" priority="10475" operator="equal">
      <formula>"欠"</formula>
    </cfRule>
  </conditionalFormatting>
  <conditionalFormatting sqref="R219 T219:U219 W219">
    <cfRule type="cellIs" dxfId="0" priority="10474" operator="equal">
      <formula>"欠"</formula>
    </cfRule>
  </conditionalFormatting>
  <conditionalFormatting sqref="R220 T220:U220 W220">
    <cfRule type="cellIs" dxfId="0" priority="10473" operator="equal">
      <formula>"欠"</formula>
    </cfRule>
  </conditionalFormatting>
  <conditionalFormatting sqref="R221 T221:U221 W221">
    <cfRule type="cellIs" dxfId="0" priority="10472" operator="equal">
      <formula>"欠"</formula>
    </cfRule>
  </conditionalFormatting>
  <conditionalFormatting sqref="R222 T222:U222 W222">
    <cfRule type="cellIs" dxfId="0" priority="10471" operator="equal">
      <formula>"欠"</formula>
    </cfRule>
  </conditionalFormatting>
  <conditionalFormatting sqref="R223 T223:W223">
    <cfRule type="cellIs" dxfId="0" priority="10462" operator="equal">
      <formula>"欠"</formula>
    </cfRule>
  </conditionalFormatting>
  <conditionalFormatting sqref="R224 T224:W224">
    <cfRule type="cellIs" dxfId="0" priority="10439" operator="equal">
      <formula>"欠"</formula>
    </cfRule>
  </conditionalFormatting>
  <conditionalFormatting sqref="R225 T225:W225">
    <cfRule type="cellIs" dxfId="0" priority="10438" operator="equal">
      <formula>"欠"</formula>
    </cfRule>
  </conditionalFormatting>
  <conditionalFormatting sqref="R226 T226:W226">
    <cfRule type="cellIs" dxfId="0" priority="10437" operator="equal">
      <formula>"欠"</formula>
    </cfRule>
  </conditionalFormatting>
  <conditionalFormatting sqref="R227 T227:W227">
    <cfRule type="cellIs" dxfId="0" priority="10435" operator="equal">
      <formula>"欠"</formula>
    </cfRule>
  </conditionalFormatting>
  <conditionalFormatting sqref="R228 T228:W228">
    <cfRule type="cellIs" dxfId="0" priority="10434" operator="equal">
      <formula>"欠"</formula>
    </cfRule>
  </conditionalFormatting>
  <conditionalFormatting sqref="R229 T229:W229">
    <cfRule type="cellIs" dxfId="0" priority="10436" operator="equal">
      <formula>"欠"</formula>
    </cfRule>
  </conditionalFormatting>
  <conditionalFormatting sqref="R230 T230:W230">
    <cfRule type="cellIs" dxfId="0" priority="10330" operator="equal">
      <formula>"欠"</formula>
    </cfRule>
  </conditionalFormatting>
  <conditionalFormatting sqref="R231 T231:W231">
    <cfRule type="cellIs" dxfId="0" priority="10329" operator="equal">
      <formula>"欠"</formula>
    </cfRule>
  </conditionalFormatting>
  <conditionalFormatting sqref="R232 T232:W232">
    <cfRule type="cellIs" dxfId="0" priority="10328" operator="equal">
      <formula>"欠"</formula>
    </cfRule>
  </conditionalFormatting>
  <conditionalFormatting sqref="R233 T233:W233">
    <cfRule type="cellIs" dxfId="0" priority="10327" operator="equal">
      <formula>"欠"</formula>
    </cfRule>
  </conditionalFormatting>
  <conditionalFormatting sqref="R234 T234:W234">
    <cfRule type="cellIs" dxfId="0" priority="10326" operator="equal">
      <formula>"欠"</formula>
    </cfRule>
  </conditionalFormatting>
  <conditionalFormatting sqref="R235 T235:W235">
    <cfRule type="cellIs" dxfId="0" priority="10325" operator="equal">
      <formula>"欠"</formula>
    </cfRule>
  </conditionalFormatting>
  <conditionalFormatting sqref="R236 T236:W236">
    <cfRule type="cellIs" dxfId="0" priority="10324" operator="equal">
      <formula>"欠"</formula>
    </cfRule>
  </conditionalFormatting>
  <conditionalFormatting sqref="R237 T237:U237 W237">
    <cfRule type="cellIs" dxfId="0" priority="10323" operator="equal">
      <formula>"欠"</formula>
    </cfRule>
  </conditionalFormatting>
  <conditionalFormatting sqref="R238 T238:U238 W238">
    <cfRule type="cellIs" dxfId="0" priority="10322" operator="equal">
      <formula>"欠"</formula>
    </cfRule>
  </conditionalFormatting>
  <conditionalFormatting sqref="R239 T239:W239">
    <cfRule type="cellIs" dxfId="0" priority="10321" operator="equal">
      <formula>"欠"</formula>
    </cfRule>
  </conditionalFormatting>
  <conditionalFormatting sqref="R240 T240:W240">
    <cfRule type="cellIs" dxfId="0" priority="10320" operator="equal">
      <formula>"欠"</formula>
    </cfRule>
  </conditionalFormatting>
  <conditionalFormatting sqref="R241 T241:W241">
    <cfRule type="cellIs" dxfId="0" priority="10319" operator="equal">
      <formula>"欠"</formula>
    </cfRule>
  </conditionalFormatting>
  <conditionalFormatting sqref="R242 T242:W242">
    <cfRule type="cellIs" dxfId="0" priority="10318" operator="equal">
      <formula>"欠"</formula>
    </cfRule>
  </conditionalFormatting>
  <conditionalFormatting sqref="R243 T243:U243 W243">
    <cfRule type="cellIs" dxfId="0" priority="10317" operator="equal">
      <formula>"欠"</formula>
    </cfRule>
  </conditionalFormatting>
  <conditionalFormatting sqref="R244 T244:U244 W244">
    <cfRule type="cellIs" dxfId="0" priority="10270" operator="equal">
      <formula>"欠"</formula>
    </cfRule>
  </conditionalFormatting>
  <conditionalFormatting sqref="R245 T245:U245 W245">
    <cfRule type="cellIs" dxfId="0" priority="10269" operator="equal">
      <formula>"欠"</formula>
    </cfRule>
  </conditionalFormatting>
  <conditionalFormatting sqref="R246 T246:U246 W246">
    <cfRule type="cellIs" dxfId="0" priority="10268" operator="equal">
      <formula>"欠"</formula>
    </cfRule>
  </conditionalFormatting>
  <conditionalFormatting sqref="R247 T247:U247 W247">
    <cfRule type="cellIs" dxfId="0" priority="10267" operator="equal">
      <formula>"欠"</formula>
    </cfRule>
  </conditionalFormatting>
  <conditionalFormatting sqref="R248 T248:U248 W248">
    <cfRule type="cellIs" dxfId="0" priority="10266" operator="equal">
      <formula>"欠"</formula>
    </cfRule>
  </conditionalFormatting>
  <conditionalFormatting sqref="R249 T249:U249 W249">
    <cfRule type="cellIs" dxfId="0" priority="10265" operator="equal">
      <formula>"欠"</formula>
    </cfRule>
  </conditionalFormatting>
  <conditionalFormatting sqref="R250 T250:U250 W250">
    <cfRule type="cellIs" dxfId="0" priority="10230" operator="equal">
      <formula>"欠"</formula>
    </cfRule>
  </conditionalFormatting>
  <conditionalFormatting sqref="R251 T251:U251 W251">
    <cfRule type="cellIs" dxfId="0" priority="10229" operator="equal">
      <formula>"欠"</formula>
    </cfRule>
  </conditionalFormatting>
  <conditionalFormatting sqref="R252 T252:U252 W252">
    <cfRule type="cellIs" dxfId="0" priority="10228" operator="equal">
      <formula>"欠"</formula>
    </cfRule>
  </conditionalFormatting>
  <conditionalFormatting sqref="R253 T253:U253 W253">
    <cfRule type="cellIs" dxfId="0" priority="10227" operator="equal">
      <formula>"欠"</formula>
    </cfRule>
  </conditionalFormatting>
  <conditionalFormatting sqref="R254 T254:U254 W254">
    <cfRule type="cellIs" dxfId="0" priority="10226" operator="equal">
      <formula>"欠"</formula>
    </cfRule>
  </conditionalFormatting>
  <conditionalFormatting sqref="R255 T255:U255 W255">
    <cfRule type="cellIs" dxfId="0" priority="10225" operator="equal">
      <formula>"欠"</formula>
    </cfRule>
  </conditionalFormatting>
  <conditionalFormatting sqref="R256 T256:W256">
    <cfRule type="cellIs" dxfId="0" priority="10224" operator="equal">
      <formula>"欠"</formula>
    </cfRule>
  </conditionalFormatting>
  <conditionalFormatting sqref="R257 T257:W257">
    <cfRule type="cellIs" dxfId="0" priority="10143" operator="equal">
      <formula>"欠"</formula>
    </cfRule>
  </conditionalFormatting>
  <conditionalFormatting sqref="R258 T258:W258">
    <cfRule type="cellIs" dxfId="0" priority="10142" operator="equal">
      <formula>"欠"</formula>
    </cfRule>
  </conditionalFormatting>
  <conditionalFormatting sqref="R259 T259:W259">
    <cfRule type="cellIs" dxfId="0" priority="10141" operator="equal">
      <formula>"欠"</formula>
    </cfRule>
  </conditionalFormatting>
  <conditionalFormatting sqref="R260 T260:W260">
    <cfRule type="cellIs" dxfId="0" priority="10140" operator="equal">
      <formula>"欠"</formula>
    </cfRule>
  </conditionalFormatting>
  <conditionalFormatting sqref="R261 T261:W261">
    <cfRule type="cellIs" dxfId="0" priority="10139" operator="equal">
      <formula>"欠"</formula>
    </cfRule>
  </conditionalFormatting>
  <conditionalFormatting sqref="R262 T262:W262">
    <cfRule type="cellIs" dxfId="0" priority="10138" operator="equal">
      <formula>"欠"</formula>
    </cfRule>
  </conditionalFormatting>
  <conditionalFormatting sqref="R263 T263:W263">
    <cfRule type="cellIs" dxfId="0" priority="10137" operator="equal">
      <formula>"欠"</formula>
    </cfRule>
  </conditionalFormatting>
  <conditionalFormatting sqref="R264 T264:W264">
    <cfRule type="cellIs" dxfId="0" priority="10136" operator="equal">
      <formula>"欠"</formula>
    </cfRule>
  </conditionalFormatting>
  <conditionalFormatting sqref="R265 T265:W265">
    <cfRule type="cellIs" dxfId="0" priority="10135" operator="equal">
      <formula>"欠"</formula>
    </cfRule>
  </conditionalFormatting>
  <conditionalFormatting sqref="R266 T266:W266">
    <cfRule type="cellIs" dxfId="0" priority="10134" operator="equal">
      <formula>"欠"</formula>
    </cfRule>
  </conditionalFormatting>
  <conditionalFormatting sqref="R267 T267:W267">
    <cfRule type="cellIs" dxfId="0" priority="10133" operator="equal">
      <formula>"欠"</formula>
    </cfRule>
  </conditionalFormatting>
  <conditionalFormatting sqref="R268 T268:W268">
    <cfRule type="cellIs" dxfId="0" priority="10132" operator="equal">
      <formula>"欠"</formula>
    </cfRule>
  </conditionalFormatting>
  <conditionalFormatting sqref="R269 T269:W269">
    <cfRule type="cellIs" dxfId="0" priority="10131" operator="equal">
      <formula>"欠"</formula>
    </cfRule>
  </conditionalFormatting>
  <conditionalFormatting sqref="R270 T270:W270">
    <cfRule type="cellIs" dxfId="0" priority="9999" operator="equal">
      <formula>"欠"</formula>
    </cfRule>
  </conditionalFormatting>
  <conditionalFormatting sqref="R271 T271:W271">
    <cfRule type="cellIs" dxfId="0" priority="9998" operator="equal">
      <formula>"欠"</formula>
    </cfRule>
  </conditionalFormatting>
  <conditionalFormatting sqref="R272 T272:W272">
    <cfRule type="cellIs" dxfId="0" priority="9997" operator="equal">
      <formula>"欠"</formula>
    </cfRule>
  </conditionalFormatting>
  <conditionalFormatting sqref="R273 T273:W273">
    <cfRule type="cellIs" dxfId="0" priority="9996" operator="equal">
      <formula>"欠"</formula>
    </cfRule>
  </conditionalFormatting>
  <conditionalFormatting sqref="R274 T274:W274">
    <cfRule type="cellIs" dxfId="0" priority="9995" operator="equal">
      <formula>"欠"</formula>
    </cfRule>
  </conditionalFormatting>
  <conditionalFormatting sqref="R275 T275:U275 W275">
    <cfRule type="cellIs" dxfId="0" priority="9994" operator="equal">
      <formula>"欠"</formula>
    </cfRule>
  </conditionalFormatting>
  <conditionalFormatting sqref="R276 T276:U276 W276">
    <cfRule type="cellIs" dxfId="0" priority="9993" operator="equal">
      <formula>"欠"</formula>
    </cfRule>
  </conditionalFormatting>
  <conditionalFormatting sqref="R277 T277:U277 W277">
    <cfRule type="cellIs" dxfId="0" priority="9992" operator="equal">
      <formula>"欠"</formula>
    </cfRule>
  </conditionalFormatting>
  <conditionalFormatting sqref="R278 T278:U278 W278">
    <cfRule type="cellIs" dxfId="0" priority="9991" operator="equal">
      <formula>"欠"</formula>
    </cfRule>
  </conditionalFormatting>
  <conditionalFormatting sqref="R279 T279:W279">
    <cfRule type="cellIs" dxfId="0" priority="9990" operator="equal">
      <formula>"欠"</formula>
    </cfRule>
  </conditionalFormatting>
  <conditionalFormatting sqref="R280 T280:W280">
    <cfRule type="cellIs" dxfId="0" priority="9989" operator="equal">
      <formula>"欠"</formula>
    </cfRule>
  </conditionalFormatting>
  <conditionalFormatting sqref="R281 T281:W281">
    <cfRule type="cellIs" dxfId="0" priority="9988" operator="equal">
      <formula>"欠"</formula>
    </cfRule>
  </conditionalFormatting>
  <conditionalFormatting sqref="R282 T282:W282">
    <cfRule type="cellIs" dxfId="0" priority="9987" operator="equal">
      <formula>"欠"</formula>
    </cfRule>
  </conditionalFormatting>
  <conditionalFormatting sqref="R283 T283:W283">
    <cfRule type="cellIs" dxfId="0" priority="9986" operator="equal">
      <formula>"欠"</formula>
    </cfRule>
  </conditionalFormatting>
  <conditionalFormatting sqref="R284 T284:W284">
    <cfRule type="cellIs" dxfId="0" priority="9985" operator="equal">
      <formula>"欠"</formula>
    </cfRule>
  </conditionalFormatting>
  <conditionalFormatting sqref="R285 T285:W285">
    <cfRule type="cellIs" dxfId="0" priority="9984" operator="equal">
      <formula>"欠"</formula>
    </cfRule>
  </conditionalFormatting>
  <conditionalFormatting sqref="R286 T286:W286">
    <cfRule type="cellIs" dxfId="0" priority="9983" operator="equal">
      <formula>"欠"</formula>
    </cfRule>
  </conditionalFormatting>
  <conditionalFormatting sqref="R287 T287:W287">
    <cfRule type="cellIs" dxfId="0" priority="9982" operator="equal">
      <formula>"欠"</formula>
    </cfRule>
  </conditionalFormatting>
  <conditionalFormatting sqref="R288 T288:W288">
    <cfRule type="cellIs" dxfId="0" priority="9981" operator="equal">
      <formula>"欠"</formula>
    </cfRule>
  </conditionalFormatting>
  <conditionalFormatting sqref="R289 T289:W289">
    <cfRule type="cellIs" dxfId="0" priority="9980" operator="equal">
      <formula>"欠"</formula>
    </cfRule>
  </conditionalFormatting>
  <conditionalFormatting sqref="R290 T290:W290">
    <cfRule type="cellIs" dxfId="0" priority="9979" operator="equal">
      <formula>"欠"</formula>
    </cfRule>
  </conditionalFormatting>
  <conditionalFormatting sqref="R291 T291:W291 T462:U462 T1157:U1157 T1208:U1208">
    <cfRule type="cellIs" dxfId="0" priority="9978" operator="equal">
      <formula>"欠"</formula>
    </cfRule>
  </conditionalFormatting>
  <conditionalFormatting sqref="S291 S462 S1157 S1208">
    <cfRule type="cellIs" dxfId="0" priority="9952" operator="equal">
      <formula>"欠"</formula>
    </cfRule>
  </conditionalFormatting>
  <conditionalFormatting sqref="T291:U291 T462:U462 T1157:U1157 T1208:U1208">
    <cfRule type="containsText" dxfId="2" priority="9926" operator="between" text="欠">
      <formula>NOT(ISERROR(SEARCH("欠",T291)))</formula>
    </cfRule>
  </conditionalFormatting>
  <conditionalFormatting sqref="R292 T292:W292">
    <cfRule type="cellIs" dxfId="0" priority="9977" operator="equal">
      <formula>"欠"</formula>
    </cfRule>
  </conditionalFormatting>
  <conditionalFormatting sqref="R293 T293:W293 R608">
    <cfRule type="cellIs" dxfId="0" priority="9976" operator="equal">
      <formula>"欠"</formula>
    </cfRule>
  </conditionalFormatting>
  <conditionalFormatting sqref="S293 S608">
    <cfRule type="cellIs" dxfId="0" priority="9950" operator="equal">
      <formula>"欠"</formula>
    </cfRule>
  </conditionalFormatting>
  <conditionalFormatting sqref="R294 T294:W294">
    <cfRule type="cellIs" dxfId="0" priority="9975" operator="equal">
      <formula>"欠"</formula>
    </cfRule>
  </conditionalFormatting>
  <conditionalFormatting sqref="R295 T295:W295">
    <cfRule type="cellIs" dxfId="0" priority="9974" operator="equal">
      <formula>"欠"</formula>
    </cfRule>
  </conditionalFormatting>
  <conditionalFormatting sqref="R296 T296:W296">
    <cfRule type="cellIs" dxfId="0" priority="9873" operator="equal">
      <formula>"欠"</formula>
    </cfRule>
  </conditionalFormatting>
  <conditionalFormatting sqref="R297 T297:W297">
    <cfRule type="cellIs" dxfId="0" priority="9872" operator="equal">
      <formula>"欠"</formula>
    </cfRule>
  </conditionalFormatting>
  <conditionalFormatting sqref="R298 T298:W298">
    <cfRule type="cellIs" dxfId="0" priority="9871" operator="equal">
      <formula>"欠"</formula>
    </cfRule>
  </conditionalFormatting>
  <conditionalFormatting sqref="R299 T299:W299">
    <cfRule type="cellIs" dxfId="0" priority="9870" operator="equal">
      <formula>"欠"</formula>
    </cfRule>
  </conditionalFormatting>
  <conditionalFormatting sqref="R300 T300:U300 W300">
    <cfRule type="cellIs" dxfId="0" priority="9869" operator="equal">
      <formula>"欠"</formula>
    </cfRule>
  </conditionalFormatting>
  <conditionalFormatting sqref="R301 T301:U301 W301">
    <cfRule type="cellIs" dxfId="0" priority="9868" operator="equal">
      <formula>"欠"</formula>
    </cfRule>
  </conditionalFormatting>
  <conditionalFormatting sqref="R302 T302:W302">
    <cfRule type="cellIs" dxfId="0" priority="9867" operator="equal">
      <formula>"欠"</formula>
    </cfRule>
  </conditionalFormatting>
  <conditionalFormatting sqref="R303 T303:W303">
    <cfRule type="cellIs" dxfId="0" priority="9866" operator="equal">
      <formula>"欠"</formula>
    </cfRule>
  </conditionalFormatting>
  <conditionalFormatting sqref="R304 T304:W304">
    <cfRule type="cellIs" dxfId="0" priority="9865" operator="equal">
      <formula>"欠"</formula>
    </cfRule>
  </conditionalFormatting>
  <conditionalFormatting sqref="R305 T305:W305">
    <cfRule type="cellIs" dxfId="0" priority="9864" operator="equal">
      <formula>"欠"</formula>
    </cfRule>
  </conditionalFormatting>
  <conditionalFormatting sqref="R306 T306:W306">
    <cfRule type="cellIs" dxfId="0" priority="9863" operator="equal">
      <formula>"欠"</formula>
    </cfRule>
  </conditionalFormatting>
  <conditionalFormatting sqref="R307 T307:W307">
    <cfRule type="cellIs" dxfId="0" priority="9862" operator="equal">
      <formula>"欠"</formula>
    </cfRule>
  </conditionalFormatting>
  <conditionalFormatting sqref="R308 T308:W308">
    <cfRule type="cellIs" dxfId="0" priority="9861" operator="equal">
      <formula>"欠"</formula>
    </cfRule>
  </conditionalFormatting>
  <conditionalFormatting sqref="R309 T309:U309 W309">
    <cfRule type="cellIs" dxfId="0" priority="9696" operator="equal">
      <formula>"欠"</formula>
    </cfRule>
  </conditionalFormatting>
  <conditionalFormatting sqref="R310 T310:W310">
    <cfRule type="cellIs" dxfId="0" priority="9695" operator="equal">
      <formula>"欠"</formula>
    </cfRule>
  </conditionalFormatting>
  <conditionalFormatting sqref="R311 T311:W311">
    <cfRule type="cellIs" dxfId="0" priority="9694" operator="equal">
      <formula>"欠"</formula>
    </cfRule>
  </conditionalFormatting>
  <conditionalFormatting sqref="R312 T312:W312">
    <cfRule type="cellIs" dxfId="0" priority="9693" operator="equal">
      <formula>"欠"</formula>
    </cfRule>
  </conditionalFormatting>
  <conditionalFormatting sqref="R313 T313:W313">
    <cfRule type="cellIs" dxfId="0" priority="9692" operator="equal">
      <formula>"欠"</formula>
    </cfRule>
  </conditionalFormatting>
  <conditionalFormatting sqref="R314 T314:W314 T480:U481 T500:U502 T526:U527 T578:U578 T931:U932 T974:U976">
    <cfRule type="cellIs" dxfId="0" priority="9691" operator="equal">
      <formula>"欠"</formula>
    </cfRule>
  </conditionalFormatting>
  <conditionalFormatting sqref="S314 S480:S481">
    <cfRule type="cellIs" dxfId="0" priority="9676" operator="equal">
      <formula>"欠"</formula>
    </cfRule>
  </conditionalFormatting>
  <conditionalFormatting sqref="T314:U314 T480:U481 T500:U502 T526:U527 T578:U578 T931:U932 T974:U976">
    <cfRule type="containsText" dxfId="2" priority="9661" operator="between" text="欠">
      <formula>NOT(ISERROR(SEARCH("欠",T314)))</formula>
    </cfRule>
  </conditionalFormatting>
  <conditionalFormatting sqref="R315 T315:U315 W315">
    <cfRule type="cellIs" dxfId="0" priority="9690" operator="equal">
      <formula>"欠"</formula>
    </cfRule>
  </conditionalFormatting>
  <conditionalFormatting sqref="R316 T316:U316 W316">
    <cfRule type="cellIs" dxfId="0" priority="9689" operator="equal">
      <formula>"欠"</formula>
    </cfRule>
  </conditionalFormatting>
  <conditionalFormatting sqref="R317 T317:U317 W317">
    <cfRule type="cellIs" dxfId="0" priority="9688" operator="equal">
      <formula>"欠"</formula>
    </cfRule>
  </conditionalFormatting>
  <conditionalFormatting sqref="R318 T318:U318 W318">
    <cfRule type="cellIs" dxfId="0" priority="9687" operator="equal">
      <formula>"欠"</formula>
    </cfRule>
  </conditionalFormatting>
  <conditionalFormatting sqref="R319 T319:U319 W319">
    <cfRule type="cellIs" dxfId="0" priority="9686" operator="equal">
      <formula>"欠"</formula>
    </cfRule>
  </conditionalFormatting>
  <conditionalFormatting sqref="R320 T320:W320">
    <cfRule type="cellIs" dxfId="0" priority="9685" operator="equal">
      <formula>"欠"</formula>
    </cfRule>
  </conditionalFormatting>
  <conditionalFormatting sqref="R321 T321:W321">
    <cfRule type="cellIs" dxfId="0" priority="9684" operator="equal">
      <formula>"欠"</formula>
    </cfRule>
  </conditionalFormatting>
  <conditionalFormatting sqref="R322 T322:W322">
    <cfRule type="cellIs" dxfId="0" priority="9683" operator="equal">
      <formula>"欠"</formula>
    </cfRule>
  </conditionalFormatting>
  <conditionalFormatting sqref="R323 T323:W323">
    <cfRule type="cellIs" dxfId="0" priority="9682" operator="equal">
      <formula>"欠"</formula>
    </cfRule>
  </conditionalFormatting>
  <conditionalFormatting sqref="R324 T324:W324">
    <cfRule type="cellIs" dxfId="0" priority="9648" operator="equal">
      <formula>"欠"</formula>
    </cfRule>
  </conditionalFormatting>
  <conditionalFormatting sqref="R325 T325:W325">
    <cfRule type="cellIs" dxfId="0" priority="9639" operator="equal">
      <formula>"欠"</formula>
    </cfRule>
  </conditionalFormatting>
  <conditionalFormatting sqref="R326 T326:W326">
    <cfRule type="cellIs" dxfId="0" priority="9638" operator="equal">
      <formula>"欠"</formula>
    </cfRule>
  </conditionalFormatting>
  <conditionalFormatting sqref="R327 T327:W327">
    <cfRule type="cellIs" dxfId="0" priority="9508" operator="equal">
      <formula>"欠"</formula>
    </cfRule>
  </conditionalFormatting>
  <conditionalFormatting sqref="R328 T328:W328">
    <cfRule type="cellIs" dxfId="0" priority="9507" operator="equal">
      <formula>"欠"</formula>
    </cfRule>
  </conditionalFormatting>
  <conditionalFormatting sqref="R329 T329:W329">
    <cfRule type="cellIs" dxfId="0" priority="9506" operator="equal">
      <formula>"欠"</formula>
    </cfRule>
  </conditionalFormatting>
  <conditionalFormatting sqref="R330 T330:W330">
    <cfRule type="cellIs" dxfId="0" priority="9505" operator="equal">
      <formula>"欠"</formula>
    </cfRule>
  </conditionalFormatting>
  <conditionalFormatting sqref="R331 T331:W331">
    <cfRule type="cellIs" dxfId="0" priority="9504" operator="equal">
      <formula>"欠"</formula>
    </cfRule>
  </conditionalFormatting>
  <conditionalFormatting sqref="R332 T332:W332 T499:U499">
    <cfRule type="cellIs" dxfId="0" priority="9503" operator="equal">
      <formula>"欠"</formula>
    </cfRule>
  </conditionalFormatting>
  <conditionalFormatting sqref="S332 S499">
    <cfRule type="cellIs" dxfId="0" priority="9477" operator="equal">
      <formula>"欠"</formula>
    </cfRule>
  </conditionalFormatting>
  <conditionalFormatting sqref="T332:U332 T499:U499">
    <cfRule type="containsText" dxfId="0" priority="9425" operator="between" text="欠">
      <formula>NOT(ISERROR(SEARCH("欠",T332)))</formula>
    </cfRule>
    <cfRule type="containsText" dxfId="2" priority="9451" operator="between" text="欠">
      <formula>NOT(ISERROR(SEARCH("欠",T332)))</formula>
    </cfRule>
  </conditionalFormatting>
  <conditionalFormatting sqref="R333 T333:U333 W333">
    <cfRule type="cellIs" dxfId="0" priority="9502" operator="equal">
      <formula>"欠"</formula>
    </cfRule>
  </conditionalFormatting>
  <conditionalFormatting sqref="R334 T334:U334 W334">
    <cfRule type="cellIs" dxfId="0" priority="9501" operator="equal">
      <formula>"欠"</formula>
    </cfRule>
  </conditionalFormatting>
  <conditionalFormatting sqref="R335 T335:W335">
    <cfRule type="cellIs" dxfId="0" priority="9500" operator="equal">
      <formula>"欠"</formula>
    </cfRule>
  </conditionalFormatting>
  <conditionalFormatting sqref="R336 T336:W336">
    <cfRule type="cellIs" dxfId="0" priority="9499" operator="equal">
      <formula>"欠"</formula>
    </cfRule>
  </conditionalFormatting>
  <conditionalFormatting sqref="R337 T337:W337">
    <cfRule type="cellIs" dxfId="0" priority="9498" operator="equal">
      <formula>"欠"</formula>
    </cfRule>
  </conditionalFormatting>
  <conditionalFormatting sqref="R338 T338:W338">
    <cfRule type="cellIs" dxfId="0" priority="9497" operator="equal">
      <formula>"欠"</formula>
    </cfRule>
  </conditionalFormatting>
  <conditionalFormatting sqref="R339 T339:W339">
    <cfRule type="cellIs" dxfId="0" priority="9496" operator="equal">
      <formula>"欠"</formula>
    </cfRule>
  </conditionalFormatting>
  <conditionalFormatting sqref="R340 T340:W340">
    <cfRule type="cellIs" dxfId="0" priority="9495" operator="equal">
      <formula>"欠"</formula>
    </cfRule>
  </conditionalFormatting>
  <conditionalFormatting sqref="R341 T341:W341">
    <cfRule type="cellIs" dxfId="0" priority="9494" operator="equal">
      <formula>"欠"</formula>
    </cfRule>
  </conditionalFormatting>
  <conditionalFormatting sqref="R342 T342:W342">
    <cfRule type="cellIs" dxfId="0" priority="9493" operator="equal">
      <formula>"欠"</formula>
    </cfRule>
  </conditionalFormatting>
  <conditionalFormatting sqref="R343 T343:W343">
    <cfRule type="cellIs" dxfId="0" priority="9492" operator="equal">
      <formula>"欠"</formula>
    </cfRule>
  </conditionalFormatting>
  <conditionalFormatting sqref="R344 T344:W344">
    <cfRule type="cellIs" dxfId="0" priority="9491" operator="equal">
      <formula>"欠"</formula>
    </cfRule>
  </conditionalFormatting>
  <conditionalFormatting sqref="R345 T345:U345 W345">
    <cfRule type="cellIs" dxfId="0" priority="9490" operator="equal">
      <formula>"欠"</formula>
    </cfRule>
  </conditionalFormatting>
  <conditionalFormatting sqref="R346 T346:U346 W346">
    <cfRule type="cellIs" dxfId="0" priority="9489" operator="equal">
      <formula>"欠"</formula>
    </cfRule>
  </conditionalFormatting>
  <conditionalFormatting sqref="R347 T347:U347 W347">
    <cfRule type="cellIs" dxfId="0" priority="9488" operator="equal">
      <formula>"欠"</formula>
    </cfRule>
  </conditionalFormatting>
  <conditionalFormatting sqref="R348 T348:U348 W348">
    <cfRule type="cellIs" dxfId="0" priority="9487" operator="equal">
      <formula>"欠"</formula>
    </cfRule>
  </conditionalFormatting>
  <conditionalFormatting sqref="R349 T349:U349 W349">
    <cfRule type="cellIs" dxfId="0" priority="9486" operator="equal">
      <formula>"欠"</formula>
    </cfRule>
  </conditionalFormatting>
  <conditionalFormatting sqref="R350 T350:W350">
    <cfRule type="cellIs" dxfId="0" priority="9485" operator="equal">
      <formula>"欠"</formula>
    </cfRule>
  </conditionalFormatting>
  <conditionalFormatting sqref="R351 T351:W351">
    <cfRule type="cellIs" dxfId="0" priority="9484" operator="equal">
      <formula>"欠"</formula>
    </cfRule>
  </conditionalFormatting>
  <conditionalFormatting sqref="R352 T352:W352">
    <cfRule type="cellIs" dxfId="0" priority="9483" operator="equal">
      <formula>"欠"</formula>
    </cfRule>
  </conditionalFormatting>
  <conditionalFormatting sqref="R353 T353:W353">
    <cfRule type="cellIs" dxfId="0" priority="9392" operator="equal">
      <formula>"欠"</formula>
    </cfRule>
  </conditionalFormatting>
  <conditionalFormatting sqref="R354 T354:W354">
    <cfRule type="cellIs" dxfId="0" priority="9391" operator="equal">
      <formula>"欠"</formula>
    </cfRule>
  </conditionalFormatting>
  <conditionalFormatting sqref="R355 T355:W355">
    <cfRule type="cellIs" dxfId="0" priority="9287" operator="equal">
      <formula>"欠"</formula>
    </cfRule>
  </conditionalFormatting>
  <conditionalFormatting sqref="R356 T356:W356">
    <cfRule type="cellIs" dxfId="0" priority="9286" operator="equal">
      <formula>"欠"</formula>
    </cfRule>
  </conditionalFormatting>
  <conditionalFormatting sqref="R357 T357:W357">
    <cfRule type="cellIs" dxfId="0" priority="9285" operator="equal">
      <formula>"欠"</formula>
    </cfRule>
  </conditionalFormatting>
  <conditionalFormatting sqref="R358 T358:W358">
    <cfRule type="cellIs" dxfId="0" priority="9284" operator="equal">
      <formula>"欠"</formula>
    </cfRule>
  </conditionalFormatting>
  <conditionalFormatting sqref="R359 T359:W359">
    <cfRule type="cellIs" dxfId="0" priority="9283" operator="equal">
      <formula>"欠"</formula>
    </cfRule>
  </conditionalFormatting>
  <conditionalFormatting sqref="R360 T360:W360">
    <cfRule type="cellIs" dxfId="0" priority="9282" operator="equal">
      <formula>"欠"</formula>
    </cfRule>
  </conditionalFormatting>
  <conditionalFormatting sqref="R361 T361:W361">
    <cfRule type="cellIs" dxfId="0" priority="9281" operator="equal">
      <formula>"欠"</formula>
    </cfRule>
  </conditionalFormatting>
  <conditionalFormatting sqref="R362 T362:W362">
    <cfRule type="cellIs" dxfId="0" priority="9280" operator="equal">
      <formula>"欠"</formula>
    </cfRule>
  </conditionalFormatting>
  <conditionalFormatting sqref="R363:V367 R368:U369 R370:V384 R385:U386 R387:V395 R396 T396:V396 R397:V423 T424:U424 R451:S451 V451 S452:U452 R454:U455 R456:V458 T459:U459 R460:S461 S464 S466:U466 R468:U468 R469:R471 R472:S473 S475 R476:R477 R484:U485 R489:S490 S491:S492 R493:U498 R503:U504 S505 S510:S511 S516 R517:U523 S525 S528:S535 S537 S542:S544 S548:U554 S555 S556:U558 S560:U560 S563:S571 S577 T582:U583 T585:U585 S586:S593 S606:S607 S609:S610 S613:S618 S622:S623 T624:U624 S625:S626 S631 S633:S634 S636:S637 S645:U646 S653:S655 S945 S962 S967 S1002:S1003 S1163:S1164 S1196 S1388:S1389 S1489 S1491">
    <cfRule type="cellIs" dxfId="0" priority="9630" operator="equal">
      <formula>"欠"</formula>
    </cfRule>
  </conditionalFormatting>
  <conditionalFormatting sqref="AG363:AG364 AG377:AG378 AG381:AG382 AG387:AG388 AG390:AG394 AG397:AG409 AG420 AG423 AG451 AG456:AG457">
    <cfRule type="cellIs" dxfId="0" priority="12655" operator="equal">
      <formula>"未完成"</formula>
    </cfRule>
  </conditionalFormatting>
  <conditionalFormatting sqref="AH363:AH364 AH377:AH378 AH381:AH382 AH387:AH388 AH390:AH394 AH397:AH409 AH420 AH423 AH451 AH456:AH457 AH972 AH975:AH976 AH988:AH989">
    <cfRule type="cellIs" dxfId="0" priority="7372" operator="equal">
      <formula>"未完成"</formula>
    </cfRule>
  </conditionalFormatting>
  <conditionalFormatting sqref="AL363:AM364 AL377:AM378 AL381:AM382 AL387:AM388 AL390:AM394 AL397:AM409 AM410:AM413 AL420:AM420 AL423:AM423 AL451:AM451 AL456:AM457">
    <cfRule type="cellIs" dxfId="1" priority="12657" operator="equal">
      <formula>"未完成"</formula>
    </cfRule>
    <cfRule type="cellIs" dxfId="0" priority="12658" operator="equal">
      <formula>"未完成"</formula>
    </cfRule>
  </conditionalFormatting>
  <conditionalFormatting sqref="W365:W366 W368:W370">
    <cfRule type="cellIs" dxfId="0" priority="11161" operator="equal">
      <formula>"欠"</formula>
    </cfRule>
  </conditionalFormatting>
  <conditionalFormatting sqref="AG365:AG366 AG368:AG370 AG373">
    <cfRule type="cellIs" dxfId="0" priority="11162" operator="equal">
      <formula>"未完成"</formula>
    </cfRule>
  </conditionalFormatting>
  <conditionalFormatting sqref="AH365:AH366 AH368:AH370 AH373">
    <cfRule type="cellIs" dxfId="0" priority="7320" operator="equal">
      <formula>"未完成"</formula>
    </cfRule>
  </conditionalFormatting>
  <conditionalFormatting sqref="AL365:AL366 AL368:AL370 AL373">
    <cfRule type="cellIs" dxfId="1" priority="11163" operator="equal">
      <formula>"未完成"</formula>
    </cfRule>
    <cfRule type="cellIs" dxfId="0" priority="11164" operator="equal">
      <formula>"未完成"</formula>
    </cfRule>
  </conditionalFormatting>
  <conditionalFormatting sqref="AM365:AM366 AM368:AM370 AM373">
    <cfRule type="cellIs" dxfId="1" priority="11165" operator="equal">
      <formula>"未完成"</formula>
    </cfRule>
    <cfRule type="cellIs" dxfId="0" priority="11166" operator="equal">
      <formula>"未完成"</formula>
    </cfRule>
  </conditionalFormatting>
  <conditionalFormatting sqref="W367 W372 W410:W413">
    <cfRule type="cellIs" dxfId="0" priority="11076" operator="equal">
      <formula>"欠"</formula>
    </cfRule>
  </conditionalFormatting>
  <conditionalFormatting sqref="AG367 AG371:AG372 AG383:AG384 AG410:AG413">
    <cfRule type="cellIs" dxfId="0" priority="10749" operator="equal">
      <formula>"未完成"</formula>
    </cfRule>
  </conditionalFormatting>
  <conditionalFormatting sqref="AH367 AH371:AH372 AH383:AH384 AH410:AH413">
    <cfRule type="cellIs" dxfId="0" priority="7291" operator="equal">
      <formula>"未完成"</formula>
    </cfRule>
  </conditionalFormatting>
  <conditionalFormatting sqref="AL367 AL371:AL372 AL383:AL384 AL410:AL413">
    <cfRule type="cellIs" dxfId="1" priority="10750" operator="equal">
      <formula>"未完成"</formula>
    </cfRule>
    <cfRule type="cellIs" dxfId="0" priority="10751" operator="equal">
      <formula>"未完成"</formula>
    </cfRule>
  </conditionalFormatting>
  <conditionalFormatting sqref="AM367 AM371:AM372">
    <cfRule type="cellIs" dxfId="1" priority="10752" operator="equal">
      <formula>"未完成"</formula>
    </cfRule>
    <cfRule type="cellIs" dxfId="0" priority="10753" operator="equal">
      <formula>"未完成"</formula>
    </cfRule>
  </conditionalFormatting>
  <conditionalFormatting sqref="W371 W373:W375 W451 W456:W457">
    <cfRule type="cellIs" dxfId="0" priority="10748" operator="equal">
      <formula>"欠"</formula>
    </cfRule>
  </conditionalFormatting>
  <conditionalFormatting sqref="AM374:AM375 AM535:AM536">
    <cfRule type="cellIs" dxfId="1" priority="10779" operator="equal">
      <formula>"未完成"</formula>
    </cfRule>
    <cfRule type="cellIs" dxfId="0" priority="10780" operator="equal">
      <formula>"未完成"</formula>
    </cfRule>
  </conditionalFormatting>
  <conditionalFormatting sqref="W376 W383:W384 W394">
    <cfRule type="cellIs" dxfId="0" priority="10576" operator="equal">
      <formula>"欠"</formula>
    </cfRule>
  </conditionalFormatting>
  <conditionalFormatting sqref="AG376 AG394">
    <cfRule type="cellIs" dxfId="0" priority="10578" operator="equal">
      <formula>"未完成"</formula>
    </cfRule>
  </conditionalFormatting>
  <conditionalFormatting sqref="AH376 AH394">
    <cfRule type="cellIs" dxfId="0" priority="7285" operator="equal">
      <formula>"未完成"</formula>
    </cfRule>
  </conditionalFormatting>
  <conditionalFormatting sqref="AL376 AL394">
    <cfRule type="cellIs" dxfId="1" priority="10579" operator="equal">
      <formula>"未完成"</formula>
    </cfRule>
    <cfRule type="cellIs" dxfId="0" priority="10580" operator="equal">
      <formula>"未完成"</formula>
    </cfRule>
  </conditionalFormatting>
  <conditionalFormatting sqref="AM376 AM383:AM384 AM394">
    <cfRule type="cellIs" dxfId="1" priority="10581" operator="equal">
      <formula>"未完成"</formula>
    </cfRule>
    <cfRule type="cellIs" dxfId="0" priority="10582" operator="equal">
      <formula>"未完成"</formula>
    </cfRule>
  </conditionalFormatting>
  <conditionalFormatting sqref="W377:W378 W381:W382 W387:W388 W390:W392 W397:W404">
    <cfRule type="cellIs" dxfId="0" priority="12652" operator="equal">
      <formula>"欠"</formula>
    </cfRule>
  </conditionalFormatting>
  <conditionalFormatting sqref="AL379:AM380">
    <cfRule type="cellIs" dxfId="1" priority="10090" operator="equal">
      <formula>"未完成"</formula>
    </cfRule>
    <cfRule type="cellIs" dxfId="0" priority="10091" operator="equal">
      <formula>"未完成"</formula>
    </cfRule>
  </conditionalFormatting>
  <conditionalFormatting sqref="W385:W386 W392:W393 W396 W409:W410 W420 W423">
    <cfRule type="cellIs" dxfId="0" priority="12095" operator="equal">
      <formula>"欠"</formula>
    </cfRule>
  </conditionalFormatting>
  <conditionalFormatting sqref="AG385:AG386 AG396">
    <cfRule type="cellIs" dxfId="0" priority="12098" operator="equal">
      <formula>"未完成"</formula>
    </cfRule>
  </conditionalFormatting>
  <conditionalFormatting sqref="AH385:AH386 AH396">
    <cfRule type="cellIs" dxfId="0" priority="7354" operator="equal">
      <formula>"未完成"</formula>
    </cfRule>
  </conditionalFormatting>
  <conditionalFormatting sqref="AL385:AM386 AL396:AM396">
    <cfRule type="cellIs" dxfId="1" priority="12099" operator="equal">
      <formula>"未完成"</formula>
    </cfRule>
    <cfRule type="cellIs" dxfId="0" priority="12100" operator="equal">
      <formula>"未完成"</formula>
    </cfRule>
  </conditionalFormatting>
  <conditionalFormatting sqref="AL414:AM417">
    <cfRule type="cellIs" dxfId="1" priority="10199" operator="equal">
      <formula>"未完成"</formula>
    </cfRule>
    <cfRule type="cellIs" dxfId="0" priority="10200" operator="equal">
      <formula>"未完成"</formula>
    </cfRule>
  </conditionalFormatting>
  <conditionalFormatting sqref="AL418:AM419">
    <cfRule type="cellIs" dxfId="1" priority="9750" operator="equal">
      <formula>"未完成"</formula>
    </cfRule>
    <cfRule type="cellIs" dxfId="0" priority="9751" operator="equal">
      <formula>"未完成"</formula>
    </cfRule>
  </conditionalFormatting>
  <conditionalFormatting sqref="Q421 Q458">
    <cfRule type="cellIs" dxfId="0" priority="10191" operator="equal">
      <formula>"欠"</formula>
    </cfRule>
  </conditionalFormatting>
  <conditionalFormatting sqref="AK421 AK458">
    <cfRule type="cellIs" dxfId="1" priority="10188" operator="equal">
      <formula>"未完成"</formula>
    </cfRule>
    <cfRule type="cellIs" dxfId="0" priority="10189" operator="equal">
      <formula>"未完成"</formula>
    </cfRule>
  </conditionalFormatting>
  <conditionalFormatting sqref="AL421 AL458">
    <cfRule type="cellIs" dxfId="0" priority="10185" operator="equal">
      <formula>"欠"</formula>
    </cfRule>
  </conditionalFormatting>
  <conditionalFormatting sqref="R424:S424 V424">
    <cfRule type="cellIs" dxfId="0" priority="9008" operator="equal">
      <formula>"欠"</formula>
    </cfRule>
  </conditionalFormatting>
  <conditionalFormatting sqref="R427 T427:V427">
    <cfRule type="cellIs" dxfId="0" priority="9004" operator="equal">
      <formula>"欠"</formula>
    </cfRule>
  </conditionalFormatting>
  <conditionalFormatting sqref="R428 T428:V428">
    <cfRule type="cellIs" dxfId="0" priority="9003" operator="equal">
      <formula>"欠"</formula>
    </cfRule>
  </conditionalFormatting>
  <conditionalFormatting sqref="R440:V440 R441 T441:U441">
    <cfRule type="cellIs" dxfId="0" priority="8988" operator="equal">
      <formula>"欠"</formula>
    </cfRule>
  </conditionalFormatting>
  <conditionalFormatting sqref="T440:U441">
    <cfRule type="containsText" dxfId="0" priority="8959" operator="between" text="欠">
      <formula>NOT(ISERROR(SEARCH("欠",T440)))</formula>
    </cfRule>
  </conditionalFormatting>
  <conditionalFormatting sqref="S441 V441">
    <cfRule type="cellIs" dxfId="0" priority="8987" operator="equal">
      <formula>"欠"</formula>
    </cfRule>
  </conditionalFormatting>
  <conditionalFormatting sqref="Q453 Q455">
    <cfRule type="cellIs" dxfId="0" priority="9375" operator="equal">
      <formula>"欠"</formula>
    </cfRule>
  </conditionalFormatting>
  <conditionalFormatting sqref="AK453 AK455">
    <cfRule type="cellIs" dxfId="1" priority="9372" operator="equal">
      <formula>"未完成"</formula>
    </cfRule>
    <cfRule type="cellIs" dxfId="0" priority="9373" operator="equal">
      <formula>"未完成"</formula>
    </cfRule>
  </conditionalFormatting>
  <conditionalFormatting sqref="AL453 AL455">
    <cfRule type="cellIs" dxfId="0" priority="9371" operator="equal">
      <formula>"欠"</formula>
    </cfRule>
  </conditionalFormatting>
  <conditionalFormatting sqref="V454:V455 V468 V484:V485 V493:V498 V503:V504 V517:V523 V532:V534 V548:V554">
    <cfRule type="cellIs" dxfId="0" priority="9614" operator="equal">
      <formula>"欠"</formula>
    </cfRule>
  </conditionalFormatting>
  <conditionalFormatting sqref="Q459:Q463 Q503:Q504 Q517:Q520 Q465:Q468 Q472:Q473 Q484 Q493:Q498">
    <cfRule type="cellIs" dxfId="0" priority="9806" operator="equal">
      <formula>"欠"</formula>
    </cfRule>
  </conditionalFormatting>
  <conditionalFormatting sqref="R459 R462:R463 R465:R467 R482:R483 R500:R502 R509 R526:R529 R578 R591 R615 R634 R645:R647">
    <cfRule type="cellIs" dxfId="0" priority="9800" operator="equal">
      <formula>"欠"</formula>
    </cfRule>
  </conditionalFormatting>
  <conditionalFormatting sqref="S459 S463 S465 S467 S482:S483 S500:S502 S524 S526:S527 S578 S931:S932 S974:S976">
    <cfRule type="containsText" dxfId="0" priority="9758" operator="between" text="欠">
      <formula>NOT(ISERROR(SEARCH("欠",S459)))</formula>
    </cfRule>
    <cfRule type="cellIs" dxfId="0" priority="9764" operator="equal">
      <formula>"欠"</formula>
    </cfRule>
  </conditionalFormatting>
  <conditionalFormatting sqref="AK459:AK463 AK465:AK468 AK472:AK473">
    <cfRule type="cellIs" dxfId="1" priority="9788" operator="equal">
      <formula>"未完成"</formula>
    </cfRule>
    <cfRule type="cellIs" dxfId="0" priority="9794" operator="equal">
      <formula>"未完成"</formula>
    </cfRule>
  </conditionalFormatting>
  <conditionalFormatting sqref="AL459:AL463 AL465:AL468 AL472:AL473">
    <cfRule type="cellIs" dxfId="0" priority="9770" operator="equal">
      <formula>"欠"</formula>
    </cfRule>
  </conditionalFormatting>
  <conditionalFormatting sqref="T460:U461 T472:U473">
    <cfRule type="cellIs" dxfId="0" priority="9776" operator="equal">
      <formula>"欠"</formula>
    </cfRule>
  </conditionalFormatting>
  <conditionalFormatting sqref="V460:V461 V472:V473">
    <cfRule type="cellIs" dxfId="0" priority="9627" operator="equal">
      <formula>"欠"</formula>
    </cfRule>
  </conditionalFormatting>
  <conditionalFormatting sqref="T463:U463 T465:U465 T467:U467 T482:U483">
    <cfRule type="cellIs" dxfId="0" priority="9752" operator="equal">
      <formula>"欠"</formula>
    </cfRule>
  </conditionalFormatting>
  <conditionalFormatting sqref="S474 S512 S507:S509">
    <cfRule type="cellIs" dxfId="0" priority="9166" operator="equal">
      <formula>"欠"</formula>
    </cfRule>
  </conditionalFormatting>
  <conditionalFormatting sqref="T476:U477">
    <cfRule type="cellIs" dxfId="0" priority="9772" operator="equal">
      <formula>"欠"</formula>
    </cfRule>
  </conditionalFormatting>
  <conditionalFormatting sqref="Q485 Q509 Q500:Q502 Q526:Q529 Q480:Q483 Q477:Q478">
    <cfRule type="cellIs" dxfId="0" priority="9801" operator="equal">
      <formula>"欠"</formula>
    </cfRule>
  </conditionalFormatting>
  <conditionalFormatting sqref="AK477:AK478 AK480:AK485 AK500:AK504 AK509 AK526:AK527 AK976">
    <cfRule type="cellIs" dxfId="1" priority="9783" operator="equal">
      <formula>"未完成"</formula>
    </cfRule>
    <cfRule type="cellIs" dxfId="0" priority="9789" operator="equal">
      <formula>"未完成"</formula>
    </cfRule>
  </conditionalFormatting>
  <conditionalFormatting sqref="AL477:AL478 AL480:AL485 AL500:AL504 AL509 AL526:AL527 AL976">
    <cfRule type="cellIs" dxfId="0" priority="9765" operator="equal">
      <formula>"欠"</formula>
    </cfRule>
  </conditionalFormatting>
  <conditionalFormatting sqref="Q486 Q515">
    <cfRule type="cellIs" dxfId="0" priority="9337" operator="equal">
      <formula>"欠"</formula>
    </cfRule>
  </conditionalFormatting>
  <conditionalFormatting sqref="R486 R515">
    <cfRule type="cellIs" dxfId="0" priority="9336" operator="equal">
      <formula>"欠"</formula>
    </cfRule>
  </conditionalFormatting>
  <conditionalFormatting sqref="S486 S515">
    <cfRule type="containsText" dxfId="0" priority="9331" operator="between" text="欠">
      <formula>NOT(ISERROR(SEARCH("欠",S486)))</formula>
    </cfRule>
    <cfRule type="cellIs" dxfId="0" priority="9332" operator="equal">
      <formula>"欠"</formula>
    </cfRule>
  </conditionalFormatting>
  <conditionalFormatting sqref="T486:U486 T515:U515">
    <cfRule type="containsText" dxfId="0" priority="9328" operator="between" text="欠">
      <formula>NOT(ISERROR(SEARCH("欠",T486)))</formula>
    </cfRule>
    <cfRule type="containsText" dxfId="2" priority="9329" operator="between" text="欠">
      <formula>NOT(ISERROR(SEARCH("欠",T486)))</formula>
    </cfRule>
    <cfRule type="cellIs" dxfId="0" priority="9330" operator="equal">
      <formula>"欠"</formula>
    </cfRule>
  </conditionalFormatting>
  <conditionalFormatting sqref="AK486 AK515">
    <cfRule type="cellIs" dxfId="1" priority="9334" operator="equal">
      <formula>"未完成"</formula>
    </cfRule>
    <cfRule type="cellIs" dxfId="0" priority="9335" operator="equal">
      <formula>"未完成"</formula>
    </cfRule>
  </conditionalFormatting>
  <conditionalFormatting sqref="AL486 AL515">
    <cfRule type="cellIs" dxfId="0" priority="9333" operator="equal">
      <formula>"欠"</formula>
    </cfRule>
  </conditionalFormatting>
  <conditionalFormatting sqref="Q487:Q490 Q499">
    <cfRule type="cellIs" dxfId="0" priority="9604" operator="equal">
      <formula>"欠"</formula>
    </cfRule>
  </conditionalFormatting>
  <conditionalFormatting sqref="T487:U490 T492:U492 T510:U512 T516:U516 T525:U525">
    <cfRule type="cellIs" dxfId="0" priority="9399" operator="equal">
      <formula>"欠"</formula>
    </cfRule>
  </conditionalFormatting>
  <conditionalFormatting sqref="AK487:AK490 AK492:AK499">
    <cfRule type="cellIs" dxfId="1" priority="9601" operator="equal">
      <formula>"未完成"</formula>
    </cfRule>
    <cfRule type="cellIs" dxfId="0" priority="9602" operator="equal">
      <formula>"未完成"</formula>
    </cfRule>
  </conditionalFormatting>
  <conditionalFormatting sqref="AL487:AL490 AL492:AL499">
    <cfRule type="cellIs" dxfId="0" priority="9599" operator="equal">
      <formula>"欠"</formula>
    </cfRule>
  </conditionalFormatting>
  <conditionalFormatting sqref="R488 R499 R492">
    <cfRule type="cellIs" dxfId="0" priority="9401" operator="equal">
      <formula>"欠"</formula>
    </cfRule>
  </conditionalFormatting>
  <conditionalFormatting sqref="R491 R661 R635 R561 R581 R623 R602 R577 R564 R628:R630">
    <cfRule type="containsText" dxfId="0" priority="9167" operator="between" text="欠">
      <formula>NOT(ISERROR(SEARCH("欠",R491)))</formula>
    </cfRule>
    <cfRule type="cellIs" dxfId="0" priority="9174" operator="equal">
      <formula>"欠"</formula>
    </cfRule>
  </conditionalFormatting>
  <conditionalFormatting sqref="R505 T505:U505">
    <cfRule type="cellIs" dxfId="0" priority="9146" operator="equal">
      <formula>"欠"</formula>
    </cfRule>
  </conditionalFormatting>
  <conditionalFormatting sqref="R506 T506:U506">
    <cfRule type="cellIs" dxfId="0" priority="9138" operator="equal">
      <formula>"欠"</formula>
    </cfRule>
  </conditionalFormatting>
  <conditionalFormatting sqref="Q507:Q508 Q530:Q531 Q537 Q543:Q544 Q628">
    <cfRule type="cellIs" dxfId="0" priority="9243" operator="equal">
      <formula>"欠"</formula>
    </cfRule>
  </conditionalFormatting>
  <conditionalFormatting sqref="R537 R507:R508">
    <cfRule type="cellIs" dxfId="0" priority="9242" operator="equal">
      <formula>"欠"</formula>
    </cfRule>
  </conditionalFormatting>
  <conditionalFormatting sqref="T507:U507 T528:U531 T537:U537 T543:U544 T561:U561 T564:U564 T577:U577 T581:U581 T602:U602 T628:U628 T634:U634">
    <cfRule type="containsText" dxfId="0" priority="9202" operator="between" text="欠">
      <formula>NOT(ISERROR(SEARCH("欠",T507)))</formula>
    </cfRule>
    <cfRule type="containsText" dxfId="2" priority="9207" operator="between" text="欠">
      <formula>NOT(ISERROR(SEARCH("欠",T507)))</formula>
    </cfRule>
    <cfRule type="cellIs" dxfId="0" priority="9212" operator="equal">
      <formula>"欠"</formula>
    </cfRule>
  </conditionalFormatting>
  <conditionalFormatting sqref="AK507:AK508 AK528:AK531 AK537 AK543:AK544 AK628">
    <cfRule type="cellIs" dxfId="1" priority="9228" operator="equal">
      <formula>"未完成"</formula>
    </cfRule>
    <cfRule type="cellIs" dxfId="0" priority="9233" operator="equal">
      <formula>"未完成"</formula>
    </cfRule>
  </conditionalFormatting>
  <conditionalFormatting sqref="AL507:AL508 AL528:AL531 AL537 AL543:AL544 AL628">
    <cfRule type="cellIs" dxfId="0" priority="9223" operator="equal">
      <formula>"欠"</formula>
    </cfRule>
  </conditionalFormatting>
  <conditionalFormatting sqref="R525 R510:R512 R516">
    <cfRule type="cellIs" dxfId="0" priority="9322" operator="equal">
      <formula>"欠"</formula>
    </cfRule>
  </conditionalFormatting>
  <conditionalFormatting sqref="Q525 Q511:Q512 Q521:Q523 Q516">
    <cfRule type="cellIs" dxfId="0" priority="9319" operator="equal">
      <formula>"欠"</formula>
    </cfRule>
  </conditionalFormatting>
  <conditionalFormatting sqref="AK511:AK512 AK516:AK523 AK525">
    <cfRule type="cellIs" dxfId="1" priority="9317" operator="equal">
      <formula>"未完成"</formula>
    </cfRule>
    <cfRule type="cellIs" dxfId="0" priority="9318" operator="equal">
      <formula>"未完成"</formula>
    </cfRule>
  </conditionalFormatting>
  <conditionalFormatting sqref="AL511:AL512 AL516:AL523 AL525">
    <cfRule type="cellIs" dxfId="0" priority="9316" operator="equal">
      <formula>"欠"</formula>
    </cfRule>
  </conditionalFormatting>
  <conditionalFormatting sqref="R532:R536 R548:R554 R607 R621">
    <cfRule type="cellIs" dxfId="0" priority="8831" operator="equal">
      <formula>"欠"</formula>
    </cfRule>
    <cfRule type="containsText" dxfId="0" priority="8834" operator="between" text="欠">
      <formula>NOT(ISERROR(SEARCH("欠",R532)))</formula>
    </cfRule>
  </conditionalFormatting>
  <conditionalFormatting sqref="T532:U534">
    <cfRule type="cellIs" dxfId="0" priority="4113" operator="equal">
      <formula>"欠"</formula>
    </cfRule>
  </conditionalFormatting>
  <conditionalFormatting sqref="T535:U535 T588:U589 T607:U607 T613:U614 T622:U622 T945:U945 T962:U962 T992:U992">
    <cfRule type="containsText" dxfId="0" priority="8709" operator="between" text="欠">
      <formula>NOT(ISERROR(SEARCH("欠",T535)))</formula>
    </cfRule>
    <cfRule type="containsText" dxfId="2" priority="8710" operator="between" text="欠">
      <formula>NOT(ISERROR(SEARCH("欠",T535)))</formula>
    </cfRule>
    <cfRule type="cellIs" dxfId="0" priority="8711" operator="equal">
      <formula>"欠"</formula>
    </cfRule>
  </conditionalFormatting>
  <conditionalFormatting sqref="Q538:Q539 Q545">
    <cfRule type="cellIs" dxfId="0" priority="8895" operator="equal">
      <formula>"欠"</formula>
    </cfRule>
  </conditionalFormatting>
  <conditionalFormatting sqref="R538:R539 R545">
    <cfRule type="containsText" dxfId="0" priority="8890" operator="between" text="欠">
      <formula>NOT(ISERROR(SEARCH("欠",R538)))</formula>
    </cfRule>
    <cfRule type="cellIs" dxfId="0" priority="8894" operator="equal">
      <formula>"欠"</formula>
    </cfRule>
  </conditionalFormatting>
  <conditionalFormatting sqref="S538:U539 S545:U545 S559 S970 S988:S989">
    <cfRule type="cellIs" dxfId="0" priority="8896" operator="equal">
      <formula>"欠"</formula>
    </cfRule>
  </conditionalFormatting>
  <conditionalFormatting sqref="V538:V539 V545">
    <cfRule type="cellIs" dxfId="0" priority="8889" operator="equal">
      <formula>"欠"</formula>
    </cfRule>
  </conditionalFormatting>
  <conditionalFormatting sqref="AK538:AK539 AK545">
    <cfRule type="cellIs" dxfId="1" priority="8892" operator="equal">
      <formula>"未完成"</formula>
    </cfRule>
    <cfRule type="cellIs" dxfId="0" priority="8893" operator="equal">
      <formula>"未完成"</formula>
    </cfRule>
  </conditionalFormatting>
  <conditionalFormatting sqref="AL538:AL539 AL545">
    <cfRule type="cellIs" dxfId="0" priority="8891" operator="equal">
      <formula>"欠"</formula>
    </cfRule>
  </conditionalFormatting>
  <conditionalFormatting sqref="T540:U542">
    <cfRule type="containsText" dxfId="0" priority="9188" operator="between" text="欠">
      <formula>NOT(ISERROR(SEARCH("欠",T540)))</formula>
    </cfRule>
    <cfRule type="containsText" dxfId="2" priority="9189" operator="between" text="欠">
      <formula>NOT(ISERROR(SEARCH("欠",T540)))</formula>
    </cfRule>
    <cfRule type="cellIs" dxfId="0" priority="9190" operator="equal">
      <formula>"欠"</formula>
    </cfRule>
  </conditionalFormatting>
  <conditionalFormatting sqref="R542 R587">
    <cfRule type="containsText" dxfId="0" priority="9162" operator="between" text="欠">
      <formula>NOT(ISERROR(SEARCH("欠",R542)))</formula>
    </cfRule>
    <cfRule type="cellIs" dxfId="0" priority="9163" operator="equal">
      <formula>"欠"</formula>
    </cfRule>
  </conditionalFormatting>
  <conditionalFormatting sqref="R543:R544 R590">
    <cfRule type="cellIs" dxfId="0" priority="9161" operator="equal">
      <formula>"欠"</formula>
    </cfRule>
  </conditionalFormatting>
  <conditionalFormatting sqref="Q555:Q558 Q560">
    <cfRule type="cellIs" dxfId="0" priority="8911" operator="equal">
      <formula>"欠"</formula>
    </cfRule>
  </conditionalFormatting>
  <conditionalFormatting sqref="R555 R560">
    <cfRule type="containsText" dxfId="0" priority="8903" operator="between" text="欠">
      <formula>NOT(ISERROR(SEARCH("欠",R555)))</formula>
    </cfRule>
    <cfRule type="cellIs" dxfId="0" priority="8910" operator="equal">
      <formula>"欠"</formula>
    </cfRule>
  </conditionalFormatting>
  <conditionalFormatting sqref="T555:U555 T967:U967">
    <cfRule type="cellIs" dxfId="0" priority="8326" operator="equal">
      <formula>"欠"</formula>
    </cfRule>
  </conditionalFormatting>
  <conditionalFormatting sqref="AK555:AK558 AK560">
    <cfRule type="cellIs" dxfId="1" priority="8908" operator="equal">
      <formula>"未完成"</formula>
    </cfRule>
    <cfRule type="cellIs" dxfId="0" priority="8909" operator="equal">
      <formula>"未完成"</formula>
    </cfRule>
  </conditionalFormatting>
  <conditionalFormatting sqref="AL555:AL558 AL560">
    <cfRule type="cellIs" dxfId="0" priority="8907" operator="equal">
      <formula>"欠"</formula>
    </cfRule>
  </conditionalFormatting>
  <conditionalFormatting sqref="V556:V558 V560">
    <cfRule type="cellIs" dxfId="0" priority="8897" operator="equal">
      <formula>"欠"</formula>
    </cfRule>
  </conditionalFormatting>
  <conditionalFormatting sqref="Q573:Q576 Q616:Q618 Q570:Q571 Q562">
    <cfRule type="cellIs" dxfId="0" priority="8827" operator="equal">
      <formula>"欠"</formula>
    </cfRule>
  </conditionalFormatting>
  <conditionalFormatting sqref="T562:U562 T570:U571 T616:U618">
    <cfRule type="containsText" dxfId="0" priority="8821" operator="between" text="欠">
      <formula>NOT(ISERROR(SEARCH("欠",T562)))</formula>
    </cfRule>
    <cfRule type="containsText" dxfId="2" priority="8822" operator="between" text="欠">
      <formula>NOT(ISERROR(SEARCH("欠",T562)))</formula>
    </cfRule>
    <cfRule type="cellIs" dxfId="0" priority="8823" operator="equal">
      <formula>"欠"</formula>
    </cfRule>
  </conditionalFormatting>
  <conditionalFormatting sqref="AK562 AK570:AK571 AK573:AK576 AK616:AK618">
    <cfRule type="cellIs" dxfId="1" priority="8825" operator="equal">
      <formula>"未完成"</formula>
    </cfRule>
    <cfRule type="cellIs" dxfId="0" priority="8826" operator="equal">
      <formula>"未完成"</formula>
    </cfRule>
  </conditionalFormatting>
  <conditionalFormatting sqref="AL562 AL570:AL571 AL573:AL576 AL616:AL618">
    <cfRule type="cellIs" dxfId="0" priority="8824" operator="equal">
      <formula>"欠"</formula>
    </cfRule>
  </conditionalFormatting>
  <conditionalFormatting sqref="T565:U569">
    <cfRule type="cellIs" dxfId="0" priority="7973" operator="equal">
      <formula>"欠"</formula>
    </cfRule>
  </conditionalFormatting>
  <conditionalFormatting sqref="T573:U576">
    <cfRule type="containsText" dxfId="0" priority="8338" operator="between" text="欠">
      <formula>NOT(ISERROR(SEARCH("欠",T573)))</formula>
    </cfRule>
    <cfRule type="cellIs" dxfId="0" priority="8339" operator="equal">
      <formula>"欠"</formula>
    </cfRule>
  </conditionalFormatting>
  <conditionalFormatting sqref="Q585 Q577 Q581:Q583">
    <cfRule type="cellIs" dxfId="0" priority="9245" operator="equal">
      <formula>"欠"</formula>
    </cfRule>
  </conditionalFormatting>
  <conditionalFormatting sqref="AK577 AK581:AK583 AK585">
    <cfRule type="cellIs" dxfId="1" priority="9230" operator="equal">
      <formula>"未完成"</formula>
    </cfRule>
    <cfRule type="cellIs" dxfId="0" priority="9235" operator="equal">
      <formula>"未完成"</formula>
    </cfRule>
  </conditionalFormatting>
  <conditionalFormatting sqref="AL577 AL581:AL583 AL585">
    <cfRule type="cellIs" dxfId="0" priority="9225" operator="equal">
      <formula>"欠"</formula>
    </cfRule>
  </conditionalFormatting>
  <conditionalFormatting sqref="T579:U580">
    <cfRule type="cellIs" dxfId="0" priority="7972" operator="equal">
      <formula>"欠"</formula>
    </cfRule>
  </conditionalFormatting>
  <conditionalFormatting sqref="R585 R582:R583">
    <cfRule type="containsText" dxfId="0" priority="8590" operator="between" text="欠">
      <formula>NOT(ISERROR(SEARCH("欠",R582)))</formula>
    </cfRule>
    <cfRule type="cellIs" dxfId="0" priority="8591" operator="equal">
      <formula>"欠"</formula>
    </cfRule>
  </conditionalFormatting>
  <conditionalFormatting sqref="S585 S582:S583">
    <cfRule type="cellIs" dxfId="0" priority="8533" operator="equal">
      <formula>"欠"</formula>
    </cfRule>
  </conditionalFormatting>
  <conditionalFormatting sqref="Q586 Q609">
    <cfRule type="cellIs" dxfId="0" priority="8817" operator="equal">
      <formula>"欠"</formula>
    </cfRule>
  </conditionalFormatting>
  <conditionalFormatting sqref="R586 R609">
    <cfRule type="containsText" dxfId="0" priority="8809" operator="between" text="欠">
      <formula>NOT(ISERROR(SEARCH("欠",R586)))</formula>
    </cfRule>
    <cfRule type="cellIs" dxfId="0" priority="8810" operator="equal">
      <formula>"欠"</formula>
    </cfRule>
  </conditionalFormatting>
  <conditionalFormatting sqref="T586:U586 T609:U609">
    <cfRule type="containsText" dxfId="0" priority="8811" operator="between" text="欠">
      <formula>NOT(ISERROR(SEARCH("欠",T586)))</formula>
    </cfRule>
    <cfRule type="containsText" dxfId="2" priority="8812" operator="between" text="欠">
      <formula>NOT(ISERROR(SEARCH("欠",T586)))</formula>
    </cfRule>
    <cfRule type="cellIs" dxfId="0" priority="8813" operator="equal">
      <formula>"欠"</formula>
    </cfRule>
  </conditionalFormatting>
  <conditionalFormatting sqref="AK586 AK609">
    <cfRule type="cellIs" dxfId="1" priority="8815" operator="equal">
      <formula>"未完成"</formula>
    </cfRule>
    <cfRule type="cellIs" dxfId="0" priority="8816" operator="equal">
      <formula>"未完成"</formula>
    </cfRule>
  </conditionalFormatting>
  <conditionalFormatting sqref="AL586 AL609">
    <cfRule type="cellIs" dxfId="0" priority="8814" operator="equal">
      <formula>"欠"</formula>
    </cfRule>
  </conditionalFormatting>
  <conditionalFormatting sqref="Q621:Q622 Q610:Q614 Q588:Q589 Q607">
    <cfRule type="cellIs" dxfId="0" priority="8727" operator="equal">
      <formula>"欠"</formula>
    </cfRule>
  </conditionalFormatting>
  <conditionalFormatting sqref="R624 R632 R613:R614 R588:R589">
    <cfRule type="containsText" dxfId="0" priority="8276" operator="between" text="欠">
      <formula>NOT(ISERROR(SEARCH("欠",R588)))</formula>
    </cfRule>
    <cfRule type="cellIs" dxfId="0" priority="8277" operator="equal">
      <formula>"欠"</formula>
    </cfRule>
  </conditionalFormatting>
  <conditionalFormatting sqref="AK588:AK589 AK607 AK610:AK614 AK621:AK622">
    <cfRule type="cellIs" dxfId="1" priority="8725" operator="equal">
      <formula>"未完成"</formula>
    </cfRule>
    <cfRule type="cellIs" dxfId="0" priority="8726" operator="equal">
      <formula>"未完成"</formula>
    </cfRule>
  </conditionalFormatting>
  <conditionalFormatting sqref="AL588:AL589 AL607 AL610:AL614 AL621:AL622">
    <cfRule type="cellIs" dxfId="0" priority="8724" operator="equal">
      <formula>"欠"</formula>
    </cfRule>
  </conditionalFormatting>
  <conditionalFormatting sqref="T590:U590 T653:U654 T682:U683 T714:U715">
    <cfRule type="containsText" dxfId="0" priority="8523" operator="between" text="欠">
      <formula>NOT(ISERROR(SEARCH("欠",T590)))</formula>
    </cfRule>
    <cfRule type="containsText" dxfId="2" priority="8524" operator="between" text="欠">
      <formula>NOT(ISERROR(SEARCH("欠",T590)))</formula>
    </cfRule>
    <cfRule type="cellIs" dxfId="0" priority="8525" operator="equal">
      <formula>"欠"</formula>
    </cfRule>
  </conditionalFormatting>
  <conditionalFormatting sqref="Q591:Q593 Q615 Q661">
    <cfRule type="cellIs" dxfId="0" priority="8807" operator="equal">
      <formula>"欠"</formula>
    </cfRule>
  </conditionalFormatting>
  <conditionalFormatting sqref="T591:U593 T615:U615">
    <cfRule type="containsText" dxfId="0" priority="8801" operator="between" text="欠">
      <formula>NOT(ISERROR(SEARCH("欠",T591)))</formula>
    </cfRule>
    <cfRule type="containsText" dxfId="2" priority="8802" operator="between" text="欠">
      <formula>NOT(ISERROR(SEARCH("欠",T591)))</formula>
    </cfRule>
    <cfRule type="cellIs" dxfId="0" priority="8803" operator="equal">
      <formula>"欠"</formula>
    </cfRule>
  </conditionalFormatting>
  <conditionalFormatting sqref="AK591:AK593 AK615 AK661">
    <cfRule type="cellIs" dxfId="1" priority="8805" operator="equal">
      <formula>"未完成"</formula>
    </cfRule>
    <cfRule type="cellIs" dxfId="0" priority="8806" operator="equal">
      <formula>"未完成"</formula>
    </cfRule>
  </conditionalFormatting>
  <conditionalFormatting sqref="AL591:AL593 AL615 AL661">
    <cfRule type="cellIs" dxfId="0" priority="8804" operator="equal">
      <formula>"欠"</formula>
    </cfRule>
  </conditionalFormatting>
  <conditionalFormatting sqref="T595:U601">
    <cfRule type="cellIs" dxfId="0" priority="7971" operator="equal">
      <formula>"欠"</formula>
    </cfRule>
  </conditionalFormatting>
  <conditionalFormatting sqref="Q626 Q634 Q602">
    <cfRule type="cellIs" dxfId="0" priority="9244" operator="equal">
      <formula>"欠"</formula>
    </cfRule>
  </conditionalFormatting>
  <conditionalFormatting sqref="AK602 AK626 AK634 AK637:AK639 AK645">
    <cfRule type="cellIs" dxfId="1" priority="9229" operator="equal">
      <formula>"未完成"</formula>
    </cfRule>
    <cfRule type="cellIs" dxfId="0" priority="9234" operator="equal">
      <formula>"未完成"</formula>
    </cfRule>
  </conditionalFormatting>
  <conditionalFormatting sqref="AL602 AL626 AL634">
    <cfRule type="cellIs" dxfId="0" priority="9224" operator="equal">
      <formula>"欠"</formula>
    </cfRule>
  </conditionalFormatting>
  <conditionalFormatting sqref="S620 S603:S605">
    <cfRule type="cellIs" dxfId="0" priority="8422" operator="equal">
      <formula>"欠"</formula>
    </cfRule>
  </conditionalFormatting>
  <conditionalFormatting sqref="R620 R604:R605">
    <cfRule type="containsText" dxfId="0" priority="8391" operator="between" text="欠">
      <formula>NOT(ISERROR(SEARCH("欠",R604)))</formula>
    </cfRule>
    <cfRule type="cellIs" dxfId="0" priority="8392" operator="equal">
      <formula>"欠"</formula>
    </cfRule>
  </conditionalFormatting>
  <conditionalFormatting sqref="T604:U605">
    <cfRule type="containsText" dxfId="0" priority="8363" operator="between" text="欠">
      <formula>NOT(ISERROR(SEARCH("欠",T604)))</formula>
    </cfRule>
    <cfRule type="containsText" dxfId="2" priority="8364" operator="between" text="欠">
      <formula>NOT(ISERROR(SEARCH("欠",T604)))</formula>
    </cfRule>
    <cfRule type="cellIs" dxfId="0" priority="8365" operator="equal">
      <formula>"欠"</formula>
    </cfRule>
  </conditionalFormatting>
  <conditionalFormatting sqref="T610:U612">
    <cfRule type="containsText" dxfId="0" priority="8298" operator="between" text="欠">
      <formula>NOT(ISERROR(SEARCH("欠",T610)))</formula>
    </cfRule>
    <cfRule type="containsText" dxfId="2" priority="8299" operator="between" text="欠">
      <formula>NOT(ISERROR(SEARCH("欠",T610)))</formula>
    </cfRule>
    <cfRule type="cellIs" dxfId="0" priority="8300" operator="equal">
      <formula>"欠"</formula>
    </cfRule>
  </conditionalFormatting>
  <conditionalFormatting sqref="Q630 Q641 Q635 Q623">
    <cfRule type="cellIs" dxfId="0" priority="8885" operator="equal">
      <formula>"欠"</formula>
    </cfRule>
  </conditionalFormatting>
  <conditionalFormatting sqref="T623:U623 T630:U630 T635:U635 T641:U641">
    <cfRule type="containsText" dxfId="0" priority="8871" operator="between" text="欠">
      <formula>NOT(ISERROR(SEARCH("欠",T623)))</formula>
    </cfRule>
    <cfRule type="containsText" dxfId="2" priority="8873" operator="between" text="欠">
      <formula>NOT(ISERROR(SEARCH("欠",T623)))</formula>
    </cfRule>
    <cfRule type="cellIs" dxfId="0" priority="8875" operator="equal">
      <formula>"欠"</formula>
    </cfRule>
  </conditionalFormatting>
  <conditionalFormatting sqref="AK623 AK630 AK635 AK641">
    <cfRule type="cellIs" dxfId="1" priority="8879" operator="equal">
      <formula>"未完成"</formula>
    </cfRule>
    <cfRule type="cellIs" dxfId="0" priority="8881" operator="equal">
      <formula>"未完成"</formula>
    </cfRule>
  </conditionalFormatting>
  <conditionalFormatting sqref="AL623 AL630 AL635 AL641">
    <cfRule type="cellIs" dxfId="0" priority="8877" operator="equal">
      <formula>"欠"</formula>
    </cfRule>
  </conditionalFormatting>
  <conditionalFormatting sqref="Q624 Q632">
    <cfRule type="cellIs" dxfId="0" priority="8581" operator="equal">
      <formula>"欠"</formula>
    </cfRule>
  </conditionalFormatting>
  <conditionalFormatting sqref="AK624 AK632">
    <cfRule type="cellIs" dxfId="1" priority="8579" operator="equal">
      <formula>"未完成"</formula>
    </cfRule>
    <cfRule type="cellIs" dxfId="0" priority="8580" operator="equal">
      <formula>"未完成"</formula>
    </cfRule>
  </conditionalFormatting>
  <conditionalFormatting sqref="AL624 AL632">
    <cfRule type="cellIs" dxfId="0" priority="8578" operator="equal">
      <formula>"欠"</formula>
    </cfRule>
  </conditionalFormatting>
  <conditionalFormatting sqref="T625:U626 T1002:U1003 T1163:U1164 T1388:U1389 T1491:U1491">
    <cfRule type="containsText" dxfId="0" priority="9153" operator="between" text="欠">
      <formula>NOT(ISERROR(SEARCH("欠",T625)))</formula>
    </cfRule>
    <cfRule type="containsText" dxfId="2" priority="9154" operator="between" text="欠">
      <formula>NOT(ISERROR(SEARCH("欠",T625)))</formula>
    </cfRule>
    <cfRule type="cellIs" dxfId="0" priority="9155" operator="equal">
      <formula>"欠"</formula>
    </cfRule>
  </conditionalFormatting>
  <conditionalFormatting sqref="Q631 Q637:Q639">
    <cfRule type="cellIs" dxfId="0" priority="8507" operator="equal">
      <formula>"欠"</formula>
    </cfRule>
  </conditionalFormatting>
  <conditionalFormatting sqref="R631 R637">
    <cfRule type="containsText" dxfId="0" priority="8380" operator="between" text="欠">
      <formula>NOT(ISERROR(SEARCH("欠",R631)))</formula>
    </cfRule>
    <cfRule type="cellIs" dxfId="0" priority="8381" operator="equal">
      <formula>"欠"</formula>
    </cfRule>
  </conditionalFormatting>
  <conditionalFormatting sqref="T631:U631 T638:U639">
    <cfRule type="containsText" dxfId="0" priority="8501" operator="between" text="欠">
      <formula>NOT(ISERROR(SEARCH("欠",T631)))</formula>
    </cfRule>
    <cfRule type="containsText" dxfId="2" priority="8502" operator="between" text="欠">
      <formula>NOT(ISERROR(SEARCH("欠",T631)))</formula>
    </cfRule>
    <cfRule type="cellIs" dxfId="0" priority="8503" operator="equal">
      <formula>"欠"</formula>
    </cfRule>
  </conditionalFormatting>
  <conditionalFormatting sqref="AL631 AL637:AL639">
    <cfRule type="cellIs" dxfId="0" priority="8504" operator="equal">
      <formula>"欠"</formula>
    </cfRule>
  </conditionalFormatting>
  <conditionalFormatting sqref="S635 S641">
    <cfRule type="cellIs" dxfId="0" priority="8887" operator="equal">
      <formula>"欠"</formula>
    </cfRule>
  </conditionalFormatting>
  <conditionalFormatting sqref="R642:R644 R648 R650:R652 R654:R658">
    <cfRule type="cellIs" dxfId="0" priority="8717" operator="equal">
      <formula>"欠"</formula>
    </cfRule>
    <cfRule type="containsText" dxfId="0" priority="8718" operator="between" text="欠">
      <formula>NOT(ISERROR(SEARCH("欠",R642)))</formula>
    </cfRule>
  </conditionalFormatting>
  <conditionalFormatting sqref="T643:U644">
    <cfRule type="cellIs" dxfId="0" priority="7960" operator="equal">
      <formula>"欠"</formula>
    </cfRule>
  </conditionalFormatting>
  <conditionalFormatting sqref="V643:V646 V648:V652 V654:V656 V658">
    <cfRule type="cellIs" dxfId="0" priority="8713" operator="equal">
      <formula>"欠"</formula>
    </cfRule>
  </conditionalFormatting>
  <conditionalFormatting sqref="S644 S648 S650:S652 S658:S660 S877 S849:S851 S958 S869:S872 S971:S973 S944 S993">
    <cfRule type="cellIs" dxfId="0" priority="8796" operator="equal">
      <formula>"欠"</formula>
    </cfRule>
  </conditionalFormatting>
  <conditionalFormatting sqref="AK644 AK646">
    <cfRule type="cellIs" dxfId="1" priority="8775" operator="equal">
      <formula>"未完成"</formula>
    </cfRule>
    <cfRule type="cellIs" dxfId="0" priority="8782" operator="equal">
      <formula>"未完成"</formula>
    </cfRule>
  </conditionalFormatting>
  <conditionalFormatting sqref="S647 S649">
    <cfRule type="cellIs" dxfId="0" priority="8888" operator="equal">
      <formula>"欠"</formula>
    </cfRule>
  </conditionalFormatting>
  <conditionalFormatting sqref="T647:U647 T649:U649">
    <cfRule type="containsText" dxfId="0" priority="8324" operator="between" text="欠">
      <formula>NOT(ISERROR(SEARCH("欠",T647)))</formula>
    </cfRule>
    <cfRule type="cellIs" dxfId="0" priority="8325" operator="equal">
      <formula>"欠"</formula>
    </cfRule>
  </conditionalFormatting>
  <conditionalFormatting sqref="T650:U652">
    <cfRule type="cellIs" dxfId="0" priority="7955" operator="equal">
      <formula>"欠"</formula>
    </cfRule>
  </conditionalFormatting>
  <conditionalFormatting sqref="Q652 Q654:Q656 Q658">
    <cfRule type="cellIs" dxfId="0" priority="8785" operator="equal">
      <formula>"欠"</formula>
    </cfRule>
  </conditionalFormatting>
  <conditionalFormatting sqref="AK652 AK655:AK656 AK658">
    <cfRule type="cellIs" dxfId="1" priority="8771" operator="equal">
      <formula>"未完成"</formula>
    </cfRule>
    <cfRule type="cellIs" dxfId="0" priority="8778" operator="equal">
      <formula>"未完成"</formula>
    </cfRule>
  </conditionalFormatting>
  <conditionalFormatting sqref="AL652 AL655:AL656 AL658">
    <cfRule type="cellIs" dxfId="0" priority="8764" operator="equal">
      <formula>"欠"</formula>
    </cfRule>
  </conditionalFormatting>
  <conditionalFormatting sqref="T655:U658">
    <cfRule type="containsText" dxfId="0" priority="8714" operator="between" text="欠">
      <formula>NOT(ISERROR(SEARCH("欠",T655)))</formula>
    </cfRule>
    <cfRule type="containsText" dxfId="2" priority="8715" operator="between" text="欠">
      <formula>NOT(ISERROR(SEARCH("欠",T655)))</formula>
    </cfRule>
    <cfRule type="cellIs" dxfId="0" priority="8716" operator="equal">
      <formula>"欠"</formula>
    </cfRule>
  </conditionalFormatting>
  <conditionalFormatting sqref="T659:U660">
    <cfRule type="cellIs" dxfId="0" priority="7796" operator="equal">
      <formula>"欠"</formula>
    </cfRule>
  </conditionalFormatting>
  <conditionalFormatting sqref="S666 S1281">
    <cfRule type="cellIs" dxfId="0" priority="6644" operator="equal">
      <formula>"欠"</formula>
    </cfRule>
  </conditionalFormatting>
  <conditionalFormatting sqref="S669 S1426:S1427 S1429 S1500">
    <cfRule type="cellIs" dxfId="0" priority="6641" operator="equal">
      <formula>"欠"</formula>
    </cfRule>
  </conditionalFormatting>
  <conditionalFormatting sqref="T669:U669 T1426:U1427 T1500">
    <cfRule type="containsText" dxfId="0" priority="6529" operator="between" text="欠">
      <formula>NOT(ISERROR(SEARCH("欠",T669)))</formula>
    </cfRule>
    <cfRule type="cellIs" dxfId="0" priority="6585" operator="equal">
      <formula>"欠"</formula>
    </cfRule>
  </conditionalFormatting>
  <conditionalFormatting sqref="S691 S935">
    <cfRule type="cellIs" dxfId="0" priority="6619" operator="equal">
      <formula>"欠"</formula>
    </cfRule>
  </conditionalFormatting>
  <conditionalFormatting sqref="T691:U691 T935:U935">
    <cfRule type="containsText" dxfId="0" priority="6507" operator="between" text="欠">
      <formula>NOT(ISERROR(SEARCH("欠",T691)))</formula>
    </cfRule>
    <cfRule type="cellIs" dxfId="0" priority="6563" operator="equal">
      <formula>"欠"</formula>
    </cfRule>
  </conditionalFormatting>
  <conditionalFormatting sqref="S695 S965">
    <cfRule type="cellIs" dxfId="0" priority="6615" operator="equal">
      <formula>"欠"</formula>
    </cfRule>
  </conditionalFormatting>
  <conditionalFormatting sqref="T719:U720 T723:U723">
    <cfRule type="containsText" dxfId="0" priority="6359" operator="between" text="欠">
      <formula>NOT(ISERROR(SEARCH("欠",T719)))</formula>
    </cfRule>
    <cfRule type="cellIs" dxfId="0" priority="6367" operator="equal">
      <formula>"欠"</formula>
    </cfRule>
  </conditionalFormatting>
  <conditionalFormatting sqref="S720 S1193">
    <cfRule type="cellIs" dxfId="0" priority="6374" operator="equal">
      <formula>"欠"</formula>
    </cfRule>
  </conditionalFormatting>
  <conditionalFormatting sqref="S721 S1357:S1363">
    <cfRule type="cellIs" dxfId="0" priority="6373" operator="equal">
      <formula>"欠"</formula>
    </cfRule>
  </conditionalFormatting>
  <conditionalFormatting sqref="S749 S985">
    <cfRule type="cellIs" dxfId="0" priority="5994" operator="equal">
      <formula>"欠"</formula>
    </cfRule>
  </conditionalFormatting>
  <conditionalFormatting sqref="S752 S1355:S1356">
    <cfRule type="cellIs" dxfId="0" priority="5991" operator="equal">
      <formula>"欠"</formula>
    </cfRule>
  </conditionalFormatting>
  <conditionalFormatting sqref="T753:U753 T936:U936">
    <cfRule type="containsText" dxfId="0" priority="5900" operator="between" text="欠">
      <formula>NOT(ISERROR(SEARCH("欠",T753)))</formula>
    </cfRule>
    <cfRule type="cellIs" dxfId="0" priority="5945" operator="equal">
      <formula>"欠"</formula>
    </cfRule>
  </conditionalFormatting>
  <conditionalFormatting sqref="S760 S940">
    <cfRule type="cellIs" dxfId="0" priority="5983" operator="equal">
      <formula>"欠"</formula>
    </cfRule>
  </conditionalFormatting>
  <conditionalFormatting sqref="S770 S1482">
    <cfRule type="cellIs" dxfId="0" priority="5973" operator="equal">
      <formula>"欠"</formula>
    </cfRule>
  </conditionalFormatting>
  <conditionalFormatting sqref="T772:U772 T1215:U1215">
    <cfRule type="containsText" dxfId="0" priority="5350" operator="between" text="欠">
      <formula>NOT(ISERROR(SEARCH("欠",T772)))</formula>
    </cfRule>
    <cfRule type="cellIs" dxfId="0" priority="5397" operator="equal">
      <formula>"欠"</formula>
    </cfRule>
  </conditionalFormatting>
  <conditionalFormatting sqref="S785 S1198:S1199">
    <cfRule type="cellIs" dxfId="0" priority="5431" operator="equal">
      <formula>"欠"</formula>
    </cfRule>
  </conditionalFormatting>
  <conditionalFormatting sqref="S811 S1221">
    <cfRule type="cellIs" dxfId="0" priority="5405" operator="equal">
      <formula>"欠"</formula>
    </cfRule>
  </conditionalFormatting>
  <conditionalFormatting sqref="R824 R1020">
    <cfRule type="containsText" dxfId="0" priority="5213" operator="between" text="欠">
      <formula>NOT(ISERROR(SEARCH("欠",R824)))</formula>
    </cfRule>
    <cfRule type="cellIs" dxfId="0" priority="5223" operator="equal">
      <formula>"欠"</formula>
    </cfRule>
  </conditionalFormatting>
  <conditionalFormatting sqref="S824 S1020">
    <cfRule type="cellIs" dxfId="0" priority="5163" operator="equal">
      <formula>"欠"</formula>
    </cfRule>
  </conditionalFormatting>
  <conditionalFormatting sqref="T824:U824 T1020:U1020">
    <cfRule type="containsText" dxfId="0" priority="5143" operator="between" text="欠">
      <formula>NOT(ISERROR(SEARCH("欠",T824)))</formula>
    </cfRule>
    <cfRule type="cellIs" dxfId="0" priority="5153" operator="equal">
      <formula>"欠"</formula>
    </cfRule>
  </conditionalFormatting>
  <conditionalFormatting sqref="T839:U845">
    <cfRule type="containsText" dxfId="0" priority="4703" operator="between" text="欠">
      <formula>NOT(ISERROR(SEARCH("欠",T839)))</formula>
    </cfRule>
    <cfRule type="cellIs" dxfId="0" priority="4725" operator="equal">
      <formula>"欠"</formula>
    </cfRule>
  </conditionalFormatting>
  <conditionalFormatting sqref="R849:R851 R872 R882:R883 R930 R958 R971 R973 R976 R984 R988:R989 R996 R1002:R1003 R1016 R1080:R1081 R1088:R1089 R1092 R1129 R1134 R1163:R1164 R1388:R1389 R1491">
    <cfRule type="containsText" dxfId="0" priority="8023" operator="between" text="欠">
      <formula>NOT(ISERROR(SEARCH("欠",R849)))</formula>
    </cfRule>
    <cfRule type="cellIs" dxfId="0" priority="8048" operator="equal">
      <formula>"欠"</formula>
    </cfRule>
  </conditionalFormatting>
  <conditionalFormatting sqref="T849:U851 T869:U869 T872:U872 T958:U958 T971:U971 T973:U973 T988:U989">
    <cfRule type="cellIs" dxfId="0" priority="7967" operator="equal">
      <formula>"欠"</formula>
    </cfRule>
  </conditionalFormatting>
  <conditionalFormatting sqref="AK849:AK851 AK872 AK879 AK882 AK884 AK888 AK890:AK891 AK893:AK894 AK896 AK898:AK908 AK914:AK916 AK918:AK919 AK922:AK926 AK937:AK938 AK942:AK943 AK958 AK971:AK973 AK975 AK988:AK989">
    <cfRule type="cellIs" dxfId="1" priority="8123" operator="equal">
      <formula>"未完成"</formula>
    </cfRule>
    <cfRule type="cellIs" dxfId="0" priority="8148" operator="equal">
      <formula>"未完成"</formula>
    </cfRule>
  </conditionalFormatting>
  <conditionalFormatting sqref="AL849:AL851 AL872 AL879 AL882 AL884 AL888 AL890:AL891 AL893:AL894 AL896 AL898:AL908 AL914:AL916 AL918:AL919 AL922:AL926 AL937:AL938 AL942:AL943 AL958 AL971:AL973 AL975 AL988:AL989">
    <cfRule type="cellIs" dxfId="0" priority="8098" operator="equal">
      <formula>"欠"</formula>
    </cfRule>
  </conditionalFormatting>
  <conditionalFormatting sqref="T853:U856">
    <cfRule type="containsText" dxfId="0" priority="6991" operator="between" text="欠">
      <formula>NOT(ISERROR(SEARCH("欠",T853)))</formula>
    </cfRule>
    <cfRule type="cellIs" dxfId="0" priority="6992" operator="equal">
      <formula>"欠"</formula>
    </cfRule>
  </conditionalFormatting>
  <conditionalFormatting sqref="AI853:AI856 AI1529:AI1540">
    <cfRule type="cellIs" dxfId="1" priority="13191" operator="equal">
      <formula>"未完成"</formula>
    </cfRule>
    <cfRule type="cellIs" dxfId="0" priority="13192" operator="equal">
      <formula>"未完成"</formula>
    </cfRule>
  </conditionalFormatting>
  <conditionalFormatting sqref="Q857:Q864 Q869">
    <cfRule type="cellIs" dxfId="0" priority="7702" operator="equal">
      <formula>"欠"</formula>
    </cfRule>
  </conditionalFormatting>
  <conditionalFormatting sqref="R857:R864 R867:R868 R879 R950:R951 R959:R961 R982:R983 R995 R1005:R1006 R1033:R1037 R1113:R1117 R1130:R1134">
    <cfRule type="containsText" dxfId="0" priority="7602" operator="between" text="欠">
      <formula>NOT(ISERROR(SEARCH("欠",R857)))</formula>
    </cfRule>
    <cfRule type="cellIs" dxfId="0" priority="7603" operator="equal">
      <formula>"欠"</formula>
    </cfRule>
  </conditionalFormatting>
  <conditionalFormatting sqref="S857:S864 S866:S868 S879 S882:S883 S950:S951 S959:S961 S966 S982:S984 S995:S996 S1016 S1080:S1081 S1088:S1089 S1129">
    <cfRule type="cellIs" dxfId="0" priority="7606" operator="equal">
      <formula>"欠"</formula>
    </cfRule>
  </conditionalFormatting>
  <conditionalFormatting sqref="T857:U864 T866:U868 T879:U879 T882:U883 T950:U951 T959:U961 T966:U966 T982:U984 T995:U996 T1016:U1016 T1080:U1081 T1088:U1089 T1129:U1129 T1134:U1134">
    <cfRule type="containsText" dxfId="0" priority="7604" operator="between" text="欠">
      <formula>NOT(ISERROR(SEARCH("欠",T857)))</formula>
    </cfRule>
    <cfRule type="cellIs" dxfId="0" priority="7605" operator="equal">
      <formula>"欠"</formula>
    </cfRule>
  </conditionalFormatting>
  <conditionalFormatting sqref="V857:V864 V869">
    <cfRule type="cellIs" dxfId="0" priority="7698" operator="equal">
      <formula>"欠"</formula>
    </cfRule>
  </conditionalFormatting>
  <conditionalFormatting sqref="AK857:AK864 AK869">
    <cfRule type="cellIs" dxfId="1" priority="7700" operator="equal">
      <formula>"未完成"</formula>
    </cfRule>
    <cfRule type="cellIs" dxfId="0" priority="7701" operator="equal">
      <formula>"未完成"</formula>
    </cfRule>
  </conditionalFormatting>
  <conditionalFormatting sqref="AL857:AL864 AL869">
    <cfRule type="cellIs" dxfId="0" priority="7699" operator="equal">
      <formula>"欠"</formula>
    </cfRule>
  </conditionalFormatting>
  <conditionalFormatting sqref="S865 S1463 S1470:S1472 S1518">
    <cfRule type="cellIs" dxfId="0" priority="6298" operator="equal">
      <formula>"欠"</formula>
    </cfRule>
  </conditionalFormatting>
  <conditionalFormatting sqref="T865:U865 T1463 T1470:T1472 T1474 T1518">
    <cfRule type="containsText" dxfId="0" priority="6289" operator="between" text="欠">
      <formula>NOT(ISERROR(SEARCH("欠",T865)))</formula>
    </cfRule>
    <cfRule type="cellIs" dxfId="0" priority="6290" operator="equal">
      <formula>"欠"</formula>
    </cfRule>
  </conditionalFormatting>
  <conditionalFormatting sqref="Q866:Q868 Q933:Q934 Q941 Q946:Q947 Q963:Q969 Q1134 Q1163:Q1164 Q1388:Q1389 Q1491">
    <cfRule type="cellIs" dxfId="0" priority="7713" operator="equal">
      <formula>"欠"</formula>
    </cfRule>
  </conditionalFormatting>
  <conditionalFormatting sqref="V866:V868 V933:V934 V941 V946:V947 V963:V969 V1134 V1163:V1164 V1388:V1389 V1491">
    <cfRule type="cellIs" dxfId="0" priority="7709" operator="equal">
      <formula>"欠"</formula>
    </cfRule>
  </conditionalFormatting>
  <conditionalFormatting sqref="AK866:AK868 AK933:AK934 AK941 AK946:AK947 AK963:AK969 AK1134 AK1163:AK1164 AK1388:AK1389 AK1491">
    <cfRule type="cellIs" dxfId="1" priority="7711" operator="equal">
      <formula>"未完成"</formula>
    </cfRule>
    <cfRule type="cellIs" dxfId="0" priority="7712" operator="equal">
      <formula>"未完成"</formula>
    </cfRule>
  </conditionalFormatting>
  <conditionalFormatting sqref="AL866:AL868 AL933:AL934 AL941 AL946:AL947 AL963:AL969 AL1134 AL1163:AL1164 AL1388:AL1389 AL1491">
    <cfRule type="cellIs" dxfId="0" priority="7710" operator="equal">
      <formula>"欠"</formula>
    </cfRule>
  </conditionalFormatting>
  <conditionalFormatting sqref="T870:U871">
    <cfRule type="containsText" dxfId="0" priority="6311" operator="between" text="欠">
      <formula>NOT(ISERROR(SEARCH("欠",T870)))</formula>
    </cfRule>
    <cfRule type="cellIs" dxfId="0" priority="6312" operator="equal">
      <formula>"欠"</formula>
    </cfRule>
  </conditionalFormatting>
  <conditionalFormatting sqref="Q884 Q872 Q943">
    <cfRule type="cellIs" dxfId="0" priority="8160" operator="equal">
      <formula>"欠"</formula>
    </cfRule>
  </conditionalFormatting>
  <conditionalFormatting sqref="V872 V884 V943">
    <cfRule type="cellIs" dxfId="0" priority="8060" operator="equal">
      <formula>"欠"</formula>
    </cfRule>
  </conditionalFormatting>
  <conditionalFormatting sqref="T873:U874">
    <cfRule type="containsText" dxfId="0" priority="5822" operator="between" text="欠">
      <formula>NOT(ISERROR(SEARCH("欠",T873)))</formula>
    </cfRule>
    <cfRule type="cellIs" dxfId="0" priority="5824" operator="equal">
      <formula>"欠"</formula>
    </cfRule>
  </conditionalFormatting>
  <conditionalFormatting sqref="S876 S1204:S1205">
    <cfRule type="cellIs" dxfId="0" priority="5819" operator="equal">
      <formula>"欠"</formula>
    </cfRule>
  </conditionalFormatting>
  <conditionalFormatting sqref="S878 S968 S1048">
    <cfRule type="cellIs" dxfId="0" priority="5847" operator="equal">
      <formula>"欠"</formula>
    </cfRule>
  </conditionalFormatting>
  <conditionalFormatting sqref="Q882 Q879 Q894">
    <cfRule type="cellIs" dxfId="0" priority="8158" operator="equal">
      <formula>"欠"</formula>
    </cfRule>
  </conditionalFormatting>
  <conditionalFormatting sqref="V879 V882 V894">
    <cfRule type="cellIs" dxfId="0" priority="8058" operator="equal">
      <formula>"欠"</formula>
    </cfRule>
  </conditionalFormatting>
  <conditionalFormatting sqref="Q880:Q881 Q885:Q886 Q895">
    <cfRule type="cellIs" dxfId="0" priority="5799" operator="equal">
      <formula>"欠"</formula>
    </cfRule>
  </conditionalFormatting>
  <conditionalFormatting sqref="R880:R881 R933:R934 R941 R963:R969 R946:R947">
    <cfRule type="containsText" dxfId="0" priority="5791" operator="between" text="欠">
      <formula>NOT(ISERROR(SEARCH("欠",R880)))</formula>
    </cfRule>
    <cfRule type="cellIs" dxfId="0" priority="5792" operator="equal">
      <formula>"欠"</formula>
    </cfRule>
  </conditionalFormatting>
  <conditionalFormatting sqref="S880:S881 S933:S934 S941 S963:S964 S969 S946:S947">
    <cfRule type="cellIs" dxfId="0" priority="5800" operator="equal">
      <formula>"欠"</formula>
    </cfRule>
  </conditionalFormatting>
  <conditionalFormatting sqref="T880:U881 T933:U934 T941:U941 T946:U947 T963:U965 T968:U969">
    <cfRule type="containsText" dxfId="0" priority="5793" operator="between" text="欠">
      <formula>NOT(ISERROR(SEARCH("欠",T880)))</formula>
    </cfRule>
    <cfRule type="cellIs" dxfId="0" priority="5794" operator="equal">
      <formula>"欠"</formula>
    </cfRule>
  </conditionalFormatting>
  <conditionalFormatting sqref="V880:V881 V885:V886 V895">
    <cfRule type="cellIs" dxfId="0" priority="5795" operator="equal">
      <formula>"欠"</formula>
    </cfRule>
  </conditionalFormatting>
  <conditionalFormatting sqref="AK880:AK881 AK885:AK886 AK895">
    <cfRule type="cellIs" dxfId="1" priority="5797" operator="equal">
      <formula>"未完成"</formula>
    </cfRule>
    <cfRule type="cellIs" dxfId="0" priority="5798" operator="equal">
      <formula>"未完成"</formula>
    </cfRule>
  </conditionalFormatting>
  <conditionalFormatting sqref="AL880:AL881 AL885:AL886 AL895">
    <cfRule type="cellIs" dxfId="0" priority="5796" operator="equal">
      <formula>"欠"</formula>
    </cfRule>
  </conditionalFormatting>
  <conditionalFormatting sqref="T885:U886">
    <cfRule type="containsText" dxfId="0" priority="4214" operator="between" text="欠">
      <formula>NOT(ISERROR(SEARCH("欠",T885)))</formula>
    </cfRule>
    <cfRule type="cellIs" dxfId="0" priority="4215" operator="equal">
      <formula>"欠"</formula>
    </cfRule>
  </conditionalFormatting>
  <conditionalFormatting sqref="S887 S1510:S1511">
    <cfRule type="cellIs" dxfId="0" priority="5165" operator="equal">
      <formula>"欠"</formula>
    </cfRule>
  </conditionalFormatting>
  <conditionalFormatting sqref="Q888 Q915">
    <cfRule type="cellIs" dxfId="0" priority="8171" operator="equal">
      <formula>"欠"</formula>
    </cfRule>
  </conditionalFormatting>
  <conditionalFormatting sqref="V888 V915">
    <cfRule type="cellIs" dxfId="0" priority="8071" operator="equal">
      <formula>"欠"</formula>
    </cfRule>
  </conditionalFormatting>
  <conditionalFormatting sqref="R889 R915">
    <cfRule type="containsText" dxfId="0" priority="4176" operator="between" text="欠">
      <formula>NOT(ISERROR(SEARCH("欠",R889)))</formula>
    </cfRule>
    <cfRule type="cellIs" dxfId="0" priority="4177" operator="equal">
      <formula>"欠"</formula>
    </cfRule>
  </conditionalFormatting>
  <conditionalFormatting sqref="T889:U891 T896:U896 T914:U916 T924:U924">
    <cfRule type="containsText" dxfId="0" priority="4193" operator="between" text="欠">
      <formula>NOT(ISERROR(SEARCH("欠",T889)))</formula>
    </cfRule>
  </conditionalFormatting>
  <conditionalFormatting sqref="Q896 Q890:Q891 Q898:Q908 Q918:Q919 Q922 Q924:Q926">
    <cfRule type="cellIs" dxfId="0" priority="8155" operator="equal">
      <formula>"欠"</formula>
    </cfRule>
  </conditionalFormatting>
  <conditionalFormatting sqref="R890:R891 R896 R914 R916 R924">
    <cfRule type="containsText" dxfId="0" priority="4192" operator="between" text="欠">
      <formula>NOT(ISERROR(SEARCH("欠",R890)))</formula>
    </cfRule>
    <cfRule type="cellIs" dxfId="0" priority="4199" operator="equal">
      <formula>"欠"</formula>
    </cfRule>
  </conditionalFormatting>
  <conditionalFormatting sqref="S890:S891 S896:S897 S914:S916 S924">
    <cfRule type="cellIs" dxfId="0" priority="4200" operator="equal">
      <formula>"欠"</formula>
    </cfRule>
  </conditionalFormatting>
  <conditionalFormatting sqref="T890:U891 T896:U896 T914:U914 T916:U916 T924:U924">
    <cfRule type="cellIs" dxfId="0" priority="4197" operator="equal">
      <formula>"欠"</formula>
    </cfRule>
  </conditionalFormatting>
  <conditionalFormatting sqref="V890:V891 V896 V898:V908 V918:V919 V922 V924:V926">
    <cfRule type="cellIs" dxfId="0" priority="8055" operator="equal">
      <formula>"欠"</formula>
    </cfRule>
  </conditionalFormatting>
  <conditionalFormatting sqref="R893:R894 R942:R943">
    <cfRule type="containsText" dxfId="0" priority="4241" operator="between" text="欠">
      <formula>NOT(ISERROR(SEARCH("欠",R893)))</formula>
    </cfRule>
    <cfRule type="cellIs" dxfId="0" priority="4242" operator="equal">
      <formula>"欠"</formula>
    </cfRule>
  </conditionalFormatting>
  <conditionalFormatting sqref="S893:S894 S942:S943">
    <cfRule type="cellIs" dxfId="0" priority="4243" operator="equal">
      <formula>"欠"</formula>
    </cfRule>
  </conditionalFormatting>
  <conditionalFormatting sqref="T893:U894 T942:U943">
    <cfRule type="containsText" dxfId="0" priority="4239" operator="between" text="欠">
      <formula>NOT(ISERROR(SEARCH("欠",T893)))</formula>
    </cfRule>
    <cfRule type="cellIs" dxfId="0" priority="4240" operator="equal">
      <formula>"欠"</formula>
    </cfRule>
  </conditionalFormatting>
  <conditionalFormatting sqref="S898:S908 S1094:S1100 S1222:S1233">
    <cfRule type="cellIs" dxfId="0" priority="4191" operator="equal">
      <formula>"欠"</formula>
    </cfRule>
  </conditionalFormatting>
  <conditionalFormatting sqref="T898:U908">
    <cfRule type="containsText" dxfId="0" priority="4189" operator="between" text="欠">
      <formula>NOT(ISERROR(SEARCH("欠",T898)))</formula>
    </cfRule>
    <cfRule type="cellIs" dxfId="0" priority="4190" operator="equal">
      <formula>"欠"</formula>
    </cfRule>
  </conditionalFormatting>
  <conditionalFormatting sqref="Q909 Q921">
    <cfRule type="cellIs" dxfId="0" priority="5108" operator="equal">
      <formula>"欠"</formula>
    </cfRule>
  </conditionalFormatting>
  <conditionalFormatting sqref="R909 R921">
    <cfRule type="containsText" dxfId="0" priority="4120" operator="between" text="欠">
      <formula>NOT(ISERROR(SEARCH("欠",R909)))</formula>
    </cfRule>
    <cfRule type="cellIs" dxfId="0" priority="4124" operator="equal">
      <formula>"欠"</formula>
    </cfRule>
  </conditionalFormatting>
  <conditionalFormatting sqref="V909 V921">
    <cfRule type="cellIs" dxfId="0" priority="5104" operator="equal">
      <formula>"欠"</formula>
    </cfRule>
  </conditionalFormatting>
  <conditionalFormatting sqref="AK909 AK921">
    <cfRule type="cellIs" dxfId="1" priority="5106" operator="equal">
      <formula>"未完成"</formula>
    </cfRule>
    <cfRule type="cellIs" dxfId="0" priority="5107" operator="equal">
      <formula>"未完成"</formula>
    </cfRule>
  </conditionalFormatting>
  <conditionalFormatting sqref="AL909 AL921">
    <cfRule type="cellIs" dxfId="0" priority="5105" operator="equal">
      <formula>"欠"</formula>
    </cfRule>
  </conditionalFormatting>
  <conditionalFormatting sqref="Q910 Q927:Q929">
    <cfRule type="cellIs" dxfId="0" priority="5869" operator="equal">
      <formula>"欠"</formula>
    </cfRule>
  </conditionalFormatting>
  <conditionalFormatting sqref="R910 R927:R929">
    <cfRule type="containsText" dxfId="0" priority="4141" operator="between" text="欠">
      <formula>NOT(ISERROR(SEARCH("欠",R910)))</formula>
    </cfRule>
    <cfRule type="cellIs" dxfId="0" priority="4142" operator="equal">
      <formula>"欠"</formula>
    </cfRule>
  </conditionalFormatting>
  <conditionalFormatting sqref="S910 S927 S1040">
    <cfRule type="cellIs" dxfId="0" priority="4145" operator="equal">
      <formula>"欠"</formula>
    </cfRule>
  </conditionalFormatting>
  <conditionalFormatting sqref="T910:U910 T928:U928">
    <cfRule type="containsText" dxfId="0" priority="4143" operator="between" text="欠">
      <formula>NOT(ISERROR(SEARCH("欠",T910)))</formula>
    </cfRule>
    <cfRule type="cellIs" dxfId="0" priority="4144" operator="equal">
      <formula>"欠"</formula>
    </cfRule>
  </conditionalFormatting>
  <conditionalFormatting sqref="AK910 AK927:AK929">
    <cfRule type="cellIs" dxfId="1" priority="5867" operator="equal">
      <formula>"未完成"</formula>
    </cfRule>
    <cfRule type="cellIs" dxfId="0" priority="5868" operator="equal">
      <formula>"未完成"</formula>
    </cfRule>
  </conditionalFormatting>
  <conditionalFormatting sqref="AL910 AL927:AL929">
    <cfRule type="cellIs" dxfId="0" priority="5866" operator="equal">
      <formula>"欠"</formula>
    </cfRule>
  </conditionalFormatting>
  <conditionalFormatting sqref="T912:U913">
    <cfRule type="containsText" dxfId="0" priority="4207" operator="between" text="欠">
      <formula>NOT(ISERROR(SEARCH("欠",T912)))</formula>
    </cfRule>
    <cfRule type="cellIs" dxfId="0" priority="4208" operator="equal">
      <formula>"欠"</formula>
    </cfRule>
  </conditionalFormatting>
  <conditionalFormatting sqref="R923 R918 R937:R938">
    <cfRule type="containsText" dxfId="0" priority="4154" operator="between" text="欠">
      <formula>NOT(ISERROR(SEARCH("欠",R918)))</formula>
    </cfRule>
    <cfRule type="cellIs" dxfId="0" priority="4155" operator="equal">
      <formula>"欠"</formula>
    </cfRule>
  </conditionalFormatting>
  <conditionalFormatting sqref="R926 R923 R918:R920 R937:R938">
    <cfRule type="containsText" dxfId="0" priority="4146" operator="between" text="欠">
      <formula>NOT(ISERROR(SEARCH("欠",R918)))</formula>
    </cfRule>
  </conditionalFormatting>
  <conditionalFormatting sqref="S926 S923 S918:S920 S937:S938">
    <cfRule type="cellIs" dxfId="0" priority="4156" operator="equal">
      <formula>"欠"</formula>
    </cfRule>
  </conditionalFormatting>
  <conditionalFormatting sqref="T918:U918 T923:U923 T937:U938">
    <cfRule type="cellIs" dxfId="0" priority="4153" operator="equal">
      <formula>"欠"</formula>
    </cfRule>
  </conditionalFormatting>
  <conditionalFormatting sqref="T918:U920 T923:U923 T926:U926 T937:U938">
    <cfRule type="containsText" dxfId="0" priority="4147" operator="between" text="欠">
      <formula>NOT(ISERROR(SEARCH("欠",T918)))</formula>
    </cfRule>
  </conditionalFormatting>
  <conditionalFormatting sqref="R919:R920 R926">
    <cfRule type="containsText" dxfId="0" priority="4151" operator="between" text="欠">
      <formula>NOT(ISERROR(SEARCH("欠",R919)))</formula>
    </cfRule>
    <cfRule type="cellIs" dxfId="0" priority="4152" operator="equal">
      <formula>"欠"</formula>
    </cfRule>
  </conditionalFormatting>
  <conditionalFormatting sqref="T919:U920 T926:U926">
    <cfRule type="containsText" dxfId="0" priority="4148" operator="between" text="欠">
      <formula>NOT(ISERROR(SEARCH("欠",T919)))</formula>
    </cfRule>
    <cfRule type="containsText" dxfId="2" priority="4149" operator="between" text="欠">
      <formula>NOT(ISERROR(SEARCH("欠",T919)))</formula>
    </cfRule>
    <cfRule type="cellIs" dxfId="0" priority="4150" operator="equal">
      <formula>"欠"</formula>
    </cfRule>
  </conditionalFormatting>
  <conditionalFormatting sqref="Q930 Q932 Q944:Q945">
    <cfRule type="cellIs" dxfId="0" priority="5759" operator="equal">
      <formula>"欠"</formula>
    </cfRule>
  </conditionalFormatting>
  <conditionalFormatting sqref="V930 V932 V944:V945">
    <cfRule type="cellIs" dxfId="0" priority="5755" operator="equal">
      <formula>"欠"</formula>
    </cfRule>
  </conditionalFormatting>
  <conditionalFormatting sqref="AK930 AK932 AK944:AK945">
    <cfRule type="cellIs" dxfId="1" priority="5757" operator="equal">
      <formula>"未完成"</formula>
    </cfRule>
    <cfRule type="cellIs" dxfId="0" priority="5758" operator="equal">
      <formula>"未完成"</formula>
    </cfRule>
  </conditionalFormatting>
  <conditionalFormatting sqref="AL930 AL932 AL944:AL945">
    <cfRule type="cellIs" dxfId="0" priority="5756" operator="equal">
      <formula>"欠"</formula>
    </cfRule>
  </conditionalFormatting>
  <conditionalFormatting sqref="R931:R932 R974:R975">
    <cfRule type="containsText" dxfId="0" priority="5282" operator="between" text="欠">
      <formula>NOT(ISERROR(SEARCH("欠",R931)))</formula>
    </cfRule>
    <cfRule type="cellIs" dxfId="0" priority="5286" operator="equal">
      <formula>"欠"</formula>
    </cfRule>
  </conditionalFormatting>
  <conditionalFormatting sqref="R935 V935:W935">
    <cfRule type="cellIs" dxfId="0" priority="4994" operator="equal">
      <formula>"欠"</formula>
    </cfRule>
  </conditionalFormatting>
  <conditionalFormatting sqref="R936 R962 R944:R945 R972">
    <cfRule type="containsText" dxfId="0" priority="7830" operator="between" text="欠">
      <formula>NOT(ISERROR(SEARCH("欠",R936)))</formula>
    </cfRule>
    <cfRule type="cellIs" dxfId="0" priority="7832" operator="equal">
      <formula>"欠"</formula>
    </cfRule>
  </conditionalFormatting>
  <conditionalFormatting sqref="AH941 AH946:AH947 AH965 AH967:AH969 AH1134 AH1163:AH1164 AH1388:AH1389 AH1491">
    <cfRule type="cellIs" dxfId="0" priority="7378" operator="equal">
      <formula>"未完成"</formula>
    </cfRule>
  </conditionalFormatting>
  <conditionalFormatting sqref="T944:U944 T972:U972">
    <cfRule type="containsText" dxfId="0" priority="7823" operator="between" text="欠">
      <formula>NOT(ISERROR(SEARCH("欠",T944)))</formula>
    </cfRule>
    <cfRule type="containsText" dxfId="2" priority="7824" operator="between" text="欠">
      <formula>NOT(ISERROR(SEARCH("欠",T944)))</formula>
    </cfRule>
    <cfRule type="cellIs" dxfId="0" priority="7825" operator="equal">
      <formula>"欠"</formula>
    </cfRule>
  </conditionalFormatting>
  <conditionalFormatting sqref="T952:U957 T1029:U1030">
    <cfRule type="containsText" dxfId="0" priority="5263" operator="between" text="欠">
      <formula>NOT(ISERROR(SEARCH("欠",T952)))</formula>
    </cfRule>
    <cfRule type="cellIs" dxfId="0" priority="5264" operator="equal">
      <formula>"欠"</formula>
    </cfRule>
  </conditionalFormatting>
  <conditionalFormatting sqref="Q975:Q976 Q973 Q988:Q989">
    <cfRule type="cellIs" dxfId="0" priority="8149" operator="equal">
      <formula>"欠"</formula>
    </cfRule>
  </conditionalFormatting>
  <conditionalFormatting sqref="V973 V975:V976 V988:V989">
    <cfRule type="cellIs" dxfId="0" priority="8049" operator="equal">
      <formula>"欠"</formula>
    </cfRule>
  </conditionalFormatting>
  <conditionalFormatting sqref="Q982:Q983 Q995">
    <cfRule type="cellIs" dxfId="0" priority="7724" operator="equal">
      <formula>"欠"</formula>
    </cfRule>
  </conditionalFormatting>
  <conditionalFormatting sqref="V982:V983 V995 V1005:V1006">
    <cfRule type="cellIs" dxfId="0" priority="7720" operator="equal">
      <formula>"欠"</formula>
    </cfRule>
  </conditionalFormatting>
  <conditionalFormatting sqref="AK982:AK983 AK995">
    <cfRule type="cellIs" dxfId="1" priority="7722" operator="equal">
      <formula>"未完成"</formula>
    </cfRule>
    <cfRule type="cellIs" dxfId="0" priority="7723" operator="equal">
      <formula>"未完成"</formula>
    </cfRule>
  </conditionalFormatting>
  <conditionalFormatting sqref="AL982:AL983 AL995">
    <cfRule type="cellIs" dxfId="0" priority="7721" operator="equal">
      <formula>"欠"</formula>
    </cfRule>
  </conditionalFormatting>
  <conditionalFormatting sqref="AH983 AH995">
    <cfRule type="cellIs" dxfId="0" priority="7379" operator="equal">
      <formula>"未完成"</formula>
    </cfRule>
  </conditionalFormatting>
  <conditionalFormatting sqref="Q984 Q996 Q1002:Q1003 Q1016 Q1092">
    <cfRule type="cellIs" dxfId="0" priority="5748" operator="equal">
      <formula>"欠"</formula>
    </cfRule>
  </conditionalFormatting>
  <conditionalFormatting sqref="V984 V996 V1002:V1003 V1016 V1092">
    <cfRule type="cellIs" dxfId="0" priority="5744" operator="equal">
      <formula>"欠"</formula>
    </cfRule>
  </conditionalFormatting>
  <conditionalFormatting sqref="AK984 AK996 AK1002:AK1003 AK1016 AK1092">
    <cfRule type="cellIs" dxfId="1" priority="5746" operator="equal">
      <formula>"未完成"</formula>
    </cfRule>
    <cfRule type="cellIs" dxfId="0" priority="5747" operator="equal">
      <formula>"未完成"</formula>
    </cfRule>
  </conditionalFormatting>
  <conditionalFormatting sqref="AL984 AL996 AL1002:AL1003 AL1016 AL1092">
    <cfRule type="cellIs" dxfId="0" priority="5745" operator="equal">
      <formula>"欠"</formula>
    </cfRule>
  </conditionalFormatting>
  <conditionalFormatting sqref="S986:S987 S1009 S1042:S1043 S1059 S1075">
    <cfRule type="cellIs" dxfId="0" priority="4594" operator="equal">
      <formula>"欠"</formula>
    </cfRule>
  </conditionalFormatting>
  <conditionalFormatting sqref="T986:U987 T1009:U1009 T1042:U1043 T1059:U1059 T1075:U1075">
    <cfRule type="containsText" dxfId="0" priority="4592" operator="between" text="欠">
      <formula>NOT(ISERROR(SEARCH("欠",T986)))</formula>
    </cfRule>
    <cfRule type="cellIs" dxfId="0" priority="4593" operator="equal">
      <formula>"欠"</formula>
    </cfRule>
  </conditionalFormatting>
  <conditionalFormatting sqref="R990 R998:R999 R1004 R1010 R1025:R1026 R1057 R1079 R1152:R1153 R1369">
    <cfRule type="containsText" dxfId="0" priority="4679" operator="between" text="欠">
      <formula>NOT(ISERROR(SEARCH("欠",R990)))</formula>
    </cfRule>
    <cfRule type="cellIs" dxfId="0" priority="4681" operator="equal">
      <formula>"欠"</formula>
    </cfRule>
  </conditionalFormatting>
  <conditionalFormatting sqref="S990 S998:S999 S1010 S1025:S1026 S1030 S1032 S1038 S1041 S1057 S1079 S1254:S1255 S1369:S1370 S1484">
    <cfRule type="cellIs" dxfId="0" priority="4670" operator="equal">
      <formula>"欠"</formula>
    </cfRule>
  </conditionalFormatting>
  <conditionalFormatting sqref="T990:U990 T998:U999 T1010:U1010 T1025:U1026 T1057:U1057 T1079:U1079">
    <cfRule type="containsText" dxfId="0" priority="4672" operator="between" text="欠">
      <formula>NOT(ISERROR(SEARCH("欠",T990)))</formula>
    </cfRule>
    <cfRule type="cellIs" dxfId="0" priority="4673" operator="equal">
      <formula>"欠"</formula>
    </cfRule>
  </conditionalFormatting>
  <conditionalFormatting sqref="V990 V999">
    <cfRule type="cellIs" dxfId="0" priority="4662" operator="equal">
      <formula>"欠"</formula>
    </cfRule>
  </conditionalFormatting>
  <conditionalFormatting sqref="AK990 AK999">
    <cfRule type="cellIs" dxfId="1" priority="4664" operator="equal">
      <formula>"未完成"</formula>
    </cfRule>
    <cfRule type="cellIs" dxfId="0" priority="4665" operator="equal">
      <formula>"未完成"</formula>
    </cfRule>
  </conditionalFormatting>
  <conditionalFormatting sqref="R992 V992:W992">
    <cfRule type="cellIs" dxfId="0" priority="4523" operator="equal">
      <formula>"欠"</formula>
    </cfRule>
  </conditionalFormatting>
  <conditionalFormatting sqref="T1005:U1006">
    <cfRule type="containsText" dxfId="0" priority="4048" operator="between" text="欠">
      <formula>NOT(ISERROR(SEARCH("欠",T1005)))</formula>
    </cfRule>
    <cfRule type="cellIs" dxfId="0" priority="4050" operator="equal">
      <formula>"欠"</formula>
    </cfRule>
  </conditionalFormatting>
  <conditionalFormatting sqref="S1006 S1033:S1037">
    <cfRule type="cellIs" dxfId="0" priority="4061" operator="equal">
      <formula>"欠"</formula>
    </cfRule>
  </conditionalFormatting>
  <conditionalFormatting sqref="AH1006:AH1102 AH1122 AI1129">
    <cfRule type="cellIs" dxfId="0" priority="4045" operator="equal">
      <formula>"未完成"</formula>
    </cfRule>
  </conditionalFormatting>
  <conditionalFormatting sqref="R1009 R1042:R1043 R1059 R1075">
    <cfRule type="containsText" dxfId="0" priority="4599" operator="between" text="欠">
      <formula>NOT(ISERROR(SEARCH("欠",R1009)))</formula>
    </cfRule>
    <cfRule type="cellIs" dxfId="0" priority="4600" operator="equal">
      <formula>"欠"</formula>
    </cfRule>
  </conditionalFormatting>
  <conditionalFormatting sqref="S1011:S1012 S1049:S1051">
    <cfRule type="cellIs" dxfId="0" priority="4904" operator="equal">
      <formula>"欠"</formula>
    </cfRule>
  </conditionalFormatting>
  <conditionalFormatting sqref="T1011:U1012">
    <cfRule type="containsText" dxfId="0" priority="4906" operator="between" text="欠">
      <formula>NOT(ISERROR(SEARCH("欠",T1011)))</formula>
    </cfRule>
    <cfRule type="cellIs" dxfId="0" priority="4907" operator="equal">
      <formula>"欠"</formula>
    </cfRule>
  </conditionalFormatting>
  <conditionalFormatting sqref="T1013:U1015">
    <cfRule type="containsText" dxfId="0" priority="4352" operator="between" text="欠">
      <formula>NOT(ISERROR(SEARCH("欠",T1013)))</formula>
    </cfRule>
    <cfRule type="containsText" dxfId="2" priority="4355" operator="between" text="欠">
      <formula>NOT(ISERROR(SEARCH("欠",T1013)))</formula>
    </cfRule>
  </conditionalFormatting>
  <conditionalFormatting sqref="T1013:W1013 T1014:U1015">
    <cfRule type="cellIs" dxfId="0" priority="4358" operator="equal">
      <formula>"欠"</formula>
    </cfRule>
  </conditionalFormatting>
  <conditionalFormatting sqref="R1018 R1074">
    <cfRule type="containsText" dxfId="0" priority="3742" operator="between" text="欠">
      <formula>NOT(ISERROR(SEARCH("欠",R1018)))</formula>
    </cfRule>
    <cfRule type="cellIs" dxfId="0" priority="3749" operator="equal">
      <formula>"欠"</formula>
    </cfRule>
  </conditionalFormatting>
  <conditionalFormatting sqref="S1018 S1074">
    <cfRule type="cellIs" dxfId="0" priority="3679" operator="equal">
      <formula>"欠"</formula>
    </cfRule>
  </conditionalFormatting>
  <conditionalFormatting sqref="R1021:R1022 R1063:R1064">
    <cfRule type="containsText" dxfId="0" priority="3746" operator="between" text="欠">
      <formula>NOT(ISERROR(SEARCH("欠",R1021)))</formula>
    </cfRule>
    <cfRule type="cellIs" dxfId="0" priority="3753" operator="equal">
      <formula>"欠"</formula>
    </cfRule>
  </conditionalFormatting>
  <conditionalFormatting sqref="S1021:S1022 S1063:S1064">
    <cfRule type="cellIs" dxfId="0" priority="3683" operator="equal">
      <formula>"欠"</formula>
    </cfRule>
  </conditionalFormatting>
  <conditionalFormatting sqref="T1021:U1022 T1063:U1064">
    <cfRule type="containsText" dxfId="0" priority="3697" operator="between" text="欠">
      <formula>NOT(ISERROR(SEARCH("欠",T1021)))</formula>
    </cfRule>
    <cfRule type="cellIs" dxfId="0" priority="3704" operator="equal">
      <formula>"欠"</formula>
    </cfRule>
  </conditionalFormatting>
  <conditionalFormatting sqref="S1024 S1187">
    <cfRule type="cellIs" dxfId="0" priority="3551" operator="equal">
      <formula>"欠"</formula>
    </cfRule>
  </conditionalFormatting>
  <conditionalFormatting sqref="R1030 R1032 R1038 R1041">
    <cfRule type="containsText" dxfId="0" priority="4246" operator="between" text="欠">
      <formula>NOT(ISERROR(SEARCH("欠",R1030)))</formula>
    </cfRule>
    <cfRule type="cellIs" dxfId="0" priority="4248" operator="equal">
      <formula>"欠"</formula>
    </cfRule>
  </conditionalFormatting>
  <conditionalFormatting sqref="Q1032 Q1038 Q1041">
    <cfRule type="cellIs" dxfId="0" priority="4456" operator="equal">
      <formula>"欠"</formula>
    </cfRule>
  </conditionalFormatting>
  <conditionalFormatting sqref="T1033:U1037">
    <cfRule type="containsText" dxfId="0" priority="3470" operator="between" text="欠">
      <formula>NOT(ISERROR(SEARCH("欠",T1033)))</formula>
    </cfRule>
    <cfRule type="cellIs" dxfId="0" priority="3475" operator="equal">
      <formula>"欠"</formula>
    </cfRule>
  </conditionalFormatting>
  <conditionalFormatting sqref="S1039 S1180">
    <cfRule type="cellIs" dxfId="0" priority="3684" operator="equal">
      <formula>"欠"</formula>
    </cfRule>
  </conditionalFormatting>
  <conditionalFormatting sqref="AK1043 AK1075">
    <cfRule type="cellIs" dxfId="1" priority="4617" operator="equal">
      <formula>"未完成"</formula>
    </cfRule>
    <cfRule type="cellIs" dxfId="0" priority="4618" operator="equal">
      <formula>"未完成"</formula>
    </cfRule>
  </conditionalFormatting>
  <conditionalFormatting sqref="AL1043 AL1075">
    <cfRule type="cellIs" dxfId="0" priority="4616" operator="equal">
      <formula>"欠"</formula>
    </cfRule>
  </conditionalFormatting>
  <conditionalFormatting sqref="T1049:U1051">
    <cfRule type="containsText" dxfId="0" priority="4977" operator="between" text="欠">
      <formula>NOT(ISERROR(SEARCH("欠",T1049)))</formula>
    </cfRule>
    <cfRule type="containsText" dxfId="2" priority="4980" operator="between" text="欠">
      <formula>NOT(ISERROR(SEARCH("欠",T1049)))</formula>
    </cfRule>
  </conditionalFormatting>
  <conditionalFormatting sqref="R1050:R1052 T1051:T1052 T1050:V1050">
    <cfRule type="cellIs" dxfId="0" priority="4983" operator="equal">
      <formula>"欠"</formula>
    </cfRule>
  </conditionalFormatting>
  <conditionalFormatting sqref="R1053 R1072:R1073 R1077:R1078">
    <cfRule type="containsText" dxfId="0" priority="2788" operator="between" text="欠">
      <formula>NOT(ISERROR(SEARCH("欠",R1053)))</formula>
    </cfRule>
    <cfRule type="cellIs" dxfId="0" priority="2800" operator="equal">
      <formula>"欠"</formula>
    </cfRule>
  </conditionalFormatting>
  <conditionalFormatting sqref="S1053 S1072:S1073 S1197">
    <cfRule type="cellIs" dxfId="0" priority="2816" operator="equal">
      <formula>"欠"</formula>
    </cfRule>
  </conditionalFormatting>
  <conditionalFormatting sqref="Q1057 Q1079">
    <cfRule type="cellIs" dxfId="0" priority="4609" operator="equal">
      <formula>"欠"</formula>
    </cfRule>
  </conditionalFormatting>
  <conditionalFormatting sqref="V1057 V1079">
    <cfRule type="cellIs" dxfId="0" priority="4605" operator="equal">
      <formula>"欠"</formula>
    </cfRule>
  </conditionalFormatting>
  <conditionalFormatting sqref="AK1057 AK1079">
    <cfRule type="cellIs" dxfId="1" priority="4607" operator="equal">
      <formula>"未完成"</formula>
    </cfRule>
    <cfRule type="cellIs" dxfId="0" priority="4608" operator="equal">
      <formula>"未完成"</formula>
    </cfRule>
  </conditionalFormatting>
  <conditionalFormatting sqref="AL1057 AL1079">
    <cfRule type="cellIs" dxfId="0" priority="4606" operator="equal">
      <formula>"欠"</formula>
    </cfRule>
  </conditionalFormatting>
  <conditionalFormatting sqref="Q1059 Q1080:Q1081 Q1088:Q1089">
    <cfRule type="cellIs" dxfId="0" priority="4553" operator="equal">
      <formula>"欠"</formula>
    </cfRule>
  </conditionalFormatting>
  <conditionalFormatting sqref="AK1059 AK1080:AK1081 AK1088:AK1089">
    <cfRule type="cellIs" dxfId="1" priority="4551" operator="equal">
      <formula>"未完成"</formula>
    </cfRule>
    <cfRule type="cellIs" dxfId="0" priority="4552" operator="equal">
      <formula>"未完成"</formula>
    </cfRule>
  </conditionalFormatting>
  <conditionalFormatting sqref="AL1059 AL1080:AL1081 AL1088:AL1089">
    <cfRule type="cellIs" dxfId="0" priority="4550" operator="equal">
      <formula>"欠"</formula>
    </cfRule>
  </conditionalFormatting>
  <conditionalFormatting sqref="T1060:U1061">
    <cfRule type="containsText" dxfId="0" priority="3365" operator="between" text="欠">
      <formula>NOT(ISERROR(SEARCH("欠",T1060)))</formula>
    </cfRule>
    <cfRule type="containsText" dxfId="2" priority="3389" operator="between" text="欠">
      <formula>NOT(ISERROR(SEARCH("欠",T1060)))</formula>
    </cfRule>
    <cfRule type="cellIs" dxfId="0" priority="3395" operator="equal">
      <formula>"欠"</formula>
    </cfRule>
  </conditionalFormatting>
  <conditionalFormatting sqref="T1066:U1070">
    <cfRule type="containsText" dxfId="0" priority="3572" operator="between" text="欠">
      <formula>NOT(ISERROR(SEARCH("欠",T1066)))</formula>
    </cfRule>
    <cfRule type="cellIs" dxfId="0" priority="3577" operator="equal">
      <formula>"欠"</formula>
    </cfRule>
  </conditionalFormatting>
  <conditionalFormatting sqref="T1077:U1078">
    <cfRule type="containsText" dxfId="0" priority="3168" operator="between" text="欠">
      <formula>NOT(ISERROR(SEARCH("欠",T1077)))</formula>
    </cfRule>
    <cfRule type="containsText" dxfId="2" priority="3256" operator="between" text="欠">
      <formula>NOT(ISERROR(SEARCH("欠",T1077)))</formula>
    </cfRule>
    <cfRule type="cellIs" dxfId="0" priority="3278" operator="equal">
      <formula>"欠"</formula>
    </cfRule>
  </conditionalFormatting>
  <conditionalFormatting sqref="R1090:R1091 R1135:R1140 R1188:R1189 R1444:R1445">
    <cfRule type="containsText" dxfId="0" priority="3159" operator="between" text="欠">
      <formula>NOT(ISERROR(SEARCH("欠",R1090)))</formula>
    </cfRule>
    <cfRule type="cellIs" dxfId="0" priority="3225" operator="equal">
      <formula>"欠"</formula>
    </cfRule>
  </conditionalFormatting>
  <conditionalFormatting sqref="S1090:S1091 S1135:S1140 S1188:S1189 S1444:S1445">
    <cfRule type="cellIs" dxfId="0" priority="3313" operator="equal">
      <formula>"欠"</formula>
    </cfRule>
  </conditionalFormatting>
  <conditionalFormatting sqref="T1090:U1091 T1135:U1140 T1188:U1189 T1444:U1445">
    <cfRule type="containsText" dxfId="0" priority="3181" operator="between" text="欠">
      <formula>NOT(ISERROR(SEARCH("欠",T1090)))</formula>
    </cfRule>
    <cfRule type="containsText" dxfId="2" priority="3269" operator="between" text="欠">
      <formula>NOT(ISERROR(SEARCH("欠",T1090)))</formula>
    </cfRule>
    <cfRule type="cellIs" dxfId="0" priority="3291" operator="equal">
      <formula>"欠"</formula>
    </cfRule>
  </conditionalFormatting>
  <conditionalFormatting sqref="S1092 S1134">
    <cfRule type="cellIs" dxfId="0" priority="5749" operator="equal">
      <formula>"欠"</formula>
    </cfRule>
  </conditionalFormatting>
  <conditionalFormatting sqref="T1094:U1100 T1222:U1233">
    <cfRule type="containsText" dxfId="0" priority="2729" operator="between" text="欠">
      <formula>NOT(ISERROR(SEARCH("欠",T1094)))</formula>
    </cfRule>
    <cfRule type="containsText" dxfId="2" priority="2731" operator="between" text="欠">
      <formula>NOT(ISERROR(SEARCH("欠",T1094)))</formula>
    </cfRule>
    <cfRule type="cellIs" dxfId="0" priority="2732" operator="equal">
      <formula>"欠"</formula>
    </cfRule>
  </conditionalFormatting>
  <conditionalFormatting sqref="T1101:U1102">
    <cfRule type="containsText" dxfId="0" priority="2259" operator="between" text="欠">
      <formula>NOT(ISERROR(SEARCH("欠",T1101)))</formula>
    </cfRule>
    <cfRule type="containsText" dxfId="2" priority="2260" operator="between" text="欠">
      <formula>NOT(ISERROR(SEARCH("欠",T1101)))</formula>
    </cfRule>
    <cfRule type="cellIs" dxfId="0" priority="2261" operator="equal">
      <formula>"欠"</formula>
    </cfRule>
  </conditionalFormatting>
  <conditionalFormatting sqref="T1105:U1106">
    <cfRule type="containsText" dxfId="0" priority="3184" operator="between" text="欠">
      <formula>NOT(ISERROR(SEARCH("欠",T1105)))</formula>
    </cfRule>
    <cfRule type="containsText" dxfId="2" priority="3272" operator="between" text="欠">
      <formula>NOT(ISERROR(SEARCH("欠",T1105)))</formula>
    </cfRule>
    <cfRule type="cellIs" dxfId="0" priority="3294" operator="equal">
      <formula>"欠"</formula>
    </cfRule>
  </conditionalFormatting>
  <conditionalFormatting sqref="R1109:R1112 R1129:R1131">
    <cfRule type="containsText" dxfId="0" priority="2394" operator="between" text="欠">
      <formula>NOT(ISERROR(SEARCH("欠",R1109)))</formula>
    </cfRule>
    <cfRule type="cellIs" dxfId="0" priority="2409" operator="equal">
      <formula>"欠"</formula>
    </cfRule>
  </conditionalFormatting>
  <conditionalFormatting sqref="S1109:S1112 S1129:S1131">
    <cfRule type="cellIs" dxfId="0" priority="2429" operator="equal">
      <formula>"欠"</formula>
    </cfRule>
  </conditionalFormatting>
  <conditionalFormatting sqref="T1109:U1112">
    <cfRule type="containsText" dxfId="0" priority="2399" operator="between" text="欠">
      <formula>NOT(ISERROR(SEARCH("欠",T1109)))</formula>
    </cfRule>
    <cfRule type="containsText" dxfId="2" priority="2419" operator="between" text="欠">
      <formula>NOT(ISERROR(SEARCH("欠",T1109)))</formula>
    </cfRule>
    <cfRule type="cellIs" dxfId="0" priority="2424" operator="equal">
      <formula>"欠"</formula>
    </cfRule>
  </conditionalFormatting>
  <conditionalFormatting sqref="T1113:U1117">
    <cfRule type="containsText" dxfId="0" priority="2483" operator="between" text="欠">
      <formula>NOT(ISERROR(SEARCH("欠",T1113)))</formula>
    </cfRule>
    <cfRule type="containsText" dxfId="2" priority="2495" operator="between" text="欠">
      <formula>NOT(ISERROR(SEARCH("欠",T1113)))</formula>
    </cfRule>
    <cfRule type="cellIs" dxfId="0" priority="2501" operator="equal">
      <formula>"欠"</formula>
    </cfRule>
  </conditionalFormatting>
  <conditionalFormatting sqref="R1122 R1127 R1166 R1234">
    <cfRule type="containsText" dxfId="0" priority="2434" operator="between" text="欠">
      <formula>NOT(ISERROR(SEARCH("欠",R1122)))</formula>
    </cfRule>
    <cfRule type="cellIs" dxfId="0" priority="2436" operator="equal">
      <formula>"欠"</formula>
    </cfRule>
  </conditionalFormatting>
  <conditionalFormatting sqref="S1122 S1127 S1166:S1167 S1234 S1333 S1404:S1405 S1454:S1456">
    <cfRule type="cellIs" dxfId="0" priority="2433" operator="equal">
      <formula>"欠"</formula>
    </cfRule>
  </conditionalFormatting>
  <conditionalFormatting sqref="T1122:U1122 T1127:U1127">
    <cfRule type="containsText" dxfId="0" priority="2431" operator="between" text="欠">
      <formula>NOT(ISERROR(SEARCH("欠",T1122)))</formula>
    </cfRule>
    <cfRule type="cellIs" dxfId="0" priority="2432" operator="equal">
      <formula>"欠"</formula>
    </cfRule>
  </conditionalFormatting>
  <conditionalFormatting sqref="T1125:U1126">
    <cfRule type="containsText" dxfId="0" priority="1870" operator="between" text="欠">
      <formula>NOT(ISERROR(SEARCH("欠",T1125)))</formula>
    </cfRule>
    <cfRule type="containsText" dxfId="2" priority="1914" operator="between" text="欠">
      <formula>NOT(ISERROR(SEARCH("欠",T1125)))</formula>
    </cfRule>
    <cfRule type="cellIs" dxfId="0" priority="1925" operator="equal">
      <formula>"欠"</formula>
    </cfRule>
  </conditionalFormatting>
  <conditionalFormatting sqref="AK1128 AK1155">
    <cfRule type="cellIs" dxfId="1" priority="2595" operator="equal">
      <formula>"未完成"</formula>
    </cfRule>
    <cfRule type="cellIs" dxfId="0" priority="2596" operator="equal">
      <formula>"未完成"</formula>
    </cfRule>
  </conditionalFormatting>
  <conditionalFormatting sqref="S1130 S1207">
    <cfRule type="cellIs" dxfId="0" priority="2589" operator="equal">
      <formula>"欠"</formula>
    </cfRule>
  </conditionalFormatting>
  <conditionalFormatting sqref="S1130:S1134 S1197:S1201 S1255:S1260 S1289 S1291 S1387:S1389 S1392:S1393 S1396 S1406 S1409 S1431:S1432 S1449 S1453:S1454 S1476 S1496:S1498 S1535:S1536">
    <cfRule type="cellIs" dxfId="0" priority="1729" operator="equal">
      <formula>"欠"</formula>
    </cfRule>
  </conditionalFormatting>
  <conditionalFormatting sqref="T1130:U1134">
    <cfRule type="containsText" dxfId="0" priority="1687" operator="between" text="欠">
      <formula>NOT(ISERROR(SEARCH("欠",T1130)))</formula>
    </cfRule>
    <cfRule type="containsText" dxfId="2" priority="1715" operator="between" text="欠">
      <formula>NOT(ISERROR(SEARCH("欠",T1130)))</formula>
    </cfRule>
    <cfRule type="cellIs" dxfId="0" priority="1722" operator="equal">
      <formula>"欠"</formula>
    </cfRule>
  </conditionalFormatting>
  <conditionalFormatting sqref="S1131 S1182 S1322:S1327 S1337:S1340 S1346:S1356 S1389:S1391 S1396 S1408:S1411 S1418:S1428 S1430:S1431 S1433:S1438 S1442:S1446 S1449 S1451:S1456 S1460:S1474 S1476:S1482 S1486:S1488 S1491:S1499 S1501:S1503 S1506:S1509 S1513:S1517 S1520 S1523:S1525 S1534:S1535">
    <cfRule type="cellIs" dxfId="0" priority="2976" operator="equal">
      <formula>"欠"</formula>
    </cfRule>
  </conditionalFormatting>
  <conditionalFormatting sqref="T1131:U1131 T1182:U1182">
    <cfRule type="containsText" dxfId="0" priority="2940" operator="between" text="欠">
      <formula>NOT(ISERROR(SEARCH("欠",T1131)))</formula>
    </cfRule>
    <cfRule type="containsText" dxfId="2" priority="2964" operator="between" text="欠">
      <formula>NOT(ISERROR(SEARCH("欠",T1131)))</formula>
    </cfRule>
    <cfRule type="cellIs" dxfId="0" priority="2970" operator="equal">
      <formula>"欠"</formula>
    </cfRule>
  </conditionalFormatting>
  <conditionalFormatting sqref="S1144 S1151">
    <cfRule type="cellIs" dxfId="0" priority="2244" operator="equal">
      <formula>"欠"</formula>
    </cfRule>
  </conditionalFormatting>
  <conditionalFormatting sqref="R1146:R1150 R1177:R1178 R1278:R1279">
    <cfRule type="containsText" dxfId="0" priority="1859" operator="between" text="欠">
      <formula>NOT(ISERROR(SEARCH("欠",R1146)))</formula>
    </cfRule>
    <cfRule type="cellIs" dxfId="0" priority="1892" operator="equal">
      <formula>"欠"</formula>
    </cfRule>
  </conditionalFormatting>
  <conditionalFormatting sqref="S1146:S1150 S1278:S1279">
    <cfRule type="cellIs" dxfId="0" priority="1936" operator="equal">
      <formula>"欠"</formula>
    </cfRule>
  </conditionalFormatting>
  <conditionalFormatting sqref="T1152:U1153">
    <cfRule type="containsText" dxfId="0" priority="2327" operator="between" text="欠">
      <formula>NOT(ISERROR(SEARCH("欠",T1152)))</formula>
    </cfRule>
    <cfRule type="containsText" dxfId="2" priority="2339" operator="between" text="欠">
      <formula>NOT(ISERROR(SEARCH("欠",T1152)))</formula>
    </cfRule>
    <cfRule type="cellIs" dxfId="0" priority="2342" operator="equal">
      <formula>"欠"</formula>
    </cfRule>
  </conditionalFormatting>
  <conditionalFormatting sqref="S1156 S1160:S1161 S1198 S1200 S1339 S1471 S1518">
    <cfRule type="cellIs" dxfId="0" priority="1746" operator="equal">
      <formula>"欠"</formula>
    </cfRule>
  </conditionalFormatting>
  <conditionalFormatting sqref="R1161:R1162 R1238 R1241:R1242 R1269 R1273">
    <cfRule type="containsText" dxfId="0" priority="1675" operator="between" text="欠">
      <formula>NOT(ISERROR(SEARCH("欠",R1161)))</formula>
    </cfRule>
    <cfRule type="cellIs" dxfId="0" priority="1696" operator="equal">
      <formula>"欠"</formula>
    </cfRule>
  </conditionalFormatting>
  <conditionalFormatting sqref="S1162 S1238 S1241:S1242 S1269 S1273">
    <cfRule type="cellIs" dxfId="0" priority="1724" operator="equal">
      <formula>"欠"</formula>
    </cfRule>
  </conditionalFormatting>
  <conditionalFormatting sqref="T1166:U1166 T1234:U1234">
    <cfRule type="containsText" dxfId="0" priority="1027" operator="between" text="欠">
      <formula>NOT(ISERROR(SEARCH("欠",T1166)))</formula>
    </cfRule>
    <cfRule type="cellIs" dxfId="0" priority="1028" operator="equal">
      <formula>"欠"</formula>
    </cfRule>
  </conditionalFormatting>
  <conditionalFormatting sqref="S1171:S1172 S1503 S1525 S1527">
    <cfRule type="cellIs" dxfId="0" priority="2172" operator="equal">
      <formula>"欠"</formula>
    </cfRule>
  </conditionalFormatting>
  <conditionalFormatting sqref="T1171:U1172">
    <cfRule type="containsText" dxfId="0" priority="2100" operator="between" text="欠">
      <formula>NOT(ISERROR(SEARCH("欠",T1171)))</formula>
    </cfRule>
    <cfRule type="containsText" dxfId="2" priority="2148" operator="between" text="欠">
      <formula>NOT(ISERROR(SEARCH("欠",T1171)))</formula>
    </cfRule>
    <cfRule type="cellIs" dxfId="0" priority="2160" operator="equal">
      <formula>"欠"</formula>
    </cfRule>
  </conditionalFormatting>
  <conditionalFormatting sqref="T1173:U1174">
    <cfRule type="containsText" dxfId="0" priority="2292" operator="between" text="欠">
      <formula>NOT(ISERROR(SEARCH("欠",T1173)))</formula>
    </cfRule>
    <cfRule type="containsText" dxfId="2" priority="2300" operator="between" text="欠">
      <formula>NOT(ISERROR(SEARCH("欠",T1173)))</formula>
    </cfRule>
    <cfRule type="cellIs" dxfId="0" priority="2302" operator="equal">
      <formula>"欠"</formula>
    </cfRule>
  </conditionalFormatting>
  <conditionalFormatting sqref="R1176:R1177 R1200:R1201">
    <cfRule type="containsText" dxfId="0" priority="1740" operator="between" text="欠">
      <formula>NOT(ISERROR(SEARCH("欠",R1176)))</formula>
    </cfRule>
    <cfRule type="cellIs" dxfId="0" priority="1742" operator="equal">
      <formula>"欠"</formula>
    </cfRule>
  </conditionalFormatting>
  <conditionalFormatting sqref="S1176 S1313">
    <cfRule type="cellIs" dxfId="0" priority="2168" operator="equal">
      <formula>"欠"</formula>
    </cfRule>
  </conditionalFormatting>
  <conditionalFormatting sqref="T1177:U1178">
    <cfRule type="containsText" dxfId="0" priority="1875" operator="between" text="欠">
      <formula>NOT(ISERROR(SEARCH("欠",T1177)))</formula>
    </cfRule>
    <cfRule type="containsText" dxfId="2" priority="1919" operator="between" text="欠">
      <formula>NOT(ISERROR(SEARCH("欠",T1177)))</formula>
    </cfRule>
    <cfRule type="cellIs" dxfId="0" priority="1930" operator="equal">
      <formula>"欠"</formula>
    </cfRule>
  </conditionalFormatting>
  <conditionalFormatting sqref="R1182 R1337">
    <cfRule type="containsText" dxfId="0" priority="2934" operator="between" text="欠">
      <formula>NOT(ISERROR(SEARCH("欠",R1182)))</formula>
    </cfRule>
    <cfRule type="cellIs" dxfId="0" priority="2952" operator="equal">
      <formula>"欠"</formula>
    </cfRule>
  </conditionalFormatting>
  <conditionalFormatting sqref="Q1186 Q1199">
    <cfRule type="cellIs" dxfId="0" priority="385" operator="equal">
      <formula>"欠"</formula>
    </cfRule>
  </conditionalFormatting>
  <conditionalFormatting sqref="S1194 S1212">
    <cfRule type="cellIs" dxfId="0" priority="1739" operator="equal">
      <formula>"欠"</formula>
    </cfRule>
  </conditionalFormatting>
  <conditionalFormatting sqref="R1196:R1200 R1256:R1261">
    <cfRule type="containsText" dxfId="0" priority="1461" operator="between" text="欠">
      <formula>NOT(ISERROR(SEARCH("欠",R1196)))</formula>
    </cfRule>
    <cfRule type="cellIs" dxfId="0" priority="1500" operator="equal">
      <formula>"欠"</formula>
    </cfRule>
  </conditionalFormatting>
  <conditionalFormatting sqref="T1196:U1202">
    <cfRule type="containsText" dxfId="0" priority="1474" operator="between" text="欠">
      <formula>NOT(ISERROR(SEARCH("欠",T1196)))</formula>
    </cfRule>
    <cfRule type="containsText" dxfId="2" priority="1526" operator="between" text="欠">
      <formula>NOT(ISERROR(SEARCH("欠",T1196)))</formula>
    </cfRule>
    <cfRule type="cellIs" dxfId="0" priority="1539" operator="equal">
      <formula>"欠"</formula>
    </cfRule>
  </conditionalFormatting>
  <conditionalFormatting sqref="R1200:R1203 R1216:R1218 R1220">
    <cfRule type="containsText" dxfId="0" priority="2009" operator="between" text="欠">
      <formula>NOT(ISERROR(SEARCH("欠",R1200)))</formula>
    </cfRule>
    <cfRule type="cellIs" dxfId="0" priority="2010" operator="equal">
      <formula>"欠"</formula>
    </cfRule>
  </conditionalFormatting>
  <conditionalFormatting sqref="S1200:S1203 S1216:S1218 S1220 S1297:S1299 S1447">
    <cfRule type="cellIs" dxfId="0" priority="2248" operator="equal">
      <formula>"欠"</formula>
    </cfRule>
  </conditionalFormatting>
  <conditionalFormatting sqref="T1200:U1203 T1216:U1218 T1220:U1220">
    <cfRule type="containsText" dxfId="0" priority="2218" operator="between" text="欠">
      <formula>NOT(ISERROR(SEARCH("欠",T1200)))</formula>
    </cfRule>
    <cfRule type="containsText" dxfId="2" priority="2238" operator="between" text="欠">
      <formula>NOT(ISERROR(SEARCH("欠",T1200)))</formula>
    </cfRule>
    <cfRule type="cellIs" dxfId="0" priority="2243" operator="equal">
      <formula>"欠"</formula>
    </cfRule>
  </conditionalFormatting>
  <conditionalFormatting sqref="T1204:U1205">
    <cfRule type="containsText" dxfId="0" priority="992" operator="between" text="欠">
      <formula>NOT(ISERROR(SEARCH("欠",T1204)))</formula>
    </cfRule>
    <cfRule type="containsText" dxfId="2" priority="1004" operator="between" text="欠">
      <formula>NOT(ISERROR(SEARCH("欠",T1204)))</formula>
    </cfRule>
    <cfRule type="cellIs" dxfId="0" priority="1007" operator="equal">
      <formula>"欠"</formula>
    </cfRule>
  </conditionalFormatting>
  <conditionalFormatting sqref="T1209:U1211">
    <cfRule type="containsText" dxfId="0" priority="848" operator="between" text="欠">
      <formula>NOT(ISERROR(SEARCH("欠",T1209)))</formula>
    </cfRule>
    <cfRule type="containsText" dxfId="2" priority="896" operator="between" text="欠">
      <formula>NOT(ISERROR(SEARCH("欠",T1209)))</formula>
    </cfRule>
    <cfRule type="cellIs" dxfId="0" priority="908" operator="equal">
      <formula>"欠"</formula>
    </cfRule>
  </conditionalFormatting>
  <conditionalFormatting sqref="T1238:U1238 T1241:U1242 T1269:U1269 T1273:U1273">
    <cfRule type="containsText" dxfId="0" priority="1017" operator="between" text="欠">
      <formula>NOT(ISERROR(SEARCH("欠",T1238)))</formula>
    </cfRule>
    <cfRule type="cellIs" dxfId="0" priority="1018" operator="equal">
      <formula>"欠"</formula>
    </cfRule>
  </conditionalFormatting>
  <conditionalFormatting sqref="S1243:S1244 S1283:S1284">
    <cfRule type="cellIs" dxfId="0" priority="2002" operator="equal">
      <formula>"欠"</formula>
    </cfRule>
  </conditionalFormatting>
  <conditionalFormatting sqref="T1243:U1244">
    <cfRule type="containsText" dxfId="0" priority="1998" operator="between" text="欠">
      <formula>NOT(ISERROR(SEARCH("欠",T1243)))</formula>
    </cfRule>
    <cfRule type="containsText" dxfId="2" priority="2000" operator="between" text="欠">
      <formula>NOT(ISERROR(SEARCH("欠",T1243)))</formula>
    </cfRule>
    <cfRule type="cellIs" dxfId="0" priority="2001" operator="equal">
      <formula>"欠"</formula>
    </cfRule>
  </conditionalFormatting>
  <conditionalFormatting sqref="S1253 S1371">
    <cfRule type="cellIs" dxfId="0" priority="3398" operator="equal">
      <formula>"欠"</formula>
    </cfRule>
  </conditionalFormatting>
  <conditionalFormatting sqref="R1254:R1255 R1369:R1370">
    <cfRule type="containsText" dxfId="0" priority="1466" operator="between" text="欠">
      <formula>NOT(ISERROR(SEARCH("欠",R1254)))</formula>
    </cfRule>
    <cfRule type="cellIs" dxfId="0" priority="1505" operator="equal">
      <formula>"欠"</formula>
    </cfRule>
  </conditionalFormatting>
  <conditionalFormatting sqref="T1254:U1255 T1369:U1370">
    <cfRule type="containsText" dxfId="0" priority="1479" operator="between" text="欠">
      <formula>NOT(ISERROR(SEARCH("欠",T1254)))</formula>
    </cfRule>
    <cfRule type="containsText" dxfId="2" priority="1531" operator="between" text="欠">
      <formula>NOT(ISERROR(SEARCH("欠",T1254)))</formula>
    </cfRule>
    <cfRule type="cellIs" dxfId="0" priority="1544" operator="equal">
      <formula>"欠"</formula>
    </cfRule>
  </conditionalFormatting>
  <conditionalFormatting sqref="T1255:U1260 T1292:U1293 U1360 T1364:U1364 T1375:U1389 U1392 T1410:U1415 T1450:T1451">
    <cfRule type="containsText" dxfId="0" priority="188" operator="between" text="欠">
      <formula>NOT(ISERROR(SEARCH("欠",T1255)))</formula>
    </cfRule>
    <cfRule type="containsText" dxfId="2" priority="190" operator="between" text="欠">
      <formula>NOT(ISERROR(SEARCH("欠",T1255)))</formula>
    </cfRule>
    <cfRule type="cellIs" dxfId="0" priority="192" operator="equal">
      <formula>"欠"</formula>
    </cfRule>
  </conditionalFormatting>
  <conditionalFormatting sqref="S1256 S1474">
    <cfRule type="cellIs" dxfId="0" priority="4321" operator="equal">
      <formula>"欠"</formula>
    </cfRule>
  </conditionalFormatting>
  <conditionalFormatting sqref="AL1266 AL1361:AL1362 AL1367 AL1480">
    <cfRule type="cellIs" dxfId="0" priority="131" operator="equal">
      <formula>"欠"</formula>
    </cfRule>
  </conditionalFormatting>
  <conditionalFormatting sqref="R1276 R1314">
    <cfRule type="containsText" dxfId="0" priority="842" operator="between" text="欠">
      <formula>NOT(ISERROR(SEARCH("欠",R1276)))</formula>
    </cfRule>
    <cfRule type="cellIs" dxfId="0" priority="878" operator="equal">
      <formula>"欠"</formula>
    </cfRule>
  </conditionalFormatting>
  <conditionalFormatting sqref="S1276 S1314 S1488 S1526 S1531">
    <cfRule type="cellIs" dxfId="0" priority="926" operator="equal">
      <formula>"欠"</formula>
    </cfRule>
  </conditionalFormatting>
  <conditionalFormatting sqref="T1276:U1276 T1314:U1314">
    <cfRule type="containsText" dxfId="0" priority="854" operator="between" text="欠">
      <formula>NOT(ISERROR(SEARCH("欠",T1276)))</formula>
    </cfRule>
    <cfRule type="containsText" dxfId="2" priority="902" operator="between" text="欠">
      <formula>NOT(ISERROR(SEARCH("欠",T1276)))</formula>
    </cfRule>
    <cfRule type="cellIs" dxfId="0" priority="914" operator="equal">
      <formula>"欠"</formula>
    </cfRule>
  </conditionalFormatting>
  <conditionalFormatting sqref="T1277:U1277 T1355:U1355">
    <cfRule type="containsText" dxfId="0" priority="242" operator="between" text="欠">
      <formula>NOT(ISERROR(SEARCH("欠",T1277)))</formula>
    </cfRule>
    <cfRule type="containsText" dxfId="2" priority="246" operator="between" text="欠">
      <formula>NOT(ISERROR(SEARCH("欠",T1277)))</formula>
    </cfRule>
    <cfRule type="cellIs" dxfId="0" priority="247" operator="equal">
      <formula>"欠"</formula>
    </cfRule>
  </conditionalFormatting>
  <conditionalFormatting sqref="T1278:U1279">
    <cfRule type="containsText" dxfId="0" priority="554" operator="between" text="欠">
      <formula>NOT(ISERROR(SEARCH("欠",T1278)))</formula>
    </cfRule>
    <cfRule type="containsText" dxfId="2" priority="556" operator="between" text="欠">
      <formula>NOT(ISERROR(SEARCH("欠",T1278)))</formula>
    </cfRule>
    <cfRule type="cellIs" dxfId="0" priority="557" operator="equal">
      <formula>"欠"</formula>
    </cfRule>
  </conditionalFormatting>
  <conditionalFormatting sqref="V1280:V1281 V1296 V1312:V1333 V1335:V1344 V1346:V1446 V1452:V1453">
    <cfRule type="containsText" dxfId="0" priority="543" operator="between" text="欠">
      <formula>NOT(ISERROR(SEARCH("欠",V1280)))</formula>
    </cfRule>
    <cfRule type="cellIs" dxfId="0" priority="544" operator="equal">
      <formula>"欠"</formula>
    </cfRule>
  </conditionalFormatting>
  <conditionalFormatting sqref="R1290 R1364">
    <cfRule type="containsText" dxfId="0" priority="400" operator="between" text="欠">
      <formula>NOT(ISERROR(SEARCH("欠",R1290)))</formula>
    </cfRule>
    <cfRule type="cellIs" dxfId="0" priority="403" operator="equal">
      <formula>"欠"</formula>
    </cfRule>
  </conditionalFormatting>
  <conditionalFormatting sqref="S1290 S1364">
    <cfRule type="cellIs" dxfId="0" priority="407" operator="equal">
      <formula>"欠"</formula>
    </cfRule>
  </conditionalFormatting>
  <conditionalFormatting sqref="T1290:U1290 T1364:U1364">
    <cfRule type="containsText" dxfId="0" priority="401" operator="between" text="欠">
      <formula>NOT(ISERROR(SEARCH("欠",T1290)))</formula>
    </cfRule>
    <cfRule type="containsText" dxfId="2" priority="405" operator="between" text="欠">
      <formula>NOT(ISERROR(SEARCH("欠",T1290)))</formula>
    </cfRule>
    <cfRule type="cellIs" dxfId="0" priority="406" operator="equal">
      <formula>"欠"</formula>
    </cfRule>
  </conditionalFormatting>
  <conditionalFormatting sqref="AK1290 AK1364">
    <cfRule type="cellIs" dxfId="1" priority="397" operator="equal">
      <formula>"未完成"</formula>
    </cfRule>
    <cfRule type="cellIs" dxfId="0" priority="398" operator="equal">
      <formula>"未完成"</formula>
    </cfRule>
  </conditionalFormatting>
  <conditionalFormatting sqref="AL1290 AL1364">
    <cfRule type="cellIs" dxfId="0" priority="396" operator="equal">
      <formula>"欠"</formula>
    </cfRule>
  </conditionalFormatting>
  <conditionalFormatting sqref="S1294:S1295 S1309:S1323 S1326:S1357 S1360:S1371 S1374:S1386 S1390 S1396:S1397 S1400:S1413 S1415:S1425 S1428 S1430:S1447 S1453:S1454 S1456:S1458 S1461 S1464 S1467:S1471 S1475 S1490 S1496:S1498 S1507:S1509 S1528 S1533 S1535:S1536">
    <cfRule type="cellIs" dxfId="0" priority="744" operator="equal">
      <formula>"欠"</formula>
    </cfRule>
  </conditionalFormatting>
  <conditionalFormatting sqref="T1294:U1296 T1310:U1325 T1330:U1372 U1377 U1380:U1385 T1386:U1391 T1392 T1393:U1396 T1400:U1426 T1428:U1447 T1453:T1454 T1458 U1460 T1463:U1463 T1466:T1471 T1474 T1480 T1501:T1502 T1506:T1508 T1512:T1513 T1519">
    <cfRule type="containsText" dxfId="0" priority="541" operator="between" text="欠">
      <formula>NOT(ISERROR(SEARCH("欠",T1294)))</formula>
    </cfRule>
    <cfRule type="cellIs" dxfId="0" priority="542" operator="equal">
      <formula>"欠"</formula>
    </cfRule>
  </conditionalFormatting>
  <conditionalFormatting sqref="R1296:R1298 R1352:R1354">
    <cfRule type="containsText" dxfId="0" priority="364" operator="between" text="欠">
      <formula>NOT(ISERROR(SEARCH("欠",R1296)))</formula>
    </cfRule>
    <cfRule type="cellIs" dxfId="0" priority="365" operator="equal">
      <formula>"欠"</formula>
    </cfRule>
  </conditionalFormatting>
  <conditionalFormatting sqref="S1296:S1298 S1352:S1354">
    <cfRule type="cellIs" dxfId="0" priority="359" operator="equal">
      <formula>"欠"</formula>
    </cfRule>
  </conditionalFormatting>
  <conditionalFormatting sqref="T1296:U1298 T1352:U1354">
    <cfRule type="containsText" dxfId="0" priority="357" operator="between" text="欠">
      <formula>NOT(ISERROR(SEARCH("欠",T1296)))</formula>
    </cfRule>
    <cfRule type="cellIs" dxfId="0" priority="358" operator="equal">
      <formula>"欠"</formula>
    </cfRule>
  </conditionalFormatting>
  <conditionalFormatting sqref="T1299:U1311">
    <cfRule type="containsText" dxfId="0" priority="49" operator="between" text="欠">
      <formula>NOT(ISERROR(SEARCH("欠",T1299)))</formula>
    </cfRule>
    <cfRule type="containsText" dxfId="2" priority="50" operator="between" text="欠">
      <formula>NOT(ISERROR(SEARCH("欠",T1299)))</formula>
    </cfRule>
    <cfRule type="cellIs" dxfId="0" priority="51" operator="equal">
      <formula>"欠"</formula>
    </cfRule>
  </conditionalFormatting>
  <conditionalFormatting sqref="R1308:R1315 R1317:R1333 R1339:R1386 R1389:R1446">
    <cfRule type="containsText" dxfId="0" priority="674" operator="between" text="欠">
      <formula>NOT(ISERROR(SEARCH("欠",R1308)))</formula>
    </cfRule>
    <cfRule type="cellIs" dxfId="0" priority="704" operator="equal">
      <formula>"欠"</formula>
    </cfRule>
  </conditionalFormatting>
  <conditionalFormatting sqref="Q1318:Q1344 Q1346:Q1446">
    <cfRule type="cellIs" dxfId="0" priority="663" operator="equal">
      <formula>"欠"</formula>
    </cfRule>
  </conditionalFormatting>
  <conditionalFormatting sqref="AH1318:AH1344 AH1346:AH1446">
    <cfRule type="cellIs" dxfId="0" priority="613" operator="equal">
      <formula>"未完成"</formula>
    </cfRule>
  </conditionalFormatting>
  <conditionalFormatting sqref="AK1318:AK1344 AK1346:AK1355 AK1357:AK1446">
    <cfRule type="cellIs" dxfId="1" priority="643" operator="equal">
      <formula>"未完成"</formula>
    </cfRule>
    <cfRule type="cellIs" dxfId="0" priority="653" operator="equal">
      <formula>"未完成"</formula>
    </cfRule>
  </conditionalFormatting>
  <conditionalFormatting sqref="AL1318:AL1343 AL1351:AL1373 AL1375:AL1384 AL1387:AL1420 AL1422:AL1445">
    <cfRule type="cellIs" dxfId="0" priority="633" operator="equal">
      <formula>"欠"</formula>
    </cfRule>
  </conditionalFormatting>
  <conditionalFormatting sqref="U1323 T1331:U1336 U1367 U1400 T1401:U1404 T1417:U1425 T1430 T1431:U1431 T1432:T1434 T1436:U1439 T1440 T1441:U1443 U1444 T1445:U1450 T1457:T1458 T1459:U1463 U1465:U1469 T1470:U1471 U1472:U1473 T1474 T1476:U1477 T1518">
    <cfRule type="containsText" dxfId="0" priority="1067" operator="between" text="欠">
      <formula>NOT(ISERROR(SEARCH("欠",T1323)))</formula>
    </cfRule>
    <cfRule type="containsText" dxfId="2" priority="1087" operator="between" text="欠">
      <formula>NOT(ISERROR(SEARCH("欠",T1323)))</formula>
    </cfRule>
    <cfRule type="cellIs" dxfId="0" priority="1092" operator="equal">
      <formula>"欠"</formula>
    </cfRule>
  </conditionalFormatting>
  <conditionalFormatting sqref="S1325:S1326 S1373:S1374 S1387 S1431:S1432 S1496:S1498 S1535:S1536">
    <cfRule type="cellIs" dxfId="0" priority="1095" operator="equal">
      <formula>"欠"</formula>
    </cfRule>
  </conditionalFormatting>
  <conditionalFormatting sqref="S1327 S1507">
    <cfRule type="cellIs" dxfId="0" priority="932" operator="equal">
      <formula>"欠"</formula>
    </cfRule>
  </conditionalFormatting>
  <conditionalFormatting sqref="R1333 T1333:U1333 T1404:U1405">
    <cfRule type="containsText" dxfId="0" priority="40" operator="between" text="欠">
      <formula>NOT(ISERROR(SEARCH("欠",R1333)))</formula>
    </cfRule>
  </conditionalFormatting>
  <conditionalFormatting sqref="T1333:U1333 T1404:U1405">
    <cfRule type="containsText" dxfId="3" priority="22" operator="between" text="欠">
      <formula>NOT(ISERROR(SEARCH("欠",T1333)))</formula>
    </cfRule>
    <cfRule type="containsText" dxfId="0" priority="30" operator="between" text="欠">
      <formula>NOT(ISERROR(SEARCH("欠",T1333)))</formula>
    </cfRule>
    <cfRule type="cellIs" dxfId="0" priority="32" operator="equal">
      <formula>"欠"</formula>
    </cfRule>
  </conditionalFormatting>
  <conditionalFormatting sqref="R1334:R1336 R1348:R1360 R1362:R1409 R1411:R1445">
    <cfRule type="containsText" dxfId="0" priority="598" operator="between" text="欠">
      <formula>NOT(ISERROR(SEARCH("欠",R1334)))</formula>
    </cfRule>
    <cfRule type="cellIs" dxfId="0" priority="602" operator="equal">
      <formula>"欠"</formula>
    </cfRule>
  </conditionalFormatting>
  <conditionalFormatting sqref="T1334:U1335 T1348:U1351 U1352:U1353 T1354:U1360 T1362:U1381 U1382 T1383:U1396 T1397 T1399:U1403 T1404 T1406:U1424 T1427:U1446 T1452:T1453 T1458:U1458 T1462:U1462 T1466:T1471 T1474 T1480">
    <cfRule type="containsText" dxfId="0" priority="586" operator="between" text="欠">
      <formula>NOT(ISERROR(SEARCH("欠",T1334)))</formula>
    </cfRule>
    <cfRule type="containsText" dxfId="2" priority="590" operator="between" text="欠">
      <formula>NOT(ISERROR(SEARCH("欠",T1334)))</formula>
    </cfRule>
    <cfRule type="cellIs" dxfId="0" priority="594" operator="equal">
      <formula>"欠"</formula>
    </cfRule>
  </conditionalFormatting>
  <conditionalFormatting sqref="T1339:U1339 T1471:U1471 T1499:U1499">
    <cfRule type="containsText" dxfId="0" priority="228" operator="between" text="欠">
      <formula>NOT(ISERROR(SEARCH("欠",T1339)))</formula>
    </cfRule>
    <cfRule type="containsText" dxfId="2" priority="232" operator="between" text="欠">
      <formula>NOT(ISERROR(SEARCH("欠",T1339)))</formula>
    </cfRule>
    <cfRule type="cellIs" dxfId="0" priority="233" operator="equal">
      <formula>"欠"</formula>
    </cfRule>
  </conditionalFormatting>
  <conditionalFormatting sqref="S1352 S1354:S1362 S1364:S1372 S1374:S1382 S1385 S1387:S1391 S1394:S1398 S1404:S1408 S1410:S1412 S1415:S1420 S1436:S1438 S1446:S1447 S1449:S1454 S1458:S1462 S1465:S1469 S1473 S1480 S1485:S1487 S1490 S1505:S1506 S1536">
    <cfRule type="cellIs" dxfId="0" priority="606" operator="equal">
      <formula>"欠"</formula>
    </cfRule>
  </conditionalFormatting>
  <conditionalFormatting sqref="T1357:U1363">
    <cfRule type="containsText" dxfId="0" priority="373" operator="between" text="欠">
      <formula>NOT(ISERROR(SEARCH("欠",T1357)))</formula>
    </cfRule>
    <cfRule type="containsText" dxfId="2" priority="377" operator="between" text="欠">
      <formula>NOT(ISERROR(SEARCH("欠",T1357)))</formula>
    </cfRule>
    <cfRule type="cellIs" dxfId="0" priority="378" operator="equal">
      <formula>"欠"</formula>
    </cfRule>
  </conditionalFormatting>
  <conditionalFormatting sqref="V1357:V1363 V1393:V1395">
    <cfRule type="cellIs" dxfId="0" priority="367" operator="equal">
      <formula>"欠"</formula>
    </cfRule>
  </conditionalFormatting>
  <conditionalFormatting sqref="R1360 R1446">
    <cfRule type="containsText" dxfId="0" priority="213" operator="between" text="欠">
      <formula>NOT(ISERROR(SEARCH("欠",R1360)))</formula>
    </cfRule>
    <cfRule type="cellIs" dxfId="0" priority="216" operator="equal">
      <formula>"欠"</formula>
    </cfRule>
  </conditionalFormatting>
  <conditionalFormatting sqref="V1371 V1396:V1398">
    <cfRule type="cellIs" dxfId="0" priority="777" operator="equal">
      <formula>"欠"</formula>
    </cfRule>
  </conditionalFormatting>
  <conditionalFormatting sqref="T1375:U1387 T1451:T1452">
    <cfRule type="containsText" dxfId="0" priority="1065" operator="between" text="欠">
      <formula>NOT(ISERROR(SEARCH("欠",T1375)))</formula>
    </cfRule>
    <cfRule type="containsText" dxfId="2" priority="1085" operator="between" text="欠">
      <formula>NOT(ISERROR(SEARCH("欠",T1375)))</formula>
    </cfRule>
    <cfRule type="cellIs" dxfId="0" priority="1090" operator="equal">
      <formula>"欠"</formula>
    </cfRule>
  </conditionalFormatting>
  <conditionalFormatting sqref="V1377:V1389 V1401 V1451:V1452">
    <cfRule type="cellIs" dxfId="0" priority="1034" operator="equal">
      <formula>"欠"</formula>
    </cfRule>
  </conditionalFormatting>
  <conditionalFormatting sqref="T1401:U1402">
    <cfRule type="containsText" dxfId="0" priority="2102" operator="between" text="欠">
      <formula>NOT(ISERROR(SEARCH("欠",T1401)))</formula>
    </cfRule>
    <cfRule type="containsText" dxfId="2" priority="2150" operator="between" text="欠">
      <formula>NOT(ISERROR(SEARCH("欠",T1401)))</formula>
    </cfRule>
    <cfRule type="cellIs" dxfId="0" priority="2162" operator="equal">
      <formula>"欠"</formula>
    </cfRule>
  </conditionalFormatting>
  <conditionalFormatting sqref="R1447:R1449 T1447:U1449 R1450 T1450:U1450 R1451 T1451:U1452 T1456:U1456 U1457 T1458:U1464 U1465:U1469 T1470:U1472 U1473 T1474:U1478 U1479 T1480:U1499 U1500 T1501:U1527 T1533:T1534">
    <cfRule type="containsText" dxfId="0" priority="20" operator="between" text="欠">
      <formula>NOT(ISERROR(SEARCH("欠",R1447)))</formula>
    </cfRule>
  </conditionalFormatting>
  <conditionalFormatting sqref="R1448:R1527 R1533:R1534">
    <cfRule type="containsText" dxfId="3" priority="3" operator="between" text="欠">
      <formula>NOT(ISERROR(SEARCH("欠",R1448)))</formula>
    </cfRule>
    <cfRule type="containsText" dxfId="0" priority="8" operator="between" text="欠">
      <formula>NOT(ISERROR(SEARCH("欠",R1448)))</formula>
    </cfRule>
    <cfRule type="cellIs" dxfId="0" priority="9" operator="equal">
      <formula>"欠"</formula>
    </cfRule>
  </conditionalFormatting>
  <conditionalFormatting sqref="S1448:S1449 S1451:S1453 S1456 S1461:S1462 S1464:S1469 S1472:S1473 S1475:S1481 S1483 S1485:S1487 S1490:S1493 S1496:S1499 S1501:S1502 S1504:S1506 S1508:S1509 S1512:S1514 S1516:S1518 S1521 S1528:S1530">
    <cfRule type="cellIs" dxfId="0" priority="11" operator="equal">
      <formula>"欠"</formula>
    </cfRule>
  </conditionalFormatting>
  <conditionalFormatting sqref="T1448:U1453 U1454:U1455 T1456:U1456 U1457 T1458:U1459 T1460 T1461:U1462 T1471:U1472 U1473:U1474 T1475:U1477 U1478:U1479 T1480:U1499 U1500 T1501:U1514 U1515 T1516:U1527 T1533:T1534">
    <cfRule type="containsText" dxfId="3" priority="2" operator="between" text="欠">
      <formula>NOT(ISERROR(SEARCH("欠",T1448)))</formula>
    </cfRule>
    <cfRule type="containsText" dxfId="0" priority="10" operator="between" text="欠">
      <formula>NOT(ISERROR(SEARCH("欠",T1448)))</formula>
    </cfRule>
    <cfRule type="cellIs" dxfId="0" priority="12" operator="equal">
      <formula>"欠"</formula>
    </cfRule>
  </conditionalFormatting>
  <conditionalFormatting sqref="V1448:V1450 V1453:V1527">
    <cfRule type="cellIs" dxfId="0" priority="14" operator="equal">
      <formula>"欠"</formula>
    </cfRule>
  </conditionalFormatting>
  <conditionalFormatting sqref="AJ1448:AJ1527 AJ1533:AJ1534">
    <cfRule type="cellIs" dxfId="0" priority="19" operator="equal">
      <formula>"未完成"</formula>
    </cfRule>
  </conditionalFormatting>
  <conditionalFormatting sqref="S1506:S1509 S1511 S1514:S1522 S1524:S1526 S1528 S1534 S1537:S1538">
    <cfRule type="cellIs" dxfId="0" priority="13691" operator="equal">
      <formula>"欠"</formula>
    </cfRule>
  </conditionalFormatting>
  <conditionalFormatting sqref="AJ1506:AJ1509 AJ1514:AJ1517 AJ1519:AJ1520 AJ1522 AJ1530:AJ1534 AJ1537:AJ1540">
    <cfRule type="cellIs" dxfId="1" priority="12836" operator="equal">
      <formula>"未完成"</formula>
    </cfRule>
    <cfRule type="cellIs" dxfId="0" priority="12841" operator="equal">
      <formula>"未完成"</formula>
    </cfRule>
  </conditionalFormatting>
  <conditionalFormatting sqref="R1540 T1540:W1540">
    <cfRule type="cellIs" dxfId="0" priority="13723" operator="equal">
      <formula>"欠"</formula>
    </cfRule>
  </conditionalFormatting>
  <dataValidations count="1">
    <dataValidation type="list" allowBlank="1" showInputMessage="1" showErrorMessage="1" sqref="AF271:AH271 AG623 AI847 AH852 AG857:AH857 AG858 AG887 AH910 AG1122 AG1129 AH1201 AG1256 AG1543:AH1543 AG588:AG589 AG591:AG593 AG613:AG615 AG630:AG631 AG635:AG661 AG663:AG691 AG693:AG706 AG709:AG713 AG716:AG722 AG726:AG730 AG807:AG808 AG812:AG817 AG819:AG840 AG849:AG851 AG862:AG864 AG868:AG869 AG896:AG910 AG917:AG996 AG998:AG999 AG1001:AG1006 AG1008:AG1018 AG1020:AG1046 AG1048:AG1075 AG1077:AG1102 AG1539:AG1542 AH845:AH848 AH854:AH856 AH1544:AH1547 AG2:AH19 AG21:AH270 AG272:AH420 AG423:AH451 AG456:AH457 AG714:AH715 AG513:AH514 AG707:AH708 AG723:AH725 AG731:AH764 AG766:AH806 AG809:AH811 AG841:AH844 AG859:AH861 AG865:AH867 AG870:AH886 AG888:AH895 AG911:AH916 AG1103:AH1121 AG1123:AH1128 AG1130:AH1200 AG1202:AH1255 AG1257:AH1332 AG1334:AH1365 AG1367:AH1379 AG1381:AH1385 AG1387:AH1429 AG1431:AH1436 AG1438:AH1538 AG1548:AH1048576">
      <formula1>"未完成,已完成,OK"</formula1>
    </dataValidation>
  </dataValidations>
  <hyperlinks>
    <hyperlink ref="Y513" r:id="rId3" display="Candy@zuru.com"/>
  </hyperlinks>
  <pageMargins left="0.0784722222222222" right="0.118055555555556" top="0.196527777777778" bottom="0.196527777777778" header="0.156944444444444" footer="0.0784722222222222"/>
  <pageSetup paperSize="9" scale="49" orientation="landscape" horizontalDpi="600"/>
  <headerFooter/>
  <ignoredErrors>
    <ignoredError sqref="E1485:E1491 E1478:E1481 E1483 D1403:E1414 E1397:E1400 D1397:D1401 D1389:E1395 E1313:E1314 E1316:E1330 E1337:E1343 D1341 E1351:E1354 D1351:D1355 E1371 E1365 D1346:E1350 D1344:E1344 D1475:D1480 D1303:D1321 D1281:D1282 D1275:D1278 E1275 D1254:D1255 D1271:E1271 E1282 D1295:D1301 D1260:E1260 D1261 D1263 D1284:E1284 D1292:E1292 D1490:D1491 D1492:E1494 D1455:E1455 D1456:D1460 D1461:E1463 D1464 D1442:D1445 D1362 D1364:D1365 D1368:D1371 D1372:E1386 E1511 D1507:E1507 E1501:E1502 E1522:E1524 E1529:E1530 E1519:E1520 D1498:E1498 E1473:E1476 D1465:E1471 D1446:E1450 D1438 E1429:E1434 D1418:E1425" numberStoredAsText="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I2198"/>
  <sheetViews>
    <sheetView tabSelected="1" zoomScale="70" zoomScaleNormal="70" workbookViewId="0">
      <pane xSplit="14" ySplit="1" topLeftCell="O788" activePane="bottomRight" state="frozen"/>
      <selection/>
      <selection pane="topRight"/>
      <selection pane="bottomLeft"/>
      <selection pane="bottomRight" activeCell="D788" sqref="D788"/>
    </sheetView>
  </sheetViews>
  <sheetFormatPr defaultColWidth="9" defaultRowHeight="13.5"/>
  <cols>
    <col min="1" max="1" width="17.35" style="569" customWidth="1"/>
    <col min="2" max="2" width="14.1333333333333" style="547" customWidth="1"/>
    <col min="3" max="3" width="11.0583333333333" style="547" customWidth="1"/>
    <col min="4" max="4" width="14.7583333333333" style="547" customWidth="1"/>
    <col min="5" max="5" width="15.175" style="570" customWidth="1"/>
    <col min="6" max="6" width="16.8916666666667" style="547" customWidth="1"/>
    <col min="7" max="7" width="22.8916666666667" style="547" customWidth="1"/>
    <col min="8" max="8" width="13.75" style="547" customWidth="1"/>
    <col min="9" max="9" width="7.75" style="547" customWidth="1"/>
    <col min="10" max="10" width="6.75" style="547" customWidth="1"/>
    <col min="11" max="11" width="9.2" style="547" customWidth="1"/>
    <col min="12" max="12" width="6.525" style="547" customWidth="1"/>
    <col min="13" max="13" width="23.0166666666667" style="547" customWidth="1"/>
    <col min="14" max="14" width="20.6416666666667" style="547" customWidth="1"/>
    <col min="15" max="15" width="11.9416666666667" style="547" customWidth="1"/>
    <col min="16" max="16" width="15.35" style="547" customWidth="1"/>
    <col min="17" max="17" width="14.6083333333333" style="547" customWidth="1"/>
    <col min="18" max="18" width="13.1833333333333" style="547" customWidth="1"/>
    <col min="19" max="19" width="9.55833333333333" style="547" customWidth="1"/>
    <col min="20" max="21" width="11.5916666666667" style="570" customWidth="1"/>
    <col min="22" max="22" width="11.5916666666667" style="547" customWidth="1"/>
    <col min="23" max="23" width="9" style="570"/>
    <col min="24" max="24" width="37.1333333333333" style="547" customWidth="1"/>
    <col min="25" max="25" width="12.2583333333333" style="547" customWidth="1"/>
    <col min="26" max="26" width="12.675" style="571" customWidth="1"/>
    <col min="27" max="27" width="10.55" style="572" customWidth="1"/>
    <col min="28" max="28" width="9" style="570"/>
    <col min="29" max="29" width="11.5833333333333" style="550" customWidth="1"/>
    <col min="30" max="30" width="17.5916666666667" style="573" customWidth="1"/>
    <col min="31" max="31" width="9.99166666666667" style="550" customWidth="1"/>
    <col min="32" max="32" width="12.225" style="550" customWidth="1"/>
    <col min="33" max="34" width="11.0583333333333" style="547" customWidth="1"/>
    <col min="35" max="35" width="10.35" style="574" customWidth="1"/>
    <col min="36" max="36" width="8.96666666666667" style="574" customWidth="1"/>
    <col min="37" max="37" width="8.94166666666667" style="575" customWidth="1"/>
    <col min="38" max="38" width="7.85833333333333" style="553" customWidth="1"/>
    <col min="39" max="39" width="6.6" style="575" customWidth="1"/>
    <col min="40" max="43" width="9" style="547" customWidth="1"/>
    <col min="44" max="44" width="11.8916666666667" style="576"/>
    <col min="45" max="48" width="9" style="547" customWidth="1"/>
    <col min="49" max="49" width="9.94166666666667" style="576" customWidth="1"/>
    <col min="50" max="50" width="9" style="547" customWidth="1"/>
    <col min="51" max="51" width="10.9416666666667" style="547" customWidth="1"/>
    <col min="52" max="53" width="9" style="547" customWidth="1"/>
    <col min="54" max="54" width="9" style="577" customWidth="1"/>
    <col min="55" max="58" width="9" style="547" customWidth="1"/>
    <col min="59" max="59" width="9" style="547"/>
    <col min="60" max="63" width="9" style="547" customWidth="1"/>
    <col min="64" max="64" width="10.7166666666667" style="547" customWidth="1"/>
    <col min="65" max="65" width="12.6083333333333" style="547" customWidth="1"/>
    <col min="66" max="68" width="11.5916666666667" style="547" customWidth="1"/>
    <col min="69" max="76" width="10.9416666666667" style="547" customWidth="1"/>
    <col min="77" max="77" width="11.2666666666667" style="576" customWidth="1"/>
    <col min="78" max="78" width="10.9416666666667" style="547" customWidth="1"/>
    <col min="79" max="79" width="9.38333333333333" style="576"/>
    <col min="80" max="80" width="10.25" style="570" customWidth="1"/>
    <col min="81" max="83" width="9.38333333333333" style="576"/>
    <col min="84" max="85" width="10.9416666666667" style="547" customWidth="1"/>
    <col min="86" max="86" width="9" style="547"/>
    <col min="87" max="89" width="9" style="547" customWidth="1"/>
    <col min="90" max="90" width="11.8916666666667" style="547"/>
    <col min="91" max="97" width="9" style="547"/>
    <col min="98" max="101" width="11.8916666666667" style="547"/>
    <col min="102" max="104" width="10.65" style="576" customWidth="1"/>
    <col min="105" max="106" width="10.65" style="547" customWidth="1"/>
    <col min="107" max="107" width="13.55" style="547"/>
    <col min="108" max="109" width="9" style="576"/>
    <col min="110" max="110" width="11.8916666666667" style="576"/>
    <col min="111" max="111" width="10.3833333333333" style="576"/>
    <col min="112" max="112" width="9" style="576"/>
    <col min="113" max="16384" width="9" style="547"/>
  </cols>
  <sheetData>
    <row r="1" s="547" customFormat="1" ht="56" customHeight="1" spans="1:112">
      <c r="A1" s="578" t="s">
        <v>0</v>
      </c>
      <c r="B1" s="579" t="s">
        <v>1</v>
      </c>
      <c r="C1" s="579" t="s">
        <v>2</v>
      </c>
      <c r="D1" s="579" t="s">
        <v>3</v>
      </c>
      <c r="E1" s="580" t="s">
        <v>4</v>
      </c>
      <c r="F1" s="580" t="s">
        <v>5</v>
      </c>
      <c r="G1" s="579" t="s">
        <v>6</v>
      </c>
      <c r="H1" s="579" t="s">
        <v>7</v>
      </c>
      <c r="I1" s="579" t="s">
        <v>8</v>
      </c>
      <c r="J1" s="579" t="s">
        <v>9</v>
      </c>
      <c r="K1" s="579" t="s">
        <v>10</v>
      </c>
      <c r="L1" s="579" t="s">
        <v>11</v>
      </c>
      <c r="M1" s="581" t="s">
        <v>12</v>
      </c>
      <c r="N1" s="581" t="s">
        <v>13</v>
      </c>
      <c r="O1" s="582" t="s">
        <v>14</v>
      </c>
      <c r="P1" s="582" t="s">
        <v>15</v>
      </c>
      <c r="Q1" s="579" t="s">
        <v>16</v>
      </c>
      <c r="R1" s="583" t="s">
        <v>17</v>
      </c>
      <c r="S1" s="583" t="s">
        <v>18</v>
      </c>
      <c r="T1" s="583" t="s">
        <v>19</v>
      </c>
      <c r="U1" s="584" t="s">
        <v>20</v>
      </c>
      <c r="V1" s="583" t="s">
        <v>5955</v>
      </c>
      <c r="W1" s="585" t="s">
        <v>5956</v>
      </c>
      <c r="X1" s="586" t="s">
        <v>23</v>
      </c>
      <c r="Y1" s="579" t="s">
        <v>24</v>
      </c>
      <c r="Z1" s="587" t="s">
        <v>25</v>
      </c>
      <c r="AA1" s="587" t="s">
        <v>26</v>
      </c>
      <c r="AB1" s="588" t="s">
        <v>27</v>
      </c>
      <c r="AC1" s="589" t="s">
        <v>28</v>
      </c>
      <c r="AD1" s="589" t="s">
        <v>29</v>
      </c>
      <c r="AE1" s="582" t="s">
        <v>30</v>
      </c>
      <c r="AF1" s="582" t="s">
        <v>31</v>
      </c>
      <c r="AG1" s="582" t="s">
        <v>32</v>
      </c>
      <c r="AH1" s="582" t="s">
        <v>33</v>
      </c>
      <c r="AI1" s="590" t="s">
        <v>34</v>
      </c>
      <c r="AJ1" s="590" t="s">
        <v>35</v>
      </c>
      <c r="AK1" s="591" t="s">
        <v>36</v>
      </c>
      <c r="AL1" s="592" t="s">
        <v>37</v>
      </c>
      <c r="AM1" s="591" t="s">
        <v>38</v>
      </c>
      <c r="AN1" s="593" t="s">
        <v>5957</v>
      </c>
      <c r="AO1" s="593" t="s">
        <v>5958</v>
      </c>
      <c r="AP1" s="593" t="s">
        <v>5959</v>
      </c>
      <c r="AQ1" s="594" t="s">
        <v>5960</v>
      </c>
      <c r="AR1" s="594" t="s">
        <v>5961</v>
      </c>
      <c r="AS1" s="595" t="s">
        <v>5962</v>
      </c>
      <c r="AT1" s="596" t="s">
        <v>5963</v>
      </c>
      <c r="AU1" s="593" t="s">
        <v>5964</v>
      </c>
      <c r="AV1" s="596" t="s">
        <v>5965</v>
      </c>
      <c r="AW1" s="597" t="s">
        <v>5966</v>
      </c>
      <c r="AX1" s="596" t="s">
        <v>5967</v>
      </c>
      <c r="AY1" s="598" t="s">
        <v>5968</v>
      </c>
      <c r="AZ1" s="596" t="s">
        <v>5969</v>
      </c>
      <c r="BA1" s="596" t="s">
        <v>49</v>
      </c>
      <c r="BB1" s="599" t="s">
        <v>5970</v>
      </c>
      <c r="BC1" s="593" t="s">
        <v>5971</v>
      </c>
      <c r="BD1" s="598" t="s">
        <v>5972</v>
      </c>
      <c r="BE1" s="595" t="s">
        <v>5973</v>
      </c>
      <c r="BF1" s="595" t="s">
        <v>5974</v>
      </c>
      <c r="BG1" s="595" t="s">
        <v>5975</v>
      </c>
      <c r="BH1" s="595" t="s">
        <v>5976</v>
      </c>
      <c r="BI1" s="595" t="s">
        <v>5977</v>
      </c>
      <c r="BJ1" s="595" t="s">
        <v>5978</v>
      </c>
      <c r="BK1" s="593" t="s">
        <v>5979</v>
      </c>
      <c r="BL1" s="600" t="s">
        <v>5980</v>
      </c>
      <c r="BM1" s="595" t="s">
        <v>5981</v>
      </c>
      <c r="BN1" s="593" t="s">
        <v>5982</v>
      </c>
      <c r="BO1" s="600" t="s">
        <v>5983</v>
      </c>
      <c r="BP1" s="595" t="s">
        <v>5984</v>
      </c>
      <c r="BQ1" s="598" t="s">
        <v>5985</v>
      </c>
      <c r="BR1" s="598" t="s">
        <v>5986</v>
      </c>
      <c r="BS1" s="593" t="s">
        <v>5987</v>
      </c>
      <c r="BT1" s="593" t="s">
        <v>5988</v>
      </c>
      <c r="BU1" s="601" t="s">
        <v>5989</v>
      </c>
      <c r="BV1" s="601" t="s">
        <v>5990</v>
      </c>
      <c r="BW1" s="601" t="s">
        <v>5991</v>
      </c>
      <c r="BX1" s="601" t="s">
        <v>5992</v>
      </c>
      <c r="BY1" s="593" t="s">
        <v>5993</v>
      </c>
      <c r="BZ1" s="593" t="s">
        <v>5994</v>
      </c>
      <c r="CA1" s="602" t="s">
        <v>5995</v>
      </c>
      <c r="CB1" s="603" t="s">
        <v>5996</v>
      </c>
      <c r="CC1" s="604" t="s">
        <v>5997</v>
      </c>
      <c r="CD1" s="601" t="s">
        <v>5998</v>
      </c>
      <c r="CE1" s="601" t="s">
        <v>5999</v>
      </c>
      <c r="CF1" s="595" t="s">
        <v>6000</v>
      </c>
      <c r="CG1" s="598" t="s">
        <v>6001</v>
      </c>
      <c r="CH1" s="585" t="s">
        <v>6002</v>
      </c>
      <c r="CI1" s="595" t="s">
        <v>6003</v>
      </c>
      <c r="CJ1" s="595" t="s">
        <v>6004</v>
      </c>
      <c r="CK1" s="579" t="s">
        <v>6005</v>
      </c>
      <c r="CL1" s="579" t="s">
        <v>6006</v>
      </c>
      <c r="CM1" s="252" t="s">
        <v>6007</v>
      </c>
      <c r="CN1" s="252" t="s">
        <v>6008</v>
      </c>
      <c r="CO1" s="579" t="s">
        <v>6009</v>
      </c>
      <c r="CP1" s="595" t="s">
        <v>6010</v>
      </c>
      <c r="CQ1" s="595" t="s">
        <v>6011</v>
      </c>
      <c r="CR1" s="605" t="s">
        <v>6012</v>
      </c>
      <c r="CS1" s="593" t="s">
        <v>6013</v>
      </c>
      <c r="CT1" s="595" t="s">
        <v>6014</v>
      </c>
      <c r="CU1" s="601" t="s">
        <v>6015</v>
      </c>
      <c r="CV1" s="601" t="s">
        <v>6016</v>
      </c>
      <c r="CW1" s="601" t="s">
        <v>6017</v>
      </c>
      <c r="CX1" s="597"/>
      <c r="CY1" s="597"/>
      <c r="CZ1" s="597"/>
      <c r="DA1" s="593"/>
      <c r="DB1" s="593"/>
      <c r="DC1" s="605"/>
      <c r="DD1" s="606"/>
      <c r="DE1" s="597"/>
      <c r="DF1" s="597"/>
      <c r="DG1" s="597"/>
      <c r="DH1" s="607"/>
    </row>
    <row r="2" s="548" customFormat="1" ht="31" customHeight="1" spans="1:112">
      <c r="A2" s="608">
        <v>45651</v>
      </c>
      <c r="B2" s="609"/>
      <c r="C2" s="610" t="s">
        <v>6018</v>
      </c>
      <c r="D2" s="554" t="s">
        <v>6019</v>
      </c>
      <c r="E2" s="610"/>
      <c r="F2" s="548"/>
      <c r="G2" s="610" t="s">
        <v>6020</v>
      </c>
      <c r="H2" s="610" t="s">
        <v>6021</v>
      </c>
      <c r="I2" s="610">
        <v>500</v>
      </c>
      <c r="J2" s="610">
        <v>0</v>
      </c>
      <c r="K2" s="610">
        <v>24</v>
      </c>
      <c r="L2" s="611">
        <f>I2/K2</f>
        <v>20.8333333333333</v>
      </c>
      <c r="M2" s="612"/>
      <c r="N2" s="612"/>
      <c r="O2" s="613"/>
      <c r="P2" s="613"/>
      <c r="Q2" s="610"/>
      <c r="R2" s="614" t="s">
        <v>1242</v>
      </c>
      <c r="S2" s="614" t="s">
        <v>70</v>
      </c>
      <c r="T2" s="614" t="s">
        <v>70</v>
      </c>
      <c r="U2" s="614"/>
      <c r="V2" s="614"/>
      <c r="W2" s="615"/>
      <c r="X2" s="609" t="s">
        <v>6022</v>
      </c>
      <c r="Y2" s="609" t="s">
        <v>92</v>
      </c>
      <c r="Z2" s="609"/>
      <c r="AA2" s="616"/>
      <c r="AB2" s="563"/>
      <c r="AC2" s="617"/>
      <c r="AD2" s="610" t="s">
        <v>73</v>
      </c>
      <c r="AE2" s="610" t="s">
        <v>73</v>
      </c>
      <c r="AF2" s="610"/>
      <c r="AG2" s="610" t="s">
        <v>74</v>
      </c>
      <c r="AH2" s="610"/>
      <c r="AI2" s="610"/>
      <c r="AJ2" s="618">
        <f>AI2-I2</f>
        <v>-500</v>
      </c>
      <c r="AK2" s="610"/>
      <c r="AL2" s="610"/>
      <c r="AM2" s="610"/>
      <c r="AN2" s="610">
        <f>I2</f>
        <v>500</v>
      </c>
      <c r="AR2" s="619"/>
      <c r="AS2" s="548"/>
      <c r="AT2" s="548"/>
      <c r="AU2" s="548"/>
      <c r="AV2" s="548"/>
      <c r="AW2" s="619"/>
      <c r="AX2" s="548"/>
      <c r="AY2" s="548"/>
      <c r="AZ2" s="548"/>
      <c r="BA2" s="548"/>
      <c r="BB2" s="620"/>
      <c r="BC2" s="548"/>
      <c r="BD2" s="548"/>
      <c r="BE2" s="548"/>
      <c r="BF2" s="548"/>
      <c r="BY2" s="619"/>
      <c r="BZ2" s="548"/>
      <c r="CA2" s="621"/>
      <c r="CB2" s="567"/>
      <c r="CC2" s="622"/>
      <c r="CD2" s="619"/>
      <c r="CE2" s="619"/>
      <c r="CF2" s="548"/>
      <c r="CG2" s="548"/>
      <c r="CU2" s="554">
        <f>BQ2+BP2+BO2+BN2+BX2+BR2</f>
        <v>0</v>
      </c>
      <c r="CV2" s="554">
        <f>CK2+CL2+CM2+CN2+CO2+CQ2+CP2</f>
        <v>0</v>
      </c>
      <c r="CW2" s="554">
        <f>CI2+CJ2</f>
        <v>0</v>
      </c>
      <c r="CX2" s="619"/>
      <c r="CY2" s="619"/>
      <c r="CZ2" s="619"/>
      <c r="DA2" s="548"/>
      <c r="DB2" s="548"/>
      <c r="DC2" s="548"/>
      <c r="DD2" s="619"/>
      <c r="DE2" s="619"/>
      <c r="DF2" s="619"/>
      <c r="DG2" s="619"/>
      <c r="DH2" s="619"/>
    </row>
    <row r="3" s="548" customFormat="1" ht="31" customHeight="1" spans="1:112">
      <c r="A3" s="608">
        <v>45651</v>
      </c>
      <c r="B3" s="609"/>
      <c r="C3" s="610" t="s">
        <v>6018</v>
      </c>
      <c r="D3" s="554" t="s">
        <v>6019</v>
      </c>
      <c r="E3" s="610"/>
      <c r="F3" s="548"/>
      <c r="G3" s="623" t="s">
        <v>6020</v>
      </c>
      <c r="H3" s="610" t="s">
        <v>6021</v>
      </c>
      <c r="I3" s="610" t="s">
        <v>6023</v>
      </c>
      <c r="J3" s="610"/>
      <c r="K3" s="610"/>
      <c r="L3" s="611"/>
      <c r="M3" s="612"/>
      <c r="N3" s="612"/>
      <c r="O3" s="613"/>
      <c r="P3" s="613"/>
      <c r="Q3" s="610"/>
      <c r="R3" s="614" t="s">
        <v>1242</v>
      </c>
      <c r="S3" s="614" t="s">
        <v>70</v>
      </c>
      <c r="T3" s="614" t="s">
        <v>70</v>
      </c>
      <c r="U3" s="614"/>
      <c r="V3" s="614"/>
      <c r="W3" s="615"/>
      <c r="X3" s="624" t="s">
        <v>6024</v>
      </c>
      <c r="Y3" s="609" t="s">
        <v>92</v>
      </c>
      <c r="Z3" s="625"/>
      <c r="AA3" s="616"/>
      <c r="AC3" s="617"/>
      <c r="AD3" s="610" t="s">
        <v>73</v>
      </c>
      <c r="AE3" s="610" t="s">
        <v>73</v>
      </c>
      <c r="AF3" s="610"/>
      <c r="AG3" s="610" t="s">
        <v>74</v>
      </c>
      <c r="AH3" s="610"/>
      <c r="AI3" s="610"/>
      <c r="AJ3" s="610"/>
      <c r="AK3" s="610"/>
      <c r="AL3" s="610"/>
      <c r="AM3" s="610"/>
      <c r="AN3" s="548"/>
      <c r="AO3" s="548"/>
      <c r="AP3" s="548"/>
      <c r="AQ3" s="548"/>
      <c r="AR3" s="619"/>
      <c r="AS3" s="548"/>
      <c r="AT3" s="548"/>
      <c r="AU3" s="548"/>
      <c r="AV3" s="548"/>
      <c r="AW3" s="619"/>
      <c r="AX3" s="548"/>
      <c r="AY3" s="548"/>
      <c r="AZ3" s="548"/>
      <c r="BA3" s="548"/>
      <c r="BB3" s="620"/>
      <c r="BC3" s="548"/>
      <c r="BD3" s="548"/>
      <c r="BE3" s="548"/>
      <c r="BF3" s="548"/>
      <c r="BY3" s="619"/>
      <c r="BZ3" s="554"/>
      <c r="CA3" s="621"/>
      <c r="CB3" s="567"/>
      <c r="CC3" s="622"/>
      <c r="CD3" s="619"/>
      <c r="CE3" s="619"/>
      <c r="CF3" s="548"/>
      <c r="CG3" s="548"/>
      <c r="CU3" s="554">
        <f t="shared" ref="CU3:CU66" si="0">BQ3+BP3+BO3+BN3+BX3+BR3</f>
        <v>0</v>
      </c>
      <c r="CV3" s="554">
        <f t="shared" ref="CV3:CV66" si="1">CK3+CL3+CM3+CN3+CO3+CQ3+CP3</f>
        <v>0</v>
      </c>
      <c r="CW3" s="554">
        <f t="shared" ref="CW3:CW66" si="2">CI3+CJ3</f>
        <v>0</v>
      </c>
      <c r="CX3" s="619"/>
      <c r="CY3" s="619"/>
      <c r="CZ3" s="619"/>
      <c r="DA3" s="554"/>
      <c r="DB3" s="554"/>
      <c r="DC3" s="554"/>
      <c r="DD3" s="619"/>
      <c r="DE3" s="619"/>
      <c r="DF3" s="619"/>
      <c r="DG3" s="619"/>
      <c r="DH3" s="619"/>
    </row>
    <row r="4" s="548" customFormat="1" ht="31" customHeight="1" spans="1:112">
      <c r="A4" s="608">
        <v>45651</v>
      </c>
      <c r="B4" s="609"/>
      <c r="C4" s="610" t="s">
        <v>6018</v>
      </c>
      <c r="D4" s="554" t="s">
        <v>6019</v>
      </c>
      <c r="E4" s="610"/>
      <c r="F4" s="548"/>
      <c r="G4" s="623" t="s">
        <v>6025</v>
      </c>
      <c r="H4" s="610" t="s">
        <v>6026</v>
      </c>
      <c r="I4" s="610">
        <v>200</v>
      </c>
      <c r="J4" s="610">
        <v>0</v>
      </c>
      <c r="K4" s="610">
        <v>24</v>
      </c>
      <c r="L4" s="611">
        <f>I4/K4</f>
        <v>8.33333333333333</v>
      </c>
      <c r="M4" s="612"/>
      <c r="N4" s="612"/>
      <c r="O4" s="613"/>
      <c r="P4" s="613"/>
      <c r="Q4" s="610"/>
      <c r="R4" s="614" t="s">
        <v>1242</v>
      </c>
      <c r="S4" s="614" t="s">
        <v>70</v>
      </c>
      <c r="T4" s="614" t="s">
        <v>70</v>
      </c>
      <c r="U4" s="614"/>
      <c r="V4" s="614"/>
      <c r="W4" s="615"/>
      <c r="X4" s="609" t="s">
        <v>6027</v>
      </c>
      <c r="Y4" s="609" t="s">
        <v>92</v>
      </c>
      <c r="Z4" s="625"/>
      <c r="AA4" s="616"/>
      <c r="AC4" s="617"/>
      <c r="AD4" s="610" t="s">
        <v>73</v>
      </c>
      <c r="AE4" s="610" t="s">
        <v>73</v>
      </c>
      <c r="AF4" s="610"/>
      <c r="AG4" s="610" t="s">
        <v>74</v>
      </c>
      <c r="AH4" s="610"/>
      <c r="AI4" s="610"/>
      <c r="AJ4" s="618">
        <f>AI4-I4</f>
        <v>-200</v>
      </c>
      <c r="AK4" s="610"/>
      <c r="AL4" s="610"/>
      <c r="AM4" s="610"/>
      <c r="AN4" s="610"/>
      <c r="AO4" s="554">
        <f>I4</f>
        <v>200</v>
      </c>
      <c r="AR4" s="619"/>
      <c r="AS4" s="548"/>
      <c r="AT4" s="548"/>
      <c r="AU4" s="548"/>
      <c r="AV4" s="548"/>
      <c r="AW4" s="619"/>
      <c r="AX4" s="548"/>
      <c r="AY4" s="548"/>
      <c r="AZ4" s="548"/>
      <c r="BA4" s="548"/>
      <c r="BB4" s="620"/>
      <c r="BC4" s="548"/>
      <c r="BD4" s="548"/>
      <c r="BE4" s="548"/>
      <c r="BF4" s="548"/>
      <c r="BY4" s="619"/>
      <c r="BZ4" s="554"/>
      <c r="CA4" s="621"/>
      <c r="CB4" s="567"/>
      <c r="CC4" s="622"/>
      <c r="CD4" s="619"/>
      <c r="CE4" s="619"/>
      <c r="CF4" s="548"/>
      <c r="CG4" s="548"/>
      <c r="CU4" s="554">
        <f t="shared" si="0"/>
        <v>0</v>
      </c>
      <c r="CV4" s="554">
        <f t="shared" si="1"/>
        <v>0</v>
      </c>
      <c r="CW4" s="554">
        <f t="shared" si="2"/>
        <v>0</v>
      </c>
      <c r="CX4" s="619"/>
      <c r="CY4" s="619"/>
      <c r="CZ4" s="619"/>
      <c r="DA4" s="554"/>
      <c r="DB4" s="554"/>
      <c r="DC4" s="554"/>
      <c r="DD4" s="619"/>
      <c r="DE4" s="619"/>
      <c r="DF4" s="619"/>
      <c r="DG4" s="619"/>
      <c r="DH4" s="619"/>
    </row>
    <row r="5" s="548" customFormat="1" ht="31" customHeight="1" spans="1:112">
      <c r="A5" s="608">
        <v>45651</v>
      </c>
      <c r="B5" s="609"/>
      <c r="C5" s="610" t="s">
        <v>6018</v>
      </c>
      <c r="D5" s="554" t="s">
        <v>6019</v>
      </c>
      <c r="E5" s="610"/>
      <c r="F5" s="548"/>
      <c r="G5" s="623" t="s">
        <v>6025</v>
      </c>
      <c r="H5" s="610" t="s">
        <v>6026</v>
      </c>
      <c r="I5" s="610" t="s">
        <v>6023</v>
      </c>
      <c r="J5" s="610">
        <v>0</v>
      </c>
      <c r="K5" s="610">
        <v>24</v>
      </c>
      <c r="L5" s="611"/>
      <c r="M5" s="612"/>
      <c r="N5" s="612"/>
      <c r="O5" s="613"/>
      <c r="P5" s="613"/>
      <c r="Q5" s="610"/>
      <c r="R5" s="614" t="s">
        <v>1242</v>
      </c>
      <c r="S5" s="614" t="s">
        <v>70</v>
      </c>
      <c r="T5" s="614" t="s">
        <v>70</v>
      </c>
      <c r="U5" s="614"/>
      <c r="V5" s="614"/>
      <c r="W5" s="615"/>
      <c r="X5" s="624" t="s">
        <v>6024</v>
      </c>
      <c r="Y5" s="609" t="s">
        <v>92</v>
      </c>
      <c r="Z5" s="625"/>
      <c r="AA5" s="616"/>
      <c r="AC5" s="617"/>
      <c r="AD5" s="610" t="s">
        <v>73</v>
      </c>
      <c r="AE5" s="610" t="s">
        <v>73</v>
      </c>
      <c r="AF5" s="610"/>
      <c r="AG5" s="610" t="s">
        <v>74</v>
      </c>
      <c r="AH5" s="610"/>
      <c r="AI5" s="610"/>
      <c r="AJ5" s="610"/>
      <c r="AK5" s="610"/>
      <c r="AL5" s="610"/>
      <c r="AM5" s="610"/>
      <c r="AN5" s="548"/>
      <c r="AO5" s="548"/>
      <c r="AP5" s="548"/>
      <c r="AQ5" s="548"/>
      <c r="AR5" s="619"/>
      <c r="AS5" s="548"/>
      <c r="AT5" s="548"/>
      <c r="AU5" s="548"/>
      <c r="AV5" s="548"/>
      <c r="AW5" s="619"/>
      <c r="AX5" s="548"/>
      <c r="AY5" s="548"/>
      <c r="AZ5" s="548"/>
      <c r="BA5" s="548"/>
      <c r="BB5" s="620"/>
      <c r="BC5" s="548"/>
      <c r="BD5" s="548"/>
      <c r="BE5" s="548"/>
      <c r="BF5" s="548"/>
      <c r="BY5" s="619"/>
      <c r="BZ5" s="554"/>
      <c r="CA5" s="621"/>
      <c r="CB5" s="567"/>
      <c r="CC5" s="622"/>
      <c r="CD5" s="619"/>
      <c r="CE5" s="619"/>
      <c r="CF5" s="548"/>
      <c r="CG5" s="548"/>
      <c r="CU5" s="554">
        <f t="shared" si="0"/>
        <v>0</v>
      </c>
      <c r="CV5" s="554">
        <f t="shared" si="1"/>
        <v>0</v>
      </c>
      <c r="CW5" s="554">
        <f t="shared" si="2"/>
        <v>0</v>
      </c>
      <c r="CX5" s="619"/>
      <c r="CY5" s="619"/>
      <c r="CZ5" s="619"/>
      <c r="DA5" s="554"/>
      <c r="DB5" s="554"/>
      <c r="DC5" s="554"/>
      <c r="DD5" s="619"/>
      <c r="DE5" s="619"/>
      <c r="DF5" s="619"/>
      <c r="DG5" s="619"/>
      <c r="DH5" s="619"/>
    </row>
    <row r="6" s="548" customFormat="1" ht="31" customHeight="1" spans="1:112">
      <c r="A6" s="608">
        <v>45652</v>
      </c>
      <c r="B6" s="609"/>
      <c r="C6" s="610" t="s">
        <v>6018</v>
      </c>
      <c r="D6" s="626"/>
      <c r="E6" s="610"/>
      <c r="F6" s="548"/>
      <c r="G6" s="610" t="s">
        <v>6020</v>
      </c>
      <c r="H6" s="610" t="s">
        <v>6021</v>
      </c>
      <c r="I6" s="610">
        <v>504</v>
      </c>
      <c r="J6" s="610">
        <v>0</v>
      </c>
      <c r="K6" s="610">
        <v>24</v>
      </c>
      <c r="L6" s="611">
        <f>I6/K6</f>
        <v>21</v>
      </c>
      <c r="M6" s="612"/>
      <c r="N6" s="612"/>
      <c r="O6" s="613"/>
      <c r="P6" s="613"/>
      <c r="Q6" s="610"/>
      <c r="R6" s="614" t="s">
        <v>1242</v>
      </c>
      <c r="S6" s="614" t="s">
        <v>70</v>
      </c>
      <c r="T6" s="614" t="s">
        <v>70</v>
      </c>
      <c r="U6" s="614"/>
      <c r="V6" s="614"/>
      <c r="W6" s="615"/>
      <c r="X6" s="609" t="s">
        <v>6028</v>
      </c>
      <c r="Y6" s="609" t="s">
        <v>92</v>
      </c>
      <c r="Z6" s="609"/>
      <c r="AA6" s="616"/>
      <c r="AC6" s="617"/>
      <c r="AD6" s="610" t="s">
        <v>73</v>
      </c>
      <c r="AE6" s="610" t="s">
        <v>73</v>
      </c>
      <c r="AF6" s="610"/>
      <c r="AG6" s="610" t="s">
        <v>74</v>
      </c>
      <c r="AH6" s="610"/>
      <c r="AI6" s="610"/>
      <c r="AJ6" s="610"/>
      <c r="AK6" s="610"/>
      <c r="AL6" s="610"/>
      <c r="AM6" s="610"/>
      <c r="AN6" s="610">
        <f>I6</f>
        <v>504</v>
      </c>
      <c r="AR6" s="619"/>
      <c r="AS6" s="548"/>
      <c r="AT6" s="548"/>
      <c r="AU6" s="548"/>
      <c r="AV6" s="548"/>
      <c r="AW6" s="619"/>
      <c r="AX6" s="548"/>
      <c r="AY6" s="548"/>
      <c r="AZ6" s="548"/>
      <c r="BA6" s="548"/>
      <c r="BB6" s="620"/>
      <c r="BC6" s="548"/>
      <c r="BD6" s="548"/>
      <c r="BE6" s="548"/>
      <c r="BF6" s="548"/>
      <c r="BY6" s="619"/>
      <c r="BZ6" s="548"/>
      <c r="CA6" s="621"/>
      <c r="CB6" s="567"/>
      <c r="CC6" s="622"/>
      <c r="CD6" s="619"/>
      <c r="CE6" s="619"/>
      <c r="CF6" s="548"/>
      <c r="CG6" s="548"/>
      <c r="CU6" s="554">
        <f t="shared" si="0"/>
        <v>0</v>
      </c>
      <c r="CV6" s="554">
        <f t="shared" si="1"/>
        <v>0</v>
      </c>
      <c r="CW6" s="554">
        <f t="shared" si="2"/>
        <v>0</v>
      </c>
      <c r="CX6" s="619"/>
      <c r="CY6" s="619"/>
      <c r="CZ6" s="619"/>
      <c r="DA6" s="548"/>
      <c r="DB6" s="548"/>
      <c r="DC6" s="548"/>
      <c r="DD6" s="619"/>
      <c r="DE6" s="619"/>
      <c r="DF6" s="619"/>
      <c r="DG6" s="619"/>
      <c r="DH6" s="619"/>
    </row>
    <row r="7" s="548" customFormat="1" ht="31" customHeight="1" spans="1:112">
      <c r="A7" s="608">
        <v>45652</v>
      </c>
      <c r="B7" s="609"/>
      <c r="C7" s="610" t="s">
        <v>6018</v>
      </c>
      <c r="D7" s="554" t="s">
        <v>6029</v>
      </c>
      <c r="E7" s="610"/>
      <c r="F7" s="548"/>
      <c r="G7" s="610" t="s">
        <v>6020</v>
      </c>
      <c r="H7" s="610" t="s">
        <v>6021</v>
      </c>
      <c r="I7" s="610" t="s">
        <v>6030</v>
      </c>
      <c r="J7" s="610"/>
      <c r="K7" s="610"/>
      <c r="L7" s="611"/>
      <c r="M7" s="612"/>
      <c r="N7" s="612"/>
      <c r="O7" s="613"/>
      <c r="P7" s="613"/>
      <c r="Q7" s="610"/>
      <c r="R7" s="614" t="s">
        <v>1242</v>
      </c>
      <c r="S7" s="614" t="s">
        <v>70</v>
      </c>
      <c r="T7" s="614" t="s">
        <v>70</v>
      </c>
      <c r="U7" s="614"/>
      <c r="V7" s="614"/>
      <c r="W7" s="615"/>
      <c r="X7" s="609" t="s">
        <v>6031</v>
      </c>
      <c r="Y7" s="609" t="s">
        <v>92</v>
      </c>
      <c r="Z7" s="609"/>
      <c r="AA7" s="616"/>
      <c r="AC7" s="617"/>
      <c r="AD7" s="610" t="s">
        <v>73</v>
      </c>
      <c r="AE7" s="610" t="s">
        <v>73</v>
      </c>
      <c r="AF7" s="610"/>
      <c r="AG7" s="610" t="s">
        <v>74</v>
      </c>
      <c r="AH7" s="610"/>
      <c r="AI7" s="610"/>
      <c r="AJ7" s="610"/>
      <c r="AK7" s="610"/>
      <c r="AL7" s="610"/>
      <c r="AM7" s="610"/>
      <c r="AN7" s="614"/>
      <c r="AO7" s="548"/>
      <c r="AP7" s="548"/>
      <c r="AQ7" s="548"/>
      <c r="AR7" s="619"/>
      <c r="AS7" s="548"/>
      <c r="AT7" s="548"/>
      <c r="AU7" s="548"/>
      <c r="AV7" s="548"/>
      <c r="AW7" s="619"/>
      <c r="AX7" s="548"/>
      <c r="AY7" s="548"/>
      <c r="AZ7" s="548"/>
      <c r="BA7" s="548"/>
      <c r="BB7" s="620"/>
      <c r="BC7" s="548"/>
      <c r="BD7" s="548"/>
      <c r="BE7" s="548"/>
      <c r="BF7" s="548"/>
      <c r="BY7" s="619"/>
      <c r="BZ7" s="548"/>
      <c r="CA7" s="621"/>
      <c r="CB7" s="567"/>
      <c r="CC7" s="622"/>
      <c r="CD7" s="619"/>
      <c r="CE7" s="619"/>
      <c r="CF7" s="548"/>
      <c r="CG7" s="548"/>
      <c r="CU7" s="554">
        <f t="shared" si="0"/>
        <v>0</v>
      </c>
      <c r="CV7" s="554">
        <f t="shared" si="1"/>
        <v>0</v>
      </c>
      <c r="CW7" s="554">
        <f t="shared" si="2"/>
        <v>0</v>
      </c>
      <c r="CX7" s="619"/>
      <c r="CY7" s="619"/>
      <c r="CZ7" s="619"/>
      <c r="DA7" s="548"/>
      <c r="DB7" s="548"/>
      <c r="DC7" s="548"/>
      <c r="DD7" s="619"/>
      <c r="DE7" s="619"/>
      <c r="DF7" s="619"/>
      <c r="DG7" s="619"/>
      <c r="DH7" s="619"/>
    </row>
    <row r="8" s="548" customFormat="1" ht="31" customHeight="1" spans="1:112">
      <c r="A8" s="608">
        <v>45652</v>
      </c>
      <c r="B8" s="609"/>
      <c r="C8" s="610" t="s">
        <v>6018</v>
      </c>
      <c r="D8" s="554" t="s">
        <v>6029</v>
      </c>
      <c r="E8" s="610"/>
      <c r="F8" s="548"/>
      <c r="G8" s="610" t="s">
        <v>6032</v>
      </c>
      <c r="H8" s="610" t="s">
        <v>6033</v>
      </c>
      <c r="I8" s="610" t="s">
        <v>6034</v>
      </c>
      <c r="J8" s="610"/>
      <c r="K8" s="610"/>
      <c r="L8" s="611"/>
      <c r="M8" s="612"/>
      <c r="N8" s="612"/>
      <c r="O8" s="613"/>
      <c r="P8" s="613"/>
      <c r="Q8" s="610"/>
      <c r="R8" s="614" t="s">
        <v>1242</v>
      </c>
      <c r="S8" s="614" t="s">
        <v>70</v>
      </c>
      <c r="T8" s="614" t="s">
        <v>70</v>
      </c>
      <c r="U8" s="614"/>
      <c r="V8" s="614"/>
      <c r="W8" s="615"/>
      <c r="X8" s="609" t="s">
        <v>6035</v>
      </c>
      <c r="Y8" s="609" t="s">
        <v>92</v>
      </c>
      <c r="Z8" s="609"/>
      <c r="AA8" s="616"/>
      <c r="AC8" s="617"/>
      <c r="AD8" s="610" t="s">
        <v>73</v>
      </c>
      <c r="AE8" s="610" t="s">
        <v>73</v>
      </c>
      <c r="AF8" s="610"/>
      <c r="AG8" s="610" t="s">
        <v>74</v>
      </c>
      <c r="AH8" s="610"/>
      <c r="AI8" s="610"/>
      <c r="AJ8" s="610"/>
      <c r="AK8" s="610"/>
      <c r="AL8" s="610"/>
      <c r="AM8" s="610"/>
      <c r="AN8" s="614"/>
      <c r="AO8" s="548"/>
      <c r="AP8" s="548"/>
      <c r="AQ8" s="548"/>
      <c r="AR8" s="619"/>
      <c r="AS8" s="548"/>
      <c r="AT8" s="548"/>
      <c r="AU8" s="548"/>
      <c r="AV8" s="548"/>
      <c r="AW8" s="619"/>
      <c r="AX8" s="548"/>
      <c r="AY8" s="548"/>
      <c r="AZ8" s="548"/>
      <c r="BA8" s="548"/>
      <c r="BB8" s="620"/>
      <c r="BC8" s="548"/>
      <c r="BD8" s="548"/>
      <c r="BE8" s="548"/>
      <c r="BF8" s="548"/>
      <c r="BL8" s="554">
        <v>20</v>
      </c>
      <c r="BM8" s="548"/>
      <c r="BN8" s="548"/>
      <c r="BO8" s="548"/>
      <c r="BP8" s="548"/>
      <c r="BQ8" s="548"/>
      <c r="BR8" s="548"/>
      <c r="BS8" s="548"/>
      <c r="BT8" s="548"/>
      <c r="BY8" s="619"/>
      <c r="BZ8" s="548"/>
      <c r="CA8" s="621"/>
      <c r="CB8" s="567"/>
      <c r="CC8" s="622"/>
      <c r="CD8" s="619"/>
      <c r="CE8" s="619"/>
      <c r="CF8" s="548"/>
      <c r="CG8" s="548"/>
      <c r="CU8" s="554">
        <f t="shared" si="0"/>
        <v>0</v>
      </c>
      <c r="CV8" s="554">
        <f t="shared" si="1"/>
        <v>0</v>
      </c>
      <c r="CW8" s="554">
        <f t="shared" si="2"/>
        <v>0</v>
      </c>
      <c r="CX8" s="619"/>
      <c r="CY8" s="619"/>
      <c r="CZ8" s="619"/>
      <c r="DA8" s="548"/>
      <c r="DB8" s="548"/>
      <c r="DC8" s="548"/>
      <c r="DD8" s="619"/>
      <c r="DE8" s="619"/>
      <c r="DF8" s="619"/>
      <c r="DG8" s="619"/>
      <c r="DH8" s="619"/>
    </row>
    <row r="9" s="548" customFormat="1" ht="31" customHeight="1" spans="1:112">
      <c r="A9" s="608">
        <v>45652</v>
      </c>
      <c r="B9" s="609"/>
      <c r="C9" s="610" t="s">
        <v>6018</v>
      </c>
      <c r="D9" s="554" t="s">
        <v>6029</v>
      </c>
      <c r="E9" s="610"/>
      <c r="F9" s="548"/>
      <c r="G9" s="610" t="s">
        <v>6036</v>
      </c>
      <c r="H9" s="610"/>
      <c r="I9" s="610" t="s">
        <v>6034</v>
      </c>
      <c r="J9" s="610"/>
      <c r="K9" s="610"/>
      <c r="L9" s="611"/>
      <c r="M9" s="612"/>
      <c r="N9" s="612"/>
      <c r="O9" s="613"/>
      <c r="P9" s="613"/>
      <c r="Q9" s="610"/>
      <c r="R9" s="614" t="s">
        <v>1242</v>
      </c>
      <c r="S9" s="614" t="s">
        <v>70</v>
      </c>
      <c r="T9" s="614" t="s">
        <v>70</v>
      </c>
      <c r="U9" s="614"/>
      <c r="V9" s="614"/>
      <c r="W9" s="615"/>
      <c r="X9" s="609" t="s">
        <v>6037</v>
      </c>
      <c r="Y9" s="609" t="s">
        <v>92</v>
      </c>
      <c r="Z9" s="609"/>
      <c r="AA9" s="616"/>
      <c r="AC9" s="617"/>
      <c r="AD9" s="610" t="s">
        <v>73</v>
      </c>
      <c r="AE9" s="610" t="s">
        <v>73</v>
      </c>
      <c r="AF9" s="610"/>
      <c r="AG9" s="610" t="s">
        <v>74</v>
      </c>
      <c r="AH9" s="610"/>
      <c r="AI9" s="610"/>
      <c r="AJ9" s="610"/>
      <c r="AK9" s="610"/>
      <c r="AL9" s="610"/>
      <c r="AM9" s="610"/>
      <c r="AN9" s="614"/>
      <c r="AO9" s="548"/>
      <c r="AP9" s="548"/>
      <c r="AQ9" s="548"/>
      <c r="AR9" s="619"/>
      <c r="AS9" s="548"/>
      <c r="AT9" s="548"/>
      <c r="AU9" s="548"/>
      <c r="AV9" s="548"/>
      <c r="AW9" s="619"/>
      <c r="AX9" s="548"/>
      <c r="AY9" s="548"/>
      <c r="AZ9" s="548"/>
      <c r="BA9" s="548"/>
      <c r="BB9" s="620"/>
      <c r="BC9" s="548"/>
      <c r="BD9" s="548"/>
      <c r="BE9" s="548"/>
      <c r="BF9" s="548"/>
      <c r="BN9" s="554">
        <v>20</v>
      </c>
      <c r="BO9" s="548"/>
      <c r="BP9" s="548"/>
      <c r="BQ9" s="548"/>
      <c r="BR9" s="548"/>
      <c r="BS9" s="548"/>
      <c r="BT9" s="548"/>
      <c r="BY9" s="619"/>
      <c r="BZ9" s="548"/>
      <c r="CA9" s="621"/>
      <c r="CB9" s="567"/>
      <c r="CC9" s="622"/>
      <c r="CD9" s="619"/>
      <c r="CE9" s="619"/>
      <c r="CF9" s="548"/>
      <c r="CG9" s="548"/>
      <c r="CU9" s="554">
        <f t="shared" si="0"/>
        <v>20</v>
      </c>
      <c r="CV9" s="554">
        <f t="shared" si="1"/>
        <v>0</v>
      </c>
      <c r="CW9" s="554">
        <f t="shared" si="2"/>
        <v>0</v>
      </c>
      <c r="CX9" s="619"/>
      <c r="CY9" s="619"/>
      <c r="CZ9" s="619"/>
      <c r="DA9" s="548"/>
      <c r="DB9" s="548"/>
      <c r="DC9" s="548"/>
      <c r="DD9" s="619"/>
      <c r="DE9" s="619"/>
      <c r="DF9" s="619"/>
      <c r="DG9" s="619"/>
      <c r="DH9" s="619"/>
    </row>
    <row r="10" s="548" customFormat="1" ht="31" customHeight="1" spans="1:112">
      <c r="A10" s="608">
        <v>45652</v>
      </c>
      <c r="B10" s="609"/>
      <c r="C10" s="610" t="s">
        <v>6018</v>
      </c>
      <c r="D10" s="554" t="s">
        <v>6029</v>
      </c>
      <c r="E10" s="610"/>
      <c r="F10" s="548"/>
      <c r="G10" s="610" t="s">
        <v>6025</v>
      </c>
      <c r="H10" s="610" t="s">
        <v>6026</v>
      </c>
      <c r="I10" s="610">
        <v>504</v>
      </c>
      <c r="J10" s="610">
        <v>0</v>
      </c>
      <c r="K10" s="610">
        <v>24</v>
      </c>
      <c r="L10" s="611">
        <f>I10/K10</f>
        <v>21</v>
      </c>
      <c r="M10" s="612"/>
      <c r="N10" s="612"/>
      <c r="O10" s="613"/>
      <c r="P10" s="613"/>
      <c r="Q10" s="610"/>
      <c r="R10" s="614" t="s">
        <v>1242</v>
      </c>
      <c r="S10" s="614" t="s">
        <v>70</v>
      </c>
      <c r="T10" s="614" t="s">
        <v>70</v>
      </c>
      <c r="U10" s="614"/>
      <c r="V10" s="614"/>
      <c r="W10" s="615"/>
      <c r="X10" s="609" t="s">
        <v>6038</v>
      </c>
      <c r="Y10" s="609" t="s">
        <v>92</v>
      </c>
      <c r="Z10" s="609"/>
      <c r="AA10" s="616"/>
      <c r="AC10" s="617"/>
      <c r="AD10" s="610" t="s">
        <v>73</v>
      </c>
      <c r="AE10" s="610" t="s">
        <v>73</v>
      </c>
      <c r="AF10" s="610"/>
      <c r="AG10" s="610" t="s">
        <v>74</v>
      </c>
      <c r="AH10" s="610"/>
      <c r="AI10" s="610"/>
      <c r="AJ10" s="618">
        <f>AI10-I10</f>
        <v>-504</v>
      </c>
      <c r="AK10" s="610"/>
      <c r="AL10" s="610"/>
      <c r="AM10" s="610"/>
      <c r="AN10" s="610"/>
      <c r="AO10" s="554">
        <f>I10</f>
        <v>504</v>
      </c>
      <c r="AR10" s="619"/>
      <c r="AS10" s="548"/>
      <c r="AT10" s="548"/>
      <c r="AU10" s="548"/>
      <c r="AV10" s="548"/>
      <c r="AW10" s="619"/>
      <c r="AX10" s="548"/>
      <c r="AY10" s="548"/>
      <c r="AZ10" s="548"/>
      <c r="BA10" s="548"/>
      <c r="BB10" s="620"/>
      <c r="BC10" s="548"/>
      <c r="BD10" s="548"/>
      <c r="BE10" s="548"/>
      <c r="BF10" s="548"/>
      <c r="BY10" s="619"/>
      <c r="BZ10" s="548"/>
      <c r="CA10" s="621"/>
      <c r="CB10" s="567"/>
      <c r="CC10" s="622"/>
      <c r="CD10" s="619"/>
      <c r="CE10" s="619"/>
      <c r="CF10" s="548"/>
      <c r="CG10" s="548"/>
      <c r="CU10" s="554">
        <f t="shared" si="0"/>
        <v>0</v>
      </c>
      <c r="CV10" s="554">
        <f t="shared" si="1"/>
        <v>0</v>
      </c>
      <c r="CW10" s="554">
        <f t="shared" si="2"/>
        <v>0</v>
      </c>
      <c r="CX10" s="619"/>
      <c r="CY10" s="619"/>
      <c r="CZ10" s="619"/>
      <c r="DA10" s="548"/>
      <c r="DB10" s="548"/>
      <c r="DC10" s="548"/>
      <c r="DD10" s="619"/>
      <c r="DE10" s="619"/>
      <c r="DF10" s="619"/>
      <c r="DG10" s="619"/>
      <c r="DH10" s="619"/>
    </row>
    <row r="11" s="548" customFormat="1" ht="31" customHeight="1" spans="1:112">
      <c r="A11" s="608">
        <v>45652</v>
      </c>
      <c r="B11" s="609"/>
      <c r="C11" s="610" t="s">
        <v>6018</v>
      </c>
      <c r="D11" s="554" t="s">
        <v>6029</v>
      </c>
      <c r="E11" s="610"/>
      <c r="F11" s="548"/>
      <c r="G11" s="610" t="s">
        <v>6025</v>
      </c>
      <c r="H11" s="610" t="s">
        <v>6026</v>
      </c>
      <c r="I11" s="610" t="s">
        <v>6030</v>
      </c>
      <c r="J11" s="610">
        <v>0</v>
      </c>
      <c r="K11" s="610">
        <v>24</v>
      </c>
      <c r="L11" s="611"/>
      <c r="M11" s="612"/>
      <c r="N11" s="612"/>
      <c r="O11" s="613"/>
      <c r="P11" s="613"/>
      <c r="Q11" s="610"/>
      <c r="R11" s="614" t="s">
        <v>1242</v>
      </c>
      <c r="S11" s="614" t="s">
        <v>70</v>
      </c>
      <c r="T11" s="614" t="s">
        <v>70</v>
      </c>
      <c r="U11" s="614"/>
      <c r="V11" s="614"/>
      <c r="W11" s="615"/>
      <c r="X11" s="609" t="s">
        <v>6039</v>
      </c>
      <c r="Y11" s="609" t="s">
        <v>92</v>
      </c>
      <c r="Z11" s="609"/>
      <c r="AA11" s="616"/>
      <c r="AC11" s="617"/>
      <c r="AD11" s="610" t="s">
        <v>73</v>
      </c>
      <c r="AE11" s="610" t="s">
        <v>73</v>
      </c>
      <c r="AF11" s="610"/>
      <c r="AG11" s="610" t="s">
        <v>74</v>
      </c>
      <c r="AH11" s="610"/>
      <c r="AI11" s="610"/>
      <c r="AJ11" s="610"/>
      <c r="AK11" s="610"/>
      <c r="AL11" s="610"/>
      <c r="AM11" s="610"/>
      <c r="AN11" s="614"/>
      <c r="AO11" s="548"/>
      <c r="AP11" s="548"/>
      <c r="AQ11" s="548"/>
      <c r="AR11" s="619"/>
      <c r="AS11" s="548"/>
      <c r="AT11" s="548"/>
      <c r="AU11" s="548"/>
      <c r="AV11" s="548"/>
      <c r="AW11" s="619"/>
      <c r="AX11" s="548"/>
      <c r="AY11" s="548"/>
      <c r="AZ11" s="548"/>
      <c r="BA11" s="548"/>
      <c r="BB11" s="620"/>
      <c r="BC11" s="548"/>
      <c r="BD11" s="548"/>
      <c r="BE11" s="548"/>
      <c r="BF11" s="548"/>
      <c r="BY11" s="619"/>
      <c r="BZ11" s="548"/>
      <c r="CA11" s="621"/>
      <c r="CB11" s="567"/>
      <c r="CC11" s="622"/>
      <c r="CD11" s="619"/>
      <c r="CE11" s="619"/>
      <c r="CF11" s="548"/>
      <c r="CG11" s="548"/>
      <c r="CU11" s="554">
        <f t="shared" si="0"/>
        <v>0</v>
      </c>
      <c r="CV11" s="554">
        <f t="shared" si="1"/>
        <v>0</v>
      </c>
      <c r="CW11" s="554">
        <f t="shared" si="2"/>
        <v>0</v>
      </c>
      <c r="CX11" s="619"/>
      <c r="CY11" s="619"/>
      <c r="CZ11" s="619"/>
      <c r="DA11" s="548"/>
      <c r="DB11" s="548"/>
      <c r="DC11" s="548"/>
      <c r="DD11" s="619"/>
      <c r="DE11" s="619"/>
      <c r="DF11" s="619"/>
      <c r="DG11" s="619"/>
      <c r="DH11" s="619"/>
    </row>
    <row r="12" s="548" customFormat="1" ht="31" customHeight="1" spans="1:112">
      <c r="A12" s="608">
        <v>45652</v>
      </c>
      <c r="B12" s="609"/>
      <c r="C12" s="610" t="s">
        <v>6018</v>
      </c>
      <c r="D12" s="554" t="s">
        <v>6029</v>
      </c>
      <c r="E12" s="610"/>
      <c r="F12" s="548"/>
      <c r="G12" s="610" t="s">
        <v>6040</v>
      </c>
      <c r="H12" s="610" t="s">
        <v>6041</v>
      </c>
      <c r="I12" s="610" t="s">
        <v>6034</v>
      </c>
      <c r="J12" s="610"/>
      <c r="K12" s="610"/>
      <c r="L12" s="611"/>
      <c r="M12" s="612"/>
      <c r="N12" s="612"/>
      <c r="O12" s="613"/>
      <c r="P12" s="613"/>
      <c r="Q12" s="610"/>
      <c r="R12" s="614" t="s">
        <v>1242</v>
      </c>
      <c r="S12" s="614" t="s">
        <v>70</v>
      </c>
      <c r="T12" s="614" t="s">
        <v>70</v>
      </c>
      <c r="U12" s="614"/>
      <c r="V12" s="614"/>
      <c r="W12" s="615"/>
      <c r="X12" s="609" t="s">
        <v>6042</v>
      </c>
      <c r="Y12" s="609" t="s">
        <v>92</v>
      </c>
      <c r="Z12" s="609"/>
      <c r="AA12" s="616"/>
      <c r="AC12" s="617"/>
      <c r="AD12" s="610" t="s">
        <v>73</v>
      </c>
      <c r="AE12" s="610" t="s">
        <v>73</v>
      </c>
      <c r="AF12" s="610"/>
      <c r="AG12" s="610" t="s">
        <v>74</v>
      </c>
      <c r="AH12" s="610"/>
      <c r="AI12" s="610"/>
      <c r="AJ12" s="610"/>
      <c r="AK12" s="610"/>
      <c r="AL12" s="610"/>
      <c r="AM12" s="610"/>
      <c r="AN12" s="614"/>
      <c r="AO12" s="548"/>
      <c r="AP12" s="548"/>
      <c r="AQ12" s="548"/>
      <c r="AR12" s="619"/>
      <c r="AS12" s="548"/>
      <c r="AT12" s="548"/>
      <c r="AU12" s="548"/>
      <c r="AV12" s="548"/>
      <c r="AW12" s="619"/>
      <c r="AX12" s="548"/>
      <c r="AY12" s="548"/>
      <c r="AZ12" s="548"/>
      <c r="BA12" s="548"/>
      <c r="BB12" s="620"/>
      <c r="BC12" s="548"/>
      <c r="BD12" s="548"/>
      <c r="BE12" s="548"/>
      <c r="BF12" s="548"/>
      <c r="BM12" s="554">
        <v>20</v>
      </c>
      <c r="BN12" s="548"/>
      <c r="BO12" s="548"/>
      <c r="BP12" s="548"/>
      <c r="BQ12" s="548"/>
      <c r="BR12" s="548"/>
      <c r="BS12" s="548"/>
      <c r="BT12" s="548"/>
      <c r="BY12" s="619"/>
      <c r="BZ12" s="548"/>
      <c r="CA12" s="621"/>
      <c r="CB12" s="567"/>
      <c r="CC12" s="622"/>
      <c r="CD12" s="619"/>
      <c r="CE12" s="619"/>
      <c r="CF12" s="548"/>
      <c r="CG12" s="548"/>
      <c r="CU12" s="554">
        <f t="shared" si="0"/>
        <v>0</v>
      </c>
      <c r="CV12" s="554">
        <f t="shared" si="1"/>
        <v>0</v>
      </c>
      <c r="CW12" s="554">
        <f t="shared" si="2"/>
        <v>0</v>
      </c>
      <c r="CX12" s="619"/>
      <c r="CY12" s="619"/>
      <c r="CZ12" s="619"/>
      <c r="DA12" s="548"/>
      <c r="DB12" s="548"/>
      <c r="DC12" s="548"/>
      <c r="DD12" s="619"/>
      <c r="DE12" s="619"/>
      <c r="DF12" s="619"/>
      <c r="DG12" s="619"/>
      <c r="DH12" s="619"/>
    </row>
    <row r="13" s="548" customFormat="1" ht="31" customHeight="1" spans="1:112">
      <c r="A13" s="608">
        <v>45652</v>
      </c>
      <c r="B13" s="609"/>
      <c r="C13" s="610" t="s">
        <v>6018</v>
      </c>
      <c r="D13" s="554" t="s">
        <v>6029</v>
      </c>
      <c r="E13" s="610"/>
      <c r="F13" s="548"/>
      <c r="G13" s="610" t="s">
        <v>6043</v>
      </c>
      <c r="H13" s="610"/>
      <c r="I13" s="610" t="s">
        <v>6034</v>
      </c>
      <c r="J13" s="610"/>
      <c r="K13" s="610"/>
      <c r="L13" s="611"/>
      <c r="M13" s="612"/>
      <c r="N13" s="612"/>
      <c r="O13" s="613"/>
      <c r="P13" s="613"/>
      <c r="Q13" s="610"/>
      <c r="R13" s="614" t="s">
        <v>1242</v>
      </c>
      <c r="S13" s="614" t="s">
        <v>70</v>
      </c>
      <c r="T13" s="614" t="s">
        <v>70</v>
      </c>
      <c r="U13" s="614"/>
      <c r="V13" s="614"/>
      <c r="W13" s="615"/>
      <c r="X13" s="609" t="s">
        <v>6042</v>
      </c>
      <c r="Y13" s="609" t="s">
        <v>92</v>
      </c>
      <c r="Z13" s="609"/>
      <c r="AA13" s="616"/>
      <c r="AC13" s="617"/>
      <c r="AD13" s="610" t="s">
        <v>73</v>
      </c>
      <c r="AE13" s="610" t="s">
        <v>73</v>
      </c>
      <c r="AF13" s="610"/>
      <c r="AG13" s="610" t="s">
        <v>74</v>
      </c>
      <c r="AH13" s="610"/>
      <c r="AI13" s="610"/>
      <c r="AJ13" s="610"/>
      <c r="AK13" s="610"/>
      <c r="AL13" s="610"/>
      <c r="AM13" s="610"/>
      <c r="AN13" s="614"/>
      <c r="AO13" s="548"/>
      <c r="AP13" s="548"/>
      <c r="AQ13" s="548"/>
      <c r="AR13" s="619"/>
      <c r="AS13" s="548"/>
      <c r="AT13" s="548"/>
      <c r="AU13" s="548"/>
      <c r="AV13" s="548"/>
      <c r="AW13" s="619"/>
      <c r="AX13" s="548"/>
      <c r="AY13" s="548"/>
      <c r="AZ13" s="548"/>
      <c r="BA13" s="548"/>
      <c r="BB13" s="620"/>
      <c r="BC13" s="548"/>
      <c r="BD13" s="548"/>
      <c r="BE13" s="548"/>
      <c r="BF13" s="548"/>
      <c r="BP13" s="554">
        <v>20</v>
      </c>
      <c r="BQ13" s="548"/>
      <c r="BR13" s="548"/>
      <c r="BS13" s="548"/>
      <c r="BT13" s="548"/>
      <c r="BY13" s="619"/>
      <c r="BZ13" s="548"/>
      <c r="CA13" s="621"/>
      <c r="CB13" s="567"/>
      <c r="CC13" s="622"/>
      <c r="CD13" s="619"/>
      <c r="CE13" s="619"/>
      <c r="CF13" s="548"/>
      <c r="CG13" s="548"/>
      <c r="CU13" s="554">
        <f t="shared" si="0"/>
        <v>20</v>
      </c>
      <c r="CV13" s="554">
        <f t="shared" si="1"/>
        <v>0</v>
      </c>
      <c r="CW13" s="554">
        <f t="shared" si="2"/>
        <v>0</v>
      </c>
      <c r="CX13" s="619"/>
      <c r="CY13" s="619"/>
      <c r="CZ13" s="619"/>
      <c r="DA13" s="548"/>
      <c r="DB13" s="548"/>
      <c r="DC13" s="548"/>
      <c r="DD13" s="619"/>
      <c r="DE13" s="619"/>
      <c r="DF13" s="619"/>
      <c r="DG13" s="619"/>
      <c r="DH13" s="619"/>
    </row>
    <row r="14" s="548" customFormat="1" ht="31" customHeight="1" spans="1:112">
      <c r="A14" s="608">
        <v>45650</v>
      </c>
      <c r="B14" s="609"/>
      <c r="C14" s="610" t="s">
        <v>6044</v>
      </c>
      <c r="D14" s="554" t="s">
        <v>6045</v>
      </c>
      <c r="E14" s="610"/>
      <c r="F14" s="548"/>
      <c r="G14" s="610" t="s">
        <v>6020</v>
      </c>
      <c r="H14" s="610" t="s">
        <v>6021</v>
      </c>
      <c r="I14" s="610">
        <v>570</v>
      </c>
      <c r="J14" s="610">
        <v>0</v>
      </c>
      <c r="K14" s="610">
        <v>24</v>
      </c>
      <c r="L14" s="611">
        <f>I14/K14</f>
        <v>23.75</v>
      </c>
      <c r="M14" s="612"/>
      <c r="N14" s="612"/>
      <c r="O14" s="613"/>
      <c r="P14" s="613"/>
      <c r="Q14" s="610"/>
      <c r="R14" s="614" t="s">
        <v>1242</v>
      </c>
      <c r="S14" s="614" t="s">
        <v>70</v>
      </c>
      <c r="T14" s="614" t="s">
        <v>70</v>
      </c>
      <c r="U14" s="614"/>
      <c r="V14" s="614"/>
      <c r="W14" s="615"/>
      <c r="X14" s="609"/>
      <c r="Y14" s="609" t="s">
        <v>71</v>
      </c>
      <c r="Z14" s="609"/>
      <c r="AA14" s="616"/>
      <c r="AC14" s="617"/>
      <c r="AD14" s="610" t="s">
        <v>73</v>
      </c>
      <c r="AE14" s="610" t="s">
        <v>73</v>
      </c>
      <c r="AF14" s="610"/>
      <c r="AG14" s="610" t="s">
        <v>74</v>
      </c>
      <c r="AH14" s="610"/>
      <c r="AI14" s="610"/>
      <c r="AJ14" s="610"/>
      <c r="AK14" s="610"/>
      <c r="AL14" s="610"/>
      <c r="AM14" s="610"/>
      <c r="AN14" s="610"/>
      <c r="AO14" s="548"/>
      <c r="AP14" s="548"/>
      <c r="AQ14" s="548"/>
      <c r="AR14" s="619"/>
      <c r="AS14" s="548"/>
      <c r="AT14" s="548"/>
      <c r="AU14" s="548"/>
      <c r="AV14" s="548"/>
      <c r="AW14" s="619"/>
      <c r="AX14" s="548"/>
      <c r="AY14" s="548"/>
      <c r="AZ14" s="548"/>
      <c r="BA14" s="548"/>
      <c r="BB14" s="620"/>
      <c r="BC14" s="548"/>
      <c r="BD14" s="548"/>
      <c r="BE14" s="548"/>
      <c r="BF14" s="548"/>
      <c r="BY14" s="619"/>
      <c r="BZ14" s="548"/>
      <c r="CA14" s="621"/>
      <c r="CB14" s="567"/>
      <c r="CC14" s="622"/>
      <c r="CD14" s="619"/>
      <c r="CE14" s="619"/>
      <c r="CF14" s="548"/>
      <c r="CG14" s="548"/>
      <c r="CU14" s="554">
        <f t="shared" si="0"/>
        <v>0</v>
      </c>
      <c r="CV14" s="554">
        <f t="shared" si="1"/>
        <v>0</v>
      </c>
      <c r="CW14" s="554">
        <f t="shared" si="2"/>
        <v>0</v>
      </c>
      <c r="CX14" s="619"/>
      <c r="CY14" s="619"/>
      <c r="CZ14" s="619"/>
      <c r="DA14" s="548"/>
      <c r="DB14" s="548"/>
      <c r="DC14" s="548"/>
      <c r="DD14" s="619"/>
      <c r="DE14" s="619"/>
      <c r="DF14" s="619"/>
      <c r="DG14" s="619"/>
      <c r="DH14" s="619"/>
    </row>
    <row r="15" s="548" customFormat="1" ht="31" customHeight="1" spans="1:112">
      <c r="A15" s="608">
        <v>45650</v>
      </c>
      <c r="B15" s="609"/>
      <c r="C15" s="610" t="s">
        <v>6044</v>
      </c>
      <c r="D15" s="554" t="s">
        <v>6045</v>
      </c>
      <c r="E15" s="610"/>
      <c r="F15" s="548"/>
      <c r="G15" s="610" t="s">
        <v>6025</v>
      </c>
      <c r="H15" s="610" t="s">
        <v>6026</v>
      </c>
      <c r="I15" s="610">
        <v>670</v>
      </c>
      <c r="J15" s="610">
        <v>0</v>
      </c>
      <c r="K15" s="610">
        <v>24</v>
      </c>
      <c r="L15" s="611">
        <f>I15/K15</f>
        <v>27.9166666666667</v>
      </c>
      <c r="M15" s="612"/>
      <c r="N15" s="612"/>
      <c r="O15" s="613"/>
      <c r="P15" s="613"/>
      <c r="Q15" s="610"/>
      <c r="R15" s="614" t="s">
        <v>1242</v>
      </c>
      <c r="S15" s="614" t="s">
        <v>70</v>
      </c>
      <c r="T15" s="614" t="s">
        <v>70</v>
      </c>
      <c r="U15" s="614"/>
      <c r="V15" s="614"/>
      <c r="W15" s="615"/>
      <c r="X15" s="609"/>
      <c r="Y15" s="609" t="s">
        <v>71</v>
      </c>
      <c r="Z15" s="609"/>
      <c r="AA15" s="616"/>
      <c r="AC15" s="617"/>
      <c r="AD15" s="610" t="s">
        <v>73</v>
      </c>
      <c r="AE15" s="610" t="s">
        <v>73</v>
      </c>
      <c r="AF15" s="610"/>
      <c r="AG15" s="610" t="s">
        <v>74</v>
      </c>
      <c r="AH15" s="610"/>
      <c r="AI15" s="610"/>
      <c r="AJ15" s="610"/>
      <c r="AK15" s="610"/>
      <c r="AL15" s="610"/>
      <c r="AM15" s="610"/>
      <c r="AN15" s="610"/>
      <c r="AO15" s="548"/>
      <c r="AP15" s="548"/>
      <c r="AQ15" s="548"/>
      <c r="AR15" s="619"/>
      <c r="AS15" s="548"/>
      <c r="AT15" s="548"/>
      <c r="AU15" s="548"/>
      <c r="AV15" s="548"/>
      <c r="AW15" s="619"/>
      <c r="AX15" s="548"/>
      <c r="AY15" s="548"/>
      <c r="AZ15" s="548"/>
      <c r="BA15" s="548"/>
      <c r="BB15" s="620"/>
      <c r="BC15" s="548"/>
      <c r="BD15" s="548"/>
      <c r="BE15" s="548"/>
      <c r="BF15" s="548"/>
      <c r="BY15" s="619"/>
      <c r="BZ15" s="548"/>
      <c r="CA15" s="621"/>
      <c r="CB15" s="567"/>
      <c r="CC15" s="622"/>
      <c r="CD15" s="619"/>
      <c r="CE15" s="619"/>
      <c r="CF15" s="548"/>
      <c r="CG15" s="548"/>
      <c r="CU15" s="554">
        <f t="shared" si="0"/>
        <v>0</v>
      </c>
      <c r="CV15" s="554">
        <f t="shared" si="1"/>
        <v>0</v>
      </c>
      <c r="CW15" s="554">
        <f t="shared" si="2"/>
        <v>0</v>
      </c>
      <c r="CX15" s="619"/>
      <c r="CY15" s="619"/>
      <c r="CZ15" s="619"/>
      <c r="DA15" s="548"/>
      <c r="DB15" s="548"/>
      <c r="DC15" s="548"/>
      <c r="DD15" s="619"/>
      <c r="DE15" s="619"/>
      <c r="DF15" s="619"/>
      <c r="DG15" s="619"/>
      <c r="DH15" s="619"/>
    </row>
    <row r="16" s="548" customFormat="1" ht="31" customHeight="1" spans="1:112">
      <c r="A16" s="608">
        <v>45701</v>
      </c>
      <c r="B16" s="609" t="s">
        <v>75</v>
      </c>
      <c r="C16" s="610" t="s">
        <v>76</v>
      </c>
      <c r="D16" s="554">
        <v>4500157534</v>
      </c>
      <c r="E16" s="610"/>
      <c r="F16" s="554" t="s">
        <v>6046</v>
      </c>
      <c r="G16" s="610" t="s">
        <v>6047</v>
      </c>
      <c r="H16" s="610" t="s">
        <v>6048</v>
      </c>
      <c r="I16" s="610">
        <v>200</v>
      </c>
      <c r="J16" s="610">
        <v>0</v>
      </c>
      <c r="K16" s="610">
        <v>25</v>
      </c>
      <c r="L16" s="611">
        <f>I16/K16</f>
        <v>8</v>
      </c>
      <c r="M16" s="612">
        <v>45731</v>
      </c>
      <c r="N16" s="612">
        <v>45727</v>
      </c>
      <c r="O16" s="613"/>
      <c r="P16" s="613"/>
      <c r="Q16" s="610"/>
      <c r="R16" s="614">
        <v>45804</v>
      </c>
      <c r="S16" s="627" t="s">
        <v>70</v>
      </c>
      <c r="T16" s="614">
        <v>45804</v>
      </c>
      <c r="U16" s="614"/>
      <c r="V16" s="614"/>
      <c r="W16" s="615"/>
      <c r="X16" s="628" t="s">
        <v>6049</v>
      </c>
      <c r="Y16" s="609" t="s">
        <v>80</v>
      </c>
      <c r="Z16" s="609">
        <v>0.95</v>
      </c>
      <c r="AA16" s="616">
        <f>Z16*I16</f>
        <v>190</v>
      </c>
      <c r="AC16" s="629" t="s">
        <v>81</v>
      </c>
      <c r="AD16" s="618" t="s">
        <v>6047</v>
      </c>
      <c r="AE16" s="610" t="s">
        <v>82</v>
      </c>
      <c r="AF16" s="610"/>
      <c r="AG16" s="610" t="s">
        <v>74</v>
      </c>
      <c r="AH16" s="610"/>
      <c r="AI16" s="610"/>
      <c r="AJ16" s="610">
        <f>AI16-I16+200</f>
        <v>0</v>
      </c>
      <c r="AK16" s="610"/>
      <c r="AL16" s="610"/>
      <c r="AM16" s="610"/>
      <c r="AN16" s="610"/>
      <c r="AO16" s="554">
        <f>I16</f>
        <v>200</v>
      </c>
      <c r="AR16" s="619"/>
      <c r="AS16" s="548"/>
      <c r="AT16" s="554">
        <f>I16</f>
        <v>200</v>
      </c>
      <c r="AV16" s="554">
        <f>I16</f>
        <v>200</v>
      </c>
      <c r="AW16" s="619"/>
      <c r="AX16" s="548"/>
      <c r="AY16" s="548"/>
      <c r="AZ16" s="548"/>
      <c r="BA16" s="548"/>
      <c r="BB16" s="620">
        <f>I16/24</f>
        <v>8.33333333333333</v>
      </c>
      <c r="BP16" s="554">
        <f>I16/25</f>
        <v>8</v>
      </c>
      <c r="BY16" s="619"/>
      <c r="BZ16" s="548"/>
      <c r="CA16" s="621"/>
      <c r="CB16" s="567"/>
      <c r="CC16" s="622"/>
      <c r="CD16" s="619"/>
      <c r="CE16" s="619"/>
      <c r="CF16" s="548"/>
      <c r="CG16" s="548"/>
      <c r="CU16" s="554">
        <f t="shared" si="0"/>
        <v>8</v>
      </c>
      <c r="CV16" s="554">
        <f t="shared" si="1"/>
        <v>0</v>
      </c>
      <c r="CW16" s="554">
        <f t="shared" si="2"/>
        <v>0</v>
      </c>
      <c r="CX16" s="619"/>
      <c r="CY16" s="619"/>
      <c r="CZ16" s="619"/>
      <c r="DA16" s="548"/>
      <c r="DB16" s="548"/>
      <c r="DC16" s="548"/>
      <c r="DD16" s="619"/>
      <c r="DE16" s="619"/>
      <c r="DF16" s="619"/>
      <c r="DG16" s="619"/>
      <c r="DH16" s="619"/>
    </row>
    <row r="17" s="548" customFormat="1" ht="31" customHeight="1" spans="1:112">
      <c r="A17" s="608">
        <v>45722</v>
      </c>
      <c r="B17" s="609"/>
      <c r="C17" s="610"/>
      <c r="D17" s="554" t="s">
        <v>83</v>
      </c>
      <c r="E17" s="610"/>
      <c r="F17" s="548"/>
      <c r="G17" s="610" t="s">
        <v>6020</v>
      </c>
      <c r="H17" s="610" t="s">
        <v>6021</v>
      </c>
      <c r="I17" s="610">
        <v>1584</v>
      </c>
      <c r="J17" s="610">
        <v>0</v>
      </c>
      <c r="K17" s="610">
        <v>24</v>
      </c>
      <c r="L17" s="611">
        <f>I17/K17</f>
        <v>66</v>
      </c>
      <c r="M17" s="612">
        <v>45736</v>
      </c>
      <c r="N17" s="612">
        <v>45733</v>
      </c>
      <c r="O17" s="613"/>
      <c r="P17" s="613" t="s">
        <v>113</v>
      </c>
      <c r="Q17" s="610"/>
      <c r="R17" s="614">
        <v>45722</v>
      </c>
      <c r="S17" s="614" t="s">
        <v>70</v>
      </c>
      <c r="T17" s="614" t="s">
        <v>70</v>
      </c>
      <c r="U17" s="614"/>
      <c r="V17" s="614"/>
      <c r="W17" s="615"/>
      <c r="X17" s="609" t="s">
        <v>6050</v>
      </c>
      <c r="Y17" s="609" t="s">
        <v>92</v>
      </c>
      <c r="Z17" s="609"/>
      <c r="AA17" s="616"/>
      <c r="AC17" s="629" t="s">
        <v>6051</v>
      </c>
      <c r="AD17" s="610" t="s">
        <v>6052</v>
      </c>
      <c r="AE17" s="610" t="s">
        <v>82</v>
      </c>
      <c r="AF17" s="610"/>
      <c r="AG17" s="610" t="s">
        <v>74</v>
      </c>
      <c r="AH17" s="610"/>
      <c r="AI17" s="610">
        <v>1584</v>
      </c>
      <c r="AJ17" s="610">
        <f>AI17-I17</f>
        <v>0</v>
      </c>
      <c r="AK17" s="610"/>
      <c r="AL17" s="610"/>
      <c r="AM17" s="610"/>
      <c r="AN17" s="610">
        <f>I17</f>
        <v>1584</v>
      </c>
      <c r="AP17" s="554">
        <f>I17</f>
        <v>1584</v>
      </c>
      <c r="AR17" s="619"/>
      <c r="AS17" s="548"/>
      <c r="AT17" s="548"/>
      <c r="AU17" s="554">
        <f>I17</f>
        <v>1584</v>
      </c>
      <c r="AW17" s="619"/>
      <c r="AX17" s="548"/>
      <c r="AY17" s="548"/>
      <c r="AZ17" s="548"/>
      <c r="BA17" s="548"/>
      <c r="BB17" s="620">
        <f>I17/48</f>
        <v>33</v>
      </c>
      <c r="BY17" s="619"/>
      <c r="BZ17" s="548"/>
      <c r="CA17" s="621"/>
      <c r="CB17" s="567"/>
      <c r="CC17" s="622"/>
      <c r="CD17" s="619"/>
      <c r="CE17" s="619"/>
      <c r="CF17" s="548"/>
      <c r="CG17" s="548"/>
      <c r="CU17" s="554">
        <f t="shared" si="0"/>
        <v>0</v>
      </c>
      <c r="CV17" s="554">
        <f t="shared" si="1"/>
        <v>0</v>
      </c>
      <c r="CW17" s="554">
        <f t="shared" si="2"/>
        <v>0</v>
      </c>
      <c r="CX17" s="619"/>
      <c r="CY17" s="619"/>
      <c r="CZ17" s="619"/>
      <c r="DA17" s="548"/>
      <c r="DB17" s="548"/>
      <c r="DC17" s="548"/>
      <c r="DD17" s="619"/>
      <c r="DE17" s="619"/>
      <c r="DF17" s="619"/>
      <c r="DG17" s="619"/>
      <c r="DH17" s="619"/>
    </row>
    <row r="18" s="548" customFormat="1" ht="31" customHeight="1" spans="1:112">
      <c r="A18" s="608">
        <v>45737</v>
      </c>
      <c r="B18" s="609"/>
      <c r="C18" s="610"/>
      <c r="D18" s="554" t="s">
        <v>88</v>
      </c>
      <c r="E18" s="610"/>
      <c r="F18" s="548"/>
      <c r="G18" s="610" t="s">
        <v>6020</v>
      </c>
      <c r="H18" s="610" t="s">
        <v>6021</v>
      </c>
      <c r="I18" s="610" t="s">
        <v>6053</v>
      </c>
      <c r="J18" s="610"/>
      <c r="K18" s="610"/>
      <c r="L18" s="611"/>
      <c r="M18" s="612">
        <v>45740</v>
      </c>
      <c r="N18" s="612">
        <v>45736</v>
      </c>
      <c r="O18" s="613"/>
      <c r="P18" s="613"/>
      <c r="Q18" s="610"/>
      <c r="R18" s="614">
        <v>45737</v>
      </c>
      <c r="S18" s="614" t="s">
        <v>70</v>
      </c>
      <c r="T18" s="614" t="s">
        <v>70</v>
      </c>
      <c r="U18" s="614"/>
      <c r="V18" s="614"/>
      <c r="W18" s="615"/>
      <c r="X18" s="626" t="s">
        <v>6054</v>
      </c>
      <c r="Y18" s="609" t="s">
        <v>92</v>
      </c>
      <c r="Z18" s="609"/>
      <c r="AA18" s="616"/>
      <c r="AC18" s="617"/>
      <c r="AD18" s="610" t="s">
        <v>73</v>
      </c>
      <c r="AE18" s="610" t="s">
        <v>73</v>
      </c>
      <c r="AF18" s="610"/>
      <c r="AG18" s="610" t="s">
        <v>74</v>
      </c>
      <c r="AH18" s="610"/>
      <c r="AI18" s="610">
        <v>20</v>
      </c>
      <c r="AJ18" s="610">
        <f>AI18-K18</f>
        <v>20</v>
      </c>
      <c r="AK18" s="610"/>
      <c r="AL18" s="610"/>
      <c r="AM18" s="610"/>
      <c r="AN18" s="610"/>
      <c r="AO18" s="548"/>
      <c r="AP18" s="548"/>
      <c r="AQ18" s="548"/>
      <c r="AR18" s="619"/>
      <c r="AS18" s="548"/>
      <c r="AT18" s="548"/>
      <c r="AU18" s="548"/>
      <c r="AV18" s="548"/>
      <c r="AW18" s="619"/>
      <c r="AX18" s="548"/>
      <c r="AY18" s="548"/>
      <c r="AZ18" s="548"/>
      <c r="BA18" s="548"/>
      <c r="BB18" s="620"/>
      <c r="BC18" s="548"/>
      <c r="BD18" s="548"/>
      <c r="BE18" s="548"/>
      <c r="BF18" s="548"/>
      <c r="BY18" s="619"/>
      <c r="BZ18" s="548"/>
      <c r="CA18" s="621"/>
      <c r="CB18" s="567"/>
      <c r="CC18" s="622"/>
      <c r="CD18" s="619"/>
      <c r="CE18" s="619"/>
      <c r="CF18" s="548"/>
      <c r="CG18" s="548"/>
      <c r="CU18" s="554">
        <f t="shared" si="0"/>
        <v>0</v>
      </c>
      <c r="CV18" s="554">
        <f t="shared" si="1"/>
        <v>0</v>
      </c>
      <c r="CW18" s="554">
        <f t="shared" si="2"/>
        <v>0</v>
      </c>
      <c r="CX18" s="619"/>
      <c r="CY18" s="619"/>
      <c r="CZ18" s="619"/>
      <c r="DA18" s="548"/>
      <c r="DB18" s="548"/>
      <c r="DC18" s="548"/>
      <c r="DD18" s="619"/>
      <c r="DE18" s="619"/>
      <c r="DF18" s="619"/>
      <c r="DG18" s="619"/>
      <c r="DH18" s="619"/>
    </row>
    <row r="19" s="548" customFormat="1" ht="31" customHeight="1" spans="1:112">
      <c r="A19" s="608">
        <v>45737</v>
      </c>
      <c r="B19" s="609"/>
      <c r="C19" s="610"/>
      <c r="D19" s="554" t="s">
        <v>88</v>
      </c>
      <c r="E19" s="610"/>
      <c r="F19" s="548"/>
      <c r="G19" s="610" t="s">
        <v>6025</v>
      </c>
      <c r="H19" s="610" t="s">
        <v>6026</v>
      </c>
      <c r="I19" s="610" t="s">
        <v>6055</v>
      </c>
      <c r="J19" s="610">
        <v>0</v>
      </c>
      <c r="K19" s="610">
        <v>550</v>
      </c>
      <c r="L19" s="611">
        <v>2</v>
      </c>
      <c r="M19" s="612">
        <v>45740</v>
      </c>
      <c r="N19" s="612">
        <v>45736</v>
      </c>
      <c r="O19" s="613"/>
      <c r="P19" s="613"/>
      <c r="Q19" s="610"/>
      <c r="R19" s="614">
        <v>45737</v>
      </c>
      <c r="S19" s="614" t="s">
        <v>70</v>
      </c>
      <c r="T19" s="614" t="s">
        <v>70</v>
      </c>
      <c r="U19" s="614"/>
      <c r="V19" s="614"/>
      <c r="W19" s="615"/>
      <c r="X19" s="609" t="s">
        <v>6056</v>
      </c>
      <c r="Y19" s="609" t="s">
        <v>92</v>
      </c>
      <c r="Z19" s="609"/>
      <c r="AA19" s="616"/>
      <c r="AC19" s="617"/>
      <c r="AD19" s="610" t="s">
        <v>73</v>
      </c>
      <c r="AE19" s="610" t="s">
        <v>73</v>
      </c>
      <c r="AF19" s="610"/>
      <c r="AG19" s="610" t="s">
        <v>74</v>
      </c>
      <c r="AH19" s="610"/>
      <c r="AI19" s="610">
        <v>1100</v>
      </c>
      <c r="AJ19" s="610">
        <f>AI19-1100</f>
        <v>0</v>
      </c>
      <c r="AK19" s="610"/>
      <c r="AL19" s="610"/>
      <c r="AM19" s="610"/>
      <c r="AN19" s="610"/>
      <c r="AO19" s="548"/>
      <c r="AP19" s="548"/>
      <c r="AQ19" s="548"/>
      <c r="AR19" s="619"/>
      <c r="AS19" s="548"/>
      <c r="AT19" s="548"/>
      <c r="AU19" s="548"/>
      <c r="AV19" s="548"/>
      <c r="AW19" s="619"/>
      <c r="AX19" s="548"/>
      <c r="AY19" s="548"/>
      <c r="AZ19" s="548"/>
      <c r="BA19" s="548"/>
      <c r="BB19" s="620"/>
      <c r="BC19" s="548"/>
      <c r="BD19" s="548"/>
      <c r="BE19" s="548"/>
      <c r="BF19" s="548"/>
      <c r="BY19" s="619"/>
      <c r="BZ19" s="548"/>
      <c r="CA19" s="621"/>
      <c r="CB19" s="567"/>
      <c r="CC19" s="622"/>
      <c r="CD19" s="619"/>
      <c r="CE19" s="619"/>
      <c r="CF19" s="548"/>
      <c r="CG19" s="548"/>
      <c r="CU19" s="554">
        <f t="shared" si="0"/>
        <v>0</v>
      </c>
      <c r="CV19" s="554">
        <f t="shared" si="1"/>
        <v>0</v>
      </c>
      <c r="CW19" s="554">
        <f t="shared" si="2"/>
        <v>0</v>
      </c>
      <c r="CX19" s="619"/>
      <c r="CY19" s="619"/>
      <c r="CZ19" s="619"/>
      <c r="DA19" s="548"/>
      <c r="DB19" s="548"/>
      <c r="DC19" s="548"/>
      <c r="DD19" s="619"/>
      <c r="DE19" s="619"/>
      <c r="DF19" s="619"/>
      <c r="DG19" s="619"/>
      <c r="DH19" s="619"/>
    </row>
    <row r="20" s="548" customFormat="1" ht="31" customHeight="1" spans="1:112">
      <c r="A20" s="608">
        <v>45749</v>
      </c>
      <c r="B20" s="609"/>
      <c r="C20" s="610"/>
      <c r="D20" s="554" t="s">
        <v>94</v>
      </c>
      <c r="E20" s="610"/>
      <c r="F20" s="548"/>
      <c r="G20" s="610" t="s">
        <v>6020</v>
      </c>
      <c r="H20" s="610" t="s">
        <v>6021</v>
      </c>
      <c r="I20" s="610" t="s">
        <v>95</v>
      </c>
      <c r="J20" s="610"/>
      <c r="K20" s="610"/>
      <c r="L20" s="611"/>
      <c r="M20" s="612">
        <v>45757</v>
      </c>
      <c r="N20" s="612">
        <v>45754</v>
      </c>
      <c r="O20" s="613"/>
      <c r="P20" s="613"/>
      <c r="Q20" s="610"/>
      <c r="R20" s="614">
        <v>45749</v>
      </c>
      <c r="S20" s="614" t="s">
        <v>70</v>
      </c>
      <c r="T20" s="614" t="s">
        <v>70</v>
      </c>
      <c r="U20" s="614"/>
      <c r="V20" s="614"/>
      <c r="W20" s="615"/>
      <c r="X20" s="609" t="s">
        <v>96</v>
      </c>
      <c r="Y20" s="609" t="s">
        <v>92</v>
      </c>
      <c r="Z20" s="609"/>
      <c r="AA20" s="616"/>
      <c r="AC20" s="617"/>
      <c r="AD20" s="610" t="s">
        <v>73</v>
      </c>
      <c r="AE20" s="610" t="s">
        <v>73</v>
      </c>
      <c r="AF20" s="610"/>
      <c r="AG20" s="610" t="s">
        <v>74</v>
      </c>
      <c r="AH20" s="610"/>
      <c r="AI20" s="610"/>
      <c r="AJ20" s="610"/>
      <c r="AK20" s="610"/>
      <c r="AL20" s="610"/>
      <c r="AM20" s="610"/>
      <c r="AN20" s="610"/>
      <c r="AO20" s="548"/>
      <c r="AP20" s="548"/>
      <c r="AQ20" s="548"/>
      <c r="AR20" s="619"/>
      <c r="AS20" s="548"/>
      <c r="AT20" s="548"/>
      <c r="AU20" s="548"/>
      <c r="AV20" s="548"/>
      <c r="AW20" s="619"/>
      <c r="AX20" s="548"/>
      <c r="AY20" s="548"/>
      <c r="AZ20" s="548"/>
      <c r="BA20" s="548"/>
      <c r="BB20" s="620"/>
      <c r="BC20" s="548"/>
      <c r="BD20" s="548"/>
      <c r="BE20" s="548"/>
      <c r="BF20" s="548"/>
      <c r="BY20" s="619"/>
      <c r="BZ20" s="548"/>
      <c r="CA20" s="621"/>
      <c r="CB20" s="567"/>
      <c r="CC20" s="622"/>
      <c r="CD20" s="619"/>
      <c r="CE20" s="619"/>
      <c r="CF20" s="548"/>
      <c r="CG20" s="548"/>
      <c r="CU20" s="554">
        <f t="shared" si="0"/>
        <v>0</v>
      </c>
      <c r="CV20" s="554">
        <f t="shared" si="1"/>
        <v>0</v>
      </c>
      <c r="CW20" s="554">
        <f t="shared" si="2"/>
        <v>0</v>
      </c>
      <c r="CX20" s="619"/>
      <c r="CY20" s="619"/>
      <c r="CZ20" s="619"/>
      <c r="DA20" s="548"/>
      <c r="DB20" s="548"/>
      <c r="DC20" s="548"/>
      <c r="DD20" s="619"/>
      <c r="DE20" s="619"/>
      <c r="DF20" s="619"/>
      <c r="DG20" s="619"/>
      <c r="DH20" s="619"/>
    </row>
    <row r="21" s="548" customFormat="1" ht="31" customHeight="1" spans="1:112">
      <c r="A21" s="608">
        <v>45749</v>
      </c>
      <c r="B21" s="609"/>
      <c r="C21" s="610"/>
      <c r="D21" s="554" t="s">
        <v>94</v>
      </c>
      <c r="E21" s="610"/>
      <c r="F21" s="548"/>
      <c r="G21" s="610" t="s">
        <v>6025</v>
      </c>
      <c r="H21" s="610" t="s">
        <v>6026</v>
      </c>
      <c r="I21" s="610" t="s">
        <v>6057</v>
      </c>
      <c r="J21" s="610">
        <v>0</v>
      </c>
      <c r="K21" s="610">
        <v>550</v>
      </c>
      <c r="L21" s="611">
        <v>2</v>
      </c>
      <c r="M21" s="612">
        <v>45757</v>
      </c>
      <c r="N21" s="612">
        <v>45754</v>
      </c>
      <c r="O21" s="613"/>
      <c r="P21" s="613"/>
      <c r="Q21" s="610"/>
      <c r="R21" s="614">
        <v>45749</v>
      </c>
      <c r="S21" s="614" t="s">
        <v>70</v>
      </c>
      <c r="T21" s="614" t="s">
        <v>70</v>
      </c>
      <c r="U21" s="614"/>
      <c r="V21" s="614"/>
      <c r="W21" s="615"/>
      <c r="X21" s="609" t="s">
        <v>96</v>
      </c>
      <c r="Y21" s="609" t="s">
        <v>92</v>
      </c>
      <c r="Z21" s="609"/>
      <c r="AA21" s="616"/>
      <c r="AC21" s="617"/>
      <c r="AD21" s="610" t="s">
        <v>73</v>
      </c>
      <c r="AE21" s="610" t="s">
        <v>73</v>
      </c>
      <c r="AF21" s="610"/>
      <c r="AG21" s="610" t="s">
        <v>74</v>
      </c>
      <c r="AH21" s="610"/>
      <c r="AI21" s="610"/>
      <c r="AJ21" s="610"/>
      <c r="AK21" s="610"/>
      <c r="AL21" s="610"/>
      <c r="AM21" s="610"/>
      <c r="AN21" s="610"/>
      <c r="AO21" s="548"/>
      <c r="AP21" s="548"/>
      <c r="AQ21" s="548"/>
      <c r="AR21" s="619"/>
      <c r="AS21" s="548"/>
      <c r="AT21" s="548"/>
      <c r="AU21" s="548"/>
      <c r="AV21" s="548"/>
      <c r="AW21" s="619"/>
      <c r="AX21" s="548"/>
      <c r="AY21" s="548"/>
      <c r="AZ21" s="548"/>
      <c r="BA21" s="548"/>
      <c r="BB21" s="620"/>
      <c r="BC21" s="548"/>
      <c r="BD21" s="548"/>
      <c r="BE21" s="548"/>
      <c r="BF21" s="548"/>
      <c r="BY21" s="619"/>
      <c r="BZ21" s="548"/>
      <c r="CA21" s="621"/>
      <c r="CB21" s="567"/>
      <c r="CC21" s="622"/>
      <c r="CD21" s="619"/>
      <c r="CE21" s="619"/>
      <c r="CF21" s="548"/>
      <c r="CG21" s="548"/>
      <c r="CU21" s="554">
        <f t="shared" si="0"/>
        <v>0</v>
      </c>
      <c r="CV21" s="554">
        <f t="shared" si="1"/>
        <v>0</v>
      </c>
      <c r="CW21" s="554">
        <f t="shared" si="2"/>
        <v>0</v>
      </c>
      <c r="CX21" s="619"/>
      <c r="CY21" s="619"/>
      <c r="CZ21" s="619"/>
      <c r="DA21" s="548"/>
      <c r="DB21" s="548"/>
      <c r="DC21" s="548"/>
      <c r="DD21" s="619"/>
      <c r="DE21" s="619"/>
      <c r="DF21" s="619"/>
      <c r="DG21" s="619"/>
      <c r="DH21" s="619"/>
    </row>
    <row r="22" s="548" customFormat="1" ht="31" customHeight="1" spans="1:112">
      <c r="A22" s="608">
        <v>45740</v>
      </c>
      <c r="B22" s="609"/>
      <c r="C22" s="610"/>
      <c r="D22" s="554" t="s">
        <v>6058</v>
      </c>
      <c r="E22" s="610"/>
      <c r="F22" s="548"/>
      <c r="G22" s="610" t="s">
        <v>6020</v>
      </c>
      <c r="H22" s="610" t="s">
        <v>6021</v>
      </c>
      <c r="I22" s="610">
        <v>600</v>
      </c>
      <c r="J22" s="610">
        <v>0</v>
      </c>
      <c r="K22" s="610">
        <v>24</v>
      </c>
      <c r="L22" s="611">
        <f>I22/K22</f>
        <v>25</v>
      </c>
      <c r="M22" s="612">
        <v>45759</v>
      </c>
      <c r="N22" s="612">
        <v>45755</v>
      </c>
      <c r="O22" s="613"/>
      <c r="P22" s="613" t="s">
        <v>113</v>
      </c>
      <c r="Q22" s="610"/>
      <c r="R22" s="614">
        <v>45740</v>
      </c>
      <c r="S22" s="614" t="s">
        <v>70</v>
      </c>
      <c r="T22" s="614" t="s">
        <v>70</v>
      </c>
      <c r="U22" s="614"/>
      <c r="V22" s="614"/>
      <c r="W22" s="615"/>
      <c r="X22" s="609" t="s">
        <v>6059</v>
      </c>
      <c r="Y22" s="609" t="s">
        <v>92</v>
      </c>
      <c r="Z22" s="609"/>
      <c r="AA22" s="616"/>
      <c r="AC22" s="629" t="s">
        <v>6060</v>
      </c>
      <c r="AD22" s="610" t="s">
        <v>6052</v>
      </c>
      <c r="AE22" s="610" t="s">
        <v>82</v>
      </c>
      <c r="AF22" s="610"/>
      <c r="AG22" s="610" t="s">
        <v>74</v>
      </c>
      <c r="AH22" s="610"/>
      <c r="AI22" s="610">
        <v>600</v>
      </c>
      <c r="AJ22" s="610">
        <f>AI22-I22</f>
        <v>0</v>
      </c>
      <c r="AK22" s="610"/>
      <c r="AL22" s="610"/>
      <c r="AM22" s="610"/>
      <c r="AN22" s="610">
        <f>I22</f>
        <v>600</v>
      </c>
      <c r="AP22" s="554">
        <f>I22</f>
        <v>600</v>
      </c>
      <c r="AR22" s="619"/>
      <c r="AS22" s="548"/>
      <c r="AT22" s="548"/>
      <c r="AU22" s="554">
        <f>I22</f>
        <v>600</v>
      </c>
      <c r="AW22" s="619"/>
      <c r="AX22" s="548"/>
      <c r="AY22" s="548"/>
      <c r="AZ22" s="548"/>
      <c r="BA22" s="548"/>
      <c r="BB22" s="620">
        <f>I22/48</f>
        <v>12.5</v>
      </c>
      <c r="BY22" s="619"/>
      <c r="BZ22" s="548"/>
      <c r="CA22" s="621"/>
      <c r="CB22" s="567"/>
      <c r="CC22" s="622"/>
      <c r="CD22" s="619"/>
      <c r="CE22" s="619"/>
      <c r="CF22" s="548"/>
      <c r="CG22" s="548"/>
      <c r="CU22" s="554">
        <f t="shared" si="0"/>
        <v>0</v>
      </c>
      <c r="CV22" s="554">
        <f t="shared" si="1"/>
        <v>0</v>
      </c>
      <c r="CW22" s="554">
        <f t="shared" si="2"/>
        <v>0</v>
      </c>
      <c r="CX22" s="619"/>
      <c r="CY22" s="619"/>
      <c r="CZ22" s="619"/>
      <c r="DA22" s="548"/>
      <c r="DB22" s="548"/>
      <c r="DC22" s="548"/>
      <c r="DD22" s="619"/>
      <c r="DE22" s="619"/>
      <c r="DF22" s="619"/>
      <c r="DG22" s="619"/>
      <c r="DH22" s="619"/>
    </row>
    <row r="23" s="548" customFormat="1" ht="31" customHeight="1" spans="1:112">
      <c r="A23" s="608">
        <v>45740</v>
      </c>
      <c r="B23" s="609"/>
      <c r="C23" s="610"/>
      <c r="D23" s="554" t="s">
        <v>6058</v>
      </c>
      <c r="E23" s="610"/>
      <c r="F23" s="548"/>
      <c r="G23" s="610" t="s">
        <v>6020</v>
      </c>
      <c r="H23" s="610" t="s">
        <v>6021</v>
      </c>
      <c r="I23" s="610" t="s">
        <v>6057</v>
      </c>
      <c r="J23" s="610"/>
      <c r="K23" s="610"/>
      <c r="L23" s="611"/>
      <c r="M23" s="612">
        <v>45759</v>
      </c>
      <c r="N23" s="612">
        <v>45755</v>
      </c>
      <c r="O23" s="613"/>
      <c r="P23" s="613"/>
      <c r="Q23" s="610"/>
      <c r="R23" s="614">
        <v>45740</v>
      </c>
      <c r="S23" s="614" t="s">
        <v>70</v>
      </c>
      <c r="T23" s="614" t="s">
        <v>70</v>
      </c>
      <c r="U23" s="614"/>
      <c r="V23" s="614"/>
      <c r="W23" s="615"/>
      <c r="X23" s="609" t="s">
        <v>6061</v>
      </c>
      <c r="Y23" s="609" t="s">
        <v>92</v>
      </c>
      <c r="Z23" s="609"/>
      <c r="AA23" s="616"/>
      <c r="AC23" s="617"/>
      <c r="AD23" s="610" t="s">
        <v>73</v>
      </c>
      <c r="AE23" s="610" t="s">
        <v>73</v>
      </c>
      <c r="AF23" s="610"/>
      <c r="AG23" s="610" t="s">
        <v>74</v>
      </c>
      <c r="AH23" s="610"/>
      <c r="AI23" s="610">
        <v>30</v>
      </c>
      <c r="AJ23" s="610">
        <v>0</v>
      </c>
      <c r="AK23" s="610"/>
      <c r="AL23" s="610"/>
      <c r="AM23" s="610"/>
      <c r="AN23" s="610"/>
      <c r="AO23" s="548"/>
      <c r="AP23" s="548"/>
      <c r="AQ23" s="548"/>
      <c r="AR23" s="619"/>
      <c r="AS23" s="548"/>
      <c r="AT23" s="548"/>
      <c r="AU23" s="548"/>
      <c r="AV23" s="548"/>
      <c r="AW23" s="619"/>
      <c r="AX23" s="548"/>
      <c r="AY23" s="548"/>
      <c r="AZ23" s="548"/>
      <c r="BA23" s="548"/>
      <c r="BB23" s="620"/>
      <c r="BC23" s="548"/>
      <c r="BD23" s="548"/>
      <c r="BE23" s="548"/>
      <c r="BF23" s="548"/>
      <c r="BY23" s="619"/>
      <c r="BZ23" s="548"/>
      <c r="CA23" s="621"/>
      <c r="CB23" s="567"/>
      <c r="CC23" s="622"/>
      <c r="CD23" s="619"/>
      <c r="CE23" s="619"/>
      <c r="CF23" s="548"/>
      <c r="CG23" s="548"/>
      <c r="CU23" s="554">
        <f t="shared" si="0"/>
        <v>0</v>
      </c>
      <c r="CV23" s="554">
        <f t="shared" si="1"/>
        <v>0</v>
      </c>
      <c r="CW23" s="554">
        <f t="shared" si="2"/>
        <v>0</v>
      </c>
      <c r="CX23" s="619"/>
      <c r="CY23" s="619"/>
      <c r="CZ23" s="619"/>
      <c r="DA23" s="548"/>
      <c r="DB23" s="548"/>
      <c r="DC23" s="548"/>
      <c r="DD23" s="619"/>
      <c r="DE23" s="619"/>
      <c r="DF23" s="619"/>
      <c r="DG23" s="619"/>
      <c r="DH23" s="619"/>
    </row>
    <row r="24" s="548" customFormat="1" ht="31" customHeight="1" spans="1:112">
      <c r="A24" s="608">
        <v>45740</v>
      </c>
      <c r="B24" s="609"/>
      <c r="C24" s="610"/>
      <c r="D24" s="554" t="s">
        <v>6058</v>
      </c>
      <c r="E24" s="610"/>
      <c r="F24" s="548"/>
      <c r="G24" s="610" t="s">
        <v>6025</v>
      </c>
      <c r="H24" s="610" t="s">
        <v>6026</v>
      </c>
      <c r="I24" s="610">
        <v>400</v>
      </c>
      <c r="J24" s="610">
        <v>0</v>
      </c>
      <c r="K24" s="610">
        <v>24</v>
      </c>
      <c r="L24" s="611">
        <f>I24/K24</f>
        <v>16.6666666666667</v>
      </c>
      <c r="M24" s="612">
        <v>45759</v>
      </c>
      <c r="N24" s="612">
        <v>45755</v>
      </c>
      <c r="O24" s="613"/>
      <c r="P24" s="613"/>
      <c r="Q24" s="610"/>
      <c r="R24" s="614">
        <v>45740</v>
      </c>
      <c r="S24" s="614" t="s">
        <v>70</v>
      </c>
      <c r="T24" s="614" t="s">
        <v>70</v>
      </c>
      <c r="U24" s="614"/>
      <c r="V24" s="614"/>
      <c r="W24" s="615"/>
      <c r="X24" s="609" t="s">
        <v>6059</v>
      </c>
      <c r="Y24" s="609" t="s">
        <v>92</v>
      </c>
      <c r="Z24" s="609"/>
      <c r="AA24" s="616"/>
      <c r="AC24" s="629" t="s">
        <v>6060</v>
      </c>
      <c r="AD24" s="618" t="s">
        <v>6025</v>
      </c>
      <c r="AE24" s="610" t="s">
        <v>82</v>
      </c>
      <c r="AF24" s="610"/>
      <c r="AG24" s="610" t="s">
        <v>74</v>
      </c>
      <c r="AH24" s="610"/>
      <c r="AI24" s="610">
        <v>400</v>
      </c>
      <c r="AJ24" s="610">
        <f>AI24-I24</f>
        <v>0</v>
      </c>
      <c r="AK24" s="610"/>
      <c r="AL24" s="610"/>
      <c r="AM24" s="610"/>
      <c r="AN24" s="610"/>
      <c r="AO24" s="554">
        <f>I24</f>
        <v>400</v>
      </c>
      <c r="AR24" s="619"/>
      <c r="AS24" s="548"/>
      <c r="AT24" s="554">
        <f>I24</f>
        <v>400</v>
      </c>
      <c r="AV24" s="554">
        <f>I24</f>
        <v>400</v>
      </c>
      <c r="AW24" s="619"/>
      <c r="AX24" s="548"/>
      <c r="AY24" s="548"/>
      <c r="AZ24" s="548"/>
      <c r="BA24" s="548"/>
      <c r="BB24" s="620">
        <f>I24/24</f>
        <v>16.6666666666667</v>
      </c>
      <c r="BY24" s="619"/>
      <c r="BZ24" s="548"/>
      <c r="CA24" s="621"/>
      <c r="CB24" s="567"/>
      <c r="CC24" s="622"/>
      <c r="CD24" s="619"/>
      <c r="CE24" s="619"/>
      <c r="CF24" s="548"/>
      <c r="CG24" s="548"/>
      <c r="CU24" s="554">
        <f t="shared" si="0"/>
        <v>0</v>
      </c>
      <c r="CV24" s="554">
        <f t="shared" si="1"/>
        <v>0</v>
      </c>
      <c r="CW24" s="554">
        <f t="shared" si="2"/>
        <v>0</v>
      </c>
      <c r="CX24" s="619"/>
      <c r="CY24" s="619"/>
      <c r="CZ24" s="619"/>
      <c r="DA24" s="548"/>
      <c r="DB24" s="548"/>
      <c r="DC24" s="548"/>
      <c r="DD24" s="619"/>
      <c r="DE24" s="619"/>
      <c r="DF24" s="619"/>
      <c r="DG24" s="619"/>
      <c r="DH24" s="619"/>
    </row>
    <row r="25" s="548" customFormat="1" ht="31" customHeight="1" spans="1:112">
      <c r="A25" s="608">
        <v>45740</v>
      </c>
      <c r="B25" s="609"/>
      <c r="C25" s="610"/>
      <c r="D25" s="554" t="s">
        <v>6058</v>
      </c>
      <c r="E25" s="610"/>
      <c r="F25" s="548"/>
      <c r="G25" s="610" t="s">
        <v>6025</v>
      </c>
      <c r="H25" s="610" t="s">
        <v>6026</v>
      </c>
      <c r="I25" s="610" t="s">
        <v>6057</v>
      </c>
      <c r="J25" s="610">
        <v>0</v>
      </c>
      <c r="K25" s="610">
        <v>24</v>
      </c>
      <c r="L25" s="611">
        <v>2</v>
      </c>
      <c r="M25" s="612">
        <v>45759</v>
      </c>
      <c r="N25" s="612">
        <v>45755</v>
      </c>
      <c r="O25" s="613"/>
      <c r="P25" s="613"/>
      <c r="Q25" s="610"/>
      <c r="R25" s="614">
        <v>45740</v>
      </c>
      <c r="S25" s="614" t="s">
        <v>70</v>
      </c>
      <c r="T25" s="614" t="s">
        <v>70</v>
      </c>
      <c r="U25" s="614"/>
      <c r="V25" s="614"/>
      <c r="W25" s="615"/>
      <c r="X25" s="609" t="s">
        <v>6061</v>
      </c>
      <c r="Y25" s="609" t="s">
        <v>92</v>
      </c>
      <c r="Z25" s="609"/>
      <c r="AA25" s="616"/>
      <c r="AC25" s="617"/>
      <c r="AD25" s="610" t="s">
        <v>73</v>
      </c>
      <c r="AE25" s="610" t="s">
        <v>73</v>
      </c>
      <c r="AF25" s="610"/>
      <c r="AG25" s="610" t="s">
        <v>74</v>
      </c>
      <c r="AH25" s="610"/>
      <c r="AI25" s="610">
        <v>30</v>
      </c>
      <c r="AJ25" s="610">
        <v>0</v>
      </c>
      <c r="AK25" s="610"/>
      <c r="AL25" s="610"/>
      <c r="AM25" s="610"/>
      <c r="AN25" s="610"/>
      <c r="AO25" s="548"/>
      <c r="AP25" s="548"/>
      <c r="AQ25" s="548"/>
      <c r="AR25" s="619"/>
      <c r="AS25" s="548"/>
      <c r="AT25" s="548"/>
      <c r="AU25" s="548"/>
      <c r="AV25" s="548"/>
      <c r="AW25" s="619"/>
      <c r="AX25" s="548"/>
      <c r="AY25" s="548"/>
      <c r="AZ25" s="548"/>
      <c r="BA25" s="548"/>
      <c r="BB25" s="620"/>
      <c r="BC25" s="548"/>
      <c r="BD25" s="548"/>
      <c r="BE25" s="548"/>
      <c r="BF25" s="548"/>
      <c r="BY25" s="619"/>
      <c r="BZ25" s="548"/>
      <c r="CA25" s="621"/>
      <c r="CB25" s="567"/>
      <c r="CC25" s="622"/>
      <c r="CD25" s="619"/>
      <c r="CE25" s="619"/>
      <c r="CF25" s="548"/>
      <c r="CG25" s="548"/>
      <c r="CU25" s="554">
        <f t="shared" si="0"/>
        <v>0</v>
      </c>
      <c r="CV25" s="554">
        <f t="shared" si="1"/>
        <v>0</v>
      </c>
      <c r="CW25" s="554">
        <f t="shared" si="2"/>
        <v>0</v>
      </c>
      <c r="CX25" s="619"/>
      <c r="CY25" s="619"/>
      <c r="CZ25" s="619"/>
      <c r="DA25" s="548"/>
      <c r="DB25" s="548"/>
      <c r="DC25" s="548"/>
      <c r="DD25" s="619"/>
      <c r="DE25" s="619"/>
      <c r="DF25" s="619"/>
      <c r="DG25" s="619"/>
      <c r="DH25" s="619"/>
    </row>
    <row r="26" s="548" customFormat="1" ht="31" customHeight="1" spans="1:112">
      <c r="A26" s="608">
        <v>45726</v>
      </c>
      <c r="B26" s="609" t="s">
        <v>97</v>
      </c>
      <c r="C26" s="610" t="s">
        <v>98</v>
      </c>
      <c r="D26" s="554">
        <v>4500159672</v>
      </c>
      <c r="E26" s="613">
        <v>902763064</v>
      </c>
      <c r="F26" s="554" t="s">
        <v>6062</v>
      </c>
      <c r="G26" s="610" t="s">
        <v>6063</v>
      </c>
      <c r="H26" s="610" t="s">
        <v>6064</v>
      </c>
      <c r="I26" s="610">
        <v>3136</v>
      </c>
      <c r="J26" s="610">
        <v>0</v>
      </c>
      <c r="K26" s="610">
        <v>16</v>
      </c>
      <c r="L26" s="611">
        <f>I26/K26</f>
        <v>196</v>
      </c>
      <c r="M26" s="612">
        <v>45770</v>
      </c>
      <c r="N26" s="612">
        <v>45766</v>
      </c>
      <c r="O26" s="613" t="s">
        <v>103</v>
      </c>
      <c r="P26" s="613"/>
      <c r="Q26" s="610"/>
      <c r="R26" s="614">
        <v>45727</v>
      </c>
      <c r="S26" s="614" t="s">
        <v>70</v>
      </c>
      <c r="T26" s="614" t="s">
        <v>148</v>
      </c>
      <c r="U26" s="614"/>
      <c r="V26" s="614"/>
      <c r="W26" s="615"/>
      <c r="X26" s="628" t="s">
        <v>6065</v>
      </c>
      <c r="Y26" s="609" t="s">
        <v>106</v>
      </c>
      <c r="Z26" s="609">
        <v>1.68</v>
      </c>
      <c r="AA26" s="616">
        <f>Z26*I26</f>
        <v>5268.48</v>
      </c>
      <c r="AC26" s="617"/>
      <c r="AD26" s="610" t="s">
        <v>6063</v>
      </c>
      <c r="AE26" s="610" t="s">
        <v>82</v>
      </c>
      <c r="AF26" s="610"/>
      <c r="AG26" s="610" t="s">
        <v>74</v>
      </c>
      <c r="AH26" s="610"/>
      <c r="AI26" s="610">
        <f>504+2632</f>
        <v>3136</v>
      </c>
      <c r="AJ26" s="610">
        <f t="shared" ref="AJ26:AJ89" si="3">AI26-I26</f>
        <v>0</v>
      </c>
      <c r="AK26" s="610"/>
      <c r="AL26" s="610"/>
      <c r="AM26" s="610"/>
      <c r="AN26" s="610">
        <f>I26</f>
        <v>3136</v>
      </c>
      <c r="AP26" s="554">
        <f>I26</f>
        <v>3136</v>
      </c>
      <c r="AR26" s="619"/>
      <c r="AS26" s="548"/>
      <c r="AT26" s="548"/>
      <c r="AU26" s="554">
        <f>I26</f>
        <v>3136</v>
      </c>
      <c r="AW26" s="619"/>
      <c r="AX26" s="548"/>
      <c r="AY26" s="548"/>
      <c r="AZ26" s="548"/>
      <c r="BA26" s="548"/>
      <c r="BB26" s="620">
        <f>I26/48</f>
        <v>65.3333333333333</v>
      </c>
      <c r="BQ26" s="554">
        <f>I26/16</f>
        <v>196</v>
      </c>
      <c r="BY26" s="619"/>
      <c r="BZ26" s="548"/>
      <c r="CA26" s="621"/>
      <c r="CB26" s="567"/>
      <c r="CC26" s="622"/>
      <c r="CD26" s="619"/>
      <c r="CE26" s="619"/>
      <c r="CF26" s="548"/>
      <c r="CG26" s="548"/>
      <c r="CU26" s="554">
        <f t="shared" si="0"/>
        <v>196</v>
      </c>
      <c r="CV26" s="554">
        <f t="shared" si="1"/>
        <v>0</v>
      </c>
      <c r="CW26" s="554">
        <f t="shared" si="2"/>
        <v>0</v>
      </c>
      <c r="CX26" s="619"/>
      <c r="CY26" s="619"/>
      <c r="CZ26" s="619"/>
      <c r="DA26" s="548"/>
      <c r="DB26" s="548"/>
      <c r="DC26" s="548"/>
      <c r="DD26" s="619"/>
      <c r="DE26" s="619"/>
      <c r="DF26" s="619"/>
      <c r="DG26" s="619"/>
      <c r="DH26" s="619"/>
    </row>
    <row r="27" s="548" customFormat="1" ht="31" customHeight="1" spans="1:112">
      <c r="A27" s="608">
        <v>45761</v>
      </c>
      <c r="B27" s="609"/>
      <c r="C27" s="610"/>
      <c r="D27" s="554" t="s">
        <v>107</v>
      </c>
      <c r="E27" s="610"/>
      <c r="F27" s="548"/>
      <c r="G27" s="610" t="s">
        <v>6020</v>
      </c>
      <c r="H27" s="610" t="s">
        <v>6021</v>
      </c>
      <c r="I27" s="610">
        <v>816</v>
      </c>
      <c r="J27" s="610">
        <v>0</v>
      </c>
      <c r="K27" s="610">
        <v>24</v>
      </c>
      <c r="L27" s="611">
        <f>I27/K27</f>
        <v>34</v>
      </c>
      <c r="M27" s="612">
        <v>45771</v>
      </c>
      <c r="N27" s="612">
        <v>45768</v>
      </c>
      <c r="O27" s="613"/>
      <c r="P27" s="613" t="s">
        <v>113</v>
      </c>
      <c r="Q27" s="610"/>
      <c r="R27" s="614">
        <v>45761</v>
      </c>
      <c r="S27" s="614" t="s">
        <v>70</v>
      </c>
      <c r="T27" s="614" t="s">
        <v>70</v>
      </c>
      <c r="U27" s="614"/>
      <c r="V27" s="614"/>
      <c r="W27" s="615"/>
      <c r="X27" s="609" t="s">
        <v>6066</v>
      </c>
      <c r="Y27" s="609" t="s">
        <v>92</v>
      </c>
      <c r="Z27" s="609"/>
      <c r="AA27" s="616"/>
      <c r="AC27" s="629" t="s">
        <v>109</v>
      </c>
      <c r="AD27" s="610" t="s">
        <v>6052</v>
      </c>
      <c r="AE27" s="610" t="s">
        <v>82</v>
      </c>
      <c r="AF27" s="610"/>
      <c r="AG27" s="610" t="s">
        <v>74</v>
      </c>
      <c r="AH27" s="610"/>
      <c r="AI27" s="610">
        <v>816</v>
      </c>
      <c r="AJ27" s="610">
        <f t="shared" si="3"/>
        <v>0</v>
      </c>
      <c r="AK27" s="610"/>
      <c r="AL27" s="610"/>
      <c r="AM27" s="610"/>
      <c r="AN27" s="610">
        <f>I27</f>
        <v>816</v>
      </c>
      <c r="AP27" s="554">
        <f>I27</f>
        <v>816</v>
      </c>
      <c r="AR27" s="619"/>
      <c r="AS27" s="548"/>
      <c r="AT27" s="548"/>
      <c r="AU27" s="554">
        <f>I27</f>
        <v>816</v>
      </c>
      <c r="AW27" s="619"/>
      <c r="AX27" s="548"/>
      <c r="AY27" s="548"/>
      <c r="AZ27" s="548"/>
      <c r="BA27" s="548"/>
      <c r="BB27" s="620">
        <f>I27/48</f>
        <v>17</v>
      </c>
      <c r="BY27" s="619"/>
      <c r="BZ27" s="548"/>
      <c r="CA27" s="621"/>
      <c r="CB27" s="567"/>
      <c r="CC27" s="622"/>
      <c r="CD27" s="619"/>
      <c r="CE27" s="619"/>
      <c r="CF27" s="548"/>
      <c r="CG27" s="548"/>
      <c r="CU27" s="554">
        <f t="shared" si="0"/>
        <v>0</v>
      </c>
      <c r="CV27" s="554">
        <f t="shared" si="1"/>
        <v>0</v>
      </c>
      <c r="CW27" s="554">
        <f t="shared" si="2"/>
        <v>0</v>
      </c>
      <c r="CX27" s="619"/>
      <c r="CY27" s="619"/>
      <c r="CZ27" s="619"/>
      <c r="DA27" s="548"/>
      <c r="DB27" s="548"/>
      <c r="DC27" s="548"/>
      <c r="DD27" s="619"/>
      <c r="DE27" s="619"/>
      <c r="DF27" s="619"/>
      <c r="DG27" s="619"/>
      <c r="DH27" s="619"/>
    </row>
    <row r="28" s="548" customFormat="1" ht="31" customHeight="1" spans="1:112">
      <c r="A28" s="608">
        <v>45761</v>
      </c>
      <c r="B28" s="609"/>
      <c r="C28" s="610"/>
      <c r="D28" s="554" t="s">
        <v>107</v>
      </c>
      <c r="E28" s="610"/>
      <c r="F28" s="548"/>
      <c r="G28" s="610" t="s">
        <v>6025</v>
      </c>
      <c r="H28" s="610" t="s">
        <v>6026</v>
      </c>
      <c r="I28" s="610">
        <v>504</v>
      </c>
      <c r="J28" s="610">
        <v>0</v>
      </c>
      <c r="K28" s="610">
        <v>24</v>
      </c>
      <c r="L28" s="611">
        <v>2</v>
      </c>
      <c r="M28" s="612">
        <v>45771</v>
      </c>
      <c r="N28" s="612">
        <v>45768</v>
      </c>
      <c r="O28" s="613"/>
      <c r="P28" s="613" t="s">
        <v>113</v>
      </c>
      <c r="Q28" s="610"/>
      <c r="R28" s="614">
        <v>45761</v>
      </c>
      <c r="S28" s="614" t="s">
        <v>70</v>
      </c>
      <c r="T28" s="614" t="s">
        <v>70</v>
      </c>
      <c r="U28" s="614"/>
      <c r="V28" s="614"/>
      <c r="W28" s="615"/>
      <c r="X28" s="609" t="s">
        <v>6066</v>
      </c>
      <c r="Y28" s="609" t="s">
        <v>92</v>
      </c>
      <c r="Z28" s="609"/>
      <c r="AA28" s="616"/>
      <c r="AC28" s="617"/>
      <c r="AD28" s="610" t="s">
        <v>73</v>
      </c>
      <c r="AE28" s="610" t="s">
        <v>73</v>
      </c>
      <c r="AF28" s="610"/>
      <c r="AG28" s="610" t="s">
        <v>74</v>
      </c>
      <c r="AH28" s="610"/>
      <c r="AI28" s="610">
        <v>504</v>
      </c>
      <c r="AJ28" s="610">
        <f t="shared" si="3"/>
        <v>0</v>
      </c>
      <c r="AK28" s="610"/>
      <c r="AL28" s="610"/>
      <c r="AM28" s="610"/>
      <c r="AN28" s="610"/>
      <c r="AO28" s="554">
        <f>I28</f>
        <v>504</v>
      </c>
      <c r="AP28" s="554">
        <f>I28</f>
        <v>504</v>
      </c>
      <c r="AR28" s="619"/>
      <c r="AS28" s="548"/>
      <c r="AT28" s="548"/>
      <c r="AU28" s="548"/>
      <c r="AV28" s="554">
        <f>I28</f>
        <v>504</v>
      </c>
      <c r="AW28" s="619"/>
      <c r="AX28" s="548"/>
      <c r="AY28" s="548"/>
      <c r="AZ28" s="548"/>
      <c r="BA28" s="548"/>
      <c r="BB28" s="620">
        <f>I28/24</f>
        <v>21</v>
      </c>
      <c r="BY28" s="619"/>
      <c r="BZ28" s="548"/>
      <c r="CA28" s="621"/>
      <c r="CB28" s="567"/>
      <c r="CC28" s="622"/>
      <c r="CD28" s="619"/>
      <c r="CE28" s="619"/>
      <c r="CF28" s="548"/>
      <c r="CG28" s="548"/>
      <c r="CU28" s="554">
        <f t="shared" si="0"/>
        <v>0</v>
      </c>
      <c r="CV28" s="554">
        <f t="shared" si="1"/>
        <v>0</v>
      </c>
      <c r="CW28" s="554">
        <f t="shared" si="2"/>
        <v>0</v>
      </c>
      <c r="CX28" s="619"/>
      <c r="CY28" s="619"/>
      <c r="CZ28" s="619"/>
      <c r="DA28" s="548"/>
      <c r="DB28" s="548"/>
      <c r="DC28" s="548"/>
      <c r="DD28" s="619"/>
      <c r="DE28" s="619"/>
      <c r="DF28" s="619"/>
      <c r="DG28" s="619"/>
      <c r="DH28" s="619"/>
    </row>
    <row r="29" s="548" customFormat="1" ht="31" customHeight="1" spans="1:112">
      <c r="A29" s="608">
        <v>45670</v>
      </c>
      <c r="B29" s="609" t="s">
        <v>256</v>
      </c>
      <c r="C29" s="610" t="s">
        <v>257</v>
      </c>
      <c r="D29" s="554">
        <v>4500155601</v>
      </c>
      <c r="E29" s="610" t="s">
        <v>6067</v>
      </c>
      <c r="F29" s="554" t="s">
        <v>6068</v>
      </c>
      <c r="G29" s="610" t="s">
        <v>6047</v>
      </c>
      <c r="H29" s="610" t="s">
        <v>6069</v>
      </c>
      <c r="I29" s="610">
        <v>9000</v>
      </c>
      <c r="J29" s="610">
        <v>0</v>
      </c>
      <c r="K29" s="610">
        <v>25</v>
      </c>
      <c r="L29" s="611">
        <f t="shared" ref="L29:L92" si="4">I29/K29</f>
        <v>360</v>
      </c>
      <c r="M29" s="612">
        <v>45772</v>
      </c>
      <c r="N29" s="612">
        <v>45768</v>
      </c>
      <c r="O29" s="613"/>
      <c r="P29" s="613" t="s">
        <v>113</v>
      </c>
      <c r="Q29" s="610"/>
      <c r="R29" s="614">
        <v>45670</v>
      </c>
      <c r="S29" s="614" t="s">
        <v>70</v>
      </c>
      <c r="T29" s="614" t="s">
        <v>6070</v>
      </c>
      <c r="U29" s="614"/>
      <c r="V29" s="614"/>
      <c r="W29" s="615"/>
      <c r="X29" s="628" t="s">
        <v>6071</v>
      </c>
      <c r="Y29" s="609" t="s">
        <v>261</v>
      </c>
      <c r="Z29" s="609">
        <v>1.24</v>
      </c>
      <c r="AA29" s="616">
        <f>Z29*I29</f>
        <v>11160</v>
      </c>
      <c r="AC29" s="629" t="s">
        <v>6072</v>
      </c>
      <c r="AD29" s="610" t="s">
        <v>6073</v>
      </c>
      <c r="AE29" s="610" t="s">
        <v>82</v>
      </c>
      <c r="AF29" s="610"/>
      <c r="AG29" s="610" t="s">
        <v>74</v>
      </c>
      <c r="AH29" s="610"/>
      <c r="AI29" s="610">
        <v>9000</v>
      </c>
      <c r="AJ29" s="610">
        <f t="shared" si="3"/>
        <v>0</v>
      </c>
      <c r="AK29" s="610"/>
      <c r="AL29" s="610"/>
      <c r="AM29" s="610"/>
      <c r="AN29" s="610"/>
      <c r="AO29" s="554">
        <f>I29</f>
        <v>9000</v>
      </c>
      <c r="AR29" s="619"/>
      <c r="AS29" s="548"/>
      <c r="AT29" s="548"/>
      <c r="AU29" s="548"/>
      <c r="AV29" s="554">
        <f>I29</f>
        <v>9000</v>
      </c>
      <c r="AW29" s="619"/>
      <c r="AX29" s="548"/>
      <c r="AY29" s="548"/>
      <c r="AZ29" s="548"/>
      <c r="BA29" s="548"/>
      <c r="BB29" s="620">
        <f>I29/48</f>
        <v>187.5</v>
      </c>
      <c r="BE29" s="554">
        <f>I29</f>
        <v>9000</v>
      </c>
      <c r="BP29" s="554">
        <f>I29/25</f>
        <v>360</v>
      </c>
      <c r="BY29" s="619"/>
      <c r="BZ29" s="548"/>
      <c r="CA29" s="621"/>
      <c r="CB29" s="567"/>
      <c r="CC29" s="622"/>
      <c r="CD29" s="619"/>
      <c r="CE29" s="619"/>
      <c r="CF29" s="548"/>
      <c r="CG29" s="548"/>
      <c r="CU29" s="554">
        <f t="shared" si="0"/>
        <v>360</v>
      </c>
      <c r="CV29" s="554">
        <f t="shared" si="1"/>
        <v>0</v>
      </c>
      <c r="CW29" s="554">
        <f t="shared" si="2"/>
        <v>0</v>
      </c>
      <c r="CX29" s="619"/>
      <c r="CY29" s="619"/>
      <c r="CZ29" s="619"/>
      <c r="DA29" s="548"/>
      <c r="DB29" s="548"/>
      <c r="DC29" s="548"/>
      <c r="DD29" s="619"/>
      <c r="DE29" s="619"/>
      <c r="DF29" s="619"/>
      <c r="DG29" s="619"/>
      <c r="DH29" s="619"/>
    </row>
    <row r="30" s="548" customFormat="1" ht="31" customHeight="1" spans="1:112">
      <c r="A30" s="608">
        <v>45670</v>
      </c>
      <c r="B30" s="609" t="s">
        <v>256</v>
      </c>
      <c r="C30" s="610" t="s">
        <v>257</v>
      </c>
      <c r="D30" s="554">
        <v>4500155601</v>
      </c>
      <c r="E30" s="610" t="s">
        <v>6074</v>
      </c>
      <c r="F30" s="554" t="s">
        <v>6075</v>
      </c>
      <c r="G30" s="610" t="s">
        <v>6047</v>
      </c>
      <c r="H30" s="610" t="s">
        <v>6069</v>
      </c>
      <c r="I30" s="610">
        <v>3000</v>
      </c>
      <c r="J30" s="610">
        <v>0</v>
      </c>
      <c r="K30" s="610">
        <v>25</v>
      </c>
      <c r="L30" s="611">
        <f t="shared" si="4"/>
        <v>120</v>
      </c>
      <c r="M30" s="612">
        <v>45772</v>
      </c>
      <c r="N30" s="612">
        <v>45768</v>
      </c>
      <c r="O30" s="613"/>
      <c r="P30" s="613" t="s">
        <v>113</v>
      </c>
      <c r="Q30" s="610" t="s">
        <v>6076</v>
      </c>
      <c r="R30" s="614">
        <v>45670</v>
      </c>
      <c r="S30" s="614" t="s">
        <v>70</v>
      </c>
      <c r="T30" s="614" t="s">
        <v>6070</v>
      </c>
      <c r="U30" s="614"/>
      <c r="V30" s="614"/>
      <c r="W30" s="615"/>
      <c r="X30" s="628" t="s">
        <v>6071</v>
      </c>
      <c r="Y30" s="609" t="s">
        <v>261</v>
      </c>
      <c r="Z30" s="609">
        <v>1.24</v>
      </c>
      <c r="AA30" s="616">
        <f>Z30*I30</f>
        <v>3720</v>
      </c>
      <c r="AC30" s="629" t="s">
        <v>6077</v>
      </c>
      <c r="AD30" s="610" t="s">
        <v>6073</v>
      </c>
      <c r="AE30" s="610" t="s">
        <v>82</v>
      </c>
      <c r="AF30" s="610"/>
      <c r="AG30" s="610" t="s">
        <v>74</v>
      </c>
      <c r="AH30" s="610"/>
      <c r="AI30" s="610">
        <v>3000</v>
      </c>
      <c r="AJ30" s="610">
        <f t="shared" si="3"/>
        <v>0</v>
      </c>
      <c r="AK30" s="610"/>
      <c r="AL30" s="610"/>
      <c r="AM30" s="610"/>
      <c r="AN30" s="610"/>
      <c r="AO30" s="554">
        <f>I30</f>
        <v>3000</v>
      </c>
      <c r="AR30" s="619"/>
      <c r="AS30" s="548"/>
      <c r="AT30" s="548"/>
      <c r="AU30" s="548"/>
      <c r="AV30" s="554">
        <f>I30</f>
        <v>3000</v>
      </c>
      <c r="AW30" s="619"/>
      <c r="AX30" s="548"/>
      <c r="AY30" s="548"/>
      <c r="AZ30" s="548"/>
      <c r="BA30" s="548"/>
      <c r="BB30" s="620">
        <f>I30/48</f>
        <v>62.5</v>
      </c>
      <c r="BE30" s="554">
        <f>I30</f>
        <v>3000</v>
      </c>
      <c r="BP30" s="554">
        <f>I30/25</f>
        <v>120</v>
      </c>
      <c r="BY30" s="619"/>
      <c r="BZ30" s="548"/>
      <c r="CA30" s="621"/>
      <c r="CB30" s="567"/>
      <c r="CC30" s="622"/>
      <c r="CD30" s="619"/>
      <c r="CE30" s="619"/>
      <c r="CF30" s="548"/>
      <c r="CG30" s="548"/>
      <c r="CU30" s="554">
        <f t="shared" si="0"/>
        <v>120</v>
      </c>
      <c r="CV30" s="554">
        <f t="shared" si="1"/>
        <v>0</v>
      </c>
      <c r="CW30" s="554">
        <f t="shared" si="2"/>
        <v>0</v>
      </c>
      <c r="CX30" s="619"/>
      <c r="CY30" s="619"/>
      <c r="CZ30" s="619"/>
      <c r="DA30" s="548"/>
      <c r="DB30" s="548"/>
      <c r="DC30" s="548"/>
      <c r="DD30" s="619"/>
      <c r="DE30" s="619"/>
      <c r="DF30" s="619"/>
      <c r="DG30" s="619"/>
      <c r="DH30" s="619"/>
    </row>
    <row r="31" s="548" customFormat="1" ht="31" customHeight="1" spans="1:112">
      <c r="A31" s="608">
        <v>45728</v>
      </c>
      <c r="B31" s="609" t="s">
        <v>75</v>
      </c>
      <c r="C31" s="610" t="s">
        <v>76</v>
      </c>
      <c r="D31" s="554">
        <v>4500159882</v>
      </c>
      <c r="E31" s="610"/>
      <c r="F31" s="554" t="s">
        <v>6078</v>
      </c>
      <c r="G31" s="610" t="s">
        <v>6079</v>
      </c>
      <c r="H31" s="610" t="s">
        <v>6080</v>
      </c>
      <c r="I31" s="610">
        <v>2280</v>
      </c>
      <c r="J31" s="610">
        <v>0</v>
      </c>
      <c r="K31" s="610">
        <v>60</v>
      </c>
      <c r="L31" s="611">
        <f t="shared" si="4"/>
        <v>38</v>
      </c>
      <c r="M31" s="612">
        <v>45772</v>
      </c>
      <c r="N31" s="612">
        <v>45768</v>
      </c>
      <c r="O31" s="613"/>
      <c r="P31" s="613" t="s">
        <v>113</v>
      </c>
      <c r="Q31" s="610" t="s">
        <v>114</v>
      </c>
      <c r="R31" s="614">
        <v>45735</v>
      </c>
      <c r="S31" s="614" t="s">
        <v>70</v>
      </c>
      <c r="T31" s="614">
        <v>45735</v>
      </c>
      <c r="U31" s="614"/>
      <c r="V31" s="614"/>
      <c r="W31" s="615"/>
      <c r="X31" s="628" t="s">
        <v>6081</v>
      </c>
      <c r="Y31" s="609" t="s">
        <v>80</v>
      </c>
      <c r="Z31" s="609">
        <v>63.7</v>
      </c>
      <c r="AA31" s="616">
        <f>Z31*L31</f>
        <v>2420.6</v>
      </c>
      <c r="AC31" s="629" t="s">
        <v>116</v>
      </c>
      <c r="AD31" s="610" t="s">
        <v>6079</v>
      </c>
      <c r="AE31" s="610" t="s">
        <v>82</v>
      </c>
      <c r="AF31" s="610"/>
      <c r="AG31" s="610" t="s">
        <v>74</v>
      </c>
      <c r="AH31" s="610"/>
      <c r="AI31" s="610">
        <v>2280</v>
      </c>
      <c r="AJ31" s="610">
        <f t="shared" si="3"/>
        <v>0</v>
      </c>
      <c r="AK31" s="610"/>
      <c r="AL31" s="610"/>
      <c r="AM31" s="610"/>
      <c r="AN31" s="610"/>
      <c r="AO31" s="554">
        <f>I31</f>
        <v>2280</v>
      </c>
      <c r="AR31" s="619"/>
      <c r="AS31" s="548"/>
      <c r="AT31" s="554">
        <f>I31</f>
        <v>2280</v>
      </c>
      <c r="AV31" s="554">
        <f>I31</f>
        <v>2280</v>
      </c>
      <c r="AW31" s="619"/>
      <c r="AX31" s="548"/>
      <c r="AY31" s="548"/>
      <c r="AZ31" s="548"/>
      <c r="BA31" s="548"/>
      <c r="BB31" s="620">
        <f>I31/24</f>
        <v>95</v>
      </c>
      <c r="BY31" s="619"/>
      <c r="BZ31" s="548"/>
      <c r="CA31" s="621"/>
      <c r="CB31" s="567"/>
      <c r="CC31" s="622"/>
      <c r="CD31" s="619"/>
      <c r="CE31" s="619"/>
      <c r="CF31" s="548"/>
      <c r="CG31" s="548"/>
      <c r="CM31" s="554">
        <f>I31/60</f>
        <v>38</v>
      </c>
      <c r="CU31" s="554">
        <f t="shared" si="0"/>
        <v>0</v>
      </c>
      <c r="CV31" s="554">
        <f t="shared" si="1"/>
        <v>38</v>
      </c>
      <c r="CW31" s="554">
        <f t="shared" si="2"/>
        <v>0</v>
      </c>
      <c r="CX31" s="619"/>
      <c r="CY31" s="619"/>
      <c r="CZ31" s="619"/>
      <c r="DA31" s="548"/>
      <c r="DB31" s="548"/>
      <c r="DC31" s="548"/>
      <c r="DD31" s="619"/>
      <c r="DE31" s="619"/>
      <c r="DF31" s="619"/>
      <c r="DG31" s="619"/>
      <c r="DH31" s="619"/>
    </row>
    <row r="32" s="548" customFormat="1" ht="31" customHeight="1" spans="1:112">
      <c r="A32" s="608">
        <v>45728</v>
      </c>
      <c r="B32" s="609" t="s">
        <v>75</v>
      </c>
      <c r="C32" s="610" t="s">
        <v>76</v>
      </c>
      <c r="D32" s="554">
        <v>4500159886</v>
      </c>
      <c r="E32" s="610"/>
      <c r="F32" s="554" t="s">
        <v>6082</v>
      </c>
      <c r="G32" s="610" t="s">
        <v>6079</v>
      </c>
      <c r="H32" s="610" t="s">
        <v>6080</v>
      </c>
      <c r="I32" s="610">
        <v>720</v>
      </c>
      <c r="J32" s="610">
        <v>0</v>
      </c>
      <c r="K32" s="610">
        <v>60</v>
      </c>
      <c r="L32" s="611">
        <f t="shared" si="4"/>
        <v>12</v>
      </c>
      <c r="M32" s="612">
        <v>45772</v>
      </c>
      <c r="N32" s="612">
        <v>45768</v>
      </c>
      <c r="O32" s="613"/>
      <c r="P32" s="613" t="s">
        <v>113</v>
      </c>
      <c r="Q32" s="610"/>
      <c r="R32" s="614">
        <v>45735</v>
      </c>
      <c r="S32" s="614" t="s">
        <v>70</v>
      </c>
      <c r="T32" s="614">
        <v>45735</v>
      </c>
      <c r="U32" s="614"/>
      <c r="V32" s="614"/>
      <c r="W32" s="615"/>
      <c r="X32" s="628" t="s">
        <v>6081</v>
      </c>
      <c r="Y32" s="609" t="s">
        <v>80</v>
      </c>
      <c r="Z32" s="609">
        <v>63.7</v>
      </c>
      <c r="AA32" s="616">
        <f>Z32*L32</f>
        <v>764.4</v>
      </c>
      <c r="AC32" s="629" t="s">
        <v>119</v>
      </c>
      <c r="AD32" s="610" t="s">
        <v>6079</v>
      </c>
      <c r="AE32" s="610" t="s">
        <v>82</v>
      </c>
      <c r="AF32" s="610"/>
      <c r="AG32" s="610" t="s">
        <v>74</v>
      </c>
      <c r="AH32" s="610"/>
      <c r="AI32" s="610">
        <v>720</v>
      </c>
      <c r="AJ32" s="610">
        <f t="shared" si="3"/>
        <v>0</v>
      </c>
      <c r="AK32" s="610"/>
      <c r="AL32" s="610"/>
      <c r="AM32" s="610"/>
      <c r="AN32" s="610"/>
      <c r="AO32" s="554">
        <f>I32</f>
        <v>720</v>
      </c>
      <c r="AR32" s="619"/>
      <c r="AS32" s="548"/>
      <c r="AT32" s="554">
        <f>I32</f>
        <v>720</v>
      </c>
      <c r="AV32" s="554">
        <f>I32</f>
        <v>720</v>
      </c>
      <c r="AW32" s="619"/>
      <c r="AX32" s="548"/>
      <c r="AY32" s="548"/>
      <c r="AZ32" s="548"/>
      <c r="BA32" s="548"/>
      <c r="BB32" s="620">
        <f>I32/24</f>
        <v>30</v>
      </c>
      <c r="BY32" s="619"/>
      <c r="BZ32" s="548"/>
      <c r="CA32" s="621"/>
      <c r="CB32" s="567"/>
      <c r="CC32" s="622"/>
      <c r="CD32" s="619"/>
      <c r="CE32" s="619"/>
      <c r="CF32" s="548"/>
      <c r="CG32" s="548"/>
      <c r="CM32" s="554">
        <f>I32/60</f>
        <v>12</v>
      </c>
      <c r="CU32" s="554">
        <f t="shared" si="0"/>
        <v>0</v>
      </c>
      <c r="CV32" s="554">
        <f t="shared" si="1"/>
        <v>12</v>
      </c>
      <c r="CW32" s="554">
        <f t="shared" si="2"/>
        <v>0</v>
      </c>
      <c r="CX32" s="619"/>
      <c r="CY32" s="619"/>
      <c r="CZ32" s="619"/>
      <c r="DA32" s="548"/>
      <c r="DB32" s="548"/>
      <c r="DC32" s="548"/>
      <c r="DD32" s="619"/>
      <c r="DE32" s="619"/>
      <c r="DF32" s="619"/>
      <c r="DG32" s="619"/>
      <c r="DH32" s="619"/>
    </row>
    <row r="33" s="548" customFormat="1" ht="31" customHeight="1" spans="1:112">
      <c r="A33" s="608">
        <v>45733</v>
      </c>
      <c r="B33" s="609" t="s">
        <v>3577</v>
      </c>
      <c r="C33" s="610" t="s">
        <v>170</v>
      </c>
      <c r="D33" s="554">
        <v>4500160504</v>
      </c>
      <c r="E33" s="610">
        <v>9900923469</v>
      </c>
      <c r="F33" s="554" t="s">
        <v>6083</v>
      </c>
      <c r="G33" s="610" t="s">
        <v>6084</v>
      </c>
      <c r="H33" s="610" t="s">
        <v>6085</v>
      </c>
      <c r="I33" s="610">
        <v>10075</v>
      </c>
      <c r="J33" s="610">
        <v>0</v>
      </c>
      <c r="K33" s="610">
        <v>25</v>
      </c>
      <c r="L33" s="611">
        <f t="shared" si="4"/>
        <v>403</v>
      </c>
      <c r="M33" s="612">
        <v>45775</v>
      </c>
      <c r="N33" s="612">
        <v>45771</v>
      </c>
      <c r="O33" s="613" t="s">
        <v>6086</v>
      </c>
      <c r="P33" s="613" t="s">
        <v>113</v>
      </c>
      <c r="Q33" s="610"/>
      <c r="R33" s="614">
        <v>45748</v>
      </c>
      <c r="S33" s="614" t="s">
        <v>70</v>
      </c>
      <c r="T33" s="614">
        <v>45734</v>
      </c>
      <c r="U33" s="614"/>
      <c r="V33" s="614"/>
      <c r="W33" s="615"/>
      <c r="X33" s="628" t="s">
        <v>6087</v>
      </c>
      <c r="Y33" s="609" t="s">
        <v>175</v>
      </c>
      <c r="Z33" s="609">
        <v>0.95</v>
      </c>
      <c r="AA33" s="616">
        <f t="shared" ref="AA33:AA38" si="5">Z33*I33</f>
        <v>9571.25</v>
      </c>
      <c r="AC33" s="630" t="s">
        <v>6088</v>
      </c>
      <c r="AD33" s="610" t="s">
        <v>6089</v>
      </c>
      <c r="AE33" s="610" t="s">
        <v>82</v>
      </c>
      <c r="AF33" s="610"/>
      <c r="AG33" s="610" t="s">
        <v>74</v>
      </c>
      <c r="AH33" s="610"/>
      <c r="AI33" s="610">
        <v>10075</v>
      </c>
      <c r="AJ33" s="610">
        <f t="shared" si="3"/>
        <v>0</v>
      </c>
      <c r="AK33" s="610"/>
      <c r="AL33" s="610"/>
      <c r="AM33" s="610"/>
      <c r="AN33" s="610">
        <f>I33</f>
        <v>10075</v>
      </c>
      <c r="AR33" s="619"/>
      <c r="AS33" s="554">
        <f>I33</f>
        <v>10075</v>
      </c>
      <c r="AU33" s="554">
        <f>I33</f>
        <v>10075</v>
      </c>
      <c r="AW33" s="619"/>
      <c r="AX33" s="548"/>
      <c r="AY33" s="548"/>
      <c r="AZ33" s="548"/>
      <c r="BA33" s="548"/>
      <c r="BB33" s="620">
        <f>I33/24</f>
        <v>419.791666666667</v>
      </c>
      <c r="BO33" s="554">
        <f>I33/25</f>
        <v>403</v>
      </c>
      <c r="BY33" s="619"/>
      <c r="BZ33" s="548"/>
      <c r="CA33" s="621"/>
      <c r="CB33" s="567"/>
      <c r="CC33" s="622"/>
      <c r="CD33" s="619"/>
      <c r="CE33" s="619"/>
      <c r="CF33" s="548"/>
      <c r="CG33" s="548"/>
      <c r="CU33" s="554">
        <f t="shared" si="0"/>
        <v>403</v>
      </c>
      <c r="CV33" s="554">
        <f t="shared" si="1"/>
        <v>0</v>
      </c>
      <c r="CW33" s="554">
        <f t="shared" si="2"/>
        <v>0</v>
      </c>
      <c r="CX33" s="619"/>
      <c r="CY33" s="619"/>
      <c r="CZ33" s="619"/>
      <c r="DA33" s="548"/>
      <c r="DB33" s="548"/>
      <c r="DC33" s="548"/>
      <c r="DD33" s="619"/>
      <c r="DE33" s="619"/>
      <c r="DF33" s="619"/>
      <c r="DG33" s="619"/>
      <c r="DH33" s="619"/>
    </row>
    <row r="34" s="548" customFormat="1" ht="31" customHeight="1" spans="1:112">
      <c r="A34" s="608">
        <v>45733</v>
      </c>
      <c r="B34" s="609" t="s">
        <v>6090</v>
      </c>
      <c r="C34" s="610" t="s">
        <v>76</v>
      </c>
      <c r="D34" s="554">
        <v>4500160427</v>
      </c>
      <c r="E34" s="610" t="s">
        <v>6091</v>
      </c>
      <c r="F34" s="554" t="s">
        <v>6092</v>
      </c>
      <c r="G34" s="610" t="s">
        <v>6093</v>
      </c>
      <c r="H34" s="610" t="s">
        <v>6094</v>
      </c>
      <c r="I34" s="610">
        <v>1300</v>
      </c>
      <c r="J34" s="610">
        <v>0</v>
      </c>
      <c r="K34" s="610">
        <v>13</v>
      </c>
      <c r="L34" s="611">
        <f t="shared" si="4"/>
        <v>100</v>
      </c>
      <c r="M34" s="612">
        <v>45775</v>
      </c>
      <c r="N34" s="612">
        <v>45771</v>
      </c>
      <c r="O34" s="613"/>
      <c r="P34" s="613" t="s">
        <v>113</v>
      </c>
      <c r="Q34" s="610"/>
      <c r="R34" s="614">
        <v>45740</v>
      </c>
      <c r="S34" s="614" t="s">
        <v>70</v>
      </c>
      <c r="T34" s="614">
        <v>45755</v>
      </c>
      <c r="U34" s="614"/>
      <c r="V34" s="614"/>
      <c r="W34" s="615"/>
      <c r="X34" s="628" t="s">
        <v>6095</v>
      </c>
      <c r="Y34" s="609" t="s">
        <v>6096</v>
      </c>
      <c r="Z34" s="609">
        <v>0.92</v>
      </c>
      <c r="AA34" s="616">
        <f t="shared" si="5"/>
        <v>1196</v>
      </c>
      <c r="AC34" s="629" t="s">
        <v>6097</v>
      </c>
      <c r="AD34" s="610" t="s">
        <v>6093</v>
      </c>
      <c r="AE34" s="610" t="s">
        <v>82</v>
      </c>
      <c r="AF34" s="610"/>
      <c r="AG34" s="610" t="s">
        <v>74</v>
      </c>
      <c r="AH34" s="610"/>
      <c r="AI34" s="610">
        <v>1300</v>
      </c>
      <c r="AJ34" s="610">
        <f t="shared" si="3"/>
        <v>0</v>
      </c>
      <c r="AK34" s="610"/>
      <c r="AL34" s="610"/>
      <c r="AM34" s="610"/>
      <c r="AN34" s="610"/>
      <c r="AO34" s="554">
        <f t="shared" ref="AO34:AO42" si="6">I34</f>
        <v>1300</v>
      </c>
      <c r="AR34" s="619"/>
      <c r="AS34" s="548"/>
      <c r="AT34" s="554">
        <f t="shared" ref="AT34:AT42" si="7">I34</f>
        <v>1300</v>
      </c>
      <c r="AV34" s="554">
        <f t="shared" ref="AV34:AV42" si="8">I34</f>
        <v>1300</v>
      </c>
      <c r="AW34" s="619"/>
      <c r="AX34" s="548"/>
      <c r="AY34" s="548"/>
      <c r="AZ34" s="548"/>
      <c r="BA34" s="548"/>
      <c r="BB34" s="620">
        <f t="shared" ref="BB34:BB42" si="9">I34/24</f>
        <v>54.1666666666667</v>
      </c>
      <c r="BM34" s="554">
        <f>I34/13</f>
        <v>100</v>
      </c>
      <c r="BY34" s="619"/>
      <c r="BZ34" s="548"/>
      <c r="CA34" s="621"/>
      <c r="CB34" s="567"/>
      <c r="CC34" s="622"/>
      <c r="CD34" s="619"/>
      <c r="CE34" s="619"/>
      <c r="CF34" s="548"/>
      <c r="CG34" s="548"/>
      <c r="CU34" s="554">
        <f t="shared" si="0"/>
        <v>0</v>
      </c>
      <c r="CV34" s="554">
        <f t="shared" si="1"/>
        <v>0</v>
      </c>
      <c r="CW34" s="554">
        <f t="shared" si="2"/>
        <v>0</v>
      </c>
      <c r="CX34" s="619"/>
      <c r="CY34" s="619"/>
      <c r="CZ34" s="619"/>
      <c r="DA34" s="548"/>
      <c r="DB34" s="548"/>
      <c r="DC34" s="548"/>
      <c r="DD34" s="619"/>
      <c r="DE34" s="619"/>
      <c r="DF34" s="619"/>
      <c r="DG34" s="619"/>
      <c r="DH34" s="619"/>
    </row>
    <row r="35" s="548" customFormat="1" ht="31" customHeight="1" spans="1:112">
      <c r="A35" s="608">
        <v>45733</v>
      </c>
      <c r="B35" s="609" t="s">
        <v>6098</v>
      </c>
      <c r="C35" s="610" t="s">
        <v>128</v>
      </c>
      <c r="D35" s="554">
        <v>4500160492</v>
      </c>
      <c r="E35" s="610" t="s">
        <v>6099</v>
      </c>
      <c r="F35" s="554" t="s">
        <v>6100</v>
      </c>
      <c r="G35" s="610" t="s">
        <v>6101</v>
      </c>
      <c r="H35" s="610" t="s">
        <v>6102</v>
      </c>
      <c r="I35" s="610">
        <v>1146</v>
      </c>
      <c r="J35" s="610">
        <v>0</v>
      </c>
      <c r="K35" s="610">
        <v>6</v>
      </c>
      <c r="L35" s="611">
        <f t="shared" si="4"/>
        <v>191</v>
      </c>
      <c r="M35" s="612">
        <v>45775</v>
      </c>
      <c r="N35" s="612">
        <v>45771</v>
      </c>
      <c r="O35" s="613"/>
      <c r="P35" s="613" t="s">
        <v>113</v>
      </c>
      <c r="Q35" s="610"/>
      <c r="R35" s="614">
        <v>45733</v>
      </c>
      <c r="S35" s="614" t="s">
        <v>70</v>
      </c>
      <c r="T35" s="614" t="s">
        <v>70</v>
      </c>
      <c r="U35" s="614"/>
      <c r="V35" s="614"/>
      <c r="W35" s="615"/>
      <c r="X35" s="609" t="s">
        <v>6103</v>
      </c>
      <c r="Y35" s="609" t="s">
        <v>133</v>
      </c>
      <c r="Z35" s="609">
        <v>0.97</v>
      </c>
      <c r="AA35" s="616">
        <f t="shared" si="5"/>
        <v>1111.62</v>
      </c>
      <c r="AC35" s="629" t="s">
        <v>6104</v>
      </c>
      <c r="AD35" s="610" t="s">
        <v>6101</v>
      </c>
      <c r="AE35" s="610" t="s">
        <v>82</v>
      </c>
      <c r="AF35" s="610"/>
      <c r="AG35" s="610" t="s">
        <v>74</v>
      </c>
      <c r="AH35" s="610"/>
      <c r="AI35" s="610">
        <v>1146</v>
      </c>
      <c r="AJ35" s="610">
        <f t="shared" si="3"/>
        <v>0</v>
      </c>
      <c r="AK35" s="610"/>
      <c r="AL35" s="610"/>
      <c r="AM35" s="610"/>
      <c r="AN35" s="610"/>
      <c r="AO35" s="554">
        <f t="shared" si="6"/>
        <v>1146</v>
      </c>
      <c r="AR35" s="619"/>
      <c r="AS35" s="548"/>
      <c r="AT35" s="554">
        <f t="shared" si="7"/>
        <v>1146</v>
      </c>
      <c r="AV35" s="554">
        <f t="shared" si="8"/>
        <v>1146</v>
      </c>
      <c r="AW35" s="619"/>
      <c r="AX35" s="548"/>
      <c r="AY35" s="548"/>
      <c r="AZ35" s="548"/>
      <c r="BA35" s="548"/>
      <c r="BB35" s="620">
        <f t="shared" si="9"/>
        <v>47.75</v>
      </c>
      <c r="BT35" s="554">
        <f>I35/6</f>
        <v>191</v>
      </c>
      <c r="BU35" s="554"/>
      <c r="BY35" s="619"/>
      <c r="BZ35" s="548"/>
      <c r="CA35" s="621"/>
      <c r="CB35" s="567"/>
      <c r="CC35" s="622"/>
      <c r="CD35" s="619"/>
      <c r="CE35" s="619"/>
      <c r="CF35" s="554">
        <f>I35/6</f>
        <v>191</v>
      </c>
      <c r="CU35" s="554">
        <f t="shared" si="0"/>
        <v>0</v>
      </c>
      <c r="CV35" s="554">
        <f t="shared" si="1"/>
        <v>0</v>
      </c>
      <c r="CW35" s="554">
        <f t="shared" si="2"/>
        <v>0</v>
      </c>
      <c r="CX35" s="619"/>
      <c r="CY35" s="619"/>
      <c r="CZ35" s="619"/>
      <c r="DA35" s="548"/>
      <c r="DB35" s="548"/>
      <c r="DC35" s="548"/>
      <c r="DD35" s="619"/>
      <c r="DE35" s="619"/>
      <c r="DF35" s="619"/>
      <c r="DG35" s="619"/>
      <c r="DH35" s="619"/>
    </row>
    <row r="36" s="548" customFormat="1" ht="31" customHeight="1" spans="1:112">
      <c r="A36" s="608">
        <v>45733</v>
      </c>
      <c r="B36" s="609" t="s">
        <v>6098</v>
      </c>
      <c r="C36" s="610" t="s">
        <v>128</v>
      </c>
      <c r="D36" s="554">
        <v>4500160492</v>
      </c>
      <c r="E36" s="610" t="s">
        <v>6105</v>
      </c>
      <c r="F36" s="554" t="s">
        <v>6106</v>
      </c>
      <c r="G36" s="610" t="s">
        <v>6101</v>
      </c>
      <c r="H36" s="610" t="s">
        <v>6102</v>
      </c>
      <c r="I36" s="610">
        <v>2292</v>
      </c>
      <c r="J36" s="610">
        <v>0</v>
      </c>
      <c r="K36" s="610">
        <v>6</v>
      </c>
      <c r="L36" s="611">
        <f t="shared" si="4"/>
        <v>382</v>
      </c>
      <c r="M36" s="612">
        <v>45775</v>
      </c>
      <c r="N36" s="612">
        <v>45771</v>
      </c>
      <c r="O36" s="613"/>
      <c r="P36" s="613" t="s">
        <v>113</v>
      </c>
      <c r="Q36" s="610"/>
      <c r="R36" s="614">
        <v>45733</v>
      </c>
      <c r="S36" s="614" t="s">
        <v>70</v>
      </c>
      <c r="T36" s="614" t="s">
        <v>70</v>
      </c>
      <c r="U36" s="614"/>
      <c r="V36" s="614"/>
      <c r="W36" s="615"/>
      <c r="X36" s="609" t="s">
        <v>6103</v>
      </c>
      <c r="Y36" s="609" t="s">
        <v>133</v>
      </c>
      <c r="Z36" s="609">
        <v>0.97</v>
      </c>
      <c r="AA36" s="616">
        <f t="shared" si="5"/>
        <v>2223.24</v>
      </c>
      <c r="AC36" s="629" t="s">
        <v>6104</v>
      </c>
      <c r="AD36" s="610" t="s">
        <v>6101</v>
      </c>
      <c r="AE36" s="610" t="s">
        <v>82</v>
      </c>
      <c r="AF36" s="610"/>
      <c r="AG36" s="610" t="s">
        <v>74</v>
      </c>
      <c r="AH36" s="610"/>
      <c r="AI36" s="610">
        <v>2292</v>
      </c>
      <c r="AJ36" s="610">
        <f t="shared" si="3"/>
        <v>0</v>
      </c>
      <c r="AK36" s="610"/>
      <c r="AL36" s="610"/>
      <c r="AM36" s="610"/>
      <c r="AN36" s="610"/>
      <c r="AO36" s="554">
        <f t="shared" si="6"/>
        <v>2292</v>
      </c>
      <c r="AR36" s="619"/>
      <c r="AS36" s="548"/>
      <c r="AT36" s="554">
        <f t="shared" si="7"/>
        <v>2292</v>
      </c>
      <c r="AV36" s="554">
        <f t="shared" si="8"/>
        <v>2292</v>
      </c>
      <c r="AW36" s="619"/>
      <c r="AX36" s="548"/>
      <c r="AY36" s="548"/>
      <c r="AZ36" s="548"/>
      <c r="BA36" s="548"/>
      <c r="BB36" s="620">
        <f t="shared" si="9"/>
        <v>95.5</v>
      </c>
      <c r="BT36" s="554">
        <f>I36/6</f>
        <v>382</v>
      </c>
      <c r="BU36" s="554"/>
      <c r="BY36" s="619"/>
      <c r="BZ36" s="548"/>
      <c r="CA36" s="621"/>
      <c r="CB36" s="567"/>
      <c r="CC36" s="622"/>
      <c r="CD36" s="619"/>
      <c r="CE36" s="619"/>
      <c r="CF36" s="554">
        <f>I36/6</f>
        <v>382</v>
      </c>
      <c r="CU36" s="554">
        <f t="shared" si="0"/>
        <v>0</v>
      </c>
      <c r="CV36" s="554">
        <f t="shared" si="1"/>
        <v>0</v>
      </c>
      <c r="CW36" s="554">
        <f t="shared" si="2"/>
        <v>0</v>
      </c>
      <c r="CX36" s="619"/>
      <c r="CY36" s="619"/>
      <c r="CZ36" s="619"/>
      <c r="DA36" s="548"/>
      <c r="DB36" s="548"/>
      <c r="DC36" s="548"/>
      <c r="DD36" s="619"/>
      <c r="DE36" s="619"/>
      <c r="DF36" s="619"/>
      <c r="DG36" s="619"/>
      <c r="DH36" s="619"/>
    </row>
    <row r="37" s="548" customFormat="1" ht="31" customHeight="1" spans="1:112">
      <c r="A37" s="608">
        <v>45733</v>
      </c>
      <c r="B37" s="609" t="s">
        <v>6098</v>
      </c>
      <c r="C37" s="610" t="s">
        <v>128</v>
      </c>
      <c r="D37" s="554">
        <v>4500160492</v>
      </c>
      <c r="E37" s="610" t="s">
        <v>6107</v>
      </c>
      <c r="F37" s="554" t="s">
        <v>6108</v>
      </c>
      <c r="G37" s="610" t="s">
        <v>6101</v>
      </c>
      <c r="H37" s="610" t="s">
        <v>6102</v>
      </c>
      <c r="I37" s="610">
        <v>1146</v>
      </c>
      <c r="J37" s="610">
        <v>0</v>
      </c>
      <c r="K37" s="610">
        <v>6</v>
      </c>
      <c r="L37" s="611">
        <f t="shared" si="4"/>
        <v>191</v>
      </c>
      <c r="M37" s="612">
        <v>45775</v>
      </c>
      <c r="N37" s="612">
        <v>45771</v>
      </c>
      <c r="O37" s="613"/>
      <c r="P37" s="613" t="s">
        <v>113</v>
      </c>
      <c r="Q37" s="610"/>
      <c r="R37" s="614">
        <v>45733</v>
      </c>
      <c r="S37" s="614" t="s">
        <v>70</v>
      </c>
      <c r="T37" s="614" t="s">
        <v>70</v>
      </c>
      <c r="U37" s="614"/>
      <c r="V37" s="614"/>
      <c r="W37" s="615"/>
      <c r="X37" s="609" t="s">
        <v>6103</v>
      </c>
      <c r="Y37" s="609" t="s">
        <v>133</v>
      </c>
      <c r="Z37" s="609">
        <v>0.97</v>
      </c>
      <c r="AA37" s="616">
        <f t="shared" si="5"/>
        <v>1111.62</v>
      </c>
      <c r="AC37" s="629" t="s">
        <v>6104</v>
      </c>
      <c r="AD37" s="610" t="s">
        <v>6101</v>
      </c>
      <c r="AE37" s="610" t="s">
        <v>82</v>
      </c>
      <c r="AF37" s="610"/>
      <c r="AG37" s="610" t="s">
        <v>74</v>
      </c>
      <c r="AH37" s="610"/>
      <c r="AI37" s="610">
        <v>1146</v>
      </c>
      <c r="AJ37" s="610">
        <f t="shared" si="3"/>
        <v>0</v>
      </c>
      <c r="AK37" s="610"/>
      <c r="AL37" s="610"/>
      <c r="AM37" s="610"/>
      <c r="AN37" s="610"/>
      <c r="AO37" s="554">
        <f t="shared" si="6"/>
        <v>1146</v>
      </c>
      <c r="AR37" s="619"/>
      <c r="AS37" s="548"/>
      <c r="AT37" s="554">
        <f t="shared" si="7"/>
        <v>1146</v>
      </c>
      <c r="AV37" s="554">
        <f t="shared" si="8"/>
        <v>1146</v>
      </c>
      <c r="AW37" s="619"/>
      <c r="AX37" s="548"/>
      <c r="AY37" s="548"/>
      <c r="AZ37" s="548"/>
      <c r="BA37" s="548"/>
      <c r="BB37" s="620">
        <f t="shared" si="9"/>
        <v>47.75</v>
      </c>
      <c r="BT37" s="554">
        <f>I37/6</f>
        <v>191</v>
      </c>
      <c r="BU37" s="554"/>
      <c r="BY37" s="619"/>
      <c r="BZ37" s="548"/>
      <c r="CA37" s="621"/>
      <c r="CB37" s="567"/>
      <c r="CC37" s="622"/>
      <c r="CD37" s="619"/>
      <c r="CE37" s="619"/>
      <c r="CF37" s="554">
        <f>I37/6</f>
        <v>191</v>
      </c>
      <c r="CU37" s="554">
        <f t="shared" si="0"/>
        <v>0</v>
      </c>
      <c r="CV37" s="554">
        <f t="shared" si="1"/>
        <v>0</v>
      </c>
      <c r="CW37" s="554">
        <f t="shared" si="2"/>
        <v>0</v>
      </c>
      <c r="CX37" s="619"/>
      <c r="CY37" s="619"/>
      <c r="CZ37" s="619"/>
      <c r="DA37" s="548"/>
      <c r="DB37" s="548"/>
      <c r="DC37" s="548"/>
      <c r="DD37" s="619"/>
      <c r="DE37" s="619"/>
      <c r="DF37" s="619"/>
      <c r="DG37" s="619"/>
      <c r="DH37" s="619"/>
    </row>
    <row r="38" s="548" customFormat="1" ht="31" customHeight="1" spans="1:112">
      <c r="A38" s="608">
        <v>45728</v>
      </c>
      <c r="B38" s="609" t="s">
        <v>127</v>
      </c>
      <c r="C38" s="610" t="s">
        <v>128</v>
      </c>
      <c r="D38" s="554">
        <v>4500159576</v>
      </c>
      <c r="E38" s="610">
        <v>83718</v>
      </c>
      <c r="F38" s="554" t="s">
        <v>6109</v>
      </c>
      <c r="G38" s="610" t="s">
        <v>6043</v>
      </c>
      <c r="H38" s="610" t="s">
        <v>6110</v>
      </c>
      <c r="I38" s="610">
        <v>5000</v>
      </c>
      <c r="J38" s="610">
        <v>0</v>
      </c>
      <c r="K38" s="610">
        <v>50</v>
      </c>
      <c r="L38" s="611">
        <f t="shared" si="4"/>
        <v>100</v>
      </c>
      <c r="M38" s="612">
        <v>45777</v>
      </c>
      <c r="N38" s="612">
        <v>45773</v>
      </c>
      <c r="O38" s="613"/>
      <c r="P38" s="613" t="s">
        <v>113</v>
      </c>
      <c r="Q38" s="610"/>
      <c r="R38" s="614">
        <v>45728</v>
      </c>
      <c r="S38" s="614" t="s">
        <v>70</v>
      </c>
      <c r="T38" s="614">
        <v>45776</v>
      </c>
      <c r="U38" s="614"/>
      <c r="V38" s="614"/>
      <c r="W38" s="615"/>
      <c r="X38" s="628" t="s">
        <v>6111</v>
      </c>
      <c r="Y38" s="609" t="s">
        <v>133</v>
      </c>
      <c r="Z38" s="609">
        <v>0.95</v>
      </c>
      <c r="AA38" s="616">
        <f t="shared" si="5"/>
        <v>4750</v>
      </c>
      <c r="AC38" s="629" t="s">
        <v>134</v>
      </c>
      <c r="AD38" s="610" t="s">
        <v>6043</v>
      </c>
      <c r="AE38" s="610" t="s">
        <v>82</v>
      </c>
      <c r="AF38" s="610"/>
      <c r="AG38" s="610" t="s">
        <v>74</v>
      </c>
      <c r="AH38" s="610"/>
      <c r="AI38" s="610">
        <v>5000</v>
      </c>
      <c r="AJ38" s="610">
        <f t="shared" si="3"/>
        <v>0</v>
      </c>
      <c r="AK38" s="610"/>
      <c r="AL38" s="610"/>
      <c r="AM38" s="610"/>
      <c r="AN38" s="610"/>
      <c r="AO38" s="554">
        <f t="shared" si="6"/>
        <v>5000</v>
      </c>
      <c r="AR38" s="619"/>
      <c r="AS38" s="548"/>
      <c r="AT38" s="554">
        <f t="shared" si="7"/>
        <v>5000</v>
      </c>
      <c r="AV38" s="554">
        <f t="shared" si="8"/>
        <v>5000</v>
      </c>
      <c r="AW38" s="619"/>
      <c r="AX38" s="548"/>
      <c r="AY38" s="548"/>
      <c r="AZ38" s="548"/>
      <c r="BA38" s="548"/>
      <c r="BB38" s="620">
        <f t="shared" si="9"/>
        <v>208.333333333333</v>
      </c>
      <c r="BP38" s="554">
        <f>I38/25</f>
        <v>200</v>
      </c>
      <c r="BY38" s="619"/>
      <c r="BZ38" s="548"/>
      <c r="CA38" s="621"/>
      <c r="CB38" s="567"/>
      <c r="CC38" s="622"/>
      <c r="CD38" s="619"/>
      <c r="CE38" s="619"/>
      <c r="CF38" s="548"/>
      <c r="CG38" s="548"/>
      <c r="CU38" s="554">
        <f t="shared" si="0"/>
        <v>200</v>
      </c>
      <c r="CV38" s="554">
        <f t="shared" si="1"/>
        <v>0</v>
      </c>
      <c r="CW38" s="554">
        <f t="shared" si="2"/>
        <v>0</v>
      </c>
      <c r="CX38" s="619"/>
      <c r="CY38" s="619"/>
      <c r="CZ38" s="619"/>
      <c r="DA38" s="548"/>
      <c r="DB38" s="548"/>
      <c r="DC38" s="548"/>
      <c r="DD38" s="619"/>
      <c r="DE38" s="619"/>
      <c r="DF38" s="619"/>
      <c r="DG38" s="619"/>
      <c r="DH38" s="619"/>
    </row>
    <row r="39" s="548" customFormat="1" ht="31" customHeight="1" spans="1:112">
      <c r="A39" s="608">
        <v>45728</v>
      </c>
      <c r="B39" s="609" t="s">
        <v>127</v>
      </c>
      <c r="C39" s="610" t="s">
        <v>128</v>
      </c>
      <c r="D39" s="554">
        <v>4500159576</v>
      </c>
      <c r="E39" s="610">
        <v>83718</v>
      </c>
      <c r="F39" s="554" t="s">
        <v>6112</v>
      </c>
      <c r="G39" s="610" t="s">
        <v>6079</v>
      </c>
      <c r="H39" s="610" t="s">
        <v>6080</v>
      </c>
      <c r="I39" s="610">
        <v>3600</v>
      </c>
      <c r="J39" s="610">
        <v>0</v>
      </c>
      <c r="K39" s="610">
        <v>60</v>
      </c>
      <c r="L39" s="611">
        <f t="shared" si="4"/>
        <v>60</v>
      </c>
      <c r="M39" s="612">
        <v>45777</v>
      </c>
      <c r="N39" s="612">
        <v>45773</v>
      </c>
      <c r="O39" s="613"/>
      <c r="P39" s="613" t="s">
        <v>113</v>
      </c>
      <c r="Q39" s="610"/>
      <c r="R39" s="614">
        <v>45728</v>
      </c>
      <c r="S39" s="614" t="s">
        <v>70</v>
      </c>
      <c r="T39" s="614">
        <v>45776</v>
      </c>
      <c r="U39" s="614"/>
      <c r="V39" s="614"/>
      <c r="W39" s="615"/>
      <c r="X39" s="628" t="s">
        <v>6113</v>
      </c>
      <c r="Y39" s="609" t="s">
        <v>133</v>
      </c>
      <c r="Z39" s="609">
        <v>63.7</v>
      </c>
      <c r="AA39" s="616">
        <f>Z39*L39</f>
        <v>3822</v>
      </c>
      <c r="AC39" s="629" t="s">
        <v>134</v>
      </c>
      <c r="AD39" s="610" t="s">
        <v>6079</v>
      </c>
      <c r="AE39" s="610" t="s">
        <v>82</v>
      </c>
      <c r="AF39" s="610"/>
      <c r="AG39" s="610" t="s">
        <v>74</v>
      </c>
      <c r="AH39" s="610"/>
      <c r="AI39" s="610">
        <v>3600</v>
      </c>
      <c r="AJ39" s="610">
        <f t="shared" si="3"/>
        <v>0</v>
      </c>
      <c r="AK39" s="610"/>
      <c r="AL39" s="610"/>
      <c r="AM39" s="610"/>
      <c r="AN39" s="610"/>
      <c r="AO39" s="554">
        <f t="shared" si="6"/>
        <v>3600</v>
      </c>
      <c r="AR39" s="619"/>
      <c r="AS39" s="548"/>
      <c r="AT39" s="554">
        <f t="shared" si="7"/>
        <v>3600</v>
      </c>
      <c r="AV39" s="554">
        <f t="shared" si="8"/>
        <v>3600</v>
      </c>
      <c r="AW39" s="619"/>
      <c r="AX39" s="548"/>
      <c r="AY39" s="548"/>
      <c r="AZ39" s="548"/>
      <c r="BA39" s="548"/>
      <c r="BB39" s="620">
        <f t="shared" si="9"/>
        <v>150</v>
      </c>
      <c r="BY39" s="619"/>
      <c r="BZ39" s="548"/>
      <c r="CA39" s="621"/>
      <c r="CB39" s="567"/>
      <c r="CC39" s="622"/>
      <c r="CD39" s="619"/>
      <c r="CE39" s="619"/>
      <c r="CF39" s="548"/>
      <c r="CG39" s="548"/>
      <c r="CM39" s="554">
        <f>I39/60</f>
        <v>60</v>
      </c>
      <c r="CU39" s="554">
        <f t="shared" si="0"/>
        <v>0</v>
      </c>
      <c r="CV39" s="554">
        <f t="shared" si="1"/>
        <v>60</v>
      </c>
      <c r="CW39" s="554">
        <f t="shared" si="2"/>
        <v>0</v>
      </c>
      <c r="CX39" s="619"/>
      <c r="CY39" s="619"/>
      <c r="CZ39" s="619"/>
      <c r="DA39" s="548"/>
      <c r="DB39" s="548"/>
      <c r="DC39" s="548"/>
      <c r="DD39" s="619"/>
      <c r="DE39" s="619"/>
      <c r="DF39" s="619"/>
      <c r="DG39" s="619"/>
      <c r="DH39" s="619"/>
    </row>
    <row r="40" s="548" customFormat="1" ht="31" customHeight="1" spans="1:112">
      <c r="A40" s="608">
        <v>45729</v>
      </c>
      <c r="B40" s="609" t="s">
        <v>135</v>
      </c>
      <c r="C40" s="610" t="s">
        <v>128</v>
      </c>
      <c r="D40" s="554">
        <v>4500160026</v>
      </c>
      <c r="E40" s="610">
        <v>20627370</v>
      </c>
      <c r="F40" s="554" t="s">
        <v>6114</v>
      </c>
      <c r="G40" s="610" t="s">
        <v>6093</v>
      </c>
      <c r="H40" s="610" t="s">
        <v>6094</v>
      </c>
      <c r="I40" s="610">
        <v>10413</v>
      </c>
      <c r="J40" s="610">
        <v>0</v>
      </c>
      <c r="K40" s="610">
        <v>13</v>
      </c>
      <c r="L40" s="611">
        <f t="shared" si="4"/>
        <v>801</v>
      </c>
      <c r="M40" s="612">
        <v>45786</v>
      </c>
      <c r="N40" s="612">
        <v>45782</v>
      </c>
      <c r="O40" s="613"/>
      <c r="P40" s="613" t="s">
        <v>113</v>
      </c>
      <c r="Q40" s="610"/>
      <c r="R40" s="614">
        <v>45748</v>
      </c>
      <c r="S40" s="614" t="s">
        <v>104</v>
      </c>
      <c r="T40" s="614" t="s">
        <v>6115</v>
      </c>
      <c r="U40" s="614"/>
      <c r="V40" s="614"/>
      <c r="W40" s="615"/>
      <c r="X40" s="628" t="s">
        <v>6116</v>
      </c>
      <c r="Y40" s="609" t="s">
        <v>133</v>
      </c>
      <c r="Z40" s="609">
        <v>0.95</v>
      </c>
      <c r="AA40" s="616">
        <f t="shared" ref="AA40:AA76" si="10">Z40*I40</f>
        <v>9892.35</v>
      </c>
      <c r="AC40" s="629" t="s">
        <v>138</v>
      </c>
      <c r="AD40" s="610" t="s">
        <v>6093</v>
      </c>
      <c r="AE40" s="610" t="s">
        <v>82</v>
      </c>
      <c r="AF40" s="610"/>
      <c r="AG40" s="610" t="s">
        <v>74</v>
      </c>
      <c r="AH40" s="610"/>
      <c r="AI40" s="610">
        <v>10413</v>
      </c>
      <c r="AJ40" s="610">
        <f t="shared" si="3"/>
        <v>0</v>
      </c>
      <c r="AK40" s="610"/>
      <c r="AL40" s="610"/>
      <c r="AM40" s="610"/>
      <c r="AN40" s="610"/>
      <c r="AO40" s="554">
        <f t="shared" si="6"/>
        <v>10413</v>
      </c>
      <c r="AR40" s="619"/>
      <c r="AS40" s="548"/>
      <c r="AT40" s="554">
        <f t="shared" si="7"/>
        <v>10413</v>
      </c>
      <c r="AV40" s="554">
        <f t="shared" si="8"/>
        <v>10413</v>
      </c>
      <c r="AW40" s="619"/>
      <c r="AX40" s="548"/>
      <c r="AY40" s="548"/>
      <c r="AZ40" s="548"/>
      <c r="BA40" s="548"/>
      <c r="BB40" s="620">
        <f t="shared" si="9"/>
        <v>433.875</v>
      </c>
      <c r="BM40" s="554">
        <f>I40/13</f>
        <v>801</v>
      </c>
      <c r="BY40" s="619"/>
      <c r="BZ40" s="548"/>
      <c r="CA40" s="621"/>
      <c r="CB40" s="567"/>
      <c r="CC40" s="622"/>
      <c r="CD40" s="619"/>
      <c r="CE40" s="619"/>
      <c r="CF40" s="548"/>
      <c r="CG40" s="548"/>
      <c r="CU40" s="554">
        <f t="shared" si="0"/>
        <v>0</v>
      </c>
      <c r="CV40" s="554">
        <f t="shared" si="1"/>
        <v>0</v>
      </c>
      <c r="CW40" s="554">
        <f t="shared" si="2"/>
        <v>0</v>
      </c>
      <c r="CX40" s="619"/>
      <c r="CY40" s="619"/>
      <c r="CZ40" s="619"/>
      <c r="DA40" s="548"/>
      <c r="DB40" s="548"/>
      <c r="DC40" s="548"/>
      <c r="DD40" s="619"/>
      <c r="DE40" s="619"/>
      <c r="DF40" s="619"/>
      <c r="DG40" s="619"/>
      <c r="DH40" s="619"/>
    </row>
    <row r="41" s="548" customFormat="1" ht="31" customHeight="1" spans="1:112">
      <c r="A41" s="608">
        <v>45729</v>
      </c>
      <c r="B41" s="609" t="s">
        <v>139</v>
      </c>
      <c r="C41" s="610" t="s">
        <v>76</v>
      </c>
      <c r="D41" s="554">
        <v>4500160027</v>
      </c>
      <c r="E41" s="610">
        <v>20627371</v>
      </c>
      <c r="F41" s="554" t="s">
        <v>6117</v>
      </c>
      <c r="G41" s="610" t="s">
        <v>6093</v>
      </c>
      <c r="H41" s="610" t="s">
        <v>6094</v>
      </c>
      <c r="I41" s="610">
        <v>1352</v>
      </c>
      <c r="J41" s="610">
        <v>0</v>
      </c>
      <c r="K41" s="610">
        <v>13</v>
      </c>
      <c r="L41" s="611">
        <f t="shared" si="4"/>
        <v>104</v>
      </c>
      <c r="M41" s="612">
        <v>45786</v>
      </c>
      <c r="N41" s="612">
        <v>45782</v>
      </c>
      <c r="O41" s="613"/>
      <c r="P41" s="613" t="s">
        <v>113</v>
      </c>
      <c r="Q41" s="610"/>
      <c r="R41" s="614">
        <v>45748</v>
      </c>
      <c r="S41" s="614" t="s">
        <v>104</v>
      </c>
      <c r="T41" s="614" t="s">
        <v>6115</v>
      </c>
      <c r="U41" s="614"/>
      <c r="V41" s="614"/>
      <c r="W41" s="615"/>
      <c r="X41" s="628" t="s">
        <v>6118</v>
      </c>
      <c r="Y41" s="609" t="s">
        <v>133</v>
      </c>
      <c r="Z41" s="609">
        <v>0.95</v>
      </c>
      <c r="AA41" s="616">
        <f t="shared" si="10"/>
        <v>1284.4</v>
      </c>
      <c r="AC41" s="629" t="s">
        <v>142</v>
      </c>
      <c r="AD41" s="610" t="s">
        <v>6093</v>
      </c>
      <c r="AE41" s="610" t="s">
        <v>82</v>
      </c>
      <c r="AF41" s="610"/>
      <c r="AG41" s="610" t="s">
        <v>74</v>
      </c>
      <c r="AH41" s="610"/>
      <c r="AI41" s="610">
        <v>1352</v>
      </c>
      <c r="AJ41" s="610">
        <f t="shared" si="3"/>
        <v>0</v>
      </c>
      <c r="AK41" s="610"/>
      <c r="AL41" s="610"/>
      <c r="AM41" s="610"/>
      <c r="AN41" s="610"/>
      <c r="AO41" s="554">
        <f t="shared" si="6"/>
        <v>1352</v>
      </c>
      <c r="AR41" s="619"/>
      <c r="AS41" s="548"/>
      <c r="AT41" s="554">
        <f t="shared" si="7"/>
        <v>1352</v>
      </c>
      <c r="AV41" s="554">
        <f t="shared" si="8"/>
        <v>1352</v>
      </c>
      <c r="AW41" s="619"/>
      <c r="AX41" s="548"/>
      <c r="AY41" s="548"/>
      <c r="AZ41" s="548"/>
      <c r="BA41" s="548"/>
      <c r="BB41" s="620">
        <f t="shared" si="9"/>
        <v>56.3333333333333</v>
      </c>
      <c r="BM41" s="554">
        <f>I41/13</f>
        <v>104</v>
      </c>
      <c r="BY41" s="619"/>
      <c r="BZ41" s="548"/>
      <c r="CA41" s="621"/>
      <c r="CB41" s="567"/>
      <c r="CC41" s="622"/>
      <c r="CD41" s="619"/>
      <c r="CE41" s="619"/>
      <c r="CF41" s="548"/>
      <c r="CG41" s="548"/>
      <c r="CU41" s="554">
        <f t="shared" si="0"/>
        <v>0</v>
      </c>
      <c r="CV41" s="554">
        <f t="shared" si="1"/>
        <v>0</v>
      </c>
      <c r="CW41" s="554">
        <f t="shared" si="2"/>
        <v>0</v>
      </c>
      <c r="CX41" s="619"/>
      <c r="CY41" s="619"/>
      <c r="CZ41" s="619"/>
      <c r="DA41" s="548"/>
      <c r="DB41" s="548"/>
      <c r="DC41" s="548"/>
      <c r="DD41" s="619"/>
      <c r="DE41" s="619"/>
      <c r="DF41" s="619"/>
      <c r="DG41" s="619"/>
      <c r="DH41" s="619"/>
    </row>
    <row r="42" s="548" customFormat="1" ht="31" customHeight="1" spans="1:112">
      <c r="A42" s="608">
        <v>45734</v>
      </c>
      <c r="B42" s="609" t="s">
        <v>153</v>
      </c>
      <c r="C42" s="610" t="s">
        <v>154</v>
      </c>
      <c r="D42" s="554">
        <v>4500160634</v>
      </c>
      <c r="E42" s="610">
        <v>5200006405</v>
      </c>
      <c r="F42" s="554" t="s">
        <v>6119</v>
      </c>
      <c r="G42" s="610" t="s">
        <v>6120</v>
      </c>
      <c r="H42" s="610" t="s">
        <v>6094</v>
      </c>
      <c r="I42" s="610">
        <v>2600</v>
      </c>
      <c r="J42" s="610">
        <v>0</v>
      </c>
      <c r="K42" s="610">
        <v>13</v>
      </c>
      <c r="L42" s="611">
        <f t="shared" si="4"/>
        <v>200</v>
      </c>
      <c r="M42" s="612">
        <v>45786</v>
      </c>
      <c r="N42" s="612">
        <v>45782</v>
      </c>
      <c r="O42" s="613"/>
      <c r="P42" s="613" t="s">
        <v>113</v>
      </c>
      <c r="Q42" s="610"/>
      <c r="R42" s="614">
        <v>45735</v>
      </c>
      <c r="S42" s="614" t="s">
        <v>70</v>
      </c>
      <c r="T42" s="614" t="s">
        <v>6121</v>
      </c>
      <c r="U42" s="614"/>
      <c r="V42" s="614"/>
      <c r="W42" s="615"/>
      <c r="X42" s="609" t="s">
        <v>6122</v>
      </c>
      <c r="Y42" s="609" t="s">
        <v>160</v>
      </c>
      <c r="Z42" s="609">
        <v>1.16</v>
      </c>
      <c r="AA42" s="616">
        <f t="shared" si="10"/>
        <v>3016</v>
      </c>
      <c r="AC42" s="629" t="s">
        <v>161</v>
      </c>
      <c r="AD42" s="610" t="s">
        <v>6093</v>
      </c>
      <c r="AE42" s="610" t="s">
        <v>82</v>
      </c>
      <c r="AF42" s="610"/>
      <c r="AG42" s="610" t="s">
        <v>74</v>
      </c>
      <c r="AH42" s="610"/>
      <c r="AI42" s="610">
        <v>2600</v>
      </c>
      <c r="AJ42" s="610">
        <f t="shared" si="3"/>
        <v>0</v>
      </c>
      <c r="AK42" s="610"/>
      <c r="AL42" s="610"/>
      <c r="AM42" s="610"/>
      <c r="AN42" s="610"/>
      <c r="AO42" s="554">
        <f t="shared" si="6"/>
        <v>2600</v>
      </c>
      <c r="AR42" s="619"/>
      <c r="AS42" s="548"/>
      <c r="AT42" s="554">
        <f t="shared" si="7"/>
        <v>2600</v>
      </c>
      <c r="AV42" s="554">
        <f t="shared" si="8"/>
        <v>2600</v>
      </c>
      <c r="AW42" s="619"/>
      <c r="AX42" s="548"/>
      <c r="AY42" s="548"/>
      <c r="AZ42" s="548"/>
      <c r="BA42" s="548"/>
      <c r="BB42" s="620">
        <f t="shared" si="9"/>
        <v>108.333333333333</v>
      </c>
      <c r="BM42" s="554">
        <f>I42/13</f>
        <v>200</v>
      </c>
      <c r="BY42" s="619"/>
      <c r="BZ42" s="548"/>
      <c r="CA42" s="621"/>
      <c r="CB42" s="567"/>
      <c r="CC42" s="622"/>
      <c r="CD42" s="619"/>
      <c r="CE42" s="619"/>
      <c r="CF42" s="548"/>
      <c r="CG42" s="548"/>
      <c r="CU42" s="554">
        <f t="shared" si="0"/>
        <v>0</v>
      </c>
      <c r="CV42" s="554">
        <f t="shared" si="1"/>
        <v>0</v>
      </c>
      <c r="CW42" s="554">
        <f t="shared" si="2"/>
        <v>0</v>
      </c>
      <c r="CX42" s="619"/>
      <c r="CY42" s="619"/>
      <c r="CZ42" s="619"/>
      <c r="DA42" s="548"/>
      <c r="DB42" s="548"/>
      <c r="DC42" s="548"/>
      <c r="DD42" s="619"/>
      <c r="DE42" s="619"/>
      <c r="DF42" s="619"/>
      <c r="DG42" s="619"/>
      <c r="DH42" s="619"/>
    </row>
    <row r="43" s="548" customFormat="1" ht="31" customHeight="1" spans="1:112">
      <c r="A43" s="608">
        <v>45734</v>
      </c>
      <c r="B43" s="609" t="s">
        <v>120</v>
      </c>
      <c r="C43" s="610" t="s">
        <v>98</v>
      </c>
      <c r="D43" s="554">
        <v>4500160498</v>
      </c>
      <c r="E43" s="610" t="s">
        <v>6123</v>
      </c>
      <c r="F43" s="554" t="s">
        <v>6124</v>
      </c>
      <c r="G43" s="610" t="s">
        <v>6125</v>
      </c>
      <c r="H43" s="610" t="s">
        <v>6126</v>
      </c>
      <c r="I43" s="610">
        <v>9348</v>
      </c>
      <c r="J43" s="610">
        <v>0</v>
      </c>
      <c r="K43" s="610">
        <v>12</v>
      </c>
      <c r="L43" s="611">
        <f t="shared" si="4"/>
        <v>779</v>
      </c>
      <c r="M43" s="612">
        <v>45777</v>
      </c>
      <c r="N43" s="612">
        <v>45773</v>
      </c>
      <c r="O43" s="613"/>
      <c r="P43" s="613" t="s">
        <v>113</v>
      </c>
      <c r="Q43" s="610"/>
      <c r="R43" s="614">
        <v>45734</v>
      </c>
      <c r="S43" s="614" t="s">
        <v>70</v>
      </c>
      <c r="T43" s="614" t="s">
        <v>70</v>
      </c>
      <c r="U43" s="614"/>
      <c r="V43" s="614"/>
      <c r="W43" s="615"/>
      <c r="X43" s="609" t="s">
        <v>6127</v>
      </c>
      <c r="Y43" s="609" t="s">
        <v>125</v>
      </c>
      <c r="Z43" s="609">
        <v>2.72</v>
      </c>
      <c r="AA43" s="616">
        <f t="shared" si="10"/>
        <v>25426.56</v>
      </c>
      <c r="AC43" s="617"/>
      <c r="AD43" s="610" t="s">
        <v>6128</v>
      </c>
      <c r="AE43" s="610" t="s">
        <v>82</v>
      </c>
      <c r="AF43" s="610"/>
      <c r="AG43" s="610" t="s">
        <v>74</v>
      </c>
      <c r="AH43" s="610"/>
      <c r="AI43" s="610">
        <f>6924+2400+24</f>
        <v>9348</v>
      </c>
      <c r="AJ43" s="610">
        <f t="shared" si="3"/>
        <v>0</v>
      </c>
      <c r="AK43" s="610"/>
      <c r="AL43" s="610"/>
      <c r="AM43" s="610"/>
      <c r="AN43" s="610">
        <f>I43*2</f>
        <v>18696</v>
      </c>
      <c r="AQ43" s="554">
        <f>I43*2</f>
        <v>18696</v>
      </c>
      <c r="AR43" s="619"/>
      <c r="AS43" s="548"/>
      <c r="AT43" s="548"/>
      <c r="AU43" s="554">
        <f>I43*2</f>
        <v>18696</v>
      </c>
      <c r="AW43" s="619"/>
      <c r="AX43" s="548"/>
      <c r="AY43" s="548"/>
      <c r="AZ43" s="548"/>
      <c r="BA43" s="548"/>
      <c r="BB43" s="249">
        <f>I43/24*2</f>
        <v>779</v>
      </c>
      <c r="BY43" s="619"/>
      <c r="BZ43" s="548"/>
      <c r="CA43" s="621"/>
      <c r="CB43" s="567"/>
      <c r="CC43" s="622"/>
      <c r="CD43" s="619"/>
      <c r="CE43" s="619"/>
      <c r="CF43" s="548"/>
      <c r="CG43" s="548"/>
      <c r="CR43" s="554">
        <f>I43</f>
        <v>9348</v>
      </c>
      <c r="CS43" s="554">
        <f>I43</f>
        <v>9348</v>
      </c>
      <c r="CT43" s="554">
        <f>I43</f>
        <v>9348</v>
      </c>
      <c r="CU43" s="554">
        <f t="shared" si="0"/>
        <v>0</v>
      </c>
      <c r="CV43" s="554">
        <f t="shared" si="1"/>
        <v>0</v>
      </c>
      <c r="CW43" s="554">
        <f t="shared" si="2"/>
        <v>0</v>
      </c>
      <c r="CX43" s="619"/>
      <c r="CY43" s="619"/>
      <c r="CZ43" s="619"/>
      <c r="DA43" s="548"/>
      <c r="DB43" s="548"/>
      <c r="DC43" s="548"/>
      <c r="DD43" s="619"/>
      <c r="DE43" s="619"/>
      <c r="DF43" s="619"/>
      <c r="DG43" s="619"/>
      <c r="DH43" s="619"/>
    </row>
    <row r="44" s="548" customFormat="1" ht="31" customHeight="1" spans="1:112">
      <c r="A44" s="608">
        <v>45723</v>
      </c>
      <c r="B44" s="609" t="s">
        <v>729</v>
      </c>
      <c r="C44" s="610" t="s">
        <v>278</v>
      </c>
      <c r="D44" s="554">
        <v>4500159525</v>
      </c>
      <c r="E44" s="610" t="s">
        <v>6129</v>
      </c>
      <c r="F44" s="554" t="s">
        <v>6130</v>
      </c>
      <c r="G44" s="610" t="s">
        <v>6047</v>
      </c>
      <c r="H44" s="610" t="s">
        <v>6048</v>
      </c>
      <c r="I44" s="610">
        <v>5850</v>
      </c>
      <c r="J44" s="610">
        <v>0</v>
      </c>
      <c r="K44" s="610">
        <v>25</v>
      </c>
      <c r="L44" s="611">
        <f t="shared" si="4"/>
        <v>234</v>
      </c>
      <c r="M44" s="612">
        <v>45782</v>
      </c>
      <c r="N44" s="612">
        <v>45778</v>
      </c>
      <c r="O44" s="613"/>
      <c r="P44" s="613" t="s">
        <v>113</v>
      </c>
      <c r="Q44" s="610"/>
      <c r="R44" s="614">
        <v>45727</v>
      </c>
      <c r="S44" s="614" t="s">
        <v>70</v>
      </c>
      <c r="T44" s="614" t="s">
        <v>70</v>
      </c>
      <c r="U44" s="614"/>
      <c r="V44" s="614"/>
      <c r="W44" s="615"/>
      <c r="X44" s="628" t="s">
        <v>6131</v>
      </c>
      <c r="Y44" s="609" t="s">
        <v>1144</v>
      </c>
      <c r="Z44" s="609">
        <v>0.95</v>
      </c>
      <c r="AA44" s="616">
        <f t="shared" si="10"/>
        <v>5557.5</v>
      </c>
      <c r="AC44" s="630" t="s">
        <v>6132</v>
      </c>
      <c r="AD44" s="610" t="s">
        <v>6047</v>
      </c>
      <c r="AE44" s="610" t="s">
        <v>82</v>
      </c>
      <c r="AF44" s="610"/>
      <c r="AG44" s="610" t="s">
        <v>74</v>
      </c>
      <c r="AH44" s="610"/>
      <c r="AI44" s="610">
        <v>5850</v>
      </c>
      <c r="AJ44" s="610">
        <f t="shared" si="3"/>
        <v>0</v>
      </c>
      <c r="AK44" s="610"/>
      <c r="AL44" s="610"/>
      <c r="AM44" s="610"/>
      <c r="AN44" s="610"/>
      <c r="AO44" s="554">
        <f>I44</f>
        <v>5850</v>
      </c>
      <c r="AR44" s="619"/>
      <c r="AS44" s="548"/>
      <c r="AT44" s="554">
        <f>I44</f>
        <v>5850</v>
      </c>
      <c r="AV44" s="554">
        <f>I44</f>
        <v>5850</v>
      </c>
      <c r="AW44" s="619"/>
      <c r="AX44" s="548"/>
      <c r="AY44" s="548"/>
      <c r="AZ44" s="548"/>
      <c r="BA44" s="548"/>
      <c r="BB44" s="620">
        <f>I44/24</f>
        <v>243.75</v>
      </c>
      <c r="BP44" s="554">
        <f>I44/25</f>
        <v>234</v>
      </c>
      <c r="BY44" s="619"/>
      <c r="BZ44" s="548"/>
      <c r="CA44" s="621"/>
      <c r="CB44" s="567"/>
      <c r="CC44" s="622"/>
      <c r="CD44" s="619"/>
      <c r="CE44" s="619"/>
      <c r="CF44" s="548"/>
      <c r="CG44" s="548"/>
      <c r="CU44" s="554">
        <f t="shared" si="0"/>
        <v>234</v>
      </c>
      <c r="CV44" s="554">
        <f t="shared" si="1"/>
        <v>0</v>
      </c>
      <c r="CW44" s="554">
        <f t="shared" si="2"/>
        <v>0</v>
      </c>
      <c r="CX44" s="619"/>
      <c r="CY44" s="619"/>
      <c r="CZ44" s="619"/>
      <c r="DA44" s="548"/>
      <c r="DB44" s="548"/>
      <c r="DC44" s="548"/>
      <c r="DD44" s="619"/>
      <c r="DE44" s="619"/>
      <c r="DF44" s="619"/>
      <c r="DG44" s="619"/>
      <c r="DH44" s="619"/>
    </row>
    <row r="45" s="548" customFormat="1" ht="31" customHeight="1" spans="1:112">
      <c r="A45" s="608">
        <v>45723</v>
      </c>
      <c r="B45" s="609" t="s">
        <v>729</v>
      </c>
      <c r="C45" s="610" t="s">
        <v>278</v>
      </c>
      <c r="D45" s="554">
        <v>4500159525</v>
      </c>
      <c r="E45" s="610" t="s">
        <v>6133</v>
      </c>
      <c r="F45" s="554" t="s">
        <v>6134</v>
      </c>
      <c r="G45" s="610" t="s">
        <v>6047</v>
      </c>
      <c r="H45" s="610" t="s">
        <v>6048</v>
      </c>
      <c r="I45" s="610">
        <v>5850</v>
      </c>
      <c r="J45" s="610">
        <v>0</v>
      </c>
      <c r="K45" s="610">
        <v>25</v>
      </c>
      <c r="L45" s="611">
        <f t="shared" si="4"/>
        <v>234</v>
      </c>
      <c r="M45" s="612">
        <v>45782</v>
      </c>
      <c r="N45" s="612">
        <v>45778</v>
      </c>
      <c r="O45" s="613"/>
      <c r="P45" s="613" t="s">
        <v>113</v>
      </c>
      <c r="Q45" s="610"/>
      <c r="R45" s="614">
        <v>45727</v>
      </c>
      <c r="S45" s="614" t="s">
        <v>70</v>
      </c>
      <c r="T45" s="614" t="s">
        <v>70</v>
      </c>
      <c r="U45" s="614"/>
      <c r="V45" s="614"/>
      <c r="W45" s="615"/>
      <c r="X45" s="628" t="s">
        <v>6131</v>
      </c>
      <c r="Y45" s="609" t="s">
        <v>1144</v>
      </c>
      <c r="Z45" s="609">
        <v>0.95</v>
      </c>
      <c r="AA45" s="616">
        <f t="shared" si="10"/>
        <v>5557.5</v>
      </c>
      <c r="AC45" s="630" t="s">
        <v>6132</v>
      </c>
      <c r="AD45" s="610" t="s">
        <v>6047</v>
      </c>
      <c r="AE45" s="610" t="s">
        <v>82</v>
      </c>
      <c r="AF45" s="610"/>
      <c r="AG45" s="610" t="s">
        <v>74</v>
      </c>
      <c r="AH45" s="610"/>
      <c r="AI45" s="610">
        <v>5850</v>
      </c>
      <c r="AJ45" s="610">
        <f t="shared" si="3"/>
        <v>0</v>
      </c>
      <c r="AK45" s="610"/>
      <c r="AL45" s="610"/>
      <c r="AM45" s="610"/>
      <c r="AN45" s="610"/>
      <c r="AO45" s="554">
        <f>I45</f>
        <v>5850</v>
      </c>
      <c r="AR45" s="619"/>
      <c r="AS45" s="548"/>
      <c r="AT45" s="554">
        <f>I45</f>
        <v>5850</v>
      </c>
      <c r="AV45" s="554">
        <f>I45</f>
        <v>5850</v>
      </c>
      <c r="AW45" s="619"/>
      <c r="AX45" s="548"/>
      <c r="AY45" s="548"/>
      <c r="AZ45" s="548"/>
      <c r="BA45" s="548"/>
      <c r="BB45" s="620">
        <f>I45/24</f>
        <v>243.75</v>
      </c>
      <c r="BP45" s="554">
        <f>I45/25</f>
        <v>234</v>
      </c>
      <c r="BY45" s="619"/>
      <c r="BZ45" s="548"/>
      <c r="CA45" s="621"/>
      <c r="CB45" s="567"/>
      <c r="CC45" s="622"/>
      <c r="CD45" s="619"/>
      <c r="CE45" s="619"/>
      <c r="CF45" s="548"/>
      <c r="CG45" s="548"/>
      <c r="CU45" s="554">
        <f t="shared" si="0"/>
        <v>234</v>
      </c>
      <c r="CV45" s="554">
        <f t="shared" si="1"/>
        <v>0</v>
      </c>
      <c r="CW45" s="554">
        <f t="shared" si="2"/>
        <v>0</v>
      </c>
      <c r="CX45" s="619"/>
      <c r="CY45" s="619"/>
      <c r="CZ45" s="619"/>
      <c r="DA45" s="548"/>
      <c r="DB45" s="548"/>
      <c r="DC45" s="548"/>
      <c r="DD45" s="619"/>
      <c r="DE45" s="619"/>
      <c r="DF45" s="619"/>
      <c r="DG45" s="619"/>
      <c r="DH45" s="619"/>
    </row>
    <row r="46" s="548" customFormat="1" ht="31" customHeight="1" spans="1:112">
      <c r="A46" s="608">
        <v>45729</v>
      </c>
      <c r="B46" s="609" t="s">
        <v>277</v>
      </c>
      <c r="C46" s="610" t="s">
        <v>278</v>
      </c>
      <c r="D46" s="554">
        <v>4500159818</v>
      </c>
      <c r="E46" s="610">
        <v>14202268</v>
      </c>
      <c r="F46" s="554" t="s">
        <v>6135</v>
      </c>
      <c r="G46" s="610" t="s">
        <v>6136</v>
      </c>
      <c r="H46" s="610" t="s">
        <v>6137</v>
      </c>
      <c r="I46" s="610">
        <v>5200</v>
      </c>
      <c r="J46" s="610">
        <v>13</v>
      </c>
      <c r="K46" s="610">
        <f>J46*8</f>
        <v>104</v>
      </c>
      <c r="L46" s="611">
        <f t="shared" si="4"/>
        <v>50</v>
      </c>
      <c r="M46" s="612">
        <v>45784</v>
      </c>
      <c r="N46" s="612">
        <v>45780</v>
      </c>
      <c r="O46" s="613"/>
      <c r="P46" s="613" t="s">
        <v>113</v>
      </c>
      <c r="Q46" s="610"/>
      <c r="R46" s="614">
        <v>45740</v>
      </c>
      <c r="S46" s="614" t="s">
        <v>70</v>
      </c>
      <c r="T46" s="614">
        <v>45730</v>
      </c>
      <c r="U46" s="614"/>
      <c r="V46" s="614"/>
      <c r="W46" s="615"/>
      <c r="X46" s="609" t="s">
        <v>6138</v>
      </c>
      <c r="Y46" s="609" t="s">
        <v>283</v>
      </c>
      <c r="Z46" s="609">
        <v>1.16</v>
      </c>
      <c r="AA46" s="616">
        <f t="shared" si="10"/>
        <v>6032</v>
      </c>
      <c r="AC46" s="629" t="s">
        <v>6139</v>
      </c>
      <c r="AD46" s="610" t="s">
        <v>6136</v>
      </c>
      <c r="AE46" s="610" t="s">
        <v>82</v>
      </c>
      <c r="AF46" s="610"/>
      <c r="AG46" s="610" t="s">
        <v>74</v>
      </c>
      <c r="AH46" s="610"/>
      <c r="AI46" s="610">
        <v>5200</v>
      </c>
      <c r="AJ46" s="610">
        <f t="shared" si="3"/>
        <v>0</v>
      </c>
      <c r="AK46" s="610"/>
      <c r="AL46" s="610"/>
      <c r="AM46" s="610"/>
      <c r="AN46" s="610"/>
      <c r="AO46" s="554">
        <f>I46</f>
        <v>5200</v>
      </c>
      <c r="AR46" s="619"/>
      <c r="AS46" s="548"/>
      <c r="AT46" s="554">
        <f>I46</f>
        <v>5200</v>
      </c>
      <c r="AV46" s="554">
        <f>I46</f>
        <v>5200</v>
      </c>
      <c r="AW46" s="619"/>
      <c r="AX46" s="548"/>
      <c r="AY46" s="548"/>
      <c r="AZ46" s="548"/>
      <c r="BA46" s="548"/>
      <c r="BB46" s="620">
        <f>I46/24</f>
        <v>216.666666666667</v>
      </c>
      <c r="BM46" s="554">
        <f>I46/13</f>
        <v>400</v>
      </c>
      <c r="BY46" s="619"/>
      <c r="BZ46" s="548"/>
      <c r="CA46" s="621"/>
      <c r="CB46" s="567"/>
      <c r="CC46" s="622"/>
      <c r="CD46" s="619"/>
      <c r="CE46" s="619"/>
      <c r="CF46" s="548"/>
      <c r="CG46" s="548"/>
      <c r="CU46" s="554">
        <f t="shared" si="0"/>
        <v>0</v>
      </c>
      <c r="CV46" s="554">
        <f t="shared" si="1"/>
        <v>0</v>
      </c>
      <c r="CW46" s="554">
        <f t="shared" si="2"/>
        <v>0</v>
      </c>
      <c r="CX46" s="619"/>
      <c r="CY46" s="619"/>
      <c r="CZ46" s="619"/>
      <c r="DA46" s="548"/>
      <c r="DB46" s="548"/>
      <c r="DC46" s="548"/>
      <c r="DD46" s="619"/>
      <c r="DE46" s="619"/>
      <c r="DF46" s="619"/>
      <c r="DG46" s="619"/>
      <c r="DH46" s="619"/>
    </row>
    <row r="47" s="548" customFormat="1" ht="31" customHeight="1" spans="1:112">
      <c r="A47" s="608">
        <v>45748</v>
      </c>
      <c r="B47" s="609" t="s">
        <v>143</v>
      </c>
      <c r="C47" s="610" t="s">
        <v>98</v>
      </c>
      <c r="D47" s="554">
        <v>4500162160</v>
      </c>
      <c r="E47" s="610" t="s">
        <v>6140</v>
      </c>
      <c r="F47" s="554" t="s">
        <v>6141</v>
      </c>
      <c r="G47" s="610" t="s">
        <v>6063</v>
      </c>
      <c r="H47" s="610" t="s">
        <v>6064</v>
      </c>
      <c r="I47" s="610">
        <v>2624</v>
      </c>
      <c r="J47" s="610">
        <v>0</v>
      </c>
      <c r="K47" s="610">
        <v>16</v>
      </c>
      <c r="L47" s="611">
        <f t="shared" si="4"/>
        <v>164</v>
      </c>
      <c r="M47" s="612">
        <v>45785</v>
      </c>
      <c r="N47" s="612">
        <v>45781</v>
      </c>
      <c r="O47" s="613" t="s">
        <v>146</v>
      </c>
      <c r="P47" s="613" t="s">
        <v>113</v>
      </c>
      <c r="Q47" s="610"/>
      <c r="R47" s="614" t="s">
        <v>147</v>
      </c>
      <c r="S47" s="614" t="s">
        <v>70</v>
      </c>
      <c r="T47" s="614" t="s">
        <v>6142</v>
      </c>
      <c r="U47" s="614"/>
      <c r="V47" s="614" t="s">
        <v>148</v>
      </c>
      <c r="W47" s="615"/>
      <c r="X47" s="609" t="s">
        <v>6143</v>
      </c>
      <c r="Y47" s="609" t="s">
        <v>106</v>
      </c>
      <c r="Z47" s="609">
        <v>1.68</v>
      </c>
      <c r="AA47" s="616">
        <f t="shared" si="10"/>
        <v>4408.32</v>
      </c>
      <c r="AC47" s="617"/>
      <c r="AD47" s="610" t="s">
        <v>6063</v>
      </c>
      <c r="AE47" s="610" t="s">
        <v>82</v>
      </c>
      <c r="AF47" s="610"/>
      <c r="AG47" s="610" t="s">
        <v>74</v>
      </c>
      <c r="AH47" s="610"/>
      <c r="AI47" s="610">
        <v>2624</v>
      </c>
      <c r="AJ47" s="610">
        <f t="shared" si="3"/>
        <v>0</v>
      </c>
      <c r="AK47" s="610"/>
      <c r="AL47" s="610"/>
      <c r="AM47" s="610"/>
      <c r="AN47" s="610">
        <f>I47</f>
        <v>2624</v>
      </c>
      <c r="AP47" s="554">
        <f>I47</f>
        <v>2624</v>
      </c>
      <c r="AR47" s="619"/>
      <c r="AS47" s="548"/>
      <c r="AT47" s="548"/>
      <c r="AU47" s="554">
        <f>I47</f>
        <v>2624</v>
      </c>
      <c r="AW47" s="619"/>
      <c r="AX47" s="548"/>
      <c r="AY47" s="548"/>
      <c r="AZ47" s="548"/>
      <c r="BA47" s="548"/>
      <c r="BB47" s="620">
        <f>I47/48</f>
        <v>54.6666666666667</v>
      </c>
      <c r="BQ47" s="554">
        <f>I47/16</f>
        <v>164</v>
      </c>
      <c r="BY47" s="619"/>
      <c r="BZ47" s="548"/>
      <c r="CA47" s="621"/>
      <c r="CB47" s="567"/>
      <c r="CC47" s="622"/>
      <c r="CD47" s="619"/>
      <c r="CE47" s="619"/>
      <c r="CF47" s="548"/>
      <c r="CG47" s="548"/>
      <c r="CU47" s="554">
        <f t="shared" si="0"/>
        <v>164</v>
      </c>
      <c r="CV47" s="554">
        <f t="shared" si="1"/>
        <v>0</v>
      </c>
      <c r="CW47" s="554">
        <f t="shared" si="2"/>
        <v>0</v>
      </c>
      <c r="CX47" s="619"/>
      <c r="CY47" s="619"/>
      <c r="CZ47" s="619"/>
      <c r="DA47" s="548"/>
      <c r="DB47" s="548"/>
      <c r="DC47" s="548"/>
      <c r="DD47" s="619"/>
      <c r="DE47" s="619"/>
      <c r="DF47" s="619"/>
      <c r="DG47" s="619"/>
      <c r="DH47" s="619"/>
    </row>
    <row r="48" s="548" customFormat="1" ht="31" customHeight="1" spans="1:112">
      <c r="A48" s="608">
        <v>45748</v>
      </c>
      <c r="B48" s="609" t="s">
        <v>143</v>
      </c>
      <c r="C48" s="610" t="s">
        <v>98</v>
      </c>
      <c r="D48" s="554">
        <v>4500162160</v>
      </c>
      <c r="E48" s="610" t="s">
        <v>6144</v>
      </c>
      <c r="F48" s="554" t="s">
        <v>6145</v>
      </c>
      <c r="G48" s="610" t="s">
        <v>6063</v>
      </c>
      <c r="H48" s="610" t="s">
        <v>6064</v>
      </c>
      <c r="I48" s="610">
        <v>3520</v>
      </c>
      <c r="J48" s="610">
        <v>0</v>
      </c>
      <c r="K48" s="610">
        <v>16</v>
      </c>
      <c r="L48" s="611">
        <f t="shared" si="4"/>
        <v>220</v>
      </c>
      <c r="M48" s="612">
        <v>45785</v>
      </c>
      <c r="N48" s="612">
        <v>45781</v>
      </c>
      <c r="O48" s="613" t="s">
        <v>146</v>
      </c>
      <c r="P48" s="613" t="s">
        <v>113</v>
      </c>
      <c r="Q48" s="610"/>
      <c r="R48" s="614" t="s">
        <v>147</v>
      </c>
      <c r="S48" s="614" t="s">
        <v>70</v>
      </c>
      <c r="T48" s="614" t="s">
        <v>6142</v>
      </c>
      <c r="U48" s="614"/>
      <c r="V48" s="614" t="s">
        <v>148</v>
      </c>
      <c r="W48" s="615"/>
      <c r="X48" s="609" t="s">
        <v>6143</v>
      </c>
      <c r="Y48" s="609" t="s">
        <v>106</v>
      </c>
      <c r="Z48" s="609">
        <v>1.68</v>
      </c>
      <c r="AA48" s="616">
        <f t="shared" si="10"/>
        <v>5913.6</v>
      </c>
      <c r="AC48" s="617"/>
      <c r="AD48" s="610" t="s">
        <v>6063</v>
      </c>
      <c r="AE48" s="610" t="s">
        <v>82</v>
      </c>
      <c r="AF48" s="610"/>
      <c r="AG48" s="610" t="s">
        <v>74</v>
      </c>
      <c r="AH48" s="610"/>
      <c r="AI48" s="610">
        <v>3520</v>
      </c>
      <c r="AJ48" s="610">
        <f t="shared" si="3"/>
        <v>0</v>
      </c>
      <c r="AK48" s="610"/>
      <c r="AL48" s="610"/>
      <c r="AM48" s="610"/>
      <c r="AN48" s="610">
        <f>I48</f>
        <v>3520</v>
      </c>
      <c r="AP48" s="554">
        <f>I48</f>
        <v>3520</v>
      </c>
      <c r="AR48" s="619"/>
      <c r="AS48" s="548"/>
      <c r="AT48" s="548"/>
      <c r="AU48" s="554">
        <f>I48</f>
        <v>3520</v>
      </c>
      <c r="AW48" s="619"/>
      <c r="AX48" s="548"/>
      <c r="AY48" s="548"/>
      <c r="AZ48" s="548"/>
      <c r="BA48" s="548"/>
      <c r="BB48" s="620">
        <f>I48/48</f>
        <v>73.3333333333333</v>
      </c>
      <c r="BQ48" s="554">
        <f>I48/16</f>
        <v>220</v>
      </c>
      <c r="BY48" s="619"/>
      <c r="BZ48" s="548"/>
      <c r="CA48" s="621"/>
      <c r="CB48" s="567"/>
      <c r="CC48" s="622"/>
      <c r="CD48" s="619"/>
      <c r="CE48" s="619"/>
      <c r="CF48" s="548"/>
      <c r="CG48" s="548"/>
      <c r="CU48" s="554">
        <f t="shared" si="0"/>
        <v>220</v>
      </c>
      <c r="CV48" s="554">
        <f t="shared" si="1"/>
        <v>0</v>
      </c>
      <c r="CW48" s="554">
        <f t="shared" si="2"/>
        <v>0</v>
      </c>
      <c r="CX48" s="619"/>
      <c r="CY48" s="619"/>
      <c r="CZ48" s="619"/>
      <c r="DA48" s="548"/>
      <c r="DB48" s="548"/>
      <c r="DC48" s="548"/>
      <c r="DD48" s="619"/>
      <c r="DE48" s="619"/>
      <c r="DF48" s="619"/>
      <c r="DG48" s="619"/>
      <c r="DH48" s="619"/>
    </row>
    <row r="49" s="548" customFormat="1" ht="31" customHeight="1" spans="1:112">
      <c r="A49" s="608">
        <v>45695</v>
      </c>
      <c r="B49" s="609" t="s">
        <v>6146</v>
      </c>
      <c r="C49" s="610" t="s">
        <v>302</v>
      </c>
      <c r="D49" s="554">
        <v>4500156860</v>
      </c>
      <c r="E49" s="610">
        <v>4400464929</v>
      </c>
      <c r="F49" s="554" t="s">
        <v>6147</v>
      </c>
      <c r="G49" s="610" t="s">
        <v>6047</v>
      </c>
      <c r="H49" s="610" t="s">
        <v>6048</v>
      </c>
      <c r="I49" s="610">
        <v>3500</v>
      </c>
      <c r="J49" s="610">
        <v>0</v>
      </c>
      <c r="K49" s="610">
        <v>25</v>
      </c>
      <c r="L49" s="611">
        <f t="shared" si="4"/>
        <v>140</v>
      </c>
      <c r="M49" s="612">
        <v>45786</v>
      </c>
      <c r="N49" s="612">
        <v>45782</v>
      </c>
      <c r="O49" s="613"/>
      <c r="P49" s="613" t="s">
        <v>113</v>
      </c>
      <c r="Q49" s="610"/>
      <c r="R49" s="614">
        <v>45696</v>
      </c>
      <c r="S49" s="614" t="s">
        <v>70</v>
      </c>
      <c r="T49" s="614" t="s">
        <v>70</v>
      </c>
      <c r="U49" s="614"/>
      <c r="V49" s="614"/>
      <c r="W49" s="615"/>
      <c r="X49" s="628" t="s">
        <v>6148</v>
      </c>
      <c r="Y49" s="609" t="s">
        <v>261</v>
      </c>
      <c r="Z49" s="609">
        <v>1.24</v>
      </c>
      <c r="AA49" s="616">
        <f t="shared" si="10"/>
        <v>4340</v>
      </c>
      <c r="AC49" s="629" t="s">
        <v>6149</v>
      </c>
      <c r="AD49" s="610" t="s">
        <v>6073</v>
      </c>
      <c r="AE49" s="610" t="s">
        <v>82</v>
      </c>
      <c r="AF49" s="610"/>
      <c r="AG49" s="610" t="s">
        <v>74</v>
      </c>
      <c r="AH49" s="610"/>
      <c r="AI49" s="610">
        <v>3500</v>
      </c>
      <c r="AJ49" s="610">
        <f t="shared" si="3"/>
        <v>0</v>
      </c>
      <c r="AK49" s="610"/>
      <c r="AL49" s="610"/>
      <c r="AM49" s="610"/>
      <c r="AN49" s="610"/>
      <c r="AO49" s="554">
        <f>I49</f>
        <v>3500</v>
      </c>
      <c r="AR49" s="619"/>
      <c r="AS49" s="548"/>
      <c r="AT49" s="548"/>
      <c r="AU49" s="548"/>
      <c r="AV49" s="554">
        <f>I49</f>
        <v>3500</v>
      </c>
      <c r="AW49" s="619"/>
      <c r="AX49" s="548"/>
      <c r="AY49" s="548"/>
      <c r="AZ49" s="548"/>
      <c r="BA49" s="548"/>
      <c r="BB49" s="620">
        <f>I49/48</f>
        <v>72.9166666666667</v>
      </c>
      <c r="BE49" s="554">
        <f>I49</f>
        <v>3500</v>
      </c>
      <c r="BP49" s="554">
        <f>I49/25</f>
        <v>140</v>
      </c>
      <c r="BY49" s="619"/>
      <c r="BZ49" s="548"/>
      <c r="CA49" s="621"/>
      <c r="CB49" s="567"/>
      <c r="CC49" s="622"/>
      <c r="CD49" s="619"/>
      <c r="CE49" s="619"/>
      <c r="CF49" s="548"/>
      <c r="CG49" s="548"/>
      <c r="CU49" s="554">
        <f t="shared" si="0"/>
        <v>140</v>
      </c>
      <c r="CV49" s="554">
        <f t="shared" si="1"/>
        <v>0</v>
      </c>
      <c r="CW49" s="554">
        <f t="shared" si="2"/>
        <v>0</v>
      </c>
      <c r="CX49" s="619"/>
      <c r="CY49" s="619"/>
      <c r="CZ49" s="619"/>
      <c r="DA49" s="548"/>
      <c r="DB49" s="548"/>
      <c r="DC49" s="548"/>
      <c r="DD49" s="619"/>
      <c r="DE49" s="619"/>
      <c r="DF49" s="619"/>
      <c r="DG49" s="619"/>
      <c r="DH49" s="619"/>
    </row>
    <row r="50" s="548" customFormat="1" ht="31" customHeight="1" spans="1:112">
      <c r="A50" s="608">
        <v>45671</v>
      </c>
      <c r="B50" s="609" t="s">
        <v>162</v>
      </c>
      <c r="C50" s="610" t="s">
        <v>154</v>
      </c>
      <c r="D50" s="554">
        <v>4500155592</v>
      </c>
      <c r="E50" s="610">
        <v>4400459912</v>
      </c>
      <c r="F50" s="554" t="s">
        <v>6150</v>
      </c>
      <c r="G50" s="610" t="s">
        <v>6047</v>
      </c>
      <c r="H50" s="610" t="s">
        <v>6048</v>
      </c>
      <c r="I50" s="610">
        <v>8000</v>
      </c>
      <c r="J50" s="610">
        <v>0</v>
      </c>
      <c r="K50" s="610">
        <v>25</v>
      </c>
      <c r="L50" s="611">
        <f t="shared" si="4"/>
        <v>320</v>
      </c>
      <c r="M50" s="612">
        <v>45786</v>
      </c>
      <c r="N50" s="612">
        <v>45782</v>
      </c>
      <c r="O50" s="613"/>
      <c r="P50" s="613" t="s">
        <v>113</v>
      </c>
      <c r="Q50" s="610"/>
      <c r="R50" s="614">
        <v>45671</v>
      </c>
      <c r="S50" s="614" t="s">
        <v>70</v>
      </c>
      <c r="T50" s="614" t="s">
        <v>70</v>
      </c>
      <c r="U50" s="614"/>
      <c r="V50" s="614"/>
      <c r="W50" s="615"/>
      <c r="X50" s="628" t="s">
        <v>6151</v>
      </c>
      <c r="Y50" s="609" t="s">
        <v>167</v>
      </c>
      <c r="Z50" s="609">
        <v>1.24</v>
      </c>
      <c r="AA50" s="616">
        <f t="shared" si="10"/>
        <v>9920</v>
      </c>
      <c r="AC50" s="629" t="s">
        <v>6152</v>
      </c>
      <c r="AD50" s="610" t="s">
        <v>6073</v>
      </c>
      <c r="AE50" s="610" t="s">
        <v>82</v>
      </c>
      <c r="AF50" s="610"/>
      <c r="AG50" s="610" t="s">
        <v>74</v>
      </c>
      <c r="AH50" s="610"/>
      <c r="AI50" s="610">
        <f>7950+50</f>
        <v>8000</v>
      </c>
      <c r="AJ50" s="610">
        <f t="shared" si="3"/>
        <v>0</v>
      </c>
      <c r="AK50" s="610"/>
      <c r="AL50" s="610"/>
      <c r="AM50" s="610"/>
      <c r="AN50" s="610"/>
      <c r="AO50" s="554">
        <f>I50</f>
        <v>8000</v>
      </c>
      <c r="AR50" s="619"/>
      <c r="AS50" s="548"/>
      <c r="AT50" s="548"/>
      <c r="AU50" s="548"/>
      <c r="AV50" s="554">
        <f>I50</f>
        <v>8000</v>
      </c>
      <c r="AW50" s="619"/>
      <c r="AX50" s="548"/>
      <c r="AY50" s="548"/>
      <c r="AZ50" s="548"/>
      <c r="BA50" s="548"/>
      <c r="BB50" s="620">
        <f>I50/48</f>
        <v>166.666666666667</v>
      </c>
      <c r="BE50" s="554">
        <f>I50</f>
        <v>8000</v>
      </c>
      <c r="BP50" s="554">
        <f>I50/25</f>
        <v>320</v>
      </c>
      <c r="BY50" s="619"/>
      <c r="BZ50" s="548"/>
      <c r="CA50" s="621"/>
      <c r="CB50" s="567"/>
      <c r="CC50" s="622"/>
      <c r="CD50" s="619"/>
      <c r="CE50" s="619"/>
      <c r="CF50" s="548"/>
      <c r="CG50" s="548"/>
      <c r="CU50" s="554">
        <f t="shared" si="0"/>
        <v>320</v>
      </c>
      <c r="CV50" s="554">
        <f t="shared" si="1"/>
        <v>0</v>
      </c>
      <c r="CW50" s="554">
        <f t="shared" si="2"/>
        <v>0</v>
      </c>
      <c r="CX50" s="619"/>
      <c r="CY50" s="619"/>
      <c r="CZ50" s="619"/>
      <c r="DA50" s="548"/>
      <c r="DB50" s="548"/>
      <c r="DC50" s="548"/>
      <c r="DD50" s="619"/>
      <c r="DE50" s="619"/>
      <c r="DF50" s="619"/>
      <c r="DG50" s="619"/>
      <c r="DH50" s="619"/>
    </row>
    <row r="51" s="548" customFormat="1" ht="31" customHeight="1" spans="1:112">
      <c r="A51" s="608">
        <v>45707</v>
      </c>
      <c r="B51" s="609" t="s">
        <v>153</v>
      </c>
      <c r="C51" s="610" t="s">
        <v>154</v>
      </c>
      <c r="D51" s="554">
        <v>4500157858</v>
      </c>
      <c r="E51" s="610">
        <v>5200006149</v>
      </c>
      <c r="F51" s="554" t="s">
        <v>6153</v>
      </c>
      <c r="G51" s="610" t="s">
        <v>6120</v>
      </c>
      <c r="H51" s="610" t="s">
        <v>6094</v>
      </c>
      <c r="I51" s="610">
        <v>5200</v>
      </c>
      <c r="J51" s="610">
        <v>0</v>
      </c>
      <c r="K51" s="610">
        <v>13</v>
      </c>
      <c r="L51" s="611">
        <f t="shared" si="4"/>
        <v>400</v>
      </c>
      <c r="M51" s="612">
        <v>45786</v>
      </c>
      <c r="N51" s="612">
        <v>45782</v>
      </c>
      <c r="O51" s="613"/>
      <c r="P51" s="613" t="s">
        <v>113</v>
      </c>
      <c r="Q51" s="610"/>
      <c r="R51" s="614">
        <v>45707</v>
      </c>
      <c r="S51" s="614" t="s">
        <v>70</v>
      </c>
      <c r="T51" s="614">
        <v>45737</v>
      </c>
      <c r="U51" s="614"/>
      <c r="V51" s="614"/>
      <c r="W51" s="615"/>
      <c r="X51" s="628" t="s">
        <v>6154</v>
      </c>
      <c r="Y51" s="609" t="s">
        <v>6155</v>
      </c>
      <c r="Z51" s="609">
        <v>1.16</v>
      </c>
      <c r="AA51" s="616">
        <f t="shared" si="10"/>
        <v>6032</v>
      </c>
      <c r="AC51" s="629" t="s">
        <v>6156</v>
      </c>
      <c r="AD51" s="610" t="s">
        <v>6093</v>
      </c>
      <c r="AE51" s="610" t="s">
        <v>82</v>
      </c>
      <c r="AF51" s="610"/>
      <c r="AG51" s="610" t="s">
        <v>74</v>
      </c>
      <c r="AH51" s="610"/>
      <c r="AI51" s="610">
        <v>5200</v>
      </c>
      <c r="AJ51" s="610">
        <f t="shared" si="3"/>
        <v>0</v>
      </c>
      <c r="AK51" s="610"/>
      <c r="AL51" s="610"/>
      <c r="AM51" s="610"/>
      <c r="AN51" s="610"/>
      <c r="AO51" s="554">
        <f>I51</f>
        <v>5200</v>
      </c>
      <c r="AR51" s="619"/>
      <c r="AS51" s="548"/>
      <c r="AT51" s="554">
        <f>I51</f>
        <v>5200</v>
      </c>
      <c r="AV51" s="554">
        <f>I51</f>
        <v>5200</v>
      </c>
      <c r="AW51" s="619"/>
      <c r="AX51" s="548"/>
      <c r="AY51" s="548"/>
      <c r="AZ51" s="548"/>
      <c r="BA51" s="548"/>
      <c r="BB51" s="620">
        <f>I51/24</f>
        <v>216.666666666667</v>
      </c>
      <c r="BM51" s="554">
        <f>I51/13</f>
        <v>400</v>
      </c>
      <c r="BY51" s="619"/>
      <c r="BZ51" s="548"/>
      <c r="CA51" s="621"/>
      <c r="CB51" s="567"/>
      <c r="CC51" s="622"/>
      <c r="CD51" s="619"/>
      <c r="CE51" s="619"/>
      <c r="CF51" s="548"/>
      <c r="CG51" s="548"/>
      <c r="CU51" s="554">
        <f t="shared" si="0"/>
        <v>0</v>
      </c>
      <c r="CV51" s="554">
        <f t="shared" si="1"/>
        <v>0</v>
      </c>
      <c r="CW51" s="554">
        <f t="shared" si="2"/>
        <v>0</v>
      </c>
      <c r="CX51" s="619"/>
      <c r="CY51" s="619"/>
      <c r="CZ51" s="619"/>
      <c r="DA51" s="548"/>
      <c r="DB51" s="548"/>
      <c r="DC51" s="548"/>
      <c r="DD51" s="619"/>
      <c r="DE51" s="619"/>
      <c r="DF51" s="619"/>
      <c r="DG51" s="619"/>
      <c r="DH51" s="619"/>
    </row>
    <row r="52" s="548" customFormat="1" ht="31" customHeight="1" spans="1:112">
      <c r="A52" s="608">
        <v>45742</v>
      </c>
      <c r="B52" s="609" t="s">
        <v>219</v>
      </c>
      <c r="C52" s="610" t="s">
        <v>220</v>
      </c>
      <c r="D52" s="554">
        <v>4500161426</v>
      </c>
      <c r="E52" s="610" t="s">
        <v>221</v>
      </c>
      <c r="F52" s="554" t="s">
        <v>6157</v>
      </c>
      <c r="G52" s="610" t="s">
        <v>6040</v>
      </c>
      <c r="H52" s="610" t="s">
        <v>6041</v>
      </c>
      <c r="I52" s="610">
        <v>1300</v>
      </c>
      <c r="J52" s="610">
        <v>0</v>
      </c>
      <c r="K52" s="610">
        <v>52</v>
      </c>
      <c r="L52" s="611">
        <f t="shared" si="4"/>
        <v>25</v>
      </c>
      <c r="M52" s="612">
        <v>45792</v>
      </c>
      <c r="N52" s="612">
        <v>45789</v>
      </c>
      <c r="O52" s="613"/>
      <c r="P52" s="613" t="s">
        <v>113</v>
      </c>
      <c r="Q52" s="610"/>
      <c r="R52" s="614">
        <v>45742</v>
      </c>
      <c r="S52" s="614" t="s">
        <v>70</v>
      </c>
      <c r="T52" s="614">
        <v>45750</v>
      </c>
      <c r="U52" s="614"/>
      <c r="V52" s="614"/>
      <c r="W52" s="615"/>
      <c r="X52" s="609" t="s">
        <v>6158</v>
      </c>
      <c r="Y52" s="609" t="s">
        <v>217</v>
      </c>
      <c r="Z52" s="609">
        <v>0.92</v>
      </c>
      <c r="AA52" s="616">
        <f t="shared" si="10"/>
        <v>1196</v>
      </c>
      <c r="AC52" s="629" t="s">
        <v>224</v>
      </c>
      <c r="AD52" s="631" t="s">
        <v>6040</v>
      </c>
      <c r="AE52" s="610" t="s">
        <v>82</v>
      </c>
      <c r="AF52" s="610"/>
      <c r="AG52" s="610" t="s">
        <v>74</v>
      </c>
      <c r="AH52" s="610"/>
      <c r="AI52" s="610">
        <v>1300</v>
      </c>
      <c r="AJ52" s="610">
        <f t="shared" si="3"/>
        <v>0</v>
      </c>
      <c r="AK52" s="610"/>
      <c r="AL52" s="610"/>
      <c r="AM52" s="610"/>
      <c r="AN52" s="610"/>
      <c r="AO52" s="554">
        <f>I52</f>
        <v>1300</v>
      </c>
      <c r="AR52" s="619"/>
      <c r="AS52" s="548"/>
      <c r="AT52" s="554">
        <f>I52</f>
        <v>1300</v>
      </c>
      <c r="AV52" s="554">
        <f>I52</f>
        <v>1300</v>
      </c>
      <c r="AW52" s="619"/>
      <c r="AX52" s="548"/>
      <c r="AY52" s="548"/>
      <c r="AZ52" s="548"/>
      <c r="BA52" s="548"/>
      <c r="BB52" s="620">
        <f>I52/24</f>
        <v>54.1666666666667</v>
      </c>
      <c r="BM52" s="554">
        <f>I52/13</f>
        <v>100</v>
      </c>
      <c r="BY52" s="619"/>
      <c r="BZ52" s="548"/>
      <c r="CA52" s="621"/>
      <c r="CB52" s="567"/>
      <c r="CC52" s="622"/>
      <c r="CD52" s="619"/>
      <c r="CE52" s="619"/>
      <c r="CF52" s="548"/>
      <c r="CG52" s="548"/>
      <c r="CU52" s="554">
        <f t="shared" si="0"/>
        <v>0</v>
      </c>
      <c r="CV52" s="554">
        <f t="shared" si="1"/>
        <v>0</v>
      </c>
      <c r="CW52" s="554">
        <f t="shared" si="2"/>
        <v>0</v>
      </c>
      <c r="CX52" s="619"/>
      <c r="CY52" s="619"/>
      <c r="CZ52" s="619"/>
      <c r="DA52" s="548"/>
      <c r="DB52" s="548"/>
      <c r="DC52" s="548"/>
      <c r="DD52" s="619"/>
      <c r="DE52" s="619"/>
      <c r="DF52" s="619"/>
      <c r="DG52" s="619"/>
      <c r="DH52" s="619"/>
    </row>
    <row r="53" s="548" customFormat="1" ht="31" customHeight="1" spans="1:112">
      <c r="A53" s="608">
        <v>45709</v>
      </c>
      <c r="B53" s="609" t="s">
        <v>246</v>
      </c>
      <c r="C53" s="610" t="s">
        <v>98</v>
      </c>
      <c r="D53" s="554">
        <v>4500158149</v>
      </c>
      <c r="E53" s="610" t="s">
        <v>253</v>
      </c>
      <c r="F53" s="554" t="s">
        <v>6159</v>
      </c>
      <c r="G53" s="610" t="s">
        <v>6084</v>
      </c>
      <c r="H53" s="610" t="s">
        <v>6085</v>
      </c>
      <c r="I53" s="610">
        <v>21900</v>
      </c>
      <c r="J53" s="610">
        <v>0</v>
      </c>
      <c r="K53" s="610">
        <v>25</v>
      </c>
      <c r="L53" s="611">
        <f t="shared" si="4"/>
        <v>876</v>
      </c>
      <c r="M53" s="612">
        <v>45775</v>
      </c>
      <c r="N53" s="612">
        <v>45789</v>
      </c>
      <c r="O53" s="613"/>
      <c r="P53" s="613" t="s">
        <v>113</v>
      </c>
      <c r="Q53" s="610"/>
      <c r="R53" s="614">
        <v>45743</v>
      </c>
      <c r="S53" s="614" t="s">
        <v>104</v>
      </c>
      <c r="T53" s="614">
        <v>45749</v>
      </c>
      <c r="U53" s="614"/>
      <c r="V53" s="614"/>
      <c r="W53" s="615"/>
      <c r="X53" s="609" t="s">
        <v>6160</v>
      </c>
      <c r="Y53" s="609" t="s">
        <v>252</v>
      </c>
      <c r="Z53" s="609">
        <v>1.65</v>
      </c>
      <c r="AA53" s="616">
        <f t="shared" si="10"/>
        <v>36135</v>
      </c>
      <c r="AC53" s="617"/>
      <c r="AD53" s="610" t="s">
        <v>6084</v>
      </c>
      <c r="AE53" s="610" t="s">
        <v>82</v>
      </c>
      <c r="AF53" s="610"/>
      <c r="AG53" s="610" t="s">
        <v>74</v>
      </c>
      <c r="AH53" s="610"/>
      <c r="AI53" s="610">
        <v>21900</v>
      </c>
      <c r="AJ53" s="610">
        <f t="shared" si="3"/>
        <v>0</v>
      </c>
      <c r="AK53" s="610"/>
      <c r="AL53" s="610"/>
      <c r="AM53" s="610"/>
      <c r="AN53" s="610">
        <f t="shared" ref="AN53:AN60" si="11">I53</f>
        <v>21900</v>
      </c>
      <c r="AP53" s="554">
        <f>I53</f>
        <v>21900</v>
      </c>
      <c r="AR53" s="619"/>
      <c r="AS53" s="548"/>
      <c r="AT53" s="548"/>
      <c r="AU53" s="554">
        <f t="shared" ref="AU53:AU60" si="12">I53</f>
        <v>21900</v>
      </c>
      <c r="AW53" s="619"/>
      <c r="AX53" s="548"/>
      <c r="AY53" s="548"/>
      <c r="AZ53" s="548"/>
      <c r="BA53" s="548"/>
      <c r="BB53" s="620">
        <f>I53/48</f>
        <v>456.25</v>
      </c>
      <c r="BN53" s="554">
        <f>I53/25</f>
        <v>876</v>
      </c>
      <c r="BY53" s="619"/>
      <c r="BZ53" s="548"/>
      <c r="CA53" s="621"/>
      <c r="CB53" s="567"/>
      <c r="CC53" s="622"/>
      <c r="CD53" s="619"/>
      <c r="CE53" s="619"/>
      <c r="CF53" s="548"/>
      <c r="CG53" s="548"/>
      <c r="CU53" s="554">
        <f t="shared" si="0"/>
        <v>876</v>
      </c>
      <c r="CV53" s="554">
        <f t="shared" si="1"/>
        <v>0</v>
      </c>
      <c r="CW53" s="554">
        <f t="shared" si="2"/>
        <v>0</v>
      </c>
      <c r="CX53" s="619"/>
      <c r="CY53" s="619"/>
      <c r="CZ53" s="619"/>
      <c r="DA53" s="548"/>
      <c r="DB53" s="548"/>
      <c r="DC53" s="548"/>
      <c r="DD53" s="619"/>
      <c r="DE53" s="619"/>
      <c r="DF53" s="619"/>
      <c r="DG53" s="619"/>
      <c r="DH53" s="619"/>
    </row>
    <row r="54" s="548" customFormat="1" ht="31" customHeight="1" spans="1:112">
      <c r="A54" s="608">
        <v>45723</v>
      </c>
      <c r="B54" s="609" t="s">
        <v>246</v>
      </c>
      <c r="C54" s="610" t="s">
        <v>98</v>
      </c>
      <c r="D54" s="554">
        <v>4500159315</v>
      </c>
      <c r="E54" s="610" t="s">
        <v>326</v>
      </c>
      <c r="F54" s="554" t="s">
        <v>6161</v>
      </c>
      <c r="G54" s="610" t="s">
        <v>6084</v>
      </c>
      <c r="H54" s="610" t="s">
        <v>6085</v>
      </c>
      <c r="I54" s="610">
        <v>20000</v>
      </c>
      <c r="J54" s="610">
        <v>0</v>
      </c>
      <c r="K54" s="610">
        <v>25</v>
      </c>
      <c r="L54" s="611">
        <f t="shared" si="4"/>
        <v>800</v>
      </c>
      <c r="M54" s="612">
        <v>45775</v>
      </c>
      <c r="N54" s="612">
        <v>45789</v>
      </c>
      <c r="O54" s="613"/>
      <c r="P54" s="613" t="s">
        <v>113</v>
      </c>
      <c r="Q54" s="610"/>
      <c r="R54" s="614">
        <v>45741</v>
      </c>
      <c r="S54" s="614" t="s">
        <v>104</v>
      </c>
      <c r="T54" s="614">
        <v>45749</v>
      </c>
      <c r="U54" s="614"/>
      <c r="V54" s="614"/>
      <c r="W54" s="615"/>
      <c r="X54" s="609" t="s">
        <v>6162</v>
      </c>
      <c r="Y54" s="609" t="s">
        <v>252</v>
      </c>
      <c r="Z54" s="609">
        <v>1.65</v>
      </c>
      <c r="AA54" s="616">
        <f t="shared" si="10"/>
        <v>33000</v>
      </c>
      <c r="AC54" s="617"/>
      <c r="AD54" s="610" t="s">
        <v>6084</v>
      </c>
      <c r="AE54" s="610" t="s">
        <v>82</v>
      </c>
      <c r="AF54" s="610"/>
      <c r="AG54" s="610" t="s">
        <v>74</v>
      </c>
      <c r="AH54" s="610"/>
      <c r="AI54" s="610">
        <v>20000</v>
      </c>
      <c r="AJ54" s="610">
        <f t="shared" si="3"/>
        <v>0</v>
      </c>
      <c r="AK54" s="610"/>
      <c r="AL54" s="610"/>
      <c r="AM54" s="610"/>
      <c r="AN54" s="610">
        <f t="shared" si="11"/>
        <v>20000</v>
      </c>
      <c r="AP54" s="554">
        <f>I54</f>
        <v>20000</v>
      </c>
      <c r="AR54" s="619"/>
      <c r="AS54" s="548"/>
      <c r="AT54" s="548"/>
      <c r="AU54" s="554">
        <f t="shared" si="12"/>
        <v>20000</v>
      </c>
      <c r="AW54" s="619"/>
      <c r="AX54" s="548"/>
      <c r="AY54" s="548"/>
      <c r="AZ54" s="548"/>
      <c r="BA54" s="548"/>
      <c r="BB54" s="620">
        <f>I54/48</f>
        <v>416.666666666667</v>
      </c>
      <c r="BN54" s="554">
        <f>I54/25</f>
        <v>800</v>
      </c>
      <c r="BY54" s="619"/>
      <c r="BZ54" s="548"/>
      <c r="CA54" s="621"/>
      <c r="CB54" s="567"/>
      <c r="CC54" s="622"/>
      <c r="CD54" s="619"/>
      <c r="CE54" s="619"/>
      <c r="CF54" s="548"/>
      <c r="CG54" s="548"/>
      <c r="CU54" s="554">
        <f t="shared" si="0"/>
        <v>800</v>
      </c>
      <c r="CV54" s="554">
        <f t="shared" si="1"/>
        <v>0</v>
      </c>
      <c r="CW54" s="554">
        <f t="shared" si="2"/>
        <v>0</v>
      </c>
      <c r="CX54" s="619"/>
      <c r="CY54" s="619"/>
      <c r="CZ54" s="619"/>
      <c r="DA54" s="548"/>
      <c r="DB54" s="548"/>
      <c r="DC54" s="548"/>
      <c r="DD54" s="619"/>
      <c r="DE54" s="619"/>
      <c r="DF54" s="619"/>
      <c r="DG54" s="619"/>
      <c r="DH54" s="619"/>
    </row>
    <row r="55" s="548" customFormat="1" ht="31" customHeight="1" spans="1:112">
      <c r="A55" s="608">
        <v>45727</v>
      </c>
      <c r="B55" s="609" t="s">
        <v>246</v>
      </c>
      <c r="C55" s="610" t="s">
        <v>98</v>
      </c>
      <c r="D55" s="554">
        <v>4500159604</v>
      </c>
      <c r="E55" s="610" t="s">
        <v>247</v>
      </c>
      <c r="F55" s="554" t="s">
        <v>6163</v>
      </c>
      <c r="G55" s="610" t="s">
        <v>6084</v>
      </c>
      <c r="H55" s="610" t="s">
        <v>6085</v>
      </c>
      <c r="I55" s="610">
        <v>30150</v>
      </c>
      <c r="J55" s="610">
        <v>0</v>
      </c>
      <c r="K55" s="610">
        <v>25</v>
      </c>
      <c r="L55" s="611">
        <f t="shared" si="4"/>
        <v>1206</v>
      </c>
      <c r="M55" s="612">
        <v>45777</v>
      </c>
      <c r="N55" s="612">
        <v>45789</v>
      </c>
      <c r="O55" s="613"/>
      <c r="P55" s="613" t="s">
        <v>113</v>
      </c>
      <c r="Q55" s="610"/>
      <c r="R55" s="614">
        <v>45743</v>
      </c>
      <c r="S55" s="614" t="s">
        <v>104</v>
      </c>
      <c r="T55" s="614">
        <v>45749</v>
      </c>
      <c r="U55" s="614"/>
      <c r="V55" s="614"/>
      <c r="W55" s="615"/>
      <c r="X55" s="609" t="s">
        <v>6164</v>
      </c>
      <c r="Y55" s="609" t="s">
        <v>252</v>
      </c>
      <c r="Z55" s="609">
        <v>1.65</v>
      </c>
      <c r="AA55" s="616">
        <f t="shared" si="10"/>
        <v>49747.5</v>
      </c>
      <c r="AC55" s="617"/>
      <c r="AD55" s="610" t="s">
        <v>6084</v>
      </c>
      <c r="AE55" s="610" t="s">
        <v>82</v>
      </c>
      <c r="AF55" s="610"/>
      <c r="AG55" s="610" t="s">
        <v>74</v>
      </c>
      <c r="AH55" s="610"/>
      <c r="AI55" s="610">
        <f>10650+19500</f>
        <v>30150</v>
      </c>
      <c r="AJ55" s="610">
        <f t="shared" si="3"/>
        <v>0</v>
      </c>
      <c r="AK55" s="610"/>
      <c r="AL55" s="610"/>
      <c r="AM55" s="610"/>
      <c r="AN55" s="610">
        <f t="shared" si="11"/>
        <v>30150</v>
      </c>
      <c r="AP55" s="554">
        <f>I55</f>
        <v>30150</v>
      </c>
      <c r="AR55" s="619"/>
      <c r="AS55" s="548"/>
      <c r="AT55" s="548"/>
      <c r="AU55" s="554">
        <f t="shared" si="12"/>
        <v>30150</v>
      </c>
      <c r="AW55" s="619"/>
      <c r="AX55" s="548"/>
      <c r="AY55" s="548"/>
      <c r="AZ55" s="548"/>
      <c r="BA55" s="548"/>
      <c r="BB55" s="620">
        <f>I55/48</f>
        <v>628.125</v>
      </c>
      <c r="BN55" s="554">
        <f>I55/25</f>
        <v>1206</v>
      </c>
      <c r="BY55" s="619"/>
      <c r="BZ55" s="548"/>
      <c r="CA55" s="621"/>
      <c r="CB55" s="567"/>
      <c r="CC55" s="622"/>
      <c r="CD55" s="619"/>
      <c r="CE55" s="619"/>
      <c r="CF55" s="548"/>
      <c r="CG55" s="548"/>
      <c r="CU55" s="554">
        <f t="shared" si="0"/>
        <v>1206</v>
      </c>
      <c r="CV55" s="554">
        <f t="shared" si="1"/>
        <v>0</v>
      </c>
      <c r="CW55" s="554">
        <f t="shared" si="2"/>
        <v>0</v>
      </c>
      <c r="CX55" s="619"/>
      <c r="CY55" s="619"/>
      <c r="CZ55" s="619"/>
      <c r="DA55" s="548"/>
      <c r="DB55" s="548"/>
      <c r="DC55" s="548"/>
      <c r="DD55" s="619"/>
      <c r="DE55" s="619"/>
      <c r="DF55" s="619"/>
      <c r="DG55" s="619"/>
      <c r="DH55" s="619"/>
    </row>
    <row r="56" s="548" customFormat="1" ht="31" customHeight="1" spans="1:112">
      <c r="A56" s="608">
        <v>45726</v>
      </c>
      <c r="B56" s="609" t="s">
        <v>177</v>
      </c>
      <c r="C56" s="610" t="s">
        <v>170</v>
      </c>
      <c r="D56" s="554">
        <v>4500159666</v>
      </c>
      <c r="E56" s="610" t="s">
        <v>178</v>
      </c>
      <c r="F56" s="554" t="s">
        <v>6165</v>
      </c>
      <c r="G56" s="610" t="s">
        <v>6166</v>
      </c>
      <c r="H56" s="610" t="s">
        <v>6094</v>
      </c>
      <c r="I56" s="610">
        <v>16133</v>
      </c>
      <c r="J56" s="610">
        <v>0</v>
      </c>
      <c r="K56" s="610">
        <v>13</v>
      </c>
      <c r="L56" s="611">
        <f t="shared" si="4"/>
        <v>1241</v>
      </c>
      <c r="M56" s="612">
        <v>45786</v>
      </c>
      <c r="N56" s="612">
        <v>45782</v>
      </c>
      <c r="O56" s="613"/>
      <c r="P56" s="613" t="s">
        <v>113</v>
      </c>
      <c r="Q56" s="610"/>
      <c r="R56" s="614">
        <v>45727</v>
      </c>
      <c r="S56" s="614" t="s">
        <v>70</v>
      </c>
      <c r="T56" s="614" t="s">
        <v>70</v>
      </c>
      <c r="U56" s="614"/>
      <c r="V56" s="614"/>
      <c r="W56" s="615"/>
      <c r="X56" s="628" t="s">
        <v>6167</v>
      </c>
      <c r="Y56" s="609" t="s">
        <v>1318</v>
      </c>
      <c r="Z56" s="609">
        <v>0.92</v>
      </c>
      <c r="AA56" s="616">
        <f t="shared" si="10"/>
        <v>14842.36</v>
      </c>
      <c r="AC56" s="629" t="s">
        <v>183</v>
      </c>
      <c r="AD56" s="610" t="s">
        <v>6166</v>
      </c>
      <c r="AE56" s="610" t="s">
        <v>82</v>
      </c>
      <c r="AF56" s="610"/>
      <c r="AG56" s="610" t="s">
        <v>74</v>
      </c>
      <c r="AH56" s="610"/>
      <c r="AI56" s="610">
        <f>16120+13</f>
        <v>16133</v>
      </c>
      <c r="AJ56" s="610">
        <f t="shared" si="3"/>
        <v>0</v>
      </c>
      <c r="AK56" s="610"/>
      <c r="AL56" s="610"/>
      <c r="AM56" s="610"/>
      <c r="AN56" s="610">
        <f t="shared" si="11"/>
        <v>16133</v>
      </c>
      <c r="AR56" s="619"/>
      <c r="AS56" s="554">
        <f>I56</f>
        <v>16133</v>
      </c>
      <c r="AU56" s="554">
        <f t="shared" si="12"/>
        <v>16133</v>
      </c>
      <c r="AW56" s="619"/>
      <c r="AX56" s="548"/>
      <c r="AY56" s="548"/>
      <c r="AZ56" s="548"/>
      <c r="BA56" s="548"/>
      <c r="BB56" s="620">
        <f>I56/24</f>
        <v>672.208333333333</v>
      </c>
      <c r="BL56" s="554">
        <f>I56/13</f>
        <v>1241</v>
      </c>
      <c r="BY56" s="619"/>
      <c r="BZ56" s="548"/>
      <c r="CA56" s="621"/>
      <c r="CB56" s="567"/>
      <c r="CC56" s="622"/>
      <c r="CD56" s="619"/>
      <c r="CE56" s="619"/>
      <c r="CF56" s="548"/>
      <c r="CG56" s="548"/>
      <c r="CU56" s="554">
        <f t="shared" si="0"/>
        <v>0</v>
      </c>
      <c r="CV56" s="554">
        <f t="shared" si="1"/>
        <v>0</v>
      </c>
      <c r="CW56" s="554">
        <f t="shared" si="2"/>
        <v>0</v>
      </c>
      <c r="CX56" s="619"/>
      <c r="CY56" s="619"/>
      <c r="CZ56" s="619"/>
      <c r="DA56" s="548"/>
      <c r="DB56" s="548"/>
      <c r="DC56" s="548"/>
      <c r="DD56" s="619"/>
      <c r="DE56" s="619"/>
      <c r="DF56" s="619"/>
      <c r="DG56" s="619"/>
      <c r="DH56" s="619"/>
    </row>
    <row r="57" s="548" customFormat="1" ht="31" customHeight="1" spans="1:112">
      <c r="A57" s="608">
        <v>45726</v>
      </c>
      <c r="B57" s="609" t="s">
        <v>97</v>
      </c>
      <c r="C57" s="610" t="s">
        <v>98</v>
      </c>
      <c r="D57" s="554">
        <v>4500159673</v>
      </c>
      <c r="E57" s="610" t="s">
        <v>6168</v>
      </c>
      <c r="F57" s="554" t="s">
        <v>6169</v>
      </c>
      <c r="G57" s="610" t="s">
        <v>6063</v>
      </c>
      <c r="H57" s="610" t="s">
        <v>6064</v>
      </c>
      <c r="I57" s="610">
        <v>12736</v>
      </c>
      <c r="J57" s="610">
        <v>0</v>
      </c>
      <c r="K57" s="610">
        <v>16</v>
      </c>
      <c r="L57" s="611">
        <f t="shared" si="4"/>
        <v>796</v>
      </c>
      <c r="M57" s="612">
        <v>45789</v>
      </c>
      <c r="N57" s="612">
        <v>45785</v>
      </c>
      <c r="O57" s="613" t="s">
        <v>188</v>
      </c>
      <c r="P57" s="613" t="s">
        <v>113</v>
      </c>
      <c r="Q57" s="610"/>
      <c r="R57" s="614">
        <v>45727</v>
      </c>
      <c r="S57" s="614" t="s">
        <v>104</v>
      </c>
      <c r="T57" s="614" t="s">
        <v>6170</v>
      </c>
      <c r="U57" s="614"/>
      <c r="V57" s="614"/>
      <c r="W57" s="615"/>
      <c r="X57" s="609" t="s">
        <v>6171</v>
      </c>
      <c r="Y57" s="609" t="s">
        <v>106</v>
      </c>
      <c r="Z57" s="609">
        <v>1.68</v>
      </c>
      <c r="AA57" s="616">
        <f t="shared" si="10"/>
        <v>21396.48</v>
      </c>
      <c r="AC57" s="617"/>
      <c r="AD57" s="610" t="s">
        <v>6063</v>
      </c>
      <c r="AE57" s="610" t="s">
        <v>82</v>
      </c>
      <c r="AF57" s="610"/>
      <c r="AG57" s="610" t="s">
        <v>74</v>
      </c>
      <c r="AH57" s="610"/>
      <c r="AI57" s="610">
        <v>12736</v>
      </c>
      <c r="AJ57" s="610">
        <f t="shared" si="3"/>
        <v>0</v>
      </c>
      <c r="AK57" s="610"/>
      <c r="AL57" s="610"/>
      <c r="AM57" s="610"/>
      <c r="AN57" s="610">
        <f t="shared" si="11"/>
        <v>12736</v>
      </c>
      <c r="AP57" s="554">
        <f>I57</f>
        <v>12736</v>
      </c>
      <c r="AR57" s="619"/>
      <c r="AS57" s="548"/>
      <c r="AT57" s="548"/>
      <c r="AU57" s="554">
        <f t="shared" si="12"/>
        <v>12736</v>
      </c>
      <c r="AW57" s="619"/>
      <c r="AX57" s="548"/>
      <c r="AY57" s="548"/>
      <c r="AZ57" s="548"/>
      <c r="BA57" s="548"/>
      <c r="BB57" s="620">
        <f>I57/48</f>
        <v>265.333333333333</v>
      </c>
      <c r="BQ57" s="554">
        <f>I57/16</f>
        <v>796</v>
      </c>
      <c r="BY57" s="619"/>
      <c r="BZ57" s="548"/>
      <c r="CA57" s="621"/>
      <c r="CB57" s="567"/>
      <c r="CC57" s="622"/>
      <c r="CD57" s="619"/>
      <c r="CE57" s="619"/>
      <c r="CF57" s="548"/>
      <c r="CG57" s="548"/>
      <c r="CU57" s="554">
        <f t="shared" si="0"/>
        <v>796</v>
      </c>
      <c r="CV57" s="554">
        <f t="shared" si="1"/>
        <v>0</v>
      </c>
      <c r="CW57" s="554">
        <f t="shared" si="2"/>
        <v>0</v>
      </c>
      <c r="CX57" s="619"/>
      <c r="CY57" s="619"/>
      <c r="CZ57" s="619"/>
      <c r="DA57" s="548"/>
      <c r="DB57" s="548"/>
      <c r="DC57" s="548"/>
      <c r="DD57" s="619"/>
      <c r="DE57" s="619"/>
      <c r="DF57" s="619"/>
      <c r="DG57" s="619"/>
      <c r="DH57" s="619"/>
    </row>
    <row r="58" s="548" customFormat="1" ht="31" customHeight="1" spans="1:112">
      <c r="A58" s="608">
        <v>45726</v>
      </c>
      <c r="B58" s="609" t="s">
        <v>97</v>
      </c>
      <c r="C58" s="610" t="s">
        <v>98</v>
      </c>
      <c r="D58" s="554">
        <v>4500159673</v>
      </c>
      <c r="E58" s="610" t="s">
        <v>6172</v>
      </c>
      <c r="F58" s="554" t="s">
        <v>6173</v>
      </c>
      <c r="G58" s="610" t="s">
        <v>6063</v>
      </c>
      <c r="H58" s="610" t="s">
        <v>6064</v>
      </c>
      <c r="I58" s="610">
        <v>16960</v>
      </c>
      <c r="J58" s="610">
        <v>0</v>
      </c>
      <c r="K58" s="610">
        <v>16</v>
      </c>
      <c r="L58" s="611">
        <f t="shared" si="4"/>
        <v>1060</v>
      </c>
      <c r="M58" s="612">
        <v>45789</v>
      </c>
      <c r="N58" s="612">
        <v>45785</v>
      </c>
      <c r="O58" s="613" t="s">
        <v>188</v>
      </c>
      <c r="P58" s="613" t="s">
        <v>113</v>
      </c>
      <c r="Q58" s="610"/>
      <c r="R58" s="614">
        <v>45727</v>
      </c>
      <c r="S58" s="614" t="s">
        <v>104</v>
      </c>
      <c r="T58" s="614" t="s">
        <v>6170</v>
      </c>
      <c r="U58" s="614"/>
      <c r="V58" s="614"/>
      <c r="W58" s="615"/>
      <c r="X58" s="609" t="s">
        <v>6171</v>
      </c>
      <c r="Y58" s="609" t="s">
        <v>106</v>
      </c>
      <c r="Z58" s="609">
        <v>1.68</v>
      </c>
      <c r="AA58" s="616">
        <f t="shared" si="10"/>
        <v>28492.8</v>
      </c>
      <c r="AC58" s="617"/>
      <c r="AD58" s="610" t="s">
        <v>6063</v>
      </c>
      <c r="AE58" s="610" t="s">
        <v>82</v>
      </c>
      <c r="AF58" s="610"/>
      <c r="AG58" s="610" t="s">
        <v>6174</v>
      </c>
      <c r="AH58" s="610"/>
      <c r="AI58" s="610">
        <v>16960</v>
      </c>
      <c r="AJ58" s="610">
        <f t="shared" si="3"/>
        <v>0</v>
      </c>
      <c r="AK58" s="610"/>
      <c r="AL58" s="610"/>
      <c r="AM58" s="610"/>
      <c r="AN58" s="610">
        <f t="shared" si="11"/>
        <v>16960</v>
      </c>
      <c r="AP58" s="554">
        <f>I58</f>
        <v>16960</v>
      </c>
      <c r="AR58" s="619"/>
      <c r="AS58" s="548"/>
      <c r="AT58" s="548"/>
      <c r="AU58" s="554">
        <f t="shared" si="12"/>
        <v>16960</v>
      </c>
      <c r="AW58" s="619"/>
      <c r="AX58" s="548"/>
      <c r="AY58" s="548"/>
      <c r="AZ58" s="548"/>
      <c r="BA58" s="548"/>
      <c r="BB58" s="620">
        <f>I58/48</f>
        <v>353.333333333333</v>
      </c>
      <c r="BQ58" s="554">
        <f>I58/16</f>
        <v>1060</v>
      </c>
      <c r="BY58" s="619"/>
      <c r="BZ58" s="548"/>
      <c r="CA58" s="621"/>
      <c r="CB58" s="567"/>
      <c r="CC58" s="622"/>
      <c r="CD58" s="619"/>
      <c r="CE58" s="619"/>
      <c r="CF58" s="548"/>
      <c r="CG58" s="548"/>
      <c r="CU58" s="554">
        <f t="shared" si="0"/>
        <v>1060</v>
      </c>
      <c r="CV58" s="554">
        <f t="shared" si="1"/>
        <v>0</v>
      </c>
      <c r="CW58" s="554">
        <f t="shared" si="2"/>
        <v>0</v>
      </c>
      <c r="CX58" s="619"/>
      <c r="CY58" s="619"/>
      <c r="CZ58" s="619"/>
      <c r="DA58" s="548"/>
      <c r="DB58" s="548"/>
      <c r="DC58" s="548"/>
      <c r="DD58" s="619"/>
      <c r="DE58" s="619"/>
      <c r="DF58" s="619"/>
      <c r="DG58" s="619"/>
      <c r="DH58" s="619"/>
    </row>
    <row r="59" s="548" customFormat="1" ht="31" customHeight="1" spans="1:112">
      <c r="A59" s="608">
        <v>45726</v>
      </c>
      <c r="B59" s="609" t="s">
        <v>97</v>
      </c>
      <c r="C59" s="610" t="s">
        <v>98</v>
      </c>
      <c r="D59" s="554">
        <v>4500159673</v>
      </c>
      <c r="E59" s="610" t="s">
        <v>6175</v>
      </c>
      <c r="F59" s="554" t="s">
        <v>6176</v>
      </c>
      <c r="G59" s="610" t="s">
        <v>6063</v>
      </c>
      <c r="H59" s="610" t="s">
        <v>6064</v>
      </c>
      <c r="I59" s="610">
        <v>15104</v>
      </c>
      <c r="J59" s="610">
        <v>0</v>
      </c>
      <c r="K59" s="610">
        <v>16</v>
      </c>
      <c r="L59" s="611">
        <f t="shared" si="4"/>
        <v>944</v>
      </c>
      <c r="M59" s="612">
        <v>45789</v>
      </c>
      <c r="N59" s="612">
        <v>45785</v>
      </c>
      <c r="O59" s="613" t="s">
        <v>188</v>
      </c>
      <c r="P59" s="613" t="s">
        <v>113</v>
      </c>
      <c r="Q59" s="610"/>
      <c r="R59" s="614">
        <v>45727</v>
      </c>
      <c r="S59" s="614" t="s">
        <v>104</v>
      </c>
      <c r="T59" s="614" t="s">
        <v>6170</v>
      </c>
      <c r="U59" s="614"/>
      <c r="V59" s="614"/>
      <c r="W59" s="615"/>
      <c r="X59" s="609" t="s">
        <v>6171</v>
      </c>
      <c r="Y59" s="609" t="s">
        <v>106</v>
      </c>
      <c r="Z59" s="609">
        <v>1.68</v>
      </c>
      <c r="AA59" s="616">
        <f t="shared" si="10"/>
        <v>25374.72</v>
      </c>
      <c r="AC59" s="617"/>
      <c r="AD59" s="610" t="s">
        <v>6063</v>
      </c>
      <c r="AE59" s="610" t="s">
        <v>82</v>
      </c>
      <c r="AF59" s="610"/>
      <c r="AG59" s="610" t="s">
        <v>6174</v>
      </c>
      <c r="AH59" s="610"/>
      <c r="AI59" s="610">
        <v>15104</v>
      </c>
      <c r="AJ59" s="610">
        <f t="shared" si="3"/>
        <v>0</v>
      </c>
      <c r="AK59" s="610"/>
      <c r="AL59" s="610"/>
      <c r="AM59" s="610"/>
      <c r="AN59" s="610">
        <f t="shared" si="11"/>
        <v>15104</v>
      </c>
      <c r="AP59" s="554">
        <f>I59</f>
        <v>15104</v>
      </c>
      <c r="AR59" s="619"/>
      <c r="AS59" s="548"/>
      <c r="AT59" s="548"/>
      <c r="AU59" s="554">
        <f t="shared" si="12"/>
        <v>15104</v>
      </c>
      <c r="AW59" s="619"/>
      <c r="AX59" s="548"/>
      <c r="AY59" s="548"/>
      <c r="AZ59" s="548"/>
      <c r="BA59" s="548"/>
      <c r="BB59" s="620">
        <f>I59/48</f>
        <v>314.666666666667</v>
      </c>
      <c r="BQ59" s="554">
        <f>I59/16</f>
        <v>944</v>
      </c>
      <c r="BY59" s="619"/>
      <c r="BZ59" s="548"/>
      <c r="CA59" s="621"/>
      <c r="CB59" s="567"/>
      <c r="CC59" s="622"/>
      <c r="CD59" s="619"/>
      <c r="CE59" s="619"/>
      <c r="CF59" s="548"/>
      <c r="CG59" s="548"/>
      <c r="CU59" s="554">
        <f t="shared" si="0"/>
        <v>944</v>
      </c>
      <c r="CV59" s="554">
        <f t="shared" si="1"/>
        <v>0</v>
      </c>
      <c r="CW59" s="554">
        <f t="shared" si="2"/>
        <v>0</v>
      </c>
      <c r="CX59" s="619"/>
      <c r="CY59" s="619"/>
      <c r="CZ59" s="619"/>
      <c r="DA59" s="548"/>
      <c r="DB59" s="548"/>
      <c r="DC59" s="548"/>
      <c r="DD59" s="619"/>
      <c r="DE59" s="619"/>
      <c r="DF59" s="619"/>
      <c r="DG59" s="619"/>
      <c r="DH59" s="619"/>
    </row>
    <row r="60" s="548" customFormat="1" ht="31" customHeight="1" spans="1:112">
      <c r="A60" s="608">
        <v>45748</v>
      </c>
      <c r="B60" s="609" t="s">
        <v>143</v>
      </c>
      <c r="C60" s="610" t="s">
        <v>98</v>
      </c>
      <c r="D60" s="554">
        <v>4500162161</v>
      </c>
      <c r="E60" s="613">
        <v>904512396</v>
      </c>
      <c r="F60" s="554" t="s">
        <v>6177</v>
      </c>
      <c r="G60" s="610" t="s">
        <v>6063</v>
      </c>
      <c r="H60" s="610" t="s">
        <v>6064</v>
      </c>
      <c r="I60" s="610">
        <v>4032</v>
      </c>
      <c r="J60" s="610">
        <v>0</v>
      </c>
      <c r="K60" s="610">
        <v>16</v>
      </c>
      <c r="L60" s="611">
        <f t="shared" si="4"/>
        <v>252</v>
      </c>
      <c r="M60" s="612">
        <v>45789</v>
      </c>
      <c r="N60" s="612">
        <v>45785</v>
      </c>
      <c r="O60" s="613" t="s">
        <v>188</v>
      </c>
      <c r="P60" s="613" t="s">
        <v>113</v>
      </c>
      <c r="Q60" s="610"/>
      <c r="R60" s="614" t="s">
        <v>147</v>
      </c>
      <c r="S60" s="614" t="s">
        <v>70</v>
      </c>
      <c r="T60" s="614" t="s">
        <v>6142</v>
      </c>
      <c r="U60" s="614"/>
      <c r="V60" s="614" t="s">
        <v>148</v>
      </c>
      <c r="W60" s="615"/>
      <c r="X60" s="609" t="s">
        <v>6143</v>
      </c>
      <c r="Y60" s="609" t="s">
        <v>106</v>
      </c>
      <c r="Z60" s="609">
        <v>1.68</v>
      </c>
      <c r="AA60" s="616">
        <f t="shared" si="10"/>
        <v>6773.76</v>
      </c>
      <c r="AC60" s="617"/>
      <c r="AD60" s="610" t="s">
        <v>6063</v>
      </c>
      <c r="AE60" s="610" t="s">
        <v>82</v>
      </c>
      <c r="AF60" s="610"/>
      <c r="AG60" s="610" t="s">
        <v>74</v>
      </c>
      <c r="AH60" s="610"/>
      <c r="AI60" s="610">
        <v>4032</v>
      </c>
      <c r="AJ60" s="610">
        <f t="shared" si="3"/>
        <v>0</v>
      </c>
      <c r="AK60" s="610"/>
      <c r="AL60" s="610"/>
      <c r="AM60" s="610"/>
      <c r="AN60" s="610">
        <f t="shared" si="11"/>
        <v>4032</v>
      </c>
      <c r="AP60" s="554">
        <f>I60</f>
        <v>4032</v>
      </c>
      <c r="AR60" s="619"/>
      <c r="AS60" s="548"/>
      <c r="AT60" s="548"/>
      <c r="AU60" s="554">
        <f t="shared" si="12"/>
        <v>4032</v>
      </c>
      <c r="AW60" s="619"/>
      <c r="AX60" s="548"/>
      <c r="AY60" s="548"/>
      <c r="AZ60" s="548"/>
      <c r="BA60" s="548"/>
      <c r="BB60" s="620">
        <f>I60/48</f>
        <v>84</v>
      </c>
      <c r="BQ60" s="554">
        <f>I60/16</f>
        <v>252</v>
      </c>
      <c r="BY60" s="619"/>
      <c r="BZ60" s="548"/>
      <c r="CA60" s="621"/>
      <c r="CB60" s="567"/>
      <c r="CC60" s="622"/>
      <c r="CD60" s="619"/>
      <c r="CE60" s="619"/>
      <c r="CF60" s="548"/>
      <c r="CG60" s="548"/>
      <c r="CU60" s="554">
        <f t="shared" si="0"/>
        <v>252</v>
      </c>
      <c r="CV60" s="554">
        <f t="shared" si="1"/>
        <v>0</v>
      </c>
      <c r="CW60" s="554">
        <f t="shared" si="2"/>
        <v>0</v>
      </c>
      <c r="CX60" s="619"/>
      <c r="CY60" s="619"/>
      <c r="CZ60" s="619"/>
      <c r="DA60" s="548"/>
      <c r="DB60" s="548"/>
      <c r="DC60" s="548"/>
      <c r="DD60" s="619"/>
      <c r="DE60" s="619"/>
      <c r="DF60" s="619"/>
      <c r="DG60" s="619"/>
      <c r="DH60" s="619"/>
    </row>
    <row r="61" s="548" customFormat="1" ht="31" customHeight="1" spans="1:112">
      <c r="A61" s="608">
        <v>45748</v>
      </c>
      <c r="B61" s="609" t="s">
        <v>606</v>
      </c>
      <c r="C61" s="610" t="s">
        <v>399</v>
      </c>
      <c r="D61" s="554">
        <v>4500162134</v>
      </c>
      <c r="E61" s="610"/>
      <c r="F61" s="554" t="s">
        <v>6178</v>
      </c>
      <c r="G61" s="610" t="s">
        <v>6043</v>
      </c>
      <c r="H61" s="610" t="s">
        <v>6110</v>
      </c>
      <c r="I61" s="610">
        <v>2000</v>
      </c>
      <c r="J61" s="610">
        <v>0</v>
      </c>
      <c r="K61" s="610">
        <v>50</v>
      </c>
      <c r="L61" s="611">
        <f t="shared" si="4"/>
        <v>40</v>
      </c>
      <c r="M61" s="612">
        <v>45789</v>
      </c>
      <c r="N61" s="612">
        <v>45785</v>
      </c>
      <c r="O61" s="613" t="s">
        <v>6179</v>
      </c>
      <c r="P61" s="613" t="s">
        <v>113</v>
      </c>
      <c r="Q61" s="610" t="s">
        <v>6180</v>
      </c>
      <c r="R61" s="614">
        <v>45761</v>
      </c>
      <c r="S61" s="614" t="s">
        <v>70</v>
      </c>
      <c r="T61" s="614">
        <v>45768</v>
      </c>
      <c r="U61" s="614"/>
      <c r="V61" s="614" t="s">
        <v>6181</v>
      </c>
      <c r="W61" s="615"/>
      <c r="X61" s="628" t="s">
        <v>6182</v>
      </c>
      <c r="Y61" s="609" t="s">
        <v>445</v>
      </c>
      <c r="Z61" s="609">
        <v>0.95</v>
      </c>
      <c r="AA61" s="616">
        <f t="shared" si="10"/>
        <v>1900</v>
      </c>
      <c r="AC61" s="629" t="s">
        <v>6183</v>
      </c>
      <c r="AD61" s="610" t="s">
        <v>6043</v>
      </c>
      <c r="AE61" s="610" t="s">
        <v>82</v>
      </c>
      <c r="AF61" s="610"/>
      <c r="AG61" s="610" t="s">
        <v>74</v>
      </c>
      <c r="AH61" s="610"/>
      <c r="AI61" s="610">
        <v>2000</v>
      </c>
      <c r="AJ61" s="610">
        <f t="shared" si="3"/>
        <v>0</v>
      </c>
      <c r="AK61" s="610"/>
      <c r="AL61" s="610"/>
      <c r="AM61" s="610"/>
      <c r="AN61" s="610"/>
      <c r="AO61" s="554">
        <f>I61</f>
        <v>2000</v>
      </c>
      <c r="AR61" s="619"/>
      <c r="AS61" s="548"/>
      <c r="AT61" s="554">
        <f>I61</f>
        <v>2000</v>
      </c>
      <c r="AV61" s="554">
        <f>I61</f>
        <v>2000</v>
      </c>
      <c r="AW61" s="619"/>
      <c r="AX61" s="548"/>
      <c r="AY61" s="548"/>
      <c r="AZ61" s="548"/>
      <c r="BA61" s="548"/>
      <c r="BB61" s="620">
        <f>I61/24</f>
        <v>83.3333333333333</v>
      </c>
      <c r="BP61" s="554">
        <f>I61/25</f>
        <v>80</v>
      </c>
      <c r="BY61" s="619"/>
      <c r="BZ61" s="548"/>
      <c r="CA61" s="621"/>
      <c r="CB61" s="567"/>
      <c r="CC61" s="622"/>
      <c r="CD61" s="619"/>
      <c r="CE61" s="619"/>
      <c r="CF61" s="548"/>
      <c r="CG61" s="548"/>
      <c r="CU61" s="554">
        <f t="shared" si="0"/>
        <v>80</v>
      </c>
      <c r="CV61" s="554">
        <f t="shared" si="1"/>
        <v>0</v>
      </c>
      <c r="CW61" s="554">
        <f t="shared" si="2"/>
        <v>0</v>
      </c>
      <c r="CX61" s="619"/>
      <c r="CY61" s="619"/>
      <c r="CZ61" s="619"/>
      <c r="DA61" s="548"/>
      <c r="DB61" s="548"/>
      <c r="DC61" s="548"/>
      <c r="DD61" s="619"/>
      <c r="DE61" s="619"/>
      <c r="DF61" s="619"/>
      <c r="DG61" s="619"/>
      <c r="DH61" s="619"/>
    </row>
    <row r="62" s="548" customFormat="1" ht="31" customHeight="1" spans="1:112">
      <c r="A62" s="608">
        <v>45755</v>
      </c>
      <c r="B62" s="609" t="s">
        <v>197</v>
      </c>
      <c r="C62" s="610" t="s">
        <v>198</v>
      </c>
      <c r="D62" s="554">
        <v>4500162820</v>
      </c>
      <c r="E62" s="610">
        <v>5200006528</v>
      </c>
      <c r="F62" s="554" t="s">
        <v>6184</v>
      </c>
      <c r="G62" s="610" t="s">
        <v>6120</v>
      </c>
      <c r="H62" s="610" t="s">
        <v>6094</v>
      </c>
      <c r="I62" s="610">
        <v>6604</v>
      </c>
      <c r="J62" s="610">
        <v>0</v>
      </c>
      <c r="K62" s="610">
        <v>13</v>
      </c>
      <c r="L62" s="611">
        <f t="shared" si="4"/>
        <v>508</v>
      </c>
      <c r="M62" s="612">
        <v>45789</v>
      </c>
      <c r="N62" s="612">
        <v>45785</v>
      </c>
      <c r="O62" s="613"/>
      <c r="P62" s="613" t="s">
        <v>113</v>
      </c>
      <c r="Q62" s="610"/>
      <c r="R62" s="614">
        <v>45757</v>
      </c>
      <c r="S62" s="614" t="s">
        <v>70</v>
      </c>
      <c r="T62" s="614" t="s">
        <v>70</v>
      </c>
      <c r="U62" s="614"/>
      <c r="V62" s="614"/>
      <c r="W62" s="615"/>
      <c r="X62" s="609" t="s">
        <v>6185</v>
      </c>
      <c r="Y62" s="609" t="s">
        <v>160</v>
      </c>
      <c r="Z62" s="609">
        <v>1.16</v>
      </c>
      <c r="AA62" s="616">
        <f t="shared" si="10"/>
        <v>7660.64</v>
      </c>
      <c r="AC62" s="629" t="s">
        <v>201</v>
      </c>
      <c r="AD62" s="610" t="s">
        <v>6093</v>
      </c>
      <c r="AE62" s="610" t="s">
        <v>82</v>
      </c>
      <c r="AF62" s="610"/>
      <c r="AG62" s="610" t="s">
        <v>74</v>
      </c>
      <c r="AH62" s="610"/>
      <c r="AI62" s="610">
        <v>6604</v>
      </c>
      <c r="AJ62" s="610">
        <f t="shared" si="3"/>
        <v>0</v>
      </c>
      <c r="AK62" s="610"/>
      <c r="AL62" s="610"/>
      <c r="AM62" s="610"/>
      <c r="AN62" s="610"/>
      <c r="AO62" s="554">
        <f>I62</f>
        <v>6604</v>
      </c>
      <c r="AR62" s="619"/>
      <c r="AS62" s="548"/>
      <c r="AT62" s="554">
        <f>I62</f>
        <v>6604</v>
      </c>
      <c r="AV62" s="554">
        <f>I62</f>
        <v>6604</v>
      </c>
      <c r="AW62" s="619"/>
      <c r="AX62" s="548"/>
      <c r="AY62" s="548"/>
      <c r="AZ62" s="548"/>
      <c r="BA62" s="548"/>
      <c r="BB62" s="620">
        <f>I62/24</f>
        <v>275.166666666667</v>
      </c>
      <c r="BM62" s="554">
        <f>I62/13</f>
        <v>508</v>
      </c>
      <c r="BY62" s="619"/>
      <c r="BZ62" s="548"/>
      <c r="CA62" s="621"/>
      <c r="CB62" s="567"/>
      <c r="CC62" s="622"/>
      <c r="CD62" s="619"/>
      <c r="CE62" s="619"/>
      <c r="CF62" s="548"/>
      <c r="CG62" s="548"/>
      <c r="CU62" s="554">
        <f t="shared" si="0"/>
        <v>0</v>
      </c>
      <c r="CV62" s="554">
        <f t="shared" si="1"/>
        <v>0</v>
      </c>
      <c r="CW62" s="554">
        <f t="shared" si="2"/>
        <v>0</v>
      </c>
      <c r="CX62" s="619"/>
      <c r="CY62" s="619"/>
      <c r="CZ62" s="619"/>
      <c r="DA62" s="548"/>
      <c r="DB62" s="548"/>
      <c r="DC62" s="548"/>
      <c r="DD62" s="619"/>
      <c r="DE62" s="619"/>
      <c r="DF62" s="619"/>
      <c r="DG62" s="619"/>
      <c r="DH62" s="619"/>
    </row>
    <row r="63" s="548" customFormat="1" ht="31" customHeight="1" spans="1:112">
      <c r="A63" s="608">
        <v>45737</v>
      </c>
      <c r="B63" s="609" t="s">
        <v>211</v>
      </c>
      <c r="C63" s="610" t="s">
        <v>212</v>
      </c>
      <c r="D63" s="554">
        <v>4500160943</v>
      </c>
      <c r="E63" s="610" t="s">
        <v>213</v>
      </c>
      <c r="F63" s="554" t="s">
        <v>6186</v>
      </c>
      <c r="G63" s="610" t="s">
        <v>6093</v>
      </c>
      <c r="H63" s="610" t="s">
        <v>6094</v>
      </c>
      <c r="I63" s="610">
        <v>3016</v>
      </c>
      <c r="J63" s="610">
        <v>0</v>
      </c>
      <c r="K63" s="610">
        <v>13</v>
      </c>
      <c r="L63" s="611">
        <f t="shared" si="4"/>
        <v>232</v>
      </c>
      <c r="M63" s="612">
        <v>45792</v>
      </c>
      <c r="N63" s="612">
        <v>45789</v>
      </c>
      <c r="O63" s="613"/>
      <c r="P63" s="613" t="s">
        <v>113</v>
      </c>
      <c r="Q63" s="610"/>
      <c r="R63" s="614">
        <v>45737</v>
      </c>
      <c r="S63" s="614" t="s">
        <v>70</v>
      </c>
      <c r="T63" s="614" t="s">
        <v>6187</v>
      </c>
      <c r="U63" s="614"/>
      <c r="V63" s="614"/>
      <c r="W63" s="615"/>
      <c r="X63" s="628" t="s">
        <v>6188</v>
      </c>
      <c r="Y63" s="609" t="s">
        <v>217</v>
      </c>
      <c r="Z63" s="609">
        <v>0.92</v>
      </c>
      <c r="AA63" s="616">
        <f t="shared" si="10"/>
        <v>2774.72</v>
      </c>
      <c r="AC63" s="629" t="s">
        <v>218</v>
      </c>
      <c r="AD63" s="610" t="s">
        <v>6093</v>
      </c>
      <c r="AE63" s="610" t="s">
        <v>82</v>
      </c>
      <c r="AF63" s="610"/>
      <c r="AG63" s="610" t="s">
        <v>74</v>
      </c>
      <c r="AH63" s="610"/>
      <c r="AI63" s="610">
        <v>3016</v>
      </c>
      <c r="AJ63" s="610">
        <f t="shared" si="3"/>
        <v>0</v>
      </c>
      <c r="AK63" s="610"/>
      <c r="AL63" s="610"/>
      <c r="AM63" s="610"/>
      <c r="AN63" s="610"/>
      <c r="AO63" s="554">
        <f>I63</f>
        <v>3016</v>
      </c>
      <c r="AR63" s="619"/>
      <c r="AS63" s="548"/>
      <c r="AT63" s="554">
        <f>I63</f>
        <v>3016</v>
      </c>
      <c r="AV63" s="554">
        <f>I63</f>
        <v>3016</v>
      </c>
      <c r="AW63" s="619"/>
      <c r="AX63" s="548"/>
      <c r="AY63" s="548"/>
      <c r="AZ63" s="548"/>
      <c r="BA63" s="548"/>
      <c r="BB63" s="620">
        <f>I63/24</f>
        <v>125.666666666667</v>
      </c>
      <c r="BM63" s="554">
        <f>I63/13</f>
        <v>232</v>
      </c>
      <c r="BY63" s="619"/>
      <c r="BZ63" s="548"/>
      <c r="CA63" s="621"/>
      <c r="CB63" s="567"/>
      <c r="CC63" s="622"/>
      <c r="CD63" s="619"/>
      <c r="CE63" s="619"/>
      <c r="CF63" s="548"/>
      <c r="CG63" s="548"/>
      <c r="CU63" s="554">
        <f t="shared" si="0"/>
        <v>0</v>
      </c>
      <c r="CV63" s="554">
        <f t="shared" si="1"/>
        <v>0</v>
      </c>
      <c r="CW63" s="554">
        <f t="shared" si="2"/>
        <v>0</v>
      </c>
      <c r="CX63" s="619"/>
      <c r="CY63" s="619"/>
      <c r="CZ63" s="619"/>
      <c r="DA63" s="548"/>
      <c r="DB63" s="548"/>
      <c r="DC63" s="548"/>
      <c r="DD63" s="619"/>
      <c r="DE63" s="619"/>
      <c r="DF63" s="619"/>
      <c r="DG63" s="619"/>
      <c r="DH63" s="619"/>
    </row>
    <row r="64" s="548" customFormat="1" ht="31" customHeight="1" spans="1:112">
      <c r="A64" s="608">
        <v>45757</v>
      </c>
      <c r="B64" s="609" t="s">
        <v>225</v>
      </c>
      <c r="C64" s="610" t="s">
        <v>226</v>
      </c>
      <c r="D64" s="554">
        <v>4500163177</v>
      </c>
      <c r="E64" s="610" t="s">
        <v>227</v>
      </c>
      <c r="F64" s="554" t="s">
        <v>6189</v>
      </c>
      <c r="G64" s="610" t="s">
        <v>6040</v>
      </c>
      <c r="H64" s="610" t="s">
        <v>6041</v>
      </c>
      <c r="I64" s="610">
        <v>2080</v>
      </c>
      <c r="J64" s="610">
        <v>0</v>
      </c>
      <c r="K64" s="610">
        <v>52</v>
      </c>
      <c r="L64" s="611">
        <f t="shared" si="4"/>
        <v>40</v>
      </c>
      <c r="M64" s="612">
        <v>45792</v>
      </c>
      <c r="N64" s="612">
        <v>45789</v>
      </c>
      <c r="O64" s="613"/>
      <c r="P64" s="613" t="s">
        <v>113</v>
      </c>
      <c r="Q64" s="610"/>
      <c r="R64" s="614">
        <v>45758</v>
      </c>
      <c r="S64" s="614" t="s">
        <v>70</v>
      </c>
      <c r="T64" s="614">
        <v>45757</v>
      </c>
      <c r="U64" s="614"/>
      <c r="V64" s="614"/>
      <c r="W64" s="615"/>
      <c r="X64" s="609" t="s">
        <v>6190</v>
      </c>
      <c r="Y64" s="609" t="s">
        <v>230</v>
      </c>
      <c r="Z64" s="609">
        <v>0.92</v>
      </c>
      <c r="AA64" s="616">
        <f t="shared" si="10"/>
        <v>1913.6</v>
      </c>
      <c r="AC64" s="629" t="s">
        <v>231</v>
      </c>
      <c r="AD64" s="631" t="s">
        <v>6040</v>
      </c>
      <c r="AE64" s="610" t="s">
        <v>82</v>
      </c>
      <c r="AF64" s="610"/>
      <c r="AG64" s="610" t="s">
        <v>74</v>
      </c>
      <c r="AH64" s="610"/>
      <c r="AI64" s="610">
        <v>2080</v>
      </c>
      <c r="AJ64" s="610">
        <f t="shared" si="3"/>
        <v>0</v>
      </c>
      <c r="AK64" s="610"/>
      <c r="AL64" s="610"/>
      <c r="AM64" s="610"/>
      <c r="AN64" s="610"/>
      <c r="AO64" s="554">
        <f>I64</f>
        <v>2080</v>
      </c>
      <c r="AR64" s="619"/>
      <c r="AS64" s="548"/>
      <c r="AT64" s="554">
        <f>I64</f>
        <v>2080</v>
      </c>
      <c r="AV64" s="554">
        <f>I64</f>
        <v>2080</v>
      </c>
      <c r="AW64" s="619"/>
      <c r="AX64" s="548"/>
      <c r="AY64" s="548"/>
      <c r="AZ64" s="548"/>
      <c r="BA64" s="548"/>
      <c r="BB64" s="620">
        <f>I64/24</f>
        <v>86.6666666666667</v>
      </c>
      <c r="BM64" s="554">
        <f>I64/13</f>
        <v>160</v>
      </c>
      <c r="BY64" s="619"/>
      <c r="BZ64" s="548"/>
      <c r="CA64" s="621"/>
      <c r="CB64" s="567"/>
      <c r="CC64" s="622"/>
      <c r="CD64" s="619"/>
      <c r="CE64" s="619"/>
      <c r="CF64" s="548"/>
      <c r="CG64" s="548"/>
      <c r="CU64" s="554">
        <f t="shared" si="0"/>
        <v>0</v>
      </c>
      <c r="CV64" s="554">
        <f t="shared" si="1"/>
        <v>0</v>
      </c>
      <c r="CW64" s="554">
        <f t="shared" si="2"/>
        <v>0</v>
      </c>
      <c r="CX64" s="619"/>
      <c r="CY64" s="619"/>
      <c r="CZ64" s="619"/>
      <c r="DA64" s="548"/>
      <c r="DB64" s="548"/>
      <c r="DC64" s="548"/>
      <c r="DD64" s="619"/>
      <c r="DE64" s="619"/>
      <c r="DF64" s="619"/>
      <c r="DG64" s="619"/>
      <c r="DH64" s="619"/>
    </row>
    <row r="65" s="548" customFormat="1" ht="31" customHeight="1" spans="1:112">
      <c r="A65" s="608">
        <v>45733</v>
      </c>
      <c r="B65" s="609" t="s">
        <v>3577</v>
      </c>
      <c r="C65" s="610" t="s">
        <v>170</v>
      </c>
      <c r="D65" s="554">
        <v>4500160504</v>
      </c>
      <c r="E65" s="610">
        <v>9900923470</v>
      </c>
      <c r="F65" s="554" t="s">
        <v>6191</v>
      </c>
      <c r="G65" s="610" t="s">
        <v>6084</v>
      </c>
      <c r="H65" s="610" t="s">
        <v>6085</v>
      </c>
      <c r="I65" s="610">
        <v>50</v>
      </c>
      <c r="J65" s="610">
        <v>0</v>
      </c>
      <c r="K65" s="610">
        <v>25</v>
      </c>
      <c r="L65" s="611">
        <f t="shared" si="4"/>
        <v>2</v>
      </c>
      <c r="M65" s="612">
        <v>45793</v>
      </c>
      <c r="N65" s="612">
        <v>45789</v>
      </c>
      <c r="O65" s="613" t="s">
        <v>6192</v>
      </c>
      <c r="P65" s="613" t="s">
        <v>113</v>
      </c>
      <c r="Q65" s="610"/>
      <c r="R65" s="614">
        <v>45748</v>
      </c>
      <c r="S65" s="614" t="s">
        <v>70</v>
      </c>
      <c r="T65" s="614">
        <v>45734</v>
      </c>
      <c r="U65" s="614"/>
      <c r="V65" s="614"/>
      <c r="W65" s="615"/>
      <c r="X65" s="628" t="s">
        <v>6193</v>
      </c>
      <c r="Y65" s="609" t="s">
        <v>175</v>
      </c>
      <c r="Z65" s="609">
        <v>0.95</v>
      </c>
      <c r="AA65" s="616">
        <f t="shared" si="10"/>
        <v>47.5</v>
      </c>
      <c r="AC65" s="629" t="s">
        <v>235</v>
      </c>
      <c r="AD65" s="610" t="s">
        <v>6089</v>
      </c>
      <c r="AE65" s="610" t="s">
        <v>82</v>
      </c>
      <c r="AF65" s="610"/>
      <c r="AG65" s="610" t="s">
        <v>74</v>
      </c>
      <c r="AH65" s="610"/>
      <c r="AI65" s="610">
        <v>50</v>
      </c>
      <c r="AJ65" s="610">
        <f t="shared" si="3"/>
        <v>0</v>
      </c>
      <c r="AK65" s="610"/>
      <c r="AL65" s="610"/>
      <c r="AM65" s="610"/>
      <c r="AN65" s="610">
        <f>I65</f>
        <v>50</v>
      </c>
      <c r="AR65" s="619"/>
      <c r="AS65" s="554">
        <f>I65</f>
        <v>50</v>
      </c>
      <c r="AU65" s="554">
        <f>I65</f>
        <v>50</v>
      </c>
      <c r="AW65" s="619"/>
      <c r="AX65" s="548"/>
      <c r="AY65" s="548"/>
      <c r="AZ65" s="548"/>
      <c r="BA65" s="548"/>
      <c r="BB65" s="620">
        <f t="shared" ref="BB61:BB67" si="13">I65/24</f>
        <v>2.08333333333333</v>
      </c>
      <c r="BO65" s="554">
        <f>I65/25</f>
        <v>2</v>
      </c>
      <c r="BY65" s="619"/>
      <c r="BZ65" s="548"/>
      <c r="CA65" s="621"/>
      <c r="CB65" s="567"/>
      <c r="CC65" s="622"/>
      <c r="CD65" s="619"/>
      <c r="CE65" s="619"/>
      <c r="CF65" s="548"/>
      <c r="CG65" s="548"/>
      <c r="CU65" s="554">
        <f t="shared" ref="CU65:CU80" si="14">BQ65+BP65+BO65+BN65+BX65+BR65</f>
        <v>2</v>
      </c>
      <c r="CV65" s="554">
        <f t="shared" si="1"/>
        <v>0</v>
      </c>
      <c r="CW65" s="554">
        <f t="shared" si="2"/>
        <v>0</v>
      </c>
      <c r="CX65" s="619"/>
      <c r="CY65" s="619"/>
      <c r="CZ65" s="619"/>
      <c r="DA65" s="548"/>
      <c r="DB65" s="548"/>
      <c r="DC65" s="548"/>
      <c r="DD65" s="619"/>
      <c r="DE65" s="619"/>
      <c r="DF65" s="619"/>
      <c r="DG65" s="619"/>
      <c r="DH65" s="619"/>
    </row>
    <row r="66" s="548" customFormat="1" ht="31" customHeight="1" spans="1:112">
      <c r="A66" s="608">
        <v>45733</v>
      </c>
      <c r="B66" s="609" t="s">
        <v>3577</v>
      </c>
      <c r="C66" s="610" t="s">
        <v>170</v>
      </c>
      <c r="D66" s="554">
        <v>4500160504</v>
      </c>
      <c r="E66" s="610">
        <v>9900924254</v>
      </c>
      <c r="F66" s="554" t="s">
        <v>6194</v>
      </c>
      <c r="G66" s="610" t="s">
        <v>6084</v>
      </c>
      <c r="H66" s="610" t="s">
        <v>6085</v>
      </c>
      <c r="I66" s="610">
        <v>10075</v>
      </c>
      <c r="J66" s="610">
        <v>0</v>
      </c>
      <c r="K66" s="610">
        <v>25</v>
      </c>
      <c r="L66" s="611">
        <f t="shared" si="4"/>
        <v>403</v>
      </c>
      <c r="M66" s="612">
        <v>45793</v>
      </c>
      <c r="N66" s="612">
        <v>45789</v>
      </c>
      <c r="O66" s="613" t="s">
        <v>6192</v>
      </c>
      <c r="P66" s="613" t="s">
        <v>113</v>
      </c>
      <c r="Q66" s="610"/>
      <c r="R66" s="614">
        <v>45748</v>
      </c>
      <c r="S66" s="614" t="s">
        <v>70</v>
      </c>
      <c r="T66" s="614">
        <v>45734</v>
      </c>
      <c r="U66" s="614"/>
      <c r="V66" s="614"/>
      <c r="W66" s="615"/>
      <c r="X66" s="628" t="s">
        <v>6087</v>
      </c>
      <c r="Y66" s="609" t="s">
        <v>175</v>
      </c>
      <c r="Z66" s="609">
        <v>0.95</v>
      </c>
      <c r="AA66" s="616">
        <f t="shared" si="10"/>
        <v>9571.25</v>
      </c>
      <c r="AC66" s="630" t="s">
        <v>6088</v>
      </c>
      <c r="AD66" s="610" t="s">
        <v>6089</v>
      </c>
      <c r="AE66" s="610" t="s">
        <v>82</v>
      </c>
      <c r="AF66" s="610"/>
      <c r="AG66" s="610" t="s">
        <v>74</v>
      </c>
      <c r="AH66" s="610"/>
      <c r="AI66" s="610">
        <v>10075</v>
      </c>
      <c r="AJ66" s="610">
        <f t="shared" si="3"/>
        <v>0</v>
      </c>
      <c r="AK66" s="610"/>
      <c r="AL66" s="610"/>
      <c r="AM66" s="610"/>
      <c r="AN66" s="610">
        <f>I66</f>
        <v>10075</v>
      </c>
      <c r="AR66" s="619"/>
      <c r="AS66" s="554">
        <f>I66</f>
        <v>10075</v>
      </c>
      <c r="AU66" s="554">
        <f>I66</f>
        <v>10075</v>
      </c>
      <c r="AW66" s="619"/>
      <c r="AX66" s="548"/>
      <c r="AY66" s="548"/>
      <c r="AZ66" s="548"/>
      <c r="BA66" s="548"/>
      <c r="BB66" s="620">
        <f t="shared" si="13"/>
        <v>419.791666666667</v>
      </c>
      <c r="BO66" s="554">
        <f>I66/25</f>
        <v>403</v>
      </c>
      <c r="BY66" s="619"/>
      <c r="BZ66" s="548"/>
      <c r="CA66" s="621"/>
      <c r="CB66" s="567"/>
      <c r="CC66" s="622"/>
      <c r="CD66" s="619"/>
      <c r="CE66" s="619"/>
      <c r="CF66" s="548"/>
      <c r="CG66" s="548"/>
      <c r="CU66" s="554">
        <f t="shared" si="14"/>
        <v>403</v>
      </c>
      <c r="CV66" s="554">
        <f t="shared" si="1"/>
        <v>0</v>
      </c>
      <c r="CW66" s="554">
        <f t="shared" si="2"/>
        <v>0</v>
      </c>
      <c r="CX66" s="619"/>
      <c r="CY66" s="619"/>
      <c r="CZ66" s="619"/>
      <c r="DA66" s="548"/>
      <c r="DB66" s="548"/>
      <c r="DC66" s="548"/>
      <c r="DD66" s="619"/>
      <c r="DE66" s="619"/>
      <c r="DF66" s="619"/>
      <c r="DG66" s="619"/>
      <c r="DH66" s="619"/>
    </row>
    <row r="67" s="548" customFormat="1" ht="31" customHeight="1" spans="1:112">
      <c r="A67" s="608">
        <v>45709</v>
      </c>
      <c r="B67" s="609" t="s">
        <v>6195</v>
      </c>
      <c r="C67" s="610" t="s">
        <v>170</v>
      </c>
      <c r="D67" s="554">
        <v>4500158159</v>
      </c>
      <c r="E67" s="610">
        <v>40824</v>
      </c>
      <c r="F67" s="554" t="s">
        <v>6196</v>
      </c>
      <c r="G67" s="610" t="s">
        <v>6084</v>
      </c>
      <c r="H67" s="610" t="s">
        <v>6069</v>
      </c>
      <c r="I67" s="610">
        <v>5000</v>
      </c>
      <c r="J67" s="610">
        <v>0</v>
      </c>
      <c r="K67" s="610">
        <v>25</v>
      </c>
      <c r="L67" s="611">
        <f t="shared" si="4"/>
        <v>200</v>
      </c>
      <c r="M67" s="612">
        <v>45793</v>
      </c>
      <c r="N67" s="612">
        <v>45789</v>
      </c>
      <c r="O67" s="613"/>
      <c r="P67" s="613" t="s">
        <v>113</v>
      </c>
      <c r="Q67" s="610"/>
      <c r="R67" s="614">
        <v>45709</v>
      </c>
      <c r="S67" s="614" t="s">
        <v>70</v>
      </c>
      <c r="T67" s="614" t="s">
        <v>70</v>
      </c>
      <c r="U67" s="614"/>
      <c r="V67" s="614"/>
      <c r="W67" s="615"/>
      <c r="X67" s="609" t="s">
        <v>6197</v>
      </c>
      <c r="Y67" s="609" t="s">
        <v>1318</v>
      </c>
      <c r="Z67" s="609">
        <v>1.65</v>
      </c>
      <c r="AA67" s="616">
        <f t="shared" si="10"/>
        <v>8250</v>
      </c>
      <c r="AC67" s="629" t="s">
        <v>6198</v>
      </c>
      <c r="AD67" s="610" t="s">
        <v>6089</v>
      </c>
      <c r="AE67" s="610" t="s">
        <v>82</v>
      </c>
      <c r="AF67" s="610"/>
      <c r="AG67" s="610" t="s">
        <v>74</v>
      </c>
      <c r="AH67" s="610"/>
      <c r="AI67" s="610">
        <v>5000</v>
      </c>
      <c r="AJ67" s="610">
        <f t="shared" si="3"/>
        <v>0</v>
      </c>
      <c r="AK67" s="610"/>
      <c r="AL67" s="610"/>
      <c r="AM67" s="610"/>
      <c r="AN67" s="610">
        <f>I67</f>
        <v>5000</v>
      </c>
      <c r="AR67" s="619"/>
      <c r="AS67" s="554">
        <f>I67</f>
        <v>5000</v>
      </c>
      <c r="AU67" s="554">
        <f>I67</f>
        <v>5000</v>
      </c>
      <c r="AW67" s="619"/>
      <c r="AX67" s="548"/>
      <c r="AY67" s="548"/>
      <c r="AZ67" s="548"/>
      <c r="BA67" s="548"/>
      <c r="BB67" s="620">
        <f t="shared" si="13"/>
        <v>208.333333333333</v>
      </c>
      <c r="BO67" s="554">
        <f>I67/25</f>
        <v>200</v>
      </c>
      <c r="BY67" s="619"/>
      <c r="BZ67" s="548"/>
      <c r="CA67" s="621"/>
      <c r="CB67" s="567"/>
      <c r="CC67" s="622"/>
      <c r="CD67" s="619"/>
      <c r="CE67" s="619"/>
      <c r="CF67" s="548"/>
      <c r="CG67" s="548"/>
      <c r="CU67" s="554">
        <f t="shared" si="14"/>
        <v>200</v>
      </c>
      <c r="CV67" s="554">
        <f t="shared" ref="CV67:CV130" si="15">CK67+CL67+CM67+CN67+CO67+CQ67+CP67</f>
        <v>0</v>
      </c>
      <c r="CW67" s="554">
        <f t="shared" ref="CW67:CW130" si="16">CI67+CJ67</f>
        <v>0</v>
      </c>
      <c r="CX67" s="619"/>
      <c r="CY67" s="619"/>
      <c r="CZ67" s="619"/>
      <c r="DA67" s="548"/>
      <c r="DB67" s="548"/>
      <c r="DC67" s="548"/>
      <c r="DD67" s="619"/>
      <c r="DE67" s="619"/>
      <c r="DF67" s="619"/>
      <c r="DG67" s="619"/>
      <c r="DH67" s="619"/>
    </row>
    <row r="68" s="548" customFormat="1" ht="31" customHeight="1" spans="1:112">
      <c r="A68" s="608">
        <v>45748</v>
      </c>
      <c r="B68" s="609" t="s">
        <v>143</v>
      </c>
      <c r="C68" s="610" t="s">
        <v>98</v>
      </c>
      <c r="D68" s="554">
        <v>4500162162</v>
      </c>
      <c r="E68" s="613">
        <v>904512416</v>
      </c>
      <c r="F68" s="554" t="s">
        <v>6199</v>
      </c>
      <c r="G68" s="610" t="s">
        <v>6063</v>
      </c>
      <c r="H68" s="610" t="s">
        <v>6064</v>
      </c>
      <c r="I68" s="610">
        <v>4672</v>
      </c>
      <c r="J68" s="610">
        <v>0</v>
      </c>
      <c r="K68" s="610">
        <v>16</v>
      </c>
      <c r="L68" s="611">
        <f t="shared" si="4"/>
        <v>292</v>
      </c>
      <c r="M68" s="612">
        <v>45793</v>
      </c>
      <c r="N68" s="612">
        <v>45789</v>
      </c>
      <c r="O68" s="613" t="s">
        <v>239</v>
      </c>
      <c r="P68" s="613" t="s">
        <v>113</v>
      </c>
      <c r="Q68" s="610"/>
      <c r="R68" s="614" t="s">
        <v>147</v>
      </c>
      <c r="S68" s="614" t="s">
        <v>70</v>
      </c>
      <c r="T68" s="614" t="s">
        <v>6142</v>
      </c>
      <c r="U68" s="614"/>
      <c r="V68" s="614" t="s">
        <v>148</v>
      </c>
      <c r="W68" s="615"/>
      <c r="X68" s="609" t="s">
        <v>6143</v>
      </c>
      <c r="Y68" s="609" t="s">
        <v>106</v>
      </c>
      <c r="Z68" s="609">
        <v>1.68</v>
      </c>
      <c r="AA68" s="616">
        <f t="shared" si="10"/>
        <v>7848.96</v>
      </c>
      <c r="AC68" s="617"/>
      <c r="AD68" s="610" t="s">
        <v>6063</v>
      </c>
      <c r="AE68" s="610" t="s">
        <v>82</v>
      </c>
      <c r="AF68" s="610"/>
      <c r="AG68" s="610" t="s">
        <v>74</v>
      </c>
      <c r="AH68" s="610"/>
      <c r="AI68" s="610">
        <v>4672</v>
      </c>
      <c r="AJ68" s="610">
        <f t="shared" si="3"/>
        <v>0</v>
      </c>
      <c r="AK68" s="610"/>
      <c r="AL68" s="610"/>
      <c r="AM68" s="610"/>
      <c r="AN68" s="610">
        <f>I68</f>
        <v>4672</v>
      </c>
      <c r="AP68" s="554">
        <f>I68</f>
        <v>4672</v>
      </c>
      <c r="AR68" s="619"/>
      <c r="AS68" s="548"/>
      <c r="AT68" s="548"/>
      <c r="AU68" s="554">
        <f>I68</f>
        <v>4672</v>
      </c>
      <c r="AW68" s="619"/>
      <c r="AX68" s="548"/>
      <c r="AY68" s="548"/>
      <c r="AZ68" s="548"/>
      <c r="BA68" s="548"/>
      <c r="BB68" s="620">
        <f>I68/48</f>
        <v>97.3333333333333</v>
      </c>
      <c r="BQ68" s="554">
        <f>I68/16</f>
        <v>292</v>
      </c>
      <c r="BY68" s="619"/>
      <c r="BZ68" s="548"/>
      <c r="CA68" s="621"/>
      <c r="CB68" s="567"/>
      <c r="CC68" s="622"/>
      <c r="CD68" s="619"/>
      <c r="CE68" s="619"/>
      <c r="CF68" s="548"/>
      <c r="CG68" s="548"/>
      <c r="CU68" s="554">
        <f t="shared" si="14"/>
        <v>292</v>
      </c>
      <c r="CV68" s="554">
        <f t="shared" si="15"/>
        <v>0</v>
      </c>
      <c r="CW68" s="554">
        <f t="shared" si="16"/>
        <v>0</v>
      </c>
      <c r="CX68" s="619"/>
      <c r="CY68" s="619"/>
      <c r="CZ68" s="619"/>
      <c r="DA68" s="548"/>
      <c r="DB68" s="548"/>
      <c r="DC68" s="548"/>
      <c r="DD68" s="619"/>
      <c r="DE68" s="619"/>
      <c r="DF68" s="619"/>
      <c r="DG68" s="619"/>
      <c r="DH68" s="619"/>
    </row>
    <row r="69" s="548" customFormat="1" ht="31" customHeight="1" spans="1:112">
      <c r="A69" s="608">
        <v>45723</v>
      </c>
      <c r="B69" s="609" t="s">
        <v>729</v>
      </c>
      <c r="C69" s="610" t="s">
        <v>278</v>
      </c>
      <c r="D69" s="554">
        <v>4500159525</v>
      </c>
      <c r="E69" s="610" t="s">
        <v>6200</v>
      </c>
      <c r="F69" s="554" t="s">
        <v>6201</v>
      </c>
      <c r="G69" s="610" t="s">
        <v>6047</v>
      </c>
      <c r="H69" s="610" t="s">
        <v>6048</v>
      </c>
      <c r="I69" s="610">
        <v>5850</v>
      </c>
      <c r="J69" s="610">
        <v>0</v>
      </c>
      <c r="K69" s="610">
        <v>25</v>
      </c>
      <c r="L69" s="611">
        <f t="shared" si="4"/>
        <v>234</v>
      </c>
      <c r="M69" s="612">
        <v>45796</v>
      </c>
      <c r="N69" s="612">
        <v>45792</v>
      </c>
      <c r="O69" s="613"/>
      <c r="P69" s="613" t="s">
        <v>113</v>
      </c>
      <c r="Q69" s="610"/>
      <c r="R69" s="614">
        <v>45727</v>
      </c>
      <c r="S69" s="614" t="s">
        <v>70</v>
      </c>
      <c r="T69" s="614" t="s">
        <v>70</v>
      </c>
      <c r="U69" s="614"/>
      <c r="V69" s="614"/>
      <c r="W69" s="615"/>
      <c r="X69" s="628" t="s">
        <v>6131</v>
      </c>
      <c r="Y69" s="609" t="s">
        <v>1144</v>
      </c>
      <c r="Z69" s="609">
        <v>0.95</v>
      </c>
      <c r="AA69" s="616">
        <f t="shared" si="10"/>
        <v>5557.5</v>
      </c>
      <c r="AC69" s="630" t="s">
        <v>6132</v>
      </c>
      <c r="AD69" s="610" t="s">
        <v>6047</v>
      </c>
      <c r="AE69" s="610" t="s">
        <v>82</v>
      </c>
      <c r="AF69" s="610"/>
      <c r="AG69" s="610" t="s">
        <v>74</v>
      </c>
      <c r="AH69" s="610"/>
      <c r="AI69" s="610">
        <v>5850</v>
      </c>
      <c r="AJ69" s="610">
        <f t="shared" si="3"/>
        <v>0</v>
      </c>
      <c r="AK69" s="610"/>
      <c r="AL69" s="610"/>
      <c r="AM69" s="610"/>
      <c r="AN69" s="610"/>
      <c r="AO69" s="554">
        <f>I69</f>
        <v>5850</v>
      </c>
      <c r="AR69" s="619"/>
      <c r="AS69" s="548"/>
      <c r="AT69" s="554">
        <f>I69</f>
        <v>5850</v>
      </c>
      <c r="AV69" s="554">
        <f>I69</f>
        <v>5850</v>
      </c>
      <c r="AW69" s="619"/>
      <c r="AX69" s="548"/>
      <c r="AY69" s="548"/>
      <c r="AZ69" s="548"/>
      <c r="BA69" s="548"/>
      <c r="BB69" s="620">
        <f>I69/24</f>
        <v>243.75</v>
      </c>
      <c r="BP69" s="554">
        <f>I69/25</f>
        <v>234</v>
      </c>
      <c r="BY69" s="619"/>
      <c r="BZ69" s="548"/>
      <c r="CA69" s="621"/>
      <c r="CB69" s="567"/>
      <c r="CC69" s="622"/>
      <c r="CD69" s="619"/>
      <c r="CE69" s="619"/>
      <c r="CF69" s="548"/>
      <c r="CG69" s="548"/>
      <c r="CU69" s="554">
        <f t="shared" si="14"/>
        <v>234</v>
      </c>
      <c r="CV69" s="554">
        <f t="shared" si="15"/>
        <v>0</v>
      </c>
      <c r="CW69" s="554">
        <f t="shared" si="16"/>
        <v>0</v>
      </c>
      <c r="CX69" s="619"/>
      <c r="CY69" s="619"/>
      <c r="CZ69" s="619"/>
      <c r="DA69" s="548"/>
      <c r="DB69" s="548"/>
      <c r="DC69" s="548"/>
      <c r="DD69" s="619"/>
      <c r="DE69" s="619"/>
      <c r="DF69" s="619"/>
      <c r="DG69" s="619"/>
      <c r="DH69" s="619"/>
    </row>
    <row r="70" s="548" customFormat="1" ht="31" customHeight="1" spans="1:112">
      <c r="A70" s="608">
        <v>45723</v>
      </c>
      <c r="B70" s="609" t="s">
        <v>729</v>
      </c>
      <c r="C70" s="610" t="s">
        <v>278</v>
      </c>
      <c r="D70" s="554">
        <v>4500159525</v>
      </c>
      <c r="E70" s="610" t="s">
        <v>6202</v>
      </c>
      <c r="F70" s="554" t="s">
        <v>6203</v>
      </c>
      <c r="G70" s="610" t="s">
        <v>6047</v>
      </c>
      <c r="H70" s="610" t="s">
        <v>6048</v>
      </c>
      <c r="I70" s="610">
        <v>5850</v>
      </c>
      <c r="J70" s="610">
        <v>0</v>
      </c>
      <c r="K70" s="610">
        <v>25</v>
      </c>
      <c r="L70" s="611">
        <f t="shared" si="4"/>
        <v>234</v>
      </c>
      <c r="M70" s="612">
        <v>45796</v>
      </c>
      <c r="N70" s="612">
        <v>45792</v>
      </c>
      <c r="O70" s="613"/>
      <c r="P70" s="613" t="s">
        <v>113</v>
      </c>
      <c r="Q70" s="610"/>
      <c r="R70" s="614">
        <v>45727</v>
      </c>
      <c r="S70" s="614" t="s">
        <v>70</v>
      </c>
      <c r="T70" s="614" t="s">
        <v>70</v>
      </c>
      <c r="U70" s="614"/>
      <c r="V70" s="614"/>
      <c r="W70" s="615"/>
      <c r="X70" s="628" t="s">
        <v>6131</v>
      </c>
      <c r="Y70" s="609" t="s">
        <v>1144</v>
      </c>
      <c r="Z70" s="609">
        <v>0.95</v>
      </c>
      <c r="AA70" s="616">
        <f t="shared" si="10"/>
        <v>5557.5</v>
      </c>
      <c r="AC70" s="630" t="s">
        <v>6132</v>
      </c>
      <c r="AD70" s="610" t="s">
        <v>6047</v>
      </c>
      <c r="AE70" s="610" t="s">
        <v>82</v>
      </c>
      <c r="AF70" s="610"/>
      <c r="AG70" s="610" t="s">
        <v>74</v>
      </c>
      <c r="AH70" s="610"/>
      <c r="AI70" s="610">
        <v>5850</v>
      </c>
      <c r="AJ70" s="610">
        <f t="shared" si="3"/>
        <v>0</v>
      </c>
      <c r="AK70" s="610"/>
      <c r="AL70" s="610"/>
      <c r="AM70" s="610"/>
      <c r="AN70" s="610"/>
      <c r="AO70" s="554">
        <f>I70</f>
        <v>5850</v>
      </c>
      <c r="AR70" s="619"/>
      <c r="AS70" s="548"/>
      <c r="AT70" s="554">
        <f>I70</f>
        <v>5850</v>
      </c>
      <c r="AV70" s="554">
        <f>I70</f>
        <v>5850</v>
      </c>
      <c r="AW70" s="619"/>
      <c r="AX70" s="548"/>
      <c r="AY70" s="548"/>
      <c r="AZ70" s="548"/>
      <c r="BA70" s="548"/>
      <c r="BB70" s="620">
        <f>I70/24</f>
        <v>243.75</v>
      </c>
      <c r="BP70" s="554">
        <f>I70/25</f>
        <v>234</v>
      </c>
      <c r="BY70" s="619"/>
      <c r="BZ70" s="548"/>
      <c r="CA70" s="621"/>
      <c r="CB70" s="567"/>
      <c r="CC70" s="622"/>
      <c r="CD70" s="619"/>
      <c r="CE70" s="619"/>
      <c r="CF70" s="548"/>
      <c r="CG70" s="548"/>
      <c r="CU70" s="554">
        <f t="shared" si="14"/>
        <v>234</v>
      </c>
      <c r="CV70" s="554">
        <f t="shared" si="15"/>
        <v>0</v>
      </c>
      <c r="CW70" s="554">
        <f t="shared" si="16"/>
        <v>0</v>
      </c>
      <c r="CX70" s="619"/>
      <c r="CY70" s="619"/>
      <c r="CZ70" s="619"/>
      <c r="DA70" s="548"/>
      <c r="DB70" s="548"/>
      <c r="DC70" s="548"/>
      <c r="DD70" s="619"/>
      <c r="DE70" s="619"/>
      <c r="DF70" s="619"/>
      <c r="DG70" s="619"/>
      <c r="DH70" s="619"/>
    </row>
    <row r="71" s="548" customFormat="1" ht="31" customHeight="1" spans="1:112">
      <c r="A71" s="608">
        <v>45754</v>
      </c>
      <c r="B71" s="609" t="s">
        <v>135</v>
      </c>
      <c r="C71" s="610" t="s">
        <v>128</v>
      </c>
      <c r="D71" s="554">
        <v>4500162690</v>
      </c>
      <c r="E71" s="610">
        <v>20756003</v>
      </c>
      <c r="F71" s="554" t="s">
        <v>6204</v>
      </c>
      <c r="G71" s="610" t="s">
        <v>6093</v>
      </c>
      <c r="H71" s="610" t="s">
        <v>6094</v>
      </c>
      <c r="I71" s="610">
        <v>2106</v>
      </c>
      <c r="J71" s="610">
        <v>0</v>
      </c>
      <c r="K71" s="610">
        <v>13</v>
      </c>
      <c r="L71" s="611">
        <f t="shared" si="4"/>
        <v>162</v>
      </c>
      <c r="M71" s="612">
        <v>45796</v>
      </c>
      <c r="N71" s="612">
        <v>45792</v>
      </c>
      <c r="O71" s="613"/>
      <c r="P71" s="613" t="s">
        <v>113</v>
      </c>
      <c r="Q71" s="610"/>
      <c r="R71" s="614">
        <v>45764</v>
      </c>
      <c r="S71" s="614" t="s">
        <v>104</v>
      </c>
      <c r="T71" s="614" t="s">
        <v>6205</v>
      </c>
      <c r="U71" s="614"/>
      <c r="V71" s="614"/>
      <c r="W71" s="615"/>
      <c r="X71" s="609" t="s">
        <v>6206</v>
      </c>
      <c r="Y71" s="609" t="s">
        <v>133</v>
      </c>
      <c r="Z71" s="609">
        <v>0.95</v>
      </c>
      <c r="AA71" s="616">
        <f t="shared" si="10"/>
        <v>2000.7</v>
      </c>
      <c r="AC71" s="629" t="s">
        <v>6207</v>
      </c>
      <c r="AD71" s="610" t="s">
        <v>6093</v>
      </c>
      <c r="AE71" s="610" t="s">
        <v>82</v>
      </c>
      <c r="AF71" s="610"/>
      <c r="AG71" s="610" t="s">
        <v>74</v>
      </c>
      <c r="AH71" s="610"/>
      <c r="AI71" s="610">
        <v>2106</v>
      </c>
      <c r="AJ71" s="610">
        <f t="shared" si="3"/>
        <v>0</v>
      </c>
      <c r="AK71" s="610"/>
      <c r="AL71" s="610"/>
      <c r="AM71" s="610"/>
      <c r="AN71" s="610"/>
      <c r="AO71" s="554">
        <f>I71</f>
        <v>2106</v>
      </c>
      <c r="AR71" s="619"/>
      <c r="AS71" s="548"/>
      <c r="AT71" s="554">
        <f>I71</f>
        <v>2106</v>
      </c>
      <c r="AV71" s="554">
        <f>I71</f>
        <v>2106</v>
      </c>
      <c r="AW71" s="619"/>
      <c r="AX71" s="548"/>
      <c r="AY71" s="548"/>
      <c r="AZ71" s="548"/>
      <c r="BA71" s="548"/>
      <c r="BB71" s="620">
        <f>I71/24</f>
        <v>87.75</v>
      </c>
      <c r="BM71" s="554">
        <f>I71/13</f>
        <v>162</v>
      </c>
      <c r="BY71" s="619"/>
      <c r="BZ71" s="548"/>
      <c r="CA71" s="621"/>
      <c r="CB71" s="567"/>
      <c r="CC71" s="622"/>
      <c r="CD71" s="619"/>
      <c r="CE71" s="619"/>
      <c r="CF71" s="548"/>
      <c r="CG71" s="548"/>
      <c r="CU71" s="554">
        <f t="shared" si="14"/>
        <v>0</v>
      </c>
      <c r="CV71" s="554">
        <f t="shared" si="15"/>
        <v>0</v>
      </c>
      <c r="CW71" s="554">
        <f t="shared" si="16"/>
        <v>0</v>
      </c>
      <c r="CX71" s="619"/>
      <c r="CY71" s="619"/>
      <c r="CZ71" s="619"/>
      <c r="DA71" s="548"/>
      <c r="DB71" s="548"/>
      <c r="DC71" s="548"/>
      <c r="DD71" s="619"/>
      <c r="DE71" s="619"/>
      <c r="DF71" s="619"/>
      <c r="DG71" s="619"/>
      <c r="DH71" s="619"/>
    </row>
    <row r="72" s="548" customFormat="1" ht="31" customHeight="1" spans="1:112">
      <c r="A72" s="608">
        <v>45763</v>
      </c>
      <c r="B72" s="609" t="s">
        <v>197</v>
      </c>
      <c r="C72" s="610" t="s">
        <v>198</v>
      </c>
      <c r="D72" s="554">
        <v>4500163403</v>
      </c>
      <c r="E72" s="610">
        <v>5200006595</v>
      </c>
      <c r="F72" s="554" t="s">
        <v>6208</v>
      </c>
      <c r="G72" s="610" t="s">
        <v>6120</v>
      </c>
      <c r="H72" s="610" t="s">
        <v>6094</v>
      </c>
      <c r="I72" s="610">
        <v>260</v>
      </c>
      <c r="J72" s="610">
        <v>0</v>
      </c>
      <c r="K72" s="610">
        <v>13</v>
      </c>
      <c r="L72" s="611">
        <f t="shared" si="4"/>
        <v>20</v>
      </c>
      <c r="M72" s="612">
        <v>45796</v>
      </c>
      <c r="N72" s="612">
        <v>45792</v>
      </c>
      <c r="O72" s="613"/>
      <c r="P72" s="613" t="s">
        <v>113</v>
      </c>
      <c r="Q72" s="610"/>
      <c r="R72" s="614">
        <v>45757</v>
      </c>
      <c r="S72" s="614" t="s">
        <v>70</v>
      </c>
      <c r="T72" s="614" t="s">
        <v>6209</v>
      </c>
      <c r="U72" s="614"/>
      <c r="V72" s="614"/>
      <c r="W72" s="615"/>
      <c r="X72" s="609" t="s">
        <v>6210</v>
      </c>
      <c r="Y72" s="609" t="s">
        <v>6211</v>
      </c>
      <c r="Z72" s="609">
        <v>1.16</v>
      </c>
      <c r="AA72" s="616">
        <f t="shared" si="10"/>
        <v>301.6</v>
      </c>
      <c r="AC72" s="629" t="s">
        <v>6212</v>
      </c>
      <c r="AD72" s="618" t="s">
        <v>6093</v>
      </c>
      <c r="AE72" s="610" t="s">
        <v>82</v>
      </c>
      <c r="AF72" s="610"/>
      <c r="AG72" s="610" t="s">
        <v>74</v>
      </c>
      <c r="AH72" s="610"/>
      <c r="AI72" s="610">
        <v>260</v>
      </c>
      <c r="AJ72" s="610">
        <f t="shared" si="3"/>
        <v>0</v>
      </c>
      <c r="AK72" s="610"/>
      <c r="AL72" s="610"/>
      <c r="AM72" s="610"/>
      <c r="AN72" s="610"/>
      <c r="AO72" s="554">
        <f>I72</f>
        <v>260</v>
      </c>
      <c r="AR72" s="619"/>
      <c r="AS72" s="548"/>
      <c r="AT72" s="554">
        <f>I72</f>
        <v>260</v>
      </c>
      <c r="AV72" s="554">
        <f>I72</f>
        <v>260</v>
      </c>
      <c r="AW72" s="619"/>
      <c r="AX72" s="548"/>
      <c r="AY72" s="548"/>
      <c r="AZ72" s="548"/>
      <c r="BA72" s="548"/>
      <c r="BB72" s="620">
        <f>I72/24</f>
        <v>10.8333333333333</v>
      </c>
      <c r="BM72" s="554">
        <f>I72/13</f>
        <v>20</v>
      </c>
      <c r="BY72" s="619"/>
      <c r="BZ72" s="548"/>
      <c r="CA72" s="621"/>
      <c r="CB72" s="567"/>
      <c r="CC72" s="622"/>
      <c r="CD72" s="619"/>
      <c r="CE72" s="619"/>
      <c r="CF72" s="548"/>
      <c r="CG72" s="548"/>
      <c r="CU72" s="554">
        <f t="shared" si="14"/>
        <v>0</v>
      </c>
      <c r="CV72" s="554">
        <f t="shared" si="15"/>
        <v>0</v>
      </c>
      <c r="CW72" s="554">
        <f t="shared" si="16"/>
        <v>0</v>
      </c>
      <c r="CX72" s="619"/>
      <c r="CY72" s="619"/>
      <c r="CZ72" s="619"/>
      <c r="DA72" s="548"/>
      <c r="DB72" s="548"/>
      <c r="DC72" s="548"/>
      <c r="DD72" s="619"/>
      <c r="DE72" s="619"/>
      <c r="DF72" s="619"/>
      <c r="DG72" s="619"/>
      <c r="DH72" s="619"/>
    </row>
    <row r="73" s="548" customFormat="1" ht="31" customHeight="1" spans="1:112">
      <c r="A73" s="608">
        <v>45748</v>
      </c>
      <c r="B73" s="609" t="s">
        <v>143</v>
      </c>
      <c r="C73" s="610" t="s">
        <v>98</v>
      </c>
      <c r="D73" s="554">
        <v>4500162168</v>
      </c>
      <c r="E73" s="610" t="s">
        <v>6213</v>
      </c>
      <c r="F73" s="554" t="s">
        <v>6214</v>
      </c>
      <c r="G73" s="610" t="s">
        <v>6063</v>
      </c>
      <c r="H73" s="610" t="s">
        <v>6064</v>
      </c>
      <c r="I73" s="610">
        <v>3296</v>
      </c>
      <c r="J73" s="610">
        <v>0</v>
      </c>
      <c r="K73" s="610">
        <v>16</v>
      </c>
      <c r="L73" s="611">
        <f t="shared" si="4"/>
        <v>206</v>
      </c>
      <c r="M73" s="612">
        <v>45797</v>
      </c>
      <c r="N73" s="612">
        <v>45793</v>
      </c>
      <c r="O73" s="613" t="s">
        <v>274</v>
      </c>
      <c r="P73" s="613" t="s">
        <v>113</v>
      </c>
      <c r="Q73" s="610"/>
      <c r="R73" s="614" t="s">
        <v>147</v>
      </c>
      <c r="S73" s="614" t="s">
        <v>70</v>
      </c>
      <c r="T73" s="614" t="s">
        <v>6142</v>
      </c>
      <c r="U73" s="614"/>
      <c r="V73" s="614" t="s">
        <v>148</v>
      </c>
      <c r="W73" s="615"/>
      <c r="X73" s="609" t="s">
        <v>6143</v>
      </c>
      <c r="Y73" s="609" t="s">
        <v>106</v>
      </c>
      <c r="Z73" s="609">
        <v>1.68</v>
      </c>
      <c r="AA73" s="616">
        <f t="shared" si="10"/>
        <v>5537.28</v>
      </c>
      <c r="AC73" s="617"/>
      <c r="AD73" s="610" t="s">
        <v>6063</v>
      </c>
      <c r="AE73" s="610" t="s">
        <v>82</v>
      </c>
      <c r="AF73" s="610"/>
      <c r="AG73" s="610" t="s">
        <v>74</v>
      </c>
      <c r="AH73" s="610"/>
      <c r="AI73" s="610">
        <v>3296</v>
      </c>
      <c r="AJ73" s="610">
        <f t="shared" si="3"/>
        <v>0</v>
      </c>
      <c r="AK73" s="610"/>
      <c r="AL73" s="610"/>
      <c r="AM73" s="610"/>
      <c r="AN73" s="610">
        <f>I73</f>
        <v>3296</v>
      </c>
      <c r="AP73" s="554">
        <f>I73</f>
        <v>3296</v>
      </c>
      <c r="AR73" s="619"/>
      <c r="AS73" s="548"/>
      <c r="AT73" s="548"/>
      <c r="AU73" s="554">
        <f>I73</f>
        <v>3296</v>
      </c>
      <c r="AW73" s="619"/>
      <c r="AX73" s="548"/>
      <c r="AY73" s="548"/>
      <c r="AZ73" s="548"/>
      <c r="BA73" s="548"/>
      <c r="BB73" s="620">
        <f>I73/48</f>
        <v>68.6666666666667</v>
      </c>
      <c r="BQ73" s="554">
        <f>I73/16</f>
        <v>206</v>
      </c>
      <c r="BY73" s="619"/>
      <c r="BZ73" s="548"/>
      <c r="CA73" s="621"/>
      <c r="CB73" s="567"/>
      <c r="CC73" s="622"/>
      <c r="CD73" s="619"/>
      <c r="CE73" s="619"/>
      <c r="CF73" s="548"/>
      <c r="CG73" s="548"/>
      <c r="CU73" s="554">
        <f t="shared" si="14"/>
        <v>206</v>
      </c>
      <c r="CV73" s="554">
        <f t="shared" si="15"/>
        <v>0</v>
      </c>
      <c r="CW73" s="554">
        <f t="shared" si="16"/>
        <v>0</v>
      </c>
      <c r="CX73" s="619"/>
      <c r="CY73" s="619"/>
      <c r="CZ73" s="619"/>
      <c r="DA73" s="548"/>
      <c r="DB73" s="548"/>
      <c r="DC73" s="548"/>
      <c r="DD73" s="619"/>
      <c r="DE73" s="619"/>
      <c r="DF73" s="619"/>
      <c r="DG73" s="619"/>
      <c r="DH73" s="619"/>
    </row>
    <row r="74" s="548" customFormat="1" ht="31" customHeight="1" spans="1:112">
      <c r="A74" s="608">
        <v>45748</v>
      </c>
      <c r="B74" s="609" t="s">
        <v>143</v>
      </c>
      <c r="C74" s="610" t="s">
        <v>98</v>
      </c>
      <c r="D74" s="554">
        <v>4500162168</v>
      </c>
      <c r="E74" s="610" t="s">
        <v>6215</v>
      </c>
      <c r="F74" s="554" t="s">
        <v>6216</v>
      </c>
      <c r="G74" s="610" t="s">
        <v>6063</v>
      </c>
      <c r="H74" s="610" t="s">
        <v>6064</v>
      </c>
      <c r="I74" s="610">
        <v>3184</v>
      </c>
      <c r="J74" s="610">
        <v>0</v>
      </c>
      <c r="K74" s="610">
        <v>16</v>
      </c>
      <c r="L74" s="611">
        <f t="shared" si="4"/>
        <v>199</v>
      </c>
      <c r="M74" s="612">
        <v>45797</v>
      </c>
      <c r="N74" s="612">
        <v>45793</v>
      </c>
      <c r="O74" s="613" t="s">
        <v>274</v>
      </c>
      <c r="P74" s="613" t="s">
        <v>113</v>
      </c>
      <c r="Q74" s="610"/>
      <c r="R74" s="614" t="s">
        <v>147</v>
      </c>
      <c r="S74" s="614" t="s">
        <v>70</v>
      </c>
      <c r="T74" s="614" t="s">
        <v>6142</v>
      </c>
      <c r="U74" s="614"/>
      <c r="V74" s="614" t="s">
        <v>148</v>
      </c>
      <c r="W74" s="615"/>
      <c r="X74" s="609" t="s">
        <v>6143</v>
      </c>
      <c r="Y74" s="609" t="s">
        <v>106</v>
      </c>
      <c r="Z74" s="609">
        <v>1.68</v>
      </c>
      <c r="AA74" s="616">
        <f t="shared" si="10"/>
        <v>5349.12</v>
      </c>
      <c r="AC74" s="617"/>
      <c r="AD74" s="610" t="s">
        <v>6063</v>
      </c>
      <c r="AE74" s="610" t="s">
        <v>82</v>
      </c>
      <c r="AF74" s="610"/>
      <c r="AG74" s="610" t="s">
        <v>74</v>
      </c>
      <c r="AH74" s="610"/>
      <c r="AI74" s="610">
        <v>3184</v>
      </c>
      <c r="AJ74" s="610">
        <f t="shared" si="3"/>
        <v>0</v>
      </c>
      <c r="AK74" s="610"/>
      <c r="AL74" s="610"/>
      <c r="AM74" s="610"/>
      <c r="AN74" s="610">
        <f>I74</f>
        <v>3184</v>
      </c>
      <c r="AP74" s="554">
        <f>I74</f>
        <v>3184</v>
      </c>
      <c r="AR74" s="619"/>
      <c r="AS74" s="548"/>
      <c r="AT74" s="548"/>
      <c r="AU74" s="554">
        <f>I74</f>
        <v>3184</v>
      </c>
      <c r="AW74" s="619"/>
      <c r="AX74" s="548"/>
      <c r="AY74" s="548"/>
      <c r="AZ74" s="548"/>
      <c r="BA74" s="548"/>
      <c r="BB74" s="620">
        <f>I74/48</f>
        <v>66.3333333333333</v>
      </c>
      <c r="BQ74" s="554">
        <f>I74/16</f>
        <v>199</v>
      </c>
      <c r="BY74" s="619"/>
      <c r="BZ74" s="548"/>
      <c r="CA74" s="621"/>
      <c r="CB74" s="567"/>
      <c r="CC74" s="622"/>
      <c r="CD74" s="619"/>
      <c r="CE74" s="619"/>
      <c r="CF74" s="548"/>
      <c r="CG74" s="548"/>
      <c r="CU74" s="554">
        <f t="shared" si="14"/>
        <v>199</v>
      </c>
      <c r="CV74" s="554">
        <f t="shared" si="15"/>
        <v>0</v>
      </c>
      <c r="CW74" s="554">
        <f t="shared" si="16"/>
        <v>0</v>
      </c>
      <c r="CX74" s="619"/>
      <c r="CY74" s="619"/>
      <c r="CZ74" s="619"/>
      <c r="DA74" s="548"/>
      <c r="DB74" s="548"/>
      <c r="DC74" s="548"/>
      <c r="DD74" s="619"/>
      <c r="DE74" s="619"/>
      <c r="DF74" s="619"/>
      <c r="DG74" s="619"/>
      <c r="DH74" s="619"/>
    </row>
    <row r="75" s="548" customFormat="1" ht="31" customHeight="1" spans="1:112">
      <c r="A75" s="608">
        <v>45748</v>
      </c>
      <c r="B75" s="609" t="s">
        <v>143</v>
      </c>
      <c r="C75" s="610" t="s">
        <v>98</v>
      </c>
      <c r="D75" s="554">
        <v>4500162168</v>
      </c>
      <c r="E75" s="610" t="s">
        <v>6217</v>
      </c>
      <c r="F75" s="554" t="s">
        <v>6218</v>
      </c>
      <c r="G75" s="610" t="s">
        <v>6063</v>
      </c>
      <c r="H75" s="610" t="s">
        <v>6064</v>
      </c>
      <c r="I75" s="610">
        <v>4240</v>
      </c>
      <c r="J75" s="610">
        <v>0</v>
      </c>
      <c r="K75" s="610">
        <v>16</v>
      </c>
      <c r="L75" s="611">
        <f t="shared" si="4"/>
        <v>265</v>
      </c>
      <c r="M75" s="612">
        <v>45797</v>
      </c>
      <c r="N75" s="612">
        <v>45793</v>
      </c>
      <c r="O75" s="613" t="s">
        <v>274</v>
      </c>
      <c r="P75" s="613" t="s">
        <v>113</v>
      </c>
      <c r="Q75" s="610"/>
      <c r="R75" s="614" t="s">
        <v>147</v>
      </c>
      <c r="S75" s="614" t="s">
        <v>70</v>
      </c>
      <c r="T75" s="614" t="s">
        <v>6142</v>
      </c>
      <c r="U75" s="614"/>
      <c r="V75" s="614" t="s">
        <v>148</v>
      </c>
      <c r="W75" s="615"/>
      <c r="X75" s="609" t="s">
        <v>6143</v>
      </c>
      <c r="Y75" s="609" t="s">
        <v>106</v>
      </c>
      <c r="Z75" s="609">
        <v>1.68</v>
      </c>
      <c r="AA75" s="616">
        <f t="shared" si="10"/>
        <v>7123.2</v>
      </c>
      <c r="AC75" s="617" t="s">
        <v>6219</v>
      </c>
      <c r="AD75" s="610" t="s">
        <v>6063</v>
      </c>
      <c r="AE75" s="610" t="s">
        <v>82</v>
      </c>
      <c r="AF75" s="610"/>
      <c r="AG75" s="610" t="s">
        <v>74</v>
      </c>
      <c r="AH75" s="610"/>
      <c r="AI75" s="610">
        <v>4240</v>
      </c>
      <c r="AJ75" s="610">
        <f t="shared" si="3"/>
        <v>0</v>
      </c>
      <c r="AK75" s="610"/>
      <c r="AL75" s="610"/>
      <c r="AM75" s="610"/>
      <c r="AN75" s="610">
        <f>I75</f>
        <v>4240</v>
      </c>
      <c r="AP75" s="554">
        <f>I75</f>
        <v>4240</v>
      </c>
      <c r="AR75" s="619"/>
      <c r="AS75" s="548"/>
      <c r="AT75" s="548"/>
      <c r="AU75" s="554">
        <f>I75</f>
        <v>4240</v>
      </c>
      <c r="AW75" s="619"/>
      <c r="AX75" s="548"/>
      <c r="AY75" s="548"/>
      <c r="AZ75" s="548"/>
      <c r="BA75" s="548"/>
      <c r="BB75" s="620">
        <f>I75/48</f>
        <v>88.3333333333333</v>
      </c>
      <c r="BQ75" s="554">
        <f>I75/16</f>
        <v>265</v>
      </c>
      <c r="BY75" s="619"/>
      <c r="BZ75" s="548"/>
      <c r="CA75" s="621"/>
      <c r="CB75" s="567"/>
      <c r="CC75" s="622"/>
      <c r="CD75" s="619"/>
      <c r="CE75" s="619"/>
      <c r="CF75" s="548"/>
      <c r="CG75" s="548"/>
      <c r="CU75" s="554">
        <f t="shared" si="14"/>
        <v>265</v>
      </c>
      <c r="CV75" s="554">
        <f t="shared" si="15"/>
        <v>0</v>
      </c>
      <c r="CW75" s="554">
        <f t="shared" si="16"/>
        <v>0</v>
      </c>
      <c r="CX75" s="619"/>
      <c r="CY75" s="619"/>
      <c r="CZ75" s="619"/>
      <c r="DA75" s="548"/>
      <c r="DB75" s="548"/>
      <c r="DC75" s="548"/>
      <c r="DD75" s="619"/>
      <c r="DE75" s="619"/>
      <c r="DF75" s="619"/>
      <c r="DG75" s="619"/>
      <c r="DH75" s="619"/>
    </row>
    <row r="76" s="548" customFormat="1" ht="31" customHeight="1" spans="1:112">
      <c r="A76" s="608">
        <v>45749</v>
      </c>
      <c r="B76" s="609" t="s">
        <v>296</v>
      </c>
      <c r="C76" s="610" t="s">
        <v>241</v>
      </c>
      <c r="D76" s="554">
        <v>4500162375</v>
      </c>
      <c r="E76" s="610">
        <v>20106</v>
      </c>
      <c r="F76" s="554" t="s">
        <v>6220</v>
      </c>
      <c r="G76" s="610" t="s">
        <v>6047</v>
      </c>
      <c r="H76" s="610" t="s">
        <v>6048</v>
      </c>
      <c r="I76" s="610">
        <v>475</v>
      </c>
      <c r="J76" s="610">
        <v>0</v>
      </c>
      <c r="K76" s="610">
        <v>25</v>
      </c>
      <c r="L76" s="611">
        <f t="shared" si="4"/>
        <v>19</v>
      </c>
      <c r="M76" s="612">
        <v>45797</v>
      </c>
      <c r="N76" s="612">
        <v>45793</v>
      </c>
      <c r="O76" s="613"/>
      <c r="P76" s="613" t="s">
        <v>113</v>
      </c>
      <c r="Q76" s="610"/>
      <c r="R76" s="614">
        <v>45750</v>
      </c>
      <c r="S76" s="614" t="s">
        <v>70</v>
      </c>
      <c r="T76" s="614">
        <v>45765</v>
      </c>
      <c r="U76" s="614"/>
      <c r="V76" s="614"/>
      <c r="W76" s="615"/>
      <c r="X76" s="609" t="s">
        <v>6221</v>
      </c>
      <c r="Y76" s="609" t="s">
        <v>299</v>
      </c>
      <c r="Z76" s="609">
        <v>0.95</v>
      </c>
      <c r="AA76" s="616">
        <f t="shared" si="10"/>
        <v>451.25</v>
      </c>
      <c r="AC76" s="629" t="s">
        <v>300</v>
      </c>
      <c r="AD76" s="610" t="s">
        <v>6047</v>
      </c>
      <c r="AE76" s="610" t="s">
        <v>82</v>
      </c>
      <c r="AF76" s="610"/>
      <c r="AG76" s="610" t="s">
        <v>74</v>
      </c>
      <c r="AH76" s="610"/>
      <c r="AI76" s="610">
        <v>475</v>
      </c>
      <c r="AJ76" s="610">
        <f t="shared" si="3"/>
        <v>0</v>
      </c>
      <c r="AK76" s="610"/>
      <c r="AL76" s="610"/>
      <c r="AM76" s="610"/>
      <c r="AN76" s="610"/>
      <c r="AO76" s="554">
        <f>I76</f>
        <v>475</v>
      </c>
      <c r="AR76" s="619"/>
      <c r="AS76" s="548"/>
      <c r="AT76" s="554">
        <f>I76</f>
        <v>475</v>
      </c>
      <c r="AV76" s="554">
        <f>I76</f>
        <v>475</v>
      </c>
      <c r="AW76" s="619"/>
      <c r="AX76" s="548"/>
      <c r="AY76" s="548"/>
      <c r="AZ76" s="548"/>
      <c r="BA76" s="548"/>
      <c r="BB76" s="620">
        <f>I76/24</f>
        <v>19.7916666666667</v>
      </c>
      <c r="BP76" s="554">
        <f>I76/25</f>
        <v>19</v>
      </c>
      <c r="BY76" s="619"/>
      <c r="BZ76" s="548"/>
      <c r="CA76" s="621"/>
      <c r="CB76" s="567"/>
      <c r="CC76" s="622"/>
      <c r="CD76" s="619"/>
      <c r="CE76" s="619"/>
      <c r="CF76" s="548"/>
      <c r="CG76" s="548"/>
      <c r="CU76" s="554">
        <f t="shared" si="14"/>
        <v>19</v>
      </c>
      <c r="CV76" s="554">
        <f t="shared" si="15"/>
        <v>0</v>
      </c>
      <c r="CW76" s="554">
        <f t="shared" si="16"/>
        <v>0</v>
      </c>
      <c r="CX76" s="619"/>
      <c r="CY76" s="619"/>
      <c r="CZ76" s="619"/>
      <c r="DA76" s="548"/>
      <c r="DB76" s="548"/>
      <c r="DC76" s="548"/>
      <c r="DD76" s="619"/>
      <c r="DE76" s="619"/>
      <c r="DF76" s="619"/>
      <c r="DG76" s="619"/>
      <c r="DH76" s="619"/>
    </row>
    <row r="77" s="548" customFormat="1" ht="31" customHeight="1" spans="1:112">
      <c r="A77" s="608">
        <v>45748</v>
      </c>
      <c r="B77" s="609" t="s">
        <v>606</v>
      </c>
      <c r="C77" s="610" t="s">
        <v>399</v>
      </c>
      <c r="D77" s="554">
        <v>4500162134</v>
      </c>
      <c r="E77" s="610"/>
      <c r="F77" s="554" t="s">
        <v>6222</v>
      </c>
      <c r="G77" s="610" t="s">
        <v>6223</v>
      </c>
      <c r="H77" s="610" t="s">
        <v>6080</v>
      </c>
      <c r="I77" s="610">
        <v>3000</v>
      </c>
      <c r="J77" s="610">
        <v>0</v>
      </c>
      <c r="K77" s="610">
        <v>30</v>
      </c>
      <c r="L77" s="611">
        <f t="shared" si="4"/>
        <v>100</v>
      </c>
      <c r="M77" s="612">
        <v>45789</v>
      </c>
      <c r="N77" s="612">
        <v>45785</v>
      </c>
      <c r="O77" s="613" t="s">
        <v>6179</v>
      </c>
      <c r="P77" s="613" t="s">
        <v>113</v>
      </c>
      <c r="Q77" s="610" t="s">
        <v>6180</v>
      </c>
      <c r="R77" s="614">
        <v>45761</v>
      </c>
      <c r="S77" s="614" t="s">
        <v>70</v>
      </c>
      <c r="T77" s="614">
        <v>45768</v>
      </c>
      <c r="U77" s="614"/>
      <c r="V77" s="614" t="s">
        <v>6181</v>
      </c>
      <c r="W77" s="615"/>
      <c r="X77" s="628" t="s">
        <v>6224</v>
      </c>
      <c r="Y77" s="609" t="s">
        <v>445</v>
      </c>
      <c r="Z77" s="609">
        <v>35.1</v>
      </c>
      <c r="AA77" s="616">
        <f>Z77*L77</f>
        <v>3510</v>
      </c>
      <c r="AC77" s="629" t="s">
        <v>6183</v>
      </c>
      <c r="AD77" s="610" t="s">
        <v>6223</v>
      </c>
      <c r="AE77" s="610" t="s">
        <v>82</v>
      </c>
      <c r="AF77" s="610"/>
      <c r="AG77" s="610" t="s">
        <v>74</v>
      </c>
      <c r="AH77" s="610"/>
      <c r="AI77" s="610">
        <v>3000</v>
      </c>
      <c r="AJ77" s="610">
        <f t="shared" si="3"/>
        <v>0</v>
      </c>
      <c r="AK77" s="610"/>
      <c r="AL77" s="610"/>
      <c r="AM77" s="610"/>
      <c r="AN77" s="610"/>
      <c r="AO77" s="554">
        <f>I77</f>
        <v>3000</v>
      </c>
      <c r="AR77" s="619"/>
      <c r="AS77" s="548"/>
      <c r="AT77" s="554">
        <f>I77</f>
        <v>3000</v>
      </c>
      <c r="AV77" s="554">
        <f>I77</f>
        <v>3000</v>
      </c>
      <c r="AW77" s="619"/>
      <c r="AX77" s="548"/>
      <c r="AY77" s="548"/>
      <c r="AZ77" s="548"/>
      <c r="BA77" s="548"/>
      <c r="BB77" s="620">
        <f>I77/24</f>
        <v>125</v>
      </c>
      <c r="BY77" s="619"/>
      <c r="BZ77" s="548"/>
      <c r="CA77" s="621"/>
      <c r="CB77" s="567"/>
      <c r="CC77" s="622"/>
      <c r="CD77" s="619"/>
      <c r="CE77" s="619"/>
      <c r="CF77" s="548"/>
      <c r="CG77" s="548"/>
      <c r="CP77" s="554">
        <f>I77/30</f>
        <v>100</v>
      </c>
      <c r="CU77" s="554">
        <f t="shared" si="14"/>
        <v>0</v>
      </c>
      <c r="CV77" s="554">
        <f t="shared" si="15"/>
        <v>100</v>
      </c>
      <c r="CW77" s="554">
        <f t="shared" si="16"/>
        <v>0</v>
      </c>
      <c r="CX77" s="619"/>
      <c r="CY77" s="619"/>
      <c r="CZ77" s="619"/>
      <c r="DA77" s="548"/>
      <c r="DB77" s="548"/>
      <c r="DC77" s="548"/>
      <c r="DD77" s="619"/>
      <c r="DE77" s="619"/>
      <c r="DF77" s="619"/>
      <c r="DG77" s="619"/>
      <c r="DH77" s="619"/>
    </row>
    <row r="78" s="548" customFormat="1" ht="31" customHeight="1" spans="1:112">
      <c r="A78" s="608">
        <v>45747</v>
      </c>
      <c r="B78" s="609" t="s">
        <v>75</v>
      </c>
      <c r="C78" s="610" t="s">
        <v>76</v>
      </c>
      <c r="D78" s="554">
        <v>4500162027</v>
      </c>
      <c r="E78" s="610">
        <v>29036564</v>
      </c>
      <c r="F78" s="554" t="s">
        <v>6225</v>
      </c>
      <c r="G78" s="610" t="s">
        <v>6079</v>
      </c>
      <c r="H78" s="610" t="s">
        <v>6080</v>
      </c>
      <c r="I78" s="610">
        <v>1140</v>
      </c>
      <c r="J78" s="610">
        <v>0</v>
      </c>
      <c r="K78" s="610">
        <v>60</v>
      </c>
      <c r="L78" s="611">
        <f t="shared" si="4"/>
        <v>19</v>
      </c>
      <c r="M78" s="612">
        <v>45796</v>
      </c>
      <c r="N78" s="612">
        <v>45792</v>
      </c>
      <c r="O78" s="613"/>
      <c r="P78" s="613" t="s">
        <v>113</v>
      </c>
      <c r="Q78" s="610"/>
      <c r="R78" s="614">
        <v>45749</v>
      </c>
      <c r="S78" s="614" t="s">
        <v>70</v>
      </c>
      <c r="T78" s="614" t="s">
        <v>70</v>
      </c>
      <c r="U78" s="614"/>
      <c r="V78" s="614"/>
      <c r="W78" s="615"/>
      <c r="X78" s="609" t="s">
        <v>6226</v>
      </c>
      <c r="Y78" s="609" t="s">
        <v>80</v>
      </c>
      <c r="Z78" s="609">
        <v>63.7</v>
      </c>
      <c r="AA78" s="616">
        <f>Z78*L78</f>
        <v>1210.3</v>
      </c>
      <c r="AC78" s="629" t="s">
        <v>6227</v>
      </c>
      <c r="AD78" s="610" t="s">
        <v>6079</v>
      </c>
      <c r="AE78" s="610" t="s">
        <v>82</v>
      </c>
      <c r="AF78" s="610"/>
      <c r="AG78" s="610" t="s">
        <v>74</v>
      </c>
      <c r="AH78" s="610"/>
      <c r="AI78" s="610">
        <v>1140</v>
      </c>
      <c r="AJ78" s="610">
        <f t="shared" si="3"/>
        <v>0</v>
      </c>
      <c r="AK78" s="610"/>
      <c r="AL78" s="610"/>
      <c r="AM78" s="610"/>
      <c r="AN78" s="610"/>
      <c r="AO78" s="554">
        <f>I78</f>
        <v>1140</v>
      </c>
      <c r="AR78" s="619"/>
      <c r="AS78" s="548"/>
      <c r="AT78" s="554">
        <f>I78</f>
        <v>1140</v>
      </c>
      <c r="AV78" s="554">
        <f>I78</f>
        <v>1140</v>
      </c>
      <c r="AW78" s="619"/>
      <c r="AX78" s="548"/>
      <c r="AY78" s="548"/>
      <c r="AZ78" s="548"/>
      <c r="BA78" s="548"/>
      <c r="BB78" s="620">
        <f>I78/24</f>
        <v>47.5</v>
      </c>
      <c r="BY78" s="619"/>
      <c r="BZ78" s="548"/>
      <c r="CA78" s="621"/>
      <c r="CB78" s="567"/>
      <c r="CC78" s="622"/>
      <c r="CD78" s="619"/>
      <c r="CE78" s="619"/>
      <c r="CF78" s="548"/>
      <c r="CG78" s="548"/>
      <c r="CM78" s="554">
        <f>I78/60</f>
        <v>19</v>
      </c>
      <c r="CU78" s="554">
        <f t="shared" si="14"/>
        <v>0</v>
      </c>
      <c r="CV78" s="554">
        <f t="shared" si="15"/>
        <v>19</v>
      </c>
      <c r="CW78" s="554">
        <f t="shared" si="16"/>
        <v>0</v>
      </c>
      <c r="CX78" s="619"/>
      <c r="CY78" s="619"/>
      <c r="CZ78" s="619"/>
      <c r="DA78" s="548"/>
      <c r="DB78" s="548"/>
      <c r="DC78" s="548"/>
      <c r="DD78" s="619"/>
      <c r="DE78" s="619"/>
      <c r="DF78" s="619"/>
      <c r="DG78" s="619"/>
      <c r="DH78" s="619"/>
    </row>
    <row r="79" s="548" customFormat="1" ht="31" customHeight="1" spans="1:112">
      <c r="A79" s="608">
        <v>45747</v>
      </c>
      <c r="B79" s="609" t="s">
        <v>75</v>
      </c>
      <c r="C79" s="610" t="s">
        <v>76</v>
      </c>
      <c r="D79" s="554">
        <v>4500162028</v>
      </c>
      <c r="E79" s="610">
        <v>29036565</v>
      </c>
      <c r="F79" s="554" t="s">
        <v>6228</v>
      </c>
      <c r="G79" s="610" t="s">
        <v>6079</v>
      </c>
      <c r="H79" s="610" t="s">
        <v>6080</v>
      </c>
      <c r="I79" s="610">
        <v>360</v>
      </c>
      <c r="J79" s="610">
        <v>0</v>
      </c>
      <c r="K79" s="610">
        <v>60</v>
      </c>
      <c r="L79" s="611">
        <f t="shared" si="4"/>
        <v>6</v>
      </c>
      <c r="M79" s="612">
        <v>45796</v>
      </c>
      <c r="N79" s="612">
        <v>45792</v>
      </c>
      <c r="O79" s="613"/>
      <c r="P79" s="613" t="s">
        <v>113</v>
      </c>
      <c r="Q79" s="610"/>
      <c r="R79" s="614">
        <v>45749</v>
      </c>
      <c r="S79" s="614" t="s">
        <v>70</v>
      </c>
      <c r="T79" s="614" t="s">
        <v>70</v>
      </c>
      <c r="U79" s="614"/>
      <c r="V79" s="614"/>
      <c r="W79" s="615"/>
      <c r="X79" s="609" t="s">
        <v>6226</v>
      </c>
      <c r="Y79" s="609" t="s">
        <v>80</v>
      </c>
      <c r="Z79" s="609">
        <v>63.7</v>
      </c>
      <c r="AA79" s="616">
        <f>Z79*L79</f>
        <v>382.2</v>
      </c>
      <c r="AC79" s="629" t="s">
        <v>6229</v>
      </c>
      <c r="AD79" s="610" t="s">
        <v>6079</v>
      </c>
      <c r="AE79" s="610" t="s">
        <v>82</v>
      </c>
      <c r="AF79" s="610"/>
      <c r="AG79" s="610" t="s">
        <v>74</v>
      </c>
      <c r="AH79" s="610"/>
      <c r="AI79" s="610">
        <v>360</v>
      </c>
      <c r="AJ79" s="610">
        <f t="shared" si="3"/>
        <v>0</v>
      </c>
      <c r="AK79" s="610"/>
      <c r="AL79" s="610"/>
      <c r="AM79" s="610"/>
      <c r="AN79" s="610"/>
      <c r="AO79" s="554">
        <f>I79</f>
        <v>360</v>
      </c>
      <c r="AR79" s="619"/>
      <c r="AS79" s="548"/>
      <c r="AT79" s="554">
        <f>I79</f>
        <v>360</v>
      </c>
      <c r="AV79" s="554">
        <f>I79</f>
        <v>360</v>
      </c>
      <c r="AW79" s="619"/>
      <c r="AX79" s="548"/>
      <c r="AY79" s="548"/>
      <c r="AZ79" s="548"/>
      <c r="BA79" s="548"/>
      <c r="BB79" s="620">
        <f>I79/24</f>
        <v>15</v>
      </c>
      <c r="BY79" s="619"/>
      <c r="BZ79" s="548"/>
      <c r="CA79" s="621"/>
      <c r="CB79" s="567"/>
      <c r="CC79" s="622"/>
      <c r="CD79" s="619"/>
      <c r="CE79" s="619"/>
      <c r="CF79" s="548"/>
      <c r="CG79" s="548"/>
      <c r="CM79" s="554">
        <f>I79/60</f>
        <v>6</v>
      </c>
      <c r="CU79" s="554">
        <f t="shared" si="14"/>
        <v>0</v>
      </c>
      <c r="CV79" s="554">
        <f t="shared" si="15"/>
        <v>6</v>
      </c>
      <c r="CW79" s="554">
        <f t="shared" si="16"/>
        <v>0</v>
      </c>
      <c r="CX79" s="619"/>
      <c r="CY79" s="619"/>
      <c r="CZ79" s="619"/>
      <c r="DA79" s="548"/>
      <c r="DB79" s="548"/>
      <c r="DC79" s="548"/>
      <c r="DD79" s="619"/>
      <c r="DE79" s="619"/>
      <c r="DF79" s="619"/>
      <c r="DG79" s="619"/>
      <c r="DH79" s="619"/>
    </row>
    <row r="80" s="548" customFormat="1" ht="31" customHeight="1" spans="1:112">
      <c r="A80" s="608">
        <v>45758</v>
      </c>
      <c r="B80" s="609" t="s">
        <v>6230</v>
      </c>
      <c r="C80" s="610" t="s">
        <v>98</v>
      </c>
      <c r="D80" s="554">
        <v>4500163327</v>
      </c>
      <c r="E80" s="610" t="s">
        <v>6231</v>
      </c>
      <c r="F80" s="554" t="s">
        <v>6232</v>
      </c>
      <c r="G80" s="610" t="s">
        <v>6020</v>
      </c>
      <c r="H80" s="610" t="s">
        <v>6021</v>
      </c>
      <c r="I80" s="610">
        <v>1512</v>
      </c>
      <c r="J80" s="610">
        <v>0</v>
      </c>
      <c r="K80" s="610">
        <v>24</v>
      </c>
      <c r="L80" s="611">
        <f t="shared" si="4"/>
        <v>63</v>
      </c>
      <c r="M80" s="612">
        <v>45796</v>
      </c>
      <c r="N80" s="612">
        <v>45792</v>
      </c>
      <c r="O80" s="613"/>
      <c r="P80" s="613" t="s">
        <v>113</v>
      </c>
      <c r="Q80" s="610"/>
      <c r="R80" s="614">
        <v>45769</v>
      </c>
      <c r="S80" s="614" t="s">
        <v>104</v>
      </c>
      <c r="T80" s="614">
        <v>45769</v>
      </c>
      <c r="U80" s="614"/>
      <c r="V80" s="614"/>
      <c r="W80" s="615"/>
      <c r="X80" s="609" t="s">
        <v>6233</v>
      </c>
      <c r="Y80" s="609" t="s">
        <v>3163</v>
      </c>
      <c r="Z80" s="609">
        <v>1</v>
      </c>
      <c r="AA80" s="616">
        <f t="shared" ref="AA80:AA110" si="17">Z80*I80</f>
        <v>1512</v>
      </c>
      <c r="AC80" s="617"/>
      <c r="AD80" s="610" t="s">
        <v>6052</v>
      </c>
      <c r="AE80" s="610" t="s">
        <v>82</v>
      </c>
      <c r="AF80" s="610"/>
      <c r="AG80" s="610" t="s">
        <v>74</v>
      </c>
      <c r="AH80" s="610"/>
      <c r="AI80" s="610">
        <v>1512</v>
      </c>
      <c r="AJ80" s="610">
        <f t="shared" si="3"/>
        <v>0</v>
      </c>
      <c r="AK80" s="610"/>
      <c r="AL80" s="610"/>
      <c r="AM80" s="610"/>
      <c r="AN80" s="610">
        <f t="shared" ref="AN80:AN85" si="18">I80</f>
        <v>1512</v>
      </c>
      <c r="AP80" s="554">
        <f>I80</f>
        <v>1512</v>
      </c>
      <c r="AR80" s="619"/>
      <c r="AS80" s="548"/>
      <c r="AT80" s="548"/>
      <c r="AU80" s="554">
        <f t="shared" ref="AU80:AU85" si="19">I80</f>
        <v>1512</v>
      </c>
      <c r="AW80" s="619"/>
      <c r="AX80" s="548"/>
      <c r="AY80" s="548"/>
      <c r="AZ80" s="548"/>
      <c r="BA80" s="548"/>
      <c r="BB80" s="620">
        <f>I80/48</f>
        <v>31.5</v>
      </c>
      <c r="BY80" s="619"/>
      <c r="BZ80" s="548"/>
      <c r="CA80" s="621"/>
      <c r="CB80" s="567"/>
      <c r="CC80" s="622"/>
      <c r="CD80" s="619"/>
      <c r="CE80" s="619"/>
      <c r="CF80" s="548"/>
      <c r="CG80" s="548"/>
      <c r="CU80" s="554">
        <f t="shared" si="14"/>
        <v>0</v>
      </c>
      <c r="CV80" s="554">
        <f t="shared" si="15"/>
        <v>0</v>
      </c>
      <c r="CW80" s="554">
        <f t="shared" si="16"/>
        <v>0</v>
      </c>
      <c r="CX80" s="619"/>
      <c r="CY80" s="619"/>
      <c r="CZ80" s="619"/>
      <c r="DA80" s="548"/>
      <c r="DB80" s="548"/>
      <c r="DC80" s="548"/>
      <c r="DD80" s="619"/>
      <c r="DE80" s="619"/>
      <c r="DF80" s="619"/>
      <c r="DG80" s="619"/>
      <c r="DH80" s="619"/>
    </row>
    <row r="81" s="548" customFormat="1" ht="31" customHeight="1" spans="1:112">
      <c r="A81" s="608">
        <v>45758</v>
      </c>
      <c r="B81" s="609" t="s">
        <v>266</v>
      </c>
      <c r="C81" s="610" t="s">
        <v>170</v>
      </c>
      <c r="D81" s="554">
        <v>4500163438</v>
      </c>
      <c r="E81" s="610">
        <v>3501527805</v>
      </c>
      <c r="F81" s="554" t="s">
        <v>6234</v>
      </c>
      <c r="G81" s="610" t="s">
        <v>6084</v>
      </c>
      <c r="H81" s="610" t="s">
        <v>6069</v>
      </c>
      <c r="I81" s="610">
        <v>2200</v>
      </c>
      <c r="J81" s="610">
        <v>0</v>
      </c>
      <c r="K81" s="610">
        <v>25</v>
      </c>
      <c r="L81" s="611">
        <f t="shared" si="4"/>
        <v>88</v>
      </c>
      <c r="M81" s="612">
        <v>45796</v>
      </c>
      <c r="N81" s="612">
        <v>45792</v>
      </c>
      <c r="O81" s="613" t="s">
        <v>268</v>
      </c>
      <c r="P81" s="613" t="s">
        <v>113</v>
      </c>
      <c r="Q81" s="610"/>
      <c r="R81" s="614">
        <v>45764</v>
      </c>
      <c r="S81" s="614" t="s">
        <v>70</v>
      </c>
      <c r="T81" s="614">
        <v>45764</v>
      </c>
      <c r="U81" s="614"/>
      <c r="V81" s="614"/>
      <c r="W81" s="615"/>
      <c r="X81" s="609" t="s">
        <v>6235</v>
      </c>
      <c r="Y81" s="609" t="s">
        <v>270</v>
      </c>
      <c r="Z81" s="609">
        <v>0.95</v>
      </c>
      <c r="AA81" s="616">
        <f t="shared" si="17"/>
        <v>2090</v>
      </c>
      <c r="AC81" s="629" t="s">
        <v>271</v>
      </c>
      <c r="AD81" s="618" t="s">
        <v>6089</v>
      </c>
      <c r="AE81" s="610" t="s">
        <v>82</v>
      </c>
      <c r="AF81" s="610"/>
      <c r="AG81" s="610" t="s">
        <v>74</v>
      </c>
      <c r="AH81" s="610"/>
      <c r="AI81" s="610">
        <v>2200</v>
      </c>
      <c r="AJ81" s="610">
        <f t="shared" si="3"/>
        <v>0</v>
      </c>
      <c r="AK81" s="610"/>
      <c r="AL81" s="610"/>
      <c r="AM81" s="610"/>
      <c r="AN81" s="610">
        <f t="shared" si="18"/>
        <v>2200</v>
      </c>
      <c r="AR81" s="619"/>
      <c r="AS81" s="554">
        <f>I81</f>
        <v>2200</v>
      </c>
      <c r="AU81" s="554">
        <f t="shared" si="19"/>
        <v>2200</v>
      </c>
      <c r="AW81" s="619"/>
      <c r="AX81" s="548"/>
      <c r="AY81" s="548"/>
      <c r="AZ81" s="548"/>
      <c r="BA81" s="548"/>
      <c r="BB81" s="620">
        <f>I81/24</f>
        <v>91.6666666666667</v>
      </c>
      <c r="BO81" s="554">
        <f>I81/25</f>
        <v>88</v>
      </c>
      <c r="BY81" s="619"/>
      <c r="BZ81" s="548"/>
      <c r="CA81" s="621"/>
      <c r="CB81" s="567"/>
      <c r="CC81" s="622"/>
      <c r="CD81" s="619"/>
      <c r="CE81" s="619"/>
      <c r="CF81" s="548"/>
      <c r="CG81" s="548"/>
      <c r="CU81" s="554">
        <f t="shared" ref="CU81:CU92" si="20">BQ81+BP81+BO81+BN81+BX81+BR81</f>
        <v>88</v>
      </c>
      <c r="CV81" s="554">
        <f t="shared" si="15"/>
        <v>0</v>
      </c>
      <c r="CW81" s="554">
        <f t="shared" si="16"/>
        <v>0</v>
      </c>
      <c r="CX81" s="619"/>
      <c r="CY81" s="619"/>
      <c r="CZ81" s="619"/>
      <c r="DA81" s="548"/>
      <c r="DB81" s="548"/>
      <c r="DC81" s="548"/>
      <c r="DD81" s="619"/>
      <c r="DE81" s="619"/>
      <c r="DF81" s="619"/>
      <c r="DG81" s="619"/>
      <c r="DH81" s="619"/>
    </row>
    <row r="82" s="548" customFormat="1" ht="31" customHeight="1" spans="1:112">
      <c r="A82" s="608">
        <v>45726</v>
      </c>
      <c r="B82" s="609" t="s">
        <v>97</v>
      </c>
      <c r="C82" s="610" t="s">
        <v>98</v>
      </c>
      <c r="D82" s="554">
        <v>4500159675</v>
      </c>
      <c r="E82" s="610" t="s">
        <v>6236</v>
      </c>
      <c r="F82" s="554" t="s">
        <v>6237</v>
      </c>
      <c r="G82" s="610" t="s">
        <v>6063</v>
      </c>
      <c r="H82" s="610" t="s">
        <v>6064</v>
      </c>
      <c r="I82" s="610">
        <v>22656</v>
      </c>
      <c r="J82" s="610">
        <v>0</v>
      </c>
      <c r="K82" s="610">
        <v>16</v>
      </c>
      <c r="L82" s="611">
        <f t="shared" si="4"/>
        <v>1416</v>
      </c>
      <c r="M82" s="612">
        <v>45797</v>
      </c>
      <c r="N82" s="612">
        <v>45793</v>
      </c>
      <c r="O82" s="613" t="s">
        <v>274</v>
      </c>
      <c r="P82" s="613" t="s">
        <v>113</v>
      </c>
      <c r="Q82" s="610"/>
      <c r="R82" s="614">
        <v>45727</v>
      </c>
      <c r="S82" s="614" t="s">
        <v>104</v>
      </c>
      <c r="T82" s="614" t="s">
        <v>6170</v>
      </c>
      <c r="U82" s="614"/>
      <c r="V82" s="614"/>
      <c r="W82" s="615"/>
      <c r="X82" s="609" t="s">
        <v>6171</v>
      </c>
      <c r="Y82" s="609" t="s">
        <v>106</v>
      </c>
      <c r="Z82" s="609">
        <v>1.68</v>
      </c>
      <c r="AA82" s="616">
        <f t="shared" si="17"/>
        <v>38062.08</v>
      </c>
      <c r="AC82" s="617"/>
      <c r="AD82" s="610" t="s">
        <v>6063</v>
      </c>
      <c r="AE82" s="610" t="s">
        <v>82</v>
      </c>
      <c r="AF82" s="610"/>
      <c r="AG82" s="610" t="s">
        <v>74</v>
      </c>
      <c r="AH82" s="610"/>
      <c r="AI82" s="610">
        <v>22656</v>
      </c>
      <c r="AJ82" s="610">
        <f t="shared" si="3"/>
        <v>0</v>
      </c>
      <c r="AK82" s="610"/>
      <c r="AL82" s="610"/>
      <c r="AM82" s="610"/>
      <c r="AN82" s="610">
        <f t="shared" si="18"/>
        <v>22656</v>
      </c>
      <c r="AP82" s="554">
        <f>I82</f>
        <v>22656</v>
      </c>
      <c r="AR82" s="619"/>
      <c r="AS82" s="548"/>
      <c r="AT82" s="548"/>
      <c r="AU82" s="554">
        <f t="shared" si="19"/>
        <v>22656</v>
      </c>
      <c r="AW82" s="619"/>
      <c r="AX82" s="548"/>
      <c r="AY82" s="548"/>
      <c r="AZ82" s="548"/>
      <c r="BA82" s="548"/>
      <c r="BB82" s="620">
        <f>I82/48</f>
        <v>472</v>
      </c>
      <c r="BQ82" s="554">
        <f>I82/16</f>
        <v>1416</v>
      </c>
      <c r="BY82" s="619"/>
      <c r="BZ82" s="548"/>
      <c r="CA82" s="621"/>
      <c r="CB82" s="567"/>
      <c r="CC82" s="622"/>
      <c r="CD82" s="619"/>
      <c r="CE82" s="619"/>
      <c r="CF82" s="548"/>
      <c r="CG82" s="548"/>
      <c r="CU82" s="554">
        <f t="shared" si="20"/>
        <v>1416</v>
      </c>
      <c r="CV82" s="554">
        <f t="shared" si="15"/>
        <v>0</v>
      </c>
      <c r="CW82" s="554">
        <f t="shared" si="16"/>
        <v>0</v>
      </c>
      <c r="CX82" s="619"/>
      <c r="CY82" s="619"/>
      <c r="CZ82" s="619"/>
      <c r="DA82" s="548"/>
      <c r="DB82" s="548"/>
      <c r="DC82" s="548"/>
      <c r="DD82" s="619"/>
      <c r="DE82" s="619"/>
      <c r="DF82" s="619"/>
      <c r="DG82" s="619"/>
      <c r="DH82" s="619"/>
    </row>
    <row r="83" s="548" customFormat="1" ht="31" customHeight="1" spans="1:112">
      <c r="A83" s="608">
        <v>45726</v>
      </c>
      <c r="B83" s="609" t="s">
        <v>97</v>
      </c>
      <c r="C83" s="610" t="s">
        <v>98</v>
      </c>
      <c r="D83" s="554">
        <v>4500159675</v>
      </c>
      <c r="E83" s="610" t="s">
        <v>6238</v>
      </c>
      <c r="F83" s="554" t="s">
        <v>6239</v>
      </c>
      <c r="G83" s="610" t="s">
        <v>6063</v>
      </c>
      <c r="H83" s="610" t="s">
        <v>6064</v>
      </c>
      <c r="I83" s="610">
        <v>19552</v>
      </c>
      <c r="J83" s="610">
        <v>0</v>
      </c>
      <c r="K83" s="610">
        <v>16</v>
      </c>
      <c r="L83" s="611">
        <f t="shared" si="4"/>
        <v>1222</v>
      </c>
      <c r="M83" s="612">
        <v>45797</v>
      </c>
      <c r="N83" s="612">
        <v>45793</v>
      </c>
      <c r="O83" s="613" t="s">
        <v>274</v>
      </c>
      <c r="P83" s="613" t="s">
        <v>113</v>
      </c>
      <c r="Q83" s="610"/>
      <c r="R83" s="614">
        <v>45727</v>
      </c>
      <c r="S83" s="614" t="s">
        <v>104</v>
      </c>
      <c r="T83" s="614" t="s">
        <v>6170</v>
      </c>
      <c r="U83" s="614"/>
      <c r="V83" s="614"/>
      <c r="W83" s="615"/>
      <c r="X83" s="609" t="s">
        <v>6171</v>
      </c>
      <c r="Y83" s="609" t="s">
        <v>106</v>
      </c>
      <c r="Z83" s="609">
        <v>1.68</v>
      </c>
      <c r="AA83" s="616">
        <f t="shared" si="17"/>
        <v>32847.36</v>
      </c>
      <c r="AC83" s="617"/>
      <c r="AD83" s="610" t="s">
        <v>6063</v>
      </c>
      <c r="AE83" s="610" t="s">
        <v>82</v>
      </c>
      <c r="AF83" s="610"/>
      <c r="AG83" s="610" t="s">
        <v>74</v>
      </c>
      <c r="AH83" s="610"/>
      <c r="AI83" s="610">
        <v>19552</v>
      </c>
      <c r="AJ83" s="610">
        <f t="shared" si="3"/>
        <v>0</v>
      </c>
      <c r="AK83" s="610"/>
      <c r="AL83" s="610"/>
      <c r="AM83" s="610"/>
      <c r="AN83" s="610">
        <f t="shared" si="18"/>
        <v>19552</v>
      </c>
      <c r="AP83" s="554">
        <f>I83</f>
        <v>19552</v>
      </c>
      <c r="AR83" s="619"/>
      <c r="AS83" s="548"/>
      <c r="AT83" s="548"/>
      <c r="AU83" s="554">
        <f t="shared" si="19"/>
        <v>19552</v>
      </c>
      <c r="AW83" s="619"/>
      <c r="AX83" s="548"/>
      <c r="AY83" s="548"/>
      <c r="AZ83" s="548"/>
      <c r="BA83" s="548"/>
      <c r="BB83" s="620">
        <f>I83/48</f>
        <v>407.333333333333</v>
      </c>
      <c r="BQ83" s="554">
        <f>I83/16</f>
        <v>1222</v>
      </c>
      <c r="BY83" s="619"/>
      <c r="BZ83" s="548"/>
      <c r="CA83" s="621"/>
      <c r="CB83" s="567"/>
      <c r="CC83" s="622"/>
      <c r="CD83" s="619"/>
      <c r="CE83" s="619"/>
      <c r="CF83" s="548"/>
      <c r="CG83" s="548"/>
      <c r="CU83" s="554">
        <f t="shared" si="20"/>
        <v>1222</v>
      </c>
      <c r="CV83" s="554">
        <f t="shared" si="15"/>
        <v>0</v>
      </c>
      <c r="CW83" s="554">
        <f t="shared" si="16"/>
        <v>0</v>
      </c>
      <c r="CX83" s="619"/>
      <c r="CY83" s="619"/>
      <c r="CZ83" s="619"/>
      <c r="DA83" s="548"/>
      <c r="DB83" s="548"/>
      <c r="DC83" s="548"/>
      <c r="DD83" s="619"/>
      <c r="DE83" s="619"/>
      <c r="DF83" s="619"/>
      <c r="DG83" s="619"/>
      <c r="DH83" s="619"/>
    </row>
    <row r="84" s="548" customFormat="1" ht="31" customHeight="1" spans="1:112">
      <c r="A84" s="608">
        <v>45748</v>
      </c>
      <c r="B84" s="609" t="s">
        <v>143</v>
      </c>
      <c r="C84" s="610" t="s">
        <v>98</v>
      </c>
      <c r="D84" s="554">
        <v>4500162168</v>
      </c>
      <c r="E84" s="610" t="s">
        <v>6240</v>
      </c>
      <c r="F84" s="554" t="s">
        <v>6241</v>
      </c>
      <c r="G84" s="610" t="s">
        <v>6063</v>
      </c>
      <c r="H84" s="610" t="s">
        <v>6064</v>
      </c>
      <c r="I84" s="610">
        <v>3168</v>
      </c>
      <c r="J84" s="610">
        <v>0</v>
      </c>
      <c r="K84" s="610">
        <v>16</v>
      </c>
      <c r="L84" s="611">
        <f t="shared" si="4"/>
        <v>198</v>
      </c>
      <c r="M84" s="612">
        <v>45797</v>
      </c>
      <c r="N84" s="612">
        <v>45793</v>
      </c>
      <c r="O84" s="613" t="s">
        <v>274</v>
      </c>
      <c r="P84" s="613" t="s">
        <v>113</v>
      </c>
      <c r="Q84" s="610"/>
      <c r="R84" s="614" t="s">
        <v>147</v>
      </c>
      <c r="S84" s="614" t="s">
        <v>70</v>
      </c>
      <c r="T84" s="614" t="s">
        <v>6142</v>
      </c>
      <c r="U84" s="614"/>
      <c r="V84" s="614" t="s">
        <v>148</v>
      </c>
      <c r="W84" s="615"/>
      <c r="X84" s="609" t="s">
        <v>6143</v>
      </c>
      <c r="Y84" s="609" t="s">
        <v>106</v>
      </c>
      <c r="Z84" s="609">
        <v>1.68</v>
      </c>
      <c r="AA84" s="616">
        <f t="shared" si="17"/>
        <v>5322.24</v>
      </c>
      <c r="AC84" s="617"/>
      <c r="AD84" s="610" t="s">
        <v>6063</v>
      </c>
      <c r="AE84" s="610" t="s">
        <v>82</v>
      </c>
      <c r="AF84" s="610"/>
      <c r="AG84" s="610" t="s">
        <v>74</v>
      </c>
      <c r="AH84" s="610"/>
      <c r="AI84" s="610">
        <v>3168</v>
      </c>
      <c r="AJ84" s="610">
        <f t="shared" si="3"/>
        <v>0</v>
      </c>
      <c r="AK84" s="610"/>
      <c r="AL84" s="610"/>
      <c r="AM84" s="610"/>
      <c r="AN84" s="610">
        <f t="shared" si="18"/>
        <v>3168</v>
      </c>
      <c r="AP84" s="554">
        <f>I84</f>
        <v>3168</v>
      </c>
      <c r="AR84" s="619"/>
      <c r="AS84" s="548"/>
      <c r="AT84" s="548"/>
      <c r="AU84" s="554">
        <f t="shared" si="19"/>
        <v>3168</v>
      </c>
      <c r="AW84" s="619"/>
      <c r="AX84" s="548"/>
      <c r="AY84" s="548"/>
      <c r="AZ84" s="548"/>
      <c r="BA84" s="548"/>
      <c r="BB84" s="620">
        <f>I84/48</f>
        <v>66</v>
      </c>
      <c r="BQ84" s="554">
        <f>I84/16</f>
        <v>198</v>
      </c>
      <c r="BY84" s="619"/>
      <c r="BZ84" s="548"/>
      <c r="CA84" s="621"/>
      <c r="CB84" s="567"/>
      <c r="CC84" s="622"/>
      <c r="CD84" s="619"/>
      <c r="CE84" s="619"/>
      <c r="CF84" s="548"/>
      <c r="CG84" s="548"/>
      <c r="CU84" s="554">
        <f t="shared" si="20"/>
        <v>198</v>
      </c>
      <c r="CV84" s="554">
        <f t="shared" si="15"/>
        <v>0</v>
      </c>
      <c r="CW84" s="554">
        <f t="shared" si="16"/>
        <v>0</v>
      </c>
      <c r="CX84" s="619"/>
      <c r="CY84" s="619"/>
      <c r="CZ84" s="619"/>
      <c r="DA84" s="548"/>
      <c r="DB84" s="548"/>
      <c r="DC84" s="548"/>
      <c r="DD84" s="619"/>
      <c r="DE84" s="619"/>
      <c r="DF84" s="619"/>
      <c r="DG84" s="619"/>
      <c r="DH84" s="619"/>
    </row>
    <row r="85" s="548" customFormat="1" ht="31" customHeight="1" spans="1:112">
      <c r="A85" s="608">
        <v>45748</v>
      </c>
      <c r="B85" s="609" t="s">
        <v>143</v>
      </c>
      <c r="C85" s="610" t="s">
        <v>98</v>
      </c>
      <c r="D85" s="554">
        <v>4500162168</v>
      </c>
      <c r="E85" s="610" t="s">
        <v>6242</v>
      </c>
      <c r="F85" s="554" t="s">
        <v>6243</v>
      </c>
      <c r="G85" s="610" t="s">
        <v>6063</v>
      </c>
      <c r="H85" s="610" t="s">
        <v>6064</v>
      </c>
      <c r="I85" s="610">
        <v>3760</v>
      </c>
      <c r="J85" s="610">
        <v>0</v>
      </c>
      <c r="K85" s="610">
        <v>16</v>
      </c>
      <c r="L85" s="611">
        <f t="shared" si="4"/>
        <v>235</v>
      </c>
      <c r="M85" s="612">
        <v>45797</v>
      </c>
      <c r="N85" s="612">
        <v>45793</v>
      </c>
      <c r="O85" s="613" t="s">
        <v>274</v>
      </c>
      <c r="P85" s="613" t="s">
        <v>113</v>
      </c>
      <c r="Q85" s="610"/>
      <c r="R85" s="614" t="s">
        <v>147</v>
      </c>
      <c r="S85" s="614" t="s">
        <v>70</v>
      </c>
      <c r="T85" s="614" t="s">
        <v>6142</v>
      </c>
      <c r="U85" s="614"/>
      <c r="V85" s="614" t="s">
        <v>148</v>
      </c>
      <c r="W85" s="615"/>
      <c r="X85" s="609" t="s">
        <v>6143</v>
      </c>
      <c r="Y85" s="609" t="s">
        <v>106</v>
      </c>
      <c r="Z85" s="609">
        <v>1.68</v>
      </c>
      <c r="AA85" s="616">
        <f t="shared" si="17"/>
        <v>6316.8</v>
      </c>
      <c r="AC85" s="617"/>
      <c r="AD85" s="610" t="s">
        <v>6063</v>
      </c>
      <c r="AE85" s="610" t="s">
        <v>82</v>
      </c>
      <c r="AF85" s="610"/>
      <c r="AG85" s="610" t="s">
        <v>74</v>
      </c>
      <c r="AH85" s="610"/>
      <c r="AI85" s="610">
        <v>3760</v>
      </c>
      <c r="AJ85" s="610">
        <f t="shared" si="3"/>
        <v>0</v>
      </c>
      <c r="AK85" s="610"/>
      <c r="AL85" s="610"/>
      <c r="AM85" s="610"/>
      <c r="AN85" s="610">
        <f t="shared" si="18"/>
        <v>3760</v>
      </c>
      <c r="AP85" s="554">
        <f>I85</f>
        <v>3760</v>
      </c>
      <c r="AR85" s="619"/>
      <c r="AS85" s="548"/>
      <c r="AT85" s="548"/>
      <c r="AU85" s="554">
        <f t="shared" si="19"/>
        <v>3760</v>
      </c>
      <c r="AW85" s="619"/>
      <c r="AX85" s="548"/>
      <c r="AY85" s="548"/>
      <c r="AZ85" s="548"/>
      <c r="BA85" s="548"/>
      <c r="BB85" s="620">
        <f>I85/48</f>
        <v>78.3333333333333</v>
      </c>
      <c r="BQ85" s="554">
        <f>I85/16</f>
        <v>235</v>
      </c>
      <c r="BY85" s="619"/>
      <c r="BZ85" s="548"/>
      <c r="CA85" s="621"/>
      <c r="CB85" s="567"/>
      <c r="CC85" s="622"/>
      <c r="CD85" s="619"/>
      <c r="CE85" s="619"/>
      <c r="CF85" s="548"/>
      <c r="CG85" s="548"/>
      <c r="CU85" s="554">
        <f t="shared" si="20"/>
        <v>235</v>
      </c>
      <c r="CV85" s="554">
        <f t="shared" si="15"/>
        <v>0</v>
      </c>
      <c r="CW85" s="554">
        <f t="shared" si="16"/>
        <v>0</v>
      </c>
      <c r="CX85" s="619"/>
      <c r="CY85" s="619"/>
      <c r="CZ85" s="619"/>
      <c r="DA85" s="548"/>
      <c r="DB85" s="548"/>
      <c r="DC85" s="548"/>
      <c r="DD85" s="619"/>
      <c r="DE85" s="619"/>
      <c r="DF85" s="619"/>
      <c r="DG85" s="619"/>
      <c r="DH85" s="619"/>
    </row>
    <row r="86" s="548" customFormat="1" ht="31" customHeight="1" spans="1:112">
      <c r="A86" s="608">
        <v>45734</v>
      </c>
      <c r="B86" s="609" t="s">
        <v>1472</v>
      </c>
      <c r="C86" s="610" t="s">
        <v>524</v>
      </c>
      <c r="D86" s="554">
        <v>4500160573</v>
      </c>
      <c r="E86" s="610">
        <v>5251215522</v>
      </c>
      <c r="F86" s="554" t="s">
        <v>6244</v>
      </c>
      <c r="G86" s="610" t="s">
        <v>6043</v>
      </c>
      <c r="H86" s="610" t="s">
        <v>6110</v>
      </c>
      <c r="I86" s="610">
        <v>17000</v>
      </c>
      <c r="J86" s="610">
        <v>0</v>
      </c>
      <c r="K86" s="610">
        <v>50</v>
      </c>
      <c r="L86" s="611">
        <f t="shared" si="4"/>
        <v>340</v>
      </c>
      <c r="M86" s="612">
        <v>45798</v>
      </c>
      <c r="N86" s="612">
        <v>45794</v>
      </c>
      <c r="O86" s="613" t="s">
        <v>6245</v>
      </c>
      <c r="P86" s="613" t="s">
        <v>113</v>
      </c>
      <c r="Q86" s="610"/>
      <c r="R86" s="614">
        <v>45768</v>
      </c>
      <c r="S86" s="614" t="s">
        <v>70</v>
      </c>
      <c r="T86" s="614" t="s">
        <v>70</v>
      </c>
      <c r="U86" s="614"/>
      <c r="V86" s="614" t="s">
        <v>6246</v>
      </c>
      <c r="W86" s="615"/>
      <c r="X86" s="628" t="s">
        <v>6247</v>
      </c>
      <c r="Y86" s="609" t="s">
        <v>340</v>
      </c>
      <c r="Z86" s="609">
        <v>0.95</v>
      </c>
      <c r="AA86" s="616">
        <f t="shared" si="17"/>
        <v>16150</v>
      </c>
      <c r="AC86" s="629" t="s">
        <v>6248</v>
      </c>
      <c r="AD86" s="610" t="s">
        <v>6043</v>
      </c>
      <c r="AE86" s="610" t="s">
        <v>82</v>
      </c>
      <c r="AF86" s="610"/>
      <c r="AG86" s="610" t="s">
        <v>74</v>
      </c>
      <c r="AH86" s="610"/>
      <c r="AI86" s="610">
        <f>11100</f>
        <v>11100</v>
      </c>
      <c r="AJ86" s="610">
        <f t="shared" si="3"/>
        <v>-5900</v>
      </c>
      <c r="AK86" s="610"/>
      <c r="AL86" s="610"/>
      <c r="AM86" s="610"/>
      <c r="AN86" s="610"/>
      <c r="AO86" s="554">
        <f>I86</f>
        <v>17000</v>
      </c>
      <c r="AR86" s="619"/>
      <c r="AS86" s="548"/>
      <c r="AT86" s="554">
        <f>I86</f>
        <v>17000</v>
      </c>
      <c r="AV86" s="554">
        <f>I86</f>
        <v>17000</v>
      </c>
      <c r="AW86" s="619"/>
      <c r="AX86" s="548"/>
      <c r="AY86" s="548"/>
      <c r="AZ86" s="548"/>
      <c r="BA86" s="548"/>
      <c r="BB86" s="620">
        <f>I86/24</f>
        <v>708.333333333333</v>
      </c>
      <c r="BP86" s="554">
        <f>I86/25</f>
        <v>680</v>
      </c>
      <c r="BY86" s="619"/>
      <c r="BZ86" s="548"/>
      <c r="CA86" s="621"/>
      <c r="CB86" s="567"/>
      <c r="CC86" s="622"/>
      <c r="CD86" s="619"/>
      <c r="CE86" s="619"/>
      <c r="CF86" s="548"/>
      <c r="CG86" s="548"/>
      <c r="CU86" s="554">
        <f t="shared" si="20"/>
        <v>680</v>
      </c>
      <c r="CV86" s="554">
        <f t="shared" si="15"/>
        <v>0</v>
      </c>
      <c r="CW86" s="554">
        <f t="shared" si="16"/>
        <v>0</v>
      </c>
      <c r="CX86" s="619"/>
      <c r="CY86" s="619"/>
      <c r="CZ86" s="619"/>
      <c r="DA86" s="548"/>
      <c r="DB86" s="548"/>
      <c r="DC86" s="548"/>
      <c r="DD86" s="619"/>
      <c r="DE86" s="619"/>
      <c r="DF86" s="619"/>
      <c r="DG86" s="619"/>
      <c r="DH86" s="619"/>
    </row>
    <row r="87" s="548" customFormat="1" ht="31" customHeight="1" spans="1:112">
      <c r="A87" s="608">
        <v>45750</v>
      </c>
      <c r="B87" s="609" t="s">
        <v>301</v>
      </c>
      <c r="C87" s="610" t="s">
        <v>302</v>
      </c>
      <c r="D87" s="554">
        <v>4500162314</v>
      </c>
      <c r="E87" s="610">
        <v>5200006540</v>
      </c>
      <c r="F87" s="554" t="s">
        <v>6249</v>
      </c>
      <c r="G87" s="610" t="s">
        <v>6120</v>
      </c>
      <c r="H87" s="610" t="s">
        <v>6094</v>
      </c>
      <c r="I87" s="610">
        <v>4888</v>
      </c>
      <c r="J87" s="610">
        <v>0</v>
      </c>
      <c r="K87" s="610">
        <v>13</v>
      </c>
      <c r="L87" s="611">
        <f t="shared" si="4"/>
        <v>376</v>
      </c>
      <c r="M87" s="612">
        <v>45799</v>
      </c>
      <c r="N87" s="612">
        <v>45796</v>
      </c>
      <c r="O87" s="613"/>
      <c r="P87" s="613" t="s">
        <v>113</v>
      </c>
      <c r="Q87" s="610" t="s">
        <v>6250</v>
      </c>
      <c r="R87" s="614">
        <v>45750</v>
      </c>
      <c r="S87" s="614" t="s">
        <v>70</v>
      </c>
      <c r="T87" s="614" t="s">
        <v>496</v>
      </c>
      <c r="U87" s="614"/>
      <c r="V87" s="614"/>
      <c r="W87" s="615"/>
      <c r="X87" s="628" t="s">
        <v>6251</v>
      </c>
      <c r="Y87" s="609" t="s">
        <v>305</v>
      </c>
      <c r="Z87" s="609">
        <v>1.16</v>
      </c>
      <c r="AA87" s="616">
        <f t="shared" si="17"/>
        <v>5670.08</v>
      </c>
      <c r="AC87" s="629" t="s">
        <v>306</v>
      </c>
      <c r="AD87" s="610" t="s">
        <v>6093</v>
      </c>
      <c r="AE87" s="610" t="s">
        <v>82</v>
      </c>
      <c r="AF87" s="610"/>
      <c r="AG87" s="610" t="s">
        <v>74</v>
      </c>
      <c r="AH87" s="610"/>
      <c r="AI87" s="610">
        <v>4888</v>
      </c>
      <c r="AJ87" s="610">
        <f t="shared" si="3"/>
        <v>0</v>
      </c>
      <c r="AK87" s="610"/>
      <c r="AL87" s="610"/>
      <c r="AM87" s="610"/>
      <c r="AN87" s="610"/>
      <c r="AO87" s="554">
        <f>I87</f>
        <v>4888</v>
      </c>
      <c r="AR87" s="619"/>
      <c r="AS87" s="548"/>
      <c r="AT87" s="554">
        <f>I87</f>
        <v>4888</v>
      </c>
      <c r="AV87" s="554">
        <f>I87</f>
        <v>4888</v>
      </c>
      <c r="AW87" s="619"/>
      <c r="AX87" s="548"/>
      <c r="AY87" s="548"/>
      <c r="AZ87" s="548"/>
      <c r="BA87" s="548"/>
      <c r="BB87" s="620">
        <f>I87/24</f>
        <v>203.666666666667</v>
      </c>
      <c r="BM87" s="554">
        <f>I87/13</f>
        <v>376</v>
      </c>
      <c r="BY87" s="619"/>
      <c r="BZ87" s="548"/>
      <c r="CA87" s="621"/>
      <c r="CB87" s="567"/>
      <c r="CC87" s="622"/>
      <c r="CD87" s="619"/>
      <c r="CE87" s="619"/>
      <c r="CF87" s="548"/>
      <c r="CG87" s="548"/>
      <c r="CU87" s="554">
        <f t="shared" si="20"/>
        <v>0</v>
      </c>
      <c r="CV87" s="554">
        <f t="shared" si="15"/>
        <v>0</v>
      </c>
      <c r="CW87" s="554">
        <f t="shared" si="16"/>
        <v>0</v>
      </c>
      <c r="CX87" s="619"/>
      <c r="CY87" s="619"/>
      <c r="CZ87" s="619"/>
      <c r="DA87" s="548"/>
      <c r="DB87" s="548"/>
      <c r="DC87" s="548"/>
      <c r="DD87" s="619"/>
      <c r="DE87" s="619"/>
      <c r="DF87" s="619"/>
      <c r="DG87" s="619"/>
      <c r="DH87" s="619"/>
    </row>
    <row r="88" s="548" customFormat="1" ht="31" customHeight="1" spans="1:112">
      <c r="A88" s="608">
        <v>45727</v>
      </c>
      <c r="B88" s="609" t="s">
        <v>312</v>
      </c>
      <c r="C88" s="610" t="s">
        <v>278</v>
      </c>
      <c r="D88" s="554">
        <v>4500159575</v>
      </c>
      <c r="E88" s="610" t="s">
        <v>313</v>
      </c>
      <c r="F88" s="554" t="s">
        <v>6252</v>
      </c>
      <c r="G88" s="610" t="s">
        <v>6040</v>
      </c>
      <c r="H88" s="610" t="s">
        <v>6041</v>
      </c>
      <c r="I88" s="610">
        <v>5512</v>
      </c>
      <c r="J88" s="610">
        <v>0</v>
      </c>
      <c r="K88" s="610">
        <v>52</v>
      </c>
      <c r="L88" s="611">
        <f t="shared" si="4"/>
        <v>106</v>
      </c>
      <c r="M88" s="612">
        <v>45800</v>
      </c>
      <c r="N88" s="612">
        <f>M88-4</f>
        <v>45796</v>
      </c>
      <c r="O88" s="613" t="s">
        <v>6253</v>
      </c>
      <c r="P88" s="613" t="s">
        <v>113</v>
      </c>
      <c r="Q88" s="610"/>
      <c r="R88" s="614">
        <v>45727</v>
      </c>
      <c r="S88" s="614" t="s">
        <v>70</v>
      </c>
      <c r="T88" s="614">
        <v>45776</v>
      </c>
      <c r="U88" s="614"/>
      <c r="V88" s="614"/>
      <c r="W88" s="615"/>
      <c r="X88" s="628" t="s">
        <v>6254</v>
      </c>
      <c r="Y88" s="609" t="s">
        <v>317</v>
      </c>
      <c r="Z88" s="609">
        <v>0.92</v>
      </c>
      <c r="AA88" s="616">
        <f t="shared" si="17"/>
        <v>5071.04</v>
      </c>
      <c r="AC88" s="629" t="s">
        <v>318</v>
      </c>
      <c r="AD88" s="631" t="s">
        <v>6255</v>
      </c>
      <c r="AE88" s="610" t="s">
        <v>82</v>
      </c>
      <c r="AF88" s="610"/>
      <c r="AG88" s="610" t="s">
        <v>74</v>
      </c>
      <c r="AH88" s="610"/>
      <c r="AI88" s="610">
        <f>5460+52</f>
        <v>5512</v>
      </c>
      <c r="AJ88" s="610">
        <f t="shared" si="3"/>
        <v>0</v>
      </c>
      <c r="AK88" s="610"/>
      <c r="AL88" s="610"/>
      <c r="AM88" s="610"/>
      <c r="AN88" s="610"/>
      <c r="AO88" s="554">
        <f>I88</f>
        <v>5512</v>
      </c>
      <c r="AP88" s="554">
        <f>I88</f>
        <v>5512</v>
      </c>
      <c r="AR88" s="619"/>
      <c r="AS88" s="548"/>
      <c r="AT88" s="548"/>
      <c r="AU88" s="548"/>
      <c r="AV88" s="554">
        <f>I88</f>
        <v>5512</v>
      </c>
      <c r="AW88" s="619"/>
      <c r="AX88" s="548"/>
      <c r="AY88" s="548"/>
      <c r="AZ88" s="548"/>
      <c r="BA88" s="548"/>
      <c r="BB88" s="620">
        <f>I88/24</f>
        <v>229.666666666667</v>
      </c>
      <c r="BM88" s="554">
        <f>I88/13</f>
        <v>424</v>
      </c>
      <c r="BY88" s="619"/>
      <c r="BZ88" s="548"/>
      <c r="CA88" s="621"/>
      <c r="CB88" s="567"/>
      <c r="CC88" s="622"/>
      <c r="CD88" s="619"/>
      <c r="CE88" s="619"/>
      <c r="CF88" s="548"/>
      <c r="CG88" s="548"/>
      <c r="CU88" s="554">
        <f t="shared" si="20"/>
        <v>0</v>
      </c>
      <c r="CV88" s="554">
        <f t="shared" si="15"/>
        <v>0</v>
      </c>
      <c r="CW88" s="554">
        <f t="shared" si="16"/>
        <v>0</v>
      </c>
      <c r="CX88" s="619"/>
      <c r="CY88" s="619"/>
      <c r="CZ88" s="619"/>
      <c r="DA88" s="548"/>
      <c r="DB88" s="548"/>
      <c r="DC88" s="548"/>
      <c r="DD88" s="619"/>
      <c r="DE88" s="619"/>
      <c r="DF88" s="619"/>
      <c r="DG88" s="619"/>
      <c r="DH88" s="619"/>
    </row>
    <row r="89" s="548" customFormat="1" ht="31" customHeight="1" spans="1:112">
      <c r="A89" s="608">
        <v>45741</v>
      </c>
      <c r="B89" s="609" t="s">
        <v>205</v>
      </c>
      <c r="C89" s="610" t="s">
        <v>98</v>
      </c>
      <c r="D89" s="554">
        <v>4500161407</v>
      </c>
      <c r="E89" s="610">
        <v>216951853</v>
      </c>
      <c r="F89" s="554" t="s">
        <v>6256</v>
      </c>
      <c r="G89" s="610" t="s">
        <v>6166</v>
      </c>
      <c r="H89" s="610" t="s">
        <v>6094</v>
      </c>
      <c r="I89" s="610">
        <v>5200</v>
      </c>
      <c r="J89" s="610">
        <v>0</v>
      </c>
      <c r="K89" s="610">
        <v>13</v>
      </c>
      <c r="L89" s="611">
        <f t="shared" si="4"/>
        <v>400</v>
      </c>
      <c r="M89" s="612">
        <v>45790</v>
      </c>
      <c r="N89" s="612">
        <v>45797</v>
      </c>
      <c r="O89" s="613"/>
      <c r="P89" s="613" t="s">
        <v>113</v>
      </c>
      <c r="Q89" s="610"/>
      <c r="R89" s="614">
        <v>45771</v>
      </c>
      <c r="S89" s="614" t="s">
        <v>70</v>
      </c>
      <c r="T89" s="614" t="s">
        <v>70</v>
      </c>
      <c r="U89" s="614"/>
      <c r="V89" s="614"/>
      <c r="W89" s="615"/>
      <c r="X89" s="609" t="s">
        <v>208</v>
      </c>
      <c r="Y89" s="609" t="s">
        <v>209</v>
      </c>
      <c r="Z89" s="609">
        <v>0.92</v>
      </c>
      <c r="AA89" s="616">
        <f t="shared" si="17"/>
        <v>4784</v>
      </c>
      <c r="AC89" s="617"/>
      <c r="AD89" s="610" t="s">
        <v>6257</v>
      </c>
      <c r="AE89" s="610" t="s">
        <v>82</v>
      </c>
      <c r="AF89" s="610"/>
      <c r="AG89" s="610" t="s">
        <v>74</v>
      </c>
      <c r="AH89" s="610"/>
      <c r="AI89" s="610">
        <v>5200</v>
      </c>
      <c r="AJ89" s="610">
        <f t="shared" si="3"/>
        <v>0</v>
      </c>
      <c r="AK89" s="610"/>
      <c r="AL89" s="610"/>
      <c r="AM89" s="610"/>
      <c r="AN89" s="610">
        <f>I89</f>
        <v>5200</v>
      </c>
      <c r="AP89" s="554">
        <f>I89</f>
        <v>5200</v>
      </c>
      <c r="AR89" s="619"/>
      <c r="AS89" s="548"/>
      <c r="AT89" s="548"/>
      <c r="AU89" s="554">
        <f>I89</f>
        <v>5200</v>
      </c>
      <c r="AW89" s="619"/>
      <c r="AX89" s="548"/>
      <c r="AY89" s="548"/>
      <c r="AZ89" s="548"/>
      <c r="BA89" s="548"/>
      <c r="BB89" s="620">
        <f>I89/48</f>
        <v>108.333333333333</v>
      </c>
      <c r="BK89" s="554">
        <f>I89/13</f>
        <v>400</v>
      </c>
      <c r="BY89" s="619"/>
      <c r="BZ89" s="548"/>
      <c r="CA89" s="621"/>
      <c r="CB89" s="567"/>
      <c r="CC89" s="622"/>
      <c r="CD89" s="619"/>
      <c r="CE89" s="619"/>
      <c r="CF89" s="548"/>
      <c r="CG89" s="548"/>
      <c r="CU89" s="554">
        <f t="shared" si="20"/>
        <v>0</v>
      </c>
      <c r="CV89" s="554">
        <f t="shared" si="15"/>
        <v>0</v>
      </c>
      <c r="CW89" s="554">
        <f t="shared" si="16"/>
        <v>0</v>
      </c>
      <c r="CX89" s="619"/>
      <c r="CY89" s="619"/>
      <c r="CZ89" s="619"/>
      <c r="DA89" s="548"/>
      <c r="DB89" s="548"/>
      <c r="DC89" s="548"/>
      <c r="DD89" s="619"/>
      <c r="DE89" s="619"/>
      <c r="DF89" s="619"/>
      <c r="DG89" s="619"/>
      <c r="DH89" s="619"/>
    </row>
    <row r="90" s="548" customFormat="1" ht="31" customHeight="1" spans="1:112">
      <c r="A90" s="608">
        <v>45741</v>
      </c>
      <c r="B90" s="609" t="s">
        <v>205</v>
      </c>
      <c r="C90" s="610" t="s">
        <v>98</v>
      </c>
      <c r="D90" s="554">
        <v>4500161408</v>
      </c>
      <c r="E90" s="610">
        <v>216951858</v>
      </c>
      <c r="F90" s="554" t="s">
        <v>6258</v>
      </c>
      <c r="G90" s="610" t="s">
        <v>6166</v>
      </c>
      <c r="H90" s="610" t="s">
        <v>6094</v>
      </c>
      <c r="I90" s="610">
        <v>2600</v>
      </c>
      <c r="J90" s="610">
        <v>0</v>
      </c>
      <c r="K90" s="610">
        <v>13</v>
      </c>
      <c r="L90" s="611">
        <f t="shared" si="4"/>
        <v>200</v>
      </c>
      <c r="M90" s="612">
        <v>45790</v>
      </c>
      <c r="N90" s="612">
        <v>45797</v>
      </c>
      <c r="O90" s="613"/>
      <c r="P90" s="613" t="s">
        <v>113</v>
      </c>
      <c r="Q90" s="610"/>
      <c r="R90" s="614">
        <v>45771</v>
      </c>
      <c r="S90" s="614" t="s">
        <v>70</v>
      </c>
      <c r="T90" s="614" t="s">
        <v>70</v>
      </c>
      <c r="U90" s="614"/>
      <c r="V90" s="614"/>
      <c r="W90" s="615"/>
      <c r="X90" s="609" t="s">
        <v>208</v>
      </c>
      <c r="Y90" s="609" t="s">
        <v>209</v>
      </c>
      <c r="Z90" s="609">
        <v>0.92</v>
      </c>
      <c r="AA90" s="616">
        <f t="shared" si="17"/>
        <v>2392</v>
      </c>
      <c r="AC90" s="617"/>
      <c r="AD90" s="610" t="s">
        <v>6257</v>
      </c>
      <c r="AE90" s="610" t="s">
        <v>82</v>
      </c>
      <c r="AF90" s="610"/>
      <c r="AG90" s="610" t="s">
        <v>74</v>
      </c>
      <c r="AH90" s="610"/>
      <c r="AI90" s="610">
        <v>2600</v>
      </c>
      <c r="AJ90" s="610">
        <f t="shared" ref="AJ90:AJ131" si="21">AI90-I90</f>
        <v>0</v>
      </c>
      <c r="AK90" s="610"/>
      <c r="AL90" s="610"/>
      <c r="AM90" s="610"/>
      <c r="AN90" s="610">
        <f>I90</f>
        <v>2600</v>
      </c>
      <c r="AP90" s="554">
        <f>I90</f>
        <v>2600</v>
      </c>
      <c r="AR90" s="619"/>
      <c r="AS90" s="548"/>
      <c r="AT90" s="548"/>
      <c r="AU90" s="554">
        <f>I90</f>
        <v>2600</v>
      </c>
      <c r="AW90" s="619"/>
      <c r="AX90" s="548"/>
      <c r="AY90" s="548"/>
      <c r="AZ90" s="548"/>
      <c r="BA90" s="548"/>
      <c r="BB90" s="620">
        <f>I90/48</f>
        <v>54.1666666666667</v>
      </c>
      <c r="BK90" s="554">
        <f>I90/13</f>
        <v>200</v>
      </c>
      <c r="BY90" s="619"/>
      <c r="BZ90" s="548"/>
      <c r="CA90" s="621"/>
      <c r="CB90" s="567"/>
      <c r="CC90" s="622"/>
      <c r="CD90" s="619"/>
      <c r="CE90" s="619"/>
      <c r="CF90" s="548"/>
      <c r="CG90" s="548"/>
      <c r="CU90" s="554">
        <f t="shared" si="20"/>
        <v>0</v>
      </c>
      <c r="CV90" s="554">
        <f t="shared" si="15"/>
        <v>0</v>
      </c>
      <c r="CW90" s="554">
        <f t="shared" si="16"/>
        <v>0</v>
      </c>
      <c r="CX90" s="619"/>
      <c r="CY90" s="619"/>
      <c r="CZ90" s="619"/>
      <c r="DA90" s="548"/>
      <c r="DB90" s="548"/>
      <c r="DC90" s="548"/>
      <c r="DD90" s="619"/>
      <c r="DE90" s="619"/>
      <c r="DF90" s="619"/>
      <c r="DG90" s="619"/>
      <c r="DH90" s="619"/>
    </row>
    <row r="91" s="548" customFormat="1" ht="31" customHeight="1" spans="1:112">
      <c r="A91" s="608">
        <v>45722</v>
      </c>
      <c r="B91" s="609" t="s">
        <v>307</v>
      </c>
      <c r="C91" s="610" t="s">
        <v>98</v>
      </c>
      <c r="D91" s="554">
        <v>4500159089</v>
      </c>
      <c r="E91" s="610" t="s">
        <v>6259</v>
      </c>
      <c r="F91" s="554" t="s">
        <v>6260</v>
      </c>
      <c r="G91" s="610" t="s">
        <v>6036</v>
      </c>
      <c r="H91" s="610" t="s">
        <v>6033</v>
      </c>
      <c r="I91" s="610">
        <v>4150</v>
      </c>
      <c r="J91" s="610">
        <v>0</v>
      </c>
      <c r="K91" s="610">
        <v>50</v>
      </c>
      <c r="L91" s="611">
        <f t="shared" si="4"/>
        <v>83</v>
      </c>
      <c r="M91" s="612">
        <v>45800</v>
      </c>
      <c r="N91" s="612">
        <f>M91-4</f>
        <v>45796</v>
      </c>
      <c r="O91" s="613"/>
      <c r="P91" s="613" t="s">
        <v>113</v>
      </c>
      <c r="Q91" s="610"/>
      <c r="R91" s="614">
        <v>45722</v>
      </c>
      <c r="S91" s="614" t="s">
        <v>70</v>
      </c>
      <c r="T91" s="614" t="s">
        <v>70</v>
      </c>
      <c r="U91" s="614"/>
      <c r="V91" s="614"/>
      <c r="W91" s="615"/>
      <c r="X91" s="609" t="s">
        <v>310</v>
      </c>
      <c r="Y91" s="609" t="s">
        <v>311</v>
      </c>
      <c r="Z91" s="609">
        <v>0.95</v>
      </c>
      <c r="AA91" s="616">
        <f t="shared" si="17"/>
        <v>3942.5</v>
      </c>
      <c r="AC91" s="617"/>
      <c r="AD91" s="610" t="s">
        <v>6036</v>
      </c>
      <c r="AE91" s="610" t="s">
        <v>82</v>
      </c>
      <c r="AF91" s="610"/>
      <c r="AG91" s="610" t="s">
        <v>74</v>
      </c>
      <c r="AH91" s="610"/>
      <c r="AI91" s="610">
        <v>4150</v>
      </c>
      <c r="AJ91" s="610">
        <f t="shared" si="21"/>
        <v>0</v>
      </c>
      <c r="AK91" s="610"/>
      <c r="AL91" s="610"/>
      <c r="AM91" s="610"/>
      <c r="AN91" s="610">
        <f>I91</f>
        <v>4150</v>
      </c>
      <c r="AP91" s="554">
        <f>I91</f>
        <v>4150</v>
      </c>
      <c r="AR91" s="619"/>
      <c r="AS91" s="548"/>
      <c r="AT91" s="548"/>
      <c r="AU91" s="554">
        <f>I91</f>
        <v>4150</v>
      </c>
      <c r="AW91" s="619"/>
      <c r="AX91" s="548"/>
      <c r="AY91" s="548"/>
      <c r="AZ91" s="548"/>
      <c r="BA91" s="548"/>
      <c r="BB91" s="620">
        <f>I91/48</f>
        <v>86.4583333333333</v>
      </c>
      <c r="BN91" s="554">
        <f>I91/25</f>
        <v>166</v>
      </c>
      <c r="BY91" s="619"/>
      <c r="BZ91" s="548"/>
      <c r="CA91" s="621"/>
      <c r="CB91" s="567"/>
      <c r="CC91" s="622"/>
      <c r="CD91" s="619"/>
      <c r="CE91" s="619"/>
      <c r="CF91" s="548"/>
      <c r="CG91" s="548"/>
      <c r="CU91" s="554">
        <f t="shared" si="20"/>
        <v>166</v>
      </c>
      <c r="CV91" s="554">
        <f t="shared" si="15"/>
        <v>0</v>
      </c>
      <c r="CW91" s="554">
        <f t="shared" si="16"/>
        <v>0</v>
      </c>
      <c r="CX91" s="619"/>
      <c r="CY91" s="619"/>
      <c r="CZ91" s="619"/>
      <c r="DA91" s="548"/>
      <c r="DB91" s="548"/>
      <c r="DC91" s="548"/>
      <c r="DD91" s="619"/>
      <c r="DE91" s="619"/>
      <c r="DF91" s="619"/>
      <c r="DG91" s="619"/>
      <c r="DH91" s="619"/>
    </row>
    <row r="92" s="548" customFormat="1" ht="31" customHeight="1" spans="1:112">
      <c r="A92" s="608">
        <v>45761</v>
      </c>
      <c r="B92" s="609" t="s">
        <v>319</v>
      </c>
      <c r="C92" s="610" t="s">
        <v>278</v>
      </c>
      <c r="D92" s="554">
        <v>4500163316</v>
      </c>
      <c r="E92" s="610" t="s">
        <v>6261</v>
      </c>
      <c r="F92" s="554" t="s">
        <v>6262</v>
      </c>
      <c r="G92" s="610" t="s">
        <v>6093</v>
      </c>
      <c r="H92" s="610" t="s">
        <v>6094</v>
      </c>
      <c r="I92" s="610">
        <v>6019</v>
      </c>
      <c r="J92" s="610">
        <v>0</v>
      </c>
      <c r="K92" s="610">
        <v>13</v>
      </c>
      <c r="L92" s="611">
        <f t="shared" si="4"/>
        <v>463</v>
      </c>
      <c r="M92" s="612">
        <v>45800</v>
      </c>
      <c r="N92" s="612">
        <f>M92-4</f>
        <v>45796</v>
      </c>
      <c r="O92" s="613"/>
      <c r="P92" s="613" t="s">
        <v>113</v>
      </c>
      <c r="Q92" s="610" t="s">
        <v>6263</v>
      </c>
      <c r="R92" s="614">
        <v>45758</v>
      </c>
      <c r="S92" s="614" t="s">
        <v>70</v>
      </c>
      <c r="T92" s="614">
        <v>45770</v>
      </c>
      <c r="U92" s="614"/>
      <c r="V92" s="614"/>
      <c r="W92" s="615"/>
      <c r="X92" s="609" t="s">
        <v>6264</v>
      </c>
      <c r="Y92" s="609" t="s">
        <v>323</v>
      </c>
      <c r="Z92" s="609">
        <v>0.92</v>
      </c>
      <c r="AA92" s="616">
        <f t="shared" si="17"/>
        <v>5537.48</v>
      </c>
      <c r="AC92" s="629" t="s">
        <v>324</v>
      </c>
      <c r="AD92" s="618" t="s">
        <v>6093</v>
      </c>
      <c r="AE92" s="610" t="s">
        <v>82</v>
      </c>
      <c r="AF92" s="610"/>
      <c r="AG92" s="610" t="s">
        <v>74</v>
      </c>
      <c r="AH92" s="610"/>
      <c r="AI92" s="610">
        <f>26+5993+13</f>
        <v>6032</v>
      </c>
      <c r="AJ92" s="610">
        <f t="shared" si="21"/>
        <v>13</v>
      </c>
      <c r="AK92" s="610"/>
      <c r="AL92" s="610"/>
      <c r="AM92" s="610"/>
      <c r="AN92" s="610"/>
      <c r="AO92" s="554">
        <f>I92</f>
        <v>6019</v>
      </c>
      <c r="AR92" s="619"/>
      <c r="AS92" s="548"/>
      <c r="AT92" s="554">
        <f>I92</f>
        <v>6019</v>
      </c>
      <c r="AV92" s="554">
        <f>I92</f>
        <v>6019</v>
      </c>
      <c r="AW92" s="619"/>
      <c r="AX92" s="548"/>
      <c r="AY92" s="548"/>
      <c r="AZ92" s="548"/>
      <c r="BA92" s="548"/>
      <c r="BB92" s="620">
        <f>I92/24</f>
        <v>250.791666666667</v>
      </c>
      <c r="BM92" s="554">
        <f>I92/13</f>
        <v>463</v>
      </c>
      <c r="BY92" s="619"/>
      <c r="BZ92" s="548"/>
      <c r="CA92" s="621"/>
      <c r="CB92" s="567"/>
      <c r="CC92" s="622"/>
      <c r="CD92" s="619"/>
      <c r="CE92" s="619"/>
      <c r="CF92" s="548"/>
      <c r="CG92" s="548"/>
      <c r="CU92" s="554">
        <f t="shared" si="20"/>
        <v>0</v>
      </c>
      <c r="CV92" s="554">
        <f t="shared" si="15"/>
        <v>0</v>
      </c>
      <c r="CW92" s="554">
        <f t="shared" si="16"/>
        <v>0</v>
      </c>
      <c r="CX92" s="619"/>
      <c r="CY92" s="619"/>
      <c r="CZ92" s="619"/>
      <c r="DA92" s="548"/>
      <c r="DB92" s="548"/>
      <c r="DC92" s="548"/>
      <c r="DD92" s="619"/>
      <c r="DE92" s="619"/>
      <c r="DF92" s="619"/>
      <c r="DG92" s="619"/>
      <c r="DH92" s="619"/>
    </row>
    <row r="93" s="548" customFormat="1" ht="31" customHeight="1" spans="1:112">
      <c r="A93" s="608">
        <v>45726</v>
      </c>
      <c r="B93" s="609" t="s">
        <v>97</v>
      </c>
      <c r="C93" s="610" t="s">
        <v>98</v>
      </c>
      <c r="D93" s="554">
        <v>4500159676</v>
      </c>
      <c r="E93" s="610" t="s">
        <v>6265</v>
      </c>
      <c r="F93" s="554" t="s">
        <v>6266</v>
      </c>
      <c r="G93" s="610" t="s">
        <v>6063</v>
      </c>
      <c r="H93" s="610" t="s">
        <v>6064</v>
      </c>
      <c r="I93" s="610">
        <v>15904</v>
      </c>
      <c r="J93" s="610">
        <v>0</v>
      </c>
      <c r="K93" s="610">
        <v>16</v>
      </c>
      <c r="L93" s="611">
        <f t="shared" ref="L93:L156" si="22">I93/K93</f>
        <v>994</v>
      </c>
      <c r="M93" s="612">
        <v>45803</v>
      </c>
      <c r="N93" s="612">
        <v>45799</v>
      </c>
      <c r="O93" s="613" t="s">
        <v>362</v>
      </c>
      <c r="P93" s="613" t="s">
        <v>113</v>
      </c>
      <c r="Q93" s="610"/>
      <c r="R93" s="614">
        <v>45727</v>
      </c>
      <c r="S93" s="614" t="s">
        <v>104</v>
      </c>
      <c r="T93" s="614" t="s">
        <v>6170</v>
      </c>
      <c r="U93" s="614"/>
      <c r="V93" s="614"/>
      <c r="W93" s="615"/>
      <c r="X93" s="609" t="s">
        <v>6171</v>
      </c>
      <c r="Y93" s="609" t="s">
        <v>106</v>
      </c>
      <c r="Z93" s="609">
        <v>1.68</v>
      </c>
      <c r="AA93" s="616">
        <f t="shared" si="17"/>
        <v>26718.72</v>
      </c>
      <c r="AC93" s="617"/>
      <c r="AD93" s="610" t="s">
        <v>6063</v>
      </c>
      <c r="AE93" s="610" t="s">
        <v>82</v>
      </c>
      <c r="AF93" s="610"/>
      <c r="AG93" s="610" t="s">
        <v>74</v>
      </c>
      <c r="AH93" s="610"/>
      <c r="AI93" s="610">
        <v>15904</v>
      </c>
      <c r="AJ93" s="610">
        <f t="shared" si="21"/>
        <v>0</v>
      </c>
      <c r="AK93" s="610"/>
      <c r="AL93" s="610"/>
      <c r="AM93" s="610"/>
      <c r="AN93" s="610">
        <f>I93</f>
        <v>15904</v>
      </c>
      <c r="AP93" s="554">
        <f>I93</f>
        <v>15904</v>
      </c>
      <c r="AR93" s="619"/>
      <c r="AS93" s="548"/>
      <c r="AT93" s="548"/>
      <c r="AU93" s="554">
        <f>I93</f>
        <v>15904</v>
      </c>
      <c r="AW93" s="619"/>
      <c r="AX93" s="548"/>
      <c r="AY93" s="548"/>
      <c r="AZ93" s="548"/>
      <c r="BA93" s="548"/>
      <c r="BB93" s="620">
        <f>I93/48</f>
        <v>331.333333333333</v>
      </c>
      <c r="BQ93" s="554">
        <f>I93/16</f>
        <v>994</v>
      </c>
      <c r="BY93" s="619"/>
      <c r="BZ93" s="548"/>
      <c r="CA93" s="621"/>
      <c r="CB93" s="567"/>
      <c r="CC93" s="622"/>
      <c r="CD93" s="619"/>
      <c r="CE93" s="619"/>
      <c r="CF93" s="548"/>
      <c r="CG93" s="548"/>
      <c r="CU93" s="554">
        <f t="shared" ref="CU93:CU111" si="23">BQ93+BP93+BO93+BN93+BX93+BR93</f>
        <v>994</v>
      </c>
      <c r="CV93" s="554">
        <f t="shared" si="15"/>
        <v>0</v>
      </c>
      <c r="CW93" s="554">
        <f t="shared" si="16"/>
        <v>0</v>
      </c>
      <c r="CX93" s="619"/>
      <c r="CY93" s="619"/>
      <c r="CZ93" s="619"/>
      <c r="DA93" s="548"/>
      <c r="DB93" s="548"/>
      <c r="DC93" s="548"/>
      <c r="DD93" s="619"/>
      <c r="DE93" s="619"/>
      <c r="DF93" s="619"/>
      <c r="DG93" s="619"/>
      <c r="DH93" s="619"/>
    </row>
    <row r="94" s="548" customFormat="1" ht="31" customHeight="1" spans="1:112">
      <c r="A94" s="608">
        <v>45726</v>
      </c>
      <c r="B94" s="609" t="s">
        <v>97</v>
      </c>
      <c r="C94" s="610" t="s">
        <v>98</v>
      </c>
      <c r="D94" s="554">
        <v>4500159676</v>
      </c>
      <c r="E94" s="610" t="s">
        <v>6267</v>
      </c>
      <c r="F94" s="554" t="s">
        <v>6268</v>
      </c>
      <c r="G94" s="610" t="s">
        <v>6063</v>
      </c>
      <c r="H94" s="610" t="s">
        <v>6064</v>
      </c>
      <c r="I94" s="610">
        <v>15296</v>
      </c>
      <c r="J94" s="610">
        <v>0</v>
      </c>
      <c r="K94" s="610">
        <v>16</v>
      </c>
      <c r="L94" s="611">
        <f t="shared" si="22"/>
        <v>956</v>
      </c>
      <c r="M94" s="612">
        <v>45803</v>
      </c>
      <c r="N94" s="612">
        <v>45799</v>
      </c>
      <c r="O94" s="613" t="s">
        <v>362</v>
      </c>
      <c r="P94" s="613" t="s">
        <v>113</v>
      </c>
      <c r="Q94" s="610"/>
      <c r="R94" s="614">
        <v>45727</v>
      </c>
      <c r="S94" s="614" t="s">
        <v>104</v>
      </c>
      <c r="T94" s="614" t="s">
        <v>6170</v>
      </c>
      <c r="U94" s="614"/>
      <c r="V94" s="614"/>
      <c r="W94" s="615"/>
      <c r="X94" s="609" t="s">
        <v>6171</v>
      </c>
      <c r="Y94" s="609" t="s">
        <v>106</v>
      </c>
      <c r="Z94" s="609">
        <v>1.68</v>
      </c>
      <c r="AA94" s="616">
        <f t="shared" si="17"/>
        <v>25697.28</v>
      </c>
      <c r="AC94" s="617"/>
      <c r="AD94" s="610" t="s">
        <v>6063</v>
      </c>
      <c r="AE94" s="610" t="s">
        <v>82</v>
      </c>
      <c r="AF94" s="610"/>
      <c r="AG94" s="610" t="s">
        <v>74</v>
      </c>
      <c r="AH94" s="610"/>
      <c r="AI94" s="610">
        <v>15296</v>
      </c>
      <c r="AJ94" s="610">
        <f t="shared" si="21"/>
        <v>0</v>
      </c>
      <c r="AK94" s="610"/>
      <c r="AL94" s="610"/>
      <c r="AM94" s="610"/>
      <c r="AN94" s="610">
        <f>I94</f>
        <v>15296</v>
      </c>
      <c r="AP94" s="554">
        <f>I94</f>
        <v>15296</v>
      </c>
      <c r="AR94" s="619"/>
      <c r="AS94" s="548"/>
      <c r="AT94" s="548"/>
      <c r="AU94" s="554">
        <f>I94</f>
        <v>15296</v>
      </c>
      <c r="AW94" s="619"/>
      <c r="AX94" s="548"/>
      <c r="AY94" s="548"/>
      <c r="AZ94" s="548"/>
      <c r="BA94" s="548"/>
      <c r="BB94" s="620">
        <f>I94/48</f>
        <v>318.666666666667</v>
      </c>
      <c r="BQ94" s="554">
        <f>I94/16</f>
        <v>956</v>
      </c>
      <c r="BY94" s="619"/>
      <c r="BZ94" s="548"/>
      <c r="CA94" s="621"/>
      <c r="CB94" s="567"/>
      <c r="CC94" s="622"/>
      <c r="CD94" s="619"/>
      <c r="CE94" s="619"/>
      <c r="CF94" s="548"/>
      <c r="CG94" s="548"/>
      <c r="CU94" s="554">
        <f t="shared" si="23"/>
        <v>956</v>
      </c>
      <c r="CV94" s="554">
        <f t="shared" si="15"/>
        <v>0</v>
      </c>
      <c r="CW94" s="554">
        <f t="shared" si="16"/>
        <v>0</v>
      </c>
      <c r="CX94" s="619"/>
      <c r="CY94" s="619"/>
      <c r="CZ94" s="619"/>
      <c r="DA94" s="548"/>
      <c r="DB94" s="548"/>
      <c r="DC94" s="548"/>
      <c r="DD94" s="619"/>
      <c r="DE94" s="619"/>
      <c r="DF94" s="619"/>
      <c r="DG94" s="619"/>
      <c r="DH94" s="619"/>
    </row>
    <row r="95" s="548" customFormat="1" ht="31" customHeight="1" spans="1:112">
      <c r="A95" s="608">
        <v>45748</v>
      </c>
      <c r="B95" s="609" t="s">
        <v>143</v>
      </c>
      <c r="C95" s="610" t="s">
        <v>98</v>
      </c>
      <c r="D95" s="554">
        <v>4500162169</v>
      </c>
      <c r="E95" s="613">
        <v>904512276</v>
      </c>
      <c r="F95" s="554" t="s">
        <v>6269</v>
      </c>
      <c r="G95" s="610" t="s">
        <v>6063</v>
      </c>
      <c r="H95" s="610" t="s">
        <v>6064</v>
      </c>
      <c r="I95" s="610">
        <v>4880</v>
      </c>
      <c r="J95" s="610">
        <v>0</v>
      </c>
      <c r="K95" s="610">
        <v>16</v>
      </c>
      <c r="L95" s="611">
        <f t="shared" si="22"/>
        <v>305</v>
      </c>
      <c r="M95" s="612">
        <v>45803</v>
      </c>
      <c r="N95" s="612">
        <v>45799</v>
      </c>
      <c r="O95" s="613" t="s">
        <v>367</v>
      </c>
      <c r="P95" s="613" t="s">
        <v>113</v>
      </c>
      <c r="Q95" s="610"/>
      <c r="R95" s="614" t="s">
        <v>147</v>
      </c>
      <c r="S95" s="614" t="s">
        <v>70</v>
      </c>
      <c r="T95" s="614" t="s">
        <v>6142</v>
      </c>
      <c r="U95" s="614"/>
      <c r="V95" s="614" t="s">
        <v>148</v>
      </c>
      <c r="W95" s="615"/>
      <c r="X95" s="609" t="s">
        <v>6143</v>
      </c>
      <c r="Y95" s="609" t="s">
        <v>106</v>
      </c>
      <c r="Z95" s="609">
        <v>1.68</v>
      </c>
      <c r="AA95" s="616">
        <f t="shared" si="17"/>
        <v>8198.4</v>
      </c>
      <c r="AC95" s="617"/>
      <c r="AD95" s="610" t="s">
        <v>6063</v>
      </c>
      <c r="AE95" s="610" t="s">
        <v>82</v>
      </c>
      <c r="AF95" s="610"/>
      <c r="AG95" s="610" t="s">
        <v>74</v>
      </c>
      <c r="AH95" s="610"/>
      <c r="AI95" s="610">
        <v>4880</v>
      </c>
      <c r="AJ95" s="610">
        <f t="shared" si="21"/>
        <v>0</v>
      </c>
      <c r="AK95" s="610"/>
      <c r="AL95" s="610"/>
      <c r="AM95" s="610"/>
      <c r="AN95" s="610">
        <f>I95</f>
        <v>4880</v>
      </c>
      <c r="AP95" s="554">
        <f>I95</f>
        <v>4880</v>
      </c>
      <c r="AR95" s="619"/>
      <c r="AS95" s="548"/>
      <c r="AT95" s="548"/>
      <c r="AU95" s="554">
        <f>I95</f>
        <v>4880</v>
      </c>
      <c r="AW95" s="619"/>
      <c r="AX95" s="548"/>
      <c r="AY95" s="548"/>
      <c r="AZ95" s="548"/>
      <c r="BA95" s="548"/>
      <c r="BB95" s="620">
        <f>I95/48</f>
        <v>101.666666666667</v>
      </c>
      <c r="BQ95" s="554">
        <f>I95/16</f>
        <v>305</v>
      </c>
      <c r="BY95" s="619"/>
      <c r="BZ95" s="548"/>
      <c r="CA95" s="621"/>
      <c r="CB95" s="567"/>
      <c r="CC95" s="622"/>
      <c r="CD95" s="619"/>
      <c r="CE95" s="619"/>
      <c r="CF95" s="548"/>
      <c r="CG95" s="548"/>
      <c r="CU95" s="554">
        <f t="shared" si="23"/>
        <v>305</v>
      </c>
      <c r="CV95" s="554">
        <f t="shared" si="15"/>
        <v>0</v>
      </c>
      <c r="CW95" s="554">
        <f t="shared" si="16"/>
        <v>0</v>
      </c>
      <c r="CX95" s="619"/>
      <c r="CY95" s="619"/>
      <c r="CZ95" s="619"/>
      <c r="DA95" s="548"/>
      <c r="DB95" s="548"/>
      <c r="DC95" s="548"/>
      <c r="DD95" s="619"/>
      <c r="DE95" s="619"/>
      <c r="DF95" s="619"/>
      <c r="DG95" s="619"/>
      <c r="DH95" s="619"/>
    </row>
    <row r="96" s="548" customFormat="1" ht="31" customHeight="1" spans="1:112">
      <c r="A96" s="608">
        <v>45749</v>
      </c>
      <c r="B96" s="609" t="s">
        <v>370</v>
      </c>
      <c r="C96" s="610" t="s">
        <v>241</v>
      </c>
      <c r="D96" s="554">
        <v>4500162231</v>
      </c>
      <c r="E96" s="610">
        <v>32578104</v>
      </c>
      <c r="F96" s="554" t="s">
        <v>6270</v>
      </c>
      <c r="G96" s="610" t="s">
        <v>6047</v>
      </c>
      <c r="H96" s="610" t="s">
        <v>6048</v>
      </c>
      <c r="I96" s="610">
        <v>6250</v>
      </c>
      <c r="J96" s="610">
        <v>0</v>
      </c>
      <c r="K96" s="610">
        <v>25</v>
      </c>
      <c r="L96" s="611">
        <f t="shared" si="22"/>
        <v>250</v>
      </c>
      <c r="M96" s="612">
        <v>45803</v>
      </c>
      <c r="N96" s="612">
        <v>45799</v>
      </c>
      <c r="O96" s="613"/>
      <c r="P96" s="613" t="s">
        <v>113</v>
      </c>
      <c r="Q96" s="610"/>
      <c r="R96" s="614">
        <v>45749</v>
      </c>
      <c r="S96" s="614" t="s">
        <v>70</v>
      </c>
      <c r="T96" s="614">
        <v>45777</v>
      </c>
      <c r="U96" s="614"/>
      <c r="V96" s="614"/>
      <c r="W96" s="615"/>
      <c r="X96" s="609" t="s">
        <v>6271</v>
      </c>
      <c r="Y96" s="609" t="s">
        <v>299</v>
      </c>
      <c r="Z96" s="609">
        <v>0.95</v>
      </c>
      <c r="AA96" s="616">
        <f t="shared" si="17"/>
        <v>5937.5</v>
      </c>
      <c r="AC96" s="629" t="s">
        <v>6272</v>
      </c>
      <c r="AD96" s="610" t="s">
        <v>6047</v>
      </c>
      <c r="AE96" s="610" t="s">
        <v>82</v>
      </c>
      <c r="AF96" s="610"/>
      <c r="AG96" s="610" t="s">
        <v>74</v>
      </c>
      <c r="AH96" s="610"/>
      <c r="AI96" s="610">
        <v>6250</v>
      </c>
      <c r="AJ96" s="610">
        <f t="shared" si="21"/>
        <v>0</v>
      </c>
      <c r="AK96" s="610"/>
      <c r="AL96" s="610"/>
      <c r="AM96" s="610"/>
      <c r="AN96" s="610"/>
      <c r="AO96" s="554">
        <f>I96</f>
        <v>6250</v>
      </c>
      <c r="AR96" s="619"/>
      <c r="AS96" s="548"/>
      <c r="AT96" s="554">
        <f>I96</f>
        <v>6250</v>
      </c>
      <c r="AV96" s="554">
        <f>I96</f>
        <v>6250</v>
      </c>
      <c r="AW96" s="619"/>
      <c r="AX96" s="548"/>
      <c r="AY96" s="548"/>
      <c r="AZ96" s="548"/>
      <c r="BA96" s="548"/>
      <c r="BB96" s="620">
        <f>I96/24</f>
        <v>260.416666666667</v>
      </c>
      <c r="BP96" s="554">
        <f>I96/25</f>
        <v>250</v>
      </c>
      <c r="BY96" s="619"/>
      <c r="BZ96" s="548"/>
      <c r="CA96" s="621"/>
      <c r="CB96" s="567"/>
      <c r="CC96" s="622"/>
      <c r="CD96" s="619"/>
      <c r="CE96" s="619"/>
      <c r="CF96" s="548"/>
      <c r="CG96" s="548"/>
      <c r="CU96" s="554">
        <f t="shared" si="23"/>
        <v>250</v>
      </c>
      <c r="CV96" s="554">
        <f t="shared" si="15"/>
        <v>0</v>
      </c>
      <c r="CW96" s="554">
        <f t="shared" si="16"/>
        <v>0</v>
      </c>
      <c r="CX96" s="619"/>
      <c r="CY96" s="619"/>
      <c r="CZ96" s="619"/>
      <c r="DA96" s="548"/>
      <c r="DB96" s="548"/>
      <c r="DC96" s="548"/>
      <c r="DD96" s="619"/>
      <c r="DE96" s="619"/>
      <c r="DF96" s="619"/>
      <c r="DG96" s="619"/>
      <c r="DH96" s="619"/>
    </row>
    <row r="97" s="548" customFormat="1" ht="31" customHeight="1" spans="1:112">
      <c r="A97" s="608">
        <v>45758</v>
      </c>
      <c r="B97" s="609" t="s">
        <v>351</v>
      </c>
      <c r="C97" s="610" t="s">
        <v>98</v>
      </c>
      <c r="D97" s="554">
        <v>4500163428</v>
      </c>
      <c r="E97" s="610" t="s">
        <v>352</v>
      </c>
      <c r="F97" s="554" t="s">
        <v>6273</v>
      </c>
      <c r="G97" s="610" t="s">
        <v>6084</v>
      </c>
      <c r="H97" s="610" t="s">
        <v>6069</v>
      </c>
      <c r="I97" s="610">
        <v>4500</v>
      </c>
      <c r="J97" s="610">
        <v>0</v>
      </c>
      <c r="K97" s="610">
        <v>25</v>
      </c>
      <c r="L97" s="611">
        <f t="shared" si="22"/>
        <v>180</v>
      </c>
      <c r="M97" s="612">
        <v>45824</v>
      </c>
      <c r="N97" s="612">
        <v>45820</v>
      </c>
      <c r="O97" s="613"/>
      <c r="P97" s="613" t="s">
        <v>113</v>
      </c>
      <c r="Q97" s="610"/>
      <c r="R97" s="614">
        <v>45758</v>
      </c>
      <c r="S97" s="614" t="s">
        <v>70</v>
      </c>
      <c r="T97" s="614" t="s">
        <v>70</v>
      </c>
      <c r="U97" s="614"/>
      <c r="V97" s="614"/>
      <c r="W97" s="615"/>
      <c r="X97" s="609" t="s">
        <v>354</v>
      </c>
      <c r="Y97" s="609" t="s">
        <v>355</v>
      </c>
      <c r="Z97" s="609">
        <v>0.95</v>
      </c>
      <c r="AA97" s="616">
        <f t="shared" si="17"/>
        <v>4275</v>
      </c>
      <c r="AC97" s="617" t="s">
        <v>356</v>
      </c>
      <c r="AD97" s="610" t="s">
        <v>6084</v>
      </c>
      <c r="AE97" s="610" t="s">
        <v>82</v>
      </c>
      <c r="AF97" s="610"/>
      <c r="AG97" s="610" t="s">
        <v>74</v>
      </c>
      <c r="AH97" s="610"/>
      <c r="AI97" s="610">
        <v>4500</v>
      </c>
      <c r="AJ97" s="610">
        <f t="shared" si="21"/>
        <v>0</v>
      </c>
      <c r="AK97" s="610"/>
      <c r="AL97" s="610"/>
      <c r="AM97" s="610"/>
      <c r="AN97" s="610">
        <f>I97</f>
        <v>4500</v>
      </c>
      <c r="AP97" s="554">
        <f>I97</f>
        <v>4500</v>
      </c>
      <c r="AR97" s="619"/>
      <c r="AS97" s="548"/>
      <c r="AT97" s="548"/>
      <c r="AU97" s="554">
        <f>I97</f>
        <v>4500</v>
      </c>
      <c r="AW97" s="619"/>
      <c r="AX97" s="548"/>
      <c r="AY97" s="548"/>
      <c r="AZ97" s="548"/>
      <c r="BA97" s="548"/>
      <c r="BB97" s="620">
        <f>I97/48</f>
        <v>93.75</v>
      </c>
      <c r="BN97" s="554">
        <f>I97/25</f>
        <v>180</v>
      </c>
      <c r="BY97" s="619"/>
      <c r="BZ97" s="548"/>
      <c r="CA97" s="621"/>
      <c r="CB97" s="567"/>
      <c r="CC97" s="622"/>
      <c r="CD97" s="619"/>
      <c r="CE97" s="619"/>
      <c r="CF97" s="548"/>
      <c r="CG97" s="548"/>
      <c r="CU97" s="554">
        <f t="shared" si="23"/>
        <v>180</v>
      </c>
      <c r="CV97" s="554">
        <f t="shared" si="15"/>
        <v>0</v>
      </c>
      <c r="CW97" s="554">
        <f t="shared" si="16"/>
        <v>0</v>
      </c>
      <c r="CX97" s="619"/>
      <c r="CY97" s="619"/>
      <c r="CZ97" s="619"/>
      <c r="DA97" s="548"/>
      <c r="DB97" s="548"/>
      <c r="DC97" s="548"/>
      <c r="DD97" s="619"/>
      <c r="DE97" s="619"/>
      <c r="DF97" s="619"/>
      <c r="DG97" s="619"/>
      <c r="DH97" s="619"/>
    </row>
    <row r="98" s="548" customFormat="1" ht="31" customHeight="1" spans="1:112">
      <c r="A98" s="608">
        <v>45758</v>
      </c>
      <c r="B98" s="609" t="s">
        <v>351</v>
      </c>
      <c r="C98" s="610" t="s">
        <v>98</v>
      </c>
      <c r="D98" s="554">
        <v>4500163428</v>
      </c>
      <c r="E98" s="610" t="s">
        <v>357</v>
      </c>
      <c r="F98" s="554" t="s">
        <v>6274</v>
      </c>
      <c r="G98" s="610" t="s">
        <v>6084</v>
      </c>
      <c r="H98" s="610" t="s">
        <v>6069</v>
      </c>
      <c r="I98" s="610">
        <v>9000</v>
      </c>
      <c r="J98" s="610">
        <v>0</v>
      </c>
      <c r="K98" s="610">
        <v>25</v>
      </c>
      <c r="L98" s="611">
        <f t="shared" si="22"/>
        <v>360</v>
      </c>
      <c r="M98" s="612">
        <v>45824</v>
      </c>
      <c r="N98" s="612">
        <v>45820</v>
      </c>
      <c r="O98" s="613"/>
      <c r="P98" s="613" t="s">
        <v>113</v>
      </c>
      <c r="Q98" s="610"/>
      <c r="R98" s="614">
        <v>45758</v>
      </c>
      <c r="S98" s="614" t="s">
        <v>70</v>
      </c>
      <c r="T98" s="614" t="s">
        <v>70</v>
      </c>
      <c r="U98" s="614"/>
      <c r="V98" s="614"/>
      <c r="W98" s="615"/>
      <c r="X98" s="609" t="s">
        <v>354</v>
      </c>
      <c r="Y98" s="609" t="s">
        <v>355</v>
      </c>
      <c r="Z98" s="609">
        <v>0.95</v>
      </c>
      <c r="AA98" s="616">
        <f t="shared" si="17"/>
        <v>8550</v>
      </c>
      <c r="AC98" s="617" t="s">
        <v>359</v>
      </c>
      <c r="AD98" s="610" t="s">
        <v>6084</v>
      </c>
      <c r="AE98" s="610" t="s">
        <v>82</v>
      </c>
      <c r="AF98" s="610"/>
      <c r="AG98" s="610" t="s">
        <v>74</v>
      </c>
      <c r="AH98" s="610"/>
      <c r="AI98" s="610">
        <v>9000</v>
      </c>
      <c r="AJ98" s="610">
        <f t="shared" si="21"/>
        <v>0</v>
      </c>
      <c r="AK98" s="610"/>
      <c r="AL98" s="610"/>
      <c r="AM98" s="610"/>
      <c r="AN98" s="610">
        <f>I98</f>
        <v>9000</v>
      </c>
      <c r="AP98" s="554">
        <f>I98</f>
        <v>9000</v>
      </c>
      <c r="AR98" s="619"/>
      <c r="AS98" s="548"/>
      <c r="AT98" s="548"/>
      <c r="AU98" s="554">
        <f>I98</f>
        <v>9000</v>
      </c>
      <c r="AW98" s="619"/>
      <c r="AX98" s="548"/>
      <c r="AY98" s="548"/>
      <c r="AZ98" s="548"/>
      <c r="BA98" s="548"/>
      <c r="BB98" s="620">
        <f>I98/48</f>
        <v>187.5</v>
      </c>
      <c r="BN98" s="554">
        <f>I98/25</f>
        <v>360</v>
      </c>
      <c r="BY98" s="619"/>
      <c r="BZ98" s="548"/>
      <c r="CA98" s="621"/>
      <c r="CB98" s="567"/>
      <c r="CC98" s="622"/>
      <c r="CD98" s="619"/>
      <c r="CE98" s="619"/>
      <c r="CF98" s="548"/>
      <c r="CG98" s="548"/>
      <c r="CU98" s="554">
        <f t="shared" si="23"/>
        <v>360</v>
      </c>
      <c r="CV98" s="554">
        <f t="shared" si="15"/>
        <v>0</v>
      </c>
      <c r="CW98" s="554">
        <f t="shared" si="16"/>
        <v>0</v>
      </c>
      <c r="CX98" s="619"/>
      <c r="CY98" s="619"/>
      <c r="CZ98" s="619"/>
      <c r="DA98" s="548"/>
      <c r="DB98" s="548"/>
      <c r="DC98" s="548"/>
      <c r="DD98" s="619"/>
      <c r="DE98" s="619"/>
      <c r="DF98" s="619"/>
      <c r="DG98" s="619"/>
      <c r="DH98" s="619"/>
    </row>
    <row r="99" s="548" customFormat="1" ht="31" customHeight="1" spans="1:112">
      <c r="A99" s="608">
        <v>45741</v>
      </c>
      <c r="B99" s="609" t="s">
        <v>334</v>
      </c>
      <c r="C99" s="610" t="s">
        <v>335</v>
      </c>
      <c r="D99" s="554">
        <v>4500161312</v>
      </c>
      <c r="E99" s="610">
        <v>5907181238</v>
      </c>
      <c r="F99" s="554" t="s">
        <v>6275</v>
      </c>
      <c r="G99" s="610" t="s">
        <v>6276</v>
      </c>
      <c r="H99" s="610" t="s">
        <v>6277</v>
      </c>
      <c r="I99" s="610">
        <v>3950</v>
      </c>
      <c r="J99" s="610">
        <v>0</v>
      </c>
      <c r="K99" s="610">
        <v>50</v>
      </c>
      <c r="L99" s="611">
        <f t="shared" si="22"/>
        <v>79</v>
      </c>
      <c r="M99" s="612">
        <v>45799</v>
      </c>
      <c r="N99" s="612">
        <v>45796</v>
      </c>
      <c r="O99" s="613"/>
      <c r="P99" s="613" t="s">
        <v>113</v>
      </c>
      <c r="Q99" s="610"/>
      <c r="R99" s="614" t="s">
        <v>6278</v>
      </c>
      <c r="S99" s="614" t="s">
        <v>70</v>
      </c>
      <c r="T99" s="614" t="s">
        <v>6279</v>
      </c>
      <c r="U99" s="614"/>
      <c r="V99" s="614"/>
      <c r="W99" s="615"/>
      <c r="X99" s="609" t="s">
        <v>6280</v>
      </c>
      <c r="Y99" s="609" t="s">
        <v>340</v>
      </c>
      <c r="Z99" s="609">
        <v>1.32</v>
      </c>
      <c r="AA99" s="616">
        <f t="shared" si="17"/>
        <v>5214</v>
      </c>
      <c r="AC99" s="629" t="s">
        <v>341</v>
      </c>
      <c r="AD99" s="610" t="s">
        <v>6276</v>
      </c>
      <c r="AE99" s="610" t="s">
        <v>82</v>
      </c>
      <c r="AF99" s="610"/>
      <c r="AG99" s="610" t="s">
        <v>74</v>
      </c>
      <c r="AH99" s="610"/>
      <c r="AI99" s="610">
        <v>3950</v>
      </c>
      <c r="AJ99" s="610">
        <f t="shared" si="21"/>
        <v>0</v>
      </c>
      <c r="AK99" s="610"/>
      <c r="AL99" s="610"/>
      <c r="AM99" s="610"/>
      <c r="AN99" s="610"/>
      <c r="AO99" s="554">
        <f>I99</f>
        <v>3950</v>
      </c>
      <c r="AR99" s="619"/>
      <c r="AS99" s="548"/>
      <c r="AT99" s="548"/>
      <c r="AU99" s="548"/>
      <c r="AV99" s="548"/>
      <c r="AW99" s="619"/>
      <c r="AX99" s="548"/>
      <c r="AY99" s="548"/>
      <c r="AZ99" s="548"/>
      <c r="BA99" s="548"/>
      <c r="BB99" s="620">
        <f>I99</f>
        <v>3950</v>
      </c>
      <c r="BV99" s="554">
        <f>I99</f>
        <v>3950</v>
      </c>
      <c r="BW99" s="554">
        <f>I99</f>
        <v>3950</v>
      </c>
      <c r="BX99" s="554">
        <f>I99/25</f>
        <v>158</v>
      </c>
      <c r="BY99" s="619"/>
      <c r="BZ99" s="548"/>
      <c r="CA99" s="621"/>
      <c r="CB99" s="567"/>
      <c r="CC99" s="622"/>
      <c r="CD99" s="619"/>
      <c r="CE99" s="619"/>
      <c r="CF99" s="548"/>
      <c r="CG99" s="548"/>
      <c r="CU99" s="554">
        <f t="shared" si="23"/>
        <v>158</v>
      </c>
      <c r="CV99" s="554">
        <f t="shared" si="15"/>
        <v>0</v>
      </c>
      <c r="CW99" s="554">
        <f t="shared" si="16"/>
        <v>0</v>
      </c>
      <c r="CX99" s="619"/>
      <c r="CY99" s="619"/>
      <c r="CZ99" s="619"/>
      <c r="DA99" s="548"/>
      <c r="DB99" s="548"/>
      <c r="DC99" s="548"/>
      <c r="DD99" s="619"/>
      <c r="DE99" s="619"/>
      <c r="DF99" s="619"/>
      <c r="DG99" s="619"/>
      <c r="DH99" s="619"/>
    </row>
    <row r="100" s="548" customFormat="1" ht="31" customHeight="1" spans="1:112">
      <c r="A100" s="608">
        <v>45741</v>
      </c>
      <c r="B100" s="609" t="s">
        <v>342</v>
      </c>
      <c r="C100" s="610" t="s">
        <v>343</v>
      </c>
      <c r="D100" s="554">
        <v>4500161302</v>
      </c>
      <c r="E100" s="610">
        <v>4407181237</v>
      </c>
      <c r="F100" s="554" t="s">
        <v>6281</v>
      </c>
      <c r="G100" s="610" t="s">
        <v>6276</v>
      </c>
      <c r="H100" s="610" t="s">
        <v>6277</v>
      </c>
      <c r="I100" s="610">
        <v>7150</v>
      </c>
      <c r="J100" s="610">
        <v>0</v>
      </c>
      <c r="K100" s="610">
        <v>50</v>
      </c>
      <c r="L100" s="611">
        <f t="shared" si="22"/>
        <v>143</v>
      </c>
      <c r="M100" s="612">
        <v>45799</v>
      </c>
      <c r="N100" s="612">
        <v>45796</v>
      </c>
      <c r="O100" s="613"/>
      <c r="P100" s="613" t="s">
        <v>113</v>
      </c>
      <c r="Q100" s="610"/>
      <c r="R100" s="614" t="s">
        <v>6278</v>
      </c>
      <c r="S100" s="614" t="s">
        <v>70</v>
      </c>
      <c r="T100" s="614">
        <v>45768</v>
      </c>
      <c r="U100" s="614"/>
      <c r="V100" s="614"/>
      <c r="W100" s="615"/>
      <c r="X100" s="609" t="s">
        <v>6282</v>
      </c>
      <c r="Y100" s="609" t="s">
        <v>340</v>
      </c>
      <c r="Z100" s="609">
        <v>1.32</v>
      </c>
      <c r="AA100" s="616">
        <f t="shared" si="17"/>
        <v>9438</v>
      </c>
      <c r="AC100" s="629" t="s">
        <v>346</v>
      </c>
      <c r="AD100" s="610" t="s">
        <v>6276</v>
      </c>
      <c r="AE100" s="610" t="s">
        <v>82</v>
      </c>
      <c r="AF100" s="610"/>
      <c r="AG100" s="610" t="s">
        <v>74</v>
      </c>
      <c r="AH100" s="610"/>
      <c r="AI100" s="610">
        <v>7150</v>
      </c>
      <c r="AJ100" s="610">
        <f t="shared" si="21"/>
        <v>0</v>
      </c>
      <c r="AK100" s="610"/>
      <c r="AL100" s="610"/>
      <c r="AM100" s="610"/>
      <c r="AN100" s="610"/>
      <c r="AO100" s="554">
        <f>I100</f>
        <v>7150</v>
      </c>
      <c r="AR100" s="619"/>
      <c r="AS100" s="548"/>
      <c r="AT100" s="548"/>
      <c r="AU100" s="548"/>
      <c r="AV100" s="548"/>
      <c r="AW100" s="619"/>
      <c r="AX100" s="548"/>
      <c r="AY100" s="548"/>
      <c r="AZ100" s="548"/>
      <c r="BA100" s="548"/>
      <c r="BB100" s="620">
        <f>I100</f>
        <v>7150</v>
      </c>
      <c r="BV100" s="554">
        <f>I100</f>
        <v>7150</v>
      </c>
      <c r="BW100" s="554">
        <f>I100</f>
        <v>7150</v>
      </c>
      <c r="BX100" s="554">
        <f>I100/25</f>
        <v>286</v>
      </c>
      <c r="BY100" s="619"/>
      <c r="BZ100" s="548"/>
      <c r="CA100" s="621"/>
      <c r="CB100" s="567"/>
      <c r="CC100" s="622"/>
      <c r="CD100" s="619"/>
      <c r="CE100" s="619"/>
      <c r="CF100" s="548"/>
      <c r="CG100" s="548"/>
      <c r="CU100" s="554">
        <f t="shared" si="23"/>
        <v>286</v>
      </c>
      <c r="CV100" s="554">
        <f t="shared" si="15"/>
        <v>0</v>
      </c>
      <c r="CW100" s="554">
        <f t="shared" si="16"/>
        <v>0</v>
      </c>
      <c r="CX100" s="619"/>
      <c r="CY100" s="619"/>
      <c r="CZ100" s="619"/>
      <c r="DA100" s="548"/>
      <c r="DB100" s="548"/>
      <c r="DC100" s="548"/>
      <c r="DD100" s="619"/>
      <c r="DE100" s="619"/>
      <c r="DF100" s="619"/>
      <c r="DG100" s="619"/>
      <c r="DH100" s="619"/>
    </row>
    <row r="101" s="548" customFormat="1" ht="31" customHeight="1" spans="1:112">
      <c r="A101" s="608">
        <v>45741</v>
      </c>
      <c r="B101" s="609" t="s">
        <v>347</v>
      </c>
      <c r="C101" s="610" t="s">
        <v>348</v>
      </c>
      <c r="D101" s="554">
        <v>4500161306</v>
      </c>
      <c r="E101" s="610">
        <v>8807181239</v>
      </c>
      <c r="F101" s="554" t="s">
        <v>6283</v>
      </c>
      <c r="G101" s="610" t="s">
        <v>6276</v>
      </c>
      <c r="H101" s="610" t="s">
        <v>6277</v>
      </c>
      <c r="I101" s="610">
        <v>10800</v>
      </c>
      <c r="J101" s="610">
        <v>0</v>
      </c>
      <c r="K101" s="610">
        <v>50</v>
      </c>
      <c r="L101" s="611">
        <f t="shared" si="22"/>
        <v>216</v>
      </c>
      <c r="M101" s="612">
        <v>45799</v>
      </c>
      <c r="N101" s="612">
        <v>45796</v>
      </c>
      <c r="O101" s="613"/>
      <c r="P101" s="613" t="s">
        <v>113</v>
      </c>
      <c r="Q101" s="610"/>
      <c r="R101" s="614" t="s">
        <v>6278</v>
      </c>
      <c r="S101" s="614" t="s">
        <v>70</v>
      </c>
      <c r="T101" s="614" t="s">
        <v>6279</v>
      </c>
      <c r="U101" s="614"/>
      <c r="V101" s="614"/>
      <c r="W101" s="615"/>
      <c r="X101" s="609" t="s">
        <v>6284</v>
      </c>
      <c r="Y101" s="609" t="s">
        <v>340</v>
      </c>
      <c r="Z101" s="609">
        <v>1.32</v>
      </c>
      <c r="AA101" s="616">
        <f t="shared" si="17"/>
        <v>14256</v>
      </c>
      <c r="AC101" s="629" t="s">
        <v>350</v>
      </c>
      <c r="AD101" s="610" t="s">
        <v>6276</v>
      </c>
      <c r="AE101" s="610" t="s">
        <v>82</v>
      </c>
      <c r="AF101" s="610"/>
      <c r="AG101" s="610" t="s">
        <v>74</v>
      </c>
      <c r="AH101" s="610"/>
      <c r="AI101" s="610">
        <f>4350+6450</f>
        <v>10800</v>
      </c>
      <c r="AJ101" s="610">
        <f t="shared" si="21"/>
        <v>0</v>
      </c>
      <c r="AK101" s="610"/>
      <c r="AL101" s="610"/>
      <c r="AM101" s="610"/>
      <c r="AN101" s="610"/>
      <c r="AO101" s="554">
        <f>I101</f>
        <v>10800</v>
      </c>
      <c r="AR101" s="619"/>
      <c r="AS101" s="548"/>
      <c r="AT101" s="548"/>
      <c r="AU101" s="548"/>
      <c r="AV101" s="548"/>
      <c r="AW101" s="619"/>
      <c r="AX101" s="548"/>
      <c r="AY101" s="548"/>
      <c r="AZ101" s="548"/>
      <c r="BA101" s="548"/>
      <c r="BB101" s="620">
        <f>I101</f>
        <v>10800</v>
      </c>
      <c r="BV101" s="554">
        <f>I101</f>
        <v>10800</v>
      </c>
      <c r="BW101" s="554">
        <f>I101</f>
        <v>10800</v>
      </c>
      <c r="BX101" s="554">
        <f>I101/25</f>
        <v>432</v>
      </c>
      <c r="BY101" s="619"/>
      <c r="BZ101" s="548"/>
      <c r="CA101" s="621"/>
      <c r="CB101" s="567"/>
      <c r="CC101" s="622"/>
      <c r="CD101" s="619"/>
      <c r="CE101" s="619"/>
      <c r="CF101" s="548"/>
      <c r="CG101" s="548"/>
      <c r="CU101" s="554">
        <f t="shared" si="23"/>
        <v>432</v>
      </c>
      <c r="CV101" s="554">
        <f t="shared" si="15"/>
        <v>0</v>
      </c>
      <c r="CW101" s="554">
        <f t="shared" si="16"/>
        <v>0</v>
      </c>
      <c r="CX101" s="619"/>
      <c r="CY101" s="619"/>
      <c r="CZ101" s="619"/>
      <c r="DA101" s="548"/>
      <c r="DB101" s="548"/>
      <c r="DC101" s="548"/>
      <c r="DD101" s="619"/>
      <c r="DE101" s="619"/>
      <c r="DF101" s="619"/>
      <c r="DG101" s="619"/>
      <c r="DH101" s="619"/>
    </row>
    <row r="102" s="548" customFormat="1" ht="31" customHeight="1" spans="1:112">
      <c r="A102" s="608">
        <v>45749</v>
      </c>
      <c r="B102" s="609" t="s">
        <v>374</v>
      </c>
      <c r="C102" s="610" t="s">
        <v>375</v>
      </c>
      <c r="D102" s="554">
        <v>4500161573</v>
      </c>
      <c r="E102" s="610">
        <v>4100411993</v>
      </c>
      <c r="F102" s="554" t="s">
        <v>6285</v>
      </c>
      <c r="G102" s="610" t="s">
        <v>6047</v>
      </c>
      <c r="H102" s="610" t="s">
        <v>6048</v>
      </c>
      <c r="I102" s="610">
        <v>400</v>
      </c>
      <c r="J102" s="610">
        <v>0</v>
      </c>
      <c r="K102" s="610">
        <v>25</v>
      </c>
      <c r="L102" s="611">
        <f t="shared" si="22"/>
        <v>16</v>
      </c>
      <c r="M102" s="612">
        <v>45803</v>
      </c>
      <c r="N102" s="612">
        <v>45799</v>
      </c>
      <c r="O102" s="613"/>
      <c r="P102" s="613" t="s">
        <v>113</v>
      </c>
      <c r="Q102" s="610"/>
      <c r="R102" s="614">
        <v>45769</v>
      </c>
      <c r="S102" s="614" t="s">
        <v>70</v>
      </c>
      <c r="T102" s="614">
        <v>45765</v>
      </c>
      <c r="U102" s="614"/>
      <c r="V102" s="614"/>
      <c r="W102" s="615"/>
      <c r="X102" s="609" t="s">
        <v>6286</v>
      </c>
      <c r="Y102" s="609" t="s">
        <v>244</v>
      </c>
      <c r="Z102" s="609">
        <v>0.95</v>
      </c>
      <c r="AA102" s="616">
        <f t="shared" si="17"/>
        <v>380</v>
      </c>
      <c r="AC102" s="629" t="s">
        <v>378</v>
      </c>
      <c r="AD102" s="610" t="s">
        <v>6047</v>
      </c>
      <c r="AE102" s="610" t="s">
        <v>82</v>
      </c>
      <c r="AF102" s="610"/>
      <c r="AG102" s="610" t="s">
        <v>74</v>
      </c>
      <c r="AH102" s="610"/>
      <c r="AI102" s="610">
        <v>400</v>
      </c>
      <c r="AJ102" s="610">
        <f t="shared" si="21"/>
        <v>0</v>
      </c>
      <c r="AK102" s="610"/>
      <c r="AL102" s="610"/>
      <c r="AM102" s="610"/>
      <c r="AN102" s="610"/>
      <c r="AO102" s="554">
        <f>I102</f>
        <v>400</v>
      </c>
      <c r="AR102" s="619"/>
      <c r="AS102" s="548"/>
      <c r="AT102" s="554">
        <f>I102</f>
        <v>400</v>
      </c>
      <c r="AV102" s="554">
        <f>I102</f>
        <v>400</v>
      </c>
      <c r="AW102" s="619"/>
      <c r="AX102" s="548"/>
      <c r="AY102" s="548"/>
      <c r="AZ102" s="548"/>
      <c r="BA102" s="548"/>
      <c r="BB102" s="620">
        <f>I102/24</f>
        <v>16.6666666666667</v>
      </c>
      <c r="BP102" s="554">
        <f>I102/25</f>
        <v>16</v>
      </c>
      <c r="BY102" s="619"/>
      <c r="BZ102" s="548"/>
      <c r="CA102" s="621"/>
      <c r="CB102" s="567"/>
      <c r="CC102" s="622"/>
      <c r="CD102" s="619"/>
      <c r="CE102" s="619"/>
      <c r="CF102" s="548"/>
      <c r="CG102" s="548"/>
      <c r="CU102" s="554">
        <f t="shared" si="23"/>
        <v>16</v>
      </c>
      <c r="CV102" s="554">
        <f t="shared" si="15"/>
        <v>0</v>
      </c>
      <c r="CW102" s="554">
        <f t="shared" si="16"/>
        <v>0</v>
      </c>
      <c r="CX102" s="619"/>
      <c r="CY102" s="619"/>
      <c r="CZ102" s="619"/>
      <c r="DA102" s="548"/>
      <c r="DB102" s="548"/>
      <c r="DC102" s="548"/>
      <c r="DD102" s="619"/>
      <c r="DE102" s="619"/>
      <c r="DF102" s="619"/>
      <c r="DG102" s="619"/>
      <c r="DH102" s="619"/>
    </row>
    <row r="103" s="548" customFormat="1" ht="31" customHeight="1" spans="1:112">
      <c r="A103" s="608">
        <v>45756</v>
      </c>
      <c r="B103" s="609" t="s">
        <v>135</v>
      </c>
      <c r="C103" s="610" t="s">
        <v>128</v>
      </c>
      <c r="D103" s="554">
        <v>4500162968</v>
      </c>
      <c r="E103" s="610">
        <v>20768339</v>
      </c>
      <c r="F103" s="554" t="s">
        <v>6287</v>
      </c>
      <c r="G103" s="610" t="s">
        <v>6093</v>
      </c>
      <c r="H103" s="610" t="s">
        <v>6094</v>
      </c>
      <c r="I103" s="610">
        <v>1508</v>
      </c>
      <c r="J103" s="610">
        <v>0</v>
      </c>
      <c r="K103" s="610">
        <v>13</v>
      </c>
      <c r="L103" s="611">
        <f t="shared" si="22"/>
        <v>116</v>
      </c>
      <c r="M103" s="612">
        <v>45803</v>
      </c>
      <c r="N103" s="612">
        <v>45799</v>
      </c>
      <c r="O103" s="613"/>
      <c r="P103" s="613" t="s">
        <v>113</v>
      </c>
      <c r="Q103" s="610"/>
      <c r="R103" s="614">
        <v>45769</v>
      </c>
      <c r="S103" s="614" t="s">
        <v>104</v>
      </c>
      <c r="T103" s="614" t="s">
        <v>6205</v>
      </c>
      <c r="U103" s="614"/>
      <c r="V103" s="614"/>
      <c r="W103" s="615"/>
      <c r="X103" s="609" t="s">
        <v>6288</v>
      </c>
      <c r="Y103" s="609" t="s">
        <v>133</v>
      </c>
      <c r="Z103" s="609">
        <v>0.95</v>
      </c>
      <c r="AA103" s="616">
        <f t="shared" si="17"/>
        <v>1432.6</v>
      </c>
      <c r="AC103" s="629" t="s">
        <v>436</v>
      </c>
      <c r="AD103" s="610" t="s">
        <v>6093</v>
      </c>
      <c r="AE103" s="610" t="s">
        <v>82</v>
      </c>
      <c r="AF103" s="610"/>
      <c r="AG103" s="610" t="s">
        <v>74</v>
      </c>
      <c r="AH103" s="610"/>
      <c r="AI103" s="610">
        <v>1508</v>
      </c>
      <c r="AJ103" s="610">
        <f t="shared" si="21"/>
        <v>0</v>
      </c>
      <c r="AK103" s="610"/>
      <c r="AL103" s="610"/>
      <c r="AM103" s="610"/>
      <c r="AN103" s="610"/>
      <c r="AO103" s="554">
        <f>I103</f>
        <v>1508</v>
      </c>
      <c r="AR103" s="619"/>
      <c r="AS103" s="548"/>
      <c r="AT103" s="554">
        <f>I103</f>
        <v>1508</v>
      </c>
      <c r="AV103" s="554">
        <f>I103</f>
        <v>1508</v>
      </c>
      <c r="AW103" s="619"/>
      <c r="AX103" s="548"/>
      <c r="AY103" s="548"/>
      <c r="AZ103" s="548"/>
      <c r="BA103" s="548"/>
      <c r="BB103" s="620">
        <f>I103/24</f>
        <v>62.8333333333333</v>
      </c>
      <c r="BM103" s="554">
        <f>I103/13</f>
        <v>116</v>
      </c>
      <c r="BY103" s="619"/>
      <c r="BZ103" s="548"/>
      <c r="CA103" s="621"/>
      <c r="CB103" s="567"/>
      <c r="CC103" s="622"/>
      <c r="CD103" s="619"/>
      <c r="CE103" s="619"/>
      <c r="CF103" s="548"/>
      <c r="CG103" s="548"/>
      <c r="CU103" s="554">
        <f t="shared" si="23"/>
        <v>0</v>
      </c>
      <c r="CV103" s="554">
        <f t="shared" si="15"/>
        <v>0</v>
      </c>
      <c r="CW103" s="554">
        <f t="shared" si="16"/>
        <v>0</v>
      </c>
      <c r="CX103" s="619"/>
      <c r="CY103" s="619"/>
      <c r="CZ103" s="619"/>
      <c r="DA103" s="548"/>
      <c r="DB103" s="548"/>
      <c r="DC103" s="548"/>
      <c r="DD103" s="619"/>
      <c r="DE103" s="619"/>
      <c r="DF103" s="619"/>
      <c r="DG103" s="619"/>
      <c r="DH103" s="619"/>
    </row>
    <row r="104" s="548" customFormat="1" ht="31" customHeight="1" spans="1:112">
      <c r="A104" s="608">
        <v>45768</v>
      </c>
      <c r="B104" s="609" t="s">
        <v>379</v>
      </c>
      <c r="C104" s="610" t="s">
        <v>98</v>
      </c>
      <c r="D104" s="554">
        <v>4500164375</v>
      </c>
      <c r="E104" s="610" t="s">
        <v>380</v>
      </c>
      <c r="F104" s="554" t="s">
        <v>6289</v>
      </c>
      <c r="G104" s="610" t="s">
        <v>6036</v>
      </c>
      <c r="H104" s="610" t="s">
        <v>6033</v>
      </c>
      <c r="I104" s="610">
        <v>2000</v>
      </c>
      <c r="J104" s="610">
        <v>0</v>
      </c>
      <c r="K104" s="610">
        <v>50</v>
      </c>
      <c r="L104" s="611">
        <f t="shared" si="22"/>
        <v>40</v>
      </c>
      <c r="M104" s="612">
        <v>45804</v>
      </c>
      <c r="N104" s="612">
        <v>45800</v>
      </c>
      <c r="O104" s="613"/>
      <c r="P104" s="613" t="s">
        <v>113</v>
      </c>
      <c r="Q104" s="610"/>
      <c r="R104" s="614">
        <v>45771</v>
      </c>
      <c r="S104" s="614" t="s">
        <v>70</v>
      </c>
      <c r="T104" s="614" t="s">
        <v>70</v>
      </c>
      <c r="U104" s="614"/>
      <c r="V104" s="614"/>
      <c r="W104" s="615"/>
      <c r="X104" s="609" t="s">
        <v>382</v>
      </c>
      <c r="Y104" s="609" t="s">
        <v>383</v>
      </c>
      <c r="Z104" s="609">
        <v>0.57</v>
      </c>
      <c r="AA104" s="616">
        <f t="shared" si="17"/>
        <v>1140</v>
      </c>
      <c r="AC104" s="617"/>
      <c r="AD104" s="610" t="s">
        <v>6036</v>
      </c>
      <c r="AE104" s="610" t="s">
        <v>82</v>
      </c>
      <c r="AF104" s="610"/>
      <c r="AG104" s="610" t="s">
        <v>74</v>
      </c>
      <c r="AH104" s="610"/>
      <c r="AI104" s="610">
        <f>1950+50</f>
        <v>2000</v>
      </c>
      <c r="AJ104" s="610">
        <f t="shared" si="21"/>
        <v>0</v>
      </c>
      <c r="AK104" s="610"/>
      <c r="AL104" s="610"/>
      <c r="AM104" s="610"/>
      <c r="AN104" s="610">
        <f>I104</f>
        <v>2000</v>
      </c>
      <c r="AP104" s="554">
        <f>I104</f>
        <v>2000</v>
      </c>
      <c r="AR104" s="619"/>
      <c r="AS104" s="548"/>
      <c r="AT104" s="548"/>
      <c r="AU104" s="554">
        <f>I104</f>
        <v>2000</v>
      </c>
      <c r="AW104" s="619"/>
      <c r="AX104" s="548"/>
      <c r="AY104" s="548"/>
      <c r="AZ104" s="548"/>
      <c r="BA104" s="548"/>
      <c r="BB104" s="620">
        <f>I104/48</f>
        <v>41.6666666666667</v>
      </c>
      <c r="BN104" s="554">
        <f>I104/25</f>
        <v>80</v>
      </c>
      <c r="BY104" s="619"/>
      <c r="BZ104" s="548"/>
      <c r="CA104" s="621"/>
      <c r="CB104" s="567"/>
      <c r="CC104" s="622"/>
      <c r="CD104" s="619"/>
      <c r="CE104" s="619"/>
      <c r="CF104" s="548"/>
      <c r="CG104" s="548"/>
      <c r="CU104" s="554">
        <f t="shared" si="23"/>
        <v>80</v>
      </c>
      <c r="CV104" s="554">
        <f t="shared" si="15"/>
        <v>0</v>
      </c>
      <c r="CW104" s="554">
        <f t="shared" si="16"/>
        <v>0</v>
      </c>
      <c r="CX104" s="619"/>
      <c r="CY104" s="619"/>
      <c r="CZ104" s="619"/>
      <c r="DA104" s="548"/>
      <c r="DB104" s="548"/>
      <c r="DC104" s="548"/>
      <c r="DD104" s="619"/>
      <c r="DE104" s="619"/>
      <c r="DF104" s="619"/>
      <c r="DG104" s="619"/>
      <c r="DH104" s="619"/>
    </row>
    <row r="105" s="548" customFormat="1" ht="31" customHeight="1" spans="1:112">
      <c r="A105" s="608">
        <v>45771</v>
      </c>
      <c r="B105" s="609" t="s">
        <v>153</v>
      </c>
      <c r="C105" s="610" t="s">
        <v>154</v>
      </c>
      <c r="D105" s="554">
        <v>4500164783</v>
      </c>
      <c r="E105" s="610">
        <v>5200006663</v>
      </c>
      <c r="F105" s="554" t="s">
        <v>6290</v>
      </c>
      <c r="G105" s="610" t="s">
        <v>6120</v>
      </c>
      <c r="H105" s="610" t="s">
        <v>6094</v>
      </c>
      <c r="I105" s="610">
        <v>2873</v>
      </c>
      <c r="J105" s="610">
        <v>0</v>
      </c>
      <c r="K105" s="610">
        <v>13</v>
      </c>
      <c r="L105" s="611">
        <f t="shared" si="22"/>
        <v>221</v>
      </c>
      <c r="M105" s="612">
        <v>45804</v>
      </c>
      <c r="N105" s="612">
        <v>45800</v>
      </c>
      <c r="O105" s="613"/>
      <c r="P105" s="613" t="s">
        <v>113</v>
      </c>
      <c r="Q105" s="610"/>
      <c r="R105" s="614">
        <v>45772</v>
      </c>
      <c r="S105" s="614" t="s">
        <v>70</v>
      </c>
      <c r="T105" s="614">
        <v>45774</v>
      </c>
      <c r="U105" s="614"/>
      <c r="V105" s="614"/>
      <c r="W105" s="615"/>
      <c r="X105" s="609" t="s">
        <v>6291</v>
      </c>
      <c r="Y105" s="609" t="s">
        <v>388</v>
      </c>
      <c r="Z105" s="609">
        <v>1.16</v>
      </c>
      <c r="AA105" s="616">
        <f t="shared" si="17"/>
        <v>3332.68</v>
      </c>
      <c r="AC105" s="629" t="s">
        <v>389</v>
      </c>
      <c r="AD105" s="610" t="s">
        <v>6093</v>
      </c>
      <c r="AE105" s="610" t="s">
        <v>82</v>
      </c>
      <c r="AF105" s="610"/>
      <c r="AG105" s="610" t="s">
        <v>74</v>
      </c>
      <c r="AH105" s="610"/>
      <c r="AI105" s="610">
        <v>2873</v>
      </c>
      <c r="AJ105" s="610">
        <f t="shared" si="21"/>
        <v>0</v>
      </c>
      <c r="AK105" s="610"/>
      <c r="AL105" s="610" t="s">
        <v>126</v>
      </c>
      <c r="AM105" s="610"/>
      <c r="AN105" s="610"/>
      <c r="AO105" s="554">
        <f>I105</f>
        <v>2873</v>
      </c>
      <c r="AR105" s="619"/>
      <c r="AS105" s="548"/>
      <c r="AT105" s="554">
        <f>I105</f>
        <v>2873</v>
      </c>
      <c r="AV105" s="554">
        <f>I105</f>
        <v>2873</v>
      </c>
      <c r="AW105" s="619"/>
      <c r="AX105" s="548"/>
      <c r="AY105" s="548"/>
      <c r="AZ105" s="548"/>
      <c r="BA105" s="548"/>
      <c r="BB105" s="620">
        <f>I105/24</f>
        <v>119.708333333333</v>
      </c>
      <c r="BM105" s="554">
        <f>I105/13</f>
        <v>221</v>
      </c>
      <c r="BY105" s="619"/>
      <c r="BZ105" s="548"/>
      <c r="CA105" s="621"/>
      <c r="CB105" s="567"/>
      <c r="CC105" s="622"/>
      <c r="CD105" s="619"/>
      <c r="CE105" s="619"/>
      <c r="CF105" s="548"/>
      <c r="CG105" s="548"/>
      <c r="CU105" s="554">
        <f t="shared" si="23"/>
        <v>0</v>
      </c>
      <c r="CV105" s="554">
        <f t="shared" si="15"/>
        <v>0</v>
      </c>
      <c r="CW105" s="554">
        <f t="shared" si="16"/>
        <v>0</v>
      </c>
      <c r="CX105" s="619"/>
      <c r="CY105" s="619"/>
      <c r="CZ105" s="619"/>
      <c r="DA105" s="548"/>
      <c r="DB105" s="548"/>
      <c r="DC105" s="548"/>
      <c r="DD105" s="619"/>
      <c r="DE105" s="619"/>
      <c r="DF105" s="619"/>
      <c r="DG105" s="619"/>
      <c r="DH105" s="619"/>
    </row>
    <row r="106" s="548" customFormat="1" ht="31" customHeight="1" spans="1:112">
      <c r="A106" s="608">
        <v>45740</v>
      </c>
      <c r="B106" s="609" t="s">
        <v>391</v>
      </c>
      <c r="C106" s="610" t="s">
        <v>154</v>
      </c>
      <c r="D106" s="554">
        <v>4500161168</v>
      </c>
      <c r="E106" s="610">
        <v>10355377</v>
      </c>
      <c r="F106" s="554" t="s">
        <v>6292</v>
      </c>
      <c r="G106" s="610" t="s">
        <v>6093</v>
      </c>
      <c r="H106" s="610" t="s">
        <v>6094</v>
      </c>
      <c r="I106" s="610">
        <v>1495</v>
      </c>
      <c r="J106" s="610">
        <v>0</v>
      </c>
      <c r="K106" s="610">
        <v>13</v>
      </c>
      <c r="L106" s="611">
        <f t="shared" si="22"/>
        <v>115</v>
      </c>
      <c r="M106" s="612">
        <v>45807</v>
      </c>
      <c r="N106" s="612">
        <v>45803</v>
      </c>
      <c r="O106" s="613"/>
      <c r="P106" s="613" t="s">
        <v>113</v>
      </c>
      <c r="Q106" s="610"/>
      <c r="R106" s="614">
        <v>45772</v>
      </c>
      <c r="S106" s="614" t="s">
        <v>104</v>
      </c>
      <c r="T106" s="614">
        <v>45774</v>
      </c>
      <c r="U106" s="614"/>
      <c r="V106" s="614"/>
      <c r="W106" s="615"/>
      <c r="X106" s="609" t="s">
        <v>6293</v>
      </c>
      <c r="Y106" s="609" t="s">
        <v>394</v>
      </c>
      <c r="Z106" s="609">
        <v>0.92</v>
      </c>
      <c r="AA106" s="616">
        <f t="shared" si="17"/>
        <v>1375.4</v>
      </c>
      <c r="AC106" s="629" t="s">
        <v>395</v>
      </c>
      <c r="AD106" s="610" t="s">
        <v>6093</v>
      </c>
      <c r="AE106" s="610" t="s">
        <v>82</v>
      </c>
      <c r="AF106" s="610"/>
      <c r="AG106" s="610" t="s">
        <v>74</v>
      </c>
      <c r="AH106" s="610"/>
      <c r="AI106" s="610">
        <v>1495</v>
      </c>
      <c r="AJ106" s="610">
        <f t="shared" si="21"/>
        <v>0</v>
      </c>
      <c r="AK106" s="610"/>
      <c r="AL106" s="610" t="s">
        <v>454</v>
      </c>
      <c r="AM106" s="610"/>
      <c r="AN106" s="610"/>
      <c r="AO106" s="554">
        <f>I106</f>
        <v>1495</v>
      </c>
      <c r="AR106" s="619"/>
      <c r="AS106" s="548"/>
      <c r="AT106" s="554">
        <f>I106</f>
        <v>1495</v>
      </c>
      <c r="AV106" s="554">
        <f>I106</f>
        <v>1495</v>
      </c>
      <c r="AW106" s="619"/>
      <c r="AX106" s="548"/>
      <c r="AY106" s="548"/>
      <c r="AZ106" s="548"/>
      <c r="BA106" s="548"/>
      <c r="BB106" s="620">
        <f>I106/24</f>
        <v>62.2916666666667</v>
      </c>
      <c r="BM106" s="554">
        <f>I106/13</f>
        <v>115</v>
      </c>
      <c r="BY106" s="619"/>
      <c r="BZ106" s="548"/>
      <c r="CA106" s="621"/>
      <c r="CB106" s="567"/>
      <c r="CC106" s="622"/>
      <c r="CD106" s="619"/>
      <c r="CE106" s="619"/>
      <c r="CF106" s="548"/>
      <c r="CG106" s="548"/>
      <c r="CU106" s="554">
        <f t="shared" si="23"/>
        <v>0</v>
      </c>
      <c r="CV106" s="554">
        <f t="shared" si="15"/>
        <v>0</v>
      </c>
      <c r="CW106" s="554">
        <f t="shared" si="16"/>
        <v>0</v>
      </c>
      <c r="CX106" s="619"/>
      <c r="CY106" s="619"/>
      <c r="CZ106" s="619"/>
      <c r="DA106" s="548"/>
      <c r="DB106" s="548"/>
      <c r="DC106" s="548"/>
      <c r="DD106" s="619"/>
      <c r="DE106" s="619"/>
      <c r="DF106" s="619"/>
      <c r="DG106" s="619"/>
      <c r="DH106" s="619"/>
    </row>
    <row r="107" s="548" customFormat="1" ht="31" customHeight="1" spans="1:112">
      <c r="A107" s="608">
        <v>45748</v>
      </c>
      <c r="B107" s="609" t="s">
        <v>143</v>
      </c>
      <c r="C107" s="610" t="s">
        <v>98</v>
      </c>
      <c r="D107" s="554">
        <v>4500162170</v>
      </c>
      <c r="E107" s="610">
        <v>904512304</v>
      </c>
      <c r="F107" s="554" t="s">
        <v>6294</v>
      </c>
      <c r="G107" s="610" t="s">
        <v>6063</v>
      </c>
      <c r="H107" s="610" t="s">
        <v>6064</v>
      </c>
      <c r="I107" s="610">
        <v>5664</v>
      </c>
      <c r="J107" s="610">
        <v>0</v>
      </c>
      <c r="K107" s="610">
        <v>16</v>
      </c>
      <c r="L107" s="611">
        <f t="shared" si="22"/>
        <v>354</v>
      </c>
      <c r="M107" s="612">
        <v>45807</v>
      </c>
      <c r="N107" s="612">
        <v>45803</v>
      </c>
      <c r="O107" s="613" t="s">
        <v>367</v>
      </c>
      <c r="P107" s="613" t="s">
        <v>113</v>
      </c>
      <c r="Q107" s="610"/>
      <c r="R107" s="614" t="s">
        <v>147</v>
      </c>
      <c r="S107" s="614" t="s">
        <v>70</v>
      </c>
      <c r="T107" s="614" t="s">
        <v>6142</v>
      </c>
      <c r="U107" s="614"/>
      <c r="V107" s="614" t="s">
        <v>148</v>
      </c>
      <c r="W107" s="615"/>
      <c r="X107" s="609" t="s">
        <v>6143</v>
      </c>
      <c r="Y107" s="609" t="s">
        <v>106</v>
      </c>
      <c r="Z107" s="609">
        <v>1.68</v>
      </c>
      <c r="AA107" s="616">
        <f t="shared" si="17"/>
        <v>9515.52</v>
      </c>
      <c r="AC107" s="617"/>
      <c r="AD107" s="610" t="s">
        <v>6063</v>
      </c>
      <c r="AE107" s="610" t="s">
        <v>82</v>
      </c>
      <c r="AF107" s="610"/>
      <c r="AG107" s="610" t="s">
        <v>74</v>
      </c>
      <c r="AH107" s="610"/>
      <c r="AI107" s="610">
        <v>5664</v>
      </c>
      <c r="AJ107" s="610">
        <f t="shared" si="21"/>
        <v>0</v>
      </c>
      <c r="AK107" s="610"/>
      <c r="AL107" s="610"/>
      <c r="AM107" s="610"/>
      <c r="AN107" s="610">
        <f>I107</f>
        <v>5664</v>
      </c>
      <c r="AP107" s="554">
        <f>I107</f>
        <v>5664</v>
      </c>
      <c r="AR107" s="619"/>
      <c r="AS107" s="548"/>
      <c r="AT107" s="548"/>
      <c r="AU107" s="554">
        <f>I107</f>
        <v>5664</v>
      </c>
      <c r="AW107" s="619"/>
      <c r="AX107" s="548"/>
      <c r="AY107" s="548"/>
      <c r="AZ107" s="548"/>
      <c r="BA107" s="548"/>
      <c r="BB107" s="620">
        <f>I107/48</f>
        <v>118</v>
      </c>
      <c r="BQ107" s="554">
        <f>I107/16</f>
        <v>354</v>
      </c>
      <c r="BY107" s="619"/>
      <c r="BZ107" s="548"/>
      <c r="CA107" s="621"/>
      <c r="CB107" s="567"/>
      <c r="CC107" s="622"/>
      <c r="CD107" s="619"/>
      <c r="CE107" s="619"/>
      <c r="CF107" s="548"/>
      <c r="CG107" s="548"/>
      <c r="CU107" s="554">
        <f t="shared" si="23"/>
        <v>354</v>
      </c>
      <c r="CV107" s="554">
        <f t="shared" si="15"/>
        <v>0</v>
      </c>
      <c r="CW107" s="554">
        <f t="shared" si="16"/>
        <v>0</v>
      </c>
      <c r="CX107" s="619"/>
      <c r="CY107" s="619"/>
      <c r="CZ107" s="619"/>
      <c r="DA107" s="548"/>
      <c r="DB107" s="548"/>
      <c r="DC107" s="548"/>
      <c r="DD107" s="619"/>
      <c r="DE107" s="619"/>
      <c r="DF107" s="619"/>
      <c r="DG107" s="619"/>
      <c r="DH107" s="619"/>
    </row>
    <row r="108" s="548" customFormat="1" ht="31" customHeight="1" spans="1:112">
      <c r="A108" s="608">
        <v>45758</v>
      </c>
      <c r="B108" s="609" t="s">
        <v>398</v>
      </c>
      <c r="C108" s="610" t="s">
        <v>399</v>
      </c>
      <c r="D108" s="554">
        <v>4500163040</v>
      </c>
      <c r="E108" s="610"/>
      <c r="F108" s="554" t="s">
        <v>6295</v>
      </c>
      <c r="G108" s="610" t="s">
        <v>6043</v>
      </c>
      <c r="H108" s="610" t="s">
        <v>6110</v>
      </c>
      <c r="I108" s="610">
        <v>450</v>
      </c>
      <c r="J108" s="610">
        <v>0</v>
      </c>
      <c r="K108" s="610">
        <v>50</v>
      </c>
      <c r="L108" s="611">
        <f t="shared" si="22"/>
        <v>9</v>
      </c>
      <c r="M108" s="612">
        <v>45807</v>
      </c>
      <c r="N108" s="612">
        <v>45803</v>
      </c>
      <c r="O108" s="613"/>
      <c r="P108" s="613" t="s">
        <v>113</v>
      </c>
      <c r="Q108" s="610"/>
      <c r="R108" s="614">
        <v>45758</v>
      </c>
      <c r="S108" s="614" t="s">
        <v>70</v>
      </c>
      <c r="T108" s="614">
        <v>45761</v>
      </c>
      <c r="U108" s="614"/>
      <c r="V108" s="614"/>
      <c r="W108" s="615"/>
      <c r="X108" s="609" t="s">
        <v>6296</v>
      </c>
      <c r="Y108" s="609" t="s">
        <v>402</v>
      </c>
      <c r="Z108" s="609">
        <v>0.95</v>
      </c>
      <c r="AA108" s="616">
        <f t="shared" si="17"/>
        <v>427.5</v>
      </c>
      <c r="AC108" s="629" t="s">
        <v>403</v>
      </c>
      <c r="AD108" s="610" t="s">
        <v>6043</v>
      </c>
      <c r="AE108" s="610" t="s">
        <v>82</v>
      </c>
      <c r="AF108" s="610"/>
      <c r="AG108" s="610" t="s">
        <v>74</v>
      </c>
      <c r="AH108" s="610"/>
      <c r="AI108" s="610">
        <v>450</v>
      </c>
      <c r="AJ108" s="610">
        <f t="shared" si="21"/>
        <v>0</v>
      </c>
      <c r="AK108" s="610"/>
      <c r="AL108" s="610"/>
      <c r="AM108" s="610"/>
      <c r="AN108" s="610"/>
      <c r="AO108" s="554">
        <f>I108</f>
        <v>450</v>
      </c>
      <c r="AR108" s="619"/>
      <c r="AS108" s="548"/>
      <c r="AT108" s="554">
        <f>I108</f>
        <v>450</v>
      </c>
      <c r="AV108" s="554">
        <f>I108</f>
        <v>450</v>
      </c>
      <c r="AW108" s="619"/>
      <c r="AX108" s="548"/>
      <c r="AY108" s="548"/>
      <c r="AZ108" s="548"/>
      <c r="BA108" s="548"/>
      <c r="BB108" s="620">
        <f>I108/24</f>
        <v>18.75</v>
      </c>
      <c r="BP108" s="554">
        <f>I108/25</f>
        <v>18</v>
      </c>
      <c r="BY108" s="619"/>
      <c r="BZ108" s="548"/>
      <c r="CA108" s="621"/>
      <c r="CB108" s="567"/>
      <c r="CC108" s="622"/>
      <c r="CD108" s="619"/>
      <c r="CE108" s="619"/>
      <c r="CF108" s="548"/>
      <c r="CG108" s="548"/>
      <c r="CU108" s="554">
        <f t="shared" si="23"/>
        <v>18</v>
      </c>
      <c r="CV108" s="554">
        <f t="shared" si="15"/>
        <v>0</v>
      </c>
      <c r="CW108" s="554">
        <f t="shared" si="16"/>
        <v>0</v>
      </c>
      <c r="CX108" s="619"/>
      <c r="CY108" s="619"/>
      <c r="CZ108" s="619"/>
      <c r="DA108" s="548"/>
      <c r="DB108" s="548"/>
      <c r="DC108" s="548"/>
      <c r="DD108" s="619"/>
      <c r="DE108" s="619"/>
      <c r="DF108" s="619"/>
      <c r="DG108" s="619"/>
      <c r="DH108" s="619"/>
    </row>
    <row r="109" s="548" customFormat="1" ht="31" customHeight="1" spans="1:112">
      <c r="A109" s="608">
        <v>45758</v>
      </c>
      <c r="B109" s="609" t="s">
        <v>404</v>
      </c>
      <c r="C109" s="610" t="s">
        <v>278</v>
      </c>
      <c r="D109" s="554">
        <v>4500163405</v>
      </c>
      <c r="E109" s="610" t="s">
        <v>6297</v>
      </c>
      <c r="F109" s="554" t="s">
        <v>6298</v>
      </c>
      <c r="G109" s="610" t="s">
        <v>6025</v>
      </c>
      <c r="H109" s="610" t="s">
        <v>6026</v>
      </c>
      <c r="I109" s="610">
        <v>120</v>
      </c>
      <c r="J109" s="610">
        <v>0</v>
      </c>
      <c r="K109" s="610">
        <v>24</v>
      </c>
      <c r="L109" s="611">
        <f t="shared" si="22"/>
        <v>5</v>
      </c>
      <c r="M109" s="612">
        <v>45807</v>
      </c>
      <c r="N109" s="612">
        <v>45803</v>
      </c>
      <c r="O109" s="613"/>
      <c r="P109" s="613" t="s">
        <v>113</v>
      </c>
      <c r="Q109" s="610"/>
      <c r="R109" s="614">
        <v>45758</v>
      </c>
      <c r="S109" s="614" t="s">
        <v>70</v>
      </c>
      <c r="T109" s="614">
        <v>45775</v>
      </c>
      <c r="U109" s="614"/>
      <c r="V109" s="614"/>
      <c r="W109" s="615"/>
      <c r="X109" s="609" t="s">
        <v>6299</v>
      </c>
      <c r="Y109" s="609" t="s">
        <v>323</v>
      </c>
      <c r="Z109" s="609">
        <v>0.87</v>
      </c>
      <c r="AA109" s="616">
        <f t="shared" si="17"/>
        <v>104.4</v>
      </c>
      <c r="AC109" s="629" t="s">
        <v>6300</v>
      </c>
      <c r="AD109" s="610" t="s">
        <v>6025</v>
      </c>
      <c r="AE109" s="610" t="s">
        <v>82</v>
      </c>
      <c r="AF109" s="610"/>
      <c r="AG109" s="610" t="s">
        <v>74</v>
      </c>
      <c r="AH109" s="610"/>
      <c r="AI109" s="610">
        <v>120</v>
      </c>
      <c r="AJ109" s="610">
        <f t="shared" si="21"/>
        <v>0</v>
      </c>
      <c r="AK109" s="610"/>
      <c r="AL109" s="610"/>
      <c r="AM109" s="610"/>
      <c r="AN109" s="610"/>
      <c r="AO109" s="554">
        <f>I109</f>
        <v>120</v>
      </c>
      <c r="AR109" s="619"/>
      <c r="AS109" s="548"/>
      <c r="AT109" s="554">
        <f>I109</f>
        <v>120</v>
      </c>
      <c r="AV109" s="554">
        <f>I109</f>
        <v>120</v>
      </c>
      <c r="AW109" s="619"/>
      <c r="AX109" s="548"/>
      <c r="AY109" s="548"/>
      <c r="AZ109" s="548"/>
      <c r="BA109" s="548"/>
      <c r="BB109" s="620">
        <f>I109/24</f>
        <v>5</v>
      </c>
      <c r="BY109" s="619"/>
      <c r="BZ109" s="548"/>
      <c r="CA109" s="621"/>
      <c r="CB109" s="567"/>
      <c r="CC109" s="622"/>
      <c r="CD109" s="619"/>
      <c r="CE109" s="619"/>
      <c r="CF109" s="548"/>
      <c r="CG109" s="548"/>
      <c r="CU109" s="554">
        <f t="shared" si="23"/>
        <v>0</v>
      </c>
      <c r="CV109" s="554">
        <f t="shared" si="15"/>
        <v>0</v>
      </c>
      <c r="CW109" s="554">
        <f t="shared" si="16"/>
        <v>0</v>
      </c>
      <c r="CX109" s="619"/>
      <c r="CY109" s="619"/>
      <c r="CZ109" s="619"/>
      <c r="DA109" s="548"/>
      <c r="DB109" s="548"/>
      <c r="DC109" s="548"/>
      <c r="DD109" s="619"/>
      <c r="DE109" s="619"/>
      <c r="DF109" s="619"/>
      <c r="DG109" s="619"/>
      <c r="DH109" s="619"/>
    </row>
    <row r="110" s="548" customFormat="1" ht="31" customHeight="1" spans="1:112">
      <c r="A110" s="608">
        <v>45763</v>
      </c>
      <c r="B110" s="609" t="s">
        <v>417</v>
      </c>
      <c r="C110" s="610" t="s">
        <v>241</v>
      </c>
      <c r="D110" s="554">
        <v>4500163205</v>
      </c>
      <c r="E110" s="610">
        <v>14675</v>
      </c>
      <c r="F110" s="554" t="s">
        <v>6301</v>
      </c>
      <c r="G110" s="610" t="s">
        <v>6047</v>
      </c>
      <c r="H110" s="610" t="s">
        <v>6048</v>
      </c>
      <c r="I110" s="610">
        <v>225</v>
      </c>
      <c r="J110" s="610">
        <v>0</v>
      </c>
      <c r="K110" s="610">
        <v>25</v>
      </c>
      <c r="L110" s="611">
        <f t="shared" si="22"/>
        <v>9</v>
      </c>
      <c r="M110" s="612">
        <v>45811</v>
      </c>
      <c r="N110" s="612">
        <v>45807</v>
      </c>
      <c r="O110" s="613"/>
      <c r="P110" s="613" t="s">
        <v>113</v>
      </c>
      <c r="Q110" s="610"/>
      <c r="R110" s="614">
        <v>45763</v>
      </c>
      <c r="S110" s="614" t="s">
        <v>70</v>
      </c>
      <c r="T110" s="614">
        <v>45790</v>
      </c>
      <c r="U110" s="614"/>
      <c r="V110" s="614"/>
      <c r="W110" s="615"/>
      <c r="X110" s="609" t="s">
        <v>6302</v>
      </c>
      <c r="Y110" s="609" t="s">
        <v>299</v>
      </c>
      <c r="Z110" s="609">
        <v>0.95</v>
      </c>
      <c r="AA110" s="616">
        <f t="shared" si="17"/>
        <v>213.75</v>
      </c>
      <c r="AC110" s="629" t="s">
        <v>420</v>
      </c>
      <c r="AD110" s="610" t="s">
        <v>6047</v>
      </c>
      <c r="AE110" s="610" t="s">
        <v>82</v>
      </c>
      <c r="AF110" s="610"/>
      <c r="AG110" s="610" t="s">
        <v>74</v>
      </c>
      <c r="AH110" s="610"/>
      <c r="AI110" s="610">
        <v>225</v>
      </c>
      <c r="AJ110" s="610">
        <f t="shared" si="21"/>
        <v>0</v>
      </c>
      <c r="AK110" s="610"/>
      <c r="AL110" s="610"/>
      <c r="AM110" s="610"/>
      <c r="AN110" s="610"/>
      <c r="AO110" s="554">
        <f>I110</f>
        <v>225</v>
      </c>
      <c r="AR110" s="619"/>
      <c r="AS110" s="548"/>
      <c r="AT110" s="554">
        <f>I110</f>
        <v>225</v>
      </c>
      <c r="AV110" s="554">
        <f>I110</f>
        <v>225</v>
      </c>
      <c r="AW110" s="619"/>
      <c r="AX110" s="548"/>
      <c r="AY110" s="548"/>
      <c r="AZ110" s="548"/>
      <c r="BA110" s="548"/>
      <c r="BB110" s="620">
        <f>I110/24</f>
        <v>9.375</v>
      </c>
      <c r="BP110" s="554">
        <f>I110/25</f>
        <v>9</v>
      </c>
      <c r="BY110" s="619"/>
      <c r="BZ110" s="548"/>
      <c r="CA110" s="621"/>
      <c r="CB110" s="567"/>
      <c r="CC110" s="622"/>
      <c r="CD110" s="619"/>
      <c r="CE110" s="619"/>
      <c r="CF110" s="548"/>
      <c r="CG110" s="548"/>
      <c r="CU110" s="554">
        <f t="shared" si="23"/>
        <v>9</v>
      </c>
      <c r="CV110" s="554">
        <f t="shared" si="15"/>
        <v>0</v>
      </c>
      <c r="CW110" s="554">
        <f t="shared" si="16"/>
        <v>0</v>
      </c>
      <c r="CX110" s="619"/>
      <c r="CY110" s="619"/>
      <c r="CZ110" s="619"/>
      <c r="DA110" s="548"/>
      <c r="DB110" s="548"/>
      <c r="DC110" s="548"/>
      <c r="DD110" s="619"/>
      <c r="DE110" s="619"/>
      <c r="DF110" s="619"/>
      <c r="DG110" s="619"/>
      <c r="DH110" s="619"/>
    </row>
    <row r="111" s="548" customFormat="1" ht="31" customHeight="1" spans="1:112">
      <c r="A111" s="608">
        <v>45763</v>
      </c>
      <c r="B111" s="609" t="s">
        <v>417</v>
      </c>
      <c r="C111" s="610" t="s">
        <v>241</v>
      </c>
      <c r="D111" s="554">
        <v>4500163205</v>
      </c>
      <c r="E111" s="610">
        <v>14675</v>
      </c>
      <c r="F111" s="554" t="s">
        <v>6303</v>
      </c>
      <c r="G111" s="610" t="s">
        <v>6223</v>
      </c>
      <c r="H111" s="610" t="s">
        <v>6080</v>
      </c>
      <c r="I111" s="610">
        <v>210</v>
      </c>
      <c r="J111" s="610">
        <v>0</v>
      </c>
      <c r="K111" s="610">
        <v>30</v>
      </c>
      <c r="L111" s="611">
        <f t="shared" si="22"/>
        <v>7</v>
      </c>
      <c r="M111" s="612">
        <v>45811</v>
      </c>
      <c r="N111" s="612">
        <v>45807</v>
      </c>
      <c r="O111" s="613"/>
      <c r="P111" s="613" t="s">
        <v>113</v>
      </c>
      <c r="Q111" s="610"/>
      <c r="R111" s="614">
        <v>45763</v>
      </c>
      <c r="S111" s="614" t="s">
        <v>70</v>
      </c>
      <c r="T111" s="614">
        <v>45790</v>
      </c>
      <c r="U111" s="614"/>
      <c r="V111" s="614"/>
      <c r="W111" s="615"/>
      <c r="X111" s="609" t="s">
        <v>6304</v>
      </c>
      <c r="Y111" s="609" t="s">
        <v>299</v>
      </c>
      <c r="Z111" s="609">
        <v>35.1</v>
      </c>
      <c r="AA111" s="616">
        <f>Z111*L111</f>
        <v>245.7</v>
      </c>
      <c r="AC111" s="629" t="s">
        <v>420</v>
      </c>
      <c r="AD111" s="610" t="s">
        <v>6223</v>
      </c>
      <c r="AE111" s="610" t="s">
        <v>82</v>
      </c>
      <c r="AF111" s="610"/>
      <c r="AG111" s="610" t="s">
        <v>74</v>
      </c>
      <c r="AH111" s="610"/>
      <c r="AI111" s="610">
        <v>210</v>
      </c>
      <c r="AJ111" s="610">
        <f t="shared" si="21"/>
        <v>0</v>
      </c>
      <c r="AK111" s="610"/>
      <c r="AL111" s="610"/>
      <c r="AM111" s="610"/>
      <c r="AN111" s="610"/>
      <c r="AO111" s="554">
        <f>I111</f>
        <v>210</v>
      </c>
      <c r="AR111" s="619"/>
      <c r="AS111" s="548"/>
      <c r="AT111" s="554">
        <f>I111</f>
        <v>210</v>
      </c>
      <c r="AV111" s="554">
        <f>I111</f>
        <v>210</v>
      </c>
      <c r="AW111" s="619"/>
      <c r="AX111" s="548"/>
      <c r="AY111" s="548"/>
      <c r="AZ111" s="548"/>
      <c r="BA111" s="548"/>
      <c r="BB111" s="620">
        <f>I111/24</f>
        <v>8.75</v>
      </c>
      <c r="BY111" s="619"/>
      <c r="BZ111" s="548"/>
      <c r="CA111" s="621"/>
      <c r="CB111" s="567"/>
      <c r="CC111" s="622"/>
      <c r="CD111" s="619"/>
      <c r="CE111" s="619"/>
      <c r="CF111" s="548"/>
      <c r="CG111" s="548"/>
      <c r="CP111" s="554">
        <f>I111/30</f>
        <v>7</v>
      </c>
      <c r="CU111" s="554">
        <f t="shared" si="23"/>
        <v>0</v>
      </c>
      <c r="CV111" s="554">
        <f t="shared" si="15"/>
        <v>7</v>
      </c>
      <c r="CW111" s="554">
        <f t="shared" si="16"/>
        <v>0</v>
      </c>
      <c r="CX111" s="619"/>
      <c r="CY111" s="619"/>
      <c r="CZ111" s="619"/>
      <c r="DA111" s="548"/>
      <c r="DB111" s="548"/>
      <c r="DC111" s="548"/>
      <c r="DD111" s="619"/>
      <c r="DE111" s="619"/>
      <c r="DF111" s="619"/>
      <c r="DG111" s="619"/>
      <c r="DH111" s="619"/>
    </row>
    <row r="112" s="548" customFormat="1" ht="31" customHeight="1" spans="1:112">
      <c r="A112" s="608">
        <v>45775</v>
      </c>
      <c r="B112" s="609" t="s">
        <v>143</v>
      </c>
      <c r="C112" s="610" t="s">
        <v>98</v>
      </c>
      <c r="D112" s="554">
        <v>4500162791</v>
      </c>
      <c r="E112" s="610" t="s">
        <v>6305</v>
      </c>
      <c r="F112" s="554" t="s">
        <v>6306</v>
      </c>
      <c r="G112" s="610" t="s">
        <v>6063</v>
      </c>
      <c r="H112" s="610" t="s">
        <v>6064</v>
      </c>
      <c r="I112" s="610">
        <v>3984</v>
      </c>
      <c r="J112" s="610">
        <v>0</v>
      </c>
      <c r="K112" s="610">
        <v>16</v>
      </c>
      <c r="L112" s="611">
        <f t="shared" si="22"/>
        <v>249</v>
      </c>
      <c r="M112" s="612">
        <v>45811</v>
      </c>
      <c r="N112" s="612">
        <v>45807</v>
      </c>
      <c r="O112" s="613"/>
      <c r="P112" s="613" t="s">
        <v>113</v>
      </c>
      <c r="Q112" s="610"/>
      <c r="R112" s="614" t="s">
        <v>6307</v>
      </c>
      <c r="S112" s="614" t="s">
        <v>70</v>
      </c>
      <c r="T112" s="614" t="s">
        <v>148</v>
      </c>
      <c r="U112" s="614"/>
      <c r="V112" s="614"/>
      <c r="W112" s="615"/>
      <c r="X112" s="609" t="s">
        <v>6308</v>
      </c>
      <c r="Y112" s="609" t="s">
        <v>106</v>
      </c>
      <c r="Z112" s="609">
        <v>1.008</v>
      </c>
      <c r="AA112" s="616">
        <f t="shared" ref="AA112:AA127" si="24">Z112*I112</f>
        <v>4015.872</v>
      </c>
      <c r="AC112" s="617"/>
      <c r="AD112" s="610" t="s">
        <v>6063</v>
      </c>
      <c r="AE112" s="610" t="s">
        <v>82</v>
      </c>
      <c r="AF112" s="610"/>
      <c r="AG112" s="610" t="s">
        <v>74</v>
      </c>
      <c r="AH112" s="610"/>
      <c r="AI112" s="610">
        <v>3984</v>
      </c>
      <c r="AJ112" s="610">
        <f t="shared" si="21"/>
        <v>0</v>
      </c>
      <c r="AK112" s="610"/>
      <c r="AL112" s="610"/>
      <c r="AM112" s="610"/>
      <c r="AN112" s="610">
        <f>I112</f>
        <v>3984</v>
      </c>
      <c r="AP112" s="554">
        <f>I112</f>
        <v>3984</v>
      </c>
      <c r="AR112" s="619"/>
      <c r="AS112" s="548"/>
      <c r="AT112" s="548"/>
      <c r="AU112" s="554">
        <f>I112</f>
        <v>3984</v>
      </c>
      <c r="AW112" s="619"/>
      <c r="AX112" s="548"/>
      <c r="AY112" s="548"/>
      <c r="AZ112" s="548"/>
      <c r="BA112" s="548"/>
      <c r="BB112" s="620">
        <f>I112/48</f>
        <v>83</v>
      </c>
      <c r="BQ112" s="554">
        <f>I112/16</f>
        <v>249</v>
      </c>
      <c r="BY112" s="619"/>
      <c r="BZ112" s="548"/>
      <c r="CA112" s="621"/>
      <c r="CB112" s="567"/>
      <c r="CC112" s="622"/>
      <c r="CD112" s="619"/>
      <c r="CE112" s="619"/>
      <c r="CF112" s="548"/>
      <c r="CG112" s="548"/>
      <c r="CU112" s="554">
        <f t="shared" ref="CU112:CU131" si="25">BQ112+BP112+BO112+BN112+BX112+BR112</f>
        <v>249</v>
      </c>
      <c r="CV112" s="554">
        <f t="shared" si="15"/>
        <v>0</v>
      </c>
      <c r="CW112" s="554">
        <f t="shared" si="16"/>
        <v>0</v>
      </c>
      <c r="CX112" s="619"/>
      <c r="CY112" s="619"/>
      <c r="CZ112" s="619"/>
      <c r="DA112" s="548"/>
      <c r="DB112" s="548"/>
      <c r="DC112" s="548"/>
      <c r="DD112" s="619"/>
      <c r="DE112" s="619"/>
      <c r="DF112" s="619"/>
      <c r="DG112" s="619"/>
      <c r="DH112" s="619"/>
    </row>
    <row r="113" s="548" customFormat="1" ht="31" customHeight="1" spans="1:112">
      <c r="A113" s="608">
        <v>45775</v>
      </c>
      <c r="B113" s="609" t="s">
        <v>143</v>
      </c>
      <c r="C113" s="610" t="s">
        <v>98</v>
      </c>
      <c r="D113" s="554">
        <v>4500162791</v>
      </c>
      <c r="E113" s="610" t="s">
        <v>6309</v>
      </c>
      <c r="F113" s="554" t="s">
        <v>6310</v>
      </c>
      <c r="G113" s="610" t="s">
        <v>6063</v>
      </c>
      <c r="H113" s="610" t="s">
        <v>6064</v>
      </c>
      <c r="I113" s="610">
        <v>3824</v>
      </c>
      <c r="J113" s="610">
        <v>0</v>
      </c>
      <c r="K113" s="610">
        <v>16</v>
      </c>
      <c r="L113" s="611">
        <f t="shared" si="22"/>
        <v>239</v>
      </c>
      <c r="M113" s="612">
        <v>45811</v>
      </c>
      <c r="N113" s="612">
        <v>45807</v>
      </c>
      <c r="O113" s="613"/>
      <c r="P113" s="613" t="s">
        <v>113</v>
      </c>
      <c r="Q113" s="610"/>
      <c r="R113" s="614" t="s">
        <v>6307</v>
      </c>
      <c r="S113" s="614" t="s">
        <v>70</v>
      </c>
      <c r="T113" s="614" t="s">
        <v>148</v>
      </c>
      <c r="U113" s="614"/>
      <c r="V113" s="614"/>
      <c r="W113" s="615"/>
      <c r="X113" s="609" t="s">
        <v>6308</v>
      </c>
      <c r="Y113" s="609" t="s">
        <v>106</v>
      </c>
      <c r="Z113" s="609">
        <v>1.008</v>
      </c>
      <c r="AA113" s="616">
        <f t="shared" si="24"/>
        <v>3854.592</v>
      </c>
      <c r="AC113" s="617"/>
      <c r="AD113" s="610" t="s">
        <v>6063</v>
      </c>
      <c r="AE113" s="610" t="s">
        <v>82</v>
      </c>
      <c r="AF113" s="610"/>
      <c r="AG113" s="610" t="s">
        <v>74</v>
      </c>
      <c r="AH113" s="610"/>
      <c r="AI113" s="610">
        <v>3824</v>
      </c>
      <c r="AJ113" s="610">
        <f t="shared" si="21"/>
        <v>0</v>
      </c>
      <c r="AK113" s="610"/>
      <c r="AL113" s="610"/>
      <c r="AM113" s="610"/>
      <c r="AN113" s="610">
        <f>I113</f>
        <v>3824</v>
      </c>
      <c r="AP113" s="554">
        <f>I113</f>
        <v>3824</v>
      </c>
      <c r="AR113" s="619"/>
      <c r="AS113" s="548"/>
      <c r="AT113" s="548"/>
      <c r="AU113" s="554">
        <f>I113</f>
        <v>3824</v>
      </c>
      <c r="AW113" s="619"/>
      <c r="AX113" s="548"/>
      <c r="AY113" s="548"/>
      <c r="AZ113" s="548"/>
      <c r="BA113" s="548"/>
      <c r="BB113" s="620">
        <f>I113/48</f>
        <v>79.6666666666667</v>
      </c>
      <c r="BQ113" s="554">
        <f>I113/16</f>
        <v>239</v>
      </c>
      <c r="BY113" s="619"/>
      <c r="BZ113" s="548"/>
      <c r="CA113" s="621"/>
      <c r="CB113" s="567"/>
      <c r="CC113" s="622"/>
      <c r="CD113" s="619"/>
      <c r="CE113" s="619"/>
      <c r="CF113" s="548"/>
      <c r="CG113" s="548"/>
      <c r="CU113" s="554">
        <f t="shared" si="25"/>
        <v>239</v>
      </c>
      <c r="CV113" s="554">
        <f t="shared" si="15"/>
        <v>0</v>
      </c>
      <c r="CW113" s="554">
        <f t="shared" si="16"/>
        <v>0</v>
      </c>
      <c r="CX113" s="619"/>
      <c r="CY113" s="619"/>
      <c r="CZ113" s="619"/>
      <c r="DA113" s="548"/>
      <c r="DB113" s="548"/>
      <c r="DC113" s="548"/>
      <c r="DD113" s="619"/>
      <c r="DE113" s="619"/>
      <c r="DF113" s="619"/>
      <c r="DG113" s="619"/>
      <c r="DH113" s="619"/>
    </row>
    <row r="114" s="548" customFormat="1" ht="31" customHeight="1" spans="1:112">
      <c r="A114" s="608">
        <v>45775</v>
      </c>
      <c r="B114" s="609" t="s">
        <v>143</v>
      </c>
      <c r="C114" s="610" t="s">
        <v>98</v>
      </c>
      <c r="D114" s="554">
        <v>4500162791</v>
      </c>
      <c r="E114" s="610" t="s">
        <v>6311</v>
      </c>
      <c r="F114" s="554" t="s">
        <v>6312</v>
      </c>
      <c r="G114" s="610" t="s">
        <v>6063</v>
      </c>
      <c r="H114" s="610" t="s">
        <v>6064</v>
      </c>
      <c r="I114" s="610">
        <v>3408</v>
      </c>
      <c r="J114" s="610">
        <v>0</v>
      </c>
      <c r="K114" s="610">
        <v>16</v>
      </c>
      <c r="L114" s="611">
        <f t="shared" si="22"/>
        <v>213</v>
      </c>
      <c r="M114" s="612">
        <v>45811</v>
      </c>
      <c r="N114" s="612">
        <v>45807</v>
      </c>
      <c r="O114" s="613"/>
      <c r="P114" s="613" t="s">
        <v>113</v>
      </c>
      <c r="Q114" s="610"/>
      <c r="R114" s="614" t="s">
        <v>6307</v>
      </c>
      <c r="S114" s="614" t="s">
        <v>70</v>
      </c>
      <c r="T114" s="614" t="s">
        <v>148</v>
      </c>
      <c r="U114" s="614"/>
      <c r="V114" s="614"/>
      <c r="W114" s="615"/>
      <c r="X114" s="609" t="s">
        <v>6308</v>
      </c>
      <c r="Y114" s="609" t="s">
        <v>106</v>
      </c>
      <c r="Z114" s="609">
        <v>1.008</v>
      </c>
      <c r="AA114" s="616">
        <f t="shared" si="24"/>
        <v>3435.264</v>
      </c>
      <c r="AC114" s="617"/>
      <c r="AD114" s="610" t="s">
        <v>6063</v>
      </c>
      <c r="AE114" s="610" t="s">
        <v>82</v>
      </c>
      <c r="AF114" s="610"/>
      <c r="AG114" s="610" t="s">
        <v>74</v>
      </c>
      <c r="AH114" s="610"/>
      <c r="AI114" s="610">
        <v>3408</v>
      </c>
      <c r="AJ114" s="610">
        <f t="shared" si="21"/>
        <v>0</v>
      </c>
      <c r="AK114" s="610"/>
      <c r="AL114" s="610"/>
      <c r="AM114" s="610"/>
      <c r="AN114" s="610">
        <f>I114</f>
        <v>3408</v>
      </c>
      <c r="AP114" s="554">
        <f>I114</f>
        <v>3408</v>
      </c>
      <c r="AR114" s="619"/>
      <c r="AS114" s="548"/>
      <c r="AT114" s="548"/>
      <c r="AU114" s="554">
        <f>I114</f>
        <v>3408</v>
      </c>
      <c r="AW114" s="619"/>
      <c r="AX114" s="548"/>
      <c r="AY114" s="548"/>
      <c r="AZ114" s="548"/>
      <c r="BA114" s="548"/>
      <c r="BB114" s="620">
        <f>I114/48</f>
        <v>71</v>
      </c>
      <c r="BQ114" s="554">
        <f>I114/16</f>
        <v>213</v>
      </c>
      <c r="BY114" s="619"/>
      <c r="BZ114" s="548"/>
      <c r="CA114" s="621"/>
      <c r="CB114" s="567"/>
      <c r="CC114" s="622"/>
      <c r="CD114" s="619"/>
      <c r="CE114" s="619"/>
      <c r="CF114" s="548"/>
      <c r="CG114" s="548"/>
      <c r="CU114" s="554">
        <f t="shared" si="25"/>
        <v>213</v>
      </c>
      <c r="CV114" s="554">
        <f t="shared" si="15"/>
        <v>0</v>
      </c>
      <c r="CW114" s="554">
        <f t="shared" si="16"/>
        <v>0</v>
      </c>
      <c r="CX114" s="619"/>
      <c r="CY114" s="619"/>
      <c r="CZ114" s="619"/>
      <c r="DA114" s="548"/>
      <c r="DB114" s="548"/>
      <c r="DC114" s="548"/>
      <c r="DD114" s="619"/>
      <c r="DE114" s="619"/>
      <c r="DF114" s="619"/>
      <c r="DG114" s="619"/>
      <c r="DH114" s="619"/>
    </row>
    <row r="115" s="548" customFormat="1" ht="31" customHeight="1" spans="1:112">
      <c r="A115" s="608">
        <v>45775</v>
      </c>
      <c r="B115" s="609" t="s">
        <v>143</v>
      </c>
      <c r="C115" s="610" t="s">
        <v>98</v>
      </c>
      <c r="D115" s="554">
        <v>4500162791</v>
      </c>
      <c r="E115" s="610" t="s">
        <v>6313</v>
      </c>
      <c r="F115" s="554" t="s">
        <v>6314</v>
      </c>
      <c r="G115" s="610" t="s">
        <v>6063</v>
      </c>
      <c r="H115" s="610" t="s">
        <v>6064</v>
      </c>
      <c r="I115" s="610">
        <v>4544</v>
      </c>
      <c r="J115" s="610">
        <v>0</v>
      </c>
      <c r="K115" s="610">
        <v>16</v>
      </c>
      <c r="L115" s="611">
        <f t="shared" si="22"/>
        <v>284</v>
      </c>
      <c r="M115" s="612">
        <v>45811</v>
      </c>
      <c r="N115" s="612">
        <v>45807</v>
      </c>
      <c r="O115" s="613"/>
      <c r="P115" s="613" t="s">
        <v>113</v>
      </c>
      <c r="Q115" s="610"/>
      <c r="R115" s="614" t="s">
        <v>6307</v>
      </c>
      <c r="S115" s="614" t="s">
        <v>70</v>
      </c>
      <c r="T115" s="614" t="s">
        <v>148</v>
      </c>
      <c r="U115" s="614"/>
      <c r="V115" s="614"/>
      <c r="W115" s="615"/>
      <c r="X115" s="609" t="s">
        <v>6308</v>
      </c>
      <c r="Y115" s="609" t="s">
        <v>106</v>
      </c>
      <c r="Z115" s="609">
        <v>1.008</v>
      </c>
      <c r="AA115" s="616">
        <f t="shared" si="24"/>
        <v>4580.352</v>
      </c>
      <c r="AC115" s="617"/>
      <c r="AD115" s="610" t="s">
        <v>6063</v>
      </c>
      <c r="AE115" s="610" t="s">
        <v>82</v>
      </c>
      <c r="AF115" s="610"/>
      <c r="AG115" s="610" t="s">
        <v>74</v>
      </c>
      <c r="AH115" s="610"/>
      <c r="AI115" s="610">
        <v>4544</v>
      </c>
      <c r="AJ115" s="610">
        <f t="shared" si="21"/>
        <v>0</v>
      </c>
      <c r="AK115" s="610"/>
      <c r="AL115" s="610"/>
      <c r="AM115" s="610"/>
      <c r="AN115" s="610">
        <f>I115</f>
        <v>4544</v>
      </c>
      <c r="AP115" s="554">
        <f>I115</f>
        <v>4544</v>
      </c>
      <c r="AR115" s="619"/>
      <c r="AS115" s="548"/>
      <c r="AT115" s="548"/>
      <c r="AU115" s="554">
        <f>I115</f>
        <v>4544</v>
      </c>
      <c r="AW115" s="619"/>
      <c r="AX115" s="548"/>
      <c r="AY115" s="548"/>
      <c r="AZ115" s="548"/>
      <c r="BA115" s="548"/>
      <c r="BB115" s="620">
        <f>I115/48</f>
        <v>94.6666666666667</v>
      </c>
      <c r="BQ115" s="554">
        <f>I115/16</f>
        <v>284</v>
      </c>
      <c r="BY115" s="619"/>
      <c r="BZ115" s="548"/>
      <c r="CA115" s="621"/>
      <c r="CB115" s="567"/>
      <c r="CC115" s="622"/>
      <c r="CD115" s="619"/>
      <c r="CE115" s="619"/>
      <c r="CF115" s="548"/>
      <c r="CG115" s="548"/>
      <c r="CU115" s="554">
        <f t="shared" si="25"/>
        <v>284</v>
      </c>
      <c r="CV115" s="554">
        <f t="shared" si="15"/>
        <v>0</v>
      </c>
      <c r="CW115" s="554">
        <f t="shared" si="16"/>
        <v>0</v>
      </c>
      <c r="CX115" s="619"/>
      <c r="CY115" s="619"/>
      <c r="CZ115" s="619"/>
      <c r="DA115" s="548"/>
      <c r="DB115" s="548"/>
      <c r="DC115" s="548"/>
      <c r="DD115" s="619"/>
      <c r="DE115" s="619"/>
      <c r="DF115" s="619"/>
      <c r="DG115" s="619"/>
      <c r="DH115" s="619"/>
    </row>
    <row r="116" s="548" customFormat="1" ht="31" customHeight="1" spans="1:112">
      <c r="A116" s="608">
        <v>45775</v>
      </c>
      <c r="B116" s="609" t="s">
        <v>143</v>
      </c>
      <c r="C116" s="610" t="s">
        <v>98</v>
      </c>
      <c r="D116" s="554">
        <v>4500162791</v>
      </c>
      <c r="E116" s="610" t="s">
        <v>6315</v>
      </c>
      <c r="F116" s="554" t="s">
        <v>6316</v>
      </c>
      <c r="G116" s="610" t="s">
        <v>6063</v>
      </c>
      <c r="H116" s="610" t="s">
        <v>6064</v>
      </c>
      <c r="I116" s="610">
        <v>4048</v>
      </c>
      <c r="J116" s="610">
        <v>0</v>
      </c>
      <c r="K116" s="610">
        <v>16</v>
      </c>
      <c r="L116" s="611">
        <f t="shared" si="22"/>
        <v>253</v>
      </c>
      <c r="M116" s="612">
        <v>45811</v>
      </c>
      <c r="N116" s="612">
        <v>45807</v>
      </c>
      <c r="O116" s="613"/>
      <c r="P116" s="613" t="s">
        <v>113</v>
      </c>
      <c r="Q116" s="610"/>
      <c r="R116" s="614" t="s">
        <v>6307</v>
      </c>
      <c r="S116" s="614" t="s">
        <v>70</v>
      </c>
      <c r="T116" s="614" t="s">
        <v>148</v>
      </c>
      <c r="U116" s="614"/>
      <c r="V116" s="614"/>
      <c r="W116" s="615"/>
      <c r="X116" s="609" t="s">
        <v>6308</v>
      </c>
      <c r="Y116" s="609" t="s">
        <v>106</v>
      </c>
      <c r="Z116" s="609">
        <v>1.008</v>
      </c>
      <c r="AA116" s="616">
        <f t="shared" si="24"/>
        <v>4080.384</v>
      </c>
      <c r="AC116" s="617"/>
      <c r="AD116" s="610" t="s">
        <v>6063</v>
      </c>
      <c r="AE116" s="610" t="s">
        <v>82</v>
      </c>
      <c r="AF116" s="610"/>
      <c r="AG116" s="610" t="s">
        <v>74</v>
      </c>
      <c r="AH116" s="610"/>
      <c r="AI116" s="610">
        <v>4048</v>
      </c>
      <c r="AJ116" s="610">
        <f t="shared" si="21"/>
        <v>0</v>
      </c>
      <c r="AK116" s="610"/>
      <c r="AL116" s="610"/>
      <c r="AM116" s="610"/>
      <c r="AN116" s="610">
        <f>I116</f>
        <v>4048</v>
      </c>
      <c r="AP116" s="554">
        <f>I116</f>
        <v>4048</v>
      </c>
      <c r="AR116" s="619"/>
      <c r="AS116" s="548"/>
      <c r="AT116" s="548"/>
      <c r="AU116" s="554">
        <f>I116</f>
        <v>4048</v>
      </c>
      <c r="AW116" s="619"/>
      <c r="AX116" s="548"/>
      <c r="AY116" s="548"/>
      <c r="AZ116" s="548"/>
      <c r="BA116" s="548"/>
      <c r="BB116" s="620">
        <f>I116/48</f>
        <v>84.3333333333333</v>
      </c>
      <c r="BQ116" s="554">
        <f>I116/16</f>
        <v>253</v>
      </c>
      <c r="BY116" s="619"/>
      <c r="BZ116" s="548"/>
      <c r="CA116" s="621"/>
      <c r="CB116" s="567"/>
      <c r="CC116" s="622"/>
      <c r="CD116" s="619"/>
      <c r="CE116" s="619"/>
      <c r="CF116" s="548"/>
      <c r="CG116" s="548"/>
      <c r="CU116" s="554">
        <f t="shared" si="25"/>
        <v>253</v>
      </c>
      <c r="CV116" s="554">
        <f t="shared" si="15"/>
        <v>0</v>
      </c>
      <c r="CW116" s="554">
        <f t="shared" si="16"/>
        <v>0</v>
      </c>
      <c r="CX116" s="619"/>
      <c r="CY116" s="619"/>
      <c r="CZ116" s="619"/>
      <c r="DA116" s="548"/>
      <c r="DB116" s="548"/>
      <c r="DC116" s="548"/>
      <c r="DD116" s="619"/>
      <c r="DE116" s="619"/>
      <c r="DF116" s="619"/>
      <c r="DG116" s="619"/>
      <c r="DH116" s="619"/>
    </row>
    <row r="117" s="548" customFormat="1" ht="31" customHeight="1" spans="1:112">
      <c r="A117" s="608">
        <v>45771</v>
      </c>
      <c r="B117" s="609" t="s">
        <v>493</v>
      </c>
      <c r="C117" s="610" t="s">
        <v>278</v>
      </c>
      <c r="D117" s="554">
        <v>4500164759</v>
      </c>
      <c r="E117" s="610" t="s">
        <v>494</v>
      </c>
      <c r="F117" s="554" t="s">
        <v>6317</v>
      </c>
      <c r="G117" s="610" t="s">
        <v>6318</v>
      </c>
      <c r="H117" s="610" t="s">
        <v>6319</v>
      </c>
      <c r="I117" s="610">
        <v>1000</v>
      </c>
      <c r="J117" s="610">
        <v>25</v>
      </c>
      <c r="K117" s="610">
        <v>50</v>
      </c>
      <c r="L117" s="611">
        <f t="shared" si="22"/>
        <v>20</v>
      </c>
      <c r="M117" s="612">
        <v>45812</v>
      </c>
      <c r="N117" s="612">
        <f>M117-4</f>
        <v>45808</v>
      </c>
      <c r="O117" s="613"/>
      <c r="P117" s="613" t="s">
        <v>113</v>
      </c>
      <c r="Q117" s="610"/>
      <c r="R117" s="614">
        <v>45784</v>
      </c>
      <c r="S117" s="614" t="s">
        <v>70</v>
      </c>
      <c r="T117" s="614">
        <v>45785</v>
      </c>
      <c r="U117" s="614"/>
      <c r="V117" s="614"/>
      <c r="W117" s="615"/>
      <c r="X117" s="609" t="s">
        <v>6320</v>
      </c>
      <c r="Y117" s="609" t="s">
        <v>283</v>
      </c>
      <c r="Z117" s="609">
        <v>0.95</v>
      </c>
      <c r="AA117" s="616">
        <f t="shared" si="24"/>
        <v>950</v>
      </c>
      <c r="AC117" s="629" t="s">
        <v>6321</v>
      </c>
      <c r="AD117" s="610" t="s">
        <v>6318</v>
      </c>
      <c r="AE117" s="610" t="s">
        <v>82</v>
      </c>
      <c r="AF117" s="610"/>
      <c r="AG117" s="610" t="s">
        <v>74</v>
      </c>
      <c r="AH117" s="610"/>
      <c r="AI117" s="610">
        <v>1000</v>
      </c>
      <c r="AJ117" s="610">
        <f t="shared" si="21"/>
        <v>0</v>
      </c>
      <c r="AK117" s="610"/>
      <c r="AL117" s="610"/>
      <c r="AM117" s="610"/>
      <c r="AN117" s="610"/>
      <c r="AO117" s="554">
        <f>I117</f>
        <v>1000</v>
      </c>
      <c r="AR117" s="619"/>
      <c r="AS117" s="548"/>
      <c r="AT117" s="554">
        <f>I117</f>
        <v>1000</v>
      </c>
      <c r="AV117" s="554">
        <f>I117</f>
        <v>1000</v>
      </c>
      <c r="AW117" s="619"/>
      <c r="AX117" s="548"/>
      <c r="AY117" s="548"/>
      <c r="AZ117" s="548"/>
      <c r="BA117" s="548"/>
      <c r="BB117" s="620">
        <f>I117/24</f>
        <v>41.6666666666667</v>
      </c>
      <c r="BP117" s="554">
        <f>I117/25</f>
        <v>40</v>
      </c>
      <c r="BY117" s="619"/>
      <c r="BZ117" s="548"/>
      <c r="CA117" s="621"/>
      <c r="CB117" s="567"/>
      <c r="CC117" s="622"/>
      <c r="CD117" s="619"/>
      <c r="CE117" s="619"/>
      <c r="CF117" s="548"/>
      <c r="CG117" s="548"/>
      <c r="CU117" s="554">
        <f t="shared" si="25"/>
        <v>40</v>
      </c>
      <c r="CV117" s="554">
        <f t="shared" si="15"/>
        <v>0</v>
      </c>
      <c r="CW117" s="554">
        <f t="shared" si="16"/>
        <v>0</v>
      </c>
      <c r="CX117" s="619"/>
      <c r="CY117" s="619"/>
      <c r="CZ117" s="619"/>
      <c r="DA117" s="548"/>
      <c r="DB117" s="548"/>
      <c r="DC117" s="548"/>
      <c r="DD117" s="619"/>
      <c r="DE117" s="619"/>
      <c r="DF117" s="619"/>
      <c r="DG117" s="619"/>
      <c r="DH117" s="619"/>
    </row>
    <row r="118" s="548" customFormat="1" ht="31" customHeight="1" spans="1:112">
      <c r="A118" s="608">
        <v>45773</v>
      </c>
      <c r="B118" s="609" t="s">
        <v>6322</v>
      </c>
      <c r="C118" s="610" t="s">
        <v>98</v>
      </c>
      <c r="D118" s="554">
        <v>4500165031</v>
      </c>
      <c r="E118" s="610" t="s">
        <v>6323</v>
      </c>
      <c r="F118" s="554" t="s">
        <v>6324</v>
      </c>
      <c r="G118" s="610" t="s">
        <v>6084</v>
      </c>
      <c r="H118" s="610" t="s">
        <v>6069</v>
      </c>
      <c r="I118" s="610">
        <v>3075</v>
      </c>
      <c r="J118" s="610">
        <v>0</v>
      </c>
      <c r="K118" s="610">
        <v>25</v>
      </c>
      <c r="L118" s="611">
        <f t="shared" si="22"/>
        <v>123</v>
      </c>
      <c r="M118" s="612">
        <v>45813</v>
      </c>
      <c r="N118" s="612">
        <v>45810</v>
      </c>
      <c r="O118" s="613" t="s">
        <v>6325</v>
      </c>
      <c r="P118" s="613" t="s">
        <v>113</v>
      </c>
      <c r="Q118" s="610"/>
      <c r="R118" s="614">
        <v>45782</v>
      </c>
      <c r="S118" s="614" t="s">
        <v>70</v>
      </c>
      <c r="T118" s="614" t="s">
        <v>70</v>
      </c>
      <c r="U118" s="614"/>
      <c r="V118" s="614"/>
      <c r="W118" s="615"/>
      <c r="X118" s="609" t="s">
        <v>6326</v>
      </c>
      <c r="Y118" s="609" t="s">
        <v>6327</v>
      </c>
      <c r="Z118" s="609">
        <v>0.582</v>
      </c>
      <c r="AA118" s="616">
        <f t="shared" si="24"/>
        <v>1789.65</v>
      </c>
      <c r="AC118" s="617" t="s">
        <v>6328</v>
      </c>
      <c r="AD118" s="610" t="s">
        <v>6084</v>
      </c>
      <c r="AE118" s="610" t="s">
        <v>82</v>
      </c>
      <c r="AF118" s="610"/>
      <c r="AG118" s="610" t="s">
        <v>74</v>
      </c>
      <c r="AH118" s="610"/>
      <c r="AI118" s="610">
        <v>3075</v>
      </c>
      <c r="AJ118" s="610">
        <f t="shared" si="21"/>
        <v>0</v>
      </c>
      <c r="AK118" s="610"/>
      <c r="AL118" s="610"/>
      <c r="AM118" s="610"/>
      <c r="AN118" s="610">
        <f>I118</f>
        <v>3075</v>
      </c>
      <c r="AP118" s="554">
        <f>I118</f>
        <v>3075</v>
      </c>
      <c r="AR118" s="619"/>
      <c r="AS118" s="548"/>
      <c r="AT118" s="548"/>
      <c r="AU118" s="554">
        <f>I118</f>
        <v>3075</v>
      </c>
      <c r="AW118" s="619"/>
      <c r="AX118" s="548"/>
      <c r="AY118" s="548"/>
      <c r="AZ118" s="548"/>
      <c r="BA118" s="548"/>
      <c r="BB118" s="620">
        <f>I118/48</f>
        <v>64.0625</v>
      </c>
      <c r="BN118" s="554">
        <f>I118/25</f>
        <v>123</v>
      </c>
      <c r="BY118" s="619"/>
      <c r="BZ118" s="548"/>
      <c r="CA118" s="621"/>
      <c r="CB118" s="567"/>
      <c r="CC118" s="622"/>
      <c r="CD118" s="619"/>
      <c r="CE118" s="619"/>
      <c r="CF118" s="548"/>
      <c r="CG118" s="548"/>
      <c r="CU118" s="554">
        <f t="shared" si="25"/>
        <v>123</v>
      </c>
      <c r="CV118" s="554">
        <f t="shared" si="15"/>
        <v>0</v>
      </c>
      <c r="CW118" s="554">
        <f t="shared" si="16"/>
        <v>0</v>
      </c>
      <c r="CX118" s="619"/>
      <c r="CY118" s="619"/>
      <c r="CZ118" s="619"/>
      <c r="DA118" s="548"/>
      <c r="DB118" s="548"/>
      <c r="DC118" s="548"/>
      <c r="DD118" s="619"/>
      <c r="DE118" s="619"/>
      <c r="DF118" s="619"/>
      <c r="DG118" s="619"/>
      <c r="DH118" s="619"/>
    </row>
    <row r="119" s="548" customFormat="1" ht="31" customHeight="1" spans="1:112">
      <c r="A119" s="608">
        <v>45773</v>
      </c>
      <c r="B119" s="609" t="s">
        <v>6322</v>
      </c>
      <c r="C119" s="610" t="s">
        <v>98</v>
      </c>
      <c r="D119" s="554">
        <v>4500165031</v>
      </c>
      <c r="E119" s="610" t="s">
        <v>6329</v>
      </c>
      <c r="F119" s="554" t="s">
        <v>6330</v>
      </c>
      <c r="G119" s="610" t="s">
        <v>6084</v>
      </c>
      <c r="H119" s="610" t="s">
        <v>6069</v>
      </c>
      <c r="I119" s="610">
        <v>700</v>
      </c>
      <c r="J119" s="610">
        <v>0</v>
      </c>
      <c r="K119" s="610">
        <v>25</v>
      </c>
      <c r="L119" s="611">
        <f t="shared" si="22"/>
        <v>28</v>
      </c>
      <c r="M119" s="612">
        <v>45813</v>
      </c>
      <c r="N119" s="612">
        <v>45810</v>
      </c>
      <c r="O119" s="613" t="s">
        <v>6325</v>
      </c>
      <c r="P119" s="613" t="s">
        <v>113</v>
      </c>
      <c r="Q119" s="610"/>
      <c r="R119" s="614">
        <v>45782</v>
      </c>
      <c r="S119" s="614" t="s">
        <v>70</v>
      </c>
      <c r="T119" s="614" t="s">
        <v>70</v>
      </c>
      <c r="U119" s="614"/>
      <c r="V119" s="614"/>
      <c r="W119" s="615"/>
      <c r="X119" s="609" t="s">
        <v>6326</v>
      </c>
      <c r="Y119" s="609" t="s">
        <v>6327</v>
      </c>
      <c r="Z119" s="609">
        <v>0.582</v>
      </c>
      <c r="AA119" s="616">
        <f t="shared" si="24"/>
        <v>407.4</v>
      </c>
      <c r="AC119" s="617" t="s">
        <v>6331</v>
      </c>
      <c r="AD119" s="610" t="s">
        <v>6084</v>
      </c>
      <c r="AE119" s="610" t="s">
        <v>82</v>
      </c>
      <c r="AF119" s="610"/>
      <c r="AG119" s="610" t="s">
        <v>74</v>
      </c>
      <c r="AH119" s="610"/>
      <c r="AI119" s="610">
        <v>700</v>
      </c>
      <c r="AJ119" s="610">
        <f t="shared" si="21"/>
        <v>0</v>
      </c>
      <c r="AK119" s="610"/>
      <c r="AL119" s="610"/>
      <c r="AM119" s="610"/>
      <c r="AN119" s="610">
        <f>I119</f>
        <v>700</v>
      </c>
      <c r="AP119" s="554">
        <f>I119</f>
        <v>700</v>
      </c>
      <c r="AR119" s="619"/>
      <c r="AS119" s="548"/>
      <c r="AT119" s="548"/>
      <c r="AU119" s="554">
        <f>I119</f>
        <v>700</v>
      </c>
      <c r="AW119" s="619"/>
      <c r="AX119" s="548"/>
      <c r="AY119" s="548"/>
      <c r="AZ119" s="548"/>
      <c r="BA119" s="548"/>
      <c r="BB119" s="620">
        <f>I119/48</f>
        <v>14.5833333333333</v>
      </c>
      <c r="BN119" s="554">
        <f>I119/25</f>
        <v>28</v>
      </c>
      <c r="BY119" s="619"/>
      <c r="BZ119" s="548"/>
      <c r="CA119" s="621"/>
      <c r="CB119" s="567"/>
      <c r="CC119" s="622"/>
      <c r="CD119" s="619"/>
      <c r="CE119" s="619"/>
      <c r="CF119" s="548"/>
      <c r="CG119" s="548"/>
      <c r="CU119" s="554">
        <f t="shared" si="25"/>
        <v>28</v>
      </c>
      <c r="CV119" s="554">
        <f t="shared" si="15"/>
        <v>0</v>
      </c>
      <c r="CW119" s="554">
        <f t="shared" si="16"/>
        <v>0</v>
      </c>
      <c r="CX119" s="619"/>
      <c r="CY119" s="619"/>
      <c r="CZ119" s="619"/>
      <c r="DA119" s="548"/>
      <c r="DB119" s="548"/>
      <c r="DC119" s="548"/>
      <c r="DD119" s="619"/>
      <c r="DE119" s="619"/>
      <c r="DF119" s="619"/>
      <c r="DG119" s="619"/>
      <c r="DH119" s="619"/>
    </row>
    <row r="120" s="548" customFormat="1" ht="31" customHeight="1" spans="1:112">
      <c r="A120" s="608">
        <v>45773</v>
      </c>
      <c r="B120" s="609" t="s">
        <v>6322</v>
      </c>
      <c r="C120" s="610" t="s">
        <v>98</v>
      </c>
      <c r="D120" s="554">
        <v>4500165031</v>
      </c>
      <c r="E120" s="610" t="s">
        <v>6332</v>
      </c>
      <c r="F120" s="554" t="s">
        <v>6333</v>
      </c>
      <c r="G120" s="610" t="s">
        <v>6084</v>
      </c>
      <c r="H120" s="610" t="s">
        <v>6069</v>
      </c>
      <c r="I120" s="610">
        <v>775</v>
      </c>
      <c r="J120" s="610">
        <v>0</v>
      </c>
      <c r="K120" s="610">
        <v>25</v>
      </c>
      <c r="L120" s="611">
        <f t="shared" si="22"/>
        <v>31</v>
      </c>
      <c r="M120" s="612">
        <v>45813</v>
      </c>
      <c r="N120" s="612">
        <v>45810</v>
      </c>
      <c r="O120" s="613" t="s">
        <v>6325</v>
      </c>
      <c r="P120" s="613" t="s">
        <v>113</v>
      </c>
      <c r="Q120" s="610"/>
      <c r="R120" s="614">
        <v>45782</v>
      </c>
      <c r="S120" s="614" t="s">
        <v>70</v>
      </c>
      <c r="T120" s="614" t="s">
        <v>70</v>
      </c>
      <c r="U120" s="614"/>
      <c r="V120" s="614"/>
      <c r="W120" s="615"/>
      <c r="X120" s="609" t="s">
        <v>6326</v>
      </c>
      <c r="Y120" s="609" t="s">
        <v>6327</v>
      </c>
      <c r="Z120" s="609">
        <v>0.582</v>
      </c>
      <c r="AA120" s="616">
        <f t="shared" si="24"/>
        <v>451.05</v>
      </c>
      <c r="AC120" s="617" t="s">
        <v>6334</v>
      </c>
      <c r="AD120" s="610" t="s">
        <v>6084</v>
      </c>
      <c r="AE120" s="610" t="s">
        <v>82</v>
      </c>
      <c r="AF120" s="610"/>
      <c r="AG120" s="610" t="s">
        <v>74</v>
      </c>
      <c r="AH120" s="610"/>
      <c r="AI120" s="610">
        <v>775</v>
      </c>
      <c r="AJ120" s="610">
        <f t="shared" si="21"/>
        <v>0</v>
      </c>
      <c r="AK120" s="610"/>
      <c r="AL120" s="610"/>
      <c r="AM120" s="610"/>
      <c r="AN120" s="610">
        <f>I120</f>
        <v>775</v>
      </c>
      <c r="AP120" s="554">
        <f>I120</f>
        <v>775</v>
      </c>
      <c r="AR120" s="619"/>
      <c r="AS120" s="548"/>
      <c r="AT120" s="548"/>
      <c r="AU120" s="554">
        <f>I120</f>
        <v>775</v>
      </c>
      <c r="AW120" s="619"/>
      <c r="AX120" s="548"/>
      <c r="AY120" s="548"/>
      <c r="AZ120" s="548"/>
      <c r="BA120" s="548"/>
      <c r="BB120" s="620">
        <f>I120/48</f>
        <v>16.1458333333333</v>
      </c>
      <c r="BN120" s="554">
        <f>I120/25</f>
        <v>31</v>
      </c>
      <c r="BY120" s="619"/>
      <c r="BZ120" s="548"/>
      <c r="CA120" s="621"/>
      <c r="CB120" s="567"/>
      <c r="CC120" s="622"/>
      <c r="CD120" s="619"/>
      <c r="CE120" s="619"/>
      <c r="CF120" s="548"/>
      <c r="CG120" s="548"/>
      <c r="CU120" s="554">
        <f t="shared" si="25"/>
        <v>31</v>
      </c>
      <c r="CV120" s="554">
        <f t="shared" si="15"/>
        <v>0</v>
      </c>
      <c r="CW120" s="554">
        <f t="shared" si="16"/>
        <v>0</v>
      </c>
      <c r="CX120" s="619"/>
      <c r="CY120" s="619"/>
      <c r="CZ120" s="619"/>
      <c r="DA120" s="548"/>
      <c r="DB120" s="548"/>
      <c r="DC120" s="548"/>
      <c r="DD120" s="619"/>
      <c r="DE120" s="619"/>
      <c r="DF120" s="619"/>
      <c r="DG120" s="619"/>
      <c r="DH120" s="619"/>
    </row>
    <row r="121" s="548" customFormat="1" ht="31" customHeight="1" spans="1:112">
      <c r="A121" s="608">
        <v>45761</v>
      </c>
      <c r="B121" s="609" t="s">
        <v>430</v>
      </c>
      <c r="C121" s="610" t="s">
        <v>76</v>
      </c>
      <c r="D121" s="554">
        <v>4500163518</v>
      </c>
      <c r="E121" s="610">
        <v>3006</v>
      </c>
      <c r="F121" s="554" t="s">
        <v>6335</v>
      </c>
      <c r="G121" s="610" t="s">
        <v>6047</v>
      </c>
      <c r="H121" s="610" t="s">
        <v>6048</v>
      </c>
      <c r="I121" s="610">
        <v>1500</v>
      </c>
      <c r="J121" s="610">
        <v>0</v>
      </c>
      <c r="K121" s="610">
        <v>25</v>
      </c>
      <c r="L121" s="611">
        <f t="shared" si="22"/>
        <v>60</v>
      </c>
      <c r="M121" s="612">
        <v>45813</v>
      </c>
      <c r="N121" s="612">
        <v>45810</v>
      </c>
      <c r="O121" s="613"/>
      <c r="P121" s="613" t="s">
        <v>113</v>
      </c>
      <c r="Q121" s="610"/>
      <c r="R121" s="614">
        <v>45761</v>
      </c>
      <c r="S121" s="614" t="s">
        <v>70</v>
      </c>
      <c r="T121" s="614" t="s">
        <v>70</v>
      </c>
      <c r="U121" s="614"/>
      <c r="V121" s="614"/>
      <c r="W121" s="615"/>
      <c r="X121" s="628" t="s">
        <v>6336</v>
      </c>
      <c r="Y121" s="609" t="s">
        <v>80</v>
      </c>
      <c r="Z121" s="609">
        <v>0.9417</v>
      </c>
      <c r="AA121" s="616">
        <f t="shared" si="24"/>
        <v>1412.55</v>
      </c>
      <c r="AC121" s="629" t="s">
        <v>433</v>
      </c>
      <c r="AD121" s="610" t="s">
        <v>6047</v>
      </c>
      <c r="AE121" s="610" t="s">
        <v>82</v>
      </c>
      <c r="AF121" s="610"/>
      <c r="AG121" s="610" t="s">
        <v>74</v>
      </c>
      <c r="AH121" s="610"/>
      <c r="AI121" s="610">
        <v>1500</v>
      </c>
      <c r="AJ121" s="610">
        <f t="shared" si="21"/>
        <v>0</v>
      </c>
      <c r="AK121" s="610"/>
      <c r="AL121" s="610"/>
      <c r="AM121" s="610"/>
      <c r="AN121" s="610"/>
      <c r="AO121" s="554">
        <f>I121</f>
        <v>1500</v>
      </c>
      <c r="AR121" s="619"/>
      <c r="AS121" s="548"/>
      <c r="AT121" s="554">
        <f>I121</f>
        <v>1500</v>
      </c>
      <c r="AV121" s="554">
        <f>I121</f>
        <v>1500</v>
      </c>
      <c r="AW121" s="619"/>
      <c r="AX121" s="548"/>
      <c r="AY121" s="548"/>
      <c r="AZ121" s="548"/>
      <c r="BA121" s="548"/>
      <c r="BB121" s="620">
        <f>I121/24</f>
        <v>62.5</v>
      </c>
      <c r="BP121" s="554">
        <f>I121/25</f>
        <v>60</v>
      </c>
      <c r="BY121" s="619"/>
      <c r="BZ121" s="548"/>
      <c r="CA121" s="621"/>
      <c r="CB121" s="567"/>
      <c r="CC121" s="622"/>
      <c r="CD121" s="619"/>
      <c r="CE121" s="619"/>
      <c r="CF121" s="548"/>
      <c r="CG121" s="548"/>
      <c r="CU121" s="554">
        <f t="shared" si="25"/>
        <v>60</v>
      </c>
      <c r="CV121" s="554">
        <f t="shared" si="15"/>
        <v>0</v>
      </c>
      <c r="CW121" s="554">
        <f t="shared" si="16"/>
        <v>0</v>
      </c>
      <c r="CX121" s="619"/>
      <c r="CY121" s="619"/>
      <c r="CZ121" s="619"/>
      <c r="DA121" s="548"/>
      <c r="DB121" s="548"/>
      <c r="DC121" s="548"/>
      <c r="DD121" s="619"/>
      <c r="DE121" s="619"/>
      <c r="DF121" s="619"/>
      <c r="DG121" s="619"/>
      <c r="DH121" s="619"/>
    </row>
    <row r="122" s="548" customFormat="1" ht="31" customHeight="1" spans="1:112">
      <c r="A122" s="608">
        <v>45757</v>
      </c>
      <c r="B122" s="609" t="s">
        <v>580</v>
      </c>
      <c r="C122" s="610" t="s">
        <v>302</v>
      </c>
      <c r="D122" s="554">
        <v>4500163211</v>
      </c>
      <c r="E122" s="610">
        <v>2000007077</v>
      </c>
      <c r="F122" s="554" t="s">
        <v>581</v>
      </c>
      <c r="G122" s="610" t="s">
        <v>6337</v>
      </c>
      <c r="H122" s="610" t="s">
        <v>477</v>
      </c>
      <c r="I122" s="610">
        <v>5400</v>
      </c>
      <c r="J122" s="610">
        <v>0</v>
      </c>
      <c r="K122" s="610">
        <v>6</v>
      </c>
      <c r="L122" s="611">
        <f t="shared" si="22"/>
        <v>900</v>
      </c>
      <c r="M122" s="612">
        <v>45807</v>
      </c>
      <c r="N122" s="612">
        <v>45803</v>
      </c>
      <c r="O122" s="613" t="s">
        <v>6338</v>
      </c>
      <c r="P122" s="613" t="s">
        <v>113</v>
      </c>
      <c r="Q122" s="610"/>
      <c r="R122" s="614">
        <v>45769</v>
      </c>
      <c r="S122" s="614" t="s">
        <v>70</v>
      </c>
      <c r="T122" s="614">
        <v>45786</v>
      </c>
      <c r="U122" s="614"/>
      <c r="V122" s="614" t="s">
        <v>6339</v>
      </c>
      <c r="W122" s="615"/>
      <c r="X122" s="628" t="s">
        <v>583</v>
      </c>
      <c r="Y122" s="609" t="s">
        <v>305</v>
      </c>
      <c r="Z122" s="609">
        <v>8.9</v>
      </c>
      <c r="AA122" s="616">
        <f t="shared" si="24"/>
        <v>48060</v>
      </c>
      <c r="AC122" s="629" t="s">
        <v>584</v>
      </c>
      <c r="AD122" s="610" t="s">
        <v>480</v>
      </c>
      <c r="AE122" s="610" t="s">
        <v>82</v>
      </c>
      <c r="AF122" s="610"/>
      <c r="AG122" s="610" t="s">
        <v>74</v>
      </c>
      <c r="AH122" s="610"/>
      <c r="AI122" s="610">
        <f>2160+3240</f>
        <v>5400</v>
      </c>
      <c r="AJ122" s="610">
        <f t="shared" si="21"/>
        <v>0</v>
      </c>
      <c r="AK122" s="610"/>
      <c r="AL122" s="610"/>
      <c r="AM122" s="610"/>
      <c r="AN122" s="610"/>
      <c r="AO122" s="554">
        <f>I122*2</f>
        <v>10800</v>
      </c>
      <c r="AR122" s="619"/>
      <c r="AS122" s="548"/>
      <c r="AT122" s="554">
        <f>I122*2</f>
        <v>10800</v>
      </c>
      <c r="AV122" s="554">
        <f>I122*2</f>
        <v>10800</v>
      </c>
      <c r="AW122" s="619"/>
      <c r="AX122" s="548"/>
      <c r="AY122" s="548"/>
      <c r="AZ122" s="548"/>
      <c r="BA122" s="548"/>
      <c r="BB122" s="620">
        <f>I122/24*2</f>
        <v>450</v>
      </c>
      <c r="BY122" s="619"/>
      <c r="BZ122" s="554">
        <f>I122</f>
        <v>5400</v>
      </c>
      <c r="CA122" s="621"/>
      <c r="CB122" s="567"/>
      <c r="CC122" s="622"/>
      <c r="CD122" s="619"/>
      <c r="CE122" s="619"/>
      <c r="CF122" s="548"/>
      <c r="CG122" s="548"/>
      <c r="CU122" s="554">
        <f t="shared" si="25"/>
        <v>0</v>
      </c>
      <c r="CV122" s="554">
        <f t="shared" si="15"/>
        <v>0</v>
      </c>
      <c r="CW122" s="554">
        <f t="shared" si="16"/>
        <v>0</v>
      </c>
      <c r="CX122" s="619"/>
      <c r="CY122" s="619"/>
      <c r="CZ122" s="619"/>
      <c r="DA122" s="548"/>
      <c r="DB122" s="548"/>
      <c r="DC122" s="548"/>
      <c r="DD122" s="619"/>
      <c r="DE122" s="619"/>
      <c r="DF122" s="619"/>
      <c r="DG122" s="619"/>
      <c r="DH122" s="619"/>
    </row>
    <row r="123" s="548" customFormat="1" ht="31" customHeight="1" spans="1:112">
      <c r="A123" s="608">
        <v>45757</v>
      </c>
      <c r="B123" s="609" t="s">
        <v>585</v>
      </c>
      <c r="C123" s="610" t="s">
        <v>411</v>
      </c>
      <c r="D123" s="554">
        <v>4500163212</v>
      </c>
      <c r="E123" s="610">
        <v>2000007076</v>
      </c>
      <c r="F123" s="554" t="s">
        <v>586</v>
      </c>
      <c r="G123" s="610" t="s">
        <v>6337</v>
      </c>
      <c r="H123" s="610" t="s">
        <v>477</v>
      </c>
      <c r="I123" s="610">
        <v>3414</v>
      </c>
      <c r="J123" s="610">
        <v>0</v>
      </c>
      <c r="K123" s="610">
        <v>6</v>
      </c>
      <c r="L123" s="611">
        <f t="shared" si="22"/>
        <v>569</v>
      </c>
      <c r="M123" s="612">
        <v>45807</v>
      </c>
      <c r="N123" s="612">
        <v>45803</v>
      </c>
      <c r="O123" s="613" t="s">
        <v>1324</v>
      </c>
      <c r="P123" s="613" t="s">
        <v>113</v>
      </c>
      <c r="Q123" s="610"/>
      <c r="R123" s="614">
        <v>45769</v>
      </c>
      <c r="S123" s="614" t="s">
        <v>70</v>
      </c>
      <c r="T123" s="614">
        <v>45786</v>
      </c>
      <c r="U123" s="614"/>
      <c r="V123" s="614" t="s">
        <v>6340</v>
      </c>
      <c r="W123" s="615"/>
      <c r="X123" s="628" t="s">
        <v>587</v>
      </c>
      <c r="Y123" s="609" t="s">
        <v>305</v>
      </c>
      <c r="Z123" s="609">
        <v>8.9</v>
      </c>
      <c r="AA123" s="616">
        <f t="shared" si="24"/>
        <v>30384.6</v>
      </c>
      <c r="AC123" s="629" t="s">
        <v>588</v>
      </c>
      <c r="AD123" s="610" t="s">
        <v>480</v>
      </c>
      <c r="AE123" s="610" t="s">
        <v>82</v>
      </c>
      <c r="AF123" s="610"/>
      <c r="AG123" s="610" t="s">
        <v>74</v>
      </c>
      <c r="AH123" s="610"/>
      <c r="AI123" s="610">
        <f>3024+390</f>
        <v>3414</v>
      </c>
      <c r="AJ123" s="610">
        <f t="shared" si="21"/>
        <v>0</v>
      </c>
      <c r="AK123" s="610"/>
      <c r="AL123" s="610"/>
      <c r="AM123" s="610"/>
      <c r="AN123" s="610"/>
      <c r="AO123" s="554">
        <f>I123*2</f>
        <v>6828</v>
      </c>
      <c r="AR123" s="619"/>
      <c r="AS123" s="548"/>
      <c r="AT123" s="554">
        <f>I123*2</f>
        <v>6828</v>
      </c>
      <c r="AV123" s="554">
        <f>I123*2</f>
        <v>6828</v>
      </c>
      <c r="AW123" s="619"/>
      <c r="AX123" s="548"/>
      <c r="AY123" s="548"/>
      <c r="AZ123" s="548"/>
      <c r="BA123" s="548"/>
      <c r="BB123" s="620">
        <f>I123/24*2</f>
        <v>284.5</v>
      </c>
      <c r="BY123" s="619"/>
      <c r="BZ123" s="554">
        <f>I123</f>
        <v>3414</v>
      </c>
      <c r="CA123" s="621"/>
      <c r="CB123" s="567"/>
      <c r="CC123" s="622"/>
      <c r="CD123" s="619"/>
      <c r="CE123" s="619"/>
      <c r="CF123" s="548"/>
      <c r="CG123" s="548"/>
      <c r="CU123" s="554">
        <f t="shared" si="25"/>
        <v>0</v>
      </c>
      <c r="CV123" s="554">
        <f t="shared" si="15"/>
        <v>0</v>
      </c>
      <c r="CW123" s="554">
        <f t="shared" si="16"/>
        <v>0</v>
      </c>
      <c r="CX123" s="619"/>
      <c r="CY123" s="619"/>
      <c r="CZ123" s="619"/>
      <c r="DA123" s="548"/>
      <c r="DB123" s="548"/>
      <c r="DC123" s="548"/>
      <c r="DD123" s="619"/>
      <c r="DE123" s="619"/>
      <c r="DF123" s="619"/>
      <c r="DG123" s="619"/>
      <c r="DH123" s="619"/>
    </row>
    <row r="124" s="548" customFormat="1" ht="31" customHeight="1" spans="1:112">
      <c r="A124" s="608">
        <v>45764</v>
      </c>
      <c r="B124" s="609" t="s">
        <v>301</v>
      </c>
      <c r="C124" s="610" t="s">
        <v>302</v>
      </c>
      <c r="D124" s="554">
        <v>4500163334</v>
      </c>
      <c r="E124" s="610">
        <v>5200006584</v>
      </c>
      <c r="F124" s="554" t="s">
        <v>6341</v>
      </c>
      <c r="G124" s="610" t="s">
        <v>6120</v>
      </c>
      <c r="H124" s="610" t="s">
        <v>6094</v>
      </c>
      <c r="I124" s="610">
        <v>9750</v>
      </c>
      <c r="J124" s="610">
        <v>0</v>
      </c>
      <c r="K124" s="610">
        <v>13</v>
      </c>
      <c r="L124" s="611">
        <f t="shared" si="22"/>
        <v>750</v>
      </c>
      <c r="M124" s="612">
        <v>45808</v>
      </c>
      <c r="N124" s="612">
        <v>45804</v>
      </c>
      <c r="O124" s="613"/>
      <c r="P124" s="613" t="s">
        <v>113</v>
      </c>
      <c r="Q124" s="610"/>
      <c r="R124" s="614">
        <v>45768</v>
      </c>
      <c r="S124" s="614" t="s">
        <v>70</v>
      </c>
      <c r="T124" s="614" t="s">
        <v>6342</v>
      </c>
      <c r="U124" s="614"/>
      <c r="V124" s="614"/>
      <c r="W124" s="615"/>
      <c r="X124" s="609" t="s">
        <v>6343</v>
      </c>
      <c r="Y124" s="609" t="s">
        <v>2037</v>
      </c>
      <c r="Z124" s="609">
        <v>1.16</v>
      </c>
      <c r="AA124" s="616">
        <f t="shared" si="24"/>
        <v>11310</v>
      </c>
      <c r="AC124" s="629" t="s">
        <v>441</v>
      </c>
      <c r="AD124" s="610" t="s">
        <v>6093</v>
      </c>
      <c r="AE124" s="610" t="s">
        <v>82</v>
      </c>
      <c r="AF124" s="610"/>
      <c r="AG124" s="610" t="s">
        <v>74</v>
      </c>
      <c r="AH124" s="610"/>
      <c r="AI124" s="610">
        <v>9750</v>
      </c>
      <c r="AJ124" s="610">
        <f t="shared" si="21"/>
        <v>0</v>
      </c>
      <c r="AK124" s="610"/>
      <c r="AL124" s="610"/>
      <c r="AM124" s="610"/>
      <c r="AN124" s="610"/>
      <c r="AO124" s="554">
        <f t="shared" ref="AO124:AO131" si="26">I124</f>
        <v>9750</v>
      </c>
      <c r="AR124" s="619"/>
      <c r="AS124" s="548"/>
      <c r="AT124" s="554">
        <f>I124</f>
        <v>9750</v>
      </c>
      <c r="AV124" s="554">
        <f t="shared" ref="AV124:AV131" si="27">I124</f>
        <v>9750</v>
      </c>
      <c r="AW124" s="619"/>
      <c r="AX124" s="548"/>
      <c r="AY124" s="548"/>
      <c r="AZ124" s="548"/>
      <c r="BA124" s="548"/>
      <c r="BB124" s="620">
        <f t="shared" ref="BB124:BB131" si="28">I124/24</f>
        <v>406.25</v>
      </c>
      <c r="BM124" s="554">
        <f>I124/13</f>
        <v>750</v>
      </c>
      <c r="BY124" s="619"/>
      <c r="BZ124" s="548"/>
      <c r="CA124" s="621"/>
      <c r="CB124" s="567"/>
      <c r="CC124" s="622"/>
      <c r="CD124" s="619"/>
      <c r="CE124" s="619"/>
      <c r="CF124" s="548"/>
      <c r="CG124" s="548"/>
      <c r="CU124" s="554">
        <f t="shared" si="25"/>
        <v>0</v>
      </c>
      <c r="CV124" s="554">
        <f t="shared" si="15"/>
        <v>0</v>
      </c>
      <c r="CW124" s="554">
        <f t="shared" si="16"/>
        <v>0</v>
      </c>
      <c r="CX124" s="619"/>
      <c r="CY124" s="619"/>
      <c r="CZ124" s="619"/>
      <c r="DA124" s="548"/>
      <c r="DB124" s="548"/>
      <c r="DC124" s="548"/>
      <c r="DD124" s="619"/>
      <c r="DE124" s="619"/>
      <c r="DF124" s="619"/>
      <c r="DG124" s="619"/>
      <c r="DH124" s="619"/>
    </row>
    <row r="125" s="548" customFormat="1" ht="31" customHeight="1" spans="1:112">
      <c r="A125" s="608">
        <v>45765</v>
      </c>
      <c r="B125" s="609" t="s">
        <v>442</v>
      </c>
      <c r="C125" s="610" t="s">
        <v>411</v>
      </c>
      <c r="D125" s="554">
        <v>4500163950</v>
      </c>
      <c r="E125" s="610"/>
      <c r="F125" s="554" t="s">
        <v>6344</v>
      </c>
      <c r="G125" s="610" t="s">
        <v>6043</v>
      </c>
      <c r="H125" s="610" t="s">
        <v>6110</v>
      </c>
      <c r="I125" s="610">
        <v>2500</v>
      </c>
      <c r="J125" s="610">
        <v>0</v>
      </c>
      <c r="K125" s="610">
        <v>50</v>
      </c>
      <c r="L125" s="611">
        <f t="shared" si="22"/>
        <v>50</v>
      </c>
      <c r="M125" s="612">
        <v>45810</v>
      </c>
      <c r="N125" s="612">
        <v>45806</v>
      </c>
      <c r="O125" s="613"/>
      <c r="P125" s="613" t="s">
        <v>113</v>
      </c>
      <c r="Q125" s="610"/>
      <c r="R125" s="614">
        <v>45777</v>
      </c>
      <c r="S125" s="614" t="s">
        <v>70</v>
      </c>
      <c r="T125" s="614">
        <v>45789</v>
      </c>
      <c r="U125" s="614"/>
      <c r="V125" s="614"/>
      <c r="W125" s="615"/>
      <c r="X125" s="628" t="s">
        <v>6345</v>
      </c>
      <c r="Y125" s="609" t="s">
        <v>445</v>
      </c>
      <c r="Z125" s="609">
        <v>0.95</v>
      </c>
      <c r="AA125" s="616">
        <f t="shared" si="24"/>
        <v>2375</v>
      </c>
      <c r="AC125" s="632" t="s">
        <v>446</v>
      </c>
      <c r="AD125" s="610" t="s">
        <v>6043</v>
      </c>
      <c r="AE125" s="610" t="s">
        <v>82</v>
      </c>
      <c r="AF125" s="610"/>
      <c r="AG125" s="610" t="s">
        <v>74</v>
      </c>
      <c r="AH125" s="610"/>
      <c r="AI125" s="610">
        <v>2500</v>
      </c>
      <c r="AJ125" s="610">
        <f t="shared" si="21"/>
        <v>0</v>
      </c>
      <c r="AK125" s="610"/>
      <c r="AL125" s="610"/>
      <c r="AM125" s="610"/>
      <c r="AN125" s="610"/>
      <c r="AO125" s="554">
        <f t="shared" si="26"/>
        <v>2500</v>
      </c>
      <c r="AR125" s="619"/>
      <c r="AS125" s="548"/>
      <c r="AT125" s="554">
        <f>I125</f>
        <v>2500</v>
      </c>
      <c r="AV125" s="554">
        <f t="shared" si="27"/>
        <v>2500</v>
      </c>
      <c r="AW125" s="619"/>
      <c r="AX125" s="548"/>
      <c r="AY125" s="548"/>
      <c r="AZ125" s="548"/>
      <c r="BA125" s="548"/>
      <c r="BB125" s="620">
        <f t="shared" si="28"/>
        <v>104.166666666667</v>
      </c>
      <c r="BP125" s="554">
        <f>I125/25</f>
        <v>100</v>
      </c>
      <c r="BY125" s="619"/>
      <c r="BZ125" s="548"/>
      <c r="CA125" s="621"/>
      <c r="CB125" s="567"/>
      <c r="CC125" s="622"/>
      <c r="CD125" s="619"/>
      <c r="CE125" s="619"/>
      <c r="CF125" s="548"/>
      <c r="CG125" s="548"/>
      <c r="CU125" s="554">
        <f t="shared" si="25"/>
        <v>100</v>
      </c>
      <c r="CV125" s="554">
        <f t="shared" si="15"/>
        <v>0</v>
      </c>
      <c r="CW125" s="554">
        <f t="shared" si="16"/>
        <v>0</v>
      </c>
      <c r="CX125" s="619"/>
      <c r="CY125" s="619"/>
      <c r="CZ125" s="619"/>
      <c r="DA125" s="548"/>
      <c r="DB125" s="548"/>
      <c r="DC125" s="548"/>
      <c r="DD125" s="619"/>
      <c r="DE125" s="619"/>
      <c r="DF125" s="619"/>
      <c r="DG125" s="619"/>
      <c r="DH125" s="619"/>
    </row>
    <row r="126" s="548" customFormat="1" ht="31" customHeight="1" spans="1:112">
      <c r="A126" s="608">
        <v>45772</v>
      </c>
      <c r="B126" s="609" t="s">
        <v>410</v>
      </c>
      <c r="C126" s="610" t="s">
        <v>411</v>
      </c>
      <c r="D126" s="554">
        <v>4500164781</v>
      </c>
      <c r="E126" s="610"/>
      <c r="F126" s="554" t="s">
        <v>6346</v>
      </c>
      <c r="G126" s="610" t="s">
        <v>6043</v>
      </c>
      <c r="H126" s="610" t="s">
        <v>6110</v>
      </c>
      <c r="I126" s="610">
        <v>750</v>
      </c>
      <c r="J126" s="610">
        <v>0</v>
      </c>
      <c r="K126" s="610">
        <v>50</v>
      </c>
      <c r="L126" s="611">
        <f t="shared" si="22"/>
        <v>15</v>
      </c>
      <c r="M126" s="612">
        <v>45810</v>
      </c>
      <c r="N126" s="612">
        <v>45806</v>
      </c>
      <c r="O126" s="613"/>
      <c r="P126" s="613" t="s">
        <v>113</v>
      </c>
      <c r="Q126" s="610"/>
      <c r="R126" s="614">
        <v>45785</v>
      </c>
      <c r="S126" s="614" t="s">
        <v>70</v>
      </c>
      <c r="T126" s="614" t="s">
        <v>6347</v>
      </c>
      <c r="U126" s="614"/>
      <c r="V126" s="614"/>
      <c r="W126" s="615"/>
      <c r="X126" s="628" t="s">
        <v>6348</v>
      </c>
      <c r="Y126" s="609" t="s">
        <v>415</v>
      </c>
      <c r="Z126" s="609">
        <v>0.95</v>
      </c>
      <c r="AA126" s="616">
        <f t="shared" si="24"/>
        <v>712.5</v>
      </c>
      <c r="AC126" s="629" t="s">
        <v>416</v>
      </c>
      <c r="AD126" s="610" t="s">
        <v>6043</v>
      </c>
      <c r="AE126" s="610" t="s">
        <v>82</v>
      </c>
      <c r="AF126" s="610"/>
      <c r="AG126" s="610" t="s">
        <v>74</v>
      </c>
      <c r="AH126" s="610"/>
      <c r="AI126" s="610">
        <v>750</v>
      </c>
      <c r="AJ126" s="610">
        <f t="shared" si="21"/>
        <v>0</v>
      </c>
      <c r="AK126" s="610"/>
      <c r="AL126" s="610"/>
      <c r="AM126" s="610"/>
      <c r="AN126" s="610"/>
      <c r="AO126" s="554">
        <f t="shared" si="26"/>
        <v>750</v>
      </c>
      <c r="AR126" s="619"/>
      <c r="AS126" s="548"/>
      <c r="AT126" s="548"/>
      <c r="AU126" s="548"/>
      <c r="AV126" s="554">
        <f t="shared" si="27"/>
        <v>750</v>
      </c>
      <c r="AW126" s="619"/>
      <c r="AX126" s="548"/>
      <c r="AY126" s="548"/>
      <c r="AZ126" s="548"/>
      <c r="BA126" s="548"/>
      <c r="BB126" s="620">
        <f t="shared" si="28"/>
        <v>31.25</v>
      </c>
      <c r="BC126" s="554">
        <f>I126</f>
        <v>750</v>
      </c>
      <c r="BP126" s="554">
        <f>I126/25</f>
        <v>30</v>
      </c>
      <c r="BY126" s="619"/>
      <c r="BZ126" s="548"/>
      <c r="CA126" s="621"/>
      <c r="CB126" s="567"/>
      <c r="CC126" s="622"/>
      <c r="CD126" s="619"/>
      <c r="CE126" s="619"/>
      <c r="CF126" s="548"/>
      <c r="CG126" s="548"/>
      <c r="CU126" s="554">
        <f t="shared" si="25"/>
        <v>30</v>
      </c>
      <c r="CV126" s="554">
        <f t="shared" si="15"/>
        <v>0</v>
      </c>
      <c r="CW126" s="554">
        <f t="shared" si="16"/>
        <v>0</v>
      </c>
      <c r="CX126" s="619"/>
      <c r="CY126" s="619"/>
      <c r="CZ126" s="619"/>
      <c r="DA126" s="548"/>
      <c r="DB126" s="548"/>
      <c r="DC126" s="548"/>
      <c r="DD126" s="619"/>
      <c r="DE126" s="619"/>
      <c r="DF126" s="619"/>
      <c r="DG126" s="619"/>
      <c r="DH126" s="619"/>
    </row>
    <row r="127" s="548" customFormat="1" ht="31" customHeight="1" spans="1:112">
      <c r="A127" s="608">
        <v>45765</v>
      </c>
      <c r="B127" s="609" t="s">
        <v>423</v>
      </c>
      <c r="C127" s="610" t="s">
        <v>424</v>
      </c>
      <c r="D127" s="554">
        <v>4500164226</v>
      </c>
      <c r="E127" s="610" t="s">
        <v>425</v>
      </c>
      <c r="F127" s="554" t="s">
        <v>6349</v>
      </c>
      <c r="G127" s="610" t="s">
        <v>6047</v>
      </c>
      <c r="H127" s="610" t="s">
        <v>6048</v>
      </c>
      <c r="I127" s="610">
        <v>3000</v>
      </c>
      <c r="J127" s="610">
        <v>0</v>
      </c>
      <c r="K127" s="610">
        <v>25</v>
      </c>
      <c r="L127" s="611">
        <f t="shared" si="22"/>
        <v>120</v>
      </c>
      <c r="M127" s="612">
        <v>45811</v>
      </c>
      <c r="N127" s="612">
        <v>45807</v>
      </c>
      <c r="O127" s="613"/>
      <c r="P127" s="613" t="s">
        <v>113</v>
      </c>
      <c r="Q127" s="610"/>
      <c r="R127" s="614">
        <v>45772</v>
      </c>
      <c r="S127" s="614" t="s">
        <v>70</v>
      </c>
      <c r="T127" s="614">
        <v>45786</v>
      </c>
      <c r="U127" s="614"/>
      <c r="V127" s="614"/>
      <c r="W127" s="615"/>
      <c r="X127" s="628" t="s">
        <v>6350</v>
      </c>
      <c r="Y127" s="609" t="s">
        <v>428</v>
      </c>
      <c r="Z127" s="609">
        <v>0.95</v>
      </c>
      <c r="AA127" s="616">
        <f t="shared" si="24"/>
        <v>2850</v>
      </c>
      <c r="AC127" s="629" t="s">
        <v>429</v>
      </c>
      <c r="AD127" s="610" t="s">
        <v>6047</v>
      </c>
      <c r="AE127" s="610" t="s">
        <v>82</v>
      </c>
      <c r="AF127" s="610"/>
      <c r="AG127" s="610" t="s">
        <v>74</v>
      </c>
      <c r="AH127" s="610"/>
      <c r="AI127" s="610">
        <v>3000</v>
      </c>
      <c r="AJ127" s="610">
        <f t="shared" si="21"/>
        <v>0</v>
      </c>
      <c r="AK127" s="610"/>
      <c r="AL127" s="610" t="s">
        <v>126</v>
      </c>
      <c r="AM127" s="610"/>
      <c r="AN127" s="610"/>
      <c r="AO127" s="554">
        <f t="shared" si="26"/>
        <v>3000</v>
      </c>
      <c r="AR127" s="619"/>
      <c r="AS127" s="548"/>
      <c r="AT127" s="554">
        <f>I127</f>
        <v>3000</v>
      </c>
      <c r="AV127" s="554">
        <f t="shared" si="27"/>
        <v>3000</v>
      </c>
      <c r="AW127" s="619"/>
      <c r="AX127" s="548"/>
      <c r="AY127" s="548"/>
      <c r="AZ127" s="548"/>
      <c r="BA127" s="548"/>
      <c r="BB127" s="620">
        <f t="shared" si="28"/>
        <v>125</v>
      </c>
      <c r="BP127" s="554">
        <f>I127/25</f>
        <v>120</v>
      </c>
      <c r="BY127" s="619"/>
      <c r="BZ127" s="548"/>
      <c r="CA127" s="621"/>
      <c r="CB127" s="567"/>
      <c r="CC127" s="622"/>
      <c r="CD127" s="619"/>
      <c r="CE127" s="619"/>
      <c r="CF127" s="548"/>
      <c r="CG127" s="548"/>
      <c r="CU127" s="554">
        <f t="shared" si="25"/>
        <v>120</v>
      </c>
      <c r="CV127" s="554">
        <f t="shared" si="15"/>
        <v>0</v>
      </c>
      <c r="CW127" s="554">
        <f t="shared" si="16"/>
        <v>0</v>
      </c>
      <c r="CX127" s="619"/>
      <c r="CY127" s="619"/>
      <c r="CZ127" s="619"/>
      <c r="DA127" s="548"/>
      <c r="DB127" s="548"/>
      <c r="DC127" s="548"/>
      <c r="DD127" s="619"/>
      <c r="DE127" s="619"/>
      <c r="DF127" s="619"/>
      <c r="DG127" s="619"/>
      <c r="DH127" s="619"/>
    </row>
    <row r="128" s="548" customFormat="1" ht="31" customHeight="1" spans="1:112">
      <c r="A128" s="608">
        <v>45765</v>
      </c>
      <c r="B128" s="609" t="s">
        <v>423</v>
      </c>
      <c r="C128" s="610" t="s">
        <v>424</v>
      </c>
      <c r="D128" s="554">
        <v>4500164226</v>
      </c>
      <c r="E128" s="610" t="s">
        <v>425</v>
      </c>
      <c r="F128" s="554" t="s">
        <v>6351</v>
      </c>
      <c r="G128" s="610" t="s">
        <v>6223</v>
      </c>
      <c r="H128" s="610" t="s">
        <v>6080</v>
      </c>
      <c r="I128" s="610">
        <v>990</v>
      </c>
      <c r="J128" s="610">
        <v>0</v>
      </c>
      <c r="K128" s="610">
        <v>30</v>
      </c>
      <c r="L128" s="611">
        <f t="shared" si="22"/>
        <v>33</v>
      </c>
      <c r="M128" s="612">
        <v>45811</v>
      </c>
      <c r="N128" s="612">
        <v>45807</v>
      </c>
      <c r="O128" s="613"/>
      <c r="P128" s="613" t="s">
        <v>113</v>
      </c>
      <c r="Q128" s="610"/>
      <c r="R128" s="614">
        <v>45772</v>
      </c>
      <c r="S128" s="614" t="s">
        <v>70</v>
      </c>
      <c r="T128" s="614">
        <v>45786</v>
      </c>
      <c r="U128" s="614"/>
      <c r="V128" s="614"/>
      <c r="W128" s="615"/>
      <c r="X128" s="628" t="s">
        <v>6352</v>
      </c>
      <c r="Y128" s="609" t="s">
        <v>428</v>
      </c>
      <c r="Z128" s="609">
        <v>35.1</v>
      </c>
      <c r="AA128" s="616">
        <f>Z128*L128</f>
        <v>1158.3</v>
      </c>
      <c r="AC128" s="629" t="s">
        <v>429</v>
      </c>
      <c r="AD128" s="610" t="s">
        <v>6223</v>
      </c>
      <c r="AE128" s="610" t="s">
        <v>82</v>
      </c>
      <c r="AF128" s="610"/>
      <c r="AG128" s="610" t="s">
        <v>74</v>
      </c>
      <c r="AH128" s="610"/>
      <c r="AI128" s="610">
        <v>990</v>
      </c>
      <c r="AJ128" s="610">
        <f t="shared" si="21"/>
        <v>0</v>
      </c>
      <c r="AK128" s="610"/>
      <c r="AL128" s="610" t="s">
        <v>126</v>
      </c>
      <c r="AM128" s="610"/>
      <c r="AN128" s="610"/>
      <c r="AO128" s="554">
        <f t="shared" si="26"/>
        <v>990</v>
      </c>
      <c r="AR128" s="619"/>
      <c r="AS128" s="548"/>
      <c r="AT128" s="554">
        <f>I128</f>
        <v>990</v>
      </c>
      <c r="AV128" s="554">
        <f t="shared" si="27"/>
        <v>990</v>
      </c>
      <c r="AW128" s="619"/>
      <c r="AX128" s="548"/>
      <c r="AY128" s="548"/>
      <c r="AZ128" s="548"/>
      <c r="BA128" s="548"/>
      <c r="BB128" s="620">
        <f t="shared" si="28"/>
        <v>41.25</v>
      </c>
      <c r="BY128" s="619"/>
      <c r="BZ128" s="548"/>
      <c r="CA128" s="621"/>
      <c r="CB128" s="567"/>
      <c r="CC128" s="622"/>
      <c r="CD128" s="619"/>
      <c r="CE128" s="619"/>
      <c r="CF128" s="548"/>
      <c r="CG128" s="548"/>
      <c r="CP128" s="554">
        <f>I128/30</f>
        <v>33</v>
      </c>
      <c r="CU128" s="554">
        <f t="shared" si="25"/>
        <v>0</v>
      </c>
      <c r="CV128" s="554">
        <f t="shared" si="15"/>
        <v>33</v>
      </c>
      <c r="CW128" s="554">
        <f t="shared" si="16"/>
        <v>0</v>
      </c>
      <c r="CX128" s="619"/>
      <c r="CY128" s="619"/>
      <c r="CZ128" s="619"/>
      <c r="DA128" s="548"/>
      <c r="DB128" s="548"/>
      <c r="DC128" s="548"/>
      <c r="DD128" s="619"/>
      <c r="DE128" s="619"/>
      <c r="DF128" s="619"/>
      <c r="DG128" s="619"/>
      <c r="DH128" s="619"/>
    </row>
    <row r="129" s="548" customFormat="1" ht="31" customHeight="1" spans="1:112">
      <c r="A129" s="608">
        <v>45769</v>
      </c>
      <c r="B129" s="609" t="s">
        <v>448</v>
      </c>
      <c r="C129" s="610" t="s">
        <v>399</v>
      </c>
      <c r="D129" s="554">
        <v>4500163874</v>
      </c>
      <c r="E129" s="610"/>
      <c r="F129" s="554" t="s">
        <v>6353</v>
      </c>
      <c r="G129" s="610" t="s">
        <v>6093</v>
      </c>
      <c r="H129" s="610" t="s">
        <v>6094</v>
      </c>
      <c r="I129" s="610">
        <v>1456</v>
      </c>
      <c r="J129" s="610">
        <v>0</v>
      </c>
      <c r="K129" s="610">
        <v>13</v>
      </c>
      <c r="L129" s="611">
        <f t="shared" si="22"/>
        <v>112</v>
      </c>
      <c r="M129" s="612">
        <v>45812</v>
      </c>
      <c r="N129" s="612">
        <f>M129-4</f>
        <v>45808</v>
      </c>
      <c r="O129" s="613"/>
      <c r="P129" s="613" t="s">
        <v>113</v>
      </c>
      <c r="Q129" s="610"/>
      <c r="R129" s="614">
        <v>45774</v>
      </c>
      <c r="S129" s="614" t="s">
        <v>70</v>
      </c>
      <c r="T129" s="614" t="s">
        <v>6354</v>
      </c>
      <c r="U129" s="614"/>
      <c r="V129" s="614" t="s">
        <v>6355</v>
      </c>
      <c r="W129" s="615"/>
      <c r="X129" s="628" t="s">
        <v>6356</v>
      </c>
      <c r="Y129" s="609" t="s">
        <v>445</v>
      </c>
      <c r="Z129" s="609">
        <v>0.9116</v>
      </c>
      <c r="AA129" s="616">
        <f>Z129*I129</f>
        <v>1327.2896</v>
      </c>
      <c r="AC129" s="629" t="s">
        <v>452</v>
      </c>
      <c r="AD129" s="610" t="s">
        <v>6093</v>
      </c>
      <c r="AE129" s="610" t="s">
        <v>82</v>
      </c>
      <c r="AF129" s="610"/>
      <c r="AG129" s="610" t="s">
        <v>74</v>
      </c>
      <c r="AH129" s="610"/>
      <c r="AI129" s="610">
        <v>1456</v>
      </c>
      <c r="AJ129" s="610">
        <f t="shared" si="21"/>
        <v>0</v>
      </c>
      <c r="AK129" s="610"/>
      <c r="AL129" s="610"/>
      <c r="AM129" s="610"/>
      <c r="AN129" s="610"/>
      <c r="AO129" s="554">
        <f t="shared" si="26"/>
        <v>1456</v>
      </c>
      <c r="AR129" s="619"/>
      <c r="AS129" s="548"/>
      <c r="AT129" s="554">
        <f>I129</f>
        <v>1456</v>
      </c>
      <c r="AV129" s="554">
        <f t="shared" si="27"/>
        <v>1456</v>
      </c>
      <c r="AW129" s="619"/>
      <c r="AX129" s="548"/>
      <c r="AY129" s="548"/>
      <c r="AZ129" s="548"/>
      <c r="BA129" s="548"/>
      <c r="BB129" s="620">
        <f t="shared" si="28"/>
        <v>60.6666666666667</v>
      </c>
      <c r="BM129" s="554">
        <f>I129/13</f>
        <v>112</v>
      </c>
      <c r="BY129" s="619"/>
      <c r="BZ129" s="548"/>
      <c r="CA129" s="621"/>
      <c r="CB129" s="567"/>
      <c r="CC129" s="622"/>
      <c r="CD129" s="619"/>
      <c r="CE129" s="619"/>
      <c r="CF129" s="548"/>
      <c r="CG129" s="548"/>
      <c r="CU129" s="554">
        <f t="shared" si="25"/>
        <v>0</v>
      </c>
      <c r="CV129" s="554">
        <f t="shared" si="15"/>
        <v>0</v>
      </c>
      <c r="CW129" s="554">
        <f t="shared" si="16"/>
        <v>0</v>
      </c>
      <c r="CX129" s="619"/>
      <c r="CY129" s="619"/>
      <c r="CZ129" s="619"/>
      <c r="DA129" s="548"/>
      <c r="DB129" s="548"/>
      <c r="DC129" s="548"/>
      <c r="DD129" s="619"/>
      <c r="DE129" s="619"/>
      <c r="DF129" s="619"/>
      <c r="DG129" s="619"/>
      <c r="DH129" s="619"/>
    </row>
    <row r="130" s="548" customFormat="1" ht="31" customHeight="1" spans="1:112">
      <c r="A130" s="608">
        <v>45768</v>
      </c>
      <c r="B130" s="609" t="s">
        <v>572</v>
      </c>
      <c r="C130" s="610" t="s">
        <v>573</v>
      </c>
      <c r="D130" s="554">
        <v>4500163230</v>
      </c>
      <c r="E130" s="610" t="s">
        <v>574</v>
      </c>
      <c r="F130" s="554">
        <v>4500169682</v>
      </c>
      <c r="G130" s="610" t="s">
        <v>6040</v>
      </c>
      <c r="H130" s="610" t="s">
        <v>6041</v>
      </c>
      <c r="I130" s="610">
        <v>1560</v>
      </c>
      <c r="J130" s="610">
        <v>0</v>
      </c>
      <c r="K130" s="610">
        <v>52</v>
      </c>
      <c r="L130" s="611">
        <f t="shared" si="22"/>
        <v>30</v>
      </c>
      <c r="M130" s="612">
        <v>45814</v>
      </c>
      <c r="N130" s="612">
        <v>45810</v>
      </c>
      <c r="O130" s="613"/>
      <c r="P130" s="613" t="s">
        <v>113</v>
      </c>
      <c r="Q130" s="610" t="s">
        <v>576</v>
      </c>
      <c r="R130" s="614">
        <v>45770</v>
      </c>
      <c r="S130" s="614" t="s">
        <v>70</v>
      </c>
      <c r="T130" s="614">
        <v>45768</v>
      </c>
      <c r="U130" s="614"/>
      <c r="V130" s="614"/>
      <c r="W130" s="615"/>
      <c r="X130" s="609" t="s">
        <v>6357</v>
      </c>
      <c r="Y130" s="609" t="s">
        <v>578</v>
      </c>
      <c r="Z130" s="609">
        <v>0.92</v>
      </c>
      <c r="AA130" s="616">
        <f>Z130*I130</f>
        <v>1435.2</v>
      </c>
      <c r="AC130" s="629" t="s">
        <v>579</v>
      </c>
      <c r="AD130" s="610" t="s">
        <v>6040</v>
      </c>
      <c r="AE130" s="610" t="s">
        <v>82</v>
      </c>
      <c r="AF130" s="610"/>
      <c r="AG130" s="610" t="s">
        <v>74</v>
      </c>
      <c r="AH130" s="610"/>
      <c r="AI130" s="610">
        <v>1560</v>
      </c>
      <c r="AJ130" s="610">
        <f t="shared" si="21"/>
        <v>0</v>
      </c>
      <c r="AK130" s="610"/>
      <c r="AL130" s="610"/>
      <c r="AM130" s="610"/>
      <c r="AN130" s="610"/>
      <c r="AO130" s="554">
        <f t="shared" si="26"/>
        <v>1560</v>
      </c>
      <c r="AR130" s="619"/>
      <c r="AS130" s="548"/>
      <c r="AT130" s="554">
        <f>I130</f>
        <v>1560</v>
      </c>
      <c r="AV130" s="554">
        <f t="shared" si="27"/>
        <v>1560</v>
      </c>
      <c r="AW130" s="619"/>
      <c r="AX130" s="548"/>
      <c r="AY130" s="548"/>
      <c r="AZ130" s="548"/>
      <c r="BA130" s="548"/>
      <c r="BB130" s="620">
        <f t="shared" si="28"/>
        <v>65</v>
      </c>
      <c r="BM130" s="554">
        <f>I130/13</f>
        <v>120</v>
      </c>
      <c r="BY130" s="619"/>
      <c r="BZ130" s="548"/>
      <c r="CA130" s="621"/>
      <c r="CB130" s="567"/>
      <c r="CC130" s="622"/>
      <c r="CD130" s="619"/>
      <c r="CE130" s="619"/>
      <c r="CF130" s="548"/>
      <c r="CG130" s="548"/>
      <c r="CU130" s="554">
        <f t="shared" si="25"/>
        <v>0</v>
      </c>
      <c r="CV130" s="554">
        <f t="shared" si="15"/>
        <v>0</v>
      </c>
      <c r="CW130" s="554">
        <f t="shared" si="16"/>
        <v>0</v>
      </c>
      <c r="CX130" s="619"/>
      <c r="CY130" s="619"/>
      <c r="CZ130" s="619"/>
      <c r="DA130" s="548"/>
      <c r="DB130" s="548"/>
      <c r="DC130" s="548"/>
      <c r="DD130" s="619"/>
      <c r="DE130" s="619"/>
      <c r="DF130" s="619"/>
      <c r="DG130" s="619"/>
      <c r="DH130" s="619"/>
    </row>
    <row r="131" s="548" customFormat="1" ht="31" customHeight="1" spans="1:112">
      <c r="A131" s="608">
        <v>45768</v>
      </c>
      <c r="B131" s="609" t="s">
        <v>455</v>
      </c>
      <c r="C131" s="610" t="s">
        <v>241</v>
      </c>
      <c r="D131" s="554">
        <v>4500164402</v>
      </c>
      <c r="E131" s="610">
        <v>1310</v>
      </c>
      <c r="F131" s="554" t="s">
        <v>6358</v>
      </c>
      <c r="G131" s="610" t="s">
        <v>6047</v>
      </c>
      <c r="H131" s="610" t="s">
        <v>6069</v>
      </c>
      <c r="I131" s="610">
        <v>5000</v>
      </c>
      <c r="J131" s="610">
        <v>0</v>
      </c>
      <c r="K131" s="610">
        <v>25</v>
      </c>
      <c r="L131" s="611">
        <f t="shared" si="22"/>
        <v>200</v>
      </c>
      <c r="M131" s="612">
        <v>45814</v>
      </c>
      <c r="N131" s="612">
        <v>45810</v>
      </c>
      <c r="O131" s="613"/>
      <c r="P131" s="613" t="s">
        <v>113</v>
      </c>
      <c r="Q131" s="610"/>
      <c r="R131" s="614">
        <v>45768</v>
      </c>
      <c r="S131" s="614" t="s">
        <v>70</v>
      </c>
      <c r="T131" s="614">
        <v>45786</v>
      </c>
      <c r="U131" s="614"/>
      <c r="V131" s="614"/>
      <c r="W131" s="615"/>
      <c r="X131" s="609" t="s">
        <v>6359</v>
      </c>
      <c r="Y131" s="609" t="s">
        <v>299</v>
      </c>
      <c r="Z131" s="609">
        <v>0.95</v>
      </c>
      <c r="AA131" s="616">
        <f>Z131*I131</f>
        <v>4750</v>
      </c>
      <c r="AC131" s="629" t="s">
        <v>459</v>
      </c>
      <c r="AD131" s="610" t="s">
        <v>6047</v>
      </c>
      <c r="AE131" s="610" t="s">
        <v>82</v>
      </c>
      <c r="AF131" s="610"/>
      <c r="AG131" s="610" t="s">
        <v>74</v>
      </c>
      <c r="AH131" s="610"/>
      <c r="AI131" s="610">
        <v>5000</v>
      </c>
      <c r="AJ131" s="610">
        <f t="shared" si="21"/>
        <v>0</v>
      </c>
      <c r="AK131" s="610"/>
      <c r="AL131" s="610" t="s">
        <v>126</v>
      </c>
      <c r="AM131" s="610"/>
      <c r="AN131" s="610"/>
      <c r="AO131" s="554">
        <f t="shared" si="26"/>
        <v>5000</v>
      </c>
      <c r="AR131" s="619"/>
      <c r="AS131" s="548"/>
      <c r="AT131" s="554">
        <f>I131</f>
        <v>5000</v>
      </c>
      <c r="AV131" s="554">
        <f t="shared" si="27"/>
        <v>5000</v>
      </c>
      <c r="AW131" s="619"/>
      <c r="AX131" s="548"/>
      <c r="AY131" s="548"/>
      <c r="AZ131" s="548"/>
      <c r="BA131" s="548"/>
      <c r="BB131" s="620">
        <f t="shared" si="28"/>
        <v>208.333333333333</v>
      </c>
      <c r="BP131" s="554">
        <f>I131/25</f>
        <v>200</v>
      </c>
      <c r="BY131" s="619"/>
      <c r="BZ131" s="548"/>
      <c r="CA131" s="621"/>
      <c r="CB131" s="567"/>
      <c r="CC131" s="622"/>
      <c r="CD131" s="619"/>
      <c r="CE131" s="619"/>
      <c r="CF131" s="548"/>
      <c r="CG131" s="548"/>
      <c r="CU131" s="554">
        <f t="shared" si="25"/>
        <v>200</v>
      </c>
      <c r="CV131" s="554">
        <f t="shared" ref="CV131:CV194" si="29">CK131+CL131+CM131+CN131+CO131+CQ131+CP131</f>
        <v>0</v>
      </c>
      <c r="CW131" s="554">
        <f t="shared" ref="CW131:CW194" si="30">CI131+CJ131</f>
        <v>0</v>
      </c>
      <c r="CX131" s="619"/>
      <c r="CY131" s="619"/>
      <c r="CZ131" s="619"/>
      <c r="DA131" s="548"/>
      <c r="DB131" s="548"/>
      <c r="DC131" s="548"/>
      <c r="DD131" s="619"/>
      <c r="DE131" s="619"/>
      <c r="DF131" s="619"/>
      <c r="DG131" s="619"/>
      <c r="DH131" s="619"/>
    </row>
    <row r="132" s="548" customFormat="1" ht="31" customHeight="1" spans="1:112">
      <c r="A132" s="608">
        <v>45784</v>
      </c>
      <c r="B132" s="609"/>
      <c r="C132" s="610"/>
      <c r="D132" s="554" t="s">
        <v>475</v>
      </c>
      <c r="E132" s="610"/>
      <c r="F132" s="548"/>
      <c r="G132" s="610" t="s">
        <v>6360</v>
      </c>
      <c r="H132" s="610" t="s">
        <v>477</v>
      </c>
      <c r="I132" s="610">
        <v>48</v>
      </c>
      <c r="J132" s="610">
        <v>0</v>
      </c>
      <c r="K132" s="610">
        <v>6</v>
      </c>
      <c r="L132" s="611">
        <f t="shared" si="22"/>
        <v>8</v>
      </c>
      <c r="M132" s="612">
        <v>45797</v>
      </c>
      <c r="N132" s="612">
        <v>45793</v>
      </c>
      <c r="O132" s="613"/>
      <c r="P132" s="613"/>
      <c r="Q132" s="610"/>
      <c r="R132" s="614">
        <v>45784</v>
      </c>
      <c r="S132" s="614" t="s">
        <v>70</v>
      </c>
      <c r="T132" s="614" t="s">
        <v>70</v>
      </c>
      <c r="U132" s="614"/>
      <c r="V132" s="614"/>
      <c r="W132" s="615"/>
      <c r="X132" s="609" t="s">
        <v>478</v>
      </c>
      <c r="Y132" s="609" t="s">
        <v>92</v>
      </c>
      <c r="Z132" s="609"/>
      <c r="AA132" s="616"/>
      <c r="AC132" s="632" t="s">
        <v>479</v>
      </c>
      <c r="AD132" s="610" t="s">
        <v>480</v>
      </c>
      <c r="AE132" s="633" t="s">
        <v>82</v>
      </c>
      <c r="AF132" s="610"/>
      <c r="AG132" s="610" t="s">
        <v>74</v>
      </c>
      <c r="AH132" s="610"/>
      <c r="AI132" s="610">
        <v>48</v>
      </c>
      <c r="AJ132" s="610">
        <v>0</v>
      </c>
      <c r="AK132" s="610"/>
      <c r="AL132" s="610"/>
      <c r="AM132" s="610"/>
      <c r="AN132" s="610"/>
      <c r="AO132" s="554">
        <f t="shared" ref="AO132:AO138" si="31">I132*2</f>
        <v>96</v>
      </c>
      <c r="AR132" s="619"/>
      <c r="AS132" s="548"/>
      <c r="AT132" s="554">
        <f t="shared" ref="AT132:AT138" si="32">I132*2</f>
        <v>96</v>
      </c>
      <c r="AV132" s="554">
        <f t="shared" ref="AV132:AV138" si="33">I132*2</f>
        <v>96</v>
      </c>
      <c r="AW132" s="619"/>
      <c r="AX132" s="548"/>
      <c r="AY132" s="548"/>
      <c r="AZ132" s="548"/>
      <c r="BA132" s="548"/>
      <c r="BB132" s="620">
        <f t="shared" ref="BB132:BB138" si="34">I132/24*2</f>
        <v>4</v>
      </c>
      <c r="BY132" s="619"/>
      <c r="BZ132" s="554">
        <f>I132</f>
        <v>48</v>
      </c>
      <c r="CA132" s="621"/>
      <c r="CB132" s="567"/>
      <c r="CC132" s="622"/>
      <c r="CD132" s="619"/>
      <c r="CE132" s="619"/>
      <c r="CF132" s="548"/>
      <c r="CG132" s="548"/>
      <c r="CU132" s="554">
        <f t="shared" ref="CU131:CU202" si="35">BQ132+BP132+BO132+BN132+BX132+BR132</f>
        <v>0</v>
      </c>
      <c r="CV132" s="554">
        <f t="shared" si="29"/>
        <v>0</v>
      </c>
      <c r="CW132" s="554">
        <f t="shared" si="30"/>
        <v>0</v>
      </c>
      <c r="CX132" s="619"/>
      <c r="CY132" s="619"/>
      <c r="CZ132" s="619"/>
      <c r="DA132" s="548"/>
      <c r="DB132" s="548"/>
      <c r="DC132" s="548"/>
      <c r="DD132" s="619"/>
      <c r="DE132" s="619"/>
      <c r="DF132" s="619"/>
      <c r="DG132" s="619"/>
      <c r="DH132" s="619"/>
    </row>
    <row r="133" s="548" customFormat="1" ht="31" customHeight="1" spans="1:112">
      <c r="A133" s="608">
        <v>45755</v>
      </c>
      <c r="B133" s="609" t="s">
        <v>211</v>
      </c>
      <c r="C133" s="610" t="s">
        <v>212</v>
      </c>
      <c r="D133" s="554">
        <v>4500161438</v>
      </c>
      <c r="E133" s="610" t="s">
        <v>516</v>
      </c>
      <c r="F133" s="554" t="s">
        <v>517</v>
      </c>
      <c r="G133" s="610" t="s">
        <v>6337</v>
      </c>
      <c r="H133" s="610" t="s">
        <v>477</v>
      </c>
      <c r="I133" s="610">
        <v>600</v>
      </c>
      <c r="J133" s="610">
        <v>0</v>
      </c>
      <c r="K133" s="610">
        <v>6</v>
      </c>
      <c r="L133" s="611">
        <f t="shared" si="22"/>
        <v>100</v>
      </c>
      <c r="M133" s="612">
        <v>45805</v>
      </c>
      <c r="N133" s="612">
        <v>45801</v>
      </c>
      <c r="O133" s="613"/>
      <c r="P133" s="613" t="s">
        <v>113</v>
      </c>
      <c r="Q133" s="610" t="s">
        <v>6361</v>
      </c>
      <c r="R133" s="614">
        <v>45755</v>
      </c>
      <c r="S133" s="614" t="s">
        <v>70</v>
      </c>
      <c r="T133" s="614">
        <v>45772</v>
      </c>
      <c r="U133" s="614"/>
      <c r="V133" s="614" t="s">
        <v>6362</v>
      </c>
      <c r="W133" s="615"/>
      <c r="X133" s="609" t="s">
        <v>6363</v>
      </c>
      <c r="Y133" s="609" t="s">
        <v>217</v>
      </c>
      <c r="Z133" s="609">
        <v>8.9</v>
      </c>
      <c r="AA133" s="616">
        <f t="shared" ref="AA133:AA150" si="36">Z133*I133</f>
        <v>5340</v>
      </c>
      <c r="AC133" s="629" t="s">
        <v>522</v>
      </c>
      <c r="AD133" s="610" t="s">
        <v>480</v>
      </c>
      <c r="AE133" s="610" t="s">
        <v>82</v>
      </c>
      <c r="AF133" s="610"/>
      <c r="AG133" s="610" t="s">
        <v>74</v>
      </c>
      <c r="AH133" s="610"/>
      <c r="AI133" s="610">
        <v>600</v>
      </c>
      <c r="AJ133" s="610">
        <f t="shared" ref="AJ133:AJ150" si="37">AI133-I133</f>
        <v>0</v>
      </c>
      <c r="AK133" s="610"/>
      <c r="AL133" s="610"/>
      <c r="AM133" s="610"/>
      <c r="AN133" s="610"/>
      <c r="AO133" s="554">
        <f t="shared" si="31"/>
        <v>1200</v>
      </c>
      <c r="AR133" s="619"/>
      <c r="AS133" s="548"/>
      <c r="AT133" s="554">
        <f t="shared" si="32"/>
        <v>1200</v>
      </c>
      <c r="AV133" s="554">
        <f t="shared" si="33"/>
        <v>1200</v>
      </c>
      <c r="AW133" s="619"/>
      <c r="AX133" s="548"/>
      <c r="AY133" s="548"/>
      <c r="AZ133" s="548"/>
      <c r="BA133" s="548"/>
      <c r="BB133" s="620">
        <f t="shared" si="34"/>
        <v>50</v>
      </c>
      <c r="BY133" s="619"/>
      <c r="BZ133" s="554">
        <f>I133</f>
        <v>600</v>
      </c>
      <c r="CA133" s="621"/>
      <c r="CB133" s="567"/>
      <c r="CC133" s="622"/>
      <c r="CD133" s="619"/>
      <c r="CE133" s="619"/>
      <c r="CF133" s="548"/>
      <c r="CG133" s="548"/>
      <c r="CU133" s="554">
        <f t="shared" si="35"/>
        <v>0</v>
      </c>
      <c r="CV133" s="554">
        <f t="shared" si="29"/>
        <v>0</v>
      </c>
      <c r="CW133" s="554">
        <f t="shared" si="30"/>
        <v>0</v>
      </c>
      <c r="CX133" s="619"/>
      <c r="CY133" s="619"/>
      <c r="CZ133" s="619"/>
      <c r="DA133" s="548"/>
      <c r="DB133" s="548"/>
      <c r="DC133" s="548"/>
      <c r="DD133" s="619"/>
      <c r="DE133" s="619"/>
      <c r="DF133" s="619"/>
      <c r="DG133" s="619"/>
      <c r="DH133" s="619"/>
    </row>
    <row r="134" s="548" customFormat="1" ht="31" customHeight="1" spans="1:112">
      <c r="A134" s="608">
        <v>45714</v>
      </c>
      <c r="B134" s="609" t="s">
        <v>539</v>
      </c>
      <c r="C134" s="610" t="s">
        <v>399</v>
      </c>
      <c r="D134" s="554">
        <v>4500158623</v>
      </c>
      <c r="E134" s="610" t="s">
        <v>540</v>
      </c>
      <c r="F134" s="554" t="s">
        <v>6364</v>
      </c>
      <c r="G134" s="610" t="s">
        <v>6365</v>
      </c>
      <c r="H134" s="610" t="s">
        <v>6126</v>
      </c>
      <c r="I134" s="610">
        <v>528</v>
      </c>
      <c r="J134" s="610">
        <v>0</v>
      </c>
      <c r="K134" s="610">
        <v>12</v>
      </c>
      <c r="L134" s="611">
        <f t="shared" si="22"/>
        <v>44</v>
      </c>
      <c r="M134" s="612">
        <v>45813</v>
      </c>
      <c r="N134" s="612">
        <v>45810</v>
      </c>
      <c r="O134" s="613"/>
      <c r="P134" s="613" t="s">
        <v>113</v>
      </c>
      <c r="Q134" s="610"/>
      <c r="R134" s="614" t="s">
        <v>552</v>
      </c>
      <c r="S134" s="614" t="s">
        <v>104</v>
      </c>
      <c r="T134" s="614" t="s">
        <v>6366</v>
      </c>
      <c r="U134" s="614"/>
      <c r="V134" s="614"/>
      <c r="W134" s="615"/>
      <c r="X134" s="615" t="s">
        <v>6367</v>
      </c>
      <c r="Y134" s="609" t="s">
        <v>544</v>
      </c>
      <c r="Z134" s="609">
        <v>2.64</v>
      </c>
      <c r="AA134" s="616">
        <f t="shared" si="36"/>
        <v>1393.92</v>
      </c>
      <c r="AC134" s="629" t="s">
        <v>545</v>
      </c>
      <c r="AD134" s="610" t="s">
        <v>6368</v>
      </c>
      <c r="AE134" s="610" t="s">
        <v>82</v>
      </c>
      <c r="AF134" s="610"/>
      <c r="AG134" s="610" t="s">
        <v>74</v>
      </c>
      <c r="AH134" s="610"/>
      <c r="AI134" s="610">
        <v>528</v>
      </c>
      <c r="AJ134" s="610">
        <f t="shared" si="37"/>
        <v>0</v>
      </c>
      <c r="AK134" s="610"/>
      <c r="AL134" s="610"/>
      <c r="AM134" s="610"/>
      <c r="AN134" s="610"/>
      <c r="AO134" s="554">
        <f t="shared" si="31"/>
        <v>1056</v>
      </c>
      <c r="AR134" s="619"/>
      <c r="AS134" s="548"/>
      <c r="AT134" s="554">
        <f t="shared" si="32"/>
        <v>1056</v>
      </c>
      <c r="AV134" s="554">
        <f t="shared" si="33"/>
        <v>1056</v>
      </c>
      <c r="AW134" s="619"/>
      <c r="AX134" s="548"/>
      <c r="AY134" s="548"/>
      <c r="AZ134" s="548"/>
      <c r="BA134" s="548"/>
      <c r="BB134" s="249">
        <f t="shared" si="34"/>
        <v>44</v>
      </c>
      <c r="BY134" s="619"/>
      <c r="BZ134" s="548"/>
      <c r="CA134" s="621"/>
      <c r="CB134" s="567"/>
      <c r="CC134" s="622"/>
      <c r="CD134" s="619"/>
      <c r="CE134" s="619"/>
      <c r="CF134" s="548"/>
      <c r="CG134" s="548"/>
      <c r="CR134" s="554">
        <f>I134</f>
        <v>528</v>
      </c>
      <c r="CS134" s="554">
        <f>I134</f>
        <v>528</v>
      </c>
      <c r="CT134" s="554">
        <f>I134</f>
        <v>528</v>
      </c>
      <c r="CU134" s="554">
        <f t="shared" si="35"/>
        <v>0</v>
      </c>
      <c r="CV134" s="554">
        <f t="shared" si="29"/>
        <v>0</v>
      </c>
      <c r="CW134" s="554">
        <f t="shared" si="30"/>
        <v>0</v>
      </c>
      <c r="CX134" s="619"/>
      <c r="CY134" s="619"/>
      <c r="CZ134" s="619"/>
      <c r="DA134" s="548"/>
      <c r="DB134" s="548"/>
      <c r="DC134" s="548"/>
      <c r="DD134" s="619"/>
      <c r="DE134" s="619"/>
      <c r="DF134" s="619"/>
      <c r="DG134" s="619"/>
      <c r="DH134" s="619"/>
    </row>
    <row r="135" s="548" customFormat="1" ht="31" customHeight="1" spans="1:112">
      <c r="A135" s="608">
        <v>45714</v>
      </c>
      <c r="B135" s="609" t="s">
        <v>539</v>
      </c>
      <c r="C135" s="610" t="s">
        <v>411</v>
      </c>
      <c r="D135" s="554">
        <v>4500158623</v>
      </c>
      <c r="E135" s="610" t="s">
        <v>547</v>
      </c>
      <c r="F135" s="554" t="s">
        <v>6369</v>
      </c>
      <c r="G135" s="610" t="s">
        <v>6365</v>
      </c>
      <c r="H135" s="610" t="s">
        <v>6126</v>
      </c>
      <c r="I135" s="610">
        <v>516</v>
      </c>
      <c r="J135" s="610">
        <v>0</v>
      </c>
      <c r="K135" s="610">
        <v>12</v>
      </c>
      <c r="L135" s="611">
        <f t="shared" si="22"/>
        <v>43</v>
      </c>
      <c r="M135" s="612">
        <v>45813</v>
      </c>
      <c r="N135" s="612">
        <v>45810</v>
      </c>
      <c r="O135" s="613"/>
      <c r="P135" s="613" t="s">
        <v>113</v>
      </c>
      <c r="Q135" s="610"/>
      <c r="R135" s="614" t="s">
        <v>552</v>
      </c>
      <c r="S135" s="614" t="s">
        <v>104</v>
      </c>
      <c r="T135" s="614" t="s">
        <v>6366</v>
      </c>
      <c r="U135" s="614"/>
      <c r="V135" s="614"/>
      <c r="W135" s="615"/>
      <c r="X135" s="615" t="s">
        <v>6367</v>
      </c>
      <c r="Y135" s="609" t="s">
        <v>544</v>
      </c>
      <c r="Z135" s="609">
        <v>2.64</v>
      </c>
      <c r="AA135" s="616">
        <f t="shared" si="36"/>
        <v>1362.24</v>
      </c>
      <c r="AC135" s="629" t="s">
        <v>545</v>
      </c>
      <c r="AD135" s="610" t="s">
        <v>6368</v>
      </c>
      <c r="AE135" s="610" t="s">
        <v>82</v>
      </c>
      <c r="AF135" s="610"/>
      <c r="AG135" s="610" t="s">
        <v>74</v>
      </c>
      <c r="AH135" s="610"/>
      <c r="AI135" s="610">
        <v>516</v>
      </c>
      <c r="AJ135" s="610">
        <f t="shared" si="37"/>
        <v>0</v>
      </c>
      <c r="AK135" s="610"/>
      <c r="AL135" s="610"/>
      <c r="AM135" s="610"/>
      <c r="AN135" s="610"/>
      <c r="AO135" s="554">
        <f t="shared" si="31"/>
        <v>1032</v>
      </c>
      <c r="AR135" s="619"/>
      <c r="AS135" s="548"/>
      <c r="AT135" s="554">
        <f t="shared" si="32"/>
        <v>1032</v>
      </c>
      <c r="AV135" s="554">
        <f t="shared" si="33"/>
        <v>1032</v>
      </c>
      <c r="AW135" s="619"/>
      <c r="AX135" s="548"/>
      <c r="AY135" s="548"/>
      <c r="AZ135" s="548"/>
      <c r="BA135" s="548"/>
      <c r="BB135" s="249">
        <f t="shared" si="34"/>
        <v>43</v>
      </c>
      <c r="BY135" s="619"/>
      <c r="BZ135" s="548"/>
      <c r="CA135" s="621"/>
      <c r="CB135" s="567"/>
      <c r="CC135" s="622"/>
      <c r="CD135" s="619"/>
      <c r="CE135" s="619"/>
      <c r="CF135" s="548"/>
      <c r="CG135" s="548"/>
      <c r="CR135" s="554">
        <f>I135</f>
        <v>516</v>
      </c>
      <c r="CS135" s="554">
        <f>I135</f>
        <v>516</v>
      </c>
      <c r="CT135" s="554">
        <f>I135</f>
        <v>516</v>
      </c>
      <c r="CU135" s="554">
        <f t="shared" si="35"/>
        <v>0</v>
      </c>
      <c r="CV135" s="554">
        <f t="shared" si="29"/>
        <v>0</v>
      </c>
      <c r="CW135" s="554">
        <f t="shared" si="30"/>
        <v>0</v>
      </c>
      <c r="CX135" s="619"/>
      <c r="CY135" s="619"/>
      <c r="CZ135" s="619"/>
      <c r="DA135" s="548"/>
      <c r="DB135" s="548"/>
      <c r="DC135" s="548"/>
      <c r="DD135" s="619"/>
      <c r="DE135" s="619"/>
      <c r="DF135" s="619"/>
      <c r="DG135" s="619"/>
      <c r="DH135" s="619"/>
    </row>
    <row r="136" s="548" customFormat="1" ht="31" customHeight="1" spans="1:112">
      <c r="A136" s="608">
        <v>45720</v>
      </c>
      <c r="B136" s="609" t="s">
        <v>549</v>
      </c>
      <c r="C136" s="610" t="s">
        <v>278</v>
      </c>
      <c r="D136" s="554">
        <v>4500158582</v>
      </c>
      <c r="E136" s="610" t="s">
        <v>6370</v>
      </c>
      <c r="F136" s="554" t="s">
        <v>6371</v>
      </c>
      <c r="G136" s="610" t="s">
        <v>6365</v>
      </c>
      <c r="H136" s="610" t="s">
        <v>6126</v>
      </c>
      <c r="I136" s="610">
        <v>2928</v>
      </c>
      <c r="J136" s="610">
        <v>0</v>
      </c>
      <c r="K136" s="610">
        <v>12</v>
      </c>
      <c r="L136" s="611">
        <f t="shared" si="22"/>
        <v>244</v>
      </c>
      <c r="M136" s="612">
        <v>45813</v>
      </c>
      <c r="N136" s="612">
        <v>45810</v>
      </c>
      <c r="O136" s="613"/>
      <c r="P136" s="613" t="s">
        <v>113</v>
      </c>
      <c r="Q136" s="610"/>
      <c r="R136" s="614" t="s">
        <v>463</v>
      </c>
      <c r="S136" s="614" t="s">
        <v>104</v>
      </c>
      <c r="T136" s="614" t="s">
        <v>6366</v>
      </c>
      <c r="U136" s="614"/>
      <c r="V136" s="614"/>
      <c r="W136" s="615"/>
      <c r="X136" s="615" t="s">
        <v>6372</v>
      </c>
      <c r="Y136" s="609" t="s">
        <v>466</v>
      </c>
      <c r="Z136" s="609">
        <v>2.64</v>
      </c>
      <c r="AA136" s="616">
        <f t="shared" si="36"/>
        <v>7729.92</v>
      </c>
      <c r="AC136" s="629" t="s">
        <v>554</v>
      </c>
      <c r="AD136" s="610" t="s">
        <v>6368</v>
      </c>
      <c r="AE136" s="610" t="s">
        <v>82</v>
      </c>
      <c r="AF136" s="610"/>
      <c r="AG136" s="610" t="s">
        <v>74</v>
      </c>
      <c r="AH136" s="610"/>
      <c r="AI136" s="610">
        <v>2928</v>
      </c>
      <c r="AJ136" s="610">
        <f t="shared" si="37"/>
        <v>0</v>
      </c>
      <c r="AK136" s="610"/>
      <c r="AL136" s="610" t="s">
        <v>454</v>
      </c>
      <c r="AM136" s="610"/>
      <c r="AN136" s="610"/>
      <c r="AO136" s="554">
        <f t="shared" si="31"/>
        <v>5856</v>
      </c>
      <c r="AR136" s="619"/>
      <c r="AS136" s="548"/>
      <c r="AT136" s="554">
        <f t="shared" si="32"/>
        <v>5856</v>
      </c>
      <c r="AV136" s="554">
        <f t="shared" si="33"/>
        <v>5856</v>
      </c>
      <c r="AW136" s="619"/>
      <c r="AX136" s="548"/>
      <c r="AY136" s="548"/>
      <c r="AZ136" s="548"/>
      <c r="BA136" s="548"/>
      <c r="BB136" s="249">
        <f t="shared" si="34"/>
        <v>244</v>
      </c>
      <c r="BY136" s="619"/>
      <c r="BZ136" s="548"/>
      <c r="CA136" s="621"/>
      <c r="CB136" s="567"/>
      <c r="CC136" s="622"/>
      <c r="CD136" s="619"/>
      <c r="CE136" s="619"/>
      <c r="CF136" s="548"/>
      <c r="CG136" s="548"/>
      <c r="CR136" s="554">
        <f>I136</f>
        <v>2928</v>
      </c>
      <c r="CS136" s="554">
        <f>I136</f>
        <v>2928</v>
      </c>
      <c r="CT136" s="554">
        <f>I136</f>
        <v>2928</v>
      </c>
      <c r="CU136" s="554">
        <f t="shared" si="35"/>
        <v>0</v>
      </c>
      <c r="CV136" s="554">
        <f t="shared" si="29"/>
        <v>0</v>
      </c>
      <c r="CW136" s="554">
        <f t="shared" si="30"/>
        <v>0</v>
      </c>
      <c r="CX136" s="619"/>
      <c r="CY136" s="619"/>
      <c r="CZ136" s="619"/>
      <c r="DA136" s="548"/>
      <c r="DB136" s="548"/>
      <c r="DC136" s="548"/>
      <c r="DD136" s="619"/>
      <c r="DE136" s="619"/>
      <c r="DF136" s="619"/>
      <c r="DG136" s="619"/>
      <c r="DH136" s="619"/>
    </row>
    <row r="137" s="548" customFormat="1" ht="31" customHeight="1" spans="1:112">
      <c r="A137" s="608">
        <v>45720</v>
      </c>
      <c r="B137" s="609" t="s">
        <v>549</v>
      </c>
      <c r="C137" s="610" t="s">
        <v>154</v>
      </c>
      <c r="D137" s="554">
        <v>4500158582</v>
      </c>
      <c r="E137" s="610" t="s">
        <v>555</v>
      </c>
      <c r="F137" s="554" t="s">
        <v>6373</v>
      </c>
      <c r="G137" s="610" t="s">
        <v>6365</v>
      </c>
      <c r="H137" s="610" t="s">
        <v>6126</v>
      </c>
      <c r="I137" s="610">
        <v>1548</v>
      </c>
      <c r="J137" s="610">
        <v>0</v>
      </c>
      <c r="K137" s="610">
        <v>12</v>
      </c>
      <c r="L137" s="611">
        <f t="shared" si="22"/>
        <v>129</v>
      </c>
      <c r="M137" s="612">
        <v>45813</v>
      </c>
      <c r="N137" s="612">
        <v>45810</v>
      </c>
      <c r="O137" s="613"/>
      <c r="P137" s="613" t="s">
        <v>113</v>
      </c>
      <c r="Q137" s="610"/>
      <c r="R137" s="614" t="s">
        <v>463</v>
      </c>
      <c r="S137" s="614" t="s">
        <v>104</v>
      </c>
      <c r="T137" s="614" t="s">
        <v>6366</v>
      </c>
      <c r="U137" s="614"/>
      <c r="V137" s="614"/>
      <c r="W137" s="615"/>
      <c r="X137" s="615" t="s">
        <v>6372</v>
      </c>
      <c r="Y137" s="609" t="s">
        <v>466</v>
      </c>
      <c r="Z137" s="609">
        <v>2.64</v>
      </c>
      <c r="AA137" s="616">
        <f t="shared" si="36"/>
        <v>4086.72</v>
      </c>
      <c r="AC137" s="629" t="s">
        <v>554</v>
      </c>
      <c r="AD137" s="610" t="s">
        <v>6368</v>
      </c>
      <c r="AE137" s="610" t="s">
        <v>82</v>
      </c>
      <c r="AF137" s="610"/>
      <c r="AG137" s="610" t="s">
        <v>74</v>
      </c>
      <c r="AH137" s="610"/>
      <c r="AI137" s="610">
        <v>1548</v>
      </c>
      <c r="AJ137" s="610">
        <f t="shared" si="37"/>
        <v>0</v>
      </c>
      <c r="AK137" s="610"/>
      <c r="AL137" s="610" t="s">
        <v>454</v>
      </c>
      <c r="AM137" s="610"/>
      <c r="AN137" s="610"/>
      <c r="AO137" s="554">
        <f t="shared" si="31"/>
        <v>3096</v>
      </c>
      <c r="AR137" s="619"/>
      <c r="AS137" s="548"/>
      <c r="AT137" s="554">
        <f t="shared" si="32"/>
        <v>3096</v>
      </c>
      <c r="AV137" s="554">
        <f t="shared" si="33"/>
        <v>3096</v>
      </c>
      <c r="AW137" s="619"/>
      <c r="AX137" s="548"/>
      <c r="AY137" s="548"/>
      <c r="AZ137" s="548"/>
      <c r="BA137" s="548"/>
      <c r="BB137" s="249">
        <f t="shared" si="34"/>
        <v>129</v>
      </c>
      <c r="BY137" s="619"/>
      <c r="BZ137" s="548"/>
      <c r="CA137" s="621"/>
      <c r="CB137" s="567"/>
      <c r="CC137" s="622"/>
      <c r="CD137" s="619"/>
      <c r="CE137" s="619"/>
      <c r="CF137" s="548"/>
      <c r="CG137" s="548"/>
      <c r="CR137" s="554">
        <f>I137</f>
        <v>1548</v>
      </c>
      <c r="CS137" s="554">
        <f>I137</f>
        <v>1548</v>
      </c>
      <c r="CT137" s="554">
        <f>I137</f>
        <v>1548</v>
      </c>
      <c r="CU137" s="554">
        <f t="shared" si="35"/>
        <v>0</v>
      </c>
      <c r="CV137" s="554">
        <f t="shared" si="29"/>
        <v>0</v>
      </c>
      <c r="CW137" s="554">
        <f t="shared" si="30"/>
        <v>0</v>
      </c>
      <c r="CX137" s="619"/>
      <c r="CY137" s="619"/>
      <c r="CZ137" s="619"/>
      <c r="DA137" s="548"/>
      <c r="DB137" s="548"/>
      <c r="DC137" s="548"/>
      <c r="DD137" s="619"/>
      <c r="DE137" s="619"/>
      <c r="DF137" s="619"/>
      <c r="DG137" s="619"/>
      <c r="DH137" s="619"/>
    </row>
    <row r="138" s="548" customFormat="1" ht="31" customHeight="1" spans="1:112">
      <c r="A138" s="608">
        <v>45720</v>
      </c>
      <c r="B138" s="609" t="s">
        <v>549</v>
      </c>
      <c r="C138" s="610" t="s">
        <v>302</v>
      </c>
      <c r="D138" s="554">
        <v>4500158582</v>
      </c>
      <c r="E138" s="610" t="s">
        <v>557</v>
      </c>
      <c r="F138" s="554" t="s">
        <v>6374</v>
      </c>
      <c r="G138" s="610" t="s">
        <v>6365</v>
      </c>
      <c r="H138" s="610" t="s">
        <v>6126</v>
      </c>
      <c r="I138" s="610">
        <v>780</v>
      </c>
      <c r="J138" s="610">
        <v>0</v>
      </c>
      <c r="K138" s="610">
        <v>12</v>
      </c>
      <c r="L138" s="611">
        <f t="shared" si="22"/>
        <v>65</v>
      </c>
      <c r="M138" s="612">
        <v>45813</v>
      </c>
      <c r="N138" s="612">
        <v>45810</v>
      </c>
      <c r="O138" s="613"/>
      <c r="P138" s="613" t="s">
        <v>113</v>
      </c>
      <c r="Q138" s="610"/>
      <c r="R138" s="614" t="s">
        <v>463</v>
      </c>
      <c r="S138" s="614" t="s">
        <v>104</v>
      </c>
      <c r="T138" s="614" t="s">
        <v>6366</v>
      </c>
      <c r="U138" s="614"/>
      <c r="V138" s="614"/>
      <c r="W138" s="615"/>
      <c r="X138" s="615" t="s">
        <v>6372</v>
      </c>
      <c r="Y138" s="609" t="s">
        <v>466</v>
      </c>
      <c r="Z138" s="609">
        <v>2.64</v>
      </c>
      <c r="AA138" s="616">
        <f t="shared" si="36"/>
        <v>2059.2</v>
      </c>
      <c r="AC138" s="629" t="s">
        <v>554</v>
      </c>
      <c r="AD138" s="610" t="s">
        <v>6368</v>
      </c>
      <c r="AE138" s="610" t="s">
        <v>82</v>
      </c>
      <c r="AF138" s="610"/>
      <c r="AG138" s="610" t="s">
        <v>74</v>
      </c>
      <c r="AH138" s="610"/>
      <c r="AI138" s="610">
        <v>780</v>
      </c>
      <c r="AJ138" s="610">
        <f t="shared" si="37"/>
        <v>0</v>
      </c>
      <c r="AK138" s="610"/>
      <c r="AL138" s="610" t="s">
        <v>454</v>
      </c>
      <c r="AM138" s="610"/>
      <c r="AN138" s="610"/>
      <c r="AO138" s="554">
        <f t="shared" si="31"/>
        <v>1560</v>
      </c>
      <c r="AR138" s="619"/>
      <c r="AS138" s="548"/>
      <c r="AT138" s="554">
        <f t="shared" si="32"/>
        <v>1560</v>
      </c>
      <c r="AV138" s="554">
        <f t="shared" si="33"/>
        <v>1560</v>
      </c>
      <c r="AW138" s="619"/>
      <c r="AX138" s="548"/>
      <c r="AY138" s="548"/>
      <c r="AZ138" s="548"/>
      <c r="BA138" s="548"/>
      <c r="BB138" s="249">
        <f t="shared" si="34"/>
        <v>65</v>
      </c>
      <c r="BY138" s="619"/>
      <c r="BZ138" s="548"/>
      <c r="CA138" s="621"/>
      <c r="CB138" s="567"/>
      <c r="CC138" s="622"/>
      <c r="CD138" s="619"/>
      <c r="CE138" s="619"/>
      <c r="CF138" s="548"/>
      <c r="CG138" s="548"/>
      <c r="CR138" s="554">
        <f>I138</f>
        <v>780</v>
      </c>
      <c r="CS138" s="554">
        <f>I138</f>
        <v>780</v>
      </c>
      <c r="CT138" s="554">
        <f>I138</f>
        <v>780</v>
      </c>
      <c r="CU138" s="554">
        <f t="shared" si="35"/>
        <v>0</v>
      </c>
      <c r="CV138" s="554">
        <f t="shared" si="29"/>
        <v>0</v>
      </c>
      <c r="CW138" s="554">
        <f t="shared" si="30"/>
        <v>0</v>
      </c>
      <c r="CX138" s="619"/>
      <c r="CY138" s="619"/>
      <c r="CZ138" s="619"/>
      <c r="DA138" s="548"/>
      <c r="DB138" s="548"/>
      <c r="DC138" s="548"/>
      <c r="DD138" s="619"/>
      <c r="DE138" s="619"/>
      <c r="DF138" s="619"/>
      <c r="DG138" s="619"/>
      <c r="DH138" s="619"/>
    </row>
    <row r="139" s="548" customFormat="1" ht="31" customHeight="1" spans="1:112">
      <c r="A139" s="608">
        <v>45771</v>
      </c>
      <c r="B139" s="609" t="s">
        <v>523</v>
      </c>
      <c r="C139" s="610" t="s">
        <v>524</v>
      </c>
      <c r="D139" s="554">
        <v>4500164861</v>
      </c>
      <c r="E139" s="610">
        <v>50212500921</v>
      </c>
      <c r="F139" s="554" t="s">
        <v>6375</v>
      </c>
      <c r="G139" s="610" t="s">
        <v>6043</v>
      </c>
      <c r="H139" s="610" t="s">
        <v>6110</v>
      </c>
      <c r="I139" s="610">
        <v>5500</v>
      </c>
      <c r="J139" s="610">
        <v>0</v>
      </c>
      <c r="K139" s="610">
        <v>50</v>
      </c>
      <c r="L139" s="611">
        <f t="shared" si="22"/>
        <v>110</v>
      </c>
      <c r="M139" s="612">
        <v>45813</v>
      </c>
      <c r="N139" s="612">
        <v>45810</v>
      </c>
      <c r="O139" s="613" t="s">
        <v>6376</v>
      </c>
      <c r="P139" s="613" t="s">
        <v>113</v>
      </c>
      <c r="Q139" s="610" t="s">
        <v>6377</v>
      </c>
      <c r="R139" s="614">
        <v>45777</v>
      </c>
      <c r="S139" s="614" t="s">
        <v>70</v>
      </c>
      <c r="T139" s="614">
        <v>45800</v>
      </c>
      <c r="U139" s="614"/>
      <c r="V139" s="614"/>
      <c r="W139" s="615"/>
      <c r="X139" s="609" t="s">
        <v>6378</v>
      </c>
      <c r="Y139" s="609" t="s">
        <v>529</v>
      </c>
      <c r="Z139" s="609">
        <v>0.95</v>
      </c>
      <c r="AA139" s="616">
        <f t="shared" si="36"/>
        <v>5225</v>
      </c>
      <c r="AC139" s="629" t="s">
        <v>530</v>
      </c>
      <c r="AD139" s="610" t="s">
        <v>6043</v>
      </c>
      <c r="AE139" s="610" t="s">
        <v>82</v>
      </c>
      <c r="AF139" s="610"/>
      <c r="AG139" s="610" t="s">
        <v>74</v>
      </c>
      <c r="AH139" s="610"/>
      <c r="AI139" s="610">
        <v>5500</v>
      </c>
      <c r="AJ139" s="610">
        <f t="shared" si="37"/>
        <v>0</v>
      </c>
      <c r="AK139" s="610"/>
      <c r="AL139" s="610"/>
      <c r="AM139" s="610"/>
      <c r="AN139" s="610"/>
      <c r="AO139" s="554">
        <f>I139</f>
        <v>5500</v>
      </c>
      <c r="AR139" s="619"/>
      <c r="AS139" s="548"/>
      <c r="AT139" s="554">
        <f>I139</f>
        <v>5500</v>
      </c>
      <c r="AV139" s="554">
        <f>I139</f>
        <v>5500</v>
      </c>
      <c r="AW139" s="619"/>
      <c r="AX139" s="548"/>
      <c r="AY139" s="548"/>
      <c r="AZ139" s="548"/>
      <c r="BA139" s="548"/>
      <c r="BB139" s="620">
        <f>I139/24</f>
        <v>229.166666666667</v>
      </c>
      <c r="BP139" s="554">
        <f>I139/25</f>
        <v>220</v>
      </c>
      <c r="BY139" s="619"/>
      <c r="BZ139" s="548"/>
      <c r="CA139" s="621"/>
      <c r="CB139" s="567"/>
      <c r="CC139" s="622"/>
      <c r="CD139" s="619"/>
      <c r="CE139" s="619"/>
      <c r="CF139" s="548"/>
      <c r="CG139" s="548"/>
      <c r="CU139" s="554">
        <f t="shared" si="35"/>
        <v>220</v>
      </c>
      <c r="CV139" s="554">
        <f t="shared" si="29"/>
        <v>0</v>
      </c>
      <c r="CW139" s="554">
        <f t="shared" si="30"/>
        <v>0</v>
      </c>
      <c r="CX139" s="619"/>
      <c r="CY139" s="619"/>
      <c r="CZ139" s="619"/>
      <c r="DA139" s="548"/>
      <c r="DB139" s="548"/>
      <c r="DC139" s="548"/>
      <c r="DD139" s="619"/>
      <c r="DE139" s="619"/>
      <c r="DF139" s="619"/>
      <c r="DG139" s="619"/>
      <c r="DH139" s="619"/>
    </row>
    <row r="140" s="548" customFormat="1" ht="31" customHeight="1" spans="1:112">
      <c r="A140" s="608">
        <v>45765</v>
      </c>
      <c r="B140" s="609" t="s">
        <v>460</v>
      </c>
      <c r="C140" s="610" t="s">
        <v>278</v>
      </c>
      <c r="D140" s="554">
        <v>4500164250</v>
      </c>
      <c r="E140" s="610" t="s">
        <v>6379</v>
      </c>
      <c r="F140" s="554" t="s">
        <v>6380</v>
      </c>
      <c r="G140" s="610" t="s">
        <v>6365</v>
      </c>
      <c r="H140" s="610" t="s">
        <v>6126</v>
      </c>
      <c r="I140" s="610">
        <v>504</v>
      </c>
      <c r="J140" s="610">
        <v>0</v>
      </c>
      <c r="K140" s="610">
        <v>12</v>
      </c>
      <c r="L140" s="611">
        <f t="shared" si="22"/>
        <v>42</v>
      </c>
      <c r="M140" s="612">
        <v>45814</v>
      </c>
      <c r="N140" s="612">
        <v>45810</v>
      </c>
      <c r="O140" s="613"/>
      <c r="P140" s="613" t="s">
        <v>113</v>
      </c>
      <c r="Q140" s="610"/>
      <c r="R140" s="614" t="s">
        <v>463</v>
      </c>
      <c r="S140" s="614" t="s">
        <v>104</v>
      </c>
      <c r="T140" s="614" t="s">
        <v>6381</v>
      </c>
      <c r="U140" s="614"/>
      <c r="V140" s="614"/>
      <c r="W140" s="615"/>
      <c r="X140" s="609" t="s">
        <v>6382</v>
      </c>
      <c r="Y140" s="609" t="s">
        <v>466</v>
      </c>
      <c r="Z140" s="609">
        <v>2.64</v>
      </c>
      <c r="AA140" s="616">
        <f t="shared" si="36"/>
        <v>1330.56</v>
      </c>
      <c r="AC140" s="630" t="s">
        <v>6383</v>
      </c>
      <c r="AD140" s="610" t="s">
        <v>6368</v>
      </c>
      <c r="AE140" s="610" t="s">
        <v>82</v>
      </c>
      <c r="AF140" s="610"/>
      <c r="AG140" s="610" t="s">
        <v>74</v>
      </c>
      <c r="AH140" s="610"/>
      <c r="AI140" s="610">
        <v>504</v>
      </c>
      <c r="AJ140" s="610">
        <f t="shared" si="37"/>
        <v>0</v>
      </c>
      <c r="AK140" s="610"/>
      <c r="AL140" s="610" t="s">
        <v>454</v>
      </c>
      <c r="AM140" s="610"/>
      <c r="AN140" s="610"/>
      <c r="AO140" s="554">
        <f>I140*2</f>
        <v>1008</v>
      </c>
      <c r="AR140" s="619"/>
      <c r="AS140" s="548"/>
      <c r="AT140" s="554">
        <f>I140*2</f>
        <v>1008</v>
      </c>
      <c r="AV140" s="554">
        <f>I140*2</f>
        <v>1008</v>
      </c>
      <c r="AW140" s="619"/>
      <c r="AX140" s="548"/>
      <c r="AY140" s="548"/>
      <c r="AZ140" s="548"/>
      <c r="BA140" s="548"/>
      <c r="BB140" s="249">
        <f>I140/24*2</f>
        <v>42</v>
      </c>
      <c r="BY140" s="619"/>
      <c r="BZ140" s="548"/>
      <c r="CA140" s="621"/>
      <c r="CB140" s="567"/>
      <c r="CC140" s="622"/>
      <c r="CD140" s="619"/>
      <c r="CE140" s="619"/>
      <c r="CF140" s="548"/>
      <c r="CG140" s="548"/>
      <c r="CR140" s="554">
        <f>I140</f>
        <v>504</v>
      </c>
      <c r="CS140" s="554">
        <f>I140</f>
        <v>504</v>
      </c>
      <c r="CT140" s="554">
        <f>I140</f>
        <v>504</v>
      </c>
      <c r="CU140" s="554">
        <f t="shared" si="35"/>
        <v>0</v>
      </c>
      <c r="CV140" s="554">
        <f t="shared" si="29"/>
        <v>0</v>
      </c>
      <c r="CW140" s="554">
        <f t="shared" si="30"/>
        <v>0</v>
      </c>
      <c r="CX140" s="619"/>
      <c r="CY140" s="619"/>
      <c r="CZ140" s="619"/>
      <c r="DA140" s="548"/>
      <c r="DB140" s="548"/>
      <c r="DC140" s="548"/>
      <c r="DD140" s="619"/>
      <c r="DE140" s="619"/>
      <c r="DF140" s="619"/>
      <c r="DG140" s="619"/>
      <c r="DH140" s="619"/>
    </row>
    <row r="141" s="548" customFormat="1" ht="31" customHeight="1" spans="1:112">
      <c r="A141" s="608">
        <v>45765</v>
      </c>
      <c r="B141" s="609" t="s">
        <v>460</v>
      </c>
      <c r="C141" s="610" t="s">
        <v>278</v>
      </c>
      <c r="D141" s="554">
        <v>4500164250</v>
      </c>
      <c r="E141" s="610" t="s">
        <v>6384</v>
      </c>
      <c r="F141" s="554" t="s">
        <v>6385</v>
      </c>
      <c r="G141" s="610" t="s">
        <v>6365</v>
      </c>
      <c r="H141" s="610" t="s">
        <v>6126</v>
      </c>
      <c r="I141" s="610">
        <v>504</v>
      </c>
      <c r="J141" s="610">
        <v>0</v>
      </c>
      <c r="K141" s="610">
        <v>12</v>
      </c>
      <c r="L141" s="611">
        <f t="shared" si="22"/>
        <v>42</v>
      </c>
      <c r="M141" s="612">
        <v>45814</v>
      </c>
      <c r="N141" s="612">
        <v>45810</v>
      </c>
      <c r="O141" s="613"/>
      <c r="P141" s="613" t="s">
        <v>113</v>
      </c>
      <c r="Q141" s="610"/>
      <c r="R141" s="614" t="s">
        <v>463</v>
      </c>
      <c r="S141" s="614" t="s">
        <v>104</v>
      </c>
      <c r="T141" s="614" t="s">
        <v>6381</v>
      </c>
      <c r="U141" s="614"/>
      <c r="V141" s="614"/>
      <c r="W141" s="615"/>
      <c r="X141" s="609" t="s">
        <v>6382</v>
      </c>
      <c r="Y141" s="609" t="s">
        <v>466</v>
      </c>
      <c r="Z141" s="609">
        <v>2.64</v>
      </c>
      <c r="AA141" s="616">
        <f t="shared" si="36"/>
        <v>1330.56</v>
      </c>
      <c r="AC141" s="630" t="s">
        <v>6383</v>
      </c>
      <c r="AD141" s="610" t="s">
        <v>6368</v>
      </c>
      <c r="AE141" s="610" t="s">
        <v>82</v>
      </c>
      <c r="AF141" s="610"/>
      <c r="AG141" s="610" t="s">
        <v>74</v>
      </c>
      <c r="AH141" s="610"/>
      <c r="AI141" s="610">
        <v>504</v>
      </c>
      <c r="AJ141" s="610">
        <f t="shared" si="37"/>
        <v>0</v>
      </c>
      <c r="AK141" s="610"/>
      <c r="AL141" s="610" t="s">
        <v>454</v>
      </c>
      <c r="AM141" s="610"/>
      <c r="AN141" s="610"/>
      <c r="AO141" s="554">
        <f>I141*2</f>
        <v>1008</v>
      </c>
      <c r="AR141" s="619"/>
      <c r="AS141" s="548"/>
      <c r="AT141" s="554">
        <f>I141*2</f>
        <v>1008</v>
      </c>
      <c r="AV141" s="554">
        <f>I141*2</f>
        <v>1008</v>
      </c>
      <c r="AW141" s="619"/>
      <c r="AX141" s="548"/>
      <c r="AY141" s="548"/>
      <c r="AZ141" s="548"/>
      <c r="BA141" s="548"/>
      <c r="BB141" s="249">
        <f>I141/24*2</f>
        <v>42</v>
      </c>
      <c r="BY141" s="619"/>
      <c r="BZ141" s="548"/>
      <c r="CA141" s="621"/>
      <c r="CB141" s="567"/>
      <c r="CC141" s="622"/>
      <c r="CD141" s="619"/>
      <c r="CE141" s="619"/>
      <c r="CF141" s="548"/>
      <c r="CG141" s="548"/>
      <c r="CR141" s="554">
        <f>I141</f>
        <v>504</v>
      </c>
      <c r="CS141" s="554">
        <f>I141</f>
        <v>504</v>
      </c>
      <c r="CT141" s="554">
        <f>I141</f>
        <v>504</v>
      </c>
      <c r="CU141" s="554">
        <f t="shared" si="35"/>
        <v>0</v>
      </c>
      <c r="CV141" s="554">
        <f t="shared" si="29"/>
        <v>0</v>
      </c>
      <c r="CW141" s="554">
        <f t="shared" si="30"/>
        <v>0</v>
      </c>
      <c r="CX141" s="619"/>
      <c r="CY141" s="619"/>
      <c r="CZ141" s="619"/>
      <c r="DA141" s="548"/>
      <c r="DB141" s="548"/>
      <c r="DC141" s="548"/>
      <c r="DD141" s="619"/>
      <c r="DE141" s="619"/>
      <c r="DF141" s="619"/>
      <c r="DG141" s="619"/>
      <c r="DH141" s="619"/>
    </row>
    <row r="142" s="548" customFormat="1" ht="31" customHeight="1" spans="1:112">
      <c r="A142" s="608">
        <v>45756</v>
      </c>
      <c r="B142" s="609" t="s">
        <v>2206</v>
      </c>
      <c r="C142" s="610" t="s">
        <v>1343</v>
      </c>
      <c r="D142" s="554">
        <v>4500162966</v>
      </c>
      <c r="E142" s="610" t="s">
        <v>6386</v>
      </c>
      <c r="F142" s="554" t="s">
        <v>6387</v>
      </c>
      <c r="G142" s="610" t="s">
        <v>6276</v>
      </c>
      <c r="H142" s="610" t="s">
        <v>6277</v>
      </c>
      <c r="I142" s="610">
        <v>5000</v>
      </c>
      <c r="J142" s="610">
        <v>0</v>
      </c>
      <c r="K142" s="610">
        <v>50</v>
      </c>
      <c r="L142" s="611">
        <f t="shared" si="22"/>
        <v>100</v>
      </c>
      <c r="M142" s="612">
        <v>45814</v>
      </c>
      <c r="N142" s="612">
        <v>45810</v>
      </c>
      <c r="O142" s="613" t="s">
        <v>6388</v>
      </c>
      <c r="P142" s="613" t="s">
        <v>113</v>
      </c>
      <c r="Q142" s="610"/>
      <c r="R142" s="614">
        <v>45761</v>
      </c>
      <c r="S142" s="614" t="s">
        <v>70</v>
      </c>
      <c r="T142" s="614">
        <v>45794</v>
      </c>
      <c r="U142" s="614"/>
      <c r="V142" s="614"/>
      <c r="W142" s="615"/>
      <c r="X142" s="628" t="s">
        <v>6389</v>
      </c>
      <c r="Y142" s="609" t="s">
        <v>943</v>
      </c>
      <c r="Z142" s="609">
        <v>1.4</v>
      </c>
      <c r="AA142" s="616">
        <f t="shared" si="36"/>
        <v>7000</v>
      </c>
      <c r="AC142" s="629" t="s">
        <v>6390</v>
      </c>
      <c r="AD142" s="610" t="s">
        <v>6276</v>
      </c>
      <c r="AE142" s="610" t="s">
        <v>82</v>
      </c>
      <c r="AF142" s="610"/>
      <c r="AG142" s="610" t="s">
        <v>74</v>
      </c>
      <c r="AH142" s="610"/>
      <c r="AI142" s="610">
        <f>50+4950</f>
        <v>5000</v>
      </c>
      <c r="AJ142" s="610">
        <f t="shared" si="37"/>
        <v>0</v>
      </c>
      <c r="AK142" s="610"/>
      <c r="AL142" s="610"/>
      <c r="AM142" s="610"/>
      <c r="AN142" s="610"/>
      <c r="AO142" s="554">
        <f>I142</f>
        <v>5000</v>
      </c>
      <c r="AR142" s="619"/>
      <c r="AS142" s="548"/>
      <c r="AT142" s="548"/>
      <c r="AU142" s="548"/>
      <c r="AV142" s="548"/>
      <c r="AW142" s="619"/>
      <c r="AX142" s="548"/>
      <c r="AY142" s="548"/>
      <c r="AZ142" s="548"/>
      <c r="BA142" s="548"/>
      <c r="BB142" s="620">
        <f>I142/24*2</f>
        <v>416.666666666667</v>
      </c>
      <c r="BV142" s="554">
        <f>I142</f>
        <v>5000</v>
      </c>
      <c r="BW142" s="554">
        <f>I142</f>
        <v>5000</v>
      </c>
      <c r="BX142" s="554">
        <f>I142/25</f>
        <v>200</v>
      </c>
      <c r="BY142" s="619"/>
      <c r="BZ142" s="548"/>
      <c r="CA142" s="621"/>
      <c r="CB142" s="567"/>
      <c r="CC142" s="622"/>
      <c r="CD142" s="619"/>
      <c r="CE142" s="619"/>
      <c r="CF142" s="548"/>
      <c r="CG142" s="548"/>
      <c r="CU142" s="554">
        <f t="shared" si="35"/>
        <v>200</v>
      </c>
      <c r="CV142" s="554">
        <f t="shared" si="29"/>
        <v>0</v>
      </c>
      <c r="CW142" s="554">
        <f t="shared" si="30"/>
        <v>0</v>
      </c>
      <c r="CX142" s="619"/>
      <c r="CY142" s="619"/>
      <c r="CZ142" s="619"/>
      <c r="DA142" s="548"/>
      <c r="DB142" s="548"/>
      <c r="DC142" s="548"/>
      <c r="DD142" s="619"/>
      <c r="DE142" s="619"/>
      <c r="DF142" s="619"/>
      <c r="DG142" s="619"/>
      <c r="DH142" s="619"/>
    </row>
    <row r="143" s="548" customFormat="1" ht="31" customHeight="1" spans="1:112">
      <c r="A143" s="608">
        <v>45775</v>
      </c>
      <c r="B143" s="609" t="s">
        <v>468</v>
      </c>
      <c r="C143" s="610" t="s">
        <v>469</v>
      </c>
      <c r="D143" s="554">
        <v>4500164557</v>
      </c>
      <c r="E143" s="610">
        <v>47996</v>
      </c>
      <c r="F143" s="554" t="s">
        <v>6391</v>
      </c>
      <c r="G143" s="610" t="s">
        <v>6025</v>
      </c>
      <c r="H143" s="610" t="s">
        <v>6026</v>
      </c>
      <c r="I143" s="610">
        <v>504</v>
      </c>
      <c r="J143" s="610">
        <v>0</v>
      </c>
      <c r="K143" s="610">
        <v>24</v>
      </c>
      <c r="L143" s="611">
        <f t="shared" si="22"/>
        <v>21</v>
      </c>
      <c r="M143" s="612">
        <v>45814</v>
      </c>
      <c r="N143" s="612">
        <v>45810</v>
      </c>
      <c r="O143" s="613"/>
      <c r="P143" s="613" t="s">
        <v>113</v>
      </c>
      <c r="Q143" s="610"/>
      <c r="R143" s="614">
        <v>45775</v>
      </c>
      <c r="S143" s="614" t="s">
        <v>70</v>
      </c>
      <c r="T143" s="614" t="s">
        <v>6392</v>
      </c>
      <c r="U143" s="614"/>
      <c r="V143" s="614"/>
      <c r="W143" s="615"/>
      <c r="X143" s="628" t="s">
        <v>6393</v>
      </c>
      <c r="Y143" s="609" t="s">
        <v>472</v>
      </c>
      <c r="Z143" s="609">
        <v>0.87</v>
      </c>
      <c r="AA143" s="616">
        <f t="shared" si="36"/>
        <v>438.48</v>
      </c>
      <c r="AC143" s="629" t="s">
        <v>473</v>
      </c>
      <c r="AD143" s="610" t="s">
        <v>6025</v>
      </c>
      <c r="AE143" s="610" t="s">
        <v>82</v>
      </c>
      <c r="AF143" s="610"/>
      <c r="AG143" s="610" t="s">
        <v>74</v>
      </c>
      <c r="AH143" s="610"/>
      <c r="AI143" s="610">
        <v>504</v>
      </c>
      <c r="AJ143" s="610">
        <f t="shared" si="37"/>
        <v>0</v>
      </c>
      <c r="AK143" s="610"/>
      <c r="AL143" s="610"/>
      <c r="AM143" s="610"/>
      <c r="AN143" s="610"/>
      <c r="AO143" s="554">
        <f>I143</f>
        <v>504</v>
      </c>
      <c r="AR143" s="619"/>
      <c r="AS143" s="548"/>
      <c r="AT143" s="554">
        <f>I143</f>
        <v>504</v>
      </c>
      <c r="AV143" s="554">
        <f>I143</f>
        <v>504</v>
      </c>
      <c r="AW143" s="619"/>
      <c r="AX143" s="548"/>
      <c r="AY143" s="548"/>
      <c r="AZ143" s="548"/>
      <c r="BA143" s="548"/>
      <c r="BB143" s="620">
        <f>I143/24</f>
        <v>21</v>
      </c>
      <c r="BY143" s="619"/>
      <c r="BZ143" s="548"/>
      <c r="CA143" s="621"/>
      <c r="CB143" s="567"/>
      <c r="CC143" s="622"/>
      <c r="CD143" s="619"/>
      <c r="CE143" s="619"/>
      <c r="CF143" s="548"/>
      <c r="CG143" s="548"/>
      <c r="CU143" s="554">
        <f t="shared" si="35"/>
        <v>0</v>
      </c>
      <c r="CV143" s="554">
        <f t="shared" si="29"/>
        <v>0</v>
      </c>
      <c r="CW143" s="554">
        <f t="shared" si="30"/>
        <v>0</v>
      </c>
      <c r="CX143" s="619"/>
      <c r="CY143" s="619"/>
      <c r="CZ143" s="619"/>
      <c r="DA143" s="548"/>
      <c r="DB143" s="548"/>
      <c r="DC143" s="548"/>
      <c r="DD143" s="619"/>
      <c r="DE143" s="619"/>
      <c r="DF143" s="619"/>
      <c r="DG143" s="619"/>
      <c r="DH143" s="619"/>
    </row>
    <row r="144" s="548" customFormat="1" ht="31" customHeight="1" spans="1:112">
      <c r="A144" s="608">
        <v>45772</v>
      </c>
      <c r="B144" s="609" t="s">
        <v>659</v>
      </c>
      <c r="C144" s="610" t="s">
        <v>660</v>
      </c>
      <c r="D144" s="554">
        <v>4500164995</v>
      </c>
      <c r="E144" s="610" t="s">
        <v>661</v>
      </c>
      <c r="F144" s="554" t="s">
        <v>6394</v>
      </c>
      <c r="G144" s="610" t="s">
        <v>6043</v>
      </c>
      <c r="H144" s="610" t="s">
        <v>6110</v>
      </c>
      <c r="I144" s="610">
        <v>1000</v>
      </c>
      <c r="J144" s="610">
        <v>0</v>
      </c>
      <c r="K144" s="610">
        <v>50</v>
      </c>
      <c r="L144" s="611">
        <f t="shared" si="22"/>
        <v>20</v>
      </c>
      <c r="M144" s="612">
        <v>45817</v>
      </c>
      <c r="N144" s="612">
        <v>45813</v>
      </c>
      <c r="O144" s="613"/>
      <c r="P144" s="613" t="s">
        <v>113</v>
      </c>
      <c r="Q144" s="610"/>
      <c r="R144" s="614">
        <v>45783</v>
      </c>
      <c r="S144" s="614" t="s">
        <v>70</v>
      </c>
      <c r="T144" s="614" t="s">
        <v>70</v>
      </c>
      <c r="U144" s="614"/>
      <c r="V144" s="614"/>
      <c r="W144" s="615"/>
      <c r="X144" s="628" t="s">
        <v>6395</v>
      </c>
      <c r="Y144" s="609" t="s">
        <v>665</v>
      </c>
      <c r="Z144" s="609">
        <v>0.95</v>
      </c>
      <c r="AA144" s="616">
        <f t="shared" si="36"/>
        <v>950</v>
      </c>
      <c r="AC144" s="629" t="s">
        <v>666</v>
      </c>
      <c r="AD144" s="610" t="s">
        <v>6043</v>
      </c>
      <c r="AE144" s="610" t="s">
        <v>82</v>
      </c>
      <c r="AF144" s="610"/>
      <c r="AG144" s="610" t="s">
        <v>74</v>
      </c>
      <c r="AH144" s="610"/>
      <c r="AI144" s="610">
        <v>1000</v>
      </c>
      <c r="AJ144" s="610">
        <f t="shared" si="37"/>
        <v>0</v>
      </c>
      <c r="AK144" s="610"/>
      <c r="AL144" s="610" t="s">
        <v>454</v>
      </c>
      <c r="AM144" s="610"/>
      <c r="AN144" s="610"/>
      <c r="AO144" s="554">
        <f>I144</f>
        <v>1000</v>
      </c>
      <c r="AR144" s="619"/>
      <c r="AS144" s="548"/>
      <c r="AT144" s="554">
        <f>I144</f>
        <v>1000</v>
      </c>
      <c r="AV144" s="554">
        <f>I144</f>
        <v>1000</v>
      </c>
      <c r="AW144" s="619"/>
      <c r="AX144" s="548"/>
      <c r="AY144" s="548"/>
      <c r="AZ144" s="548"/>
      <c r="BA144" s="548"/>
      <c r="BB144" s="620">
        <f>I144/24</f>
        <v>41.6666666666667</v>
      </c>
      <c r="BP144" s="554">
        <f>I144/25</f>
        <v>40</v>
      </c>
      <c r="BY144" s="619"/>
      <c r="BZ144" s="548"/>
      <c r="CA144" s="621"/>
      <c r="CB144" s="567"/>
      <c r="CC144" s="622"/>
      <c r="CD144" s="619"/>
      <c r="CE144" s="619"/>
      <c r="CF144" s="548"/>
      <c r="CG144" s="548"/>
      <c r="CU144" s="554">
        <f t="shared" si="35"/>
        <v>40</v>
      </c>
      <c r="CV144" s="554">
        <f t="shared" si="29"/>
        <v>0</v>
      </c>
      <c r="CW144" s="554">
        <f t="shared" si="30"/>
        <v>0</v>
      </c>
      <c r="CX144" s="619"/>
      <c r="CY144" s="619"/>
      <c r="CZ144" s="619"/>
      <c r="DA144" s="548"/>
      <c r="DB144" s="548"/>
      <c r="DC144" s="548"/>
      <c r="DD144" s="619"/>
      <c r="DE144" s="619"/>
      <c r="DF144" s="619"/>
      <c r="DG144" s="619"/>
      <c r="DH144" s="619"/>
    </row>
    <row r="145" s="548" customFormat="1" ht="31" customHeight="1" spans="1:112">
      <c r="A145" s="608">
        <v>45775</v>
      </c>
      <c r="B145" s="609" t="s">
        <v>650</v>
      </c>
      <c r="C145" s="610" t="s">
        <v>424</v>
      </c>
      <c r="D145" s="554">
        <v>4500160445</v>
      </c>
      <c r="E145" s="610">
        <v>300565966</v>
      </c>
      <c r="F145" s="554" t="s">
        <v>651</v>
      </c>
      <c r="G145" s="610" t="s">
        <v>6047</v>
      </c>
      <c r="H145" s="610" t="s">
        <v>6069</v>
      </c>
      <c r="I145" s="610">
        <v>725</v>
      </c>
      <c r="J145" s="610">
        <v>0</v>
      </c>
      <c r="K145" s="610">
        <v>25</v>
      </c>
      <c r="L145" s="611">
        <f t="shared" si="22"/>
        <v>29</v>
      </c>
      <c r="M145" s="612">
        <v>45817</v>
      </c>
      <c r="N145" s="612">
        <v>45813</v>
      </c>
      <c r="O145" s="613"/>
      <c r="P145" s="613" t="s">
        <v>113</v>
      </c>
      <c r="Q145" s="610"/>
      <c r="R145" s="614">
        <v>45775</v>
      </c>
      <c r="S145" s="614" t="s">
        <v>70</v>
      </c>
      <c r="T145" s="614">
        <v>45790</v>
      </c>
      <c r="U145" s="614"/>
      <c r="V145" s="614"/>
      <c r="W145" s="615"/>
      <c r="X145" s="628" t="s">
        <v>6396</v>
      </c>
      <c r="Y145" s="609" t="s">
        <v>428</v>
      </c>
      <c r="Z145" s="609">
        <v>0.95</v>
      </c>
      <c r="AA145" s="616">
        <f t="shared" si="36"/>
        <v>688.75</v>
      </c>
      <c r="AC145" s="629" t="s">
        <v>653</v>
      </c>
      <c r="AD145" s="610" t="s">
        <v>6047</v>
      </c>
      <c r="AE145" s="610" t="s">
        <v>82</v>
      </c>
      <c r="AF145" s="610"/>
      <c r="AG145" s="610" t="s">
        <v>74</v>
      </c>
      <c r="AH145" s="610"/>
      <c r="AI145" s="610">
        <v>725</v>
      </c>
      <c r="AJ145" s="610">
        <f t="shared" si="37"/>
        <v>0</v>
      </c>
      <c r="AK145" s="610"/>
      <c r="AL145" s="610"/>
      <c r="AM145" s="610"/>
      <c r="AN145" s="610"/>
      <c r="AO145" s="554">
        <f>I145</f>
        <v>725</v>
      </c>
      <c r="AR145" s="619"/>
      <c r="AS145" s="548"/>
      <c r="AT145" s="554">
        <f>I145</f>
        <v>725</v>
      </c>
      <c r="AV145" s="554">
        <f>I145</f>
        <v>725</v>
      </c>
      <c r="AW145" s="619"/>
      <c r="AX145" s="548"/>
      <c r="AY145" s="548"/>
      <c r="AZ145" s="548"/>
      <c r="BA145" s="548"/>
      <c r="BB145" s="620">
        <f>I145/24</f>
        <v>30.2083333333333</v>
      </c>
      <c r="BP145" s="554">
        <f>I145/25</f>
        <v>29</v>
      </c>
      <c r="BY145" s="619"/>
      <c r="BZ145" s="548"/>
      <c r="CA145" s="621"/>
      <c r="CB145" s="567"/>
      <c r="CC145" s="622"/>
      <c r="CD145" s="619"/>
      <c r="CE145" s="619"/>
      <c r="CF145" s="548"/>
      <c r="CG145" s="548"/>
      <c r="CU145" s="554">
        <f t="shared" si="35"/>
        <v>29</v>
      </c>
      <c r="CV145" s="554">
        <f t="shared" si="29"/>
        <v>0</v>
      </c>
      <c r="CW145" s="554">
        <f t="shared" si="30"/>
        <v>0</v>
      </c>
      <c r="CX145" s="619"/>
      <c r="CY145" s="619"/>
      <c r="CZ145" s="619"/>
      <c r="DA145" s="548"/>
      <c r="DB145" s="548"/>
      <c r="DC145" s="548"/>
      <c r="DD145" s="619"/>
      <c r="DE145" s="619"/>
      <c r="DF145" s="619"/>
      <c r="DG145" s="619"/>
      <c r="DH145" s="619"/>
    </row>
    <row r="146" s="548" customFormat="1" ht="31" customHeight="1" spans="1:112">
      <c r="A146" s="608">
        <v>45774</v>
      </c>
      <c r="B146" s="609" t="s">
        <v>594</v>
      </c>
      <c r="C146" s="610" t="s">
        <v>98</v>
      </c>
      <c r="D146" s="554">
        <v>4500165209</v>
      </c>
      <c r="E146" s="610" t="s">
        <v>595</v>
      </c>
      <c r="F146" s="554" t="s">
        <v>6397</v>
      </c>
      <c r="G146" s="610" t="s">
        <v>6036</v>
      </c>
      <c r="H146" s="610" t="s">
        <v>6033</v>
      </c>
      <c r="I146" s="610">
        <v>750</v>
      </c>
      <c r="J146" s="610">
        <v>0</v>
      </c>
      <c r="K146" s="610">
        <v>50</v>
      </c>
      <c r="L146" s="611">
        <f t="shared" si="22"/>
        <v>15</v>
      </c>
      <c r="M146" s="612">
        <v>45817</v>
      </c>
      <c r="N146" s="612">
        <v>45813</v>
      </c>
      <c r="O146" s="613"/>
      <c r="P146" s="613" t="s">
        <v>113</v>
      </c>
      <c r="Q146" s="610"/>
      <c r="R146" s="614">
        <v>45784</v>
      </c>
      <c r="S146" s="614" t="s">
        <v>70</v>
      </c>
      <c r="T146" s="614" t="s">
        <v>70</v>
      </c>
      <c r="U146" s="614"/>
      <c r="V146" s="614"/>
      <c r="W146" s="615"/>
      <c r="X146" s="609" t="s">
        <v>597</v>
      </c>
      <c r="Y146" s="609" t="s">
        <v>383</v>
      </c>
      <c r="Z146" s="609">
        <v>0.57</v>
      </c>
      <c r="AA146" s="616">
        <f t="shared" si="36"/>
        <v>427.5</v>
      </c>
      <c r="AC146" s="617"/>
      <c r="AD146" s="610" t="s">
        <v>6036</v>
      </c>
      <c r="AE146" s="610" t="s">
        <v>82</v>
      </c>
      <c r="AF146" s="610"/>
      <c r="AG146" s="610" t="s">
        <v>74</v>
      </c>
      <c r="AH146" s="610"/>
      <c r="AI146" s="610">
        <v>750</v>
      </c>
      <c r="AJ146" s="610">
        <f t="shared" si="37"/>
        <v>0</v>
      </c>
      <c r="AK146" s="610"/>
      <c r="AL146" s="610"/>
      <c r="AM146" s="610"/>
      <c r="AN146" s="610">
        <f>I146</f>
        <v>750</v>
      </c>
      <c r="AP146" s="554">
        <f>I146</f>
        <v>750</v>
      </c>
      <c r="AR146" s="619"/>
      <c r="AS146" s="548"/>
      <c r="AT146" s="548"/>
      <c r="AU146" s="554">
        <f>I146</f>
        <v>750</v>
      </c>
      <c r="AW146" s="619"/>
      <c r="AX146" s="548"/>
      <c r="AY146" s="548"/>
      <c r="AZ146" s="548"/>
      <c r="BA146" s="548"/>
      <c r="BB146" s="620">
        <f>I146/48</f>
        <v>15.625</v>
      </c>
      <c r="BN146" s="554">
        <f>I146/25</f>
        <v>30</v>
      </c>
      <c r="BY146" s="619"/>
      <c r="BZ146" s="548"/>
      <c r="CA146" s="621"/>
      <c r="CB146" s="567"/>
      <c r="CC146" s="622"/>
      <c r="CD146" s="619"/>
      <c r="CE146" s="619"/>
      <c r="CF146" s="548"/>
      <c r="CG146" s="548"/>
      <c r="CU146" s="554">
        <f t="shared" si="35"/>
        <v>30</v>
      </c>
      <c r="CV146" s="554">
        <f t="shared" si="29"/>
        <v>0</v>
      </c>
      <c r="CW146" s="554">
        <f t="shared" si="30"/>
        <v>0</v>
      </c>
      <c r="CX146" s="619"/>
      <c r="CY146" s="619"/>
      <c r="CZ146" s="619"/>
      <c r="DA146" s="548"/>
      <c r="DB146" s="548"/>
      <c r="DC146" s="548"/>
      <c r="DD146" s="619"/>
      <c r="DE146" s="619"/>
      <c r="DF146" s="619"/>
      <c r="DG146" s="619"/>
      <c r="DH146" s="619"/>
    </row>
    <row r="147" s="548" customFormat="1" ht="31" customHeight="1" spans="1:112">
      <c r="A147" s="608">
        <v>45774</v>
      </c>
      <c r="B147" s="609" t="s">
        <v>594</v>
      </c>
      <c r="C147" s="610" t="s">
        <v>98</v>
      </c>
      <c r="D147" s="554">
        <v>4500165209</v>
      </c>
      <c r="E147" s="610" t="s">
        <v>598</v>
      </c>
      <c r="F147" s="554" t="s">
        <v>6398</v>
      </c>
      <c r="G147" s="610" t="s">
        <v>6036</v>
      </c>
      <c r="H147" s="610" t="s">
        <v>6033</v>
      </c>
      <c r="I147" s="610">
        <v>1000</v>
      </c>
      <c r="J147" s="610">
        <v>0</v>
      </c>
      <c r="K147" s="610">
        <v>50</v>
      </c>
      <c r="L147" s="611">
        <f t="shared" si="22"/>
        <v>20</v>
      </c>
      <c r="M147" s="612">
        <v>45817</v>
      </c>
      <c r="N147" s="612">
        <v>45813</v>
      </c>
      <c r="O147" s="613"/>
      <c r="P147" s="613" t="s">
        <v>113</v>
      </c>
      <c r="Q147" s="610"/>
      <c r="R147" s="614">
        <v>45784</v>
      </c>
      <c r="S147" s="614" t="s">
        <v>70</v>
      </c>
      <c r="T147" s="614" t="s">
        <v>70</v>
      </c>
      <c r="U147" s="614"/>
      <c r="V147" s="614"/>
      <c r="W147" s="615"/>
      <c r="X147" s="609" t="s">
        <v>597</v>
      </c>
      <c r="Y147" s="609" t="s">
        <v>383</v>
      </c>
      <c r="Z147" s="609">
        <v>0.57</v>
      </c>
      <c r="AA147" s="616">
        <f t="shared" si="36"/>
        <v>570</v>
      </c>
      <c r="AC147" s="617"/>
      <c r="AD147" s="610" t="s">
        <v>6036</v>
      </c>
      <c r="AE147" s="610" t="s">
        <v>82</v>
      </c>
      <c r="AF147" s="610"/>
      <c r="AG147" s="610" t="s">
        <v>74</v>
      </c>
      <c r="AH147" s="610"/>
      <c r="AI147" s="610">
        <v>1000</v>
      </c>
      <c r="AJ147" s="610">
        <f t="shared" si="37"/>
        <v>0</v>
      </c>
      <c r="AK147" s="610"/>
      <c r="AL147" s="610"/>
      <c r="AM147" s="610"/>
      <c r="AN147" s="610">
        <f>I147</f>
        <v>1000</v>
      </c>
      <c r="AP147" s="554">
        <f>I147</f>
        <v>1000</v>
      </c>
      <c r="AR147" s="619"/>
      <c r="AS147" s="548"/>
      <c r="AT147" s="548"/>
      <c r="AU147" s="554">
        <f>I147</f>
        <v>1000</v>
      </c>
      <c r="AW147" s="619"/>
      <c r="AX147" s="548"/>
      <c r="AY147" s="548"/>
      <c r="AZ147" s="548"/>
      <c r="BA147" s="548"/>
      <c r="BB147" s="620">
        <f>I147/48</f>
        <v>20.8333333333333</v>
      </c>
      <c r="BN147" s="554">
        <f>I147/25</f>
        <v>40</v>
      </c>
      <c r="BY147" s="619"/>
      <c r="BZ147" s="548"/>
      <c r="CA147" s="621"/>
      <c r="CB147" s="567"/>
      <c r="CC147" s="622"/>
      <c r="CD147" s="619"/>
      <c r="CE147" s="619"/>
      <c r="CF147" s="548"/>
      <c r="CG147" s="548"/>
      <c r="CU147" s="554">
        <f t="shared" si="35"/>
        <v>40</v>
      </c>
      <c r="CV147" s="554">
        <f t="shared" si="29"/>
        <v>0</v>
      </c>
      <c r="CW147" s="554">
        <f t="shared" si="30"/>
        <v>0</v>
      </c>
      <c r="CX147" s="619"/>
      <c r="CY147" s="619"/>
      <c r="CZ147" s="619"/>
      <c r="DA147" s="548"/>
      <c r="DB147" s="548"/>
      <c r="DC147" s="548"/>
      <c r="DD147" s="619"/>
      <c r="DE147" s="619"/>
      <c r="DF147" s="619"/>
      <c r="DG147" s="619"/>
      <c r="DH147" s="619"/>
    </row>
    <row r="148" s="548" customFormat="1" ht="31" customHeight="1" spans="1:112">
      <c r="A148" s="608">
        <v>45774</v>
      </c>
      <c r="B148" s="609" t="s">
        <v>594</v>
      </c>
      <c r="C148" s="610" t="s">
        <v>98</v>
      </c>
      <c r="D148" s="554">
        <v>4500165209</v>
      </c>
      <c r="E148" s="610" t="s">
        <v>600</v>
      </c>
      <c r="F148" s="554" t="s">
        <v>6399</v>
      </c>
      <c r="G148" s="610" t="s">
        <v>6036</v>
      </c>
      <c r="H148" s="610" t="s">
        <v>6033</v>
      </c>
      <c r="I148" s="610">
        <v>550</v>
      </c>
      <c r="J148" s="610">
        <v>0</v>
      </c>
      <c r="K148" s="610">
        <v>50</v>
      </c>
      <c r="L148" s="611">
        <f t="shared" si="22"/>
        <v>11</v>
      </c>
      <c r="M148" s="612">
        <v>45817</v>
      </c>
      <c r="N148" s="612">
        <v>45813</v>
      </c>
      <c r="O148" s="613"/>
      <c r="P148" s="613" t="s">
        <v>113</v>
      </c>
      <c r="Q148" s="610"/>
      <c r="R148" s="614">
        <v>45784</v>
      </c>
      <c r="S148" s="614" t="s">
        <v>70</v>
      </c>
      <c r="T148" s="614" t="s">
        <v>70</v>
      </c>
      <c r="U148" s="614"/>
      <c r="V148" s="614"/>
      <c r="W148" s="615"/>
      <c r="X148" s="609" t="s">
        <v>597</v>
      </c>
      <c r="Y148" s="609" t="s">
        <v>383</v>
      </c>
      <c r="Z148" s="609">
        <v>0.57</v>
      </c>
      <c r="AA148" s="616">
        <f t="shared" si="36"/>
        <v>313.5</v>
      </c>
      <c r="AC148" s="617"/>
      <c r="AD148" s="610" t="s">
        <v>6036</v>
      </c>
      <c r="AE148" s="610" t="s">
        <v>82</v>
      </c>
      <c r="AF148" s="610"/>
      <c r="AG148" s="610" t="s">
        <v>74</v>
      </c>
      <c r="AH148" s="610"/>
      <c r="AI148" s="610">
        <v>550</v>
      </c>
      <c r="AJ148" s="610">
        <f t="shared" si="37"/>
        <v>0</v>
      </c>
      <c r="AK148" s="610"/>
      <c r="AL148" s="610"/>
      <c r="AM148" s="610"/>
      <c r="AN148" s="610">
        <f>I148</f>
        <v>550</v>
      </c>
      <c r="AP148" s="554">
        <f>I148</f>
        <v>550</v>
      </c>
      <c r="AR148" s="619"/>
      <c r="AS148" s="548"/>
      <c r="AT148" s="548"/>
      <c r="AU148" s="554">
        <f>I148</f>
        <v>550</v>
      </c>
      <c r="AW148" s="619"/>
      <c r="AX148" s="548"/>
      <c r="AY148" s="548"/>
      <c r="AZ148" s="548"/>
      <c r="BA148" s="548"/>
      <c r="BB148" s="620">
        <f>I148/48</f>
        <v>11.4583333333333</v>
      </c>
      <c r="BN148" s="554">
        <f>I148/25</f>
        <v>22</v>
      </c>
      <c r="BY148" s="619"/>
      <c r="BZ148" s="548"/>
      <c r="CA148" s="621"/>
      <c r="CB148" s="567"/>
      <c r="CC148" s="622"/>
      <c r="CD148" s="619"/>
      <c r="CE148" s="619"/>
      <c r="CF148" s="548"/>
      <c r="CG148" s="548"/>
      <c r="CU148" s="554">
        <f t="shared" si="35"/>
        <v>22</v>
      </c>
      <c r="CV148" s="554">
        <f t="shared" si="29"/>
        <v>0</v>
      </c>
      <c r="CW148" s="554">
        <f t="shared" si="30"/>
        <v>0</v>
      </c>
      <c r="CX148" s="619"/>
      <c r="CY148" s="619"/>
      <c r="CZ148" s="619"/>
      <c r="DA148" s="548"/>
      <c r="DB148" s="548"/>
      <c r="DC148" s="548"/>
      <c r="DD148" s="619"/>
      <c r="DE148" s="619"/>
      <c r="DF148" s="619"/>
      <c r="DG148" s="619"/>
      <c r="DH148" s="619"/>
    </row>
    <row r="149" s="548" customFormat="1" ht="31" customHeight="1" spans="1:112">
      <c r="A149" s="608">
        <v>45775</v>
      </c>
      <c r="B149" s="609" t="s">
        <v>135</v>
      </c>
      <c r="C149" s="610" t="s">
        <v>128</v>
      </c>
      <c r="D149" s="554">
        <v>4500165215</v>
      </c>
      <c r="E149" s="610">
        <v>20797149</v>
      </c>
      <c r="F149" s="554" t="s">
        <v>6400</v>
      </c>
      <c r="G149" s="610" t="s">
        <v>6093</v>
      </c>
      <c r="H149" s="610" t="s">
        <v>6094</v>
      </c>
      <c r="I149" s="610">
        <v>2483</v>
      </c>
      <c r="J149" s="610">
        <v>0</v>
      </c>
      <c r="K149" s="610">
        <v>13</v>
      </c>
      <c r="L149" s="611">
        <f t="shared" si="22"/>
        <v>191</v>
      </c>
      <c r="M149" s="612">
        <v>45817</v>
      </c>
      <c r="N149" s="612">
        <v>45813</v>
      </c>
      <c r="O149" s="613"/>
      <c r="P149" s="613" t="s">
        <v>113</v>
      </c>
      <c r="Q149" s="610"/>
      <c r="R149" s="614">
        <v>45785</v>
      </c>
      <c r="S149" s="614" t="s">
        <v>104</v>
      </c>
      <c r="T149" s="614">
        <v>45797</v>
      </c>
      <c r="U149" s="614"/>
      <c r="V149" s="614"/>
      <c r="W149" s="615"/>
      <c r="X149" s="609" t="s">
        <v>6288</v>
      </c>
      <c r="Y149" s="609" t="s">
        <v>133</v>
      </c>
      <c r="Z149" s="609">
        <v>0.95</v>
      </c>
      <c r="AA149" s="616">
        <f t="shared" si="36"/>
        <v>2358.85</v>
      </c>
      <c r="AC149" s="629" t="s">
        <v>6401</v>
      </c>
      <c r="AD149" s="610" t="s">
        <v>6093</v>
      </c>
      <c r="AE149" s="610" t="s">
        <v>82</v>
      </c>
      <c r="AF149" s="610"/>
      <c r="AG149" s="610" t="s">
        <v>74</v>
      </c>
      <c r="AH149" s="610"/>
      <c r="AI149" s="610">
        <v>2483</v>
      </c>
      <c r="AJ149" s="610">
        <f t="shared" si="37"/>
        <v>0</v>
      </c>
      <c r="AK149" s="610"/>
      <c r="AL149" s="610"/>
      <c r="AM149" s="610"/>
      <c r="AN149" s="610"/>
      <c r="AO149" s="554">
        <f>I149</f>
        <v>2483</v>
      </c>
      <c r="AR149" s="619"/>
      <c r="AS149" s="548"/>
      <c r="AT149" s="554">
        <f>I149</f>
        <v>2483</v>
      </c>
      <c r="AV149" s="554">
        <f>I149</f>
        <v>2483</v>
      </c>
      <c r="AW149" s="619"/>
      <c r="AX149" s="548"/>
      <c r="AY149" s="548"/>
      <c r="AZ149" s="548"/>
      <c r="BA149" s="548"/>
      <c r="BB149" s="620">
        <f>I149/24</f>
        <v>103.458333333333</v>
      </c>
      <c r="BM149" s="554">
        <f>I149/13</f>
        <v>191</v>
      </c>
      <c r="BY149" s="619"/>
      <c r="BZ149" s="548"/>
      <c r="CA149" s="621"/>
      <c r="CB149" s="567"/>
      <c r="CC149" s="622"/>
      <c r="CD149" s="619"/>
      <c r="CE149" s="619"/>
      <c r="CF149" s="548"/>
      <c r="CG149" s="548"/>
      <c r="CU149" s="554">
        <f t="shared" si="35"/>
        <v>0</v>
      </c>
      <c r="CV149" s="554">
        <f t="shared" si="29"/>
        <v>0</v>
      </c>
      <c r="CW149" s="554">
        <f t="shared" si="30"/>
        <v>0</v>
      </c>
      <c r="CX149" s="619"/>
      <c r="CY149" s="619"/>
      <c r="CZ149" s="619"/>
      <c r="DA149" s="548"/>
      <c r="DB149" s="548"/>
      <c r="DC149" s="548"/>
      <c r="DD149" s="619"/>
      <c r="DE149" s="619"/>
      <c r="DF149" s="619"/>
      <c r="DG149" s="619"/>
      <c r="DH149" s="619"/>
    </row>
    <row r="150" s="548" customFormat="1" ht="31" customHeight="1" spans="1:112">
      <c r="A150" s="608">
        <v>45772</v>
      </c>
      <c r="B150" s="609" t="s">
        <v>606</v>
      </c>
      <c r="C150" s="610" t="s">
        <v>399</v>
      </c>
      <c r="D150" s="554">
        <v>4500164735</v>
      </c>
      <c r="E150" s="610"/>
      <c r="F150" s="554" t="s">
        <v>607</v>
      </c>
      <c r="G150" s="610" t="s">
        <v>6337</v>
      </c>
      <c r="H150" s="610" t="s">
        <v>477</v>
      </c>
      <c r="I150" s="610">
        <v>1002</v>
      </c>
      <c r="J150" s="610">
        <v>0</v>
      </c>
      <c r="K150" s="610">
        <v>6</v>
      </c>
      <c r="L150" s="611">
        <f t="shared" si="22"/>
        <v>167</v>
      </c>
      <c r="M150" s="612">
        <v>45813</v>
      </c>
      <c r="N150" s="612">
        <v>45810</v>
      </c>
      <c r="O150" s="613"/>
      <c r="P150" s="613" t="s">
        <v>113</v>
      </c>
      <c r="Q150" s="610"/>
      <c r="R150" s="614">
        <v>45772</v>
      </c>
      <c r="S150" s="614" t="s">
        <v>70</v>
      </c>
      <c r="T150" s="614" t="s">
        <v>6402</v>
      </c>
      <c r="U150" s="614"/>
      <c r="V150" s="614"/>
      <c r="W150" s="615"/>
      <c r="X150" s="609" t="s">
        <v>609</v>
      </c>
      <c r="Y150" s="609" t="s">
        <v>445</v>
      </c>
      <c r="Z150" s="609">
        <v>8.1</v>
      </c>
      <c r="AA150" s="616">
        <f t="shared" si="36"/>
        <v>8116.2</v>
      </c>
      <c r="AC150" s="629" t="s">
        <v>610</v>
      </c>
      <c r="AD150" s="610" t="s">
        <v>480</v>
      </c>
      <c r="AE150" s="610" t="s">
        <v>82</v>
      </c>
      <c r="AF150" s="610"/>
      <c r="AG150" s="610" t="s">
        <v>74</v>
      </c>
      <c r="AH150" s="610"/>
      <c r="AI150" s="610">
        <v>1002</v>
      </c>
      <c r="AJ150" s="610">
        <f t="shared" si="37"/>
        <v>0</v>
      </c>
      <c r="AK150" s="610"/>
      <c r="AL150" s="610"/>
      <c r="AM150" s="610"/>
      <c r="AN150" s="610"/>
      <c r="AO150" s="554">
        <f>I150*2</f>
        <v>2004</v>
      </c>
      <c r="AR150" s="619"/>
      <c r="AS150" s="548"/>
      <c r="AT150" s="554">
        <f>I150*2</f>
        <v>2004</v>
      </c>
      <c r="AV150" s="554">
        <f>I150*2</f>
        <v>2004</v>
      </c>
      <c r="AW150" s="619"/>
      <c r="AX150" s="548"/>
      <c r="AY150" s="548"/>
      <c r="AZ150" s="548"/>
      <c r="BA150" s="548"/>
      <c r="BB150" s="620">
        <f>I150/24*2</f>
        <v>83.5</v>
      </c>
      <c r="BY150" s="619"/>
      <c r="BZ150" s="554">
        <f>I150</f>
        <v>1002</v>
      </c>
      <c r="CA150" s="621"/>
      <c r="CB150" s="567"/>
      <c r="CC150" s="622"/>
      <c r="CD150" s="619"/>
      <c r="CE150" s="619"/>
      <c r="CF150" s="548"/>
      <c r="CG150" s="548"/>
      <c r="CU150" s="554">
        <f t="shared" si="35"/>
        <v>0</v>
      </c>
      <c r="CV150" s="554">
        <f t="shared" si="29"/>
        <v>0</v>
      </c>
      <c r="CW150" s="554">
        <f t="shared" si="30"/>
        <v>0</v>
      </c>
      <c r="CX150" s="619"/>
      <c r="CY150" s="619"/>
      <c r="CZ150" s="619"/>
      <c r="DA150" s="548"/>
      <c r="DB150" s="548"/>
      <c r="DC150" s="548"/>
      <c r="DD150" s="619"/>
      <c r="DE150" s="619"/>
      <c r="DF150" s="619"/>
      <c r="DG150" s="619"/>
      <c r="DH150" s="619"/>
    </row>
    <row r="151" s="548" customFormat="1" ht="31" customHeight="1" spans="1:112">
      <c r="A151" s="608">
        <v>45794</v>
      </c>
      <c r="B151" s="609"/>
      <c r="C151" s="610"/>
      <c r="D151" s="554" t="s">
        <v>6403</v>
      </c>
      <c r="E151" s="610"/>
      <c r="F151" s="548"/>
      <c r="G151" s="610" t="s">
        <v>6020</v>
      </c>
      <c r="H151" s="610" t="s">
        <v>6021</v>
      </c>
      <c r="I151" s="610">
        <v>1008</v>
      </c>
      <c r="J151" s="610">
        <v>0</v>
      </c>
      <c r="K151" s="610">
        <v>24</v>
      </c>
      <c r="L151" s="611">
        <f t="shared" si="22"/>
        <v>42</v>
      </c>
      <c r="M151" s="612">
        <v>45806</v>
      </c>
      <c r="N151" s="612">
        <v>45803</v>
      </c>
      <c r="O151" s="613"/>
      <c r="P151" s="613" t="s">
        <v>113</v>
      </c>
      <c r="Q151" s="610"/>
      <c r="R151" s="614">
        <v>45794</v>
      </c>
      <c r="S151" s="614" t="s">
        <v>70</v>
      </c>
      <c r="T151" s="614" t="s">
        <v>70</v>
      </c>
      <c r="U151" s="614"/>
      <c r="V151" s="614"/>
      <c r="W151" s="615"/>
      <c r="X151" s="609" t="s">
        <v>6404</v>
      </c>
      <c r="Y151" s="609" t="s">
        <v>92</v>
      </c>
      <c r="Z151" s="609"/>
      <c r="AA151" s="616"/>
      <c r="AC151" s="617" t="s">
        <v>6405</v>
      </c>
      <c r="AD151" s="610" t="s">
        <v>6052</v>
      </c>
      <c r="AE151" s="610" t="s">
        <v>82</v>
      </c>
      <c r="AF151" s="610"/>
      <c r="AG151" s="610" t="s">
        <v>74</v>
      </c>
      <c r="AH151" s="610"/>
      <c r="AI151" s="610">
        <v>1008</v>
      </c>
      <c r="AJ151" s="610">
        <v>0</v>
      </c>
      <c r="AK151" s="610"/>
      <c r="AL151" s="610"/>
      <c r="AM151" s="610"/>
      <c r="AN151" s="610">
        <f>I151</f>
        <v>1008</v>
      </c>
      <c r="AP151" s="554">
        <f>I151</f>
        <v>1008</v>
      </c>
      <c r="AR151" s="619"/>
      <c r="AS151" s="548"/>
      <c r="AT151" s="548"/>
      <c r="AU151" s="554">
        <f>I151</f>
        <v>1008</v>
      </c>
      <c r="AW151" s="619"/>
      <c r="AX151" s="548"/>
      <c r="AY151" s="548"/>
      <c r="AZ151" s="548"/>
      <c r="BA151" s="548"/>
      <c r="BB151" s="620">
        <f>I151/48</f>
        <v>21</v>
      </c>
      <c r="BY151" s="619"/>
      <c r="BZ151" s="548"/>
      <c r="CA151" s="621"/>
      <c r="CB151" s="567"/>
      <c r="CC151" s="622"/>
      <c r="CD151" s="619"/>
      <c r="CE151" s="619"/>
      <c r="CF151" s="548"/>
      <c r="CG151" s="548"/>
      <c r="CU151" s="554">
        <f t="shared" si="35"/>
        <v>0</v>
      </c>
      <c r="CV151" s="554">
        <f t="shared" si="29"/>
        <v>0</v>
      </c>
      <c r="CW151" s="554">
        <f t="shared" si="30"/>
        <v>0</v>
      </c>
      <c r="CX151" s="619"/>
      <c r="CY151" s="619"/>
      <c r="CZ151" s="619"/>
      <c r="DA151" s="548"/>
      <c r="DB151" s="548"/>
      <c r="DC151" s="548"/>
      <c r="DD151" s="619"/>
      <c r="DE151" s="619"/>
      <c r="DF151" s="619"/>
      <c r="DG151" s="619"/>
      <c r="DH151" s="619"/>
    </row>
    <row r="152" s="548" customFormat="1" ht="31" customHeight="1" spans="1:112">
      <c r="A152" s="608">
        <v>45794</v>
      </c>
      <c r="B152" s="609"/>
      <c r="C152" s="610"/>
      <c r="D152" s="554" t="s">
        <v>6403</v>
      </c>
      <c r="E152" s="610"/>
      <c r="F152" s="548"/>
      <c r="G152" s="610" t="s">
        <v>6025</v>
      </c>
      <c r="H152" s="610" t="s">
        <v>6026</v>
      </c>
      <c r="I152" s="610">
        <v>1008</v>
      </c>
      <c r="J152" s="610">
        <v>0</v>
      </c>
      <c r="K152" s="610">
        <v>24</v>
      </c>
      <c r="L152" s="611">
        <f t="shared" si="22"/>
        <v>42</v>
      </c>
      <c r="M152" s="612">
        <v>45806</v>
      </c>
      <c r="N152" s="612">
        <v>45803</v>
      </c>
      <c r="O152" s="613"/>
      <c r="P152" s="613" t="s">
        <v>113</v>
      </c>
      <c r="Q152" s="610"/>
      <c r="R152" s="614">
        <v>45794</v>
      </c>
      <c r="S152" s="614" t="s">
        <v>70</v>
      </c>
      <c r="T152" s="614" t="s">
        <v>70</v>
      </c>
      <c r="U152" s="614"/>
      <c r="V152" s="614"/>
      <c r="W152" s="615"/>
      <c r="X152" s="609" t="s">
        <v>6404</v>
      </c>
      <c r="Y152" s="609" t="s">
        <v>92</v>
      </c>
      <c r="Z152" s="609"/>
      <c r="AA152" s="616"/>
      <c r="AC152" s="617" t="s">
        <v>6405</v>
      </c>
      <c r="AD152" s="610" t="s">
        <v>6025</v>
      </c>
      <c r="AE152" s="610" t="s">
        <v>82</v>
      </c>
      <c r="AF152" s="610"/>
      <c r="AG152" s="610" t="s">
        <v>74</v>
      </c>
      <c r="AH152" s="610"/>
      <c r="AI152" s="610">
        <v>1008</v>
      </c>
      <c r="AJ152" s="610">
        <v>0</v>
      </c>
      <c r="AK152" s="610"/>
      <c r="AL152" s="610"/>
      <c r="AM152" s="610"/>
      <c r="AN152" s="610"/>
      <c r="AO152" s="554">
        <f>I152</f>
        <v>1008</v>
      </c>
      <c r="AR152" s="619"/>
      <c r="AS152" s="548"/>
      <c r="AT152" s="554">
        <f>I152</f>
        <v>1008</v>
      </c>
      <c r="AV152" s="554">
        <f>I152</f>
        <v>1008</v>
      </c>
      <c r="AW152" s="619"/>
      <c r="AX152" s="548"/>
      <c r="AY152" s="548"/>
      <c r="AZ152" s="548"/>
      <c r="BA152" s="548"/>
      <c r="BB152" s="620">
        <f>I152/24</f>
        <v>42</v>
      </c>
      <c r="BY152" s="619"/>
      <c r="BZ152" s="548"/>
      <c r="CA152" s="621"/>
      <c r="CB152" s="567"/>
      <c r="CC152" s="622"/>
      <c r="CD152" s="619"/>
      <c r="CE152" s="619"/>
      <c r="CF152" s="548"/>
      <c r="CG152" s="548"/>
      <c r="CU152" s="554">
        <f t="shared" si="35"/>
        <v>0</v>
      </c>
      <c r="CV152" s="554">
        <f t="shared" si="29"/>
        <v>0</v>
      </c>
      <c r="CW152" s="554">
        <f t="shared" si="30"/>
        <v>0</v>
      </c>
      <c r="CX152" s="619"/>
      <c r="CY152" s="619"/>
      <c r="CZ152" s="619"/>
      <c r="DA152" s="548"/>
      <c r="DB152" s="548"/>
      <c r="DC152" s="548"/>
      <c r="DD152" s="619"/>
      <c r="DE152" s="619"/>
      <c r="DF152" s="619"/>
      <c r="DG152" s="619"/>
      <c r="DH152" s="619"/>
    </row>
    <row r="153" s="548" customFormat="1" ht="31" customHeight="1" spans="1:112">
      <c r="A153" s="608">
        <v>45757</v>
      </c>
      <c r="B153" s="609" t="s">
        <v>3110</v>
      </c>
      <c r="C153" s="610" t="s">
        <v>524</v>
      </c>
      <c r="D153" s="554">
        <v>4500162850</v>
      </c>
      <c r="E153" s="610">
        <v>6000056637</v>
      </c>
      <c r="F153" s="554" t="s">
        <v>6406</v>
      </c>
      <c r="G153" s="610" t="s">
        <v>6043</v>
      </c>
      <c r="H153" s="610" t="s">
        <v>6110</v>
      </c>
      <c r="I153" s="610">
        <v>800</v>
      </c>
      <c r="J153" s="610">
        <v>0</v>
      </c>
      <c r="K153" s="610">
        <v>50</v>
      </c>
      <c r="L153" s="611">
        <f t="shared" si="22"/>
        <v>16</v>
      </c>
      <c r="M153" s="612">
        <v>45807</v>
      </c>
      <c r="N153" s="612">
        <v>45817</v>
      </c>
      <c r="O153" s="613" t="s">
        <v>6407</v>
      </c>
      <c r="P153" s="613" t="s">
        <v>113</v>
      </c>
      <c r="Q153" s="610"/>
      <c r="R153" s="614" t="s">
        <v>5064</v>
      </c>
      <c r="S153" s="614" t="s">
        <v>70</v>
      </c>
      <c r="T153" s="614" t="s">
        <v>6408</v>
      </c>
      <c r="U153" s="614"/>
      <c r="V153" s="614"/>
      <c r="W153" s="615"/>
      <c r="X153" s="609" t="s">
        <v>6409</v>
      </c>
      <c r="Y153" s="609" t="s">
        <v>340</v>
      </c>
      <c r="Z153" s="609">
        <v>0.95</v>
      </c>
      <c r="AA153" s="616">
        <f>Z153*I153</f>
        <v>760</v>
      </c>
      <c r="AC153" s="629" t="s">
        <v>6410</v>
      </c>
      <c r="AD153" s="610" t="s">
        <v>6043</v>
      </c>
      <c r="AE153" s="610" t="s">
        <v>82</v>
      </c>
      <c r="AF153" s="610"/>
      <c r="AG153" s="610" t="s">
        <v>74</v>
      </c>
      <c r="AH153" s="610"/>
      <c r="AI153" s="610">
        <v>800</v>
      </c>
      <c r="AJ153" s="610">
        <f t="shared" ref="AJ153:AJ173" si="38">AI153-I153</f>
        <v>0</v>
      </c>
      <c r="AK153" s="610"/>
      <c r="AL153" s="610" t="s">
        <v>454</v>
      </c>
      <c r="AM153" s="610"/>
      <c r="AN153" s="610"/>
      <c r="AO153" s="554">
        <f>I153</f>
        <v>800</v>
      </c>
      <c r="AR153" s="619"/>
      <c r="AS153" s="548"/>
      <c r="AT153" s="554">
        <f>I153</f>
        <v>800</v>
      </c>
      <c r="AV153" s="554">
        <f>I153</f>
        <v>800</v>
      </c>
      <c r="AW153" s="619"/>
      <c r="AX153" s="548"/>
      <c r="AY153" s="548"/>
      <c r="AZ153" s="548"/>
      <c r="BA153" s="548"/>
      <c r="BB153" s="620">
        <f>I153/24</f>
        <v>33.3333333333333</v>
      </c>
      <c r="BP153" s="554">
        <f>I153/25</f>
        <v>32</v>
      </c>
      <c r="BY153" s="619"/>
      <c r="BZ153" s="548"/>
      <c r="CA153" s="621"/>
      <c r="CB153" s="567"/>
      <c r="CC153" s="622"/>
      <c r="CD153" s="619"/>
      <c r="CE153" s="619"/>
      <c r="CF153" s="548"/>
      <c r="CG153" s="548"/>
      <c r="CU153" s="554">
        <f t="shared" si="35"/>
        <v>32</v>
      </c>
      <c r="CV153" s="554">
        <f t="shared" si="29"/>
        <v>0</v>
      </c>
      <c r="CW153" s="554">
        <f t="shared" si="30"/>
        <v>0</v>
      </c>
      <c r="CX153" s="619"/>
      <c r="CY153" s="619"/>
      <c r="CZ153" s="619"/>
      <c r="DA153" s="548"/>
      <c r="DB153" s="548"/>
      <c r="DC153" s="548"/>
      <c r="DD153" s="619"/>
      <c r="DE153" s="619"/>
      <c r="DF153" s="619"/>
      <c r="DG153" s="619"/>
      <c r="DH153" s="619"/>
    </row>
    <row r="154" s="548" customFormat="1" ht="31" customHeight="1" spans="1:112">
      <c r="A154" s="608">
        <v>45765</v>
      </c>
      <c r="B154" s="609" t="s">
        <v>442</v>
      </c>
      <c r="C154" s="610" t="s">
        <v>411</v>
      </c>
      <c r="D154" s="554">
        <v>4500163950</v>
      </c>
      <c r="E154" s="610"/>
      <c r="F154" s="554" t="s">
        <v>531</v>
      </c>
      <c r="G154" s="610" t="s">
        <v>6411</v>
      </c>
      <c r="H154" s="610" t="s">
        <v>509</v>
      </c>
      <c r="I154" s="610">
        <v>7200</v>
      </c>
      <c r="J154" s="610">
        <v>0</v>
      </c>
      <c r="K154" s="610">
        <v>90</v>
      </c>
      <c r="L154" s="611">
        <f t="shared" si="22"/>
        <v>80</v>
      </c>
      <c r="M154" s="612">
        <v>45810</v>
      </c>
      <c r="N154" s="612">
        <v>45806</v>
      </c>
      <c r="O154" s="613"/>
      <c r="P154" s="613" t="s">
        <v>113</v>
      </c>
      <c r="Q154" s="610"/>
      <c r="R154" s="614">
        <v>45777</v>
      </c>
      <c r="S154" s="614" t="s">
        <v>70</v>
      </c>
      <c r="T154" s="614">
        <v>45789</v>
      </c>
      <c r="U154" s="614"/>
      <c r="V154" s="614"/>
      <c r="W154" s="615"/>
      <c r="X154" s="628" t="s">
        <v>6412</v>
      </c>
      <c r="Y154" s="609" t="s">
        <v>445</v>
      </c>
      <c r="Z154" s="609">
        <v>172.3098</v>
      </c>
      <c r="AA154" s="616">
        <f>Z154*L154</f>
        <v>13784.784</v>
      </c>
      <c r="AC154" s="632" t="s">
        <v>446</v>
      </c>
      <c r="AD154" s="618" t="s">
        <v>6411</v>
      </c>
      <c r="AE154" s="610" t="s">
        <v>82</v>
      </c>
      <c r="AF154" s="610"/>
      <c r="AG154" s="610" t="s">
        <v>74</v>
      </c>
      <c r="AH154" s="610"/>
      <c r="AI154" s="610">
        <v>7200</v>
      </c>
      <c r="AJ154" s="610">
        <f t="shared" si="38"/>
        <v>0</v>
      </c>
      <c r="AK154" s="610"/>
      <c r="AL154" s="610"/>
      <c r="AM154" s="610"/>
      <c r="AN154" s="610"/>
      <c r="AO154" s="554">
        <f>I154</f>
        <v>7200</v>
      </c>
      <c r="AR154" s="619"/>
      <c r="AS154" s="548"/>
      <c r="AT154" s="554">
        <f>I154</f>
        <v>7200</v>
      </c>
      <c r="AV154" s="554">
        <f>I154</f>
        <v>7200</v>
      </c>
      <c r="AW154" s="619"/>
      <c r="AX154" s="548"/>
      <c r="AY154" s="548"/>
      <c r="AZ154" s="548"/>
      <c r="BA154" s="548"/>
      <c r="BB154" s="620">
        <f>I154/24</f>
        <v>300</v>
      </c>
      <c r="BY154" s="619"/>
      <c r="BZ154" s="548"/>
      <c r="CA154" s="621"/>
      <c r="CB154" s="567"/>
      <c r="CC154" s="622"/>
      <c r="CD154" s="619"/>
      <c r="CE154" s="619"/>
      <c r="CF154" s="548"/>
      <c r="CG154" s="548"/>
      <c r="CJ154" s="554">
        <f>L154</f>
        <v>80</v>
      </c>
      <c r="CU154" s="554">
        <f t="shared" si="35"/>
        <v>0</v>
      </c>
      <c r="CV154" s="554">
        <f t="shared" si="29"/>
        <v>0</v>
      </c>
      <c r="CW154" s="554">
        <f t="shared" si="30"/>
        <v>80</v>
      </c>
      <c r="CX154" s="619"/>
      <c r="CY154" s="619"/>
      <c r="CZ154" s="619"/>
      <c r="DA154" s="548"/>
      <c r="DB154" s="548"/>
      <c r="DC154" s="548"/>
      <c r="DD154" s="619"/>
      <c r="DE154" s="619"/>
      <c r="DF154" s="619"/>
      <c r="DG154" s="619"/>
      <c r="DH154" s="619"/>
    </row>
    <row r="155" s="548" customFormat="1" ht="31" customHeight="1" spans="1:112">
      <c r="A155" s="608">
        <v>45763</v>
      </c>
      <c r="B155" s="609" t="s">
        <v>559</v>
      </c>
      <c r="C155" s="610" t="s">
        <v>343</v>
      </c>
      <c r="D155" s="554">
        <v>4500162780</v>
      </c>
      <c r="E155" s="610">
        <v>4504192367</v>
      </c>
      <c r="F155" s="554" t="s">
        <v>560</v>
      </c>
      <c r="G155" s="610" t="s">
        <v>6413</v>
      </c>
      <c r="H155" s="610" t="s">
        <v>509</v>
      </c>
      <c r="I155" s="610">
        <v>2520</v>
      </c>
      <c r="J155" s="610">
        <v>0</v>
      </c>
      <c r="K155" s="610">
        <v>90</v>
      </c>
      <c r="L155" s="611">
        <f t="shared" si="22"/>
        <v>28</v>
      </c>
      <c r="M155" s="612">
        <v>45813</v>
      </c>
      <c r="N155" s="612">
        <v>45810</v>
      </c>
      <c r="O155" s="613" t="s">
        <v>6414</v>
      </c>
      <c r="P155" s="613" t="s">
        <v>113</v>
      </c>
      <c r="Q155" s="610"/>
      <c r="R155" s="614">
        <v>45763</v>
      </c>
      <c r="S155" s="614" t="s">
        <v>70</v>
      </c>
      <c r="T155" s="614" t="s">
        <v>70</v>
      </c>
      <c r="U155" s="614"/>
      <c r="V155" s="614" t="s">
        <v>6414</v>
      </c>
      <c r="W155" s="615"/>
      <c r="X155" s="628" t="s">
        <v>6415</v>
      </c>
      <c r="Y155" s="609" t="s">
        <v>559</v>
      </c>
      <c r="Z155" s="609">
        <v>175.3</v>
      </c>
      <c r="AA155" s="616">
        <f>Z155*L155</f>
        <v>4908.4</v>
      </c>
      <c r="AC155" s="629" t="s">
        <v>564</v>
      </c>
      <c r="AD155" s="610" t="s">
        <v>6413</v>
      </c>
      <c r="AE155" s="610" t="s">
        <v>82</v>
      </c>
      <c r="AF155" s="610"/>
      <c r="AG155" s="610" t="s">
        <v>74</v>
      </c>
      <c r="AH155" s="610"/>
      <c r="AI155" s="610">
        <v>2520</v>
      </c>
      <c r="AJ155" s="610">
        <f t="shared" si="38"/>
        <v>0</v>
      </c>
      <c r="AK155" s="610"/>
      <c r="AL155" s="610"/>
      <c r="AM155" s="610"/>
      <c r="AN155" s="610"/>
      <c r="AO155" s="554">
        <f>I155</f>
        <v>2520</v>
      </c>
      <c r="AR155" s="619"/>
      <c r="AS155" s="548"/>
      <c r="AT155" s="548"/>
      <c r="AU155" s="548"/>
      <c r="AV155" s="548"/>
      <c r="AW155" s="619"/>
      <c r="AX155" s="548"/>
      <c r="AY155" s="554">
        <f>I155</f>
        <v>2520</v>
      </c>
      <c r="AZ155" s="554">
        <f>I155</f>
        <v>2520</v>
      </c>
      <c r="BB155" s="620">
        <f t="shared" ref="BB153:BB165" si="39">I155/24</f>
        <v>105</v>
      </c>
      <c r="BY155" s="619"/>
      <c r="BZ155" s="548"/>
      <c r="CA155" s="621"/>
      <c r="CB155" s="567"/>
      <c r="CC155" s="622"/>
      <c r="CD155" s="619"/>
      <c r="CE155" s="619"/>
      <c r="CF155" s="548"/>
      <c r="CG155" s="548"/>
      <c r="CI155" s="554">
        <f>L155</f>
        <v>28</v>
      </c>
      <c r="CU155" s="554">
        <f t="shared" si="35"/>
        <v>0</v>
      </c>
      <c r="CV155" s="554">
        <f t="shared" si="29"/>
        <v>0</v>
      </c>
      <c r="CW155" s="554">
        <f t="shared" si="30"/>
        <v>28</v>
      </c>
      <c r="CX155" s="619"/>
      <c r="CY155" s="619"/>
      <c r="CZ155" s="619"/>
      <c r="DA155" s="548"/>
      <c r="DB155" s="548"/>
      <c r="DC155" s="548"/>
      <c r="DD155" s="619"/>
      <c r="DE155" s="619"/>
      <c r="DF155" s="619"/>
      <c r="DG155" s="619"/>
      <c r="DH155" s="619"/>
    </row>
    <row r="156" s="548" customFormat="1" ht="31" customHeight="1" spans="1:112">
      <c r="A156" s="608">
        <v>45775</v>
      </c>
      <c r="B156" s="609" t="s">
        <v>566</v>
      </c>
      <c r="C156" s="610" t="s">
        <v>469</v>
      </c>
      <c r="D156" s="554">
        <v>4500164946</v>
      </c>
      <c r="E156" s="610" t="s">
        <v>567</v>
      </c>
      <c r="F156" s="554" t="s">
        <v>6416</v>
      </c>
      <c r="G156" s="610" t="s">
        <v>6365</v>
      </c>
      <c r="H156" s="610" t="s">
        <v>6126</v>
      </c>
      <c r="I156" s="610">
        <v>1248</v>
      </c>
      <c r="J156" s="610">
        <v>0</v>
      </c>
      <c r="K156" s="610">
        <v>12</v>
      </c>
      <c r="L156" s="611">
        <f t="shared" si="22"/>
        <v>104</v>
      </c>
      <c r="M156" s="612">
        <v>45813</v>
      </c>
      <c r="N156" s="612">
        <v>45810</v>
      </c>
      <c r="O156" s="613"/>
      <c r="P156" s="613" t="s">
        <v>113</v>
      </c>
      <c r="Q156" s="610"/>
      <c r="R156" s="614">
        <v>45777</v>
      </c>
      <c r="S156" s="614" t="s">
        <v>70</v>
      </c>
      <c r="T156" s="614" t="s">
        <v>6417</v>
      </c>
      <c r="U156" s="614"/>
      <c r="V156" s="614"/>
      <c r="W156" s="615"/>
      <c r="X156" s="628" t="s">
        <v>6418</v>
      </c>
      <c r="Y156" s="609" t="s">
        <v>466</v>
      </c>
      <c r="Z156" s="609">
        <v>2.64</v>
      </c>
      <c r="AA156" s="616">
        <f>Z156*I156</f>
        <v>3294.72</v>
      </c>
      <c r="AC156" s="629" t="s">
        <v>571</v>
      </c>
      <c r="AD156" s="610" t="s">
        <v>6368</v>
      </c>
      <c r="AE156" s="610" t="s">
        <v>82</v>
      </c>
      <c r="AF156" s="610"/>
      <c r="AG156" s="610" t="s">
        <v>74</v>
      </c>
      <c r="AH156" s="610"/>
      <c r="AI156" s="610">
        <v>1248</v>
      </c>
      <c r="AJ156" s="610">
        <f t="shared" si="38"/>
        <v>0</v>
      </c>
      <c r="AK156" s="610"/>
      <c r="AL156" s="610"/>
      <c r="AM156" s="610"/>
      <c r="AN156" s="610"/>
      <c r="AO156" s="554">
        <f>I156*2</f>
        <v>2496</v>
      </c>
      <c r="AR156" s="619"/>
      <c r="AS156" s="548"/>
      <c r="AT156" s="554">
        <f>I156*2</f>
        <v>2496</v>
      </c>
      <c r="AV156" s="554">
        <f>I156*2</f>
        <v>2496</v>
      </c>
      <c r="AW156" s="619"/>
      <c r="AX156" s="548"/>
      <c r="AY156" s="548"/>
      <c r="AZ156" s="548"/>
      <c r="BA156" s="548"/>
      <c r="BB156" s="249">
        <f>I156/24*2</f>
        <v>104</v>
      </c>
      <c r="BY156" s="619"/>
      <c r="BZ156" s="548"/>
      <c r="CA156" s="621"/>
      <c r="CB156" s="567"/>
      <c r="CC156" s="622"/>
      <c r="CD156" s="619"/>
      <c r="CE156" s="619"/>
      <c r="CF156" s="548"/>
      <c r="CG156" s="548"/>
      <c r="CR156" s="554">
        <f>I156</f>
        <v>1248</v>
      </c>
      <c r="CS156" s="554">
        <f>I156</f>
        <v>1248</v>
      </c>
      <c r="CT156" s="554">
        <f>I156</f>
        <v>1248</v>
      </c>
      <c r="CU156" s="554">
        <f t="shared" si="35"/>
        <v>0</v>
      </c>
      <c r="CV156" s="554">
        <f t="shared" si="29"/>
        <v>0</v>
      </c>
      <c r="CW156" s="554">
        <f t="shared" si="30"/>
        <v>0</v>
      </c>
      <c r="CX156" s="619"/>
      <c r="CY156" s="619"/>
      <c r="CZ156" s="619"/>
      <c r="DA156" s="548"/>
      <c r="DB156" s="548"/>
      <c r="DC156" s="548"/>
      <c r="DD156" s="619"/>
      <c r="DE156" s="619"/>
      <c r="DF156" s="619"/>
      <c r="DG156" s="619"/>
      <c r="DH156" s="619"/>
    </row>
    <row r="157" s="548" customFormat="1" ht="31" customHeight="1" spans="1:112">
      <c r="A157" s="608">
        <v>45763</v>
      </c>
      <c r="B157" s="609" t="s">
        <v>507</v>
      </c>
      <c r="C157" s="610" t="s">
        <v>411</v>
      </c>
      <c r="D157" s="554">
        <v>4500163782</v>
      </c>
      <c r="E157" s="610"/>
      <c r="F157" s="554" t="s">
        <v>508</v>
      </c>
      <c r="G157" s="610" t="s">
        <v>6411</v>
      </c>
      <c r="H157" s="610" t="s">
        <v>509</v>
      </c>
      <c r="I157" s="610">
        <v>2700</v>
      </c>
      <c r="J157" s="610">
        <v>0</v>
      </c>
      <c r="K157" s="610">
        <v>90</v>
      </c>
      <c r="L157" s="611">
        <f t="shared" ref="L157:L220" si="40">I157/K157</f>
        <v>30</v>
      </c>
      <c r="M157" s="612">
        <v>45814</v>
      </c>
      <c r="N157" s="612">
        <v>45810</v>
      </c>
      <c r="O157" s="613"/>
      <c r="P157" s="613" t="s">
        <v>113</v>
      </c>
      <c r="Q157" s="610"/>
      <c r="R157" s="614">
        <v>45786</v>
      </c>
      <c r="S157" s="614" t="s">
        <v>70</v>
      </c>
      <c r="T157" s="614">
        <v>45777</v>
      </c>
      <c r="U157" s="614"/>
      <c r="V157" s="614"/>
      <c r="W157" s="615"/>
      <c r="X157" s="628" t="s">
        <v>6419</v>
      </c>
      <c r="Y157" s="609" t="s">
        <v>512</v>
      </c>
      <c r="Z157" s="609">
        <v>171.3</v>
      </c>
      <c r="AA157" s="616">
        <f>Z157*L157</f>
        <v>5139</v>
      </c>
      <c r="AC157" s="629" t="s">
        <v>513</v>
      </c>
      <c r="AD157" s="618" t="s">
        <v>6411</v>
      </c>
      <c r="AE157" s="610" t="s">
        <v>82</v>
      </c>
      <c r="AF157" s="610"/>
      <c r="AG157" s="610" t="s">
        <v>74</v>
      </c>
      <c r="AH157" s="610"/>
      <c r="AI157" s="610">
        <v>2700</v>
      </c>
      <c r="AJ157" s="610">
        <f t="shared" si="38"/>
        <v>0</v>
      </c>
      <c r="AK157" s="610"/>
      <c r="AL157" s="610"/>
      <c r="AM157" s="610"/>
      <c r="AN157" s="610"/>
      <c r="AO157" s="554">
        <f>I157</f>
        <v>2700</v>
      </c>
      <c r="AR157" s="619"/>
      <c r="AS157" s="548"/>
      <c r="AT157" s="554">
        <f>I157</f>
        <v>2700</v>
      </c>
      <c r="AV157" s="554">
        <f>I157</f>
        <v>2700</v>
      </c>
      <c r="AW157" s="619"/>
      <c r="AX157" s="548"/>
      <c r="AY157" s="548"/>
      <c r="AZ157" s="548"/>
      <c r="BA157" s="548"/>
      <c r="BB157" s="620">
        <f t="shared" si="39"/>
        <v>112.5</v>
      </c>
      <c r="BY157" s="619"/>
      <c r="BZ157" s="548"/>
      <c r="CA157" s="621"/>
      <c r="CB157" s="567"/>
      <c r="CC157" s="622"/>
      <c r="CD157" s="619"/>
      <c r="CE157" s="619"/>
      <c r="CF157" s="548"/>
      <c r="CG157" s="548"/>
      <c r="CJ157" s="554">
        <f>L157</f>
        <v>30</v>
      </c>
      <c r="CU157" s="554">
        <f t="shared" si="35"/>
        <v>0</v>
      </c>
      <c r="CV157" s="554">
        <f t="shared" si="29"/>
        <v>0</v>
      </c>
      <c r="CW157" s="554">
        <f t="shared" si="30"/>
        <v>30</v>
      </c>
      <c r="CX157" s="619"/>
      <c r="CY157" s="619"/>
      <c r="CZ157" s="619"/>
      <c r="DA157" s="548"/>
      <c r="DB157" s="548"/>
      <c r="DC157" s="548"/>
      <c r="DD157" s="619"/>
      <c r="DE157" s="619"/>
      <c r="DF157" s="619"/>
      <c r="DG157" s="619"/>
      <c r="DH157" s="619"/>
    </row>
    <row r="158" s="548" customFormat="1" ht="31" customHeight="1" spans="1:112">
      <c r="A158" s="608">
        <v>45730</v>
      </c>
      <c r="B158" s="609" t="s">
        <v>6420</v>
      </c>
      <c r="C158" s="610" t="s">
        <v>98</v>
      </c>
      <c r="D158" s="554">
        <v>4500160244</v>
      </c>
      <c r="E158" s="610" t="s">
        <v>6421</v>
      </c>
      <c r="F158" s="554" t="s">
        <v>6422</v>
      </c>
      <c r="G158" s="610" t="s">
        <v>6423</v>
      </c>
      <c r="H158" s="610" t="s">
        <v>6424</v>
      </c>
      <c r="I158" s="610">
        <v>20016</v>
      </c>
      <c r="J158" s="610">
        <v>0</v>
      </c>
      <c r="K158" s="610">
        <v>48</v>
      </c>
      <c r="L158" s="611">
        <f t="shared" si="40"/>
        <v>417</v>
      </c>
      <c r="M158" s="612">
        <v>45817</v>
      </c>
      <c r="N158" s="612">
        <v>45813</v>
      </c>
      <c r="O158" s="613" t="s">
        <v>6425</v>
      </c>
      <c r="P158" s="613" t="s">
        <v>113</v>
      </c>
      <c r="Q158" s="610"/>
      <c r="R158" s="614">
        <v>45730</v>
      </c>
      <c r="S158" s="614" t="s">
        <v>70</v>
      </c>
      <c r="T158" s="614" t="s">
        <v>70</v>
      </c>
      <c r="U158" s="614"/>
      <c r="V158" s="614" t="s">
        <v>6426</v>
      </c>
      <c r="W158" s="615"/>
      <c r="X158" s="615" t="s">
        <v>6427</v>
      </c>
      <c r="Y158" s="609" t="s">
        <v>1723</v>
      </c>
      <c r="Z158" s="609">
        <v>0.9708</v>
      </c>
      <c r="AA158" s="616">
        <f t="shared" ref="AA158:AA163" si="41">I158*Z158</f>
        <v>19431.5328</v>
      </c>
      <c r="AC158" s="617"/>
      <c r="AD158" s="610" t="s">
        <v>6423</v>
      </c>
      <c r="AE158" s="610" t="s">
        <v>82</v>
      </c>
      <c r="AF158" s="610"/>
      <c r="AG158" s="610" t="s">
        <v>74</v>
      </c>
      <c r="AH158" s="610"/>
      <c r="AI158" s="610">
        <v>20016</v>
      </c>
      <c r="AJ158" s="610">
        <f t="shared" si="38"/>
        <v>0</v>
      </c>
      <c r="AK158" s="610"/>
      <c r="AL158" s="610"/>
      <c r="AM158" s="610"/>
      <c r="AN158" s="610">
        <f t="shared" ref="AN158:AN163" si="42">I158</f>
        <v>20016</v>
      </c>
      <c r="AR158" s="619"/>
      <c r="AS158" s="548"/>
      <c r="AT158" s="548"/>
      <c r="AU158" s="554">
        <f t="shared" ref="AU158:AU163" si="43">I158</f>
        <v>20016</v>
      </c>
      <c r="AW158" s="619"/>
      <c r="AX158" s="548"/>
      <c r="AY158" s="548"/>
      <c r="AZ158" s="548"/>
      <c r="BA158" s="548"/>
      <c r="BB158" s="620">
        <f t="shared" si="39"/>
        <v>834</v>
      </c>
      <c r="BC158" s="554">
        <f t="shared" ref="BC158:BC163" si="44">I158</f>
        <v>20016</v>
      </c>
      <c r="BS158" s="554">
        <f t="shared" ref="BS158:BS163" si="45">I158/8</f>
        <v>2502</v>
      </c>
      <c r="BY158" s="619"/>
      <c r="BZ158" s="548"/>
      <c r="CA158" s="621"/>
      <c r="CB158" s="567"/>
      <c r="CC158" s="622"/>
      <c r="CD158" s="619"/>
      <c r="CE158" s="619"/>
      <c r="CF158" s="548"/>
      <c r="CG158" s="548"/>
      <c r="CU158" s="554">
        <f t="shared" si="35"/>
        <v>0</v>
      </c>
      <c r="CV158" s="554">
        <f t="shared" si="29"/>
        <v>0</v>
      </c>
      <c r="CW158" s="554">
        <f t="shared" si="30"/>
        <v>0</v>
      </c>
      <c r="CX158" s="619"/>
      <c r="CY158" s="619"/>
      <c r="CZ158" s="619"/>
      <c r="DA158" s="548"/>
      <c r="DB158" s="548"/>
      <c r="DC158" s="548"/>
      <c r="DD158" s="619"/>
      <c r="DE158" s="619"/>
      <c r="DF158" s="619"/>
      <c r="DG158" s="619"/>
      <c r="DH158" s="619"/>
    </row>
    <row r="159" s="548" customFormat="1" ht="31" customHeight="1" spans="1:112">
      <c r="A159" s="608">
        <v>45730</v>
      </c>
      <c r="B159" s="609" t="s">
        <v>6420</v>
      </c>
      <c r="C159" s="610" t="s">
        <v>98</v>
      </c>
      <c r="D159" s="554">
        <v>4500160253</v>
      </c>
      <c r="E159" s="610"/>
      <c r="F159" s="554" t="s">
        <v>6428</v>
      </c>
      <c r="G159" s="610" t="s">
        <v>6423</v>
      </c>
      <c r="H159" s="610" t="s">
        <v>6424</v>
      </c>
      <c r="I159" s="610">
        <v>35040</v>
      </c>
      <c r="J159" s="610">
        <v>0</v>
      </c>
      <c r="K159" s="610">
        <v>48</v>
      </c>
      <c r="L159" s="611">
        <f t="shared" si="40"/>
        <v>730</v>
      </c>
      <c r="M159" s="612">
        <v>45817</v>
      </c>
      <c r="N159" s="612">
        <v>45813</v>
      </c>
      <c r="O159" s="613" t="s">
        <v>6429</v>
      </c>
      <c r="P159" s="613" t="s">
        <v>113</v>
      </c>
      <c r="Q159" s="610"/>
      <c r="R159" s="614">
        <v>45730</v>
      </c>
      <c r="S159" s="614" t="s">
        <v>70</v>
      </c>
      <c r="T159" s="614" t="s">
        <v>70</v>
      </c>
      <c r="U159" s="614"/>
      <c r="V159" s="614" t="s">
        <v>6426</v>
      </c>
      <c r="W159" s="615"/>
      <c r="X159" s="615" t="s">
        <v>6430</v>
      </c>
      <c r="Y159" s="609" t="s">
        <v>1723</v>
      </c>
      <c r="Z159" s="609">
        <v>0.97</v>
      </c>
      <c r="AA159" s="616">
        <f t="shared" si="41"/>
        <v>33988.8</v>
      </c>
      <c r="AC159" s="617"/>
      <c r="AD159" s="610" t="s">
        <v>6423</v>
      </c>
      <c r="AE159" s="610" t="s">
        <v>82</v>
      </c>
      <c r="AF159" s="610"/>
      <c r="AG159" s="610" t="s">
        <v>74</v>
      </c>
      <c r="AH159" s="610"/>
      <c r="AI159" s="610">
        <f>3840+31200</f>
        <v>35040</v>
      </c>
      <c r="AJ159" s="610">
        <f t="shared" si="38"/>
        <v>0</v>
      </c>
      <c r="AK159" s="610"/>
      <c r="AL159" s="610"/>
      <c r="AM159" s="610"/>
      <c r="AN159" s="610">
        <f t="shared" si="42"/>
        <v>35040</v>
      </c>
      <c r="AR159" s="619"/>
      <c r="AS159" s="548"/>
      <c r="AT159" s="548"/>
      <c r="AU159" s="554">
        <f t="shared" si="43"/>
        <v>35040</v>
      </c>
      <c r="AW159" s="619"/>
      <c r="AX159" s="548"/>
      <c r="AY159" s="548"/>
      <c r="AZ159" s="548"/>
      <c r="BA159" s="548"/>
      <c r="BB159" s="620">
        <f t="shared" si="39"/>
        <v>1460</v>
      </c>
      <c r="BC159" s="554">
        <f t="shared" si="44"/>
        <v>35040</v>
      </c>
      <c r="BS159" s="554">
        <f t="shared" si="45"/>
        <v>4380</v>
      </c>
      <c r="BY159" s="619"/>
      <c r="BZ159" s="548"/>
      <c r="CA159" s="621"/>
      <c r="CB159" s="567"/>
      <c r="CC159" s="622"/>
      <c r="CD159" s="619"/>
      <c r="CE159" s="619"/>
      <c r="CF159" s="548"/>
      <c r="CG159" s="548"/>
      <c r="CU159" s="554">
        <f t="shared" si="35"/>
        <v>0</v>
      </c>
      <c r="CV159" s="554">
        <f t="shared" si="29"/>
        <v>0</v>
      </c>
      <c r="CW159" s="554">
        <f t="shared" si="30"/>
        <v>0</v>
      </c>
      <c r="CX159" s="619"/>
      <c r="CY159" s="619"/>
      <c r="CZ159" s="619"/>
      <c r="DA159" s="548"/>
      <c r="DB159" s="548"/>
      <c r="DC159" s="548"/>
      <c r="DD159" s="619"/>
      <c r="DE159" s="619"/>
      <c r="DF159" s="619"/>
      <c r="DG159" s="619"/>
      <c r="DH159" s="619"/>
    </row>
    <row r="160" s="548" customFormat="1" ht="31" customHeight="1" spans="1:112">
      <c r="A160" s="608">
        <v>45754</v>
      </c>
      <c r="B160" s="609" t="s">
        <v>6431</v>
      </c>
      <c r="C160" s="610" t="s">
        <v>98</v>
      </c>
      <c r="D160" s="554">
        <v>4500162695</v>
      </c>
      <c r="E160" s="610" t="s">
        <v>6432</v>
      </c>
      <c r="F160" s="554" t="s">
        <v>6433</v>
      </c>
      <c r="G160" s="610" t="s">
        <v>6423</v>
      </c>
      <c r="H160" s="610" t="s">
        <v>6424</v>
      </c>
      <c r="I160" s="610">
        <v>15024</v>
      </c>
      <c r="J160" s="610">
        <v>0</v>
      </c>
      <c r="K160" s="610">
        <v>48</v>
      </c>
      <c r="L160" s="611">
        <f t="shared" si="40"/>
        <v>313</v>
      </c>
      <c r="M160" s="612">
        <v>45817</v>
      </c>
      <c r="N160" s="612">
        <v>45813</v>
      </c>
      <c r="O160" s="613" t="s">
        <v>6429</v>
      </c>
      <c r="P160" s="613" t="s">
        <v>113</v>
      </c>
      <c r="Q160" s="610"/>
      <c r="R160" s="614" t="s">
        <v>6434</v>
      </c>
      <c r="S160" s="614" t="s">
        <v>70</v>
      </c>
      <c r="T160" s="614" t="s">
        <v>70</v>
      </c>
      <c r="U160" s="614"/>
      <c r="V160" s="614" t="s">
        <v>6435</v>
      </c>
      <c r="W160" s="615"/>
      <c r="X160" s="615" t="s">
        <v>6436</v>
      </c>
      <c r="Y160" s="609" t="s">
        <v>1723</v>
      </c>
      <c r="Z160" s="609">
        <v>0.97</v>
      </c>
      <c r="AA160" s="616">
        <f t="shared" si="41"/>
        <v>14573.28</v>
      </c>
      <c r="AC160" s="617"/>
      <c r="AD160" s="610" t="s">
        <v>6423</v>
      </c>
      <c r="AE160" s="610" t="s">
        <v>82</v>
      </c>
      <c r="AF160" s="610"/>
      <c r="AG160" s="610" t="s">
        <v>74</v>
      </c>
      <c r="AH160" s="610"/>
      <c r="AI160" s="610">
        <f>19200</f>
        <v>19200</v>
      </c>
      <c r="AJ160" s="610">
        <f t="shared" si="38"/>
        <v>4176</v>
      </c>
      <c r="AK160" s="610"/>
      <c r="AL160" s="610"/>
      <c r="AM160" s="610"/>
      <c r="AN160" s="610">
        <f t="shared" si="42"/>
        <v>15024</v>
      </c>
      <c r="AR160" s="619"/>
      <c r="AS160" s="548"/>
      <c r="AT160" s="548"/>
      <c r="AU160" s="554">
        <f t="shared" si="43"/>
        <v>15024</v>
      </c>
      <c r="AW160" s="619"/>
      <c r="AX160" s="548"/>
      <c r="AY160" s="548"/>
      <c r="AZ160" s="548"/>
      <c r="BA160" s="548"/>
      <c r="BB160" s="620">
        <f t="shared" si="39"/>
        <v>626</v>
      </c>
      <c r="BC160" s="554">
        <f t="shared" si="44"/>
        <v>15024</v>
      </c>
      <c r="BS160" s="554">
        <f t="shared" si="45"/>
        <v>1878</v>
      </c>
      <c r="BY160" s="619"/>
      <c r="BZ160" s="548"/>
      <c r="CA160" s="621"/>
      <c r="CB160" s="567"/>
      <c r="CC160" s="622"/>
      <c r="CD160" s="619"/>
      <c r="CE160" s="619"/>
      <c r="CF160" s="548"/>
      <c r="CG160" s="548"/>
      <c r="CU160" s="554">
        <f t="shared" si="35"/>
        <v>0</v>
      </c>
      <c r="CV160" s="554">
        <f t="shared" si="29"/>
        <v>0</v>
      </c>
      <c r="CW160" s="554">
        <f t="shared" si="30"/>
        <v>0</v>
      </c>
      <c r="CX160" s="619"/>
      <c r="CY160" s="619"/>
      <c r="CZ160" s="619"/>
      <c r="DA160" s="548"/>
      <c r="DB160" s="548"/>
      <c r="DC160" s="548"/>
      <c r="DD160" s="619"/>
      <c r="DE160" s="619"/>
      <c r="DF160" s="619"/>
      <c r="DG160" s="619"/>
      <c r="DH160" s="619"/>
    </row>
    <row r="161" s="548" customFormat="1" ht="31" customHeight="1" spans="1:112">
      <c r="A161" s="608">
        <v>45754</v>
      </c>
      <c r="B161" s="609" t="s">
        <v>6431</v>
      </c>
      <c r="C161" s="610" t="s">
        <v>98</v>
      </c>
      <c r="D161" s="554">
        <v>4500162695</v>
      </c>
      <c r="E161" s="610" t="s">
        <v>6437</v>
      </c>
      <c r="F161" s="554" t="s">
        <v>6438</v>
      </c>
      <c r="G161" s="610" t="s">
        <v>6423</v>
      </c>
      <c r="H161" s="610" t="s">
        <v>6424</v>
      </c>
      <c r="I161" s="610">
        <v>2880</v>
      </c>
      <c r="J161" s="610">
        <v>0</v>
      </c>
      <c r="K161" s="610">
        <v>48</v>
      </c>
      <c r="L161" s="611">
        <f t="shared" si="40"/>
        <v>60</v>
      </c>
      <c r="M161" s="612">
        <v>45817</v>
      </c>
      <c r="N161" s="612">
        <v>45813</v>
      </c>
      <c r="O161" s="613" t="s">
        <v>6429</v>
      </c>
      <c r="P161" s="613" t="s">
        <v>113</v>
      </c>
      <c r="Q161" s="610"/>
      <c r="R161" s="614" t="s">
        <v>6434</v>
      </c>
      <c r="S161" s="614" t="s">
        <v>70</v>
      </c>
      <c r="T161" s="614" t="s">
        <v>70</v>
      </c>
      <c r="U161" s="614"/>
      <c r="V161" s="614" t="s">
        <v>6435</v>
      </c>
      <c r="W161" s="615"/>
      <c r="X161" s="615" t="s">
        <v>6436</v>
      </c>
      <c r="Y161" s="609" t="s">
        <v>1723</v>
      </c>
      <c r="Z161" s="609">
        <v>0.97</v>
      </c>
      <c r="AA161" s="616">
        <f t="shared" si="41"/>
        <v>2793.6</v>
      </c>
      <c r="AC161" s="617"/>
      <c r="AD161" s="610" t="s">
        <v>6423</v>
      </c>
      <c r="AE161" s="610" t="s">
        <v>82</v>
      </c>
      <c r="AF161" s="610"/>
      <c r="AG161" s="610" t="s">
        <v>74</v>
      </c>
      <c r="AH161" s="610"/>
      <c r="AI161" s="610">
        <v>6576</v>
      </c>
      <c r="AJ161" s="610">
        <f t="shared" si="38"/>
        <v>3696</v>
      </c>
      <c r="AK161" s="610"/>
      <c r="AL161" s="610"/>
      <c r="AM161" s="610"/>
      <c r="AN161" s="610">
        <f t="shared" si="42"/>
        <v>2880</v>
      </c>
      <c r="AR161" s="619"/>
      <c r="AS161" s="548"/>
      <c r="AT161" s="548"/>
      <c r="AU161" s="554">
        <f t="shared" si="43"/>
        <v>2880</v>
      </c>
      <c r="AW161" s="619"/>
      <c r="AX161" s="548"/>
      <c r="AY161" s="548"/>
      <c r="AZ161" s="548"/>
      <c r="BA161" s="548"/>
      <c r="BB161" s="620">
        <f t="shared" si="39"/>
        <v>120</v>
      </c>
      <c r="BC161" s="554">
        <f t="shared" si="44"/>
        <v>2880</v>
      </c>
      <c r="BS161" s="554">
        <f t="shared" si="45"/>
        <v>360</v>
      </c>
      <c r="BY161" s="619"/>
      <c r="BZ161" s="548"/>
      <c r="CA161" s="621"/>
      <c r="CB161" s="567"/>
      <c r="CC161" s="622"/>
      <c r="CD161" s="619"/>
      <c r="CE161" s="619"/>
      <c r="CF161" s="548"/>
      <c r="CG161" s="548"/>
      <c r="CU161" s="554">
        <f t="shared" si="35"/>
        <v>0</v>
      </c>
      <c r="CV161" s="554">
        <f t="shared" si="29"/>
        <v>0</v>
      </c>
      <c r="CW161" s="554">
        <f t="shared" si="30"/>
        <v>0</v>
      </c>
      <c r="CX161" s="619"/>
      <c r="CY161" s="619"/>
      <c r="CZ161" s="619"/>
      <c r="DA161" s="548"/>
      <c r="DB161" s="548"/>
      <c r="DC161" s="548"/>
      <c r="DD161" s="619"/>
      <c r="DE161" s="619"/>
      <c r="DF161" s="619"/>
      <c r="DG161" s="619"/>
      <c r="DH161" s="619"/>
    </row>
    <row r="162" s="548" customFormat="1" ht="31" customHeight="1" spans="1:112">
      <c r="A162" s="608">
        <v>45820</v>
      </c>
      <c r="B162" s="609" t="s">
        <v>6431</v>
      </c>
      <c r="C162" s="610" t="s">
        <v>98</v>
      </c>
      <c r="D162" s="554">
        <v>4500162695</v>
      </c>
      <c r="E162" s="610" t="s">
        <v>6437</v>
      </c>
      <c r="F162" s="554" t="s">
        <v>6439</v>
      </c>
      <c r="G162" s="610" t="s">
        <v>6423</v>
      </c>
      <c r="H162" s="610" t="s">
        <v>6424</v>
      </c>
      <c r="I162" s="610">
        <v>24960</v>
      </c>
      <c r="J162" s="610">
        <v>0</v>
      </c>
      <c r="K162" s="610">
        <v>48</v>
      </c>
      <c r="L162" s="611">
        <f t="shared" si="40"/>
        <v>520</v>
      </c>
      <c r="M162" s="612">
        <v>45817</v>
      </c>
      <c r="N162" s="612">
        <v>45813</v>
      </c>
      <c r="O162" s="613" t="s">
        <v>6429</v>
      </c>
      <c r="P162" s="613" t="s">
        <v>113</v>
      </c>
      <c r="Q162" s="610"/>
      <c r="R162" s="614" t="s">
        <v>6434</v>
      </c>
      <c r="S162" s="614" t="s">
        <v>70</v>
      </c>
      <c r="T162" s="614" t="s">
        <v>70</v>
      </c>
      <c r="U162" s="614"/>
      <c r="V162" s="614" t="s">
        <v>6435</v>
      </c>
      <c r="W162" s="615"/>
      <c r="X162" s="609" t="s">
        <v>6440</v>
      </c>
      <c r="Y162" s="609" t="s">
        <v>1723</v>
      </c>
      <c r="Z162" s="609">
        <v>0.97</v>
      </c>
      <c r="AA162" s="616">
        <f t="shared" si="41"/>
        <v>24211.2</v>
      </c>
      <c r="AC162" s="617"/>
      <c r="AD162" s="610" t="s">
        <v>6423</v>
      </c>
      <c r="AE162" s="610" t="s">
        <v>82</v>
      </c>
      <c r="AF162" s="610"/>
      <c r="AG162" s="610" t="s">
        <v>74</v>
      </c>
      <c r="AH162" s="610"/>
      <c r="AI162" s="610">
        <v>20784</v>
      </c>
      <c r="AJ162" s="610">
        <f t="shared" si="38"/>
        <v>-4176</v>
      </c>
      <c r="AK162" s="610"/>
      <c r="AL162" s="610"/>
      <c r="AM162" s="610"/>
      <c r="AN162" s="610">
        <f t="shared" si="42"/>
        <v>24960</v>
      </c>
      <c r="AR162" s="619"/>
      <c r="AS162" s="548"/>
      <c r="AT162" s="548"/>
      <c r="AU162" s="554">
        <f t="shared" si="43"/>
        <v>24960</v>
      </c>
      <c r="AW162" s="619"/>
      <c r="AX162" s="548"/>
      <c r="AY162" s="548"/>
      <c r="AZ162" s="548"/>
      <c r="BA162" s="548"/>
      <c r="BB162" s="620">
        <f t="shared" si="39"/>
        <v>1040</v>
      </c>
      <c r="BC162" s="554">
        <f t="shared" si="44"/>
        <v>24960</v>
      </c>
      <c r="BS162" s="554">
        <f t="shared" si="45"/>
        <v>3120</v>
      </c>
      <c r="BY162" s="619"/>
      <c r="BZ162" s="548"/>
      <c r="CA162" s="621"/>
      <c r="CB162" s="567"/>
      <c r="CC162" s="622"/>
      <c r="CD162" s="619"/>
      <c r="CE162" s="619"/>
      <c r="CF162" s="548"/>
      <c r="CG162" s="548"/>
      <c r="CU162" s="554">
        <f t="shared" si="35"/>
        <v>0</v>
      </c>
      <c r="CV162" s="554">
        <f t="shared" si="29"/>
        <v>0</v>
      </c>
      <c r="CW162" s="554">
        <f t="shared" si="30"/>
        <v>0</v>
      </c>
      <c r="CX162" s="619"/>
      <c r="CY162" s="619"/>
      <c r="CZ162" s="619"/>
      <c r="DA162" s="548"/>
      <c r="DB162" s="548"/>
      <c r="DC162" s="548"/>
      <c r="DD162" s="619"/>
      <c r="DE162" s="619"/>
      <c r="DF162" s="619"/>
      <c r="DG162" s="619"/>
      <c r="DH162" s="619"/>
    </row>
    <row r="163" s="548" customFormat="1" ht="31" customHeight="1" spans="1:112">
      <c r="A163" s="608">
        <v>45820</v>
      </c>
      <c r="B163" s="609" t="s">
        <v>6431</v>
      </c>
      <c r="C163" s="610" t="s">
        <v>98</v>
      </c>
      <c r="D163" s="554">
        <v>4500162695</v>
      </c>
      <c r="E163" s="610" t="s">
        <v>6437</v>
      </c>
      <c r="F163" s="554" t="s">
        <v>6441</v>
      </c>
      <c r="G163" s="610" t="s">
        <v>6423</v>
      </c>
      <c r="H163" s="610" t="s">
        <v>6424</v>
      </c>
      <c r="I163" s="610">
        <v>42096</v>
      </c>
      <c r="J163" s="610">
        <v>0</v>
      </c>
      <c r="K163" s="610">
        <v>48</v>
      </c>
      <c r="L163" s="611">
        <f t="shared" si="40"/>
        <v>877</v>
      </c>
      <c r="M163" s="612">
        <v>45817</v>
      </c>
      <c r="N163" s="612">
        <v>45813</v>
      </c>
      <c r="O163" s="613" t="s">
        <v>6429</v>
      </c>
      <c r="P163" s="613" t="s">
        <v>113</v>
      </c>
      <c r="Q163" s="610"/>
      <c r="R163" s="614" t="s">
        <v>6434</v>
      </c>
      <c r="S163" s="614" t="s">
        <v>70</v>
      </c>
      <c r="T163" s="614" t="s">
        <v>70</v>
      </c>
      <c r="U163" s="614"/>
      <c r="V163" s="614" t="s">
        <v>6435</v>
      </c>
      <c r="W163" s="615"/>
      <c r="X163" s="609" t="s">
        <v>6440</v>
      </c>
      <c r="Y163" s="609" t="s">
        <v>1723</v>
      </c>
      <c r="Z163" s="609">
        <v>0.97</v>
      </c>
      <c r="AA163" s="616">
        <f t="shared" si="41"/>
        <v>40833.12</v>
      </c>
      <c r="AC163" s="617"/>
      <c r="AD163" s="610" t="s">
        <v>6423</v>
      </c>
      <c r="AE163" s="610" t="s">
        <v>82</v>
      </c>
      <c r="AF163" s="610"/>
      <c r="AG163" s="610" t="s">
        <v>74</v>
      </c>
      <c r="AH163" s="610"/>
      <c r="AI163" s="610">
        <f>38400</f>
        <v>38400</v>
      </c>
      <c r="AJ163" s="610">
        <f t="shared" si="38"/>
        <v>-3696</v>
      </c>
      <c r="AK163" s="610"/>
      <c r="AL163" s="610"/>
      <c r="AM163" s="610"/>
      <c r="AN163" s="610">
        <f t="shared" si="42"/>
        <v>42096</v>
      </c>
      <c r="AR163" s="619"/>
      <c r="AS163" s="548"/>
      <c r="AT163" s="548"/>
      <c r="AU163" s="554">
        <f t="shared" si="43"/>
        <v>42096</v>
      </c>
      <c r="AW163" s="619"/>
      <c r="AX163" s="548"/>
      <c r="AY163" s="548"/>
      <c r="AZ163" s="548"/>
      <c r="BA163" s="548"/>
      <c r="BB163" s="620">
        <f t="shared" si="39"/>
        <v>1754</v>
      </c>
      <c r="BC163" s="554">
        <f t="shared" si="44"/>
        <v>42096</v>
      </c>
      <c r="BS163" s="554">
        <f t="shared" si="45"/>
        <v>5262</v>
      </c>
      <c r="BY163" s="619"/>
      <c r="BZ163" s="548"/>
      <c r="CA163" s="621"/>
      <c r="CB163" s="567"/>
      <c r="CC163" s="622"/>
      <c r="CD163" s="619"/>
      <c r="CE163" s="619"/>
      <c r="CF163" s="548"/>
      <c r="CG163" s="548"/>
      <c r="CU163" s="554">
        <f t="shared" si="35"/>
        <v>0</v>
      </c>
      <c r="CV163" s="554">
        <f t="shared" si="29"/>
        <v>0</v>
      </c>
      <c r="CW163" s="554">
        <f t="shared" si="30"/>
        <v>0</v>
      </c>
      <c r="CX163" s="619"/>
      <c r="CY163" s="619"/>
      <c r="CZ163" s="619"/>
      <c r="DA163" s="548"/>
      <c r="DB163" s="548"/>
      <c r="DC163" s="548"/>
      <c r="DD163" s="619"/>
      <c r="DE163" s="619"/>
      <c r="DF163" s="619"/>
      <c r="DG163" s="619"/>
      <c r="DH163" s="619"/>
    </row>
    <row r="164" s="548" customFormat="1" ht="31" customHeight="1" spans="1:112">
      <c r="A164" s="608">
        <v>45774</v>
      </c>
      <c r="B164" s="609" t="s">
        <v>6442</v>
      </c>
      <c r="C164" s="610" t="s">
        <v>375</v>
      </c>
      <c r="D164" s="554">
        <v>4500160378</v>
      </c>
      <c r="E164" s="610">
        <v>164147</v>
      </c>
      <c r="F164" s="554" t="s">
        <v>6443</v>
      </c>
      <c r="G164" s="610" t="s">
        <v>6047</v>
      </c>
      <c r="H164" s="610" t="s">
        <v>6069</v>
      </c>
      <c r="I164" s="610">
        <v>1200</v>
      </c>
      <c r="J164" s="610">
        <v>0</v>
      </c>
      <c r="K164" s="610">
        <v>25</v>
      </c>
      <c r="L164" s="611">
        <f t="shared" si="40"/>
        <v>48</v>
      </c>
      <c r="M164" s="612">
        <v>45818</v>
      </c>
      <c r="N164" s="612">
        <v>45814</v>
      </c>
      <c r="O164" s="613"/>
      <c r="P164" s="613" t="s">
        <v>113</v>
      </c>
      <c r="Q164" s="610"/>
      <c r="R164" s="614">
        <v>45785</v>
      </c>
      <c r="S164" s="614" t="s">
        <v>70</v>
      </c>
      <c r="T164" s="614" t="s">
        <v>6444</v>
      </c>
      <c r="U164" s="614"/>
      <c r="V164" s="614"/>
      <c r="W164" s="615"/>
      <c r="X164" s="628" t="s">
        <v>6445</v>
      </c>
      <c r="Y164" s="609" t="s">
        <v>696</v>
      </c>
      <c r="Z164" s="609">
        <v>0.95</v>
      </c>
      <c r="AA164" s="616">
        <f>Z164*I164</f>
        <v>1140</v>
      </c>
      <c r="AC164" s="617" t="s">
        <v>697</v>
      </c>
      <c r="AD164" s="610" t="s">
        <v>6047</v>
      </c>
      <c r="AE164" s="610" t="s">
        <v>82</v>
      </c>
      <c r="AF164" s="610"/>
      <c r="AG164" s="610" t="s">
        <v>74</v>
      </c>
      <c r="AH164" s="610"/>
      <c r="AI164" s="610">
        <v>1200</v>
      </c>
      <c r="AJ164" s="610">
        <f t="shared" si="38"/>
        <v>0</v>
      </c>
      <c r="AK164" s="610"/>
      <c r="AL164" s="610"/>
      <c r="AM164" s="610"/>
      <c r="AN164" s="610"/>
      <c r="AO164" s="554">
        <f>I164</f>
        <v>1200</v>
      </c>
      <c r="AR164" s="619"/>
      <c r="AS164" s="548"/>
      <c r="AT164" s="554">
        <f>I164</f>
        <v>1200</v>
      </c>
      <c r="AV164" s="554">
        <f>I164</f>
        <v>1200</v>
      </c>
      <c r="AW164" s="619"/>
      <c r="AX164" s="548"/>
      <c r="AY164" s="548"/>
      <c r="AZ164" s="548"/>
      <c r="BA164" s="548"/>
      <c r="BB164" s="620">
        <f t="shared" si="39"/>
        <v>50</v>
      </c>
      <c r="BP164" s="554">
        <f>I164/25</f>
        <v>48</v>
      </c>
      <c r="BY164" s="619"/>
      <c r="BZ164" s="548"/>
      <c r="CA164" s="621"/>
      <c r="CB164" s="567"/>
      <c r="CC164" s="622"/>
      <c r="CD164" s="619"/>
      <c r="CE164" s="619"/>
      <c r="CF164" s="548"/>
      <c r="CG164" s="548"/>
      <c r="CU164" s="554">
        <f t="shared" si="35"/>
        <v>48</v>
      </c>
      <c r="CV164" s="554">
        <f t="shared" si="29"/>
        <v>0</v>
      </c>
      <c r="CW164" s="554">
        <f t="shared" si="30"/>
        <v>0</v>
      </c>
      <c r="CX164" s="619"/>
      <c r="CY164" s="619"/>
      <c r="CZ164" s="619"/>
      <c r="DA164" s="548"/>
      <c r="DB164" s="548"/>
      <c r="DC164" s="548"/>
      <c r="DD164" s="619"/>
      <c r="DE164" s="619"/>
      <c r="DF164" s="619"/>
      <c r="DG164" s="619"/>
      <c r="DH164" s="619"/>
    </row>
    <row r="165" s="548" customFormat="1" ht="31" customHeight="1" spans="1:112">
      <c r="A165" s="608">
        <v>45784</v>
      </c>
      <c r="B165" s="609" t="s">
        <v>6446</v>
      </c>
      <c r="C165" s="610" t="s">
        <v>590</v>
      </c>
      <c r="D165" s="554">
        <v>4500165640</v>
      </c>
      <c r="E165" s="610"/>
      <c r="F165" s="554" t="s">
        <v>6447</v>
      </c>
      <c r="G165" s="610" t="s">
        <v>6448</v>
      </c>
      <c r="H165" s="610" t="s">
        <v>6449</v>
      </c>
      <c r="I165" s="610">
        <v>3000</v>
      </c>
      <c r="J165" s="610">
        <v>0</v>
      </c>
      <c r="K165" s="610">
        <v>50</v>
      </c>
      <c r="L165" s="611">
        <f t="shared" si="40"/>
        <v>60</v>
      </c>
      <c r="M165" s="612">
        <v>45818</v>
      </c>
      <c r="N165" s="612">
        <v>45814</v>
      </c>
      <c r="O165" s="613"/>
      <c r="P165" s="613" t="s">
        <v>113</v>
      </c>
      <c r="Q165" s="610"/>
      <c r="R165" s="614">
        <v>45786</v>
      </c>
      <c r="S165" s="614" t="s">
        <v>70</v>
      </c>
      <c r="T165" s="614">
        <v>45792</v>
      </c>
      <c r="U165" s="614"/>
      <c r="V165" s="614"/>
      <c r="W165" s="615"/>
      <c r="X165" s="628" t="s">
        <v>6450</v>
      </c>
      <c r="Y165" s="609" t="s">
        <v>230</v>
      </c>
      <c r="Z165" s="609">
        <v>0.9543</v>
      </c>
      <c r="AA165" s="616">
        <f>Z165*I165</f>
        <v>2862.9</v>
      </c>
      <c r="AC165" s="629" t="s">
        <v>593</v>
      </c>
      <c r="AD165" s="610" t="s">
        <v>6448</v>
      </c>
      <c r="AE165" s="610" t="s">
        <v>82</v>
      </c>
      <c r="AF165" s="610"/>
      <c r="AG165" s="610" t="s">
        <v>74</v>
      </c>
      <c r="AH165" s="610"/>
      <c r="AI165" s="610">
        <v>3000</v>
      </c>
      <c r="AJ165" s="610">
        <f t="shared" si="38"/>
        <v>0</v>
      </c>
      <c r="AK165" s="610"/>
      <c r="AL165" s="610"/>
      <c r="AM165" s="610"/>
      <c r="AN165" s="610"/>
      <c r="AO165" s="554">
        <f>I165</f>
        <v>3000</v>
      </c>
      <c r="AR165" s="619"/>
      <c r="AS165" s="548"/>
      <c r="AT165" s="554">
        <f>I165</f>
        <v>3000</v>
      </c>
      <c r="AW165" s="619"/>
      <c r="AX165" s="548"/>
      <c r="AY165" s="548"/>
      <c r="AZ165" s="554">
        <f>I165</f>
        <v>3000</v>
      </c>
      <c r="BB165" s="620">
        <f t="shared" si="39"/>
        <v>125</v>
      </c>
      <c r="BX165" s="554">
        <f>I165/25</f>
        <v>120</v>
      </c>
      <c r="BY165" s="619"/>
      <c r="BZ165" s="548"/>
      <c r="CA165" s="621"/>
      <c r="CB165" s="567"/>
      <c r="CC165" s="622"/>
      <c r="CD165" s="619"/>
      <c r="CE165" s="619"/>
      <c r="CF165" s="548"/>
      <c r="CG165" s="548"/>
      <c r="CU165" s="554">
        <f t="shared" si="35"/>
        <v>120</v>
      </c>
      <c r="CV165" s="554">
        <f t="shared" si="29"/>
        <v>0</v>
      </c>
      <c r="CW165" s="554">
        <f t="shared" si="30"/>
        <v>0</v>
      </c>
      <c r="CX165" s="619"/>
      <c r="CY165" s="619"/>
      <c r="CZ165" s="619"/>
      <c r="DA165" s="548"/>
      <c r="DB165" s="548"/>
      <c r="DC165" s="548"/>
      <c r="DD165" s="619"/>
      <c r="DE165" s="619"/>
      <c r="DF165" s="619"/>
      <c r="DG165" s="619"/>
      <c r="DH165" s="619"/>
    </row>
    <row r="166" s="548" customFormat="1" ht="31" customHeight="1" spans="1:112">
      <c r="A166" s="608">
        <v>45735</v>
      </c>
      <c r="B166" s="609" t="s">
        <v>602</v>
      </c>
      <c r="C166" s="610" t="s">
        <v>98</v>
      </c>
      <c r="D166" s="554">
        <v>4500160726</v>
      </c>
      <c r="E166" s="610" t="s">
        <v>603</v>
      </c>
      <c r="F166" s="554" t="s">
        <v>6451</v>
      </c>
      <c r="G166" s="610" t="s">
        <v>6036</v>
      </c>
      <c r="H166" s="610" t="s">
        <v>6033</v>
      </c>
      <c r="I166" s="610">
        <v>1200</v>
      </c>
      <c r="J166" s="610">
        <v>0</v>
      </c>
      <c r="K166" s="610">
        <v>50</v>
      </c>
      <c r="L166" s="611">
        <f t="shared" si="40"/>
        <v>24</v>
      </c>
      <c r="M166" s="612">
        <v>45818</v>
      </c>
      <c r="N166" s="612">
        <v>45814</v>
      </c>
      <c r="O166" s="613"/>
      <c r="P166" s="613" t="s">
        <v>113</v>
      </c>
      <c r="Q166" s="610"/>
      <c r="R166" s="614">
        <v>45749</v>
      </c>
      <c r="S166" s="614" t="s">
        <v>70</v>
      </c>
      <c r="T166" s="614" t="s">
        <v>70</v>
      </c>
      <c r="U166" s="614"/>
      <c r="V166" s="614"/>
      <c r="W166" s="615"/>
      <c r="X166" s="609" t="s">
        <v>605</v>
      </c>
      <c r="Y166" s="609" t="s">
        <v>311</v>
      </c>
      <c r="Z166" s="609">
        <v>0.95</v>
      </c>
      <c r="AA166" s="616">
        <f>Z166*I166</f>
        <v>1140</v>
      </c>
      <c r="AC166" s="617"/>
      <c r="AD166" s="610" t="s">
        <v>6036</v>
      </c>
      <c r="AE166" s="610" t="s">
        <v>82</v>
      </c>
      <c r="AF166" s="610"/>
      <c r="AG166" s="610" t="s">
        <v>74</v>
      </c>
      <c r="AH166" s="610"/>
      <c r="AI166" s="610">
        <v>1200</v>
      </c>
      <c r="AJ166" s="610">
        <f t="shared" si="38"/>
        <v>0</v>
      </c>
      <c r="AK166" s="610"/>
      <c r="AL166" s="610"/>
      <c r="AM166" s="610"/>
      <c r="AN166" s="610">
        <f>I166</f>
        <v>1200</v>
      </c>
      <c r="AP166" s="554">
        <f>I166</f>
        <v>1200</v>
      </c>
      <c r="AR166" s="619"/>
      <c r="AS166" s="548"/>
      <c r="AT166" s="548"/>
      <c r="AU166" s="554">
        <f>I166</f>
        <v>1200</v>
      </c>
      <c r="AW166" s="619"/>
      <c r="AX166" s="548"/>
      <c r="AY166" s="548"/>
      <c r="AZ166" s="548"/>
      <c r="BA166" s="548"/>
      <c r="BB166" s="620">
        <f>I166/48</f>
        <v>25</v>
      </c>
      <c r="BN166" s="554">
        <f>I166/25</f>
        <v>48</v>
      </c>
      <c r="BY166" s="619"/>
      <c r="BZ166" s="548"/>
      <c r="CA166" s="621"/>
      <c r="CB166" s="567"/>
      <c r="CC166" s="622"/>
      <c r="CD166" s="619"/>
      <c r="CE166" s="619"/>
      <c r="CF166" s="548"/>
      <c r="CG166" s="548"/>
      <c r="CU166" s="554">
        <f t="shared" si="35"/>
        <v>48</v>
      </c>
      <c r="CV166" s="554">
        <f t="shared" si="29"/>
        <v>0</v>
      </c>
      <c r="CW166" s="554">
        <f t="shared" si="30"/>
        <v>0</v>
      </c>
      <c r="CX166" s="619"/>
      <c r="CY166" s="619"/>
      <c r="CZ166" s="619"/>
      <c r="DA166" s="548"/>
      <c r="DB166" s="548"/>
      <c r="DC166" s="548"/>
      <c r="DD166" s="619"/>
      <c r="DE166" s="619"/>
      <c r="DF166" s="619"/>
      <c r="DG166" s="619"/>
      <c r="DH166" s="619"/>
    </row>
    <row r="167" s="548" customFormat="1" ht="31" customHeight="1" spans="1:112">
      <c r="A167" s="608">
        <v>45768</v>
      </c>
      <c r="B167" s="609" t="s">
        <v>611</v>
      </c>
      <c r="C167" s="610" t="s">
        <v>612</v>
      </c>
      <c r="D167" s="554">
        <v>4500164331</v>
      </c>
      <c r="E167" s="610"/>
      <c r="F167" s="554" t="s">
        <v>6452</v>
      </c>
      <c r="G167" s="610" t="s">
        <v>6040</v>
      </c>
      <c r="H167" s="610" t="s">
        <v>6041</v>
      </c>
      <c r="I167" s="610">
        <v>5044</v>
      </c>
      <c r="J167" s="610">
        <v>0</v>
      </c>
      <c r="K167" s="610">
        <v>52</v>
      </c>
      <c r="L167" s="611">
        <f t="shared" si="40"/>
        <v>97</v>
      </c>
      <c r="M167" s="612">
        <v>45819</v>
      </c>
      <c r="N167" s="612">
        <f>M167-4</f>
        <v>45815</v>
      </c>
      <c r="O167" s="613"/>
      <c r="P167" s="613" t="s">
        <v>113</v>
      </c>
      <c r="Q167" s="610"/>
      <c r="R167" s="614">
        <v>45768</v>
      </c>
      <c r="S167" s="614" t="s">
        <v>70</v>
      </c>
      <c r="T167" s="614">
        <v>45786</v>
      </c>
      <c r="U167" s="614"/>
      <c r="V167" s="614"/>
      <c r="W167" s="615"/>
      <c r="X167" s="628" t="s">
        <v>6453</v>
      </c>
      <c r="Y167" s="609" t="s">
        <v>615</v>
      </c>
      <c r="Z167" s="609">
        <v>0.92</v>
      </c>
      <c r="AA167" s="616">
        <f>Z167*I167</f>
        <v>4640.48</v>
      </c>
      <c r="AC167" s="617" t="s">
        <v>616</v>
      </c>
      <c r="AD167" s="610" t="s">
        <v>6040</v>
      </c>
      <c r="AE167" s="610" t="s">
        <v>82</v>
      </c>
      <c r="AF167" s="610"/>
      <c r="AG167" s="610" t="s">
        <v>74</v>
      </c>
      <c r="AH167" s="610"/>
      <c r="AI167" s="610">
        <v>5044</v>
      </c>
      <c r="AJ167" s="610">
        <f t="shared" si="38"/>
        <v>0</v>
      </c>
      <c r="AK167" s="610"/>
      <c r="AL167" s="610"/>
      <c r="AM167" s="610"/>
      <c r="AN167" s="610"/>
      <c r="AO167" s="554">
        <f>I167</f>
        <v>5044</v>
      </c>
      <c r="AR167" s="619"/>
      <c r="AS167" s="548"/>
      <c r="AT167" s="554">
        <f>I167</f>
        <v>5044</v>
      </c>
      <c r="AV167" s="554">
        <f>I167</f>
        <v>5044</v>
      </c>
      <c r="AW167" s="619"/>
      <c r="AX167" s="548"/>
      <c r="AY167" s="548"/>
      <c r="AZ167" s="548"/>
      <c r="BA167" s="548"/>
      <c r="BB167" s="620">
        <f>I167/24</f>
        <v>210.166666666667</v>
      </c>
      <c r="BM167" s="554">
        <f>I167/13</f>
        <v>388</v>
      </c>
      <c r="BY167" s="619"/>
      <c r="BZ167" s="548"/>
      <c r="CA167" s="621"/>
      <c r="CB167" s="567"/>
      <c r="CC167" s="622"/>
      <c r="CD167" s="619"/>
      <c r="CE167" s="619"/>
      <c r="CF167" s="548"/>
      <c r="CG167" s="548"/>
      <c r="CU167" s="554">
        <f t="shared" si="35"/>
        <v>0</v>
      </c>
      <c r="CV167" s="554">
        <f t="shared" si="29"/>
        <v>0</v>
      </c>
      <c r="CW167" s="554">
        <f t="shared" si="30"/>
        <v>0</v>
      </c>
      <c r="CX167" s="619"/>
      <c r="CY167" s="619"/>
      <c r="CZ167" s="619"/>
      <c r="DA167" s="548"/>
      <c r="DB167" s="548"/>
      <c r="DC167" s="548"/>
      <c r="DD167" s="619"/>
      <c r="DE167" s="619"/>
      <c r="DF167" s="619"/>
      <c r="DG167" s="619"/>
      <c r="DH167" s="619"/>
    </row>
    <row r="168" s="548" customFormat="1" ht="31" customHeight="1" spans="1:112">
      <c r="A168" s="608">
        <v>45768</v>
      </c>
      <c r="B168" s="609" t="s">
        <v>611</v>
      </c>
      <c r="C168" s="610" t="s">
        <v>612</v>
      </c>
      <c r="D168" s="554">
        <v>4500164331</v>
      </c>
      <c r="E168" s="610"/>
      <c r="F168" s="554" t="s">
        <v>6454</v>
      </c>
      <c r="G168" s="610" t="s">
        <v>6223</v>
      </c>
      <c r="H168" s="610" t="s">
        <v>6080</v>
      </c>
      <c r="I168" s="610">
        <v>300</v>
      </c>
      <c r="J168" s="610">
        <v>0</v>
      </c>
      <c r="K168" s="610">
        <v>30</v>
      </c>
      <c r="L168" s="611">
        <f t="shared" si="40"/>
        <v>10</v>
      </c>
      <c r="M168" s="612">
        <v>45819</v>
      </c>
      <c r="N168" s="612">
        <f>M168-4</f>
        <v>45815</v>
      </c>
      <c r="O168" s="613"/>
      <c r="P168" s="613" t="s">
        <v>113</v>
      </c>
      <c r="Q168" s="610"/>
      <c r="R168" s="614">
        <v>45768</v>
      </c>
      <c r="S168" s="614" t="s">
        <v>70</v>
      </c>
      <c r="T168" s="614">
        <v>45786</v>
      </c>
      <c r="U168" s="614"/>
      <c r="V168" s="614"/>
      <c r="W168" s="615"/>
      <c r="X168" s="628" t="s">
        <v>6455</v>
      </c>
      <c r="Y168" s="609" t="s">
        <v>615</v>
      </c>
      <c r="Z168" s="609">
        <v>35.1</v>
      </c>
      <c r="AA168" s="616">
        <f>Z168*L168</f>
        <v>351</v>
      </c>
      <c r="AC168" s="617" t="s">
        <v>616</v>
      </c>
      <c r="AD168" s="610" t="s">
        <v>6223</v>
      </c>
      <c r="AE168" s="610" t="s">
        <v>82</v>
      </c>
      <c r="AF168" s="610"/>
      <c r="AG168" s="610" t="s">
        <v>74</v>
      </c>
      <c r="AH168" s="610"/>
      <c r="AI168" s="610">
        <v>300</v>
      </c>
      <c r="AJ168" s="610">
        <f t="shared" si="38"/>
        <v>0</v>
      </c>
      <c r="AK168" s="610"/>
      <c r="AL168" s="610"/>
      <c r="AM168" s="610"/>
      <c r="AN168" s="610"/>
      <c r="AO168" s="554">
        <f>I168</f>
        <v>300</v>
      </c>
      <c r="AR168" s="619"/>
      <c r="AS168" s="548"/>
      <c r="AT168" s="554">
        <f>I168</f>
        <v>300</v>
      </c>
      <c r="AV168" s="554">
        <f>I168</f>
        <v>300</v>
      </c>
      <c r="AW168" s="619"/>
      <c r="AX168" s="548"/>
      <c r="AY168" s="548"/>
      <c r="AZ168" s="548"/>
      <c r="BA168" s="548"/>
      <c r="BB168" s="620">
        <f>I168/24</f>
        <v>12.5</v>
      </c>
      <c r="BY168" s="619"/>
      <c r="BZ168" s="548"/>
      <c r="CA168" s="621"/>
      <c r="CB168" s="567"/>
      <c r="CC168" s="622"/>
      <c r="CD168" s="619"/>
      <c r="CE168" s="619"/>
      <c r="CF168" s="548"/>
      <c r="CG168" s="548"/>
      <c r="CP168" s="554">
        <f>I168/30</f>
        <v>10</v>
      </c>
      <c r="CU168" s="554">
        <f t="shared" si="35"/>
        <v>0</v>
      </c>
      <c r="CV168" s="554">
        <f t="shared" si="29"/>
        <v>10</v>
      </c>
      <c r="CW168" s="554">
        <f t="shared" si="30"/>
        <v>0</v>
      </c>
      <c r="CX168" s="619"/>
      <c r="CY168" s="619"/>
      <c r="CZ168" s="619"/>
      <c r="DA168" s="548"/>
      <c r="DB168" s="548"/>
      <c r="DC168" s="548"/>
      <c r="DD168" s="619"/>
      <c r="DE168" s="619"/>
      <c r="DF168" s="619"/>
      <c r="DG168" s="619"/>
      <c r="DH168" s="619"/>
    </row>
    <row r="169" s="548" customFormat="1" ht="31" customHeight="1" spans="1:112">
      <c r="A169" s="608">
        <v>45775</v>
      </c>
      <c r="B169" s="609" t="s">
        <v>143</v>
      </c>
      <c r="C169" s="610" t="s">
        <v>98</v>
      </c>
      <c r="D169" s="554">
        <v>4500162979</v>
      </c>
      <c r="E169" s="610" t="s">
        <v>6456</v>
      </c>
      <c r="F169" s="554" t="s">
        <v>6457</v>
      </c>
      <c r="G169" s="610" t="s">
        <v>6063</v>
      </c>
      <c r="H169" s="610" t="s">
        <v>6064</v>
      </c>
      <c r="I169" s="610">
        <v>6064</v>
      </c>
      <c r="J169" s="610">
        <v>0</v>
      </c>
      <c r="K169" s="610">
        <v>16</v>
      </c>
      <c r="L169" s="611">
        <f t="shared" si="40"/>
        <v>379</v>
      </c>
      <c r="M169" s="612">
        <v>45819</v>
      </c>
      <c r="N169" s="612">
        <f>M169-4</f>
        <v>45815</v>
      </c>
      <c r="O169" s="613" t="s">
        <v>6458</v>
      </c>
      <c r="P169" s="613" t="s">
        <v>113</v>
      </c>
      <c r="Q169" s="610"/>
      <c r="R169" s="614" t="s">
        <v>6307</v>
      </c>
      <c r="S169" s="614" t="s">
        <v>70</v>
      </c>
      <c r="T169" s="614" t="s">
        <v>148</v>
      </c>
      <c r="U169" s="614"/>
      <c r="V169" s="614"/>
      <c r="W169" s="615"/>
      <c r="X169" s="609" t="s">
        <v>6308</v>
      </c>
      <c r="Y169" s="609" t="s">
        <v>106</v>
      </c>
      <c r="Z169" s="609">
        <v>1.008</v>
      </c>
      <c r="AA169" s="616">
        <f>Z169*I169</f>
        <v>6112.512</v>
      </c>
      <c r="AC169" s="617"/>
      <c r="AD169" s="610" t="s">
        <v>6063</v>
      </c>
      <c r="AE169" s="610" t="s">
        <v>82</v>
      </c>
      <c r="AF169" s="610"/>
      <c r="AG169" s="610" t="s">
        <v>74</v>
      </c>
      <c r="AH169" s="610"/>
      <c r="AI169" s="610">
        <v>6064</v>
      </c>
      <c r="AJ169" s="610">
        <f t="shared" si="38"/>
        <v>0</v>
      </c>
      <c r="AK169" s="610"/>
      <c r="AL169" s="610"/>
      <c r="AM169" s="610"/>
      <c r="AN169" s="610">
        <f>I169</f>
        <v>6064</v>
      </c>
      <c r="AP169" s="554">
        <f>I169</f>
        <v>6064</v>
      </c>
      <c r="AR169" s="619"/>
      <c r="AS169" s="548"/>
      <c r="AT169" s="548"/>
      <c r="AU169" s="554">
        <f>I169</f>
        <v>6064</v>
      </c>
      <c r="AW169" s="619"/>
      <c r="AX169" s="548"/>
      <c r="AY169" s="548"/>
      <c r="AZ169" s="548"/>
      <c r="BA169" s="548"/>
      <c r="BB169" s="620">
        <f>I169/48</f>
        <v>126.333333333333</v>
      </c>
      <c r="BQ169" s="554">
        <f>I169/16</f>
        <v>379</v>
      </c>
      <c r="BY169" s="619"/>
      <c r="BZ169" s="548"/>
      <c r="CA169" s="621"/>
      <c r="CB169" s="567"/>
      <c r="CC169" s="622"/>
      <c r="CD169" s="619"/>
      <c r="CE169" s="619"/>
      <c r="CF169" s="548"/>
      <c r="CG169" s="548"/>
      <c r="CU169" s="554">
        <f t="shared" si="35"/>
        <v>379</v>
      </c>
      <c r="CV169" s="554">
        <f t="shared" si="29"/>
        <v>0</v>
      </c>
      <c r="CW169" s="554">
        <f t="shared" si="30"/>
        <v>0</v>
      </c>
      <c r="CX169" s="619"/>
      <c r="CY169" s="619"/>
      <c r="CZ169" s="619"/>
      <c r="DA169" s="548"/>
      <c r="DB169" s="548"/>
      <c r="DC169" s="548"/>
      <c r="DD169" s="619"/>
      <c r="DE169" s="619"/>
      <c r="DF169" s="619"/>
      <c r="DG169" s="619"/>
      <c r="DH169" s="619"/>
    </row>
    <row r="170" s="548" customFormat="1" ht="31" customHeight="1" spans="1:112">
      <c r="A170" s="608">
        <v>45775</v>
      </c>
      <c r="B170" s="609" t="s">
        <v>143</v>
      </c>
      <c r="C170" s="610" t="s">
        <v>98</v>
      </c>
      <c r="D170" s="554">
        <v>4500162979</v>
      </c>
      <c r="E170" s="610" t="s">
        <v>6459</v>
      </c>
      <c r="F170" s="554" t="s">
        <v>6460</v>
      </c>
      <c r="G170" s="610" t="s">
        <v>6063</v>
      </c>
      <c r="H170" s="610" t="s">
        <v>6064</v>
      </c>
      <c r="I170" s="610">
        <v>5232</v>
      </c>
      <c r="J170" s="610">
        <v>0</v>
      </c>
      <c r="K170" s="610">
        <v>16</v>
      </c>
      <c r="L170" s="611">
        <f t="shared" si="40"/>
        <v>327</v>
      </c>
      <c r="M170" s="612">
        <v>45819</v>
      </c>
      <c r="N170" s="612">
        <f>M170-4</f>
        <v>45815</v>
      </c>
      <c r="O170" s="613" t="s">
        <v>6458</v>
      </c>
      <c r="P170" s="613" t="s">
        <v>113</v>
      </c>
      <c r="Q170" s="610"/>
      <c r="R170" s="614" t="s">
        <v>6307</v>
      </c>
      <c r="S170" s="614" t="s">
        <v>70</v>
      </c>
      <c r="T170" s="614" t="s">
        <v>148</v>
      </c>
      <c r="U170" s="614"/>
      <c r="V170" s="614"/>
      <c r="W170" s="615"/>
      <c r="X170" s="609" t="s">
        <v>6308</v>
      </c>
      <c r="Y170" s="609" t="s">
        <v>106</v>
      </c>
      <c r="Z170" s="609">
        <v>1.008</v>
      </c>
      <c r="AA170" s="616">
        <f>Z170*I170</f>
        <v>5273.856</v>
      </c>
      <c r="AC170" s="617"/>
      <c r="AD170" s="610" t="s">
        <v>6063</v>
      </c>
      <c r="AE170" s="610" t="s">
        <v>82</v>
      </c>
      <c r="AF170" s="610"/>
      <c r="AG170" s="610" t="s">
        <v>74</v>
      </c>
      <c r="AH170" s="610"/>
      <c r="AI170" s="610">
        <v>5232</v>
      </c>
      <c r="AJ170" s="610">
        <f t="shared" si="38"/>
        <v>0</v>
      </c>
      <c r="AK170" s="610"/>
      <c r="AL170" s="610"/>
      <c r="AM170" s="610"/>
      <c r="AN170" s="610">
        <f>I170</f>
        <v>5232</v>
      </c>
      <c r="AP170" s="554">
        <f>I170</f>
        <v>5232</v>
      </c>
      <c r="AR170" s="619"/>
      <c r="AS170" s="548"/>
      <c r="AT170" s="548"/>
      <c r="AU170" s="554">
        <f>I170</f>
        <v>5232</v>
      </c>
      <c r="AW170" s="619"/>
      <c r="AX170" s="548"/>
      <c r="AY170" s="548"/>
      <c r="AZ170" s="548"/>
      <c r="BA170" s="548"/>
      <c r="BB170" s="620">
        <f>I170/48</f>
        <v>109</v>
      </c>
      <c r="BQ170" s="554">
        <f>I170/16</f>
        <v>327</v>
      </c>
      <c r="BY170" s="619"/>
      <c r="BZ170" s="548"/>
      <c r="CA170" s="621"/>
      <c r="CB170" s="567"/>
      <c r="CC170" s="622"/>
      <c r="CD170" s="619"/>
      <c r="CE170" s="619"/>
      <c r="CF170" s="548"/>
      <c r="CG170" s="548"/>
      <c r="CU170" s="554">
        <f t="shared" si="35"/>
        <v>327</v>
      </c>
      <c r="CV170" s="554">
        <f t="shared" si="29"/>
        <v>0</v>
      </c>
      <c r="CW170" s="554">
        <f t="shared" si="30"/>
        <v>0</v>
      </c>
      <c r="CX170" s="619"/>
      <c r="CY170" s="619"/>
      <c r="CZ170" s="619"/>
      <c r="DA170" s="548"/>
      <c r="DB170" s="548"/>
      <c r="DC170" s="548"/>
      <c r="DD170" s="619"/>
      <c r="DE170" s="619"/>
      <c r="DF170" s="619"/>
      <c r="DG170" s="619"/>
      <c r="DH170" s="619"/>
    </row>
    <row r="171" s="548" customFormat="1" ht="31" customHeight="1" spans="1:112">
      <c r="A171" s="608">
        <v>45764</v>
      </c>
      <c r="B171" s="609" t="s">
        <v>679</v>
      </c>
      <c r="C171" s="610" t="s">
        <v>411</v>
      </c>
      <c r="D171" s="554">
        <v>4500164017</v>
      </c>
      <c r="E171" s="610">
        <v>5200006591</v>
      </c>
      <c r="F171" s="554" t="s">
        <v>6461</v>
      </c>
      <c r="G171" s="610" t="s">
        <v>6120</v>
      </c>
      <c r="H171" s="610" t="s">
        <v>6094</v>
      </c>
      <c r="I171" s="610">
        <v>2600</v>
      </c>
      <c r="J171" s="610">
        <v>0</v>
      </c>
      <c r="K171" s="610">
        <v>13</v>
      </c>
      <c r="L171" s="611">
        <f t="shared" si="40"/>
        <v>200</v>
      </c>
      <c r="M171" s="612">
        <v>45819</v>
      </c>
      <c r="N171" s="612">
        <v>45815</v>
      </c>
      <c r="O171" s="613"/>
      <c r="P171" s="613" t="s">
        <v>113</v>
      </c>
      <c r="Q171" s="610"/>
      <c r="R171" s="614">
        <v>45768</v>
      </c>
      <c r="S171" s="614" t="s">
        <v>70</v>
      </c>
      <c r="T171" s="614">
        <v>45777</v>
      </c>
      <c r="U171" s="614"/>
      <c r="V171" s="614"/>
      <c r="W171" s="615"/>
      <c r="X171" s="628" t="s">
        <v>6462</v>
      </c>
      <c r="Y171" s="609" t="s">
        <v>415</v>
      </c>
      <c r="Z171" s="609">
        <v>1.16</v>
      </c>
      <c r="AA171" s="616">
        <f>Z171*I171</f>
        <v>3016</v>
      </c>
      <c r="AC171" s="629" t="s">
        <v>684</v>
      </c>
      <c r="AD171" s="610" t="s">
        <v>6120</v>
      </c>
      <c r="AE171" s="610" t="s">
        <v>82</v>
      </c>
      <c r="AF171" s="610"/>
      <c r="AG171" s="610" t="s">
        <v>74</v>
      </c>
      <c r="AH171" s="610"/>
      <c r="AI171" s="610">
        <v>2600</v>
      </c>
      <c r="AJ171" s="610">
        <f t="shared" si="38"/>
        <v>0</v>
      </c>
      <c r="AK171" s="610"/>
      <c r="AL171" s="610" t="s">
        <v>126</v>
      </c>
      <c r="AM171" s="610"/>
      <c r="AN171" s="610"/>
      <c r="AO171" s="554">
        <f>I171</f>
        <v>2600</v>
      </c>
      <c r="AR171" s="619"/>
      <c r="AS171" s="548"/>
      <c r="AT171" s="548"/>
      <c r="AU171" s="548"/>
      <c r="AV171" s="554">
        <f>I171</f>
        <v>2600</v>
      </c>
      <c r="AW171" s="619"/>
      <c r="AX171" s="548"/>
      <c r="AY171" s="548"/>
      <c r="AZ171" s="548"/>
      <c r="BA171" s="548"/>
      <c r="BB171" s="620">
        <f>I171/24</f>
        <v>108.333333333333</v>
      </c>
      <c r="BC171" s="554">
        <f>I171</f>
        <v>2600</v>
      </c>
      <c r="BM171" s="554">
        <f>I171/13</f>
        <v>200</v>
      </c>
      <c r="BY171" s="619"/>
      <c r="BZ171" s="548"/>
      <c r="CA171" s="621"/>
      <c r="CB171" s="567"/>
      <c r="CC171" s="622"/>
      <c r="CD171" s="619"/>
      <c r="CE171" s="619"/>
      <c r="CF171" s="548"/>
      <c r="CG171" s="548"/>
      <c r="CU171" s="554">
        <f t="shared" si="35"/>
        <v>0</v>
      </c>
      <c r="CV171" s="554">
        <f t="shared" si="29"/>
        <v>0</v>
      </c>
      <c r="CW171" s="554">
        <f t="shared" si="30"/>
        <v>0</v>
      </c>
      <c r="CX171" s="619"/>
      <c r="CY171" s="619"/>
      <c r="CZ171" s="619"/>
      <c r="DA171" s="548"/>
      <c r="DB171" s="548"/>
      <c r="DC171" s="548"/>
      <c r="DD171" s="619"/>
      <c r="DE171" s="619"/>
      <c r="DF171" s="619"/>
      <c r="DG171" s="619"/>
      <c r="DH171" s="619"/>
    </row>
    <row r="172" s="548" customFormat="1" ht="31" customHeight="1" spans="1:112">
      <c r="A172" s="608">
        <v>45764</v>
      </c>
      <c r="B172" s="609" t="s">
        <v>679</v>
      </c>
      <c r="C172" s="610" t="s">
        <v>411</v>
      </c>
      <c r="D172" s="554">
        <v>4500164017</v>
      </c>
      <c r="E172" s="610">
        <v>5200006591</v>
      </c>
      <c r="F172" s="554" t="s">
        <v>6463</v>
      </c>
      <c r="G172" s="610" t="s">
        <v>6464</v>
      </c>
      <c r="H172" s="610" t="s">
        <v>6080</v>
      </c>
      <c r="I172" s="610">
        <v>4500</v>
      </c>
      <c r="J172" s="610">
        <v>0</v>
      </c>
      <c r="K172" s="610">
        <v>60</v>
      </c>
      <c r="L172" s="611">
        <f t="shared" si="40"/>
        <v>75</v>
      </c>
      <c r="M172" s="612">
        <v>45819</v>
      </c>
      <c r="N172" s="612">
        <v>45815</v>
      </c>
      <c r="O172" s="613"/>
      <c r="P172" s="613" t="s">
        <v>113</v>
      </c>
      <c r="Q172" s="610"/>
      <c r="R172" s="614">
        <v>45768</v>
      </c>
      <c r="S172" s="614" t="s">
        <v>70</v>
      </c>
      <c r="T172" s="614">
        <v>45777</v>
      </c>
      <c r="U172" s="614"/>
      <c r="V172" s="614"/>
      <c r="W172" s="615"/>
      <c r="X172" s="609" t="s">
        <v>6465</v>
      </c>
      <c r="Y172" s="609" t="s">
        <v>415</v>
      </c>
      <c r="Z172" s="609">
        <v>63.7</v>
      </c>
      <c r="AA172" s="616">
        <f>Z172*L172</f>
        <v>4777.5</v>
      </c>
      <c r="AC172" s="629" t="s">
        <v>684</v>
      </c>
      <c r="AD172" s="610" t="s">
        <v>6464</v>
      </c>
      <c r="AE172" s="610" t="s">
        <v>82</v>
      </c>
      <c r="AF172" s="610"/>
      <c r="AG172" s="610" t="s">
        <v>74</v>
      </c>
      <c r="AH172" s="610"/>
      <c r="AI172" s="610">
        <v>4500</v>
      </c>
      <c r="AJ172" s="610">
        <f t="shared" si="38"/>
        <v>0</v>
      </c>
      <c r="AK172" s="610"/>
      <c r="AL172" s="610" t="s">
        <v>126</v>
      </c>
      <c r="AM172" s="610"/>
      <c r="AN172" s="610"/>
      <c r="AO172" s="554">
        <f>I172</f>
        <v>4500</v>
      </c>
      <c r="AR172" s="619"/>
      <c r="AS172" s="548"/>
      <c r="AT172" s="548"/>
      <c r="AU172" s="548"/>
      <c r="AV172" s="554">
        <f>I172</f>
        <v>4500</v>
      </c>
      <c r="AW172" s="619"/>
      <c r="AX172" s="548"/>
      <c r="AY172" s="548"/>
      <c r="AZ172" s="548"/>
      <c r="BA172" s="548"/>
      <c r="BB172" s="620">
        <f>I172/24</f>
        <v>187.5</v>
      </c>
      <c r="BC172" s="554">
        <f>I172</f>
        <v>4500</v>
      </c>
      <c r="BY172" s="619"/>
      <c r="BZ172" s="548"/>
      <c r="CA172" s="621"/>
      <c r="CB172" s="567"/>
      <c r="CC172" s="622"/>
      <c r="CD172" s="619"/>
      <c r="CE172" s="619"/>
      <c r="CF172" s="548"/>
      <c r="CG172" s="548"/>
      <c r="CM172" s="554">
        <f>L172</f>
        <v>75</v>
      </c>
      <c r="CU172" s="554">
        <f t="shared" si="35"/>
        <v>0</v>
      </c>
      <c r="CV172" s="554">
        <f t="shared" si="29"/>
        <v>75</v>
      </c>
      <c r="CW172" s="554">
        <f t="shared" si="30"/>
        <v>0</v>
      </c>
      <c r="CX172" s="619"/>
      <c r="CY172" s="619"/>
      <c r="CZ172" s="619"/>
      <c r="DA172" s="548"/>
      <c r="DB172" s="548"/>
      <c r="DC172" s="548"/>
      <c r="DD172" s="619"/>
      <c r="DE172" s="619"/>
      <c r="DF172" s="619"/>
      <c r="DG172" s="619"/>
      <c r="DH172" s="619"/>
    </row>
    <row r="173" s="548" customFormat="1" ht="31" customHeight="1" spans="1:112">
      <c r="A173" s="608">
        <v>45791</v>
      </c>
      <c r="B173" s="609" t="s">
        <v>301</v>
      </c>
      <c r="C173" s="610" t="s">
        <v>302</v>
      </c>
      <c r="D173" s="554">
        <v>4500169682</v>
      </c>
      <c r="E173" s="610">
        <v>5200006790</v>
      </c>
      <c r="F173" s="554" t="s">
        <v>6466</v>
      </c>
      <c r="G173" s="610" t="s">
        <v>6467</v>
      </c>
      <c r="H173" s="610" t="s">
        <v>6080</v>
      </c>
      <c r="I173" s="610">
        <v>2700</v>
      </c>
      <c r="J173" s="610">
        <v>0</v>
      </c>
      <c r="K173" s="610">
        <v>30</v>
      </c>
      <c r="L173" s="611">
        <f t="shared" si="40"/>
        <v>90</v>
      </c>
      <c r="M173" s="612">
        <v>45819</v>
      </c>
      <c r="N173" s="612">
        <v>45815</v>
      </c>
      <c r="O173" s="613"/>
      <c r="P173" s="613" t="s">
        <v>113</v>
      </c>
      <c r="Q173" s="610"/>
      <c r="R173" s="614" t="s">
        <v>6468</v>
      </c>
      <c r="S173" s="614" t="s">
        <v>70</v>
      </c>
      <c r="T173" s="614" t="s">
        <v>6469</v>
      </c>
      <c r="U173" s="614"/>
      <c r="V173" s="614" t="s">
        <v>6470</v>
      </c>
      <c r="W173" s="615"/>
      <c r="X173" s="609" t="s">
        <v>6471</v>
      </c>
      <c r="Y173" s="609" t="s">
        <v>2037</v>
      </c>
      <c r="Z173" s="609">
        <v>35.1</v>
      </c>
      <c r="AA173" s="616">
        <f>Z173*L173</f>
        <v>3159</v>
      </c>
      <c r="AC173" s="629" t="s">
        <v>692</v>
      </c>
      <c r="AD173" s="610" t="s">
        <v>6223</v>
      </c>
      <c r="AE173" s="610" t="s">
        <v>82</v>
      </c>
      <c r="AF173" s="610"/>
      <c r="AG173" s="610" t="s">
        <v>74</v>
      </c>
      <c r="AH173" s="610"/>
      <c r="AI173" s="610">
        <v>2700</v>
      </c>
      <c r="AJ173" s="610">
        <f t="shared" si="38"/>
        <v>0</v>
      </c>
      <c r="AK173" s="610"/>
      <c r="AL173" s="610" t="s">
        <v>454</v>
      </c>
      <c r="AM173" s="610"/>
      <c r="AN173" s="610"/>
      <c r="AO173" s="554">
        <f>I173</f>
        <v>2700</v>
      </c>
      <c r="AR173" s="619"/>
      <c r="AS173" s="548"/>
      <c r="AT173" s="554">
        <f>I173</f>
        <v>2700</v>
      </c>
      <c r="AV173" s="554">
        <f>I173</f>
        <v>2700</v>
      </c>
      <c r="AW173" s="619"/>
      <c r="AX173" s="548"/>
      <c r="AY173" s="548"/>
      <c r="AZ173" s="548"/>
      <c r="BA173" s="548"/>
      <c r="BB173" s="620">
        <f>I173/24</f>
        <v>112.5</v>
      </c>
      <c r="BY173" s="619"/>
      <c r="BZ173" s="548"/>
      <c r="CA173" s="621"/>
      <c r="CB173" s="567"/>
      <c r="CC173" s="622"/>
      <c r="CD173" s="619"/>
      <c r="CE173" s="619"/>
      <c r="CF173" s="548"/>
      <c r="CG173" s="548"/>
      <c r="CP173" s="554">
        <f>I173/30</f>
        <v>90</v>
      </c>
      <c r="CU173" s="554">
        <f t="shared" si="35"/>
        <v>0</v>
      </c>
      <c r="CV173" s="554">
        <f t="shared" si="29"/>
        <v>90</v>
      </c>
      <c r="CW173" s="554">
        <f t="shared" si="30"/>
        <v>0</v>
      </c>
      <c r="CX173" s="619"/>
      <c r="CY173" s="619"/>
      <c r="CZ173" s="619"/>
      <c r="DA173" s="548"/>
      <c r="DB173" s="548"/>
      <c r="DC173" s="548"/>
      <c r="DD173" s="619"/>
      <c r="DE173" s="619"/>
      <c r="DF173" s="619"/>
      <c r="DG173" s="619"/>
      <c r="DH173" s="619"/>
    </row>
    <row r="174" s="548" customFormat="1" ht="31" customHeight="1" spans="1:112">
      <c r="A174" s="608">
        <v>45791</v>
      </c>
      <c r="B174" s="609" t="s">
        <v>301</v>
      </c>
      <c r="C174" s="610" t="s">
        <v>302</v>
      </c>
      <c r="D174" s="554">
        <v>4500169682</v>
      </c>
      <c r="E174" s="610">
        <v>5200006790</v>
      </c>
      <c r="F174" s="554" t="s">
        <v>6472</v>
      </c>
      <c r="G174" s="610" t="s">
        <v>6120</v>
      </c>
      <c r="H174" s="610" t="s">
        <v>6094</v>
      </c>
      <c r="I174" s="610">
        <v>6006</v>
      </c>
      <c r="J174" s="610">
        <v>0</v>
      </c>
      <c r="K174" s="610">
        <v>13</v>
      </c>
      <c r="L174" s="611">
        <f t="shared" si="40"/>
        <v>462</v>
      </c>
      <c r="M174" s="612">
        <v>45819</v>
      </c>
      <c r="N174" s="612">
        <v>45815</v>
      </c>
      <c r="O174" s="613"/>
      <c r="P174" s="613" t="s">
        <v>113</v>
      </c>
      <c r="Q174" s="610"/>
      <c r="R174" s="614" t="s">
        <v>6468</v>
      </c>
      <c r="S174" s="614" t="s">
        <v>70</v>
      </c>
      <c r="T174" s="614" t="s">
        <v>6469</v>
      </c>
      <c r="U174" s="614"/>
      <c r="V174" s="614" t="s">
        <v>6470</v>
      </c>
      <c r="W174" s="615"/>
      <c r="X174" s="609" t="s">
        <v>6473</v>
      </c>
      <c r="Y174" s="609" t="s">
        <v>2037</v>
      </c>
      <c r="Z174" s="609">
        <v>0.9064</v>
      </c>
      <c r="AA174" s="616">
        <f t="shared" ref="AA174:AA180" si="46">Z174*I174</f>
        <v>5443.8384</v>
      </c>
      <c r="AC174" s="629" t="s">
        <v>692</v>
      </c>
      <c r="AD174" s="610" t="s">
        <v>6093</v>
      </c>
      <c r="AE174" s="610" t="s">
        <v>82</v>
      </c>
      <c r="AF174" s="610"/>
      <c r="AG174" s="610" t="s">
        <v>74</v>
      </c>
      <c r="AH174" s="610"/>
      <c r="AI174" s="610"/>
      <c r="AJ174" s="610"/>
      <c r="AK174" s="610"/>
      <c r="AL174" s="610" t="s">
        <v>454</v>
      </c>
      <c r="AM174" s="610"/>
      <c r="AN174" s="610"/>
      <c r="AO174" s="554">
        <f>I174</f>
        <v>6006</v>
      </c>
      <c r="AR174" s="619"/>
      <c r="AS174" s="548"/>
      <c r="AT174" s="554">
        <f>I174</f>
        <v>6006</v>
      </c>
      <c r="AV174" s="554">
        <f>I174</f>
        <v>6006</v>
      </c>
      <c r="AW174" s="619"/>
      <c r="AX174" s="548"/>
      <c r="AY174" s="548"/>
      <c r="AZ174" s="548"/>
      <c r="BA174" s="548"/>
      <c r="BB174" s="620">
        <f>I174/24</f>
        <v>250.25</v>
      </c>
      <c r="BM174" s="554">
        <f>I174/13</f>
        <v>462</v>
      </c>
      <c r="BY174" s="619"/>
      <c r="BZ174" s="548"/>
      <c r="CA174" s="621"/>
      <c r="CB174" s="567"/>
      <c r="CC174" s="622"/>
      <c r="CD174" s="619"/>
      <c r="CE174" s="619"/>
      <c r="CF174" s="548"/>
      <c r="CG174" s="548"/>
      <c r="CU174" s="554">
        <f t="shared" si="35"/>
        <v>0</v>
      </c>
      <c r="CV174" s="554">
        <f t="shared" si="29"/>
        <v>0</v>
      </c>
      <c r="CW174" s="554">
        <f t="shared" si="30"/>
        <v>0</v>
      </c>
      <c r="CX174" s="619"/>
      <c r="CY174" s="619"/>
      <c r="CZ174" s="619"/>
      <c r="DA174" s="548"/>
      <c r="DB174" s="548"/>
      <c r="DC174" s="548"/>
      <c r="DD174" s="619"/>
      <c r="DE174" s="619"/>
      <c r="DF174" s="619"/>
      <c r="DG174" s="619"/>
      <c r="DH174" s="619"/>
    </row>
    <row r="175" s="548" customFormat="1" ht="31" customHeight="1" spans="1:112">
      <c r="A175" s="608">
        <v>45790</v>
      </c>
      <c r="B175" s="609" t="s">
        <v>246</v>
      </c>
      <c r="C175" s="610" t="s">
        <v>98</v>
      </c>
      <c r="D175" s="554">
        <v>4500166241</v>
      </c>
      <c r="E175" s="610" t="s">
        <v>6474</v>
      </c>
      <c r="F175" s="554" t="s">
        <v>6475</v>
      </c>
      <c r="G175" s="610" t="s">
        <v>6084</v>
      </c>
      <c r="H175" s="610" t="s">
        <v>6069</v>
      </c>
      <c r="I175" s="610">
        <v>12625</v>
      </c>
      <c r="J175" s="610">
        <v>0</v>
      </c>
      <c r="K175" s="610">
        <v>25</v>
      </c>
      <c r="L175" s="611">
        <f t="shared" si="40"/>
        <v>505</v>
      </c>
      <c r="M175" s="612">
        <v>45824</v>
      </c>
      <c r="N175" s="612">
        <v>45820</v>
      </c>
      <c r="O175" s="613"/>
      <c r="P175" s="613" t="s">
        <v>113</v>
      </c>
      <c r="Q175" s="610"/>
      <c r="R175" s="614">
        <v>45796</v>
      </c>
      <c r="S175" s="614" t="s">
        <v>104</v>
      </c>
      <c r="T175" s="614">
        <v>45804</v>
      </c>
      <c r="U175" s="614"/>
      <c r="V175" s="614"/>
      <c r="W175" s="615"/>
      <c r="X175" s="609" t="s">
        <v>6476</v>
      </c>
      <c r="Y175" s="609" t="s">
        <v>252</v>
      </c>
      <c r="Z175" s="609">
        <v>0.564</v>
      </c>
      <c r="AA175" s="616">
        <f t="shared" si="46"/>
        <v>7120.5</v>
      </c>
      <c r="AC175" s="617"/>
      <c r="AD175" s="610" t="s">
        <v>6084</v>
      </c>
      <c r="AE175" s="610" t="s">
        <v>82</v>
      </c>
      <c r="AF175" s="610"/>
      <c r="AG175" s="610" t="s">
        <v>74</v>
      </c>
      <c r="AH175" s="610"/>
      <c r="AI175" s="610">
        <f>12425+200</f>
        <v>12625</v>
      </c>
      <c r="AJ175" s="610">
        <f t="shared" ref="AJ175:AJ186" si="47">AI175-I175</f>
        <v>0</v>
      </c>
      <c r="AK175" s="610"/>
      <c r="AL175" s="610"/>
      <c r="AM175" s="610"/>
      <c r="AN175" s="610">
        <f>I175</f>
        <v>12625</v>
      </c>
      <c r="AP175" s="554">
        <f>I175</f>
        <v>12625</v>
      </c>
      <c r="AR175" s="619"/>
      <c r="AS175" s="548"/>
      <c r="AT175" s="548"/>
      <c r="AU175" s="554">
        <f>I175</f>
        <v>12625</v>
      </c>
      <c r="AW175" s="619"/>
      <c r="AX175" s="548"/>
      <c r="AY175" s="548"/>
      <c r="AZ175" s="548"/>
      <c r="BA175" s="548"/>
      <c r="BB175" s="620">
        <f>I175/48</f>
        <v>263.020833333333</v>
      </c>
      <c r="BN175" s="554">
        <f>I175/25</f>
        <v>505</v>
      </c>
      <c r="BY175" s="619"/>
      <c r="BZ175" s="548"/>
      <c r="CA175" s="621"/>
      <c r="CB175" s="567"/>
      <c r="CC175" s="622"/>
      <c r="CD175" s="619"/>
      <c r="CE175" s="619"/>
      <c r="CF175" s="548"/>
      <c r="CG175" s="548"/>
      <c r="CU175" s="554">
        <f t="shared" si="35"/>
        <v>505</v>
      </c>
      <c r="CV175" s="554">
        <f t="shared" si="29"/>
        <v>0</v>
      </c>
      <c r="CW175" s="554">
        <f t="shared" si="30"/>
        <v>0</v>
      </c>
      <c r="CX175" s="619"/>
      <c r="CY175" s="619"/>
      <c r="CZ175" s="619"/>
      <c r="DA175" s="548"/>
      <c r="DB175" s="548"/>
      <c r="DC175" s="548"/>
      <c r="DD175" s="619"/>
      <c r="DE175" s="619"/>
      <c r="DF175" s="619"/>
      <c r="DG175" s="619"/>
      <c r="DH175" s="619"/>
    </row>
    <row r="176" s="548" customFormat="1" ht="31" customHeight="1" spans="1:112">
      <c r="A176" s="608">
        <v>45775</v>
      </c>
      <c r="B176" s="609" t="s">
        <v>301</v>
      </c>
      <c r="C176" s="610" t="s">
        <v>302</v>
      </c>
      <c r="D176" s="554">
        <v>4500163394</v>
      </c>
      <c r="E176" s="610">
        <v>5200006588</v>
      </c>
      <c r="F176" s="554" t="s">
        <v>6477</v>
      </c>
      <c r="G176" s="610" t="s">
        <v>6120</v>
      </c>
      <c r="H176" s="610" t="s">
        <v>6094</v>
      </c>
      <c r="I176" s="610">
        <v>9893</v>
      </c>
      <c r="J176" s="610">
        <v>0</v>
      </c>
      <c r="K176" s="610">
        <v>13</v>
      </c>
      <c r="L176" s="611">
        <f t="shared" si="40"/>
        <v>761</v>
      </c>
      <c r="M176" s="612">
        <v>45824</v>
      </c>
      <c r="N176" s="612">
        <v>45820</v>
      </c>
      <c r="O176" s="613"/>
      <c r="P176" s="613" t="s">
        <v>113</v>
      </c>
      <c r="Q176" s="610"/>
      <c r="R176" s="614">
        <v>45796</v>
      </c>
      <c r="S176" s="614" t="s">
        <v>70</v>
      </c>
      <c r="T176" s="614" t="s">
        <v>6342</v>
      </c>
      <c r="U176" s="614"/>
      <c r="V176" s="614"/>
      <c r="W176" s="615"/>
      <c r="X176" s="609" t="s">
        <v>6478</v>
      </c>
      <c r="Y176" s="609" t="s">
        <v>2037</v>
      </c>
      <c r="Z176" s="609">
        <v>1.16</v>
      </c>
      <c r="AA176" s="616">
        <f t="shared" si="46"/>
        <v>11475.88</v>
      </c>
      <c r="AC176" s="629" t="s">
        <v>6479</v>
      </c>
      <c r="AD176" s="610" t="s">
        <v>6093</v>
      </c>
      <c r="AE176" s="610" t="s">
        <v>82</v>
      </c>
      <c r="AF176" s="610"/>
      <c r="AG176" s="610" t="s">
        <v>74</v>
      </c>
      <c r="AH176" s="610"/>
      <c r="AI176" s="610">
        <v>9893</v>
      </c>
      <c r="AJ176" s="610">
        <f t="shared" si="47"/>
        <v>0</v>
      </c>
      <c r="AK176" s="610"/>
      <c r="AL176" s="610"/>
      <c r="AM176" s="610"/>
      <c r="AN176" s="610"/>
      <c r="AO176" s="554">
        <f>I176</f>
        <v>9893</v>
      </c>
      <c r="AR176" s="619"/>
      <c r="AS176" s="548"/>
      <c r="AT176" s="554">
        <f>I176</f>
        <v>9893</v>
      </c>
      <c r="AV176" s="554">
        <f>I176</f>
        <v>9893</v>
      </c>
      <c r="AW176" s="619"/>
      <c r="AX176" s="548"/>
      <c r="AY176" s="548"/>
      <c r="AZ176" s="548"/>
      <c r="BA176" s="548"/>
      <c r="BB176" s="620">
        <f>I176/24</f>
        <v>412.208333333333</v>
      </c>
      <c r="BM176" s="554">
        <f>I176/13</f>
        <v>761</v>
      </c>
      <c r="BY176" s="619"/>
      <c r="BZ176" s="548"/>
      <c r="CA176" s="621"/>
      <c r="CB176" s="567"/>
      <c r="CC176" s="622"/>
      <c r="CD176" s="619"/>
      <c r="CE176" s="619"/>
      <c r="CF176" s="548"/>
      <c r="CG176" s="548"/>
      <c r="CU176" s="554">
        <f t="shared" si="35"/>
        <v>0</v>
      </c>
      <c r="CV176" s="554">
        <f t="shared" si="29"/>
        <v>0</v>
      </c>
      <c r="CW176" s="554">
        <f t="shared" si="30"/>
        <v>0</v>
      </c>
      <c r="CX176" s="619"/>
      <c r="CY176" s="619"/>
      <c r="CZ176" s="619"/>
      <c r="DA176" s="548"/>
      <c r="DB176" s="548"/>
      <c r="DC176" s="548"/>
      <c r="DD176" s="619"/>
      <c r="DE176" s="619"/>
      <c r="DF176" s="619"/>
      <c r="DG176" s="619"/>
      <c r="DH176" s="619"/>
    </row>
    <row r="177" s="548" customFormat="1" ht="31" customHeight="1" spans="1:112">
      <c r="A177" s="608">
        <v>45776</v>
      </c>
      <c r="B177" s="609" t="s">
        <v>1313</v>
      </c>
      <c r="C177" s="610" t="s">
        <v>170</v>
      </c>
      <c r="D177" s="554">
        <v>4500165392</v>
      </c>
      <c r="E177" s="610" t="s">
        <v>6480</v>
      </c>
      <c r="F177" s="554" t="s">
        <v>6481</v>
      </c>
      <c r="G177" s="610" t="s">
        <v>6166</v>
      </c>
      <c r="H177" s="610" t="s">
        <v>6094</v>
      </c>
      <c r="I177" s="610">
        <v>2327</v>
      </c>
      <c r="J177" s="610">
        <v>0</v>
      </c>
      <c r="K177" s="610">
        <v>13</v>
      </c>
      <c r="L177" s="611">
        <f t="shared" si="40"/>
        <v>179</v>
      </c>
      <c r="M177" s="612">
        <v>45824</v>
      </c>
      <c r="N177" s="612">
        <v>45820</v>
      </c>
      <c r="O177" s="613" t="s">
        <v>6482</v>
      </c>
      <c r="P177" s="613" t="s">
        <v>113</v>
      </c>
      <c r="Q177" s="610"/>
      <c r="R177" s="614">
        <v>45777</v>
      </c>
      <c r="S177" s="614" t="s">
        <v>70</v>
      </c>
      <c r="T177" s="614" t="s">
        <v>70</v>
      </c>
      <c r="U177" s="614"/>
      <c r="V177" s="614"/>
      <c r="W177" s="615"/>
      <c r="X177" s="609" t="s">
        <v>6483</v>
      </c>
      <c r="Y177" s="609" t="s">
        <v>1318</v>
      </c>
      <c r="Z177" s="609">
        <v>0.92</v>
      </c>
      <c r="AA177" s="616">
        <f t="shared" si="46"/>
        <v>2140.84</v>
      </c>
      <c r="AC177" s="629" t="s">
        <v>6484</v>
      </c>
      <c r="AD177" s="610" t="s">
        <v>6166</v>
      </c>
      <c r="AE177" s="610" t="s">
        <v>82</v>
      </c>
      <c r="AF177" s="610"/>
      <c r="AG177" s="610" t="s">
        <v>74</v>
      </c>
      <c r="AH177" s="610"/>
      <c r="AI177" s="610">
        <v>2327</v>
      </c>
      <c r="AJ177" s="610">
        <f t="shared" si="47"/>
        <v>0</v>
      </c>
      <c r="AK177" s="610"/>
      <c r="AL177" s="610"/>
      <c r="AM177" s="610"/>
      <c r="AN177" s="610">
        <f>I177</f>
        <v>2327</v>
      </c>
      <c r="AR177" s="619"/>
      <c r="AS177" s="554">
        <f>I177</f>
        <v>2327</v>
      </c>
      <c r="AU177" s="554">
        <f>I177</f>
        <v>2327</v>
      </c>
      <c r="AW177" s="619"/>
      <c r="AX177" s="548"/>
      <c r="AY177" s="548"/>
      <c r="AZ177" s="548"/>
      <c r="BA177" s="548"/>
      <c r="BB177" s="620">
        <f>I177/24</f>
        <v>96.9583333333333</v>
      </c>
      <c r="BL177" s="554">
        <f>I177/13</f>
        <v>179</v>
      </c>
      <c r="BY177" s="619"/>
      <c r="BZ177" s="548"/>
      <c r="CA177" s="621"/>
      <c r="CB177" s="567"/>
      <c r="CC177" s="622"/>
      <c r="CD177" s="619"/>
      <c r="CE177" s="619"/>
      <c r="CF177" s="548"/>
      <c r="CG177" s="548"/>
      <c r="CU177" s="554">
        <f t="shared" si="35"/>
        <v>0</v>
      </c>
      <c r="CV177" s="554">
        <f t="shared" si="29"/>
        <v>0</v>
      </c>
      <c r="CW177" s="554">
        <f t="shared" si="30"/>
        <v>0</v>
      </c>
      <c r="CX177" s="619"/>
      <c r="CY177" s="619"/>
      <c r="CZ177" s="619"/>
      <c r="DA177" s="548"/>
      <c r="DB177" s="548"/>
      <c r="DC177" s="548"/>
      <c r="DD177" s="619"/>
      <c r="DE177" s="619"/>
      <c r="DF177" s="619"/>
      <c r="DG177" s="619"/>
      <c r="DH177" s="619"/>
    </row>
    <row r="178" s="548" customFormat="1" ht="31" customHeight="1" spans="1:112">
      <c r="A178" s="608">
        <v>45790</v>
      </c>
      <c r="B178" s="609" t="s">
        <v>246</v>
      </c>
      <c r="C178" s="610" t="s">
        <v>98</v>
      </c>
      <c r="D178" s="554">
        <v>4500166249</v>
      </c>
      <c r="E178" s="610" t="s">
        <v>677</v>
      </c>
      <c r="F178" s="554" t="s">
        <v>6485</v>
      </c>
      <c r="G178" s="610" t="s">
        <v>6084</v>
      </c>
      <c r="H178" s="610" t="s">
        <v>6069</v>
      </c>
      <c r="I178" s="610">
        <v>15150</v>
      </c>
      <c r="J178" s="610">
        <v>0</v>
      </c>
      <c r="K178" s="610">
        <v>25</v>
      </c>
      <c r="L178" s="611">
        <f t="shared" si="40"/>
        <v>606</v>
      </c>
      <c r="M178" s="612">
        <v>45824</v>
      </c>
      <c r="N178" s="612">
        <v>45820</v>
      </c>
      <c r="O178" s="613"/>
      <c r="P178" s="613" t="s">
        <v>113</v>
      </c>
      <c r="Q178" s="610"/>
      <c r="R178" s="614">
        <v>45793</v>
      </c>
      <c r="S178" s="614" t="s">
        <v>104</v>
      </c>
      <c r="T178" s="614">
        <v>45807</v>
      </c>
      <c r="U178" s="614"/>
      <c r="V178" s="614"/>
      <c r="W178" s="615"/>
      <c r="X178" s="609" t="s">
        <v>6486</v>
      </c>
      <c r="Y178" s="609" t="s">
        <v>252</v>
      </c>
      <c r="Z178" s="609">
        <v>0.564</v>
      </c>
      <c r="AA178" s="616">
        <f t="shared" si="46"/>
        <v>8544.6</v>
      </c>
      <c r="AC178" s="617"/>
      <c r="AD178" s="610" t="s">
        <v>6084</v>
      </c>
      <c r="AE178" s="610" t="s">
        <v>82</v>
      </c>
      <c r="AF178" s="610"/>
      <c r="AG178" s="610" t="s">
        <v>74</v>
      </c>
      <c r="AH178" s="610"/>
      <c r="AI178" s="610">
        <f>12375+2775</f>
        <v>15150</v>
      </c>
      <c r="AJ178" s="610">
        <f t="shared" si="47"/>
        <v>0</v>
      </c>
      <c r="AK178" s="610"/>
      <c r="AL178" s="610"/>
      <c r="AM178" s="610"/>
      <c r="AN178" s="610">
        <f>I178</f>
        <v>15150</v>
      </c>
      <c r="AP178" s="554">
        <f>I178</f>
        <v>15150</v>
      </c>
      <c r="AR178" s="619"/>
      <c r="AS178" s="548"/>
      <c r="AT178" s="548"/>
      <c r="AU178" s="554">
        <f>I178</f>
        <v>15150</v>
      </c>
      <c r="AW178" s="619"/>
      <c r="AX178" s="548"/>
      <c r="AY178" s="548"/>
      <c r="AZ178" s="548"/>
      <c r="BA178" s="548"/>
      <c r="BB178" s="620">
        <f>I178/48</f>
        <v>315.625</v>
      </c>
      <c r="BN178" s="554">
        <f>I178/25</f>
        <v>606</v>
      </c>
      <c r="BY178" s="619"/>
      <c r="BZ178" s="548"/>
      <c r="CA178" s="621"/>
      <c r="CB178" s="567"/>
      <c r="CC178" s="622"/>
      <c r="CD178" s="619"/>
      <c r="CE178" s="619"/>
      <c r="CF178" s="548"/>
      <c r="CG178" s="548"/>
      <c r="CU178" s="554">
        <f t="shared" si="35"/>
        <v>606</v>
      </c>
      <c r="CV178" s="554">
        <f t="shared" si="29"/>
        <v>0</v>
      </c>
      <c r="CW178" s="554">
        <f t="shared" si="30"/>
        <v>0</v>
      </c>
      <c r="CX178" s="619"/>
      <c r="CY178" s="619"/>
      <c r="CZ178" s="619"/>
      <c r="DA178" s="548"/>
      <c r="DB178" s="548"/>
      <c r="DC178" s="548"/>
      <c r="DD178" s="619"/>
      <c r="DE178" s="619"/>
      <c r="DF178" s="619"/>
      <c r="DG178" s="619"/>
      <c r="DH178" s="619"/>
    </row>
    <row r="179" s="548" customFormat="1" ht="31" customHeight="1" spans="1:112">
      <c r="A179" s="608">
        <v>45790</v>
      </c>
      <c r="B179" s="609" t="s">
        <v>246</v>
      </c>
      <c r="C179" s="610" t="s">
        <v>98</v>
      </c>
      <c r="D179" s="554">
        <v>4500166259</v>
      </c>
      <c r="E179" s="610" t="s">
        <v>673</v>
      </c>
      <c r="F179" s="554" t="s">
        <v>6487</v>
      </c>
      <c r="G179" s="610" t="s">
        <v>6084</v>
      </c>
      <c r="H179" s="610" t="s">
        <v>6069</v>
      </c>
      <c r="I179" s="610">
        <v>20875</v>
      </c>
      <c r="J179" s="610">
        <v>0</v>
      </c>
      <c r="K179" s="610">
        <v>25</v>
      </c>
      <c r="L179" s="611">
        <f t="shared" si="40"/>
        <v>835</v>
      </c>
      <c r="M179" s="612">
        <v>45824</v>
      </c>
      <c r="N179" s="612">
        <v>45820</v>
      </c>
      <c r="O179" s="613"/>
      <c r="P179" s="613" t="s">
        <v>113</v>
      </c>
      <c r="Q179" s="610"/>
      <c r="R179" s="614">
        <v>45796</v>
      </c>
      <c r="S179" s="614" t="s">
        <v>104</v>
      </c>
      <c r="T179" s="614">
        <v>45800</v>
      </c>
      <c r="U179" s="614"/>
      <c r="V179" s="614"/>
      <c r="W179" s="615"/>
      <c r="X179" s="609" t="s">
        <v>6488</v>
      </c>
      <c r="Y179" s="609" t="s">
        <v>252</v>
      </c>
      <c r="Z179" s="609">
        <v>0.564</v>
      </c>
      <c r="AA179" s="616">
        <f t="shared" si="46"/>
        <v>11773.5</v>
      </c>
      <c r="AC179" s="617"/>
      <c r="AD179" s="610" t="s">
        <v>6084</v>
      </c>
      <c r="AE179" s="610" t="s">
        <v>82</v>
      </c>
      <c r="AF179" s="610"/>
      <c r="AG179" s="610" t="s">
        <v>74</v>
      </c>
      <c r="AH179" s="610"/>
      <c r="AI179" s="610">
        <f>20850+25</f>
        <v>20875</v>
      </c>
      <c r="AJ179" s="610">
        <f t="shared" si="47"/>
        <v>0</v>
      </c>
      <c r="AK179" s="610"/>
      <c r="AL179" s="610"/>
      <c r="AM179" s="610"/>
      <c r="AN179" s="610">
        <f>I179</f>
        <v>20875</v>
      </c>
      <c r="AP179" s="554">
        <f>I179</f>
        <v>20875</v>
      </c>
      <c r="AR179" s="619"/>
      <c r="AS179" s="548"/>
      <c r="AT179" s="548"/>
      <c r="AU179" s="554">
        <f>I179</f>
        <v>20875</v>
      </c>
      <c r="AW179" s="619"/>
      <c r="AX179" s="548"/>
      <c r="AY179" s="548"/>
      <c r="AZ179" s="548"/>
      <c r="BA179" s="548"/>
      <c r="BB179" s="620">
        <f>I179/48</f>
        <v>434.895833333333</v>
      </c>
      <c r="BN179" s="554">
        <f>I179/25</f>
        <v>835</v>
      </c>
      <c r="BY179" s="619"/>
      <c r="BZ179" s="548"/>
      <c r="CA179" s="621"/>
      <c r="CB179" s="567"/>
      <c r="CC179" s="622"/>
      <c r="CD179" s="619"/>
      <c r="CE179" s="619"/>
      <c r="CF179" s="548"/>
      <c r="CG179" s="548"/>
      <c r="CU179" s="554">
        <f t="shared" si="35"/>
        <v>835</v>
      </c>
      <c r="CV179" s="554">
        <f t="shared" si="29"/>
        <v>0</v>
      </c>
      <c r="CW179" s="554">
        <f t="shared" si="30"/>
        <v>0</v>
      </c>
      <c r="CX179" s="619"/>
      <c r="CY179" s="619"/>
      <c r="CZ179" s="619"/>
      <c r="DA179" s="548"/>
      <c r="DB179" s="548"/>
      <c r="DC179" s="548"/>
      <c r="DD179" s="619"/>
      <c r="DE179" s="619"/>
      <c r="DF179" s="619"/>
      <c r="DG179" s="619"/>
      <c r="DH179" s="619"/>
    </row>
    <row r="180" s="548" customFormat="1" ht="31" customHeight="1" spans="1:112">
      <c r="A180" s="608">
        <v>45790</v>
      </c>
      <c r="B180" s="609" t="s">
        <v>246</v>
      </c>
      <c r="C180" s="610" t="s">
        <v>98</v>
      </c>
      <c r="D180" s="554">
        <v>4500166234</v>
      </c>
      <c r="E180" s="610" t="s">
        <v>6489</v>
      </c>
      <c r="F180" s="554" t="s">
        <v>6490</v>
      </c>
      <c r="G180" s="610" t="s">
        <v>6084</v>
      </c>
      <c r="H180" s="610" t="s">
        <v>6069</v>
      </c>
      <c r="I180" s="610">
        <v>17400</v>
      </c>
      <c r="J180" s="610">
        <v>0</v>
      </c>
      <c r="K180" s="610">
        <v>25</v>
      </c>
      <c r="L180" s="611">
        <f t="shared" si="40"/>
        <v>696</v>
      </c>
      <c r="M180" s="612">
        <v>45826</v>
      </c>
      <c r="N180" s="612">
        <v>45822</v>
      </c>
      <c r="O180" s="613"/>
      <c r="P180" s="613" t="s">
        <v>113</v>
      </c>
      <c r="Q180" s="610"/>
      <c r="R180" s="614">
        <v>45793</v>
      </c>
      <c r="S180" s="614" t="s">
        <v>104</v>
      </c>
      <c r="T180" s="614">
        <v>45807</v>
      </c>
      <c r="U180" s="614"/>
      <c r="V180" s="614"/>
      <c r="W180" s="615"/>
      <c r="X180" s="609" t="s">
        <v>6491</v>
      </c>
      <c r="Y180" s="609" t="s">
        <v>252</v>
      </c>
      <c r="Z180" s="609">
        <v>0.564</v>
      </c>
      <c r="AA180" s="616">
        <f t="shared" si="46"/>
        <v>9813.6</v>
      </c>
      <c r="AC180" s="617"/>
      <c r="AD180" s="610" t="s">
        <v>6084</v>
      </c>
      <c r="AE180" s="610" t="s">
        <v>82</v>
      </c>
      <c r="AF180" s="610"/>
      <c r="AG180" s="610" t="s">
        <v>74</v>
      </c>
      <c r="AH180" s="610"/>
      <c r="AI180" s="610">
        <v>17400</v>
      </c>
      <c r="AJ180" s="610">
        <f t="shared" si="47"/>
        <v>0</v>
      </c>
      <c r="AK180" s="610"/>
      <c r="AL180" s="610"/>
      <c r="AM180" s="610"/>
      <c r="AN180" s="610">
        <f>I180</f>
        <v>17400</v>
      </c>
      <c r="AP180" s="554">
        <f>I180</f>
        <v>17400</v>
      </c>
      <c r="AR180" s="619"/>
      <c r="AS180" s="548"/>
      <c r="AT180" s="548"/>
      <c r="AU180" s="554">
        <f>I180</f>
        <v>17400</v>
      </c>
      <c r="AW180" s="619"/>
      <c r="AX180" s="548"/>
      <c r="AY180" s="548"/>
      <c r="AZ180" s="548"/>
      <c r="BA180" s="548"/>
      <c r="BB180" s="620">
        <f>I180/48</f>
        <v>362.5</v>
      </c>
      <c r="BN180" s="554">
        <f>I180/25</f>
        <v>696</v>
      </c>
      <c r="BY180" s="619"/>
      <c r="BZ180" s="548"/>
      <c r="CA180" s="621"/>
      <c r="CB180" s="567"/>
      <c r="CC180" s="622"/>
      <c r="CD180" s="619"/>
      <c r="CE180" s="619"/>
      <c r="CF180" s="548"/>
      <c r="CG180" s="548"/>
      <c r="CU180" s="554">
        <f t="shared" si="35"/>
        <v>696</v>
      </c>
      <c r="CV180" s="554">
        <f t="shared" si="29"/>
        <v>0</v>
      </c>
      <c r="CW180" s="554">
        <f t="shared" si="30"/>
        <v>0</v>
      </c>
      <c r="CX180" s="619"/>
      <c r="CY180" s="619"/>
      <c r="CZ180" s="619"/>
      <c r="DA180" s="548"/>
      <c r="DB180" s="548"/>
      <c r="DC180" s="548"/>
      <c r="DD180" s="619"/>
      <c r="DE180" s="619"/>
      <c r="DF180" s="619"/>
      <c r="DG180" s="619"/>
      <c r="DH180" s="619"/>
    </row>
    <row r="181" s="548" customFormat="1" ht="31" customHeight="1" spans="1:112">
      <c r="A181" s="608">
        <v>45818</v>
      </c>
      <c r="B181" s="609"/>
      <c r="C181" s="610"/>
      <c r="D181" s="554" t="s">
        <v>647</v>
      </c>
      <c r="E181" s="610"/>
      <c r="F181" s="548"/>
      <c r="G181" s="610" t="s">
        <v>6032</v>
      </c>
      <c r="H181" s="610" t="s">
        <v>6033</v>
      </c>
      <c r="I181" s="610">
        <v>26</v>
      </c>
      <c r="J181" s="610">
        <v>0</v>
      </c>
      <c r="K181" s="610">
        <v>13</v>
      </c>
      <c r="L181" s="611">
        <f t="shared" si="40"/>
        <v>2</v>
      </c>
      <c r="M181" s="612">
        <v>45821</v>
      </c>
      <c r="N181" s="612">
        <v>45817</v>
      </c>
      <c r="O181" s="613"/>
      <c r="P181" s="613"/>
      <c r="Q181" s="610"/>
      <c r="R181" s="614" t="s">
        <v>70</v>
      </c>
      <c r="S181" s="614" t="s">
        <v>70</v>
      </c>
      <c r="T181" s="614" t="s">
        <v>70</v>
      </c>
      <c r="U181" s="614"/>
      <c r="V181" s="614"/>
      <c r="W181" s="615"/>
      <c r="X181" s="609" t="s">
        <v>6492</v>
      </c>
      <c r="Y181" s="609" t="s">
        <v>92</v>
      </c>
      <c r="Z181" s="609"/>
      <c r="AA181" s="616"/>
      <c r="AC181" s="617" t="s">
        <v>649</v>
      </c>
      <c r="AD181" s="610" t="s">
        <v>73</v>
      </c>
      <c r="AE181" s="610" t="s">
        <v>73</v>
      </c>
      <c r="AF181" s="610"/>
      <c r="AG181" s="610" t="s">
        <v>74</v>
      </c>
      <c r="AH181" s="610"/>
      <c r="AI181" s="610">
        <v>26</v>
      </c>
      <c r="AJ181" s="610">
        <f t="shared" si="47"/>
        <v>0</v>
      </c>
      <c r="AK181" s="610"/>
      <c r="AL181" s="610"/>
      <c r="AM181" s="610"/>
      <c r="AN181" s="610">
        <f>I181</f>
        <v>26</v>
      </c>
      <c r="AP181" s="554">
        <f>I181</f>
        <v>26</v>
      </c>
      <c r="AR181" s="619"/>
      <c r="AS181" s="548"/>
      <c r="AT181" s="548"/>
      <c r="AU181" s="554">
        <f>I181</f>
        <v>26</v>
      </c>
      <c r="AW181" s="619"/>
      <c r="AX181" s="548"/>
      <c r="AY181" s="548"/>
      <c r="AZ181" s="548"/>
      <c r="BA181" s="548"/>
      <c r="BB181" s="620">
        <f>I181/48</f>
        <v>0.541666666666667</v>
      </c>
      <c r="BK181" s="554">
        <f>I181/13</f>
        <v>2</v>
      </c>
      <c r="BY181" s="619"/>
      <c r="BZ181" s="548"/>
      <c r="CA181" s="621"/>
      <c r="CB181" s="567"/>
      <c r="CC181" s="622"/>
      <c r="CD181" s="619"/>
      <c r="CE181" s="619"/>
      <c r="CF181" s="548"/>
      <c r="CG181" s="548"/>
      <c r="CU181" s="554">
        <f t="shared" si="35"/>
        <v>0</v>
      </c>
      <c r="CV181" s="554">
        <f t="shared" si="29"/>
        <v>0</v>
      </c>
      <c r="CW181" s="554">
        <f t="shared" si="30"/>
        <v>0</v>
      </c>
      <c r="CX181" s="619"/>
      <c r="CY181" s="619"/>
      <c r="CZ181" s="619"/>
      <c r="DA181" s="548"/>
      <c r="DB181" s="548"/>
      <c r="DC181" s="548"/>
      <c r="DD181" s="619"/>
      <c r="DE181" s="619"/>
      <c r="DF181" s="619"/>
      <c r="DG181" s="619"/>
      <c r="DH181" s="619"/>
    </row>
    <row r="182" s="548" customFormat="1" ht="31" customHeight="1" spans="1:112">
      <c r="A182" s="608">
        <v>45817</v>
      </c>
      <c r="B182" s="609"/>
      <c r="C182" s="610"/>
      <c r="D182" s="554" t="s">
        <v>6493</v>
      </c>
      <c r="E182" s="610"/>
      <c r="F182" s="548"/>
      <c r="G182" s="610" t="s">
        <v>6494</v>
      </c>
      <c r="H182" s="610" t="s">
        <v>6080</v>
      </c>
      <c r="I182" s="610" t="s">
        <v>6495</v>
      </c>
      <c r="J182" s="610">
        <v>0</v>
      </c>
      <c r="K182" s="610">
        <v>60</v>
      </c>
      <c r="L182" s="611"/>
      <c r="M182" s="612">
        <v>45821</v>
      </c>
      <c r="N182" s="612">
        <v>45817</v>
      </c>
      <c r="O182" s="613"/>
      <c r="P182" s="613"/>
      <c r="Q182" s="610"/>
      <c r="R182" s="614" t="s">
        <v>70</v>
      </c>
      <c r="S182" s="614" t="s">
        <v>70</v>
      </c>
      <c r="T182" s="614" t="s">
        <v>70</v>
      </c>
      <c r="U182" s="614"/>
      <c r="V182" s="614"/>
      <c r="W182" s="615"/>
      <c r="X182" s="609" t="s">
        <v>6496</v>
      </c>
      <c r="Y182" s="609" t="s">
        <v>92</v>
      </c>
      <c r="Z182" s="609"/>
      <c r="AA182" s="616"/>
      <c r="AC182" s="617" t="s">
        <v>6497</v>
      </c>
      <c r="AD182" s="610" t="s">
        <v>73</v>
      </c>
      <c r="AE182" s="610" t="s">
        <v>73</v>
      </c>
      <c r="AF182" s="610"/>
      <c r="AG182" s="610" t="s">
        <v>74</v>
      </c>
      <c r="AH182" s="610"/>
      <c r="AI182" s="610"/>
      <c r="AJ182" s="610" t="e">
        <f t="shared" si="47"/>
        <v>#VALUE!</v>
      </c>
      <c r="AK182" s="610"/>
      <c r="AL182" s="610"/>
      <c r="AM182" s="610"/>
      <c r="AN182" s="610"/>
      <c r="AO182" s="548"/>
      <c r="AP182" s="548"/>
      <c r="AQ182" s="548"/>
      <c r="AR182" s="619"/>
      <c r="AS182" s="548"/>
      <c r="AT182" s="548"/>
      <c r="AU182" s="548"/>
      <c r="AV182" s="548"/>
      <c r="AW182" s="619"/>
      <c r="AX182" s="548"/>
      <c r="AY182" s="548"/>
      <c r="AZ182" s="548"/>
      <c r="BA182" s="548"/>
      <c r="BB182" s="620"/>
      <c r="BC182" s="548"/>
      <c r="BD182" s="548"/>
      <c r="BE182" s="548"/>
      <c r="BF182" s="548"/>
      <c r="BY182" s="619"/>
      <c r="BZ182" s="548"/>
      <c r="CA182" s="621"/>
      <c r="CB182" s="567"/>
      <c r="CC182" s="622"/>
      <c r="CD182" s="619"/>
      <c r="CE182" s="619"/>
      <c r="CF182" s="548"/>
      <c r="CG182" s="548"/>
      <c r="CU182" s="554">
        <f t="shared" si="35"/>
        <v>0</v>
      </c>
      <c r="CV182" s="554">
        <f t="shared" si="29"/>
        <v>0</v>
      </c>
      <c r="CW182" s="554">
        <f t="shared" si="30"/>
        <v>0</v>
      </c>
      <c r="CX182" s="619"/>
      <c r="CY182" s="619"/>
      <c r="CZ182" s="619"/>
      <c r="DA182" s="548"/>
      <c r="DB182" s="548"/>
      <c r="DC182" s="548"/>
      <c r="DD182" s="619"/>
      <c r="DE182" s="619"/>
      <c r="DF182" s="619"/>
      <c r="DG182" s="619"/>
      <c r="DH182" s="619"/>
    </row>
    <row r="183" s="548" customFormat="1" ht="31" customHeight="1" spans="1:112">
      <c r="A183" s="608">
        <v>45740</v>
      </c>
      <c r="B183" s="609" t="s">
        <v>3577</v>
      </c>
      <c r="C183" s="610" t="s">
        <v>170</v>
      </c>
      <c r="D183" s="554">
        <v>4500160810</v>
      </c>
      <c r="E183" s="610">
        <v>9900924255</v>
      </c>
      <c r="F183" s="554" t="s">
        <v>6498</v>
      </c>
      <c r="G183" s="610" t="s">
        <v>6084</v>
      </c>
      <c r="H183" s="610" t="s">
        <v>6069</v>
      </c>
      <c r="I183" s="610">
        <v>8450</v>
      </c>
      <c r="J183" s="610">
        <v>0</v>
      </c>
      <c r="K183" s="610">
        <v>25</v>
      </c>
      <c r="L183" s="611">
        <f t="shared" si="40"/>
        <v>338</v>
      </c>
      <c r="M183" s="612">
        <v>45821</v>
      </c>
      <c r="N183" s="612">
        <v>45817</v>
      </c>
      <c r="O183" s="613"/>
      <c r="P183" s="613" t="s">
        <v>113</v>
      </c>
      <c r="Q183" s="610"/>
      <c r="R183" s="614">
        <v>45784</v>
      </c>
      <c r="S183" s="614" t="s">
        <v>70</v>
      </c>
      <c r="T183" s="614" t="s">
        <v>70</v>
      </c>
      <c r="U183" s="614"/>
      <c r="V183" s="614"/>
      <c r="W183" s="615"/>
      <c r="X183" s="609" t="s">
        <v>6499</v>
      </c>
      <c r="Y183" s="609" t="s">
        <v>175</v>
      </c>
      <c r="Z183" s="609">
        <v>1.65</v>
      </c>
      <c r="AA183" s="616">
        <f t="shared" ref="AA183:AA202" si="48">Z183*I183</f>
        <v>13942.5</v>
      </c>
      <c r="AC183" s="617" t="s">
        <v>6500</v>
      </c>
      <c r="AD183" s="610" t="s">
        <v>6089</v>
      </c>
      <c r="AE183" s="610" t="s">
        <v>82</v>
      </c>
      <c r="AF183" s="610"/>
      <c r="AG183" s="610" t="s">
        <v>74</v>
      </c>
      <c r="AH183" s="610"/>
      <c r="AI183" s="610">
        <v>8450</v>
      </c>
      <c r="AJ183" s="610">
        <f t="shared" si="47"/>
        <v>0</v>
      </c>
      <c r="AK183" s="610"/>
      <c r="AL183" s="610"/>
      <c r="AM183" s="610"/>
      <c r="AN183" s="610">
        <f>I183</f>
        <v>8450</v>
      </c>
      <c r="AR183" s="619"/>
      <c r="AS183" s="554">
        <f>I183</f>
        <v>8450</v>
      </c>
      <c r="AU183" s="554">
        <f>I183</f>
        <v>8450</v>
      </c>
      <c r="AW183" s="619"/>
      <c r="AX183" s="548"/>
      <c r="AY183" s="548"/>
      <c r="AZ183" s="548"/>
      <c r="BA183" s="548"/>
      <c r="BB183" s="620">
        <f>I183/24</f>
        <v>352.083333333333</v>
      </c>
      <c r="BO183" s="554">
        <f>I183/25</f>
        <v>338</v>
      </c>
      <c r="BY183" s="619"/>
      <c r="BZ183" s="548"/>
      <c r="CA183" s="621"/>
      <c r="CB183" s="567"/>
      <c r="CC183" s="622"/>
      <c r="CD183" s="619"/>
      <c r="CE183" s="619"/>
      <c r="CF183" s="548"/>
      <c r="CG183" s="548"/>
      <c r="CU183" s="554">
        <f t="shared" si="35"/>
        <v>338</v>
      </c>
      <c r="CV183" s="554">
        <f t="shared" si="29"/>
        <v>0</v>
      </c>
      <c r="CW183" s="554">
        <f t="shared" si="30"/>
        <v>0</v>
      </c>
      <c r="CX183" s="619"/>
      <c r="CY183" s="619"/>
      <c r="CZ183" s="619"/>
      <c r="DA183" s="548"/>
      <c r="DB183" s="548"/>
      <c r="DC183" s="548"/>
      <c r="DD183" s="619"/>
      <c r="DE183" s="619"/>
      <c r="DF183" s="619"/>
      <c r="DG183" s="619"/>
      <c r="DH183" s="619"/>
    </row>
    <row r="184" s="548" customFormat="1" ht="31" customHeight="1" spans="1:112">
      <c r="A184" s="608">
        <v>45768</v>
      </c>
      <c r="B184" s="609" t="s">
        <v>634</v>
      </c>
      <c r="C184" s="610" t="s">
        <v>469</v>
      </c>
      <c r="D184" s="554">
        <v>4500164022</v>
      </c>
      <c r="E184" s="610">
        <v>4500152584</v>
      </c>
      <c r="F184" s="554" t="s">
        <v>6501</v>
      </c>
      <c r="G184" s="610" t="s">
        <v>6043</v>
      </c>
      <c r="H184" s="610" t="s">
        <v>6110</v>
      </c>
      <c r="I184" s="610">
        <v>6250</v>
      </c>
      <c r="J184" s="610">
        <v>0</v>
      </c>
      <c r="K184" s="610">
        <v>50</v>
      </c>
      <c r="L184" s="611">
        <f t="shared" si="40"/>
        <v>125</v>
      </c>
      <c r="M184" s="612">
        <v>45822</v>
      </c>
      <c r="N184" s="612">
        <v>45818</v>
      </c>
      <c r="O184" s="613"/>
      <c r="P184" s="613" t="s">
        <v>113</v>
      </c>
      <c r="Q184" s="610" t="s">
        <v>636</v>
      </c>
      <c r="R184" s="614">
        <v>45768</v>
      </c>
      <c r="S184" s="614" t="s">
        <v>70</v>
      </c>
      <c r="T184" s="614" t="s">
        <v>6502</v>
      </c>
      <c r="U184" s="614"/>
      <c r="V184" s="614"/>
      <c r="W184" s="615"/>
      <c r="X184" s="609" t="s">
        <v>6503</v>
      </c>
      <c r="Y184" s="609" t="s">
        <v>4065</v>
      </c>
      <c r="Z184" s="609">
        <v>0.95</v>
      </c>
      <c r="AA184" s="616">
        <f t="shared" si="48"/>
        <v>5937.5</v>
      </c>
      <c r="AC184" s="629" t="s">
        <v>639</v>
      </c>
      <c r="AD184" s="610" t="s">
        <v>6504</v>
      </c>
      <c r="AE184" s="610" t="s">
        <v>82</v>
      </c>
      <c r="AF184" s="610"/>
      <c r="AG184" s="610" t="s">
        <v>74</v>
      </c>
      <c r="AH184" s="610"/>
      <c r="AI184" s="610">
        <f>50+6200</f>
        <v>6250</v>
      </c>
      <c r="AJ184" s="610">
        <f t="shared" si="47"/>
        <v>0</v>
      </c>
      <c r="AK184" s="610"/>
      <c r="AL184" s="610"/>
      <c r="AM184" s="610"/>
      <c r="AN184" s="610"/>
      <c r="AO184" s="554">
        <f>I184</f>
        <v>6250</v>
      </c>
      <c r="AR184" s="619"/>
      <c r="AS184" s="548"/>
      <c r="AT184" s="548"/>
      <c r="AU184" s="548"/>
      <c r="AV184" s="554">
        <f>I184</f>
        <v>6250</v>
      </c>
      <c r="AW184" s="619"/>
      <c r="AX184" s="548"/>
      <c r="AY184" s="548"/>
      <c r="AZ184" s="548"/>
      <c r="BA184" s="548"/>
      <c r="BB184" s="620">
        <f>I184/24</f>
        <v>260.416666666667</v>
      </c>
      <c r="BE184" s="554">
        <f>I184</f>
        <v>6250</v>
      </c>
      <c r="BP184" s="554">
        <f>I184/25</f>
        <v>250</v>
      </c>
      <c r="BY184" s="619"/>
      <c r="BZ184" s="548"/>
      <c r="CA184" s="621"/>
      <c r="CB184" s="567"/>
      <c r="CC184" s="622"/>
      <c r="CD184" s="619"/>
      <c r="CE184" s="619"/>
      <c r="CF184" s="548"/>
      <c r="CG184" s="548"/>
      <c r="CU184" s="554">
        <f t="shared" si="35"/>
        <v>250</v>
      </c>
      <c r="CV184" s="554">
        <f t="shared" si="29"/>
        <v>0</v>
      </c>
      <c r="CW184" s="554">
        <f t="shared" si="30"/>
        <v>0</v>
      </c>
      <c r="CX184" s="619"/>
      <c r="CY184" s="619"/>
      <c r="CZ184" s="619"/>
      <c r="DA184" s="548"/>
      <c r="DB184" s="548"/>
      <c r="DC184" s="548"/>
      <c r="DD184" s="619"/>
      <c r="DE184" s="619"/>
      <c r="DF184" s="619"/>
      <c r="DG184" s="619"/>
      <c r="DH184" s="619"/>
    </row>
    <row r="185" s="548" customFormat="1" ht="31" customHeight="1" spans="1:112">
      <c r="A185" s="608">
        <v>45777</v>
      </c>
      <c r="B185" s="609" t="s">
        <v>6505</v>
      </c>
      <c r="C185" s="610" t="s">
        <v>641</v>
      </c>
      <c r="D185" s="554">
        <v>4500165525</v>
      </c>
      <c r="E185" s="610"/>
      <c r="F185" s="554" t="s">
        <v>6506</v>
      </c>
      <c r="G185" s="610" t="s">
        <v>6040</v>
      </c>
      <c r="H185" s="610" t="s">
        <v>6041</v>
      </c>
      <c r="I185" s="610">
        <v>3328</v>
      </c>
      <c r="J185" s="610">
        <v>0</v>
      </c>
      <c r="K185" s="610">
        <v>52</v>
      </c>
      <c r="L185" s="611">
        <f t="shared" si="40"/>
        <v>64</v>
      </c>
      <c r="M185" s="612">
        <v>45823</v>
      </c>
      <c r="N185" s="612">
        <v>45819</v>
      </c>
      <c r="O185" s="613"/>
      <c r="P185" s="613" t="s">
        <v>113</v>
      </c>
      <c r="Q185" s="610" t="s">
        <v>643</v>
      </c>
      <c r="R185" s="614">
        <v>45792</v>
      </c>
      <c r="S185" s="614" t="s">
        <v>70</v>
      </c>
      <c r="T185" s="614">
        <v>45792</v>
      </c>
      <c r="U185" s="614"/>
      <c r="V185" s="614"/>
      <c r="W185" s="615"/>
      <c r="X185" s="628" t="s">
        <v>6507</v>
      </c>
      <c r="Y185" s="609" t="s">
        <v>615</v>
      </c>
      <c r="Z185" s="609">
        <v>0.92</v>
      </c>
      <c r="AA185" s="616">
        <f t="shared" si="48"/>
        <v>3061.76</v>
      </c>
      <c r="AC185" s="629" t="s">
        <v>646</v>
      </c>
      <c r="AD185" s="610" t="s">
        <v>6040</v>
      </c>
      <c r="AE185" s="610" t="s">
        <v>82</v>
      </c>
      <c r="AF185" s="610"/>
      <c r="AG185" s="610" t="s">
        <v>74</v>
      </c>
      <c r="AH185" s="610"/>
      <c r="AI185" s="610">
        <v>3328</v>
      </c>
      <c r="AJ185" s="610">
        <f t="shared" si="47"/>
        <v>0</v>
      </c>
      <c r="AK185" s="610"/>
      <c r="AL185" s="610"/>
      <c r="AM185" s="610"/>
      <c r="AN185" s="610"/>
      <c r="AO185" s="554">
        <f>I185</f>
        <v>3328</v>
      </c>
      <c r="AR185" s="619"/>
      <c r="AS185" s="548"/>
      <c r="AT185" s="554">
        <f>I185</f>
        <v>3328</v>
      </c>
      <c r="AV185" s="554">
        <f>I185</f>
        <v>3328</v>
      </c>
      <c r="AW185" s="619"/>
      <c r="AX185" s="548"/>
      <c r="AY185" s="548"/>
      <c r="AZ185" s="548"/>
      <c r="BA185" s="548"/>
      <c r="BB185" s="620">
        <f>I185/24</f>
        <v>138.666666666667</v>
      </c>
      <c r="BM185" s="554">
        <f>I185/13</f>
        <v>256</v>
      </c>
      <c r="BY185" s="619"/>
      <c r="BZ185" s="548"/>
      <c r="CA185" s="621"/>
      <c r="CB185" s="567"/>
      <c r="CC185" s="622"/>
      <c r="CD185" s="619"/>
      <c r="CE185" s="619"/>
      <c r="CF185" s="548"/>
      <c r="CG185" s="548"/>
      <c r="CU185" s="554">
        <f t="shared" si="35"/>
        <v>0</v>
      </c>
      <c r="CV185" s="554">
        <f t="shared" si="29"/>
        <v>0</v>
      </c>
      <c r="CW185" s="554">
        <f t="shared" si="30"/>
        <v>0</v>
      </c>
      <c r="CX185" s="619"/>
      <c r="CY185" s="619"/>
      <c r="CZ185" s="619"/>
      <c r="DA185" s="548"/>
      <c r="DB185" s="548"/>
      <c r="DC185" s="548"/>
      <c r="DD185" s="619"/>
      <c r="DE185" s="619"/>
      <c r="DF185" s="619"/>
      <c r="DG185" s="619"/>
      <c r="DH185" s="619"/>
    </row>
    <row r="186" s="548" customFormat="1" ht="31" customHeight="1" spans="1:112">
      <c r="A186" s="608">
        <v>45783</v>
      </c>
      <c r="B186" s="609" t="s">
        <v>135</v>
      </c>
      <c r="C186" s="610" t="s">
        <v>128</v>
      </c>
      <c r="D186" s="554">
        <v>4500165566</v>
      </c>
      <c r="E186" s="610">
        <v>20811642</v>
      </c>
      <c r="F186" s="554" t="s">
        <v>6508</v>
      </c>
      <c r="G186" s="610" t="s">
        <v>6093</v>
      </c>
      <c r="H186" s="610" t="s">
        <v>6094</v>
      </c>
      <c r="I186" s="610">
        <v>1508</v>
      </c>
      <c r="J186" s="610">
        <v>0</v>
      </c>
      <c r="K186" s="610">
        <v>13</v>
      </c>
      <c r="L186" s="611">
        <f t="shared" si="40"/>
        <v>116</v>
      </c>
      <c r="M186" s="612">
        <v>45824</v>
      </c>
      <c r="N186" s="612">
        <v>45820</v>
      </c>
      <c r="O186" s="613"/>
      <c r="P186" s="613" t="s">
        <v>113</v>
      </c>
      <c r="Q186" s="610"/>
      <c r="R186" s="614">
        <v>45793</v>
      </c>
      <c r="S186" s="614" t="s">
        <v>104</v>
      </c>
      <c r="T186" s="614">
        <v>45803</v>
      </c>
      <c r="U186" s="614"/>
      <c r="V186" s="614"/>
      <c r="W186" s="615"/>
      <c r="X186" s="609" t="s">
        <v>6509</v>
      </c>
      <c r="Y186" s="609" t="s">
        <v>133</v>
      </c>
      <c r="Z186" s="609">
        <v>0.95</v>
      </c>
      <c r="AA186" s="616">
        <f t="shared" si="48"/>
        <v>1432.6</v>
      </c>
      <c r="AC186" s="629" t="s">
        <v>6510</v>
      </c>
      <c r="AD186" s="610" t="s">
        <v>6093</v>
      </c>
      <c r="AE186" s="610" t="s">
        <v>82</v>
      </c>
      <c r="AF186" s="610"/>
      <c r="AG186" s="610" t="s">
        <v>74</v>
      </c>
      <c r="AH186" s="610"/>
      <c r="AI186" s="610">
        <v>1508</v>
      </c>
      <c r="AJ186" s="610">
        <f t="shared" si="47"/>
        <v>0</v>
      </c>
      <c r="AK186" s="610"/>
      <c r="AL186" s="610"/>
      <c r="AM186" s="610"/>
      <c r="AN186" s="610"/>
      <c r="AO186" s="554">
        <f>I186</f>
        <v>1508</v>
      </c>
      <c r="AR186" s="619"/>
      <c r="AS186" s="548"/>
      <c r="AT186" s="554">
        <f>I186</f>
        <v>1508</v>
      </c>
      <c r="AV186" s="554">
        <f>I186</f>
        <v>1508</v>
      </c>
      <c r="AW186" s="619"/>
      <c r="AX186" s="548"/>
      <c r="AY186" s="548"/>
      <c r="AZ186" s="548"/>
      <c r="BA186" s="548"/>
      <c r="BB186" s="620">
        <f>I186/24</f>
        <v>62.8333333333333</v>
      </c>
      <c r="BM186" s="554">
        <f>I186/13</f>
        <v>116</v>
      </c>
      <c r="BY186" s="619"/>
      <c r="BZ186" s="548"/>
      <c r="CA186" s="621"/>
      <c r="CB186" s="567"/>
      <c r="CC186" s="622"/>
      <c r="CD186" s="619"/>
      <c r="CE186" s="619"/>
      <c r="CF186" s="548"/>
      <c r="CG186" s="548"/>
      <c r="CU186" s="554">
        <f t="shared" si="35"/>
        <v>0</v>
      </c>
      <c r="CV186" s="554">
        <f t="shared" si="29"/>
        <v>0</v>
      </c>
      <c r="CW186" s="554">
        <f t="shared" si="30"/>
        <v>0</v>
      </c>
      <c r="CX186" s="619"/>
      <c r="CY186" s="619"/>
      <c r="CZ186" s="619"/>
      <c r="DA186" s="548"/>
      <c r="DB186" s="548"/>
      <c r="DC186" s="548"/>
      <c r="DD186" s="619"/>
      <c r="DE186" s="619"/>
      <c r="DF186" s="619"/>
      <c r="DG186" s="619"/>
      <c r="DH186" s="619"/>
    </row>
    <row r="187" s="548" customFormat="1" ht="31" customHeight="1" spans="1:112">
      <c r="A187" s="608">
        <v>45771</v>
      </c>
      <c r="B187" s="609" t="s">
        <v>351</v>
      </c>
      <c r="C187" s="610" t="s">
        <v>98</v>
      </c>
      <c r="D187" s="554" t="s">
        <v>6511</v>
      </c>
      <c r="E187" s="610"/>
      <c r="F187" s="548"/>
      <c r="G187" s="610" t="s">
        <v>6036</v>
      </c>
      <c r="H187" s="610" t="s">
        <v>6033</v>
      </c>
      <c r="I187" s="610">
        <v>3400</v>
      </c>
      <c r="J187" s="610">
        <v>0</v>
      </c>
      <c r="K187" s="610">
        <v>25</v>
      </c>
      <c r="L187" s="611">
        <f t="shared" si="40"/>
        <v>136</v>
      </c>
      <c r="M187" s="612">
        <v>45824</v>
      </c>
      <c r="N187" s="612">
        <v>45820</v>
      </c>
      <c r="O187" s="613"/>
      <c r="P187" s="613" t="s">
        <v>113</v>
      </c>
      <c r="Q187" s="610" t="s">
        <v>6512</v>
      </c>
      <c r="R187" s="614" t="s">
        <v>1242</v>
      </c>
      <c r="S187" s="614" t="s">
        <v>70</v>
      </c>
      <c r="T187" s="614" t="s">
        <v>70</v>
      </c>
      <c r="U187" s="614"/>
      <c r="V187" s="614"/>
      <c r="W187" s="615"/>
      <c r="X187" s="609" t="s">
        <v>6513</v>
      </c>
      <c r="Y187" s="609" t="s">
        <v>6514</v>
      </c>
      <c r="Z187" s="609">
        <v>0.9</v>
      </c>
      <c r="AA187" s="616">
        <f t="shared" si="48"/>
        <v>3060</v>
      </c>
      <c r="AC187" s="617" t="s">
        <v>6515</v>
      </c>
      <c r="AD187" s="610" t="s">
        <v>6036</v>
      </c>
      <c r="AE187" s="610" t="s">
        <v>82</v>
      </c>
      <c r="AF187" s="610"/>
      <c r="AG187" s="610" t="s">
        <v>74</v>
      </c>
      <c r="AH187" s="610"/>
      <c r="AI187" s="554">
        <v>3400</v>
      </c>
      <c r="AJ187" s="610">
        <f>AI188-I187</f>
        <v>3400</v>
      </c>
      <c r="AK187" s="610"/>
      <c r="AL187" s="610"/>
      <c r="AM187" s="610"/>
      <c r="AN187" s="610">
        <f t="shared" ref="AN187:AN197" si="49">I187</f>
        <v>3400</v>
      </c>
      <c r="AP187" s="554">
        <f t="shared" ref="AP187:AP197" si="50">I187</f>
        <v>3400</v>
      </c>
      <c r="AR187" s="619"/>
      <c r="AS187" s="548"/>
      <c r="AT187" s="548"/>
      <c r="AU187" s="554">
        <f t="shared" ref="AU187:AU197" si="51">I187</f>
        <v>3400</v>
      </c>
      <c r="AW187" s="619"/>
      <c r="AX187" s="548"/>
      <c r="AY187" s="548"/>
      <c r="AZ187" s="548"/>
      <c r="BA187" s="548"/>
      <c r="BB187" s="620">
        <f t="shared" ref="BB187:BB197" si="52">I187/48</f>
        <v>70.8333333333333</v>
      </c>
      <c r="BN187" s="554">
        <f>I187/25</f>
        <v>136</v>
      </c>
      <c r="BY187" s="619"/>
      <c r="BZ187" s="548"/>
      <c r="CA187" s="621"/>
      <c r="CB187" s="567"/>
      <c r="CC187" s="622"/>
      <c r="CD187" s="619"/>
      <c r="CE187" s="619"/>
      <c r="CF187" s="548"/>
      <c r="CG187" s="548"/>
      <c r="CU187" s="554">
        <f t="shared" ref="CU187:CU193" si="53">BQ187+BP187+BO187+BN187+BX187+BR187</f>
        <v>136</v>
      </c>
      <c r="CV187" s="554">
        <f t="shared" si="29"/>
        <v>0</v>
      </c>
      <c r="CW187" s="554">
        <f t="shared" si="30"/>
        <v>0</v>
      </c>
      <c r="CX187" s="619"/>
      <c r="CY187" s="619"/>
      <c r="CZ187" s="619"/>
      <c r="DA187" s="548"/>
      <c r="DB187" s="548"/>
      <c r="DC187" s="548"/>
      <c r="DD187" s="619"/>
      <c r="DE187" s="619"/>
      <c r="DF187" s="619"/>
      <c r="DG187" s="619"/>
      <c r="DH187" s="619"/>
    </row>
    <row r="188" s="548" customFormat="1" ht="31" customHeight="1" spans="1:112">
      <c r="A188" s="608">
        <v>45771</v>
      </c>
      <c r="B188" s="609" t="s">
        <v>351</v>
      </c>
      <c r="C188" s="610" t="s">
        <v>98</v>
      </c>
      <c r="D188" s="554" t="s">
        <v>6511</v>
      </c>
      <c r="E188" s="610"/>
      <c r="F188" s="548"/>
      <c r="G188" s="610" t="s">
        <v>6036</v>
      </c>
      <c r="H188" s="610" t="s">
        <v>6033</v>
      </c>
      <c r="I188" s="610">
        <v>6800</v>
      </c>
      <c r="J188" s="610">
        <v>0</v>
      </c>
      <c r="K188" s="610">
        <v>25</v>
      </c>
      <c r="L188" s="611">
        <f t="shared" si="40"/>
        <v>272</v>
      </c>
      <c r="M188" s="612">
        <v>45824</v>
      </c>
      <c r="N188" s="612">
        <v>45820</v>
      </c>
      <c r="O188" s="613"/>
      <c r="P188" s="613" t="s">
        <v>113</v>
      </c>
      <c r="Q188" s="610" t="s">
        <v>6512</v>
      </c>
      <c r="R188" s="614" t="s">
        <v>1242</v>
      </c>
      <c r="S188" s="614" t="s">
        <v>70</v>
      </c>
      <c r="T188" s="614" t="s">
        <v>70</v>
      </c>
      <c r="U188" s="614"/>
      <c r="V188" s="614"/>
      <c r="W188" s="615"/>
      <c r="X188" s="609" t="s">
        <v>6513</v>
      </c>
      <c r="Y188" s="609" t="s">
        <v>6514</v>
      </c>
      <c r="Z188" s="609">
        <v>0.9</v>
      </c>
      <c r="AA188" s="616">
        <f t="shared" si="48"/>
        <v>6120</v>
      </c>
      <c r="AC188" s="617" t="s">
        <v>6515</v>
      </c>
      <c r="AD188" s="610" t="s">
        <v>6036</v>
      </c>
      <c r="AE188" s="610" t="s">
        <v>82</v>
      </c>
      <c r="AF188" s="610"/>
      <c r="AG188" s="610" t="s">
        <v>74</v>
      </c>
      <c r="AH188" s="610"/>
      <c r="AI188" s="610">
        <v>6800</v>
      </c>
      <c r="AJ188" s="610">
        <f t="shared" ref="AJ188:AJ207" si="54">AI188-I188</f>
        <v>0</v>
      </c>
      <c r="AK188" s="610"/>
      <c r="AL188" s="610"/>
      <c r="AM188" s="610"/>
      <c r="AN188" s="610">
        <f t="shared" si="49"/>
        <v>6800</v>
      </c>
      <c r="AP188" s="554">
        <f t="shared" si="50"/>
        <v>6800</v>
      </c>
      <c r="AR188" s="619"/>
      <c r="AS188" s="548"/>
      <c r="AT188" s="548"/>
      <c r="AU188" s="554">
        <f t="shared" si="51"/>
        <v>6800</v>
      </c>
      <c r="AW188" s="619"/>
      <c r="AX188" s="548"/>
      <c r="AY188" s="548"/>
      <c r="AZ188" s="548"/>
      <c r="BA188" s="548"/>
      <c r="BB188" s="620">
        <f t="shared" si="52"/>
        <v>141.666666666667</v>
      </c>
      <c r="BN188" s="554">
        <f>I188/25</f>
        <v>272</v>
      </c>
      <c r="BY188" s="619"/>
      <c r="BZ188" s="548"/>
      <c r="CA188" s="621"/>
      <c r="CB188" s="567"/>
      <c r="CC188" s="622"/>
      <c r="CD188" s="619"/>
      <c r="CE188" s="619"/>
      <c r="CF188" s="548"/>
      <c r="CG188" s="548"/>
      <c r="CU188" s="554">
        <f t="shared" si="53"/>
        <v>272</v>
      </c>
      <c r="CV188" s="554">
        <f t="shared" si="29"/>
        <v>0</v>
      </c>
      <c r="CW188" s="554">
        <f t="shared" si="30"/>
        <v>0</v>
      </c>
      <c r="CX188" s="619"/>
      <c r="CY188" s="619"/>
      <c r="CZ188" s="619"/>
      <c r="DA188" s="548"/>
      <c r="DB188" s="548"/>
      <c r="DC188" s="548"/>
      <c r="DD188" s="619"/>
      <c r="DE188" s="619"/>
      <c r="DF188" s="619"/>
      <c r="DG188" s="619"/>
      <c r="DH188" s="619"/>
    </row>
    <row r="189" s="548" customFormat="1" ht="31" customHeight="1" spans="1:112">
      <c r="A189" s="608">
        <v>45775</v>
      </c>
      <c r="B189" s="609" t="s">
        <v>143</v>
      </c>
      <c r="C189" s="610" t="s">
        <v>98</v>
      </c>
      <c r="D189" s="554">
        <v>4500162824</v>
      </c>
      <c r="E189" s="610" t="s">
        <v>6516</v>
      </c>
      <c r="F189" s="554" t="s">
        <v>6517</v>
      </c>
      <c r="G189" s="610" t="s">
        <v>6063</v>
      </c>
      <c r="H189" s="610" t="s">
        <v>6064</v>
      </c>
      <c r="I189" s="610">
        <v>4256</v>
      </c>
      <c r="J189" s="610">
        <v>0</v>
      </c>
      <c r="K189" s="610">
        <v>16</v>
      </c>
      <c r="L189" s="611">
        <f t="shared" si="40"/>
        <v>266</v>
      </c>
      <c r="M189" s="612">
        <v>45825</v>
      </c>
      <c r="N189" s="612">
        <v>45821</v>
      </c>
      <c r="O189" s="613"/>
      <c r="P189" s="613" t="s">
        <v>113</v>
      </c>
      <c r="Q189" s="610"/>
      <c r="R189" s="614" t="s">
        <v>6307</v>
      </c>
      <c r="S189" s="614" t="s">
        <v>70</v>
      </c>
      <c r="T189" s="614" t="s">
        <v>148</v>
      </c>
      <c r="U189" s="614"/>
      <c r="V189" s="614"/>
      <c r="W189" s="615"/>
      <c r="X189" s="609" t="s">
        <v>6518</v>
      </c>
      <c r="Y189" s="609" t="s">
        <v>106</v>
      </c>
      <c r="Z189" s="609">
        <v>1.008</v>
      </c>
      <c r="AA189" s="616">
        <f t="shared" si="48"/>
        <v>4290.048</v>
      </c>
      <c r="AC189" s="617" t="s">
        <v>6519</v>
      </c>
      <c r="AD189" s="610" t="s">
        <v>6063</v>
      </c>
      <c r="AE189" s="610" t="s">
        <v>82</v>
      </c>
      <c r="AF189" s="610"/>
      <c r="AG189" s="610" t="s">
        <v>74</v>
      </c>
      <c r="AH189" s="610"/>
      <c r="AI189" s="610">
        <v>4256</v>
      </c>
      <c r="AJ189" s="610">
        <f t="shared" si="54"/>
        <v>0</v>
      </c>
      <c r="AK189" s="610"/>
      <c r="AL189" s="610"/>
      <c r="AM189" s="610"/>
      <c r="AN189" s="610">
        <f t="shared" si="49"/>
        <v>4256</v>
      </c>
      <c r="AP189" s="554">
        <f t="shared" si="50"/>
        <v>4256</v>
      </c>
      <c r="AR189" s="619"/>
      <c r="AS189" s="548"/>
      <c r="AT189" s="548"/>
      <c r="AU189" s="554">
        <f t="shared" si="51"/>
        <v>4256</v>
      </c>
      <c r="AW189" s="619"/>
      <c r="AX189" s="548"/>
      <c r="AY189" s="548"/>
      <c r="AZ189" s="548"/>
      <c r="BA189" s="548"/>
      <c r="BB189" s="620">
        <f t="shared" si="52"/>
        <v>88.6666666666667</v>
      </c>
      <c r="BQ189" s="554">
        <f>I189/16</f>
        <v>266</v>
      </c>
      <c r="BY189" s="619"/>
      <c r="BZ189" s="548"/>
      <c r="CA189" s="621"/>
      <c r="CB189" s="567"/>
      <c r="CC189" s="622"/>
      <c r="CD189" s="619"/>
      <c r="CE189" s="619"/>
      <c r="CF189" s="548"/>
      <c r="CG189" s="548"/>
      <c r="CU189" s="554">
        <f t="shared" si="53"/>
        <v>266</v>
      </c>
      <c r="CV189" s="554">
        <f t="shared" si="29"/>
        <v>0</v>
      </c>
      <c r="CW189" s="554">
        <f t="shared" si="30"/>
        <v>0</v>
      </c>
      <c r="CX189" s="619"/>
      <c r="CY189" s="619"/>
      <c r="CZ189" s="619"/>
      <c r="DA189" s="548"/>
      <c r="DB189" s="548"/>
      <c r="DC189" s="548"/>
      <c r="DD189" s="619"/>
      <c r="DE189" s="619"/>
      <c r="DF189" s="619"/>
      <c r="DG189" s="619"/>
      <c r="DH189" s="619"/>
    </row>
    <row r="190" s="548" customFormat="1" ht="31" customHeight="1" spans="1:112">
      <c r="A190" s="608">
        <v>45775</v>
      </c>
      <c r="B190" s="609" t="s">
        <v>143</v>
      </c>
      <c r="C190" s="610" t="s">
        <v>98</v>
      </c>
      <c r="D190" s="554">
        <v>4500162824</v>
      </c>
      <c r="E190" s="610" t="s">
        <v>6520</v>
      </c>
      <c r="F190" s="554" t="s">
        <v>6521</v>
      </c>
      <c r="G190" s="610" t="s">
        <v>6063</v>
      </c>
      <c r="H190" s="610" t="s">
        <v>6064</v>
      </c>
      <c r="I190" s="610">
        <v>4096</v>
      </c>
      <c r="J190" s="610">
        <v>0</v>
      </c>
      <c r="K190" s="610">
        <v>16</v>
      </c>
      <c r="L190" s="611">
        <f t="shared" si="40"/>
        <v>256</v>
      </c>
      <c r="M190" s="612">
        <v>45825</v>
      </c>
      <c r="N190" s="612">
        <v>45821</v>
      </c>
      <c r="O190" s="613"/>
      <c r="P190" s="613" t="s">
        <v>113</v>
      </c>
      <c r="Q190" s="610"/>
      <c r="R190" s="614" t="s">
        <v>6307</v>
      </c>
      <c r="S190" s="614" t="s">
        <v>70</v>
      </c>
      <c r="T190" s="614" t="s">
        <v>148</v>
      </c>
      <c r="U190" s="614"/>
      <c r="V190" s="614"/>
      <c r="W190" s="615"/>
      <c r="X190" s="609" t="s">
        <v>6518</v>
      </c>
      <c r="Y190" s="609" t="s">
        <v>106</v>
      </c>
      <c r="Z190" s="609">
        <v>1.008</v>
      </c>
      <c r="AA190" s="616">
        <f t="shared" si="48"/>
        <v>4128.768</v>
      </c>
      <c r="AC190" s="617" t="s">
        <v>6522</v>
      </c>
      <c r="AD190" s="610" t="s">
        <v>6063</v>
      </c>
      <c r="AE190" s="610" t="s">
        <v>82</v>
      </c>
      <c r="AF190" s="610"/>
      <c r="AG190" s="610" t="s">
        <v>74</v>
      </c>
      <c r="AH190" s="610"/>
      <c r="AI190" s="610">
        <v>4096</v>
      </c>
      <c r="AJ190" s="610">
        <f t="shared" si="54"/>
        <v>0</v>
      </c>
      <c r="AK190" s="610"/>
      <c r="AL190" s="610"/>
      <c r="AM190" s="610"/>
      <c r="AN190" s="610">
        <f t="shared" si="49"/>
        <v>4096</v>
      </c>
      <c r="AP190" s="554">
        <f t="shared" si="50"/>
        <v>4096</v>
      </c>
      <c r="AR190" s="619"/>
      <c r="AS190" s="548"/>
      <c r="AT190" s="548"/>
      <c r="AU190" s="554">
        <f t="shared" si="51"/>
        <v>4096</v>
      </c>
      <c r="AW190" s="619"/>
      <c r="AX190" s="548"/>
      <c r="AY190" s="548"/>
      <c r="AZ190" s="548"/>
      <c r="BA190" s="548"/>
      <c r="BB190" s="620">
        <f t="shared" si="52"/>
        <v>85.3333333333333</v>
      </c>
      <c r="BQ190" s="554">
        <f>I190/16</f>
        <v>256</v>
      </c>
      <c r="BY190" s="619"/>
      <c r="BZ190" s="548"/>
      <c r="CA190" s="621"/>
      <c r="CB190" s="567"/>
      <c r="CC190" s="622"/>
      <c r="CD190" s="619"/>
      <c r="CE190" s="619"/>
      <c r="CF190" s="548"/>
      <c r="CG190" s="548"/>
      <c r="CU190" s="554">
        <f t="shared" si="53"/>
        <v>256</v>
      </c>
      <c r="CV190" s="554">
        <f t="shared" si="29"/>
        <v>0</v>
      </c>
      <c r="CW190" s="554">
        <f t="shared" si="30"/>
        <v>0</v>
      </c>
      <c r="CX190" s="619"/>
      <c r="CY190" s="619"/>
      <c r="CZ190" s="619"/>
      <c r="DA190" s="548"/>
      <c r="DB190" s="548"/>
      <c r="DC190" s="548"/>
      <c r="DD190" s="619"/>
      <c r="DE190" s="619"/>
      <c r="DF190" s="619"/>
      <c r="DG190" s="619"/>
      <c r="DH190" s="619"/>
    </row>
    <row r="191" s="548" customFormat="1" ht="31" customHeight="1" spans="1:112">
      <c r="A191" s="608">
        <v>45775</v>
      </c>
      <c r="B191" s="609" t="s">
        <v>143</v>
      </c>
      <c r="C191" s="610" t="s">
        <v>98</v>
      </c>
      <c r="D191" s="554">
        <v>4500162824</v>
      </c>
      <c r="E191" s="610" t="s">
        <v>6523</v>
      </c>
      <c r="F191" s="554" t="s">
        <v>6524</v>
      </c>
      <c r="G191" s="610" t="s">
        <v>6063</v>
      </c>
      <c r="H191" s="610" t="s">
        <v>6064</v>
      </c>
      <c r="I191" s="610">
        <v>6544</v>
      </c>
      <c r="J191" s="610">
        <v>0</v>
      </c>
      <c r="K191" s="610">
        <v>16</v>
      </c>
      <c r="L191" s="611">
        <f t="shared" si="40"/>
        <v>409</v>
      </c>
      <c r="M191" s="612">
        <v>45825</v>
      </c>
      <c r="N191" s="612">
        <v>45821</v>
      </c>
      <c r="O191" s="613"/>
      <c r="P191" s="613" t="s">
        <v>113</v>
      </c>
      <c r="Q191" s="610"/>
      <c r="R191" s="614" t="s">
        <v>6307</v>
      </c>
      <c r="S191" s="614" t="s">
        <v>70</v>
      </c>
      <c r="T191" s="614" t="s">
        <v>148</v>
      </c>
      <c r="U191" s="614"/>
      <c r="V191" s="614"/>
      <c r="W191" s="615"/>
      <c r="X191" s="609" t="s">
        <v>6518</v>
      </c>
      <c r="Y191" s="609" t="s">
        <v>106</v>
      </c>
      <c r="Z191" s="609">
        <v>1.008</v>
      </c>
      <c r="AA191" s="616">
        <f t="shared" si="48"/>
        <v>6596.352</v>
      </c>
      <c r="AC191" s="617"/>
      <c r="AD191" s="610" t="s">
        <v>6063</v>
      </c>
      <c r="AE191" s="610" t="s">
        <v>82</v>
      </c>
      <c r="AF191" s="610"/>
      <c r="AG191" s="610" t="s">
        <v>74</v>
      </c>
      <c r="AH191" s="610"/>
      <c r="AI191" s="610">
        <v>6544</v>
      </c>
      <c r="AJ191" s="610">
        <f t="shared" si="54"/>
        <v>0</v>
      </c>
      <c r="AK191" s="610"/>
      <c r="AL191" s="610"/>
      <c r="AM191" s="610"/>
      <c r="AN191" s="610">
        <f t="shared" si="49"/>
        <v>6544</v>
      </c>
      <c r="AP191" s="554">
        <f t="shared" si="50"/>
        <v>6544</v>
      </c>
      <c r="AR191" s="619"/>
      <c r="AS191" s="548"/>
      <c r="AT191" s="548"/>
      <c r="AU191" s="554">
        <f t="shared" si="51"/>
        <v>6544</v>
      </c>
      <c r="AW191" s="619"/>
      <c r="AX191" s="548"/>
      <c r="AY191" s="548"/>
      <c r="AZ191" s="548"/>
      <c r="BA191" s="548"/>
      <c r="BB191" s="620">
        <f t="shared" si="52"/>
        <v>136.333333333333</v>
      </c>
      <c r="BQ191" s="554">
        <f>I191/16</f>
        <v>409</v>
      </c>
      <c r="BY191" s="619"/>
      <c r="BZ191" s="548"/>
      <c r="CA191" s="621"/>
      <c r="CB191" s="567"/>
      <c r="CC191" s="622"/>
      <c r="CD191" s="619"/>
      <c r="CE191" s="619"/>
      <c r="CF191" s="548"/>
      <c r="CG191" s="548"/>
      <c r="CU191" s="554">
        <f t="shared" si="53"/>
        <v>409</v>
      </c>
      <c r="CV191" s="554">
        <f t="shared" si="29"/>
        <v>0</v>
      </c>
      <c r="CW191" s="554">
        <f t="shared" si="30"/>
        <v>0</v>
      </c>
      <c r="CX191" s="619"/>
      <c r="CY191" s="619"/>
      <c r="CZ191" s="619"/>
      <c r="DA191" s="548"/>
      <c r="DB191" s="548"/>
      <c r="DC191" s="548"/>
      <c r="DD191" s="619"/>
      <c r="DE191" s="619"/>
      <c r="DF191" s="619"/>
      <c r="DG191" s="619"/>
      <c r="DH191" s="619"/>
    </row>
    <row r="192" s="548" customFormat="1" ht="31" customHeight="1" spans="1:112">
      <c r="A192" s="608">
        <v>45775</v>
      </c>
      <c r="B192" s="609" t="s">
        <v>143</v>
      </c>
      <c r="C192" s="610" t="s">
        <v>98</v>
      </c>
      <c r="D192" s="554">
        <v>4500162824</v>
      </c>
      <c r="E192" s="610" t="s">
        <v>6525</v>
      </c>
      <c r="F192" s="554" t="s">
        <v>6526</v>
      </c>
      <c r="G192" s="610" t="s">
        <v>6063</v>
      </c>
      <c r="H192" s="610" t="s">
        <v>6064</v>
      </c>
      <c r="I192" s="610">
        <v>4896</v>
      </c>
      <c r="J192" s="610">
        <v>0</v>
      </c>
      <c r="K192" s="610">
        <v>16</v>
      </c>
      <c r="L192" s="611">
        <f t="shared" si="40"/>
        <v>306</v>
      </c>
      <c r="M192" s="612">
        <v>45825</v>
      </c>
      <c r="N192" s="612">
        <v>45821</v>
      </c>
      <c r="O192" s="613"/>
      <c r="P192" s="613" t="s">
        <v>113</v>
      </c>
      <c r="Q192" s="610"/>
      <c r="R192" s="614" t="s">
        <v>6307</v>
      </c>
      <c r="S192" s="614" t="s">
        <v>70</v>
      </c>
      <c r="T192" s="614" t="s">
        <v>148</v>
      </c>
      <c r="U192" s="614"/>
      <c r="V192" s="614"/>
      <c r="W192" s="615"/>
      <c r="X192" s="609" t="s">
        <v>6518</v>
      </c>
      <c r="Y192" s="609" t="s">
        <v>106</v>
      </c>
      <c r="Z192" s="609">
        <v>1.008</v>
      </c>
      <c r="AA192" s="616">
        <f t="shared" si="48"/>
        <v>4935.168</v>
      </c>
      <c r="AC192" s="617" t="s">
        <v>6527</v>
      </c>
      <c r="AD192" s="610" t="s">
        <v>6063</v>
      </c>
      <c r="AE192" s="610" t="s">
        <v>82</v>
      </c>
      <c r="AF192" s="610"/>
      <c r="AG192" s="610" t="s">
        <v>74</v>
      </c>
      <c r="AH192" s="610"/>
      <c r="AI192" s="610">
        <v>4896</v>
      </c>
      <c r="AJ192" s="610">
        <f t="shared" si="54"/>
        <v>0</v>
      </c>
      <c r="AK192" s="610"/>
      <c r="AL192" s="610"/>
      <c r="AM192" s="610"/>
      <c r="AN192" s="610">
        <f t="shared" si="49"/>
        <v>4896</v>
      </c>
      <c r="AP192" s="554">
        <f t="shared" si="50"/>
        <v>4896</v>
      </c>
      <c r="AR192" s="619"/>
      <c r="AS192" s="548"/>
      <c r="AT192" s="548"/>
      <c r="AU192" s="554">
        <f t="shared" si="51"/>
        <v>4896</v>
      </c>
      <c r="AW192" s="619"/>
      <c r="AX192" s="548"/>
      <c r="AY192" s="548"/>
      <c r="AZ192" s="548"/>
      <c r="BA192" s="548"/>
      <c r="BB192" s="620">
        <f t="shared" si="52"/>
        <v>102</v>
      </c>
      <c r="BQ192" s="554">
        <f>I192/16</f>
        <v>306</v>
      </c>
      <c r="BY192" s="619"/>
      <c r="BZ192" s="548"/>
      <c r="CA192" s="621"/>
      <c r="CB192" s="567"/>
      <c r="CC192" s="622"/>
      <c r="CD192" s="619"/>
      <c r="CE192" s="619"/>
      <c r="CF192" s="548"/>
      <c r="CG192" s="548"/>
      <c r="CU192" s="554">
        <f t="shared" si="53"/>
        <v>306</v>
      </c>
      <c r="CV192" s="554">
        <f t="shared" si="29"/>
        <v>0</v>
      </c>
      <c r="CW192" s="554">
        <f t="shared" si="30"/>
        <v>0</v>
      </c>
      <c r="CX192" s="619"/>
      <c r="CY192" s="619"/>
      <c r="CZ192" s="619"/>
      <c r="DA192" s="548"/>
      <c r="DB192" s="548"/>
      <c r="DC192" s="548"/>
      <c r="DD192" s="619"/>
      <c r="DE192" s="619"/>
      <c r="DF192" s="619"/>
      <c r="DG192" s="619"/>
      <c r="DH192" s="619"/>
    </row>
    <row r="193" s="548" customFormat="1" ht="31" customHeight="1" spans="1:112">
      <c r="A193" s="608">
        <v>45775</v>
      </c>
      <c r="B193" s="609" t="s">
        <v>143</v>
      </c>
      <c r="C193" s="610" t="s">
        <v>98</v>
      </c>
      <c r="D193" s="554">
        <v>4500162824</v>
      </c>
      <c r="E193" s="610" t="s">
        <v>6528</v>
      </c>
      <c r="F193" s="554" t="s">
        <v>6529</v>
      </c>
      <c r="G193" s="610" t="s">
        <v>6063</v>
      </c>
      <c r="H193" s="610" t="s">
        <v>6064</v>
      </c>
      <c r="I193" s="610">
        <v>5808</v>
      </c>
      <c r="J193" s="610">
        <v>0</v>
      </c>
      <c r="K193" s="610">
        <v>16</v>
      </c>
      <c r="L193" s="611">
        <f t="shared" si="40"/>
        <v>363</v>
      </c>
      <c r="M193" s="612">
        <v>45825</v>
      </c>
      <c r="N193" s="612">
        <v>45821</v>
      </c>
      <c r="O193" s="613"/>
      <c r="P193" s="613" t="s">
        <v>113</v>
      </c>
      <c r="Q193" s="610"/>
      <c r="R193" s="614" t="s">
        <v>6307</v>
      </c>
      <c r="S193" s="614" t="s">
        <v>70</v>
      </c>
      <c r="T193" s="614" t="s">
        <v>148</v>
      </c>
      <c r="U193" s="614"/>
      <c r="V193" s="614"/>
      <c r="W193" s="615"/>
      <c r="X193" s="609" t="s">
        <v>6518</v>
      </c>
      <c r="Y193" s="609" t="s">
        <v>106</v>
      </c>
      <c r="Z193" s="609">
        <v>1.008</v>
      </c>
      <c r="AA193" s="616">
        <f t="shared" si="48"/>
        <v>5854.464</v>
      </c>
      <c r="AC193" s="617" t="s">
        <v>6530</v>
      </c>
      <c r="AD193" s="610" t="s">
        <v>6063</v>
      </c>
      <c r="AE193" s="610" t="s">
        <v>82</v>
      </c>
      <c r="AF193" s="610"/>
      <c r="AG193" s="610" t="s">
        <v>74</v>
      </c>
      <c r="AH193" s="610"/>
      <c r="AI193" s="610">
        <v>5808</v>
      </c>
      <c r="AJ193" s="610">
        <f t="shared" si="54"/>
        <v>0</v>
      </c>
      <c r="AK193" s="610"/>
      <c r="AL193" s="610"/>
      <c r="AM193" s="610"/>
      <c r="AN193" s="610">
        <f t="shared" si="49"/>
        <v>5808</v>
      </c>
      <c r="AP193" s="554">
        <f t="shared" si="50"/>
        <v>5808</v>
      </c>
      <c r="AR193" s="619"/>
      <c r="AS193" s="548"/>
      <c r="AT193" s="548"/>
      <c r="AU193" s="554">
        <f t="shared" si="51"/>
        <v>5808</v>
      </c>
      <c r="AW193" s="619"/>
      <c r="AX193" s="548"/>
      <c r="AY193" s="548"/>
      <c r="AZ193" s="548"/>
      <c r="BA193" s="548"/>
      <c r="BB193" s="620">
        <f t="shared" si="52"/>
        <v>121</v>
      </c>
      <c r="BQ193" s="554">
        <f>I193/16</f>
        <v>363</v>
      </c>
      <c r="BY193" s="619"/>
      <c r="BZ193" s="548"/>
      <c r="CA193" s="621"/>
      <c r="CB193" s="567"/>
      <c r="CC193" s="622"/>
      <c r="CD193" s="619"/>
      <c r="CE193" s="619"/>
      <c r="CF193" s="548"/>
      <c r="CG193" s="548"/>
      <c r="CU193" s="554">
        <f t="shared" si="53"/>
        <v>363</v>
      </c>
      <c r="CV193" s="554">
        <f t="shared" si="29"/>
        <v>0</v>
      </c>
      <c r="CW193" s="554">
        <f t="shared" si="30"/>
        <v>0</v>
      </c>
      <c r="CX193" s="619"/>
      <c r="CY193" s="619"/>
      <c r="CZ193" s="619"/>
      <c r="DA193" s="548"/>
      <c r="DB193" s="548"/>
      <c r="DC193" s="548"/>
      <c r="DD193" s="619"/>
      <c r="DE193" s="619"/>
      <c r="DF193" s="619"/>
      <c r="DG193" s="619"/>
      <c r="DH193" s="619"/>
    </row>
    <row r="194" s="548" customFormat="1" ht="31" customHeight="1" spans="1:112">
      <c r="A194" s="608">
        <v>45789</v>
      </c>
      <c r="B194" s="609" t="s">
        <v>205</v>
      </c>
      <c r="C194" s="610" t="s">
        <v>98</v>
      </c>
      <c r="D194" s="554">
        <v>4500168832</v>
      </c>
      <c r="E194" s="610">
        <v>217111822</v>
      </c>
      <c r="F194" s="554" t="s">
        <v>6531</v>
      </c>
      <c r="G194" s="610" t="s">
        <v>6166</v>
      </c>
      <c r="H194" s="610" t="s">
        <v>6094</v>
      </c>
      <c r="I194" s="610">
        <v>1755</v>
      </c>
      <c r="J194" s="610">
        <v>0</v>
      </c>
      <c r="K194" s="610">
        <v>13</v>
      </c>
      <c r="L194" s="611">
        <f t="shared" si="40"/>
        <v>135</v>
      </c>
      <c r="M194" s="612">
        <v>45827</v>
      </c>
      <c r="N194" s="612">
        <v>45824</v>
      </c>
      <c r="O194" s="613"/>
      <c r="P194" s="613" t="s">
        <v>113</v>
      </c>
      <c r="Q194" s="610"/>
      <c r="R194" s="614">
        <v>45793</v>
      </c>
      <c r="S194" s="614" t="s">
        <v>70</v>
      </c>
      <c r="T194" s="614" t="s">
        <v>70</v>
      </c>
      <c r="U194" s="614"/>
      <c r="V194" s="614"/>
      <c r="W194" s="615"/>
      <c r="X194" s="609" t="s">
        <v>6532</v>
      </c>
      <c r="Y194" s="609" t="s">
        <v>209</v>
      </c>
      <c r="Z194" s="609">
        <v>0.552</v>
      </c>
      <c r="AA194" s="616">
        <f t="shared" si="48"/>
        <v>968.76</v>
      </c>
      <c r="AC194" s="617"/>
      <c r="AD194" s="610" t="s">
        <v>6257</v>
      </c>
      <c r="AE194" s="610" t="s">
        <v>82</v>
      </c>
      <c r="AF194" s="610"/>
      <c r="AG194" s="610" t="s">
        <v>74</v>
      </c>
      <c r="AH194" s="610"/>
      <c r="AI194" s="610">
        <v>1755</v>
      </c>
      <c r="AJ194" s="610">
        <f t="shared" si="54"/>
        <v>0</v>
      </c>
      <c r="AK194" s="610"/>
      <c r="AL194" s="610"/>
      <c r="AM194" s="610"/>
      <c r="AN194" s="610">
        <f t="shared" si="49"/>
        <v>1755</v>
      </c>
      <c r="AP194" s="554">
        <f t="shared" si="50"/>
        <v>1755</v>
      </c>
      <c r="AR194" s="619"/>
      <c r="AS194" s="548"/>
      <c r="AT194" s="548"/>
      <c r="AU194" s="554">
        <f t="shared" si="51"/>
        <v>1755</v>
      </c>
      <c r="AW194" s="619"/>
      <c r="AX194" s="548"/>
      <c r="AY194" s="548"/>
      <c r="AZ194" s="548"/>
      <c r="BA194" s="548"/>
      <c r="BB194" s="620">
        <f t="shared" si="52"/>
        <v>36.5625</v>
      </c>
      <c r="BK194" s="554">
        <f>I194/13</f>
        <v>135</v>
      </c>
      <c r="BY194" s="619"/>
      <c r="BZ194" s="548"/>
      <c r="CA194" s="621"/>
      <c r="CB194" s="567"/>
      <c r="CC194" s="622"/>
      <c r="CD194" s="619"/>
      <c r="CE194" s="619"/>
      <c r="CF194" s="548"/>
      <c r="CG194" s="548"/>
      <c r="CU194" s="554">
        <f t="shared" si="35"/>
        <v>0</v>
      </c>
      <c r="CV194" s="554">
        <f t="shared" si="29"/>
        <v>0</v>
      </c>
      <c r="CW194" s="554">
        <f t="shared" si="30"/>
        <v>0</v>
      </c>
      <c r="CX194" s="619"/>
      <c r="CY194" s="619"/>
      <c r="CZ194" s="619"/>
      <c r="DA194" s="548"/>
      <c r="DB194" s="548"/>
      <c r="DC194" s="548"/>
      <c r="DD194" s="619"/>
      <c r="DE194" s="619"/>
      <c r="DF194" s="619"/>
      <c r="DG194" s="619"/>
      <c r="DH194" s="619"/>
    </row>
    <row r="195" s="548" customFormat="1" ht="31" customHeight="1" spans="1:112">
      <c r="A195" s="608">
        <v>45789</v>
      </c>
      <c r="B195" s="609" t="s">
        <v>205</v>
      </c>
      <c r="C195" s="610" t="s">
        <v>98</v>
      </c>
      <c r="D195" s="554">
        <v>4500168889</v>
      </c>
      <c r="E195" s="610">
        <v>217111784</v>
      </c>
      <c r="F195" s="554" t="s">
        <v>6533</v>
      </c>
      <c r="G195" s="610" t="s">
        <v>6166</v>
      </c>
      <c r="H195" s="610" t="s">
        <v>6094</v>
      </c>
      <c r="I195" s="610">
        <v>3250</v>
      </c>
      <c r="J195" s="610">
        <v>0</v>
      </c>
      <c r="K195" s="610">
        <v>13</v>
      </c>
      <c r="L195" s="611">
        <f t="shared" si="40"/>
        <v>250</v>
      </c>
      <c r="M195" s="612">
        <v>45827</v>
      </c>
      <c r="N195" s="612">
        <v>45824</v>
      </c>
      <c r="O195" s="613" t="s">
        <v>6534</v>
      </c>
      <c r="P195" s="613" t="s">
        <v>113</v>
      </c>
      <c r="Q195" s="610"/>
      <c r="R195" s="614">
        <v>45793</v>
      </c>
      <c r="S195" s="614" t="s">
        <v>70</v>
      </c>
      <c r="T195" s="614" t="s">
        <v>70</v>
      </c>
      <c r="U195" s="614"/>
      <c r="V195" s="614"/>
      <c r="W195" s="615"/>
      <c r="X195" s="609" t="s">
        <v>6532</v>
      </c>
      <c r="Y195" s="609" t="s">
        <v>209</v>
      </c>
      <c r="Z195" s="609">
        <v>0.5528</v>
      </c>
      <c r="AA195" s="616">
        <f t="shared" si="48"/>
        <v>1796.6</v>
      </c>
      <c r="AC195" s="617"/>
      <c r="AD195" s="610" t="s">
        <v>6257</v>
      </c>
      <c r="AE195" s="610" t="s">
        <v>82</v>
      </c>
      <c r="AF195" s="610"/>
      <c r="AG195" s="610" t="s">
        <v>74</v>
      </c>
      <c r="AH195" s="610"/>
      <c r="AI195" s="610">
        <v>3250</v>
      </c>
      <c r="AJ195" s="610">
        <f t="shared" si="54"/>
        <v>0</v>
      </c>
      <c r="AK195" s="610"/>
      <c r="AL195" s="610"/>
      <c r="AM195" s="610"/>
      <c r="AN195" s="610">
        <f t="shared" si="49"/>
        <v>3250</v>
      </c>
      <c r="AP195" s="554">
        <f t="shared" si="50"/>
        <v>3250</v>
      </c>
      <c r="AR195" s="619"/>
      <c r="AS195" s="548"/>
      <c r="AT195" s="548"/>
      <c r="AU195" s="554">
        <f t="shared" si="51"/>
        <v>3250</v>
      </c>
      <c r="AW195" s="619"/>
      <c r="AX195" s="548"/>
      <c r="AY195" s="548"/>
      <c r="AZ195" s="548"/>
      <c r="BA195" s="548"/>
      <c r="BB195" s="620">
        <f t="shared" si="52"/>
        <v>67.7083333333333</v>
      </c>
      <c r="BK195" s="554">
        <f>I195/13</f>
        <v>250</v>
      </c>
      <c r="BY195" s="619"/>
      <c r="BZ195" s="548"/>
      <c r="CA195" s="621"/>
      <c r="CB195" s="567"/>
      <c r="CC195" s="622"/>
      <c r="CD195" s="619"/>
      <c r="CE195" s="619"/>
      <c r="CF195" s="548"/>
      <c r="CG195" s="548"/>
      <c r="CU195" s="554">
        <f t="shared" si="35"/>
        <v>0</v>
      </c>
      <c r="CV195" s="554">
        <f t="shared" ref="CV195:CV258" si="55">CK195+CL195+CM195+CN195+CO195+CQ195+CP195</f>
        <v>0</v>
      </c>
      <c r="CW195" s="554">
        <f t="shared" ref="CW195:CW258" si="56">CI195+CJ195</f>
        <v>0</v>
      </c>
      <c r="CX195" s="619"/>
      <c r="CY195" s="619"/>
      <c r="CZ195" s="619"/>
      <c r="DA195" s="548"/>
      <c r="DB195" s="548"/>
      <c r="DC195" s="548"/>
      <c r="DD195" s="619"/>
      <c r="DE195" s="619"/>
      <c r="DF195" s="619"/>
      <c r="DG195" s="619"/>
      <c r="DH195" s="619"/>
    </row>
    <row r="196" s="548" customFormat="1" ht="31" customHeight="1" spans="1:112">
      <c r="A196" s="608">
        <v>45774</v>
      </c>
      <c r="B196" s="609" t="s">
        <v>6535</v>
      </c>
      <c r="C196" s="610" t="s">
        <v>98</v>
      </c>
      <c r="D196" s="554">
        <v>4500165138</v>
      </c>
      <c r="E196" s="610" t="s">
        <v>6536</v>
      </c>
      <c r="F196" s="554" t="s">
        <v>6537</v>
      </c>
      <c r="G196" s="610" t="s">
        <v>6084</v>
      </c>
      <c r="H196" s="610" t="s">
        <v>6069</v>
      </c>
      <c r="I196" s="610">
        <v>5625</v>
      </c>
      <c r="J196" s="610">
        <v>0</v>
      </c>
      <c r="K196" s="610">
        <v>25</v>
      </c>
      <c r="L196" s="611">
        <f t="shared" si="40"/>
        <v>225</v>
      </c>
      <c r="M196" s="612">
        <v>45828</v>
      </c>
      <c r="N196" s="612">
        <v>45824</v>
      </c>
      <c r="O196" s="613"/>
      <c r="P196" s="613" t="s">
        <v>113</v>
      </c>
      <c r="Q196" s="610"/>
      <c r="R196" s="614">
        <v>45796</v>
      </c>
      <c r="S196" s="614" t="s">
        <v>70</v>
      </c>
      <c r="T196" s="614" t="s">
        <v>70</v>
      </c>
      <c r="U196" s="614"/>
      <c r="V196" s="614"/>
      <c r="W196" s="615"/>
      <c r="X196" s="609" t="s">
        <v>6538</v>
      </c>
      <c r="Y196" s="609" t="s">
        <v>3163</v>
      </c>
      <c r="Z196" s="609">
        <v>0.564</v>
      </c>
      <c r="AA196" s="616">
        <f t="shared" si="48"/>
        <v>3172.5</v>
      </c>
      <c r="AC196" s="617"/>
      <c r="AD196" s="610" t="s">
        <v>6084</v>
      </c>
      <c r="AE196" s="610" t="s">
        <v>82</v>
      </c>
      <c r="AF196" s="610"/>
      <c r="AG196" s="610" t="s">
        <v>74</v>
      </c>
      <c r="AH196" s="610"/>
      <c r="AI196" s="610">
        <v>5625</v>
      </c>
      <c r="AJ196" s="610">
        <f t="shared" si="54"/>
        <v>0</v>
      </c>
      <c r="AK196" s="610"/>
      <c r="AL196" s="610"/>
      <c r="AM196" s="610"/>
      <c r="AN196" s="610">
        <f t="shared" si="49"/>
        <v>5625</v>
      </c>
      <c r="AP196" s="554">
        <f t="shared" si="50"/>
        <v>5625</v>
      </c>
      <c r="AR196" s="619"/>
      <c r="AS196" s="548"/>
      <c r="AT196" s="548"/>
      <c r="AU196" s="554">
        <f t="shared" si="51"/>
        <v>5625</v>
      </c>
      <c r="AW196" s="619"/>
      <c r="AX196" s="548"/>
      <c r="AY196" s="548"/>
      <c r="AZ196" s="548"/>
      <c r="BA196" s="548"/>
      <c r="BB196" s="620">
        <f t="shared" si="52"/>
        <v>117.1875</v>
      </c>
      <c r="BN196" s="554">
        <f>I196/25</f>
        <v>225</v>
      </c>
      <c r="BY196" s="619"/>
      <c r="BZ196" s="548"/>
      <c r="CA196" s="621"/>
      <c r="CB196" s="567"/>
      <c r="CC196" s="622"/>
      <c r="CD196" s="619"/>
      <c r="CE196" s="619"/>
      <c r="CF196" s="548"/>
      <c r="CG196" s="548"/>
      <c r="CU196" s="554">
        <f t="shared" si="35"/>
        <v>225</v>
      </c>
      <c r="CV196" s="554">
        <f t="shared" si="55"/>
        <v>0</v>
      </c>
      <c r="CW196" s="554">
        <f t="shared" si="56"/>
        <v>0</v>
      </c>
      <c r="CX196" s="619"/>
      <c r="CY196" s="619"/>
      <c r="CZ196" s="619"/>
      <c r="DA196" s="548"/>
      <c r="DB196" s="548"/>
      <c r="DC196" s="548"/>
      <c r="DD196" s="619"/>
      <c r="DE196" s="619"/>
      <c r="DF196" s="619"/>
      <c r="DG196" s="619"/>
      <c r="DH196" s="619"/>
    </row>
    <row r="197" s="548" customFormat="1" ht="31" customHeight="1" spans="1:112">
      <c r="A197" s="608">
        <v>45774</v>
      </c>
      <c r="B197" s="609" t="s">
        <v>6535</v>
      </c>
      <c r="C197" s="610" t="s">
        <v>98</v>
      </c>
      <c r="D197" s="554">
        <v>4500165084</v>
      </c>
      <c r="E197" s="610" t="s">
        <v>6539</v>
      </c>
      <c r="F197" s="554" t="s">
        <v>6540</v>
      </c>
      <c r="G197" s="610" t="s">
        <v>6084</v>
      </c>
      <c r="H197" s="610" t="s">
        <v>6069</v>
      </c>
      <c r="I197" s="610">
        <v>6625</v>
      </c>
      <c r="J197" s="610">
        <v>0</v>
      </c>
      <c r="K197" s="610">
        <v>25</v>
      </c>
      <c r="L197" s="611">
        <f t="shared" si="40"/>
        <v>265</v>
      </c>
      <c r="M197" s="612">
        <v>45828</v>
      </c>
      <c r="N197" s="612">
        <v>45824</v>
      </c>
      <c r="O197" s="613"/>
      <c r="P197" s="613" t="s">
        <v>113</v>
      </c>
      <c r="Q197" s="610"/>
      <c r="R197" s="614">
        <v>45796</v>
      </c>
      <c r="S197" s="614" t="s">
        <v>70</v>
      </c>
      <c r="T197" s="614" t="s">
        <v>70</v>
      </c>
      <c r="U197" s="614"/>
      <c r="V197" s="614"/>
      <c r="W197" s="615"/>
      <c r="X197" s="609" t="s">
        <v>6538</v>
      </c>
      <c r="Y197" s="609" t="s">
        <v>3163</v>
      </c>
      <c r="Z197" s="609">
        <v>0.5677</v>
      </c>
      <c r="AA197" s="616">
        <f t="shared" si="48"/>
        <v>3761.0125</v>
      </c>
      <c r="AC197" s="617" t="s">
        <v>6541</v>
      </c>
      <c r="AD197" s="610" t="s">
        <v>6084</v>
      </c>
      <c r="AE197" s="610" t="s">
        <v>82</v>
      </c>
      <c r="AF197" s="610"/>
      <c r="AG197" s="610" t="s">
        <v>74</v>
      </c>
      <c r="AH197" s="610"/>
      <c r="AI197" s="610">
        <v>6625</v>
      </c>
      <c r="AJ197" s="610">
        <f t="shared" si="54"/>
        <v>0</v>
      </c>
      <c r="AK197" s="610"/>
      <c r="AL197" s="610"/>
      <c r="AM197" s="610"/>
      <c r="AN197" s="610">
        <f t="shared" si="49"/>
        <v>6625</v>
      </c>
      <c r="AP197" s="554">
        <f t="shared" si="50"/>
        <v>6625</v>
      </c>
      <c r="AR197" s="619"/>
      <c r="AS197" s="548"/>
      <c r="AT197" s="548"/>
      <c r="AU197" s="554">
        <f t="shared" si="51"/>
        <v>6625</v>
      </c>
      <c r="AW197" s="619"/>
      <c r="AX197" s="548"/>
      <c r="AY197" s="548"/>
      <c r="AZ197" s="548"/>
      <c r="BA197" s="548"/>
      <c r="BB197" s="620">
        <f t="shared" si="52"/>
        <v>138.020833333333</v>
      </c>
      <c r="BN197" s="554">
        <f>I197/25</f>
        <v>265</v>
      </c>
      <c r="BY197" s="619"/>
      <c r="BZ197" s="548"/>
      <c r="CA197" s="621"/>
      <c r="CB197" s="567"/>
      <c r="CC197" s="622"/>
      <c r="CD197" s="619"/>
      <c r="CE197" s="619"/>
      <c r="CF197" s="548"/>
      <c r="CG197" s="548"/>
      <c r="CU197" s="554">
        <f t="shared" si="35"/>
        <v>265</v>
      </c>
      <c r="CV197" s="554">
        <f t="shared" si="55"/>
        <v>0</v>
      </c>
      <c r="CW197" s="554">
        <f t="shared" si="56"/>
        <v>0</v>
      </c>
      <c r="CX197" s="619"/>
      <c r="CY197" s="619"/>
      <c r="CZ197" s="619"/>
      <c r="DA197" s="548"/>
      <c r="DB197" s="548"/>
      <c r="DC197" s="548"/>
      <c r="DD197" s="619"/>
      <c r="DE197" s="619"/>
      <c r="DF197" s="619"/>
      <c r="DG197" s="619"/>
      <c r="DH197" s="619"/>
    </row>
    <row r="198" s="548" customFormat="1" ht="31" customHeight="1" spans="1:112">
      <c r="A198" s="608">
        <v>45789</v>
      </c>
      <c r="B198" s="609" t="s">
        <v>6542</v>
      </c>
      <c r="C198" s="610" t="s">
        <v>278</v>
      </c>
      <c r="D198" s="554">
        <v>4500166031</v>
      </c>
      <c r="E198" s="610" t="s">
        <v>6543</v>
      </c>
      <c r="F198" s="554" t="s">
        <v>6544</v>
      </c>
      <c r="G198" s="610" t="s">
        <v>6043</v>
      </c>
      <c r="H198" s="610" t="s">
        <v>6110</v>
      </c>
      <c r="I198" s="610">
        <v>1000</v>
      </c>
      <c r="J198" s="610">
        <v>0</v>
      </c>
      <c r="K198" s="610">
        <v>50</v>
      </c>
      <c r="L198" s="611">
        <f t="shared" si="40"/>
        <v>20</v>
      </c>
      <c r="M198" s="612">
        <v>45831</v>
      </c>
      <c r="N198" s="612">
        <v>45827</v>
      </c>
      <c r="O198" s="613" t="s">
        <v>6545</v>
      </c>
      <c r="P198" s="613" t="s">
        <v>113</v>
      </c>
      <c r="Q198" s="610"/>
      <c r="R198" s="614">
        <v>45789</v>
      </c>
      <c r="S198" s="614" t="s">
        <v>70</v>
      </c>
      <c r="T198" s="614" t="s">
        <v>70</v>
      </c>
      <c r="U198" s="614"/>
      <c r="V198" s="614"/>
      <c r="W198" s="615"/>
      <c r="X198" s="609" t="s">
        <v>6546</v>
      </c>
      <c r="Y198" s="609" t="s">
        <v>1627</v>
      </c>
      <c r="Z198" s="609">
        <v>0.95</v>
      </c>
      <c r="AA198" s="616">
        <f t="shared" si="48"/>
        <v>950</v>
      </c>
      <c r="AC198" s="629" t="s">
        <v>6547</v>
      </c>
      <c r="AD198" s="610" t="s">
        <v>6043</v>
      </c>
      <c r="AE198" s="610" t="s">
        <v>82</v>
      </c>
      <c r="AF198" s="610"/>
      <c r="AG198" s="610" t="s">
        <v>74</v>
      </c>
      <c r="AH198" s="610"/>
      <c r="AI198" s="610">
        <f>950+50</f>
        <v>1000</v>
      </c>
      <c r="AJ198" s="610">
        <f t="shared" si="54"/>
        <v>0</v>
      </c>
      <c r="AK198" s="610"/>
      <c r="AL198" s="610"/>
      <c r="AM198" s="610"/>
      <c r="AN198" s="610"/>
      <c r="AO198" s="554">
        <f>I198</f>
        <v>1000</v>
      </c>
      <c r="AR198" s="619"/>
      <c r="AS198" s="548"/>
      <c r="AT198" s="554">
        <f>I198</f>
        <v>1000</v>
      </c>
      <c r="AV198" s="554">
        <f>I198</f>
        <v>1000</v>
      </c>
      <c r="AW198" s="619"/>
      <c r="AX198" s="548"/>
      <c r="AY198" s="548"/>
      <c r="AZ198" s="548"/>
      <c r="BA198" s="548"/>
      <c r="BB198" s="620">
        <f>I198/24</f>
        <v>41.6666666666667</v>
      </c>
      <c r="BP198" s="554">
        <f>I198/25</f>
        <v>40</v>
      </c>
      <c r="BY198" s="619"/>
      <c r="BZ198" s="548"/>
      <c r="CA198" s="621"/>
      <c r="CB198" s="567"/>
      <c r="CC198" s="622"/>
      <c r="CD198" s="619"/>
      <c r="CE198" s="619"/>
      <c r="CF198" s="548"/>
      <c r="CG198" s="548"/>
      <c r="CU198" s="554">
        <f t="shared" si="35"/>
        <v>40</v>
      </c>
      <c r="CV198" s="554">
        <f t="shared" si="55"/>
        <v>0</v>
      </c>
      <c r="CW198" s="554">
        <f t="shared" si="56"/>
        <v>0</v>
      </c>
      <c r="CX198" s="619"/>
      <c r="CY198" s="619"/>
      <c r="CZ198" s="619"/>
      <c r="DA198" s="548"/>
      <c r="DB198" s="548"/>
      <c r="DC198" s="548"/>
      <c r="DD198" s="619"/>
      <c r="DE198" s="619"/>
      <c r="DF198" s="619"/>
      <c r="DG198" s="619"/>
      <c r="DH198" s="619"/>
    </row>
    <row r="199" s="548" customFormat="1" ht="31" customHeight="1" spans="1:112">
      <c r="A199" s="608">
        <v>45769</v>
      </c>
      <c r="B199" s="609" t="s">
        <v>3677</v>
      </c>
      <c r="C199" s="610" t="s">
        <v>399</v>
      </c>
      <c r="D199" s="554">
        <v>4500164587</v>
      </c>
      <c r="E199" s="610">
        <v>2000007585</v>
      </c>
      <c r="F199" s="554" t="s">
        <v>668</v>
      </c>
      <c r="G199" s="610" t="s">
        <v>6337</v>
      </c>
      <c r="H199" s="610" t="s">
        <v>477</v>
      </c>
      <c r="I199" s="610">
        <v>900</v>
      </c>
      <c r="J199" s="610">
        <v>0</v>
      </c>
      <c r="K199" s="610">
        <v>6</v>
      </c>
      <c r="L199" s="611">
        <f t="shared" si="40"/>
        <v>150</v>
      </c>
      <c r="M199" s="612">
        <v>45832</v>
      </c>
      <c r="N199" s="612">
        <v>45828</v>
      </c>
      <c r="O199" s="613" t="s">
        <v>6548</v>
      </c>
      <c r="P199" s="613" t="s">
        <v>113</v>
      </c>
      <c r="Q199" s="610"/>
      <c r="R199" s="614">
        <v>45804</v>
      </c>
      <c r="S199" s="614" t="s">
        <v>70</v>
      </c>
      <c r="T199" s="614">
        <v>45805</v>
      </c>
      <c r="U199" s="614"/>
      <c r="V199" s="614" t="s">
        <v>669</v>
      </c>
      <c r="W199" s="615"/>
      <c r="X199" s="628" t="s">
        <v>670</v>
      </c>
      <c r="Y199" s="609" t="s">
        <v>415</v>
      </c>
      <c r="Z199" s="609">
        <v>8.1</v>
      </c>
      <c r="AA199" s="616">
        <f t="shared" si="48"/>
        <v>7290</v>
      </c>
      <c r="AC199" s="629" t="s">
        <v>671</v>
      </c>
      <c r="AD199" s="610" t="s">
        <v>480</v>
      </c>
      <c r="AE199" s="610" t="s">
        <v>82</v>
      </c>
      <c r="AF199" s="610"/>
      <c r="AG199" s="610" t="s">
        <v>74</v>
      </c>
      <c r="AH199" s="610"/>
      <c r="AI199" s="610">
        <f>60+840</f>
        <v>900</v>
      </c>
      <c r="AJ199" s="610">
        <f t="shared" si="54"/>
        <v>0</v>
      </c>
      <c r="AK199" s="610"/>
      <c r="AL199" s="610"/>
      <c r="AM199" s="610"/>
      <c r="AN199" s="610"/>
      <c r="AO199" s="554">
        <f>I199*2</f>
        <v>1800</v>
      </c>
      <c r="AR199" s="619"/>
      <c r="AS199" s="548"/>
      <c r="AT199" s="554">
        <f>I199*2</f>
        <v>1800</v>
      </c>
      <c r="AV199" s="554">
        <f>I199*2</f>
        <v>1800</v>
      </c>
      <c r="AW199" s="619"/>
      <c r="AX199" s="548"/>
      <c r="AY199" s="548"/>
      <c r="AZ199" s="548"/>
      <c r="BA199" s="548"/>
      <c r="BB199" s="620">
        <f>I199/24*2</f>
        <v>75</v>
      </c>
      <c r="BY199" s="619"/>
      <c r="BZ199" s="554">
        <f>I199</f>
        <v>900</v>
      </c>
      <c r="CA199" s="621"/>
      <c r="CB199" s="567"/>
      <c r="CC199" s="622"/>
      <c r="CD199" s="619"/>
      <c r="CE199" s="619"/>
      <c r="CF199" s="548"/>
      <c r="CG199" s="548"/>
      <c r="CU199" s="554">
        <f t="shared" si="35"/>
        <v>0</v>
      </c>
      <c r="CV199" s="554">
        <f t="shared" si="55"/>
        <v>0</v>
      </c>
      <c r="CW199" s="554">
        <f t="shared" si="56"/>
        <v>0</v>
      </c>
      <c r="CX199" s="619"/>
      <c r="CY199" s="619"/>
      <c r="CZ199" s="619"/>
      <c r="DA199" s="548"/>
      <c r="DB199" s="548"/>
      <c r="DC199" s="548"/>
      <c r="DD199" s="619"/>
      <c r="DE199" s="619"/>
      <c r="DF199" s="619"/>
      <c r="DG199" s="619"/>
      <c r="DH199" s="619"/>
    </row>
    <row r="200" s="548" customFormat="1" ht="31" customHeight="1" spans="1:112">
      <c r="A200" s="608">
        <v>45791</v>
      </c>
      <c r="B200" s="609" t="s">
        <v>301</v>
      </c>
      <c r="C200" s="610" t="s">
        <v>302</v>
      </c>
      <c r="D200" s="554">
        <v>4500169682</v>
      </c>
      <c r="E200" s="610">
        <v>5200006790</v>
      </c>
      <c r="F200" s="554" t="s">
        <v>688</v>
      </c>
      <c r="G200" s="610" t="s">
        <v>6360</v>
      </c>
      <c r="H200" s="610" t="s">
        <v>477</v>
      </c>
      <c r="I200" s="610">
        <v>3180</v>
      </c>
      <c r="J200" s="610">
        <v>0</v>
      </c>
      <c r="K200" s="610">
        <v>6</v>
      </c>
      <c r="L200" s="611">
        <f t="shared" si="40"/>
        <v>530</v>
      </c>
      <c r="M200" s="612">
        <v>45819</v>
      </c>
      <c r="N200" s="612">
        <v>45815</v>
      </c>
      <c r="O200" s="613"/>
      <c r="P200" s="613" t="s">
        <v>113</v>
      </c>
      <c r="Q200" s="610" t="s">
        <v>689</v>
      </c>
      <c r="R200" s="614" t="s">
        <v>6468</v>
      </c>
      <c r="S200" s="614" t="s">
        <v>70</v>
      </c>
      <c r="T200" s="614" t="s">
        <v>6469</v>
      </c>
      <c r="U200" s="614"/>
      <c r="V200" s="614" t="s">
        <v>6470</v>
      </c>
      <c r="W200" s="615"/>
      <c r="X200" s="609" t="s">
        <v>6549</v>
      </c>
      <c r="Y200" s="609" t="s">
        <v>2037</v>
      </c>
      <c r="Z200" s="609">
        <v>8.1</v>
      </c>
      <c r="AA200" s="616">
        <f t="shared" si="48"/>
        <v>25758</v>
      </c>
      <c r="AC200" s="629" t="s">
        <v>692</v>
      </c>
      <c r="AD200" s="610" t="s">
        <v>480</v>
      </c>
      <c r="AE200" s="610" t="s">
        <v>82</v>
      </c>
      <c r="AF200" s="610"/>
      <c r="AG200" s="610" t="s">
        <v>74</v>
      </c>
      <c r="AH200" s="610"/>
      <c r="AI200" s="610"/>
      <c r="AJ200" s="610">
        <f t="shared" si="54"/>
        <v>-3180</v>
      </c>
      <c r="AK200" s="610"/>
      <c r="AL200" s="610" t="s">
        <v>454</v>
      </c>
      <c r="AM200" s="610"/>
      <c r="AN200" s="610"/>
      <c r="AO200" s="554">
        <f>I200*2</f>
        <v>6360</v>
      </c>
      <c r="AR200" s="619"/>
      <c r="AS200" s="548"/>
      <c r="AT200" s="554">
        <f>I200*2</f>
        <v>6360</v>
      </c>
      <c r="AV200" s="554">
        <f>I200*2</f>
        <v>6360</v>
      </c>
      <c r="AW200" s="619"/>
      <c r="AX200" s="548"/>
      <c r="AY200" s="548"/>
      <c r="AZ200" s="548"/>
      <c r="BA200" s="548"/>
      <c r="BB200" s="620">
        <f>I200/24*2</f>
        <v>265</v>
      </c>
      <c r="BY200" s="619"/>
      <c r="BZ200" s="554">
        <f>I200</f>
        <v>3180</v>
      </c>
      <c r="CA200" s="621"/>
      <c r="CB200" s="567"/>
      <c r="CC200" s="622"/>
      <c r="CD200" s="619"/>
      <c r="CE200" s="619"/>
      <c r="CF200" s="548"/>
      <c r="CG200" s="548"/>
      <c r="CU200" s="554">
        <f t="shared" si="35"/>
        <v>0</v>
      </c>
      <c r="CV200" s="554">
        <f t="shared" si="55"/>
        <v>0</v>
      </c>
      <c r="CW200" s="554">
        <f t="shared" si="56"/>
        <v>0</v>
      </c>
      <c r="CX200" s="619"/>
      <c r="CY200" s="619"/>
      <c r="CZ200" s="619"/>
      <c r="DA200" s="548"/>
      <c r="DB200" s="548"/>
      <c r="DC200" s="548"/>
      <c r="DD200" s="619"/>
      <c r="DE200" s="619"/>
      <c r="DF200" s="619"/>
      <c r="DG200" s="619"/>
      <c r="DH200" s="619"/>
    </row>
    <row r="201" s="548" customFormat="1" ht="31" customHeight="1" spans="1:112">
      <c r="A201" s="608">
        <v>45786</v>
      </c>
      <c r="B201" s="609" t="s">
        <v>1534</v>
      </c>
      <c r="C201" s="610" t="s">
        <v>524</v>
      </c>
      <c r="D201" s="554">
        <v>4500165810</v>
      </c>
      <c r="E201" s="610"/>
      <c r="F201" s="554" t="s">
        <v>6550</v>
      </c>
      <c r="G201" s="610" t="s">
        <v>6043</v>
      </c>
      <c r="H201" s="610" t="s">
        <v>6110</v>
      </c>
      <c r="I201" s="610">
        <v>6700</v>
      </c>
      <c r="J201" s="610">
        <v>0</v>
      </c>
      <c r="K201" s="610">
        <v>50</v>
      </c>
      <c r="L201" s="611">
        <f t="shared" si="40"/>
        <v>134</v>
      </c>
      <c r="M201" s="612">
        <v>45820</v>
      </c>
      <c r="N201" s="612">
        <v>45817</v>
      </c>
      <c r="O201" s="613"/>
      <c r="P201" s="613" t="s">
        <v>113</v>
      </c>
      <c r="Q201" s="610"/>
      <c r="R201" s="614">
        <v>45790</v>
      </c>
      <c r="S201" s="614" t="s">
        <v>70</v>
      </c>
      <c r="T201" s="614">
        <v>45796</v>
      </c>
      <c r="U201" s="614"/>
      <c r="V201" s="614"/>
      <c r="W201" s="615"/>
      <c r="X201" s="609" t="s">
        <v>6551</v>
      </c>
      <c r="Y201" s="609" t="s">
        <v>340</v>
      </c>
      <c r="Z201" s="609">
        <v>0.95</v>
      </c>
      <c r="AA201" s="616">
        <f t="shared" si="48"/>
        <v>6365</v>
      </c>
      <c r="AC201" s="617" t="s">
        <v>6552</v>
      </c>
      <c r="AD201" s="610" t="s">
        <v>6043</v>
      </c>
      <c r="AE201" s="610" t="s">
        <v>82</v>
      </c>
      <c r="AF201" s="610"/>
      <c r="AG201" s="610" t="s">
        <v>74</v>
      </c>
      <c r="AH201" s="610"/>
      <c r="AI201" s="610">
        <v>6700</v>
      </c>
      <c r="AJ201" s="610">
        <f t="shared" si="54"/>
        <v>0</v>
      </c>
      <c r="AK201" s="610"/>
      <c r="AL201" s="610"/>
      <c r="AM201" s="610"/>
      <c r="AN201" s="610"/>
      <c r="AO201" s="554">
        <f>I201</f>
        <v>6700</v>
      </c>
      <c r="AR201" s="619"/>
      <c r="AS201" s="548"/>
      <c r="AT201" s="554">
        <f>I201</f>
        <v>6700</v>
      </c>
      <c r="AV201" s="554">
        <f>I201</f>
        <v>6700</v>
      </c>
      <c r="AW201" s="619"/>
      <c r="AX201" s="548"/>
      <c r="AY201" s="548"/>
      <c r="AZ201" s="548"/>
      <c r="BA201" s="548"/>
      <c r="BB201" s="620">
        <f>I201/24</f>
        <v>279.166666666667</v>
      </c>
      <c r="BP201" s="554">
        <f>I201/25</f>
        <v>268</v>
      </c>
      <c r="BY201" s="619"/>
      <c r="BZ201" s="548"/>
      <c r="CA201" s="621"/>
      <c r="CB201" s="567"/>
      <c r="CC201" s="622"/>
      <c r="CD201" s="619"/>
      <c r="CE201" s="619"/>
      <c r="CF201" s="548"/>
      <c r="CG201" s="548"/>
      <c r="CU201" s="554">
        <f t="shared" si="35"/>
        <v>268</v>
      </c>
      <c r="CV201" s="554">
        <f t="shared" si="55"/>
        <v>0</v>
      </c>
      <c r="CW201" s="554">
        <f t="shared" si="56"/>
        <v>0</v>
      </c>
      <c r="CX201" s="619"/>
      <c r="CY201" s="619"/>
      <c r="CZ201" s="619"/>
      <c r="DA201" s="548"/>
      <c r="DB201" s="548"/>
      <c r="DC201" s="548"/>
      <c r="DD201" s="619"/>
      <c r="DE201" s="619"/>
      <c r="DF201" s="619"/>
      <c r="DG201" s="619"/>
      <c r="DH201" s="619"/>
    </row>
    <row r="202" s="548" customFormat="1" ht="31" customHeight="1" spans="1:112">
      <c r="A202" s="608">
        <v>45779</v>
      </c>
      <c r="B202" s="609" t="s">
        <v>6553</v>
      </c>
      <c r="C202" s="610" t="s">
        <v>98</v>
      </c>
      <c r="D202" s="554">
        <v>4500165547</v>
      </c>
      <c r="E202" s="610" t="s">
        <v>655</v>
      </c>
      <c r="F202" s="554" t="s">
        <v>6554</v>
      </c>
      <c r="G202" s="610" t="s">
        <v>6032</v>
      </c>
      <c r="H202" s="610" t="s">
        <v>6033</v>
      </c>
      <c r="I202" s="610">
        <v>1248</v>
      </c>
      <c r="J202" s="610">
        <v>0</v>
      </c>
      <c r="K202" s="610">
        <v>52</v>
      </c>
      <c r="L202" s="611">
        <f t="shared" si="40"/>
        <v>24</v>
      </c>
      <c r="M202" s="612">
        <v>45821</v>
      </c>
      <c r="N202" s="612">
        <v>45817</v>
      </c>
      <c r="O202" s="613"/>
      <c r="P202" s="613" t="s">
        <v>113</v>
      </c>
      <c r="Q202" s="610"/>
      <c r="R202" s="614">
        <v>45796</v>
      </c>
      <c r="S202" s="614" t="s">
        <v>104</v>
      </c>
      <c r="T202" s="614" t="s">
        <v>70</v>
      </c>
      <c r="U202" s="614"/>
      <c r="V202" s="614"/>
      <c r="W202" s="615"/>
      <c r="X202" s="628" t="s">
        <v>657</v>
      </c>
      <c r="Y202" s="609" t="s">
        <v>6327</v>
      </c>
      <c r="Z202" s="609">
        <v>0.552</v>
      </c>
      <c r="AA202" s="616">
        <f t="shared" si="48"/>
        <v>688.896</v>
      </c>
      <c r="AC202" s="617"/>
      <c r="AD202" s="610" t="s">
        <v>6032</v>
      </c>
      <c r="AE202" s="610" t="s">
        <v>82</v>
      </c>
      <c r="AF202" s="610"/>
      <c r="AG202" s="610" t="s">
        <v>74</v>
      </c>
      <c r="AH202" s="610"/>
      <c r="AI202" s="610">
        <v>1248</v>
      </c>
      <c r="AJ202" s="610">
        <f t="shared" si="54"/>
        <v>0</v>
      </c>
      <c r="AK202" s="610"/>
      <c r="AL202" s="610"/>
      <c r="AM202" s="610"/>
      <c r="AN202" s="610">
        <f>I202</f>
        <v>1248</v>
      </c>
      <c r="AP202" s="554">
        <f>I202</f>
        <v>1248</v>
      </c>
      <c r="AR202" s="619"/>
      <c r="AS202" s="548"/>
      <c r="AT202" s="548"/>
      <c r="AU202" s="554">
        <f>I202</f>
        <v>1248</v>
      </c>
      <c r="AW202" s="619"/>
      <c r="AX202" s="548"/>
      <c r="AY202" s="548"/>
      <c r="AZ202" s="548"/>
      <c r="BA202" s="548"/>
      <c r="BB202" s="620">
        <f>I202/48</f>
        <v>26</v>
      </c>
      <c r="BK202" s="554">
        <f>I202/13</f>
        <v>96</v>
      </c>
      <c r="BY202" s="619"/>
      <c r="BZ202" s="548"/>
      <c r="CA202" s="621"/>
      <c r="CB202" s="567"/>
      <c r="CC202" s="622"/>
      <c r="CD202" s="619"/>
      <c r="CE202" s="619"/>
      <c r="CF202" s="548"/>
      <c r="CG202" s="548"/>
      <c r="CU202" s="554">
        <f t="shared" si="35"/>
        <v>0</v>
      </c>
      <c r="CV202" s="554">
        <f t="shared" si="55"/>
        <v>0</v>
      </c>
      <c r="CW202" s="554">
        <f t="shared" si="56"/>
        <v>0</v>
      </c>
      <c r="CX202" s="619"/>
      <c r="CY202" s="619"/>
      <c r="CZ202" s="619"/>
      <c r="DA202" s="548"/>
      <c r="DB202" s="548"/>
      <c r="DC202" s="548"/>
      <c r="DD202" s="619"/>
      <c r="DE202" s="619"/>
      <c r="DF202" s="619"/>
      <c r="DG202" s="619"/>
      <c r="DH202" s="619"/>
    </row>
    <row r="203" s="548" customFormat="1" ht="31" customHeight="1" spans="1:112">
      <c r="A203" s="608">
        <v>45779</v>
      </c>
      <c r="B203" s="609" t="s">
        <v>6553</v>
      </c>
      <c r="C203" s="610" t="s">
        <v>98</v>
      </c>
      <c r="D203" s="554">
        <v>4500165547</v>
      </c>
      <c r="E203" s="610" t="s">
        <v>6555</v>
      </c>
      <c r="F203" s="554" t="s">
        <v>6556</v>
      </c>
      <c r="G203" s="610" t="s">
        <v>6557</v>
      </c>
      <c r="H203" s="610" t="s">
        <v>6080</v>
      </c>
      <c r="I203" s="610">
        <v>720</v>
      </c>
      <c r="J203" s="610">
        <v>0</v>
      </c>
      <c r="K203" s="610">
        <v>60</v>
      </c>
      <c r="L203" s="611">
        <f t="shared" si="40"/>
        <v>12</v>
      </c>
      <c r="M203" s="612">
        <v>45821</v>
      </c>
      <c r="N203" s="612">
        <v>45817</v>
      </c>
      <c r="O203" s="613"/>
      <c r="P203" s="613" t="s">
        <v>113</v>
      </c>
      <c r="Q203" s="610"/>
      <c r="R203" s="614">
        <v>45796</v>
      </c>
      <c r="S203" s="614" t="s">
        <v>104</v>
      </c>
      <c r="T203" s="614" t="s">
        <v>70</v>
      </c>
      <c r="U203" s="614"/>
      <c r="V203" s="614"/>
      <c r="W203" s="615"/>
      <c r="X203" s="628" t="s">
        <v>657</v>
      </c>
      <c r="Y203" s="609" t="s">
        <v>6327</v>
      </c>
      <c r="Z203" s="609">
        <v>38.22</v>
      </c>
      <c r="AA203" s="616">
        <f>Z203*L203</f>
        <v>458.64</v>
      </c>
      <c r="AC203" s="617"/>
      <c r="AD203" s="610" t="s">
        <v>6557</v>
      </c>
      <c r="AE203" s="610" t="s">
        <v>82</v>
      </c>
      <c r="AF203" s="610"/>
      <c r="AG203" s="610" t="s">
        <v>74</v>
      </c>
      <c r="AH203" s="610"/>
      <c r="AI203" s="610">
        <v>720</v>
      </c>
      <c r="AJ203" s="610">
        <f t="shared" si="54"/>
        <v>0</v>
      </c>
      <c r="AK203" s="610"/>
      <c r="AL203" s="610"/>
      <c r="AM203" s="610"/>
      <c r="AN203" s="610">
        <f>I203</f>
        <v>720</v>
      </c>
      <c r="AP203" s="554">
        <f>I203</f>
        <v>720</v>
      </c>
      <c r="AR203" s="619"/>
      <c r="AS203" s="548"/>
      <c r="AT203" s="548"/>
      <c r="AU203" s="554">
        <f>I203</f>
        <v>720</v>
      </c>
      <c r="AW203" s="619"/>
      <c r="AX203" s="548"/>
      <c r="AY203" s="548"/>
      <c r="AZ203" s="548"/>
      <c r="BA203" s="548"/>
      <c r="BB203" s="620">
        <f>I203/48</f>
        <v>15</v>
      </c>
      <c r="BY203" s="619"/>
      <c r="BZ203" s="548"/>
      <c r="CA203" s="621"/>
      <c r="CB203" s="567"/>
      <c r="CC203" s="622"/>
      <c r="CD203" s="619"/>
      <c r="CE203" s="619"/>
      <c r="CF203" s="548"/>
      <c r="CG203" s="548"/>
      <c r="CL203" s="554">
        <f>I203/60</f>
        <v>12</v>
      </c>
      <c r="CU203" s="554">
        <f t="shared" ref="CU203:CU214" si="57">BQ203+BP203+BO203+BN203+BX203+BR203</f>
        <v>0</v>
      </c>
      <c r="CV203" s="554">
        <f t="shared" si="55"/>
        <v>12</v>
      </c>
      <c r="CW203" s="554">
        <f t="shared" si="56"/>
        <v>0</v>
      </c>
      <c r="CX203" s="619"/>
      <c r="CY203" s="619"/>
      <c r="CZ203" s="619"/>
      <c r="DA203" s="548"/>
      <c r="DB203" s="548"/>
      <c r="DC203" s="548"/>
      <c r="DD203" s="619"/>
      <c r="DE203" s="619"/>
      <c r="DF203" s="619"/>
      <c r="DG203" s="619"/>
      <c r="DH203" s="619"/>
    </row>
    <row r="204" s="548" customFormat="1" ht="31" customHeight="1" spans="1:112">
      <c r="A204" s="608">
        <v>45789</v>
      </c>
      <c r="B204" s="609" t="s">
        <v>493</v>
      </c>
      <c r="C204" s="610" t="s">
        <v>278</v>
      </c>
      <c r="D204" s="554">
        <v>4500166127</v>
      </c>
      <c r="E204" s="610" t="s">
        <v>6558</v>
      </c>
      <c r="F204" s="554" t="s">
        <v>6559</v>
      </c>
      <c r="G204" s="610" t="s">
        <v>6318</v>
      </c>
      <c r="H204" s="610" t="s">
        <v>6319</v>
      </c>
      <c r="I204" s="610">
        <v>1000</v>
      </c>
      <c r="J204" s="610">
        <v>25</v>
      </c>
      <c r="K204" s="610">
        <v>50</v>
      </c>
      <c r="L204" s="611">
        <f t="shared" si="40"/>
        <v>20</v>
      </c>
      <c r="M204" s="612">
        <v>45826</v>
      </c>
      <c r="N204" s="612">
        <v>45822</v>
      </c>
      <c r="O204" s="613"/>
      <c r="P204" s="613" t="s">
        <v>113</v>
      </c>
      <c r="Q204" s="610"/>
      <c r="R204" s="614" t="s">
        <v>6560</v>
      </c>
      <c r="S204" s="614" t="s">
        <v>70</v>
      </c>
      <c r="T204" s="614" t="s">
        <v>6561</v>
      </c>
      <c r="U204" s="614"/>
      <c r="V204" s="614"/>
      <c r="W204" s="615"/>
      <c r="X204" s="609" t="s">
        <v>6562</v>
      </c>
      <c r="Y204" s="609" t="s">
        <v>283</v>
      </c>
      <c r="Z204" s="609">
        <v>0.95</v>
      </c>
      <c r="AA204" s="616">
        <f>Z204*I204</f>
        <v>950</v>
      </c>
      <c r="AC204" s="629" t="s">
        <v>6563</v>
      </c>
      <c r="AD204" s="610" t="s">
        <v>6318</v>
      </c>
      <c r="AE204" s="610" t="s">
        <v>82</v>
      </c>
      <c r="AF204" s="610"/>
      <c r="AG204" s="610" t="s">
        <v>74</v>
      </c>
      <c r="AH204" s="610"/>
      <c r="AI204" s="610">
        <v>1000</v>
      </c>
      <c r="AJ204" s="610">
        <f t="shared" si="54"/>
        <v>0</v>
      </c>
      <c r="AK204" s="610"/>
      <c r="AL204" s="610"/>
      <c r="AM204" s="610"/>
      <c r="AN204" s="610"/>
      <c r="AO204" s="554">
        <f>I204</f>
        <v>1000</v>
      </c>
      <c r="AR204" s="619"/>
      <c r="AS204" s="548"/>
      <c r="AT204" s="554">
        <f>I204</f>
        <v>1000</v>
      </c>
      <c r="AV204" s="554">
        <f>I204</f>
        <v>1000</v>
      </c>
      <c r="AW204" s="619"/>
      <c r="AX204" s="548"/>
      <c r="AY204" s="548"/>
      <c r="AZ204" s="548"/>
      <c r="BA204" s="548"/>
      <c r="BB204" s="620">
        <f>I204/24</f>
        <v>41.6666666666667</v>
      </c>
      <c r="BP204" s="554">
        <f>I204/25</f>
        <v>40</v>
      </c>
      <c r="BY204" s="619"/>
      <c r="BZ204" s="548"/>
      <c r="CA204" s="621"/>
      <c r="CB204" s="567"/>
      <c r="CC204" s="622"/>
      <c r="CD204" s="619"/>
      <c r="CE204" s="619"/>
      <c r="CF204" s="548"/>
      <c r="CG204" s="548"/>
      <c r="CU204" s="554">
        <f t="shared" si="57"/>
        <v>40</v>
      </c>
      <c r="CV204" s="554">
        <f t="shared" si="55"/>
        <v>0</v>
      </c>
      <c r="CW204" s="554">
        <f t="shared" si="56"/>
        <v>0</v>
      </c>
      <c r="CX204" s="619"/>
      <c r="CY204" s="619"/>
      <c r="CZ204" s="619"/>
      <c r="DA204" s="548"/>
      <c r="DB204" s="548"/>
      <c r="DC204" s="548"/>
      <c r="DD204" s="619"/>
      <c r="DE204" s="619"/>
      <c r="DF204" s="619"/>
      <c r="DG204" s="619"/>
      <c r="DH204" s="619"/>
    </row>
    <row r="205" s="548" customFormat="1" ht="31" customHeight="1" spans="1:112">
      <c r="A205" s="608">
        <v>45791</v>
      </c>
      <c r="B205" s="609" t="s">
        <v>6564</v>
      </c>
      <c r="C205" s="610" t="s">
        <v>411</v>
      </c>
      <c r="D205" s="554">
        <v>4500163632</v>
      </c>
      <c r="E205" s="610"/>
      <c r="F205" s="554" t="s">
        <v>6565</v>
      </c>
      <c r="G205" s="610" t="s">
        <v>6079</v>
      </c>
      <c r="H205" s="610" t="s">
        <v>6080</v>
      </c>
      <c r="I205" s="610">
        <v>3000</v>
      </c>
      <c r="J205" s="610">
        <v>0</v>
      </c>
      <c r="K205" s="610">
        <v>60</v>
      </c>
      <c r="L205" s="611">
        <f t="shared" si="40"/>
        <v>50</v>
      </c>
      <c r="M205" s="612">
        <v>45826</v>
      </c>
      <c r="N205" s="612">
        <v>45822</v>
      </c>
      <c r="O205" s="613"/>
      <c r="P205" s="613" t="s">
        <v>113</v>
      </c>
      <c r="Q205" s="610"/>
      <c r="R205" s="614">
        <v>45797</v>
      </c>
      <c r="S205" s="614" t="s">
        <v>70</v>
      </c>
      <c r="T205" s="614">
        <v>45799</v>
      </c>
      <c r="U205" s="614"/>
      <c r="V205" s="614"/>
      <c r="W205" s="615"/>
      <c r="X205" s="628" t="s">
        <v>6566</v>
      </c>
      <c r="Y205" s="609" t="s">
        <v>512</v>
      </c>
      <c r="Z205" s="609">
        <v>70.6047</v>
      </c>
      <c r="AA205" s="616">
        <f>Z205*L205</f>
        <v>3530.235</v>
      </c>
      <c r="AC205" s="629" t="s">
        <v>721</v>
      </c>
      <c r="AD205" s="610" t="s">
        <v>6079</v>
      </c>
      <c r="AE205" s="610" t="s">
        <v>82</v>
      </c>
      <c r="AF205" s="610"/>
      <c r="AG205" s="610" t="s">
        <v>74</v>
      </c>
      <c r="AH205" s="610"/>
      <c r="AI205" s="610">
        <f>2940+60</f>
        <v>3000</v>
      </c>
      <c r="AJ205" s="610">
        <f t="shared" si="54"/>
        <v>0</v>
      </c>
      <c r="AK205" s="610"/>
      <c r="AL205" s="610"/>
      <c r="AM205" s="610"/>
      <c r="AN205" s="610"/>
      <c r="AO205" s="554">
        <f>I205</f>
        <v>3000</v>
      </c>
      <c r="AR205" s="619"/>
      <c r="AS205" s="548"/>
      <c r="AT205" s="554">
        <f>I205</f>
        <v>3000</v>
      </c>
      <c r="AV205" s="554">
        <f>I205</f>
        <v>3000</v>
      </c>
      <c r="AW205" s="619"/>
      <c r="AX205" s="548"/>
      <c r="AY205" s="548"/>
      <c r="AZ205" s="548"/>
      <c r="BA205" s="548"/>
      <c r="BB205" s="620">
        <f>I205/24</f>
        <v>125</v>
      </c>
      <c r="BY205" s="619"/>
      <c r="BZ205" s="548"/>
      <c r="CA205" s="621"/>
      <c r="CB205" s="567"/>
      <c r="CC205" s="622"/>
      <c r="CD205" s="619"/>
      <c r="CE205" s="619"/>
      <c r="CF205" s="548"/>
      <c r="CG205" s="548"/>
      <c r="CM205" s="554">
        <f>I205/60</f>
        <v>50</v>
      </c>
      <c r="CU205" s="554">
        <f t="shared" si="57"/>
        <v>0</v>
      </c>
      <c r="CV205" s="554">
        <f t="shared" si="55"/>
        <v>50</v>
      </c>
      <c r="CW205" s="554">
        <f t="shared" si="56"/>
        <v>0</v>
      </c>
      <c r="CX205" s="619"/>
      <c r="CY205" s="619"/>
      <c r="CZ205" s="619"/>
      <c r="DA205" s="548"/>
      <c r="DB205" s="548"/>
      <c r="DC205" s="548"/>
      <c r="DD205" s="619"/>
      <c r="DE205" s="619"/>
      <c r="DF205" s="619"/>
      <c r="DG205" s="619"/>
      <c r="DH205" s="619"/>
    </row>
    <row r="206" s="548" customFormat="1" ht="31" customHeight="1" spans="1:112">
      <c r="A206" s="608">
        <v>45769</v>
      </c>
      <c r="B206" s="609" t="s">
        <v>1472</v>
      </c>
      <c r="C206" s="610" t="s">
        <v>524</v>
      </c>
      <c r="D206" s="554">
        <v>4500164296</v>
      </c>
      <c r="E206" s="610">
        <v>5251215607</v>
      </c>
      <c r="F206" s="554" t="s">
        <v>6567</v>
      </c>
      <c r="G206" s="610" t="s">
        <v>6043</v>
      </c>
      <c r="H206" s="610" t="s">
        <v>6110</v>
      </c>
      <c r="I206" s="610">
        <v>16000</v>
      </c>
      <c r="J206" s="610">
        <v>0</v>
      </c>
      <c r="K206" s="610">
        <v>50</v>
      </c>
      <c r="L206" s="611">
        <f t="shared" si="40"/>
        <v>320</v>
      </c>
      <c r="M206" s="612">
        <v>45828</v>
      </c>
      <c r="N206" s="612">
        <v>45824</v>
      </c>
      <c r="O206" s="613"/>
      <c r="P206" s="613" t="s">
        <v>113</v>
      </c>
      <c r="Q206" s="610" t="s">
        <v>6568</v>
      </c>
      <c r="R206" s="614">
        <v>45775</v>
      </c>
      <c r="S206" s="614" t="s">
        <v>70</v>
      </c>
      <c r="T206" s="614" t="s">
        <v>6569</v>
      </c>
      <c r="U206" s="614"/>
      <c r="V206" s="614" t="s">
        <v>6570</v>
      </c>
      <c r="W206" s="615"/>
      <c r="X206" s="609" t="s">
        <v>6571</v>
      </c>
      <c r="Y206" s="609" t="s">
        <v>340</v>
      </c>
      <c r="Z206" s="609">
        <v>0.95</v>
      </c>
      <c r="AA206" s="616">
        <f>Z206*I206</f>
        <v>15200</v>
      </c>
      <c r="AC206" s="629" t="s">
        <v>6572</v>
      </c>
      <c r="AD206" s="610" t="s">
        <v>6043</v>
      </c>
      <c r="AE206" s="610" t="s">
        <v>82</v>
      </c>
      <c r="AF206" s="610"/>
      <c r="AG206" s="610" t="s">
        <v>74</v>
      </c>
      <c r="AH206" s="610"/>
      <c r="AI206" s="610">
        <v>16000</v>
      </c>
      <c r="AJ206" s="610">
        <f t="shared" si="54"/>
        <v>0</v>
      </c>
      <c r="AK206" s="610"/>
      <c r="AL206" s="610"/>
      <c r="AM206" s="610"/>
      <c r="AN206" s="610"/>
      <c r="AO206" s="554">
        <f>I206</f>
        <v>16000</v>
      </c>
      <c r="AR206" s="619"/>
      <c r="AS206" s="548"/>
      <c r="AT206" s="554">
        <f>I206</f>
        <v>16000</v>
      </c>
      <c r="AV206" s="554">
        <f>I206</f>
        <v>16000</v>
      </c>
      <c r="AW206" s="619"/>
      <c r="AX206" s="548"/>
      <c r="AY206" s="548"/>
      <c r="AZ206" s="548"/>
      <c r="BA206" s="548"/>
      <c r="BB206" s="620">
        <f>I206/24</f>
        <v>666.666666666667</v>
      </c>
      <c r="BP206" s="554">
        <f>I206/25</f>
        <v>640</v>
      </c>
      <c r="BY206" s="619"/>
      <c r="BZ206" s="548"/>
      <c r="CA206" s="621"/>
      <c r="CB206" s="567"/>
      <c r="CC206" s="622"/>
      <c r="CD206" s="619"/>
      <c r="CE206" s="619"/>
      <c r="CF206" s="548"/>
      <c r="CG206" s="548"/>
      <c r="CU206" s="554">
        <f t="shared" si="57"/>
        <v>640</v>
      </c>
      <c r="CV206" s="554">
        <f t="shared" si="55"/>
        <v>0</v>
      </c>
      <c r="CW206" s="554">
        <f t="shared" si="56"/>
        <v>0</v>
      </c>
      <c r="CX206" s="619"/>
      <c r="CY206" s="619"/>
      <c r="CZ206" s="619"/>
      <c r="DA206" s="548"/>
      <c r="DB206" s="548"/>
      <c r="DC206" s="548"/>
      <c r="DD206" s="619"/>
      <c r="DE206" s="619"/>
      <c r="DF206" s="619"/>
      <c r="DG206" s="619"/>
      <c r="DH206" s="619"/>
    </row>
    <row r="207" s="548" customFormat="1" ht="31" customHeight="1" spans="1:112">
      <c r="A207" s="608">
        <v>45789</v>
      </c>
      <c r="B207" s="609" t="s">
        <v>1642</v>
      </c>
      <c r="C207" s="610" t="s">
        <v>723</v>
      </c>
      <c r="D207" s="554">
        <v>4500165851</v>
      </c>
      <c r="E207" s="610" t="s">
        <v>6573</v>
      </c>
      <c r="F207" s="554" t="s">
        <v>6574</v>
      </c>
      <c r="G207" s="610" t="s">
        <v>6043</v>
      </c>
      <c r="H207" s="610" t="s">
        <v>6110</v>
      </c>
      <c r="I207" s="610">
        <v>2050</v>
      </c>
      <c r="J207" s="610">
        <v>0</v>
      </c>
      <c r="K207" s="610">
        <v>50</v>
      </c>
      <c r="L207" s="611">
        <f t="shared" si="40"/>
        <v>41</v>
      </c>
      <c r="M207" s="612">
        <v>45828</v>
      </c>
      <c r="N207" s="612">
        <v>45824</v>
      </c>
      <c r="O207" s="613"/>
      <c r="P207" s="613" t="s">
        <v>113</v>
      </c>
      <c r="Q207" s="610"/>
      <c r="R207" s="614">
        <v>45792</v>
      </c>
      <c r="S207" s="614" t="s">
        <v>70</v>
      </c>
      <c r="T207" s="614">
        <v>45793</v>
      </c>
      <c r="U207" s="614"/>
      <c r="V207" s="614"/>
      <c r="W207" s="615"/>
      <c r="X207" s="609" t="s">
        <v>6575</v>
      </c>
      <c r="Y207" s="609" t="s">
        <v>217</v>
      </c>
      <c r="Z207" s="609">
        <v>0.95</v>
      </c>
      <c r="AA207" s="616">
        <f>Z207*I207</f>
        <v>1947.5</v>
      </c>
      <c r="AC207" s="629" t="s">
        <v>728</v>
      </c>
      <c r="AD207" s="610" t="s">
        <v>6043</v>
      </c>
      <c r="AE207" s="610" t="s">
        <v>82</v>
      </c>
      <c r="AF207" s="610"/>
      <c r="AG207" s="610" t="s">
        <v>74</v>
      </c>
      <c r="AH207" s="610"/>
      <c r="AI207" s="610">
        <v>2050</v>
      </c>
      <c r="AJ207" s="610">
        <f t="shared" si="54"/>
        <v>0</v>
      </c>
      <c r="AK207" s="610"/>
      <c r="AL207" s="610"/>
      <c r="AM207" s="610"/>
      <c r="AN207" s="610"/>
      <c r="AO207" s="554">
        <f>I207</f>
        <v>2050</v>
      </c>
      <c r="AR207" s="619"/>
      <c r="AS207" s="548"/>
      <c r="AT207" s="554">
        <f>I207</f>
        <v>2050</v>
      </c>
      <c r="AV207" s="554">
        <f>I207</f>
        <v>2050</v>
      </c>
      <c r="AW207" s="619"/>
      <c r="AX207" s="548"/>
      <c r="AY207" s="548"/>
      <c r="AZ207" s="548"/>
      <c r="BA207" s="548"/>
      <c r="BB207" s="620">
        <f>I207/24</f>
        <v>85.4166666666667</v>
      </c>
      <c r="BP207" s="554">
        <f>I207/25</f>
        <v>82</v>
      </c>
      <c r="BY207" s="619"/>
      <c r="BZ207" s="548"/>
      <c r="CA207" s="621"/>
      <c r="CB207" s="567"/>
      <c r="CC207" s="622"/>
      <c r="CD207" s="619"/>
      <c r="CE207" s="619"/>
      <c r="CF207" s="548"/>
      <c r="CG207" s="548"/>
      <c r="CU207" s="554">
        <f t="shared" si="57"/>
        <v>82</v>
      </c>
      <c r="CV207" s="554">
        <f t="shared" si="55"/>
        <v>0</v>
      </c>
      <c r="CW207" s="554">
        <f t="shared" si="56"/>
        <v>0</v>
      </c>
      <c r="CX207" s="619"/>
      <c r="CY207" s="619"/>
      <c r="CZ207" s="619"/>
      <c r="DA207" s="548"/>
      <c r="DB207" s="548"/>
      <c r="DC207" s="548"/>
      <c r="DD207" s="619"/>
      <c r="DE207" s="619"/>
      <c r="DF207" s="619"/>
      <c r="DG207" s="619"/>
      <c r="DH207" s="619"/>
    </row>
    <row r="208" s="548" customFormat="1" ht="31" customHeight="1" spans="1:112">
      <c r="A208" s="608">
        <v>45768</v>
      </c>
      <c r="B208" s="609" t="s">
        <v>827</v>
      </c>
      <c r="C208" s="610" t="s">
        <v>524</v>
      </c>
      <c r="D208" s="554">
        <v>4500164462</v>
      </c>
      <c r="E208" s="610">
        <v>7950403009</v>
      </c>
      <c r="F208" s="554" t="s">
        <v>828</v>
      </c>
      <c r="G208" s="610" t="s">
        <v>829</v>
      </c>
      <c r="H208" s="610" t="s">
        <v>830</v>
      </c>
      <c r="I208" s="610">
        <v>64</v>
      </c>
      <c r="J208" s="610">
        <v>0</v>
      </c>
      <c r="K208" s="610">
        <v>1</v>
      </c>
      <c r="L208" s="611">
        <f t="shared" si="40"/>
        <v>64</v>
      </c>
      <c r="M208" s="612">
        <v>45819</v>
      </c>
      <c r="N208" s="612">
        <v>45825</v>
      </c>
      <c r="O208" s="613" t="s">
        <v>6576</v>
      </c>
      <c r="P208" s="613" t="s">
        <v>113</v>
      </c>
      <c r="Q208" s="610"/>
      <c r="R208" s="614">
        <v>45792</v>
      </c>
      <c r="S208" s="614" t="s">
        <v>70</v>
      </c>
      <c r="T208" s="614">
        <v>45807</v>
      </c>
      <c r="U208" s="614"/>
      <c r="V208" s="614"/>
      <c r="W208" s="615"/>
      <c r="X208" s="628" t="s">
        <v>833</v>
      </c>
      <c r="Y208" s="609" t="s">
        <v>529</v>
      </c>
      <c r="Z208" s="609">
        <v>0</v>
      </c>
      <c r="AA208" s="634">
        <f>Z208*L208</f>
        <v>0</v>
      </c>
      <c r="AC208" s="629" t="s">
        <v>834</v>
      </c>
      <c r="AD208" s="610" t="s">
        <v>829</v>
      </c>
      <c r="AE208" s="610" t="s">
        <v>82</v>
      </c>
      <c r="AF208" s="610"/>
      <c r="AG208" s="610" t="s">
        <v>74</v>
      </c>
      <c r="AH208" s="610"/>
      <c r="AI208" s="610">
        <f>512+1860+2428</f>
        <v>4800</v>
      </c>
      <c r="AJ208" s="610">
        <f>AI208-I209</f>
        <v>0</v>
      </c>
      <c r="AK208" s="610"/>
      <c r="AL208" s="610"/>
      <c r="AM208" s="610"/>
      <c r="AN208" s="610"/>
      <c r="AO208" s="548"/>
      <c r="AP208" s="548"/>
      <c r="AQ208" s="548"/>
      <c r="AR208" s="619"/>
      <c r="AS208" s="548"/>
      <c r="AT208" s="548"/>
      <c r="AU208" s="548"/>
      <c r="AV208" s="548"/>
      <c r="AW208" s="619"/>
      <c r="AX208" s="548"/>
      <c r="AY208" s="548"/>
      <c r="AZ208" s="548"/>
      <c r="BA208" s="548"/>
      <c r="BB208" s="620"/>
      <c r="BC208" s="548"/>
      <c r="BD208" s="548"/>
      <c r="BE208" s="548"/>
      <c r="BF208" s="548"/>
      <c r="BY208" s="619"/>
      <c r="BZ208" s="548"/>
      <c r="CA208" s="621"/>
      <c r="CB208" s="567"/>
      <c r="CC208" s="622"/>
      <c r="CD208" s="619"/>
      <c r="CE208" s="619"/>
      <c r="CF208" s="548"/>
      <c r="CG208" s="548"/>
      <c r="CU208" s="554">
        <f t="shared" si="57"/>
        <v>0</v>
      </c>
      <c r="CV208" s="554">
        <f t="shared" si="55"/>
        <v>0</v>
      </c>
      <c r="CW208" s="554">
        <f t="shared" si="56"/>
        <v>0</v>
      </c>
      <c r="CX208" s="619"/>
      <c r="CY208" s="619"/>
      <c r="CZ208" s="619"/>
      <c r="DA208" s="548"/>
      <c r="DB208" s="548"/>
      <c r="DC208" s="548"/>
      <c r="DD208" s="619"/>
      <c r="DE208" s="619"/>
      <c r="DF208" s="619"/>
      <c r="DG208" s="619"/>
      <c r="DH208" s="619"/>
    </row>
    <row r="209" s="548" customFormat="1" ht="31" customHeight="1" spans="1:112">
      <c r="A209" s="608">
        <v>45768</v>
      </c>
      <c r="B209" s="609" t="s">
        <v>827</v>
      </c>
      <c r="C209" s="610" t="s">
        <v>524</v>
      </c>
      <c r="D209" s="554">
        <v>4500164462</v>
      </c>
      <c r="E209" s="610">
        <v>7950403009</v>
      </c>
      <c r="F209" s="554" t="s">
        <v>828</v>
      </c>
      <c r="G209" s="613">
        <v>77711</v>
      </c>
      <c r="H209" s="610" t="s">
        <v>6033</v>
      </c>
      <c r="I209" s="610">
        <v>4800</v>
      </c>
      <c r="J209" s="610">
        <v>0</v>
      </c>
      <c r="K209" s="610">
        <v>75</v>
      </c>
      <c r="L209" s="611">
        <f t="shared" si="40"/>
        <v>64</v>
      </c>
      <c r="M209" s="612">
        <v>45819</v>
      </c>
      <c r="N209" s="612">
        <v>45825</v>
      </c>
      <c r="O209" s="613" t="s">
        <v>6576</v>
      </c>
      <c r="P209" s="613" t="s">
        <v>113</v>
      </c>
      <c r="Q209" s="610"/>
      <c r="R209" s="614">
        <v>45792</v>
      </c>
      <c r="S209" s="614" t="s">
        <v>70</v>
      </c>
      <c r="T209" s="614">
        <v>45807</v>
      </c>
      <c r="U209" s="614"/>
      <c r="V209" s="614"/>
      <c r="W209" s="615"/>
      <c r="X209" s="609"/>
      <c r="Y209" s="609" t="s">
        <v>529</v>
      </c>
      <c r="Z209" s="609">
        <v>755</v>
      </c>
      <c r="AA209" s="616">
        <f>Z209*L209</f>
        <v>48320</v>
      </c>
      <c r="AC209" s="629" t="s">
        <v>834</v>
      </c>
      <c r="AD209" s="610" t="s">
        <v>829</v>
      </c>
      <c r="AE209" s="610" t="s">
        <v>82</v>
      </c>
      <c r="AF209" s="610"/>
      <c r="AG209" s="610" t="s">
        <v>74</v>
      </c>
      <c r="AH209" s="610"/>
      <c r="AI209" s="610">
        <v>0</v>
      </c>
      <c r="AJ209" s="610">
        <v>0</v>
      </c>
      <c r="AK209" s="610"/>
      <c r="AL209" s="610"/>
      <c r="AM209" s="610"/>
      <c r="AN209" s="610"/>
      <c r="AO209" s="554">
        <f>I209*3</f>
        <v>14400</v>
      </c>
      <c r="AR209" s="619"/>
      <c r="AS209" s="548"/>
      <c r="AT209" s="548"/>
      <c r="AU209" s="548"/>
      <c r="AV209" s="548"/>
      <c r="AW209" s="619"/>
      <c r="AX209" s="548"/>
      <c r="AY209" s="548"/>
      <c r="AZ209" s="548"/>
      <c r="BA209" s="548"/>
      <c r="BB209" s="620">
        <f>I209/24*3</f>
        <v>600</v>
      </c>
      <c r="BF209" s="554">
        <f>I209*3</f>
        <v>14400</v>
      </c>
      <c r="BH209" s="554">
        <f>I209*3</f>
        <v>14400</v>
      </c>
      <c r="BI209" s="554">
        <f>I209/3</f>
        <v>1600</v>
      </c>
      <c r="BJ209" s="554">
        <f>I209/5</f>
        <v>960</v>
      </c>
      <c r="BY209" s="619"/>
      <c r="BZ209" s="548"/>
      <c r="CA209" s="621"/>
      <c r="CB209" s="567"/>
      <c r="CC209" s="622"/>
      <c r="CD209" s="619"/>
      <c r="CE209" s="619"/>
      <c r="CF209" s="548"/>
      <c r="CG209" s="548"/>
      <c r="CU209" s="554">
        <f t="shared" si="57"/>
        <v>0</v>
      </c>
      <c r="CV209" s="554">
        <f t="shared" si="55"/>
        <v>0</v>
      </c>
      <c r="CW209" s="554">
        <f t="shared" si="56"/>
        <v>0</v>
      </c>
      <c r="CX209" s="619"/>
      <c r="CY209" s="619"/>
      <c r="CZ209" s="619"/>
      <c r="DA209" s="548"/>
      <c r="DB209" s="548"/>
      <c r="DC209" s="548"/>
      <c r="DD209" s="619"/>
      <c r="DE209" s="619"/>
      <c r="DF209" s="619"/>
      <c r="DG209" s="619"/>
      <c r="DH209" s="619"/>
    </row>
    <row r="210" s="548" customFormat="1" ht="31" customHeight="1" spans="1:112">
      <c r="A210" s="608">
        <v>45784</v>
      </c>
      <c r="B210" s="609" t="s">
        <v>6577</v>
      </c>
      <c r="C210" s="610" t="s">
        <v>154</v>
      </c>
      <c r="D210" s="554">
        <v>4500165600</v>
      </c>
      <c r="E210" s="610">
        <v>246989</v>
      </c>
      <c r="F210" s="554" t="s">
        <v>6578</v>
      </c>
      <c r="G210" s="610" t="s">
        <v>6040</v>
      </c>
      <c r="H210" s="610" t="s">
        <v>6041</v>
      </c>
      <c r="I210" s="610">
        <v>4368</v>
      </c>
      <c r="J210" s="610">
        <v>0</v>
      </c>
      <c r="K210" s="610">
        <v>52</v>
      </c>
      <c r="L210" s="611">
        <f t="shared" si="40"/>
        <v>84</v>
      </c>
      <c r="M210" s="612">
        <v>45828</v>
      </c>
      <c r="N210" s="612">
        <v>45824</v>
      </c>
      <c r="O210" s="613"/>
      <c r="P210" s="613" t="s">
        <v>113</v>
      </c>
      <c r="Q210" s="610"/>
      <c r="R210" s="614">
        <v>45800</v>
      </c>
      <c r="S210" s="614" t="s">
        <v>70</v>
      </c>
      <c r="T210" s="614" t="s">
        <v>6579</v>
      </c>
      <c r="U210" s="614"/>
      <c r="V210" s="614" t="s">
        <v>6580</v>
      </c>
      <c r="W210" s="615"/>
      <c r="X210" s="609" t="s">
        <v>6581</v>
      </c>
      <c r="Y210" s="609" t="s">
        <v>2533</v>
      </c>
      <c r="Z210" s="609">
        <v>0.92</v>
      </c>
      <c r="AA210" s="616">
        <f t="shared" ref="AA210:AA225" si="58">Z210*I210</f>
        <v>4018.56</v>
      </c>
      <c r="AC210" s="629" t="s">
        <v>717</v>
      </c>
      <c r="AD210" s="610" t="s">
        <v>6040</v>
      </c>
      <c r="AE210" s="610" t="s">
        <v>82</v>
      </c>
      <c r="AF210" s="610"/>
      <c r="AG210" s="610" t="s">
        <v>74</v>
      </c>
      <c r="AH210" s="610"/>
      <c r="AI210" s="610">
        <v>4368</v>
      </c>
      <c r="AJ210" s="610">
        <f t="shared" ref="AJ210:AJ266" si="59">AI210-I210</f>
        <v>0</v>
      </c>
      <c r="AK210" s="610"/>
      <c r="AL210" s="610"/>
      <c r="AM210" s="610"/>
      <c r="AN210" s="610"/>
      <c r="AO210" s="554">
        <f>I210</f>
        <v>4368</v>
      </c>
      <c r="AR210" s="619"/>
      <c r="AS210" s="548"/>
      <c r="AT210" s="554">
        <f>I210</f>
        <v>4368</v>
      </c>
      <c r="AV210" s="554">
        <f>I210</f>
        <v>4368</v>
      </c>
      <c r="AW210" s="619"/>
      <c r="AX210" s="548"/>
      <c r="AY210" s="548"/>
      <c r="AZ210" s="548"/>
      <c r="BA210" s="548"/>
      <c r="BB210" s="620">
        <f>I210/24</f>
        <v>182</v>
      </c>
      <c r="BM210" s="554">
        <f>I210/13</f>
        <v>336</v>
      </c>
      <c r="BY210" s="619"/>
      <c r="BZ210" s="548"/>
      <c r="CA210" s="621"/>
      <c r="CB210" s="567"/>
      <c r="CC210" s="622"/>
      <c r="CD210" s="619"/>
      <c r="CE210" s="619"/>
      <c r="CF210" s="548"/>
      <c r="CG210" s="548"/>
      <c r="CU210" s="554">
        <f t="shared" si="57"/>
        <v>0</v>
      </c>
      <c r="CV210" s="554">
        <f t="shared" si="55"/>
        <v>0</v>
      </c>
      <c r="CW210" s="554">
        <f t="shared" si="56"/>
        <v>0</v>
      </c>
      <c r="CX210" s="619"/>
      <c r="CY210" s="619"/>
      <c r="CZ210" s="619"/>
      <c r="DA210" s="548"/>
      <c r="DB210" s="548"/>
      <c r="DC210" s="548"/>
      <c r="DD210" s="619"/>
      <c r="DE210" s="619"/>
      <c r="DF210" s="619"/>
      <c r="DG210" s="619"/>
      <c r="DH210" s="619"/>
    </row>
    <row r="211" s="548" customFormat="1" ht="31" customHeight="1" spans="1:112">
      <c r="A211" s="608">
        <v>45762</v>
      </c>
      <c r="B211" s="609" t="s">
        <v>757</v>
      </c>
      <c r="C211" s="610" t="s">
        <v>758</v>
      </c>
      <c r="D211" s="554">
        <v>4500163691</v>
      </c>
      <c r="E211" s="610" t="s">
        <v>6582</v>
      </c>
      <c r="F211" s="554" t="s">
        <v>6583</v>
      </c>
      <c r="G211" s="610" t="s">
        <v>6043</v>
      </c>
      <c r="H211" s="610" t="s">
        <v>6110</v>
      </c>
      <c r="I211" s="610">
        <v>10000</v>
      </c>
      <c r="J211" s="610">
        <v>0</v>
      </c>
      <c r="K211" s="610">
        <v>50</v>
      </c>
      <c r="L211" s="611">
        <f t="shared" si="40"/>
        <v>200</v>
      </c>
      <c r="M211" s="612">
        <v>45818</v>
      </c>
      <c r="N211" s="612">
        <v>45825</v>
      </c>
      <c r="O211" s="613"/>
      <c r="P211" s="613" t="s">
        <v>113</v>
      </c>
      <c r="Q211" s="610" t="s">
        <v>6584</v>
      </c>
      <c r="R211" s="614">
        <v>45784</v>
      </c>
      <c r="S211" s="614" t="s">
        <v>70</v>
      </c>
      <c r="T211" s="614">
        <v>45813</v>
      </c>
      <c r="U211" s="614"/>
      <c r="V211" s="614" t="s">
        <v>761</v>
      </c>
      <c r="W211" s="615"/>
      <c r="X211" s="609" t="s">
        <v>6585</v>
      </c>
      <c r="Y211" s="609" t="s">
        <v>529</v>
      </c>
      <c r="Z211" s="609">
        <v>0.95</v>
      </c>
      <c r="AA211" s="616">
        <f t="shared" si="58"/>
        <v>9500</v>
      </c>
      <c r="AC211" s="632" t="s">
        <v>763</v>
      </c>
      <c r="AD211" s="610" t="s">
        <v>6043</v>
      </c>
      <c r="AE211" s="610" t="s">
        <v>82</v>
      </c>
      <c r="AF211" s="610"/>
      <c r="AG211" s="610" t="s">
        <v>74</v>
      </c>
      <c r="AH211" s="610"/>
      <c r="AI211" s="610">
        <v>10000</v>
      </c>
      <c r="AJ211" s="610">
        <f t="shared" si="59"/>
        <v>0</v>
      </c>
      <c r="AK211" s="610"/>
      <c r="AL211" s="610"/>
      <c r="AM211" s="610"/>
      <c r="AN211" s="610"/>
      <c r="AO211" s="554">
        <f>I211</f>
        <v>10000</v>
      </c>
      <c r="AR211" s="619"/>
      <c r="AS211" s="548"/>
      <c r="AT211" s="554">
        <f>I211</f>
        <v>10000</v>
      </c>
      <c r="AV211" s="554">
        <f>I211</f>
        <v>10000</v>
      </c>
      <c r="AW211" s="619"/>
      <c r="AX211" s="548"/>
      <c r="AY211" s="548"/>
      <c r="AZ211" s="548"/>
      <c r="BA211" s="548"/>
      <c r="BB211" s="620">
        <f>I211/24</f>
        <v>416.666666666667</v>
      </c>
      <c r="BP211" s="554">
        <f>I211/25</f>
        <v>400</v>
      </c>
      <c r="BY211" s="619"/>
      <c r="BZ211" s="548"/>
      <c r="CA211" s="621"/>
      <c r="CB211" s="567"/>
      <c r="CC211" s="622"/>
      <c r="CD211" s="619"/>
      <c r="CE211" s="619"/>
      <c r="CF211" s="548"/>
      <c r="CG211" s="548"/>
      <c r="CU211" s="554">
        <f t="shared" si="57"/>
        <v>400</v>
      </c>
      <c r="CV211" s="554">
        <f t="shared" si="55"/>
        <v>0</v>
      </c>
      <c r="CW211" s="554">
        <f t="shared" si="56"/>
        <v>0</v>
      </c>
      <c r="CX211" s="619"/>
      <c r="CY211" s="619"/>
      <c r="CZ211" s="619"/>
      <c r="DA211" s="548"/>
      <c r="DB211" s="548"/>
      <c r="DC211" s="548"/>
      <c r="DD211" s="619"/>
      <c r="DE211" s="619"/>
      <c r="DF211" s="619"/>
      <c r="DG211" s="619"/>
      <c r="DH211" s="619"/>
    </row>
    <row r="212" s="548" customFormat="1" ht="31" customHeight="1" spans="1:112">
      <c r="A212" s="608">
        <v>46163</v>
      </c>
      <c r="B212" s="609" t="s">
        <v>803</v>
      </c>
      <c r="C212" s="610" t="s">
        <v>804</v>
      </c>
      <c r="D212" s="554">
        <v>4500167451</v>
      </c>
      <c r="E212" s="610" t="s">
        <v>805</v>
      </c>
      <c r="F212" s="554" t="s">
        <v>6586</v>
      </c>
      <c r="G212" s="610" t="s">
        <v>6587</v>
      </c>
      <c r="H212" s="610" t="s">
        <v>6588</v>
      </c>
      <c r="I212" s="610">
        <v>550</v>
      </c>
      <c r="J212" s="610">
        <v>0</v>
      </c>
      <c r="K212" s="610">
        <v>50</v>
      </c>
      <c r="L212" s="611">
        <f t="shared" si="40"/>
        <v>11</v>
      </c>
      <c r="M212" s="612">
        <v>45829</v>
      </c>
      <c r="N212" s="612">
        <v>45825</v>
      </c>
      <c r="O212" s="613"/>
      <c r="P212" s="613" t="s">
        <v>113</v>
      </c>
      <c r="Q212" s="610"/>
      <c r="R212" s="614">
        <v>45803</v>
      </c>
      <c r="S212" s="614" t="s">
        <v>70</v>
      </c>
      <c r="T212" s="614">
        <v>45813</v>
      </c>
      <c r="U212" s="614"/>
      <c r="V212" s="614"/>
      <c r="W212" s="615"/>
      <c r="X212" s="628" t="s">
        <v>6589</v>
      </c>
      <c r="Y212" s="609" t="s">
        <v>230</v>
      </c>
      <c r="Z212" s="609">
        <v>0.95</v>
      </c>
      <c r="AA212" s="616">
        <f t="shared" si="58"/>
        <v>522.5</v>
      </c>
      <c r="AC212" s="617" t="s">
        <v>808</v>
      </c>
      <c r="AD212" s="610" t="s">
        <v>6587</v>
      </c>
      <c r="AE212" s="610" t="s">
        <v>82</v>
      </c>
      <c r="AF212" s="610"/>
      <c r="AG212" s="610" t="s">
        <v>74</v>
      </c>
      <c r="AH212" s="610"/>
      <c r="AI212" s="610">
        <v>550</v>
      </c>
      <c r="AJ212" s="610">
        <f t="shared" si="59"/>
        <v>0</v>
      </c>
      <c r="AK212" s="610"/>
      <c r="AL212" s="610"/>
      <c r="AM212" s="610"/>
      <c r="AN212" s="610"/>
      <c r="AO212" s="554">
        <f>I212</f>
        <v>550</v>
      </c>
      <c r="AR212" s="619"/>
      <c r="AS212" s="548"/>
      <c r="AT212" s="554">
        <f>I212</f>
        <v>550</v>
      </c>
      <c r="AV212" s="554">
        <f>I212</f>
        <v>550</v>
      </c>
      <c r="AW212" s="619"/>
      <c r="AX212" s="548"/>
      <c r="AY212" s="548"/>
      <c r="AZ212" s="548"/>
      <c r="BA212" s="548"/>
      <c r="BB212" s="620">
        <f>I212/24</f>
        <v>22.9166666666667</v>
      </c>
      <c r="BX212" s="554">
        <f>I212/25</f>
        <v>22</v>
      </c>
      <c r="BY212" s="619"/>
      <c r="BZ212" s="548"/>
      <c r="CA212" s="621"/>
      <c r="CB212" s="567"/>
      <c r="CC212" s="622"/>
      <c r="CD212" s="619"/>
      <c r="CE212" s="619"/>
      <c r="CF212" s="548"/>
      <c r="CG212" s="548"/>
      <c r="CU212" s="554">
        <f t="shared" si="57"/>
        <v>22</v>
      </c>
      <c r="CV212" s="554">
        <f t="shared" si="55"/>
        <v>0</v>
      </c>
      <c r="CW212" s="554">
        <f t="shared" si="56"/>
        <v>0</v>
      </c>
      <c r="CX212" s="619"/>
      <c r="CY212" s="619"/>
      <c r="CZ212" s="619"/>
      <c r="DA212" s="548"/>
      <c r="DB212" s="548"/>
      <c r="DC212" s="548"/>
      <c r="DD212" s="619"/>
      <c r="DE212" s="619"/>
      <c r="DF212" s="619"/>
      <c r="DG212" s="619"/>
      <c r="DH212" s="619"/>
    </row>
    <row r="213" s="548" customFormat="1" ht="31" customHeight="1" spans="1:112">
      <c r="A213" s="608">
        <v>45799</v>
      </c>
      <c r="B213" s="609" t="s">
        <v>781</v>
      </c>
      <c r="C213" s="610" t="s">
        <v>782</v>
      </c>
      <c r="D213" s="554">
        <v>4500167533</v>
      </c>
      <c r="E213" s="610"/>
      <c r="F213" s="554" t="s">
        <v>6590</v>
      </c>
      <c r="G213" s="610" t="s">
        <v>6276</v>
      </c>
      <c r="H213" s="610" t="s">
        <v>6277</v>
      </c>
      <c r="I213" s="610">
        <v>400</v>
      </c>
      <c r="J213" s="610">
        <v>0</v>
      </c>
      <c r="K213" s="610">
        <v>50</v>
      </c>
      <c r="L213" s="611">
        <f t="shared" si="40"/>
        <v>8</v>
      </c>
      <c r="M213" s="612">
        <v>45831</v>
      </c>
      <c r="N213" s="612">
        <v>45827</v>
      </c>
      <c r="O213" s="613"/>
      <c r="P213" s="613" t="s">
        <v>113</v>
      </c>
      <c r="Q213" s="610"/>
      <c r="R213" s="614">
        <v>45799</v>
      </c>
      <c r="S213" s="614" t="s">
        <v>70</v>
      </c>
      <c r="T213" s="614" t="s">
        <v>70</v>
      </c>
      <c r="U213" s="614"/>
      <c r="V213" s="614"/>
      <c r="W213" s="615"/>
      <c r="X213" s="609" t="s">
        <v>6591</v>
      </c>
      <c r="Y213" s="609" t="s">
        <v>529</v>
      </c>
      <c r="Z213" s="609">
        <v>1.32</v>
      </c>
      <c r="AA213" s="616">
        <f t="shared" si="58"/>
        <v>528</v>
      </c>
      <c r="AC213" s="629" t="s">
        <v>785</v>
      </c>
      <c r="AD213" s="610" t="s">
        <v>6276</v>
      </c>
      <c r="AE213" s="610" t="s">
        <v>82</v>
      </c>
      <c r="AF213" s="610"/>
      <c r="AG213" s="610" t="s">
        <v>74</v>
      </c>
      <c r="AH213" s="610"/>
      <c r="AI213" s="610">
        <v>400</v>
      </c>
      <c r="AJ213" s="610">
        <f t="shared" si="59"/>
        <v>0</v>
      </c>
      <c r="AK213" s="610"/>
      <c r="AL213" s="610"/>
      <c r="AM213" s="610"/>
      <c r="AN213" s="610"/>
      <c r="AO213" s="554">
        <f>I213</f>
        <v>400</v>
      </c>
      <c r="AR213" s="619"/>
      <c r="AS213" s="548"/>
      <c r="AT213" s="548"/>
      <c r="AU213" s="548"/>
      <c r="AV213" s="548"/>
      <c r="AW213" s="619"/>
      <c r="AX213" s="548"/>
      <c r="AY213" s="548"/>
      <c r="AZ213" s="548"/>
      <c r="BA213" s="548"/>
      <c r="BB213" s="620">
        <f>I213/24*2</f>
        <v>33.3333333333333</v>
      </c>
      <c r="BV213" s="554">
        <f>I213</f>
        <v>400</v>
      </c>
      <c r="BW213" s="554">
        <f>I213</f>
        <v>400</v>
      </c>
      <c r="BX213" s="554">
        <f>I213/25</f>
        <v>16</v>
      </c>
      <c r="BY213" s="619"/>
      <c r="BZ213" s="548"/>
      <c r="CA213" s="621"/>
      <c r="CB213" s="567"/>
      <c r="CC213" s="622"/>
      <c r="CD213" s="619"/>
      <c r="CE213" s="619"/>
      <c r="CF213" s="548"/>
      <c r="CG213" s="548"/>
      <c r="CU213" s="554">
        <f t="shared" si="57"/>
        <v>16</v>
      </c>
      <c r="CV213" s="554">
        <f t="shared" si="55"/>
        <v>0</v>
      </c>
      <c r="CW213" s="554">
        <f t="shared" si="56"/>
        <v>0</v>
      </c>
      <c r="CX213" s="619"/>
      <c r="CY213" s="619"/>
      <c r="CZ213" s="619"/>
      <c r="DA213" s="548"/>
      <c r="DB213" s="548"/>
      <c r="DC213" s="548"/>
      <c r="DD213" s="619"/>
      <c r="DE213" s="619"/>
      <c r="DF213" s="619"/>
      <c r="DG213" s="619"/>
      <c r="DH213" s="619"/>
    </row>
    <row r="214" s="548" customFormat="1" ht="31" customHeight="1" spans="1:112">
      <c r="A214" s="608">
        <v>45790</v>
      </c>
      <c r="B214" s="609" t="s">
        <v>3905</v>
      </c>
      <c r="C214" s="610" t="s">
        <v>765</v>
      </c>
      <c r="D214" s="554">
        <v>4500166306</v>
      </c>
      <c r="E214" s="610" t="s">
        <v>6592</v>
      </c>
      <c r="F214" s="554" t="s">
        <v>6593</v>
      </c>
      <c r="G214" s="610" t="s">
        <v>6093</v>
      </c>
      <c r="H214" s="610" t="s">
        <v>6094</v>
      </c>
      <c r="I214" s="610">
        <v>1989</v>
      </c>
      <c r="J214" s="610">
        <v>0</v>
      </c>
      <c r="K214" s="610">
        <v>13</v>
      </c>
      <c r="L214" s="611">
        <f t="shared" si="40"/>
        <v>153</v>
      </c>
      <c r="M214" s="612">
        <v>45831</v>
      </c>
      <c r="N214" s="612">
        <f>M214-4</f>
        <v>45827</v>
      </c>
      <c r="O214" s="613"/>
      <c r="P214" s="613" t="s">
        <v>113</v>
      </c>
      <c r="Q214" s="610"/>
      <c r="R214" s="614">
        <v>45806</v>
      </c>
      <c r="S214" s="614" t="s">
        <v>70</v>
      </c>
      <c r="T214" s="614">
        <v>45806</v>
      </c>
      <c r="U214" s="614"/>
      <c r="V214" s="614"/>
      <c r="W214" s="615"/>
      <c r="X214" s="628" t="s">
        <v>6594</v>
      </c>
      <c r="Y214" s="609" t="s">
        <v>615</v>
      </c>
      <c r="Z214" s="609">
        <v>0.92</v>
      </c>
      <c r="AA214" s="616">
        <f t="shared" si="58"/>
        <v>1829.88</v>
      </c>
      <c r="AC214" s="617" t="s">
        <v>769</v>
      </c>
      <c r="AD214" s="610" t="s">
        <v>6093</v>
      </c>
      <c r="AE214" s="610" t="s">
        <v>82</v>
      </c>
      <c r="AF214" s="610"/>
      <c r="AG214" s="610" t="s">
        <v>74</v>
      </c>
      <c r="AH214" s="610"/>
      <c r="AI214" s="610">
        <v>1989</v>
      </c>
      <c r="AJ214" s="610">
        <f t="shared" si="59"/>
        <v>0</v>
      </c>
      <c r="AK214" s="610"/>
      <c r="AL214" s="610"/>
      <c r="AM214" s="610"/>
      <c r="AN214" s="610"/>
      <c r="AO214" s="554">
        <f>I214</f>
        <v>1989</v>
      </c>
      <c r="AR214" s="619"/>
      <c r="AS214" s="548"/>
      <c r="AT214" s="554">
        <f>I214</f>
        <v>1989</v>
      </c>
      <c r="AV214" s="554">
        <f>I214</f>
        <v>1989</v>
      </c>
      <c r="AW214" s="619"/>
      <c r="AX214" s="548"/>
      <c r="AY214" s="548"/>
      <c r="AZ214" s="548"/>
      <c r="BA214" s="548"/>
      <c r="BB214" s="620">
        <f>I214/24</f>
        <v>82.875</v>
      </c>
      <c r="BM214" s="554">
        <f>I214/13</f>
        <v>153</v>
      </c>
      <c r="BY214" s="619"/>
      <c r="BZ214" s="548"/>
      <c r="CA214" s="621"/>
      <c r="CB214" s="567"/>
      <c r="CC214" s="622"/>
      <c r="CD214" s="619"/>
      <c r="CE214" s="619"/>
      <c r="CF214" s="548"/>
      <c r="CG214" s="548"/>
      <c r="CU214" s="554">
        <f t="shared" si="57"/>
        <v>0</v>
      </c>
      <c r="CV214" s="554">
        <f t="shared" si="55"/>
        <v>0</v>
      </c>
      <c r="CW214" s="554">
        <f t="shared" si="56"/>
        <v>0</v>
      </c>
      <c r="CX214" s="619"/>
      <c r="CY214" s="619"/>
      <c r="CZ214" s="619"/>
      <c r="DA214" s="548"/>
      <c r="DB214" s="548"/>
      <c r="DC214" s="548"/>
      <c r="DD214" s="619"/>
      <c r="DE214" s="619"/>
      <c r="DF214" s="619"/>
      <c r="DG214" s="619"/>
      <c r="DH214" s="619"/>
    </row>
    <row r="215" s="548" customFormat="1" ht="31" customHeight="1" spans="1:112">
      <c r="A215" s="608">
        <v>45793</v>
      </c>
      <c r="B215" s="609" t="s">
        <v>266</v>
      </c>
      <c r="C215" s="610" t="s">
        <v>170</v>
      </c>
      <c r="D215" s="554">
        <v>4500166007</v>
      </c>
      <c r="E215" s="610">
        <v>3501527806</v>
      </c>
      <c r="F215" s="554" t="s">
        <v>6595</v>
      </c>
      <c r="G215" s="610" t="s">
        <v>6084</v>
      </c>
      <c r="H215" s="610" t="s">
        <v>6069</v>
      </c>
      <c r="I215" s="610">
        <v>1650</v>
      </c>
      <c r="J215" s="610">
        <v>0</v>
      </c>
      <c r="K215" s="610">
        <v>25</v>
      </c>
      <c r="L215" s="611">
        <f t="shared" si="40"/>
        <v>66</v>
      </c>
      <c r="M215" s="612">
        <v>45831</v>
      </c>
      <c r="N215" s="612">
        <v>45827</v>
      </c>
      <c r="O215" s="613" t="s">
        <v>6596</v>
      </c>
      <c r="P215" s="613" t="s">
        <v>113</v>
      </c>
      <c r="Q215" s="610"/>
      <c r="R215" s="614">
        <v>45798</v>
      </c>
      <c r="S215" s="614" t="s">
        <v>70</v>
      </c>
      <c r="T215" s="614" t="s">
        <v>70</v>
      </c>
      <c r="U215" s="614"/>
      <c r="V215" s="614"/>
      <c r="W215" s="615"/>
      <c r="X215" s="609" t="s">
        <v>6597</v>
      </c>
      <c r="Y215" s="609" t="s">
        <v>270</v>
      </c>
      <c r="Z215" s="609">
        <v>0.9514</v>
      </c>
      <c r="AA215" s="616">
        <f t="shared" si="58"/>
        <v>1569.81</v>
      </c>
      <c r="AC215" s="635" t="s">
        <v>775</v>
      </c>
      <c r="AD215" s="610" t="s">
        <v>6089</v>
      </c>
      <c r="AE215" s="610" t="s">
        <v>82</v>
      </c>
      <c r="AF215" s="610"/>
      <c r="AG215" s="610" t="s">
        <v>74</v>
      </c>
      <c r="AH215" s="610"/>
      <c r="AI215" s="610">
        <f>1625+25</f>
        <v>1650</v>
      </c>
      <c r="AJ215" s="610">
        <f t="shared" si="59"/>
        <v>0</v>
      </c>
      <c r="AK215" s="610"/>
      <c r="AL215" s="610"/>
      <c r="AM215" s="610"/>
      <c r="AN215" s="610">
        <f>I215</f>
        <v>1650</v>
      </c>
      <c r="AR215" s="619"/>
      <c r="AS215" s="554">
        <f>I215</f>
        <v>1650</v>
      </c>
      <c r="AU215" s="554">
        <f>I215</f>
        <v>1650</v>
      </c>
      <c r="AW215" s="619"/>
      <c r="AX215" s="548"/>
      <c r="AY215" s="548"/>
      <c r="AZ215" s="548"/>
      <c r="BA215" s="548"/>
      <c r="BB215" s="620">
        <f>I215/24</f>
        <v>68.75</v>
      </c>
      <c r="BO215" s="554">
        <f>I215/25</f>
        <v>66</v>
      </c>
      <c r="BY215" s="619"/>
      <c r="BZ215" s="548"/>
      <c r="CA215" s="621"/>
      <c r="CB215" s="567"/>
      <c r="CC215" s="622"/>
      <c r="CD215" s="619"/>
      <c r="CE215" s="619"/>
      <c r="CF215" s="548"/>
      <c r="CG215" s="548"/>
      <c r="CU215" s="554">
        <f t="shared" ref="CU215:CU246" si="60">BQ215+BP215+BO215+BN215+BX215+BR215</f>
        <v>66</v>
      </c>
      <c r="CV215" s="554">
        <f t="shared" si="55"/>
        <v>0</v>
      </c>
      <c r="CW215" s="554">
        <f t="shared" si="56"/>
        <v>0</v>
      </c>
      <c r="CX215" s="619"/>
      <c r="CY215" s="619"/>
      <c r="CZ215" s="619"/>
      <c r="DA215" s="548"/>
      <c r="DB215" s="548"/>
      <c r="DC215" s="548"/>
      <c r="DD215" s="619"/>
      <c r="DE215" s="619"/>
      <c r="DF215" s="619"/>
      <c r="DG215" s="619"/>
      <c r="DH215" s="619"/>
    </row>
    <row r="216" s="548" customFormat="1" ht="31" customHeight="1" spans="1:112">
      <c r="A216" s="608">
        <v>45799</v>
      </c>
      <c r="B216" s="609" t="s">
        <v>143</v>
      </c>
      <c r="C216" s="610" t="s">
        <v>98</v>
      </c>
      <c r="D216" s="554">
        <v>4500167592</v>
      </c>
      <c r="E216" s="613">
        <v>918619914</v>
      </c>
      <c r="F216" s="554" t="s">
        <v>6598</v>
      </c>
      <c r="G216" s="610" t="s">
        <v>6063</v>
      </c>
      <c r="H216" s="610" t="s">
        <v>6064</v>
      </c>
      <c r="I216" s="610">
        <v>7600</v>
      </c>
      <c r="J216" s="610">
        <v>0</v>
      </c>
      <c r="K216" s="610">
        <v>16</v>
      </c>
      <c r="L216" s="611">
        <f t="shared" si="40"/>
        <v>475</v>
      </c>
      <c r="M216" s="612">
        <v>45828</v>
      </c>
      <c r="N216" s="612">
        <v>45828</v>
      </c>
      <c r="O216" s="613" t="s">
        <v>6599</v>
      </c>
      <c r="P216" s="613" t="s">
        <v>113</v>
      </c>
      <c r="Q216" s="610"/>
      <c r="R216" s="614" t="s">
        <v>6307</v>
      </c>
      <c r="S216" s="614" t="s">
        <v>70</v>
      </c>
      <c r="T216" s="614" t="s">
        <v>148</v>
      </c>
      <c r="U216" s="614"/>
      <c r="V216" s="614"/>
      <c r="W216" s="615"/>
      <c r="X216" s="609" t="s">
        <v>6308</v>
      </c>
      <c r="Y216" s="609" t="s">
        <v>106</v>
      </c>
      <c r="Z216" s="609">
        <v>0.5936</v>
      </c>
      <c r="AA216" s="616">
        <f t="shared" si="58"/>
        <v>4511.36</v>
      </c>
      <c r="AC216" s="617" t="s">
        <v>6600</v>
      </c>
      <c r="AD216" s="610" t="s">
        <v>6063</v>
      </c>
      <c r="AE216" s="610" t="s">
        <v>82</v>
      </c>
      <c r="AF216" s="610"/>
      <c r="AG216" s="610" t="s">
        <v>74</v>
      </c>
      <c r="AH216" s="610"/>
      <c r="AI216" s="610">
        <v>7600</v>
      </c>
      <c r="AJ216" s="610">
        <f t="shared" si="59"/>
        <v>0</v>
      </c>
      <c r="AK216" s="610"/>
      <c r="AL216" s="610"/>
      <c r="AM216" s="610"/>
      <c r="AN216" s="610">
        <f>I216</f>
        <v>7600</v>
      </c>
      <c r="AP216" s="554">
        <f>I216</f>
        <v>7600</v>
      </c>
      <c r="AR216" s="619"/>
      <c r="AS216" s="548"/>
      <c r="AT216" s="548"/>
      <c r="AU216" s="554">
        <f>I216</f>
        <v>7600</v>
      </c>
      <c r="AW216" s="619"/>
      <c r="AX216" s="548"/>
      <c r="AY216" s="548"/>
      <c r="AZ216" s="548"/>
      <c r="BA216" s="548"/>
      <c r="BB216" s="620">
        <f>I216/48</f>
        <v>158.333333333333</v>
      </c>
      <c r="BQ216" s="554">
        <f>I216/16</f>
        <v>475</v>
      </c>
      <c r="BY216" s="619"/>
      <c r="BZ216" s="548"/>
      <c r="CA216" s="621"/>
      <c r="CB216" s="567"/>
      <c r="CC216" s="622"/>
      <c r="CD216" s="619"/>
      <c r="CE216" s="619"/>
      <c r="CF216" s="548"/>
      <c r="CG216" s="548"/>
      <c r="CU216" s="554">
        <f t="shared" si="60"/>
        <v>475</v>
      </c>
      <c r="CV216" s="554">
        <f t="shared" si="55"/>
        <v>0</v>
      </c>
      <c r="CW216" s="554">
        <f t="shared" si="56"/>
        <v>0</v>
      </c>
      <c r="CX216" s="619"/>
      <c r="CY216" s="619"/>
      <c r="CZ216" s="619"/>
      <c r="DA216" s="548"/>
      <c r="DB216" s="548"/>
      <c r="DC216" s="548"/>
      <c r="DD216" s="619"/>
      <c r="DE216" s="619"/>
      <c r="DF216" s="619"/>
      <c r="DG216" s="619"/>
      <c r="DH216" s="619"/>
    </row>
    <row r="217" s="548" customFormat="1" ht="31" customHeight="1" spans="1:112">
      <c r="A217" s="608">
        <v>45799</v>
      </c>
      <c r="B217" s="609" t="s">
        <v>143</v>
      </c>
      <c r="C217" s="610" t="s">
        <v>98</v>
      </c>
      <c r="D217" s="554">
        <v>4500167592</v>
      </c>
      <c r="E217" s="613">
        <v>918619839</v>
      </c>
      <c r="F217" s="554" t="s">
        <v>6601</v>
      </c>
      <c r="G217" s="610" t="s">
        <v>6063</v>
      </c>
      <c r="H217" s="610" t="s">
        <v>6064</v>
      </c>
      <c r="I217" s="610">
        <v>9008</v>
      </c>
      <c r="J217" s="610">
        <v>0</v>
      </c>
      <c r="K217" s="610">
        <v>16</v>
      </c>
      <c r="L217" s="611">
        <f t="shared" si="40"/>
        <v>563</v>
      </c>
      <c r="M217" s="612">
        <v>45828</v>
      </c>
      <c r="N217" s="612">
        <v>45828</v>
      </c>
      <c r="O217" s="613" t="s">
        <v>6599</v>
      </c>
      <c r="P217" s="613" t="s">
        <v>113</v>
      </c>
      <c r="Q217" s="610"/>
      <c r="R217" s="614" t="s">
        <v>6307</v>
      </c>
      <c r="S217" s="614" t="s">
        <v>70</v>
      </c>
      <c r="T217" s="614" t="s">
        <v>148</v>
      </c>
      <c r="U217" s="614"/>
      <c r="V217" s="614"/>
      <c r="W217" s="615"/>
      <c r="X217" s="609" t="s">
        <v>6308</v>
      </c>
      <c r="Y217" s="609" t="s">
        <v>106</v>
      </c>
      <c r="Z217" s="609">
        <v>0.5936</v>
      </c>
      <c r="AA217" s="616">
        <f t="shared" si="58"/>
        <v>5347.1488</v>
      </c>
      <c r="AC217" s="617" t="s">
        <v>6602</v>
      </c>
      <c r="AD217" s="610" t="s">
        <v>6063</v>
      </c>
      <c r="AE217" s="610" t="s">
        <v>82</v>
      </c>
      <c r="AF217" s="610"/>
      <c r="AG217" s="610" t="s">
        <v>74</v>
      </c>
      <c r="AH217" s="610"/>
      <c r="AI217" s="610">
        <v>9008</v>
      </c>
      <c r="AJ217" s="610">
        <f t="shared" si="59"/>
        <v>0</v>
      </c>
      <c r="AK217" s="610"/>
      <c r="AL217" s="610"/>
      <c r="AM217" s="610"/>
      <c r="AN217" s="610">
        <f>I217</f>
        <v>9008</v>
      </c>
      <c r="AP217" s="554">
        <f>I217</f>
        <v>9008</v>
      </c>
      <c r="AR217" s="619"/>
      <c r="AS217" s="548"/>
      <c r="AT217" s="548"/>
      <c r="AU217" s="554">
        <f>I217</f>
        <v>9008</v>
      </c>
      <c r="AW217" s="619"/>
      <c r="AX217" s="548"/>
      <c r="AY217" s="548"/>
      <c r="AZ217" s="548"/>
      <c r="BA217" s="548"/>
      <c r="BB217" s="620">
        <f>I217/48</f>
        <v>187.666666666667</v>
      </c>
      <c r="BQ217" s="554">
        <f>I217/16</f>
        <v>563</v>
      </c>
      <c r="BY217" s="619"/>
      <c r="BZ217" s="548"/>
      <c r="CA217" s="621"/>
      <c r="CB217" s="567"/>
      <c r="CC217" s="622"/>
      <c r="CD217" s="619"/>
      <c r="CE217" s="619"/>
      <c r="CF217" s="548"/>
      <c r="CG217" s="548"/>
      <c r="CU217" s="554">
        <f t="shared" si="60"/>
        <v>563</v>
      </c>
      <c r="CV217" s="554">
        <f t="shared" si="55"/>
        <v>0</v>
      </c>
      <c r="CW217" s="554">
        <f t="shared" si="56"/>
        <v>0</v>
      </c>
      <c r="CX217" s="619"/>
      <c r="CY217" s="619"/>
      <c r="CZ217" s="619"/>
      <c r="DA217" s="548"/>
      <c r="DB217" s="548"/>
      <c r="DC217" s="548"/>
      <c r="DD217" s="619"/>
      <c r="DE217" s="619"/>
      <c r="DF217" s="619"/>
      <c r="DG217" s="619"/>
      <c r="DH217" s="619"/>
    </row>
    <row r="218" s="548" customFormat="1" ht="31" customHeight="1" spans="1:112">
      <c r="A218" s="608">
        <v>45792</v>
      </c>
      <c r="B218" s="609" t="s">
        <v>841</v>
      </c>
      <c r="C218" s="610" t="s">
        <v>399</v>
      </c>
      <c r="D218" s="554">
        <v>4500166380</v>
      </c>
      <c r="E218" s="610" t="s">
        <v>842</v>
      </c>
      <c r="F218" s="554" t="s">
        <v>6603</v>
      </c>
      <c r="G218" s="610" t="s">
        <v>6043</v>
      </c>
      <c r="H218" s="610" t="s">
        <v>6110</v>
      </c>
      <c r="I218" s="610">
        <v>4000</v>
      </c>
      <c r="J218" s="610">
        <v>0</v>
      </c>
      <c r="K218" s="610">
        <v>50</v>
      </c>
      <c r="L218" s="611">
        <f t="shared" si="40"/>
        <v>80</v>
      </c>
      <c r="M218" s="612">
        <v>45832</v>
      </c>
      <c r="N218" s="612">
        <v>45828</v>
      </c>
      <c r="O218" s="613"/>
      <c r="P218" s="613" t="s">
        <v>113</v>
      </c>
      <c r="Q218" s="610"/>
      <c r="R218" s="614" t="s">
        <v>6560</v>
      </c>
      <c r="S218" s="614" t="s">
        <v>70</v>
      </c>
      <c r="T218" s="614">
        <v>45805</v>
      </c>
      <c r="U218" s="614"/>
      <c r="V218" s="614"/>
      <c r="W218" s="615"/>
      <c r="X218" s="628" t="s">
        <v>6604</v>
      </c>
      <c r="Y218" s="609" t="s">
        <v>445</v>
      </c>
      <c r="Z218" s="609">
        <v>0.99</v>
      </c>
      <c r="AA218" s="616">
        <f t="shared" si="58"/>
        <v>3960</v>
      </c>
      <c r="AC218" s="629" t="s">
        <v>845</v>
      </c>
      <c r="AD218" s="610" t="s">
        <v>6043</v>
      </c>
      <c r="AE218" s="610" t="s">
        <v>82</v>
      </c>
      <c r="AF218" s="610"/>
      <c r="AG218" s="610" t="s">
        <v>74</v>
      </c>
      <c r="AH218" s="610"/>
      <c r="AI218" s="610">
        <v>4000</v>
      </c>
      <c r="AJ218" s="610">
        <f t="shared" si="59"/>
        <v>0</v>
      </c>
      <c r="AK218" s="610"/>
      <c r="AL218" s="610"/>
      <c r="AM218" s="610"/>
      <c r="AN218" s="610"/>
      <c r="AO218" s="554">
        <f>I218</f>
        <v>4000</v>
      </c>
      <c r="AR218" s="619"/>
      <c r="AS218" s="548"/>
      <c r="AT218" s="554">
        <f>I218</f>
        <v>4000</v>
      </c>
      <c r="AV218" s="554">
        <f>I218</f>
        <v>4000</v>
      </c>
      <c r="AW218" s="619"/>
      <c r="AX218" s="548"/>
      <c r="AY218" s="548"/>
      <c r="AZ218" s="548"/>
      <c r="BA218" s="548"/>
      <c r="BB218" s="620">
        <f>I218/24</f>
        <v>166.666666666667</v>
      </c>
      <c r="BP218" s="554">
        <f>I218/25</f>
        <v>160</v>
      </c>
      <c r="BY218" s="619"/>
      <c r="BZ218" s="548"/>
      <c r="CA218" s="621"/>
      <c r="CB218" s="567"/>
      <c r="CC218" s="622"/>
      <c r="CD218" s="619"/>
      <c r="CE218" s="619"/>
      <c r="CF218" s="548"/>
      <c r="CG218" s="548"/>
      <c r="CU218" s="554">
        <f t="shared" si="60"/>
        <v>160</v>
      </c>
      <c r="CV218" s="554">
        <f t="shared" si="55"/>
        <v>0</v>
      </c>
      <c r="CW218" s="554">
        <f t="shared" si="56"/>
        <v>0</v>
      </c>
      <c r="CX218" s="619"/>
      <c r="CY218" s="619"/>
      <c r="CZ218" s="619"/>
      <c r="DA218" s="548"/>
      <c r="DB218" s="548"/>
      <c r="DC218" s="548"/>
      <c r="DD218" s="619"/>
      <c r="DE218" s="619"/>
      <c r="DF218" s="619"/>
      <c r="DG218" s="619"/>
      <c r="DH218" s="619"/>
    </row>
    <row r="219" s="548" customFormat="1" ht="31" customHeight="1" spans="1:112">
      <c r="A219" s="608">
        <v>45799</v>
      </c>
      <c r="B219" s="609" t="s">
        <v>143</v>
      </c>
      <c r="C219" s="610" t="s">
        <v>98</v>
      </c>
      <c r="D219" s="554">
        <v>4500167592</v>
      </c>
      <c r="E219" s="613">
        <v>918619927</v>
      </c>
      <c r="F219" s="554" t="s">
        <v>6605</v>
      </c>
      <c r="G219" s="610" t="s">
        <v>6063</v>
      </c>
      <c r="H219" s="610" t="s">
        <v>6064</v>
      </c>
      <c r="I219" s="610">
        <v>13520</v>
      </c>
      <c r="J219" s="610">
        <v>0</v>
      </c>
      <c r="K219" s="610">
        <v>16</v>
      </c>
      <c r="L219" s="611">
        <f t="shared" si="40"/>
        <v>845</v>
      </c>
      <c r="M219" s="612">
        <v>45828</v>
      </c>
      <c r="N219" s="612">
        <v>45828</v>
      </c>
      <c r="O219" s="613" t="s">
        <v>6599</v>
      </c>
      <c r="P219" s="613" t="s">
        <v>113</v>
      </c>
      <c r="Q219" s="610"/>
      <c r="R219" s="614" t="s">
        <v>6307</v>
      </c>
      <c r="S219" s="614" t="s">
        <v>70</v>
      </c>
      <c r="T219" s="614" t="s">
        <v>148</v>
      </c>
      <c r="U219" s="614"/>
      <c r="V219" s="614"/>
      <c r="W219" s="615"/>
      <c r="X219" s="609" t="s">
        <v>6308</v>
      </c>
      <c r="Y219" s="609" t="s">
        <v>106</v>
      </c>
      <c r="Z219" s="609">
        <v>0.5905</v>
      </c>
      <c r="AA219" s="616">
        <f t="shared" si="58"/>
        <v>7983.56</v>
      </c>
      <c r="AC219" s="617"/>
      <c r="AD219" s="610" t="s">
        <v>6063</v>
      </c>
      <c r="AE219" s="610" t="s">
        <v>82</v>
      </c>
      <c r="AF219" s="610"/>
      <c r="AG219" s="610" t="s">
        <v>74</v>
      </c>
      <c r="AH219" s="610"/>
      <c r="AI219" s="610">
        <v>13520</v>
      </c>
      <c r="AJ219" s="610">
        <f t="shared" si="59"/>
        <v>0</v>
      </c>
      <c r="AK219" s="610"/>
      <c r="AL219" s="610"/>
      <c r="AM219" s="610"/>
      <c r="AN219" s="610">
        <f>I219</f>
        <v>13520</v>
      </c>
      <c r="AP219" s="554">
        <f>I219</f>
        <v>13520</v>
      </c>
      <c r="AR219" s="619"/>
      <c r="AS219" s="548"/>
      <c r="AT219" s="548"/>
      <c r="AU219" s="554">
        <f>I219</f>
        <v>13520</v>
      </c>
      <c r="AW219" s="619"/>
      <c r="AX219" s="548"/>
      <c r="AY219" s="548"/>
      <c r="AZ219" s="548"/>
      <c r="BA219" s="548"/>
      <c r="BB219" s="620">
        <f>I219/48</f>
        <v>281.666666666667</v>
      </c>
      <c r="BQ219" s="554">
        <f>I219/16</f>
        <v>845</v>
      </c>
      <c r="BY219" s="619"/>
      <c r="BZ219" s="548"/>
      <c r="CA219" s="621"/>
      <c r="CB219" s="567"/>
      <c r="CC219" s="622"/>
      <c r="CD219" s="619"/>
      <c r="CE219" s="619"/>
      <c r="CF219" s="548"/>
      <c r="CG219" s="548"/>
      <c r="CU219" s="554">
        <f t="shared" si="60"/>
        <v>845</v>
      </c>
      <c r="CV219" s="554">
        <f t="shared" si="55"/>
        <v>0</v>
      </c>
      <c r="CW219" s="554">
        <f t="shared" si="56"/>
        <v>0</v>
      </c>
      <c r="CX219" s="619"/>
      <c r="CY219" s="619"/>
      <c r="CZ219" s="619"/>
      <c r="DA219" s="548"/>
      <c r="DB219" s="548"/>
      <c r="DC219" s="548"/>
      <c r="DD219" s="619"/>
      <c r="DE219" s="619"/>
      <c r="DF219" s="619"/>
      <c r="DG219" s="619"/>
      <c r="DH219" s="619"/>
    </row>
    <row r="220" s="548" customFormat="1" ht="31" customHeight="1" spans="1:112">
      <c r="A220" s="608">
        <v>45799</v>
      </c>
      <c r="B220" s="609" t="s">
        <v>143</v>
      </c>
      <c r="C220" s="610" t="s">
        <v>98</v>
      </c>
      <c r="D220" s="554">
        <v>4500167592</v>
      </c>
      <c r="E220" s="613">
        <v>918625877</v>
      </c>
      <c r="F220" s="554" t="s">
        <v>6606</v>
      </c>
      <c r="G220" s="610" t="s">
        <v>6063</v>
      </c>
      <c r="H220" s="610" t="s">
        <v>6064</v>
      </c>
      <c r="I220" s="610">
        <v>11664</v>
      </c>
      <c r="J220" s="610">
        <v>0</v>
      </c>
      <c r="K220" s="610">
        <v>16</v>
      </c>
      <c r="L220" s="611">
        <f t="shared" si="40"/>
        <v>729</v>
      </c>
      <c r="M220" s="612">
        <v>45828</v>
      </c>
      <c r="N220" s="612">
        <v>45831</v>
      </c>
      <c r="O220" s="613" t="s">
        <v>6599</v>
      </c>
      <c r="P220" s="613" t="s">
        <v>113</v>
      </c>
      <c r="Q220" s="610"/>
      <c r="R220" s="614" t="s">
        <v>6307</v>
      </c>
      <c r="S220" s="614" t="s">
        <v>70</v>
      </c>
      <c r="T220" s="614" t="s">
        <v>148</v>
      </c>
      <c r="U220" s="614"/>
      <c r="V220" s="614"/>
      <c r="W220" s="615"/>
      <c r="X220" s="609" t="s">
        <v>6308</v>
      </c>
      <c r="Y220" s="609" t="s">
        <v>106</v>
      </c>
      <c r="Z220" s="609">
        <v>0.5905</v>
      </c>
      <c r="AA220" s="616">
        <f t="shared" si="58"/>
        <v>6887.592</v>
      </c>
      <c r="AC220" s="617" t="s">
        <v>6607</v>
      </c>
      <c r="AD220" s="610" t="s">
        <v>6063</v>
      </c>
      <c r="AE220" s="610" t="s">
        <v>82</v>
      </c>
      <c r="AF220" s="610"/>
      <c r="AG220" s="610" t="s">
        <v>74</v>
      </c>
      <c r="AH220" s="610"/>
      <c r="AI220" s="610">
        <v>11664</v>
      </c>
      <c r="AJ220" s="610">
        <f t="shared" si="59"/>
        <v>0</v>
      </c>
      <c r="AK220" s="610"/>
      <c r="AL220" s="610"/>
      <c r="AM220" s="610"/>
      <c r="AN220" s="610">
        <f>I220</f>
        <v>11664</v>
      </c>
      <c r="AP220" s="554">
        <f>I220</f>
        <v>11664</v>
      </c>
      <c r="AR220" s="619"/>
      <c r="AS220" s="548"/>
      <c r="AT220" s="548"/>
      <c r="AU220" s="554">
        <f>I220</f>
        <v>11664</v>
      </c>
      <c r="AW220" s="619"/>
      <c r="AX220" s="548"/>
      <c r="AY220" s="548"/>
      <c r="AZ220" s="548"/>
      <c r="BA220" s="548"/>
      <c r="BB220" s="620">
        <f>I220/48</f>
        <v>243</v>
      </c>
      <c r="BQ220" s="554">
        <f>I220/16</f>
        <v>729</v>
      </c>
      <c r="BY220" s="619"/>
      <c r="BZ220" s="548"/>
      <c r="CA220" s="621"/>
      <c r="CB220" s="567"/>
      <c r="CC220" s="622"/>
      <c r="CD220" s="619"/>
      <c r="CE220" s="619"/>
      <c r="CF220" s="548"/>
      <c r="CG220" s="548"/>
      <c r="CU220" s="554">
        <f t="shared" si="60"/>
        <v>729</v>
      </c>
      <c r="CV220" s="554">
        <f t="shared" si="55"/>
        <v>0</v>
      </c>
      <c r="CW220" s="554">
        <f t="shared" si="56"/>
        <v>0</v>
      </c>
      <c r="CX220" s="619"/>
      <c r="CY220" s="619"/>
      <c r="CZ220" s="619"/>
      <c r="DA220" s="548"/>
      <c r="DB220" s="548"/>
      <c r="DC220" s="548"/>
      <c r="DD220" s="619"/>
      <c r="DE220" s="619"/>
      <c r="DF220" s="619"/>
      <c r="DG220" s="619"/>
      <c r="DH220" s="619"/>
    </row>
    <row r="221" s="548" customFormat="1" ht="31" customHeight="1" spans="1:112">
      <c r="A221" s="608">
        <v>45799</v>
      </c>
      <c r="B221" s="609" t="s">
        <v>143</v>
      </c>
      <c r="C221" s="610" t="s">
        <v>98</v>
      </c>
      <c r="D221" s="554">
        <v>4500167592</v>
      </c>
      <c r="E221" s="613">
        <v>918619895</v>
      </c>
      <c r="F221" s="554" t="s">
        <v>6608</v>
      </c>
      <c r="G221" s="610" t="s">
        <v>6063</v>
      </c>
      <c r="H221" s="610" t="s">
        <v>6064</v>
      </c>
      <c r="I221" s="610">
        <v>9488</v>
      </c>
      <c r="J221" s="610">
        <v>0</v>
      </c>
      <c r="K221" s="610">
        <v>16</v>
      </c>
      <c r="L221" s="611">
        <f t="shared" ref="L221:L284" si="61">I221/K221</f>
        <v>593</v>
      </c>
      <c r="M221" s="612">
        <v>45828</v>
      </c>
      <c r="N221" s="612">
        <v>45831</v>
      </c>
      <c r="O221" s="613" t="s">
        <v>6599</v>
      </c>
      <c r="P221" s="613" t="s">
        <v>113</v>
      </c>
      <c r="Q221" s="610"/>
      <c r="R221" s="614" t="s">
        <v>6307</v>
      </c>
      <c r="S221" s="614" t="s">
        <v>70</v>
      </c>
      <c r="T221" s="614" t="s">
        <v>148</v>
      </c>
      <c r="U221" s="614"/>
      <c r="V221" s="614"/>
      <c r="W221" s="615"/>
      <c r="X221" s="609" t="s">
        <v>6308</v>
      </c>
      <c r="Y221" s="609" t="s">
        <v>106</v>
      </c>
      <c r="Z221" s="609">
        <v>0.5936</v>
      </c>
      <c r="AA221" s="616">
        <f t="shared" si="58"/>
        <v>5632.0768</v>
      </c>
      <c r="AC221" s="617"/>
      <c r="AD221" s="610" t="s">
        <v>6063</v>
      </c>
      <c r="AE221" s="610" t="s">
        <v>82</v>
      </c>
      <c r="AF221" s="610"/>
      <c r="AG221" s="610" t="s">
        <v>74</v>
      </c>
      <c r="AH221" s="610"/>
      <c r="AI221" s="610">
        <v>9488</v>
      </c>
      <c r="AJ221" s="610">
        <f t="shared" si="59"/>
        <v>0</v>
      </c>
      <c r="AK221" s="610"/>
      <c r="AL221" s="610"/>
      <c r="AM221" s="610"/>
      <c r="AN221" s="610">
        <f>I221</f>
        <v>9488</v>
      </c>
      <c r="AP221" s="554">
        <f>I221</f>
        <v>9488</v>
      </c>
      <c r="AR221" s="619"/>
      <c r="AS221" s="548"/>
      <c r="AT221" s="548"/>
      <c r="AU221" s="554">
        <f>I221</f>
        <v>9488</v>
      </c>
      <c r="AW221" s="619"/>
      <c r="AX221" s="548"/>
      <c r="AY221" s="548"/>
      <c r="AZ221" s="548"/>
      <c r="BA221" s="548"/>
      <c r="BB221" s="620">
        <f>I221/48</f>
        <v>197.666666666667</v>
      </c>
      <c r="BQ221" s="554">
        <f>I221/16</f>
        <v>593</v>
      </c>
      <c r="BY221" s="619"/>
      <c r="BZ221" s="548"/>
      <c r="CA221" s="621"/>
      <c r="CB221" s="567"/>
      <c r="CC221" s="622"/>
      <c r="CD221" s="619"/>
      <c r="CE221" s="619"/>
      <c r="CF221" s="548"/>
      <c r="CG221" s="548"/>
      <c r="CU221" s="554">
        <f t="shared" si="60"/>
        <v>593</v>
      </c>
      <c r="CV221" s="554">
        <f t="shared" si="55"/>
        <v>0</v>
      </c>
      <c r="CW221" s="554">
        <f t="shared" si="56"/>
        <v>0</v>
      </c>
      <c r="CX221" s="619"/>
      <c r="CY221" s="619"/>
      <c r="CZ221" s="619"/>
      <c r="DA221" s="548"/>
      <c r="DB221" s="548"/>
      <c r="DC221" s="548"/>
      <c r="DD221" s="619"/>
      <c r="DE221" s="619"/>
      <c r="DF221" s="619"/>
      <c r="DG221" s="619"/>
      <c r="DH221" s="619"/>
    </row>
    <row r="222" s="548" customFormat="1" ht="31" customHeight="1" spans="1:112">
      <c r="A222" s="608">
        <v>45799</v>
      </c>
      <c r="B222" s="609" t="s">
        <v>143</v>
      </c>
      <c r="C222" s="610" t="s">
        <v>98</v>
      </c>
      <c r="D222" s="554">
        <v>4500167592</v>
      </c>
      <c r="E222" s="613">
        <v>918625838</v>
      </c>
      <c r="F222" s="554" t="s">
        <v>6609</v>
      </c>
      <c r="G222" s="610" t="s">
        <v>6063</v>
      </c>
      <c r="H222" s="610" t="s">
        <v>6064</v>
      </c>
      <c r="I222" s="610">
        <v>9120</v>
      </c>
      <c r="J222" s="610">
        <v>0</v>
      </c>
      <c r="K222" s="610">
        <v>16</v>
      </c>
      <c r="L222" s="611">
        <f t="shared" si="61"/>
        <v>570</v>
      </c>
      <c r="M222" s="612">
        <v>45828</v>
      </c>
      <c r="N222" s="612">
        <v>45831</v>
      </c>
      <c r="O222" s="613" t="s">
        <v>6599</v>
      </c>
      <c r="P222" s="613" t="s">
        <v>113</v>
      </c>
      <c r="Q222" s="610" t="s">
        <v>6610</v>
      </c>
      <c r="R222" s="614" t="s">
        <v>6307</v>
      </c>
      <c r="S222" s="614" t="s">
        <v>70</v>
      </c>
      <c r="T222" s="614" t="s">
        <v>148</v>
      </c>
      <c r="U222" s="614"/>
      <c r="V222" s="614"/>
      <c r="W222" s="615"/>
      <c r="X222" s="609" t="s">
        <v>6308</v>
      </c>
      <c r="Y222" s="609" t="s">
        <v>106</v>
      </c>
      <c r="Z222" s="609">
        <v>0.5936</v>
      </c>
      <c r="AA222" s="616">
        <f t="shared" si="58"/>
        <v>5413.632</v>
      </c>
      <c r="AC222" s="617" t="s">
        <v>6611</v>
      </c>
      <c r="AD222" s="610" t="s">
        <v>6063</v>
      </c>
      <c r="AE222" s="610" t="s">
        <v>82</v>
      </c>
      <c r="AF222" s="610"/>
      <c r="AG222" s="610" t="s">
        <v>74</v>
      </c>
      <c r="AH222" s="610"/>
      <c r="AI222" s="610">
        <v>9120</v>
      </c>
      <c r="AJ222" s="610">
        <f t="shared" si="59"/>
        <v>0</v>
      </c>
      <c r="AK222" s="610"/>
      <c r="AL222" s="610"/>
      <c r="AM222" s="610"/>
      <c r="AN222" s="610">
        <f>I222</f>
        <v>9120</v>
      </c>
      <c r="AP222" s="554">
        <f>I222</f>
        <v>9120</v>
      </c>
      <c r="AR222" s="619"/>
      <c r="AS222" s="548"/>
      <c r="AT222" s="548"/>
      <c r="AU222" s="554">
        <f>I222</f>
        <v>9120</v>
      </c>
      <c r="AW222" s="619"/>
      <c r="AX222" s="548"/>
      <c r="AY222" s="548"/>
      <c r="AZ222" s="548"/>
      <c r="BA222" s="548"/>
      <c r="BB222" s="620">
        <f>I222/48</f>
        <v>190</v>
      </c>
      <c r="BQ222" s="554">
        <f>I222/16</f>
        <v>570</v>
      </c>
      <c r="BY222" s="619"/>
      <c r="BZ222" s="548"/>
      <c r="CA222" s="621"/>
      <c r="CB222" s="567"/>
      <c r="CC222" s="622"/>
      <c r="CD222" s="619"/>
      <c r="CE222" s="619"/>
      <c r="CF222" s="548"/>
      <c r="CG222" s="548"/>
      <c r="CU222" s="554">
        <f t="shared" si="60"/>
        <v>570</v>
      </c>
      <c r="CV222" s="554">
        <f t="shared" si="55"/>
        <v>0</v>
      </c>
      <c r="CW222" s="554">
        <f t="shared" si="56"/>
        <v>0</v>
      </c>
      <c r="CX222" s="619"/>
      <c r="CY222" s="619"/>
      <c r="CZ222" s="619"/>
      <c r="DA222" s="548"/>
      <c r="DB222" s="548"/>
      <c r="DC222" s="548"/>
      <c r="DD222" s="619"/>
      <c r="DE222" s="619"/>
      <c r="DF222" s="619"/>
      <c r="DG222" s="619"/>
      <c r="DH222" s="619"/>
    </row>
    <row r="223" s="548" customFormat="1" ht="31" customHeight="1" spans="1:112">
      <c r="A223" s="608">
        <v>45798</v>
      </c>
      <c r="B223" s="609" t="s">
        <v>913</v>
      </c>
      <c r="C223" s="610" t="s">
        <v>914</v>
      </c>
      <c r="D223" s="554">
        <v>4500166269</v>
      </c>
      <c r="E223" s="610"/>
      <c r="F223" s="554" t="s">
        <v>6612</v>
      </c>
      <c r="G223" s="610" t="s">
        <v>6047</v>
      </c>
      <c r="H223" s="610" t="s">
        <v>6069</v>
      </c>
      <c r="I223" s="610">
        <v>300</v>
      </c>
      <c r="J223" s="610">
        <v>0</v>
      </c>
      <c r="K223" s="610">
        <v>25</v>
      </c>
      <c r="L223" s="611">
        <f t="shared" si="61"/>
        <v>12</v>
      </c>
      <c r="M223" s="612">
        <v>45834</v>
      </c>
      <c r="N223" s="612">
        <v>45831</v>
      </c>
      <c r="O223" s="613"/>
      <c r="P223" s="613" t="s">
        <v>113</v>
      </c>
      <c r="Q223" s="610"/>
      <c r="R223" s="614">
        <v>45798</v>
      </c>
      <c r="S223" s="614" t="s">
        <v>70</v>
      </c>
      <c r="T223" s="614" t="s">
        <v>70</v>
      </c>
      <c r="U223" s="614"/>
      <c r="V223" s="614"/>
      <c r="W223" s="615"/>
      <c r="X223" s="609" t="s">
        <v>6613</v>
      </c>
      <c r="Y223" s="609" t="s">
        <v>299</v>
      </c>
      <c r="Z223" s="609">
        <v>0.9469</v>
      </c>
      <c r="AA223" s="616">
        <f t="shared" si="58"/>
        <v>284.07</v>
      </c>
      <c r="AC223" s="617" t="s">
        <v>6614</v>
      </c>
      <c r="AD223" s="610" t="s">
        <v>6047</v>
      </c>
      <c r="AE223" s="610" t="s">
        <v>82</v>
      </c>
      <c r="AF223" s="610"/>
      <c r="AG223" s="610" t="s">
        <v>74</v>
      </c>
      <c r="AH223" s="610"/>
      <c r="AI223" s="610">
        <v>300</v>
      </c>
      <c r="AJ223" s="610">
        <f t="shared" si="59"/>
        <v>0</v>
      </c>
      <c r="AK223" s="610"/>
      <c r="AL223" s="610"/>
      <c r="AM223" s="610"/>
      <c r="AN223" s="610"/>
      <c r="AO223" s="554">
        <f>I223</f>
        <v>300</v>
      </c>
      <c r="AR223" s="619"/>
      <c r="AS223" s="548"/>
      <c r="AT223" s="554">
        <f>I223</f>
        <v>300</v>
      </c>
      <c r="AV223" s="554">
        <f>I223</f>
        <v>300</v>
      </c>
      <c r="AW223" s="619"/>
      <c r="AX223" s="548"/>
      <c r="AY223" s="548"/>
      <c r="AZ223" s="548"/>
      <c r="BA223" s="548"/>
      <c r="BB223" s="620">
        <f>I223/24</f>
        <v>12.5</v>
      </c>
      <c r="BP223" s="554">
        <f>I223/25</f>
        <v>12</v>
      </c>
      <c r="BY223" s="619"/>
      <c r="BZ223" s="548"/>
      <c r="CA223" s="621"/>
      <c r="CB223" s="567"/>
      <c r="CC223" s="622"/>
      <c r="CD223" s="619"/>
      <c r="CE223" s="619"/>
      <c r="CF223" s="548"/>
      <c r="CG223" s="548"/>
      <c r="CU223" s="554">
        <f t="shared" si="60"/>
        <v>12</v>
      </c>
      <c r="CV223" s="554">
        <f t="shared" si="55"/>
        <v>0</v>
      </c>
      <c r="CW223" s="554">
        <f t="shared" si="56"/>
        <v>0</v>
      </c>
      <c r="CX223" s="619"/>
      <c r="CY223" s="619"/>
      <c r="CZ223" s="619"/>
      <c r="DA223" s="548"/>
      <c r="DB223" s="548"/>
      <c r="DC223" s="548"/>
      <c r="DD223" s="619"/>
      <c r="DE223" s="619"/>
      <c r="DF223" s="619"/>
      <c r="DG223" s="619"/>
      <c r="DH223" s="619"/>
    </row>
    <row r="224" s="548" customFormat="1" ht="31" customHeight="1" spans="1:112">
      <c r="A224" s="608">
        <v>45798</v>
      </c>
      <c r="B224" s="609" t="s">
        <v>809</v>
      </c>
      <c r="C224" s="610" t="s">
        <v>810</v>
      </c>
      <c r="D224" s="554">
        <v>4500167360</v>
      </c>
      <c r="E224" s="610" t="s">
        <v>811</v>
      </c>
      <c r="F224" s="554" t="s">
        <v>6615</v>
      </c>
      <c r="G224" s="610" t="s">
        <v>6043</v>
      </c>
      <c r="H224" s="610" t="s">
        <v>6110</v>
      </c>
      <c r="I224" s="610">
        <v>3000</v>
      </c>
      <c r="J224" s="610">
        <v>0</v>
      </c>
      <c r="K224" s="610">
        <v>50</v>
      </c>
      <c r="L224" s="611">
        <f t="shared" si="61"/>
        <v>60</v>
      </c>
      <c r="M224" s="612">
        <v>45835</v>
      </c>
      <c r="N224" s="612">
        <v>45831</v>
      </c>
      <c r="O224" s="613"/>
      <c r="P224" s="613" t="s">
        <v>113</v>
      </c>
      <c r="Q224" s="610"/>
      <c r="R224" s="614">
        <v>45804</v>
      </c>
      <c r="S224" s="614" t="s">
        <v>70</v>
      </c>
      <c r="T224" s="614">
        <v>45805</v>
      </c>
      <c r="U224" s="614"/>
      <c r="V224" s="614"/>
      <c r="W224" s="615"/>
      <c r="X224" s="609" t="s">
        <v>6616</v>
      </c>
      <c r="Y224" s="609" t="s">
        <v>230</v>
      </c>
      <c r="Z224" s="609">
        <v>0.924</v>
      </c>
      <c r="AA224" s="616">
        <f t="shared" si="58"/>
        <v>2772</v>
      </c>
      <c r="AC224" s="629" t="s">
        <v>814</v>
      </c>
      <c r="AD224" s="610" t="s">
        <v>6043</v>
      </c>
      <c r="AE224" s="610" t="s">
        <v>82</v>
      </c>
      <c r="AF224" s="610"/>
      <c r="AG224" s="610" t="s">
        <v>74</v>
      </c>
      <c r="AH224" s="610"/>
      <c r="AI224" s="610">
        <v>3000</v>
      </c>
      <c r="AJ224" s="610">
        <f t="shared" si="59"/>
        <v>0</v>
      </c>
      <c r="AK224" s="610"/>
      <c r="AL224" s="610"/>
      <c r="AM224" s="610"/>
      <c r="AN224" s="610"/>
      <c r="AO224" s="554">
        <f>I224</f>
        <v>3000</v>
      </c>
      <c r="AR224" s="619"/>
      <c r="AS224" s="548"/>
      <c r="AT224" s="554">
        <f>I224</f>
        <v>3000</v>
      </c>
      <c r="AV224" s="554">
        <f>I224</f>
        <v>3000</v>
      </c>
      <c r="AW224" s="619"/>
      <c r="AX224" s="548"/>
      <c r="AY224" s="548"/>
      <c r="AZ224" s="548"/>
      <c r="BA224" s="548"/>
      <c r="BB224" s="620">
        <f>I224/24</f>
        <v>125</v>
      </c>
      <c r="BP224" s="554">
        <f>I224/25</f>
        <v>120</v>
      </c>
      <c r="BY224" s="619"/>
      <c r="BZ224" s="548"/>
      <c r="CA224" s="621"/>
      <c r="CB224" s="567"/>
      <c r="CC224" s="622"/>
      <c r="CD224" s="619"/>
      <c r="CE224" s="619"/>
      <c r="CF224" s="548"/>
      <c r="CG224" s="548"/>
      <c r="CU224" s="554">
        <f t="shared" si="60"/>
        <v>120</v>
      </c>
      <c r="CV224" s="554">
        <f t="shared" si="55"/>
        <v>0</v>
      </c>
      <c r="CW224" s="554">
        <f t="shared" si="56"/>
        <v>0</v>
      </c>
      <c r="CX224" s="619"/>
      <c r="CY224" s="619"/>
      <c r="CZ224" s="619"/>
      <c r="DA224" s="548"/>
      <c r="DB224" s="548"/>
      <c r="DC224" s="548"/>
      <c r="DD224" s="619"/>
      <c r="DE224" s="619"/>
      <c r="DF224" s="619"/>
      <c r="DG224" s="619"/>
      <c r="DH224" s="619"/>
    </row>
    <row r="225" s="548" customFormat="1" ht="31" customHeight="1" spans="1:112">
      <c r="A225" s="608">
        <v>45799</v>
      </c>
      <c r="B225" s="609" t="s">
        <v>143</v>
      </c>
      <c r="C225" s="610" t="s">
        <v>98</v>
      </c>
      <c r="D225" s="554">
        <v>4500167592</v>
      </c>
      <c r="E225" s="613">
        <v>918619939</v>
      </c>
      <c r="F225" s="554" t="s">
        <v>6617</v>
      </c>
      <c r="G225" s="610" t="s">
        <v>6063</v>
      </c>
      <c r="H225" s="610" t="s">
        <v>6064</v>
      </c>
      <c r="I225" s="610">
        <v>10112</v>
      </c>
      <c r="J225" s="610">
        <v>0</v>
      </c>
      <c r="K225" s="610">
        <v>16</v>
      </c>
      <c r="L225" s="611">
        <f t="shared" si="61"/>
        <v>632</v>
      </c>
      <c r="M225" s="612">
        <v>45828</v>
      </c>
      <c r="N225" s="612">
        <v>45832</v>
      </c>
      <c r="O225" s="613" t="s">
        <v>6599</v>
      </c>
      <c r="P225" s="613" t="s">
        <v>113</v>
      </c>
      <c r="Q225" s="610"/>
      <c r="R225" s="614" t="s">
        <v>6307</v>
      </c>
      <c r="S225" s="614" t="s">
        <v>70</v>
      </c>
      <c r="T225" s="614" t="s">
        <v>148</v>
      </c>
      <c r="U225" s="614"/>
      <c r="V225" s="614"/>
      <c r="W225" s="615"/>
      <c r="X225" s="609" t="s">
        <v>6308</v>
      </c>
      <c r="Y225" s="609" t="s">
        <v>106</v>
      </c>
      <c r="Z225" s="609">
        <v>0.5905</v>
      </c>
      <c r="AA225" s="616">
        <f t="shared" si="58"/>
        <v>5971.136</v>
      </c>
      <c r="AC225" s="617" t="s">
        <v>6618</v>
      </c>
      <c r="AD225" s="610" t="s">
        <v>6063</v>
      </c>
      <c r="AE225" s="610" t="s">
        <v>82</v>
      </c>
      <c r="AF225" s="610"/>
      <c r="AG225" s="610" t="s">
        <v>74</v>
      </c>
      <c r="AH225" s="610"/>
      <c r="AI225" s="610">
        <v>10112</v>
      </c>
      <c r="AJ225" s="610">
        <f t="shared" si="59"/>
        <v>0</v>
      </c>
      <c r="AK225" s="610"/>
      <c r="AL225" s="610"/>
      <c r="AM225" s="610"/>
      <c r="AN225" s="610">
        <f>I225</f>
        <v>10112</v>
      </c>
      <c r="AP225" s="554">
        <f>I225</f>
        <v>10112</v>
      </c>
      <c r="AR225" s="619"/>
      <c r="AS225" s="548"/>
      <c r="AT225" s="548"/>
      <c r="AU225" s="554">
        <f>I225</f>
        <v>10112</v>
      </c>
      <c r="AW225" s="619"/>
      <c r="AX225" s="548"/>
      <c r="AY225" s="548"/>
      <c r="AZ225" s="548"/>
      <c r="BA225" s="548"/>
      <c r="BB225" s="620">
        <f>I225/48</f>
        <v>210.666666666667</v>
      </c>
      <c r="BQ225" s="554">
        <f>I225/16</f>
        <v>632</v>
      </c>
      <c r="BY225" s="619"/>
      <c r="BZ225" s="548"/>
      <c r="CA225" s="621"/>
      <c r="CB225" s="567"/>
      <c r="CC225" s="622"/>
      <c r="CD225" s="619"/>
      <c r="CE225" s="619"/>
      <c r="CF225" s="548"/>
      <c r="CG225" s="548"/>
      <c r="CU225" s="554">
        <f t="shared" si="60"/>
        <v>632</v>
      </c>
      <c r="CV225" s="554">
        <f t="shared" si="55"/>
        <v>0</v>
      </c>
      <c r="CW225" s="554">
        <f t="shared" si="56"/>
        <v>0</v>
      </c>
      <c r="CX225" s="619"/>
      <c r="CY225" s="619"/>
      <c r="CZ225" s="619"/>
      <c r="DA225" s="548"/>
      <c r="DB225" s="548"/>
      <c r="DC225" s="548"/>
      <c r="DD225" s="619"/>
      <c r="DE225" s="619"/>
      <c r="DF225" s="619"/>
      <c r="DG225" s="619"/>
      <c r="DH225" s="619"/>
    </row>
    <row r="226" s="548" customFormat="1" ht="31" customHeight="1" spans="1:112">
      <c r="A226" s="608">
        <v>45764</v>
      </c>
      <c r="B226" s="609" t="s">
        <v>679</v>
      </c>
      <c r="C226" s="610" t="s">
        <v>411</v>
      </c>
      <c r="D226" s="554">
        <v>4500164017</v>
      </c>
      <c r="E226" s="610">
        <v>5200006591</v>
      </c>
      <c r="F226" s="554" t="s">
        <v>822</v>
      </c>
      <c r="G226" s="610" t="s">
        <v>6619</v>
      </c>
      <c r="H226" s="610" t="s">
        <v>6620</v>
      </c>
      <c r="I226" s="610">
        <v>18000</v>
      </c>
      <c r="J226" s="610">
        <v>0</v>
      </c>
      <c r="K226" s="610">
        <v>90</v>
      </c>
      <c r="L226" s="611">
        <f t="shared" si="61"/>
        <v>200</v>
      </c>
      <c r="M226" s="612">
        <v>45819</v>
      </c>
      <c r="N226" s="612">
        <v>45815</v>
      </c>
      <c r="O226" s="613"/>
      <c r="P226" s="613" t="s">
        <v>113</v>
      </c>
      <c r="Q226" s="610"/>
      <c r="R226" s="614">
        <v>45768</v>
      </c>
      <c r="S226" s="614" t="s">
        <v>70</v>
      </c>
      <c r="T226" s="614">
        <v>45777</v>
      </c>
      <c r="U226" s="614"/>
      <c r="V226" s="614"/>
      <c r="W226" s="615"/>
      <c r="X226" s="628" t="s">
        <v>6621</v>
      </c>
      <c r="Y226" s="609" t="s">
        <v>415</v>
      </c>
      <c r="Z226" s="609">
        <v>172.2144</v>
      </c>
      <c r="AA226" s="616">
        <f>Z226*L226</f>
        <v>34442.88</v>
      </c>
      <c r="AC226" s="629" t="s">
        <v>825</v>
      </c>
      <c r="AD226" s="618" t="s">
        <v>6619</v>
      </c>
      <c r="AE226" s="610" t="s">
        <v>82</v>
      </c>
      <c r="AF226" s="610"/>
      <c r="AG226" s="610" t="s">
        <v>74</v>
      </c>
      <c r="AH226" s="610"/>
      <c r="AI226" s="610">
        <v>18000</v>
      </c>
      <c r="AJ226" s="610">
        <f t="shared" si="59"/>
        <v>0</v>
      </c>
      <c r="AK226" s="610"/>
      <c r="AL226" s="610" t="s">
        <v>126</v>
      </c>
      <c r="AM226" s="610"/>
      <c r="AN226" s="610"/>
      <c r="AO226" s="554">
        <f>I226</f>
        <v>18000</v>
      </c>
      <c r="AR226" s="619"/>
      <c r="AS226" s="548"/>
      <c r="AT226" s="548"/>
      <c r="AU226" s="548"/>
      <c r="AV226" s="554">
        <f>I226</f>
        <v>18000</v>
      </c>
      <c r="AW226" s="619"/>
      <c r="AX226" s="548"/>
      <c r="AY226" s="548"/>
      <c r="AZ226" s="548"/>
      <c r="BA226" s="548"/>
      <c r="BB226" s="620">
        <f>I226/24</f>
        <v>750</v>
      </c>
      <c r="BC226" s="554">
        <f>I226</f>
        <v>18000</v>
      </c>
      <c r="BY226" s="619"/>
      <c r="BZ226" s="548"/>
      <c r="CA226" s="621"/>
      <c r="CB226" s="567"/>
      <c r="CC226" s="622"/>
      <c r="CD226" s="619"/>
      <c r="CE226" s="619"/>
      <c r="CF226" s="548"/>
      <c r="CG226" s="548"/>
      <c r="CJ226" s="554">
        <f>L226</f>
        <v>200</v>
      </c>
      <c r="CU226" s="554">
        <f t="shared" si="60"/>
        <v>0</v>
      </c>
      <c r="CV226" s="554">
        <f t="shared" si="55"/>
        <v>0</v>
      </c>
      <c r="CW226" s="554">
        <f t="shared" si="56"/>
        <v>200</v>
      </c>
      <c r="CX226" s="619"/>
      <c r="CY226" s="619"/>
      <c r="CZ226" s="619"/>
      <c r="DA226" s="548"/>
      <c r="DB226" s="548"/>
      <c r="DC226" s="548"/>
      <c r="DD226" s="619"/>
      <c r="DE226" s="619"/>
      <c r="DF226" s="619"/>
      <c r="DG226" s="619"/>
      <c r="DH226" s="619"/>
    </row>
    <row r="227" s="548" customFormat="1" ht="31" customHeight="1" spans="1:112">
      <c r="A227" s="608">
        <v>45797</v>
      </c>
      <c r="B227" s="609" t="s">
        <v>738</v>
      </c>
      <c r="C227" s="610" t="s">
        <v>348</v>
      </c>
      <c r="D227" s="554">
        <v>4500167152</v>
      </c>
      <c r="E227" s="610" t="s">
        <v>739</v>
      </c>
      <c r="F227" s="554" t="s">
        <v>6622</v>
      </c>
      <c r="G227" s="610" t="s">
        <v>6276</v>
      </c>
      <c r="H227" s="610" t="s">
        <v>6277</v>
      </c>
      <c r="I227" s="610">
        <v>1800</v>
      </c>
      <c r="J227" s="610">
        <v>0</v>
      </c>
      <c r="K227" s="610">
        <v>50</v>
      </c>
      <c r="L227" s="611">
        <f t="shared" si="61"/>
        <v>36</v>
      </c>
      <c r="M227" s="612">
        <v>45831</v>
      </c>
      <c r="N227" s="612">
        <v>45827</v>
      </c>
      <c r="O227" s="613"/>
      <c r="P227" s="613" t="s">
        <v>113</v>
      </c>
      <c r="Q227" s="610"/>
      <c r="R227" s="614">
        <v>45797</v>
      </c>
      <c r="S227" s="614" t="s">
        <v>70</v>
      </c>
      <c r="T227" s="614">
        <v>45807</v>
      </c>
      <c r="U227" s="614"/>
      <c r="V227" s="614"/>
      <c r="W227" s="615"/>
      <c r="X227" s="609" t="s">
        <v>6623</v>
      </c>
      <c r="Y227" s="609" t="s">
        <v>529</v>
      </c>
      <c r="Z227" s="609">
        <v>1.32</v>
      </c>
      <c r="AA227" s="616">
        <f t="shared" ref="AA227:AA261" si="62">Z227*I227</f>
        <v>2376</v>
      </c>
      <c r="AC227" s="629" t="s">
        <v>742</v>
      </c>
      <c r="AD227" s="610" t="s">
        <v>6276</v>
      </c>
      <c r="AE227" s="610" t="s">
        <v>82</v>
      </c>
      <c r="AF227" s="610"/>
      <c r="AG227" s="610" t="s">
        <v>74</v>
      </c>
      <c r="AH227" s="610"/>
      <c r="AI227" s="610">
        <v>1800</v>
      </c>
      <c r="AJ227" s="610">
        <f t="shared" si="59"/>
        <v>0</v>
      </c>
      <c r="AK227" s="610"/>
      <c r="AL227" s="610"/>
      <c r="AM227" s="610"/>
      <c r="AN227" s="610"/>
      <c r="AO227" s="554">
        <f>I227</f>
        <v>1800</v>
      </c>
      <c r="AR227" s="619"/>
      <c r="AS227" s="548"/>
      <c r="AT227" s="548"/>
      <c r="AU227" s="548"/>
      <c r="AV227" s="548"/>
      <c r="AW227" s="619"/>
      <c r="AX227" s="548"/>
      <c r="AY227" s="548"/>
      <c r="AZ227" s="548"/>
      <c r="BA227" s="548"/>
      <c r="BB227" s="620">
        <f>I227/24*2</f>
        <v>150</v>
      </c>
      <c r="BV227" s="554">
        <f>I227</f>
        <v>1800</v>
      </c>
      <c r="BW227" s="554">
        <f>I227</f>
        <v>1800</v>
      </c>
      <c r="BX227" s="554">
        <f>I227/25</f>
        <v>72</v>
      </c>
      <c r="BY227" s="619"/>
      <c r="BZ227" s="548"/>
      <c r="CA227" s="621"/>
      <c r="CB227" s="567"/>
      <c r="CC227" s="622"/>
      <c r="CD227" s="619"/>
      <c r="CE227" s="619"/>
      <c r="CF227" s="548"/>
      <c r="CG227" s="548"/>
      <c r="CU227" s="554">
        <f t="shared" si="60"/>
        <v>72</v>
      </c>
      <c r="CV227" s="554">
        <f t="shared" si="55"/>
        <v>0</v>
      </c>
      <c r="CW227" s="554">
        <f t="shared" si="56"/>
        <v>0</v>
      </c>
      <c r="CX227" s="619"/>
      <c r="CY227" s="619"/>
      <c r="CZ227" s="619"/>
      <c r="DA227" s="548"/>
      <c r="DB227" s="548"/>
      <c r="DC227" s="548"/>
      <c r="DD227" s="619"/>
      <c r="DE227" s="619"/>
      <c r="DF227" s="619"/>
      <c r="DG227" s="619"/>
      <c r="DH227" s="619"/>
    </row>
    <row r="228" s="548" customFormat="1" ht="31" customHeight="1" spans="1:112">
      <c r="A228" s="608">
        <v>45790</v>
      </c>
      <c r="B228" s="609" t="s">
        <v>6624</v>
      </c>
      <c r="C228" s="610" t="s">
        <v>302</v>
      </c>
      <c r="D228" s="554">
        <v>4500166177</v>
      </c>
      <c r="E228" s="610" t="s">
        <v>6625</v>
      </c>
      <c r="F228" s="554" t="s">
        <v>6626</v>
      </c>
      <c r="G228" s="610" t="s">
        <v>6040</v>
      </c>
      <c r="H228" s="610" t="s">
        <v>6041</v>
      </c>
      <c r="I228" s="610">
        <v>1053</v>
      </c>
      <c r="J228" s="610">
        <v>0</v>
      </c>
      <c r="K228" s="610">
        <v>52</v>
      </c>
      <c r="L228" s="611">
        <f t="shared" si="61"/>
        <v>20.25</v>
      </c>
      <c r="M228" s="612">
        <v>45831</v>
      </c>
      <c r="N228" s="612">
        <v>45827</v>
      </c>
      <c r="O228" s="613"/>
      <c r="P228" s="613" t="s">
        <v>113</v>
      </c>
      <c r="Q228" s="610"/>
      <c r="R228" s="614">
        <v>45805</v>
      </c>
      <c r="S228" s="614" t="s">
        <v>70</v>
      </c>
      <c r="T228" s="614">
        <v>45803</v>
      </c>
      <c r="U228" s="614"/>
      <c r="V228" s="614"/>
      <c r="W228" s="615"/>
      <c r="X228" s="609" t="s">
        <v>6627</v>
      </c>
      <c r="Y228" s="609" t="s">
        <v>261</v>
      </c>
      <c r="Z228" s="609">
        <v>0.92</v>
      </c>
      <c r="AA228" s="616">
        <f t="shared" si="62"/>
        <v>968.76</v>
      </c>
      <c r="AC228" s="617" t="s">
        <v>800</v>
      </c>
      <c r="AD228" s="610" t="s">
        <v>6040</v>
      </c>
      <c r="AE228" s="610" t="s">
        <v>82</v>
      </c>
      <c r="AF228" s="610"/>
      <c r="AG228" s="610" t="s">
        <v>74</v>
      </c>
      <c r="AH228" s="610"/>
      <c r="AI228" s="610">
        <v>1053</v>
      </c>
      <c r="AJ228" s="610">
        <f t="shared" si="59"/>
        <v>0</v>
      </c>
      <c r="AK228" s="610"/>
      <c r="AL228" s="610"/>
      <c r="AM228" s="610"/>
      <c r="AN228" s="610"/>
      <c r="AO228" s="554">
        <f>I228</f>
        <v>1053</v>
      </c>
      <c r="AR228" s="619"/>
      <c r="AS228" s="548"/>
      <c r="AT228" s="554">
        <f>I228</f>
        <v>1053</v>
      </c>
      <c r="AV228" s="554">
        <f>I228</f>
        <v>1053</v>
      </c>
      <c r="AW228" s="619"/>
      <c r="AX228" s="548"/>
      <c r="AY228" s="548"/>
      <c r="AZ228" s="548"/>
      <c r="BA228" s="548"/>
      <c r="BB228" s="620">
        <f>I228/24</f>
        <v>43.875</v>
      </c>
      <c r="BM228" s="554">
        <f>I228/13</f>
        <v>81</v>
      </c>
      <c r="BY228" s="619"/>
      <c r="BZ228" s="548"/>
      <c r="CA228" s="621"/>
      <c r="CB228" s="567"/>
      <c r="CC228" s="622"/>
      <c r="CD228" s="619"/>
      <c r="CE228" s="619"/>
      <c r="CF228" s="548"/>
      <c r="CG228" s="548"/>
      <c r="CU228" s="554">
        <f t="shared" si="60"/>
        <v>0</v>
      </c>
      <c r="CV228" s="554">
        <f t="shared" si="55"/>
        <v>0</v>
      </c>
      <c r="CW228" s="554">
        <f t="shared" si="56"/>
        <v>0</v>
      </c>
      <c r="CX228" s="619"/>
      <c r="CY228" s="619"/>
      <c r="CZ228" s="619"/>
      <c r="DA228" s="548"/>
      <c r="DB228" s="548"/>
      <c r="DC228" s="548"/>
      <c r="DD228" s="619"/>
      <c r="DE228" s="619"/>
      <c r="DF228" s="619"/>
      <c r="DG228" s="619"/>
      <c r="DH228" s="619"/>
    </row>
    <row r="229" s="548" customFormat="1" ht="31" customHeight="1" spans="1:112">
      <c r="A229" s="608">
        <v>45775</v>
      </c>
      <c r="B229" s="609" t="s">
        <v>143</v>
      </c>
      <c r="C229" s="610" t="s">
        <v>98</v>
      </c>
      <c r="D229" s="554">
        <v>4500162828</v>
      </c>
      <c r="E229" s="610" t="s">
        <v>6628</v>
      </c>
      <c r="F229" s="554" t="s">
        <v>6629</v>
      </c>
      <c r="G229" s="610" t="s">
        <v>6063</v>
      </c>
      <c r="H229" s="610" t="s">
        <v>6064</v>
      </c>
      <c r="I229" s="610">
        <v>7536</v>
      </c>
      <c r="J229" s="610">
        <v>0</v>
      </c>
      <c r="K229" s="610">
        <v>16</v>
      </c>
      <c r="L229" s="611">
        <f t="shared" si="61"/>
        <v>471</v>
      </c>
      <c r="M229" s="612">
        <v>45832</v>
      </c>
      <c r="N229" s="612">
        <v>45828</v>
      </c>
      <c r="O229" s="613" t="s">
        <v>6630</v>
      </c>
      <c r="P229" s="613" t="s">
        <v>113</v>
      </c>
      <c r="Q229" s="610"/>
      <c r="R229" s="614" t="s">
        <v>6307</v>
      </c>
      <c r="S229" s="614" t="s">
        <v>70</v>
      </c>
      <c r="T229" s="614" t="s">
        <v>148</v>
      </c>
      <c r="U229" s="614"/>
      <c r="V229" s="614"/>
      <c r="W229" s="615"/>
      <c r="X229" s="609" t="s">
        <v>6308</v>
      </c>
      <c r="Y229" s="609" t="s">
        <v>106</v>
      </c>
      <c r="Z229" s="609">
        <v>1.008</v>
      </c>
      <c r="AA229" s="616">
        <f t="shared" si="62"/>
        <v>7596.288</v>
      </c>
      <c r="AC229" s="617" t="s">
        <v>6631</v>
      </c>
      <c r="AD229" s="610" t="s">
        <v>6063</v>
      </c>
      <c r="AE229" s="610" t="s">
        <v>82</v>
      </c>
      <c r="AF229" s="610"/>
      <c r="AG229" s="610" t="s">
        <v>74</v>
      </c>
      <c r="AH229" s="610"/>
      <c r="AI229" s="610">
        <v>7536</v>
      </c>
      <c r="AJ229" s="610">
        <f t="shared" si="59"/>
        <v>0</v>
      </c>
      <c r="AK229" s="610"/>
      <c r="AL229" s="610"/>
      <c r="AM229" s="610"/>
      <c r="AN229" s="610">
        <f>I229</f>
        <v>7536</v>
      </c>
      <c r="AP229" s="554">
        <f>I229</f>
        <v>7536</v>
      </c>
      <c r="AR229" s="619"/>
      <c r="AS229" s="548"/>
      <c r="AT229" s="548"/>
      <c r="AU229" s="554">
        <f>I229</f>
        <v>7536</v>
      </c>
      <c r="AW229" s="619"/>
      <c r="AX229" s="548"/>
      <c r="AY229" s="548"/>
      <c r="AZ229" s="548"/>
      <c r="BA229" s="548"/>
      <c r="BB229" s="620">
        <f>I229/48</f>
        <v>157</v>
      </c>
      <c r="BQ229" s="554">
        <f>I229/16</f>
        <v>471</v>
      </c>
      <c r="BY229" s="619"/>
      <c r="BZ229" s="548"/>
      <c r="CA229" s="621"/>
      <c r="CB229" s="567"/>
      <c r="CC229" s="622"/>
      <c r="CD229" s="619"/>
      <c r="CE229" s="619"/>
      <c r="CF229" s="548"/>
      <c r="CG229" s="548"/>
      <c r="CU229" s="554">
        <f t="shared" si="60"/>
        <v>471</v>
      </c>
      <c r="CV229" s="554">
        <f t="shared" si="55"/>
        <v>0</v>
      </c>
      <c r="CW229" s="554">
        <f t="shared" si="56"/>
        <v>0</v>
      </c>
      <c r="CX229" s="619"/>
      <c r="CY229" s="619"/>
      <c r="CZ229" s="619"/>
      <c r="DA229" s="548"/>
      <c r="DB229" s="548"/>
      <c r="DC229" s="548"/>
      <c r="DD229" s="619"/>
      <c r="DE229" s="619"/>
      <c r="DF229" s="619"/>
      <c r="DG229" s="619"/>
      <c r="DH229" s="619"/>
    </row>
    <row r="230" s="548" customFormat="1" ht="31" customHeight="1" spans="1:112">
      <c r="A230" s="608">
        <v>45772</v>
      </c>
      <c r="B230" s="609" t="s">
        <v>786</v>
      </c>
      <c r="C230" s="610" t="s">
        <v>411</v>
      </c>
      <c r="D230" s="554">
        <v>4500164834</v>
      </c>
      <c r="E230" s="610"/>
      <c r="F230" s="554" t="s">
        <v>6632</v>
      </c>
      <c r="G230" s="610" t="s">
        <v>6043</v>
      </c>
      <c r="H230" s="610" t="s">
        <v>6110</v>
      </c>
      <c r="I230" s="610">
        <v>1200</v>
      </c>
      <c r="J230" s="610">
        <v>0</v>
      </c>
      <c r="K230" s="610">
        <v>50</v>
      </c>
      <c r="L230" s="611">
        <f t="shared" si="61"/>
        <v>24</v>
      </c>
      <c r="M230" s="612">
        <v>45833</v>
      </c>
      <c r="N230" s="612">
        <v>45828</v>
      </c>
      <c r="O230" s="613"/>
      <c r="P230" s="613" t="s">
        <v>113</v>
      </c>
      <c r="Q230" s="610"/>
      <c r="R230" s="614">
        <v>45777</v>
      </c>
      <c r="S230" s="614" t="s">
        <v>70</v>
      </c>
      <c r="T230" s="614">
        <v>45789</v>
      </c>
      <c r="U230" s="614"/>
      <c r="V230" s="614"/>
      <c r="W230" s="615"/>
      <c r="X230" s="609" t="s">
        <v>6633</v>
      </c>
      <c r="Y230" s="609" t="s">
        <v>445</v>
      </c>
      <c r="Z230" s="609">
        <v>0.95</v>
      </c>
      <c r="AA230" s="616">
        <f t="shared" si="62"/>
        <v>1140</v>
      </c>
      <c r="AC230" s="617" t="s">
        <v>789</v>
      </c>
      <c r="AD230" s="610" t="s">
        <v>6043</v>
      </c>
      <c r="AE230" s="610" t="s">
        <v>82</v>
      </c>
      <c r="AF230" s="610"/>
      <c r="AG230" s="610" t="s">
        <v>74</v>
      </c>
      <c r="AH230" s="610"/>
      <c r="AI230" s="610">
        <v>1200</v>
      </c>
      <c r="AJ230" s="610">
        <f t="shared" si="59"/>
        <v>0</v>
      </c>
      <c r="AK230" s="610"/>
      <c r="AL230" s="610"/>
      <c r="AM230" s="610"/>
      <c r="AN230" s="610"/>
      <c r="AO230" s="554">
        <f>I230</f>
        <v>1200</v>
      </c>
      <c r="AR230" s="619"/>
      <c r="AS230" s="548"/>
      <c r="AT230" s="554">
        <f>I230</f>
        <v>1200</v>
      </c>
      <c r="AV230" s="554">
        <f>I230</f>
        <v>1200</v>
      </c>
      <c r="AW230" s="619"/>
      <c r="AX230" s="548"/>
      <c r="AY230" s="548"/>
      <c r="AZ230" s="548"/>
      <c r="BA230" s="548"/>
      <c r="BB230" s="620">
        <f>I230/24</f>
        <v>50</v>
      </c>
      <c r="BP230" s="554">
        <f>I230/25</f>
        <v>48</v>
      </c>
      <c r="BY230" s="619"/>
      <c r="BZ230" s="548"/>
      <c r="CA230" s="621"/>
      <c r="CB230" s="567"/>
      <c r="CC230" s="622"/>
      <c r="CD230" s="619"/>
      <c r="CE230" s="619"/>
      <c r="CF230" s="548"/>
      <c r="CG230" s="548"/>
      <c r="CU230" s="554">
        <f t="shared" si="60"/>
        <v>48</v>
      </c>
      <c r="CV230" s="554">
        <f t="shared" si="55"/>
        <v>0</v>
      </c>
      <c r="CW230" s="554">
        <f t="shared" si="56"/>
        <v>0</v>
      </c>
      <c r="CX230" s="619"/>
      <c r="CY230" s="619"/>
      <c r="CZ230" s="619"/>
      <c r="DA230" s="548"/>
      <c r="DB230" s="548"/>
      <c r="DC230" s="548"/>
      <c r="DD230" s="619"/>
      <c r="DE230" s="619"/>
      <c r="DF230" s="619"/>
      <c r="DG230" s="619"/>
      <c r="DH230" s="619"/>
    </row>
    <row r="231" s="548" customFormat="1" ht="31" customHeight="1" spans="1:112">
      <c r="A231" s="608">
        <v>45726</v>
      </c>
      <c r="B231" s="609" t="s">
        <v>549</v>
      </c>
      <c r="C231" s="610" t="s">
        <v>278</v>
      </c>
      <c r="D231" s="554">
        <v>4500159555</v>
      </c>
      <c r="E231" s="610" t="s">
        <v>6634</v>
      </c>
      <c r="F231" s="554" t="s">
        <v>6635</v>
      </c>
      <c r="G231" s="610" t="s">
        <v>6365</v>
      </c>
      <c r="H231" s="610" t="s">
        <v>6126</v>
      </c>
      <c r="I231" s="610">
        <v>2124</v>
      </c>
      <c r="J231" s="610">
        <v>0</v>
      </c>
      <c r="K231" s="610">
        <v>12</v>
      </c>
      <c r="L231" s="611">
        <f t="shared" si="61"/>
        <v>177</v>
      </c>
      <c r="M231" s="612">
        <v>45834</v>
      </c>
      <c r="N231" s="612">
        <v>45831</v>
      </c>
      <c r="O231" s="613"/>
      <c r="P231" s="613" t="s">
        <v>113</v>
      </c>
      <c r="Q231" s="610" t="s">
        <v>6636</v>
      </c>
      <c r="R231" s="614" t="s">
        <v>463</v>
      </c>
      <c r="S231" s="614" t="s">
        <v>104</v>
      </c>
      <c r="T231" s="614" t="s">
        <v>6366</v>
      </c>
      <c r="U231" s="614"/>
      <c r="V231" s="614"/>
      <c r="W231" s="615"/>
      <c r="X231" s="609" t="s">
        <v>6637</v>
      </c>
      <c r="Y231" s="609" t="s">
        <v>466</v>
      </c>
      <c r="Z231" s="609">
        <v>2.1629</v>
      </c>
      <c r="AA231" s="616">
        <f t="shared" si="62"/>
        <v>4593.9996</v>
      </c>
      <c r="AC231" s="617" t="s">
        <v>6638</v>
      </c>
      <c r="AD231" s="610" t="s">
        <v>6368</v>
      </c>
      <c r="AE231" s="610" t="s">
        <v>82</v>
      </c>
      <c r="AF231" s="610"/>
      <c r="AG231" s="610" t="s">
        <v>74</v>
      </c>
      <c r="AH231" s="610"/>
      <c r="AI231" s="610">
        <v>2124</v>
      </c>
      <c r="AJ231" s="610">
        <f t="shared" si="59"/>
        <v>0</v>
      </c>
      <c r="AK231" s="610"/>
      <c r="AL231" s="610"/>
      <c r="AM231" s="610"/>
      <c r="AN231" s="610"/>
      <c r="AO231" s="554">
        <f>I231*2</f>
        <v>4248</v>
      </c>
      <c r="AR231" s="619"/>
      <c r="AS231" s="548"/>
      <c r="AT231" s="554">
        <f>I231*2</f>
        <v>4248</v>
      </c>
      <c r="AV231" s="554">
        <f>I231*2</f>
        <v>4248</v>
      </c>
      <c r="AW231" s="619"/>
      <c r="AX231" s="548"/>
      <c r="AY231" s="548"/>
      <c r="AZ231" s="548"/>
      <c r="BA231" s="548"/>
      <c r="BB231" s="249">
        <f>I231/24*2</f>
        <v>177</v>
      </c>
      <c r="BY231" s="619"/>
      <c r="BZ231" s="548"/>
      <c r="CA231" s="621"/>
      <c r="CB231" s="567"/>
      <c r="CC231" s="622"/>
      <c r="CD231" s="619"/>
      <c r="CE231" s="619"/>
      <c r="CF231" s="548"/>
      <c r="CG231" s="548"/>
      <c r="CR231" s="554">
        <f>I231</f>
        <v>2124</v>
      </c>
      <c r="CS231" s="554">
        <f>I231</f>
        <v>2124</v>
      </c>
      <c r="CT231" s="554">
        <f>I231</f>
        <v>2124</v>
      </c>
      <c r="CU231" s="554">
        <f t="shared" si="60"/>
        <v>0</v>
      </c>
      <c r="CV231" s="554">
        <f t="shared" si="55"/>
        <v>0</v>
      </c>
      <c r="CW231" s="554">
        <f t="shared" si="56"/>
        <v>0</v>
      </c>
      <c r="CX231" s="619"/>
      <c r="CY231" s="619"/>
      <c r="CZ231" s="619"/>
      <c r="DA231" s="548"/>
      <c r="DB231" s="548"/>
      <c r="DC231" s="548"/>
      <c r="DD231" s="619"/>
      <c r="DE231" s="619"/>
      <c r="DF231" s="619"/>
      <c r="DG231" s="619"/>
      <c r="DH231" s="619"/>
    </row>
    <row r="232" s="548" customFormat="1" ht="31" customHeight="1" spans="1:112">
      <c r="A232" s="608">
        <v>45798</v>
      </c>
      <c r="B232" s="609" t="s">
        <v>539</v>
      </c>
      <c r="C232" s="610" t="s">
        <v>399</v>
      </c>
      <c r="D232" s="554">
        <v>4500167394</v>
      </c>
      <c r="E232" s="610" t="s">
        <v>6639</v>
      </c>
      <c r="F232" s="554" t="s">
        <v>6640</v>
      </c>
      <c r="G232" s="610" t="s">
        <v>6365</v>
      </c>
      <c r="H232" s="610" t="s">
        <v>6126</v>
      </c>
      <c r="I232" s="610">
        <v>504</v>
      </c>
      <c r="J232" s="610">
        <v>0</v>
      </c>
      <c r="K232" s="610">
        <v>12</v>
      </c>
      <c r="L232" s="611">
        <f t="shared" si="61"/>
        <v>42</v>
      </c>
      <c r="M232" s="612">
        <v>45835</v>
      </c>
      <c r="N232" s="612">
        <v>45831</v>
      </c>
      <c r="O232" s="613"/>
      <c r="P232" s="613" t="s">
        <v>113</v>
      </c>
      <c r="Q232" s="610" t="s">
        <v>6641</v>
      </c>
      <c r="R232" s="614" t="s">
        <v>463</v>
      </c>
      <c r="S232" s="614" t="s">
        <v>104</v>
      </c>
      <c r="T232" s="614">
        <v>45811</v>
      </c>
      <c r="U232" s="614"/>
      <c r="V232" s="614"/>
      <c r="W232" s="615"/>
      <c r="X232" s="609" t="s">
        <v>6642</v>
      </c>
      <c r="Y232" s="609" t="s">
        <v>544</v>
      </c>
      <c r="Z232" s="609">
        <v>2.2418</v>
      </c>
      <c r="AA232" s="616">
        <f t="shared" si="62"/>
        <v>1129.8672</v>
      </c>
      <c r="AC232" s="617" t="s">
        <v>6643</v>
      </c>
      <c r="AD232" s="610" t="s">
        <v>6644</v>
      </c>
      <c r="AE232" s="610" t="s">
        <v>82</v>
      </c>
      <c r="AF232" s="610"/>
      <c r="AG232" s="610" t="s">
        <v>74</v>
      </c>
      <c r="AH232" s="610"/>
      <c r="AI232" s="610">
        <v>504</v>
      </c>
      <c r="AJ232" s="610">
        <f t="shared" si="59"/>
        <v>0</v>
      </c>
      <c r="AK232" s="610"/>
      <c r="AL232" s="610"/>
      <c r="AM232" s="610"/>
      <c r="AN232" s="610"/>
      <c r="AO232" s="554">
        <f>I232*2</f>
        <v>1008</v>
      </c>
      <c r="AP232" s="554">
        <f>I232*2</f>
        <v>1008</v>
      </c>
      <c r="AR232" s="619"/>
      <c r="AS232" s="548"/>
      <c r="AT232" s="548"/>
      <c r="AU232" s="548"/>
      <c r="AV232" s="554">
        <f>I232*2</f>
        <v>1008</v>
      </c>
      <c r="AW232" s="619"/>
      <c r="AX232" s="548"/>
      <c r="AY232" s="548"/>
      <c r="AZ232" s="548"/>
      <c r="BA232" s="548"/>
      <c r="BB232" s="249">
        <f>I232/24*2</f>
        <v>42</v>
      </c>
      <c r="BY232" s="619"/>
      <c r="BZ232" s="548"/>
      <c r="CA232" s="621"/>
      <c r="CB232" s="567"/>
      <c r="CC232" s="622"/>
      <c r="CD232" s="619"/>
      <c r="CE232" s="619"/>
      <c r="CF232" s="548"/>
      <c r="CG232" s="548"/>
      <c r="CR232" s="554">
        <f>I232</f>
        <v>504</v>
      </c>
      <c r="CS232" s="554">
        <f>I232</f>
        <v>504</v>
      </c>
      <c r="CT232" s="554">
        <f>I232</f>
        <v>504</v>
      </c>
      <c r="CU232" s="554">
        <f t="shared" si="60"/>
        <v>0</v>
      </c>
      <c r="CV232" s="554">
        <f t="shared" si="55"/>
        <v>0</v>
      </c>
      <c r="CW232" s="554">
        <f t="shared" si="56"/>
        <v>0</v>
      </c>
      <c r="CX232" s="619"/>
      <c r="CY232" s="619"/>
      <c r="CZ232" s="619"/>
      <c r="DA232" s="548"/>
      <c r="DB232" s="548"/>
      <c r="DC232" s="548"/>
      <c r="DD232" s="619"/>
      <c r="DE232" s="619"/>
      <c r="DF232" s="619"/>
      <c r="DG232" s="619"/>
      <c r="DH232" s="619"/>
    </row>
    <row r="233" s="548" customFormat="1" ht="31" customHeight="1" spans="1:112">
      <c r="A233" s="608">
        <v>45790</v>
      </c>
      <c r="B233" s="609" t="s">
        <v>6645</v>
      </c>
      <c r="C233" s="610" t="s">
        <v>170</v>
      </c>
      <c r="D233" s="554">
        <v>4500166281</v>
      </c>
      <c r="E233" s="613">
        <v>1041691</v>
      </c>
      <c r="F233" s="554" t="s">
        <v>6646</v>
      </c>
      <c r="G233" s="610" t="s">
        <v>6166</v>
      </c>
      <c r="H233" s="610" t="s">
        <v>6094</v>
      </c>
      <c r="I233" s="610">
        <v>8216</v>
      </c>
      <c r="J233" s="610">
        <v>0</v>
      </c>
      <c r="K233" s="610">
        <v>13</v>
      </c>
      <c r="L233" s="611">
        <f t="shared" si="61"/>
        <v>632</v>
      </c>
      <c r="M233" s="612">
        <v>45832</v>
      </c>
      <c r="N233" s="612">
        <v>45832</v>
      </c>
      <c r="O233" s="613"/>
      <c r="P233" s="613" t="s">
        <v>113</v>
      </c>
      <c r="Q233" s="610"/>
      <c r="R233" s="614">
        <v>45803</v>
      </c>
      <c r="S233" s="614" t="s">
        <v>70</v>
      </c>
      <c r="T233" s="614" t="s">
        <v>70</v>
      </c>
      <c r="U233" s="614"/>
      <c r="V233" s="614"/>
      <c r="W233" s="615"/>
      <c r="X233" s="609" t="s">
        <v>6647</v>
      </c>
      <c r="Y233" s="609" t="s">
        <v>1318</v>
      </c>
      <c r="Z233" s="609">
        <v>0.92</v>
      </c>
      <c r="AA233" s="616">
        <f t="shared" si="62"/>
        <v>7558.72</v>
      </c>
      <c r="AC233" s="629" t="s">
        <v>780</v>
      </c>
      <c r="AD233" s="610" t="s">
        <v>6166</v>
      </c>
      <c r="AE233" s="610" t="s">
        <v>82</v>
      </c>
      <c r="AF233" s="610"/>
      <c r="AG233" s="610" t="s">
        <v>74</v>
      </c>
      <c r="AH233" s="610"/>
      <c r="AI233" s="610">
        <v>8216</v>
      </c>
      <c r="AJ233" s="610">
        <f t="shared" si="59"/>
        <v>0</v>
      </c>
      <c r="AK233" s="610"/>
      <c r="AL233" s="610"/>
      <c r="AM233" s="610"/>
      <c r="AN233" s="610">
        <f t="shared" ref="AN233:AN239" si="63">I233</f>
        <v>8216</v>
      </c>
      <c r="AR233" s="619"/>
      <c r="AS233" s="554">
        <f>I233</f>
        <v>8216</v>
      </c>
      <c r="AU233" s="554">
        <f t="shared" ref="AU233:AU239" si="64">I233</f>
        <v>8216</v>
      </c>
      <c r="AW233" s="619"/>
      <c r="AX233" s="548"/>
      <c r="AY233" s="548"/>
      <c r="AZ233" s="548"/>
      <c r="BA233" s="548"/>
      <c r="BB233" s="620">
        <f>I233/24</f>
        <v>342.333333333333</v>
      </c>
      <c r="BL233" s="554">
        <f>I233/13</f>
        <v>632</v>
      </c>
      <c r="BY233" s="619"/>
      <c r="BZ233" s="548"/>
      <c r="CA233" s="621"/>
      <c r="CB233" s="567"/>
      <c r="CC233" s="622"/>
      <c r="CD233" s="619"/>
      <c r="CE233" s="619"/>
      <c r="CF233" s="548"/>
      <c r="CG233" s="548"/>
      <c r="CU233" s="554">
        <f t="shared" si="60"/>
        <v>0</v>
      </c>
      <c r="CV233" s="554">
        <f t="shared" si="55"/>
        <v>0</v>
      </c>
      <c r="CW233" s="554">
        <f t="shared" si="56"/>
        <v>0</v>
      </c>
      <c r="CX233" s="619"/>
      <c r="CY233" s="619"/>
      <c r="CZ233" s="619"/>
      <c r="DA233" s="548"/>
      <c r="DB233" s="548"/>
      <c r="DC233" s="548"/>
      <c r="DD233" s="619"/>
      <c r="DE233" s="619"/>
      <c r="DF233" s="619"/>
      <c r="DG233" s="619"/>
      <c r="DH233" s="619"/>
    </row>
    <row r="234" s="548" customFormat="1" ht="31" customHeight="1" spans="1:112">
      <c r="A234" s="608">
        <v>45747</v>
      </c>
      <c r="B234" s="609" t="s">
        <v>815</v>
      </c>
      <c r="C234" s="610" t="s">
        <v>98</v>
      </c>
      <c r="D234" s="554">
        <v>4500161570</v>
      </c>
      <c r="E234" s="610" t="s">
        <v>816</v>
      </c>
      <c r="F234" s="554" t="s">
        <v>6648</v>
      </c>
      <c r="G234" s="610" t="s">
        <v>6166</v>
      </c>
      <c r="H234" s="610" t="s">
        <v>6094</v>
      </c>
      <c r="I234" s="610">
        <v>195</v>
      </c>
      <c r="J234" s="610">
        <v>0</v>
      </c>
      <c r="K234" s="610">
        <v>13</v>
      </c>
      <c r="L234" s="611">
        <f t="shared" si="61"/>
        <v>15</v>
      </c>
      <c r="M234" s="612">
        <v>45833</v>
      </c>
      <c r="N234" s="612">
        <v>45835</v>
      </c>
      <c r="O234" s="613"/>
      <c r="P234" s="613" t="s">
        <v>113</v>
      </c>
      <c r="Q234" s="610"/>
      <c r="R234" s="614">
        <v>45800</v>
      </c>
      <c r="S234" s="614" t="s">
        <v>70</v>
      </c>
      <c r="T234" s="614" t="s">
        <v>70</v>
      </c>
      <c r="U234" s="614"/>
      <c r="V234" s="614"/>
      <c r="W234" s="615"/>
      <c r="X234" s="609" t="s">
        <v>818</v>
      </c>
      <c r="Y234" s="609" t="s">
        <v>819</v>
      </c>
      <c r="Z234" s="609">
        <v>0.92</v>
      </c>
      <c r="AA234" s="616">
        <f t="shared" si="62"/>
        <v>179.4</v>
      </c>
      <c r="AC234" s="617"/>
      <c r="AD234" s="610" t="s">
        <v>6257</v>
      </c>
      <c r="AE234" s="610" t="s">
        <v>82</v>
      </c>
      <c r="AF234" s="610"/>
      <c r="AG234" s="610" t="s">
        <v>74</v>
      </c>
      <c r="AH234" s="610"/>
      <c r="AI234" s="610">
        <v>195</v>
      </c>
      <c r="AJ234" s="610">
        <f t="shared" si="59"/>
        <v>0</v>
      </c>
      <c r="AK234" s="610"/>
      <c r="AL234" s="610"/>
      <c r="AM234" s="610"/>
      <c r="AN234" s="610">
        <f t="shared" si="63"/>
        <v>195</v>
      </c>
      <c r="AP234" s="554">
        <f t="shared" ref="AP234:AP239" si="65">I234</f>
        <v>195</v>
      </c>
      <c r="AR234" s="619"/>
      <c r="AS234" s="548"/>
      <c r="AT234" s="548"/>
      <c r="AU234" s="554">
        <f t="shared" si="64"/>
        <v>195</v>
      </c>
      <c r="AW234" s="619"/>
      <c r="AX234" s="548"/>
      <c r="AY234" s="548"/>
      <c r="AZ234" s="548"/>
      <c r="BA234" s="548"/>
      <c r="BB234" s="620">
        <f t="shared" ref="BB234:BB239" si="66">I234/48</f>
        <v>4.0625</v>
      </c>
      <c r="BK234" s="554">
        <f>I234/13</f>
        <v>15</v>
      </c>
      <c r="BY234" s="619"/>
      <c r="BZ234" s="548"/>
      <c r="CA234" s="621"/>
      <c r="CB234" s="567"/>
      <c r="CC234" s="622"/>
      <c r="CD234" s="619"/>
      <c r="CE234" s="619"/>
      <c r="CF234" s="548"/>
      <c r="CG234" s="548"/>
      <c r="CU234" s="554">
        <f t="shared" si="60"/>
        <v>0</v>
      </c>
      <c r="CV234" s="554">
        <f t="shared" si="55"/>
        <v>0</v>
      </c>
      <c r="CW234" s="554">
        <f t="shared" si="56"/>
        <v>0</v>
      </c>
      <c r="CX234" s="619"/>
      <c r="CY234" s="619"/>
      <c r="CZ234" s="619"/>
      <c r="DA234" s="548"/>
      <c r="DB234" s="548"/>
      <c r="DC234" s="548"/>
      <c r="DD234" s="619"/>
      <c r="DE234" s="619"/>
      <c r="DF234" s="619"/>
      <c r="DG234" s="619"/>
      <c r="DH234" s="619"/>
    </row>
    <row r="235" s="548" customFormat="1" ht="31" customHeight="1" spans="1:112">
      <c r="A235" s="608">
        <v>45747</v>
      </c>
      <c r="B235" s="609" t="s">
        <v>815</v>
      </c>
      <c r="C235" s="610" t="s">
        <v>98</v>
      </c>
      <c r="D235" s="554">
        <v>4500161570</v>
      </c>
      <c r="E235" s="610" t="s">
        <v>820</v>
      </c>
      <c r="F235" s="554" t="s">
        <v>6649</v>
      </c>
      <c r="G235" s="610" t="s">
        <v>6166</v>
      </c>
      <c r="H235" s="610" t="s">
        <v>6094</v>
      </c>
      <c r="I235" s="610">
        <v>130</v>
      </c>
      <c r="J235" s="610">
        <v>0</v>
      </c>
      <c r="K235" s="610">
        <v>13</v>
      </c>
      <c r="L235" s="611">
        <f t="shared" si="61"/>
        <v>10</v>
      </c>
      <c r="M235" s="612">
        <v>45833</v>
      </c>
      <c r="N235" s="612">
        <v>45835</v>
      </c>
      <c r="O235" s="613"/>
      <c r="P235" s="613" t="s">
        <v>113</v>
      </c>
      <c r="Q235" s="610"/>
      <c r="R235" s="614">
        <v>45800</v>
      </c>
      <c r="S235" s="614" t="s">
        <v>70</v>
      </c>
      <c r="T235" s="614" t="s">
        <v>70</v>
      </c>
      <c r="U235" s="614"/>
      <c r="V235" s="614"/>
      <c r="W235" s="615"/>
      <c r="X235" s="609" t="s">
        <v>818</v>
      </c>
      <c r="Y235" s="609" t="s">
        <v>819</v>
      </c>
      <c r="Z235" s="609">
        <v>0.92</v>
      </c>
      <c r="AA235" s="616">
        <f t="shared" si="62"/>
        <v>119.6</v>
      </c>
      <c r="AC235" s="617"/>
      <c r="AD235" s="610" t="s">
        <v>6257</v>
      </c>
      <c r="AE235" s="610" t="s">
        <v>82</v>
      </c>
      <c r="AF235" s="610"/>
      <c r="AG235" s="610" t="s">
        <v>74</v>
      </c>
      <c r="AH235" s="610"/>
      <c r="AI235" s="610">
        <v>130</v>
      </c>
      <c r="AJ235" s="610">
        <f t="shared" si="59"/>
        <v>0</v>
      </c>
      <c r="AK235" s="610"/>
      <c r="AL235" s="610"/>
      <c r="AM235" s="610"/>
      <c r="AN235" s="610">
        <f t="shared" si="63"/>
        <v>130</v>
      </c>
      <c r="AP235" s="554">
        <f t="shared" si="65"/>
        <v>130</v>
      </c>
      <c r="AR235" s="619"/>
      <c r="AS235" s="548"/>
      <c r="AT235" s="548"/>
      <c r="AU235" s="554">
        <f t="shared" si="64"/>
        <v>130</v>
      </c>
      <c r="AW235" s="619"/>
      <c r="AX235" s="548"/>
      <c r="AY235" s="548"/>
      <c r="AZ235" s="548"/>
      <c r="BA235" s="548"/>
      <c r="BB235" s="620">
        <f t="shared" si="66"/>
        <v>2.70833333333333</v>
      </c>
      <c r="BK235" s="554">
        <f>I235/13</f>
        <v>10</v>
      </c>
      <c r="BY235" s="619"/>
      <c r="BZ235" s="548"/>
      <c r="CA235" s="621"/>
      <c r="CB235" s="567"/>
      <c r="CC235" s="622"/>
      <c r="CD235" s="619"/>
      <c r="CE235" s="619"/>
      <c r="CF235" s="548"/>
      <c r="CG235" s="548"/>
      <c r="CU235" s="554">
        <f t="shared" si="60"/>
        <v>0</v>
      </c>
      <c r="CV235" s="554">
        <f t="shared" si="55"/>
        <v>0</v>
      </c>
      <c r="CW235" s="554">
        <f t="shared" si="56"/>
        <v>0</v>
      </c>
      <c r="CX235" s="619"/>
      <c r="CY235" s="619"/>
      <c r="CZ235" s="619"/>
      <c r="DA235" s="548"/>
      <c r="DB235" s="548"/>
      <c r="DC235" s="548"/>
      <c r="DD235" s="619"/>
      <c r="DE235" s="619"/>
      <c r="DF235" s="619"/>
      <c r="DG235" s="619"/>
      <c r="DH235" s="619"/>
    </row>
    <row r="236" s="548" customFormat="1" ht="31" customHeight="1" spans="1:112">
      <c r="A236" s="608">
        <v>45798</v>
      </c>
      <c r="B236" s="609" t="s">
        <v>143</v>
      </c>
      <c r="C236" s="610" t="s">
        <v>98</v>
      </c>
      <c r="D236" s="554">
        <v>4500167380</v>
      </c>
      <c r="E236" s="613">
        <v>907594619</v>
      </c>
      <c r="F236" s="554" t="s">
        <v>6650</v>
      </c>
      <c r="G236" s="610" t="s">
        <v>6063</v>
      </c>
      <c r="H236" s="610" t="s">
        <v>6064</v>
      </c>
      <c r="I236" s="610">
        <v>8480</v>
      </c>
      <c r="J236" s="610">
        <v>0</v>
      </c>
      <c r="K236" s="610">
        <v>16</v>
      </c>
      <c r="L236" s="611">
        <f t="shared" si="61"/>
        <v>530</v>
      </c>
      <c r="M236" s="612">
        <v>45835</v>
      </c>
      <c r="N236" s="612">
        <v>45838</v>
      </c>
      <c r="O236" s="613" t="s">
        <v>956</v>
      </c>
      <c r="P236" s="613" t="s">
        <v>113</v>
      </c>
      <c r="Q236" s="610"/>
      <c r="R236" s="614" t="s">
        <v>6307</v>
      </c>
      <c r="S236" s="614" t="s">
        <v>70</v>
      </c>
      <c r="T236" s="614" t="s">
        <v>148</v>
      </c>
      <c r="U236" s="614"/>
      <c r="V236" s="614"/>
      <c r="W236" s="615"/>
      <c r="X236" s="609" t="s">
        <v>6651</v>
      </c>
      <c r="Y236" s="609" t="s">
        <v>106</v>
      </c>
      <c r="Z236" s="609">
        <v>0.5936</v>
      </c>
      <c r="AA236" s="616">
        <f t="shared" si="62"/>
        <v>5033.728</v>
      </c>
      <c r="AC236" s="617" t="s">
        <v>6652</v>
      </c>
      <c r="AD236" s="610" t="s">
        <v>6063</v>
      </c>
      <c r="AE236" s="610" t="s">
        <v>82</v>
      </c>
      <c r="AF236" s="610"/>
      <c r="AG236" s="610" t="s">
        <v>74</v>
      </c>
      <c r="AH236" s="610"/>
      <c r="AI236" s="610">
        <v>8480</v>
      </c>
      <c r="AJ236" s="610">
        <f t="shared" si="59"/>
        <v>0</v>
      </c>
      <c r="AK236" s="610"/>
      <c r="AL236" s="610"/>
      <c r="AM236" s="610"/>
      <c r="AN236" s="610">
        <f t="shared" si="63"/>
        <v>8480</v>
      </c>
      <c r="AP236" s="554">
        <f t="shared" si="65"/>
        <v>8480</v>
      </c>
      <c r="AR236" s="619"/>
      <c r="AS236" s="548"/>
      <c r="AT236" s="548"/>
      <c r="AU236" s="554">
        <f t="shared" si="64"/>
        <v>8480</v>
      </c>
      <c r="AW236" s="619"/>
      <c r="AX236" s="548"/>
      <c r="AY236" s="548"/>
      <c r="AZ236" s="548"/>
      <c r="BA236" s="548"/>
      <c r="BB236" s="620">
        <f t="shared" si="66"/>
        <v>176.666666666667</v>
      </c>
      <c r="BQ236" s="554">
        <f>I236/16</f>
        <v>530</v>
      </c>
      <c r="BY236" s="619"/>
      <c r="BZ236" s="548"/>
      <c r="CA236" s="621"/>
      <c r="CB236" s="567"/>
      <c r="CC236" s="622"/>
      <c r="CD236" s="619"/>
      <c r="CE236" s="619"/>
      <c r="CF236" s="548"/>
      <c r="CG236" s="548"/>
      <c r="CU236" s="554">
        <f t="shared" si="60"/>
        <v>530</v>
      </c>
      <c r="CV236" s="554">
        <f t="shared" si="55"/>
        <v>0</v>
      </c>
      <c r="CW236" s="554">
        <f t="shared" si="56"/>
        <v>0</v>
      </c>
      <c r="CX236" s="619"/>
      <c r="CY236" s="619"/>
      <c r="CZ236" s="619"/>
      <c r="DA236" s="548"/>
      <c r="DB236" s="548"/>
      <c r="DC236" s="548"/>
      <c r="DD236" s="619"/>
      <c r="DE236" s="619"/>
      <c r="DF236" s="619"/>
      <c r="DG236" s="619"/>
      <c r="DH236" s="619"/>
    </row>
    <row r="237" s="548" customFormat="1" ht="31" customHeight="1" spans="1:112">
      <c r="A237" s="608">
        <v>45798</v>
      </c>
      <c r="B237" s="609" t="s">
        <v>143</v>
      </c>
      <c r="C237" s="610" t="s">
        <v>98</v>
      </c>
      <c r="D237" s="554">
        <v>4500167380</v>
      </c>
      <c r="E237" s="613">
        <v>907594621</v>
      </c>
      <c r="F237" s="554" t="s">
        <v>6653</v>
      </c>
      <c r="G237" s="610" t="s">
        <v>6063</v>
      </c>
      <c r="H237" s="610" t="s">
        <v>6064</v>
      </c>
      <c r="I237" s="610">
        <v>6352</v>
      </c>
      <c r="J237" s="610">
        <v>0</v>
      </c>
      <c r="K237" s="610">
        <v>16</v>
      </c>
      <c r="L237" s="611">
        <f t="shared" si="61"/>
        <v>397</v>
      </c>
      <c r="M237" s="612">
        <v>45835</v>
      </c>
      <c r="N237" s="612">
        <v>45838</v>
      </c>
      <c r="O237" s="613" t="s">
        <v>956</v>
      </c>
      <c r="P237" s="613" t="s">
        <v>113</v>
      </c>
      <c r="Q237" s="610"/>
      <c r="R237" s="614" t="s">
        <v>6307</v>
      </c>
      <c r="S237" s="614" t="s">
        <v>70</v>
      </c>
      <c r="T237" s="614" t="s">
        <v>148</v>
      </c>
      <c r="U237" s="614"/>
      <c r="V237" s="614"/>
      <c r="W237" s="615"/>
      <c r="X237" s="609" t="s">
        <v>6651</v>
      </c>
      <c r="Y237" s="609" t="s">
        <v>106</v>
      </c>
      <c r="Z237" s="609">
        <v>0.5936</v>
      </c>
      <c r="AA237" s="616">
        <f t="shared" si="62"/>
        <v>3770.5472</v>
      </c>
      <c r="AC237" s="617" t="s">
        <v>6654</v>
      </c>
      <c r="AD237" s="610" t="s">
        <v>6063</v>
      </c>
      <c r="AE237" s="610" t="s">
        <v>82</v>
      </c>
      <c r="AF237" s="610"/>
      <c r="AG237" s="610" t="s">
        <v>74</v>
      </c>
      <c r="AH237" s="610"/>
      <c r="AI237" s="610">
        <v>6352</v>
      </c>
      <c r="AJ237" s="610">
        <f t="shared" si="59"/>
        <v>0</v>
      </c>
      <c r="AK237" s="610"/>
      <c r="AL237" s="610"/>
      <c r="AM237" s="610"/>
      <c r="AN237" s="610">
        <f t="shared" si="63"/>
        <v>6352</v>
      </c>
      <c r="AP237" s="554">
        <f t="shared" si="65"/>
        <v>6352</v>
      </c>
      <c r="AR237" s="619"/>
      <c r="AS237" s="548"/>
      <c r="AT237" s="548"/>
      <c r="AU237" s="554">
        <f t="shared" si="64"/>
        <v>6352</v>
      </c>
      <c r="AW237" s="619"/>
      <c r="AX237" s="548"/>
      <c r="AY237" s="548"/>
      <c r="AZ237" s="548"/>
      <c r="BA237" s="548"/>
      <c r="BB237" s="620">
        <f t="shared" si="66"/>
        <v>132.333333333333</v>
      </c>
      <c r="BQ237" s="554">
        <f>I237/16</f>
        <v>397</v>
      </c>
      <c r="BY237" s="619"/>
      <c r="BZ237" s="548"/>
      <c r="CA237" s="621"/>
      <c r="CB237" s="567"/>
      <c r="CC237" s="622"/>
      <c r="CD237" s="619"/>
      <c r="CE237" s="619"/>
      <c r="CF237" s="548"/>
      <c r="CG237" s="548"/>
      <c r="CU237" s="554">
        <f t="shared" si="60"/>
        <v>397</v>
      </c>
      <c r="CV237" s="554">
        <f t="shared" si="55"/>
        <v>0</v>
      </c>
      <c r="CW237" s="554">
        <f t="shared" si="56"/>
        <v>0</v>
      </c>
      <c r="CX237" s="619"/>
      <c r="CY237" s="619"/>
      <c r="CZ237" s="619"/>
      <c r="DA237" s="548"/>
      <c r="DB237" s="548"/>
      <c r="DC237" s="548"/>
      <c r="DD237" s="619"/>
      <c r="DE237" s="619"/>
      <c r="DF237" s="619"/>
      <c r="DG237" s="619"/>
      <c r="DH237" s="619"/>
    </row>
    <row r="238" s="548" customFormat="1" ht="31" customHeight="1" spans="1:112">
      <c r="A238" s="608">
        <v>45798</v>
      </c>
      <c r="B238" s="609" t="s">
        <v>143</v>
      </c>
      <c r="C238" s="610" t="s">
        <v>98</v>
      </c>
      <c r="D238" s="554">
        <v>4500167380</v>
      </c>
      <c r="E238" s="613">
        <v>907594681</v>
      </c>
      <c r="F238" s="554" t="s">
        <v>6655</v>
      </c>
      <c r="G238" s="610" t="s">
        <v>6063</v>
      </c>
      <c r="H238" s="610" t="s">
        <v>6064</v>
      </c>
      <c r="I238" s="610">
        <v>7536</v>
      </c>
      <c r="J238" s="610">
        <v>0</v>
      </c>
      <c r="K238" s="610">
        <v>16</v>
      </c>
      <c r="L238" s="611">
        <f t="shared" si="61"/>
        <v>471</v>
      </c>
      <c r="M238" s="612">
        <v>45835</v>
      </c>
      <c r="N238" s="612">
        <v>45838</v>
      </c>
      <c r="O238" s="613" t="s">
        <v>956</v>
      </c>
      <c r="P238" s="613" t="s">
        <v>113</v>
      </c>
      <c r="Q238" s="610"/>
      <c r="R238" s="614" t="s">
        <v>6307</v>
      </c>
      <c r="S238" s="614" t="s">
        <v>70</v>
      </c>
      <c r="T238" s="614" t="s">
        <v>148</v>
      </c>
      <c r="U238" s="614"/>
      <c r="V238" s="614"/>
      <c r="W238" s="615"/>
      <c r="X238" s="609" t="s">
        <v>6651</v>
      </c>
      <c r="Y238" s="609" t="s">
        <v>106</v>
      </c>
      <c r="Z238" s="609">
        <v>0.5936</v>
      </c>
      <c r="AA238" s="616">
        <f t="shared" si="62"/>
        <v>4473.3696</v>
      </c>
      <c r="AC238" s="617" t="s">
        <v>6656</v>
      </c>
      <c r="AD238" s="610" t="s">
        <v>6063</v>
      </c>
      <c r="AE238" s="610" t="s">
        <v>82</v>
      </c>
      <c r="AF238" s="610"/>
      <c r="AG238" s="610" t="s">
        <v>74</v>
      </c>
      <c r="AH238" s="610"/>
      <c r="AI238" s="610">
        <f>7520+16</f>
        <v>7536</v>
      </c>
      <c r="AJ238" s="610">
        <f t="shared" si="59"/>
        <v>0</v>
      </c>
      <c r="AK238" s="610"/>
      <c r="AL238" s="610"/>
      <c r="AM238" s="610"/>
      <c r="AN238" s="610">
        <f t="shared" si="63"/>
        <v>7536</v>
      </c>
      <c r="AP238" s="554">
        <f t="shared" si="65"/>
        <v>7536</v>
      </c>
      <c r="AR238" s="619"/>
      <c r="AS238" s="548"/>
      <c r="AT238" s="548"/>
      <c r="AU238" s="554">
        <f t="shared" si="64"/>
        <v>7536</v>
      </c>
      <c r="AW238" s="619"/>
      <c r="AX238" s="548"/>
      <c r="AY238" s="548"/>
      <c r="AZ238" s="548"/>
      <c r="BA238" s="548"/>
      <c r="BB238" s="620">
        <f t="shared" si="66"/>
        <v>157</v>
      </c>
      <c r="BQ238" s="554">
        <f>I238/16</f>
        <v>471</v>
      </c>
      <c r="BY238" s="619"/>
      <c r="BZ238" s="548"/>
      <c r="CA238" s="621"/>
      <c r="CB238" s="567"/>
      <c r="CC238" s="622"/>
      <c r="CD238" s="619"/>
      <c r="CE238" s="619"/>
      <c r="CF238" s="548"/>
      <c r="CG238" s="548"/>
      <c r="CU238" s="554">
        <f t="shared" si="60"/>
        <v>471</v>
      </c>
      <c r="CV238" s="554">
        <f t="shared" si="55"/>
        <v>0</v>
      </c>
      <c r="CW238" s="554">
        <f t="shared" si="56"/>
        <v>0</v>
      </c>
      <c r="CX238" s="619"/>
      <c r="CY238" s="619"/>
      <c r="CZ238" s="619"/>
      <c r="DA238" s="548"/>
      <c r="DB238" s="548"/>
      <c r="DC238" s="548"/>
      <c r="DD238" s="619"/>
      <c r="DE238" s="619"/>
      <c r="DF238" s="619"/>
      <c r="DG238" s="619"/>
      <c r="DH238" s="619"/>
    </row>
    <row r="239" s="548" customFormat="1" ht="31" customHeight="1" spans="1:112">
      <c r="A239" s="608">
        <v>45768</v>
      </c>
      <c r="B239" s="609" t="s">
        <v>871</v>
      </c>
      <c r="C239" s="610" t="s">
        <v>98</v>
      </c>
      <c r="D239" s="554">
        <v>4500164421</v>
      </c>
      <c r="E239" s="613">
        <v>39196357</v>
      </c>
      <c r="F239" s="554" t="s">
        <v>6657</v>
      </c>
      <c r="G239" s="610" t="s">
        <v>6084</v>
      </c>
      <c r="H239" s="610" t="s">
        <v>6069</v>
      </c>
      <c r="I239" s="610">
        <v>5825</v>
      </c>
      <c r="J239" s="610">
        <v>0</v>
      </c>
      <c r="K239" s="610">
        <v>25</v>
      </c>
      <c r="L239" s="611">
        <f t="shared" si="61"/>
        <v>233</v>
      </c>
      <c r="M239" s="612">
        <v>45824</v>
      </c>
      <c r="N239" s="612">
        <v>45820</v>
      </c>
      <c r="O239" s="613"/>
      <c r="P239" s="613" t="s">
        <v>113</v>
      </c>
      <c r="Q239" s="610"/>
      <c r="R239" s="614">
        <v>45771</v>
      </c>
      <c r="S239" s="614" t="s">
        <v>70</v>
      </c>
      <c r="T239" s="614" t="s">
        <v>70</v>
      </c>
      <c r="U239" s="614"/>
      <c r="V239" s="614"/>
      <c r="W239" s="615"/>
      <c r="X239" s="609" t="s">
        <v>874</v>
      </c>
      <c r="Y239" s="609" t="s">
        <v>355</v>
      </c>
      <c r="Z239" s="609">
        <v>0.564</v>
      </c>
      <c r="AA239" s="616">
        <f t="shared" si="62"/>
        <v>3285.3</v>
      </c>
      <c r="AC239" s="617" t="s">
        <v>875</v>
      </c>
      <c r="AD239" s="610" t="s">
        <v>6084</v>
      </c>
      <c r="AE239" s="610" t="s">
        <v>82</v>
      </c>
      <c r="AF239" s="610"/>
      <c r="AG239" s="610" t="s">
        <v>74</v>
      </c>
      <c r="AH239" s="610"/>
      <c r="AI239" s="610">
        <v>5825</v>
      </c>
      <c r="AJ239" s="610">
        <f t="shared" si="59"/>
        <v>0</v>
      </c>
      <c r="AK239" s="610"/>
      <c r="AL239" s="610"/>
      <c r="AM239" s="610"/>
      <c r="AN239" s="610">
        <f t="shared" si="63"/>
        <v>5825</v>
      </c>
      <c r="AP239" s="554">
        <f t="shared" si="65"/>
        <v>5825</v>
      </c>
      <c r="AR239" s="619"/>
      <c r="AS239" s="548"/>
      <c r="AT239" s="548"/>
      <c r="AU239" s="554">
        <f t="shared" si="64"/>
        <v>5825</v>
      </c>
      <c r="AW239" s="619"/>
      <c r="AX239" s="548"/>
      <c r="AY239" s="548"/>
      <c r="AZ239" s="548"/>
      <c r="BA239" s="548"/>
      <c r="BB239" s="620">
        <f t="shared" si="66"/>
        <v>121.354166666667</v>
      </c>
      <c r="BN239" s="554">
        <f>I239/25</f>
        <v>233</v>
      </c>
      <c r="BY239" s="619"/>
      <c r="BZ239" s="548"/>
      <c r="CA239" s="621"/>
      <c r="CB239" s="567"/>
      <c r="CC239" s="622"/>
      <c r="CD239" s="619"/>
      <c r="CE239" s="619"/>
      <c r="CF239" s="548"/>
      <c r="CG239" s="548"/>
      <c r="CU239" s="554">
        <f t="shared" si="60"/>
        <v>233</v>
      </c>
      <c r="CV239" s="554">
        <f t="shared" si="55"/>
        <v>0</v>
      </c>
      <c r="CW239" s="554">
        <f t="shared" si="56"/>
        <v>0</v>
      </c>
      <c r="CX239" s="619"/>
      <c r="CY239" s="619"/>
      <c r="CZ239" s="619"/>
      <c r="DA239" s="548"/>
      <c r="DB239" s="548"/>
      <c r="DC239" s="548"/>
      <c r="DD239" s="619"/>
      <c r="DE239" s="619"/>
      <c r="DF239" s="619"/>
      <c r="DG239" s="619"/>
      <c r="DH239" s="619"/>
    </row>
    <row r="240" s="548" customFormat="1" ht="31" customHeight="1" spans="1:112">
      <c r="A240" s="608">
        <v>45797</v>
      </c>
      <c r="B240" s="609" t="s">
        <v>841</v>
      </c>
      <c r="C240" s="610" t="s">
        <v>399</v>
      </c>
      <c r="D240" s="554">
        <v>4500166380</v>
      </c>
      <c r="E240" s="610" t="s">
        <v>842</v>
      </c>
      <c r="F240" s="554" t="s">
        <v>843</v>
      </c>
      <c r="G240" s="610" t="s">
        <v>6337</v>
      </c>
      <c r="H240" s="610" t="s">
        <v>477</v>
      </c>
      <c r="I240" s="610">
        <v>1620</v>
      </c>
      <c r="J240" s="610">
        <v>0</v>
      </c>
      <c r="K240" s="610">
        <v>6</v>
      </c>
      <c r="L240" s="611">
        <f t="shared" si="61"/>
        <v>270</v>
      </c>
      <c r="M240" s="612">
        <v>45832</v>
      </c>
      <c r="N240" s="612">
        <v>45828</v>
      </c>
      <c r="O240" s="613"/>
      <c r="P240" s="613" t="s">
        <v>113</v>
      </c>
      <c r="Q240" s="610"/>
      <c r="R240" s="614">
        <v>45799</v>
      </c>
      <c r="S240" s="614" t="s">
        <v>70</v>
      </c>
      <c r="T240" s="614">
        <v>45805</v>
      </c>
      <c r="U240" s="614"/>
      <c r="V240" s="614"/>
      <c r="W240" s="615"/>
      <c r="X240" s="628" t="s">
        <v>844</v>
      </c>
      <c r="Y240" s="609" t="s">
        <v>445</v>
      </c>
      <c r="Z240" s="609">
        <v>8.1</v>
      </c>
      <c r="AA240" s="616">
        <f t="shared" si="62"/>
        <v>13122</v>
      </c>
      <c r="AC240" s="629" t="s">
        <v>845</v>
      </c>
      <c r="AD240" s="610" t="s">
        <v>480</v>
      </c>
      <c r="AE240" s="610" t="s">
        <v>82</v>
      </c>
      <c r="AF240" s="610"/>
      <c r="AG240" s="610" t="s">
        <v>74</v>
      </c>
      <c r="AH240" s="610"/>
      <c r="AI240" s="610">
        <v>1620</v>
      </c>
      <c r="AJ240" s="610">
        <f t="shared" si="59"/>
        <v>0</v>
      </c>
      <c r="AK240" s="610"/>
      <c r="AL240" s="610"/>
      <c r="AM240" s="610"/>
      <c r="AN240" s="610"/>
      <c r="AO240" s="554">
        <f>I240*2</f>
        <v>3240</v>
      </c>
      <c r="AR240" s="619"/>
      <c r="AS240" s="548"/>
      <c r="AT240" s="554">
        <f>I240*2</f>
        <v>3240</v>
      </c>
      <c r="AV240" s="554">
        <f>I240*2</f>
        <v>3240</v>
      </c>
      <c r="AW240" s="619"/>
      <c r="AX240" s="548"/>
      <c r="AY240" s="548"/>
      <c r="AZ240" s="548"/>
      <c r="BA240" s="548"/>
      <c r="BB240" s="620">
        <f>I240/24*2</f>
        <v>135</v>
      </c>
      <c r="BY240" s="619"/>
      <c r="BZ240" s="554">
        <f>I240</f>
        <v>1620</v>
      </c>
      <c r="CA240" s="621"/>
      <c r="CB240" s="567"/>
      <c r="CC240" s="622"/>
      <c r="CD240" s="619"/>
      <c r="CE240" s="619"/>
      <c r="CF240" s="548"/>
      <c r="CG240" s="548"/>
      <c r="CU240" s="554">
        <f t="shared" si="60"/>
        <v>0</v>
      </c>
      <c r="CV240" s="554">
        <f t="shared" si="55"/>
        <v>0</v>
      </c>
      <c r="CW240" s="554">
        <f t="shared" si="56"/>
        <v>0</v>
      </c>
      <c r="CX240" s="619"/>
      <c r="CY240" s="619"/>
      <c r="CZ240" s="619"/>
      <c r="DA240" s="548"/>
      <c r="DB240" s="548"/>
      <c r="DC240" s="548"/>
      <c r="DD240" s="619"/>
      <c r="DE240" s="619"/>
      <c r="DF240" s="619"/>
      <c r="DG240" s="619"/>
      <c r="DH240" s="619"/>
    </row>
    <row r="241" s="548" customFormat="1" ht="31" customHeight="1" spans="1:112">
      <c r="A241" s="608">
        <v>45771</v>
      </c>
      <c r="B241" s="609" t="s">
        <v>871</v>
      </c>
      <c r="C241" s="610" t="s">
        <v>98</v>
      </c>
      <c r="D241" s="554" t="s">
        <v>6658</v>
      </c>
      <c r="E241" s="610"/>
      <c r="F241" s="548"/>
      <c r="G241" s="610" t="s">
        <v>6036</v>
      </c>
      <c r="H241" s="610" t="s">
        <v>6033</v>
      </c>
      <c r="I241" s="610">
        <v>6550</v>
      </c>
      <c r="J241" s="610">
        <v>0</v>
      </c>
      <c r="K241" s="610">
        <v>25</v>
      </c>
      <c r="L241" s="611">
        <f t="shared" si="61"/>
        <v>262</v>
      </c>
      <c r="M241" s="612">
        <v>45811</v>
      </c>
      <c r="N241" s="612">
        <v>45830</v>
      </c>
      <c r="O241" s="613"/>
      <c r="P241" s="613" t="s">
        <v>113</v>
      </c>
      <c r="Q241" s="610" t="s">
        <v>6512</v>
      </c>
      <c r="R241" s="614" t="s">
        <v>1242</v>
      </c>
      <c r="S241" s="614" t="s">
        <v>70</v>
      </c>
      <c r="T241" s="614" t="s">
        <v>70</v>
      </c>
      <c r="U241" s="614"/>
      <c r="V241" s="614"/>
      <c r="W241" s="615"/>
      <c r="X241" s="609" t="s">
        <v>6513</v>
      </c>
      <c r="Y241" s="609" t="s">
        <v>6514</v>
      </c>
      <c r="Z241" s="609">
        <v>0.9</v>
      </c>
      <c r="AA241" s="616">
        <f t="shared" si="62"/>
        <v>5895</v>
      </c>
      <c r="AC241" s="617" t="s">
        <v>6659</v>
      </c>
      <c r="AD241" s="610" t="s">
        <v>6036</v>
      </c>
      <c r="AE241" s="610" t="s">
        <v>82</v>
      </c>
      <c r="AF241" s="610"/>
      <c r="AG241" s="610" t="s">
        <v>74</v>
      </c>
      <c r="AH241" s="610"/>
      <c r="AI241" s="610">
        <f>6500+50</f>
        <v>6550</v>
      </c>
      <c r="AJ241" s="610">
        <f t="shared" si="59"/>
        <v>0</v>
      </c>
      <c r="AK241" s="610"/>
      <c r="AL241" s="610"/>
      <c r="AM241" s="610"/>
      <c r="AN241" s="610">
        <f>I241</f>
        <v>6550</v>
      </c>
      <c r="AP241" s="554">
        <f>I241</f>
        <v>6550</v>
      </c>
      <c r="AR241" s="619"/>
      <c r="AS241" s="548"/>
      <c r="AT241" s="548"/>
      <c r="AU241" s="554">
        <f>I241</f>
        <v>6550</v>
      </c>
      <c r="AW241" s="619"/>
      <c r="AX241" s="548"/>
      <c r="AY241" s="548"/>
      <c r="AZ241" s="548"/>
      <c r="BA241" s="548"/>
      <c r="BB241" s="620">
        <f>I241/48</f>
        <v>136.458333333333</v>
      </c>
      <c r="BN241" s="554">
        <f>I241/25</f>
        <v>262</v>
      </c>
      <c r="BY241" s="619"/>
      <c r="BZ241" s="548"/>
      <c r="CA241" s="621"/>
      <c r="CB241" s="567"/>
      <c r="CC241" s="622"/>
      <c r="CD241" s="619"/>
      <c r="CE241" s="619"/>
      <c r="CF241" s="548"/>
      <c r="CG241" s="548"/>
      <c r="CU241" s="554">
        <f t="shared" si="60"/>
        <v>262</v>
      </c>
      <c r="CV241" s="554">
        <f t="shared" si="55"/>
        <v>0</v>
      </c>
      <c r="CW241" s="554">
        <f t="shared" si="56"/>
        <v>0</v>
      </c>
      <c r="CX241" s="619"/>
      <c r="CY241" s="619"/>
      <c r="CZ241" s="619"/>
      <c r="DA241" s="548"/>
      <c r="DB241" s="548"/>
      <c r="DC241" s="548"/>
      <c r="DD241" s="619"/>
      <c r="DE241" s="619"/>
      <c r="DF241" s="619"/>
      <c r="DG241" s="619"/>
      <c r="DH241" s="619"/>
    </row>
    <row r="242" s="548" customFormat="1" ht="31" customHeight="1" spans="1:112">
      <c r="A242" s="608">
        <v>45792</v>
      </c>
      <c r="B242" s="609" t="s">
        <v>162</v>
      </c>
      <c r="C242" s="610" t="s">
        <v>154</v>
      </c>
      <c r="D242" s="554">
        <v>4500166480</v>
      </c>
      <c r="E242" s="610">
        <v>4400483986</v>
      </c>
      <c r="F242" s="554" t="s">
        <v>6660</v>
      </c>
      <c r="G242" s="610" t="s">
        <v>6047</v>
      </c>
      <c r="H242" s="610" t="s">
        <v>6069</v>
      </c>
      <c r="I242" s="610">
        <v>6000</v>
      </c>
      <c r="J242" s="610">
        <v>0</v>
      </c>
      <c r="K242" s="610">
        <v>25</v>
      </c>
      <c r="L242" s="611">
        <f t="shared" si="61"/>
        <v>240</v>
      </c>
      <c r="M242" s="612">
        <v>45834</v>
      </c>
      <c r="N242" s="612">
        <v>45831</v>
      </c>
      <c r="O242" s="613"/>
      <c r="P242" s="613" t="s">
        <v>113</v>
      </c>
      <c r="Q242" s="610"/>
      <c r="R242" s="614">
        <v>45792</v>
      </c>
      <c r="S242" s="614" t="s">
        <v>70</v>
      </c>
      <c r="T242" s="614" t="s">
        <v>6661</v>
      </c>
      <c r="U242" s="614"/>
      <c r="V242" s="614"/>
      <c r="W242" s="615"/>
      <c r="X242" s="609" t="s">
        <v>6662</v>
      </c>
      <c r="Y242" s="609" t="s">
        <v>939</v>
      </c>
      <c r="Z242" s="609">
        <v>0.9365</v>
      </c>
      <c r="AA242" s="616">
        <f t="shared" si="62"/>
        <v>5619</v>
      </c>
      <c r="AC242" s="632" t="s">
        <v>870</v>
      </c>
      <c r="AD242" s="610" t="s">
        <v>6073</v>
      </c>
      <c r="AE242" s="610" t="s">
        <v>82</v>
      </c>
      <c r="AF242" s="610"/>
      <c r="AG242" s="610" t="s">
        <v>74</v>
      </c>
      <c r="AH242" s="610"/>
      <c r="AI242" s="610">
        <f>4500+1500</f>
        <v>6000</v>
      </c>
      <c r="AJ242" s="610">
        <f t="shared" si="59"/>
        <v>0</v>
      </c>
      <c r="AK242" s="610"/>
      <c r="AL242" s="610"/>
      <c r="AM242" s="610"/>
      <c r="AN242" s="610"/>
      <c r="AO242" s="554">
        <f>I242</f>
        <v>6000</v>
      </c>
      <c r="AR242" s="619"/>
      <c r="AS242" s="548"/>
      <c r="AT242" s="548"/>
      <c r="AU242" s="548"/>
      <c r="AV242" s="554">
        <f>I242</f>
        <v>6000</v>
      </c>
      <c r="AW242" s="619"/>
      <c r="AX242" s="548"/>
      <c r="AY242" s="548"/>
      <c r="AZ242" s="548"/>
      <c r="BA242" s="548"/>
      <c r="BB242" s="620">
        <f>I242/24*2</f>
        <v>500</v>
      </c>
      <c r="BE242" s="554">
        <f>I242</f>
        <v>6000</v>
      </c>
      <c r="BP242" s="554">
        <f>I242/25</f>
        <v>240</v>
      </c>
      <c r="BY242" s="619"/>
      <c r="BZ242" s="548"/>
      <c r="CA242" s="621"/>
      <c r="CB242" s="567"/>
      <c r="CC242" s="622"/>
      <c r="CD242" s="619"/>
      <c r="CE242" s="619"/>
      <c r="CF242" s="548"/>
      <c r="CG242" s="548"/>
      <c r="CU242" s="554">
        <f t="shared" si="60"/>
        <v>240</v>
      </c>
      <c r="CV242" s="554">
        <f t="shared" si="55"/>
        <v>0</v>
      </c>
      <c r="CW242" s="554">
        <f t="shared" si="56"/>
        <v>0</v>
      </c>
      <c r="CX242" s="619"/>
      <c r="CY242" s="619"/>
      <c r="CZ242" s="619"/>
      <c r="DA242" s="548"/>
      <c r="DB242" s="548"/>
      <c r="DC242" s="548"/>
      <c r="DD242" s="619"/>
      <c r="DE242" s="619"/>
      <c r="DF242" s="619"/>
      <c r="DG242" s="619"/>
      <c r="DH242" s="619"/>
    </row>
    <row r="243" s="548" customFormat="1" ht="31" customHeight="1" spans="1:112">
      <c r="A243" s="608">
        <v>45793</v>
      </c>
      <c r="B243" s="609" t="s">
        <v>3489</v>
      </c>
      <c r="C243" s="610" t="s">
        <v>836</v>
      </c>
      <c r="D243" s="554">
        <v>4500166647</v>
      </c>
      <c r="E243" s="610">
        <v>21209747</v>
      </c>
      <c r="F243" s="554" t="s">
        <v>837</v>
      </c>
      <c r="G243" s="610" t="s">
        <v>6337</v>
      </c>
      <c r="H243" s="610" t="s">
        <v>477</v>
      </c>
      <c r="I243" s="610">
        <v>1002</v>
      </c>
      <c r="J243" s="610">
        <v>0</v>
      </c>
      <c r="K243" s="610">
        <v>6</v>
      </c>
      <c r="L243" s="611">
        <f t="shared" si="61"/>
        <v>167</v>
      </c>
      <c r="M243" s="612">
        <v>45831</v>
      </c>
      <c r="N243" s="612">
        <v>45831</v>
      </c>
      <c r="O243" s="613" t="s">
        <v>3491</v>
      </c>
      <c r="P243" s="613" t="s">
        <v>113</v>
      </c>
      <c r="Q243" s="610"/>
      <c r="R243" s="614">
        <v>45804</v>
      </c>
      <c r="S243" s="614" t="s">
        <v>70</v>
      </c>
      <c r="T243" s="614">
        <v>45804</v>
      </c>
      <c r="U243" s="614"/>
      <c r="V243" s="614"/>
      <c r="W243" s="615"/>
      <c r="X243" s="609" t="s">
        <v>6663</v>
      </c>
      <c r="Y243" s="609" t="s">
        <v>2492</v>
      </c>
      <c r="Z243" s="609">
        <v>8.1</v>
      </c>
      <c r="AA243" s="616">
        <f t="shared" si="62"/>
        <v>8116.2</v>
      </c>
      <c r="AC243" s="617" t="s">
        <v>840</v>
      </c>
      <c r="AD243" s="610" t="s">
        <v>480</v>
      </c>
      <c r="AE243" s="610" t="s">
        <v>82</v>
      </c>
      <c r="AF243" s="610"/>
      <c r="AG243" s="610" t="s">
        <v>74</v>
      </c>
      <c r="AH243" s="610"/>
      <c r="AI243" s="610">
        <v>1002</v>
      </c>
      <c r="AJ243" s="610">
        <f t="shared" si="59"/>
        <v>0</v>
      </c>
      <c r="AK243" s="610"/>
      <c r="AL243" s="610"/>
      <c r="AM243" s="610"/>
      <c r="AN243" s="610"/>
      <c r="AO243" s="554">
        <f>I243*2</f>
        <v>2004</v>
      </c>
      <c r="AR243" s="619"/>
      <c r="AS243" s="548"/>
      <c r="AT243" s="554">
        <f>I243*2</f>
        <v>2004</v>
      </c>
      <c r="AV243" s="554">
        <f>I243*2</f>
        <v>2004</v>
      </c>
      <c r="AW243" s="619"/>
      <c r="AX243" s="548"/>
      <c r="AY243" s="548"/>
      <c r="AZ243" s="548"/>
      <c r="BA243" s="548"/>
      <c r="BB243" s="620">
        <f>I243/24*2</f>
        <v>83.5</v>
      </c>
      <c r="BY243" s="619"/>
      <c r="BZ243" s="554">
        <f>I243</f>
        <v>1002</v>
      </c>
      <c r="CA243" s="621"/>
      <c r="CB243" s="567"/>
      <c r="CC243" s="622"/>
      <c r="CD243" s="619"/>
      <c r="CE243" s="619"/>
      <c r="CF243" s="548"/>
      <c r="CG243" s="548"/>
      <c r="CU243" s="554">
        <f t="shared" si="60"/>
        <v>0</v>
      </c>
      <c r="CV243" s="554">
        <f t="shared" si="55"/>
        <v>0</v>
      </c>
      <c r="CW243" s="554">
        <f t="shared" si="56"/>
        <v>0</v>
      </c>
      <c r="CX243" s="619"/>
      <c r="CY243" s="619"/>
      <c r="CZ243" s="619"/>
      <c r="DA243" s="548"/>
      <c r="DB243" s="548"/>
      <c r="DC243" s="548"/>
      <c r="DD243" s="619"/>
      <c r="DE243" s="619"/>
      <c r="DF243" s="619"/>
      <c r="DG243" s="619"/>
      <c r="DH243" s="619"/>
    </row>
    <row r="244" s="548" customFormat="1" ht="31" customHeight="1" spans="1:112">
      <c r="A244" s="608">
        <v>45791</v>
      </c>
      <c r="B244" s="609" t="s">
        <v>312</v>
      </c>
      <c r="C244" s="610" t="s">
        <v>278</v>
      </c>
      <c r="D244" s="554">
        <v>4500166375</v>
      </c>
      <c r="E244" s="610" t="s">
        <v>858</v>
      </c>
      <c r="F244" s="554" t="s">
        <v>6664</v>
      </c>
      <c r="G244" s="610" t="s">
        <v>6040</v>
      </c>
      <c r="H244" s="610" t="s">
        <v>6041</v>
      </c>
      <c r="I244" s="610">
        <v>15600</v>
      </c>
      <c r="J244" s="610">
        <v>0</v>
      </c>
      <c r="K244" s="610">
        <v>52</v>
      </c>
      <c r="L244" s="611">
        <f t="shared" si="61"/>
        <v>300</v>
      </c>
      <c r="M244" s="612">
        <v>45835</v>
      </c>
      <c r="N244" s="612">
        <v>45831</v>
      </c>
      <c r="O244" s="613" t="s">
        <v>860</v>
      </c>
      <c r="P244" s="613" t="s">
        <v>113</v>
      </c>
      <c r="Q244" s="610" t="s">
        <v>861</v>
      </c>
      <c r="R244" s="614">
        <v>45791</v>
      </c>
      <c r="S244" s="614" t="s">
        <v>70</v>
      </c>
      <c r="T244" s="614" t="s">
        <v>6665</v>
      </c>
      <c r="U244" s="614"/>
      <c r="V244" s="614"/>
      <c r="W244" s="615"/>
      <c r="X244" s="628" t="s">
        <v>6666</v>
      </c>
      <c r="Y244" s="609" t="s">
        <v>317</v>
      </c>
      <c r="Z244" s="609">
        <v>0.92</v>
      </c>
      <c r="AA244" s="616">
        <f t="shared" si="62"/>
        <v>14352</v>
      </c>
      <c r="AC244" s="617" t="s">
        <v>865</v>
      </c>
      <c r="AD244" s="610" t="s">
        <v>6040</v>
      </c>
      <c r="AE244" s="610" t="s">
        <v>82</v>
      </c>
      <c r="AF244" s="610"/>
      <c r="AG244" s="610" t="s">
        <v>74</v>
      </c>
      <c r="AH244" s="610"/>
      <c r="AI244" s="610">
        <f>14560+1040</f>
        <v>15600</v>
      </c>
      <c r="AJ244" s="610">
        <f t="shared" si="59"/>
        <v>0</v>
      </c>
      <c r="AK244" s="610"/>
      <c r="AL244" s="610"/>
      <c r="AM244" s="610"/>
      <c r="AN244" s="610"/>
      <c r="AO244" s="554">
        <f>I244</f>
        <v>15600</v>
      </c>
      <c r="AR244" s="619"/>
      <c r="AS244" s="548"/>
      <c r="AT244" s="554">
        <f>I244</f>
        <v>15600</v>
      </c>
      <c r="AV244" s="554">
        <f>I244</f>
        <v>15600</v>
      </c>
      <c r="AW244" s="619"/>
      <c r="AX244" s="548"/>
      <c r="AY244" s="548"/>
      <c r="AZ244" s="548"/>
      <c r="BA244" s="548"/>
      <c r="BB244" s="620">
        <f>I244/24</f>
        <v>650</v>
      </c>
      <c r="BM244" s="554">
        <f>I244/13</f>
        <v>1200</v>
      </c>
      <c r="BY244" s="619"/>
      <c r="BZ244" s="548"/>
      <c r="CA244" s="621"/>
      <c r="CB244" s="567"/>
      <c r="CC244" s="622"/>
      <c r="CD244" s="619"/>
      <c r="CE244" s="619"/>
      <c r="CF244" s="548"/>
      <c r="CG244" s="548"/>
      <c r="CU244" s="554">
        <f t="shared" si="60"/>
        <v>0</v>
      </c>
      <c r="CV244" s="554">
        <f t="shared" si="55"/>
        <v>0</v>
      </c>
      <c r="CW244" s="554">
        <f t="shared" si="56"/>
        <v>0</v>
      </c>
      <c r="CX244" s="619"/>
      <c r="CY244" s="619"/>
      <c r="CZ244" s="619"/>
      <c r="DA244" s="548"/>
      <c r="DB244" s="548"/>
      <c r="DC244" s="548"/>
      <c r="DD244" s="619"/>
      <c r="DE244" s="619"/>
      <c r="DF244" s="619"/>
      <c r="DG244" s="619"/>
      <c r="DH244" s="619"/>
    </row>
    <row r="245" s="548" customFormat="1" ht="31" customHeight="1" spans="1:112">
      <c r="A245" s="608">
        <v>45797</v>
      </c>
      <c r="B245" s="609" t="s">
        <v>135</v>
      </c>
      <c r="C245" s="610" t="s">
        <v>128</v>
      </c>
      <c r="D245" s="554">
        <v>4500166286</v>
      </c>
      <c r="E245" s="610">
        <v>20846870</v>
      </c>
      <c r="F245" s="554" t="s">
        <v>6667</v>
      </c>
      <c r="G245" s="610" t="s">
        <v>6093</v>
      </c>
      <c r="H245" s="610" t="s">
        <v>6094</v>
      </c>
      <c r="I245" s="610">
        <v>1521</v>
      </c>
      <c r="J245" s="610">
        <v>0</v>
      </c>
      <c r="K245" s="610">
        <v>13</v>
      </c>
      <c r="L245" s="611">
        <f t="shared" si="61"/>
        <v>117</v>
      </c>
      <c r="M245" s="612">
        <v>45838</v>
      </c>
      <c r="N245" s="612">
        <v>45834</v>
      </c>
      <c r="O245" s="613"/>
      <c r="P245" s="613" t="s">
        <v>113</v>
      </c>
      <c r="Q245" s="610"/>
      <c r="R245" s="614">
        <v>45790</v>
      </c>
      <c r="S245" s="614" t="s">
        <v>104</v>
      </c>
      <c r="T245" s="614">
        <v>45817</v>
      </c>
      <c r="U245" s="614"/>
      <c r="V245" s="614"/>
      <c r="W245" s="615"/>
      <c r="X245" s="628" t="s">
        <v>6668</v>
      </c>
      <c r="Y245" s="609" t="s">
        <v>133</v>
      </c>
      <c r="Z245" s="609">
        <v>0.9475</v>
      </c>
      <c r="AA245" s="616">
        <f t="shared" si="62"/>
        <v>1441.1475</v>
      </c>
      <c r="AC245" s="617" t="s">
        <v>6669</v>
      </c>
      <c r="AD245" s="610" t="s">
        <v>6093</v>
      </c>
      <c r="AE245" s="610" t="s">
        <v>82</v>
      </c>
      <c r="AF245" s="610"/>
      <c r="AG245" s="610" t="s">
        <v>74</v>
      </c>
      <c r="AH245" s="610"/>
      <c r="AI245" s="610">
        <v>1521</v>
      </c>
      <c r="AJ245" s="610">
        <f t="shared" si="59"/>
        <v>0</v>
      </c>
      <c r="AK245" s="610"/>
      <c r="AL245" s="610"/>
      <c r="AM245" s="610"/>
      <c r="AN245" s="610"/>
      <c r="AO245" s="554">
        <f>I245</f>
        <v>1521</v>
      </c>
      <c r="AR245" s="619"/>
      <c r="AS245" s="548"/>
      <c r="AT245" s="554">
        <f>I245</f>
        <v>1521</v>
      </c>
      <c r="AV245" s="554">
        <f>I245</f>
        <v>1521</v>
      </c>
      <c r="AW245" s="619"/>
      <c r="AX245" s="548"/>
      <c r="AY245" s="548"/>
      <c r="AZ245" s="548"/>
      <c r="BA245" s="548"/>
      <c r="BB245" s="620">
        <f>I245/24</f>
        <v>63.375</v>
      </c>
      <c r="BM245" s="554">
        <f>I245/13</f>
        <v>117</v>
      </c>
      <c r="BY245" s="619"/>
      <c r="BZ245" s="548"/>
      <c r="CA245" s="621"/>
      <c r="CB245" s="567"/>
      <c r="CC245" s="622"/>
      <c r="CD245" s="619"/>
      <c r="CE245" s="619"/>
      <c r="CF245" s="548"/>
      <c r="CG245" s="548"/>
      <c r="CU245" s="554">
        <f t="shared" si="60"/>
        <v>0</v>
      </c>
      <c r="CV245" s="554">
        <f t="shared" si="55"/>
        <v>0</v>
      </c>
      <c r="CW245" s="554">
        <f t="shared" si="56"/>
        <v>0</v>
      </c>
      <c r="CX245" s="619"/>
      <c r="CY245" s="619"/>
      <c r="CZ245" s="619"/>
      <c r="DA245" s="548"/>
      <c r="DB245" s="548"/>
      <c r="DC245" s="548"/>
      <c r="DD245" s="619"/>
      <c r="DE245" s="619"/>
      <c r="DF245" s="619"/>
      <c r="DG245" s="619"/>
      <c r="DH245" s="619"/>
    </row>
    <row r="246" s="548" customFormat="1" ht="31" customHeight="1" spans="1:112">
      <c r="A246" s="608">
        <v>45826</v>
      </c>
      <c r="B246" s="609" t="s">
        <v>135</v>
      </c>
      <c r="C246" s="610" t="s">
        <v>128</v>
      </c>
      <c r="D246" s="554">
        <v>4500166286</v>
      </c>
      <c r="E246" s="610">
        <v>20846870</v>
      </c>
      <c r="F246" s="554" t="s">
        <v>6670</v>
      </c>
      <c r="G246" s="610" t="s">
        <v>6093</v>
      </c>
      <c r="H246" s="610" t="s">
        <v>6094</v>
      </c>
      <c r="I246" s="610">
        <v>988</v>
      </c>
      <c r="J246" s="610">
        <v>0</v>
      </c>
      <c r="K246" s="610">
        <v>13</v>
      </c>
      <c r="L246" s="611">
        <f t="shared" si="61"/>
        <v>76</v>
      </c>
      <c r="M246" s="612">
        <v>45838</v>
      </c>
      <c r="N246" s="612">
        <v>45834</v>
      </c>
      <c r="O246" s="613"/>
      <c r="P246" s="613" t="s">
        <v>113</v>
      </c>
      <c r="Q246" s="610"/>
      <c r="R246" s="614">
        <v>45811</v>
      </c>
      <c r="S246" s="614" t="s">
        <v>104</v>
      </c>
      <c r="T246" s="614">
        <v>45817</v>
      </c>
      <c r="U246" s="614"/>
      <c r="V246" s="614"/>
      <c r="W246" s="615"/>
      <c r="X246" s="628" t="s">
        <v>6668</v>
      </c>
      <c r="Y246" s="609" t="s">
        <v>133</v>
      </c>
      <c r="Z246" s="609">
        <v>0.9116</v>
      </c>
      <c r="AA246" s="616">
        <f t="shared" si="62"/>
        <v>900.6608</v>
      </c>
      <c r="AC246" s="617" t="s">
        <v>6671</v>
      </c>
      <c r="AD246" s="610" t="s">
        <v>6093</v>
      </c>
      <c r="AE246" s="610" t="s">
        <v>82</v>
      </c>
      <c r="AF246" s="610"/>
      <c r="AG246" s="610" t="s">
        <v>74</v>
      </c>
      <c r="AH246" s="610"/>
      <c r="AI246" s="610">
        <v>988</v>
      </c>
      <c r="AJ246" s="610">
        <f t="shared" si="59"/>
        <v>0</v>
      </c>
      <c r="AK246" s="610"/>
      <c r="AL246" s="610"/>
      <c r="AM246" s="610"/>
      <c r="AN246" s="610"/>
      <c r="AO246" s="554">
        <f>I246</f>
        <v>988</v>
      </c>
      <c r="AR246" s="619"/>
      <c r="AS246" s="548"/>
      <c r="AT246" s="554">
        <f>I246</f>
        <v>988</v>
      </c>
      <c r="AV246" s="554">
        <f>I246</f>
        <v>988</v>
      </c>
      <c r="AW246" s="619"/>
      <c r="AX246" s="548"/>
      <c r="AY246" s="548"/>
      <c r="AZ246" s="548"/>
      <c r="BA246" s="548"/>
      <c r="BB246" s="620">
        <f>I246/24</f>
        <v>41.1666666666667</v>
      </c>
      <c r="BM246" s="554">
        <f>I246/13</f>
        <v>76</v>
      </c>
      <c r="BY246" s="619"/>
      <c r="BZ246" s="548"/>
      <c r="CA246" s="621"/>
      <c r="CB246" s="567"/>
      <c r="CC246" s="622"/>
      <c r="CD246" s="619"/>
      <c r="CE246" s="619"/>
      <c r="CF246" s="548"/>
      <c r="CG246" s="548"/>
      <c r="CU246" s="554">
        <f t="shared" si="60"/>
        <v>0</v>
      </c>
      <c r="CV246" s="554">
        <f t="shared" si="55"/>
        <v>0</v>
      </c>
      <c r="CW246" s="554">
        <f t="shared" si="56"/>
        <v>0</v>
      </c>
      <c r="CX246" s="619"/>
      <c r="CY246" s="619"/>
      <c r="CZ246" s="619"/>
      <c r="DA246" s="548"/>
      <c r="DB246" s="548"/>
      <c r="DC246" s="548"/>
      <c r="DD246" s="619"/>
      <c r="DE246" s="619"/>
      <c r="DF246" s="619"/>
      <c r="DG246" s="619"/>
      <c r="DH246" s="619"/>
    </row>
    <row r="247" s="548" customFormat="1" ht="31" customHeight="1" spans="1:112">
      <c r="A247" s="608">
        <v>45775</v>
      </c>
      <c r="B247" s="609" t="s">
        <v>143</v>
      </c>
      <c r="C247" s="610" t="s">
        <v>98</v>
      </c>
      <c r="D247" s="554">
        <v>4500162963</v>
      </c>
      <c r="E247" s="610" t="s">
        <v>6672</v>
      </c>
      <c r="F247" s="554" t="s">
        <v>6673</v>
      </c>
      <c r="G247" s="610" t="s">
        <v>6063</v>
      </c>
      <c r="H247" s="610" t="s">
        <v>6064</v>
      </c>
      <c r="I247" s="610">
        <v>8720</v>
      </c>
      <c r="J247" s="610">
        <v>0</v>
      </c>
      <c r="K247" s="610">
        <v>16</v>
      </c>
      <c r="L247" s="611">
        <f t="shared" si="61"/>
        <v>545</v>
      </c>
      <c r="M247" s="612">
        <v>45835</v>
      </c>
      <c r="N247" s="612">
        <v>45838</v>
      </c>
      <c r="O247" s="613" t="s">
        <v>6674</v>
      </c>
      <c r="P247" s="613" t="s">
        <v>113</v>
      </c>
      <c r="Q247" s="610"/>
      <c r="R247" s="614" t="s">
        <v>6307</v>
      </c>
      <c r="S247" s="614" t="s">
        <v>70</v>
      </c>
      <c r="T247" s="614" t="s">
        <v>148</v>
      </c>
      <c r="U247" s="614"/>
      <c r="V247" s="614"/>
      <c r="W247" s="615"/>
      <c r="X247" s="609" t="s">
        <v>6308</v>
      </c>
      <c r="Y247" s="609" t="s">
        <v>106</v>
      </c>
      <c r="Z247" s="609">
        <v>1.008</v>
      </c>
      <c r="AA247" s="616">
        <f t="shared" si="62"/>
        <v>8789.76</v>
      </c>
      <c r="AC247" s="617" t="s">
        <v>6675</v>
      </c>
      <c r="AD247" s="610" t="s">
        <v>6063</v>
      </c>
      <c r="AE247" s="610" t="s">
        <v>82</v>
      </c>
      <c r="AF247" s="610"/>
      <c r="AG247" s="610" t="s">
        <v>74</v>
      </c>
      <c r="AH247" s="610"/>
      <c r="AI247" s="610">
        <v>8720</v>
      </c>
      <c r="AJ247" s="610">
        <f t="shared" si="59"/>
        <v>0</v>
      </c>
      <c r="AK247" s="610"/>
      <c r="AL247" s="610"/>
      <c r="AM247" s="610"/>
      <c r="AN247" s="610">
        <f t="shared" ref="AN247:AN255" si="67">I247</f>
        <v>8720</v>
      </c>
      <c r="AP247" s="554">
        <f t="shared" ref="AP247:AP255" si="68">I247</f>
        <v>8720</v>
      </c>
      <c r="AR247" s="619"/>
      <c r="AS247" s="548"/>
      <c r="AT247" s="548"/>
      <c r="AU247" s="554">
        <f t="shared" ref="AU247:AU255" si="69">I247</f>
        <v>8720</v>
      </c>
      <c r="AW247" s="619"/>
      <c r="AX247" s="548"/>
      <c r="AY247" s="548"/>
      <c r="AZ247" s="548"/>
      <c r="BA247" s="548"/>
      <c r="BB247" s="620">
        <f t="shared" ref="BB247:BB255" si="70">I247/48</f>
        <v>181.666666666667</v>
      </c>
      <c r="BQ247" s="554">
        <f t="shared" ref="BQ247:BQ255" si="71">I247/16</f>
        <v>545</v>
      </c>
      <c r="BY247" s="619"/>
      <c r="BZ247" s="548"/>
      <c r="CA247" s="621"/>
      <c r="CB247" s="567"/>
      <c r="CC247" s="622"/>
      <c r="CD247" s="619"/>
      <c r="CE247" s="619"/>
      <c r="CF247" s="548"/>
      <c r="CG247" s="548"/>
      <c r="CU247" s="554">
        <f t="shared" ref="CU247:CU260" si="72">BQ247+BP247+BO247+BN247+BX247+BR247</f>
        <v>545</v>
      </c>
      <c r="CV247" s="554">
        <f t="shared" si="55"/>
        <v>0</v>
      </c>
      <c r="CW247" s="554">
        <f t="shared" si="56"/>
        <v>0</v>
      </c>
      <c r="CX247" s="619"/>
      <c r="CY247" s="619"/>
      <c r="CZ247" s="619"/>
      <c r="DA247" s="548"/>
      <c r="DB247" s="548"/>
      <c r="DC247" s="548"/>
      <c r="DD247" s="619"/>
      <c r="DE247" s="619"/>
      <c r="DF247" s="619"/>
      <c r="DG247" s="619"/>
      <c r="DH247" s="619"/>
    </row>
    <row r="248" s="548" customFormat="1" ht="31" customHeight="1" spans="1:112">
      <c r="A248" s="608">
        <v>45799</v>
      </c>
      <c r="B248" s="609" t="s">
        <v>143</v>
      </c>
      <c r="C248" s="610" t="s">
        <v>98</v>
      </c>
      <c r="D248" s="554">
        <v>4500167593</v>
      </c>
      <c r="E248" s="613">
        <v>918619936</v>
      </c>
      <c r="F248" s="554" t="s">
        <v>6676</v>
      </c>
      <c r="G248" s="610" t="s">
        <v>6063</v>
      </c>
      <c r="H248" s="610" t="s">
        <v>6064</v>
      </c>
      <c r="I248" s="610">
        <v>7600</v>
      </c>
      <c r="J248" s="610">
        <v>0</v>
      </c>
      <c r="K248" s="610">
        <v>16</v>
      </c>
      <c r="L248" s="611">
        <f t="shared" si="61"/>
        <v>475</v>
      </c>
      <c r="M248" s="612">
        <v>45835</v>
      </c>
      <c r="N248" s="612">
        <v>45838</v>
      </c>
      <c r="O248" s="613" t="s">
        <v>6674</v>
      </c>
      <c r="P248" s="613" t="s">
        <v>113</v>
      </c>
      <c r="Q248" s="610"/>
      <c r="R248" s="614" t="s">
        <v>6307</v>
      </c>
      <c r="S248" s="614" t="s">
        <v>70</v>
      </c>
      <c r="T248" s="614" t="s">
        <v>148</v>
      </c>
      <c r="U248" s="614"/>
      <c r="V248" s="614"/>
      <c r="W248" s="615"/>
      <c r="X248" s="609" t="s">
        <v>6308</v>
      </c>
      <c r="Y248" s="609" t="s">
        <v>106</v>
      </c>
      <c r="Z248" s="609">
        <v>0.5936</v>
      </c>
      <c r="AA248" s="616">
        <f t="shared" si="62"/>
        <v>4511.36</v>
      </c>
      <c r="AC248" s="617" t="s">
        <v>6677</v>
      </c>
      <c r="AD248" s="610" t="s">
        <v>6063</v>
      </c>
      <c r="AE248" s="610" t="s">
        <v>82</v>
      </c>
      <c r="AF248" s="610"/>
      <c r="AG248" s="610" t="s">
        <v>74</v>
      </c>
      <c r="AH248" s="610"/>
      <c r="AI248" s="610">
        <v>7600</v>
      </c>
      <c r="AJ248" s="610">
        <f t="shared" si="59"/>
        <v>0</v>
      </c>
      <c r="AK248" s="610"/>
      <c r="AL248" s="610"/>
      <c r="AM248" s="610"/>
      <c r="AN248" s="610">
        <f t="shared" si="67"/>
        <v>7600</v>
      </c>
      <c r="AP248" s="554">
        <f t="shared" si="68"/>
        <v>7600</v>
      </c>
      <c r="AR248" s="619"/>
      <c r="AS248" s="548"/>
      <c r="AT248" s="548"/>
      <c r="AU248" s="554">
        <f t="shared" si="69"/>
        <v>7600</v>
      </c>
      <c r="AW248" s="619"/>
      <c r="AX248" s="548"/>
      <c r="AY248" s="548"/>
      <c r="AZ248" s="548"/>
      <c r="BA248" s="548"/>
      <c r="BB248" s="620">
        <f t="shared" si="70"/>
        <v>158.333333333333</v>
      </c>
      <c r="BQ248" s="554">
        <f t="shared" si="71"/>
        <v>475</v>
      </c>
      <c r="BY248" s="619"/>
      <c r="BZ248" s="548"/>
      <c r="CA248" s="621"/>
      <c r="CB248" s="567"/>
      <c r="CC248" s="622"/>
      <c r="CD248" s="619"/>
      <c r="CE248" s="619"/>
      <c r="CF248" s="548"/>
      <c r="CG248" s="548"/>
      <c r="CU248" s="554">
        <f t="shared" si="72"/>
        <v>475</v>
      </c>
      <c r="CV248" s="554">
        <f t="shared" si="55"/>
        <v>0</v>
      </c>
      <c r="CW248" s="554">
        <f t="shared" si="56"/>
        <v>0</v>
      </c>
      <c r="CX248" s="619"/>
      <c r="CY248" s="619"/>
      <c r="CZ248" s="619"/>
      <c r="DA248" s="548"/>
      <c r="DB248" s="548"/>
      <c r="DC248" s="548"/>
      <c r="DD248" s="619"/>
      <c r="DE248" s="619"/>
      <c r="DF248" s="619"/>
      <c r="DG248" s="619"/>
      <c r="DH248" s="619"/>
    </row>
    <row r="249" s="548" customFormat="1" ht="31" customHeight="1" spans="1:112">
      <c r="A249" s="608">
        <v>45799</v>
      </c>
      <c r="B249" s="609" t="s">
        <v>143</v>
      </c>
      <c r="C249" s="610" t="s">
        <v>98</v>
      </c>
      <c r="D249" s="554">
        <v>4500167593</v>
      </c>
      <c r="E249" s="613">
        <v>918619924</v>
      </c>
      <c r="F249" s="554" t="s">
        <v>6678</v>
      </c>
      <c r="G249" s="610" t="s">
        <v>6063</v>
      </c>
      <c r="H249" s="610" t="s">
        <v>6064</v>
      </c>
      <c r="I249" s="610">
        <v>9008</v>
      </c>
      <c r="J249" s="610">
        <v>0</v>
      </c>
      <c r="K249" s="610">
        <v>16</v>
      </c>
      <c r="L249" s="611">
        <f t="shared" si="61"/>
        <v>563</v>
      </c>
      <c r="M249" s="612">
        <v>45835</v>
      </c>
      <c r="N249" s="612">
        <v>45838</v>
      </c>
      <c r="O249" s="613" t="s">
        <v>6674</v>
      </c>
      <c r="P249" s="613" t="s">
        <v>113</v>
      </c>
      <c r="Q249" s="610"/>
      <c r="R249" s="614" t="s">
        <v>6307</v>
      </c>
      <c r="S249" s="614" t="s">
        <v>70</v>
      </c>
      <c r="T249" s="614" t="s">
        <v>148</v>
      </c>
      <c r="U249" s="614"/>
      <c r="V249" s="614"/>
      <c r="W249" s="615"/>
      <c r="X249" s="609" t="s">
        <v>6308</v>
      </c>
      <c r="Y249" s="609" t="s">
        <v>106</v>
      </c>
      <c r="Z249" s="609">
        <v>0.5936</v>
      </c>
      <c r="AA249" s="616">
        <f t="shared" si="62"/>
        <v>5347.1488</v>
      </c>
      <c r="AC249" s="617" t="s">
        <v>6679</v>
      </c>
      <c r="AD249" s="610" t="s">
        <v>6063</v>
      </c>
      <c r="AE249" s="610" t="s">
        <v>82</v>
      </c>
      <c r="AF249" s="610"/>
      <c r="AG249" s="610" t="s">
        <v>74</v>
      </c>
      <c r="AH249" s="610"/>
      <c r="AI249" s="610">
        <v>9008</v>
      </c>
      <c r="AJ249" s="610">
        <f t="shared" si="59"/>
        <v>0</v>
      </c>
      <c r="AK249" s="610"/>
      <c r="AL249" s="610"/>
      <c r="AM249" s="610"/>
      <c r="AN249" s="610">
        <f t="shared" si="67"/>
        <v>9008</v>
      </c>
      <c r="AP249" s="554">
        <f t="shared" si="68"/>
        <v>9008</v>
      </c>
      <c r="AR249" s="619"/>
      <c r="AS249" s="548"/>
      <c r="AT249" s="548"/>
      <c r="AU249" s="554">
        <f t="shared" si="69"/>
        <v>9008</v>
      </c>
      <c r="AW249" s="619"/>
      <c r="AX249" s="548"/>
      <c r="AY249" s="548"/>
      <c r="AZ249" s="548"/>
      <c r="BA249" s="548"/>
      <c r="BB249" s="620">
        <f t="shared" si="70"/>
        <v>187.666666666667</v>
      </c>
      <c r="BQ249" s="554">
        <f t="shared" si="71"/>
        <v>563</v>
      </c>
      <c r="BY249" s="619"/>
      <c r="BZ249" s="548"/>
      <c r="CA249" s="621"/>
      <c r="CB249" s="567"/>
      <c r="CC249" s="622"/>
      <c r="CD249" s="619"/>
      <c r="CE249" s="619"/>
      <c r="CF249" s="548"/>
      <c r="CG249" s="548"/>
      <c r="CU249" s="554">
        <f t="shared" si="72"/>
        <v>563</v>
      </c>
      <c r="CV249" s="554">
        <f t="shared" si="55"/>
        <v>0</v>
      </c>
      <c r="CW249" s="554">
        <f t="shared" si="56"/>
        <v>0</v>
      </c>
      <c r="CX249" s="619"/>
      <c r="CY249" s="619"/>
      <c r="CZ249" s="619"/>
      <c r="DA249" s="548"/>
      <c r="DB249" s="548"/>
      <c r="DC249" s="548"/>
      <c r="DD249" s="619"/>
      <c r="DE249" s="619"/>
      <c r="DF249" s="619"/>
      <c r="DG249" s="619"/>
      <c r="DH249" s="619"/>
    </row>
    <row r="250" s="548" customFormat="1" ht="31" customHeight="1" spans="1:112">
      <c r="A250" s="608">
        <v>45799</v>
      </c>
      <c r="B250" s="609" t="s">
        <v>143</v>
      </c>
      <c r="C250" s="610" t="s">
        <v>98</v>
      </c>
      <c r="D250" s="554">
        <v>4500167593</v>
      </c>
      <c r="E250" s="613">
        <v>918619822</v>
      </c>
      <c r="F250" s="554" t="s">
        <v>6680</v>
      </c>
      <c r="G250" s="610" t="s">
        <v>6063</v>
      </c>
      <c r="H250" s="610" t="s">
        <v>6064</v>
      </c>
      <c r="I250" s="610">
        <v>13520</v>
      </c>
      <c r="J250" s="610">
        <v>0</v>
      </c>
      <c r="K250" s="610">
        <v>16</v>
      </c>
      <c r="L250" s="611">
        <f t="shared" si="61"/>
        <v>845</v>
      </c>
      <c r="M250" s="612">
        <v>45835</v>
      </c>
      <c r="N250" s="612">
        <v>45838</v>
      </c>
      <c r="O250" s="613" t="s">
        <v>6674</v>
      </c>
      <c r="P250" s="613" t="s">
        <v>113</v>
      </c>
      <c r="Q250" s="610"/>
      <c r="R250" s="614" t="s">
        <v>6307</v>
      </c>
      <c r="S250" s="614" t="s">
        <v>70</v>
      </c>
      <c r="T250" s="614" t="s">
        <v>148</v>
      </c>
      <c r="U250" s="614"/>
      <c r="V250" s="614"/>
      <c r="W250" s="615"/>
      <c r="X250" s="609" t="s">
        <v>6308</v>
      </c>
      <c r="Y250" s="609" t="s">
        <v>106</v>
      </c>
      <c r="Z250" s="609">
        <v>0.5905</v>
      </c>
      <c r="AA250" s="616">
        <f t="shared" si="62"/>
        <v>7983.56</v>
      </c>
      <c r="AC250" s="617" t="s">
        <v>6681</v>
      </c>
      <c r="AD250" s="610" t="s">
        <v>6063</v>
      </c>
      <c r="AE250" s="610" t="s">
        <v>82</v>
      </c>
      <c r="AF250" s="610"/>
      <c r="AG250" s="610" t="s">
        <v>74</v>
      </c>
      <c r="AH250" s="610"/>
      <c r="AI250" s="610">
        <v>13520</v>
      </c>
      <c r="AJ250" s="610">
        <f t="shared" si="59"/>
        <v>0</v>
      </c>
      <c r="AK250" s="610"/>
      <c r="AL250" s="610"/>
      <c r="AM250" s="610"/>
      <c r="AN250" s="610">
        <f t="shared" si="67"/>
        <v>13520</v>
      </c>
      <c r="AP250" s="554">
        <f t="shared" si="68"/>
        <v>13520</v>
      </c>
      <c r="AR250" s="619"/>
      <c r="AS250" s="548"/>
      <c r="AT250" s="548"/>
      <c r="AU250" s="554">
        <f t="shared" si="69"/>
        <v>13520</v>
      </c>
      <c r="AW250" s="619"/>
      <c r="AX250" s="548"/>
      <c r="AY250" s="548"/>
      <c r="AZ250" s="548"/>
      <c r="BA250" s="548"/>
      <c r="BB250" s="620">
        <f t="shared" si="70"/>
        <v>281.666666666667</v>
      </c>
      <c r="BQ250" s="554">
        <f t="shared" si="71"/>
        <v>845</v>
      </c>
      <c r="BY250" s="619"/>
      <c r="BZ250" s="548"/>
      <c r="CA250" s="621"/>
      <c r="CB250" s="567"/>
      <c r="CC250" s="622"/>
      <c r="CD250" s="619"/>
      <c r="CE250" s="619"/>
      <c r="CF250" s="548"/>
      <c r="CG250" s="548"/>
      <c r="CU250" s="554">
        <f t="shared" si="72"/>
        <v>845</v>
      </c>
      <c r="CV250" s="554">
        <f t="shared" si="55"/>
        <v>0</v>
      </c>
      <c r="CW250" s="554">
        <f t="shared" si="56"/>
        <v>0</v>
      </c>
      <c r="CX250" s="619"/>
      <c r="CY250" s="619"/>
      <c r="CZ250" s="619"/>
      <c r="DA250" s="548"/>
      <c r="DB250" s="548"/>
      <c r="DC250" s="548"/>
      <c r="DD250" s="619"/>
      <c r="DE250" s="619"/>
      <c r="DF250" s="619"/>
      <c r="DG250" s="619"/>
      <c r="DH250" s="619"/>
    </row>
    <row r="251" s="548" customFormat="1" ht="31" customHeight="1" spans="1:112">
      <c r="A251" s="608">
        <v>45799</v>
      </c>
      <c r="B251" s="609" t="s">
        <v>143</v>
      </c>
      <c r="C251" s="610" t="s">
        <v>98</v>
      </c>
      <c r="D251" s="554">
        <v>4500167593</v>
      </c>
      <c r="E251" s="613">
        <v>918625873</v>
      </c>
      <c r="F251" s="554" t="s">
        <v>6682</v>
      </c>
      <c r="G251" s="610" t="s">
        <v>6063</v>
      </c>
      <c r="H251" s="610" t="s">
        <v>6064</v>
      </c>
      <c r="I251" s="610">
        <v>11664</v>
      </c>
      <c r="J251" s="610">
        <v>0</v>
      </c>
      <c r="K251" s="610">
        <v>16</v>
      </c>
      <c r="L251" s="611">
        <f t="shared" si="61"/>
        <v>729</v>
      </c>
      <c r="M251" s="612">
        <v>45835</v>
      </c>
      <c r="N251" s="612">
        <v>45838</v>
      </c>
      <c r="O251" s="613" t="s">
        <v>6674</v>
      </c>
      <c r="P251" s="613" t="s">
        <v>113</v>
      </c>
      <c r="Q251" s="610"/>
      <c r="R251" s="614" t="s">
        <v>6307</v>
      </c>
      <c r="S251" s="614" t="s">
        <v>70</v>
      </c>
      <c r="T251" s="614" t="s">
        <v>148</v>
      </c>
      <c r="U251" s="614"/>
      <c r="V251" s="614"/>
      <c r="W251" s="615"/>
      <c r="X251" s="609" t="s">
        <v>6308</v>
      </c>
      <c r="Y251" s="609" t="s">
        <v>106</v>
      </c>
      <c r="Z251" s="609">
        <v>0.5905</v>
      </c>
      <c r="AA251" s="616">
        <f t="shared" si="62"/>
        <v>6887.592</v>
      </c>
      <c r="AC251" s="617" t="s">
        <v>6683</v>
      </c>
      <c r="AD251" s="610" t="s">
        <v>6063</v>
      </c>
      <c r="AE251" s="610" t="s">
        <v>82</v>
      </c>
      <c r="AF251" s="610"/>
      <c r="AG251" s="610" t="s">
        <v>74</v>
      </c>
      <c r="AH251" s="610"/>
      <c r="AI251" s="610">
        <v>11664</v>
      </c>
      <c r="AJ251" s="610">
        <f t="shared" si="59"/>
        <v>0</v>
      </c>
      <c r="AK251" s="610"/>
      <c r="AL251" s="610"/>
      <c r="AM251" s="610"/>
      <c r="AN251" s="610">
        <f t="shared" si="67"/>
        <v>11664</v>
      </c>
      <c r="AP251" s="554">
        <f t="shared" si="68"/>
        <v>11664</v>
      </c>
      <c r="AR251" s="619"/>
      <c r="AS251" s="548"/>
      <c r="AT251" s="548"/>
      <c r="AU251" s="554">
        <f t="shared" si="69"/>
        <v>11664</v>
      </c>
      <c r="AW251" s="619"/>
      <c r="AX251" s="548"/>
      <c r="AY251" s="548"/>
      <c r="AZ251" s="548"/>
      <c r="BA251" s="548"/>
      <c r="BB251" s="620">
        <f t="shared" si="70"/>
        <v>243</v>
      </c>
      <c r="BQ251" s="554">
        <f t="shared" si="71"/>
        <v>729</v>
      </c>
      <c r="BY251" s="619"/>
      <c r="BZ251" s="548"/>
      <c r="CA251" s="621"/>
      <c r="CB251" s="567"/>
      <c r="CC251" s="622"/>
      <c r="CD251" s="619"/>
      <c r="CE251" s="619"/>
      <c r="CF251" s="548"/>
      <c r="CG251" s="548"/>
      <c r="CU251" s="554">
        <f t="shared" si="72"/>
        <v>729</v>
      </c>
      <c r="CV251" s="554">
        <f t="shared" si="55"/>
        <v>0</v>
      </c>
      <c r="CW251" s="554">
        <f t="shared" si="56"/>
        <v>0</v>
      </c>
      <c r="CX251" s="619"/>
      <c r="CY251" s="619"/>
      <c r="CZ251" s="619"/>
      <c r="DA251" s="548"/>
      <c r="DB251" s="548"/>
      <c r="DC251" s="548"/>
      <c r="DD251" s="619"/>
      <c r="DE251" s="619"/>
      <c r="DF251" s="619"/>
      <c r="DG251" s="619"/>
      <c r="DH251" s="619"/>
    </row>
    <row r="252" s="548" customFormat="1" ht="31" customHeight="1" spans="1:112">
      <c r="A252" s="608">
        <v>45799</v>
      </c>
      <c r="B252" s="609" t="s">
        <v>143</v>
      </c>
      <c r="C252" s="610" t="s">
        <v>98</v>
      </c>
      <c r="D252" s="554">
        <v>4500167593</v>
      </c>
      <c r="E252" s="613">
        <v>918625843</v>
      </c>
      <c r="F252" s="554" t="s">
        <v>6684</v>
      </c>
      <c r="G252" s="610" t="s">
        <v>6063</v>
      </c>
      <c r="H252" s="610" t="s">
        <v>6064</v>
      </c>
      <c r="I252" s="610">
        <v>9488</v>
      </c>
      <c r="J252" s="610">
        <v>0</v>
      </c>
      <c r="K252" s="610">
        <v>16</v>
      </c>
      <c r="L252" s="611">
        <f t="shared" si="61"/>
        <v>593</v>
      </c>
      <c r="M252" s="612">
        <v>45835</v>
      </c>
      <c r="N252" s="612">
        <v>45838</v>
      </c>
      <c r="O252" s="613" t="s">
        <v>6674</v>
      </c>
      <c r="P252" s="613" t="s">
        <v>113</v>
      </c>
      <c r="Q252" s="610" t="s">
        <v>1014</v>
      </c>
      <c r="R252" s="614" t="s">
        <v>6307</v>
      </c>
      <c r="S252" s="614" t="s">
        <v>70</v>
      </c>
      <c r="T252" s="614" t="s">
        <v>148</v>
      </c>
      <c r="U252" s="614"/>
      <c r="V252" s="614"/>
      <c r="W252" s="615"/>
      <c r="X252" s="609" t="s">
        <v>6308</v>
      </c>
      <c r="Y252" s="609" t="s">
        <v>106</v>
      </c>
      <c r="Z252" s="609">
        <v>0.5936</v>
      </c>
      <c r="AA252" s="616">
        <f t="shared" si="62"/>
        <v>5632.0768</v>
      </c>
      <c r="AC252" s="617" t="s">
        <v>6685</v>
      </c>
      <c r="AD252" s="610" t="s">
        <v>6063</v>
      </c>
      <c r="AE252" s="610" t="s">
        <v>82</v>
      </c>
      <c r="AF252" s="610"/>
      <c r="AG252" s="610" t="s">
        <v>74</v>
      </c>
      <c r="AH252" s="610"/>
      <c r="AI252" s="610">
        <f>9472+16</f>
        <v>9488</v>
      </c>
      <c r="AJ252" s="610">
        <f t="shared" si="59"/>
        <v>0</v>
      </c>
      <c r="AK252" s="610"/>
      <c r="AL252" s="610"/>
      <c r="AM252" s="610"/>
      <c r="AN252" s="610">
        <f t="shared" si="67"/>
        <v>9488</v>
      </c>
      <c r="AP252" s="554">
        <f t="shared" si="68"/>
        <v>9488</v>
      </c>
      <c r="AR252" s="619"/>
      <c r="AS252" s="548"/>
      <c r="AT252" s="548"/>
      <c r="AU252" s="554">
        <f t="shared" si="69"/>
        <v>9488</v>
      </c>
      <c r="AW252" s="619"/>
      <c r="AX252" s="548"/>
      <c r="AY252" s="548"/>
      <c r="AZ252" s="548"/>
      <c r="BA252" s="548"/>
      <c r="BB252" s="620">
        <f t="shared" si="70"/>
        <v>197.666666666667</v>
      </c>
      <c r="BQ252" s="554">
        <f t="shared" si="71"/>
        <v>593</v>
      </c>
      <c r="BY252" s="619"/>
      <c r="BZ252" s="548"/>
      <c r="CA252" s="621"/>
      <c r="CB252" s="567"/>
      <c r="CC252" s="622"/>
      <c r="CD252" s="619"/>
      <c r="CE252" s="619"/>
      <c r="CF252" s="548"/>
      <c r="CG252" s="548"/>
      <c r="CU252" s="554">
        <f t="shared" si="72"/>
        <v>593</v>
      </c>
      <c r="CV252" s="554">
        <f t="shared" si="55"/>
        <v>0</v>
      </c>
      <c r="CW252" s="554">
        <f t="shared" si="56"/>
        <v>0</v>
      </c>
      <c r="CX252" s="619"/>
      <c r="CY252" s="619"/>
      <c r="CZ252" s="619"/>
      <c r="DA252" s="548"/>
      <c r="DB252" s="548"/>
      <c r="DC252" s="548"/>
      <c r="DD252" s="619"/>
      <c r="DE252" s="619"/>
      <c r="DF252" s="619"/>
      <c r="DG252" s="619"/>
      <c r="DH252" s="619"/>
    </row>
    <row r="253" s="548" customFormat="1" ht="31" customHeight="1" spans="1:112">
      <c r="A253" s="608">
        <v>45799</v>
      </c>
      <c r="B253" s="609" t="s">
        <v>143</v>
      </c>
      <c r="C253" s="610" t="s">
        <v>98</v>
      </c>
      <c r="D253" s="554">
        <v>4500167593</v>
      </c>
      <c r="E253" s="613">
        <v>918619820</v>
      </c>
      <c r="F253" s="554" t="s">
        <v>6686</v>
      </c>
      <c r="G253" s="610" t="s">
        <v>6063</v>
      </c>
      <c r="H253" s="610" t="s">
        <v>6064</v>
      </c>
      <c r="I253" s="610">
        <v>10112</v>
      </c>
      <c r="J253" s="610">
        <v>0</v>
      </c>
      <c r="K253" s="610">
        <v>16</v>
      </c>
      <c r="L253" s="611">
        <f t="shared" si="61"/>
        <v>632</v>
      </c>
      <c r="M253" s="612">
        <v>45835</v>
      </c>
      <c r="N253" s="612">
        <v>45838</v>
      </c>
      <c r="O253" s="613" t="s">
        <v>6674</v>
      </c>
      <c r="P253" s="613" t="s">
        <v>113</v>
      </c>
      <c r="Q253" s="610"/>
      <c r="R253" s="614" t="s">
        <v>6307</v>
      </c>
      <c r="S253" s="614" t="s">
        <v>70</v>
      </c>
      <c r="T253" s="614" t="s">
        <v>148</v>
      </c>
      <c r="U253" s="614"/>
      <c r="V253" s="614"/>
      <c r="W253" s="615"/>
      <c r="X253" s="609" t="s">
        <v>6308</v>
      </c>
      <c r="Y253" s="609" t="s">
        <v>106</v>
      </c>
      <c r="Z253" s="609">
        <v>0.5905</v>
      </c>
      <c r="AA253" s="616">
        <f t="shared" si="62"/>
        <v>5971.136</v>
      </c>
      <c r="AC253" s="617" t="s">
        <v>6687</v>
      </c>
      <c r="AD253" s="610" t="s">
        <v>6063</v>
      </c>
      <c r="AE253" s="610" t="s">
        <v>82</v>
      </c>
      <c r="AF253" s="610"/>
      <c r="AG253" s="610" t="s">
        <v>74</v>
      </c>
      <c r="AH253" s="610"/>
      <c r="AI253" s="610">
        <v>10112</v>
      </c>
      <c r="AJ253" s="610">
        <f t="shared" si="59"/>
        <v>0</v>
      </c>
      <c r="AK253" s="610"/>
      <c r="AL253" s="610"/>
      <c r="AM253" s="610"/>
      <c r="AN253" s="610">
        <f t="shared" si="67"/>
        <v>10112</v>
      </c>
      <c r="AP253" s="554">
        <f t="shared" si="68"/>
        <v>10112</v>
      </c>
      <c r="AR253" s="619"/>
      <c r="AS253" s="548"/>
      <c r="AT253" s="548"/>
      <c r="AU253" s="554">
        <f t="shared" si="69"/>
        <v>10112</v>
      </c>
      <c r="AW253" s="619"/>
      <c r="AX253" s="548"/>
      <c r="AY253" s="548"/>
      <c r="AZ253" s="548"/>
      <c r="BA253" s="548"/>
      <c r="BB253" s="620">
        <f t="shared" si="70"/>
        <v>210.666666666667</v>
      </c>
      <c r="BQ253" s="554">
        <f t="shared" si="71"/>
        <v>632</v>
      </c>
      <c r="BY253" s="619"/>
      <c r="BZ253" s="548"/>
      <c r="CA253" s="621"/>
      <c r="CB253" s="567"/>
      <c r="CC253" s="622"/>
      <c r="CD253" s="619"/>
      <c r="CE253" s="619"/>
      <c r="CF253" s="548"/>
      <c r="CG253" s="548"/>
      <c r="CU253" s="554">
        <f t="shared" si="72"/>
        <v>632</v>
      </c>
      <c r="CV253" s="554">
        <f t="shared" si="55"/>
        <v>0</v>
      </c>
      <c r="CW253" s="554">
        <f t="shared" si="56"/>
        <v>0</v>
      </c>
      <c r="CX253" s="619"/>
      <c r="CY253" s="619"/>
      <c r="CZ253" s="619"/>
      <c r="DA253" s="548"/>
      <c r="DB253" s="548"/>
      <c r="DC253" s="548"/>
      <c r="DD253" s="619"/>
      <c r="DE253" s="619"/>
      <c r="DF253" s="619"/>
      <c r="DG253" s="619"/>
      <c r="DH253" s="619"/>
    </row>
    <row r="254" s="548" customFormat="1" ht="31" customHeight="1" spans="1:112">
      <c r="A254" s="608">
        <v>45799</v>
      </c>
      <c r="B254" s="609" t="s">
        <v>143</v>
      </c>
      <c r="C254" s="610" t="s">
        <v>98</v>
      </c>
      <c r="D254" s="554">
        <v>4500167593</v>
      </c>
      <c r="E254" s="613">
        <v>918619830</v>
      </c>
      <c r="F254" s="554" t="s">
        <v>6688</v>
      </c>
      <c r="G254" s="610" t="s">
        <v>6063</v>
      </c>
      <c r="H254" s="610" t="s">
        <v>6064</v>
      </c>
      <c r="I254" s="610">
        <v>9120</v>
      </c>
      <c r="J254" s="610">
        <v>0</v>
      </c>
      <c r="K254" s="610">
        <v>16</v>
      </c>
      <c r="L254" s="611">
        <f t="shared" si="61"/>
        <v>570</v>
      </c>
      <c r="M254" s="612">
        <v>45835</v>
      </c>
      <c r="N254" s="612">
        <v>45838</v>
      </c>
      <c r="O254" s="613" t="s">
        <v>6674</v>
      </c>
      <c r="P254" s="613" t="s">
        <v>113</v>
      </c>
      <c r="Q254" s="610"/>
      <c r="R254" s="614" t="s">
        <v>6307</v>
      </c>
      <c r="S254" s="614" t="s">
        <v>70</v>
      </c>
      <c r="T254" s="614" t="s">
        <v>148</v>
      </c>
      <c r="U254" s="614"/>
      <c r="V254" s="614"/>
      <c r="W254" s="615"/>
      <c r="X254" s="609" t="s">
        <v>6308</v>
      </c>
      <c r="Y254" s="609" t="s">
        <v>106</v>
      </c>
      <c r="Z254" s="609">
        <v>0.5936</v>
      </c>
      <c r="AA254" s="616">
        <f t="shared" si="62"/>
        <v>5413.632</v>
      </c>
      <c r="AC254" s="617" t="s">
        <v>6689</v>
      </c>
      <c r="AD254" s="610" t="s">
        <v>6063</v>
      </c>
      <c r="AE254" s="610" t="s">
        <v>82</v>
      </c>
      <c r="AF254" s="610"/>
      <c r="AG254" s="610" t="s">
        <v>74</v>
      </c>
      <c r="AH254" s="610"/>
      <c r="AI254" s="610">
        <v>9120</v>
      </c>
      <c r="AJ254" s="610">
        <f t="shared" si="59"/>
        <v>0</v>
      </c>
      <c r="AK254" s="610"/>
      <c r="AL254" s="610"/>
      <c r="AM254" s="610"/>
      <c r="AN254" s="610">
        <f t="shared" si="67"/>
        <v>9120</v>
      </c>
      <c r="AP254" s="554">
        <f t="shared" si="68"/>
        <v>9120</v>
      </c>
      <c r="AR254" s="619"/>
      <c r="AS254" s="548"/>
      <c r="AT254" s="548"/>
      <c r="AU254" s="554">
        <f t="shared" si="69"/>
        <v>9120</v>
      </c>
      <c r="AW254" s="619"/>
      <c r="AX254" s="548"/>
      <c r="AY254" s="548"/>
      <c r="AZ254" s="548"/>
      <c r="BA254" s="548"/>
      <c r="BB254" s="620">
        <f t="shared" si="70"/>
        <v>190</v>
      </c>
      <c r="BQ254" s="554">
        <f t="shared" si="71"/>
        <v>570</v>
      </c>
      <c r="BY254" s="619"/>
      <c r="BZ254" s="548"/>
      <c r="CA254" s="621"/>
      <c r="CB254" s="567"/>
      <c r="CC254" s="622"/>
      <c r="CD254" s="619"/>
      <c r="CE254" s="619"/>
      <c r="CF254" s="548"/>
      <c r="CG254" s="548"/>
      <c r="CU254" s="554">
        <f t="shared" si="72"/>
        <v>570</v>
      </c>
      <c r="CV254" s="554">
        <f t="shared" si="55"/>
        <v>0</v>
      </c>
      <c r="CW254" s="554">
        <f t="shared" si="56"/>
        <v>0</v>
      </c>
      <c r="CX254" s="619"/>
      <c r="CY254" s="619"/>
      <c r="CZ254" s="619"/>
      <c r="DA254" s="548"/>
      <c r="DB254" s="548"/>
      <c r="DC254" s="548"/>
      <c r="DD254" s="619"/>
      <c r="DE254" s="619"/>
      <c r="DF254" s="619"/>
      <c r="DG254" s="619"/>
      <c r="DH254" s="619"/>
    </row>
    <row r="255" s="548" customFormat="1" ht="31" customHeight="1" spans="1:112">
      <c r="A255" s="608">
        <v>45775</v>
      </c>
      <c r="B255" s="609" t="s">
        <v>143</v>
      </c>
      <c r="C255" s="610" t="s">
        <v>98</v>
      </c>
      <c r="D255" s="554">
        <v>4500162965</v>
      </c>
      <c r="E255" s="610" t="s">
        <v>6690</v>
      </c>
      <c r="F255" s="554" t="s">
        <v>6691</v>
      </c>
      <c r="G255" s="610" t="s">
        <v>6063</v>
      </c>
      <c r="H255" s="610" t="s">
        <v>6064</v>
      </c>
      <c r="I255" s="610">
        <v>7648</v>
      </c>
      <c r="J255" s="610">
        <v>0</v>
      </c>
      <c r="K255" s="610">
        <v>16</v>
      </c>
      <c r="L255" s="611">
        <f t="shared" si="61"/>
        <v>478</v>
      </c>
      <c r="M255" s="612">
        <v>45838</v>
      </c>
      <c r="N255" s="612">
        <v>45838</v>
      </c>
      <c r="O255" s="613" t="s">
        <v>956</v>
      </c>
      <c r="P255" s="613" t="s">
        <v>113</v>
      </c>
      <c r="Q255" s="610"/>
      <c r="R255" s="614" t="s">
        <v>6307</v>
      </c>
      <c r="S255" s="614" t="s">
        <v>70</v>
      </c>
      <c r="T255" s="614" t="s">
        <v>148</v>
      </c>
      <c r="U255" s="614"/>
      <c r="V255" s="614"/>
      <c r="W255" s="615"/>
      <c r="X255" s="609" t="s">
        <v>6308</v>
      </c>
      <c r="Y255" s="609" t="s">
        <v>106</v>
      </c>
      <c r="Z255" s="609">
        <v>1.008</v>
      </c>
      <c r="AA255" s="616">
        <f t="shared" si="62"/>
        <v>7709.184</v>
      </c>
      <c r="AC255" s="617" t="s">
        <v>6692</v>
      </c>
      <c r="AD255" s="610" t="s">
        <v>6063</v>
      </c>
      <c r="AE255" s="610" t="s">
        <v>82</v>
      </c>
      <c r="AF255" s="610"/>
      <c r="AG255" s="610" t="s">
        <v>74</v>
      </c>
      <c r="AH255" s="610"/>
      <c r="AI255" s="610">
        <v>7648</v>
      </c>
      <c r="AJ255" s="610">
        <f t="shared" si="59"/>
        <v>0</v>
      </c>
      <c r="AK255" s="610"/>
      <c r="AL255" s="610"/>
      <c r="AM255" s="610"/>
      <c r="AN255" s="610">
        <f t="shared" si="67"/>
        <v>7648</v>
      </c>
      <c r="AP255" s="554">
        <f t="shared" si="68"/>
        <v>7648</v>
      </c>
      <c r="AR255" s="619"/>
      <c r="AS255" s="548"/>
      <c r="AT255" s="548"/>
      <c r="AU255" s="554">
        <f t="shared" si="69"/>
        <v>7648</v>
      </c>
      <c r="AW255" s="619"/>
      <c r="AX255" s="548"/>
      <c r="AY255" s="548"/>
      <c r="AZ255" s="548"/>
      <c r="BA255" s="548"/>
      <c r="BB255" s="620">
        <f t="shared" si="70"/>
        <v>159.333333333333</v>
      </c>
      <c r="BQ255" s="554">
        <f t="shared" si="71"/>
        <v>478</v>
      </c>
      <c r="BY255" s="619"/>
      <c r="BZ255" s="548"/>
      <c r="CA255" s="621"/>
      <c r="CB255" s="567"/>
      <c r="CC255" s="622"/>
      <c r="CD255" s="619"/>
      <c r="CE255" s="619"/>
      <c r="CF255" s="548"/>
      <c r="CG255" s="548"/>
      <c r="CU255" s="554">
        <f t="shared" si="72"/>
        <v>478</v>
      </c>
      <c r="CV255" s="554">
        <f t="shared" si="55"/>
        <v>0</v>
      </c>
      <c r="CW255" s="554">
        <f t="shared" si="56"/>
        <v>0</v>
      </c>
      <c r="CX255" s="619"/>
      <c r="CY255" s="619"/>
      <c r="CZ255" s="619"/>
      <c r="DA255" s="548"/>
      <c r="DB255" s="548"/>
      <c r="DC255" s="548"/>
      <c r="DD255" s="619"/>
      <c r="DE255" s="619"/>
      <c r="DF255" s="619"/>
      <c r="DG255" s="619"/>
      <c r="DH255" s="619"/>
    </row>
    <row r="256" s="548" customFormat="1" ht="31" customHeight="1" spans="1:112">
      <c r="A256" s="608">
        <v>45797</v>
      </c>
      <c r="B256" s="609" t="s">
        <v>972</v>
      </c>
      <c r="C256" s="610" t="s">
        <v>973</v>
      </c>
      <c r="D256" s="554">
        <v>4500166992</v>
      </c>
      <c r="E256" s="613">
        <v>250400000359</v>
      </c>
      <c r="F256" s="554" t="s">
        <v>6693</v>
      </c>
      <c r="G256" s="610" t="s">
        <v>6043</v>
      </c>
      <c r="H256" s="610" t="s">
        <v>6110</v>
      </c>
      <c r="I256" s="610">
        <v>1650</v>
      </c>
      <c r="J256" s="610">
        <v>0</v>
      </c>
      <c r="K256" s="610">
        <v>50</v>
      </c>
      <c r="L256" s="611">
        <f t="shared" si="61"/>
        <v>33</v>
      </c>
      <c r="M256" s="612">
        <v>45842</v>
      </c>
      <c r="N256" s="612">
        <f>M256-4</f>
        <v>45838</v>
      </c>
      <c r="O256" s="613"/>
      <c r="P256" s="613" t="s">
        <v>113</v>
      </c>
      <c r="Q256" s="610"/>
      <c r="R256" s="614">
        <v>45797</v>
      </c>
      <c r="S256" s="614" t="s">
        <v>70</v>
      </c>
      <c r="T256" s="614" t="s">
        <v>6694</v>
      </c>
      <c r="U256" s="614"/>
      <c r="V256" s="614"/>
      <c r="W256" s="615"/>
      <c r="X256" s="628" t="s">
        <v>6695</v>
      </c>
      <c r="Y256" s="609" t="s">
        <v>977</v>
      </c>
      <c r="Z256" s="609">
        <v>0.941</v>
      </c>
      <c r="AA256" s="616">
        <f t="shared" si="62"/>
        <v>1552.65</v>
      </c>
      <c r="AC256" s="617" t="s">
        <v>978</v>
      </c>
      <c r="AD256" s="610" t="s">
        <v>6043</v>
      </c>
      <c r="AE256" s="610" t="s">
        <v>82</v>
      </c>
      <c r="AF256" s="610"/>
      <c r="AG256" s="610" t="s">
        <v>74</v>
      </c>
      <c r="AH256" s="610"/>
      <c r="AI256" s="610">
        <v>1650</v>
      </c>
      <c r="AJ256" s="610">
        <f t="shared" si="59"/>
        <v>0</v>
      </c>
      <c r="AK256" s="610"/>
      <c r="AL256" s="610"/>
      <c r="AM256" s="610"/>
      <c r="AN256" s="610"/>
      <c r="AO256" s="554">
        <f>I256</f>
        <v>1650</v>
      </c>
      <c r="AR256" s="619"/>
      <c r="AS256" s="548"/>
      <c r="AT256" s="554">
        <f>I256</f>
        <v>1650</v>
      </c>
      <c r="AV256" s="554">
        <f>I256</f>
        <v>1650</v>
      </c>
      <c r="AW256" s="619"/>
      <c r="AX256" s="548"/>
      <c r="AY256" s="548"/>
      <c r="AZ256" s="548"/>
      <c r="BA256" s="548"/>
      <c r="BB256" s="620">
        <f>I256/24</f>
        <v>68.75</v>
      </c>
      <c r="BP256" s="554">
        <f>I256/25</f>
        <v>66</v>
      </c>
      <c r="BY256" s="619"/>
      <c r="BZ256" s="548"/>
      <c r="CA256" s="621"/>
      <c r="CB256" s="567"/>
      <c r="CC256" s="622"/>
      <c r="CD256" s="619"/>
      <c r="CE256" s="619"/>
      <c r="CF256" s="548"/>
      <c r="CG256" s="548"/>
      <c r="CU256" s="554">
        <f t="shared" si="72"/>
        <v>66</v>
      </c>
      <c r="CV256" s="554">
        <f t="shared" si="55"/>
        <v>0</v>
      </c>
      <c r="CW256" s="554">
        <f t="shared" si="56"/>
        <v>0</v>
      </c>
      <c r="CX256" s="619"/>
      <c r="CY256" s="619"/>
      <c r="CZ256" s="619"/>
      <c r="DA256" s="548"/>
      <c r="DB256" s="548"/>
      <c r="DC256" s="548"/>
      <c r="DD256" s="619"/>
      <c r="DE256" s="619"/>
      <c r="DF256" s="619"/>
      <c r="DG256" s="619"/>
      <c r="DH256" s="619"/>
    </row>
    <row r="257" s="548" customFormat="1" ht="31" customHeight="1" spans="1:112">
      <c r="A257" s="608">
        <v>45798</v>
      </c>
      <c r="B257" s="609" t="s">
        <v>876</v>
      </c>
      <c r="C257" s="610" t="s">
        <v>98</v>
      </c>
      <c r="D257" s="554">
        <v>4500167106</v>
      </c>
      <c r="E257" s="610" t="s">
        <v>877</v>
      </c>
      <c r="F257" s="554" t="s">
        <v>6696</v>
      </c>
      <c r="G257" s="610" t="s">
        <v>6166</v>
      </c>
      <c r="H257" s="610" t="s">
        <v>6094</v>
      </c>
      <c r="I257" s="610">
        <v>1612</v>
      </c>
      <c r="J257" s="610">
        <v>0</v>
      </c>
      <c r="K257" s="610">
        <v>13</v>
      </c>
      <c r="L257" s="611">
        <f t="shared" si="61"/>
        <v>124</v>
      </c>
      <c r="M257" s="612">
        <v>45839</v>
      </c>
      <c r="N257" s="612">
        <v>45840</v>
      </c>
      <c r="O257" s="613" t="s">
        <v>6697</v>
      </c>
      <c r="P257" s="613" t="s">
        <v>113</v>
      </c>
      <c r="Q257" s="610"/>
      <c r="R257" s="614" t="s">
        <v>6698</v>
      </c>
      <c r="S257" s="614" t="s">
        <v>70</v>
      </c>
      <c r="T257" s="614" t="s">
        <v>70</v>
      </c>
      <c r="U257" s="614"/>
      <c r="V257" s="614"/>
      <c r="W257" s="615"/>
      <c r="X257" s="628" t="s">
        <v>6699</v>
      </c>
      <c r="Y257" s="609" t="s">
        <v>882</v>
      </c>
      <c r="Z257" s="609">
        <v>0.5528</v>
      </c>
      <c r="AA257" s="616">
        <f t="shared" si="62"/>
        <v>891.1136</v>
      </c>
      <c r="AC257" s="617" t="s">
        <v>883</v>
      </c>
      <c r="AD257" s="610" t="s">
        <v>6257</v>
      </c>
      <c r="AE257" s="610" t="s">
        <v>82</v>
      </c>
      <c r="AF257" s="610"/>
      <c r="AG257" s="610" t="s">
        <v>74</v>
      </c>
      <c r="AH257" s="610"/>
      <c r="AI257" s="610">
        <v>1612</v>
      </c>
      <c r="AJ257" s="610">
        <f t="shared" si="59"/>
        <v>0</v>
      </c>
      <c r="AK257" s="610"/>
      <c r="AL257" s="610"/>
      <c r="AM257" s="610"/>
      <c r="AN257" s="610">
        <f>I257</f>
        <v>1612</v>
      </c>
      <c r="AP257" s="554">
        <f>I257</f>
        <v>1612</v>
      </c>
      <c r="AR257" s="619"/>
      <c r="AS257" s="548"/>
      <c r="AT257" s="548"/>
      <c r="AU257" s="554">
        <f>I257</f>
        <v>1612</v>
      </c>
      <c r="AW257" s="619"/>
      <c r="AX257" s="548"/>
      <c r="AY257" s="548"/>
      <c r="AZ257" s="548"/>
      <c r="BA257" s="548"/>
      <c r="BB257" s="620">
        <f>I257/48</f>
        <v>33.5833333333333</v>
      </c>
      <c r="BK257" s="554">
        <f>I257/13</f>
        <v>124</v>
      </c>
      <c r="BY257" s="619"/>
      <c r="BZ257" s="548"/>
      <c r="CA257" s="621"/>
      <c r="CB257" s="567"/>
      <c r="CC257" s="622"/>
      <c r="CD257" s="619"/>
      <c r="CE257" s="619"/>
      <c r="CF257" s="548"/>
      <c r="CG257" s="548"/>
      <c r="CU257" s="554">
        <f t="shared" si="72"/>
        <v>0</v>
      </c>
      <c r="CV257" s="554">
        <f t="shared" si="55"/>
        <v>0</v>
      </c>
      <c r="CW257" s="554">
        <f t="shared" si="56"/>
        <v>0</v>
      </c>
      <c r="CX257" s="619"/>
      <c r="CY257" s="619"/>
      <c r="CZ257" s="619"/>
      <c r="DA257" s="548"/>
      <c r="DB257" s="548"/>
      <c r="DC257" s="548"/>
      <c r="DD257" s="619"/>
      <c r="DE257" s="619"/>
      <c r="DF257" s="619"/>
      <c r="DG257" s="619"/>
      <c r="DH257" s="619"/>
    </row>
    <row r="258" s="548" customFormat="1" ht="31" customHeight="1" spans="1:112">
      <c r="A258" s="608">
        <v>45800</v>
      </c>
      <c r="B258" s="609" t="s">
        <v>1004</v>
      </c>
      <c r="C258" s="610" t="s">
        <v>98</v>
      </c>
      <c r="D258" s="554">
        <v>4500167614</v>
      </c>
      <c r="E258" s="610" t="s">
        <v>1005</v>
      </c>
      <c r="F258" s="554" t="s">
        <v>6700</v>
      </c>
      <c r="G258" s="610" t="s">
        <v>6166</v>
      </c>
      <c r="H258" s="610" t="s">
        <v>6094</v>
      </c>
      <c r="I258" s="610">
        <v>975</v>
      </c>
      <c r="J258" s="610">
        <v>0</v>
      </c>
      <c r="K258" s="610">
        <v>13</v>
      </c>
      <c r="L258" s="611">
        <f t="shared" si="61"/>
        <v>75</v>
      </c>
      <c r="M258" s="612">
        <v>45841</v>
      </c>
      <c r="N258" s="612">
        <v>45845</v>
      </c>
      <c r="O258" s="613"/>
      <c r="P258" s="613" t="s">
        <v>113</v>
      </c>
      <c r="Q258" s="610"/>
      <c r="R258" s="614">
        <v>45811</v>
      </c>
      <c r="S258" s="614" t="s">
        <v>70</v>
      </c>
      <c r="T258" s="614" t="s">
        <v>70</v>
      </c>
      <c r="U258" s="614"/>
      <c r="V258" s="614"/>
      <c r="W258" s="615"/>
      <c r="X258" s="609" t="s">
        <v>1007</v>
      </c>
      <c r="Y258" s="609" t="s">
        <v>882</v>
      </c>
      <c r="Z258" s="609">
        <v>0.5559</v>
      </c>
      <c r="AA258" s="616">
        <f t="shared" si="62"/>
        <v>542.0025</v>
      </c>
      <c r="AC258" s="617" t="s">
        <v>1008</v>
      </c>
      <c r="AD258" s="610" t="s">
        <v>6257</v>
      </c>
      <c r="AE258" s="610" t="s">
        <v>82</v>
      </c>
      <c r="AF258" s="610"/>
      <c r="AG258" s="610" t="s">
        <v>74</v>
      </c>
      <c r="AH258" s="610"/>
      <c r="AI258" s="610">
        <v>975</v>
      </c>
      <c r="AJ258" s="610">
        <f t="shared" si="59"/>
        <v>0</v>
      </c>
      <c r="AK258" s="610"/>
      <c r="AL258" s="610"/>
      <c r="AM258" s="610"/>
      <c r="AN258" s="610">
        <f>I258</f>
        <v>975</v>
      </c>
      <c r="AP258" s="554">
        <f>I258</f>
        <v>975</v>
      </c>
      <c r="AR258" s="619"/>
      <c r="AS258" s="548"/>
      <c r="AT258" s="548"/>
      <c r="AU258" s="554">
        <f>I258</f>
        <v>975</v>
      </c>
      <c r="AW258" s="619"/>
      <c r="AX258" s="548"/>
      <c r="AY258" s="548"/>
      <c r="AZ258" s="548"/>
      <c r="BA258" s="548"/>
      <c r="BB258" s="620">
        <f>I258/48</f>
        <v>20.3125</v>
      </c>
      <c r="BK258" s="554">
        <f>I258/13</f>
        <v>75</v>
      </c>
      <c r="BY258" s="619"/>
      <c r="BZ258" s="548"/>
      <c r="CA258" s="621"/>
      <c r="CB258" s="567"/>
      <c r="CC258" s="622"/>
      <c r="CD258" s="619"/>
      <c r="CE258" s="619"/>
      <c r="CF258" s="548"/>
      <c r="CG258" s="548"/>
      <c r="CU258" s="554">
        <f t="shared" si="72"/>
        <v>0</v>
      </c>
      <c r="CV258" s="554">
        <f t="shared" si="55"/>
        <v>0</v>
      </c>
      <c r="CW258" s="554">
        <f t="shared" si="56"/>
        <v>0</v>
      </c>
      <c r="CX258" s="619"/>
      <c r="CY258" s="619"/>
      <c r="CZ258" s="619"/>
      <c r="DA258" s="548"/>
      <c r="DB258" s="548"/>
      <c r="DC258" s="548"/>
      <c r="DD258" s="619"/>
      <c r="DE258" s="619"/>
      <c r="DF258" s="619"/>
      <c r="DG258" s="619"/>
      <c r="DH258" s="619"/>
    </row>
    <row r="259" s="548" customFormat="1" ht="31" customHeight="1" spans="1:112">
      <c r="A259" s="608">
        <v>45749</v>
      </c>
      <c r="B259" s="609" t="s">
        <v>499</v>
      </c>
      <c r="C259" s="610" t="s">
        <v>890</v>
      </c>
      <c r="D259" s="554">
        <v>4500162426</v>
      </c>
      <c r="E259" s="610" t="s">
        <v>891</v>
      </c>
      <c r="F259" s="554" t="s">
        <v>6701</v>
      </c>
      <c r="G259" s="610" t="s">
        <v>6448</v>
      </c>
      <c r="H259" s="610" t="s">
        <v>6449</v>
      </c>
      <c r="I259" s="610">
        <v>1050</v>
      </c>
      <c r="J259" s="610">
        <v>0</v>
      </c>
      <c r="K259" s="610">
        <v>50</v>
      </c>
      <c r="L259" s="611">
        <f t="shared" si="61"/>
        <v>21</v>
      </c>
      <c r="M259" s="612">
        <v>45830</v>
      </c>
      <c r="N259" s="612">
        <v>45826</v>
      </c>
      <c r="O259" s="613"/>
      <c r="P259" s="613" t="s">
        <v>113</v>
      </c>
      <c r="Q259" s="610"/>
      <c r="R259" s="614">
        <v>45796</v>
      </c>
      <c r="S259" s="614" t="s">
        <v>70</v>
      </c>
      <c r="T259" s="614" t="s">
        <v>6702</v>
      </c>
      <c r="U259" s="614"/>
      <c r="V259" s="614"/>
      <c r="W259" s="615"/>
      <c r="X259" s="628" t="s">
        <v>6703</v>
      </c>
      <c r="Y259" s="609" t="s">
        <v>6704</v>
      </c>
      <c r="Z259" s="609">
        <v>0.95</v>
      </c>
      <c r="AA259" s="616">
        <f t="shared" si="62"/>
        <v>997.5</v>
      </c>
      <c r="AC259" s="629" t="s">
        <v>894</v>
      </c>
      <c r="AD259" s="610" t="s">
        <v>6448</v>
      </c>
      <c r="AE259" s="610" t="s">
        <v>82</v>
      </c>
      <c r="AF259" s="610"/>
      <c r="AG259" s="610" t="s">
        <v>74</v>
      </c>
      <c r="AH259" s="610"/>
      <c r="AI259" s="610">
        <v>1050</v>
      </c>
      <c r="AJ259" s="610">
        <f t="shared" si="59"/>
        <v>0</v>
      </c>
      <c r="AK259" s="610"/>
      <c r="AL259" s="610"/>
      <c r="AM259" s="610"/>
      <c r="AN259" s="610"/>
      <c r="AO259" s="554">
        <f>I259</f>
        <v>1050</v>
      </c>
      <c r="AR259" s="619"/>
      <c r="AS259" s="548"/>
      <c r="AT259" s="554">
        <f>I259</f>
        <v>1050</v>
      </c>
      <c r="AW259" s="619"/>
      <c r="AX259" s="548"/>
      <c r="AY259" s="548"/>
      <c r="AZ259" s="554">
        <f>I259</f>
        <v>1050</v>
      </c>
      <c r="BB259" s="620">
        <f>I259/24</f>
        <v>43.75</v>
      </c>
      <c r="BX259" s="554">
        <f>I259/25</f>
        <v>42</v>
      </c>
      <c r="BY259" s="619"/>
      <c r="BZ259" s="548"/>
      <c r="CA259" s="621"/>
      <c r="CB259" s="567"/>
      <c r="CC259" s="622"/>
      <c r="CD259" s="619"/>
      <c r="CE259" s="619"/>
      <c r="CF259" s="548"/>
      <c r="CG259" s="548"/>
      <c r="CU259" s="554">
        <f t="shared" si="72"/>
        <v>42</v>
      </c>
      <c r="CV259" s="554">
        <f t="shared" ref="CV259:CV322" si="73">CK259+CL259+CM259+CN259+CO259+CQ259+CP259</f>
        <v>0</v>
      </c>
      <c r="CW259" s="554">
        <f t="shared" ref="CW259:CW322" si="74">CI259+CJ259</f>
        <v>0</v>
      </c>
      <c r="CX259" s="619"/>
      <c r="CY259" s="619"/>
      <c r="CZ259" s="619"/>
      <c r="DA259" s="548"/>
      <c r="DB259" s="548"/>
      <c r="DC259" s="548"/>
      <c r="DD259" s="619"/>
      <c r="DE259" s="619"/>
      <c r="DF259" s="619"/>
      <c r="DG259" s="619"/>
      <c r="DH259" s="619"/>
    </row>
    <row r="260" s="548" customFormat="1" ht="31" customHeight="1" spans="1:112">
      <c r="A260" s="608">
        <v>45749</v>
      </c>
      <c r="B260" s="609" t="s">
        <v>884</v>
      </c>
      <c r="C260" s="610" t="s">
        <v>885</v>
      </c>
      <c r="D260" s="554">
        <v>4500162410</v>
      </c>
      <c r="E260" s="610" t="s">
        <v>886</v>
      </c>
      <c r="F260" s="554" t="s">
        <v>6705</v>
      </c>
      <c r="G260" s="610" t="s">
        <v>6448</v>
      </c>
      <c r="H260" s="610" t="s">
        <v>6449</v>
      </c>
      <c r="I260" s="610">
        <v>3650</v>
      </c>
      <c r="J260" s="610">
        <v>0</v>
      </c>
      <c r="K260" s="610">
        <v>50</v>
      </c>
      <c r="L260" s="611">
        <f t="shared" si="61"/>
        <v>73</v>
      </c>
      <c r="M260" s="612">
        <v>45830</v>
      </c>
      <c r="N260" s="612">
        <v>45826</v>
      </c>
      <c r="O260" s="613"/>
      <c r="P260" s="613" t="s">
        <v>113</v>
      </c>
      <c r="Q260" s="610"/>
      <c r="R260" s="614">
        <v>45796</v>
      </c>
      <c r="S260" s="614" t="s">
        <v>70</v>
      </c>
      <c r="T260" s="614">
        <v>45803</v>
      </c>
      <c r="U260" s="614"/>
      <c r="V260" s="614"/>
      <c r="W260" s="615"/>
      <c r="X260" s="628" t="s">
        <v>6706</v>
      </c>
      <c r="Y260" s="609" t="s">
        <v>6704</v>
      </c>
      <c r="Z260" s="609">
        <v>0.95</v>
      </c>
      <c r="AA260" s="616">
        <f t="shared" si="62"/>
        <v>3467.5</v>
      </c>
      <c r="AC260" s="629" t="s">
        <v>889</v>
      </c>
      <c r="AD260" s="610" t="s">
        <v>6448</v>
      </c>
      <c r="AE260" s="610" t="s">
        <v>82</v>
      </c>
      <c r="AF260" s="610"/>
      <c r="AG260" s="610" t="s">
        <v>74</v>
      </c>
      <c r="AH260" s="610"/>
      <c r="AI260" s="610">
        <v>3650</v>
      </c>
      <c r="AJ260" s="610">
        <f t="shared" si="59"/>
        <v>0</v>
      </c>
      <c r="AK260" s="610"/>
      <c r="AL260" s="610"/>
      <c r="AM260" s="610"/>
      <c r="AN260" s="610"/>
      <c r="AO260" s="554">
        <f>I260</f>
        <v>3650</v>
      </c>
      <c r="AR260" s="619"/>
      <c r="AS260" s="548"/>
      <c r="AT260" s="554">
        <f>I260</f>
        <v>3650</v>
      </c>
      <c r="AW260" s="619"/>
      <c r="AX260" s="548"/>
      <c r="AY260" s="548"/>
      <c r="AZ260" s="554">
        <f>I260</f>
        <v>3650</v>
      </c>
      <c r="BB260" s="620">
        <f>I260/24</f>
        <v>152.083333333333</v>
      </c>
      <c r="BX260" s="554">
        <f>I260/25</f>
        <v>146</v>
      </c>
      <c r="BY260" s="619"/>
      <c r="BZ260" s="548"/>
      <c r="CA260" s="621"/>
      <c r="CB260" s="567"/>
      <c r="CC260" s="622"/>
      <c r="CD260" s="619"/>
      <c r="CE260" s="619"/>
      <c r="CF260" s="548"/>
      <c r="CG260" s="548"/>
      <c r="CU260" s="554">
        <f t="shared" si="72"/>
        <v>146</v>
      </c>
      <c r="CV260" s="554">
        <f t="shared" si="73"/>
        <v>0</v>
      </c>
      <c r="CW260" s="554">
        <f t="shared" si="74"/>
        <v>0</v>
      </c>
      <c r="CX260" s="619"/>
      <c r="CY260" s="619"/>
      <c r="CZ260" s="619"/>
      <c r="DA260" s="548"/>
      <c r="DB260" s="548"/>
      <c r="DC260" s="548"/>
      <c r="DD260" s="619"/>
      <c r="DE260" s="619"/>
      <c r="DF260" s="619"/>
      <c r="DG260" s="619"/>
      <c r="DH260" s="619"/>
    </row>
    <row r="261" s="548" customFormat="1" ht="31" customHeight="1" spans="1:112">
      <c r="A261" s="608">
        <v>45776</v>
      </c>
      <c r="B261" s="609" t="s">
        <v>884</v>
      </c>
      <c r="C261" s="610" t="s">
        <v>885</v>
      </c>
      <c r="D261" s="554">
        <v>4500162410</v>
      </c>
      <c r="E261" s="610" t="s">
        <v>886</v>
      </c>
      <c r="F261" s="554" t="s">
        <v>6707</v>
      </c>
      <c r="G261" s="610" t="s">
        <v>6708</v>
      </c>
      <c r="H261" s="610" t="s">
        <v>6709</v>
      </c>
      <c r="I261" s="610">
        <v>2400</v>
      </c>
      <c r="J261" s="610">
        <v>0</v>
      </c>
      <c r="K261" s="610">
        <v>30</v>
      </c>
      <c r="L261" s="611">
        <f t="shared" si="61"/>
        <v>80</v>
      </c>
      <c r="M261" s="612">
        <v>45830</v>
      </c>
      <c r="N261" s="612">
        <v>45826</v>
      </c>
      <c r="O261" s="613"/>
      <c r="P261" s="613" t="s">
        <v>113</v>
      </c>
      <c r="Q261" s="610"/>
      <c r="R261" s="614">
        <v>45796</v>
      </c>
      <c r="S261" s="614" t="s">
        <v>70</v>
      </c>
      <c r="T261" s="614">
        <v>45803</v>
      </c>
      <c r="U261" s="614"/>
      <c r="V261" s="614"/>
      <c r="W261" s="615"/>
      <c r="X261" s="628" t="s">
        <v>6710</v>
      </c>
      <c r="Y261" s="609" t="s">
        <v>6704</v>
      </c>
      <c r="Z261" s="609">
        <v>44.6</v>
      </c>
      <c r="AA261" s="616">
        <f>Z261*L261</f>
        <v>3568</v>
      </c>
      <c r="AC261" s="629" t="s">
        <v>889</v>
      </c>
      <c r="AD261" s="610" t="s">
        <v>6708</v>
      </c>
      <c r="AE261" s="610" t="s">
        <v>82</v>
      </c>
      <c r="AF261" s="610"/>
      <c r="AG261" s="610" t="s">
        <v>74</v>
      </c>
      <c r="AH261" s="610"/>
      <c r="AI261" s="610">
        <v>2400</v>
      </c>
      <c r="AJ261" s="610">
        <f t="shared" si="59"/>
        <v>0</v>
      </c>
      <c r="AK261" s="610"/>
      <c r="AL261" s="610"/>
      <c r="AM261" s="610"/>
      <c r="AN261" s="610"/>
      <c r="AO261" s="554">
        <f>I261</f>
        <v>2400</v>
      </c>
      <c r="AR261" s="619"/>
      <c r="AS261" s="548"/>
      <c r="AT261" s="554">
        <f>I261</f>
        <v>2400</v>
      </c>
      <c r="AW261" s="619"/>
      <c r="AX261" s="548"/>
      <c r="AY261" s="548"/>
      <c r="AZ261" s="554">
        <f>I261</f>
        <v>2400</v>
      </c>
      <c r="BB261" s="620">
        <f>I261/24</f>
        <v>100</v>
      </c>
      <c r="BY261" s="619"/>
      <c r="BZ261" s="548"/>
      <c r="CA261" s="621"/>
      <c r="CB261" s="567"/>
      <c r="CC261" s="622"/>
      <c r="CD261" s="619"/>
      <c r="CE261" s="619"/>
      <c r="CF261" s="548"/>
      <c r="CG261" s="548"/>
      <c r="CQ261" s="554">
        <f>I261/30</f>
        <v>80</v>
      </c>
      <c r="CU261" s="554">
        <f t="shared" ref="CU259:CU322" si="75">BQ261+BP261+BO261+BN261+BX261+BR261</f>
        <v>0</v>
      </c>
      <c r="CV261" s="554">
        <f t="shared" si="73"/>
        <v>80</v>
      </c>
      <c r="CW261" s="554">
        <f t="shared" si="74"/>
        <v>0</v>
      </c>
      <c r="CX261" s="619"/>
      <c r="CY261" s="619"/>
      <c r="CZ261" s="619"/>
      <c r="DA261" s="548"/>
      <c r="DB261" s="548"/>
      <c r="DC261" s="548"/>
      <c r="DD261" s="619"/>
      <c r="DE261" s="619"/>
      <c r="DF261" s="619"/>
      <c r="DG261" s="619"/>
      <c r="DH261" s="619"/>
    </row>
    <row r="262" s="548" customFormat="1" ht="31" customHeight="1" spans="1:112">
      <c r="A262" s="608">
        <v>45776</v>
      </c>
      <c r="B262" s="609" t="s">
        <v>499</v>
      </c>
      <c r="C262" s="610" t="s">
        <v>6711</v>
      </c>
      <c r="D262" s="554">
        <v>4500162426</v>
      </c>
      <c r="E262" s="610" t="s">
        <v>891</v>
      </c>
      <c r="F262" s="554" t="s">
        <v>6712</v>
      </c>
      <c r="G262" s="610" t="s">
        <v>6708</v>
      </c>
      <c r="H262" s="610" t="s">
        <v>6709</v>
      </c>
      <c r="I262" s="610">
        <v>2100</v>
      </c>
      <c r="J262" s="610">
        <v>0</v>
      </c>
      <c r="K262" s="610">
        <v>30</v>
      </c>
      <c r="L262" s="611">
        <f t="shared" si="61"/>
        <v>70</v>
      </c>
      <c r="M262" s="612">
        <v>45830</v>
      </c>
      <c r="N262" s="612">
        <v>45826</v>
      </c>
      <c r="O262" s="613"/>
      <c r="P262" s="613" t="s">
        <v>113</v>
      </c>
      <c r="Q262" s="610"/>
      <c r="R262" s="614">
        <v>45796</v>
      </c>
      <c r="S262" s="614" t="s">
        <v>70</v>
      </c>
      <c r="T262" s="614">
        <v>45792</v>
      </c>
      <c r="U262" s="614"/>
      <c r="V262" s="614"/>
      <c r="W262" s="615"/>
      <c r="X262" s="628" t="s">
        <v>6713</v>
      </c>
      <c r="Y262" s="609" t="s">
        <v>6704</v>
      </c>
      <c r="Z262" s="609">
        <v>44.6</v>
      </c>
      <c r="AA262" s="616">
        <f>Z262*L262</f>
        <v>3122</v>
      </c>
      <c r="AC262" s="629" t="s">
        <v>894</v>
      </c>
      <c r="AD262" s="610" t="s">
        <v>6708</v>
      </c>
      <c r="AE262" s="610" t="s">
        <v>82</v>
      </c>
      <c r="AF262" s="610"/>
      <c r="AG262" s="610" t="s">
        <v>74</v>
      </c>
      <c r="AH262" s="610"/>
      <c r="AI262" s="610">
        <v>2100</v>
      </c>
      <c r="AJ262" s="610">
        <f t="shared" si="59"/>
        <v>0</v>
      </c>
      <c r="AK262" s="610"/>
      <c r="AL262" s="610"/>
      <c r="AM262" s="610"/>
      <c r="AN262" s="610"/>
      <c r="AO262" s="554">
        <f>I262</f>
        <v>2100</v>
      </c>
      <c r="AR262" s="619"/>
      <c r="AS262" s="548"/>
      <c r="AT262" s="554">
        <f>I262</f>
        <v>2100</v>
      </c>
      <c r="AW262" s="619"/>
      <c r="AX262" s="548"/>
      <c r="AY262" s="548"/>
      <c r="AZ262" s="554">
        <f>I262</f>
        <v>2100</v>
      </c>
      <c r="BB262" s="620">
        <f>I262/24</f>
        <v>87.5</v>
      </c>
      <c r="BY262" s="619"/>
      <c r="BZ262" s="548"/>
      <c r="CA262" s="621"/>
      <c r="CB262" s="567"/>
      <c r="CC262" s="622"/>
      <c r="CD262" s="619"/>
      <c r="CE262" s="619"/>
      <c r="CF262" s="548"/>
      <c r="CG262" s="548"/>
      <c r="CQ262" s="554">
        <f>I262/30</f>
        <v>70</v>
      </c>
      <c r="CU262" s="554">
        <f t="shared" si="75"/>
        <v>0</v>
      </c>
      <c r="CV262" s="554">
        <f t="shared" si="73"/>
        <v>70</v>
      </c>
      <c r="CW262" s="554">
        <f t="shared" si="74"/>
        <v>0</v>
      </c>
      <c r="CX262" s="619"/>
      <c r="CY262" s="619"/>
      <c r="CZ262" s="619"/>
      <c r="DA262" s="548"/>
      <c r="DB262" s="548"/>
      <c r="DC262" s="548"/>
      <c r="DD262" s="619"/>
      <c r="DE262" s="619"/>
      <c r="DF262" s="619"/>
      <c r="DG262" s="619"/>
      <c r="DH262" s="619"/>
    </row>
    <row r="263" s="548" customFormat="1" ht="31" customHeight="1" spans="1:112">
      <c r="A263" s="608">
        <v>45741</v>
      </c>
      <c r="B263" s="609" t="s">
        <v>907</v>
      </c>
      <c r="C263" s="610" t="s">
        <v>170</v>
      </c>
      <c r="D263" s="554">
        <v>4500161390</v>
      </c>
      <c r="E263" s="610"/>
      <c r="F263" s="554" t="s">
        <v>1017</v>
      </c>
      <c r="G263" s="610" t="s">
        <v>909</v>
      </c>
      <c r="H263" s="610" t="s">
        <v>830</v>
      </c>
      <c r="I263" s="610">
        <v>72</v>
      </c>
      <c r="J263" s="610">
        <v>0</v>
      </c>
      <c r="K263" s="610">
        <v>1</v>
      </c>
      <c r="L263" s="611">
        <f t="shared" si="61"/>
        <v>72</v>
      </c>
      <c r="M263" s="612">
        <v>45831</v>
      </c>
      <c r="N263" s="612">
        <v>45827</v>
      </c>
      <c r="O263" s="613"/>
      <c r="P263" s="613" t="s">
        <v>113</v>
      </c>
      <c r="Q263" s="610"/>
      <c r="R263" s="614">
        <v>45790</v>
      </c>
      <c r="S263" s="614" t="s">
        <v>70</v>
      </c>
      <c r="T263" s="614" t="s">
        <v>70</v>
      </c>
      <c r="U263" s="614"/>
      <c r="V263" s="614"/>
      <c r="W263" s="615"/>
      <c r="X263" s="609" t="s">
        <v>910</v>
      </c>
      <c r="Y263" s="609" t="s">
        <v>911</v>
      </c>
      <c r="Z263" s="609">
        <v>0</v>
      </c>
      <c r="AA263" s="616">
        <f>Z263*L263</f>
        <v>0</v>
      </c>
      <c r="AC263" s="632" t="s">
        <v>1018</v>
      </c>
      <c r="AD263" s="610" t="s">
        <v>909</v>
      </c>
      <c r="AE263" s="610" t="s">
        <v>82</v>
      </c>
      <c r="AF263" s="610"/>
      <c r="AG263" s="610" t="s">
        <v>74</v>
      </c>
      <c r="AH263" s="610"/>
      <c r="AI263" s="610">
        <v>0</v>
      </c>
      <c r="AJ263" s="610">
        <v>0</v>
      </c>
      <c r="AK263" s="610"/>
      <c r="AL263" s="610"/>
      <c r="AM263" s="610"/>
      <c r="AN263" s="610"/>
      <c r="AO263" s="548"/>
      <c r="AP263" s="548"/>
      <c r="AQ263" s="548"/>
      <c r="AR263" s="619"/>
      <c r="AS263" s="548"/>
      <c r="AT263" s="548"/>
      <c r="AU263" s="548"/>
      <c r="AV263" s="548"/>
      <c r="AW263" s="619"/>
      <c r="AX263" s="548"/>
      <c r="AY263" s="548"/>
      <c r="AZ263" s="548"/>
      <c r="BA263" s="548"/>
      <c r="BB263" s="620"/>
      <c r="BC263" s="548"/>
      <c r="BD263" s="548"/>
      <c r="BE263" s="548"/>
      <c r="BF263" s="548"/>
      <c r="BY263" s="619"/>
      <c r="BZ263" s="548"/>
      <c r="CA263" s="621"/>
      <c r="CB263" s="567"/>
      <c r="CC263" s="622"/>
      <c r="CD263" s="619"/>
      <c r="CE263" s="619"/>
      <c r="CF263" s="548"/>
      <c r="CG263" s="548"/>
      <c r="CU263" s="554">
        <f t="shared" si="75"/>
        <v>0</v>
      </c>
      <c r="CV263" s="554">
        <f t="shared" si="73"/>
        <v>0</v>
      </c>
      <c r="CW263" s="554">
        <f t="shared" si="74"/>
        <v>0</v>
      </c>
      <c r="CX263" s="619"/>
      <c r="CY263" s="619"/>
      <c r="CZ263" s="619"/>
      <c r="DA263" s="548"/>
      <c r="DB263" s="548"/>
      <c r="DC263" s="548"/>
      <c r="DD263" s="619"/>
      <c r="DE263" s="619"/>
      <c r="DF263" s="619"/>
      <c r="DG263" s="619"/>
      <c r="DH263" s="619"/>
    </row>
    <row r="264" s="548" customFormat="1" ht="31" customHeight="1" spans="1:112">
      <c r="A264" s="608">
        <v>45741</v>
      </c>
      <c r="B264" s="609" t="s">
        <v>907</v>
      </c>
      <c r="C264" s="610" t="s">
        <v>170</v>
      </c>
      <c r="D264" s="554">
        <v>4500161390</v>
      </c>
      <c r="E264" s="610"/>
      <c r="F264" s="554" t="s">
        <v>1017</v>
      </c>
      <c r="G264" s="610">
        <v>77711</v>
      </c>
      <c r="H264" s="610" t="s">
        <v>6033</v>
      </c>
      <c r="I264" s="610">
        <v>5400</v>
      </c>
      <c r="J264" s="610">
        <v>0</v>
      </c>
      <c r="K264" s="610">
        <v>75</v>
      </c>
      <c r="L264" s="611">
        <f t="shared" si="61"/>
        <v>72</v>
      </c>
      <c r="M264" s="612">
        <v>45831</v>
      </c>
      <c r="N264" s="612">
        <v>45827</v>
      </c>
      <c r="O264" s="613"/>
      <c r="P264" s="613" t="s">
        <v>113</v>
      </c>
      <c r="Q264" s="610"/>
      <c r="R264" s="614">
        <v>45790</v>
      </c>
      <c r="S264" s="614" t="s">
        <v>70</v>
      </c>
      <c r="T264" s="614" t="s">
        <v>70</v>
      </c>
      <c r="U264" s="614"/>
      <c r="V264" s="614"/>
      <c r="W264" s="615"/>
      <c r="X264" s="609"/>
      <c r="Y264" s="609" t="s">
        <v>911</v>
      </c>
      <c r="Z264" s="609">
        <v>762.5</v>
      </c>
      <c r="AA264" s="616">
        <f>Z264*L264</f>
        <v>54900</v>
      </c>
      <c r="AC264" s="632" t="s">
        <v>1018</v>
      </c>
      <c r="AD264" s="610" t="s">
        <v>909</v>
      </c>
      <c r="AE264" s="610" t="s">
        <v>82</v>
      </c>
      <c r="AF264" s="610"/>
      <c r="AG264" s="610" t="s">
        <v>74</v>
      </c>
      <c r="AH264" s="610"/>
      <c r="AI264" s="610">
        <v>0</v>
      </c>
      <c r="AJ264" s="610">
        <v>0</v>
      </c>
      <c r="AK264" s="610"/>
      <c r="AL264" s="610"/>
      <c r="AM264" s="610"/>
      <c r="AN264" s="610">
        <f>I264*3</f>
        <v>16200</v>
      </c>
      <c r="AR264" s="619"/>
      <c r="AS264" s="548"/>
      <c r="AT264" s="548"/>
      <c r="AU264" s="548"/>
      <c r="AV264" s="548"/>
      <c r="AW264" s="619"/>
      <c r="AX264" s="548"/>
      <c r="AY264" s="548"/>
      <c r="AZ264" s="548"/>
      <c r="BA264" s="548"/>
      <c r="BB264" s="620">
        <f>I264/24*3</f>
        <v>675</v>
      </c>
      <c r="BF264" s="554">
        <f>I264*3</f>
        <v>16200</v>
      </c>
      <c r="BH264" s="554">
        <f>I264*3</f>
        <v>16200</v>
      </c>
      <c r="BI264" s="554">
        <f>I264</f>
        <v>5400</v>
      </c>
      <c r="BJ264" s="554">
        <f>I264/5</f>
        <v>1080</v>
      </c>
      <c r="BY264" s="619"/>
      <c r="BZ264" s="548"/>
      <c r="CA264" s="621"/>
      <c r="CB264" s="567"/>
      <c r="CC264" s="622"/>
      <c r="CD264" s="619"/>
      <c r="CE264" s="619"/>
      <c r="CF264" s="548"/>
      <c r="CG264" s="548"/>
      <c r="CU264" s="554">
        <f t="shared" si="75"/>
        <v>0</v>
      </c>
      <c r="CV264" s="554">
        <f t="shared" si="73"/>
        <v>0</v>
      </c>
      <c r="CW264" s="554">
        <f t="shared" si="74"/>
        <v>0</v>
      </c>
      <c r="CX264" s="619"/>
      <c r="CY264" s="619"/>
      <c r="CZ264" s="619"/>
      <c r="DA264" s="548"/>
      <c r="DB264" s="548"/>
      <c r="DC264" s="548"/>
      <c r="DD264" s="619"/>
      <c r="DE264" s="619"/>
      <c r="DF264" s="619"/>
      <c r="DG264" s="619"/>
      <c r="DH264" s="619"/>
    </row>
    <row r="265" s="548" customFormat="1" ht="31" customHeight="1" spans="1:112">
      <c r="A265" s="608">
        <v>45792</v>
      </c>
      <c r="B265" s="609" t="s">
        <v>1896</v>
      </c>
      <c r="C265" s="610" t="s">
        <v>399</v>
      </c>
      <c r="D265" s="554">
        <v>4500166563</v>
      </c>
      <c r="E265" s="610"/>
      <c r="F265" s="554" t="s">
        <v>896</v>
      </c>
      <c r="G265" s="610" t="s">
        <v>6337</v>
      </c>
      <c r="H265" s="610" t="s">
        <v>477</v>
      </c>
      <c r="I265" s="610">
        <v>240</v>
      </c>
      <c r="J265" s="610">
        <v>0</v>
      </c>
      <c r="K265" s="610">
        <v>6</v>
      </c>
      <c r="L265" s="611">
        <f t="shared" si="61"/>
        <v>40</v>
      </c>
      <c r="M265" s="612">
        <v>45834</v>
      </c>
      <c r="N265" s="612">
        <v>45831</v>
      </c>
      <c r="O265" s="613"/>
      <c r="P265" s="613" t="s">
        <v>113</v>
      </c>
      <c r="Q265" s="610"/>
      <c r="R265" s="614">
        <v>45804</v>
      </c>
      <c r="S265" s="614" t="s">
        <v>70</v>
      </c>
      <c r="T265" s="614">
        <v>45805</v>
      </c>
      <c r="U265" s="614"/>
      <c r="V265" s="614"/>
      <c r="W265" s="615"/>
      <c r="X265" s="609" t="s">
        <v>6714</v>
      </c>
      <c r="Y265" s="609" t="s">
        <v>445</v>
      </c>
      <c r="Z265" s="609">
        <v>8.1</v>
      </c>
      <c r="AA265" s="616">
        <f>Z265*I265</f>
        <v>1944</v>
      </c>
      <c r="AC265" s="617" t="s">
        <v>899</v>
      </c>
      <c r="AD265" s="610" t="s">
        <v>480</v>
      </c>
      <c r="AE265" s="610" t="s">
        <v>82</v>
      </c>
      <c r="AF265" s="610"/>
      <c r="AG265" s="610" t="s">
        <v>74</v>
      </c>
      <c r="AH265" s="610"/>
      <c r="AI265" s="610">
        <v>240</v>
      </c>
      <c r="AJ265" s="610">
        <f>AI265-I265</f>
        <v>0</v>
      </c>
      <c r="AK265" s="610"/>
      <c r="AL265" s="610"/>
      <c r="AM265" s="610"/>
      <c r="AN265" s="610"/>
      <c r="AO265" s="554">
        <f>I265*2</f>
        <v>480</v>
      </c>
      <c r="AR265" s="619"/>
      <c r="AS265" s="548"/>
      <c r="AT265" s="554">
        <f>I265*2</f>
        <v>480</v>
      </c>
      <c r="AV265" s="554">
        <f>I265*2</f>
        <v>480</v>
      </c>
      <c r="AW265" s="619"/>
      <c r="AX265" s="548"/>
      <c r="AY265" s="548"/>
      <c r="AZ265" s="548"/>
      <c r="BA265" s="548"/>
      <c r="BB265" s="620">
        <f>I265/24*2</f>
        <v>20</v>
      </c>
      <c r="BY265" s="619"/>
      <c r="BZ265" s="554">
        <f>I265</f>
        <v>240</v>
      </c>
      <c r="CA265" s="621"/>
      <c r="CB265" s="567"/>
      <c r="CC265" s="622"/>
      <c r="CD265" s="619"/>
      <c r="CE265" s="619"/>
      <c r="CF265" s="548"/>
      <c r="CG265" s="548"/>
      <c r="CU265" s="554">
        <f t="shared" si="75"/>
        <v>0</v>
      </c>
      <c r="CV265" s="554">
        <f t="shared" si="73"/>
        <v>0</v>
      </c>
      <c r="CW265" s="554">
        <f t="shared" si="74"/>
        <v>0</v>
      </c>
      <c r="CX265" s="619"/>
      <c r="CY265" s="619"/>
      <c r="CZ265" s="619"/>
      <c r="DA265" s="548"/>
      <c r="DB265" s="548"/>
      <c r="DC265" s="548"/>
      <c r="DD265" s="619"/>
      <c r="DE265" s="619"/>
      <c r="DF265" s="619"/>
      <c r="DG265" s="619"/>
      <c r="DH265" s="619"/>
    </row>
    <row r="266" s="548" customFormat="1" ht="31" customHeight="1" spans="1:112">
      <c r="A266" s="608">
        <v>45741</v>
      </c>
      <c r="B266" s="609" t="s">
        <v>907</v>
      </c>
      <c r="C266" s="610" t="s">
        <v>170</v>
      </c>
      <c r="D266" s="554">
        <v>4500161400</v>
      </c>
      <c r="E266" s="610"/>
      <c r="F266" s="554" t="s">
        <v>908</v>
      </c>
      <c r="G266" s="610" t="s">
        <v>909</v>
      </c>
      <c r="H266" s="610" t="s">
        <v>830</v>
      </c>
      <c r="I266" s="610">
        <v>72</v>
      </c>
      <c r="J266" s="610">
        <v>0</v>
      </c>
      <c r="K266" s="610">
        <v>1</v>
      </c>
      <c r="L266" s="611">
        <f t="shared" si="61"/>
        <v>72</v>
      </c>
      <c r="M266" s="612">
        <v>45835</v>
      </c>
      <c r="N266" s="612">
        <v>45831</v>
      </c>
      <c r="O266" s="613"/>
      <c r="P266" s="613" t="s">
        <v>113</v>
      </c>
      <c r="Q266" s="610"/>
      <c r="R266" s="614">
        <v>45790</v>
      </c>
      <c r="S266" s="614" t="s">
        <v>70</v>
      </c>
      <c r="T266" s="614" t="s">
        <v>70</v>
      </c>
      <c r="U266" s="614"/>
      <c r="V266" s="614"/>
      <c r="W266" s="615"/>
      <c r="X266" s="609" t="s">
        <v>910</v>
      </c>
      <c r="Y266" s="609" t="s">
        <v>911</v>
      </c>
      <c r="Z266" s="609">
        <v>0</v>
      </c>
      <c r="AA266" s="616">
        <f>Z266*L266</f>
        <v>0</v>
      </c>
      <c r="AC266" s="632" t="s">
        <v>912</v>
      </c>
      <c r="AD266" s="610" t="s">
        <v>909</v>
      </c>
      <c r="AE266" s="610" t="s">
        <v>82</v>
      </c>
      <c r="AF266" s="610"/>
      <c r="AG266" s="610" t="s">
        <v>74</v>
      </c>
      <c r="AH266" s="610"/>
      <c r="AI266" s="610">
        <f>4080+1320</f>
        <v>5400</v>
      </c>
      <c r="AJ266" s="610">
        <f>AI266-I267</f>
        <v>0</v>
      </c>
      <c r="AK266" s="610"/>
      <c r="AL266" s="610"/>
      <c r="AM266" s="610"/>
      <c r="AN266" s="610"/>
      <c r="AO266" s="548"/>
      <c r="AP266" s="548"/>
      <c r="AQ266" s="548"/>
      <c r="AR266" s="619"/>
      <c r="AS266" s="548"/>
      <c r="AT266" s="548"/>
      <c r="AU266" s="548"/>
      <c r="AV266" s="548"/>
      <c r="AW266" s="619"/>
      <c r="AX266" s="548"/>
      <c r="AY266" s="548"/>
      <c r="AZ266" s="548"/>
      <c r="BA266" s="548"/>
      <c r="BB266" s="620"/>
      <c r="BC266" s="548"/>
      <c r="BD266" s="548"/>
      <c r="BE266" s="548"/>
      <c r="BF266" s="548"/>
      <c r="BY266" s="619"/>
      <c r="BZ266" s="548"/>
      <c r="CA266" s="621"/>
      <c r="CB266" s="567"/>
      <c r="CC266" s="622"/>
      <c r="CD266" s="619"/>
      <c r="CE266" s="619"/>
      <c r="CF266" s="548"/>
      <c r="CG266" s="548"/>
      <c r="CU266" s="554">
        <f t="shared" si="75"/>
        <v>0</v>
      </c>
      <c r="CV266" s="554">
        <f t="shared" si="73"/>
        <v>0</v>
      </c>
      <c r="CW266" s="554">
        <f t="shared" si="74"/>
        <v>0</v>
      </c>
      <c r="CX266" s="619"/>
      <c r="CY266" s="619"/>
      <c r="CZ266" s="619"/>
      <c r="DA266" s="548"/>
      <c r="DB266" s="548"/>
      <c r="DC266" s="548"/>
      <c r="DD266" s="619"/>
      <c r="DE266" s="619"/>
      <c r="DF266" s="619"/>
      <c r="DG266" s="619"/>
      <c r="DH266" s="619"/>
    </row>
    <row r="267" s="548" customFormat="1" ht="31" customHeight="1" spans="1:112">
      <c r="A267" s="608">
        <v>45741</v>
      </c>
      <c r="B267" s="609" t="s">
        <v>907</v>
      </c>
      <c r="C267" s="610" t="s">
        <v>170</v>
      </c>
      <c r="D267" s="554">
        <v>4500161400</v>
      </c>
      <c r="E267" s="610"/>
      <c r="F267" s="554" t="s">
        <v>908</v>
      </c>
      <c r="G267" s="610">
        <v>77711</v>
      </c>
      <c r="H267" s="610" t="s">
        <v>6033</v>
      </c>
      <c r="I267" s="610">
        <v>5400</v>
      </c>
      <c r="J267" s="610">
        <v>0</v>
      </c>
      <c r="K267" s="610">
        <v>75</v>
      </c>
      <c r="L267" s="611">
        <f t="shared" si="61"/>
        <v>72</v>
      </c>
      <c r="M267" s="612">
        <v>45835</v>
      </c>
      <c r="N267" s="612">
        <v>45831</v>
      </c>
      <c r="O267" s="613"/>
      <c r="P267" s="613" t="s">
        <v>113</v>
      </c>
      <c r="Q267" s="610"/>
      <c r="R267" s="614">
        <v>45790</v>
      </c>
      <c r="S267" s="614" t="s">
        <v>70</v>
      </c>
      <c r="T267" s="614" t="s">
        <v>70</v>
      </c>
      <c r="U267" s="614"/>
      <c r="V267" s="614"/>
      <c r="W267" s="615"/>
      <c r="X267" s="609"/>
      <c r="Y267" s="609" t="s">
        <v>911</v>
      </c>
      <c r="Z267" s="609">
        <v>762.5</v>
      </c>
      <c r="AA267" s="616">
        <f>Z267*L267</f>
        <v>54900</v>
      </c>
      <c r="AC267" s="632" t="s">
        <v>912</v>
      </c>
      <c r="AD267" s="610" t="s">
        <v>909</v>
      </c>
      <c r="AE267" s="610" t="s">
        <v>82</v>
      </c>
      <c r="AF267" s="610"/>
      <c r="AG267" s="610" t="s">
        <v>74</v>
      </c>
      <c r="AH267" s="610"/>
      <c r="AI267" s="610">
        <v>0</v>
      </c>
      <c r="AJ267" s="610">
        <v>0</v>
      </c>
      <c r="AK267" s="610"/>
      <c r="AL267" s="610"/>
      <c r="AM267" s="610"/>
      <c r="AN267" s="610">
        <f>I267*3</f>
        <v>16200</v>
      </c>
      <c r="AR267" s="619"/>
      <c r="AS267" s="548"/>
      <c r="AT267" s="548"/>
      <c r="AU267" s="548"/>
      <c r="AV267" s="548"/>
      <c r="AW267" s="619"/>
      <c r="AX267" s="548"/>
      <c r="AY267" s="548"/>
      <c r="AZ267" s="548"/>
      <c r="BA267" s="548"/>
      <c r="BB267" s="620">
        <f>I267/24*3</f>
        <v>675</v>
      </c>
      <c r="BF267" s="554">
        <f>I267*3</f>
        <v>16200</v>
      </c>
      <c r="BH267" s="554">
        <f>I267*3</f>
        <v>16200</v>
      </c>
      <c r="BI267" s="554">
        <f>I267</f>
        <v>5400</v>
      </c>
      <c r="BJ267" s="554">
        <f>I267/5</f>
        <v>1080</v>
      </c>
      <c r="BY267" s="619"/>
      <c r="BZ267" s="548"/>
      <c r="CA267" s="621"/>
      <c r="CB267" s="567"/>
      <c r="CC267" s="622"/>
      <c r="CD267" s="619"/>
      <c r="CE267" s="619"/>
      <c r="CF267" s="548"/>
      <c r="CG267" s="548"/>
      <c r="CU267" s="554">
        <f t="shared" si="75"/>
        <v>0</v>
      </c>
      <c r="CV267" s="554">
        <f t="shared" si="73"/>
        <v>0</v>
      </c>
      <c r="CW267" s="554">
        <f t="shared" si="74"/>
        <v>0</v>
      </c>
      <c r="CX267" s="619"/>
      <c r="CY267" s="619"/>
      <c r="CZ267" s="619"/>
      <c r="DA267" s="548"/>
      <c r="DB267" s="548"/>
      <c r="DC267" s="548"/>
      <c r="DD267" s="619"/>
      <c r="DE267" s="619"/>
      <c r="DF267" s="619"/>
      <c r="DG267" s="619"/>
      <c r="DH267" s="619"/>
    </row>
    <row r="268" s="548" customFormat="1" ht="31" customHeight="1" spans="1:112">
      <c r="A268" s="608">
        <v>45777</v>
      </c>
      <c r="B268" s="609" t="s">
        <v>6715</v>
      </c>
      <c r="C268" s="610" t="s">
        <v>469</v>
      </c>
      <c r="D268" s="554">
        <v>4500163986</v>
      </c>
      <c r="E268" s="610" t="s">
        <v>6716</v>
      </c>
      <c r="F268" s="554" t="s">
        <v>6717</v>
      </c>
      <c r="G268" s="610" t="s">
        <v>6043</v>
      </c>
      <c r="H268" s="610" t="s">
        <v>6110</v>
      </c>
      <c r="I268" s="610">
        <v>1000</v>
      </c>
      <c r="J268" s="610">
        <v>0</v>
      </c>
      <c r="K268" s="610">
        <v>50</v>
      </c>
      <c r="L268" s="611">
        <f t="shared" si="61"/>
        <v>20</v>
      </c>
      <c r="M268" s="612">
        <v>45838</v>
      </c>
      <c r="N268" s="612">
        <v>45834</v>
      </c>
      <c r="O268" s="613"/>
      <c r="P268" s="613" t="s">
        <v>113</v>
      </c>
      <c r="Q268" s="610"/>
      <c r="R268" s="614">
        <v>45789</v>
      </c>
      <c r="S268" s="614" t="s">
        <v>70</v>
      </c>
      <c r="T268" s="614" t="s">
        <v>6718</v>
      </c>
      <c r="U268" s="614"/>
      <c r="V268" s="614"/>
      <c r="W268" s="615"/>
      <c r="X268" s="628" t="s">
        <v>6719</v>
      </c>
      <c r="Y268" s="609" t="s">
        <v>4065</v>
      </c>
      <c r="Z268" s="609">
        <v>0.95</v>
      </c>
      <c r="AA268" s="616">
        <f t="shared" ref="AA268:AA278" si="76">Z268*I268</f>
        <v>950</v>
      </c>
      <c r="AC268" s="617" t="s">
        <v>906</v>
      </c>
      <c r="AD268" s="610" t="s">
        <v>6043</v>
      </c>
      <c r="AE268" s="610" t="s">
        <v>82</v>
      </c>
      <c r="AF268" s="610"/>
      <c r="AG268" s="610" t="s">
        <v>74</v>
      </c>
      <c r="AH268" s="610"/>
      <c r="AI268" s="610">
        <v>1000</v>
      </c>
      <c r="AJ268" s="610">
        <f t="shared" ref="AJ268:AJ302" si="77">AI268-I268</f>
        <v>0</v>
      </c>
      <c r="AK268" s="610"/>
      <c r="AL268" s="610"/>
      <c r="AM268" s="610"/>
      <c r="AN268" s="610"/>
      <c r="AO268" s="554">
        <f>I268</f>
        <v>1000</v>
      </c>
      <c r="AR268" s="619"/>
      <c r="AS268" s="548"/>
      <c r="AT268" s="554">
        <f>I268</f>
        <v>1000</v>
      </c>
      <c r="AV268" s="554">
        <f>I268</f>
        <v>1000</v>
      </c>
      <c r="AW268" s="619"/>
      <c r="AX268" s="548"/>
      <c r="AY268" s="548"/>
      <c r="AZ268" s="548"/>
      <c r="BA268" s="548"/>
      <c r="BB268" s="620">
        <f>I268/24</f>
        <v>41.6666666666667</v>
      </c>
      <c r="BP268" s="554">
        <f>I268/25</f>
        <v>40</v>
      </c>
      <c r="BY268" s="619"/>
      <c r="BZ268" s="548"/>
      <c r="CA268" s="621"/>
      <c r="CB268" s="567"/>
      <c r="CC268" s="622"/>
      <c r="CD268" s="619"/>
      <c r="CE268" s="619"/>
      <c r="CF268" s="548"/>
      <c r="CG268" s="548"/>
      <c r="CU268" s="554">
        <f t="shared" si="75"/>
        <v>40</v>
      </c>
      <c r="CV268" s="554">
        <f t="shared" si="73"/>
        <v>0</v>
      </c>
      <c r="CW268" s="554">
        <f t="shared" si="74"/>
        <v>0</v>
      </c>
      <c r="CX268" s="619"/>
      <c r="CY268" s="619"/>
      <c r="CZ268" s="619"/>
      <c r="DA268" s="548"/>
      <c r="DB268" s="548"/>
      <c r="DC268" s="548"/>
      <c r="DD268" s="619"/>
      <c r="DE268" s="619"/>
      <c r="DF268" s="619"/>
      <c r="DG268" s="619"/>
      <c r="DH268" s="619"/>
    </row>
    <row r="269" s="548" customFormat="1" ht="31" customHeight="1" spans="1:112">
      <c r="A269" s="608">
        <v>45797</v>
      </c>
      <c r="B269" s="609" t="s">
        <v>139</v>
      </c>
      <c r="C269" s="610" t="s">
        <v>76</v>
      </c>
      <c r="D269" s="554">
        <v>4500166977</v>
      </c>
      <c r="E269" s="610">
        <v>20846871</v>
      </c>
      <c r="F269" s="554" t="s">
        <v>6720</v>
      </c>
      <c r="G269" s="610" t="s">
        <v>6093</v>
      </c>
      <c r="H269" s="610" t="s">
        <v>6094</v>
      </c>
      <c r="I269" s="610">
        <v>156</v>
      </c>
      <c r="J269" s="610">
        <v>0</v>
      </c>
      <c r="K269" s="610">
        <v>13</v>
      </c>
      <c r="L269" s="611">
        <f t="shared" si="61"/>
        <v>12</v>
      </c>
      <c r="M269" s="612">
        <v>45838</v>
      </c>
      <c r="N269" s="612">
        <v>45834</v>
      </c>
      <c r="O269" s="613"/>
      <c r="P269" s="613" t="s">
        <v>113</v>
      </c>
      <c r="Q269" s="610"/>
      <c r="R269" s="614">
        <v>45811</v>
      </c>
      <c r="S269" s="614" t="s">
        <v>104</v>
      </c>
      <c r="T269" s="614" t="s">
        <v>6205</v>
      </c>
      <c r="U269" s="614"/>
      <c r="V269" s="614"/>
      <c r="W269" s="615"/>
      <c r="X269" s="609" t="s">
        <v>6721</v>
      </c>
      <c r="Y269" s="609" t="s">
        <v>133</v>
      </c>
      <c r="Z269" s="609">
        <v>0.9526</v>
      </c>
      <c r="AA269" s="616">
        <f t="shared" si="76"/>
        <v>148.6056</v>
      </c>
      <c r="AC269" s="617" t="s">
        <v>6722</v>
      </c>
      <c r="AD269" s="610" t="s">
        <v>6093</v>
      </c>
      <c r="AE269" s="610" t="s">
        <v>82</v>
      </c>
      <c r="AF269" s="610"/>
      <c r="AG269" s="610" t="s">
        <v>74</v>
      </c>
      <c r="AH269" s="610"/>
      <c r="AI269" s="610">
        <v>156</v>
      </c>
      <c r="AJ269" s="610">
        <f t="shared" si="77"/>
        <v>0</v>
      </c>
      <c r="AK269" s="610"/>
      <c r="AL269" s="610"/>
      <c r="AM269" s="610"/>
      <c r="AN269" s="610"/>
      <c r="AO269" s="554">
        <f>I269</f>
        <v>156</v>
      </c>
      <c r="AR269" s="619"/>
      <c r="AS269" s="548"/>
      <c r="AT269" s="554">
        <f>I269</f>
        <v>156</v>
      </c>
      <c r="AV269" s="554">
        <f>I269</f>
        <v>156</v>
      </c>
      <c r="AW269" s="619"/>
      <c r="AX269" s="548"/>
      <c r="AY269" s="548"/>
      <c r="AZ269" s="548"/>
      <c r="BA269" s="548"/>
      <c r="BB269" s="620">
        <f>I269/24</f>
        <v>6.5</v>
      </c>
      <c r="BM269" s="554">
        <f>I269/13</f>
        <v>12</v>
      </c>
      <c r="BY269" s="619"/>
      <c r="BZ269" s="548"/>
      <c r="CA269" s="621"/>
      <c r="CB269" s="567"/>
      <c r="CC269" s="622"/>
      <c r="CD269" s="619"/>
      <c r="CE269" s="619"/>
      <c r="CF269" s="548"/>
      <c r="CG269" s="548"/>
      <c r="CU269" s="554">
        <f t="shared" si="75"/>
        <v>0</v>
      </c>
      <c r="CV269" s="554">
        <f t="shared" si="73"/>
        <v>0</v>
      </c>
      <c r="CW269" s="554">
        <f t="shared" si="74"/>
        <v>0</v>
      </c>
      <c r="CX269" s="619"/>
      <c r="CY269" s="619"/>
      <c r="CZ269" s="619"/>
      <c r="DA269" s="548"/>
      <c r="DB269" s="548"/>
      <c r="DC269" s="548"/>
      <c r="DD269" s="619"/>
      <c r="DE269" s="619"/>
      <c r="DF269" s="619"/>
      <c r="DG269" s="619"/>
      <c r="DH269" s="619"/>
    </row>
    <row r="270" s="548" customFormat="1" ht="31" customHeight="1" spans="1:112">
      <c r="A270" s="608">
        <v>45797</v>
      </c>
      <c r="B270" s="609" t="s">
        <v>301</v>
      </c>
      <c r="C270" s="610" t="s">
        <v>302</v>
      </c>
      <c r="D270" s="554">
        <v>4500167011</v>
      </c>
      <c r="E270" s="610">
        <v>5200006751</v>
      </c>
      <c r="F270" s="554" t="s">
        <v>6723</v>
      </c>
      <c r="G270" s="610" t="s">
        <v>6120</v>
      </c>
      <c r="H270" s="610" t="s">
        <v>6094</v>
      </c>
      <c r="I270" s="610">
        <v>2002</v>
      </c>
      <c r="J270" s="610">
        <v>0</v>
      </c>
      <c r="K270" s="610">
        <v>13</v>
      </c>
      <c r="L270" s="611">
        <f t="shared" si="61"/>
        <v>154</v>
      </c>
      <c r="M270" s="612">
        <v>45838</v>
      </c>
      <c r="N270" s="612">
        <v>45834</v>
      </c>
      <c r="O270" s="613"/>
      <c r="P270" s="613" t="s">
        <v>113</v>
      </c>
      <c r="Q270" s="610"/>
      <c r="R270" s="614">
        <v>45805</v>
      </c>
      <c r="S270" s="614" t="s">
        <v>70</v>
      </c>
      <c r="T270" s="614" t="s">
        <v>6342</v>
      </c>
      <c r="U270" s="614"/>
      <c r="V270" s="614" t="s">
        <v>6470</v>
      </c>
      <c r="W270" s="615"/>
      <c r="X270" s="609" t="s">
        <v>6478</v>
      </c>
      <c r="Y270" s="609" t="s">
        <v>2037</v>
      </c>
      <c r="Z270" s="609">
        <v>0.9116</v>
      </c>
      <c r="AA270" s="616">
        <f t="shared" si="76"/>
        <v>1825.0232</v>
      </c>
      <c r="AC270" s="617" t="s">
        <v>6724</v>
      </c>
      <c r="AD270" s="610" t="s">
        <v>6093</v>
      </c>
      <c r="AE270" s="610" t="s">
        <v>82</v>
      </c>
      <c r="AF270" s="610"/>
      <c r="AG270" s="610" t="s">
        <v>74</v>
      </c>
      <c r="AH270" s="610"/>
      <c r="AI270" s="610">
        <v>2002</v>
      </c>
      <c r="AJ270" s="610">
        <f t="shared" si="77"/>
        <v>0</v>
      </c>
      <c r="AK270" s="610"/>
      <c r="AL270" s="610"/>
      <c r="AM270" s="610"/>
      <c r="AN270" s="610"/>
      <c r="AO270" s="554">
        <f>I270</f>
        <v>2002</v>
      </c>
      <c r="AR270" s="619"/>
      <c r="AS270" s="548"/>
      <c r="AT270" s="554">
        <f>I270</f>
        <v>2002</v>
      </c>
      <c r="AV270" s="554">
        <f>I270</f>
        <v>2002</v>
      </c>
      <c r="AW270" s="619"/>
      <c r="AX270" s="548"/>
      <c r="AY270" s="548"/>
      <c r="AZ270" s="548"/>
      <c r="BA270" s="548"/>
      <c r="BB270" s="620">
        <f>I270/24</f>
        <v>83.4166666666667</v>
      </c>
      <c r="BM270" s="554">
        <f>I270/13</f>
        <v>154</v>
      </c>
      <c r="BY270" s="619"/>
      <c r="BZ270" s="548"/>
      <c r="CA270" s="621"/>
      <c r="CB270" s="567"/>
      <c r="CC270" s="622"/>
      <c r="CD270" s="619"/>
      <c r="CE270" s="619"/>
      <c r="CF270" s="548"/>
      <c r="CG270" s="548"/>
      <c r="CU270" s="554">
        <f t="shared" si="75"/>
        <v>0</v>
      </c>
      <c r="CV270" s="554">
        <f t="shared" si="73"/>
        <v>0</v>
      </c>
      <c r="CW270" s="554">
        <f t="shared" si="74"/>
        <v>0</v>
      </c>
      <c r="CX270" s="619"/>
      <c r="CY270" s="619"/>
      <c r="CZ270" s="619"/>
      <c r="DA270" s="548"/>
      <c r="DB270" s="548"/>
      <c r="DC270" s="548"/>
      <c r="DD270" s="619"/>
      <c r="DE270" s="619"/>
      <c r="DF270" s="619"/>
      <c r="DG270" s="619"/>
      <c r="DH270" s="619"/>
    </row>
    <row r="271" s="548" customFormat="1" ht="31" customHeight="1" spans="1:112">
      <c r="A271" s="608">
        <v>45799</v>
      </c>
      <c r="B271" s="609" t="s">
        <v>549</v>
      </c>
      <c r="C271" s="610" t="s">
        <v>278</v>
      </c>
      <c r="D271" s="554">
        <v>4500167501</v>
      </c>
      <c r="E271" s="610" t="s">
        <v>6725</v>
      </c>
      <c r="F271" s="554" t="s">
        <v>6726</v>
      </c>
      <c r="G271" s="610" t="s">
        <v>6365</v>
      </c>
      <c r="H271" s="610" t="s">
        <v>6126</v>
      </c>
      <c r="I271" s="610">
        <v>504</v>
      </c>
      <c r="J271" s="610">
        <v>0</v>
      </c>
      <c r="K271" s="610">
        <v>12</v>
      </c>
      <c r="L271" s="611">
        <f t="shared" si="61"/>
        <v>42</v>
      </c>
      <c r="M271" s="612">
        <v>45838</v>
      </c>
      <c r="N271" s="612">
        <v>45834</v>
      </c>
      <c r="O271" s="613"/>
      <c r="P271" s="613" t="s">
        <v>113</v>
      </c>
      <c r="Q271" s="610"/>
      <c r="R271" s="614" t="s">
        <v>463</v>
      </c>
      <c r="S271" s="614" t="s">
        <v>104</v>
      </c>
      <c r="T271" s="614">
        <v>45812</v>
      </c>
      <c r="U271" s="614"/>
      <c r="V271" s="614"/>
      <c r="W271" s="615"/>
      <c r="X271" s="609" t="s">
        <v>6727</v>
      </c>
      <c r="Y271" s="609" t="s">
        <v>466</v>
      </c>
      <c r="Z271" s="609">
        <v>2.2418</v>
      </c>
      <c r="AA271" s="616">
        <f t="shared" si="76"/>
        <v>1129.8672</v>
      </c>
      <c r="AC271" s="636" t="s">
        <v>6728</v>
      </c>
      <c r="AD271" s="610" t="s">
        <v>6368</v>
      </c>
      <c r="AE271" s="610" t="s">
        <v>82</v>
      </c>
      <c r="AF271" s="610"/>
      <c r="AG271" s="610" t="s">
        <v>74</v>
      </c>
      <c r="AH271" s="610"/>
      <c r="AI271" s="610">
        <f>492+12</f>
        <v>504</v>
      </c>
      <c r="AJ271" s="610">
        <f t="shared" si="77"/>
        <v>0</v>
      </c>
      <c r="AK271" s="610"/>
      <c r="AL271" s="610"/>
      <c r="AM271" s="610"/>
      <c r="AN271" s="610"/>
      <c r="AO271" s="554">
        <f>I271*2</f>
        <v>1008</v>
      </c>
      <c r="AR271" s="619"/>
      <c r="AS271" s="548"/>
      <c r="AT271" s="554">
        <f>I271*2</f>
        <v>1008</v>
      </c>
      <c r="AV271" s="554">
        <f>I271*2</f>
        <v>1008</v>
      </c>
      <c r="AW271" s="619"/>
      <c r="AX271" s="548"/>
      <c r="AY271" s="548"/>
      <c r="AZ271" s="548"/>
      <c r="BA271" s="548"/>
      <c r="BB271" s="249">
        <f>I271/24*2</f>
        <v>42</v>
      </c>
      <c r="BY271" s="619"/>
      <c r="BZ271" s="548"/>
      <c r="CA271" s="621"/>
      <c r="CB271" s="567"/>
      <c r="CC271" s="622"/>
      <c r="CD271" s="619"/>
      <c r="CE271" s="619"/>
      <c r="CF271" s="548"/>
      <c r="CG271" s="548"/>
      <c r="CR271" s="554">
        <f>I271</f>
        <v>504</v>
      </c>
      <c r="CS271" s="554">
        <f>I271</f>
        <v>504</v>
      </c>
      <c r="CT271" s="554">
        <f>I271</f>
        <v>504</v>
      </c>
      <c r="CU271" s="554">
        <f t="shared" si="75"/>
        <v>0</v>
      </c>
      <c r="CV271" s="554">
        <f t="shared" si="73"/>
        <v>0</v>
      </c>
      <c r="CW271" s="554">
        <f t="shared" si="74"/>
        <v>0</v>
      </c>
      <c r="CX271" s="619"/>
      <c r="CY271" s="619"/>
      <c r="CZ271" s="619"/>
      <c r="DA271" s="548"/>
      <c r="DB271" s="548"/>
      <c r="DC271" s="548"/>
      <c r="DD271" s="619"/>
      <c r="DE271" s="619"/>
      <c r="DF271" s="619"/>
      <c r="DG271" s="619"/>
      <c r="DH271" s="619"/>
    </row>
    <row r="272" s="548" customFormat="1" ht="31" customHeight="1" spans="1:112">
      <c r="A272" s="608">
        <v>45804</v>
      </c>
      <c r="B272" s="609" t="s">
        <v>930</v>
      </c>
      <c r="C272" s="610" t="s">
        <v>931</v>
      </c>
      <c r="D272" s="554">
        <v>4500168055</v>
      </c>
      <c r="E272" s="610"/>
      <c r="F272" s="554" t="s">
        <v>6729</v>
      </c>
      <c r="G272" s="610" t="s">
        <v>6276</v>
      </c>
      <c r="H272" s="610" t="s">
        <v>6277</v>
      </c>
      <c r="I272" s="610">
        <v>700</v>
      </c>
      <c r="J272" s="610">
        <v>0</v>
      </c>
      <c r="K272" s="610">
        <v>50</v>
      </c>
      <c r="L272" s="611">
        <f t="shared" si="61"/>
        <v>14</v>
      </c>
      <c r="M272" s="612">
        <v>45838</v>
      </c>
      <c r="N272" s="612">
        <v>45834</v>
      </c>
      <c r="O272" s="613"/>
      <c r="P272" s="613" t="s">
        <v>113</v>
      </c>
      <c r="Q272" s="610"/>
      <c r="R272" s="614">
        <v>45814</v>
      </c>
      <c r="S272" s="614" t="s">
        <v>70</v>
      </c>
      <c r="T272" s="614" t="s">
        <v>70</v>
      </c>
      <c r="U272" s="614"/>
      <c r="V272" s="614"/>
      <c r="W272" s="615"/>
      <c r="X272" s="628" t="s">
        <v>6730</v>
      </c>
      <c r="Y272" s="609" t="s">
        <v>529</v>
      </c>
      <c r="Z272" s="609">
        <v>1.32</v>
      </c>
      <c r="AA272" s="616">
        <f t="shared" si="76"/>
        <v>924</v>
      </c>
      <c r="AC272" s="629" t="s">
        <v>6731</v>
      </c>
      <c r="AD272" s="610" t="s">
        <v>6276</v>
      </c>
      <c r="AE272" s="610" t="s">
        <v>82</v>
      </c>
      <c r="AF272" s="610"/>
      <c r="AG272" s="610" t="s">
        <v>74</v>
      </c>
      <c r="AH272" s="610"/>
      <c r="AI272" s="610">
        <v>700</v>
      </c>
      <c r="AJ272" s="610">
        <f t="shared" si="77"/>
        <v>0</v>
      </c>
      <c r="AK272" s="610"/>
      <c r="AL272" s="610"/>
      <c r="AM272" s="610"/>
      <c r="AN272" s="610"/>
      <c r="AO272" s="554">
        <f>I272</f>
        <v>700</v>
      </c>
      <c r="AR272" s="619"/>
      <c r="AS272" s="548"/>
      <c r="AT272" s="548"/>
      <c r="AU272" s="548"/>
      <c r="AV272" s="548"/>
      <c r="AW272" s="619"/>
      <c r="AX272" s="548"/>
      <c r="AY272" s="548"/>
      <c r="AZ272" s="548"/>
      <c r="BA272" s="548"/>
      <c r="BB272" s="620">
        <f t="shared" ref="BB271:BB276" si="78">I272/24*2</f>
        <v>58.3333333333333</v>
      </c>
      <c r="BV272" s="554">
        <f>I272</f>
        <v>700</v>
      </c>
      <c r="BW272" s="554">
        <f>I272</f>
        <v>700</v>
      </c>
      <c r="BX272" s="554">
        <f>I272/25</f>
        <v>28</v>
      </c>
      <c r="BY272" s="619"/>
      <c r="BZ272" s="548"/>
      <c r="CA272" s="621"/>
      <c r="CB272" s="567"/>
      <c r="CC272" s="622"/>
      <c r="CD272" s="619"/>
      <c r="CE272" s="619"/>
      <c r="CF272" s="548"/>
      <c r="CG272" s="548"/>
      <c r="CU272" s="554">
        <f t="shared" si="75"/>
        <v>28</v>
      </c>
      <c r="CV272" s="554">
        <f t="shared" si="73"/>
        <v>0</v>
      </c>
      <c r="CW272" s="554">
        <f t="shared" si="74"/>
        <v>0</v>
      </c>
      <c r="CX272" s="619"/>
      <c r="CY272" s="619"/>
      <c r="CZ272" s="619"/>
      <c r="DA272" s="548"/>
      <c r="DB272" s="548"/>
      <c r="DC272" s="548"/>
      <c r="DD272" s="619"/>
      <c r="DE272" s="619"/>
      <c r="DF272" s="619"/>
      <c r="DG272" s="619"/>
      <c r="DH272" s="619"/>
    </row>
    <row r="273" s="548" customFormat="1" ht="31" customHeight="1" spans="1:112">
      <c r="A273" s="608">
        <v>45798</v>
      </c>
      <c r="B273" s="609" t="s">
        <v>312</v>
      </c>
      <c r="C273" s="610" t="s">
        <v>278</v>
      </c>
      <c r="D273" s="554">
        <v>4500167191</v>
      </c>
      <c r="E273" s="610" t="s">
        <v>918</v>
      </c>
      <c r="F273" s="554" t="s">
        <v>919</v>
      </c>
      <c r="G273" s="610" t="s">
        <v>6337</v>
      </c>
      <c r="H273" s="610" t="s">
        <v>477</v>
      </c>
      <c r="I273" s="610">
        <v>8700</v>
      </c>
      <c r="J273" s="610">
        <v>0</v>
      </c>
      <c r="K273" s="610">
        <v>6</v>
      </c>
      <c r="L273" s="611">
        <f t="shared" si="61"/>
        <v>1450</v>
      </c>
      <c r="M273" s="612">
        <v>45839</v>
      </c>
      <c r="N273" s="612">
        <f t="shared" ref="N273:N281" si="79">M273-4</f>
        <v>45835</v>
      </c>
      <c r="O273" s="613"/>
      <c r="P273" s="613" t="s">
        <v>113</v>
      </c>
      <c r="Q273" s="610"/>
      <c r="R273" s="614">
        <v>45798</v>
      </c>
      <c r="S273" s="614" t="s">
        <v>70</v>
      </c>
      <c r="T273" s="614" t="s">
        <v>6732</v>
      </c>
      <c r="U273" s="614"/>
      <c r="V273" s="614"/>
      <c r="W273" s="615"/>
      <c r="X273" s="628" t="s">
        <v>921</v>
      </c>
      <c r="Y273" s="609" t="s">
        <v>317</v>
      </c>
      <c r="Z273" s="609">
        <v>8.1</v>
      </c>
      <c r="AA273" s="616">
        <f t="shared" si="76"/>
        <v>70470</v>
      </c>
      <c r="AC273" s="617" t="s">
        <v>922</v>
      </c>
      <c r="AD273" s="610" t="s">
        <v>480</v>
      </c>
      <c r="AE273" s="610" t="s">
        <v>82</v>
      </c>
      <c r="AF273" s="610"/>
      <c r="AG273" s="610" t="s">
        <v>74</v>
      </c>
      <c r="AH273" s="610"/>
      <c r="AI273" s="610">
        <f>5400+3300</f>
        <v>8700</v>
      </c>
      <c r="AJ273" s="610">
        <f t="shared" si="77"/>
        <v>0</v>
      </c>
      <c r="AK273" s="610"/>
      <c r="AL273" s="610"/>
      <c r="AM273" s="610"/>
      <c r="AN273" s="610"/>
      <c r="AO273" s="554">
        <f>I273*2</f>
        <v>17400</v>
      </c>
      <c r="AR273" s="619"/>
      <c r="AS273" s="548"/>
      <c r="AT273" s="554">
        <f>I273*2</f>
        <v>17400</v>
      </c>
      <c r="AV273" s="554">
        <f>I273*2</f>
        <v>17400</v>
      </c>
      <c r="AW273" s="619"/>
      <c r="AX273" s="548"/>
      <c r="AY273" s="548"/>
      <c r="AZ273" s="548"/>
      <c r="BA273" s="548"/>
      <c r="BB273" s="620">
        <f t="shared" si="78"/>
        <v>725</v>
      </c>
      <c r="BY273" s="619"/>
      <c r="BZ273" s="554">
        <f>I273</f>
        <v>8700</v>
      </c>
      <c r="CA273" s="621"/>
      <c r="CB273" s="567"/>
      <c r="CC273" s="622"/>
      <c r="CD273" s="619"/>
      <c r="CE273" s="619"/>
      <c r="CF273" s="548"/>
      <c r="CG273" s="548"/>
      <c r="CU273" s="554">
        <f t="shared" si="75"/>
        <v>0</v>
      </c>
      <c r="CV273" s="554">
        <f t="shared" si="73"/>
        <v>0</v>
      </c>
      <c r="CW273" s="554">
        <f t="shared" si="74"/>
        <v>0</v>
      </c>
      <c r="CX273" s="619"/>
      <c r="CY273" s="619"/>
      <c r="CZ273" s="619"/>
      <c r="DA273" s="548"/>
      <c r="DB273" s="548"/>
      <c r="DC273" s="548"/>
      <c r="DD273" s="619"/>
      <c r="DE273" s="619"/>
      <c r="DF273" s="619"/>
      <c r="DG273" s="619"/>
      <c r="DH273" s="619"/>
    </row>
    <row r="274" s="548" customFormat="1" ht="31" customHeight="1" spans="1:112">
      <c r="A274" s="608">
        <v>45808</v>
      </c>
      <c r="B274" s="609" t="s">
        <v>930</v>
      </c>
      <c r="C274" s="610" t="s">
        <v>931</v>
      </c>
      <c r="D274" s="554">
        <v>4500168594</v>
      </c>
      <c r="E274" s="610"/>
      <c r="F274" s="554" t="s">
        <v>6733</v>
      </c>
      <c r="G274" s="610" t="s">
        <v>6276</v>
      </c>
      <c r="H274" s="610" t="s">
        <v>6277</v>
      </c>
      <c r="I274" s="610">
        <v>500</v>
      </c>
      <c r="J274" s="610">
        <v>0</v>
      </c>
      <c r="K274" s="610">
        <v>50</v>
      </c>
      <c r="L274" s="611">
        <f t="shared" si="61"/>
        <v>10</v>
      </c>
      <c r="M274" s="612">
        <v>45840</v>
      </c>
      <c r="N274" s="612">
        <f t="shared" si="79"/>
        <v>45836</v>
      </c>
      <c r="O274" s="613"/>
      <c r="P274" s="613" t="s">
        <v>113</v>
      </c>
      <c r="Q274" s="610"/>
      <c r="R274" s="614">
        <v>45814</v>
      </c>
      <c r="S274" s="614" t="s">
        <v>70</v>
      </c>
      <c r="T274" s="614" t="s">
        <v>70</v>
      </c>
      <c r="U274" s="614"/>
      <c r="V274" s="614"/>
      <c r="W274" s="615"/>
      <c r="X274" s="609" t="s">
        <v>6734</v>
      </c>
      <c r="Y274" s="609" t="s">
        <v>943</v>
      </c>
      <c r="Z274" s="609">
        <v>1.32</v>
      </c>
      <c r="AA274" s="616">
        <f t="shared" si="76"/>
        <v>660</v>
      </c>
      <c r="AC274" s="617" t="s">
        <v>946</v>
      </c>
      <c r="AD274" s="610" t="s">
        <v>6276</v>
      </c>
      <c r="AE274" s="610" t="s">
        <v>82</v>
      </c>
      <c r="AF274" s="610"/>
      <c r="AG274" s="610" t="s">
        <v>74</v>
      </c>
      <c r="AH274" s="610"/>
      <c r="AI274" s="610">
        <v>500</v>
      </c>
      <c r="AJ274" s="610">
        <f t="shared" si="77"/>
        <v>0</v>
      </c>
      <c r="AK274" s="610"/>
      <c r="AL274" s="610"/>
      <c r="AM274" s="610"/>
      <c r="AN274" s="610"/>
      <c r="AO274" s="554">
        <f t="shared" ref="AO274:AO283" si="80">I274</f>
        <v>500</v>
      </c>
      <c r="AR274" s="619"/>
      <c r="AS274" s="548"/>
      <c r="AT274" s="548"/>
      <c r="AU274" s="548"/>
      <c r="AV274" s="548"/>
      <c r="AW274" s="619"/>
      <c r="AX274" s="548"/>
      <c r="AY274" s="548"/>
      <c r="AZ274" s="548"/>
      <c r="BA274" s="548"/>
      <c r="BB274" s="620">
        <f t="shared" si="78"/>
        <v>41.6666666666667</v>
      </c>
      <c r="BV274" s="554">
        <f>I274</f>
        <v>500</v>
      </c>
      <c r="BW274" s="554">
        <f>I274</f>
        <v>500</v>
      </c>
      <c r="BX274" s="554">
        <f>I274/25</f>
        <v>20</v>
      </c>
      <c r="BY274" s="619"/>
      <c r="BZ274" s="548"/>
      <c r="CA274" s="621"/>
      <c r="CB274" s="567"/>
      <c r="CC274" s="622"/>
      <c r="CD274" s="619"/>
      <c r="CE274" s="619"/>
      <c r="CF274" s="548"/>
      <c r="CG274" s="548"/>
      <c r="CU274" s="554">
        <f t="shared" si="75"/>
        <v>20</v>
      </c>
      <c r="CV274" s="554">
        <f t="shared" si="73"/>
        <v>0</v>
      </c>
      <c r="CW274" s="554">
        <f t="shared" si="74"/>
        <v>0</v>
      </c>
      <c r="CX274" s="619"/>
      <c r="CY274" s="619"/>
      <c r="CZ274" s="619"/>
      <c r="DA274" s="548"/>
      <c r="DB274" s="548"/>
      <c r="DC274" s="548"/>
      <c r="DD274" s="619"/>
      <c r="DE274" s="619"/>
      <c r="DF274" s="619"/>
      <c r="DG274" s="619"/>
      <c r="DH274" s="619"/>
    </row>
    <row r="275" s="548" customFormat="1" ht="31" customHeight="1" spans="1:112">
      <c r="A275" s="608">
        <v>45803</v>
      </c>
      <c r="B275" s="609" t="s">
        <v>935</v>
      </c>
      <c r="C275" s="610" t="s">
        <v>302</v>
      </c>
      <c r="D275" s="554">
        <v>4500168001</v>
      </c>
      <c r="E275" s="610">
        <v>4400487406</v>
      </c>
      <c r="F275" s="554" t="s">
        <v>6735</v>
      </c>
      <c r="G275" s="610" t="s">
        <v>6047</v>
      </c>
      <c r="H275" s="610" t="s">
        <v>6069</v>
      </c>
      <c r="I275" s="610">
        <v>2400</v>
      </c>
      <c r="J275" s="610">
        <v>0</v>
      </c>
      <c r="K275" s="610">
        <v>25</v>
      </c>
      <c r="L275" s="611">
        <f t="shared" si="61"/>
        <v>96</v>
      </c>
      <c r="M275" s="612">
        <v>45840</v>
      </c>
      <c r="N275" s="612">
        <f t="shared" si="79"/>
        <v>45836</v>
      </c>
      <c r="O275" s="613"/>
      <c r="P275" s="613" t="s">
        <v>113</v>
      </c>
      <c r="Q275" s="610"/>
      <c r="R275" s="614">
        <v>45803</v>
      </c>
      <c r="S275" s="614" t="s">
        <v>70</v>
      </c>
      <c r="T275" s="614" t="s">
        <v>6736</v>
      </c>
      <c r="U275" s="614"/>
      <c r="V275" s="614"/>
      <c r="W275" s="615"/>
      <c r="X275" s="609" t="s">
        <v>6737</v>
      </c>
      <c r="Y275" s="609" t="s">
        <v>939</v>
      </c>
      <c r="Z275" s="609">
        <v>0.9245</v>
      </c>
      <c r="AA275" s="616">
        <f t="shared" si="76"/>
        <v>2218.8</v>
      </c>
      <c r="AC275" s="632" t="s">
        <v>940</v>
      </c>
      <c r="AD275" s="610" t="s">
        <v>6073</v>
      </c>
      <c r="AE275" s="610" t="s">
        <v>82</v>
      </c>
      <c r="AF275" s="610"/>
      <c r="AG275" s="610" t="s">
        <v>74</v>
      </c>
      <c r="AH275" s="610"/>
      <c r="AI275" s="610">
        <v>2400</v>
      </c>
      <c r="AJ275" s="610">
        <f t="shared" si="77"/>
        <v>0</v>
      </c>
      <c r="AK275" s="610"/>
      <c r="AL275" s="610"/>
      <c r="AM275" s="610"/>
      <c r="AN275" s="610"/>
      <c r="AO275" s="554">
        <f t="shared" si="80"/>
        <v>2400</v>
      </c>
      <c r="AR275" s="619"/>
      <c r="AS275" s="548"/>
      <c r="AT275" s="548"/>
      <c r="AU275" s="548"/>
      <c r="AV275" s="554">
        <f>I275</f>
        <v>2400</v>
      </c>
      <c r="AW275" s="619"/>
      <c r="AX275" s="548"/>
      <c r="AY275" s="548"/>
      <c r="AZ275" s="548"/>
      <c r="BA275" s="548"/>
      <c r="BB275" s="620">
        <f t="shared" si="78"/>
        <v>200</v>
      </c>
      <c r="BE275" s="554">
        <f>I275</f>
        <v>2400</v>
      </c>
      <c r="BP275" s="554">
        <f>I275/25</f>
        <v>96</v>
      </c>
      <c r="BY275" s="619"/>
      <c r="BZ275" s="548"/>
      <c r="CA275" s="621"/>
      <c r="CB275" s="567"/>
      <c r="CC275" s="622"/>
      <c r="CD275" s="619"/>
      <c r="CE275" s="619"/>
      <c r="CF275" s="548"/>
      <c r="CG275" s="548"/>
      <c r="CU275" s="554">
        <f t="shared" si="75"/>
        <v>96</v>
      </c>
      <c r="CV275" s="554">
        <f t="shared" si="73"/>
        <v>0</v>
      </c>
      <c r="CW275" s="554">
        <f t="shared" si="74"/>
        <v>0</v>
      </c>
      <c r="CX275" s="619"/>
      <c r="CY275" s="619"/>
      <c r="CZ275" s="619"/>
      <c r="DA275" s="548"/>
      <c r="DB275" s="548"/>
      <c r="DC275" s="548"/>
      <c r="DD275" s="619"/>
      <c r="DE275" s="619"/>
      <c r="DF275" s="619"/>
      <c r="DG275" s="619"/>
      <c r="DH275" s="619"/>
    </row>
    <row r="276" s="548" customFormat="1" ht="31" customHeight="1" spans="1:112">
      <c r="A276" s="608">
        <v>45806</v>
      </c>
      <c r="B276" s="609" t="s">
        <v>930</v>
      </c>
      <c r="C276" s="610" t="s">
        <v>931</v>
      </c>
      <c r="D276" s="554">
        <v>4500168463</v>
      </c>
      <c r="E276" s="610"/>
      <c r="F276" s="554" t="s">
        <v>6738</v>
      </c>
      <c r="G276" s="610" t="s">
        <v>6276</v>
      </c>
      <c r="H276" s="610" t="s">
        <v>6277</v>
      </c>
      <c r="I276" s="610">
        <v>500</v>
      </c>
      <c r="J276" s="610">
        <v>0</v>
      </c>
      <c r="K276" s="610">
        <v>50</v>
      </c>
      <c r="L276" s="611">
        <f t="shared" si="61"/>
        <v>10</v>
      </c>
      <c r="M276" s="612">
        <v>45840</v>
      </c>
      <c r="N276" s="612">
        <f t="shared" si="79"/>
        <v>45836</v>
      </c>
      <c r="O276" s="613"/>
      <c r="P276" s="613" t="s">
        <v>113</v>
      </c>
      <c r="Q276" s="610"/>
      <c r="R276" s="614">
        <v>45814</v>
      </c>
      <c r="S276" s="614" t="s">
        <v>70</v>
      </c>
      <c r="T276" s="614" t="s">
        <v>70</v>
      </c>
      <c r="U276" s="614"/>
      <c r="V276" s="614"/>
      <c r="W276" s="615"/>
      <c r="X276" s="609" t="s">
        <v>6734</v>
      </c>
      <c r="Y276" s="609" t="s">
        <v>943</v>
      </c>
      <c r="Z276" s="609">
        <v>1.32</v>
      </c>
      <c r="AA276" s="616">
        <f t="shared" si="76"/>
        <v>660</v>
      </c>
      <c r="AC276" s="617" t="s">
        <v>944</v>
      </c>
      <c r="AD276" s="610" t="s">
        <v>6276</v>
      </c>
      <c r="AE276" s="610" t="s">
        <v>82</v>
      </c>
      <c r="AF276" s="610"/>
      <c r="AG276" s="610" t="s">
        <v>74</v>
      </c>
      <c r="AH276" s="610"/>
      <c r="AI276" s="610">
        <v>500</v>
      </c>
      <c r="AJ276" s="610">
        <f t="shared" si="77"/>
        <v>0</v>
      </c>
      <c r="AK276" s="610"/>
      <c r="AL276" s="610"/>
      <c r="AM276" s="610"/>
      <c r="AN276" s="610"/>
      <c r="AO276" s="554">
        <f t="shared" si="80"/>
        <v>500</v>
      </c>
      <c r="AR276" s="619"/>
      <c r="AS276" s="548"/>
      <c r="AT276" s="548"/>
      <c r="AU276" s="548"/>
      <c r="AV276" s="548"/>
      <c r="AW276" s="619"/>
      <c r="AX276" s="548"/>
      <c r="AY276" s="548"/>
      <c r="AZ276" s="548"/>
      <c r="BA276" s="548"/>
      <c r="BB276" s="620">
        <f t="shared" si="78"/>
        <v>41.6666666666667</v>
      </c>
      <c r="BV276" s="554">
        <f>I276</f>
        <v>500</v>
      </c>
      <c r="BW276" s="554">
        <f>I276</f>
        <v>500</v>
      </c>
      <c r="BX276" s="554">
        <f>I276/25</f>
        <v>20</v>
      </c>
      <c r="BY276" s="619"/>
      <c r="BZ276" s="548"/>
      <c r="CA276" s="621"/>
      <c r="CB276" s="567"/>
      <c r="CC276" s="622"/>
      <c r="CD276" s="619"/>
      <c r="CE276" s="619"/>
      <c r="CF276" s="548"/>
      <c r="CG276" s="548"/>
      <c r="CU276" s="554">
        <f t="shared" si="75"/>
        <v>20</v>
      </c>
      <c r="CV276" s="554">
        <f t="shared" si="73"/>
        <v>0</v>
      </c>
      <c r="CW276" s="554">
        <f t="shared" si="74"/>
        <v>0</v>
      </c>
      <c r="CX276" s="619"/>
      <c r="CY276" s="619"/>
      <c r="CZ276" s="619"/>
      <c r="DA276" s="548"/>
      <c r="DB276" s="548"/>
      <c r="DC276" s="548"/>
      <c r="DD276" s="619"/>
      <c r="DE276" s="619"/>
      <c r="DF276" s="619"/>
      <c r="DG276" s="619"/>
      <c r="DH276" s="619"/>
    </row>
    <row r="277" s="548" customFormat="1" ht="31" customHeight="1" spans="1:112">
      <c r="A277" s="608">
        <v>45807</v>
      </c>
      <c r="B277" s="609" t="s">
        <v>979</v>
      </c>
      <c r="C277" s="610" t="s">
        <v>980</v>
      </c>
      <c r="D277" s="554">
        <v>4500168579</v>
      </c>
      <c r="E277" s="610"/>
      <c r="F277" s="554" t="s">
        <v>6739</v>
      </c>
      <c r="G277" s="610" t="s">
        <v>6093</v>
      </c>
      <c r="H277" s="610" t="s">
        <v>6094</v>
      </c>
      <c r="I277" s="610">
        <v>1664</v>
      </c>
      <c r="J277" s="610">
        <v>0</v>
      </c>
      <c r="K277" s="610">
        <v>13</v>
      </c>
      <c r="L277" s="611">
        <f t="shared" si="61"/>
        <v>128</v>
      </c>
      <c r="M277" s="612">
        <v>45842</v>
      </c>
      <c r="N277" s="612">
        <f t="shared" si="79"/>
        <v>45838</v>
      </c>
      <c r="O277" s="613"/>
      <c r="P277" s="613" t="s">
        <v>113</v>
      </c>
      <c r="Q277" s="610"/>
      <c r="R277" s="614">
        <v>45817</v>
      </c>
      <c r="S277" s="614" t="s">
        <v>70</v>
      </c>
      <c r="T277" s="614">
        <v>45825</v>
      </c>
      <c r="U277" s="614"/>
      <c r="V277" s="614"/>
      <c r="W277" s="615"/>
      <c r="X277" s="609" t="s">
        <v>6740</v>
      </c>
      <c r="Y277" s="609" t="s">
        <v>415</v>
      </c>
      <c r="Z277" s="609">
        <v>0.8947</v>
      </c>
      <c r="AA277" s="616">
        <f t="shared" si="76"/>
        <v>1488.7808</v>
      </c>
      <c r="AC277" s="632" t="s">
        <v>983</v>
      </c>
      <c r="AD277" s="610" t="s">
        <v>6093</v>
      </c>
      <c r="AE277" s="610" t="s">
        <v>82</v>
      </c>
      <c r="AF277" s="610"/>
      <c r="AG277" s="610" t="s">
        <v>74</v>
      </c>
      <c r="AH277" s="610"/>
      <c r="AI277" s="610">
        <v>1664</v>
      </c>
      <c r="AJ277" s="610">
        <f t="shared" si="77"/>
        <v>0</v>
      </c>
      <c r="AK277" s="610"/>
      <c r="AL277" s="610"/>
      <c r="AM277" s="610"/>
      <c r="AN277" s="610"/>
      <c r="AO277" s="554">
        <f t="shared" si="80"/>
        <v>1664</v>
      </c>
      <c r="AR277" s="619"/>
      <c r="AS277" s="548"/>
      <c r="AT277" s="554">
        <f t="shared" ref="AT277:AT283" si="81">I277</f>
        <v>1664</v>
      </c>
      <c r="AV277" s="554">
        <f>I277</f>
        <v>1664</v>
      </c>
      <c r="AW277" s="619"/>
      <c r="AX277" s="548"/>
      <c r="AY277" s="548"/>
      <c r="AZ277" s="548"/>
      <c r="BA277" s="548"/>
      <c r="BB277" s="620">
        <f>I277/24</f>
        <v>69.3333333333333</v>
      </c>
      <c r="BM277" s="554">
        <f>I277/13</f>
        <v>128</v>
      </c>
      <c r="BY277" s="619"/>
      <c r="BZ277" s="548"/>
      <c r="CA277" s="621"/>
      <c r="CB277" s="567"/>
      <c r="CC277" s="622"/>
      <c r="CD277" s="619"/>
      <c r="CE277" s="619"/>
      <c r="CF277" s="548"/>
      <c r="CG277" s="548"/>
      <c r="CU277" s="554">
        <f t="shared" si="75"/>
        <v>0</v>
      </c>
      <c r="CV277" s="554">
        <f t="shared" si="73"/>
        <v>0</v>
      </c>
      <c r="CW277" s="554">
        <f t="shared" si="74"/>
        <v>0</v>
      </c>
      <c r="CX277" s="619"/>
      <c r="CY277" s="619"/>
      <c r="CZ277" s="619"/>
      <c r="DA277" s="548"/>
      <c r="DB277" s="548"/>
      <c r="DC277" s="548"/>
      <c r="DD277" s="619"/>
      <c r="DE277" s="619"/>
      <c r="DF277" s="619"/>
      <c r="DG277" s="619"/>
      <c r="DH277" s="619"/>
    </row>
    <row r="278" s="548" customFormat="1" ht="31" customHeight="1" spans="1:112">
      <c r="A278" s="608">
        <v>45769</v>
      </c>
      <c r="B278" s="609" t="s">
        <v>404</v>
      </c>
      <c r="C278" s="610" t="s">
        <v>278</v>
      </c>
      <c r="D278" s="554">
        <v>4500163807</v>
      </c>
      <c r="E278" s="610">
        <v>240022</v>
      </c>
      <c r="F278" s="554" t="s">
        <v>6741</v>
      </c>
      <c r="G278" s="610" t="s">
        <v>6025</v>
      </c>
      <c r="H278" s="610" t="s">
        <v>6026</v>
      </c>
      <c r="I278" s="610">
        <v>120</v>
      </c>
      <c r="J278" s="610">
        <v>0</v>
      </c>
      <c r="K278" s="610">
        <v>24</v>
      </c>
      <c r="L278" s="611">
        <f t="shared" si="61"/>
        <v>5</v>
      </c>
      <c r="M278" s="612">
        <v>45842</v>
      </c>
      <c r="N278" s="612">
        <f t="shared" si="79"/>
        <v>45838</v>
      </c>
      <c r="O278" s="613"/>
      <c r="P278" s="613" t="s">
        <v>113</v>
      </c>
      <c r="Q278" s="610"/>
      <c r="R278" s="614">
        <v>45769</v>
      </c>
      <c r="S278" s="614" t="s">
        <v>70</v>
      </c>
      <c r="T278" s="614" t="s">
        <v>70</v>
      </c>
      <c r="U278" s="614"/>
      <c r="V278" s="614"/>
      <c r="W278" s="615"/>
      <c r="X278" s="609" t="s">
        <v>6742</v>
      </c>
      <c r="Y278" s="609" t="s">
        <v>970</v>
      </c>
      <c r="Z278" s="609">
        <v>0.87</v>
      </c>
      <c r="AA278" s="616">
        <f t="shared" si="76"/>
        <v>104.4</v>
      </c>
      <c r="AC278" s="632" t="s">
        <v>971</v>
      </c>
      <c r="AD278" s="610" t="s">
        <v>6025</v>
      </c>
      <c r="AE278" s="610" t="s">
        <v>82</v>
      </c>
      <c r="AF278" s="610"/>
      <c r="AG278" s="610" t="s">
        <v>74</v>
      </c>
      <c r="AH278" s="610"/>
      <c r="AI278" s="610">
        <v>120</v>
      </c>
      <c r="AJ278" s="610">
        <f t="shared" si="77"/>
        <v>0</v>
      </c>
      <c r="AK278" s="610"/>
      <c r="AL278" s="610"/>
      <c r="AM278" s="610"/>
      <c r="AN278" s="610"/>
      <c r="AO278" s="554">
        <f t="shared" si="80"/>
        <v>120</v>
      </c>
      <c r="AR278" s="619"/>
      <c r="AS278" s="548"/>
      <c r="AT278" s="554">
        <f t="shared" si="81"/>
        <v>120</v>
      </c>
      <c r="AV278" s="554">
        <f>I278</f>
        <v>120</v>
      </c>
      <c r="AW278" s="619"/>
      <c r="AX278" s="548"/>
      <c r="AY278" s="548"/>
      <c r="AZ278" s="548"/>
      <c r="BA278" s="548"/>
      <c r="BB278" s="620">
        <f>I278/24</f>
        <v>5</v>
      </c>
      <c r="BY278" s="619"/>
      <c r="BZ278" s="548"/>
      <c r="CA278" s="621"/>
      <c r="CB278" s="567"/>
      <c r="CC278" s="622"/>
      <c r="CD278" s="619"/>
      <c r="CE278" s="619"/>
      <c r="CF278" s="548"/>
      <c r="CG278" s="548"/>
      <c r="CU278" s="554">
        <f t="shared" si="75"/>
        <v>0</v>
      </c>
      <c r="CV278" s="554">
        <f t="shared" si="73"/>
        <v>0</v>
      </c>
      <c r="CW278" s="554">
        <f t="shared" si="74"/>
        <v>0</v>
      </c>
      <c r="CX278" s="619"/>
      <c r="CY278" s="619"/>
      <c r="CZ278" s="619"/>
      <c r="DA278" s="548"/>
      <c r="DB278" s="548"/>
      <c r="DC278" s="548"/>
      <c r="DD278" s="619"/>
      <c r="DE278" s="619"/>
      <c r="DF278" s="619"/>
      <c r="DG278" s="619"/>
      <c r="DH278" s="619"/>
    </row>
    <row r="279" s="548" customFormat="1" ht="31" customHeight="1" spans="1:112">
      <c r="A279" s="608">
        <v>45807</v>
      </c>
      <c r="B279" s="609" t="s">
        <v>984</v>
      </c>
      <c r="C279" s="610" t="s">
        <v>399</v>
      </c>
      <c r="D279" s="554">
        <v>4500168656</v>
      </c>
      <c r="E279" s="610"/>
      <c r="F279" s="554" t="s">
        <v>6743</v>
      </c>
      <c r="G279" s="610" t="s">
        <v>6223</v>
      </c>
      <c r="H279" s="610" t="s">
        <v>6080</v>
      </c>
      <c r="I279" s="610">
        <v>300</v>
      </c>
      <c r="J279" s="610">
        <v>0</v>
      </c>
      <c r="K279" s="610">
        <v>30</v>
      </c>
      <c r="L279" s="611">
        <f t="shared" si="61"/>
        <v>10</v>
      </c>
      <c r="M279" s="612">
        <v>45842</v>
      </c>
      <c r="N279" s="612">
        <f t="shared" si="79"/>
        <v>45838</v>
      </c>
      <c r="O279" s="613"/>
      <c r="P279" s="613" t="s">
        <v>113</v>
      </c>
      <c r="Q279" s="610"/>
      <c r="R279" s="614">
        <v>45813</v>
      </c>
      <c r="S279" s="614" t="s">
        <v>70</v>
      </c>
      <c r="T279" s="614">
        <v>45819</v>
      </c>
      <c r="U279" s="614"/>
      <c r="V279" s="614"/>
      <c r="W279" s="615"/>
      <c r="X279" s="609" t="s">
        <v>6744</v>
      </c>
      <c r="Y279" s="609" t="s">
        <v>402</v>
      </c>
      <c r="Z279" s="609">
        <v>42.7605</v>
      </c>
      <c r="AA279" s="616">
        <f>Z279*L279</f>
        <v>427.605</v>
      </c>
      <c r="AC279" s="617" t="s">
        <v>988</v>
      </c>
      <c r="AD279" s="610" t="s">
        <v>6223</v>
      </c>
      <c r="AE279" s="610" t="s">
        <v>82</v>
      </c>
      <c r="AF279" s="610"/>
      <c r="AG279" s="610" t="s">
        <v>74</v>
      </c>
      <c r="AH279" s="610"/>
      <c r="AI279" s="610">
        <v>300</v>
      </c>
      <c r="AJ279" s="610">
        <f t="shared" si="77"/>
        <v>0</v>
      </c>
      <c r="AK279" s="610"/>
      <c r="AL279" s="610"/>
      <c r="AM279" s="610"/>
      <c r="AN279" s="610"/>
      <c r="AO279" s="554">
        <f t="shared" si="80"/>
        <v>300</v>
      </c>
      <c r="AR279" s="619"/>
      <c r="AS279" s="548"/>
      <c r="AT279" s="554">
        <f t="shared" si="81"/>
        <v>300</v>
      </c>
      <c r="AV279" s="554">
        <f>I279</f>
        <v>300</v>
      </c>
      <c r="AW279" s="619"/>
      <c r="AX279" s="548"/>
      <c r="AY279" s="548"/>
      <c r="AZ279" s="548"/>
      <c r="BA279" s="548"/>
      <c r="BB279" s="620">
        <f>I279/24</f>
        <v>12.5</v>
      </c>
      <c r="BY279" s="619"/>
      <c r="BZ279" s="548"/>
      <c r="CA279" s="621"/>
      <c r="CB279" s="567"/>
      <c r="CC279" s="622"/>
      <c r="CD279" s="619"/>
      <c r="CE279" s="619"/>
      <c r="CF279" s="548"/>
      <c r="CG279" s="548"/>
      <c r="CP279" s="554">
        <f>I279/30</f>
        <v>10</v>
      </c>
      <c r="CU279" s="554">
        <f t="shared" si="75"/>
        <v>0</v>
      </c>
      <c r="CV279" s="554">
        <f t="shared" si="73"/>
        <v>10</v>
      </c>
      <c r="CW279" s="554">
        <f t="shared" si="74"/>
        <v>0</v>
      </c>
      <c r="CX279" s="619"/>
      <c r="CY279" s="619"/>
      <c r="CZ279" s="619"/>
      <c r="DA279" s="548"/>
      <c r="DB279" s="548"/>
      <c r="DC279" s="548"/>
      <c r="DD279" s="619"/>
      <c r="DE279" s="619"/>
      <c r="DF279" s="619"/>
      <c r="DG279" s="619"/>
      <c r="DH279" s="619"/>
    </row>
    <row r="280" s="548" customFormat="1" ht="31" customHeight="1" spans="1:112">
      <c r="A280" s="608">
        <v>45749</v>
      </c>
      <c r="B280" s="609" t="s">
        <v>499</v>
      </c>
      <c r="C280" s="610" t="s">
        <v>500</v>
      </c>
      <c r="D280" s="554">
        <v>4500162474</v>
      </c>
      <c r="E280" s="610" t="s">
        <v>501</v>
      </c>
      <c r="F280" s="554" t="s">
        <v>6745</v>
      </c>
      <c r="G280" s="610" t="s">
        <v>6746</v>
      </c>
      <c r="H280" s="610" t="s">
        <v>6449</v>
      </c>
      <c r="I280" s="610">
        <v>1450</v>
      </c>
      <c r="J280" s="610">
        <v>0</v>
      </c>
      <c r="K280" s="610">
        <v>50</v>
      </c>
      <c r="L280" s="611">
        <f t="shared" si="61"/>
        <v>29</v>
      </c>
      <c r="M280" s="612">
        <v>45842</v>
      </c>
      <c r="N280" s="612">
        <f t="shared" si="79"/>
        <v>45838</v>
      </c>
      <c r="O280" s="613"/>
      <c r="P280" s="613" t="s">
        <v>113</v>
      </c>
      <c r="Q280" s="610"/>
      <c r="R280" s="614">
        <v>45796</v>
      </c>
      <c r="S280" s="614" t="s">
        <v>70</v>
      </c>
      <c r="T280" s="614" t="s">
        <v>6702</v>
      </c>
      <c r="U280" s="614"/>
      <c r="V280" s="614"/>
      <c r="W280" s="615"/>
      <c r="X280" s="609" t="s">
        <v>6747</v>
      </c>
      <c r="Y280" s="609" t="s">
        <v>6704</v>
      </c>
      <c r="Z280" s="609">
        <v>0.95</v>
      </c>
      <c r="AA280" s="616">
        <f>Z280*I280</f>
        <v>1377.5</v>
      </c>
      <c r="AC280" s="636" t="s">
        <v>506</v>
      </c>
      <c r="AD280" s="610" t="s">
        <v>6448</v>
      </c>
      <c r="AE280" s="610" t="s">
        <v>82</v>
      </c>
      <c r="AF280" s="610"/>
      <c r="AG280" s="610" t="s">
        <v>74</v>
      </c>
      <c r="AH280" s="610"/>
      <c r="AI280" s="610">
        <v>1450</v>
      </c>
      <c r="AJ280" s="610">
        <f t="shared" si="77"/>
        <v>0</v>
      </c>
      <c r="AK280" s="610"/>
      <c r="AL280" s="610"/>
      <c r="AM280" s="610"/>
      <c r="AN280" s="610"/>
      <c r="AO280" s="554">
        <f t="shared" si="80"/>
        <v>1450</v>
      </c>
      <c r="AR280" s="619"/>
      <c r="AS280" s="548"/>
      <c r="AT280" s="554">
        <f t="shared" si="81"/>
        <v>1450</v>
      </c>
      <c r="AW280" s="619"/>
      <c r="AX280" s="548"/>
      <c r="AY280" s="548"/>
      <c r="AZ280" s="554">
        <f>I280</f>
        <v>1450</v>
      </c>
      <c r="BB280" s="620">
        <f>I280/24*2</f>
        <v>120.833333333333</v>
      </c>
      <c r="BX280" s="554">
        <f>I280/25</f>
        <v>58</v>
      </c>
      <c r="BY280" s="619"/>
      <c r="BZ280" s="548"/>
      <c r="CA280" s="621"/>
      <c r="CB280" s="567"/>
      <c r="CC280" s="622"/>
      <c r="CD280" s="619"/>
      <c r="CE280" s="619"/>
      <c r="CF280" s="548"/>
      <c r="CG280" s="548"/>
      <c r="CU280" s="554">
        <f t="shared" si="75"/>
        <v>58</v>
      </c>
      <c r="CV280" s="554">
        <f t="shared" si="73"/>
        <v>0</v>
      </c>
      <c r="CW280" s="554">
        <f t="shared" si="74"/>
        <v>0</v>
      </c>
      <c r="CX280" s="619"/>
      <c r="CY280" s="619"/>
      <c r="CZ280" s="619"/>
      <c r="DA280" s="548"/>
      <c r="DB280" s="548"/>
      <c r="DC280" s="548"/>
      <c r="DD280" s="619"/>
      <c r="DE280" s="619"/>
      <c r="DF280" s="619"/>
      <c r="DG280" s="619"/>
      <c r="DH280" s="619"/>
    </row>
    <row r="281" s="548" customFormat="1" ht="31" customHeight="1" spans="1:112">
      <c r="A281" s="608">
        <v>45776</v>
      </c>
      <c r="B281" s="609" t="s">
        <v>499</v>
      </c>
      <c r="C281" s="610" t="s">
        <v>500</v>
      </c>
      <c r="D281" s="554">
        <v>4500162474</v>
      </c>
      <c r="E281" s="610" t="s">
        <v>501</v>
      </c>
      <c r="F281" s="554" t="s">
        <v>6748</v>
      </c>
      <c r="G281" s="610" t="s">
        <v>6749</v>
      </c>
      <c r="H281" s="610" t="s">
        <v>6709</v>
      </c>
      <c r="I281" s="610">
        <v>1050</v>
      </c>
      <c r="J281" s="610">
        <v>0</v>
      </c>
      <c r="K281" s="610">
        <v>30</v>
      </c>
      <c r="L281" s="611">
        <f t="shared" si="61"/>
        <v>35</v>
      </c>
      <c r="M281" s="612">
        <v>45842</v>
      </c>
      <c r="N281" s="612">
        <f t="shared" si="79"/>
        <v>45838</v>
      </c>
      <c r="O281" s="613"/>
      <c r="P281" s="613" t="s">
        <v>113</v>
      </c>
      <c r="Q281" s="610"/>
      <c r="R281" s="614">
        <v>45796</v>
      </c>
      <c r="S281" s="614" t="s">
        <v>70</v>
      </c>
      <c r="T281" s="614" t="s">
        <v>6702</v>
      </c>
      <c r="U281" s="614"/>
      <c r="V281" s="614"/>
      <c r="W281" s="615"/>
      <c r="X281" s="609" t="s">
        <v>6747</v>
      </c>
      <c r="Y281" s="609" t="s">
        <v>6704</v>
      </c>
      <c r="Z281" s="609">
        <v>44.6</v>
      </c>
      <c r="AA281" s="616">
        <f>Z281*L281</f>
        <v>1561</v>
      </c>
      <c r="AC281" s="636" t="s">
        <v>506</v>
      </c>
      <c r="AD281" s="610" t="s">
        <v>6708</v>
      </c>
      <c r="AE281" s="610" t="s">
        <v>82</v>
      </c>
      <c r="AF281" s="610"/>
      <c r="AG281" s="610" t="s">
        <v>74</v>
      </c>
      <c r="AH281" s="610"/>
      <c r="AI281" s="610">
        <v>1050</v>
      </c>
      <c r="AJ281" s="610">
        <f t="shared" si="77"/>
        <v>0</v>
      </c>
      <c r="AK281" s="610"/>
      <c r="AL281" s="610"/>
      <c r="AM281" s="610"/>
      <c r="AN281" s="610"/>
      <c r="AO281" s="554">
        <f t="shared" si="80"/>
        <v>1050</v>
      </c>
      <c r="AR281" s="619"/>
      <c r="AS281" s="548"/>
      <c r="AT281" s="554">
        <f t="shared" si="81"/>
        <v>1050</v>
      </c>
      <c r="AW281" s="619"/>
      <c r="AX281" s="548"/>
      <c r="AY281" s="548"/>
      <c r="AZ281" s="554">
        <f>I281</f>
        <v>1050</v>
      </c>
      <c r="BB281" s="620">
        <f>I281/24*2</f>
        <v>87.5</v>
      </c>
      <c r="BY281" s="619"/>
      <c r="BZ281" s="548"/>
      <c r="CA281" s="621"/>
      <c r="CB281" s="567"/>
      <c r="CC281" s="622"/>
      <c r="CD281" s="619"/>
      <c r="CE281" s="619"/>
      <c r="CF281" s="548"/>
      <c r="CG281" s="548"/>
      <c r="CQ281" s="554">
        <f>I281/30</f>
        <v>35</v>
      </c>
      <c r="CU281" s="554">
        <f t="shared" si="75"/>
        <v>0</v>
      </c>
      <c r="CV281" s="554">
        <f t="shared" si="73"/>
        <v>35</v>
      </c>
      <c r="CW281" s="554">
        <f t="shared" si="74"/>
        <v>0</v>
      </c>
      <c r="CX281" s="619"/>
      <c r="CY281" s="619"/>
      <c r="CZ281" s="619"/>
      <c r="DA281" s="548"/>
      <c r="DB281" s="548"/>
      <c r="DC281" s="548"/>
      <c r="DD281" s="619"/>
      <c r="DE281" s="619"/>
      <c r="DF281" s="619"/>
      <c r="DG281" s="619"/>
      <c r="DH281" s="619"/>
    </row>
    <row r="282" s="548" customFormat="1" ht="31" customHeight="1" spans="1:112">
      <c r="A282" s="608">
        <v>45770</v>
      </c>
      <c r="B282" s="609" t="s">
        <v>6750</v>
      </c>
      <c r="C282" s="610" t="s">
        <v>1857</v>
      </c>
      <c r="D282" s="554">
        <v>4500163833</v>
      </c>
      <c r="E282" s="610" t="s">
        <v>6751</v>
      </c>
      <c r="F282" s="554" t="s">
        <v>6752</v>
      </c>
      <c r="G282" s="610" t="s">
        <v>6043</v>
      </c>
      <c r="H282" s="610" t="s">
        <v>6110</v>
      </c>
      <c r="I282" s="610">
        <v>1000</v>
      </c>
      <c r="J282" s="610">
        <v>0</v>
      </c>
      <c r="K282" s="610">
        <v>50</v>
      </c>
      <c r="L282" s="611">
        <f t="shared" si="61"/>
        <v>20</v>
      </c>
      <c r="M282" s="612">
        <v>45838</v>
      </c>
      <c r="N282" s="612">
        <v>45839</v>
      </c>
      <c r="O282" s="613"/>
      <c r="P282" s="613" t="s">
        <v>113</v>
      </c>
      <c r="Q282" s="610"/>
      <c r="R282" s="614">
        <v>45812</v>
      </c>
      <c r="S282" s="614" t="s">
        <v>70</v>
      </c>
      <c r="T282" s="614">
        <v>45825</v>
      </c>
      <c r="U282" s="614"/>
      <c r="V282" s="614"/>
      <c r="W282" s="615"/>
      <c r="X282" s="609" t="s">
        <v>6753</v>
      </c>
      <c r="Y282" s="609" t="s">
        <v>529</v>
      </c>
      <c r="Z282" s="609">
        <v>0.95</v>
      </c>
      <c r="AA282" s="616">
        <f>Z282*I282</f>
        <v>950</v>
      </c>
      <c r="AC282" s="617" t="s">
        <v>6754</v>
      </c>
      <c r="AD282" s="610" t="s">
        <v>6043</v>
      </c>
      <c r="AE282" s="610" t="s">
        <v>82</v>
      </c>
      <c r="AF282" s="610"/>
      <c r="AG282" s="610" t="s">
        <v>74</v>
      </c>
      <c r="AH282" s="610"/>
      <c r="AI282" s="610">
        <v>1000</v>
      </c>
      <c r="AJ282" s="610">
        <f t="shared" si="77"/>
        <v>0</v>
      </c>
      <c r="AK282" s="610"/>
      <c r="AL282" s="610"/>
      <c r="AM282" s="610"/>
      <c r="AN282" s="610"/>
      <c r="AO282" s="554">
        <f t="shared" si="80"/>
        <v>1000</v>
      </c>
      <c r="AR282" s="619"/>
      <c r="AS282" s="548"/>
      <c r="AT282" s="554">
        <f t="shared" si="81"/>
        <v>1000</v>
      </c>
      <c r="AV282" s="554">
        <f>I282</f>
        <v>1000</v>
      </c>
      <c r="AW282" s="619"/>
      <c r="AX282" s="548"/>
      <c r="AY282" s="548"/>
      <c r="AZ282" s="548"/>
      <c r="BA282" s="548"/>
      <c r="BB282" s="620">
        <f>I282/24</f>
        <v>41.6666666666667</v>
      </c>
      <c r="BP282" s="554">
        <f>I282/25</f>
        <v>40</v>
      </c>
      <c r="BY282" s="619"/>
      <c r="BZ282" s="548"/>
      <c r="CA282" s="621"/>
      <c r="CB282" s="567"/>
      <c r="CC282" s="622"/>
      <c r="CD282" s="619"/>
      <c r="CE282" s="619"/>
      <c r="CF282" s="548"/>
      <c r="CG282" s="548"/>
      <c r="CU282" s="554">
        <f t="shared" si="75"/>
        <v>40</v>
      </c>
      <c r="CV282" s="554">
        <f t="shared" si="73"/>
        <v>0</v>
      </c>
      <c r="CW282" s="554">
        <f t="shared" si="74"/>
        <v>0</v>
      </c>
      <c r="CX282" s="619"/>
      <c r="CY282" s="619"/>
      <c r="CZ282" s="619"/>
      <c r="DA282" s="548"/>
      <c r="DB282" s="548"/>
      <c r="DC282" s="548"/>
      <c r="DD282" s="619"/>
      <c r="DE282" s="619"/>
      <c r="DF282" s="619"/>
      <c r="DG282" s="619"/>
      <c r="DH282" s="619"/>
    </row>
    <row r="283" s="548" customFormat="1" ht="31" customHeight="1" spans="1:112">
      <c r="A283" s="608">
        <v>45807</v>
      </c>
      <c r="B283" s="609" t="s">
        <v>6755</v>
      </c>
      <c r="C283" s="610" t="s">
        <v>399</v>
      </c>
      <c r="D283" s="554">
        <v>4500170289</v>
      </c>
      <c r="E283" s="610">
        <v>5200007051</v>
      </c>
      <c r="F283" s="554" t="s">
        <v>6756</v>
      </c>
      <c r="G283" s="610" t="s">
        <v>6467</v>
      </c>
      <c r="H283" s="610" t="s">
        <v>6080</v>
      </c>
      <c r="I283" s="610">
        <v>2400</v>
      </c>
      <c r="J283" s="610">
        <v>0</v>
      </c>
      <c r="K283" s="610">
        <v>30</v>
      </c>
      <c r="L283" s="611">
        <f t="shared" si="61"/>
        <v>80</v>
      </c>
      <c r="M283" s="612">
        <v>45844</v>
      </c>
      <c r="N283" s="612">
        <v>45840</v>
      </c>
      <c r="O283" s="613"/>
      <c r="P283" s="613" t="s">
        <v>113</v>
      </c>
      <c r="Q283" s="610"/>
      <c r="R283" s="614">
        <v>45813</v>
      </c>
      <c r="S283" s="614" t="s">
        <v>70</v>
      </c>
      <c r="T283" s="614" t="s">
        <v>6757</v>
      </c>
      <c r="U283" s="614"/>
      <c r="V283" s="614"/>
      <c r="W283" s="615"/>
      <c r="X283" s="628" t="s">
        <v>6758</v>
      </c>
      <c r="Y283" s="609" t="s">
        <v>2037</v>
      </c>
      <c r="Z283" s="609">
        <v>42.7605</v>
      </c>
      <c r="AA283" s="616">
        <f>Z283*L283</f>
        <v>3420.84</v>
      </c>
      <c r="AC283" s="617" t="s">
        <v>6759</v>
      </c>
      <c r="AD283" s="610" t="s">
        <v>6223</v>
      </c>
      <c r="AE283" s="610" t="s">
        <v>82</v>
      </c>
      <c r="AF283" s="610"/>
      <c r="AG283" s="610" t="s">
        <v>74</v>
      </c>
      <c r="AH283" s="610"/>
      <c r="AI283" s="610">
        <v>2400</v>
      </c>
      <c r="AJ283" s="610">
        <f t="shared" si="77"/>
        <v>0</v>
      </c>
      <c r="AK283" s="610"/>
      <c r="AL283" s="610"/>
      <c r="AM283" s="610"/>
      <c r="AN283" s="610"/>
      <c r="AO283" s="554">
        <f t="shared" si="80"/>
        <v>2400</v>
      </c>
      <c r="AR283" s="619"/>
      <c r="AS283" s="548"/>
      <c r="AT283" s="554">
        <f t="shared" si="81"/>
        <v>2400</v>
      </c>
      <c r="AV283" s="554">
        <f>I283</f>
        <v>2400</v>
      </c>
      <c r="AW283" s="619"/>
      <c r="AX283" s="548"/>
      <c r="AY283" s="548"/>
      <c r="AZ283" s="548"/>
      <c r="BA283" s="548"/>
      <c r="BB283" s="620">
        <f>I283/24</f>
        <v>100</v>
      </c>
      <c r="BY283" s="619"/>
      <c r="BZ283" s="548"/>
      <c r="CA283" s="621"/>
      <c r="CB283" s="567"/>
      <c r="CC283" s="622"/>
      <c r="CD283" s="619"/>
      <c r="CE283" s="619"/>
      <c r="CF283" s="548"/>
      <c r="CG283" s="548"/>
      <c r="CP283" s="554">
        <f>I283/30</f>
        <v>80</v>
      </c>
      <c r="CU283" s="554">
        <f t="shared" si="75"/>
        <v>0</v>
      </c>
      <c r="CV283" s="554">
        <f t="shared" si="73"/>
        <v>80</v>
      </c>
      <c r="CW283" s="554">
        <f t="shared" si="74"/>
        <v>0</v>
      </c>
      <c r="CX283" s="619"/>
      <c r="CY283" s="619"/>
      <c r="CZ283" s="619"/>
      <c r="DA283" s="548"/>
      <c r="DB283" s="548"/>
      <c r="DC283" s="548"/>
      <c r="DD283" s="619"/>
      <c r="DE283" s="619"/>
      <c r="DF283" s="619"/>
      <c r="DG283" s="619"/>
      <c r="DH283" s="619"/>
    </row>
    <row r="284" s="548" customFormat="1" ht="31" customHeight="1" spans="1:112">
      <c r="A284" s="608">
        <v>45806</v>
      </c>
      <c r="B284" s="609" t="s">
        <v>143</v>
      </c>
      <c r="C284" s="610" t="s">
        <v>98</v>
      </c>
      <c r="D284" s="554">
        <v>4500168367</v>
      </c>
      <c r="E284" s="610">
        <v>907594844</v>
      </c>
      <c r="F284" s="554" t="s">
        <v>6760</v>
      </c>
      <c r="G284" s="610" t="s">
        <v>6063</v>
      </c>
      <c r="H284" s="610" t="s">
        <v>6064</v>
      </c>
      <c r="I284" s="610">
        <v>6128</v>
      </c>
      <c r="J284" s="610">
        <v>0</v>
      </c>
      <c r="K284" s="610">
        <v>16</v>
      </c>
      <c r="L284" s="611">
        <f t="shared" ref="L284:L325" si="82">I284/K284</f>
        <v>383</v>
      </c>
      <c r="M284" s="612">
        <v>45840</v>
      </c>
      <c r="N284" s="612">
        <v>45842</v>
      </c>
      <c r="O284" s="613" t="s">
        <v>6761</v>
      </c>
      <c r="P284" s="613" t="s">
        <v>113</v>
      </c>
      <c r="Q284" s="610"/>
      <c r="R284" s="614" t="s">
        <v>6762</v>
      </c>
      <c r="S284" s="614" t="s">
        <v>70</v>
      </c>
      <c r="T284" s="614" t="s">
        <v>148</v>
      </c>
      <c r="U284" s="614"/>
      <c r="V284" s="614"/>
      <c r="W284" s="615"/>
      <c r="X284" s="609" t="s">
        <v>6651</v>
      </c>
      <c r="Y284" s="609" t="s">
        <v>106</v>
      </c>
      <c r="Z284" s="609">
        <v>0.5936</v>
      </c>
      <c r="AA284" s="616">
        <f t="shared" ref="AA284:AA302" si="83">Z284*I284</f>
        <v>3637.5808</v>
      </c>
      <c r="AC284" s="617" t="s">
        <v>6763</v>
      </c>
      <c r="AD284" s="610" t="s">
        <v>6063</v>
      </c>
      <c r="AE284" s="610" t="s">
        <v>82</v>
      </c>
      <c r="AF284" s="610"/>
      <c r="AG284" s="610" t="s">
        <v>74</v>
      </c>
      <c r="AH284" s="610"/>
      <c r="AI284" s="610">
        <v>6128</v>
      </c>
      <c r="AJ284" s="610">
        <f t="shared" si="77"/>
        <v>0</v>
      </c>
      <c r="AK284" s="610"/>
      <c r="AL284" s="610"/>
      <c r="AM284" s="610"/>
      <c r="AN284" s="610">
        <f t="shared" ref="AN284:AN291" si="84">I284</f>
        <v>6128</v>
      </c>
      <c r="AP284" s="554">
        <f t="shared" ref="AP284:AP291" si="85">I284</f>
        <v>6128</v>
      </c>
      <c r="AR284" s="619"/>
      <c r="AS284" s="548"/>
      <c r="AT284" s="548"/>
      <c r="AU284" s="554">
        <f t="shared" ref="AU284:AU291" si="86">I284</f>
        <v>6128</v>
      </c>
      <c r="AW284" s="619"/>
      <c r="AX284" s="548"/>
      <c r="AY284" s="548"/>
      <c r="AZ284" s="548"/>
      <c r="BA284" s="548"/>
      <c r="BB284" s="620">
        <f t="shared" ref="BB284:BB291" si="87">I284/48</f>
        <v>127.666666666667</v>
      </c>
      <c r="BQ284" s="554">
        <f>I284/16</f>
        <v>383</v>
      </c>
      <c r="BY284" s="619"/>
      <c r="BZ284" s="548"/>
      <c r="CA284" s="621"/>
      <c r="CB284" s="567"/>
      <c r="CC284" s="622"/>
      <c r="CD284" s="619"/>
      <c r="CE284" s="619"/>
      <c r="CF284" s="548"/>
      <c r="CG284" s="548"/>
      <c r="CU284" s="554">
        <f t="shared" si="75"/>
        <v>383</v>
      </c>
      <c r="CV284" s="554">
        <f t="shared" si="73"/>
        <v>0</v>
      </c>
      <c r="CW284" s="554">
        <f t="shared" si="74"/>
        <v>0</v>
      </c>
      <c r="CX284" s="619"/>
      <c r="CY284" s="619"/>
      <c r="CZ284" s="619"/>
      <c r="DA284" s="548"/>
      <c r="DB284" s="548"/>
      <c r="DC284" s="548"/>
      <c r="DD284" s="619"/>
      <c r="DE284" s="619"/>
      <c r="DF284" s="619"/>
      <c r="DG284" s="619"/>
      <c r="DH284" s="619"/>
    </row>
    <row r="285" s="548" customFormat="1" ht="31" customHeight="1" spans="1:112">
      <c r="A285" s="608">
        <v>45806</v>
      </c>
      <c r="B285" s="609" t="s">
        <v>143</v>
      </c>
      <c r="C285" s="610" t="s">
        <v>98</v>
      </c>
      <c r="D285" s="554">
        <v>4500168367</v>
      </c>
      <c r="E285" s="613">
        <v>907594892</v>
      </c>
      <c r="F285" s="554" t="s">
        <v>6764</v>
      </c>
      <c r="G285" s="610" t="s">
        <v>6063</v>
      </c>
      <c r="H285" s="610" t="s">
        <v>6064</v>
      </c>
      <c r="I285" s="610">
        <v>8576</v>
      </c>
      <c r="J285" s="610">
        <v>0</v>
      </c>
      <c r="K285" s="610">
        <v>16</v>
      </c>
      <c r="L285" s="611">
        <f t="shared" si="82"/>
        <v>536</v>
      </c>
      <c r="M285" s="612">
        <v>45840</v>
      </c>
      <c r="N285" s="612">
        <v>45842</v>
      </c>
      <c r="O285" s="613" t="s">
        <v>6761</v>
      </c>
      <c r="P285" s="613" t="s">
        <v>113</v>
      </c>
      <c r="Q285" s="610"/>
      <c r="R285" s="614" t="s">
        <v>6762</v>
      </c>
      <c r="S285" s="614" t="s">
        <v>70</v>
      </c>
      <c r="T285" s="614" t="s">
        <v>148</v>
      </c>
      <c r="U285" s="614"/>
      <c r="V285" s="614"/>
      <c r="W285" s="615"/>
      <c r="X285" s="609" t="s">
        <v>6651</v>
      </c>
      <c r="Y285" s="609" t="s">
        <v>106</v>
      </c>
      <c r="Z285" s="609">
        <v>0.5936</v>
      </c>
      <c r="AA285" s="616">
        <f t="shared" si="83"/>
        <v>5090.7136</v>
      </c>
      <c r="AC285" s="617" t="s">
        <v>6765</v>
      </c>
      <c r="AD285" s="610" t="s">
        <v>6063</v>
      </c>
      <c r="AE285" s="610" t="s">
        <v>82</v>
      </c>
      <c r="AF285" s="610"/>
      <c r="AG285" s="610" t="s">
        <v>74</v>
      </c>
      <c r="AH285" s="610"/>
      <c r="AI285" s="610">
        <v>8576</v>
      </c>
      <c r="AJ285" s="610">
        <f t="shared" si="77"/>
        <v>0</v>
      </c>
      <c r="AK285" s="610"/>
      <c r="AL285" s="610"/>
      <c r="AM285" s="610"/>
      <c r="AN285" s="610">
        <f t="shared" si="84"/>
        <v>8576</v>
      </c>
      <c r="AP285" s="554">
        <f t="shared" si="85"/>
        <v>8576</v>
      </c>
      <c r="AR285" s="619"/>
      <c r="AS285" s="548"/>
      <c r="AT285" s="548"/>
      <c r="AU285" s="554">
        <f t="shared" si="86"/>
        <v>8576</v>
      </c>
      <c r="AW285" s="619"/>
      <c r="AX285" s="548"/>
      <c r="AY285" s="548"/>
      <c r="AZ285" s="548"/>
      <c r="BA285" s="548"/>
      <c r="BB285" s="620">
        <f t="shared" si="87"/>
        <v>178.666666666667</v>
      </c>
      <c r="BQ285" s="554">
        <f>I285/16</f>
        <v>536</v>
      </c>
      <c r="BY285" s="619"/>
      <c r="BZ285" s="548"/>
      <c r="CA285" s="621"/>
      <c r="CB285" s="567"/>
      <c r="CC285" s="622"/>
      <c r="CD285" s="619"/>
      <c r="CE285" s="619"/>
      <c r="CF285" s="548"/>
      <c r="CG285" s="548"/>
      <c r="CU285" s="554">
        <f t="shared" si="75"/>
        <v>536</v>
      </c>
      <c r="CV285" s="554">
        <f t="shared" si="73"/>
        <v>0</v>
      </c>
      <c r="CW285" s="554">
        <f t="shared" si="74"/>
        <v>0</v>
      </c>
      <c r="CX285" s="619"/>
      <c r="CY285" s="619"/>
      <c r="CZ285" s="619"/>
      <c r="DA285" s="548"/>
      <c r="DB285" s="548"/>
      <c r="DC285" s="548"/>
      <c r="DD285" s="619"/>
      <c r="DE285" s="619"/>
      <c r="DF285" s="619"/>
      <c r="DG285" s="619"/>
      <c r="DH285" s="619"/>
    </row>
    <row r="286" s="548" customFormat="1" ht="31" customHeight="1" spans="1:112">
      <c r="A286" s="608">
        <v>45806</v>
      </c>
      <c r="B286" s="609" t="s">
        <v>143</v>
      </c>
      <c r="C286" s="610" t="s">
        <v>98</v>
      </c>
      <c r="D286" s="554">
        <v>4500168367</v>
      </c>
      <c r="E286" s="610">
        <v>907594933</v>
      </c>
      <c r="F286" s="554" t="s">
        <v>6766</v>
      </c>
      <c r="G286" s="610" t="s">
        <v>6063</v>
      </c>
      <c r="H286" s="610" t="s">
        <v>6064</v>
      </c>
      <c r="I286" s="610">
        <v>6464</v>
      </c>
      <c r="J286" s="610">
        <v>0</v>
      </c>
      <c r="K286" s="610">
        <v>16</v>
      </c>
      <c r="L286" s="611">
        <f t="shared" si="82"/>
        <v>404</v>
      </c>
      <c r="M286" s="612">
        <v>45840</v>
      </c>
      <c r="N286" s="612">
        <v>45842</v>
      </c>
      <c r="O286" s="613" t="s">
        <v>6761</v>
      </c>
      <c r="P286" s="613" t="s">
        <v>113</v>
      </c>
      <c r="Q286" s="610"/>
      <c r="R286" s="614" t="s">
        <v>6762</v>
      </c>
      <c r="S286" s="614" t="s">
        <v>70</v>
      </c>
      <c r="T286" s="614" t="s">
        <v>148</v>
      </c>
      <c r="U286" s="614"/>
      <c r="V286" s="614"/>
      <c r="W286" s="615"/>
      <c r="X286" s="609" t="s">
        <v>6651</v>
      </c>
      <c r="Y286" s="609" t="s">
        <v>106</v>
      </c>
      <c r="Z286" s="609">
        <v>0.5936</v>
      </c>
      <c r="AA286" s="616">
        <f t="shared" si="83"/>
        <v>3837.0304</v>
      </c>
      <c r="AC286" s="617" t="s">
        <v>6767</v>
      </c>
      <c r="AD286" s="610" t="s">
        <v>6063</v>
      </c>
      <c r="AE286" s="610" t="s">
        <v>82</v>
      </c>
      <c r="AF286" s="610"/>
      <c r="AG286" s="610" t="s">
        <v>74</v>
      </c>
      <c r="AH286" s="610"/>
      <c r="AI286" s="610">
        <v>6464</v>
      </c>
      <c r="AJ286" s="610">
        <f t="shared" si="77"/>
        <v>0</v>
      </c>
      <c r="AK286" s="610"/>
      <c r="AL286" s="610"/>
      <c r="AM286" s="610"/>
      <c r="AN286" s="610">
        <f t="shared" si="84"/>
        <v>6464</v>
      </c>
      <c r="AP286" s="554">
        <f t="shared" si="85"/>
        <v>6464</v>
      </c>
      <c r="AR286" s="619"/>
      <c r="AS286" s="548"/>
      <c r="AT286" s="548"/>
      <c r="AU286" s="554">
        <f t="shared" si="86"/>
        <v>6464</v>
      </c>
      <c r="AW286" s="619"/>
      <c r="AX286" s="548"/>
      <c r="AY286" s="548"/>
      <c r="AZ286" s="548"/>
      <c r="BA286" s="548"/>
      <c r="BB286" s="620">
        <f t="shared" si="87"/>
        <v>134.666666666667</v>
      </c>
      <c r="BQ286" s="554">
        <f>I286/16</f>
        <v>404</v>
      </c>
      <c r="BY286" s="619"/>
      <c r="BZ286" s="548"/>
      <c r="CA286" s="621"/>
      <c r="CB286" s="567"/>
      <c r="CC286" s="622"/>
      <c r="CD286" s="619"/>
      <c r="CE286" s="619"/>
      <c r="CF286" s="548"/>
      <c r="CG286" s="548"/>
      <c r="CU286" s="554">
        <f t="shared" si="75"/>
        <v>404</v>
      </c>
      <c r="CV286" s="554">
        <f t="shared" si="73"/>
        <v>0</v>
      </c>
      <c r="CW286" s="554">
        <f t="shared" si="74"/>
        <v>0</v>
      </c>
      <c r="CX286" s="619"/>
      <c r="CY286" s="619"/>
      <c r="CZ286" s="619"/>
      <c r="DA286" s="548"/>
      <c r="DB286" s="548"/>
      <c r="DC286" s="548"/>
      <c r="DD286" s="619"/>
      <c r="DE286" s="619"/>
      <c r="DF286" s="619"/>
      <c r="DG286" s="619"/>
      <c r="DH286" s="619"/>
    </row>
    <row r="287" s="548" customFormat="1" ht="31" customHeight="1" spans="1:112">
      <c r="A287" s="608">
        <v>45806</v>
      </c>
      <c r="B287" s="609" t="s">
        <v>143</v>
      </c>
      <c r="C287" s="610" t="s">
        <v>98</v>
      </c>
      <c r="D287" s="554">
        <v>4500168367</v>
      </c>
      <c r="E287" s="613">
        <v>907594945</v>
      </c>
      <c r="F287" s="554" t="s">
        <v>6768</v>
      </c>
      <c r="G287" s="610" t="s">
        <v>6063</v>
      </c>
      <c r="H287" s="610" t="s">
        <v>6064</v>
      </c>
      <c r="I287" s="610">
        <v>5888</v>
      </c>
      <c r="J287" s="610">
        <v>0</v>
      </c>
      <c r="K287" s="610">
        <v>16</v>
      </c>
      <c r="L287" s="611">
        <f t="shared" si="82"/>
        <v>368</v>
      </c>
      <c r="M287" s="612">
        <v>45840</v>
      </c>
      <c r="N287" s="612">
        <v>45842</v>
      </c>
      <c r="O287" s="613" t="s">
        <v>6761</v>
      </c>
      <c r="P287" s="613" t="s">
        <v>113</v>
      </c>
      <c r="Q287" s="610"/>
      <c r="R287" s="614" t="s">
        <v>6762</v>
      </c>
      <c r="S287" s="614" t="s">
        <v>70</v>
      </c>
      <c r="T287" s="614" t="s">
        <v>148</v>
      </c>
      <c r="U287" s="614"/>
      <c r="V287" s="614"/>
      <c r="W287" s="615"/>
      <c r="X287" s="609" t="s">
        <v>6651</v>
      </c>
      <c r="Y287" s="609" t="s">
        <v>106</v>
      </c>
      <c r="Z287" s="609">
        <v>0.5936</v>
      </c>
      <c r="AA287" s="616">
        <f t="shared" si="83"/>
        <v>3495.1168</v>
      </c>
      <c r="AC287" s="617" t="s">
        <v>6769</v>
      </c>
      <c r="AD287" s="610" t="s">
        <v>6063</v>
      </c>
      <c r="AE287" s="610" t="s">
        <v>82</v>
      </c>
      <c r="AF287" s="610"/>
      <c r="AG287" s="610" t="s">
        <v>74</v>
      </c>
      <c r="AH287" s="610"/>
      <c r="AI287" s="610">
        <v>5888</v>
      </c>
      <c r="AJ287" s="610">
        <f t="shared" si="77"/>
        <v>0</v>
      </c>
      <c r="AK287" s="610"/>
      <c r="AL287" s="610"/>
      <c r="AM287" s="610"/>
      <c r="AN287" s="610">
        <f t="shared" si="84"/>
        <v>5888</v>
      </c>
      <c r="AP287" s="554">
        <f t="shared" si="85"/>
        <v>5888</v>
      </c>
      <c r="AR287" s="619"/>
      <c r="AS287" s="548"/>
      <c r="AT287" s="548"/>
      <c r="AU287" s="554">
        <f t="shared" si="86"/>
        <v>5888</v>
      </c>
      <c r="AW287" s="619"/>
      <c r="AX287" s="548"/>
      <c r="AY287" s="548"/>
      <c r="AZ287" s="548"/>
      <c r="BA287" s="548"/>
      <c r="BB287" s="620">
        <f t="shared" si="87"/>
        <v>122.666666666667</v>
      </c>
      <c r="BQ287" s="554">
        <f>I287/16</f>
        <v>368</v>
      </c>
      <c r="BY287" s="619"/>
      <c r="BZ287" s="548"/>
      <c r="CA287" s="621"/>
      <c r="CB287" s="567"/>
      <c r="CC287" s="622"/>
      <c r="CD287" s="619"/>
      <c r="CE287" s="619"/>
      <c r="CF287" s="548"/>
      <c r="CG287" s="548"/>
      <c r="CU287" s="554">
        <f t="shared" si="75"/>
        <v>368</v>
      </c>
      <c r="CV287" s="554">
        <f t="shared" si="73"/>
        <v>0</v>
      </c>
      <c r="CW287" s="554">
        <f t="shared" si="74"/>
        <v>0</v>
      </c>
      <c r="CX287" s="619"/>
      <c r="CY287" s="619"/>
      <c r="CZ287" s="619"/>
      <c r="DA287" s="548"/>
      <c r="DB287" s="548"/>
      <c r="DC287" s="548"/>
      <c r="DD287" s="619"/>
      <c r="DE287" s="619"/>
      <c r="DF287" s="619"/>
      <c r="DG287" s="619"/>
      <c r="DH287" s="619"/>
    </row>
    <row r="288" s="548" customFormat="1" ht="31" customHeight="1" spans="1:112">
      <c r="A288" s="608">
        <v>45812</v>
      </c>
      <c r="B288" s="609" t="s">
        <v>143</v>
      </c>
      <c r="C288" s="610" t="s">
        <v>98</v>
      </c>
      <c r="D288" s="554">
        <v>4500168957</v>
      </c>
      <c r="E288" s="613">
        <v>921438650</v>
      </c>
      <c r="F288" s="554" t="s">
        <v>6770</v>
      </c>
      <c r="G288" s="610" t="s">
        <v>6771</v>
      </c>
      <c r="H288" s="610" t="s">
        <v>6033</v>
      </c>
      <c r="I288" s="610">
        <v>1264</v>
      </c>
      <c r="J288" s="610">
        <v>0</v>
      </c>
      <c r="K288" s="610">
        <v>16</v>
      </c>
      <c r="L288" s="611">
        <f t="shared" si="82"/>
        <v>79</v>
      </c>
      <c r="M288" s="612">
        <v>45847</v>
      </c>
      <c r="N288" s="612">
        <v>45843</v>
      </c>
      <c r="O288" s="613" t="s">
        <v>1053</v>
      </c>
      <c r="P288" s="613" t="s">
        <v>113</v>
      </c>
      <c r="Q288" s="610"/>
      <c r="R288" s="614" t="s">
        <v>6772</v>
      </c>
      <c r="S288" s="614" t="s">
        <v>70</v>
      </c>
      <c r="T288" s="614" t="s">
        <v>148</v>
      </c>
      <c r="U288" s="614"/>
      <c r="V288" s="614"/>
      <c r="W288" s="615"/>
      <c r="X288" s="609" t="s">
        <v>6773</v>
      </c>
      <c r="Y288" s="609" t="s">
        <v>106</v>
      </c>
      <c r="Z288" s="609">
        <v>0.5252</v>
      </c>
      <c r="AA288" s="616">
        <f t="shared" si="83"/>
        <v>663.8528</v>
      </c>
      <c r="AC288" s="617" t="s">
        <v>6774</v>
      </c>
      <c r="AD288" s="610" t="s">
        <v>6771</v>
      </c>
      <c r="AE288" s="610" t="s">
        <v>82</v>
      </c>
      <c r="AF288" s="610"/>
      <c r="AG288" s="610" t="s">
        <v>74</v>
      </c>
      <c r="AH288" s="610"/>
      <c r="AI288" s="610">
        <v>1264</v>
      </c>
      <c r="AJ288" s="610">
        <f t="shared" si="77"/>
        <v>0</v>
      </c>
      <c r="AK288" s="610"/>
      <c r="AL288" s="610"/>
      <c r="AM288" s="610"/>
      <c r="AN288" s="610">
        <f t="shared" si="84"/>
        <v>1264</v>
      </c>
      <c r="AP288" s="554">
        <f t="shared" si="85"/>
        <v>1264</v>
      </c>
      <c r="AR288" s="619"/>
      <c r="AS288" s="548"/>
      <c r="AT288" s="548"/>
      <c r="AU288" s="554">
        <f t="shared" si="86"/>
        <v>1264</v>
      </c>
      <c r="AW288" s="619"/>
      <c r="AX288" s="548"/>
      <c r="AY288" s="548"/>
      <c r="AZ288" s="548"/>
      <c r="BA288" s="548"/>
      <c r="BB288" s="620">
        <f t="shared" si="87"/>
        <v>26.3333333333333</v>
      </c>
      <c r="BY288" s="619"/>
      <c r="BZ288" s="548"/>
      <c r="CA288" s="621"/>
      <c r="CB288" s="567"/>
      <c r="CC288" s="622"/>
      <c r="CD288" s="619"/>
      <c r="CE288" s="619"/>
      <c r="CF288" s="548"/>
      <c r="CG288" s="548"/>
      <c r="CU288" s="554">
        <f t="shared" si="75"/>
        <v>0</v>
      </c>
      <c r="CV288" s="554">
        <f t="shared" si="73"/>
        <v>0</v>
      </c>
      <c r="CW288" s="554">
        <f t="shared" si="74"/>
        <v>0</v>
      </c>
      <c r="CX288" s="619"/>
      <c r="CY288" s="619"/>
      <c r="CZ288" s="619"/>
      <c r="DA288" s="548"/>
      <c r="DB288" s="548"/>
      <c r="DC288" s="548"/>
      <c r="DD288" s="619"/>
      <c r="DE288" s="619"/>
      <c r="DF288" s="619"/>
      <c r="DG288" s="619"/>
      <c r="DH288" s="619"/>
    </row>
    <row r="289" s="548" customFormat="1" ht="31" customHeight="1" spans="1:112">
      <c r="A289" s="608">
        <v>45812</v>
      </c>
      <c r="B289" s="609" t="s">
        <v>143</v>
      </c>
      <c r="C289" s="610" t="s">
        <v>98</v>
      </c>
      <c r="D289" s="554">
        <v>4500168957</v>
      </c>
      <c r="E289" s="613">
        <v>921438656</v>
      </c>
      <c r="F289" s="554" t="s">
        <v>6775</v>
      </c>
      <c r="G289" s="610" t="s">
        <v>6771</v>
      </c>
      <c r="H289" s="610" t="s">
        <v>6033</v>
      </c>
      <c r="I289" s="610">
        <v>1792</v>
      </c>
      <c r="J289" s="610">
        <v>0</v>
      </c>
      <c r="K289" s="610">
        <v>16</v>
      </c>
      <c r="L289" s="611">
        <f t="shared" si="82"/>
        <v>112</v>
      </c>
      <c r="M289" s="612">
        <v>45847</v>
      </c>
      <c r="N289" s="612">
        <v>45843</v>
      </c>
      <c r="O289" s="613" t="s">
        <v>1041</v>
      </c>
      <c r="P289" s="613" t="s">
        <v>113</v>
      </c>
      <c r="Q289" s="610"/>
      <c r="R289" s="614" t="s">
        <v>6772</v>
      </c>
      <c r="S289" s="614" t="s">
        <v>70</v>
      </c>
      <c r="T289" s="614" t="s">
        <v>148</v>
      </c>
      <c r="U289" s="614"/>
      <c r="V289" s="614"/>
      <c r="W289" s="615"/>
      <c r="X289" s="609" t="s">
        <v>6773</v>
      </c>
      <c r="Y289" s="609" t="s">
        <v>106</v>
      </c>
      <c r="Z289" s="609">
        <v>0.5252</v>
      </c>
      <c r="AA289" s="616">
        <f t="shared" si="83"/>
        <v>941.1584</v>
      </c>
      <c r="AC289" s="617" t="s">
        <v>6776</v>
      </c>
      <c r="AD289" s="610" t="s">
        <v>6771</v>
      </c>
      <c r="AE289" s="610" t="s">
        <v>82</v>
      </c>
      <c r="AF289" s="610"/>
      <c r="AG289" s="610" t="s">
        <v>74</v>
      </c>
      <c r="AH289" s="610"/>
      <c r="AI289" s="610">
        <v>1792</v>
      </c>
      <c r="AJ289" s="610">
        <f t="shared" si="77"/>
        <v>0</v>
      </c>
      <c r="AK289" s="610"/>
      <c r="AL289" s="610"/>
      <c r="AM289" s="610"/>
      <c r="AN289" s="610">
        <f t="shared" si="84"/>
        <v>1792</v>
      </c>
      <c r="AP289" s="554">
        <f t="shared" si="85"/>
        <v>1792</v>
      </c>
      <c r="AR289" s="619"/>
      <c r="AS289" s="548"/>
      <c r="AT289" s="548"/>
      <c r="AU289" s="554">
        <f t="shared" si="86"/>
        <v>1792</v>
      </c>
      <c r="AW289" s="619"/>
      <c r="AX289" s="548"/>
      <c r="AY289" s="548"/>
      <c r="AZ289" s="548"/>
      <c r="BA289" s="548"/>
      <c r="BB289" s="620">
        <f t="shared" si="87"/>
        <v>37.3333333333333</v>
      </c>
      <c r="BY289" s="619"/>
      <c r="BZ289" s="548"/>
      <c r="CA289" s="621"/>
      <c r="CB289" s="567"/>
      <c r="CC289" s="622"/>
      <c r="CD289" s="619"/>
      <c r="CE289" s="619"/>
      <c r="CF289" s="548"/>
      <c r="CG289" s="548"/>
      <c r="CU289" s="554">
        <f t="shared" si="75"/>
        <v>0</v>
      </c>
      <c r="CV289" s="554">
        <f t="shared" si="73"/>
        <v>0</v>
      </c>
      <c r="CW289" s="554">
        <f t="shared" si="74"/>
        <v>0</v>
      </c>
      <c r="CX289" s="619"/>
      <c r="CY289" s="619"/>
      <c r="CZ289" s="619"/>
      <c r="DA289" s="548"/>
      <c r="DB289" s="548"/>
      <c r="DC289" s="548"/>
      <c r="DD289" s="619"/>
      <c r="DE289" s="619"/>
      <c r="DF289" s="619"/>
      <c r="DG289" s="619"/>
      <c r="DH289" s="619"/>
    </row>
    <row r="290" s="548" customFormat="1" ht="31" customHeight="1" spans="1:112">
      <c r="A290" s="608">
        <v>45812</v>
      </c>
      <c r="B290" s="609" t="s">
        <v>143</v>
      </c>
      <c r="C290" s="610" t="s">
        <v>98</v>
      </c>
      <c r="D290" s="554">
        <v>4500168957</v>
      </c>
      <c r="E290" s="613">
        <v>921438674</v>
      </c>
      <c r="F290" s="554" t="s">
        <v>6777</v>
      </c>
      <c r="G290" s="610" t="s">
        <v>6771</v>
      </c>
      <c r="H290" s="610" t="s">
        <v>6033</v>
      </c>
      <c r="I290" s="610">
        <v>608</v>
      </c>
      <c r="J290" s="610">
        <v>0</v>
      </c>
      <c r="K290" s="610">
        <v>16</v>
      </c>
      <c r="L290" s="611">
        <f t="shared" si="82"/>
        <v>38</v>
      </c>
      <c r="M290" s="612">
        <v>45847</v>
      </c>
      <c r="N290" s="612">
        <v>45843</v>
      </c>
      <c r="O290" s="613" t="s">
        <v>1041</v>
      </c>
      <c r="P290" s="613" t="s">
        <v>113</v>
      </c>
      <c r="Q290" s="610"/>
      <c r="R290" s="614" t="s">
        <v>6772</v>
      </c>
      <c r="S290" s="614" t="s">
        <v>70</v>
      </c>
      <c r="T290" s="614" t="s">
        <v>148</v>
      </c>
      <c r="U290" s="614"/>
      <c r="V290" s="614"/>
      <c r="W290" s="615"/>
      <c r="X290" s="609" t="s">
        <v>6773</v>
      </c>
      <c r="Y290" s="609" t="s">
        <v>106</v>
      </c>
      <c r="Z290" s="609">
        <v>0.5282</v>
      </c>
      <c r="AA290" s="616">
        <f t="shared" si="83"/>
        <v>321.1456</v>
      </c>
      <c r="AC290" s="617" t="s">
        <v>6778</v>
      </c>
      <c r="AD290" s="610" t="s">
        <v>6771</v>
      </c>
      <c r="AE290" s="610" t="s">
        <v>82</v>
      </c>
      <c r="AF290" s="610"/>
      <c r="AG290" s="610" t="s">
        <v>74</v>
      </c>
      <c r="AH290" s="610"/>
      <c r="AI290" s="610">
        <v>608</v>
      </c>
      <c r="AJ290" s="610">
        <f t="shared" si="77"/>
        <v>0</v>
      </c>
      <c r="AK290" s="610"/>
      <c r="AL290" s="610"/>
      <c r="AM290" s="610"/>
      <c r="AN290" s="610">
        <f t="shared" si="84"/>
        <v>608</v>
      </c>
      <c r="AP290" s="554">
        <f t="shared" si="85"/>
        <v>608</v>
      </c>
      <c r="AR290" s="619"/>
      <c r="AS290" s="548"/>
      <c r="AT290" s="548"/>
      <c r="AU290" s="554">
        <f t="shared" si="86"/>
        <v>608</v>
      </c>
      <c r="AW290" s="619"/>
      <c r="AX290" s="548"/>
      <c r="AY290" s="548"/>
      <c r="AZ290" s="548"/>
      <c r="BA290" s="548"/>
      <c r="BB290" s="620">
        <f t="shared" si="87"/>
        <v>12.6666666666667</v>
      </c>
      <c r="BY290" s="619"/>
      <c r="BZ290" s="548"/>
      <c r="CA290" s="621"/>
      <c r="CB290" s="567"/>
      <c r="CC290" s="622"/>
      <c r="CD290" s="619"/>
      <c r="CE290" s="619"/>
      <c r="CF290" s="548"/>
      <c r="CG290" s="548"/>
      <c r="CU290" s="554">
        <f t="shared" si="75"/>
        <v>0</v>
      </c>
      <c r="CV290" s="554">
        <f t="shared" si="73"/>
        <v>0</v>
      </c>
      <c r="CW290" s="554">
        <f t="shared" si="74"/>
        <v>0</v>
      </c>
      <c r="CX290" s="619"/>
      <c r="CY290" s="619"/>
      <c r="CZ290" s="619"/>
      <c r="DA290" s="548"/>
      <c r="DB290" s="548"/>
      <c r="DC290" s="548"/>
      <c r="DD290" s="619"/>
      <c r="DE290" s="619"/>
      <c r="DF290" s="619"/>
      <c r="DG290" s="619"/>
      <c r="DH290" s="619"/>
    </row>
    <row r="291" s="548" customFormat="1" ht="31" customHeight="1" spans="1:112">
      <c r="A291" s="608">
        <v>45812</v>
      </c>
      <c r="B291" s="609" t="s">
        <v>143</v>
      </c>
      <c r="C291" s="610" t="s">
        <v>98</v>
      </c>
      <c r="D291" s="554">
        <v>4500168957</v>
      </c>
      <c r="E291" s="613">
        <v>921438679</v>
      </c>
      <c r="F291" s="554" t="s">
        <v>6779</v>
      </c>
      <c r="G291" s="610" t="s">
        <v>6771</v>
      </c>
      <c r="H291" s="610" t="s">
        <v>6033</v>
      </c>
      <c r="I291" s="610">
        <v>512</v>
      </c>
      <c r="J291" s="610">
        <v>0</v>
      </c>
      <c r="K291" s="610">
        <v>16</v>
      </c>
      <c r="L291" s="611">
        <f t="shared" si="82"/>
        <v>32</v>
      </c>
      <c r="M291" s="612">
        <v>45847</v>
      </c>
      <c r="N291" s="612">
        <v>45843</v>
      </c>
      <c r="O291" s="613" t="s">
        <v>1041</v>
      </c>
      <c r="P291" s="613" t="s">
        <v>113</v>
      </c>
      <c r="Q291" s="610"/>
      <c r="R291" s="614" t="s">
        <v>6772</v>
      </c>
      <c r="S291" s="614" t="s">
        <v>70</v>
      </c>
      <c r="T291" s="614" t="s">
        <v>148</v>
      </c>
      <c r="U291" s="614"/>
      <c r="V291" s="614"/>
      <c r="W291" s="615"/>
      <c r="X291" s="609" t="s">
        <v>6773</v>
      </c>
      <c r="Y291" s="609" t="s">
        <v>106</v>
      </c>
      <c r="Z291" s="609">
        <v>0.5282</v>
      </c>
      <c r="AA291" s="616">
        <f t="shared" si="83"/>
        <v>270.4384</v>
      </c>
      <c r="AC291" s="617" t="s">
        <v>6780</v>
      </c>
      <c r="AD291" s="610" t="s">
        <v>6771</v>
      </c>
      <c r="AE291" s="610" t="s">
        <v>82</v>
      </c>
      <c r="AF291" s="610"/>
      <c r="AG291" s="610" t="s">
        <v>74</v>
      </c>
      <c r="AH291" s="610"/>
      <c r="AI291" s="610">
        <v>512</v>
      </c>
      <c r="AJ291" s="610">
        <f t="shared" si="77"/>
        <v>0</v>
      </c>
      <c r="AK291" s="610"/>
      <c r="AL291" s="610"/>
      <c r="AM291" s="610"/>
      <c r="AN291" s="610">
        <f t="shared" si="84"/>
        <v>512</v>
      </c>
      <c r="AP291" s="554">
        <f t="shared" si="85"/>
        <v>512</v>
      </c>
      <c r="AR291" s="619"/>
      <c r="AS291" s="548"/>
      <c r="AT291" s="548"/>
      <c r="AU291" s="554">
        <f t="shared" si="86"/>
        <v>512</v>
      </c>
      <c r="AW291" s="619"/>
      <c r="AX291" s="548"/>
      <c r="AY291" s="548"/>
      <c r="AZ291" s="548"/>
      <c r="BA291" s="548"/>
      <c r="BB291" s="620">
        <f t="shared" si="87"/>
        <v>10.6666666666667</v>
      </c>
      <c r="BY291" s="619"/>
      <c r="BZ291" s="548"/>
      <c r="CA291" s="621"/>
      <c r="CB291" s="567"/>
      <c r="CC291" s="622"/>
      <c r="CD291" s="619"/>
      <c r="CE291" s="619"/>
      <c r="CF291" s="548"/>
      <c r="CG291" s="548"/>
      <c r="CU291" s="554">
        <f t="shared" si="75"/>
        <v>0</v>
      </c>
      <c r="CV291" s="554">
        <f t="shared" si="73"/>
        <v>0</v>
      </c>
      <c r="CW291" s="554">
        <f t="shared" si="74"/>
        <v>0</v>
      </c>
      <c r="CX291" s="619"/>
      <c r="CY291" s="619"/>
      <c r="CZ291" s="619"/>
      <c r="DA291" s="548"/>
      <c r="DB291" s="548"/>
      <c r="DC291" s="548"/>
      <c r="DD291" s="619"/>
      <c r="DE291" s="619"/>
      <c r="DF291" s="619"/>
      <c r="DG291" s="619"/>
      <c r="DH291" s="619"/>
    </row>
    <row r="292" s="548" customFormat="1" ht="31" customHeight="1" spans="1:112">
      <c r="A292" s="608">
        <v>45804</v>
      </c>
      <c r="B292" s="609" t="s">
        <v>493</v>
      </c>
      <c r="C292" s="610" t="s">
        <v>278</v>
      </c>
      <c r="D292" s="554">
        <v>4500167998</v>
      </c>
      <c r="E292" s="610" t="s">
        <v>1046</v>
      </c>
      <c r="F292" s="554" t="s">
        <v>6781</v>
      </c>
      <c r="G292" s="610" t="s">
        <v>6318</v>
      </c>
      <c r="H292" s="610" t="s">
        <v>6319</v>
      </c>
      <c r="I292" s="610">
        <v>750</v>
      </c>
      <c r="J292" s="610">
        <v>25</v>
      </c>
      <c r="K292" s="610">
        <v>50</v>
      </c>
      <c r="L292" s="611">
        <f t="shared" si="82"/>
        <v>15</v>
      </c>
      <c r="M292" s="612">
        <v>45847</v>
      </c>
      <c r="N292" s="612">
        <f>M292-4</f>
        <v>45843</v>
      </c>
      <c r="O292" s="613"/>
      <c r="P292" s="613" t="s">
        <v>113</v>
      </c>
      <c r="Q292" s="610"/>
      <c r="R292" s="614">
        <v>45814</v>
      </c>
      <c r="S292" s="614" t="s">
        <v>70</v>
      </c>
      <c r="T292" s="614" t="s">
        <v>6561</v>
      </c>
      <c r="U292" s="614"/>
      <c r="V292" s="614"/>
      <c r="W292" s="615"/>
      <c r="X292" s="609" t="s">
        <v>6782</v>
      </c>
      <c r="Y292" s="609" t="s">
        <v>283</v>
      </c>
      <c r="Z292" s="609">
        <v>0.95</v>
      </c>
      <c r="AA292" s="616">
        <f t="shared" si="83"/>
        <v>712.5</v>
      </c>
      <c r="AC292" s="617" t="s">
        <v>1050</v>
      </c>
      <c r="AD292" s="610" t="s">
        <v>6318</v>
      </c>
      <c r="AE292" s="610" t="s">
        <v>82</v>
      </c>
      <c r="AF292" s="610"/>
      <c r="AG292" s="610" t="s">
        <v>74</v>
      </c>
      <c r="AH292" s="610"/>
      <c r="AI292" s="610">
        <v>750</v>
      </c>
      <c r="AJ292" s="610">
        <f t="shared" si="77"/>
        <v>0</v>
      </c>
      <c r="AK292" s="610"/>
      <c r="AL292" s="610"/>
      <c r="AM292" s="610"/>
      <c r="AN292" s="610"/>
      <c r="AO292" s="554">
        <f>I292</f>
        <v>750</v>
      </c>
      <c r="AR292" s="619"/>
      <c r="AS292" s="548"/>
      <c r="AT292" s="554">
        <f>I292</f>
        <v>750</v>
      </c>
      <c r="AV292" s="554">
        <f>I292</f>
        <v>750</v>
      </c>
      <c r="AW292" s="619"/>
      <c r="AX292" s="548"/>
      <c r="AY292" s="548"/>
      <c r="AZ292" s="548"/>
      <c r="BA292" s="548"/>
      <c r="BB292" s="620">
        <f>I292/24</f>
        <v>31.25</v>
      </c>
      <c r="BP292" s="554">
        <f>I292/25</f>
        <v>30</v>
      </c>
      <c r="BY292" s="619"/>
      <c r="BZ292" s="548"/>
      <c r="CA292" s="621"/>
      <c r="CB292" s="567"/>
      <c r="CC292" s="622"/>
      <c r="CD292" s="619"/>
      <c r="CE292" s="619"/>
      <c r="CF292" s="548"/>
      <c r="CG292" s="548"/>
      <c r="CU292" s="554">
        <f t="shared" si="75"/>
        <v>30</v>
      </c>
      <c r="CV292" s="554">
        <f t="shared" si="73"/>
        <v>0</v>
      </c>
      <c r="CW292" s="554">
        <f t="shared" si="74"/>
        <v>0</v>
      </c>
      <c r="CX292" s="619"/>
      <c r="CY292" s="619"/>
      <c r="CZ292" s="619"/>
      <c r="DA292" s="548"/>
      <c r="DB292" s="548"/>
      <c r="DC292" s="548"/>
      <c r="DD292" s="619"/>
      <c r="DE292" s="619"/>
      <c r="DF292" s="619"/>
      <c r="DG292" s="619"/>
      <c r="DH292" s="619"/>
    </row>
    <row r="293" s="548" customFormat="1" ht="31" customHeight="1" spans="1:112">
      <c r="A293" s="608">
        <v>45800</v>
      </c>
      <c r="B293" s="609" t="s">
        <v>312</v>
      </c>
      <c r="C293" s="610" t="s">
        <v>278</v>
      </c>
      <c r="D293" s="554">
        <v>4500167693</v>
      </c>
      <c r="E293" s="610" t="s">
        <v>1092</v>
      </c>
      <c r="F293" s="554" t="s">
        <v>6783</v>
      </c>
      <c r="G293" s="610" t="s">
        <v>6040</v>
      </c>
      <c r="H293" s="610" t="s">
        <v>6041</v>
      </c>
      <c r="I293" s="610">
        <v>4680</v>
      </c>
      <c r="J293" s="610">
        <v>0</v>
      </c>
      <c r="K293" s="610">
        <v>52</v>
      </c>
      <c r="L293" s="611">
        <f t="shared" si="82"/>
        <v>90</v>
      </c>
      <c r="M293" s="612">
        <v>45849</v>
      </c>
      <c r="N293" s="612">
        <v>45845</v>
      </c>
      <c r="O293" s="613"/>
      <c r="P293" s="613" t="s">
        <v>113</v>
      </c>
      <c r="Q293" s="610"/>
      <c r="R293" s="614">
        <v>45800</v>
      </c>
      <c r="S293" s="614" t="s">
        <v>70</v>
      </c>
      <c r="T293" s="614" t="s">
        <v>6665</v>
      </c>
      <c r="U293" s="614"/>
      <c r="V293" s="614"/>
      <c r="W293" s="615"/>
      <c r="X293" s="628" t="s">
        <v>6784</v>
      </c>
      <c r="Y293" s="609" t="s">
        <v>317</v>
      </c>
      <c r="Z293" s="609">
        <v>0.9129</v>
      </c>
      <c r="AA293" s="616">
        <f t="shared" si="83"/>
        <v>4272.372</v>
      </c>
      <c r="AC293" s="617" t="s">
        <v>1096</v>
      </c>
      <c r="AD293" s="610" t="s">
        <v>6255</v>
      </c>
      <c r="AE293" s="610" t="s">
        <v>82</v>
      </c>
      <c r="AF293" s="610"/>
      <c r="AG293" s="610" t="s">
        <v>74</v>
      </c>
      <c r="AH293" s="610"/>
      <c r="AI293" s="610">
        <v>4680</v>
      </c>
      <c r="AJ293" s="610">
        <f t="shared" si="77"/>
        <v>0</v>
      </c>
      <c r="AK293" s="610"/>
      <c r="AL293" s="610"/>
      <c r="AM293" s="610"/>
      <c r="AN293" s="610"/>
      <c r="AO293" s="554">
        <f>I293</f>
        <v>4680</v>
      </c>
      <c r="AP293" s="554">
        <f>I293</f>
        <v>4680</v>
      </c>
      <c r="AR293" s="619"/>
      <c r="AS293" s="548"/>
      <c r="AT293" s="548"/>
      <c r="AU293" s="548"/>
      <c r="AV293" s="554">
        <f>I293</f>
        <v>4680</v>
      </c>
      <c r="AW293" s="619"/>
      <c r="AX293" s="548"/>
      <c r="AY293" s="548"/>
      <c r="AZ293" s="548"/>
      <c r="BA293" s="548"/>
      <c r="BB293" s="620">
        <f>I293/24*2</f>
        <v>390</v>
      </c>
      <c r="BM293" s="554">
        <f>I293/13</f>
        <v>360</v>
      </c>
      <c r="BY293" s="619"/>
      <c r="BZ293" s="548"/>
      <c r="CA293" s="621"/>
      <c r="CB293" s="567"/>
      <c r="CC293" s="622"/>
      <c r="CD293" s="619"/>
      <c r="CE293" s="619"/>
      <c r="CF293" s="548"/>
      <c r="CG293" s="548"/>
      <c r="CU293" s="554">
        <f t="shared" si="75"/>
        <v>0</v>
      </c>
      <c r="CV293" s="554">
        <f t="shared" si="73"/>
        <v>0</v>
      </c>
      <c r="CW293" s="554">
        <f t="shared" si="74"/>
        <v>0</v>
      </c>
      <c r="CX293" s="619"/>
      <c r="CY293" s="619"/>
      <c r="CZ293" s="619"/>
      <c r="DA293" s="548"/>
      <c r="DB293" s="548"/>
      <c r="DC293" s="548"/>
      <c r="DD293" s="619"/>
      <c r="DE293" s="619"/>
      <c r="DF293" s="619"/>
      <c r="DG293" s="619"/>
      <c r="DH293" s="619"/>
    </row>
    <row r="294" s="548" customFormat="1" ht="31" customHeight="1" spans="1:112">
      <c r="A294" s="608">
        <v>45824</v>
      </c>
      <c r="B294" s="609" t="s">
        <v>3815</v>
      </c>
      <c r="C294" s="610" t="s">
        <v>98</v>
      </c>
      <c r="D294" s="554">
        <v>4500169534</v>
      </c>
      <c r="E294" s="610" t="s">
        <v>6785</v>
      </c>
      <c r="F294" s="554" t="s">
        <v>6786</v>
      </c>
      <c r="G294" s="610" t="s">
        <v>6787</v>
      </c>
      <c r="H294" s="610" t="s">
        <v>6126</v>
      </c>
      <c r="I294" s="610">
        <v>3864</v>
      </c>
      <c r="J294" s="610">
        <v>0</v>
      </c>
      <c r="K294" s="610">
        <v>12</v>
      </c>
      <c r="L294" s="611">
        <f t="shared" si="82"/>
        <v>322</v>
      </c>
      <c r="M294" s="612">
        <v>45849</v>
      </c>
      <c r="N294" s="612">
        <v>45845</v>
      </c>
      <c r="O294" s="613"/>
      <c r="P294" s="613" t="s">
        <v>113</v>
      </c>
      <c r="Q294" s="610"/>
      <c r="R294" s="614" t="s">
        <v>6788</v>
      </c>
      <c r="S294" s="614" t="s">
        <v>104</v>
      </c>
      <c r="T294" s="614" t="s">
        <v>6789</v>
      </c>
      <c r="U294" s="614"/>
      <c r="V294" s="614"/>
      <c r="W294" s="615"/>
      <c r="X294" s="609" t="s">
        <v>6790</v>
      </c>
      <c r="Y294" s="609" t="s">
        <v>1507</v>
      </c>
      <c r="Z294" s="609">
        <v>1.3031</v>
      </c>
      <c r="AA294" s="616">
        <f t="shared" si="83"/>
        <v>5035.1784</v>
      </c>
      <c r="AC294" s="617" t="s">
        <v>6791</v>
      </c>
      <c r="AD294" s="610" t="s">
        <v>6128</v>
      </c>
      <c r="AE294" s="610" t="s">
        <v>82</v>
      </c>
      <c r="AF294" s="610"/>
      <c r="AG294" s="610" t="s">
        <v>74</v>
      </c>
      <c r="AH294" s="610"/>
      <c r="AI294" s="610">
        <v>3864</v>
      </c>
      <c r="AJ294" s="610">
        <f t="shared" si="77"/>
        <v>0</v>
      </c>
      <c r="AK294" s="610"/>
      <c r="AL294" s="610"/>
      <c r="AM294" s="610"/>
      <c r="AN294" s="610">
        <f>I294*2</f>
        <v>7728</v>
      </c>
      <c r="AQ294" s="554">
        <f>I294*2</f>
        <v>7728</v>
      </c>
      <c r="AR294" s="619"/>
      <c r="AS294" s="548"/>
      <c r="AT294" s="548"/>
      <c r="AU294" s="554">
        <f>I294*2</f>
        <v>7728</v>
      </c>
      <c r="AW294" s="619"/>
      <c r="AX294" s="548"/>
      <c r="AY294" s="548"/>
      <c r="AZ294" s="548"/>
      <c r="BA294" s="548"/>
      <c r="BB294" s="249">
        <f>I294/24*2</f>
        <v>322</v>
      </c>
      <c r="BY294" s="619"/>
      <c r="BZ294" s="548"/>
      <c r="CA294" s="621"/>
      <c r="CB294" s="567"/>
      <c r="CC294" s="622"/>
      <c r="CD294" s="619"/>
      <c r="CE294" s="619"/>
      <c r="CF294" s="548"/>
      <c r="CG294" s="548"/>
      <c r="CR294" s="554">
        <f>I294</f>
        <v>3864</v>
      </c>
      <c r="CS294" s="554">
        <f>I294</f>
        <v>3864</v>
      </c>
      <c r="CT294" s="554">
        <f>I294</f>
        <v>3864</v>
      </c>
      <c r="CU294" s="554">
        <f t="shared" si="75"/>
        <v>0</v>
      </c>
      <c r="CV294" s="554">
        <f t="shared" si="73"/>
        <v>0</v>
      </c>
      <c r="CW294" s="554">
        <f t="shared" si="74"/>
        <v>0</v>
      </c>
      <c r="CX294" s="619"/>
      <c r="CY294" s="619"/>
      <c r="CZ294" s="619"/>
      <c r="DA294" s="548"/>
      <c r="DB294" s="548"/>
      <c r="DC294" s="548"/>
      <c r="DD294" s="619"/>
      <c r="DE294" s="619"/>
      <c r="DF294" s="619"/>
      <c r="DG294" s="619"/>
      <c r="DH294" s="619"/>
    </row>
    <row r="295" s="548" customFormat="1" ht="31" customHeight="1" spans="1:112">
      <c r="A295" s="608">
        <v>45824</v>
      </c>
      <c r="B295" s="609" t="s">
        <v>3815</v>
      </c>
      <c r="C295" s="610" t="s">
        <v>98</v>
      </c>
      <c r="D295" s="554">
        <v>4500169546</v>
      </c>
      <c r="E295" s="610" t="s">
        <v>6792</v>
      </c>
      <c r="F295" s="554" t="s">
        <v>6793</v>
      </c>
      <c r="G295" s="610" t="s">
        <v>6787</v>
      </c>
      <c r="H295" s="610" t="s">
        <v>6126</v>
      </c>
      <c r="I295" s="610">
        <v>4332</v>
      </c>
      <c r="J295" s="610">
        <v>0</v>
      </c>
      <c r="K295" s="610">
        <v>12</v>
      </c>
      <c r="L295" s="611">
        <f t="shared" si="82"/>
        <v>361</v>
      </c>
      <c r="M295" s="612">
        <v>45849</v>
      </c>
      <c r="N295" s="612">
        <v>45845</v>
      </c>
      <c r="O295" s="613"/>
      <c r="P295" s="613" t="s">
        <v>113</v>
      </c>
      <c r="Q295" s="610"/>
      <c r="R295" s="614" t="s">
        <v>6788</v>
      </c>
      <c r="S295" s="614" t="s">
        <v>104</v>
      </c>
      <c r="T295" s="614" t="s">
        <v>6789</v>
      </c>
      <c r="U295" s="614"/>
      <c r="V295" s="614"/>
      <c r="W295" s="615"/>
      <c r="X295" s="609" t="s">
        <v>6794</v>
      </c>
      <c r="Y295" s="609" t="s">
        <v>1507</v>
      </c>
      <c r="Z295" s="609">
        <v>1.3031</v>
      </c>
      <c r="AA295" s="616">
        <f t="shared" si="83"/>
        <v>5645.0292</v>
      </c>
      <c r="AC295" s="617" t="s">
        <v>6795</v>
      </c>
      <c r="AD295" s="610" t="s">
        <v>6128</v>
      </c>
      <c r="AE295" s="610" t="s">
        <v>82</v>
      </c>
      <c r="AF295" s="610"/>
      <c r="AG295" s="610" t="s">
        <v>74</v>
      </c>
      <c r="AH295" s="610"/>
      <c r="AI295" s="610">
        <v>4332</v>
      </c>
      <c r="AJ295" s="610">
        <f t="shared" si="77"/>
        <v>0</v>
      </c>
      <c r="AK295" s="610"/>
      <c r="AL295" s="610"/>
      <c r="AM295" s="610"/>
      <c r="AN295" s="610">
        <f>I295*2</f>
        <v>8664</v>
      </c>
      <c r="AQ295" s="554">
        <f>I295*2</f>
        <v>8664</v>
      </c>
      <c r="AR295" s="619"/>
      <c r="AS295" s="548"/>
      <c r="AT295" s="548"/>
      <c r="AU295" s="554">
        <f>I295*2</f>
        <v>8664</v>
      </c>
      <c r="AW295" s="619"/>
      <c r="AX295" s="548"/>
      <c r="AY295" s="548"/>
      <c r="AZ295" s="548"/>
      <c r="BA295" s="548"/>
      <c r="BB295" s="249">
        <f>I295/24*2</f>
        <v>361</v>
      </c>
      <c r="BY295" s="619"/>
      <c r="BZ295" s="548"/>
      <c r="CA295" s="621"/>
      <c r="CB295" s="567"/>
      <c r="CC295" s="622"/>
      <c r="CD295" s="619"/>
      <c r="CE295" s="619"/>
      <c r="CF295" s="548"/>
      <c r="CG295" s="548"/>
      <c r="CR295" s="554">
        <f>I295</f>
        <v>4332</v>
      </c>
      <c r="CS295" s="554">
        <f>I295</f>
        <v>4332</v>
      </c>
      <c r="CT295" s="554">
        <f>I295</f>
        <v>4332</v>
      </c>
      <c r="CU295" s="554">
        <f t="shared" si="75"/>
        <v>0</v>
      </c>
      <c r="CV295" s="554">
        <f t="shared" si="73"/>
        <v>0</v>
      </c>
      <c r="CW295" s="554">
        <f t="shared" si="74"/>
        <v>0</v>
      </c>
      <c r="CX295" s="619"/>
      <c r="CY295" s="619"/>
      <c r="CZ295" s="619"/>
      <c r="DA295" s="548"/>
      <c r="DB295" s="548"/>
      <c r="DC295" s="548"/>
      <c r="DD295" s="619"/>
      <c r="DE295" s="619"/>
      <c r="DF295" s="619"/>
      <c r="DG295" s="619"/>
      <c r="DH295" s="619"/>
    </row>
    <row r="296" s="548" customFormat="1" ht="31" customHeight="1" spans="1:112">
      <c r="A296" s="608">
        <v>45806</v>
      </c>
      <c r="B296" s="609" t="s">
        <v>143</v>
      </c>
      <c r="C296" s="610" t="s">
        <v>98</v>
      </c>
      <c r="D296" s="554">
        <v>4500168369</v>
      </c>
      <c r="E296" s="613">
        <v>907594611</v>
      </c>
      <c r="F296" s="554" t="s">
        <v>6796</v>
      </c>
      <c r="G296" s="610" t="s">
        <v>6063</v>
      </c>
      <c r="H296" s="610" t="s">
        <v>6064</v>
      </c>
      <c r="I296" s="610">
        <v>11312</v>
      </c>
      <c r="J296" s="610">
        <v>0</v>
      </c>
      <c r="K296" s="610">
        <v>16</v>
      </c>
      <c r="L296" s="611">
        <f t="shared" si="82"/>
        <v>707</v>
      </c>
      <c r="M296" s="612">
        <v>45842</v>
      </c>
      <c r="N296" s="612">
        <v>45847</v>
      </c>
      <c r="O296" s="613" t="s">
        <v>996</v>
      </c>
      <c r="P296" s="613" t="s">
        <v>113</v>
      </c>
      <c r="Q296" s="610"/>
      <c r="R296" s="614" t="s">
        <v>6762</v>
      </c>
      <c r="S296" s="614" t="s">
        <v>70</v>
      </c>
      <c r="T296" s="614" t="s">
        <v>148</v>
      </c>
      <c r="U296" s="614"/>
      <c r="V296" s="614"/>
      <c r="W296" s="615"/>
      <c r="X296" s="609" t="s">
        <v>6651</v>
      </c>
      <c r="Y296" s="609" t="s">
        <v>106</v>
      </c>
      <c r="Z296" s="609">
        <v>0.5905</v>
      </c>
      <c r="AA296" s="616">
        <f t="shared" si="83"/>
        <v>6679.736</v>
      </c>
      <c r="AC296" s="617" t="s">
        <v>6797</v>
      </c>
      <c r="AD296" s="610" t="s">
        <v>6063</v>
      </c>
      <c r="AE296" s="610" t="s">
        <v>82</v>
      </c>
      <c r="AF296" s="610"/>
      <c r="AG296" s="610" t="s">
        <v>74</v>
      </c>
      <c r="AH296" s="610"/>
      <c r="AI296" s="610">
        <v>11312</v>
      </c>
      <c r="AJ296" s="610">
        <f t="shared" si="77"/>
        <v>0</v>
      </c>
      <c r="AK296" s="610"/>
      <c r="AL296" s="610"/>
      <c r="AM296" s="610"/>
      <c r="AN296" s="610">
        <f>I296</f>
        <v>11312</v>
      </c>
      <c r="AP296" s="554">
        <f>I296</f>
        <v>11312</v>
      </c>
      <c r="AR296" s="619"/>
      <c r="AS296" s="548"/>
      <c r="AT296" s="548"/>
      <c r="AU296" s="554">
        <f>I296</f>
        <v>11312</v>
      </c>
      <c r="AW296" s="619"/>
      <c r="AX296" s="548"/>
      <c r="AY296" s="548"/>
      <c r="AZ296" s="548"/>
      <c r="BA296" s="548"/>
      <c r="BB296" s="620">
        <f>I296/48</f>
        <v>235.666666666667</v>
      </c>
      <c r="BQ296" s="554">
        <f>I296/16</f>
        <v>707</v>
      </c>
      <c r="BY296" s="619"/>
      <c r="BZ296" s="548"/>
      <c r="CA296" s="621"/>
      <c r="CB296" s="567"/>
      <c r="CC296" s="622"/>
      <c r="CD296" s="619"/>
      <c r="CE296" s="619"/>
      <c r="CF296" s="548"/>
      <c r="CG296" s="548"/>
      <c r="CU296" s="554">
        <f t="shared" si="75"/>
        <v>707</v>
      </c>
      <c r="CV296" s="554">
        <f t="shared" si="73"/>
        <v>0</v>
      </c>
      <c r="CW296" s="554">
        <f t="shared" si="74"/>
        <v>0</v>
      </c>
      <c r="CX296" s="619"/>
      <c r="CY296" s="619"/>
      <c r="CZ296" s="619"/>
      <c r="DA296" s="548"/>
      <c r="DB296" s="548"/>
      <c r="DC296" s="548"/>
      <c r="DD296" s="619"/>
      <c r="DE296" s="619"/>
      <c r="DF296" s="619"/>
      <c r="DG296" s="619"/>
      <c r="DH296" s="619"/>
    </row>
    <row r="297" s="548" customFormat="1" ht="31" customHeight="1" spans="1:112">
      <c r="A297" s="608">
        <v>45806</v>
      </c>
      <c r="B297" s="609" t="s">
        <v>143</v>
      </c>
      <c r="C297" s="610" t="s">
        <v>98</v>
      </c>
      <c r="D297" s="554">
        <v>4500168369</v>
      </c>
      <c r="E297" s="613">
        <v>907594630</v>
      </c>
      <c r="F297" s="554" t="s">
        <v>6798</v>
      </c>
      <c r="G297" s="610" t="s">
        <v>6063</v>
      </c>
      <c r="H297" s="610" t="s">
        <v>6064</v>
      </c>
      <c r="I297" s="610">
        <v>9776</v>
      </c>
      <c r="J297" s="610">
        <v>0</v>
      </c>
      <c r="K297" s="610">
        <v>16</v>
      </c>
      <c r="L297" s="611">
        <f t="shared" si="82"/>
        <v>611</v>
      </c>
      <c r="M297" s="612">
        <v>45842</v>
      </c>
      <c r="N297" s="612">
        <v>45847</v>
      </c>
      <c r="O297" s="613" t="s">
        <v>996</v>
      </c>
      <c r="P297" s="613" t="s">
        <v>113</v>
      </c>
      <c r="Q297" s="610"/>
      <c r="R297" s="614" t="s">
        <v>6762</v>
      </c>
      <c r="S297" s="614" t="s">
        <v>70</v>
      </c>
      <c r="T297" s="614" t="s">
        <v>148</v>
      </c>
      <c r="U297" s="614"/>
      <c r="V297" s="614"/>
      <c r="W297" s="615"/>
      <c r="X297" s="609" t="s">
        <v>6651</v>
      </c>
      <c r="Y297" s="609" t="s">
        <v>106</v>
      </c>
      <c r="Z297" s="609">
        <v>0.5936</v>
      </c>
      <c r="AA297" s="616">
        <f t="shared" si="83"/>
        <v>5803.0336</v>
      </c>
      <c r="AC297" s="617" t="s">
        <v>6799</v>
      </c>
      <c r="AD297" s="610" t="s">
        <v>6063</v>
      </c>
      <c r="AE297" s="610" t="s">
        <v>82</v>
      </c>
      <c r="AF297" s="610"/>
      <c r="AG297" s="610" t="s">
        <v>74</v>
      </c>
      <c r="AH297" s="610"/>
      <c r="AI297" s="610">
        <v>9776</v>
      </c>
      <c r="AJ297" s="610">
        <f t="shared" si="77"/>
        <v>0</v>
      </c>
      <c r="AK297" s="610"/>
      <c r="AL297" s="610"/>
      <c r="AM297" s="610"/>
      <c r="AN297" s="610">
        <f>I297</f>
        <v>9776</v>
      </c>
      <c r="AP297" s="554">
        <f>I297</f>
        <v>9776</v>
      </c>
      <c r="AR297" s="619"/>
      <c r="AS297" s="548"/>
      <c r="AT297" s="548"/>
      <c r="AU297" s="554">
        <f>I297</f>
        <v>9776</v>
      </c>
      <c r="AW297" s="619"/>
      <c r="AX297" s="548"/>
      <c r="AY297" s="548"/>
      <c r="AZ297" s="548"/>
      <c r="BA297" s="548"/>
      <c r="BB297" s="620">
        <f>I297/48</f>
        <v>203.666666666667</v>
      </c>
      <c r="BQ297" s="554">
        <f>I297/16</f>
        <v>611</v>
      </c>
      <c r="BY297" s="619"/>
      <c r="BZ297" s="548"/>
      <c r="CA297" s="621"/>
      <c r="CB297" s="567"/>
      <c r="CC297" s="622"/>
      <c r="CD297" s="619"/>
      <c r="CE297" s="619"/>
      <c r="CF297" s="548"/>
      <c r="CG297" s="548"/>
      <c r="CU297" s="554">
        <f t="shared" si="75"/>
        <v>611</v>
      </c>
      <c r="CV297" s="554">
        <f t="shared" si="73"/>
        <v>0</v>
      </c>
      <c r="CW297" s="554">
        <f t="shared" si="74"/>
        <v>0</v>
      </c>
      <c r="CX297" s="619"/>
      <c r="CY297" s="619"/>
      <c r="CZ297" s="619"/>
      <c r="DA297" s="548"/>
      <c r="DB297" s="548"/>
      <c r="DC297" s="548"/>
      <c r="DD297" s="619"/>
      <c r="DE297" s="619"/>
      <c r="DF297" s="619"/>
      <c r="DG297" s="619"/>
      <c r="DH297" s="619"/>
    </row>
    <row r="298" s="548" customFormat="1" ht="31" customHeight="1" spans="1:112">
      <c r="A298" s="608">
        <v>45806</v>
      </c>
      <c r="B298" s="609" t="s">
        <v>143</v>
      </c>
      <c r="C298" s="610" t="s">
        <v>98</v>
      </c>
      <c r="D298" s="554">
        <v>4500168376</v>
      </c>
      <c r="E298" s="613">
        <v>907594941</v>
      </c>
      <c r="F298" s="554" t="s">
        <v>6800</v>
      </c>
      <c r="G298" s="610" t="s">
        <v>6063</v>
      </c>
      <c r="H298" s="610" t="s">
        <v>6064</v>
      </c>
      <c r="I298" s="610">
        <v>9888</v>
      </c>
      <c r="J298" s="610">
        <v>0</v>
      </c>
      <c r="K298" s="610">
        <v>16</v>
      </c>
      <c r="L298" s="611">
        <f t="shared" si="82"/>
        <v>618</v>
      </c>
      <c r="M298" s="612">
        <v>45847</v>
      </c>
      <c r="N298" s="612">
        <v>45847</v>
      </c>
      <c r="O298" s="613" t="s">
        <v>996</v>
      </c>
      <c r="P298" s="613" t="s">
        <v>113</v>
      </c>
      <c r="Q298" s="610"/>
      <c r="R298" s="614" t="s">
        <v>6762</v>
      </c>
      <c r="S298" s="614" t="s">
        <v>70</v>
      </c>
      <c r="T298" s="614" t="s">
        <v>148</v>
      </c>
      <c r="U298" s="614"/>
      <c r="V298" s="614"/>
      <c r="W298" s="615"/>
      <c r="X298" s="609" t="s">
        <v>6651</v>
      </c>
      <c r="Y298" s="609" t="s">
        <v>106</v>
      </c>
      <c r="Z298" s="609">
        <v>0.5936</v>
      </c>
      <c r="AA298" s="616">
        <f t="shared" si="83"/>
        <v>5869.5168</v>
      </c>
      <c r="AC298" s="617" t="s">
        <v>6801</v>
      </c>
      <c r="AD298" s="610" t="s">
        <v>6063</v>
      </c>
      <c r="AE298" s="610" t="s">
        <v>82</v>
      </c>
      <c r="AF298" s="610"/>
      <c r="AG298" s="610" t="s">
        <v>74</v>
      </c>
      <c r="AH298" s="610"/>
      <c r="AI298" s="610">
        <v>9888</v>
      </c>
      <c r="AJ298" s="610">
        <f t="shared" si="77"/>
        <v>0</v>
      </c>
      <c r="AK298" s="610"/>
      <c r="AL298" s="610"/>
      <c r="AM298" s="610"/>
      <c r="AN298" s="610">
        <f>I298</f>
        <v>9888</v>
      </c>
      <c r="AP298" s="554">
        <f>I298</f>
        <v>9888</v>
      </c>
      <c r="AR298" s="619"/>
      <c r="AS298" s="548"/>
      <c r="AT298" s="548"/>
      <c r="AU298" s="554">
        <f>I298</f>
        <v>9888</v>
      </c>
      <c r="AW298" s="619"/>
      <c r="AX298" s="548"/>
      <c r="AY298" s="548"/>
      <c r="AZ298" s="548"/>
      <c r="BA298" s="548"/>
      <c r="BB298" s="620">
        <f>I298/48</f>
        <v>206</v>
      </c>
      <c r="BQ298" s="554">
        <f>I298/16</f>
        <v>618</v>
      </c>
      <c r="BY298" s="619"/>
      <c r="BZ298" s="548"/>
      <c r="CA298" s="621"/>
      <c r="CB298" s="567"/>
      <c r="CC298" s="622"/>
      <c r="CD298" s="619"/>
      <c r="CE298" s="619"/>
      <c r="CF298" s="548"/>
      <c r="CG298" s="548"/>
      <c r="CU298" s="554">
        <f t="shared" si="75"/>
        <v>618</v>
      </c>
      <c r="CV298" s="554">
        <f t="shared" si="73"/>
        <v>0</v>
      </c>
      <c r="CW298" s="554">
        <f t="shared" si="74"/>
        <v>0</v>
      </c>
      <c r="CX298" s="619"/>
      <c r="CY298" s="619"/>
      <c r="CZ298" s="619"/>
      <c r="DA298" s="548"/>
      <c r="DB298" s="548"/>
      <c r="DC298" s="548"/>
      <c r="DD298" s="619"/>
      <c r="DE298" s="619"/>
      <c r="DF298" s="619"/>
      <c r="DG298" s="619"/>
      <c r="DH298" s="619"/>
    </row>
    <row r="299" s="548" customFormat="1" ht="31" customHeight="1" spans="1:112">
      <c r="A299" s="608">
        <v>45806</v>
      </c>
      <c r="B299" s="609" t="s">
        <v>143</v>
      </c>
      <c r="C299" s="610" t="s">
        <v>98</v>
      </c>
      <c r="D299" s="554">
        <v>4500168376</v>
      </c>
      <c r="E299" s="613">
        <v>907594923</v>
      </c>
      <c r="F299" s="554" t="s">
        <v>6802</v>
      </c>
      <c r="G299" s="610" t="s">
        <v>6063</v>
      </c>
      <c r="H299" s="610" t="s">
        <v>6064</v>
      </c>
      <c r="I299" s="610">
        <v>11488</v>
      </c>
      <c r="J299" s="610">
        <v>0</v>
      </c>
      <c r="K299" s="610">
        <v>16</v>
      </c>
      <c r="L299" s="611">
        <f t="shared" si="82"/>
        <v>718</v>
      </c>
      <c r="M299" s="612">
        <v>45847</v>
      </c>
      <c r="N299" s="612">
        <v>45849</v>
      </c>
      <c r="O299" s="613" t="s">
        <v>1053</v>
      </c>
      <c r="P299" s="613" t="s">
        <v>113</v>
      </c>
      <c r="Q299" s="610"/>
      <c r="R299" s="614" t="s">
        <v>6762</v>
      </c>
      <c r="S299" s="614" t="s">
        <v>70</v>
      </c>
      <c r="T299" s="614" t="s">
        <v>148</v>
      </c>
      <c r="U299" s="614"/>
      <c r="V299" s="614"/>
      <c r="W299" s="615"/>
      <c r="X299" s="609" t="s">
        <v>6651</v>
      </c>
      <c r="Y299" s="609" t="s">
        <v>106</v>
      </c>
      <c r="Z299" s="609">
        <v>0.5905</v>
      </c>
      <c r="AA299" s="616">
        <f t="shared" si="83"/>
        <v>6783.664</v>
      </c>
      <c r="AC299" s="617" t="s">
        <v>6803</v>
      </c>
      <c r="AD299" s="610" t="s">
        <v>6063</v>
      </c>
      <c r="AE299" s="610" t="s">
        <v>82</v>
      </c>
      <c r="AF299" s="610"/>
      <c r="AG299" s="610" t="s">
        <v>74</v>
      </c>
      <c r="AH299" s="610"/>
      <c r="AI299" s="610">
        <v>11488</v>
      </c>
      <c r="AJ299" s="610">
        <f t="shared" si="77"/>
        <v>0</v>
      </c>
      <c r="AK299" s="610"/>
      <c r="AL299" s="610"/>
      <c r="AM299" s="610"/>
      <c r="AN299" s="610">
        <f>I299</f>
        <v>11488</v>
      </c>
      <c r="AP299" s="554">
        <f>I299</f>
        <v>11488</v>
      </c>
      <c r="AR299" s="619"/>
      <c r="AS299" s="548"/>
      <c r="AT299" s="548"/>
      <c r="AU299" s="554">
        <f>I299</f>
        <v>11488</v>
      </c>
      <c r="AW299" s="619"/>
      <c r="AX299" s="548"/>
      <c r="AY299" s="548"/>
      <c r="AZ299" s="548"/>
      <c r="BA299" s="548"/>
      <c r="BB299" s="620">
        <f>I299/48</f>
        <v>239.333333333333</v>
      </c>
      <c r="BQ299" s="554">
        <f>I299/16</f>
        <v>718</v>
      </c>
      <c r="BY299" s="619"/>
      <c r="BZ299" s="548"/>
      <c r="CA299" s="621"/>
      <c r="CB299" s="567"/>
      <c r="CC299" s="622"/>
      <c r="CD299" s="619"/>
      <c r="CE299" s="619"/>
      <c r="CF299" s="548"/>
      <c r="CG299" s="548"/>
      <c r="CU299" s="554">
        <f t="shared" si="75"/>
        <v>718</v>
      </c>
      <c r="CV299" s="554">
        <f t="shared" si="73"/>
        <v>0</v>
      </c>
      <c r="CW299" s="554">
        <f t="shared" si="74"/>
        <v>0</v>
      </c>
      <c r="CX299" s="619"/>
      <c r="CY299" s="619"/>
      <c r="CZ299" s="619"/>
      <c r="DA299" s="548"/>
      <c r="DB299" s="548"/>
      <c r="DC299" s="548"/>
      <c r="DD299" s="619"/>
      <c r="DE299" s="619"/>
      <c r="DF299" s="619"/>
      <c r="DG299" s="619"/>
      <c r="DH299" s="619"/>
    </row>
    <row r="300" s="548" customFormat="1" ht="31" customHeight="1" spans="1:112">
      <c r="A300" s="608">
        <v>45804</v>
      </c>
      <c r="B300" s="609" t="s">
        <v>246</v>
      </c>
      <c r="C300" s="610" t="s">
        <v>98</v>
      </c>
      <c r="D300" s="554">
        <v>4500168048</v>
      </c>
      <c r="E300" s="610" t="s">
        <v>6804</v>
      </c>
      <c r="F300" s="554" t="s">
        <v>6805</v>
      </c>
      <c r="G300" s="610" t="s">
        <v>6084</v>
      </c>
      <c r="H300" s="610" t="s">
        <v>6069</v>
      </c>
      <c r="I300" s="610">
        <v>20300</v>
      </c>
      <c r="J300" s="610">
        <v>0</v>
      </c>
      <c r="K300" s="610">
        <v>25</v>
      </c>
      <c r="L300" s="611">
        <f t="shared" si="82"/>
        <v>812</v>
      </c>
      <c r="M300" s="612">
        <v>45848</v>
      </c>
      <c r="N300" s="612">
        <v>45849</v>
      </c>
      <c r="O300" s="613"/>
      <c r="P300" s="613" t="s">
        <v>113</v>
      </c>
      <c r="Q300" s="610"/>
      <c r="R300" s="614">
        <v>45813</v>
      </c>
      <c r="S300" s="614" t="s">
        <v>104</v>
      </c>
      <c r="T300" s="614" t="s">
        <v>6806</v>
      </c>
      <c r="U300" s="614"/>
      <c r="V300" s="614"/>
      <c r="W300" s="615"/>
      <c r="X300" s="609" t="s">
        <v>6807</v>
      </c>
      <c r="Y300" s="609" t="s">
        <v>252</v>
      </c>
      <c r="Z300" s="609">
        <v>0.5488</v>
      </c>
      <c r="AA300" s="616">
        <f t="shared" si="83"/>
        <v>11140.64</v>
      </c>
      <c r="AC300" s="617" t="s">
        <v>6808</v>
      </c>
      <c r="AD300" s="610" t="s">
        <v>6084</v>
      </c>
      <c r="AE300" s="610" t="s">
        <v>82</v>
      </c>
      <c r="AF300" s="610"/>
      <c r="AG300" s="610" t="s">
        <v>74</v>
      </c>
      <c r="AH300" s="610"/>
      <c r="AI300" s="610">
        <f>6750+2625+10925</f>
        <v>20300</v>
      </c>
      <c r="AJ300" s="610">
        <f t="shared" si="77"/>
        <v>0</v>
      </c>
      <c r="AK300" s="610"/>
      <c r="AL300" s="610"/>
      <c r="AM300" s="610"/>
      <c r="AN300" s="610">
        <f>I300</f>
        <v>20300</v>
      </c>
      <c r="AP300" s="554">
        <f>I300</f>
        <v>20300</v>
      </c>
      <c r="AR300" s="619"/>
      <c r="AS300" s="548"/>
      <c r="AT300" s="548"/>
      <c r="AU300" s="554">
        <f>I300</f>
        <v>20300</v>
      </c>
      <c r="AW300" s="619"/>
      <c r="AX300" s="548"/>
      <c r="AY300" s="548"/>
      <c r="AZ300" s="548"/>
      <c r="BA300" s="548"/>
      <c r="BB300" s="620">
        <f>I300/48</f>
        <v>422.916666666667</v>
      </c>
      <c r="BN300" s="554">
        <f>I300/25</f>
        <v>812</v>
      </c>
      <c r="BY300" s="619"/>
      <c r="BZ300" s="548"/>
      <c r="CA300" s="621"/>
      <c r="CB300" s="567"/>
      <c r="CC300" s="622"/>
      <c r="CD300" s="619"/>
      <c r="CE300" s="619"/>
      <c r="CF300" s="548"/>
      <c r="CG300" s="548"/>
      <c r="CU300" s="554">
        <f t="shared" si="75"/>
        <v>812</v>
      </c>
      <c r="CV300" s="554">
        <f t="shared" si="73"/>
        <v>0</v>
      </c>
      <c r="CW300" s="554">
        <f t="shared" si="74"/>
        <v>0</v>
      </c>
      <c r="CX300" s="619"/>
      <c r="CY300" s="619"/>
      <c r="CZ300" s="619"/>
      <c r="DA300" s="548"/>
      <c r="DB300" s="548"/>
      <c r="DC300" s="548"/>
      <c r="DD300" s="619"/>
      <c r="DE300" s="619"/>
      <c r="DF300" s="619"/>
      <c r="DG300" s="619"/>
      <c r="DH300" s="619"/>
    </row>
    <row r="301" s="548" customFormat="1" ht="31" customHeight="1" spans="1:112">
      <c r="A301" s="608">
        <v>45813</v>
      </c>
      <c r="B301" s="609" t="s">
        <v>139</v>
      </c>
      <c r="C301" s="610" t="s">
        <v>76</v>
      </c>
      <c r="D301" s="554">
        <v>4500169043</v>
      </c>
      <c r="E301" s="610">
        <v>20882956</v>
      </c>
      <c r="F301" s="554" t="s">
        <v>6809</v>
      </c>
      <c r="G301" s="610" t="s">
        <v>6093</v>
      </c>
      <c r="H301" s="610" t="s">
        <v>6094</v>
      </c>
      <c r="I301" s="610">
        <v>299</v>
      </c>
      <c r="J301" s="610">
        <v>0</v>
      </c>
      <c r="K301" s="610">
        <v>13</v>
      </c>
      <c r="L301" s="611">
        <f t="shared" si="82"/>
        <v>23</v>
      </c>
      <c r="M301" s="612">
        <v>45852</v>
      </c>
      <c r="N301" s="612">
        <v>45848</v>
      </c>
      <c r="O301" s="613"/>
      <c r="P301" s="613" t="s">
        <v>113</v>
      </c>
      <c r="Q301" s="610"/>
      <c r="R301" s="614">
        <v>45820</v>
      </c>
      <c r="S301" s="614" t="s">
        <v>104</v>
      </c>
      <c r="T301" s="614">
        <v>45831</v>
      </c>
      <c r="U301" s="614"/>
      <c r="V301" s="614"/>
      <c r="W301" s="615"/>
      <c r="X301" s="609" t="s">
        <v>6810</v>
      </c>
      <c r="Y301" s="609" t="s">
        <v>133</v>
      </c>
      <c r="Z301" s="609">
        <v>0.9526</v>
      </c>
      <c r="AA301" s="616">
        <f t="shared" si="83"/>
        <v>284.8274</v>
      </c>
      <c r="AC301" s="617" t="s">
        <v>6811</v>
      </c>
      <c r="AD301" s="610" t="s">
        <v>6093</v>
      </c>
      <c r="AE301" s="610" t="s">
        <v>82</v>
      </c>
      <c r="AF301" s="610"/>
      <c r="AG301" s="610" t="s">
        <v>74</v>
      </c>
      <c r="AH301" s="610"/>
      <c r="AI301" s="610">
        <v>299</v>
      </c>
      <c r="AJ301" s="610">
        <f t="shared" si="77"/>
        <v>0</v>
      </c>
      <c r="AK301" s="610"/>
      <c r="AL301" s="610"/>
      <c r="AM301" s="610"/>
      <c r="AN301" s="610"/>
      <c r="AO301" s="554">
        <f>I301</f>
        <v>299</v>
      </c>
      <c r="AR301" s="619"/>
      <c r="AS301" s="548"/>
      <c r="AT301" s="554">
        <f>I301</f>
        <v>299</v>
      </c>
      <c r="AV301" s="554">
        <f>I301</f>
        <v>299</v>
      </c>
      <c r="AW301" s="619"/>
      <c r="AX301" s="548"/>
      <c r="AY301" s="548"/>
      <c r="AZ301" s="548"/>
      <c r="BA301" s="548"/>
      <c r="BB301" s="620">
        <f>I301/24</f>
        <v>12.4583333333333</v>
      </c>
      <c r="BM301" s="554">
        <f>I301/13</f>
        <v>23</v>
      </c>
      <c r="BY301" s="619"/>
      <c r="BZ301" s="548"/>
      <c r="CA301" s="621"/>
      <c r="CB301" s="567"/>
      <c r="CC301" s="622"/>
      <c r="CD301" s="619"/>
      <c r="CE301" s="619"/>
      <c r="CF301" s="548"/>
      <c r="CG301" s="548"/>
      <c r="CU301" s="554">
        <f t="shared" si="75"/>
        <v>0</v>
      </c>
      <c r="CV301" s="554">
        <f t="shared" si="73"/>
        <v>0</v>
      </c>
      <c r="CW301" s="554">
        <f t="shared" si="74"/>
        <v>0</v>
      </c>
      <c r="CX301" s="619"/>
      <c r="CY301" s="619"/>
      <c r="CZ301" s="619"/>
      <c r="DA301" s="548"/>
      <c r="DB301" s="548"/>
      <c r="DC301" s="548"/>
      <c r="DD301" s="619"/>
      <c r="DE301" s="619"/>
      <c r="DF301" s="619"/>
      <c r="DG301" s="619"/>
      <c r="DH301" s="619"/>
    </row>
    <row r="302" s="548" customFormat="1" ht="31" customHeight="1" spans="1:112">
      <c r="A302" s="608">
        <v>45813</v>
      </c>
      <c r="B302" s="609" t="s">
        <v>135</v>
      </c>
      <c r="C302" s="610" t="s">
        <v>128</v>
      </c>
      <c r="D302" s="554">
        <v>4500169040</v>
      </c>
      <c r="E302" s="610">
        <v>20882955</v>
      </c>
      <c r="F302" s="554" t="s">
        <v>6812</v>
      </c>
      <c r="G302" s="610" t="s">
        <v>6093</v>
      </c>
      <c r="H302" s="610" t="s">
        <v>6094</v>
      </c>
      <c r="I302" s="610">
        <v>2899</v>
      </c>
      <c r="J302" s="610">
        <v>0</v>
      </c>
      <c r="K302" s="610">
        <v>13</v>
      </c>
      <c r="L302" s="611">
        <f t="shared" si="82"/>
        <v>223</v>
      </c>
      <c r="M302" s="612">
        <v>45852</v>
      </c>
      <c r="N302" s="612">
        <v>45848</v>
      </c>
      <c r="O302" s="613"/>
      <c r="P302" s="613" t="s">
        <v>113</v>
      </c>
      <c r="Q302" s="610"/>
      <c r="R302" s="614">
        <v>45820</v>
      </c>
      <c r="S302" s="614" t="s">
        <v>104</v>
      </c>
      <c r="T302" s="614">
        <v>45831</v>
      </c>
      <c r="U302" s="614"/>
      <c r="V302" s="614"/>
      <c r="W302" s="615"/>
      <c r="X302" s="609" t="s">
        <v>6813</v>
      </c>
      <c r="Y302" s="609" t="s">
        <v>133</v>
      </c>
      <c r="Z302" s="609">
        <v>0.9475</v>
      </c>
      <c r="AA302" s="616">
        <f t="shared" si="83"/>
        <v>2746.8025</v>
      </c>
      <c r="AC302" s="617" t="s">
        <v>6814</v>
      </c>
      <c r="AD302" s="610" t="s">
        <v>6093</v>
      </c>
      <c r="AE302" s="610" t="s">
        <v>82</v>
      </c>
      <c r="AF302" s="610"/>
      <c r="AG302" s="610" t="s">
        <v>74</v>
      </c>
      <c r="AH302" s="610"/>
      <c r="AI302" s="610">
        <v>2899</v>
      </c>
      <c r="AJ302" s="610">
        <f t="shared" si="77"/>
        <v>0</v>
      </c>
      <c r="AK302" s="610"/>
      <c r="AL302" s="610"/>
      <c r="AM302" s="610"/>
      <c r="AN302" s="610"/>
      <c r="AO302" s="554">
        <f>I302</f>
        <v>2899</v>
      </c>
      <c r="AR302" s="619"/>
      <c r="AS302" s="548"/>
      <c r="AT302" s="554">
        <f>I302</f>
        <v>2899</v>
      </c>
      <c r="AV302" s="554">
        <f>I302</f>
        <v>2899</v>
      </c>
      <c r="AW302" s="619"/>
      <c r="AX302" s="548"/>
      <c r="AY302" s="548"/>
      <c r="AZ302" s="548"/>
      <c r="BA302" s="548"/>
      <c r="BB302" s="620">
        <f>I302/24</f>
        <v>120.791666666667</v>
      </c>
      <c r="BM302" s="554">
        <f>I302/13</f>
        <v>223</v>
      </c>
      <c r="BY302" s="619"/>
      <c r="BZ302" s="548"/>
      <c r="CA302" s="621"/>
      <c r="CB302" s="567"/>
      <c r="CC302" s="622"/>
      <c r="CD302" s="619"/>
      <c r="CE302" s="619"/>
      <c r="CF302" s="548"/>
      <c r="CG302" s="548"/>
      <c r="CU302" s="554">
        <f t="shared" si="75"/>
        <v>0</v>
      </c>
      <c r="CV302" s="554">
        <f t="shared" si="73"/>
        <v>0</v>
      </c>
      <c r="CW302" s="554">
        <f t="shared" si="74"/>
        <v>0</v>
      </c>
      <c r="CX302" s="619"/>
      <c r="CY302" s="619"/>
      <c r="CZ302" s="619"/>
      <c r="DA302" s="548"/>
      <c r="DB302" s="548"/>
      <c r="DC302" s="548"/>
      <c r="DD302" s="619"/>
      <c r="DE302" s="619"/>
      <c r="DF302" s="619"/>
      <c r="DG302" s="619"/>
      <c r="DH302" s="619"/>
    </row>
    <row r="303" s="548" customFormat="1" ht="31" customHeight="1" spans="1:112">
      <c r="A303" s="608">
        <v>45741</v>
      </c>
      <c r="B303" s="609" t="s">
        <v>907</v>
      </c>
      <c r="C303" s="610" t="s">
        <v>170</v>
      </c>
      <c r="D303" s="554">
        <v>4500161371</v>
      </c>
      <c r="E303" s="610"/>
      <c r="F303" s="554" t="s">
        <v>1012</v>
      </c>
      <c r="G303" s="610" t="s">
        <v>909</v>
      </c>
      <c r="H303" s="610" t="s">
        <v>830</v>
      </c>
      <c r="I303" s="610">
        <v>72</v>
      </c>
      <c r="J303" s="610">
        <v>0</v>
      </c>
      <c r="K303" s="610">
        <v>1</v>
      </c>
      <c r="L303" s="611">
        <f t="shared" si="82"/>
        <v>72</v>
      </c>
      <c r="M303" s="612">
        <v>45827</v>
      </c>
      <c r="N303" s="612">
        <v>45824</v>
      </c>
      <c r="O303" s="613" t="s">
        <v>6815</v>
      </c>
      <c r="P303" s="613" t="s">
        <v>113</v>
      </c>
      <c r="Q303" s="610" t="s">
        <v>6630</v>
      </c>
      <c r="R303" s="614">
        <v>45790</v>
      </c>
      <c r="S303" s="614" t="s">
        <v>70</v>
      </c>
      <c r="T303" s="614" t="s">
        <v>70</v>
      </c>
      <c r="U303" s="614"/>
      <c r="V303" s="614"/>
      <c r="W303" s="615"/>
      <c r="X303" s="628" t="s">
        <v>6816</v>
      </c>
      <c r="Y303" s="609" t="s">
        <v>911</v>
      </c>
      <c r="Z303" s="609">
        <v>0</v>
      </c>
      <c r="AA303" s="616">
        <f>Z303*L303</f>
        <v>0</v>
      </c>
      <c r="AC303" s="629" t="s">
        <v>1016</v>
      </c>
      <c r="AD303" s="610" t="s">
        <v>909</v>
      </c>
      <c r="AE303" s="610" t="s">
        <v>82</v>
      </c>
      <c r="AF303" s="610"/>
      <c r="AG303" s="610" t="s">
        <v>74</v>
      </c>
      <c r="AH303" s="610"/>
      <c r="AI303" s="610">
        <f>600+1250+3550</f>
        <v>5400</v>
      </c>
      <c r="AJ303" s="610">
        <f>AI303-I304</f>
        <v>0</v>
      </c>
      <c r="AK303" s="610"/>
      <c r="AL303" s="610"/>
      <c r="AM303" s="610"/>
      <c r="AN303" s="610"/>
      <c r="AO303" s="548"/>
      <c r="AP303" s="548"/>
      <c r="AQ303" s="548"/>
      <c r="AR303" s="619"/>
      <c r="AS303" s="548"/>
      <c r="AT303" s="548"/>
      <c r="AU303" s="548"/>
      <c r="AV303" s="548"/>
      <c r="AW303" s="619"/>
      <c r="AX303" s="548"/>
      <c r="AY303" s="548"/>
      <c r="AZ303" s="548"/>
      <c r="BA303" s="548"/>
      <c r="BB303" s="620"/>
      <c r="BC303" s="548"/>
      <c r="BD303" s="548"/>
      <c r="BE303" s="548"/>
      <c r="BF303" s="548"/>
      <c r="BY303" s="619"/>
      <c r="BZ303" s="548"/>
      <c r="CA303" s="621"/>
      <c r="CB303" s="567"/>
      <c r="CC303" s="622"/>
      <c r="CD303" s="619"/>
      <c r="CE303" s="619"/>
      <c r="CF303" s="548"/>
      <c r="CG303" s="548"/>
      <c r="CU303" s="554">
        <f t="shared" si="75"/>
        <v>0</v>
      </c>
      <c r="CV303" s="554">
        <f t="shared" si="73"/>
        <v>0</v>
      </c>
      <c r="CW303" s="554">
        <f t="shared" si="74"/>
        <v>0</v>
      </c>
      <c r="CX303" s="619"/>
      <c r="CY303" s="619"/>
      <c r="CZ303" s="619"/>
      <c r="DA303" s="548"/>
      <c r="DB303" s="548"/>
      <c r="DC303" s="548"/>
      <c r="DD303" s="619"/>
      <c r="DE303" s="619"/>
      <c r="DF303" s="619"/>
      <c r="DG303" s="619"/>
      <c r="DH303" s="619"/>
    </row>
    <row r="304" s="548" customFormat="1" ht="31" customHeight="1" spans="1:112">
      <c r="A304" s="608">
        <v>45741</v>
      </c>
      <c r="B304" s="609" t="s">
        <v>907</v>
      </c>
      <c r="C304" s="610" t="s">
        <v>170</v>
      </c>
      <c r="D304" s="554">
        <v>4500161371</v>
      </c>
      <c r="E304" s="610"/>
      <c r="F304" s="554" t="s">
        <v>1012</v>
      </c>
      <c r="G304" s="610">
        <v>77711</v>
      </c>
      <c r="H304" s="610" t="s">
        <v>6033</v>
      </c>
      <c r="I304" s="610">
        <v>5400</v>
      </c>
      <c r="J304" s="610">
        <v>0</v>
      </c>
      <c r="K304" s="610">
        <v>75</v>
      </c>
      <c r="L304" s="611">
        <f t="shared" si="82"/>
        <v>72</v>
      </c>
      <c r="M304" s="612">
        <v>45827</v>
      </c>
      <c r="N304" s="612">
        <v>45824</v>
      </c>
      <c r="O304" s="613" t="s">
        <v>6815</v>
      </c>
      <c r="P304" s="613" t="s">
        <v>113</v>
      </c>
      <c r="Q304" s="610" t="s">
        <v>6630</v>
      </c>
      <c r="R304" s="614">
        <v>45790</v>
      </c>
      <c r="S304" s="614" t="s">
        <v>70</v>
      </c>
      <c r="T304" s="614" t="s">
        <v>70</v>
      </c>
      <c r="U304" s="614"/>
      <c r="V304" s="614"/>
      <c r="W304" s="615"/>
      <c r="X304" s="628" t="s">
        <v>6816</v>
      </c>
      <c r="Y304" s="609" t="s">
        <v>911</v>
      </c>
      <c r="Z304" s="609">
        <v>762.5</v>
      </c>
      <c r="AA304" s="616">
        <f>Z304*L304</f>
        <v>54900</v>
      </c>
      <c r="AC304" s="629" t="s">
        <v>1016</v>
      </c>
      <c r="AD304" s="610" t="s">
        <v>909</v>
      </c>
      <c r="AE304" s="610" t="s">
        <v>82</v>
      </c>
      <c r="AF304" s="610"/>
      <c r="AG304" s="610" t="s">
        <v>74</v>
      </c>
      <c r="AH304" s="610"/>
      <c r="AI304" s="610">
        <v>0</v>
      </c>
      <c r="AJ304" s="610">
        <v>0</v>
      </c>
      <c r="AK304" s="610"/>
      <c r="AL304" s="610"/>
      <c r="AM304" s="610"/>
      <c r="AN304" s="610">
        <f>I304*3</f>
        <v>16200</v>
      </c>
      <c r="AR304" s="619"/>
      <c r="AS304" s="548"/>
      <c r="AT304" s="548"/>
      <c r="AU304" s="548"/>
      <c r="AV304" s="548"/>
      <c r="AW304" s="619"/>
      <c r="AX304" s="548"/>
      <c r="AY304" s="548"/>
      <c r="AZ304" s="548"/>
      <c r="BA304" s="548"/>
      <c r="BB304" s="620">
        <f>I304/24*3</f>
        <v>675</v>
      </c>
      <c r="BF304" s="554">
        <f>I304*3</f>
        <v>16200</v>
      </c>
      <c r="BH304" s="554">
        <f>I304*3</f>
        <v>16200</v>
      </c>
      <c r="BI304" s="554">
        <f>I304</f>
        <v>5400</v>
      </c>
      <c r="BJ304" s="554">
        <f>I304/5</f>
        <v>1080</v>
      </c>
      <c r="BY304" s="619"/>
      <c r="BZ304" s="548"/>
      <c r="CA304" s="621"/>
      <c r="CB304" s="567"/>
      <c r="CC304" s="622"/>
      <c r="CD304" s="619"/>
      <c r="CE304" s="619"/>
      <c r="CF304" s="548"/>
      <c r="CG304" s="548"/>
      <c r="CU304" s="554">
        <f t="shared" si="75"/>
        <v>0</v>
      </c>
      <c r="CV304" s="554">
        <f t="shared" si="73"/>
        <v>0</v>
      </c>
      <c r="CW304" s="554">
        <f t="shared" si="74"/>
        <v>0</v>
      </c>
      <c r="CX304" s="619"/>
      <c r="CY304" s="619"/>
      <c r="CZ304" s="619"/>
      <c r="DA304" s="548"/>
      <c r="DB304" s="548"/>
      <c r="DC304" s="548"/>
      <c r="DD304" s="619"/>
      <c r="DE304" s="619"/>
      <c r="DF304" s="619"/>
      <c r="DG304" s="619"/>
      <c r="DH304" s="619"/>
    </row>
    <row r="305" s="548" customFormat="1" ht="31" customHeight="1" spans="1:112">
      <c r="A305" s="608">
        <v>45800</v>
      </c>
      <c r="B305" s="609" t="s">
        <v>1019</v>
      </c>
      <c r="C305" s="610" t="s">
        <v>399</v>
      </c>
      <c r="D305" s="554">
        <v>4500167713</v>
      </c>
      <c r="E305" s="610"/>
      <c r="F305" s="554" t="s">
        <v>1020</v>
      </c>
      <c r="G305" s="610" t="s">
        <v>6337</v>
      </c>
      <c r="H305" s="610" t="s">
        <v>477</v>
      </c>
      <c r="I305" s="610">
        <v>360</v>
      </c>
      <c r="J305" s="610">
        <v>0</v>
      </c>
      <c r="K305" s="610">
        <v>6</v>
      </c>
      <c r="L305" s="611">
        <f t="shared" si="82"/>
        <v>60</v>
      </c>
      <c r="M305" s="612">
        <v>45838</v>
      </c>
      <c r="N305" s="612">
        <v>45834</v>
      </c>
      <c r="O305" s="613"/>
      <c r="P305" s="613" t="s">
        <v>113</v>
      </c>
      <c r="Q305" s="610"/>
      <c r="R305" s="614">
        <v>45800</v>
      </c>
      <c r="S305" s="614" t="s">
        <v>70</v>
      </c>
      <c r="T305" s="614">
        <v>45813</v>
      </c>
      <c r="U305" s="614"/>
      <c r="V305" s="614" t="s">
        <v>6817</v>
      </c>
      <c r="W305" s="615"/>
      <c r="X305" s="609" t="s">
        <v>6818</v>
      </c>
      <c r="Y305" s="609" t="s">
        <v>445</v>
      </c>
      <c r="Z305" s="609">
        <v>8.1</v>
      </c>
      <c r="AA305" s="616">
        <f>Z305*I305</f>
        <v>2916</v>
      </c>
      <c r="AC305" s="632" t="s">
        <v>1023</v>
      </c>
      <c r="AD305" s="610" t="s">
        <v>480</v>
      </c>
      <c r="AE305" s="610" t="s">
        <v>82</v>
      </c>
      <c r="AF305" s="610"/>
      <c r="AG305" s="610" t="s">
        <v>74</v>
      </c>
      <c r="AH305" s="610"/>
      <c r="AI305" s="610">
        <v>360</v>
      </c>
      <c r="AJ305" s="610">
        <f>AI305-I305</f>
        <v>0</v>
      </c>
      <c r="AK305" s="610"/>
      <c r="AL305" s="610"/>
      <c r="AM305" s="610"/>
      <c r="AN305" s="610"/>
      <c r="AO305" s="554">
        <f>I305*2</f>
        <v>720</v>
      </c>
      <c r="AR305" s="619"/>
      <c r="AS305" s="548"/>
      <c r="AT305" s="554">
        <f>I305*2</f>
        <v>720</v>
      </c>
      <c r="AV305" s="554">
        <f>I305*2</f>
        <v>720</v>
      </c>
      <c r="AW305" s="619"/>
      <c r="AX305" s="548"/>
      <c r="AY305" s="548"/>
      <c r="AZ305" s="548"/>
      <c r="BA305" s="548"/>
      <c r="BB305" s="620">
        <f>I305/24*2</f>
        <v>30</v>
      </c>
      <c r="BY305" s="619"/>
      <c r="BZ305" s="554">
        <f>I305</f>
        <v>360</v>
      </c>
      <c r="CA305" s="621"/>
      <c r="CB305" s="567"/>
      <c r="CC305" s="622"/>
      <c r="CD305" s="619"/>
      <c r="CE305" s="619"/>
      <c r="CF305" s="548"/>
      <c r="CG305" s="548"/>
      <c r="CU305" s="554">
        <f t="shared" si="75"/>
        <v>0</v>
      </c>
      <c r="CV305" s="554">
        <f t="shared" si="73"/>
        <v>0</v>
      </c>
      <c r="CW305" s="554">
        <f t="shared" si="74"/>
        <v>0</v>
      </c>
      <c r="CX305" s="619"/>
      <c r="CY305" s="619"/>
      <c r="CZ305" s="619"/>
      <c r="DA305" s="548"/>
      <c r="DB305" s="548"/>
      <c r="DC305" s="548"/>
      <c r="DD305" s="619"/>
      <c r="DE305" s="619"/>
      <c r="DF305" s="619"/>
      <c r="DG305" s="619"/>
      <c r="DH305" s="619"/>
    </row>
    <row r="306" s="548" customFormat="1" ht="31" customHeight="1" spans="1:112">
      <c r="A306" s="608">
        <v>45805</v>
      </c>
      <c r="B306" s="609"/>
      <c r="C306" s="610"/>
      <c r="D306" s="554" t="s">
        <v>801</v>
      </c>
      <c r="E306" s="610"/>
      <c r="F306" s="548"/>
      <c r="G306" s="610" t="s">
        <v>6020</v>
      </c>
      <c r="H306" s="610" t="s">
        <v>6021</v>
      </c>
      <c r="I306" s="610">
        <v>1008</v>
      </c>
      <c r="J306" s="610">
        <v>0</v>
      </c>
      <c r="K306" s="610">
        <v>24</v>
      </c>
      <c r="L306" s="611">
        <f t="shared" si="82"/>
        <v>42</v>
      </c>
      <c r="M306" s="612">
        <v>45838</v>
      </c>
      <c r="N306" s="612">
        <v>45834</v>
      </c>
      <c r="O306" s="613"/>
      <c r="P306" s="613" t="s">
        <v>113</v>
      </c>
      <c r="Q306" s="610"/>
      <c r="R306" s="614">
        <v>45805</v>
      </c>
      <c r="S306" s="614" t="s">
        <v>70</v>
      </c>
      <c r="T306" s="614" t="s">
        <v>70</v>
      </c>
      <c r="U306" s="614"/>
      <c r="V306" s="614"/>
      <c r="W306" s="615"/>
      <c r="X306" s="609" t="s">
        <v>6404</v>
      </c>
      <c r="Y306" s="609" t="s">
        <v>92</v>
      </c>
      <c r="Z306" s="609"/>
      <c r="AA306" s="616"/>
      <c r="AC306" s="632" t="s">
        <v>802</v>
      </c>
      <c r="AD306" s="610" t="s">
        <v>6020</v>
      </c>
      <c r="AE306" s="610" t="s">
        <v>82</v>
      </c>
      <c r="AF306" s="610"/>
      <c r="AG306" s="610" t="s">
        <v>74</v>
      </c>
      <c r="AH306" s="610"/>
      <c r="AI306" s="610">
        <v>1008</v>
      </c>
      <c r="AJ306" s="610">
        <f>AI306-I306</f>
        <v>0</v>
      </c>
      <c r="AK306" s="610"/>
      <c r="AL306" s="610"/>
      <c r="AM306" s="610"/>
      <c r="AN306" s="610">
        <f>I306</f>
        <v>1008</v>
      </c>
      <c r="AP306" s="554">
        <f>I306</f>
        <v>1008</v>
      </c>
      <c r="AR306" s="619"/>
      <c r="AS306" s="548"/>
      <c r="AT306" s="548"/>
      <c r="AU306" s="554">
        <f>I306</f>
        <v>1008</v>
      </c>
      <c r="AW306" s="619"/>
      <c r="AX306" s="548"/>
      <c r="AY306" s="548"/>
      <c r="AZ306" s="548"/>
      <c r="BA306" s="548"/>
      <c r="BB306" s="620">
        <f>I306/48</f>
        <v>21</v>
      </c>
      <c r="BY306" s="619"/>
      <c r="BZ306" s="548"/>
      <c r="CA306" s="621"/>
      <c r="CB306" s="567"/>
      <c r="CC306" s="622"/>
      <c r="CD306" s="619"/>
      <c r="CE306" s="619"/>
      <c r="CF306" s="548"/>
      <c r="CG306" s="548"/>
      <c r="CU306" s="554">
        <f t="shared" si="75"/>
        <v>0</v>
      </c>
      <c r="CV306" s="554">
        <f t="shared" si="73"/>
        <v>0</v>
      </c>
      <c r="CW306" s="554">
        <f t="shared" si="74"/>
        <v>0</v>
      </c>
      <c r="CX306" s="619"/>
      <c r="CY306" s="619"/>
      <c r="CZ306" s="619"/>
      <c r="DA306" s="548"/>
      <c r="DB306" s="548"/>
      <c r="DC306" s="548"/>
      <c r="DD306" s="619"/>
      <c r="DE306" s="619"/>
      <c r="DF306" s="619"/>
      <c r="DG306" s="619"/>
      <c r="DH306" s="619"/>
    </row>
    <row r="307" s="548" customFormat="1" ht="31" customHeight="1" spans="1:112">
      <c r="A307" s="608">
        <v>45805</v>
      </c>
      <c r="B307" s="609" t="s">
        <v>930</v>
      </c>
      <c r="C307" s="610" t="s">
        <v>931</v>
      </c>
      <c r="D307" s="554">
        <v>4500168238</v>
      </c>
      <c r="E307" s="610"/>
      <c r="F307" s="554" t="s">
        <v>6819</v>
      </c>
      <c r="G307" s="610" t="s">
        <v>6276</v>
      </c>
      <c r="H307" s="610" t="s">
        <v>6277</v>
      </c>
      <c r="I307" s="610">
        <v>150</v>
      </c>
      <c r="J307" s="610">
        <v>0</v>
      </c>
      <c r="K307" s="610">
        <v>50</v>
      </c>
      <c r="L307" s="611">
        <f t="shared" si="82"/>
        <v>3</v>
      </c>
      <c r="M307" s="612">
        <v>45838</v>
      </c>
      <c r="N307" s="612">
        <v>45834</v>
      </c>
      <c r="O307" s="613"/>
      <c r="P307" s="613" t="s">
        <v>113</v>
      </c>
      <c r="Q307" s="610"/>
      <c r="R307" s="614">
        <v>45814</v>
      </c>
      <c r="S307" s="614" t="s">
        <v>70</v>
      </c>
      <c r="T307" s="614" t="s">
        <v>70</v>
      </c>
      <c r="U307" s="614"/>
      <c r="V307" s="614"/>
      <c r="W307" s="615"/>
      <c r="X307" s="609" t="s">
        <v>6820</v>
      </c>
      <c r="Y307" s="609" t="s">
        <v>943</v>
      </c>
      <c r="Z307" s="609">
        <v>1.32</v>
      </c>
      <c r="AA307" s="616">
        <f>Z307*I307</f>
        <v>198</v>
      </c>
      <c r="AC307" s="617" t="s">
        <v>6821</v>
      </c>
      <c r="AD307" s="610" t="s">
        <v>6276</v>
      </c>
      <c r="AE307" s="610" t="s">
        <v>82</v>
      </c>
      <c r="AF307" s="610"/>
      <c r="AG307" s="610" t="s">
        <v>74</v>
      </c>
      <c r="AH307" s="610"/>
      <c r="AI307" s="610">
        <v>150</v>
      </c>
      <c r="AJ307" s="610">
        <f>AI307-I307</f>
        <v>0</v>
      </c>
      <c r="AK307" s="610"/>
      <c r="AL307" s="610"/>
      <c r="AM307" s="610"/>
      <c r="AN307" s="610"/>
      <c r="AO307" s="554">
        <f>I307</f>
        <v>150</v>
      </c>
      <c r="AR307" s="619"/>
      <c r="AS307" s="548"/>
      <c r="AT307" s="548"/>
      <c r="AU307" s="548"/>
      <c r="AV307" s="548"/>
      <c r="AW307" s="619"/>
      <c r="AX307" s="548"/>
      <c r="AY307" s="548"/>
      <c r="AZ307" s="548"/>
      <c r="BA307" s="548"/>
      <c r="BB307" s="620">
        <f>I307/24*2</f>
        <v>12.5</v>
      </c>
      <c r="BV307" s="554">
        <f>I307</f>
        <v>150</v>
      </c>
      <c r="BW307" s="554">
        <f>I307</f>
        <v>150</v>
      </c>
      <c r="BX307" s="554">
        <f>I307/25</f>
        <v>6</v>
      </c>
      <c r="BY307" s="619"/>
      <c r="BZ307" s="548"/>
      <c r="CA307" s="621"/>
      <c r="CB307" s="567"/>
      <c r="CC307" s="622"/>
      <c r="CD307" s="619"/>
      <c r="CE307" s="619"/>
      <c r="CF307" s="548"/>
      <c r="CG307" s="548"/>
      <c r="CU307" s="554">
        <f t="shared" si="75"/>
        <v>6</v>
      </c>
      <c r="CV307" s="554">
        <f t="shared" si="73"/>
        <v>0</v>
      </c>
      <c r="CW307" s="554">
        <f t="shared" si="74"/>
        <v>0</v>
      </c>
      <c r="CX307" s="619"/>
      <c r="CY307" s="619"/>
      <c r="CZ307" s="619"/>
      <c r="DA307" s="548"/>
      <c r="DB307" s="548"/>
      <c r="DC307" s="548"/>
      <c r="DD307" s="619"/>
      <c r="DE307" s="619"/>
      <c r="DF307" s="619"/>
      <c r="DG307" s="619"/>
      <c r="DH307" s="619"/>
    </row>
    <row r="308" s="548" customFormat="1" ht="31" customHeight="1" spans="1:112">
      <c r="A308" s="608">
        <v>45769</v>
      </c>
      <c r="B308" s="609" t="s">
        <v>947</v>
      </c>
      <c r="C308" s="610" t="s">
        <v>278</v>
      </c>
      <c r="D308" s="554">
        <v>4500164547</v>
      </c>
      <c r="E308" s="610" t="s">
        <v>948</v>
      </c>
      <c r="F308" s="554" t="s">
        <v>949</v>
      </c>
      <c r="G308" s="610" t="s">
        <v>829</v>
      </c>
      <c r="H308" s="610" t="s">
        <v>830</v>
      </c>
      <c r="I308" s="610">
        <v>72</v>
      </c>
      <c r="J308" s="610">
        <v>0</v>
      </c>
      <c r="K308" s="610">
        <v>1</v>
      </c>
      <c r="L308" s="611">
        <f t="shared" si="82"/>
        <v>72</v>
      </c>
      <c r="M308" s="612">
        <v>45840</v>
      </c>
      <c r="N308" s="612">
        <f t="shared" ref="N308:N315" si="88">M308-4</f>
        <v>45836</v>
      </c>
      <c r="O308" s="613" t="s">
        <v>6822</v>
      </c>
      <c r="P308" s="613" t="s">
        <v>113</v>
      </c>
      <c r="Q308" s="610"/>
      <c r="R308" s="614">
        <v>45785</v>
      </c>
      <c r="S308" s="614" t="s">
        <v>70</v>
      </c>
      <c r="T308" s="614" t="s">
        <v>70</v>
      </c>
      <c r="U308" s="614"/>
      <c r="V308" s="614"/>
      <c r="W308" s="615"/>
      <c r="X308" s="609" t="s">
        <v>951</v>
      </c>
      <c r="Y308" s="609" t="s">
        <v>244</v>
      </c>
      <c r="Z308" s="609">
        <v>0</v>
      </c>
      <c r="AA308" s="616">
        <v>0</v>
      </c>
      <c r="AC308" s="617" t="s">
        <v>952</v>
      </c>
      <c r="AD308" s="610" t="s">
        <v>829</v>
      </c>
      <c r="AE308" s="610" t="s">
        <v>82</v>
      </c>
      <c r="AF308" s="610"/>
      <c r="AG308" s="610" t="s">
        <v>74</v>
      </c>
      <c r="AH308" s="610"/>
      <c r="AI308" s="610">
        <f>800+4005+595</f>
        <v>5400</v>
      </c>
      <c r="AJ308" s="610">
        <f>AI308-I309</f>
        <v>0</v>
      </c>
      <c r="AK308" s="610"/>
      <c r="AL308" s="610"/>
      <c r="AM308" s="610"/>
      <c r="AN308" s="610"/>
      <c r="AO308" s="548"/>
      <c r="AP308" s="548"/>
      <c r="AQ308" s="548"/>
      <c r="AR308" s="619"/>
      <c r="AS308" s="548"/>
      <c r="AT308" s="548"/>
      <c r="AU308" s="548"/>
      <c r="AV308" s="548"/>
      <c r="AW308" s="619"/>
      <c r="AX308" s="548"/>
      <c r="AY308" s="548"/>
      <c r="AZ308" s="548"/>
      <c r="BA308" s="548"/>
      <c r="BB308" s="620"/>
      <c r="BC308" s="548"/>
      <c r="BD308" s="548"/>
      <c r="BE308" s="548"/>
      <c r="BF308" s="548"/>
      <c r="BY308" s="619"/>
      <c r="BZ308" s="548"/>
      <c r="CA308" s="621"/>
      <c r="CB308" s="567"/>
      <c r="CC308" s="622"/>
      <c r="CD308" s="619"/>
      <c r="CE308" s="619"/>
      <c r="CF308" s="548"/>
      <c r="CG308" s="548"/>
      <c r="CU308" s="554">
        <f t="shared" si="75"/>
        <v>0</v>
      </c>
      <c r="CV308" s="554">
        <f t="shared" si="73"/>
        <v>0</v>
      </c>
      <c r="CW308" s="554">
        <f t="shared" si="74"/>
        <v>0</v>
      </c>
      <c r="CX308" s="619"/>
      <c r="CY308" s="619"/>
      <c r="CZ308" s="619"/>
      <c r="DA308" s="548"/>
      <c r="DB308" s="548"/>
      <c r="DC308" s="548"/>
      <c r="DD308" s="619"/>
      <c r="DE308" s="619"/>
      <c r="DF308" s="619"/>
      <c r="DG308" s="619"/>
      <c r="DH308" s="619"/>
    </row>
    <row r="309" s="548" customFormat="1" ht="31" customHeight="1" spans="1:112">
      <c r="A309" s="608">
        <v>45769</v>
      </c>
      <c r="B309" s="609" t="s">
        <v>947</v>
      </c>
      <c r="C309" s="610" t="s">
        <v>278</v>
      </c>
      <c r="D309" s="554">
        <v>4500164547</v>
      </c>
      <c r="E309" s="610" t="s">
        <v>948</v>
      </c>
      <c r="F309" s="554" t="s">
        <v>949</v>
      </c>
      <c r="G309" s="613">
        <v>77711</v>
      </c>
      <c r="H309" s="610" t="s">
        <v>6823</v>
      </c>
      <c r="I309" s="610">
        <v>5400</v>
      </c>
      <c r="J309" s="610">
        <v>0</v>
      </c>
      <c r="K309" s="610">
        <v>225</v>
      </c>
      <c r="L309" s="611">
        <f t="shared" si="82"/>
        <v>24</v>
      </c>
      <c r="M309" s="612">
        <v>45840</v>
      </c>
      <c r="N309" s="612">
        <f t="shared" si="88"/>
        <v>45836</v>
      </c>
      <c r="O309" s="613" t="s">
        <v>6822</v>
      </c>
      <c r="P309" s="613" t="s">
        <v>113</v>
      </c>
      <c r="Q309" s="610"/>
      <c r="R309" s="614">
        <v>45785</v>
      </c>
      <c r="S309" s="614" t="s">
        <v>70</v>
      </c>
      <c r="T309" s="614" t="s">
        <v>70</v>
      </c>
      <c r="U309" s="614"/>
      <c r="V309" s="614"/>
      <c r="W309" s="615"/>
      <c r="X309" s="609" t="s">
        <v>951</v>
      </c>
      <c r="Y309" s="609" t="s">
        <v>244</v>
      </c>
      <c r="Z309" s="609">
        <v>755</v>
      </c>
      <c r="AA309" s="616">
        <f>Z309*L309</f>
        <v>18120</v>
      </c>
      <c r="AC309" s="637" t="s">
        <v>953</v>
      </c>
      <c r="AD309" s="610" t="s">
        <v>829</v>
      </c>
      <c r="AE309" s="610" t="s">
        <v>82</v>
      </c>
      <c r="AF309" s="610"/>
      <c r="AG309" s="610" t="s">
        <v>74</v>
      </c>
      <c r="AH309" s="610"/>
      <c r="AI309" s="610">
        <v>0</v>
      </c>
      <c r="AJ309" s="610">
        <v>0</v>
      </c>
      <c r="AK309" s="610"/>
      <c r="AL309" s="610"/>
      <c r="AM309" s="610"/>
      <c r="AN309" s="610"/>
      <c r="AO309" s="554">
        <f>I309*3</f>
        <v>16200</v>
      </c>
      <c r="AR309" s="619"/>
      <c r="AS309" s="548"/>
      <c r="AT309" s="548"/>
      <c r="AU309" s="548"/>
      <c r="AV309" s="548"/>
      <c r="AW309" s="619"/>
      <c r="AX309" s="548"/>
      <c r="AY309" s="548"/>
      <c r="AZ309" s="548"/>
      <c r="BA309" s="548"/>
      <c r="BB309" s="620">
        <f>I309/24*3</f>
        <v>675</v>
      </c>
      <c r="BF309" s="554">
        <f>I309*3</f>
        <v>16200</v>
      </c>
      <c r="BH309" s="554">
        <f>I309*3</f>
        <v>16200</v>
      </c>
      <c r="BI309" s="554">
        <f>I309/3</f>
        <v>1800</v>
      </c>
      <c r="BJ309" s="554">
        <f>I309/5</f>
        <v>1080</v>
      </c>
      <c r="BY309" s="619"/>
      <c r="BZ309" s="548"/>
      <c r="CA309" s="621"/>
      <c r="CB309" s="567"/>
      <c r="CC309" s="622"/>
      <c r="CD309" s="619"/>
      <c r="CE309" s="619"/>
      <c r="CF309" s="548"/>
      <c r="CG309" s="548"/>
      <c r="CU309" s="554">
        <f t="shared" si="75"/>
        <v>0</v>
      </c>
      <c r="CV309" s="554">
        <f t="shared" si="73"/>
        <v>0</v>
      </c>
      <c r="CW309" s="554">
        <f t="shared" si="74"/>
        <v>0</v>
      </c>
      <c r="CX309" s="619"/>
      <c r="CY309" s="619"/>
      <c r="CZ309" s="619"/>
      <c r="DA309" s="548"/>
      <c r="DB309" s="548"/>
      <c r="DC309" s="548"/>
      <c r="DD309" s="619"/>
      <c r="DE309" s="619"/>
      <c r="DF309" s="619"/>
      <c r="DG309" s="619"/>
      <c r="DH309" s="619"/>
    </row>
    <row r="310" s="548" customFormat="1" ht="31" customHeight="1" spans="1:112">
      <c r="A310" s="608">
        <v>45807</v>
      </c>
      <c r="B310" s="609" t="s">
        <v>930</v>
      </c>
      <c r="C310" s="610" t="s">
        <v>931</v>
      </c>
      <c r="D310" s="554">
        <v>4500168505</v>
      </c>
      <c r="E310" s="610"/>
      <c r="F310" s="554" t="s">
        <v>6824</v>
      </c>
      <c r="G310" s="610" t="s">
        <v>6276</v>
      </c>
      <c r="H310" s="610" t="s">
        <v>6277</v>
      </c>
      <c r="I310" s="610">
        <v>500</v>
      </c>
      <c r="J310" s="610">
        <v>0</v>
      </c>
      <c r="K310" s="610">
        <v>50</v>
      </c>
      <c r="L310" s="611">
        <f t="shared" si="82"/>
        <v>10</v>
      </c>
      <c r="M310" s="612">
        <v>45840</v>
      </c>
      <c r="N310" s="612">
        <f t="shared" si="88"/>
        <v>45836</v>
      </c>
      <c r="O310" s="613"/>
      <c r="P310" s="613" t="s">
        <v>113</v>
      </c>
      <c r="Q310" s="610"/>
      <c r="R310" s="614">
        <v>45814</v>
      </c>
      <c r="S310" s="614" t="s">
        <v>70</v>
      </c>
      <c r="T310" s="614" t="s">
        <v>70</v>
      </c>
      <c r="U310" s="614"/>
      <c r="V310" s="614"/>
      <c r="W310" s="615"/>
      <c r="X310" s="609" t="s">
        <v>6734</v>
      </c>
      <c r="Y310" s="609" t="s">
        <v>943</v>
      </c>
      <c r="Z310" s="609">
        <v>1.32</v>
      </c>
      <c r="AA310" s="616">
        <f t="shared" ref="AA310:AA323" si="89">Z310*I310</f>
        <v>660</v>
      </c>
      <c r="AC310" s="629" t="s">
        <v>6825</v>
      </c>
      <c r="AD310" s="610" t="s">
        <v>6276</v>
      </c>
      <c r="AE310" s="610" t="s">
        <v>82</v>
      </c>
      <c r="AF310" s="610"/>
      <c r="AG310" s="610" t="s">
        <v>74</v>
      </c>
      <c r="AH310" s="610"/>
      <c r="AI310" s="610">
        <v>500</v>
      </c>
      <c r="AJ310" s="610">
        <f t="shared" ref="AJ310:AJ323" si="90">AI310-I310</f>
        <v>0</v>
      </c>
      <c r="AK310" s="610"/>
      <c r="AL310" s="610"/>
      <c r="AM310" s="610"/>
      <c r="AN310" s="610"/>
      <c r="AO310" s="554">
        <f>I310</f>
        <v>500</v>
      </c>
      <c r="AR310" s="619"/>
      <c r="AS310" s="548"/>
      <c r="AT310" s="548"/>
      <c r="AU310" s="548"/>
      <c r="AV310" s="548"/>
      <c r="AW310" s="619"/>
      <c r="AX310" s="548"/>
      <c r="AY310" s="548"/>
      <c r="AZ310" s="548"/>
      <c r="BA310" s="548"/>
      <c r="BB310" s="620">
        <f>I310/24*2</f>
        <v>41.6666666666667</v>
      </c>
      <c r="BV310" s="554">
        <f>I310</f>
        <v>500</v>
      </c>
      <c r="BW310" s="554">
        <f>I310</f>
        <v>500</v>
      </c>
      <c r="BX310" s="554">
        <f>I310/25</f>
        <v>20</v>
      </c>
      <c r="BY310" s="619"/>
      <c r="BZ310" s="548"/>
      <c r="CA310" s="621"/>
      <c r="CB310" s="567"/>
      <c r="CC310" s="622"/>
      <c r="CD310" s="619"/>
      <c r="CE310" s="619"/>
      <c r="CF310" s="548"/>
      <c r="CG310" s="548"/>
      <c r="CU310" s="554">
        <f t="shared" si="75"/>
        <v>20</v>
      </c>
      <c r="CV310" s="554">
        <f t="shared" si="73"/>
        <v>0</v>
      </c>
      <c r="CW310" s="554">
        <f t="shared" si="74"/>
        <v>0</v>
      </c>
      <c r="CX310" s="619"/>
      <c r="CY310" s="619"/>
      <c r="CZ310" s="619"/>
      <c r="DA310" s="548"/>
      <c r="DB310" s="548"/>
      <c r="DC310" s="548"/>
      <c r="DD310" s="619"/>
      <c r="DE310" s="619"/>
      <c r="DF310" s="619"/>
      <c r="DG310" s="619"/>
      <c r="DH310" s="619"/>
    </row>
    <row r="311" s="548" customFormat="1" ht="31" customHeight="1" spans="1:112">
      <c r="A311" s="608">
        <v>45811</v>
      </c>
      <c r="B311" s="609" t="s">
        <v>930</v>
      </c>
      <c r="C311" s="610" t="s">
        <v>931</v>
      </c>
      <c r="D311" s="554">
        <v>4500168705</v>
      </c>
      <c r="E311" s="610"/>
      <c r="F311" s="554" t="s">
        <v>6826</v>
      </c>
      <c r="G311" s="610" t="s">
        <v>6276</v>
      </c>
      <c r="H311" s="610" t="s">
        <v>6277</v>
      </c>
      <c r="I311" s="610">
        <v>350</v>
      </c>
      <c r="J311" s="610">
        <v>0</v>
      </c>
      <c r="K311" s="610">
        <v>50</v>
      </c>
      <c r="L311" s="611">
        <f t="shared" si="82"/>
        <v>7</v>
      </c>
      <c r="M311" s="612">
        <v>45840</v>
      </c>
      <c r="N311" s="612">
        <f t="shared" si="88"/>
        <v>45836</v>
      </c>
      <c r="O311" s="613"/>
      <c r="P311" s="613" t="s">
        <v>113</v>
      </c>
      <c r="Q311" s="610"/>
      <c r="R311" s="614">
        <v>45814</v>
      </c>
      <c r="S311" s="614" t="s">
        <v>70</v>
      </c>
      <c r="T311" s="614" t="s">
        <v>70</v>
      </c>
      <c r="U311" s="614"/>
      <c r="V311" s="614"/>
      <c r="W311" s="615"/>
      <c r="X311" s="609" t="s">
        <v>6827</v>
      </c>
      <c r="Y311" s="609" t="s">
        <v>943</v>
      </c>
      <c r="Z311" s="609">
        <v>1.32</v>
      </c>
      <c r="AA311" s="616">
        <f t="shared" si="89"/>
        <v>462</v>
      </c>
      <c r="AC311" s="617" t="s">
        <v>6828</v>
      </c>
      <c r="AD311" s="610" t="s">
        <v>6276</v>
      </c>
      <c r="AE311" s="610" t="s">
        <v>82</v>
      </c>
      <c r="AF311" s="610"/>
      <c r="AG311" s="610" t="s">
        <v>74</v>
      </c>
      <c r="AH311" s="610"/>
      <c r="AI311" s="610">
        <v>350</v>
      </c>
      <c r="AJ311" s="610">
        <f t="shared" si="90"/>
        <v>0</v>
      </c>
      <c r="AK311" s="610"/>
      <c r="AL311" s="610"/>
      <c r="AM311" s="610"/>
      <c r="AN311" s="610"/>
      <c r="AO311" s="554">
        <f>I311</f>
        <v>350</v>
      </c>
      <c r="AR311" s="619"/>
      <c r="AS311" s="548"/>
      <c r="AT311" s="548"/>
      <c r="AU311" s="548"/>
      <c r="AV311" s="548"/>
      <c r="AW311" s="619"/>
      <c r="AX311" s="548"/>
      <c r="AY311" s="548"/>
      <c r="AZ311" s="548"/>
      <c r="BA311" s="548"/>
      <c r="BB311" s="620">
        <f>I311/24*2</f>
        <v>29.1666666666667</v>
      </c>
      <c r="BV311" s="554">
        <f>I311</f>
        <v>350</v>
      </c>
      <c r="BW311" s="554">
        <f>I311</f>
        <v>350</v>
      </c>
      <c r="BX311" s="554">
        <f>I311/25</f>
        <v>14</v>
      </c>
      <c r="BY311" s="619"/>
      <c r="BZ311" s="548"/>
      <c r="CA311" s="621"/>
      <c r="CB311" s="567"/>
      <c r="CC311" s="622"/>
      <c r="CD311" s="619"/>
      <c r="CE311" s="619"/>
      <c r="CF311" s="548"/>
      <c r="CG311" s="548"/>
      <c r="CU311" s="554">
        <f t="shared" si="75"/>
        <v>14</v>
      </c>
      <c r="CV311" s="554">
        <f t="shared" si="73"/>
        <v>0</v>
      </c>
      <c r="CW311" s="554">
        <f t="shared" si="74"/>
        <v>0</v>
      </c>
      <c r="CX311" s="619"/>
      <c r="CY311" s="619"/>
      <c r="CZ311" s="619"/>
      <c r="DA311" s="548"/>
      <c r="DB311" s="548"/>
      <c r="DC311" s="548"/>
      <c r="DD311" s="619"/>
      <c r="DE311" s="619"/>
      <c r="DF311" s="619"/>
      <c r="DG311" s="619"/>
      <c r="DH311" s="619"/>
    </row>
    <row r="312" s="548" customFormat="1" ht="31" customHeight="1" spans="1:112">
      <c r="A312" s="608">
        <v>45806</v>
      </c>
      <c r="B312" s="609" t="s">
        <v>1024</v>
      </c>
      <c r="C312" s="610" t="s">
        <v>399</v>
      </c>
      <c r="D312" s="554">
        <v>4500168264</v>
      </c>
      <c r="E312" s="610"/>
      <c r="F312" s="554" t="s">
        <v>6829</v>
      </c>
      <c r="G312" s="610" t="s">
        <v>6043</v>
      </c>
      <c r="H312" s="610" t="s">
        <v>6110</v>
      </c>
      <c r="I312" s="610">
        <v>500</v>
      </c>
      <c r="J312" s="610">
        <v>0</v>
      </c>
      <c r="K312" s="610">
        <v>50</v>
      </c>
      <c r="L312" s="611">
        <f t="shared" si="82"/>
        <v>10</v>
      </c>
      <c r="M312" s="612">
        <v>45842</v>
      </c>
      <c r="N312" s="612">
        <f t="shared" si="88"/>
        <v>45838</v>
      </c>
      <c r="O312" s="613"/>
      <c r="P312" s="613" t="s">
        <v>113</v>
      </c>
      <c r="Q312" s="610"/>
      <c r="R312" s="614">
        <v>45812</v>
      </c>
      <c r="S312" s="614" t="s">
        <v>70</v>
      </c>
      <c r="T312" s="614" t="s">
        <v>6830</v>
      </c>
      <c r="U312" s="614"/>
      <c r="V312" s="614"/>
      <c r="W312" s="615"/>
      <c r="X312" s="609" t="s">
        <v>6831</v>
      </c>
      <c r="Y312" s="609" t="s">
        <v>445</v>
      </c>
      <c r="Z312" s="609">
        <v>0.9462</v>
      </c>
      <c r="AA312" s="616">
        <f t="shared" si="89"/>
        <v>473.1</v>
      </c>
      <c r="AC312" s="617" t="s">
        <v>1028</v>
      </c>
      <c r="AD312" s="610" t="s">
        <v>6043</v>
      </c>
      <c r="AE312" s="610" t="s">
        <v>82</v>
      </c>
      <c r="AF312" s="610"/>
      <c r="AG312" s="610" t="s">
        <v>74</v>
      </c>
      <c r="AH312" s="610"/>
      <c r="AI312" s="610">
        <v>500</v>
      </c>
      <c r="AJ312" s="610">
        <f t="shared" si="90"/>
        <v>0</v>
      </c>
      <c r="AK312" s="610"/>
      <c r="AL312" s="610"/>
      <c r="AM312" s="610"/>
      <c r="AN312" s="610"/>
      <c r="AO312" s="554">
        <f>I312</f>
        <v>500</v>
      </c>
      <c r="AR312" s="619"/>
      <c r="AS312" s="548"/>
      <c r="AT312" s="554">
        <f>I312</f>
        <v>500</v>
      </c>
      <c r="AV312" s="554">
        <f>I312</f>
        <v>500</v>
      </c>
      <c r="AW312" s="619"/>
      <c r="AX312" s="548"/>
      <c r="AY312" s="548"/>
      <c r="AZ312" s="548"/>
      <c r="BA312" s="548"/>
      <c r="BB312" s="620">
        <f>I312/24</f>
        <v>20.8333333333333</v>
      </c>
      <c r="BP312" s="554">
        <f>I312/25</f>
        <v>20</v>
      </c>
      <c r="BY312" s="619"/>
      <c r="BZ312" s="548"/>
      <c r="CA312" s="621"/>
      <c r="CB312" s="567"/>
      <c r="CC312" s="622"/>
      <c r="CD312" s="619"/>
      <c r="CE312" s="619"/>
      <c r="CF312" s="548"/>
      <c r="CG312" s="548"/>
      <c r="CU312" s="554">
        <f t="shared" si="75"/>
        <v>20</v>
      </c>
      <c r="CV312" s="554">
        <f t="shared" si="73"/>
        <v>0</v>
      </c>
      <c r="CW312" s="554">
        <f t="shared" si="74"/>
        <v>0</v>
      </c>
      <c r="CX312" s="619"/>
      <c r="CY312" s="619"/>
      <c r="CZ312" s="619"/>
      <c r="DA312" s="548"/>
      <c r="DB312" s="548"/>
      <c r="DC312" s="548"/>
      <c r="DD312" s="619"/>
      <c r="DE312" s="619"/>
      <c r="DF312" s="619"/>
      <c r="DG312" s="619"/>
      <c r="DH312" s="619"/>
    </row>
    <row r="313" s="548" customFormat="1" ht="31" customHeight="1" spans="1:112">
      <c r="A313" s="608">
        <v>45806</v>
      </c>
      <c r="B313" s="609" t="s">
        <v>1024</v>
      </c>
      <c r="C313" s="610" t="s">
        <v>399</v>
      </c>
      <c r="D313" s="554">
        <v>4500168264</v>
      </c>
      <c r="E313" s="610"/>
      <c r="F313" s="554" t="s">
        <v>1029</v>
      </c>
      <c r="G313" s="610" t="s">
        <v>6337</v>
      </c>
      <c r="H313" s="610" t="s">
        <v>477</v>
      </c>
      <c r="I313" s="610">
        <v>300</v>
      </c>
      <c r="J313" s="610">
        <v>0</v>
      </c>
      <c r="K313" s="610">
        <v>6</v>
      </c>
      <c r="L313" s="611">
        <f t="shared" si="82"/>
        <v>50</v>
      </c>
      <c r="M313" s="612">
        <v>45842</v>
      </c>
      <c r="N313" s="612">
        <f t="shared" si="88"/>
        <v>45838</v>
      </c>
      <c r="O313" s="613"/>
      <c r="P313" s="613" t="s">
        <v>113</v>
      </c>
      <c r="Q313" s="610"/>
      <c r="R313" s="614">
        <v>45812</v>
      </c>
      <c r="S313" s="614" t="s">
        <v>70</v>
      </c>
      <c r="T313" s="614" t="s">
        <v>6830</v>
      </c>
      <c r="U313" s="614"/>
      <c r="V313" s="614"/>
      <c r="W313" s="615"/>
      <c r="X313" s="609" t="s">
        <v>6832</v>
      </c>
      <c r="Y313" s="609" t="s">
        <v>445</v>
      </c>
      <c r="Z313" s="609">
        <v>8.1</v>
      </c>
      <c r="AA313" s="616">
        <f t="shared" si="89"/>
        <v>2430</v>
      </c>
      <c r="AC313" s="632" t="s">
        <v>1028</v>
      </c>
      <c r="AD313" s="610" t="s">
        <v>480</v>
      </c>
      <c r="AE313" s="610" t="s">
        <v>82</v>
      </c>
      <c r="AF313" s="610"/>
      <c r="AG313" s="610" t="s">
        <v>74</v>
      </c>
      <c r="AH313" s="610"/>
      <c r="AI313" s="610">
        <v>300</v>
      </c>
      <c r="AJ313" s="610">
        <f t="shared" si="90"/>
        <v>0</v>
      </c>
      <c r="AK313" s="610"/>
      <c r="AL313" s="610"/>
      <c r="AM313" s="610"/>
      <c r="AN313" s="610"/>
      <c r="AO313" s="554">
        <f>I313*2</f>
        <v>600</v>
      </c>
      <c r="AR313" s="619"/>
      <c r="AS313" s="548"/>
      <c r="AT313" s="554">
        <f>I313*2</f>
        <v>600</v>
      </c>
      <c r="AV313" s="554">
        <f>I313*2</f>
        <v>600</v>
      </c>
      <c r="AW313" s="619"/>
      <c r="AX313" s="548"/>
      <c r="AY313" s="548"/>
      <c r="AZ313" s="548"/>
      <c r="BA313" s="548"/>
      <c r="BB313" s="620">
        <f>I313/24*2</f>
        <v>25</v>
      </c>
      <c r="BY313" s="619"/>
      <c r="BZ313" s="554">
        <f>I313</f>
        <v>300</v>
      </c>
      <c r="CA313" s="621"/>
      <c r="CB313" s="567"/>
      <c r="CC313" s="622"/>
      <c r="CD313" s="619"/>
      <c r="CE313" s="619"/>
      <c r="CF313" s="548"/>
      <c r="CG313" s="548"/>
      <c r="CU313" s="554">
        <f t="shared" si="75"/>
        <v>0</v>
      </c>
      <c r="CV313" s="554">
        <f t="shared" si="73"/>
        <v>0</v>
      </c>
      <c r="CW313" s="554">
        <f t="shared" si="74"/>
        <v>0</v>
      </c>
      <c r="CX313" s="619"/>
      <c r="CY313" s="619"/>
      <c r="CZ313" s="619"/>
      <c r="DA313" s="548"/>
      <c r="DB313" s="548"/>
      <c r="DC313" s="548"/>
      <c r="DD313" s="619"/>
      <c r="DE313" s="619"/>
      <c r="DF313" s="619"/>
      <c r="DG313" s="619"/>
      <c r="DH313" s="619"/>
    </row>
    <row r="314" s="548" customFormat="1" ht="31" customHeight="1" spans="1:112">
      <c r="A314" s="608">
        <v>45806</v>
      </c>
      <c r="B314" s="609" t="s">
        <v>1031</v>
      </c>
      <c r="C314" s="610" t="s">
        <v>399</v>
      </c>
      <c r="D314" s="554">
        <v>4500168249</v>
      </c>
      <c r="E314" s="610"/>
      <c r="F314" s="554" t="s">
        <v>1032</v>
      </c>
      <c r="G314" s="610" t="s">
        <v>6337</v>
      </c>
      <c r="H314" s="610" t="s">
        <v>477</v>
      </c>
      <c r="I314" s="610">
        <v>120</v>
      </c>
      <c r="J314" s="610">
        <v>0</v>
      </c>
      <c r="K314" s="610">
        <v>6</v>
      </c>
      <c r="L314" s="611">
        <f t="shared" si="82"/>
        <v>20</v>
      </c>
      <c r="M314" s="612">
        <v>45842</v>
      </c>
      <c r="N314" s="612">
        <f t="shared" si="88"/>
        <v>45838</v>
      </c>
      <c r="O314" s="613"/>
      <c r="P314" s="613" t="s">
        <v>113</v>
      </c>
      <c r="Q314" s="610"/>
      <c r="R314" s="614">
        <v>45812</v>
      </c>
      <c r="S314" s="614" t="s">
        <v>70</v>
      </c>
      <c r="T314" s="614">
        <v>45818</v>
      </c>
      <c r="U314" s="614"/>
      <c r="V314" s="614"/>
      <c r="W314" s="615"/>
      <c r="X314" s="609" t="s">
        <v>6833</v>
      </c>
      <c r="Y314" s="609" t="s">
        <v>402</v>
      </c>
      <c r="Z314" s="609">
        <v>8.1</v>
      </c>
      <c r="AA314" s="616">
        <f t="shared" si="89"/>
        <v>972</v>
      </c>
      <c r="AC314" s="617" t="s">
        <v>1034</v>
      </c>
      <c r="AD314" s="610" t="s">
        <v>480</v>
      </c>
      <c r="AE314" s="610" t="s">
        <v>82</v>
      </c>
      <c r="AF314" s="610"/>
      <c r="AG314" s="610" t="s">
        <v>74</v>
      </c>
      <c r="AH314" s="610"/>
      <c r="AI314" s="610">
        <v>120</v>
      </c>
      <c r="AJ314" s="610">
        <f t="shared" si="90"/>
        <v>0</v>
      </c>
      <c r="AK314" s="610"/>
      <c r="AL314" s="610"/>
      <c r="AM314" s="610"/>
      <c r="AN314" s="610"/>
      <c r="AO314" s="554">
        <f>I314*2</f>
        <v>240</v>
      </c>
      <c r="AR314" s="619"/>
      <c r="AS314" s="548"/>
      <c r="AT314" s="554">
        <f>I314*2</f>
        <v>240</v>
      </c>
      <c r="AV314" s="554">
        <f>I314*2</f>
        <v>240</v>
      </c>
      <c r="AW314" s="619"/>
      <c r="AX314" s="548"/>
      <c r="AY314" s="548"/>
      <c r="AZ314" s="548"/>
      <c r="BA314" s="548"/>
      <c r="BB314" s="620">
        <f>I314/24*2</f>
        <v>10</v>
      </c>
      <c r="BY314" s="619"/>
      <c r="BZ314" s="554">
        <f>I314</f>
        <v>120</v>
      </c>
      <c r="CA314" s="621"/>
      <c r="CB314" s="567"/>
      <c r="CC314" s="622"/>
      <c r="CD314" s="619"/>
      <c r="CE314" s="619"/>
      <c r="CF314" s="548"/>
      <c r="CG314" s="548"/>
      <c r="CU314" s="554">
        <f t="shared" si="75"/>
        <v>0</v>
      </c>
      <c r="CV314" s="554">
        <f t="shared" si="73"/>
        <v>0</v>
      </c>
      <c r="CW314" s="554">
        <f t="shared" si="74"/>
        <v>0</v>
      </c>
      <c r="CX314" s="619"/>
      <c r="CY314" s="619"/>
      <c r="CZ314" s="619"/>
      <c r="DA314" s="548"/>
      <c r="DB314" s="548"/>
      <c r="DC314" s="548"/>
      <c r="DD314" s="619"/>
      <c r="DE314" s="619"/>
      <c r="DF314" s="619"/>
      <c r="DG314" s="619"/>
      <c r="DH314" s="619"/>
    </row>
    <row r="315" s="548" customFormat="1" ht="31" customHeight="1" spans="1:112">
      <c r="A315" s="608">
        <v>45806</v>
      </c>
      <c r="B315" s="609" t="s">
        <v>1035</v>
      </c>
      <c r="C315" s="610" t="s">
        <v>399</v>
      </c>
      <c r="D315" s="554">
        <v>4500168288</v>
      </c>
      <c r="E315" s="610"/>
      <c r="F315" s="554" t="s">
        <v>1036</v>
      </c>
      <c r="G315" s="610" t="s">
        <v>6337</v>
      </c>
      <c r="H315" s="610" t="s">
        <v>477</v>
      </c>
      <c r="I315" s="610">
        <v>42</v>
      </c>
      <c r="J315" s="610">
        <v>0</v>
      </c>
      <c r="K315" s="610">
        <v>6</v>
      </c>
      <c r="L315" s="611">
        <f t="shared" si="82"/>
        <v>7</v>
      </c>
      <c r="M315" s="612">
        <v>45842</v>
      </c>
      <c r="N315" s="612">
        <f t="shared" si="88"/>
        <v>45838</v>
      </c>
      <c r="O315" s="613"/>
      <c r="P315" s="613" t="s">
        <v>113</v>
      </c>
      <c r="Q315" s="610"/>
      <c r="R315" s="614">
        <v>45813</v>
      </c>
      <c r="S315" s="614" t="s">
        <v>70</v>
      </c>
      <c r="T315" s="614" t="s">
        <v>4629</v>
      </c>
      <c r="U315" s="614"/>
      <c r="V315" s="614"/>
      <c r="W315" s="615"/>
      <c r="X315" s="609" t="s">
        <v>6834</v>
      </c>
      <c r="Y315" s="609" t="s">
        <v>445</v>
      </c>
      <c r="Z315" s="609">
        <v>8.1</v>
      </c>
      <c r="AA315" s="616">
        <f t="shared" si="89"/>
        <v>340.2</v>
      </c>
      <c r="AC315" s="632" t="s">
        <v>6835</v>
      </c>
      <c r="AD315" s="610" t="s">
        <v>480</v>
      </c>
      <c r="AE315" s="610" t="s">
        <v>82</v>
      </c>
      <c r="AF315" s="610"/>
      <c r="AG315" s="610" t="s">
        <v>74</v>
      </c>
      <c r="AH315" s="610"/>
      <c r="AI315" s="610">
        <v>42</v>
      </c>
      <c r="AJ315" s="610">
        <f t="shared" si="90"/>
        <v>0</v>
      </c>
      <c r="AK315" s="610"/>
      <c r="AL315" s="610"/>
      <c r="AM315" s="610"/>
      <c r="AN315" s="610"/>
      <c r="AO315" s="554">
        <f>I315*2</f>
        <v>84</v>
      </c>
      <c r="AR315" s="619"/>
      <c r="AS315" s="548"/>
      <c r="AT315" s="554">
        <f>I315*2</f>
        <v>84</v>
      </c>
      <c r="AV315" s="554">
        <f>I315*2</f>
        <v>84</v>
      </c>
      <c r="AW315" s="619"/>
      <c r="AX315" s="548"/>
      <c r="AY315" s="548"/>
      <c r="AZ315" s="548"/>
      <c r="BA315" s="548"/>
      <c r="BB315" s="620">
        <f>I315/24*2</f>
        <v>3.5</v>
      </c>
      <c r="BY315" s="619"/>
      <c r="BZ315" s="554">
        <f>I315</f>
        <v>42</v>
      </c>
      <c r="CA315" s="621"/>
      <c r="CB315" s="567"/>
      <c r="CC315" s="622"/>
      <c r="CD315" s="619"/>
      <c r="CE315" s="619"/>
      <c r="CF315" s="548"/>
      <c r="CG315" s="548"/>
      <c r="CU315" s="554">
        <f t="shared" si="75"/>
        <v>0</v>
      </c>
      <c r="CV315" s="554">
        <f t="shared" si="73"/>
        <v>0</v>
      </c>
      <c r="CW315" s="554">
        <f t="shared" si="74"/>
        <v>0</v>
      </c>
      <c r="CX315" s="619"/>
      <c r="CY315" s="619"/>
      <c r="CZ315" s="619"/>
      <c r="DA315" s="548"/>
      <c r="DB315" s="548"/>
      <c r="DC315" s="548"/>
      <c r="DD315" s="619"/>
      <c r="DE315" s="619"/>
      <c r="DF315" s="619"/>
      <c r="DG315" s="619"/>
      <c r="DH315" s="619"/>
    </row>
    <row r="316" s="548" customFormat="1" ht="31" customHeight="1" spans="1:112">
      <c r="A316" s="608">
        <v>45796</v>
      </c>
      <c r="B316" s="609" t="s">
        <v>846</v>
      </c>
      <c r="C316" s="610" t="s">
        <v>847</v>
      </c>
      <c r="D316" s="554">
        <v>4500166548</v>
      </c>
      <c r="E316" s="610" t="s">
        <v>848</v>
      </c>
      <c r="F316" s="554" t="s">
        <v>6836</v>
      </c>
      <c r="G316" s="610" t="s">
        <v>6093</v>
      </c>
      <c r="H316" s="610" t="s">
        <v>6094</v>
      </c>
      <c r="I316" s="610">
        <v>1300</v>
      </c>
      <c r="J316" s="610">
        <v>0</v>
      </c>
      <c r="K316" s="610">
        <v>13</v>
      </c>
      <c r="L316" s="611">
        <f t="shared" si="82"/>
        <v>100</v>
      </c>
      <c r="M316" s="612">
        <v>45833</v>
      </c>
      <c r="N316" s="612">
        <v>45845</v>
      </c>
      <c r="O316" s="613"/>
      <c r="P316" s="613" t="s">
        <v>113</v>
      </c>
      <c r="Q316" s="610"/>
      <c r="R316" s="614">
        <v>45806</v>
      </c>
      <c r="S316" s="614" t="s">
        <v>70</v>
      </c>
      <c r="T316" s="614">
        <v>45824</v>
      </c>
      <c r="U316" s="614"/>
      <c r="V316" s="614"/>
      <c r="W316" s="615"/>
      <c r="X316" s="628" t="s">
        <v>6837</v>
      </c>
      <c r="Y316" s="609" t="s">
        <v>851</v>
      </c>
      <c r="Z316" s="609">
        <v>0.9116</v>
      </c>
      <c r="AA316" s="616">
        <f t="shared" si="89"/>
        <v>1185.08</v>
      </c>
      <c r="AC316" s="617" t="s">
        <v>852</v>
      </c>
      <c r="AD316" s="610" t="s">
        <v>6093</v>
      </c>
      <c r="AE316" s="610" t="s">
        <v>82</v>
      </c>
      <c r="AF316" s="610"/>
      <c r="AG316" s="610" t="s">
        <v>74</v>
      </c>
      <c r="AH316" s="610"/>
      <c r="AI316" s="610">
        <v>1300</v>
      </c>
      <c r="AJ316" s="610">
        <f t="shared" si="90"/>
        <v>0</v>
      </c>
      <c r="AK316" s="610"/>
      <c r="AL316" s="610"/>
      <c r="AM316" s="610"/>
      <c r="AN316" s="610"/>
      <c r="AO316" s="554">
        <f>I316</f>
        <v>1300</v>
      </c>
      <c r="AR316" s="619"/>
      <c r="AS316" s="548"/>
      <c r="AT316" s="554">
        <f>I316</f>
        <v>1300</v>
      </c>
      <c r="AV316" s="554">
        <f>I316</f>
        <v>1300</v>
      </c>
      <c r="AW316" s="619"/>
      <c r="AX316" s="548"/>
      <c r="AY316" s="548"/>
      <c r="AZ316" s="548"/>
      <c r="BA316" s="548"/>
      <c r="BB316" s="620">
        <f>I316/24</f>
        <v>54.1666666666667</v>
      </c>
      <c r="BM316" s="554">
        <f>I316/13</f>
        <v>100</v>
      </c>
      <c r="BY316" s="619"/>
      <c r="BZ316" s="548"/>
      <c r="CA316" s="621"/>
      <c r="CB316" s="567"/>
      <c r="CC316" s="622"/>
      <c r="CD316" s="619"/>
      <c r="CE316" s="619"/>
      <c r="CF316" s="548"/>
      <c r="CG316" s="548"/>
      <c r="CU316" s="554">
        <f t="shared" si="75"/>
        <v>0</v>
      </c>
      <c r="CV316" s="554">
        <f t="shared" si="73"/>
        <v>0</v>
      </c>
      <c r="CW316" s="554">
        <f t="shared" si="74"/>
        <v>0</v>
      </c>
      <c r="CX316" s="619"/>
      <c r="CY316" s="619"/>
      <c r="CZ316" s="619"/>
      <c r="DA316" s="548"/>
      <c r="DB316" s="548"/>
      <c r="DC316" s="548"/>
      <c r="DD316" s="619"/>
      <c r="DE316" s="619"/>
      <c r="DF316" s="619"/>
      <c r="DG316" s="619"/>
      <c r="DH316" s="619"/>
    </row>
    <row r="317" s="548" customFormat="1" ht="31" customHeight="1" spans="1:112">
      <c r="A317" s="608">
        <v>45814</v>
      </c>
      <c r="B317" s="609" t="s">
        <v>1057</v>
      </c>
      <c r="C317" s="610" t="s">
        <v>973</v>
      </c>
      <c r="D317" s="554">
        <v>4500169123</v>
      </c>
      <c r="E317" s="610">
        <v>4500061201</v>
      </c>
      <c r="F317" s="554" t="s">
        <v>6838</v>
      </c>
      <c r="G317" s="610" t="s">
        <v>6043</v>
      </c>
      <c r="H317" s="610" t="s">
        <v>6110</v>
      </c>
      <c r="I317" s="610">
        <v>1800</v>
      </c>
      <c r="J317" s="610">
        <v>0</v>
      </c>
      <c r="K317" s="610">
        <v>50</v>
      </c>
      <c r="L317" s="611">
        <f t="shared" si="82"/>
        <v>36</v>
      </c>
      <c r="M317" s="612">
        <v>45849</v>
      </c>
      <c r="N317" s="612">
        <v>45845</v>
      </c>
      <c r="O317" s="613"/>
      <c r="P317" s="613" t="s">
        <v>113</v>
      </c>
      <c r="Q317" s="610"/>
      <c r="R317" s="614">
        <v>45814</v>
      </c>
      <c r="S317" s="614" t="s">
        <v>70</v>
      </c>
      <c r="T317" s="614" t="s">
        <v>6839</v>
      </c>
      <c r="U317" s="614"/>
      <c r="V317" s="614"/>
      <c r="W317" s="615"/>
      <c r="X317" s="609" t="s">
        <v>6840</v>
      </c>
      <c r="Y317" s="609" t="s">
        <v>977</v>
      </c>
      <c r="Z317" s="609">
        <v>0.924</v>
      </c>
      <c r="AA317" s="616">
        <f t="shared" si="89"/>
        <v>1663.2</v>
      </c>
      <c r="AC317" s="629" t="s">
        <v>1061</v>
      </c>
      <c r="AD317" s="610" t="s">
        <v>6043</v>
      </c>
      <c r="AE317" s="610" t="s">
        <v>82</v>
      </c>
      <c r="AF317" s="610"/>
      <c r="AG317" s="610" t="s">
        <v>74</v>
      </c>
      <c r="AH317" s="610"/>
      <c r="AI317" s="610">
        <v>1800</v>
      </c>
      <c r="AJ317" s="610">
        <f t="shared" si="90"/>
        <v>0</v>
      </c>
      <c r="AK317" s="610"/>
      <c r="AL317" s="610"/>
      <c r="AM317" s="610"/>
      <c r="AN317" s="610"/>
      <c r="AO317" s="554">
        <f>I317</f>
        <v>1800</v>
      </c>
      <c r="AR317" s="619"/>
      <c r="AS317" s="548"/>
      <c r="AT317" s="554">
        <f>I317</f>
        <v>1800</v>
      </c>
      <c r="AV317" s="554">
        <f>I317</f>
        <v>1800</v>
      </c>
      <c r="AW317" s="619"/>
      <c r="AX317" s="548"/>
      <c r="AY317" s="548"/>
      <c r="AZ317" s="548"/>
      <c r="BA317" s="548"/>
      <c r="BB317" s="620">
        <f>I317/24</f>
        <v>75</v>
      </c>
      <c r="BP317" s="554">
        <f>I317/25</f>
        <v>72</v>
      </c>
      <c r="BY317" s="619"/>
      <c r="BZ317" s="548"/>
      <c r="CA317" s="621"/>
      <c r="CB317" s="567"/>
      <c r="CC317" s="622"/>
      <c r="CD317" s="619"/>
      <c r="CE317" s="619"/>
      <c r="CF317" s="548"/>
      <c r="CG317" s="548"/>
      <c r="CU317" s="554">
        <f t="shared" ref="CU317:CU351" si="91">BQ317+BP317+BO317+BN317+BX317+BR317</f>
        <v>72</v>
      </c>
      <c r="CV317" s="554">
        <f t="shared" si="73"/>
        <v>0</v>
      </c>
      <c r="CW317" s="554">
        <f t="shared" si="74"/>
        <v>0</v>
      </c>
      <c r="CX317" s="619"/>
      <c r="CY317" s="619"/>
      <c r="CZ317" s="619"/>
      <c r="DA317" s="548"/>
      <c r="DB317" s="548"/>
      <c r="DC317" s="548"/>
      <c r="DD317" s="619"/>
      <c r="DE317" s="619"/>
      <c r="DF317" s="619"/>
      <c r="DG317" s="619"/>
      <c r="DH317" s="619"/>
    </row>
    <row r="318" s="548" customFormat="1" ht="31" customHeight="1" spans="1:112">
      <c r="A318" s="608">
        <v>45804</v>
      </c>
      <c r="B318" s="609" t="s">
        <v>246</v>
      </c>
      <c r="C318" s="610" t="s">
        <v>98</v>
      </c>
      <c r="D318" s="554">
        <v>4500168042</v>
      </c>
      <c r="E318" s="610" t="s">
        <v>6841</v>
      </c>
      <c r="F318" s="554" t="s">
        <v>6842</v>
      </c>
      <c r="G318" s="610" t="s">
        <v>6084</v>
      </c>
      <c r="H318" s="610" t="s">
        <v>6069</v>
      </c>
      <c r="I318" s="610">
        <v>14725</v>
      </c>
      <c r="J318" s="610">
        <v>0</v>
      </c>
      <c r="K318" s="610">
        <v>25</v>
      </c>
      <c r="L318" s="611">
        <f t="shared" si="82"/>
        <v>589</v>
      </c>
      <c r="M318" s="612">
        <v>45845</v>
      </c>
      <c r="N318" s="612">
        <v>45847</v>
      </c>
      <c r="O318" s="613"/>
      <c r="P318" s="613" t="s">
        <v>113</v>
      </c>
      <c r="Q318" s="610"/>
      <c r="R318" s="614">
        <v>45813</v>
      </c>
      <c r="S318" s="614" t="s">
        <v>104</v>
      </c>
      <c r="T318" s="614" t="s">
        <v>6806</v>
      </c>
      <c r="U318" s="614"/>
      <c r="V318" s="614"/>
      <c r="W318" s="615"/>
      <c r="X318" s="609" t="s">
        <v>6843</v>
      </c>
      <c r="Y318" s="609" t="s">
        <v>252</v>
      </c>
      <c r="Z318" s="609">
        <v>0.5443</v>
      </c>
      <c r="AA318" s="616">
        <f t="shared" si="89"/>
        <v>8014.8175</v>
      </c>
      <c r="AC318" s="617" t="s">
        <v>6844</v>
      </c>
      <c r="AD318" s="610" t="s">
        <v>6084</v>
      </c>
      <c r="AE318" s="610" t="s">
        <v>82</v>
      </c>
      <c r="AF318" s="610"/>
      <c r="AG318" s="610" t="s">
        <v>74</v>
      </c>
      <c r="AH318" s="610"/>
      <c r="AI318" s="610">
        <v>14725</v>
      </c>
      <c r="AJ318" s="610">
        <f t="shared" si="90"/>
        <v>0</v>
      </c>
      <c r="AK318" s="610"/>
      <c r="AL318" s="610"/>
      <c r="AM318" s="610"/>
      <c r="AN318" s="610">
        <f t="shared" ref="AN318:AN323" si="92">I318</f>
        <v>14725</v>
      </c>
      <c r="AP318" s="554">
        <f>I318</f>
        <v>14725</v>
      </c>
      <c r="AR318" s="619"/>
      <c r="AS318" s="548"/>
      <c r="AT318" s="548"/>
      <c r="AU318" s="554">
        <f t="shared" ref="AU318:AU323" si="93">I318</f>
        <v>14725</v>
      </c>
      <c r="AW318" s="619"/>
      <c r="AX318" s="548"/>
      <c r="AY318" s="548"/>
      <c r="AZ318" s="548"/>
      <c r="BA318" s="548"/>
      <c r="BB318" s="620">
        <f>I318/48</f>
        <v>306.770833333333</v>
      </c>
      <c r="BN318" s="554">
        <f>I318/25</f>
        <v>589</v>
      </c>
      <c r="BY318" s="619"/>
      <c r="BZ318" s="548"/>
      <c r="CA318" s="621"/>
      <c r="CB318" s="567"/>
      <c r="CC318" s="622"/>
      <c r="CD318" s="619"/>
      <c r="CE318" s="619"/>
      <c r="CF318" s="548"/>
      <c r="CG318" s="548"/>
      <c r="CU318" s="554">
        <f t="shared" si="91"/>
        <v>589</v>
      </c>
      <c r="CV318" s="554">
        <f t="shared" si="73"/>
        <v>0</v>
      </c>
      <c r="CW318" s="554">
        <f t="shared" si="74"/>
        <v>0</v>
      </c>
      <c r="CX318" s="619"/>
      <c r="CY318" s="619"/>
      <c r="CZ318" s="619"/>
      <c r="DA318" s="548"/>
      <c r="DB318" s="548"/>
      <c r="DC318" s="548"/>
      <c r="DD318" s="619"/>
      <c r="DE318" s="619"/>
      <c r="DF318" s="619"/>
      <c r="DG318" s="619"/>
      <c r="DH318" s="619"/>
    </row>
    <row r="319" s="548" customFormat="1" ht="31" customHeight="1" spans="1:112">
      <c r="A319" s="608">
        <v>45799</v>
      </c>
      <c r="B319" s="609" t="s">
        <v>6845</v>
      </c>
      <c r="C319" s="610" t="s">
        <v>98</v>
      </c>
      <c r="D319" s="554">
        <v>4500167544</v>
      </c>
      <c r="E319" s="610">
        <v>4648</v>
      </c>
      <c r="F319" s="554" t="s">
        <v>6846</v>
      </c>
      <c r="G319" s="610" t="s">
        <v>6036</v>
      </c>
      <c r="H319" s="610" t="s">
        <v>6033</v>
      </c>
      <c r="I319" s="610">
        <v>600</v>
      </c>
      <c r="J319" s="610">
        <v>0</v>
      </c>
      <c r="K319" s="610">
        <v>50</v>
      </c>
      <c r="L319" s="611">
        <f t="shared" si="82"/>
        <v>12</v>
      </c>
      <c r="M319" s="612">
        <v>45846</v>
      </c>
      <c r="N319" s="612">
        <v>45849</v>
      </c>
      <c r="O319" s="613"/>
      <c r="P319" s="613" t="s">
        <v>113</v>
      </c>
      <c r="Q319" s="610"/>
      <c r="R319" s="614">
        <v>45805</v>
      </c>
      <c r="S319" s="614" t="s">
        <v>70</v>
      </c>
      <c r="T319" s="614" t="s">
        <v>70</v>
      </c>
      <c r="U319" s="614"/>
      <c r="V319" s="614"/>
      <c r="W319" s="615"/>
      <c r="X319" s="609" t="s">
        <v>6847</v>
      </c>
      <c r="Y319" s="609" t="s">
        <v>270</v>
      </c>
      <c r="Z319" s="609">
        <v>0.5735</v>
      </c>
      <c r="AA319" s="616">
        <f t="shared" si="89"/>
        <v>344.1</v>
      </c>
      <c r="AC319" s="617" t="s">
        <v>6848</v>
      </c>
      <c r="AD319" s="610" t="s">
        <v>6036</v>
      </c>
      <c r="AE319" s="610" t="s">
        <v>82</v>
      </c>
      <c r="AF319" s="610"/>
      <c r="AG319" s="610" t="s">
        <v>74</v>
      </c>
      <c r="AH319" s="610"/>
      <c r="AI319" s="610">
        <v>600</v>
      </c>
      <c r="AJ319" s="610">
        <f t="shared" si="90"/>
        <v>0</v>
      </c>
      <c r="AK319" s="610"/>
      <c r="AL319" s="610"/>
      <c r="AM319" s="610"/>
      <c r="AN319" s="610">
        <f t="shared" si="92"/>
        <v>600</v>
      </c>
      <c r="AP319" s="554">
        <f>I319</f>
        <v>600</v>
      </c>
      <c r="AR319" s="619"/>
      <c r="AS319" s="548"/>
      <c r="AT319" s="548"/>
      <c r="AU319" s="554">
        <f t="shared" si="93"/>
        <v>600</v>
      </c>
      <c r="AW319" s="619"/>
      <c r="AX319" s="548"/>
      <c r="AY319" s="548"/>
      <c r="AZ319" s="548"/>
      <c r="BA319" s="548"/>
      <c r="BB319" s="620">
        <f>I319/48</f>
        <v>12.5</v>
      </c>
      <c r="BN319" s="554">
        <f>I319/25</f>
        <v>24</v>
      </c>
      <c r="BY319" s="619"/>
      <c r="BZ319" s="548"/>
      <c r="CA319" s="621"/>
      <c r="CB319" s="567"/>
      <c r="CC319" s="622"/>
      <c r="CD319" s="619"/>
      <c r="CE319" s="619"/>
      <c r="CF319" s="548"/>
      <c r="CG319" s="548"/>
      <c r="CU319" s="554">
        <f t="shared" si="91"/>
        <v>24</v>
      </c>
      <c r="CV319" s="554">
        <f t="shared" si="73"/>
        <v>0</v>
      </c>
      <c r="CW319" s="554">
        <f t="shared" si="74"/>
        <v>0</v>
      </c>
      <c r="CX319" s="619"/>
      <c r="CY319" s="619"/>
      <c r="CZ319" s="619"/>
      <c r="DA319" s="548"/>
      <c r="DB319" s="548"/>
      <c r="DC319" s="548"/>
      <c r="DD319" s="619"/>
      <c r="DE319" s="619"/>
      <c r="DF319" s="619"/>
      <c r="DG319" s="619"/>
      <c r="DH319" s="619"/>
    </row>
    <row r="320" s="548" customFormat="1" ht="31" customHeight="1" spans="1:112">
      <c r="A320" s="608">
        <v>45740</v>
      </c>
      <c r="B320" s="609" t="s">
        <v>3577</v>
      </c>
      <c r="C320" s="610" t="s">
        <v>170</v>
      </c>
      <c r="D320" s="554">
        <v>4500160886</v>
      </c>
      <c r="E320" s="610">
        <v>9900924256</v>
      </c>
      <c r="F320" s="554" t="s">
        <v>6849</v>
      </c>
      <c r="G320" s="610" t="s">
        <v>6084</v>
      </c>
      <c r="H320" s="610" t="s">
        <v>6069</v>
      </c>
      <c r="I320" s="610">
        <v>6775</v>
      </c>
      <c r="J320" s="610">
        <v>0</v>
      </c>
      <c r="K320" s="610">
        <v>25</v>
      </c>
      <c r="L320" s="611">
        <f t="shared" si="82"/>
        <v>271</v>
      </c>
      <c r="M320" s="612">
        <v>45849</v>
      </c>
      <c r="N320" s="612">
        <v>45849</v>
      </c>
      <c r="O320" s="613" t="s">
        <v>1118</v>
      </c>
      <c r="P320" s="613" t="s">
        <v>113</v>
      </c>
      <c r="Q320" s="610"/>
      <c r="R320" s="614">
        <v>45784</v>
      </c>
      <c r="S320" s="614" t="s">
        <v>70</v>
      </c>
      <c r="T320" s="614" t="s">
        <v>70</v>
      </c>
      <c r="U320" s="614"/>
      <c r="V320" s="614"/>
      <c r="W320" s="615"/>
      <c r="X320" s="628" t="s">
        <v>6850</v>
      </c>
      <c r="Y320" s="609" t="s">
        <v>175</v>
      </c>
      <c r="Z320" s="609">
        <v>0.95</v>
      </c>
      <c r="AA320" s="616">
        <f t="shared" si="89"/>
        <v>6436.25</v>
      </c>
      <c r="AC320" s="632" t="s">
        <v>1120</v>
      </c>
      <c r="AD320" s="610" t="s">
        <v>6089</v>
      </c>
      <c r="AE320" s="610" t="s">
        <v>82</v>
      </c>
      <c r="AF320" s="610"/>
      <c r="AG320" s="610" t="s">
        <v>74</v>
      </c>
      <c r="AH320" s="610"/>
      <c r="AI320" s="610">
        <v>6775</v>
      </c>
      <c r="AJ320" s="610">
        <f t="shared" si="90"/>
        <v>0</v>
      </c>
      <c r="AK320" s="610"/>
      <c r="AL320" s="610"/>
      <c r="AM320" s="610"/>
      <c r="AN320" s="610">
        <f t="shared" si="92"/>
        <v>6775</v>
      </c>
      <c r="AR320" s="619"/>
      <c r="AS320" s="554">
        <f>I320</f>
        <v>6775</v>
      </c>
      <c r="AU320" s="554">
        <f t="shared" si="93"/>
        <v>6775</v>
      </c>
      <c r="AW320" s="619"/>
      <c r="AX320" s="548"/>
      <c r="AY320" s="548"/>
      <c r="AZ320" s="548"/>
      <c r="BA320" s="548"/>
      <c r="BB320" s="620">
        <f>I320/24</f>
        <v>282.291666666667</v>
      </c>
      <c r="BO320" s="554">
        <f>I320/25</f>
        <v>271</v>
      </c>
      <c r="BY320" s="619"/>
      <c r="BZ320" s="548"/>
      <c r="CA320" s="621"/>
      <c r="CB320" s="567"/>
      <c r="CC320" s="622"/>
      <c r="CD320" s="619"/>
      <c r="CE320" s="619"/>
      <c r="CF320" s="548"/>
      <c r="CG320" s="548"/>
      <c r="CU320" s="554">
        <f t="shared" si="91"/>
        <v>271</v>
      </c>
      <c r="CV320" s="554">
        <f t="shared" si="73"/>
        <v>0</v>
      </c>
      <c r="CW320" s="554">
        <f t="shared" si="74"/>
        <v>0</v>
      </c>
      <c r="CX320" s="619"/>
      <c r="CY320" s="619"/>
      <c r="CZ320" s="619"/>
      <c r="DA320" s="548"/>
      <c r="DB320" s="548"/>
      <c r="DC320" s="548"/>
      <c r="DD320" s="619"/>
      <c r="DE320" s="619"/>
      <c r="DF320" s="619"/>
      <c r="DG320" s="619"/>
      <c r="DH320" s="619"/>
    </row>
    <row r="321" s="548" customFormat="1" ht="31" customHeight="1" spans="1:112">
      <c r="A321" s="608">
        <v>45806</v>
      </c>
      <c r="B321" s="609" t="s">
        <v>143</v>
      </c>
      <c r="C321" s="610" t="s">
        <v>98</v>
      </c>
      <c r="D321" s="554">
        <v>4500168379</v>
      </c>
      <c r="E321" s="613">
        <v>907594618</v>
      </c>
      <c r="F321" s="554" t="s">
        <v>6851</v>
      </c>
      <c r="G321" s="610" t="s">
        <v>6063</v>
      </c>
      <c r="H321" s="610" t="s">
        <v>6064</v>
      </c>
      <c r="I321" s="610">
        <v>7936</v>
      </c>
      <c r="J321" s="610">
        <v>0</v>
      </c>
      <c r="K321" s="610">
        <v>16</v>
      </c>
      <c r="L321" s="611">
        <f t="shared" si="82"/>
        <v>496</v>
      </c>
      <c r="M321" s="612">
        <v>45849</v>
      </c>
      <c r="N321" s="612">
        <v>45849</v>
      </c>
      <c r="O321" s="613" t="s">
        <v>1041</v>
      </c>
      <c r="P321" s="613" t="s">
        <v>113</v>
      </c>
      <c r="Q321" s="610"/>
      <c r="R321" s="614" t="s">
        <v>6762</v>
      </c>
      <c r="S321" s="614" t="s">
        <v>70</v>
      </c>
      <c r="T321" s="614" t="s">
        <v>148</v>
      </c>
      <c r="U321" s="614"/>
      <c r="V321" s="614"/>
      <c r="W321" s="615"/>
      <c r="X321" s="609" t="s">
        <v>6651</v>
      </c>
      <c r="Y321" s="609" t="s">
        <v>106</v>
      </c>
      <c r="Z321" s="609">
        <v>0.5936</v>
      </c>
      <c r="AA321" s="616">
        <f t="shared" si="89"/>
        <v>4710.8096</v>
      </c>
      <c r="AC321" s="617" t="s">
        <v>6852</v>
      </c>
      <c r="AD321" s="610" t="s">
        <v>6063</v>
      </c>
      <c r="AE321" s="610" t="s">
        <v>82</v>
      </c>
      <c r="AF321" s="610"/>
      <c r="AG321" s="610" t="s">
        <v>74</v>
      </c>
      <c r="AH321" s="610"/>
      <c r="AI321" s="610">
        <f>7888+48</f>
        <v>7936</v>
      </c>
      <c r="AJ321" s="610">
        <f t="shared" si="90"/>
        <v>0</v>
      </c>
      <c r="AK321" s="610"/>
      <c r="AL321" s="610"/>
      <c r="AM321" s="610"/>
      <c r="AN321" s="610">
        <f t="shared" si="92"/>
        <v>7936</v>
      </c>
      <c r="AP321" s="554">
        <f>I321</f>
        <v>7936</v>
      </c>
      <c r="AR321" s="619"/>
      <c r="AS321" s="548"/>
      <c r="AT321" s="548"/>
      <c r="AU321" s="554">
        <f t="shared" si="93"/>
        <v>7936</v>
      </c>
      <c r="AW321" s="619"/>
      <c r="AX321" s="548"/>
      <c r="AY321" s="548"/>
      <c r="AZ321" s="548"/>
      <c r="BA321" s="548"/>
      <c r="BB321" s="620">
        <f>I321/48</f>
        <v>165.333333333333</v>
      </c>
      <c r="BQ321" s="554">
        <f>I321/16</f>
        <v>496</v>
      </c>
      <c r="BY321" s="619"/>
      <c r="BZ321" s="548"/>
      <c r="CA321" s="621"/>
      <c r="CB321" s="567"/>
      <c r="CC321" s="622"/>
      <c r="CD321" s="619"/>
      <c r="CE321" s="619"/>
      <c r="CF321" s="548"/>
      <c r="CG321" s="548"/>
      <c r="CU321" s="554">
        <f t="shared" si="91"/>
        <v>496</v>
      </c>
      <c r="CV321" s="554">
        <f t="shared" si="73"/>
        <v>0</v>
      </c>
      <c r="CW321" s="554">
        <f t="shared" si="74"/>
        <v>0</v>
      </c>
      <c r="CX321" s="619"/>
      <c r="CY321" s="619"/>
      <c r="CZ321" s="619"/>
      <c r="DA321" s="548"/>
      <c r="DB321" s="548"/>
      <c r="DC321" s="548"/>
      <c r="DD321" s="619"/>
      <c r="DE321" s="619"/>
      <c r="DF321" s="619"/>
      <c r="DG321" s="619"/>
      <c r="DH321" s="619"/>
    </row>
    <row r="322" s="548" customFormat="1" ht="31" customHeight="1" spans="1:112">
      <c r="A322" s="608">
        <v>45806</v>
      </c>
      <c r="B322" s="609" t="s">
        <v>143</v>
      </c>
      <c r="C322" s="610" t="s">
        <v>98</v>
      </c>
      <c r="D322" s="554">
        <v>4500168379</v>
      </c>
      <c r="E322" s="613">
        <v>907594638</v>
      </c>
      <c r="F322" s="554" t="s">
        <v>6853</v>
      </c>
      <c r="G322" s="610" t="s">
        <v>6063</v>
      </c>
      <c r="H322" s="610" t="s">
        <v>6064</v>
      </c>
      <c r="I322" s="610">
        <v>7632</v>
      </c>
      <c r="J322" s="610">
        <v>0</v>
      </c>
      <c r="K322" s="610">
        <v>16</v>
      </c>
      <c r="L322" s="611">
        <f t="shared" si="82"/>
        <v>477</v>
      </c>
      <c r="M322" s="612">
        <v>45849</v>
      </c>
      <c r="N322" s="612">
        <v>45849</v>
      </c>
      <c r="O322" s="613" t="s">
        <v>1041</v>
      </c>
      <c r="P322" s="613" t="s">
        <v>113</v>
      </c>
      <c r="Q322" s="610"/>
      <c r="R322" s="614" t="s">
        <v>6762</v>
      </c>
      <c r="S322" s="614" t="s">
        <v>70</v>
      </c>
      <c r="T322" s="614" t="s">
        <v>148</v>
      </c>
      <c r="U322" s="614"/>
      <c r="V322" s="614"/>
      <c r="W322" s="615"/>
      <c r="X322" s="609" t="s">
        <v>6651</v>
      </c>
      <c r="Y322" s="609" t="s">
        <v>106</v>
      </c>
      <c r="Z322" s="609">
        <v>0.5936</v>
      </c>
      <c r="AA322" s="616">
        <f t="shared" si="89"/>
        <v>4530.3552</v>
      </c>
      <c r="AC322" s="617" t="s">
        <v>6854</v>
      </c>
      <c r="AD322" s="610" t="s">
        <v>6063</v>
      </c>
      <c r="AE322" s="610" t="s">
        <v>82</v>
      </c>
      <c r="AF322" s="610"/>
      <c r="AG322" s="610" t="s">
        <v>74</v>
      </c>
      <c r="AH322" s="610"/>
      <c r="AI322" s="610">
        <v>7632</v>
      </c>
      <c r="AJ322" s="610">
        <f t="shared" si="90"/>
        <v>0</v>
      </c>
      <c r="AK322" s="610"/>
      <c r="AL322" s="610"/>
      <c r="AM322" s="610"/>
      <c r="AN322" s="610">
        <f t="shared" si="92"/>
        <v>7632</v>
      </c>
      <c r="AP322" s="554">
        <f>I322</f>
        <v>7632</v>
      </c>
      <c r="AR322" s="619"/>
      <c r="AS322" s="548"/>
      <c r="AT322" s="548"/>
      <c r="AU322" s="554">
        <f t="shared" si="93"/>
        <v>7632</v>
      </c>
      <c r="AW322" s="619"/>
      <c r="AX322" s="548"/>
      <c r="AY322" s="548"/>
      <c r="AZ322" s="548"/>
      <c r="BA322" s="548"/>
      <c r="BB322" s="620">
        <f>I322/48</f>
        <v>159</v>
      </c>
      <c r="BQ322" s="554">
        <f>I322/16</f>
        <v>477</v>
      </c>
      <c r="BY322" s="619"/>
      <c r="BZ322" s="548"/>
      <c r="CA322" s="621"/>
      <c r="CB322" s="567"/>
      <c r="CC322" s="622"/>
      <c r="CD322" s="619"/>
      <c r="CE322" s="619"/>
      <c r="CF322" s="548"/>
      <c r="CG322" s="548"/>
      <c r="CU322" s="554">
        <f t="shared" si="91"/>
        <v>477</v>
      </c>
      <c r="CV322" s="554">
        <f t="shared" si="73"/>
        <v>0</v>
      </c>
      <c r="CW322" s="554">
        <f t="shared" si="74"/>
        <v>0</v>
      </c>
      <c r="CX322" s="619"/>
      <c r="CY322" s="619"/>
      <c r="CZ322" s="619"/>
      <c r="DA322" s="548"/>
      <c r="DB322" s="548"/>
      <c r="DC322" s="548"/>
      <c r="DD322" s="619"/>
      <c r="DE322" s="619"/>
      <c r="DF322" s="619"/>
      <c r="DG322" s="619"/>
      <c r="DH322" s="619"/>
    </row>
    <row r="323" s="548" customFormat="1" ht="31" customHeight="1" spans="1:112">
      <c r="A323" s="608">
        <v>45806</v>
      </c>
      <c r="B323" s="609" t="s">
        <v>143</v>
      </c>
      <c r="C323" s="610" t="s">
        <v>98</v>
      </c>
      <c r="D323" s="554">
        <v>4500168379</v>
      </c>
      <c r="E323" s="613">
        <v>907594666</v>
      </c>
      <c r="F323" s="554" t="s">
        <v>6855</v>
      </c>
      <c r="G323" s="610" t="s">
        <v>6063</v>
      </c>
      <c r="H323" s="610" t="s">
        <v>6064</v>
      </c>
      <c r="I323" s="610">
        <v>5120</v>
      </c>
      <c r="J323" s="610">
        <v>0</v>
      </c>
      <c r="K323" s="610">
        <v>16</v>
      </c>
      <c r="L323" s="611">
        <f t="shared" si="82"/>
        <v>320</v>
      </c>
      <c r="M323" s="612">
        <v>45849</v>
      </c>
      <c r="N323" s="612">
        <v>45849</v>
      </c>
      <c r="O323" s="613" t="s">
        <v>1041</v>
      </c>
      <c r="P323" s="613" t="s">
        <v>113</v>
      </c>
      <c r="Q323" s="610"/>
      <c r="R323" s="614" t="s">
        <v>6762</v>
      </c>
      <c r="S323" s="614" t="s">
        <v>70</v>
      </c>
      <c r="T323" s="614" t="s">
        <v>148</v>
      </c>
      <c r="U323" s="614"/>
      <c r="V323" s="614"/>
      <c r="W323" s="615"/>
      <c r="X323" s="609" t="s">
        <v>6651</v>
      </c>
      <c r="Y323" s="609" t="s">
        <v>106</v>
      </c>
      <c r="Z323" s="609">
        <v>0.5936</v>
      </c>
      <c r="AA323" s="616">
        <f t="shared" si="89"/>
        <v>3039.232</v>
      </c>
      <c r="AC323" s="617" t="s">
        <v>6856</v>
      </c>
      <c r="AD323" s="610" t="s">
        <v>6063</v>
      </c>
      <c r="AE323" s="610" t="s">
        <v>82</v>
      </c>
      <c r="AF323" s="610"/>
      <c r="AG323" s="610" t="s">
        <v>74</v>
      </c>
      <c r="AH323" s="610"/>
      <c r="AI323" s="610">
        <v>5120</v>
      </c>
      <c r="AJ323" s="610">
        <f t="shared" si="90"/>
        <v>0</v>
      </c>
      <c r="AK323" s="610"/>
      <c r="AL323" s="610"/>
      <c r="AM323" s="610"/>
      <c r="AN323" s="610">
        <f t="shared" si="92"/>
        <v>5120</v>
      </c>
      <c r="AP323" s="554">
        <f>I323</f>
        <v>5120</v>
      </c>
      <c r="AR323" s="619"/>
      <c r="AS323" s="548"/>
      <c r="AT323" s="548"/>
      <c r="AU323" s="554">
        <f t="shared" si="93"/>
        <v>5120</v>
      </c>
      <c r="AW323" s="619"/>
      <c r="AX323" s="548"/>
      <c r="AY323" s="548"/>
      <c r="AZ323" s="548"/>
      <c r="BA323" s="548"/>
      <c r="BB323" s="620">
        <f>I323/48</f>
        <v>106.666666666667</v>
      </c>
      <c r="BQ323" s="554">
        <f>I323/16</f>
        <v>320</v>
      </c>
      <c r="BY323" s="619"/>
      <c r="BZ323" s="548"/>
      <c r="CA323" s="621"/>
      <c r="CB323" s="567"/>
      <c r="CC323" s="622"/>
      <c r="CD323" s="619"/>
      <c r="CE323" s="619"/>
      <c r="CF323" s="548"/>
      <c r="CG323" s="548"/>
      <c r="CU323" s="554">
        <f t="shared" si="91"/>
        <v>320</v>
      </c>
      <c r="CV323" s="554">
        <f t="shared" ref="CV323:CV386" si="94">CK323+CL323+CM323+CN323+CO323+CQ323+CP323</f>
        <v>0</v>
      </c>
      <c r="CW323" s="554">
        <f t="shared" ref="CW323:CW386" si="95">CI323+CJ323</f>
        <v>0</v>
      </c>
      <c r="CX323" s="619"/>
      <c r="CY323" s="619"/>
      <c r="CZ323" s="619"/>
      <c r="DA323" s="548"/>
      <c r="DB323" s="548"/>
      <c r="DC323" s="548"/>
      <c r="DD323" s="619"/>
      <c r="DE323" s="619"/>
      <c r="DF323" s="619"/>
      <c r="DG323" s="619"/>
      <c r="DH323" s="619"/>
    </row>
    <row r="324" s="548" customFormat="1" ht="31" customHeight="1" spans="1:112">
      <c r="A324" s="608">
        <v>45741</v>
      </c>
      <c r="B324" s="609" t="s">
        <v>907</v>
      </c>
      <c r="C324" s="610" t="s">
        <v>170</v>
      </c>
      <c r="D324" s="554">
        <v>4500161406</v>
      </c>
      <c r="E324" s="613">
        <v>760423010</v>
      </c>
      <c r="F324" s="554" t="s">
        <v>1063</v>
      </c>
      <c r="G324" s="610" t="s">
        <v>1064</v>
      </c>
      <c r="H324" s="610" t="s">
        <v>830</v>
      </c>
      <c r="I324" s="610">
        <v>24</v>
      </c>
      <c r="J324" s="610">
        <v>0</v>
      </c>
      <c r="K324" s="610">
        <v>1</v>
      </c>
      <c r="L324" s="611">
        <f t="shared" si="82"/>
        <v>24</v>
      </c>
      <c r="M324" s="612">
        <v>45850</v>
      </c>
      <c r="N324" s="612">
        <f>M324-4</f>
        <v>45846</v>
      </c>
      <c r="O324" s="613"/>
      <c r="P324" s="613" t="s">
        <v>113</v>
      </c>
      <c r="Q324" s="610"/>
      <c r="R324" s="614">
        <v>45790</v>
      </c>
      <c r="S324" s="614" t="s">
        <v>70</v>
      </c>
      <c r="T324" s="614" t="s">
        <v>70</v>
      </c>
      <c r="U324" s="614"/>
      <c r="V324" s="614"/>
      <c r="W324" s="615"/>
      <c r="X324" s="609" t="s">
        <v>1065</v>
      </c>
      <c r="Y324" s="609" t="s">
        <v>911</v>
      </c>
      <c r="Z324" s="609">
        <v>0</v>
      </c>
      <c r="AA324" s="616">
        <v>0</v>
      </c>
      <c r="AC324" s="629" t="s">
        <v>6857</v>
      </c>
      <c r="AD324" s="610" t="s">
        <v>1067</v>
      </c>
      <c r="AE324" s="610" t="s">
        <v>82</v>
      </c>
      <c r="AF324" s="610"/>
      <c r="AG324" s="610" t="s">
        <v>74</v>
      </c>
      <c r="AH324" s="610"/>
      <c r="AI324" s="610">
        <v>2400</v>
      </c>
      <c r="AJ324" s="610">
        <v>0</v>
      </c>
      <c r="AK324" s="610"/>
      <c r="AL324" s="610"/>
      <c r="AM324" s="610"/>
      <c r="AN324" s="610"/>
      <c r="AO324" s="548"/>
      <c r="AP324" s="548"/>
      <c r="AQ324" s="548"/>
      <c r="AR324" s="619"/>
      <c r="AS324" s="548"/>
      <c r="AT324" s="548"/>
      <c r="AU324" s="548"/>
      <c r="AV324" s="548"/>
      <c r="AW324" s="619"/>
      <c r="AX324" s="548"/>
      <c r="AY324" s="548"/>
      <c r="AZ324" s="548"/>
      <c r="BA324" s="548"/>
      <c r="BB324" s="620"/>
      <c r="BC324" s="548"/>
      <c r="BD324" s="548"/>
      <c r="BE324" s="548"/>
      <c r="BF324" s="548"/>
      <c r="BY324" s="619"/>
      <c r="BZ324" s="548"/>
      <c r="CA324" s="621"/>
      <c r="CB324" s="567"/>
      <c r="CC324" s="622"/>
      <c r="CD324" s="619"/>
      <c r="CE324" s="619"/>
      <c r="CF324" s="548"/>
      <c r="CG324" s="548"/>
      <c r="CU324" s="554">
        <f t="shared" si="91"/>
        <v>0</v>
      </c>
      <c r="CV324" s="554">
        <f t="shared" si="94"/>
        <v>0</v>
      </c>
      <c r="CW324" s="554">
        <f t="shared" si="95"/>
        <v>0</v>
      </c>
      <c r="CX324" s="619"/>
      <c r="CY324" s="619"/>
      <c r="CZ324" s="619"/>
      <c r="DA324" s="548"/>
      <c r="DB324" s="548"/>
      <c r="DC324" s="548"/>
      <c r="DD324" s="619"/>
      <c r="DE324" s="619"/>
      <c r="DF324" s="619"/>
      <c r="DG324" s="619"/>
      <c r="DH324" s="619"/>
    </row>
    <row r="325" s="548" customFormat="1" ht="31" customHeight="1" spans="1:112">
      <c r="A325" s="608">
        <v>45741</v>
      </c>
      <c r="B325" s="609" t="s">
        <v>907</v>
      </c>
      <c r="C325" s="610" t="s">
        <v>170</v>
      </c>
      <c r="D325" s="554">
        <v>4500161406</v>
      </c>
      <c r="E325" s="613">
        <v>760423010</v>
      </c>
      <c r="F325" s="554" t="s">
        <v>1063</v>
      </c>
      <c r="G325" s="610">
        <v>77711</v>
      </c>
      <c r="H325" s="610" t="s">
        <v>6033</v>
      </c>
      <c r="I325" s="610">
        <v>2400</v>
      </c>
      <c r="J325" s="610">
        <v>0</v>
      </c>
      <c r="K325" s="610">
        <v>100</v>
      </c>
      <c r="L325" s="611">
        <f t="shared" si="82"/>
        <v>24</v>
      </c>
      <c r="M325" s="612">
        <v>45850</v>
      </c>
      <c r="N325" s="612">
        <f>M325-4</f>
        <v>45846</v>
      </c>
      <c r="O325" s="613"/>
      <c r="P325" s="613" t="s">
        <v>113</v>
      </c>
      <c r="Q325" s="610"/>
      <c r="R325" s="614">
        <v>45790</v>
      </c>
      <c r="S325" s="614" t="s">
        <v>70</v>
      </c>
      <c r="T325" s="614" t="s">
        <v>70</v>
      </c>
      <c r="U325" s="614"/>
      <c r="V325" s="614"/>
      <c r="W325" s="615"/>
      <c r="X325" s="609" t="s">
        <v>1065</v>
      </c>
      <c r="Y325" s="609" t="s">
        <v>911</v>
      </c>
      <c r="Z325" s="609">
        <v>1000</v>
      </c>
      <c r="AA325" s="616">
        <f>Z325*L325</f>
        <v>24000</v>
      </c>
      <c r="AC325" s="629" t="s">
        <v>6857</v>
      </c>
      <c r="AD325" s="610" t="s">
        <v>1067</v>
      </c>
      <c r="AE325" s="610" t="s">
        <v>82</v>
      </c>
      <c r="AF325" s="610"/>
      <c r="AG325" s="610" t="s">
        <v>74</v>
      </c>
      <c r="AH325" s="610"/>
      <c r="AI325" s="610">
        <v>0</v>
      </c>
      <c r="AJ325" s="610">
        <v>0</v>
      </c>
      <c r="AK325" s="610"/>
      <c r="AL325" s="610"/>
      <c r="AM325" s="610"/>
      <c r="AN325" s="610">
        <f>I325*3</f>
        <v>7200</v>
      </c>
      <c r="AR325" s="619"/>
      <c r="AS325" s="548"/>
      <c r="AT325" s="548"/>
      <c r="AU325" s="548"/>
      <c r="AV325" s="548"/>
      <c r="AW325" s="619"/>
      <c r="AX325" s="548"/>
      <c r="AY325" s="548"/>
      <c r="AZ325" s="548"/>
      <c r="BA325" s="548"/>
      <c r="BB325" s="620">
        <f>I325/24*3</f>
        <v>300</v>
      </c>
      <c r="BF325" s="554">
        <f>I325*3</f>
        <v>7200</v>
      </c>
      <c r="BH325" s="554">
        <f>I325*3</f>
        <v>7200</v>
      </c>
      <c r="BI325" s="554">
        <f>I325</f>
        <v>2400</v>
      </c>
      <c r="BJ325" s="554">
        <f>I325</f>
        <v>2400</v>
      </c>
      <c r="BY325" s="619"/>
      <c r="BZ325" s="548"/>
      <c r="CA325" s="621"/>
      <c r="CB325" s="567"/>
      <c r="CC325" s="622"/>
      <c r="CD325" s="619"/>
      <c r="CE325" s="619"/>
      <c r="CF325" s="548"/>
      <c r="CG325" s="548"/>
      <c r="CU325" s="554">
        <f t="shared" si="91"/>
        <v>0</v>
      </c>
      <c r="CV325" s="554">
        <f t="shared" si="94"/>
        <v>0</v>
      </c>
      <c r="CW325" s="554">
        <f t="shared" si="95"/>
        <v>0</v>
      </c>
      <c r="CX325" s="619"/>
      <c r="CY325" s="619"/>
      <c r="CZ325" s="619"/>
      <c r="DA325" s="548"/>
      <c r="DB325" s="548"/>
      <c r="DC325" s="548"/>
      <c r="DD325" s="619"/>
      <c r="DE325" s="619"/>
      <c r="DF325" s="619"/>
      <c r="DG325" s="619"/>
      <c r="DH325" s="619"/>
    </row>
    <row r="326" s="548" customFormat="1" ht="31" customHeight="1" spans="1:112">
      <c r="A326" s="608">
        <v>45789</v>
      </c>
      <c r="B326" s="609" t="s">
        <v>6431</v>
      </c>
      <c r="C326" s="610" t="s">
        <v>98</v>
      </c>
      <c r="D326" s="554">
        <v>4500163953</v>
      </c>
      <c r="E326" s="610" t="s">
        <v>6858</v>
      </c>
      <c r="F326" s="554" t="s">
        <v>6859</v>
      </c>
      <c r="G326" s="610" t="s">
        <v>6423</v>
      </c>
      <c r="H326" s="610" t="s">
        <v>6424</v>
      </c>
      <c r="I326" s="610">
        <v>39984</v>
      </c>
      <c r="J326" s="610">
        <v>0</v>
      </c>
      <c r="K326" s="610">
        <v>48</v>
      </c>
      <c r="L326" s="611">
        <f t="shared" ref="L326:L345" si="96">I326/K326</f>
        <v>833</v>
      </c>
      <c r="M326" s="612">
        <v>45852</v>
      </c>
      <c r="N326" s="612">
        <v>45848</v>
      </c>
      <c r="O326" s="613" t="s">
        <v>6860</v>
      </c>
      <c r="P326" s="613" t="s">
        <v>113</v>
      </c>
      <c r="Q326" s="610"/>
      <c r="R326" s="614" t="s">
        <v>6861</v>
      </c>
      <c r="S326" s="614" t="s">
        <v>70</v>
      </c>
      <c r="T326" s="614" t="s">
        <v>70</v>
      </c>
      <c r="U326" s="614"/>
      <c r="V326" s="614" t="s">
        <v>6862</v>
      </c>
      <c r="W326" s="615"/>
      <c r="X326" s="609" t="s">
        <v>6863</v>
      </c>
      <c r="Y326" s="609" t="s">
        <v>1723</v>
      </c>
      <c r="Z326" s="609">
        <v>0.582</v>
      </c>
      <c r="AA326" s="616">
        <f>I326*Z326</f>
        <v>23270.688</v>
      </c>
      <c r="AC326" s="617" t="s">
        <v>6864</v>
      </c>
      <c r="AD326" s="610" t="s">
        <v>6423</v>
      </c>
      <c r="AE326" s="610" t="s">
        <v>82</v>
      </c>
      <c r="AF326" s="610"/>
      <c r="AG326" s="610" t="s">
        <v>74</v>
      </c>
      <c r="AH326" s="610"/>
      <c r="AI326" s="610">
        <f>39888+96</f>
        <v>39984</v>
      </c>
      <c r="AJ326" s="610">
        <f>AI326-I326</f>
        <v>0</v>
      </c>
      <c r="AK326" s="610"/>
      <c r="AL326" s="610"/>
      <c r="AM326" s="610"/>
      <c r="AN326" s="610">
        <f>I326</f>
        <v>39984</v>
      </c>
      <c r="AR326" s="619"/>
      <c r="AS326" s="548"/>
      <c r="AT326" s="548"/>
      <c r="AU326" s="554">
        <f>I326</f>
        <v>39984</v>
      </c>
      <c r="AW326" s="619"/>
      <c r="AX326" s="548"/>
      <c r="AY326" s="548"/>
      <c r="AZ326" s="548"/>
      <c r="BA326" s="548"/>
      <c r="BB326" s="620">
        <f>I326/24*2</f>
        <v>3332</v>
      </c>
      <c r="BC326" s="554">
        <f>I326</f>
        <v>39984</v>
      </c>
      <c r="BS326" s="554">
        <f>I326/8</f>
        <v>4998</v>
      </c>
      <c r="BY326" s="619"/>
      <c r="BZ326" s="548"/>
      <c r="CA326" s="621"/>
      <c r="CB326" s="567"/>
      <c r="CC326" s="622"/>
      <c r="CD326" s="619"/>
      <c r="CE326" s="619"/>
      <c r="CF326" s="548"/>
      <c r="CG326" s="548"/>
      <c r="CU326" s="554">
        <f t="shared" si="91"/>
        <v>0</v>
      </c>
      <c r="CV326" s="554">
        <f t="shared" si="94"/>
        <v>0</v>
      </c>
      <c r="CW326" s="554">
        <f t="shared" si="95"/>
        <v>0</v>
      </c>
      <c r="CX326" s="619"/>
      <c r="CY326" s="619"/>
      <c r="CZ326" s="619"/>
      <c r="DA326" s="548"/>
      <c r="DB326" s="548"/>
      <c r="DC326" s="548"/>
      <c r="DD326" s="619"/>
      <c r="DE326" s="619"/>
      <c r="DF326" s="619"/>
      <c r="DG326" s="619"/>
      <c r="DH326" s="619"/>
    </row>
    <row r="327" s="548" customFormat="1" ht="31" customHeight="1" spans="1:112">
      <c r="A327" s="608">
        <v>45768</v>
      </c>
      <c r="B327" s="609" t="s">
        <v>827</v>
      </c>
      <c r="C327" s="610" t="s">
        <v>524</v>
      </c>
      <c r="D327" s="554">
        <v>4500164465</v>
      </c>
      <c r="E327" s="610">
        <v>7950403010</v>
      </c>
      <c r="F327" s="554" t="s">
        <v>1089</v>
      </c>
      <c r="G327" s="610" t="s">
        <v>829</v>
      </c>
      <c r="H327" s="610" t="s">
        <v>830</v>
      </c>
      <c r="I327" s="610">
        <v>64</v>
      </c>
      <c r="J327" s="610">
        <v>0</v>
      </c>
      <c r="K327" s="610">
        <v>1</v>
      </c>
      <c r="L327" s="611">
        <f t="shared" si="96"/>
        <v>64</v>
      </c>
      <c r="M327" s="612">
        <v>45835</v>
      </c>
      <c r="N327" s="612">
        <v>45831</v>
      </c>
      <c r="O327" s="613" t="s">
        <v>6865</v>
      </c>
      <c r="P327" s="613" t="s">
        <v>113</v>
      </c>
      <c r="Q327" s="610"/>
      <c r="R327" s="614">
        <v>45792</v>
      </c>
      <c r="S327" s="614" t="s">
        <v>70</v>
      </c>
      <c r="T327" s="614" t="s">
        <v>6866</v>
      </c>
      <c r="U327" s="614"/>
      <c r="V327" s="614"/>
      <c r="W327" s="615"/>
      <c r="X327" s="628" t="s">
        <v>1090</v>
      </c>
      <c r="Y327" s="609" t="s">
        <v>529</v>
      </c>
      <c r="Z327" s="609">
        <v>0</v>
      </c>
      <c r="AA327" s="616">
        <v>0</v>
      </c>
      <c r="AC327" s="632" t="s">
        <v>1091</v>
      </c>
      <c r="AD327" s="610" t="s">
        <v>829</v>
      </c>
      <c r="AE327" s="610" t="s">
        <v>82</v>
      </c>
      <c r="AF327" s="610"/>
      <c r="AG327" s="610" t="s">
        <v>74</v>
      </c>
      <c r="AH327" s="610"/>
      <c r="AI327" s="610">
        <v>4800</v>
      </c>
      <c r="AJ327" s="610">
        <v>0</v>
      </c>
      <c r="AK327" s="610"/>
      <c r="AL327" s="610"/>
      <c r="AM327" s="610"/>
      <c r="AN327" s="610"/>
      <c r="AO327" s="548"/>
      <c r="AP327" s="548"/>
      <c r="AQ327" s="548"/>
      <c r="AR327" s="619"/>
      <c r="AS327" s="548"/>
      <c r="AT327" s="548"/>
      <c r="AU327" s="548"/>
      <c r="AV327" s="548"/>
      <c r="AW327" s="619"/>
      <c r="AX327" s="548"/>
      <c r="AY327" s="548"/>
      <c r="AZ327" s="548"/>
      <c r="BA327" s="548"/>
      <c r="BB327" s="620"/>
      <c r="BC327" s="548"/>
      <c r="BD327" s="548"/>
      <c r="BE327" s="548"/>
      <c r="BF327" s="548"/>
      <c r="BY327" s="619"/>
      <c r="BZ327" s="548"/>
      <c r="CA327" s="621"/>
      <c r="CB327" s="567"/>
      <c r="CC327" s="622"/>
      <c r="CD327" s="619"/>
      <c r="CE327" s="619"/>
      <c r="CF327" s="548"/>
      <c r="CG327" s="548"/>
      <c r="CU327" s="554">
        <f t="shared" si="91"/>
        <v>0</v>
      </c>
      <c r="CV327" s="554">
        <f t="shared" si="94"/>
        <v>0</v>
      </c>
      <c r="CW327" s="554">
        <f t="shared" si="95"/>
        <v>0</v>
      </c>
      <c r="CX327" s="619"/>
      <c r="CY327" s="619"/>
      <c r="CZ327" s="619"/>
      <c r="DA327" s="548"/>
      <c r="DB327" s="548"/>
      <c r="DC327" s="548"/>
      <c r="DD327" s="619"/>
      <c r="DE327" s="619"/>
      <c r="DF327" s="619"/>
      <c r="DG327" s="619"/>
      <c r="DH327" s="619"/>
    </row>
    <row r="328" s="548" customFormat="1" ht="31" customHeight="1" spans="1:112">
      <c r="A328" s="608">
        <v>45768</v>
      </c>
      <c r="B328" s="609" t="s">
        <v>827</v>
      </c>
      <c r="C328" s="610" t="s">
        <v>524</v>
      </c>
      <c r="D328" s="554">
        <v>4500164465</v>
      </c>
      <c r="E328" s="610">
        <v>7950403010</v>
      </c>
      <c r="F328" s="554" t="s">
        <v>1089</v>
      </c>
      <c r="G328" s="613">
        <v>77711</v>
      </c>
      <c r="H328" s="610" t="s">
        <v>6823</v>
      </c>
      <c r="I328" s="610">
        <v>4800</v>
      </c>
      <c r="J328" s="610">
        <v>0</v>
      </c>
      <c r="K328" s="610">
        <v>75</v>
      </c>
      <c r="L328" s="611">
        <f t="shared" si="96"/>
        <v>64</v>
      </c>
      <c r="M328" s="612">
        <v>45835</v>
      </c>
      <c r="N328" s="612">
        <v>45831</v>
      </c>
      <c r="O328" s="613" t="s">
        <v>6865</v>
      </c>
      <c r="P328" s="613" t="s">
        <v>113</v>
      </c>
      <c r="Q328" s="610"/>
      <c r="R328" s="614">
        <v>45792</v>
      </c>
      <c r="S328" s="614" t="s">
        <v>70</v>
      </c>
      <c r="T328" s="614" t="s">
        <v>6866</v>
      </c>
      <c r="U328" s="614"/>
      <c r="V328" s="614"/>
      <c r="W328" s="615"/>
      <c r="X328" s="628" t="s">
        <v>1090</v>
      </c>
      <c r="Y328" s="609" t="s">
        <v>529</v>
      </c>
      <c r="Z328" s="609">
        <v>755</v>
      </c>
      <c r="AA328" s="616">
        <f>Z328*L328</f>
        <v>48320</v>
      </c>
      <c r="AC328" s="632" t="s">
        <v>1091</v>
      </c>
      <c r="AD328" s="610" t="s">
        <v>829</v>
      </c>
      <c r="AE328" s="610" t="s">
        <v>82</v>
      </c>
      <c r="AF328" s="610"/>
      <c r="AG328" s="610" t="s">
        <v>74</v>
      </c>
      <c r="AH328" s="610"/>
      <c r="AI328" s="610">
        <v>0</v>
      </c>
      <c r="AJ328" s="610">
        <v>0</v>
      </c>
      <c r="AK328" s="610"/>
      <c r="AL328" s="610"/>
      <c r="AM328" s="610"/>
      <c r="AN328" s="610"/>
      <c r="AO328" s="554">
        <f>I328*3</f>
        <v>14400</v>
      </c>
      <c r="AR328" s="619"/>
      <c r="AS328" s="548"/>
      <c r="AT328" s="548"/>
      <c r="AU328" s="548"/>
      <c r="AV328" s="548"/>
      <c r="AW328" s="619"/>
      <c r="AX328" s="548"/>
      <c r="AY328" s="548"/>
      <c r="AZ328" s="548"/>
      <c r="BA328" s="548"/>
      <c r="BB328" s="620">
        <f>I328/24*3</f>
        <v>600</v>
      </c>
      <c r="BF328" s="554">
        <f>I328*3</f>
        <v>14400</v>
      </c>
      <c r="BH328" s="554">
        <f>I328*3</f>
        <v>14400</v>
      </c>
      <c r="BI328" s="554">
        <f>I328/3</f>
        <v>1600</v>
      </c>
      <c r="BJ328" s="554">
        <f>I328/5</f>
        <v>960</v>
      </c>
      <c r="BY328" s="619"/>
      <c r="BZ328" s="548"/>
      <c r="CA328" s="621"/>
      <c r="CB328" s="567"/>
      <c r="CC328" s="622"/>
      <c r="CD328" s="619"/>
      <c r="CE328" s="619"/>
      <c r="CF328" s="548"/>
      <c r="CG328" s="548"/>
      <c r="CU328" s="554">
        <f t="shared" si="91"/>
        <v>0</v>
      </c>
      <c r="CV328" s="554">
        <f t="shared" si="94"/>
        <v>0</v>
      </c>
      <c r="CW328" s="554">
        <f t="shared" si="95"/>
        <v>0</v>
      </c>
      <c r="CX328" s="619"/>
      <c r="CY328" s="619"/>
      <c r="CZ328" s="619"/>
      <c r="DA328" s="548"/>
      <c r="DB328" s="548"/>
      <c r="DC328" s="548"/>
      <c r="DD328" s="619"/>
      <c r="DE328" s="619"/>
      <c r="DF328" s="619"/>
      <c r="DG328" s="619"/>
      <c r="DH328" s="619"/>
    </row>
    <row r="329" s="548" customFormat="1" ht="31" customHeight="1" spans="1:112">
      <c r="A329" s="608">
        <v>45817</v>
      </c>
      <c r="B329" s="609" t="s">
        <v>143</v>
      </c>
      <c r="C329" s="610" t="s">
        <v>98</v>
      </c>
      <c r="D329" s="554">
        <v>4500169408</v>
      </c>
      <c r="E329" s="613">
        <v>907594649</v>
      </c>
      <c r="F329" s="554" t="s">
        <v>6867</v>
      </c>
      <c r="G329" s="610" t="s">
        <v>6063</v>
      </c>
      <c r="H329" s="610" t="s">
        <v>6064</v>
      </c>
      <c r="I329" s="610">
        <v>8608</v>
      </c>
      <c r="J329" s="610">
        <v>0</v>
      </c>
      <c r="K329" s="610">
        <v>16</v>
      </c>
      <c r="L329" s="611">
        <f t="shared" si="96"/>
        <v>538</v>
      </c>
      <c r="M329" s="612">
        <v>45853</v>
      </c>
      <c r="N329" s="612">
        <v>45849</v>
      </c>
      <c r="O329" s="613" t="s">
        <v>1041</v>
      </c>
      <c r="P329" s="613" t="s">
        <v>113</v>
      </c>
      <c r="Q329" s="610"/>
      <c r="R329" s="614" t="s">
        <v>147</v>
      </c>
      <c r="S329" s="614" t="s">
        <v>70</v>
      </c>
      <c r="T329" s="614" t="s">
        <v>148</v>
      </c>
      <c r="U329" s="614"/>
      <c r="V329" s="614"/>
      <c r="W329" s="615"/>
      <c r="X329" s="609" t="s">
        <v>6651</v>
      </c>
      <c r="Y329" s="609" t="s">
        <v>106</v>
      </c>
      <c r="Z329" s="609">
        <v>0.5936</v>
      </c>
      <c r="AA329" s="616">
        <f>Z329*I329</f>
        <v>5109.7088</v>
      </c>
      <c r="AC329" s="617" t="s">
        <v>6868</v>
      </c>
      <c r="AD329" s="610" t="s">
        <v>6063</v>
      </c>
      <c r="AE329" s="610" t="s">
        <v>82</v>
      </c>
      <c r="AF329" s="610"/>
      <c r="AG329" s="610"/>
      <c r="AH329" s="610"/>
      <c r="AI329" s="610">
        <f>4384+4224</f>
        <v>8608</v>
      </c>
      <c r="AJ329" s="610">
        <f t="shared" ref="AJ329:AJ343" si="97">AI329-I329</f>
        <v>0</v>
      </c>
      <c r="AK329" s="610"/>
      <c r="AL329" s="610"/>
      <c r="AM329" s="610"/>
      <c r="AN329" s="610">
        <f>I329</f>
        <v>8608</v>
      </c>
      <c r="AP329" s="554">
        <f>I329</f>
        <v>8608</v>
      </c>
      <c r="AR329" s="619"/>
      <c r="AS329" s="548"/>
      <c r="AT329" s="548"/>
      <c r="AU329" s="554">
        <f>I329</f>
        <v>8608</v>
      </c>
      <c r="AW329" s="619"/>
      <c r="AX329" s="548"/>
      <c r="AY329" s="548"/>
      <c r="AZ329" s="548"/>
      <c r="BA329" s="548"/>
      <c r="BB329" s="620">
        <f>I329/48</f>
        <v>179.333333333333</v>
      </c>
      <c r="BQ329" s="554">
        <f>I329/16</f>
        <v>538</v>
      </c>
      <c r="BY329" s="619"/>
      <c r="BZ329" s="548"/>
      <c r="CA329" s="621"/>
      <c r="CB329" s="567"/>
      <c r="CC329" s="622"/>
      <c r="CD329" s="619"/>
      <c r="CE329" s="619"/>
      <c r="CF329" s="548"/>
      <c r="CG329" s="548"/>
      <c r="CU329" s="554">
        <f t="shared" si="91"/>
        <v>538</v>
      </c>
      <c r="CV329" s="554">
        <f t="shared" si="94"/>
        <v>0</v>
      </c>
      <c r="CW329" s="554">
        <f t="shared" si="95"/>
        <v>0</v>
      </c>
      <c r="CX329" s="619"/>
      <c r="CY329" s="619"/>
      <c r="CZ329" s="619"/>
      <c r="DA329" s="548"/>
      <c r="DB329" s="548"/>
      <c r="DC329" s="548"/>
      <c r="DD329" s="619"/>
      <c r="DE329" s="619"/>
      <c r="DF329" s="619"/>
      <c r="DG329" s="619"/>
      <c r="DH329" s="619"/>
    </row>
    <row r="330" s="548" customFormat="1" ht="31" customHeight="1" spans="1:112">
      <c r="A330" s="608">
        <v>45817</v>
      </c>
      <c r="B330" s="609" t="s">
        <v>143</v>
      </c>
      <c r="C330" s="610" t="s">
        <v>98</v>
      </c>
      <c r="D330" s="554">
        <v>4500169408</v>
      </c>
      <c r="E330" s="613">
        <v>907594854</v>
      </c>
      <c r="F330" s="554" t="s">
        <v>6869</v>
      </c>
      <c r="G330" s="610" t="s">
        <v>6063</v>
      </c>
      <c r="H330" s="610" t="s">
        <v>6064</v>
      </c>
      <c r="I330" s="610">
        <v>9664</v>
      </c>
      <c r="J330" s="610">
        <v>0</v>
      </c>
      <c r="K330" s="610">
        <v>16</v>
      </c>
      <c r="L330" s="611">
        <f t="shared" si="96"/>
        <v>604</v>
      </c>
      <c r="M330" s="612">
        <v>45853</v>
      </c>
      <c r="N330" s="612">
        <v>45849</v>
      </c>
      <c r="O330" s="613" t="s">
        <v>6870</v>
      </c>
      <c r="P330" s="613" t="s">
        <v>113</v>
      </c>
      <c r="Q330" s="610"/>
      <c r="R330" s="614" t="s">
        <v>147</v>
      </c>
      <c r="S330" s="614" t="s">
        <v>70</v>
      </c>
      <c r="T330" s="614" t="s">
        <v>148</v>
      </c>
      <c r="U330" s="614"/>
      <c r="V330" s="614"/>
      <c r="W330" s="615"/>
      <c r="X330" s="609" t="s">
        <v>6651</v>
      </c>
      <c r="Y330" s="609" t="s">
        <v>106</v>
      </c>
      <c r="Z330" s="609">
        <v>0.5936</v>
      </c>
      <c r="AA330" s="616">
        <f>Z330*I330</f>
        <v>5736.5504</v>
      </c>
      <c r="AC330" s="617" t="s">
        <v>6871</v>
      </c>
      <c r="AD330" s="610" t="s">
        <v>6063</v>
      </c>
      <c r="AE330" s="610" t="s">
        <v>82</v>
      </c>
      <c r="AF330" s="610"/>
      <c r="AG330" s="610"/>
      <c r="AH330" s="610"/>
      <c r="AI330" s="610">
        <v>9664</v>
      </c>
      <c r="AJ330" s="610">
        <f t="shared" si="97"/>
        <v>0</v>
      </c>
      <c r="AK330" s="610"/>
      <c r="AL330" s="610"/>
      <c r="AM330" s="610"/>
      <c r="AN330" s="610">
        <f>I330</f>
        <v>9664</v>
      </c>
      <c r="AP330" s="554">
        <f>I330</f>
        <v>9664</v>
      </c>
      <c r="AR330" s="619"/>
      <c r="AS330" s="548"/>
      <c r="AT330" s="548"/>
      <c r="AU330" s="554">
        <f>I330</f>
        <v>9664</v>
      </c>
      <c r="AW330" s="619"/>
      <c r="AX330" s="548"/>
      <c r="AY330" s="548"/>
      <c r="AZ330" s="548"/>
      <c r="BA330" s="548"/>
      <c r="BB330" s="620">
        <f>I330/48</f>
        <v>201.333333333333</v>
      </c>
      <c r="BQ330" s="554">
        <f>I330/16</f>
        <v>604</v>
      </c>
      <c r="BY330" s="619"/>
      <c r="BZ330" s="548"/>
      <c r="CA330" s="621"/>
      <c r="CB330" s="567"/>
      <c r="CC330" s="622"/>
      <c r="CD330" s="619"/>
      <c r="CE330" s="619"/>
      <c r="CF330" s="548"/>
      <c r="CG330" s="548"/>
      <c r="CU330" s="554">
        <f t="shared" si="91"/>
        <v>604</v>
      </c>
      <c r="CV330" s="554">
        <f t="shared" si="94"/>
        <v>0</v>
      </c>
      <c r="CW330" s="554">
        <f t="shared" si="95"/>
        <v>0</v>
      </c>
      <c r="CX330" s="619"/>
      <c r="CY330" s="619"/>
      <c r="CZ330" s="619"/>
      <c r="DA330" s="548"/>
      <c r="DB330" s="548"/>
      <c r="DC330" s="548"/>
      <c r="DD330" s="619"/>
      <c r="DE330" s="619"/>
      <c r="DF330" s="619"/>
      <c r="DG330" s="619"/>
      <c r="DH330" s="619"/>
    </row>
    <row r="331" s="548" customFormat="1" ht="31" customHeight="1" spans="1:112">
      <c r="A331" s="608">
        <v>45817</v>
      </c>
      <c r="B331" s="609" t="s">
        <v>143</v>
      </c>
      <c r="C331" s="610" t="s">
        <v>98</v>
      </c>
      <c r="D331" s="554">
        <v>4500169408</v>
      </c>
      <c r="E331" s="613">
        <v>907594885</v>
      </c>
      <c r="F331" s="554" t="s">
        <v>6872</v>
      </c>
      <c r="G331" s="610" t="s">
        <v>6063</v>
      </c>
      <c r="H331" s="610" t="s">
        <v>6064</v>
      </c>
      <c r="I331" s="610">
        <v>8064</v>
      </c>
      <c r="J331" s="610">
        <v>0</v>
      </c>
      <c r="K331" s="610">
        <v>16</v>
      </c>
      <c r="L331" s="611">
        <f t="shared" si="96"/>
        <v>504</v>
      </c>
      <c r="M331" s="612">
        <v>45853</v>
      </c>
      <c r="N331" s="612">
        <v>45849</v>
      </c>
      <c r="O331" s="613" t="s">
        <v>6870</v>
      </c>
      <c r="P331" s="613" t="s">
        <v>113</v>
      </c>
      <c r="Q331" s="610"/>
      <c r="R331" s="614" t="s">
        <v>147</v>
      </c>
      <c r="S331" s="614" t="s">
        <v>70</v>
      </c>
      <c r="T331" s="614" t="s">
        <v>148</v>
      </c>
      <c r="U331" s="614"/>
      <c r="V331" s="614"/>
      <c r="W331" s="615"/>
      <c r="X331" s="609" t="s">
        <v>6651</v>
      </c>
      <c r="Y331" s="609" t="s">
        <v>106</v>
      </c>
      <c r="Z331" s="609">
        <v>0.5936</v>
      </c>
      <c r="AA331" s="616">
        <f>Z331*I331</f>
        <v>4786.7904</v>
      </c>
      <c r="AC331" s="617" t="s">
        <v>6873</v>
      </c>
      <c r="AD331" s="610" t="s">
        <v>6063</v>
      </c>
      <c r="AE331" s="610" t="s">
        <v>82</v>
      </c>
      <c r="AF331" s="610"/>
      <c r="AG331" s="610"/>
      <c r="AH331" s="610"/>
      <c r="AI331" s="610">
        <v>8064</v>
      </c>
      <c r="AJ331" s="610">
        <f t="shared" si="97"/>
        <v>0</v>
      </c>
      <c r="AK331" s="610"/>
      <c r="AL331" s="610"/>
      <c r="AM331" s="610"/>
      <c r="AN331" s="610">
        <f>I331</f>
        <v>8064</v>
      </c>
      <c r="AP331" s="554">
        <f>I331</f>
        <v>8064</v>
      </c>
      <c r="AR331" s="619"/>
      <c r="AS331" s="548"/>
      <c r="AT331" s="548"/>
      <c r="AU331" s="554">
        <f>I331</f>
        <v>8064</v>
      </c>
      <c r="AW331" s="619"/>
      <c r="AX331" s="548"/>
      <c r="AY331" s="548"/>
      <c r="AZ331" s="548"/>
      <c r="BA331" s="548"/>
      <c r="BB331" s="620">
        <f>I331/48</f>
        <v>168</v>
      </c>
      <c r="BQ331" s="554">
        <f>I331/16</f>
        <v>504</v>
      </c>
      <c r="BY331" s="619"/>
      <c r="BZ331" s="548"/>
      <c r="CA331" s="621"/>
      <c r="CB331" s="567"/>
      <c r="CC331" s="622"/>
      <c r="CD331" s="619"/>
      <c r="CE331" s="619"/>
      <c r="CF331" s="548"/>
      <c r="CG331" s="548"/>
      <c r="CU331" s="554">
        <f t="shared" si="91"/>
        <v>504</v>
      </c>
      <c r="CV331" s="554">
        <f t="shared" si="94"/>
        <v>0</v>
      </c>
      <c r="CW331" s="554">
        <f t="shared" si="95"/>
        <v>0</v>
      </c>
      <c r="CX331" s="619"/>
      <c r="CY331" s="619"/>
      <c r="CZ331" s="619"/>
      <c r="DA331" s="548"/>
      <c r="DB331" s="548"/>
      <c r="DC331" s="548"/>
      <c r="DD331" s="619"/>
      <c r="DE331" s="619"/>
      <c r="DF331" s="619"/>
      <c r="DG331" s="619"/>
      <c r="DH331" s="619"/>
    </row>
    <row r="332" s="548" customFormat="1" ht="31" customHeight="1" spans="1:112">
      <c r="A332" s="608">
        <v>45817</v>
      </c>
      <c r="B332" s="609" t="s">
        <v>143</v>
      </c>
      <c r="C332" s="610" t="s">
        <v>98</v>
      </c>
      <c r="D332" s="554">
        <v>4500169408</v>
      </c>
      <c r="E332" s="613">
        <v>907594916</v>
      </c>
      <c r="F332" s="554" t="s">
        <v>6874</v>
      </c>
      <c r="G332" s="610" t="s">
        <v>6063</v>
      </c>
      <c r="H332" s="610" t="s">
        <v>6064</v>
      </c>
      <c r="I332" s="610">
        <v>7264</v>
      </c>
      <c r="J332" s="610">
        <v>0</v>
      </c>
      <c r="K332" s="610">
        <v>16</v>
      </c>
      <c r="L332" s="611">
        <f t="shared" si="96"/>
        <v>454</v>
      </c>
      <c r="M332" s="612">
        <v>45853</v>
      </c>
      <c r="N332" s="612">
        <v>45849</v>
      </c>
      <c r="O332" s="613" t="s">
        <v>6870</v>
      </c>
      <c r="P332" s="613" t="s">
        <v>113</v>
      </c>
      <c r="Q332" s="610"/>
      <c r="R332" s="614" t="s">
        <v>147</v>
      </c>
      <c r="S332" s="614" t="s">
        <v>70</v>
      </c>
      <c r="T332" s="614" t="s">
        <v>148</v>
      </c>
      <c r="U332" s="614"/>
      <c r="V332" s="614"/>
      <c r="W332" s="615"/>
      <c r="X332" s="609" t="s">
        <v>6651</v>
      </c>
      <c r="Y332" s="609" t="s">
        <v>106</v>
      </c>
      <c r="Z332" s="609">
        <v>0.5936</v>
      </c>
      <c r="AA332" s="616">
        <f>Z332*I332</f>
        <v>4311.9104</v>
      </c>
      <c r="AC332" s="617" t="s">
        <v>6875</v>
      </c>
      <c r="AD332" s="610" t="s">
        <v>6063</v>
      </c>
      <c r="AE332" s="610" t="s">
        <v>82</v>
      </c>
      <c r="AF332" s="610"/>
      <c r="AG332" s="610"/>
      <c r="AH332" s="610"/>
      <c r="AI332" s="610">
        <v>7264</v>
      </c>
      <c r="AJ332" s="610">
        <f t="shared" si="97"/>
        <v>0</v>
      </c>
      <c r="AK332" s="610"/>
      <c r="AL332" s="610"/>
      <c r="AM332" s="610"/>
      <c r="AN332" s="610">
        <f>I332</f>
        <v>7264</v>
      </c>
      <c r="AP332" s="554">
        <f>I332</f>
        <v>7264</v>
      </c>
      <c r="AR332" s="619"/>
      <c r="AS332" s="548"/>
      <c r="AT332" s="548"/>
      <c r="AU332" s="554">
        <f>I332</f>
        <v>7264</v>
      </c>
      <c r="AW332" s="619"/>
      <c r="AX332" s="548"/>
      <c r="AY332" s="548"/>
      <c r="AZ332" s="548"/>
      <c r="BA332" s="548"/>
      <c r="BB332" s="620">
        <f>I332/48</f>
        <v>151.333333333333</v>
      </c>
      <c r="BQ332" s="554">
        <f>I332/16</f>
        <v>454</v>
      </c>
      <c r="BY332" s="619"/>
      <c r="BZ332" s="548"/>
      <c r="CA332" s="621"/>
      <c r="CB332" s="567"/>
      <c r="CC332" s="622"/>
      <c r="CD332" s="619"/>
      <c r="CE332" s="619"/>
      <c r="CF332" s="548"/>
      <c r="CG332" s="548"/>
      <c r="CU332" s="554">
        <f t="shared" si="91"/>
        <v>454</v>
      </c>
      <c r="CV332" s="554">
        <f t="shared" si="94"/>
        <v>0</v>
      </c>
      <c r="CW332" s="554">
        <f t="shared" si="95"/>
        <v>0</v>
      </c>
      <c r="CX332" s="619"/>
      <c r="CY332" s="619"/>
      <c r="CZ332" s="619"/>
      <c r="DA332" s="548"/>
      <c r="DB332" s="548"/>
      <c r="DC332" s="548"/>
      <c r="DD332" s="619"/>
      <c r="DE332" s="619"/>
      <c r="DF332" s="619"/>
      <c r="DG332" s="619"/>
      <c r="DH332" s="619"/>
    </row>
    <row r="333" s="548" customFormat="1" ht="31" customHeight="1" spans="1:112">
      <c r="A333" s="608">
        <v>45817</v>
      </c>
      <c r="B333" s="609" t="s">
        <v>143</v>
      </c>
      <c r="C333" s="610" t="s">
        <v>98</v>
      </c>
      <c r="D333" s="554">
        <v>4500169408</v>
      </c>
      <c r="E333" s="613">
        <v>907594938</v>
      </c>
      <c r="F333" s="554" t="s">
        <v>6876</v>
      </c>
      <c r="G333" s="610" t="s">
        <v>6063</v>
      </c>
      <c r="H333" s="610" t="s">
        <v>6064</v>
      </c>
      <c r="I333" s="610">
        <v>7744</v>
      </c>
      <c r="J333" s="610">
        <v>0</v>
      </c>
      <c r="K333" s="610">
        <v>16</v>
      </c>
      <c r="L333" s="611">
        <f t="shared" si="96"/>
        <v>484</v>
      </c>
      <c r="M333" s="612">
        <v>45853</v>
      </c>
      <c r="N333" s="612">
        <v>45849</v>
      </c>
      <c r="O333" s="613" t="s">
        <v>6870</v>
      </c>
      <c r="P333" s="613" t="s">
        <v>113</v>
      </c>
      <c r="Q333" s="610"/>
      <c r="R333" s="614" t="s">
        <v>147</v>
      </c>
      <c r="S333" s="614" t="s">
        <v>70</v>
      </c>
      <c r="T333" s="614" t="s">
        <v>148</v>
      </c>
      <c r="U333" s="614"/>
      <c r="V333" s="614"/>
      <c r="W333" s="615"/>
      <c r="X333" s="609" t="s">
        <v>6651</v>
      </c>
      <c r="Y333" s="609" t="s">
        <v>106</v>
      </c>
      <c r="Z333" s="609">
        <v>0.5936</v>
      </c>
      <c r="AA333" s="616">
        <f>Z333*I333</f>
        <v>4596.8384</v>
      </c>
      <c r="AC333" s="617" t="s">
        <v>6877</v>
      </c>
      <c r="AD333" s="610" t="s">
        <v>6063</v>
      </c>
      <c r="AE333" s="610" t="s">
        <v>82</v>
      </c>
      <c r="AF333" s="610"/>
      <c r="AG333" s="610"/>
      <c r="AH333" s="610"/>
      <c r="AI333" s="610">
        <v>7744</v>
      </c>
      <c r="AJ333" s="610">
        <f t="shared" si="97"/>
        <v>0</v>
      </c>
      <c r="AK333" s="610"/>
      <c r="AL333" s="610"/>
      <c r="AM333" s="610"/>
      <c r="AN333" s="610">
        <f>I333</f>
        <v>7744</v>
      </c>
      <c r="AP333" s="554">
        <f>I333</f>
        <v>7744</v>
      </c>
      <c r="AR333" s="619"/>
      <c r="AS333" s="548"/>
      <c r="AT333" s="548"/>
      <c r="AU333" s="554">
        <f>I333</f>
        <v>7744</v>
      </c>
      <c r="AW333" s="619"/>
      <c r="AX333" s="548"/>
      <c r="AY333" s="548"/>
      <c r="AZ333" s="548"/>
      <c r="BA333" s="548"/>
      <c r="BB333" s="620">
        <f>I333/48</f>
        <v>161.333333333333</v>
      </c>
      <c r="BQ333" s="554">
        <f>I333/16</f>
        <v>484</v>
      </c>
      <c r="BY333" s="619"/>
      <c r="BZ333" s="548"/>
      <c r="CA333" s="621"/>
      <c r="CB333" s="567"/>
      <c r="CC333" s="622"/>
      <c r="CD333" s="619"/>
      <c r="CE333" s="619"/>
      <c r="CF333" s="548"/>
      <c r="CG333" s="548"/>
      <c r="CU333" s="554">
        <f t="shared" si="91"/>
        <v>484</v>
      </c>
      <c r="CV333" s="554">
        <f t="shared" si="94"/>
        <v>0</v>
      </c>
      <c r="CW333" s="554">
        <f t="shared" si="95"/>
        <v>0</v>
      </c>
      <c r="CX333" s="619"/>
      <c r="CY333" s="619"/>
      <c r="CZ333" s="619"/>
      <c r="DA333" s="548"/>
      <c r="DB333" s="548"/>
      <c r="DC333" s="548"/>
      <c r="DD333" s="619"/>
      <c r="DE333" s="619"/>
      <c r="DF333" s="619"/>
      <c r="DG333" s="619"/>
      <c r="DH333" s="619"/>
    </row>
    <row r="334" s="548" customFormat="1" ht="31" customHeight="1" spans="1:112">
      <c r="A334" s="608">
        <v>45741</v>
      </c>
      <c r="B334" s="609" t="s">
        <v>907</v>
      </c>
      <c r="C334" s="610" t="s">
        <v>170</v>
      </c>
      <c r="D334" s="554">
        <v>4500161402</v>
      </c>
      <c r="E334" s="613">
        <v>5730423132</v>
      </c>
      <c r="F334" s="554" t="s">
        <v>1098</v>
      </c>
      <c r="G334" s="610" t="s">
        <v>909</v>
      </c>
      <c r="H334" s="610" t="s">
        <v>830</v>
      </c>
      <c r="I334" s="610">
        <v>72</v>
      </c>
      <c r="J334" s="610">
        <v>0</v>
      </c>
      <c r="K334" s="610">
        <v>1</v>
      </c>
      <c r="L334" s="611">
        <f t="shared" si="96"/>
        <v>72</v>
      </c>
      <c r="M334" s="612">
        <v>45853</v>
      </c>
      <c r="N334" s="612">
        <f>M334-4</f>
        <v>45849</v>
      </c>
      <c r="O334" s="613"/>
      <c r="P334" s="613" t="s">
        <v>113</v>
      </c>
      <c r="Q334" s="610"/>
      <c r="R334" s="614">
        <v>45790</v>
      </c>
      <c r="S334" s="614" t="s">
        <v>70</v>
      </c>
      <c r="T334" s="614" t="s">
        <v>70</v>
      </c>
      <c r="U334" s="614"/>
      <c r="V334" s="614"/>
      <c r="W334" s="615"/>
      <c r="X334" s="609" t="s">
        <v>910</v>
      </c>
      <c r="Y334" s="609" t="s">
        <v>911</v>
      </c>
      <c r="Z334" s="609">
        <v>0</v>
      </c>
      <c r="AA334" s="616">
        <f>Z334*L334</f>
        <v>0</v>
      </c>
      <c r="AC334" s="632" t="s">
        <v>1099</v>
      </c>
      <c r="AD334" s="610" t="s">
        <v>909</v>
      </c>
      <c r="AE334" s="610" t="s">
        <v>82</v>
      </c>
      <c r="AF334" s="610"/>
      <c r="AG334" s="610"/>
      <c r="AH334" s="610"/>
      <c r="AI334" s="610">
        <v>0</v>
      </c>
      <c r="AJ334" s="610"/>
      <c r="AK334" s="610"/>
      <c r="AL334" s="610"/>
      <c r="AM334" s="610"/>
      <c r="AN334" s="610"/>
      <c r="AO334" s="548"/>
      <c r="AP334" s="548"/>
      <c r="AQ334" s="548"/>
      <c r="AR334" s="619"/>
      <c r="AS334" s="548"/>
      <c r="AT334" s="548"/>
      <c r="AU334" s="548"/>
      <c r="AV334" s="548"/>
      <c r="AW334" s="619"/>
      <c r="AX334" s="548"/>
      <c r="AY334" s="548"/>
      <c r="AZ334" s="548"/>
      <c r="BA334" s="548"/>
      <c r="BB334" s="620"/>
      <c r="BC334" s="548"/>
      <c r="BD334" s="548"/>
      <c r="BE334" s="548"/>
      <c r="BF334" s="548"/>
      <c r="BY334" s="619"/>
      <c r="BZ334" s="548"/>
      <c r="CA334" s="621"/>
      <c r="CB334" s="567"/>
      <c r="CC334" s="622"/>
      <c r="CD334" s="619"/>
      <c r="CE334" s="619"/>
      <c r="CF334" s="548"/>
      <c r="CG334" s="548"/>
      <c r="CU334" s="554">
        <f t="shared" si="91"/>
        <v>0</v>
      </c>
      <c r="CV334" s="554">
        <f t="shared" si="94"/>
        <v>0</v>
      </c>
      <c r="CW334" s="554">
        <f t="shared" si="95"/>
        <v>0</v>
      </c>
      <c r="CX334" s="619"/>
      <c r="CY334" s="619"/>
      <c r="CZ334" s="619"/>
      <c r="DA334" s="548"/>
      <c r="DB334" s="548"/>
      <c r="DC334" s="548"/>
      <c r="DD334" s="619"/>
      <c r="DE334" s="619"/>
      <c r="DF334" s="619"/>
      <c r="DG334" s="619"/>
      <c r="DH334" s="619"/>
    </row>
    <row r="335" s="548" customFormat="1" ht="31" customHeight="1" spans="1:112">
      <c r="A335" s="608">
        <v>45741</v>
      </c>
      <c r="B335" s="609" t="s">
        <v>907</v>
      </c>
      <c r="C335" s="610" t="s">
        <v>170</v>
      </c>
      <c r="D335" s="554">
        <v>4500161402</v>
      </c>
      <c r="E335" s="613">
        <v>5730423132</v>
      </c>
      <c r="F335" s="554" t="s">
        <v>1098</v>
      </c>
      <c r="G335" s="610">
        <v>77711</v>
      </c>
      <c r="H335" s="610" t="s">
        <v>6033</v>
      </c>
      <c r="I335" s="610">
        <v>5400</v>
      </c>
      <c r="J335" s="610">
        <v>0</v>
      </c>
      <c r="K335" s="610">
        <v>75</v>
      </c>
      <c r="L335" s="611">
        <f t="shared" si="96"/>
        <v>72</v>
      </c>
      <c r="M335" s="612">
        <v>45853</v>
      </c>
      <c r="N335" s="612">
        <f>M335-4</f>
        <v>45849</v>
      </c>
      <c r="O335" s="613"/>
      <c r="P335" s="613" t="s">
        <v>113</v>
      </c>
      <c r="Q335" s="610"/>
      <c r="R335" s="614">
        <v>45790</v>
      </c>
      <c r="S335" s="614" t="s">
        <v>70</v>
      </c>
      <c r="T335" s="614" t="s">
        <v>70</v>
      </c>
      <c r="U335" s="614"/>
      <c r="V335" s="614"/>
      <c r="W335" s="615"/>
      <c r="X335" s="609" t="s">
        <v>910</v>
      </c>
      <c r="Y335" s="609" t="s">
        <v>911</v>
      </c>
      <c r="Z335" s="609">
        <v>762.5</v>
      </c>
      <c r="AA335" s="616">
        <f>Z335*L335</f>
        <v>54900</v>
      </c>
      <c r="AC335" s="632" t="s">
        <v>1099</v>
      </c>
      <c r="AD335" s="610" t="s">
        <v>909</v>
      </c>
      <c r="AE335" s="610" t="s">
        <v>82</v>
      </c>
      <c r="AF335" s="610"/>
      <c r="AG335" s="610"/>
      <c r="AH335" s="610"/>
      <c r="AI335" s="610">
        <v>0</v>
      </c>
      <c r="AJ335" s="610"/>
      <c r="AK335" s="610"/>
      <c r="AL335" s="610"/>
      <c r="AM335" s="610"/>
      <c r="AN335" s="610">
        <f>I335*3</f>
        <v>16200</v>
      </c>
      <c r="AR335" s="619"/>
      <c r="AS335" s="548"/>
      <c r="AT335" s="548"/>
      <c r="AU335" s="548"/>
      <c r="AV335" s="548"/>
      <c r="AW335" s="619"/>
      <c r="AX335" s="548"/>
      <c r="AY335" s="548"/>
      <c r="AZ335" s="548"/>
      <c r="BA335" s="548"/>
      <c r="BB335" s="620">
        <f>I335/24*3</f>
        <v>675</v>
      </c>
      <c r="BF335" s="554">
        <f>I335*3</f>
        <v>16200</v>
      </c>
      <c r="BH335" s="554">
        <f>I335*3</f>
        <v>16200</v>
      </c>
      <c r="BI335" s="554">
        <f>I335</f>
        <v>5400</v>
      </c>
      <c r="BJ335" s="554">
        <f>I335/5</f>
        <v>1080</v>
      </c>
      <c r="BY335" s="619"/>
      <c r="BZ335" s="548"/>
      <c r="CA335" s="621"/>
      <c r="CB335" s="567"/>
      <c r="CC335" s="622"/>
      <c r="CD335" s="619"/>
      <c r="CE335" s="619"/>
      <c r="CF335" s="548"/>
      <c r="CG335" s="548"/>
      <c r="CU335" s="554">
        <f t="shared" si="91"/>
        <v>0</v>
      </c>
      <c r="CV335" s="554">
        <f t="shared" si="94"/>
        <v>0</v>
      </c>
      <c r="CW335" s="554">
        <f t="shared" si="95"/>
        <v>0</v>
      </c>
      <c r="CX335" s="619"/>
      <c r="CY335" s="619"/>
      <c r="CZ335" s="619"/>
      <c r="DA335" s="548"/>
      <c r="DB335" s="548"/>
      <c r="DC335" s="548"/>
      <c r="DD335" s="619"/>
      <c r="DE335" s="619"/>
      <c r="DF335" s="619"/>
      <c r="DG335" s="619"/>
      <c r="DH335" s="619"/>
    </row>
    <row r="336" s="548" customFormat="1" ht="31" customHeight="1" spans="1:112">
      <c r="A336" s="608">
        <v>45797</v>
      </c>
      <c r="B336" s="609" t="s">
        <v>2430</v>
      </c>
      <c r="C336" s="610" t="s">
        <v>170</v>
      </c>
      <c r="D336" s="554">
        <v>4500167181</v>
      </c>
      <c r="E336" s="610" t="s">
        <v>6878</v>
      </c>
      <c r="F336" s="554" t="s">
        <v>6879</v>
      </c>
      <c r="G336" s="610" t="s">
        <v>6166</v>
      </c>
      <c r="H336" s="610" t="s">
        <v>6094</v>
      </c>
      <c r="I336" s="610">
        <v>1950</v>
      </c>
      <c r="J336" s="610">
        <v>0</v>
      </c>
      <c r="K336" s="610">
        <v>13</v>
      </c>
      <c r="L336" s="611">
        <f t="shared" si="96"/>
        <v>150</v>
      </c>
      <c r="M336" s="612">
        <v>45854</v>
      </c>
      <c r="N336" s="612">
        <v>45850</v>
      </c>
      <c r="O336" s="613"/>
      <c r="P336" s="613" t="s">
        <v>113</v>
      </c>
      <c r="Q336" s="610"/>
      <c r="R336" s="614">
        <v>45797</v>
      </c>
      <c r="S336" s="614" t="s">
        <v>70</v>
      </c>
      <c r="T336" s="614" t="s">
        <v>70</v>
      </c>
      <c r="U336" s="614"/>
      <c r="V336" s="614"/>
      <c r="W336" s="615"/>
      <c r="X336" s="609" t="s">
        <v>6880</v>
      </c>
      <c r="Y336" s="609" t="s">
        <v>1318</v>
      </c>
      <c r="Z336" s="609">
        <v>0.9213</v>
      </c>
      <c r="AA336" s="616">
        <f>Z336*I336</f>
        <v>1796.535</v>
      </c>
      <c r="AC336" s="617" t="s">
        <v>6881</v>
      </c>
      <c r="AD336" s="610" t="s">
        <v>6166</v>
      </c>
      <c r="AE336" s="610" t="s">
        <v>82</v>
      </c>
      <c r="AF336" s="610"/>
      <c r="AG336" s="610"/>
      <c r="AH336" s="610"/>
      <c r="AI336" s="610">
        <v>1950</v>
      </c>
      <c r="AJ336" s="610">
        <f t="shared" si="97"/>
        <v>0</v>
      </c>
      <c r="AK336" s="610"/>
      <c r="AL336" s="610"/>
      <c r="AM336" s="610"/>
      <c r="AN336" s="610">
        <f>I336</f>
        <v>1950</v>
      </c>
      <c r="AR336" s="619"/>
      <c r="AS336" s="554">
        <f>I336</f>
        <v>1950</v>
      </c>
      <c r="AU336" s="554">
        <f>I336</f>
        <v>1950</v>
      </c>
      <c r="AW336" s="619"/>
      <c r="AX336" s="548"/>
      <c r="AY336" s="548"/>
      <c r="AZ336" s="548"/>
      <c r="BA336" s="548"/>
      <c r="BB336" s="620">
        <f>I336/24</f>
        <v>81.25</v>
      </c>
      <c r="BL336" s="554">
        <f>I336/13</f>
        <v>150</v>
      </c>
      <c r="BY336" s="619"/>
      <c r="BZ336" s="548"/>
      <c r="CA336" s="621"/>
      <c r="CB336" s="567"/>
      <c r="CC336" s="622"/>
      <c r="CD336" s="619"/>
      <c r="CE336" s="619"/>
      <c r="CF336" s="548"/>
      <c r="CG336" s="548"/>
      <c r="CU336" s="554">
        <f t="shared" si="91"/>
        <v>0</v>
      </c>
      <c r="CV336" s="554">
        <f t="shared" si="94"/>
        <v>0</v>
      </c>
      <c r="CW336" s="554">
        <f t="shared" si="95"/>
        <v>0</v>
      </c>
      <c r="CX336" s="619"/>
      <c r="CY336" s="619"/>
      <c r="CZ336" s="619"/>
      <c r="DA336" s="548"/>
      <c r="DB336" s="548"/>
      <c r="DC336" s="548"/>
      <c r="DD336" s="619"/>
      <c r="DE336" s="619"/>
      <c r="DF336" s="619"/>
      <c r="DG336" s="619"/>
      <c r="DH336" s="619"/>
    </row>
    <row r="337" s="548" customFormat="1" ht="31" customHeight="1" spans="1:112">
      <c r="A337" s="608">
        <v>45818</v>
      </c>
      <c r="B337" s="609" t="s">
        <v>1218</v>
      </c>
      <c r="C337" s="610" t="s">
        <v>399</v>
      </c>
      <c r="D337" s="554">
        <v>4500169530</v>
      </c>
      <c r="E337" s="610"/>
      <c r="F337" s="554" t="s">
        <v>6882</v>
      </c>
      <c r="G337" s="610" t="s">
        <v>6043</v>
      </c>
      <c r="H337" s="610" t="s">
        <v>6110</v>
      </c>
      <c r="I337" s="610">
        <v>800</v>
      </c>
      <c r="J337" s="610">
        <v>0</v>
      </c>
      <c r="K337" s="610">
        <v>50</v>
      </c>
      <c r="L337" s="611">
        <f t="shared" si="96"/>
        <v>16</v>
      </c>
      <c r="M337" s="612">
        <v>45854</v>
      </c>
      <c r="N337" s="612">
        <v>45850</v>
      </c>
      <c r="O337" s="613"/>
      <c r="P337" s="613" t="s">
        <v>113</v>
      </c>
      <c r="Q337" s="610"/>
      <c r="R337" s="614">
        <v>45818</v>
      </c>
      <c r="S337" s="614" t="s">
        <v>70</v>
      </c>
      <c r="T337" s="614">
        <v>45824</v>
      </c>
      <c r="U337" s="614"/>
      <c r="V337" s="614"/>
      <c r="W337" s="615"/>
      <c r="X337" s="609" t="s">
        <v>6883</v>
      </c>
      <c r="Y337" s="609" t="s">
        <v>402</v>
      </c>
      <c r="Z337" s="609">
        <v>0.9462</v>
      </c>
      <c r="AA337" s="616">
        <f>Z337*I337</f>
        <v>756.96</v>
      </c>
      <c r="AC337" s="617" t="s">
        <v>1222</v>
      </c>
      <c r="AD337" s="610" t="s">
        <v>6043</v>
      </c>
      <c r="AE337" s="610" t="s">
        <v>82</v>
      </c>
      <c r="AF337" s="610"/>
      <c r="AG337" s="610"/>
      <c r="AH337" s="610"/>
      <c r="AI337" s="610">
        <v>800</v>
      </c>
      <c r="AJ337" s="610">
        <f t="shared" si="97"/>
        <v>0</v>
      </c>
      <c r="AK337" s="610"/>
      <c r="AL337" s="610"/>
      <c r="AM337" s="610"/>
      <c r="AN337" s="610"/>
      <c r="AO337" s="554">
        <f>I337</f>
        <v>800</v>
      </c>
      <c r="AR337" s="619"/>
      <c r="AS337" s="548"/>
      <c r="AT337" s="554">
        <f>I337</f>
        <v>800</v>
      </c>
      <c r="AV337" s="554">
        <f>I337</f>
        <v>800</v>
      </c>
      <c r="AW337" s="619"/>
      <c r="AX337" s="548"/>
      <c r="AY337" s="548"/>
      <c r="AZ337" s="548"/>
      <c r="BA337" s="548"/>
      <c r="BB337" s="620">
        <f>I337/24</f>
        <v>33.3333333333333</v>
      </c>
      <c r="BP337" s="554">
        <f>I337/25</f>
        <v>32</v>
      </c>
      <c r="BY337" s="619"/>
      <c r="BZ337" s="548"/>
      <c r="CA337" s="621"/>
      <c r="CB337" s="567"/>
      <c r="CC337" s="622"/>
      <c r="CD337" s="619"/>
      <c r="CE337" s="619"/>
      <c r="CF337" s="548"/>
      <c r="CG337" s="548"/>
      <c r="CU337" s="554">
        <f t="shared" si="91"/>
        <v>32</v>
      </c>
      <c r="CV337" s="554">
        <f t="shared" si="94"/>
        <v>0</v>
      </c>
      <c r="CW337" s="554">
        <f t="shared" si="95"/>
        <v>0</v>
      </c>
      <c r="CX337" s="619"/>
      <c r="CY337" s="619"/>
      <c r="CZ337" s="619"/>
      <c r="DA337" s="548"/>
      <c r="DB337" s="548"/>
      <c r="DC337" s="548"/>
      <c r="DD337" s="619"/>
      <c r="DE337" s="619"/>
      <c r="DF337" s="619"/>
      <c r="DG337" s="619"/>
      <c r="DH337" s="619"/>
    </row>
    <row r="338" s="548" customFormat="1" ht="31" customHeight="1" spans="1:112">
      <c r="A338" s="608">
        <v>45783</v>
      </c>
      <c r="B338" s="609" t="s">
        <v>6884</v>
      </c>
      <c r="C338" s="610" t="s">
        <v>1101</v>
      </c>
      <c r="D338" s="554">
        <v>4500165563</v>
      </c>
      <c r="E338" s="613">
        <v>84212</v>
      </c>
      <c r="F338" s="554" t="s">
        <v>6885</v>
      </c>
      <c r="G338" s="610" t="s">
        <v>6043</v>
      </c>
      <c r="H338" s="610" t="s">
        <v>6110</v>
      </c>
      <c r="I338" s="610">
        <v>11000</v>
      </c>
      <c r="J338" s="610">
        <v>0</v>
      </c>
      <c r="K338" s="610">
        <v>50</v>
      </c>
      <c r="L338" s="611">
        <f t="shared" si="96"/>
        <v>220</v>
      </c>
      <c r="M338" s="612">
        <v>45874</v>
      </c>
      <c r="N338" s="612">
        <v>45870</v>
      </c>
      <c r="O338" s="613" t="s">
        <v>6886</v>
      </c>
      <c r="P338" s="613" t="s">
        <v>113</v>
      </c>
      <c r="Q338" s="610"/>
      <c r="R338" s="614">
        <v>45806</v>
      </c>
      <c r="S338" s="614" t="s">
        <v>70</v>
      </c>
      <c r="T338" s="614">
        <v>45806</v>
      </c>
      <c r="U338" s="614"/>
      <c r="V338" s="614" t="s">
        <v>6887</v>
      </c>
      <c r="W338" s="615"/>
      <c r="X338" s="628" t="s">
        <v>6888</v>
      </c>
      <c r="Y338" s="609" t="s">
        <v>505</v>
      </c>
      <c r="Z338" s="609">
        <v>0.9306</v>
      </c>
      <c r="AA338" s="616">
        <f>Z338*I338</f>
        <v>10236.6</v>
      </c>
      <c r="AC338" s="629" t="s">
        <v>1107</v>
      </c>
      <c r="AD338" s="610" t="s">
        <v>6043</v>
      </c>
      <c r="AE338" s="610" t="s">
        <v>82</v>
      </c>
      <c r="AF338" s="610"/>
      <c r="AG338" s="610" t="s">
        <v>74</v>
      </c>
      <c r="AH338" s="610"/>
      <c r="AI338" s="610">
        <f>50+10950</f>
        <v>11000</v>
      </c>
      <c r="AJ338" s="610">
        <f t="shared" si="97"/>
        <v>0</v>
      </c>
      <c r="AK338" s="610"/>
      <c r="AL338" s="610"/>
      <c r="AM338" s="610"/>
      <c r="AN338" s="610"/>
      <c r="AO338" s="554">
        <f>I338</f>
        <v>11000</v>
      </c>
      <c r="AR338" s="619"/>
      <c r="AS338" s="548"/>
      <c r="AT338" s="554">
        <f>I338</f>
        <v>11000</v>
      </c>
      <c r="AV338" s="554">
        <f>I338</f>
        <v>11000</v>
      </c>
      <c r="AW338" s="619"/>
      <c r="AX338" s="548"/>
      <c r="AY338" s="548"/>
      <c r="AZ338" s="548"/>
      <c r="BA338" s="548"/>
      <c r="BB338" s="620">
        <f>I338/24</f>
        <v>458.333333333333</v>
      </c>
      <c r="BP338" s="554">
        <f>I338/25</f>
        <v>440</v>
      </c>
      <c r="BY338" s="619"/>
      <c r="BZ338" s="548"/>
      <c r="CA338" s="621"/>
      <c r="CB338" s="567"/>
      <c r="CC338" s="622"/>
      <c r="CD338" s="619"/>
      <c r="CE338" s="619"/>
      <c r="CF338" s="548"/>
      <c r="CG338" s="548"/>
      <c r="CU338" s="554">
        <f t="shared" si="91"/>
        <v>440</v>
      </c>
      <c r="CV338" s="554">
        <f t="shared" si="94"/>
        <v>0</v>
      </c>
      <c r="CW338" s="554">
        <f t="shared" si="95"/>
        <v>0</v>
      </c>
      <c r="CX338" s="619"/>
      <c r="CY338" s="619"/>
      <c r="CZ338" s="619"/>
      <c r="DA338" s="548"/>
      <c r="DB338" s="548"/>
      <c r="DC338" s="548"/>
      <c r="DD338" s="619"/>
      <c r="DE338" s="619"/>
      <c r="DF338" s="619"/>
      <c r="DG338" s="619"/>
      <c r="DH338" s="619"/>
    </row>
    <row r="339" s="548" customFormat="1" ht="31" customHeight="1" spans="1:112">
      <c r="A339" s="608">
        <v>45814</v>
      </c>
      <c r="B339" s="609" t="s">
        <v>277</v>
      </c>
      <c r="C339" s="610" t="s">
        <v>278</v>
      </c>
      <c r="D339" s="554">
        <v>4500159839</v>
      </c>
      <c r="E339" s="610">
        <v>14552407</v>
      </c>
      <c r="F339" s="554" t="s">
        <v>6889</v>
      </c>
      <c r="G339" s="610" t="s">
        <v>6136</v>
      </c>
      <c r="H339" s="610" t="s">
        <v>6137</v>
      </c>
      <c r="I339" s="610">
        <v>2808</v>
      </c>
      <c r="J339" s="610">
        <v>13</v>
      </c>
      <c r="K339" s="610">
        <f>J339*8</f>
        <v>104</v>
      </c>
      <c r="L339" s="611">
        <f t="shared" si="96"/>
        <v>27</v>
      </c>
      <c r="M339" s="612">
        <v>45854</v>
      </c>
      <c r="N339" s="612">
        <v>45850</v>
      </c>
      <c r="O339" s="613"/>
      <c r="P339" s="613" t="s">
        <v>113</v>
      </c>
      <c r="Q339" s="610"/>
      <c r="R339" s="614">
        <v>45827</v>
      </c>
      <c r="S339" s="614" t="s">
        <v>70</v>
      </c>
      <c r="T339" s="614">
        <v>45827</v>
      </c>
      <c r="U339" s="614"/>
      <c r="V339" s="614"/>
      <c r="W339" s="615"/>
      <c r="X339" s="609" t="s">
        <v>6890</v>
      </c>
      <c r="Y339" s="609" t="s">
        <v>283</v>
      </c>
      <c r="Z339" s="609">
        <v>1.16</v>
      </c>
      <c r="AA339" s="616">
        <f>Z339*I339</f>
        <v>3257.28</v>
      </c>
      <c r="AC339" s="617" t="s">
        <v>1088</v>
      </c>
      <c r="AD339" s="610" t="s">
        <v>6136</v>
      </c>
      <c r="AE339" s="610" t="s">
        <v>82</v>
      </c>
      <c r="AF339" s="610"/>
      <c r="AG339" s="610"/>
      <c r="AH339" s="610"/>
      <c r="AI339" s="610">
        <v>2808</v>
      </c>
      <c r="AJ339" s="610">
        <f t="shared" si="97"/>
        <v>0</v>
      </c>
      <c r="AK339" s="610"/>
      <c r="AL339" s="610"/>
      <c r="AM339" s="610"/>
      <c r="AN339" s="610"/>
      <c r="AO339" s="554">
        <f>I339</f>
        <v>2808</v>
      </c>
      <c r="AR339" s="619"/>
      <c r="AS339" s="548"/>
      <c r="AT339" s="554">
        <f>I339</f>
        <v>2808</v>
      </c>
      <c r="AV339" s="554">
        <f>I339</f>
        <v>2808</v>
      </c>
      <c r="AW339" s="619"/>
      <c r="AX339" s="548"/>
      <c r="AY339" s="548"/>
      <c r="AZ339" s="548"/>
      <c r="BA339" s="548"/>
      <c r="BB339" s="620">
        <f>I339/24</f>
        <v>117</v>
      </c>
      <c r="BM339" s="554">
        <f>I339/13</f>
        <v>216</v>
      </c>
      <c r="BY339" s="619"/>
      <c r="BZ339" s="548"/>
      <c r="CA339" s="621"/>
      <c r="CB339" s="567"/>
      <c r="CC339" s="622"/>
      <c r="CD339" s="619"/>
      <c r="CE339" s="619"/>
      <c r="CF339" s="548"/>
      <c r="CG339" s="548"/>
      <c r="CU339" s="554">
        <f t="shared" si="91"/>
        <v>0</v>
      </c>
      <c r="CV339" s="554">
        <f t="shared" si="94"/>
        <v>0</v>
      </c>
      <c r="CW339" s="554">
        <f t="shared" si="95"/>
        <v>0</v>
      </c>
      <c r="CX339" s="619"/>
      <c r="CY339" s="619"/>
      <c r="CZ339" s="619"/>
      <c r="DA339" s="548"/>
      <c r="DB339" s="548"/>
      <c r="DC339" s="548"/>
      <c r="DD339" s="619"/>
      <c r="DE339" s="619"/>
      <c r="DF339" s="619"/>
      <c r="DG339" s="619"/>
      <c r="DH339" s="619"/>
    </row>
    <row r="340" s="548" customFormat="1" ht="31" customHeight="1" spans="1:112">
      <c r="A340" s="608">
        <v>45798</v>
      </c>
      <c r="B340" s="609" t="s">
        <v>312</v>
      </c>
      <c r="C340" s="610" t="s">
        <v>278</v>
      </c>
      <c r="D340" s="554">
        <v>4500167191</v>
      </c>
      <c r="E340" s="610" t="s">
        <v>1152</v>
      </c>
      <c r="F340" s="554" t="s">
        <v>1153</v>
      </c>
      <c r="G340" s="610" t="s">
        <v>6337</v>
      </c>
      <c r="H340" s="610" t="s">
        <v>477</v>
      </c>
      <c r="I340" s="610">
        <v>8700</v>
      </c>
      <c r="J340" s="610">
        <v>0</v>
      </c>
      <c r="K340" s="610">
        <v>6</v>
      </c>
      <c r="L340" s="611">
        <f t="shared" ref="L339:L347" si="98">I340/K340</f>
        <v>1450</v>
      </c>
      <c r="M340" s="612">
        <v>45856</v>
      </c>
      <c r="N340" s="612">
        <f>M340-4</f>
        <v>45852</v>
      </c>
      <c r="O340" s="613"/>
      <c r="P340" s="613" t="s">
        <v>113</v>
      </c>
      <c r="Q340" s="610"/>
      <c r="R340" s="614">
        <v>45798</v>
      </c>
      <c r="S340" s="614" t="s">
        <v>70</v>
      </c>
      <c r="T340" s="614">
        <v>45800</v>
      </c>
      <c r="U340" s="614"/>
      <c r="V340" s="614"/>
      <c r="W340" s="615"/>
      <c r="X340" s="628" t="s">
        <v>921</v>
      </c>
      <c r="Y340" s="609" t="s">
        <v>317</v>
      </c>
      <c r="Z340" s="609">
        <v>8.1</v>
      </c>
      <c r="AA340" s="616">
        <f t="shared" ref="AA340:AA350" si="99">Z340*I340</f>
        <v>70470</v>
      </c>
      <c r="AC340" s="617" t="s">
        <v>1154</v>
      </c>
      <c r="AD340" s="610" t="s">
        <v>480</v>
      </c>
      <c r="AE340" s="610" t="s">
        <v>82</v>
      </c>
      <c r="AF340" s="610"/>
      <c r="AG340" s="610" t="s">
        <v>74</v>
      </c>
      <c r="AH340" s="610"/>
      <c r="AI340" s="610">
        <f>1512+7188</f>
        <v>8700</v>
      </c>
      <c r="AJ340" s="610">
        <f t="shared" ref="AJ339:AJ347" si="100">AI340-I340</f>
        <v>0</v>
      </c>
      <c r="AK340" s="610"/>
      <c r="AL340" s="610"/>
      <c r="AM340" s="610"/>
      <c r="AN340" s="610"/>
      <c r="AO340" s="554">
        <f>I340*2</f>
        <v>17400</v>
      </c>
      <c r="AR340" s="619"/>
      <c r="AS340" s="548"/>
      <c r="AT340" s="554">
        <f>I340*2</f>
        <v>17400</v>
      </c>
      <c r="AV340" s="554">
        <f>I340*2</f>
        <v>17400</v>
      </c>
      <c r="AW340" s="619"/>
      <c r="AX340" s="548"/>
      <c r="AY340" s="548"/>
      <c r="AZ340" s="548"/>
      <c r="BA340" s="548"/>
      <c r="BB340" s="620">
        <f>I340/24*2</f>
        <v>725</v>
      </c>
      <c r="BY340" s="619"/>
      <c r="BZ340" s="554">
        <f>I340</f>
        <v>8700</v>
      </c>
      <c r="CA340" s="621"/>
      <c r="CB340" s="567"/>
      <c r="CC340" s="622"/>
      <c r="CD340" s="619"/>
      <c r="CE340" s="619"/>
      <c r="CF340" s="548"/>
      <c r="CG340" s="548"/>
      <c r="CU340" s="554">
        <f t="shared" si="91"/>
        <v>0</v>
      </c>
      <c r="CV340" s="554">
        <f t="shared" si="94"/>
        <v>0</v>
      </c>
      <c r="CW340" s="554">
        <f t="shared" si="95"/>
        <v>0</v>
      </c>
      <c r="CX340" s="619"/>
      <c r="CY340" s="619"/>
      <c r="CZ340" s="619"/>
      <c r="DA340" s="548"/>
      <c r="DB340" s="548"/>
      <c r="DC340" s="548"/>
      <c r="DD340" s="619"/>
      <c r="DE340" s="619"/>
      <c r="DF340" s="619"/>
      <c r="DG340" s="619"/>
      <c r="DH340" s="619"/>
    </row>
    <row r="341" s="548" customFormat="1" ht="31" customHeight="1" spans="1:112">
      <c r="A341" s="608">
        <v>45803</v>
      </c>
      <c r="B341" s="609" t="s">
        <v>1201</v>
      </c>
      <c r="C341" s="610" t="s">
        <v>524</v>
      </c>
      <c r="D341" s="554">
        <v>4500167907</v>
      </c>
      <c r="E341" s="610">
        <v>129631875</v>
      </c>
      <c r="F341" s="554" t="s">
        <v>6891</v>
      </c>
      <c r="G341" s="610" t="s">
        <v>6043</v>
      </c>
      <c r="H341" s="610" t="s">
        <v>6110</v>
      </c>
      <c r="I341" s="610">
        <v>3550</v>
      </c>
      <c r="J341" s="610">
        <v>0</v>
      </c>
      <c r="K341" s="610">
        <v>50</v>
      </c>
      <c r="L341" s="611">
        <f t="shared" si="98"/>
        <v>71</v>
      </c>
      <c r="M341" s="612">
        <v>45856</v>
      </c>
      <c r="N341" s="612">
        <v>45852</v>
      </c>
      <c r="O341" s="613"/>
      <c r="P341" s="613" t="s">
        <v>113</v>
      </c>
      <c r="Q341" s="610"/>
      <c r="R341" s="614">
        <v>45827</v>
      </c>
      <c r="S341" s="614" t="s">
        <v>70</v>
      </c>
      <c r="T341" s="614">
        <v>45833</v>
      </c>
      <c r="U341" s="614"/>
      <c r="V341" s="614"/>
      <c r="W341" s="615"/>
      <c r="X341" s="609" t="s">
        <v>6892</v>
      </c>
      <c r="Y341" s="609" t="s">
        <v>340</v>
      </c>
      <c r="Z341" s="609">
        <v>0.941</v>
      </c>
      <c r="AA341" s="616">
        <f t="shared" si="99"/>
        <v>3340.55</v>
      </c>
      <c r="AC341" s="617" t="s">
        <v>1204</v>
      </c>
      <c r="AD341" s="610" t="s">
        <v>6043</v>
      </c>
      <c r="AE341" s="610" t="s">
        <v>82</v>
      </c>
      <c r="AF341" s="610"/>
      <c r="AG341" s="610"/>
      <c r="AH341" s="610"/>
      <c r="AI341" s="610">
        <v>3550</v>
      </c>
      <c r="AJ341" s="610">
        <f t="shared" si="100"/>
        <v>0</v>
      </c>
      <c r="AK341" s="610"/>
      <c r="AL341" s="610"/>
      <c r="AM341" s="610"/>
      <c r="AN341" s="610"/>
      <c r="AO341" s="554">
        <f>I341</f>
        <v>3550</v>
      </c>
      <c r="AR341" s="619"/>
      <c r="AS341" s="548"/>
      <c r="AT341" s="554">
        <f>I341</f>
        <v>3550</v>
      </c>
      <c r="AV341" s="554">
        <f>I341</f>
        <v>3550</v>
      </c>
      <c r="AW341" s="619"/>
      <c r="AX341" s="548"/>
      <c r="AY341" s="548"/>
      <c r="AZ341" s="548"/>
      <c r="BA341" s="548"/>
      <c r="BB341" s="620">
        <f>I341/24</f>
        <v>147.916666666667</v>
      </c>
      <c r="BP341" s="554">
        <f>I341/25</f>
        <v>142</v>
      </c>
      <c r="BY341" s="619"/>
      <c r="BZ341" s="548"/>
      <c r="CA341" s="621"/>
      <c r="CB341" s="567"/>
      <c r="CC341" s="622"/>
      <c r="CD341" s="619"/>
      <c r="CE341" s="619"/>
      <c r="CF341" s="548"/>
      <c r="CG341" s="548"/>
      <c r="CU341" s="554">
        <f t="shared" si="91"/>
        <v>142</v>
      </c>
      <c r="CV341" s="554">
        <f t="shared" si="94"/>
        <v>0</v>
      </c>
      <c r="CW341" s="554">
        <f t="shared" si="95"/>
        <v>0</v>
      </c>
      <c r="CX341" s="619"/>
      <c r="CY341" s="619"/>
      <c r="CZ341" s="619"/>
      <c r="DA341" s="548"/>
      <c r="DB341" s="548"/>
      <c r="DC341" s="548"/>
      <c r="DD341" s="619"/>
      <c r="DE341" s="619"/>
      <c r="DF341" s="619"/>
      <c r="DG341" s="619"/>
      <c r="DH341" s="619"/>
    </row>
    <row r="342" s="548" customFormat="1" ht="31" customHeight="1" spans="1:112">
      <c r="A342" s="608">
        <v>45798</v>
      </c>
      <c r="B342" s="609" t="s">
        <v>738</v>
      </c>
      <c r="C342" s="610" t="s">
        <v>348</v>
      </c>
      <c r="D342" s="554">
        <v>4500167463</v>
      </c>
      <c r="E342" s="610" t="s">
        <v>6893</v>
      </c>
      <c r="F342" s="554" t="s">
        <v>6894</v>
      </c>
      <c r="G342" s="610" t="s">
        <v>6276</v>
      </c>
      <c r="H342" s="610" t="s">
        <v>6277</v>
      </c>
      <c r="I342" s="610">
        <v>1200</v>
      </c>
      <c r="J342" s="610">
        <v>0</v>
      </c>
      <c r="K342" s="610">
        <v>50</v>
      </c>
      <c r="L342" s="611">
        <f t="shared" si="98"/>
        <v>24</v>
      </c>
      <c r="M342" s="612">
        <v>45856</v>
      </c>
      <c r="N342" s="612">
        <v>45852</v>
      </c>
      <c r="O342" s="613"/>
      <c r="P342" s="613" t="s">
        <v>113</v>
      </c>
      <c r="Q342" s="610"/>
      <c r="R342" s="614">
        <v>45813</v>
      </c>
      <c r="S342" s="614" t="s">
        <v>70</v>
      </c>
      <c r="T342" s="614" t="s">
        <v>6895</v>
      </c>
      <c r="U342" s="614"/>
      <c r="V342" s="614"/>
      <c r="W342" s="615"/>
      <c r="X342" s="609" t="s">
        <v>6896</v>
      </c>
      <c r="Y342" s="609" t="s">
        <v>529</v>
      </c>
      <c r="Z342" s="609">
        <v>1.32</v>
      </c>
      <c r="AA342" s="616">
        <f t="shared" si="99"/>
        <v>1584</v>
      </c>
      <c r="AC342" s="629" t="s">
        <v>6897</v>
      </c>
      <c r="AD342" s="610" t="s">
        <v>6276</v>
      </c>
      <c r="AE342" s="610" t="s">
        <v>82</v>
      </c>
      <c r="AF342" s="610"/>
      <c r="AG342" s="610"/>
      <c r="AH342" s="610"/>
      <c r="AI342" s="610">
        <v>1200</v>
      </c>
      <c r="AJ342" s="610">
        <f t="shared" si="100"/>
        <v>0</v>
      </c>
      <c r="AK342" s="610"/>
      <c r="AL342" s="610"/>
      <c r="AM342" s="610"/>
      <c r="AN342" s="610"/>
      <c r="AO342" s="554">
        <f>I342</f>
        <v>1200</v>
      </c>
      <c r="AR342" s="619"/>
      <c r="AS342" s="548"/>
      <c r="AT342" s="548"/>
      <c r="AU342" s="548"/>
      <c r="AV342" s="548"/>
      <c r="AW342" s="619"/>
      <c r="AX342" s="548"/>
      <c r="AY342" s="548"/>
      <c r="AZ342" s="548"/>
      <c r="BA342" s="548"/>
      <c r="BB342" s="620">
        <f>I342/24*2</f>
        <v>100</v>
      </c>
      <c r="BV342" s="554">
        <f>I342</f>
        <v>1200</v>
      </c>
      <c r="BW342" s="554">
        <f>I342</f>
        <v>1200</v>
      </c>
      <c r="BX342" s="554">
        <f>I342/25</f>
        <v>48</v>
      </c>
      <c r="BY342" s="619"/>
      <c r="BZ342" s="548"/>
      <c r="CA342" s="621"/>
      <c r="CB342" s="567"/>
      <c r="CC342" s="622"/>
      <c r="CD342" s="619"/>
      <c r="CE342" s="619"/>
      <c r="CF342" s="548"/>
      <c r="CG342" s="548"/>
      <c r="CU342" s="554">
        <f t="shared" si="91"/>
        <v>48</v>
      </c>
      <c r="CV342" s="554">
        <f t="shared" si="94"/>
        <v>0</v>
      </c>
      <c r="CW342" s="554">
        <f t="shared" si="95"/>
        <v>0</v>
      </c>
      <c r="CX342" s="619"/>
      <c r="CY342" s="619"/>
      <c r="CZ342" s="619"/>
      <c r="DA342" s="548"/>
      <c r="DB342" s="548"/>
      <c r="DC342" s="548"/>
      <c r="DD342" s="619"/>
      <c r="DE342" s="619"/>
      <c r="DF342" s="619"/>
      <c r="DG342" s="619"/>
      <c r="DH342" s="619"/>
    </row>
    <row r="343" s="548" customFormat="1" ht="31" customHeight="1" spans="1:112">
      <c r="A343" s="608">
        <v>45817</v>
      </c>
      <c r="B343" s="609" t="s">
        <v>143</v>
      </c>
      <c r="C343" s="610" t="s">
        <v>98</v>
      </c>
      <c r="D343" s="554">
        <v>4500169409</v>
      </c>
      <c r="E343" s="613">
        <v>907594655</v>
      </c>
      <c r="F343" s="554" t="s">
        <v>6898</v>
      </c>
      <c r="G343" s="610" t="s">
        <v>6063</v>
      </c>
      <c r="H343" s="610" t="s">
        <v>6064</v>
      </c>
      <c r="I343" s="610">
        <v>6848</v>
      </c>
      <c r="J343" s="610">
        <v>0</v>
      </c>
      <c r="K343" s="610">
        <v>16</v>
      </c>
      <c r="L343" s="611">
        <f t="shared" si="98"/>
        <v>428</v>
      </c>
      <c r="M343" s="612">
        <v>45856</v>
      </c>
      <c r="N343" s="612">
        <v>45852</v>
      </c>
      <c r="O343" s="613" t="s">
        <v>6870</v>
      </c>
      <c r="P343" s="613" t="s">
        <v>113</v>
      </c>
      <c r="Q343" s="610"/>
      <c r="R343" s="614" t="s">
        <v>147</v>
      </c>
      <c r="S343" s="614" t="s">
        <v>70</v>
      </c>
      <c r="T343" s="614" t="s">
        <v>148</v>
      </c>
      <c r="U343" s="614"/>
      <c r="V343" s="614"/>
      <c r="W343" s="615"/>
      <c r="X343" s="609" t="s">
        <v>6651</v>
      </c>
      <c r="Y343" s="609" t="s">
        <v>106</v>
      </c>
      <c r="Z343" s="609">
        <v>0.5936</v>
      </c>
      <c r="AA343" s="616">
        <f t="shared" si="99"/>
        <v>4064.9728</v>
      </c>
      <c r="AC343" s="617" t="s">
        <v>6899</v>
      </c>
      <c r="AD343" s="610" t="s">
        <v>6063</v>
      </c>
      <c r="AE343" s="610" t="s">
        <v>82</v>
      </c>
      <c r="AF343" s="610"/>
      <c r="AG343" s="610"/>
      <c r="AH343" s="610"/>
      <c r="AI343" s="610">
        <v>6848</v>
      </c>
      <c r="AJ343" s="610">
        <f t="shared" si="100"/>
        <v>0</v>
      </c>
      <c r="AK343" s="610"/>
      <c r="AL343" s="610"/>
      <c r="AM343" s="610"/>
      <c r="AN343" s="610">
        <f>I343</f>
        <v>6848</v>
      </c>
      <c r="AP343" s="554">
        <f>I343</f>
        <v>6848</v>
      </c>
      <c r="AR343" s="619"/>
      <c r="AS343" s="548"/>
      <c r="AT343" s="548"/>
      <c r="AU343" s="554">
        <f>I343</f>
        <v>6848</v>
      </c>
      <c r="AW343" s="619"/>
      <c r="AX343" s="548"/>
      <c r="AY343" s="548"/>
      <c r="AZ343" s="548"/>
      <c r="BA343" s="548"/>
      <c r="BB343" s="620">
        <f>I343/48</f>
        <v>142.666666666667</v>
      </c>
      <c r="BQ343" s="554">
        <f>I343/16</f>
        <v>428</v>
      </c>
      <c r="BY343" s="619"/>
      <c r="BZ343" s="548"/>
      <c r="CA343" s="621"/>
      <c r="CB343" s="567"/>
      <c r="CC343" s="622"/>
      <c r="CD343" s="619"/>
      <c r="CE343" s="619"/>
      <c r="CF343" s="548"/>
      <c r="CG343" s="548"/>
      <c r="CU343" s="554">
        <f t="shared" si="91"/>
        <v>428</v>
      </c>
      <c r="CV343" s="554">
        <f t="shared" si="94"/>
        <v>0</v>
      </c>
      <c r="CW343" s="554">
        <f t="shared" si="95"/>
        <v>0</v>
      </c>
      <c r="CX343" s="619"/>
      <c r="CY343" s="619"/>
      <c r="CZ343" s="619"/>
      <c r="DA343" s="548"/>
      <c r="DB343" s="548"/>
      <c r="DC343" s="548"/>
      <c r="DD343" s="619"/>
      <c r="DE343" s="619"/>
      <c r="DF343" s="619"/>
      <c r="DG343" s="619"/>
      <c r="DH343" s="619"/>
    </row>
    <row r="344" s="548" customFormat="1" ht="31" customHeight="1" spans="1:112">
      <c r="A344" s="608">
        <v>45817</v>
      </c>
      <c r="B344" s="609" t="s">
        <v>143</v>
      </c>
      <c r="C344" s="610" t="s">
        <v>98</v>
      </c>
      <c r="D344" s="554">
        <v>4500169409</v>
      </c>
      <c r="E344" s="613">
        <v>907594667</v>
      </c>
      <c r="F344" s="554" t="s">
        <v>6900</v>
      </c>
      <c r="G344" s="610" t="s">
        <v>6063</v>
      </c>
      <c r="H344" s="610" t="s">
        <v>6064</v>
      </c>
      <c r="I344" s="610">
        <v>6080</v>
      </c>
      <c r="J344" s="610">
        <v>0</v>
      </c>
      <c r="K344" s="610">
        <v>16</v>
      </c>
      <c r="L344" s="611">
        <f t="shared" si="98"/>
        <v>380</v>
      </c>
      <c r="M344" s="612">
        <v>45856</v>
      </c>
      <c r="N344" s="612">
        <v>45852</v>
      </c>
      <c r="O344" s="613" t="s">
        <v>6870</v>
      </c>
      <c r="P344" s="613" t="s">
        <v>113</v>
      </c>
      <c r="Q344" s="610"/>
      <c r="R344" s="614" t="s">
        <v>147</v>
      </c>
      <c r="S344" s="614" t="s">
        <v>70</v>
      </c>
      <c r="T344" s="614" t="s">
        <v>148</v>
      </c>
      <c r="U344" s="614"/>
      <c r="V344" s="614"/>
      <c r="W344" s="615"/>
      <c r="X344" s="609" t="s">
        <v>6651</v>
      </c>
      <c r="Y344" s="609" t="s">
        <v>106</v>
      </c>
      <c r="Z344" s="609">
        <v>0.5936</v>
      </c>
      <c r="AA344" s="616">
        <f t="shared" si="99"/>
        <v>3609.088</v>
      </c>
      <c r="AC344" s="617" t="s">
        <v>6901</v>
      </c>
      <c r="AD344" s="610" t="s">
        <v>6063</v>
      </c>
      <c r="AE344" s="610" t="s">
        <v>82</v>
      </c>
      <c r="AF344" s="610"/>
      <c r="AG344" s="610"/>
      <c r="AH344" s="610"/>
      <c r="AI344" s="610">
        <v>6080</v>
      </c>
      <c r="AJ344" s="610">
        <f t="shared" si="100"/>
        <v>0</v>
      </c>
      <c r="AK344" s="610"/>
      <c r="AL344" s="610"/>
      <c r="AM344" s="610"/>
      <c r="AN344" s="610">
        <f>I344</f>
        <v>6080</v>
      </c>
      <c r="AP344" s="554">
        <f>I344</f>
        <v>6080</v>
      </c>
      <c r="AR344" s="619"/>
      <c r="AS344" s="548"/>
      <c r="AT344" s="548"/>
      <c r="AU344" s="554">
        <f>I344</f>
        <v>6080</v>
      </c>
      <c r="AW344" s="619"/>
      <c r="AX344" s="548"/>
      <c r="AY344" s="548"/>
      <c r="AZ344" s="548"/>
      <c r="BA344" s="548"/>
      <c r="BB344" s="620">
        <f>I344/48</f>
        <v>126.666666666667</v>
      </c>
      <c r="BQ344" s="554">
        <f>I344/16</f>
        <v>380</v>
      </c>
      <c r="BY344" s="619"/>
      <c r="BZ344" s="548"/>
      <c r="CA344" s="621"/>
      <c r="CB344" s="567"/>
      <c r="CC344" s="622"/>
      <c r="CD344" s="619"/>
      <c r="CE344" s="619"/>
      <c r="CF344" s="548"/>
      <c r="CG344" s="548"/>
      <c r="CU344" s="554">
        <f t="shared" si="91"/>
        <v>380</v>
      </c>
      <c r="CV344" s="554">
        <f t="shared" si="94"/>
        <v>0</v>
      </c>
      <c r="CW344" s="554">
        <f t="shared" si="95"/>
        <v>0</v>
      </c>
      <c r="CX344" s="619"/>
      <c r="CY344" s="619"/>
      <c r="CZ344" s="619"/>
      <c r="DA344" s="548"/>
      <c r="DB344" s="548"/>
      <c r="DC344" s="548"/>
      <c r="DD344" s="619"/>
      <c r="DE344" s="619"/>
      <c r="DF344" s="619"/>
      <c r="DG344" s="619"/>
      <c r="DH344" s="619"/>
    </row>
    <row r="345" s="548" customFormat="1" ht="31" customHeight="1" spans="1:112">
      <c r="A345" s="608">
        <v>45820</v>
      </c>
      <c r="B345" s="609" t="s">
        <v>6902</v>
      </c>
      <c r="C345" s="610" t="s">
        <v>524</v>
      </c>
      <c r="D345" s="554">
        <v>4500169872</v>
      </c>
      <c r="E345" s="610" t="s">
        <v>6903</v>
      </c>
      <c r="F345" s="554" t="s">
        <v>6904</v>
      </c>
      <c r="G345" s="610" t="s">
        <v>6365</v>
      </c>
      <c r="H345" s="610" t="s">
        <v>6126</v>
      </c>
      <c r="I345" s="610">
        <v>648</v>
      </c>
      <c r="J345" s="610">
        <v>0</v>
      </c>
      <c r="K345" s="610">
        <v>12</v>
      </c>
      <c r="L345" s="611">
        <f t="shared" si="98"/>
        <v>54</v>
      </c>
      <c r="M345" s="612">
        <v>45856</v>
      </c>
      <c r="N345" s="612">
        <v>45852</v>
      </c>
      <c r="O345" s="613"/>
      <c r="P345" s="613" t="s">
        <v>113</v>
      </c>
      <c r="Q345" s="610"/>
      <c r="R345" s="614" t="s">
        <v>6905</v>
      </c>
      <c r="S345" s="614" t="s">
        <v>104</v>
      </c>
      <c r="T345" s="614">
        <v>45842</v>
      </c>
      <c r="U345" s="614"/>
      <c r="V345" s="614"/>
      <c r="W345" s="615"/>
      <c r="X345" s="609" t="s">
        <v>6906</v>
      </c>
      <c r="Y345" s="609" t="s">
        <v>340</v>
      </c>
      <c r="Z345" s="609">
        <v>2.2418</v>
      </c>
      <c r="AA345" s="616">
        <f t="shared" si="99"/>
        <v>1452.6864</v>
      </c>
      <c r="AC345" s="617" t="s">
        <v>6907</v>
      </c>
      <c r="AD345" s="610" t="s">
        <v>6368</v>
      </c>
      <c r="AE345" s="610" t="s">
        <v>82</v>
      </c>
      <c r="AF345" s="610"/>
      <c r="AG345" s="610"/>
      <c r="AH345" s="610"/>
      <c r="AI345" s="610">
        <v>648</v>
      </c>
      <c r="AJ345" s="610">
        <f t="shared" si="100"/>
        <v>0</v>
      </c>
      <c r="AK345" s="610"/>
      <c r="AL345" s="610"/>
      <c r="AM345" s="610"/>
      <c r="AN345" s="610"/>
      <c r="AO345" s="554">
        <f>I345*2</f>
        <v>1296</v>
      </c>
      <c r="AR345" s="619"/>
      <c r="AS345" s="548"/>
      <c r="AT345" s="554">
        <f>I345*2</f>
        <v>1296</v>
      </c>
      <c r="AV345" s="554">
        <f>I345*2</f>
        <v>1296</v>
      </c>
      <c r="AW345" s="619"/>
      <c r="AX345" s="548"/>
      <c r="AY345" s="548"/>
      <c r="AZ345" s="548"/>
      <c r="BA345" s="548"/>
      <c r="BB345" s="249">
        <f>I345/24*2</f>
        <v>54</v>
      </c>
      <c r="BY345" s="619"/>
      <c r="BZ345" s="548"/>
      <c r="CA345" s="621"/>
      <c r="CB345" s="567"/>
      <c r="CC345" s="622"/>
      <c r="CD345" s="619"/>
      <c r="CE345" s="619"/>
      <c r="CF345" s="548"/>
      <c r="CG345" s="548"/>
      <c r="CR345" s="554">
        <f>I345</f>
        <v>648</v>
      </c>
      <c r="CS345" s="554">
        <f>I345</f>
        <v>648</v>
      </c>
      <c r="CT345" s="554">
        <f>I345</f>
        <v>648</v>
      </c>
      <c r="CU345" s="554">
        <f t="shared" si="91"/>
        <v>0</v>
      </c>
      <c r="CV345" s="554">
        <f t="shared" si="94"/>
        <v>0</v>
      </c>
      <c r="CW345" s="554">
        <f t="shared" si="95"/>
        <v>0</v>
      </c>
      <c r="CX345" s="619"/>
      <c r="CY345" s="619"/>
      <c r="CZ345" s="619"/>
      <c r="DA345" s="548"/>
      <c r="DB345" s="548"/>
      <c r="DC345" s="548"/>
      <c r="DD345" s="619"/>
      <c r="DE345" s="619"/>
      <c r="DF345" s="619"/>
      <c r="DG345" s="619"/>
      <c r="DH345" s="619"/>
    </row>
    <row r="346" s="548" customFormat="1" ht="31" customHeight="1" spans="1:112">
      <c r="A346" s="608">
        <v>45820</v>
      </c>
      <c r="B346" s="609" t="s">
        <v>6902</v>
      </c>
      <c r="C346" s="610" t="s">
        <v>524</v>
      </c>
      <c r="D346" s="554">
        <v>4500169872</v>
      </c>
      <c r="E346" s="610" t="s">
        <v>6908</v>
      </c>
      <c r="F346" s="554" t="s">
        <v>6909</v>
      </c>
      <c r="G346" s="610" t="s">
        <v>6365</v>
      </c>
      <c r="H346" s="610" t="s">
        <v>6126</v>
      </c>
      <c r="I346" s="610">
        <v>48</v>
      </c>
      <c r="J346" s="610">
        <v>0</v>
      </c>
      <c r="K346" s="610">
        <v>12</v>
      </c>
      <c r="L346" s="611">
        <f t="shared" si="98"/>
        <v>4</v>
      </c>
      <c r="M346" s="612">
        <v>45856</v>
      </c>
      <c r="N346" s="612">
        <v>45852</v>
      </c>
      <c r="O346" s="613"/>
      <c r="P346" s="613" t="s">
        <v>113</v>
      </c>
      <c r="Q346" s="610"/>
      <c r="R346" s="614" t="s">
        <v>6905</v>
      </c>
      <c r="S346" s="614" t="s">
        <v>104</v>
      </c>
      <c r="T346" s="614">
        <v>45842</v>
      </c>
      <c r="U346" s="614"/>
      <c r="V346" s="614"/>
      <c r="W346" s="615"/>
      <c r="X346" s="609" t="s">
        <v>6906</v>
      </c>
      <c r="Y346" s="609" t="s">
        <v>340</v>
      </c>
      <c r="Z346" s="609">
        <v>2.2418</v>
      </c>
      <c r="AA346" s="616">
        <f t="shared" si="99"/>
        <v>107.6064</v>
      </c>
      <c r="AC346" s="617" t="s">
        <v>6907</v>
      </c>
      <c r="AD346" s="610" t="s">
        <v>6368</v>
      </c>
      <c r="AE346" s="610" t="s">
        <v>82</v>
      </c>
      <c r="AF346" s="610"/>
      <c r="AG346" s="610"/>
      <c r="AH346" s="610"/>
      <c r="AI346" s="610">
        <v>48</v>
      </c>
      <c r="AJ346" s="610">
        <f t="shared" si="100"/>
        <v>0</v>
      </c>
      <c r="AK346" s="610"/>
      <c r="AL346" s="610"/>
      <c r="AM346" s="610"/>
      <c r="AN346" s="610"/>
      <c r="AO346" s="554">
        <f>I346*2</f>
        <v>96</v>
      </c>
      <c r="AR346" s="619"/>
      <c r="AS346" s="548"/>
      <c r="AT346" s="554">
        <f>I346*2</f>
        <v>96</v>
      </c>
      <c r="AV346" s="554">
        <f>I346*2</f>
        <v>96</v>
      </c>
      <c r="AW346" s="619"/>
      <c r="AX346" s="548"/>
      <c r="AY346" s="548"/>
      <c r="AZ346" s="548"/>
      <c r="BA346" s="548"/>
      <c r="BB346" s="249">
        <f>I346/24*2</f>
        <v>4</v>
      </c>
      <c r="BY346" s="619"/>
      <c r="BZ346" s="548"/>
      <c r="CA346" s="621"/>
      <c r="CB346" s="567"/>
      <c r="CC346" s="622"/>
      <c r="CD346" s="619"/>
      <c r="CE346" s="619"/>
      <c r="CF346" s="548"/>
      <c r="CG346" s="548"/>
      <c r="CR346" s="554">
        <f>I346</f>
        <v>48</v>
      </c>
      <c r="CS346" s="554">
        <f>I346</f>
        <v>48</v>
      </c>
      <c r="CT346" s="554">
        <f>I346</f>
        <v>48</v>
      </c>
      <c r="CU346" s="554">
        <f t="shared" si="91"/>
        <v>0</v>
      </c>
      <c r="CV346" s="554">
        <f t="shared" si="94"/>
        <v>0</v>
      </c>
      <c r="CW346" s="554">
        <f t="shared" si="95"/>
        <v>0</v>
      </c>
      <c r="CX346" s="619"/>
      <c r="CY346" s="619"/>
      <c r="CZ346" s="619"/>
      <c r="DA346" s="548"/>
      <c r="DB346" s="548"/>
      <c r="DC346" s="548"/>
      <c r="DD346" s="619"/>
      <c r="DE346" s="619"/>
      <c r="DF346" s="619"/>
      <c r="DG346" s="619"/>
      <c r="DH346" s="619"/>
    </row>
    <row r="347" s="548" customFormat="1" ht="31" customHeight="1" spans="1:112">
      <c r="A347" s="608">
        <v>45824</v>
      </c>
      <c r="B347" s="609" t="s">
        <v>1368</v>
      </c>
      <c r="C347" s="610" t="s">
        <v>98</v>
      </c>
      <c r="D347" s="554">
        <v>4500170074</v>
      </c>
      <c r="E347" s="610" t="s">
        <v>6910</v>
      </c>
      <c r="F347" s="554" t="s">
        <v>6911</v>
      </c>
      <c r="G347" s="610" t="s">
        <v>6166</v>
      </c>
      <c r="H347" s="610" t="s">
        <v>6094</v>
      </c>
      <c r="I347" s="610">
        <v>806</v>
      </c>
      <c r="J347" s="610">
        <v>0</v>
      </c>
      <c r="K347" s="610">
        <v>13</v>
      </c>
      <c r="L347" s="611">
        <f t="shared" si="98"/>
        <v>62</v>
      </c>
      <c r="M347" s="612">
        <v>45856</v>
      </c>
      <c r="N347" s="612">
        <v>45852</v>
      </c>
      <c r="O347" s="613"/>
      <c r="P347" s="613" t="s">
        <v>113</v>
      </c>
      <c r="Q347" s="610"/>
      <c r="R347" s="614">
        <v>45825</v>
      </c>
      <c r="S347" s="614" t="s">
        <v>70</v>
      </c>
      <c r="T347" s="614" t="s">
        <v>70</v>
      </c>
      <c r="U347" s="614"/>
      <c r="V347" s="614"/>
      <c r="W347" s="615"/>
      <c r="X347" s="609" t="s">
        <v>6912</v>
      </c>
      <c r="Y347" s="609" t="s">
        <v>1372</v>
      </c>
      <c r="Z347" s="609">
        <v>0.5574</v>
      </c>
      <c r="AA347" s="616">
        <f t="shared" si="99"/>
        <v>449.2644</v>
      </c>
      <c r="AC347" s="636" t="s">
        <v>6913</v>
      </c>
      <c r="AD347" s="610" t="s">
        <v>6257</v>
      </c>
      <c r="AE347" s="610" t="s">
        <v>82</v>
      </c>
      <c r="AF347" s="610"/>
      <c r="AG347" s="610"/>
      <c r="AH347" s="610"/>
      <c r="AI347" s="610">
        <v>806</v>
      </c>
      <c r="AJ347" s="610">
        <f t="shared" si="100"/>
        <v>0</v>
      </c>
      <c r="AK347" s="610"/>
      <c r="AL347" s="610"/>
      <c r="AM347" s="610"/>
      <c r="AN347" s="610">
        <f>I347</f>
        <v>806</v>
      </c>
      <c r="AP347" s="554">
        <f>I347</f>
        <v>806</v>
      </c>
      <c r="AR347" s="619"/>
      <c r="AS347" s="548"/>
      <c r="AT347" s="548"/>
      <c r="AU347" s="554">
        <f>I347</f>
        <v>806</v>
      </c>
      <c r="AW347" s="619"/>
      <c r="AX347" s="548"/>
      <c r="AY347" s="548"/>
      <c r="AZ347" s="548"/>
      <c r="BA347" s="548"/>
      <c r="BB347" s="620">
        <f>I347/48</f>
        <v>16.7916666666667</v>
      </c>
      <c r="BK347" s="554">
        <f>I347/13</f>
        <v>62</v>
      </c>
      <c r="BY347" s="619"/>
      <c r="BZ347" s="548"/>
      <c r="CA347" s="621"/>
      <c r="CB347" s="567"/>
      <c r="CC347" s="622"/>
      <c r="CD347" s="619"/>
      <c r="CE347" s="619"/>
      <c r="CF347" s="548"/>
      <c r="CG347" s="548"/>
      <c r="CU347" s="554">
        <f t="shared" si="91"/>
        <v>0</v>
      </c>
      <c r="CV347" s="554">
        <f t="shared" si="94"/>
        <v>0</v>
      </c>
      <c r="CW347" s="554">
        <f t="shared" si="95"/>
        <v>0</v>
      </c>
      <c r="CX347" s="619"/>
      <c r="CY347" s="619"/>
      <c r="CZ347" s="619"/>
      <c r="DA347" s="548"/>
      <c r="DB347" s="548"/>
      <c r="DC347" s="548"/>
      <c r="DD347" s="619"/>
      <c r="DE347" s="619"/>
      <c r="DF347" s="619"/>
      <c r="DG347" s="619"/>
      <c r="DH347" s="619"/>
    </row>
    <row r="348" s="548" customFormat="1" ht="31" customHeight="1" spans="1:112">
      <c r="A348" s="608">
        <v>45771</v>
      </c>
      <c r="B348" s="609" t="s">
        <v>2545</v>
      </c>
      <c r="C348" s="610" t="s">
        <v>2286</v>
      </c>
      <c r="D348" s="554">
        <v>4500159761</v>
      </c>
      <c r="E348" s="610" t="s">
        <v>6914</v>
      </c>
      <c r="F348" s="554" t="s">
        <v>6915</v>
      </c>
      <c r="G348" s="610" t="s">
        <v>6043</v>
      </c>
      <c r="H348" s="610" t="s">
        <v>6110</v>
      </c>
      <c r="I348" s="610">
        <v>2500</v>
      </c>
      <c r="J348" s="610">
        <v>0</v>
      </c>
      <c r="K348" s="610">
        <v>50</v>
      </c>
      <c r="L348" s="611">
        <f t="shared" ref="L339:L388" si="101">I348/K348</f>
        <v>50</v>
      </c>
      <c r="M348" s="612">
        <v>45859</v>
      </c>
      <c r="N348" s="612">
        <f t="shared" ref="N348:N355" si="102">M348-4</f>
        <v>45855</v>
      </c>
      <c r="O348" s="613"/>
      <c r="P348" s="613" t="s">
        <v>113</v>
      </c>
      <c r="Q348" s="610"/>
      <c r="R348" s="614">
        <v>45821</v>
      </c>
      <c r="S348" s="614" t="s">
        <v>70</v>
      </c>
      <c r="T348" s="614">
        <v>45840</v>
      </c>
      <c r="U348" s="614"/>
      <c r="V348" s="614" t="s">
        <v>6916</v>
      </c>
      <c r="W348" s="615"/>
      <c r="X348" s="609" t="s">
        <v>6917</v>
      </c>
      <c r="Y348" s="609" t="s">
        <v>529</v>
      </c>
      <c r="Z348" s="609">
        <v>0.95</v>
      </c>
      <c r="AA348" s="616">
        <f t="shared" si="99"/>
        <v>2375</v>
      </c>
      <c r="AC348" s="629" t="s">
        <v>6918</v>
      </c>
      <c r="AD348" s="610" t="s">
        <v>6043</v>
      </c>
      <c r="AE348" s="610" t="s">
        <v>82</v>
      </c>
      <c r="AF348" s="610"/>
      <c r="AG348" s="610"/>
      <c r="AH348" s="610"/>
      <c r="AI348" s="610">
        <f>2450+50</f>
        <v>2500</v>
      </c>
      <c r="AJ348" s="610">
        <f t="shared" ref="AJ339:AJ388" si="103">AI348-I348</f>
        <v>0</v>
      </c>
      <c r="AK348" s="610"/>
      <c r="AL348" s="610"/>
      <c r="AM348" s="610"/>
      <c r="AN348" s="610"/>
      <c r="AO348" s="554">
        <f>I348</f>
        <v>2500</v>
      </c>
      <c r="AR348" s="619"/>
      <c r="AS348" s="548"/>
      <c r="AT348" s="554">
        <f>I348</f>
        <v>2500</v>
      </c>
      <c r="AV348" s="554">
        <f>I348</f>
        <v>2500</v>
      </c>
      <c r="AW348" s="619"/>
      <c r="AX348" s="548"/>
      <c r="AY348" s="548"/>
      <c r="AZ348" s="548"/>
      <c r="BA348" s="548"/>
      <c r="BB348" s="620">
        <f>I348/24</f>
        <v>104.166666666667</v>
      </c>
      <c r="BP348" s="554">
        <f>I348/25</f>
        <v>100</v>
      </c>
      <c r="BY348" s="619"/>
      <c r="BZ348" s="548"/>
      <c r="CA348" s="621"/>
      <c r="CB348" s="567"/>
      <c r="CC348" s="622"/>
      <c r="CD348" s="619"/>
      <c r="CE348" s="619"/>
      <c r="CF348" s="548"/>
      <c r="CG348" s="548"/>
      <c r="CU348" s="554">
        <f t="shared" si="91"/>
        <v>100</v>
      </c>
      <c r="CV348" s="554">
        <f t="shared" si="94"/>
        <v>0</v>
      </c>
      <c r="CW348" s="554">
        <f t="shared" si="95"/>
        <v>0</v>
      </c>
      <c r="CX348" s="619"/>
      <c r="CY348" s="619"/>
      <c r="CZ348" s="619"/>
      <c r="DA348" s="548"/>
      <c r="DB348" s="548"/>
      <c r="DC348" s="548"/>
      <c r="DD348" s="619"/>
      <c r="DE348" s="619"/>
      <c r="DF348" s="619"/>
      <c r="DG348" s="619"/>
      <c r="DH348" s="619"/>
    </row>
    <row r="349" s="548" customFormat="1" ht="31" customHeight="1" spans="1:112">
      <c r="A349" s="608">
        <v>45771</v>
      </c>
      <c r="B349" s="609" t="s">
        <v>2285</v>
      </c>
      <c r="C349" s="610" t="s">
        <v>2286</v>
      </c>
      <c r="D349" s="554">
        <v>4500159848</v>
      </c>
      <c r="E349" s="610" t="s">
        <v>6919</v>
      </c>
      <c r="F349" s="554" t="s">
        <v>6920</v>
      </c>
      <c r="G349" s="610" t="s">
        <v>6276</v>
      </c>
      <c r="H349" s="610" t="s">
        <v>6277</v>
      </c>
      <c r="I349" s="610">
        <v>250</v>
      </c>
      <c r="J349" s="610">
        <v>0</v>
      </c>
      <c r="K349" s="610">
        <v>50</v>
      </c>
      <c r="L349" s="611">
        <f t="shared" si="101"/>
        <v>5</v>
      </c>
      <c r="M349" s="612">
        <v>45859</v>
      </c>
      <c r="N349" s="612">
        <f t="shared" si="102"/>
        <v>45855</v>
      </c>
      <c r="O349" s="613"/>
      <c r="P349" s="613" t="s">
        <v>113</v>
      </c>
      <c r="Q349" s="610"/>
      <c r="R349" s="614">
        <v>45821</v>
      </c>
      <c r="S349" s="614" t="s">
        <v>70</v>
      </c>
      <c r="T349" s="614">
        <v>45840</v>
      </c>
      <c r="U349" s="614"/>
      <c r="V349" s="614" t="s">
        <v>6916</v>
      </c>
      <c r="W349" s="615"/>
      <c r="X349" s="609" t="s">
        <v>6921</v>
      </c>
      <c r="Y349" s="609" t="s">
        <v>529</v>
      </c>
      <c r="Z349" s="609">
        <v>1.32</v>
      </c>
      <c r="AA349" s="616">
        <f t="shared" si="99"/>
        <v>330</v>
      </c>
      <c r="AC349" s="617" t="s">
        <v>6922</v>
      </c>
      <c r="AD349" s="610" t="s">
        <v>6276</v>
      </c>
      <c r="AE349" s="610" t="s">
        <v>82</v>
      </c>
      <c r="AF349" s="610"/>
      <c r="AG349" s="610"/>
      <c r="AH349" s="610"/>
      <c r="AI349" s="610">
        <v>250</v>
      </c>
      <c r="AJ349" s="610">
        <f t="shared" si="103"/>
        <v>0</v>
      </c>
      <c r="AK349" s="610"/>
      <c r="AL349" s="610"/>
      <c r="AM349" s="610"/>
      <c r="AN349" s="610"/>
      <c r="AO349" s="554">
        <f>I349</f>
        <v>250</v>
      </c>
      <c r="AR349" s="619"/>
      <c r="AS349" s="548"/>
      <c r="AT349" s="548"/>
      <c r="AU349" s="548"/>
      <c r="AV349" s="548"/>
      <c r="AW349" s="619"/>
      <c r="AX349" s="548"/>
      <c r="AY349" s="548"/>
      <c r="AZ349" s="548"/>
      <c r="BA349" s="548"/>
      <c r="BB349" s="620">
        <f>I349/24*2</f>
        <v>20.8333333333333</v>
      </c>
      <c r="BV349" s="554">
        <f>I349</f>
        <v>250</v>
      </c>
      <c r="BW349" s="554">
        <f>I349</f>
        <v>250</v>
      </c>
      <c r="BX349" s="554">
        <f>I349/25</f>
        <v>10</v>
      </c>
      <c r="BY349" s="619"/>
      <c r="BZ349" s="548"/>
      <c r="CA349" s="621"/>
      <c r="CB349" s="567"/>
      <c r="CC349" s="622"/>
      <c r="CD349" s="619"/>
      <c r="CE349" s="619"/>
      <c r="CF349" s="548"/>
      <c r="CG349" s="548"/>
      <c r="CU349" s="554">
        <f t="shared" si="91"/>
        <v>10</v>
      </c>
      <c r="CV349" s="554">
        <f t="shared" si="94"/>
        <v>0</v>
      </c>
      <c r="CW349" s="554">
        <f t="shared" si="95"/>
        <v>0</v>
      </c>
      <c r="CX349" s="619"/>
      <c r="CY349" s="619"/>
      <c r="CZ349" s="619"/>
      <c r="DA349" s="548"/>
      <c r="DB349" s="548"/>
      <c r="DC349" s="548"/>
      <c r="DD349" s="619"/>
      <c r="DE349" s="619"/>
      <c r="DF349" s="619"/>
      <c r="DG349" s="619"/>
      <c r="DH349" s="619"/>
    </row>
    <row r="350" s="548" customFormat="1" ht="31" customHeight="1" spans="1:112">
      <c r="A350" s="608">
        <v>45771</v>
      </c>
      <c r="B350" s="609" t="s">
        <v>1249</v>
      </c>
      <c r="C350" s="610" t="s">
        <v>1250</v>
      </c>
      <c r="D350" s="554">
        <v>4500164774</v>
      </c>
      <c r="E350" s="610" t="s">
        <v>1251</v>
      </c>
      <c r="F350" s="554" t="s">
        <v>6923</v>
      </c>
      <c r="G350" s="610" t="s">
        <v>6276</v>
      </c>
      <c r="H350" s="610" t="s">
        <v>6277</v>
      </c>
      <c r="I350" s="610">
        <v>750</v>
      </c>
      <c r="J350" s="610">
        <v>0</v>
      </c>
      <c r="K350" s="610">
        <v>50</v>
      </c>
      <c r="L350" s="611">
        <f t="shared" si="101"/>
        <v>15</v>
      </c>
      <c r="M350" s="612">
        <v>45859</v>
      </c>
      <c r="N350" s="612">
        <f t="shared" si="102"/>
        <v>45855</v>
      </c>
      <c r="O350" s="613"/>
      <c r="P350" s="613" t="s">
        <v>113</v>
      </c>
      <c r="Q350" s="610"/>
      <c r="R350" s="614">
        <v>45821</v>
      </c>
      <c r="S350" s="614" t="s">
        <v>70</v>
      </c>
      <c r="T350" s="614">
        <v>45840</v>
      </c>
      <c r="U350" s="614"/>
      <c r="V350" s="614" t="s">
        <v>6916</v>
      </c>
      <c r="W350" s="615"/>
      <c r="X350" s="609" t="s">
        <v>6921</v>
      </c>
      <c r="Y350" s="609" t="s">
        <v>529</v>
      </c>
      <c r="Z350" s="609">
        <v>1.32</v>
      </c>
      <c r="AA350" s="616">
        <f t="shared" si="99"/>
        <v>990</v>
      </c>
      <c r="AC350" s="617" t="s">
        <v>1255</v>
      </c>
      <c r="AD350" s="610" t="s">
        <v>6276</v>
      </c>
      <c r="AE350" s="610" t="s">
        <v>82</v>
      </c>
      <c r="AF350" s="610"/>
      <c r="AG350" s="610"/>
      <c r="AH350" s="610"/>
      <c r="AI350" s="610">
        <v>750</v>
      </c>
      <c r="AJ350" s="610">
        <f t="shared" si="103"/>
        <v>0</v>
      </c>
      <c r="AK350" s="610"/>
      <c r="AL350" s="610"/>
      <c r="AM350" s="610"/>
      <c r="AN350" s="610"/>
      <c r="AO350" s="554">
        <f>I350</f>
        <v>750</v>
      </c>
      <c r="AR350" s="619"/>
      <c r="AS350" s="548"/>
      <c r="AT350" s="548"/>
      <c r="AU350" s="548"/>
      <c r="AV350" s="548"/>
      <c r="AW350" s="619"/>
      <c r="AX350" s="548"/>
      <c r="AY350" s="548"/>
      <c r="AZ350" s="548"/>
      <c r="BA350" s="548"/>
      <c r="BB350" s="620">
        <f>I350/24*2</f>
        <v>62.5</v>
      </c>
      <c r="BV350" s="554">
        <f>I350</f>
        <v>750</v>
      </c>
      <c r="BW350" s="554">
        <f>I350</f>
        <v>750</v>
      </c>
      <c r="BX350" s="554">
        <f>I350/25</f>
        <v>30</v>
      </c>
      <c r="BY350" s="619"/>
      <c r="BZ350" s="548"/>
      <c r="CA350" s="621"/>
      <c r="CB350" s="567"/>
      <c r="CC350" s="622"/>
      <c r="CD350" s="619"/>
      <c r="CE350" s="619"/>
      <c r="CF350" s="548"/>
      <c r="CG350" s="548"/>
      <c r="CU350" s="554">
        <f t="shared" si="91"/>
        <v>30</v>
      </c>
      <c r="CV350" s="554">
        <f t="shared" si="94"/>
        <v>0</v>
      </c>
      <c r="CW350" s="554">
        <f t="shared" si="95"/>
        <v>0</v>
      </c>
      <c r="CX350" s="619"/>
      <c r="CY350" s="619"/>
      <c r="CZ350" s="619"/>
      <c r="DA350" s="548"/>
      <c r="DB350" s="548"/>
      <c r="DC350" s="548"/>
      <c r="DD350" s="619"/>
      <c r="DE350" s="619"/>
      <c r="DF350" s="619"/>
      <c r="DG350" s="619"/>
      <c r="DH350" s="619"/>
    </row>
    <row r="351" s="548" customFormat="1" ht="31" customHeight="1" spans="1:112">
      <c r="A351" s="608">
        <v>45799</v>
      </c>
      <c r="B351" s="609" t="s">
        <v>1214</v>
      </c>
      <c r="C351" s="610" t="s">
        <v>524</v>
      </c>
      <c r="D351" s="554">
        <v>4500167249</v>
      </c>
      <c r="E351" s="610">
        <v>5040017</v>
      </c>
      <c r="F351" s="554" t="s">
        <v>6924</v>
      </c>
      <c r="G351" s="610" t="s">
        <v>6223</v>
      </c>
      <c r="H351" s="610" t="s">
        <v>6080</v>
      </c>
      <c r="I351" s="610">
        <v>2400</v>
      </c>
      <c r="J351" s="610">
        <v>0</v>
      </c>
      <c r="K351" s="610">
        <v>30</v>
      </c>
      <c r="L351" s="611">
        <f t="shared" si="101"/>
        <v>80</v>
      </c>
      <c r="M351" s="612">
        <v>45859</v>
      </c>
      <c r="N351" s="612">
        <f t="shared" si="102"/>
        <v>45855</v>
      </c>
      <c r="O351" s="613"/>
      <c r="P351" s="613" t="s">
        <v>113</v>
      </c>
      <c r="Q351" s="610"/>
      <c r="R351" s="614">
        <v>45831</v>
      </c>
      <c r="S351" s="614" t="s">
        <v>70</v>
      </c>
      <c r="T351" s="614">
        <v>45835</v>
      </c>
      <c r="U351" s="614"/>
      <c r="V351" s="614"/>
      <c r="W351" s="615"/>
      <c r="X351" s="609" t="s">
        <v>6925</v>
      </c>
      <c r="Y351" s="609" t="s">
        <v>340</v>
      </c>
      <c r="Z351" s="609">
        <v>42.7605</v>
      </c>
      <c r="AA351" s="616">
        <f>Z351*L351</f>
        <v>3420.84</v>
      </c>
      <c r="AC351" s="617" t="s">
        <v>1217</v>
      </c>
      <c r="AD351" s="610" t="s">
        <v>6223</v>
      </c>
      <c r="AE351" s="610" t="s">
        <v>82</v>
      </c>
      <c r="AF351" s="610"/>
      <c r="AG351" s="610"/>
      <c r="AH351" s="610"/>
      <c r="AI351" s="610">
        <v>2400</v>
      </c>
      <c r="AJ351" s="610">
        <f t="shared" si="103"/>
        <v>0</v>
      </c>
      <c r="AK351" s="610"/>
      <c r="AL351" s="610"/>
      <c r="AM351" s="610"/>
      <c r="AN351" s="610"/>
      <c r="AO351" s="554">
        <f>I351</f>
        <v>2400</v>
      </c>
      <c r="AR351" s="619"/>
      <c r="AS351" s="548"/>
      <c r="AT351" s="554">
        <f>I351</f>
        <v>2400</v>
      </c>
      <c r="AV351" s="554">
        <f>I351</f>
        <v>2400</v>
      </c>
      <c r="AW351" s="619"/>
      <c r="AX351" s="548"/>
      <c r="AY351" s="548"/>
      <c r="AZ351" s="548"/>
      <c r="BA351" s="548"/>
      <c r="BB351" s="620">
        <f>I351/24</f>
        <v>100</v>
      </c>
      <c r="BY351" s="619"/>
      <c r="BZ351" s="548"/>
      <c r="CA351" s="621"/>
      <c r="CB351" s="567"/>
      <c r="CC351" s="622"/>
      <c r="CD351" s="619"/>
      <c r="CE351" s="619"/>
      <c r="CF351" s="548"/>
      <c r="CG351" s="548"/>
      <c r="CP351" s="554">
        <f>I351/30</f>
        <v>80</v>
      </c>
      <c r="CU351" s="554">
        <f t="shared" si="91"/>
        <v>0</v>
      </c>
      <c r="CV351" s="554">
        <f t="shared" si="94"/>
        <v>80</v>
      </c>
      <c r="CW351" s="554">
        <f t="shared" si="95"/>
        <v>0</v>
      </c>
      <c r="CX351" s="619"/>
      <c r="CY351" s="619"/>
      <c r="CZ351" s="619"/>
      <c r="DA351" s="548"/>
      <c r="DB351" s="548"/>
      <c r="DC351" s="548"/>
      <c r="DD351" s="619"/>
      <c r="DE351" s="619"/>
      <c r="DF351" s="619"/>
      <c r="DG351" s="619"/>
      <c r="DH351" s="619"/>
    </row>
    <row r="352" s="548" customFormat="1" ht="31" customHeight="1" spans="1:112">
      <c r="A352" s="608">
        <v>45820</v>
      </c>
      <c r="B352" s="609" t="s">
        <v>143</v>
      </c>
      <c r="C352" s="610" t="s">
        <v>98</v>
      </c>
      <c r="D352" s="554">
        <v>4500169831</v>
      </c>
      <c r="E352" s="613">
        <v>907594629</v>
      </c>
      <c r="F352" s="554" t="s">
        <v>6926</v>
      </c>
      <c r="G352" s="610" t="s">
        <v>6063</v>
      </c>
      <c r="H352" s="610" t="s">
        <v>6064</v>
      </c>
      <c r="I352" s="610">
        <v>11168</v>
      </c>
      <c r="J352" s="610">
        <v>0</v>
      </c>
      <c r="K352" s="610">
        <v>16</v>
      </c>
      <c r="L352" s="611">
        <f t="shared" si="101"/>
        <v>698</v>
      </c>
      <c r="M352" s="612">
        <v>45859</v>
      </c>
      <c r="N352" s="612">
        <f t="shared" si="102"/>
        <v>45855</v>
      </c>
      <c r="O352" s="613" t="s">
        <v>1165</v>
      </c>
      <c r="P352" s="613" t="s">
        <v>113</v>
      </c>
      <c r="Q352" s="610"/>
      <c r="R352" s="614" t="s">
        <v>147</v>
      </c>
      <c r="S352" s="614" t="s">
        <v>70</v>
      </c>
      <c r="T352" s="614" t="s">
        <v>148</v>
      </c>
      <c r="U352" s="614"/>
      <c r="V352" s="614"/>
      <c r="W352" s="615"/>
      <c r="X352" s="609" t="s">
        <v>6927</v>
      </c>
      <c r="Y352" s="609" t="s">
        <v>106</v>
      </c>
      <c r="Z352" s="609">
        <v>0.5905</v>
      </c>
      <c r="AA352" s="616">
        <f t="shared" ref="AA352:AA366" si="104">Z352*I352</f>
        <v>6594.704</v>
      </c>
      <c r="AC352" s="617" t="s">
        <v>6928</v>
      </c>
      <c r="AD352" s="610" t="s">
        <v>6063</v>
      </c>
      <c r="AE352" s="610" t="s">
        <v>82</v>
      </c>
      <c r="AF352" s="610"/>
      <c r="AG352" s="610"/>
      <c r="AH352" s="610"/>
      <c r="AI352" s="610">
        <v>11168</v>
      </c>
      <c r="AJ352" s="610">
        <f t="shared" si="103"/>
        <v>0</v>
      </c>
      <c r="AK352" s="610"/>
      <c r="AL352" s="610"/>
      <c r="AM352" s="610"/>
      <c r="AN352" s="610">
        <f>I352</f>
        <v>11168</v>
      </c>
      <c r="AP352" s="554">
        <f>I352</f>
        <v>11168</v>
      </c>
      <c r="AR352" s="619"/>
      <c r="AS352" s="548"/>
      <c r="AT352" s="548"/>
      <c r="AU352" s="554">
        <f>I352</f>
        <v>11168</v>
      </c>
      <c r="AW352" s="619"/>
      <c r="AX352" s="548"/>
      <c r="AY352" s="548"/>
      <c r="AZ352" s="548"/>
      <c r="BA352" s="548"/>
      <c r="BB352" s="620">
        <f>I352/48</f>
        <v>232.666666666667</v>
      </c>
      <c r="BQ352" s="554">
        <f>I352/16</f>
        <v>698</v>
      </c>
      <c r="BY352" s="619"/>
      <c r="BZ352" s="548"/>
      <c r="CA352" s="621"/>
      <c r="CB352" s="567"/>
      <c r="CC352" s="622"/>
      <c r="CD352" s="619"/>
      <c r="CE352" s="619"/>
      <c r="CF352" s="548"/>
      <c r="CG352" s="548"/>
      <c r="CU352" s="554">
        <f t="shared" ref="CU352:CU369" si="105">BQ352+BP352+BO352+BN352+BX352+BR352</f>
        <v>698</v>
      </c>
      <c r="CV352" s="554">
        <f t="shared" si="94"/>
        <v>0</v>
      </c>
      <c r="CW352" s="554">
        <f t="shared" si="95"/>
        <v>0</v>
      </c>
      <c r="CX352" s="619"/>
      <c r="CY352" s="619"/>
      <c r="CZ352" s="619"/>
      <c r="DA352" s="548"/>
      <c r="DB352" s="548"/>
      <c r="DC352" s="548"/>
      <c r="DD352" s="619"/>
      <c r="DE352" s="619"/>
      <c r="DF352" s="619"/>
      <c r="DG352" s="619"/>
      <c r="DH352" s="619"/>
    </row>
    <row r="353" s="548" customFormat="1" ht="31" customHeight="1" spans="1:112">
      <c r="A353" s="608">
        <v>45820</v>
      </c>
      <c r="B353" s="609" t="s">
        <v>143</v>
      </c>
      <c r="C353" s="610" t="s">
        <v>98</v>
      </c>
      <c r="D353" s="554">
        <v>4500169831</v>
      </c>
      <c r="E353" s="613">
        <v>907594936</v>
      </c>
      <c r="F353" s="554" t="s">
        <v>6929</v>
      </c>
      <c r="G353" s="610" t="s">
        <v>6063</v>
      </c>
      <c r="H353" s="610" t="s">
        <v>6064</v>
      </c>
      <c r="I353" s="610">
        <v>12928</v>
      </c>
      <c r="J353" s="610">
        <v>0</v>
      </c>
      <c r="K353" s="610">
        <v>16</v>
      </c>
      <c r="L353" s="611">
        <f t="shared" si="101"/>
        <v>808</v>
      </c>
      <c r="M353" s="612">
        <v>45859</v>
      </c>
      <c r="N353" s="612">
        <f t="shared" si="102"/>
        <v>45855</v>
      </c>
      <c r="O353" s="613" t="s">
        <v>1165</v>
      </c>
      <c r="P353" s="613" t="s">
        <v>113</v>
      </c>
      <c r="Q353" s="610"/>
      <c r="R353" s="614" t="s">
        <v>147</v>
      </c>
      <c r="S353" s="614" t="s">
        <v>70</v>
      </c>
      <c r="T353" s="614" t="s">
        <v>148</v>
      </c>
      <c r="U353" s="614"/>
      <c r="V353" s="614"/>
      <c r="W353" s="615"/>
      <c r="X353" s="609" t="s">
        <v>6927</v>
      </c>
      <c r="Y353" s="609" t="s">
        <v>106</v>
      </c>
      <c r="Z353" s="609">
        <v>0.5905</v>
      </c>
      <c r="AA353" s="616">
        <f t="shared" si="104"/>
        <v>7633.984</v>
      </c>
      <c r="AC353" s="617" t="s">
        <v>6930</v>
      </c>
      <c r="AD353" s="610" t="s">
        <v>6063</v>
      </c>
      <c r="AE353" s="610" t="s">
        <v>82</v>
      </c>
      <c r="AF353" s="610"/>
      <c r="AG353" s="610"/>
      <c r="AH353" s="610"/>
      <c r="AI353" s="610">
        <v>12928</v>
      </c>
      <c r="AJ353" s="610">
        <f t="shared" si="103"/>
        <v>0</v>
      </c>
      <c r="AK353" s="610"/>
      <c r="AM353" s="610"/>
      <c r="AN353" s="610">
        <f>I353</f>
        <v>12928</v>
      </c>
      <c r="AP353" s="554">
        <f>I353</f>
        <v>12928</v>
      </c>
      <c r="AR353" s="619"/>
      <c r="AS353" s="548"/>
      <c r="AT353" s="548"/>
      <c r="AU353" s="554">
        <f>I353</f>
        <v>12928</v>
      </c>
      <c r="AW353" s="619"/>
      <c r="AX353" s="548"/>
      <c r="AY353" s="548"/>
      <c r="AZ353" s="548"/>
      <c r="BA353" s="548"/>
      <c r="BB353" s="620">
        <f>I353/48</f>
        <v>269.333333333333</v>
      </c>
      <c r="BQ353" s="554">
        <f>I353/16</f>
        <v>808</v>
      </c>
      <c r="BY353" s="619"/>
      <c r="BZ353" s="548"/>
      <c r="CA353" s="621"/>
      <c r="CB353" s="567"/>
      <c r="CC353" s="622"/>
      <c r="CD353" s="619"/>
      <c r="CE353" s="619"/>
      <c r="CF353" s="548"/>
      <c r="CG353" s="548"/>
      <c r="CU353" s="554">
        <f t="shared" si="105"/>
        <v>808</v>
      </c>
      <c r="CV353" s="554">
        <f t="shared" si="94"/>
        <v>0</v>
      </c>
      <c r="CW353" s="554">
        <f t="shared" si="95"/>
        <v>0</v>
      </c>
      <c r="CX353" s="619"/>
      <c r="CY353" s="619"/>
      <c r="CZ353" s="619"/>
      <c r="DA353" s="548"/>
      <c r="DB353" s="548"/>
      <c r="DC353" s="548"/>
      <c r="DD353" s="619"/>
      <c r="DE353" s="619"/>
      <c r="DF353" s="619"/>
      <c r="DG353" s="619"/>
      <c r="DH353" s="619"/>
    </row>
    <row r="354" s="548" customFormat="1" ht="31" customHeight="1" spans="1:112">
      <c r="A354" s="608">
        <v>45820</v>
      </c>
      <c r="B354" s="609" t="s">
        <v>75</v>
      </c>
      <c r="C354" s="610" t="s">
        <v>76</v>
      </c>
      <c r="D354" s="554">
        <v>4500169812</v>
      </c>
      <c r="E354" s="610">
        <v>29036568</v>
      </c>
      <c r="F354" s="554" t="s">
        <v>6931</v>
      </c>
      <c r="G354" s="610" t="s">
        <v>6043</v>
      </c>
      <c r="H354" s="610" t="s">
        <v>6110</v>
      </c>
      <c r="I354" s="610">
        <v>1150</v>
      </c>
      <c r="J354" s="610">
        <v>0</v>
      </c>
      <c r="K354" s="610">
        <v>50</v>
      </c>
      <c r="L354" s="611">
        <f t="shared" si="101"/>
        <v>23</v>
      </c>
      <c r="M354" s="612">
        <v>45859</v>
      </c>
      <c r="N354" s="612">
        <f t="shared" si="102"/>
        <v>45855</v>
      </c>
      <c r="O354" s="613"/>
      <c r="P354" s="613" t="s">
        <v>113</v>
      </c>
      <c r="Q354" s="610"/>
      <c r="R354" s="614">
        <v>45820</v>
      </c>
      <c r="S354" s="614" t="s">
        <v>70</v>
      </c>
      <c r="T354" s="614">
        <v>45820</v>
      </c>
      <c r="U354" s="614"/>
      <c r="V354" s="614"/>
      <c r="W354" s="615"/>
      <c r="X354" s="628" t="s">
        <v>6932</v>
      </c>
      <c r="Y354" s="609" t="s">
        <v>80</v>
      </c>
      <c r="Z354" s="609">
        <v>0.924</v>
      </c>
      <c r="AA354" s="616">
        <f t="shared" si="104"/>
        <v>1062.6</v>
      </c>
      <c r="AC354" s="629" t="s">
        <v>6933</v>
      </c>
      <c r="AD354" s="610" t="s">
        <v>6043</v>
      </c>
      <c r="AE354" s="610" t="s">
        <v>82</v>
      </c>
      <c r="AF354" s="610"/>
      <c r="AG354" s="610"/>
      <c r="AH354" s="610"/>
      <c r="AI354" s="610">
        <v>1150</v>
      </c>
      <c r="AJ354" s="610">
        <f t="shared" si="103"/>
        <v>0</v>
      </c>
      <c r="AK354" s="610"/>
      <c r="AL354" s="610"/>
      <c r="AM354" s="610"/>
      <c r="AN354" s="610"/>
      <c r="AO354" s="554">
        <f>I354</f>
        <v>1150</v>
      </c>
      <c r="AR354" s="619"/>
      <c r="AS354" s="548"/>
      <c r="AT354" s="554">
        <f>I354</f>
        <v>1150</v>
      </c>
      <c r="AV354" s="554">
        <f>I354</f>
        <v>1150</v>
      </c>
      <c r="AW354" s="619"/>
      <c r="AX354" s="548"/>
      <c r="AY354" s="548"/>
      <c r="AZ354" s="548"/>
      <c r="BA354" s="548"/>
      <c r="BB354" s="620">
        <f t="shared" ref="BB354:BB359" si="106">I354/24</f>
        <v>47.9166666666667</v>
      </c>
      <c r="BN354" s="554">
        <f>I354/25</f>
        <v>46</v>
      </c>
      <c r="BY354" s="619"/>
      <c r="BZ354" s="548"/>
      <c r="CA354" s="621"/>
      <c r="CB354" s="567"/>
      <c r="CC354" s="622"/>
      <c r="CD354" s="619"/>
      <c r="CE354" s="619"/>
      <c r="CF354" s="548"/>
      <c r="CG354" s="548"/>
      <c r="CU354" s="554">
        <f t="shared" si="105"/>
        <v>46</v>
      </c>
      <c r="CV354" s="554">
        <f t="shared" si="94"/>
        <v>0</v>
      </c>
      <c r="CW354" s="554">
        <f t="shared" si="95"/>
        <v>0</v>
      </c>
      <c r="CX354" s="619"/>
      <c r="CY354" s="619"/>
      <c r="CZ354" s="619"/>
      <c r="DA354" s="548"/>
      <c r="DB354" s="548"/>
      <c r="DC354" s="548"/>
      <c r="DD354" s="619"/>
      <c r="DE354" s="619"/>
      <c r="DF354" s="619"/>
      <c r="DG354" s="619"/>
      <c r="DH354" s="619"/>
    </row>
    <row r="355" s="548" customFormat="1" ht="31" customHeight="1" spans="1:112">
      <c r="A355" s="608">
        <v>45820</v>
      </c>
      <c r="B355" s="609" t="s">
        <v>75</v>
      </c>
      <c r="C355" s="610" t="s">
        <v>76</v>
      </c>
      <c r="D355" s="554">
        <v>4500169813</v>
      </c>
      <c r="E355" s="610">
        <v>29036569</v>
      </c>
      <c r="F355" s="554" t="s">
        <v>6934</v>
      </c>
      <c r="G355" s="610" t="s">
        <v>6043</v>
      </c>
      <c r="H355" s="610" t="s">
        <v>6110</v>
      </c>
      <c r="I355" s="610">
        <v>400</v>
      </c>
      <c r="J355" s="610">
        <v>0</v>
      </c>
      <c r="K355" s="610">
        <v>50</v>
      </c>
      <c r="L355" s="611">
        <f t="shared" si="101"/>
        <v>8</v>
      </c>
      <c r="M355" s="612">
        <v>45859</v>
      </c>
      <c r="N355" s="612">
        <f t="shared" si="102"/>
        <v>45855</v>
      </c>
      <c r="O355" s="613"/>
      <c r="P355" s="613" t="s">
        <v>113</v>
      </c>
      <c r="Q355" s="610"/>
      <c r="R355" s="614">
        <v>45820</v>
      </c>
      <c r="S355" s="614" t="s">
        <v>70</v>
      </c>
      <c r="T355" s="614">
        <v>45820</v>
      </c>
      <c r="U355" s="614"/>
      <c r="V355" s="614"/>
      <c r="W355" s="615"/>
      <c r="X355" s="628" t="s">
        <v>6935</v>
      </c>
      <c r="Y355" s="609" t="s">
        <v>80</v>
      </c>
      <c r="Z355" s="609">
        <v>0.9292</v>
      </c>
      <c r="AA355" s="616">
        <f t="shared" si="104"/>
        <v>371.68</v>
      </c>
      <c r="AC355" s="629" t="s">
        <v>6936</v>
      </c>
      <c r="AD355" s="610" t="s">
        <v>6043</v>
      </c>
      <c r="AE355" s="610" t="s">
        <v>82</v>
      </c>
      <c r="AF355" s="610"/>
      <c r="AG355" s="610"/>
      <c r="AH355" s="610"/>
      <c r="AI355" s="610">
        <v>400</v>
      </c>
      <c r="AJ355" s="610">
        <f t="shared" si="103"/>
        <v>0</v>
      </c>
      <c r="AK355" s="610"/>
      <c r="AL355" s="610"/>
      <c r="AM355" s="610"/>
      <c r="AN355" s="610"/>
      <c r="AO355" s="554">
        <f>I355</f>
        <v>400</v>
      </c>
      <c r="AR355" s="619"/>
      <c r="AS355" s="548"/>
      <c r="AT355" s="554">
        <f>I355</f>
        <v>400</v>
      </c>
      <c r="AV355" s="554">
        <f>I355</f>
        <v>400</v>
      </c>
      <c r="AW355" s="619"/>
      <c r="AX355" s="548"/>
      <c r="AY355" s="548"/>
      <c r="AZ355" s="548"/>
      <c r="BA355" s="548"/>
      <c r="BB355" s="620">
        <f t="shared" si="106"/>
        <v>16.6666666666667</v>
      </c>
      <c r="BN355" s="554">
        <f>I355/25</f>
        <v>16</v>
      </c>
      <c r="BY355" s="619"/>
      <c r="BZ355" s="548"/>
      <c r="CA355" s="621"/>
      <c r="CB355" s="567"/>
      <c r="CC355" s="622"/>
      <c r="CD355" s="619"/>
      <c r="CE355" s="619"/>
      <c r="CF355" s="548"/>
      <c r="CG355" s="548"/>
      <c r="CU355" s="554">
        <f t="shared" si="105"/>
        <v>16</v>
      </c>
      <c r="CV355" s="554">
        <f t="shared" si="94"/>
        <v>0</v>
      </c>
      <c r="CW355" s="554">
        <f t="shared" si="95"/>
        <v>0</v>
      </c>
      <c r="CX355" s="619"/>
      <c r="CY355" s="619"/>
      <c r="CZ355" s="619"/>
      <c r="DA355" s="548"/>
      <c r="DB355" s="548"/>
      <c r="DC355" s="548"/>
      <c r="DD355" s="619"/>
      <c r="DE355" s="619"/>
      <c r="DF355" s="619"/>
      <c r="DG355" s="619"/>
      <c r="DH355" s="619"/>
    </row>
    <row r="356" s="548" customFormat="1" ht="31" customHeight="1" spans="1:112">
      <c r="A356" s="608">
        <v>45826</v>
      </c>
      <c r="B356" s="609" t="s">
        <v>266</v>
      </c>
      <c r="C356" s="610" t="s">
        <v>170</v>
      </c>
      <c r="D356" s="554">
        <v>4500168979</v>
      </c>
      <c r="E356" s="610">
        <v>3501527807</v>
      </c>
      <c r="F356" s="554" t="s">
        <v>6937</v>
      </c>
      <c r="G356" s="610" t="s">
        <v>6084</v>
      </c>
      <c r="H356" s="610" t="s">
        <v>6069</v>
      </c>
      <c r="I356" s="610">
        <v>1650</v>
      </c>
      <c r="J356" s="610">
        <v>0</v>
      </c>
      <c r="K356" s="610">
        <v>25</v>
      </c>
      <c r="L356" s="611">
        <f t="shared" si="101"/>
        <v>66</v>
      </c>
      <c r="M356" s="612">
        <v>45860</v>
      </c>
      <c r="N356" s="612">
        <v>45856</v>
      </c>
      <c r="O356" s="613" t="s">
        <v>1269</v>
      </c>
      <c r="P356" s="613" t="s">
        <v>113</v>
      </c>
      <c r="Q356" s="610"/>
      <c r="R356" s="614">
        <v>45826</v>
      </c>
      <c r="S356" s="614" t="s">
        <v>70</v>
      </c>
      <c r="T356" s="614" t="s">
        <v>70</v>
      </c>
      <c r="U356" s="614"/>
      <c r="V356" s="614"/>
      <c r="W356" s="615"/>
      <c r="X356" s="609" t="s">
        <v>6938</v>
      </c>
      <c r="Y356" s="609" t="s">
        <v>270</v>
      </c>
      <c r="Z356" s="609">
        <v>0.9342</v>
      </c>
      <c r="AA356" s="616">
        <f t="shared" si="104"/>
        <v>1541.43</v>
      </c>
      <c r="AC356" s="629" t="s">
        <v>1271</v>
      </c>
      <c r="AD356" s="610" t="s">
        <v>6089</v>
      </c>
      <c r="AE356" s="610" t="s">
        <v>82</v>
      </c>
      <c r="AF356" s="610"/>
      <c r="AG356" s="610"/>
      <c r="AH356" s="610"/>
      <c r="AI356" s="610">
        <v>1650</v>
      </c>
      <c r="AJ356" s="610">
        <f t="shared" si="103"/>
        <v>0</v>
      </c>
      <c r="AK356" s="610"/>
      <c r="AL356" s="610"/>
      <c r="AM356" s="610"/>
      <c r="AN356" s="610">
        <f>I356</f>
        <v>1650</v>
      </c>
      <c r="AR356" s="619"/>
      <c r="AS356" s="554">
        <f>I356</f>
        <v>1650</v>
      </c>
      <c r="AU356" s="554">
        <f>I356</f>
        <v>1650</v>
      </c>
      <c r="AW356" s="619"/>
      <c r="AX356" s="548"/>
      <c r="AY356" s="548"/>
      <c r="AZ356" s="548"/>
      <c r="BA356" s="548"/>
      <c r="BB356" s="620">
        <f t="shared" si="106"/>
        <v>68.75</v>
      </c>
      <c r="BO356" s="554">
        <f>I356/25</f>
        <v>66</v>
      </c>
      <c r="BY356" s="619"/>
      <c r="BZ356" s="548"/>
      <c r="CA356" s="621"/>
      <c r="CB356" s="567"/>
      <c r="CC356" s="622"/>
      <c r="CD356" s="619"/>
      <c r="CE356" s="619"/>
      <c r="CF356" s="548"/>
      <c r="CG356" s="548"/>
      <c r="CU356" s="554">
        <f t="shared" si="105"/>
        <v>66</v>
      </c>
      <c r="CV356" s="554">
        <f t="shared" si="94"/>
        <v>0</v>
      </c>
      <c r="CW356" s="554">
        <f t="shared" si="95"/>
        <v>0</v>
      </c>
      <c r="CX356" s="619"/>
      <c r="CY356" s="619"/>
      <c r="CZ356" s="619"/>
      <c r="DA356" s="548"/>
      <c r="DB356" s="548"/>
      <c r="DC356" s="548"/>
      <c r="DD356" s="619"/>
      <c r="DE356" s="619"/>
      <c r="DF356" s="619"/>
      <c r="DG356" s="619"/>
      <c r="DH356" s="619"/>
    </row>
    <row r="357" s="548" customFormat="1" ht="31" customHeight="1" spans="1:112">
      <c r="A357" s="608">
        <v>45775</v>
      </c>
      <c r="B357" s="609" t="s">
        <v>650</v>
      </c>
      <c r="C357" s="610" t="s">
        <v>424</v>
      </c>
      <c r="D357" s="554">
        <v>4500160470</v>
      </c>
      <c r="E357" s="610">
        <v>300565974</v>
      </c>
      <c r="F357" s="554" t="s">
        <v>6939</v>
      </c>
      <c r="G357" s="610" t="s">
        <v>6047</v>
      </c>
      <c r="H357" s="610" t="s">
        <v>6069</v>
      </c>
      <c r="I357" s="610">
        <v>725</v>
      </c>
      <c r="J357" s="610">
        <v>0</v>
      </c>
      <c r="K357" s="610">
        <v>25</v>
      </c>
      <c r="L357" s="611">
        <f t="shared" si="101"/>
        <v>29</v>
      </c>
      <c r="M357" s="612">
        <v>45861</v>
      </c>
      <c r="N357" s="612">
        <v>45857</v>
      </c>
      <c r="O357" s="613"/>
      <c r="P357" s="613" t="s">
        <v>113</v>
      </c>
      <c r="Q357" s="610"/>
      <c r="R357" s="614">
        <v>45775</v>
      </c>
      <c r="S357" s="614" t="s">
        <v>70</v>
      </c>
      <c r="T357" s="614" t="s">
        <v>6940</v>
      </c>
      <c r="U357" s="614"/>
      <c r="V357" s="614"/>
      <c r="W357" s="615"/>
      <c r="X357" s="628" t="s">
        <v>6941</v>
      </c>
      <c r="Y357" s="609" t="s">
        <v>428</v>
      </c>
      <c r="Z357" s="609">
        <v>0.95</v>
      </c>
      <c r="AA357" s="616">
        <f t="shared" si="104"/>
        <v>688.75</v>
      </c>
      <c r="AC357" s="632" t="s">
        <v>1225</v>
      </c>
      <c r="AD357" s="610" t="s">
        <v>6047</v>
      </c>
      <c r="AE357" s="610" t="s">
        <v>82</v>
      </c>
      <c r="AF357" s="610"/>
      <c r="AG357" s="610"/>
      <c r="AH357" s="610"/>
      <c r="AI357" s="610">
        <v>725</v>
      </c>
      <c r="AJ357" s="610">
        <f t="shared" si="103"/>
        <v>0</v>
      </c>
      <c r="AK357" s="610"/>
      <c r="AL357" s="610"/>
      <c r="AM357" s="610"/>
      <c r="AN357" s="610"/>
      <c r="AO357" s="554">
        <f>I357</f>
        <v>725</v>
      </c>
      <c r="AR357" s="619"/>
      <c r="AS357" s="548"/>
      <c r="AT357" s="554">
        <f>I357</f>
        <v>725</v>
      </c>
      <c r="AV357" s="554">
        <f>I357</f>
        <v>725</v>
      </c>
      <c r="AW357" s="619"/>
      <c r="AX357" s="548"/>
      <c r="AY357" s="548"/>
      <c r="AZ357" s="548"/>
      <c r="BA357" s="548"/>
      <c r="BB357" s="620">
        <f t="shared" si="106"/>
        <v>30.2083333333333</v>
      </c>
      <c r="BP357" s="554">
        <f>I357/25</f>
        <v>29</v>
      </c>
      <c r="BY357" s="619"/>
      <c r="BZ357" s="548"/>
      <c r="CA357" s="621"/>
      <c r="CB357" s="567"/>
      <c r="CC357" s="622"/>
      <c r="CD357" s="619"/>
      <c r="CE357" s="619"/>
      <c r="CF357" s="548"/>
      <c r="CG357" s="548"/>
      <c r="CU357" s="554">
        <f t="shared" si="105"/>
        <v>29</v>
      </c>
      <c r="CV357" s="554">
        <f t="shared" si="94"/>
        <v>0</v>
      </c>
      <c r="CW357" s="554">
        <f t="shared" si="95"/>
        <v>0</v>
      </c>
      <c r="CX357" s="619"/>
      <c r="CY357" s="619"/>
      <c r="CZ357" s="619"/>
      <c r="DA357" s="548"/>
      <c r="DB357" s="548"/>
      <c r="DC357" s="548"/>
      <c r="DD357" s="619"/>
      <c r="DE357" s="619"/>
      <c r="DF357" s="619"/>
      <c r="DG357" s="619"/>
      <c r="DH357" s="619"/>
    </row>
    <row r="358" s="548" customFormat="1" ht="31" customHeight="1" spans="1:112">
      <c r="A358" s="608">
        <v>45807</v>
      </c>
      <c r="B358" s="609" t="s">
        <v>1231</v>
      </c>
      <c r="C358" s="610" t="s">
        <v>836</v>
      </c>
      <c r="D358" s="554">
        <v>4500168200</v>
      </c>
      <c r="E358" s="610" t="s">
        <v>1232</v>
      </c>
      <c r="F358" s="554" t="s">
        <v>6942</v>
      </c>
      <c r="G358" s="610" t="s">
        <v>6093</v>
      </c>
      <c r="H358" s="610" t="s">
        <v>6094</v>
      </c>
      <c r="I358" s="610">
        <v>520</v>
      </c>
      <c r="J358" s="610">
        <v>0</v>
      </c>
      <c r="K358" s="610">
        <v>13</v>
      </c>
      <c r="L358" s="611">
        <f t="shared" si="101"/>
        <v>40</v>
      </c>
      <c r="M358" s="612">
        <v>45861</v>
      </c>
      <c r="N358" s="612">
        <f>M358-4</f>
        <v>45857</v>
      </c>
      <c r="O358" s="613"/>
      <c r="P358" s="613" t="s">
        <v>113</v>
      </c>
      <c r="Q358" s="610"/>
      <c r="R358" s="614">
        <v>45807</v>
      </c>
      <c r="S358" s="614" t="s">
        <v>70</v>
      </c>
      <c r="T358" s="614">
        <v>45818</v>
      </c>
      <c r="U358" s="614"/>
      <c r="V358" s="614"/>
      <c r="W358" s="615"/>
      <c r="X358" s="609" t="s">
        <v>6943</v>
      </c>
      <c r="Y358" s="609" t="s">
        <v>1237</v>
      </c>
      <c r="Z358" s="609">
        <v>0.8999</v>
      </c>
      <c r="AA358" s="616">
        <f t="shared" si="104"/>
        <v>467.948</v>
      </c>
      <c r="AC358" s="629" t="s">
        <v>1238</v>
      </c>
      <c r="AD358" s="610" t="s">
        <v>6093</v>
      </c>
      <c r="AE358" s="610" t="s">
        <v>82</v>
      </c>
      <c r="AF358" s="610"/>
      <c r="AG358" s="610"/>
      <c r="AH358" s="610"/>
      <c r="AI358" s="610">
        <v>520</v>
      </c>
      <c r="AJ358" s="610">
        <f t="shared" si="103"/>
        <v>0</v>
      </c>
      <c r="AK358" s="610"/>
      <c r="AL358" s="610"/>
      <c r="AM358" s="610"/>
      <c r="AN358" s="610"/>
      <c r="AO358" s="554">
        <f>I358</f>
        <v>520</v>
      </c>
      <c r="AR358" s="619"/>
      <c r="AS358" s="548"/>
      <c r="AT358" s="554">
        <f>I358</f>
        <v>520</v>
      </c>
      <c r="AV358" s="554">
        <f>I358</f>
        <v>520</v>
      </c>
      <c r="AW358" s="619"/>
      <c r="AX358" s="548"/>
      <c r="AY358" s="548"/>
      <c r="AZ358" s="548"/>
      <c r="BA358" s="548"/>
      <c r="BB358" s="620">
        <f t="shared" si="106"/>
        <v>21.6666666666667</v>
      </c>
      <c r="BM358" s="554">
        <f>I358/13</f>
        <v>40</v>
      </c>
      <c r="BY358" s="619"/>
      <c r="BZ358" s="548"/>
      <c r="CA358" s="621"/>
      <c r="CB358" s="567"/>
      <c r="CC358" s="622"/>
      <c r="CD358" s="619"/>
      <c r="CE358" s="619"/>
      <c r="CF358" s="548"/>
      <c r="CG358" s="548"/>
      <c r="CU358" s="554">
        <f t="shared" si="105"/>
        <v>0</v>
      </c>
      <c r="CV358" s="554">
        <f t="shared" si="94"/>
        <v>0</v>
      </c>
      <c r="CW358" s="554">
        <f t="shared" si="95"/>
        <v>0</v>
      </c>
      <c r="CX358" s="619"/>
      <c r="CY358" s="619"/>
      <c r="CZ358" s="619"/>
      <c r="DA358" s="548"/>
      <c r="DB358" s="548"/>
      <c r="DC358" s="548"/>
      <c r="DD358" s="619"/>
      <c r="DE358" s="619"/>
      <c r="DF358" s="619"/>
      <c r="DG358" s="619"/>
      <c r="DH358" s="619"/>
    </row>
    <row r="359" s="548" customFormat="1" ht="31" customHeight="1" spans="1:112">
      <c r="A359" s="608">
        <v>45821</v>
      </c>
      <c r="B359" s="609" t="s">
        <v>1320</v>
      </c>
      <c r="C359" s="610" t="s">
        <v>411</v>
      </c>
      <c r="D359" s="554">
        <v>4500170062</v>
      </c>
      <c r="E359" s="610">
        <v>2002651048</v>
      </c>
      <c r="F359" s="554" t="s">
        <v>6944</v>
      </c>
      <c r="G359" s="610" t="s">
        <v>6043</v>
      </c>
      <c r="H359" s="610" t="s">
        <v>6110</v>
      </c>
      <c r="I359" s="610">
        <v>4100</v>
      </c>
      <c r="J359" s="610">
        <v>0</v>
      </c>
      <c r="K359" s="610">
        <v>50</v>
      </c>
      <c r="L359" s="611">
        <f t="shared" si="101"/>
        <v>82</v>
      </c>
      <c r="M359" s="612">
        <v>45861</v>
      </c>
      <c r="N359" s="612">
        <f>M359-4</f>
        <v>45857</v>
      </c>
      <c r="O359" s="613"/>
      <c r="P359" s="613" t="s">
        <v>113</v>
      </c>
      <c r="Q359" s="610"/>
      <c r="R359" s="614">
        <v>45828</v>
      </c>
      <c r="S359" s="614" t="s">
        <v>70</v>
      </c>
      <c r="T359" s="614">
        <v>45834</v>
      </c>
      <c r="U359" s="614"/>
      <c r="V359" s="614" t="s">
        <v>6945</v>
      </c>
      <c r="W359" s="615"/>
      <c r="X359" s="609" t="s">
        <v>6946</v>
      </c>
      <c r="Y359" s="609" t="s">
        <v>415</v>
      </c>
      <c r="Z359" s="609">
        <v>0.941</v>
      </c>
      <c r="AA359" s="616">
        <f t="shared" si="104"/>
        <v>3858.1</v>
      </c>
      <c r="AC359" s="629" t="s">
        <v>6947</v>
      </c>
      <c r="AD359" s="610" t="s">
        <v>6043</v>
      </c>
      <c r="AE359" s="610" t="s">
        <v>82</v>
      </c>
      <c r="AF359" s="610"/>
      <c r="AG359" s="610"/>
      <c r="AH359" s="610"/>
      <c r="AI359" s="610">
        <v>4100</v>
      </c>
      <c r="AJ359" s="610">
        <f t="shared" si="103"/>
        <v>0</v>
      </c>
      <c r="AK359" s="610"/>
      <c r="AL359" s="610"/>
      <c r="AM359" s="610"/>
      <c r="AN359" s="610"/>
      <c r="AO359" s="554">
        <f>I359</f>
        <v>4100</v>
      </c>
      <c r="AR359" s="619"/>
      <c r="AS359" s="548"/>
      <c r="AT359" s="554">
        <f>I359</f>
        <v>4100</v>
      </c>
      <c r="AV359" s="554">
        <f>I359</f>
        <v>4100</v>
      </c>
      <c r="AW359" s="619"/>
      <c r="AX359" s="548"/>
      <c r="AY359" s="548"/>
      <c r="AZ359" s="548"/>
      <c r="BA359" s="548"/>
      <c r="BB359" s="620">
        <f t="shared" si="106"/>
        <v>170.833333333333</v>
      </c>
      <c r="BP359" s="554">
        <f>I359/25</f>
        <v>164</v>
      </c>
      <c r="BY359" s="619"/>
      <c r="BZ359" s="548"/>
      <c r="CA359" s="621"/>
      <c r="CB359" s="567"/>
      <c r="CC359" s="622"/>
      <c r="CD359" s="619"/>
      <c r="CE359" s="619"/>
      <c r="CF359" s="548"/>
      <c r="CG359" s="548"/>
      <c r="CU359" s="554">
        <f t="shared" si="105"/>
        <v>164</v>
      </c>
      <c r="CV359" s="554">
        <f t="shared" si="94"/>
        <v>0</v>
      </c>
      <c r="CW359" s="554">
        <f t="shared" si="95"/>
        <v>0</v>
      </c>
      <c r="CX359" s="619"/>
      <c r="CY359" s="619"/>
      <c r="CZ359" s="619"/>
      <c r="DA359" s="548"/>
      <c r="DB359" s="548"/>
      <c r="DC359" s="548"/>
      <c r="DD359" s="619"/>
      <c r="DE359" s="619"/>
      <c r="DF359" s="619"/>
      <c r="DG359" s="619"/>
      <c r="DH359" s="619"/>
    </row>
    <row r="360" s="548" customFormat="1" ht="31" customHeight="1" spans="1:112">
      <c r="A360" s="608">
        <v>45720</v>
      </c>
      <c r="B360" s="609" t="s">
        <v>460</v>
      </c>
      <c r="C360" s="610" t="s">
        <v>278</v>
      </c>
      <c r="D360" s="554">
        <v>4500158588</v>
      </c>
      <c r="E360" s="610" t="s">
        <v>6948</v>
      </c>
      <c r="F360" s="554" t="s">
        <v>6949</v>
      </c>
      <c r="G360" s="610" t="s">
        <v>6365</v>
      </c>
      <c r="H360" s="610" t="s">
        <v>6126</v>
      </c>
      <c r="I360" s="610">
        <v>972</v>
      </c>
      <c r="J360" s="610">
        <v>0</v>
      </c>
      <c r="K360" s="610">
        <v>12</v>
      </c>
      <c r="L360" s="611">
        <f t="shared" si="101"/>
        <v>81</v>
      </c>
      <c r="M360" s="612">
        <v>45862</v>
      </c>
      <c r="N360" s="612">
        <v>45859</v>
      </c>
      <c r="O360" s="613"/>
      <c r="P360" s="613" t="s">
        <v>113</v>
      </c>
      <c r="Q360" s="610" t="s">
        <v>6950</v>
      </c>
      <c r="R360" s="614" t="s">
        <v>463</v>
      </c>
      <c r="S360" s="614" t="s">
        <v>104</v>
      </c>
      <c r="T360" s="614" t="s">
        <v>6366</v>
      </c>
      <c r="U360" s="614"/>
      <c r="V360" s="614"/>
      <c r="W360" s="615"/>
      <c r="X360" s="628" t="s">
        <v>6951</v>
      </c>
      <c r="Y360" s="609" t="s">
        <v>466</v>
      </c>
      <c r="Z360" s="609">
        <v>2.1629</v>
      </c>
      <c r="AA360" s="616">
        <f t="shared" si="104"/>
        <v>2102.3388</v>
      </c>
      <c r="AC360" s="629" t="s">
        <v>6952</v>
      </c>
      <c r="AD360" s="610" t="s">
        <v>6368</v>
      </c>
      <c r="AE360" s="610" t="s">
        <v>82</v>
      </c>
      <c r="AF360" s="610"/>
      <c r="AG360" s="610"/>
      <c r="AH360" s="610"/>
      <c r="AI360" s="610">
        <v>972</v>
      </c>
      <c r="AJ360" s="610">
        <f t="shared" si="103"/>
        <v>0</v>
      </c>
      <c r="AK360" s="610"/>
      <c r="AL360" s="610"/>
      <c r="AM360" s="610"/>
      <c r="AN360" s="610"/>
      <c r="AO360" s="554">
        <f>I360*2</f>
        <v>1944</v>
      </c>
      <c r="AP360" s="554">
        <f>I360*2</f>
        <v>1944</v>
      </c>
      <c r="AR360" s="619"/>
      <c r="AS360" s="548"/>
      <c r="AT360" s="548"/>
      <c r="AU360" s="548"/>
      <c r="AV360" s="554">
        <f>I360*2</f>
        <v>1944</v>
      </c>
      <c r="AW360" s="619"/>
      <c r="AX360" s="548"/>
      <c r="AY360" s="548"/>
      <c r="AZ360" s="548"/>
      <c r="BA360" s="548"/>
      <c r="BB360" s="249">
        <f>I360/24*2</f>
        <v>81</v>
      </c>
      <c r="BY360" s="619"/>
      <c r="BZ360" s="548"/>
      <c r="CA360" s="621"/>
      <c r="CB360" s="567"/>
      <c r="CC360" s="622"/>
      <c r="CD360" s="619"/>
      <c r="CE360" s="619"/>
      <c r="CF360" s="548"/>
      <c r="CG360" s="548"/>
      <c r="CR360" s="554">
        <f>I360</f>
        <v>972</v>
      </c>
      <c r="CS360" s="554">
        <f>I360</f>
        <v>972</v>
      </c>
      <c r="CT360" s="554">
        <f>I360</f>
        <v>972</v>
      </c>
      <c r="CU360" s="554">
        <f t="shared" si="105"/>
        <v>0</v>
      </c>
      <c r="CV360" s="554">
        <f t="shared" si="94"/>
        <v>0</v>
      </c>
      <c r="CW360" s="554">
        <f t="shared" si="95"/>
        <v>0</v>
      </c>
      <c r="CX360" s="619"/>
      <c r="CY360" s="619"/>
      <c r="CZ360" s="619"/>
      <c r="DA360" s="548"/>
      <c r="DB360" s="548"/>
      <c r="DC360" s="548"/>
      <c r="DD360" s="619"/>
      <c r="DE360" s="619"/>
      <c r="DF360" s="619"/>
      <c r="DG360" s="619"/>
      <c r="DH360" s="619"/>
    </row>
    <row r="361" s="548" customFormat="1" ht="31" customHeight="1" spans="1:112">
      <c r="A361" s="608">
        <v>45720</v>
      </c>
      <c r="B361" s="609" t="s">
        <v>460</v>
      </c>
      <c r="C361" s="610" t="s">
        <v>154</v>
      </c>
      <c r="D361" s="554">
        <v>4500158588</v>
      </c>
      <c r="E361" s="610" t="s">
        <v>6953</v>
      </c>
      <c r="F361" s="554" t="s">
        <v>6954</v>
      </c>
      <c r="G361" s="610" t="s">
        <v>6365</v>
      </c>
      <c r="H361" s="610" t="s">
        <v>6126</v>
      </c>
      <c r="I361" s="610">
        <v>516</v>
      </c>
      <c r="J361" s="610">
        <v>0</v>
      </c>
      <c r="K361" s="610">
        <v>12</v>
      </c>
      <c r="L361" s="611">
        <f t="shared" si="101"/>
        <v>43</v>
      </c>
      <c r="M361" s="612">
        <v>45862</v>
      </c>
      <c r="N361" s="612">
        <v>45859</v>
      </c>
      <c r="O361" s="613"/>
      <c r="P361" s="613" t="s">
        <v>113</v>
      </c>
      <c r="Q361" s="610" t="s">
        <v>6950</v>
      </c>
      <c r="R361" s="614" t="s">
        <v>463</v>
      </c>
      <c r="S361" s="614" t="s">
        <v>104</v>
      </c>
      <c r="T361" s="614" t="s">
        <v>6366</v>
      </c>
      <c r="U361" s="614"/>
      <c r="V361" s="614"/>
      <c r="W361" s="615"/>
      <c r="X361" s="628" t="s">
        <v>6951</v>
      </c>
      <c r="Y361" s="609" t="s">
        <v>466</v>
      </c>
      <c r="Z361" s="609">
        <v>2.1629</v>
      </c>
      <c r="AA361" s="616">
        <f t="shared" si="104"/>
        <v>1116.0564</v>
      </c>
      <c r="AC361" s="629" t="s">
        <v>6952</v>
      </c>
      <c r="AD361" s="610" t="s">
        <v>6368</v>
      </c>
      <c r="AE361" s="610" t="s">
        <v>82</v>
      </c>
      <c r="AF361" s="610"/>
      <c r="AG361" s="610"/>
      <c r="AH361" s="610"/>
      <c r="AI361" s="610">
        <v>516</v>
      </c>
      <c r="AJ361" s="610">
        <f t="shared" si="103"/>
        <v>0</v>
      </c>
      <c r="AK361" s="610"/>
      <c r="AL361" s="610"/>
      <c r="AM361" s="610"/>
      <c r="AN361" s="610"/>
      <c r="AO361" s="554">
        <f>I361*2</f>
        <v>1032</v>
      </c>
      <c r="AP361" s="554">
        <f>I361*2</f>
        <v>1032</v>
      </c>
      <c r="AR361" s="619"/>
      <c r="AS361" s="548"/>
      <c r="AT361" s="548"/>
      <c r="AU361" s="548"/>
      <c r="AV361" s="554">
        <f>I361*2</f>
        <v>1032</v>
      </c>
      <c r="AW361" s="619"/>
      <c r="AX361" s="548"/>
      <c r="AY361" s="548"/>
      <c r="AZ361" s="548"/>
      <c r="BA361" s="548"/>
      <c r="BB361" s="249">
        <f>I361/24*2</f>
        <v>43</v>
      </c>
      <c r="BY361" s="619"/>
      <c r="BZ361" s="548"/>
      <c r="CA361" s="621"/>
      <c r="CB361" s="567"/>
      <c r="CC361" s="622"/>
      <c r="CD361" s="619"/>
      <c r="CE361" s="619"/>
      <c r="CF361" s="548"/>
      <c r="CG361" s="548"/>
      <c r="CR361" s="554">
        <f>I361</f>
        <v>516</v>
      </c>
      <c r="CS361" s="554">
        <f>I361</f>
        <v>516</v>
      </c>
      <c r="CT361" s="554">
        <f>I361</f>
        <v>516</v>
      </c>
      <c r="CU361" s="554">
        <f t="shared" si="105"/>
        <v>0</v>
      </c>
      <c r="CV361" s="554">
        <f t="shared" si="94"/>
        <v>0</v>
      </c>
      <c r="CW361" s="554">
        <f t="shared" si="95"/>
        <v>0</v>
      </c>
      <c r="CX361" s="619"/>
      <c r="CY361" s="619"/>
      <c r="CZ361" s="619"/>
      <c r="DA361" s="548"/>
      <c r="DB361" s="548"/>
      <c r="DC361" s="548"/>
      <c r="DD361" s="619"/>
      <c r="DE361" s="619"/>
      <c r="DF361" s="619"/>
      <c r="DG361" s="619"/>
      <c r="DH361" s="619"/>
    </row>
    <row r="362" s="548" customFormat="1" ht="31" customHeight="1" spans="1:112">
      <c r="A362" s="608">
        <v>45805</v>
      </c>
      <c r="B362" s="609" t="s">
        <v>6955</v>
      </c>
      <c r="C362" s="610" t="s">
        <v>98</v>
      </c>
      <c r="D362" s="554">
        <v>4500167735</v>
      </c>
      <c r="E362" s="610">
        <v>51062</v>
      </c>
      <c r="F362" s="554" t="s">
        <v>6956</v>
      </c>
      <c r="G362" s="610" t="s">
        <v>6032</v>
      </c>
      <c r="H362" s="610" t="s">
        <v>6033</v>
      </c>
      <c r="I362" s="610">
        <v>520</v>
      </c>
      <c r="J362" s="610">
        <v>0</v>
      </c>
      <c r="K362" s="610">
        <v>52</v>
      </c>
      <c r="L362" s="611">
        <f t="shared" si="101"/>
        <v>10</v>
      </c>
      <c r="M362" s="612">
        <v>45862</v>
      </c>
      <c r="N362" s="612">
        <v>45859</v>
      </c>
      <c r="O362" s="613"/>
      <c r="P362" s="613" t="s">
        <v>113</v>
      </c>
      <c r="Q362" s="610"/>
      <c r="R362" s="614">
        <v>45818</v>
      </c>
      <c r="S362" s="614" t="s">
        <v>70</v>
      </c>
      <c r="T362" s="614">
        <v>45805</v>
      </c>
      <c r="U362" s="614"/>
      <c r="V362" s="614"/>
      <c r="W362" s="615"/>
      <c r="X362" s="609" t="s">
        <v>6957</v>
      </c>
      <c r="Y362" s="609" t="s">
        <v>882</v>
      </c>
      <c r="Z362" s="609">
        <v>0.9278</v>
      </c>
      <c r="AA362" s="616">
        <f t="shared" si="104"/>
        <v>482.456</v>
      </c>
      <c r="AC362" s="617" t="s">
        <v>6958</v>
      </c>
      <c r="AD362" s="610" t="s">
        <v>6032</v>
      </c>
      <c r="AE362" s="610" t="s">
        <v>82</v>
      </c>
      <c r="AF362" s="610"/>
      <c r="AG362" s="610"/>
      <c r="AH362" s="610"/>
      <c r="AI362" s="610">
        <v>520</v>
      </c>
      <c r="AJ362" s="610">
        <f t="shared" si="103"/>
        <v>0</v>
      </c>
      <c r="AK362" s="610"/>
      <c r="AL362" s="610"/>
      <c r="AM362" s="610"/>
      <c r="AN362" s="610">
        <f>I362</f>
        <v>520</v>
      </c>
      <c r="AP362" s="554">
        <f>I362</f>
        <v>520</v>
      </c>
      <c r="AR362" s="619"/>
      <c r="AS362" s="548"/>
      <c r="AT362" s="548"/>
      <c r="AU362" s="554">
        <f>I362</f>
        <v>520</v>
      </c>
      <c r="AW362" s="619"/>
      <c r="AX362" s="548"/>
      <c r="AY362" s="548"/>
      <c r="AZ362" s="548"/>
      <c r="BA362" s="548"/>
      <c r="BB362" s="620">
        <f>I362/48</f>
        <v>10.8333333333333</v>
      </c>
      <c r="BK362" s="554">
        <f>I362/13</f>
        <v>40</v>
      </c>
      <c r="BY362" s="619"/>
      <c r="BZ362" s="548"/>
      <c r="CA362" s="621"/>
      <c r="CB362" s="567"/>
      <c r="CC362" s="622"/>
      <c r="CD362" s="619"/>
      <c r="CE362" s="619"/>
      <c r="CF362" s="548"/>
      <c r="CG362" s="548"/>
      <c r="CU362" s="554">
        <f t="shared" si="105"/>
        <v>0</v>
      </c>
      <c r="CV362" s="554">
        <f t="shared" si="94"/>
        <v>0</v>
      </c>
      <c r="CW362" s="554">
        <f t="shared" si="95"/>
        <v>0</v>
      </c>
      <c r="CX362" s="619"/>
      <c r="CY362" s="619"/>
      <c r="CZ362" s="619"/>
      <c r="DA362" s="548"/>
      <c r="DB362" s="548"/>
      <c r="DC362" s="548"/>
      <c r="DD362" s="619"/>
      <c r="DE362" s="619"/>
      <c r="DF362" s="619"/>
      <c r="DG362" s="619"/>
      <c r="DH362" s="619"/>
    </row>
    <row r="363" s="548" customFormat="1" ht="31" customHeight="1" spans="1:112">
      <c r="A363" s="608">
        <v>45821</v>
      </c>
      <c r="B363" s="609" t="s">
        <v>6098</v>
      </c>
      <c r="C363" s="610" t="s">
        <v>128</v>
      </c>
      <c r="D363" s="554">
        <v>4500169877</v>
      </c>
      <c r="E363" s="610">
        <v>46974163</v>
      </c>
      <c r="F363" s="554" t="s">
        <v>6959</v>
      </c>
      <c r="G363" s="610" t="s">
        <v>6101</v>
      </c>
      <c r="H363" s="610" t="s">
        <v>6102</v>
      </c>
      <c r="I363" s="610">
        <v>756</v>
      </c>
      <c r="J363" s="610">
        <v>0</v>
      </c>
      <c r="K363" s="610">
        <v>6</v>
      </c>
      <c r="L363" s="611">
        <f t="shared" si="101"/>
        <v>126</v>
      </c>
      <c r="M363" s="612">
        <v>45862</v>
      </c>
      <c r="N363" s="612">
        <v>45859</v>
      </c>
      <c r="O363" s="613"/>
      <c r="P363" s="613" t="s">
        <v>113</v>
      </c>
      <c r="Q363" s="610"/>
      <c r="R363" s="614" t="s">
        <v>6960</v>
      </c>
      <c r="S363" s="614" t="s">
        <v>70</v>
      </c>
      <c r="T363" s="614" t="s">
        <v>6961</v>
      </c>
      <c r="U363" s="614"/>
      <c r="V363" s="614"/>
      <c r="W363" s="615"/>
      <c r="X363" s="628" t="s">
        <v>6962</v>
      </c>
      <c r="Y363" s="609" t="s">
        <v>1735</v>
      </c>
      <c r="Z363" s="609">
        <v>0.9362</v>
      </c>
      <c r="AA363" s="616">
        <f t="shared" si="104"/>
        <v>707.7672</v>
      </c>
      <c r="AC363" s="617" t="s">
        <v>6963</v>
      </c>
      <c r="AD363" s="610" t="s">
        <v>6101</v>
      </c>
      <c r="AE363" s="610" t="s">
        <v>82</v>
      </c>
      <c r="AF363" s="610"/>
      <c r="AG363" s="610"/>
      <c r="AH363" s="610"/>
      <c r="AI363" s="610">
        <v>756</v>
      </c>
      <c r="AJ363" s="610">
        <f t="shared" si="103"/>
        <v>0</v>
      </c>
      <c r="AK363" s="610"/>
      <c r="AL363" s="610"/>
      <c r="AM363" s="610"/>
      <c r="AN363" s="610"/>
      <c r="AO363" s="554">
        <f t="shared" ref="AO363:AO368" si="107">I363</f>
        <v>756</v>
      </c>
      <c r="AR363" s="619"/>
      <c r="AS363" s="548"/>
      <c r="AT363" s="554">
        <f>I363</f>
        <v>756</v>
      </c>
      <c r="AV363" s="554">
        <f>I363</f>
        <v>756</v>
      </c>
      <c r="AW363" s="619"/>
      <c r="AX363" s="548"/>
      <c r="AY363" s="548"/>
      <c r="AZ363" s="548"/>
      <c r="BA363" s="548"/>
      <c r="BB363" s="620">
        <f>I363/24</f>
        <v>31.5</v>
      </c>
      <c r="BT363" s="554">
        <f>I363/6</f>
        <v>126</v>
      </c>
      <c r="BU363" s="554"/>
      <c r="BY363" s="619"/>
      <c r="BZ363" s="548"/>
      <c r="CA363" s="621"/>
      <c r="CB363" s="567"/>
      <c r="CC363" s="622"/>
      <c r="CD363" s="619"/>
      <c r="CE363" s="619"/>
      <c r="CF363" s="548"/>
      <c r="CG363" s="548"/>
      <c r="CU363" s="554">
        <f t="shared" si="105"/>
        <v>0</v>
      </c>
      <c r="CV363" s="554">
        <f t="shared" si="94"/>
        <v>0</v>
      </c>
      <c r="CW363" s="554">
        <f t="shared" si="95"/>
        <v>0</v>
      </c>
      <c r="CX363" s="619"/>
      <c r="CY363" s="619"/>
      <c r="CZ363" s="619"/>
      <c r="DA363" s="548"/>
      <c r="DB363" s="548"/>
      <c r="DC363" s="548"/>
      <c r="DD363" s="619"/>
      <c r="DE363" s="619"/>
      <c r="DF363" s="619"/>
      <c r="DG363" s="619"/>
      <c r="DH363" s="619"/>
    </row>
    <row r="364" s="548" customFormat="1" ht="31" customHeight="1" spans="1:112">
      <c r="A364" s="608">
        <v>45821</v>
      </c>
      <c r="B364" s="609" t="s">
        <v>6098</v>
      </c>
      <c r="C364" s="610" t="s">
        <v>128</v>
      </c>
      <c r="D364" s="554">
        <v>4500169877</v>
      </c>
      <c r="E364" s="610">
        <v>46974162</v>
      </c>
      <c r="F364" s="554" t="s">
        <v>6964</v>
      </c>
      <c r="G364" s="610" t="s">
        <v>6101</v>
      </c>
      <c r="H364" s="610" t="s">
        <v>6102</v>
      </c>
      <c r="I364" s="610">
        <v>1488</v>
      </c>
      <c r="J364" s="610">
        <v>0</v>
      </c>
      <c r="K364" s="610">
        <v>6</v>
      </c>
      <c r="L364" s="611">
        <f t="shared" si="101"/>
        <v>248</v>
      </c>
      <c r="M364" s="612">
        <v>45862</v>
      </c>
      <c r="N364" s="612">
        <v>45859</v>
      </c>
      <c r="O364" s="613"/>
      <c r="P364" s="613" t="s">
        <v>113</v>
      </c>
      <c r="Q364" s="610"/>
      <c r="R364" s="614" t="s">
        <v>6960</v>
      </c>
      <c r="S364" s="614" t="s">
        <v>70</v>
      </c>
      <c r="T364" s="614" t="s">
        <v>6961</v>
      </c>
      <c r="U364" s="614"/>
      <c r="V364" s="614"/>
      <c r="W364" s="615"/>
      <c r="X364" s="628" t="s">
        <v>6962</v>
      </c>
      <c r="Y364" s="609" t="s">
        <v>1735</v>
      </c>
      <c r="Z364" s="609">
        <v>0.9362</v>
      </c>
      <c r="AA364" s="616">
        <f t="shared" si="104"/>
        <v>1393.0656</v>
      </c>
      <c r="AC364" s="617" t="s">
        <v>6963</v>
      </c>
      <c r="AD364" s="610" t="s">
        <v>6101</v>
      </c>
      <c r="AE364" s="610" t="s">
        <v>82</v>
      </c>
      <c r="AF364" s="610"/>
      <c r="AG364" s="610"/>
      <c r="AH364" s="610"/>
      <c r="AI364" s="610">
        <v>1488</v>
      </c>
      <c r="AJ364" s="610">
        <f t="shared" si="103"/>
        <v>0</v>
      </c>
      <c r="AK364" s="610"/>
      <c r="AL364" s="610"/>
      <c r="AM364" s="610"/>
      <c r="AN364" s="610"/>
      <c r="AO364" s="554">
        <f t="shared" si="107"/>
        <v>1488</v>
      </c>
      <c r="AR364" s="619"/>
      <c r="AS364" s="548"/>
      <c r="AT364" s="554">
        <f>I364</f>
        <v>1488</v>
      </c>
      <c r="AV364" s="554">
        <f>I364</f>
        <v>1488</v>
      </c>
      <c r="AW364" s="619"/>
      <c r="AX364" s="548"/>
      <c r="AY364" s="548"/>
      <c r="AZ364" s="548"/>
      <c r="BA364" s="548"/>
      <c r="BB364" s="620">
        <f>I364/24</f>
        <v>62</v>
      </c>
      <c r="BT364" s="554">
        <f>I364/6</f>
        <v>248</v>
      </c>
      <c r="BU364" s="554"/>
      <c r="BY364" s="619"/>
      <c r="BZ364" s="548"/>
      <c r="CA364" s="621"/>
      <c r="CB364" s="567"/>
      <c r="CC364" s="622"/>
      <c r="CD364" s="619"/>
      <c r="CE364" s="619"/>
      <c r="CF364" s="548"/>
      <c r="CG364" s="548"/>
      <c r="CU364" s="554">
        <f t="shared" si="105"/>
        <v>0</v>
      </c>
      <c r="CV364" s="554">
        <f t="shared" si="94"/>
        <v>0</v>
      </c>
      <c r="CW364" s="554">
        <f t="shared" si="95"/>
        <v>0</v>
      </c>
      <c r="CX364" s="619"/>
      <c r="CY364" s="619"/>
      <c r="CZ364" s="619"/>
      <c r="DA364" s="548"/>
      <c r="DB364" s="548"/>
      <c r="DC364" s="548"/>
      <c r="DD364" s="619"/>
      <c r="DE364" s="619"/>
      <c r="DF364" s="619"/>
      <c r="DG364" s="619"/>
      <c r="DH364" s="619"/>
    </row>
    <row r="365" s="548" customFormat="1" ht="31" customHeight="1" spans="1:112">
      <c r="A365" s="608">
        <v>45821</v>
      </c>
      <c r="B365" s="609" t="s">
        <v>6098</v>
      </c>
      <c r="C365" s="610" t="s">
        <v>128</v>
      </c>
      <c r="D365" s="554">
        <v>4500169877</v>
      </c>
      <c r="E365" s="610">
        <v>46974161</v>
      </c>
      <c r="F365" s="554" t="s">
        <v>6965</v>
      </c>
      <c r="G365" s="610" t="s">
        <v>6101</v>
      </c>
      <c r="H365" s="610" t="s">
        <v>6102</v>
      </c>
      <c r="I365" s="610">
        <v>756</v>
      </c>
      <c r="J365" s="610">
        <v>0</v>
      </c>
      <c r="K365" s="610">
        <v>6</v>
      </c>
      <c r="L365" s="611">
        <f t="shared" si="101"/>
        <v>126</v>
      </c>
      <c r="M365" s="612">
        <v>45862</v>
      </c>
      <c r="N365" s="612">
        <v>45859</v>
      </c>
      <c r="O365" s="613"/>
      <c r="P365" s="613" t="s">
        <v>113</v>
      </c>
      <c r="Q365" s="610"/>
      <c r="R365" s="614" t="s">
        <v>6960</v>
      </c>
      <c r="S365" s="614" t="s">
        <v>70</v>
      </c>
      <c r="T365" s="614" t="s">
        <v>6961</v>
      </c>
      <c r="U365" s="614"/>
      <c r="V365" s="614"/>
      <c r="W365" s="615"/>
      <c r="X365" s="628" t="s">
        <v>6962</v>
      </c>
      <c r="Y365" s="609" t="s">
        <v>1735</v>
      </c>
      <c r="Z365" s="609">
        <v>0.9362</v>
      </c>
      <c r="AA365" s="616">
        <f t="shared" si="104"/>
        <v>707.7672</v>
      </c>
      <c r="AC365" s="617" t="s">
        <v>6963</v>
      </c>
      <c r="AD365" s="610" t="s">
        <v>6101</v>
      </c>
      <c r="AE365" s="610" t="s">
        <v>82</v>
      </c>
      <c r="AF365" s="610"/>
      <c r="AG365" s="610"/>
      <c r="AH365" s="610"/>
      <c r="AI365" s="610">
        <v>756</v>
      </c>
      <c r="AJ365" s="610">
        <f t="shared" si="103"/>
        <v>0</v>
      </c>
      <c r="AK365" s="610"/>
      <c r="AL365" s="610"/>
      <c r="AM365" s="610"/>
      <c r="AN365" s="610"/>
      <c r="AO365" s="554">
        <f t="shared" si="107"/>
        <v>756</v>
      </c>
      <c r="AR365" s="619"/>
      <c r="AS365" s="548"/>
      <c r="AT365" s="554">
        <f>I365</f>
        <v>756</v>
      </c>
      <c r="AV365" s="554">
        <f>I365</f>
        <v>756</v>
      </c>
      <c r="AW365" s="619"/>
      <c r="AX365" s="548"/>
      <c r="AY365" s="548"/>
      <c r="AZ365" s="548"/>
      <c r="BA365" s="548"/>
      <c r="BB365" s="620">
        <f>I365/24</f>
        <v>31.5</v>
      </c>
      <c r="BT365" s="554">
        <f>I365/6</f>
        <v>126</v>
      </c>
      <c r="BU365" s="554"/>
      <c r="BY365" s="619"/>
      <c r="BZ365" s="548"/>
      <c r="CA365" s="621"/>
      <c r="CB365" s="567"/>
      <c r="CC365" s="622"/>
      <c r="CD365" s="619"/>
      <c r="CE365" s="619"/>
      <c r="CF365" s="548"/>
      <c r="CG365" s="548"/>
      <c r="CU365" s="554">
        <f t="shared" si="105"/>
        <v>0</v>
      </c>
      <c r="CV365" s="554">
        <f t="shared" si="94"/>
        <v>0</v>
      </c>
      <c r="CW365" s="554">
        <f t="shared" si="95"/>
        <v>0</v>
      </c>
      <c r="CX365" s="619"/>
      <c r="CY365" s="619"/>
      <c r="CZ365" s="619"/>
      <c r="DA365" s="548"/>
      <c r="DB365" s="548"/>
      <c r="DC365" s="548"/>
      <c r="DD365" s="619"/>
      <c r="DE365" s="619"/>
      <c r="DF365" s="619"/>
      <c r="DG365" s="619"/>
      <c r="DH365" s="619"/>
    </row>
    <row r="366" s="548" customFormat="1" ht="31" customHeight="1" spans="1:112">
      <c r="A366" s="608">
        <v>45792</v>
      </c>
      <c r="B366" s="609" t="s">
        <v>162</v>
      </c>
      <c r="C366" s="610" t="s">
        <v>154</v>
      </c>
      <c r="D366" s="554">
        <v>4500166481</v>
      </c>
      <c r="E366" s="610">
        <v>4400483989</v>
      </c>
      <c r="F366" s="554" t="s">
        <v>6966</v>
      </c>
      <c r="G366" s="610" t="s">
        <v>6047</v>
      </c>
      <c r="H366" s="610" t="s">
        <v>6069</v>
      </c>
      <c r="I366" s="610">
        <v>5000</v>
      </c>
      <c r="J366" s="610">
        <v>0</v>
      </c>
      <c r="K366" s="610">
        <v>25</v>
      </c>
      <c r="L366" s="611">
        <f t="shared" si="101"/>
        <v>200</v>
      </c>
      <c r="M366" s="612">
        <v>45863</v>
      </c>
      <c r="N366" s="612">
        <v>45859</v>
      </c>
      <c r="O366" s="613"/>
      <c r="P366" s="613" t="s">
        <v>113</v>
      </c>
      <c r="Q366" s="610"/>
      <c r="R366" s="614">
        <v>18749</v>
      </c>
      <c r="S366" s="614" t="s">
        <v>70</v>
      </c>
      <c r="T366" s="614" t="s">
        <v>6736</v>
      </c>
      <c r="U366" s="614"/>
      <c r="V366" s="614"/>
      <c r="W366" s="615"/>
      <c r="X366" s="609" t="s">
        <v>6967</v>
      </c>
      <c r="Y366" s="609" t="s">
        <v>939</v>
      </c>
      <c r="Z366" s="609">
        <v>0.95</v>
      </c>
      <c r="AA366" s="616">
        <f t="shared" si="104"/>
        <v>4750</v>
      </c>
      <c r="AC366" s="629" t="s">
        <v>1267</v>
      </c>
      <c r="AD366" s="610" t="s">
        <v>6073</v>
      </c>
      <c r="AE366" s="610" t="s">
        <v>82</v>
      </c>
      <c r="AF366" s="610"/>
      <c r="AG366" s="610"/>
      <c r="AH366" s="610"/>
      <c r="AI366" s="610">
        <f>4950+50</f>
        <v>5000</v>
      </c>
      <c r="AJ366" s="610">
        <f t="shared" si="103"/>
        <v>0</v>
      </c>
      <c r="AK366" s="610"/>
      <c r="AL366" s="610"/>
      <c r="AM366" s="610"/>
      <c r="AN366" s="610"/>
      <c r="AO366" s="554">
        <f t="shared" si="107"/>
        <v>5000</v>
      </c>
      <c r="AR366" s="619"/>
      <c r="AS366" s="548"/>
      <c r="AT366" s="548"/>
      <c r="AU366" s="548"/>
      <c r="AV366" s="554">
        <f>I366</f>
        <v>5000</v>
      </c>
      <c r="AW366" s="619"/>
      <c r="AX366" s="548"/>
      <c r="AY366" s="548"/>
      <c r="AZ366" s="548"/>
      <c r="BA366" s="548"/>
      <c r="BB366" s="620">
        <f>I366/24*2</f>
        <v>416.666666666667</v>
      </c>
      <c r="BE366" s="554">
        <f>I366</f>
        <v>5000</v>
      </c>
      <c r="BP366" s="554">
        <f>I366/25</f>
        <v>200</v>
      </c>
      <c r="BY366" s="619"/>
      <c r="BZ366" s="548"/>
      <c r="CA366" s="621"/>
      <c r="CB366" s="567"/>
      <c r="CC366" s="622"/>
      <c r="CD366" s="619"/>
      <c r="CE366" s="619"/>
      <c r="CF366" s="548"/>
      <c r="CG366" s="548"/>
      <c r="CU366" s="554">
        <f t="shared" si="105"/>
        <v>200</v>
      </c>
      <c r="CV366" s="554">
        <f t="shared" si="94"/>
        <v>0</v>
      </c>
      <c r="CW366" s="554">
        <f t="shared" si="95"/>
        <v>0</v>
      </c>
      <c r="CX366" s="619"/>
      <c r="CY366" s="619"/>
      <c r="CZ366" s="619"/>
      <c r="DA366" s="548"/>
      <c r="DB366" s="548"/>
      <c r="DC366" s="548"/>
      <c r="DD366" s="619"/>
      <c r="DE366" s="619"/>
      <c r="DF366" s="619"/>
      <c r="DG366" s="619"/>
      <c r="DH366" s="619"/>
    </row>
    <row r="367" s="548" customFormat="1" ht="31" customHeight="1" spans="1:112">
      <c r="A367" s="608">
        <v>45799</v>
      </c>
      <c r="B367" s="609" t="s">
        <v>1245</v>
      </c>
      <c r="C367" s="610" t="s">
        <v>524</v>
      </c>
      <c r="D367" s="554">
        <v>4500167318</v>
      </c>
      <c r="E367" s="610">
        <v>17047861</v>
      </c>
      <c r="F367" s="554" t="s">
        <v>6968</v>
      </c>
      <c r="G367" s="610" t="s">
        <v>6223</v>
      </c>
      <c r="H367" s="610" t="s">
        <v>6080</v>
      </c>
      <c r="I367" s="610">
        <v>1800</v>
      </c>
      <c r="J367" s="610">
        <v>0</v>
      </c>
      <c r="K367" s="610">
        <v>30</v>
      </c>
      <c r="L367" s="611">
        <f t="shared" si="101"/>
        <v>60</v>
      </c>
      <c r="M367" s="612">
        <v>45863</v>
      </c>
      <c r="N367" s="612">
        <v>45859</v>
      </c>
      <c r="O367" s="613"/>
      <c r="P367" s="613" t="s">
        <v>113</v>
      </c>
      <c r="Q367" s="610"/>
      <c r="R367" s="614">
        <v>45827</v>
      </c>
      <c r="S367" s="614" t="s">
        <v>70</v>
      </c>
      <c r="T367" s="614">
        <v>45832</v>
      </c>
      <c r="U367" s="614"/>
      <c r="V367" s="614"/>
      <c r="W367" s="615"/>
      <c r="X367" s="609" t="s">
        <v>6969</v>
      </c>
      <c r="Y367" s="609" t="s">
        <v>340</v>
      </c>
      <c r="Z367" s="609">
        <v>42.7605</v>
      </c>
      <c r="AA367" s="616">
        <f>Z367*L367</f>
        <v>2565.63</v>
      </c>
      <c r="AC367" s="617" t="s">
        <v>1248</v>
      </c>
      <c r="AD367" s="610" t="s">
        <v>6223</v>
      </c>
      <c r="AE367" s="610" t="s">
        <v>82</v>
      </c>
      <c r="AF367" s="610"/>
      <c r="AG367" s="610"/>
      <c r="AH367" s="610"/>
      <c r="AI367" s="610">
        <v>1800</v>
      </c>
      <c r="AJ367" s="610">
        <f t="shared" si="103"/>
        <v>0</v>
      </c>
      <c r="AK367" s="610"/>
      <c r="AL367" s="610"/>
      <c r="AM367" s="610"/>
      <c r="AN367" s="610"/>
      <c r="AO367" s="554">
        <f t="shared" si="107"/>
        <v>1800</v>
      </c>
      <c r="AR367" s="619"/>
      <c r="AS367" s="548"/>
      <c r="AT367" s="554">
        <f>I367</f>
        <v>1800</v>
      </c>
      <c r="AV367" s="554">
        <f>I367</f>
        <v>1800</v>
      </c>
      <c r="AW367" s="619"/>
      <c r="AX367" s="548"/>
      <c r="AY367" s="548"/>
      <c r="AZ367" s="548"/>
      <c r="BA367" s="548"/>
      <c r="BB367" s="620">
        <f>I367/24</f>
        <v>75</v>
      </c>
      <c r="BY367" s="619"/>
      <c r="BZ367" s="548"/>
      <c r="CA367" s="621"/>
      <c r="CB367" s="567"/>
      <c r="CC367" s="622"/>
      <c r="CD367" s="619"/>
      <c r="CE367" s="619"/>
      <c r="CF367" s="548"/>
      <c r="CG367" s="548"/>
      <c r="CP367" s="554">
        <f>I367/30</f>
        <v>60</v>
      </c>
      <c r="CU367" s="554">
        <f t="shared" si="105"/>
        <v>0</v>
      </c>
      <c r="CV367" s="554">
        <f t="shared" si="94"/>
        <v>60</v>
      </c>
      <c r="CW367" s="554">
        <f t="shared" si="95"/>
        <v>0</v>
      </c>
      <c r="CX367" s="619"/>
      <c r="CY367" s="619"/>
      <c r="CZ367" s="619"/>
      <c r="DA367" s="548"/>
      <c r="DB367" s="548"/>
      <c r="DC367" s="548"/>
      <c r="DD367" s="619"/>
      <c r="DE367" s="619"/>
      <c r="DF367" s="619"/>
      <c r="DG367" s="619"/>
      <c r="DH367" s="619"/>
    </row>
    <row r="368" s="548" customFormat="1" ht="31" customHeight="1" spans="1:112">
      <c r="A368" s="608">
        <v>45818</v>
      </c>
      <c r="B368" s="609" t="s">
        <v>1226</v>
      </c>
      <c r="C368" s="610" t="s">
        <v>1227</v>
      </c>
      <c r="D368" s="554">
        <v>4500169604</v>
      </c>
      <c r="E368" s="610"/>
      <c r="F368" s="554" t="s">
        <v>6970</v>
      </c>
      <c r="G368" s="610" t="s">
        <v>6276</v>
      </c>
      <c r="H368" s="610" t="s">
        <v>6277</v>
      </c>
      <c r="I368" s="610">
        <v>350</v>
      </c>
      <c r="J368" s="610">
        <v>0</v>
      </c>
      <c r="K368" s="610">
        <v>50</v>
      </c>
      <c r="L368" s="611">
        <f t="shared" si="101"/>
        <v>7</v>
      </c>
      <c r="M368" s="612">
        <v>45863</v>
      </c>
      <c r="N368" s="612">
        <v>45859</v>
      </c>
      <c r="O368" s="613"/>
      <c r="P368" s="613" t="s">
        <v>113</v>
      </c>
      <c r="Q368" s="610"/>
      <c r="R368" s="614">
        <v>45832</v>
      </c>
      <c r="S368" s="614" t="s">
        <v>70</v>
      </c>
      <c r="T368" s="614" t="s">
        <v>70</v>
      </c>
      <c r="U368" s="614"/>
      <c r="V368" s="614"/>
      <c r="W368" s="615"/>
      <c r="X368" s="609" t="s">
        <v>6971</v>
      </c>
      <c r="Y368" s="609" t="s">
        <v>529</v>
      </c>
      <c r="Z368" s="609">
        <v>1.32</v>
      </c>
      <c r="AA368" s="616">
        <f t="shared" ref="AA368:AA388" si="108">Z368*I368</f>
        <v>462</v>
      </c>
      <c r="AC368" s="632" t="s">
        <v>1230</v>
      </c>
      <c r="AD368" s="610" t="s">
        <v>6276</v>
      </c>
      <c r="AE368" s="610" t="s">
        <v>82</v>
      </c>
      <c r="AF368" s="610"/>
      <c r="AG368" s="610"/>
      <c r="AH368" s="610"/>
      <c r="AI368" s="610">
        <v>350</v>
      </c>
      <c r="AJ368" s="610">
        <f t="shared" si="103"/>
        <v>0</v>
      </c>
      <c r="AK368" s="610"/>
      <c r="AL368" s="610"/>
      <c r="AM368" s="610"/>
      <c r="AN368" s="610"/>
      <c r="AO368" s="554">
        <f t="shared" si="107"/>
        <v>350</v>
      </c>
      <c r="AR368" s="619"/>
      <c r="AS368" s="548"/>
      <c r="AT368" s="548"/>
      <c r="AU368" s="548"/>
      <c r="AV368" s="548"/>
      <c r="AW368" s="619"/>
      <c r="AX368" s="548"/>
      <c r="AY368" s="548"/>
      <c r="AZ368" s="548"/>
      <c r="BA368" s="548"/>
      <c r="BB368" s="620">
        <f>I368/24*2</f>
        <v>29.1666666666667</v>
      </c>
      <c r="BV368" s="554">
        <f>I368</f>
        <v>350</v>
      </c>
      <c r="BW368" s="554">
        <f>I368</f>
        <v>350</v>
      </c>
      <c r="BX368" s="554">
        <f>I368/25</f>
        <v>14</v>
      </c>
      <c r="BY368" s="619"/>
      <c r="BZ368" s="548"/>
      <c r="CA368" s="621"/>
      <c r="CB368" s="567"/>
      <c r="CC368" s="622"/>
      <c r="CD368" s="619"/>
      <c r="CE368" s="619"/>
      <c r="CF368" s="548"/>
      <c r="CG368" s="548"/>
      <c r="CU368" s="554">
        <f t="shared" si="105"/>
        <v>14</v>
      </c>
      <c r="CV368" s="554">
        <f t="shared" si="94"/>
        <v>0</v>
      </c>
      <c r="CW368" s="554">
        <f t="shared" si="95"/>
        <v>0</v>
      </c>
      <c r="CX368" s="619"/>
      <c r="CY368" s="619"/>
      <c r="CZ368" s="619"/>
      <c r="DA368" s="548"/>
      <c r="DB368" s="548"/>
      <c r="DC368" s="548"/>
      <c r="DD368" s="619"/>
      <c r="DE368" s="619"/>
      <c r="DF368" s="619"/>
      <c r="DG368" s="619"/>
      <c r="DH368" s="619"/>
    </row>
    <row r="369" s="548" customFormat="1" ht="31" customHeight="1" spans="1:112">
      <c r="A369" s="608">
        <v>45818</v>
      </c>
      <c r="B369" s="609" t="s">
        <v>1218</v>
      </c>
      <c r="C369" s="610" t="s">
        <v>399</v>
      </c>
      <c r="D369" s="554">
        <v>4500169530</v>
      </c>
      <c r="E369" s="610"/>
      <c r="F369" s="554" t="s">
        <v>1219</v>
      </c>
      <c r="G369" s="610" t="s">
        <v>6337</v>
      </c>
      <c r="H369" s="610" t="s">
        <v>477</v>
      </c>
      <c r="I369" s="610">
        <v>240</v>
      </c>
      <c r="J369" s="610">
        <v>0</v>
      </c>
      <c r="K369" s="610">
        <v>6</v>
      </c>
      <c r="L369" s="611">
        <f t="shared" si="101"/>
        <v>40</v>
      </c>
      <c r="M369" s="612">
        <v>45863</v>
      </c>
      <c r="N369" s="612">
        <v>45859</v>
      </c>
      <c r="O369" s="613"/>
      <c r="P369" s="613" t="s">
        <v>113</v>
      </c>
      <c r="Q369" s="610"/>
      <c r="R369" s="614">
        <v>45818</v>
      </c>
      <c r="S369" s="614" t="s">
        <v>70</v>
      </c>
      <c r="T369" s="614" t="s">
        <v>6972</v>
      </c>
      <c r="U369" s="614"/>
      <c r="V369" s="614"/>
      <c r="W369" s="615"/>
      <c r="X369" s="609" t="s">
        <v>6973</v>
      </c>
      <c r="Y369" s="609" t="s">
        <v>402</v>
      </c>
      <c r="Z369" s="609">
        <v>8.1</v>
      </c>
      <c r="AA369" s="616">
        <f t="shared" si="108"/>
        <v>1944</v>
      </c>
      <c r="AC369" s="617" t="s">
        <v>1222</v>
      </c>
      <c r="AD369" s="610" t="s">
        <v>480</v>
      </c>
      <c r="AE369" s="610" t="s">
        <v>82</v>
      </c>
      <c r="AF369" s="610"/>
      <c r="AG369" s="610"/>
      <c r="AH369" s="610"/>
      <c r="AI369" s="610">
        <v>240</v>
      </c>
      <c r="AJ369" s="610">
        <f t="shared" si="103"/>
        <v>0</v>
      </c>
      <c r="AK369" s="610"/>
      <c r="AL369" s="610"/>
      <c r="AM369" s="610"/>
      <c r="AN369" s="610"/>
      <c r="AO369" s="554">
        <f>I369*2</f>
        <v>480</v>
      </c>
      <c r="AR369" s="619"/>
      <c r="AS369" s="548"/>
      <c r="AT369" s="554">
        <f>I369*2</f>
        <v>480</v>
      </c>
      <c r="AV369" s="554">
        <f>I369*2</f>
        <v>480</v>
      </c>
      <c r="AW369" s="619"/>
      <c r="AX369" s="548"/>
      <c r="AY369" s="548"/>
      <c r="AZ369" s="548"/>
      <c r="BA369" s="548"/>
      <c r="BB369" s="620">
        <f>I369/24*2</f>
        <v>20</v>
      </c>
      <c r="BY369" s="619"/>
      <c r="BZ369" s="554">
        <f>I369</f>
        <v>240</v>
      </c>
      <c r="CA369" s="621"/>
      <c r="CB369" s="567"/>
      <c r="CC369" s="622"/>
      <c r="CD369" s="619"/>
      <c r="CE369" s="619"/>
      <c r="CF369" s="548"/>
      <c r="CG369" s="548"/>
      <c r="CU369" s="554">
        <f t="shared" si="105"/>
        <v>0</v>
      </c>
      <c r="CV369" s="554">
        <f t="shared" si="94"/>
        <v>0</v>
      </c>
      <c r="CW369" s="554">
        <f t="shared" si="95"/>
        <v>0</v>
      </c>
      <c r="CX369" s="619"/>
      <c r="CY369" s="619"/>
      <c r="CZ369" s="619"/>
      <c r="DA369" s="548"/>
      <c r="DB369" s="548"/>
      <c r="DC369" s="548"/>
      <c r="DD369" s="619"/>
      <c r="DE369" s="619"/>
      <c r="DF369" s="619"/>
      <c r="DG369" s="619"/>
      <c r="DH369" s="619"/>
    </row>
    <row r="370" s="548" customFormat="1" ht="31" customHeight="1" spans="1:112">
      <c r="A370" s="608">
        <v>45820</v>
      </c>
      <c r="B370" s="609" t="s">
        <v>143</v>
      </c>
      <c r="C370" s="610" t="s">
        <v>98</v>
      </c>
      <c r="D370" s="554">
        <v>4500169833</v>
      </c>
      <c r="E370" s="613">
        <v>907594610</v>
      </c>
      <c r="F370" s="554" t="s">
        <v>6974</v>
      </c>
      <c r="G370" s="610" t="s">
        <v>6063</v>
      </c>
      <c r="H370" s="610" t="s">
        <v>6064</v>
      </c>
      <c r="I370" s="610">
        <v>6416</v>
      </c>
      <c r="J370" s="610">
        <v>0</v>
      </c>
      <c r="K370" s="610">
        <v>16</v>
      </c>
      <c r="L370" s="611">
        <f t="shared" si="101"/>
        <v>401</v>
      </c>
      <c r="M370" s="612">
        <v>45863</v>
      </c>
      <c r="N370" s="612">
        <v>45859</v>
      </c>
      <c r="O370" s="613" t="s">
        <v>1427</v>
      </c>
      <c r="P370" s="613" t="s">
        <v>113</v>
      </c>
      <c r="Q370" s="610"/>
      <c r="R370" s="614" t="s">
        <v>147</v>
      </c>
      <c r="S370" s="614" t="s">
        <v>70</v>
      </c>
      <c r="T370" s="614" t="s">
        <v>148</v>
      </c>
      <c r="U370" s="614"/>
      <c r="V370" s="614"/>
      <c r="W370" s="615"/>
      <c r="X370" s="609" t="s">
        <v>6975</v>
      </c>
      <c r="Y370" s="609" t="s">
        <v>106</v>
      </c>
      <c r="Z370" s="609">
        <v>0.5936</v>
      </c>
      <c r="AA370" s="616">
        <f t="shared" si="108"/>
        <v>3808.5376</v>
      </c>
      <c r="AC370" s="617" t="s">
        <v>6976</v>
      </c>
      <c r="AD370" s="610" t="s">
        <v>6063</v>
      </c>
      <c r="AE370" s="610" t="s">
        <v>82</v>
      </c>
      <c r="AF370" s="610"/>
      <c r="AG370" s="610"/>
      <c r="AH370" s="610"/>
      <c r="AI370" s="610">
        <v>6416</v>
      </c>
      <c r="AJ370" s="610">
        <f t="shared" si="103"/>
        <v>0</v>
      </c>
      <c r="AK370" s="610"/>
      <c r="AL370" s="610"/>
      <c r="AM370" s="610"/>
      <c r="AN370" s="610">
        <f t="shared" ref="AN370:AN376" si="109">I370</f>
        <v>6416</v>
      </c>
      <c r="AP370" s="554">
        <f t="shared" ref="AP370:AP376" si="110">I370</f>
        <v>6416</v>
      </c>
      <c r="AR370" s="619"/>
      <c r="AS370" s="548"/>
      <c r="AT370" s="548"/>
      <c r="AU370" s="554">
        <f t="shared" ref="AU370:AU376" si="111">I370</f>
        <v>6416</v>
      </c>
      <c r="AW370" s="619"/>
      <c r="AX370" s="548"/>
      <c r="AY370" s="548"/>
      <c r="AZ370" s="548"/>
      <c r="BA370" s="548"/>
      <c r="BB370" s="620">
        <f t="shared" ref="BB370:BB376" si="112">I370/48</f>
        <v>133.666666666667</v>
      </c>
      <c r="BQ370" s="554">
        <f t="shared" ref="BQ370:BQ376" si="113">I370/16</f>
        <v>401</v>
      </c>
      <c r="BY370" s="619"/>
      <c r="BZ370" s="548"/>
      <c r="CA370" s="621"/>
      <c r="CB370" s="567"/>
      <c r="CC370" s="622"/>
      <c r="CD370" s="619"/>
      <c r="CE370" s="619"/>
      <c r="CF370" s="548"/>
      <c r="CG370" s="548"/>
      <c r="CU370" s="554">
        <f t="shared" ref="CU370:CU388" si="114">BQ370+BP370+BO370+BN370+BX370+BR370</f>
        <v>401</v>
      </c>
      <c r="CV370" s="554">
        <f t="shared" si="94"/>
        <v>0</v>
      </c>
      <c r="CW370" s="554">
        <f t="shared" si="95"/>
        <v>0</v>
      </c>
      <c r="CX370" s="619"/>
      <c r="CY370" s="619"/>
      <c r="CZ370" s="619"/>
      <c r="DA370" s="548"/>
      <c r="DB370" s="548"/>
      <c r="DC370" s="548"/>
      <c r="DD370" s="619"/>
      <c r="DE370" s="619"/>
      <c r="DF370" s="619"/>
      <c r="DG370" s="619"/>
      <c r="DH370" s="619"/>
    </row>
    <row r="371" s="548" customFormat="1" ht="31" customHeight="1" spans="1:112">
      <c r="A371" s="608">
        <v>45820</v>
      </c>
      <c r="B371" s="609" t="s">
        <v>143</v>
      </c>
      <c r="C371" s="610" t="s">
        <v>98</v>
      </c>
      <c r="D371" s="554">
        <v>4500169833</v>
      </c>
      <c r="E371" s="613">
        <v>907594620</v>
      </c>
      <c r="F371" s="554" t="s">
        <v>6977</v>
      </c>
      <c r="G371" s="610" t="s">
        <v>6063</v>
      </c>
      <c r="H371" s="610" t="s">
        <v>6064</v>
      </c>
      <c r="I371" s="610">
        <v>6160</v>
      </c>
      <c r="J371" s="610">
        <v>0</v>
      </c>
      <c r="K371" s="610">
        <v>16</v>
      </c>
      <c r="L371" s="611">
        <f t="shared" si="101"/>
        <v>385</v>
      </c>
      <c r="M371" s="612">
        <v>45863</v>
      </c>
      <c r="N371" s="612">
        <v>45859</v>
      </c>
      <c r="O371" s="613" t="s">
        <v>1427</v>
      </c>
      <c r="P371" s="613" t="s">
        <v>113</v>
      </c>
      <c r="Q371" s="610"/>
      <c r="R371" s="614" t="s">
        <v>147</v>
      </c>
      <c r="S371" s="614" t="s">
        <v>70</v>
      </c>
      <c r="T371" s="614" t="s">
        <v>148</v>
      </c>
      <c r="U371" s="614"/>
      <c r="V371" s="614"/>
      <c r="W371" s="615"/>
      <c r="X371" s="609" t="s">
        <v>6975</v>
      </c>
      <c r="Y371" s="609" t="s">
        <v>106</v>
      </c>
      <c r="Z371" s="609">
        <v>0.5936</v>
      </c>
      <c r="AA371" s="616">
        <f t="shared" si="108"/>
        <v>3656.576</v>
      </c>
      <c r="AC371" s="617" t="s">
        <v>6978</v>
      </c>
      <c r="AD371" s="610" t="s">
        <v>6063</v>
      </c>
      <c r="AE371" s="610" t="s">
        <v>82</v>
      </c>
      <c r="AF371" s="610"/>
      <c r="AG371" s="610"/>
      <c r="AH371" s="610"/>
      <c r="AI371" s="610">
        <v>6160</v>
      </c>
      <c r="AJ371" s="610">
        <f t="shared" si="103"/>
        <v>0</v>
      </c>
      <c r="AK371" s="610"/>
      <c r="AL371" s="610"/>
      <c r="AM371" s="610"/>
      <c r="AN371" s="610">
        <f t="shared" si="109"/>
        <v>6160</v>
      </c>
      <c r="AP371" s="554">
        <f t="shared" si="110"/>
        <v>6160</v>
      </c>
      <c r="AR371" s="619"/>
      <c r="AS371" s="548"/>
      <c r="AT371" s="548"/>
      <c r="AU371" s="554">
        <f t="shared" si="111"/>
        <v>6160</v>
      </c>
      <c r="AW371" s="619"/>
      <c r="AX371" s="548"/>
      <c r="AY371" s="548"/>
      <c r="AZ371" s="548"/>
      <c r="BA371" s="548"/>
      <c r="BB371" s="620">
        <f t="shared" si="112"/>
        <v>128.333333333333</v>
      </c>
      <c r="BQ371" s="554">
        <f t="shared" si="113"/>
        <v>385</v>
      </c>
      <c r="BY371" s="619"/>
      <c r="BZ371" s="548"/>
      <c r="CA371" s="621"/>
      <c r="CB371" s="567"/>
      <c r="CC371" s="622"/>
      <c r="CD371" s="619"/>
      <c r="CE371" s="619"/>
      <c r="CF371" s="548"/>
      <c r="CG371" s="548"/>
      <c r="CU371" s="554">
        <f t="shared" si="114"/>
        <v>385</v>
      </c>
      <c r="CV371" s="554">
        <f t="shared" si="94"/>
        <v>0</v>
      </c>
      <c r="CW371" s="554">
        <f t="shared" si="95"/>
        <v>0</v>
      </c>
      <c r="CX371" s="619"/>
      <c r="CY371" s="619"/>
      <c r="CZ371" s="619"/>
      <c r="DA371" s="548"/>
      <c r="DB371" s="548"/>
      <c r="DC371" s="548"/>
      <c r="DD371" s="619"/>
      <c r="DE371" s="619"/>
      <c r="DF371" s="619"/>
      <c r="DG371" s="619"/>
      <c r="DH371" s="619"/>
    </row>
    <row r="372" s="548" customFormat="1" ht="31" customHeight="1" spans="1:112">
      <c r="A372" s="608">
        <v>45820</v>
      </c>
      <c r="B372" s="609" t="s">
        <v>143</v>
      </c>
      <c r="C372" s="610" t="s">
        <v>98</v>
      </c>
      <c r="D372" s="554">
        <v>4500169833</v>
      </c>
      <c r="E372" s="613">
        <v>907594631</v>
      </c>
      <c r="F372" s="554" t="s">
        <v>6979</v>
      </c>
      <c r="G372" s="610" t="s">
        <v>6063</v>
      </c>
      <c r="H372" s="610" t="s">
        <v>6064</v>
      </c>
      <c r="I372" s="610">
        <v>7888</v>
      </c>
      <c r="J372" s="610">
        <v>0</v>
      </c>
      <c r="K372" s="610">
        <v>16</v>
      </c>
      <c r="L372" s="611">
        <f t="shared" si="101"/>
        <v>493</v>
      </c>
      <c r="M372" s="612">
        <v>45863</v>
      </c>
      <c r="N372" s="612">
        <v>45859</v>
      </c>
      <c r="O372" s="613" t="s">
        <v>1427</v>
      </c>
      <c r="P372" s="613" t="s">
        <v>113</v>
      </c>
      <c r="Q372" s="610"/>
      <c r="R372" s="614" t="s">
        <v>147</v>
      </c>
      <c r="S372" s="614" t="s">
        <v>70</v>
      </c>
      <c r="T372" s="614" t="s">
        <v>148</v>
      </c>
      <c r="U372" s="614"/>
      <c r="V372" s="614"/>
      <c r="W372" s="615"/>
      <c r="X372" s="609" t="s">
        <v>6975</v>
      </c>
      <c r="Y372" s="609" t="s">
        <v>106</v>
      </c>
      <c r="Z372" s="609">
        <v>0.5936</v>
      </c>
      <c r="AA372" s="616">
        <f t="shared" si="108"/>
        <v>4682.3168</v>
      </c>
      <c r="AC372" s="617" t="s">
        <v>6980</v>
      </c>
      <c r="AD372" s="610" t="s">
        <v>6063</v>
      </c>
      <c r="AE372" s="610" t="s">
        <v>82</v>
      </c>
      <c r="AF372" s="610"/>
      <c r="AG372" s="610"/>
      <c r="AH372" s="610"/>
      <c r="AI372" s="610">
        <v>7888</v>
      </c>
      <c r="AJ372" s="610">
        <f t="shared" si="103"/>
        <v>0</v>
      </c>
      <c r="AK372" s="610"/>
      <c r="AL372" s="610"/>
      <c r="AM372" s="610"/>
      <c r="AN372" s="610">
        <f t="shared" si="109"/>
        <v>7888</v>
      </c>
      <c r="AP372" s="554">
        <f t="shared" si="110"/>
        <v>7888</v>
      </c>
      <c r="AR372" s="619"/>
      <c r="AS372" s="548"/>
      <c r="AT372" s="548"/>
      <c r="AU372" s="554">
        <f t="shared" si="111"/>
        <v>7888</v>
      </c>
      <c r="AW372" s="619"/>
      <c r="AX372" s="548"/>
      <c r="AY372" s="548"/>
      <c r="AZ372" s="548"/>
      <c r="BA372" s="548"/>
      <c r="BB372" s="620">
        <f t="shared" si="112"/>
        <v>164.333333333333</v>
      </c>
      <c r="BQ372" s="554">
        <f t="shared" si="113"/>
        <v>493</v>
      </c>
      <c r="BY372" s="619"/>
      <c r="BZ372" s="548"/>
      <c r="CA372" s="621"/>
      <c r="CB372" s="567"/>
      <c r="CC372" s="622"/>
      <c r="CD372" s="619"/>
      <c r="CE372" s="619"/>
      <c r="CF372" s="548"/>
      <c r="CG372" s="548"/>
      <c r="CU372" s="554">
        <f t="shared" si="114"/>
        <v>493</v>
      </c>
      <c r="CV372" s="554">
        <f t="shared" si="94"/>
        <v>0</v>
      </c>
      <c r="CW372" s="554">
        <f t="shared" si="95"/>
        <v>0</v>
      </c>
      <c r="CX372" s="619"/>
      <c r="CY372" s="619"/>
      <c r="CZ372" s="619"/>
      <c r="DA372" s="548"/>
      <c r="DB372" s="548"/>
      <c r="DC372" s="548"/>
      <c r="DD372" s="619"/>
      <c r="DE372" s="619"/>
      <c r="DF372" s="619"/>
      <c r="DG372" s="619"/>
      <c r="DH372" s="619"/>
    </row>
    <row r="373" s="548" customFormat="1" ht="31" customHeight="1" spans="1:112">
      <c r="A373" s="608">
        <v>45820</v>
      </c>
      <c r="B373" s="609" t="s">
        <v>143</v>
      </c>
      <c r="C373" s="610" t="s">
        <v>98</v>
      </c>
      <c r="D373" s="554">
        <v>4500169833</v>
      </c>
      <c r="E373" s="613">
        <v>907594661</v>
      </c>
      <c r="F373" s="554" t="s">
        <v>6981</v>
      </c>
      <c r="G373" s="610" t="s">
        <v>6063</v>
      </c>
      <c r="H373" s="610" t="s">
        <v>6064</v>
      </c>
      <c r="I373" s="610">
        <v>9120</v>
      </c>
      <c r="J373" s="610">
        <v>0</v>
      </c>
      <c r="K373" s="610">
        <v>16</v>
      </c>
      <c r="L373" s="611">
        <f t="shared" si="101"/>
        <v>570</v>
      </c>
      <c r="M373" s="612">
        <v>45863</v>
      </c>
      <c r="N373" s="612">
        <v>45859</v>
      </c>
      <c r="O373" s="613" t="s">
        <v>1427</v>
      </c>
      <c r="P373" s="613" t="s">
        <v>113</v>
      </c>
      <c r="Q373" s="610"/>
      <c r="R373" s="614" t="s">
        <v>147</v>
      </c>
      <c r="S373" s="614" t="s">
        <v>70</v>
      </c>
      <c r="T373" s="614" t="s">
        <v>148</v>
      </c>
      <c r="U373" s="614"/>
      <c r="V373" s="614"/>
      <c r="W373" s="615"/>
      <c r="X373" s="609" t="s">
        <v>6975</v>
      </c>
      <c r="Y373" s="609" t="s">
        <v>106</v>
      </c>
      <c r="Z373" s="609">
        <v>0.5936</v>
      </c>
      <c r="AA373" s="616">
        <f t="shared" si="108"/>
        <v>5413.632</v>
      </c>
      <c r="AC373" s="617" t="s">
        <v>6982</v>
      </c>
      <c r="AD373" s="610" t="s">
        <v>6063</v>
      </c>
      <c r="AE373" s="610" t="s">
        <v>82</v>
      </c>
      <c r="AF373" s="610"/>
      <c r="AG373" s="610"/>
      <c r="AH373" s="610"/>
      <c r="AI373" s="610">
        <v>9120</v>
      </c>
      <c r="AJ373" s="610">
        <f t="shared" si="103"/>
        <v>0</v>
      </c>
      <c r="AK373" s="610"/>
      <c r="AL373" s="610"/>
      <c r="AM373" s="610"/>
      <c r="AN373" s="610">
        <f t="shared" si="109"/>
        <v>9120</v>
      </c>
      <c r="AP373" s="554">
        <f t="shared" si="110"/>
        <v>9120</v>
      </c>
      <c r="AR373" s="619"/>
      <c r="AS373" s="548"/>
      <c r="AT373" s="548"/>
      <c r="AU373" s="554">
        <f t="shared" si="111"/>
        <v>9120</v>
      </c>
      <c r="AW373" s="619"/>
      <c r="AX373" s="548"/>
      <c r="AY373" s="548"/>
      <c r="AZ373" s="548"/>
      <c r="BA373" s="548"/>
      <c r="BB373" s="620">
        <f t="shared" si="112"/>
        <v>190</v>
      </c>
      <c r="BQ373" s="554">
        <f t="shared" si="113"/>
        <v>570</v>
      </c>
      <c r="BY373" s="619"/>
      <c r="BZ373" s="548"/>
      <c r="CA373" s="621"/>
      <c r="CB373" s="567"/>
      <c r="CC373" s="622"/>
      <c r="CD373" s="619"/>
      <c r="CE373" s="619"/>
      <c r="CF373" s="548"/>
      <c r="CG373" s="548"/>
      <c r="CU373" s="554">
        <f t="shared" si="114"/>
        <v>570</v>
      </c>
      <c r="CV373" s="554">
        <f t="shared" si="94"/>
        <v>0</v>
      </c>
      <c r="CW373" s="554">
        <f t="shared" si="95"/>
        <v>0</v>
      </c>
      <c r="CX373" s="619"/>
      <c r="CY373" s="619"/>
      <c r="CZ373" s="619"/>
      <c r="DA373" s="548"/>
      <c r="DB373" s="548"/>
      <c r="DC373" s="548"/>
      <c r="DD373" s="619"/>
      <c r="DE373" s="619"/>
      <c r="DF373" s="619"/>
      <c r="DG373" s="619"/>
      <c r="DH373" s="619"/>
    </row>
    <row r="374" s="548" customFormat="1" ht="31" customHeight="1" spans="1:112">
      <c r="A374" s="608">
        <v>45820</v>
      </c>
      <c r="B374" s="609" t="s">
        <v>143</v>
      </c>
      <c r="C374" s="610" t="s">
        <v>98</v>
      </c>
      <c r="D374" s="554">
        <v>4500169833</v>
      </c>
      <c r="E374" s="613">
        <v>907594677</v>
      </c>
      <c r="F374" s="554" t="s">
        <v>6983</v>
      </c>
      <c r="G374" s="610" t="s">
        <v>6063</v>
      </c>
      <c r="H374" s="610" t="s">
        <v>6064</v>
      </c>
      <c r="I374" s="610">
        <v>1360</v>
      </c>
      <c r="J374" s="610">
        <v>0</v>
      </c>
      <c r="K374" s="610">
        <v>16</v>
      </c>
      <c r="L374" s="611">
        <f t="shared" si="101"/>
        <v>85</v>
      </c>
      <c r="M374" s="612">
        <v>45863</v>
      </c>
      <c r="N374" s="612">
        <v>45859</v>
      </c>
      <c r="O374" s="613" t="s">
        <v>1427</v>
      </c>
      <c r="P374" s="613" t="s">
        <v>113</v>
      </c>
      <c r="Q374" s="610"/>
      <c r="R374" s="614" t="s">
        <v>147</v>
      </c>
      <c r="S374" s="614" t="s">
        <v>70</v>
      </c>
      <c r="T374" s="614" t="s">
        <v>148</v>
      </c>
      <c r="U374" s="614"/>
      <c r="V374" s="614"/>
      <c r="W374" s="615"/>
      <c r="X374" s="609" t="s">
        <v>6975</v>
      </c>
      <c r="Y374" s="609" t="s">
        <v>106</v>
      </c>
      <c r="Z374" s="609">
        <v>0.5968</v>
      </c>
      <c r="AA374" s="616">
        <f t="shared" si="108"/>
        <v>811.648</v>
      </c>
      <c r="AC374" s="617" t="s">
        <v>6984</v>
      </c>
      <c r="AD374" s="610" t="s">
        <v>6063</v>
      </c>
      <c r="AE374" s="610" t="s">
        <v>82</v>
      </c>
      <c r="AF374" s="610"/>
      <c r="AG374" s="610"/>
      <c r="AH374" s="610"/>
      <c r="AI374" s="610">
        <v>1360</v>
      </c>
      <c r="AJ374" s="610">
        <f t="shared" si="103"/>
        <v>0</v>
      </c>
      <c r="AK374" s="610"/>
      <c r="AL374" s="610"/>
      <c r="AM374" s="610"/>
      <c r="AN374" s="610">
        <f t="shared" si="109"/>
        <v>1360</v>
      </c>
      <c r="AP374" s="554">
        <f t="shared" si="110"/>
        <v>1360</v>
      </c>
      <c r="AR374" s="619"/>
      <c r="AS374" s="548"/>
      <c r="AT374" s="548"/>
      <c r="AU374" s="554">
        <f t="shared" si="111"/>
        <v>1360</v>
      </c>
      <c r="AW374" s="619"/>
      <c r="AX374" s="548"/>
      <c r="AY374" s="548"/>
      <c r="AZ374" s="548"/>
      <c r="BA374" s="548"/>
      <c r="BB374" s="620">
        <f t="shared" si="112"/>
        <v>28.3333333333333</v>
      </c>
      <c r="BQ374" s="554">
        <f t="shared" si="113"/>
        <v>85</v>
      </c>
      <c r="BY374" s="619"/>
      <c r="BZ374" s="548"/>
      <c r="CA374" s="621"/>
      <c r="CB374" s="567"/>
      <c r="CC374" s="622"/>
      <c r="CD374" s="619"/>
      <c r="CE374" s="619"/>
      <c r="CF374" s="548"/>
      <c r="CG374" s="548"/>
      <c r="CU374" s="554">
        <f t="shared" si="114"/>
        <v>85</v>
      </c>
      <c r="CV374" s="554">
        <f t="shared" si="94"/>
        <v>0</v>
      </c>
      <c r="CW374" s="554">
        <f t="shared" si="95"/>
        <v>0</v>
      </c>
      <c r="CX374" s="619"/>
      <c r="CY374" s="619"/>
      <c r="CZ374" s="619"/>
      <c r="DA374" s="548"/>
      <c r="DB374" s="548"/>
      <c r="DC374" s="548"/>
      <c r="DD374" s="619"/>
      <c r="DE374" s="619"/>
      <c r="DF374" s="619"/>
      <c r="DG374" s="619"/>
      <c r="DH374" s="619"/>
    </row>
    <row r="375" s="548" customFormat="1" ht="31" customHeight="1" spans="1:112">
      <c r="A375" s="608">
        <v>45820</v>
      </c>
      <c r="B375" s="609" t="s">
        <v>143</v>
      </c>
      <c r="C375" s="610" t="s">
        <v>98</v>
      </c>
      <c r="D375" s="554">
        <v>4500169833</v>
      </c>
      <c r="E375" s="613">
        <v>907594692</v>
      </c>
      <c r="F375" s="554" t="s">
        <v>6985</v>
      </c>
      <c r="G375" s="610" t="s">
        <v>6063</v>
      </c>
      <c r="H375" s="610" t="s">
        <v>6064</v>
      </c>
      <c r="I375" s="610">
        <v>1616</v>
      </c>
      <c r="J375" s="610">
        <v>0</v>
      </c>
      <c r="K375" s="610">
        <v>16</v>
      </c>
      <c r="L375" s="611">
        <f t="shared" si="101"/>
        <v>101</v>
      </c>
      <c r="M375" s="612">
        <v>45863</v>
      </c>
      <c r="N375" s="612">
        <v>45859</v>
      </c>
      <c r="O375" s="613" t="s">
        <v>1427</v>
      </c>
      <c r="P375" s="613" t="s">
        <v>113</v>
      </c>
      <c r="Q375" s="610"/>
      <c r="R375" s="614" t="s">
        <v>147</v>
      </c>
      <c r="S375" s="614" t="s">
        <v>70</v>
      </c>
      <c r="T375" s="614" t="s">
        <v>148</v>
      </c>
      <c r="U375" s="614"/>
      <c r="V375" s="614"/>
      <c r="W375" s="615"/>
      <c r="X375" s="609" t="s">
        <v>6975</v>
      </c>
      <c r="Y375" s="609" t="s">
        <v>106</v>
      </c>
      <c r="Z375" s="609">
        <v>0.5968</v>
      </c>
      <c r="AA375" s="616">
        <f t="shared" si="108"/>
        <v>964.4288</v>
      </c>
      <c r="AC375" s="617" t="s">
        <v>6986</v>
      </c>
      <c r="AD375" s="610" t="s">
        <v>6063</v>
      </c>
      <c r="AE375" s="610" t="s">
        <v>82</v>
      </c>
      <c r="AF375" s="610"/>
      <c r="AG375" s="610"/>
      <c r="AH375" s="610"/>
      <c r="AI375" s="610">
        <v>1616</v>
      </c>
      <c r="AJ375" s="610">
        <f t="shared" si="103"/>
        <v>0</v>
      </c>
      <c r="AK375" s="610"/>
      <c r="AL375" s="610"/>
      <c r="AM375" s="610"/>
      <c r="AN375" s="610">
        <f t="shared" si="109"/>
        <v>1616</v>
      </c>
      <c r="AP375" s="554">
        <f t="shared" si="110"/>
        <v>1616</v>
      </c>
      <c r="AR375" s="619"/>
      <c r="AS375" s="548"/>
      <c r="AT375" s="548"/>
      <c r="AU375" s="554">
        <f t="shared" si="111"/>
        <v>1616</v>
      </c>
      <c r="AW375" s="619"/>
      <c r="AX375" s="548"/>
      <c r="AY375" s="548"/>
      <c r="AZ375" s="548"/>
      <c r="BA375" s="548"/>
      <c r="BB375" s="620">
        <f t="shared" si="112"/>
        <v>33.6666666666667</v>
      </c>
      <c r="BQ375" s="554">
        <f t="shared" si="113"/>
        <v>101</v>
      </c>
      <c r="BY375" s="619"/>
      <c r="BZ375" s="548"/>
      <c r="CA375" s="621"/>
      <c r="CB375" s="567"/>
      <c r="CC375" s="622"/>
      <c r="CD375" s="619"/>
      <c r="CE375" s="619"/>
      <c r="CF375" s="548"/>
      <c r="CG375" s="548"/>
      <c r="CU375" s="554">
        <f t="shared" si="114"/>
        <v>101</v>
      </c>
      <c r="CV375" s="554">
        <f t="shared" si="94"/>
        <v>0</v>
      </c>
      <c r="CW375" s="554">
        <f t="shared" si="95"/>
        <v>0</v>
      </c>
      <c r="CX375" s="619"/>
      <c r="CY375" s="619"/>
      <c r="CZ375" s="619"/>
      <c r="DA375" s="548"/>
      <c r="DB375" s="548"/>
      <c r="DC375" s="548"/>
      <c r="DD375" s="619"/>
      <c r="DE375" s="619"/>
      <c r="DF375" s="619"/>
      <c r="DG375" s="619"/>
      <c r="DH375" s="619"/>
    </row>
    <row r="376" s="548" customFormat="1" ht="31" customHeight="1" spans="1:112">
      <c r="A376" s="608">
        <v>45820</v>
      </c>
      <c r="B376" s="609" t="s">
        <v>143</v>
      </c>
      <c r="C376" s="610" t="s">
        <v>98</v>
      </c>
      <c r="D376" s="554">
        <v>4500169833</v>
      </c>
      <c r="E376" s="613">
        <v>907594697</v>
      </c>
      <c r="F376" s="554" t="s">
        <v>6987</v>
      </c>
      <c r="G376" s="610" t="s">
        <v>6063</v>
      </c>
      <c r="H376" s="610" t="s">
        <v>6064</v>
      </c>
      <c r="I376" s="610">
        <v>1808</v>
      </c>
      <c r="J376" s="610">
        <v>0</v>
      </c>
      <c r="K376" s="610">
        <v>16</v>
      </c>
      <c r="L376" s="611">
        <f t="shared" si="101"/>
        <v>113</v>
      </c>
      <c r="M376" s="612">
        <v>45863</v>
      </c>
      <c r="N376" s="612">
        <v>45859</v>
      </c>
      <c r="O376" s="613" t="s">
        <v>1427</v>
      </c>
      <c r="P376" s="613" t="s">
        <v>113</v>
      </c>
      <c r="Q376" s="610"/>
      <c r="R376" s="614" t="s">
        <v>147</v>
      </c>
      <c r="S376" s="614" t="s">
        <v>70</v>
      </c>
      <c r="T376" s="614" t="s">
        <v>148</v>
      </c>
      <c r="U376" s="614"/>
      <c r="V376" s="614"/>
      <c r="W376" s="615"/>
      <c r="X376" s="609" t="s">
        <v>6975</v>
      </c>
      <c r="Y376" s="609" t="s">
        <v>106</v>
      </c>
      <c r="Z376" s="609">
        <v>0.5968</v>
      </c>
      <c r="AA376" s="616">
        <f t="shared" si="108"/>
        <v>1079.0144</v>
      </c>
      <c r="AC376" s="617" t="s">
        <v>6988</v>
      </c>
      <c r="AD376" s="610" t="s">
        <v>6063</v>
      </c>
      <c r="AE376" s="610" t="s">
        <v>82</v>
      </c>
      <c r="AF376" s="610"/>
      <c r="AG376" s="610"/>
      <c r="AH376" s="610"/>
      <c r="AI376" s="610">
        <v>1808</v>
      </c>
      <c r="AJ376" s="610">
        <f t="shared" si="103"/>
        <v>0</v>
      </c>
      <c r="AK376" s="610"/>
      <c r="AL376" s="610"/>
      <c r="AM376" s="610"/>
      <c r="AN376" s="610">
        <f t="shared" si="109"/>
        <v>1808</v>
      </c>
      <c r="AP376" s="554">
        <f t="shared" si="110"/>
        <v>1808</v>
      </c>
      <c r="AR376" s="619"/>
      <c r="AS376" s="548"/>
      <c r="AT376" s="548"/>
      <c r="AU376" s="554">
        <f t="shared" si="111"/>
        <v>1808</v>
      </c>
      <c r="AW376" s="619"/>
      <c r="AX376" s="548"/>
      <c r="AY376" s="548"/>
      <c r="AZ376" s="548"/>
      <c r="BA376" s="548"/>
      <c r="BB376" s="620">
        <f t="shared" si="112"/>
        <v>37.6666666666667</v>
      </c>
      <c r="BQ376" s="554">
        <f t="shared" si="113"/>
        <v>113</v>
      </c>
      <c r="BY376" s="619"/>
      <c r="BZ376" s="548"/>
      <c r="CA376" s="621"/>
      <c r="CB376" s="567"/>
      <c r="CC376" s="622"/>
      <c r="CD376" s="619"/>
      <c r="CE376" s="619"/>
      <c r="CF376" s="548"/>
      <c r="CG376" s="548"/>
      <c r="CU376" s="554">
        <f t="shared" si="114"/>
        <v>113</v>
      </c>
      <c r="CV376" s="554">
        <f t="shared" si="94"/>
        <v>0</v>
      </c>
      <c r="CW376" s="554">
        <f t="shared" si="95"/>
        <v>0</v>
      </c>
      <c r="CX376" s="619"/>
      <c r="CY376" s="619"/>
      <c r="CZ376" s="619"/>
      <c r="DA376" s="548"/>
      <c r="DB376" s="548"/>
      <c r="DC376" s="548"/>
      <c r="DD376" s="619"/>
      <c r="DE376" s="619"/>
      <c r="DF376" s="619"/>
      <c r="DG376" s="619"/>
      <c r="DH376" s="619"/>
    </row>
    <row r="377" s="548" customFormat="1" ht="31" customHeight="1" spans="1:112">
      <c r="A377" s="608">
        <v>45821</v>
      </c>
      <c r="B377" s="609" t="s">
        <v>1772</v>
      </c>
      <c r="C377" s="610" t="s">
        <v>278</v>
      </c>
      <c r="D377" s="554">
        <v>4500170043</v>
      </c>
      <c r="E377" s="610" t="s">
        <v>6989</v>
      </c>
      <c r="F377" s="554" t="s">
        <v>6990</v>
      </c>
      <c r="G377" s="610" t="s">
        <v>6318</v>
      </c>
      <c r="H377" s="610" t="s">
        <v>6319</v>
      </c>
      <c r="I377" s="610">
        <v>1000</v>
      </c>
      <c r="J377" s="610">
        <v>25</v>
      </c>
      <c r="K377" s="610">
        <v>50</v>
      </c>
      <c r="L377" s="611">
        <f t="shared" si="101"/>
        <v>20</v>
      </c>
      <c r="M377" s="612">
        <v>45863</v>
      </c>
      <c r="N377" s="612">
        <v>45859</v>
      </c>
      <c r="O377" s="613"/>
      <c r="P377" s="613" t="s">
        <v>113</v>
      </c>
      <c r="Q377" s="610"/>
      <c r="R377" s="614">
        <v>45834</v>
      </c>
      <c r="S377" s="614" t="s">
        <v>70</v>
      </c>
      <c r="T377" s="614" t="s">
        <v>6991</v>
      </c>
      <c r="U377" s="614"/>
      <c r="V377" s="614"/>
      <c r="W377" s="615"/>
      <c r="X377" s="609" t="s">
        <v>6992</v>
      </c>
      <c r="Y377" s="609" t="s">
        <v>283</v>
      </c>
      <c r="Z377" s="609">
        <v>0.95</v>
      </c>
      <c r="AA377" s="616">
        <f t="shared" si="108"/>
        <v>950</v>
      </c>
      <c r="AC377" s="617" t="s">
        <v>6993</v>
      </c>
      <c r="AD377" s="610" t="s">
        <v>6318</v>
      </c>
      <c r="AE377" s="610" t="s">
        <v>82</v>
      </c>
      <c r="AF377" s="610"/>
      <c r="AG377" s="610"/>
      <c r="AH377" s="610"/>
      <c r="AI377" s="610">
        <v>1000</v>
      </c>
      <c r="AJ377" s="610">
        <f t="shared" si="103"/>
        <v>0</v>
      </c>
      <c r="AK377" s="610"/>
      <c r="AL377" s="610"/>
      <c r="AM377" s="610"/>
      <c r="AN377" s="610"/>
      <c r="AO377" s="554">
        <f>I377</f>
        <v>1000</v>
      </c>
      <c r="AR377" s="619"/>
      <c r="AS377" s="548"/>
      <c r="AT377" s="554">
        <f>I377</f>
        <v>1000</v>
      </c>
      <c r="AV377" s="554">
        <f>I377</f>
        <v>1000</v>
      </c>
      <c r="AW377" s="619"/>
      <c r="AX377" s="548"/>
      <c r="AY377" s="548"/>
      <c r="AZ377" s="548"/>
      <c r="BA377" s="548"/>
      <c r="BB377" s="620">
        <f>I377/24</f>
        <v>41.6666666666667</v>
      </c>
      <c r="BP377" s="554">
        <f>I377/25</f>
        <v>40</v>
      </c>
      <c r="BY377" s="619"/>
      <c r="BZ377" s="548"/>
      <c r="CA377" s="621"/>
      <c r="CB377" s="567"/>
      <c r="CC377" s="622"/>
      <c r="CD377" s="619"/>
      <c r="CE377" s="619"/>
      <c r="CF377" s="548"/>
      <c r="CG377" s="548"/>
      <c r="CU377" s="554">
        <f t="shared" si="114"/>
        <v>40</v>
      </c>
      <c r="CV377" s="554">
        <f t="shared" si="94"/>
        <v>0</v>
      </c>
      <c r="CW377" s="554">
        <f t="shared" si="95"/>
        <v>0</v>
      </c>
      <c r="CX377" s="619"/>
      <c r="CY377" s="619"/>
      <c r="CZ377" s="619"/>
      <c r="DA377" s="548"/>
      <c r="DB377" s="548"/>
      <c r="DC377" s="548"/>
      <c r="DD377" s="619"/>
      <c r="DE377" s="619"/>
      <c r="DF377" s="619"/>
      <c r="DG377" s="619"/>
      <c r="DH377" s="619"/>
    </row>
    <row r="378" s="548" customFormat="1" ht="31" customHeight="1" spans="1:112">
      <c r="A378" s="608">
        <v>45825</v>
      </c>
      <c r="B378" s="609" t="s">
        <v>3815</v>
      </c>
      <c r="C378" s="610" t="s">
        <v>98</v>
      </c>
      <c r="D378" s="554">
        <v>4500170340</v>
      </c>
      <c r="E378" s="610" t="s">
        <v>6994</v>
      </c>
      <c r="F378" s="554" t="s">
        <v>6995</v>
      </c>
      <c r="G378" s="610" t="s">
        <v>6787</v>
      </c>
      <c r="H378" s="610" t="s">
        <v>6126</v>
      </c>
      <c r="I378" s="610">
        <v>3132</v>
      </c>
      <c r="J378" s="610">
        <v>0</v>
      </c>
      <c r="K378" s="610">
        <v>12</v>
      </c>
      <c r="L378" s="611">
        <f t="shared" si="101"/>
        <v>261</v>
      </c>
      <c r="M378" s="612">
        <v>45863</v>
      </c>
      <c r="N378" s="612">
        <v>45859</v>
      </c>
      <c r="O378" s="613"/>
      <c r="P378" s="613" t="s">
        <v>113</v>
      </c>
      <c r="Q378" s="610"/>
      <c r="R378" s="614">
        <v>45825</v>
      </c>
      <c r="S378" s="614" t="s">
        <v>104</v>
      </c>
      <c r="T378" s="614" t="s">
        <v>6996</v>
      </c>
      <c r="U378" s="614"/>
      <c r="V378" s="614"/>
      <c r="W378" s="615"/>
      <c r="X378" s="609" t="s">
        <v>6790</v>
      </c>
      <c r="Y378" s="609" t="s">
        <v>1507</v>
      </c>
      <c r="Z378" s="609">
        <v>1.3031</v>
      </c>
      <c r="AA378" s="616">
        <f t="shared" si="108"/>
        <v>4081.3092</v>
      </c>
      <c r="AC378" s="617" t="s">
        <v>6997</v>
      </c>
      <c r="AD378" s="610" t="s">
        <v>6128</v>
      </c>
      <c r="AE378" s="610" t="s">
        <v>82</v>
      </c>
      <c r="AF378" s="610"/>
      <c r="AG378" s="610"/>
      <c r="AH378" s="610"/>
      <c r="AI378" s="610">
        <v>3132</v>
      </c>
      <c r="AJ378" s="610">
        <f t="shared" si="103"/>
        <v>0</v>
      </c>
      <c r="AK378" s="610"/>
      <c r="AL378" s="610"/>
      <c r="AM378" s="610"/>
      <c r="AN378" s="610">
        <f t="shared" ref="AN378:AN383" si="115">I378*2</f>
        <v>6264</v>
      </c>
      <c r="AQ378" s="554">
        <f t="shared" ref="AQ378:AQ383" si="116">I378*2</f>
        <v>6264</v>
      </c>
      <c r="AR378" s="619"/>
      <c r="AS378" s="548"/>
      <c r="AT378" s="548"/>
      <c r="AU378" s="554">
        <f t="shared" ref="AU378:AU383" si="117">I378*2</f>
        <v>6264</v>
      </c>
      <c r="AW378" s="619"/>
      <c r="AX378" s="548"/>
      <c r="AY378" s="548"/>
      <c r="AZ378" s="548"/>
      <c r="BA378" s="548"/>
      <c r="BB378" s="249">
        <f t="shared" ref="BB378:BB383" si="118">I378/24*2</f>
        <v>261</v>
      </c>
      <c r="BY378" s="619"/>
      <c r="BZ378" s="548"/>
      <c r="CA378" s="621"/>
      <c r="CB378" s="567"/>
      <c r="CC378" s="622"/>
      <c r="CD378" s="619"/>
      <c r="CE378" s="619"/>
      <c r="CF378" s="548"/>
      <c r="CG378" s="548"/>
      <c r="CR378" s="554">
        <f t="shared" ref="CR378:CR383" si="119">I378</f>
        <v>3132</v>
      </c>
      <c r="CS378" s="554">
        <f t="shared" ref="CS378:CS383" si="120">I378</f>
        <v>3132</v>
      </c>
      <c r="CT378" s="554">
        <f t="shared" ref="CT378:CT383" si="121">I378</f>
        <v>3132</v>
      </c>
      <c r="CU378" s="554">
        <f t="shared" si="114"/>
        <v>0</v>
      </c>
      <c r="CV378" s="554">
        <f t="shared" si="94"/>
        <v>0</v>
      </c>
      <c r="CW378" s="554">
        <f t="shared" si="95"/>
        <v>0</v>
      </c>
      <c r="CX378" s="619"/>
      <c r="CY378" s="619"/>
      <c r="CZ378" s="619"/>
      <c r="DA378" s="548"/>
      <c r="DB378" s="548"/>
      <c r="DC378" s="548"/>
      <c r="DD378" s="619"/>
      <c r="DE378" s="619"/>
      <c r="DF378" s="619"/>
      <c r="DG378" s="619"/>
      <c r="DH378" s="619"/>
    </row>
    <row r="379" s="548" customFormat="1" ht="31" customHeight="1" spans="1:112">
      <c r="A379" s="608">
        <v>45825</v>
      </c>
      <c r="B379" s="609" t="s">
        <v>3815</v>
      </c>
      <c r="C379" s="610" t="s">
        <v>98</v>
      </c>
      <c r="D379" s="554">
        <v>4500170340</v>
      </c>
      <c r="E379" s="610" t="s">
        <v>6998</v>
      </c>
      <c r="F379" s="554" t="s">
        <v>6999</v>
      </c>
      <c r="G379" s="610" t="s">
        <v>6787</v>
      </c>
      <c r="H379" s="610" t="s">
        <v>6126</v>
      </c>
      <c r="I379" s="610">
        <v>900</v>
      </c>
      <c r="J379" s="610">
        <v>0</v>
      </c>
      <c r="K379" s="610">
        <v>12</v>
      </c>
      <c r="L379" s="611">
        <f t="shared" si="101"/>
        <v>75</v>
      </c>
      <c r="M379" s="612">
        <v>45863</v>
      </c>
      <c r="N379" s="612">
        <v>45859</v>
      </c>
      <c r="O379" s="613"/>
      <c r="P379" s="613" t="s">
        <v>113</v>
      </c>
      <c r="Q379" s="610"/>
      <c r="R379" s="614">
        <v>45825</v>
      </c>
      <c r="S379" s="614" t="s">
        <v>104</v>
      </c>
      <c r="T379" s="614" t="s">
        <v>6996</v>
      </c>
      <c r="U379" s="614"/>
      <c r="V379" s="614"/>
      <c r="W379" s="615"/>
      <c r="X379" s="609" t="s">
        <v>6790</v>
      </c>
      <c r="Y379" s="609" t="s">
        <v>1507</v>
      </c>
      <c r="Z379" s="609">
        <v>1.3031</v>
      </c>
      <c r="AA379" s="616">
        <f t="shared" si="108"/>
        <v>1172.79</v>
      </c>
      <c r="AC379" s="617" t="s">
        <v>6997</v>
      </c>
      <c r="AD379" s="610" t="s">
        <v>6128</v>
      </c>
      <c r="AE379" s="610" t="s">
        <v>82</v>
      </c>
      <c r="AF379" s="610"/>
      <c r="AG379" s="610"/>
      <c r="AH379" s="610"/>
      <c r="AI379" s="610">
        <v>900</v>
      </c>
      <c r="AJ379" s="610">
        <f t="shared" si="103"/>
        <v>0</v>
      </c>
      <c r="AK379" s="610"/>
      <c r="AL379" s="610"/>
      <c r="AM379" s="610"/>
      <c r="AN379" s="610">
        <f t="shared" si="115"/>
        <v>1800</v>
      </c>
      <c r="AQ379" s="554">
        <f t="shared" si="116"/>
        <v>1800</v>
      </c>
      <c r="AR379" s="619"/>
      <c r="AS379" s="548"/>
      <c r="AT379" s="548"/>
      <c r="AU379" s="554">
        <f t="shared" si="117"/>
        <v>1800</v>
      </c>
      <c r="AW379" s="619"/>
      <c r="AX379" s="548"/>
      <c r="AY379" s="548"/>
      <c r="AZ379" s="548"/>
      <c r="BA379" s="548"/>
      <c r="BB379" s="249">
        <f t="shared" si="118"/>
        <v>75</v>
      </c>
      <c r="BY379" s="619"/>
      <c r="BZ379" s="548"/>
      <c r="CA379" s="621"/>
      <c r="CB379" s="567"/>
      <c r="CC379" s="622"/>
      <c r="CD379" s="619"/>
      <c r="CE379" s="619"/>
      <c r="CF379" s="548"/>
      <c r="CG379" s="548"/>
      <c r="CR379" s="554">
        <f t="shared" si="119"/>
        <v>900</v>
      </c>
      <c r="CS379" s="554">
        <f t="shared" si="120"/>
        <v>900</v>
      </c>
      <c r="CT379" s="554">
        <f t="shared" si="121"/>
        <v>900</v>
      </c>
      <c r="CU379" s="554">
        <f t="shared" si="114"/>
        <v>0</v>
      </c>
      <c r="CV379" s="554">
        <f t="shared" si="94"/>
        <v>0</v>
      </c>
      <c r="CW379" s="554">
        <f t="shared" si="95"/>
        <v>0</v>
      </c>
      <c r="CX379" s="619"/>
      <c r="CY379" s="619"/>
      <c r="CZ379" s="619"/>
      <c r="DA379" s="548"/>
      <c r="DB379" s="548"/>
      <c r="DC379" s="548"/>
      <c r="DD379" s="619"/>
      <c r="DE379" s="619"/>
      <c r="DF379" s="619"/>
      <c r="DG379" s="619"/>
      <c r="DH379" s="619"/>
    </row>
    <row r="380" s="548" customFormat="1" ht="31" customHeight="1" spans="1:112">
      <c r="A380" s="608">
        <v>45825</v>
      </c>
      <c r="B380" s="609" t="s">
        <v>3815</v>
      </c>
      <c r="C380" s="610" t="s">
        <v>98</v>
      </c>
      <c r="D380" s="554">
        <v>4500170342</v>
      </c>
      <c r="E380" s="610" t="s">
        <v>7000</v>
      </c>
      <c r="F380" s="554" t="s">
        <v>7001</v>
      </c>
      <c r="G380" s="610" t="s">
        <v>6787</v>
      </c>
      <c r="H380" s="610" t="s">
        <v>6126</v>
      </c>
      <c r="I380" s="610">
        <v>4200</v>
      </c>
      <c r="J380" s="610">
        <v>0</v>
      </c>
      <c r="K380" s="610">
        <v>12</v>
      </c>
      <c r="L380" s="611">
        <f t="shared" si="101"/>
        <v>350</v>
      </c>
      <c r="M380" s="612">
        <v>45863</v>
      </c>
      <c r="N380" s="612">
        <v>45859</v>
      </c>
      <c r="O380" s="613"/>
      <c r="P380" s="613" t="s">
        <v>113</v>
      </c>
      <c r="Q380" s="610"/>
      <c r="R380" s="614">
        <v>45825</v>
      </c>
      <c r="S380" s="614" t="s">
        <v>104</v>
      </c>
      <c r="T380" s="614" t="s">
        <v>6996</v>
      </c>
      <c r="U380" s="614"/>
      <c r="V380" s="614"/>
      <c r="W380" s="615"/>
      <c r="X380" s="609" t="s">
        <v>6790</v>
      </c>
      <c r="Y380" s="609" t="s">
        <v>1507</v>
      </c>
      <c r="Z380" s="609">
        <v>1.2969</v>
      </c>
      <c r="AA380" s="616">
        <f t="shared" si="108"/>
        <v>5446.98</v>
      </c>
      <c r="AC380" s="617" t="s">
        <v>7002</v>
      </c>
      <c r="AD380" s="610" t="s">
        <v>6128</v>
      </c>
      <c r="AE380" s="610" t="s">
        <v>82</v>
      </c>
      <c r="AF380" s="610"/>
      <c r="AG380" s="610"/>
      <c r="AH380" s="610"/>
      <c r="AI380" s="610">
        <v>4200</v>
      </c>
      <c r="AJ380" s="610">
        <f t="shared" si="103"/>
        <v>0</v>
      </c>
      <c r="AK380" s="610"/>
      <c r="AL380" s="610"/>
      <c r="AM380" s="610"/>
      <c r="AN380" s="610">
        <f t="shared" si="115"/>
        <v>8400</v>
      </c>
      <c r="AQ380" s="554">
        <f t="shared" si="116"/>
        <v>8400</v>
      </c>
      <c r="AR380" s="619"/>
      <c r="AS380" s="548"/>
      <c r="AT380" s="548"/>
      <c r="AU380" s="554">
        <f t="shared" si="117"/>
        <v>8400</v>
      </c>
      <c r="AW380" s="619"/>
      <c r="AX380" s="548"/>
      <c r="AY380" s="548"/>
      <c r="AZ380" s="548"/>
      <c r="BA380" s="548"/>
      <c r="BB380" s="249">
        <f t="shared" si="118"/>
        <v>350</v>
      </c>
      <c r="BY380" s="619"/>
      <c r="BZ380" s="548"/>
      <c r="CA380" s="621"/>
      <c r="CB380" s="567"/>
      <c r="CC380" s="622"/>
      <c r="CD380" s="619"/>
      <c r="CE380" s="619"/>
      <c r="CF380" s="548"/>
      <c r="CG380" s="548"/>
      <c r="CR380" s="554">
        <f t="shared" si="119"/>
        <v>4200</v>
      </c>
      <c r="CS380" s="554">
        <f t="shared" si="120"/>
        <v>4200</v>
      </c>
      <c r="CT380" s="554">
        <f t="shared" si="121"/>
        <v>4200</v>
      </c>
      <c r="CU380" s="554">
        <f t="shared" si="114"/>
        <v>0</v>
      </c>
      <c r="CV380" s="554">
        <f t="shared" si="94"/>
        <v>0</v>
      </c>
      <c r="CW380" s="554">
        <f t="shared" si="95"/>
        <v>0</v>
      </c>
      <c r="CX380" s="619"/>
      <c r="CY380" s="619"/>
      <c r="CZ380" s="619"/>
      <c r="DA380" s="548"/>
      <c r="DB380" s="548"/>
      <c r="DC380" s="548"/>
      <c r="DD380" s="619"/>
      <c r="DE380" s="619"/>
      <c r="DF380" s="619"/>
      <c r="DG380" s="619"/>
      <c r="DH380" s="619"/>
    </row>
    <row r="381" s="548" customFormat="1" ht="31" customHeight="1" spans="1:112">
      <c r="A381" s="608">
        <v>45825</v>
      </c>
      <c r="B381" s="609" t="s">
        <v>3815</v>
      </c>
      <c r="C381" s="610" t="s">
        <v>98</v>
      </c>
      <c r="D381" s="554">
        <v>4500170342</v>
      </c>
      <c r="E381" s="610" t="s">
        <v>7003</v>
      </c>
      <c r="F381" s="554" t="s">
        <v>7004</v>
      </c>
      <c r="G381" s="610" t="s">
        <v>6787</v>
      </c>
      <c r="H381" s="610" t="s">
        <v>6126</v>
      </c>
      <c r="I381" s="610">
        <v>2976</v>
      </c>
      <c r="J381" s="610">
        <v>0</v>
      </c>
      <c r="K381" s="610">
        <v>12</v>
      </c>
      <c r="L381" s="611">
        <f t="shared" si="101"/>
        <v>248</v>
      </c>
      <c r="M381" s="612">
        <v>45863</v>
      </c>
      <c r="N381" s="612">
        <v>45859</v>
      </c>
      <c r="O381" s="613"/>
      <c r="P381" s="613" t="s">
        <v>113</v>
      </c>
      <c r="Q381" s="610"/>
      <c r="R381" s="614">
        <v>45825</v>
      </c>
      <c r="S381" s="614" t="s">
        <v>104</v>
      </c>
      <c r="T381" s="614" t="s">
        <v>6996</v>
      </c>
      <c r="U381" s="614"/>
      <c r="V381" s="614"/>
      <c r="W381" s="615"/>
      <c r="X381" s="609" t="s">
        <v>6790</v>
      </c>
      <c r="Y381" s="609" t="s">
        <v>1507</v>
      </c>
      <c r="Z381" s="609">
        <v>1.2969</v>
      </c>
      <c r="AA381" s="616">
        <f t="shared" si="108"/>
        <v>3859.5744</v>
      </c>
      <c r="AC381" s="617" t="s">
        <v>7002</v>
      </c>
      <c r="AD381" s="610" t="s">
        <v>6128</v>
      </c>
      <c r="AE381" s="610" t="s">
        <v>82</v>
      </c>
      <c r="AF381" s="610"/>
      <c r="AG381" s="610"/>
      <c r="AH381" s="610"/>
      <c r="AI381" s="610">
        <f>2004+972</f>
        <v>2976</v>
      </c>
      <c r="AJ381" s="610">
        <f t="shared" si="103"/>
        <v>0</v>
      </c>
      <c r="AK381" s="610"/>
      <c r="AL381" s="610"/>
      <c r="AM381" s="610"/>
      <c r="AN381" s="610">
        <f t="shared" si="115"/>
        <v>5952</v>
      </c>
      <c r="AQ381" s="554">
        <f t="shared" si="116"/>
        <v>5952</v>
      </c>
      <c r="AR381" s="619"/>
      <c r="AS381" s="548"/>
      <c r="AT381" s="548"/>
      <c r="AU381" s="554">
        <f t="shared" si="117"/>
        <v>5952</v>
      </c>
      <c r="AW381" s="619"/>
      <c r="AX381" s="548"/>
      <c r="AY381" s="548"/>
      <c r="AZ381" s="548"/>
      <c r="BA381" s="548"/>
      <c r="BB381" s="249">
        <f t="shared" si="118"/>
        <v>248</v>
      </c>
      <c r="BY381" s="619"/>
      <c r="BZ381" s="548"/>
      <c r="CA381" s="621"/>
      <c r="CB381" s="567"/>
      <c r="CC381" s="622"/>
      <c r="CD381" s="619"/>
      <c r="CE381" s="619"/>
      <c r="CF381" s="548"/>
      <c r="CG381" s="548"/>
      <c r="CR381" s="554">
        <f t="shared" si="119"/>
        <v>2976</v>
      </c>
      <c r="CS381" s="554">
        <f t="shared" si="120"/>
        <v>2976</v>
      </c>
      <c r="CT381" s="554">
        <f t="shared" si="121"/>
        <v>2976</v>
      </c>
      <c r="CU381" s="554">
        <f t="shared" si="114"/>
        <v>0</v>
      </c>
      <c r="CV381" s="554">
        <f t="shared" si="94"/>
        <v>0</v>
      </c>
      <c r="CW381" s="554">
        <f t="shared" si="95"/>
        <v>0</v>
      </c>
      <c r="CX381" s="619"/>
      <c r="CY381" s="619"/>
      <c r="CZ381" s="619"/>
      <c r="DA381" s="548"/>
      <c r="DB381" s="548"/>
      <c r="DC381" s="548"/>
      <c r="DD381" s="619"/>
      <c r="DE381" s="619"/>
      <c r="DF381" s="619"/>
      <c r="DG381" s="619"/>
      <c r="DH381" s="619"/>
    </row>
    <row r="382" s="548" customFormat="1" ht="31" customHeight="1" spans="1:112">
      <c r="A382" s="608">
        <v>45825</v>
      </c>
      <c r="B382" s="609" t="s">
        <v>3815</v>
      </c>
      <c r="C382" s="610" t="s">
        <v>98</v>
      </c>
      <c r="D382" s="554">
        <v>4500170344</v>
      </c>
      <c r="E382" s="610" t="s">
        <v>7005</v>
      </c>
      <c r="F382" s="554" t="s">
        <v>7006</v>
      </c>
      <c r="G382" s="610" t="s">
        <v>6787</v>
      </c>
      <c r="H382" s="610" t="s">
        <v>6126</v>
      </c>
      <c r="I382" s="610">
        <v>3912</v>
      </c>
      <c r="J382" s="610">
        <v>0</v>
      </c>
      <c r="K382" s="610">
        <v>12</v>
      </c>
      <c r="L382" s="611">
        <f t="shared" si="101"/>
        <v>326</v>
      </c>
      <c r="M382" s="612">
        <v>45863</v>
      </c>
      <c r="N382" s="612">
        <v>45859</v>
      </c>
      <c r="O382" s="613"/>
      <c r="P382" s="613" t="s">
        <v>113</v>
      </c>
      <c r="Q382" s="610"/>
      <c r="R382" s="614">
        <v>45825</v>
      </c>
      <c r="S382" s="614" t="s">
        <v>104</v>
      </c>
      <c r="T382" s="614" t="s">
        <v>6996</v>
      </c>
      <c r="U382" s="614"/>
      <c r="V382" s="614"/>
      <c r="W382" s="615"/>
      <c r="X382" s="609" t="s">
        <v>7007</v>
      </c>
      <c r="Y382" s="609" t="s">
        <v>1507</v>
      </c>
      <c r="Z382" s="609">
        <v>1.3031</v>
      </c>
      <c r="AA382" s="616">
        <f t="shared" si="108"/>
        <v>5097.7272</v>
      </c>
      <c r="AC382" s="617" t="s">
        <v>7008</v>
      </c>
      <c r="AD382" s="610" t="s">
        <v>6128</v>
      </c>
      <c r="AE382" s="610" t="s">
        <v>82</v>
      </c>
      <c r="AF382" s="610"/>
      <c r="AG382" s="610"/>
      <c r="AH382" s="610"/>
      <c r="AI382" s="610">
        <v>3912</v>
      </c>
      <c r="AJ382" s="610">
        <f t="shared" si="103"/>
        <v>0</v>
      </c>
      <c r="AK382" s="610"/>
      <c r="AL382" s="610"/>
      <c r="AM382" s="610"/>
      <c r="AN382" s="610">
        <f t="shared" si="115"/>
        <v>7824</v>
      </c>
      <c r="AQ382" s="554">
        <f t="shared" si="116"/>
        <v>7824</v>
      </c>
      <c r="AR382" s="619"/>
      <c r="AS382" s="548"/>
      <c r="AT382" s="548"/>
      <c r="AU382" s="554">
        <f t="shared" si="117"/>
        <v>7824</v>
      </c>
      <c r="AW382" s="619"/>
      <c r="AX382" s="548"/>
      <c r="AY382" s="548"/>
      <c r="AZ382" s="548"/>
      <c r="BA382" s="548"/>
      <c r="BB382" s="249">
        <f t="shared" si="118"/>
        <v>326</v>
      </c>
      <c r="BY382" s="619"/>
      <c r="BZ382" s="548"/>
      <c r="CA382" s="621"/>
      <c r="CB382" s="567"/>
      <c r="CC382" s="622"/>
      <c r="CD382" s="619"/>
      <c r="CE382" s="619"/>
      <c r="CF382" s="548"/>
      <c r="CG382" s="548"/>
      <c r="CR382" s="554">
        <f t="shared" si="119"/>
        <v>3912</v>
      </c>
      <c r="CS382" s="554">
        <f t="shared" si="120"/>
        <v>3912</v>
      </c>
      <c r="CT382" s="554">
        <f t="shared" si="121"/>
        <v>3912</v>
      </c>
      <c r="CU382" s="554">
        <f t="shared" si="114"/>
        <v>0</v>
      </c>
      <c r="CV382" s="554">
        <f t="shared" si="94"/>
        <v>0</v>
      </c>
      <c r="CW382" s="554">
        <f t="shared" si="95"/>
        <v>0</v>
      </c>
      <c r="CX382" s="619"/>
      <c r="CY382" s="619"/>
      <c r="CZ382" s="619"/>
      <c r="DA382" s="548"/>
      <c r="DB382" s="548"/>
      <c r="DC382" s="548"/>
      <c r="DD382" s="619"/>
      <c r="DE382" s="619"/>
      <c r="DF382" s="619"/>
      <c r="DG382" s="619"/>
      <c r="DH382" s="619"/>
    </row>
    <row r="383" s="548" customFormat="1" ht="31" customHeight="1" spans="1:112">
      <c r="A383" s="608">
        <v>45825</v>
      </c>
      <c r="B383" s="609" t="s">
        <v>3815</v>
      </c>
      <c r="C383" s="610" t="s">
        <v>98</v>
      </c>
      <c r="D383" s="554">
        <v>4500170346</v>
      </c>
      <c r="E383" s="610" t="s">
        <v>7009</v>
      </c>
      <c r="F383" s="554" t="s">
        <v>7010</v>
      </c>
      <c r="G383" s="610" t="s">
        <v>6787</v>
      </c>
      <c r="H383" s="610" t="s">
        <v>6126</v>
      </c>
      <c r="I383" s="610">
        <v>5064</v>
      </c>
      <c r="J383" s="610">
        <v>0</v>
      </c>
      <c r="K383" s="610">
        <v>12</v>
      </c>
      <c r="L383" s="611">
        <f t="shared" si="101"/>
        <v>422</v>
      </c>
      <c r="M383" s="612">
        <v>45863</v>
      </c>
      <c r="N383" s="612">
        <v>45859</v>
      </c>
      <c r="O383" s="613"/>
      <c r="P383" s="613" t="s">
        <v>113</v>
      </c>
      <c r="Q383" s="610"/>
      <c r="R383" s="614">
        <v>45825</v>
      </c>
      <c r="S383" s="614" t="s">
        <v>104</v>
      </c>
      <c r="T383" s="614" t="s">
        <v>6996</v>
      </c>
      <c r="U383" s="614"/>
      <c r="V383" s="614"/>
      <c r="W383" s="615"/>
      <c r="X383" s="609" t="s">
        <v>7007</v>
      </c>
      <c r="Y383" s="609" t="s">
        <v>1507</v>
      </c>
      <c r="Z383" s="609">
        <v>1.2969</v>
      </c>
      <c r="AA383" s="616">
        <f t="shared" si="108"/>
        <v>6567.5016</v>
      </c>
      <c r="AC383" s="617"/>
      <c r="AD383" s="610" t="s">
        <v>6128</v>
      </c>
      <c r="AE383" s="610" t="s">
        <v>82</v>
      </c>
      <c r="AF383" s="610"/>
      <c r="AG383" s="610"/>
      <c r="AH383" s="610"/>
      <c r="AI383" s="610">
        <v>5064</v>
      </c>
      <c r="AJ383" s="610">
        <f t="shared" si="103"/>
        <v>0</v>
      </c>
      <c r="AK383" s="610"/>
      <c r="AL383" s="610"/>
      <c r="AM383" s="610"/>
      <c r="AN383" s="610">
        <f t="shared" si="115"/>
        <v>10128</v>
      </c>
      <c r="AQ383" s="554">
        <f t="shared" si="116"/>
        <v>10128</v>
      </c>
      <c r="AR383" s="619"/>
      <c r="AS383" s="548"/>
      <c r="AT383" s="548"/>
      <c r="AU383" s="554">
        <f t="shared" si="117"/>
        <v>10128</v>
      </c>
      <c r="AW383" s="619"/>
      <c r="AX383" s="548"/>
      <c r="AY383" s="548"/>
      <c r="AZ383" s="548"/>
      <c r="BA383" s="548"/>
      <c r="BB383" s="249">
        <f t="shared" si="118"/>
        <v>422</v>
      </c>
      <c r="BY383" s="619"/>
      <c r="BZ383" s="548"/>
      <c r="CA383" s="621"/>
      <c r="CB383" s="567"/>
      <c r="CC383" s="622"/>
      <c r="CD383" s="619"/>
      <c r="CE383" s="619"/>
      <c r="CF383" s="548"/>
      <c r="CG383" s="548"/>
      <c r="CR383" s="554">
        <f t="shared" si="119"/>
        <v>5064</v>
      </c>
      <c r="CS383" s="554">
        <f t="shared" si="120"/>
        <v>5064</v>
      </c>
      <c r="CT383" s="554">
        <f t="shared" si="121"/>
        <v>5064</v>
      </c>
      <c r="CU383" s="554">
        <f t="shared" si="114"/>
        <v>0</v>
      </c>
      <c r="CV383" s="554">
        <f t="shared" si="94"/>
        <v>0</v>
      </c>
      <c r="CW383" s="554">
        <f t="shared" si="95"/>
        <v>0</v>
      </c>
      <c r="CX383" s="619"/>
      <c r="CY383" s="619"/>
      <c r="CZ383" s="619"/>
      <c r="DA383" s="548"/>
      <c r="DB383" s="548"/>
      <c r="DC383" s="548"/>
      <c r="DD383" s="619"/>
      <c r="DE383" s="619"/>
      <c r="DF383" s="619"/>
      <c r="DG383" s="619"/>
      <c r="DH383" s="619"/>
    </row>
    <row r="384" s="548" customFormat="1" ht="31" customHeight="1" spans="1:112">
      <c r="A384" s="608">
        <v>45821</v>
      </c>
      <c r="B384" s="609" t="s">
        <v>139</v>
      </c>
      <c r="C384" s="610" t="s">
        <v>76</v>
      </c>
      <c r="D384" s="554">
        <v>4500169879</v>
      </c>
      <c r="E384" s="610">
        <v>20922495</v>
      </c>
      <c r="F384" s="554" t="s">
        <v>7011</v>
      </c>
      <c r="G384" s="610" t="s">
        <v>6093</v>
      </c>
      <c r="H384" s="610" t="s">
        <v>6094</v>
      </c>
      <c r="I384" s="610">
        <v>299</v>
      </c>
      <c r="J384" s="610">
        <v>0</v>
      </c>
      <c r="K384" s="610">
        <v>13</v>
      </c>
      <c r="L384" s="611">
        <f t="shared" si="101"/>
        <v>23</v>
      </c>
      <c r="M384" s="612">
        <v>45866</v>
      </c>
      <c r="N384" s="612">
        <v>45862</v>
      </c>
      <c r="O384" s="613"/>
      <c r="P384" s="613" t="s">
        <v>113</v>
      </c>
      <c r="Q384" s="610"/>
      <c r="R384" s="614">
        <v>45821</v>
      </c>
      <c r="S384" s="614" t="s">
        <v>104</v>
      </c>
      <c r="T384" s="614">
        <v>45845</v>
      </c>
      <c r="U384" s="614"/>
      <c r="V384" s="614"/>
      <c r="W384" s="615"/>
      <c r="X384" s="609" t="s">
        <v>7012</v>
      </c>
      <c r="Y384" s="609" t="s">
        <v>133</v>
      </c>
      <c r="Z384" s="609">
        <v>0.9526</v>
      </c>
      <c r="AA384" s="616">
        <f t="shared" si="108"/>
        <v>284.8274</v>
      </c>
      <c r="AC384" s="629" t="s">
        <v>7013</v>
      </c>
      <c r="AD384" s="610" t="s">
        <v>6093</v>
      </c>
      <c r="AE384" s="610" t="s">
        <v>82</v>
      </c>
      <c r="AF384" s="610"/>
      <c r="AG384" s="610"/>
      <c r="AH384" s="610"/>
      <c r="AI384" s="610">
        <v>299</v>
      </c>
      <c r="AJ384" s="610">
        <f t="shared" si="103"/>
        <v>0</v>
      </c>
      <c r="AK384" s="610"/>
      <c r="AL384" s="610"/>
      <c r="AM384" s="610"/>
      <c r="AN384" s="610"/>
      <c r="AO384" s="554">
        <f>I384</f>
        <v>299</v>
      </c>
      <c r="AR384" s="619"/>
      <c r="AS384" s="548"/>
      <c r="AT384" s="554">
        <f>I384</f>
        <v>299</v>
      </c>
      <c r="AV384" s="554">
        <f>I384</f>
        <v>299</v>
      </c>
      <c r="AW384" s="619"/>
      <c r="AX384" s="548"/>
      <c r="AY384" s="548"/>
      <c r="AZ384" s="548"/>
      <c r="BA384" s="548"/>
      <c r="BB384" s="620">
        <f>I384/24</f>
        <v>12.4583333333333</v>
      </c>
      <c r="BM384" s="554">
        <f>I384/13</f>
        <v>23</v>
      </c>
      <c r="BY384" s="619"/>
      <c r="BZ384" s="548"/>
      <c r="CA384" s="621"/>
      <c r="CB384" s="567"/>
      <c r="CC384" s="622"/>
      <c r="CD384" s="619"/>
      <c r="CE384" s="619"/>
      <c r="CF384" s="548"/>
      <c r="CG384" s="548"/>
      <c r="CU384" s="554">
        <f t="shared" si="114"/>
        <v>0</v>
      </c>
      <c r="CV384" s="554">
        <f t="shared" si="94"/>
        <v>0</v>
      </c>
      <c r="CW384" s="554">
        <f t="shared" si="95"/>
        <v>0</v>
      </c>
      <c r="CX384" s="619"/>
      <c r="CY384" s="619"/>
      <c r="CZ384" s="619"/>
      <c r="DA384" s="548"/>
      <c r="DB384" s="548"/>
      <c r="DC384" s="548"/>
      <c r="DD384" s="619"/>
      <c r="DE384" s="619"/>
      <c r="DF384" s="619"/>
      <c r="DG384" s="619"/>
      <c r="DH384" s="619"/>
    </row>
    <row r="385" s="548" customFormat="1" ht="31" customHeight="1" spans="1:112">
      <c r="A385" s="608">
        <v>45821</v>
      </c>
      <c r="B385" s="609" t="s">
        <v>135</v>
      </c>
      <c r="C385" s="610" t="s">
        <v>128</v>
      </c>
      <c r="D385" s="554">
        <v>4500169878</v>
      </c>
      <c r="E385" s="610">
        <v>20922494</v>
      </c>
      <c r="F385" s="554" t="s">
        <v>7014</v>
      </c>
      <c r="G385" s="610" t="s">
        <v>6093</v>
      </c>
      <c r="H385" s="610" t="s">
        <v>6094</v>
      </c>
      <c r="I385" s="610">
        <v>3536</v>
      </c>
      <c r="J385" s="610">
        <v>0</v>
      </c>
      <c r="K385" s="610">
        <v>13</v>
      </c>
      <c r="L385" s="611">
        <f t="shared" si="101"/>
        <v>272</v>
      </c>
      <c r="M385" s="612">
        <v>45866</v>
      </c>
      <c r="N385" s="612">
        <v>45862</v>
      </c>
      <c r="O385" s="613"/>
      <c r="P385" s="613" t="s">
        <v>113</v>
      </c>
      <c r="Q385" s="610"/>
      <c r="R385" s="614">
        <v>45821</v>
      </c>
      <c r="S385" s="614" t="s">
        <v>104</v>
      </c>
      <c r="T385" s="614">
        <v>45845</v>
      </c>
      <c r="U385" s="614"/>
      <c r="V385" s="614"/>
      <c r="W385" s="615"/>
      <c r="X385" s="609" t="s">
        <v>6813</v>
      </c>
      <c r="Y385" s="609" t="s">
        <v>133</v>
      </c>
      <c r="Z385" s="609">
        <v>0.9475</v>
      </c>
      <c r="AA385" s="616">
        <f t="shared" si="108"/>
        <v>3350.36</v>
      </c>
      <c r="AC385" s="629" t="s">
        <v>7015</v>
      </c>
      <c r="AD385" s="610" t="s">
        <v>6093</v>
      </c>
      <c r="AE385" s="610" t="s">
        <v>82</v>
      </c>
      <c r="AF385" s="610"/>
      <c r="AG385" s="610"/>
      <c r="AH385" s="610"/>
      <c r="AI385" s="610">
        <v>3536</v>
      </c>
      <c r="AJ385" s="610">
        <f t="shared" si="103"/>
        <v>0</v>
      </c>
      <c r="AK385" s="610"/>
      <c r="AL385" s="610"/>
      <c r="AM385" s="610"/>
      <c r="AN385" s="610"/>
      <c r="AO385" s="554">
        <f>I385</f>
        <v>3536</v>
      </c>
      <c r="AR385" s="619"/>
      <c r="AS385" s="548"/>
      <c r="AT385" s="554">
        <f>I385</f>
        <v>3536</v>
      </c>
      <c r="AV385" s="554">
        <f>I385</f>
        <v>3536</v>
      </c>
      <c r="AW385" s="619"/>
      <c r="AX385" s="548"/>
      <c r="AY385" s="548"/>
      <c r="AZ385" s="548"/>
      <c r="BA385" s="548"/>
      <c r="BB385" s="620">
        <f>I385/24</f>
        <v>147.333333333333</v>
      </c>
      <c r="BM385" s="554">
        <f>I385/13</f>
        <v>272</v>
      </c>
      <c r="BY385" s="619"/>
      <c r="BZ385" s="548"/>
      <c r="CA385" s="621"/>
      <c r="CB385" s="567"/>
      <c r="CC385" s="622"/>
      <c r="CD385" s="619"/>
      <c r="CE385" s="619"/>
      <c r="CF385" s="548"/>
      <c r="CG385" s="548"/>
      <c r="CU385" s="554">
        <f t="shared" si="114"/>
        <v>0</v>
      </c>
      <c r="CV385" s="554">
        <f t="shared" si="94"/>
        <v>0</v>
      </c>
      <c r="CW385" s="554">
        <f t="shared" si="95"/>
        <v>0</v>
      </c>
      <c r="CX385" s="619"/>
      <c r="CY385" s="619"/>
      <c r="CZ385" s="619"/>
      <c r="DA385" s="548"/>
      <c r="DB385" s="548"/>
      <c r="DC385" s="548"/>
      <c r="DD385" s="619"/>
      <c r="DE385" s="619"/>
      <c r="DF385" s="619"/>
      <c r="DG385" s="619"/>
      <c r="DH385" s="619"/>
    </row>
    <row r="386" s="548" customFormat="1" ht="31" customHeight="1" spans="1:112">
      <c r="A386" s="608">
        <v>45820</v>
      </c>
      <c r="B386" s="609" t="s">
        <v>143</v>
      </c>
      <c r="C386" s="610" t="s">
        <v>98</v>
      </c>
      <c r="D386" s="554">
        <v>4500169834</v>
      </c>
      <c r="E386" s="613">
        <v>907594612</v>
      </c>
      <c r="F386" s="554" t="s">
        <v>7016</v>
      </c>
      <c r="G386" s="610" t="s">
        <v>6063</v>
      </c>
      <c r="H386" s="610" t="s">
        <v>6064</v>
      </c>
      <c r="I386" s="610">
        <v>8736</v>
      </c>
      <c r="J386" s="610">
        <v>0</v>
      </c>
      <c r="K386" s="610">
        <v>16</v>
      </c>
      <c r="L386" s="611">
        <f t="shared" si="101"/>
        <v>546</v>
      </c>
      <c r="M386" s="612">
        <v>45867</v>
      </c>
      <c r="N386" s="612">
        <v>45863</v>
      </c>
      <c r="O386" s="613" t="s">
        <v>1427</v>
      </c>
      <c r="P386" s="613" t="s">
        <v>113</v>
      </c>
      <c r="Q386" s="610"/>
      <c r="R386" s="614" t="s">
        <v>147</v>
      </c>
      <c r="S386" s="614" t="s">
        <v>70</v>
      </c>
      <c r="T386" s="614" t="s">
        <v>148</v>
      </c>
      <c r="U386" s="614"/>
      <c r="V386" s="614"/>
      <c r="W386" s="615"/>
      <c r="X386" s="609" t="s">
        <v>6927</v>
      </c>
      <c r="Y386" s="609" t="s">
        <v>106</v>
      </c>
      <c r="Z386" s="609">
        <v>0.5936</v>
      </c>
      <c r="AA386" s="616">
        <f t="shared" si="108"/>
        <v>5185.6896</v>
      </c>
      <c r="AC386" s="617" t="s">
        <v>7017</v>
      </c>
      <c r="AD386" s="610" t="s">
        <v>6063</v>
      </c>
      <c r="AE386" s="610" t="s">
        <v>82</v>
      </c>
      <c r="AF386" s="610"/>
      <c r="AG386" s="610"/>
      <c r="AH386" s="610"/>
      <c r="AI386" s="610">
        <v>8736</v>
      </c>
      <c r="AJ386" s="610">
        <f t="shared" si="103"/>
        <v>0</v>
      </c>
      <c r="AK386" s="610"/>
      <c r="AL386" s="610"/>
      <c r="AM386" s="610"/>
      <c r="AN386" s="610">
        <f>I386</f>
        <v>8736</v>
      </c>
      <c r="AP386" s="554">
        <f>I386</f>
        <v>8736</v>
      </c>
      <c r="AR386" s="619"/>
      <c r="AS386" s="548"/>
      <c r="AT386" s="548"/>
      <c r="AU386" s="554">
        <f>I386</f>
        <v>8736</v>
      </c>
      <c r="AW386" s="619"/>
      <c r="AX386" s="548"/>
      <c r="AY386" s="548"/>
      <c r="AZ386" s="548"/>
      <c r="BA386" s="548"/>
      <c r="BB386" s="620">
        <f>I386/48</f>
        <v>182</v>
      </c>
      <c r="BQ386" s="554">
        <f>I386/16</f>
        <v>546</v>
      </c>
      <c r="BY386" s="619"/>
      <c r="BZ386" s="548"/>
      <c r="CA386" s="621"/>
      <c r="CB386" s="567"/>
      <c r="CC386" s="622"/>
      <c r="CD386" s="619"/>
      <c r="CE386" s="619"/>
      <c r="CF386" s="548"/>
      <c r="CG386" s="548"/>
      <c r="CU386" s="554">
        <f t="shared" si="114"/>
        <v>546</v>
      </c>
      <c r="CV386" s="554">
        <f t="shared" si="94"/>
        <v>0</v>
      </c>
      <c r="CW386" s="554">
        <f t="shared" si="95"/>
        <v>0</v>
      </c>
      <c r="CX386" s="619"/>
      <c r="CY386" s="619"/>
      <c r="CZ386" s="619"/>
      <c r="DA386" s="548"/>
      <c r="DB386" s="548"/>
      <c r="DC386" s="548"/>
      <c r="DD386" s="619"/>
      <c r="DE386" s="619"/>
      <c r="DF386" s="619"/>
      <c r="DG386" s="619"/>
      <c r="DH386" s="619"/>
    </row>
    <row r="387" s="548" customFormat="1" ht="31" customHeight="1" spans="1:112">
      <c r="A387" s="608">
        <v>45820</v>
      </c>
      <c r="B387" s="609" t="s">
        <v>143</v>
      </c>
      <c r="C387" s="610" t="s">
        <v>98</v>
      </c>
      <c r="D387" s="554">
        <v>4500169834</v>
      </c>
      <c r="E387" s="613">
        <v>907594954</v>
      </c>
      <c r="F387" s="554" t="s">
        <v>7018</v>
      </c>
      <c r="G387" s="610" t="s">
        <v>6063</v>
      </c>
      <c r="H387" s="610" t="s">
        <v>6064</v>
      </c>
      <c r="I387" s="610">
        <v>9088</v>
      </c>
      <c r="J387" s="610">
        <v>0</v>
      </c>
      <c r="K387" s="610">
        <v>16</v>
      </c>
      <c r="L387" s="611">
        <f t="shared" si="101"/>
        <v>568</v>
      </c>
      <c r="M387" s="612">
        <v>45867</v>
      </c>
      <c r="N387" s="612">
        <v>45863</v>
      </c>
      <c r="O387" s="613" t="s">
        <v>1427</v>
      </c>
      <c r="P387" s="613" t="s">
        <v>113</v>
      </c>
      <c r="Q387" s="610"/>
      <c r="R387" s="614" t="s">
        <v>147</v>
      </c>
      <c r="S387" s="614" t="s">
        <v>70</v>
      </c>
      <c r="T387" s="614" t="s">
        <v>148</v>
      </c>
      <c r="U387" s="614"/>
      <c r="V387" s="614"/>
      <c r="W387" s="615"/>
      <c r="X387" s="609" t="s">
        <v>6927</v>
      </c>
      <c r="Y387" s="609" t="s">
        <v>106</v>
      </c>
      <c r="Z387" s="609">
        <v>0.5936</v>
      </c>
      <c r="AA387" s="616">
        <f t="shared" si="108"/>
        <v>5394.6368</v>
      </c>
      <c r="AC387" s="617" t="s">
        <v>7019</v>
      </c>
      <c r="AD387" s="610" t="s">
        <v>6063</v>
      </c>
      <c r="AE387" s="610" t="s">
        <v>82</v>
      </c>
      <c r="AF387" s="610"/>
      <c r="AG387" s="610"/>
      <c r="AH387" s="610"/>
      <c r="AI387" s="610">
        <v>9088</v>
      </c>
      <c r="AJ387" s="610">
        <f t="shared" si="103"/>
        <v>0</v>
      </c>
      <c r="AK387" s="610"/>
      <c r="AL387" s="610"/>
      <c r="AM387" s="610"/>
      <c r="AN387" s="610">
        <f>I387</f>
        <v>9088</v>
      </c>
      <c r="AP387" s="554">
        <f>I387</f>
        <v>9088</v>
      </c>
      <c r="AR387" s="619"/>
      <c r="AS387" s="548"/>
      <c r="AT387" s="548"/>
      <c r="AU387" s="554">
        <f>I387</f>
        <v>9088</v>
      </c>
      <c r="AW387" s="619"/>
      <c r="AX387" s="548"/>
      <c r="AY387" s="548"/>
      <c r="AZ387" s="548"/>
      <c r="BA387" s="548"/>
      <c r="BB387" s="620">
        <f>I387/48</f>
        <v>189.333333333333</v>
      </c>
      <c r="BQ387" s="554">
        <f>I387/16</f>
        <v>568</v>
      </c>
      <c r="BY387" s="619"/>
      <c r="BZ387" s="548"/>
      <c r="CA387" s="621"/>
      <c r="CB387" s="567"/>
      <c r="CC387" s="622"/>
      <c r="CD387" s="619"/>
      <c r="CE387" s="619"/>
      <c r="CF387" s="548"/>
      <c r="CG387" s="548"/>
      <c r="CU387" s="554">
        <f t="shared" si="114"/>
        <v>568</v>
      </c>
      <c r="CV387" s="554">
        <f t="shared" ref="CV387:CV450" si="122">CK387+CL387+CM387+CN387+CO387+CQ387+CP387</f>
        <v>0</v>
      </c>
      <c r="CW387" s="554">
        <f t="shared" ref="CW387:CW450" si="123">CI387+CJ387</f>
        <v>0</v>
      </c>
      <c r="CX387" s="619"/>
      <c r="CY387" s="619"/>
      <c r="CZ387" s="619"/>
      <c r="DA387" s="548"/>
      <c r="DB387" s="548"/>
      <c r="DC387" s="548"/>
      <c r="DD387" s="619"/>
      <c r="DE387" s="619"/>
      <c r="DF387" s="619"/>
      <c r="DG387" s="619"/>
      <c r="DH387" s="619"/>
    </row>
    <row r="388" s="548" customFormat="1" ht="31" customHeight="1" spans="1:112">
      <c r="A388" s="608">
        <v>45826</v>
      </c>
      <c r="B388" s="609" t="s">
        <v>127</v>
      </c>
      <c r="C388" s="610" t="s">
        <v>128</v>
      </c>
      <c r="D388" s="554">
        <v>4500170489</v>
      </c>
      <c r="E388" s="610">
        <v>84439</v>
      </c>
      <c r="F388" s="554" t="s">
        <v>7020</v>
      </c>
      <c r="G388" s="610" t="s">
        <v>6047</v>
      </c>
      <c r="H388" s="610" t="s">
        <v>6069</v>
      </c>
      <c r="I388" s="610">
        <v>5000</v>
      </c>
      <c r="J388" s="610">
        <v>0</v>
      </c>
      <c r="K388" s="610">
        <v>25</v>
      </c>
      <c r="L388" s="611">
        <f t="shared" si="101"/>
        <v>200</v>
      </c>
      <c r="M388" s="612">
        <v>45869</v>
      </c>
      <c r="N388" s="612">
        <v>45866</v>
      </c>
      <c r="O388" s="613"/>
      <c r="P388" s="613" t="s">
        <v>113</v>
      </c>
      <c r="Q388" s="610"/>
      <c r="R388" s="614">
        <v>45831</v>
      </c>
      <c r="S388" s="614" t="s">
        <v>70</v>
      </c>
      <c r="T388" s="614" t="s">
        <v>7021</v>
      </c>
      <c r="U388" s="614"/>
      <c r="V388" s="614"/>
      <c r="W388" s="615"/>
      <c r="X388" s="628" t="s">
        <v>7022</v>
      </c>
      <c r="Y388" s="609" t="s">
        <v>217</v>
      </c>
      <c r="Z388" s="609">
        <v>0.9365</v>
      </c>
      <c r="AA388" s="616">
        <f t="shared" si="108"/>
        <v>4682.5</v>
      </c>
      <c r="AC388" s="629" t="s">
        <v>1377</v>
      </c>
      <c r="AD388" s="610" t="s">
        <v>6047</v>
      </c>
      <c r="AE388" s="610" t="s">
        <v>82</v>
      </c>
      <c r="AF388" s="610"/>
      <c r="AG388" s="610"/>
      <c r="AH388" s="610"/>
      <c r="AI388" s="610">
        <v>5000</v>
      </c>
      <c r="AJ388" s="610">
        <f t="shared" si="103"/>
        <v>0</v>
      </c>
      <c r="AK388" s="610"/>
      <c r="AL388" s="610"/>
      <c r="AM388" s="610"/>
      <c r="AN388" s="610"/>
      <c r="AO388" s="554">
        <f>I388</f>
        <v>5000</v>
      </c>
      <c r="AR388" s="619"/>
      <c r="AS388" s="548"/>
      <c r="AT388" s="554">
        <f>I388</f>
        <v>5000</v>
      </c>
      <c r="AV388" s="554">
        <f>I388</f>
        <v>5000</v>
      </c>
      <c r="AW388" s="619"/>
      <c r="AX388" s="548"/>
      <c r="AY388" s="548"/>
      <c r="AZ388" s="548"/>
      <c r="BA388" s="548"/>
      <c r="BB388" s="620">
        <f>I388/24</f>
        <v>208.333333333333</v>
      </c>
      <c r="BP388" s="554">
        <f>I388/25</f>
        <v>200</v>
      </c>
      <c r="BY388" s="619"/>
      <c r="BZ388" s="548"/>
      <c r="CA388" s="621"/>
      <c r="CB388" s="567"/>
      <c r="CC388" s="622"/>
      <c r="CD388" s="619"/>
      <c r="CE388" s="619"/>
      <c r="CF388" s="548"/>
      <c r="CG388" s="548"/>
      <c r="CU388" s="554">
        <f t="shared" si="114"/>
        <v>200</v>
      </c>
      <c r="CV388" s="554">
        <f t="shared" si="122"/>
        <v>0</v>
      </c>
      <c r="CW388" s="554">
        <f t="shared" si="123"/>
        <v>0</v>
      </c>
      <c r="CX388" s="619"/>
      <c r="CY388" s="619"/>
      <c r="CZ388" s="619"/>
      <c r="DA388" s="548"/>
      <c r="DB388" s="548"/>
      <c r="DC388" s="548"/>
      <c r="DD388" s="619"/>
      <c r="DE388" s="619"/>
      <c r="DF388" s="619"/>
      <c r="DG388" s="619"/>
      <c r="DH388" s="619"/>
    </row>
    <row r="389" s="548" customFormat="1" ht="31" customHeight="1" spans="1:112">
      <c r="A389" s="608">
        <v>45841</v>
      </c>
      <c r="B389" s="609"/>
      <c r="C389" s="610"/>
      <c r="D389" s="554" t="s">
        <v>1114</v>
      </c>
      <c r="E389" s="610"/>
      <c r="F389" s="548"/>
      <c r="G389" s="610" t="s">
        <v>6025</v>
      </c>
      <c r="H389" s="610" t="s">
        <v>6026</v>
      </c>
      <c r="I389" s="610" t="s">
        <v>6053</v>
      </c>
      <c r="J389" s="610"/>
      <c r="K389" s="610"/>
      <c r="L389" s="611"/>
      <c r="M389" s="612">
        <v>45852</v>
      </c>
      <c r="N389" s="612">
        <v>45848</v>
      </c>
      <c r="O389" s="613"/>
      <c r="P389" s="613"/>
      <c r="Q389" s="610"/>
      <c r="R389" s="614">
        <v>45841</v>
      </c>
      <c r="S389" s="614" t="s">
        <v>70</v>
      </c>
      <c r="T389" s="614" t="s">
        <v>70</v>
      </c>
      <c r="U389" s="614"/>
      <c r="V389" s="614"/>
      <c r="W389" s="615"/>
      <c r="X389" s="609" t="s">
        <v>7023</v>
      </c>
      <c r="Y389" s="609" t="s">
        <v>92</v>
      </c>
      <c r="Z389" s="609"/>
      <c r="AA389" s="616"/>
      <c r="AC389" s="617" t="s">
        <v>1116</v>
      </c>
      <c r="AD389" s="610" t="s">
        <v>73</v>
      </c>
      <c r="AE389" s="610" t="s">
        <v>73</v>
      </c>
      <c r="AF389" s="610"/>
      <c r="AG389" s="610"/>
      <c r="AH389" s="610"/>
      <c r="AI389" s="610">
        <v>20</v>
      </c>
      <c r="AJ389" s="610">
        <v>0</v>
      </c>
      <c r="AK389" s="610"/>
      <c r="AL389" s="610"/>
      <c r="AM389" s="610"/>
      <c r="AN389" s="610"/>
      <c r="AO389" s="554" t="str">
        <f>I389</f>
        <v>20套散件</v>
      </c>
      <c r="AR389" s="619"/>
      <c r="AS389" s="548"/>
      <c r="AT389" s="548"/>
      <c r="AU389" s="548"/>
      <c r="AV389" s="548"/>
      <c r="AW389" s="619"/>
      <c r="AX389" s="548"/>
      <c r="AY389" s="548"/>
      <c r="AZ389" s="548"/>
      <c r="BA389" s="548"/>
      <c r="BB389" s="620"/>
      <c r="BC389" s="548"/>
      <c r="BD389" s="548"/>
      <c r="BE389" s="548"/>
      <c r="BF389" s="548"/>
      <c r="BY389" s="619"/>
      <c r="BZ389" s="548"/>
      <c r="CA389" s="621"/>
      <c r="CB389" s="567"/>
      <c r="CC389" s="622"/>
      <c r="CD389" s="619"/>
      <c r="CE389" s="619"/>
      <c r="CF389" s="548"/>
      <c r="CG389" s="548"/>
      <c r="CU389" s="554">
        <f t="shared" ref="CU387:CU450" si="124">BQ389+BP389+BO389+BN389+BX389+BR389</f>
        <v>0</v>
      </c>
      <c r="CV389" s="554">
        <f t="shared" si="122"/>
        <v>0</v>
      </c>
      <c r="CW389" s="554">
        <f t="shared" si="123"/>
        <v>0</v>
      </c>
      <c r="CX389" s="619"/>
      <c r="CY389" s="619"/>
      <c r="CZ389" s="619"/>
      <c r="DA389" s="548"/>
      <c r="DB389" s="548"/>
      <c r="DC389" s="548"/>
      <c r="DD389" s="619"/>
      <c r="DE389" s="619"/>
      <c r="DF389" s="619"/>
      <c r="DG389" s="619"/>
      <c r="DH389" s="619"/>
    </row>
    <row r="390" s="548" customFormat="1" ht="31" customHeight="1" spans="1:112">
      <c r="A390" s="608">
        <v>45835</v>
      </c>
      <c r="B390" s="609"/>
      <c r="C390" s="610"/>
      <c r="D390" s="554" t="s">
        <v>7024</v>
      </c>
      <c r="E390" s="610"/>
      <c r="F390" s="548"/>
      <c r="G390" s="610" t="s">
        <v>6020</v>
      </c>
      <c r="H390" s="610" t="s">
        <v>6021</v>
      </c>
      <c r="I390" s="610" t="s">
        <v>7025</v>
      </c>
      <c r="J390" s="610"/>
      <c r="K390" s="610"/>
      <c r="L390" s="611"/>
      <c r="M390" s="612">
        <v>45847</v>
      </c>
      <c r="N390" s="612">
        <v>45843</v>
      </c>
      <c r="O390" s="613"/>
      <c r="P390" s="613"/>
      <c r="Q390" s="610"/>
      <c r="R390" s="614" t="s">
        <v>70</v>
      </c>
      <c r="S390" s="614" t="s">
        <v>70</v>
      </c>
      <c r="T390" s="614" t="s">
        <v>70</v>
      </c>
      <c r="U390" s="614"/>
      <c r="V390" s="614"/>
      <c r="W390" s="615"/>
      <c r="X390" s="609" t="s">
        <v>7026</v>
      </c>
      <c r="Y390" s="609" t="s">
        <v>92</v>
      </c>
      <c r="Z390" s="609"/>
      <c r="AA390" s="616"/>
      <c r="AC390" s="617" t="s">
        <v>7027</v>
      </c>
      <c r="AD390" s="610" t="s">
        <v>73</v>
      </c>
      <c r="AE390" s="610" t="s">
        <v>73</v>
      </c>
      <c r="AF390" s="610"/>
      <c r="AG390" s="610"/>
      <c r="AH390" s="610"/>
      <c r="AI390" s="610">
        <v>15</v>
      </c>
      <c r="AJ390" s="610"/>
      <c r="AK390" s="610"/>
      <c r="AL390" s="610"/>
      <c r="AM390" s="610"/>
      <c r="AN390" s="610"/>
      <c r="AO390" s="548"/>
      <c r="AP390" s="548"/>
      <c r="AQ390" s="548"/>
      <c r="AR390" s="619"/>
      <c r="AS390" s="548"/>
      <c r="AT390" s="548"/>
      <c r="AU390" s="548"/>
      <c r="AV390" s="548"/>
      <c r="AW390" s="619"/>
      <c r="AX390" s="548"/>
      <c r="AY390" s="548"/>
      <c r="AZ390" s="548"/>
      <c r="BA390" s="548"/>
      <c r="BB390" s="620"/>
      <c r="BC390" s="548"/>
      <c r="BD390" s="548"/>
      <c r="BE390" s="548"/>
      <c r="BF390" s="548"/>
      <c r="BY390" s="619"/>
      <c r="BZ390" s="548"/>
      <c r="CA390" s="621"/>
      <c r="CB390" s="567"/>
      <c r="CC390" s="622"/>
      <c r="CD390" s="619"/>
      <c r="CE390" s="619"/>
      <c r="CF390" s="548"/>
      <c r="CG390" s="548"/>
      <c r="CU390" s="554">
        <f t="shared" si="124"/>
        <v>0</v>
      </c>
      <c r="CV390" s="554">
        <f t="shared" si="122"/>
        <v>0</v>
      </c>
      <c r="CW390" s="554">
        <f t="shared" si="123"/>
        <v>0</v>
      </c>
      <c r="CX390" s="619"/>
      <c r="CY390" s="619"/>
      <c r="CZ390" s="619"/>
      <c r="DA390" s="548"/>
      <c r="DB390" s="548"/>
      <c r="DC390" s="548"/>
      <c r="DD390" s="619"/>
      <c r="DE390" s="619"/>
      <c r="DF390" s="619"/>
      <c r="DG390" s="619"/>
      <c r="DH390" s="619"/>
    </row>
    <row r="391" s="548" customFormat="1" ht="31" customHeight="1" spans="1:112">
      <c r="A391" s="608">
        <v>45813</v>
      </c>
      <c r="B391" s="609" t="s">
        <v>679</v>
      </c>
      <c r="C391" s="610" t="s">
        <v>411</v>
      </c>
      <c r="D391" s="554">
        <v>4500169038</v>
      </c>
      <c r="E391" s="613">
        <v>5200006977</v>
      </c>
      <c r="F391" s="554" t="s">
        <v>7028</v>
      </c>
      <c r="G391" s="610" t="s">
        <v>6120</v>
      </c>
      <c r="H391" s="610" t="s">
        <v>6094</v>
      </c>
      <c r="I391" s="610">
        <v>520</v>
      </c>
      <c r="J391" s="610">
        <v>0</v>
      </c>
      <c r="K391" s="610">
        <v>13</v>
      </c>
      <c r="L391" s="611">
        <f t="shared" ref="L390:L448" si="125">I391/K391</f>
        <v>40</v>
      </c>
      <c r="M391" s="612">
        <v>45859</v>
      </c>
      <c r="N391" s="612">
        <v>45859</v>
      </c>
      <c r="O391" s="613"/>
      <c r="P391" s="613" t="s">
        <v>113</v>
      </c>
      <c r="Q391" s="610"/>
      <c r="R391" s="614">
        <v>45813</v>
      </c>
      <c r="S391" s="614" t="s">
        <v>70</v>
      </c>
      <c r="T391" s="614" t="s">
        <v>6469</v>
      </c>
      <c r="U391" s="614"/>
      <c r="V391" s="614"/>
      <c r="W391" s="615"/>
      <c r="X391" s="609" t="s">
        <v>7029</v>
      </c>
      <c r="Y391" s="609" t="s">
        <v>415</v>
      </c>
      <c r="Z391" s="609">
        <v>0.9168</v>
      </c>
      <c r="AA391" s="616">
        <f>Z391*I391</f>
        <v>476.736</v>
      </c>
      <c r="AC391" s="632" t="s">
        <v>1159</v>
      </c>
      <c r="AD391" s="610" t="s">
        <v>6093</v>
      </c>
      <c r="AE391" s="610" t="s">
        <v>82</v>
      </c>
      <c r="AF391" s="610"/>
      <c r="AG391" s="610"/>
      <c r="AH391" s="610"/>
      <c r="AI391" s="610">
        <v>520</v>
      </c>
      <c r="AJ391" s="610">
        <f>AI391-I391</f>
        <v>0</v>
      </c>
      <c r="AK391" s="610"/>
      <c r="AL391" s="610"/>
      <c r="AM391" s="610"/>
      <c r="AN391" s="610"/>
      <c r="AO391" s="554">
        <f>I391</f>
        <v>520</v>
      </c>
      <c r="AR391" s="619"/>
      <c r="AS391" s="548"/>
      <c r="AT391" s="554">
        <f>I391</f>
        <v>520</v>
      </c>
      <c r="AV391" s="554">
        <f>I391</f>
        <v>520</v>
      </c>
      <c r="AW391" s="619"/>
      <c r="AX391" s="548"/>
      <c r="AY391" s="548"/>
      <c r="AZ391" s="548"/>
      <c r="BA391" s="548"/>
      <c r="BB391" s="620">
        <f>I391/24</f>
        <v>21.6666666666667</v>
      </c>
      <c r="BM391" s="554">
        <f>I391/13</f>
        <v>40</v>
      </c>
      <c r="BY391" s="619"/>
      <c r="BZ391" s="548"/>
      <c r="CA391" s="621"/>
      <c r="CB391" s="567"/>
      <c r="CC391" s="622"/>
      <c r="CD391" s="619"/>
      <c r="CE391" s="619"/>
      <c r="CF391" s="548"/>
      <c r="CG391" s="548"/>
      <c r="CU391" s="554">
        <f t="shared" si="124"/>
        <v>0</v>
      </c>
      <c r="CV391" s="554">
        <f t="shared" si="122"/>
        <v>0</v>
      </c>
      <c r="CW391" s="554">
        <f t="shared" si="123"/>
        <v>0</v>
      </c>
      <c r="CX391" s="619"/>
      <c r="CY391" s="619"/>
      <c r="CZ391" s="619"/>
      <c r="DA391" s="548"/>
      <c r="DB391" s="548"/>
      <c r="DC391" s="548"/>
      <c r="DD391" s="619"/>
      <c r="DE391" s="619"/>
      <c r="DF391" s="619"/>
      <c r="DG391" s="619"/>
      <c r="DH391" s="619"/>
    </row>
    <row r="392" s="548" customFormat="1" ht="31" customHeight="1" spans="1:112">
      <c r="A392" s="608">
        <v>45805</v>
      </c>
      <c r="B392" s="609" t="s">
        <v>1108</v>
      </c>
      <c r="C392" s="610" t="s">
        <v>411</v>
      </c>
      <c r="D392" s="554">
        <v>4500166748</v>
      </c>
      <c r="E392" s="610"/>
      <c r="F392" s="554" t="s">
        <v>1109</v>
      </c>
      <c r="G392" s="610" t="s">
        <v>6411</v>
      </c>
      <c r="H392" s="610" t="s">
        <v>509</v>
      </c>
      <c r="I392" s="610">
        <v>1800</v>
      </c>
      <c r="J392" s="610">
        <v>0</v>
      </c>
      <c r="K392" s="610">
        <v>90</v>
      </c>
      <c r="L392" s="611">
        <f t="shared" si="125"/>
        <v>20</v>
      </c>
      <c r="M392" s="612">
        <v>45841</v>
      </c>
      <c r="N392" s="612">
        <v>45841</v>
      </c>
      <c r="O392" s="613"/>
      <c r="P392" s="613" t="s">
        <v>113</v>
      </c>
      <c r="Q392" s="610"/>
      <c r="R392" s="614">
        <v>45806</v>
      </c>
      <c r="S392" s="614" t="s">
        <v>70</v>
      </c>
      <c r="T392" s="614">
        <v>45826</v>
      </c>
      <c r="U392" s="614"/>
      <c r="V392" s="614"/>
      <c r="W392" s="615"/>
      <c r="X392" s="628" t="s">
        <v>7030</v>
      </c>
      <c r="Y392" s="609" t="s">
        <v>445</v>
      </c>
      <c r="Z392" s="609">
        <v>0</v>
      </c>
      <c r="AA392" s="616">
        <v>0</v>
      </c>
      <c r="AC392" s="632" t="s">
        <v>1113</v>
      </c>
      <c r="AD392" s="618" t="s">
        <v>6411</v>
      </c>
      <c r="AE392" s="610" t="s">
        <v>82</v>
      </c>
      <c r="AF392" s="610"/>
      <c r="AG392" s="610"/>
      <c r="AH392" s="610"/>
      <c r="AI392" s="610">
        <v>1800</v>
      </c>
      <c r="AJ392" s="610">
        <v>0</v>
      </c>
      <c r="AK392" s="610"/>
      <c r="AL392" s="610"/>
      <c r="AM392" s="610"/>
      <c r="AN392" s="610"/>
      <c r="AO392" s="554">
        <f>I392</f>
        <v>1800</v>
      </c>
      <c r="AR392" s="619"/>
      <c r="AS392" s="548"/>
      <c r="AT392" s="554">
        <f>I392</f>
        <v>1800</v>
      </c>
      <c r="AV392" s="554">
        <f>I392</f>
        <v>1800</v>
      </c>
      <c r="AW392" s="619"/>
      <c r="AX392" s="548"/>
      <c r="AY392" s="548"/>
      <c r="AZ392" s="548"/>
      <c r="BA392" s="548"/>
      <c r="BB392" s="620">
        <f>I392/24</f>
        <v>75</v>
      </c>
      <c r="BY392" s="619"/>
      <c r="BZ392" s="548"/>
      <c r="CA392" s="621"/>
      <c r="CB392" s="567"/>
      <c r="CC392" s="622"/>
      <c r="CD392" s="619"/>
      <c r="CE392" s="619"/>
      <c r="CF392" s="548"/>
      <c r="CG392" s="548"/>
      <c r="CJ392" s="554">
        <f>L392</f>
        <v>20</v>
      </c>
      <c r="CU392" s="554">
        <f t="shared" si="124"/>
        <v>0</v>
      </c>
      <c r="CV392" s="554">
        <f t="shared" si="122"/>
        <v>0</v>
      </c>
      <c r="CW392" s="554">
        <f t="shared" si="123"/>
        <v>20</v>
      </c>
      <c r="CX392" s="619"/>
      <c r="CY392" s="619"/>
      <c r="CZ392" s="619"/>
      <c r="DA392" s="548"/>
      <c r="DB392" s="548"/>
      <c r="DC392" s="548"/>
      <c r="DD392" s="619"/>
      <c r="DE392" s="619"/>
      <c r="DF392" s="619"/>
      <c r="DG392" s="619"/>
      <c r="DH392" s="619"/>
    </row>
    <row r="393" s="548" customFormat="1" ht="31" customHeight="1" spans="1:112">
      <c r="A393" s="608">
        <v>45814</v>
      </c>
      <c r="B393" s="609" t="s">
        <v>7031</v>
      </c>
      <c r="C393" s="610" t="s">
        <v>170</v>
      </c>
      <c r="D393" s="554">
        <v>4500169209</v>
      </c>
      <c r="E393" s="610" t="s">
        <v>7032</v>
      </c>
      <c r="F393" s="554" t="s">
        <v>7033</v>
      </c>
      <c r="G393" s="610" t="s">
        <v>7034</v>
      </c>
      <c r="H393" s="610" t="s">
        <v>6080</v>
      </c>
      <c r="I393" s="610">
        <v>3000</v>
      </c>
      <c r="J393" s="610">
        <v>0</v>
      </c>
      <c r="K393" s="610">
        <v>30</v>
      </c>
      <c r="L393" s="611">
        <f t="shared" si="125"/>
        <v>100</v>
      </c>
      <c r="M393" s="612">
        <v>45854</v>
      </c>
      <c r="N393" s="612">
        <v>45850</v>
      </c>
      <c r="O393" s="613" t="s">
        <v>7035</v>
      </c>
      <c r="P393" s="613" t="s">
        <v>113</v>
      </c>
      <c r="Q393" s="610"/>
      <c r="R393" s="614">
        <v>45825</v>
      </c>
      <c r="S393" s="614" t="s">
        <v>70</v>
      </c>
      <c r="T393" s="614" t="s">
        <v>70</v>
      </c>
      <c r="U393" s="614"/>
      <c r="V393" s="614"/>
      <c r="W393" s="615"/>
      <c r="X393" s="609" t="s">
        <v>7036</v>
      </c>
      <c r="Y393" s="609" t="s">
        <v>1318</v>
      </c>
      <c r="Z393" s="609">
        <v>40.9667</v>
      </c>
      <c r="AA393" s="616">
        <f>Z393*L393</f>
        <v>4096.67</v>
      </c>
      <c r="AC393" s="617" t="s">
        <v>7037</v>
      </c>
      <c r="AD393" s="610" t="s">
        <v>7034</v>
      </c>
      <c r="AE393" s="610" t="s">
        <v>82</v>
      </c>
      <c r="AF393" s="610"/>
      <c r="AG393" s="610"/>
      <c r="AH393" s="610"/>
      <c r="AI393" s="610">
        <v>3000</v>
      </c>
      <c r="AJ393" s="610">
        <v>0</v>
      </c>
      <c r="AK393" s="610"/>
      <c r="AL393" s="610"/>
      <c r="AM393" s="610"/>
      <c r="AN393" s="610">
        <f>I393</f>
        <v>3000</v>
      </c>
      <c r="AR393" s="619"/>
      <c r="AS393" s="554">
        <f>I393</f>
        <v>3000</v>
      </c>
      <c r="AU393" s="554">
        <f>I393</f>
        <v>3000</v>
      </c>
      <c r="AW393" s="619"/>
      <c r="AX393" s="548"/>
      <c r="AY393" s="548"/>
      <c r="AZ393" s="548"/>
      <c r="BA393" s="548"/>
      <c r="BB393" s="620">
        <f>I393/24</f>
        <v>125</v>
      </c>
      <c r="BY393" s="619"/>
      <c r="BZ393" s="548"/>
      <c r="CA393" s="621"/>
      <c r="CB393" s="567"/>
      <c r="CC393" s="622"/>
      <c r="CD393" s="619"/>
      <c r="CE393" s="619"/>
      <c r="CF393" s="548"/>
      <c r="CG393" s="548"/>
      <c r="CO393" s="548">
        <f>I393/30</f>
        <v>100</v>
      </c>
      <c r="CP393" s="554"/>
      <c r="CU393" s="554">
        <f t="shared" si="124"/>
        <v>0</v>
      </c>
      <c r="CV393" s="554">
        <f t="shared" si="122"/>
        <v>100</v>
      </c>
      <c r="CW393" s="554">
        <f t="shared" si="123"/>
        <v>0</v>
      </c>
      <c r="CX393" s="619"/>
      <c r="CY393" s="619"/>
      <c r="CZ393" s="619"/>
      <c r="DA393" s="548"/>
      <c r="DB393" s="548"/>
      <c r="DC393" s="548"/>
      <c r="DD393" s="619"/>
      <c r="DE393" s="619"/>
      <c r="DF393" s="619"/>
      <c r="DG393" s="619"/>
      <c r="DH393" s="619"/>
    </row>
    <row r="394" s="548" customFormat="1" ht="31" customHeight="1" spans="1:112">
      <c r="A394" s="608">
        <v>45741</v>
      </c>
      <c r="B394" s="609" t="s">
        <v>907</v>
      </c>
      <c r="C394" s="610" t="s">
        <v>170</v>
      </c>
      <c r="D394" s="554">
        <v>4500161405</v>
      </c>
      <c r="E394" s="613">
        <v>5710423113</v>
      </c>
      <c r="F394" s="554" t="s">
        <v>1206</v>
      </c>
      <c r="G394" s="610" t="s">
        <v>909</v>
      </c>
      <c r="H394" s="610" t="s">
        <v>830</v>
      </c>
      <c r="I394" s="610">
        <v>72</v>
      </c>
      <c r="J394" s="610">
        <v>0</v>
      </c>
      <c r="K394" s="610">
        <v>1</v>
      </c>
      <c r="L394" s="611">
        <f t="shared" si="125"/>
        <v>72</v>
      </c>
      <c r="M394" s="612">
        <v>45854</v>
      </c>
      <c r="N394" s="612">
        <f>M394-4</f>
        <v>45850</v>
      </c>
      <c r="O394" s="613"/>
      <c r="P394" s="613" t="s">
        <v>113</v>
      </c>
      <c r="Q394" s="610"/>
      <c r="R394" s="614">
        <v>45790</v>
      </c>
      <c r="S394" s="614" t="s">
        <v>70</v>
      </c>
      <c r="T394" s="614" t="s">
        <v>70</v>
      </c>
      <c r="U394" s="614"/>
      <c r="V394" s="614"/>
      <c r="W394" s="615"/>
      <c r="X394" s="609" t="s">
        <v>910</v>
      </c>
      <c r="Y394" s="609" t="s">
        <v>911</v>
      </c>
      <c r="Z394" s="609">
        <v>0</v>
      </c>
      <c r="AA394" s="616">
        <f>Z394*L394</f>
        <v>0</v>
      </c>
      <c r="AC394" s="617" t="s">
        <v>1207</v>
      </c>
      <c r="AD394" s="610" t="s">
        <v>909</v>
      </c>
      <c r="AE394" s="610" t="s">
        <v>82</v>
      </c>
      <c r="AF394" s="610"/>
      <c r="AG394" s="610"/>
      <c r="AH394" s="610"/>
      <c r="AI394" s="610">
        <v>0</v>
      </c>
      <c r="AJ394" s="610">
        <v>0</v>
      </c>
      <c r="AK394" s="610"/>
      <c r="AL394" s="610"/>
      <c r="AM394" s="610"/>
      <c r="AN394" s="610"/>
      <c r="AO394" s="548"/>
      <c r="AP394" s="548"/>
      <c r="AQ394" s="548"/>
      <c r="AR394" s="619"/>
      <c r="AS394" s="548"/>
      <c r="AT394" s="548"/>
      <c r="AU394" s="548"/>
      <c r="AV394" s="548"/>
      <c r="AW394" s="619"/>
      <c r="AX394" s="548"/>
      <c r="AY394" s="548"/>
      <c r="AZ394" s="548"/>
      <c r="BA394" s="548"/>
      <c r="BB394" s="620"/>
      <c r="BC394" s="548"/>
      <c r="BD394" s="548"/>
      <c r="BE394" s="548"/>
      <c r="BF394" s="548"/>
      <c r="BY394" s="619"/>
      <c r="BZ394" s="548"/>
      <c r="CA394" s="621"/>
      <c r="CB394" s="567"/>
      <c r="CC394" s="622"/>
      <c r="CD394" s="619"/>
      <c r="CE394" s="619"/>
      <c r="CF394" s="548"/>
      <c r="CG394" s="548"/>
      <c r="CU394" s="554">
        <f t="shared" si="124"/>
        <v>0</v>
      </c>
      <c r="CV394" s="554">
        <f t="shared" si="122"/>
        <v>0</v>
      </c>
      <c r="CW394" s="554">
        <f t="shared" si="123"/>
        <v>0</v>
      </c>
      <c r="CX394" s="619"/>
      <c r="CY394" s="619"/>
      <c r="CZ394" s="619"/>
      <c r="DA394" s="548"/>
      <c r="DB394" s="548"/>
      <c r="DC394" s="548"/>
      <c r="DD394" s="619"/>
      <c r="DE394" s="619"/>
      <c r="DF394" s="619"/>
      <c r="DG394" s="619"/>
      <c r="DH394" s="619"/>
    </row>
    <row r="395" s="548" customFormat="1" ht="31" customHeight="1" spans="1:112">
      <c r="A395" s="608">
        <v>45741</v>
      </c>
      <c r="B395" s="609" t="s">
        <v>907</v>
      </c>
      <c r="C395" s="610" t="s">
        <v>170</v>
      </c>
      <c r="D395" s="554">
        <v>4500161405</v>
      </c>
      <c r="E395" s="613">
        <v>5710423113</v>
      </c>
      <c r="F395" s="554" t="s">
        <v>1206</v>
      </c>
      <c r="G395" s="610">
        <v>77711</v>
      </c>
      <c r="H395" s="610" t="s">
        <v>6033</v>
      </c>
      <c r="I395" s="610">
        <v>5400</v>
      </c>
      <c r="J395" s="610">
        <v>0</v>
      </c>
      <c r="K395" s="610">
        <v>75</v>
      </c>
      <c r="L395" s="611">
        <f t="shared" si="125"/>
        <v>72</v>
      </c>
      <c r="M395" s="612">
        <v>45854</v>
      </c>
      <c r="N395" s="612">
        <f>M395-4</f>
        <v>45850</v>
      </c>
      <c r="O395" s="613"/>
      <c r="P395" s="613" t="s">
        <v>113</v>
      </c>
      <c r="Q395" s="610"/>
      <c r="R395" s="614">
        <v>45790</v>
      </c>
      <c r="S395" s="614" t="s">
        <v>70</v>
      </c>
      <c r="T395" s="614" t="s">
        <v>70</v>
      </c>
      <c r="U395" s="614"/>
      <c r="V395" s="614"/>
      <c r="W395" s="615"/>
      <c r="X395" s="609" t="s">
        <v>910</v>
      </c>
      <c r="Y395" s="609" t="s">
        <v>911</v>
      </c>
      <c r="Z395" s="609">
        <v>762.5</v>
      </c>
      <c r="AA395" s="616">
        <f>Z395*L395</f>
        <v>54900</v>
      </c>
      <c r="AC395" s="630" t="s">
        <v>1208</v>
      </c>
      <c r="AD395" s="610" t="s">
        <v>909</v>
      </c>
      <c r="AE395" s="610" t="s">
        <v>82</v>
      </c>
      <c r="AF395" s="610"/>
      <c r="AG395" s="610"/>
      <c r="AH395" s="610"/>
      <c r="AI395" s="610">
        <v>0</v>
      </c>
      <c r="AJ395" s="610">
        <v>0</v>
      </c>
      <c r="AK395" s="610"/>
      <c r="AL395" s="610"/>
      <c r="AM395" s="610"/>
      <c r="AN395" s="610">
        <f>I395*3</f>
        <v>16200</v>
      </c>
      <c r="AR395" s="619"/>
      <c r="AS395" s="548"/>
      <c r="AT395" s="548"/>
      <c r="AU395" s="548"/>
      <c r="AV395" s="548"/>
      <c r="AW395" s="619"/>
      <c r="AX395" s="548"/>
      <c r="AY395" s="548"/>
      <c r="AZ395" s="548"/>
      <c r="BA395" s="548"/>
      <c r="BB395" s="620">
        <f>I395/24*3</f>
        <v>675</v>
      </c>
      <c r="BF395" s="554">
        <f>I395*3</f>
        <v>16200</v>
      </c>
      <c r="BH395" s="554">
        <f>I395*3</f>
        <v>16200</v>
      </c>
      <c r="BI395" s="554">
        <f>I395</f>
        <v>5400</v>
      </c>
      <c r="BJ395" s="554">
        <f>I395/5</f>
        <v>1080</v>
      </c>
      <c r="BY395" s="619"/>
      <c r="BZ395" s="548"/>
      <c r="CA395" s="621"/>
      <c r="CB395" s="567"/>
      <c r="CC395" s="622"/>
      <c r="CD395" s="619"/>
      <c r="CE395" s="619"/>
      <c r="CF395" s="548"/>
      <c r="CG395" s="548"/>
      <c r="CU395" s="554">
        <f t="shared" si="124"/>
        <v>0</v>
      </c>
      <c r="CV395" s="554">
        <f t="shared" si="122"/>
        <v>0</v>
      </c>
      <c r="CW395" s="554">
        <f t="shared" si="123"/>
        <v>0</v>
      </c>
      <c r="CX395" s="619"/>
      <c r="CY395" s="619"/>
      <c r="CZ395" s="619"/>
      <c r="DA395" s="548"/>
      <c r="DB395" s="548"/>
      <c r="DC395" s="548"/>
      <c r="DD395" s="619"/>
      <c r="DE395" s="619"/>
      <c r="DF395" s="619"/>
      <c r="DG395" s="619"/>
      <c r="DH395" s="619"/>
    </row>
    <row r="396" s="548" customFormat="1" ht="31" customHeight="1" spans="1:112">
      <c r="A396" s="608">
        <v>45789</v>
      </c>
      <c r="B396" s="609" t="s">
        <v>6431</v>
      </c>
      <c r="C396" s="610" t="s">
        <v>98</v>
      </c>
      <c r="D396" s="554">
        <v>4500164072</v>
      </c>
      <c r="E396" s="610" t="s">
        <v>7038</v>
      </c>
      <c r="F396" s="554" t="s">
        <v>7039</v>
      </c>
      <c r="G396" s="610" t="s">
        <v>6423</v>
      </c>
      <c r="H396" s="610" t="s">
        <v>6424</v>
      </c>
      <c r="I396" s="610">
        <v>34992</v>
      </c>
      <c r="J396" s="610">
        <v>0</v>
      </c>
      <c r="K396" s="610">
        <v>48</v>
      </c>
      <c r="L396" s="611">
        <f t="shared" si="125"/>
        <v>729</v>
      </c>
      <c r="M396" s="612">
        <v>45866</v>
      </c>
      <c r="N396" s="612">
        <v>45862</v>
      </c>
      <c r="O396" s="613" t="s">
        <v>7040</v>
      </c>
      <c r="P396" s="613" t="s">
        <v>113</v>
      </c>
      <c r="Q396" s="610"/>
      <c r="R396" s="614" t="s">
        <v>6861</v>
      </c>
      <c r="S396" s="614" t="s">
        <v>70</v>
      </c>
      <c r="T396" s="614" t="s">
        <v>70</v>
      </c>
      <c r="U396" s="614"/>
      <c r="V396" s="614" t="s">
        <v>6862</v>
      </c>
      <c r="W396" s="615"/>
      <c r="X396" s="609" t="s">
        <v>7041</v>
      </c>
      <c r="Y396" s="609" t="s">
        <v>1723</v>
      </c>
      <c r="Z396" s="609">
        <v>0.97</v>
      </c>
      <c r="AA396" s="616">
        <f>I396*Z396</f>
        <v>33942.24</v>
      </c>
      <c r="AC396" s="617" t="s">
        <v>7042</v>
      </c>
      <c r="AD396" s="610" t="s">
        <v>6423</v>
      </c>
      <c r="AE396" s="610" t="s">
        <v>82</v>
      </c>
      <c r="AF396" s="610"/>
      <c r="AG396" s="610"/>
      <c r="AH396" s="610"/>
      <c r="AI396" s="610">
        <f>19200+15792</f>
        <v>34992</v>
      </c>
      <c r="AJ396" s="610">
        <f t="shared" ref="AJ393:AJ433" si="126">AI396-I396</f>
        <v>0</v>
      </c>
      <c r="AK396" s="610"/>
      <c r="AL396" s="610"/>
      <c r="AM396" s="610"/>
      <c r="AN396" s="610">
        <f>I396</f>
        <v>34992</v>
      </c>
      <c r="AR396" s="619"/>
      <c r="AS396" s="548"/>
      <c r="AT396" s="548"/>
      <c r="AU396" s="554">
        <f>I396</f>
        <v>34992</v>
      </c>
      <c r="AW396" s="619"/>
      <c r="AX396" s="548"/>
      <c r="AY396" s="548"/>
      <c r="AZ396" s="548"/>
      <c r="BA396" s="548"/>
      <c r="BB396" s="620">
        <f>I396/24*2</f>
        <v>2916</v>
      </c>
      <c r="BC396" s="554">
        <f>I396</f>
        <v>34992</v>
      </c>
      <c r="BS396" s="554">
        <f>I396/8</f>
        <v>4374</v>
      </c>
      <c r="BY396" s="619"/>
      <c r="BZ396" s="548"/>
      <c r="CA396" s="621"/>
      <c r="CB396" s="567"/>
      <c r="CC396" s="622"/>
      <c r="CD396" s="619"/>
      <c r="CE396" s="619"/>
      <c r="CF396" s="548"/>
      <c r="CG396" s="548"/>
      <c r="CU396" s="554">
        <f t="shared" si="124"/>
        <v>0</v>
      </c>
      <c r="CV396" s="554">
        <f t="shared" si="122"/>
        <v>0</v>
      </c>
      <c r="CW396" s="554">
        <f t="shared" si="123"/>
        <v>0</v>
      </c>
      <c r="CX396" s="619"/>
      <c r="CY396" s="619"/>
      <c r="CZ396" s="619"/>
      <c r="DA396" s="548"/>
      <c r="DB396" s="548"/>
      <c r="DC396" s="548"/>
      <c r="DD396" s="619"/>
      <c r="DE396" s="619"/>
      <c r="DF396" s="619"/>
      <c r="DG396" s="619"/>
      <c r="DH396" s="619"/>
    </row>
    <row r="397" s="548" customFormat="1" ht="31" customHeight="1" spans="1:112">
      <c r="A397" s="608">
        <v>45754</v>
      </c>
      <c r="B397" s="609" t="s">
        <v>7043</v>
      </c>
      <c r="C397" s="610" t="s">
        <v>278</v>
      </c>
      <c r="D397" s="554">
        <v>4500162761</v>
      </c>
      <c r="E397" s="610">
        <v>2950866795</v>
      </c>
      <c r="F397" s="554" t="s">
        <v>7044</v>
      </c>
      <c r="G397" s="610" t="s">
        <v>7045</v>
      </c>
      <c r="H397" s="610" t="s">
        <v>7046</v>
      </c>
      <c r="I397" s="610">
        <v>3900</v>
      </c>
      <c r="J397" s="610">
        <v>0</v>
      </c>
      <c r="K397" s="610">
        <v>975</v>
      </c>
      <c r="L397" s="611">
        <f t="shared" si="125"/>
        <v>4</v>
      </c>
      <c r="M397" s="612">
        <v>45866</v>
      </c>
      <c r="N397" s="612">
        <v>45862</v>
      </c>
      <c r="O397" s="613"/>
      <c r="P397" s="613" t="s">
        <v>113</v>
      </c>
      <c r="Q397" s="610"/>
      <c r="R397" s="614">
        <v>45811</v>
      </c>
      <c r="S397" s="614" t="s">
        <v>70</v>
      </c>
      <c r="T397" s="614" t="s">
        <v>70</v>
      </c>
      <c r="U397" s="614"/>
      <c r="V397" s="614"/>
      <c r="W397" s="615"/>
      <c r="X397" s="628" t="s">
        <v>7047</v>
      </c>
      <c r="Y397" s="609" t="s">
        <v>283</v>
      </c>
      <c r="Z397" s="609">
        <v>933.32</v>
      </c>
      <c r="AA397" s="616">
        <f>Z397*L397</f>
        <v>3733.28</v>
      </c>
      <c r="AC397" s="629" t="s">
        <v>7048</v>
      </c>
      <c r="AD397" s="610" t="s">
        <v>7045</v>
      </c>
      <c r="AE397" s="610" t="s">
        <v>82</v>
      </c>
      <c r="AF397" s="610"/>
      <c r="AG397" s="610" t="s">
        <v>74</v>
      </c>
      <c r="AH397" s="610"/>
      <c r="AI397" s="610">
        <v>3900</v>
      </c>
      <c r="AJ397" s="610">
        <f t="shared" si="126"/>
        <v>0</v>
      </c>
      <c r="AK397" s="610"/>
      <c r="AL397" s="610"/>
      <c r="AM397" s="610"/>
      <c r="AN397" s="610"/>
      <c r="AO397" s="554">
        <f>I397</f>
        <v>3900</v>
      </c>
      <c r="AP397" s="554">
        <f>I397</f>
        <v>3900</v>
      </c>
      <c r="AR397" s="619"/>
      <c r="AS397" s="548"/>
      <c r="AT397" s="548"/>
      <c r="AU397" s="548"/>
      <c r="AV397" s="554">
        <f>I397</f>
        <v>3900</v>
      </c>
      <c r="AW397" s="619"/>
      <c r="AX397" s="548"/>
      <c r="AY397" s="548"/>
      <c r="AZ397" s="548"/>
      <c r="BA397" s="548"/>
      <c r="BB397" s="620">
        <f>I397/24*2</f>
        <v>325</v>
      </c>
      <c r="BM397" s="554">
        <f>I397/13</f>
        <v>300</v>
      </c>
      <c r="BY397" s="619"/>
      <c r="BZ397" s="548"/>
      <c r="CA397" s="621"/>
      <c r="CB397" s="567"/>
      <c r="CC397" s="622"/>
      <c r="CD397" s="619"/>
      <c r="CE397" s="619"/>
      <c r="CF397" s="548"/>
      <c r="CG397" s="548"/>
      <c r="CU397" s="554">
        <f t="shared" si="124"/>
        <v>0</v>
      </c>
      <c r="CV397" s="554">
        <f t="shared" si="122"/>
        <v>0</v>
      </c>
      <c r="CW397" s="554">
        <f t="shared" si="123"/>
        <v>0</v>
      </c>
      <c r="CX397" s="619"/>
      <c r="CY397" s="619"/>
      <c r="CZ397" s="619"/>
      <c r="DA397" s="548"/>
      <c r="DB397" s="548"/>
      <c r="DC397" s="548"/>
      <c r="DD397" s="619"/>
      <c r="DE397" s="619"/>
      <c r="DF397" s="619"/>
      <c r="DG397" s="619"/>
      <c r="DH397" s="619"/>
    </row>
    <row r="398" s="548" customFormat="1" ht="31" customHeight="1" spans="1:112">
      <c r="A398" s="608">
        <v>45825</v>
      </c>
      <c r="B398" s="609" t="s">
        <v>871</v>
      </c>
      <c r="C398" s="610" t="s">
        <v>98</v>
      </c>
      <c r="D398" s="554">
        <v>4500170270</v>
      </c>
      <c r="E398" s="610" t="s">
        <v>1260</v>
      </c>
      <c r="F398" s="554" t="s">
        <v>7049</v>
      </c>
      <c r="G398" s="610" t="s">
        <v>6084</v>
      </c>
      <c r="H398" s="610" t="s">
        <v>6069</v>
      </c>
      <c r="I398" s="610">
        <v>5275</v>
      </c>
      <c r="J398" s="610">
        <v>0</v>
      </c>
      <c r="K398" s="610">
        <v>25</v>
      </c>
      <c r="L398" s="611">
        <f t="shared" si="125"/>
        <v>211</v>
      </c>
      <c r="M398" s="612">
        <v>45869</v>
      </c>
      <c r="N398" s="612">
        <v>45866</v>
      </c>
      <c r="O398" s="613"/>
      <c r="P398" s="613" t="s">
        <v>113</v>
      </c>
      <c r="Q398" s="610"/>
      <c r="R398" s="614">
        <v>45825</v>
      </c>
      <c r="S398" s="614" t="s">
        <v>70</v>
      </c>
      <c r="T398" s="614" t="s">
        <v>70</v>
      </c>
      <c r="U398" s="614"/>
      <c r="V398" s="614"/>
      <c r="W398" s="615"/>
      <c r="X398" s="609" t="s">
        <v>1262</v>
      </c>
      <c r="Y398" s="609" t="s">
        <v>355</v>
      </c>
      <c r="Z398" s="609">
        <v>0.5677</v>
      </c>
      <c r="AA398" s="616">
        <f t="shared" ref="AA398:AA433" si="127">Z398*I398</f>
        <v>2994.6175</v>
      </c>
      <c r="AC398" s="617" t="s">
        <v>1263</v>
      </c>
      <c r="AD398" s="610" t="s">
        <v>6084</v>
      </c>
      <c r="AE398" s="610" t="s">
        <v>82</v>
      </c>
      <c r="AF398" s="610"/>
      <c r="AG398" s="610"/>
      <c r="AH398" s="610"/>
      <c r="AI398" s="610">
        <v>5275</v>
      </c>
      <c r="AJ398" s="610">
        <f t="shared" si="126"/>
        <v>0</v>
      </c>
      <c r="AK398" s="610"/>
      <c r="AL398" s="610"/>
      <c r="AM398" s="610"/>
      <c r="AN398" s="610">
        <f>I398</f>
        <v>5275</v>
      </c>
      <c r="AP398" s="554">
        <f>I398</f>
        <v>5275</v>
      </c>
      <c r="AR398" s="619"/>
      <c r="AS398" s="548"/>
      <c r="AT398" s="548"/>
      <c r="AU398" s="554">
        <f>I398</f>
        <v>5275</v>
      </c>
      <c r="AW398" s="619"/>
      <c r="AX398" s="548"/>
      <c r="AY398" s="548"/>
      <c r="AZ398" s="548"/>
      <c r="BA398" s="548"/>
      <c r="BB398" s="620">
        <f>I398/48</f>
        <v>109.895833333333</v>
      </c>
      <c r="BN398" s="554">
        <f>I398/25</f>
        <v>211</v>
      </c>
      <c r="BY398" s="619"/>
      <c r="BZ398" s="548"/>
      <c r="CA398" s="621"/>
      <c r="CB398" s="567"/>
      <c r="CC398" s="622"/>
      <c r="CD398" s="619"/>
      <c r="CE398" s="619"/>
      <c r="CF398" s="548"/>
      <c r="CG398" s="548"/>
      <c r="CU398" s="554">
        <f t="shared" si="124"/>
        <v>211</v>
      </c>
      <c r="CV398" s="554">
        <f t="shared" si="122"/>
        <v>0</v>
      </c>
      <c r="CW398" s="554">
        <f t="shared" si="123"/>
        <v>0</v>
      </c>
      <c r="CX398" s="619"/>
      <c r="CY398" s="619"/>
      <c r="CZ398" s="619"/>
      <c r="DA398" s="548"/>
      <c r="DB398" s="548"/>
      <c r="DC398" s="548"/>
      <c r="DD398" s="619"/>
      <c r="DE398" s="619"/>
      <c r="DF398" s="619"/>
      <c r="DG398" s="619"/>
      <c r="DH398" s="619"/>
    </row>
    <row r="399" s="548" customFormat="1" ht="31" customHeight="1" spans="1:112">
      <c r="A399" s="608">
        <v>45831</v>
      </c>
      <c r="B399" s="609" t="s">
        <v>1239</v>
      </c>
      <c r="C399" s="610"/>
      <c r="D399" s="554" t="s">
        <v>1240</v>
      </c>
      <c r="E399" s="610"/>
      <c r="F399" s="548"/>
      <c r="G399" s="610" t="s">
        <v>6040</v>
      </c>
      <c r="H399" s="610" t="s">
        <v>6041</v>
      </c>
      <c r="I399" s="610">
        <v>4602</v>
      </c>
      <c r="J399" s="610">
        <v>0</v>
      </c>
      <c r="K399" s="610">
        <v>52</v>
      </c>
      <c r="L399" s="611">
        <f t="shared" si="125"/>
        <v>88.5</v>
      </c>
      <c r="M399" s="612">
        <v>45832</v>
      </c>
      <c r="N399" s="612">
        <v>45828</v>
      </c>
      <c r="O399" s="613"/>
      <c r="P399" s="613" t="s">
        <v>113</v>
      </c>
      <c r="Q399" s="610" t="s">
        <v>7050</v>
      </c>
      <c r="R399" s="614" t="s">
        <v>1242</v>
      </c>
      <c r="S399" s="614" t="s">
        <v>70</v>
      </c>
      <c r="T399" s="614" t="s">
        <v>70</v>
      </c>
      <c r="U399" s="614"/>
      <c r="V399" s="614"/>
      <c r="W399" s="615"/>
      <c r="X399" s="609" t="s">
        <v>7051</v>
      </c>
      <c r="Y399" s="609" t="s">
        <v>970</v>
      </c>
      <c r="Z399" s="609">
        <v>0.87</v>
      </c>
      <c r="AA399" s="616">
        <f t="shared" si="127"/>
        <v>4003.74</v>
      </c>
      <c r="AC399" s="617" t="s">
        <v>1244</v>
      </c>
      <c r="AD399" s="610" t="s">
        <v>6040</v>
      </c>
      <c r="AE399" s="610" t="s">
        <v>82</v>
      </c>
      <c r="AF399" s="610"/>
      <c r="AG399" s="610"/>
      <c r="AH399" s="610"/>
      <c r="AI399" s="610">
        <v>4602</v>
      </c>
      <c r="AJ399" s="610">
        <f t="shared" si="126"/>
        <v>0</v>
      </c>
      <c r="AK399" s="610"/>
      <c r="AL399" s="610"/>
      <c r="AM399" s="610"/>
      <c r="AN399" s="610"/>
      <c r="AO399" s="554">
        <f>I399</f>
        <v>4602</v>
      </c>
      <c r="AR399" s="619"/>
      <c r="AS399" s="548"/>
      <c r="AT399" s="554">
        <f>I399</f>
        <v>4602</v>
      </c>
      <c r="AV399" s="554">
        <f>I399</f>
        <v>4602</v>
      </c>
      <c r="AW399" s="619"/>
      <c r="AX399" s="548"/>
      <c r="AY399" s="548"/>
      <c r="AZ399" s="548"/>
      <c r="BA399" s="548"/>
      <c r="BB399" s="620">
        <f>I399/24</f>
        <v>191.75</v>
      </c>
      <c r="BM399" s="554">
        <f>I399/13</f>
        <v>354</v>
      </c>
      <c r="BY399" s="619"/>
      <c r="BZ399" s="548"/>
      <c r="CA399" s="621"/>
      <c r="CB399" s="567"/>
      <c r="CC399" s="622"/>
      <c r="CD399" s="619"/>
      <c r="CE399" s="619"/>
      <c r="CF399" s="548"/>
      <c r="CG399" s="548"/>
      <c r="CU399" s="554">
        <f t="shared" si="124"/>
        <v>0</v>
      </c>
      <c r="CV399" s="554">
        <f t="shared" si="122"/>
        <v>0</v>
      </c>
      <c r="CW399" s="554">
        <f t="shared" si="123"/>
        <v>0</v>
      </c>
      <c r="CX399" s="619"/>
      <c r="CY399" s="619"/>
      <c r="CZ399" s="619"/>
      <c r="DA399" s="548"/>
      <c r="DB399" s="548"/>
      <c r="DC399" s="548"/>
      <c r="DD399" s="619"/>
      <c r="DE399" s="619"/>
      <c r="DF399" s="619"/>
      <c r="DG399" s="619"/>
      <c r="DH399" s="619"/>
    </row>
    <row r="400" s="548" customFormat="1" ht="31" customHeight="1" spans="1:112">
      <c r="A400" s="608">
        <v>45831</v>
      </c>
      <c r="B400" s="609" t="s">
        <v>139</v>
      </c>
      <c r="C400" s="610" t="s">
        <v>76</v>
      </c>
      <c r="D400" s="554">
        <v>4500170978</v>
      </c>
      <c r="E400" s="610">
        <v>20935535</v>
      </c>
      <c r="F400" s="554" t="s">
        <v>7052</v>
      </c>
      <c r="G400" s="610" t="s">
        <v>6093</v>
      </c>
      <c r="H400" s="610" t="s">
        <v>6094</v>
      </c>
      <c r="I400" s="610">
        <v>91</v>
      </c>
      <c r="J400" s="610">
        <v>0</v>
      </c>
      <c r="K400" s="610">
        <v>13</v>
      </c>
      <c r="L400" s="611">
        <f t="shared" si="125"/>
        <v>7</v>
      </c>
      <c r="M400" s="612">
        <v>45873</v>
      </c>
      <c r="N400" s="612">
        <f t="shared" ref="N400:N405" si="128">M400-4</f>
        <v>45869</v>
      </c>
      <c r="O400" s="613"/>
      <c r="P400" s="613" t="s">
        <v>113</v>
      </c>
      <c r="Q400" s="610"/>
      <c r="R400" s="614">
        <v>45828</v>
      </c>
      <c r="S400" s="614" t="s">
        <v>104</v>
      </c>
      <c r="T400" s="614">
        <v>45852</v>
      </c>
      <c r="U400" s="614"/>
      <c r="V400" s="614"/>
      <c r="W400" s="615"/>
      <c r="X400" s="609" t="s">
        <v>6721</v>
      </c>
      <c r="Y400" s="609" t="s">
        <v>133</v>
      </c>
      <c r="Z400" s="609">
        <v>0.9526</v>
      </c>
      <c r="AA400" s="616">
        <f t="shared" si="127"/>
        <v>86.6866</v>
      </c>
      <c r="AC400" s="629" t="s">
        <v>7053</v>
      </c>
      <c r="AD400" s="610" t="s">
        <v>6093</v>
      </c>
      <c r="AE400" s="610" t="s">
        <v>82</v>
      </c>
      <c r="AF400" s="610"/>
      <c r="AG400" s="610"/>
      <c r="AH400" s="610"/>
      <c r="AI400" s="610">
        <v>91</v>
      </c>
      <c r="AJ400" s="610">
        <f t="shared" si="126"/>
        <v>0</v>
      </c>
      <c r="AK400" s="610"/>
      <c r="AL400" s="610"/>
      <c r="AM400" s="610"/>
      <c r="AN400" s="610"/>
      <c r="AO400" s="554">
        <f>I400</f>
        <v>91</v>
      </c>
      <c r="AR400" s="619"/>
      <c r="AS400" s="548"/>
      <c r="AT400" s="554">
        <f>I400</f>
        <v>91</v>
      </c>
      <c r="AV400" s="554">
        <f>I400</f>
        <v>91</v>
      </c>
      <c r="AW400" s="619"/>
      <c r="AX400" s="548"/>
      <c r="AY400" s="548"/>
      <c r="AZ400" s="548"/>
      <c r="BA400" s="548"/>
      <c r="BB400" s="620">
        <f>I400/24</f>
        <v>3.79166666666667</v>
      </c>
      <c r="BM400" s="554">
        <f>I400/13</f>
        <v>7</v>
      </c>
      <c r="BY400" s="619"/>
      <c r="BZ400" s="548"/>
      <c r="CA400" s="621"/>
      <c r="CB400" s="567"/>
      <c r="CC400" s="622"/>
      <c r="CD400" s="619"/>
      <c r="CE400" s="619"/>
      <c r="CF400" s="548"/>
      <c r="CG400" s="548"/>
      <c r="CU400" s="554">
        <f t="shared" si="124"/>
        <v>0</v>
      </c>
      <c r="CV400" s="554">
        <f t="shared" si="122"/>
        <v>0</v>
      </c>
      <c r="CW400" s="554">
        <f t="shared" si="123"/>
        <v>0</v>
      </c>
      <c r="CX400" s="619"/>
      <c r="CY400" s="619"/>
      <c r="CZ400" s="619"/>
      <c r="DA400" s="548"/>
      <c r="DB400" s="548"/>
      <c r="DC400" s="548"/>
      <c r="DD400" s="619"/>
      <c r="DE400" s="619"/>
      <c r="DF400" s="619"/>
      <c r="DG400" s="619"/>
      <c r="DH400" s="619"/>
    </row>
    <row r="401" s="548" customFormat="1" ht="31" customHeight="1" spans="1:112">
      <c r="A401" s="608">
        <v>45831</v>
      </c>
      <c r="B401" s="609" t="s">
        <v>135</v>
      </c>
      <c r="C401" s="610" t="s">
        <v>128</v>
      </c>
      <c r="D401" s="554">
        <v>4500170975</v>
      </c>
      <c r="E401" s="613">
        <v>20935534</v>
      </c>
      <c r="F401" s="554" t="s">
        <v>7054</v>
      </c>
      <c r="G401" s="610" t="s">
        <v>6093</v>
      </c>
      <c r="H401" s="610" t="s">
        <v>6094</v>
      </c>
      <c r="I401" s="610">
        <v>1599</v>
      </c>
      <c r="J401" s="610">
        <v>0</v>
      </c>
      <c r="K401" s="610">
        <v>13</v>
      </c>
      <c r="L401" s="611">
        <f t="shared" si="125"/>
        <v>123</v>
      </c>
      <c r="M401" s="612">
        <v>45873</v>
      </c>
      <c r="N401" s="612">
        <f t="shared" si="128"/>
        <v>45869</v>
      </c>
      <c r="O401" s="613"/>
      <c r="P401" s="613" t="s">
        <v>113</v>
      </c>
      <c r="Q401" s="610"/>
      <c r="R401" s="614">
        <v>45828</v>
      </c>
      <c r="S401" s="614" t="s">
        <v>104</v>
      </c>
      <c r="T401" s="614">
        <v>45852</v>
      </c>
      <c r="U401" s="614"/>
      <c r="V401" s="614"/>
      <c r="W401" s="615"/>
      <c r="X401" s="609" t="s">
        <v>6813</v>
      </c>
      <c r="Y401" s="609" t="s">
        <v>133</v>
      </c>
      <c r="Z401" s="609">
        <v>0.9475</v>
      </c>
      <c r="AA401" s="616">
        <f t="shared" si="127"/>
        <v>1515.0525</v>
      </c>
      <c r="AC401" s="629" t="s">
        <v>7055</v>
      </c>
      <c r="AD401" s="610" t="s">
        <v>6093</v>
      </c>
      <c r="AE401" s="610" t="s">
        <v>82</v>
      </c>
      <c r="AF401" s="610"/>
      <c r="AG401" s="610"/>
      <c r="AH401" s="610"/>
      <c r="AI401" s="610">
        <v>1599</v>
      </c>
      <c r="AJ401" s="610">
        <f t="shared" si="126"/>
        <v>0</v>
      </c>
      <c r="AK401" s="610"/>
      <c r="AL401" s="610"/>
      <c r="AM401" s="610"/>
      <c r="AN401" s="610"/>
      <c r="AO401" s="554">
        <f>I401</f>
        <v>1599</v>
      </c>
      <c r="AR401" s="619"/>
      <c r="AS401" s="548"/>
      <c r="AT401" s="554">
        <f>I401</f>
        <v>1599</v>
      </c>
      <c r="AV401" s="554">
        <f>I401</f>
        <v>1599</v>
      </c>
      <c r="AW401" s="619"/>
      <c r="AX401" s="548"/>
      <c r="AY401" s="548"/>
      <c r="AZ401" s="548"/>
      <c r="BA401" s="548"/>
      <c r="BB401" s="620">
        <f>I401/24</f>
        <v>66.625</v>
      </c>
      <c r="BM401" s="554">
        <f>I401/13</f>
        <v>123</v>
      </c>
      <c r="BY401" s="619"/>
      <c r="BZ401" s="548"/>
      <c r="CA401" s="621"/>
      <c r="CB401" s="567"/>
      <c r="CC401" s="622"/>
      <c r="CD401" s="619"/>
      <c r="CE401" s="619"/>
      <c r="CF401" s="548"/>
      <c r="CG401" s="548"/>
      <c r="CU401" s="554">
        <f t="shared" si="124"/>
        <v>0</v>
      </c>
      <c r="CV401" s="554">
        <f t="shared" si="122"/>
        <v>0</v>
      </c>
      <c r="CW401" s="554">
        <f t="shared" si="123"/>
        <v>0</v>
      </c>
      <c r="CX401" s="619"/>
      <c r="CY401" s="619"/>
      <c r="CZ401" s="619"/>
      <c r="DA401" s="548"/>
      <c r="DB401" s="548"/>
      <c r="DC401" s="548"/>
      <c r="DD401" s="619"/>
      <c r="DE401" s="619"/>
      <c r="DF401" s="619"/>
      <c r="DG401" s="619"/>
      <c r="DH401" s="619"/>
    </row>
    <row r="402" s="548" customFormat="1" ht="31" customHeight="1" spans="1:112">
      <c r="A402" s="608">
        <v>45828</v>
      </c>
      <c r="B402" s="609" t="s">
        <v>448</v>
      </c>
      <c r="C402" s="610" t="s">
        <v>399</v>
      </c>
      <c r="D402" s="554">
        <v>4500170833</v>
      </c>
      <c r="E402" s="610"/>
      <c r="F402" s="554" t="s">
        <v>7056</v>
      </c>
      <c r="G402" s="610" t="s">
        <v>6093</v>
      </c>
      <c r="H402" s="610" t="s">
        <v>6094</v>
      </c>
      <c r="I402" s="610">
        <v>611</v>
      </c>
      <c r="J402" s="610">
        <v>0</v>
      </c>
      <c r="K402" s="610">
        <v>13</v>
      </c>
      <c r="L402" s="611">
        <f t="shared" si="125"/>
        <v>47</v>
      </c>
      <c r="M402" s="612">
        <v>45873</v>
      </c>
      <c r="N402" s="612">
        <f t="shared" si="128"/>
        <v>45869</v>
      </c>
      <c r="O402" s="613"/>
      <c r="P402" s="613" t="s">
        <v>113</v>
      </c>
      <c r="Q402" s="610"/>
      <c r="R402" s="614">
        <v>45835</v>
      </c>
      <c r="S402" s="614" t="s">
        <v>70</v>
      </c>
      <c r="T402" s="614">
        <v>45846</v>
      </c>
      <c r="U402" s="614"/>
      <c r="V402" s="614" t="s">
        <v>7057</v>
      </c>
      <c r="W402" s="615"/>
      <c r="X402" s="628" t="s">
        <v>7058</v>
      </c>
      <c r="Y402" s="609" t="s">
        <v>445</v>
      </c>
      <c r="Z402" s="609">
        <v>0.9168</v>
      </c>
      <c r="AA402" s="616">
        <f t="shared" si="127"/>
        <v>560.1648</v>
      </c>
      <c r="AC402" s="629" t="s">
        <v>7059</v>
      </c>
      <c r="AD402" s="610" t="s">
        <v>6093</v>
      </c>
      <c r="AE402" s="610" t="s">
        <v>82</v>
      </c>
      <c r="AF402" s="610"/>
      <c r="AG402" s="610"/>
      <c r="AH402" s="610"/>
      <c r="AI402" s="610">
        <v>611</v>
      </c>
      <c r="AJ402" s="610">
        <f t="shared" si="126"/>
        <v>0</v>
      </c>
      <c r="AK402" s="610"/>
      <c r="AL402" s="610"/>
      <c r="AM402" s="610"/>
      <c r="AN402" s="610"/>
      <c r="AO402" s="554">
        <f>I402</f>
        <v>611</v>
      </c>
      <c r="AR402" s="619"/>
      <c r="AS402" s="548"/>
      <c r="AT402" s="554">
        <f>I402</f>
        <v>611</v>
      </c>
      <c r="AV402" s="554">
        <f>I402</f>
        <v>611</v>
      </c>
      <c r="AW402" s="619"/>
      <c r="AX402" s="548"/>
      <c r="AY402" s="548"/>
      <c r="AZ402" s="548"/>
      <c r="BA402" s="548"/>
      <c r="BB402" s="620">
        <f>I402/24</f>
        <v>25.4583333333333</v>
      </c>
      <c r="BM402" s="554">
        <f>I402/13</f>
        <v>47</v>
      </c>
      <c r="BY402" s="619"/>
      <c r="BZ402" s="548"/>
      <c r="CA402" s="621"/>
      <c r="CB402" s="567"/>
      <c r="CC402" s="622"/>
      <c r="CD402" s="619"/>
      <c r="CE402" s="619"/>
      <c r="CF402" s="548"/>
      <c r="CG402" s="548"/>
      <c r="CU402" s="554">
        <f t="shared" si="124"/>
        <v>0</v>
      </c>
      <c r="CV402" s="554">
        <f t="shared" si="122"/>
        <v>0</v>
      </c>
      <c r="CW402" s="554">
        <f t="shared" si="123"/>
        <v>0</v>
      </c>
      <c r="CX402" s="619"/>
      <c r="CY402" s="619"/>
      <c r="CZ402" s="619"/>
      <c r="DA402" s="548"/>
      <c r="DB402" s="548"/>
      <c r="DC402" s="548"/>
      <c r="DD402" s="619"/>
      <c r="DE402" s="619"/>
      <c r="DF402" s="619"/>
      <c r="DG402" s="619"/>
      <c r="DH402" s="619"/>
    </row>
    <row r="403" s="548" customFormat="1" ht="31" customHeight="1" spans="1:112">
      <c r="A403" s="608">
        <v>45834</v>
      </c>
      <c r="B403" s="609" t="s">
        <v>351</v>
      </c>
      <c r="C403" s="610" t="s">
        <v>98</v>
      </c>
      <c r="D403" s="554">
        <v>4500171377</v>
      </c>
      <c r="E403" s="610" t="s">
        <v>1351</v>
      </c>
      <c r="F403" s="554" t="s">
        <v>7060</v>
      </c>
      <c r="G403" s="610" t="s">
        <v>6084</v>
      </c>
      <c r="H403" s="610" t="s">
        <v>6069</v>
      </c>
      <c r="I403" s="610">
        <v>4025</v>
      </c>
      <c r="J403" s="610">
        <v>0</v>
      </c>
      <c r="K403" s="610">
        <v>25</v>
      </c>
      <c r="L403" s="611">
        <f t="shared" si="125"/>
        <v>161</v>
      </c>
      <c r="M403" s="612">
        <v>45873</v>
      </c>
      <c r="N403" s="612">
        <f t="shared" si="128"/>
        <v>45869</v>
      </c>
      <c r="O403" s="613"/>
      <c r="P403" s="613" t="s">
        <v>113</v>
      </c>
      <c r="Q403" s="610"/>
      <c r="R403" s="614">
        <v>45834</v>
      </c>
      <c r="S403" s="614" t="s">
        <v>70</v>
      </c>
      <c r="T403" s="614" t="s">
        <v>70</v>
      </c>
      <c r="U403" s="614"/>
      <c r="V403" s="614"/>
      <c r="W403" s="615"/>
      <c r="X403" s="609" t="s">
        <v>354</v>
      </c>
      <c r="Y403" s="609" t="s">
        <v>355</v>
      </c>
      <c r="Z403" s="609">
        <v>0.5708</v>
      </c>
      <c r="AA403" s="616">
        <f t="shared" si="127"/>
        <v>2297.47</v>
      </c>
      <c r="AC403" s="617" t="s">
        <v>1354</v>
      </c>
      <c r="AD403" s="610" t="s">
        <v>6084</v>
      </c>
      <c r="AE403" s="610" t="s">
        <v>82</v>
      </c>
      <c r="AF403" s="610"/>
      <c r="AG403" s="610"/>
      <c r="AH403" s="610"/>
      <c r="AI403" s="610">
        <v>4025</v>
      </c>
      <c r="AJ403" s="610">
        <f t="shared" si="126"/>
        <v>0</v>
      </c>
      <c r="AK403" s="610"/>
      <c r="AL403" s="610"/>
      <c r="AM403" s="610"/>
      <c r="AN403" s="610">
        <f t="shared" ref="AN403:AN409" si="129">I403</f>
        <v>4025</v>
      </c>
      <c r="AP403" s="554">
        <f t="shared" ref="AP403:AP409" si="130">I403</f>
        <v>4025</v>
      </c>
      <c r="AR403" s="619"/>
      <c r="AS403" s="548"/>
      <c r="AT403" s="548"/>
      <c r="AU403" s="554">
        <f t="shared" ref="AU403:AU409" si="131">I403</f>
        <v>4025</v>
      </c>
      <c r="AW403" s="619"/>
      <c r="AX403" s="548"/>
      <c r="AY403" s="548"/>
      <c r="AZ403" s="548"/>
      <c r="BA403" s="548"/>
      <c r="BB403" s="620">
        <f t="shared" ref="BB403:BB409" si="132">I403/48</f>
        <v>83.8541666666667</v>
      </c>
      <c r="BN403" s="554">
        <f>I403/25</f>
        <v>161</v>
      </c>
      <c r="BY403" s="619"/>
      <c r="BZ403" s="548"/>
      <c r="CA403" s="621"/>
      <c r="CB403" s="567"/>
      <c r="CC403" s="622"/>
      <c r="CD403" s="619"/>
      <c r="CE403" s="619"/>
      <c r="CF403" s="548"/>
      <c r="CG403" s="548"/>
      <c r="CU403" s="554">
        <f t="shared" ref="CU403:CU413" si="133">BQ403+BP403+BO403+BN403+BX403+BR403</f>
        <v>161</v>
      </c>
      <c r="CV403" s="554">
        <f t="shared" si="122"/>
        <v>0</v>
      </c>
      <c r="CW403" s="554">
        <f t="shared" si="123"/>
        <v>0</v>
      </c>
      <c r="CX403" s="619"/>
      <c r="CY403" s="619"/>
      <c r="CZ403" s="619"/>
      <c r="DA403" s="548"/>
      <c r="DB403" s="548"/>
      <c r="DC403" s="548"/>
      <c r="DD403" s="619"/>
      <c r="DE403" s="619"/>
      <c r="DF403" s="619"/>
      <c r="DG403" s="619"/>
      <c r="DH403" s="619"/>
    </row>
    <row r="404" s="548" customFormat="1" ht="31" customHeight="1" spans="1:112">
      <c r="A404" s="608">
        <v>45834</v>
      </c>
      <c r="B404" s="609" t="s">
        <v>351</v>
      </c>
      <c r="C404" s="610" t="s">
        <v>98</v>
      </c>
      <c r="D404" s="554">
        <v>4500171377</v>
      </c>
      <c r="E404" s="610" t="s">
        <v>1355</v>
      </c>
      <c r="F404" s="554" t="s">
        <v>7061</v>
      </c>
      <c r="G404" s="610" t="s">
        <v>6084</v>
      </c>
      <c r="H404" s="610" t="s">
        <v>6069</v>
      </c>
      <c r="I404" s="610">
        <v>4325</v>
      </c>
      <c r="J404" s="610">
        <v>0</v>
      </c>
      <c r="K404" s="610">
        <v>25</v>
      </c>
      <c r="L404" s="611">
        <f t="shared" si="125"/>
        <v>173</v>
      </c>
      <c r="M404" s="612">
        <v>45873</v>
      </c>
      <c r="N404" s="612">
        <f t="shared" si="128"/>
        <v>45869</v>
      </c>
      <c r="O404" s="613"/>
      <c r="P404" s="613" t="s">
        <v>113</v>
      </c>
      <c r="Q404" s="610"/>
      <c r="R404" s="614">
        <v>45834</v>
      </c>
      <c r="S404" s="614" t="s">
        <v>70</v>
      </c>
      <c r="T404" s="614" t="s">
        <v>70</v>
      </c>
      <c r="U404" s="614"/>
      <c r="V404" s="614"/>
      <c r="W404" s="615"/>
      <c r="X404" s="609" t="s">
        <v>354</v>
      </c>
      <c r="Y404" s="609" t="s">
        <v>355</v>
      </c>
      <c r="Z404" s="609">
        <v>0.5708</v>
      </c>
      <c r="AA404" s="616">
        <f t="shared" si="127"/>
        <v>2468.71</v>
      </c>
      <c r="AC404" s="617" t="s">
        <v>1357</v>
      </c>
      <c r="AD404" s="610" t="s">
        <v>6084</v>
      </c>
      <c r="AE404" s="610" t="s">
        <v>82</v>
      </c>
      <c r="AF404" s="610"/>
      <c r="AG404" s="610"/>
      <c r="AH404" s="610"/>
      <c r="AI404" s="610">
        <v>4325</v>
      </c>
      <c r="AJ404" s="610">
        <f t="shared" si="126"/>
        <v>0</v>
      </c>
      <c r="AK404" s="610"/>
      <c r="AL404" s="610"/>
      <c r="AM404" s="610"/>
      <c r="AN404" s="610">
        <f t="shared" si="129"/>
        <v>4325</v>
      </c>
      <c r="AP404" s="554">
        <f t="shared" si="130"/>
        <v>4325</v>
      </c>
      <c r="AR404" s="619"/>
      <c r="AS404" s="548"/>
      <c r="AT404" s="548"/>
      <c r="AU404" s="554">
        <f t="shared" si="131"/>
        <v>4325</v>
      </c>
      <c r="AW404" s="619"/>
      <c r="AX404" s="548"/>
      <c r="AY404" s="548"/>
      <c r="AZ404" s="548"/>
      <c r="BA404" s="548"/>
      <c r="BB404" s="620">
        <f t="shared" si="132"/>
        <v>90.1041666666667</v>
      </c>
      <c r="BN404" s="554">
        <f>I404/25</f>
        <v>173</v>
      </c>
      <c r="BY404" s="619"/>
      <c r="BZ404" s="548"/>
      <c r="CA404" s="621"/>
      <c r="CB404" s="567"/>
      <c r="CC404" s="622"/>
      <c r="CD404" s="619"/>
      <c r="CE404" s="619"/>
      <c r="CF404" s="548"/>
      <c r="CG404" s="548"/>
      <c r="CU404" s="554">
        <f t="shared" si="133"/>
        <v>173</v>
      </c>
      <c r="CV404" s="554">
        <f t="shared" si="122"/>
        <v>0</v>
      </c>
      <c r="CW404" s="554">
        <f t="shared" si="123"/>
        <v>0</v>
      </c>
      <c r="CX404" s="619"/>
      <c r="CY404" s="619"/>
      <c r="CZ404" s="619"/>
      <c r="DA404" s="548"/>
      <c r="DB404" s="548"/>
      <c r="DC404" s="548"/>
      <c r="DD404" s="619"/>
      <c r="DE404" s="619"/>
      <c r="DF404" s="619"/>
      <c r="DG404" s="619"/>
      <c r="DH404" s="619"/>
    </row>
    <row r="405" s="548" customFormat="1" ht="31" customHeight="1" spans="1:112">
      <c r="A405" s="608">
        <v>45834</v>
      </c>
      <c r="B405" s="609" t="s">
        <v>351</v>
      </c>
      <c r="C405" s="610" t="s">
        <v>98</v>
      </c>
      <c r="D405" s="554">
        <v>4500171377</v>
      </c>
      <c r="E405" s="610" t="s">
        <v>1358</v>
      </c>
      <c r="F405" s="554" t="s">
        <v>7062</v>
      </c>
      <c r="G405" s="610" t="s">
        <v>6084</v>
      </c>
      <c r="H405" s="610" t="s">
        <v>6069</v>
      </c>
      <c r="I405" s="610">
        <v>725</v>
      </c>
      <c r="J405" s="610">
        <v>0</v>
      </c>
      <c r="K405" s="610">
        <v>25</v>
      </c>
      <c r="L405" s="611">
        <f t="shared" si="125"/>
        <v>29</v>
      </c>
      <c r="M405" s="612">
        <v>45873</v>
      </c>
      <c r="N405" s="612">
        <f t="shared" si="128"/>
        <v>45869</v>
      </c>
      <c r="O405" s="613"/>
      <c r="P405" s="613" t="s">
        <v>113</v>
      </c>
      <c r="Q405" s="610"/>
      <c r="R405" s="614">
        <v>45834</v>
      </c>
      <c r="S405" s="614" t="s">
        <v>70</v>
      </c>
      <c r="T405" s="614" t="s">
        <v>70</v>
      </c>
      <c r="U405" s="614"/>
      <c r="V405" s="614"/>
      <c r="W405" s="615"/>
      <c r="X405" s="609" t="s">
        <v>354</v>
      </c>
      <c r="Y405" s="609" t="s">
        <v>355</v>
      </c>
      <c r="Z405" s="609">
        <v>0.5739</v>
      </c>
      <c r="AA405" s="616">
        <f t="shared" si="127"/>
        <v>416.0775</v>
      </c>
      <c r="AC405" s="617" t="s">
        <v>1360</v>
      </c>
      <c r="AD405" s="610" t="s">
        <v>6084</v>
      </c>
      <c r="AE405" s="610" t="s">
        <v>82</v>
      </c>
      <c r="AF405" s="610"/>
      <c r="AG405" s="610"/>
      <c r="AH405" s="610"/>
      <c r="AI405" s="610">
        <v>725</v>
      </c>
      <c r="AJ405" s="610">
        <f t="shared" si="126"/>
        <v>0</v>
      </c>
      <c r="AK405" s="610"/>
      <c r="AL405" s="610"/>
      <c r="AM405" s="610"/>
      <c r="AN405" s="610">
        <f t="shared" si="129"/>
        <v>725</v>
      </c>
      <c r="AP405" s="554">
        <f t="shared" si="130"/>
        <v>725</v>
      </c>
      <c r="AR405" s="619"/>
      <c r="AS405" s="548"/>
      <c r="AT405" s="548"/>
      <c r="AU405" s="554">
        <f t="shared" si="131"/>
        <v>725</v>
      </c>
      <c r="AW405" s="619"/>
      <c r="AX405" s="548"/>
      <c r="AY405" s="548"/>
      <c r="AZ405" s="548"/>
      <c r="BA405" s="548"/>
      <c r="BB405" s="620">
        <f t="shared" si="132"/>
        <v>15.1041666666667</v>
      </c>
      <c r="BN405" s="554">
        <f>I405/25</f>
        <v>29</v>
      </c>
      <c r="BY405" s="619"/>
      <c r="BZ405" s="548"/>
      <c r="CA405" s="621"/>
      <c r="CB405" s="567"/>
      <c r="CC405" s="622"/>
      <c r="CD405" s="619"/>
      <c r="CE405" s="619"/>
      <c r="CF405" s="548"/>
      <c r="CG405" s="548"/>
      <c r="CU405" s="554">
        <f t="shared" si="133"/>
        <v>29</v>
      </c>
      <c r="CV405" s="554">
        <f t="shared" si="122"/>
        <v>0</v>
      </c>
      <c r="CW405" s="554">
        <f t="shared" si="123"/>
        <v>0</v>
      </c>
      <c r="CX405" s="619"/>
      <c r="CY405" s="619"/>
      <c r="CZ405" s="619"/>
      <c r="DA405" s="548"/>
      <c r="DB405" s="548"/>
      <c r="DC405" s="548"/>
      <c r="DD405" s="619"/>
      <c r="DE405" s="619"/>
      <c r="DF405" s="619"/>
      <c r="DG405" s="619"/>
      <c r="DH405" s="619"/>
    </row>
    <row r="406" s="548" customFormat="1" ht="31" customHeight="1" spans="1:112">
      <c r="A406" s="608">
        <v>45827</v>
      </c>
      <c r="B406" s="609" t="s">
        <v>143</v>
      </c>
      <c r="C406" s="610" t="s">
        <v>98</v>
      </c>
      <c r="D406" s="554">
        <v>4500170587</v>
      </c>
      <c r="E406" s="613">
        <v>907594626</v>
      </c>
      <c r="F406" s="554" t="s">
        <v>7063</v>
      </c>
      <c r="G406" s="610" t="s">
        <v>6063</v>
      </c>
      <c r="H406" s="610" t="s">
        <v>6064</v>
      </c>
      <c r="I406" s="610">
        <v>2096</v>
      </c>
      <c r="J406" s="610">
        <v>0</v>
      </c>
      <c r="K406" s="610">
        <v>16</v>
      </c>
      <c r="L406" s="611">
        <f t="shared" si="125"/>
        <v>131</v>
      </c>
      <c r="M406" s="612">
        <v>45874</v>
      </c>
      <c r="N406" s="612">
        <v>45870</v>
      </c>
      <c r="O406" s="613"/>
      <c r="P406" s="613" t="s">
        <v>113</v>
      </c>
      <c r="Q406" s="610"/>
      <c r="R406" s="614" t="s">
        <v>7064</v>
      </c>
      <c r="S406" s="614" t="s">
        <v>70</v>
      </c>
      <c r="T406" s="614" t="s">
        <v>148</v>
      </c>
      <c r="U406" s="614"/>
      <c r="V406" s="614"/>
      <c r="W406" s="615"/>
      <c r="X406" s="609" t="s">
        <v>7065</v>
      </c>
      <c r="Y406" s="609" t="s">
        <v>106</v>
      </c>
      <c r="Z406" s="609">
        <v>0.5936</v>
      </c>
      <c r="AA406" s="616">
        <f t="shared" si="127"/>
        <v>1244.1856</v>
      </c>
      <c r="AC406" s="617" t="s">
        <v>7066</v>
      </c>
      <c r="AD406" s="610" t="s">
        <v>6063</v>
      </c>
      <c r="AE406" s="610" t="s">
        <v>82</v>
      </c>
      <c r="AF406" s="610"/>
      <c r="AG406" s="610"/>
      <c r="AH406" s="610"/>
      <c r="AI406" s="610">
        <v>2096</v>
      </c>
      <c r="AJ406" s="610">
        <f t="shared" si="126"/>
        <v>0</v>
      </c>
      <c r="AK406" s="610"/>
      <c r="AL406" s="610"/>
      <c r="AM406" s="610"/>
      <c r="AN406" s="610">
        <f t="shared" si="129"/>
        <v>2096</v>
      </c>
      <c r="AP406" s="554">
        <f t="shared" si="130"/>
        <v>2096</v>
      </c>
      <c r="AR406" s="619"/>
      <c r="AS406" s="548"/>
      <c r="AT406" s="548"/>
      <c r="AU406" s="554">
        <f t="shared" si="131"/>
        <v>2096</v>
      </c>
      <c r="AW406" s="619"/>
      <c r="AX406" s="548"/>
      <c r="AY406" s="548"/>
      <c r="AZ406" s="548"/>
      <c r="BA406" s="548"/>
      <c r="BB406" s="620">
        <f t="shared" si="132"/>
        <v>43.6666666666667</v>
      </c>
      <c r="BQ406" s="554">
        <f>I406/16</f>
        <v>131</v>
      </c>
      <c r="BY406" s="619"/>
      <c r="BZ406" s="548"/>
      <c r="CA406" s="621"/>
      <c r="CB406" s="567"/>
      <c r="CC406" s="622"/>
      <c r="CD406" s="619"/>
      <c r="CE406" s="619"/>
      <c r="CF406" s="548"/>
      <c r="CG406" s="548"/>
      <c r="CU406" s="554">
        <f t="shared" si="133"/>
        <v>131</v>
      </c>
      <c r="CV406" s="554">
        <f t="shared" si="122"/>
        <v>0</v>
      </c>
      <c r="CW406" s="554">
        <f t="shared" si="123"/>
        <v>0</v>
      </c>
      <c r="CX406" s="619"/>
      <c r="CY406" s="619"/>
      <c r="CZ406" s="619"/>
      <c r="DA406" s="548"/>
      <c r="DB406" s="548"/>
      <c r="DC406" s="548"/>
      <c r="DD406" s="619"/>
      <c r="DE406" s="619"/>
      <c r="DF406" s="619"/>
      <c r="DG406" s="619"/>
      <c r="DH406" s="619"/>
    </row>
    <row r="407" s="548" customFormat="1" ht="31" customHeight="1" spans="1:112">
      <c r="A407" s="608">
        <v>45827</v>
      </c>
      <c r="B407" s="609" t="s">
        <v>143</v>
      </c>
      <c r="C407" s="610" t="s">
        <v>98</v>
      </c>
      <c r="D407" s="554">
        <v>4500170587</v>
      </c>
      <c r="E407" s="613">
        <v>907594644</v>
      </c>
      <c r="F407" s="554" t="s">
        <v>7067</v>
      </c>
      <c r="G407" s="610" t="s">
        <v>6063</v>
      </c>
      <c r="H407" s="610" t="s">
        <v>6064</v>
      </c>
      <c r="I407" s="610">
        <v>1632</v>
      </c>
      <c r="J407" s="610">
        <v>0</v>
      </c>
      <c r="K407" s="610">
        <v>16</v>
      </c>
      <c r="L407" s="611">
        <f t="shared" si="125"/>
        <v>102</v>
      </c>
      <c r="M407" s="612">
        <v>45874</v>
      </c>
      <c r="N407" s="612">
        <v>45870</v>
      </c>
      <c r="O407" s="613"/>
      <c r="P407" s="613" t="s">
        <v>113</v>
      </c>
      <c r="Q407" s="610"/>
      <c r="R407" s="614" t="s">
        <v>7064</v>
      </c>
      <c r="S407" s="614" t="s">
        <v>70</v>
      </c>
      <c r="T407" s="614" t="s">
        <v>148</v>
      </c>
      <c r="U407" s="614"/>
      <c r="V407" s="614"/>
      <c r="W407" s="615"/>
      <c r="X407" s="609" t="s">
        <v>7065</v>
      </c>
      <c r="Y407" s="609" t="s">
        <v>106</v>
      </c>
      <c r="Z407" s="609">
        <v>0.5936</v>
      </c>
      <c r="AA407" s="616">
        <f t="shared" si="127"/>
        <v>968.7552</v>
      </c>
      <c r="AC407" s="617" t="s">
        <v>7068</v>
      </c>
      <c r="AD407" s="610" t="s">
        <v>6063</v>
      </c>
      <c r="AE407" s="610" t="s">
        <v>82</v>
      </c>
      <c r="AF407" s="610"/>
      <c r="AG407" s="610"/>
      <c r="AH407" s="610"/>
      <c r="AI407" s="610">
        <v>1632</v>
      </c>
      <c r="AJ407" s="610">
        <f t="shared" si="126"/>
        <v>0</v>
      </c>
      <c r="AK407" s="610"/>
      <c r="AL407" s="610"/>
      <c r="AM407" s="610"/>
      <c r="AN407" s="610">
        <f t="shared" si="129"/>
        <v>1632</v>
      </c>
      <c r="AP407" s="554">
        <f t="shared" si="130"/>
        <v>1632</v>
      </c>
      <c r="AR407" s="619"/>
      <c r="AS407" s="548"/>
      <c r="AT407" s="548"/>
      <c r="AU407" s="554">
        <f t="shared" si="131"/>
        <v>1632</v>
      </c>
      <c r="AW407" s="619"/>
      <c r="AX407" s="548"/>
      <c r="AY407" s="548"/>
      <c r="AZ407" s="548"/>
      <c r="BA407" s="548"/>
      <c r="BB407" s="620">
        <f t="shared" si="132"/>
        <v>34</v>
      </c>
      <c r="BQ407" s="554">
        <f>I407/16</f>
        <v>102</v>
      </c>
      <c r="BY407" s="619"/>
      <c r="BZ407" s="548"/>
      <c r="CA407" s="621"/>
      <c r="CB407" s="567"/>
      <c r="CC407" s="622"/>
      <c r="CD407" s="619"/>
      <c r="CE407" s="619"/>
      <c r="CF407" s="548"/>
      <c r="CG407" s="548"/>
      <c r="CU407" s="554">
        <f t="shared" si="133"/>
        <v>102</v>
      </c>
      <c r="CV407" s="554">
        <f t="shared" si="122"/>
        <v>0</v>
      </c>
      <c r="CW407" s="554">
        <f t="shared" si="123"/>
        <v>0</v>
      </c>
      <c r="CX407" s="619"/>
      <c r="CY407" s="619"/>
      <c r="CZ407" s="619"/>
      <c r="DA407" s="548"/>
      <c r="DB407" s="548"/>
      <c r="DC407" s="548"/>
      <c r="DD407" s="619"/>
      <c r="DE407" s="619"/>
      <c r="DF407" s="619"/>
      <c r="DG407" s="619"/>
      <c r="DH407" s="619"/>
    </row>
    <row r="408" s="548" customFormat="1" ht="31" customHeight="1" spans="1:112">
      <c r="A408" s="608">
        <v>45827</v>
      </c>
      <c r="B408" s="609" t="s">
        <v>143</v>
      </c>
      <c r="C408" s="610" t="s">
        <v>98</v>
      </c>
      <c r="D408" s="554">
        <v>4500170587</v>
      </c>
      <c r="E408" s="613">
        <v>907594648</v>
      </c>
      <c r="F408" s="554" t="s">
        <v>7069</v>
      </c>
      <c r="G408" s="610" t="s">
        <v>6063</v>
      </c>
      <c r="H408" s="610" t="s">
        <v>6064</v>
      </c>
      <c r="I408" s="610">
        <v>2432</v>
      </c>
      <c r="J408" s="610">
        <v>0</v>
      </c>
      <c r="K408" s="610">
        <v>16</v>
      </c>
      <c r="L408" s="611">
        <f t="shared" si="125"/>
        <v>152</v>
      </c>
      <c r="M408" s="612">
        <v>45874</v>
      </c>
      <c r="N408" s="612">
        <v>45870</v>
      </c>
      <c r="O408" s="613"/>
      <c r="P408" s="613" t="s">
        <v>113</v>
      </c>
      <c r="Q408" s="610"/>
      <c r="R408" s="614" t="s">
        <v>7064</v>
      </c>
      <c r="S408" s="614" t="s">
        <v>70</v>
      </c>
      <c r="T408" s="614" t="s">
        <v>148</v>
      </c>
      <c r="U408" s="614"/>
      <c r="V408" s="614"/>
      <c r="W408" s="615"/>
      <c r="X408" s="609" t="s">
        <v>7065</v>
      </c>
      <c r="Y408" s="609" t="s">
        <v>106</v>
      </c>
      <c r="Z408" s="609">
        <v>0.5936</v>
      </c>
      <c r="AA408" s="616">
        <f t="shared" si="127"/>
        <v>1443.6352</v>
      </c>
      <c r="AC408" s="617" t="s">
        <v>7070</v>
      </c>
      <c r="AD408" s="610" t="s">
        <v>6063</v>
      </c>
      <c r="AE408" s="610" t="s">
        <v>82</v>
      </c>
      <c r="AF408" s="610"/>
      <c r="AG408" s="610"/>
      <c r="AH408" s="610"/>
      <c r="AI408" s="610">
        <v>2432</v>
      </c>
      <c r="AJ408" s="610">
        <f t="shared" si="126"/>
        <v>0</v>
      </c>
      <c r="AK408" s="610"/>
      <c r="AL408" s="610"/>
      <c r="AM408" s="610"/>
      <c r="AN408" s="610">
        <f t="shared" si="129"/>
        <v>2432</v>
      </c>
      <c r="AP408" s="554">
        <f t="shared" si="130"/>
        <v>2432</v>
      </c>
      <c r="AR408" s="619"/>
      <c r="AS408" s="548"/>
      <c r="AT408" s="548"/>
      <c r="AU408" s="554">
        <f t="shared" si="131"/>
        <v>2432</v>
      </c>
      <c r="AW408" s="619"/>
      <c r="AX408" s="548"/>
      <c r="AY408" s="548"/>
      <c r="AZ408" s="548"/>
      <c r="BA408" s="548"/>
      <c r="BB408" s="620">
        <f t="shared" si="132"/>
        <v>50.6666666666667</v>
      </c>
      <c r="BQ408" s="554">
        <f>I408/16</f>
        <v>152</v>
      </c>
      <c r="BY408" s="619"/>
      <c r="BZ408" s="548"/>
      <c r="CA408" s="621"/>
      <c r="CB408" s="567"/>
      <c r="CC408" s="622"/>
      <c r="CD408" s="619"/>
      <c r="CE408" s="619"/>
      <c r="CF408" s="548"/>
      <c r="CG408" s="548"/>
      <c r="CU408" s="554">
        <f t="shared" si="133"/>
        <v>152</v>
      </c>
      <c r="CV408" s="554">
        <f t="shared" si="122"/>
        <v>0</v>
      </c>
      <c r="CW408" s="554">
        <f t="shared" si="123"/>
        <v>0</v>
      </c>
      <c r="CX408" s="619"/>
      <c r="CY408" s="619"/>
      <c r="CZ408" s="619"/>
      <c r="DA408" s="548"/>
      <c r="DB408" s="548"/>
      <c r="DC408" s="548"/>
      <c r="DD408" s="619"/>
      <c r="DE408" s="619"/>
      <c r="DF408" s="619"/>
      <c r="DG408" s="619"/>
      <c r="DH408" s="619"/>
    </row>
    <row r="409" s="548" customFormat="1" ht="31" customHeight="1" spans="1:112">
      <c r="A409" s="608">
        <v>45827</v>
      </c>
      <c r="B409" s="609" t="s">
        <v>143</v>
      </c>
      <c r="C409" s="610" t="s">
        <v>98</v>
      </c>
      <c r="D409" s="554">
        <v>4500170587</v>
      </c>
      <c r="E409" s="613">
        <v>907594674</v>
      </c>
      <c r="F409" s="554" t="s">
        <v>7071</v>
      </c>
      <c r="G409" s="610" t="s">
        <v>6063</v>
      </c>
      <c r="H409" s="610" t="s">
        <v>6064</v>
      </c>
      <c r="I409" s="610">
        <v>1696</v>
      </c>
      <c r="J409" s="610">
        <v>0</v>
      </c>
      <c r="K409" s="610">
        <v>16</v>
      </c>
      <c r="L409" s="611">
        <f t="shared" si="125"/>
        <v>106</v>
      </c>
      <c r="M409" s="612">
        <v>45874</v>
      </c>
      <c r="N409" s="612">
        <v>45870</v>
      </c>
      <c r="O409" s="613"/>
      <c r="P409" s="613" t="s">
        <v>113</v>
      </c>
      <c r="Q409" s="610"/>
      <c r="R409" s="614" t="s">
        <v>7064</v>
      </c>
      <c r="S409" s="614" t="s">
        <v>70</v>
      </c>
      <c r="T409" s="614" t="s">
        <v>148</v>
      </c>
      <c r="U409" s="614"/>
      <c r="V409" s="614"/>
      <c r="W409" s="615"/>
      <c r="X409" s="609" t="s">
        <v>7065</v>
      </c>
      <c r="Y409" s="609" t="s">
        <v>106</v>
      </c>
      <c r="Z409" s="609">
        <v>0.5936</v>
      </c>
      <c r="AA409" s="616">
        <f t="shared" si="127"/>
        <v>1006.7456</v>
      </c>
      <c r="AC409" s="617" t="s">
        <v>7072</v>
      </c>
      <c r="AD409" s="610" t="s">
        <v>6063</v>
      </c>
      <c r="AE409" s="610" t="s">
        <v>82</v>
      </c>
      <c r="AF409" s="610"/>
      <c r="AG409" s="610"/>
      <c r="AH409" s="610"/>
      <c r="AI409" s="610">
        <v>1696</v>
      </c>
      <c r="AJ409" s="610">
        <f t="shared" si="126"/>
        <v>0</v>
      </c>
      <c r="AK409" s="610"/>
      <c r="AL409" s="610"/>
      <c r="AM409" s="610"/>
      <c r="AN409" s="610">
        <f t="shared" si="129"/>
        <v>1696</v>
      </c>
      <c r="AP409" s="554">
        <f t="shared" si="130"/>
        <v>1696</v>
      </c>
      <c r="AR409" s="619"/>
      <c r="AS409" s="548"/>
      <c r="AT409" s="548"/>
      <c r="AU409" s="554">
        <f t="shared" si="131"/>
        <v>1696</v>
      </c>
      <c r="AW409" s="619"/>
      <c r="AX409" s="548"/>
      <c r="AY409" s="548"/>
      <c r="AZ409" s="548"/>
      <c r="BA409" s="548"/>
      <c r="BB409" s="620">
        <f t="shared" si="132"/>
        <v>35.3333333333333</v>
      </c>
      <c r="BQ409" s="554">
        <f>I409/16</f>
        <v>106</v>
      </c>
      <c r="BY409" s="619"/>
      <c r="BZ409" s="548"/>
      <c r="CA409" s="621"/>
      <c r="CB409" s="567"/>
      <c r="CC409" s="622"/>
      <c r="CD409" s="619"/>
      <c r="CE409" s="619"/>
      <c r="CF409" s="548"/>
      <c r="CG409" s="548"/>
      <c r="CU409" s="554">
        <f t="shared" si="133"/>
        <v>106</v>
      </c>
      <c r="CV409" s="554">
        <f t="shared" si="122"/>
        <v>0</v>
      </c>
      <c r="CW409" s="554">
        <f t="shared" si="123"/>
        <v>0</v>
      </c>
      <c r="CX409" s="619"/>
      <c r="CY409" s="619"/>
      <c r="CZ409" s="619"/>
      <c r="DA409" s="548"/>
      <c r="DB409" s="548"/>
      <c r="DC409" s="548"/>
      <c r="DD409" s="619"/>
      <c r="DE409" s="619"/>
      <c r="DF409" s="619"/>
      <c r="DG409" s="619"/>
      <c r="DH409" s="619"/>
    </row>
    <row r="410" s="548" customFormat="1" ht="31" customHeight="1" spans="1:112">
      <c r="A410" s="608">
        <v>45789</v>
      </c>
      <c r="B410" s="609" t="s">
        <v>1280</v>
      </c>
      <c r="C410" s="610" t="s">
        <v>524</v>
      </c>
      <c r="D410" s="554">
        <v>4500165982</v>
      </c>
      <c r="E410" s="610">
        <v>61971743</v>
      </c>
      <c r="F410" s="554" t="s">
        <v>7073</v>
      </c>
      <c r="G410" s="610" t="s">
        <v>6043</v>
      </c>
      <c r="H410" s="610" t="s">
        <v>6110</v>
      </c>
      <c r="I410" s="610">
        <v>5000</v>
      </c>
      <c r="J410" s="610">
        <v>0</v>
      </c>
      <c r="K410" s="610">
        <v>50</v>
      </c>
      <c r="L410" s="611">
        <f t="shared" si="125"/>
        <v>100</v>
      </c>
      <c r="M410" s="612">
        <v>45863</v>
      </c>
      <c r="N410" s="612">
        <v>45859</v>
      </c>
      <c r="O410" s="613"/>
      <c r="P410" s="613" t="s">
        <v>113</v>
      </c>
      <c r="Q410" s="610"/>
      <c r="R410" s="614">
        <v>45840</v>
      </c>
      <c r="S410" s="614" t="s">
        <v>70</v>
      </c>
      <c r="T410" s="614">
        <v>45828</v>
      </c>
      <c r="U410" s="614"/>
      <c r="V410" s="614" t="s">
        <v>7074</v>
      </c>
      <c r="W410" s="615"/>
      <c r="X410" s="609" t="s">
        <v>7075</v>
      </c>
      <c r="Y410" s="609" t="s">
        <v>529</v>
      </c>
      <c r="Z410" s="609">
        <v>0.95</v>
      </c>
      <c r="AA410" s="616">
        <f t="shared" si="127"/>
        <v>4750</v>
      </c>
      <c r="AC410" s="629" t="s">
        <v>1285</v>
      </c>
      <c r="AD410" s="610" t="s">
        <v>6043</v>
      </c>
      <c r="AE410" s="610" t="s">
        <v>82</v>
      </c>
      <c r="AF410" s="610"/>
      <c r="AG410" s="610" t="s">
        <v>74</v>
      </c>
      <c r="AH410" s="610"/>
      <c r="AI410" s="610">
        <v>5000</v>
      </c>
      <c r="AJ410" s="610">
        <f t="shared" si="126"/>
        <v>0</v>
      </c>
      <c r="AK410" s="610"/>
      <c r="AL410" s="610"/>
      <c r="AM410" s="610"/>
      <c r="AN410" s="610"/>
      <c r="AO410" s="554">
        <f>I410</f>
        <v>5000</v>
      </c>
      <c r="AR410" s="619"/>
      <c r="AS410" s="548"/>
      <c r="AT410" s="554">
        <f>I410</f>
        <v>5000</v>
      </c>
      <c r="AV410" s="554">
        <f>I410</f>
        <v>5000</v>
      </c>
      <c r="AW410" s="619"/>
      <c r="AX410" s="548"/>
      <c r="AY410" s="548"/>
      <c r="AZ410" s="548"/>
      <c r="BA410" s="548"/>
      <c r="BB410" s="620">
        <f>I410/24</f>
        <v>208.333333333333</v>
      </c>
      <c r="BP410" s="554">
        <f>I410/25</f>
        <v>200</v>
      </c>
      <c r="BY410" s="619"/>
      <c r="BZ410" s="548"/>
      <c r="CA410" s="621"/>
      <c r="CB410" s="567"/>
      <c r="CC410" s="622"/>
      <c r="CD410" s="619"/>
      <c r="CE410" s="619"/>
      <c r="CF410" s="548"/>
      <c r="CG410" s="548"/>
      <c r="CU410" s="554">
        <f t="shared" si="133"/>
        <v>200</v>
      </c>
      <c r="CV410" s="554">
        <f t="shared" si="122"/>
        <v>0</v>
      </c>
      <c r="CW410" s="554">
        <f t="shared" si="123"/>
        <v>0</v>
      </c>
      <c r="CX410" s="619"/>
      <c r="CY410" s="619"/>
      <c r="CZ410" s="619"/>
      <c r="DA410" s="548"/>
      <c r="DB410" s="548"/>
      <c r="DC410" s="548"/>
      <c r="DD410" s="619"/>
      <c r="DE410" s="619"/>
      <c r="DF410" s="619"/>
      <c r="DG410" s="619"/>
      <c r="DH410" s="619"/>
    </row>
    <row r="411" s="548" customFormat="1" ht="31" customHeight="1" spans="1:112">
      <c r="A411" s="608">
        <v>45775</v>
      </c>
      <c r="B411" s="609" t="s">
        <v>1280</v>
      </c>
      <c r="C411" s="610" t="s">
        <v>524</v>
      </c>
      <c r="D411" s="554">
        <v>4500164920</v>
      </c>
      <c r="E411" s="610">
        <v>61963726</v>
      </c>
      <c r="F411" s="554" t="s">
        <v>7076</v>
      </c>
      <c r="G411" s="610" t="s">
        <v>6043</v>
      </c>
      <c r="H411" s="610" t="s">
        <v>6110</v>
      </c>
      <c r="I411" s="610">
        <v>700</v>
      </c>
      <c r="J411" s="610">
        <v>0</v>
      </c>
      <c r="K411" s="610">
        <v>50</v>
      </c>
      <c r="L411" s="611">
        <f t="shared" si="125"/>
        <v>14</v>
      </c>
      <c r="M411" s="612">
        <v>45863</v>
      </c>
      <c r="N411" s="612">
        <v>45859</v>
      </c>
      <c r="O411" s="613"/>
      <c r="P411" s="613" t="s">
        <v>113</v>
      </c>
      <c r="Q411" s="610"/>
      <c r="R411" s="614">
        <v>45812</v>
      </c>
      <c r="S411" s="614" t="s">
        <v>70</v>
      </c>
      <c r="T411" s="614">
        <v>45828</v>
      </c>
      <c r="U411" s="614"/>
      <c r="V411" s="614" t="s">
        <v>7074</v>
      </c>
      <c r="W411" s="615"/>
      <c r="X411" s="609" t="s">
        <v>7077</v>
      </c>
      <c r="Y411" s="609" t="s">
        <v>529</v>
      </c>
      <c r="Z411" s="609">
        <v>0.95</v>
      </c>
      <c r="AA411" s="616">
        <f t="shared" si="127"/>
        <v>665</v>
      </c>
      <c r="AC411" s="629" t="s">
        <v>1288</v>
      </c>
      <c r="AD411" s="610" t="s">
        <v>6043</v>
      </c>
      <c r="AE411" s="610" t="s">
        <v>82</v>
      </c>
      <c r="AF411" s="610"/>
      <c r="AG411" s="610"/>
      <c r="AH411" s="610"/>
      <c r="AI411" s="610">
        <v>700</v>
      </c>
      <c r="AJ411" s="610">
        <f t="shared" si="126"/>
        <v>0</v>
      </c>
      <c r="AK411" s="610"/>
      <c r="AL411" s="610"/>
      <c r="AM411" s="610"/>
      <c r="AN411" s="610"/>
      <c r="AO411" s="554">
        <f>I411</f>
        <v>700</v>
      </c>
      <c r="AR411" s="619"/>
      <c r="AS411" s="548"/>
      <c r="AT411" s="554">
        <f>I411</f>
        <v>700</v>
      </c>
      <c r="AV411" s="554">
        <f>I411</f>
        <v>700</v>
      </c>
      <c r="AW411" s="619"/>
      <c r="AX411" s="548"/>
      <c r="AY411" s="548"/>
      <c r="AZ411" s="548"/>
      <c r="BA411" s="548"/>
      <c r="BB411" s="620">
        <f>I411/24</f>
        <v>29.1666666666667</v>
      </c>
      <c r="BP411" s="554">
        <f>I411/25</f>
        <v>28</v>
      </c>
      <c r="BY411" s="619"/>
      <c r="BZ411" s="548"/>
      <c r="CA411" s="621"/>
      <c r="CB411" s="567"/>
      <c r="CC411" s="622"/>
      <c r="CD411" s="619"/>
      <c r="CE411" s="619"/>
      <c r="CF411" s="548"/>
      <c r="CG411" s="548"/>
      <c r="CU411" s="554">
        <f t="shared" si="133"/>
        <v>28</v>
      </c>
      <c r="CV411" s="554">
        <f t="shared" si="122"/>
        <v>0</v>
      </c>
      <c r="CW411" s="554">
        <f t="shared" si="123"/>
        <v>0</v>
      </c>
      <c r="CX411" s="619"/>
      <c r="CY411" s="619"/>
      <c r="CZ411" s="619"/>
      <c r="DA411" s="548"/>
      <c r="DB411" s="548"/>
      <c r="DC411" s="548"/>
      <c r="DD411" s="619"/>
      <c r="DE411" s="619"/>
      <c r="DF411" s="619"/>
      <c r="DG411" s="619"/>
      <c r="DH411" s="619"/>
    </row>
    <row r="412" s="548" customFormat="1" ht="31" customHeight="1" spans="1:112">
      <c r="A412" s="608">
        <v>45827</v>
      </c>
      <c r="B412" s="609" t="s">
        <v>246</v>
      </c>
      <c r="C412" s="610" t="s">
        <v>98</v>
      </c>
      <c r="D412" s="554">
        <v>4500170534</v>
      </c>
      <c r="E412" s="610" t="s">
        <v>7078</v>
      </c>
      <c r="F412" s="554" t="s">
        <v>7079</v>
      </c>
      <c r="G412" s="610" t="s">
        <v>6084</v>
      </c>
      <c r="H412" s="610" t="s">
        <v>6069</v>
      </c>
      <c r="I412" s="610">
        <v>17925</v>
      </c>
      <c r="J412" s="610">
        <v>0</v>
      </c>
      <c r="K412" s="610">
        <v>25</v>
      </c>
      <c r="L412" s="611">
        <f t="shared" si="125"/>
        <v>717</v>
      </c>
      <c r="M412" s="612">
        <v>45869</v>
      </c>
      <c r="N412" s="612">
        <v>45866</v>
      </c>
      <c r="O412" s="613"/>
      <c r="P412" s="613" t="s">
        <v>113</v>
      </c>
      <c r="Q412" s="610"/>
      <c r="R412" s="614">
        <v>45832</v>
      </c>
      <c r="S412" s="614" t="s">
        <v>104</v>
      </c>
      <c r="T412" s="614" t="s">
        <v>7080</v>
      </c>
      <c r="U412" s="614"/>
      <c r="V412" s="614"/>
      <c r="W412" s="615"/>
      <c r="X412" s="609" t="s">
        <v>7081</v>
      </c>
      <c r="Y412" s="609" t="s">
        <v>252</v>
      </c>
      <c r="Z412" s="609">
        <v>0.5543</v>
      </c>
      <c r="AA412" s="616">
        <f t="shared" si="127"/>
        <v>9935.8275</v>
      </c>
      <c r="AC412" s="617" t="s">
        <v>7082</v>
      </c>
      <c r="AD412" s="610" t="s">
        <v>6084</v>
      </c>
      <c r="AE412" s="610" t="s">
        <v>82</v>
      </c>
      <c r="AF412" s="610"/>
      <c r="AG412" s="610"/>
      <c r="AH412" s="610"/>
      <c r="AI412" s="610">
        <v>17925</v>
      </c>
      <c r="AJ412" s="610">
        <f t="shared" si="126"/>
        <v>0</v>
      </c>
      <c r="AK412" s="610"/>
      <c r="AL412" s="610"/>
      <c r="AM412" s="610"/>
      <c r="AN412" s="610">
        <f>I412</f>
        <v>17925</v>
      </c>
      <c r="AP412" s="554">
        <f>I412</f>
        <v>17925</v>
      </c>
      <c r="AR412" s="619"/>
      <c r="AS412" s="548"/>
      <c r="AT412" s="548"/>
      <c r="AU412" s="554">
        <f>I412</f>
        <v>17925</v>
      </c>
      <c r="AW412" s="619"/>
      <c r="AX412" s="548"/>
      <c r="AY412" s="548"/>
      <c r="AZ412" s="548"/>
      <c r="BA412" s="548"/>
      <c r="BB412" s="620">
        <f>I412/48</f>
        <v>373.4375</v>
      </c>
      <c r="BN412" s="554">
        <f>I412/25</f>
        <v>717</v>
      </c>
      <c r="BY412" s="619"/>
      <c r="BZ412" s="548"/>
      <c r="CA412" s="621"/>
      <c r="CB412" s="567"/>
      <c r="CC412" s="622"/>
      <c r="CD412" s="619"/>
      <c r="CE412" s="619"/>
      <c r="CF412" s="548"/>
      <c r="CG412" s="548"/>
      <c r="CU412" s="554">
        <f t="shared" si="133"/>
        <v>717</v>
      </c>
      <c r="CV412" s="554">
        <f t="shared" si="122"/>
        <v>0</v>
      </c>
      <c r="CW412" s="554">
        <f t="shared" si="123"/>
        <v>0</v>
      </c>
      <c r="CX412" s="619"/>
      <c r="CY412" s="619"/>
      <c r="CZ412" s="619"/>
      <c r="DA412" s="548"/>
      <c r="DB412" s="548"/>
      <c r="DC412" s="548"/>
      <c r="DD412" s="619"/>
      <c r="DE412" s="619"/>
      <c r="DF412" s="619"/>
      <c r="DG412" s="619"/>
      <c r="DH412" s="619"/>
    </row>
    <row r="413" s="548" customFormat="1" ht="31" customHeight="1" spans="1:112">
      <c r="A413" s="608">
        <v>45826</v>
      </c>
      <c r="B413" s="609" t="s">
        <v>1327</v>
      </c>
      <c r="C413" s="610" t="s">
        <v>524</v>
      </c>
      <c r="D413" s="554">
        <v>4500170311</v>
      </c>
      <c r="E413" s="610"/>
      <c r="F413" s="554" t="s">
        <v>7083</v>
      </c>
      <c r="G413" s="610" t="s">
        <v>6043</v>
      </c>
      <c r="H413" s="610" t="s">
        <v>6110</v>
      </c>
      <c r="I413" s="610">
        <v>650</v>
      </c>
      <c r="J413" s="610">
        <v>0</v>
      </c>
      <c r="K413" s="610">
        <v>50</v>
      </c>
      <c r="L413" s="611">
        <f t="shared" si="125"/>
        <v>13</v>
      </c>
      <c r="M413" s="612">
        <v>45870</v>
      </c>
      <c r="N413" s="612">
        <v>45868</v>
      </c>
      <c r="O413" s="613"/>
      <c r="P413" s="613" t="s">
        <v>113</v>
      </c>
      <c r="Q413" s="610"/>
      <c r="R413" s="614">
        <v>45840</v>
      </c>
      <c r="S413" s="614" t="s">
        <v>70</v>
      </c>
      <c r="T413" s="614">
        <v>45848</v>
      </c>
      <c r="U413" s="614"/>
      <c r="V413" s="614"/>
      <c r="W413" s="615"/>
      <c r="X413" s="609" t="s">
        <v>7084</v>
      </c>
      <c r="Y413" s="609" t="s">
        <v>340</v>
      </c>
      <c r="Z413" s="609">
        <v>0.9462</v>
      </c>
      <c r="AA413" s="616">
        <f t="shared" si="127"/>
        <v>615.03</v>
      </c>
      <c r="AC413" s="629" t="s">
        <v>1331</v>
      </c>
      <c r="AD413" s="610" t="s">
        <v>6043</v>
      </c>
      <c r="AE413" s="610" t="s">
        <v>82</v>
      </c>
      <c r="AF413" s="610"/>
      <c r="AG413" s="610"/>
      <c r="AH413" s="610"/>
      <c r="AI413" s="610">
        <v>650</v>
      </c>
      <c r="AJ413" s="610">
        <f t="shared" si="126"/>
        <v>0</v>
      </c>
      <c r="AK413" s="610"/>
      <c r="AL413" s="610"/>
      <c r="AM413" s="610"/>
      <c r="AN413" s="610"/>
      <c r="AO413" s="554">
        <f>I413</f>
        <v>650</v>
      </c>
      <c r="AR413" s="619"/>
      <c r="AS413" s="548"/>
      <c r="AT413" s="554">
        <f>I413</f>
        <v>650</v>
      </c>
      <c r="AV413" s="554">
        <f>I413</f>
        <v>650</v>
      </c>
      <c r="AW413" s="619"/>
      <c r="AX413" s="548"/>
      <c r="AY413" s="548"/>
      <c r="AZ413" s="548"/>
      <c r="BA413" s="548"/>
      <c r="BB413" s="620">
        <f>I413/24</f>
        <v>27.0833333333333</v>
      </c>
      <c r="BP413" s="554">
        <f>I413/25</f>
        <v>26</v>
      </c>
      <c r="BY413" s="619"/>
      <c r="BZ413" s="548"/>
      <c r="CA413" s="621"/>
      <c r="CB413" s="567"/>
      <c r="CC413" s="622"/>
      <c r="CD413" s="619"/>
      <c r="CE413" s="619"/>
      <c r="CF413" s="548"/>
      <c r="CG413" s="548"/>
      <c r="CU413" s="554">
        <f t="shared" si="133"/>
        <v>26</v>
      </c>
      <c r="CV413" s="554">
        <f t="shared" si="122"/>
        <v>0</v>
      </c>
      <c r="CW413" s="554">
        <f t="shared" si="123"/>
        <v>0</v>
      </c>
      <c r="CX413" s="619"/>
      <c r="CY413" s="619"/>
      <c r="CZ413" s="619"/>
      <c r="DA413" s="548"/>
      <c r="DB413" s="548"/>
      <c r="DC413" s="548"/>
      <c r="DD413" s="619"/>
      <c r="DE413" s="619"/>
      <c r="DF413" s="619"/>
      <c r="DG413" s="619"/>
      <c r="DH413" s="619"/>
    </row>
    <row r="414" s="548" customFormat="1" ht="31" customHeight="1" spans="1:112">
      <c r="A414" s="608">
        <v>45838</v>
      </c>
      <c r="B414" s="609" t="s">
        <v>404</v>
      </c>
      <c r="C414" s="610" t="s">
        <v>278</v>
      </c>
      <c r="D414" s="554">
        <v>4500164207</v>
      </c>
      <c r="E414" s="610">
        <v>240151</v>
      </c>
      <c r="F414" s="554" t="s">
        <v>7085</v>
      </c>
      <c r="G414" s="610" t="s">
        <v>6025</v>
      </c>
      <c r="H414" s="610" t="s">
        <v>6026</v>
      </c>
      <c r="I414" s="610">
        <v>216</v>
      </c>
      <c r="J414" s="610">
        <v>0</v>
      </c>
      <c r="K414" s="610">
        <v>24</v>
      </c>
      <c r="L414" s="611">
        <f t="shared" si="125"/>
        <v>9</v>
      </c>
      <c r="M414" s="612">
        <v>45870</v>
      </c>
      <c r="N414" s="612">
        <f>M414-4</f>
        <v>45866</v>
      </c>
      <c r="O414" s="613"/>
      <c r="P414" s="613" t="s">
        <v>113</v>
      </c>
      <c r="Q414" s="610"/>
      <c r="R414" s="614">
        <v>45838</v>
      </c>
      <c r="S414" s="614" t="s">
        <v>70</v>
      </c>
      <c r="T414" s="614">
        <v>45838</v>
      </c>
      <c r="U414" s="614"/>
      <c r="V414" s="614"/>
      <c r="W414" s="615"/>
      <c r="X414" s="609" t="s">
        <v>7086</v>
      </c>
      <c r="Y414" s="609">
        <v>300150</v>
      </c>
      <c r="Z414" s="609">
        <v>0.8707</v>
      </c>
      <c r="AA414" s="616">
        <f t="shared" si="127"/>
        <v>188.0712</v>
      </c>
      <c r="AC414" s="629" t="s">
        <v>1312</v>
      </c>
      <c r="AD414" s="610" t="s">
        <v>6025</v>
      </c>
      <c r="AE414" s="610" t="s">
        <v>82</v>
      </c>
      <c r="AF414" s="610"/>
      <c r="AG414" s="610"/>
      <c r="AH414" s="610"/>
      <c r="AI414" s="610">
        <v>216</v>
      </c>
      <c r="AJ414" s="610">
        <f t="shared" si="126"/>
        <v>0</v>
      </c>
      <c r="AK414" s="610"/>
      <c r="AL414" s="610"/>
      <c r="AM414" s="610"/>
      <c r="AN414" s="610"/>
      <c r="AO414" s="554">
        <f>I414</f>
        <v>216</v>
      </c>
      <c r="AR414" s="619"/>
      <c r="AS414" s="548"/>
      <c r="AT414" s="554">
        <f>I414</f>
        <v>216</v>
      </c>
      <c r="AV414" s="554">
        <f>I414</f>
        <v>216</v>
      </c>
      <c r="AW414" s="619"/>
      <c r="AX414" s="548"/>
      <c r="AY414" s="548"/>
      <c r="AZ414" s="548"/>
      <c r="BA414" s="548"/>
      <c r="BB414" s="620">
        <f>I414/24</f>
        <v>9</v>
      </c>
      <c r="BY414" s="619"/>
      <c r="BZ414" s="548"/>
      <c r="CA414" s="621"/>
      <c r="CB414" s="567"/>
      <c r="CC414" s="622"/>
      <c r="CD414" s="619"/>
      <c r="CE414" s="619"/>
      <c r="CF414" s="548"/>
      <c r="CG414" s="548"/>
      <c r="CU414" s="554">
        <f t="shared" si="124"/>
        <v>0</v>
      </c>
      <c r="CV414" s="554">
        <f t="shared" si="122"/>
        <v>0</v>
      </c>
      <c r="CW414" s="554">
        <f t="shared" si="123"/>
        <v>0</v>
      </c>
      <c r="CX414" s="619"/>
      <c r="CY414" s="619"/>
      <c r="CZ414" s="619"/>
      <c r="DA414" s="548"/>
      <c r="DB414" s="548"/>
      <c r="DC414" s="548"/>
      <c r="DD414" s="619"/>
      <c r="DE414" s="619"/>
      <c r="DF414" s="619"/>
      <c r="DG414" s="619"/>
      <c r="DH414" s="619"/>
    </row>
    <row r="415" s="548" customFormat="1" ht="31" customHeight="1" spans="1:112">
      <c r="A415" s="608">
        <v>45770</v>
      </c>
      <c r="B415" s="609" t="s">
        <v>4807</v>
      </c>
      <c r="C415" s="610" t="s">
        <v>302</v>
      </c>
      <c r="D415" s="554">
        <v>4500163362</v>
      </c>
      <c r="E415" s="610"/>
      <c r="F415" s="554" t="s">
        <v>7087</v>
      </c>
      <c r="G415" s="610" t="s">
        <v>6043</v>
      </c>
      <c r="H415" s="610" t="s">
        <v>6110</v>
      </c>
      <c r="I415" s="610">
        <v>350</v>
      </c>
      <c r="J415" s="610">
        <v>0</v>
      </c>
      <c r="K415" s="610">
        <v>50</v>
      </c>
      <c r="L415" s="611">
        <f t="shared" si="125"/>
        <v>7</v>
      </c>
      <c r="M415" s="612">
        <v>45873</v>
      </c>
      <c r="N415" s="612">
        <f>M415-4</f>
        <v>45869</v>
      </c>
      <c r="O415" s="613"/>
      <c r="P415" s="613" t="s">
        <v>113</v>
      </c>
      <c r="Q415" s="610"/>
      <c r="R415" s="614">
        <v>45806</v>
      </c>
      <c r="S415" s="614" t="s">
        <v>70</v>
      </c>
      <c r="T415" s="614" t="s">
        <v>454</v>
      </c>
      <c r="U415" s="614"/>
      <c r="V415" s="614"/>
      <c r="W415" s="615"/>
      <c r="X415" s="628" t="s">
        <v>7088</v>
      </c>
      <c r="Y415" s="609" t="s">
        <v>261</v>
      </c>
      <c r="Z415" s="609">
        <v>0.95</v>
      </c>
      <c r="AA415" s="616">
        <f t="shared" si="127"/>
        <v>332.5</v>
      </c>
      <c r="AC415" s="629" t="s">
        <v>7089</v>
      </c>
      <c r="AD415" s="610" t="s">
        <v>6043</v>
      </c>
      <c r="AE415" s="610" t="s">
        <v>82</v>
      </c>
      <c r="AF415" s="610"/>
      <c r="AG415" s="610"/>
      <c r="AH415" s="610"/>
      <c r="AI415" s="610">
        <v>350</v>
      </c>
      <c r="AJ415" s="610">
        <f t="shared" si="126"/>
        <v>0</v>
      </c>
      <c r="AK415" s="610"/>
      <c r="AL415" s="610"/>
      <c r="AM415" s="610"/>
      <c r="AN415" s="610"/>
      <c r="AO415" s="554">
        <f>I415</f>
        <v>350</v>
      </c>
      <c r="AR415" s="619"/>
      <c r="AS415" s="548"/>
      <c r="AT415" s="554">
        <f>I415</f>
        <v>350</v>
      </c>
      <c r="AV415" s="554">
        <f>I415</f>
        <v>350</v>
      </c>
      <c r="AW415" s="619"/>
      <c r="AX415" s="548"/>
      <c r="AY415" s="548"/>
      <c r="AZ415" s="548"/>
      <c r="BA415" s="548"/>
      <c r="BB415" s="620">
        <f>I415/24</f>
        <v>14.5833333333333</v>
      </c>
      <c r="BP415" s="554">
        <f>I415/25</f>
        <v>14</v>
      </c>
      <c r="BY415" s="619"/>
      <c r="BZ415" s="548"/>
      <c r="CA415" s="621"/>
      <c r="CB415" s="567"/>
      <c r="CC415" s="622"/>
      <c r="CD415" s="619"/>
      <c r="CE415" s="619"/>
      <c r="CF415" s="548"/>
      <c r="CG415" s="548"/>
      <c r="CU415" s="554">
        <f t="shared" si="124"/>
        <v>14</v>
      </c>
      <c r="CV415" s="554">
        <f t="shared" si="122"/>
        <v>0</v>
      </c>
      <c r="CW415" s="554">
        <f t="shared" si="123"/>
        <v>0</v>
      </c>
      <c r="CX415" s="619"/>
      <c r="CY415" s="619"/>
      <c r="CZ415" s="619"/>
      <c r="DA415" s="548"/>
      <c r="DB415" s="548"/>
      <c r="DC415" s="548"/>
      <c r="DD415" s="619"/>
      <c r="DE415" s="619"/>
      <c r="DF415" s="619"/>
      <c r="DG415" s="619"/>
      <c r="DH415" s="619"/>
    </row>
    <row r="416" s="548" customFormat="1" ht="31" customHeight="1" spans="1:112">
      <c r="A416" s="608">
        <v>45826</v>
      </c>
      <c r="B416" s="609" t="s">
        <v>1332</v>
      </c>
      <c r="C416" s="610" t="s">
        <v>590</v>
      </c>
      <c r="D416" s="554">
        <v>4500170501</v>
      </c>
      <c r="E416" s="610"/>
      <c r="F416" s="554" t="s">
        <v>7090</v>
      </c>
      <c r="G416" s="610" t="s">
        <v>6448</v>
      </c>
      <c r="H416" s="610" t="s">
        <v>6449</v>
      </c>
      <c r="I416" s="610">
        <v>1500</v>
      </c>
      <c r="J416" s="610">
        <v>0</v>
      </c>
      <c r="K416" s="610">
        <v>50</v>
      </c>
      <c r="L416" s="611">
        <f t="shared" si="125"/>
        <v>30</v>
      </c>
      <c r="M416" s="612">
        <v>45869</v>
      </c>
      <c r="N416" s="612">
        <v>45866</v>
      </c>
      <c r="O416" s="613"/>
      <c r="P416" s="613" t="s">
        <v>113</v>
      </c>
      <c r="Q416" s="610"/>
      <c r="R416" s="614">
        <v>45834</v>
      </c>
      <c r="S416" s="614" t="s">
        <v>70</v>
      </c>
      <c r="T416" s="614" t="s">
        <v>7091</v>
      </c>
      <c r="U416" s="614"/>
      <c r="V416" s="614"/>
      <c r="W416" s="615"/>
      <c r="X416" s="628" t="s">
        <v>7092</v>
      </c>
      <c r="Y416" s="609" t="s">
        <v>230</v>
      </c>
      <c r="Z416" s="609">
        <v>0.9543</v>
      </c>
      <c r="AA416" s="616">
        <f t="shared" si="127"/>
        <v>1431.45</v>
      </c>
      <c r="AC416" s="629" t="s">
        <v>1336</v>
      </c>
      <c r="AD416" s="610" t="s">
        <v>6448</v>
      </c>
      <c r="AE416" s="610" t="s">
        <v>82</v>
      </c>
      <c r="AF416" s="610"/>
      <c r="AG416" s="610"/>
      <c r="AH416" s="610"/>
      <c r="AI416" s="610">
        <v>1500</v>
      </c>
      <c r="AJ416" s="610">
        <f t="shared" si="126"/>
        <v>0</v>
      </c>
      <c r="AK416" s="610"/>
      <c r="AL416" s="610"/>
      <c r="AM416" s="610"/>
      <c r="AN416" s="610"/>
      <c r="AO416" s="554">
        <f>I416</f>
        <v>1500</v>
      </c>
      <c r="AR416" s="619"/>
      <c r="AS416" s="548"/>
      <c r="AT416" s="554">
        <f>I416</f>
        <v>1500</v>
      </c>
      <c r="AW416" s="619"/>
      <c r="AX416" s="548"/>
      <c r="AY416" s="548"/>
      <c r="AZ416" s="554">
        <f>I416</f>
        <v>1500</v>
      </c>
      <c r="BB416" s="620">
        <f>I416/24</f>
        <v>62.5</v>
      </c>
      <c r="BX416" s="554">
        <f>I416/25</f>
        <v>60</v>
      </c>
      <c r="BY416" s="619"/>
      <c r="BZ416" s="548"/>
      <c r="CA416" s="621"/>
      <c r="CB416" s="567"/>
      <c r="CC416" s="622"/>
      <c r="CD416" s="619"/>
      <c r="CE416" s="619"/>
      <c r="CF416" s="548"/>
      <c r="CG416" s="548"/>
      <c r="CU416" s="554">
        <f t="shared" si="124"/>
        <v>60</v>
      </c>
      <c r="CV416" s="554">
        <f t="shared" si="122"/>
        <v>0</v>
      </c>
      <c r="CW416" s="554">
        <f t="shared" si="123"/>
        <v>0</v>
      </c>
      <c r="CX416" s="619"/>
      <c r="CY416" s="619"/>
      <c r="CZ416" s="619"/>
      <c r="DA416" s="548"/>
      <c r="DB416" s="548"/>
      <c r="DC416" s="548"/>
      <c r="DD416" s="619"/>
      <c r="DE416" s="619"/>
      <c r="DF416" s="619"/>
      <c r="DG416" s="619"/>
      <c r="DH416" s="619"/>
    </row>
    <row r="417" s="548" customFormat="1" ht="31" customHeight="1" spans="1:112">
      <c r="A417" s="608">
        <v>45828</v>
      </c>
      <c r="B417" s="609" t="s">
        <v>139</v>
      </c>
      <c r="C417" s="610" t="s">
        <v>76</v>
      </c>
      <c r="D417" s="554">
        <v>4500170843</v>
      </c>
      <c r="E417" s="610">
        <v>20862339</v>
      </c>
      <c r="F417" s="554" t="s">
        <v>1302</v>
      </c>
      <c r="G417" s="610" t="s">
        <v>6337</v>
      </c>
      <c r="H417" s="610" t="s">
        <v>477</v>
      </c>
      <c r="I417" s="610">
        <v>354</v>
      </c>
      <c r="J417" s="610">
        <v>0</v>
      </c>
      <c r="K417" s="610">
        <v>6</v>
      </c>
      <c r="L417" s="611">
        <f t="shared" si="125"/>
        <v>59</v>
      </c>
      <c r="M417" s="612">
        <v>45870</v>
      </c>
      <c r="N417" s="612">
        <v>45868</v>
      </c>
      <c r="O417" s="613"/>
      <c r="P417" s="613" t="s">
        <v>113</v>
      </c>
      <c r="Q417" s="610"/>
      <c r="R417" s="614">
        <v>45828</v>
      </c>
      <c r="S417" s="614" t="s">
        <v>104</v>
      </c>
      <c r="T417" s="614">
        <v>45846</v>
      </c>
      <c r="U417" s="614"/>
      <c r="V417" s="614"/>
      <c r="W417" s="615"/>
      <c r="X417" s="628" t="s">
        <v>7093</v>
      </c>
      <c r="Y417" s="609" t="s">
        <v>133</v>
      </c>
      <c r="Z417" s="609">
        <v>7.4117</v>
      </c>
      <c r="AA417" s="616">
        <f t="shared" si="127"/>
        <v>2623.7418</v>
      </c>
      <c r="AC417" s="629" t="s">
        <v>1305</v>
      </c>
      <c r="AD417" s="610" t="s">
        <v>1306</v>
      </c>
      <c r="AE417" s="610" t="s">
        <v>82</v>
      </c>
      <c r="AF417" s="610"/>
      <c r="AG417" s="610"/>
      <c r="AH417" s="610"/>
      <c r="AI417" s="610">
        <v>354</v>
      </c>
      <c r="AJ417" s="610">
        <f t="shared" si="126"/>
        <v>0</v>
      </c>
      <c r="AK417" s="610"/>
      <c r="AL417" s="610"/>
      <c r="AM417" s="610"/>
      <c r="AN417" s="610"/>
      <c r="AO417" s="554">
        <f>I417*2</f>
        <v>708</v>
      </c>
      <c r="AR417" s="619">
        <f>I417*2</f>
        <v>708</v>
      </c>
      <c r="AV417" s="554">
        <f>I417*2</f>
        <v>708</v>
      </c>
      <c r="AW417" s="619"/>
      <c r="AX417" s="548"/>
      <c r="AY417" s="548"/>
      <c r="AZ417" s="548"/>
      <c r="BA417" s="548"/>
      <c r="BB417" s="620">
        <f>I417/24*2</f>
        <v>29.5</v>
      </c>
      <c r="BY417" s="619"/>
      <c r="BZ417" s="554">
        <f>I417</f>
        <v>354</v>
      </c>
      <c r="CA417" s="621"/>
      <c r="CB417" s="567"/>
      <c r="CC417" s="622"/>
      <c r="CD417" s="619"/>
      <c r="CE417" s="619"/>
      <c r="CF417" s="548"/>
      <c r="CG417" s="548"/>
      <c r="CU417" s="554">
        <f t="shared" si="124"/>
        <v>0</v>
      </c>
      <c r="CV417" s="554">
        <f t="shared" si="122"/>
        <v>0</v>
      </c>
      <c r="CW417" s="554">
        <f t="shared" si="123"/>
        <v>0</v>
      </c>
      <c r="CX417" s="619"/>
      <c r="CY417" s="619"/>
      <c r="CZ417" s="619"/>
      <c r="DA417" s="548"/>
      <c r="DB417" s="548"/>
      <c r="DC417" s="548"/>
      <c r="DD417" s="619"/>
      <c r="DE417" s="619"/>
      <c r="DF417" s="619"/>
      <c r="DG417" s="619"/>
      <c r="DH417" s="619"/>
    </row>
    <row r="418" s="548" customFormat="1" ht="31" customHeight="1" spans="1:112">
      <c r="A418" s="608">
        <v>45828</v>
      </c>
      <c r="B418" s="609" t="s">
        <v>135</v>
      </c>
      <c r="C418" s="610" t="s">
        <v>128</v>
      </c>
      <c r="D418" s="554">
        <v>4500170842</v>
      </c>
      <c r="E418" s="610">
        <v>20862333</v>
      </c>
      <c r="F418" s="554" t="s">
        <v>1307</v>
      </c>
      <c r="G418" s="610" t="s">
        <v>6337</v>
      </c>
      <c r="H418" s="610" t="s">
        <v>477</v>
      </c>
      <c r="I418" s="610">
        <v>3246</v>
      </c>
      <c r="J418" s="610">
        <v>0</v>
      </c>
      <c r="K418" s="610">
        <v>6</v>
      </c>
      <c r="L418" s="611">
        <f t="shared" si="125"/>
        <v>541</v>
      </c>
      <c r="M418" s="612">
        <v>45870</v>
      </c>
      <c r="N418" s="612">
        <v>45868</v>
      </c>
      <c r="O418" s="613"/>
      <c r="P418" s="613" t="s">
        <v>113</v>
      </c>
      <c r="Q418" s="610"/>
      <c r="R418" s="614">
        <v>45828</v>
      </c>
      <c r="S418" s="614" t="s">
        <v>104</v>
      </c>
      <c r="T418" s="614">
        <v>45846</v>
      </c>
      <c r="U418" s="614"/>
      <c r="V418" s="614"/>
      <c r="W418" s="615"/>
      <c r="X418" s="628" t="s">
        <v>7094</v>
      </c>
      <c r="Y418" s="609" t="s">
        <v>133</v>
      </c>
      <c r="Z418" s="609">
        <v>6.8865</v>
      </c>
      <c r="AA418" s="616">
        <f t="shared" si="127"/>
        <v>22353.579</v>
      </c>
      <c r="AC418" s="629" t="s">
        <v>1309</v>
      </c>
      <c r="AD418" s="610" t="s">
        <v>1306</v>
      </c>
      <c r="AE418" s="610" t="s">
        <v>82</v>
      </c>
      <c r="AF418" s="610"/>
      <c r="AG418" s="610"/>
      <c r="AH418" s="610"/>
      <c r="AI418" s="610">
        <v>3246</v>
      </c>
      <c r="AJ418" s="610">
        <f t="shared" si="126"/>
        <v>0</v>
      </c>
      <c r="AK418" s="610"/>
      <c r="AL418" s="610"/>
      <c r="AM418" s="610"/>
      <c r="AN418" s="610"/>
      <c r="AO418" s="554">
        <f>I418*2</f>
        <v>6492</v>
      </c>
      <c r="AR418" s="619">
        <f>I418*2</f>
        <v>6492</v>
      </c>
      <c r="AV418" s="554">
        <f>I418*2</f>
        <v>6492</v>
      </c>
      <c r="AW418" s="619"/>
      <c r="AX418" s="548"/>
      <c r="AY418" s="548"/>
      <c r="AZ418" s="548"/>
      <c r="BA418" s="548"/>
      <c r="BB418" s="620">
        <f>I418/24*2</f>
        <v>270.5</v>
      </c>
      <c r="BY418" s="619"/>
      <c r="BZ418" s="554">
        <f>I418</f>
        <v>3246</v>
      </c>
      <c r="CA418" s="621"/>
      <c r="CB418" s="567"/>
      <c r="CC418" s="622"/>
      <c r="CD418" s="619"/>
      <c r="CE418" s="619"/>
      <c r="CF418" s="548"/>
      <c r="CG418" s="548"/>
      <c r="CU418" s="554">
        <f t="shared" si="124"/>
        <v>0</v>
      </c>
      <c r="CV418" s="554">
        <f t="shared" si="122"/>
        <v>0</v>
      </c>
      <c r="CW418" s="554">
        <f t="shared" si="123"/>
        <v>0</v>
      </c>
      <c r="CX418" s="619"/>
      <c r="CY418" s="619"/>
      <c r="CZ418" s="619"/>
      <c r="DA418" s="548"/>
      <c r="DB418" s="548"/>
      <c r="DC418" s="548"/>
      <c r="DD418" s="619"/>
      <c r="DE418" s="619"/>
      <c r="DF418" s="619"/>
      <c r="DG418" s="619"/>
      <c r="DH418" s="619"/>
    </row>
    <row r="419" s="548" customFormat="1" ht="31" customHeight="1" spans="1:112">
      <c r="A419" s="608">
        <v>45834</v>
      </c>
      <c r="B419" s="609" t="s">
        <v>1337</v>
      </c>
      <c r="C419" s="610" t="s">
        <v>931</v>
      </c>
      <c r="D419" s="554">
        <v>4500171272</v>
      </c>
      <c r="E419" s="610"/>
      <c r="F419" s="554" t="s">
        <v>7095</v>
      </c>
      <c r="G419" s="610" t="s">
        <v>6276</v>
      </c>
      <c r="H419" s="610" t="s">
        <v>6277</v>
      </c>
      <c r="I419" s="610">
        <v>1300</v>
      </c>
      <c r="J419" s="610">
        <v>0</v>
      </c>
      <c r="K419" s="610">
        <v>50</v>
      </c>
      <c r="L419" s="611">
        <f t="shared" si="125"/>
        <v>26</v>
      </c>
      <c r="M419" s="612">
        <v>45870</v>
      </c>
      <c r="N419" s="612">
        <v>45868</v>
      </c>
      <c r="O419" s="613"/>
      <c r="P419" s="613" t="s">
        <v>113</v>
      </c>
      <c r="Q419" s="610"/>
      <c r="R419" s="614">
        <v>45845</v>
      </c>
      <c r="S419" s="614" t="s">
        <v>70</v>
      </c>
      <c r="T419" s="614" t="s">
        <v>70</v>
      </c>
      <c r="U419" s="614"/>
      <c r="V419" s="614"/>
      <c r="W419" s="615"/>
      <c r="X419" s="609" t="s">
        <v>7096</v>
      </c>
      <c r="Y419" s="609" t="s">
        <v>943</v>
      </c>
      <c r="Z419" s="609">
        <v>0.924</v>
      </c>
      <c r="AA419" s="616">
        <f t="shared" si="127"/>
        <v>1201.2</v>
      </c>
      <c r="AC419" s="629" t="s">
        <v>7097</v>
      </c>
      <c r="AD419" s="610" t="s">
        <v>6276</v>
      </c>
      <c r="AE419" s="610" t="s">
        <v>82</v>
      </c>
      <c r="AF419" s="610"/>
      <c r="AG419" s="610"/>
      <c r="AH419" s="610"/>
      <c r="AI419" s="610">
        <v>1300</v>
      </c>
      <c r="AJ419" s="610">
        <f t="shared" si="126"/>
        <v>0</v>
      </c>
      <c r="AK419" s="610"/>
      <c r="AL419" s="610"/>
      <c r="AM419" s="610"/>
      <c r="AN419" s="610"/>
      <c r="AO419" s="554">
        <f>I419</f>
        <v>1300</v>
      </c>
      <c r="AR419" s="619"/>
      <c r="AS419" s="548"/>
      <c r="AT419" s="548"/>
      <c r="AU419" s="548"/>
      <c r="AV419" s="548"/>
      <c r="AW419" s="619"/>
      <c r="AX419" s="548"/>
      <c r="AY419" s="548"/>
      <c r="AZ419" s="548"/>
      <c r="BA419" s="548"/>
      <c r="BB419" s="620">
        <f>I419/24*2</f>
        <v>108.333333333333</v>
      </c>
      <c r="BV419" s="554">
        <f>I419</f>
        <v>1300</v>
      </c>
      <c r="BW419" s="554">
        <f>I419</f>
        <v>1300</v>
      </c>
      <c r="BX419" s="554">
        <f>I419/25</f>
        <v>52</v>
      </c>
      <c r="BY419" s="619"/>
      <c r="BZ419" s="548"/>
      <c r="CA419" s="621"/>
      <c r="CB419" s="567"/>
      <c r="CC419" s="622"/>
      <c r="CD419" s="619"/>
      <c r="CE419" s="619"/>
      <c r="CF419" s="548"/>
      <c r="CG419" s="548"/>
      <c r="CU419" s="554">
        <f t="shared" si="124"/>
        <v>52</v>
      </c>
      <c r="CV419" s="554">
        <f t="shared" si="122"/>
        <v>0</v>
      </c>
      <c r="CW419" s="554">
        <f t="shared" si="123"/>
        <v>0</v>
      </c>
      <c r="CX419" s="619"/>
      <c r="CY419" s="619"/>
      <c r="CZ419" s="619"/>
      <c r="DA419" s="548"/>
      <c r="DB419" s="548"/>
      <c r="DC419" s="548"/>
      <c r="DD419" s="619"/>
      <c r="DE419" s="619"/>
      <c r="DF419" s="619"/>
      <c r="DG419" s="619"/>
      <c r="DH419" s="619"/>
    </row>
    <row r="420" s="548" customFormat="1" ht="31" customHeight="1" spans="1:112">
      <c r="A420" s="608">
        <v>45834</v>
      </c>
      <c r="B420" s="609" t="s">
        <v>1337</v>
      </c>
      <c r="C420" s="610" t="s">
        <v>931</v>
      </c>
      <c r="D420" s="554">
        <v>4500171286</v>
      </c>
      <c r="E420" s="610"/>
      <c r="F420" s="554" t="s">
        <v>7098</v>
      </c>
      <c r="G420" s="610" t="s">
        <v>6276</v>
      </c>
      <c r="H420" s="610" t="s">
        <v>6277</v>
      </c>
      <c r="I420" s="610">
        <v>500</v>
      </c>
      <c r="J420" s="610">
        <v>0</v>
      </c>
      <c r="K420" s="610">
        <v>50</v>
      </c>
      <c r="L420" s="611">
        <f t="shared" si="125"/>
        <v>10</v>
      </c>
      <c r="M420" s="612">
        <v>45870</v>
      </c>
      <c r="N420" s="612">
        <f>M420-4</f>
        <v>45866</v>
      </c>
      <c r="O420" s="613"/>
      <c r="P420" s="613" t="s">
        <v>113</v>
      </c>
      <c r="Q420" s="610"/>
      <c r="R420" s="614">
        <v>45845</v>
      </c>
      <c r="S420" s="614" t="s">
        <v>70</v>
      </c>
      <c r="T420" s="614" t="s">
        <v>70</v>
      </c>
      <c r="U420" s="614"/>
      <c r="V420" s="614"/>
      <c r="W420" s="615"/>
      <c r="X420" s="609" t="s">
        <v>7099</v>
      </c>
      <c r="Y420" s="609" t="s">
        <v>943</v>
      </c>
      <c r="Z420" s="609">
        <v>0.9292</v>
      </c>
      <c r="AA420" s="616">
        <f t="shared" si="127"/>
        <v>464.6</v>
      </c>
      <c r="AC420" s="632" t="s">
        <v>1437</v>
      </c>
      <c r="AD420" s="610" t="s">
        <v>6276</v>
      </c>
      <c r="AE420" s="610" t="s">
        <v>82</v>
      </c>
      <c r="AF420" s="610"/>
      <c r="AG420" s="610"/>
      <c r="AH420" s="610"/>
      <c r="AI420" s="610">
        <v>500</v>
      </c>
      <c r="AJ420" s="610">
        <f t="shared" si="126"/>
        <v>0</v>
      </c>
      <c r="AK420" s="610"/>
      <c r="AL420" s="610"/>
      <c r="AM420" s="610"/>
      <c r="AN420" s="610"/>
      <c r="AO420" s="554">
        <f>I420</f>
        <v>500</v>
      </c>
      <c r="AR420" s="619"/>
      <c r="AS420" s="548"/>
      <c r="AT420" s="548"/>
      <c r="AU420" s="548"/>
      <c r="AV420" s="548"/>
      <c r="AW420" s="619"/>
      <c r="AX420" s="548"/>
      <c r="AY420" s="548"/>
      <c r="AZ420" s="548"/>
      <c r="BA420" s="548"/>
      <c r="BB420" s="620">
        <f>I420/24*2</f>
        <v>41.6666666666667</v>
      </c>
      <c r="BV420" s="554">
        <f>I420</f>
        <v>500</v>
      </c>
      <c r="BW420" s="554">
        <f>I420</f>
        <v>500</v>
      </c>
      <c r="BX420" s="554">
        <f>I420/25</f>
        <v>20</v>
      </c>
      <c r="BY420" s="619"/>
      <c r="BZ420" s="548"/>
      <c r="CA420" s="621"/>
      <c r="CB420" s="567"/>
      <c r="CC420" s="622"/>
      <c r="CD420" s="619"/>
      <c r="CE420" s="619"/>
      <c r="CF420" s="548"/>
      <c r="CG420" s="548"/>
      <c r="CU420" s="554">
        <f t="shared" si="124"/>
        <v>20</v>
      </c>
      <c r="CV420" s="554">
        <f t="shared" si="122"/>
        <v>0</v>
      </c>
      <c r="CW420" s="554">
        <f t="shared" si="123"/>
        <v>0</v>
      </c>
      <c r="CX420" s="619"/>
      <c r="CY420" s="619"/>
      <c r="CZ420" s="619"/>
      <c r="DA420" s="548"/>
      <c r="DB420" s="548"/>
      <c r="DC420" s="548"/>
      <c r="DD420" s="619"/>
      <c r="DE420" s="619"/>
      <c r="DF420" s="619"/>
      <c r="DG420" s="619"/>
      <c r="DH420" s="619"/>
    </row>
    <row r="421" s="548" customFormat="1" ht="31" customHeight="1" spans="1:112">
      <c r="A421" s="608">
        <v>45803</v>
      </c>
      <c r="B421" s="609" t="s">
        <v>205</v>
      </c>
      <c r="C421" s="610" t="s">
        <v>98</v>
      </c>
      <c r="D421" s="554">
        <v>4500168039</v>
      </c>
      <c r="E421" s="610">
        <v>217405827</v>
      </c>
      <c r="F421" s="554" t="s">
        <v>7100</v>
      </c>
      <c r="G421" s="610" t="s">
        <v>6166</v>
      </c>
      <c r="H421" s="610" t="s">
        <v>6094</v>
      </c>
      <c r="I421" s="610">
        <v>637</v>
      </c>
      <c r="J421" s="610">
        <v>0</v>
      </c>
      <c r="K421" s="610">
        <v>13</v>
      </c>
      <c r="L421" s="611">
        <f t="shared" si="125"/>
        <v>49</v>
      </c>
      <c r="M421" s="612">
        <v>45871</v>
      </c>
      <c r="N421" s="612">
        <f>M421-4</f>
        <v>45867</v>
      </c>
      <c r="O421" s="613"/>
      <c r="P421" s="613" t="s">
        <v>113</v>
      </c>
      <c r="Q421" s="610"/>
      <c r="R421" s="614">
        <v>45839</v>
      </c>
      <c r="S421" s="614" t="s">
        <v>70</v>
      </c>
      <c r="T421" s="614" t="s">
        <v>70</v>
      </c>
      <c r="U421" s="614"/>
      <c r="V421" s="614"/>
      <c r="W421" s="615"/>
      <c r="X421" s="609" t="s">
        <v>208</v>
      </c>
      <c r="Y421" s="609" t="s">
        <v>209</v>
      </c>
      <c r="Z421" s="609">
        <v>0.9623</v>
      </c>
      <c r="AA421" s="616">
        <f t="shared" si="127"/>
        <v>612.9851</v>
      </c>
      <c r="AC421" s="617" t="s">
        <v>7101</v>
      </c>
      <c r="AD421" s="610" t="s">
        <v>6257</v>
      </c>
      <c r="AE421" s="610" t="s">
        <v>82</v>
      </c>
      <c r="AF421" s="610"/>
      <c r="AG421" s="610"/>
      <c r="AH421" s="610"/>
      <c r="AI421" s="610">
        <v>637</v>
      </c>
      <c r="AJ421" s="610">
        <f t="shared" si="126"/>
        <v>0</v>
      </c>
      <c r="AK421" s="610"/>
      <c r="AL421" s="610"/>
      <c r="AM421" s="610"/>
      <c r="AN421" s="610">
        <f>I421</f>
        <v>637</v>
      </c>
      <c r="AP421" s="554">
        <f>I421</f>
        <v>637</v>
      </c>
      <c r="AR421" s="619"/>
      <c r="AS421" s="548"/>
      <c r="AT421" s="548"/>
      <c r="AU421" s="554">
        <f>I421</f>
        <v>637</v>
      </c>
      <c r="AW421" s="619"/>
      <c r="AX421" s="548"/>
      <c r="AY421" s="548"/>
      <c r="AZ421" s="548"/>
      <c r="BA421" s="548"/>
      <c r="BB421" s="620">
        <f>I421/48</f>
        <v>13.2708333333333</v>
      </c>
      <c r="BK421" s="554">
        <f>I421/13</f>
        <v>49</v>
      </c>
      <c r="BY421" s="619"/>
      <c r="BZ421" s="548"/>
      <c r="CA421" s="621"/>
      <c r="CB421" s="567"/>
      <c r="CC421" s="622"/>
      <c r="CD421" s="619"/>
      <c r="CE421" s="619"/>
      <c r="CF421" s="548"/>
      <c r="CG421" s="548"/>
      <c r="CU421" s="554">
        <f t="shared" si="124"/>
        <v>0</v>
      </c>
      <c r="CV421" s="554">
        <f t="shared" si="122"/>
        <v>0</v>
      </c>
      <c r="CW421" s="554">
        <f t="shared" si="123"/>
        <v>0</v>
      </c>
      <c r="CX421" s="619"/>
      <c r="CY421" s="619"/>
      <c r="CZ421" s="619"/>
      <c r="DA421" s="548"/>
      <c r="DB421" s="548"/>
      <c r="DC421" s="548"/>
      <c r="DD421" s="619"/>
      <c r="DE421" s="619"/>
      <c r="DF421" s="619"/>
      <c r="DG421" s="619"/>
      <c r="DH421" s="619"/>
    </row>
    <row r="422" s="548" customFormat="1" ht="31" customHeight="1" spans="1:112">
      <c r="A422" s="608">
        <v>45803</v>
      </c>
      <c r="B422" s="609" t="s">
        <v>205</v>
      </c>
      <c r="C422" s="610" t="s">
        <v>98</v>
      </c>
      <c r="D422" s="554">
        <v>4500168038</v>
      </c>
      <c r="E422" s="610">
        <v>217405708</v>
      </c>
      <c r="F422" s="554" t="s">
        <v>7102</v>
      </c>
      <c r="G422" s="610" t="s">
        <v>6166</v>
      </c>
      <c r="H422" s="610" t="s">
        <v>6094</v>
      </c>
      <c r="I422" s="610">
        <v>7800</v>
      </c>
      <c r="J422" s="610">
        <v>0</v>
      </c>
      <c r="K422" s="610">
        <v>13</v>
      </c>
      <c r="L422" s="611">
        <f t="shared" si="125"/>
        <v>600</v>
      </c>
      <c r="M422" s="612">
        <v>45871</v>
      </c>
      <c r="N422" s="612">
        <f>M422-4</f>
        <v>45867</v>
      </c>
      <c r="O422" s="613"/>
      <c r="P422" s="613" t="s">
        <v>113</v>
      </c>
      <c r="Q422" s="610"/>
      <c r="R422" s="614">
        <v>45839</v>
      </c>
      <c r="S422" s="614" t="s">
        <v>70</v>
      </c>
      <c r="T422" s="614" t="s">
        <v>70</v>
      </c>
      <c r="U422" s="614"/>
      <c r="V422" s="614"/>
      <c r="W422" s="615"/>
      <c r="X422" s="609" t="s">
        <v>208</v>
      </c>
      <c r="Y422" s="609" t="s">
        <v>209</v>
      </c>
      <c r="Z422" s="609">
        <v>0.952</v>
      </c>
      <c r="AA422" s="616">
        <f t="shared" si="127"/>
        <v>7425.6</v>
      </c>
      <c r="AC422" s="617" t="s">
        <v>7103</v>
      </c>
      <c r="AD422" s="610" t="s">
        <v>6257</v>
      </c>
      <c r="AE422" s="610" t="s">
        <v>82</v>
      </c>
      <c r="AF422" s="610"/>
      <c r="AG422" s="610"/>
      <c r="AH422" s="610"/>
      <c r="AI422" s="610">
        <v>7800</v>
      </c>
      <c r="AJ422" s="610">
        <f t="shared" si="126"/>
        <v>0</v>
      </c>
      <c r="AK422" s="610"/>
      <c r="AL422" s="610"/>
      <c r="AM422" s="610"/>
      <c r="AN422" s="610">
        <f>I422</f>
        <v>7800</v>
      </c>
      <c r="AP422" s="554">
        <f>I422</f>
        <v>7800</v>
      </c>
      <c r="AR422" s="619"/>
      <c r="AS422" s="548"/>
      <c r="AT422" s="548"/>
      <c r="AU422" s="554">
        <f>I422</f>
        <v>7800</v>
      </c>
      <c r="AW422" s="619"/>
      <c r="AX422" s="548"/>
      <c r="AY422" s="548"/>
      <c r="AZ422" s="548"/>
      <c r="BA422" s="548"/>
      <c r="BB422" s="620">
        <f>I422/48</f>
        <v>162.5</v>
      </c>
      <c r="BK422" s="554">
        <f>I422/13</f>
        <v>600</v>
      </c>
      <c r="BY422" s="619"/>
      <c r="BZ422" s="548"/>
      <c r="CA422" s="621"/>
      <c r="CB422" s="567"/>
      <c r="CC422" s="622"/>
      <c r="CD422" s="619"/>
      <c r="CE422" s="619"/>
      <c r="CF422" s="548"/>
      <c r="CG422" s="548"/>
      <c r="CU422" s="554">
        <f t="shared" si="124"/>
        <v>0</v>
      </c>
      <c r="CV422" s="554">
        <f t="shared" si="122"/>
        <v>0</v>
      </c>
      <c r="CW422" s="554">
        <f t="shared" si="123"/>
        <v>0</v>
      </c>
      <c r="CX422" s="619"/>
      <c r="CY422" s="619"/>
      <c r="CZ422" s="619"/>
      <c r="DA422" s="548"/>
      <c r="DB422" s="548"/>
      <c r="DC422" s="548"/>
      <c r="DD422" s="619"/>
      <c r="DE422" s="619"/>
      <c r="DF422" s="619"/>
      <c r="DG422" s="619"/>
      <c r="DH422" s="619"/>
    </row>
    <row r="423" s="548" customFormat="1" ht="31" customHeight="1" spans="1:112">
      <c r="A423" s="608">
        <v>45831</v>
      </c>
      <c r="B423" s="609" t="s">
        <v>205</v>
      </c>
      <c r="C423" s="610" t="s">
        <v>98</v>
      </c>
      <c r="D423" s="554">
        <v>4500170958</v>
      </c>
      <c r="E423" s="610">
        <v>217652640</v>
      </c>
      <c r="F423" s="554" t="s">
        <v>7104</v>
      </c>
      <c r="G423" s="610" t="s">
        <v>6166</v>
      </c>
      <c r="H423" s="610" t="s">
        <v>6094</v>
      </c>
      <c r="I423" s="610">
        <v>3159</v>
      </c>
      <c r="J423" s="610">
        <v>0</v>
      </c>
      <c r="K423" s="610">
        <v>13</v>
      </c>
      <c r="L423" s="611">
        <f t="shared" si="125"/>
        <v>243</v>
      </c>
      <c r="M423" s="612">
        <v>45873</v>
      </c>
      <c r="N423" s="612">
        <f>M423-4</f>
        <v>45869</v>
      </c>
      <c r="O423" s="613"/>
      <c r="P423" s="613" t="s">
        <v>113</v>
      </c>
      <c r="Q423" s="610"/>
      <c r="R423" s="614">
        <v>45831</v>
      </c>
      <c r="S423" s="614" t="s">
        <v>70</v>
      </c>
      <c r="T423" s="614" t="s">
        <v>70</v>
      </c>
      <c r="U423" s="614"/>
      <c r="V423" s="614"/>
      <c r="W423" s="615"/>
      <c r="X423" s="609" t="s">
        <v>208</v>
      </c>
      <c r="Y423" s="609" t="s">
        <v>209</v>
      </c>
      <c r="Z423" s="609">
        <v>0.5743</v>
      </c>
      <c r="AA423" s="616">
        <f t="shared" si="127"/>
        <v>1814.2137</v>
      </c>
      <c r="AC423" s="617" t="s">
        <v>7105</v>
      </c>
      <c r="AD423" s="610" t="s">
        <v>6257</v>
      </c>
      <c r="AE423" s="610" t="s">
        <v>82</v>
      </c>
      <c r="AF423" s="610"/>
      <c r="AG423" s="610"/>
      <c r="AH423" s="610"/>
      <c r="AI423" s="610">
        <v>3159</v>
      </c>
      <c r="AJ423" s="610">
        <f t="shared" si="126"/>
        <v>0</v>
      </c>
      <c r="AK423" s="610"/>
      <c r="AL423" s="610"/>
      <c r="AM423" s="610"/>
      <c r="AN423" s="610">
        <f>I423</f>
        <v>3159</v>
      </c>
      <c r="AP423" s="554">
        <f>I423</f>
        <v>3159</v>
      </c>
      <c r="AR423" s="619"/>
      <c r="AS423" s="548"/>
      <c r="AT423" s="548"/>
      <c r="AU423" s="554">
        <f>I423</f>
        <v>3159</v>
      </c>
      <c r="AW423" s="619"/>
      <c r="AX423" s="548"/>
      <c r="AY423" s="548"/>
      <c r="AZ423" s="548"/>
      <c r="BA423" s="548"/>
      <c r="BB423" s="620">
        <f>I423/48</f>
        <v>65.8125</v>
      </c>
      <c r="BK423" s="554">
        <f>I423/13</f>
        <v>243</v>
      </c>
      <c r="BY423" s="619"/>
      <c r="BZ423" s="548"/>
      <c r="CA423" s="621"/>
      <c r="CB423" s="567"/>
      <c r="CC423" s="622"/>
      <c r="CD423" s="619"/>
      <c r="CE423" s="619"/>
      <c r="CF423" s="548"/>
      <c r="CG423" s="548"/>
      <c r="CU423" s="554">
        <f t="shared" si="124"/>
        <v>0</v>
      </c>
      <c r="CV423" s="554">
        <f t="shared" si="122"/>
        <v>0</v>
      </c>
      <c r="CW423" s="554">
        <f t="shared" si="123"/>
        <v>0</v>
      </c>
      <c r="CX423" s="619"/>
      <c r="CY423" s="619"/>
      <c r="CZ423" s="619"/>
      <c r="DA423" s="548"/>
      <c r="DB423" s="548"/>
      <c r="DC423" s="548"/>
      <c r="DD423" s="619"/>
      <c r="DE423" s="619"/>
      <c r="DF423" s="619"/>
      <c r="DG423" s="619"/>
      <c r="DH423" s="619"/>
    </row>
    <row r="424" s="548" customFormat="1" ht="31" customHeight="1" spans="1:112">
      <c r="A424" s="608">
        <v>45831</v>
      </c>
      <c r="B424" s="609" t="s">
        <v>205</v>
      </c>
      <c r="C424" s="610" t="s">
        <v>98</v>
      </c>
      <c r="D424" s="554">
        <v>4500170955</v>
      </c>
      <c r="E424" s="610">
        <v>217652638</v>
      </c>
      <c r="F424" s="554" t="s">
        <v>7106</v>
      </c>
      <c r="G424" s="610" t="s">
        <v>6166</v>
      </c>
      <c r="H424" s="610" t="s">
        <v>6094</v>
      </c>
      <c r="I424" s="610">
        <v>5850</v>
      </c>
      <c r="J424" s="610">
        <v>0</v>
      </c>
      <c r="K424" s="610">
        <v>13</v>
      </c>
      <c r="L424" s="611">
        <f t="shared" si="125"/>
        <v>450</v>
      </c>
      <c r="M424" s="612">
        <v>45873</v>
      </c>
      <c r="N424" s="612">
        <f>M424-4</f>
        <v>45869</v>
      </c>
      <c r="O424" s="613"/>
      <c r="P424" s="613" t="s">
        <v>113</v>
      </c>
      <c r="Q424" s="610"/>
      <c r="R424" s="614">
        <v>45831</v>
      </c>
      <c r="S424" s="614" t="s">
        <v>70</v>
      </c>
      <c r="T424" s="614" t="s">
        <v>70</v>
      </c>
      <c r="U424" s="614"/>
      <c r="V424" s="614"/>
      <c r="W424" s="615"/>
      <c r="X424" s="609" t="s">
        <v>208</v>
      </c>
      <c r="Y424" s="609" t="s">
        <v>209</v>
      </c>
      <c r="Z424" s="609">
        <v>0.5712</v>
      </c>
      <c r="AA424" s="616">
        <f t="shared" si="127"/>
        <v>3341.52</v>
      </c>
      <c r="AC424" s="617" t="s">
        <v>7107</v>
      </c>
      <c r="AD424" s="610" t="s">
        <v>6257</v>
      </c>
      <c r="AE424" s="610" t="s">
        <v>82</v>
      </c>
      <c r="AF424" s="610"/>
      <c r="AG424" s="610"/>
      <c r="AH424" s="610"/>
      <c r="AI424" s="610">
        <v>5850</v>
      </c>
      <c r="AJ424" s="610">
        <f t="shared" si="126"/>
        <v>0</v>
      </c>
      <c r="AK424" s="610"/>
      <c r="AL424" s="610"/>
      <c r="AM424" s="610"/>
      <c r="AN424" s="610">
        <f>I424</f>
        <v>5850</v>
      </c>
      <c r="AP424" s="554">
        <f>I424</f>
        <v>5850</v>
      </c>
      <c r="AR424" s="619"/>
      <c r="AS424" s="548"/>
      <c r="AT424" s="548"/>
      <c r="AU424" s="554">
        <f>I424</f>
        <v>5850</v>
      </c>
      <c r="AW424" s="619"/>
      <c r="AX424" s="548"/>
      <c r="AY424" s="548"/>
      <c r="AZ424" s="548"/>
      <c r="BA424" s="548"/>
      <c r="BB424" s="620">
        <f>I424/48</f>
        <v>121.875</v>
      </c>
      <c r="BK424" s="554">
        <f>I424/13</f>
        <v>450</v>
      </c>
      <c r="BY424" s="619"/>
      <c r="BZ424" s="548"/>
      <c r="CA424" s="621"/>
      <c r="CB424" s="567"/>
      <c r="CC424" s="622"/>
      <c r="CD424" s="619"/>
      <c r="CE424" s="619"/>
      <c r="CF424" s="548"/>
      <c r="CG424" s="548"/>
      <c r="CU424" s="554">
        <f t="shared" si="124"/>
        <v>0</v>
      </c>
      <c r="CV424" s="554">
        <f t="shared" si="122"/>
        <v>0</v>
      </c>
      <c r="CW424" s="554">
        <f t="shared" si="123"/>
        <v>0</v>
      </c>
      <c r="CX424" s="619"/>
      <c r="CY424" s="619"/>
      <c r="CZ424" s="619"/>
      <c r="DA424" s="548"/>
      <c r="DB424" s="548"/>
      <c r="DC424" s="548"/>
      <c r="DD424" s="619"/>
      <c r="DE424" s="619"/>
      <c r="DF424" s="619"/>
      <c r="DG424" s="619"/>
      <c r="DH424" s="619"/>
    </row>
    <row r="425" s="548" customFormat="1" ht="31" customHeight="1" spans="1:112">
      <c r="A425" s="608">
        <v>45838</v>
      </c>
      <c r="B425" s="609" t="s">
        <v>1337</v>
      </c>
      <c r="C425" s="610" t="s">
        <v>931</v>
      </c>
      <c r="D425" s="554">
        <v>4500172103</v>
      </c>
      <c r="E425" s="610"/>
      <c r="F425" s="554" t="s">
        <v>7108</v>
      </c>
      <c r="G425" s="610" t="s">
        <v>6276</v>
      </c>
      <c r="H425" s="610" t="s">
        <v>6277</v>
      </c>
      <c r="I425" s="610">
        <v>300</v>
      </c>
      <c r="J425" s="610">
        <v>0</v>
      </c>
      <c r="K425" s="610">
        <v>50</v>
      </c>
      <c r="L425" s="611">
        <f t="shared" si="125"/>
        <v>6</v>
      </c>
      <c r="M425" s="612">
        <v>45874</v>
      </c>
      <c r="N425" s="612">
        <v>45870</v>
      </c>
      <c r="O425" s="613"/>
      <c r="P425" s="613" t="s">
        <v>113</v>
      </c>
      <c r="Q425" s="610"/>
      <c r="R425" s="614">
        <v>45845</v>
      </c>
      <c r="S425" s="614" t="s">
        <v>70</v>
      </c>
      <c r="T425" s="614" t="s">
        <v>70</v>
      </c>
      <c r="U425" s="614"/>
      <c r="V425" s="614"/>
      <c r="W425" s="615"/>
      <c r="X425" s="628" t="s">
        <v>7109</v>
      </c>
      <c r="Y425" s="609" t="s">
        <v>943</v>
      </c>
      <c r="Z425" s="609">
        <v>0.9292</v>
      </c>
      <c r="AA425" s="616">
        <f t="shared" si="127"/>
        <v>278.76</v>
      </c>
      <c r="AC425" s="617" t="s">
        <v>7110</v>
      </c>
      <c r="AD425" s="610" t="s">
        <v>6276</v>
      </c>
      <c r="AE425" s="610" t="s">
        <v>82</v>
      </c>
      <c r="AF425" s="610"/>
      <c r="AG425" s="610"/>
      <c r="AH425" s="610"/>
      <c r="AI425" s="610">
        <v>300</v>
      </c>
      <c r="AJ425" s="610">
        <f t="shared" si="126"/>
        <v>0</v>
      </c>
      <c r="AK425" s="610"/>
      <c r="AL425" s="610"/>
      <c r="AM425" s="610"/>
      <c r="AN425" s="610"/>
      <c r="AO425" s="554">
        <f>I425</f>
        <v>300</v>
      </c>
      <c r="AR425" s="619"/>
      <c r="AS425" s="548"/>
      <c r="AT425" s="548"/>
      <c r="AU425" s="548"/>
      <c r="AV425" s="548"/>
      <c r="AW425" s="619"/>
      <c r="AX425" s="548"/>
      <c r="AY425" s="548"/>
      <c r="AZ425" s="548"/>
      <c r="BA425" s="548"/>
      <c r="BB425" s="620">
        <f>I425/24*2</f>
        <v>25</v>
      </c>
      <c r="BV425" s="554">
        <f>I425</f>
        <v>300</v>
      </c>
      <c r="BW425" s="554">
        <f>I425</f>
        <v>300</v>
      </c>
      <c r="BX425" s="554">
        <f>I425/25</f>
        <v>12</v>
      </c>
      <c r="BY425" s="619"/>
      <c r="BZ425" s="548"/>
      <c r="CA425" s="621"/>
      <c r="CB425" s="567"/>
      <c r="CC425" s="622"/>
      <c r="CD425" s="619"/>
      <c r="CE425" s="619"/>
      <c r="CF425" s="548"/>
      <c r="CG425" s="548"/>
      <c r="CU425" s="554">
        <f t="shared" si="124"/>
        <v>12</v>
      </c>
      <c r="CV425" s="554">
        <f t="shared" si="122"/>
        <v>0</v>
      </c>
      <c r="CW425" s="554">
        <f t="shared" si="123"/>
        <v>0</v>
      </c>
      <c r="CX425" s="619"/>
      <c r="CY425" s="619"/>
      <c r="CZ425" s="619"/>
      <c r="DA425" s="548"/>
      <c r="DB425" s="548"/>
      <c r="DC425" s="548"/>
      <c r="DD425" s="619"/>
      <c r="DE425" s="619"/>
      <c r="DF425" s="619"/>
      <c r="DG425" s="619"/>
      <c r="DH425" s="619"/>
    </row>
    <row r="426" s="548" customFormat="1" ht="31" customHeight="1" spans="1:112">
      <c r="A426" s="608">
        <v>45813</v>
      </c>
      <c r="B426" s="609" t="s">
        <v>1272</v>
      </c>
      <c r="C426" s="610" t="s">
        <v>98</v>
      </c>
      <c r="D426" s="554">
        <v>4500169087</v>
      </c>
      <c r="E426" s="613">
        <v>15777072</v>
      </c>
      <c r="F426" s="554" t="s">
        <v>7111</v>
      </c>
      <c r="G426" s="610" t="s">
        <v>6166</v>
      </c>
      <c r="H426" s="610" t="s">
        <v>6094</v>
      </c>
      <c r="I426" s="610">
        <v>3900</v>
      </c>
      <c r="J426" s="610">
        <v>0</v>
      </c>
      <c r="K426" s="610">
        <v>13</v>
      </c>
      <c r="L426" s="611">
        <f t="shared" si="125"/>
        <v>300</v>
      </c>
      <c r="M426" s="612">
        <v>45863</v>
      </c>
      <c r="N426" s="612">
        <v>45859</v>
      </c>
      <c r="O426" s="613"/>
      <c r="P426" s="613" t="s">
        <v>113</v>
      </c>
      <c r="Q426" s="610"/>
      <c r="R426" s="614" t="s">
        <v>1276</v>
      </c>
      <c r="S426" s="614" t="s">
        <v>104</v>
      </c>
      <c r="T426" s="614">
        <v>45824</v>
      </c>
      <c r="U426" s="614"/>
      <c r="V426" s="614"/>
      <c r="W426" s="615"/>
      <c r="X426" s="609" t="s">
        <v>1277</v>
      </c>
      <c r="Y426" s="609" t="s">
        <v>1278</v>
      </c>
      <c r="Z426" s="609">
        <v>0.5528</v>
      </c>
      <c r="AA426" s="616">
        <f t="shared" si="127"/>
        <v>2155.92</v>
      </c>
      <c r="AC426" s="617" t="s">
        <v>1279</v>
      </c>
      <c r="AD426" s="610" t="s">
        <v>6257</v>
      </c>
      <c r="AE426" s="610" t="s">
        <v>82</v>
      </c>
      <c r="AF426" s="610"/>
      <c r="AG426" s="610"/>
      <c r="AH426" s="610"/>
      <c r="AI426" s="610">
        <v>3900</v>
      </c>
      <c r="AJ426" s="610">
        <f t="shared" si="126"/>
        <v>0</v>
      </c>
      <c r="AK426" s="610"/>
      <c r="AL426" s="610"/>
      <c r="AM426" s="610"/>
      <c r="AN426" s="610">
        <f>I426</f>
        <v>3900</v>
      </c>
      <c r="AP426" s="554">
        <f>I426</f>
        <v>3900</v>
      </c>
      <c r="AR426" s="619"/>
      <c r="AS426" s="548"/>
      <c r="AT426" s="548"/>
      <c r="AU426" s="554">
        <f>I426</f>
        <v>3900</v>
      </c>
      <c r="AW426" s="619"/>
      <c r="AX426" s="548"/>
      <c r="AY426" s="548"/>
      <c r="AZ426" s="548"/>
      <c r="BA426" s="548"/>
      <c r="BB426" s="620">
        <f>I426/48</f>
        <v>81.25</v>
      </c>
      <c r="BK426" s="554">
        <f>I426/13</f>
        <v>300</v>
      </c>
      <c r="BY426" s="619"/>
      <c r="BZ426" s="548"/>
      <c r="CA426" s="621"/>
      <c r="CB426" s="567"/>
      <c r="CC426" s="622"/>
      <c r="CD426" s="619"/>
      <c r="CE426" s="619"/>
      <c r="CF426" s="548"/>
      <c r="CG426" s="548"/>
      <c r="CU426" s="554">
        <f t="shared" si="124"/>
        <v>0</v>
      </c>
      <c r="CV426" s="554">
        <f t="shared" si="122"/>
        <v>0</v>
      </c>
      <c r="CW426" s="554">
        <f t="shared" si="123"/>
        <v>0</v>
      </c>
      <c r="CX426" s="619"/>
      <c r="CY426" s="619"/>
      <c r="CZ426" s="619"/>
      <c r="DA426" s="548"/>
      <c r="DB426" s="548"/>
      <c r="DC426" s="548"/>
      <c r="DD426" s="619"/>
      <c r="DE426" s="619"/>
      <c r="DF426" s="619"/>
      <c r="DG426" s="619"/>
      <c r="DH426" s="619"/>
    </row>
    <row r="427" s="548" customFormat="1" ht="31" customHeight="1" spans="1:112">
      <c r="A427" s="608">
        <v>45827</v>
      </c>
      <c r="B427" s="609" t="s">
        <v>549</v>
      </c>
      <c r="C427" s="610" t="s">
        <v>154</v>
      </c>
      <c r="D427" s="554">
        <v>4500170600</v>
      </c>
      <c r="E427" s="610" t="s">
        <v>1382</v>
      </c>
      <c r="F427" s="554" t="s">
        <v>7112</v>
      </c>
      <c r="G427" s="610" t="s">
        <v>6365</v>
      </c>
      <c r="H427" s="610" t="s">
        <v>6126</v>
      </c>
      <c r="I427" s="610">
        <v>1056</v>
      </c>
      <c r="J427" s="610">
        <v>0</v>
      </c>
      <c r="K427" s="610">
        <v>12</v>
      </c>
      <c r="L427" s="611">
        <f t="shared" si="125"/>
        <v>88</v>
      </c>
      <c r="M427" s="612">
        <v>45868</v>
      </c>
      <c r="N427" s="612">
        <v>45864</v>
      </c>
      <c r="O427" s="613"/>
      <c r="P427" s="613" t="s">
        <v>113</v>
      </c>
      <c r="Q427" s="610"/>
      <c r="R427" s="614" t="s">
        <v>463</v>
      </c>
      <c r="S427" s="614" t="s">
        <v>104</v>
      </c>
      <c r="T427" s="614">
        <v>45846</v>
      </c>
      <c r="U427" s="614"/>
      <c r="V427" s="614"/>
      <c r="W427" s="615"/>
      <c r="X427" s="609" t="s">
        <v>7113</v>
      </c>
      <c r="Y427" s="609" t="s">
        <v>466</v>
      </c>
      <c r="Z427" s="609">
        <v>2.1629</v>
      </c>
      <c r="AA427" s="616">
        <f t="shared" si="127"/>
        <v>2284.0224</v>
      </c>
      <c r="AC427" s="630" t="s">
        <v>7114</v>
      </c>
      <c r="AD427" s="610" t="s">
        <v>6368</v>
      </c>
      <c r="AE427" s="610" t="s">
        <v>82</v>
      </c>
      <c r="AF427" s="610"/>
      <c r="AG427" s="610"/>
      <c r="AH427" s="610"/>
      <c r="AI427" s="610">
        <v>1056</v>
      </c>
      <c r="AJ427" s="610">
        <f t="shared" si="126"/>
        <v>0</v>
      </c>
      <c r="AK427" s="610"/>
      <c r="AL427" s="610"/>
      <c r="AM427" s="610"/>
      <c r="AN427" s="610"/>
      <c r="AO427" s="554">
        <f>I427*2</f>
        <v>2112</v>
      </c>
      <c r="AR427" s="619"/>
      <c r="AS427" s="548"/>
      <c r="AT427" s="554">
        <f>I427*2</f>
        <v>2112</v>
      </c>
      <c r="AV427" s="554">
        <f>I427*2</f>
        <v>2112</v>
      </c>
      <c r="AW427" s="619"/>
      <c r="AX427" s="548"/>
      <c r="AY427" s="548"/>
      <c r="AZ427" s="548"/>
      <c r="BA427" s="548"/>
      <c r="BB427" s="249">
        <f>I427/24*2</f>
        <v>88</v>
      </c>
      <c r="BY427" s="619"/>
      <c r="BZ427" s="548"/>
      <c r="CA427" s="621"/>
      <c r="CB427" s="567"/>
      <c r="CC427" s="622"/>
      <c r="CD427" s="619"/>
      <c r="CE427" s="619"/>
      <c r="CF427" s="548"/>
      <c r="CG427" s="548"/>
      <c r="CR427" s="554">
        <f>I427</f>
        <v>1056</v>
      </c>
      <c r="CS427" s="554">
        <f>I427</f>
        <v>1056</v>
      </c>
      <c r="CT427" s="554">
        <f>I427</f>
        <v>1056</v>
      </c>
      <c r="CU427" s="554">
        <f t="shared" si="124"/>
        <v>0</v>
      </c>
      <c r="CV427" s="554">
        <f t="shared" si="122"/>
        <v>0</v>
      </c>
      <c r="CW427" s="554">
        <f t="shared" si="123"/>
        <v>0</v>
      </c>
      <c r="CX427" s="619"/>
      <c r="CY427" s="619"/>
      <c r="CZ427" s="619"/>
      <c r="DA427" s="548"/>
      <c r="DB427" s="548"/>
      <c r="DC427" s="548"/>
      <c r="DD427" s="619"/>
      <c r="DE427" s="619"/>
      <c r="DF427" s="619"/>
      <c r="DG427" s="619"/>
      <c r="DH427" s="619"/>
    </row>
    <row r="428" s="548" customFormat="1" ht="31" customHeight="1" spans="1:112">
      <c r="A428" s="608">
        <v>45827</v>
      </c>
      <c r="B428" s="609" t="s">
        <v>549</v>
      </c>
      <c r="C428" s="610" t="s">
        <v>154</v>
      </c>
      <c r="D428" s="554">
        <v>4500170600</v>
      </c>
      <c r="E428" s="610" t="s">
        <v>7115</v>
      </c>
      <c r="F428" s="554" t="s">
        <v>7116</v>
      </c>
      <c r="G428" s="610" t="s">
        <v>6365</v>
      </c>
      <c r="H428" s="610" t="s">
        <v>6126</v>
      </c>
      <c r="I428" s="610">
        <v>492</v>
      </c>
      <c r="J428" s="610">
        <v>0</v>
      </c>
      <c r="K428" s="610">
        <v>12</v>
      </c>
      <c r="L428" s="611">
        <f t="shared" si="125"/>
        <v>41</v>
      </c>
      <c r="M428" s="612">
        <v>45868</v>
      </c>
      <c r="N428" s="612">
        <v>45864</v>
      </c>
      <c r="O428" s="613"/>
      <c r="P428" s="613" t="s">
        <v>113</v>
      </c>
      <c r="Q428" s="610"/>
      <c r="R428" s="614" t="s">
        <v>463</v>
      </c>
      <c r="S428" s="614" t="s">
        <v>104</v>
      </c>
      <c r="T428" s="614">
        <v>45846</v>
      </c>
      <c r="U428" s="614"/>
      <c r="V428" s="614"/>
      <c r="W428" s="615"/>
      <c r="X428" s="609" t="s">
        <v>7113</v>
      </c>
      <c r="Y428" s="609" t="s">
        <v>466</v>
      </c>
      <c r="Z428" s="609">
        <v>2.1629</v>
      </c>
      <c r="AA428" s="616">
        <f t="shared" si="127"/>
        <v>1064.1468</v>
      </c>
      <c r="AC428" s="630" t="s">
        <v>7117</v>
      </c>
      <c r="AD428" s="610" t="s">
        <v>6368</v>
      </c>
      <c r="AE428" s="610" t="s">
        <v>82</v>
      </c>
      <c r="AF428" s="610"/>
      <c r="AG428" s="610"/>
      <c r="AH428" s="610"/>
      <c r="AI428" s="610">
        <v>492</v>
      </c>
      <c r="AJ428" s="610">
        <f t="shared" si="126"/>
        <v>0</v>
      </c>
      <c r="AK428" s="610"/>
      <c r="AL428" s="610"/>
      <c r="AM428" s="610"/>
      <c r="AN428" s="610"/>
      <c r="AO428" s="554">
        <f>I428*2</f>
        <v>984</v>
      </c>
      <c r="AR428" s="619"/>
      <c r="AS428" s="548"/>
      <c r="AT428" s="554">
        <f>I428*2</f>
        <v>984</v>
      </c>
      <c r="AV428" s="554">
        <f>I428*2</f>
        <v>984</v>
      </c>
      <c r="AW428" s="619"/>
      <c r="AX428" s="548"/>
      <c r="AY428" s="548"/>
      <c r="AZ428" s="548"/>
      <c r="BA428" s="548"/>
      <c r="BB428" s="249">
        <f>I428/24*2</f>
        <v>41</v>
      </c>
      <c r="BY428" s="619"/>
      <c r="BZ428" s="548"/>
      <c r="CA428" s="621"/>
      <c r="CB428" s="567"/>
      <c r="CC428" s="622"/>
      <c r="CD428" s="619"/>
      <c r="CE428" s="619"/>
      <c r="CF428" s="548"/>
      <c r="CG428" s="548"/>
      <c r="CR428" s="554">
        <f>I428</f>
        <v>492</v>
      </c>
      <c r="CS428" s="554">
        <f>I428</f>
        <v>492</v>
      </c>
      <c r="CT428" s="554">
        <f>I428</f>
        <v>492</v>
      </c>
      <c r="CU428" s="554">
        <f t="shared" si="124"/>
        <v>0</v>
      </c>
      <c r="CV428" s="554">
        <f t="shared" si="122"/>
        <v>0</v>
      </c>
      <c r="CW428" s="554">
        <f t="shared" si="123"/>
        <v>0</v>
      </c>
      <c r="CX428" s="619"/>
      <c r="CY428" s="619"/>
      <c r="CZ428" s="619"/>
      <c r="DA428" s="548"/>
      <c r="DB428" s="548"/>
      <c r="DC428" s="548"/>
      <c r="DD428" s="619"/>
      <c r="DE428" s="619"/>
      <c r="DF428" s="619"/>
      <c r="DG428" s="619"/>
      <c r="DH428" s="619"/>
    </row>
    <row r="429" s="548" customFormat="1" ht="31" customHeight="1" spans="1:112">
      <c r="A429" s="608">
        <v>45827</v>
      </c>
      <c r="B429" s="609" t="s">
        <v>549</v>
      </c>
      <c r="C429" s="610" t="s">
        <v>154</v>
      </c>
      <c r="D429" s="554">
        <v>4500170600</v>
      </c>
      <c r="E429" s="610" t="s">
        <v>1386</v>
      </c>
      <c r="F429" s="554" t="s">
        <v>7118</v>
      </c>
      <c r="G429" s="610" t="s">
        <v>6365</v>
      </c>
      <c r="H429" s="610" t="s">
        <v>6126</v>
      </c>
      <c r="I429" s="610">
        <v>492</v>
      </c>
      <c r="J429" s="610">
        <v>0</v>
      </c>
      <c r="K429" s="610">
        <v>12</v>
      </c>
      <c r="L429" s="611">
        <f t="shared" si="125"/>
        <v>41</v>
      </c>
      <c r="M429" s="612">
        <v>45868</v>
      </c>
      <c r="N429" s="612">
        <v>45864</v>
      </c>
      <c r="O429" s="613"/>
      <c r="P429" s="613" t="s">
        <v>113</v>
      </c>
      <c r="Q429" s="610"/>
      <c r="R429" s="614" t="s">
        <v>463</v>
      </c>
      <c r="S429" s="614" t="s">
        <v>104</v>
      </c>
      <c r="T429" s="614">
        <v>45846</v>
      </c>
      <c r="U429" s="614"/>
      <c r="V429" s="614"/>
      <c r="W429" s="615"/>
      <c r="X429" s="609" t="s">
        <v>7113</v>
      </c>
      <c r="Y429" s="609" t="s">
        <v>466</v>
      </c>
      <c r="Z429" s="609">
        <v>2.1629</v>
      </c>
      <c r="AA429" s="616">
        <f t="shared" si="127"/>
        <v>1064.1468</v>
      </c>
      <c r="AC429" s="630" t="s">
        <v>7117</v>
      </c>
      <c r="AD429" s="610" t="s">
        <v>6368</v>
      </c>
      <c r="AE429" s="610" t="s">
        <v>82</v>
      </c>
      <c r="AF429" s="610"/>
      <c r="AG429" s="610"/>
      <c r="AH429" s="610"/>
      <c r="AI429" s="610">
        <v>492</v>
      </c>
      <c r="AJ429" s="610">
        <f t="shared" si="126"/>
        <v>0</v>
      </c>
      <c r="AK429" s="610"/>
      <c r="AL429" s="610"/>
      <c r="AM429" s="610"/>
      <c r="AN429" s="610"/>
      <c r="AO429" s="554">
        <f>I429*2</f>
        <v>984</v>
      </c>
      <c r="AR429" s="619"/>
      <c r="AS429" s="548"/>
      <c r="AT429" s="554">
        <f>I429*2</f>
        <v>984</v>
      </c>
      <c r="AV429" s="554">
        <f>I429*2</f>
        <v>984</v>
      </c>
      <c r="AW429" s="619"/>
      <c r="AX429" s="548"/>
      <c r="AY429" s="548"/>
      <c r="AZ429" s="548"/>
      <c r="BA429" s="548"/>
      <c r="BB429" s="249">
        <f>I429/24*2</f>
        <v>41</v>
      </c>
      <c r="BY429" s="619"/>
      <c r="BZ429" s="548"/>
      <c r="CA429" s="621"/>
      <c r="CB429" s="567"/>
      <c r="CC429" s="622"/>
      <c r="CD429" s="619"/>
      <c r="CE429" s="619"/>
      <c r="CF429" s="548"/>
      <c r="CG429" s="548"/>
      <c r="CR429" s="554">
        <f>I429</f>
        <v>492</v>
      </c>
      <c r="CS429" s="554">
        <f>I429</f>
        <v>492</v>
      </c>
      <c r="CT429" s="554">
        <f>I429</f>
        <v>492</v>
      </c>
      <c r="CU429" s="554">
        <f t="shared" si="124"/>
        <v>0</v>
      </c>
      <c r="CV429" s="554">
        <f t="shared" si="122"/>
        <v>0</v>
      </c>
      <c r="CW429" s="554">
        <f t="shared" si="123"/>
        <v>0</v>
      </c>
      <c r="CX429" s="619"/>
      <c r="CY429" s="619"/>
      <c r="CZ429" s="619"/>
      <c r="DA429" s="548"/>
      <c r="DB429" s="548"/>
      <c r="DC429" s="548"/>
      <c r="DD429" s="619"/>
      <c r="DE429" s="619"/>
      <c r="DF429" s="619"/>
      <c r="DG429" s="619"/>
      <c r="DH429" s="619"/>
    </row>
    <row r="430" s="548" customFormat="1" ht="31" customHeight="1" spans="1:112">
      <c r="A430" s="608">
        <v>45833</v>
      </c>
      <c r="B430" s="609" t="s">
        <v>935</v>
      </c>
      <c r="C430" s="610" t="s">
        <v>302</v>
      </c>
      <c r="D430" s="554">
        <v>4500171129</v>
      </c>
      <c r="E430" s="613">
        <v>4400493880</v>
      </c>
      <c r="F430" s="554" t="s">
        <v>7119</v>
      </c>
      <c r="G430" s="610" t="s">
        <v>6047</v>
      </c>
      <c r="H430" s="610" t="s">
        <v>6069</v>
      </c>
      <c r="I430" s="610">
        <v>2500</v>
      </c>
      <c r="J430" s="610">
        <v>0</v>
      </c>
      <c r="K430" s="610">
        <v>25</v>
      </c>
      <c r="L430" s="611">
        <f t="shared" si="125"/>
        <v>100</v>
      </c>
      <c r="M430" s="612">
        <v>45874</v>
      </c>
      <c r="N430" s="612">
        <v>45870</v>
      </c>
      <c r="O430" s="613"/>
      <c r="P430" s="613" t="s">
        <v>113</v>
      </c>
      <c r="Q430" s="610"/>
      <c r="R430" s="614">
        <v>45833</v>
      </c>
      <c r="S430" s="614" t="s">
        <v>70</v>
      </c>
      <c r="T430" s="614" t="s">
        <v>7120</v>
      </c>
      <c r="U430" s="614"/>
      <c r="V430" s="614"/>
      <c r="W430" s="615"/>
      <c r="X430" s="609" t="s">
        <v>7121</v>
      </c>
      <c r="Y430" s="609" t="s">
        <v>939</v>
      </c>
      <c r="Z430" s="609">
        <v>0.9417</v>
      </c>
      <c r="AA430" s="616">
        <f t="shared" si="127"/>
        <v>2354.25</v>
      </c>
      <c r="AC430" s="629" t="s">
        <v>7122</v>
      </c>
      <c r="AD430" s="610" t="s">
        <v>6073</v>
      </c>
      <c r="AE430" s="610" t="s">
        <v>82</v>
      </c>
      <c r="AF430" s="610"/>
      <c r="AG430" s="610"/>
      <c r="AH430" s="610"/>
      <c r="AI430" s="610">
        <v>2500</v>
      </c>
      <c r="AJ430" s="610">
        <f t="shared" si="126"/>
        <v>0</v>
      </c>
      <c r="AK430" s="610"/>
      <c r="AL430" s="610"/>
      <c r="AM430" s="610"/>
      <c r="AN430" s="610"/>
      <c r="AO430" s="554">
        <f>I430</f>
        <v>2500</v>
      </c>
      <c r="AR430" s="619"/>
      <c r="AS430" s="548"/>
      <c r="AT430" s="548"/>
      <c r="AU430" s="548"/>
      <c r="AV430" s="554">
        <f>I430</f>
        <v>2500</v>
      </c>
      <c r="AW430" s="619"/>
      <c r="AX430" s="548"/>
      <c r="AY430" s="548"/>
      <c r="AZ430" s="548"/>
      <c r="BA430" s="548"/>
      <c r="BB430" s="620">
        <f>I430/24*2</f>
        <v>208.333333333333</v>
      </c>
      <c r="BE430" s="554">
        <f>I430</f>
        <v>2500</v>
      </c>
      <c r="BP430" s="554">
        <f>I430/25</f>
        <v>100</v>
      </c>
      <c r="BY430" s="619"/>
      <c r="BZ430" s="548"/>
      <c r="CA430" s="621"/>
      <c r="CB430" s="567"/>
      <c r="CC430" s="622"/>
      <c r="CD430" s="619"/>
      <c r="CE430" s="619"/>
      <c r="CF430" s="548"/>
      <c r="CG430" s="548"/>
      <c r="CU430" s="554">
        <f t="shared" si="124"/>
        <v>100</v>
      </c>
      <c r="CV430" s="554">
        <f t="shared" si="122"/>
        <v>0</v>
      </c>
      <c r="CW430" s="554">
        <f t="shared" si="123"/>
        <v>0</v>
      </c>
      <c r="CX430" s="619"/>
      <c r="CY430" s="619"/>
      <c r="CZ430" s="619"/>
      <c r="DA430" s="548"/>
      <c r="DB430" s="548"/>
      <c r="DC430" s="548"/>
      <c r="DD430" s="619"/>
      <c r="DE430" s="619"/>
      <c r="DF430" s="619"/>
      <c r="DG430" s="619"/>
      <c r="DH430" s="619"/>
    </row>
    <row r="431" s="548" customFormat="1" ht="31" customHeight="1" spans="1:112">
      <c r="A431" s="608">
        <v>45839</v>
      </c>
      <c r="B431" s="609" t="s">
        <v>2545</v>
      </c>
      <c r="C431" s="610" t="s">
        <v>2286</v>
      </c>
      <c r="D431" s="554">
        <v>4500172286</v>
      </c>
      <c r="E431" s="610" t="s">
        <v>7123</v>
      </c>
      <c r="F431" s="554" t="s">
        <v>7124</v>
      </c>
      <c r="G431" s="610" t="s">
        <v>6043</v>
      </c>
      <c r="H431" s="610" t="s">
        <v>6110</v>
      </c>
      <c r="I431" s="610">
        <v>3500</v>
      </c>
      <c r="J431" s="610">
        <v>0</v>
      </c>
      <c r="K431" s="610">
        <v>50</v>
      </c>
      <c r="L431" s="611">
        <f t="shared" si="125"/>
        <v>70</v>
      </c>
      <c r="M431" s="612">
        <v>45874</v>
      </c>
      <c r="N431" s="612">
        <v>45870</v>
      </c>
      <c r="O431" s="613"/>
      <c r="P431" s="613" t="s">
        <v>113</v>
      </c>
      <c r="Q431" s="610"/>
      <c r="R431" s="614">
        <v>45839</v>
      </c>
      <c r="S431" s="614" t="s">
        <v>70</v>
      </c>
      <c r="T431" s="614" t="s">
        <v>7125</v>
      </c>
      <c r="U431" s="614"/>
      <c r="V431" s="614" t="s">
        <v>6916</v>
      </c>
      <c r="W431" s="615"/>
      <c r="X431" s="609" t="s">
        <v>7126</v>
      </c>
      <c r="Y431" s="609" t="s">
        <v>529</v>
      </c>
      <c r="Z431" s="609">
        <v>0.941</v>
      </c>
      <c r="AA431" s="616">
        <f t="shared" si="127"/>
        <v>3293.5</v>
      </c>
      <c r="AC431" s="629" t="s">
        <v>7127</v>
      </c>
      <c r="AD431" s="610" t="s">
        <v>6043</v>
      </c>
      <c r="AE431" s="610" t="s">
        <v>82</v>
      </c>
      <c r="AF431" s="610"/>
      <c r="AG431" s="610"/>
      <c r="AH431" s="610"/>
      <c r="AI431" s="610">
        <v>3500</v>
      </c>
      <c r="AJ431" s="610">
        <f t="shared" si="126"/>
        <v>0</v>
      </c>
      <c r="AK431" s="610"/>
      <c r="AL431" s="610"/>
      <c r="AM431" s="610"/>
      <c r="AN431" s="610"/>
      <c r="AO431" s="554">
        <f>I431</f>
        <v>3500</v>
      </c>
      <c r="AR431" s="619"/>
      <c r="AS431" s="548"/>
      <c r="AT431" s="554">
        <f>I431</f>
        <v>3500</v>
      </c>
      <c r="AV431" s="554">
        <f>I431</f>
        <v>3500</v>
      </c>
      <c r="AW431" s="619"/>
      <c r="AX431" s="548"/>
      <c r="AY431" s="548"/>
      <c r="AZ431" s="548"/>
      <c r="BA431" s="548"/>
      <c r="BB431" s="620">
        <f>I431/24</f>
        <v>145.833333333333</v>
      </c>
      <c r="BP431" s="554">
        <f>I431/25</f>
        <v>140</v>
      </c>
      <c r="BY431" s="619"/>
      <c r="BZ431" s="548"/>
      <c r="CA431" s="621"/>
      <c r="CB431" s="567"/>
      <c r="CC431" s="622"/>
      <c r="CD431" s="619"/>
      <c r="CE431" s="619"/>
      <c r="CF431" s="548"/>
      <c r="CG431" s="548"/>
      <c r="CU431" s="554">
        <f t="shared" si="124"/>
        <v>140</v>
      </c>
      <c r="CV431" s="554">
        <f t="shared" si="122"/>
        <v>0</v>
      </c>
      <c r="CW431" s="554">
        <f t="shared" si="123"/>
        <v>0</v>
      </c>
      <c r="CX431" s="619"/>
      <c r="CY431" s="619"/>
      <c r="CZ431" s="619"/>
      <c r="DA431" s="548"/>
      <c r="DB431" s="548"/>
      <c r="DC431" s="548"/>
      <c r="DD431" s="619"/>
      <c r="DE431" s="619"/>
      <c r="DF431" s="619"/>
      <c r="DG431" s="619"/>
      <c r="DH431" s="619"/>
    </row>
    <row r="432" s="548" customFormat="1" ht="31" customHeight="1" spans="1:112">
      <c r="A432" s="608">
        <v>45839</v>
      </c>
      <c r="B432" s="609" t="s">
        <v>1249</v>
      </c>
      <c r="C432" s="610" t="s">
        <v>1250</v>
      </c>
      <c r="D432" s="554">
        <v>4500172288</v>
      </c>
      <c r="E432" s="610" t="s">
        <v>7128</v>
      </c>
      <c r="F432" s="554" t="s">
        <v>7129</v>
      </c>
      <c r="G432" s="610" t="s">
        <v>6276</v>
      </c>
      <c r="H432" s="610" t="s">
        <v>6277</v>
      </c>
      <c r="I432" s="610">
        <v>500</v>
      </c>
      <c r="J432" s="610">
        <v>0</v>
      </c>
      <c r="K432" s="610">
        <v>50</v>
      </c>
      <c r="L432" s="611">
        <f t="shared" si="125"/>
        <v>10</v>
      </c>
      <c r="M432" s="612">
        <v>45874</v>
      </c>
      <c r="N432" s="612">
        <v>45870</v>
      </c>
      <c r="O432" s="613"/>
      <c r="P432" s="613" t="s">
        <v>113</v>
      </c>
      <c r="Q432" s="610"/>
      <c r="R432" s="614">
        <v>45839</v>
      </c>
      <c r="S432" s="614" t="s">
        <v>70</v>
      </c>
      <c r="T432" s="614" t="s">
        <v>7130</v>
      </c>
      <c r="U432" s="614"/>
      <c r="V432" s="614" t="s">
        <v>6916</v>
      </c>
      <c r="W432" s="615"/>
      <c r="X432" s="609" t="s">
        <v>7131</v>
      </c>
      <c r="Y432" s="609" t="s">
        <v>529</v>
      </c>
      <c r="Z432" s="609">
        <v>0.9113</v>
      </c>
      <c r="AA432" s="616">
        <f t="shared" si="127"/>
        <v>455.65</v>
      </c>
      <c r="AC432" s="629" t="s">
        <v>7132</v>
      </c>
      <c r="AD432" s="610" t="s">
        <v>6276</v>
      </c>
      <c r="AE432" s="610" t="s">
        <v>82</v>
      </c>
      <c r="AF432" s="610"/>
      <c r="AG432" s="610"/>
      <c r="AH432" s="610"/>
      <c r="AI432" s="610">
        <v>500</v>
      </c>
      <c r="AJ432" s="610">
        <f t="shared" si="126"/>
        <v>0</v>
      </c>
      <c r="AK432" s="610"/>
      <c r="AL432" s="610"/>
      <c r="AM432" s="610"/>
      <c r="AN432" s="610"/>
      <c r="AO432" s="554">
        <f>I432</f>
        <v>500</v>
      </c>
      <c r="AR432" s="619"/>
      <c r="AS432" s="548"/>
      <c r="AT432" s="548"/>
      <c r="AU432" s="548"/>
      <c r="AV432" s="548"/>
      <c r="AW432" s="619"/>
      <c r="AX432" s="548"/>
      <c r="AY432" s="548"/>
      <c r="AZ432" s="548"/>
      <c r="BA432" s="548"/>
      <c r="BB432" s="620">
        <f>I432/24*2</f>
        <v>41.6666666666667</v>
      </c>
      <c r="BV432" s="554">
        <f>I432</f>
        <v>500</v>
      </c>
      <c r="BW432" s="554">
        <f>I432</f>
        <v>500</v>
      </c>
      <c r="BX432" s="554">
        <f>I432/25</f>
        <v>20</v>
      </c>
      <c r="BY432" s="619"/>
      <c r="BZ432" s="548"/>
      <c r="CA432" s="621"/>
      <c r="CB432" s="567"/>
      <c r="CC432" s="622"/>
      <c r="CD432" s="619"/>
      <c r="CE432" s="619"/>
      <c r="CF432" s="548"/>
      <c r="CG432" s="548"/>
      <c r="CU432" s="554">
        <f t="shared" si="124"/>
        <v>20</v>
      </c>
      <c r="CV432" s="554">
        <f t="shared" si="122"/>
        <v>0</v>
      </c>
      <c r="CW432" s="554">
        <f t="shared" si="123"/>
        <v>0</v>
      </c>
      <c r="CX432" s="619"/>
      <c r="CY432" s="619"/>
      <c r="CZ432" s="619"/>
      <c r="DA432" s="548"/>
      <c r="DB432" s="548"/>
      <c r="DC432" s="548"/>
      <c r="DD432" s="619"/>
      <c r="DE432" s="619"/>
      <c r="DF432" s="619"/>
      <c r="DG432" s="619"/>
      <c r="DH432" s="619"/>
    </row>
    <row r="433" s="548" customFormat="1" ht="31" customHeight="1" spans="1:112">
      <c r="A433" s="608">
        <v>45853</v>
      </c>
      <c r="B433" s="609"/>
      <c r="C433" s="610"/>
      <c r="D433" s="554" t="s">
        <v>7133</v>
      </c>
      <c r="E433" s="610"/>
      <c r="F433" s="548"/>
      <c r="G433" s="610" t="s">
        <v>6032</v>
      </c>
      <c r="H433" s="610" t="s">
        <v>1432</v>
      </c>
      <c r="I433" s="610">
        <v>30</v>
      </c>
      <c r="J433" s="610">
        <v>0</v>
      </c>
      <c r="K433" s="610">
        <v>52</v>
      </c>
      <c r="L433" s="611">
        <f t="shared" si="125"/>
        <v>0.576923076923077</v>
      </c>
      <c r="M433" s="612">
        <v>45866</v>
      </c>
      <c r="N433" s="612">
        <v>45862</v>
      </c>
      <c r="O433" s="613"/>
      <c r="P433" s="613" t="s">
        <v>73</v>
      </c>
      <c r="Q433" s="610"/>
      <c r="R433" s="614" t="s">
        <v>1242</v>
      </c>
      <c r="S433" s="614" t="s">
        <v>70</v>
      </c>
      <c r="T433" s="614" t="s">
        <v>70</v>
      </c>
      <c r="U433" s="614"/>
      <c r="V433" s="614"/>
      <c r="W433" s="615"/>
      <c r="X433" s="609" t="s">
        <v>7134</v>
      </c>
      <c r="Y433" s="609" t="s">
        <v>92</v>
      </c>
      <c r="Z433" s="609"/>
      <c r="AA433" s="616"/>
      <c r="AC433" s="617" t="s">
        <v>7135</v>
      </c>
      <c r="AD433" s="610" t="s">
        <v>73</v>
      </c>
      <c r="AE433" s="610" t="s">
        <v>73</v>
      </c>
      <c r="AF433" s="610"/>
      <c r="AG433" s="610"/>
      <c r="AH433" s="610"/>
      <c r="AI433" s="610" t="s">
        <v>126</v>
      </c>
      <c r="AJ433" s="610"/>
      <c r="AK433" s="610"/>
      <c r="AL433" s="610"/>
      <c r="AM433" s="610"/>
      <c r="AN433" s="610"/>
      <c r="AO433" s="548"/>
      <c r="AP433" s="548"/>
      <c r="AQ433" s="548"/>
      <c r="AR433" s="619"/>
      <c r="AS433" s="548"/>
      <c r="AT433" s="548"/>
      <c r="AU433" s="548"/>
      <c r="AV433" s="548"/>
      <c r="AW433" s="619"/>
      <c r="AX433" s="548"/>
      <c r="AY433" s="548"/>
      <c r="AZ433" s="548"/>
      <c r="BA433" s="548"/>
      <c r="BB433" s="620"/>
      <c r="BC433" s="548"/>
      <c r="BD433" s="548"/>
      <c r="BE433" s="548"/>
      <c r="BF433" s="548"/>
      <c r="BK433" s="554">
        <v>30</v>
      </c>
      <c r="BL433" s="548"/>
      <c r="BM433" s="548"/>
      <c r="BN433" s="548"/>
      <c r="BO433" s="548"/>
      <c r="BP433" s="548"/>
      <c r="BQ433" s="548"/>
      <c r="BR433" s="548"/>
      <c r="BS433" s="548"/>
      <c r="BT433" s="548"/>
      <c r="BY433" s="619"/>
      <c r="BZ433" s="548"/>
      <c r="CA433" s="621"/>
      <c r="CB433" s="567"/>
      <c r="CC433" s="622"/>
      <c r="CD433" s="619"/>
      <c r="CE433" s="619"/>
      <c r="CF433" s="548"/>
      <c r="CG433" s="548"/>
      <c r="CU433" s="554">
        <f t="shared" si="124"/>
        <v>0</v>
      </c>
      <c r="CV433" s="554">
        <f t="shared" si="122"/>
        <v>0</v>
      </c>
      <c r="CW433" s="554">
        <f t="shared" si="123"/>
        <v>0</v>
      </c>
      <c r="CX433" s="619"/>
      <c r="CY433" s="619"/>
      <c r="CZ433" s="619"/>
      <c r="DA433" s="548"/>
      <c r="DB433" s="548"/>
      <c r="DC433" s="548"/>
      <c r="DD433" s="619"/>
      <c r="DE433" s="619"/>
      <c r="DF433" s="619"/>
      <c r="DG433" s="619"/>
      <c r="DH433" s="619"/>
    </row>
    <row r="434" s="548" customFormat="1" ht="31" customHeight="1" spans="1:112">
      <c r="A434" s="608">
        <v>45853</v>
      </c>
      <c r="B434" s="609"/>
      <c r="C434" s="610"/>
      <c r="D434" s="554" t="s">
        <v>7133</v>
      </c>
      <c r="E434" s="610"/>
      <c r="F434" s="548"/>
      <c r="G434" s="610" t="s">
        <v>6036</v>
      </c>
      <c r="H434" s="610" t="s">
        <v>1432</v>
      </c>
      <c r="I434" s="610" t="s">
        <v>7136</v>
      </c>
      <c r="J434" s="610"/>
      <c r="K434" s="610"/>
      <c r="L434" s="611"/>
      <c r="M434" s="612">
        <v>45866</v>
      </c>
      <c r="N434" s="612">
        <v>45862</v>
      </c>
      <c r="O434" s="613"/>
      <c r="P434" s="613" t="s">
        <v>73</v>
      </c>
      <c r="Q434" s="610"/>
      <c r="R434" s="614" t="s">
        <v>1242</v>
      </c>
      <c r="S434" s="614" t="s">
        <v>70</v>
      </c>
      <c r="T434" s="614" t="s">
        <v>70</v>
      </c>
      <c r="U434" s="614"/>
      <c r="V434" s="614"/>
      <c r="W434" s="615"/>
      <c r="X434" s="609" t="s">
        <v>7134</v>
      </c>
      <c r="Y434" s="609" t="s">
        <v>92</v>
      </c>
      <c r="Z434" s="609"/>
      <c r="AA434" s="616"/>
      <c r="AC434" s="617" t="s">
        <v>7135</v>
      </c>
      <c r="AD434" s="610" t="s">
        <v>73</v>
      </c>
      <c r="AE434" s="610" t="s">
        <v>73</v>
      </c>
      <c r="AF434" s="610"/>
      <c r="AG434" s="610"/>
      <c r="AH434" s="610"/>
      <c r="AI434" s="610" t="s">
        <v>126</v>
      </c>
      <c r="AJ434" s="610"/>
      <c r="AK434" s="610"/>
      <c r="AL434" s="610"/>
      <c r="AM434" s="610"/>
      <c r="AN434" s="610"/>
      <c r="AO434" s="548"/>
      <c r="AP434" s="548"/>
      <c r="AQ434" s="548"/>
      <c r="AR434" s="619"/>
      <c r="AS434" s="548"/>
      <c r="AT434" s="548"/>
      <c r="AU434" s="548"/>
      <c r="AV434" s="548"/>
      <c r="AW434" s="619"/>
      <c r="AX434" s="548"/>
      <c r="AY434" s="548"/>
      <c r="AZ434" s="548"/>
      <c r="BA434" s="548"/>
      <c r="BB434" s="620"/>
      <c r="BC434" s="548"/>
      <c r="BD434" s="548"/>
      <c r="BE434" s="548"/>
      <c r="BF434" s="548"/>
      <c r="BN434" s="554">
        <v>50</v>
      </c>
      <c r="BO434" s="548"/>
      <c r="BP434" s="548"/>
      <c r="BQ434" s="548"/>
      <c r="BR434" s="548"/>
      <c r="BS434" s="548"/>
      <c r="BT434" s="548"/>
      <c r="BY434" s="619"/>
      <c r="BZ434" s="548"/>
      <c r="CA434" s="621"/>
      <c r="CB434" s="567"/>
      <c r="CC434" s="622"/>
      <c r="CD434" s="619"/>
      <c r="CE434" s="619"/>
      <c r="CF434" s="548"/>
      <c r="CG434" s="548"/>
      <c r="CU434" s="554">
        <f t="shared" si="124"/>
        <v>50</v>
      </c>
      <c r="CV434" s="554">
        <f t="shared" si="122"/>
        <v>0</v>
      </c>
      <c r="CW434" s="554">
        <f t="shared" si="123"/>
        <v>0</v>
      </c>
      <c r="CX434" s="619"/>
      <c r="CY434" s="619"/>
      <c r="CZ434" s="619"/>
      <c r="DA434" s="548"/>
      <c r="DB434" s="548"/>
      <c r="DC434" s="548"/>
      <c r="DD434" s="619"/>
      <c r="DE434" s="619"/>
      <c r="DF434" s="619"/>
      <c r="DG434" s="619"/>
      <c r="DH434" s="619"/>
    </row>
    <row r="435" s="548" customFormat="1" ht="31" customHeight="1" spans="1:112">
      <c r="A435" s="608">
        <v>45853</v>
      </c>
      <c r="B435" s="609"/>
      <c r="C435" s="610"/>
      <c r="D435" s="554" t="s">
        <v>7133</v>
      </c>
      <c r="E435" s="610"/>
      <c r="F435" s="548"/>
      <c r="G435" s="610" t="s">
        <v>6040</v>
      </c>
      <c r="H435" s="610" t="s">
        <v>1432</v>
      </c>
      <c r="I435" s="610" t="s">
        <v>7137</v>
      </c>
      <c r="J435" s="610">
        <v>0</v>
      </c>
      <c r="K435" s="610">
        <v>52</v>
      </c>
      <c r="L435" s="611" t="e">
        <f t="shared" si="125"/>
        <v>#VALUE!</v>
      </c>
      <c r="M435" s="612">
        <v>45866</v>
      </c>
      <c r="N435" s="612">
        <v>45862</v>
      </c>
      <c r="O435" s="613"/>
      <c r="P435" s="613" t="s">
        <v>73</v>
      </c>
      <c r="Q435" s="610"/>
      <c r="R435" s="614" t="s">
        <v>1242</v>
      </c>
      <c r="S435" s="614" t="s">
        <v>70</v>
      </c>
      <c r="T435" s="614" t="s">
        <v>70</v>
      </c>
      <c r="U435" s="614"/>
      <c r="V435" s="614"/>
      <c r="W435" s="615"/>
      <c r="X435" s="609" t="s">
        <v>7134</v>
      </c>
      <c r="Y435" s="609" t="s">
        <v>92</v>
      </c>
      <c r="Z435" s="609"/>
      <c r="AA435" s="616"/>
      <c r="AC435" s="617" t="s">
        <v>7135</v>
      </c>
      <c r="AD435" s="610" t="s">
        <v>73</v>
      </c>
      <c r="AE435" s="610" t="s">
        <v>73</v>
      </c>
      <c r="AF435" s="610"/>
      <c r="AG435" s="610"/>
      <c r="AH435" s="610"/>
      <c r="AI435" s="610" t="s">
        <v>126</v>
      </c>
      <c r="AJ435" s="610"/>
      <c r="AK435" s="610"/>
      <c r="AL435" s="610"/>
      <c r="AM435" s="610"/>
      <c r="AN435" s="610"/>
      <c r="AO435" s="548"/>
      <c r="AP435" s="548"/>
      <c r="AQ435" s="548"/>
      <c r="AR435" s="619"/>
      <c r="AS435" s="548"/>
      <c r="AT435" s="548"/>
      <c r="AU435" s="548"/>
      <c r="AV435" s="548"/>
      <c r="AW435" s="619"/>
      <c r="AX435" s="548"/>
      <c r="AY435" s="548"/>
      <c r="AZ435" s="548"/>
      <c r="BA435" s="548"/>
      <c r="BB435" s="620"/>
      <c r="BC435" s="548"/>
      <c r="BD435" s="548"/>
      <c r="BE435" s="548"/>
      <c r="BF435" s="548"/>
      <c r="BM435" s="554">
        <v>30</v>
      </c>
      <c r="BN435" s="548"/>
      <c r="BO435" s="548"/>
      <c r="BP435" s="548"/>
      <c r="BQ435" s="548"/>
      <c r="BR435" s="548"/>
      <c r="BS435" s="548"/>
      <c r="BT435" s="548"/>
      <c r="BY435" s="619"/>
      <c r="BZ435" s="548"/>
      <c r="CA435" s="621"/>
      <c r="CB435" s="567"/>
      <c r="CC435" s="622"/>
      <c r="CD435" s="619"/>
      <c r="CE435" s="619"/>
      <c r="CF435" s="548"/>
      <c r="CG435" s="548"/>
      <c r="CU435" s="554">
        <f t="shared" si="124"/>
        <v>0</v>
      </c>
      <c r="CV435" s="554">
        <f t="shared" si="122"/>
        <v>0</v>
      </c>
      <c r="CW435" s="554">
        <f t="shared" si="123"/>
        <v>0</v>
      </c>
      <c r="CX435" s="619"/>
      <c r="CY435" s="619"/>
      <c r="CZ435" s="619"/>
      <c r="DA435" s="548"/>
      <c r="DB435" s="548"/>
      <c r="DC435" s="548"/>
      <c r="DD435" s="619"/>
      <c r="DE435" s="619"/>
      <c r="DF435" s="619"/>
      <c r="DG435" s="619"/>
      <c r="DH435" s="619"/>
    </row>
    <row r="436" s="548" customFormat="1" ht="31" customHeight="1" spans="1:112">
      <c r="A436" s="608">
        <v>45853</v>
      </c>
      <c r="B436" s="609"/>
      <c r="C436" s="610"/>
      <c r="D436" s="554" t="s">
        <v>7133</v>
      </c>
      <c r="E436" s="610"/>
      <c r="F436" s="548"/>
      <c r="G436" s="610" t="s">
        <v>6043</v>
      </c>
      <c r="H436" s="610" t="s">
        <v>1432</v>
      </c>
      <c r="I436" s="610" t="s">
        <v>7136</v>
      </c>
      <c r="J436" s="610">
        <v>0</v>
      </c>
      <c r="K436" s="610">
        <v>50</v>
      </c>
      <c r="L436" s="611"/>
      <c r="M436" s="612">
        <v>45866</v>
      </c>
      <c r="N436" s="612">
        <v>45862</v>
      </c>
      <c r="O436" s="613"/>
      <c r="P436" s="613" t="s">
        <v>73</v>
      </c>
      <c r="Q436" s="610"/>
      <c r="R436" s="614" t="s">
        <v>1242</v>
      </c>
      <c r="S436" s="614" t="s">
        <v>70</v>
      </c>
      <c r="T436" s="614" t="s">
        <v>70</v>
      </c>
      <c r="U436" s="614"/>
      <c r="V436" s="614"/>
      <c r="W436" s="615"/>
      <c r="X436" s="609" t="s">
        <v>7134</v>
      </c>
      <c r="Y436" s="609" t="s">
        <v>92</v>
      </c>
      <c r="Z436" s="609"/>
      <c r="AA436" s="616"/>
      <c r="AC436" s="617" t="s">
        <v>7135</v>
      </c>
      <c r="AD436" s="610" t="s">
        <v>73</v>
      </c>
      <c r="AE436" s="610" t="s">
        <v>73</v>
      </c>
      <c r="AF436" s="610"/>
      <c r="AG436" s="610"/>
      <c r="AH436" s="610"/>
      <c r="AI436" s="610" t="s">
        <v>126</v>
      </c>
      <c r="AJ436" s="610"/>
      <c r="AK436" s="610"/>
      <c r="AL436" s="610"/>
      <c r="AM436" s="610"/>
      <c r="AN436" s="610"/>
      <c r="AO436" s="548"/>
      <c r="AP436" s="548"/>
      <c r="AQ436" s="548"/>
      <c r="AR436" s="619"/>
      <c r="AS436" s="548"/>
      <c r="AT436" s="548"/>
      <c r="AU436" s="548"/>
      <c r="AV436" s="548"/>
      <c r="AW436" s="619"/>
      <c r="AX436" s="548"/>
      <c r="AY436" s="548"/>
      <c r="AZ436" s="548"/>
      <c r="BA436" s="548"/>
      <c r="BB436" s="620"/>
      <c r="BP436" s="554">
        <v>50</v>
      </c>
      <c r="BQ436" s="548"/>
      <c r="BR436" s="548"/>
      <c r="BS436" s="548"/>
      <c r="BT436" s="548"/>
      <c r="BY436" s="619"/>
      <c r="BZ436" s="548"/>
      <c r="CA436" s="621"/>
      <c r="CB436" s="567"/>
      <c r="CC436" s="622"/>
      <c r="CD436" s="619"/>
      <c r="CE436" s="619"/>
      <c r="CF436" s="548"/>
      <c r="CG436" s="548"/>
      <c r="CU436" s="554">
        <f t="shared" si="124"/>
        <v>50</v>
      </c>
      <c r="CV436" s="554">
        <f t="shared" si="122"/>
        <v>0</v>
      </c>
      <c r="CW436" s="554">
        <f t="shared" si="123"/>
        <v>0</v>
      </c>
      <c r="CX436" s="619"/>
      <c r="CY436" s="619"/>
      <c r="CZ436" s="619"/>
      <c r="DA436" s="548"/>
      <c r="DB436" s="548"/>
      <c r="DC436" s="548"/>
      <c r="DD436" s="619"/>
      <c r="DE436" s="619"/>
      <c r="DF436" s="619"/>
      <c r="DG436" s="619"/>
      <c r="DH436" s="619"/>
    </row>
    <row r="437" s="548" customFormat="1" ht="31" customHeight="1" spans="1:112">
      <c r="A437" s="608">
        <v>45820</v>
      </c>
      <c r="B437" s="609" t="s">
        <v>549</v>
      </c>
      <c r="C437" s="610" t="s">
        <v>278</v>
      </c>
      <c r="D437" s="554">
        <v>4500169785</v>
      </c>
      <c r="E437" s="610" t="s">
        <v>7138</v>
      </c>
      <c r="F437" s="554" t="s">
        <v>7139</v>
      </c>
      <c r="G437" s="610" t="s">
        <v>6365</v>
      </c>
      <c r="H437" s="610" t="s">
        <v>6126</v>
      </c>
      <c r="I437" s="610">
        <v>492</v>
      </c>
      <c r="J437" s="610">
        <v>0</v>
      </c>
      <c r="K437" s="610">
        <v>12</v>
      </c>
      <c r="L437" s="611">
        <f t="shared" si="125"/>
        <v>41</v>
      </c>
      <c r="M437" s="612">
        <v>45876</v>
      </c>
      <c r="N437" s="612">
        <v>45873</v>
      </c>
      <c r="O437" s="613"/>
      <c r="P437" s="613" t="s">
        <v>113</v>
      </c>
      <c r="Q437" s="610"/>
      <c r="R437" s="614" t="s">
        <v>463</v>
      </c>
      <c r="S437" s="614" t="s">
        <v>104</v>
      </c>
      <c r="T437" s="614">
        <v>45854</v>
      </c>
      <c r="U437" s="614"/>
      <c r="V437" s="614"/>
      <c r="W437" s="615"/>
      <c r="X437" s="609" t="s">
        <v>7140</v>
      </c>
      <c r="Y437" s="609" t="s">
        <v>466</v>
      </c>
      <c r="Z437" s="609">
        <v>2.1629</v>
      </c>
      <c r="AA437" s="616">
        <f t="shared" ref="AA437:AA447" si="134">Z437*I437</f>
        <v>1064.1468</v>
      </c>
      <c r="AC437" s="629" t="s">
        <v>7141</v>
      </c>
      <c r="AD437" s="610" t="s">
        <v>6368</v>
      </c>
      <c r="AE437" s="610" t="s">
        <v>82</v>
      </c>
      <c r="AF437" s="610"/>
      <c r="AG437" s="610"/>
      <c r="AH437" s="610"/>
      <c r="AI437" s="610">
        <v>492</v>
      </c>
      <c r="AJ437" s="610">
        <f t="shared" ref="AJ437:AJ447" si="135">AI437-I437</f>
        <v>0</v>
      </c>
      <c r="AK437" s="610"/>
      <c r="AL437" s="610"/>
      <c r="AM437" s="610"/>
      <c r="AN437" s="610"/>
      <c r="AO437" s="554">
        <f>I437*2</f>
        <v>984</v>
      </c>
      <c r="AR437" s="619"/>
      <c r="AS437" s="548"/>
      <c r="AT437" s="554">
        <f>I437*2</f>
        <v>984</v>
      </c>
      <c r="AV437" s="554">
        <f>I437*2</f>
        <v>984</v>
      </c>
      <c r="AW437" s="619"/>
      <c r="AX437" s="548"/>
      <c r="AY437" s="548"/>
      <c r="AZ437" s="548"/>
      <c r="BA437" s="548"/>
      <c r="BB437" s="249">
        <f>I437/24*2</f>
        <v>41</v>
      </c>
      <c r="BY437" s="619"/>
      <c r="BZ437" s="548"/>
      <c r="CA437" s="621"/>
      <c r="CB437" s="567"/>
      <c r="CC437" s="622"/>
      <c r="CD437" s="619"/>
      <c r="CE437" s="619"/>
      <c r="CF437" s="548"/>
      <c r="CG437" s="548"/>
      <c r="CR437" s="554">
        <f>I437</f>
        <v>492</v>
      </c>
      <c r="CS437" s="554">
        <f>I437</f>
        <v>492</v>
      </c>
      <c r="CT437" s="554">
        <f>I437</f>
        <v>492</v>
      </c>
      <c r="CU437" s="554">
        <f t="shared" si="124"/>
        <v>0</v>
      </c>
      <c r="CV437" s="554">
        <f t="shared" si="122"/>
        <v>0</v>
      </c>
      <c r="CW437" s="554">
        <f t="shared" si="123"/>
        <v>0</v>
      </c>
      <c r="CX437" s="619"/>
      <c r="CY437" s="619"/>
      <c r="CZ437" s="619"/>
      <c r="DA437" s="548"/>
      <c r="DB437" s="548"/>
      <c r="DC437" s="548"/>
      <c r="DD437" s="619"/>
      <c r="DE437" s="619"/>
      <c r="DF437" s="619"/>
      <c r="DG437" s="619"/>
      <c r="DH437" s="619"/>
    </row>
    <row r="438" s="548" customFormat="1" ht="31" customHeight="1" spans="1:112">
      <c r="A438" s="608">
        <v>45740</v>
      </c>
      <c r="B438" s="609" t="s">
        <v>3577</v>
      </c>
      <c r="C438" s="610" t="s">
        <v>170</v>
      </c>
      <c r="D438" s="554">
        <v>4500160891</v>
      </c>
      <c r="E438" s="610">
        <v>9900924257</v>
      </c>
      <c r="F438" s="554" t="s">
        <v>7142</v>
      </c>
      <c r="G438" s="610" t="s">
        <v>6084</v>
      </c>
      <c r="H438" s="610" t="s">
        <v>6069</v>
      </c>
      <c r="I438" s="610">
        <v>3375</v>
      </c>
      <c r="J438" s="610">
        <v>0</v>
      </c>
      <c r="K438" s="610">
        <v>25</v>
      </c>
      <c r="L438" s="611">
        <f t="shared" si="125"/>
        <v>135</v>
      </c>
      <c r="M438" s="612">
        <v>45877</v>
      </c>
      <c r="N438" s="612">
        <v>45873</v>
      </c>
      <c r="O438" s="613" t="s">
        <v>1407</v>
      </c>
      <c r="P438" s="613" t="s">
        <v>113</v>
      </c>
      <c r="Q438" s="610"/>
      <c r="R438" s="614">
        <v>45784</v>
      </c>
      <c r="S438" s="614" t="s">
        <v>70</v>
      </c>
      <c r="T438" s="614">
        <v>45784</v>
      </c>
      <c r="U438" s="614"/>
      <c r="V438" s="614"/>
      <c r="W438" s="615"/>
      <c r="X438" s="628" t="s">
        <v>7143</v>
      </c>
      <c r="Y438" s="609" t="s">
        <v>175</v>
      </c>
      <c r="Z438" s="609">
        <v>0.95</v>
      </c>
      <c r="AA438" s="616">
        <f t="shared" si="134"/>
        <v>3206.25</v>
      </c>
      <c r="AC438" s="629" t="s">
        <v>7144</v>
      </c>
      <c r="AD438" s="610" t="s">
        <v>6089</v>
      </c>
      <c r="AE438" s="610" t="s">
        <v>82</v>
      </c>
      <c r="AF438" s="610"/>
      <c r="AG438" s="610"/>
      <c r="AH438" s="610"/>
      <c r="AI438" s="610">
        <v>3375</v>
      </c>
      <c r="AJ438" s="610">
        <f t="shared" si="135"/>
        <v>0</v>
      </c>
      <c r="AK438" s="610"/>
      <c r="AL438" s="610"/>
      <c r="AM438" s="610"/>
      <c r="AN438" s="610">
        <f>I438</f>
        <v>3375</v>
      </c>
      <c r="AR438" s="619"/>
      <c r="AS438" s="554">
        <f>I438</f>
        <v>3375</v>
      </c>
      <c r="AU438" s="554">
        <f>I438</f>
        <v>3375</v>
      </c>
      <c r="AW438" s="619"/>
      <c r="AX438" s="548"/>
      <c r="AY438" s="548"/>
      <c r="AZ438" s="548"/>
      <c r="BA438" s="548"/>
      <c r="BB438" s="620">
        <f>I438/24</f>
        <v>140.625</v>
      </c>
      <c r="BO438" s="554">
        <f>I438/25</f>
        <v>135</v>
      </c>
      <c r="BY438" s="619"/>
      <c r="BZ438" s="548"/>
      <c r="CA438" s="621"/>
      <c r="CB438" s="567"/>
      <c r="CC438" s="622"/>
      <c r="CD438" s="619"/>
      <c r="CE438" s="619"/>
      <c r="CF438" s="548"/>
      <c r="CG438" s="548"/>
      <c r="CU438" s="554">
        <f t="shared" si="124"/>
        <v>135</v>
      </c>
      <c r="CV438" s="554">
        <f t="shared" si="122"/>
        <v>0</v>
      </c>
      <c r="CW438" s="554">
        <f t="shared" si="123"/>
        <v>0</v>
      </c>
      <c r="CX438" s="619"/>
      <c r="CY438" s="619"/>
      <c r="CZ438" s="619"/>
      <c r="DA438" s="548"/>
      <c r="DB438" s="548"/>
      <c r="DC438" s="548"/>
      <c r="DD438" s="619"/>
      <c r="DE438" s="619"/>
      <c r="DF438" s="619"/>
      <c r="DG438" s="619"/>
      <c r="DH438" s="619"/>
    </row>
    <row r="439" s="548" customFormat="1" ht="31" customHeight="1" spans="1:112">
      <c r="A439" s="608">
        <v>45828</v>
      </c>
      <c r="B439" s="609" t="s">
        <v>1409</v>
      </c>
      <c r="C439" s="610" t="s">
        <v>524</v>
      </c>
      <c r="D439" s="554">
        <v>4500170750</v>
      </c>
      <c r="E439" s="610"/>
      <c r="F439" s="554" t="s">
        <v>7145</v>
      </c>
      <c r="G439" s="610" t="s">
        <v>6043</v>
      </c>
      <c r="H439" s="610" t="s">
        <v>6110</v>
      </c>
      <c r="I439" s="610">
        <v>1500</v>
      </c>
      <c r="J439" s="610">
        <v>0</v>
      </c>
      <c r="K439" s="610">
        <v>50</v>
      </c>
      <c r="L439" s="611">
        <f t="shared" si="125"/>
        <v>30</v>
      </c>
      <c r="M439" s="612">
        <v>45877</v>
      </c>
      <c r="N439" s="612">
        <v>45874</v>
      </c>
      <c r="O439" s="613"/>
      <c r="P439" s="613" t="s">
        <v>113</v>
      </c>
      <c r="Q439" s="610" t="s">
        <v>1411</v>
      </c>
      <c r="R439" s="614">
        <v>45841</v>
      </c>
      <c r="S439" s="614" t="s">
        <v>70</v>
      </c>
      <c r="T439" s="614">
        <v>45849</v>
      </c>
      <c r="U439" s="614"/>
      <c r="V439" s="614"/>
      <c r="W439" s="615"/>
      <c r="X439" s="628" t="s">
        <v>7146</v>
      </c>
      <c r="Y439" s="609" t="s">
        <v>340</v>
      </c>
      <c r="Z439" s="609">
        <v>0.941</v>
      </c>
      <c r="AA439" s="616">
        <f t="shared" si="134"/>
        <v>1411.5</v>
      </c>
      <c r="AC439" s="617" t="s">
        <v>7147</v>
      </c>
      <c r="AD439" s="610" t="s">
        <v>6043</v>
      </c>
      <c r="AE439" s="610" t="s">
        <v>82</v>
      </c>
      <c r="AF439" s="610"/>
      <c r="AG439" s="610"/>
      <c r="AH439" s="610"/>
      <c r="AI439" s="610">
        <v>1500</v>
      </c>
      <c r="AJ439" s="610">
        <f t="shared" si="135"/>
        <v>0</v>
      </c>
      <c r="AK439" s="610"/>
      <c r="AL439" s="610"/>
      <c r="AM439" s="610"/>
      <c r="AN439" s="610"/>
      <c r="AO439" s="554">
        <f>I439</f>
        <v>1500</v>
      </c>
      <c r="AR439" s="619"/>
      <c r="AS439" s="548"/>
      <c r="AT439" s="554">
        <f>I439</f>
        <v>1500</v>
      </c>
      <c r="AV439" s="554">
        <f>I439</f>
        <v>1500</v>
      </c>
      <c r="AW439" s="619"/>
      <c r="AX439" s="548"/>
      <c r="AY439" s="548"/>
      <c r="AZ439" s="548"/>
      <c r="BA439" s="548"/>
      <c r="BB439" s="620">
        <f>I439/24</f>
        <v>62.5</v>
      </c>
      <c r="BP439" s="554">
        <f>I439/25</f>
        <v>60</v>
      </c>
      <c r="BY439" s="619"/>
      <c r="BZ439" s="548"/>
      <c r="CA439" s="621"/>
      <c r="CB439" s="567"/>
      <c r="CC439" s="622"/>
      <c r="CD439" s="619"/>
      <c r="CE439" s="619"/>
      <c r="CF439" s="548"/>
      <c r="CG439" s="548"/>
      <c r="CU439" s="554">
        <f t="shared" si="124"/>
        <v>60</v>
      </c>
      <c r="CV439" s="554">
        <f t="shared" si="122"/>
        <v>0</v>
      </c>
      <c r="CW439" s="554">
        <f t="shared" si="123"/>
        <v>0</v>
      </c>
      <c r="CX439" s="619"/>
      <c r="CY439" s="619"/>
      <c r="CZ439" s="619"/>
      <c r="DA439" s="548"/>
      <c r="DB439" s="548"/>
      <c r="DC439" s="548"/>
      <c r="DD439" s="619"/>
      <c r="DE439" s="619"/>
      <c r="DF439" s="619"/>
      <c r="DG439" s="619"/>
      <c r="DH439" s="619"/>
    </row>
    <row r="440" s="548" customFormat="1" ht="31" customHeight="1" spans="1:112">
      <c r="A440" s="608">
        <v>45834</v>
      </c>
      <c r="B440" s="609" t="s">
        <v>2707</v>
      </c>
      <c r="C440" s="610" t="s">
        <v>170</v>
      </c>
      <c r="D440" s="554">
        <v>4500171342</v>
      </c>
      <c r="E440" s="610" t="s">
        <v>7148</v>
      </c>
      <c r="F440" s="554" t="s">
        <v>7149</v>
      </c>
      <c r="G440" s="610" t="s">
        <v>6166</v>
      </c>
      <c r="H440" s="610" t="s">
        <v>6094</v>
      </c>
      <c r="I440" s="610">
        <v>897</v>
      </c>
      <c r="J440" s="610">
        <v>0</v>
      </c>
      <c r="K440" s="610">
        <v>13</v>
      </c>
      <c r="L440" s="611">
        <f t="shared" si="125"/>
        <v>69</v>
      </c>
      <c r="M440" s="612">
        <v>45877</v>
      </c>
      <c r="N440" s="612">
        <f t="shared" ref="N440:N447" si="136">M440-4</f>
        <v>45873</v>
      </c>
      <c r="O440" s="613"/>
      <c r="P440" s="613" t="s">
        <v>113</v>
      </c>
      <c r="Q440" s="610"/>
      <c r="R440" s="614">
        <v>45835</v>
      </c>
      <c r="S440" s="614" t="s">
        <v>70</v>
      </c>
      <c r="T440" s="614" t="s">
        <v>454</v>
      </c>
      <c r="U440" s="614"/>
      <c r="V440" s="614" t="s">
        <v>2738</v>
      </c>
      <c r="W440" s="615"/>
      <c r="X440" s="609" t="s">
        <v>7150</v>
      </c>
      <c r="Y440" s="609" t="s">
        <v>1318</v>
      </c>
      <c r="Z440" s="609">
        <v>0.9213</v>
      </c>
      <c r="AA440" s="616">
        <f t="shared" si="134"/>
        <v>826.4061</v>
      </c>
      <c r="AC440" s="629" t="s">
        <v>7151</v>
      </c>
      <c r="AD440" s="610" t="s">
        <v>6166</v>
      </c>
      <c r="AE440" s="610" t="s">
        <v>82</v>
      </c>
      <c r="AF440" s="610"/>
      <c r="AG440" s="610"/>
      <c r="AH440" s="610"/>
      <c r="AI440" s="610">
        <v>897</v>
      </c>
      <c r="AJ440" s="610">
        <f t="shared" si="135"/>
        <v>0</v>
      </c>
      <c r="AK440" s="610"/>
      <c r="AL440" s="610"/>
      <c r="AM440" s="610"/>
      <c r="AN440" s="610">
        <f t="shared" ref="AN440:AN447" si="137">I440</f>
        <v>897</v>
      </c>
      <c r="AR440" s="619"/>
      <c r="AS440" s="554">
        <f t="shared" ref="AS440:AS447" si="138">I440</f>
        <v>897</v>
      </c>
      <c r="AU440" s="554">
        <f t="shared" ref="AU440:AU447" si="139">I440</f>
        <v>897</v>
      </c>
      <c r="AW440" s="619"/>
      <c r="AX440" s="548"/>
      <c r="AY440" s="548"/>
      <c r="AZ440" s="548"/>
      <c r="BA440" s="548"/>
      <c r="BB440" s="620">
        <f t="shared" ref="BB440:BB447" si="140">I440/24</f>
        <v>37.375</v>
      </c>
      <c r="BL440" s="554">
        <f t="shared" ref="BL440:BL447" si="141">I440/13</f>
        <v>69</v>
      </c>
      <c r="BY440" s="619"/>
      <c r="BZ440" s="548"/>
      <c r="CA440" s="621"/>
      <c r="CB440" s="567"/>
      <c r="CC440" s="622"/>
      <c r="CD440" s="619"/>
      <c r="CE440" s="619"/>
      <c r="CF440" s="548"/>
      <c r="CG440" s="548"/>
      <c r="CU440" s="554">
        <f t="shared" si="124"/>
        <v>0</v>
      </c>
      <c r="CV440" s="554">
        <f t="shared" si="122"/>
        <v>0</v>
      </c>
      <c r="CW440" s="554">
        <f t="shared" si="123"/>
        <v>0</v>
      </c>
      <c r="CX440" s="619"/>
      <c r="CY440" s="619"/>
      <c r="CZ440" s="619"/>
      <c r="DA440" s="548"/>
      <c r="DB440" s="548"/>
      <c r="DC440" s="548"/>
      <c r="DD440" s="619"/>
      <c r="DE440" s="619"/>
      <c r="DF440" s="619"/>
      <c r="DG440" s="619"/>
      <c r="DH440" s="619"/>
    </row>
    <row r="441" s="548" customFormat="1" ht="31" customHeight="1" spans="1:112">
      <c r="A441" s="608">
        <v>45834</v>
      </c>
      <c r="B441" s="609" t="s">
        <v>2707</v>
      </c>
      <c r="C441" s="610" t="s">
        <v>170</v>
      </c>
      <c r="D441" s="554">
        <v>4500171342</v>
      </c>
      <c r="E441" s="610" t="s">
        <v>7148</v>
      </c>
      <c r="F441" s="554" t="s">
        <v>7152</v>
      </c>
      <c r="G441" s="610" t="s">
        <v>6166</v>
      </c>
      <c r="H441" s="610" t="s">
        <v>6094</v>
      </c>
      <c r="I441" s="610">
        <v>286</v>
      </c>
      <c r="J441" s="610">
        <v>0</v>
      </c>
      <c r="K441" s="610">
        <v>13</v>
      </c>
      <c r="L441" s="611">
        <f t="shared" si="125"/>
        <v>22</v>
      </c>
      <c r="M441" s="612">
        <v>45877</v>
      </c>
      <c r="N441" s="612">
        <f t="shared" si="136"/>
        <v>45873</v>
      </c>
      <c r="O441" s="613"/>
      <c r="P441" s="613" t="s">
        <v>113</v>
      </c>
      <c r="Q441" s="610"/>
      <c r="R441" s="614">
        <v>45835</v>
      </c>
      <c r="S441" s="614" t="s">
        <v>70</v>
      </c>
      <c r="T441" s="614" t="s">
        <v>454</v>
      </c>
      <c r="U441" s="614"/>
      <c r="V441" s="614" t="s">
        <v>2738</v>
      </c>
      <c r="W441" s="615"/>
      <c r="X441" s="609" t="s">
        <v>7150</v>
      </c>
      <c r="Y441" s="609" t="s">
        <v>1318</v>
      </c>
      <c r="Z441" s="609">
        <v>0.9213</v>
      </c>
      <c r="AA441" s="616">
        <f t="shared" si="134"/>
        <v>263.4918</v>
      </c>
      <c r="AC441" s="629" t="s">
        <v>7151</v>
      </c>
      <c r="AD441" s="610" t="s">
        <v>6166</v>
      </c>
      <c r="AE441" s="610" t="s">
        <v>82</v>
      </c>
      <c r="AF441" s="610"/>
      <c r="AG441" s="610"/>
      <c r="AH441" s="610"/>
      <c r="AI441" s="610">
        <v>286</v>
      </c>
      <c r="AJ441" s="610">
        <f t="shared" si="135"/>
        <v>0</v>
      </c>
      <c r="AK441" s="610"/>
      <c r="AL441" s="610"/>
      <c r="AM441" s="610"/>
      <c r="AN441" s="610">
        <f t="shared" si="137"/>
        <v>286</v>
      </c>
      <c r="AR441" s="619"/>
      <c r="AS441" s="554">
        <f t="shared" si="138"/>
        <v>286</v>
      </c>
      <c r="AU441" s="554">
        <f t="shared" si="139"/>
        <v>286</v>
      </c>
      <c r="AW441" s="619"/>
      <c r="AX441" s="548"/>
      <c r="AY441" s="548"/>
      <c r="AZ441" s="548"/>
      <c r="BA441" s="548"/>
      <c r="BB441" s="620">
        <f t="shared" si="140"/>
        <v>11.9166666666667</v>
      </c>
      <c r="BL441" s="554">
        <f t="shared" si="141"/>
        <v>22</v>
      </c>
      <c r="BY441" s="619"/>
      <c r="BZ441" s="548"/>
      <c r="CA441" s="621"/>
      <c r="CB441" s="567"/>
      <c r="CC441" s="622"/>
      <c r="CD441" s="619"/>
      <c r="CE441" s="619"/>
      <c r="CF441" s="548"/>
      <c r="CG441" s="548"/>
      <c r="CU441" s="554">
        <f t="shared" si="124"/>
        <v>0</v>
      </c>
      <c r="CV441" s="554">
        <f t="shared" si="122"/>
        <v>0</v>
      </c>
      <c r="CW441" s="554">
        <f t="shared" si="123"/>
        <v>0</v>
      </c>
      <c r="CX441" s="619"/>
      <c r="CY441" s="619"/>
      <c r="CZ441" s="619"/>
      <c r="DA441" s="548"/>
      <c r="DB441" s="548"/>
      <c r="DC441" s="548"/>
      <c r="DD441" s="619"/>
      <c r="DE441" s="619"/>
      <c r="DF441" s="619"/>
      <c r="DG441" s="619"/>
      <c r="DH441" s="619"/>
    </row>
    <row r="442" s="548" customFormat="1" ht="31" customHeight="1" spans="1:112">
      <c r="A442" s="608">
        <v>45834</v>
      </c>
      <c r="B442" s="609" t="s">
        <v>2707</v>
      </c>
      <c r="C442" s="610" t="s">
        <v>170</v>
      </c>
      <c r="D442" s="554">
        <v>4500171342</v>
      </c>
      <c r="E442" s="610" t="s">
        <v>7148</v>
      </c>
      <c r="F442" s="554" t="s">
        <v>7153</v>
      </c>
      <c r="G442" s="610" t="s">
        <v>6166</v>
      </c>
      <c r="H442" s="610" t="s">
        <v>6094</v>
      </c>
      <c r="I442" s="610">
        <v>1092</v>
      </c>
      <c r="J442" s="610">
        <v>0</v>
      </c>
      <c r="K442" s="610">
        <v>13</v>
      </c>
      <c r="L442" s="611">
        <f t="shared" si="125"/>
        <v>84</v>
      </c>
      <c r="M442" s="612">
        <v>45877</v>
      </c>
      <c r="N442" s="612">
        <f t="shared" si="136"/>
        <v>45873</v>
      </c>
      <c r="O442" s="613"/>
      <c r="P442" s="613" t="s">
        <v>113</v>
      </c>
      <c r="Q442" s="610"/>
      <c r="R442" s="614">
        <v>45835</v>
      </c>
      <c r="S442" s="614" t="s">
        <v>70</v>
      </c>
      <c r="T442" s="614" t="s">
        <v>454</v>
      </c>
      <c r="U442" s="614"/>
      <c r="V442" s="614" t="s">
        <v>2738</v>
      </c>
      <c r="W442" s="615"/>
      <c r="X442" s="609" t="s">
        <v>7150</v>
      </c>
      <c r="Y442" s="609" t="s">
        <v>1318</v>
      </c>
      <c r="Z442" s="609">
        <v>0.9213</v>
      </c>
      <c r="AA442" s="616">
        <f t="shared" si="134"/>
        <v>1006.0596</v>
      </c>
      <c r="AC442" s="629" t="s">
        <v>7151</v>
      </c>
      <c r="AD442" s="610" t="s">
        <v>6166</v>
      </c>
      <c r="AE442" s="610" t="s">
        <v>82</v>
      </c>
      <c r="AF442" s="610"/>
      <c r="AG442" s="610"/>
      <c r="AH442" s="610"/>
      <c r="AI442" s="610">
        <f>1092</f>
        <v>1092</v>
      </c>
      <c r="AJ442" s="610">
        <f t="shared" si="135"/>
        <v>0</v>
      </c>
      <c r="AK442" s="610"/>
      <c r="AL442" s="610"/>
      <c r="AM442" s="610"/>
      <c r="AN442" s="610">
        <f t="shared" si="137"/>
        <v>1092</v>
      </c>
      <c r="AR442" s="619"/>
      <c r="AS442" s="554">
        <f t="shared" si="138"/>
        <v>1092</v>
      </c>
      <c r="AU442" s="554">
        <f t="shared" si="139"/>
        <v>1092</v>
      </c>
      <c r="AW442" s="619"/>
      <c r="AX442" s="548"/>
      <c r="AY442" s="548"/>
      <c r="AZ442" s="548"/>
      <c r="BA442" s="548"/>
      <c r="BB442" s="620">
        <f t="shared" si="140"/>
        <v>45.5</v>
      </c>
      <c r="BL442" s="554">
        <f t="shared" si="141"/>
        <v>84</v>
      </c>
      <c r="BY442" s="619"/>
      <c r="BZ442" s="548"/>
      <c r="CA442" s="621"/>
      <c r="CB442" s="567"/>
      <c r="CC442" s="622"/>
      <c r="CD442" s="619"/>
      <c r="CE442" s="619"/>
      <c r="CF442" s="548"/>
      <c r="CG442" s="548"/>
      <c r="CU442" s="554">
        <f t="shared" si="124"/>
        <v>0</v>
      </c>
      <c r="CV442" s="554">
        <f t="shared" si="122"/>
        <v>0</v>
      </c>
      <c r="CW442" s="554">
        <f t="shared" si="123"/>
        <v>0</v>
      </c>
      <c r="CX442" s="619"/>
      <c r="CY442" s="619"/>
      <c r="CZ442" s="619"/>
      <c r="DA442" s="548"/>
      <c r="DB442" s="548"/>
      <c r="DC442" s="548"/>
      <c r="DD442" s="619"/>
      <c r="DE442" s="619"/>
      <c r="DF442" s="619"/>
      <c r="DG442" s="619"/>
      <c r="DH442" s="619"/>
    </row>
    <row r="443" s="548" customFormat="1" ht="31" customHeight="1" spans="1:112">
      <c r="A443" s="608">
        <v>45834</v>
      </c>
      <c r="B443" s="609" t="s">
        <v>2707</v>
      </c>
      <c r="C443" s="610" t="s">
        <v>170</v>
      </c>
      <c r="D443" s="554">
        <v>4500171342</v>
      </c>
      <c r="E443" s="610" t="s">
        <v>7148</v>
      </c>
      <c r="F443" s="554" t="s">
        <v>7154</v>
      </c>
      <c r="G443" s="610" t="s">
        <v>6166</v>
      </c>
      <c r="H443" s="610" t="s">
        <v>6094</v>
      </c>
      <c r="I443" s="610">
        <v>390</v>
      </c>
      <c r="J443" s="610">
        <v>0</v>
      </c>
      <c r="K443" s="610">
        <v>13</v>
      </c>
      <c r="L443" s="611">
        <f t="shared" si="125"/>
        <v>30</v>
      </c>
      <c r="M443" s="612">
        <v>45877</v>
      </c>
      <c r="N443" s="612">
        <f t="shared" si="136"/>
        <v>45873</v>
      </c>
      <c r="O443" s="613"/>
      <c r="P443" s="613" t="s">
        <v>113</v>
      </c>
      <c r="Q443" s="610"/>
      <c r="R443" s="614">
        <v>45835</v>
      </c>
      <c r="S443" s="614" t="s">
        <v>70</v>
      </c>
      <c r="T443" s="614" t="s">
        <v>454</v>
      </c>
      <c r="U443" s="614"/>
      <c r="V443" s="614" t="s">
        <v>2738</v>
      </c>
      <c r="W443" s="615"/>
      <c r="X443" s="609" t="s">
        <v>7150</v>
      </c>
      <c r="Y443" s="609" t="s">
        <v>1318</v>
      </c>
      <c r="Z443" s="609">
        <v>0.9213</v>
      </c>
      <c r="AA443" s="616">
        <f t="shared" si="134"/>
        <v>359.307</v>
      </c>
      <c r="AC443" s="629" t="s">
        <v>7151</v>
      </c>
      <c r="AD443" s="610" t="s">
        <v>6166</v>
      </c>
      <c r="AE443" s="610" t="s">
        <v>82</v>
      </c>
      <c r="AF443" s="610"/>
      <c r="AG443" s="610"/>
      <c r="AH443" s="610"/>
      <c r="AI443" s="610">
        <v>390</v>
      </c>
      <c r="AJ443" s="610">
        <f t="shared" si="135"/>
        <v>0</v>
      </c>
      <c r="AK443" s="610"/>
      <c r="AL443" s="610"/>
      <c r="AM443" s="610"/>
      <c r="AN443" s="610">
        <f t="shared" si="137"/>
        <v>390</v>
      </c>
      <c r="AR443" s="619"/>
      <c r="AS443" s="554">
        <f t="shared" si="138"/>
        <v>390</v>
      </c>
      <c r="AU443" s="554">
        <f t="shared" si="139"/>
        <v>390</v>
      </c>
      <c r="AW443" s="619"/>
      <c r="AX443" s="548"/>
      <c r="AY443" s="548"/>
      <c r="AZ443" s="548"/>
      <c r="BA443" s="548"/>
      <c r="BB443" s="620">
        <f t="shared" si="140"/>
        <v>16.25</v>
      </c>
      <c r="BL443" s="554">
        <f t="shared" si="141"/>
        <v>30</v>
      </c>
      <c r="BY443" s="619"/>
      <c r="BZ443" s="548"/>
      <c r="CA443" s="621"/>
      <c r="CB443" s="567"/>
      <c r="CC443" s="622"/>
      <c r="CD443" s="619"/>
      <c r="CE443" s="619"/>
      <c r="CF443" s="548"/>
      <c r="CG443" s="548"/>
      <c r="CU443" s="554">
        <f t="shared" si="124"/>
        <v>0</v>
      </c>
      <c r="CV443" s="554">
        <f t="shared" si="122"/>
        <v>0</v>
      </c>
      <c r="CW443" s="554">
        <f t="shared" si="123"/>
        <v>0</v>
      </c>
      <c r="CX443" s="619"/>
      <c r="CY443" s="619"/>
      <c r="CZ443" s="619"/>
      <c r="DA443" s="548"/>
      <c r="DB443" s="548"/>
      <c r="DC443" s="548"/>
      <c r="DD443" s="619"/>
      <c r="DE443" s="619"/>
      <c r="DF443" s="619"/>
      <c r="DG443" s="619"/>
      <c r="DH443" s="619"/>
    </row>
    <row r="444" s="548" customFormat="1" ht="31" customHeight="1" spans="1:112">
      <c r="A444" s="608">
        <v>45834</v>
      </c>
      <c r="B444" s="609" t="s">
        <v>2707</v>
      </c>
      <c r="C444" s="610" t="s">
        <v>170</v>
      </c>
      <c r="D444" s="554">
        <v>4500171342</v>
      </c>
      <c r="E444" s="610" t="s">
        <v>7148</v>
      </c>
      <c r="F444" s="554" t="s">
        <v>7155</v>
      </c>
      <c r="G444" s="610" t="s">
        <v>6166</v>
      </c>
      <c r="H444" s="610" t="s">
        <v>6094</v>
      </c>
      <c r="I444" s="610">
        <v>390</v>
      </c>
      <c r="J444" s="610">
        <v>0</v>
      </c>
      <c r="K444" s="610">
        <v>13</v>
      </c>
      <c r="L444" s="611">
        <f t="shared" si="125"/>
        <v>30</v>
      </c>
      <c r="M444" s="612">
        <v>45877</v>
      </c>
      <c r="N444" s="612">
        <f t="shared" si="136"/>
        <v>45873</v>
      </c>
      <c r="O444" s="613"/>
      <c r="P444" s="613" t="s">
        <v>113</v>
      </c>
      <c r="Q444" s="610"/>
      <c r="R444" s="614">
        <v>45835</v>
      </c>
      <c r="S444" s="614" t="s">
        <v>70</v>
      </c>
      <c r="T444" s="614" t="s">
        <v>454</v>
      </c>
      <c r="U444" s="614"/>
      <c r="V444" s="614" t="s">
        <v>2738</v>
      </c>
      <c r="W444" s="615"/>
      <c r="X444" s="609" t="s">
        <v>7150</v>
      </c>
      <c r="Y444" s="609" t="s">
        <v>1318</v>
      </c>
      <c r="Z444" s="609">
        <v>0.9213</v>
      </c>
      <c r="AA444" s="616">
        <f t="shared" si="134"/>
        <v>359.307</v>
      </c>
      <c r="AC444" s="629" t="s">
        <v>7151</v>
      </c>
      <c r="AD444" s="610" t="s">
        <v>6166</v>
      </c>
      <c r="AE444" s="610" t="s">
        <v>82</v>
      </c>
      <c r="AF444" s="610"/>
      <c r="AG444" s="610"/>
      <c r="AH444" s="610"/>
      <c r="AI444" s="610">
        <v>390</v>
      </c>
      <c r="AJ444" s="610">
        <f t="shared" si="135"/>
        <v>0</v>
      </c>
      <c r="AK444" s="610"/>
      <c r="AL444" s="610"/>
      <c r="AM444" s="610"/>
      <c r="AN444" s="610">
        <f t="shared" si="137"/>
        <v>390</v>
      </c>
      <c r="AR444" s="619"/>
      <c r="AS444" s="554">
        <f t="shared" si="138"/>
        <v>390</v>
      </c>
      <c r="AU444" s="554">
        <f t="shared" si="139"/>
        <v>390</v>
      </c>
      <c r="AW444" s="619"/>
      <c r="AX444" s="548"/>
      <c r="AY444" s="548"/>
      <c r="AZ444" s="548"/>
      <c r="BA444" s="548"/>
      <c r="BB444" s="620">
        <f t="shared" si="140"/>
        <v>16.25</v>
      </c>
      <c r="BL444" s="554">
        <f t="shared" si="141"/>
        <v>30</v>
      </c>
      <c r="BY444" s="619"/>
      <c r="BZ444" s="548"/>
      <c r="CA444" s="621"/>
      <c r="CB444" s="567"/>
      <c r="CC444" s="622"/>
      <c r="CD444" s="619"/>
      <c r="CE444" s="619"/>
      <c r="CF444" s="548"/>
      <c r="CG444" s="548"/>
      <c r="CU444" s="554">
        <f t="shared" si="124"/>
        <v>0</v>
      </c>
      <c r="CV444" s="554">
        <f t="shared" si="122"/>
        <v>0</v>
      </c>
      <c r="CW444" s="554">
        <f t="shared" si="123"/>
        <v>0</v>
      </c>
      <c r="CX444" s="619"/>
      <c r="CY444" s="619"/>
      <c r="CZ444" s="619"/>
      <c r="DA444" s="548"/>
      <c r="DB444" s="548"/>
      <c r="DC444" s="548"/>
      <c r="DD444" s="619"/>
      <c r="DE444" s="619"/>
      <c r="DF444" s="619"/>
      <c r="DG444" s="619"/>
      <c r="DH444" s="619"/>
    </row>
    <row r="445" s="548" customFormat="1" ht="31" customHeight="1" spans="1:112">
      <c r="A445" s="608">
        <v>45834</v>
      </c>
      <c r="B445" s="609" t="s">
        <v>2707</v>
      </c>
      <c r="C445" s="610" t="s">
        <v>170</v>
      </c>
      <c r="D445" s="554">
        <v>4500171342</v>
      </c>
      <c r="E445" s="610" t="s">
        <v>7148</v>
      </c>
      <c r="F445" s="554" t="s">
        <v>7156</v>
      </c>
      <c r="G445" s="610" t="s">
        <v>6166</v>
      </c>
      <c r="H445" s="610" t="s">
        <v>6094</v>
      </c>
      <c r="I445" s="610">
        <v>143</v>
      </c>
      <c r="J445" s="610">
        <v>0</v>
      </c>
      <c r="K445" s="610">
        <v>13</v>
      </c>
      <c r="L445" s="611">
        <f t="shared" si="125"/>
        <v>11</v>
      </c>
      <c r="M445" s="612">
        <v>45877</v>
      </c>
      <c r="N445" s="612">
        <f t="shared" si="136"/>
        <v>45873</v>
      </c>
      <c r="O445" s="613"/>
      <c r="P445" s="613" t="s">
        <v>113</v>
      </c>
      <c r="Q445" s="610"/>
      <c r="R445" s="614">
        <v>45835</v>
      </c>
      <c r="S445" s="614" t="s">
        <v>70</v>
      </c>
      <c r="T445" s="614" t="s">
        <v>454</v>
      </c>
      <c r="U445" s="614"/>
      <c r="V445" s="614" t="s">
        <v>2738</v>
      </c>
      <c r="W445" s="615"/>
      <c r="X445" s="609" t="s">
        <v>7150</v>
      </c>
      <c r="Y445" s="609" t="s">
        <v>1318</v>
      </c>
      <c r="Z445" s="609">
        <v>0.9213</v>
      </c>
      <c r="AA445" s="616">
        <f t="shared" si="134"/>
        <v>131.7459</v>
      </c>
      <c r="AC445" s="629" t="s">
        <v>7151</v>
      </c>
      <c r="AD445" s="610" t="s">
        <v>6166</v>
      </c>
      <c r="AE445" s="610" t="s">
        <v>82</v>
      </c>
      <c r="AF445" s="610"/>
      <c r="AG445" s="610"/>
      <c r="AH445" s="610"/>
      <c r="AI445" s="610">
        <v>143</v>
      </c>
      <c r="AJ445" s="610">
        <f t="shared" si="135"/>
        <v>0</v>
      </c>
      <c r="AK445" s="610"/>
      <c r="AL445" s="610"/>
      <c r="AM445" s="610"/>
      <c r="AN445" s="610">
        <f t="shared" si="137"/>
        <v>143</v>
      </c>
      <c r="AR445" s="619"/>
      <c r="AS445" s="554">
        <f t="shared" si="138"/>
        <v>143</v>
      </c>
      <c r="AU445" s="554">
        <f t="shared" si="139"/>
        <v>143</v>
      </c>
      <c r="AW445" s="619"/>
      <c r="AX445" s="548"/>
      <c r="AY445" s="548"/>
      <c r="AZ445" s="548"/>
      <c r="BA445" s="548"/>
      <c r="BB445" s="620">
        <f t="shared" si="140"/>
        <v>5.95833333333333</v>
      </c>
      <c r="BL445" s="554">
        <f t="shared" si="141"/>
        <v>11</v>
      </c>
      <c r="BY445" s="619"/>
      <c r="BZ445" s="548"/>
      <c r="CA445" s="621"/>
      <c r="CB445" s="567"/>
      <c r="CC445" s="622"/>
      <c r="CD445" s="619"/>
      <c r="CE445" s="619"/>
      <c r="CF445" s="548"/>
      <c r="CG445" s="548"/>
      <c r="CU445" s="554">
        <f t="shared" si="124"/>
        <v>0</v>
      </c>
      <c r="CV445" s="554">
        <f t="shared" si="122"/>
        <v>0</v>
      </c>
      <c r="CW445" s="554">
        <f t="shared" si="123"/>
        <v>0</v>
      </c>
      <c r="CX445" s="619"/>
      <c r="CY445" s="619"/>
      <c r="CZ445" s="619"/>
      <c r="DA445" s="548"/>
      <c r="DB445" s="548"/>
      <c r="DC445" s="548"/>
      <c r="DD445" s="619"/>
      <c r="DE445" s="619"/>
      <c r="DF445" s="619"/>
      <c r="DG445" s="619"/>
      <c r="DH445" s="619"/>
    </row>
    <row r="446" s="548" customFormat="1" ht="31" customHeight="1" spans="1:112">
      <c r="A446" s="608">
        <v>45834</v>
      </c>
      <c r="B446" s="609" t="s">
        <v>2707</v>
      </c>
      <c r="C446" s="610" t="s">
        <v>170</v>
      </c>
      <c r="D446" s="554">
        <v>4500171342</v>
      </c>
      <c r="E446" s="610" t="s">
        <v>7148</v>
      </c>
      <c r="F446" s="554" t="s">
        <v>7157</v>
      </c>
      <c r="G446" s="610" t="s">
        <v>6166</v>
      </c>
      <c r="H446" s="610" t="s">
        <v>6094</v>
      </c>
      <c r="I446" s="610">
        <v>182</v>
      </c>
      <c r="J446" s="610">
        <v>0</v>
      </c>
      <c r="K446" s="610">
        <v>13</v>
      </c>
      <c r="L446" s="611">
        <f t="shared" si="125"/>
        <v>14</v>
      </c>
      <c r="M446" s="612">
        <v>45877</v>
      </c>
      <c r="N446" s="612">
        <f t="shared" si="136"/>
        <v>45873</v>
      </c>
      <c r="O446" s="613"/>
      <c r="P446" s="613" t="s">
        <v>113</v>
      </c>
      <c r="Q446" s="610"/>
      <c r="R446" s="614">
        <v>45835</v>
      </c>
      <c r="S446" s="614" t="s">
        <v>70</v>
      </c>
      <c r="T446" s="614" t="s">
        <v>454</v>
      </c>
      <c r="U446" s="614"/>
      <c r="V446" s="614" t="s">
        <v>2738</v>
      </c>
      <c r="W446" s="615"/>
      <c r="X446" s="609" t="s">
        <v>7150</v>
      </c>
      <c r="Y446" s="609" t="s">
        <v>1318</v>
      </c>
      <c r="Z446" s="609">
        <v>0.9213</v>
      </c>
      <c r="AA446" s="616">
        <f t="shared" si="134"/>
        <v>167.6766</v>
      </c>
      <c r="AC446" s="629" t="s">
        <v>7151</v>
      </c>
      <c r="AD446" s="610" t="s">
        <v>6166</v>
      </c>
      <c r="AE446" s="610" t="s">
        <v>82</v>
      </c>
      <c r="AF446" s="610"/>
      <c r="AG446" s="610"/>
      <c r="AH446" s="610"/>
      <c r="AI446" s="610">
        <v>182</v>
      </c>
      <c r="AJ446" s="610">
        <f t="shared" si="135"/>
        <v>0</v>
      </c>
      <c r="AK446" s="610"/>
      <c r="AL446" s="610"/>
      <c r="AM446" s="610"/>
      <c r="AN446" s="610">
        <f t="shared" si="137"/>
        <v>182</v>
      </c>
      <c r="AR446" s="619"/>
      <c r="AS446" s="554">
        <f t="shared" si="138"/>
        <v>182</v>
      </c>
      <c r="AU446" s="554">
        <f t="shared" si="139"/>
        <v>182</v>
      </c>
      <c r="AW446" s="619"/>
      <c r="AX446" s="548"/>
      <c r="AY446" s="548"/>
      <c r="AZ446" s="548"/>
      <c r="BA446" s="548"/>
      <c r="BB446" s="620">
        <f t="shared" si="140"/>
        <v>7.58333333333333</v>
      </c>
      <c r="BL446" s="554">
        <f t="shared" si="141"/>
        <v>14</v>
      </c>
      <c r="BY446" s="619"/>
      <c r="BZ446" s="548"/>
      <c r="CA446" s="621"/>
      <c r="CB446" s="567"/>
      <c r="CC446" s="622"/>
      <c r="CD446" s="619"/>
      <c r="CE446" s="619"/>
      <c r="CF446" s="548"/>
      <c r="CG446" s="548"/>
      <c r="CU446" s="554">
        <f t="shared" si="124"/>
        <v>0</v>
      </c>
      <c r="CV446" s="554">
        <f t="shared" si="122"/>
        <v>0</v>
      </c>
      <c r="CW446" s="554">
        <f t="shared" si="123"/>
        <v>0</v>
      </c>
      <c r="CX446" s="619"/>
      <c r="CY446" s="619"/>
      <c r="CZ446" s="619"/>
      <c r="DA446" s="548"/>
      <c r="DB446" s="548"/>
      <c r="DC446" s="548"/>
      <c r="DD446" s="619"/>
      <c r="DE446" s="619"/>
      <c r="DF446" s="619"/>
      <c r="DG446" s="619"/>
      <c r="DH446" s="619"/>
    </row>
    <row r="447" s="548" customFormat="1" ht="31" customHeight="1" spans="1:112">
      <c r="A447" s="608">
        <v>45834</v>
      </c>
      <c r="B447" s="609" t="s">
        <v>2707</v>
      </c>
      <c r="C447" s="610" t="s">
        <v>170</v>
      </c>
      <c r="D447" s="554">
        <v>4500171342</v>
      </c>
      <c r="E447" s="610" t="s">
        <v>7148</v>
      </c>
      <c r="F447" s="554" t="s">
        <v>7158</v>
      </c>
      <c r="G447" s="610" t="s">
        <v>6166</v>
      </c>
      <c r="H447" s="610" t="s">
        <v>6094</v>
      </c>
      <c r="I447" s="610">
        <v>130</v>
      </c>
      <c r="J447" s="610">
        <v>0</v>
      </c>
      <c r="K447" s="610">
        <v>13</v>
      </c>
      <c r="L447" s="611">
        <f t="shared" si="125"/>
        <v>10</v>
      </c>
      <c r="M447" s="612">
        <v>45877</v>
      </c>
      <c r="N447" s="612">
        <f t="shared" si="136"/>
        <v>45873</v>
      </c>
      <c r="O447" s="613"/>
      <c r="P447" s="613" t="s">
        <v>113</v>
      </c>
      <c r="Q447" s="610"/>
      <c r="R447" s="614">
        <v>45835</v>
      </c>
      <c r="S447" s="614" t="s">
        <v>70</v>
      </c>
      <c r="T447" s="614" t="s">
        <v>454</v>
      </c>
      <c r="U447" s="614"/>
      <c r="V447" s="614" t="s">
        <v>2738</v>
      </c>
      <c r="W447" s="615"/>
      <c r="X447" s="609" t="s">
        <v>7150</v>
      </c>
      <c r="Y447" s="609" t="s">
        <v>1318</v>
      </c>
      <c r="Z447" s="609">
        <v>0.9213</v>
      </c>
      <c r="AA447" s="616">
        <f t="shared" si="134"/>
        <v>119.769</v>
      </c>
      <c r="AC447" s="629" t="s">
        <v>7151</v>
      </c>
      <c r="AD447" s="610" t="s">
        <v>6166</v>
      </c>
      <c r="AE447" s="610" t="s">
        <v>82</v>
      </c>
      <c r="AF447" s="610"/>
      <c r="AG447" s="610"/>
      <c r="AH447" s="610"/>
      <c r="AI447" s="610">
        <v>130</v>
      </c>
      <c r="AJ447" s="610">
        <f t="shared" si="135"/>
        <v>0</v>
      </c>
      <c r="AK447" s="610"/>
      <c r="AL447" s="610"/>
      <c r="AM447" s="610"/>
      <c r="AN447" s="610">
        <f t="shared" si="137"/>
        <v>130</v>
      </c>
      <c r="AR447" s="619"/>
      <c r="AS447" s="554">
        <f t="shared" si="138"/>
        <v>130</v>
      </c>
      <c r="AU447" s="554">
        <f t="shared" si="139"/>
        <v>130</v>
      </c>
      <c r="AW447" s="619"/>
      <c r="AX447" s="548"/>
      <c r="AY447" s="548"/>
      <c r="AZ447" s="548"/>
      <c r="BA447" s="548"/>
      <c r="BB447" s="620">
        <f t="shared" si="140"/>
        <v>5.41666666666667</v>
      </c>
      <c r="BL447" s="554">
        <f t="shared" si="141"/>
        <v>10</v>
      </c>
      <c r="BY447" s="619"/>
      <c r="BZ447" s="548"/>
      <c r="CA447" s="621"/>
      <c r="CB447" s="567"/>
      <c r="CC447" s="622"/>
      <c r="CD447" s="619"/>
      <c r="CE447" s="619"/>
      <c r="CF447" s="548"/>
      <c r="CG447" s="548"/>
      <c r="CU447" s="554">
        <f t="shared" si="124"/>
        <v>0</v>
      </c>
      <c r="CV447" s="554">
        <f t="shared" si="122"/>
        <v>0</v>
      </c>
      <c r="CW447" s="554">
        <f t="shared" si="123"/>
        <v>0</v>
      </c>
      <c r="CX447" s="619"/>
      <c r="CY447" s="619"/>
      <c r="CZ447" s="619"/>
      <c r="DA447" s="548"/>
      <c r="DB447" s="548"/>
      <c r="DC447" s="548"/>
      <c r="DD447" s="619"/>
      <c r="DE447" s="619"/>
      <c r="DF447" s="619"/>
      <c r="DG447" s="619"/>
      <c r="DH447" s="619"/>
    </row>
    <row r="448" s="548" customFormat="1" ht="31" customHeight="1" spans="1:112">
      <c r="A448" s="608">
        <v>45769</v>
      </c>
      <c r="B448" s="609" t="s">
        <v>947</v>
      </c>
      <c r="C448" s="610" t="s">
        <v>278</v>
      </c>
      <c r="D448" s="554">
        <v>4500164549</v>
      </c>
      <c r="E448" s="610" t="s">
        <v>1378</v>
      </c>
      <c r="F448" s="554" t="s">
        <v>1379</v>
      </c>
      <c r="G448" s="610" t="s">
        <v>829</v>
      </c>
      <c r="H448" s="610" t="s">
        <v>830</v>
      </c>
      <c r="I448" s="610">
        <v>24</v>
      </c>
      <c r="J448" s="610">
        <v>0</v>
      </c>
      <c r="K448" s="610">
        <v>1</v>
      </c>
      <c r="L448" s="611">
        <f>I448*K448</f>
        <v>24</v>
      </c>
      <c r="M448" s="612">
        <v>45868</v>
      </c>
      <c r="N448" s="612">
        <v>45864</v>
      </c>
      <c r="O448" s="613"/>
      <c r="P448" s="613" t="s">
        <v>113</v>
      </c>
      <c r="Q448" s="610"/>
      <c r="R448" s="614">
        <v>45834</v>
      </c>
      <c r="S448" s="614" t="s">
        <v>70</v>
      </c>
      <c r="T448" s="614" t="s">
        <v>70</v>
      </c>
      <c r="U448" s="614"/>
      <c r="V448" s="614"/>
      <c r="W448" s="615"/>
      <c r="X448" s="609" t="s">
        <v>1380</v>
      </c>
      <c r="Y448" s="609" t="s">
        <v>244</v>
      </c>
      <c r="Z448" s="609">
        <v>0</v>
      </c>
      <c r="AA448" s="616">
        <v>0</v>
      </c>
      <c r="AC448" s="629" t="s">
        <v>1381</v>
      </c>
      <c r="AD448" s="610" t="s">
        <v>829</v>
      </c>
      <c r="AE448" s="610" t="s">
        <v>82</v>
      </c>
      <c r="AF448" s="610"/>
      <c r="AG448" s="610"/>
      <c r="AH448" s="610"/>
      <c r="AI448" s="610">
        <v>0</v>
      </c>
      <c r="AJ448" s="610">
        <v>0</v>
      </c>
      <c r="AK448" s="610"/>
      <c r="AL448" s="610"/>
      <c r="AM448" s="610"/>
      <c r="AN448" s="610"/>
      <c r="AO448" s="548"/>
      <c r="AP448" s="548"/>
      <c r="AQ448" s="548"/>
      <c r="AR448" s="619"/>
      <c r="AS448" s="548"/>
      <c r="AT448" s="548"/>
      <c r="AU448" s="548"/>
      <c r="AV448" s="548"/>
      <c r="AW448" s="619"/>
      <c r="AX448" s="548"/>
      <c r="AY448" s="548"/>
      <c r="AZ448" s="548"/>
      <c r="BA448" s="548"/>
      <c r="BB448" s="620"/>
      <c r="BC448" s="548"/>
      <c r="BD448" s="548"/>
      <c r="BE448" s="548"/>
      <c r="BF448" s="548"/>
      <c r="BY448" s="619"/>
      <c r="BZ448" s="548"/>
      <c r="CA448" s="621"/>
      <c r="CB448" s="567"/>
      <c r="CC448" s="622"/>
      <c r="CD448" s="619"/>
      <c r="CE448" s="619"/>
      <c r="CF448" s="548"/>
      <c r="CG448" s="548"/>
      <c r="CU448" s="554">
        <f t="shared" si="124"/>
        <v>0</v>
      </c>
      <c r="CV448" s="554">
        <f t="shared" si="122"/>
        <v>0</v>
      </c>
      <c r="CW448" s="554">
        <f t="shared" si="123"/>
        <v>0</v>
      </c>
      <c r="CX448" s="619"/>
      <c r="CY448" s="619"/>
      <c r="CZ448" s="619"/>
      <c r="DA448" s="548"/>
      <c r="DB448" s="548"/>
      <c r="DC448" s="548"/>
      <c r="DD448" s="619"/>
      <c r="DE448" s="619"/>
      <c r="DF448" s="619"/>
      <c r="DG448" s="619"/>
      <c r="DH448" s="619"/>
    </row>
    <row r="449" s="548" customFormat="1" ht="31" customHeight="1" spans="1:112">
      <c r="A449" s="608">
        <v>45813</v>
      </c>
      <c r="B449" s="609" t="s">
        <v>1272</v>
      </c>
      <c r="C449" s="610" t="s">
        <v>98</v>
      </c>
      <c r="D449" s="554">
        <v>4500169101</v>
      </c>
      <c r="E449" s="610">
        <v>15777186</v>
      </c>
      <c r="F449" s="554" t="s">
        <v>7159</v>
      </c>
      <c r="G449" s="610" t="s">
        <v>7160</v>
      </c>
      <c r="H449" s="610" t="s">
        <v>6033</v>
      </c>
      <c r="I449" s="610">
        <v>312</v>
      </c>
      <c r="J449" s="610">
        <v>0</v>
      </c>
      <c r="K449" s="610">
        <v>13</v>
      </c>
      <c r="L449" s="611">
        <f t="shared" ref="L449:L467" si="142">I449/K449</f>
        <v>24</v>
      </c>
      <c r="M449" s="612">
        <v>45863</v>
      </c>
      <c r="N449" s="612">
        <v>45859</v>
      </c>
      <c r="O449" s="613"/>
      <c r="P449" s="613" t="s">
        <v>113</v>
      </c>
      <c r="Q449" s="610"/>
      <c r="R449" s="614" t="s">
        <v>1276</v>
      </c>
      <c r="S449" s="614" t="s">
        <v>104</v>
      </c>
      <c r="T449" s="614" t="s">
        <v>454</v>
      </c>
      <c r="U449" s="614"/>
      <c r="V449" s="614"/>
      <c r="W449" s="615"/>
      <c r="X449" s="609" t="s">
        <v>1366</v>
      </c>
      <c r="Y449" s="609" t="s">
        <v>1278</v>
      </c>
      <c r="Z449" s="609">
        <v>0.8804</v>
      </c>
      <c r="AA449" s="616">
        <f t="shared" ref="AA449:AA476" si="143">Z449*I449</f>
        <v>274.6848</v>
      </c>
      <c r="AC449" s="617" t="s">
        <v>1367</v>
      </c>
      <c r="AD449" s="610" t="s">
        <v>7160</v>
      </c>
      <c r="AE449" s="610" t="s">
        <v>82</v>
      </c>
      <c r="AF449" s="610"/>
      <c r="AG449" s="610"/>
      <c r="AH449" s="610"/>
      <c r="AI449" s="610">
        <v>312</v>
      </c>
      <c r="AJ449" s="610">
        <v>0</v>
      </c>
      <c r="AK449" s="610"/>
      <c r="AL449" s="610"/>
      <c r="AM449" s="610"/>
      <c r="AN449" s="610">
        <f>I449</f>
        <v>312</v>
      </c>
      <c r="AP449" s="554">
        <f>I449</f>
        <v>312</v>
      </c>
      <c r="AR449" s="619"/>
      <c r="AS449" s="548"/>
      <c r="AT449" s="548"/>
      <c r="AU449" s="554">
        <f>I449</f>
        <v>312</v>
      </c>
      <c r="AW449" s="619"/>
      <c r="AX449" s="548"/>
      <c r="AY449" s="548"/>
      <c r="AZ449" s="548"/>
      <c r="BA449" s="548"/>
      <c r="BB449" s="620">
        <f>I449/24</f>
        <v>13</v>
      </c>
      <c r="BY449" s="619"/>
      <c r="BZ449" s="548"/>
      <c r="CA449" s="621"/>
      <c r="CB449" s="567"/>
      <c r="CC449" s="622"/>
      <c r="CD449" s="619"/>
      <c r="CE449" s="619"/>
      <c r="CF449" s="548"/>
      <c r="CG449" s="548"/>
      <c r="CU449" s="554">
        <f t="shared" si="124"/>
        <v>0</v>
      </c>
      <c r="CV449" s="554">
        <f t="shared" si="122"/>
        <v>0</v>
      </c>
      <c r="CW449" s="554">
        <f t="shared" si="123"/>
        <v>0</v>
      </c>
      <c r="CX449" s="619"/>
      <c r="CY449" s="619"/>
      <c r="CZ449" s="619"/>
      <c r="DA449" s="548"/>
      <c r="DB449" s="548"/>
      <c r="DC449" s="548"/>
      <c r="DD449" s="619"/>
      <c r="DE449" s="619"/>
      <c r="DF449" s="619"/>
      <c r="DG449" s="619"/>
      <c r="DH449" s="619"/>
    </row>
    <row r="450" s="548" customFormat="1" ht="31" customHeight="1" spans="1:112">
      <c r="A450" s="608">
        <v>45840</v>
      </c>
      <c r="B450" s="609" t="s">
        <v>3815</v>
      </c>
      <c r="C450" s="610" t="s">
        <v>98</v>
      </c>
      <c r="D450" s="554">
        <v>4500172430</v>
      </c>
      <c r="E450" s="610" t="s">
        <v>7161</v>
      </c>
      <c r="F450" s="554" t="s">
        <v>7162</v>
      </c>
      <c r="G450" s="610" t="s">
        <v>6787</v>
      </c>
      <c r="H450" s="610" t="s">
        <v>6126</v>
      </c>
      <c r="I450" s="610">
        <v>3924</v>
      </c>
      <c r="J450" s="610">
        <v>0</v>
      </c>
      <c r="K450" s="610">
        <v>12</v>
      </c>
      <c r="L450" s="611">
        <f t="shared" si="142"/>
        <v>327</v>
      </c>
      <c r="M450" s="612">
        <v>45875</v>
      </c>
      <c r="N450" s="612">
        <v>45871</v>
      </c>
      <c r="O450" s="613"/>
      <c r="P450" s="613" t="s">
        <v>113</v>
      </c>
      <c r="Q450" s="610"/>
      <c r="R450" s="614">
        <v>45840</v>
      </c>
      <c r="S450" s="614" t="s">
        <v>104</v>
      </c>
      <c r="T450" s="614" t="s">
        <v>454</v>
      </c>
      <c r="U450" s="614"/>
      <c r="V450" s="614"/>
      <c r="W450" s="615"/>
      <c r="X450" s="609" t="s">
        <v>7163</v>
      </c>
      <c r="Y450" s="609" t="s">
        <v>125</v>
      </c>
      <c r="Z450" s="609">
        <v>1.2808</v>
      </c>
      <c r="AA450" s="616">
        <f t="shared" si="143"/>
        <v>5025.8592</v>
      </c>
      <c r="AC450" s="617" t="s">
        <v>7164</v>
      </c>
      <c r="AD450" s="610" t="s">
        <v>6128</v>
      </c>
      <c r="AE450" s="610" t="s">
        <v>82</v>
      </c>
      <c r="AF450" s="610"/>
      <c r="AG450" s="610"/>
      <c r="AH450" s="610"/>
      <c r="AI450" s="610">
        <v>3924</v>
      </c>
      <c r="AJ450" s="610">
        <f t="shared" ref="AJ450:AJ462" si="144">AI450-I450</f>
        <v>0</v>
      </c>
      <c r="AK450" s="610"/>
      <c r="AL450" s="610"/>
      <c r="AM450" s="610"/>
      <c r="AN450" s="610">
        <f>I450*2</f>
        <v>7848</v>
      </c>
      <c r="AQ450" s="554">
        <f>I450*2</f>
        <v>7848</v>
      </c>
      <c r="AR450" s="619"/>
      <c r="AS450" s="548"/>
      <c r="AT450" s="548"/>
      <c r="AU450" s="554">
        <f>I450*2</f>
        <v>7848</v>
      </c>
      <c r="AW450" s="619"/>
      <c r="AX450" s="548"/>
      <c r="AY450" s="548"/>
      <c r="AZ450" s="548"/>
      <c r="BA450" s="548"/>
      <c r="BB450" s="249">
        <f>I450/24*2</f>
        <v>327</v>
      </c>
      <c r="BY450" s="619"/>
      <c r="BZ450" s="548"/>
      <c r="CA450" s="621"/>
      <c r="CB450" s="567"/>
      <c r="CC450" s="622"/>
      <c r="CD450" s="619"/>
      <c r="CE450" s="619"/>
      <c r="CF450" s="548"/>
      <c r="CG450" s="548"/>
      <c r="CR450" s="554">
        <f>I450</f>
        <v>3924</v>
      </c>
      <c r="CS450" s="554">
        <f>I450</f>
        <v>3924</v>
      </c>
      <c r="CT450" s="554">
        <f>I450</f>
        <v>3924</v>
      </c>
      <c r="CU450" s="554">
        <f t="shared" si="124"/>
        <v>0</v>
      </c>
      <c r="CV450" s="554">
        <f t="shared" ref="CV450:CV489" si="145">CK450+CL450+CM450+CN450+CO450+CQ450+CP450</f>
        <v>0</v>
      </c>
      <c r="CW450" s="554">
        <f t="shared" ref="CW450:CW513" si="146">CI450+CJ450</f>
        <v>0</v>
      </c>
      <c r="CX450" s="619"/>
      <c r="CY450" s="619"/>
      <c r="CZ450" s="619"/>
      <c r="DA450" s="548"/>
      <c r="DB450" s="548"/>
      <c r="DC450" s="548"/>
      <c r="DD450" s="619"/>
      <c r="DE450" s="619"/>
      <c r="DF450" s="619"/>
      <c r="DG450" s="619"/>
      <c r="DH450" s="619"/>
    </row>
    <row r="451" s="548" customFormat="1" ht="31" customHeight="1" spans="1:112">
      <c r="A451" s="608">
        <v>45840</v>
      </c>
      <c r="B451" s="609" t="s">
        <v>3815</v>
      </c>
      <c r="C451" s="610" t="s">
        <v>98</v>
      </c>
      <c r="D451" s="554">
        <v>4500172422</v>
      </c>
      <c r="E451" s="610" t="s">
        <v>7165</v>
      </c>
      <c r="F451" s="554" t="s">
        <v>7166</v>
      </c>
      <c r="G451" s="610" t="s">
        <v>6787</v>
      </c>
      <c r="H451" s="610" t="s">
        <v>6126</v>
      </c>
      <c r="I451" s="610">
        <v>4272</v>
      </c>
      <c r="J451" s="610">
        <v>0</v>
      </c>
      <c r="K451" s="610">
        <v>12</v>
      </c>
      <c r="L451" s="611">
        <f t="shared" si="142"/>
        <v>356</v>
      </c>
      <c r="M451" s="612">
        <v>45875</v>
      </c>
      <c r="N451" s="612">
        <v>45871</v>
      </c>
      <c r="O451" s="613"/>
      <c r="P451" s="613" t="s">
        <v>113</v>
      </c>
      <c r="Q451" s="610"/>
      <c r="R451" s="614">
        <v>45840</v>
      </c>
      <c r="S451" s="614" t="s">
        <v>104</v>
      </c>
      <c r="T451" s="614" t="s">
        <v>454</v>
      </c>
      <c r="U451" s="614"/>
      <c r="V451" s="614"/>
      <c r="W451" s="615"/>
      <c r="X451" s="609" t="s">
        <v>7163</v>
      </c>
      <c r="Y451" s="609" t="s">
        <v>125</v>
      </c>
      <c r="Z451" s="609">
        <v>1.2808</v>
      </c>
      <c r="AA451" s="616">
        <f t="shared" si="143"/>
        <v>5471.5776</v>
      </c>
      <c r="AC451" s="617" t="s">
        <v>7167</v>
      </c>
      <c r="AD451" s="610" t="s">
        <v>6128</v>
      </c>
      <c r="AE451" s="610" t="s">
        <v>82</v>
      </c>
      <c r="AF451" s="610"/>
      <c r="AG451" s="610"/>
      <c r="AH451" s="610"/>
      <c r="AI451" s="610">
        <v>4272</v>
      </c>
      <c r="AJ451" s="610">
        <f t="shared" si="144"/>
        <v>0</v>
      </c>
      <c r="AK451" s="610"/>
      <c r="AL451" s="610"/>
      <c r="AM451" s="610"/>
      <c r="AN451" s="610">
        <f>I451*2</f>
        <v>8544</v>
      </c>
      <c r="AQ451" s="554">
        <f>I451*2</f>
        <v>8544</v>
      </c>
      <c r="AR451" s="619"/>
      <c r="AS451" s="548"/>
      <c r="AT451" s="548"/>
      <c r="AU451" s="554">
        <f>I451*2</f>
        <v>8544</v>
      </c>
      <c r="AW451" s="619"/>
      <c r="AX451" s="548"/>
      <c r="AY451" s="548"/>
      <c r="AZ451" s="548"/>
      <c r="BA451" s="548"/>
      <c r="BB451" s="249">
        <f>I451/24*2</f>
        <v>356</v>
      </c>
      <c r="BY451" s="619"/>
      <c r="BZ451" s="548"/>
      <c r="CA451" s="621"/>
      <c r="CB451" s="567"/>
      <c r="CC451" s="622"/>
      <c r="CD451" s="619"/>
      <c r="CE451" s="619"/>
      <c r="CF451" s="548"/>
      <c r="CG451" s="548"/>
      <c r="CR451" s="554">
        <f>I451</f>
        <v>4272</v>
      </c>
      <c r="CS451" s="554">
        <f>I451</f>
        <v>4272</v>
      </c>
      <c r="CT451" s="554">
        <f>I451</f>
        <v>4272</v>
      </c>
      <c r="CU451" s="554">
        <f t="shared" ref="CU451:CU514" si="147">BQ451+BP451+BO451+BN451+BX451+BR451</f>
        <v>0</v>
      </c>
      <c r="CV451" s="554">
        <f t="shared" si="145"/>
        <v>0</v>
      </c>
      <c r="CW451" s="554">
        <f t="shared" si="146"/>
        <v>0</v>
      </c>
      <c r="CX451" s="619"/>
      <c r="CY451" s="619"/>
      <c r="CZ451" s="619"/>
      <c r="DA451" s="548"/>
      <c r="DB451" s="548"/>
      <c r="DC451" s="548"/>
      <c r="DD451" s="619"/>
      <c r="DE451" s="619"/>
      <c r="DF451" s="619"/>
      <c r="DG451" s="619"/>
      <c r="DH451" s="619"/>
    </row>
    <row r="452" s="548" customFormat="1" ht="31" customHeight="1" spans="1:112">
      <c r="A452" s="608">
        <v>45848</v>
      </c>
      <c r="B452" s="609" t="s">
        <v>1337</v>
      </c>
      <c r="C452" s="610" t="s">
        <v>931</v>
      </c>
      <c r="D452" s="554">
        <v>4500173381</v>
      </c>
      <c r="E452" s="610"/>
      <c r="F452" s="554" t="s">
        <v>7168</v>
      </c>
      <c r="G452" s="610" t="s">
        <v>6276</v>
      </c>
      <c r="H452" s="610" t="s">
        <v>6277</v>
      </c>
      <c r="I452" s="610">
        <v>1600</v>
      </c>
      <c r="J452" s="610">
        <v>0</v>
      </c>
      <c r="K452" s="610">
        <v>50</v>
      </c>
      <c r="L452" s="611">
        <f t="shared" si="142"/>
        <v>32</v>
      </c>
      <c r="M452" s="612">
        <v>45876</v>
      </c>
      <c r="N452" s="612">
        <v>45873</v>
      </c>
      <c r="O452" s="613"/>
      <c r="P452" s="613" t="s">
        <v>113</v>
      </c>
      <c r="Q452" s="610"/>
      <c r="R452" s="614">
        <v>45863</v>
      </c>
      <c r="S452" s="614" t="s">
        <v>70</v>
      </c>
      <c r="T452" s="614" t="s">
        <v>70</v>
      </c>
      <c r="U452" s="614"/>
      <c r="V452" s="614"/>
      <c r="W452" s="615"/>
      <c r="X452" s="609" t="s">
        <v>7169</v>
      </c>
      <c r="Y452" s="609" t="s">
        <v>943</v>
      </c>
      <c r="Z452" s="609">
        <v>0.924</v>
      </c>
      <c r="AA452" s="616">
        <f t="shared" si="143"/>
        <v>1478.4</v>
      </c>
      <c r="AC452" s="617" t="s">
        <v>7170</v>
      </c>
      <c r="AD452" s="610" t="s">
        <v>6276</v>
      </c>
      <c r="AE452" s="610" t="s">
        <v>82</v>
      </c>
      <c r="AF452" s="610"/>
      <c r="AG452" s="610"/>
      <c r="AH452" s="610"/>
      <c r="AI452" s="610">
        <v>1600</v>
      </c>
      <c r="AJ452" s="610">
        <f t="shared" si="144"/>
        <v>0</v>
      </c>
      <c r="AK452" s="610"/>
      <c r="AL452" s="610"/>
      <c r="AM452" s="610"/>
      <c r="AN452" s="610"/>
      <c r="AO452" s="554">
        <f t="shared" ref="AO452:AO457" si="148">I452</f>
        <v>1600</v>
      </c>
      <c r="AR452" s="619"/>
      <c r="AS452" s="548"/>
      <c r="AT452" s="548"/>
      <c r="AU452" s="548"/>
      <c r="AV452" s="548"/>
      <c r="AW452" s="619"/>
      <c r="AX452" s="548"/>
      <c r="AY452" s="548"/>
      <c r="AZ452" s="548"/>
      <c r="BA452" s="548"/>
      <c r="BB452" s="620">
        <f>I452/24*2</f>
        <v>133.333333333333</v>
      </c>
      <c r="BV452" s="554">
        <f>I452</f>
        <v>1600</v>
      </c>
      <c r="BW452" s="554">
        <f>I452</f>
        <v>1600</v>
      </c>
      <c r="BX452" s="554">
        <f>I452/25</f>
        <v>64</v>
      </c>
      <c r="BY452" s="619"/>
      <c r="BZ452" s="548"/>
      <c r="CA452" s="621"/>
      <c r="CB452" s="567"/>
      <c r="CC452" s="622"/>
      <c r="CD452" s="619"/>
      <c r="CE452" s="619"/>
      <c r="CF452" s="548"/>
      <c r="CG452" s="548"/>
      <c r="CU452" s="554">
        <f t="shared" si="147"/>
        <v>64</v>
      </c>
      <c r="CV452" s="554">
        <f t="shared" si="145"/>
        <v>0</v>
      </c>
      <c r="CW452" s="554">
        <f t="shared" si="146"/>
        <v>0</v>
      </c>
      <c r="CX452" s="619"/>
      <c r="CY452" s="619"/>
      <c r="CZ452" s="619"/>
      <c r="DA452" s="548"/>
      <c r="DB452" s="548"/>
      <c r="DC452" s="548"/>
      <c r="DD452" s="619"/>
      <c r="DE452" s="619"/>
      <c r="DF452" s="619"/>
      <c r="DG452" s="619"/>
      <c r="DH452" s="619"/>
    </row>
    <row r="453" s="548" customFormat="1" ht="31" customHeight="1" spans="1:112">
      <c r="A453" s="608">
        <v>45828</v>
      </c>
      <c r="B453" s="609" t="s">
        <v>1401</v>
      </c>
      <c r="C453" s="610" t="s">
        <v>411</v>
      </c>
      <c r="D453" s="554">
        <v>4500170761</v>
      </c>
      <c r="E453" s="610"/>
      <c r="F453" s="554" t="s">
        <v>7171</v>
      </c>
      <c r="G453" s="610" t="s">
        <v>6093</v>
      </c>
      <c r="H453" s="610" t="s">
        <v>6094</v>
      </c>
      <c r="I453" s="610">
        <v>1300</v>
      </c>
      <c r="J453" s="610">
        <v>0</v>
      </c>
      <c r="K453" s="610">
        <v>13</v>
      </c>
      <c r="L453" s="611">
        <f t="shared" si="142"/>
        <v>100</v>
      </c>
      <c r="M453" s="612">
        <v>45877</v>
      </c>
      <c r="N453" s="612">
        <v>45873</v>
      </c>
      <c r="O453" s="613"/>
      <c r="P453" s="613" t="s">
        <v>113</v>
      </c>
      <c r="Q453" s="610"/>
      <c r="R453" s="614">
        <v>45828</v>
      </c>
      <c r="S453" s="614" t="s">
        <v>70</v>
      </c>
      <c r="T453" s="614" t="s">
        <v>7172</v>
      </c>
      <c r="U453" s="614"/>
      <c r="V453" s="614"/>
      <c r="W453" s="615"/>
      <c r="X453" s="609" t="s">
        <v>7173</v>
      </c>
      <c r="Y453" s="609" t="s">
        <v>415</v>
      </c>
      <c r="Z453" s="609">
        <v>0.8947</v>
      </c>
      <c r="AA453" s="616">
        <f t="shared" si="143"/>
        <v>1163.11</v>
      </c>
      <c r="AC453" s="629" t="s">
        <v>1405</v>
      </c>
      <c r="AD453" s="610" t="s">
        <v>6093</v>
      </c>
      <c r="AE453" s="610" t="s">
        <v>82</v>
      </c>
      <c r="AF453" s="610"/>
      <c r="AG453" s="610"/>
      <c r="AH453" s="610"/>
      <c r="AI453" s="610">
        <v>1300</v>
      </c>
      <c r="AJ453" s="610">
        <f t="shared" si="144"/>
        <v>0</v>
      </c>
      <c r="AK453" s="610"/>
      <c r="AL453" s="610"/>
      <c r="AM453" s="610"/>
      <c r="AN453" s="610"/>
      <c r="AO453" s="554">
        <f t="shared" si="148"/>
        <v>1300</v>
      </c>
      <c r="AR453" s="619"/>
      <c r="AS453" s="548"/>
      <c r="AT453" s="554">
        <f>I453</f>
        <v>1300</v>
      </c>
      <c r="AV453" s="554">
        <f>I453</f>
        <v>1300</v>
      </c>
      <c r="AW453" s="619"/>
      <c r="AX453" s="548"/>
      <c r="AY453" s="548"/>
      <c r="AZ453" s="548"/>
      <c r="BA453" s="548"/>
      <c r="BB453" s="620">
        <f>I453/24</f>
        <v>54.1666666666667</v>
      </c>
      <c r="BM453" s="554">
        <f>I453/13</f>
        <v>100</v>
      </c>
      <c r="BY453" s="619"/>
      <c r="BZ453" s="548"/>
      <c r="CA453" s="621"/>
      <c r="CB453" s="567"/>
      <c r="CC453" s="622"/>
      <c r="CD453" s="619"/>
      <c r="CE453" s="619"/>
      <c r="CF453" s="548"/>
      <c r="CG453" s="548"/>
      <c r="CU453" s="554">
        <f t="shared" si="147"/>
        <v>0</v>
      </c>
      <c r="CV453" s="554">
        <f t="shared" si="145"/>
        <v>0</v>
      </c>
      <c r="CW453" s="554">
        <f t="shared" si="146"/>
        <v>0</v>
      </c>
      <c r="CX453" s="619"/>
      <c r="CY453" s="619"/>
      <c r="CZ453" s="619"/>
      <c r="DA453" s="548"/>
      <c r="DB453" s="548"/>
      <c r="DC453" s="548"/>
      <c r="DD453" s="619"/>
      <c r="DE453" s="619"/>
      <c r="DF453" s="619"/>
      <c r="DG453" s="619"/>
      <c r="DH453" s="619"/>
    </row>
    <row r="454" s="548" customFormat="1" ht="31" customHeight="1" spans="1:112">
      <c r="A454" s="608">
        <v>45846</v>
      </c>
      <c r="B454" s="609" t="s">
        <v>1544</v>
      </c>
      <c r="C454" s="610" t="s">
        <v>257</v>
      </c>
      <c r="D454" s="554">
        <v>4500172998</v>
      </c>
      <c r="E454" s="610" t="s">
        <v>7174</v>
      </c>
      <c r="F454" s="554" t="s">
        <v>7175</v>
      </c>
      <c r="G454" s="610" t="s">
        <v>6047</v>
      </c>
      <c r="H454" s="610" t="s">
        <v>6069</v>
      </c>
      <c r="I454" s="610">
        <v>5500</v>
      </c>
      <c r="J454" s="610">
        <v>0</v>
      </c>
      <c r="K454" s="610">
        <v>25</v>
      </c>
      <c r="L454" s="611">
        <f t="shared" si="142"/>
        <v>220</v>
      </c>
      <c r="M454" s="612">
        <v>45877</v>
      </c>
      <c r="N454" s="612">
        <f>M454-4</f>
        <v>45873</v>
      </c>
      <c r="O454" s="613"/>
      <c r="P454" s="613" t="s">
        <v>113</v>
      </c>
      <c r="Q454" s="610"/>
      <c r="R454" s="614">
        <v>45848</v>
      </c>
      <c r="S454" s="614" t="s">
        <v>70</v>
      </c>
      <c r="T454" s="614" t="s">
        <v>70</v>
      </c>
      <c r="U454" s="614"/>
      <c r="V454" s="614"/>
      <c r="W454" s="615"/>
      <c r="X454" s="609" t="s">
        <v>7176</v>
      </c>
      <c r="Y454" s="609" t="s">
        <v>1549</v>
      </c>
      <c r="Z454" s="609">
        <v>0.9365</v>
      </c>
      <c r="AA454" s="616">
        <f t="shared" si="143"/>
        <v>5150.75</v>
      </c>
      <c r="AC454" s="629" t="s">
        <v>7177</v>
      </c>
      <c r="AD454" s="610" t="s">
        <v>6047</v>
      </c>
      <c r="AE454" s="610" t="s">
        <v>82</v>
      </c>
      <c r="AF454" s="610"/>
      <c r="AG454" s="610"/>
      <c r="AH454" s="610"/>
      <c r="AI454" s="610">
        <v>5500</v>
      </c>
      <c r="AJ454" s="610">
        <f t="shared" si="144"/>
        <v>0</v>
      </c>
      <c r="AK454" s="610"/>
      <c r="AL454" s="610"/>
      <c r="AM454" s="610"/>
      <c r="AN454" s="610"/>
      <c r="AO454" s="554">
        <f t="shared" si="148"/>
        <v>5500</v>
      </c>
      <c r="AR454" s="619"/>
      <c r="AS454" s="548"/>
      <c r="AT454" s="554">
        <f>I454</f>
        <v>5500</v>
      </c>
      <c r="AV454" s="554">
        <f>I454</f>
        <v>5500</v>
      </c>
      <c r="AW454" s="619"/>
      <c r="AX454" s="548"/>
      <c r="AY454" s="548"/>
      <c r="AZ454" s="548"/>
      <c r="BA454" s="548"/>
      <c r="BB454" s="620">
        <f>I454/24</f>
        <v>229.166666666667</v>
      </c>
      <c r="BP454" s="554">
        <f>I454/25</f>
        <v>220</v>
      </c>
      <c r="BY454" s="619"/>
      <c r="BZ454" s="548"/>
      <c r="CA454" s="621"/>
      <c r="CB454" s="567"/>
      <c r="CC454" s="622"/>
      <c r="CD454" s="619"/>
      <c r="CE454" s="619"/>
      <c r="CF454" s="548"/>
      <c r="CG454" s="548"/>
      <c r="CU454" s="554">
        <f t="shared" si="147"/>
        <v>220</v>
      </c>
      <c r="CV454" s="554">
        <f t="shared" si="145"/>
        <v>0</v>
      </c>
      <c r="CW454" s="554">
        <f t="shared" si="146"/>
        <v>0</v>
      </c>
      <c r="CX454" s="619"/>
      <c r="CY454" s="619"/>
      <c r="CZ454" s="619"/>
      <c r="DA454" s="548"/>
      <c r="DB454" s="548"/>
      <c r="DC454" s="548"/>
      <c r="DD454" s="619"/>
      <c r="DE454" s="619"/>
      <c r="DF454" s="619"/>
      <c r="DG454" s="619"/>
      <c r="DH454" s="619"/>
    </row>
    <row r="455" s="548" customFormat="1" ht="31" customHeight="1" spans="1:112">
      <c r="A455" s="608">
        <v>45861</v>
      </c>
      <c r="B455" s="609" t="s">
        <v>1620</v>
      </c>
      <c r="C455" s="610" t="s">
        <v>278</v>
      </c>
      <c r="D455" s="554">
        <v>4500174786</v>
      </c>
      <c r="E455" s="610">
        <v>4400500357</v>
      </c>
      <c r="F455" s="554" t="s">
        <v>7178</v>
      </c>
      <c r="G455" s="610" t="s">
        <v>6047</v>
      </c>
      <c r="H455" s="610" t="s">
        <v>6069</v>
      </c>
      <c r="I455" s="610">
        <v>5000</v>
      </c>
      <c r="J455" s="610">
        <v>0</v>
      </c>
      <c r="K455" s="610">
        <v>25</v>
      </c>
      <c r="L455" s="611">
        <f t="shared" si="142"/>
        <v>200</v>
      </c>
      <c r="M455" s="612">
        <v>45877</v>
      </c>
      <c r="N455" s="612">
        <f>M455-4</f>
        <v>45873</v>
      </c>
      <c r="O455" s="613" t="s">
        <v>7179</v>
      </c>
      <c r="P455" s="613" t="s">
        <v>113</v>
      </c>
      <c r="Q455" s="610" t="s">
        <v>7180</v>
      </c>
      <c r="R455" s="614">
        <v>45848</v>
      </c>
      <c r="S455" s="614" t="s">
        <v>70</v>
      </c>
      <c r="T455" s="614" t="s">
        <v>70</v>
      </c>
      <c r="U455" s="614"/>
      <c r="V455" s="614"/>
      <c r="W455" s="615"/>
      <c r="X455" s="609" t="s">
        <v>7181</v>
      </c>
      <c r="Y455" s="609" t="s">
        <v>1549</v>
      </c>
      <c r="Z455" s="609">
        <v>0.9193</v>
      </c>
      <c r="AA455" s="616">
        <f t="shared" si="143"/>
        <v>4596.5</v>
      </c>
      <c r="AC455" s="629" t="s">
        <v>7182</v>
      </c>
      <c r="AD455" s="610" t="s">
        <v>6047</v>
      </c>
      <c r="AE455" s="610" t="s">
        <v>82</v>
      </c>
      <c r="AF455" s="610"/>
      <c r="AG455" s="610"/>
      <c r="AH455" s="610"/>
      <c r="AI455" s="610">
        <v>5000</v>
      </c>
      <c r="AJ455" s="610">
        <f t="shared" si="144"/>
        <v>0</v>
      </c>
      <c r="AK455" s="610"/>
      <c r="AL455" s="610"/>
      <c r="AM455" s="610"/>
      <c r="AN455" s="610"/>
      <c r="AO455" s="554">
        <f t="shared" si="148"/>
        <v>5000</v>
      </c>
      <c r="AR455" s="619"/>
      <c r="AS455" s="548"/>
      <c r="AT455" s="554">
        <f>I455</f>
        <v>5000</v>
      </c>
      <c r="AV455" s="554">
        <f>I455</f>
        <v>5000</v>
      </c>
      <c r="AW455" s="619"/>
      <c r="AX455" s="548"/>
      <c r="AY455" s="548"/>
      <c r="AZ455" s="548"/>
      <c r="BA455" s="548"/>
      <c r="BB455" s="620">
        <f>I455/24</f>
        <v>208.333333333333</v>
      </c>
      <c r="BP455" s="554">
        <f>I455/25</f>
        <v>200</v>
      </c>
      <c r="BY455" s="619"/>
      <c r="BZ455" s="548"/>
      <c r="CA455" s="621"/>
      <c r="CB455" s="567"/>
      <c r="CC455" s="622"/>
      <c r="CD455" s="619"/>
      <c r="CE455" s="619"/>
      <c r="CF455" s="548"/>
      <c r="CG455" s="548"/>
      <c r="CU455" s="554">
        <f t="shared" si="147"/>
        <v>200</v>
      </c>
      <c r="CV455" s="554">
        <f t="shared" si="145"/>
        <v>0</v>
      </c>
      <c r="CW455" s="554">
        <f t="shared" si="146"/>
        <v>0</v>
      </c>
      <c r="CX455" s="619"/>
      <c r="CY455" s="619"/>
      <c r="CZ455" s="619"/>
      <c r="DA455" s="548"/>
      <c r="DB455" s="548"/>
      <c r="DC455" s="548"/>
      <c r="DD455" s="619"/>
      <c r="DE455" s="619"/>
      <c r="DF455" s="619"/>
      <c r="DG455" s="619"/>
      <c r="DH455" s="619"/>
    </row>
    <row r="456" s="548" customFormat="1" ht="31" customHeight="1" spans="1:112">
      <c r="A456" s="608">
        <v>45861</v>
      </c>
      <c r="B456" s="609" t="s">
        <v>1544</v>
      </c>
      <c r="C456" s="610" t="s">
        <v>257</v>
      </c>
      <c r="D456" s="554">
        <v>4500174782</v>
      </c>
      <c r="E456" s="610">
        <v>4400500356</v>
      </c>
      <c r="F456" s="554" t="s">
        <v>7183</v>
      </c>
      <c r="G456" s="610" t="s">
        <v>6047</v>
      </c>
      <c r="H456" s="610" t="s">
        <v>6069</v>
      </c>
      <c r="I456" s="610">
        <v>2500</v>
      </c>
      <c r="J456" s="610">
        <v>0</v>
      </c>
      <c r="K456" s="610">
        <v>25</v>
      </c>
      <c r="L456" s="611">
        <f t="shared" si="142"/>
        <v>100</v>
      </c>
      <c r="M456" s="612">
        <v>45877</v>
      </c>
      <c r="N456" s="612">
        <f>M456-4</f>
        <v>45873</v>
      </c>
      <c r="O456" s="613" t="s">
        <v>7184</v>
      </c>
      <c r="P456" s="613" t="s">
        <v>113</v>
      </c>
      <c r="Q456" s="610" t="s">
        <v>7180</v>
      </c>
      <c r="R456" s="614">
        <v>45848</v>
      </c>
      <c r="S456" s="614" t="s">
        <v>70</v>
      </c>
      <c r="T456" s="614" t="s">
        <v>70</v>
      </c>
      <c r="U456" s="614"/>
      <c r="V456" s="614"/>
      <c r="W456" s="615"/>
      <c r="X456" s="609" t="s">
        <v>7185</v>
      </c>
      <c r="Y456" s="609" t="s">
        <v>1549</v>
      </c>
      <c r="Z456" s="609">
        <v>0.9417</v>
      </c>
      <c r="AA456" s="616">
        <f t="shared" si="143"/>
        <v>2354.25</v>
      </c>
      <c r="AC456" s="629" t="s">
        <v>7186</v>
      </c>
      <c r="AD456" s="610" t="s">
        <v>6047</v>
      </c>
      <c r="AE456" s="610" t="s">
        <v>82</v>
      </c>
      <c r="AF456" s="610"/>
      <c r="AG456" s="610"/>
      <c r="AH456" s="610"/>
      <c r="AI456" s="610">
        <f>2200+300</f>
        <v>2500</v>
      </c>
      <c r="AJ456" s="610">
        <f t="shared" si="144"/>
        <v>0</v>
      </c>
      <c r="AK456" s="610"/>
      <c r="AL456" s="610"/>
      <c r="AM456" s="610"/>
      <c r="AN456" s="610"/>
      <c r="AO456" s="554">
        <f t="shared" si="148"/>
        <v>2500</v>
      </c>
      <c r="AR456" s="619"/>
      <c r="AS456" s="548"/>
      <c r="AT456" s="554">
        <f>I456</f>
        <v>2500</v>
      </c>
      <c r="AV456" s="554">
        <f>I456</f>
        <v>2500</v>
      </c>
      <c r="AW456" s="619"/>
      <c r="AX456" s="548"/>
      <c r="AY456" s="548"/>
      <c r="AZ456" s="548"/>
      <c r="BA456" s="548"/>
      <c r="BB456" s="620">
        <f>I456/24</f>
        <v>104.166666666667</v>
      </c>
      <c r="BP456" s="554">
        <f>I456/25</f>
        <v>100</v>
      </c>
      <c r="BY456" s="619"/>
      <c r="BZ456" s="548"/>
      <c r="CA456" s="621"/>
      <c r="CB456" s="567"/>
      <c r="CC456" s="622"/>
      <c r="CD456" s="619"/>
      <c r="CE456" s="619"/>
      <c r="CF456" s="548"/>
      <c r="CG456" s="548"/>
      <c r="CU456" s="554">
        <f t="shared" si="147"/>
        <v>100</v>
      </c>
      <c r="CV456" s="554">
        <f t="shared" si="145"/>
        <v>0</v>
      </c>
      <c r="CW456" s="554">
        <f t="shared" si="146"/>
        <v>0</v>
      </c>
      <c r="CX456" s="619"/>
      <c r="CY456" s="619"/>
      <c r="CZ456" s="619"/>
      <c r="DA456" s="548"/>
      <c r="DB456" s="548"/>
      <c r="DC456" s="548"/>
      <c r="DD456" s="619"/>
      <c r="DE456" s="619"/>
      <c r="DF456" s="619"/>
      <c r="DG456" s="619"/>
      <c r="DH456" s="619"/>
    </row>
    <row r="457" s="548" customFormat="1" ht="31" customHeight="1" spans="1:112">
      <c r="A457" s="608">
        <v>45846</v>
      </c>
      <c r="B457" s="609" t="s">
        <v>1620</v>
      </c>
      <c r="C457" s="610" t="s">
        <v>278</v>
      </c>
      <c r="D457" s="554">
        <v>4500173000</v>
      </c>
      <c r="E457" s="610" t="s">
        <v>7187</v>
      </c>
      <c r="F457" s="554" t="s">
        <v>7188</v>
      </c>
      <c r="G457" s="610" t="s">
        <v>6047</v>
      </c>
      <c r="H457" s="610" t="s">
        <v>6069</v>
      </c>
      <c r="I457" s="610">
        <v>7000</v>
      </c>
      <c r="J457" s="610">
        <v>0</v>
      </c>
      <c r="K457" s="610">
        <v>25</v>
      </c>
      <c r="L457" s="611">
        <f t="shared" si="142"/>
        <v>280</v>
      </c>
      <c r="M457" s="612">
        <v>45877</v>
      </c>
      <c r="N457" s="612">
        <f>M457-4</f>
        <v>45873</v>
      </c>
      <c r="O457" s="613"/>
      <c r="P457" s="613" t="s">
        <v>113</v>
      </c>
      <c r="Q457" s="610"/>
      <c r="R457" s="614">
        <v>45848</v>
      </c>
      <c r="S457" s="614" t="s">
        <v>70</v>
      </c>
      <c r="T457" s="614" t="s">
        <v>70</v>
      </c>
      <c r="U457" s="614"/>
      <c r="V457" s="614"/>
      <c r="W457" s="615"/>
      <c r="X457" s="628" t="s">
        <v>7189</v>
      </c>
      <c r="Y457" s="609" t="s">
        <v>1549</v>
      </c>
      <c r="Z457" s="609">
        <v>0.9313</v>
      </c>
      <c r="AA457" s="616">
        <f t="shared" si="143"/>
        <v>6519.1</v>
      </c>
      <c r="AC457" s="629" t="s">
        <v>7190</v>
      </c>
      <c r="AD457" s="610" t="s">
        <v>6047</v>
      </c>
      <c r="AE457" s="610" t="s">
        <v>82</v>
      </c>
      <c r="AF457" s="610"/>
      <c r="AG457" s="610"/>
      <c r="AH457" s="610"/>
      <c r="AI457" s="610">
        <v>7000</v>
      </c>
      <c r="AJ457" s="610">
        <f t="shared" si="144"/>
        <v>0</v>
      </c>
      <c r="AK457" s="610"/>
      <c r="AL457" s="610"/>
      <c r="AM457" s="610"/>
      <c r="AN457" s="610"/>
      <c r="AO457" s="554">
        <f t="shared" si="148"/>
        <v>7000</v>
      </c>
      <c r="AR457" s="619"/>
      <c r="AS457" s="548"/>
      <c r="AT457" s="554">
        <f>I457</f>
        <v>7000</v>
      </c>
      <c r="AV457" s="554">
        <f>I457</f>
        <v>7000</v>
      </c>
      <c r="AW457" s="619"/>
      <c r="AX457" s="548"/>
      <c r="AY457" s="548"/>
      <c r="AZ457" s="548"/>
      <c r="BA457" s="548"/>
      <c r="BB457" s="620">
        <f>I457/24</f>
        <v>291.666666666667</v>
      </c>
      <c r="BP457" s="554">
        <f>I457/25</f>
        <v>280</v>
      </c>
      <c r="BY457" s="619"/>
      <c r="BZ457" s="548"/>
      <c r="CA457" s="621"/>
      <c r="CB457" s="567"/>
      <c r="CC457" s="622"/>
      <c r="CD457" s="619"/>
      <c r="CE457" s="619"/>
      <c r="CF457" s="548"/>
      <c r="CG457" s="548"/>
      <c r="CU457" s="554">
        <f t="shared" si="147"/>
        <v>280</v>
      </c>
      <c r="CV457" s="554">
        <f t="shared" si="145"/>
        <v>0</v>
      </c>
      <c r="CW457" s="554">
        <f t="shared" si="146"/>
        <v>0</v>
      </c>
      <c r="CX457" s="619"/>
      <c r="CY457" s="619"/>
      <c r="CZ457" s="619"/>
      <c r="DA457" s="548"/>
      <c r="DB457" s="548"/>
      <c r="DC457" s="548"/>
      <c r="DD457" s="619"/>
      <c r="DE457" s="619"/>
      <c r="DF457" s="619"/>
      <c r="DG457" s="619"/>
      <c r="DH457" s="619"/>
    </row>
    <row r="458" s="548" customFormat="1" ht="31" customHeight="1" spans="1:112">
      <c r="A458" s="608">
        <v>45828</v>
      </c>
      <c r="B458" s="609" t="s">
        <v>246</v>
      </c>
      <c r="C458" s="610" t="s">
        <v>98</v>
      </c>
      <c r="D458" s="554">
        <v>4500170741</v>
      </c>
      <c r="E458" s="610" t="s">
        <v>7191</v>
      </c>
      <c r="F458" s="554" t="s">
        <v>7192</v>
      </c>
      <c r="G458" s="610" t="s">
        <v>6084</v>
      </c>
      <c r="H458" s="610" t="s">
        <v>6069</v>
      </c>
      <c r="I458" s="610">
        <v>16825</v>
      </c>
      <c r="J458" s="610">
        <v>0</v>
      </c>
      <c r="K458" s="610">
        <v>25</v>
      </c>
      <c r="L458" s="611">
        <f t="shared" si="142"/>
        <v>673</v>
      </c>
      <c r="M458" s="612">
        <v>45880</v>
      </c>
      <c r="N458" s="612">
        <v>45876</v>
      </c>
      <c r="O458" s="613"/>
      <c r="P458" s="613" t="s">
        <v>113</v>
      </c>
      <c r="Q458" s="610"/>
      <c r="R458" s="614">
        <v>45841</v>
      </c>
      <c r="S458" s="614" t="s">
        <v>104</v>
      </c>
      <c r="T458" s="614" t="s">
        <v>7193</v>
      </c>
      <c r="U458" s="614"/>
      <c r="V458" s="614"/>
      <c r="W458" s="615"/>
      <c r="X458" s="609" t="s">
        <v>7194</v>
      </c>
      <c r="Y458" s="609" t="s">
        <v>252</v>
      </c>
      <c r="Z458" s="609">
        <v>0.5543</v>
      </c>
      <c r="AA458" s="616">
        <f t="shared" si="143"/>
        <v>9326.0975</v>
      </c>
      <c r="AC458" s="617" t="s">
        <v>7195</v>
      </c>
      <c r="AD458" s="610" t="s">
        <v>6084</v>
      </c>
      <c r="AE458" s="610" t="s">
        <v>82</v>
      </c>
      <c r="AF458" s="610"/>
      <c r="AG458" s="610"/>
      <c r="AH458" s="610"/>
      <c r="AI458" s="610">
        <v>16825</v>
      </c>
      <c r="AJ458" s="610">
        <f t="shared" si="144"/>
        <v>0</v>
      </c>
      <c r="AK458" s="610"/>
      <c r="AL458" s="610"/>
      <c r="AM458" s="610"/>
      <c r="AN458" s="610">
        <f>I458</f>
        <v>16825</v>
      </c>
      <c r="AP458" s="554">
        <f>I458</f>
        <v>16825</v>
      </c>
      <c r="AR458" s="619"/>
      <c r="AS458" s="548"/>
      <c r="AT458" s="548"/>
      <c r="AU458" s="554">
        <f>I458</f>
        <v>16825</v>
      </c>
      <c r="AW458" s="619"/>
      <c r="AX458" s="548"/>
      <c r="AY458" s="548"/>
      <c r="AZ458" s="548"/>
      <c r="BA458" s="548"/>
      <c r="BB458" s="620">
        <f t="shared" ref="BB453:BB461" si="149">I458/24</f>
        <v>701.041666666667</v>
      </c>
      <c r="BN458" s="554">
        <f>I458/25</f>
        <v>673</v>
      </c>
      <c r="BY458" s="619"/>
      <c r="BZ458" s="548"/>
      <c r="CA458" s="621"/>
      <c r="CB458" s="567"/>
      <c r="CC458" s="622"/>
      <c r="CD458" s="619"/>
      <c r="CE458" s="619"/>
      <c r="CF458" s="548"/>
      <c r="CG458" s="548"/>
      <c r="CU458" s="554">
        <f t="shared" si="147"/>
        <v>673</v>
      </c>
      <c r="CV458" s="554">
        <f t="shared" si="145"/>
        <v>0</v>
      </c>
      <c r="CW458" s="554">
        <f t="shared" si="146"/>
        <v>0</v>
      </c>
      <c r="CX458" s="619"/>
      <c r="CY458" s="619"/>
      <c r="CZ458" s="619"/>
      <c r="DA458" s="548"/>
      <c r="DB458" s="548"/>
      <c r="DC458" s="548"/>
      <c r="DD458" s="619"/>
      <c r="DE458" s="619"/>
      <c r="DF458" s="619"/>
      <c r="DG458" s="619"/>
      <c r="DH458" s="619"/>
    </row>
    <row r="459" s="548" customFormat="1" ht="31" customHeight="1" spans="1:112">
      <c r="A459" s="608">
        <v>45842</v>
      </c>
      <c r="B459" s="609" t="s">
        <v>139</v>
      </c>
      <c r="C459" s="610" t="s">
        <v>76</v>
      </c>
      <c r="D459" s="554">
        <v>4500172600</v>
      </c>
      <c r="E459" s="610">
        <v>20959662</v>
      </c>
      <c r="F459" s="554" t="s">
        <v>7196</v>
      </c>
      <c r="G459" s="610" t="s">
        <v>6093</v>
      </c>
      <c r="H459" s="610" t="s">
        <v>6094</v>
      </c>
      <c r="I459" s="610">
        <v>169</v>
      </c>
      <c r="J459" s="610">
        <v>0</v>
      </c>
      <c r="K459" s="610">
        <v>13</v>
      </c>
      <c r="L459" s="611">
        <f t="shared" si="142"/>
        <v>13</v>
      </c>
      <c r="M459" s="612">
        <v>45880</v>
      </c>
      <c r="N459" s="612">
        <v>45876</v>
      </c>
      <c r="O459" s="613"/>
      <c r="P459" s="613" t="s">
        <v>113</v>
      </c>
      <c r="Q459" s="610"/>
      <c r="R459" s="614">
        <v>45849</v>
      </c>
      <c r="S459" s="614" t="s">
        <v>104</v>
      </c>
      <c r="T459" s="614">
        <v>45859</v>
      </c>
      <c r="U459" s="614"/>
      <c r="V459" s="614"/>
      <c r="W459" s="615"/>
      <c r="X459" s="609" t="s">
        <v>7012</v>
      </c>
      <c r="Y459" s="609" t="s">
        <v>133</v>
      </c>
      <c r="Z459" s="609">
        <v>0.9526</v>
      </c>
      <c r="AA459" s="616">
        <f t="shared" si="143"/>
        <v>160.9894</v>
      </c>
      <c r="AC459" s="629" t="s">
        <v>7197</v>
      </c>
      <c r="AD459" s="610" t="s">
        <v>6093</v>
      </c>
      <c r="AE459" s="610" t="s">
        <v>82</v>
      </c>
      <c r="AF459" s="610"/>
      <c r="AG459" s="610"/>
      <c r="AH459" s="610"/>
      <c r="AI459" s="610">
        <v>169</v>
      </c>
      <c r="AJ459" s="610">
        <f t="shared" si="144"/>
        <v>0</v>
      </c>
      <c r="AK459" s="610"/>
      <c r="AL459" s="610"/>
      <c r="AM459" s="610"/>
      <c r="AN459" s="610"/>
      <c r="AO459" s="554">
        <f>I459</f>
        <v>169</v>
      </c>
      <c r="AR459" s="619"/>
      <c r="AS459" s="548"/>
      <c r="AT459" s="554">
        <f>I459</f>
        <v>169</v>
      </c>
      <c r="AV459" s="554">
        <f>I459</f>
        <v>169</v>
      </c>
      <c r="AW459" s="619"/>
      <c r="AX459" s="548"/>
      <c r="AY459" s="548"/>
      <c r="AZ459" s="548"/>
      <c r="BA459" s="548"/>
      <c r="BB459" s="620">
        <f t="shared" si="149"/>
        <v>7.04166666666667</v>
      </c>
      <c r="BM459" s="554">
        <f>I459/13</f>
        <v>13</v>
      </c>
      <c r="BY459" s="619"/>
      <c r="BZ459" s="548"/>
      <c r="CA459" s="621"/>
      <c r="CB459" s="567"/>
      <c r="CC459" s="622"/>
      <c r="CD459" s="619"/>
      <c r="CE459" s="619"/>
      <c r="CF459" s="548"/>
      <c r="CG459" s="548"/>
      <c r="CU459" s="554">
        <f t="shared" si="147"/>
        <v>0</v>
      </c>
      <c r="CV459" s="554">
        <f t="shared" si="145"/>
        <v>0</v>
      </c>
      <c r="CW459" s="554">
        <f t="shared" si="146"/>
        <v>0</v>
      </c>
      <c r="CX459" s="619"/>
      <c r="CY459" s="619"/>
      <c r="CZ459" s="619"/>
      <c r="DA459" s="548"/>
      <c r="DB459" s="548"/>
      <c r="DC459" s="548"/>
      <c r="DD459" s="619"/>
      <c r="DE459" s="619"/>
      <c r="DF459" s="619"/>
      <c r="DG459" s="619"/>
      <c r="DH459" s="619"/>
    </row>
    <row r="460" s="548" customFormat="1" ht="31" customHeight="1" spans="1:112">
      <c r="A460" s="608">
        <v>45842</v>
      </c>
      <c r="B460" s="609" t="s">
        <v>135</v>
      </c>
      <c r="C460" s="610" t="s">
        <v>128</v>
      </c>
      <c r="D460" s="554">
        <v>4500172597</v>
      </c>
      <c r="E460" s="610">
        <v>20959661</v>
      </c>
      <c r="F460" s="554" t="s">
        <v>7198</v>
      </c>
      <c r="G460" s="610" t="s">
        <v>6093</v>
      </c>
      <c r="H460" s="610" t="s">
        <v>6094</v>
      </c>
      <c r="I460" s="610">
        <v>1339</v>
      </c>
      <c r="J460" s="610">
        <v>0</v>
      </c>
      <c r="K460" s="610">
        <v>13</v>
      </c>
      <c r="L460" s="611">
        <f t="shared" si="142"/>
        <v>103</v>
      </c>
      <c r="M460" s="612">
        <v>45880</v>
      </c>
      <c r="N460" s="612">
        <v>45876</v>
      </c>
      <c r="O460" s="613"/>
      <c r="P460" s="613" t="s">
        <v>113</v>
      </c>
      <c r="Q460" s="610"/>
      <c r="R460" s="614">
        <v>45849</v>
      </c>
      <c r="S460" s="614" t="s">
        <v>104</v>
      </c>
      <c r="T460" s="614">
        <v>45859</v>
      </c>
      <c r="U460" s="614"/>
      <c r="V460" s="614"/>
      <c r="W460" s="615"/>
      <c r="X460" s="609" t="s">
        <v>6288</v>
      </c>
      <c r="Y460" s="609" t="s">
        <v>133</v>
      </c>
      <c r="Z460" s="609">
        <v>0.9475</v>
      </c>
      <c r="AA460" s="616">
        <f t="shared" si="143"/>
        <v>1268.7025</v>
      </c>
      <c r="AC460" s="629" t="s">
        <v>7199</v>
      </c>
      <c r="AD460" s="610" t="s">
        <v>6093</v>
      </c>
      <c r="AE460" s="610" t="s">
        <v>82</v>
      </c>
      <c r="AF460" s="610"/>
      <c r="AG460" s="610"/>
      <c r="AH460" s="610"/>
      <c r="AI460" s="610">
        <v>1339</v>
      </c>
      <c r="AJ460" s="610">
        <f t="shared" si="144"/>
        <v>0</v>
      </c>
      <c r="AK460" s="610"/>
      <c r="AL460" s="610"/>
      <c r="AM460" s="610"/>
      <c r="AN460" s="610"/>
      <c r="AO460" s="554">
        <f>I460</f>
        <v>1339</v>
      </c>
      <c r="AR460" s="619"/>
      <c r="AS460" s="548"/>
      <c r="AT460" s="554">
        <f>I460</f>
        <v>1339</v>
      </c>
      <c r="AV460" s="554">
        <f>I460</f>
        <v>1339</v>
      </c>
      <c r="AW460" s="619"/>
      <c r="AX460" s="548"/>
      <c r="AY460" s="548"/>
      <c r="AZ460" s="548"/>
      <c r="BA460" s="548"/>
      <c r="BB460" s="620">
        <f t="shared" si="149"/>
        <v>55.7916666666667</v>
      </c>
      <c r="BM460" s="554">
        <f>I460/13</f>
        <v>103</v>
      </c>
      <c r="BY460" s="619"/>
      <c r="BZ460" s="548"/>
      <c r="CA460" s="621"/>
      <c r="CB460" s="567"/>
      <c r="CC460" s="622"/>
      <c r="CD460" s="619"/>
      <c r="CE460" s="619"/>
      <c r="CF460" s="548"/>
      <c r="CG460" s="548"/>
      <c r="CU460" s="554">
        <f t="shared" si="147"/>
        <v>0</v>
      </c>
      <c r="CV460" s="554">
        <f t="shared" si="145"/>
        <v>0</v>
      </c>
      <c r="CW460" s="554">
        <f t="shared" si="146"/>
        <v>0</v>
      </c>
      <c r="CX460" s="619"/>
      <c r="CY460" s="619"/>
      <c r="CZ460" s="619"/>
      <c r="DA460" s="548"/>
      <c r="DB460" s="548"/>
      <c r="DC460" s="548"/>
      <c r="DD460" s="619"/>
      <c r="DE460" s="619"/>
      <c r="DF460" s="619"/>
      <c r="DG460" s="619"/>
      <c r="DH460" s="619"/>
    </row>
    <row r="461" s="548" customFormat="1" ht="31" customHeight="1" spans="1:112">
      <c r="A461" s="608">
        <v>45870</v>
      </c>
      <c r="B461" s="609" t="s">
        <v>1620</v>
      </c>
      <c r="C461" s="610" t="s">
        <v>278</v>
      </c>
      <c r="D461" s="554">
        <v>4500175782</v>
      </c>
      <c r="E461" s="613">
        <v>4400502188</v>
      </c>
      <c r="F461" s="554" t="s">
        <v>7200</v>
      </c>
      <c r="G461" s="610" t="s">
        <v>6047</v>
      </c>
      <c r="H461" s="610" t="s">
        <v>6069</v>
      </c>
      <c r="I461" s="610">
        <v>6000</v>
      </c>
      <c r="J461" s="610">
        <v>0</v>
      </c>
      <c r="K461" s="610">
        <v>25</v>
      </c>
      <c r="L461" s="611">
        <f t="shared" si="142"/>
        <v>240</v>
      </c>
      <c r="M461" s="612">
        <v>45877</v>
      </c>
      <c r="N461" s="612">
        <f>M461-4</f>
        <v>45873</v>
      </c>
      <c r="O461" s="613" t="s">
        <v>7179</v>
      </c>
      <c r="P461" s="613" t="s">
        <v>113</v>
      </c>
      <c r="Q461" s="610" t="s">
        <v>7180</v>
      </c>
      <c r="R461" s="614">
        <v>45848</v>
      </c>
      <c r="S461" s="614" t="s">
        <v>70</v>
      </c>
      <c r="T461" s="614" t="s">
        <v>70</v>
      </c>
      <c r="U461" s="614"/>
      <c r="V461" s="614"/>
      <c r="W461" s="615"/>
      <c r="X461" s="609" t="s">
        <v>7201</v>
      </c>
      <c r="Y461" s="609" t="s">
        <v>1549</v>
      </c>
      <c r="Z461" s="609">
        <v>0.9193</v>
      </c>
      <c r="AA461" s="616">
        <f t="shared" si="143"/>
        <v>5515.8</v>
      </c>
      <c r="AC461" s="629" t="s">
        <v>7202</v>
      </c>
      <c r="AD461" s="610" t="s">
        <v>6047</v>
      </c>
      <c r="AE461" s="610" t="s">
        <v>82</v>
      </c>
      <c r="AF461" s="610"/>
      <c r="AG461" s="610"/>
      <c r="AH461" s="610"/>
      <c r="AI461" s="610">
        <v>6000</v>
      </c>
      <c r="AJ461" s="610">
        <f t="shared" si="144"/>
        <v>0</v>
      </c>
      <c r="AK461" s="610"/>
      <c r="AL461" s="610"/>
      <c r="AM461" s="610"/>
      <c r="AN461" s="610"/>
      <c r="AO461" s="554">
        <f>I461</f>
        <v>6000</v>
      </c>
      <c r="AR461" s="619"/>
      <c r="AS461" s="548"/>
      <c r="AT461" s="554">
        <f>I461</f>
        <v>6000</v>
      </c>
      <c r="AV461" s="554">
        <f>I461</f>
        <v>6000</v>
      </c>
      <c r="AW461" s="619"/>
      <c r="AX461" s="548"/>
      <c r="AY461" s="548"/>
      <c r="AZ461" s="548"/>
      <c r="BA461" s="548"/>
      <c r="BB461" s="620">
        <f t="shared" si="149"/>
        <v>250</v>
      </c>
      <c r="BP461" s="554">
        <f>I461/25</f>
        <v>240</v>
      </c>
      <c r="BY461" s="619"/>
      <c r="BZ461" s="548"/>
      <c r="CA461" s="621"/>
      <c r="CB461" s="567"/>
      <c r="CC461" s="622"/>
      <c r="CD461" s="619"/>
      <c r="CE461" s="619"/>
      <c r="CF461" s="548"/>
      <c r="CG461" s="548"/>
      <c r="CU461" s="554">
        <f t="shared" si="147"/>
        <v>240</v>
      </c>
      <c r="CV461" s="554">
        <f t="shared" si="145"/>
        <v>0</v>
      </c>
      <c r="CW461" s="554">
        <f t="shared" si="146"/>
        <v>0</v>
      </c>
      <c r="CX461" s="619"/>
      <c r="CY461" s="619"/>
      <c r="CZ461" s="619"/>
      <c r="DA461" s="548"/>
      <c r="DB461" s="548"/>
      <c r="DC461" s="548"/>
      <c r="DD461" s="619"/>
      <c r="DE461" s="619"/>
      <c r="DF461" s="619"/>
      <c r="DG461" s="619"/>
      <c r="DH461" s="619"/>
    </row>
    <row r="462" s="548" customFormat="1" ht="31" customHeight="1" spans="1:112">
      <c r="A462" s="608">
        <v>45840</v>
      </c>
      <c r="B462" s="609" t="s">
        <v>3815</v>
      </c>
      <c r="C462" s="610" t="s">
        <v>98</v>
      </c>
      <c r="D462" s="554">
        <v>4500172435</v>
      </c>
      <c r="E462" s="610" t="s">
        <v>7203</v>
      </c>
      <c r="F462" s="554" t="s">
        <v>7204</v>
      </c>
      <c r="G462" s="610" t="s">
        <v>6787</v>
      </c>
      <c r="H462" s="610" t="s">
        <v>6126</v>
      </c>
      <c r="I462" s="610">
        <v>2844</v>
      </c>
      <c r="J462" s="610">
        <v>0</v>
      </c>
      <c r="K462" s="610">
        <v>12</v>
      </c>
      <c r="L462" s="611">
        <f t="shared" si="142"/>
        <v>237</v>
      </c>
      <c r="M462" s="612">
        <v>45880</v>
      </c>
      <c r="N462" s="612">
        <v>45876</v>
      </c>
      <c r="O462" s="613"/>
      <c r="P462" s="613" t="s">
        <v>113</v>
      </c>
      <c r="Q462" s="610"/>
      <c r="R462" s="614">
        <v>45840</v>
      </c>
      <c r="S462" s="614" t="s">
        <v>104</v>
      </c>
      <c r="T462" s="614" t="s">
        <v>454</v>
      </c>
      <c r="U462" s="614"/>
      <c r="V462" s="614"/>
      <c r="W462" s="615"/>
      <c r="X462" s="609" t="s">
        <v>7007</v>
      </c>
      <c r="Y462" s="609" t="s">
        <v>125</v>
      </c>
      <c r="Z462" s="609">
        <v>1.3094</v>
      </c>
      <c r="AA462" s="616">
        <f t="shared" si="143"/>
        <v>3723.9336</v>
      </c>
      <c r="AC462" s="617" t="s">
        <v>7205</v>
      </c>
      <c r="AD462" s="610" t="s">
        <v>6128</v>
      </c>
      <c r="AE462" s="610" t="s">
        <v>82</v>
      </c>
      <c r="AF462" s="610"/>
      <c r="AG462" s="610"/>
      <c r="AH462" s="610"/>
      <c r="AI462" s="610">
        <v>2844</v>
      </c>
      <c r="AJ462" s="610">
        <f t="shared" si="144"/>
        <v>0</v>
      </c>
      <c r="AK462" s="610"/>
      <c r="AL462" s="610"/>
      <c r="AM462" s="610"/>
      <c r="AN462" s="610">
        <f>I462*2</f>
        <v>5688</v>
      </c>
      <c r="AQ462" s="554">
        <f>I462*2</f>
        <v>5688</v>
      </c>
      <c r="AR462" s="619"/>
      <c r="AS462" s="548"/>
      <c r="AT462" s="548"/>
      <c r="AU462" s="554">
        <f>I462*2</f>
        <v>5688</v>
      </c>
      <c r="AW462" s="619"/>
      <c r="AX462" s="548"/>
      <c r="AY462" s="548"/>
      <c r="AZ462" s="548"/>
      <c r="BA462" s="548"/>
      <c r="BB462" s="249">
        <f>I462/24*2</f>
        <v>237</v>
      </c>
      <c r="BY462" s="619"/>
      <c r="BZ462" s="548"/>
      <c r="CA462" s="621"/>
      <c r="CB462" s="567"/>
      <c r="CC462" s="622"/>
      <c r="CD462" s="619"/>
      <c r="CE462" s="619"/>
      <c r="CF462" s="548"/>
      <c r="CG462" s="548"/>
      <c r="CR462" s="554">
        <f>I462</f>
        <v>2844</v>
      </c>
      <c r="CS462" s="554">
        <f>I462</f>
        <v>2844</v>
      </c>
      <c r="CT462" s="554">
        <f>I462</f>
        <v>2844</v>
      </c>
      <c r="CU462" s="554">
        <f t="shared" si="147"/>
        <v>0</v>
      </c>
      <c r="CV462" s="554">
        <f t="shared" si="145"/>
        <v>0</v>
      </c>
      <c r="CW462" s="554">
        <f t="shared" si="146"/>
        <v>0</v>
      </c>
      <c r="CX462" s="619"/>
      <c r="CY462" s="619"/>
      <c r="CZ462" s="619"/>
      <c r="DA462" s="548"/>
      <c r="DB462" s="548"/>
      <c r="DC462" s="548"/>
      <c r="DD462" s="619"/>
      <c r="DE462" s="619"/>
      <c r="DF462" s="619"/>
      <c r="DG462" s="619"/>
      <c r="DH462" s="619"/>
    </row>
    <row r="463" s="548" customFormat="1" ht="31" customHeight="1" spans="1:112">
      <c r="A463" s="608">
        <v>45827</v>
      </c>
      <c r="B463" s="609" t="s">
        <v>143</v>
      </c>
      <c r="C463" s="610" t="s">
        <v>98</v>
      </c>
      <c r="D463" s="554">
        <v>4500170593</v>
      </c>
      <c r="E463" s="613">
        <v>907594647</v>
      </c>
      <c r="F463" s="554" t="s">
        <v>7206</v>
      </c>
      <c r="G463" s="610" t="s">
        <v>6063</v>
      </c>
      <c r="H463" s="610" t="s">
        <v>6064</v>
      </c>
      <c r="I463" s="610">
        <v>2832</v>
      </c>
      <c r="J463" s="610">
        <v>0</v>
      </c>
      <c r="K463" s="610">
        <v>16</v>
      </c>
      <c r="L463" s="611">
        <f t="shared" ref="L463:L488" si="150">I463/K463</f>
        <v>177</v>
      </c>
      <c r="M463" s="612">
        <v>45881</v>
      </c>
      <c r="N463" s="612">
        <v>45877</v>
      </c>
      <c r="O463" s="613" t="s">
        <v>7207</v>
      </c>
      <c r="P463" s="613" t="s">
        <v>113</v>
      </c>
      <c r="Q463" s="610"/>
      <c r="R463" s="614" t="s">
        <v>7064</v>
      </c>
      <c r="S463" s="614" t="s">
        <v>70</v>
      </c>
      <c r="T463" s="614" t="s">
        <v>148</v>
      </c>
      <c r="U463" s="614"/>
      <c r="V463" s="614"/>
      <c r="W463" s="615"/>
      <c r="X463" s="609" t="s">
        <v>7208</v>
      </c>
      <c r="Y463" s="609" t="s">
        <v>106</v>
      </c>
      <c r="Z463" s="609">
        <v>0.5936</v>
      </c>
      <c r="AA463" s="616">
        <f t="shared" si="143"/>
        <v>1681.0752</v>
      </c>
      <c r="AC463" s="617" t="s">
        <v>7209</v>
      </c>
      <c r="AD463" s="610" t="s">
        <v>6063</v>
      </c>
      <c r="AE463" s="610" t="s">
        <v>82</v>
      </c>
      <c r="AF463" s="610"/>
      <c r="AG463" s="610"/>
      <c r="AH463" s="610"/>
      <c r="AI463" s="610">
        <v>2832</v>
      </c>
      <c r="AJ463" s="610">
        <f t="shared" ref="AJ463:AJ471" si="151">AI463-I463</f>
        <v>0</v>
      </c>
      <c r="AK463" s="610"/>
      <c r="AL463" s="610"/>
      <c r="AM463" s="610"/>
      <c r="AN463" s="610">
        <f t="shared" ref="AN463:AN471" si="152">I463</f>
        <v>2832</v>
      </c>
      <c r="AP463" s="554">
        <f t="shared" ref="AP463:AP470" si="153">I463</f>
        <v>2832</v>
      </c>
      <c r="AR463" s="619"/>
      <c r="AS463" s="548"/>
      <c r="AT463" s="548"/>
      <c r="AU463" s="554">
        <f t="shared" ref="AU463:AU471" si="154">I463</f>
        <v>2832</v>
      </c>
      <c r="AW463" s="619"/>
      <c r="AX463" s="548"/>
      <c r="AY463" s="548"/>
      <c r="AZ463" s="548"/>
      <c r="BA463" s="548"/>
      <c r="BB463" s="620">
        <f t="shared" ref="BB463:BB473" si="155">I463/24</f>
        <v>118</v>
      </c>
      <c r="BQ463" s="554">
        <f t="shared" ref="BQ463:BQ469" si="156">I463/16</f>
        <v>177</v>
      </c>
      <c r="BY463" s="619"/>
      <c r="BZ463" s="548"/>
      <c r="CA463" s="621"/>
      <c r="CB463" s="567"/>
      <c r="CC463" s="622"/>
      <c r="CD463" s="619"/>
      <c r="CE463" s="619"/>
      <c r="CF463" s="548"/>
      <c r="CG463" s="548"/>
      <c r="CU463" s="554">
        <f t="shared" ref="CU463:CU469" si="157">BQ463+BP463+BO463+BN463+BX463+BR463</f>
        <v>177</v>
      </c>
      <c r="CV463" s="554">
        <f t="shared" si="145"/>
        <v>0</v>
      </c>
      <c r="CW463" s="554">
        <f t="shared" si="146"/>
        <v>0</v>
      </c>
      <c r="CX463" s="619"/>
      <c r="CY463" s="619"/>
      <c r="CZ463" s="619"/>
      <c r="DA463" s="548"/>
      <c r="DB463" s="548"/>
      <c r="DC463" s="548"/>
      <c r="DD463" s="619"/>
      <c r="DE463" s="619"/>
      <c r="DF463" s="619"/>
      <c r="DG463" s="619"/>
      <c r="DH463" s="619"/>
    </row>
    <row r="464" s="548" customFormat="1" ht="31" customHeight="1" spans="1:112">
      <c r="A464" s="608">
        <v>45827</v>
      </c>
      <c r="B464" s="609" t="s">
        <v>143</v>
      </c>
      <c r="C464" s="610" t="s">
        <v>98</v>
      </c>
      <c r="D464" s="554">
        <v>4500170593</v>
      </c>
      <c r="E464" s="613">
        <v>907594658</v>
      </c>
      <c r="F464" s="554" t="s">
        <v>7210</v>
      </c>
      <c r="G464" s="610" t="s">
        <v>6063</v>
      </c>
      <c r="H464" s="610" t="s">
        <v>6064</v>
      </c>
      <c r="I464" s="610">
        <v>4048</v>
      </c>
      <c r="J464" s="610">
        <v>0</v>
      </c>
      <c r="K464" s="610">
        <v>16</v>
      </c>
      <c r="L464" s="611">
        <f t="shared" si="150"/>
        <v>253</v>
      </c>
      <c r="M464" s="612">
        <v>45881</v>
      </c>
      <c r="N464" s="612">
        <v>45877</v>
      </c>
      <c r="O464" s="613" t="s">
        <v>7207</v>
      </c>
      <c r="P464" s="613" t="s">
        <v>113</v>
      </c>
      <c r="Q464" s="610"/>
      <c r="R464" s="614" t="s">
        <v>7064</v>
      </c>
      <c r="S464" s="614" t="s">
        <v>70</v>
      </c>
      <c r="T464" s="614" t="s">
        <v>148</v>
      </c>
      <c r="U464" s="614"/>
      <c r="V464" s="614"/>
      <c r="W464" s="615"/>
      <c r="X464" s="609" t="s">
        <v>7208</v>
      </c>
      <c r="Y464" s="609" t="s">
        <v>106</v>
      </c>
      <c r="Z464" s="609">
        <v>0.5936</v>
      </c>
      <c r="AA464" s="616">
        <f t="shared" si="143"/>
        <v>2402.8928</v>
      </c>
      <c r="AC464" s="617" t="s">
        <v>7211</v>
      </c>
      <c r="AD464" s="610" t="s">
        <v>6063</v>
      </c>
      <c r="AE464" s="610" t="s">
        <v>82</v>
      </c>
      <c r="AF464" s="610"/>
      <c r="AG464" s="610"/>
      <c r="AH464" s="610"/>
      <c r="AI464" s="610">
        <v>4048</v>
      </c>
      <c r="AJ464" s="610">
        <f t="shared" si="151"/>
        <v>0</v>
      </c>
      <c r="AK464" s="610"/>
      <c r="AL464" s="610"/>
      <c r="AM464" s="610"/>
      <c r="AN464" s="610">
        <f t="shared" si="152"/>
        <v>4048</v>
      </c>
      <c r="AP464" s="554">
        <f t="shared" si="153"/>
        <v>4048</v>
      </c>
      <c r="AR464" s="619"/>
      <c r="AS464" s="548"/>
      <c r="AT464" s="548"/>
      <c r="AU464" s="554">
        <f t="shared" si="154"/>
        <v>4048</v>
      </c>
      <c r="AW464" s="619"/>
      <c r="AX464" s="548"/>
      <c r="AY464" s="548"/>
      <c r="AZ464" s="548"/>
      <c r="BA464" s="548"/>
      <c r="BB464" s="620">
        <f t="shared" si="155"/>
        <v>168.666666666667</v>
      </c>
      <c r="BQ464" s="554">
        <f t="shared" si="156"/>
        <v>253</v>
      </c>
      <c r="BY464" s="619"/>
      <c r="BZ464" s="548"/>
      <c r="CA464" s="621"/>
      <c r="CB464" s="567"/>
      <c r="CC464" s="622"/>
      <c r="CD464" s="619"/>
      <c r="CE464" s="619"/>
      <c r="CF464" s="548"/>
      <c r="CG464" s="548"/>
      <c r="CU464" s="554">
        <f t="shared" si="157"/>
        <v>253</v>
      </c>
      <c r="CV464" s="554">
        <f t="shared" si="145"/>
        <v>0</v>
      </c>
      <c r="CW464" s="554">
        <f t="shared" si="146"/>
        <v>0</v>
      </c>
      <c r="CX464" s="619"/>
      <c r="CY464" s="619"/>
      <c r="CZ464" s="619"/>
      <c r="DA464" s="548"/>
      <c r="DB464" s="548"/>
      <c r="DC464" s="548"/>
      <c r="DD464" s="619"/>
      <c r="DE464" s="619"/>
      <c r="DF464" s="619"/>
      <c r="DG464" s="619"/>
      <c r="DH464" s="619"/>
    </row>
    <row r="465" s="548" customFormat="1" ht="31" customHeight="1" spans="1:112">
      <c r="A465" s="608">
        <v>45827</v>
      </c>
      <c r="B465" s="609" t="s">
        <v>143</v>
      </c>
      <c r="C465" s="610" t="s">
        <v>98</v>
      </c>
      <c r="D465" s="554">
        <v>4500170593</v>
      </c>
      <c r="E465" s="613">
        <v>907594660</v>
      </c>
      <c r="F465" s="554" t="s">
        <v>7212</v>
      </c>
      <c r="G465" s="610" t="s">
        <v>6063</v>
      </c>
      <c r="H465" s="610" t="s">
        <v>6064</v>
      </c>
      <c r="I465" s="610">
        <v>2736</v>
      </c>
      <c r="J465" s="610">
        <v>0</v>
      </c>
      <c r="K465" s="610">
        <v>16</v>
      </c>
      <c r="L465" s="611">
        <f t="shared" si="150"/>
        <v>171</v>
      </c>
      <c r="M465" s="612">
        <v>45881</v>
      </c>
      <c r="N465" s="612">
        <v>45877</v>
      </c>
      <c r="O465" s="613" t="s">
        <v>7207</v>
      </c>
      <c r="P465" s="613" t="s">
        <v>113</v>
      </c>
      <c r="Q465" s="610"/>
      <c r="R465" s="614" t="s">
        <v>7064</v>
      </c>
      <c r="S465" s="614" t="s">
        <v>70</v>
      </c>
      <c r="T465" s="614" t="s">
        <v>148</v>
      </c>
      <c r="U465" s="614"/>
      <c r="V465" s="614"/>
      <c r="W465" s="615"/>
      <c r="X465" s="609" t="s">
        <v>7208</v>
      </c>
      <c r="Y465" s="609" t="s">
        <v>106</v>
      </c>
      <c r="Z465" s="609">
        <v>0.5936</v>
      </c>
      <c r="AA465" s="616">
        <f t="shared" si="143"/>
        <v>1624.0896</v>
      </c>
      <c r="AC465" s="617" t="s">
        <v>7213</v>
      </c>
      <c r="AD465" s="610" t="s">
        <v>6063</v>
      </c>
      <c r="AE465" s="610" t="s">
        <v>82</v>
      </c>
      <c r="AF465" s="610"/>
      <c r="AG465" s="610"/>
      <c r="AH465" s="610"/>
      <c r="AI465" s="610">
        <v>2736</v>
      </c>
      <c r="AJ465" s="610">
        <f t="shared" si="151"/>
        <v>0</v>
      </c>
      <c r="AK465" s="610"/>
      <c r="AL465" s="610"/>
      <c r="AM465" s="610"/>
      <c r="AN465" s="610">
        <f t="shared" si="152"/>
        <v>2736</v>
      </c>
      <c r="AP465" s="554">
        <f t="shared" si="153"/>
        <v>2736</v>
      </c>
      <c r="AR465" s="619"/>
      <c r="AS465" s="548"/>
      <c r="AT465" s="548"/>
      <c r="AU465" s="554">
        <f t="shared" si="154"/>
        <v>2736</v>
      </c>
      <c r="AW465" s="619"/>
      <c r="AX465" s="548"/>
      <c r="AY465" s="548"/>
      <c r="AZ465" s="548"/>
      <c r="BA465" s="548"/>
      <c r="BB465" s="620">
        <f t="shared" si="155"/>
        <v>114</v>
      </c>
      <c r="BQ465" s="554">
        <f t="shared" si="156"/>
        <v>171</v>
      </c>
      <c r="BY465" s="619"/>
      <c r="BZ465" s="548"/>
      <c r="CA465" s="621"/>
      <c r="CB465" s="567"/>
      <c r="CC465" s="622"/>
      <c r="CD465" s="619"/>
      <c r="CE465" s="619"/>
      <c r="CF465" s="548"/>
      <c r="CG465" s="548"/>
      <c r="CU465" s="554">
        <f t="shared" si="157"/>
        <v>171</v>
      </c>
      <c r="CV465" s="554">
        <f t="shared" si="145"/>
        <v>0</v>
      </c>
      <c r="CW465" s="554">
        <f t="shared" si="146"/>
        <v>0</v>
      </c>
      <c r="CX465" s="619"/>
      <c r="CY465" s="619"/>
      <c r="CZ465" s="619"/>
      <c r="DA465" s="548"/>
      <c r="DB465" s="548"/>
      <c r="DC465" s="548"/>
      <c r="DD465" s="619"/>
      <c r="DE465" s="619"/>
      <c r="DF465" s="619"/>
      <c r="DG465" s="619"/>
      <c r="DH465" s="619"/>
    </row>
    <row r="466" s="548" customFormat="1" ht="31" customHeight="1" spans="1:112">
      <c r="A466" s="608">
        <v>45827</v>
      </c>
      <c r="B466" s="609" t="s">
        <v>143</v>
      </c>
      <c r="C466" s="610" t="s">
        <v>98</v>
      </c>
      <c r="D466" s="554">
        <v>4500170593</v>
      </c>
      <c r="E466" s="613">
        <v>907594673</v>
      </c>
      <c r="F466" s="554" t="s">
        <v>7214</v>
      </c>
      <c r="G466" s="610" t="s">
        <v>6063</v>
      </c>
      <c r="H466" s="610" t="s">
        <v>6064</v>
      </c>
      <c r="I466" s="610">
        <v>3024</v>
      </c>
      <c r="J466" s="610">
        <v>0</v>
      </c>
      <c r="K466" s="610">
        <v>16</v>
      </c>
      <c r="L466" s="611">
        <f t="shared" si="150"/>
        <v>189</v>
      </c>
      <c r="M466" s="612">
        <v>45881</v>
      </c>
      <c r="N466" s="612">
        <v>45877</v>
      </c>
      <c r="O466" s="613" t="s">
        <v>7207</v>
      </c>
      <c r="P466" s="613" t="s">
        <v>113</v>
      </c>
      <c r="Q466" s="610"/>
      <c r="R466" s="614" t="s">
        <v>7064</v>
      </c>
      <c r="S466" s="614" t="s">
        <v>70</v>
      </c>
      <c r="T466" s="614" t="s">
        <v>148</v>
      </c>
      <c r="U466" s="614"/>
      <c r="V466" s="614"/>
      <c r="W466" s="615"/>
      <c r="X466" s="609" t="s">
        <v>7208</v>
      </c>
      <c r="Y466" s="609" t="s">
        <v>106</v>
      </c>
      <c r="Z466" s="609">
        <v>0.5936</v>
      </c>
      <c r="AA466" s="616">
        <f t="shared" si="143"/>
        <v>1795.0464</v>
      </c>
      <c r="AC466" s="617" t="s">
        <v>7215</v>
      </c>
      <c r="AD466" s="610" t="s">
        <v>6063</v>
      </c>
      <c r="AE466" s="610" t="s">
        <v>82</v>
      </c>
      <c r="AF466" s="610"/>
      <c r="AG466" s="610"/>
      <c r="AH466" s="610"/>
      <c r="AI466" s="610">
        <v>3024</v>
      </c>
      <c r="AJ466" s="610">
        <f t="shared" si="151"/>
        <v>0</v>
      </c>
      <c r="AK466" s="610"/>
      <c r="AL466" s="610"/>
      <c r="AM466" s="610"/>
      <c r="AN466" s="610">
        <f t="shared" si="152"/>
        <v>3024</v>
      </c>
      <c r="AP466" s="554">
        <f t="shared" si="153"/>
        <v>3024</v>
      </c>
      <c r="AR466" s="619"/>
      <c r="AS466" s="548"/>
      <c r="AT466" s="548"/>
      <c r="AU466" s="554">
        <f t="shared" si="154"/>
        <v>3024</v>
      </c>
      <c r="AW466" s="619"/>
      <c r="AX466" s="548"/>
      <c r="AY466" s="548"/>
      <c r="AZ466" s="548"/>
      <c r="BA466" s="548"/>
      <c r="BB466" s="620">
        <f t="shared" si="155"/>
        <v>126</v>
      </c>
      <c r="BQ466" s="554">
        <f t="shared" si="156"/>
        <v>189</v>
      </c>
      <c r="BY466" s="619"/>
      <c r="BZ466" s="548"/>
      <c r="CA466" s="621"/>
      <c r="CB466" s="567"/>
      <c r="CC466" s="622"/>
      <c r="CD466" s="619"/>
      <c r="CE466" s="619"/>
      <c r="CF466" s="548"/>
      <c r="CG466" s="548"/>
      <c r="CU466" s="554">
        <f t="shared" si="157"/>
        <v>189</v>
      </c>
      <c r="CV466" s="554">
        <f t="shared" si="145"/>
        <v>0</v>
      </c>
      <c r="CW466" s="554">
        <f t="shared" si="146"/>
        <v>0</v>
      </c>
      <c r="CX466" s="619"/>
      <c r="CY466" s="619"/>
      <c r="CZ466" s="619"/>
      <c r="DA466" s="548"/>
      <c r="DB466" s="548"/>
      <c r="DC466" s="548"/>
      <c r="DD466" s="619"/>
      <c r="DE466" s="619"/>
      <c r="DF466" s="619"/>
      <c r="DG466" s="619"/>
      <c r="DH466" s="619"/>
    </row>
    <row r="467" s="548" customFormat="1" ht="31" customHeight="1" spans="1:112">
      <c r="A467" s="608">
        <v>45827</v>
      </c>
      <c r="B467" s="609" t="s">
        <v>143</v>
      </c>
      <c r="C467" s="610" t="s">
        <v>98</v>
      </c>
      <c r="D467" s="554">
        <v>4500170593</v>
      </c>
      <c r="E467" s="613">
        <v>907594680</v>
      </c>
      <c r="F467" s="554" t="s">
        <v>7216</v>
      </c>
      <c r="G467" s="610" t="s">
        <v>6063</v>
      </c>
      <c r="H467" s="610" t="s">
        <v>6064</v>
      </c>
      <c r="I467" s="610">
        <v>3488</v>
      </c>
      <c r="J467" s="610">
        <v>0</v>
      </c>
      <c r="K467" s="610">
        <v>16</v>
      </c>
      <c r="L467" s="611">
        <f t="shared" si="150"/>
        <v>218</v>
      </c>
      <c r="M467" s="612">
        <v>45881</v>
      </c>
      <c r="N467" s="612">
        <v>45877</v>
      </c>
      <c r="O467" s="613" t="s">
        <v>7207</v>
      </c>
      <c r="P467" s="613" t="s">
        <v>113</v>
      </c>
      <c r="Q467" s="610"/>
      <c r="R467" s="614" t="s">
        <v>7064</v>
      </c>
      <c r="S467" s="614" t="s">
        <v>70</v>
      </c>
      <c r="T467" s="614" t="s">
        <v>148</v>
      </c>
      <c r="U467" s="614"/>
      <c r="V467" s="614"/>
      <c r="W467" s="615"/>
      <c r="X467" s="609" t="s">
        <v>7208</v>
      </c>
      <c r="Y467" s="609" t="s">
        <v>106</v>
      </c>
      <c r="Z467" s="609">
        <v>0.5936</v>
      </c>
      <c r="AA467" s="616">
        <f t="shared" si="143"/>
        <v>2070.4768</v>
      </c>
      <c r="AC467" s="617" t="s">
        <v>7217</v>
      </c>
      <c r="AD467" s="610" t="s">
        <v>6063</v>
      </c>
      <c r="AE467" s="610" t="s">
        <v>82</v>
      </c>
      <c r="AF467" s="610"/>
      <c r="AG467" s="610"/>
      <c r="AH467" s="610"/>
      <c r="AI467" s="610">
        <v>3488</v>
      </c>
      <c r="AJ467" s="610">
        <f t="shared" si="151"/>
        <v>0</v>
      </c>
      <c r="AK467" s="610"/>
      <c r="AL467" s="610"/>
      <c r="AM467" s="610"/>
      <c r="AN467" s="610">
        <f t="shared" si="152"/>
        <v>3488</v>
      </c>
      <c r="AP467" s="554">
        <f t="shared" si="153"/>
        <v>3488</v>
      </c>
      <c r="AR467" s="619"/>
      <c r="AS467" s="548"/>
      <c r="AT467" s="548"/>
      <c r="AU467" s="554">
        <f t="shared" si="154"/>
        <v>3488</v>
      </c>
      <c r="AW467" s="619"/>
      <c r="AX467" s="548"/>
      <c r="AY467" s="548"/>
      <c r="AZ467" s="548"/>
      <c r="BA467" s="548"/>
      <c r="BB467" s="620">
        <f t="shared" si="155"/>
        <v>145.333333333333</v>
      </c>
      <c r="BQ467" s="554">
        <f t="shared" si="156"/>
        <v>218</v>
      </c>
      <c r="BY467" s="619"/>
      <c r="BZ467" s="548"/>
      <c r="CA467" s="621"/>
      <c r="CB467" s="567"/>
      <c r="CC467" s="622"/>
      <c r="CD467" s="619"/>
      <c r="CE467" s="619"/>
      <c r="CF467" s="548"/>
      <c r="CG467" s="548"/>
      <c r="CU467" s="554">
        <f t="shared" si="157"/>
        <v>218</v>
      </c>
      <c r="CV467" s="554">
        <f t="shared" si="145"/>
        <v>0</v>
      </c>
      <c r="CW467" s="554">
        <f t="shared" si="146"/>
        <v>0</v>
      </c>
      <c r="CX467" s="619"/>
      <c r="CY467" s="619"/>
      <c r="CZ467" s="619"/>
      <c r="DA467" s="548"/>
      <c r="DB467" s="548"/>
      <c r="DC467" s="548"/>
      <c r="DD467" s="619"/>
      <c r="DE467" s="619"/>
      <c r="DF467" s="619"/>
      <c r="DG467" s="619"/>
      <c r="DH467" s="619"/>
    </row>
    <row r="468" s="548" customFormat="1" ht="31" customHeight="1" spans="1:112">
      <c r="A468" s="608">
        <v>45827</v>
      </c>
      <c r="B468" s="609" t="s">
        <v>143</v>
      </c>
      <c r="C468" s="610" t="s">
        <v>98</v>
      </c>
      <c r="D468" s="554">
        <v>4500170593</v>
      </c>
      <c r="E468" s="613">
        <v>907594687</v>
      </c>
      <c r="F468" s="554" t="s">
        <v>7218</v>
      </c>
      <c r="G468" s="610" t="s">
        <v>6063</v>
      </c>
      <c r="H468" s="610" t="s">
        <v>6064</v>
      </c>
      <c r="I468" s="610">
        <v>2688</v>
      </c>
      <c r="J468" s="610">
        <v>0</v>
      </c>
      <c r="K468" s="610">
        <v>16</v>
      </c>
      <c r="L468" s="611">
        <f t="shared" si="150"/>
        <v>168</v>
      </c>
      <c r="M468" s="612">
        <v>45881</v>
      </c>
      <c r="N468" s="612">
        <v>45877</v>
      </c>
      <c r="O468" s="613" t="s">
        <v>7207</v>
      </c>
      <c r="P468" s="613" t="s">
        <v>113</v>
      </c>
      <c r="Q468" s="610"/>
      <c r="R468" s="614" t="s">
        <v>7064</v>
      </c>
      <c r="S468" s="614" t="s">
        <v>70</v>
      </c>
      <c r="T468" s="614" t="s">
        <v>148</v>
      </c>
      <c r="U468" s="614"/>
      <c r="V468" s="614"/>
      <c r="W468" s="615"/>
      <c r="X468" s="609" t="s">
        <v>7208</v>
      </c>
      <c r="Y468" s="609" t="s">
        <v>106</v>
      </c>
      <c r="Z468" s="609">
        <v>0.5936</v>
      </c>
      <c r="AA468" s="616">
        <f t="shared" si="143"/>
        <v>1595.5968</v>
      </c>
      <c r="AC468" s="617" t="s">
        <v>7219</v>
      </c>
      <c r="AD468" s="610" t="s">
        <v>6063</v>
      </c>
      <c r="AE468" s="610" t="s">
        <v>82</v>
      </c>
      <c r="AF468" s="610"/>
      <c r="AG468" s="610"/>
      <c r="AH468" s="610"/>
      <c r="AI468" s="610">
        <v>2688</v>
      </c>
      <c r="AJ468" s="610">
        <f t="shared" si="151"/>
        <v>0</v>
      </c>
      <c r="AK468" s="610"/>
      <c r="AL468" s="610"/>
      <c r="AM468" s="610"/>
      <c r="AN468" s="610">
        <f t="shared" si="152"/>
        <v>2688</v>
      </c>
      <c r="AP468" s="554">
        <f t="shared" si="153"/>
        <v>2688</v>
      </c>
      <c r="AR468" s="619"/>
      <c r="AS468" s="548"/>
      <c r="AT468" s="548"/>
      <c r="AU468" s="554">
        <f t="shared" si="154"/>
        <v>2688</v>
      </c>
      <c r="AW468" s="619"/>
      <c r="AX468" s="548"/>
      <c r="AY468" s="548"/>
      <c r="AZ468" s="548"/>
      <c r="BA468" s="548"/>
      <c r="BB468" s="620">
        <f t="shared" si="155"/>
        <v>112</v>
      </c>
      <c r="BQ468" s="554">
        <f t="shared" si="156"/>
        <v>168</v>
      </c>
      <c r="BY468" s="619"/>
      <c r="BZ468" s="548"/>
      <c r="CA468" s="621"/>
      <c r="CB468" s="567"/>
      <c r="CC468" s="622"/>
      <c r="CD468" s="619"/>
      <c r="CE468" s="619"/>
      <c r="CF468" s="548"/>
      <c r="CG468" s="548"/>
      <c r="CU468" s="554">
        <f t="shared" si="157"/>
        <v>168</v>
      </c>
      <c r="CV468" s="554">
        <f t="shared" si="145"/>
        <v>0</v>
      </c>
      <c r="CW468" s="554">
        <f t="shared" si="146"/>
        <v>0</v>
      </c>
      <c r="CX468" s="619"/>
      <c r="CY468" s="619"/>
      <c r="CZ468" s="619"/>
      <c r="DA468" s="548"/>
      <c r="DB468" s="548"/>
      <c r="DC468" s="548"/>
      <c r="DD468" s="619"/>
      <c r="DE468" s="619"/>
      <c r="DF468" s="619"/>
      <c r="DG468" s="619"/>
      <c r="DH468" s="619"/>
    </row>
    <row r="469" s="548" customFormat="1" ht="31" customHeight="1" spans="1:112">
      <c r="A469" s="608">
        <v>45827</v>
      </c>
      <c r="B469" s="609" t="s">
        <v>143</v>
      </c>
      <c r="C469" s="610" t="s">
        <v>98</v>
      </c>
      <c r="D469" s="554">
        <v>4500170593</v>
      </c>
      <c r="E469" s="613">
        <v>907594721</v>
      </c>
      <c r="F469" s="554" t="s">
        <v>7220</v>
      </c>
      <c r="G469" s="610" t="s">
        <v>6063</v>
      </c>
      <c r="H469" s="610" t="s">
        <v>6064</v>
      </c>
      <c r="I469" s="610">
        <v>2272</v>
      </c>
      <c r="J469" s="610">
        <v>0</v>
      </c>
      <c r="K469" s="610">
        <v>16</v>
      </c>
      <c r="L469" s="611">
        <f t="shared" si="150"/>
        <v>142</v>
      </c>
      <c r="M469" s="612">
        <v>45881</v>
      </c>
      <c r="N469" s="612">
        <v>45877</v>
      </c>
      <c r="O469" s="613" t="s">
        <v>7207</v>
      </c>
      <c r="P469" s="613" t="s">
        <v>113</v>
      </c>
      <c r="Q469" s="610"/>
      <c r="R469" s="614" t="s">
        <v>7064</v>
      </c>
      <c r="S469" s="614" t="s">
        <v>70</v>
      </c>
      <c r="T469" s="614" t="s">
        <v>148</v>
      </c>
      <c r="U469" s="614"/>
      <c r="V469" s="614"/>
      <c r="W469" s="615"/>
      <c r="X469" s="609" t="s">
        <v>7208</v>
      </c>
      <c r="Y469" s="609" t="s">
        <v>106</v>
      </c>
      <c r="Z469" s="609">
        <v>0.5936</v>
      </c>
      <c r="AA469" s="616">
        <f t="shared" si="143"/>
        <v>1348.6592</v>
      </c>
      <c r="AC469" s="617" t="s">
        <v>7221</v>
      </c>
      <c r="AD469" s="610" t="s">
        <v>6063</v>
      </c>
      <c r="AE469" s="610" t="s">
        <v>82</v>
      </c>
      <c r="AF469" s="610"/>
      <c r="AG469" s="610"/>
      <c r="AH469" s="610"/>
      <c r="AI469" s="610">
        <f>2256+16</f>
        <v>2272</v>
      </c>
      <c r="AJ469" s="610">
        <f t="shared" si="151"/>
        <v>0</v>
      </c>
      <c r="AK469" s="610"/>
      <c r="AL469" s="610"/>
      <c r="AM469" s="610"/>
      <c r="AN469" s="610">
        <f t="shared" si="152"/>
        <v>2272</v>
      </c>
      <c r="AP469" s="554">
        <f t="shared" si="153"/>
        <v>2272</v>
      </c>
      <c r="AR469" s="619"/>
      <c r="AS469" s="548"/>
      <c r="AT469" s="548"/>
      <c r="AU469" s="554">
        <f t="shared" si="154"/>
        <v>2272</v>
      </c>
      <c r="AW469" s="619"/>
      <c r="AX469" s="548"/>
      <c r="AY469" s="548"/>
      <c r="AZ469" s="548"/>
      <c r="BA469" s="548"/>
      <c r="BB469" s="620">
        <f t="shared" si="155"/>
        <v>94.6666666666667</v>
      </c>
      <c r="BQ469" s="554">
        <f t="shared" si="156"/>
        <v>142</v>
      </c>
      <c r="BY469" s="619"/>
      <c r="BZ469" s="548"/>
      <c r="CA469" s="621"/>
      <c r="CB469" s="567"/>
      <c r="CC469" s="622"/>
      <c r="CD469" s="619"/>
      <c r="CE469" s="619"/>
      <c r="CF469" s="548"/>
      <c r="CG469" s="548"/>
      <c r="CU469" s="554">
        <f t="shared" si="157"/>
        <v>142</v>
      </c>
      <c r="CV469" s="554">
        <f t="shared" si="145"/>
        <v>0</v>
      </c>
      <c r="CW469" s="554">
        <f t="shared" si="146"/>
        <v>0</v>
      </c>
      <c r="CX469" s="619"/>
      <c r="CY469" s="619"/>
      <c r="CZ469" s="619"/>
      <c r="DA469" s="548"/>
      <c r="DB469" s="548"/>
      <c r="DC469" s="548"/>
      <c r="DD469" s="619"/>
      <c r="DE469" s="619"/>
      <c r="DF469" s="619"/>
      <c r="DG469" s="619"/>
      <c r="DH469" s="619"/>
    </row>
    <row r="470" s="548" customFormat="1" ht="31" customHeight="1" spans="1:112">
      <c r="A470" s="608">
        <v>45832</v>
      </c>
      <c r="B470" s="609" t="s">
        <v>876</v>
      </c>
      <c r="C470" s="610" t="s">
        <v>98</v>
      </c>
      <c r="D470" s="554">
        <v>4500169184</v>
      </c>
      <c r="E470" s="610" t="s">
        <v>1442</v>
      </c>
      <c r="F470" s="554" t="s">
        <v>7222</v>
      </c>
      <c r="G470" s="610" t="s">
        <v>6166</v>
      </c>
      <c r="H470" s="610" t="s">
        <v>6094</v>
      </c>
      <c r="I470" s="610">
        <v>1612</v>
      </c>
      <c r="J470" s="610">
        <v>0</v>
      </c>
      <c r="K470" s="610">
        <v>13</v>
      </c>
      <c r="L470" s="611">
        <f t="shared" si="150"/>
        <v>124</v>
      </c>
      <c r="M470" s="612">
        <v>45881</v>
      </c>
      <c r="N470" s="612">
        <v>45877</v>
      </c>
      <c r="O470" s="613" t="s">
        <v>1444</v>
      </c>
      <c r="P470" s="613" t="s">
        <v>113</v>
      </c>
      <c r="Q470" s="610"/>
      <c r="R470" s="614">
        <v>45832</v>
      </c>
      <c r="S470" s="614" t="s">
        <v>70</v>
      </c>
      <c r="T470" s="614" t="s">
        <v>70</v>
      </c>
      <c r="U470" s="614"/>
      <c r="V470" s="614"/>
      <c r="W470" s="615"/>
      <c r="X470" s="609" t="s">
        <v>7223</v>
      </c>
      <c r="Y470" s="609" t="s">
        <v>1446</v>
      </c>
      <c r="Z470" s="609">
        <v>0.5528</v>
      </c>
      <c r="AA470" s="616">
        <f t="shared" si="143"/>
        <v>891.1136</v>
      </c>
      <c r="AC470" s="617" t="s">
        <v>1447</v>
      </c>
      <c r="AD470" s="610" t="s">
        <v>6257</v>
      </c>
      <c r="AE470" s="610" t="s">
        <v>82</v>
      </c>
      <c r="AF470" s="610"/>
      <c r="AG470" s="610"/>
      <c r="AH470" s="610"/>
      <c r="AI470" s="610">
        <v>1612</v>
      </c>
      <c r="AJ470" s="610">
        <f t="shared" si="151"/>
        <v>0</v>
      </c>
      <c r="AK470" s="610"/>
      <c r="AL470" s="610"/>
      <c r="AM470" s="610"/>
      <c r="AN470" s="610">
        <f t="shared" si="152"/>
        <v>1612</v>
      </c>
      <c r="AP470" s="554">
        <f t="shared" si="153"/>
        <v>1612</v>
      </c>
      <c r="AR470" s="619"/>
      <c r="AS470" s="548"/>
      <c r="AT470" s="548"/>
      <c r="AU470" s="554">
        <f t="shared" si="154"/>
        <v>1612</v>
      </c>
      <c r="AW470" s="619"/>
      <c r="AX470" s="548"/>
      <c r="AY470" s="548"/>
      <c r="AZ470" s="548"/>
      <c r="BA470" s="548"/>
      <c r="BB470" s="620">
        <f t="shared" si="155"/>
        <v>67.1666666666667</v>
      </c>
      <c r="BK470" s="554">
        <f>I470/13</f>
        <v>124</v>
      </c>
      <c r="BY470" s="619"/>
      <c r="BZ470" s="548"/>
      <c r="CA470" s="621"/>
      <c r="CB470" s="567"/>
      <c r="CC470" s="622"/>
      <c r="CD470" s="619"/>
      <c r="CE470" s="619"/>
      <c r="CF470" s="548"/>
      <c r="CG470" s="548"/>
      <c r="CU470" s="554">
        <f t="shared" si="147"/>
        <v>0</v>
      </c>
      <c r="CV470" s="554">
        <f t="shared" si="145"/>
        <v>0</v>
      </c>
      <c r="CW470" s="554">
        <f t="shared" si="146"/>
        <v>0</v>
      </c>
      <c r="CX470" s="619"/>
      <c r="CY470" s="619"/>
      <c r="CZ470" s="619"/>
      <c r="DA470" s="548"/>
      <c r="DB470" s="548"/>
      <c r="DC470" s="548"/>
      <c r="DD470" s="619"/>
      <c r="DE470" s="619"/>
      <c r="DF470" s="619"/>
      <c r="DG470" s="619"/>
      <c r="DH470" s="619"/>
    </row>
    <row r="471" s="548" customFormat="1" ht="31" customHeight="1" spans="1:112">
      <c r="A471" s="608">
        <v>45835</v>
      </c>
      <c r="B471" s="609" t="s">
        <v>3577</v>
      </c>
      <c r="C471" s="610" t="s">
        <v>170</v>
      </c>
      <c r="D471" s="554" t="s">
        <v>7224</v>
      </c>
      <c r="E471" s="610"/>
      <c r="F471" s="548"/>
      <c r="G471" s="610" t="s">
        <v>6020</v>
      </c>
      <c r="H471" s="610" t="s">
        <v>6021</v>
      </c>
      <c r="I471" s="610">
        <v>12168</v>
      </c>
      <c r="J471" s="610">
        <v>0</v>
      </c>
      <c r="K471" s="610">
        <v>36</v>
      </c>
      <c r="L471" s="611">
        <f t="shared" si="150"/>
        <v>338</v>
      </c>
      <c r="M471" s="612">
        <v>45881</v>
      </c>
      <c r="N471" s="612">
        <v>45877</v>
      </c>
      <c r="O471" s="613"/>
      <c r="P471" s="613" t="s">
        <v>113</v>
      </c>
      <c r="Q471" s="610" t="s">
        <v>7225</v>
      </c>
      <c r="R471" s="614" t="s">
        <v>1242</v>
      </c>
      <c r="S471" s="614" t="s">
        <v>70</v>
      </c>
      <c r="T471" s="614" t="s">
        <v>70</v>
      </c>
      <c r="U471" s="614"/>
      <c r="V471" s="614" t="s">
        <v>7226</v>
      </c>
      <c r="W471" s="615"/>
      <c r="X471" s="628" t="s">
        <v>7227</v>
      </c>
      <c r="Y471" s="609" t="s">
        <v>7228</v>
      </c>
      <c r="Z471" s="609">
        <v>0.8519</v>
      </c>
      <c r="AA471" s="616">
        <f t="shared" si="143"/>
        <v>10365.9192</v>
      </c>
      <c r="AC471" s="617" t="s">
        <v>7229</v>
      </c>
      <c r="AD471" s="610" t="s">
        <v>7230</v>
      </c>
      <c r="AE471" s="610" t="s">
        <v>82</v>
      </c>
      <c r="AF471" s="610"/>
      <c r="AG471" s="610"/>
      <c r="AH471" s="610"/>
      <c r="AI471" s="610">
        <v>12168</v>
      </c>
      <c r="AJ471" s="610">
        <f t="shared" ref="AJ471:AJ482" si="158">AI471-I471</f>
        <v>0</v>
      </c>
      <c r="AK471" s="610"/>
      <c r="AL471" s="610"/>
      <c r="AM471" s="610"/>
      <c r="AN471" s="610">
        <f t="shared" si="152"/>
        <v>12168</v>
      </c>
      <c r="AR471" s="619"/>
      <c r="AS471" s="554">
        <f>I471</f>
        <v>12168</v>
      </c>
      <c r="AU471" s="554">
        <f t="shared" si="154"/>
        <v>12168</v>
      </c>
      <c r="AW471" s="619"/>
      <c r="AX471" s="548"/>
      <c r="AY471" s="548"/>
      <c r="AZ471" s="548"/>
      <c r="BA471" s="548"/>
      <c r="BB471" s="620">
        <f t="shared" si="155"/>
        <v>507</v>
      </c>
      <c r="BY471" s="619"/>
      <c r="BZ471" s="548"/>
      <c r="CA471" s="621"/>
      <c r="CB471" s="567"/>
      <c r="CC471" s="622"/>
      <c r="CD471" s="619"/>
      <c r="CE471" s="619"/>
      <c r="CF471" s="548"/>
      <c r="CG471" s="548"/>
      <c r="CU471" s="554">
        <f t="shared" si="147"/>
        <v>0</v>
      </c>
      <c r="CV471" s="554">
        <f t="shared" si="145"/>
        <v>0</v>
      </c>
      <c r="CW471" s="554">
        <f t="shared" si="146"/>
        <v>0</v>
      </c>
      <c r="CX471" s="619"/>
      <c r="CY471" s="619"/>
      <c r="CZ471" s="619"/>
      <c r="DA471" s="548"/>
      <c r="DB471" s="548"/>
      <c r="DC471" s="548"/>
      <c r="DD471" s="619"/>
      <c r="DE471" s="619"/>
      <c r="DF471" s="619"/>
      <c r="DG471" s="619"/>
      <c r="DH471" s="619"/>
    </row>
    <row r="472" s="548" customFormat="1" ht="31" customHeight="1" spans="1:112">
      <c r="A472" s="608">
        <v>45842</v>
      </c>
      <c r="B472" s="609" t="s">
        <v>211</v>
      </c>
      <c r="C472" s="610" t="s">
        <v>212</v>
      </c>
      <c r="D472" s="554">
        <v>4500172706</v>
      </c>
      <c r="E472" s="610" t="s">
        <v>7231</v>
      </c>
      <c r="F472" s="554" t="s">
        <v>7232</v>
      </c>
      <c r="G472" s="610" t="s">
        <v>6040</v>
      </c>
      <c r="H472" s="610" t="s">
        <v>6041</v>
      </c>
      <c r="I472" s="610">
        <v>1040</v>
      </c>
      <c r="J472" s="610">
        <v>0</v>
      </c>
      <c r="K472" s="610">
        <v>52</v>
      </c>
      <c r="L472" s="611">
        <f t="shared" si="150"/>
        <v>20</v>
      </c>
      <c r="M472" s="612">
        <v>45881</v>
      </c>
      <c r="N472" s="612">
        <v>45877</v>
      </c>
      <c r="O472" s="613"/>
      <c r="P472" s="613" t="s">
        <v>113</v>
      </c>
      <c r="Q472" s="610"/>
      <c r="R472" s="614">
        <v>45842</v>
      </c>
      <c r="S472" s="614" t="s">
        <v>70</v>
      </c>
      <c r="T472" s="614">
        <v>45856</v>
      </c>
      <c r="U472" s="614"/>
      <c r="V472" s="614" t="s">
        <v>1848</v>
      </c>
      <c r="W472" s="615"/>
      <c r="X472" s="609" t="s">
        <v>7233</v>
      </c>
      <c r="Y472" s="609" t="s">
        <v>1793</v>
      </c>
      <c r="Z472" s="609">
        <v>0.8951</v>
      </c>
      <c r="AA472" s="616">
        <f t="shared" si="143"/>
        <v>930.904</v>
      </c>
      <c r="AC472" s="629" t="s">
        <v>7234</v>
      </c>
      <c r="AD472" s="610" t="s">
        <v>6040</v>
      </c>
      <c r="AE472" s="610" t="s">
        <v>82</v>
      </c>
      <c r="AF472" s="610"/>
      <c r="AG472" s="610"/>
      <c r="AH472" s="610"/>
      <c r="AI472" s="610">
        <v>1040</v>
      </c>
      <c r="AJ472" s="610">
        <f t="shared" si="158"/>
        <v>0</v>
      </c>
      <c r="AK472" s="610"/>
      <c r="AL472" s="610"/>
      <c r="AM472" s="610"/>
      <c r="AN472" s="610"/>
      <c r="AO472" s="554">
        <f>I472</f>
        <v>1040</v>
      </c>
      <c r="AR472" s="619"/>
      <c r="AS472" s="548"/>
      <c r="AT472" s="554">
        <f>I472</f>
        <v>1040</v>
      </c>
      <c r="AV472" s="554">
        <f>I472</f>
        <v>1040</v>
      </c>
      <c r="AW472" s="619"/>
      <c r="AX472" s="548"/>
      <c r="AY472" s="548"/>
      <c r="AZ472" s="548"/>
      <c r="BA472" s="548"/>
      <c r="BB472" s="620">
        <f t="shared" si="155"/>
        <v>43.3333333333333</v>
      </c>
      <c r="BM472" s="554">
        <f>I472/13</f>
        <v>80</v>
      </c>
      <c r="BY472" s="619"/>
      <c r="BZ472" s="548"/>
      <c r="CA472" s="621"/>
      <c r="CB472" s="567"/>
      <c r="CC472" s="622"/>
      <c r="CD472" s="619"/>
      <c r="CE472" s="619"/>
      <c r="CF472" s="548"/>
      <c r="CG472" s="548"/>
      <c r="CU472" s="554">
        <f t="shared" si="147"/>
        <v>0</v>
      </c>
      <c r="CV472" s="554">
        <f t="shared" si="145"/>
        <v>0</v>
      </c>
      <c r="CW472" s="554">
        <f t="shared" si="146"/>
        <v>0</v>
      </c>
      <c r="CX472" s="619"/>
      <c r="CY472" s="619"/>
      <c r="CZ472" s="619"/>
      <c r="DA472" s="548"/>
      <c r="DB472" s="548"/>
      <c r="DC472" s="548"/>
      <c r="DD472" s="619"/>
      <c r="DE472" s="619"/>
      <c r="DF472" s="619"/>
      <c r="DG472" s="619"/>
      <c r="DH472" s="619"/>
    </row>
    <row r="473" s="548" customFormat="1" ht="31" customHeight="1" spans="1:112">
      <c r="A473" s="608">
        <v>45826</v>
      </c>
      <c r="B473" s="609" t="s">
        <v>3577</v>
      </c>
      <c r="C473" s="610" t="s">
        <v>170</v>
      </c>
      <c r="D473" s="554">
        <v>4500170454</v>
      </c>
      <c r="E473" s="610">
        <v>2700951508</v>
      </c>
      <c r="F473" s="554" t="s">
        <v>7235</v>
      </c>
      <c r="G473" s="610" t="s">
        <v>6084</v>
      </c>
      <c r="H473" s="610" t="s">
        <v>6069</v>
      </c>
      <c r="I473" s="610">
        <v>3300</v>
      </c>
      <c r="J473" s="610">
        <v>0</v>
      </c>
      <c r="K473" s="610">
        <v>25</v>
      </c>
      <c r="L473" s="611">
        <f t="shared" si="150"/>
        <v>132</v>
      </c>
      <c r="M473" s="612">
        <v>45882</v>
      </c>
      <c r="N473" s="612">
        <v>45878</v>
      </c>
      <c r="O473" s="613" t="s">
        <v>1510</v>
      </c>
      <c r="P473" s="613" t="s">
        <v>113</v>
      </c>
      <c r="Q473" s="610"/>
      <c r="R473" s="614">
        <v>45845</v>
      </c>
      <c r="S473" s="614" t="s">
        <v>70</v>
      </c>
      <c r="T473" s="614" t="s">
        <v>70</v>
      </c>
      <c r="U473" s="614"/>
      <c r="V473" s="614"/>
      <c r="W473" s="615"/>
      <c r="X473" s="609" t="s">
        <v>7236</v>
      </c>
      <c r="Y473" s="609" t="s">
        <v>175</v>
      </c>
      <c r="Z473" s="609">
        <v>0.9514</v>
      </c>
      <c r="AA473" s="616">
        <f t="shared" si="143"/>
        <v>3139.62</v>
      </c>
      <c r="AC473" s="617" t="s">
        <v>7237</v>
      </c>
      <c r="AD473" s="610" t="s">
        <v>6089</v>
      </c>
      <c r="AE473" s="610" t="s">
        <v>82</v>
      </c>
      <c r="AF473" s="610"/>
      <c r="AG473" s="610"/>
      <c r="AH473" s="610"/>
      <c r="AI473" s="610">
        <v>3300</v>
      </c>
      <c r="AJ473" s="610">
        <f t="shared" si="158"/>
        <v>0</v>
      </c>
      <c r="AK473" s="610"/>
      <c r="AL473" s="610"/>
      <c r="AM473" s="610"/>
      <c r="AN473" s="610">
        <f>I473</f>
        <v>3300</v>
      </c>
      <c r="AR473" s="619"/>
      <c r="AS473" s="554">
        <f>I473</f>
        <v>3300</v>
      </c>
      <c r="AU473" s="554">
        <f>I473</f>
        <v>3300</v>
      </c>
      <c r="AW473" s="619"/>
      <c r="AX473" s="548"/>
      <c r="AY473" s="548"/>
      <c r="AZ473" s="548"/>
      <c r="BA473" s="548"/>
      <c r="BB473" s="620">
        <f t="shared" si="155"/>
        <v>137.5</v>
      </c>
      <c r="BO473" s="554">
        <f>I473/25</f>
        <v>132</v>
      </c>
      <c r="BY473" s="619"/>
      <c r="BZ473" s="548"/>
      <c r="CA473" s="621"/>
      <c r="CB473" s="567"/>
      <c r="CC473" s="622"/>
      <c r="CD473" s="619"/>
      <c r="CE473" s="619"/>
      <c r="CF473" s="548"/>
      <c r="CG473" s="548"/>
      <c r="CU473" s="554">
        <f t="shared" si="147"/>
        <v>132</v>
      </c>
      <c r="CV473" s="554">
        <f t="shared" si="145"/>
        <v>0</v>
      </c>
      <c r="CW473" s="554">
        <f t="shared" si="146"/>
        <v>0</v>
      </c>
      <c r="CX473" s="619"/>
      <c r="CY473" s="619"/>
      <c r="CZ473" s="619"/>
      <c r="DA473" s="548"/>
      <c r="DB473" s="548"/>
      <c r="DC473" s="548"/>
      <c r="DD473" s="619"/>
      <c r="DE473" s="619"/>
      <c r="DF473" s="619"/>
      <c r="DG473" s="619"/>
      <c r="DH473" s="619"/>
    </row>
    <row r="474" s="548" customFormat="1" ht="31" customHeight="1" spans="1:112">
      <c r="A474" s="608">
        <v>45840</v>
      </c>
      <c r="B474" s="609" t="s">
        <v>3815</v>
      </c>
      <c r="C474" s="610" t="s">
        <v>98</v>
      </c>
      <c r="D474" s="554">
        <v>4500172492</v>
      </c>
      <c r="E474" s="610" t="s">
        <v>7238</v>
      </c>
      <c r="F474" s="554" t="s">
        <v>7239</v>
      </c>
      <c r="G474" s="610" t="s">
        <v>6787</v>
      </c>
      <c r="H474" s="610" t="s">
        <v>6126</v>
      </c>
      <c r="I474" s="610">
        <v>5772</v>
      </c>
      <c r="J474" s="610">
        <v>0</v>
      </c>
      <c r="K474" s="610">
        <v>12</v>
      </c>
      <c r="L474" s="611">
        <f t="shared" si="150"/>
        <v>481</v>
      </c>
      <c r="M474" s="612">
        <v>45882</v>
      </c>
      <c r="N474" s="612">
        <v>45878</v>
      </c>
      <c r="O474" s="613"/>
      <c r="P474" s="613" t="s">
        <v>113</v>
      </c>
      <c r="Q474" s="610"/>
      <c r="R474" s="614">
        <v>45840</v>
      </c>
      <c r="S474" s="614" t="s">
        <v>104</v>
      </c>
      <c r="T474" s="614">
        <v>45859</v>
      </c>
      <c r="U474" s="614"/>
      <c r="V474" s="614"/>
      <c r="W474" s="615"/>
      <c r="X474" s="609" t="s">
        <v>7007</v>
      </c>
      <c r="Y474" s="609" t="s">
        <v>125</v>
      </c>
      <c r="Z474" s="609">
        <v>1.2746</v>
      </c>
      <c r="AA474" s="616">
        <f t="shared" si="143"/>
        <v>7356.9912</v>
      </c>
      <c r="AC474" s="617" t="s">
        <v>7240</v>
      </c>
      <c r="AD474" s="610" t="s">
        <v>6128</v>
      </c>
      <c r="AE474" s="610" t="s">
        <v>82</v>
      </c>
      <c r="AF474" s="610"/>
      <c r="AG474" s="610"/>
      <c r="AH474" s="610"/>
      <c r="AI474" s="610">
        <v>5772</v>
      </c>
      <c r="AJ474" s="610">
        <f t="shared" si="158"/>
        <v>0</v>
      </c>
      <c r="AK474" s="610"/>
      <c r="AL474" s="610"/>
      <c r="AM474" s="610"/>
      <c r="AN474" s="610">
        <f>I474*2</f>
        <v>11544</v>
      </c>
      <c r="AQ474" s="554">
        <f>I474*2</f>
        <v>11544</v>
      </c>
      <c r="AR474" s="619"/>
      <c r="AS474" s="548"/>
      <c r="AT474" s="548"/>
      <c r="AU474" s="554">
        <f>I474*2</f>
        <v>11544</v>
      </c>
      <c r="AW474" s="619"/>
      <c r="AX474" s="548"/>
      <c r="AY474" s="548"/>
      <c r="AZ474" s="548"/>
      <c r="BA474" s="548"/>
      <c r="BB474" s="249">
        <f>I474/24*2</f>
        <v>481</v>
      </c>
      <c r="BY474" s="619"/>
      <c r="BZ474" s="548"/>
      <c r="CA474" s="621"/>
      <c r="CB474" s="567"/>
      <c r="CC474" s="622"/>
      <c r="CD474" s="619"/>
      <c r="CE474" s="619"/>
      <c r="CF474" s="548"/>
      <c r="CG474" s="548"/>
      <c r="CR474" s="554">
        <f>I474</f>
        <v>5772</v>
      </c>
      <c r="CS474" s="554">
        <f>I474</f>
        <v>5772</v>
      </c>
      <c r="CT474" s="554">
        <f>I474</f>
        <v>5772</v>
      </c>
      <c r="CU474" s="554">
        <f t="shared" si="147"/>
        <v>0</v>
      </c>
      <c r="CV474" s="554">
        <f t="shared" si="145"/>
        <v>0</v>
      </c>
      <c r="CW474" s="554">
        <f t="shared" si="146"/>
        <v>0</v>
      </c>
      <c r="CX474" s="619"/>
      <c r="CY474" s="619"/>
      <c r="CZ474" s="619"/>
      <c r="DA474" s="548"/>
      <c r="DB474" s="548"/>
      <c r="DC474" s="548"/>
      <c r="DD474" s="619"/>
      <c r="DE474" s="619"/>
      <c r="DF474" s="619"/>
      <c r="DG474" s="619"/>
      <c r="DH474" s="619"/>
    </row>
    <row r="475" s="548" customFormat="1" ht="31" customHeight="1" spans="1:112">
      <c r="A475" s="608">
        <v>45840</v>
      </c>
      <c r="B475" s="609" t="s">
        <v>3815</v>
      </c>
      <c r="C475" s="610" t="s">
        <v>98</v>
      </c>
      <c r="D475" s="554">
        <v>4500172492</v>
      </c>
      <c r="E475" s="610" t="s">
        <v>7241</v>
      </c>
      <c r="F475" s="554" t="s">
        <v>7242</v>
      </c>
      <c r="G475" s="610" t="s">
        <v>6787</v>
      </c>
      <c r="H475" s="610" t="s">
        <v>6126</v>
      </c>
      <c r="I475" s="610">
        <v>936</v>
      </c>
      <c r="J475" s="610">
        <v>0</v>
      </c>
      <c r="K475" s="610">
        <v>12</v>
      </c>
      <c r="L475" s="611">
        <f t="shared" si="150"/>
        <v>78</v>
      </c>
      <c r="M475" s="612">
        <v>45882</v>
      </c>
      <c r="N475" s="612">
        <v>45878</v>
      </c>
      <c r="O475" s="613"/>
      <c r="P475" s="613" t="s">
        <v>113</v>
      </c>
      <c r="Q475" s="610"/>
      <c r="R475" s="614">
        <v>45840</v>
      </c>
      <c r="S475" s="614" t="s">
        <v>104</v>
      </c>
      <c r="T475" s="614">
        <v>45859</v>
      </c>
      <c r="U475" s="614"/>
      <c r="V475" s="614"/>
      <c r="W475" s="615"/>
      <c r="X475" s="609" t="s">
        <v>7007</v>
      </c>
      <c r="Y475" s="609" t="s">
        <v>125</v>
      </c>
      <c r="Z475" s="609">
        <v>1.2969</v>
      </c>
      <c r="AA475" s="616">
        <f t="shared" si="143"/>
        <v>1213.8984</v>
      </c>
      <c r="AC475" s="617" t="s">
        <v>7243</v>
      </c>
      <c r="AD475" s="610" t="s">
        <v>6128</v>
      </c>
      <c r="AE475" s="610" t="s">
        <v>82</v>
      </c>
      <c r="AF475" s="610"/>
      <c r="AG475" s="610"/>
      <c r="AH475" s="610"/>
      <c r="AI475" s="610">
        <v>936</v>
      </c>
      <c r="AJ475" s="610">
        <f t="shared" si="158"/>
        <v>0</v>
      </c>
      <c r="AK475" s="610"/>
      <c r="AL475" s="610"/>
      <c r="AM475" s="610"/>
      <c r="AN475" s="610">
        <f>I475*2</f>
        <v>1872</v>
      </c>
      <c r="AQ475" s="554">
        <f>I475*2</f>
        <v>1872</v>
      </c>
      <c r="AR475" s="619"/>
      <c r="AS475" s="548"/>
      <c r="AT475" s="548"/>
      <c r="AU475" s="554">
        <f>I475*2</f>
        <v>1872</v>
      </c>
      <c r="AW475" s="619"/>
      <c r="AX475" s="548"/>
      <c r="AY475" s="548"/>
      <c r="AZ475" s="548"/>
      <c r="BA475" s="548"/>
      <c r="BB475" s="249">
        <f>I475/24*2</f>
        <v>78</v>
      </c>
      <c r="BY475" s="619"/>
      <c r="BZ475" s="548"/>
      <c r="CA475" s="621"/>
      <c r="CB475" s="567"/>
      <c r="CC475" s="622"/>
      <c r="CD475" s="619"/>
      <c r="CE475" s="619"/>
      <c r="CF475" s="548"/>
      <c r="CG475" s="548"/>
      <c r="CR475" s="554">
        <f>I475</f>
        <v>936</v>
      </c>
      <c r="CS475" s="554">
        <f>I475</f>
        <v>936</v>
      </c>
      <c r="CT475" s="554">
        <f>I475</f>
        <v>936</v>
      </c>
      <c r="CU475" s="554">
        <f t="shared" si="147"/>
        <v>0</v>
      </c>
      <c r="CV475" s="554">
        <f t="shared" si="145"/>
        <v>0</v>
      </c>
      <c r="CW475" s="554">
        <f t="shared" si="146"/>
        <v>0</v>
      </c>
      <c r="CX475" s="619"/>
      <c r="CY475" s="619"/>
      <c r="CZ475" s="619"/>
      <c r="DA475" s="548"/>
      <c r="DB475" s="548"/>
      <c r="DC475" s="548"/>
      <c r="DD475" s="619"/>
      <c r="DE475" s="619"/>
      <c r="DF475" s="619"/>
      <c r="DG475" s="619"/>
      <c r="DH475" s="619"/>
    </row>
    <row r="476" s="548" customFormat="1" ht="31" customHeight="1" spans="1:112">
      <c r="A476" s="608">
        <v>45827</v>
      </c>
      <c r="B476" s="609" t="s">
        <v>246</v>
      </c>
      <c r="C476" s="610" t="s">
        <v>98</v>
      </c>
      <c r="D476" s="554">
        <v>4500170533</v>
      </c>
      <c r="E476" s="610" t="s">
        <v>1468</v>
      </c>
      <c r="F476" s="554" t="s">
        <v>7244</v>
      </c>
      <c r="G476" s="610" t="s">
        <v>6084</v>
      </c>
      <c r="H476" s="610" t="s">
        <v>6069</v>
      </c>
      <c r="I476" s="610">
        <v>24675</v>
      </c>
      <c r="J476" s="610">
        <v>0</v>
      </c>
      <c r="K476" s="610">
        <v>25</v>
      </c>
      <c r="L476" s="611">
        <f t="shared" si="150"/>
        <v>987</v>
      </c>
      <c r="M476" s="612">
        <v>45883</v>
      </c>
      <c r="N476" s="612">
        <v>45880</v>
      </c>
      <c r="O476" s="613"/>
      <c r="P476" s="613" t="s">
        <v>113</v>
      </c>
      <c r="Q476" s="610"/>
      <c r="R476" s="614">
        <v>45838</v>
      </c>
      <c r="S476" s="614" t="s">
        <v>104</v>
      </c>
      <c r="T476" s="614">
        <v>45862</v>
      </c>
      <c r="U476" s="614"/>
      <c r="V476" s="614"/>
      <c r="W476" s="615"/>
      <c r="X476" s="609" t="s">
        <v>7245</v>
      </c>
      <c r="Y476" s="609" t="s">
        <v>252</v>
      </c>
      <c r="Z476" s="609">
        <v>0.5486</v>
      </c>
      <c r="AA476" s="616">
        <f t="shared" si="143"/>
        <v>13536.705</v>
      </c>
      <c r="AC476" s="617" t="s">
        <v>1471</v>
      </c>
      <c r="AD476" s="610" t="s">
        <v>6084</v>
      </c>
      <c r="AE476" s="610" t="s">
        <v>82</v>
      </c>
      <c r="AF476" s="610"/>
      <c r="AG476" s="610"/>
      <c r="AH476" s="610"/>
      <c r="AI476" s="610">
        <f>24675</f>
        <v>24675</v>
      </c>
      <c r="AJ476" s="610">
        <f t="shared" si="158"/>
        <v>0</v>
      </c>
      <c r="AK476" s="610"/>
      <c r="AL476" s="610"/>
      <c r="AM476" s="610"/>
      <c r="AN476" s="610">
        <f>I476</f>
        <v>24675</v>
      </c>
      <c r="AP476" s="554">
        <f>I476</f>
        <v>24675</v>
      </c>
      <c r="AR476" s="619"/>
      <c r="AS476" s="548"/>
      <c r="AT476" s="548"/>
      <c r="AU476" s="554">
        <f>I476</f>
        <v>24675</v>
      </c>
      <c r="AW476" s="619"/>
      <c r="AX476" s="548"/>
      <c r="AY476" s="548"/>
      <c r="AZ476" s="548"/>
      <c r="BA476" s="548"/>
      <c r="BB476" s="620">
        <f>I476/24</f>
        <v>1028.125</v>
      </c>
      <c r="BN476" s="554">
        <f>I476/25</f>
        <v>987</v>
      </c>
      <c r="BY476" s="619"/>
      <c r="BZ476" s="548"/>
      <c r="CA476" s="621"/>
      <c r="CB476" s="567"/>
      <c r="CC476" s="622"/>
      <c r="CD476" s="619"/>
      <c r="CE476" s="619"/>
      <c r="CF476" s="548"/>
      <c r="CG476" s="548"/>
      <c r="CU476" s="554">
        <f t="shared" si="147"/>
        <v>987</v>
      </c>
      <c r="CV476" s="554">
        <f t="shared" si="145"/>
        <v>0</v>
      </c>
      <c r="CW476" s="554">
        <f t="shared" si="146"/>
        <v>0</v>
      </c>
      <c r="CX476" s="619"/>
      <c r="CY476" s="619"/>
      <c r="CZ476" s="619"/>
      <c r="DA476" s="548"/>
      <c r="DB476" s="548"/>
      <c r="DC476" s="548"/>
      <c r="DD476" s="619"/>
      <c r="DE476" s="619"/>
      <c r="DF476" s="619"/>
      <c r="DG476" s="619"/>
      <c r="DH476" s="619"/>
    </row>
    <row r="477" s="548" customFormat="1" ht="29" customHeight="1" spans="1:112">
      <c r="A477" s="608">
        <v>45841</v>
      </c>
      <c r="B477" s="609" t="s">
        <v>1928</v>
      </c>
      <c r="C477" s="610" t="s">
        <v>424</v>
      </c>
      <c r="D477" s="554">
        <v>4500172551</v>
      </c>
      <c r="E477" s="610"/>
      <c r="F477" s="554" t="s">
        <v>7246</v>
      </c>
      <c r="G477" s="610" t="s">
        <v>6223</v>
      </c>
      <c r="H477" s="610" t="s">
        <v>6080</v>
      </c>
      <c r="I477" s="610">
        <v>300</v>
      </c>
      <c r="J477" s="610">
        <v>0</v>
      </c>
      <c r="K477" s="610">
        <v>30</v>
      </c>
      <c r="L477" s="611">
        <f t="shared" si="150"/>
        <v>10</v>
      </c>
      <c r="M477" s="612">
        <v>45883</v>
      </c>
      <c r="N477" s="612">
        <v>45880</v>
      </c>
      <c r="O477" s="613"/>
      <c r="P477" s="613" t="s">
        <v>113</v>
      </c>
      <c r="Q477" s="610"/>
      <c r="R477" s="614">
        <v>45849</v>
      </c>
      <c r="S477" s="614" t="s">
        <v>70</v>
      </c>
      <c r="T477" s="614" t="s">
        <v>7247</v>
      </c>
      <c r="U477" s="614"/>
      <c r="V477" s="614"/>
      <c r="W477" s="615"/>
      <c r="X477" s="609" t="s">
        <v>7248</v>
      </c>
      <c r="Y477" s="609" t="s">
        <v>428</v>
      </c>
      <c r="Z477" s="609">
        <v>40.8317</v>
      </c>
      <c r="AA477" s="616">
        <f>Z477*L477</f>
        <v>408.317</v>
      </c>
      <c r="AC477" s="629" t="s">
        <v>7249</v>
      </c>
      <c r="AD477" s="610" t="s">
        <v>6223</v>
      </c>
      <c r="AE477" s="610" t="s">
        <v>82</v>
      </c>
      <c r="AF477" s="610"/>
      <c r="AG477" s="610"/>
      <c r="AH477" s="610"/>
      <c r="AI477" s="610">
        <v>300</v>
      </c>
      <c r="AJ477" s="610">
        <f t="shared" si="158"/>
        <v>0</v>
      </c>
      <c r="AK477" s="610"/>
      <c r="AL477" s="610"/>
      <c r="AM477" s="610"/>
      <c r="AN477" s="610"/>
      <c r="AO477" s="554">
        <f>I477</f>
        <v>300</v>
      </c>
      <c r="AR477" s="619"/>
      <c r="AS477" s="548"/>
      <c r="AT477" s="554">
        <f>I477</f>
        <v>300</v>
      </c>
      <c r="AV477" s="554">
        <f>I477</f>
        <v>300</v>
      </c>
      <c r="AW477" s="619"/>
      <c r="AX477" s="548"/>
      <c r="AY477" s="548"/>
      <c r="AZ477" s="548"/>
      <c r="BA477" s="548"/>
      <c r="BB477" s="620">
        <f>I477/24</f>
        <v>12.5</v>
      </c>
      <c r="BY477" s="619"/>
      <c r="BZ477" s="548"/>
      <c r="CA477" s="621"/>
      <c r="CB477" s="567"/>
      <c r="CC477" s="622"/>
      <c r="CD477" s="619"/>
      <c r="CE477" s="619"/>
      <c r="CF477" s="548"/>
      <c r="CG477" s="548"/>
      <c r="CP477" s="554">
        <f>I477/30</f>
        <v>10</v>
      </c>
      <c r="CU477" s="554">
        <f t="shared" si="147"/>
        <v>0</v>
      </c>
      <c r="CV477" s="554">
        <f t="shared" si="145"/>
        <v>10</v>
      </c>
      <c r="CW477" s="554">
        <f t="shared" si="146"/>
        <v>0</v>
      </c>
      <c r="CX477" s="619"/>
      <c r="CY477" s="619"/>
      <c r="CZ477" s="619"/>
      <c r="DA477" s="548"/>
      <c r="DB477" s="548"/>
      <c r="DC477" s="548"/>
      <c r="DD477" s="619"/>
      <c r="DE477" s="619"/>
      <c r="DF477" s="619"/>
      <c r="DG477" s="619"/>
      <c r="DH477" s="619"/>
    </row>
    <row r="478" s="548" customFormat="1" ht="31" customHeight="1" spans="1:112">
      <c r="A478" s="608">
        <v>45762</v>
      </c>
      <c r="B478" s="609" t="s">
        <v>1479</v>
      </c>
      <c r="C478" s="610" t="s">
        <v>411</v>
      </c>
      <c r="D478" s="554">
        <v>4500163718</v>
      </c>
      <c r="E478" s="610"/>
      <c r="F478" s="554" t="s">
        <v>7250</v>
      </c>
      <c r="G478" s="610" t="s">
        <v>6079</v>
      </c>
      <c r="H478" s="610" t="s">
        <v>6080</v>
      </c>
      <c r="I478" s="610">
        <v>1440</v>
      </c>
      <c r="J478" s="610">
        <v>0</v>
      </c>
      <c r="K478" s="610">
        <v>60</v>
      </c>
      <c r="L478" s="611">
        <f t="shared" si="150"/>
        <v>24</v>
      </c>
      <c r="M478" s="612">
        <v>45884</v>
      </c>
      <c r="N478" s="612">
        <v>45880</v>
      </c>
      <c r="O478" s="613"/>
      <c r="P478" s="613" t="s">
        <v>113</v>
      </c>
      <c r="Q478" s="610"/>
      <c r="R478" s="614">
        <v>45828</v>
      </c>
      <c r="S478" s="614" t="s">
        <v>70</v>
      </c>
      <c r="T478" s="614" t="s">
        <v>7251</v>
      </c>
      <c r="U478" s="614"/>
      <c r="V478" s="614" t="s">
        <v>1483</v>
      </c>
      <c r="W478" s="615"/>
      <c r="X478" s="609" t="s">
        <v>7252</v>
      </c>
      <c r="Y478" s="609" t="s">
        <v>512</v>
      </c>
      <c r="Z478" s="609">
        <v>70.6047</v>
      </c>
      <c r="AA478" s="616">
        <f>Z478*L478</f>
        <v>1694.5128</v>
      </c>
      <c r="AC478" s="629" t="s">
        <v>1485</v>
      </c>
      <c r="AD478" s="610" t="s">
        <v>6079</v>
      </c>
      <c r="AE478" s="610" t="s">
        <v>82</v>
      </c>
      <c r="AF478" s="610"/>
      <c r="AG478" s="610"/>
      <c r="AH478" s="610"/>
      <c r="AI478" s="610">
        <v>1440</v>
      </c>
      <c r="AJ478" s="610">
        <f t="shared" si="158"/>
        <v>0</v>
      </c>
      <c r="AK478" s="610"/>
      <c r="AL478" s="610"/>
      <c r="AM478" s="610"/>
      <c r="AN478" s="610"/>
      <c r="AO478" s="554">
        <f>I478</f>
        <v>1440</v>
      </c>
      <c r="AR478" s="619"/>
      <c r="AS478" s="548"/>
      <c r="AT478" s="554">
        <f>I478</f>
        <v>1440</v>
      </c>
      <c r="AV478" s="554">
        <f>I478</f>
        <v>1440</v>
      </c>
      <c r="AW478" s="619"/>
      <c r="AX478" s="548"/>
      <c r="AY478" s="548"/>
      <c r="AZ478" s="548"/>
      <c r="BA478" s="548"/>
      <c r="BB478" s="620">
        <f>I478/24</f>
        <v>60</v>
      </c>
      <c r="BY478" s="619"/>
      <c r="BZ478" s="548"/>
      <c r="CA478" s="621"/>
      <c r="CB478" s="567"/>
      <c r="CC478" s="622"/>
      <c r="CD478" s="619"/>
      <c r="CE478" s="619"/>
      <c r="CF478" s="548"/>
      <c r="CG478" s="548"/>
      <c r="CM478" s="554">
        <f>L478</f>
        <v>24</v>
      </c>
      <c r="CU478" s="554">
        <f t="shared" si="147"/>
        <v>0</v>
      </c>
      <c r="CV478" s="554">
        <f t="shared" si="145"/>
        <v>24</v>
      </c>
      <c r="CW478" s="554">
        <f t="shared" si="146"/>
        <v>0</v>
      </c>
      <c r="CX478" s="619"/>
      <c r="CY478" s="619"/>
      <c r="CZ478" s="619"/>
      <c r="DA478" s="548"/>
      <c r="DB478" s="548"/>
      <c r="DC478" s="548"/>
      <c r="DD478" s="619"/>
      <c r="DE478" s="619"/>
      <c r="DF478" s="619"/>
      <c r="DG478" s="619"/>
      <c r="DH478" s="619"/>
    </row>
    <row r="479" s="548" customFormat="1" ht="31" customHeight="1" spans="1:112">
      <c r="A479" s="608">
        <v>45762</v>
      </c>
      <c r="B479" s="609" t="s">
        <v>1479</v>
      </c>
      <c r="C479" s="610" t="s">
        <v>411</v>
      </c>
      <c r="D479" s="554">
        <v>4500163683</v>
      </c>
      <c r="E479" s="610"/>
      <c r="F479" s="554" t="s">
        <v>7253</v>
      </c>
      <c r="G479" s="610" t="s">
        <v>6079</v>
      </c>
      <c r="H479" s="610" t="s">
        <v>6080</v>
      </c>
      <c r="I479" s="610">
        <v>960</v>
      </c>
      <c r="J479" s="610">
        <v>0</v>
      </c>
      <c r="K479" s="610">
        <v>60</v>
      </c>
      <c r="L479" s="611">
        <f t="shared" si="150"/>
        <v>16</v>
      </c>
      <c r="M479" s="612">
        <v>45884</v>
      </c>
      <c r="N479" s="612">
        <v>45880</v>
      </c>
      <c r="O479" s="613"/>
      <c r="P479" s="613" t="s">
        <v>113</v>
      </c>
      <c r="Q479" s="610"/>
      <c r="R479" s="614">
        <v>45828</v>
      </c>
      <c r="S479" s="614" t="s">
        <v>70</v>
      </c>
      <c r="T479" s="614">
        <v>45863</v>
      </c>
      <c r="U479" s="614"/>
      <c r="V479" s="614" t="s">
        <v>1483</v>
      </c>
      <c r="W479" s="615"/>
      <c r="X479" s="609" t="s">
        <v>7254</v>
      </c>
      <c r="Y479" s="609" t="s">
        <v>512</v>
      </c>
      <c r="Z479" s="609">
        <v>70.6047</v>
      </c>
      <c r="AA479" s="616">
        <f>Z479*L479</f>
        <v>1129.6752</v>
      </c>
      <c r="AC479" s="629" t="s">
        <v>7255</v>
      </c>
      <c r="AD479" s="610" t="s">
        <v>6079</v>
      </c>
      <c r="AE479" s="610" t="s">
        <v>82</v>
      </c>
      <c r="AF479" s="610"/>
      <c r="AG479" s="610"/>
      <c r="AH479" s="610"/>
      <c r="AI479" s="610">
        <v>960</v>
      </c>
      <c r="AJ479" s="610">
        <f t="shared" si="158"/>
        <v>0</v>
      </c>
      <c r="AK479" s="610"/>
      <c r="AL479" s="610"/>
      <c r="AM479" s="610"/>
      <c r="AN479" s="610"/>
      <c r="AO479" s="554">
        <f>I479</f>
        <v>960</v>
      </c>
      <c r="AR479" s="619"/>
      <c r="AS479" s="548"/>
      <c r="AT479" s="554">
        <f>I479</f>
        <v>960</v>
      </c>
      <c r="AV479" s="554">
        <f>I479</f>
        <v>960</v>
      </c>
      <c r="AW479" s="619"/>
      <c r="AX479" s="548"/>
      <c r="AY479" s="548"/>
      <c r="AZ479" s="548"/>
      <c r="BA479" s="548"/>
      <c r="BB479" s="620">
        <f>I479/24</f>
        <v>40</v>
      </c>
      <c r="BY479" s="619"/>
      <c r="BZ479" s="548"/>
      <c r="CA479" s="621"/>
      <c r="CB479" s="567"/>
      <c r="CC479" s="622"/>
      <c r="CD479" s="619"/>
      <c r="CE479" s="619"/>
      <c r="CF479" s="548"/>
      <c r="CG479" s="548"/>
      <c r="CM479" s="554">
        <f>L479</f>
        <v>16</v>
      </c>
      <c r="CU479" s="554">
        <f t="shared" si="147"/>
        <v>0</v>
      </c>
      <c r="CV479" s="554">
        <f t="shared" si="145"/>
        <v>16</v>
      </c>
      <c r="CW479" s="554">
        <f t="shared" si="146"/>
        <v>0</v>
      </c>
      <c r="CX479" s="619"/>
      <c r="CY479" s="619"/>
      <c r="CZ479" s="619"/>
      <c r="DA479" s="548"/>
      <c r="DB479" s="548"/>
      <c r="DC479" s="548"/>
      <c r="DD479" s="619"/>
      <c r="DE479" s="619"/>
      <c r="DF479" s="619"/>
      <c r="DG479" s="619"/>
      <c r="DH479" s="619"/>
    </row>
    <row r="480" s="548" customFormat="1" ht="31" customHeight="1" spans="1:112">
      <c r="A480" s="608">
        <v>45840</v>
      </c>
      <c r="B480" s="609" t="s">
        <v>1906</v>
      </c>
      <c r="C480" s="610" t="s">
        <v>154</v>
      </c>
      <c r="D480" s="554">
        <v>4500172400</v>
      </c>
      <c r="E480" s="610">
        <v>5200007029</v>
      </c>
      <c r="F480" s="554" t="s">
        <v>7256</v>
      </c>
      <c r="G480" s="610" t="s">
        <v>7257</v>
      </c>
      <c r="H480" s="610" t="s">
        <v>6126</v>
      </c>
      <c r="I480" s="610">
        <v>504</v>
      </c>
      <c r="J480" s="610">
        <v>0</v>
      </c>
      <c r="K480" s="610">
        <v>12</v>
      </c>
      <c r="L480" s="611">
        <f t="shared" si="150"/>
        <v>42</v>
      </c>
      <c r="M480" s="612">
        <v>45884</v>
      </c>
      <c r="N480" s="612">
        <v>45880</v>
      </c>
      <c r="O480" s="613"/>
      <c r="P480" s="613" t="s">
        <v>113</v>
      </c>
      <c r="Q480" s="610"/>
      <c r="R480" s="614">
        <v>45840</v>
      </c>
      <c r="S480" s="614" t="s">
        <v>70</v>
      </c>
      <c r="T480" s="614">
        <v>45869</v>
      </c>
      <c r="U480" s="614"/>
      <c r="V480" s="614"/>
      <c r="W480" s="615"/>
      <c r="X480" s="609" t="s">
        <v>7258</v>
      </c>
      <c r="Y480" s="609" t="s">
        <v>6211</v>
      </c>
      <c r="Z480" s="609">
        <v>2.1257</v>
      </c>
      <c r="AA480" s="616">
        <f>Z480*I480</f>
        <v>1071.3528</v>
      </c>
      <c r="AC480" s="629" t="s">
        <v>7259</v>
      </c>
      <c r="AD480" s="610" t="s">
        <v>6368</v>
      </c>
      <c r="AE480" s="610" t="s">
        <v>82</v>
      </c>
      <c r="AF480" s="610"/>
      <c r="AG480" s="610"/>
      <c r="AH480" s="610"/>
      <c r="AI480" s="610">
        <v>504</v>
      </c>
      <c r="AJ480" s="610">
        <f t="shared" si="158"/>
        <v>0</v>
      </c>
      <c r="AK480" s="610"/>
      <c r="AL480" s="610"/>
      <c r="AM480" s="610"/>
      <c r="AN480" s="610"/>
      <c r="AO480" s="554">
        <f>I480*2</f>
        <v>1008</v>
      </c>
      <c r="AR480" s="619"/>
      <c r="AS480" s="548"/>
      <c r="AT480" s="554">
        <f>I480*2</f>
        <v>1008</v>
      </c>
      <c r="AV480" s="554">
        <f>I480*2</f>
        <v>1008</v>
      </c>
      <c r="AW480" s="619"/>
      <c r="AX480" s="548"/>
      <c r="AY480" s="548"/>
      <c r="AZ480" s="548"/>
      <c r="BA480" s="548"/>
      <c r="BB480" s="249">
        <f>I480/24*2</f>
        <v>42</v>
      </c>
      <c r="BY480" s="619"/>
      <c r="BZ480" s="548"/>
      <c r="CA480" s="621"/>
      <c r="CB480" s="567"/>
      <c r="CC480" s="622"/>
      <c r="CD480" s="619"/>
      <c r="CE480" s="619"/>
      <c r="CF480" s="548"/>
      <c r="CG480" s="548"/>
      <c r="CR480" s="554">
        <f>I480</f>
        <v>504</v>
      </c>
      <c r="CS480" s="554">
        <f>I480</f>
        <v>504</v>
      </c>
      <c r="CT480" s="554">
        <f>I480</f>
        <v>504</v>
      </c>
      <c r="CU480" s="554">
        <f t="shared" si="147"/>
        <v>0</v>
      </c>
      <c r="CV480" s="554">
        <f t="shared" si="145"/>
        <v>0</v>
      </c>
      <c r="CW480" s="554">
        <f t="shared" si="146"/>
        <v>0</v>
      </c>
      <c r="CX480" s="619"/>
      <c r="CY480" s="619"/>
      <c r="CZ480" s="619"/>
      <c r="DA480" s="548"/>
      <c r="DB480" s="548"/>
      <c r="DC480" s="548"/>
      <c r="DD480" s="619"/>
      <c r="DE480" s="619"/>
      <c r="DF480" s="619"/>
      <c r="DG480" s="619"/>
      <c r="DH480" s="619"/>
    </row>
    <row r="481" s="548" customFormat="1" ht="31" customHeight="1" spans="1:112">
      <c r="A481" s="608">
        <v>45845</v>
      </c>
      <c r="B481" s="609" t="s">
        <v>135</v>
      </c>
      <c r="C481" s="610" t="s">
        <v>128</v>
      </c>
      <c r="D481" s="554">
        <v>4500172944</v>
      </c>
      <c r="E481" s="610">
        <v>20977417</v>
      </c>
      <c r="F481" s="554" t="s">
        <v>7260</v>
      </c>
      <c r="G481" s="610" t="s">
        <v>6093</v>
      </c>
      <c r="H481" s="610" t="s">
        <v>6094</v>
      </c>
      <c r="I481" s="610">
        <v>1950</v>
      </c>
      <c r="J481" s="610">
        <v>0</v>
      </c>
      <c r="K481" s="610">
        <v>13</v>
      </c>
      <c r="L481" s="611">
        <f t="shared" si="150"/>
        <v>150</v>
      </c>
      <c r="M481" s="612">
        <v>45887</v>
      </c>
      <c r="N481" s="612">
        <v>45883</v>
      </c>
      <c r="O481" s="613"/>
      <c r="P481" s="613" t="s">
        <v>113</v>
      </c>
      <c r="Q481" s="610"/>
      <c r="R481" s="614">
        <v>45856</v>
      </c>
      <c r="S481" s="614" t="s">
        <v>104</v>
      </c>
      <c r="T481" s="614">
        <v>45866</v>
      </c>
      <c r="U481" s="614"/>
      <c r="V481" s="614"/>
      <c r="W481" s="615"/>
      <c r="X481" s="609" t="s">
        <v>6813</v>
      </c>
      <c r="Y481" s="609" t="s">
        <v>133</v>
      </c>
      <c r="Z481" s="609">
        <v>0.9475</v>
      </c>
      <c r="AA481" s="616">
        <f>Z481*I481</f>
        <v>1847.625</v>
      </c>
      <c r="AC481" s="629" t="s">
        <v>7261</v>
      </c>
      <c r="AD481" s="610" t="s">
        <v>6093</v>
      </c>
      <c r="AE481" s="610" t="s">
        <v>82</v>
      </c>
      <c r="AF481" s="610"/>
      <c r="AG481" s="610"/>
      <c r="AH481" s="610"/>
      <c r="AI481" s="610">
        <v>1950</v>
      </c>
      <c r="AJ481" s="610">
        <f t="shared" si="158"/>
        <v>0</v>
      </c>
      <c r="AK481" s="610"/>
      <c r="AL481" s="610"/>
      <c r="AM481" s="610"/>
      <c r="AN481" s="610"/>
      <c r="AO481" s="554">
        <f>I481</f>
        <v>1950</v>
      </c>
      <c r="AR481" s="619"/>
      <c r="AS481" s="548"/>
      <c r="AT481" s="554">
        <f>I481</f>
        <v>1950</v>
      </c>
      <c r="AV481" s="554">
        <f>I481</f>
        <v>1950</v>
      </c>
      <c r="AW481" s="619"/>
      <c r="AX481" s="548"/>
      <c r="AY481" s="548"/>
      <c r="AZ481" s="548"/>
      <c r="BA481" s="548"/>
      <c r="BB481" s="620">
        <f>I481/24</f>
        <v>81.25</v>
      </c>
      <c r="BM481" s="554">
        <f>I481/13</f>
        <v>150</v>
      </c>
      <c r="BY481" s="619"/>
      <c r="BZ481" s="548"/>
      <c r="CA481" s="621"/>
      <c r="CB481" s="567"/>
      <c r="CC481" s="622"/>
      <c r="CD481" s="619"/>
      <c r="CE481" s="619"/>
      <c r="CF481" s="548"/>
      <c r="CG481" s="548"/>
      <c r="CU481" s="554">
        <f t="shared" si="147"/>
        <v>0</v>
      </c>
      <c r="CV481" s="554">
        <f t="shared" si="145"/>
        <v>0</v>
      </c>
      <c r="CW481" s="554">
        <f t="shared" si="146"/>
        <v>0</v>
      </c>
      <c r="CX481" s="619"/>
      <c r="CY481" s="619"/>
      <c r="CZ481" s="619"/>
      <c r="DA481" s="548"/>
      <c r="DB481" s="548"/>
      <c r="DC481" s="548"/>
      <c r="DD481" s="619"/>
      <c r="DE481" s="619"/>
      <c r="DF481" s="619"/>
      <c r="DG481" s="619"/>
      <c r="DH481" s="619"/>
    </row>
    <row r="482" s="548" customFormat="1" ht="31" customHeight="1" spans="1:112">
      <c r="A482" s="608">
        <v>45845</v>
      </c>
      <c r="B482" s="609" t="s">
        <v>139</v>
      </c>
      <c r="C482" s="610" t="s">
        <v>76</v>
      </c>
      <c r="D482" s="554">
        <v>4500172946</v>
      </c>
      <c r="E482" s="610">
        <v>20977420</v>
      </c>
      <c r="F482" s="554" t="s">
        <v>7262</v>
      </c>
      <c r="G482" s="610" t="s">
        <v>6093</v>
      </c>
      <c r="H482" s="610" t="s">
        <v>6094</v>
      </c>
      <c r="I482" s="610">
        <v>143</v>
      </c>
      <c r="J482" s="610">
        <v>0</v>
      </c>
      <c r="K482" s="610">
        <v>13</v>
      </c>
      <c r="L482" s="611">
        <f t="shared" si="150"/>
        <v>11</v>
      </c>
      <c r="M482" s="612">
        <v>45887</v>
      </c>
      <c r="N482" s="612">
        <v>45883</v>
      </c>
      <c r="O482" s="613"/>
      <c r="P482" s="613" t="s">
        <v>113</v>
      </c>
      <c r="Q482" s="610"/>
      <c r="R482" s="614">
        <v>45856</v>
      </c>
      <c r="S482" s="614" t="s">
        <v>104</v>
      </c>
      <c r="T482" s="614">
        <v>45866</v>
      </c>
      <c r="U482" s="614"/>
      <c r="V482" s="614"/>
      <c r="W482" s="615"/>
      <c r="X482" s="609" t="s">
        <v>7012</v>
      </c>
      <c r="Y482" s="609" t="s">
        <v>133</v>
      </c>
      <c r="Z482" s="609">
        <v>0.9526</v>
      </c>
      <c r="AA482" s="616">
        <f>Z482*I482</f>
        <v>136.2218</v>
      </c>
      <c r="AC482" s="629" t="s">
        <v>7263</v>
      </c>
      <c r="AD482" s="610" t="s">
        <v>6093</v>
      </c>
      <c r="AE482" s="610" t="s">
        <v>82</v>
      </c>
      <c r="AF482" s="610"/>
      <c r="AG482" s="610"/>
      <c r="AH482" s="610"/>
      <c r="AI482" s="610">
        <v>143</v>
      </c>
      <c r="AJ482" s="610">
        <f t="shared" si="158"/>
        <v>0</v>
      </c>
      <c r="AK482" s="610"/>
      <c r="AL482" s="610"/>
      <c r="AM482" s="610"/>
      <c r="AN482" s="610"/>
      <c r="AO482" s="554">
        <f>I482</f>
        <v>143</v>
      </c>
      <c r="AR482" s="619"/>
      <c r="AS482" s="548"/>
      <c r="AT482" s="554">
        <f>I482</f>
        <v>143</v>
      </c>
      <c r="AV482" s="554">
        <f>I482</f>
        <v>143</v>
      </c>
      <c r="AW482" s="619"/>
      <c r="AX482" s="548"/>
      <c r="AY482" s="548"/>
      <c r="AZ482" s="548"/>
      <c r="BA482" s="548"/>
      <c r="BB482" s="620">
        <f>I482/24</f>
        <v>5.95833333333333</v>
      </c>
      <c r="BM482" s="554">
        <f>I482/13</f>
        <v>11</v>
      </c>
      <c r="BY482" s="619"/>
      <c r="BZ482" s="548"/>
      <c r="CA482" s="621"/>
      <c r="CB482" s="567"/>
      <c r="CC482" s="622"/>
      <c r="CD482" s="619"/>
      <c r="CE482" s="619"/>
      <c r="CF482" s="548"/>
      <c r="CG482" s="548"/>
      <c r="CU482" s="554">
        <f t="shared" si="147"/>
        <v>0</v>
      </c>
      <c r="CV482" s="554">
        <f t="shared" si="145"/>
        <v>0</v>
      </c>
      <c r="CW482" s="554">
        <f t="shared" si="146"/>
        <v>0</v>
      </c>
      <c r="CX482" s="619"/>
      <c r="CY482" s="619"/>
      <c r="CZ482" s="619"/>
      <c r="DA482" s="548"/>
      <c r="DB482" s="548"/>
      <c r="DC482" s="548"/>
      <c r="DD482" s="619"/>
      <c r="DE482" s="619"/>
      <c r="DF482" s="619"/>
      <c r="DG482" s="619"/>
      <c r="DH482" s="619"/>
    </row>
    <row r="483" s="548" customFormat="1" ht="31" customHeight="1" spans="1:112">
      <c r="A483" s="608">
        <v>45769</v>
      </c>
      <c r="B483" s="609" t="s">
        <v>947</v>
      </c>
      <c r="C483" s="610" t="s">
        <v>278</v>
      </c>
      <c r="D483" s="554">
        <v>4500164549</v>
      </c>
      <c r="E483" s="610" t="s">
        <v>1378</v>
      </c>
      <c r="F483" s="554" t="s">
        <v>1379</v>
      </c>
      <c r="G483" s="610">
        <v>77711</v>
      </c>
      <c r="H483" s="610" t="s">
        <v>6033</v>
      </c>
      <c r="I483" s="610">
        <v>1800</v>
      </c>
      <c r="J483" s="610">
        <v>0</v>
      </c>
      <c r="K483" s="610">
        <v>75</v>
      </c>
      <c r="L483" s="611">
        <f t="shared" si="150"/>
        <v>24</v>
      </c>
      <c r="M483" s="612">
        <v>45868</v>
      </c>
      <c r="N483" s="612">
        <v>45864</v>
      </c>
      <c r="O483" s="613"/>
      <c r="P483" s="613" t="s">
        <v>113</v>
      </c>
      <c r="Q483" s="610"/>
      <c r="R483" s="614">
        <v>45834</v>
      </c>
      <c r="S483" s="614" t="s">
        <v>70</v>
      </c>
      <c r="T483" s="614" t="s">
        <v>70</v>
      </c>
      <c r="U483" s="614"/>
      <c r="V483" s="614"/>
      <c r="W483" s="615"/>
      <c r="X483" s="609" t="s">
        <v>1380</v>
      </c>
      <c r="Y483" s="609" t="s">
        <v>244</v>
      </c>
      <c r="Z483" s="609">
        <v>762.5</v>
      </c>
      <c r="AA483" s="616">
        <f>Z483*L483</f>
        <v>18300</v>
      </c>
      <c r="AC483" s="629" t="s">
        <v>1381</v>
      </c>
      <c r="AD483" s="610" t="s">
        <v>829</v>
      </c>
      <c r="AE483" s="610" t="s">
        <v>82</v>
      </c>
      <c r="AF483" s="610"/>
      <c r="AG483" s="610"/>
      <c r="AH483" s="610"/>
      <c r="AI483" s="610">
        <v>0</v>
      </c>
      <c r="AJ483" s="610">
        <v>0</v>
      </c>
      <c r="AK483" s="610"/>
      <c r="AL483" s="610"/>
      <c r="AM483" s="610"/>
      <c r="AN483" s="610"/>
      <c r="AO483" s="554">
        <f>I483*3</f>
        <v>5400</v>
      </c>
      <c r="AR483" s="619"/>
      <c r="AS483" s="548"/>
      <c r="AT483" s="548"/>
      <c r="AU483" s="548"/>
      <c r="AV483" s="548"/>
      <c r="AW483" s="619"/>
      <c r="AX483" s="548"/>
      <c r="AY483" s="548"/>
      <c r="AZ483" s="548"/>
      <c r="BA483" s="548"/>
      <c r="BB483" s="620">
        <f>I483/24*3</f>
        <v>225</v>
      </c>
      <c r="BF483" s="554">
        <f>I483*3</f>
        <v>5400</v>
      </c>
      <c r="BH483" s="554">
        <f>I483*3</f>
        <v>5400</v>
      </c>
      <c r="BI483" s="554">
        <f>I483/3</f>
        <v>600</v>
      </c>
      <c r="BJ483" s="554">
        <f>I483/5</f>
        <v>360</v>
      </c>
      <c r="BY483" s="619"/>
      <c r="BZ483" s="548"/>
      <c r="CA483" s="621"/>
      <c r="CB483" s="567"/>
      <c r="CC483" s="622"/>
      <c r="CD483" s="619"/>
      <c r="CE483" s="619"/>
      <c r="CF483" s="548"/>
      <c r="CG483" s="548"/>
      <c r="CU483" s="554">
        <f t="shared" si="147"/>
        <v>0</v>
      </c>
      <c r="CV483" s="554">
        <f t="shared" si="145"/>
        <v>0</v>
      </c>
      <c r="CW483" s="554">
        <f t="shared" si="146"/>
        <v>0</v>
      </c>
      <c r="CX483" s="619"/>
      <c r="CY483" s="619"/>
      <c r="CZ483" s="619"/>
      <c r="DA483" s="548"/>
      <c r="DB483" s="548"/>
      <c r="DC483" s="548"/>
      <c r="DD483" s="619"/>
      <c r="DE483" s="619"/>
      <c r="DF483" s="619"/>
      <c r="DG483" s="619"/>
      <c r="DH483" s="619"/>
    </row>
    <row r="484" s="548" customFormat="1" ht="31" customHeight="1" spans="1:112">
      <c r="A484" s="608">
        <v>45869</v>
      </c>
      <c r="B484" s="609" t="s">
        <v>1429</v>
      </c>
      <c r="C484" s="610" t="s">
        <v>411</v>
      </c>
      <c r="D484" s="554">
        <v>4500175657</v>
      </c>
      <c r="E484" s="610">
        <v>5200007336</v>
      </c>
      <c r="F484" s="554" t="s">
        <v>7264</v>
      </c>
      <c r="G484" s="610" t="s">
        <v>7265</v>
      </c>
      <c r="H484" s="610" t="s">
        <v>1432</v>
      </c>
      <c r="I484" s="610">
        <v>100</v>
      </c>
      <c r="J484" s="610">
        <v>0</v>
      </c>
      <c r="K484" s="610">
        <v>50</v>
      </c>
      <c r="L484" s="611">
        <f t="shared" si="150"/>
        <v>2</v>
      </c>
      <c r="M484" s="612">
        <v>45871</v>
      </c>
      <c r="N484" s="612">
        <f>M484-4</f>
        <v>45867</v>
      </c>
      <c r="O484" s="613"/>
      <c r="P484" s="613" t="s">
        <v>113</v>
      </c>
      <c r="Q484" s="610"/>
      <c r="R484" s="614">
        <v>45869</v>
      </c>
      <c r="S484" s="614" t="s">
        <v>70</v>
      </c>
      <c r="T484" s="614" t="s">
        <v>70</v>
      </c>
      <c r="U484" s="614"/>
      <c r="V484" s="614"/>
      <c r="W484" s="615"/>
      <c r="X484" s="609" t="s">
        <v>1433</v>
      </c>
      <c r="Y484" s="609" t="s">
        <v>415</v>
      </c>
      <c r="Z484" s="609">
        <v>0.0662</v>
      </c>
      <c r="AA484" s="616">
        <f>Z484*I484</f>
        <v>6.62</v>
      </c>
      <c r="AC484" s="617"/>
      <c r="AD484" s="610" t="s">
        <v>73</v>
      </c>
      <c r="AE484" s="610" t="s">
        <v>73</v>
      </c>
      <c r="AF484" s="610"/>
      <c r="AG484" s="610"/>
      <c r="AH484" s="610"/>
      <c r="AI484" s="610"/>
      <c r="AJ484" s="610">
        <v>0</v>
      </c>
      <c r="AK484" s="610"/>
      <c r="AL484" s="610"/>
      <c r="AM484" s="610"/>
      <c r="AN484" s="610"/>
      <c r="AO484" s="548"/>
      <c r="AP484" s="548"/>
      <c r="AQ484" s="548"/>
      <c r="AR484" s="619"/>
      <c r="AS484" s="548"/>
      <c r="AT484" s="548"/>
      <c r="AU484" s="548"/>
      <c r="AV484" s="548"/>
      <c r="AW484" s="619"/>
      <c r="AX484" s="548"/>
      <c r="AY484" s="548"/>
      <c r="AZ484" s="548"/>
      <c r="BA484" s="548"/>
      <c r="BB484" s="620"/>
      <c r="BC484" s="548"/>
      <c r="BD484" s="548"/>
      <c r="BE484" s="548"/>
      <c r="BF484" s="548"/>
      <c r="BM484" s="554">
        <v>100</v>
      </c>
      <c r="BN484" s="548"/>
      <c r="BO484" s="548"/>
      <c r="BP484" s="548"/>
      <c r="BQ484" s="548"/>
      <c r="BR484" s="548"/>
      <c r="BS484" s="548"/>
      <c r="BT484" s="548"/>
      <c r="BY484" s="619"/>
      <c r="BZ484" s="548"/>
      <c r="CA484" s="621"/>
      <c r="CB484" s="567"/>
      <c r="CC484" s="622"/>
      <c r="CD484" s="619"/>
      <c r="CE484" s="619"/>
      <c r="CF484" s="548"/>
      <c r="CG484" s="548"/>
      <c r="CU484" s="554">
        <f t="shared" si="147"/>
        <v>0</v>
      </c>
      <c r="CV484" s="554">
        <f t="shared" si="145"/>
        <v>0</v>
      </c>
      <c r="CW484" s="554">
        <f t="shared" si="146"/>
        <v>0</v>
      </c>
      <c r="CX484" s="619"/>
      <c r="CY484" s="619"/>
      <c r="CZ484" s="619"/>
      <c r="DA484" s="548"/>
      <c r="DB484" s="548"/>
      <c r="DC484" s="548"/>
      <c r="DD484" s="619"/>
      <c r="DE484" s="619"/>
      <c r="DF484" s="619"/>
      <c r="DG484" s="619"/>
      <c r="DH484" s="619"/>
    </row>
    <row r="485" s="548" customFormat="1" ht="31" customHeight="1" spans="1:112">
      <c r="A485" s="608">
        <v>45762</v>
      </c>
      <c r="B485" s="609" t="s">
        <v>1479</v>
      </c>
      <c r="C485" s="610" t="s">
        <v>411</v>
      </c>
      <c r="D485" s="554">
        <v>4500163718</v>
      </c>
      <c r="E485" s="610"/>
      <c r="F485" s="554" t="s">
        <v>1480</v>
      </c>
      <c r="G485" s="610" t="s">
        <v>6411</v>
      </c>
      <c r="H485" s="610" t="s">
        <v>509</v>
      </c>
      <c r="I485" s="610">
        <v>720</v>
      </c>
      <c r="J485" s="610">
        <v>0</v>
      </c>
      <c r="K485" s="610">
        <v>90</v>
      </c>
      <c r="L485" s="611">
        <f t="shared" si="150"/>
        <v>8</v>
      </c>
      <c r="M485" s="612">
        <v>45884</v>
      </c>
      <c r="N485" s="612">
        <v>45880</v>
      </c>
      <c r="O485" s="613"/>
      <c r="P485" s="613" t="s">
        <v>113</v>
      </c>
      <c r="Q485" s="610"/>
      <c r="R485" s="614">
        <v>45828</v>
      </c>
      <c r="S485" s="614" t="s">
        <v>70</v>
      </c>
      <c r="T485" s="614" t="s">
        <v>1482</v>
      </c>
      <c r="U485" s="614"/>
      <c r="V485" s="614" t="s">
        <v>1483</v>
      </c>
      <c r="W485" s="615"/>
      <c r="X485" s="609" t="s">
        <v>1484</v>
      </c>
      <c r="Y485" s="609" t="s">
        <v>512</v>
      </c>
      <c r="Z485" s="609">
        <v>179.8535</v>
      </c>
      <c r="AA485" s="616">
        <f>Z485*L485</f>
        <v>1438.828</v>
      </c>
      <c r="AC485" s="629" t="s">
        <v>1485</v>
      </c>
      <c r="AD485" s="610" t="s">
        <v>6411</v>
      </c>
      <c r="AE485" s="610" t="s">
        <v>82</v>
      </c>
      <c r="AF485" s="610"/>
      <c r="AG485" s="610"/>
      <c r="AH485" s="610"/>
      <c r="AI485" s="610">
        <v>720</v>
      </c>
      <c r="AJ485" s="610">
        <f>AI485-I485</f>
        <v>0</v>
      </c>
      <c r="AK485" s="610"/>
      <c r="AL485" s="610"/>
      <c r="AM485" s="610"/>
      <c r="AN485" s="610"/>
      <c r="AO485" s="554">
        <f>I485</f>
        <v>720</v>
      </c>
      <c r="AR485" s="619"/>
      <c r="AS485" s="548"/>
      <c r="AT485" s="554">
        <f>I485</f>
        <v>720</v>
      </c>
      <c r="AV485" s="554">
        <f>I485</f>
        <v>720</v>
      </c>
      <c r="AW485" s="619"/>
      <c r="AX485" s="548"/>
      <c r="AY485" s="548"/>
      <c r="AZ485" s="548"/>
      <c r="BA485" s="548"/>
      <c r="BB485" s="620">
        <f>I485/24</f>
        <v>30</v>
      </c>
      <c r="BY485" s="619"/>
      <c r="BZ485" s="548"/>
      <c r="CA485" s="621"/>
      <c r="CB485" s="567"/>
      <c r="CC485" s="622"/>
      <c r="CD485" s="619"/>
      <c r="CE485" s="619"/>
      <c r="CF485" s="548"/>
      <c r="CG485" s="548"/>
      <c r="CJ485" s="554">
        <f>L485</f>
        <v>8</v>
      </c>
      <c r="CU485" s="554">
        <f t="shared" si="147"/>
        <v>0</v>
      </c>
      <c r="CV485" s="554">
        <f t="shared" si="145"/>
        <v>0</v>
      </c>
      <c r="CW485" s="554">
        <f t="shared" si="146"/>
        <v>8</v>
      </c>
      <c r="CX485" s="619"/>
      <c r="CY485" s="619"/>
      <c r="CZ485" s="619"/>
      <c r="DA485" s="548"/>
      <c r="DB485" s="548"/>
      <c r="DC485" s="548"/>
      <c r="DD485" s="619"/>
      <c r="DE485" s="619"/>
      <c r="DF485" s="619"/>
      <c r="DG485" s="619"/>
      <c r="DH485" s="619"/>
    </row>
    <row r="486" s="548" customFormat="1" ht="31" customHeight="1" spans="1:112">
      <c r="A486" s="608">
        <v>45870</v>
      </c>
      <c r="B486" s="609"/>
      <c r="C486" s="610"/>
      <c r="D486" s="554" t="s">
        <v>7266</v>
      </c>
      <c r="E486" s="610"/>
      <c r="F486" s="548"/>
      <c r="G486" s="610" t="s">
        <v>7267</v>
      </c>
      <c r="H486" s="610" t="s">
        <v>7268</v>
      </c>
      <c r="I486" s="610" t="s">
        <v>7269</v>
      </c>
      <c r="J486" s="610"/>
      <c r="K486" s="610"/>
      <c r="L486" s="611"/>
      <c r="M486" s="612">
        <v>45880</v>
      </c>
      <c r="N486" s="612">
        <v>45876</v>
      </c>
      <c r="O486" s="613"/>
      <c r="P486" s="613"/>
      <c r="Q486" s="610"/>
      <c r="R486" s="614" t="s">
        <v>1242</v>
      </c>
      <c r="S486" s="614" t="s">
        <v>70</v>
      </c>
      <c r="T486" s="614" t="s">
        <v>70</v>
      </c>
      <c r="U486" s="614"/>
      <c r="V486" s="614"/>
      <c r="W486" s="615"/>
      <c r="X486" s="609" t="s">
        <v>7270</v>
      </c>
      <c r="Y486" s="609" t="s">
        <v>92</v>
      </c>
      <c r="Z486" s="609"/>
      <c r="AA486" s="616"/>
      <c r="AC486" s="617"/>
      <c r="AD486" s="610" t="s">
        <v>73</v>
      </c>
      <c r="AE486" s="610" t="s">
        <v>73</v>
      </c>
      <c r="AF486" s="610"/>
      <c r="AG486" s="610"/>
      <c r="AH486" s="610"/>
      <c r="AI486" s="610">
        <v>15</v>
      </c>
      <c r="AJ486" s="610">
        <v>0</v>
      </c>
      <c r="AK486" s="610"/>
      <c r="AL486" s="610"/>
      <c r="AM486" s="610"/>
      <c r="AN486" s="610"/>
      <c r="AO486" s="548"/>
      <c r="AP486" s="548"/>
      <c r="AQ486" s="548"/>
      <c r="AR486" s="619"/>
      <c r="AS486" s="548"/>
      <c r="AT486" s="548"/>
      <c r="AU486" s="548"/>
      <c r="AV486" s="548"/>
      <c r="AW486" s="619"/>
      <c r="AX486" s="548"/>
      <c r="AY486" s="548"/>
      <c r="AZ486" s="548"/>
      <c r="BA486" s="548"/>
      <c r="BB486" s="620"/>
      <c r="BC486" s="548"/>
      <c r="BD486" s="548"/>
      <c r="BE486" s="548"/>
      <c r="BF486" s="548"/>
      <c r="BY486" s="619"/>
      <c r="BZ486" s="548"/>
      <c r="CA486" s="621"/>
      <c r="CB486" s="567"/>
      <c r="CC486" s="622"/>
      <c r="CD486" s="619"/>
      <c r="CE486" s="619"/>
      <c r="CF486" s="548"/>
      <c r="CG486" s="548"/>
      <c r="CU486" s="554">
        <f t="shared" si="147"/>
        <v>0</v>
      </c>
      <c r="CV486" s="554">
        <f t="shared" si="145"/>
        <v>0</v>
      </c>
      <c r="CW486" s="554">
        <f t="shared" si="146"/>
        <v>0</v>
      </c>
      <c r="CX486" s="619"/>
      <c r="CY486" s="619"/>
      <c r="CZ486" s="619"/>
      <c r="DA486" s="548"/>
      <c r="DB486" s="548"/>
      <c r="DC486" s="548"/>
      <c r="DD486" s="619"/>
      <c r="DE486" s="619"/>
      <c r="DF486" s="619"/>
      <c r="DG486" s="619"/>
      <c r="DH486" s="619"/>
    </row>
    <row r="487" s="548" customFormat="1" ht="31" customHeight="1" spans="1:112">
      <c r="A487" s="608">
        <v>45870</v>
      </c>
      <c r="B487" s="609"/>
      <c r="C487" s="610"/>
      <c r="D487" s="554" t="s">
        <v>7266</v>
      </c>
      <c r="E487" s="610"/>
      <c r="F487" s="548"/>
      <c r="G487" s="610" t="s">
        <v>6557</v>
      </c>
      <c r="H487" s="610" t="s">
        <v>7268</v>
      </c>
      <c r="I487" s="610" t="s">
        <v>7269</v>
      </c>
      <c r="J487" s="610"/>
      <c r="K487" s="610"/>
      <c r="L487" s="611"/>
      <c r="M487" s="612">
        <v>45880</v>
      </c>
      <c r="N487" s="612">
        <v>45876</v>
      </c>
      <c r="O487" s="613"/>
      <c r="P487" s="613"/>
      <c r="Q487" s="610"/>
      <c r="R487" s="614" t="s">
        <v>1242</v>
      </c>
      <c r="S487" s="614" t="s">
        <v>70</v>
      </c>
      <c r="T487" s="614" t="s">
        <v>70</v>
      </c>
      <c r="U487" s="614"/>
      <c r="V487" s="614"/>
      <c r="W487" s="615"/>
      <c r="X487" s="609" t="s">
        <v>7270</v>
      </c>
      <c r="Y487" s="609" t="s">
        <v>92</v>
      </c>
      <c r="Z487" s="609"/>
      <c r="AA487" s="616"/>
      <c r="AC487" s="617"/>
      <c r="AD487" s="610" t="s">
        <v>73</v>
      </c>
      <c r="AE487" s="610" t="s">
        <v>73</v>
      </c>
      <c r="AF487" s="610"/>
      <c r="AG487" s="610"/>
      <c r="AH487" s="610"/>
      <c r="AI487" s="610">
        <v>15</v>
      </c>
      <c r="AJ487" s="610">
        <v>0</v>
      </c>
      <c r="AK487" s="610"/>
      <c r="AL487" s="610"/>
      <c r="AM487" s="610"/>
      <c r="AN487" s="610"/>
      <c r="AO487" s="548"/>
      <c r="AP487" s="548"/>
      <c r="AQ487" s="548"/>
      <c r="AR487" s="619"/>
      <c r="AS487" s="548"/>
      <c r="AT487" s="548"/>
      <c r="AU487" s="548"/>
      <c r="AV487" s="548"/>
      <c r="AW487" s="619"/>
      <c r="AX487" s="548"/>
      <c r="AY487" s="548"/>
      <c r="AZ487" s="548"/>
      <c r="BA487" s="548"/>
      <c r="BB487" s="620"/>
      <c r="BC487" s="548"/>
      <c r="BD487" s="548"/>
      <c r="BE487" s="548"/>
      <c r="BF487" s="548"/>
      <c r="BY487" s="619"/>
      <c r="BZ487" s="548"/>
      <c r="CA487" s="621"/>
      <c r="CB487" s="567"/>
      <c r="CC487" s="622"/>
      <c r="CD487" s="619"/>
      <c r="CE487" s="619"/>
      <c r="CF487" s="548"/>
      <c r="CG487" s="548"/>
      <c r="CK487" s="554">
        <v>15</v>
      </c>
      <c r="CL487" s="548"/>
      <c r="CM487" s="548"/>
      <c r="CN487" s="548"/>
      <c r="CO487" s="548"/>
      <c r="CP487" s="548"/>
      <c r="CQ487" s="548"/>
      <c r="CR487" s="548"/>
      <c r="CS487" s="548"/>
      <c r="CT487" s="548"/>
      <c r="CU487" s="554">
        <f t="shared" si="147"/>
        <v>0</v>
      </c>
      <c r="CV487" s="554">
        <f>15</f>
        <v>15</v>
      </c>
      <c r="CW487" s="554">
        <f t="shared" si="146"/>
        <v>0</v>
      </c>
      <c r="CX487" s="619"/>
      <c r="CY487" s="619"/>
      <c r="CZ487" s="619"/>
      <c r="DA487" s="548"/>
      <c r="DB487" s="548"/>
      <c r="DC487" s="548"/>
      <c r="DD487" s="619"/>
      <c r="DE487" s="619"/>
      <c r="DF487" s="619"/>
      <c r="DG487" s="619"/>
      <c r="DH487" s="619"/>
    </row>
    <row r="488" s="548" customFormat="1" ht="31" customHeight="1" spans="1:112">
      <c r="A488" s="608">
        <v>45762</v>
      </c>
      <c r="B488" s="609" t="s">
        <v>1479</v>
      </c>
      <c r="C488" s="610" t="s">
        <v>411</v>
      </c>
      <c r="D488" s="554">
        <v>4500163648</v>
      </c>
      <c r="E488" s="610"/>
      <c r="F488" s="554" t="s">
        <v>1486</v>
      </c>
      <c r="G488" s="610" t="s">
        <v>6411</v>
      </c>
      <c r="H488" s="610" t="s">
        <v>509</v>
      </c>
      <c r="I488" s="610">
        <v>2700</v>
      </c>
      <c r="J488" s="610">
        <v>0</v>
      </c>
      <c r="K488" s="610">
        <v>90</v>
      </c>
      <c r="L488" s="611">
        <f t="shared" ref="L488:L549" si="159">I488/K488</f>
        <v>30</v>
      </c>
      <c r="M488" s="612">
        <v>45884</v>
      </c>
      <c r="N488" s="612">
        <v>45880</v>
      </c>
      <c r="O488" s="613"/>
      <c r="P488" s="613" t="s">
        <v>113</v>
      </c>
      <c r="Q488" s="610"/>
      <c r="R488" s="614">
        <v>45828</v>
      </c>
      <c r="S488" s="614" t="s">
        <v>70</v>
      </c>
      <c r="T488" s="614">
        <v>45860</v>
      </c>
      <c r="U488" s="614"/>
      <c r="V488" s="614" t="s">
        <v>1483</v>
      </c>
      <c r="W488" s="615"/>
      <c r="X488" s="628" t="s">
        <v>7271</v>
      </c>
      <c r="Y488" s="609" t="s">
        <v>512</v>
      </c>
      <c r="Z488" s="609">
        <v>171.3</v>
      </c>
      <c r="AA488" s="616">
        <f>Z488*L488</f>
        <v>5139</v>
      </c>
      <c r="AC488" s="629" t="s">
        <v>1487</v>
      </c>
      <c r="AD488" s="610" t="s">
        <v>6411</v>
      </c>
      <c r="AE488" s="610" t="s">
        <v>82</v>
      </c>
      <c r="AF488" s="610"/>
      <c r="AG488" s="610"/>
      <c r="AH488" s="610"/>
      <c r="AI488" s="610">
        <v>2700</v>
      </c>
      <c r="AJ488" s="610">
        <f>AI488-I488</f>
        <v>0</v>
      </c>
      <c r="AK488" s="610"/>
      <c r="AL488" s="610"/>
      <c r="AM488" s="610"/>
      <c r="AN488" s="610"/>
      <c r="AO488" s="554">
        <f>I488</f>
        <v>2700</v>
      </c>
      <c r="AR488" s="619"/>
      <c r="AS488" s="548"/>
      <c r="AT488" s="554">
        <f>I488</f>
        <v>2700</v>
      </c>
      <c r="AV488" s="554">
        <f>I488</f>
        <v>2700</v>
      </c>
      <c r="AW488" s="619"/>
      <c r="AX488" s="548"/>
      <c r="AY488" s="548"/>
      <c r="AZ488" s="548"/>
      <c r="BA488" s="548"/>
      <c r="BB488" s="620">
        <f>I488/24</f>
        <v>112.5</v>
      </c>
      <c r="BY488" s="619"/>
      <c r="BZ488" s="548"/>
      <c r="CA488" s="621"/>
      <c r="CB488" s="567"/>
      <c r="CC488" s="622"/>
      <c r="CD488" s="619"/>
      <c r="CE488" s="619"/>
      <c r="CF488" s="548"/>
      <c r="CG488" s="548"/>
      <c r="CJ488" s="554">
        <f>L488</f>
        <v>30</v>
      </c>
      <c r="CU488" s="554">
        <f t="shared" si="147"/>
        <v>0</v>
      </c>
      <c r="CV488" s="554">
        <f t="shared" ref="CV488:CV545" si="160">CK488+CL488+CM488+CN488+CO488+CQ488+CP488</f>
        <v>0</v>
      </c>
      <c r="CW488" s="554">
        <f t="shared" si="146"/>
        <v>30</v>
      </c>
      <c r="CX488" s="619"/>
      <c r="CY488" s="619"/>
      <c r="CZ488" s="619"/>
      <c r="DA488" s="548"/>
      <c r="DB488" s="548"/>
      <c r="DC488" s="548"/>
      <c r="DD488" s="619"/>
      <c r="DE488" s="619"/>
      <c r="DF488" s="619"/>
      <c r="DG488" s="619"/>
      <c r="DH488" s="619"/>
    </row>
    <row r="489" s="548" customFormat="1" ht="31" customHeight="1" spans="1:112">
      <c r="A489" s="608">
        <v>45678</v>
      </c>
      <c r="B489" s="609" t="s">
        <v>1492</v>
      </c>
      <c r="C489" s="610" t="s">
        <v>98</v>
      </c>
      <c r="D489" s="554">
        <v>4500156322</v>
      </c>
      <c r="E489" s="613">
        <v>10520625238</v>
      </c>
      <c r="F489" s="554" t="s">
        <v>1494</v>
      </c>
      <c r="G489" s="610" t="s">
        <v>909</v>
      </c>
      <c r="H489" s="610" t="s">
        <v>830</v>
      </c>
      <c r="I489" s="610">
        <v>72</v>
      </c>
      <c r="J489" s="610">
        <v>0</v>
      </c>
      <c r="K489" s="610">
        <v>1</v>
      </c>
      <c r="L489" s="611">
        <f t="shared" si="159"/>
        <v>72</v>
      </c>
      <c r="M489" s="612">
        <v>45888</v>
      </c>
      <c r="N489" s="612">
        <v>45884</v>
      </c>
      <c r="O489" s="613" t="s">
        <v>1495</v>
      </c>
      <c r="P489" s="613" t="s">
        <v>113</v>
      </c>
      <c r="Q489" s="610"/>
      <c r="R489" s="614">
        <v>45832</v>
      </c>
      <c r="S489" s="614" t="s">
        <v>70</v>
      </c>
      <c r="T489" s="614" t="s">
        <v>70</v>
      </c>
      <c r="U489" s="614"/>
      <c r="V489" s="614"/>
      <c r="W489" s="615"/>
      <c r="X489" s="628" t="s">
        <v>1496</v>
      </c>
      <c r="Y489" s="609" t="s">
        <v>911</v>
      </c>
      <c r="Z489" s="609">
        <v>0</v>
      </c>
      <c r="AA489" s="616">
        <f>Z489*L489</f>
        <v>0</v>
      </c>
      <c r="AC489" s="632" t="s">
        <v>1497</v>
      </c>
      <c r="AD489" s="610" t="s">
        <v>1498</v>
      </c>
      <c r="AE489" s="610" t="s">
        <v>82</v>
      </c>
      <c r="AF489" s="610"/>
      <c r="AG489" s="610"/>
      <c r="AH489" s="610"/>
      <c r="AI489" s="610">
        <v>0</v>
      </c>
      <c r="AJ489" s="610">
        <v>0</v>
      </c>
      <c r="AK489" s="610"/>
      <c r="AL489" s="610"/>
      <c r="AM489" s="610"/>
      <c r="AN489" s="610"/>
      <c r="AO489" s="548"/>
      <c r="AP489" s="548"/>
      <c r="AQ489" s="548"/>
      <c r="AR489" s="619"/>
      <c r="AS489" s="548"/>
      <c r="AT489" s="548"/>
      <c r="AU489" s="548"/>
      <c r="AV489" s="548"/>
      <c r="AW489" s="619"/>
      <c r="AX489" s="548"/>
      <c r="AY489" s="548"/>
      <c r="AZ489" s="548"/>
      <c r="BA489" s="548"/>
      <c r="BB489" s="620"/>
      <c r="BC489" s="548"/>
      <c r="BD489" s="548"/>
      <c r="BE489" s="548"/>
      <c r="BF489" s="548"/>
      <c r="BY489" s="619"/>
      <c r="BZ489" s="548"/>
      <c r="CA489" s="621"/>
      <c r="CB489" s="567"/>
      <c r="CC489" s="622"/>
      <c r="CD489" s="619"/>
      <c r="CE489" s="619"/>
      <c r="CF489" s="548"/>
      <c r="CG489" s="548"/>
      <c r="CU489" s="554">
        <f t="shared" si="147"/>
        <v>0</v>
      </c>
      <c r="CV489" s="554">
        <f t="shared" si="160"/>
        <v>0</v>
      </c>
      <c r="CW489" s="554">
        <f t="shared" si="146"/>
        <v>0</v>
      </c>
      <c r="CX489" s="619"/>
      <c r="CY489" s="619"/>
      <c r="CZ489" s="619"/>
      <c r="DA489" s="548"/>
      <c r="DB489" s="548"/>
      <c r="DC489" s="548"/>
      <c r="DD489" s="619"/>
      <c r="DE489" s="619"/>
      <c r="DF489" s="619"/>
      <c r="DG489" s="619"/>
      <c r="DH489" s="619"/>
    </row>
    <row r="490" s="548" customFormat="1" ht="31" customHeight="1" spans="1:112">
      <c r="A490" s="608">
        <v>45678</v>
      </c>
      <c r="B490" s="609" t="s">
        <v>1492</v>
      </c>
      <c r="C490" s="610" t="s">
        <v>98</v>
      </c>
      <c r="D490" s="554">
        <v>4500156322</v>
      </c>
      <c r="E490" s="613">
        <v>10520625238</v>
      </c>
      <c r="F490" s="554" t="s">
        <v>1494</v>
      </c>
      <c r="G490" s="610">
        <v>77711</v>
      </c>
      <c r="H490" s="610" t="s">
        <v>6033</v>
      </c>
      <c r="I490" s="610">
        <v>5400</v>
      </c>
      <c r="J490" s="610">
        <v>0</v>
      </c>
      <c r="K490" s="610">
        <v>75</v>
      </c>
      <c r="L490" s="611">
        <f t="shared" si="159"/>
        <v>72</v>
      </c>
      <c r="M490" s="612">
        <v>45888</v>
      </c>
      <c r="N490" s="612">
        <v>45884</v>
      </c>
      <c r="O490" s="613" t="s">
        <v>1495</v>
      </c>
      <c r="P490" s="613" t="s">
        <v>113</v>
      </c>
      <c r="Q490" s="610"/>
      <c r="R490" s="614">
        <v>45832</v>
      </c>
      <c r="S490" s="614" t="s">
        <v>70</v>
      </c>
      <c r="T490" s="614" t="s">
        <v>70</v>
      </c>
      <c r="U490" s="614"/>
      <c r="V490" s="614"/>
      <c r="W490" s="615"/>
      <c r="X490" s="609"/>
      <c r="Y490" s="609" t="s">
        <v>911</v>
      </c>
      <c r="Z490" s="609">
        <v>762.5</v>
      </c>
      <c r="AA490" s="616">
        <f>Z490*L490</f>
        <v>54900</v>
      </c>
      <c r="AC490" s="632" t="s">
        <v>1497</v>
      </c>
      <c r="AD490" s="610" t="s">
        <v>1498</v>
      </c>
      <c r="AE490" s="610" t="s">
        <v>82</v>
      </c>
      <c r="AF490" s="610"/>
      <c r="AG490" s="610"/>
      <c r="AH490" s="610"/>
      <c r="AI490" s="610">
        <v>0</v>
      </c>
      <c r="AJ490" s="610">
        <v>0</v>
      </c>
      <c r="AK490" s="610"/>
      <c r="AL490" s="610"/>
      <c r="AM490" s="610"/>
      <c r="AN490" s="610">
        <f>I490*3</f>
        <v>16200</v>
      </c>
      <c r="AR490" s="619"/>
      <c r="AS490" s="548"/>
      <c r="AT490" s="548"/>
      <c r="AU490" s="548"/>
      <c r="AV490" s="548"/>
      <c r="AW490" s="619"/>
      <c r="AX490" s="548"/>
      <c r="AY490" s="548"/>
      <c r="AZ490" s="548"/>
      <c r="BA490" s="548"/>
      <c r="BB490" s="620">
        <f>I490/24*3</f>
        <v>675</v>
      </c>
      <c r="BF490" s="554">
        <f>AN490</f>
        <v>16200</v>
      </c>
      <c r="BH490" s="554">
        <f>AN490</f>
        <v>16200</v>
      </c>
      <c r="BI490" s="554">
        <f>I490</f>
        <v>5400</v>
      </c>
      <c r="BJ490" s="554">
        <f>I490/5</f>
        <v>1080</v>
      </c>
      <c r="BY490" s="619"/>
      <c r="BZ490" s="548"/>
      <c r="CA490" s="621"/>
      <c r="CB490" s="567"/>
      <c r="CC490" s="622"/>
      <c r="CD490" s="619"/>
      <c r="CE490" s="619"/>
      <c r="CF490" s="548"/>
      <c r="CG490" s="548"/>
      <c r="CU490" s="554">
        <f t="shared" si="147"/>
        <v>0</v>
      </c>
      <c r="CV490" s="554">
        <f t="shared" si="160"/>
        <v>0</v>
      </c>
      <c r="CW490" s="554">
        <f t="shared" si="146"/>
        <v>0</v>
      </c>
      <c r="CX490" s="619"/>
      <c r="CY490" s="619"/>
      <c r="CZ490" s="619"/>
      <c r="DA490" s="548"/>
      <c r="DB490" s="548"/>
      <c r="DC490" s="548"/>
      <c r="DD490" s="619"/>
      <c r="DE490" s="619"/>
      <c r="DF490" s="619"/>
      <c r="DG490" s="619"/>
      <c r="DH490" s="619"/>
    </row>
    <row r="491" s="548" customFormat="1" ht="31" customHeight="1" spans="1:112">
      <c r="A491" s="608">
        <v>45853</v>
      </c>
      <c r="B491" s="609" t="s">
        <v>1544</v>
      </c>
      <c r="C491" s="610" t="s">
        <v>257</v>
      </c>
      <c r="D491" s="554">
        <v>4500173864</v>
      </c>
      <c r="E491" s="610">
        <v>4400494423</v>
      </c>
      <c r="F491" s="554" t="s">
        <v>7272</v>
      </c>
      <c r="G491" s="610" t="s">
        <v>6047</v>
      </c>
      <c r="H491" s="610" t="s">
        <v>6069</v>
      </c>
      <c r="I491" s="610">
        <v>4000</v>
      </c>
      <c r="J491" s="610">
        <v>0</v>
      </c>
      <c r="K491" s="610">
        <v>25</v>
      </c>
      <c r="L491" s="611">
        <f t="shared" si="159"/>
        <v>160</v>
      </c>
      <c r="M491" s="612">
        <v>45888</v>
      </c>
      <c r="N491" s="612">
        <v>45884</v>
      </c>
      <c r="O491" s="613"/>
      <c r="P491" s="613" t="s">
        <v>113</v>
      </c>
      <c r="Q491" s="610"/>
      <c r="R491" s="614">
        <v>45866</v>
      </c>
      <c r="S491" s="614" t="s">
        <v>70</v>
      </c>
      <c r="T491" s="614" t="s">
        <v>70</v>
      </c>
      <c r="U491" s="614"/>
      <c r="V491" s="614"/>
      <c r="W491" s="615"/>
      <c r="X491" s="609" t="s">
        <v>7273</v>
      </c>
      <c r="Y491" s="609" t="s">
        <v>1549</v>
      </c>
      <c r="Z491" s="609">
        <v>0.9245</v>
      </c>
      <c r="AA491" s="616">
        <f t="shared" ref="AA491:AA499" si="161">Z491*I491</f>
        <v>3698</v>
      </c>
      <c r="AC491" s="629" t="s">
        <v>7274</v>
      </c>
      <c r="AD491" s="610" t="s">
        <v>6073</v>
      </c>
      <c r="AE491" s="610" t="s">
        <v>82</v>
      </c>
      <c r="AF491" s="610"/>
      <c r="AG491" s="610"/>
      <c r="AH491" s="610"/>
      <c r="AI491" s="610">
        <f>3975+25</f>
        <v>4000</v>
      </c>
      <c r="AJ491" s="610">
        <f>AI491-I491</f>
        <v>0</v>
      </c>
      <c r="AK491" s="610"/>
      <c r="AL491" s="610"/>
      <c r="AM491" s="610"/>
      <c r="AN491" s="610"/>
      <c r="AO491" s="554">
        <f>I491</f>
        <v>4000</v>
      </c>
      <c r="AR491" s="619"/>
      <c r="AS491" s="548"/>
      <c r="AT491" s="548"/>
      <c r="AU491" s="548"/>
      <c r="AV491" s="554">
        <f>I491</f>
        <v>4000</v>
      </c>
      <c r="AW491" s="619"/>
      <c r="AX491" s="548"/>
      <c r="AY491" s="548"/>
      <c r="AZ491" s="548"/>
      <c r="BA491" s="548"/>
      <c r="BB491" s="620">
        <f>I491/24</f>
        <v>166.666666666667</v>
      </c>
      <c r="BE491" s="554">
        <f>I491</f>
        <v>4000</v>
      </c>
      <c r="BP491" s="554">
        <f>I491/25</f>
        <v>160</v>
      </c>
      <c r="BY491" s="619"/>
      <c r="BZ491" s="548"/>
      <c r="CA491" s="621"/>
      <c r="CB491" s="567"/>
      <c r="CC491" s="622"/>
      <c r="CD491" s="619"/>
      <c r="CE491" s="619"/>
      <c r="CF491" s="548"/>
      <c r="CG491" s="548"/>
      <c r="CU491" s="554">
        <f t="shared" si="147"/>
        <v>160</v>
      </c>
      <c r="CV491" s="554">
        <f t="shared" si="160"/>
        <v>0</v>
      </c>
      <c r="CW491" s="554">
        <f t="shared" si="146"/>
        <v>0</v>
      </c>
      <c r="CX491" s="619"/>
      <c r="CY491" s="619"/>
      <c r="CZ491" s="619"/>
      <c r="DA491" s="548"/>
      <c r="DB491" s="548"/>
      <c r="DC491" s="548"/>
      <c r="DD491" s="619"/>
      <c r="DE491" s="619"/>
      <c r="DF491" s="619"/>
      <c r="DG491" s="619"/>
      <c r="DH491" s="619"/>
    </row>
    <row r="492" s="548" customFormat="1" ht="31" customHeight="1" spans="1:112">
      <c r="A492" s="608">
        <v>45828</v>
      </c>
      <c r="B492" s="609" t="s">
        <v>246</v>
      </c>
      <c r="C492" s="610" t="s">
        <v>98</v>
      </c>
      <c r="D492" s="554">
        <v>4500170737</v>
      </c>
      <c r="E492" s="610" t="s">
        <v>7275</v>
      </c>
      <c r="F492" s="554" t="s">
        <v>7276</v>
      </c>
      <c r="G492" s="610" t="s">
        <v>6084</v>
      </c>
      <c r="H492" s="610" t="s">
        <v>6069</v>
      </c>
      <c r="I492" s="610">
        <v>23175</v>
      </c>
      <c r="J492" s="610">
        <v>0</v>
      </c>
      <c r="K492" s="610">
        <v>25</v>
      </c>
      <c r="L492" s="611">
        <f t="shared" si="159"/>
        <v>927</v>
      </c>
      <c r="M492" s="612">
        <v>45891</v>
      </c>
      <c r="N492" s="612">
        <v>45887</v>
      </c>
      <c r="O492" s="613"/>
      <c r="P492" s="613" t="s">
        <v>113</v>
      </c>
      <c r="Q492" s="610"/>
      <c r="R492" s="614">
        <v>45845</v>
      </c>
      <c r="S492" s="614" t="s">
        <v>104</v>
      </c>
      <c r="T492" s="614">
        <v>45862</v>
      </c>
      <c r="U492" s="614"/>
      <c r="V492" s="614"/>
      <c r="W492" s="615"/>
      <c r="X492" s="609" t="s">
        <v>7277</v>
      </c>
      <c r="Y492" s="609" t="s">
        <v>252</v>
      </c>
      <c r="Z492" s="609">
        <v>0.5488</v>
      </c>
      <c r="AA492" s="616">
        <f t="shared" si="161"/>
        <v>12718.44</v>
      </c>
      <c r="AC492" s="617" t="s">
        <v>7278</v>
      </c>
      <c r="AD492" s="610" t="s">
        <v>6084</v>
      </c>
      <c r="AE492" s="610" t="s">
        <v>82</v>
      </c>
      <c r="AF492" s="610"/>
      <c r="AG492" s="610"/>
      <c r="AH492" s="610"/>
      <c r="AI492" s="610">
        <v>23175</v>
      </c>
      <c r="AJ492" s="610">
        <f>AI492-I492</f>
        <v>0</v>
      </c>
      <c r="AK492" s="610"/>
      <c r="AL492" s="610"/>
      <c r="AM492" s="610"/>
      <c r="AN492" s="610">
        <f>I492</f>
        <v>23175</v>
      </c>
      <c r="AP492" s="554">
        <f>I492</f>
        <v>23175</v>
      </c>
      <c r="AR492" s="619"/>
      <c r="AS492" s="548"/>
      <c r="AT492" s="548"/>
      <c r="AU492" s="554">
        <f>I492</f>
        <v>23175</v>
      </c>
      <c r="AW492" s="619"/>
      <c r="AX492" s="548"/>
      <c r="AY492" s="548"/>
      <c r="AZ492" s="548"/>
      <c r="BA492" s="548"/>
      <c r="BB492" s="620">
        <f>I492/24</f>
        <v>965.625</v>
      </c>
      <c r="BN492" s="554">
        <f>I492/25</f>
        <v>927</v>
      </c>
      <c r="BY492" s="619"/>
      <c r="BZ492" s="548"/>
      <c r="CA492" s="621"/>
      <c r="CB492" s="567"/>
      <c r="CC492" s="622"/>
      <c r="CD492" s="619"/>
      <c r="CE492" s="619"/>
      <c r="CF492" s="548"/>
      <c r="CG492" s="548"/>
      <c r="CU492" s="554">
        <f t="shared" si="147"/>
        <v>927</v>
      </c>
      <c r="CV492" s="554">
        <f t="shared" si="160"/>
        <v>0</v>
      </c>
      <c r="CW492" s="554">
        <f t="shared" si="146"/>
        <v>0</v>
      </c>
      <c r="CX492" s="619"/>
      <c r="CY492" s="619"/>
      <c r="CZ492" s="619"/>
      <c r="DA492" s="548"/>
      <c r="DB492" s="548"/>
      <c r="DC492" s="548"/>
      <c r="DD492" s="619"/>
      <c r="DE492" s="619"/>
      <c r="DF492" s="619"/>
      <c r="DG492" s="619"/>
      <c r="DH492" s="619"/>
    </row>
    <row r="493" s="548" customFormat="1" ht="31" customHeight="1" spans="1:112">
      <c r="A493" s="608">
        <v>45831</v>
      </c>
      <c r="B493" s="609" t="s">
        <v>135</v>
      </c>
      <c r="C493" s="610" t="s">
        <v>128</v>
      </c>
      <c r="D493" s="554">
        <v>4500170993</v>
      </c>
      <c r="E493" s="610">
        <v>20862334</v>
      </c>
      <c r="F493" s="554" t="s">
        <v>1527</v>
      </c>
      <c r="G493" s="610" t="s">
        <v>6337</v>
      </c>
      <c r="H493" s="610" t="s">
        <v>477</v>
      </c>
      <c r="I493" s="610">
        <v>1350</v>
      </c>
      <c r="J493" s="610">
        <v>0</v>
      </c>
      <c r="K493" s="610">
        <v>6</v>
      </c>
      <c r="L493" s="611">
        <f t="shared" si="159"/>
        <v>225</v>
      </c>
      <c r="M493" s="612">
        <v>45891</v>
      </c>
      <c r="N493" s="612">
        <v>45887</v>
      </c>
      <c r="O493" s="613"/>
      <c r="P493" s="613" t="s">
        <v>113</v>
      </c>
      <c r="Q493" s="610"/>
      <c r="R493" s="614">
        <v>45848</v>
      </c>
      <c r="S493" s="614" t="s">
        <v>104</v>
      </c>
      <c r="T493" s="614">
        <v>45866</v>
      </c>
      <c r="U493" s="614"/>
      <c r="V493" s="614"/>
      <c r="W493" s="615"/>
      <c r="X493" s="628" t="s">
        <v>7279</v>
      </c>
      <c r="Y493" s="609" t="s">
        <v>133</v>
      </c>
      <c r="Z493" s="609">
        <v>7.0773</v>
      </c>
      <c r="AA493" s="616">
        <f t="shared" si="161"/>
        <v>9554.355</v>
      </c>
      <c r="AC493" s="630" t="s">
        <v>1529</v>
      </c>
      <c r="AD493" s="610" t="s">
        <v>1306</v>
      </c>
      <c r="AE493" s="610" t="s">
        <v>82</v>
      </c>
      <c r="AF493" s="610"/>
      <c r="AG493" s="610"/>
      <c r="AH493" s="610"/>
      <c r="AI493" s="610">
        <v>0</v>
      </c>
      <c r="AJ493" s="610">
        <v>0</v>
      </c>
      <c r="AK493" s="610"/>
      <c r="AL493" s="610"/>
      <c r="AM493" s="610"/>
      <c r="AN493" s="610"/>
      <c r="AO493" s="554">
        <f>I493*2</f>
        <v>2700</v>
      </c>
      <c r="AR493" s="619">
        <f>I493*2</f>
        <v>2700</v>
      </c>
      <c r="AV493" s="554">
        <f>I493*2</f>
        <v>2700</v>
      </c>
      <c r="AW493" s="619"/>
      <c r="AX493" s="548"/>
      <c r="AY493" s="548"/>
      <c r="AZ493" s="548"/>
      <c r="BA493" s="548"/>
      <c r="BB493" s="620">
        <f>I493/24*2</f>
        <v>112.5</v>
      </c>
      <c r="BY493" s="619"/>
      <c r="BZ493" s="554">
        <f>I493</f>
        <v>1350</v>
      </c>
      <c r="CA493" s="621"/>
      <c r="CB493" s="567"/>
      <c r="CC493" s="622"/>
      <c r="CD493" s="619"/>
      <c r="CE493" s="619"/>
      <c r="CF493" s="548"/>
      <c r="CG493" s="548"/>
      <c r="CU493" s="554">
        <f t="shared" si="147"/>
        <v>0</v>
      </c>
      <c r="CV493" s="554">
        <f t="shared" si="160"/>
        <v>0</v>
      </c>
      <c r="CW493" s="554">
        <f t="shared" si="146"/>
        <v>0</v>
      </c>
      <c r="CX493" s="619"/>
      <c r="CY493" s="619"/>
      <c r="CZ493" s="619"/>
      <c r="DA493" s="548"/>
      <c r="DB493" s="548"/>
      <c r="DC493" s="548"/>
      <c r="DD493" s="619"/>
      <c r="DE493" s="619"/>
      <c r="DF493" s="619"/>
      <c r="DG493" s="619"/>
      <c r="DH493" s="619"/>
    </row>
    <row r="494" s="548" customFormat="1" ht="31" customHeight="1" spans="1:112">
      <c r="A494" s="608">
        <v>45831</v>
      </c>
      <c r="B494" s="609" t="s">
        <v>135</v>
      </c>
      <c r="C494" s="610" t="s">
        <v>128</v>
      </c>
      <c r="D494" s="554">
        <v>4500170993</v>
      </c>
      <c r="E494" s="610">
        <v>20862335</v>
      </c>
      <c r="F494" s="554" t="s">
        <v>1530</v>
      </c>
      <c r="G494" s="610" t="s">
        <v>6337</v>
      </c>
      <c r="H494" s="610" t="s">
        <v>477</v>
      </c>
      <c r="I494" s="610">
        <v>1350</v>
      </c>
      <c r="J494" s="610">
        <v>0</v>
      </c>
      <c r="K494" s="610">
        <v>6</v>
      </c>
      <c r="L494" s="611">
        <f t="shared" si="159"/>
        <v>225</v>
      </c>
      <c r="M494" s="612">
        <v>45891</v>
      </c>
      <c r="N494" s="612">
        <v>45887</v>
      </c>
      <c r="O494" s="613"/>
      <c r="P494" s="613" t="s">
        <v>113</v>
      </c>
      <c r="Q494" s="610"/>
      <c r="R494" s="614">
        <v>45848</v>
      </c>
      <c r="S494" s="614" t="s">
        <v>104</v>
      </c>
      <c r="T494" s="614">
        <v>45866</v>
      </c>
      <c r="U494" s="614"/>
      <c r="V494" s="614"/>
      <c r="W494" s="615"/>
      <c r="X494" s="628" t="s">
        <v>7279</v>
      </c>
      <c r="Y494" s="609" t="s">
        <v>133</v>
      </c>
      <c r="Z494" s="609">
        <v>7.0773</v>
      </c>
      <c r="AA494" s="616">
        <f t="shared" si="161"/>
        <v>9554.355</v>
      </c>
      <c r="AC494" s="630" t="s">
        <v>1529</v>
      </c>
      <c r="AD494" s="610" t="s">
        <v>1306</v>
      </c>
      <c r="AE494" s="610" t="s">
        <v>82</v>
      </c>
      <c r="AF494" s="610"/>
      <c r="AG494" s="610"/>
      <c r="AH494" s="610"/>
      <c r="AI494" s="610">
        <v>0</v>
      </c>
      <c r="AJ494" s="610">
        <v>0</v>
      </c>
      <c r="AK494" s="610"/>
      <c r="AL494" s="610"/>
      <c r="AM494" s="610"/>
      <c r="AN494" s="610"/>
      <c r="AO494" s="554">
        <f>I494*2</f>
        <v>2700</v>
      </c>
      <c r="AR494" s="619">
        <f>I494*2</f>
        <v>2700</v>
      </c>
      <c r="AV494" s="554">
        <f>I494*2</f>
        <v>2700</v>
      </c>
      <c r="AW494" s="619"/>
      <c r="AX494" s="548"/>
      <c r="AY494" s="548"/>
      <c r="AZ494" s="548"/>
      <c r="BA494" s="548"/>
      <c r="BB494" s="620">
        <f>I494/24*2</f>
        <v>112.5</v>
      </c>
      <c r="BY494" s="619"/>
      <c r="BZ494" s="554">
        <f>I494</f>
        <v>1350</v>
      </c>
      <c r="CA494" s="621"/>
      <c r="CB494" s="567"/>
      <c r="CC494" s="622"/>
      <c r="CD494" s="619"/>
      <c r="CE494" s="619"/>
      <c r="CF494" s="548"/>
      <c r="CG494" s="548"/>
      <c r="CU494" s="554">
        <f t="shared" si="147"/>
        <v>0</v>
      </c>
      <c r="CV494" s="554">
        <f t="shared" si="160"/>
        <v>0</v>
      </c>
      <c r="CW494" s="554">
        <f t="shared" si="146"/>
        <v>0</v>
      </c>
      <c r="CX494" s="619"/>
      <c r="CY494" s="619"/>
      <c r="CZ494" s="619"/>
      <c r="DA494" s="548"/>
      <c r="DB494" s="548"/>
      <c r="DC494" s="548"/>
      <c r="DD494" s="619"/>
      <c r="DE494" s="619"/>
      <c r="DF494" s="619"/>
      <c r="DG494" s="619"/>
      <c r="DH494" s="619"/>
    </row>
    <row r="495" s="548" customFormat="1" ht="31" customHeight="1" spans="1:112">
      <c r="A495" s="608">
        <v>45831</v>
      </c>
      <c r="B495" s="609" t="s">
        <v>139</v>
      </c>
      <c r="C495" s="610" t="s">
        <v>76</v>
      </c>
      <c r="D495" s="554">
        <v>4500170994</v>
      </c>
      <c r="E495" s="610">
        <v>20862340</v>
      </c>
      <c r="F495" s="554" t="s">
        <v>1531</v>
      </c>
      <c r="G495" s="610" t="s">
        <v>6337</v>
      </c>
      <c r="H495" s="610" t="s">
        <v>477</v>
      </c>
      <c r="I495" s="610">
        <v>150</v>
      </c>
      <c r="J495" s="610">
        <v>0</v>
      </c>
      <c r="K495" s="610">
        <v>6</v>
      </c>
      <c r="L495" s="611">
        <f t="shared" si="159"/>
        <v>25</v>
      </c>
      <c r="M495" s="612">
        <v>45891</v>
      </c>
      <c r="N495" s="612">
        <v>45887</v>
      </c>
      <c r="O495" s="613"/>
      <c r="P495" s="613" t="s">
        <v>113</v>
      </c>
      <c r="Q495" s="610"/>
      <c r="R495" s="614">
        <v>45848</v>
      </c>
      <c r="S495" s="614" t="s">
        <v>104</v>
      </c>
      <c r="T495" s="614">
        <v>45866</v>
      </c>
      <c r="U495" s="614"/>
      <c r="V495" s="614"/>
      <c r="W495" s="615"/>
      <c r="X495" s="628" t="s">
        <v>7093</v>
      </c>
      <c r="Y495" s="609" t="s">
        <v>133</v>
      </c>
      <c r="Z495" s="609">
        <v>7.4117</v>
      </c>
      <c r="AA495" s="616">
        <f t="shared" si="161"/>
        <v>1111.755</v>
      </c>
      <c r="AC495" s="630" t="s">
        <v>1532</v>
      </c>
      <c r="AD495" s="610" t="s">
        <v>1306</v>
      </c>
      <c r="AE495" s="610" t="s">
        <v>82</v>
      </c>
      <c r="AF495" s="610"/>
      <c r="AG495" s="610"/>
      <c r="AH495" s="610"/>
      <c r="AI495" s="610">
        <v>0</v>
      </c>
      <c r="AJ495" s="610">
        <v>0</v>
      </c>
      <c r="AK495" s="610"/>
      <c r="AL495" s="610"/>
      <c r="AM495" s="610"/>
      <c r="AN495" s="610"/>
      <c r="AO495" s="554">
        <f>I495*2</f>
        <v>300</v>
      </c>
      <c r="AR495" s="619">
        <f>I495*2</f>
        <v>300</v>
      </c>
      <c r="AV495" s="554">
        <f>I495*2</f>
        <v>300</v>
      </c>
      <c r="AW495" s="619"/>
      <c r="AX495" s="548"/>
      <c r="AY495" s="548"/>
      <c r="AZ495" s="548"/>
      <c r="BA495" s="548"/>
      <c r="BB495" s="620">
        <f>I495/24*2</f>
        <v>12.5</v>
      </c>
      <c r="BY495" s="619"/>
      <c r="BZ495" s="554">
        <f>I495</f>
        <v>150</v>
      </c>
      <c r="CA495" s="621"/>
      <c r="CB495" s="567"/>
      <c r="CC495" s="622"/>
      <c r="CD495" s="619"/>
      <c r="CE495" s="619"/>
      <c r="CF495" s="548"/>
      <c r="CG495" s="548"/>
      <c r="CU495" s="554">
        <f t="shared" si="147"/>
        <v>0</v>
      </c>
      <c r="CV495" s="554">
        <f t="shared" si="160"/>
        <v>0</v>
      </c>
      <c r="CW495" s="554">
        <f t="shared" si="146"/>
        <v>0</v>
      </c>
      <c r="CX495" s="619"/>
      <c r="CY495" s="619"/>
      <c r="CZ495" s="619"/>
      <c r="DA495" s="548"/>
      <c r="DB495" s="548"/>
      <c r="DC495" s="548"/>
      <c r="DD495" s="619"/>
      <c r="DE495" s="619"/>
      <c r="DF495" s="619"/>
      <c r="DG495" s="619"/>
      <c r="DH495" s="619"/>
    </row>
    <row r="496" s="548" customFormat="1" ht="31" customHeight="1" spans="1:112">
      <c r="A496" s="608">
        <v>45831</v>
      </c>
      <c r="B496" s="609" t="s">
        <v>139</v>
      </c>
      <c r="C496" s="610" t="s">
        <v>76</v>
      </c>
      <c r="D496" s="554">
        <v>4500170994</v>
      </c>
      <c r="E496" s="610">
        <v>20862341</v>
      </c>
      <c r="F496" s="554" t="s">
        <v>1533</v>
      </c>
      <c r="G496" s="610" t="s">
        <v>6337</v>
      </c>
      <c r="H496" s="610" t="s">
        <v>477</v>
      </c>
      <c r="I496" s="610">
        <v>150</v>
      </c>
      <c r="J496" s="610">
        <v>0</v>
      </c>
      <c r="K496" s="610">
        <v>6</v>
      </c>
      <c r="L496" s="611">
        <f t="shared" si="159"/>
        <v>25</v>
      </c>
      <c r="M496" s="612">
        <v>45891</v>
      </c>
      <c r="N496" s="612">
        <v>45887</v>
      </c>
      <c r="O496" s="613"/>
      <c r="P496" s="613" t="s">
        <v>113</v>
      </c>
      <c r="Q496" s="610"/>
      <c r="R496" s="614">
        <v>45848</v>
      </c>
      <c r="S496" s="614" t="s">
        <v>104</v>
      </c>
      <c r="T496" s="614">
        <v>45866</v>
      </c>
      <c r="U496" s="614"/>
      <c r="V496" s="614"/>
      <c r="W496" s="615"/>
      <c r="X496" s="628" t="s">
        <v>7093</v>
      </c>
      <c r="Y496" s="609" t="s">
        <v>133</v>
      </c>
      <c r="Z496" s="609">
        <v>7.4117</v>
      </c>
      <c r="AA496" s="616">
        <f t="shared" si="161"/>
        <v>1111.755</v>
      </c>
      <c r="AC496" s="630" t="s">
        <v>1532</v>
      </c>
      <c r="AD496" s="610" t="s">
        <v>1306</v>
      </c>
      <c r="AE496" s="610" t="s">
        <v>82</v>
      </c>
      <c r="AF496" s="610"/>
      <c r="AG496" s="610"/>
      <c r="AH496" s="610"/>
      <c r="AI496" s="610">
        <v>0</v>
      </c>
      <c r="AJ496" s="610">
        <v>0</v>
      </c>
      <c r="AK496" s="610"/>
      <c r="AL496" s="610"/>
      <c r="AM496" s="610"/>
      <c r="AN496" s="610"/>
      <c r="AO496" s="554">
        <f>I496*2</f>
        <v>300</v>
      </c>
      <c r="AR496" s="619">
        <f>I496*2</f>
        <v>300</v>
      </c>
      <c r="AV496" s="554">
        <f>I496*2</f>
        <v>300</v>
      </c>
      <c r="AW496" s="619"/>
      <c r="AX496" s="548"/>
      <c r="AY496" s="548"/>
      <c r="AZ496" s="548"/>
      <c r="BA496" s="548"/>
      <c r="BB496" s="620">
        <f>I496/24*2</f>
        <v>12.5</v>
      </c>
      <c r="BY496" s="619"/>
      <c r="BZ496" s="554">
        <f>I496</f>
        <v>150</v>
      </c>
      <c r="CA496" s="621"/>
      <c r="CB496" s="567"/>
      <c r="CC496" s="622"/>
      <c r="CD496" s="619"/>
      <c r="CE496" s="619"/>
      <c r="CF496" s="548"/>
      <c r="CG496" s="548"/>
      <c r="CU496" s="554">
        <f t="shared" si="147"/>
        <v>0</v>
      </c>
      <c r="CV496" s="554">
        <f t="shared" si="160"/>
        <v>0</v>
      </c>
      <c r="CW496" s="554">
        <f t="shared" si="146"/>
        <v>0</v>
      </c>
      <c r="CX496" s="619"/>
      <c r="CY496" s="619"/>
      <c r="CZ496" s="619"/>
      <c r="DA496" s="548"/>
      <c r="DB496" s="548"/>
      <c r="DC496" s="548"/>
      <c r="DD496" s="619"/>
      <c r="DE496" s="619"/>
      <c r="DF496" s="619"/>
      <c r="DG496" s="619"/>
      <c r="DH496" s="619"/>
    </row>
    <row r="497" s="548" customFormat="1" ht="31" customHeight="1" spans="1:112">
      <c r="A497" s="608">
        <v>45828</v>
      </c>
      <c r="B497" s="609" t="s">
        <v>246</v>
      </c>
      <c r="C497" s="610" t="s">
        <v>98</v>
      </c>
      <c r="D497" s="554">
        <v>4500170678</v>
      </c>
      <c r="E497" s="610" t="s">
        <v>1566</v>
      </c>
      <c r="F497" s="554" t="s">
        <v>7280</v>
      </c>
      <c r="G497" s="610" t="s">
        <v>6084</v>
      </c>
      <c r="H497" s="610" t="s">
        <v>6069</v>
      </c>
      <c r="I497" s="610">
        <v>14975</v>
      </c>
      <c r="J497" s="610">
        <v>0</v>
      </c>
      <c r="K497" s="610">
        <v>25</v>
      </c>
      <c r="L497" s="611">
        <f t="shared" si="159"/>
        <v>599</v>
      </c>
      <c r="M497" s="612">
        <v>45894</v>
      </c>
      <c r="N497" s="612">
        <v>45890</v>
      </c>
      <c r="O497" s="613"/>
      <c r="P497" s="613" t="s">
        <v>113</v>
      </c>
      <c r="Q497" s="610"/>
      <c r="R497" s="614">
        <v>45853</v>
      </c>
      <c r="S497" s="614" t="s">
        <v>104</v>
      </c>
      <c r="T497" s="614">
        <v>45853</v>
      </c>
      <c r="U497" s="614"/>
      <c r="V497" s="614"/>
      <c r="W497" s="615"/>
      <c r="X497" s="609" t="s">
        <v>7281</v>
      </c>
      <c r="Y497" s="609" t="s">
        <v>252</v>
      </c>
      <c r="Z497" s="609">
        <v>0.5543</v>
      </c>
      <c r="AA497" s="616">
        <f t="shared" si="161"/>
        <v>8300.6425</v>
      </c>
      <c r="AC497" s="617" t="s">
        <v>1569</v>
      </c>
      <c r="AD497" s="610" t="s">
        <v>6084</v>
      </c>
      <c r="AE497" s="610" t="s">
        <v>82</v>
      </c>
      <c r="AF497" s="610"/>
      <c r="AG497" s="610"/>
      <c r="AH497" s="610"/>
      <c r="AI497" s="610">
        <v>14975</v>
      </c>
      <c r="AJ497" s="610">
        <f t="shared" ref="AJ497:AJ504" si="162">AI497-I497</f>
        <v>0</v>
      </c>
      <c r="AK497" s="610"/>
      <c r="AL497" s="610"/>
      <c r="AM497" s="610"/>
      <c r="AN497" s="610">
        <f>I497</f>
        <v>14975</v>
      </c>
      <c r="AP497" s="554">
        <f>I497</f>
        <v>14975</v>
      </c>
      <c r="AR497" s="619"/>
      <c r="AS497" s="548"/>
      <c r="AT497" s="548"/>
      <c r="AU497" s="554">
        <f>I497</f>
        <v>14975</v>
      </c>
      <c r="AW497" s="619"/>
      <c r="AX497" s="548"/>
      <c r="AY497" s="548"/>
      <c r="AZ497" s="548"/>
      <c r="BA497" s="548"/>
      <c r="BB497" s="620">
        <f>I497/24</f>
        <v>623.958333333333</v>
      </c>
      <c r="BN497" s="554">
        <f>I497/25</f>
        <v>599</v>
      </c>
      <c r="BY497" s="619"/>
      <c r="BZ497" s="548"/>
      <c r="CA497" s="621"/>
      <c r="CB497" s="567"/>
      <c r="CC497" s="622"/>
      <c r="CD497" s="619"/>
      <c r="CE497" s="619"/>
      <c r="CF497" s="548"/>
      <c r="CG497" s="548"/>
      <c r="CU497" s="554">
        <f t="shared" si="147"/>
        <v>599</v>
      </c>
      <c r="CV497" s="554">
        <f t="shared" si="160"/>
        <v>0</v>
      </c>
      <c r="CW497" s="554">
        <f t="shared" si="146"/>
        <v>0</v>
      </c>
      <c r="CX497" s="619"/>
      <c r="CY497" s="619"/>
      <c r="CZ497" s="619"/>
      <c r="DA497" s="548"/>
      <c r="DB497" s="548"/>
      <c r="DC497" s="548"/>
      <c r="DD497" s="619"/>
      <c r="DE497" s="619"/>
      <c r="DF497" s="619"/>
      <c r="DG497" s="619"/>
      <c r="DH497" s="619"/>
    </row>
    <row r="498" s="548" customFormat="1" ht="31" customHeight="1" spans="1:112">
      <c r="A498" s="608">
        <v>45840</v>
      </c>
      <c r="B498" s="609" t="s">
        <v>3815</v>
      </c>
      <c r="C498" s="610" t="s">
        <v>98</v>
      </c>
      <c r="D498" s="554">
        <v>4500172507</v>
      </c>
      <c r="E498" s="610" t="s">
        <v>7165</v>
      </c>
      <c r="F498" s="554" t="s">
        <v>7282</v>
      </c>
      <c r="G498" s="610" t="s">
        <v>6787</v>
      </c>
      <c r="H498" s="610" t="s">
        <v>6126</v>
      </c>
      <c r="I498" s="610">
        <v>5160</v>
      </c>
      <c r="J498" s="610">
        <v>0</v>
      </c>
      <c r="K498" s="610">
        <v>12</v>
      </c>
      <c r="L498" s="611">
        <f t="shared" si="159"/>
        <v>430</v>
      </c>
      <c r="M498" s="612">
        <v>45891</v>
      </c>
      <c r="N498" s="612">
        <v>45887</v>
      </c>
      <c r="O498" s="613"/>
      <c r="P498" s="613" t="s">
        <v>113</v>
      </c>
      <c r="Q498" s="610"/>
      <c r="R498" s="614">
        <v>45840</v>
      </c>
      <c r="S498" s="614" t="s">
        <v>104</v>
      </c>
      <c r="T498" s="614">
        <v>45868</v>
      </c>
      <c r="U498" s="614"/>
      <c r="V498" s="614"/>
      <c r="W498" s="615"/>
      <c r="X498" s="609" t="s">
        <v>7007</v>
      </c>
      <c r="Y498" s="609" t="s">
        <v>125</v>
      </c>
      <c r="Z498" s="609">
        <v>1.2969</v>
      </c>
      <c r="AA498" s="616">
        <f t="shared" si="161"/>
        <v>6692.004</v>
      </c>
      <c r="AC498" s="617" t="s">
        <v>7283</v>
      </c>
      <c r="AD498" s="610" t="s">
        <v>6128</v>
      </c>
      <c r="AE498" s="610" t="s">
        <v>82</v>
      </c>
      <c r="AF498" s="610"/>
      <c r="AG498" s="610"/>
      <c r="AH498" s="610"/>
      <c r="AI498" s="610">
        <f>1560+3600</f>
        <v>5160</v>
      </c>
      <c r="AJ498" s="610">
        <f t="shared" si="162"/>
        <v>0</v>
      </c>
      <c r="AK498" s="610"/>
      <c r="AL498" s="610"/>
      <c r="AM498" s="610"/>
      <c r="AN498" s="610">
        <f>I498*2</f>
        <v>10320</v>
      </c>
      <c r="AQ498" s="554">
        <f>I498*2</f>
        <v>10320</v>
      </c>
      <c r="AR498" s="619"/>
      <c r="AS498" s="548"/>
      <c r="AT498" s="548"/>
      <c r="AU498" s="554">
        <f>I498*2</f>
        <v>10320</v>
      </c>
      <c r="AW498" s="619"/>
      <c r="AX498" s="548"/>
      <c r="AY498" s="548"/>
      <c r="AZ498" s="548"/>
      <c r="BA498" s="548"/>
      <c r="BB498" s="249">
        <f>I498/24*2</f>
        <v>430</v>
      </c>
      <c r="BY498" s="619"/>
      <c r="BZ498" s="548"/>
      <c r="CA498" s="621"/>
      <c r="CB498" s="567"/>
      <c r="CC498" s="622"/>
      <c r="CD498" s="619"/>
      <c r="CE498" s="619"/>
      <c r="CF498" s="548"/>
      <c r="CG498" s="548"/>
      <c r="CR498" s="554">
        <f>I498</f>
        <v>5160</v>
      </c>
      <c r="CS498" s="554">
        <f>I498</f>
        <v>5160</v>
      </c>
      <c r="CT498" s="554">
        <f>I498</f>
        <v>5160</v>
      </c>
      <c r="CU498" s="554">
        <f t="shared" si="147"/>
        <v>0</v>
      </c>
      <c r="CV498" s="554">
        <f t="shared" si="160"/>
        <v>0</v>
      </c>
      <c r="CW498" s="554">
        <f t="shared" si="146"/>
        <v>0</v>
      </c>
      <c r="CX498" s="619"/>
      <c r="CY498" s="619"/>
      <c r="CZ498" s="619"/>
      <c r="DA498" s="548"/>
      <c r="DB498" s="548"/>
      <c r="DC498" s="548"/>
      <c r="DD498" s="619"/>
      <c r="DE498" s="619"/>
      <c r="DF498" s="619"/>
      <c r="DG498" s="619"/>
      <c r="DH498" s="619"/>
    </row>
    <row r="499" s="548" customFormat="1" ht="31" customHeight="1" spans="1:112">
      <c r="A499" s="608">
        <v>45849</v>
      </c>
      <c r="B499" s="609" t="s">
        <v>2033</v>
      </c>
      <c r="C499" s="610" t="s">
        <v>399</v>
      </c>
      <c r="D499" s="554">
        <v>4500173486</v>
      </c>
      <c r="E499" s="613">
        <v>5200007239</v>
      </c>
      <c r="F499" s="554" t="s">
        <v>7284</v>
      </c>
      <c r="G499" s="610" t="s">
        <v>6120</v>
      </c>
      <c r="H499" s="610" t="s">
        <v>6094</v>
      </c>
      <c r="I499" s="610">
        <v>1209</v>
      </c>
      <c r="J499" s="610">
        <v>0</v>
      </c>
      <c r="K499" s="610">
        <v>13</v>
      </c>
      <c r="L499" s="611">
        <f t="shared" si="159"/>
        <v>93</v>
      </c>
      <c r="M499" s="612">
        <v>45891</v>
      </c>
      <c r="N499" s="612">
        <f>M499-4</f>
        <v>45887</v>
      </c>
      <c r="O499" s="613"/>
      <c r="P499" s="613" t="s">
        <v>113</v>
      </c>
      <c r="Q499" s="610" t="s">
        <v>7285</v>
      </c>
      <c r="R499" s="614">
        <v>45852</v>
      </c>
      <c r="S499" s="614" t="s">
        <v>70</v>
      </c>
      <c r="T499" s="614" t="s">
        <v>6342</v>
      </c>
      <c r="U499" s="614"/>
      <c r="V499" s="614"/>
      <c r="W499" s="615"/>
      <c r="X499" s="609" t="s">
        <v>7286</v>
      </c>
      <c r="Y499" s="609" t="s">
        <v>2037</v>
      </c>
      <c r="Z499" s="609">
        <v>0.8947</v>
      </c>
      <c r="AA499" s="616">
        <f t="shared" si="161"/>
        <v>1081.6923</v>
      </c>
      <c r="AC499" s="617" t="s">
        <v>7287</v>
      </c>
      <c r="AD499" s="610" t="s">
        <v>6093</v>
      </c>
      <c r="AE499" s="610" t="s">
        <v>82</v>
      </c>
      <c r="AF499" s="610"/>
      <c r="AG499" s="610"/>
      <c r="AH499" s="610"/>
      <c r="AI499" s="610">
        <v>1209</v>
      </c>
      <c r="AJ499" s="610">
        <f t="shared" si="162"/>
        <v>0</v>
      </c>
      <c r="AK499" s="610"/>
      <c r="AL499" s="610"/>
      <c r="AM499" s="610"/>
      <c r="AN499" s="610"/>
      <c r="AO499" s="554">
        <f>I499</f>
        <v>1209</v>
      </c>
      <c r="AR499" s="619"/>
      <c r="AS499" s="548"/>
      <c r="AT499" s="554">
        <f>I499</f>
        <v>1209</v>
      </c>
      <c r="AV499" s="554">
        <f>I499</f>
        <v>1209</v>
      </c>
      <c r="AW499" s="619"/>
      <c r="AX499" s="548"/>
      <c r="AY499" s="548"/>
      <c r="AZ499" s="548"/>
      <c r="BA499" s="548"/>
      <c r="BB499" s="620">
        <f>I499/24</f>
        <v>50.375</v>
      </c>
      <c r="BM499" s="554">
        <f>I499/13</f>
        <v>93</v>
      </c>
      <c r="BY499" s="619"/>
      <c r="BZ499" s="548"/>
      <c r="CA499" s="621"/>
      <c r="CB499" s="567"/>
      <c r="CC499" s="622"/>
      <c r="CD499" s="619"/>
      <c r="CE499" s="619"/>
      <c r="CF499" s="548"/>
      <c r="CG499" s="548"/>
      <c r="CU499" s="554">
        <f t="shared" si="147"/>
        <v>0</v>
      </c>
      <c r="CV499" s="554">
        <f t="shared" si="160"/>
        <v>0</v>
      </c>
      <c r="CW499" s="554">
        <f t="shared" si="146"/>
        <v>0</v>
      </c>
      <c r="CX499" s="619"/>
      <c r="CY499" s="619"/>
      <c r="CZ499" s="619"/>
      <c r="DA499" s="548"/>
      <c r="DB499" s="548"/>
      <c r="DC499" s="548"/>
      <c r="DD499" s="619"/>
      <c r="DE499" s="619"/>
      <c r="DF499" s="619"/>
      <c r="DG499" s="619"/>
      <c r="DH499" s="619"/>
    </row>
    <row r="500" s="548" customFormat="1" ht="31" customHeight="1" spans="1:112">
      <c r="A500" s="608">
        <v>45789</v>
      </c>
      <c r="B500" s="609" t="s">
        <v>6431</v>
      </c>
      <c r="C500" s="610" t="s">
        <v>98</v>
      </c>
      <c r="D500" s="554">
        <v>4500164261</v>
      </c>
      <c r="E500" s="610" t="s">
        <v>7288</v>
      </c>
      <c r="F500" s="554" t="s">
        <v>7289</v>
      </c>
      <c r="G500" s="610" t="s">
        <v>6423</v>
      </c>
      <c r="H500" s="610" t="s">
        <v>6424</v>
      </c>
      <c r="I500" s="610">
        <v>24960</v>
      </c>
      <c r="J500" s="610">
        <v>0</v>
      </c>
      <c r="K500" s="610">
        <v>48</v>
      </c>
      <c r="L500" s="611">
        <f t="shared" si="159"/>
        <v>520</v>
      </c>
      <c r="M500" s="612">
        <v>45894</v>
      </c>
      <c r="N500" s="612">
        <v>45890</v>
      </c>
      <c r="O500" s="613" t="s">
        <v>7290</v>
      </c>
      <c r="P500" s="613" t="s">
        <v>113</v>
      </c>
      <c r="Q500" s="610"/>
      <c r="R500" s="614" t="s">
        <v>6861</v>
      </c>
      <c r="S500" s="614" t="s">
        <v>70</v>
      </c>
      <c r="T500" s="614" t="s">
        <v>70</v>
      </c>
      <c r="U500" s="614"/>
      <c r="V500" s="614" t="s">
        <v>7291</v>
      </c>
      <c r="W500" s="615"/>
      <c r="X500" s="609" t="s">
        <v>7292</v>
      </c>
      <c r="Y500" s="609" t="s">
        <v>1723</v>
      </c>
      <c r="Z500" s="609">
        <v>0.97</v>
      </c>
      <c r="AA500" s="616">
        <f>I500*Z500</f>
        <v>24211.2</v>
      </c>
      <c r="AC500" s="617" t="s">
        <v>7293</v>
      </c>
      <c r="AD500" s="610" t="s">
        <v>6423</v>
      </c>
      <c r="AE500" s="610" t="s">
        <v>82</v>
      </c>
      <c r="AF500" s="610"/>
      <c r="AG500" s="610"/>
      <c r="AH500" s="610"/>
      <c r="AI500" s="610">
        <v>24960</v>
      </c>
      <c r="AJ500" s="610">
        <f t="shared" si="162"/>
        <v>0</v>
      </c>
      <c r="AK500" s="610"/>
      <c r="AL500" s="610"/>
      <c r="AM500" s="610"/>
      <c r="AN500" s="610">
        <f>I500</f>
        <v>24960</v>
      </c>
      <c r="AR500" s="619"/>
      <c r="AS500" s="548"/>
      <c r="AT500" s="548"/>
      <c r="AU500" s="554">
        <f>I500</f>
        <v>24960</v>
      </c>
      <c r="AW500" s="619"/>
      <c r="AX500" s="548"/>
      <c r="AY500" s="548"/>
      <c r="AZ500" s="548"/>
      <c r="BA500" s="548"/>
      <c r="BB500" s="620">
        <f>I500/24</f>
        <v>1040</v>
      </c>
      <c r="BC500" s="554">
        <f>I500</f>
        <v>24960</v>
      </c>
      <c r="BS500" s="554">
        <f>I500/8</f>
        <v>3120</v>
      </c>
      <c r="BY500" s="619"/>
      <c r="BZ500" s="548"/>
      <c r="CA500" s="621"/>
      <c r="CB500" s="567"/>
      <c r="CC500" s="622"/>
      <c r="CD500" s="619"/>
      <c r="CE500" s="619"/>
      <c r="CF500" s="548"/>
      <c r="CG500" s="548"/>
      <c r="CU500" s="554">
        <f t="shared" si="147"/>
        <v>0</v>
      </c>
      <c r="CV500" s="554">
        <f t="shared" si="160"/>
        <v>0</v>
      </c>
      <c r="CW500" s="554">
        <f t="shared" si="146"/>
        <v>0</v>
      </c>
      <c r="CX500" s="619"/>
      <c r="CY500" s="619"/>
      <c r="CZ500" s="619"/>
      <c r="DA500" s="548"/>
      <c r="DB500" s="548"/>
      <c r="DC500" s="548"/>
      <c r="DD500" s="619"/>
      <c r="DE500" s="619"/>
      <c r="DF500" s="619"/>
      <c r="DG500" s="619"/>
      <c r="DH500" s="619"/>
    </row>
    <row r="501" s="548" customFormat="1" ht="31" customHeight="1" spans="1:112">
      <c r="A501" s="608">
        <v>45762</v>
      </c>
      <c r="B501" s="609" t="s">
        <v>7043</v>
      </c>
      <c r="C501" s="610" t="s">
        <v>278</v>
      </c>
      <c r="D501" s="554">
        <v>4500163740</v>
      </c>
      <c r="E501" s="610">
        <v>2950866796</v>
      </c>
      <c r="F501" s="554" t="s">
        <v>7294</v>
      </c>
      <c r="G501" s="610" t="s">
        <v>7045</v>
      </c>
      <c r="H501" s="610" t="s">
        <v>7046</v>
      </c>
      <c r="I501" s="610">
        <v>3900</v>
      </c>
      <c r="J501" s="610">
        <v>0</v>
      </c>
      <c r="K501" s="610">
        <v>975</v>
      </c>
      <c r="L501" s="611">
        <f t="shared" si="159"/>
        <v>4</v>
      </c>
      <c r="M501" s="612">
        <v>45894</v>
      </c>
      <c r="N501" s="612">
        <v>45890</v>
      </c>
      <c r="O501" s="613"/>
      <c r="P501" s="613" t="s">
        <v>113</v>
      </c>
      <c r="Q501" s="610"/>
      <c r="R501" s="614">
        <v>45811</v>
      </c>
      <c r="S501" s="614" t="s">
        <v>70</v>
      </c>
      <c r="T501" s="614" t="s">
        <v>70</v>
      </c>
      <c r="U501" s="614"/>
      <c r="V501" s="614"/>
      <c r="W501" s="615"/>
      <c r="X501" s="609" t="s">
        <v>7295</v>
      </c>
      <c r="Y501" s="609" t="s">
        <v>283</v>
      </c>
      <c r="Z501" s="609">
        <v>933.32</v>
      </c>
      <c r="AA501" s="616">
        <f>Z501*L501</f>
        <v>3733.28</v>
      </c>
      <c r="AC501" s="629" t="s">
        <v>7296</v>
      </c>
      <c r="AD501" s="610" t="s">
        <v>7045</v>
      </c>
      <c r="AE501" s="610" t="s">
        <v>82</v>
      </c>
      <c r="AF501" s="610"/>
      <c r="AG501" s="610" t="s">
        <v>74</v>
      </c>
      <c r="AH501" s="610"/>
      <c r="AI501" s="610">
        <v>3900</v>
      </c>
      <c r="AJ501" s="610">
        <f t="shared" si="162"/>
        <v>0</v>
      </c>
      <c r="AK501" s="610"/>
      <c r="AL501" s="610"/>
      <c r="AM501" s="610"/>
      <c r="AN501" s="610"/>
      <c r="AO501" s="554">
        <f>I501</f>
        <v>3900</v>
      </c>
      <c r="AP501" s="554">
        <f>I501</f>
        <v>3900</v>
      </c>
      <c r="AR501" s="619"/>
      <c r="AS501" s="548"/>
      <c r="AT501" s="548"/>
      <c r="AU501" s="548"/>
      <c r="AV501" s="554">
        <f>I501</f>
        <v>3900</v>
      </c>
      <c r="AW501" s="619"/>
      <c r="AX501" s="548"/>
      <c r="AY501" s="548"/>
      <c r="AZ501" s="548"/>
      <c r="BA501" s="548"/>
      <c r="BB501" s="620">
        <f>I501/24*2</f>
        <v>325</v>
      </c>
      <c r="BM501" s="554">
        <f>I501/13</f>
        <v>300</v>
      </c>
      <c r="BY501" s="619"/>
      <c r="BZ501" s="548"/>
      <c r="CA501" s="621"/>
      <c r="CB501" s="567"/>
      <c r="CC501" s="622"/>
      <c r="CD501" s="619"/>
      <c r="CE501" s="619"/>
      <c r="CF501" s="548"/>
      <c r="CG501" s="548"/>
      <c r="CU501" s="554">
        <f t="shared" si="147"/>
        <v>0</v>
      </c>
      <c r="CV501" s="554">
        <f t="shared" si="160"/>
        <v>0</v>
      </c>
      <c r="CW501" s="554">
        <f t="shared" si="146"/>
        <v>0</v>
      </c>
      <c r="CX501" s="619"/>
      <c r="CY501" s="619"/>
      <c r="CZ501" s="619"/>
      <c r="DA501" s="548"/>
      <c r="DB501" s="548"/>
      <c r="DC501" s="548"/>
      <c r="DD501" s="619"/>
      <c r="DE501" s="619"/>
      <c r="DF501" s="619"/>
      <c r="DG501" s="619"/>
      <c r="DH501" s="619"/>
    </row>
    <row r="502" s="548" customFormat="1" ht="31" customHeight="1" spans="1:112">
      <c r="A502" s="608">
        <v>45852</v>
      </c>
      <c r="B502" s="609" t="s">
        <v>139</v>
      </c>
      <c r="C502" s="610" t="s">
        <v>76</v>
      </c>
      <c r="D502" s="554">
        <v>4500173689</v>
      </c>
      <c r="E502" s="610">
        <v>20977419</v>
      </c>
      <c r="F502" s="554" t="s">
        <v>7297</v>
      </c>
      <c r="G502" s="610" t="s">
        <v>6093</v>
      </c>
      <c r="H502" s="610" t="s">
        <v>6094</v>
      </c>
      <c r="I502" s="610">
        <v>130</v>
      </c>
      <c r="J502" s="610">
        <v>0</v>
      </c>
      <c r="K502" s="610">
        <v>13</v>
      </c>
      <c r="L502" s="611">
        <f t="shared" si="159"/>
        <v>10</v>
      </c>
      <c r="M502" s="612">
        <v>45894</v>
      </c>
      <c r="N502" s="612">
        <v>45890</v>
      </c>
      <c r="O502" s="613"/>
      <c r="P502" s="613" t="s">
        <v>113</v>
      </c>
      <c r="Q502" s="610"/>
      <c r="R502" s="614">
        <v>45866</v>
      </c>
      <c r="S502" s="614" t="s">
        <v>104</v>
      </c>
      <c r="T502" s="614">
        <v>45876</v>
      </c>
      <c r="U502" s="614"/>
      <c r="V502" s="614"/>
      <c r="W502" s="615"/>
      <c r="X502" s="609" t="s">
        <v>7298</v>
      </c>
      <c r="Y502" s="609" t="s">
        <v>7299</v>
      </c>
      <c r="Z502" s="609">
        <v>0.9526</v>
      </c>
      <c r="AA502" s="616">
        <f>Z502*I502</f>
        <v>123.838</v>
      </c>
      <c r="AC502" s="629" t="s">
        <v>7300</v>
      </c>
      <c r="AD502" s="610" t="s">
        <v>6093</v>
      </c>
      <c r="AE502" s="610" t="s">
        <v>82</v>
      </c>
      <c r="AF502" s="610"/>
      <c r="AG502" s="610"/>
      <c r="AH502" s="610"/>
      <c r="AI502" s="610">
        <v>130</v>
      </c>
      <c r="AJ502" s="610">
        <f t="shared" si="162"/>
        <v>0</v>
      </c>
      <c r="AK502" s="610"/>
      <c r="AL502" s="610"/>
      <c r="AM502" s="610"/>
      <c r="AN502" s="610"/>
      <c r="AO502" s="554">
        <f>I502</f>
        <v>130</v>
      </c>
      <c r="AR502" s="619"/>
      <c r="AS502" s="548"/>
      <c r="AT502" s="554">
        <f>I502</f>
        <v>130</v>
      </c>
      <c r="AV502" s="554">
        <f>I502</f>
        <v>130</v>
      </c>
      <c r="AW502" s="619"/>
      <c r="AX502" s="548"/>
      <c r="AY502" s="548"/>
      <c r="AZ502" s="548"/>
      <c r="BA502" s="548"/>
      <c r="BB502" s="620">
        <f>I502/24</f>
        <v>5.41666666666667</v>
      </c>
      <c r="BM502" s="554">
        <f>I502/13</f>
        <v>10</v>
      </c>
      <c r="BY502" s="619"/>
      <c r="BZ502" s="548"/>
      <c r="CA502" s="621"/>
      <c r="CB502" s="567"/>
      <c r="CC502" s="622"/>
      <c r="CD502" s="619"/>
      <c r="CE502" s="619"/>
      <c r="CF502" s="548"/>
      <c r="CG502" s="548"/>
      <c r="CU502" s="554">
        <f t="shared" si="147"/>
        <v>0</v>
      </c>
      <c r="CV502" s="554">
        <f t="shared" si="160"/>
        <v>0</v>
      </c>
      <c r="CW502" s="554">
        <f t="shared" si="146"/>
        <v>0</v>
      </c>
      <c r="CX502" s="619"/>
      <c r="CY502" s="619"/>
      <c r="CZ502" s="619"/>
      <c r="DA502" s="548"/>
      <c r="DB502" s="548"/>
      <c r="DC502" s="548"/>
      <c r="DD502" s="619"/>
      <c r="DE502" s="619"/>
      <c r="DF502" s="619"/>
      <c r="DG502" s="619"/>
      <c r="DH502" s="619"/>
    </row>
    <row r="503" s="548" customFormat="1" ht="31" customHeight="1" spans="1:112">
      <c r="A503" s="608">
        <v>45852</v>
      </c>
      <c r="B503" s="609" t="s">
        <v>135</v>
      </c>
      <c r="C503" s="610" t="s">
        <v>128</v>
      </c>
      <c r="D503" s="554">
        <v>4500173688</v>
      </c>
      <c r="E503" s="610">
        <v>20977418</v>
      </c>
      <c r="F503" s="554" t="s">
        <v>7301</v>
      </c>
      <c r="G503" s="610" t="s">
        <v>6093</v>
      </c>
      <c r="H503" s="610" t="s">
        <v>6094</v>
      </c>
      <c r="I503" s="610">
        <v>1404</v>
      </c>
      <c r="J503" s="610">
        <v>0</v>
      </c>
      <c r="K503" s="610">
        <v>13</v>
      </c>
      <c r="L503" s="611">
        <f t="shared" si="159"/>
        <v>108</v>
      </c>
      <c r="M503" s="612">
        <v>45894</v>
      </c>
      <c r="N503" s="612">
        <v>45890</v>
      </c>
      <c r="O503" s="613"/>
      <c r="P503" s="613" t="s">
        <v>113</v>
      </c>
      <c r="Q503" s="610"/>
      <c r="R503" s="614">
        <v>45866</v>
      </c>
      <c r="S503" s="614" t="s">
        <v>104</v>
      </c>
      <c r="T503" s="614">
        <v>45876</v>
      </c>
      <c r="U503" s="614"/>
      <c r="V503" s="614"/>
      <c r="W503" s="615"/>
      <c r="X503" s="609" t="s">
        <v>6206</v>
      </c>
      <c r="Y503" s="609" t="s">
        <v>7299</v>
      </c>
      <c r="Z503" s="609">
        <v>0.9475</v>
      </c>
      <c r="AA503" s="616">
        <f>Z503*I503</f>
        <v>1330.29</v>
      </c>
      <c r="AC503" s="629" t="s">
        <v>7302</v>
      </c>
      <c r="AD503" s="610" t="s">
        <v>6093</v>
      </c>
      <c r="AE503" s="610" t="s">
        <v>82</v>
      </c>
      <c r="AF503" s="610"/>
      <c r="AG503" s="610"/>
      <c r="AH503" s="610"/>
      <c r="AI503" s="610">
        <f>1404+13</f>
        <v>1417</v>
      </c>
      <c r="AJ503" s="610">
        <f t="shared" si="162"/>
        <v>13</v>
      </c>
      <c r="AK503" s="610"/>
      <c r="AL503" s="610"/>
      <c r="AM503" s="610"/>
      <c r="AN503" s="610"/>
      <c r="AO503" s="554">
        <f>I503</f>
        <v>1404</v>
      </c>
      <c r="AR503" s="619"/>
      <c r="AS503" s="548"/>
      <c r="AT503" s="554">
        <f>I503</f>
        <v>1404</v>
      </c>
      <c r="AV503" s="554">
        <f>I503</f>
        <v>1404</v>
      </c>
      <c r="AW503" s="619"/>
      <c r="AX503" s="548"/>
      <c r="AY503" s="548"/>
      <c r="AZ503" s="548"/>
      <c r="BA503" s="548"/>
      <c r="BB503" s="620">
        <f>I503/24</f>
        <v>58.5</v>
      </c>
      <c r="BM503" s="554">
        <f>I503/13</f>
        <v>108</v>
      </c>
      <c r="BY503" s="619"/>
      <c r="BZ503" s="548"/>
      <c r="CA503" s="621"/>
      <c r="CB503" s="567"/>
      <c r="CC503" s="622"/>
      <c r="CD503" s="619"/>
      <c r="CE503" s="619"/>
      <c r="CF503" s="548"/>
      <c r="CG503" s="548"/>
      <c r="CU503" s="554">
        <f t="shared" si="147"/>
        <v>0</v>
      </c>
      <c r="CV503" s="554">
        <f t="shared" si="160"/>
        <v>0</v>
      </c>
      <c r="CW503" s="554">
        <f t="shared" si="146"/>
        <v>0</v>
      </c>
      <c r="CX503" s="619"/>
      <c r="CY503" s="619"/>
      <c r="CZ503" s="619"/>
      <c r="DA503" s="548"/>
      <c r="DB503" s="548"/>
      <c r="DC503" s="548"/>
      <c r="DD503" s="619"/>
      <c r="DE503" s="619"/>
      <c r="DF503" s="619"/>
      <c r="DG503" s="619"/>
      <c r="DH503" s="619"/>
    </row>
    <row r="504" s="548" customFormat="1" ht="31" customHeight="1" spans="1:112">
      <c r="A504" s="608">
        <v>45840</v>
      </c>
      <c r="B504" s="609" t="s">
        <v>135</v>
      </c>
      <c r="C504" s="610" t="s">
        <v>128</v>
      </c>
      <c r="D504" s="554">
        <v>4500172403</v>
      </c>
      <c r="E504" s="610">
        <v>20862336</v>
      </c>
      <c r="F504" s="554" t="s">
        <v>1570</v>
      </c>
      <c r="G504" s="610" t="s">
        <v>6337</v>
      </c>
      <c r="H504" s="610" t="s">
        <v>477</v>
      </c>
      <c r="I504" s="610">
        <v>1350</v>
      </c>
      <c r="J504" s="610">
        <v>0</v>
      </c>
      <c r="K504" s="610">
        <v>6</v>
      </c>
      <c r="L504" s="611">
        <f t="shared" si="159"/>
        <v>225</v>
      </c>
      <c r="M504" s="612">
        <v>45901</v>
      </c>
      <c r="N504" s="612">
        <v>45891</v>
      </c>
      <c r="O504" s="613"/>
      <c r="P504" s="613" t="s">
        <v>113</v>
      </c>
      <c r="Q504" s="610" t="s">
        <v>1571</v>
      </c>
      <c r="R504" s="614">
        <v>45869</v>
      </c>
      <c r="S504" s="614" t="s">
        <v>104</v>
      </c>
      <c r="T504" s="614">
        <v>45880</v>
      </c>
      <c r="U504" s="614"/>
      <c r="V504" s="614"/>
      <c r="W504" s="615"/>
      <c r="X504" s="628" t="s">
        <v>7279</v>
      </c>
      <c r="Y504" s="609" t="s">
        <v>133</v>
      </c>
      <c r="Z504" s="609">
        <v>7.0773</v>
      </c>
      <c r="AA504" s="616">
        <f>Z504*I504</f>
        <v>9554.355</v>
      </c>
      <c r="AC504" s="617" t="s">
        <v>7303</v>
      </c>
      <c r="AD504" s="610" t="s">
        <v>1306</v>
      </c>
      <c r="AE504" s="610" t="s">
        <v>82</v>
      </c>
      <c r="AF504" s="610"/>
      <c r="AG504" s="610"/>
      <c r="AH504" s="610"/>
      <c r="AI504" s="610">
        <v>1350</v>
      </c>
      <c r="AJ504" s="610">
        <f t="shared" si="162"/>
        <v>0</v>
      </c>
      <c r="AK504" s="610"/>
      <c r="AL504" s="610"/>
      <c r="AM504" s="610"/>
      <c r="AN504" s="610"/>
      <c r="AO504" s="554">
        <f>I504*2</f>
        <v>2700</v>
      </c>
      <c r="AR504" s="619">
        <f>I504*2</f>
        <v>2700</v>
      </c>
      <c r="AV504" s="554">
        <f>I504*2</f>
        <v>2700</v>
      </c>
      <c r="AW504" s="619"/>
      <c r="AX504" s="548"/>
      <c r="AY504" s="548"/>
      <c r="AZ504" s="548"/>
      <c r="BA504" s="548"/>
      <c r="BB504" s="620">
        <f>I504/24*2</f>
        <v>112.5</v>
      </c>
      <c r="BY504" s="619"/>
      <c r="BZ504" s="554">
        <f>I504</f>
        <v>1350</v>
      </c>
      <c r="CA504" s="621"/>
      <c r="CB504" s="567"/>
      <c r="CC504" s="622"/>
      <c r="CD504" s="619"/>
      <c r="CE504" s="619"/>
      <c r="CF504" s="548"/>
      <c r="CG504" s="548"/>
      <c r="CU504" s="554">
        <f t="shared" si="147"/>
        <v>0</v>
      </c>
      <c r="CV504" s="554">
        <f t="shared" si="160"/>
        <v>0</v>
      </c>
      <c r="CW504" s="554">
        <f t="shared" si="146"/>
        <v>0</v>
      </c>
      <c r="CX504" s="619"/>
      <c r="CY504" s="619"/>
      <c r="CZ504" s="619"/>
      <c r="DA504" s="548"/>
      <c r="DB504" s="548"/>
      <c r="DC504" s="548"/>
      <c r="DD504" s="619"/>
      <c r="DE504" s="619"/>
      <c r="DF504" s="619"/>
      <c r="DG504" s="619"/>
      <c r="DH504" s="619"/>
    </row>
    <row r="505" s="548" customFormat="1" ht="31" customHeight="1" spans="1:112">
      <c r="A505" s="608">
        <v>45678</v>
      </c>
      <c r="B505" s="609" t="s">
        <v>1492</v>
      </c>
      <c r="C505" s="610" t="s">
        <v>98</v>
      </c>
      <c r="D505" s="554">
        <v>4500156313</v>
      </c>
      <c r="E505" s="613">
        <v>1750625301</v>
      </c>
      <c r="F505" s="554" t="s">
        <v>1576</v>
      </c>
      <c r="G505" s="610" t="s">
        <v>909</v>
      </c>
      <c r="H505" s="610" t="s">
        <v>830</v>
      </c>
      <c r="I505" s="610">
        <v>72</v>
      </c>
      <c r="J505" s="610">
        <v>0</v>
      </c>
      <c r="K505" s="610">
        <v>1</v>
      </c>
      <c r="L505" s="611">
        <f t="shared" si="159"/>
        <v>72</v>
      </c>
      <c r="M505" s="612">
        <v>45890</v>
      </c>
      <c r="N505" s="612">
        <v>45887</v>
      </c>
      <c r="O505" s="613"/>
      <c r="P505" s="613" t="s">
        <v>113</v>
      </c>
      <c r="Q505" s="610"/>
      <c r="R505" s="614">
        <v>45832</v>
      </c>
      <c r="S505" s="614" t="s">
        <v>70</v>
      </c>
      <c r="T505" s="614" t="s">
        <v>70</v>
      </c>
      <c r="U505" s="614"/>
      <c r="V505" s="614"/>
      <c r="W505" s="615"/>
      <c r="X505" s="628" t="s">
        <v>1577</v>
      </c>
      <c r="Y505" s="609" t="s">
        <v>911</v>
      </c>
      <c r="Z505" s="609">
        <v>0</v>
      </c>
      <c r="AA505" s="616">
        <f>Z505*L505</f>
        <v>0</v>
      </c>
      <c r="AC505" s="617" t="s">
        <v>1578</v>
      </c>
      <c r="AD505" s="610" t="s">
        <v>1498</v>
      </c>
      <c r="AE505" s="610" t="s">
        <v>82</v>
      </c>
      <c r="AF505" s="610"/>
      <c r="AG505" s="610"/>
      <c r="AH505" s="610"/>
      <c r="AI505" s="610">
        <v>0</v>
      </c>
      <c r="AJ505" s="610">
        <v>0</v>
      </c>
      <c r="AK505" s="610"/>
      <c r="AL505" s="610"/>
      <c r="AM505" s="610"/>
      <c r="AN505" s="610"/>
      <c r="AO505" s="548"/>
      <c r="AP505" s="548"/>
      <c r="AQ505" s="548"/>
      <c r="AR505" s="619"/>
      <c r="AS505" s="548"/>
      <c r="AT505" s="548"/>
      <c r="AU505" s="548"/>
      <c r="AV505" s="548"/>
      <c r="AW505" s="619"/>
      <c r="AX505" s="548"/>
      <c r="AY505" s="548"/>
      <c r="AZ505" s="548"/>
      <c r="BA505" s="548"/>
      <c r="BB505" s="620"/>
      <c r="BC505" s="548"/>
      <c r="BD505" s="548"/>
      <c r="BE505" s="548"/>
      <c r="BF505" s="548"/>
      <c r="BY505" s="619"/>
      <c r="BZ505" s="548"/>
      <c r="CA505" s="621"/>
      <c r="CB505" s="567"/>
      <c r="CC505" s="622"/>
      <c r="CD505" s="619"/>
      <c r="CE505" s="619"/>
      <c r="CF505" s="548"/>
      <c r="CG505" s="548"/>
      <c r="CU505" s="554">
        <f t="shared" si="147"/>
        <v>0</v>
      </c>
      <c r="CV505" s="554">
        <f t="shared" si="160"/>
        <v>0</v>
      </c>
      <c r="CW505" s="554">
        <f t="shared" si="146"/>
        <v>0</v>
      </c>
      <c r="CX505" s="619"/>
      <c r="CY505" s="619"/>
      <c r="CZ505" s="619"/>
      <c r="DA505" s="548"/>
      <c r="DB505" s="548"/>
      <c r="DC505" s="548"/>
      <c r="DD505" s="619"/>
      <c r="DE505" s="619"/>
      <c r="DF505" s="619"/>
      <c r="DG505" s="619"/>
      <c r="DH505" s="619"/>
    </row>
    <row r="506" s="548" customFormat="1" ht="31" customHeight="1" spans="1:112">
      <c r="A506" s="608">
        <v>45678</v>
      </c>
      <c r="B506" s="609" t="s">
        <v>1492</v>
      </c>
      <c r="C506" s="610" t="s">
        <v>98</v>
      </c>
      <c r="D506" s="554">
        <v>4500156313</v>
      </c>
      <c r="E506" s="613">
        <v>1750625301</v>
      </c>
      <c r="F506" s="554" t="s">
        <v>1576</v>
      </c>
      <c r="G506" s="610">
        <v>77711</v>
      </c>
      <c r="H506" s="610" t="s">
        <v>6033</v>
      </c>
      <c r="I506" s="610">
        <v>5400</v>
      </c>
      <c r="J506" s="610">
        <v>0</v>
      </c>
      <c r="K506" s="610">
        <v>75</v>
      </c>
      <c r="L506" s="611">
        <f t="shared" si="159"/>
        <v>72</v>
      </c>
      <c r="M506" s="612">
        <v>45890</v>
      </c>
      <c r="N506" s="612">
        <v>45887</v>
      </c>
      <c r="O506" s="613"/>
      <c r="P506" s="613" t="s">
        <v>113</v>
      </c>
      <c r="Q506" s="610"/>
      <c r="R506" s="614">
        <v>45832</v>
      </c>
      <c r="S506" s="614" t="s">
        <v>70</v>
      </c>
      <c r="T506" s="614" t="s">
        <v>70</v>
      </c>
      <c r="U506" s="614"/>
      <c r="V506" s="614"/>
      <c r="W506" s="615"/>
      <c r="X506" s="609"/>
      <c r="Y506" s="609" t="s">
        <v>911</v>
      </c>
      <c r="Z506" s="609">
        <v>762.5</v>
      </c>
      <c r="AA506" s="616">
        <f>Z506*L506</f>
        <v>54900</v>
      </c>
      <c r="AC506" s="617" t="s">
        <v>1578</v>
      </c>
      <c r="AD506" s="610" t="s">
        <v>1498</v>
      </c>
      <c r="AE506" s="610" t="s">
        <v>82</v>
      </c>
      <c r="AF506" s="610"/>
      <c r="AG506" s="610"/>
      <c r="AH506" s="610"/>
      <c r="AI506" s="610">
        <v>0</v>
      </c>
      <c r="AJ506" s="610">
        <v>0</v>
      </c>
      <c r="AK506" s="610"/>
      <c r="AL506" s="610"/>
      <c r="AM506" s="610"/>
      <c r="AN506" s="610">
        <f>I506*3</f>
        <v>16200</v>
      </c>
      <c r="AR506" s="619"/>
      <c r="AS506" s="548"/>
      <c r="AT506" s="548"/>
      <c r="AU506" s="548"/>
      <c r="AV506" s="548"/>
      <c r="AW506" s="619"/>
      <c r="AX506" s="548"/>
      <c r="AY506" s="548"/>
      <c r="AZ506" s="548"/>
      <c r="BA506" s="548"/>
      <c r="BB506" s="620">
        <f>I506/24*3</f>
        <v>675</v>
      </c>
      <c r="BF506" s="554">
        <f>AN506</f>
        <v>16200</v>
      </c>
      <c r="BH506" s="554">
        <f>AN506</f>
        <v>16200</v>
      </c>
      <c r="BI506" s="554">
        <f>I506</f>
        <v>5400</v>
      </c>
      <c r="BJ506" s="554">
        <f>I506/5</f>
        <v>1080</v>
      </c>
      <c r="BY506" s="619"/>
      <c r="BZ506" s="548"/>
      <c r="CA506" s="621"/>
      <c r="CB506" s="567"/>
      <c r="CC506" s="622"/>
      <c r="CD506" s="619"/>
      <c r="CE506" s="619"/>
      <c r="CF506" s="548"/>
      <c r="CG506" s="548"/>
      <c r="CU506" s="554">
        <f t="shared" si="147"/>
        <v>0</v>
      </c>
      <c r="CV506" s="554">
        <f t="shared" si="160"/>
        <v>0</v>
      </c>
      <c r="CW506" s="554">
        <f t="shared" si="146"/>
        <v>0</v>
      </c>
      <c r="CX506" s="619"/>
      <c r="CY506" s="619"/>
      <c r="CZ506" s="619"/>
      <c r="DA506" s="548"/>
      <c r="DB506" s="548"/>
      <c r="DC506" s="548"/>
      <c r="DD506" s="619"/>
      <c r="DE506" s="619"/>
      <c r="DF506" s="619"/>
      <c r="DG506" s="619"/>
      <c r="DH506" s="619"/>
    </row>
    <row r="507" s="548" customFormat="1" ht="31" customHeight="1" spans="1:112">
      <c r="A507" s="608">
        <v>45838</v>
      </c>
      <c r="B507" s="609" t="s">
        <v>404</v>
      </c>
      <c r="C507" s="610" t="s">
        <v>278</v>
      </c>
      <c r="D507" s="554">
        <v>4500164293</v>
      </c>
      <c r="E507" s="610"/>
      <c r="F507" s="554" t="s">
        <v>7304</v>
      </c>
      <c r="G507" s="610" t="s">
        <v>6025</v>
      </c>
      <c r="H507" s="610" t="s">
        <v>6026</v>
      </c>
      <c r="I507" s="610">
        <v>120</v>
      </c>
      <c r="J507" s="610">
        <v>0</v>
      </c>
      <c r="K507" s="610">
        <v>24</v>
      </c>
      <c r="L507" s="611">
        <f t="shared" si="159"/>
        <v>5</v>
      </c>
      <c r="M507" s="612">
        <v>45891</v>
      </c>
      <c r="N507" s="612">
        <v>45887</v>
      </c>
      <c r="O507" s="613"/>
      <c r="P507" s="613" t="s">
        <v>113</v>
      </c>
      <c r="Q507" s="610"/>
      <c r="R507" s="614">
        <v>45838</v>
      </c>
      <c r="S507" s="614" t="s">
        <v>70</v>
      </c>
      <c r="T507" s="614">
        <v>45838</v>
      </c>
      <c r="U507" s="614"/>
      <c r="V507" s="614"/>
      <c r="W507" s="615"/>
      <c r="X507" s="609" t="s">
        <v>7305</v>
      </c>
      <c r="Y507" s="609" t="s">
        <v>970</v>
      </c>
      <c r="Z507" s="609">
        <v>0.8707</v>
      </c>
      <c r="AA507" s="616">
        <f>Z507*I507</f>
        <v>104.484</v>
      </c>
      <c r="AC507" s="629" t="s">
        <v>1523</v>
      </c>
      <c r="AD507" s="610" t="s">
        <v>6025</v>
      </c>
      <c r="AE507" s="610" t="s">
        <v>82</v>
      </c>
      <c r="AF507" s="610"/>
      <c r="AG507" s="610"/>
      <c r="AH507" s="610"/>
      <c r="AI507" s="610">
        <v>120</v>
      </c>
      <c r="AJ507" s="610">
        <f>AI507-I507</f>
        <v>0</v>
      </c>
      <c r="AK507" s="610"/>
      <c r="AL507" s="610"/>
      <c r="AM507" s="610"/>
      <c r="AN507" s="610"/>
      <c r="AO507" s="554">
        <f>I507</f>
        <v>120</v>
      </c>
      <c r="AR507" s="619"/>
      <c r="AS507" s="548"/>
      <c r="AT507" s="554">
        <f>I507</f>
        <v>120</v>
      </c>
      <c r="AV507" s="554">
        <f>I507</f>
        <v>120</v>
      </c>
      <c r="AW507" s="619"/>
      <c r="AX507" s="548"/>
      <c r="AY507" s="548"/>
      <c r="AZ507" s="548"/>
      <c r="BA507" s="548"/>
      <c r="BB507" s="620">
        <f>I507/24</f>
        <v>5</v>
      </c>
      <c r="BY507" s="619"/>
      <c r="BZ507" s="548"/>
      <c r="CA507" s="621"/>
      <c r="CB507" s="567"/>
      <c r="CC507" s="622"/>
      <c r="CD507" s="619"/>
      <c r="CE507" s="619"/>
      <c r="CF507" s="548"/>
      <c r="CG507" s="548"/>
      <c r="CU507" s="554">
        <f t="shared" si="147"/>
        <v>0</v>
      </c>
      <c r="CV507" s="554">
        <f t="shared" si="160"/>
        <v>0</v>
      </c>
      <c r="CW507" s="554">
        <f t="shared" si="146"/>
        <v>0</v>
      </c>
      <c r="CX507" s="619"/>
      <c r="CY507" s="619"/>
      <c r="CZ507" s="619"/>
      <c r="DA507" s="548"/>
      <c r="DB507" s="548"/>
      <c r="DC507" s="548"/>
      <c r="DD507" s="619"/>
      <c r="DE507" s="619"/>
      <c r="DF507" s="619"/>
      <c r="DG507" s="619"/>
      <c r="DH507" s="619"/>
    </row>
    <row r="508" s="548" customFormat="1" ht="31" customHeight="1" spans="1:112">
      <c r="A508" s="608">
        <v>45862</v>
      </c>
      <c r="B508" s="609" t="s">
        <v>135</v>
      </c>
      <c r="C508" s="610" t="s">
        <v>128</v>
      </c>
      <c r="D508" s="554">
        <v>4500172403</v>
      </c>
      <c r="E508" s="610">
        <v>21012345</v>
      </c>
      <c r="F508" s="554" t="s">
        <v>7306</v>
      </c>
      <c r="G508" s="610" t="s">
        <v>6093</v>
      </c>
      <c r="H508" s="610" t="s">
        <v>6094</v>
      </c>
      <c r="I508" s="610">
        <v>1690</v>
      </c>
      <c r="J508" s="610">
        <v>0</v>
      </c>
      <c r="K508" s="610">
        <v>13</v>
      </c>
      <c r="L508" s="611">
        <f t="shared" si="159"/>
        <v>130</v>
      </c>
      <c r="M508" s="612">
        <v>45901</v>
      </c>
      <c r="N508" s="612">
        <v>45891</v>
      </c>
      <c r="O508" s="613"/>
      <c r="P508" s="613" t="s">
        <v>113</v>
      </c>
      <c r="Q508" s="610" t="s">
        <v>1571</v>
      </c>
      <c r="R508" s="614">
        <v>45869</v>
      </c>
      <c r="S508" s="614" t="s">
        <v>104</v>
      </c>
      <c r="T508" s="614">
        <v>45880</v>
      </c>
      <c r="U508" s="614"/>
      <c r="V508" s="614"/>
      <c r="W508" s="615"/>
      <c r="X508" s="609" t="s">
        <v>6288</v>
      </c>
      <c r="Y508" s="609" t="s">
        <v>133</v>
      </c>
      <c r="Z508" s="609">
        <v>0.9475</v>
      </c>
      <c r="AA508" s="616">
        <f>Z508*I508</f>
        <v>1601.275</v>
      </c>
      <c r="AC508" s="617" t="s">
        <v>7307</v>
      </c>
      <c r="AD508" s="610" t="s">
        <v>6093</v>
      </c>
      <c r="AE508" s="610" t="s">
        <v>82</v>
      </c>
      <c r="AF508" s="610"/>
      <c r="AG508" s="610"/>
      <c r="AH508" s="610"/>
      <c r="AI508" s="610">
        <f>1677+13</f>
        <v>1690</v>
      </c>
      <c r="AJ508" s="610">
        <f>AI508-I508</f>
        <v>0</v>
      </c>
      <c r="AK508" s="610"/>
      <c r="AL508" s="610"/>
      <c r="AM508" s="610"/>
      <c r="AN508" s="610"/>
      <c r="AO508" s="554">
        <f>I508</f>
        <v>1690</v>
      </c>
      <c r="AR508" s="619"/>
      <c r="AS508" s="548"/>
      <c r="AT508" s="554">
        <f>I508</f>
        <v>1690</v>
      </c>
      <c r="AV508" s="554">
        <f>I508</f>
        <v>1690</v>
      </c>
      <c r="AW508" s="619"/>
      <c r="AX508" s="548"/>
      <c r="AY508" s="548"/>
      <c r="AZ508" s="548"/>
      <c r="BA508" s="548"/>
      <c r="BB508" s="620">
        <f>I508/24</f>
        <v>70.4166666666667</v>
      </c>
      <c r="BM508" s="554">
        <f>I508/13</f>
        <v>130</v>
      </c>
      <c r="BY508" s="619"/>
      <c r="BZ508" s="548"/>
      <c r="CA508" s="621"/>
      <c r="CB508" s="567"/>
      <c r="CC508" s="622"/>
      <c r="CD508" s="619"/>
      <c r="CE508" s="619"/>
      <c r="CF508" s="548"/>
      <c r="CG508" s="548"/>
      <c r="CU508" s="554">
        <f t="shared" si="147"/>
        <v>0</v>
      </c>
      <c r="CV508" s="554">
        <f t="shared" si="160"/>
        <v>0</v>
      </c>
      <c r="CW508" s="554">
        <f t="shared" si="146"/>
        <v>0</v>
      </c>
      <c r="CX508" s="619"/>
      <c r="CY508" s="619"/>
      <c r="CZ508" s="619"/>
      <c r="DA508" s="548"/>
      <c r="DB508" s="548"/>
      <c r="DC508" s="548"/>
      <c r="DD508" s="619"/>
      <c r="DE508" s="619"/>
      <c r="DF508" s="619"/>
      <c r="DG508" s="619"/>
      <c r="DH508" s="619"/>
    </row>
    <row r="509" s="548" customFormat="1" ht="31" customHeight="1" spans="1:112">
      <c r="A509" s="608">
        <v>45854</v>
      </c>
      <c r="B509" s="609" t="s">
        <v>1272</v>
      </c>
      <c r="C509" s="610" t="s">
        <v>98</v>
      </c>
      <c r="D509" s="554">
        <v>4500174005</v>
      </c>
      <c r="E509" s="610">
        <v>15777184</v>
      </c>
      <c r="F509" s="554" t="s">
        <v>7308</v>
      </c>
      <c r="G509" s="610" t="s">
        <v>6166</v>
      </c>
      <c r="H509" s="610" t="s">
        <v>6094</v>
      </c>
      <c r="I509" s="610">
        <v>3250</v>
      </c>
      <c r="J509" s="610">
        <v>0</v>
      </c>
      <c r="K509" s="610">
        <v>13</v>
      </c>
      <c r="L509" s="611">
        <f t="shared" si="159"/>
        <v>250</v>
      </c>
      <c r="M509" s="612">
        <v>45898</v>
      </c>
      <c r="N509" s="612">
        <v>45894</v>
      </c>
      <c r="O509" s="613"/>
      <c r="P509" s="613" t="s">
        <v>113</v>
      </c>
      <c r="Q509" s="610"/>
      <c r="R509" s="614" t="s">
        <v>1276</v>
      </c>
      <c r="S509" s="614" t="s">
        <v>104</v>
      </c>
      <c r="T509" s="614">
        <v>45862</v>
      </c>
      <c r="U509" s="614"/>
      <c r="V509" s="614"/>
      <c r="W509" s="615"/>
      <c r="X509" s="609" t="s">
        <v>7309</v>
      </c>
      <c r="Y509" s="609" t="s">
        <v>1278</v>
      </c>
      <c r="Z509" s="609">
        <v>0.5528</v>
      </c>
      <c r="AA509" s="616">
        <f>Z509*I509</f>
        <v>1796.6</v>
      </c>
      <c r="AC509" s="617" t="s">
        <v>7310</v>
      </c>
      <c r="AD509" s="610" t="s">
        <v>6257</v>
      </c>
      <c r="AE509" s="610" t="s">
        <v>82</v>
      </c>
      <c r="AF509" s="610"/>
      <c r="AG509" s="610"/>
      <c r="AH509" s="610"/>
      <c r="AI509" s="610">
        <v>3250</v>
      </c>
      <c r="AJ509" s="610">
        <f>AI509-I509</f>
        <v>0</v>
      </c>
      <c r="AK509" s="610"/>
      <c r="AL509" s="610"/>
      <c r="AM509" s="610"/>
      <c r="AN509" s="610">
        <f>I509</f>
        <v>3250</v>
      </c>
      <c r="AP509" s="554">
        <f>I509</f>
        <v>3250</v>
      </c>
      <c r="AR509" s="619"/>
      <c r="AS509" s="548"/>
      <c r="AT509" s="548"/>
      <c r="AU509" s="554">
        <f>I509</f>
        <v>3250</v>
      </c>
      <c r="AW509" s="619"/>
      <c r="AX509" s="548"/>
      <c r="AY509" s="548"/>
      <c r="AZ509" s="548"/>
      <c r="BA509" s="548"/>
      <c r="BB509" s="620">
        <f>I509/24</f>
        <v>135.416666666667</v>
      </c>
      <c r="BK509" s="554">
        <f>I509/13</f>
        <v>250</v>
      </c>
      <c r="BY509" s="619"/>
      <c r="BZ509" s="548"/>
      <c r="CA509" s="621"/>
      <c r="CB509" s="567"/>
      <c r="CC509" s="622"/>
      <c r="CD509" s="619"/>
      <c r="CE509" s="619"/>
      <c r="CF509" s="548"/>
      <c r="CG509" s="548"/>
      <c r="CU509" s="554">
        <f t="shared" si="147"/>
        <v>0</v>
      </c>
      <c r="CV509" s="554">
        <f t="shared" si="160"/>
        <v>0</v>
      </c>
      <c r="CW509" s="554">
        <f t="shared" si="146"/>
        <v>0</v>
      </c>
      <c r="CX509" s="619"/>
      <c r="CY509" s="619"/>
      <c r="CZ509" s="619"/>
      <c r="DA509" s="548"/>
      <c r="DB509" s="548"/>
      <c r="DC509" s="548"/>
      <c r="DD509" s="619"/>
      <c r="DE509" s="619"/>
      <c r="DF509" s="619"/>
      <c r="DG509" s="619"/>
      <c r="DH509" s="619"/>
    </row>
    <row r="510" s="548" customFormat="1" ht="31" customHeight="1" spans="1:112">
      <c r="A510" s="608">
        <v>45863</v>
      </c>
      <c r="B510" s="609" t="s">
        <v>1620</v>
      </c>
      <c r="C510" s="610" t="s">
        <v>278</v>
      </c>
      <c r="D510" s="554">
        <v>4500175135</v>
      </c>
      <c r="E510" s="610" t="s">
        <v>7311</v>
      </c>
      <c r="F510" s="554" t="s">
        <v>7312</v>
      </c>
      <c r="G510" s="610" t="s">
        <v>6047</v>
      </c>
      <c r="H510" s="610" t="s">
        <v>6069</v>
      </c>
      <c r="I510" s="610">
        <v>5000</v>
      </c>
      <c r="J510" s="610">
        <v>0</v>
      </c>
      <c r="K510" s="610">
        <v>25</v>
      </c>
      <c r="L510" s="611">
        <f t="shared" si="159"/>
        <v>200</v>
      </c>
      <c r="M510" s="612">
        <v>45898</v>
      </c>
      <c r="N510" s="612">
        <v>45894</v>
      </c>
      <c r="O510" s="613"/>
      <c r="P510" s="613" t="s">
        <v>113</v>
      </c>
      <c r="Q510" s="610"/>
      <c r="R510" s="614">
        <v>45848</v>
      </c>
      <c r="S510" s="614" t="s">
        <v>70</v>
      </c>
      <c r="T510" s="614" t="s">
        <v>70</v>
      </c>
      <c r="U510" s="614"/>
      <c r="V510" s="614"/>
      <c r="W510" s="615"/>
      <c r="X510" s="609" t="s">
        <v>7313</v>
      </c>
      <c r="Y510" s="609" t="s">
        <v>1549</v>
      </c>
      <c r="Z510" s="609">
        <v>0.9365</v>
      </c>
      <c r="AA510" s="616">
        <f>Z510*I510</f>
        <v>4682.5</v>
      </c>
      <c r="AC510" s="617" t="s">
        <v>7314</v>
      </c>
      <c r="AD510" s="610" t="s">
        <v>6073</v>
      </c>
      <c r="AE510" s="610" t="s">
        <v>82</v>
      </c>
      <c r="AF510" s="610"/>
      <c r="AG510" s="610"/>
      <c r="AH510" s="610"/>
      <c r="AI510" s="610">
        <v>5000</v>
      </c>
      <c r="AJ510" s="610">
        <f>AI510-I510</f>
        <v>0</v>
      </c>
      <c r="AK510" s="610"/>
      <c r="AL510" s="610"/>
      <c r="AM510" s="610"/>
      <c r="AN510" s="610"/>
      <c r="AO510" s="554">
        <f>I510</f>
        <v>5000</v>
      </c>
      <c r="AR510" s="619"/>
      <c r="AS510" s="548"/>
      <c r="AT510" s="548"/>
      <c r="AU510" s="548"/>
      <c r="AV510" s="554">
        <f>I510</f>
        <v>5000</v>
      </c>
      <c r="AW510" s="619"/>
      <c r="AX510" s="548"/>
      <c r="AY510" s="548"/>
      <c r="AZ510" s="548"/>
      <c r="BA510" s="548"/>
      <c r="BB510" s="620">
        <f>I510/24*2</f>
        <v>416.666666666667</v>
      </c>
      <c r="BE510" s="554">
        <f>I510</f>
        <v>5000</v>
      </c>
      <c r="BP510" s="554">
        <f>I510/25</f>
        <v>200</v>
      </c>
      <c r="BY510" s="619"/>
      <c r="BZ510" s="548"/>
      <c r="CA510" s="621"/>
      <c r="CB510" s="567"/>
      <c r="CC510" s="622"/>
      <c r="CD510" s="619"/>
      <c r="CE510" s="619"/>
      <c r="CF510" s="548"/>
      <c r="CG510" s="548"/>
      <c r="CU510" s="554">
        <f t="shared" si="147"/>
        <v>200</v>
      </c>
      <c r="CV510" s="554">
        <f t="shared" si="160"/>
        <v>0</v>
      </c>
      <c r="CW510" s="554">
        <f t="shared" si="146"/>
        <v>0</v>
      </c>
      <c r="CX510" s="619"/>
      <c r="CY510" s="619"/>
      <c r="CZ510" s="619"/>
      <c r="DA510" s="548"/>
      <c r="DB510" s="548"/>
      <c r="DC510" s="548"/>
      <c r="DD510" s="619"/>
      <c r="DE510" s="619"/>
      <c r="DF510" s="619"/>
      <c r="DG510" s="619"/>
      <c r="DH510" s="619"/>
    </row>
    <row r="511" s="548" customFormat="1" ht="31" customHeight="1" spans="1:112">
      <c r="A511" s="608">
        <v>45762</v>
      </c>
      <c r="B511" s="609" t="s">
        <v>1579</v>
      </c>
      <c r="C511" s="610" t="s">
        <v>399</v>
      </c>
      <c r="D511" s="554">
        <v>4500167721</v>
      </c>
      <c r="E511" s="610">
        <v>5510041521</v>
      </c>
      <c r="F511" s="554" t="s">
        <v>1580</v>
      </c>
      <c r="G511" s="610" t="s">
        <v>829</v>
      </c>
      <c r="H511" s="610" t="s">
        <v>830</v>
      </c>
      <c r="I511" s="610">
        <v>18</v>
      </c>
      <c r="J511" s="610">
        <v>0</v>
      </c>
      <c r="K511" s="610">
        <v>1</v>
      </c>
      <c r="L511" s="611">
        <f t="shared" si="159"/>
        <v>18</v>
      </c>
      <c r="M511" s="612">
        <v>45889</v>
      </c>
      <c r="N511" s="612">
        <v>45885</v>
      </c>
      <c r="O511" s="613"/>
      <c r="P511" s="613" t="s">
        <v>113</v>
      </c>
      <c r="Q511" s="610"/>
      <c r="R511" s="614">
        <v>45786</v>
      </c>
      <c r="S511" s="614" t="s">
        <v>70</v>
      </c>
      <c r="T511" s="614" t="s">
        <v>70</v>
      </c>
      <c r="U511" s="614"/>
      <c r="V511" s="614"/>
      <c r="W511" s="615"/>
      <c r="X511" s="609" t="s">
        <v>1582</v>
      </c>
      <c r="Y511" s="609" t="s">
        <v>1583</v>
      </c>
      <c r="Z511" s="609">
        <v>0</v>
      </c>
      <c r="AA511" s="616">
        <f>Z511*L511</f>
        <v>0</v>
      </c>
      <c r="AC511" s="617" t="s">
        <v>1584</v>
      </c>
      <c r="AD511" s="610" t="s">
        <v>829</v>
      </c>
      <c r="AE511" s="610" t="s">
        <v>82</v>
      </c>
      <c r="AF511" s="610"/>
      <c r="AG511" s="610"/>
      <c r="AH511" s="610"/>
      <c r="AI511" s="610">
        <v>0</v>
      </c>
      <c r="AJ511" s="610">
        <v>0</v>
      </c>
      <c r="AK511" s="610"/>
      <c r="AL511" s="610"/>
      <c r="AM511" s="610"/>
      <c r="AN511" s="610"/>
      <c r="AO511" s="548"/>
      <c r="AP511" s="548"/>
      <c r="AQ511" s="548"/>
      <c r="AR511" s="619"/>
      <c r="AS511" s="548"/>
      <c r="AT511" s="548"/>
      <c r="AU511" s="548"/>
      <c r="AV511" s="548"/>
      <c r="AW511" s="619"/>
      <c r="AX511" s="548"/>
      <c r="AY511" s="548"/>
      <c r="AZ511" s="548"/>
      <c r="BA511" s="548"/>
      <c r="BB511" s="620"/>
      <c r="BC511" s="548"/>
      <c r="BD511" s="548"/>
      <c r="BE511" s="548"/>
      <c r="BF511" s="548"/>
      <c r="BY511" s="619"/>
      <c r="BZ511" s="548"/>
      <c r="CA511" s="621"/>
      <c r="CB511" s="567"/>
      <c r="CC511" s="622"/>
      <c r="CD511" s="619"/>
      <c r="CE511" s="619"/>
      <c r="CF511" s="548"/>
      <c r="CG511" s="548"/>
      <c r="CU511" s="554">
        <f t="shared" si="147"/>
        <v>0</v>
      </c>
      <c r="CV511" s="554">
        <f t="shared" si="160"/>
        <v>0</v>
      </c>
      <c r="CW511" s="554">
        <f t="shared" si="146"/>
        <v>0</v>
      </c>
      <c r="CX511" s="619"/>
      <c r="CY511" s="619"/>
      <c r="CZ511" s="619"/>
      <c r="DA511" s="548"/>
      <c r="DB511" s="548"/>
      <c r="DC511" s="548"/>
      <c r="DD511" s="619"/>
      <c r="DE511" s="619"/>
      <c r="DF511" s="619"/>
      <c r="DG511" s="619"/>
      <c r="DH511" s="619"/>
    </row>
    <row r="512" s="548" customFormat="1" ht="31" customHeight="1" spans="1:112">
      <c r="A512" s="608">
        <v>45762</v>
      </c>
      <c r="B512" s="609" t="s">
        <v>1579</v>
      </c>
      <c r="C512" s="610" t="s">
        <v>399</v>
      </c>
      <c r="D512" s="554">
        <v>4500167721</v>
      </c>
      <c r="E512" s="610">
        <v>5510041521</v>
      </c>
      <c r="F512" s="554" t="s">
        <v>1580</v>
      </c>
      <c r="G512" s="610">
        <v>77711</v>
      </c>
      <c r="H512" s="610" t="s">
        <v>6033</v>
      </c>
      <c r="I512" s="610">
        <v>1350</v>
      </c>
      <c r="J512" s="610">
        <v>0</v>
      </c>
      <c r="K512" s="610">
        <v>75</v>
      </c>
      <c r="L512" s="611">
        <f t="shared" si="159"/>
        <v>18</v>
      </c>
      <c r="M512" s="612">
        <v>45889</v>
      </c>
      <c r="N512" s="612">
        <v>45885</v>
      </c>
      <c r="O512" s="613"/>
      <c r="P512" s="613" t="s">
        <v>113</v>
      </c>
      <c r="Q512" s="610"/>
      <c r="R512" s="614">
        <v>45786</v>
      </c>
      <c r="S512" s="614" t="s">
        <v>70</v>
      </c>
      <c r="T512" s="614" t="s">
        <v>70</v>
      </c>
      <c r="U512" s="614"/>
      <c r="V512" s="614"/>
      <c r="W512" s="615"/>
      <c r="X512" s="609" t="s">
        <v>1582</v>
      </c>
      <c r="Y512" s="609" t="s">
        <v>1583</v>
      </c>
      <c r="Z512" s="609">
        <v>787.0306</v>
      </c>
      <c r="AA512" s="616">
        <f t="shared" ref="AA511:AA518" si="163">Z512*L512</f>
        <v>14166.5508</v>
      </c>
      <c r="AC512" s="617" t="s">
        <v>1584</v>
      </c>
      <c r="AD512" s="610" t="s">
        <v>829</v>
      </c>
      <c r="AE512" s="610" t="s">
        <v>82</v>
      </c>
      <c r="AF512" s="610"/>
      <c r="AG512" s="610"/>
      <c r="AH512" s="610"/>
      <c r="AI512" s="610">
        <v>0</v>
      </c>
      <c r="AJ512" s="610">
        <v>0</v>
      </c>
      <c r="AK512" s="610"/>
      <c r="AL512" s="610"/>
      <c r="AM512" s="610"/>
      <c r="AN512" s="610"/>
      <c r="AO512" s="554">
        <f>I512*3</f>
        <v>4050</v>
      </c>
      <c r="AR512" s="619"/>
      <c r="AS512" s="548"/>
      <c r="AT512" s="548"/>
      <c r="AU512" s="548"/>
      <c r="AV512" s="548"/>
      <c r="AW512" s="619"/>
      <c r="AX512" s="548"/>
      <c r="AY512" s="548"/>
      <c r="AZ512" s="548"/>
      <c r="BA512" s="548"/>
      <c r="BB512" s="620">
        <f>I512/24*3</f>
        <v>168.75</v>
      </c>
      <c r="BF512" s="554">
        <f>I512*3</f>
        <v>4050</v>
      </c>
      <c r="BH512" s="554">
        <f>I512*3</f>
        <v>4050</v>
      </c>
      <c r="BI512" s="554">
        <f>I512/3</f>
        <v>450</v>
      </c>
      <c r="BJ512" s="554">
        <f>I512/5</f>
        <v>270</v>
      </c>
      <c r="BY512" s="619"/>
      <c r="BZ512" s="548"/>
      <c r="CA512" s="621"/>
      <c r="CB512" s="567"/>
      <c r="CC512" s="622"/>
      <c r="CD512" s="619"/>
      <c r="CE512" s="619"/>
      <c r="CF512" s="548"/>
      <c r="CG512" s="548"/>
      <c r="CU512" s="554">
        <f t="shared" si="147"/>
        <v>0</v>
      </c>
      <c r="CV512" s="554">
        <f t="shared" si="160"/>
        <v>0</v>
      </c>
      <c r="CW512" s="554">
        <f t="shared" si="146"/>
        <v>0</v>
      </c>
      <c r="CX512" s="619"/>
      <c r="CY512" s="619"/>
      <c r="CZ512" s="619"/>
      <c r="DA512" s="548"/>
      <c r="DB512" s="548"/>
      <c r="DC512" s="548"/>
      <c r="DD512" s="619"/>
      <c r="DE512" s="619"/>
      <c r="DF512" s="619"/>
      <c r="DG512" s="619"/>
      <c r="DH512" s="619"/>
    </row>
    <row r="513" s="548" customFormat="1" ht="31" customHeight="1" spans="1:112">
      <c r="A513" s="608">
        <v>45678</v>
      </c>
      <c r="B513" s="609" t="s">
        <v>1492</v>
      </c>
      <c r="C513" s="610" t="s">
        <v>98</v>
      </c>
      <c r="D513" s="554">
        <v>4500156314</v>
      </c>
      <c r="E513" s="613">
        <v>2880625215</v>
      </c>
      <c r="F513" s="554" t="s">
        <v>1586</v>
      </c>
      <c r="G513" s="610" t="s">
        <v>909</v>
      </c>
      <c r="H513" s="610" t="s">
        <v>830</v>
      </c>
      <c r="I513" s="610">
        <v>72</v>
      </c>
      <c r="J513" s="610">
        <v>0</v>
      </c>
      <c r="K513" s="610">
        <v>1</v>
      </c>
      <c r="L513" s="611">
        <f t="shared" si="159"/>
        <v>72</v>
      </c>
      <c r="M513" s="612">
        <v>45891</v>
      </c>
      <c r="N513" s="612">
        <f>M513-4</f>
        <v>45887</v>
      </c>
      <c r="O513" s="613"/>
      <c r="P513" s="613" t="s">
        <v>113</v>
      </c>
      <c r="Q513" s="610"/>
      <c r="R513" s="614">
        <v>45832</v>
      </c>
      <c r="S513" s="614" t="s">
        <v>70</v>
      </c>
      <c r="T513" s="614" t="s">
        <v>70</v>
      </c>
      <c r="U513" s="614"/>
      <c r="V513" s="614"/>
      <c r="W513" s="615"/>
      <c r="X513" s="628" t="s">
        <v>1587</v>
      </c>
      <c r="Y513" s="609" t="s">
        <v>911</v>
      </c>
      <c r="Z513" s="609">
        <v>0</v>
      </c>
      <c r="AA513" s="616">
        <f t="shared" si="163"/>
        <v>0</v>
      </c>
      <c r="AC513" s="632" t="s">
        <v>1588</v>
      </c>
      <c r="AD513" s="610" t="s">
        <v>1498</v>
      </c>
      <c r="AE513" s="610" t="s">
        <v>82</v>
      </c>
      <c r="AF513" s="610"/>
      <c r="AG513" s="610"/>
      <c r="AH513" s="610"/>
      <c r="AI513" s="610">
        <v>0</v>
      </c>
      <c r="AJ513" s="610">
        <v>0</v>
      </c>
      <c r="AK513" s="610"/>
      <c r="AL513" s="610"/>
      <c r="AM513" s="610"/>
      <c r="AN513" s="610"/>
      <c r="AO513" s="548"/>
      <c r="AP513" s="548"/>
      <c r="AQ513" s="548"/>
      <c r="AR513" s="619"/>
      <c r="AS513" s="548"/>
      <c r="AT513" s="548"/>
      <c r="AU513" s="548"/>
      <c r="AV513" s="548"/>
      <c r="AW513" s="619"/>
      <c r="AX513" s="548"/>
      <c r="AY513" s="548"/>
      <c r="AZ513" s="548"/>
      <c r="BA513" s="548"/>
      <c r="BB513" s="620"/>
      <c r="BC513" s="548"/>
      <c r="BD513" s="548"/>
      <c r="BE513" s="548"/>
      <c r="BF513" s="548"/>
      <c r="BY513" s="619"/>
      <c r="BZ513" s="548"/>
      <c r="CA513" s="621"/>
      <c r="CB513" s="567"/>
      <c r="CC513" s="622"/>
      <c r="CD513" s="619"/>
      <c r="CE513" s="619"/>
      <c r="CF513" s="548"/>
      <c r="CG513" s="548"/>
      <c r="CU513" s="554">
        <f t="shared" si="147"/>
        <v>0</v>
      </c>
      <c r="CV513" s="554">
        <f t="shared" si="160"/>
        <v>0</v>
      </c>
      <c r="CW513" s="554">
        <f t="shared" si="146"/>
        <v>0</v>
      </c>
      <c r="CX513" s="619"/>
      <c r="CY513" s="619"/>
      <c r="CZ513" s="619"/>
      <c r="DA513" s="548"/>
      <c r="DB513" s="548"/>
      <c r="DC513" s="548"/>
      <c r="DD513" s="619"/>
      <c r="DE513" s="619"/>
      <c r="DF513" s="619"/>
      <c r="DG513" s="619"/>
      <c r="DH513" s="619"/>
    </row>
    <row r="514" s="548" customFormat="1" ht="31" customHeight="1" spans="1:112">
      <c r="A514" s="608">
        <v>45678</v>
      </c>
      <c r="B514" s="609" t="s">
        <v>1492</v>
      </c>
      <c r="C514" s="610" t="s">
        <v>98</v>
      </c>
      <c r="D514" s="554">
        <v>4500156314</v>
      </c>
      <c r="E514" s="613">
        <v>2880625215</v>
      </c>
      <c r="F514" s="554" t="s">
        <v>1586</v>
      </c>
      <c r="G514" s="610">
        <v>77711</v>
      </c>
      <c r="H514" s="610" t="s">
        <v>6033</v>
      </c>
      <c r="I514" s="610">
        <v>5400</v>
      </c>
      <c r="J514" s="610">
        <v>0</v>
      </c>
      <c r="K514" s="610">
        <v>75</v>
      </c>
      <c r="L514" s="611">
        <f t="shared" si="159"/>
        <v>72</v>
      </c>
      <c r="M514" s="612">
        <v>45891</v>
      </c>
      <c r="N514" s="612">
        <f>M514-4</f>
        <v>45887</v>
      </c>
      <c r="O514" s="613"/>
      <c r="P514" s="613" t="s">
        <v>113</v>
      </c>
      <c r="Q514" s="610"/>
      <c r="R514" s="614">
        <v>45832</v>
      </c>
      <c r="S514" s="614" t="s">
        <v>70</v>
      </c>
      <c r="T514" s="614" t="s">
        <v>70</v>
      </c>
      <c r="U514" s="614"/>
      <c r="V514" s="614"/>
      <c r="W514" s="615"/>
      <c r="X514" s="609"/>
      <c r="Y514" s="609" t="s">
        <v>911</v>
      </c>
      <c r="Z514" s="609">
        <v>762.5</v>
      </c>
      <c r="AA514" s="616">
        <f t="shared" si="163"/>
        <v>54900</v>
      </c>
      <c r="AC514" s="632" t="s">
        <v>1588</v>
      </c>
      <c r="AD514" s="610" t="s">
        <v>1498</v>
      </c>
      <c r="AE514" s="610" t="s">
        <v>82</v>
      </c>
      <c r="AF514" s="610"/>
      <c r="AG514" s="610"/>
      <c r="AH514" s="610"/>
      <c r="AI514" s="610">
        <v>0</v>
      </c>
      <c r="AJ514" s="610">
        <v>0</v>
      </c>
      <c r="AK514" s="610"/>
      <c r="AL514" s="610"/>
      <c r="AM514" s="610"/>
      <c r="AN514" s="610">
        <f>I514*3</f>
        <v>16200</v>
      </c>
      <c r="AR514" s="619"/>
      <c r="AS514" s="548"/>
      <c r="AT514" s="548"/>
      <c r="AU514" s="548"/>
      <c r="AV514" s="548"/>
      <c r="AW514" s="619"/>
      <c r="AX514" s="548"/>
      <c r="AY514" s="548"/>
      <c r="AZ514" s="548"/>
      <c r="BA514" s="548"/>
      <c r="BB514" s="620">
        <f>I514/24*3</f>
        <v>675</v>
      </c>
      <c r="BF514" s="554">
        <f>AN514</f>
        <v>16200</v>
      </c>
      <c r="BH514" s="554">
        <f>AN514</f>
        <v>16200</v>
      </c>
      <c r="BI514" s="554">
        <f>I514</f>
        <v>5400</v>
      </c>
      <c r="BJ514" s="554">
        <f>I514/5</f>
        <v>1080</v>
      </c>
      <c r="BY514" s="619"/>
      <c r="BZ514" s="548"/>
      <c r="CA514" s="621"/>
      <c r="CB514" s="567"/>
      <c r="CC514" s="622"/>
      <c r="CD514" s="619"/>
      <c r="CE514" s="619"/>
      <c r="CF514" s="548"/>
      <c r="CG514" s="548"/>
      <c r="CU514" s="554">
        <f t="shared" si="147"/>
        <v>0</v>
      </c>
      <c r="CV514" s="554">
        <f t="shared" si="160"/>
        <v>0</v>
      </c>
      <c r="CW514" s="554">
        <f t="shared" ref="CW514:CW545" si="164">CI514+CJ514</f>
        <v>0</v>
      </c>
      <c r="CX514" s="619"/>
      <c r="CY514" s="619"/>
      <c r="CZ514" s="619"/>
      <c r="DA514" s="548"/>
      <c r="DB514" s="548"/>
      <c r="DC514" s="548"/>
      <c r="DD514" s="619"/>
      <c r="DE514" s="619"/>
      <c r="DF514" s="619"/>
      <c r="DG514" s="619"/>
      <c r="DH514" s="619"/>
    </row>
    <row r="515" s="548" customFormat="1" ht="31" customHeight="1" spans="1:112">
      <c r="A515" s="608">
        <v>45678</v>
      </c>
      <c r="B515" s="609" t="s">
        <v>1492</v>
      </c>
      <c r="C515" s="610" t="s">
        <v>98</v>
      </c>
      <c r="D515" s="554">
        <v>4500156323</v>
      </c>
      <c r="E515" s="613">
        <v>12030625245</v>
      </c>
      <c r="F515" s="554" t="s">
        <v>1590</v>
      </c>
      <c r="G515" s="610" t="s">
        <v>909</v>
      </c>
      <c r="H515" s="610" t="s">
        <v>830</v>
      </c>
      <c r="I515" s="610">
        <v>72</v>
      </c>
      <c r="J515" s="610">
        <v>0</v>
      </c>
      <c r="K515" s="610">
        <v>1</v>
      </c>
      <c r="L515" s="611">
        <f t="shared" si="159"/>
        <v>72</v>
      </c>
      <c r="M515" s="612">
        <v>45896</v>
      </c>
      <c r="N515" s="612">
        <v>45892</v>
      </c>
      <c r="O515" s="613"/>
      <c r="P515" s="613" t="s">
        <v>113</v>
      </c>
      <c r="Q515" s="610"/>
      <c r="R515" s="614">
        <v>45832</v>
      </c>
      <c r="S515" s="614" t="s">
        <v>70</v>
      </c>
      <c r="T515" s="614" t="s">
        <v>70</v>
      </c>
      <c r="U515" s="614"/>
      <c r="V515" s="614"/>
      <c r="W515" s="615"/>
      <c r="X515" s="628" t="s">
        <v>1591</v>
      </c>
      <c r="Y515" s="609" t="s">
        <v>911</v>
      </c>
      <c r="Z515" s="609">
        <v>0</v>
      </c>
      <c r="AA515" s="616">
        <f t="shared" si="163"/>
        <v>0</v>
      </c>
      <c r="AC515" s="632" t="s">
        <v>1592</v>
      </c>
      <c r="AD515" s="610" t="s">
        <v>1498</v>
      </c>
      <c r="AE515" s="610" t="s">
        <v>82</v>
      </c>
      <c r="AF515" s="610"/>
      <c r="AG515" s="610"/>
      <c r="AH515" s="610"/>
      <c r="AI515" s="610">
        <v>0</v>
      </c>
      <c r="AJ515" s="610">
        <v>0</v>
      </c>
      <c r="AK515" s="610"/>
      <c r="AL515" s="610"/>
      <c r="AM515" s="610"/>
      <c r="AN515" s="610"/>
      <c r="AO515" s="548"/>
      <c r="AP515" s="548"/>
      <c r="AQ515" s="548"/>
      <c r="AR515" s="619"/>
      <c r="AS515" s="548"/>
      <c r="AT515" s="548"/>
      <c r="AU515" s="548"/>
      <c r="AV515" s="548"/>
      <c r="AW515" s="619"/>
      <c r="AX515" s="548"/>
      <c r="AY515" s="548"/>
      <c r="AZ515" s="548"/>
      <c r="BA515" s="548"/>
      <c r="BB515" s="620"/>
      <c r="BC515" s="548"/>
      <c r="BD515" s="548"/>
      <c r="BE515" s="548"/>
      <c r="BF515" s="548"/>
      <c r="BY515" s="619"/>
      <c r="BZ515" s="548"/>
      <c r="CA515" s="621"/>
      <c r="CB515" s="567"/>
      <c r="CC515" s="622"/>
      <c r="CD515" s="619"/>
      <c r="CE515" s="619"/>
      <c r="CF515" s="548"/>
      <c r="CG515" s="548"/>
      <c r="CU515" s="554">
        <f t="shared" ref="CU515:CU578" si="165">BQ515+BP515+BO515+BN515+BX515+BR515</f>
        <v>0</v>
      </c>
      <c r="CV515" s="554">
        <f t="shared" si="160"/>
        <v>0</v>
      </c>
      <c r="CW515" s="554">
        <f t="shared" si="164"/>
        <v>0</v>
      </c>
      <c r="CX515" s="619"/>
      <c r="CY515" s="619"/>
      <c r="CZ515" s="619"/>
      <c r="DA515" s="548"/>
      <c r="DB515" s="548"/>
      <c r="DC515" s="548"/>
      <c r="DD515" s="619"/>
      <c r="DE515" s="619"/>
      <c r="DF515" s="619"/>
      <c r="DG515" s="619"/>
      <c r="DH515" s="619"/>
    </row>
    <row r="516" s="548" customFormat="1" ht="31" customHeight="1" spans="1:112">
      <c r="A516" s="608">
        <v>45678</v>
      </c>
      <c r="B516" s="609" t="s">
        <v>1492</v>
      </c>
      <c r="C516" s="610" t="s">
        <v>98</v>
      </c>
      <c r="D516" s="554">
        <v>4500156323</v>
      </c>
      <c r="E516" s="613">
        <v>12030625245</v>
      </c>
      <c r="F516" s="554" t="s">
        <v>1590</v>
      </c>
      <c r="G516" s="610">
        <v>77711</v>
      </c>
      <c r="H516" s="610" t="s">
        <v>6033</v>
      </c>
      <c r="I516" s="610">
        <v>5400</v>
      </c>
      <c r="J516" s="610">
        <v>0</v>
      </c>
      <c r="K516" s="610">
        <v>75</v>
      </c>
      <c r="L516" s="611">
        <f t="shared" si="159"/>
        <v>72</v>
      </c>
      <c r="M516" s="612">
        <v>45896</v>
      </c>
      <c r="N516" s="612">
        <v>45892</v>
      </c>
      <c r="O516" s="613"/>
      <c r="P516" s="613" t="s">
        <v>113</v>
      </c>
      <c r="Q516" s="610"/>
      <c r="R516" s="614">
        <v>45832</v>
      </c>
      <c r="S516" s="614" t="s">
        <v>70</v>
      </c>
      <c r="T516" s="614" t="s">
        <v>70</v>
      </c>
      <c r="U516" s="614"/>
      <c r="V516" s="614"/>
      <c r="W516" s="615"/>
      <c r="X516" s="609"/>
      <c r="Y516" s="609" t="s">
        <v>911</v>
      </c>
      <c r="Z516" s="609">
        <v>762.5</v>
      </c>
      <c r="AA516" s="616">
        <f t="shared" si="163"/>
        <v>54900</v>
      </c>
      <c r="AC516" s="632" t="s">
        <v>1592</v>
      </c>
      <c r="AD516" s="610" t="s">
        <v>1498</v>
      </c>
      <c r="AE516" s="610" t="s">
        <v>82</v>
      </c>
      <c r="AF516" s="610"/>
      <c r="AG516" s="610"/>
      <c r="AH516" s="610"/>
      <c r="AI516" s="610">
        <v>0</v>
      </c>
      <c r="AJ516" s="610">
        <v>0</v>
      </c>
      <c r="AK516" s="610"/>
      <c r="AL516" s="610"/>
      <c r="AM516" s="610"/>
      <c r="AN516" s="610">
        <f>I516*3</f>
        <v>16200</v>
      </c>
      <c r="AR516" s="619"/>
      <c r="AS516" s="548"/>
      <c r="AT516" s="548"/>
      <c r="AU516" s="548"/>
      <c r="AV516" s="548"/>
      <c r="AW516" s="619"/>
      <c r="AX516" s="548"/>
      <c r="AY516" s="548"/>
      <c r="AZ516" s="548"/>
      <c r="BA516" s="548"/>
      <c r="BB516" s="620">
        <f>I516/24*3</f>
        <v>675</v>
      </c>
      <c r="BF516" s="554">
        <f>AN516</f>
        <v>16200</v>
      </c>
      <c r="BH516" s="554">
        <f>AN516</f>
        <v>16200</v>
      </c>
      <c r="BI516" s="554">
        <f>I516</f>
        <v>5400</v>
      </c>
      <c r="BJ516" s="554">
        <f>I516/5</f>
        <v>1080</v>
      </c>
      <c r="BY516" s="619"/>
      <c r="BZ516" s="548"/>
      <c r="CA516" s="621"/>
      <c r="CB516" s="567"/>
      <c r="CC516" s="622"/>
      <c r="CD516" s="619"/>
      <c r="CE516" s="619"/>
      <c r="CF516" s="548"/>
      <c r="CG516" s="548"/>
      <c r="CU516" s="554">
        <f t="shared" si="165"/>
        <v>0</v>
      </c>
      <c r="CV516" s="554">
        <f t="shared" si="160"/>
        <v>0</v>
      </c>
      <c r="CW516" s="554">
        <f t="shared" si="164"/>
        <v>0</v>
      </c>
      <c r="CX516" s="619"/>
      <c r="CY516" s="619"/>
      <c r="CZ516" s="619"/>
      <c r="DA516" s="548"/>
      <c r="DB516" s="548"/>
      <c r="DC516" s="548"/>
      <c r="DD516" s="619"/>
      <c r="DE516" s="619"/>
      <c r="DF516" s="619"/>
      <c r="DG516" s="619"/>
      <c r="DH516" s="619"/>
    </row>
    <row r="517" s="548" customFormat="1" ht="31" customHeight="1" spans="1:112">
      <c r="A517" s="608">
        <v>45678</v>
      </c>
      <c r="B517" s="609" t="s">
        <v>1492</v>
      </c>
      <c r="C517" s="610" t="s">
        <v>98</v>
      </c>
      <c r="D517" s="554">
        <v>4500156326</v>
      </c>
      <c r="E517" s="613">
        <v>13540625207</v>
      </c>
      <c r="F517" s="554" t="s">
        <v>1594</v>
      </c>
      <c r="G517" s="610" t="s">
        <v>909</v>
      </c>
      <c r="H517" s="610" t="s">
        <v>830</v>
      </c>
      <c r="I517" s="610">
        <v>72</v>
      </c>
      <c r="J517" s="610">
        <v>0</v>
      </c>
      <c r="K517" s="610">
        <v>1</v>
      </c>
      <c r="L517" s="611">
        <f t="shared" si="159"/>
        <v>72</v>
      </c>
      <c r="M517" s="612">
        <v>45896</v>
      </c>
      <c r="N517" s="612">
        <v>45894</v>
      </c>
      <c r="O517" s="613"/>
      <c r="P517" s="613" t="s">
        <v>113</v>
      </c>
      <c r="Q517" s="610"/>
      <c r="R517" s="614">
        <v>45832</v>
      </c>
      <c r="S517" s="614" t="s">
        <v>70</v>
      </c>
      <c r="T517" s="614" t="s">
        <v>70</v>
      </c>
      <c r="U517" s="614"/>
      <c r="V517" s="614"/>
      <c r="W517" s="615"/>
      <c r="X517" s="628" t="s">
        <v>1595</v>
      </c>
      <c r="Y517" s="609" t="s">
        <v>911</v>
      </c>
      <c r="Z517" s="609">
        <v>0</v>
      </c>
      <c r="AA517" s="616">
        <f t="shared" si="163"/>
        <v>0</v>
      </c>
      <c r="AC517" s="617" t="s">
        <v>1596</v>
      </c>
      <c r="AD517" s="610" t="s">
        <v>1498</v>
      </c>
      <c r="AE517" s="610" t="s">
        <v>82</v>
      </c>
      <c r="AF517" s="610"/>
      <c r="AG517" s="610"/>
      <c r="AH517" s="610"/>
      <c r="AI517" s="610">
        <v>0</v>
      </c>
      <c r="AJ517" s="610">
        <v>0</v>
      </c>
      <c r="AK517" s="610"/>
      <c r="AL517" s="610"/>
      <c r="AM517" s="610"/>
      <c r="AN517" s="610"/>
      <c r="AO517" s="548"/>
      <c r="AP517" s="548"/>
      <c r="AQ517" s="548"/>
      <c r="AR517" s="619"/>
      <c r="AS517" s="548"/>
      <c r="AT517" s="548"/>
      <c r="AU517" s="548"/>
      <c r="AV517" s="548"/>
      <c r="AW517" s="619"/>
      <c r="AX517" s="548"/>
      <c r="AY517" s="548"/>
      <c r="AZ517" s="548"/>
      <c r="BA517" s="548"/>
      <c r="BB517" s="620"/>
      <c r="BC517" s="548"/>
      <c r="BD517" s="548"/>
      <c r="BE517" s="548"/>
      <c r="BF517" s="548"/>
      <c r="BY517" s="619"/>
      <c r="BZ517" s="548"/>
      <c r="CA517" s="621"/>
      <c r="CB517" s="567"/>
      <c r="CC517" s="622"/>
      <c r="CD517" s="619"/>
      <c r="CE517" s="619"/>
      <c r="CF517" s="548"/>
      <c r="CG517" s="548"/>
      <c r="CU517" s="554">
        <f t="shared" si="165"/>
        <v>0</v>
      </c>
      <c r="CV517" s="554">
        <f t="shared" si="160"/>
        <v>0</v>
      </c>
      <c r="CW517" s="554">
        <f t="shared" si="164"/>
        <v>0</v>
      </c>
      <c r="CX517" s="619"/>
      <c r="CY517" s="619"/>
      <c r="CZ517" s="619"/>
      <c r="DA517" s="548"/>
      <c r="DB517" s="548"/>
      <c r="DC517" s="548"/>
      <c r="DD517" s="619"/>
      <c r="DE517" s="619"/>
      <c r="DF517" s="619"/>
      <c r="DG517" s="619"/>
      <c r="DH517" s="619"/>
    </row>
    <row r="518" s="548" customFormat="1" ht="31" customHeight="1" spans="1:112">
      <c r="A518" s="608">
        <v>45678</v>
      </c>
      <c r="B518" s="609" t="s">
        <v>1492</v>
      </c>
      <c r="C518" s="610" t="s">
        <v>98</v>
      </c>
      <c r="D518" s="554">
        <v>4500156326</v>
      </c>
      <c r="E518" s="613">
        <v>13540625207</v>
      </c>
      <c r="F518" s="554" t="s">
        <v>1594</v>
      </c>
      <c r="G518" s="610">
        <v>77711</v>
      </c>
      <c r="H518" s="610" t="s">
        <v>6033</v>
      </c>
      <c r="I518" s="610">
        <v>5400</v>
      </c>
      <c r="J518" s="610">
        <v>0</v>
      </c>
      <c r="K518" s="610">
        <v>75</v>
      </c>
      <c r="L518" s="611">
        <f t="shared" si="159"/>
        <v>72</v>
      </c>
      <c r="M518" s="612">
        <v>45896</v>
      </c>
      <c r="N518" s="612">
        <v>45894</v>
      </c>
      <c r="O518" s="613"/>
      <c r="P518" s="613" t="s">
        <v>113</v>
      </c>
      <c r="Q518" s="610"/>
      <c r="R518" s="614">
        <v>45832</v>
      </c>
      <c r="S518" s="614" t="s">
        <v>70</v>
      </c>
      <c r="T518" s="614" t="s">
        <v>70</v>
      </c>
      <c r="U518" s="614"/>
      <c r="V518" s="614"/>
      <c r="W518" s="615"/>
      <c r="X518" s="609"/>
      <c r="Y518" s="609" t="s">
        <v>911</v>
      </c>
      <c r="Z518" s="609">
        <v>762.5</v>
      </c>
      <c r="AA518" s="616">
        <f t="shared" si="163"/>
        <v>54900</v>
      </c>
      <c r="AC518" s="617" t="s">
        <v>1596</v>
      </c>
      <c r="AD518" s="610" t="s">
        <v>1498</v>
      </c>
      <c r="AE518" s="610" t="s">
        <v>82</v>
      </c>
      <c r="AF518" s="610"/>
      <c r="AG518" s="610"/>
      <c r="AH518" s="610"/>
      <c r="AI518" s="610">
        <v>0</v>
      </c>
      <c r="AJ518" s="610">
        <v>0</v>
      </c>
      <c r="AK518" s="610"/>
      <c r="AL518" s="610"/>
      <c r="AM518" s="610"/>
      <c r="AN518" s="610">
        <f>I518*3</f>
        <v>16200</v>
      </c>
      <c r="AR518" s="619"/>
      <c r="AS518" s="548"/>
      <c r="AT518" s="548"/>
      <c r="AU518" s="548"/>
      <c r="AV518" s="548"/>
      <c r="AW518" s="619"/>
      <c r="AX518" s="548"/>
      <c r="AY518" s="548"/>
      <c r="AZ518" s="548"/>
      <c r="BA518" s="548"/>
      <c r="BB518" s="620">
        <f>I518/24*3</f>
        <v>675</v>
      </c>
      <c r="BF518" s="554">
        <f>AN518</f>
        <v>16200</v>
      </c>
      <c r="BH518" s="554">
        <f>AN518</f>
        <v>16200</v>
      </c>
      <c r="BI518" s="554">
        <f>I518</f>
        <v>5400</v>
      </c>
      <c r="BJ518" s="554">
        <f>I518/5</f>
        <v>1080</v>
      </c>
      <c r="BY518" s="619"/>
      <c r="BZ518" s="548"/>
      <c r="CA518" s="621"/>
      <c r="CB518" s="567"/>
      <c r="CC518" s="622"/>
      <c r="CD518" s="619"/>
      <c r="CE518" s="619"/>
      <c r="CF518" s="548"/>
      <c r="CG518" s="548"/>
      <c r="CU518" s="554">
        <f t="shared" si="165"/>
        <v>0</v>
      </c>
      <c r="CV518" s="554">
        <f t="shared" si="160"/>
        <v>0</v>
      </c>
      <c r="CW518" s="554">
        <f t="shared" si="164"/>
        <v>0</v>
      </c>
      <c r="CX518" s="619"/>
      <c r="CY518" s="619"/>
      <c r="CZ518" s="619"/>
      <c r="DA518" s="548"/>
      <c r="DB518" s="548"/>
      <c r="DC518" s="548"/>
      <c r="DD518" s="619"/>
      <c r="DE518" s="619"/>
      <c r="DF518" s="619"/>
      <c r="DG518" s="619"/>
      <c r="DH518" s="619"/>
    </row>
    <row r="519" s="548" customFormat="1" ht="31" customHeight="1" spans="1:112">
      <c r="A519" s="608">
        <v>45720</v>
      </c>
      <c r="B519" s="609" t="s">
        <v>549</v>
      </c>
      <c r="C519" s="610" t="s">
        <v>278</v>
      </c>
      <c r="D519" s="554">
        <v>4500158810</v>
      </c>
      <c r="E519" s="610" t="s">
        <v>7315</v>
      </c>
      <c r="F519" s="554" t="s">
        <v>7316</v>
      </c>
      <c r="G519" s="610" t="s">
        <v>6365</v>
      </c>
      <c r="H519" s="610" t="s">
        <v>6126</v>
      </c>
      <c r="I519" s="610">
        <v>972</v>
      </c>
      <c r="J519" s="610">
        <v>0</v>
      </c>
      <c r="K519" s="610">
        <v>12</v>
      </c>
      <c r="L519" s="611">
        <f t="shared" si="159"/>
        <v>81</v>
      </c>
      <c r="M519" s="612">
        <v>45897</v>
      </c>
      <c r="N519" s="612">
        <v>45894</v>
      </c>
      <c r="O519" s="613"/>
      <c r="P519" s="613" t="s">
        <v>113</v>
      </c>
      <c r="Q519" s="610"/>
      <c r="R519" s="614" t="s">
        <v>463</v>
      </c>
      <c r="S519" s="614" t="s">
        <v>104</v>
      </c>
      <c r="T519" s="614" t="s">
        <v>6366</v>
      </c>
      <c r="U519" s="614"/>
      <c r="V519" s="614"/>
      <c r="W519" s="615"/>
      <c r="X519" s="609" t="s">
        <v>7317</v>
      </c>
      <c r="Y519" s="609" t="s">
        <v>466</v>
      </c>
      <c r="Z519" s="609">
        <v>2.64</v>
      </c>
      <c r="AA519" s="616">
        <f t="shared" ref="AA519:AA532" si="166">Z519*I519</f>
        <v>2566.08</v>
      </c>
      <c r="AC519" s="617" t="s">
        <v>7318</v>
      </c>
      <c r="AD519" s="610" t="s">
        <v>6368</v>
      </c>
      <c r="AE519" s="610" t="s">
        <v>82</v>
      </c>
      <c r="AF519" s="610"/>
      <c r="AG519" s="610"/>
      <c r="AH519" s="610"/>
      <c r="AI519" s="610">
        <v>972</v>
      </c>
      <c r="AJ519" s="610">
        <f t="shared" ref="AJ515:AJ531" si="167">AI519-I519</f>
        <v>0</v>
      </c>
      <c r="AK519" s="610"/>
      <c r="AL519" s="610"/>
      <c r="AM519" s="610"/>
      <c r="AN519" s="610"/>
      <c r="AO519" s="554">
        <f t="shared" ref="AO519:AO524" si="168">I519*2</f>
        <v>1944</v>
      </c>
      <c r="AP519" s="554">
        <f>I519*2</f>
        <v>1944</v>
      </c>
      <c r="AR519" s="619"/>
      <c r="AS519" s="548"/>
      <c r="AT519" s="548"/>
      <c r="AU519" s="548"/>
      <c r="AV519" s="554">
        <f t="shared" ref="AV519:AV524" si="169">I519*2</f>
        <v>1944</v>
      </c>
      <c r="AW519" s="619"/>
      <c r="AX519" s="548"/>
      <c r="AY519" s="548"/>
      <c r="AZ519" s="548"/>
      <c r="BA519" s="548"/>
      <c r="BB519" s="249">
        <f t="shared" ref="BB519:BB524" si="170">I519/24*2</f>
        <v>81</v>
      </c>
      <c r="BY519" s="619"/>
      <c r="BZ519" s="548"/>
      <c r="CA519" s="621"/>
      <c r="CB519" s="567"/>
      <c r="CC519" s="622"/>
      <c r="CD519" s="619"/>
      <c r="CE519" s="619"/>
      <c r="CF519" s="548"/>
      <c r="CG519" s="548"/>
      <c r="CR519" s="554">
        <f t="shared" ref="CR519:CR524" si="171">I519</f>
        <v>972</v>
      </c>
      <c r="CS519" s="554">
        <f t="shared" ref="CS519:CS524" si="172">I519</f>
        <v>972</v>
      </c>
      <c r="CT519" s="554">
        <f t="shared" ref="CT519:CT524" si="173">I519</f>
        <v>972</v>
      </c>
      <c r="CU519" s="554">
        <f t="shared" si="165"/>
        <v>0</v>
      </c>
      <c r="CV519" s="554">
        <f t="shared" si="160"/>
        <v>0</v>
      </c>
      <c r="CW519" s="554">
        <f t="shared" si="164"/>
        <v>0</v>
      </c>
      <c r="CX519" s="619"/>
      <c r="CY519" s="619"/>
      <c r="CZ519" s="619"/>
      <c r="DA519" s="548"/>
      <c r="DB519" s="548"/>
      <c r="DC519" s="548"/>
      <c r="DD519" s="619"/>
      <c r="DE519" s="619"/>
      <c r="DF519" s="619"/>
      <c r="DG519" s="619"/>
      <c r="DH519" s="619"/>
    </row>
    <row r="520" s="548" customFormat="1" ht="31" customHeight="1" spans="1:112">
      <c r="A520" s="608">
        <v>45720</v>
      </c>
      <c r="B520" s="609" t="s">
        <v>549</v>
      </c>
      <c r="C520" s="610" t="s">
        <v>154</v>
      </c>
      <c r="D520" s="554">
        <v>4500158810</v>
      </c>
      <c r="E520" s="610" t="s">
        <v>7319</v>
      </c>
      <c r="F520" s="554" t="s">
        <v>7320</v>
      </c>
      <c r="G520" s="610" t="s">
        <v>6365</v>
      </c>
      <c r="H520" s="610" t="s">
        <v>6126</v>
      </c>
      <c r="I520" s="610">
        <v>516</v>
      </c>
      <c r="J520" s="610">
        <v>0</v>
      </c>
      <c r="K520" s="610">
        <v>12</v>
      </c>
      <c r="L520" s="611">
        <f t="shared" si="159"/>
        <v>43</v>
      </c>
      <c r="M520" s="612">
        <v>45897</v>
      </c>
      <c r="N520" s="612">
        <v>45894</v>
      </c>
      <c r="O520" s="613"/>
      <c r="P520" s="613" t="s">
        <v>113</v>
      </c>
      <c r="Q520" s="610"/>
      <c r="R520" s="614" t="s">
        <v>463</v>
      </c>
      <c r="S520" s="614" t="s">
        <v>104</v>
      </c>
      <c r="T520" s="614" t="s">
        <v>6366</v>
      </c>
      <c r="U520" s="614"/>
      <c r="V520" s="614"/>
      <c r="W520" s="615"/>
      <c r="X520" s="609" t="s">
        <v>7317</v>
      </c>
      <c r="Y520" s="609" t="s">
        <v>466</v>
      </c>
      <c r="Z520" s="609">
        <v>2.64</v>
      </c>
      <c r="AA520" s="616">
        <f t="shared" si="166"/>
        <v>1362.24</v>
      </c>
      <c r="AC520" s="617" t="s">
        <v>7318</v>
      </c>
      <c r="AD520" s="610" t="s">
        <v>6368</v>
      </c>
      <c r="AE520" s="610" t="s">
        <v>82</v>
      </c>
      <c r="AF520" s="610"/>
      <c r="AG520" s="610"/>
      <c r="AH520" s="610"/>
      <c r="AI520" s="610">
        <v>516</v>
      </c>
      <c r="AJ520" s="610">
        <f t="shared" si="167"/>
        <v>0</v>
      </c>
      <c r="AK520" s="610"/>
      <c r="AL520" s="610"/>
      <c r="AM520" s="610"/>
      <c r="AN520" s="610"/>
      <c r="AO520" s="554">
        <f t="shared" si="168"/>
        <v>1032</v>
      </c>
      <c r="AP520" s="554">
        <f>I520*2</f>
        <v>1032</v>
      </c>
      <c r="AR520" s="619"/>
      <c r="AS520" s="548"/>
      <c r="AT520" s="548"/>
      <c r="AU520" s="548"/>
      <c r="AV520" s="554">
        <f t="shared" si="169"/>
        <v>1032</v>
      </c>
      <c r="AW520" s="619"/>
      <c r="AX520" s="548"/>
      <c r="AY520" s="548"/>
      <c r="AZ520" s="548"/>
      <c r="BA520" s="548"/>
      <c r="BB520" s="249">
        <f t="shared" si="170"/>
        <v>43</v>
      </c>
      <c r="BY520" s="619"/>
      <c r="BZ520" s="548"/>
      <c r="CA520" s="621"/>
      <c r="CB520" s="567"/>
      <c r="CC520" s="622"/>
      <c r="CD520" s="619"/>
      <c r="CE520" s="619"/>
      <c r="CF520" s="548"/>
      <c r="CG520" s="548"/>
      <c r="CR520" s="554">
        <f t="shared" si="171"/>
        <v>516</v>
      </c>
      <c r="CS520" s="554">
        <f t="shared" si="172"/>
        <v>516</v>
      </c>
      <c r="CT520" s="554">
        <f t="shared" si="173"/>
        <v>516</v>
      </c>
      <c r="CU520" s="554">
        <f t="shared" si="165"/>
        <v>0</v>
      </c>
      <c r="CV520" s="554">
        <f t="shared" si="160"/>
        <v>0</v>
      </c>
      <c r="CW520" s="554">
        <f t="shared" si="164"/>
        <v>0</v>
      </c>
      <c r="CX520" s="619"/>
      <c r="CY520" s="619"/>
      <c r="CZ520" s="619"/>
      <c r="DA520" s="548"/>
      <c r="DB520" s="548"/>
      <c r="DC520" s="548"/>
      <c r="DD520" s="619"/>
      <c r="DE520" s="619"/>
      <c r="DF520" s="619"/>
      <c r="DG520" s="619"/>
      <c r="DH520" s="619"/>
    </row>
    <row r="521" s="548" customFormat="1" ht="31" customHeight="1" spans="1:112">
      <c r="A521" s="608">
        <v>45855</v>
      </c>
      <c r="B521" s="609" t="s">
        <v>1922</v>
      </c>
      <c r="C521" s="610" t="s">
        <v>154</v>
      </c>
      <c r="D521" s="554">
        <v>4500174196</v>
      </c>
      <c r="E521" s="610" t="s">
        <v>7321</v>
      </c>
      <c r="F521" s="554" t="s">
        <v>7322</v>
      </c>
      <c r="G521" s="610" t="s">
        <v>6365</v>
      </c>
      <c r="H521" s="610" t="s">
        <v>6126</v>
      </c>
      <c r="I521" s="610">
        <v>804</v>
      </c>
      <c r="J521" s="610">
        <v>0</v>
      </c>
      <c r="K521" s="610">
        <v>12</v>
      </c>
      <c r="L521" s="611">
        <f t="shared" si="159"/>
        <v>67</v>
      </c>
      <c r="M521" s="612">
        <v>45897</v>
      </c>
      <c r="N521" s="612">
        <v>45894</v>
      </c>
      <c r="O521" s="613"/>
      <c r="P521" s="613" t="s">
        <v>113</v>
      </c>
      <c r="Q521" s="610"/>
      <c r="R521" s="614">
        <v>45863</v>
      </c>
      <c r="S521" s="614" t="s">
        <v>104</v>
      </c>
      <c r="T521" s="614">
        <v>45862</v>
      </c>
      <c r="U521" s="614"/>
      <c r="V521" s="614"/>
      <c r="W521" s="615"/>
      <c r="X521" s="609" t="s">
        <v>7323</v>
      </c>
      <c r="Y521" s="609" t="s">
        <v>466</v>
      </c>
      <c r="Z521" s="609">
        <v>2.1629</v>
      </c>
      <c r="AA521" s="616">
        <f t="shared" si="166"/>
        <v>1738.9716</v>
      </c>
      <c r="AC521" s="617" t="s">
        <v>7324</v>
      </c>
      <c r="AD521" s="610" t="s">
        <v>6368</v>
      </c>
      <c r="AE521" s="610" t="s">
        <v>82</v>
      </c>
      <c r="AF521" s="610"/>
      <c r="AG521" s="610"/>
      <c r="AH521" s="610"/>
      <c r="AI521" s="610">
        <v>804</v>
      </c>
      <c r="AJ521" s="610">
        <f t="shared" si="167"/>
        <v>0</v>
      </c>
      <c r="AK521" s="610"/>
      <c r="AL521" s="610"/>
      <c r="AM521" s="610"/>
      <c r="AN521" s="610"/>
      <c r="AO521" s="554">
        <f t="shared" si="168"/>
        <v>1608</v>
      </c>
      <c r="AR521" s="619"/>
      <c r="AS521" s="548"/>
      <c r="AT521" s="554">
        <f>I521*2</f>
        <v>1608</v>
      </c>
      <c r="AV521" s="554">
        <f t="shared" si="169"/>
        <v>1608</v>
      </c>
      <c r="AW521" s="619"/>
      <c r="AX521" s="548"/>
      <c r="AY521" s="548"/>
      <c r="AZ521" s="548"/>
      <c r="BA521" s="548"/>
      <c r="BB521" s="249">
        <f t="shared" si="170"/>
        <v>67</v>
      </c>
      <c r="BY521" s="619"/>
      <c r="BZ521" s="548"/>
      <c r="CA521" s="621"/>
      <c r="CB521" s="567"/>
      <c r="CC521" s="622"/>
      <c r="CD521" s="619"/>
      <c r="CE521" s="619"/>
      <c r="CF521" s="548"/>
      <c r="CG521" s="548"/>
      <c r="CR521" s="554">
        <f t="shared" si="171"/>
        <v>804</v>
      </c>
      <c r="CS521" s="554">
        <f t="shared" si="172"/>
        <v>804</v>
      </c>
      <c r="CT521" s="554">
        <f t="shared" si="173"/>
        <v>804</v>
      </c>
      <c r="CU521" s="554">
        <f t="shared" si="165"/>
        <v>0</v>
      </c>
      <c r="CV521" s="554">
        <f t="shared" si="160"/>
        <v>0</v>
      </c>
      <c r="CW521" s="554">
        <f t="shared" si="164"/>
        <v>0</v>
      </c>
      <c r="CX521" s="619"/>
      <c r="CY521" s="619"/>
      <c r="CZ521" s="619"/>
      <c r="DA521" s="548"/>
      <c r="DB521" s="548"/>
      <c r="DC521" s="548"/>
      <c r="DD521" s="619"/>
      <c r="DE521" s="619"/>
      <c r="DF521" s="619"/>
      <c r="DG521" s="619"/>
      <c r="DH521" s="619"/>
    </row>
    <row r="522" s="548" customFormat="1" ht="31" customHeight="1" spans="1:112">
      <c r="A522" s="608">
        <v>45855</v>
      </c>
      <c r="B522" s="609" t="s">
        <v>1922</v>
      </c>
      <c r="C522" s="610" t="s">
        <v>302</v>
      </c>
      <c r="D522" s="554">
        <v>4500174196</v>
      </c>
      <c r="E522" s="610" t="s">
        <v>7325</v>
      </c>
      <c r="F522" s="554" t="s">
        <v>7326</v>
      </c>
      <c r="G522" s="610" t="s">
        <v>6365</v>
      </c>
      <c r="H522" s="610" t="s">
        <v>6126</v>
      </c>
      <c r="I522" s="610">
        <v>516</v>
      </c>
      <c r="J522" s="610">
        <v>0</v>
      </c>
      <c r="K522" s="610">
        <v>12</v>
      </c>
      <c r="L522" s="611">
        <f t="shared" si="159"/>
        <v>43</v>
      </c>
      <c r="M522" s="612">
        <v>45897</v>
      </c>
      <c r="N522" s="612">
        <v>45894</v>
      </c>
      <c r="O522" s="613"/>
      <c r="P522" s="613" t="s">
        <v>113</v>
      </c>
      <c r="Q522" s="610"/>
      <c r="R522" s="614">
        <v>45863</v>
      </c>
      <c r="S522" s="614" t="s">
        <v>104</v>
      </c>
      <c r="T522" s="614">
        <v>45862</v>
      </c>
      <c r="U522" s="614"/>
      <c r="V522" s="614"/>
      <c r="W522" s="615"/>
      <c r="X522" s="609" t="s">
        <v>7323</v>
      </c>
      <c r="Y522" s="609" t="s">
        <v>466</v>
      </c>
      <c r="Z522" s="609">
        <v>2.1629</v>
      </c>
      <c r="AA522" s="616">
        <f t="shared" si="166"/>
        <v>1116.0564</v>
      </c>
      <c r="AC522" s="617" t="s">
        <v>7327</v>
      </c>
      <c r="AD522" s="610" t="s">
        <v>6368</v>
      </c>
      <c r="AE522" s="610" t="s">
        <v>82</v>
      </c>
      <c r="AF522" s="610"/>
      <c r="AG522" s="610"/>
      <c r="AH522" s="610"/>
      <c r="AI522" s="610">
        <v>516</v>
      </c>
      <c r="AJ522" s="610">
        <f t="shared" si="167"/>
        <v>0</v>
      </c>
      <c r="AK522" s="610"/>
      <c r="AL522" s="610"/>
      <c r="AM522" s="610"/>
      <c r="AN522" s="610"/>
      <c r="AO522" s="554">
        <f t="shared" si="168"/>
        <v>1032</v>
      </c>
      <c r="AR522" s="619"/>
      <c r="AS522" s="548"/>
      <c r="AT522" s="554">
        <f>I522*2</f>
        <v>1032</v>
      </c>
      <c r="AV522" s="554">
        <f t="shared" si="169"/>
        <v>1032</v>
      </c>
      <c r="AW522" s="619"/>
      <c r="AX522" s="548"/>
      <c r="AY522" s="548"/>
      <c r="AZ522" s="548"/>
      <c r="BA522" s="548"/>
      <c r="BB522" s="249">
        <f t="shared" si="170"/>
        <v>43</v>
      </c>
      <c r="BY522" s="619"/>
      <c r="BZ522" s="548"/>
      <c r="CA522" s="621"/>
      <c r="CB522" s="567"/>
      <c r="CC522" s="622"/>
      <c r="CD522" s="619"/>
      <c r="CE522" s="619"/>
      <c r="CF522" s="548"/>
      <c r="CG522" s="548"/>
      <c r="CR522" s="554">
        <f t="shared" si="171"/>
        <v>516</v>
      </c>
      <c r="CS522" s="554">
        <f t="shared" si="172"/>
        <v>516</v>
      </c>
      <c r="CT522" s="554">
        <f t="shared" si="173"/>
        <v>516</v>
      </c>
      <c r="CU522" s="554">
        <f t="shared" si="165"/>
        <v>0</v>
      </c>
      <c r="CV522" s="554">
        <f t="shared" si="160"/>
        <v>0</v>
      </c>
      <c r="CW522" s="554">
        <f t="shared" si="164"/>
        <v>0</v>
      </c>
      <c r="CX522" s="619"/>
      <c r="CY522" s="619"/>
      <c r="CZ522" s="619"/>
      <c r="DA522" s="548"/>
      <c r="DB522" s="548"/>
      <c r="DC522" s="548"/>
      <c r="DD522" s="619"/>
      <c r="DE522" s="619"/>
      <c r="DF522" s="619"/>
      <c r="DG522" s="619"/>
      <c r="DH522" s="619"/>
    </row>
    <row r="523" s="548" customFormat="1" ht="31" customHeight="1" spans="1:112">
      <c r="A523" s="608">
        <v>45855</v>
      </c>
      <c r="B523" s="609" t="s">
        <v>1922</v>
      </c>
      <c r="C523" s="610" t="s">
        <v>278</v>
      </c>
      <c r="D523" s="554">
        <v>4500174196</v>
      </c>
      <c r="E523" s="610" t="s">
        <v>7328</v>
      </c>
      <c r="F523" s="554" t="s">
        <v>7329</v>
      </c>
      <c r="G523" s="610" t="s">
        <v>6365</v>
      </c>
      <c r="H523" s="610" t="s">
        <v>6126</v>
      </c>
      <c r="I523" s="610">
        <v>792</v>
      </c>
      <c r="J523" s="610">
        <v>0</v>
      </c>
      <c r="K523" s="610">
        <v>12</v>
      </c>
      <c r="L523" s="611">
        <f t="shared" si="159"/>
        <v>66</v>
      </c>
      <c r="M523" s="612">
        <v>45897</v>
      </c>
      <c r="N523" s="612">
        <v>45894</v>
      </c>
      <c r="O523" s="613"/>
      <c r="P523" s="613" t="s">
        <v>113</v>
      </c>
      <c r="Q523" s="610"/>
      <c r="R523" s="614">
        <v>45863</v>
      </c>
      <c r="S523" s="614" t="s">
        <v>104</v>
      </c>
      <c r="T523" s="614">
        <v>45862</v>
      </c>
      <c r="U523" s="614"/>
      <c r="V523" s="614"/>
      <c r="W523" s="615"/>
      <c r="X523" s="609" t="s">
        <v>7323</v>
      </c>
      <c r="Y523" s="609" t="s">
        <v>466</v>
      </c>
      <c r="Z523" s="609">
        <v>2.1629</v>
      </c>
      <c r="AA523" s="616">
        <f t="shared" si="166"/>
        <v>1713.0168</v>
      </c>
      <c r="AC523" s="617" t="s">
        <v>7330</v>
      </c>
      <c r="AD523" s="610" t="s">
        <v>6368</v>
      </c>
      <c r="AE523" s="610" t="s">
        <v>82</v>
      </c>
      <c r="AF523" s="610"/>
      <c r="AG523" s="610"/>
      <c r="AH523" s="610"/>
      <c r="AI523" s="610">
        <v>792</v>
      </c>
      <c r="AJ523" s="610">
        <f t="shared" si="167"/>
        <v>0</v>
      </c>
      <c r="AK523" s="610"/>
      <c r="AL523" s="610"/>
      <c r="AM523" s="610"/>
      <c r="AN523" s="610"/>
      <c r="AO523" s="554">
        <f t="shared" si="168"/>
        <v>1584</v>
      </c>
      <c r="AR523" s="619"/>
      <c r="AS523" s="548"/>
      <c r="AT523" s="554">
        <f>I523*2</f>
        <v>1584</v>
      </c>
      <c r="AV523" s="554">
        <f t="shared" si="169"/>
        <v>1584</v>
      </c>
      <c r="AW523" s="619"/>
      <c r="AX523" s="548"/>
      <c r="AY523" s="548"/>
      <c r="AZ523" s="548"/>
      <c r="BA523" s="548"/>
      <c r="BB523" s="249">
        <f t="shared" si="170"/>
        <v>66</v>
      </c>
      <c r="BY523" s="619"/>
      <c r="BZ523" s="548"/>
      <c r="CA523" s="621"/>
      <c r="CB523" s="567"/>
      <c r="CC523" s="622"/>
      <c r="CD523" s="619"/>
      <c r="CE523" s="619"/>
      <c r="CF523" s="548"/>
      <c r="CG523" s="548"/>
      <c r="CR523" s="554">
        <f t="shared" si="171"/>
        <v>792</v>
      </c>
      <c r="CS523" s="554">
        <f t="shared" si="172"/>
        <v>792</v>
      </c>
      <c r="CT523" s="554">
        <f t="shared" si="173"/>
        <v>792</v>
      </c>
      <c r="CU523" s="554">
        <f t="shared" si="165"/>
        <v>0</v>
      </c>
      <c r="CV523" s="554">
        <f t="shared" si="160"/>
        <v>0</v>
      </c>
      <c r="CW523" s="554">
        <f t="shared" si="164"/>
        <v>0</v>
      </c>
      <c r="CX523" s="619"/>
      <c r="CY523" s="619"/>
      <c r="CZ523" s="619"/>
      <c r="DA523" s="548"/>
      <c r="DB523" s="548"/>
      <c r="DC523" s="548"/>
      <c r="DD523" s="619"/>
      <c r="DE523" s="619"/>
      <c r="DF523" s="619"/>
      <c r="DG523" s="619"/>
      <c r="DH523" s="619"/>
    </row>
    <row r="524" s="548" customFormat="1" ht="31" customHeight="1" spans="1:112">
      <c r="A524" s="608">
        <v>45855</v>
      </c>
      <c r="B524" s="609" t="s">
        <v>1922</v>
      </c>
      <c r="C524" s="610" t="s">
        <v>302</v>
      </c>
      <c r="D524" s="554">
        <v>4500174196</v>
      </c>
      <c r="E524" s="610" t="s">
        <v>7331</v>
      </c>
      <c r="F524" s="554" t="s">
        <v>7332</v>
      </c>
      <c r="G524" s="610" t="s">
        <v>6365</v>
      </c>
      <c r="H524" s="610" t="s">
        <v>6126</v>
      </c>
      <c r="I524" s="610">
        <v>492</v>
      </c>
      <c r="J524" s="610">
        <v>0</v>
      </c>
      <c r="K524" s="610">
        <v>12</v>
      </c>
      <c r="L524" s="611">
        <f t="shared" si="159"/>
        <v>41</v>
      </c>
      <c r="M524" s="612">
        <v>45897</v>
      </c>
      <c r="N524" s="612">
        <v>45894</v>
      </c>
      <c r="O524" s="613"/>
      <c r="P524" s="613" t="s">
        <v>113</v>
      </c>
      <c r="Q524" s="610"/>
      <c r="R524" s="614">
        <v>45863</v>
      </c>
      <c r="S524" s="614" t="s">
        <v>104</v>
      </c>
      <c r="T524" s="614">
        <v>45862</v>
      </c>
      <c r="U524" s="614"/>
      <c r="V524" s="614"/>
      <c r="W524" s="615"/>
      <c r="X524" s="609" t="s">
        <v>7323</v>
      </c>
      <c r="Y524" s="609" t="s">
        <v>466</v>
      </c>
      <c r="Z524" s="609">
        <v>2.1629</v>
      </c>
      <c r="AA524" s="616">
        <f t="shared" si="166"/>
        <v>1064.1468</v>
      </c>
      <c r="AC524" s="617" t="s">
        <v>7333</v>
      </c>
      <c r="AD524" s="610" t="s">
        <v>6368</v>
      </c>
      <c r="AE524" s="610" t="s">
        <v>82</v>
      </c>
      <c r="AF524" s="610"/>
      <c r="AG524" s="610"/>
      <c r="AH524" s="610"/>
      <c r="AI524" s="610">
        <v>492</v>
      </c>
      <c r="AJ524" s="610">
        <f t="shared" si="167"/>
        <v>0</v>
      </c>
      <c r="AK524" s="610"/>
      <c r="AL524" s="610"/>
      <c r="AM524" s="610"/>
      <c r="AN524" s="610"/>
      <c r="AO524" s="554">
        <f t="shared" si="168"/>
        <v>984</v>
      </c>
      <c r="AR524" s="619"/>
      <c r="AS524" s="548"/>
      <c r="AT524" s="554">
        <f>I524*2</f>
        <v>984</v>
      </c>
      <c r="AV524" s="554">
        <f t="shared" si="169"/>
        <v>984</v>
      </c>
      <c r="AW524" s="619"/>
      <c r="AX524" s="548"/>
      <c r="AY524" s="548"/>
      <c r="AZ524" s="548"/>
      <c r="BA524" s="548"/>
      <c r="BB524" s="249">
        <f t="shared" si="170"/>
        <v>41</v>
      </c>
      <c r="BY524" s="619"/>
      <c r="BZ524" s="548"/>
      <c r="CA524" s="621"/>
      <c r="CB524" s="567"/>
      <c r="CC524" s="622"/>
      <c r="CD524" s="619"/>
      <c r="CE524" s="619"/>
      <c r="CF524" s="548"/>
      <c r="CG524" s="548"/>
      <c r="CR524" s="554">
        <f t="shared" si="171"/>
        <v>492</v>
      </c>
      <c r="CS524" s="554">
        <f t="shared" si="172"/>
        <v>492</v>
      </c>
      <c r="CT524" s="554">
        <f t="shared" si="173"/>
        <v>492</v>
      </c>
      <c r="CU524" s="554">
        <f t="shared" si="165"/>
        <v>0</v>
      </c>
      <c r="CV524" s="554">
        <f t="shared" si="160"/>
        <v>0</v>
      </c>
      <c r="CW524" s="554">
        <f t="shared" si="164"/>
        <v>0</v>
      </c>
      <c r="CX524" s="619"/>
      <c r="CY524" s="619"/>
      <c r="CZ524" s="619"/>
      <c r="DA524" s="548"/>
      <c r="DB524" s="548"/>
      <c r="DC524" s="548"/>
      <c r="DD524" s="619"/>
      <c r="DE524" s="619"/>
      <c r="DF524" s="619"/>
      <c r="DG524" s="619"/>
      <c r="DH524" s="619"/>
    </row>
    <row r="525" s="548" customFormat="1" ht="31" customHeight="1" spans="1:112">
      <c r="A525" s="608">
        <v>45869</v>
      </c>
      <c r="B525" s="609" t="s">
        <v>246</v>
      </c>
      <c r="C525" s="610" t="s">
        <v>98</v>
      </c>
      <c r="D525" s="554">
        <v>4500175699</v>
      </c>
      <c r="E525" s="610" t="s">
        <v>7334</v>
      </c>
      <c r="F525" s="554" t="s">
        <v>7335</v>
      </c>
      <c r="G525" s="610" t="s">
        <v>6084</v>
      </c>
      <c r="H525" s="610" t="s">
        <v>6069</v>
      </c>
      <c r="I525" s="610">
        <v>50000</v>
      </c>
      <c r="J525" s="610">
        <v>0</v>
      </c>
      <c r="K525" s="610">
        <v>25</v>
      </c>
      <c r="L525" s="611">
        <f t="shared" si="159"/>
        <v>2000</v>
      </c>
      <c r="M525" s="612">
        <v>45898</v>
      </c>
      <c r="N525" s="612">
        <f t="shared" ref="N525:N533" si="174">M525-4</f>
        <v>45894</v>
      </c>
      <c r="O525" s="613"/>
      <c r="P525" s="613" t="s">
        <v>113</v>
      </c>
      <c r="Q525" s="610"/>
      <c r="R525" s="614">
        <v>45874</v>
      </c>
      <c r="S525" s="614" t="s">
        <v>104</v>
      </c>
      <c r="T525" s="614">
        <v>45882</v>
      </c>
      <c r="U525" s="614"/>
      <c r="V525" s="614"/>
      <c r="W525" s="615"/>
      <c r="X525" s="609" t="s">
        <v>7336</v>
      </c>
      <c r="Y525" s="609" t="s">
        <v>252</v>
      </c>
      <c r="Z525" s="609">
        <v>0.5455</v>
      </c>
      <c r="AA525" s="616">
        <f t="shared" si="166"/>
        <v>27275</v>
      </c>
      <c r="AC525" s="617" t="s">
        <v>7337</v>
      </c>
      <c r="AD525" s="610" t="s">
        <v>6084</v>
      </c>
      <c r="AE525" s="610" t="s">
        <v>82</v>
      </c>
      <c r="AF525" s="610"/>
      <c r="AG525" s="610"/>
      <c r="AH525" s="610"/>
      <c r="AI525" s="610">
        <f>5500+44500</f>
        <v>50000</v>
      </c>
      <c r="AJ525" s="610">
        <f t="shared" si="167"/>
        <v>0</v>
      </c>
      <c r="AK525" s="610"/>
      <c r="AL525" s="610"/>
      <c r="AM525" s="610"/>
      <c r="AN525" s="610">
        <f>I525</f>
        <v>50000</v>
      </c>
      <c r="AP525" s="554">
        <f>I525</f>
        <v>50000</v>
      </c>
      <c r="AR525" s="619"/>
      <c r="AS525" s="548"/>
      <c r="AT525" s="548"/>
      <c r="AU525" s="554">
        <f>I525</f>
        <v>50000</v>
      </c>
      <c r="AW525" s="619"/>
      <c r="AX525" s="548"/>
      <c r="AY525" s="548"/>
      <c r="AZ525" s="548"/>
      <c r="BA525" s="548"/>
      <c r="BB525" s="620">
        <f>I525/24</f>
        <v>2083.33333333333</v>
      </c>
      <c r="BN525" s="554">
        <f>I525/25</f>
        <v>2000</v>
      </c>
      <c r="BY525" s="619"/>
      <c r="BZ525" s="548"/>
      <c r="CA525" s="621"/>
      <c r="CB525" s="567"/>
      <c r="CC525" s="622"/>
      <c r="CD525" s="619"/>
      <c r="CE525" s="619"/>
      <c r="CF525" s="548"/>
      <c r="CG525" s="548"/>
      <c r="CU525" s="554">
        <f t="shared" si="165"/>
        <v>2000</v>
      </c>
      <c r="CV525" s="554">
        <f t="shared" si="160"/>
        <v>0</v>
      </c>
      <c r="CW525" s="554">
        <f t="shared" si="164"/>
        <v>0</v>
      </c>
      <c r="CX525" s="619"/>
      <c r="CY525" s="619"/>
      <c r="CZ525" s="619"/>
      <c r="DA525" s="548"/>
      <c r="DB525" s="548"/>
      <c r="DC525" s="548"/>
      <c r="DD525" s="619"/>
      <c r="DE525" s="619"/>
      <c r="DF525" s="619"/>
      <c r="DG525" s="619"/>
      <c r="DH525" s="619"/>
    </row>
    <row r="526" s="548" customFormat="1" ht="31" customHeight="1" spans="1:112">
      <c r="A526" s="608">
        <v>45840</v>
      </c>
      <c r="B526" s="609" t="s">
        <v>139</v>
      </c>
      <c r="C526" s="610" t="s">
        <v>76</v>
      </c>
      <c r="D526" s="554">
        <v>4500172405</v>
      </c>
      <c r="E526" s="610">
        <v>20862342</v>
      </c>
      <c r="F526" s="554" t="s">
        <v>1573</v>
      </c>
      <c r="G526" s="610" t="s">
        <v>6337</v>
      </c>
      <c r="H526" s="610" t="s">
        <v>477</v>
      </c>
      <c r="I526" s="610">
        <v>150</v>
      </c>
      <c r="J526" s="610">
        <v>0</v>
      </c>
      <c r="K526" s="610">
        <v>6</v>
      </c>
      <c r="L526" s="611">
        <f t="shared" si="159"/>
        <v>25</v>
      </c>
      <c r="M526" s="612">
        <v>45901</v>
      </c>
      <c r="N526" s="612">
        <f t="shared" si="174"/>
        <v>45897</v>
      </c>
      <c r="O526" s="613"/>
      <c r="P526" s="613" t="s">
        <v>113</v>
      </c>
      <c r="Q526" s="610"/>
      <c r="R526" s="614">
        <v>45869</v>
      </c>
      <c r="S526" s="614" t="s">
        <v>104</v>
      </c>
      <c r="T526" s="614">
        <v>45880</v>
      </c>
      <c r="U526" s="614"/>
      <c r="V526" s="614"/>
      <c r="W526" s="615"/>
      <c r="X526" s="628" t="s">
        <v>7093</v>
      </c>
      <c r="Y526" s="609" t="s">
        <v>133</v>
      </c>
      <c r="Z526" s="609">
        <v>7.4117</v>
      </c>
      <c r="AA526" s="616">
        <f t="shared" si="166"/>
        <v>1111.755</v>
      </c>
      <c r="AC526" s="617" t="s">
        <v>7338</v>
      </c>
      <c r="AD526" s="610" t="s">
        <v>1306</v>
      </c>
      <c r="AE526" s="610" t="s">
        <v>82</v>
      </c>
      <c r="AF526" s="610"/>
      <c r="AG526" s="610"/>
      <c r="AH526" s="610"/>
      <c r="AI526" s="610">
        <v>150</v>
      </c>
      <c r="AJ526" s="610">
        <f t="shared" si="167"/>
        <v>0</v>
      </c>
      <c r="AK526" s="610"/>
      <c r="AL526" s="610"/>
      <c r="AM526" s="610"/>
      <c r="AN526" s="610"/>
      <c r="AO526" s="554">
        <f>I526*2</f>
        <v>300</v>
      </c>
      <c r="AR526" s="619">
        <f>I526*2</f>
        <v>300</v>
      </c>
      <c r="AV526" s="554">
        <f>I526*2</f>
        <v>300</v>
      </c>
      <c r="AW526" s="619"/>
      <c r="AX526" s="548"/>
      <c r="AY526" s="548"/>
      <c r="AZ526" s="548"/>
      <c r="BA526" s="548"/>
      <c r="BB526" s="620">
        <f>I526/24*2</f>
        <v>12.5</v>
      </c>
      <c r="BY526" s="619"/>
      <c r="BZ526" s="554">
        <f>I526</f>
        <v>150</v>
      </c>
      <c r="CA526" s="621"/>
      <c r="CB526" s="567"/>
      <c r="CC526" s="622"/>
      <c r="CD526" s="619"/>
      <c r="CE526" s="619"/>
      <c r="CF526" s="548"/>
      <c r="CG526" s="548"/>
      <c r="CU526" s="554">
        <f t="shared" si="165"/>
        <v>0</v>
      </c>
      <c r="CV526" s="554">
        <f t="shared" si="160"/>
        <v>0</v>
      </c>
      <c r="CW526" s="554">
        <f t="shared" si="164"/>
        <v>0</v>
      </c>
      <c r="CX526" s="619"/>
      <c r="CY526" s="619"/>
      <c r="CZ526" s="619"/>
      <c r="DA526" s="548"/>
      <c r="DB526" s="548"/>
      <c r="DC526" s="548"/>
      <c r="DD526" s="619"/>
      <c r="DE526" s="619"/>
      <c r="DF526" s="619"/>
      <c r="DG526" s="619"/>
      <c r="DH526" s="619"/>
    </row>
    <row r="527" s="548" customFormat="1" ht="31" customHeight="1" spans="1:112">
      <c r="A527" s="608">
        <v>45862</v>
      </c>
      <c r="B527" s="609" t="s">
        <v>139</v>
      </c>
      <c r="C527" s="610" t="s">
        <v>76</v>
      </c>
      <c r="D527" s="554">
        <v>4500172405</v>
      </c>
      <c r="E527" s="610">
        <v>21012326</v>
      </c>
      <c r="F527" s="554" t="s">
        <v>7339</v>
      </c>
      <c r="G527" s="610" t="s">
        <v>6093</v>
      </c>
      <c r="H527" s="610" t="s">
        <v>6094</v>
      </c>
      <c r="I527" s="610">
        <v>234</v>
      </c>
      <c r="J527" s="610">
        <v>0</v>
      </c>
      <c r="K527" s="610">
        <v>13</v>
      </c>
      <c r="L527" s="611">
        <f t="shared" si="159"/>
        <v>18</v>
      </c>
      <c r="M527" s="612">
        <v>45901</v>
      </c>
      <c r="N527" s="612">
        <f t="shared" si="174"/>
        <v>45897</v>
      </c>
      <c r="O527" s="613"/>
      <c r="P527" s="613" t="s">
        <v>113</v>
      </c>
      <c r="Q527" s="610"/>
      <c r="R527" s="614">
        <v>45869</v>
      </c>
      <c r="S527" s="614" t="s">
        <v>104</v>
      </c>
      <c r="T527" s="614">
        <v>45880</v>
      </c>
      <c r="U527" s="614"/>
      <c r="V527" s="614"/>
      <c r="W527" s="615"/>
      <c r="X527" s="609" t="s">
        <v>7340</v>
      </c>
      <c r="Y527" s="609" t="s">
        <v>133</v>
      </c>
      <c r="Z527" s="609">
        <v>0.9526</v>
      </c>
      <c r="AA527" s="616">
        <f t="shared" si="166"/>
        <v>222.9084</v>
      </c>
      <c r="AC527" s="617" t="s">
        <v>7341</v>
      </c>
      <c r="AD527" s="610" t="s">
        <v>6093</v>
      </c>
      <c r="AE527" s="610" t="s">
        <v>82</v>
      </c>
      <c r="AF527" s="610"/>
      <c r="AG527" s="610"/>
      <c r="AH527" s="610"/>
      <c r="AI527" s="610">
        <v>234</v>
      </c>
      <c r="AJ527" s="610">
        <f t="shared" si="167"/>
        <v>0</v>
      </c>
      <c r="AK527" s="610"/>
      <c r="AL527" s="610"/>
      <c r="AM527" s="610"/>
      <c r="AN527" s="610"/>
      <c r="AO527" s="554">
        <f>I527</f>
        <v>234</v>
      </c>
      <c r="AR527" s="619"/>
      <c r="AS527" s="548"/>
      <c r="AT527" s="554">
        <f>I527</f>
        <v>234</v>
      </c>
      <c r="AV527" s="554">
        <f>I527</f>
        <v>234</v>
      </c>
      <c r="AW527" s="619"/>
      <c r="AX527" s="548"/>
      <c r="AY527" s="548"/>
      <c r="AZ527" s="548"/>
      <c r="BA527" s="548"/>
      <c r="BB527" s="620">
        <f>I527/24</f>
        <v>9.75</v>
      </c>
      <c r="BM527" s="554">
        <f>I527/13</f>
        <v>18</v>
      </c>
      <c r="BY527" s="619"/>
      <c r="BZ527" s="548"/>
      <c r="CA527" s="621"/>
      <c r="CB527" s="567"/>
      <c r="CC527" s="622"/>
      <c r="CD527" s="619"/>
      <c r="CE527" s="619"/>
      <c r="CF527" s="548"/>
      <c r="CG527" s="548"/>
      <c r="CU527" s="554">
        <f t="shared" si="165"/>
        <v>0</v>
      </c>
      <c r="CV527" s="554">
        <f t="shared" si="160"/>
        <v>0</v>
      </c>
      <c r="CW527" s="554">
        <f t="shared" si="164"/>
        <v>0</v>
      </c>
      <c r="CX527" s="619"/>
      <c r="CY527" s="619"/>
      <c r="CZ527" s="619"/>
      <c r="DA527" s="548"/>
      <c r="DB527" s="548"/>
      <c r="DC527" s="548"/>
      <c r="DD527" s="619"/>
      <c r="DE527" s="619"/>
      <c r="DF527" s="619"/>
      <c r="DG527" s="619"/>
      <c r="DH527" s="619"/>
    </row>
    <row r="528" s="548" customFormat="1" ht="31" customHeight="1" spans="1:112">
      <c r="A528" s="608">
        <v>45853</v>
      </c>
      <c r="B528" s="609" t="s">
        <v>1620</v>
      </c>
      <c r="C528" s="610" t="s">
        <v>278</v>
      </c>
      <c r="D528" s="554">
        <v>4500173887</v>
      </c>
      <c r="E528" s="610">
        <v>4400494430</v>
      </c>
      <c r="F528" s="554" t="s">
        <v>7342</v>
      </c>
      <c r="G528" s="610" t="s">
        <v>6047</v>
      </c>
      <c r="H528" s="610" t="s">
        <v>6069</v>
      </c>
      <c r="I528" s="610">
        <v>8000</v>
      </c>
      <c r="J528" s="610">
        <v>0</v>
      </c>
      <c r="K528" s="610">
        <v>25</v>
      </c>
      <c r="L528" s="611">
        <f t="shared" si="159"/>
        <v>320</v>
      </c>
      <c r="M528" s="612">
        <v>45903</v>
      </c>
      <c r="N528" s="612">
        <f t="shared" si="174"/>
        <v>45899</v>
      </c>
      <c r="O528" s="613"/>
      <c r="P528" s="613" t="s">
        <v>113</v>
      </c>
      <c r="Q528" s="610"/>
      <c r="R528" s="614">
        <v>45866</v>
      </c>
      <c r="S528" s="614" t="s">
        <v>70</v>
      </c>
      <c r="T528" s="614" t="s">
        <v>70</v>
      </c>
      <c r="U528" s="614"/>
      <c r="V528" s="614"/>
      <c r="W528" s="615"/>
      <c r="X528" s="609" t="s">
        <v>7343</v>
      </c>
      <c r="Y528" s="609" t="s">
        <v>1549</v>
      </c>
      <c r="Z528" s="609">
        <v>0.9193</v>
      </c>
      <c r="AA528" s="616">
        <f t="shared" si="166"/>
        <v>7354.4</v>
      </c>
      <c r="AC528" s="617" t="s">
        <v>7344</v>
      </c>
      <c r="AD528" s="610" t="s">
        <v>6073</v>
      </c>
      <c r="AE528" s="610" t="s">
        <v>82</v>
      </c>
      <c r="AF528" s="610"/>
      <c r="AG528" s="610"/>
      <c r="AH528" s="610"/>
      <c r="AI528" s="610">
        <v>8000</v>
      </c>
      <c r="AJ528" s="610">
        <f t="shared" si="167"/>
        <v>0</v>
      </c>
      <c r="AK528" s="610"/>
      <c r="AL528" s="610"/>
      <c r="AM528" s="610"/>
      <c r="AN528" s="610"/>
      <c r="AO528" s="554">
        <f>I528</f>
        <v>8000</v>
      </c>
      <c r="AR528" s="619"/>
      <c r="AS528" s="548"/>
      <c r="AT528" s="548"/>
      <c r="AU528" s="548"/>
      <c r="AV528" s="554">
        <f>I528</f>
        <v>8000</v>
      </c>
      <c r="AW528" s="619"/>
      <c r="AX528" s="548"/>
      <c r="AY528" s="548"/>
      <c r="AZ528" s="548"/>
      <c r="BA528" s="548"/>
      <c r="BB528" s="620">
        <f>I528/24*2</f>
        <v>666.666666666667</v>
      </c>
      <c r="BE528" s="554">
        <f>I528</f>
        <v>8000</v>
      </c>
      <c r="BP528" s="554">
        <f>I528/25</f>
        <v>320</v>
      </c>
      <c r="BY528" s="619"/>
      <c r="BZ528" s="548"/>
      <c r="CA528" s="621"/>
      <c r="CB528" s="567"/>
      <c r="CC528" s="622"/>
      <c r="CD528" s="619"/>
      <c r="CE528" s="619"/>
      <c r="CF528" s="548"/>
      <c r="CG528" s="548"/>
      <c r="CU528" s="554">
        <f t="shared" si="165"/>
        <v>320</v>
      </c>
      <c r="CV528" s="554">
        <f t="shared" si="160"/>
        <v>0</v>
      </c>
      <c r="CW528" s="554">
        <f t="shared" si="164"/>
        <v>0</v>
      </c>
      <c r="CX528" s="619"/>
      <c r="CY528" s="619"/>
      <c r="CZ528" s="619"/>
      <c r="DA528" s="548"/>
      <c r="DB528" s="548"/>
      <c r="DC528" s="548"/>
      <c r="DD528" s="619"/>
      <c r="DE528" s="619"/>
      <c r="DF528" s="619"/>
      <c r="DG528" s="619"/>
      <c r="DH528" s="619"/>
    </row>
    <row r="529" s="548" customFormat="1" ht="31" customHeight="1" spans="1:112">
      <c r="A529" s="608">
        <v>45853</v>
      </c>
      <c r="B529" s="609" t="s">
        <v>1620</v>
      </c>
      <c r="C529" s="610" t="s">
        <v>278</v>
      </c>
      <c r="D529" s="554">
        <v>4500173889</v>
      </c>
      <c r="E529" s="610">
        <v>4400494432</v>
      </c>
      <c r="F529" s="554" t="s">
        <v>7345</v>
      </c>
      <c r="G529" s="610" t="s">
        <v>6047</v>
      </c>
      <c r="H529" s="610" t="s">
        <v>6069</v>
      </c>
      <c r="I529" s="610">
        <v>8000</v>
      </c>
      <c r="J529" s="610">
        <v>0</v>
      </c>
      <c r="K529" s="610">
        <v>25</v>
      </c>
      <c r="L529" s="611">
        <f t="shared" si="159"/>
        <v>320</v>
      </c>
      <c r="M529" s="612">
        <v>45903</v>
      </c>
      <c r="N529" s="612">
        <f t="shared" si="174"/>
        <v>45899</v>
      </c>
      <c r="O529" s="613"/>
      <c r="P529" s="613" t="s">
        <v>113</v>
      </c>
      <c r="Q529" s="610"/>
      <c r="R529" s="614">
        <v>45866</v>
      </c>
      <c r="S529" s="614" t="s">
        <v>70</v>
      </c>
      <c r="T529" s="614" t="s">
        <v>70</v>
      </c>
      <c r="U529" s="614"/>
      <c r="V529" s="614"/>
      <c r="W529" s="615"/>
      <c r="X529" s="609" t="s">
        <v>7343</v>
      </c>
      <c r="Y529" s="609" t="s">
        <v>1549</v>
      </c>
      <c r="Z529" s="609">
        <v>0.9193</v>
      </c>
      <c r="AA529" s="616">
        <f t="shared" si="166"/>
        <v>7354.4</v>
      </c>
      <c r="AC529" s="617" t="s">
        <v>7346</v>
      </c>
      <c r="AD529" s="610" t="s">
        <v>6073</v>
      </c>
      <c r="AE529" s="610" t="s">
        <v>82</v>
      </c>
      <c r="AF529" s="610"/>
      <c r="AG529" s="610"/>
      <c r="AH529" s="610"/>
      <c r="AI529" s="610">
        <v>8000</v>
      </c>
      <c r="AJ529" s="610">
        <f t="shared" si="167"/>
        <v>0</v>
      </c>
      <c r="AK529" s="610"/>
      <c r="AL529" s="610"/>
      <c r="AM529" s="610"/>
      <c r="AN529" s="610"/>
      <c r="AO529" s="554">
        <f>I529</f>
        <v>8000</v>
      </c>
      <c r="AR529" s="619"/>
      <c r="AS529" s="548"/>
      <c r="AT529" s="548"/>
      <c r="AU529" s="548"/>
      <c r="AV529" s="554">
        <f>I529</f>
        <v>8000</v>
      </c>
      <c r="AW529" s="619"/>
      <c r="AX529" s="548"/>
      <c r="AY529" s="548"/>
      <c r="AZ529" s="548"/>
      <c r="BA529" s="548"/>
      <c r="BB529" s="620">
        <f>I529/24*2</f>
        <v>666.666666666667</v>
      </c>
      <c r="BE529" s="554">
        <f>I529</f>
        <v>8000</v>
      </c>
      <c r="BP529" s="554">
        <f>I529/25</f>
        <v>320</v>
      </c>
      <c r="BY529" s="619"/>
      <c r="BZ529" s="548"/>
      <c r="CA529" s="621"/>
      <c r="CB529" s="567"/>
      <c r="CC529" s="622"/>
      <c r="CD529" s="619"/>
      <c r="CE529" s="619"/>
      <c r="CF529" s="548"/>
      <c r="CG529" s="548"/>
      <c r="CU529" s="554">
        <f t="shared" si="165"/>
        <v>320</v>
      </c>
      <c r="CV529" s="554">
        <f t="shared" si="160"/>
        <v>0</v>
      </c>
      <c r="CW529" s="554">
        <f t="shared" si="164"/>
        <v>0</v>
      </c>
      <c r="CX529" s="619"/>
      <c r="CY529" s="619"/>
      <c r="CZ529" s="619"/>
      <c r="DA529" s="548"/>
      <c r="DB529" s="548"/>
      <c r="DC529" s="548"/>
      <c r="DD529" s="619"/>
      <c r="DE529" s="619"/>
      <c r="DF529" s="619"/>
      <c r="DG529" s="619"/>
      <c r="DH529" s="619"/>
    </row>
    <row r="530" s="548" customFormat="1" ht="31" customHeight="1" spans="1:112">
      <c r="A530" s="608">
        <v>45860</v>
      </c>
      <c r="B530" s="609" t="s">
        <v>75</v>
      </c>
      <c r="C530" s="610" t="s">
        <v>76</v>
      </c>
      <c r="D530" s="554">
        <v>4500174525</v>
      </c>
      <c r="E530" s="610">
        <v>29028749</v>
      </c>
      <c r="F530" s="554" t="s">
        <v>7347</v>
      </c>
      <c r="G530" s="610" t="s">
        <v>6043</v>
      </c>
      <c r="H530" s="610" t="s">
        <v>6110</v>
      </c>
      <c r="I530" s="610">
        <v>2300</v>
      </c>
      <c r="J530" s="610">
        <v>0</v>
      </c>
      <c r="K530" s="610">
        <v>50</v>
      </c>
      <c r="L530" s="611">
        <f t="shared" si="159"/>
        <v>46</v>
      </c>
      <c r="M530" s="612">
        <v>45903</v>
      </c>
      <c r="N530" s="612">
        <f t="shared" si="174"/>
        <v>45899</v>
      </c>
      <c r="O530" s="613"/>
      <c r="P530" s="613" t="s">
        <v>113</v>
      </c>
      <c r="Q530" s="610"/>
      <c r="R530" s="614">
        <v>45868</v>
      </c>
      <c r="S530" s="614" t="s">
        <v>70</v>
      </c>
      <c r="T530" s="614" t="s">
        <v>70</v>
      </c>
      <c r="U530" s="614"/>
      <c r="V530" s="614"/>
      <c r="W530" s="615"/>
      <c r="X530" s="609" t="s">
        <v>7348</v>
      </c>
      <c r="Y530" s="609" t="s">
        <v>80</v>
      </c>
      <c r="Z530" s="609">
        <v>0.941</v>
      </c>
      <c r="AA530" s="616">
        <f t="shared" si="166"/>
        <v>2164.3</v>
      </c>
      <c r="AC530" s="617" t="s">
        <v>7349</v>
      </c>
      <c r="AD530" s="610" t="s">
        <v>7350</v>
      </c>
      <c r="AE530" s="610" t="s">
        <v>82</v>
      </c>
      <c r="AF530" s="610"/>
      <c r="AG530" s="610"/>
      <c r="AH530" s="610"/>
      <c r="AI530" s="610">
        <v>2300</v>
      </c>
      <c r="AJ530" s="610">
        <f t="shared" si="167"/>
        <v>0</v>
      </c>
      <c r="AK530" s="610"/>
      <c r="AL530" s="610"/>
      <c r="AM530" s="610"/>
      <c r="AN530" s="610"/>
      <c r="AO530" s="554">
        <f>I530</f>
        <v>2300</v>
      </c>
      <c r="AP530" s="554">
        <f>I530</f>
        <v>2300</v>
      </c>
      <c r="AR530" s="619"/>
      <c r="AS530" s="548"/>
      <c r="AT530" s="548"/>
      <c r="AU530" s="548"/>
      <c r="AV530" s="554">
        <f>I530</f>
        <v>2300</v>
      </c>
      <c r="AW530" s="619"/>
      <c r="AX530" s="548"/>
      <c r="AY530" s="548"/>
      <c r="AZ530" s="548"/>
      <c r="BA530" s="548"/>
      <c r="BB530" s="620">
        <f>I530/24</f>
        <v>95.8333333333333</v>
      </c>
      <c r="BN530" s="554">
        <f>I530/25</f>
        <v>92</v>
      </c>
      <c r="BY530" s="619"/>
      <c r="BZ530" s="548"/>
      <c r="CA530" s="621"/>
      <c r="CB530" s="567"/>
      <c r="CC530" s="622"/>
      <c r="CD530" s="619"/>
      <c r="CE530" s="619"/>
      <c r="CF530" s="548"/>
      <c r="CG530" s="548"/>
      <c r="CU530" s="554">
        <f t="shared" si="165"/>
        <v>92</v>
      </c>
      <c r="CV530" s="554">
        <f t="shared" si="160"/>
        <v>0</v>
      </c>
      <c r="CW530" s="554">
        <f t="shared" si="164"/>
        <v>0</v>
      </c>
      <c r="CX530" s="619"/>
      <c r="CY530" s="619"/>
      <c r="CZ530" s="619"/>
      <c r="DA530" s="548"/>
      <c r="DB530" s="548"/>
      <c r="DC530" s="548"/>
      <c r="DD530" s="619"/>
      <c r="DE530" s="619"/>
      <c r="DF530" s="619"/>
      <c r="DG530" s="619"/>
      <c r="DH530" s="619"/>
    </row>
    <row r="531" s="548" customFormat="1" ht="31" customHeight="1" spans="1:112">
      <c r="A531" s="608">
        <v>45860</v>
      </c>
      <c r="B531" s="609" t="s">
        <v>75</v>
      </c>
      <c r="C531" s="610" t="s">
        <v>76</v>
      </c>
      <c r="D531" s="554">
        <v>4500174525</v>
      </c>
      <c r="E531" s="610">
        <v>29028754</v>
      </c>
      <c r="F531" s="554" t="s">
        <v>7351</v>
      </c>
      <c r="G531" s="610" t="s">
        <v>6043</v>
      </c>
      <c r="H531" s="610" t="s">
        <v>6110</v>
      </c>
      <c r="I531" s="610">
        <v>750</v>
      </c>
      <c r="J531" s="610">
        <v>0</v>
      </c>
      <c r="K531" s="610">
        <v>50</v>
      </c>
      <c r="L531" s="611">
        <f t="shared" si="159"/>
        <v>15</v>
      </c>
      <c r="M531" s="612">
        <v>45903</v>
      </c>
      <c r="N531" s="612">
        <f t="shared" si="174"/>
        <v>45899</v>
      </c>
      <c r="O531" s="613"/>
      <c r="P531" s="613" t="s">
        <v>113</v>
      </c>
      <c r="Q531" s="610"/>
      <c r="R531" s="614">
        <v>45868</v>
      </c>
      <c r="S531" s="614" t="s">
        <v>70</v>
      </c>
      <c r="T531" s="614" t="s">
        <v>70</v>
      </c>
      <c r="U531" s="614"/>
      <c r="V531" s="614"/>
      <c r="W531" s="615"/>
      <c r="X531" s="609" t="s">
        <v>7348</v>
      </c>
      <c r="Y531" s="609" t="s">
        <v>80</v>
      </c>
      <c r="Z531" s="609">
        <v>0.9462</v>
      </c>
      <c r="AA531" s="616">
        <f t="shared" si="166"/>
        <v>709.65</v>
      </c>
      <c r="AC531" s="617" t="s">
        <v>7349</v>
      </c>
      <c r="AD531" s="610" t="s">
        <v>7350</v>
      </c>
      <c r="AE531" s="610" t="s">
        <v>82</v>
      </c>
      <c r="AF531" s="610"/>
      <c r="AG531" s="610"/>
      <c r="AH531" s="610"/>
      <c r="AI531" s="610">
        <f>700+50</f>
        <v>750</v>
      </c>
      <c r="AJ531" s="610">
        <f t="shared" si="167"/>
        <v>0</v>
      </c>
      <c r="AK531" s="610"/>
      <c r="AL531" s="610"/>
      <c r="AM531" s="610"/>
      <c r="AN531" s="610"/>
      <c r="AO531" s="554">
        <f>I531</f>
        <v>750</v>
      </c>
      <c r="AP531" s="554">
        <f>I531</f>
        <v>750</v>
      </c>
      <c r="AR531" s="619"/>
      <c r="AS531" s="548"/>
      <c r="AT531" s="548"/>
      <c r="AU531" s="548"/>
      <c r="AV531" s="554">
        <f>I531</f>
        <v>750</v>
      </c>
      <c r="AW531" s="619"/>
      <c r="AX531" s="548"/>
      <c r="AY531" s="548"/>
      <c r="AZ531" s="548"/>
      <c r="BA531" s="548"/>
      <c r="BB531" s="620">
        <f>I531/24</f>
        <v>31.25</v>
      </c>
      <c r="BN531" s="554">
        <f>I531/25</f>
        <v>30</v>
      </c>
      <c r="BY531" s="619"/>
      <c r="BZ531" s="548"/>
      <c r="CA531" s="621"/>
      <c r="CB531" s="567"/>
      <c r="CC531" s="622"/>
      <c r="CD531" s="619"/>
      <c r="CE531" s="619"/>
      <c r="CF531" s="548"/>
      <c r="CG531" s="548"/>
      <c r="CU531" s="554">
        <f t="shared" si="165"/>
        <v>30</v>
      </c>
      <c r="CV531" s="554">
        <f t="shared" si="160"/>
        <v>0</v>
      </c>
      <c r="CW531" s="554">
        <f t="shared" si="164"/>
        <v>0</v>
      </c>
      <c r="CX531" s="619"/>
      <c r="CY531" s="619"/>
      <c r="CZ531" s="619"/>
      <c r="DA531" s="548"/>
      <c r="DB531" s="548"/>
      <c r="DC531" s="548"/>
      <c r="DD531" s="619"/>
      <c r="DE531" s="619"/>
      <c r="DF531" s="619"/>
      <c r="DG531" s="619"/>
      <c r="DH531" s="619"/>
    </row>
    <row r="532" s="548" customFormat="1" ht="31" customHeight="1" spans="1:112">
      <c r="A532" s="608">
        <v>45678</v>
      </c>
      <c r="B532" s="609" t="s">
        <v>1492</v>
      </c>
      <c r="C532" s="610" t="s">
        <v>98</v>
      </c>
      <c r="D532" s="554">
        <v>4500156301</v>
      </c>
      <c r="E532" s="613">
        <v>5840625195</v>
      </c>
      <c r="F532" s="554" t="s">
        <v>1598</v>
      </c>
      <c r="G532" s="610" t="s">
        <v>909</v>
      </c>
      <c r="H532" s="610" t="s">
        <v>830</v>
      </c>
      <c r="I532" s="610">
        <v>72</v>
      </c>
      <c r="J532" s="610">
        <v>0</v>
      </c>
      <c r="K532" s="610">
        <v>1</v>
      </c>
      <c r="L532" s="611">
        <f t="shared" si="159"/>
        <v>72</v>
      </c>
      <c r="M532" s="612">
        <v>45891</v>
      </c>
      <c r="N532" s="612">
        <f t="shared" si="174"/>
        <v>45887</v>
      </c>
      <c r="O532" s="613"/>
      <c r="P532" s="613" t="s">
        <v>113</v>
      </c>
      <c r="Q532" s="610"/>
      <c r="R532" s="614">
        <v>45832</v>
      </c>
      <c r="S532" s="614" t="s">
        <v>70</v>
      </c>
      <c r="T532" s="614" t="s">
        <v>70</v>
      </c>
      <c r="U532" s="614"/>
      <c r="V532" s="614"/>
      <c r="W532" s="615"/>
      <c r="X532" s="628" t="s">
        <v>1595</v>
      </c>
      <c r="Y532" s="609" t="s">
        <v>911</v>
      </c>
      <c r="Z532" s="609">
        <v>0</v>
      </c>
      <c r="AA532" s="616">
        <f>Z532*L532</f>
        <v>0</v>
      </c>
      <c r="AC532" s="617" t="s">
        <v>1600</v>
      </c>
      <c r="AD532" s="610" t="s">
        <v>1498</v>
      </c>
      <c r="AE532" s="610" t="s">
        <v>82</v>
      </c>
      <c r="AF532" s="610"/>
      <c r="AG532" s="610"/>
      <c r="AH532" s="610"/>
      <c r="AI532" s="610">
        <v>0</v>
      </c>
      <c r="AJ532" s="610">
        <v>0</v>
      </c>
      <c r="AK532" s="610"/>
      <c r="AL532" s="610"/>
      <c r="AM532" s="610"/>
      <c r="AN532" s="610"/>
      <c r="AO532" s="548"/>
      <c r="AP532" s="548"/>
      <c r="AQ532" s="548"/>
      <c r="AR532" s="619"/>
      <c r="AS532" s="548"/>
      <c r="AT532" s="548"/>
      <c r="AU532" s="548"/>
      <c r="AV532" s="548"/>
      <c r="AW532" s="619"/>
      <c r="AX532" s="548"/>
      <c r="AY532" s="548"/>
      <c r="AZ532" s="548"/>
      <c r="BA532" s="548"/>
      <c r="BB532" s="620"/>
      <c r="BC532" s="548"/>
      <c r="BD532" s="548"/>
      <c r="BE532" s="548"/>
      <c r="BF532" s="548"/>
      <c r="BY532" s="619"/>
      <c r="BZ532" s="548"/>
      <c r="CA532" s="621"/>
      <c r="CB532" s="567"/>
      <c r="CC532" s="622"/>
      <c r="CD532" s="619"/>
      <c r="CE532" s="619"/>
      <c r="CF532" s="548"/>
      <c r="CG532" s="548"/>
      <c r="CU532" s="554">
        <f t="shared" si="165"/>
        <v>0</v>
      </c>
      <c r="CV532" s="554">
        <f t="shared" si="160"/>
        <v>0</v>
      </c>
      <c r="CW532" s="554">
        <f t="shared" si="164"/>
        <v>0</v>
      </c>
      <c r="CX532" s="619"/>
      <c r="CY532" s="619"/>
      <c r="CZ532" s="619"/>
      <c r="DA532" s="548"/>
      <c r="DB532" s="548"/>
      <c r="DC532" s="548"/>
      <c r="DD532" s="619"/>
      <c r="DE532" s="619"/>
      <c r="DF532" s="619"/>
      <c r="DG532" s="619"/>
      <c r="DH532" s="619"/>
    </row>
    <row r="533" s="548" customFormat="1" ht="31" customHeight="1" spans="1:112">
      <c r="A533" s="608">
        <v>45678</v>
      </c>
      <c r="B533" s="609" t="s">
        <v>1492</v>
      </c>
      <c r="C533" s="610" t="s">
        <v>98</v>
      </c>
      <c r="D533" s="554">
        <v>4500156301</v>
      </c>
      <c r="E533" s="613">
        <v>5840625195</v>
      </c>
      <c r="F533" s="554" t="s">
        <v>1598</v>
      </c>
      <c r="G533" s="610">
        <v>77711</v>
      </c>
      <c r="H533" s="610" t="s">
        <v>6033</v>
      </c>
      <c r="I533" s="610">
        <v>5400</v>
      </c>
      <c r="J533" s="610">
        <v>0</v>
      </c>
      <c r="K533" s="610">
        <v>75</v>
      </c>
      <c r="L533" s="611">
        <f t="shared" si="159"/>
        <v>72</v>
      </c>
      <c r="M533" s="612">
        <v>45891</v>
      </c>
      <c r="N533" s="612">
        <f t="shared" si="174"/>
        <v>45887</v>
      </c>
      <c r="O533" s="613"/>
      <c r="P533" s="613" t="s">
        <v>113</v>
      </c>
      <c r="Q533" s="610"/>
      <c r="R533" s="614">
        <v>45832</v>
      </c>
      <c r="S533" s="614" t="s">
        <v>70</v>
      </c>
      <c r="T533" s="614" t="s">
        <v>70</v>
      </c>
      <c r="U533" s="614"/>
      <c r="V533" s="614"/>
      <c r="W533" s="615"/>
      <c r="X533" s="609"/>
      <c r="Y533" s="609" t="s">
        <v>911</v>
      </c>
      <c r="Z533" s="609">
        <v>762.5</v>
      </c>
      <c r="AA533" s="616">
        <f>Z533*L533</f>
        <v>54900</v>
      </c>
      <c r="AC533" s="617" t="s">
        <v>1600</v>
      </c>
      <c r="AD533" s="610" t="s">
        <v>1498</v>
      </c>
      <c r="AE533" s="610" t="s">
        <v>82</v>
      </c>
      <c r="AF533" s="610"/>
      <c r="AG533" s="610"/>
      <c r="AH533" s="610"/>
      <c r="AI533" s="610">
        <v>0</v>
      </c>
      <c r="AJ533" s="610">
        <v>0</v>
      </c>
      <c r="AK533" s="610"/>
      <c r="AL533" s="610"/>
      <c r="AM533" s="610"/>
      <c r="AN533" s="610">
        <f>I533*3</f>
        <v>16200</v>
      </c>
      <c r="AR533" s="619"/>
      <c r="AS533" s="548"/>
      <c r="AT533" s="548"/>
      <c r="AU533" s="548"/>
      <c r="AV533" s="548"/>
      <c r="AW533" s="619"/>
      <c r="AX533" s="548"/>
      <c r="AY533" s="548"/>
      <c r="AZ533" s="548"/>
      <c r="BA533" s="548"/>
      <c r="BB533" s="620">
        <f>I533/24*3</f>
        <v>675</v>
      </c>
      <c r="BF533" s="554">
        <f>AN533</f>
        <v>16200</v>
      </c>
      <c r="BH533" s="554">
        <f>AN533</f>
        <v>16200</v>
      </c>
      <c r="BI533" s="554">
        <f>I533</f>
        <v>5400</v>
      </c>
      <c r="BJ533" s="554">
        <f>I533/5</f>
        <v>1080</v>
      </c>
      <c r="BY533" s="619"/>
      <c r="BZ533" s="548"/>
      <c r="CA533" s="621"/>
      <c r="CB533" s="567"/>
      <c r="CC533" s="622"/>
      <c r="CD533" s="619"/>
      <c r="CE533" s="619"/>
      <c r="CF533" s="548"/>
      <c r="CG533" s="548"/>
      <c r="CU533" s="554">
        <f t="shared" si="165"/>
        <v>0</v>
      </c>
      <c r="CV533" s="554">
        <f t="shared" si="160"/>
        <v>0</v>
      </c>
      <c r="CW533" s="554">
        <f t="shared" si="164"/>
        <v>0</v>
      </c>
      <c r="CX533" s="619"/>
      <c r="CY533" s="619"/>
      <c r="CZ533" s="619"/>
      <c r="DA533" s="548"/>
      <c r="DB533" s="548"/>
      <c r="DC533" s="548"/>
      <c r="DD533" s="619"/>
      <c r="DE533" s="619"/>
      <c r="DF533" s="619"/>
      <c r="DG533" s="619"/>
      <c r="DH533" s="619"/>
    </row>
    <row r="534" s="548" customFormat="1" ht="31" customHeight="1" spans="1:112">
      <c r="A534" s="608">
        <v>45678</v>
      </c>
      <c r="B534" s="609" t="s">
        <v>1492</v>
      </c>
      <c r="C534" s="610" t="s">
        <v>98</v>
      </c>
      <c r="D534" s="554">
        <v>4500156325</v>
      </c>
      <c r="E534" s="613">
        <v>13760625258</v>
      </c>
      <c r="F534" s="554" t="s">
        <v>1649</v>
      </c>
      <c r="G534" s="610" t="s">
        <v>909</v>
      </c>
      <c r="H534" s="610" t="s">
        <v>830</v>
      </c>
      <c r="I534" s="610">
        <v>72</v>
      </c>
      <c r="J534" s="610">
        <v>0</v>
      </c>
      <c r="K534" s="610">
        <v>1</v>
      </c>
      <c r="L534" s="611">
        <f t="shared" si="159"/>
        <v>72</v>
      </c>
      <c r="M534" s="612">
        <v>45897</v>
      </c>
      <c r="N534" s="612">
        <v>45894</v>
      </c>
      <c r="O534" s="613"/>
      <c r="P534" s="613" t="s">
        <v>113</v>
      </c>
      <c r="Q534" s="610"/>
      <c r="R534" s="614">
        <v>45832</v>
      </c>
      <c r="S534" s="614" t="s">
        <v>70</v>
      </c>
      <c r="T534" s="614" t="s">
        <v>70</v>
      </c>
      <c r="U534" s="614"/>
      <c r="V534" s="614"/>
      <c r="W534" s="615"/>
      <c r="X534" s="628" t="s">
        <v>1595</v>
      </c>
      <c r="Y534" s="609" t="s">
        <v>911</v>
      </c>
      <c r="Z534" s="609">
        <v>0</v>
      </c>
      <c r="AA534" s="616">
        <f>Z534*L534</f>
        <v>0</v>
      </c>
      <c r="AC534" s="638" t="s">
        <v>1650</v>
      </c>
      <c r="AD534" s="610" t="s">
        <v>1498</v>
      </c>
      <c r="AE534" s="610" t="s">
        <v>82</v>
      </c>
      <c r="AF534" s="610"/>
      <c r="AG534" s="610"/>
      <c r="AH534" s="610"/>
      <c r="AI534" s="610">
        <v>0</v>
      </c>
      <c r="AJ534" s="610">
        <v>0</v>
      </c>
      <c r="AK534" s="610"/>
      <c r="AL534" s="610"/>
      <c r="AM534" s="610"/>
      <c r="AN534" s="610"/>
      <c r="AO534" s="548"/>
      <c r="AP534" s="548"/>
      <c r="AQ534" s="548"/>
      <c r="AR534" s="619"/>
      <c r="AS534" s="548"/>
      <c r="AT534" s="548"/>
      <c r="AU534" s="548"/>
      <c r="AV534" s="548"/>
      <c r="AW534" s="619"/>
      <c r="AX534" s="548"/>
      <c r="AY534" s="548"/>
      <c r="AZ534" s="548"/>
      <c r="BA534" s="548"/>
      <c r="BB534" s="620"/>
      <c r="BC534" s="548"/>
      <c r="BD534" s="548"/>
      <c r="BE534" s="548"/>
      <c r="BF534" s="548"/>
      <c r="BY534" s="619"/>
      <c r="BZ534" s="548"/>
      <c r="CA534" s="621"/>
      <c r="CB534" s="567"/>
      <c r="CC534" s="622"/>
      <c r="CD534" s="619"/>
      <c r="CE534" s="619"/>
      <c r="CF534" s="548"/>
      <c r="CG534" s="548"/>
      <c r="CU534" s="554">
        <f t="shared" si="165"/>
        <v>0</v>
      </c>
      <c r="CV534" s="554">
        <f t="shared" si="160"/>
        <v>0</v>
      </c>
      <c r="CW534" s="554">
        <f t="shared" si="164"/>
        <v>0</v>
      </c>
      <c r="CX534" s="619"/>
      <c r="CY534" s="619"/>
      <c r="CZ534" s="619"/>
      <c r="DA534" s="548"/>
      <c r="DB534" s="548"/>
      <c r="DC534" s="548"/>
      <c r="DD534" s="619"/>
      <c r="DE534" s="619"/>
      <c r="DF534" s="619"/>
      <c r="DG534" s="619"/>
      <c r="DH534" s="619"/>
    </row>
    <row r="535" s="548" customFormat="1" ht="31" customHeight="1" spans="1:112">
      <c r="A535" s="608">
        <v>45678</v>
      </c>
      <c r="B535" s="609" t="s">
        <v>1492</v>
      </c>
      <c r="C535" s="610" t="s">
        <v>98</v>
      </c>
      <c r="D535" s="554">
        <v>4500156325</v>
      </c>
      <c r="E535" s="613">
        <v>13760625258</v>
      </c>
      <c r="F535" s="554" t="s">
        <v>1649</v>
      </c>
      <c r="G535" s="610">
        <v>77711</v>
      </c>
      <c r="H535" s="610" t="s">
        <v>6033</v>
      </c>
      <c r="I535" s="610">
        <v>5400</v>
      </c>
      <c r="J535" s="610">
        <v>0</v>
      </c>
      <c r="K535" s="610">
        <v>75</v>
      </c>
      <c r="L535" s="611">
        <f t="shared" si="159"/>
        <v>72</v>
      </c>
      <c r="M535" s="612">
        <v>45897</v>
      </c>
      <c r="N535" s="612">
        <v>45894</v>
      </c>
      <c r="O535" s="613"/>
      <c r="P535" s="613" t="s">
        <v>113</v>
      </c>
      <c r="Q535" s="610"/>
      <c r="R535" s="614">
        <v>45832</v>
      </c>
      <c r="S535" s="614" t="s">
        <v>70</v>
      </c>
      <c r="T535" s="614" t="s">
        <v>70</v>
      </c>
      <c r="U535" s="614"/>
      <c r="V535" s="614"/>
      <c r="W535" s="615"/>
      <c r="X535" s="609"/>
      <c r="Y535" s="609" t="s">
        <v>911</v>
      </c>
      <c r="Z535" s="609">
        <v>762.5</v>
      </c>
      <c r="AA535" s="616">
        <f>Z535*L535</f>
        <v>54900</v>
      </c>
      <c r="AC535" s="638" t="s">
        <v>1650</v>
      </c>
      <c r="AD535" s="610" t="s">
        <v>1498</v>
      </c>
      <c r="AE535" s="610" t="s">
        <v>82</v>
      </c>
      <c r="AF535" s="610"/>
      <c r="AG535" s="610"/>
      <c r="AH535" s="610"/>
      <c r="AI535" s="610">
        <v>0</v>
      </c>
      <c r="AJ535" s="610">
        <v>0</v>
      </c>
      <c r="AK535" s="610"/>
      <c r="AL535" s="610"/>
      <c r="AM535" s="610"/>
      <c r="AN535" s="610">
        <f>I535*3</f>
        <v>16200</v>
      </c>
      <c r="AR535" s="619"/>
      <c r="AS535" s="548"/>
      <c r="AT535" s="548"/>
      <c r="AU535" s="548"/>
      <c r="AV535" s="548"/>
      <c r="AW535" s="619"/>
      <c r="AX535" s="548"/>
      <c r="AY535" s="548"/>
      <c r="AZ535" s="548"/>
      <c r="BA535" s="548"/>
      <c r="BB535" s="620">
        <f>I535/24*3</f>
        <v>675</v>
      </c>
      <c r="BF535" s="554">
        <f>AN535</f>
        <v>16200</v>
      </c>
      <c r="BH535" s="554">
        <f>AN535</f>
        <v>16200</v>
      </c>
      <c r="BI535" s="554">
        <f>I535</f>
        <v>5400</v>
      </c>
      <c r="BJ535" s="554">
        <f>I535/5</f>
        <v>1080</v>
      </c>
      <c r="BY535" s="619"/>
      <c r="BZ535" s="548"/>
      <c r="CA535" s="621"/>
      <c r="CB535" s="567"/>
      <c r="CC535" s="622"/>
      <c r="CD535" s="619"/>
      <c r="CE535" s="619"/>
      <c r="CF535" s="548"/>
      <c r="CG535" s="548"/>
      <c r="CU535" s="554">
        <f t="shared" si="165"/>
        <v>0</v>
      </c>
      <c r="CV535" s="554">
        <f t="shared" si="160"/>
        <v>0</v>
      </c>
      <c r="CW535" s="554">
        <f t="shared" si="164"/>
        <v>0</v>
      </c>
      <c r="CX535" s="619"/>
      <c r="CY535" s="619"/>
      <c r="CZ535" s="619"/>
      <c r="DA535" s="548"/>
      <c r="DB535" s="548"/>
      <c r="DC535" s="548"/>
      <c r="DD535" s="619"/>
      <c r="DE535" s="619"/>
      <c r="DF535" s="619"/>
      <c r="DG535" s="619"/>
      <c r="DH535" s="619"/>
    </row>
    <row r="536" s="548" customFormat="1" ht="31" customHeight="1" spans="1:112">
      <c r="A536" s="608">
        <v>45869</v>
      </c>
      <c r="B536" s="609" t="s">
        <v>246</v>
      </c>
      <c r="C536" s="610" t="s">
        <v>98</v>
      </c>
      <c r="D536" s="554">
        <v>4500175700</v>
      </c>
      <c r="E536" s="610" t="s">
        <v>7352</v>
      </c>
      <c r="F536" s="554" t="s">
        <v>7353</v>
      </c>
      <c r="G536" s="610" t="s">
        <v>6084</v>
      </c>
      <c r="H536" s="610" t="s">
        <v>6069</v>
      </c>
      <c r="I536" s="610">
        <v>50000</v>
      </c>
      <c r="J536" s="610">
        <v>0</v>
      </c>
      <c r="K536" s="610">
        <v>25</v>
      </c>
      <c r="L536" s="611">
        <f t="shared" si="159"/>
        <v>2000</v>
      </c>
      <c r="M536" s="612">
        <v>45903</v>
      </c>
      <c r="N536" s="612">
        <f>M536-4</f>
        <v>45899</v>
      </c>
      <c r="O536" s="613"/>
      <c r="P536" s="613" t="s">
        <v>113</v>
      </c>
      <c r="Q536" s="610"/>
      <c r="R536" s="614">
        <v>45874</v>
      </c>
      <c r="S536" s="614" t="s">
        <v>104</v>
      </c>
      <c r="T536" s="614">
        <v>45882</v>
      </c>
      <c r="U536" s="614"/>
      <c r="V536" s="614"/>
      <c r="W536" s="615"/>
      <c r="X536" s="609" t="s">
        <v>7354</v>
      </c>
      <c r="Y536" s="609" t="s">
        <v>252</v>
      </c>
      <c r="Z536" s="609">
        <v>0.5455</v>
      </c>
      <c r="AA536" s="616">
        <f>Z536*I536</f>
        <v>27275</v>
      </c>
      <c r="AC536" s="617" t="s">
        <v>7355</v>
      </c>
      <c r="AD536" s="610" t="s">
        <v>6084</v>
      </c>
      <c r="AE536" s="610" t="s">
        <v>82</v>
      </c>
      <c r="AF536" s="610"/>
      <c r="AG536" s="610"/>
      <c r="AH536" s="610"/>
      <c r="AI536" s="610">
        <v>50000</v>
      </c>
      <c r="AJ536" s="610">
        <f>AI536-I536</f>
        <v>0</v>
      </c>
      <c r="AK536" s="610"/>
      <c r="AL536" s="610"/>
      <c r="AM536" s="610"/>
      <c r="AN536" s="610">
        <f>I536</f>
        <v>50000</v>
      </c>
      <c r="AP536" s="554">
        <f>I536</f>
        <v>50000</v>
      </c>
      <c r="AR536" s="619"/>
      <c r="AS536" s="548"/>
      <c r="AT536" s="548"/>
      <c r="AU536" s="554">
        <f>I536</f>
        <v>50000</v>
      </c>
      <c r="AW536" s="619"/>
      <c r="AX536" s="548"/>
      <c r="AY536" s="548"/>
      <c r="AZ536" s="548"/>
      <c r="BA536" s="548"/>
      <c r="BB536" s="620">
        <f>I536/24</f>
        <v>2083.33333333333</v>
      </c>
      <c r="BN536" s="554">
        <f>I536/25</f>
        <v>2000</v>
      </c>
      <c r="BY536" s="619"/>
      <c r="BZ536" s="548"/>
      <c r="CA536" s="621"/>
      <c r="CB536" s="567"/>
      <c r="CC536" s="622"/>
      <c r="CD536" s="619"/>
      <c r="CE536" s="619"/>
      <c r="CF536" s="548"/>
      <c r="CG536" s="548"/>
      <c r="CU536" s="554">
        <f t="shared" si="165"/>
        <v>2000</v>
      </c>
      <c r="CV536" s="554">
        <f t="shared" si="160"/>
        <v>0</v>
      </c>
      <c r="CW536" s="554">
        <f t="shared" si="164"/>
        <v>0</v>
      </c>
      <c r="CX536" s="619"/>
      <c r="CY536" s="619"/>
      <c r="CZ536" s="619"/>
      <c r="DA536" s="548"/>
      <c r="DB536" s="548"/>
      <c r="DC536" s="548"/>
      <c r="DD536" s="619"/>
      <c r="DE536" s="619"/>
      <c r="DF536" s="619"/>
      <c r="DG536" s="619"/>
      <c r="DH536" s="619"/>
    </row>
    <row r="537" s="548" customFormat="1" ht="31" customHeight="1" spans="1:112">
      <c r="A537" s="608">
        <v>45860</v>
      </c>
      <c r="B537" s="609" t="s">
        <v>225</v>
      </c>
      <c r="C537" s="610" t="s">
        <v>226</v>
      </c>
      <c r="D537" s="554">
        <v>4500174635</v>
      </c>
      <c r="E537" s="610" t="s">
        <v>1629</v>
      </c>
      <c r="F537" s="554" t="s">
        <v>7356</v>
      </c>
      <c r="G537" s="610" t="s">
        <v>6040</v>
      </c>
      <c r="H537" s="610" t="s">
        <v>6041</v>
      </c>
      <c r="I537" s="610">
        <v>2600</v>
      </c>
      <c r="J537" s="610">
        <v>0</v>
      </c>
      <c r="K537" s="610">
        <v>52</v>
      </c>
      <c r="L537" s="611">
        <f t="shared" si="159"/>
        <v>50</v>
      </c>
      <c r="M537" s="612">
        <v>45903</v>
      </c>
      <c r="N537" s="612">
        <f>M537-4</f>
        <v>45899</v>
      </c>
      <c r="O537" s="613"/>
      <c r="P537" s="613" t="s">
        <v>113</v>
      </c>
      <c r="Q537" s="610"/>
      <c r="R537" s="614">
        <v>45860</v>
      </c>
      <c r="S537" s="614" t="s">
        <v>70</v>
      </c>
      <c r="T537" s="614">
        <v>45867</v>
      </c>
      <c r="U537" s="614"/>
      <c r="V537" s="614"/>
      <c r="W537" s="615"/>
      <c r="X537" s="628" t="s">
        <v>7357</v>
      </c>
      <c r="Y537" s="609" t="s">
        <v>230</v>
      </c>
      <c r="Z537" s="609">
        <v>0.9129</v>
      </c>
      <c r="AA537" s="616">
        <f t="shared" ref="AA537:AA545" si="175">Z537*I537</f>
        <v>2373.54</v>
      </c>
      <c r="AC537" s="617" t="s">
        <v>1632</v>
      </c>
      <c r="AD537" s="610" t="s">
        <v>6255</v>
      </c>
      <c r="AE537" s="610" t="s">
        <v>82</v>
      </c>
      <c r="AF537" s="610"/>
      <c r="AG537" s="610"/>
      <c r="AH537" s="610"/>
      <c r="AI537" s="610">
        <f>2548+52</f>
        <v>2600</v>
      </c>
      <c r="AJ537" s="610">
        <f>AI537-I537</f>
        <v>0</v>
      </c>
      <c r="AK537" s="610"/>
      <c r="AL537" s="610"/>
      <c r="AM537" s="610"/>
      <c r="AN537" s="610"/>
      <c r="AO537" s="554">
        <f>I537</f>
        <v>2600</v>
      </c>
      <c r="AP537" s="554">
        <f>I537</f>
        <v>2600</v>
      </c>
      <c r="AR537" s="619"/>
      <c r="AS537" s="548"/>
      <c r="AT537" s="548"/>
      <c r="AU537" s="548"/>
      <c r="AV537" s="554">
        <f>I537</f>
        <v>2600</v>
      </c>
      <c r="AW537" s="619"/>
      <c r="AX537" s="548"/>
      <c r="AY537" s="548"/>
      <c r="AZ537" s="548"/>
      <c r="BA537" s="548"/>
      <c r="BB537" s="620">
        <f>I537/24*2</f>
        <v>216.666666666667</v>
      </c>
      <c r="BM537" s="554">
        <f>I537/13</f>
        <v>200</v>
      </c>
      <c r="BY537" s="619"/>
      <c r="BZ537" s="548"/>
      <c r="CA537" s="621"/>
      <c r="CB537" s="567"/>
      <c r="CC537" s="622"/>
      <c r="CD537" s="619"/>
      <c r="CE537" s="619"/>
      <c r="CF537" s="548"/>
      <c r="CG537" s="548"/>
      <c r="CU537" s="554">
        <f t="shared" si="165"/>
        <v>0</v>
      </c>
      <c r="CV537" s="554">
        <f t="shared" ref="CV537:CV581" si="176">CK537+CL537+CM537+CN537+CO537+CQ537+CP537</f>
        <v>0</v>
      </c>
      <c r="CW537" s="554">
        <f t="shared" ref="CW537:CW581" si="177">CI537+CJ537</f>
        <v>0</v>
      </c>
      <c r="CX537" s="619"/>
      <c r="CY537" s="619"/>
      <c r="CZ537" s="619"/>
      <c r="DA537" s="548"/>
      <c r="DB537" s="548"/>
      <c r="DC537" s="548"/>
      <c r="DD537" s="619"/>
      <c r="DE537" s="619"/>
      <c r="DF537" s="619"/>
      <c r="DG537" s="619"/>
      <c r="DH537" s="619"/>
    </row>
    <row r="538" s="548" customFormat="1" ht="31" customHeight="1" spans="1:112">
      <c r="A538" s="608">
        <v>45863</v>
      </c>
      <c r="B538" s="609" t="s">
        <v>1800</v>
      </c>
      <c r="C538" s="610" t="s">
        <v>744</v>
      </c>
      <c r="D538" s="554">
        <v>4500170580</v>
      </c>
      <c r="E538" s="610">
        <v>5000001921</v>
      </c>
      <c r="F538" s="554" t="s">
        <v>7358</v>
      </c>
      <c r="G538" s="610" t="s">
        <v>6093</v>
      </c>
      <c r="H538" s="639" t="s">
        <v>7359</v>
      </c>
      <c r="I538" s="610">
        <v>2600</v>
      </c>
      <c r="J538" s="610">
        <v>0</v>
      </c>
      <c r="K538" s="610">
        <v>13</v>
      </c>
      <c r="L538" s="611">
        <f t="shared" si="159"/>
        <v>200</v>
      </c>
      <c r="M538" s="612">
        <v>45905</v>
      </c>
      <c r="N538" s="612">
        <v>45901</v>
      </c>
      <c r="O538" s="613"/>
      <c r="P538" s="613" t="s">
        <v>113</v>
      </c>
      <c r="Q538" s="610"/>
      <c r="R538" s="614">
        <v>45853</v>
      </c>
      <c r="S538" s="614" t="s">
        <v>70</v>
      </c>
      <c r="T538" s="614" t="s">
        <v>70</v>
      </c>
      <c r="U538" s="614"/>
      <c r="V538" s="614"/>
      <c r="W538" s="615"/>
      <c r="X538" s="609" t="s">
        <v>7360</v>
      </c>
      <c r="Y538" s="609" t="s">
        <v>1805</v>
      </c>
      <c r="Z538" s="609">
        <v>0.882</v>
      </c>
      <c r="AA538" s="616">
        <f t="shared" si="175"/>
        <v>2293.2</v>
      </c>
      <c r="AC538" s="617" t="s">
        <v>7361</v>
      </c>
      <c r="AD538" s="610" t="s">
        <v>6093</v>
      </c>
      <c r="AE538" s="610" t="s">
        <v>82</v>
      </c>
      <c r="AF538" s="610"/>
      <c r="AG538" s="610"/>
      <c r="AH538" s="610"/>
      <c r="AI538" s="610">
        <v>2600</v>
      </c>
      <c r="AJ538" s="610">
        <f>AI538-I538</f>
        <v>0</v>
      </c>
      <c r="AK538" s="610"/>
      <c r="AL538" s="610"/>
      <c r="AM538" s="610"/>
      <c r="AN538" s="610"/>
      <c r="AO538" s="554">
        <f>I538</f>
        <v>2600</v>
      </c>
      <c r="AR538" s="619"/>
      <c r="AS538" s="548"/>
      <c r="AT538" s="554">
        <f>I538</f>
        <v>2600</v>
      </c>
      <c r="AW538" s="619"/>
      <c r="AX538" s="554">
        <f>I538</f>
        <v>2600</v>
      </c>
      <c r="BA538" s="554">
        <f>I538/24</f>
        <v>108.333333333333</v>
      </c>
      <c r="BB538" s="620"/>
      <c r="BC538" s="548"/>
      <c r="BD538" s="548"/>
      <c r="BE538" s="548"/>
      <c r="BF538" s="548"/>
      <c r="BM538" s="554">
        <f>I538/13</f>
        <v>200</v>
      </c>
      <c r="BY538" s="619"/>
      <c r="BZ538" s="548"/>
      <c r="CA538" s="621"/>
      <c r="CB538" s="567"/>
      <c r="CC538" s="622"/>
      <c r="CD538" s="619"/>
      <c r="CE538" s="619"/>
      <c r="CF538" s="548"/>
      <c r="CG538" s="548"/>
      <c r="CU538" s="554">
        <f t="shared" si="165"/>
        <v>0</v>
      </c>
      <c r="CV538" s="554">
        <f t="shared" si="176"/>
        <v>0</v>
      </c>
      <c r="CW538" s="554">
        <f t="shared" si="177"/>
        <v>0</v>
      </c>
      <c r="CX538" s="619"/>
      <c r="CY538" s="619"/>
      <c r="CZ538" s="619"/>
      <c r="DA538" s="548"/>
      <c r="DB538" s="548"/>
      <c r="DC538" s="548"/>
      <c r="DD538" s="619"/>
      <c r="DE538" s="619"/>
      <c r="DF538" s="619"/>
      <c r="DG538" s="619"/>
      <c r="DH538" s="619"/>
    </row>
    <row r="539" s="548" customFormat="1" ht="31" customHeight="1" spans="1:112">
      <c r="A539" s="608">
        <v>45863</v>
      </c>
      <c r="B539" s="609" t="s">
        <v>1800</v>
      </c>
      <c r="C539" s="610" t="s">
        <v>744</v>
      </c>
      <c r="D539" s="554">
        <v>4500170580</v>
      </c>
      <c r="E539" s="610">
        <v>5000001921</v>
      </c>
      <c r="F539" s="554" t="s">
        <v>7362</v>
      </c>
      <c r="G539" s="610" t="s">
        <v>6093</v>
      </c>
      <c r="H539" s="639" t="s">
        <v>7359</v>
      </c>
      <c r="I539" s="610">
        <v>4225</v>
      </c>
      <c r="J539" s="610">
        <v>0</v>
      </c>
      <c r="K539" s="610">
        <v>13</v>
      </c>
      <c r="L539" s="611">
        <f t="shared" si="159"/>
        <v>325</v>
      </c>
      <c r="M539" s="612">
        <v>45905</v>
      </c>
      <c r="N539" s="612">
        <v>45901</v>
      </c>
      <c r="O539" s="613"/>
      <c r="P539" s="613" t="s">
        <v>113</v>
      </c>
      <c r="Q539" s="610"/>
      <c r="R539" s="614">
        <v>45853</v>
      </c>
      <c r="S539" s="614" t="s">
        <v>70</v>
      </c>
      <c r="T539" s="614" t="s">
        <v>70</v>
      </c>
      <c r="U539" s="614"/>
      <c r="V539" s="614"/>
      <c r="W539" s="615"/>
      <c r="X539" s="609" t="s">
        <v>7360</v>
      </c>
      <c r="Y539" s="609" t="s">
        <v>1805</v>
      </c>
      <c r="Z539" s="609">
        <v>0.882</v>
      </c>
      <c r="AA539" s="616">
        <f t="shared" si="175"/>
        <v>3726.45</v>
      </c>
      <c r="AC539" s="617" t="s">
        <v>7361</v>
      </c>
      <c r="AD539" s="610" t="s">
        <v>6093</v>
      </c>
      <c r="AE539" s="610" t="s">
        <v>82</v>
      </c>
      <c r="AF539" s="610"/>
      <c r="AG539" s="610"/>
      <c r="AH539" s="610"/>
      <c r="AI539" s="610">
        <v>4225</v>
      </c>
      <c r="AJ539" s="610">
        <f t="shared" ref="AJ538:AJ545" si="178">AI539-I539</f>
        <v>0</v>
      </c>
      <c r="AK539" s="610"/>
      <c r="AL539" s="610"/>
      <c r="AM539" s="610"/>
      <c r="AN539" s="610"/>
      <c r="AO539" s="554">
        <f>I539</f>
        <v>4225</v>
      </c>
      <c r="AR539" s="619"/>
      <c r="AS539" s="548"/>
      <c r="AT539" s="554">
        <f>I539</f>
        <v>4225</v>
      </c>
      <c r="AW539" s="619"/>
      <c r="AX539" s="554">
        <f>I539</f>
        <v>4225</v>
      </c>
      <c r="BA539" s="554">
        <f>I539/24</f>
        <v>176.041666666667</v>
      </c>
      <c r="BB539" s="620"/>
      <c r="BC539" s="548"/>
      <c r="BD539" s="548"/>
      <c r="BE539" s="548"/>
      <c r="BF539" s="548"/>
      <c r="BM539" s="554">
        <f>I539/13</f>
        <v>325</v>
      </c>
      <c r="BY539" s="619"/>
      <c r="BZ539" s="548"/>
      <c r="CA539" s="621"/>
      <c r="CB539" s="567"/>
      <c r="CC539" s="622"/>
      <c r="CD539" s="619"/>
      <c r="CE539" s="619"/>
      <c r="CF539" s="548"/>
      <c r="CG539" s="548"/>
      <c r="CU539" s="554">
        <f t="shared" si="165"/>
        <v>0</v>
      </c>
      <c r="CV539" s="554">
        <f t="shared" si="176"/>
        <v>0</v>
      </c>
      <c r="CW539" s="554">
        <f t="shared" si="177"/>
        <v>0</v>
      </c>
      <c r="CX539" s="619"/>
      <c r="CY539" s="619"/>
      <c r="CZ539" s="619"/>
      <c r="DA539" s="548"/>
      <c r="DB539" s="548"/>
      <c r="DC539" s="548"/>
      <c r="DD539" s="619"/>
      <c r="DE539" s="619"/>
      <c r="DF539" s="619"/>
      <c r="DG539" s="619"/>
      <c r="DH539" s="619"/>
    </row>
    <row r="540" s="548" customFormat="1" ht="31" customHeight="1" spans="1:112">
      <c r="A540" s="608">
        <v>45827</v>
      </c>
      <c r="B540" s="609" t="s">
        <v>743</v>
      </c>
      <c r="C540" s="610" t="s">
        <v>744</v>
      </c>
      <c r="D540" s="554">
        <v>4500170580</v>
      </c>
      <c r="E540" s="610">
        <v>5000001921</v>
      </c>
      <c r="F540" s="554" t="s">
        <v>7363</v>
      </c>
      <c r="G540" s="610" t="s">
        <v>6093</v>
      </c>
      <c r="H540" s="639" t="s">
        <v>7359</v>
      </c>
      <c r="I540" s="610">
        <v>8450</v>
      </c>
      <c r="J540" s="610">
        <v>0</v>
      </c>
      <c r="K540" s="610">
        <v>13</v>
      </c>
      <c r="L540" s="611">
        <f t="shared" si="159"/>
        <v>650</v>
      </c>
      <c r="M540" s="612">
        <v>45905</v>
      </c>
      <c r="N540" s="612">
        <v>45901</v>
      </c>
      <c r="O540" s="613"/>
      <c r="P540" s="613" t="s">
        <v>113</v>
      </c>
      <c r="Q540" s="610"/>
      <c r="R540" s="614">
        <v>45853</v>
      </c>
      <c r="S540" s="614" t="s">
        <v>70</v>
      </c>
      <c r="T540" s="614" t="s">
        <v>70</v>
      </c>
      <c r="U540" s="614"/>
      <c r="V540" s="614" t="s">
        <v>7364</v>
      </c>
      <c r="W540" s="615"/>
      <c r="X540" s="609" t="s">
        <v>7360</v>
      </c>
      <c r="Y540" s="609" t="s">
        <v>1805</v>
      </c>
      <c r="Z540" s="609">
        <v>0.8895</v>
      </c>
      <c r="AA540" s="616">
        <f t="shared" si="175"/>
        <v>7516.275</v>
      </c>
      <c r="AC540" s="617" t="s">
        <v>7361</v>
      </c>
      <c r="AD540" s="610" t="s">
        <v>6093</v>
      </c>
      <c r="AE540" s="610" t="s">
        <v>82</v>
      </c>
      <c r="AF540" s="610"/>
      <c r="AG540" s="610"/>
      <c r="AH540" s="610"/>
      <c r="AI540" s="610">
        <v>8450</v>
      </c>
      <c r="AJ540" s="610">
        <f t="shared" si="178"/>
        <v>0</v>
      </c>
      <c r="AK540" s="610"/>
      <c r="AL540" s="610"/>
      <c r="AM540" s="610"/>
      <c r="AN540" s="610"/>
      <c r="AO540" s="554">
        <f>I540</f>
        <v>8450</v>
      </c>
      <c r="AR540" s="619"/>
      <c r="AS540" s="548"/>
      <c r="AT540" s="554">
        <f>I540</f>
        <v>8450</v>
      </c>
      <c r="AW540" s="619"/>
      <c r="AX540" s="554">
        <f>I540</f>
        <v>8450</v>
      </c>
      <c r="BA540" s="554">
        <f>I540/24</f>
        <v>352.083333333333</v>
      </c>
      <c r="BB540" s="620"/>
      <c r="BC540" s="548"/>
      <c r="BD540" s="548"/>
      <c r="BE540" s="548"/>
      <c r="BF540" s="548"/>
      <c r="BM540" s="554">
        <f>I540/13</f>
        <v>650</v>
      </c>
      <c r="BY540" s="619"/>
      <c r="BZ540" s="548"/>
      <c r="CA540" s="621"/>
      <c r="CB540" s="567"/>
      <c r="CC540" s="622"/>
      <c r="CD540" s="619"/>
      <c r="CE540" s="619"/>
      <c r="CF540" s="548"/>
      <c r="CG540" s="548"/>
      <c r="CU540" s="554">
        <f t="shared" si="165"/>
        <v>0</v>
      </c>
      <c r="CV540" s="554">
        <f t="shared" si="176"/>
        <v>0</v>
      </c>
      <c r="CW540" s="554">
        <f t="shared" si="177"/>
        <v>0</v>
      </c>
      <c r="CX540" s="619"/>
      <c r="CY540" s="619"/>
      <c r="CZ540" s="619"/>
      <c r="DA540" s="548"/>
      <c r="DB540" s="548"/>
      <c r="DC540" s="548"/>
      <c r="DD540" s="619"/>
      <c r="DE540" s="619"/>
      <c r="DF540" s="619"/>
      <c r="DG540" s="619"/>
      <c r="DH540" s="619"/>
    </row>
    <row r="541" s="548" customFormat="1" ht="31" customHeight="1" spans="1:112">
      <c r="A541" s="608">
        <v>45740</v>
      </c>
      <c r="B541" s="609" t="s">
        <v>3577</v>
      </c>
      <c r="C541" s="610" t="s">
        <v>170</v>
      </c>
      <c r="D541" s="554">
        <v>4500160894</v>
      </c>
      <c r="E541" s="610">
        <v>9900924258</v>
      </c>
      <c r="F541" s="554" t="s">
        <v>7365</v>
      </c>
      <c r="G541" s="610" t="s">
        <v>6084</v>
      </c>
      <c r="H541" s="610" t="s">
        <v>6069</v>
      </c>
      <c r="I541" s="610">
        <v>3375</v>
      </c>
      <c r="J541" s="610">
        <v>0</v>
      </c>
      <c r="K541" s="610">
        <v>25</v>
      </c>
      <c r="L541" s="611">
        <f t="shared" ref="L540:L604" si="179">I541/K541</f>
        <v>135</v>
      </c>
      <c r="M541" s="612">
        <v>45905</v>
      </c>
      <c r="N541" s="612">
        <v>45901</v>
      </c>
      <c r="O541" s="613" t="s">
        <v>7366</v>
      </c>
      <c r="P541" s="613" t="s">
        <v>113</v>
      </c>
      <c r="Q541" s="640">
        <v>45920</v>
      </c>
      <c r="R541" s="614">
        <v>45784</v>
      </c>
      <c r="S541" s="614" t="s">
        <v>70</v>
      </c>
      <c r="T541" s="614" t="s">
        <v>70</v>
      </c>
      <c r="U541" s="614"/>
      <c r="V541" s="614"/>
      <c r="W541" s="615"/>
      <c r="X541" s="628" t="s">
        <v>7367</v>
      </c>
      <c r="Y541" s="609" t="s">
        <v>175</v>
      </c>
      <c r="Z541" s="609">
        <v>0.95</v>
      </c>
      <c r="AA541" s="616">
        <f t="shared" si="175"/>
        <v>3206.25</v>
      </c>
      <c r="AC541" s="617" t="s">
        <v>7368</v>
      </c>
      <c r="AD541" s="610" t="s">
        <v>6089</v>
      </c>
      <c r="AE541" s="610" t="s">
        <v>82</v>
      </c>
      <c r="AF541" s="610"/>
      <c r="AG541" s="610"/>
      <c r="AH541" s="610"/>
      <c r="AI541" s="610">
        <v>3375</v>
      </c>
      <c r="AJ541" s="610">
        <f t="shared" si="178"/>
        <v>0</v>
      </c>
      <c r="AK541" s="610"/>
      <c r="AL541" s="610"/>
      <c r="AM541" s="610"/>
      <c r="AN541" s="610">
        <f>I541</f>
        <v>3375</v>
      </c>
      <c r="AR541" s="619"/>
      <c r="AS541" s="554">
        <f>I541</f>
        <v>3375</v>
      </c>
      <c r="AU541" s="554">
        <f>I541</f>
        <v>3375</v>
      </c>
      <c r="AW541" s="619"/>
      <c r="AX541" s="548"/>
      <c r="AY541" s="548"/>
      <c r="AZ541" s="548"/>
      <c r="BA541" s="548"/>
      <c r="BB541" s="620">
        <f>I541/24</f>
        <v>140.625</v>
      </c>
      <c r="BO541" s="554">
        <f>I541/25</f>
        <v>135</v>
      </c>
      <c r="BY541" s="619"/>
      <c r="BZ541" s="548"/>
      <c r="CA541" s="621"/>
      <c r="CB541" s="567"/>
      <c r="CC541" s="622"/>
      <c r="CD541" s="619"/>
      <c r="CE541" s="619"/>
      <c r="CF541" s="548"/>
      <c r="CG541" s="548"/>
      <c r="CU541" s="554">
        <f t="shared" si="165"/>
        <v>135</v>
      </c>
      <c r="CV541" s="554">
        <f t="shared" si="176"/>
        <v>0</v>
      </c>
      <c r="CW541" s="554">
        <f t="shared" si="177"/>
        <v>0</v>
      </c>
      <c r="CX541" s="619"/>
      <c r="CY541" s="619"/>
      <c r="CZ541" s="619"/>
      <c r="DA541" s="548"/>
      <c r="DB541" s="548"/>
      <c r="DC541" s="548"/>
      <c r="DD541" s="619"/>
      <c r="DE541" s="619"/>
      <c r="DF541" s="619"/>
      <c r="DG541" s="619"/>
      <c r="DH541" s="619"/>
    </row>
    <row r="542" s="548" customFormat="1" ht="31" customHeight="1" spans="1:112">
      <c r="A542" s="608">
        <v>45839</v>
      </c>
      <c r="B542" s="609" t="s">
        <v>729</v>
      </c>
      <c r="C542" s="610" t="s">
        <v>278</v>
      </c>
      <c r="D542" s="554">
        <v>4500172155</v>
      </c>
      <c r="E542" s="610" t="s">
        <v>1624</v>
      </c>
      <c r="F542" s="554" t="s">
        <v>7369</v>
      </c>
      <c r="G542" s="610" t="s">
        <v>6047</v>
      </c>
      <c r="H542" s="610" t="s">
        <v>6069</v>
      </c>
      <c r="I542" s="610">
        <v>24500</v>
      </c>
      <c r="J542" s="610">
        <v>0</v>
      </c>
      <c r="K542" s="610">
        <v>25</v>
      </c>
      <c r="L542" s="611">
        <f t="shared" si="179"/>
        <v>980</v>
      </c>
      <c r="M542" s="612">
        <v>45905</v>
      </c>
      <c r="N542" s="612">
        <v>45901</v>
      </c>
      <c r="O542" s="613" t="s">
        <v>7370</v>
      </c>
      <c r="P542" s="613" t="s">
        <v>113</v>
      </c>
      <c r="Q542" s="610"/>
      <c r="R542" s="614">
        <v>45839</v>
      </c>
      <c r="S542" s="614" t="s">
        <v>70</v>
      </c>
      <c r="T542" s="614" t="s">
        <v>70</v>
      </c>
      <c r="U542" s="614"/>
      <c r="V542" s="614"/>
      <c r="W542" s="615"/>
      <c r="X542" s="628" t="s">
        <v>7371</v>
      </c>
      <c r="Y542" s="609" t="s">
        <v>1627</v>
      </c>
      <c r="Z542" s="609">
        <v>0.9222</v>
      </c>
      <c r="AA542" s="616">
        <f t="shared" si="175"/>
        <v>22593.9</v>
      </c>
      <c r="AC542" s="638" t="s">
        <v>1628</v>
      </c>
      <c r="AD542" s="610" t="s">
        <v>7372</v>
      </c>
      <c r="AE542" s="610" t="s">
        <v>82</v>
      </c>
      <c r="AF542" s="610"/>
      <c r="AG542" s="610"/>
      <c r="AH542" s="610"/>
      <c r="AI542" s="610">
        <v>24500</v>
      </c>
      <c r="AJ542" s="610">
        <f t="shared" si="178"/>
        <v>0</v>
      </c>
      <c r="AK542" s="610"/>
      <c r="AL542" s="610"/>
      <c r="AM542" s="610"/>
      <c r="AN542" s="610"/>
      <c r="AO542" s="554">
        <f>I542</f>
        <v>24500</v>
      </c>
      <c r="AP542" s="554">
        <f>I542</f>
        <v>24500</v>
      </c>
      <c r="AR542" s="619"/>
      <c r="AS542" s="548"/>
      <c r="AT542" s="548"/>
      <c r="AU542" s="548"/>
      <c r="AV542" s="554">
        <f>I542</f>
        <v>24500</v>
      </c>
      <c r="AW542" s="619"/>
      <c r="AX542" s="548"/>
      <c r="AY542" s="548"/>
      <c r="AZ542" s="548"/>
      <c r="BA542" s="548"/>
      <c r="BB542" s="620">
        <f>I542/24*2</f>
        <v>2041.66666666667</v>
      </c>
      <c r="BN542" s="554">
        <f>I542/25</f>
        <v>980</v>
      </c>
      <c r="BY542" s="619"/>
      <c r="BZ542" s="548"/>
      <c r="CA542" s="621"/>
      <c r="CB542" s="567"/>
      <c r="CC542" s="622"/>
      <c r="CD542" s="619"/>
      <c r="CE542" s="619"/>
      <c r="CF542" s="548"/>
      <c r="CG542" s="548"/>
      <c r="CU542" s="554">
        <f t="shared" si="165"/>
        <v>980</v>
      </c>
      <c r="CV542" s="554">
        <f t="shared" si="176"/>
        <v>0</v>
      </c>
      <c r="CW542" s="554">
        <f t="shared" si="177"/>
        <v>0</v>
      </c>
      <c r="CX542" s="619"/>
      <c r="CY542" s="619"/>
      <c r="CZ542" s="619"/>
      <c r="DA542" s="548"/>
      <c r="DB542" s="548"/>
      <c r="DC542" s="548"/>
      <c r="DD542" s="619"/>
      <c r="DE542" s="619"/>
      <c r="DF542" s="619"/>
      <c r="DG542" s="619"/>
      <c r="DH542" s="619"/>
    </row>
    <row r="543" s="548" customFormat="1" ht="31" customHeight="1" spans="1:112">
      <c r="A543" s="608">
        <v>45861</v>
      </c>
      <c r="B543" s="609" t="s">
        <v>1906</v>
      </c>
      <c r="C543" s="610" t="s">
        <v>154</v>
      </c>
      <c r="D543" s="554">
        <v>4500174738</v>
      </c>
      <c r="E543" s="610">
        <v>5200007283</v>
      </c>
      <c r="F543" s="554" t="s">
        <v>7373</v>
      </c>
      <c r="G543" s="610" t="s">
        <v>6120</v>
      </c>
      <c r="H543" s="610" t="s">
        <v>6094</v>
      </c>
      <c r="I543" s="610">
        <v>5200</v>
      </c>
      <c r="J543" s="610">
        <v>0</v>
      </c>
      <c r="K543" s="610">
        <v>13</v>
      </c>
      <c r="L543" s="611">
        <f t="shared" si="179"/>
        <v>400</v>
      </c>
      <c r="M543" s="612">
        <v>45905</v>
      </c>
      <c r="N543" s="612">
        <v>45901</v>
      </c>
      <c r="O543" s="613"/>
      <c r="P543" s="613" t="s">
        <v>113</v>
      </c>
      <c r="Q543" s="610"/>
      <c r="R543" s="614">
        <v>45861</v>
      </c>
      <c r="S543" s="614" t="s">
        <v>70</v>
      </c>
      <c r="T543" s="614" t="s">
        <v>6121</v>
      </c>
      <c r="U543" s="614"/>
      <c r="V543" s="614"/>
      <c r="W543" s="615"/>
      <c r="X543" s="609" t="s">
        <v>7374</v>
      </c>
      <c r="Y543" s="609" t="s">
        <v>977</v>
      </c>
      <c r="Z543" s="609">
        <v>0.9064</v>
      </c>
      <c r="AA543" s="616">
        <f t="shared" si="175"/>
        <v>4713.28</v>
      </c>
      <c r="AC543" s="617" t="s">
        <v>7375</v>
      </c>
      <c r="AD543" s="610" t="s">
        <v>6093</v>
      </c>
      <c r="AE543" s="610" t="s">
        <v>82</v>
      </c>
      <c r="AF543" s="610"/>
      <c r="AG543" s="610"/>
      <c r="AH543" s="610"/>
      <c r="AI543" s="610">
        <v>5200</v>
      </c>
      <c r="AJ543" s="610">
        <f t="shared" si="178"/>
        <v>0</v>
      </c>
      <c r="AK543" s="610"/>
      <c r="AL543" s="610"/>
      <c r="AM543" s="610"/>
      <c r="AN543" s="610"/>
      <c r="AO543" s="554">
        <f>I543</f>
        <v>5200</v>
      </c>
      <c r="AR543" s="619"/>
      <c r="AS543" s="548"/>
      <c r="AT543" s="554">
        <f>I543</f>
        <v>5200</v>
      </c>
      <c r="AV543" s="554">
        <f>I543</f>
        <v>5200</v>
      </c>
      <c r="AW543" s="619"/>
      <c r="AX543" s="548"/>
      <c r="AY543" s="548"/>
      <c r="AZ543" s="548"/>
      <c r="BA543" s="548"/>
      <c r="BB543" s="620">
        <f>I543/24</f>
        <v>216.666666666667</v>
      </c>
      <c r="BM543" s="554">
        <f>I543/13</f>
        <v>400</v>
      </c>
      <c r="BY543" s="619"/>
      <c r="BZ543" s="548"/>
      <c r="CA543" s="621"/>
      <c r="CB543" s="567"/>
      <c r="CC543" s="622"/>
      <c r="CD543" s="619"/>
      <c r="CE543" s="619"/>
      <c r="CF543" s="548"/>
      <c r="CG543" s="548"/>
      <c r="CU543" s="554">
        <f t="shared" si="165"/>
        <v>0</v>
      </c>
      <c r="CV543" s="554">
        <f t="shared" si="176"/>
        <v>0</v>
      </c>
      <c r="CW543" s="554">
        <f t="shared" si="177"/>
        <v>0</v>
      </c>
      <c r="CX543" s="619"/>
      <c r="CY543" s="619"/>
      <c r="CZ543" s="619"/>
      <c r="DA543" s="548"/>
      <c r="DB543" s="548"/>
      <c r="DC543" s="548"/>
      <c r="DD543" s="619"/>
      <c r="DE543" s="619"/>
      <c r="DF543" s="619"/>
      <c r="DG543" s="619"/>
      <c r="DH543" s="619"/>
    </row>
    <row r="544" s="548" customFormat="1" ht="31" customHeight="1" spans="1:112">
      <c r="A544" s="608">
        <v>45863</v>
      </c>
      <c r="B544" s="609" t="s">
        <v>1800</v>
      </c>
      <c r="C544" s="610" t="s">
        <v>744</v>
      </c>
      <c r="D544" s="554">
        <v>4500170580</v>
      </c>
      <c r="E544" s="610">
        <v>5000001921</v>
      </c>
      <c r="F544" s="554" t="s">
        <v>7376</v>
      </c>
      <c r="G544" s="610" t="s">
        <v>6093</v>
      </c>
      <c r="H544" s="639" t="s">
        <v>7359</v>
      </c>
      <c r="I544" s="610">
        <v>2600</v>
      </c>
      <c r="J544" s="610">
        <v>0</v>
      </c>
      <c r="K544" s="610">
        <v>13</v>
      </c>
      <c r="L544" s="611">
        <f t="shared" si="179"/>
        <v>200</v>
      </c>
      <c r="M544" s="612">
        <v>45905</v>
      </c>
      <c r="N544" s="612">
        <v>45901</v>
      </c>
      <c r="O544" s="613"/>
      <c r="P544" s="613" t="s">
        <v>113</v>
      </c>
      <c r="Q544" s="610"/>
      <c r="R544" s="614">
        <v>45853</v>
      </c>
      <c r="S544" s="614" t="s">
        <v>70</v>
      </c>
      <c r="T544" s="614" t="s">
        <v>70</v>
      </c>
      <c r="U544" s="614"/>
      <c r="V544" s="614"/>
      <c r="W544" s="615"/>
      <c r="X544" s="609" t="s">
        <v>7360</v>
      </c>
      <c r="Y544" s="609" t="s">
        <v>1805</v>
      </c>
      <c r="Z544" s="609">
        <v>0.882</v>
      </c>
      <c r="AA544" s="616">
        <f t="shared" si="175"/>
        <v>2293.2</v>
      </c>
      <c r="AC544" s="617" t="s">
        <v>7361</v>
      </c>
      <c r="AD544" s="610" t="s">
        <v>6093</v>
      </c>
      <c r="AE544" s="610" t="s">
        <v>82</v>
      </c>
      <c r="AF544" s="610"/>
      <c r="AG544" s="610"/>
      <c r="AH544" s="610"/>
      <c r="AI544" s="610">
        <v>2600</v>
      </c>
      <c r="AJ544" s="610">
        <f t="shared" si="178"/>
        <v>0</v>
      </c>
      <c r="AK544" s="610"/>
      <c r="AL544" s="610"/>
      <c r="AM544" s="610"/>
      <c r="AN544" s="610"/>
      <c r="AO544" s="554">
        <f>I544</f>
        <v>2600</v>
      </c>
      <c r="AR544" s="619"/>
      <c r="AS544" s="548"/>
      <c r="AT544" s="554">
        <f>I544</f>
        <v>2600</v>
      </c>
      <c r="AW544" s="619"/>
      <c r="AX544" s="554">
        <f>I544</f>
        <v>2600</v>
      </c>
      <c r="BA544" s="554">
        <f>I544/24</f>
        <v>108.333333333333</v>
      </c>
      <c r="BB544" s="620"/>
      <c r="BC544" s="548"/>
      <c r="BD544" s="548"/>
      <c r="BE544" s="548"/>
      <c r="BF544" s="548"/>
      <c r="BM544" s="554">
        <f>I544/13</f>
        <v>200</v>
      </c>
      <c r="BY544" s="619"/>
      <c r="BZ544" s="548"/>
      <c r="CA544" s="621"/>
      <c r="CB544" s="567"/>
      <c r="CC544" s="622"/>
      <c r="CD544" s="619"/>
      <c r="CE544" s="619"/>
      <c r="CF544" s="548"/>
      <c r="CG544" s="548"/>
      <c r="CU544" s="554">
        <f t="shared" si="165"/>
        <v>0</v>
      </c>
      <c r="CV544" s="554">
        <f t="shared" si="176"/>
        <v>0</v>
      </c>
      <c r="CW544" s="554">
        <f t="shared" si="177"/>
        <v>0</v>
      </c>
      <c r="CX544" s="619"/>
      <c r="CY544" s="619"/>
      <c r="CZ544" s="619"/>
      <c r="DA544" s="548"/>
      <c r="DB544" s="548"/>
      <c r="DC544" s="548"/>
      <c r="DD544" s="619"/>
      <c r="DE544" s="619"/>
      <c r="DF544" s="619"/>
      <c r="DG544" s="619"/>
      <c r="DH544" s="619"/>
    </row>
    <row r="545" s="548" customFormat="1" ht="31" customHeight="1" spans="1:112">
      <c r="A545" s="608">
        <v>45863</v>
      </c>
      <c r="B545" s="609" t="s">
        <v>1800</v>
      </c>
      <c r="C545" s="610" t="s">
        <v>744</v>
      </c>
      <c r="D545" s="554">
        <v>4500170580</v>
      </c>
      <c r="E545" s="610">
        <v>5000001921</v>
      </c>
      <c r="F545" s="554" t="s">
        <v>7377</v>
      </c>
      <c r="G545" s="610" t="s">
        <v>6093</v>
      </c>
      <c r="H545" s="639" t="s">
        <v>7359</v>
      </c>
      <c r="I545" s="610">
        <v>260</v>
      </c>
      <c r="J545" s="610">
        <v>0</v>
      </c>
      <c r="K545" s="610">
        <v>13</v>
      </c>
      <c r="L545" s="611">
        <f t="shared" si="179"/>
        <v>20</v>
      </c>
      <c r="M545" s="612">
        <v>45905</v>
      </c>
      <c r="N545" s="612">
        <v>45901</v>
      </c>
      <c r="O545" s="613"/>
      <c r="P545" s="613" t="s">
        <v>113</v>
      </c>
      <c r="Q545" s="610"/>
      <c r="R545" s="614">
        <v>45853</v>
      </c>
      <c r="S545" s="614" t="s">
        <v>70</v>
      </c>
      <c r="T545" s="614" t="s">
        <v>70</v>
      </c>
      <c r="U545" s="614"/>
      <c r="V545" s="614"/>
      <c r="W545" s="615"/>
      <c r="X545" s="609" t="s">
        <v>7360</v>
      </c>
      <c r="Y545" s="609" t="s">
        <v>1805</v>
      </c>
      <c r="Z545" s="609">
        <v>0.882</v>
      </c>
      <c r="AA545" s="616">
        <f t="shared" si="175"/>
        <v>229.32</v>
      </c>
      <c r="AC545" s="617" t="s">
        <v>7361</v>
      </c>
      <c r="AD545" s="610" t="s">
        <v>6093</v>
      </c>
      <c r="AE545" s="610" t="s">
        <v>82</v>
      </c>
      <c r="AF545" s="610"/>
      <c r="AG545" s="610"/>
      <c r="AH545" s="610"/>
      <c r="AI545" s="610">
        <v>260</v>
      </c>
      <c r="AJ545" s="610">
        <f t="shared" si="178"/>
        <v>0</v>
      </c>
      <c r="AK545" s="610"/>
      <c r="AL545" s="610"/>
      <c r="AM545" s="610"/>
      <c r="AN545" s="610"/>
      <c r="AO545" s="554">
        <f>I545</f>
        <v>260</v>
      </c>
      <c r="AR545" s="619"/>
      <c r="AS545" s="548"/>
      <c r="AT545" s="554">
        <f>I545</f>
        <v>260</v>
      </c>
      <c r="AW545" s="619"/>
      <c r="AX545" s="554">
        <f>I545</f>
        <v>260</v>
      </c>
      <c r="BA545" s="554">
        <f>I545/24</f>
        <v>10.8333333333333</v>
      </c>
      <c r="BB545" s="620"/>
      <c r="BC545" s="548"/>
      <c r="BD545" s="548"/>
      <c r="BE545" s="548"/>
      <c r="BF545" s="548"/>
      <c r="BM545" s="554">
        <f>I545/13</f>
        <v>20</v>
      </c>
      <c r="BY545" s="619"/>
      <c r="BZ545" s="548"/>
      <c r="CA545" s="621"/>
      <c r="CB545" s="567"/>
      <c r="CC545" s="622"/>
      <c r="CD545" s="619"/>
      <c r="CE545" s="619"/>
      <c r="CF545" s="548"/>
      <c r="CG545" s="548"/>
      <c r="CU545" s="554">
        <f t="shared" si="165"/>
        <v>0</v>
      </c>
      <c r="CV545" s="554">
        <f t="shared" si="176"/>
        <v>0</v>
      </c>
      <c r="CW545" s="554">
        <f t="shared" si="177"/>
        <v>0</v>
      </c>
      <c r="CX545" s="619"/>
      <c r="CY545" s="619"/>
      <c r="CZ545" s="619"/>
      <c r="DA545" s="548"/>
      <c r="DB545" s="548"/>
      <c r="DC545" s="548"/>
      <c r="DD545" s="619"/>
      <c r="DE545" s="619"/>
      <c r="DF545" s="619"/>
      <c r="DG545" s="619"/>
      <c r="DH545" s="619"/>
    </row>
    <row r="546" s="548" customFormat="1" ht="31" customHeight="1" spans="1:112">
      <c r="A546" s="608">
        <v>45840</v>
      </c>
      <c r="B546" s="609" t="s">
        <v>139</v>
      </c>
      <c r="C546" s="610" t="s">
        <v>76</v>
      </c>
      <c r="D546" s="554">
        <v>4500172408</v>
      </c>
      <c r="E546" s="610">
        <v>20862343</v>
      </c>
      <c r="F546" s="554" t="s">
        <v>1633</v>
      </c>
      <c r="G546" s="610" t="s">
        <v>6337</v>
      </c>
      <c r="H546" s="610" t="s">
        <v>477</v>
      </c>
      <c r="I546" s="610">
        <v>234</v>
      </c>
      <c r="J546" s="610">
        <v>0</v>
      </c>
      <c r="K546" s="610">
        <v>6</v>
      </c>
      <c r="L546" s="611">
        <f t="shared" si="179"/>
        <v>39</v>
      </c>
      <c r="M546" s="612">
        <v>45908</v>
      </c>
      <c r="N546" s="612">
        <v>45901</v>
      </c>
      <c r="O546" s="613"/>
      <c r="P546" s="613" t="s">
        <v>113</v>
      </c>
      <c r="Q546" s="610" t="s">
        <v>1571</v>
      </c>
      <c r="R546" s="614">
        <v>45877</v>
      </c>
      <c r="S546" s="614" t="s">
        <v>104</v>
      </c>
      <c r="T546" s="614" t="s">
        <v>7378</v>
      </c>
      <c r="U546" s="614"/>
      <c r="V546" s="614"/>
      <c r="W546" s="615"/>
      <c r="X546" s="628" t="s">
        <v>7379</v>
      </c>
      <c r="Y546" s="609" t="s">
        <v>133</v>
      </c>
      <c r="Z546" s="609">
        <v>7.4117</v>
      </c>
      <c r="AA546" s="616">
        <f t="shared" ref="AA546:AA558" si="180">Z546*I546</f>
        <v>1734.3378</v>
      </c>
      <c r="AC546" s="629" t="s">
        <v>7380</v>
      </c>
      <c r="AD546" s="610" t="s">
        <v>1306</v>
      </c>
      <c r="AE546" s="610" t="s">
        <v>82</v>
      </c>
      <c r="AF546" s="610"/>
      <c r="AG546" s="610"/>
      <c r="AH546" s="610"/>
      <c r="AI546" s="610">
        <v>234</v>
      </c>
      <c r="AJ546" s="610">
        <f t="shared" ref="AJ546:AJ557" si="181">AI546-I546</f>
        <v>0</v>
      </c>
      <c r="AK546" s="610"/>
      <c r="AL546" s="610"/>
      <c r="AM546" s="610"/>
      <c r="AN546" s="610"/>
      <c r="AO546" s="554">
        <f>I546*2</f>
        <v>468</v>
      </c>
      <c r="AR546" s="619">
        <f>I546*2</f>
        <v>468</v>
      </c>
      <c r="AV546" s="554">
        <f>I546*2</f>
        <v>468</v>
      </c>
      <c r="AW546" s="619"/>
      <c r="AX546" s="548"/>
      <c r="AY546" s="548"/>
      <c r="AZ546" s="548"/>
      <c r="BA546" s="548"/>
      <c r="BB546" s="620">
        <f>I546/24*2</f>
        <v>19.5</v>
      </c>
      <c r="BY546" s="619"/>
      <c r="BZ546" s="554">
        <f>I546</f>
        <v>234</v>
      </c>
      <c r="CA546" s="621"/>
      <c r="CB546" s="567"/>
      <c r="CC546" s="622"/>
      <c r="CD546" s="619"/>
      <c r="CE546" s="619"/>
      <c r="CF546" s="548"/>
      <c r="CG546" s="548"/>
      <c r="CU546" s="554">
        <f t="shared" si="165"/>
        <v>0</v>
      </c>
      <c r="CV546" s="554">
        <f t="shared" si="176"/>
        <v>0</v>
      </c>
      <c r="CW546" s="554">
        <f t="shared" si="177"/>
        <v>0</v>
      </c>
      <c r="CX546" s="619"/>
      <c r="CY546" s="619"/>
      <c r="CZ546" s="619"/>
      <c r="DA546" s="548"/>
      <c r="DB546" s="548"/>
      <c r="DC546" s="548"/>
      <c r="DD546" s="619"/>
      <c r="DE546" s="619"/>
      <c r="DF546" s="619"/>
      <c r="DG546" s="619"/>
      <c r="DH546" s="619"/>
    </row>
    <row r="547" s="548" customFormat="1" ht="31" customHeight="1" spans="1:112">
      <c r="A547" s="608">
        <v>45840</v>
      </c>
      <c r="B547" s="609" t="s">
        <v>135</v>
      </c>
      <c r="C547" s="610" t="s">
        <v>128</v>
      </c>
      <c r="D547" s="554">
        <v>4500172407</v>
      </c>
      <c r="E547" s="610">
        <v>20862337</v>
      </c>
      <c r="F547" s="554" t="s">
        <v>1636</v>
      </c>
      <c r="G547" s="610" t="s">
        <v>6337</v>
      </c>
      <c r="H547" s="610" t="s">
        <v>477</v>
      </c>
      <c r="I547" s="610">
        <v>2166</v>
      </c>
      <c r="J547" s="610">
        <v>0</v>
      </c>
      <c r="K547" s="610">
        <v>6</v>
      </c>
      <c r="L547" s="611">
        <f t="shared" si="179"/>
        <v>361</v>
      </c>
      <c r="M547" s="612">
        <v>45908</v>
      </c>
      <c r="N547" s="612">
        <v>45901</v>
      </c>
      <c r="O547" s="613"/>
      <c r="P547" s="613" t="s">
        <v>113</v>
      </c>
      <c r="Q547" s="610" t="s">
        <v>1571</v>
      </c>
      <c r="R547" s="614">
        <v>45877</v>
      </c>
      <c r="S547" s="614" t="s">
        <v>104</v>
      </c>
      <c r="T547" s="614" t="s">
        <v>7378</v>
      </c>
      <c r="U547" s="614"/>
      <c r="V547" s="614"/>
      <c r="W547" s="615"/>
      <c r="X547" s="628" t="s">
        <v>7381</v>
      </c>
      <c r="Y547" s="609" t="s">
        <v>133</v>
      </c>
      <c r="Z547" s="609">
        <v>7.0773</v>
      </c>
      <c r="AA547" s="616">
        <f t="shared" si="180"/>
        <v>15329.4318</v>
      </c>
      <c r="AC547" s="629" t="s">
        <v>7382</v>
      </c>
      <c r="AD547" s="610" t="s">
        <v>1306</v>
      </c>
      <c r="AE547" s="610" t="s">
        <v>82</v>
      </c>
      <c r="AF547" s="610"/>
      <c r="AG547" s="610"/>
      <c r="AH547" s="610"/>
      <c r="AI547" s="610">
        <v>2166</v>
      </c>
      <c r="AJ547" s="610">
        <v>0</v>
      </c>
      <c r="AK547" s="610"/>
      <c r="AL547" s="610"/>
      <c r="AM547" s="610"/>
      <c r="AN547" s="610"/>
      <c r="AO547" s="554">
        <f>I547*2</f>
        <v>4332</v>
      </c>
      <c r="AR547" s="619">
        <f>I547*2</f>
        <v>4332</v>
      </c>
      <c r="AV547" s="554">
        <f>I547*2</f>
        <v>4332</v>
      </c>
      <c r="AW547" s="619"/>
      <c r="AX547" s="548"/>
      <c r="AY547" s="548"/>
      <c r="AZ547" s="548"/>
      <c r="BA547" s="548"/>
      <c r="BB547" s="620">
        <f>I547/24*2</f>
        <v>180.5</v>
      </c>
      <c r="BY547" s="619"/>
      <c r="BZ547" s="554">
        <f>I547</f>
        <v>2166</v>
      </c>
      <c r="CA547" s="621"/>
      <c r="CB547" s="567"/>
      <c r="CC547" s="622"/>
      <c r="CD547" s="619"/>
      <c r="CE547" s="619"/>
      <c r="CF547" s="548"/>
      <c r="CG547" s="548"/>
      <c r="CU547" s="554">
        <f t="shared" si="165"/>
        <v>0</v>
      </c>
      <c r="CV547" s="554">
        <f t="shared" si="176"/>
        <v>0</v>
      </c>
      <c r="CW547" s="554">
        <f t="shared" si="177"/>
        <v>0</v>
      </c>
      <c r="CX547" s="619"/>
      <c r="CY547" s="619"/>
      <c r="CZ547" s="619"/>
      <c r="DA547" s="548"/>
      <c r="DB547" s="548"/>
      <c r="DC547" s="548"/>
      <c r="DD547" s="619"/>
      <c r="DE547" s="619"/>
      <c r="DF547" s="619"/>
      <c r="DG547" s="619"/>
      <c r="DH547" s="619"/>
    </row>
    <row r="548" s="548" customFormat="1" ht="31" customHeight="1" spans="1:112">
      <c r="A548" s="608">
        <v>45848</v>
      </c>
      <c r="B548" s="609" t="s">
        <v>1642</v>
      </c>
      <c r="C548" s="610" t="s">
        <v>723</v>
      </c>
      <c r="D548" s="554">
        <v>4500173266</v>
      </c>
      <c r="E548" s="610" t="s">
        <v>1643</v>
      </c>
      <c r="F548" s="554" t="s">
        <v>7383</v>
      </c>
      <c r="G548" s="610" t="s">
        <v>6043</v>
      </c>
      <c r="H548" s="610" t="s">
        <v>6110</v>
      </c>
      <c r="I548" s="610">
        <v>350</v>
      </c>
      <c r="J548" s="610">
        <v>0</v>
      </c>
      <c r="K548" s="610">
        <v>50</v>
      </c>
      <c r="L548" s="611">
        <f t="shared" si="179"/>
        <v>7</v>
      </c>
      <c r="M548" s="612">
        <v>45908</v>
      </c>
      <c r="N548" s="612">
        <v>45904</v>
      </c>
      <c r="O548" s="613"/>
      <c r="P548" s="613" t="s">
        <v>113</v>
      </c>
      <c r="Q548" s="610"/>
      <c r="R548" s="614">
        <v>45848</v>
      </c>
      <c r="S548" s="614" t="s">
        <v>70</v>
      </c>
      <c r="T548" s="614">
        <v>45849</v>
      </c>
      <c r="U548" s="614"/>
      <c r="V548" s="614"/>
      <c r="W548" s="615"/>
      <c r="X548" s="628" t="s">
        <v>7384</v>
      </c>
      <c r="Y548" s="609" t="s">
        <v>217</v>
      </c>
      <c r="Z548" s="609">
        <v>0.9292</v>
      </c>
      <c r="AA548" s="616">
        <f t="shared" si="180"/>
        <v>325.22</v>
      </c>
      <c r="AC548" s="617" t="s">
        <v>7385</v>
      </c>
      <c r="AD548" s="610" t="s">
        <v>6043</v>
      </c>
      <c r="AE548" s="610" t="s">
        <v>82</v>
      </c>
      <c r="AF548" s="610"/>
      <c r="AG548" s="610"/>
      <c r="AH548" s="610"/>
      <c r="AI548" s="610">
        <v>350</v>
      </c>
      <c r="AJ548" s="610">
        <f t="shared" si="181"/>
        <v>0</v>
      </c>
      <c r="AK548" s="610"/>
      <c r="AL548" s="610"/>
      <c r="AM548" s="610"/>
      <c r="AN548" s="610"/>
      <c r="AO548" s="554">
        <f t="shared" ref="AO548:AO556" si="182">I548</f>
        <v>350</v>
      </c>
      <c r="AR548" s="619"/>
      <c r="AS548" s="548"/>
      <c r="AT548" s="554">
        <f>I548</f>
        <v>350</v>
      </c>
      <c r="AV548" s="554">
        <f>I548</f>
        <v>350</v>
      </c>
      <c r="AW548" s="619"/>
      <c r="AX548" s="548"/>
      <c r="AY548" s="548"/>
      <c r="AZ548" s="548"/>
      <c r="BA548" s="548"/>
      <c r="BB548" s="620">
        <f>I548/24</f>
        <v>14.5833333333333</v>
      </c>
      <c r="BP548" s="554">
        <f>I548/25</f>
        <v>14</v>
      </c>
      <c r="BY548" s="619"/>
      <c r="BZ548" s="548"/>
      <c r="CA548" s="621"/>
      <c r="CB548" s="567"/>
      <c r="CC548" s="622"/>
      <c r="CD548" s="619"/>
      <c r="CE548" s="619"/>
      <c r="CF548" s="548"/>
      <c r="CG548" s="548"/>
      <c r="CU548" s="554">
        <f t="shared" si="165"/>
        <v>14</v>
      </c>
      <c r="CV548" s="554">
        <f t="shared" si="176"/>
        <v>0</v>
      </c>
      <c r="CW548" s="554">
        <f t="shared" si="177"/>
        <v>0</v>
      </c>
      <c r="CX548" s="619"/>
      <c r="CY548" s="619"/>
      <c r="CZ548" s="619"/>
      <c r="DA548" s="548"/>
      <c r="DB548" s="548"/>
      <c r="DC548" s="548"/>
      <c r="DD548" s="619"/>
      <c r="DE548" s="619"/>
      <c r="DF548" s="619"/>
      <c r="DG548" s="619"/>
      <c r="DH548" s="619"/>
    </row>
    <row r="549" s="548" customFormat="1" ht="31" customHeight="1" spans="1:112">
      <c r="A549" s="608">
        <v>45866</v>
      </c>
      <c r="B549" s="609" t="s">
        <v>139</v>
      </c>
      <c r="C549" s="610" t="s">
        <v>76</v>
      </c>
      <c r="D549" s="554">
        <v>4500175179</v>
      </c>
      <c r="E549" s="610">
        <v>21012349</v>
      </c>
      <c r="F549" s="554" t="s">
        <v>7386</v>
      </c>
      <c r="G549" s="610" t="s">
        <v>6093</v>
      </c>
      <c r="H549" s="610" t="s">
        <v>6094</v>
      </c>
      <c r="I549" s="610">
        <v>117</v>
      </c>
      <c r="J549" s="610">
        <v>0</v>
      </c>
      <c r="K549" s="610">
        <v>13</v>
      </c>
      <c r="L549" s="611">
        <f t="shared" si="179"/>
        <v>9</v>
      </c>
      <c r="M549" s="612">
        <v>45908</v>
      </c>
      <c r="N549" s="612">
        <v>45904</v>
      </c>
      <c r="O549" s="613"/>
      <c r="P549" s="613" t="s">
        <v>113</v>
      </c>
      <c r="Q549" s="610"/>
      <c r="R549" s="614">
        <v>45877</v>
      </c>
      <c r="S549" s="614" t="s">
        <v>104</v>
      </c>
      <c r="T549" s="614">
        <v>45887</v>
      </c>
      <c r="U549" s="614"/>
      <c r="V549" s="614"/>
      <c r="W549" s="615"/>
      <c r="X549" s="609" t="s">
        <v>7012</v>
      </c>
      <c r="Y549" s="609" t="s">
        <v>133</v>
      </c>
      <c r="Z549" s="609">
        <v>0.9526</v>
      </c>
      <c r="AA549" s="616">
        <f t="shared" si="180"/>
        <v>111.4542</v>
      </c>
      <c r="AC549" s="617" t="s">
        <v>7387</v>
      </c>
      <c r="AD549" s="610" t="s">
        <v>6093</v>
      </c>
      <c r="AE549" s="610" t="s">
        <v>82</v>
      </c>
      <c r="AF549" s="610"/>
      <c r="AG549" s="610"/>
      <c r="AH549" s="610"/>
      <c r="AI549" s="610">
        <v>117</v>
      </c>
      <c r="AJ549" s="610">
        <f t="shared" si="181"/>
        <v>0</v>
      </c>
      <c r="AK549" s="610"/>
      <c r="AL549" s="610"/>
      <c r="AM549" s="610"/>
      <c r="AN549" s="610"/>
      <c r="AO549" s="554">
        <f t="shared" si="182"/>
        <v>117</v>
      </c>
      <c r="AR549" s="619"/>
      <c r="AS549" s="548"/>
      <c r="AT549" s="554">
        <f>I549</f>
        <v>117</v>
      </c>
      <c r="AV549" s="554">
        <f>I549</f>
        <v>117</v>
      </c>
      <c r="AW549" s="619"/>
      <c r="AX549" s="548"/>
      <c r="AY549" s="548"/>
      <c r="AZ549" s="548"/>
      <c r="BA549" s="548"/>
      <c r="BB549" s="620">
        <f>I549/24</f>
        <v>4.875</v>
      </c>
      <c r="BM549" s="554">
        <f>I549/13</f>
        <v>9</v>
      </c>
      <c r="BY549" s="619"/>
      <c r="BZ549" s="548"/>
      <c r="CA549" s="621"/>
      <c r="CB549" s="567"/>
      <c r="CC549" s="622"/>
      <c r="CD549" s="619"/>
      <c r="CE549" s="619"/>
      <c r="CF549" s="548"/>
      <c r="CG549" s="548"/>
      <c r="CU549" s="554">
        <f t="shared" si="165"/>
        <v>0</v>
      </c>
      <c r="CV549" s="554">
        <f t="shared" si="176"/>
        <v>0</v>
      </c>
      <c r="CW549" s="554">
        <f t="shared" si="177"/>
        <v>0</v>
      </c>
      <c r="CX549" s="619"/>
      <c r="CY549" s="619"/>
      <c r="CZ549" s="619"/>
      <c r="DA549" s="548"/>
      <c r="DB549" s="548"/>
      <c r="DC549" s="548"/>
      <c r="DD549" s="619"/>
      <c r="DE549" s="619"/>
      <c r="DF549" s="619"/>
      <c r="DG549" s="619"/>
      <c r="DH549" s="619"/>
    </row>
    <row r="550" s="548" customFormat="1" ht="31" customHeight="1" spans="1:112">
      <c r="A550" s="608">
        <v>45866</v>
      </c>
      <c r="B550" s="609" t="s">
        <v>139</v>
      </c>
      <c r="C550" s="610" t="s">
        <v>76</v>
      </c>
      <c r="D550" s="554">
        <v>4500175179</v>
      </c>
      <c r="E550" s="610">
        <v>21012359</v>
      </c>
      <c r="F550" s="554" t="s">
        <v>7388</v>
      </c>
      <c r="G550" s="610" t="s">
        <v>6093</v>
      </c>
      <c r="H550" s="610" t="s">
        <v>6094</v>
      </c>
      <c r="I550" s="610">
        <v>117</v>
      </c>
      <c r="J550" s="610">
        <v>0</v>
      </c>
      <c r="K550" s="610">
        <v>13</v>
      </c>
      <c r="L550" s="611">
        <f t="shared" si="179"/>
        <v>9</v>
      </c>
      <c r="M550" s="612">
        <v>45908</v>
      </c>
      <c r="N550" s="612">
        <v>45904</v>
      </c>
      <c r="O550" s="613"/>
      <c r="P550" s="613" t="s">
        <v>113</v>
      </c>
      <c r="Q550" s="610"/>
      <c r="R550" s="614">
        <v>45877</v>
      </c>
      <c r="S550" s="614" t="s">
        <v>104</v>
      </c>
      <c r="T550" s="614">
        <v>45887</v>
      </c>
      <c r="U550" s="614"/>
      <c r="V550" s="614"/>
      <c r="W550" s="615"/>
      <c r="X550" s="609" t="s">
        <v>7012</v>
      </c>
      <c r="Y550" s="609" t="s">
        <v>133</v>
      </c>
      <c r="Z550" s="609">
        <v>0.9526</v>
      </c>
      <c r="AA550" s="616">
        <f t="shared" si="180"/>
        <v>111.4542</v>
      </c>
      <c r="AC550" s="617" t="s">
        <v>7387</v>
      </c>
      <c r="AD550" s="610" t="s">
        <v>6093</v>
      </c>
      <c r="AE550" s="610" t="s">
        <v>82</v>
      </c>
      <c r="AF550" s="610"/>
      <c r="AG550" s="610"/>
      <c r="AH550" s="610"/>
      <c r="AI550" s="610">
        <v>117</v>
      </c>
      <c r="AJ550" s="610">
        <f t="shared" si="181"/>
        <v>0</v>
      </c>
      <c r="AK550" s="610"/>
      <c r="AL550" s="610"/>
      <c r="AM550" s="610"/>
      <c r="AN550" s="610"/>
      <c r="AO550" s="554">
        <f t="shared" si="182"/>
        <v>117</v>
      </c>
      <c r="AR550" s="619"/>
      <c r="AS550" s="548"/>
      <c r="AT550" s="554">
        <f>I550</f>
        <v>117</v>
      </c>
      <c r="AV550" s="554">
        <f>I550</f>
        <v>117</v>
      </c>
      <c r="AW550" s="619"/>
      <c r="AX550" s="548"/>
      <c r="AY550" s="548"/>
      <c r="AZ550" s="548"/>
      <c r="BA550" s="548"/>
      <c r="BB550" s="620">
        <f>I550/24</f>
        <v>4.875</v>
      </c>
      <c r="BM550" s="554">
        <f>I550/13</f>
        <v>9</v>
      </c>
      <c r="BY550" s="619"/>
      <c r="BZ550" s="548"/>
      <c r="CA550" s="621"/>
      <c r="CB550" s="567"/>
      <c r="CC550" s="622"/>
      <c r="CD550" s="619"/>
      <c r="CE550" s="619"/>
      <c r="CF550" s="548"/>
      <c r="CG550" s="548"/>
      <c r="CU550" s="554">
        <f t="shared" si="165"/>
        <v>0</v>
      </c>
      <c r="CV550" s="554">
        <f t="shared" si="176"/>
        <v>0</v>
      </c>
      <c r="CW550" s="554">
        <f t="shared" si="177"/>
        <v>0</v>
      </c>
      <c r="CX550" s="619"/>
      <c r="CY550" s="619"/>
      <c r="CZ550" s="619"/>
      <c r="DA550" s="548"/>
      <c r="DB550" s="548"/>
      <c r="DC550" s="548"/>
      <c r="DD550" s="619"/>
      <c r="DE550" s="619"/>
      <c r="DF550" s="619"/>
      <c r="DG550" s="619"/>
      <c r="DH550" s="619"/>
    </row>
    <row r="551" s="548" customFormat="1" ht="31" customHeight="1" spans="1:112">
      <c r="A551" s="608">
        <v>45866</v>
      </c>
      <c r="B551" s="609" t="s">
        <v>135</v>
      </c>
      <c r="C551" s="610" t="s">
        <v>128</v>
      </c>
      <c r="D551" s="554">
        <v>4500175177</v>
      </c>
      <c r="E551" s="610">
        <v>21012347</v>
      </c>
      <c r="F551" s="554" t="s">
        <v>7389</v>
      </c>
      <c r="G551" s="610" t="s">
        <v>6093</v>
      </c>
      <c r="H551" s="610" t="s">
        <v>6094</v>
      </c>
      <c r="I551" s="610">
        <v>1534</v>
      </c>
      <c r="J551" s="610">
        <v>0</v>
      </c>
      <c r="K551" s="610">
        <v>13</v>
      </c>
      <c r="L551" s="611">
        <f t="shared" si="179"/>
        <v>118</v>
      </c>
      <c r="M551" s="612">
        <v>45908</v>
      </c>
      <c r="N551" s="612">
        <v>45904</v>
      </c>
      <c r="O551" s="613"/>
      <c r="P551" s="613" t="s">
        <v>113</v>
      </c>
      <c r="Q551" s="610"/>
      <c r="R551" s="614">
        <v>45877</v>
      </c>
      <c r="S551" s="614" t="s">
        <v>104</v>
      </c>
      <c r="T551" s="614">
        <v>45887</v>
      </c>
      <c r="U551" s="614"/>
      <c r="V551" s="614"/>
      <c r="W551" s="615"/>
      <c r="X551" s="609" t="s">
        <v>6288</v>
      </c>
      <c r="Y551" s="609" t="s">
        <v>133</v>
      </c>
      <c r="Z551" s="609">
        <v>0.9475</v>
      </c>
      <c r="AA551" s="616">
        <f t="shared" si="180"/>
        <v>1453.465</v>
      </c>
      <c r="AC551" s="617" t="s">
        <v>7390</v>
      </c>
      <c r="AD551" s="610" t="s">
        <v>6093</v>
      </c>
      <c r="AE551" s="610" t="s">
        <v>82</v>
      </c>
      <c r="AF551" s="610"/>
      <c r="AG551" s="610"/>
      <c r="AH551" s="610"/>
      <c r="AI551" s="610">
        <v>1534</v>
      </c>
      <c r="AJ551" s="610">
        <f t="shared" si="181"/>
        <v>0</v>
      </c>
      <c r="AK551" s="610"/>
      <c r="AL551" s="610"/>
      <c r="AM551" s="610"/>
      <c r="AN551" s="610"/>
      <c r="AO551" s="554">
        <f t="shared" si="182"/>
        <v>1534</v>
      </c>
      <c r="AR551" s="619"/>
      <c r="AS551" s="548"/>
      <c r="AT551" s="554">
        <f>I551</f>
        <v>1534</v>
      </c>
      <c r="AV551" s="554">
        <f>I551</f>
        <v>1534</v>
      </c>
      <c r="AW551" s="619"/>
      <c r="AX551" s="548"/>
      <c r="AY551" s="548"/>
      <c r="AZ551" s="548"/>
      <c r="BA551" s="548"/>
      <c r="BB551" s="620">
        <f>I551/24</f>
        <v>63.9166666666667</v>
      </c>
      <c r="BM551" s="554">
        <f>I551/13</f>
        <v>118</v>
      </c>
      <c r="BY551" s="619"/>
      <c r="BZ551" s="548"/>
      <c r="CA551" s="621"/>
      <c r="CB551" s="567"/>
      <c r="CC551" s="622"/>
      <c r="CD551" s="619"/>
      <c r="CE551" s="619"/>
      <c r="CF551" s="548"/>
      <c r="CG551" s="548"/>
      <c r="CU551" s="554">
        <f t="shared" si="165"/>
        <v>0</v>
      </c>
      <c r="CV551" s="554">
        <f t="shared" si="176"/>
        <v>0</v>
      </c>
      <c r="CW551" s="554">
        <f t="shared" si="177"/>
        <v>0</v>
      </c>
      <c r="CX551" s="619"/>
      <c r="CY551" s="619"/>
      <c r="CZ551" s="619"/>
      <c r="DA551" s="548"/>
      <c r="DB551" s="548"/>
      <c r="DC551" s="548"/>
      <c r="DD551" s="619"/>
      <c r="DE551" s="619"/>
      <c r="DF551" s="619"/>
      <c r="DG551" s="619"/>
      <c r="DH551" s="619"/>
    </row>
    <row r="552" s="548" customFormat="1" ht="31" customHeight="1" spans="1:112">
      <c r="A552" s="608">
        <v>45866</v>
      </c>
      <c r="B552" s="609" t="s">
        <v>135</v>
      </c>
      <c r="C552" s="610" t="s">
        <v>128</v>
      </c>
      <c r="D552" s="554">
        <v>4500175177</v>
      </c>
      <c r="E552" s="610">
        <v>21012358</v>
      </c>
      <c r="F552" s="554" t="s">
        <v>7391</v>
      </c>
      <c r="G552" s="610" t="s">
        <v>6093</v>
      </c>
      <c r="H552" s="610" t="s">
        <v>6094</v>
      </c>
      <c r="I552" s="610">
        <v>1612</v>
      </c>
      <c r="J552" s="610">
        <v>0</v>
      </c>
      <c r="K552" s="610">
        <v>13</v>
      </c>
      <c r="L552" s="611">
        <f t="shared" si="179"/>
        <v>124</v>
      </c>
      <c r="M552" s="612">
        <v>45908</v>
      </c>
      <c r="N552" s="612">
        <v>45904</v>
      </c>
      <c r="O552" s="613"/>
      <c r="P552" s="613" t="s">
        <v>113</v>
      </c>
      <c r="Q552" s="610"/>
      <c r="R552" s="614">
        <v>45877</v>
      </c>
      <c r="S552" s="614" t="s">
        <v>104</v>
      </c>
      <c r="T552" s="614">
        <v>45887</v>
      </c>
      <c r="U552" s="614"/>
      <c r="V552" s="614"/>
      <c r="W552" s="615"/>
      <c r="X552" s="609" t="s">
        <v>6288</v>
      </c>
      <c r="Y552" s="609" t="s">
        <v>133</v>
      </c>
      <c r="Z552" s="609">
        <v>0.9475</v>
      </c>
      <c r="AA552" s="616">
        <f t="shared" si="180"/>
        <v>1527.37</v>
      </c>
      <c r="AC552" s="617" t="s">
        <v>7390</v>
      </c>
      <c r="AD552" s="610" t="s">
        <v>6093</v>
      </c>
      <c r="AE552" s="610" t="s">
        <v>82</v>
      </c>
      <c r="AF552" s="610"/>
      <c r="AG552" s="610"/>
      <c r="AH552" s="610"/>
      <c r="AI552" s="610">
        <v>1612</v>
      </c>
      <c r="AJ552" s="610">
        <f t="shared" si="181"/>
        <v>0</v>
      </c>
      <c r="AK552" s="610"/>
      <c r="AL552" s="610"/>
      <c r="AM552" s="610"/>
      <c r="AN552" s="610"/>
      <c r="AO552" s="554">
        <f t="shared" si="182"/>
        <v>1612</v>
      </c>
      <c r="AR552" s="619"/>
      <c r="AS552" s="548"/>
      <c r="AT552" s="554">
        <f>I552</f>
        <v>1612</v>
      </c>
      <c r="AV552" s="554">
        <f>I552</f>
        <v>1612</v>
      </c>
      <c r="AW552" s="619"/>
      <c r="AX552" s="548"/>
      <c r="AY552" s="548"/>
      <c r="AZ552" s="548"/>
      <c r="BA552" s="548"/>
      <c r="BB552" s="620">
        <f>I552/24</f>
        <v>67.1666666666667</v>
      </c>
      <c r="BM552" s="554">
        <f>I552/13</f>
        <v>124</v>
      </c>
      <c r="BY552" s="619"/>
      <c r="BZ552" s="548"/>
      <c r="CA552" s="621"/>
      <c r="CB552" s="567"/>
      <c r="CC552" s="622"/>
      <c r="CD552" s="619"/>
      <c r="CE552" s="619"/>
      <c r="CF552" s="548"/>
      <c r="CG552" s="548"/>
      <c r="CU552" s="554">
        <f t="shared" si="165"/>
        <v>0</v>
      </c>
      <c r="CV552" s="554">
        <f t="shared" si="176"/>
        <v>0</v>
      </c>
      <c r="CW552" s="554">
        <f t="shared" si="177"/>
        <v>0</v>
      </c>
      <c r="CX552" s="619"/>
      <c r="CY552" s="619"/>
      <c r="CZ552" s="619"/>
      <c r="DA552" s="548"/>
      <c r="DB552" s="548"/>
      <c r="DC552" s="548"/>
      <c r="DD552" s="619"/>
      <c r="DE552" s="619"/>
      <c r="DF552" s="619"/>
      <c r="DG552" s="619"/>
      <c r="DH552" s="619"/>
    </row>
    <row r="553" s="548" customFormat="1" ht="31" customHeight="1" spans="1:112">
      <c r="A553" s="608">
        <v>45852</v>
      </c>
      <c r="B553" s="609" t="s">
        <v>1691</v>
      </c>
      <c r="C553" s="610" t="s">
        <v>1692</v>
      </c>
      <c r="D553" s="554">
        <v>4500173750</v>
      </c>
      <c r="E553" s="610"/>
      <c r="F553" s="554" t="s">
        <v>7392</v>
      </c>
      <c r="G553" s="610" t="s">
        <v>6276</v>
      </c>
      <c r="H553" s="610" t="s">
        <v>6277</v>
      </c>
      <c r="I553" s="610">
        <v>1550</v>
      </c>
      <c r="J553" s="610">
        <v>0</v>
      </c>
      <c r="K553" s="610">
        <v>50</v>
      </c>
      <c r="L553" s="611">
        <f t="shared" si="179"/>
        <v>31</v>
      </c>
      <c r="M553" s="612">
        <v>45909</v>
      </c>
      <c r="N553" s="612">
        <v>45905</v>
      </c>
      <c r="O553" s="613"/>
      <c r="P553" s="613" t="s">
        <v>113</v>
      </c>
      <c r="Q553" s="610"/>
      <c r="R553" s="614">
        <v>45877</v>
      </c>
      <c r="S553" s="614" t="s">
        <v>70</v>
      </c>
      <c r="T553" s="614">
        <v>45876</v>
      </c>
      <c r="U553" s="614"/>
      <c r="V553" s="614"/>
      <c r="W553" s="615"/>
      <c r="X553" s="609" t="s">
        <v>7393</v>
      </c>
      <c r="Y553" s="609" t="s">
        <v>529</v>
      </c>
      <c r="Z553" s="609">
        <v>0.9061</v>
      </c>
      <c r="AA553" s="616">
        <f t="shared" si="180"/>
        <v>1404.455</v>
      </c>
      <c r="AC553" s="617" t="s">
        <v>7394</v>
      </c>
      <c r="AD553" s="610" t="s">
        <v>6276</v>
      </c>
      <c r="AE553" s="610" t="s">
        <v>82</v>
      </c>
      <c r="AF553" s="610"/>
      <c r="AG553" s="610"/>
      <c r="AH553" s="610"/>
      <c r="AI553" s="610">
        <v>1550</v>
      </c>
      <c r="AJ553" s="610">
        <f t="shared" si="181"/>
        <v>0</v>
      </c>
      <c r="AK553" s="610"/>
      <c r="AL553" s="610"/>
      <c r="AM553" s="610"/>
      <c r="AN553" s="610"/>
      <c r="AO553" s="554">
        <f t="shared" si="182"/>
        <v>1550</v>
      </c>
      <c r="AR553" s="619"/>
      <c r="AS553" s="548"/>
      <c r="AT553" s="548"/>
      <c r="AU553" s="548"/>
      <c r="AV553" s="548"/>
      <c r="AW553" s="619"/>
      <c r="AX553" s="548"/>
      <c r="AY553" s="548"/>
      <c r="AZ553" s="548"/>
      <c r="BA553" s="548"/>
      <c r="BB553" s="620">
        <f>I553/24*2</f>
        <v>129.166666666667</v>
      </c>
      <c r="BV553" s="554">
        <f>I553</f>
        <v>1550</v>
      </c>
      <c r="BW553" s="554">
        <f>I553</f>
        <v>1550</v>
      </c>
      <c r="BX553" s="554">
        <f>I553/25</f>
        <v>62</v>
      </c>
      <c r="BY553" s="619"/>
      <c r="BZ553" s="548"/>
      <c r="CA553" s="621"/>
      <c r="CB553" s="567"/>
      <c r="CC553" s="622"/>
      <c r="CD553" s="619"/>
      <c r="CE553" s="619"/>
      <c r="CF553" s="548"/>
      <c r="CG553" s="548"/>
      <c r="CU553" s="554">
        <f t="shared" si="165"/>
        <v>62</v>
      </c>
      <c r="CV553" s="554">
        <f t="shared" si="176"/>
        <v>0</v>
      </c>
      <c r="CW553" s="554">
        <f t="shared" si="177"/>
        <v>0</v>
      </c>
      <c r="CX553" s="619"/>
      <c r="CY553" s="619"/>
      <c r="CZ553" s="619"/>
      <c r="DA553" s="548"/>
      <c r="DB553" s="548"/>
      <c r="DC553" s="548"/>
      <c r="DD553" s="619"/>
      <c r="DE553" s="619"/>
      <c r="DF553" s="619"/>
      <c r="DG553" s="619"/>
      <c r="DH553" s="619"/>
    </row>
    <row r="554" s="548" customFormat="1" ht="31" customHeight="1" spans="1:112">
      <c r="A554" s="608">
        <v>45867</v>
      </c>
      <c r="B554" s="609" t="s">
        <v>6098</v>
      </c>
      <c r="C554" s="610" t="s">
        <v>128</v>
      </c>
      <c r="D554" s="554">
        <v>4500175352</v>
      </c>
      <c r="E554" s="610">
        <v>47197071</v>
      </c>
      <c r="F554" s="554" t="s">
        <v>7395</v>
      </c>
      <c r="G554" s="610" t="s">
        <v>6101</v>
      </c>
      <c r="H554" s="610" t="s">
        <v>6102</v>
      </c>
      <c r="I554" s="610">
        <v>750</v>
      </c>
      <c r="J554" s="610">
        <v>0</v>
      </c>
      <c r="K554" s="610">
        <v>6</v>
      </c>
      <c r="L554" s="611">
        <f t="shared" si="179"/>
        <v>125</v>
      </c>
      <c r="M554" s="612">
        <v>45909</v>
      </c>
      <c r="N554" s="612">
        <v>45905</v>
      </c>
      <c r="O554" s="613"/>
      <c r="P554" s="613" t="s">
        <v>113</v>
      </c>
      <c r="Q554" s="610"/>
      <c r="R554" s="614" t="s">
        <v>7396</v>
      </c>
      <c r="S554" s="614" t="s">
        <v>70</v>
      </c>
      <c r="T554" s="614" t="s">
        <v>1435</v>
      </c>
      <c r="U554" s="614"/>
      <c r="V554" s="614"/>
      <c r="W554" s="615"/>
      <c r="X554" s="628" t="s">
        <v>7397</v>
      </c>
      <c r="Y554" s="609" t="s">
        <v>1735</v>
      </c>
      <c r="Z554" s="609">
        <v>0.9362</v>
      </c>
      <c r="AA554" s="616">
        <f t="shared" si="180"/>
        <v>702.15</v>
      </c>
      <c r="AC554" s="617" t="s">
        <v>7398</v>
      </c>
      <c r="AD554" s="610" t="s">
        <v>6101</v>
      </c>
      <c r="AE554" s="610" t="s">
        <v>82</v>
      </c>
      <c r="AF554" s="610"/>
      <c r="AG554" s="610"/>
      <c r="AH554" s="610"/>
      <c r="AI554" s="610">
        <v>750</v>
      </c>
      <c r="AJ554" s="610">
        <f t="shared" si="181"/>
        <v>0</v>
      </c>
      <c r="AK554" s="610"/>
      <c r="AL554" s="610"/>
      <c r="AM554" s="610"/>
      <c r="AN554" s="610"/>
      <c r="AO554" s="554">
        <f t="shared" si="182"/>
        <v>750</v>
      </c>
      <c r="AR554" s="619"/>
      <c r="AS554" s="548"/>
      <c r="AT554" s="554">
        <f>I554</f>
        <v>750</v>
      </c>
      <c r="AV554" s="554">
        <f>I554</f>
        <v>750</v>
      </c>
      <c r="AW554" s="619"/>
      <c r="AX554" s="548"/>
      <c r="AY554" s="548"/>
      <c r="AZ554" s="548"/>
      <c r="BA554" s="548"/>
      <c r="BB554" s="620">
        <f>I554/24</f>
        <v>31.25</v>
      </c>
      <c r="BT554" s="554">
        <f>I554/6</f>
        <v>125</v>
      </c>
      <c r="BU554" s="554"/>
      <c r="BY554" s="619"/>
      <c r="BZ554" s="548"/>
      <c r="CA554" s="621"/>
      <c r="CB554" s="567"/>
      <c r="CC554" s="622"/>
      <c r="CD554" s="619"/>
      <c r="CE554" s="619"/>
      <c r="CF554" s="548"/>
      <c r="CG554" s="548"/>
      <c r="CU554" s="554">
        <f t="shared" si="165"/>
        <v>0</v>
      </c>
      <c r="CV554" s="554">
        <f t="shared" si="176"/>
        <v>0</v>
      </c>
      <c r="CW554" s="554">
        <f t="shared" si="177"/>
        <v>0</v>
      </c>
      <c r="CX554" s="619"/>
      <c r="CY554" s="619"/>
      <c r="CZ554" s="619"/>
      <c r="DA554" s="548"/>
      <c r="DB554" s="548"/>
      <c r="DC554" s="548"/>
      <c r="DD554" s="619"/>
      <c r="DE554" s="619"/>
      <c r="DF554" s="619"/>
      <c r="DG554" s="619"/>
      <c r="DH554" s="619"/>
    </row>
    <row r="555" s="548" customFormat="1" ht="31" customHeight="1" spans="1:112">
      <c r="A555" s="608">
        <v>45867</v>
      </c>
      <c r="B555" s="609" t="s">
        <v>6098</v>
      </c>
      <c r="C555" s="610" t="s">
        <v>128</v>
      </c>
      <c r="D555" s="554">
        <v>4500175352</v>
      </c>
      <c r="E555" s="610">
        <v>7197073</v>
      </c>
      <c r="F555" s="554" t="s">
        <v>7399</v>
      </c>
      <c r="G555" s="610" t="s">
        <v>6101</v>
      </c>
      <c r="H555" s="610" t="s">
        <v>6102</v>
      </c>
      <c r="I555" s="610">
        <v>750</v>
      </c>
      <c r="J555" s="610">
        <v>0</v>
      </c>
      <c r="K555" s="610">
        <v>6</v>
      </c>
      <c r="L555" s="611">
        <f t="shared" si="179"/>
        <v>125</v>
      </c>
      <c r="M555" s="612">
        <v>45909</v>
      </c>
      <c r="N555" s="612">
        <v>45905</v>
      </c>
      <c r="O555" s="613"/>
      <c r="P555" s="613" t="s">
        <v>113</v>
      </c>
      <c r="Q555" s="610"/>
      <c r="R555" s="614" t="s">
        <v>7396</v>
      </c>
      <c r="S555" s="614" t="s">
        <v>70</v>
      </c>
      <c r="T555" s="614" t="s">
        <v>1435</v>
      </c>
      <c r="U555" s="614"/>
      <c r="V555" s="614"/>
      <c r="W555" s="615"/>
      <c r="X555" s="628" t="s">
        <v>7397</v>
      </c>
      <c r="Y555" s="609" t="s">
        <v>1735</v>
      </c>
      <c r="Z555" s="609">
        <v>1.0006</v>
      </c>
      <c r="AA555" s="616">
        <f t="shared" si="180"/>
        <v>750.45</v>
      </c>
      <c r="AC555" s="617" t="s">
        <v>7398</v>
      </c>
      <c r="AD555" s="610" t="s">
        <v>6101</v>
      </c>
      <c r="AE555" s="610" t="s">
        <v>82</v>
      </c>
      <c r="AF555" s="610"/>
      <c r="AG555" s="610"/>
      <c r="AH555" s="610"/>
      <c r="AI555" s="610">
        <v>750</v>
      </c>
      <c r="AJ555" s="610">
        <f t="shared" si="181"/>
        <v>0</v>
      </c>
      <c r="AK555" s="610"/>
      <c r="AL555" s="610"/>
      <c r="AM555" s="610"/>
      <c r="AN555" s="610"/>
      <c r="AO555" s="554">
        <f t="shared" si="182"/>
        <v>750</v>
      </c>
      <c r="AR555" s="619"/>
      <c r="AS555" s="548"/>
      <c r="AT555" s="554">
        <f>I555</f>
        <v>750</v>
      </c>
      <c r="AV555" s="554">
        <f>I555</f>
        <v>750</v>
      </c>
      <c r="AW555" s="619"/>
      <c r="AX555" s="548"/>
      <c r="AY555" s="548"/>
      <c r="AZ555" s="548"/>
      <c r="BA555" s="548"/>
      <c r="BB555" s="620">
        <f>I555/24</f>
        <v>31.25</v>
      </c>
      <c r="BT555" s="554">
        <f>I555/6</f>
        <v>125</v>
      </c>
      <c r="BU555" s="554"/>
      <c r="BY555" s="619"/>
      <c r="BZ555" s="548"/>
      <c r="CA555" s="621"/>
      <c r="CB555" s="567"/>
      <c r="CC555" s="622"/>
      <c r="CD555" s="619"/>
      <c r="CE555" s="619"/>
      <c r="CF555" s="548"/>
      <c r="CG555" s="548"/>
      <c r="CU555" s="554">
        <f t="shared" si="165"/>
        <v>0</v>
      </c>
      <c r="CV555" s="554">
        <f t="shared" si="176"/>
        <v>0</v>
      </c>
      <c r="CW555" s="554">
        <f t="shared" si="177"/>
        <v>0</v>
      </c>
      <c r="CX555" s="619"/>
      <c r="CY555" s="619"/>
      <c r="CZ555" s="619"/>
      <c r="DA555" s="548"/>
      <c r="DB555" s="548"/>
      <c r="DC555" s="548"/>
      <c r="DD555" s="619"/>
      <c r="DE555" s="619"/>
      <c r="DF555" s="619"/>
      <c r="DG555" s="619"/>
      <c r="DH555" s="619"/>
    </row>
    <row r="556" s="548" customFormat="1" ht="31" customHeight="1" spans="1:112">
      <c r="A556" s="608">
        <v>45867</v>
      </c>
      <c r="B556" s="609" t="s">
        <v>6098</v>
      </c>
      <c r="C556" s="610" t="s">
        <v>128</v>
      </c>
      <c r="D556" s="554">
        <v>4500175352</v>
      </c>
      <c r="E556" s="610">
        <v>47197072</v>
      </c>
      <c r="F556" s="554" t="s">
        <v>7400</v>
      </c>
      <c r="G556" s="610" t="s">
        <v>6101</v>
      </c>
      <c r="H556" s="610" t="s">
        <v>6102</v>
      </c>
      <c r="I556" s="610">
        <v>1500</v>
      </c>
      <c r="J556" s="610">
        <v>0</v>
      </c>
      <c r="K556" s="610">
        <v>6</v>
      </c>
      <c r="L556" s="611">
        <f t="shared" si="179"/>
        <v>250</v>
      </c>
      <c r="M556" s="612">
        <v>45909</v>
      </c>
      <c r="N556" s="612">
        <v>45905</v>
      </c>
      <c r="O556" s="613"/>
      <c r="P556" s="613" t="s">
        <v>113</v>
      </c>
      <c r="Q556" s="610"/>
      <c r="R556" s="614" t="s">
        <v>7396</v>
      </c>
      <c r="S556" s="614" t="s">
        <v>70</v>
      </c>
      <c r="T556" s="614" t="s">
        <v>1435</v>
      </c>
      <c r="U556" s="614"/>
      <c r="V556" s="614"/>
      <c r="W556" s="615"/>
      <c r="X556" s="628" t="s">
        <v>7397</v>
      </c>
      <c r="Y556" s="609" t="s">
        <v>1735</v>
      </c>
      <c r="Z556" s="609">
        <v>1.0006</v>
      </c>
      <c r="AA556" s="616">
        <f t="shared" si="180"/>
        <v>1500.9</v>
      </c>
      <c r="AC556" s="617" t="s">
        <v>7398</v>
      </c>
      <c r="AD556" s="610" t="s">
        <v>6101</v>
      </c>
      <c r="AE556" s="610" t="s">
        <v>82</v>
      </c>
      <c r="AF556" s="610"/>
      <c r="AG556" s="610"/>
      <c r="AH556" s="610"/>
      <c r="AI556" s="610">
        <v>1500</v>
      </c>
      <c r="AJ556" s="610">
        <f t="shared" si="181"/>
        <v>0</v>
      </c>
      <c r="AK556" s="610"/>
      <c r="AL556" s="610"/>
      <c r="AM556" s="610"/>
      <c r="AN556" s="610"/>
      <c r="AO556" s="554">
        <f t="shared" si="182"/>
        <v>1500</v>
      </c>
      <c r="AR556" s="619"/>
      <c r="AS556" s="548"/>
      <c r="AT556" s="554">
        <f>I556</f>
        <v>1500</v>
      </c>
      <c r="AV556" s="554">
        <f>I556</f>
        <v>1500</v>
      </c>
      <c r="AW556" s="619"/>
      <c r="AX556" s="548"/>
      <c r="AY556" s="548"/>
      <c r="AZ556" s="548"/>
      <c r="BA556" s="548"/>
      <c r="BB556" s="620">
        <f>I556/24</f>
        <v>62.5</v>
      </c>
      <c r="BT556" s="554">
        <f>I556/6</f>
        <v>250</v>
      </c>
      <c r="BU556" s="554"/>
      <c r="BY556" s="619"/>
      <c r="BZ556" s="548"/>
      <c r="CA556" s="621"/>
      <c r="CB556" s="567"/>
      <c r="CC556" s="622"/>
      <c r="CD556" s="619"/>
      <c r="CE556" s="619"/>
      <c r="CF556" s="548"/>
      <c r="CG556" s="548"/>
      <c r="CU556" s="554">
        <f t="shared" si="165"/>
        <v>0</v>
      </c>
      <c r="CV556" s="554">
        <f t="shared" si="176"/>
        <v>0</v>
      </c>
      <c r="CW556" s="554">
        <f t="shared" si="177"/>
        <v>0</v>
      </c>
      <c r="CX556" s="619"/>
      <c r="CY556" s="619"/>
      <c r="CZ556" s="619"/>
      <c r="DA556" s="548"/>
      <c r="DB556" s="548"/>
      <c r="DC556" s="548"/>
      <c r="DD556" s="619"/>
      <c r="DE556" s="619"/>
      <c r="DF556" s="619"/>
      <c r="DG556" s="619"/>
      <c r="DH556" s="619"/>
    </row>
    <row r="557" s="548" customFormat="1" ht="31" customHeight="1" spans="1:112">
      <c r="A557" s="608">
        <v>45848</v>
      </c>
      <c r="B557" s="609" t="s">
        <v>3577</v>
      </c>
      <c r="C557" s="610" t="s">
        <v>170</v>
      </c>
      <c r="D557" s="554">
        <v>4500173369</v>
      </c>
      <c r="E557" s="610">
        <v>9900929832</v>
      </c>
      <c r="F557" s="554" t="s">
        <v>7401</v>
      </c>
      <c r="G557" s="610" t="s">
        <v>6084</v>
      </c>
      <c r="H557" s="610" t="s">
        <v>6069</v>
      </c>
      <c r="I557" s="610">
        <v>3300</v>
      </c>
      <c r="J557" s="610">
        <v>0</v>
      </c>
      <c r="K557" s="610">
        <v>25</v>
      </c>
      <c r="L557" s="611">
        <f t="shared" si="179"/>
        <v>132</v>
      </c>
      <c r="M557" s="612">
        <v>45910</v>
      </c>
      <c r="N557" s="612">
        <v>45906</v>
      </c>
      <c r="O557" s="613" t="s">
        <v>7366</v>
      </c>
      <c r="P557" s="613" t="s">
        <v>113</v>
      </c>
      <c r="Q557" s="610"/>
      <c r="R557" s="614">
        <v>45863</v>
      </c>
      <c r="S557" s="614" t="s">
        <v>70</v>
      </c>
      <c r="T557" s="614" t="s">
        <v>70</v>
      </c>
      <c r="U557" s="614"/>
      <c r="V557" s="614"/>
      <c r="W557" s="615"/>
      <c r="X557" s="609" t="s">
        <v>7402</v>
      </c>
      <c r="Y557" s="609" t="s">
        <v>175</v>
      </c>
      <c r="Z557" s="609">
        <v>0.9514</v>
      </c>
      <c r="AA557" s="616">
        <f t="shared" si="180"/>
        <v>3139.62</v>
      </c>
      <c r="AC557" s="617" t="s">
        <v>7403</v>
      </c>
      <c r="AD557" s="610" t="s">
        <v>6089</v>
      </c>
      <c r="AE557" s="610" t="s">
        <v>82</v>
      </c>
      <c r="AF557" s="610"/>
      <c r="AG557" s="610"/>
      <c r="AH557" s="610"/>
      <c r="AI557" s="610">
        <v>3300</v>
      </c>
      <c r="AJ557" s="610">
        <f t="shared" si="181"/>
        <v>0</v>
      </c>
      <c r="AK557" s="610"/>
      <c r="AL557" s="610"/>
      <c r="AM557" s="610"/>
      <c r="AN557" s="610">
        <f>I557</f>
        <v>3300</v>
      </c>
      <c r="AR557" s="619"/>
      <c r="AS557" s="554">
        <f>I557</f>
        <v>3300</v>
      </c>
      <c r="AU557" s="554">
        <f>I557</f>
        <v>3300</v>
      </c>
      <c r="AW557" s="619"/>
      <c r="AX557" s="548"/>
      <c r="AY557" s="548"/>
      <c r="AZ557" s="548"/>
      <c r="BA557" s="548"/>
      <c r="BB557" s="620">
        <f>I557/24</f>
        <v>137.5</v>
      </c>
      <c r="BO557" s="554">
        <f>I557/25</f>
        <v>132</v>
      </c>
      <c r="BY557" s="619"/>
      <c r="BZ557" s="548"/>
      <c r="CA557" s="621"/>
      <c r="CB557" s="567"/>
      <c r="CC557" s="622"/>
      <c r="CD557" s="619"/>
      <c r="CE557" s="619"/>
      <c r="CF557" s="548"/>
      <c r="CG557" s="548"/>
      <c r="CU557" s="554">
        <f t="shared" si="165"/>
        <v>132</v>
      </c>
      <c r="CV557" s="554">
        <f t="shared" si="176"/>
        <v>0</v>
      </c>
      <c r="CW557" s="554">
        <f t="shared" si="177"/>
        <v>0</v>
      </c>
      <c r="CX557" s="619"/>
      <c r="CY557" s="619"/>
      <c r="CZ557" s="619"/>
      <c r="DA557" s="548"/>
      <c r="DB557" s="548"/>
      <c r="DC557" s="548"/>
      <c r="DD557" s="619"/>
      <c r="DE557" s="619"/>
      <c r="DF557" s="619"/>
      <c r="DG557" s="619"/>
      <c r="DH557" s="619"/>
    </row>
    <row r="558" s="548" customFormat="1" ht="31" customHeight="1" spans="1:112">
      <c r="A558" s="641">
        <v>45678</v>
      </c>
      <c r="B558" s="642" t="s">
        <v>1492</v>
      </c>
      <c r="C558" s="246" t="s">
        <v>98</v>
      </c>
      <c r="D558" s="551">
        <v>4500156324</v>
      </c>
      <c r="E558" s="643">
        <v>2670625255</v>
      </c>
      <c r="F558" s="551" t="s">
        <v>1652</v>
      </c>
      <c r="G558" s="246" t="s">
        <v>909</v>
      </c>
      <c r="H558" s="246" t="s">
        <v>830</v>
      </c>
      <c r="I558" s="246">
        <v>72</v>
      </c>
      <c r="J558" s="246">
        <v>0</v>
      </c>
      <c r="K558" s="246">
        <v>1</v>
      </c>
      <c r="L558" s="644">
        <f t="shared" si="179"/>
        <v>72</v>
      </c>
      <c r="M558" s="645">
        <v>45898</v>
      </c>
      <c r="N558" s="645">
        <f>M558-4</f>
        <v>45894</v>
      </c>
      <c r="O558" s="643"/>
      <c r="P558" s="643" t="s">
        <v>113</v>
      </c>
      <c r="Q558" s="246" t="s">
        <v>7404</v>
      </c>
      <c r="R558" s="646">
        <v>45832</v>
      </c>
      <c r="S558" s="646" t="s">
        <v>70</v>
      </c>
      <c r="T558" s="646" t="s">
        <v>70</v>
      </c>
      <c r="U558" s="646"/>
      <c r="V558" s="646"/>
      <c r="W558" s="615"/>
      <c r="X558" s="642" t="s">
        <v>1653</v>
      </c>
      <c r="Y558" s="642" t="s">
        <v>911</v>
      </c>
      <c r="Z558" s="642">
        <v>0</v>
      </c>
      <c r="AA558" s="647">
        <f t="shared" ref="AA558:AA563" si="183">Z558*L558</f>
        <v>0</v>
      </c>
      <c r="AC558" s="648" t="s">
        <v>1654</v>
      </c>
      <c r="AD558" s="649" t="s">
        <v>1498</v>
      </c>
      <c r="AE558" s="246" t="s">
        <v>82</v>
      </c>
      <c r="AF558" s="246"/>
      <c r="AG558" s="246"/>
      <c r="AH558" s="246"/>
      <c r="AI558" s="246">
        <v>0</v>
      </c>
      <c r="AJ558" s="246">
        <v>0</v>
      </c>
      <c r="AK558" s="246"/>
      <c r="AL558" s="246"/>
      <c r="AM558" s="246"/>
      <c r="AN558" s="246"/>
      <c r="AO558" s="548"/>
      <c r="AP558" s="548"/>
      <c r="AQ558" s="548"/>
      <c r="AR558" s="650"/>
      <c r="AS558" s="548"/>
      <c r="AT558" s="548"/>
      <c r="AU558" s="548"/>
      <c r="AV558" s="548"/>
      <c r="AW558" s="650"/>
      <c r="AX558" s="548"/>
      <c r="AY558" s="548"/>
      <c r="AZ558" s="548"/>
      <c r="BA558" s="548"/>
      <c r="BB558" s="249"/>
      <c r="BC558" s="651"/>
      <c r="BD558" s="548"/>
      <c r="BE558" s="548"/>
      <c r="BF558" s="548"/>
      <c r="BY558" s="650"/>
      <c r="BZ558" s="548"/>
      <c r="CA558" s="652"/>
      <c r="CB558" s="567"/>
      <c r="CC558" s="653"/>
      <c r="CD558" s="650"/>
      <c r="CE558" s="650"/>
      <c r="CF558" s="548"/>
      <c r="CG558" s="548"/>
      <c r="CU558" s="554">
        <f t="shared" si="165"/>
        <v>0</v>
      </c>
      <c r="CV558" s="551">
        <f t="shared" si="176"/>
        <v>0</v>
      </c>
      <c r="CW558" s="551">
        <f t="shared" si="177"/>
        <v>0</v>
      </c>
      <c r="CX558" s="650"/>
      <c r="CY558" s="650"/>
      <c r="CZ558" s="650"/>
      <c r="DA558" s="548"/>
      <c r="DB558" s="548"/>
      <c r="DC558" s="548"/>
      <c r="DD558" s="650"/>
      <c r="DE558" s="650"/>
      <c r="DF558" s="650"/>
      <c r="DG558" s="650"/>
      <c r="DH558" s="650"/>
    </row>
    <row r="559" s="548" customFormat="1" ht="31" customHeight="1" spans="1:112">
      <c r="A559" s="641">
        <v>45678</v>
      </c>
      <c r="B559" s="642" t="s">
        <v>1492</v>
      </c>
      <c r="C559" s="246" t="s">
        <v>98</v>
      </c>
      <c r="D559" s="551">
        <v>4500156324</v>
      </c>
      <c r="E559" s="643">
        <v>2670625255</v>
      </c>
      <c r="F559" s="551" t="s">
        <v>1652</v>
      </c>
      <c r="G559" s="246">
        <v>77711</v>
      </c>
      <c r="H559" s="246" t="s">
        <v>6033</v>
      </c>
      <c r="I559" s="246">
        <v>5400</v>
      </c>
      <c r="J559" s="246">
        <v>0</v>
      </c>
      <c r="K559" s="246">
        <v>75</v>
      </c>
      <c r="L559" s="644">
        <f t="shared" si="179"/>
        <v>72</v>
      </c>
      <c r="M559" s="645">
        <v>45898</v>
      </c>
      <c r="N559" s="645">
        <f>M559-4</f>
        <v>45894</v>
      </c>
      <c r="O559" s="643"/>
      <c r="P559" s="643" t="s">
        <v>113</v>
      </c>
      <c r="Q559" s="246" t="s">
        <v>7404</v>
      </c>
      <c r="R559" s="646">
        <v>45832</v>
      </c>
      <c r="S559" s="646" t="s">
        <v>70</v>
      </c>
      <c r="T559" s="646" t="s">
        <v>70</v>
      </c>
      <c r="U559" s="646"/>
      <c r="V559" s="646"/>
      <c r="W559" s="615"/>
      <c r="X559" s="642"/>
      <c r="Y559" s="642" t="s">
        <v>911</v>
      </c>
      <c r="Z559" s="642">
        <v>762.5</v>
      </c>
      <c r="AA559" s="647">
        <f t="shared" si="183"/>
        <v>54900</v>
      </c>
      <c r="AC559" s="648" t="s">
        <v>1654</v>
      </c>
      <c r="AD559" s="649" t="s">
        <v>1498</v>
      </c>
      <c r="AE559" s="246" t="s">
        <v>82</v>
      </c>
      <c r="AF559" s="246"/>
      <c r="AG559" s="246"/>
      <c r="AH559" s="246"/>
      <c r="AI559" s="246">
        <v>0</v>
      </c>
      <c r="AJ559" s="246">
        <v>0</v>
      </c>
      <c r="AK559" s="246"/>
      <c r="AL559" s="246"/>
      <c r="AM559" s="246"/>
      <c r="AN559" s="610">
        <f>I559*3</f>
        <v>16200</v>
      </c>
      <c r="AR559" s="650"/>
      <c r="AS559" s="548"/>
      <c r="AT559" s="548"/>
      <c r="AU559" s="548"/>
      <c r="AV559" s="548"/>
      <c r="AW559" s="650"/>
      <c r="AX559" s="548"/>
      <c r="AY559" s="548"/>
      <c r="AZ559" s="548"/>
      <c r="BA559" s="548"/>
      <c r="BB559" s="249">
        <f>I559/24*3</f>
        <v>675</v>
      </c>
      <c r="BC559" s="651"/>
      <c r="BD559" s="548"/>
      <c r="BE559" s="548"/>
      <c r="BF559" s="551">
        <f>AN559</f>
        <v>16200</v>
      </c>
      <c r="BH559" s="551">
        <f>AN559</f>
        <v>16200</v>
      </c>
      <c r="BI559" s="551">
        <f>I559</f>
        <v>5400</v>
      </c>
      <c r="BJ559" s="551">
        <f>I559/5</f>
        <v>1080</v>
      </c>
      <c r="BY559" s="650"/>
      <c r="BZ559" s="548"/>
      <c r="CA559" s="652"/>
      <c r="CB559" s="567"/>
      <c r="CC559" s="653"/>
      <c r="CD559" s="650"/>
      <c r="CE559" s="650"/>
      <c r="CF559" s="548"/>
      <c r="CG559" s="548"/>
      <c r="CU559" s="554">
        <f t="shared" si="165"/>
        <v>0</v>
      </c>
      <c r="CV559" s="551">
        <f t="shared" si="176"/>
        <v>0</v>
      </c>
      <c r="CW559" s="551">
        <f t="shared" si="177"/>
        <v>0</v>
      </c>
      <c r="CX559" s="650"/>
      <c r="CY559" s="650"/>
      <c r="CZ559" s="650"/>
      <c r="DA559" s="548"/>
      <c r="DB559" s="548"/>
      <c r="DC559" s="548"/>
      <c r="DD559" s="650"/>
      <c r="DE559" s="650"/>
      <c r="DF559" s="650"/>
      <c r="DG559" s="650"/>
      <c r="DH559" s="650"/>
    </row>
    <row r="560" s="548" customFormat="1" ht="31" customHeight="1" spans="1:112">
      <c r="A560" s="641">
        <v>45678</v>
      </c>
      <c r="B560" s="642" t="s">
        <v>1492</v>
      </c>
      <c r="C560" s="246" t="s">
        <v>98</v>
      </c>
      <c r="D560" s="551">
        <v>4500156328</v>
      </c>
      <c r="E560" s="643">
        <v>2620625280</v>
      </c>
      <c r="F560" s="551" t="s">
        <v>1656</v>
      </c>
      <c r="G560" s="246" t="s">
        <v>909</v>
      </c>
      <c r="H560" s="246" t="s">
        <v>830</v>
      </c>
      <c r="I560" s="246">
        <v>72</v>
      </c>
      <c r="J560" s="246">
        <v>0</v>
      </c>
      <c r="K560" s="246">
        <v>1</v>
      </c>
      <c r="L560" s="644">
        <f t="shared" si="179"/>
        <v>72</v>
      </c>
      <c r="M560" s="645">
        <v>45898</v>
      </c>
      <c r="N560" s="645">
        <v>45894</v>
      </c>
      <c r="O560" s="643"/>
      <c r="P560" s="643" t="s">
        <v>113</v>
      </c>
      <c r="Q560" s="654">
        <v>45903</v>
      </c>
      <c r="R560" s="646">
        <v>45832</v>
      </c>
      <c r="S560" s="646" t="s">
        <v>70</v>
      </c>
      <c r="T560" s="646" t="s">
        <v>70</v>
      </c>
      <c r="U560" s="646"/>
      <c r="V560" s="646"/>
      <c r="W560" s="615"/>
      <c r="X560" s="642" t="s">
        <v>1653</v>
      </c>
      <c r="Y560" s="642" t="s">
        <v>911</v>
      </c>
      <c r="Z560" s="642">
        <v>0</v>
      </c>
      <c r="AA560" s="647">
        <f t="shared" si="183"/>
        <v>0</v>
      </c>
      <c r="AC560" s="638" t="s">
        <v>1657</v>
      </c>
      <c r="AD560" s="649" t="s">
        <v>1498</v>
      </c>
      <c r="AE560" s="246" t="s">
        <v>82</v>
      </c>
      <c r="AF560" s="246"/>
      <c r="AG560" s="246"/>
      <c r="AH560" s="246"/>
      <c r="AI560" s="246">
        <v>0</v>
      </c>
      <c r="AJ560" s="246">
        <v>0</v>
      </c>
      <c r="AK560" s="246"/>
      <c r="AL560" s="246"/>
      <c r="AM560" s="246"/>
      <c r="AN560" s="246"/>
      <c r="AO560" s="548"/>
      <c r="AP560" s="548"/>
      <c r="AQ560" s="548"/>
      <c r="AR560" s="650"/>
      <c r="AS560" s="548"/>
      <c r="AT560" s="548"/>
      <c r="AU560" s="548"/>
      <c r="AV560" s="548"/>
      <c r="AW560" s="650"/>
      <c r="AX560" s="548"/>
      <c r="AY560" s="548"/>
      <c r="AZ560" s="548"/>
      <c r="BA560" s="548"/>
      <c r="BB560" s="249"/>
      <c r="BC560" s="651"/>
      <c r="BD560" s="548"/>
      <c r="BE560" s="548"/>
      <c r="BF560" s="548"/>
      <c r="BY560" s="650"/>
      <c r="BZ560" s="548"/>
      <c r="CA560" s="652"/>
      <c r="CB560" s="567"/>
      <c r="CC560" s="653"/>
      <c r="CD560" s="650"/>
      <c r="CE560" s="650"/>
      <c r="CF560" s="548"/>
      <c r="CG560" s="548"/>
      <c r="CU560" s="554">
        <f t="shared" si="165"/>
        <v>0</v>
      </c>
      <c r="CV560" s="551">
        <f t="shared" si="176"/>
        <v>0</v>
      </c>
      <c r="CW560" s="551">
        <f t="shared" si="177"/>
        <v>0</v>
      </c>
      <c r="CX560" s="650"/>
      <c r="CY560" s="650"/>
      <c r="CZ560" s="650"/>
      <c r="DA560" s="548"/>
      <c r="DB560" s="548"/>
      <c r="DC560" s="548"/>
      <c r="DD560" s="650"/>
      <c r="DE560" s="650"/>
      <c r="DF560" s="650"/>
      <c r="DG560" s="650"/>
      <c r="DH560" s="650"/>
    </row>
    <row r="561" s="548" customFormat="1" ht="31" customHeight="1" spans="1:112">
      <c r="A561" s="641">
        <v>45678</v>
      </c>
      <c r="B561" s="642" t="s">
        <v>1492</v>
      </c>
      <c r="C561" s="246" t="s">
        <v>98</v>
      </c>
      <c r="D561" s="551">
        <v>4500156328</v>
      </c>
      <c r="E561" s="643">
        <v>2620625280</v>
      </c>
      <c r="F561" s="551" t="s">
        <v>1656</v>
      </c>
      <c r="G561" s="246">
        <v>77711</v>
      </c>
      <c r="H561" s="246" t="s">
        <v>6033</v>
      </c>
      <c r="I561" s="246">
        <v>5400</v>
      </c>
      <c r="J561" s="246">
        <v>0</v>
      </c>
      <c r="K561" s="246">
        <v>75</v>
      </c>
      <c r="L561" s="644">
        <f t="shared" si="179"/>
        <v>72</v>
      </c>
      <c r="M561" s="645">
        <v>45898</v>
      </c>
      <c r="N561" s="645">
        <v>45894</v>
      </c>
      <c r="O561" s="643"/>
      <c r="P561" s="643" t="s">
        <v>113</v>
      </c>
      <c r="Q561" s="654">
        <v>45903</v>
      </c>
      <c r="R561" s="646">
        <v>45832</v>
      </c>
      <c r="S561" s="646" t="s">
        <v>70</v>
      </c>
      <c r="T561" s="646" t="s">
        <v>70</v>
      </c>
      <c r="U561" s="646"/>
      <c r="V561" s="646"/>
      <c r="W561" s="615"/>
      <c r="X561" s="642"/>
      <c r="Y561" s="642" t="s">
        <v>911</v>
      </c>
      <c r="Z561" s="642">
        <v>762.5</v>
      </c>
      <c r="AA561" s="647">
        <f t="shared" si="183"/>
        <v>54900</v>
      </c>
      <c r="AC561" s="638" t="s">
        <v>1657</v>
      </c>
      <c r="AD561" s="649" t="s">
        <v>1498</v>
      </c>
      <c r="AE561" s="246" t="s">
        <v>82</v>
      </c>
      <c r="AF561" s="246"/>
      <c r="AG561" s="246"/>
      <c r="AH561" s="246"/>
      <c r="AI561" s="246">
        <v>0</v>
      </c>
      <c r="AJ561" s="246">
        <v>0</v>
      </c>
      <c r="AK561" s="246"/>
      <c r="AL561" s="246"/>
      <c r="AM561" s="246"/>
      <c r="AN561" s="610">
        <f>I561*3</f>
        <v>16200</v>
      </c>
      <c r="AR561" s="650"/>
      <c r="AS561" s="548"/>
      <c r="AT561" s="548"/>
      <c r="AU561" s="548"/>
      <c r="AV561" s="548"/>
      <c r="AW561" s="650"/>
      <c r="AX561" s="548"/>
      <c r="AY561" s="548"/>
      <c r="AZ561" s="548"/>
      <c r="BA561" s="548"/>
      <c r="BB561" s="249">
        <f>I561/24*3</f>
        <v>675</v>
      </c>
      <c r="BC561" s="651"/>
      <c r="BD561" s="548"/>
      <c r="BE561" s="548"/>
      <c r="BF561" s="551">
        <f>AN561</f>
        <v>16200</v>
      </c>
      <c r="BH561" s="551">
        <f>AN561</f>
        <v>16200</v>
      </c>
      <c r="BI561" s="551">
        <f>I561</f>
        <v>5400</v>
      </c>
      <c r="BJ561" s="551">
        <f>I561/5</f>
        <v>1080</v>
      </c>
      <c r="BY561" s="650"/>
      <c r="BZ561" s="548"/>
      <c r="CA561" s="652"/>
      <c r="CB561" s="567"/>
      <c r="CC561" s="653"/>
      <c r="CD561" s="650"/>
      <c r="CE561" s="650"/>
      <c r="CF561" s="548"/>
      <c r="CG561" s="548"/>
      <c r="CU561" s="554">
        <f t="shared" si="165"/>
        <v>0</v>
      </c>
      <c r="CV561" s="551">
        <f t="shared" si="176"/>
        <v>0</v>
      </c>
      <c r="CW561" s="551">
        <f t="shared" si="177"/>
        <v>0</v>
      </c>
      <c r="CX561" s="650"/>
      <c r="CY561" s="650"/>
      <c r="CZ561" s="650"/>
      <c r="DA561" s="548"/>
      <c r="DB561" s="548"/>
      <c r="DC561" s="548"/>
      <c r="DD561" s="650"/>
      <c r="DE561" s="650"/>
      <c r="DF561" s="650"/>
      <c r="DG561" s="650"/>
      <c r="DH561" s="650"/>
    </row>
    <row r="562" s="548" customFormat="1" ht="31" customHeight="1" spans="1:112">
      <c r="A562" s="641">
        <v>45678</v>
      </c>
      <c r="B562" s="642" t="s">
        <v>1492</v>
      </c>
      <c r="C562" s="246" t="s">
        <v>98</v>
      </c>
      <c r="D562" s="551">
        <v>4500156330</v>
      </c>
      <c r="E562" s="643">
        <v>1790625260</v>
      </c>
      <c r="F562" s="551" t="s">
        <v>1686</v>
      </c>
      <c r="G562" s="246" t="s">
        <v>909</v>
      </c>
      <c r="H562" s="246" t="s">
        <v>830</v>
      </c>
      <c r="I562" s="246">
        <v>72</v>
      </c>
      <c r="J562" s="246">
        <v>0</v>
      </c>
      <c r="K562" s="246">
        <v>1</v>
      </c>
      <c r="L562" s="644">
        <f t="shared" si="179"/>
        <v>72</v>
      </c>
      <c r="M562" s="645">
        <v>45906</v>
      </c>
      <c r="N562" s="645">
        <v>45902</v>
      </c>
      <c r="O562" s="643"/>
      <c r="P562" s="643" t="s">
        <v>113</v>
      </c>
      <c r="Q562" s="246"/>
      <c r="R562" s="646">
        <v>45832</v>
      </c>
      <c r="S562" s="646" t="s">
        <v>70</v>
      </c>
      <c r="T562" s="646" t="s">
        <v>70</v>
      </c>
      <c r="U562" s="646"/>
      <c r="V562" s="646"/>
      <c r="W562" s="615"/>
      <c r="X562" s="642" t="s">
        <v>1653</v>
      </c>
      <c r="Y562" s="642" t="s">
        <v>911</v>
      </c>
      <c r="Z562" s="642">
        <v>0</v>
      </c>
      <c r="AA562" s="647">
        <f t="shared" si="183"/>
        <v>0</v>
      </c>
      <c r="AC562" s="648" t="s">
        <v>1687</v>
      </c>
      <c r="AD562" s="649" t="s">
        <v>1498</v>
      </c>
      <c r="AE562" s="246" t="s">
        <v>82</v>
      </c>
      <c r="AF562" s="246"/>
      <c r="AG562" s="246"/>
      <c r="AH562" s="246"/>
      <c r="AI562" s="246">
        <v>0</v>
      </c>
      <c r="AJ562" s="246">
        <v>0</v>
      </c>
      <c r="AK562" s="246"/>
      <c r="AL562" s="246"/>
      <c r="AM562" s="246"/>
      <c r="AN562" s="246"/>
      <c r="AO562" s="548"/>
      <c r="AP562" s="548"/>
      <c r="AQ562" s="548"/>
      <c r="AR562" s="650"/>
      <c r="AS562" s="548"/>
      <c r="AT562" s="548"/>
      <c r="AU562" s="548"/>
      <c r="AV562" s="548"/>
      <c r="AW562" s="650"/>
      <c r="AX562" s="548"/>
      <c r="AY562" s="548"/>
      <c r="AZ562" s="548"/>
      <c r="BA562" s="548"/>
      <c r="BB562" s="249"/>
      <c r="BC562" s="651"/>
      <c r="BD562" s="548"/>
      <c r="BE562" s="548"/>
      <c r="BF562" s="548"/>
      <c r="BY562" s="650"/>
      <c r="BZ562" s="548"/>
      <c r="CA562" s="652"/>
      <c r="CB562" s="567"/>
      <c r="CC562" s="653"/>
      <c r="CD562" s="650"/>
      <c r="CE562" s="650"/>
      <c r="CF562" s="548"/>
      <c r="CG562" s="548"/>
      <c r="CU562" s="554">
        <f t="shared" si="165"/>
        <v>0</v>
      </c>
      <c r="CV562" s="551">
        <f t="shared" si="176"/>
        <v>0</v>
      </c>
      <c r="CW562" s="551">
        <f t="shared" si="177"/>
        <v>0</v>
      </c>
      <c r="CX562" s="650"/>
      <c r="CY562" s="650"/>
      <c r="CZ562" s="650"/>
      <c r="DA562" s="548"/>
      <c r="DB562" s="548"/>
      <c r="DC562" s="548"/>
      <c r="DD562" s="650"/>
      <c r="DE562" s="650"/>
      <c r="DF562" s="650"/>
      <c r="DG562" s="650"/>
      <c r="DH562" s="650"/>
    </row>
    <row r="563" s="548" customFormat="1" ht="31" customHeight="1" spans="1:112">
      <c r="A563" s="641">
        <v>45678</v>
      </c>
      <c r="B563" s="642" t="s">
        <v>1492</v>
      </c>
      <c r="C563" s="246" t="s">
        <v>98</v>
      </c>
      <c r="D563" s="551">
        <v>4500156330</v>
      </c>
      <c r="E563" s="643">
        <v>1790625260</v>
      </c>
      <c r="F563" s="551" t="s">
        <v>1686</v>
      </c>
      <c r="G563" s="246">
        <v>77711</v>
      </c>
      <c r="H563" s="246" t="s">
        <v>6033</v>
      </c>
      <c r="I563" s="246">
        <v>5400</v>
      </c>
      <c r="J563" s="246">
        <v>0</v>
      </c>
      <c r="K563" s="246">
        <v>75</v>
      </c>
      <c r="L563" s="644">
        <f t="shared" si="179"/>
        <v>72</v>
      </c>
      <c r="M563" s="645">
        <v>45906</v>
      </c>
      <c r="N563" s="645">
        <v>45902</v>
      </c>
      <c r="O563" s="643"/>
      <c r="P563" s="643" t="s">
        <v>113</v>
      </c>
      <c r="Q563" s="246"/>
      <c r="R563" s="646">
        <v>45832</v>
      </c>
      <c r="S563" s="646" t="s">
        <v>70</v>
      </c>
      <c r="T563" s="646" t="s">
        <v>70</v>
      </c>
      <c r="U563" s="646"/>
      <c r="V563" s="646"/>
      <c r="W563" s="615"/>
      <c r="X563" s="642"/>
      <c r="Y563" s="642" t="s">
        <v>911</v>
      </c>
      <c r="Z563" s="642">
        <v>762.5</v>
      </c>
      <c r="AA563" s="647">
        <f t="shared" si="183"/>
        <v>54900</v>
      </c>
      <c r="AC563" s="648" t="s">
        <v>1687</v>
      </c>
      <c r="AD563" s="649" t="s">
        <v>1498</v>
      </c>
      <c r="AE563" s="246" t="s">
        <v>82</v>
      </c>
      <c r="AF563" s="246"/>
      <c r="AG563" s="246"/>
      <c r="AH563" s="246"/>
      <c r="AI563" s="246">
        <v>0</v>
      </c>
      <c r="AJ563" s="246">
        <f t="shared" ref="AJ563:AJ568" si="184">AI563-I563</f>
        <v>-5400</v>
      </c>
      <c r="AK563" s="246"/>
      <c r="AL563" s="246"/>
      <c r="AM563" s="246"/>
      <c r="AN563" s="610">
        <f>I563*3</f>
        <v>16200</v>
      </c>
      <c r="AR563" s="650"/>
      <c r="AS563" s="548"/>
      <c r="AT563" s="548"/>
      <c r="AU563" s="548"/>
      <c r="AV563" s="548"/>
      <c r="AW563" s="650"/>
      <c r="AX563" s="548"/>
      <c r="AY563" s="548"/>
      <c r="AZ563" s="548"/>
      <c r="BA563" s="548"/>
      <c r="BB563" s="249">
        <f>I563/24*3</f>
        <v>675</v>
      </c>
      <c r="BC563" s="651"/>
      <c r="BD563" s="548"/>
      <c r="BE563" s="548"/>
      <c r="BF563" s="551">
        <f>AN563</f>
        <v>16200</v>
      </c>
      <c r="BH563" s="551">
        <f>AN563</f>
        <v>16200</v>
      </c>
      <c r="BI563" s="551">
        <f>I563</f>
        <v>5400</v>
      </c>
      <c r="BJ563" s="551">
        <f>I563/5</f>
        <v>1080</v>
      </c>
      <c r="BY563" s="650"/>
      <c r="BZ563" s="548"/>
      <c r="CA563" s="652"/>
      <c r="CB563" s="567"/>
      <c r="CC563" s="653"/>
      <c r="CD563" s="650"/>
      <c r="CE563" s="650"/>
      <c r="CF563" s="548"/>
      <c r="CG563" s="548"/>
      <c r="CU563" s="554">
        <f t="shared" si="165"/>
        <v>0</v>
      </c>
      <c r="CV563" s="551">
        <f t="shared" si="176"/>
        <v>0</v>
      </c>
      <c r="CW563" s="551">
        <f t="shared" si="177"/>
        <v>0</v>
      </c>
      <c r="CX563" s="650"/>
      <c r="CY563" s="650"/>
      <c r="CZ563" s="650"/>
      <c r="DA563" s="548"/>
      <c r="DB563" s="548"/>
      <c r="DC563" s="548"/>
      <c r="DD563" s="650"/>
      <c r="DE563" s="650"/>
      <c r="DF563" s="650"/>
      <c r="DG563" s="650"/>
      <c r="DH563" s="650"/>
    </row>
    <row r="564" s="548" customFormat="1" ht="31" customHeight="1" spans="1:112">
      <c r="A564" s="641">
        <v>45868</v>
      </c>
      <c r="B564" s="642" t="s">
        <v>1906</v>
      </c>
      <c r="C564" s="246" t="s">
        <v>154</v>
      </c>
      <c r="D564" s="551">
        <v>4500175520</v>
      </c>
      <c r="E564" s="246">
        <v>5200007335</v>
      </c>
      <c r="F564" s="551" t="s">
        <v>7405</v>
      </c>
      <c r="G564" s="246" t="s">
        <v>6120</v>
      </c>
      <c r="H564" s="246" t="s">
        <v>6094</v>
      </c>
      <c r="I564" s="246">
        <v>3601</v>
      </c>
      <c r="J564" s="246">
        <v>0</v>
      </c>
      <c r="K564" s="246">
        <v>13</v>
      </c>
      <c r="L564" s="644">
        <f t="shared" si="179"/>
        <v>277</v>
      </c>
      <c r="M564" s="645">
        <v>45910</v>
      </c>
      <c r="N564" s="645">
        <v>45906</v>
      </c>
      <c r="O564" s="643"/>
      <c r="P564" s="643" t="s">
        <v>113</v>
      </c>
      <c r="Q564" s="246"/>
      <c r="R564" s="646">
        <v>45868</v>
      </c>
      <c r="S564" s="646" t="s">
        <v>70</v>
      </c>
      <c r="T564" s="646" t="s">
        <v>6121</v>
      </c>
      <c r="U564" s="646"/>
      <c r="V564" s="646"/>
      <c r="W564" s="615"/>
      <c r="X564" s="642" t="s">
        <v>7406</v>
      </c>
      <c r="Y564" s="642" t="s">
        <v>977</v>
      </c>
      <c r="Z564" s="655">
        <v>0.8947</v>
      </c>
      <c r="AA564" s="647">
        <f>Z564*I564</f>
        <v>3221.8147</v>
      </c>
      <c r="AC564" s="648" t="s">
        <v>7407</v>
      </c>
      <c r="AD564" s="246" t="s">
        <v>6093</v>
      </c>
      <c r="AE564" s="246" t="s">
        <v>82</v>
      </c>
      <c r="AF564" s="246"/>
      <c r="AG564" s="246"/>
      <c r="AH564" s="246"/>
      <c r="AI564" s="246">
        <f>3588+13</f>
        <v>3601</v>
      </c>
      <c r="AJ564" s="246">
        <f t="shared" si="184"/>
        <v>0</v>
      </c>
      <c r="AK564" s="246"/>
      <c r="AL564" s="246"/>
      <c r="AM564" s="246"/>
      <c r="AN564" s="246"/>
      <c r="AO564" s="551">
        <f>I564</f>
        <v>3601</v>
      </c>
      <c r="AR564" s="650"/>
      <c r="AS564" s="548"/>
      <c r="AT564" s="554">
        <f>I564</f>
        <v>3601</v>
      </c>
      <c r="AU564" s="551"/>
      <c r="AV564" s="554">
        <f>I564</f>
        <v>3601</v>
      </c>
      <c r="AW564" s="650"/>
      <c r="AX564" s="551"/>
      <c r="AY564" s="548"/>
      <c r="AZ564" s="551"/>
      <c r="BA564" s="551"/>
      <c r="BB564" s="620">
        <f>I564/24</f>
        <v>150.041666666667</v>
      </c>
      <c r="BC564" s="651"/>
      <c r="BD564" s="548"/>
      <c r="BE564" s="548"/>
      <c r="BF564" s="548"/>
      <c r="BM564" s="554">
        <f>I564/13</f>
        <v>277</v>
      </c>
      <c r="BY564" s="650"/>
      <c r="BZ564" s="548"/>
      <c r="CA564" s="652"/>
      <c r="CB564" s="567"/>
      <c r="CC564" s="653"/>
      <c r="CD564" s="650"/>
      <c r="CE564" s="650"/>
      <c r="CF564" s="548"/>
      <c r="CG564" s="548"/>
      <c r="CU564" s="554">
        <f t="shared" si="165"/>
        <v>0</v>
      </c>
      <c r="CV564" s="551">
        <f t="shared" si="176"/>
        <v>0</v>
      </c>
      <c r="CW564" s="551">
        <f t="shared" si="177"/>
        <v>0</v>
      </c>
      <c r="CX564" s="650"/>
      <c r="CY564" s="650"/>
      <c r="CZ564" s="650"/>
      <c r="DA564" s="548"/>
      <c r="DB564" s="548"/>
      <c r="DC564" s="548"/>
      <c r="DD564" s="650"/>
      <c r="DE564" s="650"/>
      <c r="DF564" s="650"/>
      <c r="DG564" s="650"/>
      <c r="DH564" s="650"/>
    </row>
    <row r="565" s="548" customFormat="1" ht="31" customHeight="1" spans="1:112">
      <c r="A565" s="641">
        <v>45870</v>
      </c>
      <c r="B565" s="642" t="s">
        <v>1728</v>
      </c>
      <c r="C565" s="246" t="s">
        <v>154</v>
      </c>
      <c r="D565" s="551">
        <v>4500175786</v>
      </c>
      <c r="E565" s="246">
        <v>4400500675</v>
      </c>
      <c r="F565" s="551" t="s">
        <v>7408</v>
      </c>
      <c r="G565" s="246" t="s">
        <v>6047</v>
      </c>
      <c r="H565" s="246" t="s">
        <v>6069</v>
      </c>
      <c r="I565" s="246">
        <v>5000</v>
      </c>
      <c r="J565" s="246">
        <v>0</v>
      </c>
      <c r="K565" s="246">
        <v>25</v>
      </c>
      <c r="L565" s="644">
        <f t="shared" si="179"/>
        <v>200</v>
      </c>
      <c r="M565" s="645">
        <v>45910</v>
      </c>
      <c r="N565" s="645">
        <v>45906</v>
      </c>
      <c r="O565" s="643"/>
      <c r="P565" s="643" t="s">
        <v>113</v>
      </c>
      <c r="Q565" s="246"/>
      <c r="R565" s="646">
        <v>45880</v>
      </c>
      <c r="S565" s="646" t="s">
        <v>70</v>
      </c>
      <c r="T565" s="646" t="s">
        <v>7409</v>
      </c>
      <c r="U565" s="646"/>
      <c r="V565" s="646"/>
      <c r="W565" s="615"/>
      <c r="X565" s="642" t="s">
        <v>7410</v>
      </c>
      <c r="Y565" s="642" t="s">
        <v>1549</v>
      </c>
      <c r="Z565" s="642">
        <v>0.9365</v>
      </c>
      <c r="AA565" s="647">
        <f>Z565*I565</f>
        <v>4682.5</v>
      </c>
      <c r="AC565" s="648" t="s">
        <v>7411</v>
      </c>
      <c r="AD565" s="246" t="s">
        <v>6073</v>
      </c>
      <c r="AE565" s="246" t="s">
        <v>82</v>
      </c>
      <c r="AF565" s="246"/>
      <c r="AG565" s="246"/>
      <c r="AH565" s="246"/>
      <c r="AI565" s="246">
        <v>5000</v>
      </c>
      <c r="AJ565" s="246">
        <f t="shared" si="184"/>
        <v>0</v>
      </c>
      <c r="AK565" s="246"/>
      <c r="AL565" s="246"/>
      <c r="AM565" s="246"/>
      <c r="AN565" s="246"/>
      <c r="AO565" s="551">
        <f>I565</f>
        <v>5000</v>
      </c>
      <c r="AR565" s="650"/>
      <c r="AS565" s="548"/>
      <c r="AT565" s="548"/>
      <c r="AU565" s="551"/>
      <c r="AV565" s="554">
        <f>I565</f>
        <v>5000</v>
      </c>
      <c r="AW565" s="650"/>
      <c r="AX565" s="551"/>
      <c r="AY565" s="548"/>
      <c r="AZ565" s="551"/>
      <c r="BA565" s="551"/>
      <c r="BB565" s="249">
        <f>I565/24*2</f>
        <v>416.666666666667</v>
      </c>
      <c r="BC565" s="651"/>
      <c r="BD565" s="548"/>
      <c r="BE565" s="551">
        <f>I565</f>
        <v>5000</v>
      </c>
      <c r="BP565" s="554">
        <f>I565/25</f>
        <v>200</v>
      </c>
      <c r="BY565" s="650"/>
      <c r="BZ565" s="548"/>
      <c r="CA565" s="652"/>
      <c r="CB565" s="567"/>
      <c r="CC565" s="653"/>
      <c r="CD565" s="650"/>
      <c r="CE565" s="650"/>
      <c r="CF565" s="548"/>
      <c r="CG565" s="548"/>
      <c r="CU565" s="554">
        <f t="shared" si="165"/>
        <v>200</v>
      </c>
      <c r="CV565" s="551">
        <f t="shared" si="176"/>
        <v>0</v>
      </c>
      <c r="CW565" s="551">
        <f t="shared" si="177"/>
        <v>0</v>
      </c>
      <c r="CX565" s="650"/>
      <c r="CY565" s="650"/>
      <c r="CZ565" s="650"/>
      <c r="DA565" s="548"/>
      <c r="DB565" s="548"/>
      <c r="DC565" s="548"/>
      <c r="DD565" s="650"/>
      <c r="DE565" s="650"/>
      <c r="DF565" s="650"/>
      <c r="DG565" s="650"/>
      <c r="DH565" s="650"/>
    </row>
    <row r="566" s="548" customFormat="1" ht="31" customHeight="1" spans="1:112">
      <c r="A566" s="641">
        <v>45870</v>
      </c>
      <c r="B566" s="642" t="s">
        <v>1728</v>
      </c>
      <c r="C566" s="246" t="s">
        <v>154</v>
      </c>
      <c r="D566" s="551">
        <v>4500175791</v>
      </c>
      <c r="E566" s="643">
        <v>4400500674</v>
      </c>
      <c r="F566" s="551" t="s">
        <v>7412</v>
      </c>
      <c r="G566" s="246" t="s">
        <v>6047</v>
      </c>
      <c r="H566" s="246" t="s">
        <v>6069</v>
      </c>
      <c r="I566" s="246">
        <v>5000</v>
      </c>
      <c r="J566" s="246">
        <v>0</v>
      </c>
      <c r="K566" s="246">
        <v>25</v>
      </c>
      <c r="L566" s="644">
        <f t="shared" si="179"/>
        <v>200</v>
      </c>
      <c r="M566" s="645">
        <v>45910</v>
      </c>
      <c r="N566" s="645">
        <v>45906</v>
      </c>
      <c r="O566" s="643"/>
      <c r="P566" s="643" t="s">
        <v>113</v>
      </c>
      <c r="Q566" s="246" t="s">
        <v>7413</v>
      </c>
      <c r="R566" s="646">
        <v>45880</v>
      </c>
      <c r="S566" s="646" t="s">
        <v>70</v>
      </c>
      <c r="T566" s="646" t="s">
        <v>7409</v>
      </c>
      <c r="U566" s="646"/>
      <c r="V566" s="646"/>
      <c r="W566" s="615"/>
      <c r="X566" s="642" t="s">
        <v>7414</v>
      </c>
      <c r="Y566" s="642" t="s">
        <v>1549</v>
      </c>
      <c r="Z566" s="642">
        <v>0.9365</v>
      </c>
      <c r="AA566" s="647">
        <f>Z566*I566</f>
        <v>4682.5</v>
      </c>
      <c r="AC566" s="648" t="s">
        <v>7415</v>
      </c>
      <c r="AD566" s="246" t="s">
        <v>6073</v>
      </c>
      <c r="AE566" s="246" t="s">
        <v>82</v>
      </c>
      <c r="AF566" s="246"/>
      <c r="AG566" s="246"/>
      <c r="AH566" s="246"/>
      <c r="AI566" s="246">
        <v>5000</v>
      </c>
      <c r="AJ566" s="246">
        <f t="shared" si="184"/>
        <v>0</v>
      </c>
      <c r="AK566" s="246"/>
      <c r="AL566" s="246"/>
      <c r="AM566" s="246"/>
      <c r="AN566" s="246"/>
      <c r="AO566" s="551">
        <f>I566</f>
        <v>5000</v>
      </c>
      <c r="AR566" s="650"/>
      <c r="AS566" s="548"/>
      <c r="AT566" s="548"/>
      <c r="AU566" s="551"/>
      <c r="AV566" s="554">
        <f>I566</f>
        <v>5000</v>
      </c>
      <c r="AW566" s="650"/>
      <c r="AX566" s="551"/>
      <c r="AY566" s="548"/>
      <c r="AZ566" s="551"/>
      <c r="BA566" s="551"/>
      <c r="BB566" s="249">
        <f>I566/24*2</f>
        <v>416.666666666667</v>
      </c>
      <c r="BC566" s="651"/>
      <c r="BD566" s="548"/>
      <c r="BE566" s="551">
        <f>I566</f>
        <v>5000</v>
      </c>
      <c r="BP566" s="554">
        <f>I566/25</f>
        <v>200</v>
      </c>
      <c r="BY566" s="650"/>
      <c r="BZ566" s="548"/>
      <c r="CA566" s="652"/>
      <c r="CB566" s="567"/>
      <c r="CC566" s="653"/>
      <c r="CD566" s="650"/>
      <c r="CE566" s="650"/>
      <c r="CF566" s="548"/>
      <c r="CG566" s="548"/>
      <c r="CU566" s="554">
        <f t="shared" si="165"/>
        <v>200</v>
      </c>
      <c r="CV566" s="551">
        <f t="shared" si="176"/>
        <v>0</v>
      </c>
      <c r="CW566" s="551">
        <f t="shared" si="177"/>
        <v>0</v>
      </c>
      <c r="CX566" s="650"/>
      <c r="CY566" s="650"/>
      <c r="CZ566" s="650"/>
      <c r="DA566" s="548"/>
      <c r="DB566" s="548"/>
      <c r="DC566" s="548"/>
      <c r="DD566" s="650"/>
      <c r="DE566" s="650"/>
      <c r="DF566" s="650"/>
      <c r="DG566" s="650"/>
      <c r="DH566" s="650"/>
    </row>
    <row r="567" s="548" customFormat="1" ht="31" customHeight="1" spans="1:112">
      <c r="A567" s="641">
        <v>45874</v>
      </c>
      <c r="B567" s="642" t="s">
        <v>2033</v>
      </c>
      <c r="C567" s="246" t="s">
        <v>399</v>
      </c>
      <c r="D567" s="551">
        <v>4500176001</v>
      </c>
      <c r="E567" s="643">
        <v>5200007418</v>
      </c>
      <c r="F567" s="551" t="s">
        <v>7416</v>
      </c>
      <c r="G567" s="246" t="s">
        <v>6467</v>
      </c>
      <c r="H567" s="246" t="s">
        <v>6080</v>
      </c>
      <c r="I567" s="246">
        <v>1200</v>
      </c>
      <c r="J567" s="246">
        <v>0</v>
      </c>
      <c r="K567" s="246">
        <v>30</v>
      </c>
      <c r="L567" s="644">
        <f t="shared" si="179"/>
        <v>40</v>
      </c>
      <c r="M567" s="645">
        <v>45910</v>
      </c>
      <c r="N567" s="645">
        <v>45906</v>
      </c>
      <c r="O567" s="643"/>
      <c r="P567" s="643" t="s">
        <v>113</v>
      </c>
      <c r="Q567" s="246"/>
      <c r="R567" s="646">
        <v>45877</v>
      </c>
      <c r="S567" s="646" t="s">
        <v>70</v>
      </c>
      <c r="T567" s="646" t="s">
        <v>6342</v>
      </c>
      <c r="U567" s="646"/>
      <c r="V567" s="646"/>
      <c r="W567" s="615"/>
      <c r="X567" s="642" t="s">
        <v>7417</v>
      </c>
      <c r="Y567" s="642" t="s">
        <v>2037</v>
      </c>
      <c r="Z567" s="642">
        <v>40.6757</v>
      </c>
      <c r="AA567" s="647">
        <f>Z567*L567</f>
        <v>1627.028</v>
      </c>
      <c r="AC567" s="648" t="s">
        <v>7418</v>
      </c>
      <c r="AD567" s="246" t="s">
        <v>6223</v>
      </c>
      <c r="AE567" s="246" t="s">
        <v>82</v>
      </c>
      <c r="AF567" s="246"/>
      <c r="AG567" s="246"/>
      <c r="AH567" s="246"/>
      <c r="AI567" s="246">
        <v>1200</v>
      </c>
      <c r="AJ567" s="246">
        <f t="shared" si="184"/>
        <v>0</v>
      </c>
      <c r="AK567" s="246"/>
      <c r="AL567" s="246"/>
      <c r="AM567" s="246"/>
      <c r="AN567" s="246"/>
      <c r="AO567" s="551">
        <f>I567</f>
        <v>1200</v>
      </c>
      <c r="AR567" s="650"/>
      <c r="AS567" s="548"/>
      <c r="AT567" s="554">
        <f>I567</f>
        <v>1200</v>
      </c>
      <c r="AU567" s="551"/>
      <c r="AV567" s="554">
        <f>I567</f>
        <v>1200</v>
      </c>
      <c r="AW567" s="650"/>
      <c r="AX567" s="551"/>
      <c r="AY567" s="548"/>
      <c r="AZ567" s="551"/>
      <c r="BA567" s="551"/>
      <c r="BB567" s="620">
        <f>I567/24</f>
        <v>50</v>
      </c>
      <c r="BC567" s="651"/>
      <c r="BD567" s="548"/>
      <c r="BE567" s="548"/>
      <c r="BF567" s="548"/>
      <c r="BY567" s="650"/>
      <c r="BZ567" s="548"/>
      <c r="CA567" s="652"/>
      <c r="CB567" s="567"/>
      <c r="CC567" s="653"/>
      <c r="CD567" s="650"/>
      <c r="CE567" s="650"/>
      <c r="CF567" s="548"/>
      <c r="CG567" s="548"/>
      <c r="CP567" s="554">
        <f>I567/30</f>
        <v>40</v>
      </c>
      <c r="CU567" s="554">
        <f t="shared" si="165"/>
        <v>0</v>
      </c>
      <c r="CV567" s="551">
        <f t="shared" si="176"/>
        <v>40</v>
      </c>
      <c r="CW567" s="551">
        <f t="shared" si="177"/>
        <v>0</v>
      </c>
      <c r="CX567" s="650"/>
      <c r="CY567" s="650"/>
      <c r="CZ567" s="650"/>
      <c r="DA567" s="548"/>
      <c r="DB567" s="548"/>
      <c r="DC567" s="548"/>
      <c r="DD567" s="650"/>
      <c r="DE567" s="650"/>
      <c r="DF567" s="650"/>
      <c r="DG567" s="650"/>
      <c r="DH567" s="650"/>
    </row>
    <row r="568" s="548" customFormat="1" ht="31" customHeight="1" spans="1:112">
      <c r="A568" s="641">
        <v>45874</v>
      </c>
      <c r="B568" s="642" t="s">
        <v>2033</v>
      </c>
      <c r="C568" s="246" t="s">
        <v>399</v>
      </c>
      <c r="D568" s="551">
        <v>4500176001</v>
      </c>
      <c r="E568" s="643">
        <v>5200007418</v>
      </c>
      <c r="F568" s="551" t="s">
        <v>7419</v>
      </c>
      <c r="G568" s="246" t="s">
        <v>6120</v>
      </c>
      <c r="H568" s="246" t="s">
        <v>6094</v>
      </c>
      <c r="I568" s="246">
        <v>1300</v>
      </c>
      <c r="J568" s="246">
        <v>0</v>
      </c>
      <c r="K568" s="246">
        <v>13</v>
      </c>
      <c r="L568" s="644">
        <f t="shared" si="179"/>
        <v>100</v>
      </c>
      <c r="M568" s="645">
        <v>45910</v>
      </c>
      <c r="N568" s="645">
        <v>45906</v>
      </c>
      <c r="O568" s="643"/>
      <c r="P568" s="643" t="s">
        <v>113</v>
      </c>
      <c r="Q568" s="246"/>
      <c r="R568" s="646">
        <v>45877</v>
      </c>
      <c r="S568" s="646" t="s">
        <v>70</v>
      </c>
      <c r="T568" s="646" t="s">
        <v>6342</v>
      </c>
      <c r="U568" s="646"/>
      <c r="V568" s="646"/>
      <c r="W568" s="615"/>
      <c r="X568" s="642" t="s">
        <v>7420</v>
      </c>
      <c r="Y568" s="642" t="s">
        <v>2037</v>
      </c>
      <c r="Z568" s="655">
        <v>0.9116</v>
      </c>
      <c r="AA568" s="647">
        <f>Z568*I568</f>
        <v>1185.08</v>
      </c>
      <c r="AC568" s="648" t="s">
        <v>7418</v>
      </c>
      <c r="AD568" s="246" t="s">
        <v>6093</v>
      </c>
      <c r="AE568" s="246" t="s">
        <v>82</v>
      </c>
      <c r="AF568" s="246"/>
      <c r="AG568" s="246"/>
      <c r="AH568" s="246"/>
      <c r="AI568" s="246">
        <v>1300</v>
      </c>
      <c r="AJ568" s="246">
        <f t="shared" si="184"/>
        <v>0</v>
      </c>
      <c r="AK568" s="246"/>
      <c r="AL568" s="246"/>
      <c r="AM568" s="246"/>
      <c r="AN568" s="246"/>
      <c r="AO568" s="551">
        <f>I568</f>
        <v>1300</v>
      </c>
      <c r="AR568" s="650"/>
      <c r="AS568" s="548"/>
      <c r="AT568" s="554">
        <f>I568</f>
        <v>1300</v>
      </c>
      <c r="AU568" s="551"/>
      <c r="AV568" s="554">
        <f>I568</f>
        <v>1300</v>
      </c>
      <c r="AW568" s="650"/>
      <c r="AX568" s="551"/>
      <c r="AY568" s="548"/>
      <c r="AZ568" s="551"/>
      <c r="BA568" s="551"/>
      <c r="BB568" s="620">
        <f>I568/24</f>
        <v>54.1666666666667</v>
      </c>
      <c r="BC568" s="651"/>
      <c r="BD568" s="548"/>
      <c r="BE568" s="548"/>
      <c r="BF568" s="548"/>
      <c r="BM568" s="554">
        <f>I568/13</f>
        <v>100</v>
      </c>
      <c r="BY568" s="650"/>
      <c r="BZ568" s="548"/>
      <c r="CA568" s="652"/>
      <c r="CB568" s="567"/>
      <c r="CC568" s="653"/>
      <c r="CD568" s="650"/>
      <c r="CE568" s="650"/>
      <c r="CF568" s="548"/>
      <c r="CG568" s="548"/>
      <c r="CU568" s="554">
        <f t="shared" si="165"/>
        <v>0</v>
      </c>
      <c r="CV568" s="551">
        <f t="shared" si="176"/>
        <v>0</v>
      </c>
      <c r="CW568" s="551">
        <f t="shared" si="177"/>
        <v>0</v>
      </c>
      <c r="CX568" s="650"/>
      <c r="CY568" s="650"/>
      <c r="CZ568" s="650"/>
      <c r="DA568" s="548"/>
      <c r="DB568" s="548"/>
      <c r="DC568" s="548"/>
      <c r="DD568" s="650"/>
      <c r="DE568" s="650"/>
      <c r="DF568" s="650"/>
      <c r="DG568" s="650"/>
      <c r="DH568" s="650"/>
    </row>
    <row r="569" s="548" customFormat="1" ht="31" customHeight="1" spans="1:112">
      <c r="A569" s="641">
        <v>45870</v>
      </c>
      <c r="B569" s="642" t="s">
        <v>1409</v>
      </c>
      <c r="C569" s="246" t="s">
        <v>524</v>
      </c>
      <c r="D569" s="551">
        <v>4500175843</v>
      </c>
      <c r="E569" s="246"/>
      <c r="F569" s="551" t="s">
        <v>7421</v>
      </c>
      <c r="G569" s="610" t="s">
        <v>6365</v>
      </c>
      <c r="H569" s="246" t="s">
        <v>6126</v>
      </c>
      <c r="I569" s="246">
        <v>180</v>
      </c>
      <c r="J569" s="246">
        <v>0</v>
      </c>
      <c r="K569" s="246">
        <v>12</v>
      </c>
      <c r="L569" s="644">
        <f t="shared" si="179"/>
        <v>15</v>
      </c>
      <c r="M569" s="645">
        <v>45912</v>
      </c>
      <c r="N569" s="645">
        <v>45908</v>
      </c>
      <c r="O569" s="643"/>
      <c r="P569" s="643" t="s">
        <v>113</v>
      </c>
      <c r="Q569" s="246"/>
      <c r="R569" s="646">
        <v>45875</v>
      </c>
      <c r="S569" s="646" t="s">
        <v>70</v>
      </c>
      <c r="T569" s="646" t="s">
        <v>457</v>
      </c>
      <c r="U569" s="646"/>
      <c r="V569" s="646"/>
      <c r="W569" s="615"/>
      <c r="X569" s="642" t="s">
        <v>7422</v>
      </c>
      <c r="Y569" s="642" t="s">
        <v>340</v>
      </c>
      <c r="Z569" s="655">
        <v>2.1629</v>
      </c>
      <c r="AA569" s="647">
        <f>Z569*I569</f>
        <v>389.322</v>
      </c>
      <c r="AC569" s="648" t="s">
        <v>7423</v>
      </c>
      <c r="AD569" s="246" t="s">
        <v>6368</v>
      </c>
      <c r="AE569" s="246" t="s">
        <v>82</v>
      </c>
      <c r="AF569" s="246"/>
      <c r="AG569" s="246"/>
      <c r="AH569" s="246"/>
      <c r="AI569" s="246">
        <v>180</v>
      </c>
      <c r="AJ569" s="246">
        <v>0</v>
      </c>
      <c r="AK569" s="246"/>
      <c r="AL569" s="246"/>
      <c r="AM569" s="246"/>
      <c r="AN569" s="246"/>
      <c r="AO569" s="554">
        <f>I569*2</f>
        <v>360</v>
      </c>
      <c r="AR569" s="650"/>
      <c r="AS569" s="548"/>
      <c r="AT569" s="554">
        <f>I569*2</f>
        <v>360</v>
      </c>
      <c r="AU569" s="551"/>
      <c r="AV569" s="554">
        <f>I569*2</f>
        <v>360</v>
      </c>
      <c r="AW569" s="650"/>
      <c r="AX569" s="548"/>
      <c r="AY569" s="548"/>
      <c r="AZ569" s="548"/>
      <c r="BA569" s="548"/>
      <c r="BB569" s="249">
        <f>I569/24*2</f>
        <v>15</v>
      </c>
      <c r="BC569" s="651"/>
      <c r="BD569" s="548"/>
      <c r="BE569" s="548"/>
      <c r="BF569" s="548"/>
      <c r="BY569" s="650"/>
      <c r="BZ569" s="548"/>
      <c r="CA569" s="652"/>
      <c r="CB569" s="567"/>
      <c r="CC569" s="653"/>
      <c r="CD569" s="650"/>
      <c r="CE569" s="650"/>
      <c r="CF569" s="548"/>
      <c r="CG569" s="548"/>
      <c r="CR569" s="554">
        <f>I569</f>
        <v>180</v>
      </c>
      <c r="CS569" s="554">
        <f>I569</f>
        <v>180</v>
      </c>
      <c r="CT569" s="554">
        <f>I569</f>
        <v>180</v>
      </c>
      <c r="CU569" s="554">
        <f t="shared" si="165"/>
        <v>0</v>
      </c>
      <c r="CV569" s="551">
        <f t="shared" si="176"/>
        <v>0</v>
      </c>
      <c r="CW569" s="551">
        <f t="shared" si="177"/>
        <v>0</v>
      </c>
      <c r="CX569" s="650"/>
      <c r="CY569" s="650"/>
      <c r="CZ569" s="650"/>
      <c r="DA569" s="548"/>
      <c r="DB569" s="548"/>
      <c r="DC569" s="548"/>
      <c r="DD569" s="650"/>
      <c r="DE569" s="650"/>
      <c r="DF569" s="650"/>
      <c r="DG569" s="650"/>
      <c r="DH569" s="650"/>
    </row>
    <row r="570" s="548" customFormat="1" ht="31" customHeight="1" spans="1:112">
      <c r="A570" s="641">
        <v>45800</v>
      </c>
      <c r="B570" s="642" t="s">
        <v>7043</v>
      </c>
      <c r="C570" s="246" t="s">
        <v>278</v>
      </c>
      <c r="D570" s="551">
        <v>4500167846</v>
      </c>
      <c r="E570" s="246"/>
      <c r="F570" s="551" t="s">
        <v>7424</v>
      </c>
      <c r="G570" s="246" t="s">
        <v>7045</v>
      </c>
      <c r="H570" s="246" t="s">
        <v>7046</v>
      </c>
      <c r="I570" s="656">
        <v>8775</v>
      </c>
      <c r="J570" s="246">
        <v>0</v>
      </c>
      <c r="K570" s="246">
        <v>975</v>
      </c>
      <c r="L570" s="644">
        <f t="shared" si="179"/>
        <v>9</v>
      </c>
      <c r="M570" s="645">
        <v>45915</v>
      </c>
      <c r="N570" s="645">
        <v>45911</v>
      </c>
      <c r="O570" s="643"/>
      <c r="P570" s="643" t="s">
        <v>113</v>
      </c>
      <c r="Q570" s="246"/>
      <c r="R570" s="646" t="s">
        <v>7425</v>
      </c>
      <c r="S570" s="646" t="s">
        <v>70</v>
      </c>
      <c r="T570" s="646" t="s">
        <v>70</v>
      </c>
      <c r="U570" s="646"/>
      <c r="V570" s="646"/>
      <c r="W570" s="615"/>
      <c r="X570" s="642" t="s">
        <v>7426</v>
      </c>
      <c r="Y570" s="642" t="s">
        <v>283</v>
      </c>
      <c r="Z570" s="642">
        <v>933.32</v>
      </c>
      <c r="AA570" s="647">
        <f>Z570*L570</f>
        <v>8399.88</v>
      </c>
      <c r="AC570" s="648" t="s">
        <v>7427</v>
      </c>
      <c r="AD570" s="246" t="s">
        <v>7045</v>
      </c>
      <c r="AE570" s="246" t="s">
        <v>82</v>
      </c>
      <c r="AF570" s="246"/>
      <c r="AG570" s="246"/>
      <c r="AH570" s="246"/>
      <c r="AI570" s="246">
        <v>8775</v>
      </c>
      <c r="AJ570" s="246">
        <f t="shared" ref="AJ570:AJ581" si="185">AI570-I570</f>
        <v>0</v>
      </c>
      <c r="AK570" s="246"/>
      <c r="AL570" s="246"/>
      <c r="AM570" s="246"/>
      <c r="AN570" s="246"/>
      <c r="AO570" s="551">
        <f t="shared" ref="AO570:AO575" si="186">I570</f>
        <v>8775</v>
      </c>
      <c r="AP570" s="554">
        <f>I570</f>
        <v>8775</v>
      </c>
      <c r="AR570" s="650"/>
      <c r="AS570" s="548"/>
      <c r="AT570" s="548"/>
      <c r="AU570" s="548"/>
      <c r="AV570" s="554">
        <f t="shared" ref="AV570:AV575" si="187">I570</f>
        <v>8775</v>
      </c>
      <c r="AW570" s="650"/>
      <c r="AX570" s="551"/>
      <c r="AY570" s="548"/>
      <c r="AZ570" s="551"/>
      <c r="BA570" s="551"/>
      <c r="BB570" s="249">
        <f>I570/24*2</f>
        <v>731.25</v>
      </c>
      <c r="BC570" s="651"/>
      <c r="BD570" s="548"/>
      <c r="BE570" s="548"/>
      <c r="BF570" s="548"/>
      <c r="BM570" s="554">
        <f t="shared" ref="BM570:BM575" si="188">I570/13</f>
        <v>675</v>
      </c>
      <c r="BY570" s="650"/>
      <c r="BZ570" s="548"/>
      <c r="CA570" s="652"/>
      <c r="CB570" s="567"/>
      <c r="CC570" s="653"/>
      <c r="CD570" s="650"/>
      <c r="CE570" s="650"/>
      <c r="CF570" s="548"/>
      <c r="CG570" s="548"/>
      <c r="CU570" s="554">
        <f t="shared" si="165"/>
        <v>0</v>
      </c>
      <c r="CV570" s="551">
        <f t="shared" si="176"/>
        <v>0</v>
      </c>
      <c r="CW570" s="551">
        <f t="shared" si="177"/>
        <v>0</v>
      </c>
      <c r="CX570" s="650"/>
      <c r="CY570" s="650"/>
      <c r="CZ570" s="650"/>
      <c r="DA570" s="548"/>
      <c r="DB570" s="548"/>
      <c r="DC570" s="548"/>
      <c r="DD570" s="650"/>
      <c r="DE570" s="650"/>
      <c r="DF570" s="650"/>
      <c r="DG570" s="650"/>
      <c r="DH570" s="650"/>
    </row>
    <row r="571" s="548" customFormat="1" ht="31" customHeight="1" spans="1:112">
      <c r="A571" s="641">
        <v>45802</v>
      </c>
      <c r="B571" s="642" t="s">
        <v>7043</v>
      </c>
      <c r="C571" s="246" t="s">
        <v>278</v>
      </c>
      <c r="D571" s="551">
        <v>4500167858</v>
      </c>
      <c r="E571" s="246"/>
      <c r="F571" s="551" t="s">
        <v>7428</v>
      </c>
      <c r="G571" s="246" t="s">
        <v>7045</v>
      </c>
      <c r="H571" s="246" t="s">
        <v>7046</v>
      </c>
      <c r="I571" s="246">
        <v>3900</v>
      </c>
      <c r="J571" s="246">
        <v>0</v>
      </c>
      <c r="K571" s="246">
        <v>975</v>
      </c>
      <c r="L571" s="644">
        <f t="shared" si="179"/>
        <v>4</v>
      </c>
      <c r="M571" s="645">
        <v>45915</v>
      </c>
      <c r="N571" s="645">
        <v>45911</v>
      </c>
      <c r="O571" s="643"/>
      <c r="P571" s="643" t="s">
        <v>113</v>
      </c>
      <c r="Q571" s="246" t="s">
        <v>7429</v>
      </c>
      <c r="R571" s="646" t="s">
        <v>7430</v>
      </c>
      <c r="S571" s="646" t="s">
        <v>70</v>
      </c>
      <c r="T571" s="646" t="s">
        <v>70</v>
      </c>
      <c r="U571" s="646"/>
      <c r="V571" s="646"/>
      <c r="W571" s="615"/>
      <c r="X571" s="642" t="s">
        <v>7431</v>
      </c>
      <c r="Y571" s="645" t="s">
        <v>283</v>
      </c>
      <c r="Z571" s="657">
        <v>933.32</v>
      </c>
      <c r="AA571" s="647">
        <f>Z571*L571</f>
        <v>3733.28</v>
      </c>
      <c r="AC571" s="648" t="s">
        <v>7432</v>
      </c>
      <c r="AD571" s="246" t="s">
        <v>7045</v>
      </c>
      <c r="AE571" s="246" t="s">
        <v>82</v>
      </c>
      <c r="AF571" s="246"/>
      <c r="AG571" s="246"/>
      <c r="AH571" s="246"/>
      <c r="AI571" s="246">
        <v>3900</v>
      </c>
      <c r="AJ571" s="246">
        <f t="shared" si="185"/>
        <v>0</v>
      </c>
      <c r="AK571" s="246"/>
      <c r="AL571" s="246"/>
      <c r="AM571" s="246"/>
      <c r="AN571" s="246"/>
      <c r="AO571" s="551">
        <f t="shared" si="186"/>
        <v>3900</v>
      </c>
      <c r="AP571" s="554">
        <f>I571</f>
        <v>3900</v>
      </c>
      <c r="AR571" s="650"/>
      <c r="AS571" s="548"/>
      <c r="AT571" s="548"/>
      <c r="AU571" s="548"/>
      <c r="AV571" s="554">
        <f t="shared" si="187"/>
        <v>3900</v>
      </c>
      <c r="AW571" s="650"/>
      <c r="AX571" s="551"/>
      <c r="AY571" s="548"/>
      <c r="AZ571" s="548"/>
      <c r="BA571" s="548"/>
      <c r="BB571" s="249">
        <f>I571/24*2</f>
        <v>325</v>
      </c>
      <c r="BC571" s="651"/>
      <c r="BD571" s="548"/>
      <c r="BE571" s="548"/>
      <c r="BF571" s="548"/>
      <c r="BM571" s="554">
        <f t="shared" si="188"/>
        <v>300</v>
      </c>
      <c r="BY571" s="650"/>
      <c r="BZ571" s="548"/>
      <c r="CA571" s="652"/>
      <c r="CB571" s="567"/>
      <c r="CC571" s="653"/>
      <c r="CD571" s="650"/>
      <c r="CE571" s="650"/>
      <c r="CF571" s="548"/>
      <c r="CG571" s="548"/>
      <c r="CU571" s="554">
        <f t="shared" si="165"/>
        <v>0</v>
      </c>
      <c r="CV571" s="551">
        <f t="shared" si="176"/>
        <v>0</v>
      </c>
      <c r="CW571" s="551">
        <f t="shared" si="177"/>
        <v>0</v>
      </c>
      <c r="CX571" s="650"/>
      <c r="CY571" s="650"/>
      <c r="CZ571" s="650"/>
      <c r="DA571" s="548"/>
      <c r="DB571" s="548"/>
      <c r="DC571" s="548"/>
      <c r="DD571" s="650"/>
      <c r="DE571" s="650"/>
      <c r="DF571" s="650"/>
      <c r="DG571" s="650"/>
      <c r="DH571" s="650"/>
    </row>
    <row r="572" s="548" customFormat="1" ht="31" customHeight="1" spans="1:112">
      <c r="A572" s="641">
        <v>45873</v>
      </c>
      <c r="B572" s="642" t="s">
        <v>139</v>
      </c>
      <c r="C572" s="246" t="s">
        <v>76</v>
      </c>
      <c r="D572" s="551">
        <v>4500175925</v>
      </c>
      <c r="E572" s="246">
        <v>21012352</v>
      </c>
      <c r="F572" s="551" t="s">
        <v>7433</v>
      </c>
      <c r="G572" s="246" t="s">
        <v>6093</v>
      </c>
      <c r="H572" s="246" t="s">
        <v>6094</v>
      </c>
      <c r="I572" s="246">
        <v>117</v>
      </c>
      <c r="J572" s="246">
        <v>0</v>
      </c>
      <c r="K572" s="246">
        <v>13</v>
      </c>
      <c r="L572" s="644">
        <f t="shared" si="179"/>
        <v>9</v>
      </c>
      <c r="M572" s="645">
        <v>45915</v>
      </c>
      <c r="N572" s="645">
        <v>45911</v>
      </c>
      <c r="O572" s="643"/>
      <c r="P572" s="643" t="s">
        <v>113</v>
      </c>
      <c r="Q572" s="654">
        <v>45917</v>
      </c>
      <c r="R572" s="646">
        <v>45883</v>
      </c>
      <c r="S572" s="646" t="s">
        <v>104</v>
      </c>
      <c r="T572" s="646">
        <v>45894</v>
      </c>
      <c r="U572" s="646"/>
      <c r="V572" s="646"/>
      <c r="W572" s="615"/>
      <c r="X572" s="642" t="s">
        <v>7012</v>
      </c>
      <c r="Y572" s="642" t="s">
        <v>7434</v>
      </c>
      <c r="Z572" s="655">
        <v>0.9526</v>
      </c>
      <c r="AA572" s="647">
        <f>Z572*I572</f>
        <v>111.4542</v>
      </c>
      <c r="AC572" s="658" t="s">
        <v>7435</v>
      </c>
      <c r="AD572" s="246" t="s">
        <v>6093</v>
      </c>
      <c r="AE572" s="246" t="s">
        <v>82</v>
      </c>
      <c r="AF572" s="246"/>
      <c r="AG572" s="246"/>
      <c r="AH572" s="246"/>
      <c r="AI572" s="246">
        <v>117</v>
      </c>
      <c r="AJ572" s="246">
        <f t="shared" si="185"/>
        <v>0</v>
      </c>
      <c r="AK572" s="246"/>
      <c r="AL572" s="246"/>
      <c r="AM572" s="246"/>
      <c r="AN572" s="246"/>
      <c r="AO572" s="551">
        <f t="shared" si="186"/>
        <v>117</v>
      </c>
      <c r="AR572" s="650"/>
      <c r="AS572" s="548"/>
      <c r="AT572" s="554">
        <f>I572</f>
        <v>117</v>
      </c>
      <c r="AV572" s="554">
        <f t="shared" si="187"/>
        <v>117</v>
      </c>
      <c r="AW572" s="650"/>
      <c r="AX572" s="548"/>
      <c r="AY572" s="548"/>
      <c r="AZ572" s="548"/>
      <c r="BA572" s="548"/>
      <c r="BB572" s="620">
        <f>I572/24</f>
        <v>4.875</v>
      </c>
      <c r="BC572" s="651"/>
      <c r="BD572" s="548"/>
      <c r="BE572" s="548"/>
      <c r="BF572" s="548"/>
      <c r="BK572" s="246"/>
      <c r="BL572" s="548"/>
      <c r="BM572" s="554">
        <f t="shared" si="188"/>
        <v>9</v>
      </c>
      <c r="BY572" s="650"/>
      <c r="BZ572" s="548"/>
      <c r="CA572" s="652"/>
      <c r="CB572" s="567"/>
      <c r="CC572" s="653"/>
      <c r="CD572" s="650"/>
      <c r="CE572" s="650"/>
      <c r="CF572" s="548"/>
      <c r="CG572" s="548"/>
      <c r="CU572" s="554">
        <f t="shared" si="165"/>
        <v>0</v>
      </c>
      <c r="CV572" s="551">
        <f t="shared" si="176"/>
        <v>0</v>
      </c>
      <c r="CW572" s="551">
        <f t="shared" si="177"/>
        <v>0</v>
      </c>
      <c r="CX572" s="650"/>
      <c r="CY572" s="650"/>
      <c r="CZ572" s="650"/>
      <c r="DA572" s="548"/>
      <c r="DB572" s="548"/>
      <c r="DC572" s="548"/>
      <c r="DD572" s="650"/>
      <c r="DE572" s="650"/>
      <c r="DF572" s="650"/>
      <c r="DG572" s="650"/>
      <c r="DH572" s="650"/>
    </row>
    <row r="573" s="548" customFormat="1" ht="31" customHeight="1" spans="1:112">
      <c r="A573" s="641">
        <v>45873</v>
      </c>
      <c r="B573" s="642" t="s">
        <v>139</v>
      </c>
      <c r="C573" s="246" t="s">
        <v>76</v>
      </c>
      <c r="D573" s="551">
        <v>4500175925</v>
      </c>
      <c r="E573" s="246">
        <v>21012357</v>
      </c>
      <c r="F573" s="551" t="s">
        <v>7436</v>
      </c>
      <c r="G573" s="246" t="s">
        <v>6093</v>
      </c>
      <c r="H573" s="246" t="s">
        <v>6094</v>
      </c>
      <c r="I573" s="246">
        <v>143</v>
      </c>
      <c r="J573" s="246">
        <v>0</v>
      </c>
      <c r="K573" s="246">
        <v>13</v>
      </c>
      <c r="L573" s="644">
        <f t="shared" si="179"/>
        <v>11</v>
      </c>
      <c r="M573" s="645">
        <v>45915</v>
      </c>
      <c r="N573" s="645">
        <v>45911</v>
      </c>
      <c r="O573" s="643"/>
      <c r="P573" s="643" t="s">
        <v>113</v>
      </c>
      <c r="Q573" s="654">
        <v>45917</v>
      </c>
      <c r="R573" s="646">
        <v>45883</v>
      </c>
      <c r="S573" s="646" t="s">
        <v>104</v>
      </c>
      <c r="T573" s="646">
        <v>45894</v>
      </c>
      <c r="U573" s="646"/>
      <c r="V573" s="646"/>
      <c r="W573" s="615"/>
      <c r="X573" s="642" t="s">
        <v>7012</v>
      </c>
      <c r="Y573" s="642" t="s">
        <v>7434</v>
      </c>
      <c r="Z573" s="655">
        <v>0.9526</v>
      </c>
      <c r="AA573" s="647">
        <f>Z573*I573</f>
        <v>136.2218</v>
      </c>
      <c r="AC573" s="658" t="s">
        <v>7435</v>
      </c>
      <c r="AD573" s="246" t="s">
        <v>6093</v>
      </c>
      <c r="AE573" s="246" t="s">
        <v>82</v>
      </c>
      <c r="AF573" s="246"/>
      <c r="AG573" s="246"/>
      <c r="AH573" s="246"/>
      <c r="AI573" s="246">
        <v>143</v>
      </c>
      <c r="AJ573" s="246">
        <f t="shared" si="185"/>
        <v>0</v>
      </c>
      <c r="AK573" s="246"/>
      <c r="AL573" s="246"/>
      <c r="AM573" s="246"/>
      <c r="AN573" s="246"/>
      <c r="AO573" s="551">
        <f t="shared" si="186"/>
        <v>143</v>
      </c>
      <c r="AR573" s="650"/>
      <c r="AS573" s="548"/>
      <c r="AT573" s="554">
        <f>I573</f>
        <v>143</v>
      </c>
      <c r="AV573" s="554">
        <f t="shared" si="187"/>
        <v>143</v>
      </c>
      <c r="AW573" s="650"/>
      <c r="AX573" s="548"/>
      <c r="AY573" s="548"/>
      <c r="AZ573" s="548"/>
      <c r="BA573" s="548"/>
      <c r="BB573" s="620">
        <f>I573/24</f>
        <v>5.95833333333333</v>
      </c>
      <c r="BC573" s="651"/>
      <c r="BD573" s="548"/>
      <c r="BE573" s="548"/>
      <c r="BF573" s="548"/>
      <c r="BK573" s="246"/>
      <c r="BL573" s="548"/>
      <c r="BM573" s="554">
        <f t="shared" si="188"/>
        <v>11</v>
      </c>
      <c r="BY573" s="650"/>
      <c r="BZ573" s="548"/>
      <c r="CA573" s="652"/>
      <c r="CB573" s="567"/>
      <c r="CC573" s="653"/>
      <c r="CD573" s="650"/>
      <c r="CE573" s="650"/>
      <c r="CF573" s="548"/>
      <c r="CG573" s="548"/>
      <c r="CU573" s="554">
        <f t="shared" si="165"/>
        <v>0</v>
      </c>
      <c r="CV573" s="551">
        <f t="shared" si="176"/>
        <v>0</v>
      </c>
      <c r="CW573" s="551">
        <f t="shared" si="177"/>
        <v>0</v>
      </c>
      <c r="CX573" s="650"/>
      <c r="CY573" s="650"/>
      <c r="CZ573" s="650"/>
      <c r="DA573" s="548"/>
      <c r="DB573" s="548"/>
      <c r="DC573" s="548"/>
      <c r="DD573" s="650"/>
      <c r="DE573" s="650"/>
      <c r="DF573" s="650"/>
      <c r="DG573" s="650"/>
      <c r="DH573" s="650"/>
    </row>
    <row r="574" s="548" customFormat="1" ht="31" customHeight="1" spans="1:112">
      <c r="A574" s="641">
        <v>45873</v>
      </c>
      <c r="B574" s="642" t="s">
        <v>135</v>
      </c>
      <c r="C574" s="246" t="s">
        <v>128</v>
      </c>
      <c r="D574" s="551">
        <v>4500175924</v>
      </c>
      <c r="E574" s="246">
        <v>21012351</v>
      </c>
      <c r="F574" s="551" t="s">
        <v>7437</v>
      </c>
      <c r="G574" s="246" t="s">
        <v>6093</v>
      </c>
      <c r="H574" s="246" t="s">
        <v>6094</v>
      </c>
      <c r="I574" s="246">
        <v>2275</v>
      </c>
      <c r="J574" s="246">
        <v>0</v>
      </c>
      <c r="K574" s="246">
        <v>13</v>
      </c>
      <c r="L574" s="644">
        <f t="shared" si="179"/>
        <v>175</v>
      </c>
      <c r="M574" s="645">
        <v>45915</v>
      </c>
      <c r="N574" s="645">
        <v>45911</v>
      </c>
      <c r="O574" s="643"/>
      <c r="P574" s="643" t="s">
        <v>113</v>
      </c>
      <c r="Q574" s="654">
        <v>45917</v>
      </c>
      <c r="R574" s="646">
        <v>45883</v>
      </c>
      <c r="S574" s="646" t="s">
        <v>104</v>
      </c>
      <c r="T574" s="646">
        <v>45894</v>
      </c>
      <c r="U574" s="646"/>
      <c r="V574" s="646"/>
      <c r="W574" s="615"/>
      <c r="X574" s="642" t="s">
        <v>6288</v>
      </c>
      <c r="Y574" s="642" t="s">
        <v>7434</v>
      </c>
      <c r="Z574" s="655">
        <v>0.9475</v>
      </c>
      <c r="AA574" s="647">
        <f>Z574*I574</f>
        <v>2155.5625</v>
      </c>
      <c r="AC574" s="658" t="s">
        <v>7438</v>
      </c>
      <c r="AD574" s="246" t="s">
        <v>6093</v>
      </c>
      <c r="AE574" s="246" t="s">
        <v>82</v>
      </c>
      <c r="AF574" s="246"/>
      <c r="AG574" s="246"/>
      <c r="AH574" s="246"/>
      <c r="AI574" s="246">
        <v>2275</v>
      </c>
      <c r="AJ574" s="246">
        <f t="shared" si="185"/>
        <v>0</v>
      </c>
      <c r="AK574" s="246"/>
      <c r="AL574" s="246"/>
      <c r="AM574" s="246"/>
      <c r="AN574" s="246"/>
      <c r="AO574" s="551">
        <f t="shared" si="186"/>
        <v>2275</v>
      </c>
      <c r="AR574" s="650"/>
      <c r="AS574" s="548"/>
      <c r="AT574" s="554">
        <f>I574</f>
        <v>2275</v>
      </c>
      <c r="AV574" s="554">
        <f t="shared" si="187"/>
        <v>2275</v>
      </c>
      <c r="AW574" s="650"/>
      <c r="AX574" s="548"/>
      <c r="AY574" s="548"/>
      <c r="AZ574" s="548"/>
      <c r="BA574" s="548"/>
      <c r="BB574" s="620">
        <f>I574/24</f>
        <v>94.7916666666667</v>
      </c>
      <c r="BC574" s="651"/>
      <c r="BD574" s="548"/>
      <c r="BE574" s="548"/>
      <c r="BF574" s="548"/>
      <c r="BK574" s="246"/>
      <c r="BL574" s="548"/>
      <c r="BM574" s="554">
        <f t="shared" si="188"/>
        <v>175</v>
      </c>
      <c r="BY574" s="650"/>
      <c r="BZ574" s="548"/>
      <c r="CA574" s="652"/>
      <c r="CB574" s="567"/>
      <c r="CC574" s="653"/>
      <c r="CD574" s="650"/>
      <c r="CE574" s="650"/>
      <c r="CF574" s="548"/>
      <c r="CG574" s="548"/>
      <c r="CU574" s="554">
        <f t="shared" si="165"/>
        <v>0</v>
      </c>
      <c r="CV574" s="551">
        <f t="shared" si="176"/>
        <v>0</v>
      </c>
      <c r="CW574" s="551">
        <f t="shared" si="177"/>
        <v>0</v>
      </c>
      <c r="CX574" s="650"/>
      <c r="CY574" s="650"/>
      <c r="CZ574" s="650"/>
      <c r="DA574" s="548"/>
      <c r="DB574" s="548"/>
      <c r="DC574" s="548"/>
      <c r="DD574" s="650"/>
      <c r="DE574" s="650"/>
      <c r="DF574" s="650"/>
      <c r="DG574" s="650"/>
      <c r="DH574" s="650"/>
    </row>
    <row r="575" s="548" customFormat="1" ht="31" customHeight="1" spans="1:112">
      <c r="A575" s="641">
        <v>45873</v>
      </c>
      <c r="B575" s="642" t="s">
        <v>135</v>
      </c>
      <c r="C575" s="246" t="s">
        <v>128</v>
      </c>
      <c r="D575" s="551">
        <v>4500175924</v>
      </c>
      <c r="E575" s="246">
        <v>21012356</v>
      </c>
      <c r="F575" s="551" t="s">
        <v>7439</v>
      </c>
      <c r="G575" s="246" t="s">
        <v>6093</v>
      </c>
      <c r="H575" s="246" t="s">
        <v>6094</v>
      </c>
      <c r="I575" s="246">
        <v>1989</v>
      </c>
      <c r="J575" s="246">
        <v>0</v>
      </c>
      <c r="K575" s="246">
        <v>13</v>
      </c>
      <c r="L575" s="644">
        <f t="shared" si="179"/>
        <v>153</v>
      </c>
      <c r="M575" s="645">
        <v>45915</v>
      </c>
      <c r="N575" s="645">
        <v>45911</v>
      </c>
      <c r="O575" s="643"/>
      <c r="P575" s="643" t="s">
        <v>113</v>
      </c>
      <c r="Q575" s="654">
        <v>45917</v>
      </c>
      <c r="R575" s="646">
        <v>45883</v>
      </c>
      <c r="S575" s="646" t="s">
        <v>104</v>
      </c>
      <c r="T575" s="646">
        <v>45894</v>
      </c>
      <c r="U575" s="646"/>
      <c r="V575" s="646"/>
      <c r="W575" s="615"/>
      <c r="X575" s="642" t="s">
        <v>6288</v>
      </c>
      <c r="Y575" s="642" t="s">
        <v>7434</v>
      </c>
      <c r="Z575" s="655">
        <v>0.9475</v>
      </c>
      <c r="AA575" s="647">
        <f>Z575*I575</f>
        <v>1884.5775</v>
      </c>
      <c r="AC575" s="658" t="s">
        <v>7438</v>
      </c>
      <c r="AD575" s="246" t="s">
        <v>6093</v>
      </c>
      <c r="AE575" s="246" t="s">
        <v>82</v>
      </c>
      <c r="AF575" s="246"/>
      <c r="AG575" s="246"/>
      <c r="AH575" s="246"/>
      <c r="AI575" s="246">
        <v>1989</v>
      </c>
      <c r="AJ575" s="246">
        <f t="shared" si="185"/>
        <v>0</v>
      </c>
      <c r="AK575" s="246"/>
      <c r="AL575" s="246"/>
      <c r="AM575" s="246"/>
      <c r="AN575" s="246"/>
      <c r="AO575" s="551">
        <f t="shared" si="186"/>
        <v>1989</v>
      </c>
      <c r="AR575" s="650"/>
      <c r="AS575" s="548"/>
      <c r="AT575" s="554">
        <f>I575</f>
        <v>1989</v>
      </c>
      <c r="AV575" s="554">
        <f t="shared" si="187"/>
        <v>1989</v>
      </c>
      <c r="AW575" s="650"/>
      <c r="AX575" s="548"/>
      <c r="AY575" s="548"/>
      <c r="AZ575" s="548"/>
      <c r="BA575" s="548"/>
      <c r="BB575" s="620">
        <f>I575/24</f>
        <v>82.875</v>
      </c>
      <c r="BC575" s="651"/>
      <c r="BD575" s="548"/>
      <c r="BE575" s="548"/>
      <c r="BF575" s="548"/>
      <c r="BK575" s="246"/>
      <c r="BL575" s="548"/>
      <c r="BM575" s="554">
        <f t="shared" si="188"/>
        <v>153</v>
      </c>
      <c r="BY575" s="650"/>
      <c r="BZ575" s="548"/>
      <c r="CA575" s="652"/>
      <c r="CB575" s="567"/>
      <c r="CC575" s="653"/>
      <c r="CD575" s="650"/>
      <c r="CE575" s="650"/>
      <c r="CF575" s="548"/>
      <c r="CG575" s="548"/>
      <c r="CU575" s="554">
        <f t="shared" si="165"/>
        <v>0</v>
      </c>
      <c r="CV575" s="551">
        <f t="shared" si="176"/>
        <v>0</v>
      </c>
      <c r="CW575" s="551">
        <f t="shared" si="177"/>
        <v>0</v>
      </c>
      <c r="CX575" s="650"/>
      <c r="CY575" s="650"/>
      <c r="CZ575" s="650"/>
      <c r="DA575" s="548"/>
      <c r="DB575" s="548"/>
      <c r="DC575" s="548"/>
      <c r="DD575" s="650"/>
      <c r="DE575" s="650"/>
      <c r="DF575" s="650"/>
      <c r="DG575" s="650"/>
      <c r="DH575" s="650"/>
    </row>
    <row r="576" s="548" customFormat="1" ht="31" customHeight="1" spans="1:112">
      <c r="A576" s="641">
        <v>45867</v>
      </c>
      <c r="B576" s="609" t="s">
        <v>246</v>
      </c>
      <c r="C576" s="246" t="s">
        <v>98</v>
      </c>
      <c r="D576" s="551">
        <v>4500173789</v>
      </c>
      <c r="E576" s="246" t="s">
        <v>1715</v>
      </c>
      <c r="F576" s="551" t="s">
        <v>7440</v>
      </c>
      <c r="G576" s="659" t="s">
        <v>6084</v>
      </c>
      <c r="H576" s="246" t="s">
        <v>6069</v>
      </c>
      <c r="I576" s="246">
        <v>15000</v>
      </c>
      <c r="J576" s="246">
        <v>0</v>
      </c>
      <c r="K576" s="246">
        <v>25</v>
      </c>
      <c r="L576" s="644">
        <f t="shared" si="179"/>
        <v>600</v>
      </c>
      <c r="M576" s="645">
        <v>45917</v>
      </c>
      <c r="N576" s="645">
        <v>45915</v>
      </c>
      <c r="O576" s="643"/>
      <c r="P576" s="643" t="s">
        <v>113</v>
      </c>
      <c r="Q576" s="246" t="s">
        <v>1717</v>
      </c>
      <c r="R576" s="646" t="s">
        <v>7441</v>
      </c>
      <c r="S576" s="646" t="s">
        <v>104</v>
      </c>
      <c r="T576" s="646">
        <v>45897</v>
      </c>
      <c r="U576" s="646"/>
      <c r="V576" s="646"/>
      <c r="W576" s="615"/>
      <c r="X576" s="642" t="s">
        <v>7442</v>
      </c>
      <c r="Y576" s="642" t="s">
        <v>252</v>
      </c>
      <c r="Z576" s="655">
        <v>0.5543</v>
      </c>
      <c r="AA576" s="647">
        <f>Z576*I576</f>
        <v>8314.5</v>
      </c>
      <c r="AC576" s="648" t="s">
        <v>1719</v>
      </c>
      <c r="AD576" s="246" t="s">
        <v>6084</v>
      </c>
      <c r="AE576" s="246" t="s">
        <v>82</v>
      </c>
      <c r="AF576" s="246"/>
      <c r="AG576" s="246"/>
      <c r="AH576" s="246"/>
      <c r="AI576" s="246">
        <v>15000</v>
      </c>
      <c r="AJ576" s="246">
        <f t="shared" si="185"/>
        <v>0</v>
      </c>
      <c r="AK576" s="246"/>
      <c r="AL576" s="246"/>
      <c r="AM576" s="246" t="s">
        <v>7443</v>
      </c>
      <c r="AN576" s="246">
        <f>I576</f>
        <v>15000</v>
      </c>
      <c r="AO576" s="551"/>
      <c r="AP576" s="554">
        <f>I576</f>
        <v>15000</v>
      </c>
      <c r="AR576" s="650"/>
      <c r="AS576" s="548"/>
      <c r="AT576" s="548"/>
      <c r="AU576" s="554">
        <f>I576</f>
        <v>15000</v>
      </c>
      <c r="AW576" s="650"/>
      <c r="AX576" s="548"/>
      <c r="AY576" s="548"/>
      <c r="AZ576" s="548"/>
      <c r="BA576" s="548"/>
      <c r="BB576" s="249">
        <f>I576/24</f>
        <v>625</v>
      </c>
      <c r="BC576" s="651"/>
      <c r="BD576" s="548"/>
      <c r="BE576" s="548"/>
      <c r="BF576" s="548"/>
      <c r="BN576" s="554">
        <f>I576/25</f>
        <v>600</v>
      </c>
      <c r="BY576" s="650"/>
      <c r="BZ576" s="548"/>
      <c r="CA576" s="652"/>
      <c r="CB576" s="567"/>
      <c r="CC576" s="653"/>
      <c r="CD576" s="650"/>
      <c r="CE576" s="650"/>
      <c r="CF576" s="548"/>
      <c r="CG576" s="548"/>
      <c r="CU576" s="554">
        <f t="shared" si="165"/>
        <v>600</v>
      </c>
      <c r="CV576" s="551">
        <f t="shared" si="176"/>
        <v>0</v>
      </c>
      <c r="CW576" s="551">
        <f t="shared" si="177"/>
        <v>0</v>
      </c>
      <c r="CX576" s="650"/>
      <c r="CY576" s="650"/>
      <c r="CZ576" s="650"/>
      <c r="DA576" s="548"/>
      <c r="DB576" s="548"/>
      <c r="DC576" s="548"/>
      <c r="DD576" s="650"/>
      <c r="DE576" s="650"/>
      <c r="DF576" s="650"/>
      <c r="DG576" s="650"/>
      <c r="DH576" s="650"/>
    </row>
    <row r="577" s="548" customFormat="1" ht="31" customHeight="1" spans="1:112">
      <c r="A577" s="660">
        <v>45678</v>
      </c>
      <c r="B577" s="661" t="s">
        <v>1492</v>
      </c>
      <c r="C577" s="662" t="s">
        <v>98</v>
      </c>
      <c r="D577" s="663">
        <v>4500156332</v>
      </c>
      <c r="E577" s="664">
        <v>1710625321</v>
      </c>
      <c r="F577" s="663" t="s">
        <v>1710</v>
      </c>
      <c r="G577" s="662" t="s">
        <v>909</v>
      </c>
      <c r="H577" s="662" t="s">
        <v>830</v>
      </c>
      <c r="I577" s="662">
        <v>72</v>
      </c>
      <c r="J577" s="662">
        <v>0</v>
      </c>
      <c r="K577" s="662">
        <v>1</v>
      </c>
      <c r="L577" s="665">
        <f t="shared" si="179"/>
        <v>72</v>
      </c>
      <c r="M577" s="666">
        <v>45912</v>
      </c>
      <c r="N577" s="666">
        <v>45908</v>
      </c>
      <c r="O577" s="664"/>
      <c r="P577" s="664" t="s">
        <v>113</v>
      </c>
      <c r="Q577" s="662" t="s">
        <v>7444</v>
      </c>
      <c r="R577" s="667">
        <v>45832</v>
      </c>
      <c r="S577" s="667" t="s">
        <v>70</v>
      </c>
      <c r="T577" s="667" t="s">
        <v>70</v>
      </c>
      <c r="U577" s="667"/>
      <c r="V577" s="667"/>
      <c r="W577" s="615"/>
      <c r="X577" s="661" t="s">
        <v>1599</v>
      </c>
      <c r="Y577" s="661" t="s">
        <v>911</v>
      </c>
      <c r="Z577" s="661">
        <v>0</v>
      </c>
      <c r="AA577" s="634">
        <f t="shared" ref="AA577:AA584" si="189">Z577*L577</f>
        <v>0</v>
      </c>
      <c r="AC577" s="638" t="s">
        <v>1711</v>
      </c>
      <c r="AD577" s="668" t="s">
        <v>1498</v>
      </c>
      <c r="AE577" s="662" t="s">
        <v>82</v>
      </c>
      <c r="AF577" s="662"/>
      <c r="AG577" s="662"/>
      <c r="AH577" s="662"/>
      <c r="AI577" s="662">
        <v>0</v>
      </c>
      <c r="AJ577" s="662">
        <v>0</v>
      </c>
      <c r="AK577" s="662"/>
      <c r="AL577" s="662"/>
      <c r="AM577" s="662"/>
      <c r="AN577" s="662"/>
      <c r="AO577" s="548"/>
      <c r="AP577" s="548"/>
      <c r="AQ577" s="548"/>
      <c r="AR577" s="669"/>
      <c r="AS577" s="548"/>
      <c r="AT577" s="548"/>
      <c r="AU577" s="548"/>
      <c r="AV577" s="548"/>
      <c r="AW577" s="669"/>
      <c r="AX577" s="548"/>
      <c r="AY577" s="548"/>
      <c r="AZ577" s="548"/>
      <c r="BA577" s="548"/>
      <c r="BB577" s="670"/>
      <c r="BC577" s="671"/>
      <c r="BD577" s="548"/>
      <c r="BE577" s="548"/>
      <c r="BF577" s="548"/>
      <c r="BY577" s="669"/>
      <c r="BZ577" s="548"/>
      <c r="CA577" s="672"/>
      <c r="CB577" s="567"/>
      <c r="CC577" s="673"/>
      <c r="CD577" s="669"/>
      <c r="CE577" s="669"/>
      <c r="CF577" s="548"/>
      <c r="CG577" s="548"/>
      <c r="CU577" s="554">
        <f t="shared" si="165"/>
        <v>0</v>
      </c>
      <c r="CV577" s="663">
        <f t="shared" ref="CV577:CV592" si="190">CK577+CL577+CM577+CN577+CO577+CQ577+CP577</f>
        <v>0</v>
      </c>
      <c r="CW577" s="663">
        <f t="shared" ref="CW577:CW592" si="191">CI577+CJ577</f>
        <v>0</v>
      </c>
      <c r="CX577" s="669"/>
      <c r="CY577" s="669"/>
      <c r="CZ577" s="669"/>
      <c r="DA577" s="548"/>
      <c r="DB577" s="548"/>
      <c r="DC577" s="548"/>
      <c r="DD577" s="669"/>
      <c r="DE577" s="669"/>
      <c r="DF577" s="669"/>
      <c r="DG577" s="669"/>
      <c r="DH577" s="669"/>
    </row>
    <row r="578" s="548" customFormat="1" ht="31" customHeight="1" spans="1:112">
      <c r="A578" s="660">
        <v>45678</v>
      </c>
      <c r="B578" s="661" t="s">
        <v>1492</v>
      </c>
      <c r="C578" s="662" t="s">
        <v>98</v>
      </c>
      <c r="D578" s="663">
        <v>4500156332</v>
      </c>
      <c r="E578" s="664">
        <v>1710625321</v>
      </c>
      <c r="F578" s="663" t="s">
        <v>1710</v>
      </c>
      <c r="G578" s="662">
        <v>77711</v>
      </c>
      <c r="H578" s="662" t="s">
        <v>6033</v>
      </c>
      <c r="I578" s="662">
        <v>5400</v>
      </c>
      <c r="J578" s="662">
        <v>0</v>
      </c>
      <c r="K578" s="662">
        <v>75</v>
      </c>
      <c r="L578" s="665">
        <f t="shared" si="179"/>
        <v>72</v>
      </c>
      <c r="M578" s="666">
        <v>45912</v>
      </c>
      <c r="N578" s="666">
        <v>45908</v>
      </c>
      <c r="O578" s="664"/>
      <c r="P578" s="664" t="s">
        <v>113</v>
      </c>
      <c r="Q578" s="662" t="s">
        <v>7444</v>
      </c>
      <c r="R578" s="667">
        <v>45832</v>
      </c>
      <c r="S578" s="667" t="s">
        <v>70</v>
      </c>
      <c r="T578" s="667" t="s">
        <v>70</v>
      </c>
      <c r="U578" s="667"/>
      <c r="V578" s="667"/>
      <c r="W578" s="615"/>
      <c r="X578" s="661"/>
      <c r="Y578" s="661" t="s">
        <v>911</v>
      </c>
      <c r="Z578" s="661">
        <v>762.5</v>
      </c>
      <c r="AA578" s="634">
        <f t="shared" si="189"/>
        <v>54900</v>
      </c>
      <c r="AC578" s="638" t="s">
        <v>1711</v>
      </c>
      <c r="AD578" s="668" t="s">
        <v>1498</v>
      </c>
      <c r="AE578" s="662" t="s">
        <v>82</v>
      </c>
      <c r="AF578" s="662"/>
      <c r="AG578" s="662"/>
      <c r="AH578" s="662"/>
      <c r="AI578" s="662">
        <v>0</v>
      </c>
      <c r="AJ578" s="662">
        <v>0</v>
      </c>
      <c r="AK578" s="662"/>
      <c r="AL578" s="662"/>
      <c r="AM578" s="662"/>
      <c r="AN578" s="610">
        <f>I578*3</f>
        <v>16200</v>
      </c>
      <c r="AR578" s="669"/>
      <c r="AS578" s="548"/>
      <c r="AT578" s="548"/>
      <c r="AU578" s="548"/>
      <c r="AV578" s="548"/>
      <c r="AW578" s="669"/>
      <c r="AX578" s="548"/>
      <c r="AY578" s="548"/>
      <c r="AZ578" s="548"/>
      <c r="BA578" s="548"/>
      <c r="BB578" s="670">
        <f t="shared" ref="BB578:BB582" si="192">I578/24*3</f>
        <v>675</v>
      </c>
      <c r="BC578" s="671"/>
      <c r="BD578" s="548"/>
      <c r="BE578" s="548"/>
      <c r="BF578" s="663">
        <f>AN578</f>
        <v>16200</v>
      </c>
      <c r="BH578" s="663">
        <f>AN578</f>
        <v>16200</v>
      </c>
      <c r="BI578" s="663">
        <f>I578</f>
        <v>5400</v>
      </c>
      <c r="BJ578" s="663">
        <f>I578/5</f>
        <v>1080</v>
      </c>
      <c r="BY578" s="669"/>
      <c r="BZ578" s="548"/>
      <c r="CA578" s="672"/>
      <c r="CB578" s="567"/>
      <c r="CC578" s="673"/>
      <c r="CD578" s="669"/>
      <c r="CE578" s="669"/>
      <c r="CF578" s="548"/>
      <c r="CG578" s="548"/>
      <c r="CU578" s="554">
        <f t="shared" si="165"/>
        <v>0</v>
      </c>
      <c r="CV578" s="663">
        <f t="shared" si="190"/>
        <v>0</v>
      </c>
      <c r="CW578" s="663">
        <f t="shared" si="191"/>
        <v>0</v>
      </c>
      <c r="CX578" s="669"/>
      <c r="CY578" s="669"/>
      <c r="CZ578" s="669"/>
      <c r="DA578" s="548"/>
      <c r="DB578" s="548"/>
      <c r="DC578" s="548"/>
      <c r="DD578" s="669"/>
      <c r="DE578" s="669"/>
      <c r="DF578" s="669"/>
      <c r="DG578" s="669"/>
      <c r="DH578" s="669"/>
    </row>
    <row r="579" s="548" customFormat="1" ht="31" customHeight="1" spans="1:112">
      <c r="A579" s="660">
        <v>45678</v>
      </c>
      <c r="B579" s="661" t="s">
        <v>1492</v>
      </c>
      <c r="C579" s="662" t="s">
        <v>98</v>
      </c>
      <c r="D579" s="663">
        <v>4500156319</v>
      </c>
      <c r="E579" s="664">
        <v>9600625371</v>
      </c>
      <c r="F579" s="663" t="s">
        <v>1704</v>
      </c>
      <c r="G579" s="662" t="s">
        <v>909</v>
      </c>
      <c r="H579" s="662" t="s">
        <v>830</v>
      </c>
      <c r="I579" s="662">
        <v>72</v>
      </c>
      <c r="J579" s="662">
        <v>0</v>
      </c>
      <c r="K579" s="662">
        <v>1</v>
      </c>
      <c r="L579" s="665">
        <f t="shared" si="179"/>
        <v>72</v>
      </c>
      <c r="M579" s="666">
        <v>45912</v>
      </c>
      <c r="N579" s="666">
        <v>45908</v>
      </c>
      <c r="O579" s="664"/>
      <c r="P579" s="664" t="s">
        <v>113</v>
      </c>
      <c r="Q579" s="674" t="s">
        <v>7444</v>
      </c>
      <c r="R579" s="667">
        <v>45832</v>
      </c>
      <c r="S579" s="667" t="s">
        <v>70</v>
      </c>
      <c r="T579" s="667" t="s">
        <v>70</v>
      </c>
      <c r="U579" s="667"/>
      <c r="V579" s="667"/>
      <c r="W579" s="615"/>
      <c r="X579" s="661" t="s">
        <v>1599</v>
      </c>
      <c r="Y579" s="661" t="s">
        <v>911</v>
      </c>
      <c r="Z579" s="661">
        <v>0</v>
      </c>
      <c r="AA579" s="634">
        <f t="shared" si="189"/>
        <v>0</v>
      </c>
      <c r="AC579" s="638" t="s">
        <v>1705</v>
      </c>
      <c r="AD579" s="668" t="s">
        <v>1498</v>
      </c>
      <c r="AE579" s="662" t="s">
        <v>82</v>
      </c>
      <c r="AF579" s="662"/>
      <c r="AG579" s="662"/>
      <c r="AH579" s="662"/>
      <c r="AI579" s="662">
        <v>0</v>
      </c>
      <c r="AJ579" s="662">
        <v>0</v>
      </c>
      <c r="AK579" s="662"/>
      <c r="AL579" s="662"/>
      <c r="AM579" s="662"/>
      <c r="AN579" s="662"/>
      <c r="AO579" s="548"/>
      <c r="AP579" s="548"/>
      <c r="AQ579" s="548"/>
      <c r="AR579" s="669"/>
      <c r="AS579" s="548"/>
      <c r="AT579" s="548"/>
      <c r="AU579" s="548"/>
      <c r="AV579" s="548"/>
      <c r="AW579" s="669"/>
      <c r="AX579" s="548"/>
      <c r="AY579" s="548"/>
      <c r="AZ579" s="548"/>
      <c r="BA579" s="548"/>
      <c r="BB579" s="670"/>
      <c r="BC579" s="671"/>
      <c r="BD579" s="548"/>
      <c r="BE579" s="548"/>
      <c r="BF579" s="548"/>
      <c r="BY579" s="669"/>
      <c r="BZ579" s="548"/>
      <c r="CA579" s="672"/>
      <c r="CB579" s="567"/>
      <c r="CC579" s="673"/>
      <c r="CD579" s="669"/>
      <c r="CE579" s="669"/>
      <c r="CF579" s="548"/>
      <c r="CG579" s="548"/>
      <c r="CU579" s="554">
        <f t="shared" ref="CU579:CU642" si="193">BQ579+BP579+BO579+BN579+BX579+BR579</f>
        <v>0</v>
      </c>
      <c r="CV579" s="663">
        <f t="shared" si="190"/>
        <v>0</v>
      </c>
      <c r="CW579" s="663">
        <f t="shared" si="191"/>
        <v>0</v>
      </c>
      <c r="CX579" s="669"/>
      <c r="CY579" s="669"/>
      <c r="CZ579" s="669"/>
      <c r="DA579" s="548"/>
      <c r="DB579" s="548"/>
      <c r="DC579" s="548"/>
      <c r="DD579" s="669"/>
      <c r="DE579" s="669"/>
      <c r="DF579" s="669"/>
      <c r="DG579" s="669"/>
      <c r="DH579" s="669"/>
    </row>
    <row r="580" s="548" customFormat="1" ht="31" customHeight="1" spans="1:112">
      <c r="A580" s="660">
        <v>45678</v>
      </c>
      <c r="B580" s="661" t="s">
        <v>1492</v>
      </c>
      <c r="C580" s="662" t="s">
        <v>98</v>
      </c>
      <c r="D580" s="663">
        <v>4500156319</v>
      </c>
      <c r="E580" s="664">
        <v>9600625371</v>
      </c>
      <c r="F580" s="663" t="s">
        <v>1704</v>
      </c>
      <c r="G580" s="662">
        <v>77711</v>
      </c>
      <c r="H580" s="662" t="s">
        <v>6033</v>
      </c>
      <c r="I580" s="662">
        <v>5400</v>
      </c>
      <c r="J580" s="662">
        <v>0</v>
      </c>
      <c r="K580" s="662">
        <v>75</v>
      </c>
      <c r="L580" s="665">
        <f t="shared" si="179"/>
        <v>72</v>
      </c>
      <c r="M580" s="666">
        <v>45912</v>
      </c>
      <c r="N580" s="666">
        <v>45908</v>
      </c>
      <c r="O580" s="664"/>
      <c r="P580" s="664" t="s">
        <v>113</v>
      </c>
      <c r="Q580" s="674" t="s">
        <v>7444</v>
      </c>
      <c r="R580" s="667">
        <v>45832</v>
      </c>
      <c r="S580" s="667" t="s">
        <v>70</v>
      </c>
      <c r="T580" s="667" t="s">
        <v>70</v>
      </c>
      <c r="U580" s="667"/>
      <c r="V580" s="667"/>
      <c r="W580" s="615"/>
      <c r="X580" s="661"/>
      <c r="Y580" s="661" t="s">
        <v>911</v>
      </c>
      <c r="Z580" s="661">
        <v>762.5</v>
      </c>
      <c r="AA580" s="634">
        <f t="shared" si="189"/>
        <v>54900</v>
      </c>
      <c r="AC580" s="638" t="s">
        <v>1705</v>
      </c>
      <c r="AD580" s="668" t="s">
        <v>1498</v>
      </c>
      <c r="AE580" s="662" t="s">
        <v>82</v>
      </c>
      <c r="AF580" s="662"/>
      <c r="AG580" s="662"/>
      <c r="AH580" s="662"/>
      <c r="AI580" s="662">
        <v>0</v>
      </c>
      <c r="AJ580" s="662">
        <v>0</v>
      </c>
      <c r="AK580" s="662"/>
      <c r="AL580" s="662"/>
      <c r="AM580" s="662"/>
      <c r="AN580" s="610">
        <f>I580*3</f>
        <v>16200</v>
      </c>
      <c r="AR580" s="669"/>
      <c r="AS580" s="548"/>
      <c r="AT580" s="548"/>
      <c r="AU580" s="548"/>
      <c r="AV580" s="548"/>
      <c r="AW580" s="669"/>
      <c r="AX580" s="548"/>
      <c r="AY580" s="548"/>
      <c r="AZ580" s="548"/>
      <c r="BA580" s="548"/>
      <c r="BB580" s="670">
        <f t="shared" si="192"/>
        <v>675</v>
      </c>
      <c r="BC580" s="671"/>
      <c r="BD580" s="548"/>
      <c r="BE580" s="548"/>
      <c r="BF580" s="663">
        <f>AN580</f>
        <v>16200</v>
      </c>
      <c r="BH580" s="663">
        <f>AN580</f>
        <v>16200</v>
      </c>
      <c r="BI580" s="663">
        <f>I580</f>
        <v>5400</v>
      </c>
      <c r="BJ580" s="663">
        <f>I580/5</f>
        <v>1080</v>
      </c>
      <c r="BY580" s="669"/>
      <c r="BZ580" s="548"/>
      <c r="CA580" s="672"/>
      <c r="CB580" s="567"/>
      <c r="CC580" s="673"/>
      <c r="CD580" s="669"/>
      <c r="CE580" s="669"/>
      <c r="CF580" s="548"/>
      <c r="CG580" s="548"/>
      <c r="CU580" s="554">
        <f t="shared" si="193"/>
        <v>0</v>
      </c>
      <c r="CV580" s="663">
        <f t="shared" si="190"/>
        <v>0</v>
      </c>
      <c r="CW580" s="663">
        <f t="shared" si="191"/>
        <v>0</v>
      </c>
      <c r="CX580" s="669"/>
      <c r="CY580" s="669"/>
      <c r="CZ580" s="669"/>
      <c r="DA580" s="548"/>
      <c r="DB580" s="548"/>
      <c r="DC580" s="548"/>
      <c r="DD580" s="669"/>
      <c r="DE580" s="669"/>
      <c r="DF580" s="669"/>
      <c r="DG580" s="669"/>
      <c r="DH580" s="669"/>
    </row>
    <row r="581" s="548" customFormat="1" ht="31" customHeight="1" spans="1:112">
      <c r="A581" s="660">
        <v>45678</v>
      </c>
      <c r="B581" s="661" t="s">
        <v>1492</v>
      </c>
      <c r="C581" s="662" t="s">
        <v>98</v>
      </c>
      <c r="D581" s="663">
        <v>4500156318</v>
      </c>
      <c r="E581" s="664">
        <v>9600625370</v>
      </c>
      <c r="F581" s="663" t="s">
        <v>1707</v>
      </c>
      <c r="G581" s="662" t="s">
        <v>909</v>
      </c>
      <c r="H581" s="662" t="s">
        <v>830</v>
      </c>
      <c r="I581" s="662">
        <v>72</v>
      </c>
      <c r="J581" s="662">
        <v>0</v>
      </c>
      <c r="K581" s="662">
        <v>1</v>
      </c>
      <c r="L581" s="665">
        <f t="shared" si="179"/>
        <v>72</v>
      </c>
      <c r="M581" s="666">
        <v>45912</v>
      </c>
      <c r="N581" s="666">
        <f>M581-4</f>
        <v>45908</v>
      </c>
      <c r="O581" s="664"/>
      <c r="P581" s="664" t="s">
        <v>113</v>
      </c>
      <c r="Q581" s="674" t="s">
        <v>7445</v>
      </c>
      <c r="R581" s="667">
        <v>45832</v>
      </c>
      <c r="S581" s="667" t="s">
        <v>70</v>
      </c>
      <c r="T581" s="667" t="s">
        <v>70</v>
      </c>
      <c r="U581" s="667"/>
      <c r="V581" s="667"/>
      <c r="W581" s="615"/>
      <c r="X581" s="661" t="s">
        <v>1599</v>
      </c>
      <c r="Y581" s="661" t="s">
        <v>911</v>
      </c>
      <c r="Z581" s="661">
        <v>0</v>
      </c>
      <c r="AA581" s="634">
        <f t="shared" si="189"/>
        <v>0</v>
      </c>
      <c r="AC581" s="638" t="s">
        <v>1708</v>
      </c>
      <c r="AD581" s="668" t="s">
        <v>1498</v>
      </c>
      <c r="AE581" s="662" t="s">
        <v>82</v>
      </c>
      <c r="AF581" s="662"/>
      <c r="AG581" s="662"/>
      <c r="AH581" s="662"/>
      <c r="AI581" s="662">
        <v>0</v>
      </c>
      <c r="AJ581" s="662">
        <v>0</v>
      </c>
      <c r="AK581" s="662"/>
      <c r="AL581" s="662"/>
      <c r="AM581" s="662"/>
      <c r="AN581" s="662"/>
      <c r="AO581" s="548"/>
      <c r="AP581" s="548"/>
      <c r="AQ581" s="548"/>
      <c r="AR581" s="669"/>
      <c r="AS581" s="548"/>
      <c r="AT581" s="548"/>
      <c r="AU581" s="548"/>
      <c r="AV581" s="548"/>
      <c r="AW581" s="669"/>
      <c r="AX581" s="548"/>
      <c r="AY581" s="548"/>
      <c r="AZ581" s="548"/>
      <c r="BA581" s="548"/>
      <c r="BB581" s="670"/>
      <c r="BC581" s="671"/>
      <c r="BD581" s="548"/>
      <c r="BE581" s="548"/>
      <c r="BF581" s="548"/>
      <c r="BY581" s="669"/>
      <c r="BZ581" s="548"/>
      <c r="CA581" s="672"/>
      <c r="CB581" s="567"/>
      <c r="CC581" s="673"/>
      <c r="CD581" s="669"/>
      <c r="CE581" s="669"/>
      <c r="CF581" s="548"/>
      <c r="CG581" s="548"/>
      <c r="CU581" s="554">
        <f t="shared" si="193"/>
        <v>0</v>
      </c>
      <c r="CV581" s="663">
        <f t="shared" si="190"/>
        <v>0</v>
      </c>
      <c r="CW581" s="663">
        <f t="shared" si="191"/>
        <v>0</v>
      </c>
      <c r="CX581" s="669"/>
      <c r="CY581" s="669"/>
      <c r="CZ581" s="669"/>
      <c r="DA581" s="548"/>
      <c r="DB581" s="548"/>
      <c r="DC581" s="548"/>
      <c r="DD581" s="669"/>
      <c r="DE581" s="669"/>
      <c r="DF581" s="669"/>
      <c r="DG581" s="669"/>
      <c r="DH581" s="669"/>
    </row>
    <row r="582" s="548" customFormat="1" ht="31" customHeight="1" spans="1:112">
      <c r="A582" s="660">
        <v>45678</v>
      </c>
      <c r="B582" s="661" t="s">
        <v>1492</v>
      </c>
      <c r="C582" s="662" t="s">
        <v>98</v>
      </c>
      <c r="D582" s="663">
        <v>4500156318</v>
      </c>
      <c r="E582" s="664">
        <v>9600625370</v>
      </c>
      <c r="F582" s="663" t="s">
        <v>1707</v>
      </c>
      <c r="G582" s="662">
        <v>77711</v>
      </c>
      <c r="H582" s="662" t="s">
        <v>6033</v>
      </c>
      <c r="I582" s="662">
        <v>5400</v>
      </c>
      <c r="J582" s="662">
        <v>0</v>
      </c>
      <c r="K582" s="662">
        <v>75</v>
      </c>
      <c r="L582" s="665">
        <f t="shared" si="179"/>
        <v>72</v>
      </c>
      <c r="M582" s="666">
        <v>45912</v>
      </c>
      <c r="N582" s="666">
        <f>M582-4</f>
        <v>45908</v>
      </c>
      <c r="O582" s="664"/>
      <c r="P582" s="664" t="s">
        <v>113</v>
      </c>
      <c r="Q582" s="674" t="s">
        <v>7445</v>
      </c>
      <c r="R582" s="667">
        <v>45832</v>
      </c>
      <c r="S582" s="667" t="s">
        <v>70</v>
      </c>
      <c r="T582" s="667" t="s">
        <v>70</v>
      </c>
      <c r="U582" s="667"/>
      <c r="V582" s="667"/>
      <c r="W582" s="615"/>
      <c r="X582" s="661"/>
      <c r="Y582" s="661" t="s">
        <v>911</v>
      </c>
      <c r="Z582" s="661">
        <v>762.5</v>
      </c>
      <c r="AA582" s="634">
        <f t="shared" si="189"/>
        <v>54900</v>
      </c>
      <c r="AC582" s="638" t="s">
        <v>1708</v>
      </c>
      <c r="AD582" s="668" t="s">
        <v>1498</v>
      </c>
      <c r="AE582" s="662" t="s">
        <v>82</v>
      </c>
      <c r="AF582" s="662"/>
      <c r="AG582" s="662"/>
      <c r="AH582" s="662"/>
      <c r="AI582" s="662">
        <v>0</v>
      </c>
      <c r="AJ582" s="662">
        <v>0</v>
      </c>
      <c r="AK582" s="662"/>
      <c r="AL582" s="662"/>
      <c r="AM582" s="662"/>
      <c r="AN582" s="610">
        <f>I582*3</f>
        <v>16200</v>
      </c>
      <c r="AR582" s="669"/>
      <c r="AS582" s="548"/>
      <c r="AT582" s="548"/>
      <c r="AU582" s="548"/>
      <c r="AV582" s="548"/>
      <c r="AW582" s="669"/>
      <c r="AX582" s="548"/>
      <c r="AY582" s="548"/>
      <c r="AZ582" s="548"/>
      <c r="BA582" s="548"/>
      <c r="BB582" s="670">
        <f t="shared" si="192"/>
        <v>675</v>
      </c>
      <c r="BC582" s="671"/>
      <c r="BD582" s="548"/>
      <c r="BE582" s="548"/>
      <c r="BF582" s="663">
        <f>AN582</f>
        <v>16200</v>
      </c>
      <c r="BH582" s="663">
        <f>AN582</f>
        <v>16200</v>
      </c>
      <c r="BI582" s="663">
        <f>I582</f>
        <v>5400</v>
      </c>
      <c r="BJ582" s="663">
        <f>I582/5</f>
        <v>1080</v>
      </c>
      <c r="BY582" s="669"/>
      <c r="BZ582" s="548"/>
      <c r="CA582" s="672"/>
      <c r="CB582" s="567"/>
      <c r="CC582" s="673"/>
      <c r="CD582" s="669"/>
      <c r="CE582" s="669"/>
      <c r="CF582" s="548"/>
      <c r="CG582" s="548"/>
      <c r="CU582" s="554">
        <f t="shared" si="193"/>
        <v>0</v>
      </c>
      <c r="CV582" s="663">
        <f t="shared" si="190"/>
        <v>0</v>
      </c>
      <c r="CW582" s="663">
        <f t="shared" si="191"/>
        <v>0</v>
      </c>
      <c r="CX582" s="669"/>
      <c r="CY582" s="669"/>
      <c r="CZ582" s="669"/>
      <c r="DA582" s="548"/>
      <c r="DB582" s="548"/>
      <c r="DC582" s="548"/>
      <c r="DD582" s="669"/>
      <c r="DE582" s="669"/>
      <c r="DF582" s="669"/>
      <c r="DG582" s="669"/>
      <c r="DH582" s="669"/>
    </row>
    <row r="583" s="548" customFormat="1" ht="31" customHeight="1" spans="1:112">
      <c r="A583" s="660">
        <v>45861</v>
      </c>
      <c r="B583" s="661" t="s">
        <v>1673</v>
      </c>
      <c r="C583" s="662" t="s">
        <v>98</v>
      </c>
      <c r="D583" s="663">
        <v>4500174833</v>
      </c>
      <c r="E583" s="662" t="s">
        <v>1674</v>
      </c>
      <c r="F583" s="663" t="s">
        <v>7446</v>
      </c>
      <c r="G583" s="662" t="s">
        <v>6787</v>
      </c>
      <c r="H583" s="610" t="s">
        <v>6126</v>
      </c>
      <c r="I583" s="662">
        <v>2100</v>
      </c>
      <c r="J583" s="662">
        <v>0</v>
      </c>
      <c r="K583" s="662">
        <v>12</v>
      </c>
      <c r="L583" s="665">
        <f t="shared" si="179"/>
        <v>175</v>
      </c>
      <c r="M583" s="666">
        <v>45912</v>
      </c>
      <c r="N583" s="666">
        <v>45908</v>
      </c>
      <c r="O583" s="664" t="s">
        <v>7447</v>
      </c>
      <c r="P583" s="664" t="s">
        <v>113</v>
      </c>
      <c r="Q583" s="662"/>
      <c r="R583" s="667">
        <v>45868</v>
      </c>
      <c r="S583" s="667" t="s">
        <v>104</v>
      </c>
      <c r="T583" s="667">
        <v>45876</v>
      </c>
      <c r="U583" s="667"/>
      <c r="V583" s="667"/>
      <c r="W583" s="615"/>
      <c r="X583" s="661" t="s">
        <v>7448</v>
      </c>
      <c r="Y583" s="661" t="s">
        <v>882</v>
      </c>
      <c r="Z583" s="661">
        <v>1.3031</v>
      </c>
      <c r="AA583" s="634">
        <f>Z583*I583</f>
        <v>2736.51</v>
      </c>
      <c r="AC583" s="638" t="s">
        <v>1677</v>
      </c>
      <c r="AD583" s="662" t="s">
        <v>6128</v>
      </c>
      <c r="AE583" s="662" t="s">
        <v>82</v>
      </c>
      <c r="AF583" s="662"/>
      <c r="AG583" s="662"/>
      <c r="AH583" s="662"/>
      <c r="AI583" s="662">
        <v>2100</v>
      </c>
      <c r="AJ583" s="662">
        <f>AI583-I583</f>
        <v>0</v>
      </c>
      <c r="AK583" s="662"/>
      <c r="AL583" s="662"/>
      <c r="AM583" s="662"/>
      <c r="AN583" s="610">
        <f>I583*2</f>
        <v>4200</v>
      </c>
      <c r="AQ583" s="554">
        <f>I583*2</f>
        <v>4200</v>
      </c>
      <c r="AR583" s="669"/>
      <c r="AS583" s="548"/>
      <c r="AT583" s="548"/>
      <c r="AU583" s="554">
        <f>I583*2</f>
        <v>4200</v>
      </c>
      <c r="AW583" s="669"/>
      <c r="AX583" s="548"/>
      <c r="AY583" s="548"/>
      <c r="AZ583" s="548"/>
      <c r="BA583" s="548"/>
      <c r="BB583" s="249">
        <f>I583/24*2</f>
        <v>175</v>
      </c>
      <c r="BC583" s="671"/>
      <c r="BD583" s="548"/>
      <c r="BE583" s="548"/>
      <c r="BF583" s="548"/>
      <c r="BY583" s="669"/>
      <c r="BZ583" s="548"/>
      <c r="CA583" s="672"/>
      <c r="CB583" s="567"/>
      <c r="CC583" s="673"/>
      <c r="CD583" s="669"/>
      <c r="CE583" s="669"/>
      <c r="CF583" s="548"/>
      <c r="CG583" s="548"/>
      <c r="CR583" s="554">
        <f>I583</f>
        <v>2100</v>
      </c>
      <c r="CS583" s="554">
        <f>I583</f>
        <v>2100</v>
      </c>
      <c r="CT583" s="554">
        <f>I583</f>
        <v>2100</v>
      </c>
      <c r="CU583" s="554">
        <f t="shared" si="193"/>
        <v>0</v>
      </c>
      <c r="CV583" s="663">
        <f t="shared" si="190"/>
        <v>0</v>
      </c>
      <c r="CW583" s="663">
        <f t="shared" si="191"/>
        <v>0</v>
      </c>
      <c r="CX583" s="669"/>
      <c r="CY583" s="669"/>
      <c r="CZ583" s="669"/>
      <c r="DA583" s="548"/>
      <c r="DB583" s="548"/>
      <c r="DC583" s="548"/>
      <c r="DD583" s="669"/>
      <c r="DE583" s="669"/>
      <c r="DF583" s="669"/>
      <c r="DG583" s="669"/>
      <c r="DH583" s="669"/>
    </row>
    <row r="584" s="548" customFormat="1" ht="31" customHeight="1" spans="1:112">
      <c r="A584" s="660">
        <v>45861</v>
      </c>
      <c r="B584" s="661" t="s">
        <v>1673</v>
      </c>
      <c r="C584" s="662" t="s">
        <v>98</v>
      </c>
      <c r="D584" s="663">
        <v>4500174833</v>
      </c>
      <c r="E584" s="662" t="s">
        <v>1678</v>
      </c>
      <c r="F584" s="663" t="s">
        <v>7449</v>
      </c>
      <c r="G584" s="662" t="s">
        <v>6787</v>
      </c>
      <c r="H584" s="610" t="s">
        <v>6126</v>
      </c>
      <c r="I584" s="662">
        <v>900</v>
      </c>
      <c r="J584" s="662">
        <v>0</v>
      </c>
      <c r="K584" s="662">
        <v>12</v>
      </c>
      <c r="L584" s="665">
        <f t="shared" si="179"/>
        <v>75</v>
      </c>
      <c r="M584" s="666">
        <v>45912</v>
      </c>
      <c r="N584" s="666">
        <v>45908</v>
      </c>
      <c r="O584" s="664" t="s">
        <v>7447</v>
      </c>
      <c r="P584" s="664" t="s">
        <v>113</v>
      </c>
      <c r="Q584" s="662"/>
      <c r="R584" s="667">
        <v>45868</v>
      </c>
      <c r="S584" s="667" t="s">
        <v>104</v>
      </c>
      <c r="T584" s="667">
        <v>45876</v>
      </c>
      <c r="U584" s="667"/>
      <c r="V584" s="667"/>
      <c r="W584" s="615"/>
      <c r="X584" s="661" t="s">
        <v>7448</v>
      </c>
      <c r="Y584" s="661" t="s">
        <v>882</v>
      </c>
      <c r="Z584" s="661">
        <v>1.3031</v>
      </c>
      <c r="AA584" s="634">
        <f>Z584*I584</f>
        <v>1172.79</v>
      </c>
      <c r="AC584" s="638" t="s">
        <v>1681</v>
      </c>
      <c r="AD584" s="662" t="s">
        <v>6128</v>
      </c>
      <c r="AE584" s="662" t="s">
        <v>82</v>
      </c>
      <c r="AF584" s="662"/>
      <c r="AG584" s="662"/>
      <c r="AH584" s="662"/>
      <c r="AI584" s="662">
        <v>900</v>
      </c>
      <c r="AJ584" s="662">
        <f>AI584-I584</f>
        <v>0</v>
      </c>
      <c r="AK584" s="662"/>
      <c r="AL584" s="662"/>
      <c r="AM584" s="662"/>
      <c r="AN584" s="610">
        <f>I584*2</f>
        <v>1800</v>
      </c>
      <c r="AQ584" s="554">
        <f>I584*2</f>
        <v>1800</v>
      </c>
      <c r="AR584" s="669"/>
      <c r="AS584" s="548"/>
      <c r="AT584" s="548"/>
      <c r="AU584" s="554">
        <f>I584*2</f>
        <v>1800</v>
      </c>
      <c r="AW584" s="669"/>
      <c r="AX584" s="548"/>
      <c r="AY584" s="548"/>
      <c r="AZ584" s="548"/>
      <c r="BA584" s="548"/>
      <c r="BB584" s="249">
        <f>I584/24*2</f>
        <v>75</v>
      </c>
      <c r="BC584" s="671"/>
      <c r="BD584" s="548"/>
      <c r="BE584" s="548"/>
      <c r="BF584" s="548"/>
      <c r="BY584" s="669"/>
      <c r="BZ584" s="548"/>
      <c r="CA584" s="672"/>
      <c r="CB584" s="567"/>
      <c r="CC584" s="673"/>
      <c r="CD584" s="669"/>
      <c r="CE584" s="669"/>
      <c r="CF584" s="548"/>
      <c r="CG584" s="548"/>
      <c r="CR584" s="554">
        <f>I584</f>
        <v>900</v>
      </c>
      <c r="CS584" s="554">
        <f>I584</f>
        <v>900</v>
      </c>
      <c r="CT584" s="554">
        <f>I584</f>
        <v>900</v>
      </c>
      <c r="CU584" s="554">
        <f t="shared" si="193"/>
        <v>0</v>
      </c>
      <c r="CV584" s="663">
        <f t="shared" si="190"/>
        <v>0</v>
      </c>
      <c r="CW584" s="663">
        <f t="shared" si="191"/>
        <v>0</v>
      </c>
      <c r="CX584" s="669"/>
      <c r="CY584" s="669"/>
      <c r="CZ584" s="669"/>
      <c r="DA584" s="548"/>
      <c r="DB584" s="548"/>
      <c r="DC584" s="548"/>
      <c r="DD584" s="669"/>
      <c r="DE584" s="669"/>
      <c r="DF584" s="669"/>
      <c r="DG584" s="669"/>
      <c r="DH584" s="669"/>
    </row>
    <row r="585" s="548" customFormat="1" ht="31" customHeight="1" spans="1:112">
      <c r="A585" s="660">
        <v>45678</v>
      </c>
      <c r="B585" s="661" t="s">
        <v>1492</v>
      </c>
      <c r="C585" s="662" t="s">
        <v>98</v>
      </c>
      <c r="D585" s="663">
        <v>4500156334</v>
      </c>
      <c r="E585" s="664">
        <v>9360625303</v>
      </c>
      <c r="F585" s="663" t="s">
        <v>1713</v>
      </c>
      <c r="G585" s="662" t="s">
        <v>909</v>
      </c>
      <c r="H585" s="662" t="s">
        <v>830</v>
      </c>
      <c r="I585" s="662">
        <v>72</v>
      </c>
      <c r="J585" s="662">
        <v>0</v>
      </c>
      <c r="K585" s="662">
        <v>1</v>
      </c>
      <c r="L585" s="665">
        <f t="shared" si="179"/>
        <v>72</v>
      </c>
      <c r="M585" s="666">
        <v>45915</v>
      </c>
      <c r="N585" s="666">
        <f>M585-4</f>
        <v>45911</v>
      </c>
      <c r="O585" s="664"/>
      <c r="P585" s="664" t="s">
        <v>113</v>
      </c>
      <c r="Q585" s="662" t="s">
        <v>7444</v>
      </c>
      <c r="R585" s="667">
        <v>45832</v>
      </c>
      <c r="S585" s="667" t="s">
        <v>70</v>
      </c>
      <c r="T585" s="667" t="s">
        <v>70</v>
      </c>
      <c r="U585" s="667"/>
      <c r="V585" s="667"/>
      <c r="W585" s="615"/>
      <c r="X585" s="661" t="s">
        <v>1599</v>
      </c>
      <c r="Y585" s="661" t="s">
        <v>911</v>
      </c>
      <c r="Z585" s="661">
        <v>0</v>
      </c>
      <c r="AA585" s="634">
        <f>Z585*L585</f>
        <v>0</v>
      </c>
      <c r="AC585" s="638" t="s">
        <v>1714</v>
      </c>
      <c r="AD585" s="668" t="s">
        <v>1498</v>
      </c>
      <c r="AE585" s="662" t="s">
        <v>82</v>
      </c>
      <c r="AF585" s="662"/>
      <c r="AG585" s="662"/>
      <c r="AH585" s="662"/>
      <c r="AI585" s="662">
        <v>0</v>
      </c>
      <c r="AJ585" s="662">
        <v>0</v>
      </c>
      <c r="AK585" s="662"/>
      <c r="AL585" s="662"/>
      <c r="AM585" s="662"/>
      <c r="AN585" s="662"/>
      <c r="AO585" s="548"/>
      <c r="AP585" s="548"/>
      <c r="AQ585" s="548"/>
      <c r="AR585" s="669"/>
      <c r="AS585" s="548"/>
      <c r="AT585" s="548"/>
      <c r="AU585" s="548"/>
      <c r="AV585" s="548"/>
      <c r="AW585" s="669"/>
      <c r="AX585" s="548"/>
      <c r="AY585" s="548"/>
      <c r="AZ585" s="548"/>
      <c r="BA585" s="548"/>
      <c r="BB585" s="670"/>
      <c r="BC585" s="671"/>
      <c r="BD585" s="548"/>
      <c r="BE585" s="548"/>
      <c r="BF585" s="548"/>
      <c r="BY585" s="669"/>
      <c r="BZ585" s="548"/>
      <c r="CA585" s="672"/>
      <c r="CB585" s="567"/>
      <c r="CC585" s="673"/>
      <c r="CD585" s="669"/>
      <c r="CE585" s="669"/>
      <c r="CF585" s="548"/>
      <c r="CG585" s="548"/>
      <c r="CU585" s="554">
        <f t="shared" si="193"/>
        <v>0</v>
      </c>
      <c r="CV585" s="663">
        <f t="shared" si="190"/>
        <v>0</v>
      </c>
      <c r="CW585" s="663">
        <f t="shared" si="191"/>
        <v>0</v>
      </c>
      <c r="CX585" s="669"/>
      <c r="CY585" s="669"/>
      <c r="CZ585" s="669"/>
      <c r="DA585" s="548"/>
      <c r="DB585" s="548"/>
      <c r="DC585" s="548"/>
      <c r="DD585" s="669"/>
      <c r="DE585" s="669"/>
      <c r="DF585" s="669"/>
      <c r="DG585" s="669"/>
      <c r="DH585" s="669"/>
    </row>
    <row r="586" s="548" customFormat="1" ht="31" customHeight="1" spans="1:112">
      <c r="A586" s="660">
        <v>45678</v>
      </c>
      <c r="B586" s="661" t="s">
        <v>1492</v>
      </c>
      <c r="C586" s="662" t="s">
        <v>98</v>
      </c>
      <c r="D586" s="663">
        <v>4500156334</v>
      </c>
      <c r="E586" s="664">
        <v>9360625303</v>
      </c>
      <c r="F586" s="663" t="s">
        <v>1713</v>
      </c>
      <c r="G586" s="662">
        <v>77711</v>
      </c>
      <c r="H586" s="662" t="s">
        <v>6033</v>
      </c>
      <c r="I586" s="662">
        <v>5400</v>
      </c>
      <c r="J586" s="662">
        <v>0</v>
      </c>
      <c r="K586" s="662">
        <v>75</v>
      </c>
      <c r="L586" s="665">
        <f t="shared" si="179"/>
        <v>72</v>
      </c>
      <c r="M586" s="666">
        <v>45915</v>
      </c>
      <c r="N586" s="666">
        <f>M586-4</f>
        <v>45911</v>
      </c>
      <c r="O586" s="664"/>
      <c r="P586" s="664" t="s">
        <v>113</v>
      </c>
      <c r="Q586" s="662" t="s">
        <v>7444</v>
      </c>
      <c r="R586" s="667">
        <v>45832</v>
      </c>
      <c r="S586" s="667" t="s">
        <v>70</v>
      </c>
      <c r="T586" s="667" t="s">
        <v>70</v>
      </c>
      <c r="U586" s="667"/>
      <c r="V586" s="667"/>
      <c r="W586" s="615"/>
      <c r="X586" s="661"/>
      <c r="Y586" s="661" t="s">
        <v>911</v>
      </c>
      <c r="Z586" s="661">
        <v>762.5</v>
      </c>
      <c r="AA586" s="634">
        <f>Z586*L586</f>
        <v>54900</v>
      </c>
      <c r="AC586" s="638" t="s">
        <v>1714</v>
      </c>
      <c r="AD586" s="668" t="s">
        <v>1498</v>
      </c>
      <c r="AE586" s="662" t="s">
        <v>82</v>
      </c>
      <c r="AF586" s="662"/>
      <c r="AG586" s="662"/>
      <c r="AH586" s="662"/>
      <c r="AI586" s="662">
        <v>0</v>
      </c>
      <c r="AJ586" s="662">
        <v>0</v>
      </c>
      <c r="AK586" s="662"/>
      <c r="AL586" s="662"/>
      <c r="AM586" s="662"/>
      <c r="AN586" s="610">
        <f>I586*3</f>
        <v>16200</v>
      </c>
      <c r="AR586" s="669"/>
      <c r="AS586" s="548"/>
      <c r="AT586" s="548"/>
      <c r="AU586" s="548"/>
      <c r="AV586" s="548"/>
      <c r="AW586" s="669"/>
      <c r="AX586" s="548"/>
      <c r="AY586" s="548"/>
      <c r="AZ586" s="548"/>
      <c r="BA586" s="548"/>
      <c r="BB586" s="670">
        <f>I586/24*3</f>
        <v>675</v>
      </c>
      <c r="BC586" s="671"/>
      <c r="BD586" s="548"/>
      <c r="BE586" s="548"/>
      <c r="BF586" s="663">
        <f>AN586</f>
        <v>16200</v>
      </c>
      <c r="BH586" s="663">
        <f>AN586</f>
        <v>16200</v>
      </c>
      <c r="BI586" s="663">
        <f>I586</f>
        <v>5400</v>
      </c>
      <c r="BJ586" s="663">
        <f>I586/5</f>
        <v>1080</v>
      </c>
      <c r="BY586" s="669"/>
      <c r="BZ586" s="548"/>
      <c r="CA586" s="672"/>
      <c r="CB586" s="567"/>
      <c r="CC586" s="673"/>
      <c r="CD586" s="669"/>
      <c r="CE586" s="669"/>
      <c r="CF586" s="548"/>
      <c r="CG586" s="548"/>
      <c r="CU586" s="554">
        <f t="shared" si="193"/>
        <v>0</v>
      </c>
      <c r="CV586" s="663">
        <f t="shared" si="190"/>
        <v>0</v>
      </c>
      <c r="CW586" s="663">
        <f t="shared" si="191"/>
        <v>0</v>
      </c>
      <c r="CX586" s="669"/>
      <c r="CY586" s="669"/>
      <c r="CZ586" s="669"/>
      <c r="DA586" s="548"/>
      <c r="DB586" s="548"/>
      <c r="DC586" s="548"/>
      <c r="DD586" s="669"/>
      <c r="DE586" s="669"/>
      <c r="DF586" s="669"/>
      <c r="DG586" s="669"/>
      <c r="DH586" s="669"/>
    </row>
    <row r="587" s="548" customFormat="1" ht="31" customHeight="1" spans="1:112">
      <c r="A587" s="660">
        <v>45895</v>
      </c>
      <c r="B587" s="661"/>
      <c r="C587" s="662"/>
      <c r="D587" s="663" t="s">
        <v>7450</v>
      </c>
      <c r="E587" s="662"/>
      <c r="F587" s="548"/>
      <c r="G587" s="662" t="s">
        <v>6020</v>
      </c>
      <c r="H587" s="662" t="s">
        <v>6021</v>
      </c>
      <c r="I587" s="662">
        <v>1008</v>
      </c>
      <c r="J587" s="662">
        <v>0</v>
      </c>
      <c r="K587" s="662">
        <v>24</v>
      </c>
      <c r="L587" s="665">
        <f t="shared" si="179"/>
        <v>42</v>
      </c>
      <c r="M587" s="666">
        <v>45915</v>
      </c>
      <c r="N587" s="666">
        <v>45911</v>
      </c>
      <c r="O587" s="664"/>
      <c r="P587" s="664" t="s">
        <v>113</v>
      </c>
      <c r="Q587" s="662"/>
      <c r="R587" s="667">
        <v>45895</v>
      </c>
      <c r="S587" s="667" t="s">
        <v>70</v>
      </c>
      <c r="T587" s="667" t="s">
        <v>70</v>
      </c>
      <c r="U587" s="667"/>
      <c r="V587" s="667"/>
      <c r="W587" s="615"/>
      <c r="X587" s="661" t="s">
        <v>7451</v>
      </c>
      <c r="Y587" s="661" t="s">
        <v>92</v>
      </c>
      <c r="Z587" s="675"/>
      <c r="AA587" s="634"/>
      <c r="AC587" s="676" t="s">
        <v>7452</v>
      </c>
      <c r="AD587" s="610" t="s">
        <v>6020</v>
      </c>
      <c r="AE587" s="662" t="s">
        <v>82</v>
      </c>
      <c r="AF587" s="662"/>
      <c r="AG587" s="662"/>
      <c r="AH587" s="662"/>
      <c r="AI587" s="662">
        <v>1008</v>
      </c>
      <c r="AJ587" s="662">
        <f>AI587-I587</f>
        <v>0</v>
      </c>
      <c r="AK587" s="662"/>
      <c r="AL587" s="662"/>
      <c r="AM587" s="662"/>
      <c r="AN587" s="662">
        <f>I587</f>
        <v>1008</v>
      </c>
      <c r="AO587" s="663"/>
      <c r="AP587" s="554">
        <f>I587</f>
        <v>1008</v>
      </c>
      <c r="AR587" s="669"/>
      <c r="AS587" s="548"/>
      <c r="AT587" s="548"/>
      <c r="AU587" s="554">
        <f>I587</f>
        <v>1008</v>
      </c>
      <c r="AW587" s="669"/>
      <c r="AX587" s="548"/>
      <c r="AY587" s="548"/>
      <c r="AZ587" s="548"/>
      <c r="BA587" s="548"/>
      <c r="BB587" s="670">
        <f>I587/24</f>
        <v>42</v>
      </c>
      <c r="BC587" s="671"/>
      <c r="BD587" s="548"/>
      <c r="BE587" s="548"/>
      <c r="BF587" s="548"/>
      <c r="BK587" s="662"/>
      <c r="BL587" s="548"/>
      <c r="BM587" s="548"/>
      <c r="BN587" s="548"/>
      <c r="BO587" s="548"/>
      <c r="BP587" s="548"/>
      <c r="BQ587" s="548"/>
      <c r="BR587" s="548"/>
      <c r="BS587" s="548"/>
      <c r="BT587" s="548"/>
      <c r="BY587" s="669"/>
      <c r="BZ587" s="548"/>
      <c r="CA587" s="672"/>
      <c r="CB587" s="567"/>
      <c r="CC587" s="673"/>
      <c r="CD587" s="669"/>
      <c r="CE587" s="669"/>
      <c r="CF587" s="548"/>
      <c r="CG587" s="548"/>
      <c r="CU587" s="554">
        <f t="shared" si="193"/>
        <v>0</v>
      </c>
      <c r="CV587" s="563">
        <f t="shared" si="190"/>
        <v>0</v>
      </c>
      <c r="CW587" s="563">
        <f t="shared" si="191"/>
        <v>0</v>
      </c>
      <c r="CX587" s="669"/>
      <c r="CY587" s="669"/>
      <c r="CZ587" s="669"/>
      <c r="DA587" s="548"/>
      <c r="DB587" s="548"/>
      <c r="DC587" s="548"/>
      <c r="DD587" s="669"/>
      <c r="DE587" s="669"/>
      <c r="DF587" s="669"/>
      <c r="DG587" s="669"/>
      <c r="DH587" s="669"/>
    </row>
    <row r="588" s="548" customFormat="1" ht="31" customHeight="1" spans="1:112">
      <c r="A588" s="660">
        <v>45895</v>
      </c>
      <c r="B588" s="661"/>
      <c r="C588" s="662"/>
      <c r="D588" s="663" t="s">
        <v>7450</v>
      </c>
      <c r="E588" s="662"/>
      <c r="F588" s="548"/>
      <c r="G588" s="662" t="s">
        <v>6025</v>
      </c>
      <c r="H588" s="662" t="s">
        <v>6026</v>
      </c>
      <c r="I588" s="662">
        <v>1008</v>
      </c>
      <c r="J588" s="662">
        <v>0</v>
      </c>
      <c r="K588" s="662">
        <v>24</v>
      </c>
      <c r="L588" s="665">
        <f t="shared" si="179"/>
        <v>42</v>
      </c>
      <c r="M588" s="666">
        <v>45915</v>
      </c>
      <c r="N588" s="666">
        <v>45911</v>
      </c>
      <c r="O588" s="664"/>
      <c r="P588" s="664" t="s">
        <v>113</v>
      </c>
      <c r="Q588" s="662"/>
      <c r="R588" s="674">
        <v>45895</v>
      </c>
      <c r="S588" s="667" t="s">
        <v>70</v>
      </c>
      <c r="T588" s="667" t="s">
        <v>70</v>
      </c>
      <c r="U588" s="667"/>
      <c r="V588" s="667"/>
      <c r="W588" s="615"/>
      <c r="X588" s="661" t="s">
        <v>7451</v>
      </c>
      <c r="Y588" s="662" t="s">
        <v>92</v>
      </c>
      <c r="Z588" s="663"/>
      <c r="AA588" s="677"/>
      <c r="AC588" s="678" t="s">
        <v>7452</v>
      </c>
      <c r="AD588" s="610" t="s">
        <v>6025</v>
      </c>
      <c r="AE588" s="663" t="s">
        <v>82</v>
      </c>
      <c r="AF588" s="554"/>
      <c r="AG588" s="663"/>
      <c r="AH588" s="663"/>
      <c r="AI588" s="663">
        <f>984+24</f>
        <v>1008</v>
      </c>
      <c r="AJ588" s="662">
        <f>AI588-I588</f>
        <v>0</v>
      </c>
      <c r="AK588" s="679"/>
      <c r="AL588" s="663"/>
      <c r="AM588" s="663"/>
      <c r="AN588" s="670"/>
      <c r="AO588" s="671">
        <f>I588</f>
        <v>1008</v>
      </c>
      <c r="AR588" s="680"/>
      <c r="AS588" s="548"/>
      <c r="AT588" s="554">
        <f>I588</f>
        <v>1008</v>
      </c>
      <c r="AV588" s="554">
        <f>I588</f>
        <v>1008</v>
      </c>
      <c r="AW588" s="669"/>
      <c r="AX588" s="548"/>
      <c r="AY588" s="548"/>
      <c r="AZ588" s="548"/>
      <c r="BA588" s="548"/>
      <c r="BB588" s="620">
        <f>I588/24</f>
        <v>42</v>
      </c>
      <c r="BY588" s="680"/>
      <c r="BZ588" s="548"/>
      <c r="CA588" s="681"/>
      <c r="CB588" s="567"/>
      <c r="CC588" s="682"/>
      <c r="CD588" s="680"/>
      <c r="CE588" s="680"/>
      <c r="CF588" s="548"/>
      <c r="CG588" s="548"/>
      <c r="CK588" s="669"/>
      <c r="CL588" s="669"/>
      <c r="CM588" s="669"/>
      <c r="CN588" s="669"/>
      <c r="CO588" s="669"/>
      <c r="CP588" s="548"/>
      <c r="CQ588" s="548"/>
      <c r="CR588" s="548"/>
      <c r="CS588" s="669"/>
      <c r="CT588" s="669"/>
      <c r="CU588" s="554">
        <f t="shared" si="193"/>
        <v>0</v>
      </c>
      <c r="CV588" s="554">
        <f t="shared" si="190"/>
        <v>0</v>
      </c>
      <c r="CW588" s="554">
        <f t="shared" si="191"/>
        <v>0</v>
      </c>
      <c r="CX588" s="680"/>
      <c r="CY588" s="680"/>
      <c r="CZ588" s="680"/>
      <c r="DA588" s="548"/>
      <c r="DB588" s="548"/>
      <c r="DC588" s="548"/>
      <c r="DD588" s="680"/>
      <c r="DE588" s="680"/>
      <c r="DF588" s="680"/>
      <c r="DG588" s="680"/>
      <c r="DH588" s="680"/>
    </row>
    <row r="589" s="548" customFormat="1" ht="31" customHeight="1" spans="1:112">
      <c r="A589" s="660">
        <v>45789</v>
      </c>
      <c r="B589" s="661" t="s">
        <v>6431</v>
      </c>
      <c r="C589" s="662" t="s">
        <v>98</v>
      </c>
      <c r="D589" s="663">
        <v>4500164352</v>
      </c>
      <c r="E589" s="662" t="s">
        <v>7453</v>
      </c>
      <c r="F589" s="663" t="s">
        <v>7454</v>
      </c>
      <c r="G589" s="662" t="s">
        <v>6423</v>
      </c>
      <c r="H589" s="662" t="s">
        <v>6424</v>
      </c>
      <c r="I589" s="662">
        <v>19968</v>
      </c>
      <c r="J589" s="662">
        <v>0</v>
      </c>
      <c r="K589" s="662">
        <v>48</v>
      </c>
      <c r="L589" s="665">
        <f t="shared" si="179"/>
        <v>416</v>
      </c>
      <c r="M589" s="666">
        <v>45918</v>
      </c>
      <c r="N589" s="666">
        <v>45915</v>
      </c>
      <c r="O589" s="683" t="s">
        <v>7455</v>
      </c>
      <c r="P589" s="664" t="s">
        <v>113</v>
      </c>
      <c r="Q589" s="662"/>
      <c r="R589" s="667" t="s">
        <v>6861</v>
      </c>
      <c r="S589" s="667" t="s">
        <v>70</v>
      </c>
      <c r="T589" s="667" t="s">
        <v>70</v>
      </c>
      <c r="U589" s="667"/>
      <c r="V589" s="667" t="s">
        <v>7291</v>
      </c>
      <c r="W589" s="615"/>
      <c r="X589" s="661" t="s">
        <v>7456</v>
      </c>
      <c r="Y589" s="661" t="s">
        <v>1723</v>
      </c>
      <c r="Z589" s="675">
        <v>0.97</v>
      </c>
      <c r="AA589" s="634">
        <f>I589*Z589</f>
        <v>19368.96</v>
      </c>
      <c r="AC589" s="638" t="s">
        <v>7457</v>
      </c>
      <c r="AD589" s="662" t="s">
        <v>6423</v>
      </c>
      <c r="AE589" s="662" t="s">
        <v>82</v>
      </c>
      <c r="AF589" s="662"/>
      <c r="AG589" s="662"/>
      <c r="AH589" s="662"/>
      <c r="AI589" s="662">
        <f>11952+7968+48</f>
        <v>19968</v>
      </c>
      <c r="AJ589" s="610">
        <f>AI589-I589</f>
        <v>0</v>
      </c>
      <c r="AK589" s="662"/>
      <c r="AL589" s="662"/>
      <c r="AM589" s="662"/>
      <c r="AN589" s="610">
        <f>I589</f>
        <v>19968</v>
      </c>
      <c r="AR589" s="669"/>
      <c r="AS589" s="548"/>
      <c r="AT589" s="548"/>
      <c r="AU589" s="554">
        <f>I589</f>
        <v>19968</v>
      </c>
      <c r="AW589" s="669"/>
      <c r="AX589" s="548"/>
      <c r="AY589" s="548"/>
      <c r="AZ589" s="548"/>
      <c r="BA589" s="548"/>
      <c r="BB589" s="670">
        <f>I589/24</f>
        <v>832</v>
      </c>
      <c r="BC589" s="671">
        <f>I589</f>
        <v>19968</v>
      </c>
      <c r="BS589" s="554">
        <f>I589/8</f>
        <v>2496</v>
      </c>
      <c r="BY589" s="669"/>
      <c r="BZ589" s="548"/>
      <c r="CA589" s="672"/>
      <c r="CB589" s="567"/>
      <c r="CC589" s="673"/>
      <c r="CD589" s="669"/>
      <c r="CE589" s="669"/>
      <c r="CF589" s="548"/>
      <c r="CG589" s="548"/>
      <c r="CU589" s="554">
        <f t="shared" si="193"/>
        <v>0</v>
      </c>
      <c r="CV589" s="663">
        <f t="shared" si="190"/>
        <v>0</v>
      </c>
      <c r="CW589" s="663">
        <f t="shared" si="191"/>
        <v>0</v>
      </c>
      <c r="CX589" s="669"/>
      <c r="CY589" s="669"/>
      <c r="CZ589" s="669"/>
      <c r="DA589" s="548"/>
      <c r="DB589" s="548"/>
      <c r="DC589" s="548"/>
      <c r="DD589" s="669"/>
      <c r="DE589" s="669"/>
      <c r="DF589" s="669"/>
      <c r="DG589" s="669"/>
      <c r="DH589" s="669"/>
    </row>
    <row r="590" s="548" customFormat="1" ht="31" customHeight="1" spans="1:112">
      <c r="A590" s="660">
        <v>45683</v>
      </c>
      <c r="B590" s="661" t="s">
        <v>1720</v>
      </c>
      <c r="C590" s="662" t="s">
        <v>98</v>
      </c>
      <c r="D590" s="663">
        <v>4500156471</v>
      </c>
      <c r="E590" s="662">
        <v>86468</v>
      </c>
      <c r="F590" s="663" t="s">
        <v>7458</v>
      </c>
      <c r="G590" s="662" t="s">
        <v>6032</v>
      </c>
      <c r="H590" s="662" t="s">
        <v>6033</v>
      </c>
      <c r="I590" s="662">
        <v>2236</v>
      </c>
      <c r="J590" s="662">
        <v>0</v>
      </c>
      <c r="K590" s="662">
        <v>52</v>
      </c>
      <c r="L590" s="665">
        <f t="shared" si="179"/>
        <v>43</v>
      </c>
      <c r="M590" s="666">
        <v>45918</v>
      </c>
      <c r="N590" s="666">
        <v>45915</v>
      </c>
      <c r="O590" s="664"/>
      <c r="P590" s="664" t="s">
        <v>113</v>
      </c>
      <c r="Q590" s="662"/>
      <c r="R590" s="667" t="s">
        <v>7459</v>
      </c>
      <c r="S590" s="667" t="s">
        <v>104</v>
      </c>
      <c r="T590" s="667">
        <v>45869</v>
      </c>
      <c r="U590" s="667"/>
      <c r="V590" s="667"/>
      <c r="W590" s="615"/>
      <c r="X590" s="661" t="s">
        <v>7460</v>
      </c>
      <c r="Y590" s="661" t="s">
        <v>1723</v>
      </c>
      <c r="Z590" s="675">
        <v>0.5536</v>
      </c>
      <c r="AA590" s="634">
        <f>Z590*I590</f>
        <v>1237.8496</v>
      </c>
      <c r="AC590" s="638" t="s">
        <v>1724</v>
      </c>
      <c r="AD590" s="662" t="s">
        <v>6032</v>
      </c>
      <c r="AE590" s="662" t="s">
        <v>82</v>
      </c>
      <c r="AF590" s="662"/>
      <c r="AG590" s="662"/>
      <c r="AH590" s="662"/>
      <c r="AI590" s="662">
        <f>2236</f>
        <v>2236</v>
      </c>
      <c r="AJ590" s="662">
        <f>AI590-I590</f>
        <v>0</v>
      </c>
      <c r="AK590" s="662"/>
      <c r="AL590" s="662"/>
      <c r="AM590" s="662"/>
      <c r="AN590" s="662">
        <f t="shared" ref="AN589:AN591" si="194">I590</f>
        <v>2236</v>
      </c>
      <c r="AP590" s="554">
        <f>I590</f>
        <v>2236</v>
      </c>
      <c r="AR590" s="669"/>
      <c r="AS590" s="548"/>
      <c r="AT590" s="548"/>
      <c r="AU590" s="554">
        <f>I590</f>
        <v>2236</v>
      </c>
      <c r="AW590" s="669"/>
      <c r="AX590" s="548"/>
      <c r="AY590" s="548"/>
      <c r="AZ590" s="548"/>
      <c r="BA590" s="548"/>
      <c r="BB590" s="670">
        <f>I590/24</f>
        <v>93.1666666666667</v>
      </c>
      <c r="BC590" s="671"/>
      <c r="BD590" s="548"/>
      <c r="BE590" s="548"/>
      <c r="BF590" s="548"/>
      <c r="BK590" s="554">
        <f>I590/13</f>
        <v>172</v>
      </c>
      <c r="BY590" s="669"/>
      <c r="BZ590" s="548"/>
      <c r="CA590" s="672"/>
      <c r="CB590" s="567"/>
      <c r="CC590" s="673"/>
      <c r="CD590" s="669"/>
      <c r="CE590" s="669"/>
      <c r="CF590" s="548"/>
      <c r="CG590" s="548"/>
      <c r="CU590" s="554">
        <f t="shared" si="193"/>
        <v>0</v>
      </c>
      <c r="CV590" s="554">
        <f t="shared" si="190"/>
        <v>0</v>
      </c>
      <c r="CW590" s="554">
        <f t="shared" si="191"/>
        <v>0</v>
      </c>
      <c r="CX590" s="669"/>
      <c r="CY590" s="669"/>
      <c r="CZ590" s="669"/>
      <c r="DA590" s="548"/>
      <c r="DB590" s="548"/>
      <c r="DC590" s="548"/>
      <c r="DD590" s="669"/>
      <c r="DE590" s="669"/>
      <c r="DF590" s="669"/>
      <c r="DG590" s="669"/>
      <c r="DH590" s="669"/>
    </row>
    <row r="591" s="548" customFormat="1" ht="31" customHeight="1" spans="1:112">
      <c r="A591" s="660">
        <v>45880</v>
      </c>
      <c r="B591" s="661" t="s">
        <v>379</v>
      </c>
      <c r="C591" s="662" t="s">
        <v>98</v>
      </c>
      <c r="D591" s="663">
        <v>4500176521</v>
      </c>
      <c r="E591" s="662" t="s">
        <v>1778</v>
      </c>
      <c r="F591" s="663" t="s">
        <v>7461</v>
      </c>
      <c r="G591" s="662" t="s">
        <v>6036</v>
      </c>
      <c r="H591" s="662" t="s">
        <v>6033</v>
      </c>
      <c r="I591" s="662">
        <v>4800</v>
      </c>
      <c r="J591" s="662">
        <v>0</v>
      </c>
      <c r="K591" s="662">
        <v>50</v>
      </c>
      <c r="L591" s="665">
        <f t="shared" si="179"/>
        <v>96</v>
      </c>
      <c r="M591" s="666">
        <v>45918</v>
      </c>
      <c r="N591" s="666">
        <v>45915</v>
      </c>
      <c r="O591" s="664"/>
      <c r="P591" s="664" t="s">
        <v>113</v>
      </c>
      <c r="Q591" s="662"/>
      <c r="R591" s="667">
        <v>45888</v>
      </c>
      <c r="S591" s="667" t="s">
        <v>70</v>
      </c>
      <c r="T591" s="667" t="s">
        <v>70</v>
      </c>
      <c r="U591" s="667"/>
      <c r="V591" s="667"/>
      <c r="W591" s="615"/>
      <c r="X591" s="661" t="s">
        <v>1780</v>
      </c>
      <c r="Y591" s="661" t="s">
        <v>1781</v>
      </c>
      <c r="Z591" s="661">
        <v>0.5704</v>
      </c>
      <c r="AA591" s="634">
        <f>Z591*I591</f>
        <v>2737.92</v>
      </c>
      <c r="AC591" s="638" t="s">
        <v>1782</v>
      </c>
      <c r="AD591" s="662" t="s">
        <v>6036</v>
      </c>
      <c r="AE591" s="662" t="s">
        <v>82</v>
      </c>
      <c r="AF591" s="662"/>
      <c r="AG591" s="662"/>
      <c r="AH591" s="662"/>
      <c r="AI591" s="662">
        <v>4800</v>
      </c>
      <c r="AJ591" s="662">
        <v>0</v>
      </c>
      <c r="AK591" s="662"/>
      <c r="AL591" s="662"/>
      <c r="AM591" s="662"/>
      <c r="AN591" s="662">
        <f t="shared" si="194"/>
        <v>4800</v>
      </c>
      <c r="AP591" s="554">
        <f>I591</f>
        <v>4800</v>
      </c>
      <c r="AR591" s="669"/>
      <c r="AS591" s="548"/>
      <c r="AT591" s="548"/>
      <c r="AU591" s="554">
        <f>I591</f>
        <v>4800</v>
      </c>
      <c r="AW591" s="669"/>
      <c r="AX591" s="548"/>
      <c r="AY591" s="548"/>
      <c r="AZ591" s="548"/>
      <c r="BA591" s="548"/>
      <c r="BB591" s="670">
        <f>I591/24</f>
        <v>200</v>
      </c>
      <c r="BC591" s="671"/>
      <c r="BD591" s="548"/>
      <c r="BE591" s="548"/>
      <c r="BF591" s="548"/>
      <c r="BN591" s="554">
        <f>I591/25</f>
        <v>192</v>
      </c>
      <c r="BY591" s="669"/>
      <c r="BZ591" s="548"/>
      <c r="CA591" s="672"/>
      <c r="CB591" s="567"/>
      <c r="CC591" s="673"/>
      <c r="CD591" s="669"/>
      <c r="CE591" s="669"/>
      <c r="CF591" s="548"/>
      <c r="CG591" s="548"/>
      <c r="CU591" s="554">
        <f t="shared" si="193"/>
        <v>192</v>
      </c>
      <c r="CV591" s="663">
        <f t="shared" si="190"/>
        <v>0</v>
      </c>
      <c r="CW591" s="663">
        <f t="shared" si="191"/>
        <v>0</v>
      </c>
      <c r="CX591" s="669"/>
      <c r="CY591" s="669"/>
      <c r="CZ591" s="669"/>
      <c r="DA591" s="548"/>
      <c r="DB591" s="548"/>
      <c r="DC591" s="548"/>
      <c r="DD591" s="669"/>
      <c r="DE591" s="669"/>
      <c r="DF591" s="669"/>
      <c r="DG591" s="669"/>
      <c r="DH591" s="669"/>
    </row>
    <row r="592" s="548" customFormat="1" ht="31" customHeight="1" spans="1:112">
      <c r="A592" s="660">
        <v>45881</v>
      </c>
      <c r="B592" s="661" t="s">
        <v>1728</v>
      </c>
      <c r="C592" s="662" t="s">
        <v>154</v>
      </c>
      <c r="D592" s="663">
        <v>4500176746</v>
      </c>
      <c r="E592" s="662">
        <v>4400502983</v>
      </c>
      <c r="F592" s="663" t="s">
        <v>7462</v>
      </c>
      <c r="G592" s="662" t="s">
        <v>6047</v>
      </c>
      <c r="H592" s="662" t="s">
        <v>6069</v>
      </c>
      <c r="I592" s="662">
        <v>2500</v>
      </c>
      <c r="J592" s="662">
        <v>0</v>
      </c>
      <c r="K592" s="662">
        <v>25</v>
      </c>
      <c r="L592" s="665">
        <f t="shared" si="179"/>
        <v>100</v>
      </c>
      <c r="M592" s="666">
        <v>45918</v>
      </c>
      <c r="N592" s="666">
        <v>45915</v>
      </c>
      <c r="O592" s="664"/>
      <c r="P592" s="664" t="s">
        <v>113</v>
      </c>
      <c r="Q592" s="662"/>
      <c r="R592" s="667">
        <v>45881</v>
      </c>
      <c r="S592" s="667" t="s">
        <v>70</v>
      </c>
      <c r="T592" s="667" t="s">
        <v>6736</v>
      </c>
      <c r="U592" s="667"/>
      <c r="V592" s="667"/>
      <c r="W592" s="615"/>
      <c r="X592" s="661" t="s">
        <v>7463</v>
      </c>
      <c r="Y592" s="661" t="s">
        <v>1549</v>
      </c>
      <c r="Z592" s="661">
        <v>0.9417</v>
      </c>
      <c r="AA592" s="634">
        <f>Z592*I592</f>
        <v>2354.25</v>
      </c>
      <c r="AC592" s="638" t="s">
        <v>7464</v>
      </c>
      <c r="AD592" s="662" t="s">
        <v>6073</v>
      </c>
      <c r="AE592" s="662" t="s">
        <v>82</v>
      </c>
      <c r="AF592" s="662"/>
      <c r="AG592" s="662"/>
      <c r="AH592" s="662"/>
      <c r="AI592" s="662">
        <v>2500</v>
      </c>
      <c r="AJ592" s="662">
        <f>AI592-I592</f>
        <v>0</v>
      </c>
      <c r="AK592" s="662"/>
      <c r="AL592" s="662"/>
      <c r="AM592" s="662"/>
      <c r="AN592" s="662"/>
      <c r="AO592" s="663">
        <f>I592</f>
        <v>2500</v>
      </c>
      <c r="AR592" s="669"/>
      <c r="AS592" s="548"/>
      <c r="AT592" s="548"/>
      <c r="AU592" s="548"/>
      <c r="AV592" s="554">
        <f>I592</f>
        <v>2500</v>
      </c>
      <c r="AW592" s="669"/>
      <c r="AX592" s="548"/>
      <c r="AY592" s="548"/>
      <c r="AZ592" s="548"/>
      <c r="BA592" s="548"/>
      <c r="BB592" s="670">
        <f>I592/24*2</f>
        <v>208.333333333333</v>
      </c>
      <c r="BC592" s="671"/>
      <c r="BD592" s="548"/>
      <c r="BE592" s="663">
        <f>I592</f>
        <v>2500</v>
      </c>
      <c r="BP592" s="554">
        <f>I592/25</f>
        <v>100</v>
      </c>
      <c r="BY592" s="669"/>
      <c r="BZ592" s="548"/>
      <c r="CA592" s="672"/>
      <c r="CB592" s="567"/>
      <c r="CC592" s="673"/>
      <c r="CD592" s="669"/>
      <c r="CE592" s="669"/>
      <c r="CF592" s="548"/>
      <c r="CG592" s="548"/>
      <c r="CU592" s="554">
        <f t="shared" si="193"/>
        <v>100</v>
      </c>
      <c r="CV592" s="663">
        <f t="shared" si="190"/>
        <v>0</v>
      </c>
      <c r="CW592" s="663">
        <f t="shared" si="191"/>
        <v>0</v>
      </c>
      <c r="CX592" s="669"/>
      <c r="CY592" s="669"/>
      <c r="CZ592" s="669"/>
      <c r="DA592" s="548"/>
      <c r="DB592" s="548"/>
      <c r="DC592" s="548"/>
      <c r="DD592" s="669"/>
      <c r="DE592" s="669"/>
      <c r="DF592" s="669"/>
      <c r="DG592" s="669"/>
      <c r="DH592" s="669"/>
    </row>
    <row r="593" s="548" customFormat="1" ht="31" customHeight="1" spans="1:112">
      <c r="A593" s="660">
        <v>45877</v>
      </c>
      <c r="B593" s="661" t="s">
        <v>1906</v>
      </c>
      <c r="C593" s="662" t="s">
        <v>154</v>
      </c>
      <c r="D593" s="663">
        <v>4500176320</v>
      </c>
      <c r="E593" s="662">
        <v>5200007402</v>
      </c>
      <c r="F593" s="663" t="s">
        <v>7465</v>
      </c>
      <c r="G593" s="684" t="s">
        <v>6120</v>
      </c>
      <c r="H593" s="662" t="s">
        <v>6094</v>
      </c>
      <c r="I593" s="662">
        <v>1209</v>
      </c>
      <c r="J593" s="662">
        <v>0</v>
      </c>
      <c r="K593" s="662">
        <v>13</v>
      </c>
      <c r="L593" s="665">
        <f t="shared" si="179"/>
        <v>93</v>
      </c>
      <c r="M593" s="666">
        <v>45919</v>
      </c>
      <c r="N593" s="666">
        <v>45915</v>
      </c>
      <c r="O593" s="664"/>
      <c r="P593" s="664" t="s">
        <v>113</v>
      </c>
      <c r="Q593" s="662"/>
      <c r="R593" s="667">
        <v>45887</v>
      </c>
      <c r="S593" s="667" t="s">
        <v>70</v>
      </c>
      <c r="T593" s="667" t="s">
        <v>6121</v>
      </c>
      <c r="U593" s="667"/>
      <c r="V593" s="667"/>
      <c r="W593" s="615"/>
      <c r="X593" s="661" t="s">
        <v>7466</v>
      </c>
      <c r="Y593" s="661" t="s">
        <v>7467</v>
      </c>
      <c r="Z593" s="675">
        <v>0.8947</v>
      </c>
      <c r="AA593" s="634">
        <f t="shared" ref="AA593:AA610" si="195">Z593*I593</f>
        <v>1081.6923</v>
      </c>
      <c r="AC593" s="676" t="s">
        <v>7468</v>
      </c>
      <c r="AD593" s="662" t="s">
        <v>6093</v>
      </c>
      <c r="AE593" s="662" t="s">
        <v>82</v>
      </c>
      <c r="AF593" s="662"/>
      <c r="AG593" s="662"/>
      <c r="AH593" s="662"/>
      <c r="AI593" s="662">
        <v>1209</v>
      </c>
      <c r="AJ593" s="662">
        <f t="shared" ref="AJ593:AJ614" si="196">AI593-I593</f>
        <v>0</v>
      </c>
      <c r="AK593" s="662"/>
      <c r="AL593" s="662"/>
      <c r="AM593" s="662"/>
      <c r="AN593" s="662"/>
      <c r="AO593" s="663">
        <f t="shared" ref="AO593:AO600" si="197">I593</f>
        <v>1209</v>
      </c>
      <c r="AP593" s="663"/>
      <c r="AQ593" s="663"/>
      <c r="AR593" s="669"/>
      <c r="AS593" s="663"/>
      <c r="AT593" s="554">
        <f>I593</f>
        <v>1209</v>
      </c>
      <c r="AU593" s="663"/>
      <c r="AV593" s="554">
        <f>I593</f>
        <v>1209</v>
      </c>
      <c r="AW593" s="669"/>
      <c r="AX593" s="663"/>
      <c r="AY593" s="663"/>
      <c r="AZ593" s="663"/>
      <c r="BA593" s="663"/>
      <c r="BB593" s="620">
        <f>I593/24</f>
        <v>50.375</v>
      </c>
      <c r="BC593" s="671"/>
      <c r="BD593" s="663"/>
      <c r="BE593" s="663"/>
      <c r="BF593" s="663"/>
      <c r="BH593" s="663"/>
      <c r="BI593" s="663"/>
      <c r="BJ593" s="663"/>
      <c r="BK593" s="663"/>
      <c r="BL593" s="663"/>
      <c r="BM593" s="554">
        <f>I593/13</f>
        <v>93</v>
      </c>
      <c r="BN593" s="663"/>
      <c r="BO593" s="663"/>
      <c r="BP593" s="663"/>
      <c r="BQ593" s="663"/>
      <c r="BR593" s="663"/>
      <c r="BS593" s="663"/>
      <c r="BT593" s="663"/>
      <c r="BU593" s="663"/>
      <c r="BV593" s="663"/>
      <c r="BW593" s="663"/>
      <c r="BX593" s="663"/>
      <c r="BY593" s="669"/>
      <c r="BZ593" s="663"/>
      <c r="CA593" s="672"/>
      <c r="CB593" s="567"/>
      <c r="CC593" s="673"/>
      <c r="CD593" s="669"/>
      <c r="CE593" s="669"/>
      <c r="CF593" s="663"/>
      <c r="CG593" s="663"/>
      <c r="CI593" s="663"/>
      <c r="CJ593" s="663"/>
      <c r="CK593" s="663"/>
      <c r="CL593" s="663"/>
      <c r="CM593" s="663"/>
      <c r="CN593" s="663"/>
      <c r="CO593" s="663"/>
      <c r="CP593" s="663"/>
      <c r="CQ593" s="663"/>
      <c r="CR593" s="663"/>
      <c r="CS593" s="663"/>
      <c r="CT593" s="663"/>
      <c r="CU593" s="554">
        <f t="shared" si="193"/>
        <v>0</v>
      </c>
      <c r="CV593" s="663">
        <f t="shared" ref="CV593:CV614" si="198">CK593+CL593+CM593+CN593+CO593+CQ593+CP593</f>
        <v>0</v>
      </c>
      <c r="CW593" s="663">
        <f t="shared" ref="CW593:CW614" si="199">CI593+CJ593</f>
        <v>0</v>
      </c>
      <c r="CX593" s="669"/>
      <c r="CY593" s="669"/>
      <c r="CZ593" s="669"/>
      <c r="DA593" s="548"/>
      <c r="DB593" s="548"/>
      <c r="DC593" s="548"/>
      <c r="DD593" s="669"/>
      <c r="DE593" s="669"/>
      <c r="DF593" s="669"/>
      <c r="DG593" s="669"/>
      <c r="DH593" s="669"/>
    </row>
    <row r="594" s="548" customFormat="1" ht="31" customHeight="1" spans="1:112">
      <c r="A594" s="660">
        <v>45883</v>
      </c>
      <c r="B594" s="661" t="s">
        <v>448</v>
      </c>
      <c r="C594" s="662" t="s">
        <v>399</v>
      </c>
      <c r="D594" s="663">
        <v>4500176886</v>
      </c>
      <c r="E594" s="662"/>
      <c r="F594" s="663" t="s">
        <v>7469</v>
      </c>
      <c r="G594" s="684" t="s">
        <v>6093</v>
      </c>
      <c r="H594" s="662" t="s">
        <v>6094</v>
      </c>
      <c r="I594" s="662">
        <v>4199</v>
      </c>
      <c r="J594" s="662">
        <v>0</v>
      </c>
      <c r="K594" s="662">
        <v>13</v>
      </c>
      <c r="L594" s="665">
        <f t="shared" si="179"/>
        <v>323</v>
      </c>
      <c r="M594" s="666">
        <v>45919</v>
      </c>
      <c r="N594" s="666">
        <v>45915</v>
      </c>
      <c r="O594" s="664"/>
      <c r="P594" s="664" t="s">
        <v>113</v>
      </c>
      <c r="Q594" s="662"/>
      <c r="R594" s="667">
        <v>45884</v>
      </c>
      <c r="S594" s="667" t="s">
        <v>70</v>
      </c>
      <c r="T594" s="667" t="s">
        <v>7470</v>
      </c>
      <c r="U594" s="667"/>
      <c r="V594" s="667"/>
      <c r="W594" s="615"/>
      <c r="X594" s="661" t="s">
        <v>7471</v>
      </c>
      <c r="Y594" s="661" t="s">
        <v>445</v>
      </c>
      <c r="Z594" s="675">
        <v>0.9116</v>
      </c>
      <c r="AA594" s="634">
        <f t="shared" si="195"/>
        <v>3827.8084</v>
      </c>
      <c r="AC594" s="638" t="s">
        <v>1764</v>
      </c>
      <c r="AD594" s="662" t="s">
        <v>6093</v>
      </c>
      <c r="AE594" s="662" t="s">
        <v>82</v>
      </c>
      <c r="AF594" s="662"/>
      <c r="AG594" s="662"/>
      <c r="AH594" s="662"/>
      <c r="AI594" s="662">
        <v>4199</v>
      </c>
      <c r="AJ594" s="662">
        <f t="shared" si="196"/>
        <v>0</v>
      </c>
      <c r="AK594" s="662"/>
      <c r="AL594" s="662"/>
      <c r="AM594" s="662"/>
      <c r="AN594" s="662"/>
      <c r="AO594" s="663">
        <f t="shared" si="197"/>
        <v>4199</v>
      </c>
      <c r="AP594" s="663"/>
      <c r="AQ594" s="663"/>
      <c r="AR594" s="669"/>
      <c r="AS594" s="663"/>
      <c r="AT594" s="554">
        <f>I594</f>
        <v>4199</v>
      </c>
      <c r="AU594" s="663"/>
      <c r="AV594" s="554">
        <f>I594</f>
        <v>4199</v>
      </c>
      <c r="AW594" s="669"/>
      <c r="AX594" s="663"/>
      <c r="AY594" s="663"/>
      <c r="AZ594" s="663"/>
      <c r="BA594" s="663"/>
      <c r="BB594" s="620">
        <f>I594/24</f>
        <v>174.958333333333</v>
      </c>
      <c r="BC594" s="671"/>
      <c r="BD594" s="663"/>
      <c r="BE594" s="663"/>
      <c r="BF594" s="663"/>
      <c r="BH594" s="663"/>
      <c r="BI594" s="663"/>
      <c r="BJ594" s="663"/>
      <c r="BK594" s="663"/>
      <c r="BL594" s="663"/>
      <c r="BM594" s="554">
        <f>I594/13</f>
        <v>323</v>
      </c>
      <c r="BN594" s="663"/>
      <c r="BO594" s="663"/>
      <c r="BP594" s="663"/>
      <c r="BQ594" s="663"/>
      <c r="BR594" s="663"/>
      <c r="BS594" s="663"/>
      <c r="BT594" s="663"/>
      <c r="BU594" s="663"/>
      <c r="BV594" s="663"/>
      <c r="BW594" s="663"/>
      <c r="BX594" s="663"/>
      <c r="BY594" s="669"/>
      <c r="BZ594" s="663"/>
      <c r="CA594" s="672"/>
      <c r="CB594" s="567"/>
      <c r="CC594" s="673"/>
      <c r="CD594" s="669"/>
      <c r="CE594" s="669"/>
      <c r="CF594" s="663"/>
      <c r="CG594" s="663"/>
      <c r="CI594" s="663"/>
      <c r="CJ594" s="663"/>
      <c r="CK594" s="663"/>
      <c r="CL594" s="663"/>
      <c r="CM594" s="663"/>
      <c r="CN594" s="663"/>
      <c r="CO594" s="663"/>
      <c r="CP594" s="663"/>
      <c r="CQ594" s="663"/>
      <c r="CR594" s="663"/>
      <c r="CS594" s="663"/>
      <c r="CT594" s="663"/>
      <c r="CU594" s="554">
        <f t="shared" si="193"/>
        <v>0</v>
      </c>
      <c r="CV594" s="663">
        <f t="shared" si="198"/>
        <v>0</v>
      </c>
      <c r="CW594" s="663">
        <f t="shared" si="199"/>
        <v>0</v>
      </c>
      <c r="CX594" s="669"/>
      <c r="CY594" s="669"/>
      <c r="CZ594" s="669"/>
      <c r="DA594" s="548"/>
      <c r="DB594" s="548"/>
      <c r="DC594" s="548"/>
      <c r="DD594" s="669"/>
      <c r="DE594" s="669"/>
      <c r="DF594" s="669"/>
      <c r="DG594" s="669"/>
      <c r="DH594" s="669"/>
    </row>
    <row r="595" s="548" customFormat="1" ht="31" customHeight="1" spans="1:112">
      <c r="A595" s="660">
        <v>45883</v>
      </c>
      <c r="B595" s="661" t="s">
        <v>448</v>
      </c>
      <c r="C595" s="662" t="s">
        <v>399</v>
      </c>
      <c r="D595" s="663">
        <v>4500176886</v>
      </c>
      <c r="E595" s="662"/>
      <c r="F595" s="663" t="s">
        <v>1765</v>
      </c>
      <c r="G595" s="684" t="s">
        <v>6337</v>
      </c>
      <c r="H595" s="662" t="s">
        <v>477</v>
      </c>
      <c r="I595" s="662">
        <v>420</v>
      </c>
      <c r="J595" s="662">
        <v>0</v>
      </c>
      <c r="K595" s="662">
        <v>6</v>
      </c>
      <c r="L595" s="665">
        <f t="shared" si="179"/>
        <v>70</v>
      </c>
      <c r="M595" s="666">
        <v>45920</v>
      </c>
      <c r="N595" s="666">
        <v>45916</v>
      </c>
      <c r="O595" s="664"/>
      <c r="P595" s="664" t="s">
        <v>113</v>
      </c>
      <c r="Q595" s="662"/>
      <c r="R595" s="667">
        <v>45884</v>
      </c>
      <c r="S595" s="667" t="s">
        <v>70</v>
      </c>
      <c r="T595" s="667">
        <v>45889</v>
      </c>
      <c r="U595" s="667"/>
      <c r="V595" s="667"/>
      <c r="W595" s="615"/>
      <c r="X595" s="661" t="s">
        <v>7472</v>
      </c>
      <c r="Y595" s="661" t="s">
        <v>445</v>
      </c>
      <c r="Z595" s="675">
        <v>7.1628</v>
      </c>
      <c r="AA595" s="634">
        <f t="shared" si="195"/>
        <v>3008.376</v>
      </c>
      <c r="AC595" s="638" t="s">
        <v>1764</v>
      </c>
      <c r="AD595" s="662" t="s">
        <v>480</v>
      </c>
      <c r="AE595" s="662" t="s">
        <v>82</v>
      </c>
      <c r="AF595" s="662"/>
      <c r="AG595" s="662"/>
      <c r="AH595" s="662"/>
      <c r="AI595" s="662"/>
      <c r="AJ595" s="662">
        <f t="shared" si="196"/>
        <v>-420</v>
      </c>
      <c r="AK595" s="662"/>
      <c r="AL595" s="662"/>
      <c r="AM595" s="662"/>
      <c r="AN595" s="662"/>
      <c r="AO595" s="554">
        <f>I595*2</f>
        <v>840</v>
      </c>
      <c r="AP595" s="663"/>
      <c r="AQ595" s="663"/>
      <c r="AR595" s="669"/>
      <c r="AS595" s="663"/>
      <c r="AT595" s="554">
        <f>I595*2</f>
        <v>840</v>
      </c>
      <c r="AU595" s="663"/>
      <c r="AV595" s="554">
        <f>I595*2</f>
        <v>840</v>
      </c>
      <c r="AW595" s="669"/>
      <c r="AX595" s="663"/>
      <c r="AY595" s="663"/>
      <c r="AZ595" s="663"/>
      <c r="BA595" s="663"/>
      <c r="BB595" s="620">
        <f>I595/24*2</f>
        <v>35</v>
      </c>
      <c r="BC595" s="671"/>
      <c r="BD595" s="663"/>
      <c r="BE595" s="663"/>
      <c r="BF595" s="663"/>
      <c r="BH595" s="663"/>
      <c r="BI595" s="663"/>
      <c r="BJ595" s="663"/>
      <c r="BK595" s="663"/>
      <c r="BL595" s="663"/>
      <c r="BM595" s="663"/>
      <c r="BN595" s="663"/>
      <c r="BO595" s="663"/>
      <c r="BP595" s="663"/>
      <c r="BQ595" s="663"/>
      <c r="BR595" s="663"/>
      <c r="BS595" s="663"/>
      <c r="BT595" s="663"/>
      <c r="BU595" s="663"/>
      <c r="BV595" s="663"/>
      <c r="BW595" s="663"/>
      <c r="BX595" s="663"/>
      <c r="BY595" s="619"/>
      <c r="BZ595" s="554">
        <f>I595</f>
        <v>420</v>
      </c>
      <c r="CA595" s="672"/>
      <c r="CB595" s="567"/>
      <c r="CC595" s="673"/>
      <c r="CD595" s="669"/>
      <c r="CE595" s="669"/>
      <c r="CF595" s="663"/>
      <c r="CG595" s="663"/>
      <c r="CI595" s="663"/>
      <c r="CJ595" s="663"/>
      <c r="CK595" s="663"/>
      <c r="CL595" s="663"/>
      <c r="CM595" s="663"/>
      <c r="CN595" s="663"/>
      <c r="CO595" s="663"/>
      <c r="CP595" s="663"/>
      <c r="CQ595" s="663"/>
      <c r="CR595" s="663"/>
      <c r="CS595" s="663"/>
      <c r="CT595" s="663"/>
      <c r="CU595" s="554">
        <f t="shared" si="193"/>
        <v>0</v>
      </c>
      <c r="CV595" s="663">
        <f t="shared" si="198"/>
        <v>0</v>
      </c>
      <c r="CW595" s="663">
        <f t="shared" si="199"/>
        <v>0</v>
      </c>
      <c r="CX595" s="669"/>
      <c r="CY595" s="669"/>
      <c r="CZ595" s="669"/>
      <c r="DA595" s="548"/>
      <c r="DB595" s="548"/>
      <c r="DC595" s="548"/>
      <c r="DD595" s="669"/>
      <c r="DE595" s="669"/>
      <c r="DF595" s="669"/>
      <c r="DG595" s="669"/>
      <c r="DH595" s="669"/>
    </row>
    <row r="596" s="548" customFormat="1" ht="31" customHeight="1" spans="1:112">
      <c r="A596" s="660">
        <v>45881</v>
      </c>
      <c r="B596" s="661" t="s">
        <v>1728</v>
      </c>
      <c r="C596" s="662" t="s">
        <v>154</v>
      </c>
      <c r="D596" s="663">
        <v>4500176744</v>
      </c>
      <c r="E596" s="662">
        <v>4400502972</v>
      </c>
      <c r="F596" s="663" t="s">
        <v>7473</v>
      </c>
      <c r="G596" s="684" t="s">
        <v>6047</v>
      </c>
      <c r="H596" s="662" t="s">
        <v>6069</v>
      </c>
      <c r="I596" s="662">
        <v>2500</v>
      </c>
      <c r="J596" s="662">
        <v>0</v>
      </c>
      <c r="K596" s="662">
        <v>25</v>
      </c>
      <c r="L596" s="665">
        <f t="shared" si="179"/>
        <v>100</v>
      </c>
      <c r="M596" s="666">
        <v>45920</v>
      </c>
      <c r="N596" s="666">
        <v>45916</v>
      </c>
      <c r="O596" s="664"/>
      <c r="P596" s="664" t="s">
        <v>113</v>
      </c>
      <c r="Q596" s="662"/>
      <c r="R596" s="667">
        <v>45881</v>
      </c>
      <c r="S596" s="667" t="s">
        <v>70</v>
      </c>
      <c r="T596" s="667" t="s">
        <v>6736</v>
      </c>
      <c r="U596" s="667"/>
      <c r="V596" s="667"/>
      <c r="W596" s="615"/>
      <c r="X596" s="661" t="s">
        <v>7463</v>
      </c>
      <c r="Y596" s="661" t="s">
        <v>1549</v>
      </c>
      <c r="Z596" s="661">
        <v>0.9417</v>
      </c>
      <c r="AA596" s="634">
        <f t="shared" si="195"/>
        <v>2354.25</v>
      </c>
      <c r="AC596" s="638" t="s">
        <v>7474</v>
      </c>
      <c r="AD596" s="662" t="s">
        <v>6073</v>
      </c>
      <c r="AE596" s="662" t="s">
        <v>82</v>
      </c>
      <c r="AF596" s="662"/>
      <c r="AG596" s="662"/>
      <c r="AH596" s="662"/>
      <c r="AI596" s="662">
        <v>2500</v>
      </c>
      <c r="AJ596" s="662">
        <f t="shared" si="196"/>
        <v>0</v>
      </c>
      <c r="AK596" s="662"/>
      <c r="AL596" s="662"/>
      <c r="AM596" s="662"/>
      <c r="AN596" s="662"/>
      <c r="AO596" s="663">
        <f t="shared" si="197"/>
        <v>2500</v>
      </c>
      <c r="AP596" s="663"/>
      <c r="AQ596" s="663"/>
      <c r="AR596" s="669"/>
      <c r="AS596" s="663"/>
      <c r="AT596" s="663"/>
      <c r="AU596" s="663"/>
      <c r="AV596" s="554">
        <f>I596</f>
        <v>2500</v>
      </c>
      <c r="AW596" s="669"/>
      <c r="AX596" s="663"/>
      <c r="AY596" s="663"/>
      <c r="AZ596" s="663"/>
      <c r="BA596" s="663"/>
      <c r="BB596" s="670">
        <f>I596/24*2</f>
        <v>208.333333333333</v>
      </c>
      <c r="BC596" s="671"/>
      <c r="BD596" s="663"/>
      <c r="BE596" s="663">
        <f>I596</f>
        <v>2500</v>
      </c>
      <c r="BF596" s="663"/>
      <c r="BH596" s="663"/>
      <c r="BI596" s="663"/>
      <c r="BJ596" s="663"/>
      <c r="BK596" s="663"/>
      <c r="BL596" s="663"/>
      <c r="BM596" s="663"/>
      <c r="BN596" s="663"/>
      <c r="BO596" s="663"/>
      <c r="BP596" s="554">
        <f>I596/25</f>
        <v>100</v>
      </c>
      <c r="BQ596" s="663"/>
      <c r="BR596" s="663"/>
      <c r="BS596" s="663"/>
      <c r="BT596" s="663"/>
      <c r="BU596" s="663"/>
      <c r="BV596" s="663"/>
      <c r="BW596" s="663"/>
      <c r="BX596" s="663"/>
      <c r="BY596" s="669"/>
      <c r="BZ596" s="663"/>
      <c r="CA596" s="672"/>
      <c r="CB596" s="567"/>
      <c r="CC596" s="673"/>
      <c r="CD596" s="669"/>
      <c r="CE596" s="669"/>
      <c r="CF596" s="663"/>
      <c r="CG596" s="663"/>
      <c r="CI596" s="663"/>
      <c r="CJ596" s="663"/>
      <c r="CK596" s="663"/>
      <c r="CL596" s="663"/>
      <c r="CM596" s="663"/>
      <c r="CN596" s="663"/>
      <c r="CO596" s="663"/>
      <c r="CP596" s="663"/>
      <c r="CQ596" s="663"/>
      <c r="CR596" s="663"/>
      <c r="CS596" s="663"/>
      <c r="CT596" s="663"/>
      <c r="CU596" s="554">
        <f t="shared" si="193"/>
        <v>100</v>
      </c>
      <c r="CV596" s="663">
        <f t="shared" si="198"/>
        <v>0</v>
      </c>
      <c r="CW596" s="663">
        <f t="shared" si="199"/>
        <v>0</v>
      </c>
      <c r="CX596" s="669"/>
      <c r="CY596" s="669"/>
      <c r="CZ596" s="669"/>
      <c r="DA596" s="548"/>
      <c r="DB596" s="548"/>
      <c r="DC596" s="548"/>
      <c r="DD596" s="669"/>
      <c r="DE596" s="669"/>
      <c r="DF596" s="669"/>
      <c r="DG596" s="669"/>
      <c r="DH596" s="669"/>
    </row>
    <row r="597" s="548" customFormat="1" ht="31" customHeight="1" spans="1:112">
      <c r="A597" s="660">
        <v>45887</v>
      </c>
      <c r="B597" s="661" t="s">
        <v>312</v>
      </c>
      <c r="C597" s="662" t="s">
        <v>278</v>
      </c>
      <c r="D597" s="663">
        <v>4500177198</v>
      </c>
      <c r="E597" s="662" t="s">
        <v>7475</v>
      </c>
      <c r="F597" s="663" t="s">
        <v>7476</v>
      </c>
      <c r="G597" s="684" t="s">
        <v>6040</v>
      </c>
      <c r="H597" s="662" t="s">
        <v>6041</v>
      </c>
      <c r="I597" s="662">
        <v>4680</v>
      </c>
      <c r="J597" s="662">
        <v>0</v>
      </c>
      <c r="K597" s="662">
        <v>52</v>
      </c>
      <c r="L597" s="665">
        <f t="shared" si="179"/>
        <v>90</v>
      </c>
      <c r="M597" s="666">
        <v>45922</v>
      </c>
      <c r="N597" s="666">
        <v>45918</v>
      </c>
      <c r="O597" s="664"/>
      <c r="P597" s="664" t="s">
        <v>113</v>
      </c>
      <c r="Q597" s="662"/>
      <c r="R597" s="667">
        <v>45887</v>
      </c>
      <c r="S597" s="667" t="s">
        <v>70</v>
      </c>
      <c r="T597" s="667">
        <v>45889</v>
      </c>
      <c r="U597" s="667"/>
      <c r="V597" s="667"/>
      <c r="W597" s="615"/>
      <c r="X597" s="661" t="s">
        <v>7477</v>
      </c>
      <c r="Y597" s="661" t="s">
        <v>7478</v>
      </c>
      <c r="Z597" s="675">
        <v>0.9129</v>
      </c>
      <c r="AA597" s="634">
        <f t="shared" si="195"/>
        <v>4272.372</v>
      </c>
      <c r="AC597" s="676" t="s">
        <v>7479</v>
      </c>
      <c r="AD597" s="662" t="s">
        <v>6040</v>
      </c>
      <c r="AE597" s="662" t="s">
        <v>82</v>
      </c>
      <c r="AF597" s="662"/>
      <c r="AG597" s="662"/>
      <c r="AH597" s="662"/>
      <c r="AI597" s="662">
        <v>4680</v>
      </c>
      <c r="AJ597" s="662">
        <f t="shared" si="196"/>
        <v>0</v>
      </c>
      <c r="AK597" s="662"/>
      <c r="AL597" s="662"/>
      <c r="AM597" s="662"/>
      <c r="AN597" s="662"/>
      <c r="AO597" s="663">
        <f t="shared" si="197"/>
        <v>4680</v>
      </c>
      <c r="AP597" s="663"/>
      <c r="AQ597" s="663"/>
      <c r="AR597" s="669"/>
      <c r="AS597" s="663"/>
      <c r="AT597" s="554">
        <f>I597</f>
        <v>4680</v>
      </c>
      <c r="AU597" s="663"/>
      <c r="AV597" s="554">
        <f>I597</f>
        <v>4680</v>
      </c>
      <c r="AW597" s="669"/>
      <c r="AX597" s="663"/>
      <c r="AY597" s="663"/>
      <c r="AZ597" s="663"/>
      <c r="BA597" s="663"/>
      <c r="BB597" s="620">
        <f t="shared" ref="BB597:BB602" si="200">I597/24</f>
        <v>195</v>
      </c>
      <c r="BC597" s="671"/>
      <c r="BD597" s="663"/>
      <c r="BE597" s="663"/>
      <c r="BF597" s="663"/>
      <c r="BH597" s="663"/>
      <c r="BI597" s="663"/>
      <c r="BJ597" s="663"/>
      <c r="BK597" s="663"/>
      <c r="BL597" s="663"/>
      <c r="BM597" s="554">
        <f>I597/13</f>
        <v>360</v>
      </c>
      <c r="BN597" s="663"/>
      <c r="BO597" s="663"/>
      <c r="BP597" s="663"/>
      <c r="BQ597" s="663"/>
      <c r="BR597" s="663"/>
      <c r="BS597" s="663"/>
      <c r="BT597" s="663"/>
      <c r="BU597" s="663"/>
      <c r="BV597" s="663"/>
      <c r="BW597" s="663"/>
      <c r="BX597" s="663"/>
      <c r="BY597" s="669"/>
      <c r="BZ597" s="663"/>
      <c r="CA597" s="672"/>
      <c r="CB597" s="567"/>
      <c r="CC597" s="673"/>
      <c r="CD597" s="669"/>
      <c r="CE597" s="669"/>
      <c r="CF597" s="663"/>
      <c r="CG597" s="663"/>
      <c r="CI597" s="663"/>
      <c r="CJ597" s="663"/>
      <c r="CK597" s="663"/>
      <c r="CL597" s="663"/>
      <c r="CM597" s="663"/>
      <c r="CN597" s="663"/>
      <c r="CO597" s="663"/>
      <c r="CP597" s="663"/>
      <c r="CQ597" s="663"/>
      <c r="CR597" s="663"/>
      <c r="CS597" s="663"/>
      <c r="CT597" s="663"/>
      <c r="CU597" s="554">
        <f t="shared" si="193"/>
        <v>0</v>
      </c>
      <c r="CV597" s="663">
        <f t="shared" si="198"/>
        <v>0</v>
      </c>
      <c r="CW597" s="663">
        <f t="shared" si="199"/>
        <v>0</v>
      </c>
      <c r="CX597" s="669"/>
      <c r="CY597" s="669"/>
      <c r="CZ597" s="669"/>
      <c r="DA597" s="548"/>
      <c r="DB597" s="548"/>
      <c r="DC597" s="548"/>
      <c r="DD597" s="669"/>
      <c r="DE597" s="669"/>
      <c r="DF597" s="669"/>
      <c r="DG597" s="669"/>
      <c r="DH597" s="669"/>
    </row>
    <row r="598" s="548" customFormat="1" ht="31" customHeight="1" spans="1:112">
      <c r="A598" s="660">
        <v>45881</v>
      </c>
      <c r="B598" s="661" t="s">
        <v>6098</v>
      </c>
      <c r="C598" s="662" t="s">
        <v>128</v>
      </c>
      <c r="D598" s="663">
        <v>4500176603</v>
      </c>
      <c r="E598" s="662" t="s">
        <v>7480</v>
      </c>
      <c r="F598" s="663" t="s">
        <v>7481</v>
      </c>
      <c r="G598" s="684" t="s">
        <v>6101</v>
      </c>
      <c r="H598" s="662" t="s">
        <v>6102</v>
      </c>
      <c r="I598" s="662">
        <v>1500</v>
      </c>
      <c r="J598" s="662">
        <v>0</v>
      </c>
      <c r="K598" s="662">
        <v>6</v>
      </c>
      <c r="L598" s="665">
        <f t="shared" ref="L598:L624" si="201">I598/K598</f>
        <v>250</v>
      </c>
      <c r="M598" s="666">
        <v>45923</v>
      </c>
      <c r="N598" s="666">
        <v>45919</v>
      </c>
      <c r="O598" s="664"/>
      <c r="P598" s="664" t="s">
        <v>113</v>
      </c>
      <c r="Q598" s="662"/>
      <c r="R598" s="667" t="s">
        <v>7482</v>
      </c>
      <c r="S598" s="667" t="s">
        <v>70</v>
      </c>
      <c r="T598" s="667" t="s">
        <v>7483</v>
      </c>
      <c r="U598" s="667"/>
      <c r="V598" s="667"/>
      <c r="W598" s="615"/>
      <c r="X598" s="661" t="s">
        <v>7484</v>
      </c>
      <c r="Y598" s="661" t="s">
        <v>1735</v>
      </c>
      <c r="Z598" s="661">
        <v>1.0006</v>
      </c>
      <c r="AA598" s="634">
        <f t="shared" si="195"/>
        <v>1500.9</v>
      </c>
      <c r="AC598" s="638" t="s">
        <v>7485</v>
      </c>
      <c r="AD598" s="662" t="s">
        <v>6101</v>
      </c>
      <c r="AE598" s="662" t="s">
        <v>82</v>
      </c>
      <c r="AF598" s="662"/>
      <c r="AG598" s="662"/>
      <c r="AH598" s="662"/>
      <c r="AI598" s="662">
        <v>1500</v>
      </c>
      <c r="AJ598" s="662">
        <f t="shared" si="196"/>
        <v>0</v>
      </c>
      <c r="AK598" s="662"/>
      <c r="AL598" s="662"/>
      <c r="AM598" s="662"/>
      <c r="AN598" s="662"/>
      <c r="AO598" s="663">
        <f t="shared" si="197"/>
        <v>1500</v>
      </c>
      <c r="AR598" s="669"/>
      <c r="AS598" s="548"/>
      <c r="AT598" s="554">
        <f>I598</f>
        <v>1500</v>
      </c>
      <c r="AU598" s="663"/>
      <c r="AV598" s="554">
        <f>I598</f>
        <v>1500</v>
      </c>
      <c r="AW598" s="669"/>
      <c r="AX598" s="548"/>
      <c r="AY598" s="548"/>
      <c r="AZ598" s="548"/>
      <c r="BA598" s="548"/>
      <c r="BB598" s="620">
        <f t="shared" si="200"/>
        <v>62.5</v>
      </c>
      <c r="BC598" s="671"/>
      <c r="BD598" s="548"/>
      <c r="BE598" s="548"/>
      <c r="BF598" s="548"/>
      <c r="BT598" s="663">
        <f>I598/6</f>
        <v>250</v>
      </c>
      <c r="BU598" s="663"/>
      <c r="BY598" s="669"/>
      <c r="BZ598" s="548"/>
      <c r="CA598" s="672"/>
      <c r="CB598" s="567"/>
      <c r="CC598" s="673"/>
      <c r="CD598" s="669"/>
      <c r="CE598" s="669"/>
      <c r="CF598" s="548"/>
      <c r="CG598" s="548"/>
      <c r="CU598" s="554">
        <f t="shared" si="193"/>
        <v>0</v>
      </c>
      <c r="CV598" s="663">
        <f t="shared" si="198"/>
        <v>0</v>
      </c>
      <c r="CW598" s="663">
        <f t="shared" si="199"/>
        <v>0</v>
      </c>
      <c r="CX598" s="669"/>
      <c r="CY598" s="669"/>
      <c r="CZ598" s="669"/>
      <c r="DA598" s="548"/>
      <c r="DB598" s="548"/>
      <c r="DC598" s="548"/>
      <c r="DD598" s="669"/>
      <c r="DE598" s="669"/>
      <c r="DF598" s="669"/>
      <c r="DG598" s="669"/>
      <c r="DH598" s="669"/>
    </row>
    <row r="599" s="548" customFormat="1" ht="31" customHeight="1" spans="1:112">
      <c r="A599" s="660">
        <v>45881</v>
      </c>
      <c r="B599" s="661" t="s">
        <v>6098</v>
      </c>
      <c r="C599" s="662" t="s">
        <v>128</v>
      </c>
      <c r="D599" s="663">
        <v>4500176603</v>
      </c>
      <c r="E599" s="662" t="s">
        <v>7486</v>
      </c>
      <c r="F599" s="663" t="s">
        <v>7487</v>
      </c>
      <c r="G599" s="684" t="s">
        <v>6101</v>
      </c>
      <c r="H599" s="662" t="s">
        <v>6102</v>
      </c>
      <c r="I599" s="662">
        <v>750</v>
      </c>
      <c r="J599" s="662">
        <v>0</v>
      </c>
      <c r="K599" s="662">
        <v>6</v>
      </c>
      <c r="L599" s="665">
        <f t="shared" si="201"/>
        <v>125</v>
      </c>
      <c r="M599" s="666">
        <v>45923</v>
      </c>
      <c r="N599" s="666">
        <v>45919</v>
      </c>
      <c r="O599" s="664"/>
      <c r="P599" s="664" t="s">
        <v>113</v>
      </c>
      <c r="Q599" s="662"/>
      <c r="R599" s="667" t="s">
        <v>7482</v>
      </c>
      <c r="S599" s="667" t="s">
        <v>70</v>
      </c>
      <c r="T599" s="667" t="s">
        <v>7483</v>
      </c>
      <c r="U599" s="667"/>
      <c r="V599" s="667"/>
      <c r="W599" s="615"/>
      <c r="X599" s="661" t="s">
        <v>7484</v>
      </c>
      <c r="Y599" s="661" t="s">
        <v>1735</v>
      </c>
      <c r="Z599" s="661">
        <v>1.0006</v>
      </c>
      <c r="AA599" s="634">
        <f t="shared" si="195"/>
        <v>750.45</v>
      </c>
      <c r="AC599" s="638" t="s">
        <v>7485</v>
      </c>
      <c r="AD599" s="662" t="s">
        <v>6101</v>
      </c>
      <c r="AE599" s="662" t="s">
        <v>82</v>
      </c>
      <c r="AF599" s="662"/>
      <c r="AG599" s="662"/>
      <c r="AH599" s="662"/>
      <c r="AI599" s="662">
        <v>750</v>
      </c>
      <c r="AJ599" s="662">
        <f t="shared" si="196"/>
        <v>0</v>
      </c>
      <c r="AK599" s="662"/>
      <c r="AL599" s="662"/>
      <c r="AM599" s="662"/>
      <c r="AN599" s="662"/>
      <c r="AO599" s="663">
        <f t="shared" si="197"/>
        <v>750</v>
      </c>
      <c r="AR599" s="669"/>
      <c r="AS599" s="548"/>
      <c r="AT599" s="554">
        <f>I599</f>
        <v>750</v>
      </c>
      <c r="AU599" s="663"/>
      <c r="AV599" s="554">
        <f>I599</f>
        <v>750</v>
      </c>
      <c r="AW599" s="669"/>
      <c r="AX599" s="548"/>
      <c r="AY599" s="548"/>
      <c r="AZ599" s="548"/>
      <c r="BA599" s="548"/>
      <c r="BB599" s="620">
        <f t="shared" si="200"/>
        <v>31.25</v>
      </c>
      <c r="BC599" s="671"/>
      <c r="BD599" s="548"/>
      <c r="BE599" s="548"/>
      <c r="BF599" s="548"/>
      <c r="BT599" s="663">
        <f>I599/6</f>
        <v>125</v>
      </c>
      <c r="BU599" s="663"/>
      <c r="BY599" s="669"/>
      <c r="BZ599" s="548"/>
      <c r="CA599" s="672"/>
      <c r="CB599" s="567"/>
      <c r="CC599" s="673"/>
      <c r="CD599" s="669"/>
      <c r="CE599" s="669"/>
      <c r="CF599" s="548"/>
      <c r="CG599" s="548"/>
      <c r="CU599" s="554">
        <f t="shared" si="193"/>
        <v>0</v>
      </c>
      <c r="CV599" s="663">
        <f t="shared" si="198"/>
        <v>0</v>
      </c>
      <c r="CW599" s="663">
        <f t="shared" si="199"/>
        <v>0</v>
      </c>
      <c r="CX599" s="669"/>
      <c r="CY599" s="669"/>
      <c r="CZ599" s="669"/>
      <c r="DA599" s="548"/>
      <c r="DB599" s="548"/>
      <c r="DC599" s="548"/>
      <c r="DD599" s="669"/>
      <c r="DE599" s="669"/>
      <c r="DF599" s="669"/>
      <c r="DG599" s="669"/>
      <c r="DH599" s="669"/>
    </row>
    <row r="600" s="548" customFormat="1" ht="31" customHeight="1" spans="1:112">
      <c r="A600" s="660">
        <v>45881</v>
      </c>
      <c r="B600" s="661" t="s">
        <v>6098</v>
      </c>
      <c r="C600" s="662" t="s">
        <v>128</v>
      </c>
      <c r="D600" s="663">
        <v>4500176603</v>
      </c>
      <c r="E600" s="662" t="s">
        <v>7488</v>
      </c>
      <c r="F600" s="663" t="s">
        <v>7489</v>
      </c>
      <c r="G600" s="684" t="s">
        <v>6101</v>
      </c>
      <c r="H600" s="662" t="s">
        <v>6102</v>
      </c>
      <c r="I600" s="662">
        <v>750</v>
      </c>
      <c r="J600" s="662">
        <v>0</v>
      </c>
      <c r="K600" s="662">
        <v>6</v>
      </c>
      <c r="L600" s="665">
        <f t="shared" si="201"/>
        <v>125</v>
      </c>
      <c r="M600" s="666">
        <v>45923</v>
      </c>
      <c r="N600" s="666">
        <v>45919</v>
      </c>
      <c r="O600" s="664"/>
      <c r="P600" s="664" t="s">
        <v>113</v>
      </c>
      <c r="Q600" s="662"/>
      <c r="R600" s="667" t="s">
        <v>7482</v>
      </c>
      <c r="S600" s="667" t="s">
        <v>70</v>
      </c>
      <c r="T600" s="667" t="s">
        <v>7483</v>
      </c>
      <c r="U600" s="667"/>
      <c r="V600" s="667"/>
      <c r="W600" s="615"/>
      <c r="X600" s="661" t="s">
        <v>7484</v>
      </c>
      <c r="Y600" s="661" t="s">
        <v>1735</v>
      </c>
      <c r="Z600" s="661">
        <v>1.0006</v>
      </c>
      <c r="AA600" s="634">
        <f t="shared" si="195"/>
        <v>750.45</v>
      </c>
      <c r="AC600" s="638" t="s">
        <v>7485</v>
      </c>
      <c r="AD600" s="662" t="s">
        <v>6101</v>
      </c>
      <c r="AE600" s="662" t="s">
        <v>82</v>
      </c>
      <c r="AF600" s="662"/>
      <c r="AG600" s="662"/>
      <c r="AH600" s="662"/>
      <c r="AI600" s="662">
        <v>750</v>
      </c>
      <c r="AJ600" s="662">
        <f t="shared" si="196"/>
        <v>0</v>
      </c>
      <c r="AK600" s="662"/>
      <c r="AL600" s="662"/>
      <c r="AM600" s="662"/>
      <c r="AN600" s="662"/>
      <c r="AO600" s="663">
        <f t="shared" si="197"/>
        <v>750</v>
      </c>
      <c r="AR600" s="669"/>
      <c r="AS600" s="548"/>
      <c r="AT600" s="554">
        <f>I600</f>
        <v>750</v>
      </c>
      <c r="AU600" s="663"/>
      <c r="AV600" s="554">
        <f>I600</f>
        <v>750</v>
      </c>
      <c r="AW600" s="669"/>
      <c r="AX600" s="548"/>
      <c r="AY600" s="548"/>
      <c r="AZ600" s="548"/>
      <c r="BA600" s="548"/>
      <c r="BB600" s="620">
        <f t="shared" si="200"/>
        <v>31.25</v>
      </c>
      <c r="BC600" s="671"/>
      <c r="BD600" s="548"/>
      <c r="BE600" s="548"/>
      <c r="BF600" s="548"/>
      <c r="BT600" s="663">
        <f>I600/6</f>
        <v>125</v>
      </c>
      <c r="BU600" s="663"/>
      <c r="BY600" s="669"/>
      <c r="BZ600" s="548"/>
      <c r="CA600" s="672"/>
      <c r="CB600" s="567"/>
      <c r="CC600" s="673"/>
      <c r="CD600" s="669"/>
      <c r="CE600" s="669"/>
      <c r="CF600" s="548"/>
      <c r="CG600" s="548"/>
      <c r="CU600" s="554">
        <f t="shared" si="193"/>
        <v>0</v>
      </c>
      <c r="CV600" s="663">
        <f t="shared" si="198"/>
        <v>0</v>
      </c>
      <c r="CW600" s="663">
        <f t="shared" si="199"/>
        <v>0</v>
      </c>
      <c r="CX600" s="669"/>
      <c r="CY600" s="669"/>
      <c r="CZ600" s="669"/>
      <c r="DA600" s="548"/>
      <c r="DB600" s="548"/>
      <c r="DC600" s="548"/>
      <c r="DD600" s="669"/>
      <c r="DE600" s="669"/>
      <c r="DF600" s="669"/>
      <c r="DG600" s="669"/>
      <c r="DH600" s="669"/>
    </row>
    <row r="601" s="548" customFormat="1" ht="31" customHeight="1" spans="1:112">
      <c r="A601" s="660">
        <v>45897</v>
      </c>
      <c r="B601" s="661" t="s">
        <v>143</v>
      </c>
      <c r="C601" s="662" t="s">
        <v>98</v>
      </c>
      <c r="D601" s="663">
        <v>4500178130</v>
      </c>
      <c r="E601" s="664">
        <v>941292548</v>
      </c>
      <c r="F601" s="663" t="s">
        <v>7490</v>
      </c>
      <c r="G601" s="684" t="s">
        <v>6063</v>
      </c>
      <c r="H601" s="662" t="s">
        <v>6064</v>
      </c>
      <c r="I601" s="662">
        <v>10528</v>
      </c>
      <c r="J601" s="662">
        <v>0</v>
      </c>
      <c r="K601" s="662">
        <v>16</v>
      </c>
      <c r="L601" s="665">
        <f t="shared" si="201"/>
        <v>658</v>
      </c>
      <c r="M601" s="666">
        <v>45923</v>
      </c>
      <c r="N601" s="666">
        <v>45919</v>
      </c>
      <c r="O601" s="664" t="s">
        <v>7491</v>
      </c>
      <c r="P601" s="664" t="s">
        <v>113</v>
      </c>
      <c r="Q601" s="662"/>
      <c r="R601" s="667" t="s">
        <v>7064</v>
      </c>
      <c r="S601" s="667" t="s">
        <v>70</v>
      </c>
      <c r="T601" s="667" t="s">
        <v>148</v>
      </c>
      <c r="U601" s="667"/>
      <c r="V601" s="667"/>
      <c r="W601" s="615"/>
      <c r="X601" s="661" t="s">
        <v>7208</v>
      </c>
      <c r="Y601" s="661" t="s">
        <v>106</v>
      </c>
      <c r="Z601" s="661">
        <v>0.5783</v>
      </c>
      <c r="AA601" s="634">
        <f t="shared" si="195"/>
        <v>6088.3424</v>
      </c>
      <c r="AC601" s="638" t="s">
        <v>7492</v>
      </c>
      <c r="AD601" s="662" t="s">
        <v>6063</v>
      </c>
      <c r="AE601" s="662" t="s">
        <v>82</v>
      </c>
      <c r="AF601" s="662"/>
      <c r="AG601" s="662"/>
      <c r="AH601" s="662"/>
      <c r="AI601" s="662">
        <f>16+10512</f>
        <v>10528</v>
      </c>
      <c r="AJ601" s="662">
        <f t="shared" si="196"/>
        <v>0</v>
      </c>
      <c r="AK601" s="662"/>
      <c r="AL601" s="662"/>
      <c r="AM601" s="662"/>
      <c r="AN601" s="662">
        <f>I601</f>
        <v>10528</v>
      </c>
      <c r="AO601" s="663"/>
      <c r="AP601" s="554">
        <f>I601</f>
        <v>10528</v>
      </c>
      <c r="AR601" s="669"/>
      <c r="AS601" s="548"/>
      <c r="AT601" s="548"/>
      <c r="AU601" s="554">
        <f>I601</f>
        <v>10528</v>
      </c>
      <c r="AW601" s="669"/>
      <c r="AX601" s="548"/>
      <c r="AY601" s="548"/>
      <c r="AZ601" s="548"/>
      <c r="BA601" s="548"/>
      <c r="BB601" s="670">
        <f t="shared" si="200"/>
        <v>438.666666666667</v>
      </c>
      <c r="BQ601" s="663">
        <f>I601/16</f>
        <v>658</v>
      </c>
      <c r="BY601" s="669"/>
      <c r="BZ601" s="548"/>
      <c r="CA601" s="672"/>
      <c r="CB601" s="567"/>
      <c r="CC601" s="673"/>
      <c r="CD601" s="669"/>
      <c r="CE601" s="669"/>
      <c r="CF601" s="548"/>
      <c r="CG601" s="548"/>
      <c r="CU601" s="554">
        <f t="shared" si="193"/>
        <v>658</v>
      </c>
      <c r="CV601" s="663">
        <f t="shared" si="198"/>
        <v>0</v>
      </c>
      <c r="CW601" s="663">
        <f t="shared" si="199"/>
        <v>0</v>
      </c>
      <c r="CX601" s="669"/>
      <c r="CY601" s="669"/>
      <c r="CZ601" s="669"/>
      <c r="DA601" s="548"/>
      <c r="DB601" s="548"/>
      <c r="DC601" s="548"/>
      <c r="DD601" s="669"/>
      <c r="DE601" s="669"/>
      <c r="DF601" s="669"/>
      <c r="DG601" s="669"/>
      <c r="DH601" s="669"/>
    </row>
    <row r="602" s="548" customFormat="1" ht="31" customHeight="1" spans="1:112">
      <c r="A602" s="660">
        <v>45890</v>
      </c>
      <c r="B602" s="661" t="s">
        <v>225</v>
      </c>
      <c r="C602" s="662" t="s">
        <v>226</v>
      </c>
      <c r="D602" s="663">
        <v>4500177525</v>
      </c>
      <c r="E602" s="662" t="s">
        <v>7493</v>
      </c>
      <c r="F602" s="663" t="s">
        <v>7494</v>
      </c>
      <c r="G602" s="662" t="s">
        <v>6040</v>
      </c>
      <c r="H602" s="662" t="s">
        <v>6041</v>
      </c>
      <c r="I602" s="662">
        <v>3640</v>
      </c>
      <c r="J602" s="662">
        <v>0</v>
      </c>
      <c r="K602" s="662">
        <v>52</v>
      </c>
      <c r="L602" s="665">
        <f t="shared" si="201"/>
        <v>70</v>
      </c>
      <c r="M602" s="666">
        <v>45923</v>
      </c>
      <c r="N602" s="666">
        <v>45919</v>
      </c>
      <c r="O602" s="664"/>
      <c r="P602" s="664" t="s">
        <v>113</v>
      </c>
      <c r="Q602" s="662" t="s">
        <v>7495</v>
      </c>
      <c r="R602" s="667">
        <v>45891</v>
      </c>
      <c r="S602" s="667" t="s">
        <v>70</v>
      </c>
      <c r="T602" s="667" t="s">
        <v>7496</v>
      </c>
      <c r="U602" s="667"/>
      <c r="V602" s="667"/>
      <c r="W602" s="615"/>
      <c r="X602" s="661" t="s">
        <v>7497</v>
      </c>
      <c r="Y602" s="661" t="s">
        <v>230</v>
      </c>
      <c r="Z602" s="675">
        <v>0.9129</v>
      </c>
      <c r="AA602" s="634">
        <f t="shared" si="195"/>
        <v>3322.956</v>
      </c>
      <c r="AC602" s="638" t="s">
        <v>7498</v>
      </c>
      <c r="AD602" s="662" t="s">
        <v>6040</v>
      </c>
      <c r="AE602" s="662" t="s">
        <v>82</v>
      </c>
      <c r="AF602" s="662"/>
      <c r="AG602" s="662"/>
      <c r="AH602" s="662"/>
      <c r="AI602" s="662">
        <v>3640</v>
      </c>
      <c r="AJ602" s="662">
        <f t="shared" si="196"/>
        <v>0</v>
      </c>
      <c r="AK602" s="662"/>
      <c r="AL602" s="662"/>
      <c r="AM602" s="662"/>
      <c r="AN602" s="662"/>
      <c r="AO602" s="663">
        <f>I602</f>
        <v>3640</v>
      </c>
      <c r="AR602" s="669"/>
      <c r="AS602" s="548"/>
      <c r="AT602" s="554">
        <f>I602</f>
        <v>3640</v>
      </c>
      <c r="AU602" s="663"/>
      <c r="AV602" s="554">
        <f>I602</f>
        <v>3640</v>
      </c>
      <c r="AW602" s="669"/>
      <c r="AX602" s="548"/>
      <c r="AY602" s="548"/>
      <c r="AZ602" s="548"/>
      <c r="BA602" s="548"/>
      <c r="BB602" s="620">
        <f t="shared" si="200"/>
        <v>151.666666666667</v>
      </c>
      <c r="BC602" s="671"/>
      <c r="BD602" s="548"/>
      <c r="BE602" s="548"/>
      <c r="BF602" s="548"/>
      <c r="BM602" s="554">
        <f>I602/13</f>
        <v>280</v>
      </c>
      <c r="BY602" s="669"/>
      <c r="BZ602" s="548"/>
      <c r="CA602" s="672"/>
      <c r="CB602" s="567"/>
      <c r="CC602" s="673"/>
      <c r="CD602" s="669"/>
      <c r="CE602" s="669"/>
      <c r="CF602" s="548"/>
      <c r="CG602" s="548"/>
      <c r="CU602" s="554">
        <f t="shared" si="193"/>
        <v>0</v>
      </c>
      <c r="CV602" s="663">
        <f t="shared" si="198"/>
        <v>0</v>
      </c>
      <c r="CW602" s="663">
        <f t="shared" si="199"/>
        <v>0</v>
      </c>
      <c r="CX602" s="669"/>
      <c r="CY602" s="669"/>
      <c r="CZ602" s="669"/>
      <c r="DA602" s="548"/>
      <c r="DB602" s="548"/>
      <c r="DC602" s="548"/>
      <c r="DD602" s="669"/>
      <c r="DE602" s="669"/>
      <c r="DF602" s="669"/>
      <c r="DG602" s="669"/>
      <c r="DH602" s="669"/>
    </row>
    <row r="603" s="548" customFormat="1" ht="31" customHeight="1" spans="1:112">
      <c r="A603" s="660">
        <v>45883</v>
      </c>
      <c r="B603" s="661" t="s">
        <v>935</v>
      </c>
      <c r="C603" s="662" t="s">
        <v>302</v>
      </c>
      <c r="D603" s="663">
        <v>4500176964</v>
      </c>
      <c r="E603" s="662">
        <v>4400503841</v>
      </c>
      <c r="F603" s="663" t="s">
        <v>7499</v>
      </c>
      <c r="G603" s="662" t="s">
        <v>6047</v>
      </c>
      <c r="H603" s="662" t="s">
        <v>6069</v>
      </c>
      <c r="I603" s="662">
        <v>1000</v>
      </c>
      <c r="J603" s="662">
        <v>0</v>
      </c>
      <c r="K603" s="662">
        <v>25</v>
      </c>
      <c r="L603" s="665">
        <f t="shared" si="201"/>
        <v>40</v>
      </c>
      <c r="M603" s="666">
        <v>45924</v>
      </c>
      <c r="N603" s="666">
        <v>45920</v>
      </c>
      <c r="O603" s="664"/>
      <c r="P603" s="664" t="s">
        <v>113</v>
      </c>
      <c r="Q603" s="662"/>
      <c r="R603" s="667">
        <v>45881</v>
      </c>
      <c r="S603" s="667" t="s">
        <v>70</v>
      </c>
      <c r="T603" s="667" t="s">
        <v>6736</v>
      </c>
      <c r="U603" s="667"/>
      <c r="V603" s="667"/>
      <c r="W603" s="615"/>
      <c r="X603" s="661" t="s">
        <v>7500</v>
      </c>
      <c r="Y603" s="661" t="s">
        <v>1549</v>
      </c>
      <c r="Z603" s="661">
        <v>0.9417</v>
      </c>
      <c r="AA603" s="634">
        <f t="shared" si="195"/>
        <v>941.7</v>
      </c>
      <c r="AC603" s="638" t="s">
        <v>1785</v>
      </c>
      <c r="AD603" s="662" t="s">
        <v>6073</v>
      </c>
      <c r="AE603" s="662" t="s">
        <v>82</v>
      </c>
      <c r="AF603" s="662"/>
      <c r="AG603" s="662"/>
      <c r="AH603" s="662"/>
      <c r="AI603" s="662">
        <f>975+25</f>
        <v>1000</v>
      </c>
      <c r="AJ603" s="662">
        <f t="shared" si="196"/>
        <v>0</v>
      </c>
      <c r="AK603" s="662"/>
      <c r="AL603" s="662"/>
      <c r="AM603" s="662"/>
      <c r="AN603" s="662"/>
      <c r="AO603" s="663">
        <f>I603</f>
        <v>1000</v>
      </c>
      <c r="AR603" s="669"/>
      <c r="AS603" s="548"/>
      <c r="AT603" s="548"/>
      <c r="AU603" s="663"/>
      <c r="AV603" s="554">
        <f>I603</f>
        <v>1000</v>
      </c>
      <c r="AW603" s="669"/>
      <c r="AX603" s="548"/>
      <c r="AY603" s="548"/>
      <c r="AZ603" s="548"/>
      <c r="BA603" s="548"/>
      <c r="BB603" s="670">
        <f>I603/24*2</f>
        <v>83.3333333333333</v>
      </c>
      <c r="BC603" s="671"/>
      <c r="BD603" s="548"/>
      <c r="BE603" s="663">
        <f>I603</f>
        <v>1000</v>
      </c>
      <c r="BP603" s="554">
        <f>I603/25</f>
        <v>40</v>
      </c>
      <c r="BY603" s="669"/>
      <c r="BZ603" s="548"/>
      <c r="CA603" s="672"/>
      <c r="CB603" s="567"/>
      <c r="CC603" s="673"/>
      <c r="CD603" s="669"/>
      <c r="CE603" s="669"/>
      <c r="CF603" s="548"/>
      <c r="CG603" s="548"/>
      <c r="CU603" s="554">
        <f t="shared" si="193"/>
        <v>40</v>
      </c>
      <c r="CV603" s="663">
        <f t="shared" si="198"/>
        <v>0</v>
      </c>
      <c r="CW603" s="663">
        <f t="shared" si="199"/>
        <v>0</v>
      </c>
      <c r="CX603" s="669"/>
      <c r="CY603" s="669"/>
      <c r="CZ603" s="669"/>
      <c r="DA603" s="548"/>
      <c r="DB603" s="548"/>
      <c r="DC603" s="548"/>
      <c r="DD603" s="669"/>
      <c r="DE603" s="669"/>
      <c r="DF603" s="669"/>
      <c r="DG603" s="669"/>
      <c r="DH603" s="669"/>
    </row>
    <row r="604" s="548" customFormat="1" ht="31" customHeight="1" spans="1:112">
      <c r="A604" s="660">
        <v>45887</v>
      </c>
      <c r="B604" s="609" t="s">
        <v>246</v>
      </c>
      <c r="C604" s="662" t="s">
        <v>98</v>
      </c>
      <c r="D604" s="663">
        <v>4500177142</v>
      </c>
      <c r="E604" s="662" t="s">
        <v>1830</v>
      </c>
      <c r="F604" s="663" t="s">
        <v>7501</v>
      </c>
      <c r="G604" s="662" t="s">
        <v>6084</v>
      </c>
      <c r="H604" s="662" t="s">
        <v>6069</v>
      </c>
      <c r="I604" s="662">
        <v>100000</v>
      </c>
      <c r="J604" s="662">
        <v>0</v>
      </c>
      <c r="K604" s="662">
        <v>25</v>
      </c>
      <c r="L604" s="665">
        <f t="shared" si="201"/>
        <v>4000</v>
      </c>
      <c r="M604" s="666">
        <v>45925</v>
      </c>
      <c r="N604" s="666">
        <v>45922</v>
      </c>
      <c r="O604" s="664"/>
      <c r="P604" s="664" t="s">
        <v>113</v>
      </c>
      <c r="Q604" s="662"/>
      <c r="R604" s="667">
        <v>45894</v>
      </c>
      <c r="S604" s="667" t="s">
        <v>104</v>
      </c>
      <c r="T604" s="667">
        <v>45903</v>
      </c>
      <c r="U604" s="667"/>
      <c r="V604" s="667"/>
      <c r="W604" s="615"/>
      <c r="X604" s="661" t="s">
        <v>7502</v>
      </c>
      <c r="Y604" s="661" t="s">
        <v>252</v>
      </c>
      <c r="Z604" s="675">
        <v>0.5455</v>
      </c>
      <c r="AA604" s="634">
        <f t="shared" si="195"/>
        <v>54550</v>
      </c>
      <c r="AC604" s="638" t="s">
        <v>7503</v>
      </c>
      <c r="AD604" s="662" t="s">
        <v>6084</v>
      </c>
      <c r="AE604" s="662" t="s">
        <v>82</v>
      </c>
      <c r="AF604" s="662"/>
      <c r="AG604" s="662"/>
      <c r="AH604" s="662"/>
      <c r="AI604" s="662">
        <f>82500+17500</f>
        <v>100000</v>
      </c>
      <c r="AJ604" s="662">
        <f t="shared" si="196"/>
        <v>0</v>
      </c>
      <c r="AK604" s="662"/>
      <c r="AL604" s="662"/>
      <c r="AM604" s="662"/>
      <c r="AN604" s="662">
        <f>I604</f>
        <v>100000</v>
      </c>
      <c r="AO604" s="663"/>
      <c r="AP604" s="554">
        <f>I604</f>
        <v>100000</v>
      </c>
      <c r="AR604" s="669"/>
      <c r="AS604" s="548"/>
      <c r="AT604" s="548"/>
      <c r="AU604" s="554">
        <f>I604</f>
        <v>100000</v>
      </c>
      <c r="AV604" s="663"/>
      <c r="AW604" s="669"/>
      <c r="AX604" s="548"/>
      <c r="AY604" s="548"/>
      <c r="AZ604" s="548"/>
      <c r="BA604" s="548"/>
      <c r="BB604" s="670">
        <f>I604/24</f>
        <v>4166.66666666667</v>
      </c>
      <c r="BC604" s="671"/>
      <c r="BD604" s="548"/>
      <c r="BE604" s="548"/>
      <c r="BF604" s="548"/>
      <c r="BN604" s="554">
        <f>I604/25</f>
        <v>4000</v>
      </c>
      <c r="BY604" s="669"/>
      <c r="BZ604" s="548"/>
      <c r="CA604" s="672"/>
      <c r="CB604" s="567"/>
      <c r="CC604" s="673"/>
      <c r="CD604" s="669"/>
      <c r="CE604" s="669"/>
      <c r="CF604" s="548"/>
      <c r="CG604" s="548"/>
      <c r="CU604" s="554">
        <f t="shared" si="193"/>
        <v>4000</v>
      </c>
      <c r="CV604" s="663">
        <f t="shared" si="198"/>
        <v>0</v>
      </c>
      <c r="CW604" s="663">
        <f t="shared" si="199"/>
        <v>0</v>
      </c>
      <c r="CX604" s="669"/>
      <c r="CY604" s="669"/>
      <c r="CZ604" s="669"/>
      <c r="DA604" s="548"/>
      <c r="DB604" s="548"/>
      <c r="DC604" s="548"/>
      <c r="DD604" s="669"/>
      <c r="DE604" s="669"/>
      <c r="DF604" s="669"/>
      <c r="DG604" s="669"/>
      <c r="DH604" s="669"/>
    </row>
    <row r="605" s="548" customFormat="1" ht="31" customHeight="1" spans="1:112">
      <c r="A605" s="660">
        <v>45887</v>
      </c>
      <c r="B605" s="661" t="s">
        <v>1856</v>
      </c>
      <c r="C605" s="662" t="s">
        <v>1857</v>
      </c>
      <c r="D605" s="663">
        <v>4500177210</v>
      </c>
      <c r="E605" s="662" t="s">
        <v>1858</v>
      </c>
      <c r="F605" s="663" t="s">
        <v>7504</v>
      </c>
      <c r="G605" s="662" t="s">
        <v>6043</v>
      </c>
      <c r="H605" s="662" t="s">
        <v>6110</v>
      </c>
      <c r="I605" s="662">
        <v>2900</v>
      </c>
      <c r="J605" s="662">
        <v>0</v>
      </c>
      <c r="K605" s="662">
        <v>50</v>
      </c>
      <c r="L605" s="665">
        <f t="shared" si="201"/>
        <v>58</v>
      </c>
      <c r="M605" s="666">
        <v>45925</v>
      </c>
      <c r="N605" s="666">
        <v>45922</v>
      </c>
      <c r="O605" s="664"/>
      <c r="P605" s="664" t="s">
        <v>113</v>
      </c>
      <c r="Q605" s="662"/>
      <c r="R605" s="667">
        <v>45896</v>
      </c>
      <c r="S605" s="667" t="s">
        <v>70</v>
      </c>
      <c r="T605" s="667" t="s">
        <v>2289</v>
      </c>
      <c r="U605" s="667"/>
      <c r="V605" s="667"/>
      <c r="W605" s="615"/>
      <c r="X605" s="661" t="s">
        <v>1860</v>
      </c>
      <c r="Y605" s="661" t="s">
        <v>529</v>
      </c>
      <c r="Z605" s="661">
        <v>0.924</v>
      </c>
      <c r="AA605" s="634">
        <f t="shared" si="195"/>
        <v>2679.6</v>
      </c>
      <c r="AC605" s="638" t="s">
        <v>7505</v>
      </c>
      <c r="AD605" s="661" t="s">
        <v>6043</v>
      </c>
      <c r="AE605" s="662" t="s">
        <v>82</v>
      </c>
      <c r="AF605" s="662"/>
      <c r="AG605" s="662"/>
      <c r="AH605" s="662"/>
      <c r="AI605" s="662">
        <v>2900</v>
      </c>
      <c r="AJ605" s="662">
        <f t="shared" si="196"/>
        <v>0</v>
      </c>
      <c r="AK605" s="662"/>
      <c r="AL605" s="662"/>
      <c r="AM605" s="662"/>
      <c r="AN605" s="662"/>
      <c r="AO605" s="663">
        <f>I605</f>
        <v>2900</v>
      </c>
      <c r="AR605" s="669"/>
      <c r="AS605" s="548"/>
      <c r="AT605" s="554">
        <f>I605</f>
        <v>2900</v>
      </c>
      <c r="AU605" s="663"/>
      <c r="AV605" s="554">
        <f>I605</f>
        <v>2900</v>
      </c>
      <c r="AW605" s="669"/>
      <c r="AX605" s="548"/>
      <c r="AY605" s="548"/>
      <c r="AZ605" s="548"/>
      <c r="BA605" s="548"/>
      <c r="BB605" s="620">
        <f>I605/24</f>
        <v>120.833333333333</v>
      </c>
      <c r="BC605" s="671"/>
      <c r="BD605" s="548"/>
      <c r="BE605" s="548"/>
      <c r="BF605" s="548"/>
      <c r="BP605" s="554">
        <f>I605/25</f>
        <v>116</v>
      </c>
      <c r="BY605" s="669"/>
      <c r="BZ605" s="548"/>
      <c r="CA605" s="672"/>
      <c r="CB605" s="567"/>
      <c r="CC605" s="673"/>
      <c r="CD605" s="669"/>
      <c r="CE605" s="669"/>
      <c r="CF605" s="548"/>
      <c r="CG605" s="548"/>
      <c r="CU605" s="554">
        <f t="shared" si="193"/>
        <v>116</v>
      </c>
      <c r="CV605" s="663">
        <f t="shared" si="198"/>
        <v>0</v>
      </c>
      <c r="CW605" s="663">
        <f t="shared" si="199"/>
        <v>0</v>
      </c>
      <c r="CX605" s="669"/>
      <c r="CY605" s="669"/>
      <c r="CZ605" s="669"/>
      <c r="DA605" s="548"/>
      <c r="DB605" s="548"/>
      <c r="DC605" s="548"/>
      <c r="DD605" s="669"/>
      <c r="DE605" s="669"/>
      <c r="DF605" s="669"/>
      <c r="DG605" s="669"/>
      <c r="DH605" s="669"/>
    </row>
    <row r="606" s="548" customFormat="1" ht="31" customHeight="1" spans="1:112">
      <c r="A606" s="660">
        <v>45888</v>
      </c>
      <c r="B606" s="661" t="s">
        <v>205</v>
      </c>
      <c r="C606" s="662" t="s">
        <v>98</v>
      </c>
      <c r="D606" s="663">
        <v>4500177336</v>
      </c>
      <c r="E606" s="662">
        <v>218057291</v>
      </c>
      <c r="F606" s="663" t="s">
        <v>7506</v>
      </c>
      <c r="G606" s="662" t="s">
        <v>6166</v>
      </c>
      <c r="H606" s="662" t="s">
        <v>6094</v>
      </c>
      <c r="I606" s="662">
        <v>3250</v>
      </c>
      <c r="J606" s="662">
        <v>0</v>
      </c>
      <c r="K606" s="662">
        <v>13</v>
      </c>
      <c r="L606" s="665">
        <f t="shared" si="201"/>
        <v>250</v>
      </c>
      <c r="M606" s="666">
        <v>45925</v>
      </c>
      <c r="N606" s="666">
        <v>45922</v>
      </c>
      <c r="O606" s="664"/>
      <c r="P606" s="664" t="s">
        <v>113</v>
      </c>
      <c r="Q606" s="662"/>
      <c r="R606" s="667">
        <v>45894</v>
      </c>
      <c r="S606" s="667" t="s">
        <v>70</v>
      </c>
      <c r="T606" s="667" t="s">
        <v>70</v>
      </c>
      <c r="U606" s="667"/>
      <c r="V606" s="667"/>
      <c r="W606" s="615"/>
      <c r="X606" s="661" t="s">
        <v>208</v>
      </c>
      <c r="Y606" s="661" t="s">
        <v>2003</v>
      </c>
      <c r="Z606" s="675">
        <v>0.5743</v>
      </c>
      <c r="AA606" s="634">
        <f t="shared" si="195"/>
        <v>1866.475</v>
      </c>
      <c r="AC606" s="638" t="s">
        <v>7507</v>
      </c>
      <c r="AD606" s="662" t="s">
        <v>6257</v>
      </c>
      <c r="AE606" s="662" t="s">
        <v>82</v>
      </c>
      <c r="AF606" s="662"/>
      <c r="AG606" s="662"/>
      <c r="AH606" s="662"/>
      <c r="AI606" s="662">
        <v>3250</v>
      </c>
      <c r="AJ606" s="662">
        <f t="shared" si="196"/>
        <v>0</v>
      </c>
      <c r="AK606" s="662"/>
      <c r="AL606" s="662"/>
      <c r="AM606" s="662"/>
      <c r="AN606" s="662">
        <f>I606</f>
        <v>3250</v>
      </c>
      <c r="AO606" s="663"/>
      <c r="AP606" s="554">
        <f>I606</f>
        <v>3250</v>
      </c>
      <c r="AR606" s="669"/>
      <c r="AS606" s="548"/>
      <c r="AT606" s="548"/>
      <c r="AU606" s="554">
        <f>I606</f>
        <v>3250</v>
      </c>
      <c r="AV606" s="663"/>
      <c r="AW606" s="669"/>
      <c r="AX606" s="548"/>
      <c r="AY606" s="548"/>
      <c r="AZ606" s="548"/>
      <c r="BA606" s="548"/>
      <c r="BB606" s="670">
        <f>I606/24</f>
        <v>135.416666666667</v>
      </c>
      <c r="BC606" s="671"/>
      <c r="BD606" s="548"/>
      <c r="BE606" s="548"/>
      <c r="BF606" s="548"/>
      <c r="BK606" s="554">
        <f>I606/13</f>
        <v>250</v>
      </c>
      <c r="BY606" s="669"/>
      <c r="BZ606" s="548"/>
      <c r="CA606" s="672"/>
      <c r="CB606" s="567"/>
      <c r="CC606" s="673"/>
      <c r="CD606" s="669"/>
      <c r="CE606" s="669"/>
      <c r="CF606" s="548"/>
      <c r="CG606" s="548"/>
      <c r="CU606" s="554">
        <f t="shared" si="193"/>
        <v>0</v>
      </c>
      <c r="CV606" s="663">
        <f t="shared" si="198"/>
        <v>0</v>
      </c>
      <c r="CW606" s="663">
        <f t="shared" si="199"/>
        <v>0</v>
      </c>
      <c r="CX606" s="669"/>
      <c r="CY606" s="669"/>
      <c r="CZ606" s="669"/>
      <c r="DA606" s="548"/>
      <c r="DB606" s="548"/>
      <c r="DC606" s="548"/>
      <c r="DD606" s="669"/>
      <c r="DE606" s="669"/>
      <c r="DF606" s="669"/>
      <c r="DG606" s="669"/>
      <c r="DH606" s="669"/>
    </row>
    <row r="607" s="548" customFormat="1" ht="31" customHeight="1" spans="1:112">
      <c r="A607" s="660">
        <v>45888</v>
      </c>
      <c r="B607" s="661" t="s">
        <v>205</v>
      </c>
      <c r="C607" s="662" t="s">
        <v>98</v>
      </c>
      <c r="D607" s="663">
        <v>4500177337</v>
      </c>
      <c r="E607" s="662">
        <v>218057317</v>
      </c>
      <c r="F607" s="663" t="s">
        <v>7508</v>
      </c>
      <c r="G607" s="662" t="s">
        <v>6166</v>
      </c>
      <c r="H607" s="662" t="s">
        <v>6094</v>
      </c>
      <c r="I607" s="662">
        <v>1755</v>
      </c>
      <c r="J607" s="662">
        <v>0</v>
      </c>
      <c r="K607" s="662">
        <v>13</v>
      </c>
      <c r="L607" s="665">
        <f t="shared" si="201"/>
        <v>135</v>
      </c>
      <c r="M607" s="666">
        <v>45925</v>
      </c>
      <c r="N607" s="666">
        <v>45922</v>
      </c>
      <c r="O607" s="664"/>
      <c r="P607" s="664" t="s">
        <v>113</v>
      </c>
      <c r="Q607" s="662"/>
      <c r="R607" s="667">
        <v>45894</v>
      </c>
      <c r="S607" s="667" t="s">
        <v>70</v>
      </c>
      <c r="T607" s="667" t="s">
        <v>70</v>
      </c>
      <c r="U607" s="667"/>
      <c r="V607" s="667"/>
      <c r="W607" s="615"/>
      <c r="X607" s="661" t="s">
        <v>208</v>
      </c>
      <c r="Y607" s="661" t="s">
        <v>2003</v>
      </c>
      <c r="Z607" s="675">
        <v>0.5743</v>
      </c>
      <c r="AA607" s="634">
        <f t="shared" si="195"/>
        <v>1007.8965</v>
      </c>
      <c r="AC607" s="638" t="s">
        <v>7509</v>
      </c>
      <c r="AD607" s="662" t="s">
        <v>6257</v>
      </c>
      <c r="AE607" s="662" t="s">
        <v>82</v>
      </c>
      <c r="AF607" s="662"/>
      <c r="AG607" s="662"/>
      <c r="AH607" s="662"/>
      <c r="AI607" s="662">
        <v>1755</v>
      </c>
      <c r="AJ607" s="662">
        <f t="shared" si="196"/>
        <v>0</v>
      </c>
      <c r="AK607" s="662"/>
      <c r="AL607" s="662"/>
      <c r="AM607" s="662"/>
      <c r="AN607" s="662">
        <f>I607</f>
        <v>1755</v>
      </c>
      <c r="AO607" s="663"/>
      <c r="AP607" s="554">
        <f>I607</f>
        <v>1755</v>
      </c>
      <c r="AR607" s="669"/>
      <c r="AS607" s="548"/>
      <c r="AT607" s="548"/>
      <c r="AU607" s="554">
        <f>I607</f>
        <v>1755</v>
      </c>
      <c r="AV607" s="663"/>
      <c r="AW607" s="669"/>
      <c r="AX607" s="548"/>
      <c r="AY607" s="548"/>
      <c r="AZ607" s="548"/>
      <c r="BA607" s="548"/>
      <c r="BB607" s="670">
        <f>I607/24</f>
        <v>73.125</v>
      </c>
      <c r="BC607" s="671"/>
      <c r="BD607" s="548"/>
      <c r="BE607" s="548"/>
      <c r="BF607" s="548"/>
      <c r="BK607" s="554">
        <f>I607/13</f>
        <v>135</v>
      </c>
      <c r="BY607" s="669"/>
      <c r="BZ607" s="548"/>
      <c r="CA607" s="672"/>
      <c r="CB607" s="567"/>
      <c r="CC607" s="673"/>
      <c r="CD607" s="669"/>
      <c r="CE607" s="669"/>
      <c r="CF607" s="548"/>
      <c r="CG607" s="548"/>
      <c r="CU607" s="554">
        <f t="shared" si="193"/>
        <v>0</v>
      </c>
      <c r="CV607" s="663">
        <f t="shared" si="198"/>
        <v>0</v>
      </c>
      <c r="CW607" s="663">
        <f t="shared" si="199"/>
        <v>0</v>
      </c>
      <c r="CX607" s="669"/>
      <c r="CY607" s="669"/>
      <c r="CZ607" s="669"/>
      <c r="DA607" s="548"/>
      <c r="DB607" s="548"/>
      <c r="DC607" s="548"/>
      <c r="DD607" s="669"/>
      <c r="DE607" s="669"/>
      <c r="DF607" s="669"/>
      <c r="DG607" s="669"/>
      <c r="DH607" s="669"/>
    </row>
    <row r="608" s="548" customFormat="1" ht="31" customHeight="1" spans="1:112">
      <c r="A608" s="660">
        <v>45855</v>
      </c>
      <c r="B608" s="661" t="s">
        <v>1838</v>
      </c>
      <c r="C608" s="662" t="s">
        <v>524</v>
      </c>
      <c r="D608" s="663">
        <v>4500174112</v>
      </c>
      <c r="E608" s="662">
        <v>24724</v>
      </c>
      <c r="F608" s="663" t="s">
        <v>7510</v>
      </c>
      <c r="G608" s="662" t="s">
        <v>6043</v>
      </c>
      <c r="H608" s="662" t="s">
        <v>6110</v>
      </c>
      <c r="I608" s="662">
        <v>1000</v>
      </c>
      <c r="J608" s="662">
        <v>0</v>
      </c>
      <c r="K608" s="662">
        <v>50</v>
      </c>
      <c r="L608" s="665">
        <f t="shared" si="201"/>
        <v>20</v>
      </c>
      <c r="M608" s="666">
        <v>45925</v>
      </c>
      <c r="N608" s="666">
        <v>45922</v>
      </c>
      <c r="O608" s="664" t="s">
        <v>7511</v>
      </c>
      <c r="P608" s="664" t="s">
        <v>113</v>
      </c>
      <c r="Q608" s="674">
        <v>45925</v>
      </c>
      <c r="R608" s="667">
        <v>45901</v>
      </c>
      <c r="S608" s="667" t="s">
        <v>70</v>
      </c>
      <c r="T608" s="667">
        <v>33359</v>
      </c>
      <c r="U608" s="667"/>
      <c r="V608" s="667"/>
      <c r="W608" s="615"/>
      <c r="X608" s="661" t="s">
        <v>7512</v>
      </c>
      <c r="Y608" s="661" t="s">
        <v>340</v>
      </c>
      <c r="Z608" s="661">
        <v>0.924</v>
      </c>
      <c r="AA608" s="634">
        <f t="shared" si="195"/>
        <v>924</v>
      </c>
      <c r="AC608" s="638" t="s">
        <v>1841</v>
      </c>
      <c r="AD608" s="661" t="s">
        <v>6043</v>
      </c>
      <c r="AE608" s="662" t="s">
        <v>82</v>
      </c>
      <c r="AF608" s="662"/>
      <c r="AG608" s="662"/>
      <c r="AH608" s="662"/>
      <c r="AI608" s="662">
        <v>1000</v>
      </c>
      <c r="AJ608" s="662">
        <f t="shared" si="196"/>
        <v>0</v>
      </c>
      <c r="AK608" s="662"/>
      <c r="AL608" s="662"/>
      <c r="AM608" s="662"/>
      <c r="AN608" s="662"/>
      <c r="AO608" s="663">
        <f>I608</f>
        <v>1000</v>
      </c>
      <c r="AR608" s="669"/>
      <c r="AS608" s="548"/>
      <c r="AT608" s="554">
        <f>I608</f>
        <v>1000</v>
      </c>
      <c r="AV608" s="554">
        <f>I608</f>
        <v>1000</v>
      </c>
      <c r="AW608" s="669"/>
      <c r="AX608" s="663"/>
      <c r="AY608" s="548"/>
      <c r="AZ608" s="663"/>
      <c r="BA608" s="663"/>
      <c r="BB608" s="620">
        <f>I608/24</f>
        <v>41.6666666666667</v>
      </c>
      <c r="BC608" s="671"/>
      <c r="BD608" s="548"/>
      <c r="BE608" s="548"/>
      <c r="BF608" s="548"/>
      <c r="BP608" s="554">
        <f>I608/25</f>
        <v>40</v>
      </c>
      <c r="BY608" s="669"/>
      <c r="BZ608" s="548"/>
      <c r="CA608" s="672"/>
      <c r="CB608" s="567"/>
      <c r="CC608" s="673"/>
      <c r="CD608" s="669"/>
      <c r="CE608" s="669"/>
      <c r="CF608" s="548"/>
      <c r="CG608" s="548"/>
      <c r="CU608" s="554">
        <f t="shared" si="193"/>
        <v>40</v>
      </c>
      <c r="CV608" s="663">
        <f t="shared" si="198"/>
        <v>0</v>
      </c>
      <c r="CW608" s="663">
        <f t="shared" si="199"/>
        <v>0</v>
      </c>
      <c r="CX608" s="669"/>
      <c r="CY608" s="669"/>
      <c r="CZ608" s="669"/>
      <c r="DA608" s="548"/>
      <c r="DB608" s="548"/>
      <c r="DC608" s="548"/>
      <c r="DD608" s="669"/>
      <c r="DE608" s="669"/>
      <c r="DF608" s="669"/>
      <c r="DG608" s="669"/>
      <c r="DH608" s="669"/>
    </row>
    <row r="609" s="548" customFormat="1" ht="31" customHeight="1" spans="1:112">
      <c r="A609" s="660">
        <v>45861</v>
      </c>
      <c r="B609" s="661" t="s">
        <v>211</v>
      </c>
      <c r="C609" s="662" t="s">
        <v>212</v>
      </c>
      <c r="D609" s="663">
        <v>4500174818</v>
      </c>
      <c r="E609" s="662" t="s">
        <v>1789</v>
      </c>
      <c r="F609" s="663" t="s">
        <v>1790</v>
      </c>
      <c r="G609" s="662" t="s">
        <v>6337</v>
      </c>
      <c r="H609" s="662" t="s">
        <v>477</v>
      </c>
      <c r="I609" s="662">
        <v>300</v>
      </c>
      <c r="J609" s="662">
        <v>0</v>
      </c>
      <c r="K609" s="662">
        <v>6</v>
      </c>
      <c r="L609" s="665">
        <f t="shared" si="201"/>
        <v>50</v>
      </c>
      <c r="M609" s="666">
        <v>45919</v>
      </c>
      <c r="N609" s="666">
        <f>M609-4</f>
        <v>45915</v>
      </c>
      <c r="O609" s="664"/>
      <c r="P609" s="664" t="s">
        <v>113</v>
      </c>
      <c r="Q609" s="662"/>
      <c r="R609" s="667">
        <v>45862</v>
      </c>
      <c r="S609" s="667" t="s">
        <v>70</v>
      </c>
      <c r="T609" s="667">
        <v>45903</v>
      </c>
      <c r="U609" s="667"/>
      <c r="V609" s="667" t="s">
        <v>7513</v>
      </c>
      <c r="W609" s="615"/>
      <c r="X609" s="661" t="s">
        <v>7514</v>
      </c>
      <c r="Y609" s="661" t="s">
        <v>1793</v>
      </c>
      <c r="Z609" s="675">
        <v>7.0456</v>
      </c>
      <c r="AA609" s="634">
        <f t="shared" si="195"/>
        <v>2113.68</v>
      </c>
      <c r="AC609" s="638" t="s">
        <v>7515</v>
      </c>
      <c r="AD609" s="662" t="s">
        <v>480</v>
      </c>
      <c r="AE609" s="662" t="s">
        <v>82</v>
      </c>
      <c r="AF609" s="662"/>
      <c r="AG609" s="662"/>
      <c r="AH609" s="662"/>
      <c r="AI609" s="662"/>
      <c r="AJ609" s="662">
        <f t="shared" si="196"/>
        <v>-300</v>
      </c>
      <c r="AK609" s="662"/>
      <c r="AL609" s="662"/>
      <c r="AM609" s="662"/>
      <c r="AN609" s="662"/>
      <c r="AO609" s="554">
        <f>I609*2</f>
        <v>600</v>
      </c>
      <c r="AR609" s="669"/>
      <c r="AS609" s="548"/>
      <c r="AT609" s="554">
        <f>I609*2</f>
        <v>600</v>
      </c>
      <c r="AV609" s="554">
        <f>I609*2</f>
        <v>600</v>
      </c>
      <c r="AW609" s="669"/>
      <c r="AX609" s="548"/>
      <c r="AY609" s="548"/>
      <c r="AZ609" s="548"/>
      <c r="BA609" s="548"/>
      <c r="BB609" s="620">
        <f>I609/24*2</f>
        <v>25</v>
      </c>
      <c r="BC609" s="671"/>
      <c r="BD609" s="548"/>
      <c r="BE609" s="548"/>
      <c r="BF609" s="548"/>
      <c r="BY609" s="619"/>
      <c r="BZ609" s="554">
        <f>I609</f>
        <v>300</v>
      </c>
      <c r="CA609" s="672"/>
      <c r="CB609" s="567"/>
      <c r="CC609" s="673"/>
      <c r="CD609" s="669"/>
      <c r="CE609" s="669"/>
      <c r="CF609" s="548"/>
      <c r="CG609" s="548"/>
      <c r="CU609" s="554">
        <f t="shared" si="193"/>
        <v>0</v>
      </c>
      <c r="CV609" s="663">
        <f t="shared" si="198"/>
        <v>0</v>
      </c>
      <c r="CW609" s="663">
        <f t="shared" si="199"/>
        <v>0</v>
      </c>
      <c r="CX609" s="669"/>
      <c r="CY609" s="669"/>
      <c r="CZ609" s="669"/>
      <c r="DA609" s="548"/>
      <c r="DB609" s="548"/>
      <c r="DC609" s="548"/>
      <c r="DD609" s="669"/>
      <c r="DE609" s="669"/>
      <c r="DF609" s="669"/>
      <c r="DG609" s="669"/>
      <c r="DH609" s="669"/>
    </row>
    <row r="610" s="548" customFormat="1" ht="31" customHeight="1" spans="1:112">
      <c r="A610" s="660">
        <v>45740</v>
      </c>
      <c r="B610" s="609" t="s">
        <v>3577</v>
      </c>
      <c r="C610" s="662" t="s">
        <v>170</v>
      </c>
      <c r="D610" s="663">
        <v>4500160898</v>
      </c>
      <c r="E610" s="662">
        <v>9900924259</v>
      </c>
      <c r="F610" s="663" t="s">
        <v>7516</v>
      </c>
      <c r="G610" s="662" t="s">
        <v>6084</v>
      </c>
      <c r="H610" s="662" t="s">
        <v>6069</v>
      </c>
      <c r="I610" s="662">
        <v>1750</v>
      </c>
      <c r="J610" s="662">
        <v>0</v>
      </c>
      <c r="K610" s="662">
        <v>25</v>
      </c>
      <c r="L610" s="665">
        <f t="shared" si="201"/>
        <v>70</v>
      </c>
      <c r="M610" s="666">
        <v>45929</v>
      </c>
      <c r="N610" s="666">
        <v>45925</v>
      </c>
      <c r="O610" s="664" t="s">
        <v>7517</v>
      </c>
      <c r="P610" s="664" t="s">
        <v>113</v>
      </c>
      <c r="Q610" s="662"/>
      <c r="R610" s="667">
        <v>45784</v>
      </c>
      <c r="S610" s="667" t="s">
        <v>70</v>
      </c>
      <c r="T610" s="667" t="s">
        <v>70</v>
      </c>
      <c r="U610" s="667"/>
      <c r="V610" s="667"/>
      <c r="W610" s="615"/>
      <c r="X610" s="661" t="s">
        <v>7518</v>
      </c>
      <c r="Y610" s="661" t="s">
        <v>175</v>
      </c>
      <c r="Z610" s="675">
        <v>0.95</v>
      </c>
      <c r="AA610" s="634">
        <f t="shared" si="195"/>
        <v>1662.5</v>
      </c>
      <c r="AC610" s="676" t="s">
        <v>7519</v>
      </c>
      <c r="AD610" s="662" t="s">
        <v>6089</v>
      </c>
      <c r="AE610" s="662" t="s">
        <v>82</v>
      </c>
      <c r="AF610" s="662"/>
      <c r="AG610" s="662"/>
      <c r="AH610" s="662"/>
      <c r="AI610" s="662">
        <v>1750</v>
      </c>
      <c r="AJ610" s="662">
        <f t="shared" si="196"/>
        <v>0</v>
      </c>
      <c r="AK610" s="662"/>
      <c r="AL610" s="662"/>
      <c r="AM610" s="662"/>
      <c r="AN610" s="662">
        <f>I610</f>
        <v>1750</v>
      </c>
      <c r="AR610" s="669"/>
      <c r="AS610" s="663">
        <f>I610</f>
        <v>1750</v>
      </c>
      <c r="AU610" s="554">
        <f>I610</f>
        <v>1750</v>
      </c>
      <c r="AW610" s="669"/>
      <c r="AX610" s="548"/>
      <c r="AY610" s="548"/>
      <c r="AZ610" s="548"/>
      <c r="BA610" s="548"/>
      <c r="BB610" s="670">
        <f>I610/24</f>
        <v>72.9166666666667</v>
      </c>
      <c r="BC610" s="671"/>
      <c r="BD610" s="548"/>
      <c r="BE610" s="548"/>
      <c r="BF610" s="548"/>
      <c r="BO610" s="554">
        <f>I610/25</f>
        <v>70</v>
      </c>
      <c r="BY610" s="669"/>
      <c r="BZ610" s="548"/>
      <c r="CA610" s="672"/>
      <c r="CB610" s="567"/>
      <c r="CC610" s="673"/>
      <c r="CD610" s="669"/>
      <c r="CE610" s="669"/>
      <c r="CF610" s="548"/>
      <c r="CG610" s="548"/>
      <c r="CU610" s="554">
        <f t="shared" ref="CU610:CU617" si="202">BQ610+BP610+BO610+BN610+BX610+BR610</f>
        <v>70</v>
      </c>
      <c r="CV610" s="663">
        <f t="shared" si="198"/>
        <v>0</v>
      </c>
      <c r="CW610" s="663">
        <f t="shared" si="199"/>
        <v>0</v>
      </c>
      <c r="CX610" s="669"/>
      <c r="CY610" s="669"/>
      <c r="CZ610" s="669"/>
      <c r="DA610" s="548"/>
      <c r="DB610" s="548"/>
      <c r="DC610" s="548"/>
      <c r="DD610" s="669"/>
      <c r="DE610" s="669"/>
      <c r="DF610" s="669"/>
      <c r="DG610" s="669"/>
      <c r="DH610" s="669"/>
    </row>
    <row r="611" s="548" customFormat="1" ht="31" customHeight="1" spans="1:112">
      <c r="A611" s="660">
        <v>45880</v>
      </c>
      <c r="B611" s="609" t="s">
        <v>246</v>
      </c>
      <c r="C611" s="662" t="s">
        <v>98</v>
      </c>
      <c r="D611" s="663">
        <v>4500176566</v>
      </c>
      <c r="E611" s="662" t="s">
        <v>7520</v>
      </c>
      <c r="F611" s="663" t="s">
        <v>7521</v>
      </c>
      <c r="G611" s="662" t="s">
        <v>6084</v>
      </c>
      <c r="H611" s="662" t="s">
        <v>6069</v>
      </c>
      <c r="I611" s="662">
        <v>13050</v>
      </c>
      <c r="J611" s="662">
        <v>0</v>
      </c>
      <c r="K611" s="662">
        <v>25</v>
      </c>
      <c r="L611" s="665">
        <f t="shared" si="201"/>
        <v>522</v>
      </c>
      <c r="M611" s="666">
        <v>45929</v>
      </c>
      <c r="N611" s="666">
        <v>45925</v>
      </c>
      <c r="O611" s="664"/>
      <c r="P611" s="664" t="s">
        <v>113</v>
      </c>
      <c r="Q611" s="662"/>
      <c r="R611" s="667">
        <v>45894</v>
      </c>
      <c r="S611" s="667" t="s">
        <v>104</v>
      </c>
      <c r="T611" s="667">
        <v>45903</v>
      </c>
      <c r="U611" s="667"/>
      <c r="V611" s="667"/>
      <c r="W611" s="615"/>
      <c r="X611" s="661" t="s">
        <v>7336</v>
      </c>
      <c r="Y611" s="661" t="s">
        <v>252</v>
      </c>
      <c r="Z611" s="675">
        <v>0.5543</v>
      </c>
      <c r="AA611" s="634">
        <f t="shared" ref="AA611:AA634" si="203">Z611*I611</f>
        <v>7233.615</v>
      </c>
      <c r="AC611" s="638" t="s">
        <v>7522</v>
      </c>
      <c r="AD611" s="662" t="s">
        <v>6084</v>
      </c>
      <c r="AE611" s="662" t="s">
        <v>82</v>
      </c>
      <c r="AF611" s="662"/>
      <c r="AG611" s="662"/>
      <c r="AH611" s="662"/>
      <c r="AI611" s="662">
        <v>13050</v>
      </c>
      <c r="AJ611" s="662">
        <f t="shared" ref="AJ611:AJ619" si="204">AI611-I611</f>
        <v>0</v>
      </c>
      <c r="AK611" s="662"/>
      <c r="AL611" s="662"/>
      <c r="AM611" s="662"/>
      <c r="AN611" s="662">
        <f>I611</f>
        <v>13050</v>
      </c>
      <c r="AP611" s="554">
        <f>I611</f>
        <v>13050</v>
      </c>
      <c r="AR611" s="669"/>
      <c r="AS611" s="548"/>
      <c r="AT611" s="548"/>
      <c r="AU611" s="554">
        <f>I611</f>
        <v>13050</v>
      </c>
      <c r="AW611" s="669"/>
      <c r="AX611" s="548"/>
      <c r="AY611" s="548"/>
      <c r="AZ611" s="548"/>
      <c r="BA611" s="548"/>
      <c r="BB611" s="670">
        <f>I611/24</f>
        <v>543.75</v>
      </c>
      <c r="BC611" s="671"/>
      <c r="BD611" s="548"/>
      <c r="BE611" s="548"/>
      <c r="BF611" s="548"/>
      <c r="BN611" s="554">
        <f>I611/25</f>
        <v>522</v>
      </c>
      <c r="BY611" s="669"/>
      <c r="BZ611" s="548"/>
      <c r="CA611" s="672"/>
      <c r="CB611" s="567"/>
      <c r="CC611" s="673"/>
      <c r="CD611" s="669"/>
      <c r="CE611" s="669"/>
      <c r="CF611" s="548"/>
      <c r="CG611" s="548"/>
      <c r="CU611" s="554">
        <f t="shared" si="202"/>
        <v>522</v>
      </c>
      <c r="CV611" s="663">
        <f t="shared" ref="CV611:CV641" si="205">CK611+CL611+CM611+CN611+CO611+CQ611+CP611</f>
        <v>0</v>
      </c>
      <c r="CW611" s="663">
        <f t="shared" ref="CW611:CW641" si="206">CI611+CJ611</f>
        <v>0</v>
      </c>
      <c r="CX611" s="669"/>
      <c r="CY611" s="669"/>
      <c r="CZ611" s="669"/>
      <c r="DA611" s="548"/>
      <c r="DB611" s="548"/>
      <c r="DC611" s="548"/>
      <c r="DD611" s="669"/>
      <c r="DE611" s="669"/>
      <c r="DF611" s="669"/>
      <c r="DG611" s="669"/>
      <c r="DH611" s="669"/>
    </row>
    <row r="612" s="548" customFormat="1" ht="31" customHeight="1" spans="1:112">
      <c r="A612" s="660">
        <v>45882</v>
      </c>
      <c r="B612" s="609" t="s">
        <v>246</v>
      </c>
      <c r="C612" s="662" t="s">
        <v>98</v>
      </c>
      <c r="D612" s="663">
        <v>4500176830</v>
      </c>
      <c r="E612" s="662" t="s">
        <v>7523</v>
      </c>
      <c r="F612" s="663" t="s">
        <v>7524</v>
      </c>
      <c r="G612" s="662" t="s">
        <v>6084</v>
      </c>
      <c r="H612" s="662" t="s">
        <v>6069</v>
      </c>
      <c r="I612" s="662">
        <v>20650</v>
      </c>
      <c r="J612" s="662">
        <v>0</v>
      </c>
      <c r="K612" s="662">
        <v>25</v>
      </c>
      <c r="L612" s="665">
        <f t="shared" si="201"/>
        <v>826</v>
      </c>
      <c r="M612" s="666">
        <v>45929</v>
      </c>
      <c r="N612" s="666">
        <v>45925</v>
      </c>
      <c r="O612" s="664"/>
      <c r="P612" s="664" t="s">
        <v>113</v>
      </c>
      <c r="Q612" s="662"/>
      <c r="R612" s="667">
        <v>45894</v>
      </c>
      <c r="S612" s="667" t="s">
        <v>104</v>
      </c>
      <c r="T612" s="667" t="s">
        <v>7483</v>
      </c>
      <c r="U612" s="667"/>
      <c r="V612" s="667"/>
      <c r="W612" s="615"/>
      <c r="X612" s="661" t="s">
        <v>7484</v>
      </c>
      <c r="Y612" s="661" t="s">
        <v>252</v>
      </c>
      <c r="Z612" s="675">
        <v>0.5488</v>
      </c>
      <c r="AA612" s="634">
        <f t="shared" si="203"/>
        <v>11332.72</v>
      </c>
      <c r="AC612" s="638" t="s">
        <v>7525</v>
      </c>
      <c r="AD612" s="662" t="s">
        <v>6084</v>
      </c>
      <c r="AE612" s="662" t="s">
        <v>82</v>
      </c>
      <c r="AF612" s="662"/>
      <c r="AG612" s="662"/>
      <c r="AH612" s="662"/>
      <c r="AI612" s="662">
        <f>6750+13900</f>
        <v>20650</v>
      </c>
      <c r="AJ612" s="662">
        <f t="shared" si="204"/>
        <v>0</v>
      </c>
      <c r="AK612" s="662"/>
      <c r="AL612" s="662"/>
      <c r="AM612" s="662"/>
      <c r="AN612" s="662">
        <f>I612</f>
        <v>20650</v>
      </c>
      <c r="AP612" s="554">
        <f>I612</f>
        <v>20650</v>
      </c>
      <c r="AR612" s="669"/>
      <c r="AS612" s="548"/>
      <c r="AT612" s="548"/>
      <c r="AU612" s="554">
        <f>I612</f>
        <v>20650</v>
      </c>
      <c r="AW612" s="669"/>
      <c r="AX612" s="548"/>
      <c r="AY612" s="548"/>
      <c r="AZ612" s="548"/>
      <c r="BA612" s="548"/>
      <c r="BB612" s="670">
        <f>I612/24</f>
        <v>860.416666666667</v>
      </c>
      <c r="BC612" s="671"/>
      <c r="BD612" s="548"/>
      <c r="BE612" s="548"/>
      <c r="BF612" s="548"/>
      <c r="BN612" s="554">
        <f>I612/25</f>
        <v>826</v>
      </c>
      <c r="BY612" s="669"/>
      <c r="BZ612" s="548"/>
      <c r="CA612" s="672"/>
      <c r="CB612" s="567"/>
      <c r="CC612" s="673"/>
      <c r="CD612" s="669"/>
      <c r="CE612" s="669"/>
      <c r="CF612" s="548"/>
      <c r="CG612" s="548"/>
      <c r="CU612" s="554">
        <f t="shared" si="202"/>
        <v>826</v>
      </c>
      <c r="CV612" s="663">
        <f t="shared" si="205"/>
        <v>0</v>
      </c>
      <c r="CW612" s="663">
        <f t="shared" si="206"/>
        <v>0</v>
      </c>
      <c r="CX612" s="669"/>
      <c r="CY612" s="669"/>
      <c r="CZ612" s="669"/>
      <c r="DA612" s="548"/>
      <c r="DB612" s="548"/>
      <c r="DC612" s="548"/>
      <c r="DD612" s="669"/>
      <c r="DE612" s="669"/>
      <c r="DF612" s="669"/>
      <c r="DG612" s="669"/>
      <c r="DH612" s="669"/>
    </row>
    <row r="613" s="548" customFormat="1" ht="31" customHeight="1" spans="1:112">
      <c r="A613" s="660">
        <v>45889</v>
      </c>
      <c r="B613" s="661" t="s">
        <v>75</v>
      </c>
      <c r="C613" s="662" t="s">
        <v>76</v>
      </c>
      <c r="D613" s="663">
        <v>4500177395</v>
      </c>
      <c r="E613" s="662">
        <v>29028756</v>
      </c>
      <c r="F613" s="663" t="s">
        <v>7526</v>
      </c>
      <c r="G613" s="662" t="s">
        <v>6043</v>
      </c>
      <c r="H613" s="662" t="s">
        <v>6110</v>
      </c>
      <c r="I613" s="662">
        <v>2300</v>
      </c>
      <c r="J613" s="662">
        <v>0</v>
      </c>
      <c r="K613" s="662">
        <v>50</v>
      </c>
      <c r="L613" s="665">
        <f t="shared" si="201"/>
        <v>46</v>
      </c>
      <c r="M613" s="666">
        <v>45929</v>
      </c>
      <c r="N613" s="666">
        <v>45925</v>
      </c>
      <c r="O613" s="664"/>
      <c r="P613" s="664" t="s">
        <v>113</v>
      </c>
      <c r="Q613" s="662"/>
      <c r="R613" s="667">
        <v>45889</v>
      </c>
      <c r="S613" s="667" t="s">
        <v>70</v>
      </c>
      <c r="T613" s="667" t="s">
        <v>7527</v>
      </c>
      <c r="U613" s="667"/>
      <c r="V613" s="667"/>
      <c r="W613" s="615"/>
      <c r="X613" s="661" t="s">
        <v>7528</v>
      </c>
      <c r="Y613" s="661" t="s">
        <v>80</v>
      </c>
      <c r="Z613" s="661">
        <v>0.924</v>
      </c>
      <c r="AA613" s="634">
        <f t="shared" si="203"/>
        <v>2125.2</v>
      </c>
      <c r="AC613" s="676" t="s">
        <v>7529</v>
      </c>
      <c r="AD613" s="661" t="s">
        <v>6043</v>
      </c>
      <c r="AE613" s="662" t="s">
        <v>82</v>
      </c>
      <c r="AF613" s="662"/>
      <c r="AG613" s="662"/>
      <c r="AH613" s="662"/>
      <c r="AI613" s="662">
        <v>2300</v>
      </c>
      <c r="AJ613" s="662">
        <f t="shared" si="204"/>
        <v>0</v>
      </c>
      <c r="AK613" s="662"/>
      <c r="AL613" s="662"/>
      <c r="AM613" s="662"/>
      <c r="AN613" s="662"/>
      <c r="AO613" s="663">
        <f>I613</f>
        <v>2300</v>
      </c>
      <c r="AR613" s="669"/>
      <c r="AS613" s="548"/>
      <c r="AT613" s="554">
        <f>I613</f>
        <v>2300</v>
      </c>
      <c r="AV613" s="554">
        <f>I613</f>
        <v>2300</v>
      </c>
      <c r="AW613" s="669"/>
      <c r="AX613" s="548"/>
      <c r="AY613" s="548"/>
      <c r="AZ613" s="548"/>
      <c r="BA613" s="548"/>
      <c r="BB613" s="620">
        <f>I613/24</f>
        <v>95.8333333333333</v>
      </c>
      <c r="BC613" s="671"/>
      <c r="BD613" s="548"/>
      <c r="BE613" s="548"/>
      <c r="BF613" s="548"/>
      <c r="BP613" s="554">
        <f>I613/25</f>
        <v>92</v>
      </c>
      <c r="BY613" s="669"/>
      <c r="BZ613" s="548"/>
      <c r="CA613" s="672"/>
      <c r="CB613" s="567"/>
      <c r="CC613" s="673"/>
      <c r="CD613" s="669"/>
      <c r="CE613" s="669"/>
      <c r="CF613" s="548"/>
      <c r="CG613" s="548"/>
      <c r="CU613" s="554">
        <f t="shared" si="202"/>
        <v>92</v>
      </c>
      <c r="CV613" s="663">
        <f t="shared" si="205"/>
        <v>0</v>
      </c>
      <c r="CW613" s="663">
        <f t="shared" si="206"/>
        <v>0</v>
      </c>
      <c r="CX613" s="669"/>
      <c r="CY613" s="669"/>
      <c r="CZ613" s="669"/>
      <c r="DA613" s="548"/>
      <c r="DB613" s="548"/>
      <c r="DC613" s="548"/>
      <c r="DD613" s="669"/>
      <c r="DE613" s="669"/>
      <c r="DF613" s="669"/>
      <c r="DG613" s="669"/>
      <c r="DH613" s="669"/>
    </row>
    <row r="614" s="548" customFormat="1" ht="31" customHeight="1" spans="1:112">
      <c r="A614" s="660">
        <v>45889</v>
      </c>
      <c r="B614" s="661" t="s">
        <v>75</v>
      </c>
      <c r="C614" s="662" t="s">
        <v>76</v>
      </c>
      <c r="D614" s="663">
        <v>4500177395</v>
      </c>
      <c r="E614" s="664">
        <v>29028762</v>
      </c>
      <c r="F614" s="663" t="s">
        <v>7530</v>
      </c>
      <c r="G614" s="662" t="s">
        <v>6043</v>
      </c>
      <c r="H614" s="662" t="s">
        <v>6110</v>
      </c>
      <c r="I614" s="662">
        <v>750</v>
      </c>
      <c r="J614" s="662">
        <v>0</v>
      </c>
      <c r="K614" s="662">
        <v>50</v>
      </c>
      <c r="L614" s="665">
        <f t="shared" si="201"/>
        <v>15</v>
      </c>
      <c r="M614" s="666">
        <v>45929</v>
      </c>
      <c r="N614" s="666">
        <v>45925</v>
      </c>
      <c r="O614" s="664"/>
      <c r="P614" s="664" t="s">
        <v>113</v>
      </c>
      <c r="Q614" s="662"/>
      <c r="R614" s="667">
        <v>45889</v>
      </c>
      <c r="S614" s="667" t="s">
        <v>70</v>
      </c>
      <c r="T614" s="667" t="s">
        <v>7527</v>
      </c>
      <c r="U614" s="667"/>
      <c r="V614" s="667"/>
      <c r="W614" s="615"/>
      <c r="X614" s="661" t="s">
        <v>7528</v>
      </c>
      <c r="Y614" s="661" t="s">
        <v>80</v>
      </c>
      <c r="Z614" s="661">
        <v>0.9462</v>
      </c>
      <c r="AA614" s="634">
        <f t="shared" si="203"/>
        <v>709.65</v>
      </c>
      <c r="AC614" s="676" t="s">
        <v>7531</v>
      </c>
      <c r="AD614" s="661" t="s">
        <v>6043</v>
      </c>
      <c r="AE614" s="662" t="s">
        <v>82</v>
      </c>
      <c r="AF614" s="662"/>
      <c r="AG614" s="662"/>
      <c r="AH614" s="662"/>
      <c r="AI614" s="662">
        <v>750</v>
      </c>
      <c r="AJ614" s="662">
        <f t="shared" si="204"/>
        <v>0</v>
      </c>
      <c r="AK614" s="662"/>
      <c r="AL614" s="662"/>
      <c r="AM614" s="662"/>
      <c r="AN614" s="662"/>
      <c r="AO614" s="663">
        <f>I614</f>
        <v>750</v>
      </c>
      <c r="AR614" s="669"/>
      <c r="AS614" s="548"/>
      <c r="AT614" s="554">
        <f>I614</f>
        <v>750</v>
      </c>
      <c r="AV614" s="554">
        <f>I614</f>
        <v>750</v>
      </c>
      <c r="AW614" s="669"/>
      <c r="AX614" s="548"/>
      <c r="AY614" s="548"/>
      <c r="AZ614" s="548"/>
      <c r="BA614" s="548"/>
      <c r="BB614" s="620">
        <f>I614/24</f>
        <v>31.25</v>
      </c>
      <c r="BC614" s="671"/>
      <c r="BD614" s="548"/>
      <c r="BE614" s="548"/>
      <c r="BF614" s="548"/>
      <c r="BP614" s="554">
        <f>I614/25</f>
        <v>30</v>
      </c>
      <c r="BY614" s="669"/>
      <c r="BZ614" s="548"/>
      <c r="CA614" s="672"/>
      <c r="CB614" s="567"/>
      <c r="CC614" s="673"/>
      <c r="CD614" s="669"/>
      <c r="CE614" s="669"/>
      <c r="CF614" s="548"/>
      <c r="CG614" s="548"/>
      <c r="CU614" s="554">
        <f t="shared" si="202"/>
        <v>30</v>
      </c>
      <c r="CV614" s="663">
        <f t="shared" si="205"/>
        <v>0</v>
      </c>
      <c r="CW614" s="663">
        <f t="shared" si="206"/>
        <v>0</v>
      </c>
      <c r="CX614" s="669"/>
      <c r="CY614" s="669"/>
      <c r="CZ614" s="669"/>
      <c r="DA614" s="548"/>
      <c r="DB614" s="548"/>
      <c r="DC614" s="548"/>
      <c r="DD614" s="669"/>
      <c r="DE614" s="669"/>
      <c r="DF614" s="669"/>
      <c r="DG614" s="669"/>
      <c r="DH614" s="669"/>
    </row>
    <row r="615" s="548" customFormat="1" ht="31" customHeight="1" spans="1:112">
      <c r="A615" s="660">
        <v>45891</v>
      </c>
      <c r="B615" s="661" t="s">
        <v>1620</v>
      </c>
      <c r="C615" s="662" t="s">
        <v>278</v>
      </c>
      <c r="D615" s="663">
        <v>4500181195</v>
      </c>
      <c r="E615" s="662"/>
      <c r="F615" s="663" t="s">
        <v>7532</v>
      </c>
      <c r="G615" s="662" t="s">
        <v>6047</v>
      </c>
      <c r="H615" s="662" t="s">
        <v>6069</v>
      </c>
      <c r="I615" s="662">
        <v>7000</v>
      </c>
      <c r="J615" s="662">
        <v>0</v>
      </c>
      <c r="K615" s="662">
        <v>25</v>
      </c>
      <c r="L615" s="665">
        <f t="shared" si="201"/>
        <v>280</v>
      </c>
      <c r="M615" s="666">
        <v>45929</v>
      </c>
      <c r="N615" s="666">
        <v>45925</v>
      </c>
      <c r="O615" s="664" t="s">
        <v>7533</v>
      </c>
      <c r="P615" s="664" t="s">
        <v>113</v>
      </c>
      <c r="Q615" s="662"/>
      <c r="R615" s="667">
        <v>45895</v>
      </c>
      <c r="S615" s="667" t="s">
        <v>70</v>
      </c>
      <c r="T615" s="667" t="s">
        <v>70</v>
      </c>
      <c r="U615" s="667"/>
      <c r="V615" s="667"/>
      <c r="W615" s="615"/>
      <c r="X615" s="661" t="s">
        <v>7534</v>
      </c>
      <c r="Y615" s="661" t="s">
        <v>1549</v>
      </c>
      <c r="Z615" s="661">
        <v>0.9193</v>
      </c>
      <c r="AA615" s="634">
        <f t="shared" si="203"/>
        <v>6435.1</v>
      </c>
      <c r="AC615" s="676" t="s">
        <v>7535</v>
      </c>
      <c r="AD615" s="662" t="s">
        <v>6073</v>
      </c>
      <c r="AE615" s="662" t="s">
        <v>82</v>
      </c>
      <c r="AF615" s="662"/>
      <c r="AG615" s="662"/>
      <c r="AH615" s="662"/>
      <c r="AI615" s="662">
        <v>7000</v>
      </c>
      <c r="AJ615" s="662">
        <f t="shared" si="204"/>
        <v>0</v>
      </c>
      <c r="AK615" s="662"/>
      <c r="AL615" s="662"/>
      <c r="AM615" s="662"/>
      <c r="AN615" s="662"/>
      <c r="AO615" s="663">
        <f>I615</f>
        <v>7000</v>
      </c>
      <c r="AR615" s="669"/>
      <c r="AS615" s="548"/>
      <c r="AT615" s="548"/>
      <c r="AU615" s="548"/>
      <c r="AV615" s="554">
        <f>I615</f>
        <v>7000</v>
      </c>
      <c r="AW615" s="669"/>
      <c r="AX615" s="548"/>
      <c r="AY615" s="548"/>
      <c r="AZ615" s="548"/>
      <c r="BA615" s="548"/>
      <c r="BB615" s="670">
        <f>I615/24*2</f>
        <v>583.333333333333</v>
      </c>
      <c r="BC615" s="671"/>
      <c r="BD615" s="548"/>
      <c r="BE615" s="663">
        <f>I615</f>
        <v>7000</v>
      </c>
      <c r="BP615" s="554">
        <f>I615/25</f>
        <v>280</v>
      </c>
      <c r="BY615" s="669"/>
      <c r="BZ615" s="548"/>
      <c r="CA615" s="672"/>
      <c r="CB615" s="567"/>
      <c r="CC615" s="673"/>
      <c r="CD615" s="669"/>
      <c r="CE615" s="669"/>
      <c r="CF615" s="548"/>
      <c r="CG615" s="548"/>
      <c r="CU615" s="554">
        <f t="shared" si="202"/>
        <v>280</v>
      </c>
      <c r="CV615" s="663">
        <f t="shared" si="205"/>
        <v>0</v>
      </c>
      <c r="CW615" s="663">
        <f t="shared" si="206"/>
        <v>0</v>
      </c>
      <c r="CX615" s="669"/>
      <c r="CY615" s="669"/>
      <c r="CZ615" s="669"/>
      <c r="DA615" s="548"/>
      <c r="DB615" s="548"/>
      <c r="DC615" s="548"/>
      <c r="DD615" s="669"/>
      <c r="DE615" s="669"/>
      <c r="DF615" s="669"/>
      <c r="DG615" s="669"/>
      <c r="DH615" s="669"/>
    </row>
    <row r="616" s="548" customFormat="1" ht="31" customHeight="1" spans="1:112">
      <c r="A616" s="660">
        <v>45891</v>
      </c>
      <c r="B616" s="661" t="s">
        <v>1620</v>
      </c>
      <c r="C616" s="662" t="s">
        <v>278</v>
      </c>
      <c r="D616" s="663">
        <v>4500177657</v>
      </c>
      <c r="E616" s="662" t="s">
        <v>7536</v>
      </c>
      <c r="F616" s="663" t="s">
        <v>7537</v>
      </c>
      <c r="G616" s="662" t="s">
        <v>6047</v>
      </c>
      <c r="H616" s="662" t="s">
        <v>6069</v>
      </c>
      <c r="I616" s="662">
        <v>10000</v>
      </c>
      <c r="J616" s="662">
        <v>0</v>
      </c>
      <c r="K616" s="662">
        <v>25</v>
      </c>
      <c r="L616" s="665">
        <f t="shared" si="201"/>
        <v>400</v>
      </c>
      <c r="M616" s="666">
        <v>45929</v>
      </c>
      <c r="N616" s="666">
        <v>45925</v>
      </c>
      <c r="O616" s="664"/>
      <c r="P616" s="664" t="s">
        <v>113</v>
      </c>
      <c r="Q616" s="662"/>
      <c r="R616" s="667">
        <v>45895</v>
      </c>
      <c r="S616" s="667" t="s">
        <v>70</v>
      </c>
      <c r="T616" s="667" t="s">
        <v>70</v>
      </c>
      <c r="U616" s="667"/>
      <c r="V616" s="667"/>
      <c r="W616" s="615"/>
      <c r="X616" s="661" t="s">
        <v>7538</v>
      </c>
      <c r="Y616" s="661" t="s">
        <v>1549</v>
      </c>
      <c r="Z616" s="661">
        <v>0.9313</v>
      </c>
      <c r="AA616" s="634">
        <f t="shared" si="203"/>
        <v>9313</v>
      </c>
      <c r="AC616" s="638" t="s">
        <v>7539</v>
      </c>
      <c r="AD616" s="662" t="s">
        <v>6073</v>
      </c>
      <c r="AE616" s="662" t="s">
        <v>82</v>
      </c>
      <c r="AF616" s="662"/>
      <c r="AG616" s="662"/>
      <c r="AH616" s="662"/>
      <c r="AI616" s="662">
        <v>10000</v>
      </c>
      <c r="AJ616" s="662">
        <f t="shared" si="204"/>
        <v>0</v>
      </c>
      <c r="AK616" s="662"/>
      <c r="AL616" s="662"/>
      <c r="AM616" s="662"/>
      <c r="AN616" s="662"/>
      <c r="AO616" s="663">
        <f>I616</f>
        <v>10000</v>
      </c>
      <c r="AR616" s="669"/>
      <c r="AS616" s="548"/>
      <c r="AT616" s="548"/>
      <c r="AU616" s="548"/>
      <c r="AV616" s="554">
        <f>I616</f>
        <v>10000</v>
      </c>
      <c r="AW616" s="669"/>
      <c r="AX616" s="548"/>
      <c r="AY616" s="548"/>
      <c r="AZ616" s="548"/>
      <c r="BA616" s="548"/>
      <c r="BB616" s="670">
        <f>I616/24*2</f>
        <v>833.333333333333</v>
      </c>
      <c r="BC616" s="671"/>
      <c r="BD616" s="548"/>
      <c r="BE616" s="663">
        <f>I616</f>
        <v>10000</v>
      </c>
      <c r="BP616" s="554">
        <f>I616/25</f>
        <v>400</v>
      </c>
      <c r="BY616" s="669"/>
      <c r="BZ616" s="548"/>
      <c r="CA616" s="672"/>
      <c r="CB616" s="567"/>
      <c r="CC616" s="673"/>
      <c r="CD616" s="669"/>
      <c r="CE616" s="669"/>
      <c r="CF616" s="548"/>
      <c r="CG616" s="548"/>
      <c r="CU616" s="554">
        <f t="shared" si="202"/>
        <v>400</v>
      </c>
      <c r="CV616" s="663">
        <f t="shared" si="205"/>
        <v>0</v>
      </c>
      <c r="CW616" s="663">
        <f t="shared" si="206"/>
        <v>0</v>
      </c>
      <c r="CX616" s="669"/>
      <c r="CY616" s="669"/>
      <c r="CZ616" s="669"/>
      <c r="DA616" s="548"/>
      <c r="DB616" s="548"/>
      <c r="DC616" s="548"/>
      <c r="DD616" s="669"/>
      <c r="DE616" s="669"/>
      <c r="DF616" s="669"/>
      <c r="DG616" s="669"/>
      <c r="DH616" s="669"/>
    </row>
    <row r="617" s="548" customFormat="1" ht="31" customHeight="1" spans="1:112">
      <c r="A617" s="660">
        <v>45898</v>
      </c>
      <c r="B617" s="661" t="s">
        <v>523</v>
      </c>
      <c r="C617" s="662" t="s">
        <v>524</v>
      </c>
      <c r="D617" s="663">
        <v>4500178210</v>
      </c>
      <c r="E617" s="662"/>
      <c r="F617" s="663" t="s">
        <v>7540</v>
      </c>
      <c r="G617" s="662" t="s">
        <v>6043</v>
      </c>
      <c r="H617" s="662" t="s">
        <v>6110</v>
      </c>
      <c r="I617" s="662">
        <v>14000</v>
      </c>
      <c r="J617" s="662">
        <v>0</v>
      </c>
      <c r="K617" s="662">
        <v>50</v>
      </c>
      <c r="L617" s="665">
        <f t="shared" si="201"/>
        <v>280</v>
      </c>
      <c r="M617" s="666">
        <v>45929</v>
      </c>
      <c r="N617" s="666">
        <v>45925</v>
      </c>
      <c r="O617" s="664" t="s">
        <v>7541</v>
      </c>
      <c r="P617" s="664" t="s">
        <v>113</v>
      </c>
      <c r="Q617" s="662"/>
      <c r="R617" s="667">
        <v>45898</v>
      </c>
      <c r="S617" s="667" t="s">
        <v>104</v>
      </c>
      <c r="T617" s="667" t="s">
        <v>7542</v>
      </c>
      <c r="U617" s="667"/>
      <c r="V617" s="667"/>
      <c r="W617" s="615"/>
      <c r="X617" s="661" t="s">
        <v>7543</v>
      </c>
      <c r="Y617" s="661" t="s">
        <v>529</v>
      </c>
      <c r="Z617" s="661">
        <v>0.9306</v>
      </c>
      <c r="AA617" s="634">
        <f t="shared" si="203"/>
        <v>13028.4</v>
      </c>
      <c r="AC617" s="638" t="s">
        <v>1865</v>
      </c>
      <c r="AD617" s="661" t="s">
        <v>6043</v>
      </c>
      <c r="AE617" s="662" t="s">
        <v>82</v>
      </c>
      <c r="AF617" s="662"/>
      <c r="AG617" s="662"/>
      <c r="AH617" s="662"/>
      <c r="AI617" s="662">
        <v>14000</v>
      </c>
      <c r="AJ617" s="662">
        <f t="shared" si="204"/>
        <v>0</v>
      </c>
      <c r="AK617" s="662"/>
      <c r="AL617" s="662"/>
      <c r="AM617" s="662"/>
      <c r="AN617" s="662"/>
      <c r="AO617" s="663">
        <f>I617</f>
        <v>14000</v>
      </c>
      <c r="AR617" s="669"/>
      <c r="AS617" s="548"/>
      <c r="AT617" s="554">
        <f>I617</f>
        <v>14000</v>
      </c>
      <c r="AV617" s="554">
        <f>I617</f>
        <v>14000</v>
      </c>
      <c r="AW617" s="669"/>
      <c r="AX617" s="548"/>
      <c r="AY617" s="548"/>
      <c r="AZ617" s="548"/>
      <c r="BA617" s="548"/>
      <c r="BB617" s="620">
        <f>I617/24</f>
        <v>583.333333333333</v>
      </c>
      <c r="BC617" s="671"/>
      <c r="BD617" s="548"/>
      <c r="BE617" s="548"/>
      <c r="BF617" s="548"/>
      <c r="BP617" s="554">
        <f>I617/25</f>
        <v>560</v>
      </c>
      <c r="BY617" s="669"/>
      <c r="BZ617" s="548"/>
      <c r="CA617" s="672"/>
      <c r="CB617" s="567"/>
      <c r="CC617" s="673"/>
      <c r="CD617" s="669"/>
      <c r="CE617" s="669"/>
      <c r="CF617" s="548"/>
      <c r="CG617" s="548"/>
      <c r="CU617" s="554">
        <f t="shared" si="202"/>
        <v>560</v>
      </c>
      <c r="CV617" s="663">
        <f t="shared" si="205"/>
        <v>0</v>
      </c>
      <c r="CW617" s="663">
        <f t="shared" si="206"/>
        <v>0</v>
      </c>
      <c r="CX617" s="669"/>
      <c r="CY617" s="669"/>
      <c r="CZ617" s="669"/>
      <c r="DA617" s="548"/>
      <c r="DB617" s="548"/>
      <c r="DC617" s="548"/>
      <c r="DD617" s="669"/>
      <c r="DE617" s="669"/>
      <c r="DF617" s="669"/>
      <c r="DG617" s="669"/>
      <c r="DH617" s="669"/>
    </row>
    <row r="618" s="548" customFormat="1" ht="31" customHeight="1" spans="1:112">
      <c r="A618" s="660">
        <v>45840</v>
      </c>
      <c r="B618" s="661" t="s">
        <v>139</v>
      </c>
      <c r="C618" s="662" t="s">
        <v>76</v>
      </c>
      <c r="D618" s="663">
        <v>4500172411</v>
      </c>
      <c r="E618" s="662">
        <v>20862344</v>
      </c>
      <c r="F618" s="663" t="s">
        <v>1851</v>
      </c>
      <c r="G618" s="662" t="s">
        <v>6337</v>
      </c>
      <c r="H618" s="662" t="s">
        <v>477</v>
      </c>
      <c r="I618" s="662">
        <v>150</v>
      </c>
      <c r="J618" s="662">
        <v>0</v>
      </c>
      <c r="K618" s="662">
        <v>6</v>
      </c>
      <c r="L618" s="665">
        <f t="shared" si="201"/>
        <v>25</v>
      </c>
      <c r="M618" s="666">
        <v>45930</v>
      </c>
      <c r="N618" s="666">
        <v>45915</v>
      </c>
      <c r="O618" s="664"/>
      <c r="P618" s="664" t="s">
        <v>113</v>
      </c>
      <c r="Q618" s="662" t="s">
        <v>1571</v>
      </c>
      <c r="R618" s="667">
        <v>45898</v>
      </c>
      <c r="S618" s="667" t="s">
        <v>104</v>
      </c>
      <c r="T618" s="667">
        <v>45875</v>
      </c>
      <c r="U618" s="667"/>
      <c r="V618" s="667"/>
      <c r="W618" s="615"/>
      <c r="X618" s="661" t="s">
        <v>7544</v>
      </c>
      <c r="Y618" s="661" t="s">
        <v>133</v>
      </c>
      <c r="Z618" s="661">
        <v>7.4117</v>
      </c>
      <c r="AA618" s="634">
        <f t="shared" si="203"/>
        <v>1111.755</v>
      </c>
      <c r="AC618" s="676" t="s">
        <v>1852</v>
      </c>
      <c r="AD618" s="662" t="s">
        <v>1306</v>
      </c>
      <c r="AE618" s="662" t="s">
        <v>82</v>
      </c>
      <c r="AF618" s="662"/>
      <c r="AG618" s="662"/>
      <c r="AH618" s="662"/>
      <c r="AI618" s="662"/>
      <c r="AJ618" s="662">
        <f t="shared" si="204"/>
        <v>-150</v>
      </c>
      <c r="AK618" s="662"/>
      <c r="AL618" s="662"/>
      <c r="AM618" s="662"/>
      <c r="AN618" s="662"/>
      <c r="AO618" s="554">
        <f>I618*2</f>
        <v>300</v>
      </c>
      <c r="AR618" s="619">
        <f>I618*2</f>
        <v>300</v>
      </c>
      <c r="AU618" s="663"/>
      <c r="AV618" s="554">
        <f>I618*2</f>
        <v>300</v>
      </c>
      <c r="AW618" s="669"/>
      <c r="AX618" s="663"/>
      <c r="AY618" s="548"/>
      <c r="AZ618" s="548"/>
      <c r="BA618" s="548"/>
      <c r="BB618" s="620">
        <f>I618/24*2</f>
        <v>12.5</v>
      </c>
      <c r="BC618" s="671"/>
      <c r="BD618" s="548"/>
      <c r="BE618" s="548"/>
      <c r="BF618" s="548"/>
      <c r="BY618" s="619"/>
      <c r="BZ618" s="554">
        <f>I618</f>
        <v>150</v>
      </c>
      <c r="CA618" s="672"/>
      <c r="CB618" s="567"/>
      <c r="CC618" s="673"/>
      <c r="CD618" s="669"/>
      <c r="CE618" s="669"/>
      <c r="CF618" s="548"/>
      <c r="CG618" s="548"/>
      <c r="CU618" s="554">
        <f t="shared" si="193"/>
        <v>0</v>
      </c>
      <c r="CV618" s="663">
        <f t="shared" si="205"/>
        <v>0</v>
      </c>
      <c r="CW618" s="663">
        <f t="shared" si="206"/>
        <v>0</v>
      </c>
      <c r="CX618" s="669"/>
      <c r="CY618" s="669"/>
      <c r="CZ618" s="669"/>
      <c r="DA618" s="548"/>
      <c r="DB618" s="548"/>
      <c r="DC618" s="548"/>
      <c r="DD618" s="669"/>
      <c r="DE618" s="669"/>
      <c r="DF618" s="669"/>
      <c r="DG618" s="669"/>
      <c r="DH618" s="669"/>
    </row>
    <row r="619" s="548" customFormat="1" ht="31" customHeight="1" spans="1:112">
      <c r="A619" s="660">
        <v>45840</v>
      </c>
      <c r="B619" s="661" t="s">
        <v>135</v>
      </c>
      <c r="C619" s="662" t="s">
        <v>128</v>
      </c>
      <c r="D619" s="663">
        <v>4500172409</v>
      </c>
      <c r="E619" s="662">
        <v>20862338</v>
      </c>
      <c r="F619" s="663" t="s">
        <v>1853</v>
      </c>
      <c r="G619" s="662" t="s">
        <v>6337</v>
      </c>
      <c r="H619" s="662" t="s">
        <v>477</v>
      </c>
      <c r="I619" s="662">
        <v>1350</v>
      </c>
      <c r="J619" s="662">
        <v>0</v>
      </c>
      <c r="K619" s="662">
        <v>6</v>
      </c>
      <c r="L619" s="665">
        <f t="shared" si="201"/>
        <v>225</v>
      </c>
      <c r="M619" s="666">
        <v>45930</v>
      </c>
      <c r="N619" s="666">
        <v>45915</v>
      </c>
      <c r="O619" s="664"/>
      <c r="P619" s="664" t="s">
        <v>113</v>
      </c>
      <c r="Q619" s="662" t="s">
        <v>1571</v>
      </c>
      <c r="R619" s="667">
        <v>45898</v>
      </c>
      <c r="S619" s="667" t="s">
        <v>104</v>
      </c>
      <c r="T619" s="667">
        <v>45875</v>
      </c>
      <c r="U619" s="667"/>
      <c r="V619" s="667"/>
      <c r="W619" s="615"/>
      <c r="X619" s="661" t="s">
        <v>7545</v>
      </c>
      <c r="Y619" s="661" t="s">
        <v>133</v>
      </c>
      <c r="Z619" s="661">
        <v>7.0815</v>
      </c>
      <c r="AA619" s="634">
        <f t="shared" si="203"/>
        <v>9560.025</v>
      </c>
      <c r="AC619" s="676" t="s">
        <v>1855</v>
      </c>
      <c r="AD619" s="662" t="s">
        <v>1306</v>
      </c>
      <c r="AE619" s="662" t="s">
        <v>82</v>
      </c>
      <c r="AF619" s="662"/>
      <c r="AG619" s="662"/>
      <c r="AH619" s="662"/>
      <c r="AI619" s="662"/>
      <c r="AJ619" s="662">
        <f t="shared" si="204"/>
        <v>-1350</v>
      </c>
      <c r="AK619" s="662"/>
      <c r="AL619" s="662"/>
      <c r="AM619" s="662"/>
      <c r="AN619" s="662"/>
      <c r="AO619" s="554">
        <f>I619*2</f>
        <v>2700</v>
      </c>
      <c r="AR619" s="619">
        <f>I619*2</f>
        <v>2700</v>
      </c>
      <c r="AU619" s="663"/>
      <c r="AV619" s="554">
        <f>I619*2</f>
        <v>2700</v>
      </c>
      <c r="AW619" s="669"/>
      <c r="AX619" s="663"/>
      <c r="AY619" s="548"/>
      <c r="AZ619" s="548"/>
      <c r="BA619" s="548"/>
      <c r="BB619" s="620">
        <f>I619/24*2</f>
        <v>112.5</v>
      </c>
      <c r="BC619" s="671"/>
      <c r="BD619" s="548"/>
      <c r="BE619" s="548"/>
      <c r="BF619" s="548"/>
      <c r="BY619" s="619"/>
      <c r="BZ619" s="554">
        <f>I619</f>
        <v>1350</v>
      </c>
      <c r="CA619" s="672"/>
      <c r="CB619" s="567"/>
      <c r="CC619" s="673"/>
      <c r="CD619" s="669"/>
      <c r="CE619" s="669"/>
      <c r="CF619" s="548"/>
      <c r="CG619" s="548"/>
      <c r="CU619" s="554">
        <f t="shared" si="193"/>
        <v>0</v>
      </c>
      <c r="CV619" s="663">
        <f t="shared" si="205"/>
        <v>0</v>
      </c>
      <c r="CW619" s="663">
        <f t="shared" si="206"/>
        <v>0</v>
      </c>
      <c r="CX619" s="669"/>
      <c r="CY619" s="669"/>
      <c r="CZ619" s="669"/>
      <c r="DA619" s="548"/>
      <c r="DB619" s="548"/>
      <c r="DC619" s="548"/>
      <c r="DD619" s="669"/>
      <c r="DE619" s="669"/>
      <c r="DF619" s="669"/>
      <c r="DG619" s="669"/>
      <c r="DH619" s="669"/>
    </row>
    <row r="620" s="548" customFormat="1" ht="31" customHeight="1" spans="1:112">
      <c r="A620" s="660">
        <v>45887</v>
      </c>
      <c r="B620" s="661" t="s">
        <v>135</v>
      </c>
      <c r="C620" s="662" t="s">
        <v>128</v>
      </c>
      <c r="D620" s="663">
        <v>4500177236</v>
      </c>
      <c r="E620" s="662">
        <v>21012348</v>
      </c>
      <c r="F620" s="663" t="s">
        <v>7546</v>
      </c>
      <c r="G620" s="662" t="s">
        <v>6093</v>
      </c>
      <c r="H620" s="662" t="s">
        <v>6094</v>
      </c>
      <c r="I620" s="662">
        <v>2236</v>
      </c>
      <c r="J620" s="662">
        <v>0</v>
      </c>
      <c r="K620" s="662">
        <v>13</v>
      </c>
      <c r="L620" s="665">
        <f t="shared" ref="L620:L674" si="207">I620/K620</f>
        <v>172</v>
      </c>
      <c r="M620" s="666">
        <v>45930</v>
      </c>
      <c r="N620" s="666">
        <v>45926</v>
      </c>
      <c r="O620" s="664"/>
      <c r="P620" s="664" t="s">
        <v>113</v>
      </c>
      <c r="Q620" s="662"/>
      <c r="R620" s="667">
        <v>45903</v>
      </c>
      <c r="S620" s="667" t="s">
        <v>104</v>
      </c>
      <c r="T620" s="667" t="s">
        <v>7547</v>
      </c>
      <c r="U620" s="667"/>
      <c r="V620" s="667"/>
      <c r="W620" s="615"/>
      <c r="X620" s="661" t="s">
        <v>6288</v>
      </c>
      <c r="Y620" s="661" t="s">
        <v>133</v>
      </c>
      <c r="Z620" s="675">
        <v>0.9475</v>
      </c>
      <c r="AA620" s="634">
        <f t="shared" si="203"/>
        <v>2118.61</v>
      </c>
      <c r="AC620" s="676" t="s">
        <v>7548</v>
      </c>
      <c r="AD620" s="662" t="s">
        <v>6093</v>
      </c>
      <c r="AE620" s="662" t="s">
        <v>82</v>
      </c>
      <c r="AF620" s="662"/>
      <c r="AG620" s="662"/>
      <c r="AH620" s="662"/>
      <c r="AI620" s="662">
        <v>2236</v>
      </c>
      <c r="AJ620" s="662">
        <f t="shared" ref="AJ620:AJ632" si="208">AI620-I620</f>
        <v>0</v>
      </c>
      <c r="AK620" s="662"/>
      <c r="AL620" s="662"/>
      <c r="AM620" s="662"/>
      <c r="AN620" s="662"/>
      <c r="AO620" s="663">
        <f>I620</f>
        <v>2236</v>
      </c>
      <c r="AR620" s="680"/>
      <c r="AS620" s="548"/>
      <c r="AT620" s="554">
        <f>I620</f>
        <v>2236</v>
      </c>
      <c r="AU620" s="663"/>
      <c r="AV620" s="554">
        <f>I620</f>
        <v>2236</v>
      </c>
      <c r="AW620" s="669"/>
      <c r="AX620" s="663"/>
      <c r="AY620" s="548"/>
      <c r="AZ620" s="548"/>
      <c r="BA620" s="548"/>
      <c r="BB620" s="620">
        <f>I620/24</f>
        <v>93.1666666666667</v>
      </c>
      <c r="BC620" s="671"/>
      <c r="BD620" s="548"/>
      <c r="BE620" s="548"/>
      <c r="BF620" s="548"/>
      <c r="BM620" s="554">
        <f>I620/13</f>
        <v>172</v>
      </c>
      <c r="BY620" s="669"/>
      <c r="BZ620" s="548"/>
      <c r="CA620" s="672"/>
      <c r="CB620" s="567"/>
      <c r="CC620" s="673"/>
      <c r="CD620" s="669"/>
      <c r="CE620" s="669"/>
      <c r="CF620" s="548"/>
      <c r="CG620" s="548"/>
      <c r="CU620" s="554">
        <f t="shared" si="193"/>
        <v>0</v>
      </c>
      <c r="CV620" s="663">
        <f t="shared" si="205"/>
        <v>0</v>
      </c>
      <c r="CW620" s="663">
        <f t="shared" si="206"/>
        <v>0</v>
      </c>
      <c r="CX620" s="669"/>
      <c r="CY620" s="669"/>
      <c r="CZ620" s="669"/>
      <c r="DA620" s="548"/>
      <c r="DB620" s="548"/>
      <c r="DC620" s="548"/>
      <c r="DD620" s="669"/>
      <c r="DE620" s="669"/>
      <c r="DF620" s="669"/>
      <c r="DG620" s="669"/>
      <c r="DH620" s="669"/>
    </row>
    <row r="621" s="548" customFormat="1" ht="31" customHeight="1" spans="1:112">
      <c r="A621" s="660">
        <v>45887</v>
      </c>
      <c r="B621" s="661" t="s">
        <v>139</v>
      </c>
      <c r="C621" s="662" t="s">
        <v>76</v>
      </c>
      <c r="D621" s="663">
        <v>4500177240</v>
      </c>
      <c r="E621" s="664">
        <v>21012350</v>
      </c>
      <c r="F621" s="663" t="s">
        <v>7549</v>
      </c>
      <c r="G621" s="662" t="s">
        <v>6093</v>
      </c>
      <c r="H621" s="662" t="s">
        <v>6094</v>
      </c>
      <c r="I621" s="662">
        <v>117</v>
      </c>
      <c r="J621" s="662">
        <v>0</v>
      </c>
      <c r="K621" s="662">
        <v>13</v>
      </c>
      <c r="L621" s="665">
        <f t="shared" si="207"/>
        <v>9</v>
      </c>
      <c r="M621" s="666">
        <v>45930</v>
      </c>
      <c r="N621" s="666">
        <v>45926</v>
      </c>
      <c r="O621" s="664"/>
      <c r="P621" s="664" t="s">
        <v>113</v>
      </c>
      <c r="Q621" s="662"/>
      <c r="R621" s="667">
        <v>45903</v>
      </c>
      <c r="S621" s="667" t="s">
        <v>104</v>
      </c>
      <c r="T621" s="667" t="s">
        <v>7547</v>
      </c>
      <c r="U621" s="667"/>
      <c r="V621" s="667"/>
      <c r="W621" s="615"/>
      <c r="X621" s="661" t="s">
        <v>7012</v>
      </c>
      <c r="Y621" s="661" t="s">
        <v>133</v>
      </c>
      <c r="Z621" s="675">
        <v>0.9526</v>
      </c>
      <c r="AA621" s="634">
        <f t="shared" si="203"/>
        <v>111.4542</v>
      </c>
      <c r="AC621" s="676" t="s">
        <v>7550</v>
      </c>
      <c r="AD621" s="662" t="s">
        <v>6093</v>
      </c>
      <c r="AE621" s="662" t="s">
        <v>82</v>
      </c>
      <c r="AF621" s="662"/>
      <c r="AG621" s="662"/>
      <c r="AH621" s="662"/>
      <c r="AI621" s="662">
        <v>117</v>
      </c>
      <c r="AJ621" s="662">
        <f t="shared" si="208"/>
        <v>0</v>
      </c>
      <c r="AK621" s="662"/>
      <c r="AL621" s="662"/>
      <c r="AM621" s="662"/>
      <c r="AN621" s="662"/>
      <c r="AO621" s="663">
        <f>I621</f>
        <v>117</v>
      </c>
      <c r="AR621" s="680"/>
      <c r="AS621" s="548"/>
      <c r="AT621" s="554">
        <f>I621</f>
        <v>117</v>
      </c>
      <c r="AU621" s="663"/>
      <c r="AV621" s="554">
        <f>I621</f>
        <v>117</v>
      </c>
      <c r="AW621" s="669"/>
      <c r="AX621" s="663"/>
      <c r="AY621" s="548"/>
      <c r="AZ621" s="548"/>
      <c r="BA621" s="548"/>
      <c r="BB621" s="620">
        <f>I621/24</f>
        <v>4.875</v>
      </c>
      <c r="BC621" s="671"/>
      <c r="BD621" s="548"/>
      <c r="BE621" s="548"/>
      <c r="BF621" s="548"/>
      <c r="BM621" s="554">
        <f>I621/13</f>
        <v>9</v>
      </c>
      <c r="BY621" s="669"/>
      <c r="BZ621" s="548"/>
      <c r="CA621" s="672"/>
      <c r="CB621" s="567"/>
      <c r="CC621" s="673"/>
      <c r="CD621" s="669"/>
      <c r="CE621" s="669"/>
      <c r="CF621" s="548"/>
      <c r="CG621" s="548"/>
      <c r="CU621" s="554">
        <f t="shared" si="193"/>
        <v>0</v>
      </c>
      <c r="CV621" s="663">
        <f t="shared" si="205"/>
        <v>0</v>
      </c>
      <c r="CW621" s="663">
        <f t="shared" si="206"/>
        <v>0</v>
      </c>
      <c r="CX621" s="669"/>
      <c r="CY621" s="669"/>
      <c r="CZ621" s="669"/>
      <c r="DA621" s="548"/>
      <c r="DB621" s="548"/>
      <c r="DC621" s="548"/>
      <c r="DD621" s="669"/>
      <c r="DE621" s="669"/>
      <c r="DF621" s="669"/>
      <c r="DG621" s="669"/>
      <c r="DH621" s="669"/>
    </row>
    <row r="622" s="548" customFormat="1" ht="31" customHeight="1" spans="1:112">
      <c r="A622" s="660">
        <v>45894</v>
      </c>
      <c r="B622" s="661" t="s">
        <v>312</v>
      </c>
      <c r="C622" s="662" t="s">
        <v>278</v>
      </c>
      <c r="D622" s="663">
        <v>4500177765</v>
      </c>
      <c r="E622" s="662" t="s">
        <v>1890</v>
      </c>
      <c r="F622" s="663" t="s">
        <v>7551</v>
      </c>
      <c r="G622" s="662" t="s">
        <v>6040</v>
      </c>
      <c r="H622" s="662" t="s">
        <v>6041</v>
      </c>
      <c r="I622" s="662">
        <v>10140</v>
      </c>
      <c r="J622" s="662">
        <v>0</v>
      </c>
      <c r="K622" s="662">
        <v>52</v>
      </c>
      <c r="L622" s="665">
        <f t="shared" si="207"/>
        <v>195</v>
      </c>
      <c r="M622" s="666">
        <v>45930</v>
      </c>
      <c r="N622" s="666">
        <v>45926</v>
      </c>
      <c r="O622" s="664"/>
      <c r="P622" s="664" t="s">
        <v>113</v>
      </c>
      <c r="Q622" s="662"/>
      <c r="R622" s="667" t="s">
        <v>7552</v>
      </c>
      <c r="S622" s="667" t="s">
        <v>70</v>
      </c>
      <c r="T622" s="667" t="s">
        <v>7553</v>
      </c>
      <c r="U622" s="667"/>
      <c r="V622" s="667"/>
      <c r="W622" s="615"/>
      <c r="X622" s="661" t="s">
        <v>7554</v>
      </c>
      <c r="Y622" s="661" t="s">
        <v>1894</v>
      </c>
      <c r="Z622" s="675">
        <v>0.9002</v>
      </c>
      <c r="AA622" s="634">
        <f t="shared" si="203"/>
        <v>9128.028</v>
      </c>
      <c r="AC622" s="676" t="s">
        <v>1895</v>
      </c>
      <c r="AD622" s="662" t="s">
        <v>6040</v>
      </c>
      <c r="AE622" s="662" t="s">
        <v>82</v>
      </c>
      <c r="AF622" s="662"/>
      <c r="AG622" s="662"/>
      <c r="AH622" s="662"/>
      <c r="AI622" s="662">
        <f>5460+4680</f>
        <v>10140</v>
      </c>
      <c r="AJ622" s="662">
        <f t="shared" si="208"/>
        <v>0</v>
      </c>
      <c r="AK622" s="662"/>
      <c r="AL622" s="662"/>
      <c r="AM622" s="662"/>
      <c r="AN622" s="662"/>
      <c r="AO622" s="663">
        <f>I622</f>
        <v>10140</v>
      </c>
      <c r="AR622" s="680"/>
      <c r="AS622" s="548"/>
      <c r="AT622" s="554">
        <f>I622</f>
        <v>10140</v>
      </c>
      <c r="AU622" s="663"/>
      <c r="AV622" s="554">
        <f>I622</f>
        <v>10140</v>
      </c>
      <c r="AW622" s="669"/>
      <c r="AX622" s="663"/>
      <c r="AY622" s="548"/>
      <c r="AZ622" s="548"/>
      <c r="BA622" s="548"/>
      <c r="BB622" s="620">
        <f>I622/24</f>
        <v>422.5</v>
      </c>
      <c r="BC622" s="671"/>
      <c r="BD622" s="548"/>
      <c r="BE622" s="548"/>
      <c r="BF622" s="548"/>
      <c r="BM622" s="554">
        <f>I622/13</f>
        <v>780</v>
      </c>
      <c r="BY622" s="669"/>
      <c r="BZ622" s="548"/>
      <c r="CA622" s="672"/>
      <c r="CB622" s="567"/>
      <c r="CC622" s="673"/>
      <c r="CD622" s="669"/>
      <c r="CE622" s="669"/>
      <c r="CF622" s="548"/>
      <c r="CG622" s="548"/>
      <c r="CU622" s="554">
        <f t="shared" si="193"/>
        <v>0</v>
      </c>
      <c r="CV622" s="663">
        <f t="shared" si="205"/>
        <v>0</v>
      </c>
      <c r="CW622" s="663">
        <f t="shared" si="206"/>
        <v>0</v>
      </c>
      <c r="CX622" s="669"/>
      <c r="CY622" s="669"/>
      <c r="CZ622" s="669"/>
      <c r="DA622" s="548"/>
      <c r="DB622" s="548"/>
      <c r="DC622" s="548"/>
      <c r="DD622" s="669"/>
      <c r="DE622" s="669"/>
      <c r="DF622" s="669"/>
      <c r="DG622" s="669"/>
      <c r="DH622" s="669"/>
    </row>
    <row r="623" s="548" customFormat="1" ht="31" customHeight="1" spans="1:112">
      <c r="A623" s="660">
        <v>45897</v>
      </c>
      <c r="B623" s="661" t="s">
        <v>1896</v>
      </c>
      <c r="C623" s="662" t="s">
        <v>399</v>
      </c>
      <c r="D623" s="663">
        <v>4500178109</v>
      </c>
      <c r="E623" s="662"/>
      <c r="F623" s="663" t="s">
        <v>7555</v>
      </c>
      <c r="G623" s="662" t="s">
        <v>6043</v>
      </c>
      <c r="H623" s="662" t="s">
        <v>6110</v>
      </c>
      <c r="I623" s="662">
        <v>2250</v>
      </c>
      <c r="J623" s="662">
        <v>0</v>
      </c>
      <c r="K623" s="662">
        <v>50</v>
      </c>
      <c r="L623" s="665">
        <f t="shared" si="207"/>
        <v>45</v>
      </c>
      <c r="M623" s="666">
        <v>45930</v>
      </c>
      <c r="N623" s="666">
        <v>45926</v>
      </c>
      <c r="O623" s="664"/>
      <c r="P623" s="664" t="s">
        <v>113</v>
      </c>
      <c r="Q623" s="662"/>
      <c r="R623" s="667">
        <v>45898</v>
      </c>
      <c r="S623" s="667" t="s">
        <v>70</v>
      </c>
      <c r="T623" s="667">
        <v>45902</v>
      </c>
      <c r="U623" s="667"/>
      <c r="V623" s="667"/>
      <c r="W623" s="615"/>
      <c r="X623" s="661" t="s">
        <v>7556</v>
      </c>
      <c r="Y623" s="661" t="s">
        <v>445</v>
      </c>
      <c r="Z623" s="661">
        <v>0.941</v>
      </c>
      <c r="AA623" s="634">
        <f t="shared" si="203"/>
        <v>2117.25</v>
      </c>
      <c r="AC623" s="676" t="s">
        <v>1899</v>
      </c>
      <c r="AD623" s="661" t="s">
        <v>6043</v>
      </c>
      <c r="AE623" s="662" t="s">
        <v>82</v>
      </c>
      <c r="AF623" s="662"/>
      <c r="AG623" s="662"/>
      <c r="AH623" s="662"/>
      <c r="AI623" s="662">
        <v>2250</v>
      </c>
      <c r="AJ623" s="662">
        <f t="shared" si="208"/>
        <v>0</v>
      </c>
      <c r="AK623" s="662"/>
      <c r="AL623" s="662"/>
      <c r="AM623" s="662"/>
      <c r="AN623" s="662"/>
      <c r="AO623" s="663">
        <f>I623</f>
        <v>2250</v>
      </c>
      <c r="AR623" s="680"/>
      <c r="AS623" s="548"/>
      <c r="AT623" s="554">
        <f>I623</f>
        <v>2250</v>
      </c>
      <c r="AV623" s="554">
        <f>I623</f>
        <v>2250</v>
      </c>
      <c r="AW623" s="669"/>
      <c r="AX623" s="548"/>
      <c r="AY623" s="548"/>
      <c r="AZ623" s="548"/>
      <c r="BA623" s="548"/>
      <c r="BB623" s="620">
        <f>I623/24</f>
        <v>93.75</v>
      </c>
      <c r="BC623" s="671"/>
      <c r="BD623" s="548"/>
      <c r="BE623" s="548"/>
      <c r="BF623" s="548"/>
      <c r="BP623" s="554">
        <f>I623/25</f>
        <v>90</v>
      </c>
      <c r="BY623" s="669"/>
      <c r="BZ623" s="548"/>
      <c r="CA623" s="672"/>
      <c r="CB623" s="567"/>
      <c r="CC623" s="673"/>
      <c r="CD623" s="669"/>
      <c r="CE623" s="669"/>
      <c r="CF623" s="548"/>
      <c r="CG623" s="548"/>
      <c r="CU623" s="554">
        <f t="shared" ref="CU623:CU628" si="209">BQ623+BP623+BO623+BN623+BX623+BR623</f>
        <v>90</v>
      </c>
      <c r="CV623" s="663">
        <f t="shared" si="205"/>
        <v>0</v>
      </c>
      <c r="CW623" s="663">
        <f t="shared" si="206"/>
        <v>0</v>
      </c>
      <c r="CX623" s="669"/>
      <c r="CY623" s="669"/>
      <c r="CZ623" s="669"/>
      <c r="DA623" s="548"/>
      <c r="DB623" s="548"/>
      <c r="DC623" s="548"/>
      <c r="DD623" s="669"/>
      <c r="DE623" s="669"/>
      <c r="DF623" s="669"/>
      <c r="DG623" s="669"/>
      <c r="DH623" s="669"/>
    </row>
    <row r="624" s="548" customFormat="1" ht="31" customHeight="1" spans="1:112">
      <c r="A624" s="660">
        <v>45897</v>
      </c>
      <c r="B624" s="661" t="s">
        <v>143</v>
      </c>
      <c r="C624" s="662" t="s">
        <v>98</v>
      </c>
      <c r="D624" s="663">
        <v>4500178136</v>
      </c>
      <c r="E624" s="664">
        <v>941292505</v>
      </c>
      <c r="F624" s="663" t="s">
        <v>7557</v>
      </c>
      <c r="G624" s="662" t="s">
        <v>6063</v>
      </c>
      <c r="H624" s="662" t="s">
        <v>6064</v>
      </c>
      <c r="I624" s="662">
        <v>34608</v>
      </c>
      <c r="J624" s="662">
        <v>0</v>
      </c>
      <c r="K624" s="662">
        <v>16</v>
      </c>
      <c r="L624" s="665">
        <f t="shared" si="207"/>
        <v>2163</v>
      </c>
      <c r="M624" s="666">
        <v>45930</v>
      </c>
      <c r="N624" s="666">
        <v>45926</v>
      </c>
      <c r="O624" s="664" t="s">
        <v>1823</v>
      </c>
      <c r="P624" s="664" t="s">
        <v>113</v>
      </c>
      <c r="Q624" s="662"/>
      <c r="R624" s="667" t="s">
        <v>7064</v>
      </c>
      <c r="S624" s="667" t="s">
        <v>70</v>
      </c>
      <c r="T624" s="667" t="s">
        <v>148</v>
      </c>
      <c r="U624" s="667"/>
      <c r="V624" s="667"/>
      <c r="W624" s="615"/>
      <c r="X624" s="661" t="s">
        <v>7208</v>
      </c>
      <c r="Y624" s="661" t="s">
        <v>106</v>
      </c>
      <c r="Z624" s="661">
        <v>0.5783</v>
      </c>
      <c r="AA624" s="634">
        <f t="shared" si="203"/>
        <v>20013.8064</v>
      </c>
      <c r="AC624" s="638" t="s">
        <v>7558</v>
      </c>
      <c r="AD624" s="662" t="s">
        <v>6063</v>
      </c>
      <c r="AE624" s="662" t="s">
        <v>82</v>
      </c>
      <c r="AF624" s="662"/>
      <c r="AG624" s="662"/>
      <c r="AH624" s="662"/>
      <c r="AI624" s="662">
        <f>25648+8960</f>
        <v>34608</v>
      </c>
      <c r="AJ624" s="662">
        <f t="shared" si="208"/>
        <v>0</v>
      </c>
      <c r="AK624" s="662"/>
      <c r="AL624" s="662"/>
      <c r="AM624" s="662"/>
      <c r="AN624" s="662">
        <f>I624</f>
        <v>34608</v>
      </c>
      <c r="AO624" s="663"/>
      <c r="AP624" s="554">
        <f>I624</f>
        <v>34608</v>
      </c>
      <c r="AR624" s="669"/>
      <c r="AS624" s="548"/>
      <c r="AT624" s="548"/>
      <c r="AU624" s="554">
        <f>I624</f>
        <v>34608</v>
      </c>
      <c r="AW624" s="669"/>
      <c r="AX624" s="548"/>
      <c r="AY624" s="548"/>
      <c r="AZ624" s="548"/>
      <c r="BA624" s="548"/>
      <c r="BB624" s="670">
        <f t="shared" ref="BB623:BB633" si="210">I624/24</f>
        <v>1442</v>
      </c>
      <c r="BQ624" s="663">
        <f>I624/16</f>
        <v>2163</v>
      </c>
      <c r="BY624" s="669"/>
      <c r="BZ624" s="548"/>
      <c r="CA624" s="672"/>
      <c r="CB624" s="567"/>
      <c r="CC624" s="673"/>
      <c r="CD624" s="669"/>
      <c r="CE624" s="669"/>
      <c r="CF624" s="548"/>
      <c r="CG624" s="548"/>
      <c r="CU624" s="554">
        <f t="shared" si="209"/>
        <v>2163</v>
      </c>
      <c r="CV624" s="663">
        <f t="shared" si="205"/>
        <v>0</v>
      </c>
      <c r="CW624" s="663">
        <f t="shared" si="206"/>
        <v>0</v>
      </c>
      <c r="CX624" s="669"/>
      <c r="CY624" s="669"/>
      <c r="CZ624" s="669"/>
      <c r="DA624" s="548"/>
      <c r="DB624" s="548"/>
      <c r="DC624" s="548"/>
      <c r="DD624" s="669"/>
      <c r="DE624" s="669"/>
      <c r="DF624" s="669"/>
      <c r="DG624" s="669"/>
      <c r="DH624" s="669"/>
    </row>
    <row r="625" s="548" customFormat="1" ht="31" customHeight="1" spans="1:112">
      <c r="A625" s="660">
        <v>45897</v>
      </c>
      <c r="B625" s="661" t="s">
        <v>143</v>
      </c>
      <c r="C625" s="662" t="s">
        <v>98</v>
      </c>
      <c r="D625" s="663">
        <v>4500178136</v>
      </c>
      <c r="E625" s="664">
        <v>941292510</v>
      </c>
      <c r="F625" s="663" t="s">
        <v>7559</v>
      </c>
      <c r="G625" s="662" t="s">
        <v>6063</v>
      </c>
      <c r="H625" s="662" t="s">
        <v>6064</v>
      </c>
      <c r="I625" s="662">
        <v>14992</v>
      </c>
      <c r="J625" s="662">
        <v>0</v>
      </c>
      <c r="K625" s="662">
        <v>16</v>
      </c>
      <c r="L625" s="665">
        <f t="shared" si="207"/>
        <v>937</v>
      </c>
      <c r="M625" s="666">
        <v>45930</v>
      </c>
      <c r="N625" s="666">
        <v>45926</v>
      </c>
      <c r="O625" s="664" t="s">
        <v>1823</v>
      </c>
      <c r="P625" s="664" t="s">
        <v>113</v>
      </c>
      <c r="Q625" s="662"/>
      <c r="R625" s="667" t="s">
        <v>7064</v>
      </c>
      <c r="S625" s="667" t="s">
        <v>70</v>
      </c>
      <c r="T625" s="667" t="s">
        <v>148</v>
      </c>
      <c r="U625" s="667"/>
      <c r="V625" s="667"/>
      <c r="W625" s="615"/>
      <c r="X625" s="661" t="s">
        <v>7208</v>
      </c>
      <c r="Y625" s="661" t="s">
        <v>106</v>
      </c>
      <c r="Z625" s="661">
        <v>0.5783</v>
      </c>
      <c r="AA625" s="634">
        <f t="shared" si="203"/>
        <v>8669.8736</v>
      </c>
      <c r="AC625" s="638" t="s">
        <v>7560</v>
      </c>
      <c r="AD625" s="662" t="s">
        <v>6063</v>
      </c>
      <c r="AE625" s="662" t="s">
        <v>82</v>
      </c>
      <c r="AF625" s="662"/>
      <c r="AG625" s="662"/>
      <c r="AH625" s="662"/>
      <c r="AI625" s="662">
        <v>14992</v>
      </c>
      <c r="AJ625" s="662">
        <f t="shared" si="208"/>
        <v>0</v>
      </c>
      <c r="AK625" s="662"/>
      <c r="AL625" s="662"/>
      <c r="AM625" s="662"/>
      <c r="AN625" s="662">
        <f>I625</f>
        <v>14992</v>
      </c>
      <c r="AO625" s="663"/>
      <c r="AP625" s="554">
        <f>I625</f>
        <v>14992</v>
      </c>
      <c r="AR625" s="669"/>
      <c r="AS625" s="548"/>
      <c r="AT625" s="548"/>
      <c r="AU625" s="554">
        <f>I625</f>
        <v>14992</v>
      </c>
      <c r="AW625" s="669"/>
      <c r="AX625" s="548"/>
      <c r="AY625" s="548"/>
      <c r="AZ625" s="548"/>
      <c r="BA625" s="548"/>
      <c r="BB625" s="670">
        <f t="shared" si="210"/>
        <v>624.666666666667</v>
      </c>
      <c r="BQ625" s="663">
        <f>I625/16</f>
        <v>937</v>
      </c>
      <c r="BY625" s="669"/>
      <c r="BZ625" s="548"/>
      <c r="CA625" s="672"/>
      <c r="CB625" s="567"/>
      <c r="CC625" s="673"/>
      <c r="CD625" s="669"/>
      <c r="CE625" s="669"/>
      <c r="CF625" s="548"/>
      <c r="CG625" s="548"/>
      <c r="CU625" s="554">
        <f t="shared" si="209"/>
        <v>937</v>
      </c>
      <c r="CV625" s="663">
        <f t="shared" si="205"/>
        <v>0</v>
      </c>
      <c r="CW625" s="663">
        <f t="shared" si="206"/>
        <v>0</v>
      </c>
      <c r="CX625" s="669"/>
      <c r="CY625" s="669"/>
      <c r="CZ625" s="669"/>
      <c r="DA625" s="548"/>
      <c r="DB625" s="548"/>
      <c r="DC625" s="548"/>
      <c r="DD625" s="669"/>
      <c r="DE625" s="669"/>
      <c r="DF625" s="669"/>
      <c r="DG625" s="669"/>
      <c r="DH625" s="669"/>
    </row>
    <row r="626" s="548" customFormat="1" ht="31" customHeight="1" spans="1:112">
      <c r="A626" s="660">
        <v>45897</v>
      </c>
      <c r="B626" s="661" t="s">
        <v>143</v>
      </c>
      <c r="C626" s="662" t="s">
        <v>98</v>
      </c>
      <c r="D626" s="663">
        <v>4500178136</v>
      </c>
      <c r="E626" s="664">
        <v>941292513</v>
      </c>
      <c r="F626" s="663" t="s">
        <v>7561</v>
      </c>
      <c r="G626" s="662" t="s">
        <v>6063</v>
      </c>
      <c r="H626" s="662" t="s">
        <v>6064</v>
      </c>
      <c r="I626" s="662">
        <v>15824</v>
      </c>
      <c r="J626" s="662">
        <v>0</v>
      </c>
      <c r="K626" s="662">
        <v>16</v>
      </c>
      <c r="L626" s="665">
        <f t="shared" si="207"/>
        <v>989</v>
      </c>
      <c r="M626" s="666">
        <v>45930</v>
      </c>
      <c r="N626" s="666">
        <v>45926</v>
      </c>
      <c r="O626" s="664" t="s">
        <v>1823</v>
      </c>
      <c r="P626" s="664" t="s">
        <v>113</v>
      </c>
      <c r="Q626" s="662"/>
      <c r="R626" s="667" t="s">
        <v>7064</v>
      </c>
      <c r="S626" s="667" t="s">
        <v>70</v>
      </c>
      <c r="T626" s="667" t="s">
        <v>148</v>
      </c>
      <c r="U626" s="667"/>
      <c r="V626" s="667"/>
      <c r="W626" s="615"/>
      <c r="X626" s="661" t="s">
        <v>7208</v>
      </c>
      <c r="Y626" s="661" t="s">
        <v>106</v>
      </c>
      <c r="Z626" s="661">
        <v>0.5783</v>
      </c>
      <c r="AA626" s="634">
        <f t="shared" si="203"/>
        <v>9151.0192</v>
      </c>
      <c r="AC626" s="638" t="s">
        <v>7562</v>
      </c>
      <c r="AD626" s="662" t="s">
        <v>6063</v>
      </c>
      <c r="AE626" s="662" t="s">
        <v>82</v>
      </c>
      <c r="AF626" s="662"/>
      <c r="AG626" s="662"/>
      <c r="AH626" s="662"/>
      <c r="AI626" s="662">
        <v>15824</v>
      </c>
      <c r="AJ626" s="662">
        <f t="shared" si="208"/>
        <v>0</v>
      </c>
      <c r="AK626" s="662"/>
      <c r="AL626" s="662"/>
      <c r="AM626" s="662"/>
      <c r="AN626" s="662">
        <f>I626</f>
        <v>15824</v>
      </c>
      <c r="AO626" s="663"/>
      <c r="AP626" s="554">
        <f>I626</f>
        <v>15824</v>
      </c>
      <c r="AR626" s="669"/>
      <c r="AS626" s="548"/>
      <c r="AT626" s="548"/>
      <c r="AU626" s="554">
        <f>I626</f>
        <v>15824</v>
      </c>
      <c r="AW626" s="669"/>
      <c r="AX626" s="548"/>
      <c r="AY626" s="548"/>
      <c r="AZ626" s="548"/>
      <c r="BA626" s="548"/>
      <c r="BB626" s="670">
        <f t="shared" si="210"/>
        <v>659.333333333333</v>
      </c>
      <c r="BQ626" s="663">
        <f>I626/16</f>
        <v>989</v>
      </c>
      <c r="BY626" s="669"/>
      <c r="BZ626" s="548"/>
      <c r="CA626" s="672"/>
      <c r="CB626" s="567"/>
      <c r="CC626" s="673"/>
      <c r="CD626" s="669"/>
      <c r="CE626" s="669"/>
      <c r="CF626" s="548"/>
      <c r="CG626" s="548"/>
      <c r="CU626" s="554">
        <f t="shared" si="209"/>
        <v>989</v>
      </c>
      <c r="CV626" s="663">
        <f t="shared" si="205"/>
        <v>0</v>
      </c>
      <c r="CW626" s="663">
        <f t="shared" si="206"/>
        <v>0</v>
      </c>
      <c r="CX626" s="669"/>
      <c r="CY626" s="669"/>
      <c r="CZ626" s="669"/>
      <c r="DA626" s="548"/>
      <c r="DB626" s="548"/>
      <c r="DC626" s="548"/>
      <c r="DD626" s="669"/>
      <c r="DE626" s="669"/>
      <c r="DF626" s="669"/>
      <c r="DG626" s="669"/>
      <c r="DH626" s="669"/>
    </row>
    <row r="627" s="548" customFormat="1" ht="31" customHeight="1" spans="1:112">
      <c r="A627" s="660">
        <v>45897</v>
      </c>
      <c r="B627" s="661" t="s">
        <v>143</v>
      </c>
      <c r="C627" s="662" t="s">
        <v>98</v>
      </c>
      <c r="D627" s="663">
        <v>4500178136</v>
      </c>
      <c r="E627" s="664">
        <v>941292537</v>
      </c>
      <c r="F627" s="663" t="s">
        <v>7563</v>
      </c>
      <c r="G627" s="662" t="s">
        <v>6063</v>
      </c>
      <c r="H627" s="662" t="s">
        <v>6064</v>
      </c>
      <c r="I627" s="662">
        <v>22144</v>
      </c>
      <c r="J627" s="662">
        <v>0</v>
      </c>
      <c r="K627" s="662">
        <v>16</v>
      </c>
      <c r="L627" s="665">
        <f t="shared" si="207"/>
        <v>1384</v>
      </c>
      <c r="M627" s="666">
        <v>45930</v>
      </c>
      <c r="N627" s="666">
        <v>45926</v>
      </c>
      <c r="O627" s="664" t="s">
        <v>1823</v>
      </c>
      <c r="P627" s="664" t="s">
        <v>113</v>
      </c>
      <c r="Q627" s="662"/>
      <c r="R627" s="667" t="s">
        <v>7064</v>
      </c>
      <c r="S627" s="667" t="s">
        <v>70</v>
      </c>
      <c r="T627" s="667" t="s">
        <v>148</v>
      </c>
      <c r="U627" s="667"/>
      <c r="V627" s="667"/>
      <c r="W627" s="615"/>
      <c r="X627" s="661" t="s">
        <v>7208</v>
      </c>
      <c r="Y627" s="661" t="s">
        <v>106</v>
      </c>
      <c r="Z627" s="661">
        <v>0.5783</v>
      </c>
      <c r="AA627" s="634">
        <f t="shared" si="203"/>
        <v>12805.8752</v>
      </c>
      <c r="AC627" s="638" t="s">
        <v>7564</v>
      </c>
      <c r="AD627" s="662" t="s">
        <v>6063</v>
      </c>
      <c r="AE627" s="662" t="s">
        <v>82</v>
      </c>
      <c r="AF627" s="662"/>
      <c r="AG627" s="662"/>
      <c r="AH627" s="662"/>
      <c r="AI627" s="662">
        <f>22144</f>
        <v>22144</v>
      </c>
      <c r="AJ627" s="662">
        <f t="shared" si="208"/>
        <v>0</v>
      </c>
      <c r="AK627" s="662"/>
      <c r="AL627" s="662"/>
      <c r="AM627" s="662"/>
      <c r="AN627" s="662">
        <f>I627</f>
        <v>22144</v>
      </c>
      <c r="AO627" s="663"/>
      <c r="AP627" s="554">
        <f>I627</f>
        <v>22144</v>
      </c>
      <c r="AR627" s="669"/>
      <c r="AS627" s="548"/>
      <c r="AT627" s="548"/>
      <c r="AU627" s="554">
        <f>I627</f>
        <v>22144</v>
      </c>
      <c r="AW627" s="669"/>
      <c r="AX627" s="548"/>
      <c r="AY627" s="548"/>
      <c r="AZ627" s="548"/>
      <c r="BA627" s="548"/>
      <c r="BB627" s="670">
        <f t="shared" si="210"/>
        <v>922.666666666667</v>
      </c>
      <c r="BQ627" s="663">
        <f>I627/16</f>
        <v>1384</v>
      </c>
      <c r="BY627" s="669"/>
      <c r="BZ627" s="548"/>
      <c r="CA627" s="672"/>
      <c r="CB627" s="567"/>
      <c r="CC627" s="673"/>
      <c r="CD627" s="669"/>
      <c r="CE627" s="669"/>
      <c r="CF627" s="548"/>
      <c r="CG627" s="548"/>
      <c r="CU627" s="554">
        <f t="shared" si="209"/>
        <v>1384</v>
      </c>
      <c r="CV627" s="663">
        <f t="shared" si="205"/>
        <v>0</v>
      </c>
      <c r="CW627" s="663">
        <f t="shared" si="206"/>
        <v>0</v>
      </c>
      <c r="CX627" s="669"/>
      <c r="CY627" s="669"/>
      <c r="CZ627" s="669"/>
      <c r="DA627" s="548"/>
      <c r="DB627" s="548"/>
      <c r="DC627" s="548"/>
      <c r="DD627" s="669"/>
      <c r="DE627" s="669"/>
      <c r="DF627" s="669"/>
      <c r="DG627" s="669"/>
      <c r="DH627" s="669"/>
    </row>
    <row r="628" s="548" customFormat="1" ht="31" customHeight="1" spans="1:112">
      <c r="A628" s="660">
        <v>45897</v>
      </c>
      <c r="B628" s="661" t="s">
        <v>143</v>
      </c>
      <c r="C628" s="662" t="s">
        <v>98</v>
      </c>
      <c r="D628" s="663">
        <v>4500178136</v>
      </c>
      <c r="E628" s="664">
        <v>941292540</v>
      </c>
      <c r="F628" s="663" t="s">
        <v>7565</v>
      </c>
      <c r="G628" s="662" t="s">
        <v>6063</v>
      </c>
      <c r="H628" s="662" t="s">
        <v>6064</v>
      </c>
      <c r="I628" s="662">
        <v>31744</v>
      </c>
      <c r="J628" s="662">
        <v>0</v>
      </c>
      <c r="K628" s="662">
        <v>16</v>
      </c>
      <c r="L628" s="665">
        <f t="shared" si="207"/>
        <v>1984</v>
      </c>
      <c r="M628" s="666">
        <v>45930</v>
      </c>
      <c r="N628" s="666">
        <v>45926</v>
      </c>
      <c r="O628" s="664" t="s">
        <v>1823</v>
      </c>
      <c r="P628" s="664" t="s">
        <v>113</v>
      </c>
      <c r="Q628" s="662"/>
      <c r="R628" s="667" t="s">
        <v>7064</v>
      </c>
      <c r="S628" s="667" t="s">
        <v>70</v>
      </c>
      <c r="T628" s="667" t="s">
        <v>148</v>
      </c>
      <c r="U628" s="667"/>
      <c r="V628" s="667"/>
      <c r="W628" s="615"/>
      <c r="X628" s="661" t="s">
        <v>7208</v>
      </c>
      <c r="Y628" s="661" t="s">
        <v>106</v>
      </c>
      <c r="Z628" s="661">
        <v>0.5783</v>
      </c>
      <c r="AA628" s="634">
        <f t="shared" si="203"/>
        <v>18357.5552</v>
      </c>
      <c r="AC628" s="638" t="s">
        <v>7566</v>
      </c>
      <c r="AD628" s="662" t="s">
        <v>6063</v>
      </c>
      <c r="AE628" s="662" t="s">
        <v>82</v>
      </c>
      <c r="AF628" s="662"/>
      <c r="AG628" s="662"/>
      <c r="AH628" s="662"/>
      <c r="AI628" s="662">
        <v>31744</v>
      </c>
      <c r="AJ628" s="662">
        <f t="shared" si="208"/>
        <v>0</v>
      </c>
      <c r="AK628" s="662"/>
      <c r="AL628" s="662"/>
      <c r="AM628" s="662"/>
      <c r="AN628" s="662">
        <f>I628</f>
        <v>31744</v>
      </c>
      <c r="AO628" s="663"/>
      <c r="AP628" s="554">
        <f>I628</f>
        <v>31744</v>
      </c>
      <c r="AR628" s="669"/>
      <c r="AS628" s="548"/>
      <c r="AT628" s="548"/>
      <c r="AU628" s="554">
        <f>I628</f>
        <v>31744</v>
      </c>
      <c r="AW628" s="669"/>
      <c r="AX628" s="548"/>
      <c r="AY628" s="548"/>
      <c r="AZ628" s="548"/>
      <c r="BA628" s="548"/>
      <c r="BB628" s="670">
        <f t="shared" si="210"/>
        <v>1322.66666666667</v>
      </c>
      <c r="BQ628" s="663">
        <f>I628/16</f>
        <v>1984</v>
      </c>
      <c r="BY628" s="669"/>
      <c r="BZ628" s="548"/>
      <c r="CA628" s="672"/>
      <c r="CB628" s="567"/>
      <c r="CC628" s="673"/>
      <c r="CD628" s="669"/>
      <c r="CE628" s="669"/>
      <c r="CF628" s="548"/>
      <c r="CG628" s="548"/>
      <c r="CU628" s="554">
        <f t="shared" si="209"/>
        <v>1984</v>
      </c>
      <c r="CV628" s="663">
        <f t="shared" si="205"/>
        <v>0</v>
      </c>
      <c r="CW628" s="663">
        <f t="shared" si="206"/>
        <v>0</v>
      </c>
      <c r="CX628" s="669"/>
      <c r="CY628" s="669"/>
      <c r="CZ628" s="669"/>
      <c r="DA628" s="548"/>
      <c r="DB628" s="548"/>
      <c r="DC628" s="548"/>
      <c r="DD628" s="669"/>
      <c r="DE628" s="669"/>
      <c r="DF628" s="669"/>
      <c r="DG628" s="669"/>
      <c r="DH628" s="669"/>
    </row>
    <row r="629" s="548" customFormat="1" ht="31" customHeight="1" spans="1:112">
      <c r="A629" s="660">
        <v>45855</v>
      </c>
      <c r="B629" s="661" t="s">
        <v>549</v>
      </c>
      <c r="C629" s="662" t="s">
        <v>278</v>
      </c>
      <c r="D629" s="663">
        <v>4500174199</v>
      </c>
      <c r="E629" s="662" t="s">
        <v>1870</v>
      </c>
      <c r="F629" s="663" t="s">
        <v>1871</v>
      </c>
      <c r="G629" s="662" t="s">
        <v>6337</v>
      </c>
      <c r="H629" s="662" t="s">
        <v>477</v>
      </c>
      <c r="I629" s="662">
        <v>732</v>
      </c>
      <c r="J629" s="662">
        <v>0</v>
      </c>
      <c r="K629" s="662">
        <v>6</v>
      </c>
      <c r="L629" s="665">
        <f t="shared" si="207"/>
        <v>122</v>
      </c>
      <c r="M629" s="666">
        <v>45930</v>
      </c>
      <c r="N629" s="666">
        <v>45926</v>
      </c>
      <c r="O629" s="664"/>
      <c r="P629" s="664" t="s">
        <v>113</v>
      </c>
      <c r="Q629" s="662"/>
      <c r="R629" s="667" t="s">
        <v>463</v>
      </c>
      <c r="S629" s="667" t="s">
        <v>104</v>
      </c>
      <c r="T629" s="667" t="s">
        <v>7567</v>
      </c>
      <c r="U629" s="667"/>
      <c r="V629" s="667"/>
      <c r="W629" s="615"/>
      <c r="X629" s="661" t="s">
        <v>1873</v>
      </c>
      <c r="Y629" s="661" t="s">
        <v>466</v>
      </c>
      <c r="Z629" s="661">
        <v>6.8326</v>
      </c>
      <c r="AA629" s="634">
        <f t="shared" si="203"/>
        <v>5001.4632</v>
      </c>
      <c r="AC629" s="685" t="s">
        <v>1874</v>
      </c>
      <c r="AD629" s="661" t="s">
        <v>7568</v>
      </c>
      <c r="AE629" s="662" t="s">
        <v>82</v>
      </c>
      <c r="AF629" s="662"/>
      <c r="AG629" s="662"/>
      <c r="AH629" s="662"/>
      <c r="AI629" s="662">
        <v>732</v>
      </c>
      <c r="AJ629" s="662">
        <f t="shared" ref="AJ629:AJ655" si="211">AI629-I629</f>
        <v>0</v>
      </c>
      <c r="AK629" s="662"/>
      <c r="AL629" s="662"/>
      <c r="AM629" s="662"/>
      <c r="AN629" s="662"/>
      <c r="AO629" s="554">
        <f>I629*2</f>
        <v>1464</v>
      </c>
      <c r="AP629" s="554">
        <f>I629*2</f>
        <v>1464</v>
      </c>
      <c r="AR629" s="680"/>
      <c r="AS629" s="548"/>
      <c r="AT629" s="548"/>
      <c r="AU629" s="663"/>
      <c r="AV629" s="554">
        <f>I629*2</f>
        <v>1464</v>
      </c>
      <c r="AW629" s="669"/>
      <c r="AX629" s="663"/>
      <c r="AY629" s="548"/>
      <c r="AZ629" s="548"/>
      <c r="BA629" s="548"/>
      <c r="BB629" s="620">
        <f t="shared" ref="BB629:BB634" si="212">I629/24*2</f>
        <v>61</v>
      </c>
      <c r="BC629" s="671"/>
      <c r="BD629" s="548"/>
      <c r="BE629" s="548"/>
      <c r="BF629" s="548"/>
      <c r="BY629" s="619"/>
      <c r="BZ629" s="554">
        <f>I629</f>
        <v>732</v>
      </c>
      <c r="CA629" s="672"/>
      <c r="CB629" s="567"/>
      <c r="CC629" s="673"/>
      <c r="CD629" s="669"/>
      <c r="CE629" s="669"/>
      <c r="CF629" s="548"/>
      <c r="CG629" s="548"/>
      <c r="CU629" s="554">
        <f t="shared" si="193"/>
        <v>0</v>
      </c>
      <c r="CV629" s="663">
        <f t="shared" si="205"/>
        <v>0</v>
      </c>
      <c r="CW629" s="663">
        <f t="shared" si="206"/>
        <v>0</v>
      </c>
      <c r="CX629" s="669"/>
      <c r="CY629" s="669"/>
      <c r="CZ629" s="669"/>
      <c r="DA629" s="548"/>
      <c r="DB629" s="548"/>
      <c r="DC629" s="548"/>
      <c r="DD629" s="669"/>
      <c r="DE629" s="669"/>
      <c r="DF629" s="669"/>
      <c r="DG629" s="669"/>
      <c r="DH629" s="669"/>
    </row>
    <row r="630" s="548" customFormat="1" ht="31" customHeight="1" spans="1:112">
      <c r="A630" s="660">
        <v>45855</v>
      </c>
      <c r="B630" s="661" t="s">
        <v>549</v>
      </c>
      <c r="C630" s="662" t="s">
        <v>154</v>
      </c>
      <c r="D630" s="663">
        <v>4500174199</v>
      </c>
      <c r="E630" s="662" t="s">
        <v>1876</v>
      </c>
      <c r="F630" s="663" t="s">
        <v>1877</v>
      </c>
      <c r="G630" s="662" t="s">
        <v>6337</v>
      </c>
      <c r="H630" s="662" t="s">
        <v>477</v>
      </c>
      <c r="I630" s="662">
        <v>504</v>
      </c>
      <c r="J630" s="662">
        <v>0</v>
      </c>
      <c r="K630" s="662">
        <v>6</v>
      </c>
      <c r="L630" s="665">
        <f t="shared" si="207"/>
        <v>84</v>
      </c>
      <c r="M630" s="666">
        <v>45930</v>
      </c>
      <c r="N630" s="666">
        <v>45926</v>
      </c>
      <c r="O630" s="664"/>
      <c r="P630" s="664" t="s">
        <v>113</v>
      </c>
      <c r="Q630" s="662"/>
      <c r="R630" s="667" t="s">
        <v>463</v>
      </c>
      <c r="S630" s="667" t="s">
        <v>104</v>
      </c>
      <c r="T630" s="667" t="s">
        <v>7567</v>
      </c>
      <c r="U630" s="667"/>
      <c r="V630" s="667"/>
      <c r="W630" s="615"/>
      <c r="X630" s="661" t="s">
        <v>1873</v>
      </c>
      <c r="Y630" s="661" t="s">
        <v>466</v>
      </c>
      <c r="Z630" s="661">
        <v>6.8326</v>
      </c>
      <c r="AA630" s="634">
        <f t="shared" si="203"/>
        <v>3443.6304</v>
      </c>
      <c r="AC630" s="685" t="s">
        <v>1874</v>
      </c>
      <c r="AD630" s="661" t="s">
        <v>7568</v>
      </c>
      <c r="AE630" s="662" t="s">
        <v>82</v>
      </c>
      <c r="AF630" s="662"/>
      <c r="AG630" s="662"/>
      <c r="AH630" s="662"/>
      <c r="AI630" s="662">
        <v>504</v>
      </c>
      <c r="AJ630" s="662">
        <f t="shared" si="211"/>
        <v>0</v>
      </c>
      <c r="AK630" s="662"/>
      <c r="AL630" s="662"/>
      <c r="AM630" s="662"/>
      <c r="AN630" s="662"/>
      <c r="AO630" s="554">
        <f>I630*2</f>
        <v>1008</v>
      </c>
      <c r="AP630" s="554">
        <f>I630*2</f>
        <v>1008</v>
      </c>
      <c r="AR630" s="680"/>
      <c r="AS630" s="548"/>
      <c r="AT630" s="548"/>
      <c r="AU630" s="663"/>
      <c r="AV630" s="554">
        <f>I630*2</f>
        <v>1008</v>
      </c>
      <c r="AW630" s="669"/>
      <c r="AX630" s="663"/>
      <c r="AY630" s="548"/>
      <c r="AZ630" s="548"/>
      <c r="BA630" s="548"/>
      <c r="BB630" s="620">
        <f t="shared" si="212"/>
        <v>42</v>
      </c>
      <c r="BC630" s="671"/>
      <c r="BD630" s="548"/>
      <c r="BE630" s="548"/>
      <c r="BF630" s="548"/>
      <c r="BY630" s="619"/>
      <c r="BZ630" s="554">
        <f>I630</f>
        <v>504</v>
      </c>
      <c r="CA630" s="672"/>
      <c r="CB630" s="567"/>
      <c r="CC630" s="673"/>
      <c r="CD630" s="669"/>
      <c r="CE630" s="669"/>
      <c r="CF630" s="548"/>
      <c r="CG630" s="548"/>
      <c r="CU630" s="554">
        <f t="shared" si="193"/>
        <v>0</v>
      </c>
      <c r="CV630" s="663">
        <f t="shared" si="205"/>
        <v>0</v>
      </c>
      <c r="CW630" s="663">
        <f t="shared" si="206"/>
        <v>0</v>
      </c>
      <c r="CX630" s="669"/>
      <c r="CY630" s="669"/>
      <c r="CZ630" s="669"/>
      <c r="DA630" s="548"/>
      <c r="DB630" s="548"/>
      <c r="DC630" s="548"/>
      <c r="DD630" s="669"/>
      <c r="DE630" s="669"/>
      <c r="DF630" s="669"/>
      <c r="DG630" s="669"/>
      <c r="DH630" s="669"/>
    </row>
    <row r="631" s="548" customFormat="1" ht="31" customHeight="1" spans="1:112">
      <c r="A631" s="660">
        <v>45855</v>
      </c>
      <c r="B631" s="661" t="s">
        <v>549</v>
      </c>
      <c r="C631" s="662" t="s">
        <v>302</v>
      </c>
      <c r="D631" s="663">
        <v>4500174199</v>
      </c>
      <c r="E631" s="662" t="s">
        <v>1878</v>
      </c>
      <c r="F631" s="663" t="s">
        <v>1879</v>
      </c>
      <c r="G631" s="662" t="s">
        <v>6337</v>
      </c>
      <c r="H631" s="662" t="s">
        <v>477</v>
      </c>
      <c r="I631" s="662">
        <v>504</v>
      </c>
      <c r="J631" s="662">
        <v>0</v>
      </c>
      <c r="K631" s="662">
        <v>6</v>
      </c>
      <c r="L631" s="665">
        <f t="shared" si="207"/>
        <v>84</v>
      </c>
      <c r="M631" s="666">
        <v>45930</v>
      </c>
      <c r="N631" s="666">
        <v>45926</v>
      </c>
      <c r="O631" s="664"/>
      <c r="P631" s="664" t="s">
        <v>113</v>
      </c>
      <c r="Q631" s="662"/>
      <c r="R631" s="667" t="s">
        <v>463</v>
      </c>
      <c r="S631" s="667" t="s">
        <v>104</v>
      </c>
      <c r="T631" s="667" t="s">
        <v>7567</v>
      </c>
      <c r="U631" s="667"/>
      <c r="V631" s="667"/>
      <c r="W631" s="615"/>
      <c r="X631" s="661" t="s">
        <v>1873</v>
      </c>
      <c r="Y631" s="661" t="s">
        <v>466</v>
      </c>
      <c r="Z631" s="661">
        <v>6.8326</v>
      </c>
      <c r="AA631" s="634">
        <f t="shared" si="203"/>
        <v>3443.6304</v>
      </c>
      <c r="AC631" s="685" t="s">
        <v>1874</v>
      </c>
      <c r="AD631" s="661" t="s">
        <v>7568</v>
      </c>
      <c r="AE631" s="662" t="s">
        <v>82</v>
      </c>
      <c r="AF631" s="662"/>
      <c r="AG631" s="662"/>
      <c r="AH631" s="662"/>
      <c r="AI631" s="662">
        <v>504</v>
      </c>
      <c r="AJ631" s="662">
        <f t="shared" si="211"/>
        <v>0</v>
      </c>
      <c r="AK631" s="662"/>
      <c r="AL631" s="662"/>
      <c r="AM631" s="662"/>
      <c r="AN631" s="662"/>
      <c r="AO631" s="554">
        <f>I631*2</f>
        <v>1008</v>
      </c>
      <c r="AP631" s="554">
        <f>I631*2</f>
        <v>1008</v>
      </c>
      <c r="AR631" s="680"/>
      <c r="AS631" s="548"/>
      <c r="AT631" s="548"/>
      <c r="AU631" s="663"/>
      <c r="AV631" s="554">
        <f>I631*2</f>
        <v>1008</v>
      </c>
      <c r="AW631" s="669"/>
      <c r="AX631" s="663"/>
      <c r="AY631" s="548"/>
      <c r="AZ631" s="548"/>
      <c r="BA631" s="548"/>
      <c r="BB631" s="620">
        <f t="shared" si="212"/>
        <v>42</v>
      </c>
      <c r="BC631" s="671"/>
      <c r="BD631" s="548"/>
      <c r="BE631" s="548"/>
      <c r="BF631" s="548"/>
      <c r="BY631" s="619"/>
      <c r="BZ631" s="554">
        <f>I631</f>
        <v>504</v>
      </c>
      <c r="CA631" s="672"/>
      <c r="CB631" s="567"/>
      <c r="CC631" s="673"/>
      <c r="CD631" s="669"/>
      <c r="CE631" s="669"/>
      <c r="CF631" s="548"/>
      <c r="CG631" s="548"/>
      <c r="CU631" s="554">
        <f t="shared" si="193"/>
        <v>0</v>
      </c>
      <c r="CV631" s="663">
        <f t="shared" si="205"/>
        <v>0</v>
      </c>
      <c r="CW631" s="663">
        <f t="shared" si="206"/>
        <v>0</v>
      </c>
      <c r="CX631" s="669"/>
      <c r="CY631" s="669"/>
      <c r="CZ631" s="669"/>
      <c r="DA631" s="548"/>
      <c r="DB631" s="548"/>
      <c r="DC631" s="548"/>
      <c r="DD631" s="669"/>
      <c r="DE631" s="669"/>
      <c r="DF631" s="669"/>
      <c r="DG631" s="669"/>
      <c r="DH631" s="669"/>
    </row>
    <row r="632" s="548" customFormat="1" ht="31" customHeight="1" spans="1:112">
      <c r="A632" s="660">
        <v>45855</v>
      </c>
      <c r="B632" s="661" t="s">
        <v>549</v>
      </c>
      <c r="C632" s="662" t="s">
        <v>278</v>
      </c>
      <c r="D632" s="663">
        <v>4500174199</v>
      </c>
      <c r="E632" s="662" t="s">
        <v>1880</v>
      </c>
      <c r="F632" s="663" t="s">
        <v>1881</v>
      </c>
      <c r="G632" s="662" t="s">
        <v>6337</v>
      </c>
      <c r="H632" s="662" t="s">
        <v>477</v>
      </c>
      <c r="I632" s="662">
        <v>1056</v>
      </c>
      <c r="J632" s="662">
        <v>0</v>
      </c>
      <c r="K632" s="662">
        <v>6</v>
      </c>
      <c r="L632" s="665">
        <f t="shared" si="207"/>
        <v>176</v>
      </c>
      <c r="M632" s="666">
        <v>45930</v>
      </c>
      <c r="N632" s="666">
        <v>45926</v>
      </c>
      <c r="O632" s="664"/>
      <c r="P632" s="664" t="s">
        <v>113</v>
      </c>
      <c r="Q632" s="662"/>
      <c r="R632" s="667" t="s">
        <v>463</v>
      </c>
      <c r="S632" s="667" t="s">
        <v>104</v>
      </c>
      <c r="T632" s="667" t="s">
        <v>7567</v>
      </c>
      <c r="U632" s="667"/>
      <c r="V632" s="667"/>
      <c r="W632" s="615"/>
      <c r="X632" s="661" t="s">
        <v>1873</v>
      </c>
      <c r="Y632" s="661" t="s">
        <v>466</v>
      </c>
      <c r="Z632" s="661">
        <v>6.8326</v>
      </c>
      <c r="AA632" s="634">
        <f t="shared" si="203"/>
        <v>7215.2256</v>
      </c>
      <c r="AC632" s="685" t="s">
        <v>1874</v>
      </c>
      <c r="AD632" s="661" t="s">
        <v>7568</v>
      </c>
      <c r="AE632" s="662" t="s">
        <v>82</v>
      </c>
      <c r="AF632" s="662"/>
      <c r="AG632" s="662"/>
      <c r="AH632" s="662"/>
      <c r="AI632" s="662">
        <v>1056</v>
      </c>
      <c r="AJ632" s="662">
        <f t="shared" si="211"/>
        <v>0</v>
      </c>
      <c r="AK632" s="662"/>
      <c r="AL632" s="662"/>
      <c r="AM632" s="662"/>
      <c r="AN632" s="662"/>
      <c r="AO632" s="554">
        <f>I632*2</f>
        <v>2112</v>
      </c>
      <c r="AP632" s="554">
        <f>I632*2</f>
        <v>2112</v>
      </c>
      <c r="AR632" s="680"/>
      <c r="AS632" s="548"/>
      <c r="AT632" s="548"/>
      <c r="AU632" s="663"/>
      <c r="AV632" s="554">
        <f>I632*2</f>
        <v>2112</v>
      </c>
      <c r="AW632" s="669"/>
      <c r="AX632" s="663"/>
      <c r="AY632" s="548"/>
      <c r="AZ632" s="548"/>
      <c r="BA632" s="548"/>
      <c r="BB632" s="620">
        <f t="shared" si="212"/>
        <v>88</v>
      </c>
      <c r="BC632" s="671"/>
      <c r="BD632" s="548"/>
      <c r="BE632" s="548"/>
      <c r="BF632" s="548"/>
      <c r="BY632" s="619"/>
      <c r="BZ632" s="554">
        <f>I632</f>
        <v>1056</v>
      </c>
      <c r="CA632" s="672"/>
      <c r="CB632" s="567"/>
      <c r="CC632" s="673"/>
      <c r="CD632" s="669"/>
      <c r="CE632" s="669"/>
      <c r="CF632" s="548"/>
      <c r="CG632" s="548"/>
      <c r="CU632" s="554">
        <f t="shared" si="193"/>
        <v>0</v>
      </c>
      <c r="CV632" s="663">
        <f t="shared" si="205"/>
        <v>0</v>
      </c>
      <c r="CW632" s="663">
        <f t="shared" si="206"/>
        <v>0</v>
      </c>
      <c r="CX632" s="669"/>
      <c r="CY632" s="669"/>
      <c r="CZ632" s="669"/>
      <c r="DA632" s="548"/>
      <c r="DB632" s="548"/>
      <c r="DC632" s="548"/>
      <c r="DD632" s="669"/>
      <c r="DE632" s="669"/>
      <c r="DF632" s="669"/>
      <c r="DG632" s="669"/>
      <c r="DH632" s="669"/>
    </row>
    <row r="633" s="548" customFormat="1" ht="31" customHeight="1" spans="1:112">
      <c r="A633" s="660">
        <v>45855</v>
      </c>
      <c r="B633" s="661" t="s">
        <v>549</v>
      </c>
      <c r="C633" s="662" t="s">
        <v>154</v>
      </c>
      <c r="D633" s="663">
        <v>4500174199</v>
      </c>
      <c r="E633" s="662" t="s">
        <v>1882</v>
      </c>
      <c r="F633" s="663" t="s">
        <v>1883</v>
      </c>
      <c r="G633" s="662" t="s">
        <v>6337</v>
      </c>
      <c r="H633" s="662" t="s">
        <v>477</v>
      </c>
      <c r="I633" s="662">
        <v>516</v>
      </c>
      <c r="J633" s="662">
        <v>0</v>
      </c>
      <c r="K633" s="662">
        <v>6</v>
      </c>
      <c r="L633" s="665">
        <f t="shared" si="207"/>
        <v>86</v>
      </c>
      <c r="M633" s="666">
        <v>45930</v>
      </c>
      <c r="N633" s="666">
        <v>45926</v>
      </c>
      <c r="O633" s="664"/>
      <c r="P633" s="664" t="s">
        <v>113</v>
      </c>
      <c r="Q633" s="662"/>
      <c r="R633" s="667" t="s">
        <v>463</v>
      </c>
      <c r="S633" s="667" t="s">
        <v>104</v>
      </c>
      <c r="T633" s="667" t="s">
        <v>7567</v>
      </c>
      <c r="U633" s="667"/>
      <c r="V633" s="667"/>
      <c r="W633" s="615"/>
      <c r="X633" s="661" t="s">
        <v>1873</v>
      </c>
      <c r="Y633" s="661" t="s">
        <v>466</v>
      </c>
      <c r="Z633" s="661">
        <v>6.8326</v>
      </c>
      <c r="AA633" s="634">
        <f t="shared" si="203"/>
        <v>3525.6216</v>
      </c>
      <c r="AC633" s="685" t="s">
        <v>1874</v>
      </c>
      <c r="AD633" s="661" t="s">
        <v>7568</v>
      </c>
      <c r="AE633" s="662" t="s">
        <v>82</v>
      </c>
      <c r="AF633" s="662"/>
      <c r="AG633" s="662"/>
      <c r="AH633" s="662"/>
      <c r="AI633" s="662">
        <v>516</v>
      </c>
      <c r="AJ633" s="662">
        <f t="shared" si="211"/>
        <v>0</v>
      </c>
      <c r="AK633" s="662"/>
      <c r="AL633" s="662"/>
      <c r="AM633" s="662"/>
      <c r="AN633" s="662"/>
      <c r="AO633" s="554">
        <f>I633*2</f>
        <v>1032</v>
      </c>
      <c r="AP633" s="554">
        <f>I633*2</f>
        <v>1032</v>
      </c>
      <c r="AR633" s="680"/>
      <c r="AS633" s="548"/>
      <c r="AT633" s="548"/>
      <c r="AU633" s="663"/>
      <c r="AV633" s="554">
        <f>I633*2</f>
        <v>1032</v>
      </c>
      <c r="AW633" s="669"/>
      <c r="AX633" s="663"/>
      <c r="AY633" s="548"/>
      <c r="AZ633" s="548"/>
      <c r="BA633" s="548"/>
      <c r="BB633" s="620">
        <f t="shared" si="212"/>
        <v>43</v>
      </c>
      <c r="BC633" s="671"/>
      <c r="BD633" s="548"/>
      <c r="BE633" s="548"/>
      <c r="BF633" s="548"/>
      <c r="BY633" s="619"/>
      <c r="BZ633" s="554">
        <f>I633</f>
        <v>516</v>
      </c>
      <c r="CA633" s="672"/>
      <c r="CB633" s="567"/>
      <c r="CC633" s="673"/>
      <c r="CD633" s="669"/>
      <c r="CE633" s="669"/>
      <c r="CF633" s="548"/>
      <c r="CG633" s="548"/>
      <c r="CU633" s="554">
        <f t="shared" si="193"/>
        <v>0</v>
      </c>
      <c r="CV633" s="663">
        <f t="shared" si="205"/>
        <v>0</v>
      </c>
      <c r="CW633" s="663">
        <f t="shared" si="206"/>
        <v>0</v>
      </c>
      <c r="CX633" s="669"/>
      <c r="CY633" s="669"/>
      <c r="CZ633" s="669"/>
      <c r="DA633" s="548"/>
      <c r="DB633" s="548"/>
      <c r="DC633" s="548"/>
      <c r="DD633" s="669"/>
      <c r="DE633" s="669"/>
      <c r="DF633" s="669"/>
      <c r="DG633" s="669"/>
      <c r="DH633" s="669"/>
    </row>
    <row r="634" s="548" customFormat="1" ht="31" customHeight="1" spans="1:112">
      <c r="A634" s="660">
        <v>45911</v>
      </c>
      <c r="B634" s="661" t="s">
        <v>1544</v>
      </c>
      <c r="C634" s="662" t="s">
        <v>257</v>
      </c>
      <c r="D634" s="663">
        <v>4500179309</v>
      </c>
      <c r="E634" s="662" t="s">
        <v>7569</v>
      </c>
      <c r="F634" s="663" t="s">
        <v>7570</v>
      </c>
      <c r="G634" s="662" t="s">
        <v>6047</v>
      </c>
      <c r="H634" s="662" t="s">
        <v>6069</v>
      </c>
      <c r="I634" s="662">
        <v>5000</v>
      </c>
      <c r="J634" s="662">
        <v>0</v>
      </c>
      <c r="K634" s="662">
        <v>25</v>
      </c>
      <c r="L634" s="665">
        <f t="shared" si="207"/>
        <v>200</v>
      </c>
      <c r="M634" s="666">
        <v>45966</v>
      </c>
      <c r="N634" s="666">
        <v>45962</v>
      </c>
      <c r="O634" s="664"/>
      <c r="P634" s="664" t="s">
        <v>113</v>
      </c>
      <c r="Q634" s="662"/>
      <c r="R634" s="667">
        <v>45911</v>
      </c>
      <c r="S634" s="667" t="s">
        <v>70</v>
      </c>
      <c r="T634" s="667" t="s">
        <v>7571</v>
      </c>
      <c r="U634" s="667"/>
      <c r="V634" s="667"/>
      <c r="W634" s="615"/>
      <c r="X634" s="628" t="s">
        <v>7572</v>
      </c>
      <c r="Y634" s="661" t="s">
        <v>1549</v>
      </c>
      <c r="Z634" s="661">
        <v>0.9365</v>
      </c>
      <c r="AA634" s="634">
        <f t="shared" si="203"/>
        <v>4682.5</v>
      </c>
      <c r="AC634" s="638" t="s">
        <v>7573</v>
      </c>
      <c r="AD634" s="662" t="s">
        <v>6073</v>
      </c>
      <c r="AE634" s="662" t="s">
        <v>82</v>
      </c>
      <c r="AF634" s="662"/>
      <c r="AG634" s="662"/>
      <c r="AH634" s="662"/>
      <c r="AI634" s="662">
        <v>5000</v>
      </c>
      <c r="AJ634" s="662">
        <f t="shared" si="211"/>
        <v>0</v>
      </c>
      <c r="AK634" s="662"/>
      <c r="AL634" s="662"/>
      <c r="AM634" s="662"/>
      <c r="AN634" s="662"/>
      <c r="AO634" s="663">
        <f>I634</f>
        <v>5000</v>
      </c>
      <c r="AR634" s="680"/>
      <c r="AS634" s="548"/>
      <c r="AT634" s="548"/>
      <c r="AU634" s="548"/>
      <c r="AV634" s="554">
        <f>I634</f>
        <v>5000</v>
      </c>
      <c r="AW634" s="669"/>
      <c r="AX634" s="663"/>
      <c r="AY634" s="548"/>
      <c r="AZ634" s="548"/>
      <c r="BA634" s="548"/>
      <c r="BB634" s="670">
        <f t="shared" si="212"/>
        <v>416.666666666667</v>
      </c>
      <c r="BC634" s="671"/>
      <c r="BD634" s="548"/>
      <c r="BE634" s="663">
        <f>I634</f>
        <v>5000</v>
      </c>
      <c r="BP634" s="554">
        <f>I634/25</f>
        <v>200</v>
      </c>
      <c r="BY634" s="669"/>
      <c r="BZ634" s="548"/>
      <c r="CA634" s="672"/>
      <c r="CB634" s="567"/>
      <c r="CC634" s="673"/>
      <c r="CD634" s="669"/>
      <c r="CE634" s="669"/>
      <c r="CF634" s="548"/>
      <c r="CG634" s="548"/>
      <c r="CU634" s="554">
        <f t="shared" si="193"/>
        <v>200</v>
      </c>
      <c r="CV634" s="663">
        <f t="shared" si="205"/>
        <v>0</v>
      </c>
      <c r="CW634" s="663">
        <f t="shared" si="206"/>
        <v>0</v>
      </c>
      <c r="CX634" s="669"/>
      <c r="CY634" s="669"/>
      <c r="CZ634" s="669"/>
      <c r="DA634" s="548"/>
      <c r="DB634" s="548"/>
      <c r="DC634" s="548"/>
      <c r="DD634" s="669"/>
      <c r="DE634" s="669"/>
      <c r="DF634" s="669"/>
      <c r="DG634" s="669"/>
      <c r="DH634" s="669"/>
    </row>
    <row r="635" s="548" customFormat="1" ht="31" customHeight="1" spans="1:112">
      <c r="A635" s="660">
        <v>45678</v>
      </c>
      <c r="B635" s="661" t="s">
        <v>1492</v>
      </c>
      <c r="C635" s="662" t="s">
        <v>98</v>
      </c>
      <c r="D635" s="663">
        <v>4500156315</v>
      </c>
      <c r="E635" s="664">
        <v>1740625260</v>
      </c>
      <c r="F635" s="663" t="s">
        <v>1689</v>
      </c>
      <c r="G635" s="662" t="s">
        <v>909</v>
      </c>
      <c r="H635" s="662" t="s">
        <v>830</v>
      </c>
      <c r="I635" s="662">
        <v>72</v>
      </c>
      <c r="J635" s="662">
        <v>0</v>
      </c>
      <c r="K635" s="662">
        <v>1</v>
      </c>
      <c r="L635" s="665">
        <f t="shared" si="207"/>
        <v>72</v>
      </c>
      <c r="M635" s="666">
        <v>45896</v>
      </c>
      <c r="N635" s="666">
        <v>45894</v>
      </c>
      <c r="O635" s="664"/>
      <c r="P635" s="664" t="s">
        <v>113</v>
      </c>
      <c r="Q635" s="662"/>
      <c r="R635" s="667">
        <v>45832</v>
      </c>
      <c r="S635" s="667" t="s">
        <v>70</v>
      </c>
      <c r="T635" s="667" t="s">
        <v>70</v>
      </c>
      <c r="U635" s="667"/>
      <c r="V635" s="667"/>
      <c r="W635" s="615"/>
      <c r="X635" s="661" t="s">
        <v>1599</v>
      </c>
      <c r="Y635" s="661" t="s">
        <v>911</v>
      </c>
      <c r="Z635" s="661">
        <v>0</v>
      </c>
      <c r="AA635" s="634">
        <f>Z635*L635</f>
        <v>0</v>
      </c>
      <c r="AC635" s="638" t="s">
        <v>1690</v>
      </c>
      <c r="AD635" s="668" t="s">
        <v>1498</v>
      </c>
      <c r="AE635" s="662" t="s">
        <v>82</v>
      </c>
      <c r="AF635" s="662"/>
      <c r="AG635" s="662"/>
      <c r="AH635" s="662"/>
      <c r="AI635" s="662"/>
      <c r="AJ635" s="662">
        <f t="shared" si="211"/>
        <v>-72</v>
      </c>
      <c r="AK635" s="662"/>
      <c r="AL635" s="662"/>
      <c r="AM635" s="662"/>
      <c r="AN635" s="662"/>
      <c r="AO635" s="548"/>
      <c r="AP635" s="548"/>
      <c r="AQ635" s="548"/>
      <c r="AR635" s="669"/>
      <c r="AS635" s="548"/>
      <c r="AT635" s="548"/>
      <c r="AU635" s="548"/>
      <c r="AV635" s="548"/>
      <c r="AW635" s="669"/>
      <c r="AX635" s="548"/>
      <c r="AY635" s="548"/>
      <c r="AZ635" s="548"/>
      <c r="BA635" s="548"/>
      <c r="BB635" s="670"/>
      <c r="BC635" s="671"/>
      <c r="BD635" s="548"/>
      <c r="BE635" s="548"/>
      <c r="BF635" s="548"/>
      <c r="BY635" s="669"/>
      <c r="BZ635" s="548"/>
      <c r="CA635" s="672"/>
      <c r="CB635" s="567"/>
      <c r="CC635" s="673"/>
      <c r="CD635" s="669"/>
      <c r="CE635" s="669"/>
      <c r="CF635" s="548"/>
      <c r="CG635" s="548"/>
      <c r="CU635" s="554">
        <f t="shared" si="193"/>
        <v>0</v>
      </c>
      <c r="CV635" s="663">
        <f t="shared" si="205"/>
        <v>0</v>
      </c>
      <c r="CW635" s="663">
        <f t="shared" si="206"/>
        <v>0</v>
      </c>
      <c r="CX635" s="669"/>
      <c r="CY635" s="669"/>
      <c r="CZ635" s="669"/>
      <c r="DA635" s="548"/>
      <c r="DB635" s="548"/>
      <c r="DC635" s="548"/>
      <c r="DD635" s="669"/>
      <c r="DE635" s="669"/>
      <c r="DF635" s="669"/>
      <c r="DG635" s="669"/>
      <c r="DH635" s="669"/>
    </row>
    <row r="636" s="548" customFormat="1" ht="31" customHeight="1" spans="1:112">
      <c r="A636" s="660">
        <v>45678</v>
      </c>
      <c r="B636" s="661" t="s">
        <v>1492</v>
      </c>
      <c r="C636" s="662" t="s">
        <v>98</v>
      </c>
      <c r="D636" s="663">
        <v>4500156315</v>
      </c>
      <c r="E636" s="664">
        <v>1740625260</v>
      </c>
      <c r="F636" s="663" t="s">
        <v>1689</v>
      </c>
      <c r="G636" s="662">
        <v>77711</v>
      </c>
      <c r="H636" s="662" t="s">
        <v>6033</v>
      </c>
      <c r="I636" s="662">
        <v>5400</v>
      </c>
      <c r="J636" s="662">
        <v>0</v>
      </c>
      <c r="K636" s="662">
        <v>75</v>
      </c>
      <c r="L636" s="665">
        <f t="shared" si="207"/>
        <v>72</v>
      </c>
      <c r="M636" s="666">
        <v>45896</v>
      </c>
      <c r="N636" s="666">
        <v>45894</v>
      </c>
      <c r="O636" s="664"/>
      <c r="P636" s="664" t="s">
        <v>113</v>
      </c>
      <c r="Q636" s="662"/>
      <c r="R636" s="667">
        <v>45832</v>
      </c>
      <c r="S636" s="667" t="s">
        <v>70</v>
      </c>
      <c r="T636" s="667" t="s">
        <v>70</v>
      </c>
      <c r="U636" s="667"/>
      <c r="V636" s="667"/>
      <c r="W636" s="615"/>
      <c r="X636" s="661"/>
      <c r="Y636" s="661" t="s">
        <v>911</v>
      </c>
      <c r="Z636" s="661">
        <v>762.5</v>
      </c>
      <c r="AA636" s="634">
        <f>Z636*L636</f>
        <v>54900</v>
      </c>
      <c r="AC636" s="638" t="s">
        <v>1690</v>
      </c>
      <c r="AD636" s="668" t="s">
        <v>1498</v>
      </c>
      <c r="AE636" s="662" t="s">
        <v>82</v>
      </c>
      <c r="AF636" s="662"/>
      <c r="AG636" s="662"/>
      <c r="AH636" s="662"/>
      <c r="AI636" s="662"/>
      <c r="AJ636" s="662">
        <f t="shared" si="211"/>
        <v>-5400</v>
      </c>
      <c r="AK636" s="662"/>
      <c r="AL636" s="662"/>
      <c r="AM636" s="662"/>
      <c r="AN636" s="610">
        <f>I636*3</f>
        <v>16200</v>
      </c>
      <c r="AR636" s="669"/>
      <c r="AS636" s="548"/>
      <c r="AT636" s="548"/>
      <c r="AU636" s="548"/>
      <c r="AV636" s="548"/>
      <c r="AW636" s="669"/>
      <c r="AX636" s="548"/>
      <c r="AY636" s="548"/>
      <c r="AZ636" s="548"/>
      <c r="BA636" s="548"/>
      <c r="BB636" s="686">
        <f>I636/24*3</f>
        <v>675</v>
      </c>
      <c r="BC636" s="671"/>
      <c r="BD636" s="548"/>
      <c r="BE636" s="548"/>
      <c r="BF636" s="687">
        <f>AN636</f>
        <v>16200</v>
      </c>
      <c r="BH636" s="687">
        <f>AN636</f>
        <v>16200</v>
      </c>
      <c r="BI636" s="687">
        <f>I636</f>
        <v>5400</v>
      </c>
      <c r="BJ636" s="687">
        <f>I636/5</f>
        <v>1080</v>
      </c>
      <c r="BY636" s="669"/>
      <c r="BZ636" s="548"/>
      <c r="CA636" s="672"/>
      <c r="CB636" s="567"/>
      <c r="CC636" s="673"/>
      <c r="CD636" s="669"/>
      <c r="CE636" s="669"/>
      <c r="CF636" s="548"/>
      <c r="CG636" s="548"/>
      <c r="CU636" s="554">
        <f t="shared" si="193"/>
        <v>0</v>
      </c>
      <c r="CV636" s="663">
        <f t="shared" si="205"/>
        <v>0</v>
      </c>
      <c r="CW636" s="663">
        <f t="shared" si="206"/>
        <v>0</v>
      </c>
      <c r="CX636" s="669"/>
      <c r="CY636" s="669"/>
      <c r="CZ636" s="669"/>
      <c r="DA636" s="548"/>
      <c r="DB636" s="548"/>
      <c r="DC636" s="548"/>
      <c r="DD636" s="669"/>
      <c r="DE636" s="669"/>
      <c r="DF636" s="669"/>
      <c r="DG636" s="669"/>
      <c r="DH636" s="669"/>
    </row>
    <row r="637" s="548" customFormat="1" ht="31" customHeight="1" spans="1:112">
      <c r="A637" s="660">
        <v>45901</v>
      </c>
      <c r="B637" s="661" t="s">
        <v>3489</v>
      </c>
      <c r="C637" s="662" t="s">
        <v>836</v>
      </c>
      <c r="D637" s="663">
        <v>4500178421</v>
      </c>
      <c r="E637" s="662">
        <v>21211518</v>
      </c>
      <c r="F637" s="663" t="s">
        <v>7574</v>
      </c>
      <c r="G637" s="662" t="s">
        <v>6093</v>
      </c>
      <c r="H637" s="662" t="s">
        <v>6094</v>
      </c>
      <c r="I637" s="662">
        <v>1248</v>
      </c>
      <c r="J637" s="662">
        <v>0</v>
      </c>
      <c r="K637" s="662">
        <v>13</v>
      </c>
      <c r="L637" s="665">
        <f t="shared" si="207"/>
        <v>96</v>
      </c>
      <c r="M637" s="666">
        <v>45938</v>
      </c>
      <c r="N637" s="666">
        <v>45934</v>
      </c>
      <c r="O637" s="664" t="s">
        <v>7575</v>
      </c>
      <c r="P637" s="664" t="s">
        <v>113</v>
      </c>
      <c r="Q637" s="662"/>
      <c r="R637" s="667">
        <v>45901</v>
      </c>
      <c r="S637" s="667" t="s">
        <v>70</v>
      </c>
      <c r="T637" s="667">
        <v>45901</v>
      </c>
      <c r="U637" s="667"/>
      <c r="V637" s="667"/>
      <c r="W637" s="615"/>
      <c r="X637" s="661" t="s">
        <v>7576</v>
      </c>
      <c r="Y637" s="661" t="s">
        <v>2533</v>
      </c>
      <c r="Z637" s="675">
        <v>0.9116</v>
      </c>
      <c r="AA637" s="634">
        <f t="shared" ref="AA637:AA642" si="213">Z637*I637</f>
        <v>1137.6768</v>
      </c>
      <c r="AC637" s="676" t="s">
        <v>7577</v>
      </c>
      <c r="AD637" s="662" t="s">
        <v>6093</v>
      </c>
      <c r="AE637" s="662" t="s">
        <v>82</v>
      </c>
      <c r="AF637" s="662"/>
      <c r="AG637" s="662"/>
      <c r="AH637" s="662"/>
      <c r="AI637" s="662">
        <v>1248</v>
      </c>
      <c r="AJ637" s="662">
        <f t="shared" si="211"/>
        <v>0</v>
      </c>
      <c r="AK637" s="662"/>
      <c r="AL637" s="662"/>
      <c r="AM637" s="662"/>
      <c r="AN637" s="662"/>
      <c r="AO637" s="663">
        <f>I637</f>
        <v>1248</v>
      </c>
      <c r="AR637" s="669"/>
      <c r="AS637" s="548"/>
      <c r="AT637" s="554">
        <f>I637</f>
        <v>1248</v>
      </c>
      <c r="AV637" s="554">
        <f>I637</f>
        <v>1248</v>
      </c>
      <c r="AW637" s="669"/>
      <c r="AX637" s="548"/>
      <c r="AY637" s="548"/>
      <c r="AZ637" s="548"/>
      <c r="BA637" s="548"/>
      <c r="BB637" s="620">
        <f t="shared" ref="BB637:BB642" si="214">I637/24</f>
        <v>52</v>
      </c>
      <c r="BM637" s="554">
        <f>I637/13</f>
        <v>96</v>
      </c>
      <c r="BY637" s="669"/>
      <c r="BZ637" s="548"/>
      <c r="CA637" s="672"/>
      <c r="CB637" s="567"/>
      <c r="CC637" s="673"/>
      <c r="CD637" s="669"/>
      <c r="CE637" s="669"/>
      <c r="CF637" s="548"/>
      <c r="CG637" s="548"/>
      <c r="CU637" s="554">
        <f t="shared" si="193"/>
        <v>0</v>
      </c>
      <c r="CV637" s="663">
        <f t="shared" ref="CV637:CV675" si="215">CK637+CL637+CM637+CN637+CO637+CQ637+CP637</f>
        <v>0</v>
      </c>
      <c r="CW637" s="663">
        <f t="shared" ref="CW637:CW675" si="216">CI637+CJ637</f>
        <v>0</v>
      </c>
      <c r="CX637" s="669"/>
      <c r="CY637" s="669"/>
      <c r="CZ637" s="669"/>
      <c r="DA637" s="548"/>
      <c r="DB637" s="548"/>
      <c r="DC637" s="548"/>
      <c r="DD637" s="669"/>
      <c r="DE637" s="669"/>
      <c r="DF637" s="669"/>
      <c r="DG637" s="669"/>
      <c r="DH637" s="669"/>
    </row>
    <row r="638" s="548" customFormat="1" ht="31" customHeight="1" spans="1:112">
      <c r="A638" s="660">
        <v>45897</v>
      </c>
      <c r="B638" s="661" t="s">
        <v>1332</v>
      </c>
      <c r="C638" s="662" t="s">
        <v>590</v>
      </c>
      <c r="D638" s="663">
        <v>4500178095</v>
      </c>
      <c r="E638" s="662"/>
      <c r="F638" s="663" t="s">
        <v>7578</v>
      </c>
      <c r="G638" s="662" t="s">
        <v>6448</v>
      </c>
      <c r="H638" s="662" t="s">
        <v>6449</v>
      </c>
      <c r="I638" s="662">
        <v>1800</v>
      </c>
      <c r="J638" s="662">
        <v>0</v>
      </c>
      <c r="K638" s="662">
        <v>50</v>
      </c>
      <c r="L638" s="665">
        <f t="shared" si="207"/>
        <v>36</v>
      </c>
      <c r="M638" s="666">
        <v>45939</v>
      </c>
      <c r="N638" s="666">
        <v>45936</v>
      </c>
      <c r="O638" s="664"/>
      <c r="P638" s="664" t="s">
        <v>113</v>
      </c>
      <c r="Q638" s="662"/>
      <c r="R638" s="667">
        <v>45897</v>
      </c>
      <c r="S638" s="667" t="s">
        <v>70</v>
      </c>
      <c r="T638" s="667">
        <v>45909</v>
      </c>
      <c r="U638" s="667"/>
      <c r="V638" s="667"/>
      <c r="W638" s="615"/>
      <c r="X638" s="661" t="s">
        <v>7579</v>
      </c>
      <c r="Y638" s="661" t="s">
        <v>230</v>
      </c>
      <c r="Z638" s="661">
        <v>0.992</v>
      </c>
      <c r="AA638" s="634">
        <f t="shared" si="213"/>
        <v>1785.6</v>
      </c>
      <c r="AC638" s="676" t="s">
        <v>7580</v>
      </c>
      <c r="AD638" s="662" t="s">
        <v>6448</v>
      </c>
      <c r="AE638" s="662" t="s">
        <v>82</v>
      </c>
      <c r="AF638" s="662"/>
      <c r="AG638" s="662"/>
      <c r="AH638" s="662"/>
      <c r="AI638" s="662"/>
      <c r="AJ638" s="662">
        <f t="shared" si="211"/>
        <v>-1800</v>
      </c>
      <c r="AK638" s="662"/>
      <c r="AL638" s="662"/>
      <c r="AM638" s="662"/>
      <c r="AN638" s="662"/>
      <c r="AO638" s="663">
        <f>I638</f>
        <v>1800</v>
      </c>
      <c r="AR638" s="680"/>
      <c r="AS638" s="548"/>
      <c r="AT638" s="554">
        <f>I638</f>
        <v>1800</v>
      </c>
      <c r="AU638" s="663"/>
      <c r="AV638" s="663"/>
      <c r="AW638" s="669"/>
      <c r="AX638" s="663"/>
      <c r="AY638" s="548"/>
      <c r="AZ638" s="663">
        <f>I638</f>
        <v>1800</v>
      </c>
      <c r="BB638" s="620">
        <f t="shared" si="214"/>
        <v>75</v>
      </c>
      <c r="BC638" s="671"/>
      <c r="BD638" s="548"/>
      <c r="BE638" s="548"/>
      <c r="BF638" s="548"/>
      <c r="BX638" s="663">
        <f>I638/25</f>
        <v>72</v>
      </c>
      <c r="BY638" s="669"/>
      <c r="BZ638" s="548"/>
      <c r="CA638" s="672"/>
      <c r="CB638" s="567"/>
      <c r="CC638" s="673"/>
      <c r="CD638" s="669"/>
      <c r="CE638" s="669"/>
      <c r="CF638" s="548"/>
      <c r="CG638" s="548"/>
      <c r="CU638" s="554">
        <f t="shared" ref="CU638:CU643" si="217">BQ638+BP638+BO638+BN638+BX638+BR638</f>
        <v>72</v>
      </c>
      <c r="CV638" s="663">
        <f t="shared" si="215"/>
        <v>0</v>
      </c>
      <c r="CW638" s="663">
        <f t="shared" si="216"/>
        <v>0</v>
      </c>
      <c r="CX638" s="669"/>
      <c r="CY638" s="669"/>
      <c r="CZ638" s="669"/>
      <c r="DA638" s="548"/>
      <c r="DB638" s="548"/>
      <c r="DC638" s="548"/>
      <c r="DD638" s="669"/>
      <c r="DE638" s="669"/>
      <c r="DF638" s="669"/>
      <c r="DG638" s="669"/>
      <c r="DH638" s="669"/>
    </row>
    <row r="639" s="548" customFormat="1" ht="31" customHeight="1" spans="1:112">
      <c r="A639" s="660">
        <v>45891</v>
      </c>
      <c r="B639" s="609" t="s">
        <v>3577</v>
      </c>
      <c r="C639" s="662" t="s">
        <v>170</v>
      </c>
      <c r="D639" s="663">
        <v>4500177606</v>
      </c>
      <c r="E639" s="662">
        <v>2700954648</v>
      </c>
      <c r="F639" s="663" t="s">
        <v>7581</v>
      </c>
      <c r="G639" s="662" t="s">
        <v>6084</v>
      </c>
      <c r="H639" s="662" t="s">
        <v>6069</v>
      </c>
      <c r="I639" s="662">
        <v>40000</v>
      </c>
      <c r="J639" s="662">
        <v>0</v>
      </c>
      <c r="K639" s="662">
        <v>25</v>
      </c>
      <c r="L639" s="665">
        <f t="shared" si="207"/>
        <v>1600</v>
      </c>
      <c r="M639" s="666">
        <v>45940</v>
      </c>
      <c r="N639" s="666">
        <v>45936</v>
      </c>
      <c r="O639" s="664" t="s">
        <v>7582</v>
      </c>
      <c r="P639" s="664" t="s">
        <v>113</v>
      </c>
      <c r="Q639" s="662"/>
      <c r="R639" s="667">
        <v>45891</v>
      </c>
      <c r="S639" s="667" t="s">
        <v>70</v>
      </c>
      <c r="T639" s="667" t="s">
        <v>70</v>
      </c>
      <c r="U639" s="667"/>
      <c r="V639" s="667"/>
      <c r="W639" s="615"/>
      <c r="X639" s="661" t="s">
        <v>7583</v>
      </c>
      <c r="Y639" s="661" t="s">
        <v>2071</v>
      </c>
      <c r="Z639" s="675">
        <v>0.9319</v>
      </c>
      <c r="AA639" s="634">
        <f t="shared" si="213"/>
        <v>37276</v>
      </c>
      <c r="AC639" s="676" t="s">
        <v>7584</v>
      </c>
      <c r="AD639" s="662" t="s">
        <v>6089</v>
      </c>
      <c r="AE639" s="662" t="s">
        <v>82</v>
      </c>
      <c r="AF639" s="662"/>
      <c r="AG639" s="662"/>
      <c r="AH639" s="662"/>
      <c r="AI639" s="662">
        <f>39375+15625</f>
        <v>55000</v>
      </c>
      <c r="AJ639" s="662">
        <f t="shared" si="211"/>
        <v>15000</v>
      </c>
      <c r="AK639" s="662"/>
      <c r="AL639" s="662"/>
      <c r="AM639" s="662"/>
      <c r="AN639" s="662">
        <f>I639</f>
        <v>40000</v>
      </c>
      <c r="AO639" s="663"/>
      <c r="AP639" s="548"/>
      <c r="AQ639" s="548"/>
      <c r="AR639" s="680"/>
      <c r="AS639" s="663">
        <f>I639</f>
        <v>40000</v>
      </c>
      <c r="AU639" s="554">
        <f>I639</f>
        <v>40000</v>
      </c>
      <c r="AV639" s="663"/>
      <c r="AW639" s="669"/>
      <c r="AX639" s="663"/>
      <c r="AY639" s="548"/>
      <c r="AZ639" s="548"/>
      <c r="BA639" s="548"/>
      <c r="BB639" s="670">
        <f t="shared" si="214"/>
        <v>1666.66666666667</v>
      </c>
      <c r="BC639" s="671"/>
      <c r="BD639" s="548"/>
      <c r="BE639" s="548"/>
      <c r="BF639" s="548"/>
      <c r="BO639" s="554">
        <f>I639/25</f>
        <v>1600</v>
      </c>
      <c r="BY639" s="669"/>
      <c r="BZ639" s="548"/>
      <c r="CA639" s="672"/>
      <c r="CB639" s="567"/>
      <c r="CC639" s="673"/>
      <c r="CD639" s="669"/>
      <c r="CE639" s="669"/>
      <c r="CF639" s="548"/>
      <c r="CG639" s="548"/>
      <c r="CU639" s="554">
        <f t="shared" si="217"/>
        <v>1600</v>
      </c>
      <c r="CV639" s="663">
        <f t="shared" si="215"/>
        <v>0</v>
      </c>
      <c r="CW639" s="663">
        <f t="shared" si="216"/>
        <v>0</v>
      </c>
      <c r="CX639" s="669"/>
      <c r="CY639" s="669"/>
      <c r="CZ639" s="669"/>
      <c r="DA639" s="548"/>
      <c r="DB639" s="548"/>
      <c r="DC639" s="548"/>
      <c r="DD639" s="669"/>
      <c r="DE639" s="669"/>
      <c r="DF639" s="669"/>
      <c r="DG639" s="669"/>
      <c r="DH639" s="669"/>
    </row>
    <row r="640" s="548" customFormat="1" ht="31" customHeight="1" spans="1:112">
      <c r="A640" s="660">
        <v>45880</v>
      </c>
      <c r="B640" s="609" t="s">
        <v>246</v>
      </c>
      <c r="C640" s="662" t="s">
        <v>98</v>
      </c>
      <c r="D640" s="663">
        <v>4500176564</v>
      </c>
      <c r="E640" s="662" t="s">
        <v>7585</v>
      </c>
      <c r="F640" s="663" t="s">
        <v>7586</v>
      </c>
      <c r="G640" s="662" t="s">
        <v>6084</v>
      </c>
      <c r="H640" s="662" t="s">
        <v>6069</v>
      </c>
      <c r="I640" s="662">
        <v>17975</v>
      </c>
      <c r="J640" s="662">
        <v>0</v>
      </c>
      <c r="K640" s="662">
        <v>25</v>
      </c>
      <c r="L640" s="665">
        <f t="shared" si="207"/>
        <v>719</v>
      </c>
      <c r="M640" s="666">
        <v>45940</v>
      </c>
      <c r="N640" s="666">
        <v>45936</v>
      </c>
      <c r="O640" s="664"/>
      <c r="P640" s="664" t="s">
        <v>113</v>
      </c>
      <c r="Q640" s="662"/>
      <c r="R640" s="667">
        <v>45901</v>
      </c>
      <c r="S640" s="667" t="s">
        <v>104</v>
      </c>
      <c r="T640" s="667">
        <v>45909</v>
      </c>
      <c r="U640" s="667"/>
      <c r="V640" s="667"/>
      <c r="W640" s="615"/>
      <c r="X640" s="661" t="s">
        <v>7336</v>
      </c>
      <c r="Y640" s="661" t="s">
        <v>252</v>
      </c>
      <c r="Z640" s="675">
        <v>0.5543</v>
      </c>
      <c r="AA640" s="634">
        <f t="shared" si="213"/>
        <v>9963.5425</v>
      </c>
      <c r="AC640" s="638" t="s">
        <v>7587</v>
      </c>
      <c r="AD640" s="662" t="s">
        <v>6084</v>
      </c>
      <c r="AE640" s="662" t="s">
        <v>82</v>
      </c>
      <c r="AF640" s="662"/>
      <c r="AG640" s="662"/>
      <c r="AH640" s="662"/>
      <c r="AI640" s="662">
        <f>16500+1475</f>
        <v>17975</v>
      </c>
      <c r="AJ640" s="662">
        <f t="shared" si="211"/>
        <v>0</v>
      </c>
      <c r="AK640" s="662"/>
      <c r="AL640" s="662"/>
      <c r="AM640" s="662"/>
      <c r="AN640" s="662">
        <f>I640</f>
        <v>17975</v>
      </c>
      <c r="AO640" s="663"/>
      <c r="AP640" s="554">
        <f>I640</f>
        <v>17975</v>
      </c>
      <c r="AR640" s="680"/>
      <c r="AS640" s="548"/>
      <c r="AT640" s="548"/>
      <c r="AU640" s="554">
        <f>I640</f>
        <v>17975</v>
      </c>
      <c r="AV640" s="663"/>
      <c r="AW640" s="669"/>
      <c r="AX640" s="663"/>
      <c r="AY640" s="548"/>
      <c r="AZ640" s="548"/>
      <c r="BA640" s="548"/>
      <c r="BB640" s="670">
        <f t="shared" si="214"/>
        <v>748.958333333333</v>
      </c>
      <c r="BC640" s="671"/>
      <c r="BD640" s="548"/>
      <c r="BE640" s="548"/>
      <c r="BF640" s="548"/>
      <c r="BN640" s="554">
        <f>I640/25</f>
        <v>719</v>
      </c>
      <c r="BY640" s="669"/>
      <c r="BZ640" s="548"/>
      <c r="CA640" s="672"/>
      <c r="CB640" s="567"/>
      <c r="CC640" s="673"/>
      <c r="CD640" s="669"/>
      <c r="CE640" s="669"/>
      <c r="CF640" s="548"/>
      <c r="CG640" s="548"/>
      <c r="CU640" s="554">
        <f t="shared" si="217"/>
        <v>719</v>
      </c>
      <c r="CV640" s="663">
        <f t="shared" si="215"/>
        <v>0</v>
      </c>
      <c r="CW640" s="663">
        <f t="shared" si="216"/>
        <v>0</v>
      </c>
      <c r="CX640" s="669"/>
      <c r="CY640" s="669"/>
      <c r="CZ640" s="669"/>
      <c r="DA640" s="548"/>
      <c r="DB640" s="548"/>
      <c r="DC640" s="548"/>
      <c r="DD640" s="669"/>
      <c r="DE640" s="669"/>
      <c r="DF640" s="669"/>
      <c r="DG640" s="669"/>
      <c r="DH640" s="669"/>
    </row>
    <row r="641" s="548" customFormat="1" ht="31" customHeight="1" spans="1:112">
      <c r="A641" s="660">
        <v>45897</v>
      </c>
      <c r="B641" s="661" t="s">
        <v>143</v>
      </c>
      <c r="C641" s="662" t="s">
        <v>98</v>
      </c>
      <c r="D641" s="663">
        <v>4500178137</v>
      </c>
      <c r="E641" s="664">
        <v>941292523</v>
      </c>
      <c r="F641" s="663" t="s">
        <v>7588</v>
      </c>
      <c r="G641" s="662" t="s">
        <v>6063</v>
      </c>
      <c r="H641" s="662" t="s">
        <v>6064</v>
      </c>
      <c r="I641" s="662">
        <v>33008</v>
      </c>
      <c r="J641" s="662">
        <v>0</v>
      </c>
      <c r="K641" s="662">
        <v>16</v>
      </c>
      <c r="L641" s="665">
        <f t="shared" si="207"/>
        <v>2063</v>
      </c>
      <c r="M641" s="666">
        <v>45940</v>
      </c>
      <c r="N641" s="666">
        <v>45936</v>
      </c>
      <c r="O641" s="674">
        <v>45940</v>
      </c>
      <c r="P641" s="664" t="s">
        <v>113</v>
      </c>
      <c r="Q641" s="662" t="s">
        <v>7589</v>
      </c>
      <c r="R641" s="667" t="s">
        <v>7064</v>
      </c>
      <c r="S641" s="667" t="s">
        <v>70</v>
      </c>
      <c r="T641" s="667" t="s">
        <v>148</v>
      </c>
      <c r="U641" s="667"/>
      <c r="V641" s="667"/>
      <c r="W641" s="615"/>
      <c r="X641" s="661" t="s">
        <v>7208</v>
      </c>
      <c r="Y641" s="661" t="s">
        <v>106</v>
      </c>
      <c r="Z641" s="661">
        <v>0.5783</v>
      </c>
      <c r="AA641" s="634">
        <f t="shared" si="213"/>
        <v>19088.5264</v>
      </c>
      <c r="AC641" s="638" t="s">
        <v>7590</v>
      </c>
      <c r="AD641" s="662" t="s">
        <v>6063</v>
      </c>
      <c r="AE641" s="662" t="s">
        <v>82</v>
      </c>
      <c r="AF641" s="662"/>
      <c r="AG641" s="662"/>
      <c r="AH641" s="662"/>
      <c r="AI641" s="662">
        <f>10608+12096+10304</f>
        <v>33008</v>
      </c>
      <c r="AJ641" s="662">
        <f t="shared" si="211"/>
        <v>0</v>
      </c>
      <c r="AK641" s="662"/>
      <c r="AL641" s="662"/>
      <c r="AM641" s="662"/>
      <c r="AN641" s="662">
        <f>I641</f>
        <v>33008</v>
      </c>
      <c r="AO641" s="663"/>
      <c r="AP641" s="554">
        <f>I641</f>
        <v>33008</v>
      </c>
      <c r="AR641" s="669"/>
      <c r="AS641" s="548"/>
      <c r="AT641" s="548"/>
      <c r="AU641" s="554">
        <f>I641</f>
        <v>33008</v>
      </c>
      <c r="AW641" s="669"/>
      <c r="AX641" s="548"/>
      <c r="AY641" s="548"/>
      <c r="AZ641" s="548"/>
      <c r="BA641" s="548"/>
      <c r="BB641" s="670">
        <f t="shared" si="214"/>
        <v>1375.33333333333</v>
      </c>
      <c r="BQ641" s="663">
        <f>I641/16</f>
        <v>2063</v>
      </c>
      <c r="BY641" s="669"/>
      <c r="BZ641" s="548"/>
      <c r="CA641" s="672"/>
      <c r="CB641" s="567"/>
      <c r="CC641" s="673"/>
      <c r="CD641" s="669"/>
      <c r="CE641" s="669"/>
      <c r="CF641" s="548"/>
      <c r="CG641" s="548"/>
      <c r="CU641" s="554">
        <f t="shared" si="217"/>
        <v>2063</v>
      </c>
      <c r="CV641" s="663">
        <f t="shared" si="215"/>
        <v>0</v>
      </c>
      <c r="CW641" s="663">
        <f t="shared" si="216"/>
        <v>0</v>
      </c>
      <c r="CX641" s="669"/>
      <c r="CY641" s="669"/>
      <c r="CZ641" s="669"/>
      <c r="DA641" s="548"/>
      <c r="DB641" s="548"/>
      <c r="DC641" s="548"/>
      <c r="DD641" s="669"/>
      <c r="DE641" s="669"/>
      <c r="DF641" s="669"/>
      <c r="DG641" s="669"/>
      <c r="DH641" s="669"/>
    </row>
    <row r="642" s="548" customFormat="1" ht="31" customHeight="1" spans="1:112">
      <c r="A642" s="660">
        <v>45898</v>
      </c>
      <c r="B642" s="661" t="s">
        <v>1928</v>
      </c>
      <c r="C642" s="662" t="s">
        <v>424</v>
      </c>
      <c r="D642" s="663">
        <v>4500178337</v>
      </c>
      <c r="E642" s="662"/>
      <c r="F642" s="663" t="s">
        <v>7591</v>
      </c>
      <c r="G642" s="662" t="s">
        <v>6047</v>
      </c>
      <c r="H642" s="662" t="s">
        <v>6069</v>
      </c>
      <c r="I642" s="662">
        <v>2000</v>
      </c>
      <c r="J642" s="662">
        <v>0</v>
      </c>
      <c r="K642" s="662">
        <v>25</v>
      </c>
      <c r="L642" s="665">
        <f t="shared" si="207"/>
        <v>80</v>
      </c>
      <c r="M642" s="666">
        <v>45940</v>
      </c>
      <c r="N642" s="666">
        <v>45936</v>
      </c>
      <c r="O642" s="664"/>
      <c r="P642" s="664" t="s">
        <v>113</v>
      </c>
      <c r="Q642" s="662"/>
      <c r="R642" s="667">
        <v>45905</v>
      </c>
      <c r="S642" s="667" t="s">
        <v>70</v>
      </c>
      <c r="T642" s="667" t="s">
        <v>7592</v>
      </c>
      <c r="U642" s="667"/>
      <c r="V642" s="667"/>
      <c r="W642" s="615"/>
      <c r="X642" s="661" t="s">
        <v>7593</v>
      </c>
      <c r="Y642" s="661" t="s">
        <v>696</v>
      </c>
      <c r="Z642" s="661">
        <v>0.9245</v>
      </c>
      <c r="AA642" s="634">
        <f t="shared" si="213"/>
        <v>1849</v>
      </c>
      <c r="AC642" s="676" t="s">
        <v>1932</v>
      </c>
      <c r="AD642" s="662" t="s">
        <v>6047</v>
      </c>
      <c r="AE642" s="662" t="s">
        <v>82</v>
      </c>
      <c r="AF642" s="662"/>
      <c r="AG642" s="662"/>
      <c r="AH642" s="662"/>
      <c r="AI642" s="662">
        <v>2000</v>
      </c>
      <c r="AJ642" s="662">
        <f t="shared" si="211"/>
        <v>0</v>
      </c>
      <c r="AK642" s="662"/>
      <c r="AL642" s="662"/>
      <c r="AM642" s="662"/>
      <c r="AN642" s="662"/>
      <c r="AO642" s="663">
        <f>I642</f>
        <v>2000</v>
      </c>
      <c r="AR642" s="680"/>
      <c r="AS642" s="548"/>
      <c r="AT642" s="554">
        <f>I642</f>
        <v>2000</v>
      </c>
      <c r="AU642" s="663"/>
      <c r="AV642" s="554">
        <f>I642</f>
        <v>2000</v>
      </c>
      <c r="AW642" s="669"/>
      <c r="AX642" s="663"/>
      <c r="AY642" s="548"/>
      <c r="AZ642" s="548"/>
      <c r="BA642" s="548"/>
      <c r="BB642" s="620">
        <f t="shared" si="214"/>
        <v>83.3333333333333</v>
      </c>
      <c r="BC642" s="671"/>
      <c r="BD642" s="548"/>
      <c r="BE642" s="548"/>
      <c r="BF642" s="548"/>
      <c r="BP642" s="554">
        <f>I642/25</f>
        <v>80</v>
      </c>
      <c r="BY642" s="669"/>
      <c r="BZ642" s="548"/>
      <c r="CA642" s="672"/>
      <c r="CB642" s="567"/>
      <c r="CC642" s="673"/>
      <c r="CD642" s="669"/>
      <c r="CE642" s="669"/>
      <c r="CF642" s="548"/>
      <c r="CG642" s="548"/>
      <c r="CU642" s="554">
        <f t="shared" si="217"/>
        <v>80</v>
      </c>
      <c r="CV642" s="663">
        <f t="shared" si="215"/>
        <v>0</v>
      </c>
      <c r="CW642" s="663">
        <f t="shared" si="216"/>
        <v>0</v>
      </c>
      <c r="CX642" s="669"/>
      <c r="CY642" s="669"/>
      <c r="CZ642" s="669"/>
      <c r="DA642" s="548"/>
      <c r="DB642" s="548"/>
      <c r="DC642" s="548"/>
      <c r="DD642" s="669"/>
      <c r="DE642" s="669"/>
      <c r="DF642" s="669"/>
      <c r="DG642" s="669"/>
      <c r="DH642" s="669"/>
    </row>
    <row r="643" s="548" customFormat="1" ht="31" customHeight="1" spans="1:112">
      <c r="A643" s="660">
        <v>45882</v>
      </c>
      <c r="B643" s="661" t="s">
        <v>1620</v>
      </c>
      <c r="C643" s="662" t="s">
        <v>278</v>
      </c>
      <c r="D643" s="663">
        <v>4500176570</v>
      </c>
      <c r="E643" s="664">
        <v>4400501780</v>
      </c>
      <c r="F643" s="663" t="s">
        <v>7594</v>
      </c>
      <c r="G643" s="662" t="s">
        <v>6047</v>
      </c>
      <c r="H643" s="662" t="s">
        <v>6069</v>
      </c>
      <c r="I643" s="662">
        <v>6000</v>
      </c>
      <c r="J643" s="662">
        <v>0</v>
      </c>
      <c r="K643" s="662">
        <v>25</v>
      </c>
      <c r="L643" s="665">
        <f t="shared" si="207"/>
        <v>240</v>
      </c>
      <c r="M643" s="666">
        <v>45943</v>
      </c>
      <c r="N643" s="666">
        <v>45939</v>
      </c>
      <c r="O643" s="664"/>
      <c r="P643" s="664" t="s">
        <v>113</v>
      </c>
      <c r="Q643" s="662"/>
      <c r="R643" s="667">
        <v>45882</v>
      </c>
      <c r="S643" s="667" t="s">
        <v>70</v>
      </c>
      <c r="T643" s="667" t="s">
        <v>7595</v>
      </c>
      <c r="U643" s="667"/>
      <c r="V643" s="667"/>
      <c r="W643" s="615"/>
      <c r="X643" s="661" t="s">
        <v>7596</v>
      </c>
      <c r="Y643" s="661" t="s">
        <v>1549</v>
      </c>
      <c r="Z643" s="661">
        <v>0.9365</v>
      </c>
      <c r="AA643" s="634">
        <f t="shared" ref="AA643:AA653" si="218">Z643*I643</f>
        <v>5619</v>
      </c>
      <c r="AC643" s="676" t="s">
        <v>1939</v>
      </c>
      <c r="AD643" s="662" t="s">
        <v>6073</v>
      </c>
      <c r="AE643" s="662" t="s">
        <v>82</v>
      </c>
      <c r="AF643" s="662"/>
      <c r="AG643" s="662"/>
      <c r="AH643" s="662"/>
      <c r="AI643" s="662">
        <f>5975+25</f>
        <v>6000</v>
      </c>
      <c r="AJ643" s="662">
        <f t="shared" si="211"/>
        <v>0</v>
      </c>
      <c r="AK643" s="662"/>
      <c r="AL643" s="662"/>
      <c r="AM643" s="662"/>
      <c r="AN643" s="662"/>
      <c r="AO643" s="663">
        <f t="shared" ref="AO643:AO652" si="219">I643</f>
        <v>6000</v>
      </c>
      <c r="AR643" s="680"/>
      <c r="AS643" s="548"/>
      <c r="AT643" s="548"/>
      <c r="AU643" s="663"/>
      <c r="AV643" s="554">
        <f>I643</f>
        <v>6000</v>
      </c>
      <c r="AW643" s="669"/>
      <c r="AX643" s="663"/>
      <c r="AY643" s="548"/>
      <c r="AZ643" s="548"/>
      <c r="BA643" s="548"/>
      <c r="BB643" s="670">
        <f>I643/24*2</f>
        <v>500</v>
      </c>
      <c r="BC643" s="671"/>
      <c r="BD643" s="548"/>
      <c r="BE643" s="663">
        <f>I643</f>
        <v>6000</v>
      </c>
      <c r="BP643" s="554">
        <f>I643/25</f>
        <v>240</v>
      </c>
      <c r="BY643" s="669"/>
      <c r="BZ643" s="548"/>
      <c r="CA643" s="672"/>
      <c r="CB643" s="567"/>
      <c r="CC643" s="673"/>
      <c r="CD643" s="669"/>
      <c r="CE643" s="669"/>
      <c r="CF643" s="548"/>
      <c r="CG643" s="548"/>
      <c r="CU643" s="554">
        <f t="shared" si="217"/>
        <v>240</v>
      </c>
      <c r="CV643" s="663">
        <f t="shared" si="215"/>
        <v>0</v>
      </c>
      <c r="CW643" s="663">
        <f t="shared" si="216"/>
        <v>0</v>
      </c>
      <c r="CX643" s="669"/>
      <c r="CY643" s="669"/>
      <c r="CZ643" s="669"/>
      <c r="DA643" s="548"/>
      <c r="DB643" s="548"/>
      <c r="DC643" s="548"/>
      <c r="DD643" s="669"/>
      <c r="DE643" s="669"/>
      <c r="DF643" s="669"/>
      <c r="DG643" s="669"/>
      <c r="DH643" s="669"/>
    </row>
    <row r="644" s="548" customFormat="1" ht="31" customHeight="1" spans="1:112">
      <c r="A644" s="660">
        <v>45896</v>
      </c>
      <c r="B644" s="661" t="s">
        <v>139</v>
      </c>
      <c r="C644" s="662" t="s">
        <v>76</v>
      </c>
      <c r="D644" s="663">
        <v>4500177974</v>
      </c>
      <c r="E644" s="662">
        <v>21105440</v>
      </c>
      <c r="F644" s="663" t="s">
        <v>7597</v>
      </c>
      <c r="G644" s="662" t="s">
        <v>6093</v>
      </c>
      <c r="H644" s="662" t="s">
        <v>6094</v>
      </c>
      <c r="I644" s="662">
        <v>156</v>
      </c>
      <c r="J644" s="662">
        <v>0</v>
      </c>
      <c r="K644" s="662">
        <v>13</v>
      </c>
      <c r="L644" s="665">
        <f t="shared" si="207"/>
        <v>12</v>
      </c>
      <c r="M644" s="666">
        <v>45943</v>
      </c>
      <c r="N644" s="666">
        <v>45939</v>
      </c>
      <c r="O644" s="664"/>
      <c r="P644" s="664" t="s">
        <v>113</v>
      </c>
      <c r="Q644" s="662"/>
      <c r="R644" s="667">
        <v>45911</v>
      </c>
      <c r="S644" s="667" t="s">
        <v>104</v>
      </c>
      <c r="T644" s="667" t="s">
        <v>7598</v>
      </c>
      <c r="U644" s="667"/>
      <c r="V644" s="667"/>
      <c r="W644" s="615"/>
      <c r="X644" s="661" t="s">
        <v>6721</v>
      </c>
      <c r="Y644" s="661" t="s">
        <v>133</v>
      </c>
      <c r="Z644" s="675">
        <v>0.9526</v>
      </c>
      <c r="AA644" s="634">
        <f t="shared" si="218"/>
        <v>148.6056</v>
      </c>
      <c r="AC644" s="676" t="s">
        <v>7599</v>
      </c>
      <c r="AD644" s="662" t="s">
        <v>6093</v>
      </c>
      <c r="AE644" s="662" t="s">
        <v>82</v>
      </c>
      <c r="AF644" s="662"/>
      <c r="AG644" s="662"/>
      <c r="AH644" s="662"/>
      <c r="AI644" s="662">
        <v>156</v>
      </c>
      <c r="AJ644" s="662">
        <f t="shared" si="211"/>
        <v>0</v>
      </c>
      <c r="AK644" s="662"/>
      <c r="AL644" s="662"/>
      <c r="AM644" s="662"/>
      <c r="AN644" s="662"/>
      <c r="AO644" s="663">
        <f t="shared" si="219"/>
        <v>156</v>
      </c>
      <c r="AR644" s="680"/>
      <c r="AS644" s="548"/>
      <c r="AT644" s="554">
        <f t="shared" ref="AT644:AT652" si="220">I644</f>
        <v>156</v>
      </c>
      <c r="AU644" s="663"/>
      <c r="AV644" s="554">
        <f t="shared" ref="AV644:AV652" si="221">I644</f>
        <v>156</v>
      </c>
      <c r="AW644" s="669"/>
      <c r="AX644" s="663"/>
      <c r="AY644" s="548"/>
      <c r="AZ644" s="548"/>
      <c r="BA644" s="548"/>
      <c r="BB644" s="620">
        <f t="shared" ref="BB644:BB653" si="222">I644/24</f>
        <v>6.5</v>
      </c>
      <c r="BC644" s="671"/>
      <c r="BD644" s="548"/>
      <c r="BE644" s="548"/>
      <c r="BF644" s="548"/>
      <c r="BM644" s="554">
        <f>I644/13</f>
        <v>12</v>
      </c>
      <c r="BY644" s="669"/>
      <c r="BZ644" s="548"/>
      <c r="CA644" s="672"/>
      <c r="CB644" s="567"/>
      <c r="CC644" s="673"/>
      <c r="CD644" s="669"/>
      <c r="CE644" s="669"/>
      <c r="CF644" s="548"/>
      <c r="CG644" s="548"/>
      <c r="CU644" s="554">
        <f t="shared" ref="CU643:CU706" si="223">BQ644+BP644+BO644+BN644+BX644+BR644</f>
        <v>0</v>
      </c>
      <c r="CV644" s="663">
        <f t="shared" si="215"/>
        <v>0</v>
      </c>
      <c r="CW644" s="663">
        <f t="shared" si="216"/>
        <v>0</v>
      </c>
      <c r="CX644" s="669"/>
      <c r="CY644" s="669"/>
      <c r="CZ644" s="669"/>
      <c r="DA644" s="548"/>
      <c r="DB644" s="548"/>
      <c r="DC644" s="548"/>
      <c r="DD644" s="669"/>
      <c r="DE644" s="669"/>
      <c r="DF644" s="669"/>
      <c r="DG644" s="669"/>
      <c r="DH644" s="669"/>
    </row>
    <row r="645" s="548" customFormat="1" ht="31" customHeight="1" spans="1:112">
      <c r="A645" s="660">
        <v>45896</v>
      </c>
      <c r="B645" s="661" t="s">
        <v>135</v>
      </c>
      <c r="C645" s="662" t="s">
        <v>128</v>
      </c>
      <c r="D645" s="663">
        <v>4500177972</v>
      </c>
      <c r="E645" s="662">
        <v>21105437</v>
      </c>
      <c r="F645" s="663" t="s">
        <v>7600</v>
      </c>
      <c r="G645" s="662" t="s">
        <v>6093</v>
      </c>
      <c r="H645" s="662" t="s">
        <v>6094</v>
      </c>
      <c r="I645" s="662">
        <v>6916</v>
      </c>
      <c r="J645" s="662">
        <v>0</v>
      </c>
      <c r="K645" s="662">
        <v>13</v>
      </c>
      <c r="L645" s="665">
        <f t="shared" si="207"/>
        <v>532</v>
      </c>
      <c r="M645" s="666">
        <v>45943</v>
      </c>
      <c r="N645" s="666">
        <v>45939</v>
      </c>
      <c r="O645" s="664"/>
      <c r="P645" s="664" t="s">
        <v>113</v>
      </c>
      <c r="Q645" s="662"/>
      <c r="R645" s="667">
        <v>45896</v>
      </c>
      <c r="S645" s="667" t="s">
        <v>104</v>
      </c>
      <c r="T645" s="667" t="s">
        <v>7598</v>
      </c>
      <c r="U645" s="667"/>
      <c r="V645" s="667"/>
      <c r="W645" s="615"/>
      <c r="X645" s="661" t="s">
        <v>6813</v>
      </c>
      <c r="Y645" s="661" t="s">
        <v>133</v>
      </c>
      <c r="Z645" s="675">
        <v>0.9423</v>
      </c>
      <c r="AA645" s="634">
        <f t="shared" si="218"/>
        <v>6516.9468</v>
      </c>
      <c r="AC645" s="676" t="s">
        <v>7601</v>
      </c>
      <c r="AD645" s="662" t="s">
        <v>6093</v>
      </c>
      <c r="AE645" s="662" t="s">
        <v>82</v>
      </c>
      <c r="AF645" s="662"/>
      <c r="AG645" s="662"/>
      <c r="AH645" s="662"/>
      <c r="AI645" s="662">
        <f>6916</f>
        <v>6916</v>
      </c>
      <c r="AJ645" s="662">
        <f t="shared" si="211"/>
        <v>0</v>
      </c>
      <c r="AK645" s="662"/>
      <c r="AL645" s="662"/>
      <c r="AM645" s="662"/>
      <c r="AN645" s="662"/>
      <c r="AO645" s="663">
        <f t="shared" si="219"/>
        <v>6916</v>
      </c>
      <c r="AR645" s="680"/>
      <c r="AS645" s="548"/>
      <c r="AT645" s="554">
        <f t="shared" si="220"/>
        <v>6916</v>
      </c>
      <c r="AU645" s="663"/>
      <c r="AV645" s="554">
        <f t="shared" si="221"/>
        <v>6916</v>
      </c>
      <c r="AW645" s="669"/>
      <c r="AX645" s="663"/>
      <c r="AY645" s="548"/>
      <c r="AZ645" s="548"/>
      <c r="BA645" s="548"/>
      <c r="BB645" s="620">
        <f t="shared" si="222"/>
        <v>288.166666666667</v>
      </c>
      <c r="BC645" s="671"/>
      <c r="BD645" s="548"/>
      <c r="BE645" s="548"/>
      <c r="BF645" s="548"/>
      <c r="BM645" s="554">
        <f>I645/13</f>
        <v>532</v>
      </c>
      <c r="BY645" s="669"/>
      <c r="BZ645" s="548"/>
      <c r="CA645" s="672"/>
      <c r="CB645" s="567"/>
      <c r="CC645" s="673"/>
      <c r="CD645" s="669"/>
      <c r="CE645" s="669"/>
      <c r="CF645" s="548"/>
      <c r="CG645" s="548"/>
      <c r="CU645" s="554">
        <f t="shared" si="223"/>
        <v>0</v>
      </c>
      <c r="CV645" s="663">
        <f t="shared" si="215"/>
        <v>0</v>
      </c>
      <c r="CW645" s="663">
        <f t="shared" si="216"/>
        <v>0</v>
      </c>
      <c r="CX645" s="669"/>
      <c r="CY645" s="669"/>
      <c r="CZ645" s="669"/>
      <c r="DA645" s="548"/>
      <c r="DB645" s="548"/>
      <c r="DC645" s="548"/>
      <c r="DD645" s="669"/>
      <c r="DE645" s="669"/>
      <c r="DF645" s="669"/>
      <c r="DG645" s="669"/>
      <c r="DH645" s="669"/>
    </row>
    <row r="646" s="548" customFormat="1" ht="31" customHeight="1" spans="1:112">
      <c r="A646" s="660">
        <v>45898</v>
      </c>
      <c r="B646" s="661" t="s">
        <v>1906</v>
      </c>
      <c r="C646" s="662" t="s">
        <v>154</v>
      </c>
      <c r="D646" s="663">
        <v>4500178223</v>
      </c>
      <c r="E646" s="662">
        <v>5200007581</v>
      </c>
      <c r="F646" s="663" t="s">
        <v>7602</v>
      </c>
      <c r="G646" s="662" t="s">
        <v>6120</v>
      </c>
      <c r="H646" s="662" t="s">
        <v>6094</v>
      </c>
      <c r="I646" s="662">
        <v>8801</v>
      </c>
      <c r="J646" s="662">
        <v>0</v>
      </c>
      <c r="K646" s="662">
        <v>13</v>
      </c>
      <c r="L646" s="665">
        <f t="shared" si="207"/>
        <v>677</v>
      </c>
      <c r="M646" s="666">
        <v>45943</v>
      </c>
      <c r="N646" s="666">
        <v>45939</v>
      </c>
      <c r="O646" s="664"/>
      <c r="P646" s="664" t="s">
        <v>113</v>
      </c>
      <c r="Q646" s="662"/>
      <c r="R646" s="667">
        <v>45905</v>
      </c>
      <c r="S646" s="667" t="s">
        <v>70</v>
      </c>
      <c r="T646" s="667" t="s">
        <v>6121</v>
      </c>
      <c r="U646" s="667"/>
      <c r="V646" s="667"/>
      <c r="W646" s="615"/>
      <c r="X646" s="661" t="s">
        <v>7603</v>
      </c>
      <c r="Y646" s="661" t="s">
        <v>1237</v>
      </c>
      <c r="Z646" s="675">
        <v>0.8895</v>
      </c>
      <c r="AA646" s="634">
        <f t="shared" si="218"/>
        <v>7828.4895</v>
      </c>
      <c r="AC646" s="676" t="s">
        <v>1941</v>
      </c>
      <c r="AD646" s="662" t="s">
        <v>6093</v>
      </c>
      <c r="AE646" s="662" t="s">
        <v>82</v>
      </c>
      <c r="AF646" s="662"/>
      <c r="AG646" s="662"/>
      <c r="AH646" s="662"/>
      <c r="AI646" s="662">
        <f>8788+13</f>
        <v>8801</v>
      </c>
      <c r="AJ646" s="662">
        <f t="shared" si="211"/>
        <v>0</v>
      </c>
      <c r="AK646" s="662"/>
      <c r="AL646" s="662"/>
      <c r="AM646" s="662"/>
      <c r="AN646" s="662"/>
      <c r="AO646" s="663">
        <f t="shared" si="219"/>
        <v>8801</v>
      </c>
      <c r="AR646" s="680"/>
      <c r="AS646" s="548"/>
      <c r="AT646" s="554">
        <f t="shared" si="220"/>
        <v>8801</v>
      </c>
      <c r="AU646" s="663"/>
      <c r="AV646" s="554">
        <f t="shared" si="221"/>
        <v>8801</v>
      </c>
      <c r="AW646" s="669"/>
      <c r="AX646" s="663"/>
      <c r="AY646" s="548"/>
      <c r="AZ646" s="548"/>
      <c r="BA646" s="548"/>
      <c r="BB646" s="620">
        <f t="shared" si="222"/>
        <v>366.708333333333</v>
      </c>
      <c r="BC646" s="671"/>
      <c r="BD646" s="548"/>
      <c r="BE646" s="548"/>
      <c r="BF646" s="548"/>
      <c r="BM646" s="554">
        <f>I646/13</f>
        <v>677</v>
      </c>
      <c r="BY646" s="669"/>
      <c r="BZ646" s="548"/>
      <c r="CA646" s="672"/>
      <c r="CB646" s="567"/>
      <c r="CC646" s="673"/>
      <c r="CD646" s="669"/>
      <c r="CE646" s="669"/>
      <c r="CF646" s="548"/>
      <c r="CG646" s="548"/>
      <c r="CU646" s="554">
        <f t="shared" si="223"/>
        <v>0</v>
      </c>
      <c r="CV646" s="663">
        <f t="shared" si="215"/>
        <v>0</v>
      </c>
      <c r="CW646" s="663">
        <f t="shared" si="216"/>
        <v>0</v>
      </c>
      <c r="CX646" s="669"/>
      <c r="CY646" s="669"/>
      <c r="CZ646" s="669"/>
      <c r="DA646" s="548"/>
      <c r="DB646" s="548"/>
      <c r="DC646" s="548"/>
      <c r="DD646" s="669"/>
      <c r="DE646" s="669"/>
      <c r="DF646" s="669"/>
      <c r="DG646" s="669"/>
      <c r="DH646" s="669"/>
    </row>
    <row r="647" s="548" customFormat="1" ht="31" customHeight="1" spans="1:112">
      <c r="A647" s="660">
        <v>45897</v>
      </c>
      <c r="B647" s="661" t="s">
        <v>659</v>
      </c>
      <c r="C647" s="662" t="s">
        <v>2944</v>
      </c>
      <c r="D647" s="663">
        <v>4500178155</v>
      </c>
      <c r="E647" s="662"/>
      <c r="F647" s="663" t="s">
        <v>7604</v>
      </c>
      <c r="G647" s="662" t="s">
        <v>6043</v>
      </c>
      <c r="H647" s="662" t="s">
        <v>6110</v>
      </c>
      <c r="I647" s="662">
        <v>500</v>
      </c>
      <c r="J647" s="662">
        <v>0</v>
      </c>
      <c r="K647" s="662">
        <v>50</v>
      </c>
      <c r="L647" s="665">
        <f t="shared" si="207"/>
        <v>10</v>
      </c>
      <c r="M647" s="666">
        <v>45944</v>
      </c>
      <c r="N647" s="666">
        <v>45940</v>
      </c>
      <c r="O647" s="664"/>
      <c r="P647" s="664" t="s">
        <v>113</v>
      </c>
      <c r="Q647" s="662"/>
      <c r="R647" s="667">
        <v>45897</v>
      </c>
      <c r="S647" s="667" t="s">
        <v>70</v>
      </c>
      <c r="T647" s="667">
        <v>45909</v>
      </c>
      <c r="U647" s="667"/>
      <c r="V647" s="667"/>
      <c r="W647" s="615"/>
      <c r="X647" s="661" t="s">
        <v>7605</v>
      </c>
      <c r="Y647" s="661" t="s">
        <v>665</v>
      </c>
      <c r="Z647" s="661">
        <v>0.9462</v>
      </c>
      <c r="AA647" s="634">
        <f t="shared" si="218"/>
        <v>473.1</v>
      </c>
      <c r="AC647" s="676" t="s">
        <v>7606</v>
      </c>
      <c r="AD647" s="661" t="s">
        <v>6043</v>
      </c>
      <c r="AE647" s="662" t="s">
        <v>82</v>
      </c>
      <c r="AF647" s="662"/>
      <c r="AG647" s="662"/>
      <c r="AH647" s="662"/>
      <c r="AI647" s="662">
        <v>500</v>
      </c>
      <c r="AJ647" s="662">
        <f t="shared" si="211"/>
        <v>0</v>
      </c>
      <c r="AK647" s="662"/>
      <c r="AL647" s="662"/>
      <c r="AM647" s="662"/>
      <c r="AN647" s="662"/>
      <c r="AO647" s="663">
        <f t="shared" si="219"/>
        <v>500</v>
      </c>
      <c r="AR647" s="680"/>
      <c r="AS647" s="548"/>
      <c r="AT647" s="554">
        <f t="shared" si="220"/>
        <v>500</v>
      </c>
      <c r="AV647" s="554">
        <f t="shared" si="221"/>
        <v>500</v>
      </c>
      <c r="AW647" s="669"/>
      <c r="AX647" s="548"/>
      <c r="AY647" s="548"/>
      <c r="AZ647" s="548"/>
      <c r="BA647" s="548"/>
      <c r="BB647" s="620">
        <f t="shared" si="222"/>
        <v>20.8333333333333</v>
      </c>
      <c r="BC647" s="671"/>
      <c r="BD647" s="548"/>
      <c r="BE647" s="548"/>
      <c r="BF647" s="548"/>
      <c r="BP647" s="554">
        <f>I647/25</f>
        <v>20</v>
      </c>
      <c r="BY647" s="669"/>
      <c r="BZ647" s="548"/>
      <c r="CA647" s="672"/>
      <c r="CB647" s="567"/>
      <c r="CC647" s="673"/>
      <c r="CD647" s="669"/>
      <c r="CE647" s="669"/>
      <c r="CF647" s="548"/>
      <c r="CG647" s="548"/>
      <c r="CU647" s="554">
        <f t="shared" si="223"/>
        <v>20</v>
      </c>
      <c r="CV647" s="663">
        <f t="shared" si="215"/>
        <v>0</v>
      </c>
      <c r="CW647" s="663">
        <f t="shared" si="216"/>
        <v>0</v>
      </c>
      <c r="CX647" s="669"/>
      <c r="CY647" s="669"/>
      <c r="CZ647" s="669"/>
      <c r="DA647" s="548"/>
      <c r="DB647" s="548"/>
      <c r="DC647" s="548"/>
      <c r="DD647" s="669"/>
      <c r="DE647" s="669"/>
      <c r="DF647" s="669"/>
      <c r="DG647" s="669"/>
      <c r="DH647" s="669"/>
    </row>
    <row r="648" s="548" customFormat="1" ht="31" customHeight="1" spans="1:112">
      <c r="A648" s="660">
        <v>45898</v>
      </c>
      <c r="B648" s="661" t="s">
        <v>127</v>
      </c>
      <c r="C648" s="662" t="s">
        <v>128</v>
      </c>
      <c r="D648" s="663">
        <v>4500178243</v>
      </c>
      <c r="E648" s="662">
        <v>84521</v>
      </c>
      <c r="F648" s="663" t="s">
        <v>7607</v>
      </c>
      <c r="G648" s="662" t="s">
        <v>6047</v>
      </c>
      <c r="H648" s="662" t="s">
        <v>6069</v>
      </c>
      <c r="I648" s="662">
        <v>3000</v>
      </c>
      <c r="J648" s="662">
        <v>0</v>
      </c>
      <c r="K648" s="662">
        <v>25</v>
      </c>
      <c r="L648" s="665">
        <f t="shared" si="207"/>
        <v>120</v>
      </c>
      <c r="M648" s="666">
        <v>45944</v>
      </c>
      <c r="N648" s="666">
        <v>45940</v>
      </c>
      <c r="O648" s="664"/>
      <c r="P648" s="664" t="s">
        <v>113</v>
      </c>
      <c r="Q648" s="662"/>
      <c r="R648" s="667">
        <v>45898</v>
      </c>
      <c r="S648" s="667" t="s">
        <v>70</v>
      </c>
      <c r="T648" s="667" t="s">
        <v>7608</v>
      </c>
      <c r="U648" s="667"/>
      <c r="V648" s="667"/>
      <c r="W648" s="615"/>
      <c r="X648" s="661" t="s">
        <v>7609</v>
      </c>
      <c r="Y648" s="661" t="s">
        <v>217</v>
      </c>
      <c r="Z648" s="661">
        <v>0.9417</v>
      </c>
      <c r="AA648" s="634">
        <f t="shared" si="218"/>
        <v>2825.1</v>
      </c>
      <c r="AC648" s="676" t="s">
        <v>7610</v>
      </c>
      <c r="AD648" s="662" t="s">
        <v>6047</v>
      </c>
      <c r="AE648" s="662" t="s">
        <v>82</v>
      </c>
      <c r="AF648" s="662"/>
      <c r="AG648" s="662"/>
      <c r="AH648" s="662"/>
      <c r="AI648" s="662">
        <f>1800+1175+25</f>
        <v>3000</v>
      </c>
      <c r="AJ648" s="662">
        <f t="shared" si="211"/>
        <v>0</v>
      </c>
      <c r="AK648" s="662"/>
      <c r="AL648" s="662"/>
      <c r="AM648" s="662"/>
      <c r="AN648" s="662"/>
      <c r="AO648" s="663">
        <f t="shared" si="219"/>
        <v>3000</v>
      </c>
      <c r="AR648" s="680"/>
      <c r="AS648" s="548"/>
      <c r="AT648" s="554">
        <f t="shared" si="220"/>
        <v>3000</v>
      </c>
      <c r="AU648" s="663"/>
      <c r="AV648" s="554">
        <f t="shared" si="221"/>
        <v>3000</v>
      </c>
      <c r="AW648" s="669"/>
      <c r="AX648" s="663"/>
      <c r="AY648" s="548"/>
      <c r="AZ648" s="548"/>
      <c r="BA648" s="548"/>
      <c r="BB648" s="620">
        <f t="shared" si="222"/>
        <v>125</v>
      </c>
      <c r="BC648" s="671"/>
      <c r="BD648" s="548"/>
      <c r="BE648" s="548"/>
      <c r="BF648" s="548"/>
      <c r="BP648" s="554">
        <f>I648/25</f>
        <v>120</v>
      </c>
      <c r="BY648" s="669"/>
      <c r="BZ648" s="548"/>
      <c r="CA648" s="672"/>
      <c r="CB648" s="567"/>
      <c r="CC648" s="673"/>
      <c r="CD648" s="669"/>
      <c r="CE648" s="669"/>
      <c r="CF648" s="548"/>
      <c r="CG648" s="548"/>
      <c r="CU648" s="554">
        <f t="shared" si="223"/>
        <v>120</v>
      </c>
      <c r="CV648" s="663">
        <f t="shared" si="215"/>
        <v>0</v>
      </c>
      <c r="CW648" s="663">
        <f t="shared" si="216"/>
        <v>0</v>
      </c>
      <c r="CX648" s="669"/>
      <c r="CY648" s="669"/>
      <c r="CZ648" s="669"/>
      <c r="DA648" s="548"/>
      <c r="DB648" s="548"/>
      <c r="DC648" s="548"/>
      <c r="DD648" s="669"/>
      <c r="DE648" s="669"/>
      <c r="DF648" s="669"/>
      <c r="DG648" s="669"/>
      <c r="DH648" s="669"/>
    </row>
    <row r="649" s="548" customFormat="1" ht="31" customHeight="1" spans="1:112">
      <c r="A649" s="660">
        <v>45904</v>
      </c>
      <c r="B649" s="661" t="s">
        <v>6098</v>
      </c>
      <c r="C649" s="662" t="s">
        <v>128</v>
      </c>
      <c r="D649" s="663">
        <v>4500178827</v>
      </c>
      <c r="E649" s="662">
        <v>47763808</v>
      </c>
      <c r="F649" s="663" t="s">
        <v>7611</v>
      </c>
      <c r="G649" s="662" t="s">
        <v>6101</v>
      </c>
      <c r="H649" s="662" t="s">
        <v>6102</v>
      </c>
      <c r="I649" s="662">
        <v>600</v>
      </c>
      <c r="J649" s="662">
        <v>0</v>
      </c>
      <c r="K649" s="662">
        <v>6</v>
      </c>
      <c r="L649" s="665">
        <f t="shared" si="207"/>
        <v>100</v>
      </c>
      <c r="M649" s="666">
        <v>45944</v>
      </c>
      <c r="N649" s="666">
        <v>45940</v>
      </c>
      <c r="O649" s="664"/>
      <c r="P649" s="664" t="s">
        <v>113</v>
      </c>
      <c r="Q649" s="662"/>
      <c r="R649" s="667" t="s">
        <v>7482</v>
      </c>
      <c r="S649" s="667" t="s">
        <v>70</v>
      </c>
      <c r="T649" s="667" t="s">
        <v>7483</v>
      </c>
      <c r="U649" s="667"/>
      <c r="V649" s="667"/>
      <c r="W649" s="615"/>
      <c r="X649" s="661" t="s">
        <v>7484</v>
      </c>
      <c r="Y649" s="661" t="s">
        <v>1735</v>
      </c>
      <c r="Z649" s="661">
        <v>0.9569</v>
      </c>
      <c r="AA649" s="634">
        <f t="shared" si="218"/>
        <v>574.14</v>
      </c>
      <c r="AC649" s="676" t="s">
        <v>7612</v>
      </c>
      <c r="AD649" s="662" t="s">
        <v>6101</v>
      </c>
      <c r="AE649" s="662" t="s">
        <v>82</v>
      </c>
      <c r="AF649" s="662"/>
      <c r="AG649" s="662"/>
      <c r="AH649" s="662"/>
      <c r="AI649" s="662">
        <v>600</v>
      </c>
      <c r="AJ649" s="662">
        <f t="shared" si="211"/>
        <v>0</v>
      </c>
      <c r="AK649" s="662"/>
      <c r="AL649" s="662"/>
      <c r="AM649" s="662"/>
      <c r="AN649" s="662"/>
      <c r="AO649" s="663">
        <f t="shared" si="219"/>
        <v>600</v>
      </c>
      <c r="AR649" s="680"/>
      <c r="AS649" s="548"/>
      <c r="AT649" s="554">
        <f t="shared" si="220"/>
        <v>600</v>
      </c>
      <c r="AU649" s="663"/>
      <c r="AV649" s="554">
        <f t="shared" si="221"/>
        <v>600</v>
      </c>
      <c r="AW649" s="669"/>
      <c r="AX649" s="663"/>
      <c r="AY649" s="548"/>
      <c r="AZ649" s="548"/>
      <c r="BA649" s="548"/>
      <c r="BB649" s="620">
        <f t="shared" si="222"/>
        <v>25</v>
      </c>
      <c r="BC649" s="671"/>
      <c r="BD649" s="548"/>
      <c r="BE649" s="548"/>
      <c r="BF649" s="548"/>
      <c r="BT649" s="663">
        <f>I649/6</f>
        <v>100</v>
      </c>
      <c r="BU649" s="663"/>
      <c r="BY649" s="669"/>
      <c r="BZ649" s="548"/>
      <c r="CA649" s="672"/>
      <c r="CB649" s="567"/>
      <c r="CC649" s="673"/>
      <c r="CD649" s="669"/>
      <c r="CE649" s="669"/>
      <c r="CF649" s="548"/>
      <c r="CG649" s="548"/>
      <c r="CU649" s="554">
        <f t="shared" si="223"/>
        <v>0</v>
      </c>
      <c r="CV649" s="663">
        <f t="shared" si="215"/>
        <v>0</v>
      </c>
      <c r="CW649" s="663">
        <f t="shared" si="216"/>
        <v>0</v>
      </c>
      <c r="CX649" s="669"/>
      <c r="CY649" s="669"/>
      <c r="CZ649" s="669"/>
      <c r="DA649" s="548"/>
      <c r="DB649" s="548"/>
      <c r="DC649" s="548"/>
      <c r="DD649" s="669"/>
      <c r="DE649" s="669"/>
      <c r="DF649" s="669"/>
      <c r="DG649" s="669"/>
      <c r="DH649" s="669"/>
    </row>
    <row r="650" s="548" customFormat="1" ht="31" customHeight="1" spans="1:112">
      <c r="A650" s="660">
        <v>45904</v>
      </c>
      <c r="B650" s="661" t="s">
        <v>6098</v>
      </c>
      <c r="C650" s="662" t="s">
        <v>128</v>
      </c>
      <c r="D650" s="663">
        <v>4500178827</v>
      </c>
      <c r="E650" s="662">
        <v>47746992</v>
      </c>
      <c r="F650" s="663" t="s">
        <v>7613</v>
      </c>
      <c r="G650" s="662" t="s">
        <v>6101</v>
      </c>
      <c r="H650" s="662" t="s">
        <v>6102</v>
      </c>
      <c r="I650" s="662">
        <v>1200</v>
      </c>
      <c r="J650" s="662">
        <v>0</v>
      </c>
      <c r="K650" s="662">
        <v>6</v>
      </c>
      <c r="L650" s="665">
        <f t="shared" si="207"/>
        <v>200</v>
      </c>
      <c r="M650" s="666">
        <v>45944</v>
      </c>
      <c r="N650" s="666">
        <v>45940</v>
      </c>
      <c r="O650" s="664"/>
      <c r="P650" s="664" t="s">
        <v>113</v>
      </c>
      <c r="Q650" s="662"/>
      <c r="R650" s="667" t="s">
        <v>7482</v>
      </c>
      <c r="S650" s="667" t="s">
        <v>70</v>
      </c>
      <c r="T650" s="667" t="s">
        <v>7483</v>
      </c>
      <c r="U650" s="667"/>
      <c r="V650" s="667"/>
      <c r="W650" s="615"/>
      <c r="X650" s="661" t="s">
        <v>7484</v>
      </c>
      <c r="Y650" s="661" t="s">
        <v>1735</v>
      </c>
      <c r="Z650" s="661">
        <v>0.9569</v>
      </c>
      <c r="AA650" s="634">
        <f t="shared" si="218"/>
        <v>1148.28</v>
      </c>
      <c r="AC650" s="676" t="s">
        <v>7612</v>
      </c>
      <c r="AD650" s="662" t="s">
        <v>6101</v>
      </c>
      <c r="AE650" s="662" t="s">
        <v>82</v>
      </c>
      <c r="AF650" s="662"/>
      <c r="AG650" s="662"/>
      <c r="AH650" s="662"/>
      <c r="AI650" s="662">
        <v>1200</v>
      </c>
      <c r="AJ650" s="662">
        <f t="shared" si="211"/>
        <v>0</v>
      </c>
      <c r="AK650" s="662"/>
      <c r="AL650" s="662"/>
      <c r="AM650" s="662"/>
      <c r="AN650" s="662"/>
      <c r="AO650" s="663">
        <f t="shared" si="219"/>
        <v>1200</v>
      </c>
      <c r="AR650" s="680"/>
      <c r="AS650" s="548"/>
      <c r="AT650" s="554">
        <f t="shared" si="220"/>
        <v>1200</v>
      </c>
      <c r="AU650" s="663"/>
      <c r="AV650" s="554">
        <f t="shared" si="221"/>
        <v>1200</v>
      </c>
      <c r="AW650" s="669"/>
      <c r="AX650" s="663"/>
      <c r="AY650" s="548"/>
      <c r="AZ650" s="548"/>
      <c r="BA650" s="548"/>
      <c r="BB650" s="620">
        <f t="shared" si="222"/>
        <v>50</v>
      </c>
      <c r="BC650" s="671"/>
      <c r="BD650" s="548"/>
      <c r="BE650" s="548"/>
      <c r="BF650" s="548"/>
      <c r="BT650" s="663">
        <f>I650/6</f>
        <v>200</v>
      </c>
      <c r="BU650" s="663"/>
      <c r="BY650" s="669"/>
      <c r="BZ650" s="548"/>
      <c r="CA650" s="672"/>
      <c r="CB650" s="567"/>
      <c r="CC650" s="673"/>
      <c r="CD650" s="669"/>
      <c r="CE650" s="669"/>
      <c r="CF650" s="548"/>
      <c r="CG650" s="548"/>
      <c r="CU650" s="554">
        <f t="shared" si="223"/>
        <v>0</v>
      </c>
      <c r="CV650" s="663">
        <f t="shared" si="215"/>
        <v>0</v>
      </c>
      <c r="CW650" s="663">
        <f t="shared" si="216"/>
        <v>0</v>
      </c>
      <c r="CX650" s="669"/>
      <c r="CY650" s="669"/>
      <c r="CZ650" s="669"/>
      <c r="DA650" s="548"/>
      <c r="DB650" s="548"/>
      <c r="DC650" s="548"/>
      <c r="DD650" s="669"/>
      <c r="DE650" s="669"/>
      <c r="DF650" s="669"/>
      <c r="DG650" s="669"/>
      <c r="DH650" s="669"/>
    </row>
    <row r="651" s="548" customFormat="1" ht="31" customHeight="1" spans="1:112">
      <c r="A651" s="660">
        <v>45904</v>
      </c>
      <c r="B651" s="661" t="s">
        <v>6098</v>
      </c>
      <c r="C651" s="662" t="s">
        <v>128</v>
      </c>
      <c r="D651" s="663">
        <v>4500178827</v>
      </c>
      <c r="E651" s="662">
        <v>47763811</v>
      </c>
      <c r="F651" s="663" t="s">
        <v>7614</v>
      </c>
      <c r="G651" s="662" t="s">
        <v>6101</v>
      </c>
      <c r="H651" s="662" t="s">
        <v>6102</v>
      </c>
      <c r="I651" s="662">
        <v>1200</v>
      </c>
      <c r="J651" s="662">
        <v>0</v>
      </c>
      <c r="K651" s="662">
        <v>6</v>
      </c>
      <c r="L651" s="665">
        <f t="shared" si="207"/>
        <v>200</v>
      </c>
      <c r="M651" s="666">
        <v>45944</v>
      </c>
      <c r="N651" s="666">
        <v>45940</v>
      </c>
      <c r="O651" s="664"/>
      <c r="P651" s="664" t="s">
        <v>113</v>
      </c>
      <c r="Q651" s="662"/>
      <c r="R651" s="667" t="s">
        <v>7482</v>
      </c>
      <c r="S651" s="667" t="s">
        <v>70</v>
      </c>
      <c r="T651" s="667" t="s">
        <v>7483</v>
      </c>
      <c r="U651" s="667"/>
      <c r="V651" s="667"/>
      <c r="W651" s="615"/>
      <c r="X651" s="661" t="s">
        <v>7484</v>
      </c>
      <c r="Y651" s="661" t="s">
        <v>1735</v>
      </c>
      <c r="Z651" s="661">
        <v>0.9569</v>
      </c>
      <c r="AA651" s="634">
        <f t="shared" si="218"/>
        <v>1148.28</v>
      </c>
      <c r="AC651" s="676" t="s">
        <v>7612</v>
      </c>
      <c r="AD651" s="662" t="s">
        <v>6101</v>
      </c>
      <c r="AE651" s="662" t="s">
        <v>82</v>
      </c>
      <c r="AF651" s="662"/>
      <c r="AG651" s="662"/>
      <c r="AH651" s="662"/>
      <c r="AI651" s="662">
        <v>1200</v>
      </c>
      <c r="AJ651" s="662">
        <f t="shared" si="211"/>
        <v>0</v>
      </c>
      <c r="AK651" s="662"/>
      <c r="AL651" s="662"/>
      <c r="AM651" s="662"/>
      <c r="AN651" s="662"/>
      <c r="AO651" s="663">
        <f t="shared" si="219"/>
        <v>1200</v>
      </c>
      <c r="AR651" s="680"/>
      <c r="AS651" s="548"/>
      <c r="AT651" s="554">
        <f t="shared" si="220"/>
        <v>1200</v>
      </c>
      <c r="AU651" s="663"/>
      <c r="AV651" s="554">
        <f t="shared" si="221"/>
        <v>1200</v>
      </c>
      <c r="AW651" s="669"/>
      <c r="AX651" s="663"/>
      <c r="AY651" s="548"/>
      <c r="AZ651" s="548"/>
      <c r="BA651" s="548"/>
      <c r="BB651" s="620">
        <f t="shared" si="222"/>
        <v>50</v>
      </c>
      <c r="BC651" s="671"/>
      <c r="BD651" s="548"/>
      <c r="BE651" s="548"/>
      <c r="BF651" s="548"/>
      <c r="BT651" s="663">
        <f>I651/6</f>
        <v>200</v>
      </c>
      <c r="BU651" s="663"/>
      <c r="BY651" s="669"/>
      <c r="BZ651" s="548"/>
      <c r="CA651" s="672"/>
      <c r="CB651" s="567"/>
      <c r="CC651" s="673"/>
      <c r="CD651" s="669"/>
      <c r="CE651" s="669"/>
      <c r="CF651" s="548"/>
      <c r="CG651" s="548"/>
      <c r="CU651" s="554">
        <f t="shared" si="223"/>
        <v>0</v>
      </c>
      <c r="CV651" s="663">
        <f t="shared" si="215"/>
        <v>0</v>
      </c>
      <c r="CW651" s="663">
        <f t="shared" si="216"/>
        <v>0</v>
      </c>
      <c r="CX651" s="669"/>
      <c r="CY651" s="669"/>
      <c r="CZ651" s="669"/>
      <c r="DA651" s="548"/>
      <c r="DB651" s="548"/>
      <c r="DC651" s="548"/>
      <c r="DD651" s="669"/>
      <c r="DE651" s="669"/>
      <c r="DF651" s="669"/>
      <c r="DG651" s="669"/>
      <c r="DH651" s="669"/>
    </row>
    <row r="652" s="548" customFormat="1" ht="31" customHeight="1" spans="1:112">
      <c r="A652" s="660">
        <v>45903</v>
      </c>
      <c r="B652" s="661" t="s">
        <v>1928</v>
      </c>
      <c r="C652" s="662" t="s">
        <v>424</v>
      </c>
      <c r="D652" s="663">
        <v>4500178665</v>
      </c>
      <c r="E652" s="662"/>
      <c r="F652" s="663" t="s">
        <v>7615</v>
      </c>
      <c r="G652" s="662" t="s">
        <v>6047</v>
      </c>
      <c r="H652" s="662" t="s">
        <v>6069</v>
      </c>
      <c r="I652" s="662">
        <v>1000</v>
      </c>
      <c r="J652" s="662">
        <v>0</v>
      </c>
      <c r="K652" s="662">
        <v>25</v>
      </c>
      <c r="L652" s="665">
        <f t="shared" si="207"/>
        <v>40</v>
      </c>
      <c r="M652" s="666">
        <v>45945</v>
      </c>
      <c r="N652" s="666">
        <v>45943</v>
      </c>
      <c r="O652" s="664"/>
      <c r="P652" s="664" t="s">
        <v>113</v>
      </c>
      <c r="Q652" s="662"/>
      <c r="R652" s="667">
        <v>45910</v>
      </c>
      <c r="S652" s="667" t="s">
        <v>70</v>
      </c>
      <c r="T652" s="667" t="s">
        <v>7616</v>
      </c>
      <c r="U652" s="667"/>
      <c r="V652" s="667"/>
      <c r="W652" s="615"/>
      <c r="X652" s="661" t="s">
        <v>7617</v>
      </c>
      <c r="Y652" s="661" t="s">
        <v>428</v>
      </c>
      <c r="Z652" s="661">
        <v>0.9417</v>
      </c>
      <c r="AA652" s="634">
        <f t="shared" si="218"/>
        <v>941.7</v>
      </c>
      <c r="AC652" s="676" t="s">
        <v>7618</v>
      </c>
      <c r="AD652" s="662" t="s">
        <v>6047</v>
      </c>
      <c r="AE652" s="662" t="s">
        <v>82</v>
      </c>
      <c r="AF652" s="662"/>
      <c r="AG652" s="662"/>
      <c r="AH652" s="662"/>
      <c r="AI652" s="662">
        <v>1000</v>
      </c>
      <c r="AJ652" s="662">
        <f t="shared" si="211"/>
        <v>0</v>
      </c>
      <c r="AK652" s="662"/>
      <c r="AL652" s="662"/>
      <c r="AM652" s="662"/>
      <c r="AN652" s="662"/>
      <c r="AO652" s="663">
        <f t="shared" si="219"/>
        <v>1000</v>
      </c>
      <c r="AR652" s="680"/>
      <c r="AS652" s="548"/>
      <c r="AT652" s="554">
        <f t="shared" si="220"/>
        <v>1000</v>
      </c>
      <c r="AV652" s="554">
        <f t="shared" si="221"/>
        <v>1000</v>
      </c>
      <c r="AW652" s="669"/>
      <c r="AX652" s="663"/>
      <c r="AY652" s="548"/>
      <c r="AZ652" s="548"/>
      <c r="BA652" s="548"/>
      <c r="BB652" s="620">
        <f t="shared" si="222"/>
        <v>41.6666666666667</v>
      </c>
      <c r="BC652" s="671"/>
      <c r="BD652" s="548"/>
      <c r="BE652" s="548"/>
      <c r="BF652" s="548"/>
      <c r="BP652" s="663">
        <f>I652/25</f>
        <v>40</v>
      </c>
      <c r="BY652" s="669"/>
      <c r="BZ652" s="548"/>
      <c r="CA652" s="672"/>
      <c r="CB652" s="567"/>
      <c r="CC652" s="673"/>
      <c r="CD652" s="669"/>
      <c r="CE652" s="669"/>
      <c r="CF652" s="548"/>
      <c r="CG652" s="548"/>
      <c r="CU652" s="554">
        <f t="shared" si="223"/>
        <v>40</v>
      </c>
      <c r="CV652" s="663">
        <f t="shared" si="215"/>
        <v>0</v>
      </c>
      <c r="CW652" s="663">
        <f t="shared" si="216"/>
        <v>0</v>
      </c>
      <c r="CX652" s="669"/>
      <c r="CY652" s="669"/>
      <c r="CZ652" s="669"/>
      <c r="DA652" s="548"/>
      <c r="DB652" s="548"/>
      <c r="DC652" s="548"/>
      <c r="DD652" s="669"/>
      <c r="DE652" s="669"/>
      <c r="DF652" s="669"/>
      <c r="DG652" s="669"/>
      <c r="DH652" s="669"/>
    </row>
    <row r="653" s="548" customFormat="1" ht="31" customHeight="1" spans="1:112">
      <c r="A653" s="660">
        <v>45905</v>
      </c>
      <c r="B653" s="661" t="s">
        <v>6645</v>
      </c>
      <c r="C653" s="662" t="s">
        <v>170</v>
      </c>
      <c r="D653" s="663">
        <v>4500178892</v>
      </c>
      <c r="E653" s="664">
        <v>1271340</v>
      </c>
      <c r="F653" s="663" t="s">
        <v>7619</v>
      </c>
      <c r="G653" s="662" t="s">
        <v>6166</v>
      </c>
      <c r="H653" s="662" t="s">
        <v>6094</v>
      </c>
      <c r="I653" s="662">
        <v>4030</v>
      </c>
      <c r="J653" s="662">
        <v>0</v>
      </c>
      <c r="K653" s="662">
        <v>13</v>
      </c>
      <c r="L653" s="665">
        <f t="shared" si="207"/>
        <v>310</v>
      </c>
      <c r="M653" s="666">
        <v>45945</v>
      </c>
      <c r="N653" s="666">
        <v>45943</v>
      </c>
      <c r="O653" s="664"/>
      <c r="P653" s="664" t="s">
        <v>113</v>
      </c>
      <c r="Q653" s="662"/>
      <c r="R653" s="667">
        <v>45911</v>
      </c>
      <c r="S653" s="667" t="s">
        <v>70</v>
      </c>
      <c r="T653" s="667" t="s">
        <v>70</v>
      </c>
      <c r="U653" s="667"/>
      <c r="V653" s="667"/>
      <c r="W653" s="615"/>
      <c r="X653" s="661" t="s">
        <v>7620</v>
      </c>
      <c r="Y653" s="661" t="s">
        <v>1150</v>
      </c>
      <c r="Z653" s="675">
        <v>0.9572</v>
      </c>
      <c r="AA653" s="634">
        <f t="shared" si="218"/>
        <v>3857.516</v>
      </c>
      <c r="AC653" s="676" t="s">
        <v>7621</v>
      </c>
      <c r="AD653" s="662" t="s">
        <v>6166</v>
      </c>
      <c r="AE653" s="662" t="s">
        <v>82</v>
      </c>
      <c r="AF653" s="662"/>
      <c r="AG653" s="662"/>
      <c r="AH653" s="662"/>
      <c r="AI653" s="662">
        <v>4030</v>
      </c>
      <c r="AJ653" s="662">
        <f t="shared" si="211"/>
        <v>0</v>
      </c>
      <c r="AK653" s="662"/>
      <c r="AL653" s="662"/>
      <c r="AM653" s="662"/>
      <c r="AN653" s="662">
        <f>I653</f>
        <v>4030</v>
      </c>
      <c r="AO653" s="663"/>
      <c r="AP653" s="548"/>
      <c r="AQ653" s="548"/>
      <c r="AR653" s="680"/>
      <c r="AS653" s="554">
        <f>I653</f>
        <v>4030</v>
      </c>
      <c r="AU653" s="554">
        <f>I653</f>
        <v>4030</v>
      </c>
      <c r="AV653" s="663"/>
      <c r="AW653" s="669"/>
      <c r="AX653" s="663"/>
      <c r="AY653" s="548"/>
      <c r="AZ653" s="548"/>
      <c r="BA653" s="548"/>
      <c r="BB653" s="670">
        <f t="shared" si="222"/>
        <v>167.916666666667</v>
      </c>
      <c r="BC653" s="671"/>
      <c r="BD653" s="548"/>
      <c r="BE653" s="548"/>
      <c r="BF653" s="548"/>
      <c r="BL653" s="663">
        <f>I653/13</f>
        <v>310</v>
      </c>
      <c r="BY653" s="669"/>
      <c r="BZ653" s="548"/>
      <c r="CA653" s="672"/>
      <c r="CB653" s="567"/>
      <c r="CC653" s="673"/>
      <c r="CD653" s="669"/>
      <c r="CE653" s="669"/>
      <c r="CF653" s="548"/>
      <c r="CG653" s="548"/>
      <c r="CU653" s="554">
        <f t="shared" si="223"/>
        <v>0</v>
      </c>
      <c r="CV653" s="663">
        <f t="shared" si="215"/>
        <v>0</v>
      </c>
      <c r="CW653" s="663">
        <f t="shared" si="216"/>
        <v>0</v>
      </c>
      <c r="CX653" s="669"/>
      <c r="CY653" s="669"/>
      <c r="CZ653" s="669"/>
      <c r="DA653" s="548"/>
      <c r="DB653" s="548"/>
      <c r="DC653" s="548"/>
      <c r="DD653" s="669"/>
      <c r="DE653" s="669"/>
      <c r="DF653" s="669"/>
      <c r="DG653" s="669"/>
      <c r="DH653" s="669"/>
    </row>
    <row r="654" s="548" customFormat="1" ht="31" customHeight="1" spans="1:112">
      <c r="A654" s="660">
        <v>45904</v>
      </c>
      <c r="B654" s="661" t="s">
        <v>827</v>
      </c>
      <c r="C654" s="662" t="s">
        <v>524</v>
      </c>
      <c r="D654" s="663">
        <v>4500178828</v>
      </c>
      <c r="E654" s="664">
        <v>7950903135</v>
      </c>
      <c r="F654" s="663" t="s">
        <v>1967</v>
      </c>
      <c r="G654" s="662" t="s">
        <v>829</v>
      </c>
      <c r="H654" s="662" t="s">
        <v>830</v>
      </c>
      <c r="I654" s="662">
        <v>64</v>
      </c>
      <c r="J654" s="662">
        <v>0</v>
      </c>
      <c r="K654" s="662">
        <v>1</v>
      </c>
      <c r="L654" s="665">
        <f t="shared" si="207"/>
        <v>64</v>
      </c>
      <c r="M654" s="666">
        <v>45940</v>
      </c>
      <c r="N654" s="666">
        <v>45936</v>
      </c>
      <c r="O654" s="664"/>
      <c r="P654" s="664" t="s">
        <v>113</v>
      </c>
      <c r="Q654" s="662"/>
      <c r="R654" s="667">
        <v>45904</v>
      </c>
      <c r="S654" s="667" t="s">
        <v>70</v>
      </c>
      <c r="T654" s="667" t="s">
        <v>1968</v>
      </c>
      <c r="U654" s="667"/>
      <c r="V654" s="667"/>
      <c r="W654" s="615"/>
      <c r="X654" s="661" t="s">
        <v>1969</v>
      </c>
      <c r="Y654" s="661" t="s">
        <v>529</v>
      </c>
      <c r="Z654" s="661">
        <v>0</v>
      </c>
      <c r="AA654" s="634">
        <f>Z654*J654</f>
        <v>0</v>
      </c>
      <c r="AC654" s="676" t="s">
        <v>1970</v>
      </c>
      <c r="AD654" s="662" t="s">
        <v>829</v>
      </c>
      <c r="AE654" s="662" t="s">
        <v>82</v>
      </c>
      <c r="AF654" s="662"/>
      <c r="AG654" s="662"/>
      <c r="AH654" s="662"/>
      <c r="AI654" s="662">
        <f>4760+40</f>
        <v>4800</v>
      </c>
      <c r="AJ654" s="662">
        <v>0</v>
      </c>
      <c r="AK654" s="662"/>
      <c r="AL654" s="662"/>
      <c r="AM654" s="662"/>
      <c r="AN654" s="662"/>
      <c r="AO654" s="663"/>
      <c r="AP654" s="548"/>
      <c r="AQ654" s="548"/>
      <c r="AR654" s="680"/>
      <c r="AS654" s="548"/>
      <c r="AT654" s="548"/>
      <c r="AU654" s="663"/>
      <c r="AV654" s="548"/>
      <c r="AW654" s="669"/>
      <c r="AX654" s="663"/>
      <c r="AY654" s="548"/>
      <c r="AZ654" s="548"/>
      <c r="BA654" s="548"/>
      <c r="BB654" s="670"/>
      <c r="BC654" s="671"/>
      <c r="BD654" s="548"/>
      <c r="BE654" s="548"/>
      <c r="BF654" s="548"/>
      <c r="BY654" s="669"/>
      <c r="BZ654" s="548"/>
      <c r="CA654" s="672"/>
      <c r="CB654" s="567"/>
      <c r="CC654" s="673"/>
      <c r="CD654" s="669"/>
      <c r="CE654" s="669"/>
      <c r="CF654" s="548"/>
      <c r="CG654" s="548"/>
      <c r="CU654" s="554">
        <f t="shared" si="223"/>
        <v>0</v>
      </c>
      <c r="CV654" s="663">
        <f t="shared" si="215"/>
        <v>0</v>
      </c>
      <c r="CW654" s="663">
        <f t="shared" si="216"/>
        <v>0</v>
      </c>
      <c r="CX654" s="669"/>
      <c r="CY654" s="669"/>
      <c r="CZ654" s="669"/>
      <c r="DA654" s="548"/>
      <c r="DB654" s="548"/>
      <c r="DC654" s="548"/>
      <c r="DD654" s="669"/>
      <c r="DE654" s="669"/>
      <c r="DF654" s="669"/>
      <c r="DG654" s="669"/>
      <c r="DH654" s="669"/>
    </row>
    <row r="655" s="548" customFormat="1" ht="31" customHeight="1" spans="1:112">
      <c r="A655" s="660">
        <v>45904</v>
      </c>
      <c r="B655" s="661" t="s">
        <v>827</v>
      </c>
      <c r="C655" s="662" t="s">
        <v>524</v>
      </c>
      <c r="D655" s="663">
        <v>4500178828</v>
      </c>
      <c r="E655" s="664">
        <v>7950903135</v>
      </c>
      <c r="F655" s="663" t="s">
        <v>1967</v>
      </c>
      <c r="G655" s="662">
        <v>77711</v>
      </c>
      <c r="H655" s="662" t="s">
        <v>6033</v>
      </c>
      <c r="I655" s="662">
        <v>4800</v>
      </c>
      <c r="J655" s="662">
        <v>0</v>
      </c>
      <c r="K655" s="662">
        <v>75</v>
      </c>
      <c r="L655" s="665">
        <f t="shared" si="207"/>
        <v>64</v>
      </c>
      <c r="M655" s="666">
        <v>45940</v>
      </c>
      <c r="N655" s="666">
        <v>45936</v>
      </c>
      <c r="O655" s="664"/>
      <c r="P655" s="664" t="s">
        <v>113</v>
      </c>
      <c r="Q655" s="662"/>
      <c r="R655" s="667">
        <v>45904</v>
      </c>
      <c r="S655" s="667" t="s">
        <v>70</v>
      </c>
      <c r="T655" s="667" t="s">
        <v>1968</v>
      </c>
      <c r="U655" s="667"/>
      <c r="V655" s="667"/>
      <c r="W655" s="615"/>
      <c r="X655" s="661" t="s">
        <v>1969</v>
      </c>
      <c r="Y655" s="661" t="s">
        <v>529</v>
      </c>
      <c r="Z655" s="661">
        <v>588.0268</v>
      </c>
      <c r="AA655" s="634">
        <f>Z655*L655</f>
        <v>37633.7152</v>
      </c>
      <c r="AC655" s="676" t="s">
        <v>1970</v>
      </c>
      <c r="AD655" s="662" t="s">
        <v>829</v>
      </c>
      <c r="AE655" s="662" t="s">
        <v>82</v>
      </c>
      <c r="AF655" s="662"/>
      <c r="AG655" s="662"/>
      <c r="AH655" s="662"/>
      <c r="AI655" s="662">
        <v>0</v>
      </c>
      <c r="AJ655" s="662">
        <v>0</v>
      </c>
      <c r="AK655" s="662"/>
      <c r="AL655" s="662"/>
      <c r="AM655" s="662"/>
      <c r="AN655" s="610">
        <f>I655*3</f>
        <v>14400</v>
      </c>
      <c r="AO655" s="663"/>
      <c r="AP655" s="548"/>
      <c r="AQ655" s="548"/>
      <c r="AR655" s="680"/>
      <c r="AS655" s="548"/>
      <c r="AT655" s="548"/>
      <c r="AU655" s="663"/>
      <c r="AV655" s="548"/>
      <c r="AW655" s="669"/>
      <c r="AX655" s="663"/>
      <c r="AY655" s="548"/>
      <c r="AZ655" s="548"/>
      <c r="BA655" s="548"/>
      <c r="BB655" s="670"/>
      <c r="BC655" s="671"/>
      <c r="BD655" s="548"/>
      <c r="BE655" s="548"/>
      <c r="BF655" s="663">
        <f>I655</f>
        <v>4800</v>
      </c>
      <c r="BH655" s="663">
        <f>I655</f>
        <v>4800</v>
      </c>
      <c r="BI655" s="663">
        <f>I655</f>
        <v>4800</v>
      </c>
      <c r="BJ655" s="663">
        <f>I655/5</f>
        <v>960</v>
      </c>
      <c r="BY655" s="669"/>
      <c r="BZ655" s="548"/>
      <c r="CA655" s="672"/>
      <c r="CB655" s="567"/>
      <c r="CC655" s="673"/>
      <c r="CD655" s="669"/>
      <c r="CE655" s="669"/>
      <c r="CF655" s="548"/>
      <c r="CG655" s="548"/>
      <c r="CU655" s="554">
        <f t="shared" si="223"/>
        <v>0</v>
      </c>
      <c r="CV655" s="663">
        <f t="shared" si="215"/>
        <v>0</v>
      </c>
      <c r="CW655" s="663">
        <f t="shared" si="216"/>
        <v>0</v>
      </c>
      <c r="CX655" s="669"/>
      <c r="CY655" s="669"/>
      <c r="CZ655" s="669"/>
      <c r="DA655" s="548"/>
      <c r="DB655" s="548"/>
      <c r="DC655" s="548"/>
      <c r="DD655" s="669"/>
      <c r="DE655" s="669"/>
      <c r="DF655" s="669"/>
      <c r="DG655" s="669"/>
      <c r="DH655" s="669"/>
    </row>
    <row r="656" s="548" customFormat="1" ht="31" customHeight="1" spans="1:112">
      <c r="A656" s="660">
        <v>45896</v>
      </c>
      <c r="B656" s="661" t="s">
        <v>3158</v>
      </c>
      <c r="C656" s="662" t="s">
        <v>98</v>
      </c>
      <c r="D656" s="663">
        <v>4500177930</v>
      </c>
      <c r="E656" s="662">
        <v>4348666466</v>
      </c>
      <c r="F656" s="663" t="s">
        <v>7622</v>
      </c>
      <c r="G656" s="662" t="s">
        <v>6084</v>
      </c>
      <c r="H656" s="662" t="s">
        <v>6069</v>
      </c>
      <c r="I656" s="662">
        <v>10450</v>
      </c>
      <c r="J656" s="662">
        <v>0</v>
      </c>
      <c r="K656" s="662">
        <v>25</v>
      </c>
      <c r="L656" s="665">
        <f t="shared" si="207"/>
        <v>418</v>
      </c>
      <c r="M656" s="666">
        <v>45945</v>
      </c>
      <c r="N656" s="666">
        <v>45941</v>
      </c>
      <c r="O656" s="664"/>
      <c r="P656" s="664" t="s">
        <v>113</v>
      </c>
      <c r="Q656" s="662"/>
      <c r="R656" s="667">
        <v>45910</v>
      </c>
      <c r="S656" s="667" t="s">
        <v>70</v>
      </c>
      <c r="T656" s="667" t="s">
        <v>7623</v>
      </c>
      <c r="U656" s="667"/>
      <c r="V656" s="667"/>
      <c r="W656" s="615"/>
      <c r="X656" s="661" t="s">
        <v>7624</v>
      </c>
      <c r="Y656" s="661" t="s">
        <v>3163</v>
      </c>
      <c r="Z656" s="675">
        <v>0.5646</v>
      </c>
      <c r="AA656" s="634">
        <f t="shared" ref="AA656:AA663" si="224">Z656*I656</f>
        <v>5900.07</v>
      </c>
      <c r="AC656" s="638" t="s">
        <v>7625</v>
      </c>
      <c r="AD656" s="662" t="s">
        <v>6084</v>
      </c>
      <c r="AE656" s="662" t="s">
        <v>82</v>
      </c>
      <c r="AF656" s="662"/>
      <c r="AG656" s="662"/>
      <c r="AH656" s="662"/>
      <c r="AI656" s="662">
        <v>10450</v>
      </c>
      <c r="AJ656" s="662">
        <f>AI656-I656</f>
        <v>0</v>
      </c>
      <c r="AK656" s="662"/>
      <c r="AL656" s="662"/>
      <c r="AM656" s="662"/>
      <c r="AN656" s="662">
        <f>I656</f>
        <v>10450</v>
      </c>
      <c r="AO656" s="663"/>
      <c r="AP656" s="554">
        <f>I656</f>
        <v>10450</v>
      </c>
      <c r="AR656" s="680"/>
      <c r="AS656" s="548"/>
      <c r="AT656" s="548"/>
      <c r="AU656" s="554">
        <f>I656</f>
        <v>10450</v>
      </c>
      <c r="AV656" s="663"/>
      <c r="AW656" s="669"/>
      <c r="AX656" s="663"/>
      <c r="AY656" s="548"/>
      <c r="AZ656" s="548"/>
      <c r="BA656" s="548"/>
      <c r="BB656" s="670">
        <f>I656/24</f>
        <v>435.416666666667</v>
      </c>
      <c r="BC656" s="671"/>
      <c r="BD656" s="548"/>
      <c r="BE656" s="548"/>
      <c r="BF656" s="548"/>
      <c r="BN656" s="663">
        <f>I656/25</f>
        <v>418</v>
      </c>
      <c r="BY656" s="669"/>
      <c r="BZ656" s="548"/>
      <c r="CA656" s="672"/>
      <c r="CB656" s="567"/>
      <c r="CC656" s="673"/>
      <c r="CD656" s="669"/>
      <c r="CE656" s="669"/>
      <c r="CF656" s="548"/>
      <c r="CG656" s="548"/>
      <c r="CU656" s="554">
        <f t="shared" si="223"/>
        <v>418</v>
      </c>
      <c r="CV656" s="663">
        <f t="shared" si="215"/>
        <v>0</v>
      </c>
      <c r="CW656" s="663">
        <f t="shared" si="216"/>
        <v>0</v>
      </c>
      <c r="CX656" s="669"/>
      <c r="CY656" s="669"/>
      <c r="CZ656" s="669"/>
      <c r="DA656" s="548"/>
      <c r="DB656" s="548"/>
      <c r="DC656" s="548"/>
      <c r="DD656" s="669"/>
      <c r="DE656" s="669"/>
      <c r="DF656" s="669"/>
      <c r="DG656" s="669"/>
      <c r="DH656" s="669"/>
    </row>
    <row r="657" s="548" customFormat="1" ht="31" customHeight="1" spans="1:112">
      <c r="A657" s="660">
        <v>45896</v>
      </c>
      <c r="B657" s="661" t="s">
        <v>3158</v>
      </c>
      <c r="C657" s="662" t="s">
        <v>98</v>
      </c>
      <c r="D657" s="663">
        <v>4500177891</v>
      </c>
      <c r="E657" s="664">
        <v>4348666465</v>
      </c>
      <c r="F657" s="663" t="s">
        <v>7626</v>
      </c>
      <c r="G657" s="662" t="s">
        <v>6084</v>
      </c>
      <c r="H657" s="662" t="s">
        <v>6069</v>
      </c>
      <c r="I657" s="662">
        <v>12800</v>
      </c>
      <c r="J657" s="662">
        <v>0</v>
      </c>
      <c r="K657" s="662">
        <v>25</v>
      </c>
      <c r="L657" s="665">
        <f t="shared" si="207"/>
        <v>512</v>
      </c>
      <c r="M657" s="666">
        <v>45945</v>
      </c>
      <c r="N657" s="666">
        <v>45943</v>
      </c>
      <c r="O657" s="664"/>
      <c r="P657" s="664" t="s">
        <v>113</v>
      </c>
      <c r="Q657" s="662"/>
      <c r="R657" s="667">
        <v>45910</v>
      </c>
      <c r="S657" s="667" t="s">
        <v>70</v>
      </c>
      <c r="T657" s="667" t="s">
        <v>7623</v>
      </c>
      <c r="U657" s="667"/>
      <c r="V657" s="667"/>
      <c r="W657" s="615"/>
      <c r="X657" s="661" t="s">
        <v>7624</v>
      </c>
      <c r="Y657" s="661" t="s">
        <v>3163</v>
      </c>
      <c r="Z657" s="675">
        <v>0.5646</v>
      </c>
      <c r="AA657" s="634">
        <f t="shared" si="224"/>
        <v>7226.88</v>
      </c>
      <c r="AC657" s="638" t="s">
        <v>7627</v>
      </c>
      <c r="AD657" s="662" t="s">
        <v>6084</v>
      </c>
      <c r="AE657" s="662" t="s">
        <v>82</v>
      </c>
      <c r="AF657" s="662"/>
      <c r="AG657" s="662"/>
      <c r="AH657" s="662"/>
      <c r="AI657" s="662">
        <v>12800</v>
      </c>
      <c r="AJ657" s="662">
        <f>AI657-I657</f>
        <v>0</v>
      </c>
      <c r="AK657" s="662"/>
      <c r="AL657" s="662"/>
      <c r="AM657" s="662"/>
      <c r="AN657" s="662">
        <f>I657</f>
        <v>12800</v>
      </c>
      <c r="AO657" s="663"/>
      <c r="AP657" s="554">
        <f>I657</f>
        <v>12800</v>
      </c>
      <c r="AR657" s="680"/>
      <c r="AS657" s="548"/>
      <c r="AT657" s="548"/>
      <c r="AU657" s="554">
        <f>I657</f>
        <v>12800</v>
      </c>
      <c r="AV657" s="663"/>
      <c r="AW657" s="669"/>
      <c r="AX657" s="663"/>
      <c r="AY657" s="548"/>
      <c r="AZ657" s="548"/>
      <c r="BA657" s="548"/>
      <c r="BB657" s="670">
        <f>I657/24</f>
        <v>533.333333333333</v>
      </c>
      <c r="BC657" s="671"/>
      <c r="BD657" s="548"/>
      <c r="BE657" s="548"/>
      <c r="BF657" s="548"/>
      <c r="BN657" s="663">
        <f>I657/25</f>
        <v>512</v>
      </c>
      <c r="BY657" s="669"/>
      <c r="BZ657" s="548"/>
      <c r="CA657" s="672"/>
      <c r="CB657" s="567"/>
      <c r="CC657" s="673"/>
      <c r="CD657" s="669"/>
      <c r="CE657" s="669"/>
      <c r="CF657" s="548"/>
      <c r="CG657" s="548"/>
      <c r="CU657" s="554">
        <f t="shared" si="223"/>
        <v>512</v>
      </c>
      <c r="CV657" s="663">
        <f t="shared" si="215"/>
        <v>0</v>
      </c>
      <c r="CW657" s="663">
        <f t="shared" si="216"/>
        <v>0</v>
      </c>
      <c r="CX657" s="669"/>
      <c r="CY657" s="669"/>
      <c r="CZ657" s="669"/>
      <c r="DA657" s="548"/>
      <c r="DB657" s="548"/>
      <c r="DC657" s="548"/>
      <c r="DD657" s="669"/>
      <c r="DE657" s="669"/>
      <c r="DF657" s="669"/>
      <c r="DG657" s="669"/>
      <c r="DH657" s="669"/>
    </row>
    <row r="658" s="548" customFormat="1" ht="31" customHeight="1" spans="1:112">
      <c r="A658" s="660">
        <v>45910</v>
      </c>
      <c r="B658" s="661" t="s">
        <v>448</v>
      </c>
      <c r="C658" s="662" t="s">
        <v>399</v>
      </c>
      <c r="D658" s="663">
        <v>4500179231</v>
      </c>
      <c r="E658" s="662"/>
      <c r="F658" s="663" t="s">
        <v>7628</v>
      </c>
      <c r="G658" s="662" t="s">
        <v>6093</v>
      </c>
      <c r="H658" s="662" t="s">
        <v>6094</v>
      </c>
      <c r="I658" s="662">
        <v>4810</v>
      </c>
      <c r="J658" s="662">
        <v>0</v>
      </c>
      <c r="K658" s="662">
        <v>13</v>
      </c>
      <c r="L658" s="665">
        <f t="shared" si="207"/>
        <v>370</v>
      </c>
      <c r="M658" s="666">
        <v>45952</v>
      </c>
      <c r="N658" s="666">
        <v>45948</v>
      </c>
      <c r="O658" s="664"/>
      <c r="P658" s="664" t="s">
        <v>113</v>
      </c>
      <c r="Q658" s="662"/>
      <c r="R658" s="667">
        <v>45915</v>
      </c>
      <c r="S658" s="667" t="s">
        <v>70</v>
      </c>
      <c r="T658" s="667" t="s">
        <v>7470</v>
      </c>
      <c r="U658" s="667"/>
      <c r="V658" s="667"/>
      <c r="W658" s="615"/>
      <c r="X658" s="661" t="s">
        <v>7629</v>
      </c>
      <c r="Y658" s="661" t="s">
        <v>445</v>
      </c>
      <c r="Z658" s="675">
        <v>0.8947</v>
      </c>
      <c r="AA658" s="634">
        <f t="shared" si="224"/>
        <v>4303.507</v>
      </c>
      <c r="AC658" s="676" t="s">
        <v>2043</v>
      </c>
      <c r="AD658" s="662" t="s">
        <v>6093</v>
      </c>
      <c r="AE658" s="662" t="s">
        <v>82</v>
      </c>
      <c r="AF658" s="662"/>
      <c r="AG658" s="662"/>
      <c r="AH658" s="662"/>
      <c r="AI658" s="662">
        <v>4810</v>
      </c>
      <c r="AJ658" s="662">
        <f>AI658-I658</f>
        <v>0</v>
      </c>
      <c r="AK658" s="662"/>
      <c r="AL658" s="662"/>
      <c r="AM658" s="662"/>
      <c r="AN658" s="662"/>
      <c r="AO658" s="663">
        <f>I658</f>
        <v>4810</v>
      </c>
      <c r="AR658" s="680"/>
      <c r="AS658" s="548"/>
      <c r="AT658" s="554">
        <f>I658</f>
        <v>4810</v>
      </c>
      <c r="AU658" s="663"/>
      <c r="AV658" s="554">
        <f>I658</f>
        <v>4810</v>
      </c>
      <c r="AW658" s="669"/>
      <c r="AX658" s="663"/>
      <c r="AY658" s="548"/>
      <c r="AZ658" s="548"/>
      <c r="BA658" s="548"/>
      <c r="BB658" s="620">
        <f>I658/24</f>
        <v>200.416666666667</v>
      </c>
      <c r="BC658" s="671"/>
      <c r="BD658" s="548"/>
      <c r="BE658" s="548"/>
      <c r="BF658" s="548"/>
      <c r="BM658" s="663">
        <f>I658/13</f>
        <v>370</v>
      </c>
      <c r="BY658" s="669"/>
      <c r="BZ658" s="548"/>
      <c r="CA658" s="672"/>
      <c r="CB658" s="567"/>
      <c r="CC658" s="673"/>
      <c r="CD658" s="669"/>
      <c r="CE658" s="669"/>
      <c r="CF658" s="548"/>
      <c r="CG658" s="548"/>
      <c r="CU658" s="554">
        <f t="shared" si="223"/>
        <v>0</v>
      </c>
      <c r="CV658" s="663">
        <f t="shared" si="215"/>
        <v>0</v>
      </c>
      <c r="CW658" s="663">
        <f t="shared" si="216"/>
        <v>0</v>
      </c>
      <c r="CX658" s="669"/>
      <c r="CY658" s="669"/>
      <c r="CZ658" s="669"/>
      <c r="DA658" s="548"/>
      <c r="DB658" s="548"/>
      <c r="DC658" s="548"/>
      <c r="DD658" s="669"/>
      <c r="DE658" s="669"/>
      <c r="DF658" s="669"/>
      <c r="DG658" s="669"/>
      <c r="DH658" s="669"/>
    </row>
    <row r="659" s="548" customFormat="1" ht="31" customHeight="1" spans="1:112">
      <c r="A659" s="660">
        <v>45941</v>
      </c>
      <c r="B659" s="661" t="s">
        <v>177</v>
      </c>
      <c r="C659" s="662" t="s">
        <v>170</v>
      </c>
      <c r="D659" s="663">
        <v>4500181466</v>
      </c>
      <c r="E659" s="662" t="s">
        <v>1977</v>
      </c>
      <c r="F659" s="663" t="s">
        <v>7630</v>
      </c>
      <c r="G659" s="662" t="s">
        <v>6084</v>
      </c>
      <c r="H659" s="662" t="s">
        <v>6069</v>
      </c>
      <c r="I659" s="662">
        <v>15000</v>
      </c>
      <c r="J659" s="662">
        <v>0</v>
      </c>
      <c r="K659" s="662">
        <v>25</v>
      </c>
      <c r="L659" s="665">
        <f t="shared" si="207"/>
        <v>600</v>
      </c>
      <c r="M659" s="666">
        <v>45941</v>
      </c>
      <c r="N659" s="666">
        <v>45937</v>
      </c>
      <c r="O659" s="664" t="s">
        <v>7631</v>
      </c>
      <c r="P659" s="664" t="s">
        <v>113</v>
      </c>
      <c r="Q659" s="662"/>
      <c r="R659" s="667" t="s">
        <v>1979</v>
      </c>
      <c r="S659" s="667" t="s">
        <v>70</v>
      </c>
      <c r="T659" s="667" t="s">
        <v>70</v>
      </c>
      <c r="U659" s="667"/>
      <c r="V659" s="667"/>
      <c r="W659" s="615"/>
      <c r="X659" s="661" t="s">
        <v>7632</v>
      </c>
      <c r="Y659" s="661" t="s">
        <v>1318</v>
      </c>
      <c r="Z659" s="675">
        <v>0.941</v>
      </c>
      <c r="AA659" s="634">
        <f t="shared" si="224"/>
        <v>14115</v>
      </c>
      <c r="AC659" s="676" t="s">
        <v>1982</v>
      </c>
      <c r="AD659" s="662" t="s">
        <v>6089</v>
      </c>
      <c r="AE659" s="662" t="s">
        <v>82</v>
      </c>
      <c r="AF659" s="662"/>
      <c r="AG659" s="662"/>
      <c r="AH659" s="662"/>
      <c r="AI659" s="662"/>
      <c r="AJ659" s="662"/>
      <c r="AK659" s="662"/>
      <c r="AL659" s="662"/>
      <c r="AM659" s="662"/>
      <c r="AN659" s="662">
        <f>I659</f>
        <v>15000</v>
      </c>
      <c r="AO659" s="663"/>
      <c r="AP659" s="548"/>
      <c r="AQ659" s="548"/>
      <c r="AR659" s="680"/>
      <c r="AS659" s="663">
        <f>I659</f>
        <v>15000</v>
      </c>
      <c r="AU659" s="554">
        <f>I659</f>
        <v>15000</v>
      </c>
      <c r="AW659" s="669"/>
      <c r="AX659" s="663"/>
      <c r="AY659" s="548"/>
      <c r="AZ659" s="548"/>
      <c r="BA659" s="548"/>
      <c r="BB659" s="670">
        <f>I659/24</f>
        <v>625</v>
      </c>
      <c r="BC659" s="671"/>
      <c r="BD659" s="548"/>
      <c r="BE659" s="548"/>
      <c r="BF659" s="548"/>
      <c r="BO659" s="663">
        <f>I659/25</f>
        <v>600</v>
      </c>
      <c r="BY659" s="669"/>
      <c r="BZ659" s="548"/>
      <c r="CA659" s="672"/>
      <c r="CB659" s="567"/>
      <c r="CC659" s="673"/>
      <c r="CD659" s="669"/>
      <c r="CE659" s="669"/>
      <c r="CF659" s="548"/>
      <c r="CG659" s="548"/>
      <c r="CU659" s="554">
        <f t="shared" si="223"/>
        <v>600</v>
      </c>
      <c r="CV659" s="663">
        <f t="shared" si="215"/>
        <v>0</v>
      </c>
      <c r="CW659" s="663">
        <f t="shared" si="216"/>
        <v>0</v>
      </c>
      <c r="CX659" s="669"/>
      <c r="CY659" s="669"/>
      <c r="CZ659" s="669"/>
      <c r="DA659" s="548"/>
      <c r="DB659" s="548"/>
      <c r="DC659" s="548"/>
      <c r="DD659" s="669"/>
      <c r="DE659" s="669"/>
      <c r="DF659" s="669"/>
      <c r="DG659" s="669"/>
      <c r="DH659" s="669"/>
    </row>
    <row r="660" s="548" customFormat="1" ht="31" customHeight="1" spans="1:112">
      <c r="A660" s="660">
        <v>45910</v>
      </c>
      <c r="B660" s="609" t="s">
        <v>3577</v>
      </c>
      <c r="C660" s="662" t="s">
        <v>170</v>
      </c>
      <c r="D660" s="663">
        <v>4500179215</v>
      </c>
      <c r="E660" s="662">
        <v>2700956545</v>
      </c>
      <c r="F660" s="663" t="s">
        <v>7633</v>
      </c>
      <c r="G660" s="662" t="s">
        <v>6084</v>
      </c>
      <c r="H660" s="662" t="s">
        <v>6069</v>
      </c>
      <c r="I660" s="662">
        <v>25000</v>
      </c>
      <c r="J660" s="662">
        <v>0</v>
      </c>
      <c r="K660" s="662">
        <v>25</v>
      </c>
      <c r="L660" s="665">
        <f t="shared" si="207"/>
        <v>1000</v>
      </c>
      <c r="M660" s="666">
        <v>45952</v>
      </c>
      <c r="N660" s="666">
        <v>45948</v>
      </c>
      <c r="O660" s="664" t="s">
        <v>7634</v>
      </c>
      <c r="P660" s="664" t="s">
        <v>113</v>
      </c>
      <c r="Q660" s="662"/>
      <c r="R660" s="667">
        <v>45910</v>
      </c>
      <c r="S660" s="667" t="s">
        <v>70</v>
      </c>
      <c r="T660" s="667" t="s">
        <v>70</v>
      </c>
      <c r="U660" s="667"/>
      <c r="V660" s="667"/>
      <c r="W660" s="615"/>
      <c r="X660" s="661" t="s">
        <v>7635</v>
      </c>
      <c r="Y660" s="661" t="s">
        <v>2071</v>
      </c>
      <c r="Z660" s="675">
        <v>0.9319</v>
      </c>
      <c r="AA660" s="634">
        <f t="shared" si="224"/>
        <v>23297.5</v>
      </c>
      <c r="AC660" s="638" t="s">
        <v>7636</v>
      </c>
      <c r="AD660" s="662" t="s">
        <v>6089</v>
      </c>
      <c r="AE660" s="662" t="s">
        <v>82</v>
      </c>
      <c r="AF660" s="662"/>
      <c r="AG660" s="662"/>
      <c r="AH660" s="662"/>
      <c r="AI660" s="662">
        <v>25000</v>
      </c>
      <c r="AJ660" s="662">
        <f t="shared" ref="AJ660:AJ665" si="225">AI660-I660</f>
        <v>0</v>
      </c>
      <c r="AK660" s="662"/>
      <c r="AL660" s="662"/>
      <c r="AM660" s="662"/>
      <c r="AN660" s="662">
        <f>I660</f>
        <v>25000</v>
      </c>
      <c r="AO660" s="663"/>
      <c r="AP660" s="548"/>
      <c r="AQ660" s="548"/>
      <c r="AR660" s="680"/>
      <c r="AS660" s="663">
        <f>I660</f>
        <v>25000</v>
      </c>
      <c r="AU660" s="554">
        <f>I660</f>
        <v>25000</v>
      </c>
      <c r="AV660" s="663"/>
      <c r="AW660" s="669"/>
      <c r="AX660" s="663"/>
      <c r="AY660" s="548"/>
      <c r="AZ660" s="548"/>
      <c r="BA660" s="548"/>
      <c r="BB660" s="670">
        <f>I660/24</f>
        <v>1041.66666666667</v>
      </c>
      <c r="BC660" s="671"/>
      <c r="BD660" s="548"/>
      <c r="BE660" s="548"/>
      <c r="BF660" s="548"/>
      <c r="BO660" s="663">
        <f>I660/25</f>
        <v>1000</v>
      </c>
      <c r="BY660" s="669"/>
      <c r="BZ660" s="548"/>
      <c r="CA660" s="672"/>
      <c r="CB660" s="567"/>
      <c r="CC660" s="673"/>
      <c r="CD660" s="669"/>
      <c r="CE660" s="669"/>
      <c r="CF660" s="548"/>
      <c r="CG660" s="548"/>
      <c r="CU660" s="554">
        <f t="shared" si="223"/>
        <v>1000</v>
      </c>
      <c r="CV660" s="663">
        <f t="shared" si="215"/>
        <v>0</v>
      </c>
      <c r="CW660" s="663">
        <f t="shared" si="216"/>
        <v>0</v>
      </c>
      <c r="CX660" s="669"/>
      <c r="CY660" s="669"/>
      <c r="CZ660" s="669"/>
      <c r="DA660" s="548"/>
      <c r="DB660" s="548"/>
      <c r="DC660" s="548"/>
      <c r="DD660" s="669"/>
      <c r="DE660" s="669"/>
      <c r="DF660" s="669"/>
      <c r="DG660" s="669"/>
      <c r="DH660" s="669"/>
    </row>
    <row r="661" s="548" customFormat="1" ht="31" customHeight="1" spans="1:112">
      <c r="A661" s="660">
        <v>45911</v>
      </c>
      <c r="B661" s="661" t="s">
        <v>1544</v>
      </c>
      <c r="C661" s="662" t="s">
        <v>257</v>
      </c>
      <c r="D661" s="663">
        <v>4500179307</v>
      </c>
      <c r="E661" s="662" t="s">
        <v>7637</v>
      </c>
      <c r="F661" s="663" t="s">
        <v>7638</v>
      </c>
      <c r="G661" s="662" t="s">
        <v>6047</v>
      </c>
      <c r="H661" s="662" t="s">
        <v>6069</v>
      </c>
      <c r="I661" s="662">
        <v>5000</v>
      </c>
      <c r="J661" s="662">
        <v>0</v>
      </c>
      <c r="K661" s="662">
        <v>25</v>
      </c>
      <c r="L661" s="665">
        <f t="shared" si="207"/>
        <v>200</v>
      </c>
      <c r="M661" s="666">
        <v>45954</v>
      </c>
      <c r="N661" s="666">
        <v>45950</v>
      </c>
      <c r="O661" s="664"/>
      <c r="P661" s="664" t="s">
        <v>113</v>
      </c>
      <c r="Q661" s="662"/>
      <c r="R661" s="667">
        <v>45911</v>
      </c>
      <c r="S661" s="667" t="s">
        <v>70</v>
      </c>
      <c r="T661" s="667" t="s">
        <v>7571</v>
      </c>
      <c r="U661" s="667"/>
      <c r="V661" s="667"/>
      <c r="W661" s="615"/>
      <c r="X661" s="661" t="s">
        <v>7639</v>
      </c>
      <c r="Y661" s="661" t="s">
        <v>1549</v>
      </c>
      <c r="Z661" s="661">
        <v>0.9365</v>
      </c>
      <c r="AA661" s="634">
        <f t="shared" si="224"/>
        <v>4682.5</v>
      </c>
      <c r="AC661" s="676" t="s">
        <v>7640</v>
      </c>
      <c r="AD661" s="662" t="s">
        <v>6073</v>
      </c>
      <c r="AE661" s="662" t="s">
        <v>82</v>
      </c>
      <c r="AF661" s="662"/>
      <c r="AG661" s="662"/>
      <c r="AH661" s="662"/>
      <c r="AI661" s="662">
        <v>5000</v>
      </c>
      <c r="AJ661" s="662">
        <f t="shared" si="225"/>
        <v>0</v>
      </c>
      <c r="AK661" s="662"/>
      <c r="AL661" s="662"/>
      <c r="AM661" s="662"/>
      <c r="AN661" s="662"/>
      <c r="AO661" s="663">
        <f>I661</f>
        <v>5000</v>
      </c>
      <c r="AR661" s="680"/>
      <c r="AS661" s="548"/>
      <c r="AT661" s="548"/>
      <c r="AU661" s="663"/>
      <c r="AV661" s="554">
        <f>I661</f>
        <v>5000</v>
      </c>
      <c r="AW661" s="669"/>
      <c r="AX661" s="663"/>
      <c r="AY661" s="548"/>
      <c r="AZ661" s="548"/>
      <c r="BA661" s="548"/>
      <c r="BB661" s="670">
        <f>I661/24*2</f>
        <v>416.666666666667</v>
      </c>
      <c r="BC661" s="671"/>
      <c r="BD661" s="548"/>
      <c r="BE661" s="663">
        <f>I661</f>
        <v>5000</v>
      </c>
      <c r="BP661" s="663">
        <f>I661/25</f>
        <v>200</v>
      </c>
      <c r="BY661" s="669"/>
      <c r="BZ661" s="548"/>
      <c r="CA661" s="672"/>
      <c r="CB661" s="567"/>
      <c r="CC661" s="673"/>
      <c r="CD661" s="669"/>
      <c r="CE661" s="669"/>
      <c r="CF661" s="548"/>
      <c r="CG661" s="548"/>
      <c r="CU661" s="554">
        <f t="shared" si="223"/>
        <v>200</v>
      </c>
      <c r="CV661" s="663">
        <f t="shared" si="215"/>
        <v>0</v>
      </c>
      <c r="CW661" s="663">
        <f t="shared" si="216"/>
        <v>0</v>
      </c>
      <c r="CX661" s="669"/>
      <c r="CY661" s="669"/>
      <c r="CZ661" s="669"/>
      <c r="DA661" s="548"/>
      <c r="DB661" s="548"/>
      <c r="DC661" s="548"/>
      <c r="DD661" s="669"/>
      <c r="DE661" s="669"/>
      <c r="DF661" s="669"/>
      <c r="DG661" s="669"/>
      <c r="DH661" s="669"/>
    </row>
    <row r="662" s="548" customFormat="1" ht="31" customHeight="1" spans="1:112">
      <c r="A662" s="660">
        <v>45912</v>
      </c>
      <c r="B662" s="661" t="s">
        <v>404</v>
      </c>
      <c r="C662" s="662" t="s">
        <v>278</v>
      </c>
      <c r="D662" s="663">
        <v>4500179432</v>
      </c>
      <c r="E662" s="662">
        <v>122991</v>
      </c>
      <c r="F662" s="663" t="s">
        <v>7641</v>
      </c>
      <c r="G662" s="662" t="s">
        <v>6025</v>
      </c>
      <c r="H662" s="662" t="s">
        <v>6026</v>
      </c>
      <c r="I662" s="662">
        <v>504</v>
      </c>
      <c r="J662" s="662">
        <v>0</v>
      </c>
      <c r="K662" s="662">
        <v>24</v>
      </c>
      <c r="L662" s="665">
        <f t="shared" si="207"/>
        <v>21</v>
      </c>
      <c r="M662" s="666">
        <v>45954</v>
      </c>
      <c r="N662" s="666">
        <v>45950</v>
      </c>
      <c r="O662" s="664"/>
      <c r="P662" s="664" t="s">
        <v>113</v>
      </c>
      <c r="Q662" s="662" t="s">
        <v>7642</v>
      </c>
      <c r="R662" s="667">
        <v>45912</v>
      </c>
      <c r="S662" s="667" t="s">
        <v>70</v>
      </c>
      <c r="T662" s="667" t="s">
        <v>3089</v>
      </c>
      <c r="U662" s="667"/>
      <c r="V662" s="667"/>
      <c r="W662" s="615"/>
      <c r="X662" s="661" t="s">
        <v>7643</v>
      </c>
      <c r="Y662" s="661" t="s">
        <v>505</v>
      </c>
      <c r="Z662" s="661">
        <v>0.901</v>
      </c>
      <c r="AA662" s="634">
        <f t="shared" si="224"/>
        <v>454.104</v>
      </c>
      <c r="AC662" s="676" t="s">
        <v>7644</v>
      </c>
      <c r="AD662" s="662" t="s">
        <v>6025</v>
      </c>
      <c r="AE662" s="662" t="s">
        <v>82</v>
      </c>
      <c r="AF662" s="662"/>
      <c r="AG662" s="662"/>
      <c r="AH662" s="662"/>
      <c r="AI662" s="662">
        <v>504</v>
      </c>
      <c r="AJ662" s="662">
        <f t="shared" si="225"/>
        <v>0</v>
      </c>
      <c r="AK662" s="662"/>
      <c r="AL662" s="662"/>
      <c r="AM662" s="662"/>
      <c r="AN662" s="662"/>
      <c r="AO662" s="671">
        <f>I662</f>
        <v>504</v>
      </c>
      <c r="AR662" s="680"/>
      <c r="AS662" s="548"/>
      <c r="AT662" s="554">
        <f>I662</f>
        <v>504</v>
      </c>
      <c r="AU662" s="663"/>
      <c r="AV662" s="554">
        <f>I662</f>
        <v>504</v>
      </c>
      <c r="AW662" s="669"/>
      <c r="AX662" s="663"/>
      <c r="AY662" s="548"/>
      <c r="AZ662" s="548"/>
      <c r="BA662" s="548"/>
      <c r="BB662" s="620">
        <f>I662/24</f>
        <v>21</v>
      </c>
      <c r="BC662" s="671"/>
      <c r="BD662" s="548"/>
      <c r="BE662" s="548"/>
      <c r="BF662" s="548"/>
      <c r="BY662" s="669"/>
      <c r="BZ662" s="548"/>
      <c r="CA662" s="672"/>
      <c r="CB662" s="567"/>
      <c r="CC662" s="673"/>
      <c r="CD662" s="669"/>
      <c r="CE662" s="669"/>
      <c r="CF662" s="548"/>
      <c r="CG662" s="548"/>
      <c r="CU662" s="554">
        <f t="shared" si="223"/>
        <v>0</v>
      </c>
      <c r="CV662" s="663">
        <f t="shared" si="215"/>
        <v>0</v>
      </c>
      <c r="CW662" s="663">
        <f t="shared" si="216"/>
        <v>0</v>
      </c>
      <c r="CX662" s="669"/>
      <c r="CY662" s="669"/>
      <c r="CZ662" s="669"/>
      <c r="DA662" s="548"/>
      <c r="DB662" s="548"/>
      <c r="DC662" s="548"/>
      <c r="DD662" s="669"/>
      <c r="DE662" s="669"/>
      <c r="DF662" s="669"/>
      <c r="DG662" s="669"/>
      <c r="DH662" s="669"/>
    </row>
    <row r="663" s="548" customFormat="1" ht="31" customHeight="1" spans="1:112">
      <c r="A663" s="660">
        <v>45916</v>
      </c>
      <c r="B663" s="661" t="s">
        <v>7645</v>
      </c>
      <c r="C663" s="662" t="s">
        <v>98</v>
      </c>
      <c r="D663" s="663">
        <v>4500179630</v>
      </c>
      <c r="E663" s="664">
        <v>457724</v>
      </c>
      <c r="F663" s="663" t="s">
        <v>7646</v>
      </c>
      <c r="G663" s="662" t="s">
        <v>6032</v>
      </c>
      <c r="H663" s="662" t="s">
        <v>6033</v>
      </c>
      <c r="I663" s="662">
        <v>832</v>
      </c>
      <c r="J663" s="662">
        <v>0</v>
      </c>
      <c r="K663" s="662">
        <v>52</v>
      </c>
      <c r="L663" s="665">
        <f t="shared" si="207"/>
        <v>16</v>
      </c>
      <c r="M663" s="666">
        <v>45954</v>
      </c>
      <c r="N663" s="666">
        <v>45950</v>
      </c>
      <c r="O663" s="664"/>
      <c r="P663" s="664" t="s">
        <v>113</v>
      </c>
      <c r="Q663" s="662"/>
      <c r="R663" s="667">
        <v>916</v>
      </c>
      <c r="S663" s="667" t="s">
        <v>70</v>
      </c>
      <c r="T663" s="667" t="s">
        <v>7647</v>
      </c>
      <c r="U663" s="667"/>
      <c r="V663" s="667"/>
      <c r="W663" s="615"/>
      <c r="X663" s="661" t="s">
        <v>7648</v>
      </c>
      <c r="Y663" s="661" t="s">
        <v>819</v>
      </c>
      <c r="Z663" s="675">
        <v>0.5567</v>
      </c>
      <c r="AA663" s="634">
        <f t="shared" si="224"/>
        <v>463.1744</v>
      </c>
      <c r="AC663" s="638" t="s">
        <v>7649</v>
      </c>
      <c r="AD663" s="662" t="s">
        <v>6032</v>
      </c>
      <c r="AE663" s="662" t="s">
        <v>82</v>
      </c>
      <c r="AF663" s="662"/>
      <c r="AG663" s="662"/>
      <c r="AH663" s="662"/>
      <c r="AI663" s="662">
        <v>832</v>
      </c>
      <c r="AJ663" s="662">
        <f t="shared" si="225"/>
        <v>0</v>
      </c>
      <c r="AK663" s="662"/>
      <c r="AL663" s="662"/>
      <c r="AM663" s="662"/>
      <c r="AN663" s="662">
        <f>I663</f>
        <v>832</v>
      </c>
      <c r="AO663" s="671"/>
      <c r="AP663" s="554">
        <f>I663</f>
        <v>832</v>
      </c>
      <c r="AR663" s="680"/>
      <c r="AS663" s="548"/>
      <c r="AT663" s="548"/>
      <c r="AU663" s="554">
        <f>I663</f>
        <v>832</v>
      </c>
      <c r="AW663" s="669"/>
      <c r="AX663" s="663"/>
      <c r="AY663" s="548"/>
      <c r="AZ663" s="548"/>
      <c r="BA663" s="548"/>
      <c r="BB663" s="670">
        <f>I663/24</f>
        <v>34.6666666666667</v>
      </c>
      <c r="BC663" s="671"/>
      <c r="BD663" s="548"/>
      <c r="BE663" s="548"/>
      <c r="BF663" s="548"/>
      <c r="BK663" s="663">
        <f>I663/13</f>
        <v>64</v>
      </c>
      <c r="BY663" s="669"/>
      <c r="BZ663" s="548"/>
      <c r="CA663" s="672"/>
      <c r="CB663" s="567"/>
      <c r="CC663" s="673"/>
      <c r="CD663" s="669"/>
      <c r="CE663" s="669"/>
      <c r="CF663" s="548"/>
      <c r="CG663" s="548"/>
      <c r="CU663" s="554">
        <f t="shared" si="223"/>
        <v>0</v>
      </c>
      <c r="CV663" s="663">
        <f t="shared" si="215"/>
        <v>0</v>
      </c>
      <c r="CW663" s="663">
        <f t="shared" si="216"/>
        <v>0</v>
      </c>
      <c r="CX663" s="669"/>
      <c r="CY663" s="669"/>
      <c r="CZ663" s="669"/>
      <c r="DA663" s="548"/>
      <c r="DB663" s="548"/>
      <c r="DC663" s="548"/>
      <c r="DD663" s="669"/>
      <c r="DE663" s="669"/>
      <c r="DF663" s="669"/>
      <c r="DG663" s="669"/>
      <c r="DH663" s="669"/>
    </row>
    <row r="664" s="548" customFormat="1" ht="31" customHeight="1" spans="1:112">
      <c r="A664" s="660">
        <v>45881</v>
      </c>
      <c r="B664" s="661"/>
      <c r="C664" s="662"/>
      <c r="D664" s="663" t="s">
        <v>7650</v>
      </c>
      <c r="E664" s="662"/>
      <c r="F664" s="548"/>
      <c r="G664" s="662" t="s">
        <v>6020</v>
      </c>
      <c r="H664" s="662" t="s">
        <v>6021</v>
      </c>
      <c r="I664" s="662" t="s">
        <v>7651</v>
      </c>
      <c r="J664" s="662"/>
      <c r="K664" s="662"/>
      <c r="L664" s="665"/>
      <c r="M664" s="666">
        <v>45902</v>
      </c>
      <c r="N664" s="666">
        <f>M664-4</f>
        <v>45898</v>
      </c>
      <c r="O664" s="664"/>
      <c r="P664" s="664"/>
      <c r="Q664" s="662"/>
      <c r="R664" s="674">
        <v>45881</v>
      </c>
      <c r="S664" s="667"/>
      <c r="T664" s="667" t="s">
        <v>70</v>
      </c>
      <c r="U664" s="667"/>
      <c r="V664" s="667"/>
      <c r="W664" s="615"/>
      <c r="X664" s="661" t="s">
        <v>7652</v>
      </c>
      <c r="Y664" s="661" t="s">
        <v>92</v>
      </c>
      <c r="Z664" s="675"/>
      <c r="AA664" s="634"/>
      <c r="AC664" s="638" t="s">
        <v>7653</v>
      </c>
      <c r="AD664" s="662" t="s">
        <v>73</v>
      </c>
      <c r="AE664" s="662" t="s">
        <v>73</v>
      </c>
      <c r="AF664" s="662"/>
      <c r="AG664" s="662"/>
      <c r="AH664" s="662"/>
      <c r="AI664" s="662">
        <v>50</v>
      </c>
      <c r="AJ664" s="662" t="e">
        <f t="shared" si="225"/>
        <v>#VALUE!</v>
      </c>
      <c r="AK664" s="662"/>
      <c r="AL664" s="662"/>
      <c r="AM664" s="662"/>
      <c r="AN664" s="662"/>
      <c r="AO664" s="663"/>
      <c r="AP664" s="548"/>
      <c r="AQ664" s="548"/>
      <c r="AR664" s="680"/>
      <c r="AS664" s="548"/>
      <c r="AT664" s="548"/>
      <c r="AU664" s="663"/>
      <c r="AV664" s="663"/>
      <c r="AW664" s="669"/>
      <c r="AX664" s="663"/>
      <c r="AY664" s="548"/>
      <c r="AZ664" s="663"/>
      <c r="BA664" s="663"/>
      <c r="BB664" s="670"/>
      <c r="BC664" s="671"/>
      <c r="BD664" s="548"/>
      <c r="BE664" s="548"/>
      <c r="BF664" s="548"/>
      <c r="BY664" s="669"/>
      <c r="BZ664" s="548"/>
      <c r="CA664" s="672"/>
      <c r="CB664" s="567"/>
      <c r="CC664" s="673"/>
      <c r="CD664" s="669"/>
      <c r="CE664" s="669"/>
      <c r="CF664" s="548"/>
      <c r="CG664" s="548"/>
      <c r="CU664" s="554">
        <f t="shared" si="223"/>
        <v>0</v>
      </c>
      <c r="CV664" s="663">
        <f t="shared" si="215"/>
        <v>0</v>
      </c>
      <c r="CW664" s="663">
        <f t="shared" si="216"/>
        <v>0</v>
      </c>
      <c r="CX664" s="669"/>
      <c r="CY664" s="669"/>
      <c r="CZ664" s="669"/>
      <c r="DA664" s="548"/>
      <c r="DB664" s="548"/>
      <c r="DC664" s="548"/>
      <c r="DD664" s="669"/>
      <c r="DE664" s="669"/>
      <c r="DF664" s="669"/>
      <c r="DG664" s="669"/>
      <c r="DH664" s="669"/>
    </row>
    <row r="665" s="548" customFormat="1" ht="31" customHeight="1" spans="1:112">
      <c r="A665" s="660">
        <v>45881</v>
      </c>
      <c r="B665" s="661"/>
      <c r="C665" s="662"/>
      <c r="D665" s="663" t="s">
        <v>7650</v>
      </c>
      <c r="E665" s="662"/>
      <c r="F665" s="548"/>
      <c r="G665" s="662" t="s">
        <v>6025</v>
      </c>
      <c r="H665" s="662" t="s">
        <v>6026</v>
      </c>
      <c r="I665" s="662" t="s">
        <v>7651</v>
      </c>
      <c r="J665" s="662">
        <v>0</v>
      </c>
      <c r="K665" s="662">
        <v>24</v>
      </c>
      <c r="L665" s="665" t="e">
        <f t="shared" si="207"/>
        <v>#VALUE!</v>
      </c>
      <c r="M665" s="666">
        <v>45902</v>
      </c>
      <c r="N665" s="666">
        <f>M665-4</f>
        <v>45898</v>
      </c>
      <c r="O665" s="664"/>
      <c r="P665" s="664"/>
      <c r="Q665" s="662"/>
      <c r="R665" s="674">
        <v>45881</v>
      </c>
      <c r="S665" s="667" t="s">
        <v>70</v>
      </c>
      <c r="T665" s="667" t="s">
        <v>70</v>
      </c>
      <c r="U665" s="667"/>
      <c r="V665" s="667"/>
      <c r="W665" s="615"/>
      <c r="X665" s="661" t="s">
        <v>7654</v>
      </c>
      <c r="Y665" s="661" t="s">
        <v>92</v>
      </c>
      <c r="Z665" s="675"/>
      <c r="AA665" s="634"/>
      <c r="AC665" s="638" t="s">
        <v>7653</v>
      </c>
      <c r="AD665" s="662" t="s">
        <v>73</v>
      </c>
      <c r="AE665" s="662" t="s">
        <v>73</v>
      </c>
      <c r="AF665" s="662"/>
      <c r="AG665" s="662"/>
      <c r="AH665" s="662"/>
      <c r="AI665" s="662">
        <v>50</v>
      </c>
      <c r="AJ665" s="662" t="e">
        <f t="shared" si="225"/>
        <v>#VALUE!</v>
      </c>
      <c r="AK665" s="662"/>
      <c r="AL665" s="662"/>
      <c r="AM665" s="662"/>
      <c r="AN665" s="662"/>
      <c r="AO665" s="663"/>
      <c r="AP665" s="548"/>
      <c r="AQ665" s="548"/>
      <c r="AR665" s="680"/>
      <c r="AS665" s="548"/>
      <c r="AT665" s="548"/>
      <c r="AU665" s="663"/>
      <c r="AV665" s="663"/>
      <c r="AW665" s="669"/>
      <c r="AX665" s="663"/>
      <c r="AY665" s="548"/>
      <c r="AZ665" s="663"/>
      <c r="BA665" s="663"/>
      <c r="BB665" s="670"/>
      <c r="BC665" s="671"/>
      <c r="BD665" s="548"/>
      <c r="BE665" s="548"/>
      <c r="BF665" s="548"/>
      <c r="BY665" s="669"/>
      <c r="BZ665" s="548"/>
      <c r="CA665" s="672"/>
      <c r="CB665" s="567"/>
      <c r="CC665" s="673"/>
      <c r="CD665" s="669"/>
      <c r="CE665" s="669"/>
      <c r="CF665" s="548"/>
      <c r="CG665" s="548"/>
      <c r="CU665" s="554">
        <f t="shared" si="223"/>
        <v>0</v>
      </c>
      <c r="CV665" s="663">
        <f t="shared" si="215"/>
        <v>0</v>
      </c>
      <c r="CW665" s="663">
        <f t="shared" si="216"/>
        <v>0</v>
      </c>
      <c r="CX665" s="669"/>
      <c r="CY665" s="669"/>
      <c r="CZ665" s="669"/>
      <c r="DA665" s="548"/>
      <c r="DB665" s="548"/>
      <c r="DC665" s="548"/>
      <c r="DD665" s="669"/>
      <c r="DE665" s="669"/>
      <c r="DF665" s="669"/>
      <c r="DG665" s="669"/>
      <c r="DH665" s="669"/>
    </row>
    <row r="666" s="548" customFormat="1" ht="31" customHeight="1" spans="1:112">
      <c r="A666" s="660">
        <v>45903</v>
      </c>
      <c r="B666" s="661"/>
      <c r="C666" s="662"/>
      <c r="D666" s="663" t="s">
        <v>7655</v>
      </c>
      <c r="E666" s="664"/>
      <c r="F666" s="548"/>
      <c r="G666" s="662" t="s">
        <v>6020</v>
      </c>
      <c r="H666" s="662" t="s">
        <v>6021</v>
      </c>
      <c r="I666" s="662" t="s">
        <v>7656</v>
      </c>
      <c r="J666" s="662"/>
      <c r="K666" s="662"/>
      <c r="L666" s="665"/>
      <c r="M666" s="666">
        <v>45910</v>
      </c>
      <c r="N666" s="666">
        <v>45906</v>
      </c>
      <c r="O666" s="664"/>
      <c r="P666" s="664"/>
      <c r="Q666" s="662"/>
      <c r="R666" s="667">
        <v>45903</v>
      </c>
      <c r="S666" s="667" t="s">
        <v>70</v>
      </c>
      <c r="T666" s="667" t="s">
        <v>70</v>
      </c>
      <c r="U666" s="667"/>
      <c r="V666" s="667"/>
      <c r="W666" s="615"/>
      <c r="X666" s="661" t="s">
        <v>7657</v>
      </c>
      <c r="Y666" s="661" t="s">
        <v>92</v>
      </c>
      <c r="Z666" s="675"/>
      <c r="AA666" s="634"/>
      <c r="AC666" s="638" t="s">
        <v>7658</v>
      </c>
      <c r="AD666" s="662" t="s">
        <v>73</v>
      </c>
      <c r="AE666" s="662" t="s">
        <v>73</v>
      </c>
      <c r="AF666" s="662"/>
      <c r="AG666" s="662"/>
      <c r="AH666" s="662"/>
      <c r="AI666" s="662">
        <v>50</v>
      </c>
      <c r="AJ666" s="662">
        <v>0</v>
      </c>
      <c r="AK666" s="662"/>
      <c r="AL666" s="662"/>
      <c r="AM666" s="662"/>
      <c r="AN666" s="662"/>
      <c r="AO666" s="663"/>
      <c r="AP666" s="548"/>
      <c r="AQ666" s="548"/>
      <c r="AR666" s="669"/>
      <c r="AS666" s="548"/>
      <c r="AT666" s="548"/>
      <c r="AU666" s="663"/>
      <c r="AV666" s="663"/>
      <c r="AW666" s="669"/>
      <c r="AX666" s="663"/>
      <c r="AY666" s="548"/>
      <c r="AZ666" s="663"/>
      <c r="BA666" s="663"/>
      <c r="BB666" s="670"/>
      <c r="BC666" s="671"/>
      <c r="BD666" s="548"/>
      <c r="BE666" s="548"/>
      <c r="BF666" s="548"/>
      <c r="BY666" s="669"/>
      <c r="BZ666" s="548"/>
      <c r="CA666" s="672"/>
      <c r="CB666" s="567"/>
      <c r="CC666" s="673"/>
      <c r="CD666" s="669"/>
      <c r="CE666" s="669"/>
      <c r="CF666" s="548"/>
      <c r="CG666" s="548"/>
      <c r="CU666" s="554">
        <f t="shared" si="223"/>
        <v>0</v>
      </c>
      <c r="CV666" s="663">
        <f t="shared" si="215"/>
        <v>0</v>
      </c>
      <c r="CW666" s="663">
        <f t="shared" si="216"/>
        <v>0</v>
      </c>
      <c r="CX666" s="669"/>
      <c r="CY666" s="669"/>
      <c r="CZ666" s="669"/>
      <c r="DA666" s="548"/>
      <c r="DB666" s="548"/>
      <c r="DC666" s="548"/>
      <c r="DD666" s="669"/>
      <c r="DE666" s="669"/>
      <c r="DF666" s="669"/>
      <c r="DG666" s="669"/>
      <c r="DH666" s="669"/>
    </row>
    <row r="667" s="548" customFormat="1" ht="31" customHeight="1" spans="1:112">
      <c r="A667" s="660">
        <v>45915</v>
      </c>
      <c r="B667" s="661"/>
      <c r="C667" s="662"/>
      <c r="D667" s="663" t="s">
        <v>2130</v>
      </c>
      <c r="E667" s="662"/>
      <c r="F667" s="548"/>
      <c r="G667" s="662" t="s">
        <v>6360</v>
      </c>
      <c r="H667" s="662" t="s">
        <v>477</v>
      </c>
      <c r="I667" s="662">
        <v>60</v>
      </c>
      <c r="J667" s="662">
        <v>0</v>
      </c>
      <c r="K667" s="662">
        <v>6</v>
      </c>
      <c r="L667" s="665">
        <f t="shared" si="207"/>
        <v>10</v>
      </c>
      <c r="M667" s="666">
        <v>45929</v>
      </c>
      <c r="N667" s="666">
        <v>45925</v>
      </c>
      <c r="O667" s="664"/>
      <c r="P667" s="664"/>
      <c r="Q667" s="662"/>
      <c r="R667" s="667">
        <v>45915</v>
      </c>
      <c r="S667" s="667" t="s">
        <v>70</v>
      </c>
      <c r="T667" s="667" t="s">
        <v>70</v>
      </c>
      <c r="U667" s="667"/>
      <c r="V667" s="667"/>
      <c r="W667" s="615"/>
      <c r="X667" s="661" t="s">
        <v>478</v>
      </c>
      <c r="Y667" s="661" t="s">
        <v>92</v>
      </c>
      <c r="Z667" s="661"/>
      <c r="AA667" s="634"/>
      <c r="AC667" s="676" t="s">
        <v>2131</v>
      </c>
      <c r="AD667" s="662" t="s">
        <v>480</v>
      </c>
      <c r="AE667" s="662" t="s">
        <v>82</v>
      </c>
      <c r="AF667" s="662"/>
      <c r="AG667" s="662"/>
      <c r="AH667" s="662"/>
      <c r="AI667" s="662"/>
      <c r="AJ667" s="662">
        <f>AI667-I667</f>
        <v>-60</v>
      </c>
      <c r="AK667" s="662"/>
      <c r="AL667" s="662"/>
      <c r="AM667" s="662"/>
      <c r="AN667" s="662"/>
      <c r="AO667" s="554">
        <f>I667*2</f>
        <v>120</v>
      </c>
      <c r="AR667" s="669"/>
      <c r="AS667" s="548"/>
      <c r="AT667" s="554">
        <f>I667*2</f>
        <v>120</v>
      </c>
      <c r="AU667" s="663"/>
      <c r="AV667" s="554">
        <f>I667*2</f>
        <v>120</v>
      </c>
      <c r="AW667" s="669"/>
      <c r="AX667" s="663"/>
      <c r="AY667" s="548"/>
      <c r="AZ667" s="548"/>
      <c r="BA667" s="548"/>
      <c r="BB667" s="620">
        <f>I667/24*2</f>
        <v>5</v>
      </c>
      <c r="BC667" s="671"/>
      <c r="BD667" s="548"/>
      <c r="BE667" s="548"/>
      <c r="BF667" s="548"/>
      <c r="BY667" s="619"/>
      <c r="BZ667" s="554">
        <f>I667</f>
        <v>60</v>
      </c>
      <c r="CA667" s="672"/>
      <c r="CB667" s="567"/>
      <c r="CC667" s="673"/>
      <c r="CD667" s="669"/>
      <c r="CE667" s="669"/>
      <c r="CF667" s="548"/>
      <c r="CG667" s="548"/>
      <c r="CU667" s="554">
        <f t="shared" si="223"/>
        <v>0</v>
      </c>
      <c r="CV667" s="663">
        <f t="shared" si="215"/>
        <v>0</v>
      </c>
      <c r="CW667" s="663">
        <f t="shared" si="216"/>
        <v>0</v>
      </c>
      <c r="CX667" s="669"/>
      <c r="CY667" s="669"/>
      <c r="CZ667" s="669"/>
      <c r="DA667" s="548"/>
      <c r="DB667" s="548"/>
      <c r="DC667" s="548"/>
      <c r="DD667" s="669"/>
      <c r="DE667" s="669"/>
      <c r="DF667" s="669"/>
      <c r="DG667" s="669"/>
      <c r="DH667" s="669"/>
    </row>
    <row r="668" s="548" customFormat="1" ht="31" customHeight="1" spans="1:112">
      <c r="A668" s="660">
        <v>45925</v>
      </c>
      <c r="B668" s="661"/>
      <c r="C668" s="662"/>
      <c r="D668" s="663" t="s">
        <v>7659</v>
      </c>
      <c r="E668" s="662"/>
      <c r="F668" s="548"/>
      <c r="G668" s="662" t="s">
        <v>6276</v>
      </c>
      <c r="H668" s="662" t="s">
        <v>6277</v>
      </c>
      <c r="I668" s="662">
        <v>50</v>
      </c>
      <c r="J668" s="662">
        <v>0</v>
      </c>
      <c r="K668" s="662">
        <v>50</v>
      </c>
      <c r="L668" s="665">
        <f t="shared" si="207"/>
        <v>1</v>
      </c>
      <c r="M668" s="666">
        <v>45929</v>
      </c>
      <c r="N668" s="666">
        <v>45925</v>
      </c>
      <c r="O668" s="664"/>
      <c r="P668" s="664"/>
      <c r="Q668" s="662"/>
      <c r="R668" s="667"/>
      <c r="S668" s="667"/>
      <c r="T668" s="667"/>
      <c r="U668" s="667"/>
      <c r="V668" s="667"/>
      <c r="W668" s="615"/>
      <c r="X668" s="661" t="s">
        <v>7660</v>
      </c>
      <c r="Y668" s="661" t="s">
        <v>92</v>
      </c>
      <c r="Z668" s="661"/>
      <c r="AA668" s="634"/>
      <c r="AC668" s="676" t="s">
        <v>7661</v>
      </c>
      <c r="AD668" s="662" t="s">
        <v>6276</v>
      </c>
      <c r="AE668" s="662" t="s">
        <v>82</v>
      </c>
      <c r="AF668" s="662"/>
      <c r="AG668" s="662"/>
      <c r="AH668" s="662"/>
      <c r="AI668" s="662">
        <v>50</v>
      </c>
      <c r="AJ668" s="662">
        <f>AI668-I668</f>
        <v>0</v>
      </c>
      <c r="AK668" s="662"/>
      <c r="AL668" s="662"/>
      <c r="AM668" s="662"/>
      <c r="AN668" s="662"/>
      <c r="AO668" s="663">
        <f t="shared" ref="AO668:AO674" si="226">I668</f>
        <v>50</v>
      </c>
      <c r="AR668" s="669"/>
      <c r="AS668" s="548"/>
      <c r="AT668" s="548"/>
      <c r="AU668" s="663"/>
      <c r="AV668" s="548"/>
      <c r="AW668" s="669"/>
      <c r="AX668" s="663"/>
      <c r="AY668" s="548"/>
      <c r="AZ668" s="548"/>
      <c r="BA668" s="548"/>
      <c r="BB668" s="686">
        <f>I668/24*2</f>
        <v>4.16666666666667</v>
      </c>
      <c r="BC668" s="671"/>
      <c r="BD668" s="548"/>
      <c r="BE668" s="548"/>
      <c r="BF668" s="548"/>
      <c r="BV668" s="663">
        <f>I668</f>
        <v>50</v>
      </c>
      <c r="BW668" s="663">
        <f>I668</f>
        <v>50</v>
      </c>
      <c r="BX668" s="554">
        <f>I668/25</f>
        <v>2</v>
      </c>
      <c r="BY668" s="669"/>
      <c r="BZ668" s="548"/>
      <c r="CA668" s="672"/>
      <c r="CB668" s="567"/>
      <c r="CC668" s="673"/>
      <c r="CD668" s="669"/>
      <c r="CE668" s="669"/>
      <c r="CF668" s="548"/>
      <c r="CG668" s="548"/>
      <c r="CU668" s="554">
        <f t="shared" si="223"/>
        <v>2</v>
      </c>
      <c r="CV668" s="663">
        <f t="shared" si="215"/>
        <v>0</v>
      </c>
      <c r="CW668" s="663">
        <f t="shared" si="216"/>
        <v>0</v>
      </c>
      <c r="CX668" s="669"/>
      <c r="CY668" s="669"/>
      <c r="CZ668" s="669"/>
      <c r="DA668" s="548"/>
      <c r="DB668" s="548"/>
      <c r="DC668" s="548"/>
      <c r="DD668" s="669"/>
      <c r="DE668" s="669"/>
      <c r="DF668" s="669"/>
      <c r="DG668" s="669"/>
      <c r="DH668" s="669"/>
    </row>
    <row r="669" s="548" customFormat="1" ht="31" customHeight="1" spans="1:112">
      <c r="A669" s="660">
        <v>45875</v>
      </c>
      <c r="B669" s="661" t="s">
        <v>7662</v>
      </c>
      <c r="C669" s="662"/>
      <c r="D669" s="663" t="s">
        <v>7663</v>
      </c>
      <c r="E669" s="662"/>
      <c r="F669" s="548"/>
      <c r="G669" s="662" t="s">
        <v>6093</v>
      </c>
      <c r="H669" s="662" t="s">
        <v>6094</v>
      </c>
      <c r="I669" s="662">
        <v>4758</v>
      </c>
      <c r="J669" s="662">
        <v>0</v>
      </c>
      <c r="K669" s="662">
        <v>13</v>
      </c>
      <c r="L669" s="665">
        <f t="shared" si="207"/>
        <v>366</v>
      </c>
      <c r="M669" s="666">
        <v>45953</v>
      </c>
      <c r="N669" s="666">
        <v>45950</v>
      </c>
      <c r="O669" s="664"/>
      <c r="P669" s="664"/>
      <c r="Q669" s="662"/>
      <c r="R669" s="667" t="s">
        <v>7664</v>
      </c>
      <c r="S669" s="667" t="s">
        <v>70</v>
      </c>
      <c r="T669" s="667">
        <v>45903</v>
      </c>
      <c r="U669" s="667"/>
      <c r="V669" s="667"/>
      <c r="W669" s="615"/>
      <c r="X669" s="661" t="s">
        <v>7665</v>
      </c>
      <c r="Y669" s="661" t="s">
        <v>7666</v>
      </c>
      <c r="Z669" s="661">
        <v>0.87</v>
      </c>
      <c r="AA669" s="634">
        <f t="shared" ref="AA669:AA674" si="227">Z669*I669</f>
        <v>4139.46</v>
      </c>
      <c r="AC669" s="638" t="s">
        <v>7667</v>
      </c>
      <c r="AD669" s="662" t="s">
        <v>6040</v>
      </c>
      <c r="AE669" s="662" t="s">
        <v>82</v>
      </c>
      <c r="AF669" s="662"/>
      <c r="AG669" s="662"/>
      <c r="AH669" s="662"/>
      <c r="AI669" s="662">
        <v>4758</v>
      </c>
      <c r="AJ669" s="662">
        <f>AI669-I669</f>
        <v>0</v>
      </c>
      <c r="AK669" s="662"/>
      <c r="AL669" s="662"/>
      <c r="AM669" s="662"/>
      <c r="AN669" s="662"/>
      <c r="AO669" s="663">
        <f t="shared" si="226"/>
        <v>4758</v>
      </c>
      <c r="AR669" s="669"/>
      <c r="AS669" s="548"/>
      <c r="AT669" s="554">
        <f t="shared" ref="AT669:AT674" si="228">I669</f>
        <v>4758</v>
      </c>
      <c r="AU669" s="663"/>
      <c r="AV669" s="554">
        <f t="shared" ref="AV669:AV674" si="229">I669</f>
        <v>4758</v>
      </c>
      <c r="AW669" s="669"/>
      <c r="AX669" s="663"/>
      <c r="AY669" s="548"/>
      <c r="AZ669" s="548"/>
      <c r="BA669" s="548"/>
      <c r="BB669" s="620">
        <f t="shared" ref="BB669:BB675" si="230">I669/24</f>
        <v>198.25</v>
      </c>
      <c r="BC669" s="671"/>
      <c r="BD669" s="548"/>
      <c r="BE669" s="548"/>
      <c r="BF669" s="548"/>
      <c r="BM669" s="663">
        <f t="shared" ref="BM669:BM674" si="231">I669/13</f>
        <v>366</v>
      </c>
      <c r="BY669" s="669"/>
      <c r="BZ669" s="548"/>
      <c r="CA669" s="672"/>
      <c r="CB669" s="567"/>
      <c r="CC669" s="673"/>
      <c r="CD669" s="669"/>
      <c r="CE669" s="669"/>
      <c r="CF669" s="548"/>
      <c r="CG669" s="548"/>
      <c r="CU669" s="554">
        <f t="shared" si="223"/>
        <v>0</v>
      </c>
      <c r="CV669" s="663">
        <f t="shared" si="215"/>
        <v>0</v>
      </c>
      <c r="CW669" s="663">
        <f t="shared" si="216"/>
        <v>0</v>
      </c>
      <c r="CX669" s="669"/>
      <c r="CY669" s="669"/>
      <c r="CZ669" s="669"/>
      <c r="DA669" s="548"/>
      <c r="DB669" s="548"/>
      <c r="DC669" s="548"/>
      <c r="DD669" s="669"/>
      <c r="DE669" s="669"/>
      <c r="DF669" s="669"/>
      <c r="DG669" s="669"/>
      <c r="DH669" s="669"/>
    </row>
    <row r="670" s="548" customFormat="1" ht="31" customHeight="1" spans="1:112">
      <c r="A670" s="660">
        <v>45875</v>
      </c>
      <c r="B670" s="661" t="s">
        <v>7662</v>
      </c>
      <c r="C670" s="662"/>
      <c r="D670" s="663" t="s">
        <v>7663</v>
      </c>
      <c r="E670" s="662"/>
      <c r="F670" s="548"/>
      <c r="G670" s="662" t="s">
        <v>6093</v>
      </c>
      <c r="H670" s="662" t="s">
        <v>6094</v>
      </c>
      <c r="I670" s="662">
        <v>2730</v>
      </c>
      <c r="J670" s="662">
        <v>0</v>
      </c>
      <c r="K670" s="662">
        <v>13</v>
      </c>
      <c r="L670" s="665">
        <f t="shared" si="207"/>
        <v>210</v>
      </c>
      <c r="M670" s="666">
        <v>45953</v>
      </c>
      <c r="N670" s="666">
        <v>45950</v>
      </c>
      <c r="O670" s="664"/>
      <c r="P670" s="664"/>
      <c r="Q670" s="674">
        <v>45956</v>
      </c>
      <c r="R670" s="667" t="s">
        <v>7664</v>
      </c>
      <c r="S670" s="667" t="s">
        <v>70</v>
      </c>
      <c r="T670" s="667">
        <v>45903</v>
      </c>
      <c r="U670" s="667"/>
      <c r="V670" s="667"/>
      <c r="W670" s="615"/>
      <c r="X670" s="661" t="s">
        <v>7665</v>
      </c>
      <c r="Y670" s="661" t="s">
        <v>7666</v>
      </c>
      <c r="Z670" s="661">
        <v>0.87</v>
      </c>
      <c r="AA670" s="634">
        <f t="shared" si="227"/>
        <v>2375.1</v>
      </c>
      <c r="AC670" s="638" t="s">
        <v>7667</v>
      </c>
      <c r="AD670" s="661" t="s">
        <v>6040</v>
      </c>
      <c r="AE670" s="662" t="s">
        <v>82</v>
      </c>
      <c r="AF670" s="662"/>
      <c r="AG670" s="662"/>
      <c r="AH670" s="662"/>
      <c r="AI670" s="662">
        <v>2730</v>
      </c>
      <c r="AJ670" s="662">
        <f>AI670-I670</f>
        <v>0</v>
      </c>
      <c r="AK670" s="662"/>
      <c r="AL670" s="662"/>
      <c r="AM670" s="662"/>
      <c r="AN670" s="662"/>
      <c r="AO670" s="663">
        <f t="shared" si="226"/>
        <v>2730</v>
      </c>
      <c r="AR670" s="680"/>
      <c r="AS670" s="548"/>
      <c r="AT670" s="554">
        <f t="shared" si="228"/>
        <v>2730</v>
      </c>
      <c r="AU670" s="663"/>
      <c r="AV670" s="554">
        <f t="shared" si="229"/>
        <v>2730</v>
      </c>
      <c r="AW670" s="669"/>
      <c r="AX670" s="663"/>
      <c r="AY670" s="548"/>
      <c r="AZ670" s="548"/>
      <c r="BA670" s="548"/>
      <c r="BB670" s="620">
        <f t="shared" si="230"/>
        <v>113.75</v>
      </c>
      <c r="BC670" s="671"/>
      <c r="BD670" s="548"/>
      <c r="BE670" s="548"/>
      <c r="BF670" s="548"/>
      <c r="BM670" s="663">
        <f t="shared" si="231"/>
        <v>210</v>
      </c>
      <c r="BY670" s="669"/>
      <c r="BZ670" s="548"/>
      <c r="CA670" s="672"/>
      <c r="CB670" s="567"/>
      <c r="CC670" s="673"/>
      <c r="CD670" s="669"/>
      <c r="CE670" s="669"/>
      <c r="CF670" s="548"/>
      <c r="CG670" s="548"/>
      <c r="CU670" s="554">
        <f t="shared" si="223"/>
        <v>0</v>
      </c>
      <c r="CV670" s="663">
        <f t="shared" si="215"/>
        <v>0</v>
      </c>
      <c r="CW670" s="663">
        <f t="shared" si="216"/>
        <v>0</v>
      </c>
      <c r="CX670" s="669"/>
      <c r="CY670" s="669"/>
      <c r="CZ670" s="669"/>
      <c r="DA670" s="548"/>
      <c r="DB670" s="548"/>
      <c r="DC670" s="548"/>
      <c r="DD670" s="669"/>
      <c r="DE670" s="669"/>
      <c r="DF670" s="669"/>
      <c r="DG670" s="669"/>
      <c r="DH670" s="669"/>
    </row>
    <row r="671" s="548" customFormat="1" ht="31" customHeight="1" spans="1:112">
      <c r="A671" s="660">
        <v>45912</v>
      </c>
      <c r="B671" s="661" t="s">
        <v>139</v>
      </c>
      <c r="C671" s="662" t="s">
        <v>76</v>
      </c>
      <c r="D671" s="663">
        <v>4500179341</v>
      </c>
      <c r="E671" s="662">
        <v>21105442</v>
      </c>
      <c r="F671" s="663" t="s">
        <v>7668</v>
      </c>
      <c r="G671" s="662" t="s">
        <v>6093</v>
      </c>
      <c r="H671" s="662" t="s">
        <v>6094</v>
      </c>
      <c r="I671" s="662">
        <v>65</v>
      </c>
      <c r="J671" s="662">
        <v>0</v>
      </c>
      <c r="K671" s="662">
        <v>13</v>
      </c>
      <c r="L671" s="665">
        <f t="shared" si="207"/>
        <v>5</v>
      </c>
      <c r="M671" s="666">
        <v>45957</v>
      </c>
      <c r="N671" s="666">
        <v>45953</v>
      </c>
      <c r="O671" s="664"/>
      <c r="P671" s="664" t="s">
        <v>113</v>
      </c>
      <c r="Q671" s="662"/>
      <c r="R671" s="667">
        <v>45925</v>
      </c>
      <c r="S671" s="667" t="s">
        <v>104</v>
      </c>
      <c r="T671" s="667" t="s">
        <v>7669</v>
      </c>
      <c r="U671" s="667"/>
      <c r="V671" s="667"/>
      <c r="W671" s="615"/>
      <c r="X671" s="661" t="s">
        <v>6721</v>
      </c>
      <c r="Y671" s="661" t="s">
        <v>133</v>
      </c>
      <c r="Z671" s="661">
        <v>0.9526</v>
      </c>
      <c r="AA671" s="634">
        <f t="shared" si="227"/>
        <v>61.919</v>
      </c>
      <c r="AC671" s="676" t="s">
        <v>7670</v>
      </c>
      <c r="AD671" s="662" t="s">
        <v>6093</v>
      </c>
      <c r="AE671" s="662" t="s">
        <v>82</v>
      </c>
      <c r="AF671" s="662"/>
      <c r="AG671" s="662"/>
      <c r="AH671" s="662"/>
      <c r="AI671" s="662">
        <v>65</v>
      </c>
      <c r="AJ671" s="662">
        <f t="shared" ref="AJ671:AJ687" si="232">AI671-I671</f>
        <v>0</v>
      </c>
      <c r="AK671" s="662"/>
      <c r="AL671" s="662"/>
      <c r="AM671" s="662"/>
      <c r="AN671" s="662"/>
      <c r="AO671" s="663">
        <f t="shared" si="226"/>
        <v>65</v>
      </c>
      <c r="AR671" s="680"/>
      <c r="AS671" s="548"/>
      <c r="AT671" s="554">
        <f t="shared" si="228"/>
        <v>65</v>
      </c>
      <c r="AU671" s="663"/>
      <c r="AV671" s="554">
        <f t="shared" si="229"/>
        <v>65</v>
      </c>
      <c r="AW671" s="669"/>
      <c r="AX671" s="663"/>
      <c r="AY671" s="548"/>
      <c r="AZ671" s="548"/>
      <c r="BA671" s="548"/>
      <c r="BB671" s="620">
        <f t="shared" si="230"/>
        <v>2.70833333333333</v>
      </c>
      <c r="BC671" s="671"/>
      <c r="BD671" s="548"/>
      <c r="BE671" s="548"/>
      <c r="BF671" s="548"/>
      <c r="BM671" s="663">
        <f t="shared" si="231"/>
        <v>5</v>
      </c>
      <c r="BY671" s="669"/>
      <c r="BZ671" s="548"/>
      <c r="CA671" s="672"/>
      <c r="CB671" s="567"/>
      <c r="CC671" s="673"/>
      <c r="CD671" s="669"/>
      <c r="CE671" s="669"/>
      <c r="CF671" s="548"/>
      <c r="CG671" s="548"/>
      <c r="CU671" s="554">
        <f t="shared" si="223"/>
        <v>0</v>
      </c>
      <c r="CV671" s="663">
        <f t="shared" si="215"/>
        <v>0</v>
      </c>
      <c r="CW671" s="663">
        <f t="shared" si="216"/>
        <v>0</v>
      </c>
      <c r="CX671" s="669"/>
      <c r="CY671" s="669"/>
      <c r="CZ671" s="669"/>
      <c r="DA671" s="548"/>
      <c r="DB671" s="548"/>
      <c r="DC671" s="548"/>
      <c r="DD671" s="669"/>
      <c r="DE671" s="669"/>
      <c r="DF671" s="669"/>
      <c r="DG671" s="669"/>
      <c r="DH671" s="669"/>
    </row>
    <row r="672" s="548" customFormat="1" ht="31" customHeight="1" spans="1:112">
      <c r="A672" s="660">
        <v>45912</v>
      </c>
      <c r="B672" s="661" t="s">
        <v>139</v>
      </c>
      <c r="C672" s="662" t="s">
        <v>76</v>
      </c>
      <c r="D672" s="663">
        <v>4500179341</v>
      </c>
      <c r="E672" s="662">
        <v>21168763</v>
      </c>
      <c r="F672" s="663" t="s">
        <v>7671</v>
      </c>
      <c r="G672" s="662" t="s">
        <v>6093</v>
      </c>
      <c r="H672" s="662" t="s">
        <v>6094</v>
      </c>
      <c r="I672" s="662">
        <v>403</v>
      </c>
      <c r="J672" s="662">
        <v>0</v>
      </c>
      <c r="K672" s="662">
        <v>13</v>
      </c>
      <c r="L672" s="665">
        <f t="shared" si="207"/>
        <v>31</v>
      </c>
      <c r="M672" s="666">
        <v>45957</v>
      </c>
      <c r="N672" s="666">
        <v>45953</v>
      </c>
      <c r="O672" s="664"/>
      <c r="P672" s="664" t="s">
        <v>113</v>
      </c>
      <c r="Q672" s="662"/>
      <c r="R672" s="667">
        <v>45939</v>
      </c>
      <c r="S672" s="667" t="s">
        <v>104</v>
      </c>
      <c r="T672" s="667" t="s">
        <v>7669</v>
      </c>
      <c r="U672" s="667"/>
      <c r="V672" s="667"/>
      <c r="W672" s="615"/>
      <c r="X672" s="661" t="s">
        <v>6721</v>
      </c>
      <c r="Y672" s="661" t="s">
        <v>133</v>
      </c>
      <c r="Z672" s="661">
        <v>0.9526</v>
      </c>
      <c r="AA672" s="634">
        <f t="shared" si="227"/>
        <v>383.8978</v>
      </c>
      <c r="AC672" s="676" t="s">
        <v>7670</v>
      </c>
      <c r="AD672" s="662" t="s">
        <v>6093</v>
      </c>
      <c r="AE672" s="662" t="s">
        <v>82</v>
      </c>
      <c r="AF672" s="662"/>
      <c r="AG672" s="662"/>
      <c r="AH672" s="662"/>
      <c r="AI672" s="662">
        <v>403</v>
      </c>
      <c r="AJ672" s="662">
        <f t="shared" si="232"/>
        <v>0</v>
      </c>
      <c r="AK672" s="662"/>
      <c r="AL672" s="662"/>
      <c r="AM672" s="662"/>
      <c r="AN672" s="662"/>
      <c r="AO672" s="663">
        <f t="shared" si="226"/>
        <v>403</v>
      </c>
      <c r="AR672" s="680"/>
      <c r="AS672" s="548"/>
      <c r="AT672" s="554">
        <f t="shared" si="228"/>
        <v>403</v>
      </c>
      <c r="AU672" s="663"/>
      <c r="AV672" s="554">
        <f t="shared" si="229"/>
        <v>403</v>
      </c>
      <c r="AW672" s="669"/>
      <c r="AX672" s="663"/>
      <c r="AY672" s="548"/>
      <c r="AZ672" s="548"/>
      <c r="BA672" s="548"/>
      <c r="BB672" s="620">
        <f t="shared" si="230"/>
        <v>16.7916666666667</v>
      </c>
      <c r="BC672" s="671"/>
      <c r="BD672" s="548"/>
      <c r="BE672" s="548"/>
      <c r="BF672" s="548"/>
      <c r="BM672" s="663">
        <f t="shared" si="231"/>
        <v>31</v>
      </c>
      <c r="BY672" s="669"/>
      <c r="BZ672" s="548"/>
      <c r="CA672" s="672"/>
      <c r="CB672" s="567"/>
      <c r="CC672" s="673"/>
      <c r="CD672" s="669"/>
      <c r="CE672" s="669"/>
      <c r="CF672" s="548"/>
      <c r="CG672" s="548"/>
      <c r="CU672" s="554">
        <f t="shared" si="223"/>
        <v>0</v>
      </c>
      <c r="CV672" s="663">
        <f t="shared" si="215"/>
        <v>0</v>
      </c>
      <c r="CW672" s="663">
        <f t="shared" si="216"/>
        <v>0</v>
      </c>
      <c r="CX672" s="669"/>
      <c r="CY672" s="669"/>
      <c r="CZ672" s="669"/>
      <c r="DA672" s="548"/>
      <c r="DB672" s="548"/>
      <c r="DC672" s="548"/>
      <c r="DD672" s="669"/>
      <c r="DE672" s="669"/>
      <c r="DF672" s="669"/>
      <c r="DG672" s="669"/>
      <c r="DH672" s="669"/>
    </row>
    <row r="673" s="548" customFormat="1" ht="31" customHeight="1" spans="1:112">
      <c r="A673" s="660">
        <v>45912</v>
      </c>
      <c r="B673" s="661" t="s">
        <v>135</v>
      </c>
      <c r="C673" s="662" t="s">
        <v>128</v>
      </c>
      <c r="D673" s="663">
        <v>4500179340</v>
      </c>
      <c r="E673" s="662">
        <v>21105439</v>
      </c>
      <c r="F673" s="663" t="s">
        <v>7672</v>
      </c>
      <c r="G673" s="662" t="s">
        <v>6093</v>
      </c>
      <c r="H673" s="662" t="s">
        <v>6094</v>
      </c>
      <c r="I673" s="662">
        <v>1443</v>
      </c>
      <c r="J673" s="662">
        <v>0</v>
      </c>
      <c r="K673" s="662">
        <v>13</v>
      </c>
      <c r="L673" s="665">
        <f t="shared" si="207"/>
        <v>111</v>
      </c>
      <c r="M673" s="666">
        <v>45957</v>
      </c>
      <c r="N673" s="666">
        <v>45953</v>
      </c>
      <c r="O673" s="664"/>
      <c r="P673" s="664" t="s">
        <v>113</v>
      </c>
      <c r="Q673" s="662"/>
      <c r="R673" s="667">
        <v>45939</v>
      </c>
      <c r="S673" s="667" t="s">
        <v>104</v>
      </c>
      <c r="T673" s="667" t="s">
        <v>7669</v>
      </c>
      <c r="U673" s="667"/>
      <c r="V673" s="667"/>
      <c r="W673" s="615"/>
      <c r="X673" s="661" t="s">
        <v>6813</v>
      </c>
      <c r="Y673" s="661" t="s">
        <v>133</v>
      </c>
      <c r="Z673" s="661">
        <v>0.9475</v>
      </c>
      <c r="AA673" s="634">
        <f t="shared" si="227"/>
        <v>1367.2425</v>
      </c>
      <c r="AC673" s="676" t="s">
        <v>7673</v>
      </c>
      <c r="AD673" s="662" t="s">
        <v>6093</v>
      </c>
      <c r="AE673" s="662" t="s">
        <v>82</v>
      </c>
      <c r="AF673" s="662"/>
      <c r="AG673" s="662"/>
      <c r="AH673" s="662"/>
      <c r="AI673" s="662">
        <v>1443</v>
      </c>
      <c r="AJ673" s="662">
        <f t="shared" si="232"/>
        <v>0</v>
      </c>
      <c r="AK673" s="662"/>
      <c r="AL673" s="662"/>
      <c r="AM673" s="662"/>
      <c r="AN673" s="662"/>
      <c r="AO673" s="663">
        <f t="shared" si="226"/>
        <v>1443</v>
      </c>
      <c r="AR673" s="680"/>
      <c r="AS673" s="548"/>
      <c r="AT673" s="554">
        <f t="shared" si="228"/>
        <v>1443</v>
      </c>
      <c r="AU673" s="663"/>
      <c r="AV673" s="554">
        <f t="shared" si="229"/>
        <v>1443</v>
      </c>
      <c r="AW673" s="669"/>
      <c r="AX673" s="663"/>
      <c r="AY673" s="548"/>
      <c r="AZ673" s="548"/>
      <c r="BA673" s="548"/>
      <c r="BB673" s="620">
        <f t="shared" si="230"/>
        <v>60.125</v>
      </c>
      <c r="BC673" s="671"/>
      <c r="BD673" s="548"/>
      <c r="BE673" s="548"/>
      <c r="BF673" s="548"/>
      <c r="BM673" s="663">
        <f t="shared" si="231"/>
        <v>111</v>
      </c>
      <c r="BY673" s="669"/>
      <c r="BZ673" s="548"/>
      <c r="CA673" s="672"/>
      <c r="CB673" s="567"/>
      <c r="CC673" s="673"/>
      <c r="CD673" s="669"/>
      <c r="CE673" s="669"/>
      <c r="CF673" s="548"/>
      <c r="CG673" s="548"/>
      <c r="CU673" s="554">
        <f t="shared" si="223"/>
        <v>0</v>
      </c>
      <c r="CV673" s="663">
        <f t="shared" si="215"/>
        <v>0</v>
      </c>
      <c r="CW673" s="663">
        <f t="shared" si="216"/>
        <v>0</v>
      </c>
      <c r="CX673" s="669"/>
      <c r="CY673" s="669"/>
      <c r="CZ673" s="669"/>
      <c r="DA673" s="548"/>
      <c r="DB673" s="548"/>
      <c r="DC673" s="548"/>
      <c r="DD673" s="669"/>
      <c r="DE673" s="669"/>
      <c r="DF673" s="669"/>
      <c r="DG673" s="669"/>
      <c r="DH673" s="669"/>
    </row>
    <row r="674" s="548" customFormat="1" ht="31" customHeight="1" spans="1:112">
      <c r="A674" s="660">
        <v>45912</v>
      </c>
      <c r="B674" s="661" t="s">
        <v>135</v>
      </c>
      <c r="C674" s="662" t="s">
        <v>128</v>
      </c>
      <c r="D674" s="663">
        <v>4500179340</v>
      </c>
      <c r="E674" s="662">
        <v>21168762</v>
      </c>
      <c r="F674" s="663" t="s">
        <v>7674</v>
      </c>
      <c r="G674" s="662" t="s">
        <v>6093</v>
      </c>
      <c r="H674" s="662" t="s">
        <v>6094</v>
      </c>
      <c r="I674" s="662">
        <v>5408</v>
      </c>
      <c r="J674" s="662">
        <v>0</v>
      </c>
      <c r="K674" s="662">
        <v>13</v>
      </c>
      <c r="L674" s="665">
        <f t="shared" si="207"/>
        <v>416</v>
      </c>
      <c r="M674" s="666">
        <v>45957</v>
      </c>
      <c r="N674" s="666">
        <v>45953</v>
      </c>
      <c r="O674" s="664"/>
      <c r="P674" s="664" t="s">
        <v>113</v>
      </c>
      <c r="Q674" s="662"/>
      <c r="R674" s="667">
        <v>45939</v>
      </c>
      <c r="S674" s="667" t="s">
        <v>104</v>
      </c>
      <c r="T674" s="667" t="s">
        <v>7669</v>
      </c>
      <c r="U674" s="667"/>
      <c r="V674" s="667"/>
      <c r="W674" s="615"/>
      <c r="X674" s="661" t="s">
        <v>6813</v>
      </c>
      <c r="Y674" s="661" t="s">
        <v>133</v>
      </c>
      <c r="Z674" s="661">
        <v>0.9423</v>
      </c>
      <c r="AA674" s="634">
        <f t="shared" si="227"/>
        <v>5095.9584</v>
      </c>
      <c r="AC674" s="676" t="s">
        <v>7673</v>
      </c>
      <c r="AD674" s="662" t="s">
        <v>6093</v>
      </c>
      <c r="AE674" s="662" t="s">
        <v>82</v>
      </c>
      <c r="AF674" s="662"/>
      <c r="AG674" s="662"/>
      <c r="AH674" s="662"/>
      <c r="AI674" s="662">
        <v>5408</v>
      </c>
      <c r="AJ674" s="662">
        <f t="shared" si="232"/>
        <v>0</v>
      </c>
      <c r="AK674" s="662"/>
      <c r="AL674" s="662"/>
      <c r="AM674" s="662"/>
      <c r="AN674" s="662"/>
      <c r="AO674" s="663">
        <f t="shared" si="226"/>
        <v>5408</v>
      </c>
      <c r="AR674" s="680"/>
      <c r="AS674" s="548"/>
      <c r="AT674" s="554">
        <f t="shared" si="228"/>
        <v>5408</v>
      </c>
      <c r="AU674" s="663"/>
      <c r="AV674" s="554">
        <f t="shared" si="229"/>
        <v>5408</v>
      </c>
      <c r="AW674" s="669"/>
      <c r="AX674" s="663"/>
      <c r="AY674" s="548"/>
      <c r="AZ674" s="548"/>
      <c r="BA674" s="548"/>
      <c r="BB674" s="620">
        <f t="shared" si="230"/>
        <v>225.333333333333</v>
      </c>
      <c r="BC674" s="671"/>
      <c r="BD674" s="548"/>
      <c r="BE674" s="548"/>
      <c r="BF674" s="548"/>
      <c r="BM674" s="663">
        <f t="shared" si="231"/>
        <v>416</v>
      </c>
      <c r="BY674" s="669"/>
      <c r="BZ674" s="548"/>
      <c r="CA674" s="672"/>
      <c r="CB674" s="567"/>
      <c r="CC674" s="673"/>
      <c r="CD674" s="669"/>
      <c r="CE674" s="669"/>
      <c r="CF674" s="548"/>
      <c r="CG674" s="548"/>
      <c r="CU674" s="554">
        <f t="shared" si="223"/>
        <v>0</v>
      </c>
      <c r="CV674" s="663">
        <f t="shared" si="215"/>
        <v>0</v>
      </c>
      <c r="CW674" s="663">
        <f t="shared" si="216"/>
        <v>0</v>
      </c>
      <c r="CX674" s="669"/>
      <c r="CY674" s="669"/>
      <c r="CZ674" s="669"/>
      <c r="DA674" s="548"/>
      <c r="DB674" s="548"/>
      <c r="DC674" s="548"/>
      <c r="DD674" s="669"/>
      <c r="DE674" s="669"/>
      <c r="DF674" s="669"/>
      <c r="DG674" s="669"/>
      <c r="DH674" s="669"/>
    </row>
    <row r="675" s="548" customFormat="1" ht="31" customHeight="1" spans="1:112">
      <c r="A675" s="660">
        <v>45898</v>
      </c>
      <c r="B675" s="661" t="s">
        <v>307</v>
      </c>
      <c r="C675" s="662" t="s">
        <v>98</v>
      </c>
      <c r="D675" s="663">
        <v>4500178273</v>
      </c>
      <c r="E675" s="664">
        <v>20854047</v>
      </c>
      <c r="F675" s="663" t="s">
        <v>7675</v>
      </c>
      <c r="G675" s="662" t="s">
        <v>6032</v>
      </c>
      <c r="H675" s="662" t="s">
        <v>6033</v>
      </c>
      <c r="I675" s="662">
        <v>13572</v>
      </c>
      <c r="J675" s="662">
        <v>0</v>
      </c>
      <c r="K675" s="662">
        <v>52</v>
      </c>
      <c r="L675" s="665">
        <f t="shared" ref="L675:L701" si="233">I675/K675</f>
        <v>261</v>
      </c>
      <c r="M675" s="666">
        <v>45958</v>
      </c>
      <c r="N675" s="666">
        <v>45954</v>
      </c>
      <c r="O675" s="664"/>
      <c r="P675" s="664" t="s">
        <v>113</v>
      </c>
      <c r="Q675" s="662" t="s">
        <v>2046</v>
      </c>
      <c r="R675" s="667">
        <v>45901</v>
      </c>
      <c r="S675" s="667" t="s">
        <v>70</v>
      </c>
      <c r="T675" s="667" t="s">
        <v>70</v>
      </c>
      <c r="U675" s="667"/>
      <c r="V675" s="667"/>
      <c r="W675" s="615"/>
      <c r="X675" s="661" t="s">
        <v>2047</v>
      </c>
      <c r="Y675" s="661" t="s">
        <v>882</v>
      </c>
      <c r="Z675" s="675">
        <v>0.5459</v>
      </c>
      <c r="AA675" s="634">
        <f t="shared" ref="AA675:AA685" si="234">Z675*I675</f>
        <v>7408.9548</v>
      </c>
      <c r="AC675" s="638" t="s">
        <v>2048</v>
      </c>
      <c r="AD675" s="662" t="s">
        <v>6032</v>
      </c>
      <c r="AE675" s="662" t="s">
        <v>82</v>
      </c>
      <c r="AF675" s="662"/>
      <c r="AG675" s="662"/>
      <c r="AH675" s="662"/>
      <c r="AI675" s="662">
        <v>13572</v>
      </c>
      <c r="AJ675" s="662">
        <f t="shared" si="232"/>
        <v>0</v>
      </c>
      <c r="AK675" s="662"/>
      <c r="AL675" s="662"/>
      <c r="AM675" s="662"/>
      <c r="AN675" s="662">
        <f>I675</f>
        <v>13572</v>
      </c>
      <c r="AO675" s="663"/>
      <c r="AP675" s="554">
        <f>I675</f>
        <v>13572</v>
      </c>
      <c r="AR675" s="680"/>
      <c r="AS675" s="548"/>
      <c r="AT675" s="548"/>
      <c r="AU675" s="554">
        <f>I675</f>
        <v>13572</v>
      </c>
      <c r="AW675" s="669"/>
      <c r="AX675" s="663"/>
      <c r="AY675" s="548"/>
      <c r="AZ675" s="548"/>
      <c r="BA675" s="548"/>
      <c r="BB675" s="670">
        <f t="shared" si="230"/>
        <v>565.5</v>
      </c>
      <c r="BC675" s="671"/>
      <c r="BD675" s="548"/>
      <c r="BE675" s="548"/>
      <c r="BF675" s="548"/>
      <c r="BK675" s="663">
        <f>I675/13</f>
        <v>1044</v>
      </c>
      <c r="BY675" s="669"/>
      <c r="BZ675" s="548"/>
      <c r="CA675" s="672"/>
      <c r="CB675" s="567"/>
      <c r="CC675" s="673"/>
      <c r="CD675" s="669"/>
      <c r="CE675" s="669"/>
      <c r="CF675" s="548"/>
      <c r="CG675" s="548"/>
      <c r="CU675" s="554">
        <f t="shared" si="223"/>
        <v>0</v>
      </c>
      <c r="CV675" s="663">
        <f t="shared" si="215"/>
        <v>0</v>
      </c>
      <c r="CW675" s="663">
        <f t="shared" si="216"/>
        <v>0</v>
      </c>
      <c r="CX675" s="669"/>
      <c r="CY675" s="669"/>
      <c r="CZ675" s="669"/>
      <c r="DA675" s="548"/>
      <c r="DB675" s="548"/>
      <c r="DC675" s="548"/>
      <c r="DD675" s="669"/>
      <c r="DE675" s="669"/>
      <c r="DF675" s="669"/>
      <c r="DG675" s="669"/>
      <c r="DH675" s="669"/>
    </row>
    <row r="676" s="548" customFormat="1" ht="31" customHeight="1" spans="1:112">
      <c r="A676" s="660">
        <v>45912</v>
      </c>
      <c r="B676" s="661" t="s">
        <v>143</v>
      </c>
      <c r="C676" s="662" t="s">
        <v>98</v>
      </c>
      <c r="D676" s="663">
        <v>4500179405</v>
      </c>
      <c r="E676" s="664">
        <v>944785679</v>
      </c>
      <c r="F676" s="663" t="s">
        <v>7676</v>
      </c>
      <c r="G676" s="662" t="s">
        <v>6063</v>
      </c>
      <c r="H676" s="662" t="s">
        <v>6064</v>
      </c>
      <c r="I676" s="662">
        <v>15360</v>
      </c>
      <c r="J676" s="662">
        <v>0</v>
      </c>
      <c r="K676" s="662">
        <v>16</v>
      </c>
      <c r="L676" s="665">
        <f t="shared" si="233"/>
        <v>960</v>
      </c>
      <c r="M676" s="666">
        <v>45945</v>
      </c>
      <c r="N676" s="666">
        <v>45943</v>
      </c>
      <c r="O676" s="674" t="s">
        <v>7677</v>
      </c>
      <c r="P676" s="664" t="s">
        <v>113</v>
      </c>
      <c r="Q676" s="662" t="s">
        <v>1824</v>
      </c>
      <c r="R676" s="667" t="s">
        <v>7064</v>
      </c>
      <c r="S676" s="667" t="s">
        <v>70</v>
      </c>
      <c r="T676" s="667" t="s">
        <v>148</v>
      </c>
      <c r="U676" s="667"/>
      <c r="V676" s="667"/>
      <c r="W676" s="615"/>
      <c r="X676" s="661" t="s">
        <v>7065</v>
      </c>
      <c r="Y676" s="661" t="s">
        <v>106</v>
      </c>
      <c r="Z676" s="661">
        <v>0.5905</v>
      </c>
      <c r="AA676" s="634">
        <f t="shared" si="234"/>
        <v>9070.08</v>
      </c>
      <c r="AC676" s="638" t="s">
        <v>7678</v>
      </c>
      <c r="AD676" s="662" t="s">
        <v>6063</v>
      </c>
      <c r="AE676" s="662" t="s">
        <v>82</v>
      </c>
      <c r="AF676" s="662"/>
      <c r="AG676" s="662"/>
      <c r="AH676" s="662"/>
      <c r="AI676" s="662">
        <f>160+15200</f>
        <v>15360</v>
      </c>
      <c r="AJ676" s="662">
        <f t="shared" ref="AJ676:AJ714" si="235">AI676-I676</f>
        <v>0</v>
      </c>
      <c r="AK676" s="662"/>
      <c r="AL676" s="662"/>
      <c r="AM676" s="662"/>
      <c r="AN676" s="662">
        <f>I676</f>
        <v>15360</v>
      </c>
      <c r="AO676" s="663"/>
      <c r="AP676" s="554">
        <f>I676</f>
        <v>15360</v>
      </c>
      <c r="AR676" s="680"/>
      <c r="AS676" s="548"/>
      <c r="AT676" s="548"/>
      <c r="AU676" s="554">
        <f>I676</f>
        <v>15360</v>
      </c>
      <c r="AV676" s="663"/>
      <c r="AW676" s="669"/>
      <c r="AX676" s="663"/>
      <c r="AY676" s="548"/>
      <c r="AZ676" s="548"/>
      <c r="BA676" s="548"/>
      <c r="BB676" s="670">
        <f t="shared" ref="BB676:BB691" si="236">I676/24</f>
        <v>640</v>
      </c>
      <c r="BC676" s="671"/>
      <c r="BD676" s="548"/>
      <c r="BE676" s="548"/>
      <c r="BF676" s="548"/>
      <c r="BQ676" s="663">
        <f>I676/16</f>
        <v>960</v>
      </c>
      <c r="BY676" s="669"/>
      <c r="BZ676" s="548"/>
      <c r="CA676" s="672"/>
      <c r="CB676" s="567"/>
      <c r="CC676" s="673"/>
      <c r="CD676" s="669"/>
      <c r="CE676" s="669"/>
      <c r="CF676" s="548"/>
      <c r="CG676" s="548"/>
      <c r="CU676" s="554">
        <f t="shared" si="223"/>
        <v>960</v>
      </c>
      <c r="CV676" s="663">
        <f t="shared" ref="CV676:CV739" si="237">CK676+CL676+CM676+CN676+CO676+CQ676+CP676</f>
        <v>0</v>
      </c>
      <c r="CW676" s="663">
        <f t="shared" ref="CW676:CW739" si="238">CI676+CJ676</f>
        <v>0</v>
      </c>
      <c r="CX676" s="669"/>
      <c r="CY676" s="669"/>
      <c r="CZ676" s="669"/>
      <c r="DA676" s="548"/>
      <c r="DB676" s="548"/>
      <c r="DC676" s="548"/>
      <c r="DD676" s="669"/>
      <c r="DE676" s="669"/>
      <c r="DF676" s="669"/>
      <c r="DG676" s="669"/>
      <c r="DH676" s="669"/>
    </row>
    <row r="677" s="548" customFormat="1" ht="31" customHeight="1" spans="1:112">
      <c r="A677" s="660">
        <v>45912</v>
      </c>
      <c r="B677" s="661" t="s">
        <v>143</v>
      </c>
      <c r="C677" s="662" t="s">
        <v>98</v>
      </c>
      <c r="D677" s="663">
        <v>4500179405</v>
      </c>
      <c r="E677" s="664">
        <v>944785683</v>
      </c>
      <c r="F677" s="663" t="s">
        <v>7679</v>
      </c>
      <c r="G677" s="662" t="s">
        <v>6063</v>
      </c>
      <c r="H677" s="662" t="s">
        <v>6064</v>
      </c>
      <c r="I677" s="662">
        <v>13440</v>
      </c>
      <c r="J677" s="662">
        <v>0</v>
      </c>
      <c r="K677" s="662">
        <v>16</v>
      </c>
      <c r="L677" s="665">
        <f t="shared" si="233"/>
        <v>840</v>
      </c>
      <c r="M677" s="666">
        <v>45945</v>
      </c>
      <c r="N677" s="666">
        <v>45943</v>
      </c>
      <c r="O677" s="674" t="s">
        <v>7677</v>
      </c>
      <c r="P677" s="664" t="s">
        <v>113</v>
      </c>
      <c r="Q677" s="662" t="s">
        <v>1824</v>
      </c>
      <c r="R677" s="667" t="s">
        <v>7064</v>
      </c>
      <c r="S677" s="667" t="s">
        <v>70</v>
      </c>
      <c r="T677" s="667" t="s">
        <v>148</v>
      </c>
      <c r="U677" s="667"/>
      <c r="V677" s="667"/>
      <c r="W677" s="615"/>
      <c r="X677" s="661" t="s">
        <v>7065</v>
      </c>
      <c r="Y677" s="661" t="s">
        <v>106</v>
      </c>
      <c r="Z677" s="661">
        <v>0.5905</v>
      </c>
      <c r="AA677" s="634">
        <f t="shared" si="234"/>
        <v>7936.32</v>
      </c>
      <c r="AC677" s="638" t="s">
        <v>7680</v>
      </c>
      <c r="AD677" s="662" t="s">
        <v>6063</v>
      </c>
      <c r="AE677" s="662" t="s">
        <v>82</v>
      </c>
      <c r="AF677" s="662"/>
      <c r="AG677" s="662"/>
      <c r="AH677" s="662"/>
      <c r="AI677" s="662">
        <v>13440</v>
      </c>
      <c r="AJ677" s="662">
        <f t="shared" si="235"/>
        <v>0</v>
      </c>
      <c r="AK677" s="662"/>
      <c r="AL677" s="662"/>
      <c r="AM677" s="662"/>
      <c r="AN677" s="662">
        <f>I677</f>
        <v>13440</v>
      </c>
      <c r="AO677" s="663"/>
      <c r="AP677" s="554">
        <f>I677</f>
        <v>13440</v>
      </c>
      <c r="AR677" s="680"/>
      <c r="AS677" s="548"/>
      <c r="AT677" s="548"/>
      <c r="AU677" s="554">
        <f>I677</f>
        <v>13440</v>
      </c>
      <c r="AV677" s="663"/>
      <c r="AW677" s="669"/>
      <c r="AX677" s="663"/>
      <c r="AY677" s="548"/>
      <c r="AZ677" s="548"/>
      <c r="BA677" s="548"/>
      <c r="BB677" s="670">
        <f t="shared" si="236"/>
        <v>560</v>
      </c>
      <c r="BC677" s="671"/>
      <c r="BD677" s="548"/>
      <c r="BE677" s="548"/>
      <c r="BF677" s="548"/>
      <c r="BQ677" s="663">
        <f>I677/16</f>
        <v>840</v>
      </c>
      <c r="BY677" s="669"/>
      <c r="BZ677" s="548"/>
      <c r="CA677" s="672"/>
      <c r="CB677" s="567"/>
      <c r="CC677" s="673"/>
      <c r="CD677" s="669"/>
      <c r="CE677" s="669"/>
      <c r="CF677" s="548"/>
      <c r="CG677" s="548"/>
      <c r="CU677" s="554">
        <f t="shared" si="223"/>
        <v>840</v>
      </c>
      <c r="CV677" s="663">
        <f t="shared" si="237"/>
        <v>0</v>
      </c>
      <c r="CW677" s="663">
        <f t="shared" si="238"/>
        <v>0</v>
      </c>
      <c r="CX677" s="669"/>
      <c r="CY677" s="669"/>
      <c r="CZ677" s="669"/>
      <c r="DA677" s="548"/>
      <c r="DB677" s="548"/>
      <c r="DC677" s="548"/>
      <c r="DD677" s="669"/>
      <c r="DE677" s="669"/>
      <c r="DF677" s="669"/>
      <c r="DG677" s="669"/>
      <c r="DH677" s="669"/>
    </row>
    <row r="678" s="548" customFormat="1" ht="31" customHeight="1" spans="1:112">
      <c r="A678" s="660">
        <v>45912</v>
      </c>
      <c r="B678" s="661" t="s">
        <v>143</v>
      </c>
      <c r="C678" s="662" t="s">
        <v>98</v>
      </c>
      <c r="D678" s="663">
        <v>4500179405</v>
      </c>
      <c r="E678" s="664">
        <v>944785694</v>
      </c>
      <c r="F678" s="663" t="s">
        <v>7681</v>
      </c>
      <c r="G678" s="662" t="s">
        <v>6063</v>
      </c>
      <c r="H678" s="662" t="s">
        <v>6064</v>
      </c>
      <c r="I678" s="662">
        <v>24000</v>
      </c>
      <c r="J678" s="662">
        <v>0</v>
      </c>
      <c r="K678" s="662">
        <v>16</v>
      </c>
      <c r="L678" s="665">
        <f t="shared" si="233"/>
        <v>1500</v>
      </c>
      <c r="M678" s="666">
        <v>45945</v>
      </c>
      <c r="N678" s="666">
        <v>45943</v>
      </c>
      <c r="O678" s="674" t="s">
        <v>7677</v>
      </c>
      <c r="P678" s="664" t="s">
        <v>113</v>
      </c>
      <c r="Q678" s="662" t="s">
        <v>1824</v>
      </c>
      <c r="R678" s="667" t="s">
        <v>7064</v>
      </c>
      <c r="S678" s="667" t="s">
        <v>70</v>
      </c>
      <c r="T678" s="667" t="s">
        <v>148</v>
      </c>
      <c r="U678" s="667"/>
      <c r="V678" s="667"/>
      <c r="W678" s="615"/>
      <c r="X678" s="661" t="s">
        <v>7065</v>
      </c>
      <c r="Y678" s="661" t="s">
        <v>106</v>
      </c>
      <c r="Z678" s="661">
        <v>0.5837</v>
      </c>
      <c r="AA678" s="634">
        <f t="shared" si="234"/>
        <v>14008.8</v>
      </c>
      <c r="AC678" s="638" t="s">
        <v>7682</v>
      </c>
      <c r="AD678" s="662" t="s">
        <v>6063</v>
      </c>
      <c r="AE678" s="662" t="s">
        <v>82</v>
      </c>
      <c r="AF678" s="662"/>
      <c r="AG678" s="662"/>
      <c r="AH678" s="662"/>
      <c r="AI678" s="662">
        <v>24000</v>
      </c>
      <c r="AJ678" s="662">
        <f t="shared" si="235"/>
        <v>0</v>
      </c>
      <c r="AK678" s="662"/>
      <c r="AL678" s="662"/>
      <c r="AM678" s="662"/>
      <c r="AN678" s="662">
        <f>I678</f>
        <v>24000</v>
      </c>
      <c r="AO678" s="663"/>
      <c r="AP678" s="554">
        <f>I678</f>
        <v>24000</v>
      </c>
      <c r="AR678" s="680"/>
      <c r="AS678" s="548"/>
      <c r="AT678" s="548"/>
      <c r="AU678" s="554">
        <f>I678</f>
        <v>24000</v>
      </c>
      <c r="AV678" s="663"/>
      <c r="AW678" s="669"/>
      <c r="AX678" s="663"/>
      <c r="AY678" s="548"/>
      <c r="AZ678" s="548"/>
      <c r="BA678" s="548"/>
      <c r="BB678" s="670">
        <f t="shared" si="236"/>
        <v>1000</v>
      </c>
      <c r="BC678" s="671"/>
      <c r="BD678" s="548"/>
      <c r="BE678" s="548"/>
      <c r="BF678" s="548"/>
      <c r="BQ678" s="663">
        <f>I678/16</f>
        <v>1500</v>
      </c>
      <c r="BY678" s="669"/>
      <c r="BZ678" s="548"/>
      <c r="CA678" s="672"/>
      <c r="CB678" s="567"/>
      <c r="CC678" s="673"/>
      <c r="CD678" s="669"/>
      <c r="CE678" s="669"/>
      <c r="CF678" s="548"/>
      <c r="CG678" s="548"/>
      <c r="CU678" s="554">
        <f t="shared" si="223"/>
        <v>1500</v>
      </c>
      <c r="CV678" s="663">
        <f t="shared" si="237"/>
        <v>0</v>
      </c>
      <c r="CW678" s="663">
        <f t="shared" si="238"/>
        <v>0</v>
      </c>
      <c r="CX678" s="669"/>
      <c r="CY678" s="669"/>
      <c r="CZ678" s="669"/>
      <c r="DA678" s="548"/>
      <c r="DB678" s="548"/>
      <c r="DC678" s="548"/>
      <c r="DD678" s="669"/>
      <c r="DE678" s="669"/>
      <c r="DF678" s="669"/>
      <c r="DG678" s="669"/>
      <c r="DH678" s="669"/>
    </row>
    <row r="679" s="548" customFormat="1" ht="31" customHeight="1" spans="1:112">
      <c r="A679" s="660">
        <v>45912</v>
      </c>
      <c r="B679" s="661" t="s">
        <v>143</v>
      </c>
      <c r="C679" s="662" t="s">
        <v>98</v>
      </c>
      <c r="D679" s="663">
        <v>4500179405</v>
      </c>
      <c r="E679" s="664">
        <v>944785706</v>
      </c>
      <c r="F679" s="663" t="s">
        <v>7683</v>
      </c>
      <c r="G679" s="662" t="s">
        <v>6063</v>
      </c>
      <c r="H679" s="662" t="s">
        <v>6064</v>
      </c>
      <c r="I679" s="662">
        <v>10560</v>
      </c>
      <c r="J679" s="662">
        <v>0</v>
      </c>
      <c r="K679" s="662">
        <v>16</v>
      </c>
      <c r="L679" s="665">
        <f t="shared" si="233"/>
        <v>660</v>
      </c>
      <c r="M679" s="666">
        <v>45945</v>
      </c>
      <c r="N679" s="666">
        <v>45943</v>
      </c>
      <c r="O679" s="674" t="s">
        <v>7677</v>
      </c>
      <c r="P679" s="664" t="s">
        <v>113</v>
      </c>
      <c r="Q679" s="662" t="s">
        <v>1824</v>
      </c>
      <c r="R679" s="667" t="s">
        <v>7064</v>
      </c>
      <c r="S679" s="667" t="s">
        <v>70</v>
      </c>
      <c r="T679" s="667" t="s">
        <v>148</v>
      </c>
      <c r="U679" s="667"/>
      <c r="V679" s="667"/>
      <c r="W679" s="615"/>
      <c r="X679" s="661" t="s">
        <v>7065</v>
      </c>
      <c r="Y679" s="661" t="s">
        <v>106</v>
      </c>
      <c r="Z679" s="661">
        <v>0.5905</v>
      </c>
      <c r="AA679" s="634">
        <f t="shared" si="234"/>
        <v>6235.68</v>
      </c>
      <c r="AC679" s="638" t="s">
        <v>7684</v>
      </c>
      <c r="AD679" s="662" t="s">
        <v>6063</v>
      </c>
      <c r="AE679" s="662" t="s">
        <v>82</v>
      </c>
      <c r="AF679" s="662"/>
      <c r="AG679" s="662"/>
      <c r="AH679" s="662"/>
      <c r="AI679" s="662">
        <v>10560</v>
      </c>
      <c r="AJ679" s="662">
        <f t="shared" si="235"/>
        <v>0</v>
      </c>
      <c r="AK679" s="662"/>
      <c r="AL679" s="662"/>
      <c r="AM679" s="662"/>
      <c r="AN679" s="662">
        <f>I679</f>
        <v>10560</v>
      </c>
      <c r="AO679" s="663"/>
      <c r="AP679" s="554">
        <f>I679</f>
        <v>10560</v>
      </c>
      <c r="AR679" s="680"/>
      <c r="AS679" s="548"/>
      <c r="AT679" s="548"/>
      <c r="AU679" s="554">
        <f>I679</f>
        <v>10560</v>
      </c>
      <c r="AV679" s="663"/>
      <c r="AW679" s="669"/>
      <c r="AX679" s="663"/>
      <c r="AY679" s="548"/>
      <c r="AZ679" s="548"/>
      <c r="BA679" s="548"/>
      <c r="BB679" s="670">
        <f t="shared" si="236"/>
        <v>440</v>
      </c>
      <c r="BC679" s="671"/>
      <c r="BD679" s="548"/>
      <c r="BE679" s="548"/>
      <c r="BF679" s="548"/>
      <c r="BQ679" s="663">
        <f>I679/16</f>
        <v>660</v>
      </c>
      <c r="BY679" s="669"/>
      <c r="BZ679" s="548"/>
      <c r="CA679" s="672"/>
      <c r="CB679" s="567"/>
      <c r="CC679" s="673"/>
      <c r="CD679" s="669"/>
      <c r="CE679" s="669"/>
      <c r="CF679" s="548"/>
      <c r="CG679" s="548"/>
      <c r="CU679" s="554">
        <f t="shared" si="223"/>
        <v>660</v>
      </c>
      <c r="CV679" s="663">
        <f t="shared" si="237"/>
        <v>0</v>
      </c>
      <c r="CW679" s="663">
        <f t="shared" si="238"/>
        <v>0</v>
      </c>
      <c r="CX679" s="669"/>
      <c r="CY679" s="669"/>
      <c r="CZ679" s="669"/>
      <c r="DA679" s="548"/>
      <c r="DB679" s="548"/>
      <c r="DC679" s="548"/>
      <c r="DD679" s="669"/>
      <c r="DE679" s="669"/>
      <c r="DF679" s="669"/>
      <c r="DG679" s="669"/>
      <c r="DH679" s="669"/>
    </row>
    <row r="680" s="548" customFormat="1" ht="31" customHeight="1" spans="1:112">
      <c r="A680" s="660">
        <v>45881</v>
      </c>
      <c r="B680" s="661" t="s">
        <v>549</v>
      </c>
      <c r="C680" s="662" t="s">
        <v>278</v>
      </c>
      <c r="D680" s="663">
        <v>4500176637</v>
      </c>
      <c r="E680" s="662" t="s">
        <v>1983</v>
      </c>
      <c r="F680" s="663" t="s">
        <v>1984</v>
      </c>
      <c r="G680" s="662" t="s">
        <v>6337</v>
      </c>
      <c r="H680" s="662" t="s">
        <v>477</v>
      </c>
      <c r="I680" s="662">
        <v>1182</v>
      </c>
      <c r="J680" s="662">
        <v>0</v>
      </c>
      <c r="K680" s="662">
        <v>6</v>
      </c>
      <c r="L680" s="665">
        <f t="shared" si="233"/>
        <v>197</v>
      </c>
      <c r="M680" s="666">
        <v>45946</v>
      </c>
      <c r="N680" s="666">
        <v>45943</v>
      </c>
      <c r="O680" s="664"/>
      <c r="P680" s="664" t="s">
        <v>113</v>
      </c>
      <c r="Q680" s="662" t="s">
        <v>7685</v>
      </c>
      <c r="R680" s="667" t="s">
        <v>463</v>
      </c>
      <c r="S680" s="667" t="s">
        <v>104</v>
      </c>
      <c r="T680" s="667">
        <v>45904</v>
      </c>
      <c r="U680" s="667"/>
      <c r="V680" s="667" t="s">
        <v>7686</v>
      </c>
      <c r="W680" s="615"/>
      <c r="X680" s="661" t="s">
        <v>1986</v>
      </c>
      <c r="Y680" s="661" t="s">
        <v>466</v>
      </c>
      <c r="Z680" s="661">
        <v>6.8326</v>
      </c>
      <c r="AA680" s="634">
        <f t="shared" ref="AA680:AA696" si="239">Z680*I680</f>
        <v>8076.1332</v>
      </c>
      <c r="AC680" s="676" t="s">
        <v>1960</v>
      </c>
      <c r="AD680" s="661" t="s">
        <v>7568</v>
      </c>
      <c r="AE680" s="662" t="s">
        <v>82</v>
      </c>
      <c r="AF680" s="662"/>
      <c r="AG680" s="662"/>
      <c r="AH680" s="662"/>
      <c r="AI680" s="662">
        <v>1182</v>
      </c>
      <c r="AJ680" s="662">
        <f t="shared" si="235"/>
        <v>0</v>
      </c>
      <c r="AK680" s="662"/>
      <c r="AL680" s="662"/>
      <c r="AM680" s="662"/>
      <c r="AN680" s="662"/>
      <c r="AO680" s="554">
        <f>I680*2</f>
        <v>2364</v>
      </c>
      <c r="AP680" s="554">
        <f>I680*2</f>
        <v>2364</v>
      </c>
      <c r="AR680" s="680"/>
      <c r="AS680" s="548"/>
      <c r="AT680" s="548"/>
      <c r="AU680" s="663"/>
      <c r="AV680" s="554">
        <f>I680*2</f>
        <v>2364</v>
      </c>
      <c r="AW680" s="669"/>
      <c r="AX680" s="663"/>
      <c r="AY680" s="548"/>
      <c r="AZ680" s="548"/>
      <c r="BA680" s="548"/>
      <c r="BB680" s="620">
        <f>I680/24*2</f>
        <v>98.5</v>
      </c>
      <c r="BC680" s="671"/>
      <c r="BD680" s="548"/>
      <c r="BE680" s="548"/>
      <c r="BF680" s="548"/>
      <c r="BY680" s="619"/>
      <c r="BZ680" s="554">
        <f>I680</f>
        <v>1182</v>
      </c>
      <c r="CA680" s="672"/>
      <c r="CB680" s="567"/>
      <c r="CC680" s="673"/>
      <c r="CD680" s="669"/>
      <c r="CE680" s="669"/>
      <c r="CF680" s="548"/>
      <c r="CG680" s="548"/>
      <c r="CU680" s="554">
        <f t="shared" si="223"/>
        <v>0</v>
      </c>
      <c r="CV680" s="663">
        <f t="shared" si="237"/>
        <v>0</v>
      </c>
      <c r="CW680" s="663">
        <f t="shared" si="238"/>
        <v>0</v>
      </c>
      <c r="CX680" s="669"/>
      <c r="CY680" s="669"/>
      <c r="CZ680" s="669"/>
      <c r="DA680" s="548"/>
      <c r="DB680" s="548"/>
      <c r="DC680" s="548"/>
      <c r="DD680" s="669"/>
      <c r="DE680" s="669"/>
      <c r="DF680" s="669"/>
      <c r="DG680" s="669"/>
      <c r="DH680" s="669"/>
    </row>
    <row r="681" s="548" customFormat="1" ht="31" customHeight="1" spans="1:112">
      <c r="A681" s="660">
        <v>45881</v>
      </c>
      <c r="B681" s="661" t="s">
        <v>549</v>
      </c>
      <c r="C681" s="662" t="s">
        <v>154</v>
      </c>
      <c r="D681" s="663">
        <v>4500176637</v>
      </c>
      <c r="E681" s="662" t="s">
        <v>1961</v>
      </c>
      <c r="F681" s="663" t="s">
        <v>1987</v>
      </c>
      <c r="G681" s="662" t="s">
        <v>6337</v>
      </c>
      <c r="H681" s="662" t="s">
        <v>477</v>
      </c>
      <c r="I681" s="662">
        <v>780</v>
      </c>
      <c r="J681" s="662">
        <v>0</v>
      </c>
      <c r="K681" s="662">
        <v>6</v>
      </c>
      <c r="L681" s="665">
        <f t="shared" si="233"/>
        <v>130</v>
      </c>
      <c r="M681" s="666">
        <v>45946</v>
      </c>
      <c r="N681" s="666">
        <v>45943</v>
      </c>
      <c r="O681" s="664"/>
      <c r="P681" s="664" t="s">
        <v>113</v>
      </c>
      <c r="Q681" s="662"/>
      <c r="R681" s="667" t="s">
        <v>463</v>
      </c>
      <c r="S681" s="667" t="s">
        <v>104</v>
      </c>
      <c r="T681" s="667">
        <v>45904</v>
      </c>
      <c r="U681" s="667"/>
      <c r="V681" s="667"/>
      <c r="W681" s="615"/>
      <c r="X681" s="661" t="s">
        <v>1986</v>
      </c>
      <c r="Y681" s="661" t="s">
        <v>466</v>
      </c>
      <c r="Z681" s="661">
        <v>7.1628</v>
      </c>
      <c r="AA681" s="634">
        <f t="shared" si="239"/>
        <v>5586.984</v>
      </c>
      <c r="AC681" s="676" t="s">
        <v>1988</v>
      </c>
      <c r="AD681" s="661" t="s">
        <v>7568</v>
      </c>
      <c r="AE681" s="662" t="s">
        <v>82</v>
      </c>
      <c r="AF681" s="662"/>
      <c r="AG681" s="662"/>
      <c r="AH681" s="662"/>
      <c r="AI681" s="662">
        <v>780</v>
      </c>
      <c r="AJ681" s="662">
        <f t="shared" si="235"/>
        <v>0</v>
      </c>
      <c r="AK681" s="662"/>
      <c r="AL681" s="662"/>
      <c r="AM681" s="662"/>
      <c r="AN681" s="662"/>
      <c r="AO681" s="554">
        <f>I681*2</f>
        <v>1560</v>
      </c>
      <c r="AP681" s="554">
        <f>I681*2</f>
        <v>1560</v>
      </c>
      <c r="AR681" s="680"/>
      <c r="AS681" s="548"/>
      <c r="AT681" s="548"/>
      <c r="AU681" s="663"/>
      <c r="AV681" s="554">
        <f>I681*2</f>
        <v>1560</v>
      </c>
      <c r="AW681" s="669"/>
      <c r="AX681" s="663"/>
      <c r="AY681" s="548"/>
      <c r="AZ681" s="548"/>
      <c r="BA681" s="548"/>
      <c r="BB681" s="620">
        <f>I681/24*2</f>
        <v>65</v>
      </c>
      <c r="BC681" s="671"/>
      <c r="BD681" s="548"/>
      <c r="BE681" s="548"/>
      <c r="BF681" s="548"/>
      <c r="BY681" s="619"/>
      <c r="BZ681" s="554">
        <f>I681</f>
        <v>780</v>
      </c>
      <c r="CA681" s="672"/>
      <c r="CB681" s="567"/>
      <c r="CC681" s="673"/>
      <c r="CD681" s="669"/>
      <c r="CE681" s="669"/>
      <c r="CF681" s="548"/>
      <c r="CG681" s="548"/>
      <c r="CU681" s="554">
        <f t="shared" si="223"/>
        <v>0</v>
      </c>
      <c r="CV681" s="663">
        <f t="shared" si="237"/>
        <v>0</v>
      </c>
      <c r="CW681" s="663">
        <f t="shared" si="238"/>
        <v>0</v>
      </c>
      <c r="CX681" s="669"/>
      <c r="CY681" s="669"/>
      <c r="CZ681" s="669"/>
      <c r="DA681" s="548"/>
      <c r="DB681" s="548"/>
      <c r="DC681" s="548"/>
      <c r="DD681" s="669"/>
      <c r="DE681" s="669"/>
      <c r="DF681" s="669"/>
      <c r="DG681" s="669"/>
      <c r="DH681" s="669"/>
    </row>
    <row r="682" s="548" customFormat="1" ht="31" customHeight="1" spans="1:112">
      <c r="A682" s="660">
        <v>45890</v>
      </c>
      <c r="B682" s="661" t="s">
        <v>1989</v>
      </c>
      <c r="C682" s="662" t="s">
        <v>278</v>
      </c>
      <c r="D682" s="663">
        <v>4500177504</v>
      </c>
      <c r="E682" s="662" t="s">
        <v>1990</v>
      </c>
      <c r="F682" s="663" t="s">
        <v>1991</v>
      </c>
      <c r="G682" s="662" t="s">
        <v>6337</v>
      </c>
      <c r="H682" s="662" t="s">
        <v>477</v>
      </c>
      <c r="I682" s="662">
        <v>720</v>
      </c>
      <c r="J682" s="662">
        <v>0</v>
      </c>
      <c r="K682" s="662">
        <v>6</v>
      </c>
      <c r="L682" s="665">
        <f t="shared" si="233"/>
        <v>120</v>
      </c>
      <c r="M682" s="666">
        <v>45946</v>
      </c>
      <c r="N682" s="666">
        <v>45943</v>
      </c>
      <c r="O682" s="664"/>
      <c r="P682" s="664" t="s">
        <v>113</v>
      </c>
      <c r="Q682" s="662" t="s">
        <v>7687</v>
      </c>
      <c r="R682" s="667" t="s">
        <v>1992</v>
      </c>
      <c r="S682" s="667" t="s">
        <v>104</v>
      </c>
      <c r="T682" s="667">
        <v>45915</v>
      </c>
      <c r="U682" s="667"/>
      <c r="V682" s="667"/>
      <c r="W682" s="615"/>
      <c r="X682" s="661" t="s">
        <v>1994</v>
      </c>
      <c r="Y682" s="661" t="s">
        <v>466</v>
      </c>
      <c r="Z682" s="661">
        <v>7.1628</v>
      </c>
      <c r="AA682" s="634">
        <f t="shared" si="239"/>
        <v>5157.216</v>
      </c>
      <c r="AC682" s="676" t="s">
        <v>1995</v>
      </c>
      <c r="AD682" s="662" t="s">
        <v>480</v>
      </c>
      <c r="AE682" s="662" t="s">
        <v>82</v>
      </c>
      <c r="AF682" s="662"/>
      <c r="AG682" s="662"/>
      <c r="AH682" s="662"/>
      <c r="AI682" s="662"/>
      <c r="AJ682" s="662">
        <f t="shared" si="235"/>
        <v>-720</v>
      </c>
      <c r="AK682" s="662"/>
      <c r="AL682" s="662"/>
      <c r="AM682" s="662"/>
      <c r="AN682" s="662"/>
      <c r="AO682" s="554">
        <f>I682*2</f>
        <v>1440</v>
      </c>
      <c r="AR682" s="680"/>
      <c r="AS682" s="548"/>
      <c r="AT682" s="554">
        <f>I682*2</f>
        <v>1440</v>
      </c>
      <c r="AU682" s="663"/>
      <c r="AV682" s="554">
        <f>I682*2</f>
        <v>1440</v>
      </c>
      <c r="AW682" s="669"/>
      <c r="AX682" s="663"/>
      <c r="AY682" s="548"/>
      <c r="AZ682" s="548"/>
      <c r="BA682" s="548"/>
      <c r="BB682" s="620">
        <f>I682/24*2</f>
        <v>60</v>
      </c>
      <c r="BC682" s="671"/>
      <c r="BD682" s="548"/>
      <c r="BE682" s="548"/>
      <c r="BF682" s="548"/>
      <c r="BY682" s="619"/>
      <c r="BZ682" s="554">
        <f>I682</f>
        <v>720</v>
      </c>
      <c r="CA682" s="672"/>
      <c r="CB682" s="567"/>
      <c r="CC682" s="673"/>
      <c r="CD682" s="669"/>
      <c r="CE682" s="669"/>
      <c r="CF682" s="548"/>
      <c r="CG682" s="548"/>
      <c r="CU682" s="554">
        <f t="shared" si="223"/>
        <v>0</v>
      </c>
      <c r="CV682" s="663">
        <f t="shared" si="237"/>
        <v>0</v>
      </c>
      <c r="CW682" s="663">
        <f t="shared" si="238"/>
        <v>0</v>
      </c>
      <c r="CX682" s="669"/>
      <c r="CY682" s="669"/>
      <c r="CZ682" s="669"/>
      <c r="DA682" s="548"/>
      <c r="DB682" s="548"/>
      <c r="DC682" s="548"/>
      <c r="DD682" s="669"/>
      <c r="DE682" s="669"/>
      <c r="DF682" s="669"/>
      <c r="DG682" s="669"/>
      <c r="DH682" s="669"/>
    </row>
    <row r="683" s="548" customFormat="1" ht="31" customHeight="1" spans="1:112">
      <c r="A683" s="660">
        <v>45898</v>
      </c>
      <c r="B683" s="661" t="s">
        <v>7688</v>
      </c>
      <c r="C683" s="662" t="s">
        <v>278</v>
      </c>
      <c r="D683" s="663">
        <v>4500178200</v>
      </c>
      <c r="E683" s="662">
        <v>13937817</v>
      </c>
      <c r="F683" s="663" t="s">
        <v>7689</v>
      </c>
      <c r="G683" s="662" t="s">
        <v>6136</v>
      </c>
      <c r="H683" s="662" t="s">
        <v>6137</v>
      </c>
      <c r="I683" s="662">
        <v>2808</v>
      </c>
      <c r="J683" s="662">
        <v>13</v>
      </c>
      <c r="K683" s="662">
        <f>J683*8</f>
        <v>104</v>
      </c>
      <c r="L683" s="665">
        <f t="shared" si="233"/>
        <v>27</v>
      </c>
      <c r="M683" s="666">
        <v>45947</v>
      </c>
      <c r="N683" s="666">
        <v>45943</v>
      </c>
      <c r="O683" s="664"/>
      <c r="P683" s="664" t="s">
        <v>113</v>
      </c>
      <c r="Q683" s="662"/>
      <c r="R683" s="667">
        <v>45912</v>
      </c>
      <c r="S683" s="667" t="s">
        <v>70</v>
      </c>
      <c r="T683" s="667">
        <v>45910</v>
      </c>
      <c r="U683" s="667"/>
      <c r="V683" s="667"/>
      <c r="W683" s="615"/>
      <c r="X683" s="661" t="s">
        <v>7690</v>
      </c>
      <c r="Y683" s="661" t="s">
        <v>1549</v>
      </c>
      <c r="Z683" s="661">
        <v>0.9077</v>
      </c>
      <c r="AA683" s="634">
        <f t="shared" si="239"/>
        <v>2548.8216</v>
      </c>
      <c r="AC683" s="638" t="s">
        <v>7691</v>
      </c>
      <c r="AD683" s="662" t="s">
        <v>6136</v>
      </c>
      <c r="AE683" s="662" t="s">
        <v>82</v>
      </c>
      <c r="AF683" s="662"/>
      <c r="AG683" s="662"/>
      <c r="AH683" s="662"/>
      <c r="AI683" s="662">
        <f>2704+104</f>
        <v>2808</v>
      </c>
      <c r="AJ683" s="662">
        <f t="shared" si="235"/>
        <v>0</v>
      </c>
      <c r="AK683" s="662"/>
      <c r="AL683" s="662"/>
      <c r="AM683" s="662"/>
      <c r="AN683" s="662"/>
      <c r="AO683" s="663">
        <f>I683</f>
        <v>2808</v>
      </c>
      <c r="AR683" s="680"/>
      <c r="AS683" s="548"/>
      <c r="AT683" s="554">
        <f>I683</f>
        <v>2808</v>
      </c>
      <c r="AU683" s="663"/>
      <c r="AV683" s="554">
        <f>I683</f>
        <v>2808</v>
      </c>
      <c r="AW683" s="669"/>
      <c r="AX683" s="663"/>
      <c r="AY683" s="548"/>
      <c r="AZ683" s="548"/>
      <c r="BA683" s="548"/>
      <c r="BB683" s="620">
        <f>I683/24</f>
        <v>117</v>
      </c>
      <c r="BC683" s="671"/>
      <c r="BD683" s="548"/>
      <c r="BE683" s="548"/>
      <c r="BF683" s="548"/>
      <c r="BM683" s="663">
        <f>I683/13</f>
        <v>216</v>
      </c>
      <c r="BY683" s="669"/>
      <c r="BZ683" s="548"/>
      <c r="CA683" s="672"/>
      <c r="CB683" s="567"/>
      <c r="CC683" s="673"/>
      <c r="CD683" s="669"/>
      <c r="CE683" s="669"/>
      <c r="CF683" s="548"/>
      <c r="CG683" s="548"/>
      <c r="CU683" s="554">
        <f t="shared" si="223"/>
        <v>0</v>
      </c>
      <c r="CV683" s="663">
        <f t="shared" si="237"/>
        <v>0</v>
      </c>
      <c r="CW683" s="663">
        <f t="shared" si="238"/>
        <v>0</v>
      </c>
      <c r="CX683" s="669"/>
      <c r="CY683" s="669"/>
      <c r="CZ683" s="669"/>
      <c r="DA683" s="548"/>
      <c r="DB683" s="548"/>
      <c r="DC683" s="548"/>
      <c r="DD683" s="669"/>
      <c r="DE683" s="669"/>
      <c r="DF683" s="669"/>
      <c r="DG683" s="669"/>
      <c r="DH683" s="669"/>
    </row>
    <row r="684" s="548" customFormat="1" ht="31" customHeight="1" spans="1:112">
      <c r="A684" s="660">
        <v>45902</v>
      </c>
      <c r="B684" s="609" t="s">
        <v>246</v>
      </c>
      <c r="C684" s="662" t="s">
        <v>98</v>
      </c>
      <c r="D684" s="663">
        <v>4500178501</v>
      </c>
      <c r="E684" s="662" t="s">
        <v>7692</v>
      </c>
      <c r="F684" s="663" t="s">
        <v>7693</v>
      </c>
      <c r="G684" s="662" t="s">
        <v>6084</v>
      </c>
      <c r="H684" s="662" t="s">
        <v>6069</v>
      </c>
      <c r="I684" s="662">
        <v>34825</v>
      </c>
      <c r="J684" s="662">
        <v>0</v>
      </c>
      <c r="K684" s="662">
        <v>25</v>
      </c>
      <c r="L684" s="665">
        <f t="shared" si="233"/>
        <v>1393</v>
      </c>
      <c r="M684" s="666">
        <v>45947</v>
      </c>
      <c r="N684" s="666">
        <v>45943</v>
      </c>
      <c r="O684" s="664"/>
      <c r="P684" s="664" t="s">
        <v>113</v>
      </c>
      <c r="Q684" s="662"/>
      <c r="R684" s="667">
        <v>45909</v>
      </c>
      <c r="S684" s="667" t="s">
        <v>104</v>
      </c>
      <c r="T684" s="667">
        <v>45919</v>
      </c>
      <c r="U684" s="667"/>
      <c r="V684" s="667"/>
      <c r="W684" s="615"/>
      <c r="X684" s="661" t="s">
        <v>7694</v>
      </c>
      <c r="Y684" s="661" t="s">
        <v>252</v>
      </c>
      <c r="Z684" s="675">
        <v>0.5488</v>
      </c>
      <c r="AA684" s="634">
        <f t="shared" si="239"/>
        <v>19111.96</v>
      </c>
      <c r="AC684" s="638" t="s">
        <v>7695</v>
      </c>
      <c r="AD684" s="662" t="s">
        <v>6084</v>
      </c>
      <c r="AE684" s="662" t="s">
        <v>82</v>
      </c>
      <c r="AF684" s="662"/>
      <c r="AG684" s="662"/>
      <c r="AH684" s="662"/>
      <c r="AI684" s="662">
        <f>22700+12075+50</f>
        <v>34825</v>
      </c>
      <c r="AJ684" s="662">
        <f t="shared" si="235"/>
        <v>0</v>
      </c>
      <c r="AK684" s="662"/>
      <c r="AL684" s="662"/>
      <c r="AM684" s="662"/>
      <c r="AN684" s="662">
        <f>I684</f>
        <v>34825</v>
      </c>
      <c r="AO684" s="663"/>
      <c r="AP684" s="554">
        <f>I684</f>
        <v>34825</v>
      </c>
      <c r="AR684" s="680"/>
      <c r="AS684" s="548"/>
      <c r="AT684" s="548"/>
      <c r="AU684" s="554">
        <f>I684</f>
        <v>34825</v>
      </c>
      <c r="AW684" s="669"/>
      <c r="AX684" s="663"/>
      <c r="AY684" s="548"/>
      <c r="AZ684" s="548"/>
      <c r="BA684" s="548"/>
      <c r="BB684" s="670">
        <f t="shared" si="236"/>
        <v>1451.04166666667</v>
      </c>
      <c r="BC684" s="671"/>
      <c r="BD684" s="548"/>
      <c r="BE684" s="548"/>
      <c r="BF684" s="548"/>
      <c r="BN684" s="663">
        <f>I684/25</f>
        <v>1393</v>
      </c>
      <c r="BY684" s="669"/>
      <c r="BZ684" s="548"/>
      <c r="CA684" s="672"/>
      <c r="CB684" s="567"/>
      <c r="CC684" s="673"/>
      <c r="CD684" s="669"/>
      <c r="CE684" s="669"/>
      <c r="CF684" s="548"/>
      <c r="CG684" s="548"/>
      <c r="CU684" s="554">
        <f t="shared" si="223"/>
        <v>1393</v>
      </c>
      <c r="CV684" s="663">
        <f t="shared" si="237"/>
        <v>0</v>
      </c>
      <c r="CW684" s="663">
        <f t="shared" si="238"/>
        <v>0</v>
      </c>
      <c r="CX684" s="669"/>
      <c r="CY684" s="669"/>
      <c r="CZ684" s="669"/>
      <c r="DA684" s="548"/>
      <c r="DB684" s="548"/>
      <c r="DC684" s="548"/>
      <c r="DD684" s="669"/>
      <c r="DE684" s="669"/>
      <c r="DF684" s="669"/>
      <c r="DG684" s="669"/>
      <c r="DH684" s="669"/>
    </row>
    <row r="685" s="548" customFormat="1" ht="31" customHeight="1" spans="1:112">
      <c r="A685" s="660">
        <v>45902</v>
      </c>
      <c r="B685" s="661" t="s">
        <v>3148</v>
      </c>
      <c r="C685" s="662" t="s">
        <v>170</v>
      </c>
      <c r="D685" s="663">
        <v>4500178548</v>
      </c>
      <c r="E685" s="662">
        <v>378456</v>
      </c>
      <c r="F685" s="663" t="s">
        <v>7696</v>
      </c>
      <c r="G685" s="662" t="s">
        <v>6084</v>
      </c>
      <c r="H685" s="662" t="s">
        <v>6069</v>
      </c>
      <c r="I685" s="662">
        <v>500</v>
      </c>
      <c r="J685" s="662">
        <v>0</v>
      </c>
      <c r="K685" s="662">
        <v>25</v>
      </c>
      <c r="L685" s="665">
        <f t="shared" si="233"/>
        <v>20</v>
      </c>
      <c r="M685" s="666">
        <v>45947</v>
      </c>
      <c r="N685" s="666">
        <v>45943</v>
      </c>
      <c r="O685" s="664"/>
      <c r="P685" s="664" t="s">
        <v>113</v>
      </c>
      <c r="Q685" s="662"/>
      <c r="R685" s="667">
        <v>45911</v>
      </c>
      <c r="S685" s="667" t="s">
        <v>70</v>
      </c>
      <c r="T685" s="667" t="s">
        <v>70</v>
      </c>
      <c r="U685" s="667"/>
      <c r="V685" s="667"/>
      <c r="W685" s="615"/>
      <c r="X685" s="661" t="s">
        <v>7697</v>
      </c>
      <c r="Y685" s="661" t="s">
        <v>1150</v>
      </c>
      <c r="Z685" s="675">
        <v>0.9394</v>
      </c>
      <c r="AA685" s="634">
        <f t="shared" si="239"/>
        <v>469.7</v>
      </c>
      <c r="AC685" s="676" t="s">
        <v>7698</v>
      </c>
      <c r="AD685" s="662" t="s">
        <v>6089</v>
      </c>
      <c r="AE685" s="662" t="s">
        <v>82</v>
      </c>
      <c r="AF685" s="662"/>
      <c r="AG685" s="662"/>
      <c r="AH685" s="662"/>
      <c r="AI685" s="662">
        <v>500</v>
      </c>
      <c r="AJ685" s="662">
        <f t="shared" si="235"/>
        <v>0</v>
      </c>
      <c r="AK685" s="662"/>
      <c r="AL685" s="662"/>
      <c r="AM685" s="662"/>
      <c r="AN685" s="662">
        <f>I685</f>
        <v>500</v>
      </c>
      <c r="AO685" s="663"/>
      <c r="AP685" s="548"/>
      <c r="AQ685" s="548"/>
      <c r="AR685" s="680"/>
      <c r="AS685" s="554">
        <f>I685</f>
        <v>500</v>
      </c>
      <c r="AU685" s="554">
        <f>I685</f>
        <v>500</v>
      </c>
      <c r="AW685" s="669"/>
      <c r="AX685" s="663"/>
      <c r="AY685" s="548"/>
      <c r="AZ685" s="548"/>
      <c r="BA685" s="548"/>
      <c r="BB685" s="670">
        <f t="shared" si="236"/>
        <v>20.8333333333333</v>
      </c>
      <c r="BC685" s="671"/>
      <c r="BD685" s="548"/>
      <c r="BE685" s="548"/>
      <c r="BF685" s="548"/>
      <c r="BO685" s="663">
        <f>I685/25</f>
        <v>20</v>
      </c>
      <c r="BY685" s="669"/>
      <c r="BZ685" s="548"/>
      <c r="CA685" s="672"/>
      <c r="CB685" s="567"/>
      <c r="CC685" s="673"/>
      <c r="CD685" s="669"/>
      <c r="CE685" s="669"/>
      <c r="CF685" s="548"/>
      <c r="CG685" s="548"/>
      <c r="CU685" s="554">
        <f t="shared" si="223"/>
        <v>20</v>
      </c>
      <c r="CV685" s="663">
        <f t="shared" si="237"/>
        <v>0</v>
      </c>
      <c r="CW685" s="663">
        <f t="shared" si="238"/>
        <v>0</v>
      </c>
      <c r="CX685" s="669"/>
      <c r="CY685" s="669"/>
      <c r="CZ685" s="669"/>
      <c r="DA685" s="548"/>
      <c r="DB685" s="548"/>
      <c r="DC685" s="548"/>
      <c r="DD685" s="669"/>
      <c r="DE685" s="669"/>
      <c r="DF685" s="669"/>
      <c r="DG685" s="669"/>
      <c r="DH685" s="669"/>
    </row>
    <row r="686" s="548" customFormat="1" ht="31" customHeight="1" spans="1:112">
      <c r="A686" s="660">
        <v>45910</v>
      </c>
      <c r="B686" s="661" t="s">
        <v>1971</v>
      </c>
      <c r="C686" s="662" t="s">
        <v>810</v>
      </c>
      <c r="D686" s="663">
        <v>4500179170</v>
      </c>
      <c r="E686" s="662"/>
      <c r="F686" s="663" t="s">
        <v>7699</v>
      </c>
      <c r="G686" s="662" t="s">
        <v>6043</v>
      </c>
      <c r="H686" s="662" t="s">
        <v>6110</v>
      </c>
      <c r="I686" s="662">
        <v>3000</v>
      </c>
      <c r="J686" s="662">
        <v>0</v>
      </c>
      <c r="K686" s="662">
        <v>50</v>
      </c>
      <c r="L686" s="665">
        <f t="shared" si="233"/>
        <v>60</v>
      </c>
      <c r="M686" s="666">
        <v>45947</v>
      </c>
      <c r="N686" s="666">
        <v>45943</v>
      </c>
      <c r="O686" s="664"/>
      <c r="P686" s="664" t="s">
        <v>113</v>
      </c>
      <c r="Q686" s="662"/>
      <c r="R686" s="667">
        <v>45910</v>
      </c>
      <c r="S686" s="667" t="s">
        <v>70</v>
      </c>
      <c r="T686" s="667" t="s">
        <v>7700</v>
      </c>
      <c r="U686" s="667"/>
      <c r="V686" s="667"/>
      <c r="W686" s="615"/>
      <c r="X686" s="661" t="s">
        <v>7701</v>
      </c>
      <c r="Y686" s="661" t="s">
        <v>230</v>
      </c>
      <c r="Z686" s="661">
        <v>0.9771</v>
      </c>
      <c r="AA686" s="634">
        <f t="shared" si="239"/>
        <v>2931.3</v>
      </c>
      <c r="AC686" s="676" t="s">
        <v>1976</v>
      </c>
      <c r="AD686" s="662" t="s">
        <v>7350</v>
      </c>
      <c r="AE686" s="662" t="s">
        <v>82</v>
      </c>
      <c r="AF686" s="662"/>
      <c r="AG686" s="662"/>
      <c r="AH686" s="662"/>
      <c r="AI686" s="662">
        <f>2900+100</f>
        <v>3000</v>
      </c>
      <c r="AJ686" s="662">
        <f t="shared" si="235"/>
        <v>0</v>
      </c>
      <c r="AK686" s="662"/>
      <c r="AL686" s="662"/>
      <c r="AM686" s="662"/>
      <c r="AN686" s="662"/>
      <c r="AO686" s="663">
        <f>I686</f>
        <v>3000</v>
      </c>
      <c r="AP686" s="554">
        <f>I686</f>
        <v>3000</v>
      </c>
      <c r="AR686" s="680"/>
      <c r="AS686" s="548"/>
      <c r="AT686" s="548"/>
      <c r="AU686" s="663"/>
      <c r="AV686" s="554">
        <f>I686</f>
        <v>3000</v>
      </c>
      <c r="AW686" s="669"/>
      <c r="AX686" s="663"/>
      <c r="AY686" s="548"/>
      <c r="AZ686" s="548"/>
      <c r="BA686" s="548"/>
      <c r="BB686" s="620">
        <f t="shared" si="236"/>
        <v>125</v>
      </c>
      <c r="BC686" s="671"/>
      <c r="BD686" s="548"/>
      <c r="BE686" s="548"/>
      <c r="BF686" s="548"/>
      <c r="BN686" s="663">
        <f>I686/25</f>
        <v>120</v>
      </c>
      <c r="BY686" s="669"/>
      <c r="BZ686" s="548"/>
      <c r="CA686" s="672"/>
      <c r="CB686" s="567"/>
      <c r="CC686" s="673"/>
      <c r="CD686" s="669"/>
      <c r="CE686" s="669"/>
      <c r="CF686" s="548"/>
      <c r="CG686" s="548"/>
      <c r="CU686" s="554">
        <f t="shared" si="223"/>
        <v>120</v>
      </c>
      <c r="CV686" s="663">
        <f t="shared" si="237"/>
        <v>0</v>
      </c>
      <c r="CW686" s="663">
        <f t="shared" si="238"/>
        <v>0</v>
      </c>
      <c r="CX686" s="669"/>
      <c r="CY686" s="669"/>
      <c r="CZ686" s="669"/>
      <c r="DA686" s="548"/>
      <c r="DB686" s="548"/>
      <c r="DC686" s="548"/>
      <c r="DD686" s="669"/>
      <c r="DE686" s="669"/>
      <c r="DF686" s="669"/>
      <c r="DG686" s="669"/>
      <c r="DH686" s="669"/>
    </row>
    <row r="687" s="548" customFormat="1" ht="31" customHeight="1" spans="1:112">
      <c r="A687" s="660">
        <v>45902</v>
      </c>
      <c r="B687" s="661" t="s">
        <v>6542</v>
      </c>
      <c r="C687" s="662" t="s">
        <v>278</v>
      </c>
      <c r="D687" s="663">
        <v>4500178312</v>
      </c>
      <c r="E687" s="662" t="s">
        <v>7702</v>
      </c>
      <c r="F687" s="663" t="s">
        <v>7703</v>
      </c>
      <c r="G687" s="662" t="s">
        <v>6043</v>
      </c>
      <c r="H687" s="662" t="s">
        <v>6110</v>
      </c>
      <c r="I687" s="662">
        <v>500</v>
      </c>
      <c r="J687" s="662">
        <v>0</v>
      </c>
      <c r="K687" s="662">
        <v>50</v>
      </c>
      <c r="L687" s="665">
        <f t="shared" si="233"/>
        <v>10</v>
      </c>
      <c r="M687" s="666">
        <v>45950</v>
      </c>
      <c r="N687" s="666">
        <v>45946</v>
      </c>
      <c r="O687" s="664"/>
      <c r="P687" s="664" t="s">
        <v>113</v>
      </c>
      <c r="Q687" s="662"/>
      <c r="R687" s="667" t="s">
        <v>7552</v>
      </c>
      <c r="S687" s="667" t="s">
        <v>70</v>
      </c>
      <c r="T687" s="667">
        <v>45917</v>
      </c>
      <c r="U687" s="667"/>
      <c r="V687" s="667"/>
      <c r="W687" s="615"/>
      <c r="X687" s="661" t="s">
        <v>7704</v>
      </c>
      <c r="Y687" s="661" t="s">
        <v>1894</v>
      </c>
      <c r="Z687" s="661">
        <v>0.9823</v>
      </c>
      <c r="AA687" s="634">
        <f t="shared" si="239"/>
        <v>491.15</v>
      </c>
      <c r="AC687" s="638" t="s">
        <v>7705</v>
      </c>
      <c r="AD687" s="661" t="s">
        <v>6043</v>
      </c>
      <c r="AE687" s="662" t="s">
        <v>82</v>
      </c>
      <c r="AF687" s="662"/>
      <c r="AG687" s="662"/>
      <c r="AH687" s="662"/>
      <c r="AI687" s="662">
        <f>450+50</f>
        <v>500</v>
      </c>
      <c r="AJ687" s="662">
        <f t="shared" si="235"/>
        <v>0</v>
      </c>
      <c r="AK687" s="662"/>
      <c r="AL687" s="662"/>
      <c r="AM687" s="662"/>
      <c r="AN687" s="662"/>
      <c r="AO687" s="663">
        <f>I687</f>
        <v>500</v>
      </c>
      <c r="AR687" s="680"/>
      <c r="AS687" s="548"/>
      <c r="AT687" s="554">
        <f>I687</f>
        <v>500</v>
      </c>
      <c r="AU687" s="663"/>
      <c r="AV687" s="554">
        <f>I687</f>
        <v>500</v>
      </c>
      <c r="AW687" s="669"/>
      <c r="AX687" s="663"/>
      <c r="AY687" s="548"/>
      <c r="AZ687" s="548"/>
      <c r="BA687" s="548"/>
      <c r="BB687" s="620">
        <f t="shared" si="236"/>
        <v>20.8333333333333</v>
      </c>
      <c r="BC687" s="671"/>
      <c r="BD687" s="548"/>
      <c r="BE687" s="548"/>
      <c r="BF687" s="548"/>
      <c r="BP687" s="663">
        <f>I687/25</f>
        <v>20</v>
      </c>
      <c r="BY687" s="669"/>
      <c r="BZ687" s="548"/>
      <c r="CA687" s="672"/>
      <c r="CB687" s="567"/>
      <c r="CC687" s="673"/>
      <c r="CD687" s="669"/>
      <c r="CE687" s="669"/>
      <c r="CF687" s="548"/>
      <c r="CG687" s="548"/>
      <c r="CU687" s="554">
        <f t="shared" si="223"/>
        <v>20</v>
      </c>
      <c r="CV687" s="663">
        <f t="shared" si="237"/>
        <v>0</v>
      </c>
      <c r="CW687" s="663">
        <f t="shared" si="238"/>
        <v>0</v>
      </c>
      <c r="CX687" s="669"/>
      <c r="CY687" s="669"/>
      <c r="CZ687" s="669"/>
      <c r="DA687" s="548"/>
      <c r="DB687" s="548"/>
      <c r="DC687" s="548"/>
      <c r="DD687" s="669"/>
      <c r="DE687" s="669"/>
      <c r="DF687" s="669"/>
      <c r="DG687" s="669"/>
      <c r="DH687" s="669"/>
    </row>
    <row r="688" s="548" customFormat="1" ht="31" customHeight="1" spans="1:112">
      <c r="A688" s="660">
        <v>45902</v>
      </c>
      <c r="B688" s="661" t="s">
        <v>871</v>
      </c>
      <c r="C688" s="662" t="s">
        <v>98</v>
      </c>
      <c r="D688" s="663">
        <v>4500178510</v>
      </c>
      <c r="E688" s="662" t="s">
        <v>7706</v>
      </c>
      <c r="F688" s="663" t="s">
        <v>7707</v>
      </c>
      <c r="G688" s="662" t="s">
        <v>6084</v>
      </c>
      <c r="H688" s="662" t="s">
        <v>6069</v>
      </c>
      <c r="I688" s="662">
        <v>4000</v>
      </c>
      <c r="J688" s="662">
        <v>0</v>
      </c>
      <c r="K688" s="662">
        <v>25</v>
      </c>
      <c r="L688" s="665">
        <f t="shared" si="233"/>
        <v>160</v>
      </c>
      <c r="M688" s="666">
        <v>45950</v>
      </c>
      <c r="N688" s="666">
        <v>45946</v>
      </c>
      <c r="O688" s="664"/>
      <c r="P688" s="664" t="s">
        <v>113</v>
      </c>
      <c r="Q688" s="662"/>
      <c r="R688" s="667">
        <v>45902</v>
      </c>
      <c r="S688" s="667" t="s">
        <v>70</v>
      </c>
      <c r="T688" s="667" t="s">
        <v>70</v>
      </c>
      <c r="U688" s="667"/>
      <c r="V688" s="667"/>
      <c r="W688" s="615"/>
      <c r="X688" s="661" t="s">
        <v>354</v>
      </c>
      <c r="Y688" s="661" t="s">
        <v>355</v>
      </c>
      <c r="Z688" s="675">
        <v>0.5708</v>
      </c>
      <c r="AA688" s="634">
        <f t="shared" si="239"/>
        <v>2283.2</v>
      </c>
      <c r="AC688" s="638" t="s">
        <v>7708</v>
      </c>
      <c r="AD688" s="662" t="s">
        <v>6084</v>
      </c>
      <c r="AE688" s="662" t="s">
        <v>82</v>
      </c>
      <c r="AF688" s="662"/>
      <c r="AG688" s="662"/>
      <c r="AH688" s="662"/>
      <c r="AI688" s="662">
        <v>4000</v>
      </c>
      <c r="AJ688" s="662">
        <f t="shared" si="235"/>
        <v>0</v>
      </c>
      <c r="AK688" s="662"/>
      <c r="AL688" s="662"/>
      <c r="AM688" s="662"/>
      <c r="AN688" s="662">
        <f>I688</f>
        <v>4000</v>
      </c>
      <c r="AO688" s="663"/>
      <c r="AP688" s="554">
        <f>I688</f>
        <v>4000</v>
      </c>
      <c r="AR688" s="680"/>
      <c r="AS688" s="548"/>
      <c r="AT688" s="548"/>
      <c r="AU688" s="554">
        <f>I688</f>
        <v>4000</v>
      </c>
      <c r="AW688" s="669"/>
      <c r="AX688" s="663"/>
      <c r="AY688" s="548"/>
      <c r="AZ688" s="548"/>
      <c r="BA688" s="548"/>
      <c r="BB688" s="670">
        <f t="shared" si="236"/>
        <v>166.666666666667</v>
      </c>
      <c r="BC688" s="671"/>
      <c r="BD688" s="548"/>
      <c r="BE688" s="548"/>
      <c r="BF688" s="548"/>
      <c r="BN688" s="663">
        <f>I688/25</f>
        <v>160</v>
      </c>
      <c r="BY688" s="669"/>
      <c r="BZ688" s="548"/>
      <c r="CA688" s="672"/>
      <c r="CB688" s="567"/>
      <c r="CC688" s="673"/>
      <c r="CD688" s="669"/>
      <c r="CE688" s="669"/>
      <c r="CF688" s="548"/>
      <c r="CG688" s="548"/>
      <c r="CU688" s="554">
        <f t="shared" si="223"/>
        <v>160</v>
      </c>
      <c r="CV688" s="663">
        <f t="shared" si="237"/>
        <v>0</v>
      </c>
      <c r="CW688" s="663">
        <f t="shared" si="238"/>
        <v>0</v>
      </c>
      <c r="CX688" s="669"/>
      <c r="CY688" s="669"/>
      <c r="CZ688" s="669"/>
      <c r="DA688" s="548"/>
      <c r="DB688" s="548"/>
      <c r="DC688" s="548"/>
      <c r="DD688" s="669"/>
      <c r="DE688" s="669"/>
      <c r="DF688" s="669"/>
      <c r="DG688" s="669"/>
      <c r="DH688" s="669"/>
    </row>
    <row r="689" s="548" customFormat="1" ht="31" customHeight="1" spans="1:112">
      <c r="A689" s="660">
        <v>45905</v>
      </c>
      <c r="B689" s="661" t="s">
        <v>139</v>
      </c>
      <c r="C689" s="662" t="s">
        <v>76</v>
      </c>
      <c r="D689" s="663">
        <v>4500178926</v>
      </c>
      <c r="E689" s="662">
        <v>21105441</v>
      </c>
      <c r="F689" s="663" t="s">
        <v>7709</v>
      </c>
      <c r="G689" s="662" t="s">
        <v>6093</v>
      </c>
      <c r="H689" s="662" t="s">
        <v>6094</v>
      </c>
      <c r="I689" s="662">
        <v>117</v>
      </c>
      <c r="J689" s="662">
        <v>0</v>
      </c>
      <c r="K689" s="662">
        <v>13</v>
      </c>
      <c r="L689" s="665">
        <f t="shared" si="233"/>
        <v>9</v>
      </c>
      <c r="M689" s="666">
        <v>45950</v>
      </c>
      <c r="N689" s="666">
        <v>45946</v>
      </c>
      <c r="O689" s="664"/>
      <c r="P689" s="664" t="s">
        <v>113</v>
      </c>
      <c r="Q689" s="662"/>
      <c r="R689" s="667">
        <v>45905</v>
      </c>
      <c r="S689" s="667" t="s">
        <v>104</v>
      </c>
      <c r="T689" s="667">
        <v>45923</v>
      </c>
      <c r="U689" s="667"/>
      <c r="V689" s="667"/>
      <c r="W689" s="615"/>
      <c r="X689" s="661" t="s">
        <v>7012</v>
      </c>
      <c r="Y689" s="661" t="s">
        <v>133</v>
      </c>
      <c r="Z689" s="675">
        <v>0.8999</v>
      </c>
      <c r="AA689" s="634">
        <f t="shared" si="239"/>
        <v>105.2883</v>
      </c>
      <c r="AC689" s="676" t="s">
        <v>7710</v>
      </c>
      <c r="AD689" s="662" t="s">
        <v>6093</v>
      </c>
      <c r="AE689" s="662" t="s">
        <v>82</v>
      </c>
      <c r="AF689" s="662"/>
      <c r="AG689" s="662"/>
      <c r="AH689" s="662"/>
      <c r="AI689" s="662">
        <v>117</v>
      </c>
      <c r="AJ689" s="662">
        <f t="shared" si="235"/>
        <v>0</v>
      </c>
      <c r="AK689" s="662"/>
      <c r="AL689" s="662"/>
      <c r="AM689" s="662"/>
      <c r="AN689" s="662"/>
      <c r="AO689" s="663">
        <f>I689</f>
        <v>117</v>
      </c>
      <c r="AR689" s="680"/>
      <c r="AS689" s="548"/>
      <c r="AT689" s="554">
        <f>I689</f>
        <v>117</v>
      </c>
      <c r="AU689" s="663"/>
      <c r="AV689" s="554">
        <f>I689</f>
        <v>117</v>
      </c>
      <c r="AW689" s="669"/>
      <c r="AX689" s="663"/>
      <c r="AY689" s="548"/>
      <c r="AZ689" s="548"/>
      <c r="BA689" s="548"/>
      <c r="BB689" s="620">
        <f t="shared" si="236"/>
        <v>4.875</v>
      </c>
      <c r="BC689" s="671"/>
      <c r="BD689" s="548"/>
      <c r="BE689" s="548"/>
      <c r="BF689" s="548"/>
      <c r="BM689" s="663">
        <f>I689/13</f>
        <v>9</v>
      </c>
      <c r="BY689" s="669"/>
      <c r="BZ689" s="548"/>
      <c r="CA689" s="672"/>
      <c r="CB689" s="567"/>
      <c r="CC689" s="673"/>
      <c r="CD689" s="669"/>
      <c r="CE689" s="669"/>
      <c r="CF689" s="548"/>
      <c r="CG689" s="548"/>
      <c r="CU689" s="554">
        <f t="shared" si="223"/>
        <v>0</v>
      </c>
      <c r="CV689" s="663">
        <f t="shared" si="237"/>
        <v>0</v>
      </c>
      <c r="CW689" s="663">
        <f t="shared" si="238"/>
        <v>0</v>
      </c>
      <c r="CX689" s="669"/>
      <c r="CY689" s="669"/>
      <c r="CZ689" s="669"/>
      <c r="DA689" s="548"/>
      <c r="DB689" s="548"/>
      <c r="DC689" s="548"/>
      <c r="DD689" s="669"/>
      <c r="DE689" s="669"/>
      <c r="DF689" s="669"/>
      <c r="DG689" s="669"/>
      <c r="DH689" s="669"/>
    </row>
    <row r="690" s="548" customFormat="1" ht="31" customHeight="1" spans="1:112">
      <c r="A690" s="660">
        <v>45905</v>
      </c>
      <c r="B690" s="661" t="s">
        <v>135</v>
      </c>
      <c r="C690" s="662" t="s">
        <v>128</v>
      </c>
      <c r="D690" s="663">
        <v>4500178925</v>
      </c>
      <c r="E690" s="662">
        <v>21105438</v>
      </c>
      <c r="F690" s="663" t="s">
        <v>7711</v>
      </c>
      <c r="G690" s="662" t="s">
        <v>6093</v>
      </c>
      <c r="H690" s="662" t="s">
        <v>6094</v>
      </c>
      <c r="I690" s="662">
        <v>2080</v>
      </c>
      <c r="J690" s="662">
        <v>0</v>
      </c>
      <c r="K690" s="662">
        <v>13</v>
      </c>
      <c r="L690" s="665">
        <f t="shared" si="233"/>
        <v>160</v>
      </c>
      <c r="M690" s="666">
        <v>45950</v>
      </c>
      <c r="N690" s="666">
        <v>45946</v>
      </c>
      <c r="O690" s="664"/>
      <c r="P690" s="664" t="s">
        <v>113</v>
      </c>
      <c r="Q690" s="662"/>
      <c r="R690" s="667">
        <v>45905</v>
      </c>
      <c r="S690" s="667" t="s">
        <v>104</v>
      </c>
      <c r="T690" s="667">
        <v>45923</v>
      </c>
      <c r="U690" s="667"/>
      <c r="V690" s="667"/>
      <c r="W690" s="615"/>
      <c r="X690" s="661" t="s">
        <v>6288</v>
      </c>
      <c r="Y690" s="661" t="s">
        <v>133</v>
      </c>
      <c r="Z690" s="675">
        <v>0.8947</v>
      </c>
      <c r="AA690" s="634">
        <f t="shared" si="239"/>
        <v>1860.976</v>
      </c>
      <c r="AC690" s="676" t="s">
        <v>7712</v>
      </c>
      <c r="AD690" s="662" t="s">
        <v>6093</v>
      </c>
      <c r="AE690" s="662" t="s">
        <v>82</v>
      </c>
      <c r="AF690" s="662"/>
      <c r="AG690" s="662"/>
      <c r="AH690" s="662"/>
      <c r="AI690" s="662">
        <v>2080</v>
      </c>
      <c r="AJ690" s="662">
        <f t="shared" si="235"/>
        <v>0</v>
      </c>
      <c r="AK690" s="662"/>
      <c r="AL690" s="662"/>
      <c r="AM690" s="662"/>
      <c r="AN690" s="662"/>
      <c r="AO690" s="663">
        <f>I690</f>
        <v>2080</v>
      </c>
      <c r="AR690" s="680"/>
      <c r="AS690" s="548"/>
      <c r="AT690" s="554">
        <f>I690</f>
        <v>2080</v>
      </c>
      <c r="AU690" s="663"/>
      <c r="AV690" s="554">
        <f>I690</f>
        <v>2080</v>
      </c>
      <c r="AW690" s="669"/>
      <c r="AX690" s="663"/>
      <c r="AY690" s="548"/>
      <c r="AZ690" s="548"/>
      <c r="BA690" s="548"/>
      <c r="BB690" s="620">
        <f t="shared" si="236"/>
        <v>86.6666666666667</v>
      </c>
      <c r="BC690" s="671"/>
      <c r="BD690" s="548"/>
      <c r="BE690" s="548"/>
      <c r="BF690" s="548"/>
      <c r="BM690" s="663">
        <f>I690/13</f>
        <v>160</v>
      </c>
      <c r="BY690" s="669"/>
      <c r="BZ690" s="548"/>
      <c r="CA690" s="672"/>
      <c r="CB690" s="567"/>
      <c r="CC690" s="673"/>
      <c r="CD690" s="669"/>
      <c r="CE690" s="669"/>
      <c r="CF690" s="548"/>
      <c r="CG690" s="548"/>
      <c r="CU690" s="554">
        <f t="shared" si="223"/>
        <v>0</v>
      </c>
      <c r="CV690" s="663">
        <f t="shared" si="237"/>
        <v>0</v>
      </c>
      <c r="CW690" s="663">
        <f t="shared" si="238"/>
        <v>0</v>
      </c>
      <c r="CX690" s="669"/>
      <c r="CY690" s="669"/>
      <c r="CZ690" s="669"/>
      <c r="DA690" s="548"/>
      <c r="DB690" s="548"/>
      <c r="DC690" s="548"/>
      <c r="DD690" s="669"/>
      <c r="DE690" s="669"/>
      <c r="DF690" s="669"/>
      <c r="DG690" s="669"/>
      <c r="DH690" s="669"/>
    </row>
    <row r="691" s="548" customFormat="1" ht="31" customHeight="1" spans="1:112">
      <c r="A691" s="660">
        <v>45905</v>
      </c>
      <c r="B691" s="661" t="s">
        <v>370</v>
      </c>
      <c r="C691" s="662" t="s">
        <v>241</v>
      </c>
      <c r="D691" s="663">
        <v>4500178606</v>
      </c>
      <c r="E691" s="664">
        <v>32686863</v>
      </c>
      <c r="F691" s="663" t="s">
        <v>7713</v>
      </c>
      <c r="G691" s="662" t="s">
        <v>6047</v>
      </c>
      <c r="H691" s="662" t="s">
        <v>6069</v>
      </c>
      <c r="I691" s="662">
        <v>1000</v>
      </c>
      <c r="J691" s="662">
        <v>0</v>
      </c>
      <c r="K691" s="662">
        <v>25</v>
      </c>
      <c r="L691" s="665">
        <f t="shared" si="233"/>
        <v>40</v>
      </c>
      <c r="M691" s="666">
        <v>45950</v>
      </c>
      <c r="N691" s="666">
        <v>45946</v>
      </c>
      <c r="O691" s="664"/>
      <c r="P691" s="664" t="s">
        <v>113</v>
      </c>
      <c r="Q691" s="662"/>
      <c r="R691" s="667">
        <v>45905</v>
      </c>
      <c r="S691" s="667" t="s">
        <v>70</v>
      </c>
      <c r="T691" s="667" t="s">
        <v>7714</v>
      </c>
      <c r="U691" s="667"/>
      <c r="V691" s="667"/>
      <c r="W691" s="615"/>
      <c r="X691" s="661" t="s">
        <v>7715</v>
      </c>
      <c r="Y691" s="661" t="s">
        <v>299</v>
      </c>
      <c r="Z691" s="675">
        <v>0.9781</v>
      </c>
      <c r="AA691" s="634">
        <f t="shared" si="239"/>
        <v>978.1</v>
      </c>
      <c r="AC691" s="638" t="s">
        <v>7716</v>
      </c>
      <c r="AD691" s="662" t="s">
        <v>6047</v>
      </c>
      <c r="AE691" s="662" t="s">
        <v>82</v>
      </c>
      <c r="AF691" s="662"/>
      <c r="AG691" s="662"/>
      <c r="AH691" s="662"/>
      <c r="AI691" s="662">
        <v>1000</v>
      </c>
      <c r="AJ691" s="662">
        <f t="shared" si="235"/>
        <v>0</v>
      </c>
      <c r="AK691" s="662"/>
      <c r="AL691" s="662"/>
      <c r="AM691" s="662"/>
      <c r="AN691" s="662"/>
      <c r="AO691" s="663">
        <f>I691</f>
        <v>1000</v>
      </c>
      <c r="AR691" s="680"/>
      <c r="AS691" s="548"/>
      <c r="AT691" s="554">
        <f>I691</f>
        <v>1000</v>
      </c>
      <c r="AU691" s="663"/>
      <c r="AV691" s="554">
        <f>I691</f>
        <v>1000</v>
      </c>
      <c r="AW691" s="669"/>
      <c r="AX691" s="663"/>
      <c r="AY691" s="548"/>
      <c r="AZ691" s="548"/>
      <c r="BA691" s="548"/>
      <c r="BB691" s="620">
        <f t="shared" si="236"/>
        <v>41.6666666666667</v>
      </c>
      <c r="BC691" s="671"/>
      <c r="BD691" s="548"/>
      <c r="BE691" s="548"/>
      <c r="BF691" s="548"/>
      <c r="BP691" s="663">
        <f>I691/25</f>
        <v>40</v>
      </c>
      <c r="BY691" s="669"/>
      <c r="BZ691" s="548"/>
      <c r="CA691" s="672"/>
      <c r="CB691" s="567"/>
      <c r="CC691" s="673"/>
      <c r="CD691" s="669"/>
      <c r="CE691" s="669"/>
      <c r="CF691" s="548"/>
      <c r="CG691" s="548"/>
      <c r="CU691" s="554">
        <f t="shared" ref="CU691:CU696" si="240">BQ691+BP691+BO691+BN691+BX691+BR691</f>
        <v>40</v>
      </c>
      <c r="CV691" s="663">
        <f t="shared" si="237"/>
        <v>0</v>
      </c>
      <c r="CW691" s="663">
        <f t="shared" si="238"/>
        <v>0</v>
      </c>
      <c r="CX691" s="669"/>
      <c r="CY691" s="669"/>
      <c r="CZ691" s="669"/>
      <c r="DA691" s="548"/>
      <c r="DB691" s="548"/>
      <c r="DC691" s="548"/>
      <c r="DD691" s="669"/>
      <c r="DE691" s="669"/>
      <c r="DF691" s="669"/>
      <c r="DG691" s="669"/>
      <c r="DH691" s="669"/>
    </row>
    <row r="692" s="548" customFormat="1" ht="31" customHeight="1" spans="1:112">
      <c r="A692" s="660">
        <v>45912</v>
      </c>
      <c r="B692" s="661" t="s">
        <v>143</v>
      </c>
      <c r="C692" s="662" t="s">
        <v>98</v>
      </c>
      <c r="D692" s="663">
        <v>4500179417</v>
      </c>
      <c r="E692" s="664">
        <v>944785649</v>
      </c>
      <c r="F692" s="663" t="s">
        <v>7717</v>
      </c>
      <c r="G692" s="662" t="s">
        <v>6063</v>
      </c>
      <c r="H692" s="662" t="s">
        <v>6064</v>
      </c>
      <c r="I692" s="662">
        <v>19200</v>
      </c>
      <c r="J692" s="662">
        <v>0</v>
      </c>
      <c r="K692" s="662">
        <v>16</v>
      </c>
      <c r="L692" s="665">
        <f t="shared" si="233"/>
        <v>1200</v>
      </c>
      <c r="M692" s="666">
        <v>45945</v>
      </c>
      <c r="N692" s="666">
        <v>45943</v>
      </c>
      <c r="O692" s="674" t="s">
        <v>7677</v>
      </c>
      <c r="P692" s="664" t="s">
        <v>113</v>
      </c>
      <c r="Q692" s="662" t="s">
        <v>1824</v>
      </c>
      <c r="R692" s="667" t="s">
        <v>7064</v>
      </c>
      <c r="S692" s="667" t="s">
        <v>70</v>
      </c>
      <c r="T692" s="667" t="s">
        <v>148</v>
      </c>
      <c r="U692" s="667"/>
      <c r="V692" s="667"/>
      <c r="W692" s="615"/>
      <c r="X692" s="661" t="s">
        <v>7065</v>
      </c>
      <c r="Y692" s="661" t="s">
        <v>106</v>
      </c>
      <c r="Z692" s="661">
        <v>0.5905</v>
      </c>
      <c r="AA692" s="634">
        <f t="shared" si="239"/>
        <v>11337.6</v>
      </c>
      <c r="AC692" s="638" t="s">
        <v>7718</v>
      </c>
      <c r="AD692" s="662" t="s">
        <v>6063</v>
      </c>
      <c r="AE692" s="662" t="s">
        <v>82</v>
      </c>
      <c r="AF692" s="662"/>
      <c r="AG692" s="662"/>
      <c r="AH692" s="662"/>
      <c r="AI692" s="662">
        <v>19200</v>
      </c>
      <c r="AJ692" s="662">
        <f t="shared" si="235"/>
        <v>0</v>
      </c>
      <c r="AK692" s="662"/>
      <c r="AL692" s="662"/>
      <c r="AM692" s="662"/>
      <c r="AN692" s="662">
        <f>I692</f>
        <v>19200</v>
      </c>
      <c r="AO692" s="663"/>
      <c r="AP692" s="554">
        <f>I692</f>
        <v>19200</v>
      </c>
      <c r="AR692" s="680"/>
      <c r="AS692" s="548"/>
      <c r="AT692" s="548"/>
      <c r="AU692" s="554">
        <f>I692</f>
        <v>19200</v>
      </c>
      <c r="AV692" s="663"/>
      <c r="AW692" s="669"/>
      <c r="AX692" s="663"/>
      <c r="AY692" s="548"/>
      <c r="AZ692" s="548"/>
      <c r="BA692" s="548"/>
      <c r="BB692" s="670">
        <f t="shared" ref="BB692:BB699" si="241">I692/24</f>
        <v>800</v>
      </c>
      <c r="BC692" s="671"/>
      <c r="BD692" s="548"/>
      <c r="BE692" s="548"/>
      <c r="BF692" s="548"/>
      <c r="BQ692" s="663">
        <f>I692/16</f>
        <v>1200</v>
      </c>
      <c r="BY692" s="669"/>
      <c r="BZ692" s="548"/>
      <c r="CA692" s="672"/>
      <c r="CB692" s="567"/>
      <c r="CC692" s="673"/>
      <c r="CD692" s="669"/>
      <c r="CE692" s="669"/>
      <c r="CF692" s="548"/>
      <c r="CG692" s="548"/>
      <c r="CU692" s="554">
        <f t="shared" si="240"/>
        <v>1200</v>
      </c>
      <c r="CV692" s="663">
        <f t="shared" si="237"/>
        <v>0</v>
      </c>
      <c r="CW692" s="663">
        <f t="shared" si="238"/>
        <v>0</v>
      </c>
      <c r="CX692" s="669"/>
      <c r="CY692" s="669"/>
      <c r="CZ692" s="669"/>
      <c r="DA692" s="548"/>
      <c r="DB692" s="548"/>
      <c r="DC692" s="548"/>
      <c r="DD692" s="669"/>
      <c r="DE692" s="669"/>
      <c r="DF692" s="669"/>
      <c r="DG692" s="669"/>
      <c r="DH692" s="669"/>
    </row>
    <row r="693" s="548" customFormat="1" ht="31" customHeight="1" spans="1:112">
      <c r="A693" s="660">
        <v>45912</v>
      </c>
      <c r="B693" s="661" t="s">
        <v>143</v>
      </c>
      <c r="C693" s="662" t="s">
        <v>98</v>
      </c>
      <c r="D693" s="663">
        <v>4500179417</v>
      </c>
      <c r="E693" s="664">
        <v>944785654</v>
      </c>
      <c r="F693" s="663" t="s">
        <v>7719</v>
      </c>
      <c r="G693" s="662" t="s">
        <v>6063</v>
      </c>
      <c r="H693" s="662" t="s">
        <v>6064</v>
      </c>
      <c r="I693" s="662">
        <v>13440</v>
      </c>
      <c r="J693" s="662">
        <v>0</v>
      </c>
      <c r="K693" s="662">
        <v>16</v>
      </c>
      <c r="L693" s="665">
        <f t="shared" si="233"/>
        <v>840</v>
      </c>
      <c r="M693" s="666">
        <v>45945</v>
      </c>
      <c r="N693" s="666">
        <v>45943</v>
      </c>
      <c r="O693" s="674" t="s">
        <v>7677</v>
      </c>
      <c r="P693" s="664" t="s">
        <v>113</v>
      </c>
      <c r="Q693" s="662" t="s">
        <v>1824</v>
      </c>
      <c r="R693" s="667" t="s">
        <v>7064</v>
      </c>
      <c r="S693" s="667" t="s">
        <v>70</v>
      </c>
      <c r="T693" s="667" t="s">
        <v>148</v>
      </c>
      <c r="U693" s="667"/>
      <c r="V693" s="667"/>
      <c r="W693" s="615"/>
      <c r="X693" s="661" t="s">
        <v>7065</v>
      </c>
      <c r="Y693" s="661" t="s">
        <v>106</v>
      </c>
      <c r="Z693" s="661">
        <v>0.5905</v>
      </c>
      <c r="AA693" s="634">
        <f t="shared" si="239"/>
        <v>7936.32</v>
      </c>
      <c r="AC693" s="638" t="s">
        <v>7720</v>
      </c>
      <c r="AD693" s="662" t="s">
        <v>6063</v>
      </c>
      <c r="AE693" s="662" t="s">
        <v>82</v>
      </c>
      <c r="AF693" s="662"/>
      <c r="AG693" s="662"/>
      <c r="AH693" s="662"/>
      <c r="AI693" s="662">
        <f>2112+11328</f>
        <v>13440</v>
      </c>
      <c r="AJ693" s="662">
        <f t="shared" si="235"/>
        <v>0</v>
      </c>
      <c r="AK693" s="662"/>
      <c r="AL693" s="662"/>
      <c r="AM693" s="662"/>
      <c r="AN693" s="662">
        <f>I693</f>
        <v>13440</v>
      </c>
      <c r="AO693" s="663"/>
      <c r="AP693" s="554">
        <f>I693</f>
        <v>13440</v>
      </c>
      <c r="AR693" s="680"/>
      <c r="AS693" s="548"/>
      <c r="AT693" s="548"/>
      <c r="AU693" s="554">
        <f>I693</f>
        <v>13440</v>
      </c>
      <c r="AV693" s="663"/>
      <c r="AW693" s="669"/>
      <c r="AX693" s="663"/>
      <c r="AY693" s="548"/>
      <c r="AZ693" s="548"/>
      <c r="BA693" s="548"/>
      <c r="BB693" s="670">
        <f t="shared" si="241"/>
        <v>560</v>
      </c>
      <c r="BC693" s="671"/>
      <c r="BD693" s="548"/>
      <c r="BE693" s="548"/>
      <c r="BF693" s="548"/>
      <c r="BQ693" s="663">
        <f>I693/16</f>
        <v>840</v>
      </c>
      <c r="BY693" s="669"/>
      <c r="BZ693" s="548"/>
      <c r="CA693" s="672"/>
      <c r="CB693" s="567"/>
      <c r="CC693" s="673"/>
      <c r="CD693" s="669"/>
      <c r="CE693" s="669"/>
      <c r="CF693" s="548"/>
      <c r="CG693" s="548"/>
      <c r="CU693" s="554">
        <f t="shared" si="240"/>
        <v>840</v>
      </c>
      <c r="CV693" s="663">
        <f t="shared" si="237"/>
        <v>0</v>
      </c>
      <c r="CW693" s="663">
        <f t="shared" si="238"/>
        <v>0</v>
      </c>
      <c r="CX693" s="669"/>
      <c r="CY693" s="669"/>
      <c r="CZ693" s="669"/>
      <c r="DA693" s="548"/>
      <c r="DB693" s="548"/>
      <c r="DC693" s="548"/>
      <c r="DD693" s="669"/>
      <c r="DE693" s="669"/>
      <c r="DF693" s="669"/>
      <c r="DG693" s="669"/>
      <c r="DH693" s="669"/>
    </row>
    <row r="694" s="548" customFormat="1" ht="31" customHeight="1" spans="1:112">
      <c r="A694" s="660">
        <v>45912</v>
      </c>
      <c r="B694" s="661" t="s">
        <v>143</v>
      </c>
      <c r="C694" s="662" t="s">
        <v>98</v>
      </c>
      <c r="D694" s="663">
        <v>4500179417</v>
      </c>
      <c r="E694" s="664">
        <v>944785672</v>
      </c>
      <c r="F694" s="663" t="s">
        <v>7721</v>
      </c>
      <c r="G694" s="662" t="s">
        <v>6063</v>
      </c>
      <c r="H694" s="662" t="s">
        <v>6064</v>
      </c>
      <c r="I694" s="662">
        <v>10560</v>
      </c>
      <c r="J694" s="662">
        <v>0</v>
      </c>
      <c r="K694" s="662">
        <v>16</v>
      </c>
      <c r="L694" s="665">
        <f t="shared" si="233"/>
        <v>660</v>
      </c>
      <c r="M694" s="666">
        <v>45945</v>
      </c>
      <c r="N694" s="666">
        <v>45943</v>
      </c>
      <c r="O694" s="674" t="s">
        <v>7677</v>
      </c>
      <c r="P694" s="664" t="s">
        <v>113</v>
      </c>
      <c r="Q694" s="662" t="s">
        <v>1824</v>
      </c>
      <c r="R694" s="667" t="s">
        <v>7064</v>
      </c>
      <c r="S694" s="667" t="s">
        <v>70</v>
      </c>
      <c r="T694" s="667" t="s">
        <v>148</v>
      </c>
      <c r="U694" s="667"/>
      <c r="V694" s="667"/>
      <c r="W694" s="615"/>
      <c r="X694" s="661" t="s">
        <v>7065</v>
      </c>
      <c r="Y694" s="661" t="s">
        <v>106</v>
      </c>
      <c r="Z694" s="661">
        <v>0.5905</v>
      </c>
      <c r="AA694" s="634">
        <f t="shared" si="239"/>
        <v>6235.68</v>
      </c>
      <c r="AC694" s="638" t="s">
        <v>7722</v>
      </c>
      <c r="AD694" s="662" t="s">
        <v>6063</v>
      </c>
      <c r="AE694" s="662" t="s">
        <v>82</v>
      </c>
      <c r="AF694" s="662"/>
      <c r="AG694" s="662"/>
      <c r="AH694" s="662"/>
      <c r="AI694" s="662">
        <v>10560</v>
      </c>
      <c r="AJ694" s="662">
        <f t="shared" si="235"/>
        <v>0</v>
      </c>
      <c r="AK694" s="662"/>
      <c r="AL694" s="662"/>
      <c r="AM694" s="662"/>
      <c r="AN694" s="662">
        <f>I694</f>
        <v>10560</v>
      </c>
      <c r="AO694" s="663"/>
      <c r="AP694" s="554">
        <f>I694</f>
        <v>10560</v>
      </c>
      <c r="AR694" s="680"/>
      <c r="AS694" s="548"/>
      <c r="AT694" s="548"/>
      <c r="AU694" s="554">
        <f>I694</f>
        <v>10560</v>
      </c>
      <c r="AV694" s="663"/>
      <c r="AW694" s="669"/>
      <c r="AX694" s="663"/>
      <c r="AY694" s="548"/>
      <c r="AZ694" s="548"/>
      <c r="BA694" s="548"/>
      <c r="BB694" s="670">
        <f t="shared" si="241"/>
        <v>440</v>
      </c>
      <c r="BC694" s="671"/>
      <c r="BD694" s="548"/>
      <c r="BE694" s="548"/>
      <c r="BF694" s="548"/>
      <c r="BQ694" s="663">
        <f>I694/16</f>
        <v>660</v>
      </c>
      <c r="BY694" s="669"/>
      <c r="BZ694" s="548"/>
      <c r="CA694" s="672"/>
      <c r="CB694" s="567"/>
      <c r="CC694" s="673"/>
      <c r="CD694" s="669"/>
      <c r="CE694" s="669"/>
      <c r="CF694" s="548"/>
      <c r="CG694" s="548"/>
      <c r="CU694" s="554">
        <f t="shared" si="240"/>
        <v>660</v>
      </c>
      <c r="CV694" s="663">
        <f t="shared" si="237"/>
        <v>0</v>
      </c>
      <c r="CW694" s="663">
        <f t="shared" si="238"/>
        <v>0</v>
      </c>
      <c r="CX694" s="669"/>
      <c r="CY694" s="669"/>
      <c r="CZ694" s="669"/>
      <c r="DA694" s="548"/>
      <c r="DB694" s="548"/>
      <c r="DC694" s="548"/>
      <c r="DD694" s="669"/>
      <c r="DE694" s="669"/>
      <c r="DF694" s="669"/>
      <c r="DG694" s="669"/>
      <c r="DH694" s="669"/>
    </row>
    <row r="695" s="548" customFormat="1" ht="31" customHeight="1" spans="1:112">
      <c r="A695" s="660">
        <v>45919</v>
      </c>
      <c r="B695" s="661" t="s">
        <v>143</v>
      </c>
      <c r="C695" s="662" t="s">
        <v>98</v>
      </c>
      <c r="D695" s="663">
        <v>4500179943</v>
      </c>
      <c r="E695" s="664">
        <v>946374465</v>
      </c>
      <c r="F695" s="663" t="s">
        <v>7723</v>
      </c>
      <c r="G695" s="662" t="s">
        <v>6063</v>
      </c>
      <c r="H695" s="662" t="s">
        <v>6064</v>
      </c>
      <c r="I695" s="662">
        <v>21120</v>
      </c>
      <c r="J695" s="662">
        <v>0</v>
      </c>
      <c r="K695" s="662">
        <v>16</v>
      </c>
      <c r="L695" s="665">
        <f t="shared" si="233"/>
        <v>1320</v>
      </c>
      <c r="M695" s="666">
        <v>45950</v>
      </c>
      <c r="N695" s="666">
        <v>45946</v>
      </c>
      <c r="O695" s="664" t="s">
        <v>7724</v>
      </c>
      <c r="P695" s="664" t="s">
        <v>113</v>
      </c>
      <c r="Q695" s="662" t="s">
        <v>1824</v>
      </c>
      <c r="R695" s="667" t="s">
        <v>7064</v>
      </c>
      <c r="S695" s="667" t="s">
        <v>70</v>
      </c>
      <c r="T695" s="667" t="s">
        <v>148</v>
      </c>
      <c r="U695" s="667"/>
      <c r="V695" s="667"/>
      <c r="W695" s="615"/>
      <c r="X695" s="661" t="s">
        <v>7725</v>
      </c>
      <c r="Y695" s="661" t="s">
        <v>106</v>
      </c>
      <c r="Z695" s="661">
        <v>0.5671</v>
      </c>
      <c r="AA695" s="634">
        <f t="shared" si="239"/>
        <v>11977.152</v>
      </c>
      <c r="AC695" s="638" t="s">
        <v>7726</v>
      </c>
      <c r="AD695" s="662" t="s">
        <v>6063</v>
      </c>
      <c r="AE695" s="662" t="s">
        <v>82</v>
      </c>
      <c r="AF695" s="662"/>
      <c r="AG695" s="662"/>
      <c r="AH695" s="662"/>
      <c r="AI695" s="662">
        <f>10208+32+10880</f>
        <v>21120</v>
      </c>
      <c r="AJ695" s="662">
        <f t="shared" si="235"/>
        <v>0</v>
      </c>
      <c r="AK695" s="662"/>
      <c r="AL695" s="662"/>
      <c r="AM695" s="662"/>
      <c r="AN695" s="662">
        <f>I695</f>
        <v>21120</v>
      </c>
      <c r="AO695" s="663"/>
      <c r="AP695" s="554">
        <f>I695</f>
        <v>21120</v>
      </c>
      <c r="AR695" s="680"/>
      <c r="AS695" s="548"/>
      <c r="AT695" s="548"/>
      <c r="AU695" s="554">
        <f>I695</f>
        <v>21120</v>
      </c>
      <c r="AW695" s="669"/>
      <c r="AX695" s="663"/>
      <c r="AY695" s="548"/>
      <c r="AZ695" s="548"/>
      <c r="BA695" s="548"/>
      <c r="BB695" s="670">
        <f t="shared" si="241"/>
        <v>880</v>
      </c>
      <c r="BC695" s="671"/>
      <c r="BD695" s="548"/>
      <c r="BE695" s="548"/>
      <c r="BF695" s="548"/>
      <c r="BQ695" s="663">
        <f>I695/16</f>
        <v>1320</v>
      </c>
      <c r="BY695" s="669"/>
      <c r="BZ695" s="548"/>
      <c r="CA695" s="672"/>
      <c r="CB695" s="567"/>
      <c r="CC695" s="673"/>
      <c r="CD695" s="669"/>
      <c r="CE695" s="669"/>
      <c r="CF695" s="548"/>
      <c r="CG695" s="548"/>
      <c r="CU695" s="554">
        <f t="shared" si="240"/>
        <v>1320</v>
      </c>
      <c r="CV695" s="663">
        <f t="shared" si="237"/>
        <v>0</v>
      </c>
      <c r="CW695" s="663">
        <f t="shared" si="238"/>
        <v>0</v>
      </c>
      <c r="CX695" s="669"/>
      <c r="CY695" s="669"/>
      <c r="CZ695" s="669"/>
      <c r="DA695" s="548"/>
      <c r="DB695" s="548"/>
      <c r="DC695" s="548"/>
      <c r="DD695" s="669"/>
      <c r="DE695" s="669"/>
      <c r="DF695" s="669"/>
      <c r="DG695" s="669"/>
      <c r="DH695" s="669"/>
    </row>
    <row r="696" s="548" customFormat="1" ht="31" customHeight="1" spans="1:112">
      <c r="A696" s="660">
        <v>45919</v>
      </c>
      <c r="B696" s="661" t="s">
        <v>143</v>
      </c>
      <c r="C696" s="662" t="s">
        <v>98</v>
      </c>
      <c r="D696" s="663">
        <v>4500179943</v>
      </c>
      <c r="E696" s="664">
        <v>946374436</v>
      </c>
      <c r="F696" s="663" t="s">
        <v>7727</v>
      </c>
      <c r="G696" s="662" t="s">
        <v>6063</v>
      </c>
      <c r="H696" s="662" t="s">
        <v>6064</v>
      </c>
      <c r="I696" s="662">
        <v>5760</v>
      </c>
      <c r="J696" s="662">
        <v>0</v>
      </c>
      <c r="K696" s="662">
        <v>16</v>
      </c>
      <c r="L696" s="665">
        <f t="shared" si="233"/>
        <v>360</v>
      </c>
      <c r="M696" s="666">
        <v>45951</v>
      </c>
      <c r="N696" s="666">
        <v>45947</v>
      </c>
      <c r="O696" s="664" t="s">
        <v>7728</v>
      </c>
      <c r="P696" s="664" t="s">
        <v>113</v>
      </c>
      <c r="Q696" s="662" t="s">
        <v>1824</v>
      </c>
      <c r="R696" s="667" t="s">
        <v>7064</v>
      </c>
      <c r="S696" s="667" t="s">
        <v>70</v>
      </c>
      <c r="T696" s="667" t="s">
        <v>148</v>
      </c>
      <c r="U696" s="667"/>
      <c r="V696" s="667"/>
      <c r="W696" s="615"/>
      <c r="X696" s="661" t="s">
        <v>7725</v>
      </c>
      <c r="Y696" s="661" t="s">
        <v>106</v>
      </c>
      <c r="Z696" s="661">
        <v>0.5671</v>
      </c>
      <c r="AA696" s="634">
        <f t="shared" si="239"/>
        <v>3266.496</v>
      </c>
      <c r="AC696" s="638" t="s">
        <v>7729</v>
      </c>
      <c r="AD696" s="662" t="s">
        <v>6063</v>
      </c>
      <c r="AE696" s="662" t="s">
        <v>82</v>
      </c>
      <c r="AF696" s="662"/>
      <c r="AG696" s="662"/>
      <c r="AH696" s="662"/>
      <c r="AI696" s="662">
        <f>32+5728</f>
        <v>5760</v>
      </c>
      <c r="AJ696" s="662">
        <f t="shared" si="235"/>
        <v>0</v>
      </c>
      <c r="AK696" s="662"/>
      <c r="AL696" s="662"/>
      <c r="AM696" s="662"/>
      <c r="AN696" s="662">
        <f>I696</f>
        <v>5760</v>
      </c>
      <c r="AO696" s="663"/>
      <c r="AP696" s="554">
        <f>I696</f>
        <v>5760</v>
      </c>
      <c r="AR696" s="680"/>
      <c r="AS696" s="548"/>
      <c r="AT696" s="548"/>
      <c r="AU696" s="554">
        <f>I696</f>
        <v>5760</v>
      </c>
      <c r="AW696" s="669"/>
      <c r="AX696" s="663"/>
      <c r="AY696" s="548"/>
      <c r="AZ696" s="548"/>
      <c r="BA696" s="548"/>
      <c r="BB696" s="670">
        <f t="shared" si="241"/>
        <v>240</v>
      </c>
      <c r="BC696" s="671"/>
      <c r="BD696" s="548"/>
      <c r="BE696" s="548"/>
      <c r="BF696" s="548"/>
      <c r="BQ696" s="663">
        <f>I696/16</f>
        <v>360</v>
      </c>
      <c r="BY696" s="669"/>
      <c r="BZ696" s="548"/>
      <c r="CA696" s="672"/>
      <c r="CB696" s="567"/>
      <c r="CC696" s="673"/>
      <c r="CD696" s="669"/>
      <c r="CE696" s="669"/>
      <c r="CF696" s="548"/>
      <c r="CG696" s="548"/>
      <c r="CU696" s="554">
        <f t="shared" si="240"/>
        <v>360</v>
      </c>
      <c r="CV696" s="663">
        <f t="shared" si="237"/>
        <v>0</v>
      </c>
      <c r="CW696" s="663">
        <f t="shared" si="238"/>
        <v>0</v>
      </c>
      <c r="CX696" s="669"/>
      <c r="CY696" s="669"/>
      <c r="CZ696" s="669"/>
      <c r="DA696" s="548"/>
      <c r="DB696" s="548"/>
      <c r="DC696" s="548"/>
      <c r="DD696" s="669"/>
      <c r="DE696" s="669"/>
      <c r="DF696" s="669"/>
      <c r="DG696" s="669"/>
      <c r="DH696" s="669"/>
    </row>
    <row r="697" s="548" customFormat="1" ht="31" customHeight="1" spans="1:112">
      <c r="A697" s="660">
        <v>45902</v>
      </c>
      <c r="B697" s="661" t="s">
        <v>2033</v>
      </c>
      <c r="C697" s="662" t="s">
        <v>399</v>
      </c>
      <c r="D697" s="663">
        <v>4500178401</v>
      </c>
      <c r="E697" s="662">
        <v>5200007619</v>
      </c>
      <c r="F697" s="663" t="s">
        <v>7730</v>
      </c>
      <c r="G697" s="662" t="s">
        <v>6467</v>
      </c>
      <c r="H697" s="662" t="s">
        <v>6080</v>
      </c>
      <c r="I697" s="662">
        <v>3000</v>
      </c>
      <c r="J697" s="662">
        <v>0</v>
      </c>
      <c r="K697" s="662">
        <v>30</v>
      </c>
      <c r="L697" s="665">
        <f t="shared" si="233"/>
        <v>100</v>
      </c>
      <c r="M697" s="666">
        <v>45957</v>
      </c>
      <c r="N697" s="666">
        <v>45953</v>
      </c>
      <c r="O697" s="664"/>
      <c r="P697" s="664" t="s">
        <v>113</v>
      </c>
      <c r="Q697" s="674">
        <v>45956</v>
      </c>
      <c r="R697" s="667">
        <v>45924</v>
      </c>
      <c r="S697" s="667" t="s">
        <v>70</v>
      </c>
      <c r="T697" s="667" t="s">
        <v>6342</v>
      </c>
      <c r="U697" s="667"/>
      <c r="V697" s="667"/>
      <c r="W697" s="615"/>
      <c r="X697" s="661" t="s">
        <v>7731</v>
      </c>
      <c r="Y697" s="661" t="s">
        <v>2037</v>
      </c>
      <c r="Z697" s="661">
        <v>40.6757</v>
      </c>
      <c r="AA697" s="634">
        <f>Z697*L697</f>
        <v>4067.57</v>
      </c>
      <c r="AC697" s="676" t="s">
        <v>2038</v>
      </c>
      <c r="AD697" s="662" t="s">
        <v>6223</v>
      </c>
      <c r="AE697" s="662" t="s">
        <v>82</v>
      </c>
      <c r="AF697" s="662"/>
      <c r="AG697" s="662"/>
      <c r="AH697" s="662"/>
      <c r="AI697" s="662">
        <v>3000</v>
      </c>
      <c r="AJ697" s="662">
        <f t="shared" si="235"/>
        <v>0</v>
      </c>
      <c r="AK697" s="662"/>
      <c r="AL697" s="662"/>
      <c r="AM697" s="662"/>
      <c r="AN697" s="662"/>
      <c r="AO697" s="663">
        <f>I697</f>
        <v>3000</v>
      </c>
      <c r="AR697" s="680"/>
      <c r="AS697" s="548"/>
      <c r="AT697" s="554">
        <f>I697</f>
        <v>3000</v>
      </c>
      <c r="AU697" s="663"/>
      <c r="AV697" s="554">
        <f>I697</f>
        <v>3000</v>
      </c>
      <c r="AW697" s="669"/>
      <c r="AX697" s="663"/>
      <c r="AY697" s="548"/>
      <c r="AZ697" s="548"/>
      <c r="BA697" s="548"/>
      <c r="BB697" s="620">
        <f t="shared" si="241"/>
        <v>125</v>
      </c>
      <c r="BC697" s="671"/>
      <c r="BD697" s="548"/>
      <c r="BE697" s="548"/>
      <c r="BF697" s="548"/>
      <c r="BY697" s="669"/>
      <c r="BZ697" s="548"/>
      <c r="CA697" s="672"/>
      <c r="CB697" s="567"/>
      <c r="CC697" s="673"/>
      <c r="CD697" s="669"/>
      <c r="CE697" s="669"/>
      <c r="CF697" s="548"/>
      <c r="CG697" s="548"/>
      <c r="CP697" s="554">
        <f>I697/30</f>
        <v>100</v>
      </c>
      <c r="CU697" s="554">
        <f t="shared" si="223"/>
        <v>0</v>
      </c>
      <c r="CV697" s="663">
        <f t="shared" si="237"/>
        <v>100</v>
      </c>
      <c r="CW697" s="663">
        <f t="shared" si="238"/>
        <v>0</v>
      </c>
      <c r="CX697" s="669"/>
      <c r="CY697" s="669"/>
      <c r="CZ697" s="669"/>
      <c r="DA697" s="548"/>
      <c r="DB697" s="548"/>
      <c r="DC697" s="548"/>
      <c r="DD697" s="669"/>
      <c r="DE697" s="669"/>
      <c r="DF697" s="669"/>
      <c r="DG697" s="669"/>
      <c r="DH697" s="669"/>
    </row>
    <row r="698" s="548" customFormat="1" ht="31" customHeight="1" spans="1:112">
      <c r="A698" s="660">
        <v>45902</v>
      </c>
      <c r="B698" s="661" t="s">
        <v>2033</v>
      </c>
      <c r="C698" s="662" t="s">
        <v>399</v>
      </c>
      <c r="D698" s="663">
        <v>4500178401</v>
      </c>
      <c r="E698" s="662">
        <v>5200007619</v>
      </c>
      <c r="F698" s="663" t="s">
        <v>7732</v>
      </c>
      <c r="G698" s="662" t="s">
        <v>6120</v>
      </c>
      <c r="H698" s="662" t="s">
        <v>6094</v>
      </c>
      <c r="I698" s="662">
        <v>7540</v>
      </c>
      <c r="J698" s="662">
        <v>0</v>
      </c>
      <c r="K698" s="662">
        <v>13</v>
      </c>
      <c r="L698" s="665">
        <f t="shared" si="233"/>
        <v>580</v>
      </c>
      <c r="M698" s="666">
        <v>45957</v>
      </c>
      <c r="N698" s="666">
        <v>45953</v>
      </c>
      <c r="O698" s="664" t="s">
        <v>7733</v>
      </c>
      <c r="P698" s="664" t="s">
        <v>113</v>
      </c>
      <c r="Q698" s="662"/>
      <c r="R698" s="667">
        <v>45924</v>
      </c>
      <c r="S698" s="667" t="s">
        <v>70</v>
      </c>
      <c r="T698" s="667" t="s">
        <v>6342</v>
      </c>
      <c r="U698" s="667"/>
      <c r="V698" s="667" t="s">
        <v>7734</v>
      </c>
      <c r="W698" s="615"/>
      <c r="X698" s="661" t="s">
        <v>7735</v>
      </c>
      <c r="Y698" s="661" t="s">
        <v>2037</v>
      </c>
      <c r="Z698" s="675">
        <v>0.9116</v>
      </c>
      <c r="AA698" s="634">
        <f>Z698*I698</f>
        <v>6873.464</v>
      </c>
      <c r="AC698" s="676" t="s">
        <v>2038</v>
      </c>
      <c r="AD698" s="662" t="s">
        <v>6093</v>
      </c>
      <c r="AE698" s="662" t="s">
        <v>82</v>
      </c>
      <c r="AF698" s="662"/>
      <c r="AG698" s="662"/>
      <c r="AH698" s="662"/>
      <c r="AI698" s="662">
        <v>7540</v>
      </c>
      <c r="AJ698" s="662">
        <f t="shared" si="235"/>
        <v>0</v>
      </c>
      <c r="AK698" s="662"/>
      <c r="AL698" s="662"/>
      <c r="AM698" s="662"/>
      <c r="AN698" s="662"/>
      <c r="AO698" s="663">
        <f>I698</f>
        <v>7540</v>
      </c>
      <c r="AR698" s="680"/>
      <c r="AS698" s="548"/>
      <c r="AT698" s="554">
        <f>I698</f>
        <v>7540</v>
      </c>
      <c r="AU698" s="663"/>
      <c r="AV698" s="554">
        <f>I698</f>
        <v>7540</v>
      </c>
      <c r="AW698" s="669"/>
      <c r="AX698" s="663"/>
      <c r="AY698" s="548"/>
      <c r="AZ698" s="548"/>
      <c r="BA698" s="548"/>
      <c r="BB698" s="620">
        <f t="shared" si="241"/>
        <v>314.166666666667</v>
      </c>
      <c r="BC698" s="671"/>
      <c r="BD698" s="548"/>
      <c r="BE698" s="548"/>
      <c r="BF698" s="548"/>
      <c r="BM698" s="663">
        <f>I698/13</f>
        <v>580</v>
      </c>
      <c r="BY698" s="669"/>
      <c r="BZ698" s="548"/>
      <c r="CA698" s="672"/>
      <c r="CB698" s="567"/>
      <c r="CC698" s="673"/>
      <c r="CD698" s="669"/>
      <c r="CE698" s="669"/>
      <c r="CF698" s="548"/>
      <c r="CG698" s="548"/>
      <c r="CU698" s="554">
        <f t="shared" si="223"/>
        <v>0</v>
      </c>
      <c r="CV698" s="663">
        <f t="shared" si="237"/>
        <v>0</v>
      </c>
      <c r="CW698" s="663">
        <f t="shared" si="238"/>
        <v>0</v>
      </c>
      <c r="CX698" s="669"/>
      <c r="CY698" s="669"/>
      <c r="CZ698" s="669"/>
      <c r="DA698" s="548"/>
      <c r="DB698" s="548"/>
      <c r="DC698" s="548"/>
      <c r="DD698" s="669"/>
      <c r="DE698" s="669"/>
      <c r="DF698" s="669"/>
      <c r="DG698" s="669"/>
      <c r="DH698" s="669"/>
    </row>
    <row r="699" s="548" customFormat="1" ht="31" customHeight="1" spans="1:112">
      <c r="A699" s="660">
        <v>45902</v>
      </c>
      <c r="B699" s="661" t="s">
        <v>2033</v>
      </c>
      <c r="C699" s="662" t="s">
        <v>399</v>
      </c>
      <c r="D699" s="663">
        <v>4500178401</v>
      </c>
      <c r="E699" s="662">
        <v>5200007619</v>
      </c>
      <c r="F699" s="663" t="s">
        <v>2039</v>
      </c>
      <c r="G699" s="662" t="s">
        <v>6360</v>
      </c>
      <c r="H699" s="662" t="s">
        <v>477</v>
      </c>
      <c r="I699" s="662">
        <v>1500</v>
      </c>
      <c r="J699" s="662">
        <v>0</v>
      </c>
      <c r="K699" s="662">
        <v>6</v>
      </c>
      <c r="L699" s="665">
        <f t="shared" si="233"/>
        <v>250</v>
      </c>
      <c r="M699" s="666">
        <v>45957</v>
      </c>
      <c r="N699" s="666">
        <v>45953</v>
      </c>
      <c r="O699" s="664" t="s">
        <v>7736</v>
      </c>
      <c r="P699" s="664" t="s">
        <v>113</v>
      </c>
      <c r="Q699" s="662"/>
      <c r="R699" s="667">
        <v>45924</v>
      </c>
      <c r="S699" s="667" t="s">
        <v>70</v>
      </c>
      <c r="T699" s="667" t="s">
        <v>7737</v>
      </c>
      <c r="U699" s="667"/>
      <c r="V699" s="667"/>
      <c r="W699" s="615"/>
      <c r="X699" s="661" t="s">
        <v>7738</v>
      </c>
      <c r="Y699" s="661" t="s">
        <v>2037</v>
      </c>
      <c r="Z699" s="661">
        <v>6.8326</v>
      </c>
      <c r="AA699" s="634">
        <f>Z699*I699</f>
        <v>10248.9</v>
      </c>
      <c r="AC699" s="676" t="s">
        <v>2038</v>
      </c>
      <c r="AD699" s="662" t="s">
        <v>7739</v>
      </c>
      <c r="AE699" s="662" t="s">
        <v>82</v>
      </c>
      <c r="AF699" s="662"/>
      <c r="AG699" s="662"/>
      <c r="AH699" s="662"/>
      <c r="AI699" s="662">
        <v>1500</v>
      </c>
      <c r="AJ699" s="662">
        <f t="shared" si="235"/>
        <v>0</v>
      </c>
      <c r="AK699" s="662"/>
      <c r="AL699" s="662"/>
      <c r="AM699" s="662"/>
      <c r="AN699" s="662"/>
      <c r="AO699" s="554">
        <f>I699*2</f>
        <v>3000</v>
      </c>
      <c r="AR699" s="680"/>
      <c r="AS699" s="548"/>
      <c r="AT699" s="554">
        <f>I699*2</f>
        <v>3000</v>
      </c>
      <c r="AU699" s="663"/>
      <c r="AV699" s="554">
        <f>I699*2</f>
        <v>3000</v>
      </c>
      <c r="AW699" s="669"/>
      <c r="AX699" s="663"/>
      <c r="AY699" s="548"/>
      <c r="AZ699" s="548"/>
      <c r="BA699" s="548"/>
      <c r="BB699" s="620">
        <f>I699/24*2</f>
        <v>125</v>
      </c>
      <c r="BC699" s="671"/>
      <c r="BD699" s="548"/>
      <c r="BE699" s="548"/>
      <c r="BF699" s="548"/>
      <c r="BY699" s="619"/>
      <c r="BZ699" s="554">
        <f>I699</f>
        <v>1500</v>
      </c>
      <c r="CA699" s="672"/>
      <c r="CB699" s="567"/>
      <c r="CC699" s="673"/>
      <c r="CD699" s="669"/>
      <c r="CE699" s="669"/>
      <c r="CF699" s="548"/>
      <c r="CG699" s="548"/>
      <c r="CU699" s="554">
        <f t="shared" si="223"/>
        <v>0</v>
      </c>
      <c r="CV699" s="663">
        <f t="shared" si="237"/>
        <v>0</v>
      </c>
      <c r="CW699" s="663">
        <f t="shared" si="238"/>
        <v>0</v>
      </c>
      <c r="CX699" s="669"/>
      <c r="CY699" s="669"/>
      <c r="CZ699" s="669"/>
      <c r="DA699" s="548"/>
      <c r="DB699" s="548"/>
      <c r="DC699" s="548"/>
      <c r="DD699" s="669"/>
      <c r="DE699" s="669"/>
      <c r="DF699" s="669"/>
      <c r="DG699" s="669"/>
      <c r="DH699" s="669"/>
    </row>
    <row r="700" s="548" customFormat="1" ht="31" customHeight="1" spans="1:112">
      <c r="A700" s="660">
        <v>45904</v>
      </c>
      <c r="B700" s="661" t="s">
        <v>2393</v>
      </c>
      <c r="C700" s="662" t="s">
        <v>2394</v>
      </c>
      <c r="D700" s="663">
        <v>4500178799</v>
      </c>
      <c r="E700" s="662"/>
      <c r="F700" s="663" t="s">
        <v>7740</v>
      </c>
      <c r="G700" s="662" t="s">
        <v>6448</v>
      </c>
      <c r="H700" s="662" t="s">
        <v>6449</v>
      </c>
      <c r="I700" s="662">
        <v>5000</v>
      </c>
      <c r="J700" s="662">
        <v>0</v>
      </c>
      <c r="K700" s="662">
        <v>50</v>
      </c>
      <c r="L700" s="665">
        <f t="shared" si="233"/>
        <v>100</v>
      </c>
      <c r="M700" s="666">
        <v>45947</v>
      </c>
      <c r="N700" s="666">
        <v>45943</v>
      </c>
      <c r="O700" s="664"/>
      <c r="P700" s="664" t="s">
        <v>113</v>
      </c>
      <c r="Q700" s="662"/>
      <c r="R700" s="667">
        <v>45909</v>
      </c>
      <c r="S700" s="667" t="s">
        <v>70</v>
      </c>
      <c r="T700" s="667">
        <v>45922</v>
      </c>
      <c r="U700" s="667"/>
      <c r="V700" s="667"/>
      <c r="W700" s="615"/>
      <c r="X700" s="661" t="s">
        <v>7741</v>
      </c>
      <c r="Y700" s="661" t="s">
        <v>2398</v>
      </c>
      <c r="Z700" s="661">
        <v>0.9491</v>
      </c>
      <c r="AA700" s="634">
        <f t="shared" ref="AA700:AA714" si="242">Z700*I700</f>
        <v>4745.5</v>
      </c>
      <c r="AC700" s="638" t="s">
        <v>7742</v>
      </c>
      <c r="AD700" s="662" t="s">
        <v>6448</v>
      </c>
      <c r="AE700" s="662" t="s">
        <v>82</v>
      </c>
      <c r="AF700" s="662"/>
      <c r="AG700" s="662"/>
      <c r="AH700" s="662"/>
      <c r="AI700" s="662">
        <v>5000</v>
      </c>
      <c r="AJ700" s="662">
        <f t="shared" si="235"/>
        <v>0</v>
      </c>
      <c r="AK700" s="662"/>
      <c r="AL700" s="662"/>
      <c r="AM700" s="662"/>
      <c r="AN700" s="662"/>
      <c r="AO700" s="663">
        <f>I700</f>
        <v>5000</v>
      </c>
      <c r="AR700" s="680"/>
      <c r="AS700" s="548"/>
      <c r="AT700" s="554">
        <f>I700</f>
        <v>5000</v>
      </c>
      <c r="AU700" s="663"/>
      <c r="AV700" s="548"/>
      <c r="AW700" s="669"/>
      <c r="AX700" s="663"/>
      <c r="AY700" s="548"/>
      <c r="AZ700" s="663">
        <f>I700</f>
        <v>5000</v>
      </c>
      <c r="BB700" s="670">
        <f>I700/24*2</f>
        <v>416.666666666667</v>
      </c>
      <c r="BC700" s="671"/>
      <c r="BD700" s="548"/>
      <c r="BE700" s="548"/>
      <c r="BF700" s="548"/>
      <c r="BX700" s="663">
        <f>I700/25</f>
        <v>200</v>
      </c>
      <c r="BY700" s="669"/>
      <c r="BZ700" s="548"/>
      <c r="CA700" s="672"/>
      <c r="CB700" s="567"/>
      <c r="CC700" s="673"/>
      <c r="CD700" s="669"/>
      <c r="CE700" s="669"/>
      <c r="CF700" s="548"/>
      <c r="CG700" s="548"/>
      <c r="CU700" s="554">
        <f t="shared" ref="CU700:CU709" si="243">BQ700+BP700+BO700+BN700+BX700+BR700</f>
        <v>200</v>
      </c>
      <c r="CV700" s="663">
        <f t="shared" si="237"/>
        <v>0</v>
      </c>
      <c r="CW700" s="663">
        <f t="shared" si="238"/>
        <v>0</v>
      </c>
      <c r="CX700" s="669"/>
      <c r="CY700" s="669"/>
      <c r="CZ700" s="669"/>
      <c r="DA700" s="548"/>
      <c r="DB700" s="548"/>
      <c r="DC700" s="548"/>
      <c r="DD700" s="669"/>
      <c r="DE700" s="669"/>
      <c r="DF700" s="669"/>
      <c r="DG700" s="669"/>
      <c r="DH700" s="669"/>
    </row>
    <row r="701" s="548" customFormat="1" ht="31" customHeight="1" spans="1:112">
      <c r="A701" s="660">
        <v>45919</v>
      </c>
      <c r="B701" s="661" t="s">
        <v>143</v>
      </c>
      <c r="C701" s="662" t="s">
        <v>98</v>
      </c>
      <c r="D701" s="663">
        <v>4500179943</v>
      </c>
      <c r="E701" s="664">
        <v>946374463</v>
      </c>
      <c r="F701" s="663" t="s">
        <v>7743</v>
      </c>
      <c r="G701" s="662" t="s">
        <v>6063</v>
      </c>
      <c r="H701" s="662" t="s">
        <v>6064</v>
      </c>
      <c r="I701" s="662">
        <v>32640</v>
      </c>
      <c r="J701" s="662">
        <v>0</v>
      </c>
      <c r="K701" s="662">
        <v>16</v>
      </c>
      <c r="L701" s="665">
        <f t="shared" ref="L701:L714" si="244">I701/K701</f>
        <v>2040</v>
      </c>
      <c r="M701" s="666">
        <v>45955</v>
      </c>
      <c r="N701" s="666">
        <v>45951</v>
      </c>
      <c r="O701" s="664" t="s">
        <v>7744</v>
      </c>
      <c r="P701" s="664" t="s">
        <v>113</v>
      </c>
      <c r="Q701" s="662" t="s">
        <v>1824</v>
      </c>
      <c r="R701" s="667" t="s">
        <v>7064</v>
      </c>
      <c r="S701" s="667" t="s">
        <v>70</v>
      </c>
      <c r="T701" s="667" t="s">
        <v>148</v>
      </c>
      <c r="U701" s="667"/>
      <c r="V701" s="667"/>
      <c r="W701" s="615"/>
      <c r="X701" s="661" t="s">
        <v>7725</v>
      </c>
      <c r="Y701" s="661" t="s">
        <v>106</v>
      </c>
      <c r="Z701" s="661">
        <v>0.5671</v>
      </c>
      <c r="AA701" s="634">
        <f t="shared" si="242"/>
        <v>18510.144</v>
      </c>
      <c r="AC701" s="638" t="s">
        <v>7745</v>
      </c>
      <c r="AD701" s="662" t="s">
        <v>6063</v>
      </c>
      <c r="AE701" s="662" t="s">
        <v>82</v>
      </c>
      <c r="AF701" s="662"/>
      <c r="AG701" s="662"/>
      <c r="AH701" s="662"/>
      <c r="AI701" s="662">
        <f>32624+16</f>
        <v>32640</v>
      </c>
      <c r="AJ701" s="662">
        <f t="shared" si="235"/>
        <v>0</v>
      </c>
      <c r="AK701" s="662"/>
      <c r="AL701" s="662"/>
      <c r="AM701" s="662"/>
      <c r="AN701" s="662">
        <f>I701</f>
        <v>32640</v>
      </c>
      <c r="AO701" s="663"/>
      <c r="AP701" s="554">
        <f>I701</f>
        <v>32640</v>
      </c>
      <c r="AR701" s="680"/>
      <c r="AS701" s="548"/>
      <c r="AT701" s="548"/>
      <c r="AU701" s="554">
        <f>I701</f>
        <v>32640</v>
      </c>
      <c r="AW701" s="669"/>
      <c r="AX701" s="663"/>
      <c r="AY701" s="548"/>
      <c r="AZ701" s="548"/>
      <c r="BA701" s="548"/>
      <c r="BB701" s="670">
        <f>I701/24</f>
        <v>1360</v>
      </c>
      <c r="BC701" s="671"/>
      <c r="BD701" s="548"/>
      <c r="BE701" s="548"/>
      <c r="BF701" s="548"/>
      <c r="BQ701" s="663">
        <f>I701/16</f>
        <v>2040</v>
      </c>
      <c r="BY701" s="669"/>
      <c r="BZ701" s="548"/>
      <c r="CA701" s="672"/>
      <c r="CB701" s="567"/>
      <c r="CC701" s="673"/>
      <c r="CD701" s="669"/>
      <c r="CE701" s="669"/>
      <c r="CF701" s="548"/>
      <c r="CG701" s="548"/>
      <c r="CU701" s="554">
        <f t="shared" si="243"/>
        <v>2040</v>
      </c>
      <c r="CV701" s="663">
        <f t="shared" si="237"/>
        <v>0</v>
      </c>
      <c r="CW701" s="663">
        <f t="shared" si="238"/>
        <v>0</v>
      </c>
      <c r="CX701" s="669"/>
      <c r="CY701" s="669"/>
      <c r="CZ701" s="669"/>
      <c r="DA701" s="548"/>
      <c r="DB701" s="548"/>
      <c r="DC701" s="548"/>
      <c r="DD701" s="669"/>
      <c r="DE701" s="669"/>
      <c r="DF701" s="669"/>
      <c r="DG701" s="669"/>
      <c r="DH701" s="669"/>
    </row>
    <row r="702" s="548" customFormat="1" ht="31" customHeight="1" spans="1:112">
      <c r="A702" s="660">
        <v>45919</v>
      </c>
      <c r="B702" s="661" t="s">
        <v>143</v>
      </c>
      <c r="C702" s="662" t="s">
        <v>98</v>
      </c>
      <c r="D702" s="663">
        <v>4500179943</v>
      </c>
      <c r="E702" s="664">
        <v>946374441</v>
      </c>
      <c r="F702" s="663" t="s">
        <v>7746</v>
      </c>
      <c r="G702" s="662" t="s">
        <v>6063</v>
      </c>
      <c r="H702" s="662" t="s">
        <v>6064</v>
      </c>
      <c r="I702" s="662">
        <v>55680</v>
      </c>
      <c r="J702" s="662">
        <v>0</v>
      </c>
      <c r="K702" s="662">
        <v>16</v>
      </c>
      <c r="L702" s="665">
        <f t="shared" si="244"/>
        <v>3480</v>
      </c>
      <c r="M702" s="666">
        <v>45958</v>
      </c>
      <c r="N702" s="666">
        <v>45954</v>
      </c>
      <c r="O702" s="666" t="s">
        <v>7747</v>
      </c>
      <c r="P702" s="664" t="s">
        <v>113</v>
      </c>
      <c r="Q702" s="662" t="s">
        <v>1824</v>
      </c>
      <c r="R702" s="667" t="s">
        <v>7064</v>
      </c>
      <c r="S702" s="667" t="s">
        <v>70</v>
      </c>
      <c r="T702" s="667" t="s">
        <v>148</v>
      </c>
      <c r="U702" s="667"/>
      <c r="V702" s="667"/>
      <c r="W702" s="615"/>
      <c r="X702" s="661" t="s">
        <v>7725</v>
      </c>
      <c r="Y702" s="661" t="s">
        <v>106</v>
      </c>
      <c r="Z702" s="661">
        <v>0.5671</v>
      </c>
      <c r="AA702" s="634">
        <f t="shared" si="242"/>
        <v>31576.128</v>
      </c>
      <c r="AC702" s="638" t="s">
        <v>7748</v>
      </c>
      <c r="AD702" s="662" t="s">
        <v>6063</v>
      </c>
      <c r="AE702" s="662" t="s">
        <v>82</v>
      </c>
      <c r="AF702" s="662"/>
      <c r="AG702" s="662"/>
      <c r="AH702" s="662"/>
      <c r="AI702" s="662">
        <f>24752+30912+16</f>
        <v>55680</v>
      </c>
      <c r="AJ702" s="662">
        <f t="shared" si="235"/>
        <v>0</v>
      </c>
      <c r="AK702" s="662"/>
      <c r="AL702" s="662"/>
      <c r="AM702" s="662"/>
      <c r="AN702" s="662">
        <f>I702</f>
        <v>55680</v>
      </c>
      <c r="AO702" s="663"/>
      <c r="AP702" s="554">
        <f>I702</f>
        <v>55680</v>
      </c>
      <c r="AR702" s="680"/>
      <c r="AS702" s="548"/>
      <c r="AT702" s="548"/>
      <c r="AU702" s="554">
        <f>I702</f>
        <v>55680</v>
      </c>
      <c r="AW702" s="669"/>
      <c r="AX702" s="663"/>
      <c r="AY702" s="548"/>
      <c r="AZ702" s="548"/>
      <c r="BA702" s="548"/>
      <c r="BB702" s="670">
        <f>I702/24</f>
        <v>2320</v>
      </c>
      <c r="BC702" s="671"/>
      <c r="BD702" s="548"/>
      <c r="BE702" s="548"/>
      <c r="BF702" s="548"/>
      <c r="BQ702" s="663">
        <f>I702/16</f>
        <v>3480</v>
      </c>
      <c r="BY702" s="669"/>
      <c r="BZ702" s="548"/>
      <c r="CA702" s="672"/>
      <c r="CB702" s="567"/>
      <c r="CC702" s="673"/>
      <c r="CD702" s="669"/>
      <c r="CE702" s="669"/>
      <c r="CF702" s="548"/>
      <c r="CG702" s="548"/>
      <c r="CU702" s="554">
        <f t="shared" si="243"/>
        <v>3480</v>
      </c>
      <c r="CV702" s="663">
        <f t="shared" si="237"/>
        <v>0</v>
      </c>
      <c r="CW702" s="663">
        <f t="shared" si="238"/>
        <v>0</v>
      </c>
      <c r="CX702" s="669"/>
      <c r="CY702" s="669"/>
      <c r="CZ702" s="669"/>
      <c r="DA702" s="548"/>
      <c r="DB702" s="548"/>
      <c r="DC702" s="548"/>
      <c r="DD702" s="669"/>
      <c r="DE702" s="669"/>
      <c r="DF702" s="669"/>
      <c r="DG702" s="669"/>
      <c r="DH702" s="669"/>
    </row>
    <row r="703" s="548" customFormat="1" ht="31" customHeight="1" spans="1:112">
      <c r="A703" s="660">
        <v>45919</v>
      </c>
      <c r="B703" s="661" t="s">
        <v>143</v>
      </c>
      <c r="C703" s="662" t="s">
        <v>98</v>
      </c>
      <c r="D703" s="663">
        <v>4500179943</v>
      </c>
      <c r="E703" s="664">
        <v>946374468</v>
      </c>
      <c r="F703" s="663" t="s">
        <v>7749</v>
      </c>
      <c r="G703" s="662" t="s">
        <v>6063</v>
      </c>
      <c r="H703" s="662" t="s">
        <v>6064</v>
      </c>
      <c r="I703" s="662">
        <v>25920</v>
      </c>
      <c r="J703" s="662">
        <v>0</v>
      </c>
      <c r="K703" s="662">
        <v>16</v>
      </c>
      <c r="L703" s="665">
        <f t="shared" si="244"/>
        <v>1620</v>
      </c>
      <c r="M703" s="666">
        <v>45958</v>
      </c>
      <c r="N703" s="666">
        <v>45954</v>
      </c>
      <c r="O703" s="666" t="s">
        <v>7747</v>
      </c>
      <c r="P703" s="664" t="s">
        <v>113</v>
      </c>
      <c r="Q703" s="662" t="s">
        <v>1824</v>
      </c>
      <c r="R703" s="667" t="s">
        <v>7064</v>
      </c>
      <c r="S703" s="667" t="s">
        <v>70</v>
      </c>
      <c r="T703" s="667" t="s">
        <v>148</v>
      </c>
      <c r="U703" s="667"/>
      <c r="V703" s="667"/>
      <c r="W703" s="615"/>
      <c r="X703" s="661" t="s">
        <v>7725</v>
      </c>
      <c r="Y703" s="661" t="s">
        <v>106</v>
      </c>
      <c r="Z703" s="661">
        <v>0.5671</v>
      </c>
      <c r="AA703" s="634">
        <f t="shared" si="242"/>
        <v>14699.232</v>
      </c>
      <c r="AC703" s="638" t="s">
        <v>7750</v>
      </c>
      <c r="AD703" s="662" t="s">
        <v>6063</v>
      </c>
      <c r="AE703" s="662" t="s">
        <v>82</v>
      </c>
      <c r="AF703" s="662"/>
      <c r="AG703" s="662"/>
      <c r="AH703" s="662"/>
      <c r="AI703" s="662">
        <f>19648+6272</f>
        <v>25920</v>
      </c>
      <c r="AJ703" s="662">
        <f t="shared" si="235"/>
        <v>0</v>
      </c>
      <c r="AK703" s="662"/>
      <c r="AL703" s="662"/>
      <c r="AM703" s="662"/>
      <c r="AN703" s="662">
        <f>I703</f>
        <v>25920</v>
      </c>
      <c r="AO703" s="663"/>
      <c r="AP703" s="554">
        <f>I703</f>
        <v>25920</v>
      </c>
      <c r="AR703" s="680"/>
      <c r="AS703" s="548"/>
      <c r="AT703" s="548"/>
      <c r="AU703" s="554">
        <f>I703</f>
        <v>25920</v>
      </c>
      <c r="AW703" s="669"/>
      <c r="AX703" s="663"/>
      <c r="AY703" s="548"/>
      <c r="AZ703" s="548"/>
      <c r="BA703" s="548"/>
      <c r="BB703" s="670">
        <f>I703/24</f>
        <v>1080</v>
      </c>
      <c r="BC703" s="671"/>
      <c r="BD703" s="548"/>
      <c r="BE703" s="548"/>
      <c r="BF703" s="548"/>
      <c r="BQ703" s="663">
        <f>I703/16</f>
        <v>1620</v>
      </c>
      <c r="BY703" s="669"/>
      <c r="BZ703" s="548"/>
      <c r="CA703" s="672"/>
      <c r="CB703" s="567"/>
      <c r="CC703" s="673"/>
      <c r="CD703" s="669"/>
      <c r="CE703" s="669"/>
      <c r="CF703" s="548"/>
      <c r="CG703" s="548"/>
      <c r="CU703" s="554">
        <f t="shared" si="243"/>
        <v>1620</v>
      </c>
      <c r="CV703" s="663">
        <f t="shared" si="237"/>
        <v>0</v>
      </c>
      <c r="CW703" s="663">
        <f t="shared" si="238"/>
        <v>0</v>
      </c>
      <c r="CX703" s="669"/>
      <c r="CY703" s="669"/>
      <c r="CZ703" s="669"/>
      <c r="DA703" s="548"/>
      <c r="DB703" s="548"/>
      <c r="DC703" s="548"/>
      <c r="DD703" s="669"/>
      <c r="DE703" s="669"/>
      <c r="DF703" s="669"/>
      <c r="DG703" s="669"/>
      <c r="DH703" s="669"/>
    </row>
    <row r="704" s="548" customFormat="1" ht="31" customHeight="1" spans="1:112">
      <c r="A704" s="660">
        <v>45919</v>
      </c>
      <c r="B704" s="661" t="s">
        <v>143</v>
      </c>
      <c r="C704" s="662" t="s">
        <v>98</v>
      </c>
      <c r="D704" s="663">
        <v>4500179943</v>
      </c>
      <c r="E704" s="664">
        <v>946374435</v>
      </c>
      <c r="F704" s="663" t="s">
        <v>7751</v>
      </c>
      <c r="G704" s="662" t="s">
        <v>6063</v>
      </c>
      <c r="H704" s="662" t="s">
        <v>6064</v>
      </c>
      <c r="I704" s="662">
        <v>9600</v>
      </c>
      <c r="J704" s="662">
        <v>0</v>
      </c>
      <c r="K704" s="662">
        <v>16</v>
      </c>
      <c r="L704" s="665">
        <f t="shared" si="244"/>
        <v>600</v>
      </c>
      <c r="M704" s="666">
        <v>45958</v>
      </c>
      <c r="N704" s="666">
        <v>45954</v>
      </c>
      <c r="O704" s="666" t="s">
        <v>7747</v>
      </c>
      <c r="P704" s="664" t="s">
        <v>113</v>
      </c>
      <c r="Q704" s="662" t="s">
        <v>1824</v>
      </c>
      <c r="R704" s="667" t="s">
        <v>7064</v>
      </c>
      <c r="S704" s="667" t="s">
        <v>70</v>
      </c>
      <c r="T704" s="667" t="s">
        <v>148</v>
      </c>
      <c r="U704" s="667"/>
      <c r="V704" s="667"/>
      <c r="W704" s="615"/>
      <c r="X704" s="661" t="s">
        <v>7725</v>
      </c>
      <c r="Y704" s="661" t="s">
        <v>106</v>
      </c>
      <c r="Z704" s="661">
        <v>0.5671</v>
      </c>
      <c r="AA704" s="634">
        <f t="shared" si="242"/>
        <v>5444.16</v>
      </c>
      <c r="AC704" s="638" t="s">
        <v>7752</v>
      </c>
      <c r="AD704" s="662" t="s">
        <v>6063</v>
      </c>
      <c r="AE704" s="662" t="s">
        <v>82</v>
      </c>
      <c r="AF704" s="662"/>
      <c r="AG704" s="662"/>
      <c r="AH704" s="662"/>
      <c r="AI704" s="662">
        <v>9600</v>
      </c>
      <c r="AJ704" s="662">
        <f t="shared" si="235"/>
        <v>0</v>
      </c>
      <c r="AK704" s="662"/>
      <c r="AL704" s="662"/>
      <c r="AM704" s="662"/>
      <c r="AN704" s="662">
        <f>I704</f>
        <v>9600</v>
      </c>
      <c r="AO704" s="663"/>
      <c r="AP704" s="554">
        <f>I704</f>
        <v>9600</v>
      </c>
      <c r="AR704" s="680"/>
      <c r="AS704" s="548"/>
      <c r="AT704" s="548"/>
      <c r="AU704" s="554">
        <f>I704</f>
        <v>9600</v>
      </c>
      <c r="AW704" s="669"/>
      <c r="AX704" s="663"/>
      <c r="AY704" s="548"/>
      <c r="AZ704" s="548"/>
      <c r="BA704" s="548"/>
      <c r="BB704" s="670">
        <f>I704/24</f>
        <v>400</v>
      </c>
      <c r="BC704" s="671"/>
      <c r="BD704" s="548"/>
      <c r="BE704" s="548"/>
      <c r="BF704" s="548"/>
      <c r="BQ704" s="663">
        <f>I704/16</f>
        <v>600</v>
      </c>
      <c r="BY704" s="669"/>
      <c r="BZ704" s="548"/>
      <c r="CA704" s="672"/>
      <c r="CB704" s="567"/>
      <c r="CC704" s="673"/>
      <c r="CD704" s="669"/>
      <c r="CE704" s="669"/>
      <c r="CF704" s="548"/>
      <c r="CG704" s="548"/>
      <c r="CU704" s="554">
        <f t="shared" si="243"/>
        <v>600</v>
      </c>
      <c r="CV704" s="663">
        <f t="shared" si="237"/>
        <v>0</v>
      </c>
      <c r="CW704" s="663">
        <f t="shared" si="238"/>
        <v>0</v>
      </c>
      <c r="CX704" s="669"/>
      <c r="CY704" s="669"/>
      <c r="CZ704" s="669"/>
      <c r="DA704" s="548"/>
      <c r="DB704" s="548"/>
      <c r="DC704" s="548"/>
      <c r="DD704" s="669"/>
      <c r="DE704" s="669"/>
      <c r="DF704" s="669"/>
      <c r="DG704" s="669"/>
      <c r="DH704" s="669"/>
    </row>
    <row r="705" s="548" customFormat="1" ht="31" customHeight="1" spans="1:112">
      <c r="A705" s="660">
        <v>45919</v>
      </c>
      <c r="B705" s="661" t="s">
        <v>143</v>
      </c>
      <c r="C705" s="662" t="s">
        <v>98</v>
      </c>
      <c r="D705" s="663">
        <v>4500179943</v>
      </c>
      <c r="E705" s="664">
        <v>946374455</v>
      </c>
      <c r="F705" s="663" t="s">
        <v>7753</v>
      </c>
      <c r="G705" s="662" t="s">
        <v>6063</v>
      </c>
      <c r="H705" s="662" t="s">
        <v>6064</v>
      </c>
      <c r="I705" s="662">
        <v>43200</v>
      </c>
      <c r="J705" s="662">
        <v>0</v>
      </c>
      <c r="K705" s="662">
        <v>16</v>
      </c>
      <c r="L705" s="665">
        <f t="shared" si="244"/>
        <v>2700</v>
      </c>
      <c r="M705" s="666">
        <v>45958</v>
      </c>
      <c r="N705" s="666">
        <v>45954</v>
      </c>
      <c r="O705" s="666" t="s">
        <v>7747</v>
      </c>
      <c r="P705" s="664" t="s">
        <v>113</v>
      </c>
      <c r="Q705" s="662" t="s">
        <v>1824</v>
      </c>
      <c r="R705" s="667" t="s">
        <v>7064</v>
      </c>
      <c r="S705" s="667" t="s">
        <v>70</v>
      </c>
      <c r="T705" s="667" t="s">
        <v>148</v>
      </c>
      <c r="U705" s="667"/>
      <c r="V705" s="667"/>
      <c r="W705" s="615"/>
      <c r="X705" s="661" t="s">
        <v>7725</v>
      </c>
      <c r="Y705" s="661" t="s">
        <v>106</v>
      </c>
      <c r="Z705" s="661">
        <v>0.5671</v>
      </c>
      <c r="AA705" s="634">
        <f t="shared" si="242"/>
        <v>24498.72</v>
      </c>
      <c r="AC705" s="638" t="s">
        <v>7754</v>
      </c>
      <c r="AD705" s="662" t="s">
        <v>6063</v>
      </c>
      <c r="AE705" s="662" t="s">
        <v>82</v>
      </c>
      <c r="AF705" s="662"/>
      <c r="AG705" s="662"/>
      <c r="AH705" s="662"/>
      <c r="AI705" s="662">
        <f>160+22720+20320</f>
        <v>43200</v>
      </c>
      <c r="AJ705" s="662">
        <f t="shared" si="235"/>
        <v>0</v>
      </c>
      <c r="AK705" s="662"/>
      <c r="AL705" s="662"/>
      <c r="AM705" s="662"/>
      <c r="AN705" s="662">
        <f>I705</f>
        <v>43200</v>
      </c>
      <c r="AO705" s="663"/>
      <c r="AP705" s="554">
        <f>I705</f>
        <v>43200</v>
      </c>
      <c r="AR705" s="680"/>
      <c r="AS705" s="548"/>
      <c r="AT705" s="548"/>
      <c r="AU705" s="554">
        <f>I705</f>
        <v>43200</v>
      </c>
      <c r="AW705" s="669"/>
      <c r="AX705" s="663"/>
      <c r="AY705" s="548"/>
      <c r="AZ705" s="548"/>
      <c r="BA705" s="548"/>
      <c r="BB705" s="670">
        <f>I705/24</f>
        <v>1800</v>
      </c>
      <c r="BC705" s="671"/>
      <c r="BD705" s="548"/>
      <c r="BE705" s="548"/>
      <c r="BF705" s="548"/>
      <c r="BQ705" s="663">
        <f>I705/16</f>
        <v>2700</v>
      </c>
      <c r="BY705" s="669"/>
      <c r="BZ705" s="548"/>
      <c r="CA705" s="672"/>
      <c r="CB705" s="567"/>
      <c r="CC705" s="673"/>
      <c r="CD705" s="669"/>
      <c r="CE705" s="669"/>
      <c r="CF705" s="548"/>
      <c r="CG705" s="548"/>
      <c r="CU705" s="554">
        <f t="shared" si="243"/>
        <v>2700</v>
      </c>
      <c r="CV705" s="663">
        <f t="shared" si="237"/>
        <v>0</v>
      </c>
      <c r="CW705" s="663">
        <f t="shared" si="238"/>
        <v>0</v>
      </c>
      <c r="CX705" s="669"/>
      <c r="CY705" s="669"/>
      <c r="CZ705" s="669"/>
      <c r="DA705" s="548"/>
      <c r="DB705" s="548"/>
      <c r="DC705" s="548"/>
      <c r="DD705" s="669"/>
      <c r="DE705" s="669"/>
      <c r="DF705" s="669"/>
      <c r="DG705" s="669"/>
      <c r="DH705" s="669"/>
    </row>
    <row r="706" s="548" customFormat="1" ht="31" customHeight="1" spans="1:112">
      <c r="A706" s="660">
        <v>45919</v>
      </c>
      <c r="B706" s="661" t="s">
        <v>1728</v>
      </c>
      <c r="C706" s="662" t="s">
        <v>154</v>
      </c>
      <c r="D706" s="663">
        <v>4500179859</v>
      </c>
      <c r="E706" s="662" t="s">
        <v>7755</v>
      </c>
      <c r="F706" s="663" t="s">
        <v>7756</v>
      </c>
      <c r="G706" s="662" t="s">
        <v>6047</v>
      </c>
      <c r="H706" s="662" t="s">
        <v>6069</v>
      </c>
      <c r="I706" s="662">
        <v>8000</v>
      </c>
      <c r="J706" s="662">
        <v>0</v>
      </c>
      <c r="K706" s="662">
        <v>25</v>
      </c>
      <c r="L706" s="665">
        <f t="shared" si="244"/>
        <v>320</v>
      </c>
      <c r="M706" s="666">
        <v>45959</v>
      </c>
      <c r="N706" s="666">
        <v>45955</v>
      </c>
      <c r="O706" s="664"/>
      <c r="P706" s="664" t="s">
        <v>113</v>
      </c>
      <c r="Q706" s="662"/>
      <c r="R706" s="667">
        <v>45927</v>
      </c>
      <c r="S706" s="667" t="s">
        <v>70</v>
      </c>
      <c r="T706" s="667" t="s">
        <v>7757</v>
      </c>
      <c r="U706" s="667"/>
      <c r="V706" s="667"/>
      <c r="W706" s="615"/>
      <c r="X706" s="661" t="s">
        <v>7758</v>
      </c>
      <c r="Y706" s="661" t="s">
        <v>1549</v>
      </c>
      <c r="Z706" s="661">
        <v>0.9365</v>
      </c>
      <c r="AA706" s="634">
        <f t="shared" si="242"/>
        <v>7492</v>
      </c>
      <c r="AC706" s="676" t="s">
        <v>7759</v>
      </c>
      <c r="AD706" s="662" t="s">
        <v>6073</v>
      </c>
      <c r="AE706" s="662" t="s">
        <v>82</v>
      </c>
      <c r="AF706" s="662"/>
      <c r="AG706" s="662"/>
      <c r="AH706" s="662"/>
      <c r="AI706" s="662">
        <v>8000</v>
      </c>
      <c r="AJ706" s="662">
        <f t="shared" si="235"/>
        <v>0</v>
      </c>
      <c r="AK706" s="662"/>
      <c r="AL706" s="662"/>
      <c r="AM706" s="662"/>
      <c r="AN706" s="662"/>
      <c r="AO706" s="663">
        <f>I706</f>
        <v>8000</v>
      </c>
      <c r="AR706" s="680"/>
      <c r="AS706" s="548"/>
      <c r="AT706" s="548"/>
      <c r="AU706" s="548"/>
      <c r="AV706" s="554">
        <f>I706</f>
        <v>8000</v>
      </c>
      <c r="AW706" s="669"/>
      <c r="AX706" s="663"/>
      <c r="AY706" s="548"/>
      <c r="AZ706" s="548"/>
      <c r="BA706" s="548"/>
      <c r="BB706" s="670">
        <f>I706/24*2</f>
        <v>666.666666666667</v>
      </c>
      <c r="BC706" s="671"/>
      <c r="BD706" s="548"/>
      <c r="BE706" s="663">
        <f>I706</f>
        <v>8000</v>
      </c>
      <c r="BP706" s="663">
        <f>I706/25</f>
        <v>320</v>
      </c>
      <c r="BY706" s="669"/>
      <c r="BZ706" s="548"/>
      <c r="CA706" s="672"/>
      <c r="CB706" s="567"/>
      <c r="CC706" s="673"/>
      <c r="CD706" s="669"/>
      <c r="CE706" s="669"/>
      <c r="CF706" s="548"/>
      <c r="CG706" s="548"/>
      <c r="CU706" s="554">
        <f t="shared" si="243"/>
        <v>320</v>
      </c>
      <c r="CV706" s="663">
        <f t="shared" si="237"/>
        <v>0</v>
      </c>
      <c r="CW706" s="663">
        <f t="shared" si="238"/>
        <v>0</v>
      </c>
      <c r="CX706" s="669"/>
      <c r="CY706" s="669"/>
      <c r="CZ706" s="669"/>
      <c r="DA706" s="548"/>
      <c r="DB706" s="548"/>
      <c r="DC706" s="548"/>
      <c r="DD706" s="669"/>
      <c r="DE706" s="669"/>
      <c r="DF706" s="669"/>
      <c r="DG706" s="669"/>
      <c r="DH706" s="669"/>
    </row>
    <row r="707" s="548" customFormat="1" ht="31" customHeight="1" spans="1:112">
      <c r="A707" s="660">
        <v>45918</v>
      </c>
      <c r="B707" s="661" t="s">
        <v>7760</v>
      </c>
      <c r="C707" s="662" t="s">
        <v>170</v>
      </c>
      <c r="D707" s="663">
        <v>4500179765</v>
      </c>
      <c r="E707" s="662">
        <v>41984</v>
      </c>
      <c r="F707" s="663" t="s">
        <v>7761</v>
      </c>
      <c r="G707" s="662" t="s">
        <v>6084</v>
      </c>
      <c r="H707" s="662" t="s">
        <v>6069</v>
      </c>
      <c r="I707" s="662">
        <v>5000</v>
      </c>
      <c r="J707" s="662">
        <v>0</v>
      </c>
      <c r="K707" s="662">
        <v>25</v>
      </c>
      <c r="L707" s="665">
        <f t="shared" si="244"/>
        <v>200</v>
      </c>
      <c r="M707" s="666">
        <v>45960</v>
      </c>
      <c r="N707" s="666">
        <v>45957</v>
      </c>
      <c r="O707" s="664"/>
      <c r="P707" s="664" t="s">
        <v>113</v>
      </c>
      <c r="Q707" s="662"/>
      <c r="R707" s="667">
        <v>45918</v>
      </c>
      <c r="S707" s="667" t="s">
        <v>70</v>
      </c>
      <c r="T707" s="667" t="s">
        <v>70</v>
      </c>
      <c r="U707" s="667"/>
      <c r="V707" s="667"/>
      <c r="W707" s="615"/>
      <c r="X707" s="661" t="s">
        <v>7762</v>
      </c>
      <c r="Y707" s="661" t="s">
        <v>1150</v>
      </c>
      <c r="Z707" s="675">
        <v>0.929</v>
      </c>
      <c r="AA707" s="634">
        <f t="shared" si="242"/>
        <v>4645</v>
      </c>
      <c r="AC707" s="638" t="s">
        <v>7763</v>
      </c>
      <c r="AD707" s="662" t="s">
        <v>6089</v>
      </c>
      <c r="AE707" s="662" t="s">
        <v>82</v>
      </c>
      <c r="AF707" s="662"/>
      <c r="AG707" s="662"/>
      <c r="AH707" s="662"/>
      <c r="AI707" s="662">
        <v>5000</v>
      </c>
      <c r="AJ707" s="662">
        <f t="shared" si="235"/>
        <v>0</v>
      </c>
      <c r="AK707" s="662"/>
      <c r="AL707" s="662"/>
      <c r="AM707" s="662"/>
      <c r="AN707" s="662">
        <f>I707</f>
        <v>5000</v>
      </c>
      <c r="AO707" s="663"/>
      <c r="AP707" s="548"/>
      <c r="AQ707" s="548"/>
      <c r="AR707" s="680"/>
      <c r="AS707" s="663">
        <f>I707</f>
        <v>5000</v>
      </c>
      <c r="AU707" s="554">
        <f>I707</f>
        <v>5000</v>
      </c>
      <c r="AW707" s="669"/>
      <c r="AX707" s="663"/>
      <c r="AY707" s="548"/>
      <c r="AZ707" s="548"/>
      <c r="BA707" s="548"/>
      <c r="BB707" s="670">
        <f>I707/24</f>
        <v>208.333333333333</v>
      </c>
      <c r="BC707" s="671"/>
      <c r="BD707" s="548"/>
      <c r="BE707" s="548"/>
      <c r="BF707" s="548"/>
      <c r="BO707" s="663">
        <f>I707/25</f>
        <v>200</v>
      </c>
      <c r="BY707" s="669"/>
      <c r="BZ707" s="548"/>
      <c r="CA707" s="672"/>
      <c r="CB707" s="567"/>
      <c r="CC707" s="673"/>
      <c r="CD707" s="669"/>
      <c r="CE707" s="669"/>
      <c r="CF707" s="548"/>
      <c r="CG707" s="548"/>
      <c r="CU707" s="554">
        <f t="shared" si="243"/>
        <v>200</v>
      </c>
      <c r="CV707" s="663">
        <f t="shared" si="237"/>
        <v>0</v>
      </c>
      <c r="CW707" s="663">
        <f t="shared" si="238"/>
        <v>0</v>
      </c>
      <c r="CX707" s="669"/>
      <c r="CY707" s="669"/>
      <c r="CZ707" s="669"/>
      <c r="DA707" s="548"/>
      <c r="DB707" s="548"/>
      <c r="DC707" s="548"/>
      <c r="DD707" s="669"/>
      <c r="DE707" s="669"/>
      <c r="DF707" s="669"/>
      <c r="DG707" s="669"/>
      <c r="DH707" s="669"/>
    </row>
    <row r="708" s="548" customFormat="1" ht="31" customHeight="1" spans="1:112">
      <c r="A708" s="660">
        <v>45904</v>
      </c>
      <c r="B708" s="609" t="s">
        <v>246</v>
      </c>
      <c r="C708" s="662" t="s">
        <v>98</v>
      </c>
      <c r="D708" s="663">
        <v>4500178842</v>
      </c>
      <c r="E708" s="662" t="s">
        <v>7764</v>
      </c>
      <c r="F708" s="663" t="s">
        <v>7765</v>
      </c>
      <c r="G708" s="662" t="s">
        <v>6084</v>
      </c>
      <c r="H708" s="662" t="s">
        <v>6069</v>
      </c>
      <c r="I708" s="662">
        <v>48000</v>
      </c>
      <c r="J708" s="662">
        <v>0</v>
      </c>
      <c r="K708" s="662">
        <v>25</v>
      </c>
      <c r="L708" s="665">
        <f t="shared" si="244"/>
        <v>1920</v>
      </c>
      <c r="M708" s="666">
        <v>45960</v>
      </c>
      <c r="N708" s="666">
        <v>45957</v>
      </c>
      <c r="O708" s="664"/>
      <c r="P708" s="664" t="s">
        <v>113</v>
      </c>
      <c r="Q708" s="662"/>
      <c r="R708" s="667">
        <v>45919</v>
      </c>
      <c r="S708" s="667" t="s">
        <v>104</v>
      </c>
      <c r="T708" s="667">
        <v>45946</v>
      </c>
      <c r="U708" s="667"/>
      <c r="V708" s="667"/>
      <c r="W708" s="615"/>
      <c r="X708" s="661" t="s">
        <v>7766</v>
      </c>
      <c r="Y708" s="661" t="s">
        <v>252</v>
      </c>
      <c r="Z708" s="675">
        <v>0.5488</v>
      </c>
      <c r="AA708" s="634">
        <f t="shared" si="242"/>
        <v>26342.4</v>
      </c>
      <c r="AC708" s="638" t="s">
        <v>7767</v>
      </c>
      <c r="AD708" s="662" t="s">
        <v>6084</v>
      </c>
      <c r="AE708" s="662" t="s">
        <v>82</v>
      </c>
      <c r="AF708" s="662"/>
      <c r="AG708" s="662"/>
      <c r="AH708" s="662"/>
      <c r="AI708" s="662">
        <f>31500+16500</f>
        <v>48000</v>
      </c>
      <c r="AJ708" s="662">
        <f t="shared" si="235"/>
        <v>0</v>
      </c>
      <c r="AK708" s="662"/>
      <c r="AL708" s="662"/>
      <c r="AM708" s="662"/>
      <c r="AN708" s="662">
        <f>I708</f>
        <v>48000</v>
      </c>
      <c r="AO708" s="663"/>
      <c r="AP708" s="554">
        <f>I708</f>
        <v>48000</v>
      </c>
      <c r="AR708" s="680"/>
      <c r="AS708" s="548"/>
      <c r="AT708" s="548"/>
      <c r="AU708" s="554">
        <f>I708</f>
        <v>48000</v>
      </c>
      <c r="AW708" s="669"/>
      <c r="AX708" s="663"/>
      <c r="AY708" s="548"/>
      <c r="AZ708" s="548"/>
      <c r="BA708" s="548"/>
      <c r="BB708" s="670">
        <f>I708/24</f>
        <v>2000</v>
      </c>
      <c r="BC708" s="671"/>
      <c r="BD708" s="548"/>
      <c r="BE708" s="548"/>
      <c r="BF708" s="548"/>
      <c r="BN708" s="663">
        <f>I708/25</f>
        <v>1920</v>
      </c>
      <c r="BY708" s="669"/>
      <c r="BZ708" s="548"/>
      <c r="CA708" s="672"/>
      <c r="CB708" s="567"/>
      <c r="CC708" s="673"/>
      <c r="CD708" s="669"/>
      <c r="CE708" s="669"/>
      <c r="CF708" s="548"/>
      <c r="CG708" s="548"/>
      <c r="CU708" s="554">
        <f t="shared" si="243"/>
        <v>1920</v>
      </c>
      <c r="CV708" s="663">
        <f t="shared" si="237"/>
        <v>0</v>
      </c>
      <c r="CW708" s="663">
        <f t="shared" si="238"/>
        <v>0</v>
      </c>
      <c r="CX708" s="669"/>
      <c r="CY708" s="669"/>
      <c r="CZ708" s="669"/>
      <c r="DA708" s="548"/>
      <c r="DB708" s="548"/>
      <c r="DC708" s="548"/>
      <c r="DD708" s="669"/>
      <c r="DE708" s="669"/>
      <c r="DF708" s="669"/>
      <c r="DG708" s="669"/>
      <c r="DH708" s="669"/>
    </row>
    <row r="709" s="548" customFormat="1" ht="31" customHeight="1" spans="1:112">
      <c r="A709" s="660">
        <v>45911</v>
      </c>
      <c r="B709" s="661" t="s">
        <v>1620</v>
      </c>
      <c r="C709" s="662" t="s">
        <v>278</v>
      </c>
      <c r="D709" s="663">
        <v>4500179306</v>
      </c>
      <c r="E709" s="662" t="s">
        <v>7768</v>
      </c>
      <c r="F709" s="663" t="s">
        <v>7769</v>
      </c>
      <c r="G709" s="662" t="s">
        <v>6047</v>
      </c>
      <c r="H709" s="662" t="s">
        <v>6069</v>
      </c>
      <c r="I709" s="662">
        <v>10000</v>
      </c>
      <c r="J709" s="662">
        <v>0</v>
      </c>
      <c r="K709" s="662">
        <v>25</v>
      </c>
      <c r="L709" s="665">
        <f t="shared" si="244"/>
        <v>400</v>
      </c>
      <c r="M709" s="666">
        <v>45961</v>
      </c>
      <c r="N709" s="666">
        <v>45957</v>
      </c>
      <c r="O709" s="664"/>
      <c r="P709" s="664" t="s">
        <v>113</v>
      </c>
      <c r="Q709" s="662"/>
      <c r="R709" s="667">
        <v>45911</v>
      </c>
      <c r="S709" s="667" t="s">
        <v>70</v>
      </c>
      <c r="T709" s="667" t="s">
        <v>7571</v>
      </c>
      <c r="U709" s="667"/>
      <c r="V709" s="667"/>
      <c r="W709" s="615"/>
      <c r="X709" s="661" t="s">
        <v>7770</v>
      </c>
      <c r="Y709" s="661" t="s">
        <v>1549</v>
      </c>
      <c r="Z709" s="661">
        <v>0.9313</v>
      </c>
      <c r="AA709" s="634">
        <f t="shared" si="242"/>
        <v>9313</v>
      </c>
      <c r="AC709" s="638" t="s">
        <v>7771</v>
      </c>
      <c r="AD709" s="662" t="s">
        <v>6073</v>
      </c>
      <c r="AE709" s="662" t="s">
        <v>82</v>
      </c>
      <c r="AF709" s="662"/>
      <c r="AG709" s="662"/>
      <c r="AH709" s="662"/>
      <c r="AI709" s="662">
        <v>10000</v>
      </c>
      <c r="AJ709" s="662">
        <f t="shared" si="235"/>
        <v>0</v>
      </c>
      <c r="AK709" s="662"/>
      <c r="AL709" s="662"/>
      <c r="AM709" s="662"/>
      <c r="AN709" s="662"/>
      <c r="AO709" s="663">
        <f>I709</f>
        <v>10000</v>
      </c>
      <c r="AR709" s="680"/>
      <c r="AS709" s="548"/>
      <c r="AT709" s="548"/>
      <c r="AU709" s="548"/>
      <c r="AV709" s="554">
        <f>I709</f>
        <v>10000</v>
      </c>
      <c r="AW709" s="669"/>
      <c r="AX709" s="663"/>
      <c r="AY709" s="548"/>
      <c r="AZ709" s="548"/>
      <c r="BA709" s="548"/>
      <c r="BB709" s="670">
        <f>I709/24*2</f>
        <v>833.333333333333</v>
      </c>
      <c r="BC709" s="671"/>
      <c r="BD709" s="548"/>
      <c r="BE709" s="663">
        <f>I709</f>
        <v>10000</v>
      </c>
      <c r="BP709" s="663">
        <f>I709/25</f>
        <v>400</v>
      </c>
      <c r="BY709" s="669"/>
      <c r="BZ709" s="548"/>
      <c r="CA709" s="672"/>
      <c r="CB709" s="567"/>
      <c r="CC709" s="673"/>
      <c r="CD709" s="669"/>
      <c r="CE709" s="669"/>
      <c r="CF709" s="548"/>
      <c r="CG709" s="548"/>
      <c r="CU709" s="554">
        <f t="shared" si="243"/>
        <v>400</v>
      </c>
      <c r="CV709" s="663">
        <f t="shared" si="237"/>
        <v>0</v>
      </c>
      <c r="CW709" s="663">
        <f t="shared" si="238"/>
        <v>0</v>
      </c>
      <c r="CX709" s="669"/>
      <c r="CY709" s="669"/>
      <c r="CZ709" s="669"/>
      <c r="DA709" s="548"/>
      <c r="DB709" s="548"/>
      <c r="DC709" s="548"/>
      <c r="DD709" s="669"/>
      <c r="DE709" s="669"/>
      <c r="DF709" s="669"/>
      <c r="DG709" s="669"/>
      <c r="DH709" s="669"/>
    </row>
    <row r="710" s="548" customFormat="1" ht="31" customHeight="1" spans="1:112">
      <c r="A710" s="660">
        <v>45918</v>
      </c>
      <c r="B710" s="661" t="s">
        <v>211</v>
      </c>
      <c r="C710" s="662" t="s">
        <v>212</v>
      </c>
      <c r="D710" s="663">
        <v>4500179824</v>
      </c>
      <c r="E710" s="662" t="s">
        <v>7772</v>
      </c>
      <c r="F710" s="663" t="s">
        <v>7773</v>
      </c>
      <c r="G710" s="662" t="s">
        <v>6040</v>
      </c>
      <c r="H710" s="662" t="s">
        <v>6041</v>
      </c>
      <c r="I710" s="662">
        <v>1040</v>
      </c>
      <c r="J710" s="662">
        <v>0</v>
      </c>
      <c r="K710" s="662">
        <v>52</v>
      </c>
      <c r="L710" s="665">
        <f t="shared" si="244"/>
        <v>20</v>
      </c>
      <c r="M710" s="666">
        <v>45964</v>
      </c>
      <c r="N710" s="666">
        <f t="shared" ref="N710:N718" si="245">M710-4</f>
        <v>45960</v>
      </c>
      <c r="O710" s="664"/>
      <c r="P710" s="664" t="s">
        <v>113</v>
      </c>
      <c r="Q710" s="662"/>
      <c r="R710" s="667">
        <v>45918</v>
      </c>
      <c r="S710" s="667" t="s">
        <v>70</v>
      </c>
      <c r="T710" s="667" t="s">
        <v>7774</v>
      </c>
      <c r="U710" s="667"/>
      <c r="V710" s="667"/>
      <c r="W710" s="615"/>
      <c r="X710" s="661" t="s">
        <v>7775</v>
      </c>
      <c r="Y710" s="661" t="s">
        <v>1793</v>
      </c>
      <c r="Z710" s="675">
        <v>0.8951</v>
      </c>
      <c r="AA710" s="634">
        <f t="shared" si="242"/>
        <v>930.904</v>
      </c>
      <c r="AC710" s="638" t="s">
        <v>7776</v>
      </c>
      <c r="AD710" s="662" t="s">
        <v>6040</v>
      </c>
      <c r="AE710" s="662" t="s">
        <v>82</v>
      </c>
      <c r="AF710" s="662"/>
      <c r="AG710" s="662"/>
      <c r="AH710" s="662"/>
      <c r="AI710" s="662">
        <v>1040</v>
      </c>
      <c r="AJ710" s="662">
        <f t="shared" si="235"/>
        <v>0</v>
      </c>
      <c r="AK710" s="662"/>
      <c r="AL710" s="662"/>
      <c r="AM710" s="662"/>
      <c r="AN710" s="662"/>
      <c r="AO710" s="663">
        <f>I710</f>
        <v>1040</v>
      </c>
      <c r="AR710" s="680"/>
      <c r="AS710" s="548"/>
      <c r="AT710" s="554">
        <f>I710</f>
        <v>1040</v>
      </c>
      <c r="AV710" s="554">
        <f>I710</f>
        <v>1040</v>
      </c>
      <c r="AW710" s="669"/>
      <c r="AX710" s="663"/>
      <c r="AY710" s="548"/>
      <c r="AZ710" s="548"/>
      <c r="BA710" s="548"/>
      <c r="BB710" s="620">
        <f>I710/24</f>
        <v>43.3333333333333</v>
      </c>
      <c r="BC710" s="671"/>
      <c r="BD710" s="548"/>
      <c r="BE710" s="548"/>
      <c r="BF710" s="548"/>
      <c r="BM710" s="663">
        <f>I710/13</f>
        <v>80</v>
      </c>
      <c r="BY710" s="669"/>
      <c r="BZ710" s="548"/>
      <c r="CA710" s="672"/>
      <c r="CB710" s="567"/>
      <c r="CC710" s="673"/>
      <c r="CD710" s="669"/>
      <c r="CE710" s="669"/>
      <c r="CF710" s="548"/>
      <c r="CG710" s="548"/>
      <c r="CU710" s="554">
        <f t="shared" ref="CU707:CU771" si="246">BQ710+BP710+BO710+BN710+BX710+BR710</f>
        <v>0</v>
      </c>
      <c r="CV710" s="663">
        <f t="shared" si="237"/>
        <v>0</v>
      </c>
      <c r="CW710" s="663">
        <f t="shared" si="238"/>
        <v>0</v>
      </c>
      <c r="CX710" s="669"/>
      <c r="CY710" s="669"/>
      <c r="CZ710" s="669"/>
      <c r="DA710" s="548"/>
      <c r="DB710" s="548"/>
      <c r="DC710" s="548"/>
      <c r="DD710" s="669"/>
      <c r="DE710" s="669"/>
      <c r="DF710" s="669"/>
      <c r="DG710" s="669"/>
      <c r="DH710" s="669"/>
    </row>
    <row r="711" s="548" customFormat="1" ht="31" customHeight="1" spans="1:112">
      <c r="A711" s="660">
        <v>45919</v>
      </c>
      <c r="B711" s="661" t="s">
        <v>135</v>
      </c>
      <c r="C711" s="662" t="s">
        <v>128</v>
      </c>
      <c r="D711" s="663">
        <v>4500179977</v>
      </c>
      <c r="E711" s="664">
        <v>21169559</v>
      </c>
      <c r="F711" s="663" t="s">
        <v>7777</v>
      </c>
      <c r="G711" s="662" t="s">
        <v>6093</v>
      </c>
      <c r="H711" s="662" t="s">
        <v>6094</v>
      </c>
      <c r="I711" s="662">
        <v>260</v>
      </c>
      <c r="J711" s="662">
        <v>0</v>
      </c>
      <c r="K711" s="662">
        <v>13</v>
      </c>
      <c r="L711" s="665">
        <f t="shared" si="244"/>
        <v>20</v>
      </c>
      <c r="M711" s="666">
        <v>45964</v>
      </c>
      <c r="N711" s="666">
        <f t="shared" si="245"/>
        <v>45960</v>
      </c>
      <c r="O711" s="664"/>
      <c r="P711" s="664" t="s">
        <v>113</v>
      </c>
      <c r="Q711" s="662"/>
      <c r="R711" s="667">
        <v>45929</v>
      </c>
      <c r="S711" s="667" t="s">
        <v>104</v>
      </c>
      <c r="T711" s="667" t="s">
        <v>7669</v>
      </c>
      <c r="U711" s="667"/>
      <c r="V711" s="667"/>
      <c r="W711" s="615"/>
      <c r="X711" s="661" t="s">
        <v>6206</v>
      </c>
      <c r="Y711" s="661" t="s">
        <v>133</v>
      </c>
      <c r="Z711" s="661">
        <v>0.8999</v>
      </c>
      <c r="AA711" s="634">
        <f t="shared" si="242"/>
        <v>233.974</v>
      </c>
      <c r="AC711" s="638" t="s">
        <v>7778</v>
      </c>
      <c r="AD711" s="662" t="s">
        <v>6093</v>
      </c>
      <c r="AE711" s="662" t="s">
        <v>82</v>
      </c>
      <c r="AF711" s="662"/>
      <c r="AG711" s="662"/>
      <c r="AH711" s="662"/>
      <c r="AI711" s="662">
        <v>260</v>
      </c>
      <c r="AJ711" s="662">
        <f t="shared" si="235"/>
        <v>0</v>
      </c>
      <c r="AK711" s="662"/>
      <c r="AL711" s="662"/>
      <c r="AM711" s="662"/>
      <c r="AN711" s="662"/>
      <c r="AO711" s="663">
        <f>I711</f>
        <v>260</v>
      </c>
      <c r="AR711" s="680"/>
      <c r="AS711" s="548"/>
      <c r="AT711" s="554">
        <f>I711</f>
        <v>260</v>
      </c>
      <c r="AV711" s="554">
        <f>I711</f>
        <v>260</v>
      </c>
      <c r="AW711" s="669"/>
      <c r="AX711" s="663"/>
      <c r="AY711" s="548"/>
      <c r="AZ711" s="548"/>
      <c r="BA711" s="548"/>
      <c r="BB711" s="620">
        <f>I711/24</f>
        <v>10.8333333333333</v>
      </c>
      <c r="BC711" s="671"/>
      <c r="BD711" s="548"/>
      <c r="BE711" s="548"/>
      <c r="BF711" s="548"/>
      <c r="BM711" s="663">
        <f>I711/13</f>
        <v>20</v>
      </c>
      <c r="BY711" s="669"/>
      <c r="BZ711" s="548"/>
      <c r="CA711" s="672"/>
      <c r="CB711" s="567"/>
      <c r="CC711" s="673"/>
      <c r="CD711" s="669"/>
      <c r="CE711" s="669"/>
      <c r="CF711" s="548"/>
      <c r="CG711" s="548"/>
      <c r="CU711" s="554">
        <f t="shared" si="246"/>
        <v>0</v>
      </c>
      <c r="CV711" s="663">
        <f t="shared" si="237"/>
        <v>0</v>
      </c>
      <c r="CW711" s="663">
        <f t="shared" si="238"/>
        <v>0</v>
      </c>
      <c r="CX711" s="669"/>
      <c r="CY711" s="669"/>
      <c r="CZ711" s="669"/>
      <c r="DA711" s="548"/>
      <c r="DB711" s="548"/>
      <c r="DC711" s="548"/>
      <c r="DD711" s="669"/>
      <c r="DE711" s="669"/>
      <c r="DF711" s="669"/>
      <c r="DG711" s="669"/>
      <c r="DH711" s="669"/>
    </row>
    <row r="712" s="548" customFormat="1" ht="31" customHeight="1" spans="1:112">
      <c r="A712" s="660">
        <v>45919</v>
      </c>
      <c r="B712" s="661" t="s">
        <v>139</v>
      </c>
      <c r="C712" s="662" t="s">
        <v>76</v>
      </c>
      <c r="D712" s="663">
        <v>4500179979</v>
      </c>
      <c r="E712" s="662">
        <v>21169560</v>
      </c>
      <c r="F712" s="663" t="s">
        <v>7779</v>
      </c>
      <c r="G712" s="662" t="s">
        <v>6093</v>
      </c>
      <c r="H712" s="662" t="s">
        <v>6094</v>
      </c>
      <c r="I712" s="662">
        <v>1248</v>
      </c>
      <c r="J712" s="662">
        <v>0</v>
      </c>
      <c r="K712" s="662">
        <v>13</v>
      </c>
      <c r="L712" s="665">
        <f t="shared" si="244"/>
        <v>96</v>
      </c>
      <c r="M712" s="666">
        <v>45964</v>
      </c>
      <c r="N712" s="666">
        <f t="shared" si="245"/>
        <v>45960</v>
      </c>
      <c r="O712" s="664"/>
      <c r="P712" s="664" t="s">
        <v>113</v>
      </c>
      <c r="Q712" s="662"/>
      <c r="R712" s="667">
        <v>45929</v>
      </c>
      <c r="S712" s="667" t="s">
        <v>104</v>
      </c>
      <c r="T712" s="667" t="s">
        <v>7669</v>
      </c>
      <c r="U712" s="667"/>
      <c r="V712" s="667"/>
      <c r="W712" s="615"/>
      <c r="X712" s="661" t="s">
        <v>6810</v>
      </c>
      <c r="Y712" s="661" t="s">
        <v>133</v>
      </c>
      <c r="Z712" s="661">
        <v>0.9475</v>
      </c>
      <c r="AA712" s="634">
        <f t="shared" si="242"/>
        <v>1182.48</v>
      </c>
      <c r="AC712" s="638" t="s">
        <v>7780</v>
      </c>
      <c r="AD712" s="662" t="s">
        <v>6093</v>
      </c>
      <c r="AE712" s="662" t="s">
        <v>82</v>
      </c>
      <c r="AF712" s="662"/>
      <c r="AG712" s="662"/>
      <c r="AH712" s="662"/>
      <c r="AI712" s="662">
        <v>1248</v>
      </c>
      <c r="AJ712" s="662">
        <f t="shared" si="235"/>
        <v>0</v>
      </c>
      <c r="AK712" s="662"/>
      <c r="AL712" s="662"/>
      <c r="AM712" s="662"/>
      <c r="AN712" s="662"/>
      <c r="AO712" s="663">
        <f>I712</f>
        <v>1248</v>
      </c>
      <c r="AR712" s="680"/>
      <c r="AS712" s="548"/>
      <c r="AT712" s="554">
        <f>I712</f>
        <v>1248</v>
      </c>
      <c r="AV712" s="554">
        <f>I712</f>
        <v>1248</v>
      </c>
      <c r="AW712" s="669"/>
      <c r="AX712" s="663"/>
      <c r="AY712" s="548"/>
      <c r="AZ712" s="548"/>
      <c r="BA712" s="548"/>
      <c r="BB712" s="620">
        <f>I712/24</f>
        <v>52</v>
      </c>
      <c r="BC712" s="671"/>
      <c r="BD712" s="548"/>
      <c r="BE712" s="548"/>
      <c r="BF712" s="548"/>
      <c r="BM712" s="663">
        <f>I712/13</f>
        <v>96</v>
      </c>
      <c r="BY712" s="669"/>
      <c r="BZ712" s="548"/>
      <c r="CA712" s="672"/>
      <c r="CB712" s="567"/>
      <c r="CC712" s="673"/>
      <c r="CD712" s="669"/>
      <c r="CE712" s="669"/>
      <c r="CF712" s="548"/>
      <c r="CG712" s="548"/>
      <c r="CU712" s="554">
        <f t="shared" si="246"/>
        <v>0</v>
      </c>
      <c r="CV712" s="663">
        <f t="shared" si="237"/>
        <v>0</v>
      </c>
      <c r="CW712" s="663">
        <f t="shared" si="238"/>
        <v>0</v>
      </c>
      <c r="CX712" s="669"/>
      <c r="CY712" s="669"/>
      <c r="CZ712" s="669"/>
      <c r="DA712" s="548"/>
      <c r="DB712" s="548"/>
      <c r="DC712" s="548"/>
      <c r="DD712" s="669"/>
      <c r="DE712" s="669"/>
      <c r="DF712" s="669"/>
      <c r="DG712" s="669"/>
      <c r="DH712" s="669"/>
    </row>
    <row r="713" s="548" customFormat="1" ht="31" customHeight="1" spans="1:112">
      <c r="A713" s="660">
        <v>45925</v>
      </c>
      <c r="B713" s="661" t="s">
        <v>143</v>
      </c>
      <c r="C713" s="662" t="s">
        <v>98</v>
      </c>
      <c r="D713" s="663">
        <v>4500180349</v>
      </c>
      <c r="E713" s="664">
        <v>947820086</v>
      </c>
      <c r="F713" s="663" t="s">
        <v>7781</v>
      </c>
      <c r="G713" s="662" t="s">
        <v>6063</v>
      </c>
      <c r="H713" s="662" t="s">
        <v>6064</v>
      </c>
      <c r="I713" s="662">
        <v>6720</v>
      </c>
      <c r="J713" s="662">
        <v>0</v>
      </c>
      <c r="K713" s="662">
        <v>16</v>
      </c>
      <c r="L713" s="665">
        <f t="shared" ref="L713:L760" si="247">I713/K713</f>
        <v>420</v>
      </c>
      <c r="M713" s="666">
        <v>45961</v>
      </c>
      <c r="N713" s="666">
        <f t="shared" si="245"/>
        <v>45957</v>
      </c>
      <c r="O713" s="664" t="s">
        <v>7782</v>
      </c>
      <c r="P713" s="664" t="s">
        <v>113</v>
      </c>
      <c r="Q713" s="662"/>
      <c r="R713" s="667" t="s">
        <v>7064</v>
      </c>
      <c r="S713" s="667" t="s">
        <v>70</v>
      </c>
      <c r="T713" s="667" t="s">
        <v>148</v>
      </c>
      <c r="U713" s="667"/>
      <c r="V713" s="667"/>
      <c r="W713" s="615"/>
      <c r="X713" s="661" t="s">
        <v>7065</v>
      </c>
      <c r="Y713" s="661" t="s">
        <v>106</v>
      </c>
      <c r="Z713" s="661">
        <v>0.5837</v>
      </c>
      <c r="AA713" s="634">
        <f t="shared" ref="AA713:AA723" si="248">Z713*I713</f>
        <v>3922.464</v>
      </c>
      <c r="AC713" s="638" t="s">
        <v>7783</v>
      </c>
      <c r="AD713" s="662" t="s">
        <v>6063</v>
      </c>
      <c r="AE713" s="662" t="s">
        <v>82</v>
      </c>
      <c r="AF713" s="662"/>
      <c r="AG713" s="662"/>
      <c r="AH713" s="662"/>
      <c r="AI713" s="662">
        <v>6720</v>
      </c>
      <c r="AJ713" s="662">
        <f t="shared" ref="AJ713:AJ727" si="249">AI713-I713</f>
        <v>0</v>
      </c>
      <c r="AK713" s="662"/>
      <c r="AL713" s="662"/>
      <c r="AM713" s="662"/>
      <c r="AN713" s="662">
        <f t="shared" ref="AN713:AN718" si="250">I713</f>
        <v>6720</v>
      </c>
      <c r="AO713" s="663"/>
      <c r="AP713" s="554">
        <f t="shared" ref="AP713:AP718" si="251">I713</f>
        <v>6720</v>
      </c>
      <c r="AR713" s="680"/>
      <c r="AS713" s="548"/>
      <c r="AT713" s="548"/>
      <c r="AU713" s="554">
        <f t="shared" ref="AU713:AU718" si="252">I713</f>
        <v>6720</v>
      </c>
      <c r="AV713" s="663"/>
      <c r="AW713" s="669"/>
      <c r="AX713" s="663"/>
      <c r="AY713" s="548"/>
      <c r="AZ713" s="548"/>
      <c r="BA713" s="548"/>
      <c r="BB713" s="670">
        <f t="shared" ref="BB713:BB726" si="253">I713/24</f>
        <v>280</v>
      </c>
      <c r="BC713" s="671"/>
      <c r="BD713" s="548"/>
      <c r="BE713" s="548"/>
      <c r="BF713" s="548"/>
      <c r="BQ713" s="663">
        <f t="shared" ref="BQ713:BQ718" si="254">I713/16</f>
        <v>420</v>
      </c>
      <c r="BY713" s="669"/>
      <c r="BZ713" s="548"/>
      <c r="CA713" s="672"/>
      <c r="CB713" s="567"/>
      <c r="CC713" s="673"/>
      <c r="CD713" s="669"/>
      <c r="CE713" s="669"/>
      <c r="CF713" s="548"/>
      <c r="CG713" s="548"/>
      <c r="CU713" s="554">
        <f t="shared" ref="CU713:CU718" si="255">BQ713+BP713+BO713+BN713+BX713+BR713</f>
        <v>420</v>
      </c>
      <c r="CV713" s="663">
        <f t="shared" si="237"/>
        <v>0</v>
      </c>
      <c r="CW713" s="663">
        <f t="shared" si="238"/>
        <v>0</v>
      </c>
      <c r="CX713" s="669"/>
      <c r="CY713" s="669"/>
      <c r="CZ713" s="669"/>
      <c r="DA713" s="548"/>
      <c r="DB713" s="548"/>
      <c r="DC713" s="548"/>
      <c r="DD713" s="669"/>
      <c r="DE713" s="669"/>
      <c r="DF713" s="669"/>
      <c r="DG713" s="669"/>
      <c r="DH713" s="669"/>
    </row>
    <row r="714" s="548" customFormat="1" ht="31" customHeight="1" spans="1:112">
      <c r="A714" s="660">
        <v>45925</v>
      </c>
      <c r="B714" s="661" t="s">
        <v>143</v>
      </c>
      <c r="C714" s="662" t="s">
        <v>98</v>
      </c>
      <c r="D714" s="663">
        <v>4500180349</v>
      </c>
      <c r="E714" s="664">
        <v>947820106</v>
      </c>
      <c r="F714" s="663" t="s">
        <v>7784</v>
      </c>
      <c r="G714" s="662" t="s">
        <v>6063</v>
      </c>
      <c r="H714" s="662" t="s">
        <v>6064</v>
      </c>
      <c r="I714" s="662">
        <v>1920</v>
      </c>
      <c r="J714" s="662">
        <v>0</v>
      </c>
      <c r="K714" s="662">
        <v>16</v>
      </c>
      <c r="L714" s="665">
        <f t="shared" si="247"/>
        <v>120</v>
      </c>
      <c r="M714" s="666">
        <v>45961</v>
      </c>
      <c r="N714" s="666">
        <f t="shared" si="245"/>
        <v>45957</v>
      </c>
      <c r="O714" s="664" t="s">
        <v>7782</v>
      </c>
      <c r="P714" s="664" t="s">
        <v>113</v>
      </c>
      <c r="Q714" s="662"/>
      <c r="R714" s="667" t="s">
        <v>7064</v>
      </c>
      <c r="S714" s="667" t="s">
        <v>70</v>
      </c>
      <c r="T714" s="667" t="s">
        <v>148</v>
      </c>
      <c r="U714" s="667"/>
      <c r="V714" s="667"/>
      <c r="W714" s="615"/>
      <c r="X714" s="661" t="s">
        <v>7065</v>
      </c>
      <c r="Y714" s="661" t="s">
        <v>106</v>
      </c>
      <c r="Z714" s="661">
        <v>0.5837</v>
      </c>
      <c r="AA714" s="634">
        <f t="shared" si="248"/>
        <v>1120.704</v>
      </c>
      <c r="AC714" s="688" t="s">
        <v>7785</v>
      </c>
      <c r="AD714" s="662" t="s">
        <v>6063</v>
      </c>
      <c r="AE714" s="662" t="s">
        <v>82</v>
      </c>
      <c r="AF714" s="662"/>
      <c r="AG714" s="662"/>
      <c r="AH714" s="662"/>
      <c r="AI714" s="662">
        <v>1920</v>
      </c>
      <c r="AJ714" s="662">
        <f t="shared" si="249"/>
        <v>0</v>
      </c>
      <c r="AK714" s="662"/>
      <c r="AL714" s="662"/>
      <c r="AM714" s="662"/>
      <c r="AN714" s="662">
        <f t="shared" si="250"/>
        <v>1920</v>
      </c>
      <c r="AO714" s="663"/>
      <c r="AP714" s="554">
        <f t="shared" si="251"/>
        <v>1920</v>
      </c>
      <c r="AR714" s="680"/>
      <c r="AS714" s="548"/>
      <c r="AT714" s="548"/>
      <c r="AU714" s="554">
        <f t="shared" si="252"/>
        <v>1920</v>
      </c>
      <c r="AV714" s="663"/>
      <c r="AW714" s="669"/>
      <c r="AX714" s="663"/>
      <c r="AY714" s="548"/>
      <c r="AZ714" s="548"/>
      <c r="BA714" s="548"/>
      <c r="BB714" s="670">
        <f t="shared" si="253"/>
        <v>80</v>
      </c>
      <c r="BC714" s="671"/>
      <c r="BD714" s="548"/>
      <c r="BE714" s="548"/>
      <c r="BF714" s="548"/>
      <c r="BQ714" s="663">
        <f t="shared" si="254"/>
        <v>120</v>
      </c>
      <c r="BY714" s="669"/>
      <c r="BZ714" s="548"/>
      <c r="CA714" s="672"/>
      <c r="CB714" s="567"/>
      <c r="CC714" s="673"/>
      <c r="CD714" s="669"/>
      <c r="CE714" s="669"/>
      <c r="CF714" s="548"/>
      <c r="CG714" s="548"/>
      <c r="CU714" s="554">
        <f t="shared" si="255"/>
        <v>120</v>
      </c>
      <c r="CV714" s="663">
        <f t="shared" si="237"/>
        <v>0</v>
      </c>
      <c r="CW714" s="663">
        <f t="shared" si="238"/>
        <v>0</v>
      </c>
      <c r="CX714" s="669"/>
      <c r="CY714" s="669"/>
      <c r="CZ714" s="669"/>
      <c r="DA714" s="548"/>
      <c r="DB714" s="548"/>
      <c r="DC714" s="548"/>
      <c r="DD714" s="669"/>
      <c r="DE714" s="669"/>
      <c r="DF714" s="669"/>
      <c r="DG714" s="669"/>
      <c r="DH714" s="669"/>
    </row>
    <row r="715" s="548" customFormat="1" ht="31" customHeight="1" spans="1:112">
      <c r="A715" s="660">
        <v>45925</v>
      </c>
      <c r="B715" s="661" t="s">
        <v>143</v>
      </c>
      <c r="C715" s="662" t="s">
        <v>98</v>
      </c>
      <c r="D715" s="663">
        <v>4500180349</v>
      </c>
      <c r="E715" s="664">
        <v>947820110</v>
      </c>
      <c r="F715" s="663" t="s">
        <v>7786</v>
      </c>
      <c r="G715" s="662" t="s">
        <v>6063</v>
      </c>
      <c r="H715" s="662" t="s">
        <v>6064</v>
      </c>
      <c r="I715" s="662">
        <v>3840</v>
      </c>
      <c r="J715" s="662">
        <v>0</v>
      </c>
      <c r="K715" s="662">
        <v>16</v>
      </c>
      <c r="L715" s="665">
        <f t="shared" si="247"/>
        <v>240</v>
      </c>
      <c r="M715" s="666">
        <v>45961</v>
      </c>
      <c r="N715" s="666">
        <f t="shared" si="245"/>
        <v>45957</v>
      </c>
      <c r="O715" s="664" t="s">
        <v>7782</v>
      </c>
      <c r="P715" s="664" t="s">
        <v>113</v>
      </c>
      <c r="Q715" s="662" t="s">
        <v>7787</v>
      </c>
      <c r="R715" s="667" t="s">
        <v>7064</v>
      </c>
      <c r="S715" s="667" t="s">
        <v>70</v>
      </c>
      <c r="T715" s="667" t="s">
        <v>148</v>
      </c>
      <c r="U715" s="667"/>
      <c r="V715" s="667"/>
      <c r="W715" s="615"/>
      <c r="X715" s="661" t="s">
        <v>7065</v>
      </c>
      <c r="Y715" s="661" t="s">
        <v>106</v>
      </c>
      <c r="Z715" s="661">
        <v>0.5837</v>
      </c>
      <c r="AA715" s="634">
        <f t="shared" si="248"/>
        <v>2241.408</v>
      </c>
      <c r="AC715" s="638" t="s">
        <v>7788</v>
      </c>
      <c r="AD715" s="662" t="s">
        <v>6063</v>
      </c>
      <c r="AE715" s="662" t="s">
        <v>82</v>
      </c>
      <c r="AF715" s="662"/>
      <c r="AG715" s="662"/>
      <c r="AH715" s="662"/>
      <c r="AI715" s="662">
        <v>3840</v>
      </c>
      <c r="AJ715" s="662">
        <f t="shared" si="249"/>
        <v>0</v>
      </c>
      <c r="AK715" s="662"/>
      <c r="AL715" s="662"/>
      <c r="AM715" s="662"/>
      <c r="AN715" s="662">
        <f t="shared" si="250"/>
        <v>3840</v>
      </c>
      <c r="AO715" s="663"/>
      <c r="AP715" s="554">
        <f t="shared" si="251"/>
        <v>3840</v>
      </c>
      <c r="AR715" s="680"/>
      <c r="AS715" s="548"/>
      <c r="AT715" s="548"/>
      <c r="AU715" s="554">
        <f t="shared" si="252"/>
        <v>3840</v>
      </c>
      <c r="AV715" s="663"/>
      <c r="AW715" s="669"/>
      <c r="AX715" s="663"/>
      <c r="AY715" s="548"/>
      <c r="AZ715" s="548"/>
      <c r="BA715" s="548"/>
      <c r="BB715" s="670">
        <f t="shared" si="253"/>
        <v>160</v>
      </c>
      <c r="BC715" s="671"/>
      <c r="BD715" s="548"/>
      <c r="BE715" s="548"/>
      <c r="BF715" s="548"/>
      <c r="BQ715" s="663">
        <f t="shared" si="254"/>
        <v>240</v>
      </c>
      <c r="BY715" s="669"/>
      <c r="BZ715" s="548"/>
      <c r="CA715" s="672"/>
      <c r="CB715" s="567"/>
      <c r="CC715" s="673"/>
      <c r="CD715" s="669"/>
      <c r="CE715" s="669"/>
      <c r="CF715" s="548"/>
      <c r="CG715" s="548"/>
      <c r="CU715" s="554">
        <f t="shared" si="255"/>
        <v>240</v>
      </c>
      <c r="CV715" s="663">
        <f t="shared" si="237"/>
        <v>0</v>
      </c>
      <c r="CW715" s="663">
        <f t="shared" si="238"/>
        <v>0</v>
      </c>
      <c r="CX715" s="669"/>
      <c r="CY715" s="669"/>
      <c r="CZ715" s="669"/>
      <c r="DA715" s="548"/>
      <c r="DB715" s="548"/>
      <c r="DC715" s="548"/>
      <c r="DD715" s="669"/>
      <c r="DE715" s="669"/>
      <c r="DF715" s="669"/>
      <c r="DG715" s="669"/>
      <c r="DH715" s="669"/>
    </row>
    <row r="716" s="548" customFormat="1" ht="31" customHeight="1" spans="1:112">
      <c r="A716" s="660">
        <v>45925</v>
      </c>
      <c r="B716" s="661" t="s">
        <v>143</v>
      </c>
      <c r="C716" s="662" t="s">
        <v>98</v>
      </c>
      <c r="D716" s="663">
        <v>4500180349</v>
      </c>
      <c r="E716" s="664">
        <v>947820111</v>
      </c>
      <c r="F716" s="663" t="s">
        <v>7789</v>
      </c>
      <c r="G716" s="662" t="s">
        <v>6063</v>
      </c>
      <c r="H716" s="662" t="s">
        <v>6064</v>
      </c>
      <c r="I716" s="662">
        <v>2880</v>
      </c>
      <c r="J716" s="662">
        <v>0</v>
      </c>
      <c r="K716" s="662">
        <v>16</v>
      </c>
      <c r="L716" s="665">
        <f t="shared" si="247"/>
        <v>180</v>
      </c>
      <c r="M716" s="666">
        <v>45961</v>
      </c>
      <c r="N716" s="666">
        <f t="shared" si="245"/>
        <v>45957</v>
      </c>
      <c r="O716" s="664" t="s">
        <v>7782</v>
      </c>
      <c r="P716" s="664" t="s">
        <v>113</v>
      </c>
      <c r="Q716" s="662"/>
      <c r="R716" s="667" t="s">
        <v>7064</v>
      </c>
      <c r="S716" s="667" t="s">
        <v>70</v>
      </c>
      <c r="T716" s="667" t="s">
        <v>148</v>
      </c>
      <c r="U716" s="667"/>
      <c r="V716" s="667"/>
      <c r="W716" s="615"/>
      <c r="X716" s="661" t="s">
        <v>7065</v>
      </c>
      <c r="Y716" s="661" t="s">
        <v>106</v>
      </c>
      <c r="Z716" s="661">
        <v>0.5837</v>
      </c>
      <c r="AA716" s="634">
        <f t="shared" si="248"/>
        <v>1681.056</v>
      </c>
      <c r="AC716" s="638" t="s">
        <v>7788</v>
      </c>
      <c r="AD716" s="662" t="s">
        <v>6063</v>
      </c>
      <c r="AE716" s="662" t="s">
        <v>82</v>
      </c>
      <c r="AF716" s="662"/>
      <c r="AG716" s="662"/>
      <c r="AH716" s="662"/>
      <c r="AI716" s="662">
        <v>2880</v>
      </c>
      <c r="AJ716" s="662">
        <f t="shared" si="249"/>
        <v>0</v>
      </c>
      <c r="AK716" s="662"/>
      <c r="AL716" s="662"/>
      <c r="AM716" s="662"/>
      <c r="AN716" s="662">
        <f t="shared" si="250"/>
        <v>2880</v>
      </c>
      <c r="AO716" s="663"/>
      <c r="AP716" s="554">
        <f t="shared" si="251"/>
        <v>2880</v>
      </c>
      <c r="AR716" s="680"/>
      <c r="AS716" s="548"/>
      <c r="AT716" s="548"/>
      <c r="AU716" s="554">
        <f t="shared" si="252"/>
        <v>2880</v>
      </c>
      <c r="AV716" s="663"/>
      <c r="AW716" s="669"/>
      <c r="AX716" s="663"/>
      <c r="AY716" s="548"/>
      <c r="AZ716" s="548"/>
      <c r="BA716" s="548"/>
      <c r="BB716" s="670">
        <f t="shared" si="253"/>
        <v>120</v>
      </c>
      <c r="BC716" s="671"/>
      <c r="BD716" s="548"/>
      <c r="BE716" s="548"/>
      <c r="BF716" s="548"/>
      <c r="BQ716" s="663">
        <f t="shared" si="254"/>
        <v>180</v>
      </c>
      <c r="BY716" s="669"/>
      <c r="BZ716" s="548"/>
      <c r="CA716" s="672"/>
      <c r="CB716" s="567"/>
      <c r="CC716" s="673"/>
      <c r="CD716" s="669"/>
      <c r="CE716" s="669"/>
      <c r="CF716" s="548"/>
      <c r="CG716" s="548"/>
      <c r="CU716" s="554">
        <f t="shared" si="255"/>
        <v>180</v>
      </c>
      <c r="CV716" s="663">
        <f t="shared" si="237"/>
        <v>0</v>
      </c>
      <c r="CW716" s="663">
        <f t="shared" si="238"/>
        <v>0</v>
      </c>
      <c r="CX716" s="669"/>
      <c r="CY716" s="669"/>
      <c r="CZ716" s="669"/>
      <c r="DA716" s="548"/>
      <c r="DB716" s="548"/>
      <c r="DC716" s="548"/>
      <c r="DD716" s="669"/>
      <c r="DE716" s="669"/>
      <c r="DF716" s="669"/>
      <c r="DG716" s="669"/>
      <c r="DH716" s="669"/>
    </row>
    <row r="717" s="548" customFormat="1" ht="31" customHeight="1" spans="1:112">
      <c r="A717" s="660">
        <v>45925</v>
      </c>
      <c r="B717" s="661" t="s">
        <v>143</v>
      </c>
      <c r="C717" s="662" t="s">
        <v>98</v>
      </c>
      <c r="D717" s="663">
        <v>4500180349</v>
      </c>
      <c r="E717" s="664">
        <v>947820112</v>
      </c>
      <c r="F717" s="663" t="s">
        <v>7790</v>
      </c>
      <c r="G717" s="662" t="s">
        <v>6063</v>
      </c>
      <c r="H717" s="662" t="s">
        <v>6064</v>
      </c>
      <c r="I717" s="662">
        <v>8640</v>
      </c>
      <c r="J717" s="662">
        <v>0</v>
      </c>
      <c r="K717" s="662">
        <v>16</v>
      </c>
      <c r="L717" s="665">
        <f t="shared" si="247"/>
        <v>540</v>
      </c>
      <c r="M717" s="666">
        <v>45961</v>
      </c>
      <c r="N717" s="666">
        <f t="shared" si="245"/>
        <v>45957</v>
      </c>
      <c r="O717" s="664" t="s">
        <v>7782</v>
      </c>
      <c r="P717" s="664" t="s">
        <v>113</v>
      </c>
      <c r="Q717" s="662"/>
      <c r="R717" s="667" t="s">
        <v>7064</v>
      </c>
      <c r="S717" s="667" t="s">
        <v>70</v>
      </c>
      <c r="T717" s="667" t="s">
        <v>148</v>
      </c>
      <c r="U717" s="667"/>
      <c r="V717" s="667"/>
      <c r="W717" s="615"/>
      <c r="X717" s="661" t="s">
        <v>7065</v>
      </c>
      <c r="Y717" s="661" t="s">
        <v>106</v>
      </c>
      <c r="Z717" s="661">
        <v>0.5837</v>
      </c>
      <c r="AA717" s="634">
        <f t="shared" si="248"/>
        <v>5043.168</v>
      </c>
      <c r="AC717" s="638" t="s">
        <v>7791</v>
      </c>
      <c r="AD717" s="662" t="s">
        <v>6063</v>
      </c>
      <c r="AE717" s="662" t="s">
        <v>82</v>
      </c>
      <c r="AF717" s="662"/>
      <c r="AG717" s="662"/>
      <c r="AH717" s="662"/>
      <c r="AI717" s="662">
        <v>8640</v>
      </c>
      <c r="AJ717" s="662">
        <f t="shared" si="249"/>
        <v>0</v>
      </c>
      <c r="AK717" s="662"/>
      <c r="AL717" s="662"/>
      <c r="AM717" s="662"/>
      <c r="AN717" s="662">
        <f t="shared" si="250"/>
        <v>8640</v>
      </c>
      <c r="AO717" s="663"/>
      <c r="AP717" s="554">
        <f t="shared" si="251"/>
        <v>8640</v>
      </c>
      <c r="AR717" s="680"/>
      <c r="AS717" s="548"/>
      <c r="AT717" s="548"/>
      <c r="AU717" s="554">
        <f t="shared" si="252"/>
        <v>8640</v>
      </c>
      <c r="AV717" s="663"/>
      <c r="AW717" s="669"/>
      <c r="AX717" s="663"/>
      <c r="AY717" s="548"/>
      <c r="AZ717" s="548"/>
      <c r="BA717" s="548"/>
      <c r="BB717" s="670">
        <f t="shared" si="253"/>
        <v>360</v>
      </c>
      <c r="BC717" s="671"/>
      <c r="BD717" s="548"/>
      <c r="BE717" s="548"/>
      <c r="BF717" s="548"/>
      <c r="BQ717" s="663">
        <f t="shared" si="254"/>
        <v>540</v>
      </c>
      <c r="BY717" s="669"/>
      <c r="BZ717" s="548"/>
      <c r="CA717" s="672"/>
      <c r="CB717" s="567"/>
      <c r="CC717" s="673"/>
      <c r="CD717" s="669"/>
      <c r="CE717" s="669"/>
      <c r="CF717" s="548"/>
      <c r="CG717" s="548"/>
      <c r="CU717" s="554">
        <f t="shared" si="255"/>
        <v>540</v>
      </c>
      <c r="CV717" s="663">
        <f t="shared" si="237"/>
        <v>0</v>
      </c>
      <c r="CW717" s="663">
        <f t="shared" si="238"/>
        <v>0</v>
      </c>
      <c r="CX717" s="669"/>
      <c r="CY717" s="669"/>
      <c r="CZ717" s="669"/>
      <c r="DA717" s="548"/>
      <c r="DB717" s="548"/>
      <c r="DC717" s="548"/>
      <c r="DD717" s="669"/>
      <c r="DE717" s="669"/>
      <c r="DF717" s="669"/>
      <c r="DG717" s="669"/>
      <c r="DH717" s="669"/>
    </row>
    <row r="718" s="548" customFormat="1" ht="31" customHeight="1" spans="1:112">
      <c r="A718" s="660">
        <v>45925</v>
      </c>
      <c r="B718" s="661" t="s">
        <v>143</v>
      </c>
      <c r="C718" s="662" t="s">
        <v>98</v>
      </c>
      <c r="D718" s="663">
        <v>4500180349</v>
      </c>
      <c r="E718" s="664">
        <v>947820114</v>
      </c>
      <c r="F718" s="663" t="s">
        <v>7792</v>
      </c>
      <c r="G718" s="662" t="s">
        <v>6063</v>
      </c>
      <c r="H718" s="662" t="s">
        <v>6064</v>
      </c>
      <c r="I718" s="662">
        <v>2880</v>
      </c>
      <c r="J718" s="662">
        <v>0</v>
      </c>
      <c r="K718" s="662">
        <v>16</v>
      </c>
      <c r="L718" s="665">
        <f t="shared" si="247"/>
        <v>180</v>
      </c>
      <c r="M718" s="666">
        <v>45961</v>
      </c>
      <c r="N718" s="666">
        <f t="shared" si="245"/>
        <v>45957</v>
      </c>
      <c r="O718" s="664" t="s">
        <v>7782</v>
      </c>
      <c r="P718" s="664" t="s">
        <v>113</v>
      </c>
      <c r="Q718" s="662"/>
      <c r="R718" s="667" t="s">
        <v>7064</v>
      </c>
      <c r="S718" s="667" t="s">
        <v>70</v>
      </c>
      <c r="T718" s="667" t="s">
        <v>148</v>
      </c>
      <c r="U718" s="667"/>
      <c r="V718" s="667"/>
      <c r="W718" s="615"/>
      <c r="X718" s="661" t="s">
        <v>7065</v>
      </c>
      <c r="Y718" s="661" t="s">
        <v>106</v>
      </c>
      <c r="Z718" s="661">
        <v>0.5837</v>
      </c>
      <c r="AA718" s="634">
        <f t="shared" si="248"/>
        <v>1681.056</v>
      </c>
      <c r="AC718" s="638" t="s">
        <v>7793</v>
      </c>
      <c r="AD718" s="662" t="s">
        <v>6063</v>
      </c>
      <c r="AE718" s="662" t="s">
        <v>82</v>
      </c>
      <c r="AF718" s="662"/>
      <c r="AG718" s="662"/>
      <c r="AH718" s="662"/>
      <c r="AI718" s="662">
        <v>2880</v>
      </c>
      <c r="AJ718" s="662">
        <f t="shared" si="249"/>
        <v>0</v>
      </c>
      <c r="AK718" s="662"/>
      <c r="AL718" s="662"/>
      <c r="AM718" s="662"/>
      <c r="AN718" s="662">
        <f t="shared" si="250"/>
        <v>2880</v>
      </c>
      <c r="AO718" s="663"/>
      <c r="AP718" s="554">
        <f t="shared" si="251"/>
        <v>2880</v>
      </c>
      <c r="AR718" s="680"/>
      <c r="AS718" s="548"/>
      <c r="AT718" s="548"/>
      <c r="AU718" s="554">
        <f t="shared" si="252"/>
        <v>2880</v>
      </c>
      <c r="AV718" s="663"/>
      <c r="AW718" s="669"/>
      <c r="AX718" s="663"/>
      <c r="AY718" s="548"/>
      <c r="AZ718" s="548"/>
      <c r="BA718" s="548"/>
      <c r="BB718" s="670">
        <f t="shared" si="253"/>
        <v>120</v>
      </c>
      <c r="BC718" s="671"/>
      <c r="BD718" s="548"/>
      <c r="BE718" s="548"/>
      <c r="BF718" s="548"/>
      <c r="BQ718" s="663">
        <f t="shared" si="254"/>
        <v>180</v>
      </c>
      <c r="BY718" s="669"/>
      <c r="BZ718" s="548"/>
      <c r="CA718" s="672"/>
      <c r="CB718" s="567"/>
      <c r="CC718" s="673"/>
      <c r="CD718" s="669"/>
      <c r="CE718" s="669"/>
      <c r="CF718" s="548"/>
      <c r="CG718" s="548"/>
      <c r="CU718" s="554">
        <f t="shared" si="255"/>
        <v>180</v>
      </c>
      <c r="CV718" s="663">
        <f t="shared" si="237"/>
        <v>0</v>
      </c>
      <c r="CW718" s="663">
        <f t="shared" si="238"/>
        <v>0</v>
      </c>
      <c r="CX718" s="669"/>
      <c r="CY718" s="669"/>
      <c r="CZ718" s="669"/>
      <c r="DA718" s="548"/>
      <c r="DB718" s="548"/>
      <c r="DC718" s="548"/>
      <c r="DD718" s="669"/>
      <c r="DE718" s="669"/>
      <c r="DF718" s="669"/>
      <c r="DG718" s="669"/>
      <c r="DH718" s="669"/>
    </row>
    <row r="719" s="548" customFormat="1" ht="31" customHeight="1" spans="1:112">
      <c r="A719" s="660">
        <v>45917</v>
      </c>
      <c r="B719" s="689">
        <v>946374463</v>
      </c>
      <c r="C719" s="662" t="s">
        <v>375</v>
      </c>
      <c r="D719" s="663">
        <v>4500179713</v>
      </c>
      <c r="E719" s="662"/>
      <c r="F719" s="663" t="s">
        <v>7794</v>
      </c>
      <c r="G719" s="662" t="s">
        <v>6093</v>
      </c>
      <c r="H719" s="662" t="s">
        <v>6094</v>
      </c>
      <c r="I719" s="662">
        <v>312</v>
      </c>
      <c r="J719" s="662">
        <v>0</v>
      </c>
      <c r="K719" s="662">
        <v>13</v>
      </c>
      <c r="L719" s="665">
        <f t="shared" si="247"/>
        <v>24</v>
      </c>
      <c r="M719" s="666">
        <v>45966</v>
      </c>
      <c r="N719" s="666">
        <v>45962</v>
      </c>
      <c r="O719" s="664"/>
      <c r="P719" s="664" t="s">
        <v>113</v>
      </c>
      <c r="Q719" s="662"/>
      <c r="R719" s="667">
        <v>45919</v>
      </c>
      <c r="S719" s="667" t="s">
        <v>70</v>
      </c>
      <c r="T719" s="667" t="s">
        <v>7795</v>
      </c>
      <c r="U719" s="667"/>
      <c r="V719" s="667"/>
      <c r="W719" s="615"/>
      <c r="X719" s="661" t="s">
        <v>7796</v>
      </c>
      <c r="Y719" s="661" t="s">
        <v>244</v>
      </c>
      <c r="Z719" s="661">
        <v>0.9168</v>
      </c>
      <c r="AA719" s="634">
        <f t="shared" si="248"/>
        <v>286.0416</v>
      </c>
      <c r="AC719" s="638" t="s">
        <v>7797</v>
      </c>
      <c r="AD719" s="662" t="s">
        <v>6093</v>
      </c>
      <c r="AE719" s="662" t="s">
        <v>82</v>
      </c>
      <c r="AF719" s="662"/>
      <c r="AG719" s="662"/>
      <c r="AH719" s="662"/>
      <c r="AI719" s="662">
        <v>312</v>
      </c>
      <c r="AJ719" s="662">
        <f t="shared" si="249"/>
        <v>0</v>
      </c>
      <c r="AK719" s="662"/>
      <c r="AL719" s="662"/>
      <c r="AM719" s="662"/>
      <c r="AN719" s="662"/>
      <c r="AO719" s="663">
        <f>I719</f>
        <v>312</v>
      </c>
      <c r="AR719" s="680"/>
      <c r="AS719" s="548"/>
      <c r="AT719" s="554">
        <f>I719</f>
        <v>312</v>
      </c>
      <c r="AV719" s="554">
        <f>I719</f>
        <v>312</v>
      </c>
      <c r="AW719" s="669"/>
      <c r="AX719" s="663"/>
      <c r="AY719" s="548"/>
      <c r="AZ719" s="548"/>
      <c r="BA719" s="548"/>
      <c r="BB719" s="620">
        <f t="shared" si="253"/>
        <v>13</v>
      </c>
      <c r="BC719" s="671"/>
      <c r="BD719" s="548"/>
      <c r="BE719" s="548"/>
      <c r="BF719" s="548"/>
      <c r="BM719" s="663">
        <f>I719/13</f>
        <v>24</v>
      </c>
      <c r="BY719" s="669"/>
      <c r="BZ719" s="548"/>
      <c r="CA719" s="672"/>
      <c r="CB719" s="567"/>
      <c r="CC719" s="673"/>
      <c r="CD719" s="669"/>
      <c r="CE719" s="669"/>
      <c r="CF719" s="548"/>
      <c r="CG719" s="548"/>
      <c r="CU719" s="554">
        <f t="shared" si="246"/>
        <v>0</v>
      </c>
      <c r="CV719" s="663">
        <f t="shared" si="237"/>
        <v>0</v>
      </c>
      <c r="CW719" s="663">
        <f t="shared" si="238"/>
        <v>0</v>
      </c>
      <c r="CX719" s="669"/>
      <c r="CY719" s="669"/>
      <c r="CZ719" s="669"/>
      <c r="DA719" s="548"/>
      <c r="DB719" s="548"/>
      <c r="DC719" s="548"/>
      <c r="DD719" s="669"/>
      <c r="DE719" s="669"/>
      <c r="DF719" s="669"/>
      <c r="DG719" s="669"/>
      <c r="DH719" s="669"/>
    </row>
    <row r="720" s="548" customFormat="1" ht="31" customHeight="1" spans="1:112">
      <c r="A720" s="660">
        <v>45923</v>
      </c>
      <c r="B720" s="661" t="s">
        <v>2637</v>
      </c>
      <c r="C720" s="662" t="s">
        <v>469</v>
      </c>
      <c r="D720" s="663">
        <v>4500180174</v>
      </c>
      <c r="E720" s="662">
        <v>4500155176</v>
      </c>
      <c r="F720" s="663" t="s">
        <v>7798</v>
      </c>
      <c r="G720" s="662" t="s">
        <v>6043</v>
      </c>
      <c r="H720" s="662" t="s">
        <v>6110</v>
      </c>
      <c r="I720" s="662">
        <v>5000</v>
      </c>
      <c r="J720" s="662">
        <v>0</v>
      </c>
      <c r="K720" s="662">
        <v>50</v>
      </c>
      <c r="L720" s="665">
        <f t="shared" si="247"/>
        <v>100</v>
      </c>
      <c r="M720" s="666">
        <v>45966</v>
      </c>
      <c r="N720" s="666">
        <v>45964</v>
      </c>
      <c r="O720" s="664"/>
      <c r="P720" s="664" t="s">
        <v>113</v>
      </c>
      <c r="Q720" s="662"/>
      <c r="R720" s="667">
        <v>45923</v>
      </c>
      <c r="S720" s="667" t="s">
        <v>70</v>
      </c>
      <c r="T720" s="667" t="s">
        <v>7799</v>
      </c>
      <c r="U720" s="667"/>
      <c r="V720" s="667"/>
      <c r="W720" s="615"/>
      <c r="X720" s="661" t="s">
        <v>7800</v>
      </c>
      <c r="Y720" s="661" t="s">
        <v>505</v>
      </c>
      <c r="Z720" s="661">
        <v>0.9358</v>
      </c>
      <c r="AA720" s="634">
        <f t="shared" si="248"/>
        <v>4679</v>
      </c>
      <c r="AC720" s="638" t="s">
        <v>7801</v>
      </c>
      <c r="AD720" s="661" t="s">
        <v>6043</v>
      </c>
      <c r="AE720" s="662" t="s">
        <v>82</v>
      </c>
      <c r="AF720" s="662"/>
      <c r="AG720" s="662"/>
      <c r="AH720" s="662"/>
      <c r="AI720" s="662">
        <v>5000</v>
      </c>
      <c r="AJ720" s="662">
        <f t="shared" si="249"/>
        <v>0</v>
      </c>
      <c r="AK720" s="662"/>
      <c r="AL720" s="662"/>
      <c r="AM720" s="662"/>
      <c r="AN720" s="662"/>
      <c r="AO720" s="663">
        <f>I720</f>
        <v>5000</v>
      </c>
      <c r="AR720" s="680"/>
      <c r="AS720" s="548"/>
      <c r="AT720" s="554">
        <f>I720</f>
        <v>5000</v>
      </c>
      <c r="AV720" s="554">
        <f>I720</f>
        <v>5000</v>
      </c>
      <c r="AW720" s="669"/>
      <c r="AX720" s="663"/>
      <c r="AY720" s="548"/>
      <c r="AZ720" s="548"/>
      <c r="BA720" s="548"/>
      <c r="BB720" s="620">
        <f t="shared" si="253"/>
        <v>208.333333333333</v>
      </c>
      <c r="BC720" s="671"/>
      <c r="BD720" s="548"/>
      <c r="BE720" s="548"/>
      <c r="BF720" s="548"/>
      <c r="BP720" s="663">
        <f>I720/25</f>
        <v>200</v>
      </c>
      <c r="BY720" s="669"/>
      <c r="BZ720" s="548"/>
      <c r="CA720" s="672"/>
      <c r="CB720" s="567"/>
      <c r="CC720" s="673"/>
      <c r="CD720" s="669"/>
      <c r="CE720" s="669"/>
      <c r="CF720" s="548"/>
      <c r="CG720" s="548"/>
      <c r="CU720" s="554">
        <f t="shared" si="246"/>
        <v>200</v>
      </c>
      <c r="CV720" s="663">
        <f t="shared" si="237"/>
        <v>0</v>
      </c>
      <c r="CW720" s="663">
        <f t="shared" si="238"/>
        <v>0</v>
      </c>
      <c r="CX720" s="669"/>
      <c r="CY720" s="669"/>
      <c r="CZ720" s="669"/>
      <c r="DA720" s="548"/>
      <c r="DB720" s="548"/>
      <c r="DC720" s="548"/>
      <c r="DD720" s="669"/>
      <c r="DE720" s="669"/>
      <c r="DF720" s="669"/>
      <c r="DG720" s="669"/>
      <c r="DH720" s="669"/>
    </row>
    <row r="721" s="548" customFormat="1" ht="31" customHeight="1" spans="1:112">
      <c r="A721" s="660">
        <v>45925</v>
      </c>
      <c r="B721" s="661" t="s">
        <v>1772</v>
      </c>
      <c r="C721" s="662" t="s">
        <v>278</v>
      </c>
      <c r="D721" s="663">
        <v>4500180233</v>
      </c>
      <c r="E721" s="662" t="s">
        <v>7802</v>
      </c>
      <c r="F721" s="663" t="s">
        <v>7803</v>
      </c>
      <c r="G721" s="662" t="s">
        <v>6318</v>
      </c>
      <c r="H721" s="662" t="s">
        <v>6319</v>
      </c>
      <c r="I721" s="662">
        <v>1500</v>
      </c>
      <c r="J721" s="662">
        <v>25</v>
      </c>
      <c r="K721" s="662">
        <v>50</v>
      </c>
      <c r="L721" s="665">
        <f t="shared" si="247"/>
        <v>30</v>
      </c>
      <c r="M721" s="666">
        <v>45967</v>
      </c>
      <c r="N721" s="666">
        <v>45965</v>
      </c>
      <c r="O721" s="664"/>
      <c r="P721" s="664" t="s">
        <v>113</v>
      </c>
      <c r="Q721" s="662"/>
      <c r="R721" s="667">
        <v>45925</v>
      </c>
      <c r="S721" s="667" t="s">
        <v>70</v>
      </c>
      <c r="T721" s="667" t="s">
        <v>7804</v>
      </c>
      <c r="U721" s="667"/>
      <c r="V721" s="667"/>
      <c r="W721" s="615"/>
      <c r="X721" s="661" t="s">
        <v>7805</v>
      </c>
      <c r="Y721" s="661" t="s">
        <v>299</v>
      </c>
      <c r="Z721" s="661">
        <v>0.9678</v>
      </c>
      <c r="AA721" s="634">
        <f t="shared" si="248"/>
        <v>1451.7</v>
      </c>
      <c r="AC721" s="638" t="s">
        <v>7806</v>
      </c>
      <c r="AD721" s="662" t="s">
        <v>6318</v>
      </c>
      <c r="AE721" s="662" t="s">
        <v>82</v>
      </c>
      <c r="AF721" s="662"/>
      <c r="AG721" s="662"/>
      <c r="AH721" s="662"/>
      <c r="AI721" s="662">
        <v>1500</v>
      </c>
      <c r="AJ721" s="662">
        <f t="shared" ref="AJ721:AJ784" si="256">AI721-I721</f>
        <v>0</v>
      </c>
      <c r="AK721" s="662"/>
      <c r="AL721" s="662"/>
      <c r="AM721" s="662"/>
      <c r="AN721" s="662"/>
      <c r="AO721" s="663">
        <f>I721</f>
        <v>1500</v>
      </c>
      <c r="AR721" s="680"/>
      <c r="AS721" s="548"/>
      <c r="AT721" s="554">
        <f>I721</f>
        <v>1500</v>
      </c>
      <c r="AV721" s="554">
        <f>I721</f>
        <v>1500</v>
      </c>
      <c r="AW721" s="669"/>
      <c r="AX721" s="663"/>
      <c r="AY721" s="548"/>
      <c r="AZ721" s="548"/>
      <c r="BA721" s="548"/>
      <c r="BB721" s="620">
        <f t="shared" si="253"/>
        <v>62.5</v>
      </c>
      <c r="BC721" s="671"/>
      <c r="BD721" s="548"/>
      <c r="BE721" s="548"/>
      <c r="BF721" s="548"/>
      <c r="BP721" s="663">
        <f>I721/25</f>
        <v>60</v>
      </c>
      <c r="BY721" s="669"/>
      <c r="BZ721" s="548"/>
      <c r="CA721" s="672"/>
      <c r="CB721" s="567"/>
      <c r="CC721" s="673"/>
      <c r="CD721" s="669"/>
      <c r="CE721" s="669"/>
      <c r="CF721" s="548"/>
      <c r="CG721" s="548"/>
      <c r="CU721" s="554">
        <f t="shared" si="246"/>
        <v>60</v>
      </c>
      <c r="CV721" s="663">
        <f t="shared" si="237"/>
        <v>0</v>
      </c>
      <c r="CW721" s="663">
        <f t="shared" si="238"/>
        <v>0</v>
      </c>
      <c r="CX721" s="669"/>
      <c r="CY721" s="669"/>
      <c r="CZ721" s="669"/>
      <c r="DA721" s="548"/>
      <c r="DB721" s="548"/>
      <c r="DC721" s="548"/>
      <c r="DD721" s="669"/>
      <c r="DE721" s="669"/>
      <c r="DF721" s="669"/>
      <c r="DG721" s="669"/>
      <c r="DH721" s="669"/>
    </row>
    <row r="722" s="548" customFormat="1" ht="31" customHeight="1" spans="1:112">
      <c r="A722" s="660">
        <v>45925</v>
      </c>
      <c r="B722" s="661" t="s">
        <v>606</v>
      </c>
      <c r="C722" s="662" t="s">
        <v>399</v>
      </c>
      <c r="D722" s="663">
        <v>4500180284</v>
      </c>
      <c r="E722" s="662">
        <v>2236250205</v>
      </c>
      <c r="F722" s="663" t="s">
        <v>7807</v>
      </c>
      <c r="G722" s="662" t="s">
        <v>6043</v>
      </c>
      <c r="H722" s="662" t="s">
        <v>6110</v>
      </c>
      <c r="I722" s="662">
        <v>8000</v>
      </c>
      <c r="J722" s="662">
        <v>0</v>
      </c>
      <c r="K722" s="662">
        <v>50</v>
      </c>
      <c r="L722" s="665">
        <f t="shared" si="247"/>
        <v>160</v>
      </c>
      <c r="M722" s="666">
        <v>45967</v>
      </c>
      <c r="N722" s="666">
        <v>45964</v>
      </c>
      <c r="O722" s="664" t="s">
        <v>7808</v>
      </c>
      <c r="P722" s="664" t="s">
        <v>113</v>
      </c>
      <c r="Q722" s="662"/>
      <c r="R722" s="667" t="s">
        <v>70</v>
      </c>
      <c r="S722" s="667" t="s">
        <v>70</v>
      </c>
      <c r="T722" s="667" t="s">
        <v>7809</v>
      </c>
      <c r="U722" s="667"/>
      <c r="V722" s="667"/>
      <c r="W722" s="615"/>
      <c r="X722" s="661" t="s">
        <v>7810</v>
      </c>
      <c r="Y722" s="661" t="s">
        <v>445</v>
      </c>
      <c r="Z722" s="661">
        <v>0.9358</v>
      </c>
      <c r="AA722" s="634">
        <f t="shared" si="248"/>
        <v>7486.4</v>
      </c>
      <c r="AC722" s="676" t="s">
        <v>7811</v>
      </c>
      <c r="AD722" s="661" t="s">
        <v>6043</v>
      </c>
      <c r="AE722" s="662" t="s">
        <v>82</v>
      </c>
      <c r="AF722" s="662"/>
      <c r="AG722" s="662"/>
      <c r="AH722" s="662"/>
      <c r="AI722" s="662">
        <v>8000</v>
      </c>
      <c r="AJ722" s="662">
        <f t="shared" si="256"/>
        <v>0</v>
      </c>
      <c r="AK722" s="662"/>
      <c r="AL722" s="662"/>
      <c r="AM722" s="662"/>
      <c r="AN722" s="662"/>
      <c r="AO722" s="663">
        <f>I722</f>
        <v>8000</v>
      </c>
      <c r="AR722" s="680"/>
      <c r="AS722" s="548"/>
      <c r="AT722" s="554">
        <f>I722</f>
        <v>8000</v>
      </c>
      <c r="AV722" s="554">
        <f>I722</f>
        <v>8000</v>
      </c>
      <c r="AW722" s="669"/>
      <c r="AX722" s="663"/>
      <c r="AY722" s="548"/>
      <c r="AZ722" s="548"/>
      <c r="BA722" s="548"/>
      <c r="BB722" s="620">
        <f t="shared" si="253"/>
        <v>333.333333333333</v>
      </c>
      <c r="BC722" s="671"/>
      <c r="BD722" s="548"/>
      <c r="BE722" s="548"/>
      <c r="BF722" s="548"/>
      <c r="BP722" s="663">
        <f>I722/25</f>
        <v>320</v>
      </c>
      <c r="BY722" s="669"/>
      <c r="BZ722" s="548"/>
      <c r="CA722" s="672"/>
      <c r="CB722" s="567"/>
      <c r="CC722" s="673"/>
      <c r="CD722" s="669"/>
      <c r="CE722" s="669"/>
      <c r="CF722" s="548"/>
      <c r="CG722" s="548"/>
      <c r="CU722" s="554">
        <f t="shared" si="246"/>
        <v>320</v>
      </c>
      <c r="CV722" s="663">
        <f t="shared" si="237"/>
        <v>0</v>
      </c>
      <c r="CW722" s="663">
        <f t="shared" si="238"/>
        <v>0</v>
      </c>
      <c r="CX722" s="669"/>
      <c r="CY722" s="669"/>
      <c r="CZ722" s="669"/>
      <c r="DA722" s="548"/>
      <c r="DB722" s="548"/>
      <c r="DC722" s="548"/>
      <c r="DD722" s="669"/>
      <c r="DE722" s="669"/>
      <c r="DF722" s="669"/>
      <c r="DG722" s="669"/>
      <c r="DH722" s="669"/>
    </row>
    <row r="723" s="548" customFormat="1" ht="31" customHeight="1" spans="1:112">
      <c r="A723" s="660">
        <v>45905</v>
      </c>
      <c r="B723" s="661" t="s">
        <v>307</v>
      </c>
      <c r="C723" s="662" t="s">
        <v>98</v>
      </c>
      <c r="D723" s="663">
        <v>4500178974</v>
      </c>
      <c r="E723" s="664">
        <v>20643093</v>
      </c>
      <c r="F723" s="663" t="s">
        <v>7812</v>
      </c>
      <c r="G723" s="662" t="s">
        <v>6032</v>
      </c>
      <c r="H723" s="662" t="s">
        <v>6033</v>
      </c>
      <c r="I723" s="662">
        <v>2964</v>
      </c>
      <c r="J723" s="662">
        <v>0</v>
      </c>
      <c r="K723" s="662">
        <v>52</v>
      </c>
      <c r="L723" s="665">
        <f t="shared" si="247"/>
        <v>57</v>
      </c>
      <c r="M723" s="666">
        <v>45968</v>
      </c>
      <c r="N723" s="666">
        <v>45964</v>
      </c>
      <c r="O723" s="664"/>
      <c r="P723" s="664" t="s">
        <v>113</v>
      </c>
      <c r="Q723" s="662"/>
      <c r="R723" s="667">
        <v>45917</v>
      </c>
      <c r="S723" s="667" t="s">
        <v>70</v>
      </c>
      <c r="T723" s="667" t="s">
        <v>70</v>
      </c>
      <c r="U723" s="667"/>
      <c r="V723" s="667"/>
      <c r="W723" s="615"/>
      <c r="X723" s="661" t="s">
        <v>2080</v>
      </c>
      <c r="Y723" s="661" t="s">
        <v>882</v>
      </c>
      <c r="Z723" s="675">
        <v>0.5536</v>
      </c>
      <c r="AA723" s="634">
        <f t="shared" ref="AA723:AA747" si="257">Z723*I723</f>
        <v>1640.8704</v>
      </c>
      <c r="AC723" s="638" t="s">
        <v>2081</v>
      </c>
      <c r="AD723" s="662" t="s">
        <v>6032</v>
      </c>
      <c r="AE723" s="662" t="s">
        <v>82</v>
      </c>
      <c r="AF723" s="662"/>
      <c r="AG723" s="662"/>
      <c r="AH723" s="662"/>
      <c r="AI723" s="662">
        <f>2912+52</f>
        <v>2964</v>
      </c>
      <c r="AJ723" s="662">
        <f t="shared" si="256"/>
        <v>0</v>
      </c>
      <c r="AK723" s="662"/>
      <c r="AL723" s="662"/>
      <c r="AM723" s="662"/>
      <c r="AN723" s="662">
        <f>I723</f>
        <v>2964</v>
      </c>
      <c r="AO723" s="663"/>
      <c r="AP723" s="554">
        <f>I723</f>
        <v>2964</v>
      </c>
      <c r="AR723" s="680"/>
      <c r="AS723" s="548"/>
      <c r="AT723" s="548"/>
      <c r="AU723" s="554">
        <f>I723</f>
        <v>2964</v>
      </c>
      <c r="AW723" s="669"/>
      <c r="AX723" s="663"/>
      <c r="AY723" s="548"/>
      <c r="AZ723" s="548"/>
      <c r="BA723" s="548"/>
      <c r="BB723" s="670">
        <f t="shared" si="253"/>
        <v>123.5</v>
      </c>
      <c r="BC723" s="671"/>
      <c r="BD723" s="548"/>
      <c r="BE723" s="548"/>
      <c r="BF723" s="548"/>
      <c r="BK723" s="663">
        <f>I723/13</f>
        <v>228</v>
      </c>
      <c r="BY723" s="669"/>
      <c r="BZ723" s="548"/>
      <c r="CA723" s="672"/>
      <c r="CB723" s="567"/>
      <c r="CC723" s="673"/>
      <c r="CD723" s="669"/>
      <c r="CE723" s="669"/>
      <c r="CF723" s="548"/>
      <c r="CG723" s="548"/>
      <c r="CU723" s="554">
        <f t="shared" si="246"/>
        <v>0</v>
      </c>
      <c r="CV723" s="663">
        <f t="shared" si="237"/>
        <v>0</v>
      </c>
      <c r="CW723" s="663">
        <f t="shared" si="238"/>
        <v>0</v>
      </c>
      <c r="CX723" s="669"/>
      <c r="CY723" s="669"/>
      <c r="CZ723" s="669"/>
      <c r="DA723" s="548"/>
      <c r="DB723" s="548"/>
      <c r="DC723" s="548"/>
      <c r="DD723" s="669"/>
      <c r="DE723" s="669"/>
      <c r="DF723" s="669"/>
      <c r="DG723" s="669"/>
      <c r="DH723" s="669"/>
    </row>
    <row r="724" s="548" customFormat="1" ht="31" customHeight="1" spans="1:112">
      <c r="A724" s="660">
        <v>45909</v>
      </c>
      <c r="B724" s="661" t="s">
        <v>1800</v>
      </c>
      <c r="C724" s="662" t="s">
        <v>744</v>
      </c>
      <c r="D724" s="663">
        <v>4500178919</v>
      </c>
      <c r="E724" s="662">
        <v>5000001988</v>
      </c>
      <c r="F724" s="663" t="s">
        <v>7813</v>
      </c>
      <c r="G724" s="662" t="s">
        <v>6093</v>
      </c>
      <c r="H724" s="639" t="s">
        <v>7359</v>
      </c>
      <c r="I724" s="662">
        <v>1560</v>
      </c>
      <c r="J724" s="662">
        <v>0</v>
      </c>
      <c r="K724" s="662">
        <v>13</v>
      </c>
      <c r="L724" s="665">
        <f t="shared" si="247"/>
        <v>120</v>
      </c>
      <c r="M724" s="666">
        <v>45968</v>
      </c>
      <c r="N724" s="666">
        <v>45964</v>
      </c>
      <c r="O724" s="664"/>
      <c r="P724" s="664" t="s">
        <v>113</v>
      </c>
      <c r="Q724" s="662"/>
      <c r="R724" s="667" t="s">
        <v>7814</v>
      </c>
      <c r="S724" s="667" t="s">
        <v>70</v>
      </c>
      <c r="T724" s="667" t="s">
        <v>70</v>
      </c>
      <c r="U724" s="667"/>
      <c r="V724" s="667"/>
      <c r="W724" s="615"/>
      <c r="X724" s="661" t="s">
        <v>7815</v>
      </c>
      <c r="Y724" s="661" t="s">
        <v>1805</v>
      </c>
      <c r="Z724" s="661">
        <v>0.8947</v>
      </c>
      <c r="AA724" s="634">
        <f t="shared" si="257"/>
        <v>1395.732</v>
      </c>
      <c r="AC724" s="638" t="s">
        <v>7816</v>
      </c>
      <c r="AD724" s="639" t="s">
        <v>7817</v>
      </c>
      <c r="AE724" s="662" t="s">
        <v>82</v>
      </c>
      <c r="AF724" s="662"/>
      <c r="AG724" s="662"/>
      <c r="AH724" s="662"/>
      <c r="AI724" s="662">
        <v>1560</v>
      </c>
      <c r="AJ724" s="662">
        <f t="shared" si="256"/>
        <v>0</v>
      </c>
      <c r="AK724" s="662"/>
      <c r="AL724" s="662"/>
      <c r="AM724" s="662"/>
      <c r="AN724" s="662"/>
      <c r="AO724" s="663">
        <f>I724</f>
        <v>1560</v>
      </c>
      <c r="AP724" s="554">
        <f>I724</f>
        <v>1560</v>
      </c>
      <c r="AR724" s="680"/>
      <c r="AS724" s="548"/>
      <c r="AT724" s="548"/>
      <c r="AU724" s="548"/>
      <c r="AV724" s="663"/>
      <c r="AW724" s="669"/>
      <c r="AX724" s="554">
        <f>I724</f>
        <v>1560</v>
      </c>
      <c r="BA724" s="663">
        <f>I724/24</f>
        <v>65</v>
      </c>
      <c r="BB724" s="670"/>
      <c r="BC724" s="671"/>
      <c r="BD724" s="548"/>
      <c r="BE724" s="548"/>
      <c r="BF724" s="548"/>
      <c r="BM724" s="663">
        <f>I724/13</f>
        <v>120</v>
      </c>
      <c r="BY724" s="669"/>
      <c r="BZ724" s="548"/>
      <c r="CA724" s="672"/>
      <c r="CB724" s="567"/>
      <c r="CC724" s="673"/>
      <c r="CD724" s="669"/>
      <c r="CE724" s="669"/>
      <c r="CF724" s="548"/>
      <c r="CG724" s="548"/>
      <c r="CU724" s="554">
        <f t="shared" si="246"/>
        <v>0</v>
      </c>
      <c r="CV724" s="663">
        <f t="shared" si="237"/>
        <v>0</v>
      </c>
      <c r="CW724" s="663">
        <f t="shared" si="238"/>
        <v>0</v>
      </c>
      <c r="CX724" s="669"/>
      <c r="CY724" s="669"/>
      <c r="CZ724" s="669"/>
      <c r="DA724" s="548"/>
      <c r="DB724" s="548"/>
      <c r="DC724" s="548"/>
      <c r="DD724" s="669"/>
      <c r="DE724" s="669"/>
      <c r="DF724" s="669"/>
      <c r="DG724" s="669"/>
      <c r="DH724" s="669"/>
    </row>
    <row r="725" s="548" customFormat="1" ht="31" customHeight="1" spans="1:112">
      <c r="A725" s="660">
        <v>45909</v>
      </c>
      <c r="B725" s="661" t="s">
        <v>1800</v>
      </c>
      <c r="C725" s="662" t="s">
        <v>744</v>
      </c>
      <c r="D725" s="663">
        <v>4500178919</v>
      </c>
      <c r="E725" s="662">
        <v>5000001988</v>
      </c>
      <c r="F725" s="663" t="s">
        <v>7818</v>
      </c>
      <c r="G725" s="662" t="s">
        <v>6093</v>
      </c>
      <c r="H725" s="639" t="s">
        <v>7359</v>
      </c>
      <c r="I725" s="662">
        <v>2509</v>
      </c>
      <c r="J725" s="662">
        <v>0</v>
      </c>
      <c r="K725" s="662">
        <v>13</v>
      </c>
      <c r="L725" s="665">
        <f t="shared" si="247"/>
        <v>193</v>
      </c>
      <c r="M725" s="666">
        <v>45968</v>
      </c>
      <c r="N725" s="666">
        <v>45964</v>
      </c>
      <c r="O725" s="664"/>
      <c r="P725" s="664" t="s">
        <v>113</v>
      </c>
      <c r="Q725" s="662"/>
      <c r="R725" s="667" t="s">
        <v>7814</v>
      </c>
      <c r="S725" s="667" t="s">
        <v>70</v>
      </c>
      <c r="T725" s="667" t="s">
        <v>70</v>
      </c>
      <c r="U725" s="667"/>
      <c r="V725" s="667"/>
      <c r="W725" s="615"/>
      <c r="X725" s="661" t="s">
        <v>7815</v>
      </c>
      <c r="Y725" s="661" t="s">
        <v>1805</v>
      </c>
      <c r="Z725" s="661">
        <v>0.8947</v>
      </c>
      <c r="AA725" s="634">
        <f t="shared" si="257"/>
        <v>2244.8023</v>
      </c>
      <c r="AC725" s="638" t="s">
        <v>7816</v>
      </c>
      <c r="AD725" s="639" t="s">
        <v>7817</v>
      </c>
      <c r="AE725" s="662" t="s">
        <v>82</v>
      </c>
      <c r="AF725" s="662"/>
      <c r="AG725" s="662"/>
      <c r="AH725" s="662"/>
      <c r="AI725" s="662">
        <f>2483+26</f>
        <v>2509</v>
      </c>
      <c r="AJ725" s="662">
        <f t="shared" si="256"/>
        <v>0</v>
      </c>
      <c r="AK725" s="662"/>
      <c r="AL725" s="662"/>
      <c r="AM725" s="662"/>
      <c r="AN725" s="662"/>
      <c r="AO725" s="663">
        <f>I725</f>
        <v>2509</v>
      </c>
      <c r="AP725" s="554">
        <f>I725</f>
        <v>2509</v>
      </c>
      <c r="AR725" s="680"/>
      <c r="AS725" s="548"/>
      <c r="AT725" s="548"/>
      <c r="AU725" s="548"/>
      <c r="AV725" s="663"/>
      <c r="AW725" s="669"/>
      <c r="AX725" s="554">
        <f>I725</f>
        <v>2509</v>
      </c>
      <c r="BA725" s="663">
        <f>I725/13</f>
        <v>193</v>
      </c>
      <c r="BB725" s="670"/>
      <c r="BC725" s="671"/>
      <c r="BD725" s="548"/>
      <c r="BE725" s="548"/>
      <c r="BF725" s="548"/>
      <c r="BM725" s="663">
        <f>I725/13</f>
        <v>193</v>
      </c>
      <c r="BY725" s="669"/>
      <c r="BZ725" s="548"/>
      <c r="CA725" s="672"/>
      <c r="CB725" s="567"/>
      <c r="CC725" s="673"/>
      <c r="CD725" s="669"/>
      <c r="CE725" s="669"/>
      <c r="CF725" s="548"/>
      <c r="CG725" s="548"/>
      <c r="CU725" s="554">
        <f t="shared" si="246"/>
        <v>0</v>
      </c>
      <c r="CV725" s="663">
        <f t="shared" si="237"/>
        <v>0</v>
      </c>
      <c r="CW725" s="663">
        <f t="shared" si="238"/>
        <v>0</v>
      </c>
      <c r="CX725" s="669"/>
      <c r="CY725" s="669"/>
      <c r="CZ725" s="669"/>
      <c r="DA725" s="548"/>
      <c r="DB725" s="548"/>
      <c r="DC725" s="548"/>
      <c r="DD725" s="669"/>
      <c r="DE725" s="669"/>
      <c r="DF725" s="669"/>
      <c r="DG725" s="669"/>
      <c r="DH725" s="669"/>
    </row>
    <row r="726" s="548" customFormat="1" ht="31" customHeight="1" spans="1:112">
      <c r="A726" s="660">
        <v>45919</v>
      </c>
      <c r="B726" s="661" t="s">
        <v>127</v>
      </c>
      <c r="C726" s="662" t="s">
        <v>128</v>
      </c>
      <c r="D726" s="663">
        <v>4500179872</v>
      </c>
      <c r="E726" s="662">
        <v>85018</v>
      </c>
      <c r="F726" s="663" t="s">
        <v>7819</v>
      </c>
      <c r="G726" s="662" t="s">
        <v>6047</v>
      </c>
      <c r="H726" s="662" t="s">
        <v>6069</v>
      </c>
      <c r="I726" s="662">
        <v>7200</v>
      </c>
      <c r="J726" s="662">
        <v>0</v>
      </c>
      <c r="K726" s="662">
        <v>25</v>
      </c>
      <c r="L726" s="665">
        <f t="shared" si="247"/>
        <v>288</v>
      </c>
      <c r="M726" s="666">
        <v>45968</v>
      </c>
      <c r="N726" s="666">
        <v>45964</v>
      </c>
      <c r="O726" s="664"/>
      <c r="P726" s="664" t="s">
        <v>113</v>
      </c>
      <c r="Q726" s="662"/>
      <c r="R726" s="667">
        <v>45919</v>
      </c>
      <c r="S726" s="667" t="s">
        <v>70</v>
      </c>
      <c r="T726" s="667" t="s">
        <v>7820</v>
      </c>
      <c r="U726" s="667"/>
      <c r="V726" s="667"/>
      <c r="W726" s="615"/>
      <c r="X726" s="661" t="s">
        <v>7821</v>
      </c>
      <c r="Y726" s="661" t="s">
        <v>217</v>
      </c>
      <c r="Z726" s="661">
        <v>0.9365</v>
      </c>
      <c r="AA726" s="634">
        <f t="shared" si="257"/>
        <v>6742.8</v>
      </c>
      <c r="AC726" s="638" t="s">
        <v>2092</v>
      </c>
      <c r="AD726" s="662" t="s">
        <v>6047</v>
      </c>
      <c r="AE726" s="662" t="s">
        <v>82</v>
      </c>
      <c r="AF726" s="662"/>
      <c r="AG726" s="662"/>
      <c r="AH726" s="662"/>
      <c r="AI726" s="662">
        <v>7200</v>
      </c>
      <c r="AJ726" s="662">
        <f t="shared" si="256"/>
        <v>0</v>
      </c>
      <c r="AK726" s="662"/>
      <c r="AL726" s="662"/>
      <c r="AM726" s="662"/>
      <c r="AN726" s="662"/>
      <c r="AO726" s="663">
        <f>I726</f>
        <v>7200</v>
      </c>
      <c r="AR726" s="680"/>
      <c r="AS726" s="548"/>
      <c r="AT726" s="554">
        <f>I726</f>
        <v>7200</v>
      </c>
      <c r="AV726" s="554">
        <f>I726</f>
        <v>7200</v>
      </c>
      <c r="AW726" s="669"/>
      <c r="AX726" s="548"/>
      <c r="AY726" s="548"/>
      <c r="AZ726" s="548"/>
      <c r="BA726" s="548"/>
      <c r="BB726" s="620">
        <f>I726/24</f>
        <v>300</v>
      </c>
      <c r="BC726" s="671"/>
      <c r="BD726" s="548"/>
      <c r="BE726" s="548"/>
      <c r="BF726" s="548"/>
      <c r="BP726" s="663">
        <f>I726/25</f>
        <v>288</v>
      </c>
      <c r="BY726" s="669"/>
      <c r="BZ726" s="548"/>
      <c r="CA726" s="672"/>
      <c r="CB726" s="567"/>
      <c r="CC726" s="673"/>
      <c r="CD726" s="669"/>
      <c r="CE726" s="669"/>
      <c r="CF726" s="548"/>
      <c r="CG726" s="548"/>
      <c r="CU726" s="554">
        <f t="shared" si="246"/>
        <v>288</v>
      </c>
      <c r="CV726" s="663">
        <f t="shared" si="237"/>
        <v>0</v>
      </c>
      <c r="CW726" s="663">
        <f t="shared" si="238"/>
        <v>0</v>
      </c>
      <c r="CX726" s="669"/>
      <c r="CY726" s="669"/>
      <c r="CZ726" s="669"/>
      <c r="DA726" s="548"/>
      <c r="DB726" s="548"/>
      <c r="DC726" s="548"/>
      <c r="DD726" s="669"/>
      <c r="DE726" s="669"/>
      <c r="DF726" s="669"/>
      <c r="DG726" s="669"/>
      <c r="DH726" s="669"/>
    </row>
    <row r="727" s="548" customFormat="1" ht="31" customHeight="1" spans="1:112">
      <c r="A727" s="660">
        <v>45917</v>
      </c>
      <c r="B727" s="661" t="s">
        <v>549</v>
      </c>
      <c r="C727" s="662" t="s">
        <v>154</v>
      </c>
      <c r="D727" s="663">
        <v>4500179736</v>
      </c>
      <c r="E727" s="662" t="s">
        <v>7822</v>
      </c>
      <c r="F727" s="663" t="s">
        <v>7823</v>
      </c>
      <c r="G727" s="610" t="s">
        <v>6365</v>
      </c>
      <c r="H727" s="662" t="s">
        <v>6126</v>
      </c>
      <c r="I727" s="662">
        <v>1800</v>
      </c>
      <c r="J727" s="662">
        <v>0</v>
      </c>
      <c r="K727" s="662">
        <v>12</v>
      </c>
      <c r="L727" s="665">
        <f t="shared" si="247"/>
        <v>150</v>
      </c>
      <c r="M727" s="666">
        <v>45968</v>
      </c>
      <c r="N727" s="666">
        <v>45964</v>
      </c>
      <c r="O727" s="664"/>
      <c r="P727" s="664" t="s">
        <v>113</v>
      </c>
      <c r="Q727" s="662"/>
      <c r="R727" s="667" t="s">
        <v>4028</v>
      </c>
      <c r="S727" s="667" t="s">
        <v>104</v>
      </c>
      <c r="T727" s="667" t="s">
        <v>7824</v>
      </c>
      <c r="U727" s="667"/>
      <c r="V727" s="667"/>
      <c r="W727" s="615"/>
      <c r="X727" s="661" t="s">
        <v>7825</v>
      </c>
      <c r="Y727" s="661" t="s">
        <v>466</v>
      </c>
      <c r="Z727" s="675">
        <v>2.1629</v>
      </c>
      <c r="AA727" s="634">
        <f t="shared" si="257"/>
        <v>3893.22</v>
      </c>
      <c r="AC727" s="685" t="s">
        <v>7826</v>
      </c>
      <c r="AD727" s="662" t="s">
        <v>6368</v>
      </c>
      <c r="AE727" s="662" t="s">
        <v>82</v>
      </c>
      <c r="AF727" s="662"/>
      <c r="AG727" s="662"/>
      <c r="AH727" s="662"/>
      <c r="AI727" s="662">
        <v>1800</v>
      </c>
      <c r="AJ727" s="662">
        <f t="shared" si="256"/>
        <v>0</v>
      </c>
      <c r="AK727" s="662"/>
      <c r="AL727" s="662"/>
      <c r="AM727" s="662"/>
      <c r="AN727" s="662"/>
      <c r="AO727" s="554">
        <f>I727*2</f>
        <v>3600</v>
      </c>
      <c r="AR727" s="680"/>
      <c r="AS727" s="548"/>
      <c r="AT727" s="554">
        <f>I727*2</f>
        <v>3600</v>
      </c>
      <c r="AV727" s="554">
        <f>I727*2</f>
        <v>3600</v>
      </c>
      <c r="AW727" s="669"/>
      <c r="AX727" s="548"/>
      <c r="AY727" s="548"/>
      <c r="AZ727" s="548"/>
      <c r="BA727" s="548"/>
      <c r="BB727" s="249">
        <f t="shared" ref="BB726:BB731" si="258">I727/24*2</f>
        <v>150</v>
      </c>
      <c r="BC727" s="671"/>
      <c r="BD727" s="548"/>
      <c r="BE727" s="548"/>
      <c r="BF727" s="548"/>
      <c r="BY727" s="669"/>
      <c r="BZ727" s="548"/>
      <c r="CA727" s="672"/>
      <c r="CB727" s="567"/>
      <c r="CC727" s="673"/>
      <c r="CD727" s="669"/>
      <c r="CE727" s="669"/>
      <c r="CF727" s="548"/>
      <c r="CG727" s="548"/>
      <c r="CR727" s="554">
        <f>I727</f>
        <v>1800</v>
      </c>
      <c r="CS727" s="554">
        <f>I727</f>
        <v>1800</v>
      </c>
      <c r="CT727" s="554">
        <f>I727</f>
        <v>1800</v>
      </c>
      <c r="CU727" s="554">
        <f t="shared" si="246"/>
        <v>0</v>
      </c>
      <c r="CV727" s="663">
        <f t="shared" si="237"/>
        <v>0</v>
      </c>
      <c r="CW727" s="663">
        <f t="shared" si="238"/>
        <v>0</v>
      </c>
      <c r="CX727" s="669"/>
      <c r="CY727" s="669"/>
      <c r="CZ727" s="669"/>
      <c r="DA727" s="548"/>
      <c r="DB727" s="548"/>
      <c r="DC727" s="548"/>
      <c r="DD727" s="669"/>
      <c r="DE727" s="669"/>
      <c r="DF727" s="669"/>
      <c r="DG727" s="669"/>
      <c r="DH727" s="669"/>
    </row>
    <row r="728" s="548" customFormat="1" ht="31" customHeight="1" spans="1:112">
      <c r="A728" s="660">
        <v>45917</v>
      </c>
      <c r="B728" s="661" t="s">
        <v>549</v>
      </c>
      <c r="C728" s="662" t="s">
        <v>154</v>
      </c>
      <c r="D728" s="663">
        <v>4500179736</v>
      </c>
      <c r="E728" s="662" t="s">
        <v>7827</v>
      </c>
      <c r="F728" s="663" t="s">
        <v>7828</v>
      </c>
      <c r="G728" s="610" t="s">
        <v>6365</v>
      </c>
      <c r="H728" s="662" t="s">
        <v>6126</v>
      </c>
      <c r="I728" s="662">
        <v>3408</v>
      </c>
      <c r="J728" s="662">
        <v>0</v>
      </c>
      <c r="K728" s="662">
        <v>12</v>
      </c>
      <c r="L728" s="665">
        <f t="shared" si="247"/>
        <v>284</v>
      </c>
      <c r="M728" s="666">
        <v>45968</v>
      </c>
      <c r="N728" s="666">
        <v>45964</v>
      </c>
      <c r="O728" s="664"/>
      <c r="P728" s="664" t="s">
        <v>113</v>
      </c>
      <c r="Q728" s="662"/>
      <c r="R728" s="667" t="s">
        <v>4028</v>
      </c>
      <c r="S728" s="667" t="s">
        <v>104</v>
      </c>
      <c r="T728" s="667" t="s">
        <v>7824</v>
      </c>
      <c r="U728" s="667"/>
      <c r="V728" s="667"/>
      <c r="W728" s="615"/>
      <c r="X728" s="661" t="s">
        <v>7825</v>
      </c>
      <c r="Y728" s="661" t="s">
        <v>466</v>
      </c>
      <c r="Z728" s="675">
        <v>2.1629</v>
      </c>
      <c r="AA728" s="634">
        <f t="shared" si="257"/>
        <v>7371.1632</v>
      </c>
      <c r="AC728" s="685" t="s">
        <v>7826</v>
      </c>
      <c r="AD728" s="662" t="s">
        <v>6368</v>
      </c>
      <c r="AE728" s="662" t="s">
        <v>82</v>
      </c>
      <c r="AF728" s="662"/>
      <c r="AG728" s="662"/>
      <c r="AH728" s="662"/>
      <c r="AI728" s="662">
        <v>3408</v>
      </c>
      <c r="AJ728" s="662">
        <f t="shared" si="256"/>
        <v>0</v>
      </c>
      <c r="AK728" s="662"/>
      <c r="AL728" s="662"/>
      <c r="AM728" s="662"/>
      <c r="AN728" s="662"/>
      <c r="AO728" s="554">
        <f>I728*2</f>
        <v>6816</v>
      </c>
      <c r="AR728" s="680"/>
      <c r="AS728" s="548"/>
      <c r="AT728" s="554">
        <f>I728*2</f>
        <v>6816</v>
      </c>
      <c r="AV728" s="554">
        <f>I728*2</f>
        <v>6816</v>
      </c>
      <c r="AW728" s="669"/>
      <c r="AX728" s="548"/>
      <c r="AY728" s="548"/>
      <c r="AZ728" s="548"/>
      <c r="BA728" s="548"/>
      <c r="BB728" s="249">
        <f t="shared" si="258"/>
        <v>284</v>
      </c>
      <c r="BC728" s="671"/>
      <c r="BD728" s="548"/>
      <c r="BE728" s="548"/>
      <c r="BF728" s="548"/>
      <c r="BY728" s="669"/>
      <c r="BZ728" s="548"/>
      <c r="CA728" s="672"/>
      <c r="CB728" s="567"/>
      <c r="CC728" s="673"/>
      <c r="CD728" s="669"/>
      <c r="CE728" s="669"/>
      <c r="CF728" s="548"/>
      <c r="CG728" s="548"/>
      <c r="CR728" s="554">
        <f>I728</f>
        <v>3408</v>
      </c>
      <c r="CS728" s="554">
        <f>I728</f>
        <v>3408</v>
      </c>
      <c r="CT728" s="554">
        <f>I728</f>
        <v>3408</v>
      </c>
      <c r="CU728" s="554">
        <f t="shared" si="246"/>
        <v>0</v>
      </c>
      <c r="CV728" s="663">
        <f t="shared" si="237"/>
        <v>0</v>
      </c>
      <c r="CW728" s="663">
        <f t="shared" si="238"/>
        <v>0</v>
      </c>
      <c r="CX728" s="669"/>
      <c r="CY728" s="669"/>
      <c r="CZ728" s="669"/>
      <c r="DA728" s="548"/>
      <c r="DB728" s="548"/>
      <c r="DC728" s="548"/>
      <c r="DD728" s="669"/>
      <c r="DE728" s="669"/>
      <c r="DF728" s="669"/>
      <c r="DG728" s="669"/>
      <c r="DH728" s="669"/>
    </row>
    <row r="729" s="548" customFormat="1" ht="31" customHeight="1" spans="1:112">
      <c r="A729" s="660">
        <v>45917</v>
      </c>
      <c r="B729" s="661" t="s">
        <v>549</v>
      </c>
      <c r="C729" s="662" t="s">
        <v>154</v>
      </c>
      <c r="D729" s="663">
        <v>4500179736</v>
      </c>
      <c r="E729" s="662" t="s">
        <v>2093</v>
      </c>
      <c r="F729" s="663" t="s">
        <v>7829</v>
      </c>
      <c r="G729" s="610" t="s">
        <v>6365</v>
      </c>
      <c r="H729" s="662" t="s">
        <v>6126</v>
      </c>
      <c r="I729" s="662">
        <v>492</v>
      </c>
      <c r="J729" s="662">
        <v>0</v>
      </c>
      <c r="K729" s="662">
        <v>12</v>
      </c>
      <c r="L729" s="665">
        <f t="shared" si="247"/>
        <v>41</v>
      </c>
      <c r="M729" s="666">
        <v>45968</v>
      </c>
      <c r="N729" s="666">
        <v>45964</v>
      </c>
      <c r="O729" s="664"/>
      <c r="P729" s="664" t="s">
        <v>113</v>
      </c>
      <c r="Q729" s="662"/>
      <c r="R729" s="667" t="s">
        <v>4028</v>
      </c>
      <c r="S729" s="667" t="s">
        <v>104</v>
      </c>
      <c r="T729" s="667" t="s">
        <v>7824</v>
      </c>
      <c r="U729" s="667"/>
      <c r="V729" s="667"/>
      <c r="W729" s="615"/>
      <c r="X729" s="661" t="s">
        <v>7825</v>
      </c>
      <c r="Y729" s="661" t="s">
        <v>466</v>
      </c>
      <c r="Z729" s="675">
        <v>2.1629</v>
      </c>
      <c r="AA729" s="634">
        <f t="shared" si="257"/>
        <v>1064.1468</v>
      </c>
      <c r="AC729" s="638" t="s">
        <v>2098</v>
      </c>
      <c r="AD729" s="662" t="s">
        <v>6368</v>
      </c>
      <c r="AE729" s="662" t="s">
        <v>82</v>
      </c>
      <c r="AF729" s="662"/>
      <c r="AG729" s="662"/>
      <c r="AH729" s="662"/>
      <c r="AI729" s="662">
        <v>492</v>
      </c>
      <c r="AJ729" s="662">
        <f t="shared" si="256"/>
        <v>0</v>
      </c>
      <c r="AK729" s="662"/>
      <c r="AL729" s="662"/>
      <c r="AM729" s="662"/>
      <c r="AN729" s="662"/>
      <c r="AO729" s="554">
        <f>I729*2</f>
        <v>984</v>
      </c>
      <c r="AR729" s="680"/>
      <c r="AS729" s="548"/>
      <c r="AT729" s="554">
        <f>I729*2</f>
        <v>984</v>
      </c>
      <c r="AV729" s="554">
        <f>I729*2</f>
        <v>984</v>
      </c>
      <c r="AW729" s="669"/>
      <c r="AX729" s="548"/>
      <c r="AY729" s="548"/>
      <c r="AZ729" s="548"/>
      <c r="BA729" s="548"/>
      <c r="BB729" s="249">
        <f t="shared" si="258"/>
        <v>41</v>
      </c>
      <c r="BC729" s="671"/>
      <c r="BD729" s="548"/>
      <c r="BE729" s="548"/>
      <c r="BF729" s="548"/>
      <c r="BY729" s="669"/>
      <c r="BZ729" s="548"/>
      <c r="CA729" s="672"/>
      <c r="CB729" s="567"/>
      <c r="CC729" s="673"/>
      <c r="CD729" s="669"/>
      <c r="CE729" s="669"/>
      <c r="CF729" s="548"/>
      <c r="CG729" s="548"/>
      <c r="CR729" s="554">
        <f>I729</f>
        <v>492</v>
      </c>
      <c r="CS729" s="554">
        <f>I729</f>
        <v>492</v>
      </c>
      <c r="CT729" s="554">
        <f>I729</f>
        <v>492</v>
      </c>
      <c r="CU729" s="554">
        <f t="shared" si="246"/>
        <v>0</v>
      </c>
      <c r="CV729" s="663">
        <f t="shared" si="237"/>
        <v>0</v>
      </c>
      <c r="CW729" s="663">
        <f t="shared" si="238"/>
        <v>0</v>
      </c>
      <c r="CX729" s="669"/>
      <c r="CY729" s="669"/>
      <c r="CZ729" s="669"/>
      <c r="DA729" s="548"/>
      <c r="DB729" s="548"/>
      <c r="DC729" s="548"/>
      <c r="DD729" s="669"/>
      <c r="DE729" s="669"/>
      <c r="DF729" s="669"/>
      <c r="DG729" s="669"/>
      <c r="DH729" s="669"/>
    </row>
    <row r="730" s="548" customFormat="1" ht="31" customHeight="1" spans="1:112">
      <c r="A730" s="660">
        <v>45918</v>
      </c>
      <c r="B730" s="661" t="s">
        <v>4025</v>
      </c>
      <c r="C730" s="662" t="s">
        <v>411</v>
      </c>
      <c r="D730" s="663">
        <v>4500179692</v>
      </c>
      <c r="E730" s="662" t="s">
        <v>7830</v>
      </c>
      <c r="F730" s="663" t="s">
        <v>7831</v>
      </c>
      <c r="G730" s="610" t="s">
        <v>6365</v>
      </c>
      <c r="H730" s="662" t="s">
        <v>6126</v>
      </c>
      <c r="I730" s="662">
        <v>3240</v>
      </c>
      <c r="J730" s="662">
        <v>0</v>
      </c>
      <c r="K730" s="662">
        <v>12</v>
      </c>
      <c r="L730" s="665">
        <f t="shared" si="247"/>
        <v>270</v>
      </c>
      <c r="M730" s="666">
        <v>45968</v>
      </c>
      <c r="N730" s="666">
        <v>45966</v>
      </c>
      <c r="O730" s="664"/>
      <c r="P730" s="664" t="s">
        <v>113</v>
      </c>
      <c r="Q730" s="662"/>
      <c r="R730" s="667" t="s">
        <v>4028</v>
      </c>
      <c r="S730" s="667" t="s">
        <v>104</v>
      </c>
      <c r="T730" s="667" t="s">
        <v>7824</v>
      </c>
      <c r="U730" s="667"/>
      <c r="V730" s="667"/>
      <c r="W730" s="615"/>
      <c r="X730" s="661" t="s">
        <v>7832</v>
      </c>
      <c r="Y730" s="661" t="s">
        <v>544</v>
      </c>
      <c r="Z730" s="675">
        <v>2.2315</v>
      </c>
      <c r="AA730" s="634">
        <f t="shared" si="257"/>
        <v>7230.06</v>
      </c>
      <c r="AC730" s="676" t="s">
        <v>7833</v>
      </c>
      <c r="AD730" s="662" t="s">
        <v>6368</v>
      </c>
      <c r="AE730" s="662" t="s">
        <v>82</v>
      </c>
      <c r="AF730" s="662"/>
      <c r="AG730" s="662"/>
      <c r="AH730" s="662"/>
      <c r="AI730" s="662">
        <v>3240</v>
      </c>
      <c r="AJ730" s="662">
        <f t="shared" si="256"/>
        <v>0</v>
      </c>
      <c r="AK730" s="662"/>
      <c r="AL730" s="662"/>
      <c r="AM730" s="662"/>
      <c r="AN730" s="662"/>
      <c r="AO730" s="554">
        <f>I730*2</f>
        <v>6480</v>
      </c>
      <c r="AR730" s="680"/>
      <c r="AS730" s="548"/>
      <c r="AT730" s="554">
        <f>I730*2</f>
        <v>6480</v>
      </c>
      <c r="AV730" s="554">
        <f>I730*2</f>
        <v>6480</v>
      </c>
      <c r="AW730" s="669"/>
      <c r="AX730" s="548"/>
      <c r="AY730" s="548"/>
      <c r="AZ730" s="548"/>
      <c r="BA730" s="548"/>
      <c r="BB730" s="249">
        <f t="shared" si="258"/>
        <v>270</v>
      </c>
      <c r="BC730" s="671"/>
      <c r="BD730" s="548"/>
      <c r="BE730" s="548"/>
      <c r="BF730" s="548"/>
      <c r="BY730" s="669"/>
      <c r="BZ730" s="548"/>
      <c r="CA730" s="672"/>
      <c r="CB730" s="567"/>
      <c r="CC730" s="673"/>
      <c r="CD730" s="669"/>
      <c r="CE730" s="669"/>
      <c r="CF730" s="548"/>
      <c r="CG730" s="548"/>
      <c r="CR730" s="554">
        <f>I730</f>
        <v>3240</v>
      </c>
      <c r="CS730" s="554">
        <f>I730</f>
        <v>3240</v>
      </c>
      <c r="CT730" s="554">
        <f>I730</f>
        <v>3240</v>
      </c>
      <c r="CU730" s="554">
        <f t="shared" si="246"/>
        <v>0</v>
      </c>
      <c r="CV730" s="663">
        <f t="shared" si="237"/>
        <v>0</v>
      </c>
      <c r="CW730" s="663">
        <f t="shared" si="238"/>
        <v>0</v>
      </c>
      <c r="CX730" s="669"/>
      <c r="CY730" s="669"/>
      <c r="CZ730" s="669"/>
      <c r="DA730" s="548"/>
      <c r="DB730" s="548"/>
      <c r="DC730" s="548"/>
      <c r="DD730" s="669"/>
      <c r="DE730" s="669"/>
      <c r="DF730" s="669"/>
      <c r="DG730" s="669"/>
      <c r="DH730" s="669"/>
    </row>
    <row r="731" s="548" customFormat="1" ht="31" customHeight="1" spans="1:112">
      <c r="A731" s="660">
        <v>45928</v>
      </c>
      <c r="B731" s="661" t="s">
        <v>549</v>
      </c>
      <c r="C731" s="662" t="s">
        <v>278</v>
      </c>
      <c r="D731" s="663">
        <v>4500180739</v>
      </c>
      <c r="E731" s="662" t="s">
        <v>7834</v>
      </c>
      <c r="F731" s="663" t="s">
        <v>7835</v>
      </c>
      <c r="G731" s="662" t="s">
        <v>6365</v>
      </c>
      <c r="H731" s="662" t="s">
        <v>6126</v>
      </c>
      <c r="I731" s="662">
        <v>1212</v>
      </c>
      <c r="J731" s="662">
        <v>0</v>
      </c>
      <c r="K731" s="662">
        <v>12</v>
      </c>
      <c r="L731" s="665">
        <f t="shared" si="247"/>
        <v>101</v>
      </c>
      <c r="M731" s="666">
        <v>45968</v>
      </c>
      <c r="N731" s="666">
        <v>45964</v>
      </c>
      <c r="O731" s="664"/>
      <c r="P731" s="664" t="s">
        <v>113</v>
      </c>
      <c r="Q731" s="662"/>
      <c r="R731" s="667" t="s">
        <v>4028</v>
      </c>
      <c r="S731" s="667" t="s">
        <v>104</v>
      </c>
      <c r="T731" s="667">
        <v>45940</v>
      </c>
      <c r="U731" s="667"/>
      <c r="V731" s="667"/>
      <c r="W731" s="615"/>
      <c r="X731" s="661" t="s">
        <v>7836</v>
      </c>
      <c r="Y731" s="661" t="s">
        <v>466</v>
      </c>
      <c r="Z731" s="661">
        <v>2.1629</v>
      </c>
      <c r="AA731" s="634">
        <f t="shared" si="257"/>
        <v>2621.4348</v>
      </c>
      <c r="AC731" s="676" t="s">
        <v>7837</v>
      </c>
      <c r="AD731" s="662" t="s">
        <v>6368</v>
      </c>
      <c r="AE731" s="662" t="s">
        <v>82</v>
      </c>
      <c r="AF731" s="662"/>
      <c r="AG731" s="662"/>
      <c r="AH731" s="662"/>
      <c r="AI731" s="662">
        <v>1212</v>
      </c>
      <c r="AJ731" s="662">
        <f t="shared" si="256"/>
        <v>0</v>
      </c>
      <c r="AK731" s="662"/>
      <c r="AL731" s="662"/>
      <c r="AM731" s="662"/>
      <c r="AN731" s="662"/>
      <c r="AO731" s="554">
        <f>I731*2</f>
        <v>2424</v>
      </c>
      <c r="AR731" s="680"/>
      <c r="AS731" s="548"/>
      <c r="AT731" s="554">
        <f>I731*2</f>
        <v>2424</v>
      </c>
      <c r="AV731" s="554">
        <f>I731*2</f>
        <v>2424</v>
      </c>
      <c r="AW731" s="669"/>
      <c r="AX731" s="548"/>
      <c r="AY731" s="548"/>
      <c r="AZ731" s="548"/>
      <c r="BA731" s="548"/>
      <c r="BB731" s="249">
        <f t="shared" si="258"/>
        <v>101</v>
      </c>
      <c r="BC731" s="671"/>
      <c r="BD731" s="548"/>
      <c r="BE731" s="548"/>
      <c r="BF731" s="548"/>
      <c r="BY731" s="669"/>
      <c r="BZ731" s="548"/>
      <c r="CA731" s="672"/>
      <c r="CB731" s="567"/>
      <c r="CC731" s="673"/>
      <c r="CD731" s="669"/>
      <c r="CE731" s="669"/>
      <c r="CF731" s="548"/>
      <c r="CG731" s="548"/>
      <c r="CR731" s="554">
        <f>I731</f>
        <v>1212</v>
      </c>
      <c r="CS731" s="554">
        <f>I731</f>
        <v>1212</v>
      </c>
      <c r="CT731" s="554">
        <f>I731</f>
        <v>1212</v>
      </c>
      <c r="CU731" s="554">
        <f t="shared" si="246"/>
        <v>0</v>
      </c>
      <c r="CV731" s="663">
        <f t="shared" si="237"/>
        <v>0</v>
      </c>
      <c r="CW731" s="663">
        <f t="shared" si="238"/>
        <v>0</v>
      </c>
      <c r="CX731" s="669"/>
      <c r="CY731" s="669"/>
      <c r="CZ731" s="669"/>
      <c r="DA731" s="548"/>
      <c r="DB731" s="548"/>
      <c r="DC731" s="548"/>
      <c r="DD731" s="669"/>
      <c r="DE731" s="669"/>
      <c r="DF731" s="669"/>
      <c r="DG731" s="669"/>
      <c r="DH731" s="669"/>
    </row>
    <row r="732" s="548" customFormat="1" ht="31" customHeight="1" spans="1:112">
      <c r="A732" s="660">
        <v>45922</v>
      </c>
      <c r="B732" s="661" t="s">
        <v>2501</v>
      </c>
      <c r="C732" s="662" t="s">
        <v>154</v>
      </c>
      <c r="D732" s="663">
        <v>4500180040</v>
      </c>
      <c r="E732" s="662">
        <v>249680</v>
      </c>
      <c r="F732" s="663" t="s">
        <v>7838</v>
      </c>
      <c r="G732" s="662" t="s">
        <v>6025</v>
      </c>
      <c r="H732" s="662" t="s">
        <v>6026</v>
      </c>
      <c r="I732" s="662">
        <v>6240</v>
      </c>
      <c r="J732" s="662">
        <v>0</v>
      </c>
      <c r="K732" s="662">
        <v>24</v>
      </c>
      <c r="L732" s="665">
        <f t="shared" si="247"/>
        <v>260</v>
      </c>
      <c r="M732" s="666">
        <v>45968</v>
      </c>
      <c r="N732" s="666">
        <v>45964</v>
      </c>
      <c r="O732" s="664"/>
      <c r="P732" s="664" t="s">
        <v>113</v>
      </c>
      <c r="Q732" s="662" t="s">
        <v>7839</v>
      </c>
      <c r="R732" s="667">
        <v>45940</v>
      </c>
      <c r="S732" s="667" t="s">
        <v>70</v>
      </c>
      <c r="T732" s="667" t="s">
        <v>7840</v>
      </c>
      <c r="U732" s="667"/>
      <c r="V732" s="667"/>
      <c r="W732" s="615"/>
      <c r="X732" s="661" t="s">
        <v>7841</v>
      </c>
      <c r="Y732" s="661" t="s">
        <v>2533</v>
      </c>
      <c r="Z732" s="661">
        <v>0.8604</v>
      </c>
      <c r="AA732" s="634">
        <f t="shared" si="257"/>
        <v>5368.896</v>
      </c>
      <c r="AC732" s="638" t="s">
        <v>7842</v>
      </c>
      <c r="AD732" s="662" t="s">
        <v>6025</v>
      </c>
      <c r="AE732" s="662" t="s">
        <v>82</v>
      </c>
      <c r="AF732" s="662"/>
      <c r="AG732" s="662"/>
      <c r="AH732" s="662"/>
      <c r="AI732" s="662">
        <v>6240</v>
      </c>
      <c r="AJ732" s="662">
        <f t="shared" si="256"/>
        <v>0</v>
      </c>
      <c r="AK732" s="662"/>
      <c r="AL732" s="662"/>
      <c r="AM732" s="662"/>
      <c r="AN732" s="662"/>
      <c r="AO732" s="671">
        <f>I732</f>
        <v>6240</v>
      </c>
      <c r="AR732" s="680"/>
      <c r="AS732" s="548"/>
      <c r="AT732" s="554">
        <f>I732</f>
        <v>6240</v>
      </c>
      <c r="AV732" s="554">
        <f>I732</f>
        <v>6240</v>
      </c>
      <c r="AW732" s="669"/>
      <c r="AX732" s="548"/>
      <c r="AY732" s="548"/>
      <c r="AZ732" s="548"/>
      <c r="BA732" s="548"/>
      <c r="BB732" s="620">
        <f>I732/24</f>
        <v>260</v>
      </c>
      <c r="BC732" s="671"/>
      <c r="BD732" s="548"/>
      <c r="BE732" s="548"/>
      <c r="BF732" s="548"/>
      <c r="BY732" s="669"/>
      <c r="BZ732" s="548"/>
      <c r="CA732" s="672"/>
      <c r="CB732" s="567"/>
      <c r="CC732" s="673"/>
      <c r="CD732" s="669"/>
      <c r="CE732" s="669"/>
      <c r="CF732" s="548"/>
      <c r="CG732" s="548"/>
      <c r="CU732" s="554">
        <f t="shared" si="246"/>
        <v>0</v>
      </c>
      <c r="CV732" s="663">
        <f t="shared" si="237"/>
        <v>0</v>
      </c>
      <c r="CW732" s="663">
        <f t="shared" si="238"/>
        <v>0</v>
      </c>
      <c r="CX732" s="669"/>
      <c r="CY732" s="669"/>
      <c r="CZ732" s="669"/>
      <c r="DA732" s="548"/>
      <c r="DB732" s="548"/>
      <c r="DC732" s="548"/>
      <c r="DD732" s="669"/>
      <c r="DE732" s="669"/>
      <c r="DF732" s="669"/>
      <c r="DG732" s="669"/>
      <c r="DH732" s="669"/>
    </row>
    <row r="733" s="548" customFormat="1" ht="31" customHeight="1" spans="1:112">
      <c r="A733" s="660">
        <v>45926</v>
      </c>
      <c r="B733" s="661" t="s">
        <v>2206</v>
      </c>
      <c r="C733" s="662" t="s">
        <v>1343</v>
      </c>
      <c r="D733" s="663">
        <v>4500180606</v>
      </c>
      <c r="E733" s="662" t="s">
        <v>7843</v>
      </c>
      <c r="F733" s="663" t="s">
        <v>7844</v>
      </c>
      <c r="G733" s="662" t="s">
        <v>6276</v>
      </c>
      <c r="H733" s="662" t="s">
        <v>6277</v>
      </c>
      <c r="I733" s="662">
        <v>1000</v>
      </c>
      <c r="J733" s="662">
        <v>0</v>
      </c>
      <c r="K733" s="662">
        <v>50</v>
      </c>
      <c r="L733" s="665">
        <f t="shared" si="247"/>
        <v>20</v>
      </c>
      <c r="M733" s="666">
        <v>45971</v>
      </c>
      <c r="N733" s="666">
        <v>45967</v>
      </c>
      <c r="O733" s="664"/>
      <c r="P733" s="664" t="s">
        <v>113</v>
      </c>
      <c r="Q733" s="662"/>
      <c r="R733" s="667">
        <v>45926</v>
      </c>
      <c r="S733" s="667" t="s">
        <v>70</v>
      </c>
      <c r="T733" s="667" t="s">
        <v>7845</v>
      </c>
      <c r="U733" s="667"/>
      <c r="V733" s="667"/>
      <c r="W733" s="615"/>
      <c r="X733" s="661" t="s">
        <v>7846</v>
      </c>
      <c r="Y733" s="661" t="s">
        <v>217</v>
      </c>
      <c r="Z733" s="661">
        <v>0.9061</v>
      </c>
      <c r="AA733" s="634">
        <f t="shared" si="257"/>
        <v>906.1</v>
      </c>
      <c r="AC733" s="676" t="s">
        <v>7847</v>
      </c>
      <c r="AD733" s="661" t="s">
        <v>6276</v>
      </c>
      <c r="AE733" s="662" t="s">
        <v>82</v>
      </c>
      <c r="AF733" s="662"/>
      <c r="AG733" s="662"/>
      <c r="AH733" s="662"/>
      <c r="AI733" s="662">
        <v>1000</v>
      </c>
      <c r="AJ733" s="662">
        <f t="shared" si="256"/>
        <v>0</v>
      </c>
      <c r="AK733" s="662"/>
      <c r="AL733" s="662"/>
      <c r="AM733" s="662"/>
      <c r="AN733" s="662"/>
      <c r="AO733" s="663">
        <f>I733</f>
        <v>1000</v>
      </c>
      <c r="AR733" s="680"/>
      <c r="AS733" s="548"/>
      <c r="AT733" s="548"/>
      <c r="AU733" s="548"/>
      <c r="AV733" s="548"/>
      <c r="AW733" s="669"/>
      <c r="AX733" s="663"/>
      <c r="AY733" s="548"/>
      <c r="AZ733" s="548"/>
      <c r="BA733" s="548"/>
      <c r="BB733" s="686">
        <f>I733/24*2</f>
        <v>83.3333333333333</v>
      </c>
      <c r="BC733" s="671"/>
      <c r="BD733" s="548"/>
      <c r="BE733" s="548"/>
      <c r="BF733" s="548"/>
      <c r="BV733" s="663">
        <f>I733</f>
        <v>1000</v>
      </c>
      <c r="BW733" s="663">
        <f>I733</f>
        <v>1000</v>
      </c>
      <c r="BX733" s="554">
        <f>I733/25</f>
        <v>40</v>
      </c>
      <c r="BY733" s="669"/>
      <c r="BZ733" s="548"/>
      <c r="CA733" s="672"/>
      <c r="CB733" s="567"/>
      <c r="CC733" s="673"/>
      <c r="CD733" s="669"/>
      <c r="CE733" s="669"/>
      <c r="CF733" s="548"/>
      <c r="CG733" s="548"/>
      <c r="CU733" s="554">
        <f t="shared" si="246"/>
        <v>40</v>
      </c>
      <c r="CV733" s="663">
        <f t="shared" si="237"/>
        <v>0</v>
      </c>
      <c r="CW733" s="663">
        <f t="shared" si="238"/>
        <v>0</v>
      </c>
      <c r="CX733" s="669"/>
      <c r="CY733" s="669"/>
      <c r="CZ733" s="669"/>
      <c r="DA733" s="548"/>
      <c r="DB733" s="548"/>
      <c r="DC733" s="548"/>
      <c r="DD733" s="669"/>
      <c r="DE733" s="669"/>
      <c r="DF733" s="669"/>
      <c r="DG733" s="669"/>
      <c r="DH733" s="669"/>
    </row>
    <row r="734" s="548" customFormat="1" ht="31" customHeight="1" spans="1:112">
      <c r="A734" s="660">
        <v>45926</v>
      </c>
      <c r="B734" s="661" t="s">
        <v>2206</v>
      </c>
      <c r="C734" s="662" t="s">
        <v>1343</v>
      </c>
      <c r="D734" s="663">
        <v>4500180606</v>
      </c>
      <c r="E734" s="662" t="s">
        <v>7843</v>
      </c>
      <c r="F734" s="663" t="s">
        <v>7848</v>
      </c>
      <c r="G734" s="662" t="s">
        <v>6276</v>
      </c>
      <c r="H734" s="662" t="s">
        <v>6277</v>
      </c>
      <c r="I734" s="662">
        <v>4000</v>
      </c>
      <c r="J734" s="662">
        <v>0</v>
      </c>
      <c r="K734" s="662">
        <v>50</v>
      </c>
      <c r="L734" s="665">
        <f t="shared" si="247"/>
        <v>80</v>
      </c>
      <c r="M734" s="666">
        <v>45971</v>
      </c>
      <c r="N734" s="666">
        <v>45967</v>
      </c>
      <c r="O734" s="664"/>
      <c r="P734" s="664" t="s">
        <v>113</v>
      </c>
      <c r="Q734" s="662"/>
      <c r="R734" s="667">
        <v>45926</v>
      </c>
      <c r="S734" s="667" t="s">
        <v>70</v>
      </c>
      <c r="T734" s="667" t="s">
        <v>7845</v>
      </c>
      <c r="U734" s="667"/>
      <c r="V734" s="667"/>
      <c r="W734" s="615"/>
      <c r="X734" s="661" t="s">
        <v>7846</v>
      </c>
      <c r="Y734" s="661" t="s">
        <v>217</v>
      </c>
      <c r="Z734" s="661">
        <v>0.9619</v>
      </c>
      <c r="AA734" s="634">
        <f t="shared" si="257"/>
        <v>3847.6</v>
      </c>
      <c r="AC734" s="676" t="s">
        <v>7847</v>
      </c>
      <c r="AD734" s="661" t="s">
        <v>6276</v>
      </c>
      <c r="AE734" s="662" t="s">
        <v>82</v>
      </c>
      <c r="AF734" s="662"/>
      <c r="AG734" s="662"/>
      <c r="AH734" s="662"/>
      <c r="AI734" s="662">
        <f>3950+50</f>
        <v>4000</v>
      </c>
      <c r="AJ734" s="662">
        <f t="shared" si="256"/>
        <v>0</v>
      </c>
      <c r="AK734" s="662"/>
      <c r="AL734" s="662"/>
      <c r="AM734" s="662"/>
      <c r="AN734" s="662"/>
      <c r="AO734" s="663">
        <f>I734</f>
        <v>4000</v>
      </c>
      <c r="AR734" s="680"/>
      <c r="AS734" s="548"/>
      <c r="AT734" s="548"/>
      <c r="AU734" s="548"/>
      <c r="AV734" s="548"/>
      <c r="AW734" s="669"/>
      <c r="AX734" s="663"/>
      <c r="AY734" s="548"/>
      <c r="AZ734" s="548"/>
      <c r="BA734" s="548"/>
      <c r="BB734" s="686">
        <f>I734/24*2</f>
        <v>333.333333333333</v>
      </c>
      <c r="BC734" s="671"/>
      <c r="BD734" s="548"/>
      <c r="BE734" s="548"/>
      <c r="BF734" s="548"/>
      <c r="BV734" s="663">
        <f>I734</f>
        <v>4000</v>
      </c>
      <c r="BW734" s="663">
        <f>I734</f>
        <v>4000</v>
      </c>
      <c r="BX734" s="554">
        <f>I734/25</f>
        <v>160</v>
      </c>
      <c r="BY734" s="669"/>
      <c r="BZ734" s="548"/>
      <c r="CA734" s="672"/>
      <c r="CB734" s="567"/>
      <c r="CC734" s="673"/>
      <c r="CD734" s="669"/>
      <c r="CE734" s="669"/>
      <c r="CF734" s="548"/>
      <c r="CG734" s="548"/>
      <c r="CU734" s="554">
        <f t="shared" si="246"/>
        <v>160</v>
      </c>
      <c r="CV734" s="663">
        <f t="shared" si="237"/>
        <v>0</v>
      </c>
      <c r="CW734" s="663">
        <f t="shared" si="238"/>
        <v>0</v>
      </c>
      <c r="CX734" s="669"/>
      <c r="CY734" s="669"/>
      <c r="CZ734" s="669"/>
      <c r="DA734" s="548"/>
      <c r="DB734" s="548"/>
      <c r="DC734" s="548"/>
      <c r="DD734" s="669"/>
      <c r="DE734" s="669"/>
      <c r="DF734" s="669"/>
      <c r="DG734" s="669"/>
      <c r="DH734" s="669"/>
    </row>
    <row r="735" s="548" customFormat="1" ht="31" customHeight="1" spans="1:112">
      <c r="A735" s="660">
        <v>45926</v>
      </c>
      <c r="B735" s="661" t="s">
        <v>135</v>
      </c>
      <c r="C735" s="662" t="s">
        <v>128</v>
      </c>
      <c r="D735" s="663">
        <v>4500180534</v>
      </c>
      <c r="E735" s="662">
        <v>21099956</v>
      </c>
      <c r="F735" s="663" t="s">
        <v>7849</v>
      </c>
      <c r="G735" s="662" t="s">
        <v>6093</v>
      </c>
      <c r="H735" s="662" t="s">
        <v>6094</v>
      </c>
      <c r="I735" s="662">
        <v>12636</v>
      </c>
      <c r="J735" s="662">
        <v>0</v>
      </c>
      <c r="K735" s="662">
        <v>13</v>
      </c>
      <c r="L735" s="665">
        <f t="shared" si="247"/>
        <v>972</v>
      </c>
      <c r="M735" s="666">
        <v>45971</v>
      </c>
      <c r="N735" s="666">
        <v>45967</v>
      </c>
      <c r="O735" s="664"/>
      <c r="P735" s="664" t="s">
        <v>113</v>
      </c>
      <c r="Q735" s="662"/>
      <c r="R735" s="667">
        <v>45940</v>
      </c>
      <c r="S735" s="667" t="s">
        <v>104</v>
      </c>
      <c r="T735" s="667" t="s">
        <v>7669</v>
      </c>
      <c r="U735" s="667"/>
      <c r="V735" s="667"/>
      <c r="W735" s="615"/>
      <c r="X735" s="661" t="s">
        <v>6288</v>
      </c>
      <c r="Y735" s="661" t="s">
        <v>133</v>
      </c>
      <c r="Z735" s="661">
        <v>0.9348</v>
      </c>
      <c r="AA735" s="634">
        <f t="shared" si="257"/>
        <v>11812.1328</v>
      </c>
      <c r="AC735" s="638" t="s">
        <v>7850</v>
      </c>
      <c r="AD735" s="661" t="s">
        <v>6093</v>
      </c>
      <c r="AE735" s="662" t="s">
        <v>82</v>
      </c>
      <c r="AF735" s="662"/>
      <c r="AG735" s="662"/>
      <c r="AH735" s="662"/>
      <c r="AI735" s="662">
        <v>12636</v>
      </c>
      <c r="AJ735" s="662">
        <f t="shared" si="256"/>
        <v>0</v>
      </c>
      <c r="AK735" s="662"/>
      <c r="AL735" s="662"/>
      <c r="AM735" s="662"/>
      <c r="AN735" s="662"/>
      <c r="AO735" s="663">
        <f>I735</f>
        <v>12636</v>
      </c>
      <c r="AR735" s="680"/>
      <c r="AS735" s="548"/>
      <c r="AT735" s="554">
        <f>I735</f>
        <v>12636</v>
      </c>
      <c r="AV735" s="554">
        <f>I735</f>
        <v>12636</v>
      </c>
      <c r="AW735" s="669"/>
      <c r="AX735" s="663"/>
      <c r="AY735" s="548"/>
      <c r="AZ735" s="548"/>
      <c r="BA735" s="548"/>
      <c r="BB735" s="620">
        <f t="shared" ref="BB735:BB742" si="259">I735/24</f>
        <v>526.5</v>
      </c>
      <c r="BC735" s="671"/>
      <c r="BD735" s="548"/>
      <c r="BE735" s="548"/>
      <c r="BF735" s="548"/>
      <c r="BM735" s="663">
        <f>I735/13</f>
        <v>972</v>
      </c>
      <c r="BY735" s="669"/>
      <c r="BZ735" s="548"/>
      <c r="CA735" s="672"/>
      <c r="CB735" s="567"/>
      <c r="CC735" s="673"/>
      <c r="CD735" s="669"/>
      <c r="CE735" s="669"/>
      <c r="CF735" s="548"/>
      <c r="CG735" s="548"/>
      <c r="CU735" s="554">
        <f t="shared" si="246"/>
        <v>0</v>
      </c>
      <c r="CV735" s="663">
        <f t="shared" si="237"/>
        <v>0</v>
      </c>
      <c r="CW735" s="663">
        <f t="shared" si="238"/>
        <v>0</v>
      </c>
      <c r="CX735" s="669"/>
      <c r="CY735" s="669"/>
      <c r="CZ735" s="669"/>
      <c r="DA735" s="548"/>
      <c r="DB735" s="548"/>
      <c r="DC735" s="548"/>
      <c r="DD735" s="669"/>
      <c r="DE735" s="669"/>
      <c r="DF735" s="669"/>
      <c r="DG735" s="669"/>
      <c r="DH735" s="669"/>
    </row>
    <row r="736" s="548" customFormat="1" ht="31" customHeight="1" spans="1:112">
      <c r="A736" s="660">
        <v>45926</v>
      </c>
      <c r="B736" s="661" t="s">
        <v>139</v>
      </c>
      <c r="C736" s="662" t="s">
        <v>76</v>
      </c>
      <c r="D736" s="663">
        <v>4500180535</v>
      </c>
      <c r="E736" s="662">
        <v>21099980</v>
      </c>
      <c r="F736" s="663" t="s">
        <v>7851</v>
      </c>
      <c r="G736" s="662" t="s">
        <v>6093</v>
      </c>
      <c r="H736" s="662" t="s">
        <v>6094</v>
      </c>
      <c r="I736" s="662">
        <v>1404</v>
      </c>
      <c r="J736" s="662">
        <v>0</v>
      </c>
      <c r="K736" s="662">
        <v>13</v>
      </c>
      <c r="L736" s="665">
        <f t="shared" si="247"/>
        <v>108</v>
      </c>
      <c r="M736" s="666">
        <v>45971</v>
      </c>
      <c r="N736" s="666">
        <v>45967</v>
      </c>
      <c r="O736" s="664"/>
      <c r="P736" s="664" t="s">
        <v>113</v>
      </c>
      <c r="Q736" s="662"/>
      <c r="R736" s="667">
        <v>45940</v>
      </c>
      <c r="S736" s="667" t="s">
        <v>104</v>
      </c>
      <c r="T736" s="667" t="s">
        <v>7669</v>
      </c>
      <c r="U736" s="667"/>
      <c r="V736" s="667"/>
      <c r="W736" s="615"/>
      <c r="X736" s="661" t="s">
        <v>7012</v>
      </c>
      <c r="Y736" s="661" t="s">
        <v>133</v>
      </c>
      <c r="Z736" s="661">
        <v>0.9475</v>
      </c>
      <c r="AA736" s="634">
        <f t="shared" si="257"/>
        <v>1330.29</v>
      </c>
      <c r="AC736" s="638" t="s">
        <v>7852</v>
      </c>
      <c r="AD736" s="661" t="s">
        <v>6093</v>
      </c>
      <c r="AE736" s="662" t="s">
        <v>82</v>
      </c>
      <c r="AF736" s="662"/>
      <c r="AG736" s="662"/>
      <c r="AH736" s="662"/>
      <c r="AI736" s="662">
        <v>1404</v>
      </c>
      <c r="AJ736" s="662">
        <f t="shared" si="256"/>
        <v>0</v>
      </c>
      <c r="AK736" s="662"/>
      <c r="AL736" s="662"/>
      <c r="AM736" s="662"/>
      <c r="AN736" s="662"/>
      <c r="AO736" s="663">
        <f>I736</f>
        <v>1404</v>
      </c>
      <c r="AR736" s="680"/>
      <c r="AS736" s="548"/>
      <c r="AT736" s="554">
        <f>I736</f>
        <v>1404</v>
      </c>
      <c r="AV736" s="554">
        <f>I736</f>
        <v>1404</v>
      </c>
      <c r="AW736" s="669"/>
      <c r="AX736" s="663"/>
      <c r="AY736" s="548"/>
      <c r="AZ736" s="548"/>
      <c r="BA736" s="548"/>
      <c r="BB736" s="620">
        <f t="shared" si="259"/>
        <v>58.5</v>
      </c>
      <c r="BC736" s="671"/>
      <c r="BD736" s="548"/>
      <c r="BE736" s="548"/>
      <c r="BF736" s="548"/>
      <c r="BM736" s="663">
        <f>I736/13</f>
        <v>108</v>
      </c>
      <c r="BY736" s="669"/>
      <c r="BZ736" s="548"/>
      <c r="CA736" s="672"/>
      <c r="CB736" s="567"/>
      <c r="CC736" s="673"/>
      <c r="CD736" s="669"/>
      <c r="CE736" s="669"/>
      <c r="CF736" s="548"/>
      <c r="CG736" s="548"/>
      <c r="CU736" s="554">
        <f t="shared" si="246"/>
        <v>0</v>
      </c>
      <c r="CV736" s="663">
        <f t="shared" si="237"/>
        <v>0</v>
      </c>
      <c r="CW736" s="663">
        <f t="shared" si="238"/>
        <v>0</v>
      </c>
      <c r="CX736" s="669"/>
      <c r="CY736" s="669"/>
      <c r="CZ736" s="669"/>
      <c r="DA736" s="548"/>
      <c r="DB736" s="548"/>
      <c r="DC736" s="548"/>
      <c r="DD736" s="669"/>
      <c r="DE736" s="669"/>
      <c r="DF736" s="669"/>
      <c r="DG736" s="669"/>
      <c r="DH736" s="669"/>
    </row>
    <row r="737" s="548" customFormat="1" ht="31" customHeight="1" spans="1:112">
      <c r="A737" s="660">
        <v>45902</v>
      </c>
      <c r="B737" s="661" t="s">
        <v>205</v>
      </c>
      <c r="C737" s="662" t="s">
        <v>98</v>
      </c>
      <c r="D737" s="663">
        <v>4500178515</v>
      </c>
      <c r="E737" s="663">
        <v>218139599</v>
      </c>
      <c r="F737" s="663" t="s">
        <v>7853</v>
      </c>
      <c r="G737" s="662" t="s">
        <v>6166</v>
      </c>
      <c r="H737" s="662" t="s">
        <v>6094</v>
      </c>
      <c r="I737" s="662">
        <v>9750</v>
      </c>
      <c r="J737" s="662">
        <v>0</v>
      </c>
      <c r="K737" s="662">
        <v>13</v>
      </c>
      <c r="L737" s="665">
        <f t="shared" si="247"/>
        <v>750</v>
      </c>
      <c r="M737" s="666">
        <v>45972</v>
      </c>
      <c r="N737" s="666">
        <v>45968</v>
      </c>
      <c r="O737" s="664"/>
      <c r="P737" s="664" t="s">
        <v>113</v>
      </c>
      <c r="Q737" s="662"/>
      <c r="R737" s="667">
        <v>45902</v>
      </c>
      <c r="S737" s="667" t="s">
        <v>70</v>
      </c>
      <c r="T737" s="667" t="s">
        <v>70</v>
      </c>
      <c r="U737" s="667"/>
      <c r="V737" s="667"/>
      <c r="W737" s="615"/>
      <c r="X737" s="661" t="s">
        <v>7854</v>
      </c>
      <c r="Y737" s="661" t="s">
        <v>2003</v>
      </c>
      <c r="Z737" s="675">
        <v>0.5712</v>
      </c>
      <c r="AA737" s="634">
        <f t="shared" si="257"/>
        <v>5569.2</v>
      </c>
      <c r="AC737" s="638" t="s">
        <v>7855</v>
      </c>
      <c r="AD737" s="661" t="s">
        <v>6257</v>
      </c>
      <c r="AE737" s="662" t="s">
        <v>82</v>
      </c>
      <c r="AF737" s="662"/>
      <c r="AG737" s="662"/>
      <c r="AH737" s="662"/>
      <c r="AI737" s="662">
        <v>9750</v>
      </c>
      <c r="AJ737" s="662">
        <f t="shared" si="256"/>
        <v>0</v>
      </c>
      <c r="AK737" s="662"/>
      <c r="AL737" s="662"/>
      <c r="AM737" s="662"/>
      <c r="AN737" s="662">
        <f>I737</f>
        <v>9750</v>
      </c>
      <c r="AO737" s="663"/>
      <c r="AP737" s="554">
        <f>I737</f>
        <v>9750</v>
      </c>
      <c r="AR737" s="680"/>
      <c r="AS737" s="548"/>
      <c r="AT737" s="548"/>
      <c r="AU737" s="554">
        <f>I737</f>
        <v>9750</v>
      </c>
      <c r="AW737" s="669"/>
      <c r="AX737" s="663"/>
      <c r="AY737" s="548"/>
      <c r="AZ737" s="548"/>
      <c r="BA737" s="548"/>
      <c r="BB737" s="670">
        <f t="shared" si="259"/>
        <v>406.25</v>
      </c>
      <c r="BC737" s="671"/>
      <c r="BD737" s="548"/>
      <c r="BE737" s="548"/>
      <c r="BF737" s="548"/>
      <c r="BK737" s="663">
        <f>I737/13</f>
        <v>750</v>
      </c>
      <c r="BY737" s="669"/>
      <c r="BZ737" s="548"/>
      <c r="CA737" s="672"/>
      <c r="CB737" s="567"/>
      <c r="CC737" s="673"/>
      <c r="CD737" s="669"/>
      <c r="CE737" s="669"/>
      <c r="CF737" s="548"/>
      <c r="CG737" s="548"/>
      <c r="CU737" s="554">
        <f t="shared" si="246"/>
        <v>0</v>
      </c>
      <c r="CV737" s="663">
        <f t="shared" si="237"/>
        <v>0</v>
      </c>
      <c r="CW737" s="663">
        <f t="shared" si="238"/>
        <v>0</v>
      </c>
      <c r="CX737" s="669"/>
      <c r="CY737" s="669"/>
      <c r="CZ737" s="669"/>
      <c r="DA737" s="548"/>
      <c r="DB737" s="548"/>
      <c r="DC737" s="548"/>
      <c r="DD737" s="669"/>
      <c r="DE737" s="669"/>
      <c r="DF737" s="669"/>
      <c r="DG737" s="669"/>
      <c r="DH737" s="669"/>
    </row>
    <row r="738" s="548" customFormat="1" ht="31" customHeight="1" spans="1:112">
      <c r="A738" s="660">
        <v>45930</v>
      </c>
      <c r="B738" s="661" t="s">
        <v>729</v>
      </c>
      <c r="C738" s="662" t="s">
        <v>278</v>
      </c>
      <c r="D738" s="663">
        <v>4500181034</v>
      </c>
      <c r="E738" s="661" t="s">
        <v>7856</v>
      </c>
      <c r="F738" s="663" t="s">
        <v>7857</v>
      </c>
      <c r="G738" s="662" t="s">
        <v>6047</v>
      </c>
      <c r="H738" s="662" t="s">
        <v>6069</v>
      </c>
      <c r="I738" s="662">
        <v>3000</v>
      </c>
      <c r="J738" s="662">
        <v>0</v>
      </c>
      <c r="K738" s="662">
        <v>25</v>
      </c>
      <c r="L738" s="665">
        <f t="shared" si="247"/>
        <v>120</v>
      </c>
      <c r="M738" s="666">
        <v>45972</v>
      </c>
      <c r="N738" s="666">
        <v>45968</v>
      </c>
      <c r="O738" s="664"/>
      <c r="P738" s="664" t="s">
        <v>113</v>
      </c>
      <c r="Q738" s="662"/>
      <c r="R738" s="667">
        <v>45939</v>
      </c>
      <c r="S738" s="667" t="s">
        <v>70</v>
      </c>
      <c r="T738" s="667" t="s">
        <v>7858</v>
      </c>
      <c r="U738" s="667"/>
      <c r="V738" s="667"/>
      <c r="W738" s="615"/>
      <c r="X738" s="661" t="s">
        <v>7859</v>
      </c>
      <c r="Y738" s="661" t="s">
        <v>1627</v>
      </c>
      <c r="Z738" s="661">
        <v>0.9245</v>
      </c>
      <c r="AA738" s="634">
        <f t="shared" si="257"/>
        <v>2773.5</v>
      </c>
      <c r="AC738" s="638" t="s">
        <v>7860</v>
      </c>
      <c r="AD738" s="662" t="s">
        <v>6047</v>
      </c>
      <c r="AE738" s="662" t="s">
        <v>82</v>
      </c>
      <c r="AF738" s="662"/>
      <c r="AG738" s="662"/>
      <c r="AH738" s="662"/>
      <c r="AI738" s="662">
        <f>2975+25</f>
        <v>3000</v>
      </c>
      <c r="AJ738" s="662">
        <f t="shared" si="256"/>
        <v>0</v>
      </c>
      <c r="AK738" s="662"/>
      <c r="AL738" s="662"/>
      <c r="AM738" s="662"/>
      <c r="AN738" s="662"/>
      <c r="AO738" s="663">
        <f>I738</f>
        <v>3000</v>
      </c>
      <c r="AR738" s="680"/>
      <c r="AS738" s="548"/>
      <c r="AT738" s="554">
        <f>I738</f>
        <v>3000</v>
      </c>
      <c r="AV738" s="554">
        <f>I738</f>
        <v>3000</v>
      </c>
      <c r="AW738" s="669"/>
      <c r="AX738" s="663"/>
      <c r="AY738" s="548"/>
      <c r="AZ738" s="548"/>
      <c r="BA738" s="548"/>
      <c r="BB738" s="620">
        <f t="shared" si="259"/>
        <v>125</v>
      </c>
      <c r="BC738" s="671"/>
      <c r="BD738" s="548"/>
      <c r="BE738" s="548"/>
      <c r="BF738" s="548"/>
      <c r="BP738" s="663">
        <f>I738/25</f>
        <v>120</v>
      </c>
      <c r="BY738" s="669"/>
      <c r="BZ738" s="548"/>
      <c r="CA738" s="672"/>
      <c r="CB738" s="567"/>
      <c r="CC738" s="673"/>
      <c r="CD738" s="669"/>
      <c r="CE738" s="669"/>
      <c r="CF738" s="548"/>
      <c r="CG738" s="548"/>
      <c r="CU738" s="554">
        <f t="shared" si="246"/>
        <v>120</v>
      </c>
      <c r="CV738" s="663">
        <f t="shared" si="237"/>
        <v>0</v>
      </c>
      <c r="CW738" s="663">
        <f t="shared" si="238"/>
        <v>0</v>
      </c>
      <c r="CX738" s="669"/>
      <c r="CY738" s="669"/>
      <c r="CZ738" s="669"/>
      <c r="DA738" s="548"/>
      <c r="DB738" s="548"/>
      <c r="DC738" s="548"/>
      <c r="DD738" s="669"/>
      <c r="DE738" s="669"/>
      <c r="DF738" s="669"/>
      <c r="DG738" s="669"/>
      <c r="DH738" s="669"/>
    </row>
    <row r="739" s="548" customFormat="1" ht="31" customHeight="1" spans="1:112">
      <c r="A739" s="660">
        <v>45902</v>
      </c>
      <c r="B739" s="661" t="s">
        <v>205</v>
      </c>
      <c r="C739" s="662" t="s">
        <v>98</v>
      </c>
      <c r="D739" s="663">
        <v>4500178517</v>
      </c>
      <c r="E739" s="663">
        <v>218139601</v>
      </c>
      <c r="F739" s="663" t="s">
        <v>7861</v>
      </c>
      <c r="G739" s="662" t="s">
        <v>6166</v>
      </c>
      <c r="H739" s="662" t="s">
        <v>6094</v>
      </c>
      <c r="I739" s="662">
        <v>5252</v>
      </c>
      <c r="J739" s="662">
        <v>0</v>
      </c>
      <c r="K739" s="662">
        <v>13</v>
      </c>
      <c r="L739" s="665">
        <f t="shared" si="247"/>
        <v>404</v>
      </c>
      <c r="M739" s="666">
        <v>45972</v>
      </c>
      <c r="N739" s="666">
        <v>45968</v>
      </c>
      <c r="O739" s="664"/>
      <c r="P739" s="664" t="s">
        <v>113</v>
      </c>
      <c r="Q739" s="662"/>
      <c r="R739" s="667">
        <v>45902</v>
      </c>
      <c r="S739" s="667" t="s">
        <v>70</v>
      </c>
      <c r="T739" s="667" t="s">
        <v>70</v>
      </c>
      <c r="U739" s="667"/>
      <c r="V739" s="667"/>
      <c r="W739" s="615"/>
      <c r="X739" s="661" t="s">
        <v>208</v>
      </c>
      <c r="Y739" s="661" t="s">
        <v>2003</v>
      </c>
      <c r="Z739" s="675">
        <v>0.5712</v>
      </c>
      <c r="AA739" s="634">
        <f t="shared" si="257"/>
        <v>2999.9424</v>
      </c>
      <c r="AC739" s="638" t="s">
        <v>2116</v>
      </c>
      <c r="AD739" s="661" t="s">
        <v>6257</v>
      </c>
      <c r="AE739" s="662" t="s">
        <v>82</v>
      </c>
      <c r="AF739" s="662"/>
      <c r="AG739" s="662"/>
      <c r="AH739" s="662"/>
      <c r="AI739" s="662">
        <v>5252</v>
      </c>
      <c r="AJ739" s="662">
        <f t="shared" si="256"/>
        <v>0</v>
      </c>
      <c r="AK739" s="662"/>
      <c r="AL739" s="662"/>
      <c r="AM739" s="662"/>
      <c r="AN739" s="662">
        <f>I739</f>
        <v>5252</v>
      </c>
      <c r="AO739" s="663"/>
      <c r="AP739" s="554">
        <f>I739</f>
        <v>5252</v>
      </c>
      <c r="AR739" s="680"/>
      <c r="AS739" s="548"/>
      <c r="AT739" s="548"/>
      <c r="AU739" s="554">
        <f>I739</f>
        <v>5252</v>
      </c>
      <c r="AW739" s="669"/>
      <c r="AX739" s="663"/>
      <c r="AY739" s="548"/>
      <c r="AZ739" s="548"/>
      <c r="BA739" s="548"/>
      <c r="BB739" s="670">
        <f t="shared" si="259"/>
        <v>218.833333333333</v>
      </c>
      <c r="BC739" s="671"/>
      <c r="BD739" s="548"/>
      <c r="BE739" s="548"/>
      <c r="BF739" s="548"/>
      <c r="BK739" s="663">
        <f t="shared" ref="BK739:BK743" si="260">I739/13</f>
        <v>404</v>
      </c>
      <c r="BY739" s="669"/>
      <c r="BZ739" s="548"/>
      <c r="CA739" s="672"/>
      <c r="CB739" s="567"/>
      <c r="CC739" s="673"/>
      <c r="CD739" s="669"/>
      <c r="CE739" s="669"/>
      <c r="CF739" s="548"/>
      <c r="CG739" s="548"/>
      <c r="CU739" s="554">
        <f t="shared" si="246"/>
        <v>0</v>
      </c>
      <c r="CV739" s="663">
        <f t="shared" si="237"/>
        <v>0</v>
      </c>
      <c r="CW739" s="663">
        <f t="shared" si="238"/>
        <v>0</v>
      </c>
      <c r="CX739" s="669"/>
      <c r="CY739" s="669"/>
      <c r="CZ739" s="669"/>
      <c r="DA739" s="548"/>
      <c r="DB739" s="548"/>
      <c r="DC739" s="548"/>
      <c r="DD739" s="669"/>
      <c r="DE739" s="669"/>
      <c r="DF739" s="669"/>
      <c r="DG739" s="669"/>
      <c r="DH739" s="669"/>
    </row>
    <row r="740" s="548" customFormat="1" ht="31" customHeight="1" spans="1:112">
      <c r="A740" s="660">
        <v>45929</v>
      </c>
      <c r="B740" s="661" t="s">
        <v>876</v>
      </c>
      <c r="C740" s="662" t="s">
        <v>98</v>
      </c>
      <c r="D740" s="663">
        <v>4500180967</v>
      </c>
      <c r="E740" s="663" t="s">
        <v>7862</v>
      </c>
      <c r="F740" s="663" t="s">
        <v>7863</v>
      </c>
      <c r="G740" s="662" t="s">
        <v>6166</v>
      </c>
      <c r="H740" s="662" t="s">
        <v>6094</v>
      </c>
      <c r="I740" s="662">
        <v>9893</v>
      </c>
      <c r="J740" s="662">
        <v>0</v>
      </c>
      <c r="K740" s="662">
        <v>13</v>
      </c>
      <c r="L740" s="665">
        <f t="shared" si="247"/>
        <v>761</v>
      </c>
      <c r="M740" s="666">
        <v>45973</v>
      </c>
      <c r="N740" s="666">
        <v>45969</v>
      </c>
      <c r="O740" s="664" t="s">
        <v>7864</v>
      </c>
      <c r="P740" s="664" t="s">
        <v>113</v>
      </c>
      <c r="Q740" s="662"/>
      <c r="R740" s="667">
        <v>45945</v>
      </c>
      <c r="S740" s="667" t="s">
        <v>70</v>
      </c>
      <c r="T740" s="667" t="s">
        <v>70</v>
      </c>
      <c r="U740" s="667"/>
      <c r="V740" s="667"/>
      <c r="W740" s="615"/>
      <c r="X740" s="661" t="s">
        <v>7865</v>
      </c>
      <c r="Y740" s="661" t="s">
        <v>882</v>
      </c>
      <c r="Z740" s="675">
        <v>0.5497</v>
      </c>
      <c r="AA740" s="634">
        <f t="shared" si="257"/>
        <v>5438.1821</v>
      </c>
      <c r="AC740" s="638"/>
      <c r="AD740" s="661" t="s">
        <v>6257</v>
      </c>
      <c r="AE740" s="662" t="s">
        <v>82</v>
      </c>
      <c r="AF740" s="662"/>
      <c r="AG740" s="662"/>
      <c r="AH740" s="662"/>
      <c r="AI740" s="662">
        <v>9893</v>
      </c>
      <c r="AJ740" s="662">
        <f t="shared" si="256"/>
        <v>0</v>
      </c>
      <c r="AK740" s="662"/>
      <c r="AL740" s="662"/>
      <c r="AM740" s="662"/>
      <c r="AN740" s="662">
        <f>I740</f>
        <v>9893</v>
      </c>
      <c r="AO740" s="663"/>
      <c r="AP740" s="554">
        <f>I740</f>
        <v>9893</v>
      </c>
      <c r="AR740" s="680"/>
      <c r="AS740" s="548"/>
      <c r="AT740" s="548"/>
      <c r="AU740" s="554">
        <f>I740</f>
        <v>9893</v>
      </c>
      <c r="AW740" s="669"/>
      <c r="AX740" s="663"/>
      <c r="AY740" s="548"/>
      <c r="AZ740" s="548"/>
      <c r="BA740" s="548"/>
      <c r="BB740" s="670">
        <f t="shared" si="259"/>
        <v>412.208333333333</v>
      </c>
      <c r="BC740" s="671"/>
      <c r="BD740" s="548"/>
      <c r="BE740" s="548"/>
      <c r="BF740" s="548"/>
      <c r="BK740" s="663">
        <f t="shared" si="260"/>
        <v>761</v>
      </c>
      <c r="BY740" s="669"/>
      <c r="BZ740" s="548"/>
      <c r="CA740" s="672"/>
      <c r="CB740" s="567"/>
      <c r="CC740" s="673"/>
      <c r="CD740" s="669"/>
      <c r="CE740" s="669"/>
      <c r="CF740" s="548"/>
      <c r="CG740" s="548"/>
      <c r="CU740" s="554">
        <f t="shared" si="246"/>
        <v>0</v>
      </c>
      <c r="CV740" s="663">
        <f t="shared" ref="CV740:CV760" si="261">CK740+CL740+CM740+CN740+CO740+CQ740+CP740</f>
        <v>0</v>
      </c>
      <c r="CW740" s="663">
        <f t="shared" ref="CW740:CW760" si="262">CI740+CJ740</f>
        <v>0</v>
      </c>
      <c r="CX740" s="669"/>
      <c r="CY740" s="669"/>
      <c r="CZ740" s="669"/>
      <c r="DA740" s="548"/>
      <c r="DB740" s="548"/>
      <c r="DC740" s="548"/>
      <c r="DD740" s="669"/>
      <c r="DE740" s="669"/>
      <c r="DF740" s="669"/>
      <c r="DG740" s="669"/>
      <c r="DH740" s="669"/>
    </row>
    <row r="741" s="548" customFormat="1" ht="31" customHeight="1" spans="1:112">
      <c r="A741" s="660">
        <v>45940</v>
      </c>
      <c r="B741" s="661" t="s">
        <v>143</v>
      </c>
      <c r="C741" s="662" t="s">
        <v>98</v>
      </c>
      <c r="D741" s="663">
        <v>4500181320</v>
      </c>
      <c r="E741" s="690">
        <v>950689043</v>
      </c>
      <c r="F741" s="663" t="s">
        <v>7866</v>
      </c>
      <c r="G741" s="662" t="s">
        <v>6063</v>
      </c>
      <c r="H741" s="662" t="s">
        <v>6064</v>
      </c>
      <c r="I741" s="662">
        <v>5760</v>
      </c>
      <c r="J741" s="662">
        <v>0</v>
      </c>
      <c r="K741" s="662">
        <v>16</v>
      </c>
      <c r="L741" s="665">
        <f t="shared" si="247"/>
        <v>360</v>
      </c>
      <c r="M741" s="666">
        <v>45974</v>
      </c>
      <c r="N741" s="666">
        <v>45971</v>
      </c>
      <c r="O741" s="664" t="s">
        <v>7867</v>
      </c>
      <c r="P741" s="664" t="s">
        <v>113</v>
      </c>
      <c r="Q741" s="662"/>
      <c r="R741" s="667" t="s">
        <v>7064</v>
      </c>
      <c r="S741" s="667" t="s">
        <v>70</v>
      </c>
      <c r="T741" s="667" t="s">
        <v>148</v>
      </c>
      <c r="U741" s="667"/>
      <c r="V741" s="667"/>
      <c r="W741" s="615"/>
      <c r="X741" s="661" t="s">
        <v>7065</v>
      </c>
      <c r="Y741" s="661" t="s">
        <v>106</v>
      </c>
      <c r="Z741" s="661">
        <v>0.5936</v>
      </c>
      <c r="AA741" s="634">
        <f t="shared" si="257"/>
        <v>3419.136</v>
      </c>
      <c r="AC741" s="638" t="s">
        <v>7868</v>
      </c>
      <c r="AD741" s="662" t="s">
        <v>6063</v>
      </c>
      <c r="AE741" s="662" t="s">
        <v>82</v>
      </c>
      <c r="AF741" s="662"/>
      <c r="AG741" s="662"/>
      <c r="AH741" s="662"/>
      <c r="AI741" s="662">
        <v>5760</v>
      </c>
      <c r="AJ741" s="662">
        <f t="shared" si="256"/>
        <v>0</v>
      </c>
      <c r="AK741" s="662"/>
      <c r="AL741" s="662"/>
      <c r="AM741" s="662"/>
      <c r="AN741" s="662">
        <f>I741</f>
        <v>5760</v>
      </c>
      <c r="AO741" s="663"/>
      <c r="AP741" s="554">
        <f>I741</f>
        <v>5760</v>
      </c>
      <c r="AR741" s="680"/>
      <c r="AS741" s="548"/>
      <c r="AT741" s="548"/>
      <c r="AU741" s="554">
        <f>I741</f>
        <v>5760</v>
      </c>
      <c r="AW741" s="669"/>
      <c r="AX741" s="663"/>
      <c r="AY741" s="548"/>
      <c r="AZ741" s="548"/>
      <c r="BA741" s="548"/>
      <c r="BB741" s="670">
        <f t="shared" si="259"/>
        <v>240</v>
      </c>
      <c r="BC741" s="671"/>
      <c r="BD741" s="548"/>
      <c r="BE741" s="548"/>
      <c r="BF741" s="548"/>
      <c r="BQ741" s="663">
        <f>I741/16</f>
        <v>360</v>
      </c>
      <c r="BY741" s="669"/>
      <c r="BZ741" s="548"/>
      <c r="CA741" s="672"/>
      <c r="CB741" s="567"/>
      <c r="CC741" s="673"/>
      <c r="CD741" s="669"/>
      <c r="CE741" s="669"/>
      <c r="CF741" s="548"/>
      <c r="CG741" s="548"/>
      <c r="CU741" s="554">
        <f t="shared" si="246"/>
        <v>360</v>
      </c>
      <c r="CV741" s="663">
        <f t="shared" si="261"/>
        <v>0</v>
      </c>
      <c r="CW741" s="663">
        <f t="shared" si="262"/>
        <v>0</v>
      </c>
      <c r="CX741" s="669"/>
      <c r="CY741" s="669"/>
      <c r="CZ741" s="669"/>
      <c r="DA741" s="548"/>
      <c r="DB741" s="548"/>
      <c r="DC741" s="548"/>
      <c r="DD741" s="669"/>
      <c r="DE741" s="669"/>
      <c r="DF741" s="669"/>
      <c r="DG741" s="669"/>
      <c r="DH741" s="669"/>
    </row>
    <row r="742" s="548" customFormat="1" ht="31" customHeight="1" spans="1:112">
      <c r="A742" s="660">
        <v>45940</v>
      </c>
      <c r="B742" s="661" t="s">
        <v>143</v>
      </c>
      <c r="C742" s="662" t="s">
        <v>98</v>
      </c>
      <c r="D742" s="663">
        <v>4500181320</v>
      </c>
      <c r="E742" s="690">
        <v>950689045</v>
      </c>
      <c r="F742" s="663" t="s">
        <v>7869</v>
      </c>
      <c r="G742" s="662" t="s">
        <v>6063</v>
      </c>
      <c r="H742" s="662" t="s">
        <v>6064</v>
      </c>
      <c r="I742" s="662">
        <v>3840</v>
      </c>
      <c r="J742" s="662">
        <v>0</v>
      </c>
      <c r="K742" s="662">
        <v>16</v>
      </c>
      <c r="L742" s="665">
        <f t="shared" si="247"/>
        <v>240</v>
      </c>
      <c r="M742" s="666">
        <v>45974</v>
      </c>
      <c r="N742" s="666">
        <v>45971</v>
      </c>
      <c r="O742" s="664" t="s">
        <v>7867</v>
      </c>
      <c r="P742" s="664" t="s">
        <v>113</v>
      </c>
      <c r="Q742" s="662"/>
      <c r="R742" s="667" t="s">
        <v>7064</v>
      </c>
      <c r="S742" s="667" t="s">
        <v>70</v>
      </c>
      <c r="T742" s="667" t="s">
        <v>148</v>
      </c>
      <c r="U742" s="667"/>
      <c r="V742" s="667"/>
      <c r="W742" s="615"/>
      <c r="X742" s="661" t="s">
        <v>7065</v>
      </c>
      <c r="Y742" s="661" t="s">
        <v>106</v>
      </c>
      <c r="Z742" s="661">
        <v>0.5936</v>
      </c>
      <c r="AA742" s="634">
        <f t="shared" si="257"/>
        <v>2279.424</v>
      </c>
      <c r="AC742" s="638" t="s">
        <v>7870</v>
      </c>
      <c r="AD742" s="662" t="s">
        <v>6063</v>
      </c>
      <c r="AE742" s="662" t="s">
        <v>82</v>
      </c>
      <c r="AF742" s="662"/>
      <c r="AG742" s="662"/>
      <c r="AH742" s="662"/>
      <c r="AI742" s="662">
        <v>3840</v>
      </c>
      <c r="AJ742" s="662">
        <f t="shared" si="256"/>
        <v>0</v>
      </c>
      <c r="AK742" s="662"/>
      <c r="AL742" s="662"/>
      <c r="AM742" s="662"/>
      <c r="AN742" s="662">
        <f>I742</f>
        <v>3840</v>
      </c>
      <c r="AO742" s="663"/>
      <c r="AP742" s="554">
        <f>I742</f>
        <v>3840</v>
      </c>
      <c r="AR742" s="680"/>
      <c r="AS742" s="548"/>
      <c r="AT742" s="548"/>
      <c r="AU742" s="554">
        <f>I742</f>
        <v>3840</v>
      </c>
      <c r="AW742" s="669"/>
      <c r="AX742" s="663"/>
      <c r="AY742" s="548"/>
      <c r="AZ742" s="548"/>
      <c r="BA742" s="548"/>
      <c r="BB742" s="670">
        <f t="shared" si="259"/>
        <v>160</v>
      </c>
      <c r="BC742" s="671"/>
      <c r="BD742" s="548"/>
      <c r="BE742" s="548"/>
      <c r="BF742" s="548"/>
      <c r="BQ742" s="663">
        <f>I742/16</f>
        <v>240</v>
      </c>
      <c r="BY742" s="669"/>
      <c r="BZ742" s="548"/>
      <c r="CA742" s="672"/>
      <c r="CB742" s="567"/>
      <c r="CC742" s="673"/>
      <c r="CD742" s="669"/>
      <c r="CE742" s="669"/>
      <c r="CF742" s="548"/>
      <c r="CG742" s="548"/>
      <c r="CU742" s="554">
        <f t="shared" si="246"/>
        <v>240</v>
      </c>
      <c r="CV742" s="663">
        <f t="shared" si="261"/>
        <v>0</v>
      </c>
      <c r="CW742" s="663">
        <f t="shared" si="262"/>
        <v>0</v>
      </c>
      <c r="CX742" s="669"/>
      <c r="CY742" s="669"/>
      <c r="CZ742" s="669"/>
      <c r="DA742" s="548"/>
      <c r="DB742" s="548"/>
      <c r="DC742" s="548"/>
      <c r="DD742" s="669"/>
      <c r="DE742" s="669"/>
      <c r="DF742" s="669"/>
      <c r="DG742" s="669"/>
      <c r="DH742" s="669"/>
    </row>
    <row r="743" s="548" customFormat="1" ht="31" customHeight="1" spans="1:112">
      <c r="A743" s="660">
        <v>45905</v>
      </c>
      <c r="B743" s="661" t="s">
        <v>1800</v>
      </c>
      <c r="C743" s="662" t="s">
        <v>744</v>
      </c>
      <c r="D743" s="663">
        <v>4500178919</v>
      </c>
      <c r="E743" s="662">
        <v>5000001988</v>
      </c>
      <c r="F743" s="663" t="s">
        <v>7871</v>
      </c>
      <c r="G743" s="662" t="s">
        <v>6093</v>
      </c>
      <c r="H743" s="639" t="s">
        <v>7359</v>
      </c>
      <c r="I743" s="662">
        <v>3900</v>
      </c>
      <c r="J743" s="662">
        <v>0</v>
      </c>
      <c r="K743" s="662">
        <v>13</v>
      </c>
      <c r="L743" s="665">
        <f t="shared" si="247"/>
        <v>300</v>
      </c>
      <c r="M743" s="666">
        <v>45975</v>
      </c>
      <c r="N743" s="666">
        <v>45971</v>
      </c>
      <c r="O743" s="664"/>
      <c r="P743" s="664" t="s">
        <v>113</v>
      </c>
      <c r="Q743" s="662"/>
      <c r="R743" s="667" t="s">
        <v>7814</v>
      </c>
      <c r="S743" s="667" t="s">
        <v>70</v>
      </c>
      <c r="T743" s="667" t="s">
        <v>70</v>
      </c>
      <c r="U743" s="667"/>
      <c r="V743" s="667"/>
      <c r="W743" s="615"/>
      <c r="X743" s="661" t="s">
        <v>7815</v>
      </c>
      <c r="Y743" s="661" t="s">
        <v>1805</v>
      </c>
      <c r="Z743" s="661">
        <v>0.8895</v>
      </c>
      <c r="AA743" s="634">
        <f t="shared" si="257"/>
        <v>3469.05</v>
      </c>
      <c r="AC743" s="638" t="s">
        <v>7816</v>
      </c>
      <c r="AD743" s="639" t="s">
        <v>7817</v>
      </c>
      <c r="AE743" s="662" t="s">
        <v>82</v>
      </c>
      <c r="AF743" s="662"/>
      <c r="AG743" s="662"/>
      <c r="AH743" s="662"/>
      <c r="AI743" s="662">
        <f>3861+39</f>
        <v>3900</v>
      </c>
      <c r="AJ743" s="662">
        <f t="shared" si="256"/>
        <v>0</v>
      </c>
      <c r="AK743" s="662"/>
      <c r="AL743" s="662"/>
      <c r="AM743" s="662"/>
      <c r="AN743" s="662"/>
      <c r="AO743" s="663">
        <f>I743</f>
        <v>3900</v>
      </c>
      <c r="AP743" s="554">
        <f>I743</f>
        <v>3900</v>
      </c>
      <c r="AR743" s="669"/>
      <c r="AS743" s="548"/>
      <c r="AT743" s="548"/>
      <c r="AU743" s="548"/>
      <c r="AV743" s="548"/>
      <c r="AW743" s="669"/>
      <c r="AX743" s="554">
        <f>I743</f>
        <v>3900</v>
      </c>
      <c r="BA743" s="663">
        <f>I743/13</f>
        <v>300</v>
      </c>
      <c r="BB743" s="670"/>
      <c r="BC743" s="671"/>
      <c r="BD743" s="548"/>
      <c r="BE743" s="548"/>
      <c r="BF743" s="548"/>
      <c r="BM743" s="663">
        <f>I743/13</f>
        <v>300</v>
      </c>
      <c r="BY743" s="669"/>
      <c r="BZ743" s="548"/>
      <c r="CA743" s="672"/>
      <c r="CB743" s="567"/>
      <c r="CC743" s="673"/>
      <c r="CD743" s="669"/>
      <c r="CE743" s="669"/>
      <c r="CF743" s="548"/>
      <c r="CG743" s="548"/>
      <c r="CU743" s="554">
        <f t="shared" si="246"/>
        <v>0</v>
      </c>
      <c r="CV743" s="663">
        <f t="shared" si="261"/>
        <v>0</v>
      </c>
      <c r="CW743" s="663">
        <f t="shared" si="262"/>
        <v>0</v>
      </c>
      <c r="CX743" s="669"/>
      <c r="CY743" s="669"/>
      <c r="CZ743" s="669"/>
      <c r="DA743" s="548"/>
      <c r="DB743" s="548"/>
      <c r="DC743" s="548"/>
      <c r="DD743" s="669"/>
      <c r="DE743" s="669"/>
      <c r="DF743" s="669"/>
      <c r="DG743" s="669"/>
      <c r="DH743" s="669"/>
    </row>
    <row r="744" s="548" customFormat="1" ht="31" customHeight="1" spans="1:112">
      <c r="A744" s="660">
        <v>45941</v>
      </c>
      <c r="B744" s="661" t="s">
        <v>6645</v>
      </c>
      <c r="C744" s="662" t="s">
        <v>170</v>
      </c>
      <c r="D744" s="663">
        <v>4500181487</v>
      </c>
      <c r="E744" s="664">
        <v>1352125</v>
      </c>
      <c r="F744" s="663" t="s">
        <v>7872</v>
      </c>
      <c r="G744" s="662" t="s">
        <v>6166</v>
      </c>
      <c r="H744" s="662" t="s">
        <v>6094</v>
      </c>
      <c r="I744" s="662">
        <v>4030</v>
      </c>
      <c r="J744" s="662">
        <v>0</v>
      </c>
      <c r="K744" s="662">
        <v>13</v>
      </c>
      <c r="L744" s="665">
        <f t="shared" si="247"/>
        <v>310</v>
      </c>
      <c r="M744" s="666">
        <v>45976</v>
      </c>
      <c r="N744" s="666">
        <v>45972</v>
      </c>
      <c r="O744" s="664"/>
      <c r="P744" s="664" t="s">
        <v>113</v>
      </c>
      <c r="Q744" s="662"/>
      <c r="R744" s="667">
        <v>45941</v>
      </c>
      <c r="S744" s="667" t="s">
        <v>70</v>
      </c>
      <c r="T744" s="667" t="s">
        <v>70</v>
      </c>
      <c r="U744" s="667"/>
      <c r="V744" s="667"/>
      <c r="W744" s="615"/>
      <c r="X744" s="661" t="s">
        <v>7873</v>
      </c>
      <c r="Y744" s="661" t="s">
        <v>1150</v>
      </c>
      <c r="Z744" s="675">
        <v>0.9044</v>
      </c>
      <c r="AA744" s="634">
        <f t="shared" si="257"/>
        <v>3644.732</v>
      </c>
      <c r="AC744" s="638" t="s">
        <v>7874</v>
      </c>
      <c r="AD744" s="662" t="s">
        <v>6166</v>
      </c>
      <c r="AE744" s="662" t="s">
        <v>82</v>
      </c>
      <c r="AF744" s="662"/>
      <c r="AG744" s="662"/>
      <c r="AH744" s="662"/>
      <c r="AI744" s="662">
        <v>4030</v>
      </c>
      <c r="AJ744" s="662">
        <f t="shared" si="256"/>
        <v>0</v>
      </c>
      <c r="AK744" s="662"/>
      <c r="AL744" s="662"/>
      <c r="AM744" s="662"/>
      <c r="AN744" s="662">
        <f>I744</f>
        <v>4030</v>
      </c>
      <c r="AO744" s="663"/>
      <c r="AP744" s="548"/>
      <c r="AQ744" s="548"/>
      <c r="AR744" s="669"/>
      <c r="AS744" s="554">
        <f>I744</f>
        <v>4030</v>
      </c>
      <c r="AU744" s="554">
        <f>I744</f>
        <v>4030</v>
      </c>
      <c r="AW744" s="669"/>
      <c r="AX744" s="548"/>
      <c r="AY744" s="548"/>
      <c r="AZ744" s="548"/>
      <c r="BA744" s="548"/>
      <c r="BB744" s="670">
        <f>I744/24</f>
        <v>167.916666666667</v>
      </c>
      <c r="BC744" s="671"/>
      <c r="BD744" s="548"/>
      <c r="BE744" s="548"/>
      <c r="BF744" s="548"/>
      <c r="BL744" s="663">
        <f>I744/13</f>
        <v>310</v>
      </c>
      <c r="BY744" s="669"/>
      <c r="BZ744" s="548"/>
      <c r="CA744" s="672"/>
      <c r="CB744" s="567"/>
      <c r="CC744" s="673"/>
      <c r="CD744" s="669"/>
      <c r="CE744" s="669"/>
      <c r="CF744" s="548"/>
      <c r="CG744" s="548"/>
      <c r="CU744" s="554">
        <f t="shared" si="246"/>
        <v>0</v>
      </c>
      <c r="CV744" s="663">
        <f t="shared" si="261"/>
        <v>0</v>
      </c>
      <c r="CW744" s="663">
        <f t="shared" si="262"/>
        <v>0</v>
      </c>
      <c r="CX744" s="669"/>
      <c r="CY744" s="669"/>
      <c r="CZ744" s="669"/>
      <c r="DA744" s="548"/>
      <c r="DB744" s="548"/>
      <c r="DC744" s="548"/>
      <c r="DD744" s="669"/>
      <c r="DE744" s="669"/>
      <c r="DF744" s="669"/>
      <c r="DG744" s="669"/>
      <c r="DH744" s="669"/>
    </row>
    <row r="745" s="548" customFormat="1" ht="31" customHeight="1" spans="1:112">
      <c r="A745" s="660">
        <v>45941</v>
      </c>
      <c r="B745" s="661" t="s">
        <v>6645</v>
      </c>
      <c r="C745" s="662" t="s">
        <v>170</v>
      </c>
      <c r="D745" s="663">
        <v>4500181470</v>
      </c>
      <c r="E745" s="664">
        <v>1344688</v>
      </c>
      <c r="F745" s="663" t="s">
        <v>7875</v>
      </c>
      <c r="G745" s="662" t="s">
        <v>6166</v>
      </c>
      <c r="H745" s="662" t="s">
        <v>6094</v>
      </c>
      <c r="I745" s="662">
        <v>2574</v>
      </c>
      <c r="J745" s="662">
        <v>0</v>
      </c>
      <c r="K745" s="662">
        <v>13</v>
      </c>
      <c r="L745" s="665">
        <f t="shared" si="247"/>
        <v>198</v>
      </c>
      <c r="M745" s="666">
        <v>45976</v>
      </c>
      <c r="N745" s="666">
        <v>45972</v>
      </c>
      <c r="O745" s="664"/>
      <c r="P745" s="664" t="s">
        <v>113</v>
      </c>
      <c r="Q745" s="662"/>
      <c r="R745" s="667">
        <v>45941</v>
      </c>
      <c r="S745" s="667" t="s">
        <v>70</v>
      </c>
      <c r="T745" s="667" t="s">
        <v>70</v>
      </c>
      <c r="U745" s="667"/>
      <c r="V745" s="667"/>
      <c r="W745" s="615"/>
      <c r="X745" s="661" t="s">
        <v>7873</v>
      </c>
      <c r="Y745" s="661" t="s">
        <v>1150</v>
      </c>
      <c r="Z745" s="675">
        <v>0.9044</v>
      </c>
      <c r="AA745" s="634">
        <f t="shared" si="257"/>
        <v>2327.9256</v>
      </c>
      <c r="AC745" s="638" t="s">
        <v>7876</v>
      </c>
      <c r="AD745" s="662" t="s">
        <v>6166</v>
      </c>
      <c r="AE745" s="662" t="s">
        <v>82</v>
      </c>
      <c r="AF745" s="662"/>
      <c r="AG745" s="662"/>
      <c r="AH745" s="662"/>
      <c r="AI745" s="662">
        <v>2574</v>
      </c>
      <c r="AJ745" s="662">
        <f t="shared" si="256"/>
        <v>0</v>
      </c>
      <c r="AK745" s="662"/>
      <c r="AL745" s="662"/>
      <c r="AM745" s="662"/>
      <c r="AN745" s="662">
        <f>I745</f>
        <v>2574</v>
      </c>
      <c r="AO745" s="663"/>
      <c r="AP745" s="548"/>
      <c r="AQ745" s="548"/>
      <c r="AR745" s="669"/>
      <c r="AS745" s="554">
        <f>I745</f>
        <v>2574</v>
      </c>
      <c r="AU745" s="554">
        <f>I745</f>
        <v>2574</v>
      </c>
      <c r="AW745" s="669"/>
      <c r="AX745" s="548"/>
      <c r="AY745" s="548"/>
      <c r="AZ745" s="548"/>
      <c r="BA745" s="548"/>
      <c r="BB745" s="670">
        <f>I745/24</f>
        <v>107.25</v>
      </c>
      <c r="BC745" s="671"/>
      <c r="BD745" s="548"/>
      <c r="BE745" s="548"/>
      <c r="BF745" s="548"/>
      <c r="BL745" s="663">
        <f>I745/13</f>
        <v>198</v>
      </c>
      <c r="BY745" s="669"/>
      <c r="BZ745" s="548"/>
      <c r="CA745" s="672"/>
      <c r="CB745" s="567"/>
      <c r="CC745" s="673"/>
      <c r="CD745" s="669"/>
      <c r="CE745" s="669"/>
      <c r="CF745" s="548"/>
      <c r="CG745" s="548"/>
      <c r="CU745" s="554">
        <f t="shared" si="246"/>
        <v>0</v>
      </c>
      <c r="CV745" s="663">
        <f t="shared" si="261"/>
        <v>0</v>
      </c>
      <c r="CW745" s="663">
        <f t="shared" si="262"/>
        <v>0</v>
      </c>
      <c r="CX745" s="669"/>
      <c r="CY745" s="669"/>
      <c r="CZ745" s="669"/>
      <c r="DA745" s="548"/>
      <c r="DB745" s="548"/>
      <c r="DC745" s="548"/>
      <c r="DD745" s="669"/>
      <c r="DE745" s="669"/>
      <c r="DF745" s="669"/>
      <c r="DG745" s="669"/>
      <c r="DH745" s="669"/>
    </row>
    <row r="746" s="548" customFormat="1" ht="31" customHeight="1" spans="1:112">
      <c r="A746" s="660">
        <v>45941</v>
      </c>
      <c r="B746" s="661" t="s">
        <v>6645</v>
      </c>
      <c r="C746" s="662" t="s">
        <v>170</v>
      </c>
      <c r="D746" s="663">
        <v>4500181471</v>
      </c>
      <c r="E746" s="664">
        <v>1344690</v>
      </c>
      <c r="F746" s="663" t="s">
        <v>7877</v>
      </c>
      <c r="G746" s="662" t="s">
        <v>6166</v>
      </c>
      <c r="H746" s="662" t="s">
        <v>6094</v>
      </c>
      <c r="I746" s="662">
        <v>3406</v>
      </c>
      <c r="J746" s="662">
        <v>0</v>
      </c>
      <c r="K746" s="662">
        <v>13</v>
      </c>
      <c r="L746" s="665">
        <f t="shared" si="247"/>
        <v>262</v>
      </c>
      <c r="M746" s="666">
        <v>45976</v>
      </c>
      <c r="N746" s="666">
        <v>45972</v>
      </c>
      <c r="O746" s="664"/>
      <c r="P746" s="664" t="s">
        <v>113</v>
      </c>
      <c r="Q746" s="662"/>
      <c r="R746" s="667">
        <v>45941</v>
      </c>
      <c r="S746" s="667" t="s">
        <v>70</v>
      </c>
      <c r="T746" s="667" t="s">
        <v>70</v>
      </c>
      <c r="U746" s="667"/>
      <c r="V746" s="667"/>
      <c r="W746" s="615"/>
      <c r="X746" s="661" t="s">
        <v>7873</v>
      </c>
      <c r="Y746" s="661" t="s">
        <v>1150</v>
      </c>
      <c r="Z746" s="675">
        <v>0.9044</v>
      </c>
      <c r="AA746" s="634">
        <f t="shared" si="257"/>
        <v>3080.3864</v>
      </c>
      <c r="AC746" s="638" t="s">
        <v>7878</v>
      </c>
      <c r="AD746" s="662" t="s">
        <v>6166</v>
      </c>
      <c r="AE746" s="662" t="s">
        <v>82</v>
      </c>
      <c r="AF746" s="662"/>
      <c r="AG746" s="662"/>
      <c r="AH746" s="662"/>
      <c r="AI746" s="662">
        <f>1066+2340</f>
        <v>3406</v>
      </c>
      <c r="AJ746" s="662">
        <f t="shared" si="256"/>
        <v>0</v>
      </c>
      <c r="AK746" s="662"/>
      <c r="AL746" s="662"/>
      <c r="AM746" s="662"/>
      <c r="AN746" s="662">
        <f>I746</f>
        <v>3406</v>
      </c>
      <c r="AO746" s="663"/>
      <c r="AP746" s="548"/>
      <c r="AQ746" s="548"/>
      <c r="AR746" s="669"/>
      <c r="AS746" s="554">
        <f>I746</f>
        <v>3406</v>
      </c>
      <c r="AU746" s="554">
        <f>I746</f>
        <v>3406</v>
      </c>
      <c r="AW746" s="669"/>
      <c r="AX746" s="548"/>
      <c r="AY746" s="548"/>
      <c r="AZ746" s="548"/>
      <c r="BA746" s="548"/>
      <c r="BB746" s="670">
        <f t="shared" ref="BB746:BB754" si="263">I746/24</f>
        <v>141.916666666667</v>
      </c>
      <c r="BC746" s="671"/>
      <c r="BD746" s="548"/>
      <c r="BE746" s="548"/>
      <c r="BF746" s="548"/>
      <c r="BL746" s="663">
        <f>I746/13</f>
        <v>262</v>
      </c>
      <c r="BY746" s="669"/>
      <c r="BZ746" s="548"/>
      <c r="CA746" s="672"/>
      <c r="CB746" s="567"/>
      <c r="CC746" s="673"/>
      <c r="CD746" s="669"/>
      <c r="CE746" s="669"/>
      <c r="CF746" s="548"/>
      <c r="CG746" s="548"/>
      <c r="CU746" s="554">
        <f t="shared" si="246"/>
        <v>0</v>
      </c>
      <c r="CV746" s="663">
        <f t="shared" si="261"/>
        <v>0</v>
      </c>
      <c r="CW746" s="663">
        <f t="shared" si="262"/>
        <v>0</v>
      </c>
      <c r="CX746" s="669"/>
      <c r="CY746" s="669"/>
      <c r="CZ746" s="669"/>
      <c r="DA746" s="548"/>
      <c r="DB746" s="548"/>
      <c r="DC746" s="548"/>
      <c r="DD746" s="669"/>
      <c r="DE746" s="669"/>
      <c r="DF746" s="669"/>
      <c r="DG746" s="669"/>
      <c r="DH746" s="669"/>
    </row>
    <row r="747" s="548" customFormat="1" ht="31" customHeight="1" spans="1:112">
      <c r="A747" s="660">
        <v>45925</v>
      </c>
      <c r="B747" s="661" t="s">
        <v>1772</v>
      </c>
      <c r="C747" s="662" t="s">
        <v>278</v>
      </c>
      <c r="D747" s="663">
        <v>4500180232</v>
      </c>
      <c r="E747" s="662" t="s">
        <v>2158</v>
      </c>
      <c r="F747" s="663" t="s">
        <v>7879</v>
      </c>
      <c r="G747" s="662" t="s">
        <v>6318</v>
      </c>
      <c r="H747" s="662" t="s">
        <v>6319</v>
      </c>
      <c r="I747" s="662">
        <v>1000</v>
      </c>
      <c r="J747" s="662">
        <v>25</v>
      </c>
      <c r="K747" s="662">
        <v>50</v>
      </c>
      <c r="L747" s="665">
        <f t="shared" si="247"/>
        <v>20</v>
      </c>
      <c r="M747" s="666">
        <v>45977</v>
      </c>
      <c r="N747" s="666">
        <v>45975</v>
      </c>
      <c r="O747" s="664"/>
      <c r="P747" s="664" t="s">
        <v>113</v>
      </c>
      <c r="Q747" s="662"/>
      <c r="R747" s="667">
        <v>45925</v>
      </c>
      <c r="S747" s="667" t="s">
        <v>70</v>
      </c>
      <c r="T747" s="667" t="s">
        <v>7804</v>
      </c>
      <c r="U747" s="667"/>
      <c r="V747" s="667"/>
      <c r="W747" s="615"/>
      <c r="X747" s="661" t="s">
        <v>7880</v>
      </c>
      <c r="Y747" s="661" t="s">
        <v>299</v>
      </c>
      <c r="Z747" s="661">
        <v>0.9678</v>
      </c>
      <c r="AA747" s="634">
        <f t="shared" si="257"/>
        <v>967.8</v>
      </c>
      <c r="AC747" s="638" t="s">
        <v>2161</v>
      </c>
      <c r="AD747" s="662" t="s">
        <v>6318</v>
      </c>
      <c r="AE747" s="662" t="s">
        <v>82</v>
      </c>
      <c r="AF747" s="662"/>
      <c r="AG747" s="662"/>
      <c r="AH747" s="662"/>
      <c r="AI747" s="662">
        <v>1000</v>
      </c>
      <c r="AJ747" s="662">
        <f t="shared" si="256"/>
        <v>0</v>
      </c>
      <c r="AK747" s="662"/>
      <c r="AL747" s="662"/>
      <c r="AM747" s="662"/>
      <c r="AN747" s="662"/>
      <c r="AO747" s="663">
        <f>I747</f>
        <v>1000</v>
      </c>
      <c r="AR747" s="680"/>
      <c r="AS747" s="548"/>
      <c r="AT747" s="554">
        <f>I747</f>
        <v>1000</v>
      </c>
      <c r="AV747" s="554">
        <f>I747</f>
        <v>1000</v>
      </c>
      <c r="AW747" s="669"/>
      <c r="AX747" s="663"/>
      <c r="AY747" s="548"/>
      <c r="AZ747" s="548"/>
      <c r="BA747" s="548"/>
      <c r="BB747" s="620">
        <f t="shared" si="263"/>
        <v>41.6666666666667</v>
      </c>
      <c r="BC747" s="671"/>
      <c r="BD747" s="548"/>
      <c r="BE747" s="548"/>
      <c r="BF747" s="548"/>
      <c r="BP747" s="663">
        <f>I747/25</f>
        <v>40</v>
      </c>
      <c r="BY747" s="669"/>
      <c r="BZ747" s="548"/>
      <c r="CA747" s="672"/>
      <c r="CB747" s="567"/>
      <c r="CC747" s="673"/>
      <c r="CD747" s="669"/>
      <c r="CE747" s="669"/>
      <c r="CF747" s="548"/>
      <c r="CG747" s="548"/>
      <c r="CU747" s="554">
        <f t="shared" si="246"/>
        <v>40</v>
      </c>
      <c r="CV747" s="663">
        <f t="shared" si="261"/>
        <v>0</v>
      </c>
      <c r="CW747" s="663">
        <f t="shared" si="262"/>
        <v>0</v>
      </c>
      <c r="CX747" s="669"/>
      <c r="CY747" s="669"/>
      <c r="CZ747" s="669"/>
      <c r="DA747" s="548"/>
      <c r="DB747" s="548"/>
      <c r="DC747" s="548"/>
      <c r="DD747" s="669"/>
      <c r="DE747" s="669"/>
      <c r="DF747" s="669"/>
      <c r="DG747" s="669"/>
      <c r="DH747" s="669"/>
    </row>
    <row r="748" s="548" customFormat="1" ht="31" customHeight="1" spans="1:112">
      <c r="A748" s="660">
        <v>45960</v>
      </c>
      <c r="B748" s="661"/>
      <c r="C748" s="662"/>
      <c r="D748" s="663" t="s">
        <v>7881</v>
      </c>
      <c r="E748" s="662"/>
      <c r="F748" s="548"/>
      <c r="G748" s="662" t="s">
        <v>6025</v>
      </c>
      <c r="H748" s="662" t="s">
        <v>6026</v>
      </c>
      <c r="I748" s="662" t="s">
        <v>7882</v>
      </c>
      <c r="J748" s="662">
        <v>0</v>
      </c>
      <c r="K748" s="662">
        <v>24</v>
      </c>
      <c r="L748" s="665" t="e">
        <f t="shared" si="247"/>
        <v>#VALUE!</v>
      </c>
      <c r="M748" s="666">
        <v>45966</v>
      </c>
      <c r="N748" s="666">
        <v>45964</v>
      </c>
      <c r="O748" s="664"/>
      <c r="P748" s="664"/>
      <c r="Q748" s="662"/>
      <c r="R748" s="667"/>
      <c r="S748" s="667"/>
      <c r="T748" s="667"/>
      <c r="U748" s="667"/>
      <c r="V748" s="667"/>
      <c r="W748" s="615"/>
      <c r="X748" s="661" t="s">
        <v>7883</v>
      </c>
      <c r="Y748" s="661" t="s">
        <v>92</v>
      </c>
      <c r="Z748" s="661"/>
      <c r="AA748" s="634"/>
      <c r="AC748" s="638" t="s">
        <v>7884</v>
      </c>
      <c r="AD748" s="662" t="s">
        <v>73</v>
      </c>
      <c r="AE748" s="662" t="s">
        <v>73</v>
      </c>
      <c r="AF748" s="662"/>
      <c r="AG748" s="662"/>
      <c r="AH748" s="662"/>
      <c r="AI748" s="662">
        <v>2</v>
      </c>
      <c r="AJ748" s="662" t="e">
        <f t="shared" si="256"/>
        <v>#VALUE!</v>
      </c>
      <c r="AK748" s="662"/>
      <c r="AL748" s="662"/>
      <c r="AM748" s="662"/>
      <c r="AN748" s="662"/>
      <c r="AO748" s="663"/>
      <c r="AP748" s="548"/>
      <c r="AQ748" s="548"/>
      <c r="AR748" s="680"/>
      <c r="AS748" s="548"/>
      <c r="AT748" s="548"/>
      <c r="AU748" s="548"/>
      <c r="AV748" s="548"/>
      <c r="AW748" s="669"/>
      <c r="AX748" s="663"/>
      <c r="AY748" s="548"/>
      <c r="AZ748" s="548"/>
      <c r="BA748" s="548"/>
      <c r="BB748" s="670"/>
      <c r="BC748" s="671"/>
      <c r="BD748" s="548"/>
      <c r="BE748" s="548"/>
      <c r="BF748" s="548"/>
      <c r="BY748" s="669"/>
      <c r="BZ748" s="548"/>
      <c r="CA748" s="672"/>
      <c r="CB748" s="567"/>
      <c r="CC748" s="673"/>
      <c r="CD748" s="669"/>
      <c r="CE748" s="669"/>
      <c r="CF748" s="548"/>
      <c r="CG748" s="548"/>
      <c r="CU748" s="554">
        <f t="shared" si="246"/>
        <v>0</v>
      </c>
      <c r="CV748" s="663">
        <f t="shared" si="261"/>
        <v>0</v>
      </c>
      <c r="CW748" s="663">
        <f t="shared" si="262"/>
        <v>0</v>
      </c>
      <c r="CX748" s="669"/>
      <c r="CY748" s="669"/>
      <c r="CZ748" s="669"/>
      <c r="DA748" s="548"/>
      <c r="DB748" s="548"/>
      <c r="DC748" s="548"/>
      <c r="DD748" s="669"/>
      <c r="DE748" s="669"/>
      <c r="DF748" s="669"/>
      <c r="DG748" s="669"/>
      <c r="DH748" s="669"/>
    </row>
    <row r="749" s="548" customFormat="1" ht="31" customHeight="1" spans="1:112">
      <c r="A749" s="660">
        <v>45960</v>
      </c>
      <c r="B749" s="661"/>
      <c r="C749" s="662"/>
      <c r="D749" s="663" t="s">
        <v>7885</v>
      </c>
      <c r="E749" s="662"/>
      <c r="F749" s="548"/>
      <c r="G749" s="662" t="s">
        <v>6787</v>
      </c>
      <c r="H749" s="610" t="s">
        <v>6126</v>
      </c>
      <c r="I749" s="662">
        <v>20</v>
      </c>
      <c r="J749" s="662">
        <v>0</v>
      </c>
      <c r="K749" s="662">
        <v>12</v>
      </c>
      <c r="L749" s="665">
        <f t="shared" si="247"/>
        <v>1.66666666666667</v>
      </c>
      <c r="M749" s="666">
        <v>45966</v>
      </c>
      <c r="N749" s="666">
        <v>45964</v>
      </c>
      <c r="O749" s="664"/>
      <c r="P749" s="664"/>
      <c r="Q749" s="662"/>
      <c r="R749" s="667"/>
      <c r="S749" s="667"/>
      <c r="T749" s="667"/>
      <c r="U749" s="667"/>
      <c r="V749" s="667"/>
      <c r="W749" s="615"/>
      <c r="X749" s="661" t="s">
        <v>7886</v>
      </c>
      <c r="Y749" s="661" t="s">
        <v>92</v>
      </c>
      <c r="Z749" s="661"/>
      <c r="AA749" s="634"/>
      <c r="AC749" s="638" t="s">
        <v>7887</v>
      </c>
      <c r="AD749" s="661"/>
      <c r="AE749" s="618" t="s">
        <v>4133</v>
      </c>
      <c r="AF749" s="662"/>
      <c r="AG749" s="662"/>
      <c r="AH749" s="662"/>
      <c r="AI749" s="662">
        <v>20</v>
      </c>
      <c r="AJ749" s="662">
        <f t="shared" si="256"/>
        <v>0</v>
      </c>
      <c r="AK749" s="662"/>
      <c r="AL749" s="662"/>
      <c r="AM749" s="662"/>
      <c r="AN749" s="610">
        <f>I749*2</f>
        <v>40</v>
      </c>
      <c r="AO749" s="663"/>
      <c r="AP749" s="554">
        <f>I749*2</f>
        <v>40</v>
      </c>
      <c r="AR749" s="680"/>
      <c r="AS749" s="548"/>
      <c r="AT749" s="548"/>
      <c r="AU749" s="548"/>
      <c r="AV749" s="554">
        <f>I749*2</f>
        <v>40</v>
      </c>
      <c r="AW749" s="669"/>
      <c r="AX749" s="663"/>
      <c r="AY749" s="548"/>
      <c r="AZ749" s="548"/>
      <c r="BA749" s="548"/>
      <c r="BB749" s="249">
        <f>I749/24*2</f>
        <v>1.66666666666667</v>
      </c>
      <c r="BC749" s="671"/>
      <c r="BD749" s="548"/>
      <c r="BE749" s="548"/>
      <c r="BF749" s="548"/>
      <c r="BY749" s="669"/>
      <c r="BZ749" s="548"/>
      <c r="CA749" s="672"/>
      <c r="CB749" s="567"/>
      <c r="CC749" s="673"/>
      <c r="CD749" s="669"/>
      <c r="CE749" s="669"/>
      <c r="CF749" s="548"/>
      <c r="CG749" s="548"/>
      <c r="CR749" s="554">
        <f>I749</f>
        <v>20</v>
      </c>
      <c r="CS749" s="554">
        <f>I749</f>
        <v>20</v>
      </c>
      <c r="CT749" s="554">
        <f>I749</f>
        <v>20</v>
      </c>
      <c r="CU749" s="554">
        <f t="shared" si="246"/>
        <v>0</v>
      </c>
      <c r="CV749" s="663">
        <f t="shared" si="261"/>
        <v>0</v>
      </c>
      <c r="CW749" s="663">
        <f t="shared" si="262"/>
        <v>0</v>
      </c>
      <c r="CX749" s="669"/>
      <c r="CY749" s="669"/>
      <c r="CZ749" s="669"/>
      <c r="DA749" s="548"/>
      <c r="DB749" s="548"/>
      <c r="DC749" s="548"/>
      <c r="DD749" s="669"/>
      <c r="DE749" s="669"/>
      <c r="DF749" s="669"/>
      <c r="DG749" s="669"/>
      <c r="DH749" s="669"/>
    </row>
    <row r="750" s="548" customFormat="1" ht="38" customHeight="1" spans="1:112">
      <c r="A750" s="660">
        <v>45922</v>
      </c>
      <c r="B750" s="661" t="s">
        <v>2101</v>
      </c>
      <c r="C750" s="662" t="s">
        <v>2102</v>
      </c>
      <c r="D750" s="663">
        <v>4500180054</v>
      </c>
      <c r="E750" s="662" t="s">
        <v>2103</v>
      </c>
      <c r="F750" s="663" t="s">
        <v>7888</v>
      </c>
      <c r="G750" s="662" t="s">
        <v>6276</v>
      </c>
      <c r="H750" s="662" t="s">
        <v>6277</v>
      </c>
      <c r="I750" s="662">
        <v>1050</v>
      </c>
      <c r="J750" s="662">
        <v>0</v>
      </c>
      <c r="K750" s="662">
        <v>50</v>
      </c>
      <c r="L750" s="665">
        <f t="shared" si="247"/>
        <v>21</v>
      </c>
      <c r="M750" s="666">
        <v>45968</v>
      </c>
      <c r="N750" s="666">
        <v>45964</v>
      </c>
      <c r="O750" s="664"/>
      <c r="P750" s="664" t="s">
        <v>113</v>
      </c>
      <c r="Q750" s="662"/>
      <c r="R750" s="667">
        <v>45922</v>
      </c>
      <c r="S750" s="667" t="s">
        <v>70</v>
      </c>
      <c r="T750" s="667" t="s">
        <v>7889</v>
      </c>
      <c r="U750" s="667"/>
      <c r="V750" s="667"/>
      <c r="W750" s="615"/>
      <c r="X750" s="661" t="s">
        <v>7890</v>
      </c>
      <c r="Y750" s="661" t="s">
        <v>230</v>
      </c>
      <c r="Z750" s="661">
        <v>0.9995</v>
      </c>
      <c r="AA750" s="634">
        <f t="shared" ref="AA750:AA754" si="264">Z750*I750</f>
        <v>1049.475</v>
      </c>
      <c r="AC750" s="676" t="s">
        <v>2106</v>
      </c>
      <c r="AD750" s="662" t="s">
        <v>6276</v>
      </c>
      <c r="AE750" s="662" t="s">
        <v>82</v>
      </c>
      <c r="AF750" s="662"/>
      <c r="AG750" s="662"/>
      <c r="AH750" s="662"/>
      <c r="AI750" s="662">
        <v>1050</v>
      </c>
      <c r="AJ750" s="662">
        <f t="shared" si="256"/>
        <v>0</v>
      </c>
      <c r="AK750" s="662"/>
      <c r="AL750" s="662"/>
      <c r="AM750" s="662"/>
      <c r="AN750" s="662"/>
      <c r="AO750" s="663">
        <f>I750</f>
        <v>1050</v>
      </c>
      <c r="AR750" s="680"/>
      <c r="AS750" s="548"/>
      <c r="AT750" s="548"/>
      <c r="AU750" s="548"/>
      <c r="AV750" s="663"/>
      <c r="AW750" s="669"/>
      <c r="AX750" s="548"/>
      <c r="AY750" s="548"/>
      <c r="AZ750" s="548"/>
      <c r="BA750" s="548"/>
      <c r="BB750" s="686">
        <f>I750/24*2</f>
        <v>87.5</v>
      </c>
      <c r="BC750" s="671"/>
      <c r="BD750" s="548"/>
      <c r="BE750" s="548"/>
      <c r="BF750" s="548"/>
      <c r="BV750" s="663">
        <f>I750</f>
        <v>1050</v>
      </c>
      <c r="BW750" s="663">
        <f>I750</f>
        <v>1050</v>
      </c>
      <c r="BX750" s="554">
        <f>I750/25</f>
        <v>42</v>
      </c>
      <c r="BY750" s="669"/>
      <c r="BZ750" s="548"/>
      <c r="CA750" s="672"/>
      <c r="CB750" s="567"/>
      <c r="CC750" s="673"/>
      <c r="CD750" s="669"/>
      <c r="CE750" s="669"/>
      <c r="CF750" s="548"/>
      <c r="CG750" s="548"/>
      <c r="CU750" s="554">
        <f t="shared" si="246"/>
        <v>42</v>
      </c>
      <c r="CV750" s="663">
        <f t="shared" si="261"/>
        <v>0</v>
      </c>
      <c r="CW750" s="663">
        <f t="shared" si="262"/>
        <v>0</v>
      </c>
      <c r="CX750" s="669"/>
      <c r="CY750" s="669"/>
      <c r="CZ750" s="669"/>
      <c r="DA750" s="548"/>
      <c r="DB750" s="548"/>
      <c r="DC750" s="548"/>
      <c r="DD750" s="669"/>
      <c r="DE750" s="669"/>
      <c r="DF750" s="669"/>
      <c r="DG750" s="669"/>
      <c r="DH750" s="669"/>
    </row>
    <row r="751" s="548" customFormat="1" ht="31" customHeight="1" spans="1:112">
      <c r="A751" s="660">
        <v>45930</v>
      </c>
      <c r="B751" s="661" t="s">
        <v>143</v>
      </c>
      <c r="C751" s="662" t="s">
        <v>98</v>
      </c>
      <c r="D751" s="663">
        <v>4500181113</v>
      </c>
      <c r="E751" s="664">
        <v>948877829</v>
      </c>
      <c r="F751" s="663" t="s">
        <v>7891</v>
      </c>
      <c r="G751" s="662" t="s">
        <v>6063</v>
      </c>
      <c r="H751" s="662" t="s">
        <v>6064</v>
      </c>
      <c r="I751" s="662">
        <v>23040</v>
      </c>
      <c r="J751" s="662">
        <v>0</v>
      </c>
      <c r="K751" s="662">
        <v>16</v>
      </c>
      <c r="L751" s="665">
        <f t="shared" si="247"/>
        <v>1440</v>
      </c>
      <c r="M751" s="666">
        <v>45971</v>
      </c>
      <c r="N751" s="666">
        <v>45967</v>
      </c>
      <c r="O751" s="664" t="s">
        <v>7892</v>
      </c>
      <c r="P751" s="664" t="s">
        <v>113</v>
      </c>
      <c r="Q751" s="662"/>
      <c r="R751" s="667" t="s">
        <v>7064</v>
      </c>
      <c r="S751" s="667" t="s">
        <v>70</v>
      </c>
      <c r="T751" s="667" t="s">
        <v>148</v>
      </c>
      <c r="U751" s="667"/>
      <c r="V751" s="667"/>
      <c r="W751" s="615"/>
      <c r="X751" s="661" t="s">
        <v>7065</v>
      </c>
      <c r="Y751" s="661" t="s">
        <v>106</v>
      </c>
      <c r="Z751" s="661">
        <v>0.5837</v>
      </c>
      <c r="AA751" s="634">
        <f t="shared" si="264"/>
        <v>13448.448</v>
      </c>
      <c r="AC751" s="638" t="s">
        <v>7893</v>
      </c>
      <c r="AD751" s="662" t="s">
        <v>6063</v>
      </c>
      <c r="AE751" s="662" t="s">
        <v>82</v>
      </c>
      <c r="AF751" s="662"/>
      <c r="AG751" s="662"/>
      <c r="AH751" s="662"/>
      <c r="AI751" s="662">
        <v>23040</v>
      </c>
      <c r="AJ751" s="662">
        <f t="shared" si="256"/>
        <v>0</v>
      </c>
      <c r="AK751" s="662"/>
      <c r="AL751" s="662"/>
      <c r="AM751" s="662"/>
      <c r="AN751" s="662">
        <f t="shared" ref="AN751:AN754" si="265">I751</f>
        <v>23040</v>
      </c>
      <c r="AO751" s="663"/>
      <c r="AP751" s="554">
        <f>I751</f>
        <v>23040</v>
      </c>
      <c r="AR751" s="680"/>
      <c r="AS751" s="548"/>
      <c r="AT751" s="548"/>
      <c r="AU751" s="554">
        <f>I751</f>
        <v>23040</v>
      </c>
      <c r="AV751" s="663"/>
      <c r="AW751" s="669"/>
      <c r="AX751" s="663"/>
      <c r="AY751" s="548"/>
      <c r="AZ751" s="548"/>
      <c r="BA751" s="548"/>
      <c r="BB751" s="670">
        <f t="shared" si="263"/>
        <v>960</v>
      </c>
      <c r="BC751" s="671"/>
      <c r="BD751" s="548"/>
      <c r="BE751" s="548"/>
      <c r="BF751" s="548"/>
      <c r="BQ751" s="663">
        <f>I751/16</f>
        <v>1440</v>
      </c>
      <c r="BY751" s="669"/>
      <c r="BZ751" s="548"/>
      <c r="CA751" s="672"/>
      <c r="CB751" s="567"/>
      <c r="CC751" s="673"/>
      <c r="CD751" s="669"/>
      <c r="CE751" s="669"/>
      <c r="CF751" s="548"/>
      <c r="CG751" s="548"/>
      <c r="CU751" s="554">
        <f t="shared" si="246"/>
        <v>1440</v>
      </c>
      <c r="CV751" s="663">
        <f t="shared" si="261"/>
        <v>0</v>
      </c>
      <c r="CW751" s="663">
        <f t="shared" si="262"/>
        <v>0</v>
      </c>
      <c r="CX751" s="669"/>
      <c r="CY751" s="669"/>
      <c r="CZ751" s="669"/>
      <c r="DA751" s="548"/>
      <c r="DB751" s="548"/>
      <c r="DC751" s="548"/>
      <c r="DD751" s="669"/>
      <c r="DE751" s="669"/>
      <c r="DF751" s="669"/>
      <c r="DG751" s="669"/>
      <c r="DH751" s="669"/>
    </row>
    <row r="752" s="548" customFormat="1" ht="31" customHeight="1" spans="1:112">
      <c r="A752" s="660">
        <v>45930</v>
      </c>
      <c r="B752" s="661" t="s">
        <v>143</v>
      </c>
      <c r="C752" s="662" t="s">
        <v>98</v>
      </c>
      <c r="D752" s="663">
        <v>4500181113</v>
      </c>
      <c r="E752" s="664">
        <v>948877858</v>
      </c>
      <c r="F752" s="663" t="s">
        <v>7894</v>
      </c>
      <c r="G752" s="662" t="s">
        <v>6063</v>
      </c>
      <c r="H752" s="662" t="s">
        <v>6064</v>
      </c>
      <c r="I752" s="662">
        <v>22080</v>
      </c>
      <c r="J752" s="662">
        <v>0</v>
      </c>
      <c r="K752" s="662">
        <v>16</v>
      </c>
      <c r="L752" s="665">
        <f t="shared" si="247"/>
        <v>1380</v>
      </c>
      <c r="M752" s="666">
        <v>45971</v>
      </c>
      <c r="N752" s="666">
        <v>45967</v>
      </c>
      <c r="O752" s="664" t="s">
        <v>7892</v>
      </c>
      <c r="P752" s="664" t="s">
        <v>113</v>
      </c>
      <c r="Q752" s="662"/>
      <c r="R752" s="667" t="s">
        <v>7064</v>
      </c>
      <c r="S752" s="667" t="s">
        <v>70</v>
      </c>
      <c r="T752" s="667" t="s">
        <v>148</v>
      </c>
      <c r="U752" s="667"/>
      <c r="V752" s="667"/>
      <c r="W752" s="615"/>
      <c r="X752" s="661" t="s">
        <v>7065</v>
      </c>
      <c r="Y752" s="661" t="s">
        <v>106</v>
      </c>
      <c r="Z752" s="661">
        <v>0.5837</v>
      </c>
      <c r="AA752" s="634">
        <f t="shared" si="264"/>
        <v>12888.096</v>
      </c>
      <c r="AC752" s="638" t="s">
        <v>7895</v>
      </c>
      <c r="AD752" s="662" t="s">
        <v>6063</v>
      </c>
      <c r="AE752" s="662" t="s">
        <v>82</v>
      </c>
      <c r="AF752" s="662"/>
      <c r="AG752" s="662"/>
      <c r="AH752" s="662"/>
      <c r="AI752" s="662">
        <f>2688+19392</f>
        <v>22080</v>
      </c>
      <c r="AJ752" s="662">
        <f t="shared" si="256"/>
        <v>0</v>
      </c>
      <c r="AK752" s="662"/>
      <c r="AL752" s="662"/>
      <c r="AM752" s="662"/>
      <c r="AN752" s="662">
        <f t="shared" si="265"/>
        <v>22080</v>
      </c>
      <c r="AO752" s="663"/>
      <c r="AP752" s="554">
        <f>I752</f>
        <v>22080</v>
      </c>
      <c r="AR752" s="680"/>
      <c r="AS752" s="548"/>
      <c r="AT752" s="548"/>
      <c r="AU752" s="554">
        <f>I752</f>
        <v>22080</v>
      </c>
      <c r="AV752" s="663"/>
      <c r="AW752" s="669"/>
      <c r="AX752" s="663"/>
      <c r="AY752" s="548"/>
      <c r="AZ752" s="548"/>
      <c r="BA752" s="548"/>
      <c r="BB752" s="670">
        <f t="shared" si="263"/>
        <v>920</v>
      </c>
      <c r="BC752" s="671"/>
      <c r="BD752" s="548"/>
      <c r="BE752" s="548"/>
      <c r="BF752" s="548"/>
      <c r="BQ752" s="663">
        <f>I752/16</f>
        <v>1380</v>
      </c>
      <c r="BY752" s="669"/>
      <c r="BZ752" s="548"/>
      <c r="CA752" s="672"/>
      <c r="CB752" s="567"/>
      <c r="CC752" s="673"/>
      <c r="CD752" s="669"/>
      <c r="CE752" s="669"/>
      <c r="CF752" s="548"/>
      <c r="CG752" s="548"/>
      <c r="CU752" s="554">
        <f t="shared" si="246"/>
        <v>1380</v>
      </c>
      <c r="CV752" s="663">
        <f t="shared" si="261"/>
        <v>0</v>
      </c>
      <c r="CW752" s="663">
        <f t="shared" si="262"/>
        <v>0</v>
      </c>
      <c r="CX752" s="669"/>
      <c r="CY752" s="669"/>
      <c r="CZ752" s="669"/>
      <c r="DA752" s="548"/>
      <c r="DB752" s="548"/>
      <c r="DC752" s="548"/>
      <c r="DD752" s="669"/>
      <c r="DE752" s="669"/>
      <c r="DF752" s="669"/>
      <c r="DG752" s="669"/>
      <c r="DH752" s="669"/>
    </row>
    <row r="753" s="548" customFormat="1" ht="31" customHeight="1" spans="1:112">
      <c r="A753" s="660">
        <v>45911</v>
      </c>
      <c r="B753" s="661" t="s">
        <v>211</v>
      </c>
      <c r="C753" s="662" t="s">
        <v>212</v>
      </c>
      <c r="D753" s="663">
        <v>4500179336</v>
      </c>
      <c r="E753" s="662" t="s">
        <v>2117</v>
      </c>
      <c r="F753" s="663" t="s">
        <v>2134</v>
      </c>
      <c r="G753" s="662" t="s">
        <v>6337</v>
      </c>
      <c r="H753" s="662" t="s">
        <v>477</v>
      </c>
      <c r="I753" s="662">
        <v>720</v>
      </c>
      <c r="J753" s="662">
        <v>0</v>
      </c>
      <c r="K753" s="662">
        <v>6</v>
      </c>
      <c r="L753" s="665">
        <f t="shared" si="247"/>
        <v>120</v>
      </c>
      <c r="M753" s="666">
        <v>45975</v>
      </c>
      <c r="N753" s="666">
        <v>45971</v>
      </c>
      <c r="O753" s="664"/>
      <c r="P753" s="664" t="s">
        <v>113</v>
      </c>
      <c r="Q753" s="662"/>
      <c r="R753" s="667">
        <v>45911</v>
      </c>
      <c r="S753" s="667" t="s">
        <v>70</v>
      </c>
      <c r="T753" s="667" t="s">
        <v>7896</v>
      </c>
      <c r="U753" s="667"/>
      <c r="V753" s="667"/>
      <c r="W753" s="615"/>
      <c r="X753" s="661" t="s">
        <v>7897</v>
      </c>
      <c r="Y753" s="661" t="s">
        <v>1793</v>
      </c>
      <c r="Z753" s="661">
        <v>6.5552</v>
      </c>
      <c r="AA753" s="634">
        <f t="shared" si="264"/>
        <v>4719.744</v>
      </c>
      <c r="AC753" s="638" t="s">
        <v>2121</v>
      </c>
      <c r="AD753" s="661" t="s">
        <v>7568</v>
      </c>
      <c r="AE753" s="662" t="s">
        <v>82</v>
      </c>
      <c r="AF753" s="662"/>
      <c r="AG753" s="662"/>
      <c r="AH753" s="662"/>
      <c r="AI753" s="662">
        <v>720</v>
      </c>
      <c r="AJ753" s="662">
        <f t="shared" si="256"/>
        <v>0</v>
      </c>
      <c r="AK753" s="662"/>
      <c r="AL753" s="662"/>
      <c r="AM753" s="662"/>
      <c r="AN753" s="662"/>
      <c r="AO753" s="554">
        <f>I753*2</f>
        <v>1440</v>
      </c>
      <c r="AP753" s="554">
        <f>I753*2</f>
        <v>1440</v>
      </c>
      <c r="AR753" s="680"/>
      <c r="AS753" s="548"/>
      <c r="AT753" s="548"/>
      <c r="AU753" s="548"/>
      <c r="AV753" s="554">
        <f>I753*2</f>
        <v>1440</v>
      </c>
      <c r="AW753" s="669"/>
      <c r="AX753" s="548"/>
      <c r="AY753" s="548"/>
      <c r="AZ753" s="548"/>
      <c r="BA753" s="548"/>
      <c r="BB753" s="620">
        <f>I753/24*2</f>
        <v>60</v>
      </c>
      <c r="BC753" s="671"/>
      <c r="BD753" s="548"/>
      <c r="BE753" s="548"/>
      <c r="BF753" s="548"/>
      <c r="BY753" s="619"/>
      <c r="BZ753" s="554">
        <f>I753</f>
        <v>720</v>
      </c>
      <c r="CA753" s="672"/>
      <c r="CB753" s="567"/>
      <c r="CC753" s="673"/>
      <c r="CD753" s="669"/>
      <c r="CE753" s="669"/>
      <c r="CF753" s="548"/>
      <c r="CG753" s="548"/>
      <c r="CU753" s="554">
        <f t="shared" si="246"/>
        <v>0</v>
      </c>
      <c r="CV753" s="663">
        <f t="shared" si="261"/>
        <v>0</v>
      </c>
      <c r="CW753" s="663">
        <f t="shared" si="262"/>
        <v>0</v>
      </c>
      <c r="CX753" s="669"/>
      <c r="CY753" s="669"/>
      <c r="CZ753" s="669"/>
      <c r="DA753" s="548"/>
      <c r="DB753" s="548"/>
      <c r="DC753" s="548"/>
      <c r="DD753" s="669"/>
      <c r="DE753" s="669"/>
      <c r="DF753" s="669"/>
      <c r="DG753" s="669"/>
      <c r="DH753" s="669"/>
    </row>
    <row r="754" s="548" customFormat="1" ht="31" customHeight="1" spans="1:112">
      <c r="A754" s="660">
        <v>45930</v>
      </c>
      <c r="B754" s="661" t="s">
        <v>379</v>
      </c>
      <c r="C754" s="662" t="s">
        <v>98</v>
      </c>
      <c r="D754" s="663">
        <v>4500181018</v>
      </c>
      <c r="E754" s="662" t="s">
        <v>7898</v>
      </c>
      <c r="F754" s="663" t="s">
        <v>7899</v>
      </c>
      <c r="G754" s="662" t="s">
        <v>6036</v>
      </c>
      <c r="H754" s="662" t="s">
        <v>6033</v>
      </c>
      <c r="I754" s="662">
        <v>7000</v>
      </c>
      <c r="J754" s="662">
        <v>0</v>
      </c>
      <c r="K754" s="662">
        <v>50</v>
      </c>
      <c r="L754" s="665">
        <f t="shared" si="247"/>
        <v>140</v>
      </c>
      <c r="M754" s="666">
        <v>45978</v>
      </c>
      <c r="N754" s="666">
        <v>45974</v>
      </c>
      <c r="O754" s="664"/>
      <c r="P754" s="664" t="s">
        <v>113</v>
      </c>
      <c r="Q754" s="662"/>
      <c r="R754" s="667">
        <v>45947</v>
      </c>
      <c r="S754" s="667" t="s">
        <v>70</v>
      </c>
      <c r="T754" s="667" t="s">
        <v>70</v>
      </c>
      <c r="U754" s="667"/>
      <c r="V754" s="667"/>
      <c r="W754" s="615"/>
      <c r="X754" s="661" t="s">
        <v>1780</v>
      </c>
      <c r="Y754" s="661" t="s">
        <v>1781</v>
      </c>
      <c r="Z754" s="661">
        <v>0.5673</v>
      </c>
      <c r="AA754" s="634">
        <f t="shared" si="264"/>
        <v>3971.1</v>
      </c>
      <c r="AC754" s="638" t="s">
        <v>7900</v>
      </c>
      <c r="AD754" s="662" t="s">
        <v>6036</v>
      </c>
      <c r="AE754" s="662" t="s">
        <v>82</v>
      </c>
      <c r="AF754" s="662"/>
      <c r="AG754" s="662"/>
      <c r="AH754" s="662"/>
      <c r="AI754" s="662">
        <v>7000</v>
      </c>
      <c r="AJ754" s="662">
        <f t="shared" si="256"/>
        <v>0</v>
      </c>
      <c r="AK754" s="662"/>
      <c r="AL754" s="662"/>
      <c r="AM754" s="662"/>
      <c r="AN754" s="662">
        <f t="shared" si="265"/>
        <v>7000</v>
      </c>
      <c r="AO754" s="663"/>
      <c r="AP754" s="554">
        <f>I754</f>
        <v>7000</v>
      </c>
      <c r="AR754" s="680"/>
      <c r="AS754" s="548"/>
      <c r="AT754" s="548"/>
      <c r="AU754" s="554">
        <f>I754</f>
        <v>7000</v>
      </c>
      <c r="AV754" s="663"/>
      <c r="AW754" s="669"/>
      <c r="AX754" s="548"/>
      <c r="AY754" s="548"/>
      <c r="AZ754" s="548"/>
      <c r="BA754" s="548"/>
      <c r="BB754" s="670">
        <f t="shared" si="263"/>
        <v>291.666666666667</v>
      </c>
      <c r="BC754" s="671"/>
      <c r="BD754" s="548"/>
      <c r="BE754" s="548"/>
      <c r="BF754" s="548"/>
      <c r="BN754" s="663">
        <f>I754/25</f>
        <v>280</v>
      </c>
      <c r="BY754" s="669"/>
      <c r="BZ754" s="548"/>
      <c r="CA754" s="672"/>
      <c r="CB754" s="567"/>
      <c r="CC754" s="673"/>
      <c r="CD754" s="669"/>
      <c r="CE754" s="669"/>
      <c r="CF754" s="548"/>
      <c r="CG754" s="548"/>
      <c r="CU754" s="554">
        <f t="shared" si="246"/>
        <v>280</v>
      </c>
      <c r="CV754" s="663">
        <f t="shared" si="261"/>
        <v>0</v>
      </c>
      <c r="CW754" s="663">
        <f t="shared" si="262"/>
        <v>0</v>
      </c>
      <c r="CX754" s="669"/>
      <c r="CY754" s="669"/>
      <c r="CZ754" s="669"/>
      <c r="DA754" s="548"/>
      <c r="DB754" s="548"/>
      <c r="DC754" s="548"/>
      <c r="DD754" s="669"/>
      <c r="DE754" s="669"/>
      <c r="DF754" s="669"/>
      <c r="DG754" s="669"/>
      <c r="DH754" s="669"/>
    </row>
    <row r="755" s="548" customFormat="1" ht="31" customHeight="1" spans="1:112">
      <c r="A755" s="660">
        <v>45940</v>
      </c>
      <c r="B755" s="661" t="s">
        <v>7901</v>
      </c>
      <c r="C755" s="662" t="s">
        <v>170</v>
      </c>
      <c r="D755" s="663">
        <v>4500181432</v>
      </c>
      <c r="E755" s="662">
        <v>4551289134</v>
      </c>
      <c r="F755" s="663" t="s">
        <v>7902</v>
      </c>
      <c r="G755" s="662" t="s">
        <v>6166</v>
      </c>
      <c r="H755" s="662" t="s">
        <v>6094</v>
      </c>
      <c r="I755" s="662">
        <v>4251</v>
      </c>
      <c r="J755" s="662">
        <v>0</v>
      </c>
      <c r="K755" s="662">
        <v>13</v>
      </c>
      <c r="L755" s="665">
        <v>327</v>
      </c>
      <c r="M755" s="666">
        <v>45978</v>
      </c>
      <c r="N755" s="666">
        <v>45974</v>
      </c>
      <c r="O755" s="664"/>
      <c r="P755" s="664" t="s">
        <v>113</v>
      </c>
      <c r="Q755" s="662"/>
      <c r="R755" s="667">
        <v>45947</v>
      </c>
      <c r="S755" s="667" t="s">
        <v>70</v>
      </c>
      <c r="T755" s="667" t="s">
        <v>7903</v>
      </c>
      <c r="U755" s="667"/>
      <c r="V755" s="667"/>
      <c r="W755" s="615"/>
      <c r="X755" s="661" t="s">
        <v>7904</v>
      </c>
      <c r="Y755" s="661" t="s">
        <v>1318</v>
      </c>
      <c r="Z755" s="675">
        <v>0.9213</v>
      </c>
      <c r="AA755" s="634">
        <v>3916.4463</v>
      </c>
      <c r="AC755" s="638" t="s">
        <v>7905</v>
      </c>
      <c r="AD755" s="662" t="s">
        <v>6166</v>
      </c>
      <c r="AE755" s="662" t="s">
        <v>82</v>
      </c>
      <c r="AF755" s="662"/>
      <c r="AG755" s="662"/>
      <c r="AH755" s="662"/>
      <c r="AI755" s="662">
        <v>4251</v>
      </c>
      <c r="AJ755" s="662">
        <f t="shared" si="256"/>
        <v>0</v>
      </c>
      <c r="AK755" s="662"/>
      <c r="AL755" s="662"/>
      <c r="AM755" s="662"/>
      <c r="AN755" s="662">
        <v>4251</v>
      </c>
      <c r="AO755" s="663"/>
      <c r="AP755" s="548"/>
      <c r="AQ755" s="548"/>
      <c r="AR755" s="680"/>
      <c r="AS755" s="554">
        <f>I755</f>
        <v>4251</v>
      </c>
      <c r="AU755" s="554">
        <f>I755</f>
        <v>4251</v>
      </c>
      <c r="AV755" s="663"/>
      <c r="AW755" s="669"/>
      <c r="AX755" s="548"/>
      <c r="AY755" s="548"/>
      <c r="AZ755" s="548"/>
      <c r="BA755" s="548"/>
      <c r="BB755" s="670">
        <v>177.125</v>
      </c>
      <c r="BC755" s="671"/>
      <c r="BD755" s="548"/>
      <c r="BE755" s="548"/>
      <c r="BF755" s="548"/>
      <c r="BL755" s="663">
        <v>327</v>
      </c>
      <c r="BM755" s="548"/>
      <c r="BN755" s="548"/>
      <c r="BO755" s="548"/>
      <c r="BP755" s="548"/>
      <c r="BQ755" s="548"/>
      <c r="BR755" s="548"/>
      <c r="BS755" s="548"/>
      <c r="BT755" s="548"/>
      <c r="BY755" s="669"/>
      <c r="BZ755" s="548"/>
      <c r="CA755" s="672"/>
      <c r="CB755" s="567"/>
      <c r="CC755" s="673"/>
      <c r="CD755" s="669"/>
      <c r="CE755" s="669"/>
      <c r="CF755" s="548"/>
      <c r="CG755" s="548"/>
      <c r="CU755" s="554">
        <f t="shared" si="246"/>
        <v>0</v>
      </c>
      <c r="CV755" s="663">
        <f t="shared" si="261"/>
        <v>0</v>
      </c>
      <c r="CW755" s="663">
        <f t="shared" si="262"/>
        <v>0</v>
      </c>
      <c r="CX755" s="669"/>
      <c r="CY755" s="669"/>
      <c r="CZ755" s="669"/>
      <c r="DA755" s="548"/>
      <c r="DB755" s="548"/>
      <c r="DC755" s="548"/>
      <c r="DD755" s="669"/>
      <c r="DE755" s="669"/>
      <c r="DF755" s="669"/>
      <c r="DG755" s="669"/>
      <c r="DH755" s="669"/>
    </row>
    <row r="756" s="548" customFormat="1" ht="31" customHeight="1" spans="1:112">
      <c r="A756" s="660">
        <v>45930</v>
      </c>
      <c r="B756" s="661" t="s">
        <v>177</v>
      </c>
      <c r="C756" s="662" t="s">
        <v>170</v>
      </c>
      <c r="D756" s="663">
        <v>4500181143</v>
      </c>
      <c r="E756" s="662" t="s">
        <v>7906</v>
      </c>
      <c r="F756" s="663" t="s">
        <v>7907</v>
      </c>
      <c r="G756" s="662" t="s">
        <v>6166</v>
      </c>
      <c r="H756" s="662" t="s">
        <v>6094</v>
      </c>
      <c r="I756" s="662">
        <v>5005</v>
      </c>
      <c r="J756" s="662">
        <v>0</v>
      </c>
      <c r="K756" s="662">
        <v>13</v>
      </c>
      <c r="L756" s="665">
        <f>I756/K756</f>
        <v>385</v>
      </c>
      <c r="M756" s="666">
        <v>45979</v>
      </c>
      <c r="N756" s="666">
        <v>45975</v>
      </c>
      <c r="O756" s="664"/>
      <c r="P756" s="664" t="s">
        <v>113</v>
      </c>
      <c r="Q756" s="662"/>
      <c r="R756" s="667" t="s">
        <v>7908</v>
      </c>
      <c r="S756" s="667" t="s">
        <v>70</v>
      </c>
      <c r="T756" s="667" t="s">
        <v>70</v>
      </c>
      <c r="U756" s="667"/>
      <c r="V756" s="667"/>
      <c r="W756" s="615"/>
      <c r="X756" s="661" t="s">
        <v>7909</v>
      </c>
      <c r="Y756" s="661" t="s">
        <v>1318</v>
      </c>
      <c r="Z756" s="675">
        <v>0.9161</v>
      </c>
      <c r="AA756" s="634">
        <f>Z756*I756</f>
        <v>4585.0805</v>
      </c>
      <c r="AC756" s="638" t="s">
        <v>7910</v>
      </c>
      <c r="AD756" s="662" t="s">
        <v>6166</v>
      </c>
      <c r="AE756" s="662" t="s">
        <v>82</v>
      </c>
      <c r="AF756" s="662"/>
      <c r="AG756" s="662"/>
      <c r="AH756" s="662"/>
      <c r="AI756" s="662">
        <v>5005</v>
      </c>
      <c r="AJ756" s="662">
        <f t="shared" si="256"/>
        <v>0</v>
      </c>
      <c r="AK756" s="662"/>
      <c r="AL756" s="662"/>
      <c r="AM756" s="662"/>
      <c r="AN756" s="662">
        <f t="shared" ref="AN756:AN759" si="266">I756</f>
        <v>5005</v>
      </c>
      <c r="AO756" s="663"/>
      <c r="AP756" s="548"/>
      <c r="AQ756" s="548"/>
      <c r="AR756" s="680"/>
      <c r="AS756" s="554">
        <f>I756</f>
        <v>5005</v>
      </c>
      <c r="AU756" s="554">
        <f>I756</f>
        <v>5005</v>
      </c>
      <c r="AV756" s="663"/>
      <c r="AW756" s="669"/>
      <c r="AX756" s="548"/>
      <c r="AY756" s="548"/>
      <c r="AZ756" s="548"/>
      <c r="BA756" s="548"/>
      <c r="BB756" s="670">
        <f t="shared" ref="BB756:BB761" si="267">I756/24</f>
        <v>208.541666666667</v>
      </c>
      <c r="BC756" s="671"/>
      <c r="BD756" s="548"/>
      <c r="BE756" s="548"/>
      <c r="BF756" s="548"/>
      <c r="BL756" s="663">
        <f>I756/13</f>
        <v>385</v>
      </c>
      <c r="BY756" s="669"/>
      <c r="BZ756" s="548"/>
      <c r="CA756" s="672"/>
      <c r="CB756" s="567"/>
      <c r="CC756" s="673"/>
      <c r="CD756" s="669"/>
      <c r="CE756" s="669"/>
      <c r="CF756" s="548"/>
      <c r="CG756" s="548"/>
      <c r="CU756" s="554">
        <f t="shared" si="246"/>
        <v>0</v>
      </c>
      <c r="CV756" s="663">
        <f t="shared" si="261"/>
        <v>0</v>
      </c>
      <c r="CW756" s="663">
        <f t="shared" si="262"/>
        <v>0</v>
      </c>
      <c r="CX756" s="669"/>
      <c r="CY756" s="669"/>
      <c r="CZ756" s="669"/>
      <c r="DA756" s="548"/>
      <c r="DB756" s="548"/>
      <c r="DC756" s="548"/>
      <c r="DD756" s="669"/>
      <c r="DE756" s="669"/>
      <c r="DF756" s="669"/>
      <c r="DG756" s="669"/>
      <c r="DH756" s="669"/>
    </row>
    <row r="757" s="548" customFormat="1" ht="31" customHeight="1" spans="1:112">
      <c r="A757" s="660">
        <v>45941</v>
      </c>
      <c r="B757" s="661" t="s">
        <v>2506</v>
      </c>
      <c r="C757" s="662" t="s">
        <v>198</v>
      </c>
      <c r="D757" s="663">
        <v>4500181278</v>
      </c>
      <c r="E757" s="662">
        <v>5200007921</v>
      </c>
      <c r="F757" s="663" t="s">
        <v>7911</v>
      </c>
      <c r="G757" s="662" t="s">
        <v>6120</v>
      </c>
      <c r="H757" s="662" t="s">
        <v>6094</v>
      </c>
      <c r="I757" s="662">
        <v>4563</v>
      </c>
      <c r="J757" s="662">
        <v>0</v>
      </c>
      <c r="K757" s="662">
        <v>13</v>
      </c>
      <c r="L757" s="665">
        <f>I757/K757</f>
        <v>351</v>
      </c>
      <c r="M757" s="666">
        <v>45981</v>
      </c>
      <c r="N757" s="666">
        <v>45978</v>
      </c>
      <c r="O757" s="664"/>
      <c r="P757" s="664" t="s">
        <v>113</v>
      </c>
      <c r="Q757" s="662"/>
      <c r="R757" s="667">
        <v>45947</v>
      </c>
      <c r="S757" s="667" t="s">
        <v>70</v>
      </c>
      <c r="T757" s="667" t="s">
        <v>7912</v>
      </c>
      <c r="U757" s="667"/>
      <c r="V757" s="667"/>
      <c r="W757" s="615"/>
      <c r="X757" s="661" t="s">
        <v>7913</v>
      </c>
      <c r="Y757" s="661" t="s">
        <v>1237</v>
      </c>
      <c r="Z757" s="675">
        <v>0.9116</v>
      </c>
      <c r="AA757" s="634">
        <f>Z757*I757</f>
        <v>4159.6308</v>
      </c>
      <c r="AC757" s="635" t="s">
        <v>7914</v>
      </c>
      <c r="AD757" s="662" t="s">
        <v>6093</v>
      </c>
      <c r="AE757" s="662" t="s">
        <v>82</v>
      </c>
      <c r="AF757" s="662"/>
      <c r="AG757" s="662"/>
      <c r="AH757" s="662"/>
      <c r="AI757" s="662">
        <f>4563</f>
        <v>4563</v>
      </c>
      <c r="AJ757" s="662">
        <f t="shared" si="256"/>
        <v>0</v>
      </c>
      <c r="AK757" s="662"/>
      <c r="AL757" s="662"/>
      <c r="AM757" s="662"/>
      <c r="AN757" s="662"/>
      <c r="AO757" s="663">
        <f>I757</f>
        <v>4563</v>
      </c>
      <c r="AR757" s="680"/>
      <c r="AS757" s="548"/>
      <c r="AT757" s="554">
        <f>I757</f>
        <v>4563</v>
      </c>
      <c r="AV757" s="554">
        <f>I757</f>
        <v>4563</v>
      </c>
      <c r="AW757" s="669"/>
      <c r="AX757" s="548"/>
      <c r="AY757" s="548"/>
      <c r="AZ757" s="548"/>
      <c r="BA757" s="548"/>
      <c r="BB757" s="620">
        <f t="shared" si="267"/>
        <v>190.125</v>
      </c>
      <c r="BC757" s="671"/>
      <c r="BD757" s="548"/>
      <c r="BE757" s="548"/>
      <c r="BF757" s="548"/>
      <c r="BM757" s="663">
        <f>I757/13</f>
        <v>351</v>
      </c>
      <c r="BY757" s="669"/>
      <c r="BZ757" s="548"/>
      <c r="CA757" s="672"/>
      <c r="CB757" s="567"/>
      <c r="CC757" s="673"/>
      <c r="CD757" s="669"/>
      <c r="CE757" s="669"/>
      <c r="CF757" s="548"/>
      <c r="CG757" s="548"/>
      <c r="CU757" s="554">
        <f t="shared" si="246"/>
        <v>0</v>
      </c>
      <c r="CV757" s="663">
        <f t="shared" si="261"/>
        <v>0</v>
      </c>
      <c r="CW757" s="663">
        <f t="shared" si="262"/>
        <v>0</v>
      </c>
      <c r="CX757" s="669"/>
      <c r="CY757" s="669"/>
      <c r="CZ757" s="669"/>
      <c r="DA757" s="548"/>
      <c r="DB757" s="548"/>
      <c r="DC757" s="548"/>
      <c r="DD757" s="669"/>
      <c r="DE757" s="669"/>
      <c r="DF757" s="669"/>
      <c r="DG757" s="669"/>
      <c r="DH757" s="669"/>
    </row>
    <row r="758" s="548" customFormat="1" ht="31" customHeight="1" spans="1:112">
      <c r="A758" s="660">
        <v>45950</v>
      </c>
      <c r="B758" s="661" t="s">
        <v>143</v>
      </c>
      <c r="C758" s="662" t="s">
        <v>98</v>
      </c>
      <c r="D758" s="663">
        <v>4500182421</v>
      </c>
      <c r="E758" s="664">
        <v>952702261</v>
      </c>
      <c r="F758" s="663" t="s">
        <v>7915</v>
      </c>
      <c r="G758" s="662" t="s">
        <v>6063</v>
      </c>
      <c r="H758" s="662" t="s">
        <v>6064</v>
      </c>
      <c r="I758" s="662">
        <v>37440</v>
      </c>
      <c r="J758" s="662">
        <v>0</v>
      </c>
      <c r="K758" s="662">
        <v>16</v>
      </c>
      <c r="L758" s="665">
        <f>I758/K758</f>
        <v>2340</v>
      </c>
      <c r="M758" s="666">
        <v>45981</v>
      </c>
      <c r="N758" s="666">
        <v>45978</v>
      </c>
      <c r="O758" s="664" t="s">
        <v>2138</v>
      </c>
      <c r="P758" s="664" t="s">
        <v>113</v>
      </c>
      <c r="Q758" s="662"/>
      <c r="R758" s="667" t="s">
        <v>7064</v>
      </c>
      <c r="S758" s="667" t="s">
        <v>70</v>
      </c>
      <c r="T758" s="667" t="s">
        <v>148</v>
      </c>
      <c r="U758" s="667"/>
      <c r="V758" s="667"/>
      <c r="W758" s="615"/>
      <c r="X758" s="661" t="s">
        <v>7916</v>
      </c>
      <c r="Y758" s="661" t="s">
        <v>106</v>
      </c>
      <c r="Z758" s="661">
        <v>0.5783</v>
      </c>
      <c r="AA758" s="634">
        <f>Z758*I758</f>
        <v>21651.552</v>
      </c>
      <c r="AC758" s="638" t="s">
        <v>7917</v>
      </c>
      <c r="AD758" s="662" t="s">
        <v>6063</v>
      </c>
      <c r="AE758" s="662" t="s">
        <v>82</v>
      </c>
      <c r="AF758" s="662"/>
      <c r="AG758" s="662"/>
      <c r="AH758" s="662"/>
      <c r="AI758" s="662">
        <v>37440</v>
      </c>
      <c r="AJ758" s="662">
        <f t="shared" si="256"/>
        <v>0</v>
      </c>
      <c r="AK758" s="662"/>
      <c r="AL758" s="662"/>
      <c r="AM758" s="662"/>
      <c r="AN758" s="662">
        <f t="shared" si="266"/>
        <v>37440</v>
      </c>
      <c r="AO758" s="663"/>
      <c r="AP758" s="554">
        <f>I758</f>
        <v>37440</v>
      </c>
      <c r="AR758" s="680"/>
      <c r="AS758" s="548"/>
      <c r="AT758" s="548"/>
      <c r="AU758" s="554">
        <f>I758</f>
        <v>37440</v>
      </c>
      <c r="AV758" s="663"/>
      <c r="AW758" s="669"/>
      <c r="AX758" s="548"/>
      <c r="AY758" s="548"/>
      <c r="AZ758" s="548"/>
      <c r="BA758" s="548"/>
      <c r="BB758" s="670">
        <f t="shared" si="267"/>
        <v>1560</v>
      </c>
      <c r="BC758" s="671"/>
      <c r="BD758" s="548"/>
      <c r="BE758" s="548"/>
      <c r="BF758" s="548"/>
      <c r="BQ758" s="663">
        <f>I758/16</f>
        <v>2340</v>
      </c>
      <c r="BY758" s="669"/>
      <c r="BZ758" s="548"/>
      <c r="CA758" s="672"/>
      <c r="CB758" s="567"/>
      <c r="CC758" s="673"/>
      <c r="CD758" s="669"/>
      <c r="CE758" s="669"/>
      <c r="CF758" s="548"/>
      <c r="CG758" s="548"/>
      <c r="CU758" s="554">
        <f t="shared" si="246"/>
        <v>2340</v>
      </c>
      <c r="CV758" s="663">
        <f t="shared" si="261"/>
        <v>0</v>
      </c>
      <c r="CW758" s="663">
        <f t="shared" si="262"/>
        <v>0</v>
      </c>
      <c r="CX758" s="669"/>
      <c r="CY758" s="669"/>
      <c r="CZ758" s="669"/>
      <c r="DA758" s="548"/>
      <c r="DB758" s="548"/>
      <c r="DC758" s="548"/>
      <c r="DD758" s="669"/>
      <c r="DE758" s="669"/>
      <c r="DF758" s="669"/>
      <c r="DG758" s="669"/>
      <c r="DH758" s="669"/>
    </row>
    <row r="759" s="548" customFormat="1" ht="31" customHeight="1" spans="1:112">
      <c r="A759" s="660">
        <v>45950</v>
      </c>
      <c r="B759" s="661" t="s">
        <v>143</v>
      </c>
      <c r="C759" s="662" t="s">
        <v>98</v>
      </c>
      <c r="D759" s="663">
        <v>4500182421</v>
      </c>
      <c r="E759" s="664">
        <v>952702453</v>
      </c>
      <c r="F759" s="663" t="s">
        <v>7918</v>
      </c>
      <c r="G759" s="662" t="s">
        <v>6063</v>
      </c>
      <c r="H759" s="662" t="s">
        <v>6064</v>
      </c>
      <c r="I759" s="662">
        <v>29760</v>
      </c>
      <c r="J759" s="662">
        <v>0</v>
      </c>
      <c r="K759" s="662">
        <v>16</v>
      </c>
      <c r="L759" s="665">
        <f>I759/K759</f>
        <v>1860</v>
      </c>
      <c r="M759" s="666">
        <v>45981</v>
      </c>
      <c r="N759" s="666">
        <v>45978</v>
      </c>
      <c r="O759" s="664" t="s">
        <v>2183</v>
      </c>
      <c r="P759" s="664" t="s">
        <v>113</v>
      </c>
      <c r="Q759" s="662"/>
      <c r="R759" s="667" t="s">
        <v>7064</v>
      </c>
      <c r="S759" s="667" t="s">
        <v>70</v>
      </c>
      <c r="T759" s="667" t="s">
        <v>148</v>
      </c>
      <c r="U759" s="667"/>
      <c r="V759" s="667"/>
      <c r="W759" s="615"/>
      <c r="X759" s="661" t="s">
        <v>7916</v>
      </c>
      <c r="Y759" s="661" t="s">
        <v>106</v>
      </c>
      <c r="Z759" s="661">
        <v>0.5783</v>
      </c>
      <c r="AA759" s="634">
        <f>Z759*I759</f>
        <v>17210.208</v>
      </c>
      <c r="AC759" s="638"/>
      <c r="AD759" s="662" t="s">
        <v>6063</v>
      </c>
      <c r="AE759" s="662" t="s">
        <v>82</v>
      </c>
      <c r="AF759" s="662"/>
      <c r="AG759" s="662"/>
      <c r="AH759" s="662"/>
      <c r="AI759" s="662">
        <v>29760</v>
      </c>
      <c r="AJ759" s="662">
        <f t="shared" si="256"/>
        <v>0</v>
      </c>
      <c r="AK759" s="662"/>
      <c r="AL759" s="662"/>
      <c r="AM759" s="662"/>
      <c r="AN759" s="662">
        <f t="shared" si="266"/>
        <v>29760</v>
      </c>
      <c r="AO759" s="663"/>
      <c r="AP759" s="554">
        <f>I759</f>
        <v>29760</v>
      </c>
      <c r="AR759" s="680"/>
      <c r="AS759" s="548"/>
      <c r="AT759" s="548"/>
      <c r="AU759" s="554">
        <f>I759</f>
        <v>29760</v>
      </c>
      <c r="AV759" s="663"/>
      <c r="AW759" s="669"/>
      <c r="AX759" s="548"/>
      <c r="AY759" s="548"/>
      <c r="AZ759" s="548"/>
      <c r="BA759" s="548"/>
      <c r="BB759" s="670">
        <f t="shared" si="267"/>
        <v>1240</v>
      </c>
      <c r="BC759" s="671"/>
      <c r="BD759" s="548"/>
      <c r="BE759" s="548"/>
      <c r="BF759" s="548"/>
      <c r="BQ759" s="663">
        <f>I759/16</f>
        <v>1860</v>
      </c>
      <c r="BY759" s="669"/>
      <c r="BZ759" s="548"/>
      <c r="CA759" s="672"/>
      <c r="CB759" s="567"/>
      <c r="CC759" s="673"/>
      <c r="CD759" s="669"/>
      <c r="CE759" s="669"/>
      <c r="CF759" s="548"/>
      <c r="CG759" s="548"/>
      <c r="CU759" s="554">
        <f t="shared" si="246"/>
        <v>1860</v>
      </c>
      <c r="CV759" s="663">
        <f t="shared" si="261"/>
        <v>0</v>
      </c>
      <c r="CW759" s="663">
        <f t="shared" si="262"/>
        <v>0</v>
      </c>
      <c r="CX759" s="669"/>
      <c r="CY759" s="669"/>
      <c r="CZ759" s="669"/>
      <c r="DA759" s="548"/>
      <c r="DB759" s="548"/>
      <c r="DC759" s="548"/>
      <c r="DD759" s="669"/>
      <c r="DE759" s="669"/>
      <c r="DF759" s="669"/>
      <c r="DG759" s="669"/>
      <c r="DH759" s="669"/>
    </row>
    <row r="760" s="548" customFormat="1" ht="31" customHeight="1" spans="1:112">
      <c r="A760" s="660">
        <v>45925</v>
      </c>
      <c r="B760" s="661" t="s">
        <v>4656</v>
      </c>
      <c r="C760" s="662" t="s">
        <v>154</v>
      </c>
      <c r="D760" s="663">
        <v>4500180408</v>
      </c>
      <c r="E760" s="662">
        <v>4500189141</v>
      </c>
      <c r="F760" s="663" t="s">
        <v>7919</v>
      </c>
      <c r="G760" s="662" t="s">
        <v>6040</v>
      </c>
      <c r="H760" s="662" t="s">
        <v>6041</v>
      </c>
      <c r="I760" s="662">
        <v>780</v>
      </c>
      <c r="J760" s="662">
        <v>0</v>
      </c>
      <c r="K760" s="662">
        <v>52</v>
      </c>
      <c r="L760" s="665">
        <f>I760/K760</f>
        <v>15</v>
      </c>
      <c r="M760" s="666">
        <v>45985</v>
      </c>
      <c r="N760" s="666">
        <v>45981</v>
      </c>
      <c r="O760" s="664"/>
      <c r="P760" s="664" t="s">
        <v>113</v>
      </c>
      <c r="Q760" s="662"/>
      <c r="R760" s="667">
        <v>45926</v>
      </c>
      <c r="S760" s="667" t="s">
        <v>70</v>
      </c>
      <c r="T760" s="667" t="s">
        <v>7920</v>
      </c>
      <c r="U760" s="667"/>
      <c r="V760" s="667"/>
      <c r="W760" s="615"/>
      <c r="X760" s="661" t="s">
        <v>7921</v>
      </c>
      <c r="Y760" s="661" t="s">
        <v>167</v>
      </c>
      <c r="Z760" s="675">
        <v>0.9181</v>
      </c>
      <c r="AA760" s="634">
        <f>Z760*I760</f>
        <v>716.118</v>
      </c>
      <c r="AC760" s="691" t="s">
        <v>7922</v>
      </c>
      <c r="AD760" s="662" t="s">
        <v>6040</v>
      </c>
      <c r="AE760" s="662" t="s">
        <v>82</v>
      </c>
      <c r="AF760" s="662"/>
      <c r="AG760" s="662"/>
      <c r="AH760" s="662"/>
      <c r="AI760" s="662">
        <f>728+52</f>
        <v>780</v>
      </c>
      <c r="AJ760" s="662">
        <f t="shared" si="256"/>
        <v>0</v>
      </c>
      <c r="AK760" s="662"/>
      <c r="AL760" s="662"/>
      <c r="AM760" s="662"/>
      <c r="AN760" s="662"/>
      <c r="AO760" s="663">
        <f>I760</f>
        <v>780</v>
      </c>
      <c r="AR760" s="680"/>
      <c r="AS760" s="548"/>
      <c r="AT760" s="554">
        <f>I760</f>
        <v>780</v>
      </c>
      <c r="AV760" s="554">
        <f>I760</f>
        <v>780</v>
      </c>
      <c r="AW760" s="669"/>
      <c r="AX760" s="548"/>
      <c r="AY760" s="548"/>
      <c r="AZ760" s="548"/>
      <c r="BA760" s="548"/>
      <c r="BB760" s="620">
        <f t="shared" si="267"/>
        <v>32.5</v>
      </c>
      <c r="BC760" s="671"/>
      <c r="BD760" s="548"/>
      <c r="BE760" s="548"/>
      <c r="BF760" s="548"/>
      <c r="BM760" s="663">
        <f>I760/13</f>
        <v>60</v>
      </c>
      <c r="BY760" s="669"/>
      <c r="BZ760" s="548"/>
      <c r="CA760" s="672"/>
      <c r="CB760" s="567"/>
      <c r="CC760" s="673"/>
      <c r="CD760" s="669"/>
      <c r="CE760" s="669"/>
      <c r="CF760" s="548"/>
      <c r="CG760" s="548"/>
      <c r="CU760" s="554">
        <f t="shared" si="246"/>
        <v>0</v>
      </c>
      <c r="CV760" s="663">
        <f t="shared" si="261"/>
        <v>0</v>
      </c>
      <c r="CW760" s="663">
        <f t="shared" si="262"/>
        <v>0</v>
      </c>
      <c r="CX760" s="669"/>
      <c r="CY760" s="669"/>
      <c r="CZ760" s="669"/>
      <c r="DA760" s="548"/>
      <c r="DB760" s="548"/>
      <c r="DC760" s="548"/>
      <c r="DD760" s="669"/>
      <c r="DE760" s="669"/>
      <c r="DF760" s="669"/>
      <c r="DG760" s="669"/>
      <c r="DH760" s="669"/>
    </row>
    <row r="761" s="548" customFormat="1" ht="31" customHeight="1" spans="1:112">
      <c r="A761" s="660">
        <v>45944</v>
      </c>
      <c r="B761" s="661" t="s">
        <v>1906</v>
      </c>
      <c r="C761" s="662" t="s">
        <v>154</v>
      </c>
      <c r="D761" s="663">
        <v>4500181762</v>
      </c>
      <c r="E761" s="662">
        <v>5200007966</v>
      </c>
      <c r="F761" s="663" t="s">
        <v>7923</v>
      </c>
      <c r="G761" s="662" t="s">
        <v>6120</v>
      </c>
      <c r="H761" s="662" t="s">
        <v>6094</v>
      </c>
      <c r="I761" s="662">
        <v>4810</v>
      </c>
      <c r="J761" s="662">
        <v>0</v>
      </c>
      <c r="K761" s="662">
        <v>13</v>
      </c>
      <c r="L761" s="665">
        <f t="shared" ref="L761:L797" si="268">I761/K761</f>
        <v>370</v>
      </c>
      <c r="M761" s="666">
        <v>45986</v>
      </c>
      <c r="N761" s="666">
        <v>45982</v>
      </c>
      <c r="O761" s="664"/>
      <c r="P761" s="664" t="s">
        <v>113</v>
      </c>
      <c r="Q761" s="662"/>
      <c r="R761" s="667">
        <v>45950</v>
      </c>
      <c r="S761" s="667" t="s">
        <v>70</v>
      </c>
      <c r="T761" s="667" t="s">
        <v>6121</v>
      </c>
      <c r="U761" s="667"/>
      <c r="V761" s="667"/>
      <c r="W761" s="615"/>
      <c r="X761" s="661" t="s">
        <v>7924</v>
      </c>
      <c r="Y761" s="661" t="s">
        <v>1237</v>
      </c>
      <c r="Z761" s="675">
        <v>0.8947</v>
      </c>
      <c r="AA761" s="634">
        <f t="shared" ref="AA761:AA767" si="269">Z761*I761</f>
        <v>4303.507</v>
      </c>
      <c r="AC761" s="638" t="s">
        <v>7925</v>
      </c>
      <c r="AD761" s="662" t="s">
        <v>6093</v>
      </c>
      <c r="AE761" s="662" t="s">
        <v>82</v>
      </c>
      <c r="AF761" s="662"/>
      <c r="AG761" s="662"/>
      <c r="AH761" s="662"/>
      <c r="AI761" s="662">
        <v>4810</v>
      </c>
      <c r="AJ761" s="662">
        <f t="shared" si="256"/>
        <v>0</v>
      </c>
      <c r="AK761" s="662"/>
      <c r="AL761" s="662"/>
      <c r="AM761" s="662"/>
      <c r="AN761" s="662"/>
      <c r="AO761" s="663">
        <f>I761</f>
        <v>4810</v>
      </c>
      <c r="AR761" s="680"/>
      <c r="AS761" s="548"/>
      <c r="AT761" s="554">
        <f>I761</f>
        <v>4810</v>
      </c>
      <c r="AV761" s="554">
        <f>I761</f>
        <v>4810</v>
      </c>
      <c r="AW761" s="669"/>
      <c r="AX761" s="548"/>
      <c r="AY761" s="548"/>
      <c r="AZ761" s="548"/>
      <c r="BA761" s="548"/>
      <c r="BB761" s="620">
        <f t="shared" si="267"/>
        <v>200.416666666667</v>
      </c>
      <c r="BC761" s="671"/>
      <c r="BD761" s="548"/>
      <c r="BE761" s="548"/>
      <c r="BF761" s="548"/>
      <c r="BM761" s="663">
        <f>I761/13</f>
        <v>370</v>
      </c>
      <c r="BY761" s="669"/>
      <c r="BZ761" s="548"/>
      <c r="CA761" s="672"/>
      <c r="CB761" s="567"/>
      <c r="CC761" s="673"/>
      <c r="CD761" s="669"/>
      <c r="CE761" s="669"/>
      <c r="CF761" s="548"/>
      <c r="CG761" s="548"/>
      <c r="CU761" s="554">
        <f t="shared" si="246"/>
        <v>0</v>
      </c>
      <c r="CV761" s="663">
        <f t="shared" ref="CV761:CV785" si="270">CK761+CL761+CM761+CN761+CO761+CQ761+CP761</f>
        <v>0</v>
      </c>
      <c r="CW761" s="663">
        <f t="shared" ref="CW761:CW785" si="271">CI761+CJ761</f>
        <v>0</v>
      </c>
      <c r="CX761" s="669"/>
      <c r="CY761" s="669"/>
      <c r="CZ761" s="669"/>
      <c r="DA761" s="548"/>
      <c r="DB761" s="548"/>
      <c r="DC761" s="548"/>
      <c r="DD761" s="669"/>
      <c r="DE761" s="669"/>
      <c r="DF761" s="669"/>
      <c r="DG761" s="669"/>
      <c r="DH761" s="669"/>
    </row>
    <row r="762" s="548" customFormat="1" ht="31" customHeight="1" spans="1:112">
      <c r="A762" s="660">
        <v>45905</v>
      </c>
      <c r="B762" s="661" t="s">
        <v>1800</v>
      </c>
      <c r="C762" s="662" t="s">
        <v>744</v>
      </c>
      <c r="D762" s="663">
        <v>4500178919</v>
      </c>
      <c r="E762" s="662">
        <v>5000001988</v>
      </c>
      <c r="F762" s="663" t="s">
        <v>2238</v>
      </c>
      <c r="G762" s="662" t="s">
        <v>6337</v>
      </c>
      <c r="H762" s="662" t="s">
        <v>477</v>
      </c>
      <c r="I762" s="662">
        <v>10008</v>
      </c>
      <c r="J762" s="662">
        <v>0</v>
      </c>
      <c r="K762" s="662">
        <v>6</v>
      </c>
      <c r="L762" s="665">
        <f t="shared" si="268"/>
        <v>1668</v>
      </c>
      <c r="M762" s="666">
        <v>45986</v>
      </c>
      <c r="N762" s="666">
        <v>45982</v>
      </c>
      <c r="O762" s="664" t="s">
        <v>7926</v>
      </c>
      <c r="P762" s="664" t="s">
        <v>113</v>
      </c>
      <c r="Q762" s="662"/>
      <c r="R762" s="667">
        <v>45960</v>
      </c>
      <c r="S762" s="667" t="s">
        <v>70</v>
      </c>
      <c r="T762" s="667" t="s">
        <v>7927</v>
      </c>
      <c r="U762" s="667"/>
      <c r="V762" s="667"/>
      <c r="W762" s="615"/>
      <c r="X762" s="661" t="s">
        <v>2795</v>
      </c>
      <c r="Y762" s="661" t="s">
        <v>1805</v>
      </c>
      <c r="Z762" s="661">
        <v>6.3409</v>
      </c>
      <c r="AA762" s="634">
        <f t="shared" si="269"/>
        <v>63459.7272</v>
      </c>
      <c r="AC762" s="638" t="s">
        <v>2216</v>
      </c>
      <c r="AD762" s="683" t="s">
        <v>2241</v>
      </c>
      <c r="AE762" s="662" t="s">
        <v>82</v>
      </c>
      <c r="AF762" s="662"/>
      <c r="AG762" s="662"/>
      <c r="AH762" s="662"/>
      <c r="AI762" s="662">
        <f>5472+4536</f>
        <v>10008</v>
      </c>
      <c r="AJ762" s="662">
        <f t="shared" si="256"/>
        <v>0</v>
      </c>
      <c r="AK762" s="662"/>
      <c r="AL762" s="662"/>
      <c r="AM762" s="662"/>
      <c r="AN762" s="662"/>
      <c r="AO762" s="554">
        <f>I762*2</f>
        <v>20016</v>
      </c>
      <c r="AP762" s="554">
        <f>I762*2</f>
        <v>20016</v>
      </c>
      <c r="AR762" s="680"/>
      <c r="AS762" s="548"/>
      <c r="AT762" s="548"/>
      <c r="AU762" s="548"/>
      <c r="AV762" s="663"/>
      <c r="AW762" s="669"/>
      <c r="AX762" s="663">
        <f>I762*2</f>
        <v>20016</v>
      </c>
      <c r="BA762" s="671">
        <f>I762/24*2</f>
        <v>834</v>
      </c>
      <c r="BB762" s="670"/>
      <c r="BC762" s="671"/>
      <c r="BD762" s="548"/>
      <c r="BE762" s="548"/>
      <c r="BF762" s="548"/>
      <c r="BY762" s="619"/>
      <c r="BZ762" s="554">
        <f>I762</f>
        <v>10008</v>
      </c>
      <c r="CA762" s="672"/>
      <c r="CB762" s="567"/>
      <c r="CC762" s="673"/>
      <c r="CD762" s="669"/>
      <c r="CE762" s="669"/>
      <c r="CF762" s="548"/>
      <c r="CG762" s="548"/>
      <c r="CU762" s="554">
        <f t="shared" si="246"/>
        <v>0</v>
      </c>
      <c r="CV762" s="663">
        <f t="shared" si="270"/>
        <v>0</v>
      </c>
      <c r="CW762" s="663">
        <f t="shared" si="271"/>
        <v>0</v>
      </c>
      <c r="CX762" s="669"/>
      <c r="CY762" s="669"/>
      <c r="CZ762" s="669"/>
      <c r="DA762" s="548"/>
      <c r="DB762" s="548"/>
      <c r="DC762" s="548"/>
      <c r="DD762" s="669"/>
      <c r="DE762" s="669"/>
      <c r="DF762" s="669"/>
      <c r="DG762" s="669"/>
      <c r="DH762" s="669"/>
    </row>
    <row r="763" s="548" customFormat="1" ht="31" customHeight="1" spans="1:112">
      <c r="A763" s="660">
        <v>45909</v>
      </c>
      <c r="B763" s="661" t="s">
        <v>1800</v>
      </c>
      <c r="C763" s="662" t="s">
        <v>744</v>
      </c>
      <c r="D763" s="663">
        <v>4500178919</v>
      </c>
      <c r="E763" s="662">
        <v>5000001988</v>
      </c>
      <c r="F763" s="663" t="s">
        <v>2242</v>
      </c>
      <c r="G763" s="662" t="s">
        <v>6337</v>
      </c>
      <c r="H763" s="662" t="s">
        <v>477</v>
      </c>
      <c r="I763" s="662">
        <v>660</v>
      </c>
      <c r="J763" s="662">
        <v>0</v>
      </c>
      <c r="K763" s="662">
        <v>6</v>
      </c>
      <c r="L763" s="665">
        <f t="shared" si="268"/>
        <v>110</v>
      </c>
      <c r="M763" s="666">
        <v>45986</v>
      </c>
      <c r="N763" s="666">
        <v>45982</v>
      </c>
      <c r="O763" s="664"/>
      <c r="P763" s="664" t="s">
        <v>113</v>
      </c>
      <c r="Q763" s="662"/>
      <c r="R763" s="667">
        <v>45960</v>
      </c>
      <c r="S763" s="667" t="s">
        <v>70</v>
      </c>
      <c r="T763" s="667" t="s">
        <v>7927</v>
      </c>
      <c r="U763" s="667"/>
      <c r="V763" s="667"/>
      <c r="W763" s="615"/>
      <c r="X763" s="661" t="s">
        <v>2795</v>
      </c>
      <c r="Y763" s="661" t="s">
        <v>1805</v>
      </c>
      <c r="Z763" s="661">
        <v>6.3409</v>
      </c>
      <c r="AA763" s="634">
        <f t="shared" si="269"/>
        <v>4184.994</v>
      </c>
      <c r="AC763" s="638" t="s">
        <v>2216</v>
      </c>
      <c r="AD763" s="683" t="s">
        <v>2241</v>
      </c>
      <c r="AE763" s="662" t="s">
        <v>82</v>
      </c>
      <c r="AF763" s="662"/>
      <c r="AG763" s="662"/>
      <c r="AH763" s="662"/>
      <c r="AI763" s="662">
        <v>660</v>
      </c>
      <c r="AJ763" s="662">
        <f t="shared" si="256"/>
        <v>0</v>
      </c>
      <c r="AK763" s="662"/>
      <c r="AL763" s="662"/>
      <c r="AM763" s="662"/>
      <c r="AN763" s="662"/>
      <c r="AO763" s="554">
        <f>I763*2</f>
        <v>1320</v>
      </c>
      <c r="AP763" s="554">
        <f>I763*2</f>
        <v>1320</v>
      </c>
      <c r="AR763" s="680"/>
      <c r="AS763" s="548"/>
      <c r="AT763" s="548"/>
      <c r="AU763" s="548"/>
      <c r="AV763" s="663"/>
      <c r="AW763" s="669"/>
      <c r="AX763" s="663">
        <f>I763*2</f>
        <v>1320</v>
      </c>
      <c r="BA763" s="671">
        <f>I763/24*2</f>
        <v>55</v>
      </c>
      <c r="BB763" s="670"/>
      <c r="BC763" s="671"/>
      <c r="BD763" s="548"/>
      <c r="BE763" s="548"/>
      <c r="BF763" s="548"/>
      <c r="BM763" s="692"/>
      <c r="BN763" s="548"/>
      <c r="BO763" s="548"/>
      <c r="BP763" s="548"/>
      <c r="BQ763" s="548"/>
      <c r="BR763" s="548"/>
      <c r="BS763" s="548"/>
      <c r="BT763" s="548"/>
      <c r="BY763" s="619"/>
      <c r="BZ763" s="554">
        <f>I763</f>
        <v>660</v>
      </c>
      <c r="CA763" s="672"/>
      <c r="CB763" s="567"/>
      <c r="CC763" s="673"/>
      <c r="CD763" s="669"/>
      <c r="CE763" s="669"/>
      <c r="CF763" s="548"/>
      <c r="CG763" s="548"/>
      <c r="CU763" s="554">
        <f t="shared" si="246"/>
        <v>0</v>
      </c>
      <c r="CV763" s="663">
        <f t="shared" si="270"/>
        <v>0</v>
      </c>
      <c r="CW763" s="663">
        <f t="shared" si="271"/>
        <v>0</v>
      </c>
      <c r="CX763" s="669"/>
      <c r="CY763" s="669"/>
      <c r="CZ763" s="669"/>
      <c r="DA763" s="548"/>
      <c r="DB763" s="548"/>
      <c r="DC763" s="548"/>
      <c r="DD763" s="669"/>
      <c r="DE763" s="669"/>
      <c r="DF763" s="669"/>
      <c r="DG763" s="669"/>
      <c r="DH763" s="669"/>
    </row>
    <row r="764" s="548" customFormat="1" ht="31" customHeight="1" spans="1:112">
      <c r="A764" s="660">
        <v>45911</v>
      </c>
      <c r="B764" s="661" t="s">
        <v>2219</v>
      </c>
      <c r="C764" s="662" t="s">
        <v>2220</v>
      </c>
      <c r="D764" s="663">
        <v>4500179260</v>
      </c>
      <c r="E764" s="662" t="s">
        <v>2221</v>
      </c>
      <c r="F764" s="663" t="s">
        <v>7928</v>
      </c>
      <c r="G764" s="662" t="s">
        <v>7929</v>
      </c>
      <c r="H764" s="662" t="s">
        <v>7930</v>
      </c>
      <c r="I764" s="662">
        <v>10000</v>
      </c>
      <c r="J764" s="662">
        <v>0</v>
      </c>
      <c r="K764" s="662">
        <v>8</v>
      </c>
      <c r="L764" s="665">
        <f t="shared" si="268"/>
        <v>1250</v>
      </c>
      <c r="M764" s="666">
        <v>45986</v>
      </c>
      <c r="N764" s="666">
        <v>45982</v>
      </c>
      <c r="O764" s="664"/>
      <c r="P764" s="664" t="s">
        <v>113</v>
      </c>
      <c r="Q764" s="662"/>
      <c r="R764" s="667">
        <v>45967</v>
      </c>
      <c r="S764" s="667" t="s">
        <v>70</v>
      </c>
      <c r="T764" s="667" t="s">
        <v>2223</v>
      </c>
      <c r="U764" s="667"/>
      <c r="V764" s="667"/>
      <c r="W764" s="615"/>
      <c r="X764" s="661" t="s">
        <v>7931</v>
      </c>
      <c r="Y764" s="661" t="s">
        <v>943</v>
      </c>
      <c r="Z764" s="661">
        <v>0.9681</v>
      </c>
      <c r="AA764" s="634">
        <f t="shared" si="269"/>
        <v>9681</v>
      </c>
      <c r="AC764" s="638" t="s">
        <v>2225</v>
      </c>
      <c r="AD764" s="662" t="s">
        <v>7929</v>
      </c>
      <c r="AE764" s="662" t="s">
        <v>82</v>
      </c>
      <c r="AF764" s="662"/>
      <c r="AG764" s="662"/>
      <c r="AH764" s="662"/>
      <c r="AI764" s="662">
        <f>3280+6720</f>
        <v>10000</v>
      </c>
      <c r="AJ764" s="662">
        <f t="shared" si="256"/>
        <v>0</v>
      </c>
      <c r="AK764" s="662"/>
      <c r="AL764" s="662"/>
      <c r="AM764" s="662"/>
      <c r="AN764" s="662"/>
      <c r="AO764" s="663">
        <f t="shared" ref="AO764:AO768" si="272">I764</f>
        <v>10000</v>
      </c>
      <c r="AR764" s="680"/>
      <c r="AS764" s="548"/>
      <c r="AT764" s="554">
        <f>I764</f>
        <v>10000</v>
      </c>
      <c r="AV764" s="554">
        <f>I764</f>
        <v>10000</v>
      </c>
      <c r="AW764" s="669"/>
      <c r="AX764" s="548"/>
      <c r="AY764" s="548"/>
      <c r="AZ764" s="548"/>
      <c r="BA764" s="548"/>
      <c r="BB764" s="620">
        <f>I764/24</f>
        <v>416.666666666667</v>
      </c>
      <c r="BC764" s="671"/>
      <c r="BD764" s="548"/>
      <c r="BE764" s="548"/>
      <c r="BF764" s="548"/>
      <c r="BS764" s="663">
        <f>L764</f>
        <v>1250</v>
      </c>
      <c r="BY764" s="669"/>
      <c r="BZ764" s="548"/>
      <c r="CA764" s="672"/>
      <c r="CB764" s="567"/>
      <c r="CC764" s="673"/>
      <c r="CD764" s="669"/>
      <c r="CE764" s="669"/>
      <c r="CF764" s="548"/>
      <c r="CG764" s="548"/>
      <c r="CU764" s="554">
        <f t="shared" si="246"/>
        <v>0</v>
      </c>
      <c r="CV764" s="663">
        <f t="shared" si="270"/>
        <v>0</v>
      </c>
      <c r="CW764" s="663">
        <f t="shared" si="271"/>
        <v>0</v>
      </c>
      <c r="CX764" s="669"/>
      <c r="CY764" s="669"/>
      <c r="CZ764" s="669"/>
      <c r="DA764" s="548"/>
      <c r="DB764" s="548"/>
      <c r="DC764" s="548"/>
      <c r="DD764" s="669"/>
      <c r="DE764" s="669"/>
      <c r="DF764" s="669"/>
      <c r="DG764" s="669"/>
      <c r="DH764" s="669"/>
    </row>
    <row r="765" s="548" customFormat="1" ht="31" customHeight="1" spans="1:112">
      <c r="A765" s="660">
        <v>45951</v>
      </c>
      <c r="B765" s="661" t="s">
        <v>404</v>
      </c>
      <c r="C765" s="662" t="s">
        <v>278</v>
      </c>
      <c r="D765" s="663">
        <v>4500182590</v>
      </c>
      <c r="E765" s="662" t="s">
        <v>7932</v>
      </c>
      <c r="F765" s="663" t="s">
        <v>7933</v>
      </c>
      <c r="G765" s="662" t="s">
        <v>6025</v>
      </c>
      <c r="H765" s="662" t="s">
        <v>6026</v>
      </c>
      <c r="I765" s="662">
        <v>1512</v>
      </c>
      <c r="J765" s="662">
        <v>0</v>
      </c>
      <c r="K765" s="662">
        <v>24</v>
      </c>
      <c r="L765" s="665">
        <f t="shared" si="268"/>
        <v>63</v>
      </c>
      <c r="M765" s="666">
        <v>45986</v>
      </c>
      <c r="N765" s="666">
        <v>45982</v>
      </c>
      <c r="O765" s="664"/>
      <c r="P765" s="664" t="s">
        <v>113</v>
      </c>
      <c r="Q765" s="662"/>
      <c r="R765" s="667">
        <v>45951</v>
      </c>
      <c r="S765" s="667" t="s">
        <v>70</v>
      </c>
      <c r="T765" s="667" t="s">
        <v>2495</v>
      </c>
      <c r="U765" s="667"/>
      <c r="V765" s="667"/>
      <c r="W765" s="615"/>
      <c r="X765" s="661" t="s">
        <v>7934</v>
      </c>
      <c r="Y765" s="661" t="s">
        <v>505</v>
      </c>
      <c r="Z765" s="661">
        <v>0.8656</v>
      </c>
      <c r="AA765" s="634">
        <f t="shared" si="269"/>
        <v>1308.7872</v>
      </c>
      <c r="AC765" s="638" t="s">
        <v>7935</v>
      </c>
      <c r="AD765" s="662" t="s">
        <v>6025</v>
      </c>
      <c r="AE765" s="662" t="s">
        <v>82</v>
      </c>
      <c r="AF765" s="662"/>
      <c r="AG765" s="662"/>
      <c r="AH765" s="662"/>
      <c r="AI765" s="662">
        <f>1488+24</f>
        <v>1512</v>
      </c>
      <c r="AJ765" s="662">
        <f t="shared" si="256"/>
        <v>0</v>
      </c>
      <c r="AK765" s="662"/>
      <c r="AL765" s="662"/>
      <c r="AM765" s="662"/>
      <c r="AN765" s="662"/>
      <c r="AO765" s="671">
        <f t="shared" si="272"/>
        <v>1512</v>
      </c>
      <c r="AR765" s="680"/>
      <c r="AS765" s="548"/>
      <c r="AT765" s="554">
        <f>I765</f>
        <v>1512</v>
      </c>
      <c r="AV765" s="554">
        <f>I765</f>
        <v>1512</v>
      </c>
      <c r="AW765" s="669"/>
      <c r="AX765" s="548"/>
      <c r="AY765" s="548"/>
      <c r="AZ765" s="548"/>
      <c r="BA765" s="548"/>
      <c r="BB765" s="620">
        <f>I765/24</f>
        <v>63</v>
      </c>
      <c r="BC765" s="671"/>
      <c r="BD765" s="548"/>
      <c r="BE765" s="548"/>
      <c r="BF765" s="548"/>
      <c r="BY765" s="669"/>
      <c r="BZ765" s="548"/>
      <c r="CA765" s="672"/>
      <c r="CB765" s="567"/>
      <c r="CC765" s="673"/>
      <c r="CD765" s="669"/>
      <c r="CE765" s="669"/>
      <c r="CF765" s="548"/>
      <c r="CG765" s="548"/>
      <c r="CU765" s="554">
        <f t="shared" si="246"/>
        <v>0</v>
      </c>
      <c r="CV765" s="663">
        <f t="shared" si="270"/>
        <v>0</v>
      </c>
      <c r="CW765" s="663">
        <f t="shared" si="271"/>
        <v>0</v>
      </c>
      <c r="CX765" s="669"/>
      <c r="CY765" s="669"/>
      <c r="CZ765" s="669"/>
      <c r="DA765" s="548"/>
      <c r="DB765" s="548"/>
      <c r="DC765" s="548"/>
      <c r="DD765" s="669"/>
      <c r="DE765" s="669"/>
      <c r="DF765" s="669"/>
      <c r="DG765" s="669"/>
      <c r="DH765" s="669"/>
    </row>
    <row r="766" s="548" customFormat="1" ht="31" customHeight="1" spans="1:112">
      <c r="A766" s="660">
        <v>45952</v>
      </c>
      <c r="B766" s="661" t="s">
        <v>2575</v>
      </c>
      <c r="C766" s="662" t="s">
        <v>98</v>
      </c>
      <c r="D766" s="663">
        <v>4500182778</v>
      </c>
      <c r="E766" s="662" t="s">
        <v>7936</v>
      </c>
      <c r="F766" s="663" t="s">
        <v>7937</v>
      </c>
      <c r="G766" s="662" t="s">
        <v>6032</v>
      </c>
      <c r="H766" s="662" t="s">
        <v>6033</v>
      </c>
      <c r="I766" s="662">
        <v>1248</v>
      </c>
      <c r="J766" s="662">
        <v>0</v>
      </c>
      <c r="K766" s="662">
        <v>52</v>
      </c>
      <c r="L766" s="665">
        <f t="shared" si="268"/>
        <v>24</v>
      </c>
      <c r="M766" s="666">
        <v>45987</v>
      </c>
      <c r="N766" s="666">
        <v>45985</v>
      </c>
      <c r="O766" s="664"/>
      <c r="P766" s="664" t="s">
        <v>113</v>
      </c>
      <c r="Q766" s="662"/>
      <c r="R766" s="667">
        <v>45965</v>
      </c>
      <c r="S766" s="667" t="s">
        <v>7938</v>
      </c>
      <c r="T766" s="667" t="s">
        <v>454</v>
      </c>
      <c r="U766" s="667"/>
      <c r="V766" s="667"/>
      <c r="W766" s="615"/>
      <c r="X766" s="661" t="s">
        <v>2579</v>
      </c>
      <c r="Y766" s="661" t="s">
        <v>882</v>
      </c>
      <c r="Z766" s="675">
        <v>0.5536</v>
      </c>
      <c r="AA766" s="634">
        <f t="shared" si="269"/>
        <v>690.8928</v>
      </c>
      <c r="AC766" s="638" t="s">
        <v>7939</v>
      </c>
      <c r="AD766" s="662" t="s">
        <v>6032</v>
      </c>
      <c r="AE766" s="662" t="s">
        <v>82</v>
      </c>
      <c r="AF766" s="662"/>
      <c r="AG766" s="662"/>
      <c r="AH766" s="662"/>
      <c r="AI766" s="662">
        <v>1248</v>
      </c>
      <c r="AJ766" s="662">
        <f t="shared" si="256"/>
        <v>0</v>
      </c>
      <c r="AK766" s="662"/>
      <c r="AL766" s="662"/>
      <c r="AM766" s="662"/>
      <c r="AN766" s="662">
        <f t="shared" ref="AN766:AN771" si="273">I766</f>
        <v>1248</v>
      </c>
      <c r="AO766" s="671"/>
      <c r="AP766" s="554">
        <f>I766</f>
        <v>1248</v>
      </c>
      <c r="AR766" s="680"/>
      <c r="AS766" s="548"/>
      <c r="AT766" s="548"/>
      <c r="AU766" s="554">
        <f>I766</f>
        <v>1248</v>
      </c>
      <c r="AV766" s="663"/>
      <c r="AW766" s="669"/>
      <c r="AX766" s="548"/>
      <c r="AY766" s="548"/>
      <c r="AZ766" s="548"/>
      <c r="BA766" s="548"/>
      <c r="BB766" s="670">
        <f t="shared" ref="BB761:BB776" si="274">I766/24</f>
        <v>52</v>
      </c>
      <c r="BC766" s="671"/>
      <c r="BD766" s="548"/>
      <c r="BE766" s="548"/>
      <c r="BF766" s="548"/>
      <c r="BK766" s="663">
        <f t="shared" ref="BK766:BK770" si="275">I766/13</f>
        <v>96</v>
      </c>
      <c r="BY766" s="669"/>
      <c r="BZ766" s="548"/>
      <c r="CA766" s="672"/>
      <c r="CB766" s="567"/>
      <c r="CC766" s="673"/>
      <c r="CD766" s="669"/>
      <c r="CE766" s="669"/>
      <c r="CF766" s="548"/>
      <c r="CG766" s="548"/>
      <c r="CU766" s="554">
        <f t="shared" si="246"/>
        <v>0</v>
      </c>
      <c r="CV766" s="663">
        <f t="shared" si="270"/>
        <v>0</v>
      </c>
      <c r="CW766" s="663">
        <f t="shared" si="271"/>
        <v>0</v>
      </c>
      <c r="CX766" s="669"/>
      <c r="CY766" s="669"/>
      <c r="CZ766" s="669"/>
      <c r="DA766" s="548"/>
      <c r="DB766" s="548"/>
      <c r="DC766" s="548"/>
      <c r="DD766" s="669"/>
      <c r="DE766" s="669"/>
      <c r="DF766" s="669"/>
      <c r="DG766" s="669"/>
      <c r="DH766" s="669"/>
    </row>
    <row r="767" s="548" customFormat="1" ht="31" customHeight="1" spans="1:112">
      <c r="A767" s="660">
        <v>45929</v>
      </c>
      <c r="B767" s="661" t="s">
        <v>2033</v>
      </c>
      <c r="C767" s="662" t="s">
        <v>399</v>
      </c>
      <c r="D767" s="663">
        <v>4500180519</v>
      </c>
      <c r="E767" s="662" t="s">
        <v>2234</v>
      </c>
      <c r="F767" s="663" t="s">
        <v>7940</v>
      </c>
      <c r="G767" s="662" t="s">
        <v>6120</v>
      </c>
      <c r="H767" s="662" t="s">
        <v>6094</v>
      </c>
      <c r="I767" s="662">
        <v>10010</v>
      </c>
      <c r="J767" s="662">
        <v>0</v>
      </c>
      <c r="K767" s="662">
        <v>13</v>
      </c>
      <c r="L767" s="665">
        <f t="shared" si="268"/>
        <v>770</v>
      </c>
      <c r="M767" s="666">
        <v>45988</v>
      </c>
      <c r="N767" s="666">
        <v>45985</v>
      </c>
      <c r="O767" s="664"/>
      <c r="P767" s="664" t="s">
        <v>113</v>
      </c>
      <c r="Q767" s="662"/>
      <c r="R767" s="667">
        <v>45947</v>
      </c>
      <c r="S767" s="667" t="s">
        <v>70</v>
      </c>
      <c r="T767" s="667" t="s">
        <v>6469</v>
      </c>
      <c r="U767" s="667"/>
      <c r="V767" s="667" t="s">
        <v>7736</v>
      </c>
      <c r="W767" s="615"/>
      <c r="X767" s="661" t="s">
        <v>7941</v>
      </c>
      <c r="Y767" s="661" t="s">
        <v>305</v>
      </c>
      <c r="Z767" s="675">
        <v>0.882</v>
      </c>
      <c r="AA767" s="634">
        <f t="shared" si="269"/>
        <v>8828.82</v>
      </c>
      <c r="AC767" s="676" t="s">
        <v>2237</v>
      </c>
      <c r="AD767" s="662" t="s">
        <v>6093</v>
      </c>
      <c r="AE767" s="662" t="s">
        <v>82</v>
      </c>
      <c r="AF767" s="662"/>
      <c r="AG767" s="662"/>
      <c r="AH767" s="662"/>
      <c r="AI767" s="662">
        <v>10010</v>
      </c>
      <c r="AJ767" s="662">
        <f t="shared" si="256"/>
        <v>0</v>
      </c>
      <c r="AK767" s="662"/>
      <c r="AL767" s="662"/>
      <c r="AM767" s="662"/>
      <c r="AN767" s="662"/>
      <c r="AO767" s="663">
        <f t="shared" si="272"/>
        <v>10010</v>
      </c>
      <c r="AR767" s="680"/>
      <c r="AS767" s="548"/>
      <c r="AT767" s="554">
        <f>I767</f>
        <v>10010</v>
      </c>
      <c r="AU767" s="663"/>
      <c r="AV767" s="554">
        <f>I767</f>
        <v>10010</v>
      </c>
      <c r="AW767" s="669"/>
      <c r="AX767" s="663"/>
      <c r="AY767" s="548"/>
      <c r="AZ767" s="548"/>
      <c r="BA767" s="548"/>
      <c r="BB767" s="620">
        <f t="shared" si="274"/>
        <v>417.083333333333</v>
      </c>
      <c r="BC767" s="671"/>
      <c r="BD767" s="548"/>
      <c r="BE767" s="548"/>
      <c r="BF767" s="548"/>
      <c r="BM767" s="663">
        <f>I767/13</f>
        <v>770</v>
      </c>
      <c r="BY767" s="669"/>
      <c r="BZ767" s="548"/>
      <c r="CA767" s="672"/>
      <c r="CB767" s="567"/>
      <c r="CC767" s="673"/>
      <c r="CD767" s="669"/>
      <c r="CE767" s="669"/>
      <c r="CF767" s="548"/>
      <c r="CG767" s="548"/>
      <c r="CU767" s="554">
        <f t="shared" si="246"/>
        <v>0</v>
      </c>
      <c r="CV767" s="663">
        <f t="shared" si="270"/>
        <v>0</v>
      </c>
      <c r="CW767" s="663">
        <f t="shared" si="271"/>
        <v>0</v>
      </c>
      <c r="CX767" s="669"/>
      <c r="CY767" s="669"/>
      <c r="CZ767" s="669"/>
      <c r="DA767" s="548"/>
      <c r="DB767" s="548"/>
      <c r="DC767" s="548"/>
      <c r="DD767" s="669"/>
      <c r="DE767" s="669"/>
      <c r="DF767" s="669"/>
      <c r="DG767" s="669"/>
      <c r="DH767" s="669"/>
    </row>
    <row r="768" s="548" customFormat="1" ht="31" customHeight="1" spans="1:112">
      <c r="A768" s="660">
        <v>45929</v>
      </c>
      <c r="B768" s="661" t="s">
        <v>2033</v>
      </c>
      <c r="C768" s="662" t="s">
        <v>399</v>
      </c>
      <c r="D768" s="663">
        <v>4500180519</v>
      </c>
      <c r="E768" s="662" t="s">
        <v>2234</v>
      </c>
      <c r="F768" s="663" t="s">
        <v>7942</v>
      </c>
      <c r="G768" s="662" t="s">
        <v>6467</v>
      </c>
      <c r="H768" s="662" t="s">
        <v>6080</v>
      </c>
      <c r="I768" s="662">
        <v>3600</v>
      </c>
      <c r="J768" s="662">
        <v>0</v>
      </c>
      <c r="K768" s="662">
        <v>30</v>
      </c>
      <c r="L768" s="665">
        <f t="shared" si="268"/>
        <v>120</v>
      </c>
      <c r="M768" s="666">
        <v>45988</v>
      </c>
      <c r="N768" s="666">
        <v>45985</v>
      </c>
      <c r="O768" s="664"/>
      <c r="P768" s="664" t="s">
        <v>113</v>
      </c>
      <c r="Q768" s="662"/>
      <c r="R768" s="667">
        <v>45947</v>
      </c>
      <c r="S768" s="667" t="s">
        <v>70</v>
      </c>
      <c r="T768" s="667" t="s">
        <v>6469</v>
      </c>
      <c r="U768" s="667"/>
      <c r="V768" s="667" t="s">
        <v>7736</v>
      </c>
      <c r="W768" s="615"/>
      <c r="X768" s="661" t="s">
        <v>7943</v>
      </c>
      <c r="Y768" s="661" t="s">
        <v>305</v>
      </c>
      <c r="Z768" s="661">
        <v>40.6757</v>
      </c>
      <c r="AA768" s="634">
        <f>Z768*L768</f>
        <v>4881.084</v>
      </c>
      <c r="AC768" s="676" t="s">
        <v>2237</v>
      </c>
      <c r="AD768" s="662" t="s">
        <v>6223</v>
      </c>
      <c r="AE768" s="662" t="s">
        <v>82</v>
      </c>
      <c r="AF768" s="662"/>
      <c r="AG768" s="662"/>
      <c r="AH768" s="662"/>
      <c r="AI768" s="662">
        <v>3600</v>
      </c>
      <c r="AJ768" s="662">
        <f t="shared" si="256"/>
        <v>0</v>
      </c>
      <c r="AK768" s="662"/>
      <c r="AL768" s="662"/>
      <c r="AM768" s="662"/>
      <c r="AN768" s="662"/>
      <c r="AO768" s="663">
        <f t="shared" si="272"/>
        <v>3600</v>
      </c>
      <c r="AR768" s="680"/>
      <c r="AS768" s="548"/>
      <c r="AT768" s="554">
        <f>I768</f>
        <v>3600</v>
      </c>
      <c r="AU768" s="663"/>
      <c r="AV768" s="554">
        <f>I768</f>
        <v>3600</v>
      </c>
      <c r="AW768" s="669"/>
      <c r="AX768" s="663"/>
      <c r="AY768" s="548"/>
      <c r="AZ768" s="548"/>
      <c r="BA768" s="548"/>
      <c r="BB768" s="620">
        <f t="shared" si="274"/>
        <v>150</v>
      </c>
      <c r="BC768" s="671"/>
      <c r="BD768" s="548"/>
      <c r="BE768" s="548"/>
      <c r="BF768" s="548"/>
      <c r="BY768" s="669"/>
      <c r="BZ768" s="548"/>
      <c r="CA768" s="672"/>
      <c r="CB768" s="567"/>
      <c r="CC768" s="673"/>
      <c r="CD768" s="669"/>
      <c r="CE768" s="669"/>
      <c r="CF768" s="548"/>
      <c r="CG768" s="548"/>
      <c r="CP768" s="554">
        <f>I768/30</f>
        <v>120</v>
      </c>
      <c r="CU768" s="554">
        <f t="shared" si="246"/>
        <v>0</v>
      </c>
      <c r="CV768" s="663">
        <f t="shared" si="270"/>
        <v>120</v>
      </c>
      <c r="CW768" s="663">
        <f t="shared" si="271"/>
        <v>0</v>
      </c>
      <c r="CX768" s="669"/>
      <c r="CY768" s="669"/>
      <c r="CZ768" s="669"/>
      <c r="DA768" s="548"/>
      <c r="DB768" s="548"/>
      <c r="DC768" s="548"/>
      <c r="DD768" s="669"/>
      <c r="DE768" s="669"/>
      <c r="DF768" s="669"/>
      <c r="DG768" s="669"/>
      <c r="DH768" s="669"/>
    </row>
    <row r="769" s="548" customFormat="1" ht="31" customHeight="1" spans="1:112">
      <c r="A769" s="660">
        <v>45951</v>
      </c>
      <c r="B769" s="661" t="s">
        <v>205</v>
      </c>
      <c r="C769" s="662" t="s">
        <v>98</v>
      </c>
      <c r="D769" s="663">
        <v>4500182537</v>
      </c>
      <c r="E769" s="662" t="s">
        <v>7944</v>
      </c>
      <c r="F769" s="663" t="s">
        <v>7945</v>
      </c>
      <c r="G769" s="662" t="s">
        <v>6166</v>
      </c>
      <c r="H769" s="662" t="s">
        <v>6094</v>
      </c>
      <c r="I769" s="662">
        <v>8281</v>
      </c>
      <c r="J769" s="662">
        <v>0</v>
      </c>
      <c r="K769" s="662">
        <v>13</v>
      </c>
      <c r="L769" s="665">
        <f t="shared" si="268"/>
        <v>637</v>
      </c>
      <c r="M769" s="666">
        <v>45988</v>
      </c>
      <c r="N769" s="666">
        <v>45985</v>
      </c>
      <c r="O769" s="664"/>
      <c r="P769" s="664" t="s">
        <v>113</v>
      </c>
      <c r="Q769" s="662"/>
      <c r="R769" s="667">
        <v>45951</v>
      </c>
      <c r="S769" s="667" t="s">
        <v>70</v>
      </c>
      <c r="T769" s="667" t="s">
        <v>70</v>
      </c>
      <c r="U769" s="667"/>
      <c r="V769" s="667"/>
      <c r="W769" s="615"/>
      <c r="X769" s="661" t="s">
        <v>208</v>
      </c>
      <c r="Y769" s="661" t="s">
        <v>2003</v>
      </c>
      <c r="Z769" s="675">
        <v>0.9161</v>
      </c>
      <c r="AA769" s="634">
        <f t="shared" ref="AA769:AA774" si="276">Z769*I769</f>
        <v>7586.2241</v>
      </c>
      <c r="AC769" s="638" t="s">
        <v>7946</v>
      </c>
      <c r="AD769" s="661" t="s">
        <v>6257</v>
      </c>
      <c r="AE769" s="662" t="s">
        <v>82</v>
      </c>
      <c r="AF769" s="662"/>
      <c r="AG769" s="662"/>
      <c r="AH769" s="662"/>
      <c r="AI769" s="662">
        <v>8281</v>
      </c>
      <c r="AJ769" s="662">
        <f t="shared" si="256"/>
        <v>0</v>
      </c>
      <c r="AK769" s="662"/>
      <c r="AL769" s="662"/>
      <c r="AM769" s="662"/>
      <c r="AN769" s="662">
        <f t="shared" si="273"/>
        <v>8281</v>
      </c>
      <c r="AO769" s="663"/>
      <c r="AP769" s="554">
        <f>I769</f>
        <v>8281</v>
      </c>
      <c r="AR769" s="680"/>
      <c r="AS769" s="548"/>
      <c r="AT769" s="548"/>
      <c r="AU769" s="554">
        <f>I769</f>
        <v>8281</v>
      </c>
      <c r="AV769" s="663"/>
      <c r="AW769" s="669"/>
      <c r="AX769" s="663"/>
      <c r="AY769" s="548"/>
      <c r="AZ769" s="548"/>
      <c r="BA769" s="548"/>
      <c r="BB769" s="670">
        <f t="shared" si="274"/>
        <v>345.041666666667</v>
      </c>
      <c r="BC769" s="671"/>
      <c r="BD769" s="548"/>
      <c r="BE769" s="548"/>
      <c r="BF769" s="548"/>
      <c r="BK769" s="663">
        <f t="shared" si="275"/>
        <v>637</v>
      </c>
      <c r="BY769" s="669"/>
      <c r="BZ769" s="548"/>
      <c r="CA769" s="672"/>
      <c r="CB769" s="567"/>
      <c r="CC769" s="673"/>
      <c r="CD769" s="669"/>
      <c r="CE769" s="669"/>
      <c r="CF769" s="548"/>
      <c r="CG769" s="548"/>
      <c r="CU769" s="554">
        <f t="shared" si="246"/>
        <v>0</v>
      </c>
      <c r="CV769" s="663">
        <f t="shared" si="270"/>
        <v>0</v>
      </c>
      <c r="CW769" s="663">
        <f t="shared" si="271"/>
        <v>0</v>
      </c>
      <c r="CX769" s="669"/>
      <c r="CY769" s="669"/>
      <c r="CZ769" s="669"/>
      <c r="DA769" s="548"/>
      <c r="DB769" s="548"/>
      <c r="DC769" s="548"/>
      <c r="DD769" s="669"/>
      <c r="DE769" s="669"/>
      <c r="DF769" s="669"/>
      <c r="DG769" s="669"/>
      <c r="DH769" s="669"/>
    </row>
    <row r="770" s="548" customFormat="1" ht="31" customHeight="1" spans="1:112">
      <c r="A770" s="660">
        <v>45951</v>
      </c>
      <c r="B770" s="661" t="s">
        <v>205</v>
      </c>
      <c r="C770" s="662" t="s">
        <v>98</v>
      </c>
      <c r="D770" s="663">
        <v>4500182537</v>
      </c>
      <c r="E770" s="662" t="s">
        <v>7947</v>
      </c>
      <c r="F770" s="663" t="s">
        <v>7948</v>
      </c>
      <c r="G770" s="662" t="s">
        <v>6166</v>
      </c>
      <c r="H770" s="662" t="s">
        <v>6094</v>
      </c>
      <c r="I770" s="662">
        <v>4446</v>
      </c>
      <c r="J770" s="662">
        <v>0</v>
      </c>
      <c r="K770" s="662">
        <v>13</v>
      </c>
      <c r="L770" s="665">
        <f t="shared" si="268"/>
        <v>342</v>
      </c>
      <c r="M770" s="666">
        <v>45988</v>
      </c>
      <c r="N770" s="666">
        <v>45985</v>
      </c>
      <c r="O770" s="664"/>
      <c r="P770" s="664" t="s">
        <v>113</v>
      </c>
      <c r="Q770" s="662"/>
      <c r="R770" s="667">
        <v>45951</v>
      </c>
      <c r="S770" s="667" t="s">
        <v>70</v>
      </c>
      <c r="T770" s="667" t="s">
        <v>70</v>
      </c>
      <c r="U770" s="667"/>
      <c r="V770" s="667"/>
      <c r="W770" s="615"/>
      <c r="X770" s="661" t="s">
        <v>208</v>
      </c>
      <c r="Y770" s="661" t="s">
        <v>2003</v>
      </c>
      <c r="Z770" s="675">
        <v>0.9161</v>
      </c>
      <c r="AA770" s="634">
        <f t="shared" si="276"/>
        <v>4072.9806</v>
      </c>
      <c r="AC770" s="638"/>
      <c r="AD770" s="661" t="s">
        <v>6257</v>
      </c>
      <c r="AE770" s="662" t="s">
        <v>82</v>
      </c>
      <c r="AF770" s="662"/>
      <c r="AG770" s="662"/>
      <c r="AH770" s="662"/>
      <c r="AI770" s="662">
        <v>4446</v>
      </c>
      <c r="AJ770" s="662">
        <f t="shared" si="256"/>
        <v>0</v>
      </c>
      <c r="AK770" s="662"/>
      <c r="AL770" s="662"/>
      <c r="AM770" s="662"/>
      <c r="AN770" s="662">
        <f t="shared" si="273"/>
        <v>4446</v>
      </c>
      <c r="AO770" s="663"/>
      <c r="AP770" s="554">
        <f>I770</f>
        <v>4446</v>
      </c>
      <c r="AR770" s="680"/>
      <c r="AS770" s="548"/>
      <c r="AT770" s="548"/>
      <c r="AU770" s="554">
        <f>I770</f>
        <v>4446</v>
      </c>
      <c r="AV770" s="663"/>
      <c r="AW770" s="669"/>
      <c r="AX770" s="663"/>
      <c r="AY770" s="548"/>
      <c r="AZ770" s="548"/>
      <c r="BA770" s="548"/>
      <c r="BB770" s="670">
        <f t="shared" si="274"/>
        <v>185.25</v>
      </c>
      <c r="BC770" s="671"/>
      <c r="BD770" s="548"/>
      <c r="BE770" s="548"/>
      <c r="BF770" s="548"/>
      <c r="BK770" s="663">
        <f t="shared" si="275"/>
        <v>342</v>
      </c>
      <c r="BY770" s="669"/>
      <c r="BZ770" s="548"/>
      <c r="CA770" s="672"/>
      <c r="CB770" s="567"/>
      <c r="CC770" s="673"/>
      <c r="CD770" s="669"/>
      <c r="CE770" s="669"/>
      <c r="CF770" s="548"/>
      <c r="CG770" s="548"/>
      <c r="CU770" s="554">
        <f t="shared" si="246"/>
        <v>0</v>
      </c>
      <c r="CV770" s="663">
        <f t="shared" si="270"/>
        <v>0</v>
      </c>
      <c r="CW770" s="663">
        <f t="shared" si="271"/>
        <v>0</v>
      </c>
      <c r="CX770" s="669"/>
      <c r="CY770" s="669"/>
      <c r="CZ770" s="669"/>
      <c r="DA770" s="548"/>
      <c r="DB770" s="548"/>
      <c r="DC770" s="548"/>
      <c r="DD770" s="669"/>
      <c r="DE770" s="669"/>
      <c r="DF770" s="669"/>
      <c r="DG770" s="669"/>
      <c r="DH770" s="669"/>
    </row>
    <row r="771" s="548" customFormat="1" ht="31" customHeight="1" spans="1:112">
      <c r="A771" s="660">
        <v>45950</v>
      </c>
      <c r="B771" s="661" t="s">
        <v>143</v>
      </c>
      <c r="C771" s="662" t="s">
        <v>98</v>
      </c>
      <c r="D771" s="663">
        <v>4500182433</v>
      </c>
      <c r="E771" s="664">
        <v>952702307</v>
      </c>
      <c r="F771" s="663" t="s">
        <v>7949</v>
      </c>
      <c r="G771" s="662" t="s">
        <v>6063</v>
      </c>
      <c r="H771" s="662" t="s">
        <v>6064</v>
      </c>
      <c r="I771" s="662">
        <v>50880</v>
      </c>
      <c r="J771" s="662">
        <v>0</v>
      </c>
      <c r="K771" s="662">
        <v>16</v>
      </c>
      <c r="L771" s="665">
        <f t="shared" si="268"/>
        <v>3180</v>
      </c>
      <c r="M771" s="666">
        <v>45989</v>
      </c>
      <c r="N771" s="666">
        <v>45985</v>
      </c>
      <c r="O771" s="664" t="s">
        <v>7950</v>
      </c>
      <c r="P771" s="664" t="s">
        <v>113</v>
      </c>
      <c r="Q771" s="662"/>
      <c r="R771" s="667" t="s">
        <v>7064</v>
      </c>
      <c r="S771" s="667" t="s">
        <v>70</v>
      </c>
      <c r="T771" s="667" t="s">
        <v>148</v>
      </c>
      <c r="U771" s="667"/>
      <c r="V771" s="667"/>
      <c r="W771" s="615"/>
      <c r="X771" s="661" t="s">
        <v>7065</v>
      </c>
      <c r="Y771" s="661" t="s">
        <v>106</v>
      </c>
      <c r="Z771" s="661">
        <v>0.5783</v>
      </c>
      <c r="AA771" s="634">
        <f t="shared" si="276"/>
        <v>29423.904</v>
      </c>
      <c r="AC771" s="638" t="s">
        <v>7951</v>
      </c>
      <c r="AD771" s="662" t="s">
        <v>6063</v>
      </c>
      <c r="AE771" s="662" t="s">
        <v>82</v>
      </c>
      <c r="AF771" s="662"/>
      <c r="AG771" s="662"/>
      <c r="AH771" s="662"/>
      <c r="AI771" s="662">
        <v>50880</v>
      </c>
      <c r="AJ771" s="662">
        <f t="shared" si="256"/>
        <v>0</v>
      </c>
      <c r="AK771" s="662"/>
      <c r="AL771" s="662"/>
      <c r="AM771" s="662"/>
      <c r="AN771" s="662">
        <f t="shared" si="273"/>
        <v>50880</v>
      </c>
      <c r="AO771" s="663"/>
      <c r="AP771" s="554">
        <f>I771</f>
        <v>50880</v>
      </c>
      <c r="AR771" s="680"/>
      <c r="AS771" s="548"/>
      <c r="AT771" s="548"/>
      <c r="AU771" s="554">
        <f>I771</f>
        <v>50880</v>
      </c>
      <c r="AV771" s="663"/>
      <c r="AW771" s="669"/>
      <c r="AX771" s="663"/>
      <c r="AY771" s="548"/>
      <c r="AZ771" s="548"/>
      <c r="BA771" s="548"/>
      <c r="BB771" s="670">
        <f t="shared" si="274"/>
        <v>2120</v>
      </c>
      <c r="BC771" s="671"/>
      <c r="BD771" s="548"/>
      <c r="BE771" s="548"/>
      <c r="BF771" s="548"/>
      <c r="BQ771" s="663">
        <f>I771/16</f>
        <v>3180</v>
      </c>
      <c r="BY771" s="669"/>
      <c r="BZ771" s="548"/>
      <c r="CA771" s="672"/>
      <c r="CB771" s="567"/>
      <c r="CC771" s="673"/>
      <c r="CD771" s="669"/>
      <c r="CE771" s="669"/>
      <c r="CF771" s="548"/>
      <c r="CG771" s="548"/>
      <c r="CU771" s="554">
        <f t="shared" si="246"/>
        <v>3180</v>
      </c>
      <c r="CV771" s="663">
        <f t="shared" si="270"/>
        <v>0</v>
      </c>
      <c r="CW771" s="663">
        <f t="shared" si="271"/>
        <v>0</v>
      </c>
      <c r="CX771" s="669"/>
      <c r="CY771" s="669"/>
      <c r="CZ771" s="669"/>
      <c r="DA771" s="548"/>
      <c r="DB771" s="548"/>
      <c r="DC771" s="548"/>
      <c r="DD771" s="669"/>
      <c r="DE771" s="669"/>
      <c r="DF771" s="669"/>
      <c r="DG771" s="669"/>
      <c r="DH771" s="669"/>
    </row>
    <row r="772" s="548" customFormat="1" ht="31" customHeight="1" spans="1:112">
      <c r="A772" s="660">
        <v>45946</v>
      </c>
      <c r="B772" s="661" t="s">
        <v>1429</v>
      </c>
      <c r="C772" s="662" t="s">
        <v>411</v>
      </c>
      <c r="D772" s="663">
        <v>4500182169</v>
      </c>
      <c r="E772" s="662">
        <v>5200007980</v>
      </c>
      <c r="F772" s="663" t="s">
        <v>7952</v>
      </c>
      <c r="G772" s="662" t="s">
        <v>6120</v>
      </c>
      <c r="H772" s="662" t="s">
        <v>6094</v>
      </c>
      <c r="I772" s="662">
        <v>2600</v>
      </c>
      <c r="J772" s="662">
        <v>0</v>
      </c>
      <c r="K772" s="662">
        <v>13</v>
      </c>
      <c r="L772" s="665">
        <f t="shared" si="268"/>
        <v>200</v>
      </c>
      <c r="M772" s="666">
        <v>45989</v>
      </c>
      <c r="N772" s="666">
        <v>45985</v>
      </c>
      <c r="O772" s="664"/>
      <c r="P772" s="664" t="s">
        <v>113</v>
      </c>
      <c r="Q772" s="662"/>
      <c r="R772" s="667">
        <v>45947</v>
      </c>
      <c r="S772" s="667" t="s">
        <v>70</v>
      </c>
      <c r="T772" s="667" t="s">
        <v>7953</v>
      </c>
      <c r="U772" s="667"/>
      <c r="V772" s="667"/>
      <c r="W772" s="615"/>
      <c r="X772" s="661" t="s">
        <v>7954</v>
      </c>
      <c r="Y772" s="661" t="s">
        <v>415</v>
      </c>
      <c r="Z772" s="675">
        <v>0.8947</v>
      </c>
      <c r="AA772" s="634">
        <f t="shared" si="276"/>
        <v>2326.22</v>
      </c>
      <c r="AC772" s="676" t="s">
        <v>7955</v>
      </c>
      <c r="AD772" s="662" t="s">
        <v>6093</v>
      </c>
      <c r="AE772" s="662" t="s">
        <v>82</v>
      </c>
      <c r="AF772" s="662"/>
      <c r="AG772" s="662"/>
      <c r="AH772" s="662"/>
      <c r="AI772" s="662">
        <v>2600</v>
      </c>
      <c r="AJ772" s="662">
        <f t="shared" si="256"/>
        <v>0</v>
      </c>
      <c r="AK772" s="662"/>
      <c r="AL772" s="662"/>
      <c r="AM772" s="662"/>
      <c r="AN772" s="662"/>
      <c r="AO772" s="663">
        <f>I772</f>
        <v>2600</v>
      </c>
      <c r="AR772" s="680"/>
      <c r="AS772" s="548"/>
      <c r="AT772" s="554">
        <f>I772</f>
        <v>2600</v>
      </c>
      <c r="AU772" s="663"/>
      <c r="AV772" s="554">
        <f>I772</f>
        <v>2600</v>
      </c>
      <c r="AW772" s="669"/>
      <c r="AX772" s="663"/>
      <c r="AY772" s="548"/>
      <c r="AZ772" s="548"/>
      <c r="BA772" s="548"/>
      <c r="BB772" s="620">
        <f t="shared" si="274"/>
        <v>108.333333333333</v>
      </c>
      <c r="BC772" s="671"/>
      <c r="BD772" s="548"/>
      <c r="BE772" s="548"/>
      <c r="BF772" s="548"/>
      <c r="BM772" s="663">
        <f>I772/13</f>
        <v>200</v>
      </c>
      <c r="BY772" s="669"/>
      <c r="BZ772" s="548"/>
      <c r="CA772" s="672"/>
      <c r="CB772" s="567"/>
      <c r="CC772" s="673"/>
      <c r="CD772" s="669"/>
      <c r="CE772" s="669"/>
      <c r="CF772" s="548"/>
      <c r="CG772" s="548"/>
      <c r="CU772" s="554">
        <f t="shared" ref="CU771:CU834" si="277">BQ772+BP772+BO772+BN772+BX772+BR772</f>
        <v>0</v>
      </c>
      <c r="CV772" s="663">
        <f t="shared" si="270"/>
        <v>0</v>
      </c>
      <c r="CW772" s="663">
        <f t="shared" si="271"/>
        <v>0</v>
      </c>
      <c r="CX772" s="669"/>
      <c r="CY772" s="669"/>
      <c r="CZ772" s="669"/>
      <c r="DA772" s="548"/>
      <c r="DB772" s="548"/>
      <c r="DC772" s="548"/>
      <c r="DD772" s="669"/>
      <c r="DE772" s="669"/>
      <c r="DF772" s="669"/>
      <c r="DG772" s="669"/>
      <c r="DH772" s="669"/>
    </row>
    <row r="773" s="548" customFormat="1" ht="31" customHeight="1" spans="1:112">
      <c r="A773" s="660">
        <v>45930</v>
      </c>
      <c r="B773" s="661" t="s">
        <v>143</v>
      </c>
      <c r="C773" s="662" t="s">
        <v>98</v>
      </c>
      <c r="D773" s="663">
        <v>4500181113</v>
      </c>
      <c r="E773" s="664">
        <v>948877858</v>
      </c>
      <c r="F773" s="663" t="s">
        <v>7894</v>
      </c>
      <c r="G773" s="662" t="s">
        <v>6063</v>
      </c>
      <c r="H773" s="662" t="s">
        <v>6064</v>
      </c>
      <c r="I773" s="662">
        <v>22080</v>
      </c>
      <c r="J773" s="662">
        <v>0</v>
      </c>
      <c r="K773" s="662">
        <v>16</v>
      </c>
      <c r="L773" s="665">
        <f t="shared" si="268"/>
        <v>1380</v>
      </c>
      <c r="M773" s="666">
        <v>45971</v>
      </c>
      <c r="N773" s="666">
        <v>45967</v>
      </c>
      <c r="O773" s="664" t="s">
        <v>7892</v>
      </c>
      <c r="P773" s="664" t="s">
        <v>113</v>
      </c>
      <c r="Q773" s="662"/>
      <c r="R773" s="667" t="s">
        <v>7064</v>
      </c>
      <c r="S773" s="667" t="s">
        <v>70</v>
      </c>
      <c r="T773" s="667" t="s">
        <v>148</v>
      </c>
      <c r="U773" s="667"/>
      <c r="V773" s="667"/>
      <c r="W773" s="615"/>
      <c r="X773" s="661" t="s">
        <v>7065</v>
      </c>
      <c r="Y773" s="661" t="s">
        <v>106</v>
      </c>
      <c r="Z773" s="661">
        <v>0.5837</v>
      </c>
      <c r="AA773" s="634">
        <f t="shared" si="276"/>
        <v>12888.096</v>
      </c>
      <c r="AC773" s="638"/>
      <c r="AD773" s="662" t="s">
        <v>6063</v>
      </c>
      <c r="AE773" s="662" t="s">
        <v>82</v>
      </c>
      <c r="AF773" s="662"/>
      <c r="AG773" s="662"/>
      <c r="AH773" s="662"/>
      <c r="AI773" s="662">
        <f>2688+19392</f>
        <v>22080</v>
      </c>
      <c r="AJ773" s="662">
        <f t="shared" si="256"/>
        <v>0</v>
      </c>
      <c r="AK773" s="662"/>
      <c r="AL773" s="662"/>
      <c r="AM773" s="662"/>
      <c r="AN773" s="662">
        <f>I773</f>
        <v>22080</v>
      </c>
      <c r="AO773" s="663"/>
      <c r="AP773" s="554">
        <f>I773</f>
        <v>22080</v>
      </c>
      <c r="AR773" s="680"/>
      <c r="AS773" s="548"/>
      <c r="AT773" s="548"/>
      <c r="AU773" s="554">
        <f>I773</f>
        <v>22080</v>
      </c>
      <c r="AV773" s="663"/>
      <c r="AW773" s="669"/>
      <c r="AX773" s="663"/>
      <c r="AY773" s="548"/>
      <c r="AZ773" s="548"/>
      <c r="BA773" s="548"/>
      <c r="BB773" s="670">
        <f t="shared" si="274"/>
        <v>920</v>
      </c>
      <c r="BC773" s="671"/>
      <c r="BD773" s="548"/>
      <c r="BE773" s="548"/>
      <c r="BF773" s="548"/>
      <c r="BQ773" s="663">
        <f>I773/16</f>
        <v>1380</v>
      </c>
      <c r="BY773" s="669"/>
      <c r="BZ773" s="548"/>
      <c r="CA773" s="672"/>
      <c r="CB773" s="567"/>
      <c r="CC773" s="673"/>
      <c r="CD773" s="669"/>
      <c r="CE773" s="669"/>
      <c r="CF773" s="548"/>
      <c r="CG773" s="548"/>
      <c r="CU773" s="554">
        <f t="shared" si="277"/>
        <v>1380</v>
      </c>
      <c r="CV773" s="663">
        <f t="shared" si="270"/>
        <v>0</v>
      </c>
      <c r="CW773" s="663">
        <f t="shared" si="271"/>
        <v>0</v>
      </c>
      <c r="CX773" s="669"/>
      <c r="CY773" s="669"/>
      <c r="CZ773" s="669"/>
      <c r="DA773" s="548"/>
      <c r="DB773" s="548"/>
      <c r="DC773" s="548"/>
      <c r="DD773" s="669"/>
      <c r="DE773" s="669"/>
      <c r="DF773" s="669"/>
      <c r="DG773" s="669"/>
      <c r="DH773" s="669"/>
    </row>
    <row r="774" s="548" customFormat="1" ht="31" customHeight="1" spans="1:112">
      <c r="A774" s="660">
        <v>45926</v>
      </c>
      <c r="B774" s="661" t="s">
        <v>499</v>
      </c>
      <c r="C774" s="662" t="s">
        <v>500</v>
      </c>
      <c r="D774" s="663">
        <v>4500180498</v>
      </c>
      <c r="E774" s="662" t="s">
        <v>501</v>
      </c>
      <c r="F774" s="663" t="s">
        <v>7956</v>
      </c>
      <c r="G774" s="662" t="s">
        <v>6448</v>
      </c>
      <c r="H774" s="662" t="s">
        <v>6449</v>
      </c>
      <c r="I774" s="662">
        <v>1000</v>
      </c>
      <c r="J774" s="662">
        <v>0</v>
      </c>
      <c r="K774" s="662">
        <v>50</v>
      </c>
      <c r="L774" s="665">
        <f t="shared" si="268"/>
        <v>20</v>
      </c>
      <c r="M774" s="666">
        <v>46015</v>
      </c>
      <c r="N774" s="666">
        <v>46010</v>
      </c>
      <c r="O774" s="664"/>
      <c r="P774" s="664" t="s">
        <v>113</v>
      </c>
      <c r="Q774" s="662"/>
      <c r="R774" s="667">
        <v>45941</v>
      </c>
      <c r="S774" s="667" t="s">
        <v>70</v>
      </c>
      <c r="T774" s="667" t="s">
        <v>7957</v>
      </c>
      <c r="U774" s="667"/>
      <c r="V774" s="667"/>
      <c r="W774" s="615"/>
      <c r="X774" s="661" t="s">
        <v>7958</v>
      </c>
      <c r="Y774" s="661" t="s">
        <v>2398</v>
      </c>
      <c r="Z774" s="675">
        <v>0.9373</v>
      </c>
      <c r="AA774" s="634">
        <f t="shared" si="276"/>
        <v>937.3</v>
      </c>
      <c r="AC774" s="638"/>
      <c r="AD774" s="662" t="s">
        <v>7959</v>
      </c>
      <c r="AE774" s="662" t="s">
        <v>82</v>
      </c>
      <c r="AF774" s="662"/>
      <c r="AG774" s="662"/>
      <c r="AH774" s="662"/>
      <c r="AI774" s="662">
        <f>1400+50</f>
        <v>1450</v>
      </c>
      <c r="AJ774" s="662">
        <f t="shared" si="256"/>
        <v>450</v>
      </c>
      <c r="AK774" s="662"/>
      <c r="AL774" s="662"/>
      <c r="AM774" s="662"/>
      <c r="AN774" s="662"/>
      <c r="AO774" s="663">
        <f>I774</f>
        <v>1000</v>
      </c>
      <c r="AP774" s="663">
        <f>I774</f>
        <v>1000</v>
      </c>
      <c r="AR774" s="680"/>
      <c r="AS774" s="548"/>
      <c r="AT774" s="548"/>
      <c r="AU774" s="548"/>
      <c r="AV774" s="663"/>
      <c r="AW774" s="669"/>
      <c r="AX774" s="548"/>
      <c r="AY774" s="548"/>
      <c r="AZ774" s="663">
        <f>I774</f>
        <v>1000</v>
      </c>
      <c r="BB774" s="670">
        <f>I774/24*2</f>
        <v>83.3333333333333</v>
      </c>
      <c r="BC774" s="671"/>
      <c r="BD774" s="548"/>
      <c r="BE774" s="548"/>
      <c r="BF774" s="548"/>
      <c r="BX774" s="663">
        <f>I774/25</f>
        <v>40</v>
      </c>
      <c r="BY774" s="669"/>
      <c r="BZ774" s="548"/>
      <c r="CA774" s="672"/>
      <c r="CB774" s="567"/>
      <c r="CC774" s="673"/>
      <c r="CD774" s="669"/>
      <c r="CE774" s="669"/>
      <c r="CF774" s="548"/>
      <c r="CG774" s="548"/>
      <c r="CU774" s="554">
        <f t="shared" si="277"/>
        <v>40</v>
      </c>
      <c r="CV774" s="663">
        <f t="shared" si="270"/>
        <v>0</v>
      </c>
      <c r="CW774" s="663">
        <f t="shared" si="271"/>
        <v>0</v>
      </c>
      <c r="CX774" s="669"/>
      <c r="CY774" s="669"/>
      <c r="CZ774" s="669"/>
      <c r="DA774" s="548"/>
      <c r="DB774" s="548"/>
      <c r="DC774" s="548"/>
      <c r="DD774" s="669"/>
      <c r="DE774" s="669"/>
      <c r="DF774" s="669"/>
      <c r="DG774" s="669"/>
      <c r="DH774" s="669"/>
    </row>
    <row r="775" s="548" customFormat="1" ht="31" customHeight="1" spans="1:112">
      <c r="A775" s="660">
        <v>45926</v>
      </c>
      <c r="B775" s="661" t="s">
        <v>499</v>
      </c>
      <c r="C775" s="662" t="s">
        <v>500</v>
      </c>
      <c r="D775" s="663">
        <v>4500180498</v>
      </c>
      <c r="E775" s="662" t="s">
        <v>501</v>
      </c>
      <c r="F775" s="663" t="s">
        <v>7960</v>
      </c>
      <c r="G775" s="662" t="s">
        <v>6708</v>
      </c>
      <c r="H775" s="662" t="s">
        <v>6709</v>
      </c>
      <c r="I775" s="662">
        <v>1050</v>
      </c>
      <c r="J775" s="662">
        <v>0</v>
      </c>
      <c r="K775" s="662">
        <v>30</v>
      </c>
      <c r="L775" s="665">
        <f t="shared" si="268"/>
        <v>35</v>
      </c>
      <c r="M775" s="666">
        <v>46015</v>
      </c>
      <c r="N775" s="666">
        <v>46010</v>
      </c>
      <c r="O775" s="664"/>
      <c r="P775" s="664" t="s">
        <v>113</v>
      </c>
      <c r="Q775" s="662"/>
      <c r="R775" s="667">
        <v>45941</v>
      </c>
      <c r="S775" s="667" t="s">
        <v>70</v>
      </c>
      <c r="T775" s="667" t="s">
        <v>7957</v>
      </c>
      <c r="U775" s="667"/>
      <c r="V775" s="667"/>
      <c r="W775" s="615"/>
      <c r="X775" s="661" t="s">
        <v>7961</v>
      </c>
      <c r="Y775" s="661" t="s">
        <v>2398</v>
      </c>
      <c r="Z775" s="661">
        <v>41.0747</v>
      </c>
      <c r="AA775" s="634">
        <f>Z775*L775</f>
        <v>1437.6145</v>
      </c>
      <c r="AC775" s="638"/>
      <c r="AD775" s="662" t="s">
        <v>6708</v>
      </c>
      <c r="AE775" s="662" t="s">
        <v>82</v>
      </c>
      <c r="AF775" s="662"/>
      <c r="AG775" s="662"/>
      <c r="AH775" s="662"/>
      <c r="AI775" s="662">
        <v>1050</v>
      </c>
      <c r="AJ775" s="662">
        <f t="shared" si="256"/>
        <v>0</v>
      </c>
      <c r="AK775" s="662"/>
      <c r="AL775" s="662"/>
      <c r="AM775" s="662"/>
      <c r="AN775" s="662"/>
      <c r="AO775" s="663">
        <f>I775</f>
        <v>1050</v>
      </c>
      <c r="AP775" s="663">
        <f>I775</f>
        <v>1050</v>
      </c>
      <c r="AR775" s="680"/>
      <c r="AS775" s="548"/>
      <c r="AT775" s="548"/>
      <c r="AU775" s="548"/>
      <c r="AV775" s="663"/>
      <c r="AW775" s="669"/>
      <c r="AX775" s="548"/>
      <c r="AY775" s="548"/>
      <c r="AZ775" s="663">
        <f>I775</f>
        <v>1050</v>
      </c>
      <c r="BB775" s="670">
        <f>I775/24*2</f>
        <v>87.5</v>
      </c>
      <c r="BC775" s="671"/>
      <c r="BD775" s="548"/>
      <c r="BE775" s="548"/>
      <c r="BF775" s="548"/>
      <c r="BY775" s="669"/>
      <c r="BZ775" s="548"/>
      <c r="CA775" s="672"/>
      <c r="CB775" s="567"/>
      <c r="CC775" s="673"/>
      <c r="CD775" s="669"/>
      <c r="CE775" s="669"/>
      <c r="CF775" s="548"/>
      <c r="CG775" s="548"/>
      <c r="CQ775" s="663">
        <f>I775/30</f>
        <v>35</v>
      </c>
      <c r="CU775" s="554">
        <f t="shared" si="277"/>
        <v>0</v>
      </c>
      <c r="CV775" s="663">
        <f t="shared" si="270"/>
        <v>35</v>
      </c>
      <c r="CW775" s="663">
        <f t="shared" si="271"/>
        <v>0</v>
      </c>
      <c r="CX775" s="669"/>
      <c r="CY775" s="669"/>
      <c r="CZ775" s="669"/>
      <c r="DA775" s="548"/>
      <c r="DB775" s="548"/>
      <c r="DC775" s="548"/>
      <c r="DD775" s="669"/>
      <c r="DE775" s="669"/>
      <c r="DF775" s="669"/>
      <c r="DG775" s="669"/>
      <c r="DH775" s="669"/>
    </row>
    <row r="776" s="548" customFormat="1" ht="31" customHeight="1" spans="1:112">
      <c r="A776" s="660">
        <v>45925</v>
      </c>
      <c r="B776" s="661" t="s">
        <v>871</v>
      </c>
      <c r="C776" s="662" t="s">
        <v>98</v>
      </c>
      <c r="D776" s="663">
        <v>4500180252</v>
      </c>
      <c r="E776" s="662" t="s">
        <v>7962</v>
      </c>
      <c r="F776" s="663" t="s">
        <v>7963</v>
      </c>
      <c r="G776" s="662" t="s">
        <v>6084</v>
      </c>
      <c r="H776" s="662" t="s">
        <v>6069</v>
      </c>
      <c r="I776" s="662">
        <v>16000</v>
      </c>
      <c r="J776" s="662">
        <v>0</v>
      </c>
      <c r="K776" s="662">
        <v>25</v>
      </c>
      <c r="L776" s="665">
        <f t="shared" si="268"/>
        <v>640</v>
      </c>
      <c r="M776" s="666">
        <v>45968</v>
      </c>
      <c r="N776" s="666">
        <v>45964</v>
      </c>
      <c r="O776" s="664"/>
      <c r="P776" s="664" t="s">
        <v>113</v>
      </c>
      <c r="Q776" s="662"/>
      <c r="R776" s="667">
        <v>45924</v>
      </c>
      <c r="S776" s="667" t="s">
        <v>70</v>
      </c>
      <c r="T776" s="667" t="s">
        <v>70</v>
      </c>
      <c r="U776" s="667"/>
      <c r="V776" s="667"/>
      <c r="W776" s="615"/>
      <c r="X776" s="661" t="s">
        <v>2260</v>
      </c>
      <c r="Y776" s="661" t="s">
        <v>355</v>
      </c>
      <c r="Z776" s="675">
        <v>0.5646</v>
      </c>
      <c r="AA776" s="634">
        <f t="shared" ref="AA776:AA781" si="278">Z776*I776</f>
        <v>9033.6</v>
      </c>
      <c r="AC776" s="638" t="s">
        <v>7964</v>
      </c>
      <c r="AD776" s="662" t="s">
        <v>6084</v>
      </c>
      <c r="AE776" s="662" t="s">
        <v>82</v>
      </c>
      <c r="AF776" s="662"/>
      <c r="AG776" s="662"/>
      <c r="AH776" s="662"/>
      <c r="AI776" s="662">
        <f>7875+8125</f>
        <v>16000</v>
      </c>
      <c r="AJ776" s="662">
        <f t="shared" si="256"/>
        <v>0</v>
      </c>
      <c r="AK776" s="662"/>
      <c r="AL776" s="662"/>
      <c r="AM776" s="662"/>
      <c r="AN776" s="662">
        <f>I776</f>
        <v>16000</v>
      </c>
      <c r="AO776" s="663"/>
      <c r="AP776" s="554">
        <f>I776</f>
        <v>16000</v>
      </c>
      <c r="AR776" s="680"/>
      <c r="AS776" s="548"/>
      <c r="AT776" s="548"/>
      <c r="AU776" s="554">
        <f>I776</f>
        <v>16000</v>
      </c>
      <c r="AV776" s="663"/>
      <c r="AW776" s="669"/>
      <c r="AX776" s="663"/>
      <c r="AY776" s="548"/>
      <c r="AZ776" s="548"/>
      <c r="BA776" s="548"/>
      <c r="BB776" s="670">
        <f>I776/24</f>
        <v>666.666666666667</v>
      </c>
      <c r="BC776" s="671"/>
      <c r="BD776" s="548"/>
      <c r="BE776" s="548"/>
      <c r="BF776" s="548"/>
      <c r="BN776" s="663">
        <f>I776/25</f>
        <v>640</v>
      </c>
      <c r="BY776" s="669"/>
      <c r="BZ776" s="548"/>
      <c r="CA776" s="672"/>
      <c r="CB776" s="567"/>
      <c r="CC776" s="673"/>
      <c r="CD776" s="669"/>
      <c r="CE776" s="669"/>
      <c r="CF776" s="548"/>
      <c r="CG776" s="548"/>
      <c r="CU776" s="554">
        <f t="shared" si="277"/>
        <v>640</v>
      </c>
      <c r="CV776" s="663">
        <f t="shared" si="270"/>
        <v>0</v>
      </c>
      <c r="CW776" s="663">
        <f t="shared" si="271"/>
        <v>0</v>
      </c>
      <c r="CX776" s="669"/>
      <c r="CY776" s="669"/>
      <c r="CZ776" s="669"/>
      <c r="DA776" s="548"/>
      <c r="DB776" s="548"/>
      <c r="DC776" s="548"/>
      <c r="DD776" s="669"/>
      <c r="DE776" s="669"/>
      <c r="DF776" s="669"/>
      <c r="DG776" s="669"/>
      <c r="DH776" s="669"/>
    </row>
    <row r="777" s="548" customFormat="1" ht="31" customHeight="1" spans="1:112">
      <c r="A777" s="660">
        <v>45943</v>
      </c>
      <c r="B777" s="661" t="s">
        <v>7965</v>
      </c>
      <c r="C777" s="662" t="s">
        <v>847</v>
      </c>
      <c r="D777" s="663" t="s">
        <v>7966</v>
      </c>
      <c r="E777" s="662" t="s">
        <v>7967</v>
      </c>
      <c r="F777" s="548"/>
      <c r="G777" s="662" t="s">
        <v>7968</v>
      </c>
      <c r="H777" s="662" t="s">
        <v>7969</v>
      </c>
      <c r="I777" s="662">
        <v>50004</v>
      </c>
      <c r="J777" s="662">
        <v>0</v>
      </c>
      <c r="K777" s="662">
        <v>12</v>
      </c>
      <c r="L777" s="665">
        <f t="shared" si="268"/>
        <v>4167</v>
      </c>
      <c r="M777" s="666">
        <v>45968</v>
      </c>
      <c r="N777" s="666">
        <v>45967</v>
      </c>
      <c r="O777" s="664"/>
      <c r="P777" s="664" t="s">
        <v>113</v>
      </c>
      <c r="Q777" s="662" t="s">
        <v>7970</v>
      </c>
      <c r="R777" s="667" t="s">
        <v>1242</v>
      </c>
      <c r="S777" s="667" t="s">
        <v>70</v>
      </c>
      <c r="T777" s="667" t="s">
        <v>7971</v>
      </c>
      <c r="U777" s="667"/>
      <c r="V777" s="667"/>
      <c r="W777" s="615"/>
      <c r="X777" s="661" t="s">
        <v>7972</v>
      </c>
      <c r="Y777" s="661" t="s">
        <v>615</v>
      </c>
      <c r="Z777" s="675">
        <v>0.89</v>
      </c>
      <c r="AA777" s="634">
        <f t="shared" si="278"/>
        <v>44503.56</v>
      </c>
      <c r="AC777" s="638"/>
      <c r="AD777" s="662" t="s">
        <v>7968</v>
      </c>
      <c r="AE777" s="662" t="s">
        <v>82</v>
      </c>
      <c r="AF777" s="662"/>
      <c r="AG777" s="662"/>
      <c r="AH777" s="662"/>
      <c r="AI777" s="662">
        <f>37536+12468</f>
        <v>50004</v>
      </c>
      <c r="AJ777" s="662">
        <f t="shared" si="256"/>
        <v>0</v>
      </c>
      <c r="AK777" s="662"/>
      <c r="AL777" s="662"/>
      <c r="AM777" s="662"/>
      <c r="AN777" s="662"/>
      <c r="AO777" s="663">
        <f t="shared" ref="AO777:AO782" si="279">I777</f>
        <v>50004</v>
      </c>
      <c r="AR777" s="680"/>
      <c r="AS777" s="548"/>
      <c r="AT777" s="554">
        <f>I777</f>
        <v>50004</v>
      </c>
      <c r="AU777" s="663"/>
      <c r="AV777" s="554">
        <f>I777</f>
        <v>50004</v>
      </c>
      <c r="AW777" s="669"/>
      <c r="AX777" s="663"/>
      <c r="AY777" s="548"/>
      <c r="AZ777" s="548"/>
      <c r="BA777" s="548"/>
      <c r="BB777" s="620">
        <f>I777/24</f>
        <v>2083.5</v>
      </c>
      <c r="BC777" s="671"/>
      <c r="BD777" s="548"/>
      <c r="BE777" s="548"/>
      <c r="BF777" s="548"/>
      <c r="BM777" s="663">
        <f>I777/12</f>
        <v>4167</v>
      </c>
      <c r="BY777" s="669"/>
      <c r="BZ777" s="548"/>
      <c r="CA777" s="672"/>
      <c r="CB777" s="567"/>
      <c r="CC777" s="673"/>
      <c r="CD777" s="669"/>
      <c r="CE777" s="669"/>
      <c r="CF777" s="548"/>
      <c r="CG777" s="548"/>
      <c r="CU777" s="554">
        <f t="shared" si="277"/>
        <v>0</v>
      </c>
      <c r="CV777" s="663">
        <f t="shared" si="270"/>
        <v>0</v>
      </c>
      <c r="CW777" s="663">
        <f t="shared" si="271"/>
        <v>0</v>
      </c>
      <c r="CX777" s="669"/>
      <c r="CY777" s="669"/>
      <c r="CZ777" s="669"/>
      <c r="DA777" s="548"/>
      <c r="DB777" s="548"/>
      <c r="DC777" s="548"/>
      <c r="DD777" s="669"/>
      <c r="DE777" s="669"/>
      <c r="DF777" s="669"/>
      <c r="DG777" s="669"/>
      <c r="DH777" s="669"/>
    </row>
    <row r="778" s="548" customFormat="1" ht="31" customHeight="1" spans="1:112">
      <c r="A778" s="660">
        <v>45912</v>
      </c>
      <c r="B778" s="661" t="s">
        <v>1332</v>
      </c>
      <c r="C778" s="662" t="s">
        <v>590</v>
      </c>
      <c r="D778" s="663">
        <v>4500180194</v>
      </c>
      <c r="E778" s="662"/>
      <c r="F778" s="663" t="s">
        <v>7973</v>
      </c>
      <c r="G778" s="662" t="s">
        <v>6448</v>
      </c>
      <c r="H778" s="662" t="s">
        <v>6449</v>
      </c>
      <c r="I778" s="662">
        <v>1200</v>
      </c>
      <c r="J778" s="662">
        <v>0</v>
      </c>
      <c r="K778" s="662">
        <v>50</v>
      </c>
      <c r="L778" s="665">
        <f t="shared" si="268"/>
        <v>24</v>
      </c>
      <c r="M778" s="666">
        <v>45975</v>
      </c>
      <c r="N778" s="666">
        <v>45971</v>
      </c>
      <c r="O778" s="664" t="s">
        <v>7974</v>
      </c>
      <c r="P778" s="664" t="s">
        <v>113</v>
      </c>
      <c r="Q778" s="662"/>
      <c r="R778" s="667">
        <v>45923</v>
      </c>
      <c r="S778" s="667" t="s">
        <v>70</v>
      </c>
      <c r="T778" s="667" t="s">
        <v>7975</v>
      </c>
      <c r="U778" s="667"/>
      <c r="V778" s="667"/>
      <c r="W778" s="615"/>
      <c r="X778" s="661" t="s">
        <v>7976</v>
      </c>
      <c r="Y778" s="661" t="s">
        <v>230</v>
      </c>
      <c r="Z778" s="675">
        <v>0.992</v>
      </c>
      <c r="AA778" s="634">
        <f t="shared" si="278"/>
        <v>1190.4</v>
      </c>
      <c r="AC778" s="638" t="s">
        <v>2173</v>
      </c>
      <c r="AD778" s="662" t="s">
        <v>6448</v>
      </c>
      <c r="AE778" s="662" t="s">
        <v>82</v>
      </c>
      <c r="AF778" s="662"/>
      <c r="AG778" s="662"/>
      <c r="AH778" s="662"/>
      <c r="AI778" s="662">
        <v>1200</v>
      </c>
      <c r="AJ778" s="662">
        <f t="shared" si="256"/>
        <v>0</v>
      </c>
      <c r="AK778" s="662"/>
      <c r="AL778" s="662"/>
      <c r="AM778" s="662"/>
      <c r="AN778" s="662"/>
      <c r="AO778" s="663">
        <f t="shared" si="279"/>
        <v>1200</v>
      </c>
      <c r="AR778" s="680"/>
      <c r="AS778" s="548"/>
      <c r="AT778" s="554">
        <f>I778</f>
        <v>1200</v>
      </c>
      <c r="AU778" s="663"/>
      <c r="AV778" s="663"/>
      <c r="AW778" s="669"/>
      <c r="AX778" s="663"/>
      <c r="AY778" s="548"/>
      <c r="AZ778" s="663">
        <f>I778</f>
        <v>1200</v>
      </c>
      <c r="BB778" s="620">
        <f>I778/24</f>
        <v>50</v>
      </c>
      <c r="BC778" s="671"/>
      <c r="BD778" s="548"/>
      <c r="BE778" s="548"/>
      <c r="BF778" s="548"/>
      <c r="BX778" s="663">
        <f>I778/25</f>
        <v>48</v>
      </c>
      <c r="BY778" s="669"/>
      <c r="BZ778" s="548"/>
      <c r="CA778" s="672"/>
      <c r="CB778" s="567"/>
      <c r="CC778" s="673"/>
      <c r="CD778" s="669"/>
      <c r="CE778" s="669"/>
      <c r="CF778" s="548"/>
      <c r="CG778" s="548"/>
      <c r="CU778" s="554">
        <f t="shared" si="277"/>
        <v>48</v>
      </c>
      <c r="CV778" s="663">
        <f t="shared" si="270"/>
        <v>0</v>
      </c>
      <c r="CW778" s="663">
        <f t="shared" si="271"/>
        <v>0</v>
      </c>
      <c r="CX778" s="669"/>
      <c r="CY778" s="669"/>
      <c r="CZ778" s="669"/>
      <c r="DA778" s="548"/>
      <c r="DB778" s="548"/>
      <c r="DC778" s="548"/>
      <c r="DD778" s="669"/>
      <c r="DE778" s="669"/>
      <c r="DF778" s="669"/>
      <c r="DG778" s="669"/>
      <c r="DH778" s="669"/>
    </row>
    <row r="779" s="548" customFormat="1" ht="31" customHeight="1" spans="1:112">
      <c r="A779" s="660">
        <v>45912</v>
      </c>
      <c r="B779" s="661" t="s">
        <v>1332</v>
      </c>
      <c r="C779" s="662" t="s">
        <v>590</v>
      </c>
      <c r="D779" s="663">
        <v>4500180194</v>
      </c>
      <c r="E779" s="662"/>
      <c r="F779" s="663" t="s">
        <v>7977</v>
      </c>
      <c r="G779" s="662" t="s">
        <v>6448</v>
      </c>
      <c r="H779" s="662" t="s">
        <v>6449</v>
      </c>
      <c r="I779" s="662">
        <v>1300</v>
      </c>
      <c r="J779" s="662">
        <v>0</v>
      </c>
      <c r="K779" s="662">
        <v>50</v>
      </c>
      <c r="L779" s="665">
        <f t="shared" si="268"/>
        <v>26</v>
      </c>
      <c r="M779" s="666">
        <v>45975</v>
      </c>
      <c r="N779" s="666">
        <v>45971</v>
      </c>
      <c r="O779" s="664" t="s">
        <v>7974</v>
      </c>
      <c r="P779" s="664" t="s">
        <v>113</v>
      </c>
      <c r="Q779" s="662"/>
      <c r="R779" s="667">
        <v>45923</v>
      </c>
      <c r="S779" s="667" t="s">
        <v>70</v>
      </c>
      <c r="T779" s="667" t="s">
        <v>7975</v>
      </c>
      <c r="U779" s="667"/>
      <c r="V779" s="667"/>
      <c r="W779" s="615"/>
      <c r="X779" s="661" t="s">
        <v>7978</v>
      </c>
      <c r="Y779" s="661" t="s">
        <v>230</v>
      </c>
      <c r="Z779" s="675">
        <v>0.992</v>
      </c>
      <c r="AA779" s="634">
        <f t="shared" si="278"/>
        <v>1289.6</v>
      </c>
      <c r="AC779" s="638" t="s">
        <v>2173</v>
      </c>
      <c r="AD779" s="662" t="s">
        <v>6448</v>
      </c>
      <c r="AE779" s="662" t="s">
        <v>82</v>
      </c>
      <c r="AF779" s="662"/>
      <c r="AG779" s="662"/>
      <c r="AH779" s="662"/>
      <c r="AI779" s="662">
        <v>1300</v>
      </c>
      <c r="AJ779" s="662">
        <f t="shared" si="256"/>
        <v>0</v>
      </c>
      <c r="AK779" s="662"/>
      <c r="AL779" s="662"/>
      <c r="AM779" s="662"/>
      <c r="AN779" s="662"/>
      <c r="AO779" s="663">
        <f t="shared" si="279"/>
        <v>1300</v>
      </c>
      <c r="AR779" s="680"/>
      <c r="AS779" s="548"/>
      <c r="AT779" s="554">
        <f>I779</f>
        <v>1300</v>
      </c>
      <c r="AU779" s="663"/>
      <c r="AV779" s="663"/>
      <c r="AW779" s="669"/>
      <c r="AX779" s="663"/>
      <c r="AY779" s="548"/>
      <c r="AZ779" s="663">
        <f>I779</f>
        <v>1300</v>
      </c>
      <c r="BB779" s="620">
        <f>I779/24</f>
        <v>54.1666666666667</v>
      </c>
      <c r="BC779" s="671"/>
      <c r="BD779" s="548"/>
      <c r="BE779" s="548"/>
      <c r="BF779" s="548"/>
      <c r="BX779" s="663">
        <f>I779/25</f>
        <v>52</v>
      </c>
      <c r="BY779" s="669"/>
      <c r="BZ779" s="548"/>
      <c r="CA779" s="672"/>
      <c r="CB779" s="567"/>
      <c r="CC779" s="673"/>
      <c r="CD779" s="669"/>
      <c r="CE779" s="669"/>
      <c r="CF779" s="548"/>
      <c r="CG779" s="548"/>
      <c r="CU779" s="554">
        <f t="shared" si="277"/>
        <v>52</v>
      </c>
      <c r="CV779" s="663">
        <f t="shared" si="270"/>
        <v>0</v>
      </c>
      <c r="CW779" s="663">
        <f t="shared" si="271"/>
        <v>0</v>
      </c>
      <c r="CX779" s="669"/>
      <c r="CY779" s="669"/>
      <c r="CZ779" s="669"/>
      <c r="DA779" s="548"/>
      <c r="DB779" s="548"/>
      <c r="DC779" s="548"/>
      <c r="DD779" s="669"/>
      <c r="DE779" s="669"/>
      <c r="DF779" s="669"/>
      <c r="DG779" s="669"/>
      <c r="DH779" s="669"/>
    </row>
    <row r="780" s="548" customFormat="1" ht="31" customHeight="1" spans="1:112">
      <c r="A780" s="641">
        <v>45944</v>
      </c>
      <c r="B780" s="642" t="s">
        <v>211</v>
      </c>
      <c r="C780" s="246" t="s">
        <v>212</v>
      </c>
      <c r="D780" s="551">
        <v>4500181813</v>
      </c>
      <c r="E780" s="246" t="s">
        <v>7979</v>
      </c>
      <c r="F780" s="551" t="s">
        <v>7980</v>
      </c>
      <c r="G780" s="246" t="s">
        <v>6040</v>
      </c>
      <c r="H780" s="246" t="s">
        <v>6041</v>
      </c>
      <c r="I780" s="246">
        <v>624</v>
      </c>
      <c r="J780" s="246">
        <v>0</v>
      </c>
      <c r="K780" s="246">
        <v>52</v>
      </c>
      <c r="L780" s="644">
        <f t="shared" si="268"/>
        <v>12</v>
      </c>
      <c r="M780" s="645">
        <v>45985</v>
      </c>
      <c r="N780" s="645">
        <v>45981</v>
      </c>
      <c r="O780" s="643"/>
      <c r="P780" s="643" t="s">
        <v>113</v>
      </c>
      <c r="Q780" s="246" t="s">
        <v>7981</v>
      </c>
      <c r="R780" s="646">
        <v>45944</v>
      </c>
      <c r="S780" s="646" t="s">
        <v>70</v>
      </c>
      <c r="T780" s="646" t="s">
        <v>7982</v>
      </c>
      <c r="U780" s="646"/>
      <c r="V780" s="646"/>
      <c r="W780" s="615"/>
      <c r="X780" s="642" t="s">
        <v>7983</v>
      </c>
      <c r="Y780" s="642" t="s">
        <v>1793</v>
      </c>
      <c r="Z780" s="655">
        <v>0.9003</v>
      </c>
      <c r="AA780" s="647">
        <f t="shared" si="278"/>
        <v>561.7872</v>
      </c>
      <c r="AC780" s="648" t="s">
        <v>7984</v>
      </c>
      <c r="AD780" s="246" t="s">
        <v>6040</v>
      </c>
      <c r="AE780" s="246" t="s">
        <v>82</v>
      </c>
      <c r="AF780" s="246"/>
      <c r="AG780" s="246"/>
      <c r="AH780" s="246"/>
      <c r="AI780" s="246">
        <v>624</v>
      </c>
      <c r="AJ780" s="246">
        <f t="shared" si="256"/>
        <v>0</v>
      </c>
      <c r="AK780" s="246"/>
      <c r="AL780" s="246"/>
      <c r="AM780" s="246"/>
      <c r="AN780" s="246"/>
      <c r="AO780" s="551">
        <f t="shared" si="279"/>
        <v>624</v>
      </c>
      <c r="AR780" s="680"/>
      <c r="AS780" s="548"/>
      <c r="AT780" s="554">
        <f>I780</f>
        <v>624</v>
      </c>
      <c r="AV780" s="554">
        <f>I780</f>
        <v>624</v>
      </c>
      <c r="AW780" s="650"/>
      <c r="AX780" s="548"/>
      <c r="AY780" s="548"/>
      <c r="AZ780" s="548"/>
      <c r="BA780" s="548"/>
      <c r="BB780" s="620">
        <f>I780/24</f>
        <v>26</v>
      </c>
      <c r="BC780" s="651"/>
      <c r="BD780" s="548"/>
      <c r="BE780" s="548"/>
      <c r="BF780" s="548"/>
      <c r="BM780" s="551">
        <f>I780/13</f>
        <v>48</v>
      </c>
      <c r="BY780" s="650"/>
      <c r="BZ780" s="548"/>
      <c r="CA780" s="652"/>
      <c r="CB780" s="567"/>
      <c r="CC780" s="653"/>
      <c r="CD780" s="650"/>
      <c r="CE780" s="650"/>
      <c r="CF780" s="548"/>
      <c r="CG780" s="548"/>
      <c r="CU780" s="554">
        <f t="shared" si="277"/>
        <v>0</v>
      </c>
      <c r="CV780" s="551">
        <f t="shared" si="270"/>
        <v>0</v>
      </c>
      <c r="CW780" s="551">
        <f t="shared" si="271"/>
        <v>0</v>
      </c>
      <c r="CX780" s="650"/>
      <c r="CY780" s="650"/>
      <c r="CZ780" s="650"/>
      <c r="DA780" s="548"/>
      <c r="DB780" s="548"/>
      <c r="DC780" s="548"/>
      <c r="DD780" s="650"/>
      <c r="DE780" s="650"/>
      <c r="DF780" s="650"/>
      <c r="DG780" s="650"/>
      <c r="DH780" s="650"/>
    </row>
    <row r="781" s="548" customFormat="1" ht="31" customHeight="1" spans="1:112">
      <c r="A781" s="641">
        <v>45926</v>
      </c>
      <c r="B781" s="642" t="s">
        <v>884</v>
      </c>
      <c r="C781" s="246" t="s">
        <v>885</v>
      </c>
      <c r="D781" s="551">
        <v>4500180436</v>
      </c>
      <c r="E781" s="246" t="s">
        <v>886</v>
      </c>
      <c r="F781" s="551" t="s">
        <v>7985</v>
      </c>
      <c r="G781" s="246" t="s">
        <v>6448</v>
      </c>
      <c r="H781" s="246" t="s">
        <v>6449</v>
      </c>
      <c r="I781" s="246">
        <v>4750</v>
      </c>
      <c r="J781" s="246">
        <v>0</v>
      </c>
      <c r="K781" s="246">
        <v>50</v>
      </c>
      <c r="L781" s="644">
        <f t="shared" si="268"/>
        <v>95</v>
      </c>
      <c r="M781" s="645">
        <v>45985</v>
      </c>
      <c r="N781" s="645">
        <v>45981</v>
      </c>
      <c r="O781" s="643"/>
      <c r="P781" s="643" t="s">
        <v>113</v>
      </c>
      <c r="Q781" s="246"/>
      <c r="R781" s="646">
        <v>45941</v>
      </c>
      <c r="S781" s="646" t="s">
        <v>70</v>
      </c>
      <c r="T781" s="646"/>
      <c r="U781" s="646"/>
      <c r="V781" s="646"/>
      <c r="W781" s="615"/>
      <c r="X781" s="642" t="s">
        <v>7986</v>
      </c>
      <c r="Y781" s="642" t="s">
        <v>2398</v>
      </c>
      <c r="Z781" s="655">
        <v>0.9373</v>
      </c>
      <c r="AA781" s="647">
        <f t="shared" si="278"/>
        <v>4452.175</v>
      </c>
      <c r="AC781" s="648" t="s">
        <v>7987</v>
      </c>
      <c r="AD781" s="246" t="s">
        <v>7959</v>
      </c>
      <c r="AE781" s="246" t="s">
        <v>82</v>
      </c>
      <c r="AF781" s="246"/>
      <c r="AG781" s="246"/>
      <c r="AH781" s="246"/>
      <c r="AI781" s="246">
        <v>4800</v>
      </c>
      <c r="AJ781" s="246">
        <f t="shared" si="256"/>
        <v>50</v>
      </c>
      <c r="AK781" s="246"/>
      <c r="AL781" s="246"/>
      <c r="AM781" s="246"/>
      <c r="AN781" s="246"/>
      <c r="AO781" s="551">
        <f t="shared" si="279"/>
        <v>4750</v>
      </c>
      <c r="AP781" s="551">
        <f>I781</f>
        <v>4750</v>
      </c>
      <c r="AR781" s="680"/>
      <c r="AS781" s="548"/>
      <c r="AT781" s="548"/>
      <c r="AU781" s="548"/>
      <c r="AV781" s="551"/>
      <c r="AW781" s="650"/>
      <c r="AX781" s="548"/>
      <c r="AY781" s="548"/>
      <c r="AZ781" s="551">
        <f>I781</f>
        <v>4750</v>
      </c>
      <c r="BB781" s="249">
        <f t="shared" ref="BB780:BB787" si="280">I781/24</f>
        <v>197.916666666667</v>
      </c>
      <c r="BC781" s="651"/>
      <c r="BD781" s="548"/>
      <c r="BE781" s="548"/>
      <c r="BF781" s="548"/>
      <c r="BX781" s="663">
        <f>I781/25</f>
        <v>190</v>
      </c>
      <c r="BY781" s="650"/>
      <c r="BZ781" s="548"/>
      <c r="CA781" s="652"/>
      <c r="CB781" s="567"/>
      <c r="CC781" s="653"/>
      <c r="CD781" s="650"/>
      <c r="CE781" s="650"/>
      <c r="CF781" s="548"/>
      <c r="CG781" s="548"/>
      <c r="CU781" s="554">
        <f t="shared" si="277"/>
        <v>190</v>
      </c>
      <c r="CV781" s="663">
        <f t="shared" si="270"/>
        <v>0</v>
      </c>
      <c r="CW781" s="663">
        <f t="shared" si="271"/>
        <v>0</v>
      </c>
      <c r="CX781" s="650"/>
      <c r="CY781" s="650"/>
      <c r="CZ781" s="680"/>
      <c r="DA781" s="548"/>
      <c r="DB781" s="548"/>
      <c r="DC781" s="650"/>
      <c r="DD781" s="650"/>
      <c r="DE781" s="650"/>
      <c r="DF781" s="650"/>
      <c r="DG781" s="650"/>
      <c r="DH781" s="680"/>
    </row>
    <row r="782" s="548" customFormat="1" ht="31" customHeight="1" spans="1:112">
      <c r="A782" s="641">
        <v>45926</v>
      </c>
      <c r="B782" s="642" t="s">
        <v>884</v>
      </c>
      <c r="C782" s="246" t="s">
        <v>885</v>
      </c>
      <c r="D782" s="551">
        <v>4500180436</v>
      </c>
      <c r="E782" s="246" t="s">
        <v>886</v>
      </c>
      <c r="F782" s="551" t="s">
        <v>7988</v>
      </c>
      <c r="G782" s="246" t="s">
        <v>6708</v>
      </c>
      <c r="H782" s="246" t="s">
        <v>6709</v>
      </c>
      <c r="I782" s="246">
        <v>1800</v>
      </c>
      <c r="J782" s="246">
        <v>0</v>
      </c>
      <c r="K782" s="246">
        <v>30</v>
      </c>
      <c r="L782" s="644">
        <f t="shared" si="268"/>
        <v>60</v>
      </c>
      <c r="M782" s="645">
        <v>45985</v>
      </c>
      <c r="N782" s="645">
        <v>45981</v>
      </c>
      <c r="O782" s="643"/>
      <c r="P782" s="643" t="s">
        <v>113</v>
      </c>
      <c r="Q782" s="246"/>
      <c r="R782" s="646">
        <v>45941</v>
      </c>
      <c r="S782" s="646" t="s">
        <v>70</v>
      </c>
      <c r="T782" s="646"/>
      <c r="U782" s="646"/>
      <c r="V782" s="646"/>
      <c r="W782" s="615"/>
      <c r="X782" s="642" t="s">
        <v>7989</v>
      </c>
      <c r="Y782" s="642" t="s">
        <v>2398</v>
      </c>
      <c r="Z782" s="642">
        <v>41.0747</v>
      </c>
      <c r="AA782" s="647">
        <f>Z782*L782</f>
        <v>2464.482</v>
      </c>
      <c r="AC782" s="648" t="s">
        <v>7987</v>
      </c>
      <c r="AD782" s="246" t="s">
        <v>6708</v>
      </c>
      <c r="AE782" s="246" t="s">
        <v>82</v>
      </c>
      <c r="AF782" s="246"/>
      <c r="AG782" s="246"/>
      <c r="AH782" s="246"/>
      <c r="AI782" s="246">
        <f>1770+30</f>
        <v>1800</v>
      </c>
      <c r="AJ782" s="246">
        <f t="shared" si="256"/>
        <v>0</v>
      </c>
      <c r="AK782" s="246"/>
      <c r="AL782" s="246"/>
      <c r="AM782" s="246"/>
      <c r="AN782" s="246"/>
      <c r="AO782" s="551">
        <f t="shared" si="279"/>
        <v>1800</v>
      </c>
      <c r="AP782" s="551">
        <f>I782</f>
        <v>1800</v>
      </c>
      <c r="AR782" s="680"/>
      <c r="AS782" s="548"/>
      <c r="AT782" s="548"/>
      <c r="AU782" s="548"/>
      <c r="AV782" s="551"/>
      <c r="AW782" s="650"/>
      <c r="AX782" s="548"/>
      <c r="AY782" s="548"/>
      <c r="AZ782" s="551">
        <f>I782</f>
        <v>1800</v>
      </c>
      <c r="BB782" s="249">
        <f t="shared" si="280"/>
        <v>75</v>
      </c>
      <c r="BC782" s="651"/>
      <c r="BD782" s="548"/>
      <c r="BE782" s="548"/>
      <c r="BF782" s="548"/>
      <c r="BY782" s="650"/>
      <c r="BZ782" s="548"/>
      <c r="CA782" s="652"/>
      <c r="CB782" s="567"/>
      <c r="CC782" s="653"/>
      <c r="CD782" s="650"/>
      <c r="CE782" s="650"/>
      <c r="CF782" s="548"/>
      <c r="CG782" s="548"/>
      <c r="CQ782" s="551">
        <f>I782/30</f>
        <v>60</v>
      </c>
      <c r="CU782" s="554">
        <f t="shared" si="277"/>
        <v>0</v>
      </c>
      <c r="CV782" s="551">
        <f t="shared" ref="CV782:CV787" si="281">CK782+CL782+CM782+CN782+CO782+CQ782+CP782</f>
        <v>60</v>
      </c>
      <c r="CW782" s="551">
        <f t="shared" ref="CW782:CW787" si="282">CI782+CJ782</f>
        <v>0</v>
      </c>
      <c r="CX782" s="650"/>
      <c r="CY782" s="650"/>
      <c r="CZ782" s="650"/>
      <c r="DA782" s="548"/>
      <c r="DB782" s="548"/>
      <c r="DC782" s="548"/>
      <c r="DD782" s="650"/>
      <c r="DE782" s="650"/>
      <c r="DF782" s="650"/>
      <c r="DG782" s="650"/>
      <c r="DH782" s="650"/>
    </row>
    <row r="783" s="548" customFormat="1" ht="31" customHeight="1" spans="1:112">
      <c r="A783" s="641">
        <v>45950</v>
      </c>
      <c r="B783" s="642" t="s">
        <v>143</v>
      </c>
      <c r="C783" s="246" t="s">
        <v>98</v>
      </c>
      <c r="D783" s="551">
        <v>4500182433</v>
      </c>
      <c r="E783" s="643">
        <v>952702600</v>
      </c>
      <c r="F783" s="551" t="s">
        <v>7990</v>
      </c>
      <c r="G783" s="246" t="s">
        <v>6063</v>
      </c>
      <c r="H783" s="246" t="s">
        <v>6064</v>
      </c>
      <c r="I783" s="246">
        <v>48000</v>
      </c>
      <c r="J783" s="246">
        <v>0</v>
      </c>
      <c r="K783" s="246">
        <v>16</v>
      </c>
      <c r="L783" s="644">
        <f t="shared" si="268"/>
        <v>3000</v>
      </c>
      <c r="M783" s="645">
        <v>45989</v>
      </c>
      <c r="N783" s="645">
        <v>45985</v>
      </c>
      <c r="O783" s="643" t="s">
        <v>7991</v>
      </c>
      <c r="P783" s="643" t="s">
        <v>113</v>
      </c>
      <c r="Q783" s="246"/>
      <c r="R783" s="646" t="s">
        <v>7064</v>
      </c>
      <c r="S783" s="646" t="s">
        <v>70</v>
      </c>
      <c r="T783" s="646" t="s">
        <v>148</v>
      </c>
      <c r="U783" s="646"/>
      <c r="V783" s="646"/>
      <c r="W783" s="615"/>
      <c r="X783" s="642" t="s">
        <v>7065</v>
      </c>
      <c r="Y783" s="642" t="s">
        <v>106</v>
      </c>
      <c r="Z783" s="642">
        <v>0.5783</v>
      </c>
      <c r="AA783" s="647">
        <f t="shared" ref="AA783:AA788" si="283">Z783*I783</f>
        <v>27758.4</v>
      </c>
      <c r="AC783" s="648" t="s">
        <v>7992</v>
      </c>
      <c r="AD783" s="246" t="s">
        <v>6063</v>
      </c>
      <c r="AE783" s="246" t="s">
        <v>82</v>
      </c>
      <c r="AF783" s="246"/>
      <c r="AG783" s="246"/>
      <c r="AH783" s="246"/>
      <c r="AI783" s="246">
        <f>32640+15360</f>
        <v>48000</v>
      </c>
      <c r="AJ783" s="246">
        <f t="shared" si="256"/>
        <v>0</v>
      </c>
      <c r="AK783" s="246"/>
      <c r="AL783" s="246"/>
      <c r="AM783" s="246"/>
      <c r="AN783" s="246">
        <f>I783</f>
        <v>48000</v>
      </c>
      <c r="AO783" s="551"/>
      <c r="AP783" s="554">
        <f>I783</f>
        <v>48000</v>
      </c>
      <c r="AR783" s="680"/>
      <c r="AS783" s="548"/>
      <c r="AT783" s="548"/>
      <c r="AU783" s="554">
        <f>I783</f>
        <v>48000</v>
      </c>
      <c r="AV783" s="551"/>
      <c r="AW783" s="650"/>
      <c r="AX783" s="551"/>
      <c r="AY783" s="548"/>
      <c r="AZ783" s="548"/>
      <c r="BA783" s="548"/>
      <c r="BB783" s="249">
        <f t="shared" si="280"/>
        <v>2000</v>
      </c>
      <c r="BC783" s="651"/>
      <c r="BD783" s="548"/>
      <c r="BE783" s="548"/>
      <c r="BF783" s="548"/>
      <c r="BQ783" s="551">
        <f>I783/16</f>
        <v>3000</v>
      </c>
      <c r="BY783" s="650"/>
      <c r="BZ783" s="548"/>
      <c r="CA783" s="652"/>
      <c r="CB783" s="567"/>
      <c r="CC783" s="653"/>
      <c r="CD783" s="650"/>
      <c r="CE783" s="650"/>
      <c r="CF783" s="548"/>
      <c r="CG783" s="548"/>
      <c r="CU783" s="554">
        <f t="shared" si="277"/>
        <v>3000</v>
      </c>
      <c r="CV783" s="551">
        <f t="shared" si="281"/>
        <v>0</v>
      </c>
      <c r="CW783" s="551">
        <f t="shared" si="282"/>
        <v>0</v>
      </c>
      <c r="CX783" s="650"/>
      <c r="CY783" s="650"/>
      <c r="CZ783" s="650"/>
      <c r="DA783" s="548"/>
      <c r="DB783" s="548"/>
      <c r="DC783" s="548"/>
      <c r="DD783" s="650"/>
      <c r="DE783" s="650"/>
      <c r="DF783" s="650"/>
      <c r="DG783" s="650"/>
      <c r="DH783" s="650"/>
    </row>
    <row r="784" s="548" customFormat="1" ht="31" customHeight="1" spans="1:112">
      <c r="A784" s="641">
        <v>45946</v>
      </c>
      <c r="B784" s="642" t="s">
        <v>7993</v>
      </c>
      <c r="C784" s="246" t="s">
        <v>914</v>
      </c>
      <c r="D784" s="551">
        <v>4500182255</v>
      </c>
      <c r="E784" s="246" t="s">
        <v>7994</v>
      </c>
      <c r="F784" s="551" t="s">
        <v>7995</v>
      </c>
      <c r="G784" s="246" t="s">
        <v>6093</v>
      </c>
      <c r="H784" s="662" t="s">
        <v>6094</v>
      </c>
      <c r="I784" s="246">
        <v>221</v>
      </c>
      <c r="J784" s="246">
        <v>0</v>
      </c>
      <c r="K784" s="246">
        <v>13</v>
      </c>
      <c r="L784" s="644">
        <f t="shared" si="268"/>
        <v>17</v>
      </c>
      <c r="M784" s="645">
        <v>45992</v>
      </c>
      <c r="N784" s="645">
        <v>45988</v>
      </c>
      <c r="O784" s="643"/>
      <c r="P784" s="643" t="s">
        <v>113</v>
      </c>
      <c r="Q784" s="246"/>
      <c r="R784" s="646">
        <v>45957</v>
      </c>
      <c r="S784" s="646" t="s">
        <v>70</v>
      </c>
      <c r="T784" s="646" t="s">
        <v>7996</v>
      </c>
      <c r="U784" s="646"/>
      <c r="V784" s="646"/>
      <c r="W784" s="615"/>
      <c r="X784" s="642" t="s">
        <v>7997</v>
      </c>
      <c r="Y784" s="642" t="s">
        <v>299</v>
      </c>
      <c r="Z784" s="642">
        <v>0.9168</v>
      </c>
      <c r="AA784" s="647">
        <f t="shared" si="283"/>
        <v>202.6128</v>
      </c>
      <c r="AC784" s="658" t="s">
        <v>7998</v>
      </c>
      <c r="AD784" s="246" t="s">
        <v>6093</v>
      </c>
      <c r="AE784" s="246" t="s">
        <v>82</v>
      </c>
      <c r="AF784" s="246"/>
      <c r="AG784" s="246"/>
      <c r="AH784" s="246"/>
      <c r="AI784" s="246">
        <v>221</v>
      </c>
      <c r="AJ784" s="246">
        <f t="shared" si="256"/>
        <v>0</v>
      </c>
      <c r="AK784" s="246"/>
      <c r="AL784" s="246"/>
      <c r="AM784" s="246"/>
      <c r="AN784" s="246"/>
      <c r="AO784" s="551">
        <f>I784</f>
        <v>221</v>
      </c>
      <c r="AR784" s="680"/>
      <c r="AS784" s="548"/>
      <c r="AT784" s="554">
        <f>I784</f>
        <v>221</v>
      </c>
      <c r="AU784" s="551"/>
      <c r="AV784" s="554">
        <f>I784</f>
        <v>221</v>
      </c>
      <c r="AW784" s="650"/>
      <c r="AX784" s="551"/>
      <c r="AY784" s="548"/>
      <c r="AZ784" s="548"/>
      <c r="BA784" s="548"/>
      <c r="BB784" s="249">
        <f t="shared" si="280"/>
        <v>9.20833333333333</v>
      </c>
      <c r="BC784" s="651"/>
      <c r="BD784" s="548"/>
      <c r="BE784" s="548"/>
      <c r="BF784" s="548"/>
      <c r="BM784" s="551">
        <f>I784/13</f>
        <v>17</v>
      </c>
      <c r="BY784" s="650"/>
      <c r="BZ784" s="548"/>
      <c r="CA784" s="652"/>
      <c r="CB784" s="567"/>
      <c r="CC784" s="653"/>
      <c r="CD784" s="650"/>
      <c r="CE784" s="650"/>
      <c r="CF784" s="548"/>
      <c r="CG784" s="548"/>
      <c r="CU784" s="554">
        <f t="shared" si="277"/>
        <v>0</v>
      </c>
      <c r="CV784" s="551">
        <f t="shared" si="281"/>
        <v>0</v>
      </c>
      <c r="CW784" s="551">
        <f t="shared" si="282"/>
        <v>0</v>
      </c>
      <c r="CX784" s="650"/>
      <c r="CY784" s="650"/>
      <c r="CZ784" s="650"/>
      <c r="DA784" s="548"/>
      <c r="DB784" s="548"/>
      <c r="DC784" s="548"/>
      <c r="DD784" s="650"/>
      <c r="DE784" s="650"/>
      <c r="DF784" s="650"/>
      <c r="DG784" s="650"/>
      <c r="DH784" s="650"/>
    </row>
    <row r="785" s="548" customFormat="1" ht="31" customHeight="1" spans="1:112">
      <c r="A785" s="641">
        <v>45950</v>
      </c>
      <c r="B785" s="642" t="s">
        <v>135</v>
      </c>
      <c r="C785" s="246" t="s">
        <v>128</v>
      </c>
      <c r="D785" s="551">
        <v>4500182434</v>
      </c>
      <c r="E785" s="246">
        <v>21222994</v>
      </c>
      <c r="F785" s="551" t="s">
        <v>7999</v>
      </c>
      <c r="G785" s="246" t="s">
        <v>6093</v>
      </c>
      <c r="H785" s="246" t="s">
        <v>6094</v>
      </c>
      <c r="I785" s="246">
        <v>1508</v>
      </c>
      <c r="J785" s="246">
        <v>0</v>
      </c>
      <c r="K785" s="246">
        <v>13</v>
      </c>
      <c r="L785" s="644">
        <f t="shared" si="268"/>
        <v>116</v>
      </c>
      <c r="M785" s="645">
        <v>45992</v>
      </c>
      <c r="N785" s="645">
        <f>M785-4</f>
        <v>45988</v>
      </c>
      <c r="O785" s="643"/>
      <c r="P785" s="643" t="s">
        <v>113</v>
      </c>
      <c r="Q785" s="246"/>
      <c r="R785" s="646">
        <v>45950</v>
      </c>
      <c r="S785" s="646" t="s">
        <v>104</v>
      </c>
      <c r="T785" s="646" t="s">
        <v>8000</v>
      </c>
      <c r="U785" s="646"/>
      <c r="V785" s="646"/>
      <c r="W785" s="615"/>
      <c r="X785" s="642" t="s">
        <v>8001</v>
      </c>
      <c r="Y785" s="642" t="s">
        <v>133</v>
      </c>
      <c r="Z785" s="642">
        <v>0.9475</v>
      </c>
      <c r="AA785" s="647">
        <f t="shared" si="283"/>
        <v>1428.83</v>
      </c>
      <c r="AC785" s="658" t="s">
        <v>2264</v>
      </c>
      <c r="AD785" s="246" t="s">
        <v>6093</v>
      </c>
      <c r="AE785" s="246" t="s">
        <v>82</v>
      </c>
      <c r="AF785" s="246"/>
      <c r="AG785" s="246"/>
      <c r="AH785" s="246"/>
      <c r="AI785" s="246">
        <v>1508</v>
      </c>
      <c r="AJ785" s="246">
        <f t="shared" ref="AJ785:AJ795" si="284">AI785-I785</f>
        <v>0</v>
      </c>
      <c r="AK785" s="246"/>
      <c r="AL785" s="246"/>
      <c r="AM785" s="246"/>
      <c r="AN785" s="246"/>
      <c r="AO785" s="551">
        <f>I785</f>
        <v>1508</v>
      </c>
      <c r="AR785" s="680"/>
      <c r="AS785" s="548"/>
      <c r="AT785" s="554">
        <f>I785</f>
        <v>1508</v>
      </c>
      <c r="AU785" s="551"/>
      <c r="AV785" s="554">
        <f>I785</f>
        <v>1508</v>
      </c>
      <c r="AW785" s="650"/>
      <c r="AX785" s="551"/>
      <c r="AY785" s="548"/>
      <c r="AZ785" s="548"/>
      <c r="BA785" s="548"/>
      <c r="BB785" s="620">
        <f t="shared" si="280"/>
        <v>62.8333333333333</v>
      </c>
      <c r="BC785" s="651"/>
      <c r="BD785" s="548"/>
      <c r="BE785" s="548"/>
      <c r="BF785" s="548"/>
      <c r="BM785" s="551">
        <f>I785/13</f>
        <v>116</v>
      </c>
      <c r="BY785" s="650"/>
      <c r="BZ785" s="548"/>
      <c r="CA785" s="652"/>
      <c r="CB785" s="567"/>
      <c r="CC785" s="653"/>
      <c r="CD785" s="650"/>
      <c r="CE785" s="650"/>
      <c r="CF785" s="548"/>
      <c r="CG785" s="548"/>
      <c r="CU785" s="554">
        <f t="shared" si="277"/>
        <v>0</v>
      </c>
      <c r="CV785" s="551">
        <f t="shared" si="281"/>
        <v>0</v>
      </c>
      <c r="CW785" s="551">
        <f t="shared" si="282"/>
        <v>0</v>
      </c>
      <c r="CX785" s="650"/>
      <c r="CY785" s="650"/>
      <c r="CZ785" s="650"/>
      <c r="DA785" s="548"/>
      <c r="DB785" s="548"/>
      <c r="DC785" s="548"/>
      <c r="DD785" s="650"/>
      <c r="DE785" s="650"/>
      <c r="DF785" s="650"/>
      <c r="DG785" s="650"/>
      <c r="DH785" s="650"/>
    </row>
    <row r="786" s="548" customFormat="1" ht="31" customHeight="1" spans="1:112">
      <c r="A786" s="641">
        <v>45953</v>
      </c>
      <c r="B786" s="642" t="s">
        <v>2651</v>
      </c>
      <c r="C786" s="246" t="s">
        <v>302</v>
      </c>
      <c r="D786" s="551">
        <v>4500182649</v>
      </c>
      <c r="E786" s="246">
        <v>5200008005</v>
      </c>
      <c r="F786" s="551" t="s">
        <v>8002</v>
      </c>
      <c r="G786" s="246" t="s">
        <v>6120</v>
      </c>
      <c r="H786" s="246" t="s">
        <v>6094</v>
      </c>
      <c r="I786" s="246">
        <v>7501</v>
      </c>
      <c r="J786" s="246">
        <v>0</v>
      </c>
      <c r="K786" s="246">
        <v>13</v>
      </c>
      <c r="L786" s="644">
        <f t="shared" si="268"/>
        <v>577</v>
      </c>
      <c r="M786" s="645">
        <v>45992</v>
      </c>
      <c r="N786" s="645">
        <f>M786-4</f>
        <v>45988</v>
      </c>
      <c r="O786" s="643"/>
      <c r="P786" s="643" t="s">
        <v>113</v>
      </c>
      <c r="Q786" s="246"/>
      <c r="R786" s="646">
        <v>45960</v>
      </c>
      <c r="S786" s="646" t="s">
        <v>70</v>
      </c>
      <c r="T786" s="646" t="s">
        <v>7953</v>
      </c>
      <c r="U786" s="646"/>
      <c r="V786" s="646"/>
      <c r="W786" s="615"/>
      <c r="X786" s="642" t="s">
        <v>8003</v>
      </c>
      <c r="Y786" s="642" t="s">
        <v>305</v>
      </c>
      <c r="Z786" s="655">
        <v>0.8895</v>
      </c>
      <c r="AA786" s="647">
        <f t="shared" si="283"/>
        <v>6672.1395</v>
      </c>
      <c r="AC786" s="648" t="s">
        <v>8004</v>
      </c>
      <c r="AD786" s="246" t="s">
        <v>6093</v>
      </c>
      <c r="AE786" s="246" t="s">
        <v>82</v>
      </c>
      <c r="AF786" s="246"/>
      <c r="AG786" s="246"/>
      <c r="AH786" s="246"/>
      <c r="AI786" s="246">
        <v>7501</v>
      </c>
      <c r="AJ786" s="246">
        <f t="shared" si="284"/>
        <v>0</v>
      </c>
      <c r="AK786" s="246"/>
      <c r="AL786" s="246"/>
      <c r="AM786" s="246"/>
      <c r="AN786" s="246"/>
      <c r="AO786" s="551">
        <f>I786</f>
        <v>7501</v>
      </c>
      <c r="AR786" s="680"/>
      <c r="AS786" s="548"/>
      <c r="AT786" s="554">
        <f>I786</f>
        <v>7501</v>
      </c>
      <c r="AU786" s="551"/>
      <c r="AV786" s="554">
        <f>I786</f>
        <v>7501</v>
      </c>
      <c r="AW786" s="650"/>
      <c r="AX786" s="551"/>
      <c r="AY786" s="548"/>
      <c r="AZ786" s="548"/>
      <c r="BA786" s="548"/>
      <c r="BB786" s="249">
        <f t="shared" si="280"/>
        <v>312.541666666667</v>
      </c>
      <c r="BC786" s="651"/>
      <c r="BD786" s="548"/>
      <c r="BE786" s="548"/>
      <c r="BF786" s="548"/>
      <c r="BM786" s="551">
        <f>I786/13</f>
        <v>577</v>
      </c>
      <c r="BY786" s="650"/>
      <c r="BZ786" s="548"/>
      <c r="CA786" s="652"/>
      <c r="CB786" s="567"/>
      <c r="CC786" s="653"/>
      <c r="CD786" s="650"/>
      <c r="CE786" s="650"/>
      <c r="CF786" s="548"/>
      <c r="CG786" s="548"/>
      <c r="CU786" s="554">
        <f t="shared" si="277"/>
        <v>0</v>
      </c>
      <c r="CV786" s="551">
        <f t="shared" si="281"/>
        <v>0</v>
      </c>
      <c r="CW786" s="551">
        <f t="shared" si="282"/>
        <v>0</v>
      </c>
      <c r="CX786" s="650"/>
      <c r="CY786" s="650"/>
      <c r="CZ786" s="650"/>
      <c r="DA786" s="548"/>
      <c r="DB786" s="548"/>
      <c r="DC786" s="548"/>
      <c r="DD786" s="650"/>
      <c r="DE786" s="650"/>
      <c r="DF786" s="650"/>
      <c r="DG786" s="650"/>
      <c r="DH786" s="650"/>
    </row>
    <row r="787" s="548" customFormat="1" ht="31" customHeight="1" spans="1:112">
      <c r="A787" s="641">
        <v>45959</v>
      </c>
      <c r="B787" s="609" t="s">
        <v>246</v>
      </c>
      <c r="C787" s="693" t="s">
        <v>98</v>
      </c>
      <c r="D787" s="551">
        <v>4500183607</v>
      </c>
      <c r="E787" s="246" t="s">
        <v>2269</v>
      </c>
      <c r="F787" s="551" t="s">
        <v>8005</v>
      </c>
      <c r="G787" s="246" t="s">
        <v>6084</v>
      </c>
      <c r="H787" s="246" t="s">
        <v>6069</v>
      </c>
      <c r="I787" s="246">
        <v>26500</v>
      </c>
      <c r="J787" s="246">
        <v>0</v>
      </c>
      <c r="K787" s="246">
        <v>25</v>
      </c>
      <c r="L787" s="644">
        <f t="shared" si="268"/>
        <v>1060</v>
      </c>
      <c r="M787" s="645">
        <v>45992</v>
      </c>
      <c r="N787" s="645">
        <f>M787-4</f>
        <v>45988</v>
      </c>
      <c r="O787" s="643"/>
      <c r="P787" s="643" t="s">
        <v>113</v>
      </c>
      <c r="Q787" s="246"/>
      <c r="R787" s="646">
        <v>45959</v>
      </c>
      <c r="S787" s="646" t="s">
        <v>104</v>
      </c>
      <c r="T787" s="646" t="s">
        <v>2272</v>
      </c>
      <c r="U787" s="646"/>
      <c r="V787" s="646"/>
      <c r="W787" s="615"/>
      <c r="X787" s="642" t="s">
        <v>8006</v>
      </c>
      <c r="Y787" s="694" t="s">
        <v>252</v>
      </c>
      <c r="Z787" s="655">
        <v>0.5488</v>
      </c>
      <c r="AA787" s="647">
        <f t="shared" si="283"/>
        <v>14543.2</v>
      </c>
      <c r="AC787" s="648"/>
      <c r="AD787" s="246" t="s">
        <v>6084</v>
      </c>
      <c r="AE787" s="246" t="s">
        <v>82</v>
      </c>
      <c r="AF787" s="246"/>
      <c r="AG787" s="246"/>
      <c r="AH787" s="246"/>
      <c r="AI787" s="246">
        <f>23350+3150</f>
        <v>26500</v>
      </c>
      <c r="AJ787" s="246">
        <f t="shared" si="284"/>
        <v>0</v>
      </c>
      <c r="AK787" s="246"/>
      <c r="AL787" s="246"/>
      <c r="AM787" s="246"/>
      <c r="AN787" s="246">
        <f>I787</f>
        <v>26500</v>
      </c>
      <c r="AO787" s="551"/>
      <c r="AP787" s="554">
        <f>I787</f>
        <v>26500</v>
      </c>
      <c r="AR787" s="680"/>
      <c r="AS787" s="548"/>
      <c r="AT787" s="548"/>
      <c r="AU787" s="554">
        <f>I787</f>
        <v>26500</v>
      </c>
      <c r="AV787" s="551"/>
      <c r="AW787" s="650"/>
      <c r="AX787" s="551"/>
      <c r="AY787" s="548"/>
      <c r="AZ787" s="548"/>
      <c r="BA787" s="548"/>
      <c r="BB787" s="249">
        <f t="shared" si="280"/>
        <v>1104.16666666667</v>
      </c>
      <c r="BC787" s="651"/>
      <c r="BD787" s="548"/>
      <c r="BE787" s="548"/>
      <c r="BF787" s="548"/>
      <c r="BN787" s="551">
        <f>I787/25</f>
        <v>1060</v>
      </c>
      <c r="BY787" s="650"/>
      <c r="BZ787" s="548"/>
      <c r="CA787" s="652"/>
      <c r="CB787" s="567"/>
      <c r="CC787" s="653"/>
      <c r="CD787" s="650"/>
      <c r="CE787" s="650"/>
      <c r="CF787" s="548"/>
      <c r="CG787" s="548"/>
      <c r="CU787" s="554">
        <f t="shared" si="277"/>
        <v>1060</v>
      </c>
      <c r="CV787" s="551">
        <f t="shared" si="281"/>
        <v>0</v>
      </c>
      <c r="CW787" s="551">
        <f t="shared" si="282"/>
        <v>0</v>
      </c>
      <c r="CX787" s="650"/>
      <c r="CY787" s="650"/>
      <c r="CZ787" s="650"/>
      <c r="DA787" s="548"/>
      <c r="DB787" s="548"/>
      <c r="DC787" s="548"/>
      <c r="DD787" s="650"/>
      <c r="DE787" s="650"/>
      <c r="DF787" s="650"/>
      <c r="DG787" s="650"/>
      <c r="DH787" s="650"/>
    </row>
    <row r="788" s="548" customFormat="1" ht="31" customHeight="1" spans="1:112">
      <c r="A788" s="641">
        <v>45940</v>
      </c>
      <c r="B788" s="642" t="s">
        <v>120</v>
      </c>
      <c r="C788" s="246" t="s">
        <v>98</v>
      </c>
      <c r="D788" s="551">
        <v>4500181254</v>
      </c>
      <c r="E788" s="246" t="s">
        <v>6123</v>
      </c>
      <c r="F788" s="551" t="s">
        <v>8007</v>
      </c>
      <c r="G788" s="246" t="s">
        <v>6125</v>
      </c>
      <c r="H788" s="246" t="s">
        <v>8008</v>
      </c>
      <c r="I788" s="246">
        <v>9996</v>
      </c>
      <c r="J788" s="246">
        <v>0</v>
      </c>
      <c r="K788" s="246">
        <v>12</v>
      </c>
      <c r="L788" s="644">
        <f t="shared" si="268"/>
        <v>833</v>
      </c>
      <c r="M788" s="645">
        <v>45993</v>
      </c>
      <c r="N788" s="645">
        <v>45989</v>
      </c>
      <c r="O788" s="643"/>
      <c r="P788" s="643" t="s">
        <v>113</v>
      </c>
      <c r="Q788" s="246"/>
      <c r="R788" s="646">
        <v>45940</v>
      </c>
      <c r="S788" s="646" t="s">
        <v>70</v>
      </c>
      <c r="T788" s="646" t="s">
        <v>70</v>
      </c>
      <c r="U788" s="646"/>
      <c r="V788" s="646"/>
      <c r="W788" s="615"/>
      <c r="X788" s="642" t="s">
        <v>8009</v>
      </c>
      <c r="Y788" s="642" t="s">
        <v>1640</v>
      </c>
      <c r="Z788" s="642">
        <v>1.2559</v>
      </c>
      <c r="AA788" s="647">
        <f t="shared" si="283"/>
        <v>12553.9764</v>
      </c>
      <c r="AC788" s="648"/>
      <c r="AD788" s="246" t="s">
        <v>6128</v>
      </c>
      <c r="AE788" s="246" t="s">
        <v>82</v>
      </c>
      <c r="AF788" s="246"/>
      <c r="AG788" s="246"/>
      <c r="AH788" s="246"/>
      <c r="AI788" s="246">
        <f>14400+11592</f>
        <v>25992</v>
      </c>
      <c r="AJ788" s="246">
        <f t="shared" si="284"/>
        <v>15996</v>
      </c>
      <c r="AK788" s="246"/>
      <c r="AL788" s="246"/>
      <c r="AM788" s="246"/>
      <c r="AN788" s="610">
        <f>I788*2</f>
        <v>19992</v>
      </c>
      <c r="AO788" s="551"/>
      <c r="AP788" s="548"/>
      <c r="AQ788" s="554">
        <f>I788*2</f>
        <v>19992</v>
      </c>
      <c r="AR788" s="680"/>
      <c r="AS788" s="548"/>
      <c r="AT788" s="548"/>
      <c r="AU788" s="554">
        <f>I788*2</f>
        <v>19992</v>
      </c>
      <c r="AV788" s="551"/>
      <c r="AW788" s="650"/>
      <c r="AX788" s="548"/>
      <c r="AY788" s="548"/>
      <c r="AZ788" s="548"/>
      <c r="BA788" s="548"/>
      <c r="BB788" s="249">
        <f>I788/24*2</f>
        <v>833</v>
      </c>
      <c r="BC788" s="651"/>
      <c r="BD788" s="548"/>
      <c r="BE788" s="548"/>
      <c r="BF788" s="548"/>
      <c r="BY788" s="650"/>
      <c r="BZ788" s="548"/>
      <c r="CA788" s="652"/>
      <c r="CB788" s="567"/>
      <c r="CC788" s="653"/>
      <c r="CD788" s="650"/>
      <c r="CE788" s="650"/>
      <c r="CF788" s="548"/>
      <c r="CG788" s="548"/>
      <c r="CR788" s="554">
        <f>I788</f>
        <v>9996</v>
      </c>
      <c r="CS788" s="554">
        <f>I788</f>
        <v>9996</v>
      </c>
      <c r="CT788" s="554">
        <f>I788</f>
        <v>9996</v>
      </c>
      <c r="CU788" s="554">
        <f t="shared" si="277"/>
        <v>0</v>
      </c>
      <c r="CV788" s="551">
        <v>0</v>
      </c>
      <c r="CW788" s="551">
        <v>0</v>
      </c>
      <c r="CX788" s="650"/>
      <c r="CY788" s="650"/>
      <c r="CZ788" s="650"/>
      <c r="DA788" s="548"/>
      <c r="DB788" s="548"/>
      <c r="DC788" s="548"/>
      <c r="DD788" s="650"/>
      <c r="DE788" s="650"/>
      <c r="DF788" s="650"/>
      <c r="DG788" s="650"/>
      <c r="DH788" s="650"/>
    </row>
    <row r="789" s="548" customFormat="1" ht="31" customHeight="1" spans="1:112">
      <c r="A789" s="641">
        <v>45943</v>
      </c>
      <c r="B789" s="642" t="s">
        <v>650</v>
      </c>
      <c r="C789" s="246" t="s">
        <v>424</v>
      </c>
      <c r="D789" s="551">
        <v>4500176686</v>
      </c>
      <c r="E789" s="246">
        <v>300581433</v>
      </c>
      <c r="F789" s="551" t="s">
        <v>8010</v>
      </c>
      <c r="G789" s="246" t="s">
        <v>8011</v>
      </c>
      <c r="H789" s="693" t="s">
        <v>8012</v>
      </c>
      <c r="I789" s="246">
        <v>611</v>
      </c>
      <c r="J789" s="246">
        <v>0</v>
      </c>
      <c r="K789" s="246">
        <v>13</v>
      </c>
      <c r="L789" s="644">
        <f t="shared" si="268"/>
        <v>47</v>
      </c>
      <c r="M789" s="645">
        <v>45993</v>
      </c>
      <c r="N789" s="645">
        <f>M789-4</f>
        <v>45989</v>
      </c>
      <c r="O789" s="643"/>
      <c r="P789" s="643" t="s">
        <v>113</v>
      </c>
      <c r="Q789" s="246"/>
      <c r="R789" s="646">
        <v>1020</v>
      </c>
      <c r="S789" s="646" t="s">
        <v>70</v>
      </c>
      <c r="T789" s="646" t="s">
        <v>8013</v>
      </c>
      <c r="U789" s="646"/>
      <c r="V789" s="646"/>
      <c r="W789" s="615"/>
      <c r="X789" s="642" t="s">
        <v>8014</v>
      </c>
      <c r="Y789" s="642" t="s">
        <v>428</v>
      </c>
      <c r="Z789" s="655">
        <v>0.8814</v>
      </c>
      <c r="AA789" s="647">
        <f>I789*Z789</f>
        <v>538.5354</v>
      </c>
      <c r="AC789" s="658" t="s">
        <v>2277</v>
      </c>
      <c r="AD789" s="246" t="s">
        <v>8015</v>
      </c>
      <c r="AE789" s="246" t="s">
        <v>82</v>
      </c>
      <c r="AF789" s="246"/>
      <c r="AG789" s="246"/>
      <c r="AH789" s="246"/>
      <c r="AI789" s="246">
        <v>611</v>
      </c>
      <c r="AJ789" s="246">
        <f t="shared" si="284"/>
        <v>0</v>
      </c>
      <c r="AK789" s="246"/>
      <c r="AL789" s="246"/>
      <c r="AM789" s="246"/>
      <c r="AN789" s="246"/>
      <c r="AO789" s="551">
        <f>I789</f>
        <v>611</v>
      </c>
      <c r="AR789" s="680"/>
      <c r="AS789" s="548"/>
      <c r="AT789" s="554">
        <f>I789</f>
        <v>611</v>
      </c>
      <c r="AU789" s="551"/>
      <c r="AV789" s="554">
        <f>I789</f>
        <v>611</v>
      </c>
      <c r="AW789" s="650"/>
      <c r="AX789" s="551"/>
      <c r="AY789" s="548"/>
      <c r="AZ789" s="548"/>
      <c r="BA789" s="548"/>
      <c r="BB789" s="620">
        <f>I789/24</f>
        <v>25.4583333333333</v>
      </c>
      <c r="BC789" s="651"/>
      <c r="BD789" s="548"/>
      <c r="BE789" s="548"/>
      <c r="BF789" s="548"/>
      <c r="BY789" s="650"/>
      <c r="BZ789" s="548"/>
      <c r="CA789" s="652"/>
      <c r="CB789" s="567"/>
      <c r="CC789" s="653"/>
      <c r="CD789" s="650"/>
      <c r="CE789" s="650"/>
      <c r="CF789" s="548"/>
      <c r="CG789" s="548"/>
      <c r="CU789" s="554">
        <f t="shared" si="277"/>
        <v>0</v>
      </c>
      <c r="CV789" s="663">
        <f t="shared" ref="CV789:CV794" si="285">CK789+CL789+CM789+CN789+CO789+CQ789+CP789</f>
        <v>0</v>
      </c>
      <c r="CW789" s="663">
        <f t="shared" ref="CW789:CW794" si="286">CI789+CJ789</f>
        <v>0</v>
      </c>
      <c r="CX789" s="650"/>
      <c r="CY789" s="650"/>
      <c r="CZ789" s="650"/>
      <c r="DA789" s="548"/>
      <c r="DB789" s="548"/>
      <c r="DC789" s="548"/>
      <c r="DD789" s="650"/>
      <c r="DE789" s="650"/>
      <c r="DF789" s="650"/>
      <c r="DG789" s="650"/>
      <c r="DH789" s="650"/>
    </row>
    <row r="790" s="548" customFormat="1" ht="31" customHeight="1" spans="1:112">
      <c r="A790" s="641">
        <v>45952</v>
      </c>
      <c r="B790" s="642" t="s">
        <v>1800</v>
      </c>
      <c r="C790" s="246" t="s">
        <v>744</v>
      </c>
      <c r="D790" s="551">
        <v>4500178919</v>
      </c>
      <c r="E790" s="246">
        <v>5000001988</v>
      </c>
      <c r="F790" s="551" t="s">
        <v>8016</v>
      </c>
      <c r="G790" s="246" t="s">
        <v>6093</v>
      </c>
      <c r="H790" s="639" t="s">
        <v>7359</v>
      </c>
      <c r="I790" s="246">
        <v>3900</v>
      </c>
      <c r="J790" s="246">
        <v>0</v>
      </c>
      <c r="K790" s="246">
        <v>13</v>
      </c>
      <c r="L790" s="644">
        <f t="shared" si="268"/>
        <v>300</v>
      </c>
      <c r="M790" s="645">
        <v>45993</v>
      </c>
      <c r="N790" s="645">
        <v>45989</v>
      </c>
      <c r="O790" s="643" t="s">
        <v>7926</v>
      </c>
      <c r="P790" s="643" t="s">
        <v>113</v>
      </c>
      <c r="Q790" s="246"/>
      <c r="R790" s="646" t="s">
        <v>7814</v>
      </c>
      <c r="S790" s="646" t="s">
        <v>70</v>
      </c>
      <c r="T790" s="646" t="s">
        <v>8017</v>
      </c>
      <c r="U790" s="646"/>
      <c r="V790" s="646"/>
      <c r="W790" s="615"/>
      <c r="X790" s="642" t="s">
        <v>8018</v>
      </c>
      <c r="Y790" s="642" t="s">
        <v>1805</v>
      </c>
      <c r="Z790" s="655">
        <v>0.882</v>
      </c>
      <c r="AA790" s="647">
        <f>Z790*I790</f>
        <v>3439.8</v>
      </c>
      <c r="AC790" s="638" t="s">
        <v>2284</v>
      </c>
      <c r="AD790" s="693" t="s">
        <v>7817</v>
      </c>
      <c r="AE790" s="246" t="s">
        <v>82</v>
      </c>
      <c r="AF790" s="246"/>
      <c r="AG790" s="695"/>
      <c r="AH790" s="695"/>
      <c r="AI790" s="246">
        <v>3900</v>
      </c>
      <c r="AJ790" s="246">
        <f t="shared" si="284"/>
        <v>0</v>
      </c>
      <c r="AK790" s="246"/>
      <c r="AL790" s="246"/>
      <c r="AM790" s="246"/>
      <c r="AN790" s="246"/>
      <c r="AO790" s="551">
        <f>I790</f>
        <v>3900</v>
      </c>
      <c r="AP790" s="554">
        <f>I790</f>
        <v>3900</v>
      </c>
      <c r="AR790" s="680"/>
      <c r="AS790" s="548"/>
      <c r="AT790" s="548"/>
      <c r="AU790" s="548"/>
      <c r="AV790" s="551"/>
      <c r="AW790" s="650"/>
      <c r="AX790" s="554">
        <f>I790</f>
        <v>3900</v>
      </c>
      <c r="BA790" s="663">
        <f>I790/13</f>
        <v>300</v>
      </c>
      <c r="BB790" s="249"/>
      <c r="BC790" s="651"/>
      <c r="BD790" s="548"/>
      <c r="BE790" s="548"/>
      <c r="BF790" s="548"/>
      <c r="BK790" s="663"/>
      <c r="BL790" s="548"/>
      <c r="BM790" s="663">
        <f>I790/13</f>
        <v>300</v>
      </c>
      <c r="BY790" s="650"/>
      <c r="BZ790" s="548"/>
      <c r="CA790" s="652"/>
      <c r="CB790" s="567"/>
      <c r="CC790" s="653"/>
      <c r="CD790" s="650"/>
      <c r="CE790" s="650"/>
      <c r="CF790" s="548"/>
      <c r="CG790" s="548"/>
      <c r="CU790" s="554">
        <f t="shared" si="277"/>
        <v>0</v>
      </c>
      <c r="CV790" s="551">
        <f t="shared" si="285"/>
        <v>0</v>
      </c>
      <c r="CW790" s="551">
        <f t="shared" si="286"/>
        <v>0</v>
      </c>
      <c r="CX790" s="650"/>
      <c r="CY790" s="650"/>
      <c r="CZ790" s="650"/>
      <c r="DA790" s="548"/>
      <c r="DB790" s="548"/>
      <c r="DC790" s="548"/>
      <c r="DD790" s="650"/>
      <c r="DE790" s="650"/>
      <c r="DF790" s="650"/>
      <c r="DG790" s="650"/>
      <c r="DH790" s="650"/>
    </row>
    <row r="791" s="548" customFormat="1" ht="31" customHeight="1" spans="1:112">
      <c r="A791" s="641">
        <v>45952</v>
      </c>
      <c r="B791" s="642" t="s">
        <v>1800</v>
      </c>
      <c r="C791" s="246" t="s">
        <v>744</v>
      </c>
      <c r="D791" s="551">
        <v>4500178919</v>
      </c>
      <c r="E791" s="246">
        <v>5000001988</v>
      </c>
      <c r="F791" s="551" t="s">
        <v>8019</v>
      </c>
      <c r="G791" s="246" t="s">
        <v>6093</v>
      </c>
      <c r="H791" s="639" t="s">
        <v>7359</v>
      </c>
      <c r="I791" s="246">
        <v>16900</v>
      </c>
      <c r="J791" s="246">
        <v>0</v>
      </c>
      <c r="K791" s="246">
        <v>13</v>
      </c>
      <c r="L791" s="644">
        <f t="shared" si="268"/>
        <v>1300</v>
      </c>
      <c r="M791" s="645">
        <v>45993</v>
      </c>
      <c r="N791" s="645">
        <v>45989</v>
      </c>
      <c r="O791" s="643" t="s">
        <v>7926</v>
      </c>
      <c r="P791" s="643" t="s">
        <v>113</v>
      </c>
      <c r="Q791" s="246"/>
      <c r="R791" s="646" t="s">
        <v>7814</v>
      </c>
      <c r="S791" s="646" t="s">
        <v>70</v>
      </c>
      <c r="T791" s="646" t="s">
        <v>8017</v>
      </c>
      <c r="U791" s="646"/>
      <c r="V791" s="646"/>
      <c r="W791" s="615"/>
      <c r="X791" s="642" t="s">
        <v>8018</v>
      </c>
      <c r="Y791" s="642" t="s">
        <v>1805</v>
      </c>
      <c r="Z791" s="655">
        <v>0.882</v>
      </c>
      <c r="AA791" s="647">
        <f>Z791*I791</f>
        <v>14905.8</v>
      </c>
      <c r="AC791" s="638" t="s">
        <v>2284</v>
      </c>
      <c r="AD791" s="693" t="s">
        <v>7817</v>
      </c>
      <c r="AE791" s="246" t="s">
        <v>82</v>
      </c>
      <c r="AF791" s="246"/>
      <c r="AG791" s="695"/>
      <c r="AH791" s="695"/>
      <c r="AI791" s="246">
        <f>13650+3211+39</f>
        <v>16900</v>
      </c>
      <c r="AJ791" s="246">
        <f t="shared" si="284"/>
        <v>0</v>
      </c>
      <c r="AK791" s="246"/>
      <c r="AL791" s="246"/>
      <c r="AM791" s="246"/>
      <c r="AN791" s="246"/>
      <c r="AO791" s="551">
        <f>I791</f>
        <v>16900</v>
      </c>
      <c r="AP791" s="554">
        <f>I791</f>
        <v>16900</v>
      </c>
      <c r="AR791" s="680"/>
      <c r="AS791" s="548"/>
      <c r="AT791" s="548"/>
      <c r="AU791" s="548"/>
      <c r="AV791" s="551"/>
      <c r="AW791" s="650"/>
      <c r="AX791" s="554">
        <f>I791</f>
        <v>16900</v>
      </c>
      <c r="BA791" s="663">
        <f>I791/13</f>
        <v>1300</v>
      </c>
      <c r="BB791" s="249"/>
      <c r="BC791" s="651"/>
      <c r="BD791" s="548"/>
      <c r="BE791" s="548"/>
      <c r="BF791" s="548"/>
      <c r="BK791" s="663"/>
      <c r="BL791" s="548"/>
      <c r="BM791" s="663">
        <f>I791/13</f>
        <v>1300</v>
      </c>
      <c r="BY791" s="650"/>
      <c r="BZ791" s="548"/>
      <c r="CA791" s="652"/>
      <c r="CB791" s="567"/>
      <c r="CC791" s="653"/>
      <c r="CD791" s="650"/>
      <c r="CE791" s="650"/>
      <c r="CF791" s="548"/>
      <c r="CG791" s="548"/>
      <c r="CU791" s="554">
        <f t="shared" si="277"/>
        <v>0</v>
      </c>
      <c r="CV791" s="551">
        <f t="shared" si="285"/>
        <v>0</v>
      </c>
      <c r="CW791" s="551">
        <f t="shared" si="286"/>
        <v>0</v>
      </c>
      <c r="CX791" s="650"/>
      <c r="CY791" s="650"/>
      <c r="CZ791" s="650"/>
      <c r="DA791" s="548"/>
      <c r="DB791" s="548"/>
      <c r="DC791" s="548"/>
      <c r="DD791" s="650"/>
      <c r="DE791" s="650"/>
      <c r="DF791" s="650"/>
      <c r="DG791" s="650"/>
      <c r="DH791" s="650"/>
    </row>
    <row r="792" s="548" customFormat="1" ht="31" customHeight="1" spans="1:112">
      <c r="A792" s="641">
        <v>45960</v>
      </c>
      <c r="B792" s="642" t="s">
        <v>143</v>
      </c>
      <c r="C792" s="246" t="s">
        <v>98</v>
      </c>
      <c r="D792" s="551">
        <v>4500183713</v>
      </c>
      <c r="E792" s="643">
        <v>952702253</v>
      </c>
      <c r="F792" s="551" t="s">
        <v>8020</v>
      </c>
      <c r="G792" s="246" t="s">
        <v>6063</v>
      </c>
      <c r="H792" s="246" t="s">
        <v>6064</v>
      </c>
      <c r="I792" s="246">
        <v>60480</v>
      </c>
      <c r="J792" s="246">
        <v>0</v>
      </c>
      <c r="K792" s="246">
        <v>16</v>
      </c>
      <c r="L792" s="644">
        <f t="shared" si="268"/>
        <v>3780</v>
      </c>
      <c r="M792" s="645">
        <v>45993</v>
      </c>
      <c r="N792" s="645">
        <v>45989</v>
      </c>
      <c r="O792" s="643" t="s">
        <v>8021</v>
      </c>
      <c r="P792" s="643" t="s">
        <v>113</v>
      </c>
      <c r="Q792" s="246"/>
      <c r="R792" s="646" t="s">
        <v>7064</v>
      </c>
      <c r="S792" s="646" t="s">
        <v>70</v>
      </c>
      <c r="T792" s="646" t="s">
        <v>148</v>
      </c>
      <c r="U792" s="646"/>
      <c r="V792" s="646"/>
      <c r="W792" s="615"/>
      <c r="X792" s="642" t="s">
        <v>7065</v>
      </c>
      <c r="Y792" s="642" t="s">
        <v>106</v>
      </c>
      <c r="Z792" s="642">
        <v>0.5783</v>
      </c>
      <c r="AA792" s="647">
        <f>Z792*I792</f>
        <v>34975.584</v>
      </c>
      <c r="AC792" s="648" t="s">
        <v>8022</v>
      </c>
      <c r="AD792" s="246" t="s">
        <v>6063</v>
      </c>
      <c r="AE792" s="246" t="s">
        <v>82</v>
      </c>
      <c r="AF792" s="246"/>
      <c r="AG792" s="695"/>
      <c r="AH792" s="695"/>
      <c r="AI792" s="246">
        <f>40320+20160</f>
        <v>60480</v>
      </c>
      <c r="AJ792" s="246">
        <f t="shared" si="284"/>
        <v>0</v>
      </c>
      <c r="AK792" s="246"/>
      <c r="AL792" s="246"/>
      <c r="AM792" s="246"/>
      <c r="AN792" s="246">
        <f>I792</f>
        <v>60480</v>
      </c>
      <c r="AO792" s="551"/>
      <c r="AP792" s="554">
        <f>I792</f>
        <v>60480</v>
      </c>
      <c r="AR792" s="680"/>
      <c r="AS792" s="548"/>
      <c r="AT792" s="548"/>
      <c r="AU792" s="554">
        <f>I792</f>
        <v>60480</v>
      </c>
      <c r="AV792" s="551"/>
      <c r="AW792" s="650"/>
      <c r="AX792" s="548"/>
      <c r="AY792" s="548"/>
      <c r="AZ792" s="548"/>
      <c r="BA792" s="548"/>
      <c r="BB792" s="249">
        <f>I792/24</f>
        <v>2520</v>
      </c>
      <c r="BC792" s="651"/>
      <c r="BD792" s="548"/>
      <c r="BE792" s="548"/>
      <c r="BF792" s="548"/>
      <c r="BQ792" s="551">
        <f>I792/16</f>
        <v>3780</v>
      </c>
      <c r="BY792" s="650"/>
      <c r="BZ792" s="548"/>
      <c r="CA792" s="652"/>
      <c r="CB792" s="567"/>
      <c r="CC792" s="653"/>
      <c r="CD792" s="650"/>
      <c r="CE792" s="650"/>
      <c r="CF792" s="548"/>
      <c r="CG792" s="548"/>
      <c r="CU792" s="554">
        <f t="shared" si="277"/>
        <v>3780</v>
      </c>
      <c r="CV792" s="551">
        <f t="shared" si="285"/>
        <v>0</v>
      </c>
      <c r="CW792" s="551">
        <f t="shared" si="286"/>
        <v>0</v>
      </c>
      <c r="CX792" s="650"/>
      <c r="CY792" s="650"/>
      <c r="CZ792" s="650"/>
      <c r="DA792" s="548"/>
      <c r="DB792" s="548"/>
      <c r="DC792" s="548"/>
      <c r="DD792" s="650"/>
      <c r="DE792" s="650"/>
      <c r="DF792" s="650"/>
      <c r="DG792" s="650"/>
      <c r="DH792" s="650"/>
    </row>
    <row r="793" s="548" customFormat="1" ht="31" customHeight="1" spans="1:112">
      <c r="A793" s="641">
        <v>45960</v>
      </c>
      <c r="B793" s="642" t="s">
        <v>143</v>
      </c>
      <c r="C793" s="246" t="s">
        <v>98</v>
      </c>
      <c r="D793" s="551">
        <v>4500183713</v>
      </c>
      <c r="E793" s="643">
        <v>952702278</v>
      </c>
      <c r="F793" s="551" t="s">
        <v>8023</v>
      </c>
      <c r="G793" s="246" t="s">
        <v>6063</v>
      </c>
      <c r="H793" s="246" t="s">
        <v>6064</v>
      </c>
      <c r="I793" s="246">
        <v>32640</v>
      </c>
      <c r="J793" s="246">
        <v>0</v>
      </c>
      <c r="K793" s="246">
        <v>16</v>
      </c>
      <c r="L793" s="644">
        <f t="shared" si="268"/>
        <v>2040</v>
      </c>
      <c r="M793" s="645">
        <v>45993</v>
      </c>
      <c r="N793" s="645">
        <v>45989</v>
      </c>
      <c r="O793" s="643" t="s">
        <v>2245</v>
      </c>
      <c r="P793" s="643" t="s">
        <v>113</v>
      </c>
      <c r="Q793" s="246"/>
      <c r="R793" s="646" t="s">
        <v>7064</v>
      </c>
      <c r="S793" s="646" t="s">
        <v>70</v>
      </c>
      <c r="T793" s="646" t="s">
        <v>148</v>
      </c>
      <c r="U793" s="646"/>
      <c r="V793" s="646"/>
      <c r="W793" s="615"/>
      <c r="X793" s="642" t="s">
        <v>7065</v>
      </c>
      <c r="Y793" s="642" t="s">
        <v>106</v>
      </c>
      <c r="Z793" s="642">
        <v>0.5783</v>
      </c>
      <c r="AA793" s="647">
        <f>Z793*I793</f>
        <v>18875.712</v>
      </c>
      <c r="AC793" s="648"/>
      <c r="AD793" s="246" t="s">
        <v>6063</v>
      </c>
      <c r="AE793" s="246" t="s">
        <v>82</v>
      </c>
      <c r="AF793" s="246"/>
      <c r="AG793" s="695"/>
      <c r="AH793" s="695"/>
      <c r="AI793" s="246">
        <v>32640</v>
      </c>
      <c r="AJ793" s="246">
        <f t="shared" si="284"/>
        <v>0</v>
      </c>
      <c r="AK793" s="246"/>
      <c r="AL793" s="246"/>
      <c r="AM793" s="246"/>
      <c r="AN793" s="246">
        <f>I793</f>
        <v>32640</v>
      </c>
      <c r="AO793" s="551"/>
      <c r="AP793" s="554">
        <f>I793</f>
        <v>32640</v>
      </c>
      <c r="AR793" s="680"/>
      <c r="AS793" s="548"/>
      <c r="AT793" s="548"/>
      <c r="AU793" s="554">
        <f>I793</f>
        <v>32640</v>
      </c>
      <c r="AV793" s="551"/>
      <c r="AW793" s="650"/>
      <c r="AX793" s="548"/>
      <c r="AY793" s="548"/>
      <c r="AZ793" s="548"/>
      <c r="BA793" s="548"/>
      <c r="BB793" s="249">
        <f>I793/24</f>
        <v>1360</v>
      </c>
      <c r="BC793" s="651"/>
      <c r="BD793" s="548"/>
      <c r="BE793" s="548"/>
      <c r="BF793" s="548"/>
      <c r="BQ793" s="551">
        <f>I793/16</f>
        <v>2040</v>
      </c>
      <c r="BY793" s="650"/>
      <c r="BZ793" s="548"/>
      <c r="CA793" s="652"/>
      <c r="CB793" s="567"/>
      <c r="CC793" s="653"/>
      <c r="CD793" s="650"/>
      <c r="CE793" s="650"/>
      <c r="CF793" s="548"/>
      <c r="CG793" s="548"/>
      <c r="CU793" s="554">
        <f t="shared" si="277"/>
        <v>2040</v>
      </c>
      <c r="CV793" s="551">
        <f t="shared" si="285"/>
        <v>0</v>
      </c>
      <c r="CW793" s="551">
        <f t="shared" si="286"/>
        <v>0</v>
      </c>
      <c r="CX793" s="650"/>
      <c r="CY793" s="650"/>
      <c r="CZ793" s="650"/>
      <c r="DA793" s="548"/>
      <c r="DB793" s="548"/>
      <c r="DC793" s="548"/>
      <c r="DD793" s="650"/>
      <c r="DE793" s="650"/>
      <c r="DF793" s="650"/>
      <c r="DG793" s="650"/>
      <c r="DH793" s="650"/>
    </row>
    <row r="794" s="548" customFormat="1" ht="31" customHeight="1" spans="1:112">
      <c r="A794" s="641">
        <v>45960</v>
      </c>
      <c r="B794" s="642" t="s">
        <v>143</v>
      </c>
      <c r="C794" s="246" t="s">
        <v>98</v>
      </c>
      <c r="D794" s="551">
        <v>4500183713</v>
      </c>
      <c r="E794" s="643">
        <v>952702345</v>
      </c>
      <c r="F794" s="551" t="s">
        <v>8024</v>
      </c>
      <c r="G794" s="246" t="s">
        <v>6063</v>
      </c>
      <c r="H794" s="246" t="s">
        <v>6064</v>
      </c>
      <c r="I794" s="246">
        <v>34560</v>
      </c>
      <c r="J794" s="246">
        <v>0</v>
      </c>
      <c r="K794" s="246">
        <v>16</v>
      </c>
      <c r="L794" s="644">
        <f t="shared" si="268"/>
        <v>2160</v>
      </c>
      <c r="M794" s="645">
        <v>45993</v>
      </c>
      <c r="N794" s="645">
        <v>45989</v>
      </c>
      <c r="O794" s="643" t="s">
        <v>8025</v>
      </c>
      <c r="P794" s="643" t="s">
        <v>113</v>
      </c>
      <c r="Q794" s="246"/>
      <c r="R794" s="646" t="s">
        <v>7064</v>
      </c>
      <c r="S794" s="646" t="s">
        <v>70</v>
      </c>
      <c r="T794" s="646" t="s">
        <v>148</v>
      </c>
      <c r="U794" s="646"/>
      <c r="V794" s="646"/>
      <c r="W794" s="615"/>
      <c r="X794" s="642" t="s">
        <v>7065</v>
      </c>
      <c r="Y794" s="642" t="s">
        <v>106</v>
      </c>
      <c r="Z794" s="642">
        <v>0.5783</v>
      </c>
      <c r="AA794" s="647">
        <f>Z794*I794</f>
        <v>19986.048</v>
      </c>
      <c r="AC794" s="648"/>
      <c r="AD794" s="246" t="s">
        <v>6063</v>
      </c>
      <c r="AE794" s="246" t="s">
        <v>82</v>
      </c>
      <c r="AF794" s="246"/>
      <c r="AG794" s="695"/>
      <c r="AH794" s="695"/>
      <c r="AI794" s="246">
        <f>6448+28112</f>
        <v>34560</v>
      </c>
      <c r="AJ794" s="246">
        <f t="shared" si="284"/>
        <v>0</v>
      </c>
      <c r="AK794" s="246"/>
      <c r="AL794" s="246"/>
      <c r="AM794" s="246"/>
      <c r="AN794" s="246">
        <f>I794</f>
        <v>34560</v>
      </c>
      <c r="AO794" s="551"/>
      <c r="AP794" s="554">
        <f>I794</f>
        <v>34560</v>
      </c>
      <c r="AR794" s="680"/>
      <c r="AS794" s="548"/>
      <c r="AT794" s="548"/>
      <c r="AU794" s="554">
        <f>I794</f>
        <v>34560</v>
      </c>
      <c r="AV794" s="551"/>
      <c r="AW794" s="650"/>
      <c r="AX794" s="548"/>
      <c r="AY794" s="548"/>
      <c r="AZ794" s="548"/>
      <c r="BA794" s="548"/>
      <c r="BB794" s="249">
        <f>I794/24</f>
        <v>1440</v>
      </c>
      <c r="BC794" s="651"/>
      <c r="BD794" s="548"/>
      <c r="BE794" s="548"/>
      <c r="BF794" s="548"/>
      <c r="BQ794" s="551">
        <f>I794/16</f>
        <v>2160</v>
      </c>
      <c r="BY794" s="650"/>
      <c r="BZ794" s="548"/>
      <c r="CA794" s="652"/>
      <c r="CB794" s="567"/>
      <c r="CC794" s="653"/>
      <c r="CD794" s="650"/>
      <c r="CE794" s="650"/>
      <c r="CF794" s="548"/>
      <c r="CG794" s="548"/>
      <c r="CU794" s="554">
        <f t="shared" si="277"/>
        <v>2160</v>
      </c>
      <c r="CV794" s="551">
        <f t="shared" si="285"/>
        <v>0</v>
      </c>
      <c r="CW794" s="551">
        <f t="shared" si="286"/>
        <v>0</v>
      </c>
      <c r="CX794" s="650"/>
      <c r="CY794" s="650"/>
      <c r="CZ794" s="650"/>
      <c r="DA794" s="548"/>
      <c r="DB794" s="548"/>
      <c r="DC794" s="548"/>
      <c r="DD794" s="650"/>
      <c r="DE794" s="650"/>
      <c r="DF794" s="650"/>
      <c r="DG794" s="650"/>
      <c r="DH794" s="650"/>
    </row>
    <row r="795" s="548" customFormat="1" ht="31" customHeight="1" spans="1:112">
      <c r="A795" s="641">
        <v>45953</v>
      </c>
      <c r="B795" s="642" t="s">
        <v>1673</v>
      </c>
      <c r="C795" s="246" t="s">
        <v>98</v>
      </c>
      <c r="D795" s="551">
        <v>4500182865</v>
      </c>
      <c r="E795" s="246">
        <v>2050736</v>
      </c>
      <c r="F795" s="551" t="s">
        <v>8026</v>
      </c>
      <c r="G795" s="246" t="s">
        <v>6787</v>
      </c>
      <c r="H795" s="610" t="s">
        <v>6126</v>
      </c>
      <c r="I795" s="246">
        <v>1056</v>
      </c>
      <c r="J795" s="246">
        <v>0</v>
      </c>
      <c r="K795" s="246">
        <v>12</v>
      </c>
      <c r="L795" s="644">
        <f t="shared" ref="L795:L819" si="287">I795/K795</f>
        <v>88</v>
      </c>
      <c r="M795" s="645">
        <v>45994</v>
      </c>
      <c r="N795" s="645">
        <v>45990</v>
      </c>
      <c r="O795" s="643"/>
      <c r="P795" s="643" t="s">
        <v>113</v>
      </c>
      <c r="Q795" s="246"/>
      <c r="R795" s="646">
        <v>45954</v>
      </c>
      <c r="S795" s="646" t="s">
        <v>70</v>
      </c>
      <c r="T795" s="646" t="s">
        <v>8027</v>
      </c>
      <c r="U795" s="646"/>
      <c r="V795" s="646"/>
      <c r="W795" s="615"/>
      <c r="X795" s="642" t="s">
        <v>8028</v>
      </c>
      <c r="Y795" s="642" t="s">
        <v>311</v>
      </c>
      <c r="Z795" s="642">
        <v>1.3094</v>
      </c>
      <c r="AA795" s="647">
        <f t="shared" ref="AA795:AA800" si="288">Z795*I795</f>
        <v>1382.7264</v>
      </c>
      <c r="AC795" s="648"/>
      <c r="AD795" s="246" t="s">
        <v>6128</v>
      </c>
      <c r="AE795" s="246" t="s">
        <v>82</v>
      </c>
      <c r="AF795" s="246"/>
      <c r="AG795" s="695"/>
      <c r="AH795" s="695">
        <v>1</v>
      </c>
      <c r="AI795" s="246">
        <v>1056</v>
      </c>
      <c r="AJ795" s="246">
        <f t="shared" ref="AJ795:AJ817" si="289">AI795-I795</f>
        <v>0</v>
      </c>
      <c r="AK795" s="246"/>
      <c r="AL795" s="246"/>
      <c r="AM795" s="246"/>
      <c r="AN795" s="610">
        <f>I795*2</f>
        <v>2112</v>
      </c>
      <c r="AO795" s="551"/>
      <c r="AP795" s="548"/>
      <c r="AQ795" s="554">
        <f>I795*2</f>
        <v>2112</v>
      </c>
      <c r="AR795" s="680"/>
      <c r="AS795" s="548"/>
      <c r="AT795" s="548"/>
      <c r="AU795" s="554">
        <f>I795*2</f>
        <v>2112</v>
      </c>
      <c r="AV795" s="551"/>
      <c r="AW795" s="650"/>
      <c r="AX795" s="548"/>
      <c r="AY795" s="548"/>
      <c r="AZ795" s="548"/>
      <c r="BA795" s="548"/>
      <c r="BB795" s="249">
        <f>I795/24*2</f>
        <v>88</v>
      </c>
      <c r="BC795" s="651"/>
      <c r="BD795" s="548"/>
      <c r="BE795" s="548"/>
      <c r="BF795" s="548"/>
      <c r="BY795" s="650"/>
      <c r="BZ795" s="548"/>
      <c r="CA795" s="652"/>
      <c r="CB795" s="567"/>
      <c r="CC795" s="653"/>
      <c r="CD795" s="650"/>
      <c r="CE795" s="650"/>
      <c r="CF795" s="548"/>
      <c r="CG795" s="548"/>
      <c r="CR795" s="554">
        <f>I795</f>
        <v>1056</v>
      </c>
      <c r="CS795" s="554">
        <f>I795</f>
        <v>1056</v>
      </c>
      <c r="CT795" s="554">
        <f>I795</f>
        <v>1056</v>
      </c>
      <c r="CU795" s="554">
        <f t="shared" si="277"/>
        <v>0</v>
      </c>
      <c r="CV795" s="551">
        <v>0</v>
      </c>
      <c r="CW795" s="551">
        <v>0</v>
      </c>
      <c r="CX795" s="650"/>
      <c r="CY795" s="650"/>
      <c r="CZ795" s="650"/>
      <c r="DA795" s="548"/>
      <c r="DB795" s="548"/>
      <c r="DC795" s="548"/>
      <c r="DD795" s="650"/>
      <c r="DE795" s="650"/>
      <c r="DF795" s="650"/>
      <c r="DG795" s="650"/>
      <c r="DH795" s="650"/>
    </row>
    <row r="796" s="548" customFormat="1" ht="31" customHeight="1" spans="1:112">
      <c r="A796" s="641">
        <v>45953</v>
      </c>
      <c r="B796" s="642" t="s">
        <v>1673</v>
      </c>
      <c r="C796" s="246" t="s">
        <v>98</v>
      </c>
      <c r="D796" s="551">
        <v>4500182865</v>
      </c>
      <c r="E796" s="246">
        <v>2050737</v>
      </c>
      <c r="F796" s="551" t="s">
        <v>8029</v>
      </c>
      <c r="G796" s="246" t="s">
        <v>6787</v>
      </c>
      <c r="H796" s="610" t="s">
        <v>6126</v>
      </c>
      <c r="I796" s="246">
        <v>456</v>
      </c>
      <c r="J796" s="246">
        <v>0</v>
      </c>
      <c r="K796" s="246">
        <v>12</v>
      </c>
      <c r="L796" s="644">
        <f t="shared" si="287"/>
        <v>38</v>
      </c>
      <c r="M796" s="645">
        <v>45994</v>
      </c>
      <c r="N796" s="645">
        <v>45990</v>
      </c>
      <c r="O796" s="643"/>
      <c r="P796" s="643" t="s">
        <v>113</v>
      </c>
      <c r="Q796" s="246"/>
      <c r="R796" s="646">
        <v>45954</v>
      </c>
      <c r="S796" s="646" t="s">
        <v>70</v>
      </c>
      <c r="T796" s="646" t="s">
        <v>8027</v>
      </c>
      <c r="U796" s="646"/>
      <c r="V796" s="646"/>
      <c r="W796" s="615"/>
      <c r="X796" s="642" t="s">
        <v>8028</v>
      </c>
      <c r="Y796" s="642" t="s">
        <v>311</v>
      </c>
      <c r="Z796" s="642">
        <v>1.3094</v>
      </c>
      <c r="AA796" s="647">
        <f t="shared" si="288"/>
        <v>597.0864</v>
      </c>
      <c r="AC796" s="648"/>
      <c r="AD796" s="246" t="s">
        <v>6128</v>
      </c>
      <c r="AE796" s="246" t="s">
        <v>82</v>
      </c>
      <c r="AF796" s="246"/>
      <c r="AG796" s="695"/>
      <c r="AH796" s="695">
        <v>1</v>
      </c>
      <c r="AI796" s="246">
        <v>456</v>
      </c>
      <c r="AJ796" s="246">
        <f t="shared" si="289"/>
        <v>0</v>
      </c>
      <c r="AK796" s="246"/>
      <c r="AL796" s="246"/>
      <c r="AM796" s="246"/>
      <c r="AN796" s="610">
        <f>I796*2</f>
        <v>912</v>
      </c>
      <c r="AO796" s="551"/>
      <c r="AP796" s="548"/>
      <c r="AQ796" s="554">
        <f>I796*2</f>
        <v>912</v>
      </c>
      <c r="AR796" s="680"/>
      <c r="AS796" s="548"/>
      <c r="AT796" s="548"/>
      <c r="AU796" s="554">
        <f>I796*2</f>
        <v>912</v>
      </c>
      <c r="AV796" s="551"/>
      <c r="AW796" s="650"/>
      <c r="AX796" s="548"/>
      <c r="AY796" s="548"/>
      <c r="AZ796" s="548"/>
      <c r="BA796" s="548"/>
      <c r="BB796" s="249">
        <f>I796/24*2</f>
        <v>38</v>
      </c>
      <c r="BC796" s="651"/>
      <c r="BD796" s="548"/>
      <c r="BE796" s="548"/>
      <c r="BF796" s="548"/>
      <c r="BY796" s="650"/>
      <c r="BZ796" s="548"/>
      <c r="CA796" s="652"/>
      <c r="CB796" s="567"/>
      <c r="CC796" s="653"/>
      <c r="CD796" s="650"/>
      <c r="CE796" s="650"/>
      <c r="CF796" s="548"/>
      <c r="CG796" s="548"/>
      <c r="CR796" s="554">
        <f>I796</f>
        <v>456</v>
      </c>
      <c r="CS796" s="554">
        <f>I796</f>
        <v>456</v>
      </c>
      <c r="CT796" s="554">
        <f>I796</f>
        <v>456</v>
      </c>
      <c r="CU796" s="554">
        <f t="shared" si="277"/>
        <v>0</v>
      </c>
      <c r="CV796" s="551">
        <v>0</v>
      </c>
      <c r="CW796" s="551">
        <v>0</v>
      </c>
      <c r="CX796" s="650"/>
      <c r="CY796" s="650"/>
      <c r="CZ796" s="650"/>
      <c r="DA796" s="548"/>
      <c r="DB796" s="548"/>
      <c r="DC796" s="548"/>
      <c r="DD796" s="650"/>
      <c r="DE796" s="650"/>
      <c r="DF796" s="650"/>
      <c r="DG796" s="650"/>
      <c r="DH796" s="650"/>
    </row>
    <row r="797" s="548" customFormat="1" ht="31" customHeight="1" spans="1:112">
      <c r="A797" s="641">
        <v>45959</v>
      </c>
      <c r="B797" s="642" t="s">
        <v>225</v>
      </c>
      <c r="C797" s="246" t="s">
        <v>226</v>
      </c>
      <c r="D797" s="551">
        <v>4500183523</v>
      </c>
      <c r="E797" s="246" t="s">
        <v>8030</v>
      </c>
      <c r="F797" s="551" t="s">
        <v>8031</v>
      </c>
      <c r="G797" s="246" t="s">
        <v>6040</v>
      </c>
      <c r="H797" s="246" t="s">
        <v>6041</v>
      </c>
      <c r="I797" s="246">
        <v>5200</v>
      </c>
      <c r="J797" s="246">
        <v>0</v>
      </c>
      <c r="K797" s="246">
        <v>52</v>
      </c>
      <c r="L797" s="644">
        <f t="shared" si="287"/>
        <v>100</v>
      </c>
      <c r="M797" s="645">
        <v>45994</v>
      </c>
      <c r="N797" s="645">
        <v>45990</v>
      </c>
      <c r="O797" s="643"/>
      <c r="P797" s="643" t="s">
        <v>113</v>
      </c>
      <c r="Q797" s="246"/>
      <c r="R797" s="646">
        <v>45959</v>
      </c>
      <c r="S797" s="646" t="s">
        <v>70</v>
      </c>
      <c r="T797" s="646" t="s">
        <v>8032</v>
      </c>
      <c r="U797" s="646"/>
      <c r="V797" s="646"/>
      <c r="W797" s="615"/>
      <c r="X797" s="642" t="s">
        <v>8033</v>
      </c>
      <c r="Y797" s="642" t="s">
        <v>230</v>
      </c>
      <c r="Z797" s="655">
        <v>0.9077</v>
      </c>
      <c r="AA797" s="647">
        <f t="shared" si="288"/>
        <v>4720.04</v>
      </c>
      <c r="AC797" s="648" t="s">
        <v>8034</v>
      </c>
      <c r="AD797" s="246" t="s">
        <v>6040</v>
      </c>
      <c r="AE797" s="246" t="s">
        <v>82</v>
      </c>
      <c r="AF797" s="246"/>
      <c r="AG797" s="695"/>
      <c r="AH797" s="695">
        <v>1</v>
      </c>
      <c r="AI797" s="246">
        <v>5200</v>
      </c>
      <c r="AJ797" s="246">
        <f t="shared" si="289"/>
        <v>0</v>
      </c>
      <c r="AK797" s="246"/>
      <c r="AL797" s="246"/>
      <c r="AM797" s="246"/>
      <c r="AN797" s="246"/>
      <c r="AO797" s="551">
        <f>I797</f>
        <v>5200</v>
      </c>
      <c r="AR797" s="680"/>
      <c r="AS797" s="548"/>
      <c r="AT797" s="554">
        <f>I797</f>
        <v>5200</v>
      </c>
      <c r="AV797" s="554">
        <f>I797</f>
        <v>5200</v>
      </c>
      <c r="AW797" s="650"/>
      <c r="AX797" s="548"/>
      <c r="AY797" s="548"/>
      <c r="AZ797" s="548"/>
      <c r="BA797" s="548"/>
      <c r="BB797" s="620">
        <f>I797/24</f>
        <v>216.666666666667</v>
      </c>
      <c r="BC797" s="651"/>
      <c r="BD797" s="548"/>
      <c r="BE797" s="548"/>
      <c r="BF797" s="548"/>
      <c r="BM797" s="551">
        <f>I797/13</f>
        <v>400</v>
      </c>
      <c r="BY797" s="650"/>
      <c r="BZ797" s="548"/>
      <c r="CA797" s="652"/>
      <c r="CB797" s="567"/>
      <c r="CC797" s="653"/>
      <c r="CD797" s="650"/>
      <c r="CE797" s="650"/>
      <c r="CF797" s="548"/>
      <c r="CG797" s="548"/>
      <c r="CU797" s="554">
        <f t="shared" si="277"/>
        <v>0</v>
      </c>
      <c r="CV797" s="551">
        <f t="shared" ref="CV797:CV804" si="290">CK797+CL797+CM797+CN797+CO797+CQ797+CP797</f>
        <v>0</v>
      </c>
      <c r="CW797" s="551">
        <f t="shared" ref="CW797:CW804" si="291">CI797+CJ797</f>
        <v>0</v>
      </c>
      <c r="CX797" s="650"/>
      <c r="CY797" s="650"/>
      <c r="CZ797" s="650"/>
      <c r="DA797" s="548"/>
      <c r="DB797" s="548"/>
      <c r="DC797" s="548"/>
      <c r="DD797" s="650"/>
      <c r="DE797" s="650"/>
      <c r="DF797" s="650"/>
      <c r="DG797" s="650"/>
      <c r="DH797" s="650"/>
    </row>
    <row r="798" s="548" customFormat="1" ht="31" customHeight="1" spans="1:112">
      <c r="A798" s="641">
        <v>45957</v>
      </c>
      <c r="B798" s="696" t="s">
        <v>312</v>
      </c>
      <c r="C798" s="693" t="s">
        <v>278</v>
      </c>
      <c r="D798" s="551">
        <v>4500183275</v>
      </c>
      <c r="E798" s="246" t="s">
        <v>8035</v>
      </c>
      <c r="F798" s="551" t="s">
        <v>8036</v>
      </c>
      <c r="G798" s="246" t="s">
        <v>6040</v>
      </c>
      <c r="H798" s="246" t="s">
        <v>6041</v>
      </c>
      <c r="I798" s="246">
        <v>18044</v>
      </c>
      <c r="J798" s="246">
        <v>0</v>
      </c>
      <c r="K798" s="246">
        <v>52</v>
      </c>
      <c r="L798" s="644">
        <f t="shared" si="287"/>
        <v>347</v>
      </c>
      <c r="M798" s="645">
        <v>45996</v>
      </c>
      <c r="N798" s="645">
        <v>45992</v>
      </c>
      <c r="O798" s="643"/>
      <c r="P798" s="643" t="s">
        <v>113</v>
      </c>
      <c r="Q798" s="246"/>
      <c r="R798" s="646">
        <v>45957</v>
      </c>
      <c r="S798" s="646" t="s">
        <v>104</v>
      </c>
      <c r="T798" s="646" t="s">
        <v>8037</v>
      </c>
      <c r="U798" s="646"/>
      <c r="V798" s="646"/>
      <c r="W798" s="615"/>
      <c r="X798" s="642" t="s">
        <v>8038</v>
      </c>
      <c r="Y798" s="694" t="s">
        <v>2199</v>
      </c>
      <c r="Z798" s="655">
        <v>0.9002</v>
      </c>
      <c r="AA798" s="647">
        <f t="shared" si="288"/>
        <v>16243.2088</v>
      </c>
      <c r="AC798" s="658" t="s">
        <v>8039</v>
      </c>
      <c r="AD798" s="246" t="s">
        <v>6040</v>
      </c>
      <c r="AE798" s="246" t="s">
        <v>82</v>
      </c>
      <c r="AF798" s="246"/>
      <c r="AG798" s="246"/>
      <c r="AH798" s="695">
        <v>1</v>
      </c>
      <c r="AI798" s="246">
        <f>17992+52</f>
        <v>18044</v>
      </c>
      <c r="AJ798" s="246">
        <f t="shared" si="289"/>
        <v>0</v>
      </c>
      <c r="AK798" s="246"/>
      <c r="AL798" s="246"/>
      <c r="AM798" s="246"/>
      <c r="AN798" s="246"/>
      <c r="AO798" s="551">
        <f>I798</f>
        <v>18044</v>
      </c>
      <c r="AR798" s="680"/>
      <c r="AS798" s="548"/>
      <c r="AT798" s="554">
        <f>I798</f>
        <v>18044</v>
      </c>
      <c r="AU798" s="551"/>
      <c r="AV798" s="554">
        <f>I798</f>
        <v>18044</v>
      </c>
      <c r="AW798" s="650"/>
      <c r="AX798" s="551"/>
      <c r="AY798" s="548"/>
      <c r="AZ798" s="548"/>
      <c r="BA798" s="548"/>
      <c r="BB798" s="620">
        <f>I798/24</f>
        <v>751.833333333333</v>
      </c>
      <c r="BC798" s="651"/>
      <c r="BD798" s="548"/>
      <c r="BE798" s="548"/>
      <c r="BF798" s="548"/>
      <c r="BM798" s="551">
        <f>I798/13</f>
        <v>1388</v>
      </c>
      <c r="BY798" s="650"/>
      <c r="BZ798" s="548"/>
      <c r="CA798" s="652"/>
      <c r="CB798" s="567"/>
      <c r="CC798" s="653"/>
      <c r="CD798" s="650"/>
      <c r="CE798" s="650"/>
      <c r="CF798" s="548"/>
      <c r="CG798" s="548"/>
      <c r="CU798" s="554">
        <f t="shared" si="277"/>
        <v>0</v>
      </c>
      <c r="CV798" s="551">
        <f t="shared" si="290"/>
        <v>0</v>
      </c>
      <c r="CW798" s="551">
        <f t="shared" si="291"/>
        <v>0</v>
      </c>
      <c r="CX798" s="650"/>
      <c r="CY798" s="650"/>
      <c r="CZ798" s="650"/>
      <c r="DA798" s="548"/>
      <c r="DB798" s="548"/>
      <c r="DC798" s="548"/>
      <c r="DD798" s="650"/>
      <c r="DE798" s="650"/>
      <c r="DF798" s="650"/>
      <c r="DG798" s="650"/>
      <c r="DH798" s="650"/>
    </row>
    <row r="799" s="548" customFormat="1" ht="31" customHeight="1" spans="1:112">
      <c r="A799" s="641">
        <v>45905</v>
      </c>
      <c r="B799" s="642" t="s">
        <v>1800</v>
      </c>
      <c r="C799" s="246" t="s">
        <v>744</v>
      </c>
      <c r="D799" s="551">
        <v>4500178919</v>
      </c>
      <c r="E799" s="246">
        <v>5000001988</v>
      </c>
      <c r="F799" s="551" t="s">
        <v>2283</v>
      </c>
      <c r="G799" s="246" t="s">
        <v>6337</v>
      </c>
      <c r="H799" s="662" t="s">
        <v>477</v>
      </c>
      <c r="I799" s="246">
        <v>10002</v>
      </c>
      <c r="J799" s="246">
        <v>0</v>
      </c>
      <c r="K799" s="246">
        <v>6</v>
      </c>
      <c r="L799" s="644">
        <f t="shared" si="287"/>
        <v>1667</v>
      </c>
      <c r="M799" s="645">
        <v>45996</v>
      </c>
      <c r="N799" s="645">
        <v>45992</v>
      </c>
      <c r="O799" s="643"/>
      <c r="P799" s="643" t="s">
        <v>113</v>
      </c>
      <c r="Q799" s="246"/>
      <c r="R799" s="646">
        <v>45960</v>
      </c>
      <c r="S799" s="646" t="s">
        <v>70</v>
      </c>
      <c r="T799" s="646" t="s">
        <v>7927</v>
      </c>
      <c r="U799" s="646"/>
      <c r="V799" s="646"/>
      <c r="W799" s="615"/>
      <c r="X799" s="642" t="s">
        <v>2795</v>
      </c>
      <c r="Y799" s="642" t="s">
        <v>1805</v>
      </c>
      <c r="Z799" s="642">
        <v>6.3409</v>
      </c>
      <c r="AA799" s="647">
        <f t="shared" si="288"/>
        <v>63421.6818</v>
      </c>
      <c r="AC799" s="648" t="s">
        <v>2284</v>
      </c>
      <c r="AD799" s="695" t="s">
        <v>2241</v>
      </c>
      <c r="AE799" s="246" t="s">
        <v>82</v>
      </c>
      <c r="AF799" s="246"/>
      <c r="AG799" s="246"/>
      <c r="AH799" s="695">
        <v>1</v>
      </c>
      <c r="AI799" s="246">
        <f>534+9450+18</f>
        <v>10002</v>
      </c>
      <c r="AJ799" s="246">
        <f t="shared" si="289"/>
        <v>0</v>
      </c>
      <c r="AK799" s="246"/>
      <c r="AL799" s="246"/>
      <c r="AM799" s="246"/>
      <c r="AN799" s="246"/>
      <c r="AO799" s="554">
        <f>I799*2</f>
        <v>20004</v>
      </c>
      <c r="AP799" s="554">
        <f>I799*2</f>
        <v>20004</v>
      </c>
      <c r="AR799" s="680"/>
      <c r="AS799" s="548"/>
      <c r="AT799" s="548"/>
      <c r="AU799" s="548"/>
      <c r="AV799" s="551"/>
      <c r="AW799" s="650"/>
      <c r="AX799" s="663">
        <f>I799*2</f>
        <v>20004</v>
      </c>
      <c r="BA799" s="671">
        <f>I799/24*2</f>
        <v>833.5</v>
      </c>
      <c r="BB799" s="249"/>
      <c r="BC799" s="651"/>
      <c r="BD799" s="548"/>
      <c r="BE799" s="548"/>
      <c r="BF799" s="548"/>
      <c r="BY799" s="619"/>
      <c r="BZ799" s="554">
        <f>I799</f>
        <v>10002</v>
      </c>
      <c r="CA799" s="652"/>
      <c r="CB799" s="567"/>
      <c r="CC799" s="653"/>
      <c r="CD799" s="650"/>
      <c r="CE799" s="650"/>
      <c r="CF799" s="548"/>
      <c r="CG799" s="548"/>
      <c r="CU799" s="554">
        <f t="shared" si="277"/>
        <v>0</v>
      </c>
      <c r="CV799" s="551">
        <f t="shared" si="290"/>
        <v>0</v>
      </c>
      <c r="CW799" s="551">
        <f t="shared" si="291"/>
        <v>0</v>
      </c>
      <c r="CX799" s="650"/>
      <c r="CY799" s="650"/>
      <c r="CZ799" s="650"/>
      <c r="DA799" s="548"/>
      <c r="DB799" s="548"/>
      <c r="DC799" s="548"/>
      <c r="DD799" s="650"/>
      <c r="DE799" s="650"/>
      <c r="DF799" s="650"/>
      <c r="DG799" s="650"/>
      <c r="DH799" s="650"/>
    </row>
    <row r="800" s="548" customFormat="1" ht="31" customHeight="1" spans="1:112">
      <c r="A800" s="641">
        <v>45875</v>
      </c>
      <c r="B800" s="642" t="s">
        <v>2285</v>
      </c>
      <c r="C800" s="246" t="s">
        <v>2286</v>
      </c>
      <c r="D800" s="551">
        <v>4500176094</v>
      </c>
      <c r="E800" s="246"/>
      <c r="F800" s="551" t="s">
        <v>8040</v>
      </c>
      <c r="G800" s="246" t="s">
        <v>6276</v>
      </c>
      <c r="H800" s="246" t="s">
        <v>6277</v>
      </c>
      <c r="I800" s="246">
        <v>250</v>
      </c>
      <c r="J800" s="246">
        <v>0</v>
      </c>
      <c r="K800" s="246">
        <v>50</v>
      </c>
      <c r="L800" s="644">
        <f t="shared" si="287"/>
        <v>5</v>
      </c>
      <c r="M800" s="645">
        <v>45996</v>
      </c>
      <c r="N800" s="645">
        <v>45992</v>
      </c>
      <c r="O800" s="643"/>
      <c r="P800" s="643" t="s">
        <v>113</v>
      </c>
      <c r="Q800" s="246"/>
      <c r="R800" s="646">
        <v>45919</v>
      </c>
      <c r="S800" s="646" t="s">
        <v>70</v>
      </c>
      <c r="T800" s="646" t="s">
        <v>7957</v>
      </c>
      <c r="U800" s="646"/>
      <c r="V800" s="646"/>
      <c r="W800" s="615"/>
      <c r="X800" s="642" t="s">
        <v>8041</v>
      </c>
      <c r="Y800" s="642" t="s">
        <v>529</v>
      </c>
      <c r="Z800" s="642">
        <v>0.9113</v>
      </c>
      <c r="AA800" s="647">
        <f t="shared" si="288"/>
        <v>227.825</v>
      </c>
      <c r="AC800" s="648" t="s">
        <v>8042</v>
      </c>
      <c r="AD800" s="642" t="s">
        <v>6276</v>
      </c>
      <c r="AE800" s="246" t="s">
        <v>82</v>
      </c>
      <c r="AF800" s="246"/>
      <c r="AG800" s="246"/>
      <c r="AH800" s="695">
        <v>1</v>
      </c>
      <c r="AI800" s="246">
        <v>250</v>
      </c>
      <c r="AJ800" s="246">
        <f t="shared" si="289"/>
        <v>0</v>
      </c>
      <c r="AK800" s="246"/>
      <c r="AL800" s="246"/>
      <c r="AM800" s="246"/>
      <c r="AN800" s="246"/>
      <c r="AO800" s="551">
        <f>I800</f>
        <v>250</v>
      </c>
      <c r="AR800" s="680"/>
      <c r="AS800" s="548"/>
      <c r="AT800" s="554">
        <f>I800</f>
        <v>250</v>
      </c>
      <c r="AU800" s="551"/>
      <c r="AV800" s="551"/>
      <c r="AW800" s="650"/>
      <c r="AX800" s="551"/>
      <c r="AY800" s="548"/>
      <c r="AZ800" s="548"/>
      <c r="BA800" s="548"/>
      <c r="BB800" s="686">
        <f t="shared" ref="BB800:BB802" si="292">I800/24*2</f>
        <v>20.8333333333333</v>
      </c>
      <c r="BC800" s="651"/>
      <c r="BD800" s="548"/>
      <c r="BE800" s="548"/>
      <c r="BF800" s="548"/>
      <c r="BW800" s="551">
        <f>I800</f>
        <v>250</v>
      </c>
      <c r="BX800" s="551">
        <f>I800/25</f>
        <v>10</v>
      </c>
      <c r="BY800" s="650"/>
      <c r="BZ800" s="548"/>
      <c r="CA800" s="652"/>
      <c r="CB800" s="567"/>
      <c r="CC800" s="653"/>
      <c r="CD800" s="650"/>
      <c r="CE800" s="650"/>
      <c r="CF800" s="548"/>
      <c r="CG800" s="548"/>
      <c r="CU800" s="554">
        <f t="shared" si="277"/>
        <v>10</v>
      </c>
      <c r="CV800" s="663">
        <f t="shared" si="290"/>
        <v>0</v>
      </c>
      <c r="CW800" s="663">
        <f t="shared" si="291"/>
        <v>0</v>
      </c>
      <c r="CX800" s="650"/>
      <c r="CY800" s="650"/>
      <c r="CZ800" s="650"/>
      <c r="DA800" s="548"/>
      <c r="DB800" s="548"/>
      <c r="DC800" s="548"/>
      <c r="DD800" s="650"/>
      <c r="DE800" s="650"/>
      <c r="DF800" s="650"/>
      <c r="DG800" s="650"/>
      <c r="DH800" s="650"/>
    </row>
    <row r="801" s="548" customFormat="1" ht="31" customHeight="1" spans="1:112">
      <c r="A801" s="641">
        <v>45930</v>
      </c>
      <c r="B801" s="642" t="s">
        <v>2285</v>
      </c>
      <c r="C801" s="246" t="s">
        <v>2286</v>
      </c>
      <c r="D801" s="551">
        <v>4500181141</v>
      </c>
      <c r="E801" s="246" t="s">
        <v>2287</v>
      </c>
      <c r="F801" s="551" t="s">
        <v>8043</v>
      </c>
      <c r="G801" s="246" t="s">
        <v>6276</v>
      </c>
      <c r="H801" s="246" t="s">
        <v>6277</v>
      </c>
      <c r="I801" s="246">
        <v>500</v>
      </c>
      <c r="J801" s="246">
        <v>0</v>
      </c>
      <c r="K801" s="246">
        <v>50</v>
      </c>
      <c r="L801" s="644">
        <f t="shared" si="287"/>
        <v>10</v>
      </c>
      <c r="M801" s="645">
        <v>45996</v>
      </c>
      <c r="N801" s="645">
        <v>45992</v>
      </c>
      <c r="O801" s="643"/>
      <c r="P801" s="643" t="s">
        <v>113</v>
      </c>
      <c r="Q801" s="246"/>
      <c r="R801" s="646">
        <v>45930</v>
      </c>
      <c r="S801" s="646" t="s">
        <v>70</v>
      </c>
      <c r="T801" s="646" t="s">
        <v>7957</v>
      </c>
      <c r="U801" s="646"/>
      <c r="V801" s="646"/>
      <c r="W801" s="615"/>
      <c r="X801" s="642" t="s">
        <v>8044</v>
      </c>
      <c r="Y801" s="642" t="s">
        <v>529</v>
      </c>
      <c r="Z801" s="642">
        <v>0.9292</v>
      </c>
      <c r="AA801" s="647">
        <v>464.6</v>
      </c>
      <c r="AC801" s="648" t="s">
        <v>8045</v>
      </c>
      <c r="AD801" s="246" t="s">
        <v>6276</v>
      </c>
      <c r="AE801" s="246" t="s">
        <v>82</v>
      </c>
      <c r="AF801" s="246"/>
      <c r="AG801" s="246"/>
      <c r="AH801" s="695">
        <v>1</v>
      </c>
      <c r="AI801" s="246">
        <v>500</v>
      </c>
      <c r="AJ801" s="246">
        <f t="shared" si="289"/>
        <v>0</v>
      </c>
      <c r="AK801" s="246"/>
      <c r="AL801" s="246"/>
      <c r="AM801" s="246"/>
      <c r="AN801" s="246"/>
      <c r="AO801" s="551">
        <f>I801</f>
        <v>500</v>
      </c>
      <c r="AR801" s="680"/>
      <c r="AS801" s="548"/>
      <c r="AT801" s="554">
        <f>I801</f>
        <v>500</v>
      </c>
      <c r="AU801" s="551"/>
      <c r="AV801" s="551"/>
      <c r="AW801" s="650"/>
      <c r="AX801" s="551"/>
      <c r="AY801" s="548"/>
      <c r="AZ801" s="548"/>
      <c r="BA801" s="548"/>
      <c r="BB801" s="686">
        <f t="shared" si="292"/>
        <v>41.6666666666667</v>
      </c>
      <c r="BC801" s="651"/>
      <c r="BD801" s="548"/>
      <c r="BE801" s="548"/>
      <c r="BF801" s="548"/>
      <c r="BW801" s="551">
        <v>500</v>
      </c>
      <c r="BX801" s="551">
        <f>I801/25</f>
        <v>20</v>
      </c>
      <c r="BY801" s="650"/>
      <c r="BZ801" s="548"/>
      <c r="CA801" s="652"/>
      <c r="CB801" s="567"/>
      <c r="CC801" s="653"/>
      <c r="CD801" s="650"/>
      <c r="CE801" s="650"/>
      <c r="CF801" s="548"/>
      <c r="CG801" s="548"/>
      <c r="CU801" s="554">
        <f t="shared" si="277"/>
        <v>20</v>
      </c>
      <c r="CV801" s="663">
        <f t="shared" si="290"/>
        <v>0</v>
      </c>
      <c r="CW801" s="663">
        <f t="shared" si="291"/>
        <v>0</v>
      </c>
      <c r="CX801" s="650"/>
      <c r="CY801" s="650"/>
      <c r="CZ801" s="650"/>
      <c r="DA801" s="548"/>
      <c r="DB801" s="548"/>
      <c r="DC801" s="548"/>
      <c r="DD801" s="650"/>
      <c r="DE801" s="650"/>
      <c r="DF801" s="650"/>
      <c r="DG801" s="650"/>
      <c r="DH801" s="650"/>
    </row>
    <row r="802" s="548" customFormat="1" ht="31" customHeight="1" spans="1:112">
      <c r="A802" s="641">
        <v>45944</v>
      </c>
      <c r="B802" s="642" t="s">
        <v>211</v>
      </c>
      <c r="C802" s="246" t="s">
        <v>212</v>
      </c>
      <c r="D802" s="551">
        <v>4500181824</v>
      </c>
      <c r="E802" s="246" t="s">
        <v>2292</v>
      </c>
      <c r="F802" s="551" t="s">
        <v>2297</v>
      </c>
      <c r="G802" s="246" t="s">
        <v>6337</v>
      </c>
      <c r="H802" s="246" t="s">
        <v>477</v>
      </c>
      <c r="I802" s="246">
        <v>300</v>
      </c>
      <c r="J802" s="246">
        <v>0</v>
      </c>
      <c r="K802" s="246">
        <v>6</v>
      </c>
      <c r="L802" s="644">
        <f t="shared" si="287"/>
        <v>50</v>
      </c>
      <c r="M802" s="645">
        <v>45996</v>
      </c>
      <c r="N802" s="645">
        <v>45992</v>
      </c>
      <c r="O802" s="643"/>
      <c r="P802" s="643" t="s">
        <v>113</v>
      </c>
      <c r="Q802" s="246"/>
      <c r="R802" s="646">
        <v>45944</v>
      </c>
      <c r="S802" s="646" t="s">
        <v>70</v>
      </c>
      <c r="T802" s="646" t="s">
        <v>8046</v>
      </c>
      <c r="U802" s="646"/>
      <c r="V802" s="646"/>
      <c r="W802" s="615"/>
      <c r="X802" s="642" t="s">
        <v>8047</v>
      </c>
      <c r="Y802" s="642" t="s">
        <v>1793</v>
      </c>
      <c r="Z802" s="642">
        <v>6.5552</v>
      </c>
      <c r="AA802" s="647">
        <f t="shared" ref="AA802:AA807" si="293">Z802*I802</f>
        <v>1966.56</v>
      </c>
      <c r="AC802" s="658" t="s">
        <v>2296</v>
      </c>
      <c r="AD802" s="695" t="s">
        <v>2241</v>
      </c>
      <c r="AE802" s="246" t="s">
        <v>82</v>
      </c>
      <c r="AF802" s="246"/>
      <c r="AG802" s="246"/>
      <c r="AH802" s="246">
        <v>1</v>
      </c>
      <c r="AI802" s="246"/>
      <c r="AJ802" s="246">
        <f t="shared" si="289"/>
        <v>-300</v>
      </c>
      <c r="AK802" s="246"/>
      <c r="AL802" s="246"/>
      <c r="AM802" s="246"/>
      <c r="AN802" s="246"/>
      <c r="AO802" s="554">
        <f>I802*2</f>
        <v>600</v>
      </c>
      <c r="AR802" s="680"/>
      <c r="AS802" s="548"/>
      <c r="AT802" s="554">
        <f>I802*2</f>
        <v>600</v>
      </c>
      <c r="AU802" s="551"/>
      <c r="AV802" s="554">
        <f>I802*2</f>
        <v>600</v>
      </c>
      <c r="AW802" s="650"/>
      <c r="AX802" s="548"/>
      <c r="AY802" s="548"/>
      <c r="AZ802" s="548"/>
      <c r="BA802" s="651"/>
      <c r="BB802" s="620">
        <f t="shared" si="292"/>
        <v>25</v>
      </c>
      <c r="BC802" s="651"/>
      <c r="BD802" s="548"/>
      <c r="BE802" s="548"/>
      <c r="BF802" s="548"/>
      <c r="BY802" s="619"/>
      <c r="BZ802" s="554">
        <f>I802</f>
        <v>300</v>
      </c>
      <c r="CA802" s="652"/>
      <c r="CB802" s="567"/>
      <c r="CC802" s="653"/>
      <c r="CD802" s="650"/>
      <c r="CE802" s="650"/>
      <c r="CF802" s="548"/>
      <c r="CG802" s="548"/>
      <c r="CU802" s="554">
        <f t="shared" si="277"/>
        <v>0</v>
      </c>
      <c r="CV802" s="551">
        <f t="shared" si="290"/>
        <v>0</v>
      </c>
      <c r="CW802" s="551">
        <f t="shared" si="291"/>
        <v>0</v>
      </c>
      <c r="CX802" s="650"/>
      <c r="CY802" s="650"/>
      <c r="CZ802" s="650"/>
      <c r="DA802" s="548"/>
      <c r="DB802" s="548"/>
      <c r="DC802" s="548"/>
      <c r="DD802" s="650"/>
      <c r="DE802" s="650"/>
      <c r="DF802" s="650"/>
      <c r="DG802" s="650"/>
      <c r="DH802" s="650"/>
    </row>
    <row r="803" s="548" customFormat="1" ht="31" customHeight="1" spans="1:112">
      <c r="A803" s="641">
        <v>45953</v>
      </c>
      <c r="B803" s="642" t="s">
        <v>8048</v>
      </c>
      <c r="C803" s="246" t="s">
        <v>98</v>
      </c>
      <c r="D803" s="551">
        <v>4500182810</v>
      </c>
      <c r="E803" s="246" t="s">
        <v>8049</v>
      </c>
      <c r="F803" s="551" t="s">
        <v>8050</v>
      </c>
      <c r="G803" s="246" t="s">
        <v>8051</v>
      </c>
      <c r="H803" s="246" t="s">
        <v>6102</v>
      </c>
      <c r="I803" s="246">
        <v>75528</v>
      </c>
      <c r="J803" s="246">
        <v>0</v>
      </c>
      <c r="K803" s="246">
        <v>6</v>
      </c>
      <c r="L803" s="644">
        <f t="shared" si="287"/>
        <v>12588</v>
      </c>
      <c r="M803" s="645">
        <v>45996</v>
      </c>
      <c r="N803" s="645">
        <v>45992</v>
      </c>
      <c r="O803" s="643" t="s">
        <v>8052</v>
      </c>
      <c r="P803" s="643" t="s">
        <v>113</v>
      </c>
      <c r="Q803" s="246"/>
      <c r="R803" s="646">
        <v>45953</v>
      </c>
      <c r="S803" s="646" t="s">
        <v>104</v>
      </c>
      <c r="T803" s="646" t="s">
        <v>8053</v>
      </c>
      <c r="U803" s="646"/>
      <c r="V803" s="646"/>
      <c r="W803" s="615"/>
      <c r="X803" s="642" t="s">
        <v>8054</v>
      </c>
      <c r="Y803" s="642" t="s">
        <v>8055</v>
      </c>
      <c r="Z803" s="642">
        <v>0.5735</v>
      </c>
      <c r="AA803" s="647">
        <f t="shared" si="293"/>
        <v>43315.308</v>
      </c>
      <c r="AC803" s="648"/>
      <c r="AD803" s="246" t="s">
        <v>8051</v>
      </c>
      <c r="AE803" s="246" t="s">
        <v>82</v>
      </c>
      <c r="AF803" s="246"/>
      <c r="AG803" s="246"/>
      <c r="AH803" s="246">
        <v>1</v>
      </c>
      <c r="AI803" s="246">
        <f>32664+41496+1368</f>
        <v>75528</v>
      </c>
      <c r="AJ803" s="246">
        <f t="shared" si="289"/>
        <v>0</v>
      </c>
      <c r="AK803" s="246"/>
      <c r="AL803" s="246"/>
      <c r="AM803" s="246"/>
      <c r="AN803" s="246">
        <f>I803</f>
        <v>75528</v>
      </c>
      <c r="AO803" s="551"/>
      <c r="AP803" s="554">
        <f>I803</f>
        <v>75528</v>
      </c>
      <c r="AR803" s="680"/>
      <c r="AS803" s="548"/>
      <c r="AT803" s="548"/>
      <c r="AU803" s="554">
        <f>I803</f>
        <v>75528</v>
      </c>
      <c r="AV803" s="551"/>
      <c r="AW803" s="650"/>
      <c r="AX803" s="548"/>
      <c r="AY803" s="548"/>
      <c r="AZ803" s="548"/>
      <c r="BA803" s="548"/>
      <c r="BB803" s="249">
        <f>I803</f>
        <v>75528</v>
      </c>
      <c r="BC803" s="651"/>
      <c r="BD803" s="548"/>
      <c r="BE803" s="548"/>
      <c r="BF803" s="548"/>
      <c r="BT803" s="551">
        <f>L803</f>
        <v>12588</v>
      </c>
      <c r="BU803" s="551"/>
      <c r="BY803" s="650"/>
      <c r="BZ803" s="548"/>
      <c r="CA803" s="652"/>
      <c r="CB803" s="567"/>
      <c r="CC803" s="653"/>
      <c r="CD803" s="650"/>
      <c r="CE803" s="650"/>
      <c r="CF803" s="548"/>
      <c r="CG803" s="548"/>
      <c r="CU803" s="554">
        <f t="shared" si="277"/>
        <v>0</v>
      </c>
      <c r="CV803" s="663">
        <f t="shared" si="290"/>
        <v>0</v>
      </c>
      <c r="CW803" s="663">
        <f t="shared" si="291"/>
        <v>0</v>
      </c>
      <c r="CX803" s="650"/>
      <c r="CY803" s="650"/>
      <c r="CZ803" s="650"/>
      <c r="DA803" s="548"/>
      <c r="DB803" s="548"/>
      <c r="DC803" s="548"/>
      <c r="DD803" s="650"/>
      <c r="DE803" s="650"/>
      <c r="DF803" s="650"/>
      <c r="DG803" s="650"/>
      <c r="DH803" s="650"/>
    </row>
    <row r="804" s="548" customFormat="1" ht="31" customHeight="1" spans="1:112">
      <c r="A804" s="641">
        <v>45959</v>
      </c>
      <c r="B804" s="642" t="s">
        <v>370</v>
      </c>
      <c r="C804" s="246" t="s">
        <v>241</v>
      </c>
      <c r="D804" s="551">
        <v>4500183542</v>
      </c>
      <c r="E804" s="246">
        <v>32723635</v>
      </c>
      <c r="F804" s="551" t="s">
        <v>8056</v>
      </c>
      <c r="G804" s="246" t="s">
        <v>6047</v>
      </c>
      <c r="H804" s="246" t="s">
        <v>6069</v>
      </c>
      <c r="I804" s="246">
        <v>1125</v>
      </c>
      <c r="J804" s="246">
        <v>0</v>
      </c>
      <c r="K804" s="246">
        <v>25</v>
      </c>
      <c r="L804" s="644">
        <f t="shared" si="287"/>
        <v>45</v>
      </c>
      <c r="M804" s="645">
        <v>45996</v>
      </c>
      <c r="N804" s="645">
        <v>45992</v>
      </c>
      <c r="O804" s="643"/>
      <c r="P804" s="643" t="s">
        <v>113</v>
      </c>
      <c r="Q804" s="246"/>
      <c r="R804" s="646">
        <v>45959</v>
      </c>
      <c r="S804" s="646" t="s">
        <v>70</v>
      </c>
      <c r="T804" s="646" t="s">
        <v>8057</v>
      </c>
      <c r="U804" s="646"/>
      <c r="V804" s="646"/>
      <c r="W804" s="615"/>
      <c r="X804" s="642" t="s">
        <v>8058</v>
      </c>
      <c r="Y804" s="642" t="s">
        <v>299</v>
      </c>
      <c r="Z804" s="642">
        <v>0.9417</v>
      </c>
      <c r="AA804" s="647">
        <f t="shared" si="293"/>
        <v>1059.4125</v>
      </c>
      <c r="AC804" s="658" t="s">
        <v>8059</v>
      </c>
      <c r="AD804" s="246" t="s">
        <v>6047</v>
      </c>
      <c r="AE804" s="246" t="s">
        <v>82</v>
      </c>
      <c r="AF804" s="246"/>
      <c r="AG804" s="246"/>
      <c r="AH804" s="246">
        <v>1</v>
      </c>
      <c r="AI804" s="246">
        <v>1125</v>
      </c>
      <c r="AJ804" s="246">
        <f t="shared" si="289"/>
        <v>0</v>
      </c>
      <c r="AK804" s="246"/>
      <c r="AL804" s="246"/>
      <c r="AM804" s="246"/>
      <c r="AN804" s="246"/>
      <c r="AO804" s="551">
        <f>I804</f>
        <v>1125</v>
      </c>
      <c r="AR804" s="680"/>
      <c r="AS804" s="548"/>
      <c r="AT804" s="554">
        <f>I804</f>
        <v>1125</v>
      </c>
      <c r="AU804" s="551"/>
      <c r="AV804" s="554">
        <f>I804</f>
        <v>1125</v>
      </c>
      <c r="AW804" s="650"/>
      <c r="AX804" s="548"/>
      <c r="AY804" s="548"/>
      <c r="AZ804" s="548"/>
      <c r="BA804" s="548"/>
      <c r="BB804" s="620">
        <f>I804/24</f>
        <v>46.875</v>
      </c>
      <c r="BC804" s="651"/>
      <c r="BD804" s="548"/>
      <c r="BE804" s="548"/>
      <c r="BF804" s="548"/>
      <c r="BP804" s="551">
        <f>I804/25</f>
        <v>45</v>
      </c>
      <c r="BY804" s="650"/>
      <c r="BZ804" s="548"/>
      <c r="CA804" s="652"/>
      <c r="CB804" s="567"/>
      <c r="CC804" s="653"/>
      <c r="CD804" s="650"/>
      <c r="CE804" s="650"/>
      <c r="CF804" s="548"/>
      <c r="CG804" s="548"/>
      <c r="CU804" s="554">
        <f t="shared" si="277"/>
        <v>45</v>
      </c>
      <c r="CV804" s="551">
        <f t="shared" si="290"/>
        <v>0</v>
      </c>
      <c r="CW804" s="551">
        <f t="shared" si="291"/>
        <v>0</v>
      </c>
      <c r="CX804" s="650"/>
      <c r="CY804" s="650"/>
      <c r="CZ804" s="650"/>
      <c r="DA804" s="548"/>
      <c r="DB804" s="548"/>
      <c r="DC804" s="548"/>
      <c r="DD804" s="650"/>
      <c r="DE804" s="650"/>
      <c r="DF804" s="650"/>
      <c r="DG804" s="650"/>
      <c r="DH804" s="650"/>
    </row>
    <row r="805" s="548" customFormat="1" ht="31" customHeight="1" spans="1:112">
      <c r="A805" s="641">
        <v>45960</v>
      </c>
      <c r="B805" s="642" t="s">
        <v>3340</v>
      </c>
      <c r="C805" s="246" t="s">
        <v>98</v>
      </c>
      <c r="D805" s="551">
        <v>4500183797</v>
      </c>
      <c r="E805" s="246" t="s">
        <v>8060</v>
      </c>
      <c r="F805" s="551" t="s">
        <v>8061</v>
      </c>
      <c r="G805" s="246" t="s">
        <v>6787</v>
      </c>
      <c r="H805" s="610" t="s">
        <v>6126</v>
      </c>
      <c r="I805" s="246">
        <v>996</v>
      </c>
      <c r="J805" s="246">
        <v>0</v>
      </c>
      <c r="K805" s="246">
        <v>12</v>
      </c>
      <c r="L805" s="644">
        <f t="shared" si="287"/>
        <v>83</v>
      </c>
      <c r="M805" s="645">
        <v>45996</v>
      </c>
      <c r="N805" s="645">
        <v>45992</v>
      </c>
      <c r="O805" s="643"/>
      <c r="P805" s="643" t="s">
        <v>113</v>
      </c>
      <c r="Q805" s="246"/>
      <c r="R805" s="646">
        <v>45965</v>
      </c>
      <c r="S805" s="646" t="s">
        <v>70</v>
      </c>
      <c r="T805" s="646" t="s">
        <v>8062</v>
      </c>
      <c r="U805" s="646"/>
      <c r="V805" s="646"/>
      <c r="W805" s="615"/>
      <c r="X805" s="642" t="s">
        <v>8063</v>
      </c>
      <c r="Y805" s="642" t="s">
        <v>2554</v>
      </c>
      <c r="Z805" s="642">
        <v>1.3094</v>
      </c>
      <c r="AA805" s="647">
        <f t="shared" si="293"/>
        <v>1304.1624</v>
      </c>
      <c r="AC805" s="648"/>
      <c r="AD805" s="246" t="s">
        <v>6128</v>
      </c>
      <c r="AE805" s="246" t="s">
        <v>82</v>
      </c>
      <c r="AF805" s="246"/>
      <c r="AG805" s="695"/>
      <c r="AH805" s="246">
        <v>1</v>
      </c>
      <c r="AI805" s="246">
        <v>996</v>
      </c>
      <c r="AJ805" s="246">
        <f t="shared" si="289"/>
        <v>0</v>
      </c>
      <c r="AK805" s="246"/>
      <c r="AL805" s="246"/>
      <c r="AM805" s="246"/>
      <c r="AN805" s="610">
        <f>I805*2</f>
        <v>1992</v>
      </c>
      <c r="AO805" s="551"/>
      <c r="AP805" s="548"/>
      <c r="AQ805" s="554">
        <f>I805*2</f>
        <v>1992</v>
      </c>
      <c r="AR805" s="680"/>
      <c r="AS805" s="548"/>
      <c r="AT805" s="548"/>
      <c r="AU805" s="554">
        <f>I805*2</f>
        <v>1992</v>
      </c>
      <c r="AV805" s="551"/>
      <c r="AW805" s="650"/>
      <c r="AX805" s="548"/>
      <c r="AY805" s="548"/>
      <c r="AZ805" s="548"/>
      <c r="BA805" s="548"/>
      <c r="BB805" s="249">
        <f t="shared" ref="BB805:BB811" si="294">I805/24*2</f>
        <v>83</v>
      </c>
      <c r="BC805" s="651"/>
      <c r="BD805" s="548"/>
      <c r="BE805" s="548"/>
      <c r="BF805" s="548"/>
      <c r="BY805" s="650"/>
      <c r="BZ805" s="548"/>
      <c r="CA805" s="652"/>
      <c r="CB805" s="567"/>
      <c r="CC805" s="653"/>
      <c r="CD805" s="650"/>
      <c r="CE805" s="650"/>
      <c r="CF805" s="548"/>
      <c r="CG805" s="548"/>
      <c r="CR805" s="554">
        <f>I805</f>
        <v>996</v>
      </c>
      <c r="CS805" s="554">
        <f>I805</f>
        <v>996</v>
      </c>
      <c r="CT805" s="554">
        <f>I805</f>
        <v>996</v>
      </c>
      <c r="CU805" s="554">
        <f t="shared" si="277"/>
        <v>0</v>
      </c>
      <c r="CV805" s="551">
        <v>0</v>
      </c>
      <c r="CW805" s="551">
        <v>0</v>
      </c>
      <c r="CX805" s="650"/>
      <c r="CY805" s="650"/>
      <c r="CZ805" s="650"/>
      <c r="DA805" s="548"/>
      <c r="DB805" s="548"/>
      <c r="DC805" s="548"/>
      <c r="DD805" s="650"/>
      <c r="DE805" s="650"/>
      <c r="DF805" s="650"/>
      <c r="DG805" s="650"/>
      <c r="DH805" s="650"/>
    </row>
    <row r="806" s="548" customFormat="1" ht="31" customHeight="1" spans="1:112">
      <c r="A806" s="641">
        <v>45960</v>
      </c>
      <c r="B806" s="642" t="s">
        <v>3340</v>
      </c>
      <c r="C806" s="246" t="s">
        <v>98</v>
      </c>
      <c r="D806" s="551">
        <v>4500183798</v>
      </c>
      <c r="E806" s="246" t="s">
        <v>8064</v>
      </c>
      <c r="F806" s="551" t="s">
        <v>8065</v>
      </c>
      <c r="G806" s="246" t="s">
        <v>6787</v>
      </c>
      <c r="H806" s="610" t="s">
        <v>6126</v>
      </c>
      <c r="I806" s="246">
        <v>1200</v>
      </c>
      <c r="J806" s="246">
        <v>0</v>
      </c>
      <c r="K806" s="246">
        <v>12</v>
      </c>
      <c r="L806" s="644">
        <f t="shared" si="287"/>
        <v>100</v>
      </c>
      <c r="M806" s="645">
        <v>45996</v>
      </c>
      <c r="N806" s="645">
        <v>45992</v>
      </c>
      <c r="O806" s="643"/>
      <c r="P806" s="643" t="s">
        <v>113</v>
      </c>
      <c r="Q806" s="246"/>
      <c r="R806" s="646">
        <v>45965</v>
      </c>
      <c r="S806" s="646" t="s">
        <v>70</v>
      </c>
      <c r="T806" s="646" t="s">
        <v>8062</v>
      </c>
      <c r="U806" s="646"/>
      <c r="V806" s="646"/>
      <c r="W806" s="615"/>
      <c r="X806" s="642" t="s">
        <v>8066</v>
      </c>
      <c r="Y806" s="642" t="s">
        <v>2554</v>
      </c>
      <c r="Z806" s="642">
        <v>1.3094</v>
      </c>
      <c r="AA806" s="647">
        <f t="shared" si="293"/>
        <v>1571.28</v>
      </c>
      <c r="AC806" s="648"/>
      <c r="AD806" s="246" t="s">
        <v>6128</v>
      </c>
      <c r="AE806" s="246" t="s">
        <v>82</v>
      </c>
      <c r="AF806" s="246"/>
      <c r="AG806" s="695"/>
      <c r="AH806" s="246">
        <v>1</v>
      </c>
      <c r="AI806" s="246">
        <v>1200</v>
      </c>
      <c r="AJ806" s="246">
        <f t="shared" si="289"/>
        <v>0</v>
      </c>
      <c r="AK806" s="246"/>
      <c r="AL806" s="246"/>
      <c r="AM806" s="246"/>
      <c r="AN806" s="610">
        <f>I806*2</f>
        <v>2400</v>
      </c>
      <c r="AO806" s="551"/>
      <c r="AP806" s="548"/>
      <c r="AQ806" s="554">
        <f>I806*2</f>
        <v>2400</v>
      </c>
      <c r="AR806" s="680"/>
      <c r="AS806" s="548"/>
      <c r="AT806" s="548"/>
      <c r="AU806" s="554">
        <f>I806*2</f>
        <v>2400</v>
      </c>
      <c r="AV806" s="551"/>
      <c r="AW806" s="650"/>
      <c r="AX806" s="548"/>
      <c r="AY806" s="548"/>
      <c r="AZ806" s="548"/>
      <c r="BA806" s="548"/>
      <c r="BB806" s="249">
        <f t="shared" si="294"/>
        <v>100</v>
      </c>
      <c r="BC806" s="651"/>
      <c r="BD806" s="548"/>
      <c r="BE806" s="548"/>
      <c r="BF806" s="548"/>
      <c r="BY806" s="650"/>
      <c r="BZ806" s="548"/>
      <c r="CA806" s="652"/>
      <c r="CB806" s="567"/>
      <c r="CC806" s="653"/>
      <c r="CD806" s="650"/>
      <c r="CE806" s="650"/>
      <c r="CF806" s="548"/>
      <c r="CG806" s="548"/>
      <c r="CR806" s="554">
        <f>I806</f>
        <v>1200</v>
      </c>
      <c r="CS806" s="554">
        <f>I806</f>
        <v>1200</v>
      </c>
      <c r="CT806" s="554">
        <f>I806</f>
        <v>1200</v>
      </c>
      <c r="CU806" s="554">
        <f t="shared" si="277"/>
        <v>0</v>
      </c>
      <c r="CV806" s="551">
        <v>0</v>
      </c>
      <c r="CW806" s="551">
        <v>0</v>
      </c>
      <c r="CX806" s="650"/>
      <c r="CY806" s="650"/>
      <c r="CZ806" s="650"/>
      <c r="DA806" s="548"/>
      <c r="DB806" s="548"/>
      <c r="DC806" s="548"/>
      <c r="DD806" s="650"/>
      <c r="DE806" s="650"/>
      <c r="DF806" s="650"/>
      <c r="DG806" s="650"/>
      <c r="DH806" s="650"/>
    </row>
    <row r="807" s="548" customFormat="1" ht="31" customHeight="1" spans="1:112">
      <c r="A807" s="641">
        <v>45965</v>
      </c>
      <c r="B807" s="642" t="s">
        <v>2734</v>
      </c>
      <c r="C807" s="246" t="s">
        <v>98</v>
      </c>
      <c r="D807" s="551">
        <v>4500184367</v>
      </c>
      <c r="E807" s="246">
        <v>60260987</v>
      </c>
      <c r="F807" s="551" t="s">
        <v>8067</v>
      </c>
      <c r="G807" s="246" t="s">
        <v>6787</v>
      </c>
      <c r="H807" s="610" t="s">
        <v>6126</v>
      </c>
      <c r="I807" s="246">
        <v>2004</v>
      </c>
      <c r="J807" s="246">
        <v>0</v>
      </c>
      <c r="K807" s="246">
        <v>12</v>
      </c>
      <c r="L807" s="644">
        <f t="shared" si="287"/>
        <v>167</v>
      </c>
      <c r="M807" s="645">
        <v>45996</v>
      </c>
      <c r="N807" s="645">
        <v>45992</v>
      </c>
      <c r="O807" s="643"/>
      <c r="P807" s="643" t="s">
        <v>113</v>
      </c>
      <c r="Q807" s="246"/>
      <c r="R807" s="646">
        <v>45965</v>
      </c>
      <c r="S807" s="646" t="s">
        <v>70</v>
      </c>
      <c r="T807" s="646" t="s">
        <v>8068</v>
      </c>
      <c r="U807" s="646"/>
      <c r="V807" s="646"/>
      <c r="W807" s="615"/>
      <c r="X807" s="642" t="s">
        <v>8069</v>
      </c>
      <c r="Y807" s="642" t="s">
        <v>2678</v>
      </c>
      <c r="Z807" s="642">
        <v>1.2871</v>
      </c>
      <c r="AA807" s="647">
        <f t="shared" si="293"/>
        <v>2579.3484</v>
      </c>
      <c r="AC807" s="697"/>
      <c r="AD807" s="246" t="s">
        <v>6128</v>
      </c>
      <c r="AE807" s="246" t="s">
        <v>82</v>
      </c>
      <c r="AF807" s="246"/>
      <c r="AG807" s="695"/>
      <c r="AH807" s="695">
        <v>1</v>
      </c>
      <c r="AI807" s="246">
        <v>2004</v>
      </c>
      <c r="AJ807" s="246">
        <f t="shared" si="289"/>
        <v>0</v>
      </c>
      <c r="AK807" s="246"/>
      <c r="AL807" s="246"/>
      <c r="AM807" s="246"/>
      <c r="AN807" s="610">
        <f>I807*2</f>
        <v>4008</v>
      </c>
      <c r="AO807" s="551"/>
      <c r="AP807" s="548"/>
      <c r="AQ807" s="554">
        <f>I807*2</f>
        <v>4008</v>
      </c>
      <c r="AR807" s="680"/>
      <c r="AS807" s="548"/>
      <c r="AT807" s="548"/>
      <c r="AU807" s="554">
        <f>I807*2</f>
        <v>4008</v>
      </c>
      <c r="AV807" s="551"/>
      <c r="AW807" s="650"/>
      <c r="AX807" s="548"/>
      <c r="AY807" s="548"/>
      <c r="AZ807" s="548"/>
      <c r="BA807" s="548"/>
      <c r="BB807" s="249">
        <f t="shared" si="294"/>
        <v>167</v>
      </c>
      <c r="BC807" s="651"/>
      <c r="BD807" s="548"/>
      <c r="BE807" s="548"/>
      <c r="BF807" s="548"/>
      <c r="BY807" s="650"/>
      <c r="BZ807" s="548"/>
      <c r="CA807" s="652"/>
      <c r="CB807" s="567"/>
      <c r="CC807" s="653"/>
      <c r="CD807" s="650"/>
      <c r="CE807" s="650"/>
      <c r="CF807" s="548"/>
      <c r="CG807" s="548"/>
      <c r="CR807" s="554">
        <f>I807</f>
        <v>2004</v>
      </c>
      <c r="CS807" s="554">
        <f>I807</f>
        <v>2004</v>
      </c>
      <c r="CT807" s="554">
        <f>I807</f>
        <v>2004</v>
      </c>
      <c r="CU807" s="554">
        <f t="shared" si="277"/>
        <v>0</v>
      </c>
      <c r="CV807" s="551">
        <v>0</v>
      </c>
      <c r="CW807" s="551">
        <v>0</v>
      </c>
      <c r="CX807" s="650"/>
      <c r="CY807" s="650"/>
      <c r="CZ807" s="650"/>
      <c r="DA807" s="548"/>
      <c r="DB807" s="548"/>
      <c r="DC807" s="548"/>
      <c r="DD807" s="650"/>
      <c r="DE807" s="650"/>
      <c r="DF807" s="650"/>
      <c r="DG807" s="650"/>
      <c r="DH807" s="650"/>
    </row>
    <row r="808" s="548" customFormat="1" ht="31" customHeight="1" spans="1:112">
      <c r="A808" s="641">
        <v>45952</v>
      </c>
      <c r="B808" s="642" t="s">
        <v>7043</v>
      </c>
      <c r="C808" s="246" t="s">
        <v>278</v>
      </c>
      <c r="D808" s="551">
        <v>4500182625</v>
      </c>
      <c r="E808" s="246" t="s">
        <v>8070</v>
      </c>
      <c r="F808" s="551" t="s">
        <v>8071</v>
      </c>
      <c r="G808" s="246" t="s">
        <v>7045</v>
      </c>
      <c r="H808" s="246" t="s">
        <v>7046</v>
      </c>
      <c r="I808" s="246">
        <v>5850</v>
      </c>
      <c r="J808" s="246">
        <v>0</v>
      </c>
      <c r="K808" s="246">
        <v>975</v>
      </c>
      <c r="L808" s="644">
        <f t="shared" si="287"/>
        <v>6</v>
      </c>
      <c r="M808" s="645">
        <v>45999</v>
      </c>
      <c r="N808" s="645">
        <v>45995</v>
      </c>
      <c r="O808" s="643"/>
      <c r="P808" s="643" t="s">
        <v>113</v>
      </c>
      <c r="Q808" s="246"/>
      <c r="R808" s="646">
        <v>45952</v>
      </c>
      <c r="S808" s="646" t="s">
        <v>104</v>
      </c>
      <c r="T808" s="646" t="s">
        <v>8072</v>
      </c>
      <c r="U808" s="646"/>
      <c r="V808" s="646"/>
      <c r="W808" s="615"/>
      <c r="X808" s="642" t="s">
        <v>8073</v>
      </c>
      <c r="Y808" s="642" t="s">
        <v>2199</v>
      </c>
      <c r="Z808" s="657">
        <v>887.0358</v>
      </c>
      <c r="AA808" s="647">
        <f>Z808*L808</f>
        <v>5322.2148</v>
      </c>
      <c r="AC808" s="658" t="s">
        <v>8074</v>
      </c>
      <c r="AD808" s="246" t="s">
        <v>7045</v>
      </c>
      <c r="AE808" s="246" t="s">
        <v>82</v>
      </c>
      <c r="AF808" s="246"/>
      <c r="AG808" s="246"/>
      <c r="AH808" s="246">
        <v>1</v>
      </c>
      <c r="AI808" s="246">
        <v>5850</v>
      </c>
      <c r="AJ808" s="246">
        <f t="shared" si="289"/>
        <v>0</v>
      </c>
      <c r="AK808" s="246"/>
      <c r="AL808" s="246"/>
      <c r="AM808" s="246"/>
      <c r="AN808" s="246"/>
      <c r="AO808" s="551">
        <f>I808</f>
        <v>5850</v>
      </c>
      <c r="AP808" s="554">
        <f>I808</f>
        <v>5850</v>
      </c>
      <c r="AR808" s="680"/>
      <c r="AS808" s="548"/>
      <c r="AT808" s="548"/>
      <c r="AU808" s="551"/>
      <c r="AV808" s="554">
        <f>I808</f>
        <v>5850</v>
      </c>
      <c r="AW808" s="650"/>
      <c r="AX808" s="548"/>
      <c r="AY808" s="548"/>
      <c r="AZ808" s="548"/>
      <c r="BA808" s="548"/>
      <c r="BB808" s="249">
        <f t="shared" si="294"/>
        <v>487.5</v>
      </c>
      <c r="BC808" s="651"/>
      <c r="BD808" s="548"/>
      <c r="BE808" s="548"/>
      <c r="BF808" s="548"/>
      <c r="BM808" s="551">
        <f>I808/13</f>
        <v>450</v>
      </c>
      <c r="BY808" s="650"/>
      <c r="BZ808" s="548"/>
      <c r="CA808" s="652"/>
      <c r="CB808" s="567"/>
      <c r="CC808" s="653"/>
      <c r="CD808" s="650"/>
      <c r="CE808" s="650"/>
      <c r="CF808" s="548"/>
      <c r="CG808" s="548"/>
      <c r="CU808" s="554">
        <f t="shared" si="277"/>
        <v>0</v>
      </c>
      <c r="CV808" s="551">
        <f>CK808+CL808+CM808+CN808+CO808+CQ808+CP808</f>
        <v>0</v>
      </c>
      <c r="CW808" s="551">
        <f>CI808+CJ808</f>
        <v>0</v>
      </c>
      <c r="CX808" s="650"/>
      <c r="CY808" s="650"/>
      <c r="CZ808" s="650"/>
      <c r="DA808" s="548"/>
      <c r="DB808" s="548"/>
      <c r="DC808" s="548"/>
      <c r="DD808" s="650"/>
      <c r="DE808" s="650"/>
      <c r="DF808" s="650"/>
      <c r="DG808" s="650"/>
      <c r="DH808" s="650"/>
    </row>
    <row r="809" s="548" customFormat="1" ht="31" customHeight="1" spans="1:112">
      <c r="A809" s="641">
        <v>45957</v>
      </c>
      <c r="B809" s="642" t="s">
        <v>2707</v>
      </c>
      <c r="C809" s="246" t="s">
        <v>170</v>
      </c>
      <c r="D809" s="551">
        <v>4500183001</v>
      </c>
      <c r="E809" s="246" t="s">
        <v>8075</v>
      </c>
      <c r="F809" s="551" t="s">
        <v>8076</v>
      </c>
      <c r="G809" s="246" t="s">
        <v>6787</v>
      </c>
      <c r="H809" s="610" t="s">
        <v>6126</v>
      </c>
      <c r="I809" s="246">
        <v>132</v>
      </c>
      <c r="J809" s="246">
        <v>0</v>
      </c>
      <c r="K809" s="246">
        <v>12</v>
      </c>
      <c r="L809" s="644">
        <f t="shared" si="287"/>
        <v>11</v>
      </c>
      <c r="M809" s="645">
        <v>45999</v>
      </c>
      <c r="N809" s="645">
        <v>45995</v>
      </c>
      <c r="O809" s="643"/>
      <c r="P809" s="643" t="s">
        <v>113</v>
      </c>
      <c r="Q809" s="246"/>
      <c r="R809" s="646">
        <v>45967</v>
      </c>
      <c r="S809" s="646" t="s">
        <v>70</v>
      </c>
      <c r="T809" s="646" t="s">
        <v>70</v>
      </c>
      <c r="U809" s="646"/>
      <c r="V809" s="646"/>
      <c r="W809" s="615"/>
      <c r="X809" s="642" t="s">
        <v>8077</v>
      </c>
      <c r="Y809" s="642" t="s">
        <v>1318</v>
      </c>
      <c r="Z809" s="642">
        <v>2.1451</v>
      </c>
      <c r="AA809" s="647">
        <f t="shared" ref="AA809:AA819" si="295">Z809*I809</f>
        <v>283.1532</v>
      </c>
      <c r="AC809" s="648" t="s">
        <v>8078</v>
      </c>
      <c r="AD809" s="246" t="s">
        <v>8079</v>
      </c>
      <c r="AE809" s="246" t="s">
        <v>82</v>
      </c>
      <c r="AF809" s="246"/>
      <c r="AG809" s="246"/>
      <c r="AH809" s="246">
        <v>1</v>
      </c>
      <c r="AI809" s="246">
        <v>132</v>
      </c>
      <c r="AJ809" s="246">
        <f t="shared" si="289"/>
        <v>0</v>
      </c>
      <c r="AK809" s="246"/>
      <c r="AL809" s="246"/>
      <c r="AM809" s="246"/>
      <c r="AN809" s="610">
        <f>I809*2</f>
        <v>264</v>
      </c>
      <c r="AO809" s="551"/>
      <c r="AP809" s="548"/>
      <c r="AQ809" s="548"/>
      <c r="AR809" s="680"/>
      <c r="AS809" s="551">
        <f>I809*2</f>
        <v>264</v>
      </c>
      <c r="AU809" s="554">
        <f>I809*2</f>
        <v>264</v>
      </c>
      <c r="AV809" s="551"/>
      <c r="AW809" s="650"/>
      <c r="AX809" s="548"/>
      <c r="AY809" s="548"/>
      <c r="AZ809" s="548"/>
      <c r="BA809" s="548"/>
      <c r="BB809" s="249">
        <f t="shared" si="294"/>
        <v>11</v>
      </c>
      <c r="BC809" s="651"/>
      <c r="BD809" s="548"/>
      <c r="BE809" s="548"/>
      <c r="BF809" s="548"/>
      <c r="BY809" s="650"/>
      <c r="BZ809" s="548"/>
      <c r="CA809" s="652"/>
      <c r="CB809" s="567"/>
      <c r="CC809" s="653"/>
      <c r="CD809" s="650"/>
      <c r="CE809" s="650"/>
      <c r="CF809" s="548"/>
      <c r="CG809" s="548"/>
      <c r="CR809" s="554">
        <f>I809</f>
        <v>132</v>
      </c>
      <c r="CS809" s="554">
        <f>I809</f>
        <v>132</v>
      </c>
      <c r="CT809" s="554">
        <f>I809</f>
        <v>132</v>
      </c>
      <c r="CU809" s="554">
        <f t="shared" si="277"/>
        <v>0</v>
      </c>
      <c r="CV809" s="551">
        <v>0</v>
      </c>
      <c r="CW809" s="551">
        <v>0</v>
      </c>
      <c r="CX809" s="650"/>
      <c r="CY809" s="650"/>
      <c r="CZ809" s="650"/>
      <c r="DA809" s="548"/>
      <c r="DB809" s="548"/>
      <c r="DC809" s="548"/>
      <c r="DD809" s="650"/>
      <c r="DE809" s="650"/>
      <c r="DF809" s="650"/>
      <c r="DG809" s="650"/>
      <c r="DH809" s="650"/>
    </row>
    <row r="810" s="548" customFormat="1" ht="31" customHeight="1" spans="1:112">
      <c r="A810" s="641">
        <v>45957</v>
      </c>
      <c r="B810" s="642" t="s">
        <v>2707</v>
      </c>
      <c r="C810" s="246" t="s">
        <v>170</v>
      </c>
      <c r="D810" s="551">
        <v>4500183043</v>
      </c>
      <c r="E810" s="246" t="s">
        <v>8080</v>
      </c>
      <c r="F810" s="551" t="s">
        <v>8081</v>
      </c>
      <c r="G810" s="246" t="s">
        <v>6787</v>
      </c>
      <c r="H810" s="610" t="s">
        <v>6126</v>
      </c>
      <c r="I810" s="246">
        <v>720</v>
      </c>
      <c r="J810" s="246">
        <v>0</v>
      </c>
      <c r="K810" s="246">
        <v>12</v>
      </c>
      <c r="L810" s="644">
        <f t="shared" si="287"/>
        <v>60</v>
      </c>
      <c r="M810" s="645">
        <v>45999</v>
      </c>
      <c r="N810" s="645">
        <v>45995</v>
      </c>
      <c r="O810" s="643"/>
      <c r="P810" s="643" t="s">
        <v>113</v>
      </c>
      <c r="Q810" s="246"/>
      <c r="R810" s="646">
        <v>45967</v>
      </c>
      <c r="S810" s="646" t="s">
        <v>70</v>
      </c>
      <c r="T810" s="646" t="s">
        <v>70</v>
      </c>
      <c r="U810" s="646"/>
      <c r="V810" s="646"/>
      <c r="W810" s="615"/>
      <c r="X810" s="642" t="s">
        <v>8082</v>
      </c>
      <c r="Y810" s="642" t="s">
        <v>1318</v>
      </c>
      <c r="Z810" s="642">
        <v>2.1823</v>
      </c>
      <c r="AA810" s="647">
        <f t="shared" si="295"/>
        <v>1571.256</v>
      </c>
      <c r="AC810" s="648" t="s">
        <v>8083</v>
      </c>
      <c r="AD810" s="246" t="s">
        <v>8079</v>
      </c>
      <c r="AE810" s="246" t="s">
        <v>82</v>
      </c>
      <c r="AF810" s="246"/>
      <c r="AG810" s="246"/>
      <c r="AH810" s="246">
        <v>1</v>
      </c>
      <c r="AI810" s="246">
        <f>708+12</f>
        <v>720</v>
      </c>
      <c r="AJ810" s="246">
        <f t="shared" si="289"/>
        <v>0</v>
      </c>
      <c r="AK810" s="246"/>
      <c r="AL810" s="246"/>
      <c r="AM810" s="246"/>
      <c r="AN810" s="610">
        <f>I810*2</f>
        <v>1440</v>
      </c>
      <c r="AO810" s="551"/>
      <c r="AP810" s="548"/>
      <c r="AQ810" s="548"/>
      <c r="AR810" s="680"/>
      <c r="AS810" s="551">
        <f>I810*2</f>
        <v>1440</v>
      </c>
      <c r="AU810" s="554">
        <f>I810*2</f>
        <v>1440</v>
      </c>
      <c r="AV810" s="551"/>
      <c r="AW810" s="650"/>
      <c r="AX810" s="548"/>
      <c r="AY810" s="548"/>
      <c r="AZ810" s="548"/>
      <c r="BA810" s="548"/>
      <c r="BB810" s="249">
        <f t="shared" si="294"/>
        <v>60</v>
      </c>
      <c r="BC810" s="651"/>
      <c r="BD810" s="548"/>
      <c r="BE810" s="548"/>
      <c r="BF810" s="548"/>
      <c r="BY810" s="650"/>
      <c r="BZ810" s="548"/>
      <c r="CA810" s="652"/>
      <c r="CB810" s="567"/>
      <c r="CC810" s="653"/>
      <c r="CD810" s="650"/>
      <c r="CE810" s="650"/>
      <c r="CF810" s="548"/>
      <c r="CG810" s="548"/>
      <c r="CR810" s="554">
        <f>I810</f>
        <v>720</v>
      </c>
      <c r="CS810" s="554">
        <f>I810</f>
        <v>720</v>
      </c>
      <c r="CT810" s="554">
        <f>I810</f>
        <v>720</v>
      </c>
      <c r="CU810" s="554">
        <f t="shared" si="277"/>
        <v>0</v>
      </c>
      <c r="CV810" s="551">
        <v>0</v>
      </c>
      <c r="CW810" s="551">
        <v>0</v>
      </c>
      <c r="CX810" s="650"/>
      <c r="CY810" s="650"/>
      <c r="CZ810" s="650"/>
      <c r="DA810" s="548"/>
      <c r="DB810" s="548"/>
      <c r="DC810" s="548"/>
      <c r="DD810" s="650"/>
      <c r="DE810" s="650"/>
      <c r="DF810" s="650"/>
      <c r="DG810" s="650"/>
      <c r="DH810" s="650"/>
    </row>
    <row r="811" s="548" customFormat="1" ht="31" customHeight="1" spans="1:112">
      <c r="A811" s="641">
        <v>45957</v>
      </c>
      <c r="B811" s="642" t="s">
        <v>2707</v>
      </c>
      <c r="C811" s="246" t="s">
        <v>170</v>
      </c>
      <c r="D811" s="551">
        <v>4500183043</v>
      </c>
      <c r="E811" s="246" t="s">
        <v>8080</v>
      </c>
      <c r="F811" s="551" t="s">
        <v>8084</v>
      </c>
      <c r="G811" s="246" t="s">
        <v>6787</v>
      </c>
      <c r="H811" s="610" t="s">
        <v>6126</v>
      </c>
      <c r="I811" s="246">
        <v>180</v>
      </c>
      <c r="J811" s="246">
        <v>0</v>
      </c>
      <c r="K811" s="246">
        <v>12</v>
      </c>
      <c r="L811" s="644">
        <f t="shared" si="287"/>
        <v>15</v>
      </c>
      <c r="M811" s="645">
        <v>45999</v>
      </c>
      <c r="N811" s="645">
        <v>45995</v>
      </c>
      <c r="O811" s="643"/>
      <c r="P811" s="643" t="s">
        <v>113</v>
      </c>
      <c r="Q811" s="246"/>
      <c r="R811" s="646">
        <v>45967</v>
      </c>
      <c r="S811" s="646" t="s">
        <v>70</v>
      </c>
      <c r="T811" s="646" t="s">
        <v>70</v>
      </c>
      <c r="U811" s="646"/>
      <c r="V811" s="646"/>
      <c r="W811" s="615"/>
      <c r="X811" s="642" t="s">
        <v>8082</v>
      </c>
      <c r="Y811" s="642" t="s">
        <v>1318</v>
      </c>
      <c r="Z811" s="642">
        <v>2.1823</v>
      </c>
      <c r="AA811" s="647">
        <f t="shared" si="295"/>
        <v>392.814</v>
      </c>
      <c r="AC811" s="648" t="s">
        <v>8083</v>
      </c>
      <c r="AD811" s="246" t="s">
        <v>8079</v>
      </c>
      <c r="AE811" s="246" t="s">
        <v>82</v>
      </c>
      <c r="AF811" s="246"/>
      <c r="AG811" s="246"/>
      <c r="AH811" s="246">
        <v>1</v>
      </c>
      <c r="AI811" s="246">
        <v>180</v>
      </c>
      <c r="AJ811" s="246">
        <f t="shared" si="289"/>
        <v>0</v>
      </c>
      <c r="AK811" s="246"/>
      <c r="AL811" s="246"/>
      <c r="AM811" s="246"/>
      <c r="AN811" s="610">
        <f>I811*2</f>
        <v>360</v>
      </c>
      <c r="AO811" s="551"/>
      <c r="AP811" s="548"/>
      <c r="AQ811" s="548"/>
      <c r="AR811" s="680"/>
      <c r="AS811" s="551">
        <f>I811*2</f>
        <v>360</v>
      </c>
      <c r="AU811" s="554">
        <f>I811*2</f>
        <v>360</v>
      </c>
      <c r="AV811" s="551"/>
      <c r="AW811" s="650"/>
      <c r="AX811" s="548"/>
      <c r="AY811" s="548"/>
      <c r="AZ811" s="548"/>
      <c r="BA811" s="548"/>
      <c r="BB811" s="249">
        <f t="shared" si="294"/>
        <v>15</v>
      </c>
      <c r="BC811" s="651"/>
      <c r="BD811" s="548"/>
      <c r="BE811" s="548"/>
      <c r="BF811" s="548"/>
      <c r="BY811" s="650"/>
      <c r="BZ811" s="548"/>
      <c r="CA811" s="652"/>
      <c r="CB811" s="567"/>
      <c r="CC811" s="653"/>
      <c r="CD811" s="650"/>
      <c r="CE811" s="650"/>
      <c r="CF811" s="548"/>
      <c r="CG811" s="548"/>
      <c r="CR811" s="554">
        <f>I811</f>
        <v>180</v>
      </c>
      <c r="CS811" s="554">
        <f>I811</f>
        <v>180</v>
      </c>
      <c r="CT811" s="554">
        <f>I811</f>
        <v>180</v>
      </c>
      <c r="CU811" s="554">
        <f t="shared" si="277"/>
        <v>0</v>
      </c>
      <c r="CV811" s="551">
        <v>0</v>
      </c>
      <c r="CW811" s="551">
        <v>0</v>
      </c>
      <c r="CX811" s="650"/>
      <c r="CY811" s="650"/>
      <c r="CZ811" s="650"/>
      <c r="DA811" s="548"/>
      <c r="DB811" s="548"/>
      <c r="DC811" s="548"/>
      <c r="DD811" s="650"/>
      <c r="DE811" s="650"/>
      <c r="DF811" s="650"/>
      <c r="DG811" s="650"/>
      <c r="DH811" s="650"/>
    </row>
    <row r="812" s="548" customFormat="1" ht="31" customHeight="1" spans="1:112">
      <c r="A812" s="641">
        <v>45960</v>
      </c>
      <c r="B812" s="642" t="s">
        <v>2316</v>
      </c>
      <c r="C812" s="246" t="s">
        <v>98</v>
      </c>
      <c r="D812" s="551">
        <v>4500183696</v>
      </c>
      <c r="E812" s="643">
        <v>92461721</v>
      </c>
      <c r="F812" s="551" t="s">
        <v>8085</v>
      </c>
      <c r="G812" s="246" t="s">
        <v>6166</v>
      </c>
      <c r="H812" s="246" t="s">
        <v>6094</v>
      </c>
      <c r="I812" s="246">
        <v>403</v>
      </c>
      <c r="J812" s="246">
        <v>0</v>
      </c>
      <c r="K812" s="246">
        <v>13</v>
      </c>
      <c r="L812" s="644">
        <f t="shared" si="287"/>
        <v>31</v>
      </c>
      <c r="M812" s="645">
        <v>45999</v>
      </c>
      <c r="N812" s="645">
        <v>45995</v>
      </c>
      <c r="O812" s="643"/>
      <c r="P812" s="643" t="s">
        <v>113</v>
      </c>
      <c r="Q812" s="246"/>
      <c r="R812" s="646">
        <v>45967</v>
      </c>
      <c r="S812" s="646" t="s">
        <v>70</v>
      </c>
      <c r="T812" s="646" t="s">
        <v>70</v>
      </c>
      <c r="U812" s="646"/>
      <c r="V812" s="646"/>
      <c r="W812" s="615"/>
      <c r="X812" s="642" t="s">
        <v>2320</v>
      </c>
      <c r="Y812" s="642" t="s">
        <v>819</v>
      </c>
      <c r="Z812" s="655">
        <v>0.5458</v>
      </c>
      <c r="AA812" s="647">
        <f t="shared" si="295"/>
        <v>219.9574</v>
      </c>
      <c r="AC812" s="648"/>
      <c r="AD812" s="642" t="s">
        <v>6257</v>
      </c>
      <c r="AE812" s="246" t="s">
        <v>82</v>
      </c>
      <c r="AF812" s="246"/>
      <c r="AG812" s="246"/>
      <c r="AH812" s="246">
        <v>1</v>
      </c>
      <c r="AI812" s="246">
        <v>403</v>
      </c>
      <c r="AJ812" s="246">
        <f t="shared" si="289"/>
        <v>0</v>
      </c>
      <c r="AK812" s="246"/>
      <c r="AL812" s="246"/>
      <c r="AM812" s="246"/>
      <c r="AN812" s="246">
        <f>I812</f>
        <v>403</v>
      </c>
      <c r="AO812" s="551"/>
      <c r="AP812" s="554">
        <f>I812</f>
        <v>403</v>
      </c>
      <c r="AR812" s="680"/>
      <c r="AS812" s="548"/>
      <c r="AT812" s="548"/>
      <c r="AU812" s="554">
        <f>I812</f>
        <v>403</v>
      </c>
      <c r="AV812" s="551"/>
      <c r="AW812" s="650"/>
      <c r="AX812" s="548"/>
      <c r="AY812" s="548"/>
      <c r="AZ812" s="548"/>
      <c r="BA812" s="548"/>
      <c r="BB812" s="249">
        <f t="shared" ref="BB812:BB817" si="296">I812/24</f>
        <v>16.7916666666667</v>
      </c>
      <c r="BC812" s="651"/>
      <c r="BD812" s="548"/>
      <c r="BE812" s="548"/>
      <c r="BF812" s="548"/>
      <c r="BK812" s="551">
        <f>I812/13</f>
        <v>31</v>
      </c>
      <c r="BY812" s="650"/>
      <c r="BZ812" s="548"/>
      <c r="CA812" s="652"/>
      <c r="CB812" s="567"/>
      <c r="CC812" s="653"/>
      <c r="CD812" s="650"/>
      <c r="CE812" s="650"/>
      <c r="CF812" s="548"/>
      <c r="CG812" s="548"/>
      <c r="CU812" s="554">
        <f t="shared" si="277"/>
        <v>0</v>
      </c>
      <c r="CV812" s="551">
        <f t="shared" ref="CV812:CV817" si="297">CK812+CL812+CM812+CN812+CO812+CQ812+CP812</f>
        <v>0</v>
      </c>
      <c r="CW812" s="551">
        <f t="shared" ref="CW812:CW817" si="298">CI812+CJ812</f>
        <v>0</v>
      </c>
      <c r="CX812" s="650"/>
      <c r="CY812" s="650"/>
      <c r="CZ812" s="650"/>
      <c r="DA812" s="548"/>
      <c r="DB812" s="548"/>
      <c r="DC812" s="548"/>
      <c r="DD812" s="650"/>
      <c r="DE812" s="650"/>
      <c r="DF812" s="650"/>
      <c r="DG812" s="650"/>
      <c r="DH812" s="650"/>
    </row>
    <row r="813" s="548" customFormat="1" ht="31" customHeight="1" spans="1:112">
      <c r="A813" s="641">
        <v>45960</v>
      </c>
      <c r="B813" s="642" t="s">
        <v>2316</v>
      </c>
      <c r="C813" s="246" t="s">
        <v>98</v>
      </c>
      <c r="D813" s="551">
        <v>4500183696</v>
      </c>
      <c r="E813" s="643">
        <v>92461722</v>
      </c>
      <c r="F813" s="551" t="s">
        <v>8086</v>
      </c>
      <c r="G813" s="246" t="s">
        <v>6166</v>
      </c>
      <c r="H813" s="246" t="s">
        <v>6094</v>
      </c>
      <c r="I813" s="246">
        <v>598</v>
      </c>
      <c r="J813" s="246">
        <v>0</v>
      </c>
      <c r="K813" s="246">
        <v>13</v>
      </c>
      <c r="L813" s="644">
        <f t="shared" si="287"/>
        <v>46</v>
      </c>
      <c r="M813" s="645">
        <v>45999</v>
      </c>
      <c r="N813" s="645">
        <v>45995</v>
      </c>
      <c r="O813" s="643"/>
      <c r="P813" s="643" t="s">
        <v>113</v>
      </c>
      <c r="Q813" s="246"/>
      <c r="R813" s="646">
        <v>45967</v>
      </c>
      <c r="S813" s="646" t="s">
        <v>70</v>
      </c>
      <c r="T813" s="646" t="s">
        <v>70</v>
      </c>
      <c r="U813" s="646"/>
      <c r="V813" s="646"/>
      <c r="W813" s="615"/>
      <c r="X813" s="642" t="s">
        <v>2320</v>
      </c>
      <c r="Y813" s="642" t="s">
        <v>819</v>
      </c>
      <c r="Z813" s="655">
        <v>0.5458</v>
      </c>
      <c r="AA813" s="647">
        <f t="shared" si="295"/>
        <v>326.3884</v>
      </c>
      <c r="AC813" s="648"/>
      <c r="AD813" s="642" t="s">
        <v>6257</v>
      </c>
      <c r="AE813" s="246" t="s">
        <v>82</v>
      </c>
      <c r="AF813" s="246"/>
      <c r="AG813" s="246"/>
      <c r="AH813" s="246">
        <v>1</v>
      </c>
      <c r="AI813" s="246">
        <v>598</v>
      </c>
      <c r="AJ813" s="246">
        <f t="shared" si="289"/>
        <v>0</v>
      </c>
      <c r="AK813" s="246"/>
      <c r="AL813" s="246"/>
      <c r="AM813" s="246"/>
      <c r="AN813" s="246">
        <f>I813</f>
        <v>598</v>
      </c>
      <c r="AO813" s="551"/>
      <c r="AP813" s="554">
        <f>I813</f>
        <v>598</v>
      </c>
      <c r="AR813" s="680"/>
      <c r="AS813" s="548"/>
      <c r="AT813" s="548"/>
      <c r="AU813" s="554">
        <f>I813</f>
        <v>598</v>
      </c>
      <c r="AV813" s="551"/>
      <c r="AW813" s="650"/>
      <c r="AX813" s="548"/>
      <c r="AY813" s="548"/>
      <c r="AZ813" s="548"/>
      <c r="BA813" s="548"/>
      <c r="BB813" s="249">
        <f t="shared" si="296"/>
        <v>24.9166666666667</v>
      </c>
      <c r="BC813" s="651"/>
      <c r="BD813" s="548"/>
      <c r="BE813" s="548"/>
      <c r="BF813" s="548"/>
      <c r="BK813" s="551">
        <f>I813/13</f>
        <v>46</v>
      </c>
      <c r="BY813" s="650"/>
      <c r="BZ813" s="548"/>
      <c r="CA813" s="652"/>
      <c r="CB813" s="567"/>
      <c r="CC813" s="653"/>
      <c r="CD813" s="650"/>
      <c r="CE813" s="650"/>
      <c r="CF813" s="548"/>
      <c r="CG813" s="548"/>
      <c r="CU813" s="554">
        <f t="shared" si="277"/>
        <v>0</v>
      </c>
      <c r="CV813" s="551">
        <f t="shared" si="297"/>
        <v>0</v>
      </c>
      <c r="CW813" s="551">
        <f t="shared" si="298"/>
        <v>0</v>
      </c>
      <c r="CX813" s="650"/>
      <c r="CY813" s="650"/>
      <c r="CZ813" s="650"/>
      <c r="DA813" s="548"/>
      <c r="DB813" s="548"/>
      <c r="DC813" s="548"/>
      <c r="DD813" s="650"/>
      <c r="DE813" s="650"/>
      <c r="DF813" s="650"/>
      <c r="DG813" s="650"/>
      <c r="DH813" s="650"/>
    </row>
    <row r="814" s="548" customFormat="1" ht="31" customHeight="1" spans="1:112">
      <c r="A814" s="641">
        <v>45960</v>
      </c>
      <c r="B814" s="642" t="s">
        <v>2316</v>
      </c>
      <c r="C814" s="246" t="s">
        <v>98</v>
      </c>
      <c r="D814" s="551">
        <v>4500183696</v>
      </c>
      <c r="E814" s="643">
        <v>92461723</v>
      </c>
      <c r="F814" s="551" t="s">
        <v>8087</v>
      </c>
      <c r="G814" s="246" t="s">
        <v>6166</v>
      </c>
      <c r="H814" s="246" t="s">
        <v>6094</v>
      </c>
      <c r="I814" s="246">
        <v>468</v>
      </c>
      <c r="J814" s="246">
        <v>0</v>
      </c>
      <c r="K814" s="246">
        <v>13</v>
      </c>
      <c r="L814" s="644">
        <f t="shared" si="287"/>
        <v>36</v>
      </c>
      <c r="M814" s="645">
        <v>45999</v>
      </c>
      <c r="N814" s="645">
        <v>45995</v>
      </c>
      <c r="O814" s="643"/>
      <c r="P814" s="643" t="s">
        <v>113</v>
      </c>
      <c r="Q814" s="246"/>
      <c r="R814" s="646">
        <v>45967</v>
      </c>
      <c r="S814" s="646" t="s">
        <v>70</v>
      </c>
      <c r="T814" s="646" t="s">
        <v>70</v>
      </c>
      <c r="U814" s="646"/>
      <c r="V814" s="646"/>
      <c r="W814" s="615"/>
      <c r="X814" s="642" t="s">
        <v>2320</v>
      </c>
      <c r="Y814" s="642" t="s">
        <v>819</v>
      </c>
      <c r="Z814" s="655">
        <v>0.5457</v>
      </c>
      <c r="AA814" s="647">
        <f t="shared" si="295"/>
        <v>255.3876</v>
      </c>
      <c r="AC814" s="648"/>
      <c r="AD814" s="642" t="s">
        <v>6257</v>
      </c>
      <c r="AE814" s="246" t="s">
        <v>82</v>
      </c>
      <c r="AF814" s="246"/>
      <c r="AG814" s="246"/>
      <c r="AH814" s="246">
        <v>1</v>
      </c>
      <c r="AI814" s="246">
        <v>468</v>
      </c>
      <c r="AJ814" s="246">
        <f t="shared" si="289"/>
        <v>0</v>
      </c>
      <c r="AK814" s="246"/>
      <c r="AL814" s="246"/>
      <c r="AM814" s="246"/>
      <c r="AN814" s="246">
        <f>I814</f>
        <v>468</v>
      </c>
      <c r="AO814" s="551"/>
      <c r="AP814" s="554">
        <f>I814</f>
        <v>468</v>
      </c>
      <c r="AR814" s="680"/>
      <c r="AS814" s="548"/>
      <c r="AT814" s="548"/>
      <c r="AU814" s="554">
        <f>I814</f>
        <v>468</v>
      </c>
      <c r="AV814" s="551"/>
      <c r="AW814" s="650"/>
      <c r="AX814" s="548"/>
      <c r="AY814" s="548"/>
      <c r="AZ814" s="548"/>
      <c r="BA814" s="548"/>
      <c r="BB814" s="249">
        <f t="shared" si="296"/>
        <v>19.5</v>
      </c>
      <c r="BC814" s="651"/>
      <c r="BD814" s="548"/>
      <c r="BE814" s="548"/>
      <c r="BF814" s="548"/>
      <c r="BK814" s="551">
        <f>I814/13</f>
        <v>36</v>
      </c>
      <c r="BY814" s="650"/>
      <c r="BZ814" s="548"/>
      <c r="CA814" s="652"/>
      <c r="CB814" s="567"/>
      <c r="CC814" s="653"/>
      <c r="CD814" s="650"/>
      <c r="CE814" s="650"/>
      <c r="CF814" s="548"/>
      <c r="CG814" s="548"/>
      <c r="CU814" s="554">
        <f t="shared" si="277"/>
        <v>0</v>
      </c>
      <c r="CV814" s="551">
        <f t="shared" si="297"/>
        <v>0</v>
      </c>
      <c r="CW814" s="551">
        <f t="shared" si="298"/>
        <v>0</v>
      </c>
      <c r="CX814" s="650"/>
      <c r="CY814" s="650"/>
      <c r="CZ814" s="650"/>
      <c r="DA814" s="548"/>
      <c r="DB814" s="548"/>
      <c r="DC814" s="548"/>
      <c r="DD814" s="650"/>
      <c r="DE814" s="650"/>
      <c r="DF814" s="650"/>
      <c r="DG814" s="650"/>
      <c r="DH814" s="650"/>
    </row>
    <row r="815" s="548" customFormat="1" ht="31" customHeight="1" spans="1:112">
      <c r="A815" s="641">
        <v>45960</v>
      </c>
      <c r="B815" s="642" t="s">
        <v>2316</v>
      </c>
      <c r="C815" s="246" t="s">
        <v>98</v>
      </c>
      <c r="D815" s="551">
        <v>4500183696</v>
      </c>
      <c r="E815" s="643">
        <v>92461724</v>
      </c>
      <c r="F815" s="551" t="s">
        <v>8088</v>
      </c>
      <c r="G815" s="246" t="s">
        <v>6166</v>
      </c>
      <c r="H815" s="246" t="s">
        <v>6094</v>
      </c>
      <c r="I815" s="246">
        <v>338</v>
      </c>
      <c r="J815" s="246">
        <v>0</v>
      </c>
      <c r="K815" s="246">
        <v>13</v>
      </c>
      <c r="L815" s="644">
        <f t="shared" si="287"/>
        <v>26</v>
      </c>
      <c r="M815" s="645">
        <v>45999</v>
      </c>
      <c r="N815" s="645">
        <v>45995</v>
      </c>
      <c r="O815" s="643"/>
      <c r="P815" s="643" t="s">
        <v>113</v>
      </c>
      <c r="Q815" s="246"/>
      <c r="R815" s="646">
        <v>45967</v>
      </c>
      <c r="S815" s="646" t="s">
        <v>70</v>
      </c>
      <c r="T815" s="646" t="s">
        <v>70</v>
      </c>
      <c r="U815" s="646"/>
      <c r="V815" s="646"/>
      <c r="W815" s="615"/>
      <c r="X815" s="642" t="s">
        <v>2320</v>
      </c>
      <c r="Y815" s="642" t="s">
        <v>819</v>
      </c>
      <c r="Z815" s="655">
        <v>0.5457</v>
      </c>
      <c r="AA815" s="647">
        <f t="shared" si="295"/>
        <v>184.4466</v>
      </c>
      <c r="AC815" s="648"/>
      <c r="AD815" s="642" t="s">
        <v>6257</v>
      </c>
      <c r="AE815" s="246" t="s">
        <v>82</v>
      </c>
      <c r="AF815" s="246"/>
      <c r="AG815" s="246"/>
      <c r="AH815" s="246">
        <v>1</v>
      </c>
      <c r="AI815" s="246">
        <v>338</v>
      </c>
      <c r="AJ815" s="246">
        <f t="shared" si="289"/>
        <v>0</v>
      </c>
      <c r="AK815" s="246"/>
      <c r="AL815" s="246"/>
      <c r="AM815" s="246"/>
      <c r="AN815" s="246">
        <f>I815</f>
        <v>338</v>
      </c>
      <c r="AO815" s="551"/>
      <c r="AP815" s="554">
        <f>I815</f>
        <v>338</v>
      </c>
      <c r="AR815" s="680"/>
      <c r="AS815" s="548"/>
      <c r="AT815" s="548"/>
      <c r="AU815" s="554">
        <f>I815</f>
        <v>338</v>
      </c>
      <c r="AV815" s="551"/>
      <c r="AW815" s="650"/>
      <c r="AX815" s="548"/>
      <c r="AY815" s="548"/>
      <c r="AZ815" s="548"/>
      <c r="BA815" s="548"/>
      <c r="BB815" s="249">
        <f t="shared" si="296"/>
        <v>14.0833333333333</v>
      </c>
      <c r="BC815" s="651"/>
      <c r="BD815" s="548"/>
      <c r="BE815" s="548"/>
      <c r="BF815" s="548"/>
      <c r="BK815" s="551">
        <f>I815/13</f>
        <v>26</v>
      </c>
      <c r="BY815" s="650"/>
      <c r="BZ815" s="548"/>
      <c r="CA815" s="652"/>
      <c r="CB815" s="567"/>
      <c r="CC815" s="653"/>
      <c r="CD815" s="650"/>
      <c r="CE815" s="650"/>
      <c r="CF815" s="548"/>
      <c r="CG815" s="548"/>
      <c r="CU815" s="554">
        <f t="shared" si="277"/>
        <v>0</v>
      </c>
      <c r="CV815" s="551">
        <f t="shared" si="297"/>
        <v>0</v>
      </c>
      <c r="CW815" s="551">
        <f t="shared" si="298"/>
        <v>0</v>
      </c>
      <c r="CX815" s="650"/>
      <c r="CY815" s="650"/>
      <c r="CZ815" s="650"/>
      <c r="DA815" s="548"/>
      <c r="DB815" s="548"/>
      <c r="DC815" s="548"/>
      <c r="DD815" s="650"/>
      <c r="DE815" s="650"/>
      <c r="DF815" s="650"/>
      <c r="DG815" s="650"/>
      <c r="DH815" s="650"/>
    </row>
    <row r="816" s="548" customFormat="1" ht="31" customHeight="1" spans="1:112">
      <c r="A816" s="641">
        <v>45960</v>
      </c>
      <c r="B816" s="642" t="s">
        <v>2316</v>
      </c>
      <c r="C816" s="246" t="s">
        <v>98</v>
      </c>
      <c r="D816" s="551">
        <v>4500183696</v>
      </c>
      <c r="E816" s="643">
        <v>92461725</v>
      </c>
      <c r="F816" s="551" t="s">
        <v>8089</v>
      </c>
      <c r="G816" s="246" t="s">
        <v>6166</v>
      </c>
      <c r="H816" s="246" t="s">
        <v>6094</v>
      </c>
      <c r="I816" s="246">
        <v>403</v>
      </c>
      <c r="J816" s="246">
        <v>0</v>
      </c>
      <c r="K816" s="246">
        <v>13</v>
      </c>
      <c r="L816" s="644">
        <f t="shared" si="287"/>
        <v>31</v>
      </c>
      <c r="M816" s="645">
        <v>45999</v>
      </c>
      <c r="N816" s="645">
        <v>45995</v>
      </c>
      <c r="O816" s="643"/>
      <c r="P816" s="643" t="s">
        <v>113</v>
      </c>
      <c r="Q816" s="246"/>
      <c r="R816" s="646">
        <v>45967</v>
      </c>
      <c r="S816" s="646" t="s">
        <v>70</v>
      </c>
      <c r="T816" s="646" t="s">
        <v>70</v>
      </c>
      <c r="U816" s="646"/>
      <c r="V816" s="646"/>
      <c r="W816" s="615"/>
      <c r="X816" s="642" t="s">
        <v>2320</v>
      </c>
      <c r="Y816" s="642" t="s">
        <v>819</v>
      </c>
      <c r="Z816" s="655">
        <v>0.5458</v>
      </c>
      <c r="AA816" s="647">
        <f t="shared" si="295"/>
        <v>219.9574</v>
      </c>
      <c r="AC816" s="648"/>
      <c r="AD816" s="642" t="s">
        <v>6257</v>
      </c>
      <c r="AE816" s="246" t="s">
        <v>82</v>
      </c>
      <c r="AF816" s="246"/>
      <c r="AG816" s="246"/>
      <c r="AH816" s="246">
        <v>1</v>
      </c>
      <c r="AI816" s="246">
        <v>403</v>
      </c>
      <c r="AJ816" s="246">
        <f t="shared" si="289"/>
        <v>0</v>
      </c>
      <c r="AK816" s="246"/>
      <c r="AL816" s="246"/>
      <c r="AM816" s="246"/>
      <c r="AN816" s="246">
        <f>I816</f>
        <v>403</v>
      </c>
      <c r="AO816" s="551"/>
      <c r="AP816" s="554">
        <f>I816</f>
        <v>403</v>
      </c>
      <c r="AR816" s="680"/>
      <c r="AS816" s="548"/>
      <c r="AT816" s="548"/>
      <c r="AU816" s="554">
        <f>I816</f>
        <v>403</v>
      </c>
      <c r="AV816" s="551"/>
      <c r="AW816" s="650"/>
      <c r="AX816" s="548"/>
      <c r="AY816" s="548"/>
      <c r="AZ816" s="548"/>
      <c r="BA816" s="548"/>
      <c r="BB816" s="249">
        <f t="shared" si="296"/>
        <v>16.7916666666667</v>
      </c>
      <c r="BC816" s="651"/>
      <c r="BD816" s="548"/>
      <c r="BE816" s="548"/>
      <c r="BF816" s="548"/>
      <c r="BK816" s="551">
        <f>I816/13</f>
        <v>31</v>
      </c>
      <c r="BY816" s="650"/>
      <c r="BZ816" s="548"/>
      <c r="CA816" s="652"/>
      <c r="CB816" s="567"/>
      <c r="CC816" s="653"/>
      <c r="CD816" s="650"/>
      <c r="CE816" s="650"/>
      <c r="CF816" s="548"/>
      <c r="CG816" s="548"/>
      <c r="CU816" s="554">
        <f t="shared" si="277"/>
        <v>0</v>
      </c>
      <c r="CV816" s="551">
        <f t="shared" si="297"/>
        <v>0</v>
      </c>
      <c r="CW816" s="551">
        <f t="shared" si="298"/>
        <v>0</v>
      </c>
      <c r="CX816" s="650"/>
      <c r="CY816" s="650"/>
      <c r="CZ816" s="650"/>
      <c r="DA816" s="548"/>
      <c r="DB816" s="548"/>
      <c r="DC816" s="548"/>
      <c r="DD816" s="650"/>
      <c r="DE816" s="650"/>
      <c r="DF816" s="650"/>
      <c r="DG816" s="650"/>
      <c r="DH816" s="650"/>
    </row>
    <row r="817" s="548" customFormat="1" ht="31" customHeight="1" spans="1:112">
      <c r="A817" s="641">
        <v>45975</v>
      </c>
      <c r="B817" s="642" t="s">
        <v>211</v>
      </c>
      <c r="C817" s="246" t="s">
        <v>212</v>
      </c>
      <c r="D817" s="551">
        <v>4500185734</v>
      </c>
      <c r="E817" s="246" t="s">
        <v>8090</v>
      </c>
      <c r="F817" s="551" t="s">
        <v>8091</v>
      </c>
      <c r="G817" s="246" t="s">
        <v>6040</v>
      </c>
      <c r="H817" s="246" t="s">
        <v>6041</v>
      </c>
      <c r="I817" s="246">
        <v>1248</v>
      </c>
      <c r="J817" s="246">
        <v>0</v>
      </c>
      <c r="K817" s="246">
        <v>52</v>
      </c>
      <c r="L817" s="644">
        <f t="shared" si="287"/>
        <v>24</v>
      </c>
      <c r="M817" s="645">
        <v>45999</v>
      </c>
      <c r="N817" s="645">
        <v>45995</v>
      </c>
      <c r="O817" s="643"/>
      <c r="P817" s="643" t="s">
        <v>113</v>
      </c>
      <c r="Q817" s="246"/>
      <c r="R817" s="646">
        <v>45975</v>
      </c>
      <c r="S817" s="646" t="s">
        <v>70</v>
      </c>
      <c r="T817" s="646" t="s">
        <v>7982</v>
      </c>
      <c r="U817" s="646"/>
      <c r="V817" s="646"/>
      <c r="W817" s="615"/>
      <c r="X817" s="642" t="s">
        <v>7983</v>
      </c>
      <c r="Y817" s="642" t="s">
        <v>1793</v>
      </c>
      <c r="Z817" s="655">
        <v>0.8951</v>
      </c>
      <c r="AA817" s="647">
        <f t="shared" si="295"/>
        <v>1117.0848</v>
      </c>
      <c r="AC817" s="658" t="s">
        <v>8092</v>
      </c>
      <c r="AD817" s="246" t="s">
        <v>6040</v>
      </c>
      <c r="AE817" s="246" t="s">
        <v>82</v>
      </c>
      <c r="AF817" s="246"/>
      <c r="AG817" s="246"/>
      <c r="AH817" s="246">
        <v>1</v>
      </c>
      <c r="AI817" s="246">
        <v>1248</v>
      </c>
      <c r="AJ817" s="246">
        <f t="shared" si="289"/>
        <v>0</v>
      </c>
      <c r="AK817" s="246"/>
      <c r="AL817" s="246"/>
      <c r="AM817" s="246"/>
      <c r="AN817" s="246"/>
      <c r="AO817" s="551">
        <f>I817</f>
        <v>1248</v>
      </c>
      <c r="AR817" s="680"/>
      <c r="AS817" s="548"/>
      <c r="AT817" s="554">
        <f>I817</f>
        <v>1248</v>
      </c>
      <c r="AV817" s="554">
        <f>I817</f>
        <v>1248</v>
      </c>
      <c r="AW817" s="650"/>
      <c r="AX817" s="548"/>
      <c r="AY817" s="548"/>
      <c r="AZ817" s="548"/>
      <c r="BA817" s="548"/>
      <c r="BB817" s="620">
        <f t="shared" si="296"/>
        <v>52</v>
      </c>
      <c r="BC817" s="651"/>
      <c r="BD817" s="548"/>
      <c r="BE817" s="548"/>
      <c r="BF817" s="548"/>
      <c r="BM817" s="551">
        <f>I817/13</f>
        <v>96</v>
      </c>
      <c r="BY817" s="650"/>
      <c r="BZ817" s="548"/>
      <c r="CA817" s="652"/>
      <c r="CB817" s="567"/>
      <c r="CC817" s="653"/>
      <c r="CD817" s="650"/>
      <c r="CE817" s="650"/>
      <c r="CF817" s="548"/>
      <c r="CG817" s="548"/>
      <c r="CU817" s="554">
        <f t="shared" si="277"/>
        <v>0</v>
      </c>
      <c r="CV817" s="551">
        <f t="shared" si="297"/>
        <v>0</v>
      </c>
      <c r="CW817" s="551">
        <f t="shared" si="298"/>
        <v>0</v>
      </c>
      <c r="CX817" s="650"/>
      <c r="CY817" s="650"/>
      <c r="CZ817" s="650"/>
      <c r="DA817" s="548"/>
      <c r="DB817" s="548"/>
      <c r="DC817" s="548"/>
      <c r="DD817" s="650"/>
      <c r="DE817" s="650"/>
      <c r="DF817" s="650"/>
      <c r="DG817" s="650"/>
      <c r="DH817" s="650"/>
    </row>
    <row r="818" s="548" customFormat="1" ht="31" customHeight="1" spans="1:112">
      <c r="A818" s="641">
        <v>45988</v>
      </c>
      <c r="B818" s="642" t="s">
        <v>6431</v>
      </c>
      <c r="C818" s="693" t="s">
        <v>98</v>
      </c>
      <c r="D818" s="551">
        <v>4500187121</v>
      </c>
      <c r="E818" s="246" t="s">
        <v>8093</v>
      </c>
      <c r="F818" s="551" t="s">
        <v>8094</v>
      </c>
      <c r="G818" s="246" t="s">
        <v>8095</v>
      </c>
      <c r="H818" s="246" t="s">
        <v>8096</v>
      </c>
      <c r="I818" s="246">
        <v>5040</v>
      </c>
      <c r="J818" s="246">
        <v>0</v>
      </c>
      <c r="K818" s="246">
        <v>720</v>
      </c>
      <c r="L818" s="644">
        <f t="shared" ref="L818:L881" si="299">I818/K818</f>
        <v>7</v>
      </c>
      <c r="M818" s="645">
        <v>45999</v>
      </c>
      <c r="N818" s="645">
        <v>45995</v>
      </c>
      <c r="O818" s="246" t="s">
        <v>8097</v>
      </c>
      <c r="P818" s="643" t="s">
        <v>113</v>
      </c>
      <c r="Q818" s="246"/>
      <c r="R818" s="646" t="s">
        <v>6861</v>
      </c>
      <c r="S818" s="646" t="s">
        <v>70</v>
      </c>
      <c r="T818" s="646" t="s">
        <v>70</v>
      </c>
      <c r="U818" s="646"/>
      <c r="V818" s="646"/>
      <c r="W818" s="615"/>
      <c r="X818" s="642" t="s">
        <v>8098</v>
      </c>
      <c r="Y818" s="694" t="s">
        <v>1723</v>
      </c>
      <c r="Z818" s="642">
        <v>420.6914</v>
      </c>
      <c r="AA818" s="647">
        <f t="shared" ref="AA818:AA838" si="300">Z818*L818</f>
        <v>2944.8398</v>
      </c>
      <c r="AC818" s="648"/>
      <c r="AD818" s="642" t="s">
        <v>8095</v>
      </c>
      <c r="AE818" s="246" t="s">
        <v>82</v>
      </c>
      <c r="AF818" s="246"/>
      <c r="AG818" s="642"/>
      <c r="AH818" s="642">
        <v>1</v>
      </c>
      <c r="AI818" s="246">
        <v>5040</v>
      </c>
      <c r="AJ818" s="246"/>
      <c r="AK818" s="246"/>
      <c r="AL818" s="246"/>
      <c r="AM818" s="246"/>
      <c r="AN818" s="246">
        <f>I818</f>
        <v>5040</v>
      </c>
      <c r="AO818" s="551"/>
      <c r="AP818" s="548"/>
      <c r="AQ818" s="548"/>
      <c r="AR818" s="680"/>
      <c r="AS818" s="548"/>
      <c r="AT818" s="548"/>
      <c r="AU818" s="554">
        <f t="shared" ref="AU818:AU838" si="301">I818</f>
        <v>5040</v>
      </c>
      <c r="AV818" s="551"/>
      <c r="AW818" s="650"/>
      <c r="AX818" s="548"/>
      <c r="AY818" s="548"/>
      <c r="AZ818" s="548"/>
      <c r="BA818" s="548"/>
      <c r="BB818" s="670">
        <f t="shared" ref="BB818:BB842" si="302">I818/24</f>
        <v>210</v>
      </c>
      <c r="BC818" s="671">
        <f t="shared" ref="BC818:BC838" si="303">I818</f>
        <v>5040</v>
      </c>
      <c r="BS818" s="554">
        <f t="shared" ref="BS818:BS838" si="304">I818/8</f>
        <v>630</v>
      </c>
      <c r="BY818" s="650"/>
      <c r="BZ818" s="548"/>
      <c r="CA818" s="652"/>
      <c r="CB818" s="567"/>
      <c r="CC818" s="653"/>
      <c r="CD818" s="650"/>
      <c r="CE818" s="650"/>
      <c r="CF818" s="548"/>
      <c r="CG818" s="548"/>
      <c r="CU818" s="554">
        <f t="shared" si="277"/>
        <v>0</v>
      </c>
      <c r="CV818" s="663">
        <f t="shared" ref="CV818:CV843" si="305">CK818+CL818+CM818+CN818+CO818+CQ818+CP818</f>
        <v>0</v>
      </c>
      <c r="CW818" s="663">
        <f t="shared" ref="CW818:CW843" si="306">CI818+CJ818</f>
        <v>0</v>
      </c>
      <c r="CX818" s="650"/>
      <c r="CY818" s="650"/>
      <c r="CZ818" s="650"/>
      <c r="DA818" s="548"/>
      <c r="DB818" s="548"/>
      <c r="DC818" s="548"/>
      <c r="DD818" s="650"/>
      <c r="DE818" s="650"/>
      <c r="DF818" s="650"/>
      <c r="DG818" s="650"/>
      <c r="DH818" s="650"/>
    </row>
    <row r="819" s="548" customFormat="1" ht="31" customHeight="1" spans="1:112">
      <c r="A819" s="641">
        <v>45988</v>
      </c>
      <c r="B819" s="642" t="s">
        <v>6431</v>
      </c>
      <c r="C819" s="693" t="s">
        <v>98</v>
      </c>
      <c r="D819" s="551">
        <v>4500187121</v>
      </c>
      <c r="E819" s="246" t="s">
        <v>8099</v>
      </c>
      <c r="F819" s="551" t="s">
        <v>8100</v>
      </c>
      <c r="G819" s="246" t="s">
        <v>8095</v>
      </c>
      <c r="H819" s="246" t="s">
        <v>8096</v>
      </c>
      <c r="I819" s="246">
        <v>1440</v>
      </c>
      <c r="J819" s="246">
        <v>0</v>
      </c>
      <c r="K819" s="246">
        <v>720</v>
      </c>
      <c r="L819" s="644">
        <f t="shared" si="299"/>
        <v>2</v>
      </c>
      <c r="M819" s="645">
        <v>45999</v>
      </c>
      <c r="N819" s="645">
        <v>45995</v>
      </c>
      <c r="O819" s="246" t="s">
        <v>8097</v>
      </c>
      <c r="P819" s="643" t="s">
        <v>113</v>
      </c>
      <c r="Q819" s="246"/>
      <c r="R819" s="646" t="s">
        <v>6861</v>
      </c>
      <c r="S819" s="646" t="s">
        <v>70</v>
      </c>
      <c r="T819" s="646" t="s">
        <v>70</v>
      </c>
      <c r="U819" s="646"/>
      <c r="V819" s="646"/>
      <c r="W819" s="615"/>
      <c r="X819" s="642" t="s">
        <v>8098</v>
      </c>
      <c r="Y819" s="694" t="s">
        <v>1723</v>
      </c>
      <c r="Z819" s="655">
        <v>420.69</v>
      </c>
      <c r="AA819" s="647">
        <f t="shared" si="300"/>
        <v>841.38</v>
      </c>
      <c r="AC819" s="648"/>
      <c r="AD819" s="642" t="s">
        <v>8095</v>
      </c>
      <c r="AE819" s="246" t="s">
        <v>82</v>
      </c>
      <c r="AF819" s="246"/>
      <c r="AG819" s="642"/>
      <c r="AH819" s="642">
        <v>1</v>
      </c>
      <c r="AI819" s="246">
        <v>1440</v>
      </c>
      <c r="AJ819" s="246"/>
      <c r="AK819" s="246"/>
      <c r="AL819" s="246"/>
      <c r="AM819" s="246"/>
      <c r="AN819" s="246">
        <f t="shared" ref="AN819:AN838" si="307">I819</f>
        <v>1440</v>
      </c>
      <c r="AO819" s="551"/>
      <c r="AP819" s="548"/>
      <c r="AQ819" s="548"/>
      <c r="AR819" s="680"/>
      <c r="AS819" s="548"/>
      <c r="AT819" s="548"/>
      <c r="AU819" s="554">
        <f t="shared" si="301"/>
        <v>1440</v>
      </c>
      <c r="AV819" s="551"/>
      <c r="AW819" s="650"/>
      <c r="AX819" s="548"/>
      <c r="AY819" s="548"/>
      <c r="AZ819" s="548"/>
      <c r="BA819" s="548"/>
      <c r="BB819" s="670">
        <f t="shared" si="302"/>
        <v>60</v>
      </c>
      <c r="BC819" s="671">
        <f t="shared" si="303"/>
        <v>1440</v>
      </c>
      <c r="BS819" s="554">
        <f t="shared" si="304"/>
        <v>180</v>
      </c>
      <c r="BY819" s="650"/>
      <c r="BZ819" s="548"/>
      <c r="CA819" s="652"/>
      <c r="CB819" s="567"/>
      <c r="CC819" s="653"/>
      <c r="CD819" s="650"/>
      <c r="CE819" s="650"/>
      <c r="CF819" s="548"/>
      <c r="CG819" s="548"/>
      <c r="CU819" s="554">
        <f t="shared" si="277"/>
        <v>0</v>
      </c>
      <c r="CV819" s="663">
        <f t="shared" si="305"/>
        <v>0</v>
      </c>
      <c r="CW819" s="663">
        <f t="shared" si="306"/>
        <v>0</v>
      </c>
      <c r="CX819" s="650"/>
      <c r="CY819" s="650"/>
      <c r="CZ819" s="650"/>
      <c r="DA819" s="548"/>
      <c r="DB819" s="548"/>
      <c r="DC819" s="548"/>
      <c r="DD819" s="650"/>
      <c r="DE819" s="650"/>
      <c r="DF819" s="650"/>
      <c r="DG819" s="650"/>
      <c r="DH819" s="650"/>
    </row>
    <row r="820" s="548" customFormat="1" ht="31" customHeight="1" spans="1:112">
      <c r="A820" s="641">
        <v>45988</v>
      </c>
      <c r="B820" s="642" t="s">
        <v>6431</v>
      </c>
      <c r="C820" s="693" t="s">
        <v>98</v>
      </c>
      <c r="D820" s="551">
        <v>4500187121</v>
      </c>
      <c r="E820" s="246" t="s">
        <v>8101</v>
      </c>
      <c r="F820" s="551" t="s">
        <v>8102</v>
      </c>
      <c r="G820" s="246" t="s">
        <v>8095</v>
      </c>
      <c r="H820" s="246" t="s">
        <v>8096</v>
      </c>
      <c r="I820" s="246">
        <v>9360</v>
      </c>
      <c r="J820" s="246">
        <v>0</v>
      </c>
      <c r="K820" s="246">
        <v>720</v>
      </c>
      <c r="L820" s="644">
        <f t="shared" si="299"/>
        <v>13</v>
      </c>
      <c r="M820" s="645">
        <v>45999</v>
      </c>
      <c r="N820" s="645">
        <v>45995</v>
      </c>
      <c r="O820" s="246" t="s">
        <v>8097</v>
      </c>
      <c r="P820" s="643" t="s">
        <v>113</v>
      </c>
      <c r="Q820" s="246"/>
      <c r="R820" s="646" t="s">
        <v>6861</v>
      </c>
      <c r="S820" s="646" t="s">
        <v>70</v>
      </c>
      <c r="T820" s="646" t="s">
        <v>70</v>
      </c>
      <c r="U820" s="646"/>
      <c r="V820" s="646"/>
      <c r="W820" s="615"/>
      <c r="X820" s="642" t="s">
        <v>8098</v>
      </c>
      <c r="Y820" s="694" t="s">
        <v>1723</v>
      </c>
      <c r="Z820" s="642">
        <v>420.6915</v>
      </c>
      <c r="AA820" s="647">
        <f t="shared" si="300"/>
        <v>5468.9895</v>
      </c>
      <c r="AC820" s="648"/>
      <c r="AD820" s="642" t="s">
        <v>8095</v>
      </c>
      <c r="AE820" s="246" t="s">
        <v>82</v>
      </c>
      <c r="AF820" s="246"/>
      <c r="AG820" s="642"/>
      <c r="AH820" s="642">
        <v>1</v>
      </c>
      <c r="AI820" s="246">
        <v>9360</v>
      </c>
      <c r="AJ820" s="246"/>
      <c r="AK820" s="246"/>
      <c r="AL820" s="246"/>
      <c r="AM820" s="246"/>
      <c r="AN820" s="246">
        <f t="shared" si="307"/>
        <v>9360</v>
      </c>
      <c r="AO820" s="551"/>
      <c r="AP820" s="548"/>
      <c r="AQ820" s="548"/>
      <c r="AR820" s="680"/>
      <c r="AS820" s="548"/>
      <c r="AT820" s="548"/>
      <c r="AU820" s="554">
        <f t="shared" si="301"/>
        <v>9360</v>
      </c>
      <c r="AV820" s="551"/>
      <c r="AW820" s="650"/>
      <c r="AX820" s="548"/>
      <c r="AY820" s="548"/>
      <c r="AZ820" s="548"/>
      <c r="BA820" s="548"/>
      <c r="BB820" s="670">
        <f t="shared" si="302"/>
        <v>390</v>
      </c>
      <c r="BC820" s="671">
        <f t="shared" si="303"/>
        <v>9360</v>
      </c>
      <c r="BS820" s="554">
        <f t="shared" si="304"/>
        <v>1170</v>
      </c>
      <c r="BY820" s="650"/>
      <c r="BZ820" s="548"/>
      <c r="CA820" s="652"/>
      <c r="CB820" s="567"/>
      <c r="CC820" s="653"/>
      <c r="CD820" s="650"/>
      <c r="CE820" s="650"/>
      <c r="CF820" s="548"/>
      <c r="CG820" s="548"/>
      <c r="CU820" s="554">
        <f t="shared" si="277"/>
        <v>0</v>
      </c>
      <c r="CV820" s="663">
        <f t="shared" si="305"/>
        <v>0</v>
      </c>
      <c r="CW820" s="663">
        <f t="shared" si="306"/>
        <v>0</v>
      </c>
      <c r="CX820" s="650"/>
      <c r="CY820" s="650"/>
      <c r="CZ820" s="650"/>
      <c r="DA820" s="548"/>
      <c r="DB820" s="548"/>
      <c r="DC820" s="548"/>
      <c r="DD820" s="650"/>
      <c r="DE820" s="650"/>
      <c r="DF820" s="650"/>
      <c r="DG820" s="650"/>
      <c r="DH820" s="650"/>
    </row>
    <row r="821" s="548" customFormat="1" ht="31" customHeight="1" spans="1:112">
      <c r="A821" s="641">
        <v>45988</v>
      </c>
      <c r="B821" s="642" t="s">
        <v>6431</v>
      </c>
      <c r="C821" s="693" t="s">
        <v>98</v>
      </c>
      <c r="D821" s="551">
        <v>4500187121</v>
      </c>
      <c r="E821" s="246" t="s">
        <v>8103</v>
      </c>
      <c r="F821" s="551" t="s">
        <v>8104</v>
      </c>
      <c r="G821" s="246" t="s">
        <v>8095</v>
      </c>
      <c r="H821" s="246" t="s">
        <v>8096</v>
      </c>
      <c r="I821" s="246">
        <v>7200</v>
      </c>
      <c r="J821" s="246">
        <v>0</v>
      </c>
      <c r="K821" s="246">
        <v>720</v>
      </c>
      <c r="L821" s="644">
        <f t="shared" si="299"/>
        <v>10</v>
      </c>
      <c r="M821" s="645">
        <v>45999</v>
      </c>
      <c r="N821" s="645">
        <v>45995</v>
      </c>
      <c r="O821" s="246" t="s">
        <v>8097</v>
      </c>
      <c r="P821" s="643" t="s">
        <v>113</v>
      </c>
      <c r="Q821" s="246"/>
      <c r="R821" s="646" t="s">
        <v>6861</v>
      </c>
      <c r="S821" s="646" t="s">
        <v>70</v>
      </c>
      <c r="T821" s="646" t="s">
        <v>70</v>
      </c>
      <c r="U821" s="646"/>
      <c r="V821" s="646"/>
      <c r="W821" s="615"/>
      <c r="X821" s="642" t="s">
        <v>8098</v>
      </c>
      <c r="Y821" s="694" t="s">
        <v>1723</v>
      </c>
      <c r="Z821" s="655">
        <v>420.691</v>
      </c>
      <c r="AA821" s="647">
        <f t="shared" si="300"/>
        <v>4206.91</v>
      </c>
      <c r="AC821" s="648"/>
      <c r="AD821" s="642" t="s">
        <v>8095</v>
      </c>
      <c r="AE821" s="246" t="s">
        <v>82</v>
      </c>
      <c r="AF821" s="246"/>
      <c r="AG821" s="642"/>
      <c r="AH821" s="642">
        <v>1</v>
      </c>
      <c r="AI821" s="246">
        <v>7200</v>
      </c>
      <c r="AJ821" s="246"/>
      <c r="AK821" s="246"/>
      <c r="AL821" s="246"/>
      <c r="AM821" s="246"/>
      <c r="AN821" s="246">
        <f t="shared" si="307"/>
        <v>7200</v>
      </c>
      <c r="AO821" s="551"/>
      <c r="AP821" s="548"/>
      <c r="AQ821" s="548"/>
      <c r="AR821" s="680"/>
      <c r="AS821" s="548"/>
      <c r="AT821" s="548"/>
      <c r="AU821" s="554">
        <f t="shared" si="301"/>
        <v>7200</v>
      </c>
      <c r="AV821" s="551"/>
      <c r="AW821" s="650"/>
      <c r="AX821" s="548"/>
      <c r="AY821" s="548"/>
      <c r="AZ821" s="548"/>
      <c r="BA821" s="548"/>
      <c r="BB821" s="670">
        <f t="shared" si="302"/>
        <v>300</v>
      </c>
      <c r="BC821" s="671">
        <f t="shared" si="303"/>
        <v>7200</v>
      </c>
      <c r="BS821" s="554">
        <f t="shared" si="304"/>
        <v>900</v>
      </c>
      <c r="BY821" s="650"/>
      <c r="BZ821" s="548"/>
      <c r="CA821" s="652"/>
      <c r="CB821" s="567"/>
      <c r="CC821" s="653"/>
      <c r="CD821" s="650"/>
      <c r="CE821" s="650"/>
      <c r="CF821" s="548"/>
      <c r="CG821" s="548"/>
      <c r="CU821" s="554">
        <f t="shared" si="277"/>
        <v>0</v>
      </c>
      <c r="CV821" s="663">
        <f t="shared" si="305"/>
        <v>0</v>
      </c>
      <c r="CW821" s="663">
        <f t="shared" si="306"/>
        <v>0</v>
      </c>
      <c r="CX821" s="650"/>
      <c r="CY821" s="650"/>
      <c r="CZ821" s="650"/>
      <c r="DA821" s="548"/>
      <c r="DB821" s="548"/>
      <c r="DC821" s="548"/>
      <c r="DD821" s="650"/>
      <c r="DE821" s="650"/>
      <c r="DF821" s="650"/>
      <c r="DG821" s="650"/>
      <c r="DH821" s="650"/>
    </row>
    <row r="822" s="548" customFormat="1" ht="31" customHeight="1" spans="1:112">
      <c r="A822" s="641">
        <v>45988</v>
      </c>
      <c r="B822" s="642" t="s">
        <v>6431</v>
      </c>
      <c r="C822" s="693" t="s">
        <v>98</v>
      </c>
      <c r="D822" s="551">
        <v>4500187121</v>
      </c>
      <c r="E822" s="246" t="s">
        <v>8105</v>
      </c>
      <c r="F822" s="551" t="s">
        <v>8106</v>
      </c>
      <c r="G822" s="246" t="s">
        <v>8095</v>
      </c>
      <c r="H822" s="246" t="s">
        <v>8096</v>
      </c>
      <c r="I822" s="246">
        <v>4320</v>
      </c>
      <c r="J822" s="246">
        <v>0</v>
      </c>
      <c r="K822" s="246">
        <v>720</v>
      </c>
      <c r="L822" s="644">
        <f t="shared" si="299"/>
        <v>6</v>
      </c>
      <c r="M822" s="645">
        <v>45999</v>
      </c>
      <c r="N822" s="645">
        <v>45995</v>
      </c>
      <c r="O822" s="246" t="s">
        <v>8097</v>
      </c>
      <c r="P822" s="643" t="s">
        <v>113</v>
      </c>
      <c r="Q822" s="246"/>
      <c r="R822" s="646" t="s">
        <v>6861</v>
      </c>
      <c r="S822" s="646" t="s">
        <v>70</v>
      </c>
      <c r="T822" s="646" t="s">
        <v>70</v>
      </c>
      <c r="U822" s="646"/>
      <c r="V822" s="646"/>
      <c r="W822" s="615"/>
      <c r="X822" s="642" t="s">
        <v>8098</v>
      </c>
      <c r="Y822" s="694" t="s">
        <v>1723</v>
      </c>
      <c r="Z822" s="642">
        <v>420.6917</v>
      </c>
      <c r="AA822" s="647">
        <f t="shared" si="300"/>
        <v>2524.1502</v>
      </c>
      <c r="AC822" s="648"/>
      <c r="AD822" s="642" t="s">
        <v>8095</v>
      </c>
      <c r="AE822" s="246" t="s">
        <v>82</v>
      </c>
      <c r="AF822" s="246"/>
      <c r="AG822" s="642"/>
      <c r="AH822" s="642">
        <v>1</v>
      </c>
      <c r="AI822" s="246">
        <v>4320</v>
      </c>
      <c r="AJ822" s="246"/>
      <c r="AK822" s="246"/>
      <c r="AL822" s="246"/>
      <c r="AM822" s="246"/>
      <c r="AN822" s="246">
        <f t="shared" si="307"/>
        <v>4320</v>
      </c>
      <c r="AO822" s="551"/>
      <c r="AP822" s="548"/>
      <c r="AQ822" s="548"/>
      <c r="AR822" s="680"/>
      <c r="AS822" s="548"/>
      <c r="AT822" s="548"/>
      <c r="AU822" s="554">
        <f t="shared" si="301"/>
        <v>4320</v>
      </c>
      <c r="AV822" s="551"/>
      <c r="AW822" s="650"/>
      <c r="AX822" s="548"/>
      <c r="AY822" s="548"/>
      <c r="AZ822" s="548"/>
      <c r="BA822" s="548"/>
      <c r="BB822" s="670">
        <f t="shared" si="302"/>
        <v>180</v>
      </c>
      <c r="BC822" s="671">
        <f t="shared" si="303"/>
        <v>4320</v>
      </c>
      <c r="BS822" s="554">
        <f t="shared" si="304"/>
        <v>540</v>
      </c>
      <c r="BY822" s="650"/>
      <c r="BZ822" s="548"/>
      <c r="CA822" s="652"/>
      <c r="CB822" s="567"/>
      <c r="CC822" s="653"/>
      <c r="CD822" s="650"/>
      <c r="CE822" s="650"/>
      <c r="CF822" s="548"/>
      <c r="CG822" s="548"/>
      <c r="CU822" s="554">
        <f t="shared" si="277"/>
        <v>0</v>
      </c>
      <c r="CV822" s="663">
        <f t="shared" si="305"/>
        <v>0</v>
      </c>
      <c r="CW822" s="663">
        <f t="shared" si="306"/>
        <v>0</v>
      </c>
      <c r="CX822" s="650"/>
      <c r="CY822" s="650"/>
      <c r="CZ822" s="650"/>
      <c r="DA822" s="548"/>
      <c r="DB822" s="548"/>
      <c r="DC822" s="548"/>
      <c r="DD822" s="650"/>
      <c r="DE822" s="650"/>
      <c r="DF822" s="650"/>
      <c r="DG822" s="650"/>
      <c r="DH822" s="650"/>
    </row>
    <row r="823" s="548" customFormat="1" ht="31" customHeight="1" spans="1:112">
      <c r="A823" s="641">
        <v>45988</v>
      </c>
      <c r="B823" s="642" t="s">
        <v>6431</v>
      </c>
      <c r="C823" s="693" t="s">
        <v>98</v>
      </c>
      <c r="D823" s="551">
        <v>4500187121</v>
      </c>
      <c r="E823" s="246" t="s">
        <v>8107</v>
      </c>
      <c r="F823" s="551" t="s">
        <v>8108</v>
      </c>
      <c r="G823" s="246" t="s">
        <v>8095</v>
      </c>
      <c r="H823" s="246" t="s">
        <v>8096</v>
      </c>
      <c r="I823" s="246">
        <v>5760</v>
      </c>
      <c r="J823" s="246">
        <v>0</v>
      </c>
      <c r="K823" s="246">
        <v>720</v>
      </c>
      <c r="L823" s="644">
        <f t="shared" si="299"/>
        <v>8</v>
      </c>
      <c r="M823" s="645">
        <v>45999</v>
      </c>
      <c r="N823" s="645">
        <v>45995</v>
      </c>
      <c r="O823" s="246" t="s">
        <v>8097</v>
      </c>
      <c r="P823" s="643" t="s">
        <v>113</v>
      </c>
      <c r="Q823" s="246"/>
      <c r="R823" s="646" t="s">
        <v>6861</v>
      </c>
      <c r="S823" s="646" t="s">
        <v>70</v>
      </c>
      <c r="T823" s="646" t="s">
        <v>70</v>
      </c>
      <c r="U823" s="646"/>
      <c r="V823" s="646"/>
      <c r="W823" s="615"/>
      <c r="X823" s="642" t="s">
        <v>8098</v>
      </c>
      <c r="Y823" s="694" t="s">
        <v>1723</v>
      </c>
      <c r="Z823" s="642">
        <v>420.6913</v>
      </c>
      <c r="AA823" s="647">
        <f t="shared" si="300"/>
        <v>3365.5304</v>
      </c>
      <c r="AC823" s="648"/>
      <c r="AD823" s="642" t="s">
        <v>8095</v>
      </c>
      <c r="AE823" s="246" t="s">
        <v>82</v>
      </c>
      <c r="AF823" s="246"/>
      <c r="AG823" s="642"/>
      <c r="AH823" s="642">
        <v>1</v>
      </c>
      <c r="AI823" s="246">
        <f>2736+3024</f>
        <v>5760</v>
      </c>
      <c r="AJ823" s="246"/>
      <c r="AK823" s="246"/>
      <c r="AL823" s="246"/>
      <c r="AM823" s="246"/>
      <c r="AN823" s="246">
        <f t="shared" si="307"/>
        <v>5760</v>
      </c>
      <c r="AO823" s="551"/>
      <c r="AP823" s="548"/>
      <c r="AQ823" s="548"/>
      <c r="AR823" s="680"/>
      <c r="AS823" s="548"/>
      <c r="AT823" s="548"/>
      <c r="AU823" s="554">
        <f t="shared" si="301"/>
        <v>5760</v>
      </c>
      <c r="AV823" s="551"/>
      <c r="AW823" s="650"/>
      <c r="AX823" s="548"/>
      <c r="AY823" s="548"/>
      <c r="AZ823" s="548"/>
      <c r="BA823" s="548"/>
      <c r="BB823" s="670">
        <f t="shared" si="302"/>
        <v>240</v>
      </c>
      <c r="BC823" s="671">
        <f t="shared" si="303"/>
        <v>5760</v>
      </c>
      <c r="BS823" s="554">
        <f t="shared" si="304"/>
        <v>720</v>
      </c>
      <c r="BY823" s="650"/>
      <c r="BZ823" s="548"/>
      <c r="CA823" s="652"/>
      <c r="CB823" s="567"/>
      <c r="CC823" s="653"/>
      <c r="CD823" s="650"/>
      <c r="CE823" s="650"/>
      <c r="CF823" s="548"/>
      <c r="CG823" s="548"/>
      <c r="CU823" s="554">
        <f t="shared" si="277"/>
        <v>0</v>
      </c>
      <c r="CV823" s="663">
        <f t="shared" si="305"/>
        <v>0</v>
      </c>
      <c r="CW823" s="663">
        <f t="shared" si="306"/>
        <v>0</v>
      </c>
      <c r="CX823" s="650"/>
      <c r="CY823" s="650"/>
      <c r="CZ823" s="650"/>
      <c r="DA823" s="548"/>
      <c r="DB823" s="548"/>
      <c r="DC823" s="548"/>
      <c r="DD823" s="650"/>
      <c r="DE823" s="650"/>
      <c r="DF823" s="650"/>
      <c r="DG823" s="650"/>
      <c r="DH823" s="650"/>
    </row>
    <row r="824" s="548" customFormat="1" ht="31" customHeight="1" spans="1:112">
      <c r="A824" s="641">
        <v>45988</v>
      </c>
      <c r="B824" s="642" t="s">
        <v>6431</v>
      </c>
      <c r="C824" s="693" t="s">
        <v>98</v>
      </c>
      <c r="D824" s="551">
        <v>4500187121</v>
      </c>
      <c r="E824" s="246" t="s">
        <v>8109</v>
      </c>
      <c r="F824" s="551" t="s">
        <v>8110</v>
      </c>
      <c r="G824" s="246" t="s">
        <v>8095</v>
      </c>
      <c r="H824" s="246" t="s">
        <v>8096</v>
      </c>
      <c r="I824" s="246">
        <v>4320</v>
      </c>
      <c r="J824" s="246">
        <v>0</v>
      </c>
      <c r="K824" s="246">
        <v>720</v>
      </c>
      <c r="L824" s="644">
        <f t="shared" si="299"/>
        <v>6</v>
      </c>
      <c r="M824" s="645">
        <v>45999</v>
      </c>
      <c r="N824" s="645">
        <v>45995</v>
      </c>
      <c r="O824" s="246" t="s">
        <v>8097</v>
      </c>
      <c r="P824" s="643" t="s">
        <v>113</v>
      </c>
      <c r="Q824" s="246"/>
      <c r="R824" s="646" t="s">
        <v>6861</v>
      </c>
      <c r="S824" s="646" t="s">
        <v>70</v>
      </c>
      <c r="T824" s="646" t="s">
        <v>70</v>
      </c>
      <c r="U824" s="646"/>
      <c r="V824" s="646"/>
      <c r="W824" s="615"/>
      <c r="X824" s="642" t="s">
        <v>8098</v>
      </c>
      <c r="Y824" s="694" t="s">
        <v>1723</v>
      </c>
      <c r="Z824" s="642">
        <v>420.6917</v>
      </c>
      <c r="AA824" s="647">
        <f t="shared" si="300"/>
        <v>2524.1502</v>
      </c>
      <c r="AC824" s="648"/>
      <c r="AD824" s="642" t="s">
        <v>8095</v>
      </c>
      <c r="AE824" s="246" t="s">
        <v>82</v>
      </c>
      <c r="AF824" s="246"/>
      <c r="AG824" s="642"/>
      <c r="AH824" s="642">
        <v>1</v>
      </c>
      <c r="AI824" s="246">
        <v>4320</v>
      </c>
      <c r="AJ824" s="246"/>
      <c r="AK824" s="246"/>
      <c r="AL824" s="246"/>
      <c r="AM824" s="246"/>
      <c r="AN824" s="246">
        <f t="shared" si="307"/>
        <v>4320</v>
      </c>
      <c r="AO824" s="551"/>
      <c r="AP824" s="548"/>
      <c r="AQ824" s="548"/>
      <c r="AR824" s="680"/>
      <c r="AS824" s="548"/>
      <c r="AT824" s="548"/>
      <c r="AU824" s="554">
        <f t="shared" si="301"/>
        <v>4320</v>
      </c>
      <c r="AV824" s="551"/>
      <c r="AW824" s="650"/>
      <c r="AX824" s="548"/>
      <c r="AY824" s="548"/>
      <c r="AZ824" s="548"/>
      <c r="BA824" s="548"/>
      <c r="BB824" s="670">
        <f t="shared" si="302"/>
        <v>180</v>
      </c>
      <c r="BC824" s="671">
        <f t="shared" si="303"/>
        <v>4320</v>
      </c>
      <c r="BS824" s="554">
        <f t="shared" si="304"/>
        <v>540</v>
      </c>
      <c r="BY824" s="650"/>
      <c r="BZ824" s="548"/>
      <c r="CA824" s="652"/>
      <c r="CB824" s="567"/>
      <c r="CC824" s="653"/>
      <c r="CD824" s="650"/>
      <c r="CE824" s="650"/>
      <c r="CF824" s="548"/>
      <c r="CG824" s="548"/>
      <c r="CU824" s="554">
        <f t="shared" si="277"/>
        <v>0</v>
      </c>
      <c r="CV824" s="663">
        <f t="shared" si="305"/>
        <v>0</v>
      </c>
      <c r="CW824" s="663">
        <f t="shared" si="306"/>
        <v>0</v>
      </c>
      <c r="CX824" s="650"/>
      <c r="CY824" s="650"/>
      <c r="CZ824" s="650"/>
      <c r="DA824" s="548"/>
      <c r="DB824" s="548"/>
      <c r="DC824" s="548"/>
      <c r="DD824" s="650"/>
      <c r="DE824" s="650"/>
      <c r="DF824" s="650"/>
      <c r="DG824" s="650"/>
      <c r="DH824" s="650"/>
    </row>
    <row r="825" s="548" customFormat="1" ht="31" customHeight="1" spans="1:112">
      <c r="A825" s="641">
        <v>45988</v>
      </c>
      <c r="B825" s="642" t="s">
        <v>6431</v>
      </c>
      <c r="C825" s="693" t="s">
        <v>98</v>
      </c>
      <c r="D825" s="551">
        <v>4500187121</v>
      </c>
      <c r="E825" s="246" t="s">
        <v>8111</v>
      </c>
      <c r="F825" s="551" t="s">
        <v>8112</v>
      </c>
      <c r="G825" s="246" t="s">
        <v>8095</v>
      </c>
      <c r="H825" s="246" t="s">
        <v>8096</v>
      </c>
      <c r="I825" s="246">
        <v>2160</v>
      </c>
      <c r="J825" s="246">
        <v>0</v>
      </c>
      <c r="K825" s="246">
        <v>720</v>
      </c>
      <c r="L825" s="644">
        <f t="shared" si="299"/>
        <v>3</v>
      </c>
      <c r="M825" s="645">
        <v>45999</v>
      </c>
      <c r="N825" s="645">
        <v>45995</v>
      </c>
      <c r="O825" s="246" t="s">
        <v>8097</v>
      </c>
      <c r="P825" s="643" t="s">
        <v>113</v>
      </c>
      <c r="Q825" s="246"/>
      <c r="R825" s="646" t="s">
        <v>6861</v>
      </c>
      <c r="S825" s="646" t="s">
        <v>70</v>
      </c>
      <c r="T825" s="646" t="s">
        <v>70</v>
      </c>
      <c r="U825" s="646"/>
      <c r="V825" s="646"/>
      <c r="W825" s="615"/>
      <c r="X825" s="642" t="s">
        <v>8098</v>
      </c>
      <c r="Y825" s="694" t="s">
        <v>1723</v>
      </c>
      <c r="Z825" s="642">
        <v>420.6933</v>
      </c>
      <c r="AA825" s="647">
        <f t="shared" si="300"/>
        <v>1262.0799</v>
      </c>
      <c r="AC825" s="648"/>
      <c r="AD825" s="642" t="s">
        <v>8095</v>
      </c>
      <c r="AE825" s="246" t="s">
        <v>82</v>
      </c>
      <c r="AF825" s="246"/>
      <c r="AG825" s="642"/>
      <c r="AH825" s="642">
        <v>1</v>
      </c>
      <c r="AI825" s="246">
        <v>2160</v>
      </c>
      <c r="AJ825" s="246"/>
      <c r="AK825" s="246"/>
      <c r="AL825" s="246"/>
      <c r="AM825" s="246"/>
      <c r="AN825" s="246">
        <f t="shared" si="307"/>
        <v>2160</v>
      </c>
      <c r="AO825" s="551"/>
      <c r="AP825" s="548"/>
      <c r="AQ825" s="548"/>
      <c r="AR825" s="680"/>
      <c r="AS825" s="548"/>
      <c r="AT825" s="548"/>
      <c r="AU825" s="554">
        <f t="shared" si="301"/>
        <v>2160</v>
      </c>
      <c r="AV825" s="551"/>
      <c r="AW825" s="650"/>
      <c r="AX825" s="548"/>
      <c r="AY825" s="548"/>
      <c r="AZ825" s="548"/>
      <c r="BA825" s="548"/>
      <c r="BB825" s="670">
        <f t="shared" si="302"/>
        <v>90</v>
      </c>
      <c r="BC825" s="671">
        <f t="shared" si="303"/>
        <v>2160</v>
      </c>
      <c r="BS825" s="554">
        <f t="shared" si="304"/>
        <v>270</v>
      </c>
      <c r="BY825" s="650"/>
      <c r="BZ825" s="548"/>
      <c r="CA825" s="652"/>
      <c r="CB825" s="567"/>
      <c r="CC825" s="653"/>
      <c r="CD825" s="650"/>
      <c r="CE825" s="650"/>
      <c r="CF825" s="548"/>
      <c r="CG825" s="548"/>
      <c r="CU825" s="554">
        <f t="shared" si="277"/>
        <v>0</v>
      </c>
      <c r="CV825" s="663">
        <f t="shared" si="305"/>
        <v>0</v>
      </c>
      <c r="CW825" s="663">
        <f t="shared" si="306"/>
        <v>0</v>
      </c>
      <c r="CX825" s="650"/>
      <c r="CY825" s="650"/>
      <c r="CZ825" s="650"/>
      <c r="DA825" s="548"/>
      <c r="DB825" s="548"/>
      <c r="DC825" s="548"/>
      <c r="DD825" s="650"/>
      <c r="DE825" s="650"/>
      <c r="DF825" s="650"/>
      <c r="DG825" s="650"/>
      <c r="DH825" s="650"/>
    </row>
    <row r="826" s="548" customFormat="1" ht="31" customHeight="1" spans="1:112">
      <c r="A826" s="641">
        <v>45988</v>
      </c>
      <c r="B826" s="642" t="s">
        <v>6431</v>
      </c>
      <c r="C826" s="693" t="s">
        <v>98</v>
      </c>
      <c r="D826" s="551">
        <v>4500187121</v>
      </c>
      <c r="E826" s="246" t="s">
        <v>8113</v>
      </c>
      <c r="F826" s="551" t="s">
        <v>8114</v>
      </c>
      <c r="G826" s="246" t="s">
        <v>8095</v>
      </c>
      <c r="H826" s="246" t="s">
        <v>8096</v>
      </c>
      <c r="I826" s="246">
        <v>5760</v>
      </c>
      <c r="J826" s="246">
        <v>0</v>
      </c>
      <c r="K826" s="246">
        <v>720</v>
      </c>
      <c r="L826" s="644">
        <f t="shared" si="299"/>
        <v>8</v>
      </c>
      <c r="M826" s="645">
        <v>45999</v>
      </c>
      <c r="N826" s="645">
        <v>45995</v>
      </c>
      <c r="O826" s="246" t="s">
        <v>8097</v>
      </c>
      <c r="P826" s="643" t="s">
        <v>113</v>
      </c>
      <c r="Q826" s="246"/>
      <c r="R826" s="646" t="s">
        <v>6861</v>
      </c>
      <c r="S826" s="646" t="s">
        <v>70</v>
      </c>
      <c r="T826" s="646" t="s">
        <v>70</v>
      </c>
      <c r="U826" s="646"/>
      <c r="V826" s="646"/>
      <c r="W826" s="615"/>
      <c r="X826" s="642" t="s">
        <v>8098</v>
      </c>
      <c r="Y826" s="694" t="s">
        <v>1723</v>
      </c>
      <c r="Z826" s="642">
        <v>420.6913</v>
      </c>
      <c r="AA826" s="647">
        <f t="shared" si="300"/>
        <v>3365.5304</v>
      </c>
      <c r="AC826" s="648"/>
      <c r="AD826" s="642" t="s">
        <v>8095</v>
      </c>
      <c r="AE826" s="246" t="s">
        <v>82</v>
      </c>
      <c r="AF826" s="246"/>
      <c r="AG826" s="642"/>
      <c r="AH826" s="642">
        <v>1</v>
      </c>
      <c r="AI826" s="246">
        <v>5760</v>
      </c>
      <c r="AJ826" s="246"/>
      <c r="AK826" s="246"/>
      <c r="AL826" s="246"/>
      <c r="AM826" s="246"/>
      <c r="AN826" s="246">
        <f t="shared" si="307"/>
        <v>5760</v>
      </c>
      <c r="AO826" s="551"/>
      <c r="AP826" s="548"/>
      <c r="AQ826" s="548"/>
      <c r="AR826" s="680"/>
      <c r="AS826" s="548"/>
      <c r="AT826" s="548"/>
      <c r="AU826" s="554">
        <f t="shared" si="301"/>
        <v>5760</v>
      </c>
      <c r="AV826" s="551"/>
      <c r="AW826" s="650"/>
      <c r="AX826" s="548"/>
      <c r="AY826" s="548"/>
      <c r="AZ826" s="548"/>
      <c r="BA826" s="548"/>
      <c r="BB826" s="670">
        <f t="shared" si="302"/>
        <v>240</v>
      </c>
      <c r="BC826" s="671">
        <f t="shared" si="303"/>
        <v>5760</v>
      </c>
      <c r="BS826" s="554">
        <f t="shared" si="304"/>
        <v>720</v>
      </c>
      <c r="BY826" s="650"/>
      <c r="BZ826" s="548"/>
      <c r="CA826" s="652"/>
      <c r="CB826" s="567"/>
      <c r="CC826" s="653"/>
      <c r="CD826" s="650"/>
      <c r="CE826" s="650"/>
      <c r="CF826" s="548"/>
      <c r="CG826" s="548"/>
      <c r="CU826" s="554">
        <f t="shared" si="277"/>
        <v>0</v>
      </c>
      <c r="CV826" s="663">
        <f t="shared" si="305"/>
        <v>0</v>
      </c>
      <c r="CW826" s="663">
        <f t="shared" si="306"/>
        <v>0</v>
      </c>
      <c r="CX826" s="650"/>
      <c r="CY826" s="650"/>
      <c r="CZ826" s="650"/>
      <c r="DA826" s="548"/>
      <c r="DB826" s="548"/>
      <c r="DC826" s="548"/>
      <c r="DD826" s="650"/>
      <c r="DE826" s="650"/>
      <c r="DF826" s="650"/>
      <c r="DG826" s="650"/>
      <c r="DH826" s="650"/>
    </row>
    <row r="827" s="548" customFormat="1" ht="31" customHeight="1" spans="1:112">
      <c r="A827" s="641">
        <v>45988</v>
      </c>
      <c r="B827" s="642" t="s">
        <v>6431</v>
      </c>
      <c r="C827" s="693" t="s">
        <v>98</v>
      </c>
      <c r="D827" s="551">
        <v>4500187121</v>
      </c>
      <c r="E827" s="246" t="s">
        <v>8115</v>
      </c>
      <c r="F827" s="551" t="s">
        <v>8116</v>
      </c>
      <c r="G827" s="246" t="s">
        <v>8095</v>
      </c>
      <c r="H827" s="246" t="s">
        <v>8096</v>
      </c>
      <c r="I827" s="246">
        <v>2880</v>
      </c>
      <c r="J827" s="246">
        <v>0</v>
      </c>
      <c r="K827" s="246">
        <v>720</v>
      </c>
      <c r="L827" s="644">
        <f t="shared" si="299"/>
        <v>4</v>
      </c>
      <c r="M827" s="645">
        <v>45999</v>
      </c>
      <c r="N827" s="645">
        <v>45995</v>
      </c>
      <c r="O827" s="246" t="s">
        <v>8097</v>
      </c>
      <c r="P827" s="643" t="s">
        <v>113</v>
      </c>
      <c r="Q827" s="246"/>
      <c r="R827" s="646" t="s">
        <v>6861</v>
      </c>
      <c r="S827" s="646" t="s">
        <v>70</v>
      </c>
      <c r="T827" s="646" t="s">
        <v>70</v>
      </c>
      <c r="U827" s="646"/>
      <c r="V827" s="646"/>
      <c r="W827" s="615"/>
      <c r="X827" s="642" t="s">
        <v>8098</v>
      </c>
      <c r="Y827" s="694" t="s">
        <v>1723</v>
      </c>
      <c r="Z827" s="642">
        <v>420.6925</v>
      </c>
      <c r="AA827" s="647">
        <f t="shared" si="300"/>
        <v>1682.77</v>
      </c>
      <c r="AC827" s="648"/>
      <c r="AD827" s="642" t="s">
        <v>8095</v>
      </c>
      <c r="AE827" s="246" t="s">
        <v>82</v>
      </c>
      <c r="AF827" s="246"/>
      <c r="AG827" s="642"/>
      <c r="AH827" s="642">
        <v>1</v>
      </c>
      <c r="AI827" s="246">
        <v>2880</v>
      </c>
      <c r="AJ827" s="246"/>
      <c r="AK827" s="246"/>
      <c r="AL827" s="246"/>
      <c r="AM827" s="246"/>
      <c r="AN827" s="246">
        <f t="shared" si="307"/>
        <v>2880</v>
      </c>
      <c r="AO827" s="551"/>
      <c r="AP827" s="548"/>
      <c r="AQ827" s="548"/>
      <c r="AR827" s="680"/>
      <c r="AS827" s="548"/>
      <c r="AT827" s="548"/>
      <c r="AU827" s="554">
        <f t="shared" si="301"/>
        <v>2880</v>
      </c>
      <c r="AV827" s="551"/>
      <c r="AW827" s="650"/>
      <c r="AX827" s="548"/>
      <c r="AY827" s="548"/>
      <c r="AZ827" s="548"/>
      <c r="BA827" s="548"/>
      <c r="BB827" s="670">
        <f t="shared" si="302"/>
        <v>120</v>
      </c>
      <c r="BC827" s="671">
        <f t="shared" si="303"/>
        <v>2880</v>
      </c>
      <c r="BS827" s="554">
        <f t="shared" si="304"/>
        <v>360</v>
      </c>
      <c r="BY827" s="650"/>
      <c r="BZ827" s="548"/>
      <c r="CA827" s="652"/>
      <c r="CB827" s="567"/>
      <c r="CC827" s="653"/>
      <c r="CD827" s="650"/>
      <c r="CE827" s="650"/>
      <c r="CF827" s="548"/>
      <c r="CG827" s="548"/>
      <c r="CU827" s="554">
        <f t="shared" si="277"/>
        <v>0</v>
      </c>
      <c r="CV827" s="663">
        <f t="shared" si="305"/>
        <v>0</v>
      </c>
      <c r="CW827" s="663">
        <f t="shared" si="306"/>
        <v>0</v>
      </c>
      <c r="CX827" s="650"/>
      <c r="CY827" s="650"/>
      <c r="CZ827" s="650"/>
      <c r="DA827" s="548"/>
      <c r="DB827" s="548"/>
      <c r="DC827" s="548"/>
      <c r="DD827" s="650"/>
      <c r="DE827" s="650"/>
      <c r="DF827" s="650"/>
      <c r="DG827" s="650"/>
      <c r="DH827" s="650"/>
    </row>
    <row r="828" s="548" customFormat="1" ht="31" customHeight="1" spans="1:112">
      <c r="A828" s="641">
        <v>45988</v>
      </c>
      <c r="B828" s="642" t="s">
        <v>6431</v>
      </c>
      <c r="C828" s="693" t="s">
        <v>98</v>
      </c>
      <c r="D828" s="551">
        <v>4500187121</v>
      </c>
      <c r="E828" s="246" t="s">
        <v>8117</v>
      </c>
      <c r="F828" s="551" t="s">
        <v>8118</v>
      </c>
      <c r="G828" s="246" t="s">
        <v>8095</v>
      </c>
      <c r="H828" s="246" t="s">
        <v>8096</v>
      </c>
      <c r="I828" s="246">
        <v>5040</v>
      </c>
      <c r="J828" s="246">
        <v>0</v>
      </c>
      <c r="K828" s="246">
        <v>720</v>
      </c>
      <c r="L828" s="644">
        <f t="shared" si="299"/>
        <v>7</v>
      </c>
      <c r="M828" s="645">
        <v>45999</v>
      </c>
      <c r="N828" s="645">
        <v>45995</v>
      </c>
      <c r="O828" s="246" t="s">
        <v>8097</v>
      </c>
      <c r="P828" s="643" t="s">
        <v>113</v>
      </c>
      <c r="Q828" s="246"/>
      <c r="R828" s="646" t="s">
        <v>6861</v>
      </c>
      <c r="S828" s="646" t="s">
        <v>70</v>
      </c>
      <c r="T828" s="646" t="s">
        <v>70</v>
      </c>
      <c r="U828" s="646"/>
      <c r="V828" s="646"/>
      <c r="W828" s="615"/>
      <c r="X828" s="642" t="s">
        <v>8098</v>
      </c>
      <c r="Y828" s="694" t="s">
        <v>1723</v>
      </c>
      <c r="Z828" s="642">
        <v>420.6914</v>
      </c>
      <c r="AA828" s="647">
        <f t="shared" si="300"/>
        <v>2944.8398</v>
      </c>
      <c r="AC828" s="648"/>
      <c r="AD828" s="642" t="s">
        <v>8095</v>
      </c>
      <c r="AE828" s="246" t="s">
        <v>82</v>
      </c>
      <c r="AF828" s="246"/>
      <c r="AG828" s="642"/>
      <c r="AH828" s="642">
        <v>1</v>
      </c>
      <c r="AI828" s="246">
        <v>5040</v>
      </c>
      <c r="AJ828" s="246"/>
      <c r="AK828" s="246"/>
      <c r="AL828" s="246"/>
      <c r="AM828" s="246"/>
      <c r="AN828" s="246">
        <f t="shared" si="307"/>
        <v>5040</v>
      </c>
      <c r="AO828" s="551"/>
      <c r="AP828" s="548"/>
      <c r="AQ828" s="548"/>
      <c r="AR828" s="680"/>
      <c r="AS828" s="548"/>
      <c r="AT828" s="548"/>
      <c r="AU828" s="554">
        <f t="shared" si="301"/>
        <v>5040</v>
      </c>
      <c r="AV828" s="551"/>
      <c r="AW828" s="650"/>
      <c r="AX828" s="548"/>
      <c r="AY828" s="548"/>
      <c r="AZ828" s="548"/>
      <c r="BA828" s="548"/>
      <c r="BB828" s="670">
        <f t="shared" si="302"/>
        <v>210</v>
      </c>
      <c r="BC828" s="671">
        <f t="shared" si="303"/>
        <v>5040</v>
      </c>
      <c r="BS828" s="554">
        <f t="shared" si="304"/>
        <v>630</v>
      </c>
      <c r="BY828" s="650"/>
      <c r="BZ828" s="548"/>
      <c r="CA828" s="652"/>
      <c r="CB828" s="567"/>
      <c r="CC828" s="653"/>
      <c r="CD828" s="650"/>
      <c r="CE828" s="650"/>
      <c r="CF828" s="548"/>
      <c r="CG828" s="548"/>
      <c r="CU828" s="554">
        <f t="shared" si="277"/>
        <v>0</v>
      </c>
      <c r="CV828" s="663">
        <f t="shared" si="305"/>
        <v>0</v>
      </c>
      <c r="CW828" s="663">
        <f t="shared" si="306"/>
        <v>0</v>
      </c>
      <c r="CX828" s="650"/>
      <c r="CY828" s="650"/>
      <c r="CZ828" s="650"/>
      <c r="DA828" s="548"/>
      <c r="DB828" s="548"/>
      <c r="DC828" s="548"/>
      <c r="DD828" s="650"/>
      <c r="DE828" s="650"/>
      <c r="DF828" s="650"/>
      <c r="DG828" s="650"/>
      <c r="DH828" s="650"/>
    </row>
    <row r="829" s="548" customFormat="1" ht="31" customHeight="1" spans="1:112">
      <c r="A829" s="641">
        <v>45988</v>
      </c>
      <c r="B829" s="642" t="s">
        <v>6431</v>
      </c>
      <c r="C829" s="693" t="s">
        <v>98</v>
      </c>
      <c r="D829" s="551">
        <v>4500187121</v>
      </c>
      <c r="E829" s="246" t="s">
        <v>8119</v>
      </c>
      <c r="F829" s="551" t="s">
        <v>8120</v>
      </c>
      <c r="G829" s="246" t="s">
        <v>8095</v>
      </c>
      <c r="H829" s="246" t="s">
        <v>8096</v>
      </c>
      <c r="I829" s="246">
        <v>2160</v>
      </c>
      <c r="J829" s="246">
        <v>0</v>
      </c>
      <c r="K829" s="246">
        <v>720</v>
      </c>
      <c r="L829" s="644">
        <f t="shared" si="299"/>
        <v>3</v>
      </c>
      <c r="M829" s="645">
        <v>45999</v>
      </c>
      <c r="N829" s="645">
        <v>45995</v>
      </c>
      <c r="O829" s="246" t="s">
        <v>8097</v>
      </c>
      <c r="P829" s="643" t="s">
        <v>113</v>
      </c>
      <c r="Q829" s="246"/>
      <c r="R829" s="646" t="s">
        <v>6861</v>
      </c>
      <c r="S829" s="646" t="s">
        <v>70</v>
      </c>
      <c r="T829" s="646" t="s">
        <v>70</v>
      </c>
      <c r="U829" s="646"/>
      <c r="V829" s="646"/>
      <c r="W829" s="615"/>
      <c r="X829" s="642" t="s">
        <v>8098</v>
      </c>
      <c r="Y829" s="694" t="s">
        <v>1723</v>
      </c>
      <c r="Z829" s="642">
        <v>420.6933</v>
      </c>
      <c r="AA829" s="647">
        <f t="shared" si="300"/>
        <v>1262.0799</v>
      </c>
      <c r="AC829" s="648"/>
      <c r="AD829" s="642" t="s">
        <v>8095</v>
      </c>
      <c r="AE829" s="246" t="s">
        <v>82</v>
      </c>
      <c r="AF829" s="246"/>
      <c r="AG829" s="642"/>
      <c r="AH829" s="642">
        <v>1</v>
      </c>
      <c r="AI829" s="246">
        <v>2160</v>
      </c>
      <c r="AJ829" s="246"/>
      <c r="AK829" s="246"/>
      <c r="AL829" s="246"/>
      <c r="AM829" s="246"/>
      <c r="AN829" s="246">
        <f t="shared" si="307"/>
        <v>2160</v>
      </c>
      <c r="AO829" s="551"/>
      <c r="AP829" s="548"/>
      <c r="AQ829" s="548"/>
      <c r="AR829" s="680"/>
      <c r="AS829" s="548"/>
      <c r="AT829" s="548"/>
      <c r="AU829" s="554">
        <f t="shared" si="301"/>
        <v>2160</v>
      </c>
      <c r="AV829" s="551"/>
      <c r="AW829" s="650"/>
      <c r="AX829" s="548"/>
      <c r="AY829" s="548"/>
      <c r="AZ829" s="548"/>
      <c r="BA829" s="548"/>
      <c r="BB829" s="670">
        <f t="shared" si="302"/>
        <v>90</v>
      </c>
      <c r="BC829" s="671">
        <f t="shared" si="303"/>
        <v>2160</v>
      </c>
      <c r="BS829" s="554">
        <f t="shared" si="304"/>
        <v>270</v>
      </c>
      <c r="BY829" s="650"/>
      <c r="BZ829" s="548"/>
      <c r="CA829" s="652"/>
      <c r="CB829" s="567"/>
      <c r="CC829" s="653"/>
      <c r="CD829" s="650"/>
      <c r="CE829" s="650"/>
      <c r="CF829" s="548"/>
      <c r="CG829" s="548"/>
      <c r="CU829" s="554">
        <f t="shared" si="277"/>
        <v>0</v>
      </c>
      <c r="CV829" s="663">
        <f t="shared" si="305"/>
        <v>0</v>
      </c>
      <c r="CW829" s="663">
        <f t="shared" si="306"/>
        <v>0</v>
      </c>
      <c r="CX829" s="650"/>
      <c r="CY829" s="650"/>
      <c r="CZ829" s="650"/>
      <c r="DA829" s="548"/>
      <c r="DB829" s="548"/>
      <c r="DC829" s="548"/>
      <c r="DD829" s="650"/>
      <c r="DE829" s="650"/>
      <c r="DF829" s="650"/>
      <c r="DG829" s="650"/>
      <c r="DH829" s="650"/>
    </row>
    <row r="830" s="548" customFormat="1" ht="31" customHeight="1" spans="1:112">
      <c r="A830" s="641">
        <v>45988</v>
      </c>
      <c r="B830" s="642" t="s">
        <v>6431</v>
      </c>
      <c r="C830" s="693" t="s">
        <v>98</v>
      </c>
      <c r="D830" s="551">
        <v>4500187121</v>
      </c>
      <c r="E830" s="246" t="s">
        <v>8121</v>
      </c>
      <c r="F830" s="551" t="s">
        <v>8122</v>
      </c>
      <c r="G830" s="246" t="s">
        <v>8095</v>
      </c>
      <c r="H830" s="246" t="s">
        <v>8096</v>
      </c>
      <c r="I830" s="246">
        <v>5760</v>
      </c>
      <c r="J830" s="246">
        <v>0</v>
      </c>
      <c r="K830" s="246">
        <v>720</v>
      </c>
      <c r="L830" s="644">
        <f t="shared" si="299"/>
        <v>8</v>
      </c>
      <c r="M830" s="645">
        <v>45999</v>
      </c>
      <c r="N830" s="645">
        <v>45995</v>
      </c>
      <c r="O830" s="246" t="s">
        <v>8097</v>
      </c>
      <c r="P830" s="643" t="s">
        <v>113</v>
      </c>
      <c r="Q830" s="246"/>
      <c r="R830" s="646" t="s">
        <v>6861</v>
      </c>
      <c r="S830" s="646" t="s">
        <v>70</v>
      </c>
      <c r="T830" s="646" t="s">
        <v>70</v>
      </c>
      <c r="U830" s="646"/>
      <c r="V830" s="646"/>
      <c r="W830" s="615"/>
      <c r="X830" s="642" t="s">
        <v>8098</v>
      </c>
      <c r="Y830" s="694" t="s">
        <v>1723</v>
      </c>
      <c r="Z830" s="642">
        <v>420.6913</v>
      </c>
      <c r="AA830" s="647">
        <f t="shared" si="300"/>
        <v>3365.5304</v>
      </c>
      <c r="AC830" s="648"/>
      <c r="AD830" s="642" t="s">
        <v>8095</v>
      </c>
      <c r="AE830" s="246" t="s">
        <v>82</v>
      </c>
      <c r="AF830" s="246"/>
      <c r="AG830" s="642"/>
      <c r="AH830" s="642">
        <v>1</v>
      </c>
      <c r="AI830" s="246">
        <v>5760</v>
      </c>
      <c r="AJ830" s="246"/>
      <c r="AK830" s="246"/>
      <c r="AL830" s="246"/>
      <c r="AM830" s="246"/>
      <c r="AN830" s="246">
        <f t="shared" si="307"/>
        <v>5760</v>
      </c>
      <c r="AO830" s="551"/>
      <c r="AP830" s="548"/>
      <c r="AQ830" s="548"/>
      <c r="AR830" s="680"/>
      <c r="AS830" s="548"/>
      <c r="AT830" s="548"/>
      <c r="AU830" s="554">
        <f t="shared" si="301"/>
        <v>5760</v>
      </c>
      <c r="AV830" s="551"/>
      <c r="AW830" s="650"/>
      <c r="AX830" s="548"/>
      <c r="AY830" s="548"/>
      <c r="AZ830" s="548"/>
      <c r="BA830" s="548"/>
      <c r="BB830" s="670">
        <f t="shared" si="302"/>
        <v>240</v>
      </c>
      <c r="BC830" s="671">
        <f t="shared" si="303"/>
        <v>5760</v>
      </c>
      <c r="BS830" s="554">
        <f t="shared" si="304"/>
        <v>720</v>
      </c>
      <c r="BY830" s="650"/>
      <c r="BZ830" s="548"/>
      <c r="CA830" s="652"/>
      <c r="CB830" s="567"/>
      <c r="CC830" s="653"/>
      <c r="CD830" s="650"/>
      <c r="CE830" s="650"/>
      <c r="CF830" s="548"/>
      <c r="CG830" s="548"/>
      <c r="CU830" s="554">
        <f t="shared" si="277"/>
        <v>0</v>
      </c>
      <c r="CV830" s="663">
        <f t="shared" si="305"/>
        <v>0</v>
      </c>
      <c r="CW830" s="663">
        <f t="shared" si="306"/>
        <v>0</v>
      </c>
      <c r="CX830" s="650"/>
      <c r="CY830" s="650"/>
      <c r="CZ830" s="650"/>
      <c r="DA830" s="548"/>
      <c r="DB830" s="548"/>
      <c r="DC830" s="548"/>
      <c r="DD830" s="650"/>
      <c r="DE830" s="650"/>
      <c r="DF830" s="650"/>
      <c r="DG830" s="650"/>
      <c r="DH830" s="650"/>
    </row>
    <row r="831" s="548" customFormat="1" ht="31" customHeight="1" spans="1:112">
      <c r="A831" s="641">
        <v>45988</v>
      </c>
      <c r="B831" s="642" t="s">
        <v>6431</v>
      </c>
      <c r="C831" s="693" t="s">
        <v>98</v>
      </c>
      <c r="D831" s="551">
        <v>4500187121</v>
      </c>
      <c r="E831" s="246" t="s">
        <v>8123</v>
      </c>
      <c r="F831" s="551" t="s">
        <v>8124</v>
      </c>
      <c r="G831" s="246" t="s">
        <v>8095</v>
      </c>
      <c r="H831" s="246" t="s">
        <v>8096</v>
      </c>
      <c r="I831" s="246">
        <v>5760</v>
      </c>
      <c r="J831" s="246">
        <v>0</v>
      </c>
      <c r="K831" s="246">
        <v>720</v>
      </c>
      <c r="L831" s="644">
        <f t="shared" si="299"/>
        <v>8</v>
      </c>
      <c r="M831" s="645">
        <v>45999</v>
      </c>
      <c r="N831" s="645">
        <v>45995</v>
      </c>
      <c r="O831" s="246" t="s">
        <v>8097</v>
      </c>
      <c r="P831" s="643" t="s">
        <v>113</v>
      </c>
      <c r="Q831" s="246"/>
      <c r="R831" s="646" t="s">
        <v>6861</v>
      </c>
      <c r="S831" s="646" t="s">
        <v>70</v>
      </c>
      <c r="T831" s="646" t="s">
        <v>70</v>
      </c>
      <c r="U831" s="646"/>
      <c r="V831" s="646"/>
      <c r="W831" s="615"/>
      <c r="X831" s="642" t="s">
        <v>8098</v>
      </c>
      <c r="Y831" s="694" t="s">
        <v>1723</v>
      </c>
      <c r="Z831" s="642">
        <v>420.6913</v>
      </c>
      <c r="AA831" s="647">
        <f t="shared" si="300"/>
        <v>3365.5304</v>
      </c>
      <c r="AC831" s="648"/>
      <c r="AD831" s="642" t="s">
        <v>8095</v>
      </c>
      <c r="AE831" s="246" t="s">
        <v>82</v>
      </c>
      <c r="AF831" s="246"/>
      <c r="AG831" s="642"/>
      <c r="AH831" s="642">
        <v>1</v>
      </c>
      <c r="AI831" s="246">
        <v>5760</v>
      </c>
      <c r="AJ831" s="246"/>
      <c r="AK831" s="246"/>
      <c r="AL831" s="246"/>
      <c r="AM831" s="246"/>
      <c r="AN831" s="246">
        <f t="shared" si="307"/>
        <v>5760</v>
      </c>
      <c r="AO831" s="551"/>
      <c r="AP831" s="548"/>
      <c r="AQ831" s="548"/>
      <c r="AR831" s="680"/>
      <c r="AS831" s="548"/>
      <c r="AT831" s="548"/>
      <c r="AU831" s="554">
        <f t="shared" si="301"/>
        <v>5760</v>
      </c>
      <c r="AV831" s="551"/>
      <c r="AW831" s="650"/>
      <c r="AX831" s="548"/>
      <c r="AY831" s="548"/>
      <c r="AZ831" s="548"/>
      <c r="BA831" s="548"/>
      <c r="BB831" s="670">
        <f t="shared" si="302"/>
        <v>240</v>
      </c>
      <c r="BC831" s="671">
        <f t="shared" si="303"/>
        <v>5760</v>
      </c>
      <c r="BS831" s="554">
        <f t="shared" si="304"/>
        <v>720</v>
      </c>
      <c r="BY831" s="650"/>
      <c r="BZ831" s="548"/>
      <c r="CA831" s="652"/>
      <c r="CB831" s="567"/>
      <c r="CC831" s="653"/>
      <c r="CD831" s="650"/>
      <c r="CE831" s="650"/>
      <c r="CF831" s="548"/>
      <c r="CG831" s="548"/>
      <c r="CU831" s="554">
        <f t="shared" si="277"/>
        <v>0</v>
      </c>
      <c r="CV831" s="663">
        <f t="shared" si="305"/>
        <v>0</v>
      </c>
      <c r="CW831" s="663">
        <f t="shared" si="306"/>
        <v>0</v>
      </c>
      <c r="CX831" s="650"/>
      <c r="CY831" s="650"/>
      <c r="CZ831" s="650"/>
      <c r="DA831" s="548"/>
      <c r="DB831" s="548"/>
      <c r="DC831" s="548"/>
      <c r="DD831" s="650"/>
      <c r="DE831" s="650"/>
      <c r="DF831" s="650"/>
      <c r="DG831" s="650"/>
      <c r="DH831" s="650"/>
    </row>
    <row r="832" s="548" customFormat="1" ht="31" customHeight="1" spans="1:112">
      <c r="A832" s="641">
        <v>45988</v>
      </c>
      <c r="B832" s="642" t="s">
        <v>6431</v>
      </c>
      <c r="C832" s="693" t="s">
        <v>98</v>
      </c>
      <c r="D832" s="551">
        <v>4500187121</v>
      </c>
      <c r="E832" s="246" t="s">
        <v>8125</v>
      </c>
      <c r="F832" s="551" t="s">
        <v>8126</v>
      </c>
      <c r="G832" s="246" t="s">
        <v>8095</v>
      </c>
      <c r="H832" s="246" t="s">
        <v>8096</v>
      </c>
      <c r="I832" s="246">
        <v>5760</v>
      </c>
      <c r="J832" s="246">
        <v>0</v>
      </c>
      <c r="K832" s="246">
        <v>720</v>
      </c>
      <c r="L832" s="644">
        <f t="shared" si="299"/>
        <v>8</v>
      </c>
      <c r="M832" s="645">
        <v>45999</v>
      </c>
      <c r="N832" s="645">
        <v>45995</v>
      </c>
      <c r="O832" s="246" t="s">
        <v>8097</v>
      </c>
      <c r="P832" s="643" t="s">
        <v>113</v>
      </c>
      <c r="Q832" s="246"/>
      <c r="R832" s="646" t="s">
        <v>6861</v>
      </c>
      <c r="S832" s="646" t="s">
        <v>70</v>
      </c>
      <c r="T832" s="646" t="s">
        <v>70</v>
      </c>
      <c r="U832" s="646"/>
      <c r="V832" s="646"/>
      <c r="W832" s="615"/>
      <c r="X832" s="642" t="s">
        <v>8098</v>
      </c>
      <c r="Y832" s="694" t="s">
        <v>1723</v>
      </c>
      <c r="Z832" s="642">
        <v>420.6913</v>
      </c>
      <c r="AA832" s="647">
        <f t="shared" si="300"/>
        <v>3365.5304</v>
      </c>
      <c r="AC832" s="648"/>
      <c r="AD832" s="642" t="s">
        <v>8095</v>
      </c>
      <c r="AE832" s="246" t="s">
        <v>82</v>
      </c>
      <c r="AF832" s="246"/>
      <c r="AG832" s="642"/>
      <c r="AH832" s="642">
        <v>1</v>
      </c>
      <c r="AI832" s="246">
        <v>5760</v>
      </c>
      <c r="AJ832" s="246"/>
      <c r="AK832" s="246"/>
      <c r="AL832" s="246"/>
      <c r="AM832" s="246"/>
      <c r="AN832" s="246">
        <f t="shared" si="307"/>
        <v>5760</v>
      </c>
      <c r="AO832" s="551"/>
      <c r="AP832" s="548"/>
      <c r="AQ832" s="548"/>
      <c r="AR832" s="680"/>
      <c r="AS832" s="548"/>
      <c r="AT832" s="548"/>
      <c r="AU832" s="554">
        <f t="shared" si="301"/>
        <v>5760</v>
      </c>
      <c r="AV832" s="551"/>
      <c r="AW832" s="650"/>
      <c r="AX832" s="548"/>
      <c r="AY832" s="548"/>
      <c r="AZ832" s="548"/>
      <c r="BA832" s="548"/>
      <c r="BB832" s="670">
        <f t="shared" si="302"/>
        <v>240</v>
      </c>
      <c r="BC832" s="671">
        <f t="shared" si="303"/>
        <v>5760</v>
      </c>
      <c r="BS832" s="554">
        <f t="shared" si="304"/>
        <v>720</v>
      </c>
      <c r="BY832" s="650"/>
      <c r="BZ832" s="548"/>
      <c r="CA832" s="652"/>
      <c r="CB832" s="567"/>
      <c r="CC832" s="653"/>
      <c r="CD832" s="650"/>
      <c r="CE832" s="650"/>
      <c r="CF832" s="548"/>
      <c r="CG832" s="548"/>
      <c r="CU832" s="554">
        <f t="shared" si="277"/>
        <v>0</v>
      </c>
      <c r="CV832" s="663">
        <f t="shared" si="305"/>
        <v>0</v>
      </c>
      <c r="CW832" s="663">
        <f t="shared" si="306"/>
        <v>0</v>
      </c>
      <c r="CX832" s="650"/>
      <c r="CY832" s="650"/>
      <c r="CZ832" s="650"/>
      <c r="DA832" s="548"/>
      <c r="DB832" s="548"/>
      <c r="DC832" s="548"/>
      <c r="DD832" s="650"/>
      <c r="DE832" s="650"/>
      <c r="DF832" s="650"/>
      <c r="DG832" s="650"/>
      <c r="DH832" s="650"/>
    </row>
    <row r="833" s="548" customFormat="1" ht="31" customHeight="1" spans="1:112">
      <c r="A833" s="641">
        <v>45988</v>
      </c>
      <c r="B833" s="642" t="s">
        <v>6431</v>
      </c>
      <c r="C833" s="693" t="s">
        <v>98</v>
      </c>
      <c r="D833" s="551">
        <v>4500187121</v>
      </c>
      <c r="E833" s="246" t="s">
        <v>8127</v>
      </c>
      <c r="F833" s="551" t="s">
        <v>8128</v>
      </c>
      <c r="G833" s="246" t="s">
        <v>8095</v>
      </c>
      <c r="H833" s="246" t="s">
        <v>8096</v>
      </c>
      <c r="I833" s="246">
        <v>3600</v>
      </c>
      <c r="J833" s="246">
        <v>0</v>
      </c>
      <c r="K833" s="246">
        <v>720</v>
      </c>
      <c r="L833" s="644">
        <f t="shared" si="299"/>
        <v>5</v>
      </c>
      <c r="M833" s="645">
        <v>45999</v>
      </c>
      <c r="N833" s="645">
        <v>45995</v>
      </c>
      <c r="O833" s="246" t="s">
        <v>8097</v>
      </c>
      <c r="P833" s="643" t="s">
        <v>113</v>
      </c>
      <c r="Q833" s="246"/>
      <c r="R833" s="646" t="s">
        <v>6861</v>
      </c>
      <c r="S833" s="646" t="s">
        <v>70</v>
      </c>
      <c r="T833" s="646" t="s">
        <v>70</v>
      </c>
      <c r="U833" s="646"/>
      <c r="V833" s="646"/>
      <c r="W833" s="615"/>
      <c r="X833" s="642" t="s">
        <v>8098</v>
      </c>
      <c r="Y833" s="694" t="s">
        <v>1723</v>
      </c>
      <c r="Z833" s="655">
        <v>420.692</v>
      </c>
      <c r="AA833" s="647">
        <f t="shared" si="300"/>
        <v>2103.46</v>
      </c>
      <c r="AC833" s="648"/>
      <c r="AD833" s="642" t="s">
        <v>8095</v>
      </c>
      <c r="AE833" s="246" t="s">
        <v>82</v>
      </c>
      <c r="AF833" s="246"/>
      <c r="AG833" s="642"/>
      <c r="AH833" s="642">
        <v>1</v>
      </c>
      <c r="AI833" s="246">
        <v>3600</v>
      </c>
      <c r="AJ833" s="246"/>
      <c r="AK833" s="246"/>
      <c r="AL833" s="246"/>
      <c r="AM833" s="246"/>
      <c r="AN833" s="246">
        <f t="shared" si="307"/>
        <v>3600</v>
      </c>
      <c r="AO833" s="551"/>
      <c r="AP833" s="548"/>
      <c r="AQ833" s="548"/>
      <c r="AR833" s="680"/>
      <c r="AS833" s="548"/>
      <c r="AT833" s="548"/>
      <c r="AU833" s="554">
        <f t="shared" si="301"/>
        <v>3600</v>
      </c>
      <c r="AV833" s="551"/>
      <c r="AW833" s="650"/>
      <c r="AX833" s="548"/>
      <c r="AY833" s="548"/>
      <c r="AZ833" s="548"/>
      <c r="BA833" s="548"/>
      <c r="BB833" s="670">
        <f t="shared" si="302"/>
        <v>150</v>
      </c>
      <c r="BC833" s="671">
        <f t="shared" si="303"/>
        <v>3600</v>
      </c>
      <c r="BS833" s="554">
        <f t="shared" si="304"/>
        <v>450</v>
      </c>
      <c r="BY833" s="650"/>
      <c r="BZ833" s="548"/>
      <c r="CA833" s="652"/>
      <c r="CB833" s="567"/>
      <c r="CC833" s="653"/>
      <c r="CD833" s="650"/>
      <c r="CE833" s="650"/>
      <c r="CF833" s="548"/>
      <c r="CG833" s="548"/>
      <c r="CU833" s="554">
        <f t="shared" si="277"/>
        <v>0</v>
      </c>
      <c r="CV833" s="663">
        <f t="shared" si="305"/>
        <v>0</v>
      </c>
      <c r="CW833" s="663">
        <f t="shared" si="306"/>
        <v>0</v>
      </c>
      <c r="CX833" s="650"/>
      <c r="CY833" s="650"/>
      <c r="CZ833" s="650"/>
      <c r="DA833" s="548"/>
      <c r="DB833" s="548"/>
      <c r="DC833" s="548"/>
      <c r="DD833" s="650"/>
      <c r="DE833" s="650"/>
      <c r="DF833" s="650"/>
      <c r="DG833" s="650"/>
      <c r="DH833" s="650"/>
    </row>
    <row r="834" s="548" customFormat="1" ht="31" customHeight="1" spans="1:112">
      <c r="A834" s="641">
        <v>45988</v>
      </c>
      <c r="B834" s="642" t="s">
        <v>6431</v>
      </c>
      <c r="C834" s="693" t="s">
        <v>98</v>
      </c>
      <c r="D834" s="551">
        <v>4500187121</v>
      </c>
      <c r="E834" s="246" t="s">
        <v>8129</v>
      </c>
      <c r="F834" s="551" t="s">
        <v>8130</v>
      </c>
      <c r="G834" s="246" t="s">
        <v>8095</v>
      </c>
      <c r="H834" s="246" t="s">
        <v>8096</v>
      </c>
      <c r="I834" s="246">
        <v>5040</v>
      </c>
      <c r="J834" s="246">
        <v>0</v>
      </c>
      <c r="K834" s="246">
        <v>720</v>
      </c>
      <c r="L834" s="644">
        <f t="shared" si="299"/>
        <v>7</v>
      </c>
      <c r="M834" s="645">
        <v>45999</v>
      </c>
      <c r="N834" s="645">
        <v>45995</v>
      </c>
      <c r="O834" s="246" t="s">
        <v>8097</v>
      </c>
      <c r="P834" s="643" t="s">
        <v>113</v>
      </c>
      <c r="Q834" s="246"/>
      <c r="R834" s="646" t="s">
        <v>6861</v>
      </c>
      <c r="S834" s="646" t="s">
        <v>70</v>
      </c>
      <c r="T834" s="646" t="s">
        <v>70</v>
      </c>
      <c r="U834" s="646"/>
      <c r="V834" s="646"/>
      <c r="W834" s="615"/>
      <c r="X834" s="642" t="s">
        <v>8098</v>
      </c>
      <c r="Y834" s="694" t="s">
        <v>1723</v>
      </c>
      <c r="Z834" s="642">
        <v>420.6914</v>
      </c>
      <c r="AA834" s="647">
        <f t="shared" si="300"/>
        <v>2944.8398</v>
      </c>
      <c r="AC834" s="648"/>
      <c r="AD834" s="642" t="s">
        <v>8095</v>
      </c>
      <c r="AE834" s="246" t="s">
        <v>82</v>
      </c>
      <c r="AF834" s="246"/>
      <c r="AG834" s="642"/>
      <c r="AH834" s="642">
        <v>1</v>
      </c>
      <c r="AI834" s="246">
        <v>5040</v>
      </c>
      <c r="AJ834" s="246"/>
      <c r="AK834" s="246"/>
      <c r="AL834" s="246"/>
      <c r="AM834" s="246"/>
      <c r="AN834" s="246">
        <f t="shared" si="307"/>
        <v>5040</v>
      </c>
      <c r="AO834" s="551"/>
      <c r="AP834" s="548"/>
      <c r="AQ834" s="548"/>
      <c r="AR834" s="680"/>
      <c r="AS834" s="548"/>
      <c r="AT834" s="548"/>
      <c r="AU834" s="554">
        <f t="shared" si="301"/>
        <v>5040</v>
      </c>
      <c r="AV834" s="551"/>
      <c r="AW834" s="650"/>
      <c r="AX834" s="548"/>
      <c r="AY834" s="548"/>
      <c r="AZ834" s="548"/>
      <c r="BA834" s="548"/>
      <c r="BB834" s="670">
        <f t="shared" si="302"/>
        <v>210</v>
      </c>
      <c r="BC834" s="671">
        <f t="shared" si="303"/>
        <v>5040</v>
      </c>
      <c r="BS834" s="554">
        <f t="shared" si="304"/>
        <v>630</v>
      </c>
      <c r="BY834" s="650"/>
      <c r="BZ834" s="548"/>
      <c r="CA834" s="652"/>
      <c r="CB834" s="567"/>
      <c r="CC834" s="653"/>
      <c r="CD834" s="650"/>
      <c r="CE834" s="650"/>
      <c r="CF834" s="548"/>
      <c r="CG834" s="548"/>
      <c r="CU834" s="554">
        <f t="shared" si="277"/>
        <v>0</v>
      </c>
      <c r="CV834" s="663">
        <f t="shared" si="305"/>
        <v>0</v>
      </c>
      <c r="CW834" s="663">
        <f t="shared" si="306"/>
        <v>0</v>
      </c>
      <c r="CX834" s="650"/>
      <c r="CY834" s="650"/>
      <c r="CZ834" s="650"/>
      <c r="DA834" s="548"/>
      <c r="DB834" s="548"/>
      <c r="DC834" s="548"/>
      <c r="DD834" s="650"/>
      <c r="DE834" s="650"/>
      <c r="DF834" s="650"/>
      <c r="DG834" s="650"/>
      <c r="DH834" s="650"/>
    </row>
    <row r="835" s="548" customFormat="1" ht="31" customHeight="1" spans="1:112">
      <c r="A835" s="641">
        <v>45988</v>
      </c>
      <c r="B835" s="642" t="s">
        <v>6431</v>
      </c>
      <c r="C835" s="693" t="s">
        <v>98</v>
      </c>
      <c r="D835" s="551">
        <v>4500187121</v>
      </c>
      <c r="E835" s="246" t="s">
        <v>8131</v>
      </c>
      <c r="F835" s="551" t="s">
        <v>8132</v>
      </c>
      <c r="G835" s="246" t="s">
        <v>8095</v>
      </c>
      <c r="H835" s="246" t="s">
        <v>8096</v>
      </c>
      <c r="I835" s="246">
        <v>4320</v>
      </c>
      <c r="J835" s="246">
        <v>0</v>
      </c>
      <c r="K835" s="246">
        <v>720</v>
      </c>
      <c r="L835" s="644">
        <f t="shared" si="299"/>
        <v>6</v>
      </c>
      <c r="M835" s="645">
        <v>45999</v>
      </c>
      <c r="N835" s="645">
        <v>45995</v>
      </c>
      <c r="O835" s="246" t="s">
        <v>8097</v>
      </c>
      <c r="P835" s="643" t="s">
        <v>113</v>
      </c>
      <c r="Q835" s="246"/>
      <c r="R835" s="646" t="s">
        <v>6861</v>
      </c>
      <c r="S835" s="646" t="s">
        <v>70</v>
      </c>
      <c r="T835" s="646" t="s">
        <v>70</v>
      </c>
      <c r="U835" s="646"/>
      <c r="V835" s="646"/>
      <c r="W835" s="615"/>
      <c r="X835" s="642" t="s">
        <v>8098</v>
      </c>
      <c r="Y835" s="694" t="s">
        <v>1723</v>
      </c>
      <c r="Z835" s="642">
        <v>420.6917</v>
      </c>
      <c r="AA835" s="647">
        <f t="shared" si="300"/>
        <v>2524.1502</v>
      </c>
      <c r="AC835" s="648"/>
      <c r="AD835" s="642" t="s">
        <v>8095</v>
      </c>
      <c r="AE835" s="246" t="s">
        <v>82</v>
      </c>
      <c r="AF835" s="246"/>
      <c r="AG835" s="642"/>
      <c r="AH835" s="642">
        <v>1</v>
      </c>
      <c r="AI835" s="246">
        <v>4320</v>
      </c>
      <c r="AJ835" s="246"/>
      <c r="AK835" s="246"/>
      <c r="AL835" s="246"/>
      <c r="AM835" s="246"/>
      <c r="AN835" s="246">
        <f t="shared" si="307"/>
        <v>4320</v>
      </c>
      <c r="AO835" s="551"/>
      <c r="AP835" s="548"/>
      <c r="AQ835" s="548"/>
      <c r="AR835" s="680"/>
      <c r="AS835" s="548"/>
      <c r="AT835" s="548"/>
      <c r="AU835" s="554">
        <f t="shared" si="301"/>
        <v>4320</v>
      </c>
      <c r="AV835" s="551"/>
      <c r="AW835" s="650"/>
      <c r="AX835" s="548"/>
      <c r="AY835" s="548"/>
      <c r="AZ835" s="548"/>
      <c r="BA835" s="548"/>
      <c r="BB835" s="670">
        <f t="shared" si="302"/>
        <v>180</v>
      </c>
      <c r="BC835" s="671">
        <f t="shared" si="303"/>
        <v>4320</v>
      </c>
      <c r="BS835" s="554">
        <f t="shared" si="304"/>
        <v>540</v>
      </c>
      <c r="BY835" s="650"/>
      <c r="BZ835" s="548"/>
      <c r="CA835" s="652"/>
      <c r="CB835" s="567"/>
      <c r="CC835" s="653"/>
      <c r="CD835" s="650"/>
      <c r="CE835" s="650"/>
      <c r="CF835" s="548"/>
      <c r="CG835" s="548"/>
      <c r="CU835" s="554">
        <f t="shared" ref="CU835:CU899" si="308">BQ835+BP835+BO835+BN835+BX835+BR835</f>
        <v>0</v>
      </c>
      <c r="CV835" s="663">
        <f t="shared" si="305"/>
        <v>0</v>
      </c>
      <c r="CW835" s="663">
        <f t="shared" si="306"/>
        <v>0</v>
      </c>
      <c r="CX835" s="650"/>
      <c r="CY835" s="650"/>
      <c r="CZ835" s="650"/>
      <c r="DA835" s="548"/>
      <c r="DB835" s="548"/>
      <c r="DC835" s="548"/>
      <c r="DD835" s="650"/>
      <c r="DE835" s="650"/>
      <c r="DF835" s="650"/>
      <c r="DG835" s="650"/>
      <c r="DH835" s="650"/>
    </row>
    <row r="836" s="548" customFormat="1" ht="31" customHeight="1" spans="1:112">
      <c r="A836" s="641">
        <v>45988</v>
      </c>
      <c r="B836" s="642" t="s">
        <v>6431</v>
      </c>
      <c r="C836" s="693" t="s">
        <v>98</v>
      </c>
      <c r="D836" s="551">
        <v>4500187121</v>
      </c>
      <c r="E836" s="246" t="s">
        <v>8133</v>
      </c>
      <c r="F836" s="551" t="s">
        <v>8134</v>
      </c>
      <c r="G836" s="246" t="s">
        <v>8095</v>
      </c>
      <c r="H836" s="246" t="s">
        <v>8096</v>
      </c>
      <c r="I836" s="246">
        <v>3600</v>
      </c>
      <c r="J836" s="246">
        <v>0</v>
      </c>
      <c r="K836" s="246">
        <v>720</v>
      </c>
      <c r="L836" s="644">
        <f t="shared" si="299"/>
        <v>5</v>
      </c>
      <c r="M836" s="645">
        <v>45999</v>
      </c>
      <c r="N836" s="645">
        <v>45995</v>
      </c>
      <c r="O836" s="246" t="s">
        <v>8097</v>
      </c>
      <c r="P836" s="643" t="s">
        <v>113</v>
      </c>
      <c r="Q836" s="246"/>
      <c r="R836" s="646" t="s">
        <v>6861</v>
      </c>
      <c r="S836" s="646" t="s">
        <v>70</v>
      </c>
      <c r="T836" s="646" t="s">
        <v>70</v>
      </c>
      <c r="U836" s="646"/>
      <c r="V836" s="646"/>
      <c r="W836" s="615"/>
      <c r="X836" s="642" t="s">
        <v>8098</v>
      </c>
      <c r="Y836" s="694" t="s">
        <v>1723</v>
      </c>
      <c r="Z836" s="655">
        <v>420.692</v>
      </c>
      <c r="AA836" s="647">
        <f t="shared" si="300"/>
        <v>2103.46</v>
      </c>
      <c r="AC836" s="648"/>
      <c r="AD836" s="642" t="s">
        <v>8095</v>
      </c>
      <c r="AE836" s="246" t="s">
        <v>82</v>
      </c>
      <c r="AF836" s="246"/>
      <c r="AG836" s="642"/>
      <c r="AH836" s="642">
        <v>1</v>
      </c>
      <c r="AI836" s="246">
        <v>3600</v>
      </c>
      <c r="AJ836" s="246"/>
      <c r="AK836" s="246"/>
      <c r="AL836" s="246"/>
      <c r="AM836" s="246"/>
      <c r="AN836" s="246">
        <f t="shared" si="307"/>
        <v>3600</v>
      </c>
      <c r="AO836" s="551"/>
      <c r="AP836" s="548"/>
      <c r="AQ836" s="548"/>
      <c r="AR836" s="680"/>
      <c r="AS836" s="548"/>
      <c r="AT836" s="548"/>
      <c r="AU836" s="554">
        <f t="shared" si="301"/>
        <v>3600</v>
      </c>
      <c r="AV836" s="551"/>
      <c r="AW836" s="650"/>
      <c r="AX836" s="548"/>
      <c r="AY836" s="548"/>
      <c r="AZ836" s="548"/>
      <c r="BA836" s="548"/>
      <c r="BB836" s="670">
        <f t="shared" si="302"/>
        <v>150</v>
      </c>
      <c r="BC836" s="671">
        <f t="shared" si="303"/>
        <v>3600</v>
      </c>
      <c r="BS836" s="554">
        <f t="shared" si="304"/>
        <v>450</v>
      </c>
      <c r="BY836" s="650"/>
      <c r="BZ836" s="548"/>
      <c r="CA836" s="652"/>
      <c r="CB836" s="567"/>
      <c r="CC836" s="653"/>
      <c r="CD836" s="650"/>
      <c r="CE836" s="650"/>
      <c r="CF836" s="548"/>
      <c r="CG836" s="548"/>
      <c r="CU836" s="554">
        <f t="shared" si="308"/>
        <v>0</v>
      </c>
      <c r="CV836" s="663">
        <f t="shared" si="305"/>
        <v>0</v>
      </c>
      <c r="CW836" s="663">
        <f t="shared" si="306"/>
        <v>0</v>
      </c>
      <c r="CX836" s="650"/>
      <c r="CY836" s="650"/>
      <c r="CZ836" s="650"/>
      <c r="DA836" s="548"/>
      <c r="DB836" s="548"/>
      <c r="DC836" s="548"/>
      <c r="DD836" s="650"/>
      <c r="DE836" s="650"/>
      <c r="DF836" s="650"/>
      <c r="DG836" s="650"/>
      <c r="DH836" s="650"/>
    </row>
    <row r="837" s="548" customFormat="1" ht="31" customHeight="1" spans="1:112">
      <c r="A837" s="641">
        <v>45988</v>
      </c>
      <c r="B837" s="642" t="s">
        <v>6431</v>
      </c>
      <c r="C837" s="693" t="s">
        <v>98</v>
      </c>
      <c r="D837" s="551">
        <v>4500187121</v>
      </c>
      <c r="E837" s="246" t="s">
        <v>8135</v>
      </c>
      <c r="F837" s="551" t="s">
        <v>8136</v>
      </c>
      <c r="G837" s="246" t="s">
        <v>8095</v>
      </c>
      <c r="H837" s="246" t="s">
        <v>8096</v>
      </c>
      <c r="I837" s="246">
        <v>5760</v>
      </c>
      <c r="J837" s="246">
        <v>0</v>
      </c>
      <c r="K837" s="246">
        <v>720</v>
      </c>
      <c r="L837" s="644">
        <f t="shared" si="299"/>
        <v>8</v>
      </c>
      <c r="M837" s="645">
        <v>45999</v>
      </c>
      <c r="N837" s="645">
        <v>45995</v>
      </c>
      <c r="O837" s="246" t="s">
        <v>8097</v>
      </c>
      <c r="P837" s="643" t="s">
        <v>113</v>
      </c>
      <c r="Q837" s="246"/>
      <c r="R837" s="646" t="s">
        <v>6861</v>
      </c>
      <c r="S837" s="646" t="s">
        <v>70</v>
      </c>
      <c r="T837" s="646" t="s">
        <v>70</v>
      </c>
      <c r="U837" s="646"/>
      <c r="V837" s="646"/>
      <c r="W837" s="615"/>
      <c r="X837" s="642" t="s">
        <v>8098</v>
      </c>
      <c r="Y837" s="694" t="s">
        <v>1723</v>
      </c>
      <c r="Z837" s="642">
        <v>420.6913</v>
      </c>
      <c r="AA837" s="647">
        <f t="shared" si="300"/>
        <v>3365.5304</v>
      </c>
      <c r="AC837" s="648"/>
      <c r="AD837" s="642" t="s">
        <v>8095</v>
      </c>
      <c r="AE837" s="246" t="s">
        <v>82</v>
      </c>
      <c r="AF837" s="246"/>
      <c r="AG837" s="642"/>
      <c r="AH837" s="642">
        <v>1</v>
      </c>
      <c r="AI837" s="246">
        <v>5760</v>
      </c>
      <c r="AJ837" s="246"/>
      <c r="AK837" s="246"/>
      <c r="AL837" s="246"/>
      <c r="AM837" s="246"/>
      <c r="AN837" s="246">
        <f t="shared" si="307"/>
        <v>5760</v>
      </c>
      <c r="AO837" s="551"/>
      <c r="AP837" s="548"/>
      <c r="AQ837" s="548"/>
      <c r="AR837" s="680"/>
      <c r="AS837" s="548"/>
      <c r="AT837" s="548"/>
      <c r="AU837" s="554">
        <f t="shared" si="301"/>
        <v>5760</v>
      </c>
      <c r="AV837" s="551"/>
      <c r="AW837" s="650"/>
      <c r="AX837" s="548"/>
      <c r="AY837" s="548"/>
      <c r="AZ837" s="548"/>
      <c r="BA837" s="548"/>
      <c r="BB837" s="670">
        <f t="shared" si="302"/>
        <v>240</v>
      </c>
      <c r="BC837" s="671">
        <f t="shared" si="303"/>
        <v>5760</v>
      </c>
      <c r="BS837" s="554">
        <f t="shared" si="304"/>
        <v>720</v>
      </c>
      <c r="BY837" s="650"/>
      <c r="BZ837" s="548"/>
      <c r="CA837" s="652"/>
      <c r="CB837" s="567"/>
      <c r="CC837" s="653"/>
      <c r="CD837" s="650"/>
      <c r="CE837" s="650"/>
      <c r="CF837" s="548"/>
      <c r="CG837" s="548"/>
      <c r="CU837" s="554">
        <f t="shared" si="308"/>
        <v>0</v>
      </c>
      <c r="CV837" s="663">
        <f t="shared" si="305"/>
        <v>0</v>
      </c>
      <c r="CW837" s="663">
        <f t="shared" si="306"/>
        <v>0</v>
      </c>
      <c r="CX837" s="650"/>
      <c r="CY837" s="650"/>
      <c r="CZ837" s="650"/>
      <c r="DA837" s="548"/>
      <c r="DB837" s="548"/>
      <c r="DC837" s="548"/>
      <c r="DD837" s="650"/>
      <c r="DE837" s="650"/>
      <c r="DF837" s="650"/>
      <c r="DG837" s="650"/>
      <c r="DH837" s="650"/>
    </row>
    <row r="838" s="548" customFormat="1" ht="31" customHeight="1" spans="1:112">
      <c r="A838" s="641">
        <v>45988</v>
      </c>
      <c r="B838" s="642" t="s">
        <v>6431</v>
      </c>
      <c r="C838" s="693" t="s">
        <v>98</v>
      </c>
      <c r="D838" s="551">
        <v>4500187121</v>
      </c>
      <c r="E838" s="246" t="s">
        <v>8137</v>
      </c>
      <c r="F838" s="551" t="s">
        <v>8138</v>
      </c>
      <c r="G838" s="246" t="s">
        <v>8095</v>
      </c>
      <c r="H838" s="246" t="s">
        <v>8096</v>
      </c>
      <c r="I838" s="246">
        <v>2160</v>
      </c>
      <c r="J838" s="246">
        <v>0</v>
      </c>
      <c r="K838" s="246">
        <v>720</v>
      </c>
      <c r="L838" s="644">
        <f t="shared" si="299"/>
        <v>3</v>
      </c>
      <c r="M838" s="645">
        <v>45999</v>
      </c>
      <c r="N838" s="645">
        <v>45995</v>
      </c>
      <c r="O838" s="246" t="s">
        <v>8097</v>
      </c>
      <c r="P838" s="643" t="s">
        <v>113</v>
      </c>
      <c r="Q838" s="246"/>
      <c r="R838" s="646" t="s">
        <v>6861</v>
      </c>
      <c r="S838" s="646" t="s">
        <v>70</v>
      </c>
      <c r="T838" s="646" t="s">
        <v>70</v>
      </c>
      <c r="U838" s="646"/>
      <c r="V838" s="646"/>
      <c r="W838" s="615"/>
      <c r="X838" s="642" t="s">
        <v>8098</v>
      </c>
      <c r="Y838" s="694" t="s">
        <v>1723</v>
      </c>
      <c r="Z838" s="642">
        <v>420.6933</v>
      </c>
      <c r="AA838" s="647">
        <f t="shared" si="300"/>
        <v>1262.0799</v>
      </c>
      <c r="AC838" s="648"/>
      <c r="AD838" s="642" t="s">
        <v>8095</v>
      </c>
      <c r="AE838" s="246" t="s">
        <v>82</v>
      </c>
      <c r="AF838" s="246"/>
      <c r="AG838" s="642"/>
      <c r="AH838" s="642">
        <v>1</v>
      </c>
      <c r="AI838" s="246">
        <f>1968+192</f>
        <v>2160</v>
      </c>
      <c r="AJ838" s="246"/>
      <c r="AK838" s="246"/>
      <c r="AL838" s="246"/>
      <c r="AM838" s="246"/>
      <c r="AN838" s="246">
        <f t="shared" si="307"/>
        <v>2160</v>
      </c>
      <c r="AO838" s="551"/>
      <c r="AP838" s="548"/>
      <c r="AQ838" s="548"/>
      <c r="AR838" s="680"/>
      <c r="AS838" s="548"/>
      <c r="AT838" s="548"/>
      <c r="AU838" s="554">
        <f t="shared" si="301"/>
        <v>2160</v>
      </c>
      <c r="AV838" s="551"/>
      <c r="AW838" s="650"/>
      <c r="AX838" s="548"/>
      <c r="AY838" s="548"/>
      <c r="AZ838" s="548"/>
      <c r="BA838" s="548"/>
      <c r="BB838" s="670">
        <f t="shared" si="302"/>
        <v>90</v>
      </c>
      <c r="BC838" s="671">
        <f t="shared" si="303"/>
        <v>2160</v>
      </c>
      <c r="BS838" s="554">
        <f t="shared" si="304"/>
        <v>270</v>
      </c>
      <c r="BY838" s="650"/>
      <c r="BZ838" s="548"/>
      <c r="CA838" s="652"/>
      <c r="CB838" s="567"/>
      <c r="CC838" s="653"/>
      <c r="CD838" s="650"/>
      <c r="CE838" s="650"/>
      <c r="CF838" s="548"/>
      <c r="CG838" s="548"/>
      <c r="CU838" s="554">
        <f t="shared" si="308"/>
        <v>0</v>
      </c>
      <c r="CV838" s="663">
        <f t="shared" si="305"/>
        <v>0</v>
      </c>
      <c r="CW838" s="663">
        <f t="shared" si="306"/>
        <v>0</v>
      </c>
      <c r="CX838" s="650"/>
      <c r="CY838" s="650"/>
      <c r="CZ838" s="650"/>
      <c r="DA838" s="548"/>
      <c r="DB838" s="548"/>
      <c r="DC838" s="548"/>
      <c r="DD838" s="650"/>
      <c r="DE838" s="650"/>
      <c r="DF838" s="650"/>
      <c r="DG838" s="650"/>
      <c r="DH838" s="650"/>
    </row>
    <row r="839" s="548" customFormat="1" ht="31" customHeight="1" spans="1:112">
      <c r="A839" s="641">
        <v>45925</v>
      </c>
      <c r="B839" s="642" t="s">
        <v>6090</v>
      </c>
      <c r="C839" s="246" t="s">
        <v>76</v>
      </c>
      <c r="D839" s="551">
        <v>4500180385</v>
      </c>
      <c r="E839" s="246">
        <v>4504134713</v>
      </c>
      <c r="F839" s="551" t="s">
        <v>8139</v>
      </c>
      <c r="G839" s="246" t="s">
        <v>6093</v>
      </c>
      <c r="H839" s="246" t="s">
        <v>6094</v>
      </c>
      <c r="I839" s="246">
        <v>975</v>
      </c>
      <c r="J839" s="246">
        <v>0</v>
      </c>
      <c r="K839" s="246">
        <v>13</v>
      </c>
      <c r="L839" s="644">
        <f t="shared" si="299"/>
        <v>75</v>
      </c>
      <c r="M839" s="645">
        <v>46001</v>
      </c>
      <c r="N839" s="645">
        <v>45997</v>
      </c>
      <c r="O839" s="643"/>
      <c r="P839" s="643" t="s">
        <v>113</v>
      </c>
      <c r="Q839" s="246"/>
      <c r="R839" s="646">
        <v>45983</v>
      </c>
      <c r="S839" s="646" t="s">
        <v>70</v>
      </c>
      <c r="T839" s="646" t="s">
        <v>8140</v>
      </c>
      <c r="U839" s="646"/>
      <c r="V839" s="646"/>
      <c r="W839" s="615"/>
      <c r="X839" s="642" t="s">
        <v>8141</v>
      </c>
      <c r="Y839" s="642" t="s">
        <v>8142</v>
      </c>
      <c r="Z839" s="642">
        <v>0.9168</v>
      </c>
      <c r="AA839" s="647">
        <f>Z839*I839</f>
        <v>893.88</v>
      </c>
      <c r="AC839" s="658" t="s">
        <v>8143</v>
      </c>
      <c r="AD839" s="246" t="s">
        <v>6093</v>
      </c>
      <c r="AE839" s="246" t="s">
        <v>82</v>
      </c>
      <c r="AF839" s="246"/>
      <c r="AG839" s="693"/>
      <c r="AH839" s="693">
        <v>1</v>
      </c>
      <c r="AI839" s="246">
        <v>975</v>
      </c>
      <c r="AJ839" s="246">
        <f t="shared" ref="AJ839:AJ854" si="309">AI839-I839</f>
        <v>0</v>
      </c>
      <c r="AK839" s="246"/>
      <c r="AL839" s="246" t="s">
        <v>2368</v>
      </c>
      <c r="AM839" s="246"/>
      <c r="AN839" s="246"/>
      <c r="AO839" s="551">
        <f>I839</f>
        <v>975</v>
      </c>
      <c r="AR839" s="680"/>
      <c r="AS839" s="548"/>
      <c r="AT839" s="554">
        <f>I839</f>
        <v>975</v>
      </c>
      <c r="AU839" s="551"/>
      <c r="AV839" s="554">
        <f>I839</f>
        <v>975</v>
      </c>
      <c r="AW839" s="650"/>
      <c r="AX839" s="551"/>
      <c r="AY839" s="548"/>
      <c r="AZ839" s="548"/>
      <c r="BA839" s="548"/>
      <c r="BB839" s="249">
        <f t="shared" si="302"/>
        <v>40.625</v>
      </c>
      <c r="BC839" s="651"/>
      <c r="BD839" s="548"/>
      <c r="BE839" s="548"/>
      <c r="BF839" s="548"/>
      <c r="BM839" s="551">
        <f>I839/13</f>
        <v>75</v>
      </c>
      <c r="BY839" s="650"/>
      <c r="BZ839" s="548"/>
      <c r="CA839" s="652"/>
      <c r="CB839" s="567"/>
      <c r="CC839" s="653"/>
      <c r="CD839" s="650"/>
      <c r="CE839" s="650"/>
      <c r="CF839" s="548"/>
      <c r="CG839" s="548"/>
      <c r="CU839" s="554">
        <f t="shared" si="308"/>
        <v>0</v>
      </c>
      <c r="CV839" s="551">
        <f t="shared" si="305"/>
        <v>0</v>
      </c>
      <c r="CW839" s="551">
        <f t="shared" si="306"/>
        <v>0</v>
      </c>
      <c r="CX839" s="650"/>
      <c r="CY839" s="650"/>
      <c r="CZ839" s="650"/>
      <c r="DA839" s="548"/>
      <c r="DB839" s="548"/>
      <c r="DC839" s="548"/>
      <c r="DD839" s="650"/>
      <c r="DE839" s="650"/>
      <c r="DF839" s="650"/>
      <c r="DG839" s="650"/>
      <c r="DH839" s="650"/>
    </row>
    <row r="840" s="548" customFormat="1" ht="31" customHeight="1" spans="1:112">
      <c r="A840" s="641">
        <v>45959</v>
      </c>
      <c r="B840" s="642" t="s">
        <v>8144</v>
      </c>
      <c r="C840" s="246" t="s">
        <v>847</v>
      </c>
      <c r="D840" s="551">
        <v>4500183478</v>
      </c>
      <c r="E840" s="246" t="s">
        <v>8145</v>
      </c>
      <c r="F840" s="551" t="s">
        <v>8146</v>
      </c>
      <c r="G840" s="246" t="s">
        <v>6047</v>
      </c>
      <c r="H840" s="246" t="s">
        <v>6069</v>
      </c>
      <c r="I840" s="246">
        <v>7300</v>
      </c>
      <c r="J840" s="246">
        <v>0</v>
      </c>
      <c r="K840" s="246">
        <v>25</v>
      </c>
      <c r="L840" s="644">
        <f t="shared" si="299"/>
        <v>292</v>
      </c>
      <c r="M840" s="645">
        <v>46001</v>
      </c>
      <c r="N840" s="645">
        <v>45997</v>
      </c>
      <c r="O840" s="643"/>
      <c r="P840" s="643" t="s">
        <v>113</v>
      </c>
      <c r="Q840" s="246"/>
      <c r="R840" s="646">
        <v>45959</v>
      </c>
      <c r="S840" s="646" t="s">
        <v>70</v>
      </c>
      <c r="T840" s="646" t="s">
        <v>457</v>
      </c>
      <c r="U840" s="646"/>
      <c r="V840" s="646"/>
      <c r="W840" s="615"/>
      <c r="X840" s="642" t="s">
        <v>8147</v>
      </c>
      <c r="Y840" s="642" t="s">
        <v>578</v>
      </c>
      <c r="Z840" s="642">
        <v>0.9358</v>
      </c>
      <c r="AA840" s="647">
        <f t="shared" ref="AA840:AA854" si="310">Z840*I840</f>
        <v>6831.34</v>
      </c>
      <c r="AC840" s="658" t="s">
        <v>8148</v>
      </c>
      <c r="AD840" s="246" t="s">
        <v>6047</v>
      </c>
      <c r="AE840" s="246" t="s">
        <v>82</v>
      </c>
      <c r="AF840" s="246"/>
      <c r="AG840" s="246"/>
      <c r="AH840" s="246">
        <v>1</v>
      </c>
      <c r="AI840" s="246">
        <v>7300</v>
      </c>
      <c r="AJ840" s="246">
        <f t="shared" si="309"/>
        <v>0</v>
      </c>
      <c r="AK840" s="246"/>
      <c r="AL840" s="246"/>
      <c r="AM840" s="246"/>
      <c r="AN840" s="246"/>
      <c r="AO840" s="551">
        <f>I840</f>
        <v>7300</v>
      </c>
      <c r="AR840" s="680"/>
      <c r="AS840" s="548"/>
      <c r="AT840" s="554">
        <f>I840</f>
        <v>7300</v>
      </c>
      <c r="AV840" s="554">
        <f>I840</f>
        <v>7300</v>
      </c>
      <c r="AW840" s="650"/>
      <c r="AX840" s="551"/>
      <c r="AY840" s="548"/>
      <c r="AZ840" s="548"/>
      <c r="BA840" s="548"/>
      <c r="BB840" s="620">
        <f t="shared" si="302"/>
        <v>304.166666666667</v>
      </c>
      <c r="BC840" s="651"/>
      <c r="BD840" s="548"/>
      <c r="BE840" s="548"/>
      <c r="BF840" s="548"/>
      <c r="BP840" s="551">
        <f>I840/25</f>
        <v>292</v>
      </c>
      <c r="BY840" s="650"/>
      <c r="BZ840" s="548"/>
      <c r="CA840" s="652"/>
      <c r="CB840" s="567"/>
      <c r="CC840" s="653"/>
      <c r="CD840" s="650"/>
      <c r="CE840" s="650"/>
      <c r="CF840" s="548"/>
      <c r="CG840" s="548"/>
      <c r="CU840" s="554">
        <f t="shared" si="308"/>
        <v>292</v>
      </c>
      <c r="CV840" s="551">
        <f t="shared" si="305"/>
        <v>0</v>
      </c>
      <c r="CW840" s="551">
        <f t="shared" si="306"/>
        <v>0</v>
      </c>
      <c r="CX840" s="650"/>
      <c r="CY840" s="650"/>
      <c r="CZ840" s="650"/>
      <c r="DA840" s="548"/>
      <c r="DB840" s="548"/>
      <c r="DC840" s="548"/>
      <c r="DD840" s="650"/>
      <c r="DE840" s="650"/>
      <c r="DF840" s="650"/>
      <c r="DG840" s="650"/>
      <c r="DH840" s="650"/>
    </row>
    <row r="841" s="548" customFormat="1" ht="31" customHeight="1" spans="1:112">
      <c r="A841" s="641">
        <v>45960</v>
      </c>
      <c r="B841" s="642" t="s">
        <v>143</v>
      </c>
      <c r="C841" s="246" t="s">
        <v>98</v>
      </c>
      <c r="D841" s="551">
        <v>4500183718</v>
      </c>
      <c r="E841" s="643">
        <v>952702356</v>
      </c>
      <c r="F841" s="551" t="s">
        <v>8149</v>
      </c>
      <c r="G841" s="246" t="s">
        <v>6063</v>
      </c>
      <c r="H841" s="246" t="s">
        <v>6064</v>
      </c>
      <c r="I841" s="246">
        <v>24000</v>
      </c>
      <c r="J841" s="246">
        <v>0</v>
      </c>
      <c r="K841" s="246">
        <v>16</v>
      </c>
      <c r="L841" s="644">
        <f t="shared" si="299"/>
        <v>1500</v>
      </c>
      <c r="M841" s="645">
        <v>46001</v>
      </c>
      <c r="N841" s="645">
        <v>45997</v>
      </c>
      <c r="O841" s="645">
        <v>46003</v>
      </c>
      <c r="P841" s="643" t="s">
        <v>113</v>
      </c>
      <c r="Q841" s="246"/>
      <c r="R841" s="646" t="s">
        <v>7064</v>
      </c>
      <c r="S841" s="646" t="s">
        <v>70</v>
      </c>
      <c r="T841" s="646" t="s">
        <v>148</v>
      </c>
      <c r="U841" s="646"/>
      <c r="V841" s="646"/>
      <c r="W841" s="615"/>
      <c r="X841" s="642" t="s">
        <v>7065</v>
      </c>
      <c r="Y841" s="642" t="s">
        <v>106</v>
      </c>
      <c r="Z841" s="642">
        <v>0.5783</v>
      </c>
      <c r="AA841" s="647">
        <f t="shared" si="310"/>
        <v>13879.2</v>
      </c>
      <c r="AC841" s="648"/>
      <c r="AD841" s="246" t="s">
        <v>6063</v>
      </c>
      <c r="AE841" s="246" t="s">
        <v>82</v>
      </c>
      <c r="AF841" s="246"/>
      <c r="AG841" s="246"/>
      <c r="AH841" s="246">
        <v>1</v>
      </c>
      <c r="AI841" s="246">
        <v>24000</v>
      </c>
      <c r="AJ841" s="246">
        <f t="shared" si="309"/>
        <v>0</v>
      </c>
      <c r="AK841" s="246"/>
      <c r="AL841" s="246"/>
      <c r="AM841" s="246"/>
      <c r="AN841" s="246">
        <f>I841</f>
        <v>24000</v>
      </c>
      <c r="AO841" s="551"/>
      <c r="AP841" s="554">
        <f t="shared" ref="AP841:AP851" si="311">I841</f>
        <v>24000</v>
      </c>
      <c r="AR841" s="680"/>
      <c r="AS841" s="548"/>
      <c r="AT841" s="548"/>
      <c r="AU841" s="554">
        <f t="shared" ref="AU841:AU851" si="312">I841</f>
        <v>24000</v>
      </c>
      <c r="AV841" s="551"/>
      <c r="AW841" s="650"/>
      <c r="AX841" s="551"/>
      <c r="AY841" s="548"/>
      <c r="AZ841" s="548"/>
      <c r="BA841" s="548"/>
      <c r="BB841" s="249">
        <f t="shared" si="302"/>
        <v>1000</v>
      </c>
      <c r="BC841" s="651"/>
      <c r="BD841" s="548"/>
      <c r="BE841" s="548"/>
      <c r="BF841" s="548"/>
      <c r="BQ841" s="551">
        <f>I841/16</f>
        <v>1500</v>
      </c>
      <c r="BY841" s="650"/>
      <c r="BZ841" s="548"/>
      <c r="CA841" s="652"/>
      <c r="CB841" s="567"/>
      <c r="CC841" s="653"/>
      <c r="CD841" s="650"/>
      <c r="CE841" s="650"/>
      <c r="CF841" s="548"/>
      <c r="CG841" s="548"/>
      <c r="CU841" s="554">
        <f t="shared" si="308"/>
        <v>1500</v>
      </c>
      <c r="CV841" s="551">
        <f t="shared" si="305"/>
        <v>0</v>
      </c>
      <c r="CW841" s="551">
        <f t="shared" si="306"/>
        <v>0</v>
      </c>
      <c r="CX841" s="650"/>
      <c r="CY841" s="650"/>
      <c r="CZ841" s="650"/>
      <c r="DA841" s="548"/>
      <c r="DB841" s="548"/>
      <c r="DC841" s="548"/>
      <c r="DD841" s="650"/>
      <c r="DE841" s="650"/>
      <c r="DF841" s="650"/>
      <c r="DG841" s="650"/>
      <c r="DH841" s="650"/>
    </row>
    <row r="842" s="548" customFormat="1" ht="31" customHeight="1" spans="1:112">
      <c r="A842" s="641">
        <v>45960</v>
      </c>
      <c r="B842" s="642" t="s">
        <v>143</v>
      </c>
      <c r="C842" s="246" t="s">
        <v>98</v>
      </c>
      <c r="D842" s="551">
        <v>4500183718</v>
      </c>
      <c r="E842" s="643">
        <v>952702382</v>
      </c>
      <c r="F842" s="551" t="s">
        <v>8150</v>
      </c>
      <c r="G842" s="246" t="s">
        <v>6063</v>
      </c>
      <c r="H842" s="246" t="s">
        <v>6064</v>
      </c>
      <c r="I842" s="246">
        <v>39360</v>
      </c>
      <c r="J842" s="246">
        <v>0</v>
      </c>
      <c r="K842" s="246">
        <v>16</v>
      </c>
      <c r="L842" s="644">
        <f t="shared" si="299"/>
        <v>2460</v>
      </c>
      <c r="M842" s="645">
        <v>46001</v>
      </c>
      <c r="N842" s="645">
        <v>45997</v>
      </c>
      <c r="O842" s="645">
        <v>46003</v>
      </c>
      <c r="P842" s="643" t="s">
        <v>113</v>
      </c>
      <c r="Q842" s="246"/>
      <c r="R842" s="646" t="s">
        <v>7064</v>
      </c>
      <c r="S842" s="646" t="s">
        <v>70</v>
      </c>
      <c r="T842" s="646" t="s">
        <v>148</v>
      </c>
      <c r="U842" s="646"/>
      <c r="V842" s="646"/>
      <c r="W842" s="615"/>
      <c r="X842" s="642" t="s">
        <v>7065</v>
      </c>
      <c r="Y842" s="642" t="s">
        <v>106</v>
      </c>
      <c r="Z842" s="642">
        <v>0.5783</v>
      </c>
      <c r="AA842" s="647">
        <f t="shared" si="310"/>
        <v>22761.888</v>
      </c>
      <c r="AC842" s="648"/>
      <c r="AD842" s="246" t="s">
        <v>6063</v>
      </c>
      <c r="AE842" s="246" t="s">
        <v>82</v>
      </c>
      <c r="AF842" s="246"/>
      <c r="AG842" s="246"/>
      <c r="AH842" s="246">
        <v>1</v>
      </c>
      <c r="AI842" s="246">
        <v>39360</v>
      </c>
      <c r="AJ842" s="246">
        <f t="shared" si="309"/>
        <v>0</v>
      </c>
      <c r="AK842" s="246"/>
      <c r="AL842" s="246"/>
      <c r="AM842" s="246"/>
      <c r="AN842" s="246">
        <f>I842</f>
        <v>39360</v>
      </c>
      <c r="AO842" s="551"/>
      <c r="AP842" s="554">
        <f t="shared" si="311"/>
        <v>39360</v>
      </c>
      <c r="AR842" s="680"/>
      <c r="AS842" s="548"/>
      <c r="AT842" s="548"/>
      <c r="AU842" s="554">
        <f t="shared" si="312"/>
        <v>39360</v>
      </c>
      <c r="AV842" s="551"/>
      <c r="AW842" s="650"/>
      <c r="AX842" s="551"/>
      <c r="AY842" s="548"/>
      <c r="AZ842" s="548"/>
      <c r="BA842" s="548"/>
      <c r="BB842" s="249">
        <f t="shared" si="302"/>
        <v>1640</v>
      </c>
      <c r="BC842" s="651"/>
      <c r="BD842" s="548"/>
      <c r="BE842" s="548"/>
      <c r="BF842" s="548"/>
      <c r="BQ842" s="551">
        <f>I842/16</f>
        <v>2460</v>
      </c>
      <c r="BY842" s="650"/>
      <c r="BZ842" s="548"/>
      <c r="CA842" s="652"/>
      <c r="CB842" s="567"/>
      <c r="CC842" s="653"/>
      <c r="CD842" s="650"/>
      <c r="CE842" s="650"/>
      <c r="CF842" s="548"/>
      <c r="CG842" s="548"/>
      <c r="CU842" s="554">
        <f t="shared" si="308"/>
        <v>2460</v>
      </c>
      <c r="CV842" s="551">
        <f t="shared" si="305"/>
        <v>0</v>
      </c>
      <c r="CW842" s="551">
        <f t="shared" si="306"/>
        <v>0</v>
      </c>
      <c r="CX842" s="650"/>
      <c r="CY842" s="650"/>
      <c r="CZ842" s="650"/>
      <c r="DA842" s="548"/>
      <c r="DB842" s="548"/>
      <c r="DC842" s="548"/>
      <c r="DD842" s="650"/>
      <c r="DE842" s="650"/>
      <c r="DF842" s="650"/>
      <c r="DG842" s="650"/>
      <c r="DH842" s="650"/>
    </row>
    <row r="843" s="548" customFormat="1" ht="31" customHeight="1" spans="1:112">
      <c r="A843" s="641">
        <v>45960</v>
      </c>
      <c r="B843" s="642" t="s">
        <v>143</v>
      </c>
      <c r="C843" s="246" t="s">
        <v>98</v>
      </c>
      <c r="D843" s="551">
        <v>4500183718</v>
      </c>
      <c r="E843" s="643">
        <v>952702545</v>
      </c>
      <c r="F843" s="551" t="s">
        <v>8151</v>
      </c>
      <c r="G843" s="246" t="s">
        <v>6063</v>
      </c>
      <c r="H843" s="246" t="s">
        <v>6064</v>
      </c>
      <c r="I843" s="246">
        <v>27840</v>
      </c>
      <c r="J843" s="246">
        <v>0</v>
      </c>
      <c r="K843" s="246">
        <v>16</v>
      </c>
      <c r="L843" s="644">
        <f t="shared" si="299"/>
        <v>1740</v>
      </c>
      <c r="M843" s="645">
        <v>46001</v>
      </c>
      <c r="N843" s="645">
        <v>45997</v>
      </c>
      <c r="O843" s="645">
        <v>46003</v>
      </c>
      <c r="P843" s="643" t="s">
        <v>113</v>
      </c>
      <c r="Q843" s="246"/>
      <c r="R843" s="646" t="s">
        <v>7064</v>
      </c>
      <c r="S843" s="646" t="s">
        <v>70</v>
      </c>
      <c r="T843" s="646" t="s">
        <v>148</v>
      </c>
      <c r="U843" s="646"/>
      <c r="V843" s="646"/>
      <c r="W843" s="615"/>
      <c r="X843" s="642" t="s">
        <v>7065</v>
      </c>
      <c r="Y843" s="642" t="s">
        <v>106</v>
      </c>
      <c r="Z843" s="642">
        <v>0.5783</v>
      </c>
      <c r="AA843" s="647">
        <f t="shared" si="310"/>
        <v>16099.872</v>
      </c>
      <c r="AC843" s="648"/>
      <c r="AD843" s="246" t="s">
        <v>6063</v>
      </c>
      <c r="AE843" s="246" t="s">
        <v>82</v>
      </c>
      <c r="AF843" s="246"/>
      <c r="AG843" s="246"/>
      <c r="AH843" s="246">
        <v>1</v>
      </c>
      <c r="AI843" s="246">
        <v>27840</v>
      </c>
      <c r="AJ843" s="246">
        <f t="shared" si="309"/>
        <v>0</v>
      </c>
      <c r="AK843" s="246"/>
      <c r="AL843" s="246"/>
      <c r="AM843" s="246"/>
      <c r="AN843" s="246">
        <f t="shared" ref="AN843:AN851" si="313">I843</f>
        <v>27840</v>
      </c>
      <c r="AO843" s="551"/>
      <c r="AP843" s="554">
        <f t="shared" si="311"/>
        <v>27840</v>
      </c>
      <c r="AR843" s="680"/>
      <c r="AS843" s="548"/>
      <c r="AT843" s="548"/>
      <c r="AU843" s="554">
        <f t="shared" si="312"/>
        <v>27840</v>
      </c>
      <c r="AV843" s="551"/>
      <c r="AW843" s="650"/>
      <c r="AX843" s="551"/>
      <c r="AY843" s="548"/>
      <c r="AZ843" s="548"/>
      <c r="BA843" s="548"/>
      <c r="BB843" s="249">
        <f t="shared" ref="BB843:BB851" si="314">I843/24</f>
        <v>1160</v>
      </c>
      <c r="BC843" s="651"/>
      <c r="BD843" s="548"/>
      <c r="BE843" s="548"/>
      <c r="BF843" s="548"/>
      <c r="BQ843" s="551">
        <f>I843/16</f>
        <v>1740</v>
      </c>
      <c r="BY843" s="650"/>
      <c r="BZ843" s="548"/>
      <c r="CA843" s="652"/>
      <c r="CB843" s="567"/>
      <c r="CC843" s="653"/>
      <c r="CD843" s="650"/>
      <c r="CE843" s="650"/>
      <c r="CF843" s="548"/>
      <c r="CG843" s="548"/>
      <c r="CU843" s="554">
        <f t="shared" si="308"/>
        <v>1740</v>
      </c>
      <c r="CV843" s="551">
        <f t="shared" si="305"/>
        <v>0</v>
      </c>
      <c r="CW843" s="551">
        <f t="shared" si="306"/>
        <v>0</v>
      </c>
      <c r="CX843" s="650"/>
      <c r="CY843" s="650"/>
      <c r="CZ843" s="650"/>
      <c r="DA843" s="548"/>
      <c r="DB843" s="548"/>
      <c r="DC843" s="548"/>
      <c r="DD843" s="650"/>
      <c r="DE843" s="650"/>
      <c r="DF843" s="650"/>
      <c r="DG843" s="650"/>
      <c r="DH843" s="650"/>
    </row>
    <row r="844" s="548" customFormat="1" ht="31" customHeight="1" spans="1:112">
      <c r="A844" s="641">
        <v>45959</v>
      </c>
      <c r="B844" s="642" t="s">
        <v>8152</v>
      </c>
      <c r="C844" s="246" t="s">
        <v>98</v>
      </c>
      <c r="D844" s="551">
        <v>4500183538</v>
      </c>
      <c r="E844" s="246">
        <v>4559845141</v>
      </c>
      <c r="F844" s="551" t="s">
        <v>8153</v>
      </c>
      <c r="G844" s="246" t="s">
        <v>8051</v>
      </c>
      <c r="H844" s="246" t="s">
        <v>6102</v>
      </c>
      <c r="I844" s="246">
        <v>2340</v>
      </c>
      <c r="J844" s="246">
        <v>0</v>
      </c>
      <c r="K844" s="246">
        <v>6</v>
      </c>
      <c r="L844" s="644">
        <f t="shared" si="299"/>
        <v>390</v>
      </c>
      <c r="M844" s="645">
        <v>46001</v>
      </c>
      <c r="N844" s="645">
        <v>45997</v>
      </c>
      <c r="O844" s="643"/>
      <c r="P844" s="643" t="s">
        <v>113</v>
      </c>
      <c r="Q844" s="246"/>
      <c r="R844" s="646" t="s">
        <v>8154</v>
      </c>
      <c r="S844" s="646" t="s">
        <v>104</v>
      </c>
      <c r="T844" s="646" t="s">
        <v>8155</v>
      </c>
      <c r="U844" s="646"/>
      <c r="V844" s="646"/>
      <c r="W844" s="615"/>
      <c r="X844" s="642" t="s">
        <v>8156</v>
      </c>
      <c r="Y844" s="642" t="s">
        <v>819</v>
      </c>
      <c r="Z844" s="642">
        <v>0.5741</v>
      </c>
      <c r="AA844" s="647">
        <f t="shared" si="310"/>
        <v>1343.394</v>
      </c>
      <c r="AC844" s="648"/>
      <c r="AD844" s="246" t="s">
        <v>8051</v>
      </c>
      <c r="AE844" s="246" t="s">
        <v>82</v>
      </c>
      <c r="AF844" s="246"/>
      <c r="AG844" s="246"/>
      <c r="AH844" s="246">
        <v>1</v>
      </c>
      <c r="AI844" s="246">
        <v>2340</v>
      </c>
      <c r="AJ844" s="246">
        <f t="shared" si="309"/>
        <v>0</v>
      </c>
      <c r="AK844" s="246"/>
      <c r="AL844" s="246"/>
      <c r="AM844" s="246"/>
      <c r="AN844" s="246">
        <f t="shared" si="313"/>
        <v>2340</v>
      </c>
      <c r="AO844" s="551"/>
      <c r="AP844" s="554">
        <f t="shared" si="311"/>
        <v>2340</v>
      </c>
      <c r="AR844" s="680"/>
      <c r="AS844" s="548"/>
      <c r="AT844" s="548"/>
      <c r="AU844" s="554">
        <f t="shared" si="312"/>
        <v>2340</v>
      </c>
      <c r="AV844" s="551"/>
      <c r="AW844" s="650"/>
      <c r="AX844" s="548"/>
      <c r="AY844" s="548"/>
      <c r="AZ844" s="548"/>
      <c r="BA844" s="548"/>
      <c r="BB844" s="249">
        <f t="shared" si="314"/>
        <v>97.5</v>
      </c>
      <c r="BC844" s="651"/>
      <c r="BD844" s="548"/>
      <c r="BE844" s="548"/>
      <c r="BF844" s="548"/>
      <c r="BT844" s="551">
        <f>L844</f>
        <v>390</v>
      </c>
      <c r="BU844" s="551"/>
      <c r="BY844" s="650"/>
      <c r="BZ844" s="548"/>
      <c r="CA844" s="652"/>
      <c r="CB844" s="567"/>
      <c r="CC844" s="653"/>
      <c r="CD844" s="650"/>
      <c r="CE844" s="650"/>
      <c r="CF844" s="548"/>
      <c r="CG844" s="548"/>
      <c r="CU844" s="554">
        <f t="shared" si="308"/>
        <v>0</v>
      </c>
      <c r="CV844" s="663">
        <f t="shared" ref="CV844:CV850" si="315">CK844+CL844+CM844+CN844+CO844+CQ844+CP844</f>
        <v>0</v>
      </c>
      <c r="CW844" s="663">
        <f t="shared" ref="CW844:CW850" si="316">CI844+CJ844</f>
        <v>0</v>
      </c>
      <c r="CX844" s="650"/>
      <c r="CY844" s="650"/>
      <c r="CZ844" s="650"/>
      <c r="DA844" s="548"/>
      <c r="DB844" s="548"/>
      <c r="DC844" s="548"/>
      <c r="DD844" s="650"/>
      <c r="DE844" s="650"/>
      <c r="DF844" s="650"/>
      <c r="DG844" s="650"/>
      <c r="DH844" s="650"/>
    </row>
    <row r="845" s="548" customFormat="1" ht="31" customHeight="1" spans="1:112">
      <c r="A845" s="641">
        <v>45959</v>
      </c>
      <c r="B845" s="642" t="s">
        <v>8152</v>
      </c>
      <c r="C845" s="246" t="s">
        <v>98</v>
      </c>
      <c r="D845" s="551">
        <v>4500183538</v>
      </c>
      <c r="E845" s="246">
        <v>4559845085</v>
      </c>
      <c r="F845" s="551" t="s">
        <v>8157</v>
      </c>
      <c r="G845" s="246" t="s">
        <v>8051</v>
      </c>
      <c r="H845" s="246" t="s">
        <v>6102</v>
      </c>
      <c r="I845" s="246">
        <v>1632</v>
      </c>
      <c r="J845" s="246">
        <v>0</v>
      </c>
      <c r="K845" s="246">
        <v>6</v>
      </c>
      <c r="L845" s="644">
        <f t="shared" si="299"/>
        <v>272</v>
      </c>
      <c r="M845" s="645">
        <v>46001</v>
      </c>
      <c r="N845" s="645">
        <v>45997</v>
      </c>
      <c r="O845" s="643"/>
      <c r="P845" s="643" t="s">
        <v>113</v>
      </c>
      <c r="Q845" s="246"/>
      <c r="R845" s="646" t="s">
        <v>8154</v>
      </c>
      <c r="S845" s="646" t="s">
        <v>104</v>
      </c>
      <c r="T845" s="646" t="s">
        <v>8155</v>
      </c>
      <c r="U845" s="646"/>
      <c r="V845" s="646"/>
      <c r="W845" s="615"/>
      <c r="X845" s="642" t="s">
        <v>8156</v>
      </c>
      <c r="Y845" s="642" t="s">
        <v>819</v>
      </c>
      <c r="Z845" s="642">
        <v>0.5741</v>
      </c>
      <c r="AA845" s="647">
        <f t="shared" si="310"/>
        <v>936.9312</v>
      </c>
      <c r="AC845" s="648"/>
      <c r="AD845" s="246" t="s">
        <v>8051</v>
      </c>
      <c r="AE845" s="246" t="s">
        <v>82</v>
      </c>
      <c r="AF845" s="246"/>
      <c r="AG845" s="246"/>
      <c r="AH845" s="246">
        <v>1</v>
      </c>
      <c r="AI845" s="246">
        <v>1632</v>
      </c>
      <c r="AJ845" s="246">
        <f t="shared" si="309"/>
        <v>0</v>
      </c>
      <c r="AK845" s="246"/>
      <c r="AL845" s="246"/>
      <c r="AM845" s="246"/>
      <c r="AN845" s="246">
        <f t="shared" si="313"/>
        <v>1632</v>
      </c>
      <c r="AO845" s="551"/>
      <c r="AP845" s="554">
        <f t="shared" si="311"/>
        <v>1632</v>
      </c>
      <c r="AR845" s="680"/>
      <c r="AS845" s="548"/>
      <c r="AT845" s="548"/>
      <c r="AU845" s="554">
        <f t="shared" si="312"/>
        <v>1632</v>
      </c>
      <c r="AV845" s="551"/>
      <c r="AW845" s="650"/>
      <c r="AX845" s="548"/>
      <c r="AY845" s="548"/>
      <c r="AZ845" s="548"/>
      <c r="BA845" s="548"/>
      <c r="BB845" s="249">
        <f t="shared" si="314"/>
        <v>68</v>
      </c>
      <c r="BC845" s="651"/>
      <c r="BD845" s="548"/>
      <c r="BE845" s="548"/>
      <c r="BF845" s="548"/>
      <c r="BT845" s="551">
        <f t="shared" ref="BT845:BT850" si="317">L845</f>
        <v>272</v>
      </c>
      <c r="BU845" s="551"/>
      <c r="BY845" s="650"/>
      <c r="BZ845" s="548"/>
      <c r="CA845" s="652"/>
      <c r="CB845" s="567"/>
      <c r="CC845" s="653"/>
      <c r="CD845" s="650"/>
      <c r="CE845" s="650"/>
      <c r="CF845" s="548"/>
      <c r="CG845" s="548"/>
      <c r="CU845" s="554">
        <f t="shared" si="308"/>
        <v>0</v>
      </c>
      <c r="CV845" s="663">
        <f t="shared" si="315"/>
        <v>0</v>
      </c>
      <c r="CW845" s="663">
        <f t="shared" si="316"/>
        <v>0</v>
      </c>
      <c r="CX845" s="650"/>
      <c r="CY845" s="650"/>
      <c r="CZ845" s="650"/>
      <c r="DA845" s="548"/>
      <c r="DB845" s="548"/>
      <c r="DC845" s="548"/>
      <c r="DD845" s="650"/>
      <c r="DE845" s="650"/>
      <c r="DF845" s="650"/>
      <c r="DG845" s="650"/>
      <c r="DH845" s="650"/>
    </row>
    <row r="846" s="548" customFormat="1" ht="31" customHeight="1" spans="1:112">
      <c r="A846" s="641">
        <v>45959</v>
      </c>
      <c r="B846" s="642" t="s">
        <v>8152</v>
      </c>
      <c r="C846" s="246" t="s">
        <v>98</v>
      </c>
      <c r="D846" s="551">
        <v>4500183538</v>
      </c>
      <c r="E846" s="246">
        <v>4559845142</v>
      </c>
      <c r="F846" s="551" t="s">
        <v>8158</v>
      </c>
      <c r="G846" s="246" t="s">
        <v>8051</v>
      </c>
      <c r="H846" s="246" t="s">
        <v>6102</v>
      </c>
      <c r="I846" s="246">
        <v>1308</v>
      </c>
      <c r="J846" s="246">
        <v>0</v>
      </c>
      <c r="K846" s="246">
        <v>6</v>
      </c>
      <c r="L846" s="644">
        <f t="shared" si="299"/>
        <v>218</v>
      </c>
      <c r="M846" s="645">
        <v>46001</v>
      </c>
      <c r="N846" s="645">
        <v>45997</v>
      </c>
      <c r="O846" s="643"/>
      <c r="P846" s="643" t="s">
        <v>113</v>
      </c>
      <c r="Q846" s="246"/>
      <c r="R846" s="646" t="s">
        <v>8154</v>
      </c>
      <c r="S846" s="646" t="s">
        <v>104</v>
      </c>
      <c r="T846" s="646" t="s">
        <v>8155</v>
      </c>
      <c r="U846" s="646"/>
      <c r="V846" s="646"/>
      <c r="W846" s="615"/>
      <c r="X846" s="642" t="s">
        <v>8156</v>
      </c>
      <c r="Y846" s="642" t="s">
        <v>819</v>
      </c>
      <c r="Z846" s="642">
        <v>0.5741</v>
      </c>
      <c r="AA846" s="647">
        <f t="shared" si="310"/>
        <v>750.9228</v>
      </c>
      <c r="AC846" s="648"/>
      <c r="AD846" s="246" t="s">
        <v>8051</v>
      </c>
      <c r="AE846" s="246" t="s">
        <v>82</v>
      </c>
      <c r="AF846" s="246"/>
      <c r="AG846" s="246"/>
      <c r="AH846" s="246">
        <v>1</v>
      </c>
      <c r="AI846" s="246">
        <v>1308</v>
      </c>
      <c r="AJ846" s="246">
        <f t="shared" si="309"/>
        <v>0</v>
      </c>
      <c r="AK846" s="246"/>
      <c r="AL846" s="246"/>
      <c r="AM846" s="246"/>
      <c r="AN846" s="246">
        <f t="shared" si="313"/>
        <v>1308</v>
      </c>
      <c r="AO846" s="551"/>
      <c r="AP846" s="554">
        <f t="shared" si="311"/>
        <v>1308</v>
      </c>
      <c r="AR846" s="680"/>
      <c r="AS846" s="548"/>
      <c r="AT846" s="548"/>
      <c r="AU846" s="554">
        <f t="shared" si="312"/>
        <v>1308</v>
      </c>
      <c r="AV846" s="551"/>
      <c r="AW846" s="650"/>
      <c r="AX846" s="548"/>
      <c r="AY846" s="548"/>
      <c r="AZ846" s="548"/>
      <c r="BA846" s="548"/>
      <c r="BB846" s="249">
        <f t="shared" si="314"/>
        <v>54.5</v>
      </c>
      <c r="BC846" s="651"/>
      <c r="BD846" s="548"/>
      <c r="BE846" s="548"/>
      <c r="BF846" s="548"/>
      <c r="BT846" s="551">
        <f t="shared" si="317"/>
        <v>218</v>
      </c>
      <c r="BU846" s="551"/>
      <c r="BY846" s="650"/>
      <c r="BZ846" s="548"/>
      <c r="CA846" s="652"/>
      <c r="CB846" s="567"/>
      <c r="CC846" s="653"/>
      <c r="CD846" s="650"/>
      <c r="CE846" s="650"/>
      <c r="CF846" s="548"/>
      <c r="CG846" s="548"/>
      <c r="CU846" s="554">
        <f t="shared" si="308"/>
        <v>0</v>
      </c>
      <c r="CV846" s="663">
        <f t="shared" si="315"/>
        <v>0</v>
      </c>
      <c r="CW846" s="663">
        <f t="shared" si="316"/>
        <v>0</v>
      </c>
      <c r="CX846" s="650"/>
      <c r="CY846" s="650"/>
      <c r="CZ846" s="650"/>
      <c r="DA846" s="548"/>
      <c r="DB846" s="548"/>
      <c r="DC846" s="548"/>
      <c r="DD846" s="650"/>
      <c r="DE846" s="650"/>
      <c r="DF846" s="650"/>
      <c r="DG846" s="650"/>
      <c r="DH846" s="650"/>
    </row>
    <row r="847" s="548" customFormat="1" ht="31" customHeight="1" spans="1:112">
      <c r="A847" s="641">
        <v>45959</v>
      </c>
      <c r="B847" s="642" t="s">
        <v>8152</v>
      </c>
      <c r="C847" s="246" t="s">
        <v>98</v>
      </c>
      <c r="D847" s="551">
        <v>4500183538</v>
      </c>
      <c r="E847" s="246">
        <v>4559844990</v>
      </c>
      <c r="F847" s="551" t="s">
        <v>8159</v>
      </c>
      <c r="G847" s="246" t="s">
        <v>8051</v>
      </c>
      <c r="H847" s="246" t="s">
        <v>6102</v>
      </c>
      <c r="I847" s="246">
        <v>1416</v>
      </c>
      <c r="J847" s="246">
        <v>0</v>
      </c>
      <c r="K847" s="246">
        <v>6</v>
      </c>
      <c r="L847" s="644">
        <f t="shared" si="299"/>
        <v>236</v>
      </c>
      <c r="M847" s="645">
        <v>46001</v>
      </c>
      <c r="N847" s="645">
        <v>45997</v>
      </c>
      <c r="O847" s="643"/>
      <c r="P847" s="643" t="s">
        <v>113</v>
      </c>
      <c r="Q847" s="246"/>
      <c r="R847" s="646" t="s">
        <v>8154</v>
      </c>
      <c r="S847" s="646" t="s">
        <v>104</v>
      </c>
      <c r="T847" s="646" t="s">
        <v>8155</v>
      </c>
      <c r="U847" s="646"/>
      <c r="V847" s="646"/>
      <c r="W847" s="615"/>
      <c r="X847" s="642" t="s">
        <v>8156</v>
      </c>
      <c r="Y847" s="642" t="s">
        <v>819</v>
      </c>
      <c r="Z847" s="642">
        <v>0.5741</v>
      </c>
      <c r="AA847" s="647">
        <f t="shared" si="310"/>
        <v>812.9256</v>
      </c>
      <c r="AC847" s="648"/>
      <c r="AD847" s="246" t="s">
        <v>8051</v>
      </c>
      <c r="AE847" s="246" t="s">
        <v>82</v>
      </c>
      <c r="AF847" s="246"/>
      <c r="AG847" s="246"/>
      <c r="AH847" s="246">
        <v>1</v>
      </c>
      <c r="AI847" s="246">
        <v>1416</v>
      </c>
      <c r="AJ847" s="246">
        <f t="shared" si="309"/>
        <v>0</v>
      </c>
      <c r="AK847" s="246"/>
      <c r="AL847" s="246"/>
      <c r="AM847" s="246"/>
      <c r="AN847" s="246">
        <f t="shared" si="313"/>
        <v>1416</v>
      </c>
      <c r="AO847" s="551"/>
      <c r="AP847" s="554">
        <f t="shared" si="311"/>
        <v>1416</v>
      </c>
      <c r="AR847" s="680"/>
      <c r="AS847" s="548"/>
      <c r="AT847" s="548"/>
      <c r="AU847" s="554">
        <f t="shared" si="312"/>
        <v>1416</v>
      </c>
      <c r="AV847" s="551"/>
      <c r="AW847" s="650"/>
      <c r="AX847" s="548"/>
      <c r="AY847" s="548"/>
      <c r="AZ847" s="548"/>
      <c r="BA847" s="548"/>
      <c r="BB847" s="249">
        <f t="shared" si="314"/>
        <v>59</v>
      </c>
      <c r="BC847" s="651"/>
      <c r="BD847" s="548"/>
      <c r="BE847" s="548"/>
      <c r="BF847" s="548"/>
      <c r="BT847" s="551">
        <f t="shared" si="317"/>
        <v>236</v>
      </c>
      <c r="BU847" s="551"/>
      <c r="BY847" s="650"/>
      <c r="BZ847" s="548"/>
      <c r="CA847" s="652"/>
      <c r="CB847" s="567"/>
      <c r="CC847" s="653"/>
      <c r="CD847" s="650"/>
      <c r="CE847" s="650"/>
      <c r="CF847" s="548"/>
      <c r="CG847" s="548"/>
      <c r="CU847" s="554">
        <f t="shared" si="308"/>
        <v>0</v>
      </c>
      <c r="CV847" s="663">
        <f t="shared" si="315"/>
        <v>0</v>
      </c>
      <c r="CW847" s="663">
        <f t="shared" si="316"/>
        <v>0</v>
      </c>
      <c r="CX847" s="650"/>
      <c r="CY847" s="650"/>
      <c r="CZ847" s="650"/>
      <c r="DA847" s="548"/>
      <c r="DB847" s="548"/>
      <c r="DC847" s="548"/>
      <c r="DD847" s="650"/>
      <c r="DE847" s="650"/>
      <c r="DF847" s="650"/>
      <c r="DG847" s="650"/>
      <c r="DH847" s="650"/>
    </row>
    <row r="848" s="548" customFormat="1" ht="31" customHeight="1" spans="1:112">
      <c r="A848" s="641">
        <v>45959</v>
      </c>
      <c r="B848" s="642" t="s">
        <v>8152</v>
      </c>
      <c r="C848" s="246" t="s">
        <v>98</v>
      </c>
      <c r="D848" s="551">
        <v>4500183538</v>
      </c>
      <c r="E848" s="246">
        <v>4559845066</v>
      </c>
      <c r="F848" s="551" t="s">
        <v>8160</v>
      </c>
      <c r="G848" s="246" t="s">
        <v>8051</v>
      </c>
      <c r="H848" s="246" t="s">
        <v>6102</v>
      </c>
      <c r="I848" s="246">
        <v>1038</v>
      </c>
      <c r="J848" s="246">
        <v>0</v>
      </c>
      <c r="K848" s="246">
        <v>6</v>
      </c>
      <c r="L848" s="644">
        <f t="shared" si="299"/>
        <v>173</v>
      </c>
      <c r="M848" s="645">
        <v>46001</v>
      </c>
      <c r="N848" s="645">
        <v>45997</v>
      </c>
      <c r="O848" s="643"/>
      <c r="P848" s="643" t="s">
        <v>113</v>
      </c>
      <c r="Q848" s="246"/>
      <c r="R848" s="646" t="s">
        <v>8154</v>
      </c>
      <c r="S848" s="646" t="s">
        <v>104</v>
      </c>
      <c r="T848" s="646" t="s">
        <v>8155</v>
      </c>
      <c r="U848" s="646"/>
      <c r="V848" s="646"/>
      <c r="W848" s="615"/>
      <c r="X848" s="642" t="s">
        <v>8156</v>
      </c>
      <c r="Y848" s="642" t="s">
        <v>819</v>
      </c>
      <c r="Z848" s="642">
        <v>0.5741</v>
      </c>
      <c r="AA848" s="647">
        <f t="shared" si="310"/>
        <v>595.9158</v>
      </c>
      <c r="AC848" s="648"/>
      <c r="AD848" s="246" t="s">
        <v>8051</v>
      </c>
      <c r="AE848" s="246" t="s">
        <v>82</v>
      </c>
      <c r="AF848" s="246"/>
      <c r="AG848" s="246"/>
      <c r="AH848" s="246">
        <v>1</v>
      </c>
      <c r="AI848" s="246">
        <v>1038</v>
      </c>
      <c r="AJ848" s="246">
        <f t="shared" si="309"/>
        <v>0</v>
      </c>
      <c r="AK848" s="246"/>
      <c r="AL848" s="246"/>
      <c r="AM848" s="246"/>
      <c r="AN848" s="246">
        <f t="shared" si="313"/>
        <v>1038</v>
      </c>
      <c r="AO848" s="551"/>
      <c r="AP848" s="554">
        <f t="shared" si="311"/>
        <v>1038</v>
      </c>
      <c r="AR848" s="680"/>
      <c r="AS848" s="548"/>
      <c r="AT848" s="548"/>
      <c r="AU848" s="554">
        <f t="shared" si="312"/>
        <v>1038</v>
      </c>
      <c r="AV848" s="551"/>
      <c r="AW848" s="650"/>
      <c r="AX848" s="548"/>
      <c r="AY848" s="548"/>
      <c r="AZ848" s="548"/>
      <c r="BA848" s="548"/>
      <c r="BB848" s="249">
        <f t="shared" si="314"/>
        <v>43.25</v>
      </c>
      <c r="BC848" s="651"/>
      <c r="BD848" s="548"/>
      <c r="BE848" s="548"/>
      <c r="BF848" s="548"/>
      <c r="BT848" s="551">
        <f t="shared" si="317"/>
        <v>173</v>
      </c>
      <c r="BU848" s="551"/>
      <c r="BY848" s="650"/>
      <c r="BZ848" s="548"/>
      <c r="CA848" s="652"/>
      <c r="CB848" s="567"/>
      <c r="CC848" s="653"/>
      <c r="CD848" s="650"/>
      <c r="CE848" s="650"/>
      <c r="CF848" s="548"/>
      <c r="CG848" s="548"/>
      <c r="CU848" s="554">
        <f t="shared" si="308"/>
        <v>0</v>
      </c>
      <c r="CV848" s="663">
        <f t="shared" si="315"/>
        <v>0</v>
      </c>
      <c r="CW848" s="663">
        <f t="shared" si="316"/>
        <v>0</v>
      </c>
      <c r="CX848" s="650"/>
      <c r="CY848" s="650"/>
      <c r="CZ848" s="650"/>
      <c r="DA848" s="548"/>
      <c r="DB848" s="548"/>
      <c r="DC848" s="548"/>
      <c r="DD848" s="650"/>
      <c r="DE848" s="650"/>
      <c r="DF848" s="650"/>
      <c r="DG848" s="650"/>
      <c r="DH848" s="650"/>
    </row>
    <row r="849" s="548" customFormat="1" ht="31" customHeight="1" spans="1:112">
      <c r="A849" s="641">
        <v>45959</v>
      </c>
      <c r="B849" s="642" t="s">
        <v>8152</v>
      </c>
      <c r="C849" s="246" t="s">
        <v>98</v>
      </c>
      <c r="D849" s="551">
        <v>4500183538</v>
      </c>
      <c r="E849" s="246">
        <v>4559844987</v>
      </c>
      <c r="F849" s="551" t="s">
        <v>8161</v>
      </c>
      <c r="G849" s="246" t="s">
        <v>8051</v>
      </c>
      <c r="H849" s="246" t="s">
        <v>6102</v>
      </c>
      <c r="I849" s="246">
        <v>1146</v>
      </c>
      <c r="J849" s="246">
        <v>0</v>
      </c>
      <c r="K849" s="246">
        <v>6</v>
      </c>
      <c r="L849" s="644">
        <f t="shared" si="299"/>
        <v>191</v>
      </c>
      <c r="M849" s="645">
        <v>46001</v>
      </c>
      <c r="N849" s="645">
        <v>45997</v>
      </c>
      <c r="O849" s="643"/>
      <c r="P849" s="643" t="s">
        <v>113</v>
      </c>
      <c r="Q849" s="246"/>
      <c r="R849" s="646" t="s">
        <v>8154</v>
      </c>
      <c r="S849" s="646" t="s">
        <v>104</v>
      </c>
      <c r="T849" s="646" t="s">
        <v>8155</v>
      </c>
      <c r="U849" s="646"/>
      <c r="V849" s="646"/>
      <c r="W849" s="615"/>
      <c r="X849" s="642" t="s">
        <v>8156</v>
      </c>
      <c r="Y849" s="642" t="s">
        <v>819</v>
      </c>
      <c r="Z849" s="642">
        <v>0.5741</v>
      </c>
      <c r="AA849" s="647">
        <f t="shared" si="310"/>
        <v>657.9186</v>
      </c>
      <c r="AC849" s="648"/>
      <c r="AD849" s="246" t="s">
        <v>8051</v>
      </c>
      <c r="AE849" s="246" t="s">
        <v>82</v>
      </c>
      <c r="AF849" s="246"/>
      <c r="AG849" s="246"/>
      <c r="AH849" s="246">
        <v>1</v>
      </c>
      <c r="AI849" s="246">
        <v>1146</v>
      </c>
      <c r="AJ849" s="246">
        <f t="shared" si="309"/>
        <v>0</v>
      </c>
      <c r="AK849" s="246"/>
      <c r="AL849" s="246"/>
      <c r="AM849" s="246"/>
      <c r="AN849" s="246">
        <f t="shared" si="313"/>
        <v>1146</v>
      </c>
      <c r="AO849" s="551"/>
      <c r="AP849" s="554">
        <f t="shared" si="311"/>
        <v>1146</v>
      </c>
      <c r="AR849" s="680"/>
      <c r="AS849" s="548"/>
      <c r="AT849" s="548"/>
      <c r="AU849" s="554">
        <f t="shared" si="312"/>
        <v>1146</v>
      </c>
      <c r="AV849" s="551"/>
      <c r="AW849" s="650"/>
      <c r="AX849" s="548"/>
      <c r="AY849" s="548"/>
      <c r="AZ849" s="548"/>
      <c r="BA849" s="548"/>
      <c r="BB849" s="249">
        <f t="shared" si="314"/>
        <v>47.75</v>
      </c>
      <c r="BC849" s="651"/>
      <c r="BD849" s="548"/>
      <c r="BE849" s="548"/>
      <c r="BF849" s="548"/>
      <c r="BT849" s="551">
        <f t="shared" si="317"/>
        <v>191</v>
      </c>
      <c r="BU849" s="551"/>
      <c r="BY849" s="650"/>
      <c r="BZ849" s="548"/>
      <c r="CA849" s="652"/>
      <c r="CB849" s="567"/>
      <c r="CC849" s="653"/>
      <c r="CD849" s="650"/>
      <c r="CE849" s="650"/>
      <c r="CF849" s="548"/>
      <c r="CG849" s="548"/>
      <c r="CU849" s="554">
        <f t="shared" si="308"/>
        <v>0</v>
      </c>
      <c r="CV849" s="663">
        <f t="shared" si="315"/>
        <v>0</v>
      </c>
      <c r="CW849" s="663">
        <f t="shared" si="316"/>
        <v>0</v>
      </c>
      <c r="CX849" s="650"/>
      <c r="CY849" s="650"/>
      <c r="CZ849" s="650"/>
      <c r="DA849" s="548"/>
      <c r="DB849" s="548"/>
      <c r="DC849" s="548"/>
      <c r="DD849" s="650"/>
      <c r="DE849" s="650"/>
      <c r="DF849" s="650"/>
      <c r="DG849" s="650"/>
      <c r="DH849" s="650"/>
    </row>
    <row r="850" s="548" customFormat="1" ht="31" customHeight="1" spans="1:112">
      <c r="A850" s="641">
        <v>45959</v>
      </c>
      <c r="B850" s="642" t="s">
        <v>8152</v>
      </c>
      <c r="C850" s="246" t="s">
        <v>98</v>
      </c>
      <c r="D850" s="551">
        <v>4500183538</v>
      </c>
      <c r="E850" s="246">
        <v>4559845143</v>
      </c>
      <c r="F850" s="551" t="s">
        <v>8162</v>
      </c>
      <c r="G850" s="246" t="s">
        <v>8051</v>
      </c>
      <c r="H850" s="246" t="s">
        <v>6102</v>
      </c>
      <c r="I850" s="246">
        <v>1146</v>
      </c>
      <c r="J850" s="246">
        <v>0</v>
      </c>
      <c r="K850" s="246">
        <v>6</v>
      </c>
      <c r="L850" s="644">
        <f t="shared" si="299"/>
        <v>191</v>
      </c>
      <c r="M850" s="645">
        <v>46001</v>
      </c>
      <c r="N850" s="645">
        <v>45997</v>
      </c>
      <c r="O850" s="643"/>
      <c r="P850" s="643" t="s">
        <v>113</v>
      </c>
      <c r="Q850" s="246"/>
      <c r="R850" s="646" t="s">
        <v>8154</v>
      </c>
      <c r="S850" s="646" t="s">
        <v>104</v>
      </c>
      <c r="T850" s="646" t="s">
        <v>8155</v>
      </c>
      <c r="U850" s="646"/>
      <c r="V850" s="646"/>
      <c r="W850" s="615"/>
      <c r="X850" s="642" t="s">
        <v>8156</v>
      </c>
      <c r="Y850" s="642" t="s">
        <v>819</v>
      </c>
      <c r="Z850" s="642">
        <v>0.5741</v>
      </c>
      <c r="AA850" s="647">
        <f t="shared" si="310"/>
        <v>657.9186</v>
      </c>
      <c r="AC850" s="648"/>
      <c r="AD850" s="246" t="s">
        <v>8051</v>
      </c>
      <c r="AE850" s="246" t="s">
        <v>82</v>
      </c>
      <c r="AF850" s="246"/>
      <c r="AG850" s="246"/>
      <c r="AH850" s="246">
        <v>1</v>
      </c>
      <c r="AI850" s="246">
        <f>1140+6</f>
        <v>1146</v>
      </c>
      <c r="AJ850" s="246">
        <f t="shared" si="309"/>
        <v>0</v>
      </c>
      <c r="AK850" s="246"/>
      <c r="AL850" s="246"/>
      <c r="AM850" s="246"/>
      <c r="AN850" s="246">
        <f t="shared" si="313"/>
        <v>1146</v>
      </c>
      <c r="AO850" s="551"/>
      <c r="AP850" s="554">
        <f t="shared" si="311"/>
        <v>1146</v>
      </c>
      <c r="AR850" s="680"/>
      <c r="AS850" s="548"/>
      <c r="AT850" s="548"/>
      <c r="AU850" s="554">
        <f t="shared" si="312"/>
        <v>1146</v>
      </c>
      <c r="AV850" s="551"/>
      <c r="AW850" s="650"/>
      <c r="AX850" s="548"/>
      <c r="AY850" s="548"/>
      <c r="AZ850" s="548"/>
      <c r="BA850" s="548"/>
      <c r="BB850" s="249">
        <f t="shared" si="314"/>
        <v>47.75</v>
      </c>
      <c r="BC850" s="651"/>
      <c r="BD850" s="548"/>
      <c r="BE850" s="548"/>
      <c r="BF850" s="548"/>
      <c r="BT850" s="551">
        <f t="shared" si="317"/>
        <v>191</v>
      </c>
      <c r="BU850" s="551"/>
      <c r="BY850" s="650"/>
      <c r="BZ850" s="548"/>
      <c r="CA850" s="652"/>
      <c r="CB850" s="567"/>
      <c r="CC850" s="653"/>
      <c r="CD850" s="650"/>
      <c r="CE850" s="650"/>
      <c r="CF850" s="548"/>
      <c r="CG850" s="548"/>
      <c r="CU850" s="554">
        <f t="shared" si="308"/>
        <v>0</v>
      </c>
      <c r="CV850" s="663">
        <f t="shared" si="315"/>
        <v>0</v>
      </c>
      <c r="CW850" s="663">
        <f t="shared" si="316"/>
        <v>0</v>
      </c>
      <c r="CX850" s="650"/>
      <c r="CY850" s="650"/>
      <c r="CZ850" s="650"/>
      <c r="DA850" s="548"/>
      <c r="DB850" s="548"/>
      <c r="DC850" s="548"/>
      <c r="DD850" s="650"/>
      <c r="DE850" s="650"/>
      <c r="DF850" s="650"/>
      <c r="DG850" s="650"/>
      <c r="DH850" s="650"/>
    </row>
    <row r="851" s="548" customFormat="1" ht="31" customHeight="1" spans="1:112">
      <c r="A851" s="641">
        <v>45965</v>
      </c>
      <c r="B851" s="642" t="s">
        <v>143</v>
      </c>
      <c r="C851" s="246" t="s">
        <v>98</v>
      </c>
      <c r="D851" s="551">
        <v>4500184387</v>
      </c>
      <c r="E851" s="643">
        <v>952702424</v>
      </c>
      <c r="F851" s="551" t="s">
        <v>8163</v>
      </c>
      <c r="G851" s="246" t="s">
        <v>6063</v>
      </c>
      <c r="H851" s="246" t="s">
        <v>6064</v>
      </c>
      <c r="I851" s="246">
        <v>62400</v>
      </c>
      <c r="J851" s="246">
        <v>0</v>
      </c>
      <c r="K851" s="246">
        <v>16</v>
      </c>
      <c r="L851" s="644">
        <f t="shared" si="299"/>
        <v>3900</v>
      </c>
      <c r="M851" s="645">
        <v>46003</v>
      </c>
      <c r="N851" s="645">
        <v>45999</v>
      </c>
      <c r="O851" s="645">
        <v>46006</v>
      </c>
      <c r="P851" s="643" t="s">
        <v>113</v>
      </c>
      <c r="Q851" s="246"/>
      <c r="R851" s="646" t="s">
        <v>7064</v>
      </c>
      <c r="S851" s="646" t="s">
        <v>70</v>
      </c>
      <c r="T851" s="646" t="s">
        <v>148</v>
      </c>
      <c r="U851" s="646"/>
      <c r="V851" s="646"/>
      <c r="W851" s="615"/>
      <c r="X851" s="642" t="s">
        <v>7065</v>
      </c>
      <c r="Y851" s="642" t="s">
        <v>106</v>
      </c>
      <c r="Z851" s="642">
        <v>0.5783</v>
      </c>
      <c r="AA851" s="647">
        <f t="shared" si="310"/>
        <v>36085.92</v>
      </c>
      <c r="AC851" s="648"/>
      <c r="AD851" s="246" t="s">
        <v>6063</v>
      </c>
      <c r="AE851" s="246" t="s">
        <v>82</v>
      </c>
      <c r="AF851" s="246"/>
      <c r="AG851" s="246"/>
      <c r="AH851" s="246">
        <v>1</v>
      </c>
      <c r="AI851" s="246">
        <f>32448+29952</f>
        <v>62400</v>
      </c>
      <c r="AJ851" s="246">
        <f t="shared" si="309"/>
        <v>0</v>
      </c>
      <c r="AK851" s="246"/>
      <c r="AL851" s="246"/>
      <c r="AM851" s="246"/>
      <c r="AN851" s="246">
        <f t="shared" si="313"/>
        <v>62400</v>
      </c>
      <c r="AO851" s="551"/>
      <c r="AP851" s="554">
        <f t="shared" si="311"/>
        <v>62400</v>
      </c>
      <c r="AR851" s="680"/>
      <c r="AS851" s="548"/>
      <c r="AT851" s="548"/>
      <c r="AU851" s="554">
        <f t="shared" si="312"/>
        <v>62400</v>
      </c>
      <c r="AV851" s="551"/>
      <c r="AW851" s="650"/>
      <c r="AX851" s="548"/>
      <c r="AY851" s="548"/>
      <c r="AZ851" s="548"/>
      <c r="BA851" s="548"/>
      <c r="BB851" s="249">
        <f t="shared" si="314"/>
        <v>2600</v>
      </c>
      <c r="BC851" s="651"/>
      <c r="BD851" s="548"/>
      <c r="BE851" s="548"/>
      <c r="BF851" s="548"/>
      <c r="BQ851" s="551">
        <f>I851/16</f>
        <v>3900</v>
      </c>
      <c r="BY851" s="650"/>
      <c r="BZ851" s="548"/>
      <c r="CA851" s="652"/>
      <c r="CB851" s="567"/>
      <c r="CC851" s="653"/>
      <c r="CD851" s="650"/>
      <c r="CE851" s="650"/>
      <c r="CF851" s="548"/>
      <c r="CG851" s="548"/>
      <c r="CU851" s="554">
        <f t="shared" si="308"/>
        <v>3900</v>
      </c>
      <c r="CV851" s="551">
        <f t="shared" ref="CV851:CV858" si="318">CK851+CL851+CM851+CN851+CO851+CQ851+CP851</f>
        <v>0</v>
      </c>
      <c r="CW851" s="551">
        <f t="shared" ref="CW851:CW858" si="319">CI851+CJ851</f>
        <v>0</v>
      </c>
      <c r="CX851" s="650"/>
      <c r="CY851" s="650"/>
      <c r="CZ851" s="650"/>
      <c r="DA851" s="548"/>
      <c r="DB851" s="548"/>
      <c r="DC851" s="548"/>
      <c r="DD851" s="650"/>
      <c r="DE851" s="650"/>
      <c r="DF851" s="650"/>
      <c r="DG851" s="650"/>
      <c r="DH851" s="650"/>
    </row>
    <row r="852" s="548" customFormat="1" ht="31" customHeight="1" spans="1:112">
      <c r="A852" s="641">
        <v>45905</v>
      </c>
      <c r="B852" s="642" t="s">
        <v>1800</v>
      </c>
      <c r="C852" s="246" t="s">
        <v>744</v>
      </c>
      <c r="D852" s="551">
        <v>4500178919</v>
      </c>
      <c r="E852" s="246">
        <v>5000001988</v>
      </c>
      <c r="F852" s="551" t="s">
        <v>2342</v>
      </c>
      <c r="G852" s="246" t="s">
        <v>6337</v>
      </c>
      <c r="H852" s="662" t="s">
        <v>477</v>
      </c>
      <c r="I852" s="246">
        <v>10002</v>
      </c>
      <c r="J852" s="246">
        <v>0</v>
      </c>
      <c r="K852" s="246">
        <v>6</v>
      </c>
      <c r="L852" s="644">
        <f t="shared" si="299"/>
        <v>1667</v>
      </c>
      <c r="M852" s="645">
        <v>46003</v>
      </c>
      <c r="N852" s="645">
        <v>45999</v>
      </c>
      <c r="O852" s="643"/>
      <c r="P852" s="643" t="s">
        <v>113</v>
      </c>
      <c r="Q852" s="246"/>
      <c r="R852" s="646">
        <v>45960</v>
      </c>
      <c r="S852" s="646" t="s">
        <v>70</v>
      </c>
      <c r="T852" s="646" t="s">
        <v>7927</v>
      </c>
      <c r="U852" s="646"/>
      <c r="V852" s="646"/>
      <c r="W852" s="615"/>
      <c r="X852" s="642" t="s">
        <v>2795</v>
      </c>
      <c r="Y852" s="642" t="s">
        <v>1805</v>
      </c>
      <c r="Z852" s="642">
        <v>6.3409</v>
      </c>
      <c r="AA852" s="647">
        <f t="shared" si="310"/>
        <v>63421.6818</v>
      </c>
      <c r="AC852" s="698" t="s">
        <v>2343</v>
      </c>
      <c r="AD852" s="695" t="s">
        <v>2241</v>
      </c>
      <c r="AE852" s="246" t="s">
        <v>82</v>
      </c>
      <c r="AF852" s="246"/>
      <c r="AG852" s="695"/>
      <c r="AH852" s="695">
        <v>1</v>
      </c>
      <c r="AI852" s="246">
        <v>10002</v>
      </c>
      <c r="AJ852" s="246">
        <f t="shared" si="309"/>
        <v>0</v>
      </c>
      <c r="AK852" s="246"/>
      <c r="AL852" s="246" t="s">
        <v>454</v>
      </c>
      <c r="AM852" s="246"/>
      <c r="AN852" s="246"/>
      <c r="AO852" s="554">
        <f>I852*2</f>
        <v>20004</v>
      </c>
      <c r="AR852" s="680"/>
      <c r="AS852" s="548"/>
      <c r="AT852" s="554">
        <f>I852*2</f>
        <v>20004</v>
      </c>
      <c r="AV852" s="551"/>
      <c r="AW852" s="650"/>
      <c r="AX852" s="663">
        <f>I852*2</f>
        <v>20004</v>
      </c>
      <c r="BA852" s="671">
        <f>I852/24*2</f>
        <v>833.5</v>
      </c>
      <c r="BB852" s="249"/>
      <c r="BC852" s="651"/>
      <c r="BD852" s="548"/>
      <c r="BE852" s="548"/>
      <c r="BF852" s="548"/>
      <c r="BY852" s="619"/>
      <c r="BZ852" s="554">
        <f>I852</f>
        <v>10002</v>
      </c>
      <c r="CA852" s="652"/>
      <c r="CB852" s="567"/>
      <c r="CC852" s="653"/>
      <c r="CD852" s="650"/>
      <c r="CE852" s="650"/>
      <c r="CF852" s="548"/>
      <c r="CG852" s="548"/>
      <c r="CU852" s="554">
        <f t="shared" si="308"/>
        <v>0</v>
      </c>
      <c r="CV852" s="551">
        <f t="shared" si="318"/>
        <v>0</v>
      </c>
      <c r="CW852" s="551">
        <f t="shared" si="319"/>
        <v>0</v>
      </c>
      <c r="CX852" s="650"/>
      <c r="CY852" s="650"/>
      <c r="CZ852" s="650"/>
      <c r="DA852" s="548"/>
      <c r="DB852" s="548"/>
      <c r="DC852" s="548"/>
      <c r="DD852" s="650"/>
      <c r="DE852" s="650"/>
      <c r="DF852" s="650"/>
      <c r="DG852" s="650"/>
      <c r="DH852" s="650"/>
    </row>
    <row r="853" s="548" customFormat="1" ht="31" customHeight="1" spans="1:112">
      <c r="A853" s="641">
        <v>45953</v>
      </c>
      <c r="B853" s="609" t="s">
        <v>246</v>
      </c>
      <c r="C853" s="246" t="s">
        <v>98</v>
      </c>
      <c r="D853" s="551">
        <v>4500182971</v>
      </c>
      <c r="E853" s="246" t="s">
        <v>2344</v>
      </c>
      <c r="F853" s="551" t="s">
        <v>8164</v>
      </c>
      <c r="G853" s="246" t="s">
        <v>6084</v>
      </c>
      <c r="H853" s="246" t="s">
        <v>6069</v>
      </c>
      <c r="I853" s="246">
        <v>36500</v>
      </c>
      <c r="J853" s="246">
        <v>0</v>
      </c>
      <c r="K853" s="246">
        <v>25</v>
      </c>
      <c r="L853" s="644">
        <f t="shared" si="299"/>
        <v>1460</v>
      </c>
      <c r="M853" s="645">
        <v>46003</v>
      </c>
      <c r="N853" s="645">
        <v>45999</v>
      </c>
      <c r="O853" s="643"/>
      <c r="P853" s="643" t="s">
        <v>113</v>
      </c>
      <c r="Q853" s="246"/>
      <c r="R853" s="646">
        <v>45957</v>
      </c>
      <c r="S853" s="646" t="s">
        <v>104</v>
      </c>
      <c r="T853" s="646" t="s">
        <v>2272</v>
      </c>
      <c r="U853" s="646"/>
      <c r="V853" s="646"/>
      <c r="W853" s="615"/>
      <c r="X853" s="642" t="s">
        <v>8165</v>
      </c>
      <c r="Y853" s="642" t="s">
        <v>252</v>
      </c>
      <c r="Z853" s="655">
        <v>0.5488</v>
      </c>
      <c r="AA853" s="647">
        <f t="shared" si="310"/>
        <v>20031.2</v>
      </c>
      <c r="AC853" s="648"/>
      <c r="AD853" s="246" t="s">
        <v>6084</v>
      </c>
      <c r="AE853" s="246" t="s">
        <v>82</v>
      </c>
      <c r="AF853" s="246"/>
      <c r="AG853" s="693"/>
      <c r="AH853" s="693">
        <v>1</v>
      </c>
      <c r="AI853" s="246">
        <f>5250+31250</f>
        <v>36500</v>
      </c>
      <c r="AJ853" s="246">
        <f t="shared" si="309"/>
        <v>0</v>
      </c>
      <c r="AK853" s="246"/>
      <c r="AL853" s="246"/>
      <c r="AM853" s="246"/>
      <c r="AN853" s="246">
        <f>I853</f>
        <v>36500</v>
      </c>
      <c r="AP853" s="554">
        <f>I853</f>
        <v>36500</v>
      </c>
      <c r="AR853" s="680"/>
      <c r="AS853" s="548"/>
      <c r="AT853" s="548"/>
      <c r="AU853" s="554">
        <f>I853</f>
        <v>36500</v>
      </c>
      <c r="AV853" s="551"/>
      <c r="AW853" s="650"/>
      <c r="AX853" s="551"/>
      <c r="AY853" s="548"/>
      <c r="AZ853" s="548"/>
      <c r="BA853" s="548"/>
      <c r="BB853" s="249">
        <f>I853/24</f>
        <v>1520.83333333333</v>
      </c>
      <c r="BC853" s="651"/>
      <c r="BD853" s="548"/>
      <c r="BE853" s="548"/>
      <c r="BF853" s="548"/>
      <c r="BN853" s="551">
        <f>I853/25</f>
        <v>1460</v>
      </c>
      <c r="BY853" s="650"/>
      <c r="BZ853" s="548"/>
      <c r="CA853" s="652"/>
      <c r="CB853" s="567"/>
      <c r="CC853" s="653"/>
      <c r="CD853" s="650"/>
      <c r="CE853" s="650"/>
      <c r="CF853" s="548"/>
      <c r="CG853" s="548"/>
      <c r="CU853" s="554">
        <f t="shared" si="308"/>
        <v>1460</v>
      </c>
      <c r="CV853" s="551">
        <f t="shared" si="318"/>
        <v>0</v>
      </c>
      <c r="CW853" s="551">
        <f t="shared" si="319"/>
        <v>0</v>
      </c>
      <c r="CX853" s="650"/>
      <c r="CY853" s="650"/>
      <c r="CZ853" s="650"/>
      <c r="DA853" s="548"/>
      <c r="DB853" s="548"/>
      <c r="DC853" s="548"/>
      <c r="DD853" s="650"/>
      <c r="DE853" s="650"/>
      <c r="DF853" s="650"/>
      <c r="DG853" s="650"/>
      <c r="DH853" s="650"/>
    </row>
    <row r="854" s="548" customFormat="1" ht="31" customHeight="1" spans="1:112">
      <c r="A854" s="641">
        <v>45964</v>
      </c>
      <c r="B854" s="642" t="s">
        <v>1928</v>
      </c>
      <c r="C854" s="246" t="s">
        <v>424</v>
      </c>
      <c r="D854" s="551">
        <v>4500183825</v>
      </c>
      <c r="E854" s="246"/>
      <c r="F854" s="551" t="s">
        <v>8166</v>
      </c>
      <c r="G854" s="246" t="s">
        <v>6223</v>
      </c>
      <c r="H854" s="246" t="s">
        <v>6080</v>
      </c>
      <c r="I854" s="246">
        <v>1200</v>
      </c>
      <c r="J854" s="246">
        <v>0</v>
      </c>
      <c r="K854" s="246">
        <v>30</v>
      </c>
      <c r="L854" s="644">
        <f t="shared" si="299"/>
        <v>40</v>
      </c>
      <c r="M854" s="645">
        <v>46001</v>
      </c>
      <c r="N854" s="645">
        <v>45997</v>
      </c>
      <c r="O854" s="643"/>
      <c r="P854" s="643" t="s">
        <v>113</v>
      </c>
      <c r="Q854" s="246"/>
      <c r="R854" s="646">
        <v>45972</v>
      </c>
      <c r="S854" s="646" t="s">
        <v>70</v>
      </c>
      <c r="T854" s="646" t="s">
        <v>8167</v>
      </c>
      <c r="U854" s="646"/>
      <c r="V854" s="646"/>
      <c r="W854" s="615"/>
      <c r="X854" s="642" t="s">
        <v>8168</v>
      </c>
      <c r="Y854" s="642" t="s">
        <v>8169</v>
      </c>
      <c r="Z854" s="642">
        <v>41.4795</v>
      </c>
      <c r="AA854" s="647">
        <f>Z854*L854</f>
        <v>1659.18</v>
      </c>
      <c r="AC854" s="698" t="s">
        <v>8170</v>
      </c>
      <c r="AD854" s="246" t="s">
        <v>6223</v>
      </c>
      <c r="AE854" s="246" t="s">
        <v>82</v>
      </c>
      <c r="AF854" s="246"/>
      <c r="AG854" s="693"/>
      <c r="AH854" s="693">
        <v>1</v>
      </c>
      <c r="AI854" s="246">
        <v>1200</v>
      </c>
      <c r="AJ854" s="246">
        <f t="shared" ref="AJ854:AJ865" si="320">AI854-I854</f>
        <v>0</v>
      </c>
      <c r="AK854" s="246"/>
      <c r="AL854" s="246"/>
      <c r="AM854" s="246"/>
      <c r="AN854" s="246"/>
      <c r="AO854" s="551">
        <f>I854</f>
        <v>1200</v>
      </c>
      <c r="AR854" s="680"/>
      <c r="AS854" s="548"/>
      <c r="AT854" s="554">
        <f>I854</f>
        <v>1200</v>
      </c>
      <c r="AU854" s="551"/>
      <c r="AV854" s="554">
        <f>I854</f>
        <v>1200</v>
      </c>
      <c r="AW854" s="650"/>
      <c r="AX854" s="551"/>
      <c r="AY854" s="548"/>
      <c r="AZ854" s="548"/>
      <c r="BA854" s="548"/>
      <c r="BB854" s="620">
        <f>I854/24</f>
        <v>50</v>
      </c>
      <c r="BC854" s="651"/>
      <c r="BD854" s="548"/>
      <c r="BE854" s="548"/>
      <c r="BF854" s="548"/>
      <c r="BY854" s="650"/>
      <c r="BZ854" s="548"/>
      <c r="CA854" s="652"/>
      <c r="CB854" s="567"/>
      <c r="CC854" s="653"/>
      <c r="CD854" s="650"/>
      <c r="CE854" s="650"/>
      <c r="CF854" s="548"/>
      <c r="CG854" s="548"/>
      <c r="CP854" s="554">
        <f>I854/30</f>
        <v>40</v>
      </c>
      <c r="CU854" s="554">
        <f t="shared" si="308"/>
        <v>0</v>
      </c>
      <c r="CV854" s="551">
        <f t="shared" si="318"/>
        <v>40</v>
      </c>
      <c r="CW854" s="551">
        <f t="shared" si="319"/>
        <v>0</v>
      </c>
      <c r="CX854" s="650"/>
      <c r="CY854" s="650"/>
      <c r="CZ854" s="650"/>
      <c r="DA854" s="548"/>
      <c r="DB854" s="548"/>
      <c r="DC854" s="548"/>
      <c r="DD854" s="650"/>
      <c r="DE854" s="650"/>
      <c r="DF854" s="650"/>
      <c r="DG854" s="650"/>
      <c r="DH854" s="650"/>
    </row>
    <row r="855" s="548" customFormat="1" ht="31" customHeight="1" spans="1:112">
      <c r="A855" s="641">
        <v>45964</v>
      </c>
      <c r="B855" s="642" t="s">
        <v>1928</v>
      </c>
      <c r="C855" s="246" t="s">
        <v>424</v>
      </c>
      <c r="D855" s="551">
        <v>4500183825</v>
      </c>
      <c r="E855" s="246"/>
      <c r="F855" s="551" t="s">
        <v>8171</v>
      </c>
      <c r="G855" s="246" t="s">
        <v>6047</v>
      </c>
      <c r="H855" s="246" t="s">
        <v>6069</v>
      </c>
      <c r="I855" s="246">
        <v>1200</v>
      </c>
      <c r="J855" s="246">
        <v>0</v>
      </c>
      <c r="K855" s="246">
        <v>25</v>
      </c>
      <c r="L855" s="644">
        <f t="shared" si="299"/>
        <v>48</v>
      </c>
      <c r="M855" s="645">
        <v>46001</v>
      </c>
      <c r="N855" s="645">
        <v>45997</v>
      </c>
      <c r="O855" s="643"/>
      <c r="P855" s="643" t="s">
        <v>113</v>
      </c>
      <c r="Q855" s="246"/>
      <c r="R855" s="646">
        <v>45972</v>
      </c>
      <c r="S855" s="646" t="s">
        <v>70</v>
      </c>
      <c r="T855" s="646" t="s">
        <v>8172</v>
      </c>
      <c r="U855" s="646"/>
      <c r="V855" s="646"/>
      <c r="W855" s="615"/>
      <c r="X855" s="642" t="s">
        <v>8173</v>
      </c>
      <c r="Y855" s="642" t="s">
        <v>428</v>
      </c>
      <c r="Z855" s="642">
        <v>0.9417</v>
      </c>
      <c r="AA855" s="647">
        <f t="shared" ref="AA855:AA865" si="321">Z855*I855</f>
        <v>1130.04</v>
      </c>
      <c r="AC855" s="698" t="s">
        <v>8170</v>
      </c>
      <c r="AD855" s="246" t="s">
        <v>6047</v>
      </c>
      <c r="AE855" s="246" t="s">
        <v>82</v>
      </c>
      <c r="AF855" s="246"/>
      <c r="AG855" s="693"/>
      <c r="AH855" s="693">
        <v>1</v>
      </c>
      <c r="AI855" s="246">
        <v>1200</v>
      </c>
      <c r="AJ855" s="246">
        <f t="shared" si="320"/>
        <v>0</v>
      </c>
      <c r="AK855" s="246"/>
      <c r="AL855" s="246"/>
      <c r="AM855" s="246"/>
      <c r="AN855" s="246"/>
      <c r="AO855" s="551">
        <f>I855</f>
        <v>1200</v>
      </c>
      <c r="AR855" s="680"/>
      <c r="AS855" s="548"/>
      <c r="AT855" s="554">
        <f>I855</f>
        <v>1200</v>
      </c>
      <c r="AU855" s="551"/>
      <c r="AV855" s="554">
        <f>I855</f>
        <v>1200</v>
      </c>
      <c r="AW855" s="650"/>
      <c r="AX855" s="551"/>
      <c r="AY855" s="548"/>
      <c r="AZ855" s="548"/>
      <c r="BA855" s="548"/>
      <c r="BB855" s="620">
        <f>I855/24</f>
        <v>50</v>
      </c>
      <c r="BC855" s="651"/>
      <c r="BD855" s="548"/>
      <c r="BE855" s="548"/>
      <c r="BF855" s="548"/>
      <c r="BP855" s="551">
        <f>I855/25</f>
        <v>48</v>
      </c>
      <c r="BY855" s="650"/>
      <c r="BZ855" s="548"/>
      <c r="CA855" s="652"/>
      <c r="CB855" s="567"/>
      <c r="CC855" s="653"/>
      <c r="CD855" s="650"/>
      <c r="CE855" s="650"/>
      <c r="CF855" s="548"/>
      <c r="CG855" s="548"/>
      <c r="CU855" s="554">
        <f t="shared" si="308"/>
        <v>48</v>
      </c>
      <c r="CV855" s="551">
        <f t="shared" si="318"/>
        <v>0</v>
      </c>
      <c r="CW855" s="551">
        <f t="shared" si="319"/>
        <v>0</v>
      </c>
      <c r="CX855" s="650"/>
      <c r="CY855" s="650"/>
      <c r="CZ855" s="650"/>
      <c r="DA855" s="548"/>
      <c r="DB855" s="548"/>
      <c r="DC855" s="548"/>
      <c r="DD855" s="650"/>
      <c r="DE855" s="650"/>
      <c r="DF855" s="650"/>
      <c r="DG855" s="650"/>
      <c r="DH855" s="650"/>
    </row>
    <row r="856" s="548" customFormat="1" ht="31" customHeight="1" spans="1:112">
      <c r="A856" s="641">
        <v>45947</v>
      </c>
      <c r="B856" s="642" t="s">
        <v>1922</v>
      </c>
      <c r="C856" s="246" t="s">
        <v>154</v>
      </c>
      <c r="D856" s="551">
        <v>4500182289</v>
      </c>
      <c r="E856" s="246" t="s">
        <v>8174</v>
      </c>
      <c r="F856" s="551" t="s">
        <v>8175</v>
      </c>
      <c r="G856" s="246" t="s">
        <v>6365</v>
      </c>
      <c r="H856" s="246" t="s">
        <v>6126</v>
      </c>
      <c r="I856" s="246">
        <v>516</v>
      </c>
      <c r="J856" s="246">
        <v>0</v>
      </c>
      <c r="K856" s="246">
        <v>12</v>
      </c>
      <c r="L856" s="644">
        <f t="shared" si="299"/>
        <v>43</v>
      </c>
      <c r="M856" s="645">
        <v>46001</v>
      </c>
      <c r="N856" s="645">
        <v>45997</v>
      </c>
      <c r="O856" s="643"/>
      <c r="P856" s="643" t="s">
        <v>113</v>
      </c>
      <c r="Q856" s="246"/>
      <c r="R856" s="646" t="s">
        <v>4028</v>
      </c>
      <c r="S856" s="646" t="s">
        <v>104</v>
      </c>
      <c r="T856" s="646" t="s">
        <v>8176</v>
      </c>
      <c r="U856" s="646"/>
      <c r="V856" s="646"/>
      <c r="W856" s="615"/>
      <c r="X856" s="642" t="s">
        <v>8177</v>
      </c>
      <c r="Y856" s="642" t="s">
        <v>466</v>
      </c>
      <c r="Z856" s="642">
        <v>2.1629</v>
      </c>
      <c r="AA856" s="647">
        <f t="shared" si="321"/>
        <v>1116.0564</v>
      </c>
      <c r="AC856" s="698" t="s">
        <v>8178</v>
      </c>
      <c r="AD856" s="246" t="s">
        <v>6368</v>
      </c>
      <c r="AE856" s="246" t="s">
        <v>82</v>
      </c>
      <c r="AF856" s="246"/>
      <c r="AG856" s="693"/>
      <c r="AH856" s="693">
        <v>1</v>
      </c>
      <c r="AI856" s="246">
        <v>516</v>
      </c>
      <c r="AJ856" s="246">
        <f t="shared" si="320"/>
        <v>0</v>
      </c>
      <c r="AK856" s="246"/>
      <c r="AL856" s="246"/>
      <c r="AM856" s="246"/>
      <c r="AN856" s="246"/>
      <c r="AO856" s="554">
        <f>I856*2</f>
        <v>1032</v>
      </c>
      <c r="AR856" s="680"/>
      <c r="AS856" s="548"/>
      <c r="AT856" s="554">
        <f>I856*2</f>
        <v>1032</v>
      </c>
      <c r="AU856" s="551"/>
      <c r="AV856" s="554">
        <f>I856*2</f>
        <v>1032</v>
      </c>
      <c r="AW856" s="650"/>
      <c r="AX856" s="551"/>
      <c r="AY856" s="548"/>
      <c r="AZ856" s="548"/>
      <c r="BA856" s="548"/>
      <c r="BB856" s="249">
        <f>I856/24*2</f>
        <v>43</v>
      </c>
      <c r="BC856" s="651"/>
      <c r="BD856" s="548"/>
      <c r="BE856" s="548"/>
      <c r="BF856" s="548"/>
      <c r="BY856" s="650"/>
      <c r="BZ856" s="548"/>
      <c r="CA856" s="652"/>
      <c r="CB856" s="567"/>
      <c r="CC856" s="653"/>
      <c r="CD856" s="650"/>
      <c r="CE856" s="650"/>
      <c r="CF856" s="548"/>
      <c r="CG856" s="548"/>
      <c r="CR856" s="554">
        <f>I856</f>
        <v>516</v>
      </c>
      <c r="CS856" s="554">
        <f>I856</f>
        <v>516</v>
      </c>
      <c r="CT856" s="554">
        <f>I856</f>
        <v>516</v>
      </c>
      <c r="CU856" s="554">
        <f t="shared" si="308"/>
        <v>0</v>
      </c>
      <c r="CV856" s="551">
        <f t="shared" si="318"/>
        <v>0</v>
      </c>
      <c r="CW856" s="551">
        <f t="shared" si="319"/>
        <v>0</v>
      </c>
      <c r="CX856" s="650"/>
      <c r="CY856" s="650"/>
      <c r="CZ856" s="650"/>
      <c r="DA856" s="548"/>
      <c r="DB856" s="548"/>
      <c r="DC856" s="548"/>
      <c r="DD856" s="650"/>
      <c r="DE856" s="650"/>
      <c r="DF856" s="650"/>
      <c r="DG856" s="650"/>
      <c r="DH856" s="650"/>
    </row>
    <row r="857" s="548" customFormat="1" ht="31" customHeight="1" spans="1:112">
      <c r="A857" s="641">
        <v>45947</v>
      </c>
      <c r="B857" s="642" t="s">
        <v>1922</v>
      </c>
      <c r="C857" s="246" t="s">
        <v>154</v>
      </c>
      <c r="D857" s="551">
        <v>4500182289</v>
      </c>
      <c r="E857" s="246" t="s">
        <v>8179</v>
      </c>
      <c r="F857" s="551" t="s">
        <v>8180</v>
      </c>
      <c r="G857" s="246" t="s">
        <v>6365</v>
      </c>
      <c r="H857" s="246" t="s">
        <v>6126</v>
      </c>
      <c r="I857" s="246">
        <v>516</v>
      </c>
      <c r="J857" s="246">
        <v>0</v>
      </c>
      <c r="K857" s="246">
        <v>12</v>
      </c>
      <c r="L857" s="644">
        <f t="shared" si="299"/>
        <v>43</v>
      </c>
      <c r="M857" s="645">
        <v>46001</v>
      </c>
      <c r="N857" s="645">
        <v>45997</v>
      </c>
      <c r="O857" s="643"/>
      <c r="P857" s="643" t="s">
        <v>113</v>
      </c>
      <c r="Q857" s="246"/>
      <c r="R857" s="646" t="s">
        <v>4028</v>
      </c>
      <c r="S857" s="646" t="s">
        <v>104</v>
      </c>
      <c r="T857" s="646" t="s">
        <v>8176</v>
      </c>
      <c r="U857" s="646"/>
      <c r="V857" s="646"/>
      <c r="W857" s="615"/>
      <c r="X857" s="642" t="s">
        <v>8177</v>
      </c>
      <c r="Y857" s="642" t="s">
        <v>466</v>
      </c>
      <c r="Z857" s="642">
        <v>2.1629</v>
      </c>
      <c r="AA857" s="647">
        <f t="shared" si="321"/>
        <v>1116.0564</v>
      </c>
      <c r="AC857" s="698" t="s">
        <v>8178</v>
      </c>
      <c r="AD857" s="246" t="s">
        <v>6368</v>
      </c>
      <c r="AE857" s="246" t="s">
        <v>82</v>
      </c>
      <c r="AF857" s="246"/>
      <c r="AG857" s="693"/>
      <c r="AH857" s="693">
        <v>1</v>
      </c>
      <c r="AI857" s="246">
        <v>516</v>
      </c>
      <c r="AJ857" s="246">
        <f t="shared" si="320"/>
        <v>0</v>
      </c>
      <c r="AK857" s="246"/>
      <c r="AL857" s="246"/>
      <c r="AM857" s="246"/>
      <c r="AN857" s="246"/>
      <c r="AO857" s="554">
        <f>I857*2</f>
        <v>1032</v>
      </c>
      <c r="AR857" s="680"/>
      <c r="AS857" s="548"/>
      <c r="AT857" s="554">
        <f>I857*2</f>
        <v>1032</v>
      </c>
      <c r="AU857" s="551"/>
      <c r="AV857" s="554">
        <f>I857*2</f>
        <v>1032</v>
      </c>
      <c r="AW857" s="650"/>
      <c r="AX857" s="551"/>
      <c r="AY857" s="548"/>
      <c r="AZ857" s="548"/>
      <c r="BA857" s="548"/>
      <c r="BB857" s="249">
        <f>I857/24*2</f>
        <v>43</v>
      </c>
      <c r="BC857" s="651"/>
      <c r="BD857" s="548"/>
      <c r="BE857" s="548"/>
      <c r="BF857" s="548"/>
      <c r="BY857" s="650"/>
      <c r="BZ857" s="548"/>
      <c r="CA857" s="652"/>
      <c r="CB857" s="567"/>
      <c r="CC857" s="653"/>
      <c r="CD857" s="650"/>
      <c r="CE857" s="650"/>
      <c r="CF857" s="548"/>
      <c r="CG857" s="548"/>
      <c r="CR857" s="554">
        <f>I857</f>
        <v>516</v>
      </c>
      <c r="CS857" s="554">
        <f>I857</f>
        <v>516</v>
      </c>
      <c r="CT857" s="554">
        <f>I857</f>
        <v>516</v>
      </c>
      <c r="CU857" s="554">
        <f t="shared" si="308"/>
        <v>0</v>
      </c>
      <c r="CV857" s="551">
        <f t="shared" si="318"/>
        <v>0</v>
      </c>
      <c r="CW857" s="551">
        <f t="shared" si="319"/>
        <v>0</v>
      </c>
      <c r="CX857" s="650"/>
      <c r="CY857" s="650"/>
      <c r="CZ857" s="650"/>
      <c r="DA857" s="548"/>
      <c r="DB857" s="548"/>
      <c r="DC857" s="548"/>
      <c r="DD857" s="650"/>
      <c r="DE857" s="650"/>
      <c r="DF857" s="650"/>
      <c r="DG857" s="650"/>
      <c r="DH857" s="650"/>
    </row>
    <row r="858" s="548" customFormat="1" ht="31" customHeight="1" spans="1:112">
      <c r="A858" s="641">
        <v>45947</v>
      </c>
      <c r="B858" s="642" t="s">
        <v>1922</v>
      </c>
      <c r="C858" s="246" t="s">
        <v>278</v>
      </c>
      <c r="D858" s="551">
        <v>4500182289</v>
      </c>
      <c r="E858" s="246" t="s">
        <v>8181</v>
      </c>
      <c r="F858" s="551" t="s">
        <v>8182</v>
      </c>
      <c r="G858" s="246" t="s">
        <v>6365</v>
      </c>
      <c r="H858" s="246" t="s">
        <v>6126</v>
      </c>
      <c r="I858" s="246">
        <v>492</v>
      </c>
      <c r="J858" s="246">
        <v>0</v>
      </c>
      <c r="K858" s="246">
        <v>12</v>
      </c>
      <c r="L858" s="644">
        <f t="shared" si="299"/>
        <v>41</v>
      </c>
      <c r="M858" s="645">
        <v>46001</v>
      </c>
      <c r="N858" s="645">
        <v>45997</v>
      </c>
      <c r="O858" s="643"/>
      <c r="P858" s="643" t="s">
        <v>113</v>
      </c>
      <c r="Q858" s="246"/>
      <c r="R858" s="646" t="s">
        <v>4028</v>
      </c>
      <c r="S858" s="646" t="s">
        <v>104</v>
      </c>
      <c r="T858" s="646" t="s">
        <v>8176</v>
      </c>
      <c r="U858" s="646"/>
      <c r="V858" s="646"/>
      <c r="W858" s="615"/>
      <c r="X858" s="642" t="s">
        <v>8177</v>
      </c>
      <c r="Y858" s="642" t="s">
        <v>466</v>
      </c>
      <c r="Z858" s="642">
        <v>2.1629</v>
      </c>
      <c r="AA858" s="647">
        <f t="shared" si="321"/>
        <v>1064.1468</v>
      </c>
      <c r="AC858" s="658" t="s">
        <v>8183</v>
      </c>
      <c r="AD858" s="246" t="s">
        <v>6368</v>
      </c>
      <c r="AE858" s="246" t="s">
        <v>82</v>
      </c>
      <c r="AF858" s="246"/>
      <c r="AG858" s="693"/>
      <c r="AH858" s="693">
        <v>1</v>
      </c>
      <c r="AI858" s="246">
        <v>492</v>
      </c>
      <c r="AJ858" s="246">
        <f t="shared" si="320"/>
        <v>0</v>
      </c>
      <c r="AK858" s="246"/>
      <c r="AL858" s="246"/>
      <c r="AM858" s="246"/>
      <c r="AN858" s="246"/>
      <c r="AO858" s="554">
        <f>I858*2</f>
        <v>984</v>
      </c>
      <c r="AR858" s="680"/>
      <c r="AS858" s="548"/>
      <c r="AT858" s="554">
        <f>I858*2</f>
        <v>984</v>
      </c>
      <c r="AU858" s="551"/>
      <c r="AV858" s="554">
        <f>I858*2</f>
        <v>984</v>
      </c>
      <c r="AW858" s="650"/>
      <c r="AX858" s="551"/>
      <c r="AY858" s="548"/>
      <c r="AZ858" s="548"/>
      <c r="BA858" s="548"/>
      <c r="BB858" s="249">
        <f>I858/24*2</f>
        <v>41</v>
      </c>
      <c r="BC858" s="651"/>
      <c r="BD858" s="548"/>
      <c r="BE858" s="548"/>
      <c r="BF858" s="548"/>
      <c r="BY858" s="650"/>
      <c r="BZ858" s="548"/>
      <c r="CA858" s="652"/>
      <c r="CB858" s="567"/>
      <c r="CC858" s="653"/>
      <c r="CD858" s="650"/>
      <c r="CE858" s="650"/>
      <c r="CF858" s="548"/>
      <c r="CG858" s="548"/>
      <c r="CR858" s="554">
        <f>I858</f>
        <v>492</v>
      </c>
      <c r="CS858" s="554">
        <f>I858</f>
        <v>492</v>
      </c>
      <c r="CT858" s="554">
        <f>I858</f>
        <v>492</v>
      </c>
      <c r="CU858" s="554">
        <f t="shared" si="308"/>
        <v>0</v>
      </c>
      <c r="CV858" s="551">
        <f t="shared" si="318"/>
        <v>0</v>
      </c>
      <c r="CW858" s="551">
        <f t="shared" si="319"/>
        <v>0</v>
      </c>
      <c r="CX858" s="650"/>
      <c r="CY858" s="650"/>
      <c r="CZ858" s="650"/>
      <c r="DA858" s="548"/>
      <c r="DB858" s="548"/>
      <c r="DC858" s="548"/>
      <c r="DD858" s="650"/>
      <c r="DE858" s="650"/>
      <c r="DF858" s="650"/>
      <c r="DG858" s="650"/>
      <c r="DH858" s="650"/>
    </row>
    <row r="859" s="548" customFormat="1" ht="31" customHeight="1" spans="1:112">
      <c r="A859" s="641">
        <v>45950</v>
      </c>
      <c r="B859" s="609" t="s">
        <v>3815</v>
      </c>
      <c r="C859" s="246" t="s">
        <v>98</v>
      </c>
      <c r="D859" s="551">
        <v>4500182436</v>
      </c>
      <c r="E859" s="246" t="s">
        <v>8184</v>
      </c>
      <c r="F859" s="551" t="s">
        <v>8185</v>
      </c>
      <c r="G859" s="246" t="s">
        <v>6787</v>
      </c>
      <c r="H859" s="610" t="s">
        <v>6126</v>
      </c>
      <c r="I859" s="246">
        <v>6096</v>
      </c>
      <c r="J859" s="246">
        <v>0</v>
      </c>
      <c r="K859" s="246">
        <v>12</v>
      </c>
      <c r="L859" s="644">
        <f t="shared" si="299"/>
        <v>508</v>
      </c>
      <c r="M859" s="645">
        <v>46001</v>
      </c>
      <c r="N859" s="645">
        <v>45997</v>
      </c>
      <c r="O859" s="643"/>
      <c r="P859" s="643" t="s">
        <v>113</v>
      </c>
      <c r="Q859" s="246"/>
      <c r="R859" s="646">
        <v>45950</v>
      </c>
      <c r="S859" s="646" t="s">
        <v>70</v>
      </c>
      <c r="T859" s="646" t="s">
        <v>70</v>
      </c>
      <c r="U859" s="646"/>
      <c r="V859" s="646"/>
      <c r="W859" s="615"/>
      <c r="X859" s="642" t="s">
        <v>8186</v>
      </c>
      <c r="Y859" s="642" t="s">
        <v>125</v>
      </c>
      <c r="Z859" s="642">
        <v>1.2814</v>
      </c>
      <c r="AA859" s="647">
        <f t="shared" si="321"/>
        <v>7811.4144</v>
      </c>
      <c r="AC859" s="648"/>
      <c r="AD859" s="246" t="s">
        <v>6128</v>
      </c>
      <c r="AE859" s="246" t="s">
        <v>82</v>
      </c>
      <c r="AF859" s="246"/>
      <c r="AG859" s="693"/>
      <c r="AH859" s="693">
        <v>1</v>
      </c>
      <c r="AI859" s="246">
        <v>6096</v>
      </c>
      <c r="AJ859" s="246">
        <f t="shared" si="320"/>
        <v>0</v>
      </c>
      <c r="AK859" s="246"/>
      <c r="AL859" s="246"/>
      <c r="AM859" s="246"/>
      <c r="AN859" s="610">
        <f>I859*2</f>
        <v>12192</v>
      </c>
      <c r="AQ859" s="554">
        <f>I859*2</f>
        <v>12192</v>
      </c>
      <c r="AR859" s="680"/>
      <c r="AS859" s="548"/>
      <c r="AT859" s="548"/>
      <c r="AU859" s="554">
        <f>I859*2</f>
        <v>12192</v>
      </c>
      <c r="AV859" s="551"/>
      <c r="AW859" s="650"/>
      <c r="AX859" s="551"/>
      <c r="AY859" s="548"/>
      <c r="AZ859" s="548"/>
      <c r="BA859" s="548"/>
      <c r="BB859" s="249">
        <f>I859/24*2</f>
        <v>508</v>
      </c>
      <c r="BC859" s="651"/>
      <c r="BD859" s="548"/>
      <c r="BE859" s="548"/>
      <c r="BF859" s="548"/>
      <c r="BY859" s="650"/>
      <c r="BZ859" s="548"/>
      <c r="CA859" s="652"/>
      <c r="CB859" s="567"/>
      <c r="CC859" s="653"/>
      <c r="CD859" s="650"/>
      <c r="CE859" s="650"/>
      <c r="CF859" s="548"/>
      <c r="CG859" s="548"/>
      <c r="CR859" s="554">
        <f>I859</f>
        <v>6096</v>
      </c>
      <c r="CS859" s="554">
        <f>I859</f>
        <v>6096</v>
      </c>
      <c r="CT859" s="554">
        <f>I859</f>
        <v>6096</v>
      </c>
      <c r="CU859" s="554">
        <f t="shared" si="308"/>
        <v>0</v>
      </c>
      <c r="CV859" s="551">
        <v>0</v>
      </c>
      <c r="CW859" s="551">
        <v>0</v>
      </c>
      <c r="CX859" s="650"/>
      <c r="CY859" s="650"/>
      <c r="CZ859" s="650"/>
      <c r="DA859" s="548"/>
      <c r="DB859" s="548"/>
      <c r="DC859" s="548"/>
      <c r="DD859" s="650"/>
      <c r="DE859" s="650"/>
      <c r="DF859" s="650"/>
      <c r="DG859" s="650"/>
      <c r="DH859" s="650"/>
    </row>
    <row r="860" s="548" customFormat="1" ht="31" customHeight="1" spans="1:112">
      <c r="A860" s="641">
        <v>45950</v>
      </c>
      <c r="B860" s="609" t="s">
        <v>3815</v>
      </c>
      <c r="C860" s="246" t="s">
        <v>98</v>
      </c>
      <c r="D860" s="551">
        <v>4500182436</v>
      </c>
      <c r="E860" s="246" t="s">
        <v>8187</v>
      </c>
      <c r="F860" s="551" t="s">
        <v>8188</v>
      </c>
      <c r="G860" s="246" t="s">
        <v>6787</v>
      </c>
      <c r="H860" s="610" t="s">
        <v>6126</v>
      </c>
      <c r="I860" s="246">
        <v>7752</v>
      </c>
      <c r="J860" s="246">
        <v>0</v>
      </c>
      <c r="K860" s="246">
        <v>12</v>
      </c>
      <c r="L860" s="644">
        <f t="shared" si="299"/>
        <v>646</v>
      </c>
      <c r="M860" s="645">
        <v>46001</v>
      </c>
      <c r="N860" s="645">
        <v>45997</v>
      </c>
      <c r="O860" s="643"/>
      <c r="P860" s="643" t="s">
        <v>113</v>
      </c>
      <c r="Q860" s="246"/>
      <c r="R860" s="646">
        <v>45950</v>
      </c>
      <c r="S860" s="646" t="s">
        <v>70</v>
      </c>
      <c r="T860" s="646" t="s">
        <v>70</v>
      </c>
      <c r="U860" s="646"/>
      <c r="V860" s="646"/>
      <c r="W860" s="615"/>
      <c r="X860" s="642" t="s">
        <v>8186</v>
      </c>
      <c r="Y860" s="642" t="s">
        <v>125</v>
      </c>
      <c r="Z860" s="642">
        <v>1.2814</v>
      </c>
      <c r="AA860" s="647">
        <f t="shared" si="321"/>
        <v>9933.4128</v>
      </c>
      <c r="AC860" s="648"/>
      <c r="AD860" s="246" t="s">
        <v>6128</v>
      </c>
      <c r="AE860" s="246" t="s">
        <v>82</v>
      </c>
      <c r="AF860" s="246"/>
      <c r="AG860" s="693"/>
      <c r="AH860" s="693">
        <v>1</v>
      </c>
      <c r="AI860" s="246">
        <v>7752</v>
      </c>
      <c r="AJ860" s="246">
        <f t="shared" si="320"/>
        <v>0</v>
      </c>
      <c r="AK860" s="246"/>
      <c r="AL860" s="246"/>
      <c r="AM860" s="246"/>
      <c r="AN860" s="610">
        <f>I860*2</f>
        <v>15504</v>
      </c>
      <c r="AQ860" s="554">
        <f>I860*2</f>
        <v>15504</v>
      </c>
      <c r="AR860" s="680"/>
      <c r="AS860" s="548"/>
      <c r="AT860" s="548"/>
      <c r="AU860" s="554">
        <f>I860*2</f>
        <v>15504</v>
      </c>
      <c r="AV860" s="551"/>
      <c r="AW860" s="650"/>
      <c r="AX860" s="551"/>
      <c r="AY860" s="548"/>
      <c r="AZ860" s="548"/>
      <c r="BA860" s="548"/>
      <c r="BB860" s="249">
        <f>I860/24*2</f>
        <v>646</v>
      </c>
      <c r="BC860" s="651"/>
      <c r="BD860" s="548"/>
      <c r="BE860" s="548"/>
      <c r="BF860" s="548"/>
      <c r="BY860" s="650"/>
      <c r="BZ860" s="548"/>
      <c r="CA860" s="652"/>
      <c r="CB860" s="567"/>
      <c r="CC860" s="653"/>
      <c r="CD860" s="650"/>
      <c r="CE860" s="650"/>
      <c r="CF860" s="548"/>
      <c r="CG860" s="548"/>
      <c r="CR860" s="554">
        <f>I860</f>
        <v>7752</v>
      </c>
      <c r="CS860" s="554">
        <f>I860</f>
        <v>7752</v>
      </c>
      <c r="CT860" s="554">
        <f>I860</f>
        <v>7752</v>
      </c>
      <c r="CU860" s="554">
        <f t="shared" si="308"/>
        <v>0</v>
      </c>
      <c r="CV860" s="551">
        <v>0</v>
      </c>
      <c r="CW860" s="551">
        <v>0</v>
      </c>
      <c r="CX860" s="650"/>
      <c r="CY860" s="650"/>
      <c r="CZ860" s="650"/>
      <c r="DA860" s="548"/>
      <c r="DB860" s="548"/>
      <c r="DC860" s="548"/>
      <c r="DD860" s="650"/>
      <c r="DE860" s="650"/>
      <c r="DF860" s="650"/>
      <c r="DG860" s="650"/>
      <c r="DH860" s="650"/>
    </row>
    <row r="861" s="548" customFormat="1" ht="31" customHeight="1" spans="1:112">
      <c r="A861" s="641">
        <v>45966</v>
      </c>
      <c r="B861" s="642" t="s">
        <v>7688</v>
      </c>
      <c r="C861" s="246" t="s">
        <v>278</v>
      </c>
      <c r="D861" s="551">
        <v>4500184536</v>
      </c>
      <c r="E861" s="246" t="s">
        <v>8189</v>
      </c>
      <c r="F861" s="551" t="s">
        <v>8190</v>
      </c>
      <c r="G861" s="246" t="s">
        <v>6136</v>
      </c>
      <c r="H861" s="246" t="s">
        <v>6137</v>
      </c>
      <c r="I861" s="246">
        <v>2704</v>
      </c>
      <c r="J861" s="246">
        <v>13</v>
      </c>
      <c r="K861" s="246">
        <f>J861*8</f>
        <v>104</v>
      </c>
      <c r="L861" s="644">
        <f t="shared" si="299"/>
        <v>26</v>
      </c>
      <c r="M861" s="645">
        <v>46001</v>
      </c>
      <c r="N861" s="645">
        <v>45997</v>
      </c>
      <c r="O861" s="643"/>
      <c r="P861" s="643" t="s">
        <v>113</v>
      </c>
      <c r="Q861" s="246"/>
      <c r="R861" s="646">
        <v>45975</v>
      </c>
      <c r="S861" s="646" t="s">
        <v>70</v>
      </c>
      <c r="T861" s="646" t="s">
        <v>70</v>
      </c>
      <c r="U861" s="646"/>
      <c r="V861" s="646"/>
      <c r="W861" s="615"/>
      <c r="X861" s="642" t="s">
        <v>8191</v>
      </c>
      <c r="Y861" s="642" t="s">
        <v>1549</v>
      </c>
      <c r="Z861" s="642">
        <v>0.9268</v>
      </c>
      <c r="AA861" s="647">
        <f t="shared" si="321"/>
        <v>2506.0672</v>
      </c>
      <c r="AC861" s="658" t="s">
        <v>8192</v>
      </c>
      <c r="AD861" s="246" t="s">
        <v>6136</v>
      </c>
      <c r="AE861" s="246" t="s">
        <v>82</v>
      </c>
      <c r="AF861" s="246"/>
      <c r="AG861" s="246"/>
      <c r="AH861" s="246">
        <v>1</v>
      </c>
      <c r="AI861" s="246">
        <v>2704</v>
      </c>
      <c r="AJ861" s="246">
        <f t="shared" si="320"/>
        <v>0</v>
      </c>
      <c r="AK861" s="246"/>
      <c r="AL861" s="246"/>
      <c r="AM861" s="246"/>
      <c r="AN861" s="246"/>
      <c r="AO861" s="551">
        <f>I861</f>
        <v>2704</v>
      </c>
      <c r="AR861" s="680"/>
      <c r="AS861" s="548"/>
      <c r="AT861" s="554">
        <f>I861</f>
        <v>2704</v>
      </c>
      <c r="AV861" s="554">
        <f>I861</f>
        <v>2704</v>
      </c>
      <c r="AW861" s="650"/>
      <c r="AX861" s="551"/>
      <c r="AY861" s="548"/>
      <c r="AZ861" s="548"/>
      <c r="BA861" s="548"/>
      <c r="BB861" s="620">
        <f>I861/24</f>
        <v>112.666666666667</v>
      </c>
      <c r="BC861" s="651"/>
      <c r="BD861" s="548"/>
      <c r="BE861" s="548"/>
      <c r="BF861" s="548"/>
      <c r="BM861" s="551">
        <f>I861/13</f>
        <v>208</v>
      </c>
      <c r="BY861" s="650"/>
      <c r="BZ861" s="548"/>
      <c r="CA861" s="652"/>
      <c r="CB861" s="567"/>
      <c r="CC861" s="653"/>
      <c r="CD861" s="650"/>
      <c r="CE861" s="650"/>
      <c r="CF861" s="548"/>
      <c r="CG861" s="548"/>
      <c r="CU861" s="554">
        <f t="shared" si="308"/>
        <v>0</v>
      </c>
      <c r="CV861" s="551">
        <f t="shared" ref="CV861:CV868" si="322">CK861+CL861+CM861+CN861+CO861+CQ861+CP861</f>
        <v>0</v>
      </c>
      <c r="CW861" s="551">
        <f t="shared" ref="CW861:CW868" si="323">CI861+CJ861</f>
        <v>0</v>
      </c>
      <c r="CX861" s="650"/>
      <c r="CY861" s="650"/>
      <c r="CZ861" s="650"/>
      <c r="DA861" s="548"/>
      <c r="DB861" s="548"/>
      <c r="DC861" s="548"/>
      <c r="DD861" s="650"/>
      <c r="DE861" s="650"/>
      <c r="DF861" s="650"/>
      <c r="DG861" s="650"/>
      <c r="DH861" s="650"/>
    </row>
    <row r="862" s="548" customFormat="1" ht="30" customHeight="1" spans="1:112">
      <c r="A862" s="641">
        <v>45965</v>
      </c>
      <c r="B862" s="642" t="s">
        <v>572</v>
      </c>
      <c r="C862" s="246" t="s">
        <v>573</v>
      </c>
      <c r="D862" s="551">
        <v>4500184266</v>
      </c>
      <c r="E862" s="246"/>
      <c r="F862" s="551" t="s">
        <v>8193</v>
      </c>
      <c r="G862" s="246" t="s">
        <v>6040</v>
      </c>
      <c r="H862" s="246" t="s">
        <v>6041</v>
      </c>
      <c r="I862" s="246">
        <v>1248</v>
      </c>
      <c r="J862" s="246">
        <v>0</v>
      </c>
      <c r="K862" s="246">
        <v>52</v>
      </c>
      <c r="L862" s="644">
        <f t="shared" si="299"/>
        <v>24</v>
      </c>
      <c r="M862" s="645">
        <v>46003</v>
      </c>
      <c r="N862" s="645">
        <v>45999</v>
      </c>
      <c r="O862" s="643"/>
      <c r="P862" s="643" t="s">
        <v>113</v>
      </c>
      <c r="Q862" s="246"/>
      <c r="R862" s="646">
        <v>45965</v>
      </c>
      <c r="S862" s="646" t="s">
        <v>70</v>
      </c>
      <c r="T862" s="646" t="s">
        <v>8194</v>
      </c>
      <c r="U862" s="646"/>
      <c r="V862" s="646"/>
      <c r="W862" s="615"/>
      <c r="X862" s="642" t="s">
        <v>8195</v>
      </c>
      <c r="Y862" s="642" t="s">
        <v>578</v>
      </c>
      <c r="Z862" s="655">
        <v>0.9129</v>
      </c>
      <c r="AA862" s="647">
        <f t="shared" si="321"/>
        <v>1139.2992</v>
      </c>
      <c r="AC862" s="658" t="s">
        <v>8196</v>
      </c>
      <c r="AD862" s="246" t="s">
        <v>6040</v>
      </c>
      <c r="AE862" s="246" t="s">
        <v>82</v>
      </c>
      <c r="AF862" s="246"/>
      <c r="AG862" s="695"/>
      <c r="AH862" s="695">
        <v>1</v>
      </c>
      <c r="AI862" s="246">
        <v>1248</v>
      </c>
      <c r="AJ862" s="246">
        <f t="shared" si="320"/>
        <v>0</v>
      </c>
      <c r="AK862" s="246"/>
      <c r="AL862" s="246" t="s">
        <v>2368</v>
      </c>
      <c r="AM862" s="246"/>
      <c r="AN862" s="246"/>
      <c r="AO862" s="551">
        <f>I862</f>
        <v>1248</v>
      </c>
      <c r="AR862" s="680"/>
      <c r="AS862" s="548"/>
      <c r="AT862" s="554">
        <f>I862</f>
        <v>1248</v>
      </c>
      <c r="AV862" s="554">
        <f>I862</f>
        <v>1248</v>
      </c>
      <c r="AW862" s="650"/>
      <c r="AX862" s="548"/>
      <c r="AY862" s="548"/>
      <c r="AZ862" s="548"/>
      <c r="BA862" s="651"/>
      <c r="BB862" s="620">
        <f>I862/24</f>
        <v>52</v>
      </c>
      <c r="BC862" s="651"/>
      <c r="BD862" s="548"/>
      <c r="BE862" s="548"/>
      <c r="BF862" s="548"/>
      <c r="BM862" s="551">
        <f>I862/13</f>
        <v>96</v>
      </c>
      <c r="BY862" s="650"/>
      <c r="BZ862" s="548"/>
      <c r="CA862" s="652"/>
      <c r="CB862" s="567"/>
      <c r="CC862" s="653"/>
      <c r="CD862" s="650"/>
      <c r="CE862" s="650"/>
      <c r="CF862" s="548"/>
      <c r="CG862" s="548"/>
      <c r="CU862" s="554">
        <f t="shared" si="308"/>
        <v>0</v>
      </c>
      <c r="CV862" s="551">
        <f t="shared" si="322"/>
        <v>0</v>
      </c>
      <c r="CW862" s="551">
        <f t="shared" si="323"/>
        <v>0</v>
      </c>
      <c r="CX862" s="650"/>
      <c r="CY862" s="650"/>
      <c r="CZ862" s="650"/>
      <c r="DA862" s="548"/>
      <c r="DB862" s="548"/>
      <c r="DC862" s="548"/>
      <c r="DD862" s="650"/>
      <c r="DE862" s="650"/>
      <c r="DF862" s="650"/>
      <c r="DG862" s="650"/>
      <c r="DH862" s="650"/>
    </row>
    <row r="863" s="548" customFormat="1" ht="31" customHeight="1" spans="1:112">
      <c r="A863" s="641">
        <v>45947</v>
      </c>
      <c r="B863" s="642" t="s">
        <v>4025</v>
      </c>
      <c r="C863" s="246" t="s">
        <v>411</v>
      </c>
      <c r="D863" s="551">
        <v>4500182321</v>
      </c>
      <c r="E863" s="642" t="s">
        <v>8197</v>
      </c>
      <c r="F863" s="551" t="s">
        <v>8198</v>
      </c>
      <c r="G863" s="246" t="s">
        <v>6365</v>
      </c>
      <c r="H863" s="246" t="s">
        <v>6126</v>
      </c>
      <c r="I863" s="246">
        <v>984</v>
      </c>
      <c r="J863" s="246">
        <v>0</v>
      </c>
      <c r="K863" s="246">
        <v>12</v>
      </c>
      <c r="L863" s="644">
        <f t="shared" si="299"/>
        <v>82</v>
      </c>
      <c r="M863" s="645">
        <v>46003</v>
      </c>
      <c r="N863" s="645">
        <v>45999</v>
      </c>
      <c r="O863" s="643"/>
      <c r="P863" s="643" t="s">
        <v>113</v>
      </c>
      <c r="Q863" s="246"/>
      <c r="R863" s="646" t="s">
        <v>4028</v>
      </c>
      <c r="S863" s="646" t="s">
        <v>104</v>
      </c>
      <c r="T863" s="646" t="s">
        <v>8176</v>
      </c>
      <c r="U863" s="646"/>
      <c r="V863" s="646"/>
      <c r="W863" s="615"/>
      <c r="X863" s="642" t="s">
        <v>8199</v>
      </c>
      <c r="Y863" s="642" t="s">
        <v>466</v>
      </c>
      <c r="Z863" s="642">
        <v>2.2418</v>
      </c>
      <c r="AA863" s="647">
        <f t="shared" si="321"/>
        <v>2205.9312</v>
      </c>
      <c r="AC863" s="658" t="s">
        <v>8200</v>
      </c>
      <c r="AD863" s="246" t="s">
        <v>6368</v>
      </c>
      <c r="AE863" s="246" t="s">
        <v>82</v>
      </c>
      <c r="AF863" s="246"/>
      <c r="AG863" s="693"/>
      <c r="AH863" s="693">
        <v>1</v>
      </c>
      <c r="AI863" s="246">
        <v>984</v>
      </c>
      <c r="AJ863" s="246">
        <f t="shared" si="320"/>
        <v>0</v>
      </c>
      <c r="AK863" s="246"/>
      <c r="AL863" s="246" t="s">
        <v>2368</v>
      </c>
      <c r="AM863" s="246"/>
      <c r="AN863" s="246"/>
      <c r="AO863" s="554">
        <f>I863*2</f>
        <v>1968</v>
      </c>
      <c r="AR863" s="680"/>
      <c r="AS863" s="548"/>
      <c r="AT863" s="554">
        <f>I863*2</f>
        <v>1968</v>
      </c>
      <c r="AU863" s="551"/>
      <c r="AV863" s="554">
        <f>I863*2</f>
        <v>1968</v>
      </c>
      <c r="AW863" s="650"/>
      <c r="AX863" s="551"/>
      <c r="AY863" s="548"/>
      <c r="AZ863" s="548"/>
      <c r="BA863" s="548"/>
      <c r="BB863" s="249">
        <f>I863/24*2</f>
        <v>82</v>
      </c>
      <c r="BC863" s="651"/>
      <c r="BD863" s="548"/>
      <c r="BE863" s="548"/>
      <c r="BF863" s="548"/>
      <c r="BY863" s="650"/>
      <c r="BZ863" s="548"/>
      <c r="CA863" s="652"/>
      <c r="CB863" s="567"/>
      <c r="CC863" s="653"/>
      <c r="CD863" s="650"/>
      <c r="CE863" s="650"/>
      <c r="CF863" s="548"/>
      <c r="CG863" s="548"/>
      <c r="CR863" s="554">
        <f>I863</f>
        <v>984</v>
      </c>
      <c r="CS863" s="554">
        <f>I863</f>
        <v>984</v>
      </c>
      <c r="CT863" s="554">
        <f>I863</f>
        <v>984</v>
      </c>
      <c r="CU863" s="554">
        <f t="shared" si="308"/>
        <v>0</v>
      </c>
      <c r="CV863" s="551">
        <f t="shared" si="322"/>
        <v>0</v>
      </c>
      <c r="CW863" s="551">
        <f t="shared" si="323"/>
        <v>0</v>
      </c>
      <c r="CX863" s="650"/>
      <c r="CY863" s="650"/>
      <c r="CZ863" s="650"/>
      <c r="DA863" s="548"/>
      <c r="DB863" s="548"/>
      <c r="DC863" s="548"/>
      <c r="DD863" s="650"/>
      <c r="DE863" s="650"/>
      <c r="DF863" s="650"/>
      <c r="DG863" s="650"/>
      <c r="DH863" s="650"/>
    </row>
    <row r="864" s="548" customFormat="1" ht="31" customHeight="1" spans="1:112">
      <c r="A864" s="641">
        <v>45897</v>
      </c>
      <c r="B864" s="642" t="s">
        <v>2362</v>
      </c>
      <c r="C864" s="246" t="s">
        <v>524</v>
      </c>
      <c r="D864" s="551">
        <v>4500177857</v>
      </c>
      <c r="E864" s="246">
        <v>62007522</v>
      </c>
      <c r="F864" s="551" t="s">
        <v>8201</v>
      </c>
      <c r="G864" s="246" t="s">
        <v>6043</v>
      </c>
      <c r="H864" s="246" t="s">
        <v>6110</v>
      </c>
      <c r="I864" s="246">
        <v>1200</v>
      </c>
      <c r="J864" s="246">
        <v>0</v>
      </c>
      <c r="K864" s="246">
        <v>50</v>
      </c>
      <c r="L864" s="644">
        <f t="shared" si="299"/>
        <v>24</v>
      </c>
      <c r="M864" s="645">
        <v>46006</v>
      </c>
      <c r="N864" s="645">
        <v>46002</v>
      </c>
      <c r="O864" s="643" t="s">
        <v>3451</v>
      </c>
      <c r="P864" s="643" t="s">
        <v>113</v>
      </c>
      <c r="Q864" s="246"/>
      <c r="R864" s="646">
        <v>45951</v>
      </c>
      <c r="S864" s="646" t="s">
        <v>70</v>
      </c>
      <c r="T864" s="646">
        <v>45989</v>
      </c>
      <c r="U864" s="646"/>
      <c r="V864" s="646"/>
      <c r="W864" s="615"/>
      <c r="X864" s="642" t="s">
        <v>8202</v>
      </c>
      <c r="Y864" s="642" t="s">
        <v>529</v>
      </c>
      <c r="Z864" s="642">
        <v>0.941</v>
      </c>
      <c r="AA864" s="647">
        <f t="shared" si="321"/>
        <v>1129.2</v>
      </c>
      <c r="AC864" s="648"/>
      <c r="AD864" s="642" t="s">
        <v>6043</v>
      </c>
      <c r="AE864" s="246" t="s">
        <v>82</v>
      </c>
      <c r="AF864" s="246"/>
      <c r="AG864" s="642" t="s">
        <v>6043</v>
      </c>
      <c r="AH864" s="642">
        <v>1</v>
      </c>
      <c r="AI864" s="246">
        <v>1200</v>
      </c>
      <c r="AJ864" s="246">
        <f t="shared" si="320"/>
        <v>0</v>
      </c>
      <c r="AK864" s="246"/>
      <c r="AL864" s="246" t="s">
        <v>454</v>
      </c>
      <c r="AM864" s="246"/>
      <c r="AN864" s="246"/>
      <c r="AO864" s="551">
        <f>I864</f>
        <v>1200</v>
      </c>
      <c r="AR864" s="680"/>
      <c r="AS864" s="548"/>
      <c r="AT864" s="554">
        <f>I864</f>
        <v>1200</v>
      </c>
      <c r="AV864" s="554">
        <f>I864</f>
        <v>1200</v>
      </c>
      <c r="AW864" s="650"/>
      <c r="AX864" s="548"/>
      <c r="AY864" s="548"/>
      <c r="AZ864" s="548"/>
      <c r="BA864" s="548"/>
      <c r="BB864" s="620">
        <f>I864/24</f>
        <v>50</v>
      </c>
      <c r="BC864" s="651"/>
      <c r="BD864" s="548"/>
      <c r="BE864" s="548"/>
      <c r="BF864" s="548"/>
      <c r="BP864" s="551">
        <f>I864/25</f>
        <v>48</v>
      </c>
      <c r="BY864" s="650"/>
      <c r="BZ864" s="548"/>
      <c r="CA864" s="652"/>
      <c r="CB864" s="567"/>
      <c r="CC864" s="653"/>
      <c r="CD864" s="650"/>
      <c r="CE864" s="650"/>
      <c r="CF864" s="548"/>
      <c r="CG864" s="548"/>
      <c r="CU864" s="554">
        <f t="shared" si="308"/>
        <v>48</v>
      </c>
      <c r="CV864" s="551">
        <f t="shared" si="322"/>
        <v>0</v>
      </c>
      <c r="CW864" s="551">
        <f t="shared" si="323"/>
        <v>0</v>
      </c>
      <c r="CX864" s="650"/>
      <c r="CY864" s="650"/>
      <c r="CZ864" s="650"/>
      <c r="DA864" s="548"/>
      <c r="DB864" s="548"/>
      <c r="DC864" s="548"/>
      <c r="DD864" s="650"/>
      <c r="DE864" s="650"/>
      <c r="DF864" s="650"/>
      <c r="DG864" s="650"/>
      <c r="DH864" s="650"/>
    </row>
    <row r="865" s="548" customFormat="1" ht="31" customHeight="1" spans="1:112">
      <c r="A865" s="641">
        <v>45915</v>
      </c>
      <c r="B865" s="642" t="s">
        <v>1472</v>
      </c>
      <c r="C865" s="246" t="s">
        <v>524</v>
      </c>
      <c r="D865" s="551">
        <v>4500179539</v>
      </c>
      <c r="E865" s="246">
        <v>5251218195</v>
      </c>
      <c r="F865" s="551" t="s">
        <v>8203</v>
      </c>
      <c r="G865" s="246" t="s">
        <v>6047</v>
      </c>
      <c r="H865" s="246" t="s">
        <v>6069</v>
      </c>
      <c r="I865" s="246">
        <v>10000</v>
      </c>
      <c r="J865" s="246">
        <v>0</v>
      </c>
      <c r="K865" s="246">
        <v>25</v>
      </c>
      <c r="L865" s="644">
        <f t="shared" si="299"/>
        <v>400</v>
      </c>
      <c r="M865" s="645">
        <v>46006</v>
      </c>
      <c r="N865" s="645">
        <v>46002</v>
      </c>
      <c r="O865" s="643"/>
      <c r="P865" s="643" t="s">
        <v>113</v>
      </c>
      <c r="Q865" s="246"/>
      <c r="R865" s="646">
        <v>45916</v>
      </c>
      <c r="S865" s="646" t="s">
        <v>70</v>
      </c>
      <c r="T865" s="646" t="s">
        <v>8204</v>
      </c>
      <c r="U865" s="646"/>
      <c r="V865" s="646"/>
      <c r="W865" s="615"/>
      <c r="X865" s="642" t="s">
        <v>8205</v>
      </c>
      <c r="Y865" s="642" t="s">
        <v>340</v>
      </c>
      <c r="Z865" s="642">
        <v>0.9313</v>
      </c>
      <c r="AA865" s="647">
        <f t="shared" si="321"/>
        <v>9313</v>
      </c>
      <c r="AC865" s="658" t="s">
        <v>8206</v>
      </c>
      <c r="AD865" s="246" t="s">
        <v>6047</v>
      </c>
      <c r="AE865" s="246" t="s">
        <v>82</v>
      </c>
      <c r="AF865" s="246"/>
      <c r="AG865" s="246"/>
      <c r="AH865" s="246">
        <v>1</v>
      </c>
      <c r="AI865" s="246">
        <v>10000</v>
      </c>
      <c r="AJ865" s="246">
        <f t="shared" si="320"/>
        <v>0</v>
      </c>
      <c r="AK865" s="246"/>
      <c r="AL865" s="246"/>
      <c r="AM865" s="246"/>
      <c r="AN865" s="246"/>
      <c r="AO865" s="551">
        <f>I865</f>
        <v>10000</v>
      </c>
      <c r="AR865" s="680"/>
      <c r="AS865" s="548"/>
      <c r="AT865" s="554">
        <f>I865</f>
        <v>10000</v>
      </c>
      <c r="AV865" s="554">
        <f>I865</f>
        <v>10000</v>
      </c>
      <c r="AW865" s="650"/>
      <c r="AX865" s="548"/>
      <c r="AY865" s="548"/>
      <c r="AZ865" s="548"/>
      <c r="BA865" s="548"/>
      <c r="BB865" s="620">
        <f>I865/24</f>
        <v>416.666666666667</v>
      </c>
      <c r="BC865" s="651"/>
      <c r="BD865" s="548"/>
      <c r="BE865" s="548"/>
      <c r="BF865" s="548"/>
      <c r="BP865" s="551">
        <f>I865/25</f>
        <v>400</v>
      </c>
      <c r="BY865" s="650"/>
      <c r="BZ865" s="548"/>
      <c r="CA865" s="652"/>
      <c r="CB865" s="567"/>
      <c r="CC865" s="653"/>
      <c r="CD865" s="650"/>
      <c r="CE865" s="650"/>
      <c r="CF865" s="548"/>
      <c r="CG865" s="548"/>
      <c r="CU865" s="554">
        <f t="shared" si="308"/>
        <v>400</v>
      </c>
      <c r="CV865" s="551">
        <f t="shared" si="322"/>
        <v>0</v>
      </c>
      <c r="CW865" s="551">
        <f t="shared" si="323"/>
        <v>0</v>
      </c>
      <c r="CX865" s="650"/>
      <c r="CY865" s="650"/>
      <c r="CZ865" s="650"/>
      <c r="DA865" s="548"/>
      <c r="DB865" s="548"/>
      <c r="DC865" s="548"/>
      <c r="DD865" s="650"/>
      <c r="DE865" s="650"/>
      <c r="DF865" s="650"/>
      <c r="DG865" s="650"/>
      <c r="DH865" s="650"/>
    </row>
    <row r="866" s="548" customFormat="1" ht="31" customHeight="1" spans="1:112">
      <c r="A866" s="641">
        <v>45971</v>
      </c>
      <c r="B866" s="642"/>
      <c r="C866" s="246"/>
      <c r="D866" s="551" t="s">
        <v>2351</v>
      </c>
      <c r="E866" s="246"/>
      <c r="F866" s="548"/>
      <c r="G866" s="246" t="s">
        <v>6360</v>
      </c>
      <c r="H866" s="246" t="s">
        <v>477</v>
      </c>
      <c r="I866" s="246">
        <v>150</v>
      </c>
      <c r="J866" s="246">
        <v>0</v>
      </c>
      <c r="K866" s="246">
        <v>6</v>
      </c>
      <c r="L866" s="644">
        <f t="shared" si="299"/>
        <v>25</v>
      </c>
      <c r="M866" s="645">
        <v>45985</v>
      </c>
      <c r="N866" s="645">
        <v>45981</v>
      </c>
      <c r="O866" s="643"/>
      <c r="P866" s="643"/>
      <c r="Q866" s="246"/>
      <c r="R866" s="646"/>
      <c r="S866" s="646"/>
      <c r="T866" s="646"/>
      <c r="U866" s="646"/>
      <c r="V866" s="646"/>
      <c r="W866" s="615"/>
      <c r="X866" s="642" t="s">
        <v>2352</v>
      </c>
      <c r="Y866" s="642" t="s">
        <v>92</v>
      </c>
      <c r="Z866" s="642"/>
      <c r="AA866" s="647"/>
      <c r="AC866" s="648" t="s">
        <v>2353</v>
      </c>
      <c r="AD866" s="246" t="s">
        <v>8207</v>
      </c>
      <c r="AE866" s="246" t="s">
        <v>82</v>
      </c>
      <c r="AF866" s="246"/>
      <c r="AG866" s="246"/>
      <c r="AH866" s="246"/>
      <c r="AI866" s="246">
        <v>150</v>
      </c>
      <c r="AJ866" s="246">
        <v>0</v>
      </c>
      <c r="AK866" s="246"/>
      <c r="AL866" s="246"/>
      <c r="AM866" s="246"/>
      <c r="AN866" s="246"/>
      <c r="AO866" s="554">
        <f>I866*2</f>
        <v>300</v>
      </c>
      <c r="AR866" s="680"/>
      <c r="AS866" s="548"/>
      <c r="AT866" s="554">
        <f>I866*2</f>
        <v>300</v>
      </c>
      <c r="AV866" s="554">
        <f>I866*2</f>
        <v>300</v>
      </c>
      <c r="AW866" s="650"/>
      <c r="AX866" s="548"/>
      <c r="AY866" s="548"/>
      <c r="AZ866" s="548"/>
      <c r="BA866" s="548"/>
      <c r="BB866" s="620">
        <f>I866/24*2</f>
        <v>12.5</v>
      </c>
      <c r="BC866" s="651"/>
      <c r="BD866" s="548"/>
      <c r="BE866" s="548"/>
      <c r="BF866" s="548"/>
      <c r="BY866" s="619"/>
      <c r="BZ866" s="554">
        <f>I866</f>
        <v>150</v>
      </c>
      <c r="CA866" s="652"/>
      <c r="CB866" s="567"/>
      <c r="CC866" s="653"/>
      <c r="CD866" s="650"/>
      <c r="CE866" s="650"/>
      <c r="CF866" s="548"/>
      <c r="CG866" s="548"/>
      <c r="CU866" s="554">
        <f t="shared" si="308"/>
        <v>0</v>
      </c>
      <c r="CV866" s="551">
        <f t="shared" si="322"/>
        <v>0</v>
      </c>
      <c r="CW866" s="551">
        <f t="shared" si="323"/>
        <v>0</v>
      </c>
      <c r="CX866" s="650"/>
      <c r="CY866" s="650"/>
      <c r="CZ866" s="650"/>
      <c r="DA866" s="548"/>
      <c r="DB866" s="548"/>
      <c r="DC866" s="548"/>
      <c r="DD866" s="650"/>
      <c r="DE866" s="650"/>
      <c r="DF866" s="650"/>
      <c r="DG866" s="650"/>
      <c r="DH866" s="650"/>
    </row>
    <row r="867" s="548" customFormat="1" ht="31" customHeight="1" spans="1:112">
      <c r="A867" s="641">
        <v>45966</v>
      </c>
      <c r="B867" s="642"/>
      <c r="C867" s="246"/>
      <c r="D867" s="551" t="s">
        <v>8208</v>
      </c>
      <c r="E867" s="615"/>
      <c r="F867" s="548"/>
      <c r="G867" s="246" t="s">
        <v>6025</v>
      </c>
      <c r="H867" s="246" t="s">
        <v>6026</v>
      </c>
      <c r="I867" s="246">
        <v>15</v>
      </c>
      <c r="J867" s="246">
        <v>0</v>
      </c>
      <c r="K867" s="246">
        <v>24</v>
      </c>
      <c r="L867" s="644">
        <f t="shared" si="299"/>
        <v>0.625</v>
      </c>
      <c r="M867" s="645">
        <v>45974</v>
      </c>
      <c r="N867" s="645">
        <v>45971</v>
      </c>
      <c r="O867" s="643"/>
      <c r="P867" s="643"/>
      <c r="Q867" s="246"/>
      <c r="R867" s="646"/>
      <c r="S867" s="646"/>
      <c r="T867" s="646"/>
      <c r="U867" s="646"/>
      <c r="V867" s="646"/>
      <c r="W867" s="615"/>
      <c r="X867" s="642" t="s">
        <v>8209</v>
      </c>
      <c r="Y867" s="642" t="s">
        <v>92</v>
      </c>
      <c r="Z867" s="642"/>
      <c r="AA867" s="647"/>
      <c r="AC867" s="648" t="s">
        <v>8210</v>
      </c>
      <c r="AD867" s="610" t="s">
        <v>8211</v>
      </c>
      <c r="AE867" s="246" t="s">
        <v>82</v>
      </c>
      <c r="AF867" s="246"/>
      <c r="AG867" s="246"/>
      <c r="AH867" s="246"/>
      <c r="AI867" s="246">
        <v>15</v>
      </c>
      <c r="AJ867" s="246">
        <f>AI867-I867</f>
        <v>0</v>
      </c>
      <c r="AK867" s="246"/>
      <c r="AL867" s="246"/>
      <c r="AM867" s="246"/>
      <c r="AN867" s="246"/>
      <c r="AO867" s="551">
        <f>I867</f>
        <v>15</v>
      </c>
      <c r="AP867" s="554">
        <f>I867</f>
        <v>15</v>
      </c>
      <c r="AR867" s="680"/>
      <c r="AS867" s="548"/>
      <c r="AT867" s="548"/>
      <c r="AU867" s="548"/>
      <c r="AV867" s="554">
        <f>I867</f>
        <v>15</v>
      </c>
      <c r="AW867" s="650"/>
      <c r="AX867" s="551"/>
      <c r="AY867" s="548"/>
      <c r="AZ867" s="548"/>
      <c r="BA867" s="548"/>
      <c r="BB867" s="249">
        <f>I867/24</f>
        <v>0.625</v>
      </c>
      <c r="BC867" s="651"/>
      <c r="BD867" s="548"/>
      <c r="BE867" s="548"/>
      <c r="BF867" s="548"/>
      <c r="BY867" s="650"/>
      <c r="BZ867" s="548"/>
      <c r="CA867" s="652"/>
      <c r="CB867" s="567"/>
      <c r="CC867" s="653"/>
      <c r="CD867" s="650"/>
      <c r="CE867" s="650"/>
      <c r="CF867" s="548"/>
      <c r="CG867" s="548"/>
      <c r="CU867" s="554">
        <f t="shared" si="308"/>
        <v>0</v>
      </c>
      <c r="CV867" s="551">
        <f t="shared" si="322"/>
        <v>0</v>
      </c>
      <c r="CW867" s="551">
        <f t="shared" si="323"/>
        <v>0</v>
      </c>
      <c r="CX867" s="650"/>
      <c r="CY867" s="650"/>
      <c r="CZ867" s="650"/>
      <c r="DA867" s="548"/>
      <c r="DB867" s="548"/>
      <c r="DC867" s="548"/>
      <c r="DD867" s="650"/>
      <c r="DE867" s="650"/>
      <c r="DF867" s="650"/>
      <c r="DG867" s="650"/>
      <c r="DH867" s="650"/>
    </row>
    <row r="868" s="548" customFormat="1" ht="31" customHeight="1" spans="1:112">
      <c r="A868" s="641">
        <v>45979</v>
      </c>
      <c r="B868" s="548"/>
      <c r="C868" s="246"/>
      <c r="D868" s="551" t="s">
        <v>8212</v>
      </c>
      <c r="E868" s="246"/>
      <c r="F868" s="551" t="s">
        <v>8213</v>
      </c>
      <c r="G868" s="246" t="s">
        <v>6020</v>
      </c>
      <c r="H868" s="246" t="s">
        <v>6021</v>
      </c>
      <c r="I868" s="246">
        <v>1008</v>
      </c>
      <c r="J868" s="246">
        <v>0</v>
      </c>
      <c r="K868" s="246">
        <v>24</v>
      </c>
      <c r="L868" s="644">
        <f t="shared" si="299"/>
        <v>42</v>
      </c>
      <c r="M868" s="645">
        <v>45999</v>
      </c>
      <c r="N868" s="645">
        <v>45995</v>
      </c>
      <c r="O868" s="643"/>
      <c r="P868" s="643"/>
      <c r="Q868" s="246"/>
      <c r="R868" s="646">
        <v>45979</v>
      </c>
      <c r="S868" s="646" t="s">
        <v>70</v>
      </c>
      <c r="T868" s="646" t="s">
        <v>70</v>
      </c>
      <c r="U868" s="646"/>
      <c r="V868" s="646"/>
      <c r="W868" s="615"/>
      <c r="X868" s="642" t="s">
        <v>8214</v>
      </c>
      <c r="Y868" s="642" t="s">
        <v>92</v>
      </c>
      <c r="Z868" s="655"/>
      <c r="AA868" s="647"/>
      <c r="AC868" s="658" t="s">
        <v>8215</v>
      </c>
      <c r="AD868" s="610" t="s">
        <v>6020</v>
      </c>
      <c r="AE868" s="662" t="s">
        <v>82</v>
      </c>
      <c r="AF868" s="246"/>
      <c r="AG868" s="246"/>
      <c r="AH868" s="246"/>
      <c r="AI868" s="246">
        <v>1008</v>
      </c>
      <c r="AJ868" s="662">
        <v>0</v>
      </c>
      <c r="AK868" s="246"/>
      <c r="AL868" s="246"/>
      <c r="AM868" s="246"/>
      <c r="AN868" s="246">
        <f>I868</f>
        <v>1008</v>
      </c>
      <c r="AO868" s="551"/>
      <c r="AP868" s="554">
        <f>I868</f>
        <v>1008</v>
      </c>
      <c r="AR868" s="680"/>
      <c r="AS868" s="548"/>
      <c r="AT868" s="548"/>
      <c r="AU868" s="554">
        <f>I868</f>
        <v>1008</v>
      </c>
      <c r="AV868" s="551"/>
      <c r="AW868" s="650"/>
      <c r="AX868" s="548"/>
      <c r="AY868" s="548"/>
      <c r="AZ868" s="548"/>
      <c r="BA868" s="548"/>
      <c r="BB868" s="249">
        <f>I868/24</f>
        <v>42</v>
      </c>
      <c r="BC868" s="651"/>
      <c r="BD868" s="548"/>
      <c r="BE868" s="548"/>
      <c r="BF868" s="548"/>
      <c r="BY868" s="650"/>
      <c r="BZ868" s="548"/>
      <c r="CA868" s="652"/>
      <c r="CB868" s="567"/>
      <c r="CC868" s="653"/>
      <c r="CD868" s="650"/>
      <c r="CE868" s="650"/>
      <c r="CF868" s="548"/>
      <c r="CG868" s="548"/>
      <c r="CU868" s="554">
        <f t="shared" si="308"/>
        <v>0</v>
      </c>
      <c r="CV868" s="663">
        <f t="shared" si="322"/>
        <v>0</v>
      </c>
      <c r="CW868" s="663">
        <f t="shared" si="323"/>
        <v>0</v>
      </c>
      <c r="CX868" s="650"/>
      <c r="CY868" s="650"/>
      <c r="CZ868" s="650"/>
      <c r="DA868" s="548"/>
      <c r="DB868" s="548"/>
      <c r="DC868" s="548"/>
      <c r="DD868" s="650"/>
      <c r="DE868" s="650"/>
      <c r="DF868" s="650"/>
      <c r="DG868" s="650"/>
      <c r="DH868" s="650"/>
    </row>
    <row r="869" s="548" customFormat="1" ht="31" customHeight="1" spans="1:112">
      <c r="A869" s="641">
        <v>45979</v>
      </c>
      <c r="B869" s="548"/>
      <c r="C869" s="246"/>
      <c r="D869" s="551" t="s">
        <v>8212</v>
      </c>
      <c r="E869" s="246"/>
      <c r="F869" s="551" t="s">
        <v>8216</v>
      </c>
      <c r="G869" s="246" t="s">
        <v>6025</v>
      </c>
      <c r="H869" s="246" t="s">
        <v>6026</v>
      </c>
      <c r="I869" s="246">
        <v>1008</v>
      </c>
      <c r="J869" s="246">
        <v>0</v>
      </c>
      <c r="K869" s="246">
        <v>24</v>
      </c>
      <c r="L869" s="644">
        <f t="shared" si="299"/>
        <v>42</v>
      </c>
      <c r="M869" s="645">
        <v>45999</v>
      </c>
      <c r="N869" s="645">
        <v>45995</v>
      </c>
      <c r="O869" s="643"/>
      <c r="P869" s="643"/>
      <c r="Q869" s="246"/>
      <c r="R869" s="646">
        <v>45979</v>
      </c>
      <c r="S869" s="646" t="s">
        <v>70</v>
      </c>
      <c r="T869" s="646" t="s">
        <v>70</v>
      </c>
      <c r="U869" s="646"/>
      <c r="V869" s="646"/>
      <c r="W869" s="615"/>
      <c r="X869" s="642" t="s">
        <v>8214</v>
      </c>
      <c r="Y869" s="642" t="s">
        <v>92</v>
      </c>
      <c r="Z869" s="655"/>
      <c r="AA869" s="647"/>
      <c r="AC869" s="658" t="s">
        <v>8215</v>
      </c>
      <c r="AD869" s="610" t="s">
        <v>8211</v>
      </c>
      <c r="AE869" s="246" t="s">
        <v>82</v>
      </c>
      <c r="AF869" s="246"/>
      <c r="AG869" s="246"/>
      <c r="AH869" s="246"/>
      <c r="AI869" s="246">
        <v>1008</v>
      </c>
      <c r="AJ869" s="246">
        <f t="shared" ref="AJ869:AJ875" si="324">AI869-I869</f>
        <v>0</v>
      </c>
      <c r="AK869" s="246"/>
      <c r="AL869" s="246"/>
      <c r="AM869" s="246"/>
      <c r="AN869" s="246"/>
      <c r="AO869" s="651">
        <f>I869</f>
        <v>1008</v>
      </c>
      <c r="AP869" s="554">
        <f>I869</f>
        <v>1008</v>
      </c>
      <c r="AR869" s="680"/>
      <c r="AS869" s="548"/>
      <c r="AT869" s="548"/>
      <c r="AU869" s="548"/>
      <c r="AV869" s="554">
        <f>I869</f>
        <v>1008</v>
      </c>
      <c r="AW869" s="650"/>
      <c r="AX869" s="548"/>
      <c r="AY869" s="548"/>
      <c r="AZ869" s="548"/>
      <c r="BA869" s="548"/>
      <c r="BB869" s="551">
        <f>I869/24</f>
        <v>42</v>
      </c>
      <c r="BC869" s="651"/>
      <c r="BD869" s="548"/>
      <c r="BE869" s="548"/>
      <c r="BF869" s="548"/>
      <c r="BY869" s="650"/>
      <c r="BZ869" s="548"/>
      <c r="CA869" s="652"/>
      <c r="CB869" s="567"/>
      <c r="CC869" s="653"/>
      <c r="CD869" s="650"/>
      <c r="CE869" s="650"/>
      <c r="CF869" s="548"/>
      <c r="CG869" s="548"/>
      <c r="CU869" s="554">
        <f t="shared" si="308"/>
        <v>0</v>
      </c>
      <c r="CV869" s="551">
        <f t="shared" ref="CV869:CV876" si="325">CK869+CL869+CM869+CN869+CO869+CQ869+CP869</f>
        <v>0</v>
      </c>
      <c r="CW869" s="551">
        <f t="shared" ref="CW869:CW876" si="326">CI869+CJ869</f>
        <v>0</v>
      </c>
      <c r="CX869" s="650"/>
      <c r="CY869" s="650"/>
      <c r="CZ869" s="650"/>
      <c r="DA869" s="548"/>
      <c r="DB869" s="548"/>
      <c r="DC869" s="548"/>
      <c r="DD869" s="650"/>
      <c r="DE869" s="650"/>
      <c r="DF869" s="650"/>
      <c r="DG869" s="650"/>
      <c r="DH869" s="650"/>
    </row>
    <row r="870" s="548" customFormat="1" ht="31" customHeight="1" spans="1:112">
      <c r="A870" s="641">
        <v>45952</v>
      </c>
      <c r="B870" s="642" t="s">
        <v>1620</v>
      </c>
      <c r="C870" s="246" t="s">
        <v>278</v>
      </c>
      <c r="D870" s="551">
        <v>4500182619</v>
      </c>
      <c r="E870" s="246" t="s">
        <v>8217</v>
      </c>
      <c r="F870" s="551" t="s">
        <v>8218</v>
      </c>
      <c r="G870" s="246" t="s">
        <v>6047</v>
      </c>
      <c r="H870" s="246" t="s">
        <v>6069</v>
      </c>
      <c r="I870" s="246">
        <v>7000</v>
      </c>
      <c r="J870" s="246">
        <v>0</v>
      </c>
      <c r="K870" s="246">
        <v>25</v>
      </c>
      <c r="L870" s="644">
        <f t="shared" si="299"/>
        <v>280</v>
      </c>
      <c r="M870" s="645">
        <v>46007</v>
      </c>
      <c r="N870" s="645">
        <v>46003</v>
      </c>
      <c r="O870" s="643"/>
      <c r="P870" s="643" t="s">
        <v>113</v>
      </c>
      <c r="Q870" s="246"/>
      <c r="R870" s="646">
        <v>45964</v>
      </c>
      <c r="S870" s="646" t="s">
        <v>70</v>
      </c>
      <c r="T870" s="646" t="s">
        <v>8219</v>
      </c>
      <c r="U870" s="646"/>
      <c r="V870" s="646"/>
      <c r="W870" s="615"/>
      <c r="X870" s="642" t="s">
        <v>8220</v>
      </c>
      <c r="Y870" s="642" t="s">
        <v>1549</v>
      </c>
      <c r="Z870" s="642">
        <v>0.9193</v>
      </c>
      <c r="AA870" s="647">
        <f t="shared" ref="AA870:AA875" si="327">Z870*I870</f>
        <v>6435.1</v>
      </c>
      <c r="AC870" s="658" t="s">
        <v>8221</v>
      </c>
      <c r="AD870" s="246" t="s">
        <v>6047</v>
      </c>
      <c r="AE870" s="246" t="s">
        <v>82</v>
      </c>
      <c r="AF870" s="246"/>
      <c r="AG870" s="246"/>
      <c r="AH870" s="246">
        <v>1</v>
      </c>
      <c r="AI870" s="246">
        <v>7000</v>
      </c>
      <c r="AJ870" s="246">
        <f t="shared" si="324"/>
        <v>0</v>
      </c>
      <c r="AK870" s="246"/>
      <c r="AL870" s="246"/>
      <c r="AM870" s="246"/>
      <c r="AN870" s="246"/>
      <c r="AO870" s="551">
        <f t="shared" ref="AO870:AO876" si="328">I870</f>
        <v>7000</v>
      </c>
      <c r="AR870" s="680"/>
      <c r="AS870" s="548"/>
      <c r="AT870" s="554">
        <f t="shared" ref="AT870:AT876" si="329">I870</f>
        <v>7000</v>
      </c>
      <c r="AV870" s="554">
        <f t="shared" ref="AV870:AV875" si="330">I870</f>
        <v>7000</v>
      </c>
      <c r="AW870" s="650"/>
      <c r="AX870" s="548"/>
      <c r="AY870" s="548"/>
      <c r="AZ870" s="548"/>
      <c r="BA870" s="548"/>
      <c r="BB870" s="620">
        <f t="shared" ref="BB870:BB875" si="331">I870/24</f>
        <v>291.666666666667</v>
      </c>
      <c r="BC870" s="651"/>
      <c r="BD870" s="548"/>
      <c r="BE870" s="548"/>
      <c r="BF870" s="548"/>
      <c r="BP870" s="551">
        <f>I870/25</f>
        <v>280</v>
      </c>
      <c r="BY870" s="650"/>
      <c r="BZ870" s="548"/>
      <c r="CA870" s="652"/>
      <c r="CB870" s="567"/>
      <c r="CC870" s="653"/>
      <c r="CD870" s="650"/>
      <c r="CE870" s="650"/>
      <c r="CF870" s="548"/>
      <c r="CG870" s="548"/>
      <c r="CU870" s="554">
        <f t="shared" si="308"/>
        <v>280</v>
      </c>
      <c r="CV870" s="551">
        <f t="shared" si="325"/>
        <v>0</v>
      </c>
      <c r="CW870" s="551">
        <f t="shared" si="326"/>
        <v>0</v>
      </c>
      <c r="CX870" s="650"/>
      <c r="CY870" s="650"/>
      <c r="CZ870" s="650"/>
      <c r="DA870" s="548"/>
      <c r="DB870" s="548"/>
      <c r="DC870" s="548"/>
      <c r="DD870" s="650"/>
      <c r="DE870" s="650"/>
      <c r="DF870" s="650"/>
      <c r="DG870" s="650"/>
      <c r="DH870" s="650"/>
    </row>
    <row r="871" s="548" customFormat="1" ht="31" customHeight="1" spans="1:112">
      <c r="A871" s="641">
        <v>45959</v>
      </c>
      <c r="B871" s="642" t="s">
        <v>312</v>
      </c>
      <c r="C871" s="246" t="s">
        <v>278</v>
      </c>
      <c r="D871" s="551">
        <v>4500183596</v>
      </c>
      <c r="E871" s="246" t="s">
        <v>2382</v>
      </c>
      <c r="F871" s="551" t="s">
        <v>8222</v>
      </c>
      <c r="G871" s="246" t="s">
        <v>6040</v>
      </c>
      <c r="H871" s="246" t="s">
        <v>6041</v>
      </c>
      <c r="I871" s="246">
        <v>19760</v>
      </c>
      <c r="J871" s="246">
        <v>0</v>
      </c>
      <c r="K871" s="246">
        <v>52</v>
      </c>
      <c r="L871" s="644">
        <f t="shared" si="299"/>
        <v>380</v>
      </c>
      <c r="M871" s="645">
        <v>46007</v>
      </c>
      <c r="N871" s="645">
        <v>46003</v>
      </c>
      <c r="O871" s="643"/>
      <c r="P871" s="643" t="s">
        <v>113</v>
      </c>
      <c r="Q871" s="246"/>
      <c r="R871" s="646">
        <v>45959</v>
      </c>
      <c r="S871" s="646" t="s">
        <v>104</v>
      </c>
      <c r="T871" s="646" t="s">
        <v>8223</v>
      </c>
      <c r="U871" s="646"/>
      <c r="V871" s="646"/>
      <c r="W871" s="615"/>
      <c r="X871" s="642" t="s">
        <v>8224</v>
      </c>
      <c r="Y871" s="642" t="s">
        <v>2199</v>
      </c>
      <c r="Z871" s="655">
        <v>0.9002</v>
      </c>
      <c r="AA871" s="647">
        <f t="shared" si="327"/>
        <v>17787.952</v>
      </c>
      <c r="AC871" s="658" t="s">
        <v>2385</v>
      </c>
      <c r="AD871" s="246" t="s">
        <v>6040</v>
      </c>
      <c r="AE871" s="246" t="s">
        <v>82</v>
      </c>
      <c r="AF871" s="246"/>
      <c r="AG871" s="246"/>
      <c r="AH871" s="246">
        <v>1</v>
      </c>
      <c r="AI871" s="246">
        <v>19760</v>
      </c>
      <c r="AJ871" s="246">
        <f t="shared" si="324"/>
        <v>0</v>
      </c>
      <c r="AK871" s="246"/>
      <c r="AL871" s="246"/>
      <c r="AM871" s="246"/>
      <c r="AN871" s="246"/>
      <c r="AO871" s="551">
        <f t="shared" si="328"/>
        <v>19760</v>
      </c>
      <c r="AR871" s="680"/>
      <c r="AS871" s="548"/>
      <c r="AT871" s="554">
        <f t="shared" si="329"/>
        <v>19760</v>
      </c>
      <c r="AV871" s="554">
        <f t="shared" si="330"/>
        <v>19760</v>
      </c>
      <c r="AW871" s="650"/>
      <c r="AX871" s="548"/>
      <c r="AY871" s="548"/>
      <c r="AZ871" s="548"/>
      <c r="BA871" s="548"/>
      <c r="BB871" s="620">
        <f t="shared" si="331"/>
        <v>823.333333333333</v>
      </c>
      <c r="BC871" s="651"/>
      <c r="BD871" s="548"/>
      <c r="BE871" s="548"/>
      <c r="BF871" s="548"/>
      <c r="BM871" s="551">
        <f>I871/13</f>
        <v>1520</v>
      </c>
      <c r="BY871" s="650"/>
      <c r="BZ871" s="548"/>
      <c r="CA871" s="652"/>
      <c r="CB871" s="567"/>
      <c r="CC871" s="653"/>
      <c r="CD871" s="650"/>
      <c r="CE871" s="650"/>
      <c r="CF871" s="548"/>
      <c r="CG871" s="548"/>
      <c r="CU871" s="554">
        <f t="shared" si="308"/>
        <v>0</v>
      </c>
      <c r="CV871" s="551">
        <f t="shared" si="325"/>
        <v>0</v>
      </c>
      <c r="CW871" s="551">
        <f t="shared" si="326"/>
        <v>0</v>
      </c>
      <c r="CX871" s="650"/>
      <c r="CY871" s="650"/>
      <c r="CZ871" s="650"/>
      <c r="DA871" s="548"/>
      <c r="DB871" s="548"/>
      <c r="DC871" s="548"/>
      <c r="DD871" s="650"/>
      <c r="DE871" s="650"/>
      <c r="DF871" s="650"/>
      <c r="DG871" s="650"/>
      <c r="DH871" s="650"/>
    </row>
    <row r="872" s="548" customFormat="1" ht="31" customHeight="1" spans="1:112">
      <c r="A872" s="641">
        <v>45959</v>
      </c>
      <c r="B872" s="642" t="s">
        <v>312</v>
      </c>
      <c r="C872" s="246" t="s">
        <v>278</v>
      </c>
      <c r="D872" s="551">
        <v>4500183596</v>
      </c>
      <c r="E872" s="246" t="s">
        <v>2473</v>
      </c>
      <c r="F872" s="551" t="s">
        <v>8225</v>
      </c>
      <c r="G872" s="246" t="s">
        <v>6040</v>
      </c>
      <c r="H872" s="246" t="s">
        <v>6041</v>
      </c>
      <c r="I872" s="246">
        <v>13520</v>
      </c>
      <c r="J872" s="246">
        <v>0</v>
      </c>
      <c r="K872" s="246">
        <v>52</v>
      </c>
      <c r="L872" s="644">
        <f t="shared" si="299"/>
        <v>260</v>
      </c>
      <c r="M872" s="645">
        <v>46007</v>
      </c>
      <c r="N872" s="645">
        <v>46003</v>
      </c>
      <c r="O872" s="643"/>
      <c r="P872" s="643" t="s">
        <v>113</v>
      </c>
      <c r="Q872" s="246"/>
      <c r="R872" s="646">
        <v>45959</v>
      </c>
      <c r="S872" s="646" t="s">
        <v>104</v>
      </c>
      <c r="T872" s="646" t="s">
        <v>8223</v>
      </c>
      <c r="U872" s="646"/>
      <c r="V872" s="646"/>
      <c r="W872" s="615"/>
      <c r="X872" s="642" t="s">
        <v>8224</v>
      </c>
      <c r="Y872" s="642" t="s">
        <v>2199</v>
      </c>
      <c r="Z872" s="655">
        <v>0.9002</v>
      </c>
      <c r="AA872" s="647">
        <f t="shared" si="327"/>
        <v>12170.704</v>
      </c>
      <c r="AC872" s="658" t="s">
        <v>2475</v>
      </c>
      <c r="AD872" s="246" t="s">
        <v>6040</v>
      </c>
      <c r="AE872" s="246" t="s">
        <v>82</v>
      </c>
      <c r="AF872" s="246"/>
      <c r="AG872" s="246"/>
      <c r="AH872" s="246">
        <v>1</v>
      </c>
      <c r="AI872" s="246">
        <v>13520</v>
      </c>
      <c r="AJ872" s="246">
        <f t="shared" si="324"/>
        <v>0</v>
      </c>
      <c r="AK872" s="246"/>
      <c r="AL872" s="246"/>
      <c r="AM872" s="246"/>
      <c r="AN872" s="246"/>
      <c r="AO872" s="551">
        <f t="shared" si="328"/>
        <v>13520</v>
      </c>
      <c r="AR872" s="680"/>
      <c r="AS872" s="548"/>
      <c r="AT872" s="554">
        <f t="shared" si="329"/>
        <v>13520</v>
      </c>
      <c r="AV872" s="554">
        <f t="shared" si="330"/>
        <v>13520</v>
      </c>
      <c r="AW872" s="650"/>
      <c r="AX872" s="548"/>
      <c r="AY872" s="548"/>
      <c r="AZ872" s="548"/>
      <c r="BA872" s="548"/>
      <c r="BB872" s="620">
        <f t="shared" si="331"/>
        <v>563.333333333333</v>
      </c>
      <c r="BC872" s="651"/>
      <c r="BD872" s="548"/>
      <c r="BE872" s="548"/>
      <c r="BF872" s="548"/>
      <c r="BM872" s="551">
        <f>I872/13</f>
        <v>1040</v>
      </c>
      <c r="BY872" s="650"/>
      <c r="BZ872" s="548"/>
      <c r="CA872" s="652"/>
      <c r="CB872" s="567"/>
      <c r="CC872" s="653"/>
      <c r="CD872" s="650"/>
      <c r="CE872" s="650"/>
      <c r="CF872" s="548"/>
      <c r="CG872" s="548"/>
      <c r="CU872" s="554">
        <f t="shared" si="308"/>
        <v>0</v>
      </c>
      <c r="CV872" s="551">
        <f t="shared" si="325"/>
        <v>0</v>
      </c>
      <c r="CW872" s="551">
        <f t="shared" si="326"/>
        <v>0</v>
      </c>
      <c r="CX872" s="650"/>
      <c r="CY872" s="650"/>
      <c r="CZ872" s="650"/>
      <c r="DA872" s="548"/>
      <c r="DB872" s="548"/>
      <c r="DC872" s="548"/>
      <c r="DD872" s="650"/>
      <c r="DE872" s="650"/>
      <c r="DF872" s="650"/>
      <c r="DG872" s="650"/>
      <c r="DH872" s="650"/>
    </row>
    <row r="873" s="548" customFormat="1" ht="31" customHeight="1" spans="1:112">
      <c r="A873" s="641">
        <v>45972</v>
      </c>
      <c r="B873" s="642" t="s">
        <v>6098</v>
      </c>
      <c r="C873" s="246" t="s">
        <v>128</v>
      </c>
      <c r="D873" s="551">
        <v>4500185187</v>
      </c>
      <c r="E873" s="246" t="s">
        <v>8226</v>
      </c>
      <c r="F873" s="551" t="s">
        <v>8227</v>
      </c>
      <c r="G873" s="246" t="s">
        <v>6101</v>
      </c>
      <c r="H873" s="246" t="s">
        <v>6102</v>
      </c>
      <c r="I873" s="246">
        <v>1968</v>
      </c>
      <c r="J873" s="246">
        <v>0</v>
      </c>
      <c r="K873" s="246">
        <v>6</v>
      </c>
      <c r="L873" s="644">
        <f t="shared" si="299"/>
        <v>328</v>
      </c>
      <c r="M873" s="645">
        <v>46009</v>
      </c>
      <c r="N873" s="645">
        <v>46010</v>
      </c>
      <c r="O873" s="643"/>
      <c r="P873" s="643" t="s">
        <v>113</v>
      </c>
      <c r="Q873" s="246"/>
      <c r="R873" s="646">
        <v>45985</v>
      </c>
      <c r="S873" s="646" t="s">
        <v>70</v>
      </c>
      <c r="T873" s="646" t="s">
        <v>8228</v>
      </c>
      <c r="U873" s="646"/>
      <c r="V873" s="646"/>
      <c r="W873" s="615"/>
      <c r="X873" s="642" t="s">
        <v>7484</v>
      </c>
      <c r="Y873" s="642" t="s">
        <v>1735</v>
      </c>
      <c r="Z873" s="642">
        <v>1.0006</v>
      </c>
      <c r="AA873" s="647">
        <f t="shared" si="327"/>
        <v>1969.1808</v>
      </c>
      <c r="AC873" s="658" t="s">
        <v>8229</v>
      </c>
      <c r="AD873" s="246" t="s">
        <v>6101</v>
      </c>
      <c r="AE873" s="246" t="s">
        <v>82</v>
      </c>
      <c r="AF873" s="246"/>
      <c r="AG873" s="642"/>
      <c r="AH873" s="642">
        <v>1</v>
      </c>
      <c r="AI873" s="246">
        <v>1968</v>
      </c>
      <c r="AJ873" s="246">
        <f t="shared" si="324"/>
        <v>0</v>
      </c>
      <c r="AK873" s="246"/>
      <c r="AL873" s="246" t="s">
        <v>2368</v>
      </c>
      <c r="AM873" s="246"/>
      <c r="AN873" s="246"/>
      <c r="AO873" s="551">
        <f t="shared" si="328"/>
        <v>1968</v>
      </c>
      <c r="AR873" s="680"/>
      <c r="AS873" s="548"/>
      <c r="AT873" s="554">
        <f t="shared" si="329"/>
        <v>1968</v>
      </c>
      <c r="AV873" s="554">
        <f t="shared" si="330"/>
        <v>1968</v>
      </c>
      <c r="AW873" s="650"/>
      <c r="AX873" s="548"/>
      <c r="AY873" s="548"/>
      <c r="AZ873" s="548"/>
      <c r="BA873" s="548"/>
      <c r="BB873" s="620">
        <f t="shared" si="331"/>
        <v>82</v>
      </c>
      <c r="BC873" s="651"/>
      <c r="BD873" s="548"/>
      <c r="BE873" s="548"/>
      <c r="BF873" s="548"/>
      <c r="BT873" s="551">
        <f>I873/6</f>
        <v>328</v>
      </c>
      <c r="BU873" s="551"/>
      <c r="BV873" s="548"/>
      <c r="BW873" s="548"/>
      <c r="BX873" s="548"/>
      <c r="BY873" s="650"/>
      <c r="BZ873" s="548"/>
      <c r="CA873" s="652"/>
      <c r="CB873" s="567"/>
      <c r="CC873" s="653"/>
      <c r="CD873" s="650"/>
      <c r="CE873" s="650"/>
      <c r="CF873" s="548"/>
      <c r="CG873" s="548"/>
      <c r="CU873" s="554">
        <f t="shared" si="308"/>
        <v>0</v>
      </c>
      <c r="CV873" s="551">
        <f t="shared" si="325"/>
        <v>0</v>
      </c>
      <c r="CW873" s="551">
        <f t="shared" si="326"/>
        <v>0</v>
      </c>
      <c r="CX873" s="650"/>
      <c r="CY873" s="650"/>
      <c r="CZ873" s="650"/>
      <c r="DA873" s="548"/>
      <c r="DB873" s="548"/>
      <c r="DC873" s="548"/>
      <c r="DD873" s="650"/>
      <c r="DE873" s="650"/>
      <c r="DF873" s="650"/>
      <c r="DG873" s="650"/>
      <c r="DH873" s="650"/>
    </row>
    <row r="874" s="548" customFormat="1" ht="31" customHeight="1" spans="1:112">
      <c r="A874" s="641">
        <v>45972</v>
      </c>
      <c r="B874" s="642" t="s">
        <v>6098</v>
      </c>
      <c r="C874" s="246" t="s">
        <v>128</v>
      </c>
      <c r="D874" s="551">
        <v>4500185187</v>
      </c>
      <c r="E874" s="246" t="s">
        <v>8230</v>
      </c>
      <c r="F874" s="551" t="s">
        <v>8231</v>
      </c>
      <c r="G874" s="246" t="s">
        <v>6101</v>
      </c>
      <c r="H874" s="246" t="s">
        <v>6102</v>
      </c>
      <c r="I874" s="246">
        <v>1728</v>
      </c>
      <c r="J874" s="246">
        <v>0</v>
      </c>
      <c r="K874" s="246">
        <v>6</v>
      </c>
      <c r="L874" s="644">
        <f t="shared" si="299"/>
        <v>288</v>
      </c>
      <c r="M874" s="645">
        <v>46009</v>
      </c>
      <c r="N874" s="645">
        <v>46006</v>
      </c>
      <c r="O874" s="643"/>
      <c r="P874" s="643" t="s">
        <v>113</v>
      </c>
      <c r="Q874" s="246"/>
      <c r="R874" s="646">
        <v>45985</v>
      </c>
      <c r="S874" s="646" t="s">
        <v>70</v>
      </c>
      <c r="T874" s="646" t="s">
        <v>8228</v>
      </c>
      <c r="U874" s="646"/>
      <c r="V874" s="646"/>
      <c r="W874" s="615"/>
      <c r="X874" s="642" t="s">
        <v>7484</v>
      </c>
      <c r="Y874" s="642" t="s">
        <v>1735</v>
      </c>
      <c r="Z874" s="642">
        <v>1.0006</v>
      </c>
      <c r="AA874" s="647">
        <f t="shared" si="327"/>
        <v>1729.0368</v>
      </c>
      <c r="AC874" s="658" t="s">
        <v>8229</v>
      </c>
      <c r="AD874" s="246" t="s">
        <v>6101</v>
      </c>
      <c r="AE874" s="246" t="s">
        <v>82</v>
      </c>
      <c r="AF874" s="246"/>
      <c r="AG874" s="642"/>
      <c r="AH874" s="642">
        <v>1</v>
      </c>
      <c r="AI874" s="246">
        <f>1722+6</f>
        <v>1728</v>
      </c>
      <c r="AJ874" s="246">
        <f t="shared" si="324"/>
        <v>0</v>
      </c>
      <c r="AK874" s="246"/>
      <c r="AL874" s="246" t="s">
        <v>2368</v>
      </c>
      <c r="AM874" s="246"/>
      <c r="AN874" s="246"/>
      <c r="AO874" s="551">
        <f t="shared" si="328"/>
        <v>1728</v>
      </c>
      <c r="AR874" s="680"/>
      <c r="AS874" s="548"/>
      <c r="AT874" s="554">
        <f t="shared" si="329"/>
        <v>1728</v>
      </c>
      <c r="AV874" s="554">
        <f t="shared" si="330"/>
        <v>1728</v>
      </c>
      <c r="AW874" s="650"/>
      <c r="AX874" s="548"/>
      <c r="AY874" s="548"/>
      <c r="AZ874" s="548"/>
      <c r="BA874" s="548"/>
      <c r="BB874" s="620">
        <f t="shared" si="331"/>
        <v>72</v>
      </c>
      <c r="BC874" s="651"/>
      <c r="BD874" s="548"/>
      <c r="BE874" s="548"/>
      <c r="BF874" s="548"/>
      <c r="BT874" s="551">
        <f>I874/6</f>
        <v>288</v>
      </c>
      <c r="BU874" s="551"/>
      <c r="BY874" s="650"/>
      <c r="BZ874" s="548"/>
      <c r="CA874" s="652"/>
      <c r="CB874" s="567"/>
      <c r="CC874" s="653"/>
      <c r="CD874" s="650"/>
      <c r="CE874" s="650"/>
      <c r="CF874" s="548"/>
      <c r="CG874" s="548"/>
      <c r="CU874" s="554">
        <f t="shared" si="308"/>
        <v>0</v>
      </c>
      <c r="CV874" s="551">
        <f t="shared" si="325"/>
        <v>0</v>
      </c>
      <c r="CW874" s="551">
        <f t="shared" si="326"/>
        <v>0</v>
      </c>
      <c r="CX874" s="650"/>
      <c r="CY874" s="650"/>
      <c r="CZ874" s="650"/>
      <c r="DA874" s="548"/>
      <c r="DB874" s="548"/>
      <c r="DC874" s="548"/>
      <c r="DD874" s="650"/>
      <c r="DE874" s="650"/>
      <c r="DF874" s="650"/>
      <c r="DG874" s="650"/>
      <c r="DH874" s="650"/>
    </row>
    <row r="875" s="548" customFormat="1" ht="31" customHeight="1" spans="1:112">
      <c r="A875" s="641">
        <v>45972</v>
      </c>
      <c r="B875" s="642" t="s">
        <v>6098</v>
      </c>
      <c r="C875" s="246" t="s">
        <v>128</v>
      </c>
      <c r="D875" s="551">
        <v>4500185187</v>
      </c>
      <c r="E875" s="246" t="s">
        <v>8232</v>
      </c>
      <c r="F875" s="551" t="s">
        <v>8233</v>
      </c>
      <c r="G875" s="246" t="s">
        <v>6101</v>
      </c>
      <c r="H875" s="246" t="s">
        <v>6102</v>
      </c>
      <c r="I875" s="246">
        <v>1968</v>
      </c>
      <c r="J875" s="246">
        <v>0</v>
      </c>
      <c r="K875" s="246">
        <v>6</v>
      </c>
      <c r="L875" s="644">
        <f t="shared" si="299"/>
        <v>328</v>
      </c>
      <c r="M875" s="645">
        <v>46009</v>
      </c>
      <c r="N875" s="645">
        <v>46006</v>
      </c>
      <c r="O875" s="643"/>
      <c r="P875" s="643" t="s">
        <v>113</v>
      </c>
      <c r="Q875" s="246"/>
      <c r="R875" s="646">
        <v>45985</v>
      </c>
      <c r="S875" s="646" t="s">
        <v>70</v>
      </c>
      <c r="T875" s="646" t="s">
        <v>8228</v>
      </c>
      <c r="U875" s="646"/>
      <c r="V875" s="646"/>
      <c r="W875" s="615"/>
      <c r="X875" s="642" t="s">
        <v>7484</v>
      </c>
      <c r="Y875" s="642" t="s">
        <v>1735</v>
      </c>
      <c r="Z875" s="642">
        <v>1.0006</v>
      </c>
      <c r="AA875" s="647">
        <f t="shared" si="327"/>
        <v>1969.1808</v>
      </c>
      <c r="AC875" s="658" t="s">
        <v>8229</v>
      </c>
      <c r="AD875" s="246" t="s">
        <v>6101</v>
      </c>
      <c r="AE875" s="246" t="s">
        <v>82</v>
      </c>
      <c r="AF875" s="246"/>
      <c r="AG875" s="642"/>
      <c r="AH875" s="642">
        <v>1</v>
      </c>
      <c r="AI875" s="246">
        <v>1968</v>
      </c>
      <c r="AJ875" s="246">
        <f t="shared" si="324"/>
        <v>0</v>
      </c>
      <c r="AK875" s="246"/>
      <c r="AL875" s="246" t="s">
        <v>2368</v>
      </c>
      <c r="AM875" s="246"/>
      <c r="AN875" s="246"/>
      <c r="AO875" s="551">
        <f t="shared" si="328"/>
        <v>1968</v>
      </c>
      <c r="AR875" s="680"/>
      <c r="AS875" s="548"/>
      <c r="AT875" s="554">
        <f t="shared" si="329"/>
        <v>1968</v>
      </c>
      <c r="AV875" s="554">
        <f t="shared" si="330"/>
        <v>1968</v>
      </c>
      <c r="AW875" s="650"/>
      <c r="AX875" s="548"/>
      <c r="AY875" s="548"/>
      <c r="AZ875" s="548"/>
      <c r="BA875" s="548"/>
      <c r="BB875" s="620">
        <f t="shared" si="331"/>
        <v>82</v>
      </c>
      <c r="BC875" s="651"/>
      <c r="BD875" s="548"/>
      <c r="BE875" s="548"/>
      <c r="BF875" s="548"/>
      <c r="BT875" s="551">
        <f>I875/6</f>
        <v>328</v>
      </c>
      <c r="BU875" s="551"/>
      <c r="BY875" s="650"/>
      <c r="BZ875" s="548"/>
      <c r="CA875" s="652"/>
      <c r="CB875" s="567"/>
      <c r="CC875" s="653"/>
      <c r="CD875" s="650"/>
      <c r="CE875" s="650"/>
      <c r="CF875" s="548"/>
      <c r="CG875" s="548"/>
      <c r="CU875" s="554">
        <f t="shared" si="308"/>
        <v>0</v>
      </c>
      <c r="CV875" s="551">
        <f t="shared" si="325"/>
        <v>0</v>
      </c>
      <c r="CW875" s="551">
        <f t="shared" si="326"/>
        <v>0</v>
      </c>
      <c r="CX875" s="650"/>
      <c r="CY875" s="650"/>
      <c r="CZ875" s="650"/>
      <c r="DA875" s="548"/>
      <c r="DB875" s="548"/>
      <c r="DC875" s="548"/>
      <c r="DD875" s="650"/>
      <c r="DE875" s="650"/>
      <c r="DF875" s="650"/>
      <c r="DG875" s="650"/>
      <c r="DH875" s="650"/>
    </row>
    <row r="876" s="548" customFormat="1" ht="31" customHeight="1" spans="1:112">
      <c r="A876" s="641">
        <v>45978</v>
      </c>
      <c r="B876" s="642" t="s">
        <v>499</v>
      </c>
      <c r="C876" s="246" t="s">
        <v>890</v>
      </c>
      <c r="D876" s="551">
        <v>4500180735</v>
      </c>
      <c r="E876" s="246"/>
      <c r="F876" s="551" t="s">
        <v>8234</v>
      </c>
      <c r="G876" s="246" t="s">
        <v>6448</v>
      </c>
      <c r="H876" s="246" t="s">
        <v>6449</v>
      </c>
      <c r="I876" s="246">
        <v>1000</v>
      </c>
      <c r="J876" s="246">
        <v>0</v>
      </c>
      <c r="K876" s="246">
        <v>50</v>
      </c>
      <c r="L876" s="644">
        <f t="shared" si="299"/>
        <v>20</v>
      </c>
      <c r="M876" s="645">
        <v>46006</v>
      </c>
      <c r="N876" s="645">
        <v>46002</v>
      </c>
      <c r="O876" s="643"/>
      <c r="P876" s="643" t="s">
        <v>113</v>
      </c>
      <c r="Q876" s="246"/>
      <c r="R876" s="646">
        <v>45973</v>
      </c>
      <c r="S876" s="646" t="s">
        <v>70</v>
      </c>
      <c r="T876" s="646" t="s">
        <v>8235</v>
      </c>
      <c r="U876" s="646"/>
      <c r="V876" s="646"/>
      <c r="W876" s="615"/>
      <c r="X876" s="642" t="s">
        <v>8236</v>
      </c>
      <c r="Y876" s="642" t="s">
        <v>2398</v>
      </c>
      <c r="Z876" s="655">
        <v>0.9543</v>
      </c>
      <c r="AA876" s="647">
        <f t="shared" ref="AA876:AA885" si="332">Z876*I876</f>
        <v>954.3</v>
      </c>
      <c r="AC876" s="648"/>
      <c r="AD876" s="246" t="s">
        <v>6448</v>
      </c>
      <c r="AE876" s="246" t="s">
        <v>82</v>
      </c>
      <c r="AF876" s="246"/>
      <c r="AG876" s="693"/>
      <c r="AH876" s="693">
        <v>1</v>
      </c>
      <c r="AI876" s="246">
        <v>1000</v>
      </c>
      <c r="AJ876" s="246">
        <f t="shared" ref="AJ876:AJ914" si="333">AI876-I876</f>
        <v>0</v>
      </c>
      <c r="AK876" s="246"/>
      <c r="AL876" s="246"/>
      <c r="AM876" s="246"/>
      <c r="AN876" s="246"/>
      <c r="AO876" s="551">
        <f t="shared" si="328"/>
        <v>1000</v>
      </c>
      <c r="AR876" s="680"/>
      <c r="AS876" s="548"/>
      <c r="AT876" s="554">
        <f t="shared" si="329"/>
        <v>1000</v>
      </c>
      <c r="AV876" s="551"/>
      <c r="AW876" s="650"/>
      <c r="AX876" s="551"/>
      <c r="AY876" s="548"/>
      <c r="AZ876" s="551">
        <f>I876</f>
        <v>1000</v>
      </c>
      <c r="BB876" s="249">
        <f t="shared" ref="BB876:BB885" si="334">I876/24</f>
        <v>41.6666666666667</v>
      </c>
      <c r="BC876" s="651"/>
      <c r="BD876" s="548"/>
      <c r="BE876" s="548"/>
      <c r="BF876" s="548"/>
      <c r="BX876" s="551">
        <f>I876/25</f>
        <v>40</v>
      </c>
      <c r="BY876" s="650"/>
      <c r="BZ876" s="548"/>
      <c r="CA876" s="652"/>
      <c r="CB876" s="567"/>
      <c r="CC876" s="653"/>
      <c r="CD876" s="650"/>
      <c r="CE876" s="650"/>
      <c r="CF876" s="548"/>
      <c r="CG876" s="548"/>
      <c r="CU876" s="554">
        <f t="shared" ref="CU876:CU883" si="335">BQ876+BP876+BO876+BN876+BX876+BR876</f>
        <v>40</v>
      </c>
      <c r="CV876" s="551">
        <f t="shared" ref="CV876:CV888" si="336">CK876+CL876+CM876+CN876+CO876+CQ876+CP876</f>
        <v>0</v>
      </c>
      <c r="CW876" s="551">
        <f t="shared" ref="CW876:CW888" si="337">CI876+CJ876</f>
        <v>0</v>
      </c>
      <c r="CX876" s="650"/>
      <c r="CY876" s="650"/>
      <c r="CZ876" s="650"/>
      <c r="DA876" s="548"/>
      <c r="DB876" s="548"/>
      <c r="DC876" s="548"/>
      <c r="DD876" s="650"/>
      <c r="DE876" s="650"/>
      <c r="DF876" s="650"/>
      <c r="DG876" s="650"/>
      <c r="DH876" s="650"/>
    </row>
    <row r="877" s="548" customFormat="1" ht="31" customHeight="1" spans="1:112">
      <c r="A877" s="641">
        <v>45965</v>
      </c>
      <c r="B877" s="642" t="s">
        <v>143</v>
      </c>
      <c r="C877" s="246" t="s">
        <v>98</v>
      </c>
      <c r="D877" s="551">
        <v>4500184388</v>
      </c>
      <c r="E877" s="643">
        <v>952702342</v>
      </c>
      <c r="F877" s="551" t="s">
        <v>8237</v>
      </c>
      <c r="G877" s="246" t="s">
        <v>6063</v>
      </c>
      <c r="H877" s="246" t="s">
        <v>6064</v>
      </c>
      <c r="I877" s="246">
        <v>23040</v>
      </c>
      <c r="J877" s="246">
        <v>0</v>
      </c>
      <c r="K877" s="246">
        <v>16</v>
      </c>
      <c r="L877" s="644">
        <f t="shared" si="299"/>
        <v>1440</v>
      </c>
      <c r="M877" s="645">
        <v>46006</v>
      </c>
      <c r="N877" s="645">
        <v>46002</v>
      </c>
      <c r="O877" s="645">
        <v>46008</v>
      </c>
      <c r="P877" s="643" t="s">
        <v>113</v>
      </c>
      <c r="Q877" s="246" t="s">
        <v>8238</v>
      </c>
      <c r="R877" s="646" t="s">
        <v>7064</v>
      </c>
      <c r="S877" s="646" t="s">
        <v>70</v>
      </c>
      <c r="T877" s="646" t="s">
        <v>148</v>
      </c>
      <c r="U877" s="646"/>
      <c r="V877" s="646"/>
      <c r="W877" s="615"/>
      <c r="X877" s="642" t="s">
        <v>7065</v>
      </c>
      <c r="Y877" s="642" t="s">
        <v>106</v>
      </c>
      <c r="Z877" s="642">
        <v>0.5837</v>
      </c>
      <c r="AA877" s="647">
        <f t="shared" si="332"/>
        <v>13448.448</v>
      </c>
      <c r="AC877" s="658" t="s">
        <v>8239</v>
      </c>
      <c r="AD877" s="246" t="s">
        <v>6063</v>
      </c>
      <c r="AE877" s="246" t="s">
        <v>82</v>
      </c>
      <c r="AF877" s="246"/>
      <c r="AG877" s="693"/>
      <c r="AH877" s="693">
        <v>1</v>
      </c>
      <c r="AI877" s="246">
        <v>23040</v>
      </c>
      <c r="AJ877" s="246">
        <f t="shared" si="333"/>
        <v>0</v>
      </c>
      <c r="AK877" s="246"/>
      <c r="AL877" s="246"/>
      <c r="AM877" s="246"/>
      <c r="AN877" s="246">
        <f>I877</f>
        <v>23040</v>
      </c>
      <c r="AP877" s="554">
        <f>I877</f>
        <v>23040</v>
      </c>
      <c r="AR877" s="680"/>
      <c r="AS877" s="548"/>
      <c r="AT877" s="548"/>
      <c r="AU877" s="554">
        <f>I877</f>
        <v>23040</v>
      </c>
      <c r="AV877" s="551"/>
      <c r="AW877" s="650"/>
      <c r="AX877" s="551"/>
      <c r="AY877" s="548"/>
      <c r="AZ877" s="548"/>
      <c r="BA877" s="548"/>
      <c r="BB877" s="249">
        <f t="shared" si="334"/>
        <v>960</v>
      </c>
      <c r="BC877" s="651"/>
      <c r="BD877" s="548"/>
      <c r="BE877" s="548"/>
      <c r="BF877" s="548"/>
      <c r="BQ877" s="551">
        <f>I877/16</f>
        <v>1440</v>
      </c>
      <c r="BY877" s="650"/>
      <c r="BZ877" s="548"/>
      <c r="CA877" s="652"/>
      <c r="CB877" s="567"/>
      <c r="CC877" s="653"/>
      <c r="CD877" s="650"/>
      <c r="CE877" s="650"/>
      <c r="CF877" s="548"/>
      <c r="CG877" s="548"/>
      <c r="CU877" s="554">
        <f t="shared" si="335"/>
        <v>1440</v>
      </c>
      <c r="CV877" s="551">
        <f t="shared" si="336"/>
        <v>0</v>
      </c>
      <c r="CW877" s="551">
        <f t="shared" si="337"/>
        <v>0</v>
      </c>
      <c r="CX877" s="650"/>
      <c r="CY877" s="650"/>
      <c r="CZ877" s="650"/>
      <c r="DA877" s="548"/>
      <c r="DB877" s="548"/>
      <c r="DC877" s="548"/>
      <c r="DD877" s="650"/>
      <c r="DE877" s="650"/>
      <c r="DF877" s="650"/>
      <c r="DG877" s="650"/>
      <c r="DH877" s="650"/>
    </row>
    <row r="878" s="548" customFormat="1" ht="31" customHeight="1" spans="1:112">
      <c r="A878" s="641">
        <v>45965</v>
      </c>
      <c r="B878" s="642" t="s">
        <v>143</v>
      </c>
      <c r="C878" s="246" t="s">
        <v>98</v>
      </c>
      <c r="D878" s="551">
        <v>4500184388</v>
      </c>
      <c r="E878" s="643">
        <v>952702421</v>
      </c>
      <c r="F878" s="551" t="s">
        <v>8240</v>
      </c>
      <c r="G878" s="246" t="s">
        <v>6063</v>
      </c>
      <c r="H878" s="246" t="s">
        <v>6064</v>
      </c>
      <c r="I878" s="246">
        <v>15360</v>
      </c>
      <c r="J878" s="246">
        <v>0</v>
      </c>
      <c r="K878" s="246">
        <v>16</v>
      </c>
      <c r="L878" s="644">
        <f t="shared" si="299"/>
        <v>960</v>
      </c>
      <c r="M878" s="645">
        <v>46006</v>
      </c>
      <c r="N878" s="645">
        <v>46002</v>
      </c>
      <c r="O878" s="645">
        <v>46009</v>
      </c>
      <c r="P878" s="643" t="s">
        <v>113</v>
      </c>
      <c r="Q878" s="246" t="s">
        <v>8241</v>
      </c>
      <c r="R878" s="646" t="s">
        <v>7064</v>
      </c>
      <c r="S878" s="646" t="s">
        <v>70</v>
      </c>
      <c r="T878" s="646" t="s">
        <v>148</v>
      </c>
      <c r="U878" s="646"/>
      <c r="V878" s="646"/>
      <c r="W878" s="615"/>
      <c r="X878" s="642" t="s">
        <v>7065</v>
      </c>
      <c r="Y878" s="642" t="s">
        <v>106</v>
      </c>
      <c r="Z878" s="642">
        <v>0.5905</v>
      </c>
      <c r="AA878" s="647">
        <f t="shared" si="332"/>
        <v>9070.08</v>
      </c>
      <c r="AC878" s="658" t="s">
        <v>8239</v>
      </c>
      <c r="AD878" s="246" t="s">
        <v>6063</v>
      </c>
      <c r="AE878" s="246" t="s">
        <v>82</v>
      </c>
      <c r="AF878" s="246"/>
      <c r="AG878" s="693"/>
      <c r="AH878" s="693">
        <v>1</v>
      </c>
      <c r="AI878" s="246">
        <v>15360</v>
      </c>
      <c r="AJ878" s="246">
        <f t="shared" si="333"/>
        <v>0</v>
      </c>
      <c r="AK878" s="246"/>
      <c r="AL878" s="246"/>
      <c r="AM878" s="246"/>
      <c r="AN878" s="246">
        <f>I878</f>
        <v>15360</v>
      </c>
      <c r="AP878" s="554">
        <f>I878</f>
        <v>15360</v>
      </c>
      <c r="AR878" s="680"/>
      <c r="AS878" s="548"/>
      <c r="AT878" s="548"/>
      <c r="AU878" s="554">
        <f>I878</f>
        <v>15360</v>
      </c>
      <c r="AV878" s="551"/>
      <c r="AW878" s="650"/>
      <c r="AX878" s="551"/>
      <c r="AY878" s="548"/>
      <c r="AZ878" s="548"/>
      <c r="BA878" s="548"/>
      <c r="BB878" s="249">
        <f t="shared" si="334"/>
        <v>640</v>
      </c>
      <c r="BC878" s="651"/>
      <c r="BD878" s="548"/>
      <c r="BE878" s="548"/>
      <c r="BF878" s="548"/>
      <c r="BQ878" s="551">
        <f>I878/16</f>
        <v>960</v>
      </c>
      <c r="BY878" s="650"/>
      <c r="BZ878" s="548"/>
      <c r="CA878" s="652"/>
      <c r="CB878" s="567"/>
      <c r="CC878" s="653"/>
      <c r="CD878" s="650"/>
      <c r="CE878" s="650"/>
      <c r="CF878" s="548"/>
      <c r="CG878" s="548"/>
      <c r="CU878" s="554">
        <f t="shared" si="335"/>
        <v>960</v>
      </c>
      <c r="CV878" s="551">
        <f t="shared" si="336"/>
        <v>0</v>
      </c>
      <c r="CW878" s="551">
        <f t="shared" si="337"/>
        <v>0</v>
      </c>
      <c r="CX878" s="650"/>
      <c r="CY878" s="650"/>
      <c r="CZ878" s="650"/>
      <c r="DA878" s="548"/>
      <c r="DB878" s="548"/>
      <c r="DC878" s="548"/>
      <c r="DD878" s="650"/>
      <c r="DE878" s="650"/>
      <c r="DF878" s="650"/>
      <c r="DG878" s="650"/>
      <c r="DH878" s="650"/>
    </row>
    <row r="879" s="548" customFormat="1" ht="31" customHeight="1" spans="1:112">
      <c r="A879" s="641">
        <v>45965</v>
      </c>
      <c r="B879" s="642" t="s">
        <v>143</v>
      </c>
      <c r="C879" s="246" t="s">
        <v>98</v>
      </c>
      <c r="D879" s="551">
        <v>4500184388</v>
      </c>
      <c r="E879" s="643">
        <v>952702523</v>
      </c>
      <c r="F879" s="551" t="s">
        <v>8242</v>
      </c>
      <c r="G879" s="246" t="s">
        <v>6063</v>
      </c>
      <c r="H879" s="246" t="s">
        <v>6064</v>
      </c>
      <c r="I879" s="246">
        <v>48000</v>
      </c>
      <c r="J879" s="246">
        <v>0</v>
      </c>
      <c r="K879" s="246">
        <v>16</v>
      </c>
      <c r="L879" s="644">
        <f t="shared" si="299"/>
        <v>3000</v>
      </c>
      <c r="M879" s="645">
        <v>46006</v>
      </c>
      <c r="N879" s="645">
        <v>46002</v>
      </c>
      <c r="O879" s="645">
        <v>46008</v>
      </c>
      <c r="P879" s="643" t="s">
        <v>113</v>
      </c>
      <c r="Q879" s="246" t="s">
        <v>8243</v>
      </c>
      <c r="R879" s="646" t="s">
        <v>7064</v>
      </c>
      <c r="S879" s="646" t="s">
        <v>70</v>
      </c>
      <c r="T879" s="646" t="s">
        <v>148</v>
      </c>
      <c r="U879" s="646"/>
      <c r="V879" s="646"/>
      <c r="W879" s="615"/>
      <c r="X879" s="642" t="s">
        <v>7065</v>
      </c>
      <c r="Y879" s="642" t="s">
        <v>106</v>
      </c>
      <c r="Z879" s="642">
        <v>0.5837</v>
      </c>
      <c r="AA879" s="647">
        <f t="shared" si="332"/>
        <v>28017.6</v>
      </c>
      <c r="AC879" s="658" t="s">
        <v>8239</v>
      </c>
      <c r="AD879" s="246" t="s">
        <v>6063</v>
      </c>
      <c r="AE879" s="246" t="s">
        <v>82</v>
      </c>
      <c r="AF879" s="246"/>
      <c r="AG879" s="693"/>
      <c r="AH879" s="693">
        <v>1</v>
      </c>
      <c r="AI879" s="246">
        <f>22960+25040</f>
        <v>48000</v>
      </c>
      <c r="AJ879" s="246">
        <f t="shared" si="333"/>
        <v>0</v>
      </c>
      <c r="AK879" s="246"/>
      <c r="AL879" s="246"/>
      <c r="AM879" s="246"/>
      <c r="AN879" s="246">
        <f>I879</f>
        <v>48000</v>
      </c>
      <c r="AP879" s="554">
        <f>I879</f>
        <v>48000</v>
      </c>
      <c r="AR879" s="680"/>
      <c r="AS879" s="548"/>
      <c r="AT879" s="548"/>
      <c r="AU879" s="554">
        <f>I879</f>
        <v>48000</v>
      </c>
      <c r="AV879" s="551"/>
      <c r="AW879" s="650"/>
      <c r="AX879" s="551"/>
      <c r="AY879" s="548"/>
      <c r="AZ879" s="548"/>
      <c r="BA879" s="548"/>
      <c r="BB879" s="249">
        <f t="shared" si="334"/>
        <v>2000</v>
      </c>
      <c r="BC879" s="651"/>
      <c r="BD879" s="548"/>
      <c r="BE879" s="548"/>
      <c r="BF879" s="548"/>
      <c r="BQ879" s="551">
        <f>I879/16</f>
        <v>3000</v>
      </c>
      <c r="BY879" s="650"/>
      <c r="BZ879" s="548"/>
      <c r="CA879" s="652"/>
      <c r="CB879" s="567"/>
      <c r="CC879" s="653"/>
      <c r="CD879" s="650"/>
      <c r="CE879" s="650"/>
      <c r="CF879" s="548"/>
      <c r="CG879" s="548"/>
      <c r="CU879" s="554">
        <f t="shared" si="335"/>
        <v>3000</v>
      </c>
      <c r="CV879" s="551">
        <f t="shared" si="336"/>
        <v>0</v>
      </c>
      <c r="CW879" s="551">
        <f t="shared" si="337"/>
        <v>0</v>
      </c>
      <c r="CX879" s="650"/>
      <c r="CY879" s="650"/>
      <c r="CZ879" s="650"/>
      <c r="DA879" s="548"/>
      <c r="DB879" s="548"/>
      <c r="DC879" s="548"/>
      <c r="DD879" s="650"/>
      <c r="DE879" s="650"/>
      <c r="DF879" s="650"/>
      <c r="DG879" s="650"/>
      <c r="DH879" s="650"/>
    </row>
    <row r="880" s="548" customFormat="1" ht="31" customHeight="1" spans="1:112">
      <c r="A880" s="641">
        <v>45965</v>
      </c>
      <c r="B880" s="642" t="s">
        <v>143</v>
      </c>
      <c r="C880" s="246" t="s">
        <v>98</v>
      </c>
      <c r="D880" s="551">
        <v>4500184388</v>
      </c>
      <c r="E880" s="643">
        <v>952702548</v>
      </c>
      <c r="F880" s="551" t="s">
        <v>8244</v>
      </c>
      <c r="G880" s="246" t="s">
        <v>6063</v>
      </c>
      <c r="H880" s="246" t="s">
        <v>6064</v>
      </c>
      <c r="I880" s="246">
        <v>18240</v>
      </c>
      <c r="J880" s="246">
        <v>0</v>
      </c>
      <c r="K880" s="246">
        <v>16</v>
      </c>
      <c r="L880" s="644">
        <f t="shared" si="299"/>
        <v>1140</v>
      </c>
      <c r="M880" s="645">
        <v>46006</v>
      </c>
      <c r="N880" s="645">
        <v>46002</v>
      </c>
      <c r="O880" s="645">
        <v>46009</v>
      </c>
      <c r="P880" s="643" t="s">
        <v>113</v>
      </c>
      <c r="Q880" s="246" t="s">
        <v>8241</v>
      </c>
      <c r="R880" s="646" t="s">
        <v>7064</v>
      </c>
      <c r="S880" s="646" t="s">
        <v>70</v>
      </c>
      <c r="T880" s="646" t="s">
        <v>148</v>
      </c>
      <c r="U880" s="646"/>
      <c r="V880" s="646"/>
      <c r="W880" s="615"/>
      <c r="X880" s="642" t="s">
        <v>7065</v>
      </c>
      <c r="Y880" s="642" t="s">
        <v>106</v>
      </c>
      <c r="Z880" s="642">
        <v>0.5905</v>
      </c>
      <c r="AA880" s="647">
        <f t="shared" si="332"/>
        <v>10770.72</v>
      </c>
      <c r="AC880" s="658" t="s">
        <v>8239</v>
      </c>
      <c r="AD880" s="246" t="s">
        <v>6063</v>
      </c>
      <c r="AE880" s="246" t="s">
        <v>82</v>
      </c>
      <c r="AF880" s="246"/>
      <c r="AG880" s="693"/>
      <c r="AH880" s="693">
        <v>1</v>
      </c>
      <c r="AI880" s="246">
        <f>8064+10176</f>
        <v>18240</v>
      </c>
      <c r="AJ880" s="246">
        <f t="shared" si="333"/>
        <v>0</v>
      </c>
      <c r="AK880" s="246"/>
      <c r="AL880" s="246"/>
      <c r="AM880" s="246"/>
      <c r="AN880" s="246">
        <f>I880</f>
        <v>18240</v>
      </c>
      <c r="AP880" s="554">
        <f>I880</f>
        <v>18240</v>
      </c>
      <c r="AR880" s="680"/>
      <c r="AS880" s="548"/>
      <c r="AT880" s="548"/>
      <c r="AU880" s="554">
        <f>I880</f>
        <v>18240</v>
      </c>
      <c r="AV880" s="551"/>
      <c r="AW880" s="650"/>
      <c r="AX880" s="551"/>
      <c r="AY880" s="548"/>
      <c r="AZ880" s="548"/>
      <c r="BA880" s="548"/>
      <c r="BB880" s="249">
        <f t="shared" si="334"/>
        <v>760</v>
      </c>
      <c r="BC880" s="651"/>
      <c r="BD880" s="548"/>
      <c r="BE880" s="548"/>
      <c r="BF880" s="548"/>
      <c r="BQ880" s="551">
        <f>I880/16</f>
        <v>1140</v>
      </c>
      <c r="BY880" s="650"/>
      <c r="BZ880" s="548"/>
      <c r="CA880" s="652"/>
      <c r="CB880" s="567"/>
      <c r="CC880" s="653"/>
      <c r="CD880" s="650"/>
      <c r="CE880" s="650"/>
      <c r="CF880" s="548"/>
      <c r="CG880" s="548"/>
      <c r="CU880" s="554">
        <f t="shared" si="335"/>
        <v>1140</v>
      </c>
      <c r="CV880" s="551">
        <f t="shared" si="336"/>
        <v>0</v>
      </c>
      <c r="CW880" s="551">
        <f t="shared" si="337"/>
        <v>0</v>
      </c>
      <c r="CX880" s="650"/>
      <c r="CY880" s="650"/>
      <c r="CZ880" s="650"/>
      <c r="DA880" s="548"/>
      <c r="DB880" s="548"/>
      <c r="DC880" s="548"/>
      <c r="DD880" s="650"/>
      <c r="DE880" s="650"/>
      <c r="DF880" s="650"/>
      <c r="DG880" s="650"/>
      <c r="DH880" s="650"/>
    </row>
    <row r="881" s="548" customFormat="1" ht="31" customHeight="1" spans="1:112">
      <c r="A881" s="641">
        <v>45965</v>
      </c>
      <c r="B881" s="642" t="s">
        <v>143</v>
      </c>
      <c r="C881" s="246" t="s">
        <v>98</v>
      </c>
      <c r="D881" s="551">
        <v>4500184388</v>
      </c>
      <c r="E881" s="643">
        <v>952702583</v>
      </c>
      <c r="F881" s="551" t="s">
        <v>8245</v>
      </c>
      <c r="G881" s="246" t="s">
        <v>6063</v>
      </c>
      <c r="H881" s="246" t="s">
        <v>6064</v>
      </c>
      <c r="I881" s="246">
        <v>25920</v>
      </c>
      <c r="J881" s="246">
        <v>0</v>
      </c>
      <c r="K881" s="246">
        <v>16</v>
      </c>
      <c r="L881" s="644">
        <f t="shared" si="299"/>
        <v>1620</v>
      </c>
      <c r="M881" s="645">
        <v>46006</v>
      </c>
      <c r="N881" s="645">
        <v>46002</v>
      </c>
      <c r="O881" s="645">
        <v>46009</v>
      </c>
      <c r="P881" s="643" t="s">
        <v>113</v>
      </c>
      <c r="Q881" s="246"/>
      <c r="R881" s="646" t="s">
        <v>7064</v>
      </c>
      <c r="S881" s="646" t="s">
        <v>70</v>
      </c>
      <c r="T881" s="646" t="s">
        <v>148</v>
      </c>
      <c r="U881" s="646"/>
      <c r="V881" s="646"/>
      <c r="W881" s="615"/>
      <c r="X881" s="642" t="s">
        <v>7065</v>
      </c>
      <c r="Y881" s="642" t="s">
        <v>106</v>
      </c>
      <c r="Z881" s="642">
        <v>0.5837</v>
      </c>
      <c r="AA881" s="647">
        <f t="shared" si="332"/>
        <v>15129.504</v>
      </c>
      <c r="AC881" s="658" t="s">
        <v>8239</v>
      </c>
      <c r="AD881" s="246" t="s">
        <v>6063</v>
      </c>
      <c r="AE881" s="246" t="s">
        <v>82</v>
      </c>
      <c r="AF881" s="246"/>
      <c r="AG881" s="693"/>
      <c r="AH881" s="693">
        <v>1</v>
      </c>
      <c r="AI881" s="246">
        <v>25920</v>
      </c>
      <c r="AJ881" s="246">
        <f t="shared" si="333"/>
        <v>0</v>
      </c>
      <c r="AK881" s="246"/>
      <c r="AL881" s="246"/>
      <c r="AM881" s="246"/>
      <c r="AN881" s="246">
        <f>I881</f>
        <v>25920</v>
      </c>
      <c r="AP881" s="554">
        <f>I881</f>
        <v>25920</v>
      </c>
      <c r="AR881" s="680"/>
      <c r="AS881" s="548"/>
      <c r="AT881" s="548"/>
      <c r="AU881" s="554">
        <f>I881</f>
        <v>25920</v>
      </c>
      <c r="AV881" s="551"/>
      <c r="AW881" s="650"/>
      <c r="AX881" s="551"/>
      <c r="AY881" s="548"/>
      <c r="AZ881" s="548"/>
      <c r="BA881" s="548"/>
      <c r="BB881" s="249">
        <f t="shared" si="334"/>
        <v>1080</v>
      </c>
      <c r="BC881" s="651"/>
      <c r="BD881" s="548"/>
      <c r="BE881" s="548"/>
      <c r="BF881" s="548"/>
      <c r="BQ881" s="551">
        <f>I881/16</f>
        <v>1620</v>
      </c>
      <c r="BY881" s="650"/>
      <c r="BZ881" s="548"/>
      <c r="CA881" s="652"/>
      <c r="CB881" s="567"/>
      <c r="CC881" s="653"/>
      <c r="CD881" s="650"/>
      <c r="CE881" s="650"/>
      <c r="CF881" s="548"/>
      <c r="CG881" s="548"/>
      <c r="CU881" s="554">
        <f t="shared" si="335"/>
        <v>1620</v>
      </c>
      <c r="CV881" s="551">
        <f t="shared" si="336"/>
        <v>0</v>
      </c>
      <c r="CW881" s="551">
        <f t="shared" si="337"/>
        <v>0</v>
      </c>
      <c r="CX881" s="650"/>
      <c r="CY881" s="650"/>
      <c r="CZ881" s="650"/>
      <c r="DA881" s="548"/>
      <c r="DB881" s="548"/>
      <c r="DC881" s="548"/>
      <c r="DD881" s="650"/>
      <c r="DE881" s="650"/>
      <c r="DF881" s="650"/>
      <c r="DG881" s="650"/>
      <c r="DH881" s="650"/>
    </row>
    <row r="882" s="548" customFormat="1" ht="31" customHeight="1" spans="1:112">
      <c r="A882" s="641">
        <v>45952</v>
      </c>
      <c r="B882" s="642" t="s">
        <v>2362</v>
      </c>
      <c r="C882" s="246" t="s">
        <v>524</v>
      </c>
      <c r="D882" s="551">
        <v>4500182578</v>
      </c>
      <c r="E882" s="643">
        <v>62050798</v>
      </c>
      <c r="F882" s="551" t="s">
        <v>8246</v>
      </c>
      <c r="G882" s="246" t="s">
        <v>6043</v>
      </c>
      <c r="H882" s="246" t="s">
        <v>6110</v>
      </c>
      <c r="I882" s="246">
        <v>2250</v>
      </c>
      <c r="J882" s="246">
        <v>0</v>
      </c>
      <c r="K882" s="246">
        <v>50</v>
      </c>
      <c r="L882" s="644">
        <f>I882/K882</f>
        <v>45</v>
      </c>
      <c r="M882" s="645">
        <v>46006</v>
      </c>
      <c r="N882" s="645">
        <v>46002</v>
      </c>
      <c r="O882" s="643"/>
      <c r="P882" s="643" t="s">
        <v>113</v>
      </c>
      <c r="Q882" s="246"/>
      <c r="R882" s="646">
        <v>45971</v>
      </c>
      <c r="S882" s="646" t="s">
        <v>70</v>
      </c>
      <c r="T882" s="646" t="s">
        <v>8247</v>
      </c>
      <c r="U882" s="646"/>
      <c r="V882" s="646"/>
      <c r="W882" s="615"/>
      <c r="X882" s="642" t="s">
        <v>8248</v>
      </c>
      <c r="Y882" s="642" t="s">
        <v>529</v>
      </c>
      <c r="Z882" s="642">
        <v>0.924</v>
      </c>
      <c r="AA882" s="647">
        <f t="shared" si="332"/>
        <v>2079</v>
      </c>
      <c r="AC882" s="699" t="s">
        <v>2367</v>
      </c>
      <c r="AD882" s="642" t="s">
        <v>6043</v>
      </c>
      <c r="AE882" s="246" t="s">
        <v>82</v>
      </c>
      <c r="AF882" s="246"/>
      <c r="AG882" s="246"/>
      <c r="AH882" s="246">
        <v>1</v>
      </c>
      <c r="AI882" s="246">
        <v>2250</v>
      </c>
      <c r="AJ882" s="246">
        <f t="shared" si="333"/>
        <v>0</v>
      </c>
      <c r="AK882" s="246"/>
      <c r="AL882" s="246" t="s">
        <v>2368</v>
      </c>
      <c r="AM882" s="246"/>
      <c r="AN882" s="246"/>
      <c r="AO882" s="551">
        <f>I882</f>
        <v>2250</v>
      </c>
      <c r="AR882" s="680"/>
      <c r="AS882" s="548"/>
      <c r="AT882" s="554">
        <f>I882</f>
        <v>2250</v>
      </c>
      <c r="AV882" s="554">
        <f>I882</f>
        <v>2250</v>
      </c>
      <c r="AW882" s="650"/>
      <c r="AX882" s="548"/>
      <c r="AY882" s="548"/>
      <c r="AZ882" s="548"/>
      <c r="BA882" s="548"/>
      <c r="BB882" s="620">
        <f t="shared" si="334"/>
        <v>93.75</v>
      </c>
      <c r="BC882" s="651"/>
      <c r="BD882" s="548"/>
      <c r="BE882" s="548"/>
      <c r="BF882" s="548"/>
      <c r="BP882" s="551">
        <f>I882/25</f>
        <v>90</v>
      </c>
      <c r="BY882" s="650"/>
      <c r="BZ882" s="548"/>
      <c r="CA882" s="652"/>
      <c r="CB882" s="567"/>
      <c r="CC882" s="653"/>
      <c r="CD882" s="650"/>
      <c r="CE882" s="650"/>
      <c r="CF882" s="548"/>
      <c r="CG882" s="548"/>
      <c r="CU882" s="554">
        <f t="shared" si="335"/>
        <v>90</v>
      </c>
      <c r="CV882" s="551">
        <f t="shared" si="336"/>
        <v>0</v>
      </c>
      <c r="CW882" s="551">
        <f t="shared" si="337"/>
        <v>0</v>
      </c>
      <c r="CX882" s="650"/>
      <c r="CY882" s="650"/>
      <c r="CZ882" s="650"/>
      <c r="DA882" s="548"/>
      <c r="DB882" s="548"/>
      <c r="DC882" s="548"/>
      <c r="DD882" s="650"/>
      <c r="DE882" s="650"/>
      <c r="DF882" s="650"/>
      <c r="DG882" s="650"/>
      <c r="DH882" s="650"/>
    </row>
    <row r="883" s="548" customFormat="1" ht="31" customHeight="1" spans="1:112">
      <c r="A883" s="641">
        <v>45958</v>
      </c>
      <c r="B883" s="642" t="s">
        <v>2430</v>
      </c>
      <c r="C883" s="246" t="s">
        <v>170</v>
      </c>
      <c r="D883" s="551">
        <v>4500183410</v>
      </c>
      <c r="E883" s="246" t="s">
        <v>2431</v>
      </c>
      <c r="F883" s="551" t="s">
        <v>8249</v>
      </c>
      <c r="G883" s="246" t="s">
        <v>6084</v>
      </c>
      <c r="H883" s="246" t="s">
        <v>6069</v>
      </c>
      <c r="I883" s="246">
        <v>3750</v>
      </c>
      <c r="J883" s="246">
        <v>0</v>
      </c>
      <c r="K883" s="246">
        <v>25</v>
      </c>
      <c r="L883" s="644">
        <f>I883/K883</f>
        <v>150</v>
      </c>
      <c r="M883" s="645">
        <v>46006</v>
      </c>
      <c r="N883" s="645">
        <v>46002</v>
      </c>
      <c r="O883" s="643"/>
      <c r="P883" s="643" t="s">
        <v>113</v>
      </c>
      <c r="Q883" s="246" t="s">
        <v>8250</v>
      </c>
      <c r="R883" s="646">
        <v>45965</v>
      </c>
      <c r="S883" s="646" t="s">
        <v>70</v>
      </c>
      <c r="T883" s="646" t="s">
        <v>70</v>
      </c>
      <c r="U883" s="646"/>
      <c r="V883" s="646"/>
      <c r="W883" s="615"/>
      <c r="X883" s="642" t="s">
        <v>8251</v>
      </c>
      <c r="Y883" s="642" t="s">
        <v>1318</v>
      </c>
      <c r="Z883" s="655">
        <v>0.9514</v>
      </c>
      <c r="AA883" s="647">
        <f t="shared" si="332"/>
        <v>3567.75</v>
      </c>
      <c r="AC883" s="658" t="s">
        <v>2435</v>
      </c>
      <c r="AD883" s="246" t="s">
        <v>6089</v>
      </c>
      <c r="AE883" s="246" t="s">
        <v>82</v>
      </c>
      <c r="AF883" s="246"/>
      <c r="AG883" s="246"/>
      <c r="AH883" s="246">
        <v>1</v>
      </c>
      <c r="AI883" s="246">
        <v>3750</v>
      </c>
      <c r="AJ883" s="246">
        <f t="shared" si="333"/>
        <v>0</v>
      </c>
      <c r="AK883" s="246"/>
      <c r="AL883" s="246"/>
      <c r="AM883" s="246"/>
      <c r="AN883" s="246">
        <f>I883</f>
        <v>3750</v>
      </c>
      <c r="AO883" s="551"/>
      <c r="AP883" s="548"/>
      <c r="AQ883" s="548"/>
      <c r="AR883" s="680"/>
      <c r="AS883" s="551">
        <f>I883</f>
        <v>3750</v>
      </c>
      <c r="AU883" s="554">
        <f>I883</f>
        <v>3750</v>
      </c>
      <c r="AV883" s="551"/>
      <c r="AW883" s="650"/>
      <c r="AX883" s="551"/>
      <c r="AY883" s="548"/>
      <c r="AZ883" s="548"/>
      <c r="BA883" s="548"/>
      <c r="BB883" s="249">
        <f t="shared" si="334"/>
        <v>156.25</v>
      </c>
      <c r="BC883" s="651"/>
      <c r="BD883" s="548"/>
      <c r="BE883" s="548"/>
      <c r="BF883" s="548"/>
      <c r="BO883" s="551">
        <f>I883/25</f>
        <v>150</v>
      </c>
      <c r="BY883" s="650"/>
      <c r="BZ883" s="548"/>
      <c r="CA883" s="652"/>
      <c r="CB883" s="567"/>
      <c r="CC883" s="653"/>
      <c r="CD883" s="650"/>
      <c r="CE883" s="650"/>
      <c r="CF883" s="548"/>
      <c r="CG883" s="548"/>
      <c r="CU883" s="554">
        <f t="shared" si="335"/>
        <v>150</v>
      </c>
      <c r="CV883" s="551">
        <f t="shared" si="336"/>
        <v>0</v>
      </c>
      <c r="CW883" s="551">
        <f t="shared" si="337"/>
        <v>0</v>
      </c>
      <c r="CX883" s="650"/>
      <c r="CY883" s="650"/>
      <c r="CZ883" s="650"/>
      <c r="DA883" s="548"/>
      <c r="DB883" s="548"/>
      <c r="DC883" s="548"/>
      <c r="DD883" s="650"/>
      <c r="DE883" s="650"/>
      <c r="DF883" s="650"/>
      <c r="DG883" s="650"/>
      <c r="DH883" s="650"/>
    </row>
    <row r="884" s="548" customFormat="1" ht="31" customHeight="1" spans="1:112">
      <c r="A884" s="641">
        <v>45975</v>
      </c>
      <c r="B884" s="642" t="s">
        <v>211</v>
      </c>
      <c r="C884" s="246" t="s">
        <v>212</v>
      </c>
      <c r="D884" s="551">
        <v>4500185735</v>
      </c>
      <c r="E884" s="246" t="s">
        <v>8252</v>
      </c>
      <c r="F884" s="551" t="s">
        <v>8253</v>
      </c>
      <c r="G884" s="246" t="s">
        <v>6040</v>
      </c>
      <c r="H884" s="246" t="s">
        <v>6041</v>
      </c>
      <c r="I884" s="246">
        <v>1560</v>
      </c>
      <c r="J884" s="246">
        <v>0</v>
      </c>
      <c r="K884" s="246">
        <v>52</v>
      </c>
      <c r="L884" s="644">
        <f>I884/K884</f>
        <v>30</v>
      </c>
      <c r="M884" s="645">
        <v>46006</v>
      </c>
      <c r="N884" s="645">
        <v>46002</v>
      </c>
      <c r="O884" s="643"/>
      <c r="P884" s="643" t="s">
        <v>113</v>
      </c>
      <c r="Q884" s="246" t="s">
        <v>8254</v>
      </c>
      <c r="R884" s="646">
        <v>45975</v>
      </c>
      <c r="S884" s="646" t="s">
        <v>70</v>
      </c>
      <c r="T884" s="646" t="s">
        <v>7982</v>
      </c>
      <c r="U884" s="646"/>
      <c r="V884" s="646"/>
      <c r="W884" s="615"/>
      <c r="X884" s="642" t="s">
        <v>8255</v>
      </c>
      <c r="Y884" s="642" t="s">
        <v>1793</v>
      </c>
      <c r="Z884" s="655">
        <v>0.8951</v>
      </c>
      <c r="AA884" s="647">
        <f t="shared" si="332"/>
        <v>1396.356</v>
      </c>
      <c r="AC884" s="658" t="s">
        <v>8256</v>
      </c>
      <c r="AD884" s="246" t="s">
        <v>6040</v>
      </c>
      <c r="AE884" s="246" t="s">
        <v>82</v>
      </c>
      <c r="AF884" s="246"/>
      <c r="AG884" s="642"/>
      <c r="AH884" s="642">
        <v>1</v>
      </c>
      <c r="AI884" s="246">
        <f>728+832</f>
        <v>1560</v>
      </c>
      <c r="AJ884" s="246">
        <f t="shared" si="333"/>
        <v>0</v>
      </c>
      <c r="AK884" s="246"/>
      <c r="AL884" s="246"/>
      <c r="AM884" s="246"/>
      <c r="AN884" s="246"/>
      <c r="AO884" s="551">
        <f>I884</f>
        <v>1560</v>
      </c>
      <c r="AR884" s="680"/>
      <c r="AS884" s="548"/>
      <c r="AT884" s="554">
        <f>I884</f>
        <v>1560</v>
      </c>
      <c r="AU884" s="551"/>
      <c r="AV884" s="554">
        <f>I884</f>
        <v>1560</v>
      </c>
      <c r="AW884" s="650"/>
      <c r="AX884" s="548"/>
      <c r="AY884" s="548"/>
      <c r="AZ884" s="548"/>
      <c r="BA884" s="548"/>
      <c r="BB884" s="620">
        <f t="shared" si="334"/>
        <v>65</v>
      </c>
      <c r="BC884" s="651"/>
      <c r="BD884" s="548"/>
      <c r="BE884" s="548"/>
      <c r="BF884" s="548"/>
      <c r="BM884" s="551">
        <f>I884/13</f>
        <v>120</v>
      </c>
      <c r="BY884" s="650"/>
      <c r="BZ884" s="548"/>
      <c r="CA884" s="652"/>
      <c r="CB884" s="567"/>
      <c r="CC884" s="653"/>
      <c r="CD884" s="650"/>
      <c r="CE884" s="650"/>
      <c r="CF884" s="548"/>
      <c r="CG884" s="548"/>
      <c r="CU884" s="554">
        <f t="shared" si="308"/>
        <v>0</v>
      </c>
      <c r="CV884" s="551">
        <f t="shared" si="336"/>
        <v>0</v>
      </c>
      <c r="CW884" s="551">
        <f t="shared" si="337"/>
        <v>0</v>
      </c>
      <c r="CX884" s="650"/>
      <c r="CY884" s="650"/>
      <c r="CZ884" s="650"/>
      <c r="DA884" s="548"/>
      <c r="DB884" s="548"/>
      <c r="DC884" s="548"/>
      <c r="DD884" s="650"/>
      <c r="DE884" s="650"/>
      <c r="DF884" s="650"/>
      <c r="DG884" s="650"/>
      <c r="DH884" s="650"/>
    </row>
    <row r="885" s="548" customFormat="1" ht="31" customHeight="1" spans="1:112">
      <c r="A885" s="641">
        <v>45975</v>
      </c>
      <c r="B885" s="642" t="s">
        <v>211</v>
      </c>
      <c r="C885" s="246" t="s">
        <v>212</v>
      </c>
      <c r="D885" s="551">
        <v>4500185736</v>
      </c>
      <c r="E885" s="246" t="s">
        <v>2369</v>
      </c>
      <c r="F885" s="551" t="s">
        <v>2376</v>
      </c>
      <c r="G885" s="246" t="s">
        <v>6337</v>
      </c>
      <c r="H885" s="246" t="s">
        <v>477</v>
      </c>
      <c r="I885" s="246">
        <v>576</v>
      </c>
      <c r="J885" s="246">
        <v>0</v>
      </c>
      <c r="K885" s="246">
        <v>6</v>
      </c>
      <c r="L885" s="644">
        <f>I885/K885</f>
        <v>96</v>
      </c>
      <c r="M885" s="645">
        <v>46006</v>
      </c>
      <c r="N885" s="645">
        <v>46002</v>
      </c>
      <c r="O885" s="643"/>
      <c r="P885" s="643" t="s">
        <v>113</v>
      </c>
      <c r="Q885" s="246"/>
      <c r="R885" s="646">
        <v>45975</v>
      </c>
      <c r="S885" s="646" t="s">
        <v>70</v>
      </c>
      <c r="T885" s="646" t="s">
        <v>8257</v>
      </c>
      <c r="U885" s="646"/>
      <c r="V885" s="646"/>
      <c r="W885" s="615"/>
      <c r="X885" s="642" t="s">
        <v>2377</v>
      </c>
      <c r="Y885" s="642" t="s">
        <v>1793</v>
      </c>
      <c r="Z885" s="700">
        <v>7.0238</v>
      </c>
      <c r="AA885" s="647">
        <f t="shared" si="332"/>
        <v>4045.7088</v>
      </c>
      <c r="AC885" s="658" t="s">
        <v>2375</v>
      </c>
      <c r="AD885" s="695" t="s">
        <v>2241</v>
      </c>
      <c r="AE885" s="246" t="s">
        <v>82</v>
      </c>
      <c r="AF885" s="246"/>
      <c r="AG885" s="642"/>
      <c r="AH885" s="642">
        <v>1</v>
      </c>
      <c r="AI885" s="246">
        <v>576</v>
      </c>
      <c r="AJ885" s="246">
        <f t="shared" si="333"/>
        <v>0</v>
      </c>
      <c r="AK885" s="246"/>
      <c r="AL885" s="246"/>
      <c r="AM885" s="246"/>
      <c r="AN885" s="246"/>
      <c r="AO885" s="554">
        <f>I885*2</f>
        <v>1152</v>
      </c>
      <c r="AR885" s="680"/>
      <c r="AS885" s="548"/>
      <c r="AT885" s="554">
        <f>I885*2</f>
        <v>1152</v>
      </c>
      <c r="AU885" s="551"/>
      <c r="AV885" s="554">
        <f>I885*2</f>
        <v>1152</v>
      </c>
      <c r="AW885" s="650"/>
      <c r="AX885" s="663">
        <f>I885*2</f>
        <v>1152</v>
      </c>
      <c r="BA885" s="651"/>
      <c r="BB885" s="620">
        <f>I885/24*2</f>
        <v>48</v>
      </c>
      <c r="BC885" s="651"/>
      <c r="BD885" s="548"/>
      <c r="BE885" s="548"/>
      <c r="BF885" s="548"/>
      <c r="BY885" s="619"/>
      <c r="BZ885" s="554">
        <f>I885</f>
        <v>576</v>
      </c>
      <c r="CA885" s="652"/>
      <c r="CB885" s="567"/>
      <c r="CC885" s="653"/>
      <c r="CD885" s="650"/>
      <c r="CE885" s="650"/>
      <c r="CF885" s="548"/>
      <c r="CG885" s="548"/>
      <c r="CU885" s="554">
        <f t="shared" si="308"/>
        <v>0</v>
      </c>
      <c r="CV885" s="551">
        <f t="shared" si="336"/>
        <v>0</v>
      </c>
      <c r="CW885" s="551">
        <f t="shared" si="337"/>
        <v>0</v>
      </c>
      <c r="CX885" s="650"/>
      <c r="CY885" s="650"/>
      <c r="CZ885" s="650"/>
      <c r="DA885" s="548"/>
      <c r="DB885" s="548"/>
      <c r="DC885" s="548"/>
      <c r="DD885" s="650"/>
      <c r="DE885" s="650"/>
      <c r="DF885" s="650"/>
      <c r="DG885" s="650"/>
      <c r="DH885" s="650"/>
    </row>
    <row r="886" s="548" customFormat="1" ht="31" customHeight="1" spans="1:112">
      <c r="A886" s="641">
        <v>45965</v>
      </c>
      <c r="B886" s="642" t="s">
        <v>2454</v>
      </c>
      <c r="C886" s="246" t="s">
        <v>335</v>
      </c>
      <c r="D886" s="551">
        <v>4500184422</v>
      </c>
      <c r="E886" s="246">
        <v>5907187951</v>
      </c>
      <c r="F886" s="551" t="s">
        <v>8258</v>
      </c>
      <c r="G886" s="246" t="s">
        <v>6276</v>
      </c>
      <c r="H886" s="246" t="s">
        <v>6277</v>
      </c>
      <c r="I886" s="246">
        <v>1050</v>
      </c>
      <c r="J886" s="246">
        <v>0</v>
      </c>
      <c r="K886" s="246">
        <v>50</v>
      </c>
      <c r="L886" s="644">
        <f t="shared" ref="L886:L897" si="338">I886/K886</f>
        <v>21</v>
      </c>
      <c r="M886" s="645">
        <v>46009</v>
      </c>
      <c r="N886" s="645">
        <v>46006</v>
      </c>
      <c r="O886" s="643"/>
      <c r="P886" s="643" t="s">
        <v>113</v>
      </c>
      <c r="Q886" s="246"/>
      <c r="R886" s="646">
        <v>45971</v>
      </c>
      <c r="S886" s="646" t="s">
        <v>70</v>
      </c>
      <c r="T886" s="646" t="s">
        <v>6279</v>
      </c>
      <c r="U886" s="646"/>
      <c r="V886" s="646"/>
      <c r="W886" s="615"/>
      <c r="X886" s="642" t="s">
        <v>8259</v>
      </c>
      <c r="Y886" s="642" t="s">
        <v>340</v>
      </c>
      <c r="Z886" s="642">
        <v>0.9292</v>
      </c>
      <c r="AA886" s="647">
        <v>464.6</v>
      </c>
      <c r="AC886" s="658" t="s">
        <v>2458</v>
      </c>
      <c r="AD886" s="246" t="s">
        <v>6276</v>
      </c>
      <c r="AE886" s="246" t="s">
        <v>82</v>
      </c>
      <c r="AF886" s="246"/>
      <c r="AG886" s="642"/>
      <c r="AH886" s="642">
        <v>1</v>
      </c>
      <c r="AI886" s="246">
        <v>1050</v>
      </c>
      <c r="AJ886" s="246">
        <f t="shared" si="333"/>
        <v>0</v>
      </c>
      <c r="AK886" s="246"/>
      <c r="AL886" s="246"/>
      <c r="AM886" s="246"/>
      <c r="AN886" s="246"/>
      <c r="AO886" s="551">
        <f>I886</f>
        <v>1050</v>
      </c>
      <c r="AR886" s="680"/>
      <c r="AS886" s="548"/>
      <c r="AT886" s="548"/>
      <c r="AU886" s="548"/>
      <c r="AV886" s="551"/>
      <c r="AW886" s="650"/>
      <c r="AX886" s="548"/>
      <c r="AY886" s="548"/>
      <c r="AZ886" s="548"/>
      <c r="BA886" s="548"/>
      <c r="BB886" s="249">
        <f>I886/24*2</f>
        <v>87.5</v>
      </c>
      <c r="BC886" s="651"/>
      <c r="BD886" s="548"/>
      <c r="BE886" s="548"/>
      <c r="BF886" s="548"/>
      <c r="BV886" s="551">
        <f>I886</f>
        <v>1050</v>
      </c>
      <c r="BW886" s="551">
        <f>I886</f>
        <v>1050</v>
      </c>
      <c r="BX886" s="551">
        <f>I886/25</f>
        <v>42</v>
      </c>
      <c r="BY886" s="650"/>
      <c r="BZ886" s="548"/>
      <c r="CA886" s="652"/>
      <c r="CB886" s="567"/>
      <c r="CC886" s="653"/>
      <c r="CD886" s="650"/>
      <c r="CE886" s="650"/>
      <c r="CF886" s="548"/>
      <c r="CG886" s="548"/>
      <c r="CU886" s="554">
        <f t="shared" si="308"/>
        <v>42</v>
      </c>
      <c r="CV886" s="663">
        <f t="shared" si="336"/>
        <v>0</v>
      </c>
      <c r="CW886" s="663">
        <f t="shared" si="337"/>
        <v>0</v>
      </c>
      <c r="CX886" s="650"/>
      <c r="CY886" s="650"/>
      <c r="CZ886" s="650"/>
      <c r="DA886" s="548"/>
      <c r="DB886" s="548"/>
      <c r="DC886" s="548"/>
      <c r="DD886" s="650"/>
      <c r="DE886" s="650"/>
      <c r="DF886" s="650"/>
      <c r="DG886" s="650"/>
      <c r="DH886" s="650"/>
    </row>
    <row r="887" s="548" customFormat="1" ht="31" customHeight="1" spans="1:112">
      <c r="A887" s="641">
        <v>45950</v>
      </c>
      <c r="B887" s="642" t="s">
        <v>2487</v>
      </c>
      <c r="C887" s="246" t="s">
        <v>154</v>
      </c>
      <c r="D887" s="551">
        <v>4500181926</v>
      </c>
      <c r="E887" s="246" t="s">
        <v>2488</v>
      </c>
      <c r="F887" s="551" t="s">
        <v>8260</v>
      </c>
      <c r="G887" s="246" t="s">
        <v>6365</v>
      </c>
      <c r="H887" s="246" t="s">
        <v>6126</v>
      </c>
      <c r="I887" s="246">
        <v>504</v>
      </c>
      <c r="J887" s="246">
        <v>0</v>
      </c>
      <c r="K887" s="246">
        <v>12</v>
      </c>
      <c r="L887" s="644">
        <f t="shared" si="338"/>
        <v>42</v>
      </c>
      <c r="M887" s="645">
        <v>46009</v>
      </c>
      <c r="N887" s="645">
        <v>46006</v>
      </c>
      <c r="O887" s="643"/>
      <c r="P887" s="643" t="s">
        <v>113</v>
      </c>
      <c r="Q887" s="246"/>
      <c r="R887" s="646">
        <v>45950</v>
      </c>
      <c r="S887" s="646" t="s">
        <v>104</v>
      </c>
      <c r="T887" s="646" t="s">
        <v>8261</v>
      </c>
      <c r="U887" s="646"/>
      <c r="V887" s="646"/>
      <c r="W887" s="615"/>
      <c r="X887" s="642" t="s">
        <v>8262</v>
      </c>
      <c r="Y887" s="642" t="s">
        <v>2492</v>
      </c>
      <c r="Z887" s="642">
        <v>2.1629</v>
      </c>
      <c r="AA887" s="647">
        <f t="shared" ref="AA887:AA894" si="339">Z887*I887</f>
        <v>1090.1016</v>
      </c>
      <c r="AC887" s="658" t="s">
        <v>2493</v>
      </c>
      <c r="AD887" s="246" t="s">
        <v>6368</v>
      </c>
      <c r="AE887" s="246" t="s">
        <v>82</v>
      </c>
      <c r="AF887" s="246"/>
      <c r="AG887" s="246"/>
      <c r="AH887" s="246">
        <v>1</v>
      </c>
      <c r="AI887" s="246">
        <v>504</v>
      </c>
      <c r="AJ887" s="246">
        <f t="shared" si="333"/>
        <v>0</v>
      </c>
      <c r="AK887" s="246"/>
      <c r="AL887" s="246"/>
      <c r="AM887" s="246"/>
      <c r="AN887" s="246"/>
      <c r="AO887" s="554">
        <f>I887*2</f>
        <v>1008</v>
      </c>
      <c r="AR887" s="680"/>
      <c r="AS887" s="548"/>
      <c r="AT887" s="554">
        <f>I887*2</f>
        <v>1008</v>
      </c>
      <c r="AV887" s="554">
        <f>I887*2</f>
        <v>1008</v>
      </c>
      <c r="AW887" s="650"/>
      <c r="AX887" s="548"/>
      <c r="AY887" s="548"/>
      <c r="AZ887" s="548"/>
      <c r="BA887" s="548"/>
      <c r="BB887" s="249">
        <f>I887/24*2</f>
        <v>42</v>
      </c>
      <c r="BC887" s="651"/>
      <c r="BD887" s="548"/>
      <c r="BE887" s="548"/>
      <c r="BF887" s="548"/>
      <c r="BY887" s="650"/>
      <c r="BZ887" s="548"/>
      <c r="CA887" s="652"/>
      <c r="CB887" s="567"/>
      <c r="CC887" s="653"/>
      <c r="CD887" s="650"/>
      <c r="CE887" s="650"/>
      <c r="CF887" s="548"/>
      <c r="CG887" s="548"/>
      <c r="CR887" s="554">
        <f>I887</f>
        <v>504</v>
      </c>
      <c r="CS887" s="554">
        <f>I887</f>
        <v>504</v>
      </c>
      <c r="CT887" s="554">
        <f>I887</f>
        <v>504</v>
      </c>
      <c r="CU887" s="554">
        <f t="shared" si="308"/>
        <v>0</v>
      </c>
      <c r="CV887" s="551">
        <f t="shared" si="336"/>
        <v>0</v>
      </c>
      <c r="CW887" s="551">
        <f t="shared" si="337"/>
        <v>0</v>
      </c>
      <c r="CX887" s="650"/>
      <c r="CY887" s="650"/>
      <c r="CZ887" s="650"/>
      <c r="DA887" s="548"/>
      <c r="DB887" s="548"/>
      <c r="DC887" s="548"/>
      <c r="DD887" s="650"/>
      <c r="DE887" s="650"/>
      <c r="DF887" s="650"/>
      <c r="DG887" s="650"/>
      <c r="DH887" s="650"/>
    </row>
    <row r="888" s="548" customFormat="1" ht="31" customHeight="1" spans="1:112">
      <c r="A888" s="641">
        <v>45953</v>
      </c>
      <c r="B888" s="642" t="s">
        <v>2423</v>
      </c>
      <c r="C888" s="246" t="s">
        <v>469</v>
      </c>
      <c r="D888" s="551">
        <v>4500182863</v>
      </c>
      <c r="E888" s="246">
        <v>50876</v>
      </c>
      <c r="F888" s="551" t="s">
        <v>8263</v>
      </c>
      <c r="G888" s="246" t="s">
        <v>6025</v>
      </c>
      <c r="H888" s="246" t="s">
        <v>6026</v>
      </c>
      <c r="I888" s="246">
        <v>1008</v>
      </c>
      <c r="J888" s="246">
        <v>0</v>
      </c>
      <c r="K888" s="246">
        <v>24</v>
      </c>
      <c r="L888" s="644">
        <f t="shared" si="338"/>
        <v>42</v>
      </c>
      <c r="M888" s="645">
        <v>46009</v>
      </c>
      <c r="N888" s="645">
        <v>46006</v>
      </c>
      <c r="O888" s="643"/>
      <c r="P888" s="643" t="s">
        <v>113</v>
      </c>
      <c r="Q888" s="246"/>
      <c r="R888" s="646">
        <v>45953</v>
      </c>
      <c r="S888" s="646" t="s">
        <v>70</v>
      </c>
      <c r="T888" s="646" t="s">
        <v>8264</v>
      </c>
      <c r="U888" s="646"/>
      <c r="V888" s="646"/>
      <c r="W888" s="615"/>
      <c r="X888" s="642" t="s">
        <v>8265</v>
      </c>
      <c r="Y888" s="642" t="s">
        <v>2427</v>
      </c>
      <c r="Z888" s="642">
        <v>0.8513</v>
      </c>
      <c r="AA888" s="647">
        <f t="shared" si="339"/>
        <v>858.1104</v>
      </c>
      <c r="AC888" s="658" t="s">
        <v>2428</v>
      </c>
      <c r="AD888" s="246" t="s">
        <v>8211</v>
      </c>
      <c r="AE888" s="246" t="s">
        <v>82</v>
      </c>
      <c r="AF888" s="246"/>
      <c r="AG888" s="246"/>
      <c r="AH888" s="246">
        <v>1</v>
      </c>
      <c r="AI888" s="246">
        <v>1008</v>
      </c>
      <c r="AJ888" s="246">
        <f t="shared" si="333"/>
        <v>0</v>
      </c>
      <c r="AK888" s="246"/>
      <c r="AL888" s="246"/>
      <c r="AM888" s="246"/>
      <c r="AN888" s="246"/>
      <c r="AO888" s="651">
        <f>I888</f>
        <v>1008</v>
      </c>
      <c r="AR888" s="680"/>
      <c r="AS888" s="548"/>
      <c r="AT888" s="548"/>
      <c r="AU888" s="548"/>
      <c r="AV888" s="554">
        <f>I888</f>
        <v>1008</v>
      </c>
      <c r="AW888" s="650"/>
      <c r="AX888" s="548"/>
      <c r="AY888" s="548"/>
      <c r="AZ888" s="548"/>
      <c r="BA888" s="548"/>
      <c r="BB888" s="551">
        <f>I888/24</f>
        <v>42</v>
      </c>
      <c r="BC888" s="651"/>
      <c r="BD888" s="548"/>
      <c r="BE888" s="551">
        <f>I888</f>
        <v>1008</v>
      </c>
      <c r="BY888" s="650"/>
      <c r="BZ888" s="548"/>
      <c r="CA888" s="652"/>
      <c r="CB888" s="567"/>
      <c r="CC888" s="653"/>
      <c r="CD888" s="650"/>
      <c r="CE888" s="650"/>
      <c r="CF888" s="548"/>
      <c r="CG888" s="548"/>
      <c r="CU888" s="554">
        <f t="shared" si="308"/>
        <v>0</v>
      </c>
      <c r="CV888" s="551">
        <f t="shared" si="336"/>
        <v>0</v>
      </c>
      <c r="CW888" s="551">
        <f t="shared" si="337"/>
        <v>0</v>
      </c>
      <c r="CX888" s="650"/>
      <c r="CY888" s="650"/>
      <c r="CZ888" s="650"/>
      <c r="DA888" s="548"/>
      <c r="DB888" s="548"/>
      <c r="DC888" s="548"/>
      <c r="DD888" s="650"/>
      <c r="DE888" s="650"/>
      <c r="DF888" s="650"/>
      <c r="DG888" s="650"/>
      <c r="DH888" s="650"/>
    </row>
    <row r="889" s="548" customFormat="1" ht="31" customHeight="1" spans="1:112">
      <c r="A889" s="641">
        <v>45960</v>
      </c>
      <c r="B889" s="642" t="s">
        <v>3340</v>
      </c>
      <c r="C889" s="246" t="s">
        <v>98</v>
      </c>
      <c r="D889" s="551">
        <v>4500183802</v>
      </c>
      <c r="E889" s="246" t="s">
        <v>8266</v>
      </c>
      <c r="F889" s="551" t="s">
        <v>8267</v>
      </c>
      <c r="G889" s="246" t="s">
        <v>6787</v>
      </c>
      <c r="H889" s="610" t="s">
        <v>6126</v>
      </c>
      <c r="I889" s="246">
        <v>1200</v>
      </c>
      <c r="J889" s="246">
        <v>0</v>
      </c>
      <c r="K889" s="246">
        <v>12</v>
      </c>
      <c r="L889" s="644">
        <f t="shared" si="338"/>
        <v>100</v>
      </c>
      <c r="M889" s="645">
        <v>46009</v>
      </c>
      <c r="N889" s="645">
        <v>46006</v>
      </c>
      <c r="O889" s="643"/>
      <c r="P889" s="643" t="s">
        <v>113</v>
      </c>
      <c r="Q889" s="246"/>
      <c r="R889" s="646">
        <v>45965</v>
      </c>
      <c r="S889" s="646" t="s">
        <v>70</v>
      </c>
      <c r="T889" s="646" t="s">
        <v>8062</v>
      </c>
      <c r="U889" s="646"/>
      <c r="V889" s="646"/>
      <c r="W889" s="615"/>
      <c r="X889" s="642" t="s">
        <v>8066</v>
      </c>
      <c r="Y889" s="642" t="s">
        <v>2554</v>
      </c>
      <c r="Z889" s="642">
        <v>1.3094</v>
      </c>
      <c r="AA889" s="647">
        <f t="shared" si="339"/>
        <v>1571.28</v>
      </c>
      <c r="AC889" s="648"/>
      <c r="AD889" s="246" t="s">
        <v>6128</v>
      </c>
      <c r="AE889" s="246" t="s">
        <v>82</v>
      </c>
      <c r="AF889" s="246"/>
      <c r="AG889" s="246"/>
      <c r="AH889" s="246">
        <v>1</v>
      </c>
      <c r="AI889" s="246">
        <v>1200</v>
      </c>
      <c r="AJ889" s="246">
        <f t="shared" si="333"/>
        <v>0</v>
      </c>
      <c r="AK889" s="246"/>
      <c r="AL889" s="246"/>
      <c r="AM889" s="246"/>
      <c r="AN889" s="610">
        <f>I889*2</f>
        <v>2400</v>
      </c>
      <c r="AO889" s="551"/>
      <c r="AP889" s="548"/>
      <c r="AQ889" s="554">
        <f>I889*2</f>
        <v>2400</v>
      </c>
      <c r="AR889" s="680"/>
      <c r="AS889" s="548"/>
      <c r="AT889" s="548"/>
      <c r="AU889" s="554">
        <f>I889*2</f>
        <v>2400</v>
      </c>
      <c r="AV889" s="551"/>
      <c r="AW889" s="650"/>
      <c r="AX889" s="548"/>
      <c r="AY889" s="548"/>
      <c r="AZ889" s="548"/>
      <c r="BA889" s="548"/>
      <c r="BB889" s="249">
        <f>I889/24*2</f>
        <v>100</v>
      </c>
      <c r="BC889" s="651"/>
      <c r="BD889" s="548"/>
      <c r="BE889" s="548"/>
      <c r="BF889" s="548"/>
      <c r="BY889" s="650"/>
      <c r="BZ889" s="548"/>
      <c r="CA889" s="652"/>
      <c r="CB889" s="567"/>
      <c r="CC889" s="653"/>
      <c r="CD889" s="650"/>
      <c r="CE889" s="650"/>
      <c r="CF889" s="548"/>
      <c r="CG889" s="548"/>
      <c r="CR889" s="554">
        <f>I889</f>
        <v>1200</v>
      </c>
      <c r="CS889" s="554">
        <f>I889</f>
        <v>1200</v>
      </c>
      <c r="CT889" s="554">
        <f>I889</f>
        <v>1200</v>
      </c>
      <c r="CU889" s="554">
        <f t="shared" si="308"/>
        <v>0</v>
      </c>
      <c r="CV889" s="551">
        <v>0</v>
      </c>
      <c r="CW889" s="551">
        <v>0</v>
      </c>
      <c r="CX889" s="650"/>
      <c r="CY889" s="650"/>
      <c r="CZ889" s="650"/>
      <c r="DA889" s="548"/>
      <c r="DB889" s="548"/>
      <c r="DC889" s="548"/>
      <c r="DD889" s="650"/>
      <c r="DE889" s="650"/>
      <c r="DF889" s="650"/>
      <c r="DG889" s="650"/>
      <c r="DH889" s="650"/>
    </row>
    <row r="890" s="548" customFormat="1" ht="31" customHeight="1" spans="1:112">
      <c r="A890" s="641">
        <v>45960</v>
      </c>
      <c r="B890" s="642" t="s">
        <v>3340</v>
      </c>
      <c r="C890" s="246" t="s">
        <v>98</v>
      </c>
      <c r="D890" s="551">
        <v>4500183801</v>
      </c>
      <c r="E890" s="246" t="s">
        <v>8268</v>
      </c>
      <c r="F890" s="551" t="s">
        <v>8269</v>
      </c>
      <c r="G890" s="246" t="s">
        <v>6787</v>
      </c>
      <c r="H890" s="610" t="s">
        <v>6126</v>
      </c>
      <c r="I890" s="246">
        <v>996</v>
      </c>
      <c r="J890" s="246">
        <v>0</v>
      </c>
      <c r="K890" s="246">
        <v>12</v>
      </c>
      <c r="L890" s="644">
        <f t="shared" si="338"/>
        <v>83</v>
      </c>
      <c r="M890" s="645">
        <v>46009</v>
      </c>
      <c r="N890" s="645">
        <v>46006</v>
      </c>
      <c r="O890" s="643"/>
      <c r="P890" s="643" t="s">
        <v>113</v>
      </c>
      <c r="Q890" s="246"/>
      <c r="R890" s="646">
        <v>45965</v>
      </c>
      <c r="S890" s="646" t="s">
        <v>70</v>
      </c>
      <c r="T890" s="646" t="s">
        <v>8062</v>
      </c>
      <c r="U890" s="646"/>
      <c r="V890" s="646"/>
      <c r="W890" s="615"/>
      <c r="X890" s="642" t="s">
        <v>8270</v>
      </c>
      <c r="Y890" s="642" t="s">
        <v>2554</v>
      </c>
      <c r="Z890" s="642">
        <v>1.3094</v>
      </c>
      <c r="AA890" s="647">
        <f t="shared" si="339"/>
        <v>1304.1624</v>
      </c>
      <c r="AC890" s="648"/>
      <c r="AD890" s="246" t="s">
        <v>6128</v>
      </c>
      <c r="AE890" s="246" t="s">
        <v>82</v>
      </c>
      <c r="AF890" s="246"/>
      <c r="AG890" s="246"/>
      <c r="AH890" s="246">
        <v>1</v>
      </c>
      <c r="AI890" s="246">
        <v>996</v>
      </c>
      <c r="AJ890" s="246">
        <f t="shared" si="333"/>
        <v>0</v>
      </c>
      <c r="AK890" s="246"/>
      <c r="AL890" s="246"/>
      <c r="AM890" s="246"/>
      <c r="AN890" s="610">
        <f>I890*2</f>
        <v>1992</v>
      </c>
      <c r="AO890" s="551"/>
      <c r="AP890" s="548"/>
      <c r="AQ890" s="554">
        <f>I890*2</f>
        <v>1992</v>
      </c>
      <c r="AR890" s="680"/>
      <c r="AS890" s="548"/>
      <c r="AT890" s="548"/>
      <c r="AU890" s="554">
        <f>I890*2</f>
        <v>1992</v>
      </c>
      <c r="AV890" s="551"/>
      <c r="AW890" s="650"/>
      <c r="AX890" s="548"/>
      <c r="AY890" s="548"/>
      <c r="AZ890" s="548"/>
      <c r="BA890" s="548"/>
      <c r="BB890" s="249">
        <f>I890/24*2</f>
        <v>83</v>
      </c>
      <c r="BC890" s="651"/>
      <c r="BD890" s="548"/>
      <c r="BE890" s="548"/>
      <c r="BF890" s="548"/>
      <c r="BY890" s="650"/>
      <c r="BZ890" s="548"/>
      <c r="CA890" s="652"/>
      <c r="CB890" s="567"/>
      <c r="CC890" s="653"/>
      <c r="CD890" s="650"/>
      <c r="CE890" s="650"/>
      <c r="CF890" s="548"/>
      <c r="CG890" s="548"/>
      <c r="CR890" s="554">
        <f>I890</f>
        <v>996</v>
      </c>
      <c r="CS890" s="554">
        <f>I890</f>
        <v>996</v>
      </c>
      <c r="CT890" s="554">
        <f>I890</f>
        <v>996</v>
      </c>
      <c r="CU890" s="554">
        <f t="shared" si="308"/>
        <v>0</v>
      </c>
      <c r="CV890" s="551">
        <v>0</v>
      </c>
      <c r="CW890" s="551">
        <v>0</v>
      </c>
      <c r="CX890" s="650"/>
      <c r="CY890" s="650"/>
      <c r="CZ890" s="650"/>
      <c r="DA890" s="548"/>
      <c r="DB890" s="548"/>
      <c r="DC890" s="548"/>
      <c r="DD890" s="650"/>
      <c r="DE890" s="650"/>
      <c r="DF890" s="650"/>
      <c r="DG890" s="650"/>
      <c r="DH890" s="650"/>
    </row>
    <row r="891" s="548" customFormat="1" ht="31" customHeight="1" spans="1:112">
      <c r="A891" s="641">
        <v>45965</v>
      </c>
      <c r="B891" s="642" t="s">
        <v>2465</v>
      </c>
      <c r="C891" s="246" t="s">
        <v>348</v>
      </c>
      <c r="D891" s="551">
        <v>4500184316</v>
      </c>
      <c r="E891" s="246">
        <v>8807187952</v>
      </c>
      <c r="F891" s="551" t="s">
        <v>8271</v>
      </c>
      <c r="G891" s="246" t="s">
        <v>6276</v>
      </c>
      <c r="H891" s="246" t="s">
        <v>6277</v>
      </c>
      <c r="I891" s="246">
        <v>1500</v>
      </c>
      <c r="J891" s="246">
        <v>0</v>
      </c>
      <c r="K891" s="246">
        <v>50</v>
      </c>
      <c r="L891" s="644">
        <f t="shared" si="338"/>
        <v>30</v>
      </c>
      <c r="M891" s="645">
        <v>46009</v>
      </c>
      <c r="N891" s="645">
        <v>46006</v>
      </c>
      <c r="O891" s="643"/>
      <c r="P891" s="643" t="s">
        <v>113</v>
      </c>
      <c r="Q891" s="246"/>
      <c r="R891" s="646">
        <v>45974</v>
      </c>
      <c r="S891" s="646" t="s">
        <v>70</v>
      </c>
      <c r="T891" s="646" t="s">
        <v>457</v>
      </c>
      <c r="U891" s="646"/>
      <c r="V891" s="646"/>
      <c r="W891" s="615"/>
      <c r="X891" s="642" t="s">
        <v>8272</v>
      </c>
      <c r="Y891" s="642" t="s">
        <v>340</v>
      </c>
      <c r="Z891" s="655">
        <v>0.924</v>
      </c>
      <c r="AA891" s="647">
        <f t="shared" si="339"/>
        <v>1386</v>
      </c>
      <c r="AC891" s="658" t="s">
        <v>2469</v>
      </c>
      <c r="AD891" s="246" t="s">
        <v>6276</v>
      </c>
      <c r="AE891" s="246" t="s">
        <v>82</v>
      </c>
      <c r="AF891" s="246"/>
      <c r="AG891" s="246"/>
      <c r="AH891" s="246">
        <v>1</v>
      </c>
      <c r="AI891" s="246">
        <v>1500</v>
      </c>
      <c r="AJ891" s="246">
        <f t="shared" si="333"/>
        <v>0</v>
      </c>
      <c r="AK891" s="246"/>
      <c r="AL891" s="246"/>
      <c r="AM891" s="246"/>
      <c r="AN891" s="246"/>
      <c r="AO891" s="551">
        <f>I891</f>
        <v>1500</v>
      </c>
      <c r="AR891" s="680"/>
      <c r="AS891" s="548"/>
      <c r="AT891" s="548"/>
      <c r="AU891" s="551"/>
      <c r="AV891" s="551"/>
      <c r="AW891" s="650"/>
      <c r="AX891" s="548"/>
      <c r="AY891" s="548"/>
      <c r="AZ891" s="548"/>
      <c r="BA891" s="548"/>
      <c r="BB891" s="249">
        <f>I891/24*2</f>
        <v>125</v>
      </c>
      <c r="BC891" s="651"/>
      <c r="BD891" s="548"/>
      <c r="BE891" s="548"/>
      <c r="BF891" s="548"/>
      <c r="BV891" s="551">
        <f>I891</f>
        <v>1500</v>
      </c>
      <c r="BW891" s="551">
        <f>I891</f>
        <v>1500</v>
      </c>
      <c r="BX891" s="551">
        <f>I891/25</f>
        <v>60</v>
      </c>
      <c r="BY891" s="650"/>
      <c r="BZ891" s="548"/>
      <c r="CA891" s="652"/>
      <c r="CB891" s="567"/>
      <c r="CC891" s="653"/>
      <c r="CD891" s="650"/>
      <c r="CE891" s="650"/>
      <c r="CF891" s="548"/>
      <c r="CG891" s="548"/>
      <c r="CU891" s="554">
        <f t="shared" si="308"/>
        <v>60</v>
      </c>
      <c r="CV891" s="663">
        <f>CK891+CL891+CM891+CN891+CO891+CQ891+CP891</f>
        <v>0</v>
      </c>
      <c r="CW891" s="663">
        <f>CI891+CJ891</f>
        <v>0</v>
      </c>
      <c r="CX891" s="650"/>
      <c r="CY891" s="650"/>
      <c r="CZ891" s="650"/>
      <c r="DA891" s="548"/>
      <c r="DB891" s="548"/>
      <c r="DC891" s="548"/>
      <c r="DD891" s="650"/>
      <c r="DE891" s="650"/>
      <c r="DF891" s="650"/>
      <c r="DG891" s="650"/>
      <c r="DH891" s="650"/>
    </row>
    <row r="892" s="548" customFormat="1" ht="31" customHeight="1" spans="1:112">
      <c r="A892" s="641">
        <v>45965</v>
      </c>
      <c r="B892" s="642" t="s">
        <v>2470</v>
      </c>
      <c r="C892" s="246" t="s">
        <v>343</v>
      </c>
      <c r="D892" s="551">
        <v>4500184355</v>
      </c>
      <c r="E892" s="246">
        <v>4407187950</v>
      </c>
      <c r="F892" s="551" t="s">
        <v>8273</v>
      </c>
      <c r="G892" s="246" t="s">
        <v>6276</v>
      </c>
      <c r="H892" s="246" t="s">
        <v>6277</v>
      </c>
      <c r="I892" s="246">
        <v>1250</v>
      </c>
      <c r="J892" s="246">
        <v>0</v>
      </c>
      <c r="K892" s="246">
        <v>50</v>
      </c>
      <c r="L892" s="644">
        <f t="shared" si="338"/>
        <v>25</v>
      </c>
      <c r="M892" s="645">
        <v>46009</v>
      </c>
      <c r="N892" s="645">
        <v>46006</v>
      </c>
      <c r="O892" s="643"/>
      <c r="P892" s="643" t="s">
        <v>113</v>
      </c>
      <c r="Q892" s="246"/>
      <c r="R892" s="646">
        <v>45974</v>
      </c>
      <c r="S892" s="646" t="s">
        <v>70</v>
      </c>
      <c r="T892" s="646" t="s">
        <v>6279</v>
      </c>
      <c r="U892" s="646"/>
      <c r="V892" s="646"/>
      <c r="W892" s="615"/>
      <c r="X892" s="642" t="s">
        <v>8259</v>
      </c>
      <c r="Y892" s="642" t="s">
        <v>340</v>
      </c>
      <c r="Z892" s="655">
        <v>0.924</v>
      </c>
      <c r="AA892" s="647">
        <f t="shared" si="339"/>
        <v>1155</v>
      </c>
      <c r="AC892" s="658" t="s">
        <v>2472</v>
      </c>
      <c r="AD892" s="246" t="s">
        <v>6276</v>
      </c>
      <c r="AE892" s="246" t="s">
        <v>82</v>
      </c>
      <c r="AF892" s="246"/>
      <c r="AG892" s="695"/>
      <c r="AH892" s="695">
        <v>1</v>
      </c>
      <c r="AI892" s="246">
        <v>1250</v>
      </c>
      <c r="AJ892" s="246">
        <f t="shared" si="333"/>
        <v>0</v>
      </c>
      <c r="AK892" s="246"/>
      <c r="AL892" s="246"/>
      <c r="AM892" s="246"/>
      <c r="AN892" s="246"/>
      <c r="AO892" s="551">
        <f>I892</f>
        <v>1250</v>
      </c>
      <c r="AR892" s="680"/>
      <c r="AS892" s="548"/>
      <c r="AT892" s="548"/>
      <c r="AU892" s="548"/>
      <c r="AV892" s="551"/>
      <c r="AW892" s="650"/>
      <c r="AX892" s="548"/>
      <c r="AY892" s="548"/>
      <c r="AZ892" s="548"/>
      <c r="BA892" s="651"/>
      <c r="BB892" s="249">
        <f>I892/24*2</f>
        <v>104.166666666667</v>
      </c>
      <c r="BC892" s="651"/>
      <c r="BD892" s="548"/>
      <c r="BE892" s="548"/>
      <c r="BF892" s="548"/>
      <c r="BV892" s="551">
        <f>I892</f>
        <v>1250</v>
      </c>
      <c r="BW892" s="551">
        <f>I892</f>
        <v>1250</v>
      </c>
      <c r="BX892" s="551">
        <f>I892/25</f>
        <v>50</v>
      </c>
      <c r="BY892" s="650"/>
      <c r="BZ892" s="548"/>
      <c r="CA892" s="652"/>
      <c r="CB892" s="567"/>
      <c r="CC892" s="653"/>
      <c r="CD892" s="650"/>
      <c r="CE892" s="650"/>
      <c r="CF892" s="548"/>
      <c r="CG892" s="548"/>
      <c r="CU892" s="554">
        <f t="shared" si="308"/>
        <v>50</v>
      </c>
      <c r="CV892" s="663">
        <f>CK892+CL892+CM892+CN892+CO892+CQ892+CP892</f>
        <v>0</v>
      </c>
      <c r="CW892" s="663">
        <f>CI892+CJ892</f>
        <v>0</v>
      </c>
      <c r="CX892" s="650"/>
      <c r="CY892" s="650"/>
      <c r="CZ892" s="650"/>
      <c r="DA892" s="548"/>
      <c r="DB892" s="548"/>
      <c r="DC892" s="548"/>
      <c r="DD892" s="650"/>
      <c r="DE892" s="650"/>
      <c r="DF892" s="650"/>
      <c r="DG892" s="650"/>
      <c r="DH892" s="650"/>
    </row>
    <row r="893" s="548" customFormat="1" ht="31" customHeight="1" spans="1:112">
      <c r="A893" s="641">
        <v>45905</v>
      </c>
      <c r="B893" s="642" t="s">
        <v>1800</v>
      </c>
      <c r="C893" s="246" t="s">
        <v>744</v>
      </c>
      <c r="D893" s="551">
        <v>4500178919</v>
      </c>
      <c r="E893" s="246">
        <v>5000001988</v>
      </c>
      <c r="F893" s="551" t="s">
        <v>2421</v>
      </c>
      <c r="G893" s="246" t="s">
        <v>6337</v>
      </c>
      <c r="H893" s="662" t="s">
        <v>477</v>
      </c>
      <c r="I893" s="246">
        <v>9996</v>
      </c>
      <c r="J893" s="246">
        <v>0</v>
      </c>
      <c r="K893" s="246">
        <v>6</v>
      </c>
      <c r="L893" s="644">
        <f t="shared" si="338"/>
        <v>1666</v>
      </c>
      <c r="M893" s="645">
        <v>46010</v>
      </c>
      <c r="N893" s="645">
        <v>46006</v>
      </c>
      <c r="O893" s="643"/>
      <c r="P893" s="643" t="s">
        <v>113</v>
      </c>
      <c r="Q893" s="246"/>
      <c r="R893" s="646">
        <v>45960</v>
      </c>
      <c r="S893" s="646" t="s">
        <v>70</v>
      </c>
      <c r="T893" s="646" t="s">
        <v>7927</v>
      </c>
      <c r="U893" s="646"/>
      <c r="V893" s="646"/>
      <c r="W893" s="615"/>
      <c r="X893" s="642" t="s">
        <v>2795</v>
      </c>
      <c r="Y893" s="642" t="s">
        <v>1805</v>
      </c>
      <c r="Z893" s="642">
        <v>6.3409</v>
      </c>
      <c r="AA893" s="647">
        <f t="shared" si="339"/>
        <v>63383.6364</v>
      </c>
      <c r="AC893" s="698" t="s">
        <v>2422</v>
      </c>
      <c r="AD893" s="695" t="s">
        <v>2241</v>
      </c>
      <c r="AE893" s="246" t="s">
        <v>82</v>
      </c>
      <c r="AF893" s="246"/>
      <c r="AG893" s="695"/>
      <c r="AH893" s="695">
        <v>1</v>
      </c>
      <c r="AI893" s="246"/>
      <c r="AJ893" s="246">
        <f t="shared" si="333"/>
        <v>-9996</v>
      </c>
      <c r="AK893" s="246"/>
      <c r="AL893" s="246" t="s">
        <v>454</v>
      </c>
      <c r="AM893" s="246"/>
      <c r="AN893" s="246"/>
      <c r="AO893" s="554">
        <f>I893*2</f>
        <v>19992</v>
      </c>
      <c r="AR893" s="680"/>
      <c r="AS893" s="548"/>
      <c r="AT893" s="554">
        <f>I893*2</f>
        <v>19992</v>
      </c>
      <c r="AV893" s="551"/>
      <c r="AW893" s="650"/>
      <c r="AX893" s="663">
        <f>I893*2</f>
        <v>19992</v>
      </c>
      <c r="BA893" s="671">
        <f>I893/24*2</f>
        <v>833</v>
      </c>
      <c r="BB893" s="249"/>
      <c r="BC893" s="651"/>
      <c r="BD893" s="548"/>
      <c r="BE893" s="548"/>
      <c r="BF893" s="548"/>
      <c r="BY893" s="619"/>
      <c r="BZ893" s="554">
        <f>I893</f>
        <v>9996</v>
      </c>
      <c r="CA893" s="652"/>
      <c r="CB893" s="567"/>
      <c r="CC893" s="653"/>
      <c r="CD893" s="650"/>
      <c r="CE893" s="650"/>
      <c r="CF893" s="548"/>
      <c r="CG893" s="548"/>
      <c r="CU893" s="554">
        <f t="shared" si="308"/>
        <v>0</v>
      </c>
      <c r="CV893" s="551">
        <f>CK893+CL893+CM893+CN893+CO893+CQ893+CP893</f>
        <v>0</v>
      </c>
      <c r="CW893" s="551">
        <f>CI893+CJ893</f>
        <v>0</v>
      </c>
      <c r="CX893" s="650"/>
      <c r="CY893" s="650"/>
      <c r="CZ893" s="650"/>
      <c r="DA893" s="548"/>
      <c r="DB893" s="548"/>
      <c r="DC893" s="548"/>
      <c r="DD893" s="650"/>
      <c r="DE893" s="650"/>
      <c r="DF893" s="650"/>
      <c r="DG893" s="650"/>
      <c r="DH893" s="650"/>
    </row>
    <row r="894" s="548" customFormat="1" ht="31" customHeight="1" spans="1:112">
      <c r="A894" s="641">
        <v>45965</v>
      </c>
      <c r="B894" s="642" t="s">
        <v>2734</v>
      </c>
      <c r="C894" s="246" t="s">
        <v>98</v>
      </c>
      <c r="D894" s="551">
        <v>4500184377</v>
      </c>
      <c r="E894" s="246">
        <v>60261157</v>
      </c>
      <c r="F894" s="551" t="s">
        <v>8274</v>
      </c>
      <c r="G894" s="246" t="s">
        <v>6787</v>
      </c>
      <c r="H894" s="610" t="s">
        <v>6126</v>
      </c>
      <c r="I894" s="246">
        <v>2004</v>
      </c>
      <c r="J894" s="246">
        <v>0</v>
      </c>
      <c r="K894" s="246">
        <v>12</v>
      </c>
      <c r="L894" s="644">
        <f t="shared" si="338"/>
        <v>167</v>
      </c>
      <c r="M894" s="645">
        <v>46010</v>
      </c>
      <c r="N894" s="645">
        <v>46006</v>
      </c>
      <c r="O894" s="643"/>
      <c r="P894" s="643" t="s">
        <v>113</v>
      </c>
      <c r="Q894" s="246"/>
      <c r="R894" s="646">
        <v>45965</v>
      </c>
      <c r="S894" s="646" t="s">
        <v>70</v>
      </c>
      <c r="T894" s="646" t="s">
        <v>2738</v>
      </c>
      <c r="U894" s="646"/>
      <c r="V894" s="646"/>
      <c r="W894" s="615"/>
      <c r="X894" s="642" t="s">
        <v>8275</v>
      </c>
      <c r="Y894" s="642" t="s">
        <v>2678</v>
      </c>
      <c r="Z894" s="642">
        <v>1.2871</v>
      </c>
      <c r="AA894" s="647">
        <f t="shared" si="339"/>
        <v>2579.3484</v>
      </c>
      <c r="AC894" s="648"/>
      <c r="AD894" s="246" t="s">
        <v>6128</v>
      </c>
      <c r="AE894" s="246" t="s">
        <v>82</v>
      </c>
      <c r="AF894" s="246"/>
      <c r="AG894" s="642"/>
      <c r="AH894" s="642">
        <v>1</v>
      </c>
      <c r="AI894" s="246">
        <v>2004</v>
      </c>
      <c r="AJ894" s="246">
        <f t="shared" si="333"/>
        <v>0</v>
      </c>
      <c r="AK894" s="246"/>
      <c r="AL894" s="246"/>
      <c r="AM894" s="246"/>
      <c r="AN894" s="610">
        <f>I894*2</f>
        <v>4008</v>
      </c>
      <c r="AO894" s="551"/>
      <c r="AP894" s="548"/>
      <c r="AQ894" s="554">
        <f>I894*2</f>
        <v>4008</v>
      </c>
      <c r="AR894" s="680"/>
      <c r="AS894" s="548"/>
      <c r="AT894" s="548"/>
      <c r="AU894" s="554">
        <f>I894*2</f>
        <v>4008</v>
      </c>
      <c r="AV894" s="551"/>
      <c r="AW894" s="650"/>
      <c r="AX894" s="548"/>
      <c r="AY894" s="548"/>
      <c r="AZ894" s="548"/>
      <c r="BA894" s="548"/>
      <c r="BB894" s="249">
        <f>I894/24*2</f>
        <v>167</v>
      </c>
      <c r="BC894" s="651"/>
      <c r="BD894" s="548"/>
      <c r="BE894" s="548"/>
      <c r="BF894" s="548"/>
      <c r="BY894" s="650"/>
      <c r="BZ894" s="548"/>
      <c r="CA894" s="652"/>
      <c r="CB894" s="567"/>
      <c r="CC894" s="653"/>
      <c r="CD894" s="650"/>
      <c r="CE894" s="650"/>
      <c r="CF894" s="548"/>
      <c r="CG894" s="548"/>
      <c r="CR894" s="554">
        <f>I894</f>
        <v>2004</v>
      </c>
      <c r="CS894" s="554">
        <f>I894</f>
        <v>2004</v>
      </c>
      <c r="CT894" s="554">
        <f>I894</f>
        <v>2004</v>
      </c>
      <c r="CU894" s="554">
        <f t="shared" si="308"/>
        <v>0</v>
      </c>
      <c r="CV894" s="551">
        <v>0</v>
      </c>
      <c r="CW894" s="551">
        <v>0</v>
      </c>
      <c r="CX894" s="650"/>
      <c r="CY894" s="650"/>
      <c r="CZ894" s="650"/>
      <c r="DA894" s="548"/>
      <c r="DB894" s="548"/>
      <c r="DC894" s="548"/>
      <c r="DD894" s="650"/>
      <c r="DE894" s="650"/>
      <c r="DF894" s="650"/>
      <c r="DG894" s="650"/>
      <c r="DH894" s="650"/>
    </row>
    <row r="895" s="548" customFormat="1" ht="31" customHeight="1" spans="1:112">
      <c r="A895" s="641">
        <v>45941</v>
      </c>
      <c r="B895" s="642" t="s">
        <v>1327</v>
      </c>
      <c r="C895" s="246" t="s">
        <v>524</v>
      </c>
      <c r="D895" s="551">
        <v>4500181556</v>
      </c>
      <c r="E895" s="246"/>
      <c r="F895" s="551" t="s">
        <v>8276</v>
      </c>
      <c r="G895" s="246" t="s">
        <v>6047</v>
      </c>
      <c r="H895" s="246" t="s">
        <v>6069</v>
      </c>
      <c r="I895" s="246">
        <v>1200</v>
      </c>
      <c r="J895" s="246">
        <v>0</v>
      </c>
      <c r="K895" s="246">
        <v>25</v>
      </c>
      <c r="L895" s="644">
        <f t="shared" si="338"/>
        <v>48</v>
      </c>
      <c r="M895" s="645">
        <v>46013</v>
      </c>
      <c r="N895" s="645">
        <v>46009</v>
      </c>
      <c r="O895" s="643"/>
      <c r="P895" s="643" t="s">
        <v>113</v>
      </c>
      <c r="Q895" s="246"/>
      <c r="R895" s="646">
        <v>45943</v>
      </c>
      <c r="S895" s="646" t="s">
        <v>70</v>
      </c>
      <c r="T895" s="646" t="s">
        <v>8277</v>
      </c>
      <c r="U895" s="646"/>
      <c r="V895" s="646"/>
      <c r="W895" s="615"/>
      <c r="X895" s="642" t="s">
        <v>8278</v>
      </c>
      <c r="Y895" s="642" t="s">
        <v>340</v>
      </c>
      <c r="Z895" s="642">
        <v>0.9245</v>
      </c>
      <c r="AA895" s="647">
        <f t="shared" ref="AA886:AA908" si="340">Z895*I895</f>
        <v>1109.4</v>
      </c>
      <c r="AC895" s="658" t="s">
        <v>2453</v>
      </c>
      <c r="AD895" s="246" t="s">
        <v>6047</v>
      </c>
      <c r="AE895" s="246" t="s">
        <v>82</v>
      </c>
      <c r="AF895" s="246"/>
      <c r="AG895" s="246"/>
      <c r="AH895" s="246">
        <v>1</v>
      </c>
      <c r="AI895" s="246">
        <v>1200</v>
      </c>
      <c r="AJ895" s="246">
        <f t="shared" si="333"/>
        <v>0</v>
      </c>
      <c r="AK895" s="246"/>
      <c r="AL895" s="246" t="s">
        <v>2368</v>
      </c>
      <c r="AM895" s="246"/>
      <c r="AN895" s="246"/>
      <c r="AO895" s="551">
        <f>I895</f>
        <v>1200</v>
      </c>
      <c r="AR895" s="680"/>
      <c r="AS895" s="548"/>
      <c r="AT895" s="554">
        <f>I895</f>
        <v>1200</v>
      </c>
      <c r="AV895" s="554">
        <f>I895</f>
        <v>1200</v>
      </c>
      <c r="AW895" s="650"/>
      <c r="AX895" s="548"/>
      <c r="AY895" s="548"/>
      <c r="AZ895" s="548"/>
      <c r="BA895" s="548"/>
      <c r="BB895" s="620">
        <f t="shared" ref="BB895:BB904" si="341">I895/24</f>
        <v>50</v>
      </c>
      <c r="BC895" s="651"/>
      <c r="BD895" s="548"/>
      <c r="BE895" s="548"/>
      <c r="BF895" s="548"/>
      <c r="BP895" s="551">
        <f>I895/25</f>
        <v>48</v>
      </c>
      <c r="BY895" s="650"/>
      <c r="BZ895" s="548"/>
      <c r="CA895" s="652"/>
      <c r="CB895" s="567"/>
      <c r="CC895" s="653"/>
      <c r="CD895" s="650"/>
      <c r="CE895" s="650"/>
      <c r="CF895" s="548"/>
      <c r="CG895" s="548"/>
      <c r="CU895" s="554">
        <f t="shared" si="308"/>
        <v>48</v>
      </c>
      <c r="CV895" s="551">
        <f>CK895+CL895+CM895+CN895+CO895+CQ895+CP895</f>
        <v>0</v>
      </c>
      <c r="CW895" s="551">
        <f>CI895+CJ895</f>
        <v>0</v>
      </c>
      <c r="CX895" s="650"/>
      <c r="CY895" s="650"/>
      <c r="CZ895" s="650"/>
      <c r="DA895" s="548"/>
      <c r="DB895" s="548"/>
      <c r="DC895" s="548"/>
      <c r="DD895" s="650"/>
      <c r="DE895" s="650"/>
      <c r="DF895" s="650"/>
      <c r="DG895" s="650"/>
      <c r="DH895" s="650"/>
    </row>
    <row r="896" s="548" customFormat="1" ht="31" customHeight="1" spans="1:112">
      <c r="A896" s="641">
        <v>45966</v>
      </c>
      <c r="B896" s="642" t="s">
        <v>7688</v>
      </c>
      <c r="C896" s="246" t="s">
        <v>278</v>
      </c>
      <c r="D896" s="551">
        <v>4500184546</v>
      </c>
      <c r="E896" s="246" t="s">
        <v>8279</v>
      </c>
      <c r="F896" s="551" t="s">
        <v>8280</v>
      </c>
      <c r="G896" s="246" t="s">
        <v>6136</v>
      </c>
      <c r="H896" s="246" t="s">
        <v>6137</v>
      </c>
      <c r="I896" s="246">
        <v>1872</v>
      </c>
      <c r="J896" s="246">
        <v>13</v>
      </c>
      <c r="K896" s="246">
        <f>J896*8</f>
        <v>104</v>
      </c>
      <c r="L896" s="644">
        <f t="shared" si="338"/>
        <v>18</v>
      </c>
      <c r="M896" s="645">
        <v>46013</v>
      </c>
      <c r="N896" s="645">
        <v>46009</v>
      </c>
      <c r="O896" s="643"/>
      <c r="P896" s="643" t="s">
        <v>113</v>
      </c>
      <c r="Q896" s="246"/>
      <c r="R896" s="646">
        <v>45975</v>
      </c>
      <c r="S896" s="646" t="s">
        <v>70</v>
      </c>
      <c r="T896" s="646"/>
      <c r="U896" s="646"/>
      <c r="V896" s="646"/>
      <c r="W896" s="615"/>
      <c r="X896" s="642" t="s">
        <v>8281</v>
      </c>
      <c r="Y896" s="642" t="s">
        <v>1549</v>
      </c>
      <c r="Z896" s="642">
        <v>0.9077</v>
      </c>
      <c r="AA896" s="647">
        <f t="shared" si="340"/>
        <v>1699.2144</v>
      </c>
      <c r="AC896" s="648" t="s">
        <v>8282</v>
      </c>
      <c r="AD896" s="246" t="s">
        <v>6136</v>
      </c>
      <c r="AE896" s="246" t="s">
        <v>82</v>
      </c>
      <c r="AF896" s="246"/>
      <c r="AG896" s="642"/>
      <c r="AH896" s="642">
        <v>1</v>
      </c>
      <c r="AI896" s="246">
        <f>1768+104</f>
        <v>1872</v>
      </c>
      <c r="AJ896" s="246">
        <f t="shared" si="333"/>
        <v>0</v>
      </c>
      <c r="AK896" s="246"/>
      <c r="AL896" s="246"/>
      <c r="AM896" s="246"/>
      <c r="AN896" s="246"/>
      <c r="AO896" s="551">
        <f>I896</f>
        <v>1872</v>
      </c>
      <c r="AR896" s="680"/>
      <c r="AS896" s="548"/>
      <c r="AT896" s="554">
        <f>I896</f>
        <v>1872</v>
      </c>
      <c r="AV896" s="554">
        <f>I896</f>
        <v>1872</v>
      </c>
      <c r="AW896" s="650"/>
      <c r="AX896" s="548"/>
      <c r="AY896" s="548"/>
      <c r="AZ896" s="548"/>
      <c r="BA896" s="548"/>
      <c r="BB896" s="620">
        <f t="shared" si="341"/>
        <v>78</v>
      </c>
      <c r="BC896" s="651"/>
      <c r="BD896" s="548"/>
      <c r="BE896" s="548"/>
      <c r="BF896" s="548"/>
      <c r="BM896" s="551">
        <f>I896/13</f>
        <v>144</v>
      </c>
      <c r="BY896" s="650"/>
      <c r="BZ896" s="548"/>
      <c r="CA896" s="652"/>
      <c r="CB896" s="567"/>
      <c r="CC896" s="653"/>
      <c r="CD896" s="650"/>
      <c r="CE896" s="650"/>
      <c r="CF896" s="548"/>
      <c r="CG896" s="548"/>
      <c r="CU896" s="554">
        <f t="shared" si="308"/>
        <v>0</v>
      </c>
      <c r="CV896" s="551">
        <f>CK896+CL896+CM896+CN896+CO896+CQ896+CP896</f>
        <v>0</v>
      </c>
      <c r="CW896" s="551">
        <f>CI896+CJ896</f>
        <v>0</v>
      </c>
      <c r="CX896" s="650"/>
      <c r="CY896" s="650"/>
      <c r="CZ896" s="650"/>
      <c r="DA896" s="548"/>
      <c r="DB896" s="548"/>
      <c r="DC896" s="548"/>
      <c r="DD896" s="650"/>
      <c r="DE896" s="650"/>
      <c r="DF896" s="650"/>
      <c r="DG896" s="650"/>
      <c r="DH896" s="650"/>
    </row>
    <row r="897" s="548" customFormat="1" ht="31" customHeight="1" spans="1:112">
      <c r="A897" s="641">
        <v>45968</v>
      </c>
      <c r="B897" s="642" t="s">
        <v>8283</v>
      </c>
      <c r="C897" s="246" t="s">
        <v>98</v>
      </c>
      <c r="D897" s="551" t="s">
        <v>8284</v>
      </c>
      <c r="E897" s="246"/>
      <c r="F897" s="551" t="s">
        <v>8285</v>
      </c>
      <c r="G897" s="246" t="s">
        <v>8286</v>
      </c>
      <c r="H897" s="246" t="s">
        <v>8287</v>
      </c>
      <c r="I897" s="246">
        <v>7008</v>
      </c>
      <c r="J897" s="246">
        <v>0</v>
      </c>
      <c r="K897" s="246">
        <v>24</v>
      </c>
      <c r="L897" s="644">
        <f t="shared" si="338"/>
        <v>292</v>
      </c>
      <c r="M897" s="645">
        <v>46001</v>
      </c>
      <c r="N897" s="645">
        <v>45997</v>
      </c>
      <c r="O897" s="643" t="s">
        <v>8288</v>
      </c>
      <c r="P897" s="643"/>
      <c r="Q897" s="246"/>
      <c r="R897" s="646" t="s">
        <v>1242</v>
      </c>
      <c r="S897" s="646" t="s">
        <v>70</v>
      </c>
      <c r="T897" s="646" t="s">
        <v>70</v>
      </c>
      <c r="U897" s="646"/>
      <c r="V897" s="646"/>
      <c r="W897" s="615"/>
      <c r="X897" s="642" t="s">
        <v>8289</v>
      </c>
      <c r="Y897" s="642" t="s">
        <v>819</v>
      </c>
      <c r="Z897" s="642">
        <v>0.8573</v>
      </c>
      <c r="AA897" s="647">
        <f t="shared" si="340"/>
        <v>6007.9584</v>
      </c>
      <c r="AC897" s="698" t="s">
        <v>8290</v>
      </c>
      <c r="AD897" s="610" t="s">
        <v>6020</v>
      </c>
      <c r="AE897" s="662" t="s">
        <v>82</v>
      </c>
      <c r="AF897" s="246"/>
      <c r="AG897" s="693"/>
      <c r="AH897" s="693"/>
      <c r="AI897" s="246">
        <v>7008</v>
      </c>
      <c r="AJ897" s="246">
        <f t="shared" si="333"/>
        <v>0</v>
      </c>
      <c r="AK897" s="246"/>
      <c r="AL897" s="246" t="s">
        <v>2368</v>
      </c>
      <c r="AM897" s="246"/>
      <c r="AN897" s="246">
        <f>I897</f>
        <v>7008</v>
      </c>
      <c r="AO897" s="551"/>
      <c r="AP897" s="554">
        <f>I897</f>
        <v>7008</v>
      </c>
      <c r="AQ897" s="551"/>
      <c r="AR897" s="650"/>
      <c r="AS897" s="551"/>
      <c r="AT897" s="551"/>
      <c r="AU897" s="554">
        <f>I897</f>
        <v>7008</v>
      </c>
      <c r="AV897" s="551"/>
      <c r="AW897" s="650"/>
      <c r="AX897" s="551"/>
      <c r="AY897" s="551"/>
      <c r="AZ897" s="551"/>
      <c r="BA897" s="551"/>
      <c r="BB897" s="249">
        <f t="shared" si="341"/>
        <v>292</v>
      </c>
      <c r="BC897" s="651"/>
      <c r="BD897" s="551"/>
      <c r="BE897" s="551"/>
      <c r="BF897" s="551"/>
      <c r="BH897" s="551"/>
      <c r="BI897" s="551"/>
      <c r="BJ897" s="551"/>
      <c r="BK897" s="551"/>
      <c r="BL897" s="551"/>
      <c r="BM897" s="551"/>
      <c r="BN897" s="551"/>
      <c r="BO897" s="551"/>
      <c r="BP897" s="551"/>
      <c r="BQ897" s="551"/>
      <c r="BR897" s="551"/>
      <c r="BS897" s="551"/>
      <c r="BT897" s="551"/>
      <c r="BU897" s="551"/>
      <c r="BV897" s="551"/>
      <c r="BW897" s="551"/>
      <c r="BX897" s="551"/>
      <c r="BY897" s="650"/>
      <c r="BZ897" s="551"/>
      <c r="CA897" s="652"/>
      <c r="CB897" s="567"/>
      <c r="CC897" s="653"/>
      <c r="CD897" s="650"/>
      <c r="CE897" s="650"/>
      <c r="CF897" s="551"/>
      <c r="CG897" s="551"/>
      <c r="CI897" s="551"/>
      <c r="CJ897" s="551"/>
      <c r="CK897" s="551"/>
      <c r="CL897" s="551"/>
      <c r="CM897" s="551"/>
      <c r="CN897" s="551"/>
      <c r="CO897" s="551"/>
      <c r="CP897" s="551"/>
      <c r="CQ897" s="551"/>
      <c r="CR897" s="551"/>
      <c r="CS897" s="551"/>
      <c r="CT897" s="551"/>
      <c r="CU897" s="554">
        <f t="shared" si="308"/>
        <v>0</v>
      </c>
      <c r="CV897" s="663">
        <f>CK897+CL897+CM897+CN897+CO897+CQ897+CP897</f>
        <v>0</v>
      </c>
      <c r="CW897" s="663">
        <f>CI897+CJ897</f>
        <v>0</v>
      </c>
      <c r="CX897" s="650"/>
      <c r="CY897" s="650"/>
      <c r="CZ897" s="650"/>
      <c r="DA897" s="548"/>
      <c r="DB897" s="548"/>
      <c r="DC897" s="548"/>
      <c r="DD897" s="650"/>
      <c r="DE897" s="650"/>
      <c r="DF897" s="650"/>
      <c r="DG897" s="650"/>
      <c r="DH897" s="650"/>
    </row>
    <row r="898" s="548" customFormat="1" ht="31" customHeight="1" spans="1:112">
      <c r="A898" s="641">
        <v>45945</v>
      </c>
      <c r="B898" s="642" t="s">
        <v>2441</v>
      </c>
      <c r="C898" s="246" t="s">
        <v>241</v>
      </c>
      <c r="D898" s="551">
        <v>4500182014</v>
      </c>
      <c r="E898" s="246">
        <v>20119</v>
      </c>
      <c r="F898" s="551" t="s">
        <v>8291</v>
      </c>
      <c r="G898" s="246" t="s">
        <v>6047</v>
      </c>
      <c r="H898" s="246" t="s">
        <v>6069</v>
      </c>
      <c r="I898" s="246">
        <v>750</v>
      </c>
      <c r="J898" s="246">
        <v>0</v>
      </c>
      <c r="K898" s="246">
        <v>25</v>
      </c>
      <c r="L898" s="644">
        <f t="shared" ref="L898:L929" si="342">I898/K898</f>
        <v>30</v>
      </c>
      <c r="M898" s="645">
        <v>46010</v>
      </c>
      <c r="N898" s="645">
        <v>46006</v>
      </c>
      <c r="O898" s="643"/>
      <c r="P898" s="643" t="s">
        <v>113</v>
      </c>
      <c r="Q898" s="246"/>
      <c r="R898" s="646">
        <v>45946</v>
      </c>
      <c r="S898" s="646" t="s">
        <v>70</v>
      </c>
      <c r="T898" s="646" t="s">
        <v>2443</v>
      </c>
      <c r="U898" s="646"/>
      <c r="V898" s="646"/>
      <c r="W898" s="615"/>
      <c r="X898" s="642" t="s">
        <v>8292</v>
      </c>
      <c r="Y898" s="642" t="s">
        <v>299</v>
      </c>
      <c r="Z898" s="642">
        <v>0.9297</v>
      </c>
      <c r="AA898" s="647">
        <f t="shared" si="340"/>
        <v>697.275</v>
      </c>
      <c r="AC898" s="658" t="s">
        <v>2445</v>
      </c>
      <c r="AD898" s="246" t="s">
        <v>6047</v>
      </c>
      <c r="AE898" s="246" t="s">
        <v>82</v>
      </c>
      <c r="AF898" s="246"/>
      <c r="AG898" s="246"/>
      <c r="AH898" s="246">
        <v>1</v>
      </c>
      <c r="AI898" s="246">
        <v>750</v>
      </c>
      <c r="AJ898" s="246">
        <f t="shared" ref="AJ898:AJ921" si="343">AI898-I898</f>
        <v>0</v>
      </c>
      <c r="AK898" s="246"/>
      <c r="AL898" s="246"/>
      <c r="AM898" s="246"/>
      <c r="AN898" s="246"/>
      <c r="AO898" s="551">
        <f>I898</f>
        <v>750</v>
      </c>
      <c r="AP898" s="551"/>
      <c r="AQ898" s="551"/>
      <c r="AR898" s="650"/>
      <c r="AS898" s="551"/>
      <c r="AT898" s="554">
        <f>I898</f>
        <v>750</v>
      </c>
      <c r="AU898" s="551"/>
      <c r="AV898" s="554">
        <f>I898</f>
        <v>750</v>
      </c>
      <c r="AW898" s="650"/>
      <c r="AX898" s="551"/>
      <c r="AY898" s="551"/>
      <c r="AZ898" s="551"/>
      <c r="BA898" s="551"/>
      <c r="BB898" s="620">
        <f t="shared" si="341"/>
        <v>31.25</v>
      </c>
      <c r="BC898" s="651"/>
      <c r="BD898" s="551"/>
      <c r="BE898" s="551"/>
      <c r="BF898" s="551"/>
      <c r="BH898" s="551"/>
      <c r="BI898" s="551"/>
      <c r="BJ898" s="551"/>
      <c r="BK898" s="551"/>
      <c r="BL898" s="551"/>
      <c r="BM898" s="551"/>
      <c r="BN898" s="551"/>
      <c r="BO898" s="551"/>
      <c r="BP898" s="551">
        <f>I898/25</f>
        <v>30</v>
      </c>
      <c r="BQ898" s="551"/>
      <c r="BR898" s="551"/>
      <c r="BS898" s="551"/>
      <c r="BT898" s="551"/>
      <c r="BU898" s="551"/>
      <c r="BV898" s="551"/>
      <c r="BW898" s="551"/>
      <c r="BX898" s="551"/>
      <c r="BY898" s="650"/>
      <c r="BZ898" s="551"/>
      <c r="CA898" s="652"/>
      <c r="CB898" s="567"/>
      <c r="CC898" s="653"/>
      <c r="CD898" s="650"/>
      <c r="CE898" s="650"/>
      <c r="CF898" s="551"/>
      <c r="CG898" s="551"/>
      <c r="CI898" s="551"/>
      <c r="CJ898" s="551"/>
      <c r="CK898" s="551"/>
      <c r="CL898" s="551"/>
      <c r="CM898" s="551"/>
      <c r="CN898" s="551"/>
      <c r="CO898" s="551"/>
      <c r="CP898" s="551"/>
      <c r="CQ898" s="551"/>
      <c r="CR898" s="551"/>
      <c r="CS898" s="551"/>
      <c r="CT898" s="551"/>
      <c r="CU898" s="554">
        <f t="shared" si="308"/>
        <v>30</v>
      </c>
      <c r="CV898" s="551">
        <f t="shared" ref="CV898:CV906" si="344">CK898+CL898+CM898+CN898+CO898+CQ898+CP898</f>
        <v>0</v>
      </c>
      <c r="CW898" s="551">
        <f t="shared" ref="CW898:CW906" si="345">CI898+CJ898</f>
        <v>0</v>
      </c>
      <c r="CX898" s="650"/>
      <c r="CY898" s="650"/>
      <c r="CZ898" s="650"/>
      <c r="DA898" s="548"/>
      <c r="DB898" s="548"/>
      <c r="DC898" s="548"/>
      <c r="DD898" s="650"/>
      <c r="DE898" s="650"/>
      <c r="DF898" s="650"/>
      <c r="DG898" s="650"/>
      <c r="DH898" s="650"/>
    </row>
    <row r="899" s="548" customFormat="1" ht="31" customHeight="1" spans="1:112">
      <c r="A899" s="641">
        <v>45975</v>
      </c>
      <c r="B899" s="642" t="s">
        <v>935</v>
      </c>
      <c r="C899" s="246" t="s">
        <v>302</v>
      </c>
      <c r="D899" s="551">
        <v>4500185790</v>
      </c>
      <c r="E899" s="246">
        <v>4400520724</v>
      </c>
      <c r="F899" s="551" t="s">
        <v>8293</v>
      </c>
      <c r="G899" s="246" t="s">
        <v>6047</v>
      </c>
      <c r="H899" s="246" t="s">
        <v>6069</v>
      </c>
      <c r="I899" s="246">
        <v>3025</v>
      </c>
      <c r="J899" s="246">
        <v>0</v>
      </c>
      <c r="K899" s="246">
        <v>25</v>
      </c>
      <c r="L899" s="644">
        <f t="shared" si="342"/>
        <v>121</v>
      </c>
      <c r="M899" s="645">
        <v>46010</v>
      </c>
      <c r="N899" s="645">
        <v>46006</v>
      </c>
      <c r="O899" s="643"/>
      <c r="P899" s="643" t="s">
        <v>113</v>
      </c>
      <c r="Q899" s="246"/>
      <c r="R899" s="646">
        <v>45975</v>
      </c>
      <c r="S899" s="646" t="s">
        <v>70</v>
      </c>
      <c r="T899" s="646" t="s">
        <v>8294</v>
      </c>
      <c r="U899" s="646"/>
      <c r="V899" s="646"/>
      <c r="W899" s="615"/>
      <c r="X899" s="642" t="s">
        <v>8295</v>
      </c>
      <c r="Y899" s="642" t="s">
        <v>1549</v>
      </c>
      <c r="Z899" s="642">
        <v>0.9417</v>
      </c>
      <c r="AA899" s="647">
        <f t="shared" si="340"/>
        <v>2848.6425</v>
      </c>
      <c r="AC899" s="648" t="s">
        <v>2618</v>
      </c>
      <c r="AD899" s="246" t="s">
        <v>6047</v>
      </c>
      <c r="AE899" s="246" t="s">
        <v>82</v>
      </c>
      <c r="AF899" s="246"/>
      <c r="AG899" s="642"/>
      <c r="AH899" s="642">
        <v>1</v>
      </c>
      <c r="AI899" s="246">
        <v>3025</v>
      </c>
      <c r="AJ899" s="246">
        <f t="shared" si="343"/>
        <v>0</v>
      </c>
      <c r="AK899" s="246"/>
      <c r="AL899" s="246"/>
      <c r="AM899" s="246"/>
      <c r="AN899" s="246"/>
      <c r="AO899" s="551">
        <f>I899</f>
        <v>3025</v>
      </c>
      <c r="AP899" s="551"/>
      <c r="AQ899" s="551"/>
      <c r="AR899" s="650"/>
      <c r="AS899" s="551"/>
      <c r="AT899" s="554">
        <f>I899</f>
        <v>3025</v>
      </c>
      <c r="AU899" s="551"/>
      <c r="AV899" s="554">
        <f>I899</f>
        <v>3025</v>
      </c>
      <c r="AW899" s="650"/>
      <c r="AX899" s="551"/>
      <c r="AY899" s="551"/>
      <c r="AZ899" s="551"/>
      <c r="BA899" s="551"/>
      <c r="BB899" s="620">
        <f t="shared" si="341"/>
        <v>126.041666666667</v>
      </c>
      <c r="BC899" s="651"/>
      <c r="BD899" s="551"/>
      <c r="BE899" s="551"/>
      <c r="BF899" s="551"/>
      <c r="BH899" s="551"/>
      <c r="BI899" s="551"/>
      <c r="BJ899" s="551"/>
      <c r="BK899" s="551"/>
      <c r="BL899" s="551"/>
      <c r="BM899" s="551"/>
      <c r="BN899" s="551"/>
      <c r="BO899" s="551"/>
      <c r="BP899" s="551">
        <f>I899/25</f>
        <v>121</v>
      </c>
      <c r="BQ899" s="551"/>
      <c r="BR899" s="551"/>
      <c r="BS899" s="551"/>
      <c r="BT899" s="551"/>
      <c r="BU899" s="551"/>
      <c r="BV899" s="551"/>
      <c r="BW899" s="551"/>
      <c r="BX899" s="551"/>
      <c r="BY899" s="650"/>
      <c r="BZ899" s="551"/>
      <c r="CA899" s="652"/>
      <c r="CB899" s="567"/>
      <c r="CC899" s="653"/>
      <c r="CD899" s="650"/>
      <c r="CE899" s="650"/>
      <c r="CF899" s="551"/>
      <c r="CG899" s="551"/>
      <c r="CI899" s="551"/>
      <c r="CJ899" s="551"/>
      <c r="CK899" s="551"/>
      <c r="CL899" s="551"/>
      <c r="CM899" s="551"/>
      <c r="CN899" s="551"/>
      <c r="CO899" s="551"/>
      <c r="CP899" s="551"/>
      <c r="CQ899" s="551"/>
      <c r="CR899" s="551"/>
      <c r="CS899" s="551"/>
      <c r="CT899" s="551"/>
      <c r="CU899" s="554">
        <f t="shared" si="308"/>
        <v>121</v>
      </c>
      <c r="CV899" s="551">
        <f t="shared" si="344"/>
        <v>0</v>
      </c>
      <c r="CW899" s="551">
        <f t="shared" si="345"/>
        <v>0</v>
      </c>
      <c r="CX899" s="650"/>
      <c r="CY899" s="650"/>
      <c r="CZ899" s="650"/>
      <c r="DA899" s="548"/>
      <c r="DB899" s="548"/>
      <c r="DC899" s="548"/>
      <c r="DD899" s="650"/>
      <c r="DE899" s="650"/>
      <c r="DF899" s="650"/>
      <c r="DG899" s="650"/>
      <c r="DH899" s="650"/>
    </row>
    <row r="900" s="548" customFormat="1" ht="31" customHeight="1" spans="1:112">
      <c r="A900" s="641">
        <v>45964</v>
      </c>
      <c r="B900" s="642" t="s">
        <v>1272</v>
      </c>
      <c r="C900" s="246" t="s">
        <v>98</v>
      </c>
      <c r="D900" s="551">
        <v>4500184164</v>
      </c>
      <c r="E900" s="246">
        <v>16000287</v>
      </c>
      <c r="F900" s="551" t="s">
        <v>8296</v>
      </c>
      <c r="G900" s="246" t="s">
        <v>7160</v>
      </c>
      <c r="H900" s="246" t="s">
        <v>6033</v>
      </c>
      <c r="I900" s="246">
        <v>234</v>
      </c>
      <c r="J900" s="246">
        <v>0</v>
      </c>
      <c r="K900" s="246">
        <v>13</v>
      </c>
      <c r="L900" s="644">
        <f t="shared" si="342"/>
        <v>18</v>
      </c>
      <c r="M900" s="645">
        <v>46013</v>
      </c>
      <c r="N900" s="645">
        <v>46009</v>
      </c>
      <c r="O900" s="643"/>
      <c r="P900" s="643" t="s">
        <v>113</v>
      </c>
      <c r="Q900" s="246"/>
      <c r="R900" s="646" t="s">
        <v>1276</v>
      </c>
      <c r="S900" s="646" t="s">
        <v>104</v>
      </c>
      <c r="T900" s="646" t="s">
        <v>8297</v>
      </c>
      <c r="U900" s="646"/>
      <c r="V900" s="646"/>
      <c r="W900" s="615"/>
      <c r="X900" s="642" t="s">
        <v>8298</v>
      </c>
      <c r="Y900" s="642" t="s">
        <v>1278</v>
      </c>
      <c r="Z900" s="642">
        <v>0.5293</v>
      </c>
      <c r="AA900" s="647">
        <f t="shared" si="340"/>
        <v>123.8562</v>
      </c>
      <c r="AC900" s="648"/>
      <c r="AD900" s="246" t="s">
        <v>7160</v>
      </c>
      <c r="AE900" s="246" t="s">
        <v>82</v>
      </c>
      <c r="AF900" s="246"/>
      <c r="AG900" s="246"/>
      <c r="AH900" s="246">
        <v>1</v>
      </c>
      <c r="AI900" s="246">
        <v>234</v>
      </c>
      <c r="AJ900" s="246">
        <f t="shared" si="343"/>
        <v>0</v>
      </c>
      <c r="AK900" s="246"/>
      <c r="AL900" s="246"/>
      <c r="AM900" s="246"/>
      <c r="AN900" s="246">
        <f>I900</f>
        <v>234</v>
      </c>
      <c r="AO900" s="551"/>
      <c r="AP900" s="554">
        <f>I900</f>
        <v>234</v>
      </c>
      <c r="AQ900" s="551"/>
      <c r="AR900" s="650"/>
      <c r="AS900" s="551"/>
      <c r="AT900" s="551"/>
      <c r="AU900" s="554">
        <f>I900</f>
        <v>234</v>
      </c>
      <c r="AV900" s="551"/>
      <c r="AW900" s="650"/>
      <c r="AX900" s="551"/>
      <c r="AY900" s="551"/>
      <c r="AZ900" s="551"/>
      <c r="BA900" s="551"/>
      <c r="BB900" s="249">
        <f t="shared" si="341"/>
        <v>9.75</v>
      </c>
      <c r="BC900" s="651"/>
      <c r="BD900" s="551"/>
      <c r="BE900" s="551"/>
      <c r="BF900" s="551"/>
      <c r="BH900" s="551"/>
      <c r="BI900" s="551"/>
      <c r="BJ900" s="551"/>
      <c r="BK900" s="551"/>
      <c r="BL900" s="551"/>
      <c r="BM900" s="551"/>
      <c r="BN900" s="551"/>
      <c r="BO900" s="551"/>
      <c r="BP900" s="551"/>
      <c r="BQ900" s="551"/>
      <c r="BR900" s="551"/>
      <c r="BS900" s="551"/>
      <c r="BT900" s="551"/>
      <c r="BU900" s="551"/>
      <c r="BV900" s="551"/>
      <c r="BW900" s="551"/>
      <c r="BX900" s="551"/>
      <c r="BY900" s="650"/>
      <c r="BZ900" s="551"/>
      <c r="CA900" s="652"/>
      <c r="CB900" s="567"/>
      <c r="CC900" s="653"/>
      <c r="CD900" s="650"/>
      <c r="CE900" s="650"/>
      <c r="CF900" s="551"/>
      <c r="CG900" s="551"/>
      <c r="CI900" s="551"/>
      <c r="CJ900" s="551"/>
      <c r="CK900" s="551"/>
      <c r="CL900" s="551"/>
      <c r="CM900" s="551"/>
      <c r="CN900" s="551"/>
      <c r="CO900" s="551"/>
      <c r="CP900" s="551"/>
      <c r="CQ900" s="551"/>
      <c r="CR900" s="551"/>
      <c r="CS900" s="551"/>
      <c r="CT900" s="551"/>
      <c r="CU900" s="554">
        <f t="shared" ref="CU899:CU962" si="346">BQ900+BP900+BO900+BN900+BX900+BR900</f>
        <v>0</v>
      </c>
      <c r="CV900" s="551">
        <f t="shared" si="344"/>
        <v>0</v>
      </c>
      <c r="CW900" s="551">
        <f t="shared" si="345"/>
        <v>0</v>
      </c>
      <c r="CX900" s="650"/>
      <c r="CY900" s="650"/>
      <c r="CZ900" s="650"/>
      <c r="DA900" s="548"/>
      <c r="DB900" s="548"/>
      <c r="DC900" s="548"/>
      <c r="DD900" s="650"/>
      <c r="DE900" s="650"/>
      <c r="DF900" s="650"/>
      <c r="DG900" s="650"/>
      <c r="DH900" s="650"/>
    </row>
    <row r="901" s="548" customFormat="1" ht="31" customHeight="1" spans="1:112">
      <c r="A901" s="641">
        <v>45964</v>
      </c>
      <c r="B901" s="642" t="s">
        <v>1272</v>
      </c>
      <c r="C901" s="246" t="s">
        <v>98</v>
      </c>
      <c r="D901" s="551">
        <v>4500184162</v>
      </c>
      <c r="E901" s="246">
        <v>16000286</v>
      </c>
      <c r="F901" s="551" t="s">
        <v>8299</v>
      </c>
      <c r="G901" s="246" t="s">
        <v>6166</v>
      </c>
      <c r="H901" s="246" t="s">
        <v>6094</v>
      </c>
      <c r="I901" s="246">
        <v>1456</v>
      </c>
      <c r="J901" s="246">
        <v>0</v>
      </c>
      <c r="K901" s="246">
        <v>13</v>
      </c>
      <c r="L901" s="644">
        <f t="shared" si="342"/>
        <v>112</v>
      </c>
      <c r="M901" s="645">
        <v>46013</v>
      </c>
      <c r="N901" s="645">
        <v>46009</v>
      </c>
      <c r="O901" s="643"/>
      <c r="P901" s="643" t="s">
        <v>113</v>
      </c>
      <c r="Q901" s="246"/>
      <c r="R901" s="646">
        <v>45965</v>
      </c>
      <c r="S901" s="646" t="s">
        <v>104</v>
      </c>
      <c r="T901" s="646" t="s">
        <v>8300</v>
      </c>
      <c r="U901" s="646"/>
      <c r="V901" s="646"/>
      <c r="W901" s="615"/>
      <c r="X901" s="642" t="s">
        <v>8301</v>
      </c>
      <c r="Y901" s="642" t="s">
        <v>1278</v>
      </c>
      <c r="Z901" s="655">
        <v>0.5528</v>
      </c>
      <c r="AA901" s="647">
        <f t="shared" si="340"/>
        <v>804.8768</v>
      </c>
      <c r="AC901" s="648"/>
      <c r="AD901" s="642" t="s">
        <v>6257</v>
      </c>
      <c r="AE901" s="246" t="s">
        <v>82</v>
      </c>
      <c r="AF901" s="246"/>
      <c r="AG901" s="642"/>
      <c r="AH901" s="642">
        <v>1</v>
      </c>
      <c r="AI901" s="246">
        <v>1456</v>
      </c>
      <c r="AJ901" s="246">
        <f t="shared" si="343"/>
        <v>0</v>
      </c>
      <c r="AK901" s="246"/>
      <c r="AL901" s="246"/>
      <c r="AM901" s="246"/>
      <c r="AN901" s="246">
        <f>I901</f>
        <v>1456</v>
      </c>
      <c r="AO901" s="551"/>
      <c r="AP901" s="554">
        <f>I901</f>
        <v>1456</v>
      </c>
      <c r="AQ901" s="551"/>
      <c r="AR901" s="650"/>
      <c r="AS901" s="551"/>
      <c r="AT901" s="551"/>
      <c r="AU901" s="554">
        <f>I901</f>
        <v>1456</v>
      </c>
      <c r="AV901" s="551"/>
      <c r="AW901" s="650"/>
      <c r="AX901" s="551"/>
      <c r="AY901" s="551"/>
      <c r="AZ901" s="551"/>
      <c r="BA901" s="551"/>
      <c r="BB901" s="249">
        <f t="shared" si="341"/>
        <v>60.6666666666667</v>
      </c>
      <c r="BC901" s="651"/>
      <c r="BD901" s="551"/>
      <c r="BE901" s="551"/>
      <c r="BF901" s="551"/>
      <c r="BH901" s="551"/>
      <c r="BI901" s="551"/>
      <c r="BJ901" s="551"/>
      <c r="BK901" s="551">
        <f>I901/13</f>
        <v>112</v>
      </c>
      <c r="BL901" s="551"/>
      <c r="BM901" s="551"/>
      <c r="BN901" s="551"/>
      <c r="BO901" s="551"/>
      <c r="BP901" s="551"/>
      <c r="BQ901" s="551"/>
      <c r="BR901" s="551"/>
      <c r="BS901" s="551"/>
      <c r="BT901" s="551"/>
      <c r="BU901" s="551"/>
      <c r="BV901" s="551"/>
      <c r="BW901" s="551"/>
      <c r="BX901" s="551"/>
      <c r="BY901" s="650"/>
      <c r="BZ901" s="551"/>
      <c r="CA901" s="652"/>
      <c r="CB901" s="567"/>
      <c r="CC901" s="653"/>
      <c r="CD901" s="650"/>
      <c r="CE901" s="650"/>
      <c r="CF901" s="551"/>
      <c r="CG901" s="551"/>
      <c r="CI901" s="551"/>
      <c r="CJ901" s="551"/>
      <c r="CK901" s="551"/>
      <c r="CL901" s="551"/>
      <c r="CM901" s="551"/>
      <c r="CN901" s="551"/>
      <c r="CO901" s="551"/>
      <c r="CP901" s="551"/>
      <c r="CQ901" s="551"/>
      <c r="CR901" s="551"/>
      <c r="CS901" s="551"/>
      <c r="CT901" s="551"/>
      <c r="CU901" s="554">
        <f t="shared" si="346"/>
        <v>0</v>
      </c>
      <c r="CV901" s="551">
        <f t="shared" si="344"/>
        <v>0</v>
      </c>
      <c r="CW901" s="551">
        <f t="shared" si="345"/>
        <v>0</v>
      </c>
      <c r="CX901" s="650"/>
      <c r="CY901" s="650"/>
      <c r="CZ901" s="650"/>
      <c r="DA901" s="548"/>
      <c r="DB901" s="548"/>
      <c r="DC901" s="548"/>
      <c r="DD901" s="650"/>
      <c r="DE901" s="650"/>
      <c r="DF901" s="650"/>
      <c r="DG901" s="650"/>
      <c r="DH901" s="650"/>
    </row>
    <row r="902" s="548" customFormat="1" ht="31" customHeight="1" spans="1:112">
      <c r="A902" s="641">
        <v>45965</v>
      </c>
      <c r="B902" s="642" t="s">
        <v>143</v>
      </c>
      <c r="C902" s="246" t="s">
        <v>98</v>
      </c>
      <c r="D902" s="551">
        <v>4500184391</v>
      </c>
      <c r="E902" s="643">
        <v>952702451</v>
      </c>
      <c r="F902" s="551" t="s">
        <v>8302</v>
      </c>
      <c r="G902" s="246" t="s">
        <v>6063</v>
      </c>
      <c r="H902" s="246" t="s">
        <v>6064</v>
      </c>
      <c r="I902" s="246">
        <v>31680</v>
      </c>
      <c r="J902" s="246">
        <v>0</v>
      </c>
      <c r="K902" s="246">
        <v>16</v>
      </c>
      <c r="L902" s="644">
        <f t="shared" si="342"/>
        <v>1980</v>
      </c>
      <c r="M902" s="645">
        <v>46013</v>
      </c>
      <c r="N902" s="645">
        <v>46009</v>
      </c>
      <c r="O902" s="645">
        <v>46015</v>
      </c>
      <c r="P902" s="643" t="s">
        <v>113</v>
      </c>
      <c r="Q902" s="246"/>
      <c r="R902" s="646" t="s">
        <v>7064</v>
      </c>
      <c r="S902" s="646" t="s">
        <v>70</v>
      </c>
      <c r="T902" s="646" t="s">
        <v>148</v>
      </c>
      <c r="U902" s="646"/>
      <c r="V902" s="646"/>
      <c r="W902" s="615"/>
      <c r="X902" s="642" t="s">
        <v>7065</v>
      </c>
      <c r="Y902" s="642" t="s">
        <v>106</v>
      </c>
      <c r="Z902" s="642">
        <v>0.5837</v>
      </c>
      <c r="AA902" s="647">
        <f t="shared" si="340"/>
        <v>18491.616</v>
      </c>
      <c r="AC902" s="658" t="s">
        <v>8303</v>
      </c>
      <c r="AD902" s="246" t="s">
        <v>6063</v>
      </c>
      <c r="AE902" s="246" t="s">
        <v>82</v>
      </c>
      <c r="AF902" s="246"/>
      <c r="AG902" s="642"/>
      <c r="AH902" s="642">
        <v>1</v>
      </c>
      <c r="AI902" s="246">
        <f>18432+13216+32</f>
        <v>31680</v>
      </c>
      <c r="AJ902" s="246">
        <f t="shared" si="343"/>
        <v>0</v>
      </c>
      <c r="AK902" s="246"/>
      <c r="AL902" s="246"/>
      <c r="AM902" s="246"/>
      <c r="AN902" s="246">
        <f>I902</f>
        <v>31680</v>
      </c>
      <c r="AO902" s="551"/>
      <c r="AP902" s="554">
        <f>I902</f>
        <v>31680</v>
      </c>
      <c r="AQ902" s="551"/>
      <c r="AR902" s="650"/>
      <c r="AS902" s="551"/>
      <c r="AT902" s="551"/>
      <c r="AU902" s="554">
        <f>I902</f>
        <v>31680</v>
      </c>
      <c r="AV902" s="551"/>
      <c r="AW902" s="650"/>
      <c r="AX902" s="551"/>
      <c r="AY902" s="551"/>
      <c r="AZ902" s="551"/>
      <c r="BA902" s="551"/>
      <c r="BB902" s="249">
        <f t="shared" si="341"/>
        <v>1320</v>
      </c>
      <c r="BC902" s="651"/>
      <c r="BD902" s="551"/>
      <c r="BE902" s="551"/>
      <c r="BF902" s="551"/>
      <c r="BH902" s="551"/>
      <c r="BI902" s="551"/>
      <c r="BJ902" s="551"/>
      <c r="BK902" s="551"/>
      <c r="BL902" s="551"/>
      <c r="BM902" s="551"/>
      <c r="BN902" s="551"/>
      <c r="BO902" s="551"/>
      <c r="BP902" s="551"/>
      <c r="BQ902" s="551">
        <f>I902/16</f>
        <v>1980</v>
      </c>
      <c r="BR902" s="551"/>
      <c r="BS902" s="551"/>
      <c r="BT902" s="551"/>
      <c r="BU902" s="551"/>
      <c r="BV902" s="551"/>
      <c r="BW902" s="551"/>
      <c r="BX902" s="551"/>
      <c r="BY902" s="650"/>
      <c r="BZ902" s="551"/>
      <c r="CA902" s="652"/>
      <c r="CB902" s="567"/>
      <c r="CC902" s="653"/>
      <c r="CD902" s="650"/>
      <c r="CE902" s="650"/>
      <c r="CF902" s="551"/>
      <c r="CG902" s="551"/>
      <c r="CI902" s="551"/>
      <c r="CJ902" s="551"/>
      <c r="CK902" s="551"/>
      <c r="CL902" s="551"/>
      <c r="CM902" s="551"/>
      <c r="CN902" s="551"/>
      <c r="CO902" s="551"/>
      <c r="CP902" s="551"/>
      <c r="CQ902" s="551"/>
      <c r="CR902" s="551"/>
      <c r="CS902" s="551"/>
      <c r="CT902" s="551"/>
      <c r="CU902" s="554">
        <f t="shared" si="346"/>
        <v>1980</v>
      </c>
      <c r="CV902" s="551">
        <f t="shared" si="344"/>
        <v>0</v>
      </c>
      <c r="CW902" s="551">
        <f t="shared" si="345"/>
        <v>0</v>
      </c>
      <c r="CX902" s="650"/>
      <c r="CY902" s="650"/>
      <c r="CZ902" s="650"/>
      <c r="DA902" s="548"/>
      <c r="DB902" s="548"/>
      <c r="DC902" s="548"/>
      <c r="DD902" s="650"/>
      <c r="DE902" s="650"/>
      <c r="DF902" s="650"/>
      <c r="DG902" s="650"/>
      <c r="DH902" s="650"/>
    </row>
    <row r="903" s="548" customFormat="1" ht="31" customHeight="1" spans="1:112">
      <c r="A903" s="641">
        <v>45960</v>
      </c>
      <c r="B903" s="609" t="s">
        <v>246</v>
      </c>
      <c r="C903" s="246" t="s">
        <v>98</v>
      </c>
      <c r="D903" s="551">
        <v>4500183643</v>
      </c>
      <c r="E903" s="246" t="s">
        <v>8304</v>
      </c>
      <c r="F903" s="551" t="s">
        <v>8305</v>
      </c>
      <c r="G903" s="246" t="s">
        <v>6084</v>
      </c>
      <c r="H903" s="246" t="s">
        <v>6069</v>
      </c>
      <c r="I903" s="246">
        <v>35000</v>
      </c>
      <c r="J903" s="246">
        <v>0</v>
      </c>
      <c r="K903" s="246">
        <v>25</v>
      </c>
      <c r="L903" s="644">
        <f t="shared" si="342"/>
        <v>1400</v>
      </c>
      <c r="M903" s="645">
        <v>46013</v>
      </c>
      <c r="N903" s="645">
        <v>46009</v>
      </c>
      <c r="O903" s="643"/>
      <c r="P903" s="643" t="s">
        <v>113</v>
      </c>
      <c r="Q903" s="246"/>
      <c r="R903" s="646">
        <v>45979</v>
      </c>
      <c r="S903" s="646" t="s">
        <v>104</v>
      </c>
      <c r="T903" s="646" t="s">
        <v>2272</v>
      </c>
      <c r="U903" s="646"/>
      <c r="V903" s="646"/>
      <c r="W903" s="615"/>
      <c r="X903" s="642" t="s">
        <v>8306</v>
      </c>
      <c r="Y903" s="642" t="s">
        <v>252</v>
      </c>
      <c r="Z903" s="655">
        <v>0.5488</v>
      </c>
      <c r="AA903" s="647">
        <f t="shared" si="340"/>
        <v>19208</v>
      </c>
      <c r="AC903" s="648"/>
      <c r="AD903" s="246" t="s">
        <v>6084</v>
      </c>
      <c r="AE903" s="246" t="s">
        <v>82</v>
      </c>
      <c r="AF903" s="246"/>
      <c r="AG903" s="246"/>
      <c r="AH903" s="246">
        <v>1</v>
      </c>
      <c r="AI903" s="246">
        <v>35000</v>
      </c>
      <c r="AJ903" s="246">
        <f t="shared" si="343"/>
        <v>0</v>
      </c>
      <c r="AK903" s="246"/>
      <c r="AL903" s="246"/>
      <c r="AM903" s="246"/>
      <c r="AN903" s="246">
        <f>I903</f>
        <v>35000</v>
      </c>
      <c r="AO903" s="551"/>
      <c r="AP903" s="554">
        <f>I903</f>
        <v>35000</v>
      </c>
      <c r="AQ903" s="551"/>
      <c r="AR903" s="650"/>
      <c r="AS903" s="551"/>
      <c r="AT903" s="551"/>
      <c r="AU903" s="554">
        <f>I903</f>
        <v>35000</v>
      </c>
      <c r="AV903" s="551"/>
      <c r="AW903" s="650"/>
      <c r="AX903" s="551"/>
      <c r="AY903" s="551"/>
      <c r="AZ903" s="551"/>
      <c r="BA903" s="551"/>
      <c r="BB903" s="249">
        <f t="shared" si="341"/>
        <v>1458.33333333333</v>
      </c>
      <c r="BC903" s="651"/>
      <c r="BD903" s="551"/>
      <c r="BE903" s="551"/>
      <c r="BF903" s="551"/>
      <c r="BH903" s="551"/>
      <c r="BI903" s="551"/>
      <c r="BJ903" s="551"/>
      <c r="BK903" s="551"/>
      <c r="BL903" s="551"/>
      <c r="BM903" s="551"/>
      <c r="BN903" s="551">
        <f>I903/25</f>
        <v>1400</v>
      </c>
      <c r="BO903" s="551"/>
      <c r="BP903" s="551"/>
      <c r="BQ903" s="551"/>
      <c r="BR903" s="551"/>
      <c r="BS903" s="551"/>
      <c r="BT903" s="551"/>
      <c r="BU903" s="551"/>
      <c r="BV903" s="551"/>
      <c r="BW903" s="551"/>
      <c r="BX903" s="551"/>
      <c r="BY903" s="650"/>
      <c r="BZ903" s="551"/>
      <c r="CA903" s="652"/>
      <c r="CB903" s="567"/>
      <c r="CC903" s="653"/>
      <c r="CD903" s="650"/>
      <c r="CE903" s="650"/>
      <c r="CF903" s="551"/>
      <c r="CG903" s="551"/>
      <c r="CI903" s="551"/>
      <c r="CJ903" s="551"/>
      <c r="CK903" s="551"/>
      <c r="CL903" s="551"/>
      <c r="CM903" s="551"/>
      <c r="CN903" s="551"/>
      <c r="CO903" s="551"/>
      <c r="CP903" s="551"/>
      <c r="CQ903" s="551"/>
      <c r="CR903" s="551"/>
      <c r="CS903" s="551"/>
      <c r="CT903" s="551"/>
      <c r="CU903" s="554">
        <f t="shared" si="346"/>
        <v>1400</v>
      </c>
      <c r="CV903" s="551">
        <f t="shared" si="344"/>
        <v>0</v>
      </c>
      <c r="CW903" s="551">
        <f t="shared" si="345"/>
        <v>0</v>
      </c>
      <c r="CX903" s="650"/>
      <c r="CY903" s="650"/>
      <c r="CZ903" s="650"/>
      <c r="DA903" s="548"/>
      <c r="DB903" s="548"/>
      <c r="DC903" s="548"/>
      <c r="DD903" s="650"/>
      <c r="DE903" s="650"/>
      <c r="DF903" s="650"/>
      <c r="DG903" s="650"/>
      <c r="DH903" s="650"/>
    </row>
    <row r="904" s="548" customFormat="1" ht="31" customHeight="1" spans="1:112">
      <c r="A904" s="641">
        <v>45979</v>
      </c>
      <c r="B904" s="642" t="s">
        <v>225</v>
      </c>
      <c r="C904" s="246" t="s">
        <v>226</v>
      </c>
      <c r="D904" s="551">
        <v>4500184690</v>
      </c>
      <c r="E904" s="246" t="s">
        <v>2570</v>
      </c>
      <c r="F904" s="551" t="s">
        <v>8307</v>
      </c>
      <c r="G904" s="246" t="s">
        <v>6040</v>
      </c>
      <c r="H904" s="246" t="s">
        <v>6041</v>
      </c>
      <c r="I904" s="246">
        <v>12116</v>
      </c>
      <c r="J904" s="246">
        <v>0</v>
      </c>
      <c r="K904" s="246">
        <v>52</v>
      </c>
      <c r="L904" s="644">
        <f t="shared" si="342"/>
        <v>233</v>
      </c>
      <c r="M904" s="645">
        <v>46014</v>
      </c>
      <c r="N904" s="645">
        <v>46010</v>
      </c>
      <c r="O904" s="643"/>
      <c r="P904" s="643" t="s">
        <v>113</v>
      </c>
      <c r="Q904" s="246"/>
      <c r="R904" s="646">
        <v>45967</v>
      </c>
      <c r="S904" s="646" t="s">
        <v>70</v>
      </c>
      <c r="T904" s="646" t="s">
        <v>8308</v>
      </c>
      <c r="U904" s="646"/>
      <c r="V904" s="646"/>
      <c r="W904" s="615"/>
      <c r="X904" s="642" t="s">
        <v>8309</v>
      </c>
      <c r="Y904" s="642" t="s">
        <v>230</v>
      </c>
      <c r="Z904" s="655">
        <v>0.9002</v>
      </c>
      <c r="AA904" s="647">
        <f t="shared" si="340"/>
        <v>10906.8232</v>
      </c>
      <c r="AC904" s="648" t="s">
        <v>2574</v>
      </c>
      <c r="AD904" s="246" t="s">
        <v>6255</v>
      </c>
      <c r="AE904" s="246" t="s">
        <v>82</v>
      </c>
      <c r="AF904" s="246"/>
      <c r="AG904" s="642"/>
      <c r="AH904" s="642">
        <v>1</v>
      </c>
      <c r="AI904" s="246">
        <v>12116</v>
      </c>
      <c r="AJ904" s="246">
        <f t="shared" si="343"/>
        <v>0</v>
      </c>
      <c r="AK904" s="246"/>
      <c r="AL904" s="246" t="s">
        <v>2368</v>
      </c>
      <c r="AM904" s="246"/>
      <c r="AN904" s="246"/>
      <c r="AO904" s="551">
        <f>I904</f>
        <v>12116</v>
      </c>
      <c r="AP904" s="554">
        <f>I904</f>
        <v>12116</v>
      </c>
      <c r="AQ904" s="551"/>
      <c r="AR904" s="650"/>
      <c r="AS904" s="551"/>
      <c r="AT904" s="551"/>
      <c r="AU904" s="551"/>
      <c r="AV904" s="554">
        <f>I904</f>
        <v>12116</v>
      </c>
      <c r="AW904" s="650"/>
      <c r="AX904" s="551"/>
      <c r="AY904" s="551"/>
      <c r="AZ904" s="551"/>
      <c r="BA904" s="551"/>
      <c r="BB904" s="249">
        <f t="shared" si="341"/>
        <v>504.833333333333</v>
      </c>
      <c r="BC904" s="651"/>
      <c r="BD904" s="551"/>
      <c r="BE904" s="551"/>
      <c r="BF904" s="551"/>
      <c r="BH904" s="551"/>
      <c r="BI904" s="551"/>
      <c r="BJ904" s="551"/>
      <c r="BK904" s="551"/>
      <c r="BL904" s="551"/>
      <c r="BM904" s="551">
        <f>I904/13</f>
        <v>932</v>
      </c>
      <c r="BN904" s="551"/>
      <c r="BO904" s="551"/>
      <c r="BP904" s="551"/>
      <c r="BQ904" s="551"/>
      <c r="BR904" s="551"/>
      <c r="BS904" s="551"/>
      <c r="BT904" s="551"/>
      <c r="BU904" s="551"/>
      <c r="BV904" s="551"/>
      <c r="BW904" s="551"/>
      <c r="BX904" s="551"/>
      <c r="BY904" s="650"/>
      <c r="BZ904" s="551"/>
      <c r="CA904" s="652"/>
      <c r="CB904" s="567"/>
      <c r="CC904" s="653"/>
      <c r="CD904" s="650"/>
      <c r="CE904" s="650"/>
      <c r="CF904" s="551"/>
      <c r="CG904" s="551"/>
      <c r="CI904" s="551"/>
      <c r="CJ904" s="551"/>
      <c r="CK904" s="551"/>
      <c r="CL904" s="551"/>
      <c r="CM904" s="551"/>
      <c r="CN904" s="551"/>
      <c r="CO904" s="551"/>
      <c r="CP904" s="551"/>
      <c r="CQ904" s="551"/>
      <c r="CR904" s="551"/>
      <c r="CS904" s="551"/>
      <c r="CT904" s="551"/>
      <c r="CU904" s="554">
        <f t="shared" si="346"/>
        <v>0</v>
      </c>
      <c r="CV904" s="551">
        <f t="shared" si="344"/>
        <v>0</v>
      </c>
      <c r="CW904" s="551">
        <f t="shared" si="345"/>
        <v>0</v>
      </c>
      <c r="CX904" s="650"/>
      <c r="CY904" s="650"/>
      <c r="CZ904" s="650"/>
      <c r="DA904" s="548"/>
      <c r="DB904" s="548"/>
      <c r="DC904" s="548"/>
      <c r="DD904" s="650"/>
      <c r="DE904" s="650"/>
      <c r="DF904" s="650"/>
      <c r="DG904" s="650"/>
      <c r="DH904" s="650"/>
    </row>
    <row r="905" s="548" customFormat="1" ht="31" customHeight="1" spans="1:112">
      <c r="A905" s="641">
        <v>45981</v>
      </c>
      <c r="B905" s="642" t="s">
        <v>2879</v>
      </c>
      <c r="C905" s="246" t="s">
        <v>469</v>
      </c>
      <c r="D905" s="551">
        <v>4500186266</v>
      </c>
      <c r="E905" s="246" t="s">
        <v>8310</v>
      </c>
      <c r="F905" s="551" t="s">
        <v>8311</v>
      </c>
      <c r="G905" s="246" t="s">
        <v>6365</v>
      </c>
      <c r="H905" s="246" t="s">
        <v>6126</v>
      </c>
      <c r="I905" s="246">
        <v>492</v>
      </c>
      <c r="J905" s="246">
        <v>0</v>
      </c>
      <c r="K905" s="246">
        <v>12</v>
      </c>
      <c r="L905" s="644">
        <f t="shared" si="342"/>
        <v>41</v>
      </c>
      <c r="M905" s="645">
        <v>46014</v>
      </c>
      <c r="N905" s="645">
        <v>46010</v>
      </c>
      <c r="O905" s="643"/>
      <c r="P905" s="643" t="s">
        <v>113</v>
      </c>
      <c r="Q905" s="246"/>
      <c r="R905" s="646">
        <v>45986</v>
      </c>
      <c r="S905" s="646" t="s">
        <v>70</v>
      </c>
      <c r="T905" s="646" t="s">
        <v>8312</v>
      </c>
      <c r="U905" s="646"/>
      <c r="V905" s="646"/>
      <c r="W905" s="615"/>
      <c r="X905" s="642" t="s">
        <v>8313</v>
      </c>
      <c r="Y905" s="642" t="s">
        <v>466</v>
      </c>
      <c r="Z905" s="642">
        <v>2.1629</v>
      </c>
      <c r="AA905" s="647">
        <f t="shared" si="340"/>
        <v>1064.1468</v>
      </c>
      <c r="AC905" s="658" t="s">
        <v>8314</v>
      </c>
      <c r="AD905" s="246" t="s">
        <v>6368</v>
      </c>
      <c r="AE905" s="246" t="s">
        <v>82</v>
      </c>
      <c r="AF905" s="246"/>
      <c r="AG905" s="642"/>
      <c r="AH905" s="642">
        <v>1</v>
      </c>
      <c r="AI905" s="246">
        <v>492</v>
      </c>
      <c r="AJ905" s="246">
        <f t="shared" si="343"/>
        <v>0</v>
      </c>
      <c r="AK905" s="246"/>
      <c r="AL905" s="246" t="s">
        <v>2368</v>
      </c>
      <c r="AM905" s="246"/>
      <c r="AN905" s="246"/>
      <c r="AO905" s="554">
        <f>I905*2</f>
        <v>984</v>
      </c>
      <c r="AP905" s="551"/>
      <c r="AQ905" s="551"/>
      <c r="AR905" s="650"/>
      <c r="AS905" s="551"/>
      <c r="AT905" s="554">
        <f>I905*2</f>
        <v>984</v>
      </c>
      <c r="AU905" s="551"/>
      <c r="AV905" s="554">
        <f>I905*2</f>
        <v>984</v>
      </c>
      <c r="AW905" s="650"/>
      <c r="AX905" s="551"/>
      <c r="AY905" s="551"/>
      <c r="AZ905" s="551"/>
      <c r="BA905" s="551"/>
      <c r="BB905" s="249">
        <f>I905/24*2</f>
        <v>41</v>
      </c>
      <c r="BC905" s="651"/>
      <c r="BD905" s="551"/>
      <c r="BE905" s="551"/>
      <c r="BF905" s="551"/>
      <c r="BH905" s="551"/>
      <c r="BI905" s="551"/>
      <c r="BJ905" s="551"/>
      <c r="BK905" s="551"/>
      <c r="BL905" s="551"/>
      <c r="BM905" s="551"/>
      <c r="BN905" s="551"/>
      <c r="BO905" s="551"/>
      <c r="BP905" s="551"/>
      <c r="BQ905" s="551"/>
      <c r="BR905" s="551"/>
      <c r="BS905" s="551"/>
      <c r="BT905" s="551"/>
      <c r="BU905" s="551"/>
      <c r="BV905" s="551"/>
      <c r="BW905" s="551"/>
      <c r="BX905" s="551"/>
      <c r="BY905" s="650"/>
      <c r="BZ905" s="551"/>
      <c r="CA905" s="652"/>
      <c r="CB905" s="567"/>
      <c r="CC905" s="653"/>
      <c r="CD905" s="650"/>
      <c r="CE905" s="650"/>
      <c r="CF905" s="551"/>
      <c r="CG905" s="551"/>
      <c r="CI905" s="551"/>
      <c r="CJ905" s="551"/>
      <c r="CK905" s="551"/>
      <c r="CL905" s="551"/>
      <c r="CM905" s="551"/>
      <c r="CN905" s="551"/>
      <c r="CO905" s="551"/>
      <c r="CP905" s="551"/>
      <c r="CQ905" s="551"/>
      <c r="CR905" s="554">
        <f>I905</f>
        <v>492</v>
      </c>
      <c r="CS905" s="554">
        <f>I905</f>
        <v>492</v>
      </c>
      <c r="CT905" s="554">
        <f>I905</f>
        <v>492</v>
      </c>
      <c r="CU905" s="554">
        <f t="shared" si="346"/>
        <v>0</v>
      </c>
      <c r="CV905" s="551">
        <f t="shared" si="344"/>
        <v>0</v>
      </c>
      <c r="CW905" s="551">
        <f t="shared" si="345"/>
        <v>0</v>
      </c>
      <c r="CX905" s="650"/>
      <c r="CY905" s="650"/>
      <c r="CZ905" s="650"/>
      <c r="DA905" s="548"/>
      <c r="DB905" s="548"/>
      <c r="DC905" s="548"/>
      <c r="DD905" s="650"/>
      <c r="DE905" s="650"/>
      <c r="DF905" s="650"/>
      <c r="DG905" s="650"/>
      <c r="DH905" s="650"/>
    </row>
    <row r="906" s="548" customFormat="1" ht="31" customHeight="1" spans="1:112">
      <c r="A906" s="641">
        <v>46002</v>
      </c>
      <c r="B906" s="642"/>
      <c r="C906" s="246"/>
      <c r="D906" s="551" t="s">
        <v>8315</v>
      </c>
      <c r="E906" s="246"/>
      <c r="F906" s="551" t="s">
        <v>8316</v>
      </c>
      <c r="G906" s="246" t="s">
        <v>6020</v>
      </c>
      <c r="H906" s="246" t="s">
        <v>6021</v>
      </c>
      <c r="I906" s="246">
        <v>770</v>
      </c>
      <c r="J906" s="246">
        <v>0</v>
      </c>
      <c r="K906" s="246">
        <v>24</v>
      </c>
      <c r="L906" s="644">
        <f t="shared" si="342"/>
        <v>32.0833333333333</v>
      </c>
      <c r="M906" s="645">
        <v>46014</v>
      </c>
      <c r="N906" s="645">
        <v>46010</v>
      </c>
      <c r="O906" s="643"/>
      <c r="P906" s="643"/>
      <c r="Q906" s="246"/>
      <c r="R906" s="646"/>
      <c r="S906" s="646"/>
      <c r="T906" s="646"/>
      <c r="U906" s="646"/>
      <c r="V906" s="646"/>
      <c r="W906" s="615"/>
      <c r="X906" s="642" t="s">
        <v>8317</v>
      </c>
      <c r="Y906" s="642"/>
      <c r="Z906" s="642"/>
      <c r="AA906" s="647"/>
      <c r="AC906" s="648"/>
      <c r="AD906" s="610" t="s">
        <v>6020</v>
      </c>
      <c r="AE906" s="662" t="s">
        <v>82</v>
      </c>
      <c r="AF906" s="246"/>
      <c r="AG906" s="642"/>
      <c r="AH906" s="642"/>
      <c r="AI906" s="246">
        <v>770</v>
      </c>
      <c r="AJ906" s="662">
        <v>0</v>
      </c>
      <c r="AK906" s="246"/>
      <c r="AL906" s="246"/>
      <c r="AM906" s="246"/>
      <c r="AN906" s="246">
        <f>I906</f>
        <v>770</v>
      </c>
      <c r="AO906" s="551"/>
      <c r="AP906" s="554">
        <f>I906</f>
        <v>770</v>
      </c>
      <c r="AQ906" s="551"/>
      <c r="AR906" s="650"/>
      <c r="AS906" s="551"/>
      <c r="AT906" s="551"/>
      <c r="AU906" s="554">
        <f>I906</f>
        <v>770</v>
      </c>
      <c r="AV906" s="554"/>
      <c r="AW906" s="650"/>
      <c r="AX906" s="551"/>
      <c r="AY906" s="551"/>
      <c r="AZ906" s="551"/>
      <c r="BA906" s="551"/>
      <c r="BB906" s="249">
        <f>I906/24*2</f>
        <v>64.1666666666667</v>
      </c>
      <c r="BC906" s="651"/>
      <c r="BD906" s="551"/>
      <c r="BE906" s="551"/>
      <c r="BF906" s="551"/>
      <c r="BH906" s="551"/>
      <c r="BI906" s="551"/>
      <c r="BJ906" s="551"/>
      <c r="BK906" s="551"/>
      <c r="BL906" s="551"/>
      <c r="BM906" s="551"/>
      <c r="BN906" s="551"/>
      <c r="BO906" s="551"/>
      <c r="BP906" s="551"/>
      <c r="BQ906" s="551"/>
      <c r="BR906" s="551"/>
      <c r="BS906" s="551"/>
      <c r="BT906" s="551"/>
      <c r="BU906" s="551"/>
      <c r="BV906" s="551"/>
      <c r="BW906" s="551"/>
      <c r="BX906" s="551"/>
      <c r="BY906" s="650"/>
      <c r="BZ906" s="551"/>
      <c r="CA906" s="652"/>
      <c r="CB906" s="567"/>
      <c r="CC906" s="653"/>
      <c r="CD906" s="650"/>
      <c r="CE906" s="650"/>
      <c r="CF906" s="551"/>
      <c r="CG906" s="551"/>
      <c r="CI906" s="551"/>
      <c r="CJ906" s="551"/>
      <c r="CK906" s="551"/>
      <c r="CL906" s="551"/>
      <c r="CM906" s="551"/>
      <c r="CN906" s="551"/>
      <c r="CO906" s="551"/>
      <c r="CP906" s="551"/>
      <c r="CQ906" s="551"/>
      <c r="CR906" s="551"/>
      <c r="CS906" s="551"/>
      <c r="CT906" s="551"/>
      <c r="CU906" s="554">
        <f t="shared" si="346"/>
        <v>0</v>
      </c>
      <c r="CV906" s="663">
        <f t="shared" si="344"/>
        <v>0</v>
      </c>
      <c r="CW906" s="663">
        <f t="shared" si="345"/>
        <v>0</v>
      </c>
      <c r="CX906" s="650"/>
      <c r="CY906" s="650"/>
      <c r="CZ906" s="650"/>
      <c r="DA906" s="548"/>
      <c r="DB906" s="548"/>
      <c r="DC906" s="548"/>
      <c r="DD906" s="650"/>
      <c r="DE906" s="650"/>
      <c r="DF906" s="650"/>
      <c r="DG906" s="650"/>
      <c r="DH906" s="650"/>
    </row>
    <row r="907" s="548" customFormat="1" ht="31" customHeight="1" spans="1:112">
      <c r="A907" s="641">
        <v>45968</v>
      </c>
      <c r="B907" s="642" t="s">
        <v>523</v>
      </c>
      <c r="C907" s="246" t="s">
        <v>524</v>
      </c>
      <c r="D907" s="551">
        <v>4500184791</v>
      </c>
      <c r="E907" s="246">
        <v>50212600121</v>
      </c>
      <c r="F907" s="551" t="s">
        <v>8318</v>
      </c>
      <c r="G907" s="246" t="s">
        <v>6047</v>
      </c>
      <c r="H907" s="246" t="s">
        <v>6069</v>
      </c>
      <c r="I907" s="246">
        <v>11500</v>
      </c>
      <c r="J907" s="246">
        <v>0</v>
      </c>
      <c r="K907" s="246">
        <v>25</v>
      </c>
      <c r="L907" s="644">
        <f t="shared" si="342"/>
        <v>460</v>
      </c>
      <c r="M907" s="645">
        <v>46015</v>
      </c>
      <c r="N907" s="645">
        <v>46011</v>
      </c>
      <c r="O907" s="643"/>
      <c r="P907" s="643" t="s">
        <v>113</v>
      </c>
      <c r="Q907" s="246"/>
      <c r="R907" s="646">
        <v>45973</v>
      </c>
      <c r="S907" s="646" t="s">
        <v>104</v>
      </c>
      <c r="T907" s="646" t="s">
        <v>8319</v>
      </c>
      <c r="U907" s="646"/>
      <c r="V907" s="646"/>
      <c r="W907" s="615"/>
      <c r="X907" s="642" t="s">
        <v>8320</v>
      </c>
      <c r="Y907" s="642" t="s">
        <v>529</v>
      </c>
      <c r="Z907" s="642">
        <v>0.9142</v>
      </c>
      <c r="AA907" s="647">
        <f t="shared" ref="AA907:AA928" si="347">Z907*I907</f>
        <v>10513.3</v>
      </c>
      <c r="AC907" s="658" t="s">
        <v>2513</v>
      </c>
      <c r="AD907" s="246" t="s">
        <v>6047</v>
      </c>
      <c r="AE907" s="246" t="s">
        <v>82</v>
      </c>
      <c r="AF907" s="246"/>
      <c r="AG907" s="642"/>
      <c r="AH907" s="642">
        <v>1</v>
      </c>
      <c r="AI907" s="246">
        <v>11500</v>
      </c>
      <c r="AJ907" s="246">
        <f t="shared" si="343"/>
        <v>0</v>
      </c>
      <c r="AK907" s="246"/>
      <c r="AL907" s="246" t="s">
        <v>2368</v>
      </c>
      <c r="AM907" s="246"/>
      <c r="AN907" s="246"/>
      <c r="AO907" s="551">
        <f>I907</f>
        <v>11500</v>
      </c>
      <c r="AP907" s="551"/>
      <c r="AQ907" s="551"/>
      <c r="AR907" s="650"/>
      <c r="AS907" s="551"/>
      <c r="AT907" s="554">
        <f>I907</f>
        <v>11500</v>
      </c>
      <c r="AU907" s="551"/>
      <c r="AV907" s="554">
        <f>I907</f>
        <v>11500</v>
      </c>
      <c r="AW907" s="650"/>
      <c r="AX907" s="551"/>
      <c r="AY907" s="551"/>
      <c r="AZ907" s="551"/>
      <c r="BA907" s="551"/>
      <c r="BB907" s="620">
        <f t="shared" ref="BB907:BB912" si="348">I907/24</f>
        <v>479.166666666667</v>
      </c>
      <c r="BC907" s="651"/>
      <c r="BD907" s="551"/>
      <c r="BE907" s="551"/>
      <c r="BF907" s="551"/>
      <c r="BH907" s="551"/>
      <c r="BI907" s="551"/>
      <c r="BJ907" s="551"/>
      <c r="BK907" s="551"/>
      <c r="BL907" s="551"/>
      <c r="BM907" s="551"/>
      <c r="BN907" s="551"/>
      <c r="BO907" s="551"/>
      <c r="BP907" s="551">
        <f>I907/25</f>
        <v>460</v>
      </c>
      <c r="BQ907" s="551"/>
      <c r="BR907" s="551"/>
      <c r="BS907" s="551"/>
      <c r="BT907" s="551"/>
      <c r="BU907" s="551"/>
      <c r="BV907" s="551"/>
      <c r="BW907" s="551"/>
      <c r="BX907" s="551"/>
      <c r="BY907" s="650"/>
      <c r="BZ907" s="551"/>
      <c r="CA907" s="652"/>
      <c r="CB907" s="567"/>
      <c r="CC907" s="653"/>
      <c r="CD907" s="650"/>
      <c r="CE907" s="650"/>
      <c r="CF907" s="551"/>
      <c r="CG907" s="551"/>
      <c r="CI907" s="551"/>
      <c r="CJ907" s="551"/>
      <c r="CK907" s="551"/>
      <c r="CL907" s="551"/>
      <c r="CM907" s="551"/>
      <c r="CN907" s="551"/>
      <c r="CO907" s="551"/>
      <c r="CP907" s="551"/>
      <c r="CQ907" s="551"/>
      <c r="CR907" s="551"/>
      <c r="CS907" s="551"/>
      <c r="CT907" s="551"/>
      <c r="CU907" s="554">
        <f t="shared" si="346"/>
        <v>460</v>
      </c>
      <c r="CV907" s="551">
        <f t="shared" ref="CV907:CV926" si="349">CK907+CL907+CM907+CN907+CO907+CQ907+CP907</f>
        <v>0</v>
      </c>
      <c r="CW907" s="551">
        <f t="shared" ref="CW907:CW926" si="350">CI907+CJ907</f>
        <v>0</v>
      </c>
      <c r="CX907" s="650"/>
      <c r="CY907" s="650"/>
      <c r="CZ907" s="650"/>
      <c r="DA907" s="548"/>
      <c r="DB907" s="548"/>
      <c r="DC907" s="548"/>
      <c r="DD907" s="650"/>
      <c r="DE907" s="650"/>
      <c r="DF907" s="650"/>
      <c r="DG907" s="650"/>
      <c r="DH907" s="650"/>
    </row>
    <row r="908" s="548" customFormat="1" ht="31" customHeight="1" spans="1:112">
      <c r="A908" s="641">
        <v>45958</v>
      </c>
      <c r="B908" s="609" t="s">
        <v>6845</v>
      </c>
      <c r="C908" s="246" t="s">
        <v>98</v>
      </c>
      <c r="D908" s="551">
        <v>4500183330</v>
      </c>
      <c r="E908" s="246">
        <v>4864</v>
      </c>
      <c r="F908" s="551" t="s">
        <v>8321</v>
      </c>
      <c r="G908" s="246" t="s">
        <v>6036</v>
      </c>
      <c r="H908" s="246" t="s">
        <v>6033</v>
      </c>
      <c r="I908" s="246">
        <v>600</v>
      </c>
      <c r="J908" s="246">
        <v>0</v>
      </c>
      <c r="K908" s="246">
        <v>50</v>
      </c>
      <c r="L908" s="644">
        <f t="shared" si="342"/>
        <v>12</v>
      </c>
      <c r="M908" s="645">
        <v>46016</v>
      </c>
      <c r="N908" s="645">
        <v>46013</v>
      </c>
      <c r="O908" s="643"/>
      <c r="P908" s="643" t="s">
        <v>113</v>
      </c>
      <c r="Q908" s="246"/>
      <c r="R908" s="646">
        <v>45981</v>
      </c>
      <c r="S908" s="646" t="s">
        <v>70</v>
      </c>
      <c r="T908" s="646" t="s">
        <v>70</v>
      </c>
      <c r="U908" s="646"/>
      <c r="V908" s="646"/>
      <c r="W908" s="615"/>
      <c r="X908" s="642" t="s">
        <v>6847</v>
      </c>
      <c r="Y908" s="642" t="s">
        <v>2543</v>
      </c>
      <c r="Z908" s="642">
        <v>0.5633</v>
      </c>
      <c r="AA908" s="647">
        <f t="shared" si="347"/>
        <v>337.98</v>
      </c>
      <c r="AC908" s="658" t="s">
        <v>2544</v>
      </c>
      <c r="AD908" s="246" t="s">
        <v>6036</v>
      </c>
      <c r="AE908" s="246" t="s">
        <v>82</v>
      </c>
      <c r="AF908" s="246"/>
      <c r="AG908" s="642"/>
      <c r="AH908" s="642">
        <v>1</v>
      </c>
      <c r="AI908" s="246">
        <v>600</v>
      </c>
      <c r="AJ908" s="246">
        <f t="shared" si="343"/>
        <v>0</v>
      </c>
      <c r="AK908" s="246"/>
      <c r="AL908" s="246" t="s">
        <v>70</v>
      </c>
      <c r="AM908" s="246"/>
      <c r="AN908" s="246">
        <f>I908</f>
        <v>600</v>
      </c>
      <c r="AO908" s="551"/>
      <c r="AP908" s="554">
        <f>I908</f>
        <v>600</v>
      </c>
      <c r="AQ908" s="551"/>
      <c r="AR908" s="650"/>
      <c r="AS908" s="551"/>
      <c r="AT908" s="551"/>
      <c r="AU908" s="554">
        <f>I908</f>
        <v>600</v>
      </c>
      <c r="AV908" s="551"/>
      <c r="AW908" s="650"/>
      <c r="AX908" s="551"/>
      <c r="AY908" s="551"/>
      <c r="AZ908" s="551"/>
      <c r="BA908" s="551"/>
      <c r="BB908" s="249">
        <f t="shared" si="348"/>
        <v>25</v>
      </c>
      <c r="BC908" s="651"/>
      <c r="BD908" s="551"/>
      <c r="BE908" s="551"/>
      <c r="BF908" s="551"/>
      <c r="BH908" s="551"/>
      <c r="BI908" s="551"/>
      <c r="BJ908" s="551"/>
      <c r="BK908" s="551"/>
      <c r="BL908" s="551"/>
      <c r="BM908" s="551"/>
      <c r="BN908" s="551">
        <f>I908/25</f>
        <v>24</v>
      </c>
      <c r="BO908" s="551"/>
      <c r="BP908" s="551"/>
      <c r="BQ908" s="551"/>
      <c r="BR908" s="551"/>
      <c r="BS908" s="551"/>
      <c r="BT908" s="551"/>
      <c r="BU908" s="551"/>
      <c r="BV908" s="551"/>
      <c r="BW908" s="551"/>
      <c r="BX908" s="551"/>
      <c r="BY908" s="650"/>
      <c r="BZ908" s="551"/>
      <c r="CA908" s="652"/>
      <c r="CB908" s="567"/>
      <c r="CC908" s="653"/>
      <c r="CD908" s="650"/>
      <c r="CE908" s="650"/>
      <c r="CF908" s="551"/>
      <c r="CG908" s="551"/>
      <c r="CI908" s="551"/>
      <c r="CJ908" s="551"/>
      <c r="CK908" s="551"/>
      <c r="CL908" s="551"/>
      <c r="CM908" s="551"/>
      <c r="CN908" s="551"/>
      <c r="CO908" s="551"/>
      <c r="CP908" s="551"/>
      <c r="CQ908" s="551"/>
      <c r="CR908" s="551"/>
      <c r="CS908" s="551"/>
      <c r="CT908" s="551"/>
      <c r="CU908" s="554">
        <f t="shared" si="346"/>
        <v>24</v>
      </c>
      <c r="CV908" s="551">
        <f t="shared" si="349"/>
        <v>0</v>
      </c>
      <c r="CW908" s="551">
        <f t="shared" si="350"/>
        <v>0</v>
      </c>
      <c r="CX908" s="650"/>
      <c r="CY908" s="650"/>
      <c r="CZ908" s="650"/>
      <c r="DA908" s="548"/>
      <c r="DB908" s="548"/>
      <c r="DC908" s="548"/>
      <c r="DD908" s="650"/>
      <c r="DE908" s="650"/>
      <c r="DF908" s="650"/>
      <c r="DG908" s="650"/>
      <c r="DH908" s="650"/>
    </row>
    <row r="909" s="548" customFormat="1" ht="31" customHeight="1" spans="1:112">
      <c r="A909" s="641">
        <v>45912</v>
      </c>
      <c r="B909" s="642" t="s">
        <v>2545</v>
      </c>
      <c r="C909" s="246" t="s">
        <v>2286</v>
      </c>
      <c r="D909" s="551">
        <v>4500179365</v>
      </c>
      <c r="E909" s="246" t="s">
        <v>8322</v>
      </c>
      <c r="F909" s="551" t="s">
        <v>8323</v>
      </c>
      <c r="G909" s="246" t="s">
        <v>6043</v>
      </c>
      <c r="H909" s="246" t="s">
        <v>6110</v>
      </c>
      <c r="I909" s="246">
        <v>5000</v>
      </c>
      <c r="J909" s="246">
        <v>0</v>
      </c>
      <c r="K909" s="246">
        <v>50</v>
      </c>
      <c r="L909" s="644">
        <f t="shared" si="342"/>
        <v>100</v>
      </c>
      <c r="M909" s="645">
        <v>46016</v>
      </c>
      <c r="N909" s="645">
        <v>46013</v>
      </c>
      <c r="O909" s="643"/>
      <c r="P909" s="643" t="s">
        <v>113</v>
      </c>
      <c r="Q909" s="246"/>
      <c r="R909" s="646">
        <v>45919</v>
      </c>
      <c r="S909" s="646" t="s">
        <v>70</v>
      </c>
      <c r="T909" s="646" t="s">
        <v>2289</v>
      </c>
      <c r="U909" s="646"/>
      <c r="V909" s="646"/>
      <c r="W909" s="615"/>
      <c r="X909" s="642" t="s">
        <v>2548</v>
      </c>
      <c r="Y909" s="642" t="s">
        <v>529</v>
      </c>
      <c r="Z909" s="642">
        <v>0.9358</v>
      </c>
      <c r="AA909" s="647">
        <f t="shared" si="347"/>
        <v>4679</v>
      </c>
      <c r="AC909" s="658" t="s">
        <v>8324</v>
      </c>
      <c r="AD909" s="642" t="s">
        <v>6043</v>
      </c>
      <c r="AE909" s="246" t="s">
        <v>82</v>
      </c>
      <c r="AF909" s="246"/>
      <c r="AG909" s="642" t="s">
        <v>6043</v>
      </c>
      <c r="AH909" s="642">
        <v>1</v>
      </c>
      <c r="AI909" s="246">
        <f>4950+50</f>
        <v>5000</v>
      </c>
      <c r="AJ909" s="246">
        <f t="shared" si="343"/>
        <v>0</v>
      </c>
      <c r="AK909" s="246"/>
      <c r="AL909" s="246"/>
      <c r="AM909" s="246"/>
      <c r="AN909" s="246"/>
      <c r="AO909" s="551">
        <f>I909</f>
        <v>5000</v>
      </c>
      <c r="AP909" s="551"/>
      <c r="AQ909" s="551"/>
      <c r="AR909" s="650"/>
      <c r="AS909" s="551"/>
      <c r="AT909" s="554">
        <f>I909</f>
        <v>5000</v>
      </c>
      <c r="AU909" s="551"/>
      <c r="AV909" s="554">
        <f>I909</f>
        <v>5000</v>
      </c>
      <c r="AW909" s="650"/>
      <c r="AX909" s="551"/>
      <c r="AY909" s="551"/>
      <c r="AZ909" s="551"/>
      <c r="BA909" s="551"/>
      <c r="BB909" s="620">
        <f t="shared" si="348"/>
        <v>208.333333333333</v>
      </c>
      <c r="BC909" s="651"/>
      <c r="BD909" s="551"/>
      <c r="BE909" s="551"/>
      <c r="BF909" s="551"/>
      <c r="BH909" s="551"/>
      <c r="BI909" s="551"/>
      <c r="BJ909" s="551"/>
      <c r="BK909" s="551"/>
      <c r="BL909" s="551"/>
      <c r="BM909" s="551"/>
      <c r="BN909" s="551"/>
      <c r="BO909" s="551"/>
      <c r="BP909" s="551">
        <f>I909/25</f>
        <v>200</v>
      </c>
      <c r="BQ909" s="551"/>
      <c r="BR909" s="551"/>
      <c r="BS909" s="551"/>
      <c r="BT909" s="551"/>
      <c r="BU909" s="551"/>
      <c r="BV909" s="551"/>
      <c r="BW909" s="551"/>
      <c r="BX909" s="551"/>
      <c r="BY909" s="650"/>
      <c r="BZ909" s="551"/>
      <c r="CA909" s="652"/>
      <c r="CB909" s="567"/>
      <c r="CC909" s="653"/>
      <c r="CD909" s="650"/>
      <c r="CE909" s="650"/>
      <c r="CF909" s="551"/>
      <c r="CG909" s="551"/>
      <c r="CI909" s="551"/>
      <c r="CJ909" s="551"/>
      <c r="CK909" s="551"/>
      <c r="CL909" s="551"/>
      <c r="CM909" s="551"/>
      <c r="CN909" s="551"/>
      <c r="CO909" s="551"/>
      <c r="CP909" s="551"/>
      <c r="CQ909" s="551"/>
      <c r="CR909" s="551"/>
      <c r="CS909" s="551"/>
      <c r="CT909" s="551"/>
      <c r="CU909" s="554">
        <f t="shared" si="346"/>
        <v>200</v>
      </c>
      <c r="CV909" s="551">
        <f t="shared" si="349"/>
        <v>0</v>
      </c>
      <c r="CW909" s="551">
        <f t="shared" si="350"/>
        <v>0</v>
      </c>
      <c r="CX909" s="650"/>
      <c r="CY909" s="650"/>
      <c r="CZ909" s="650"/>
      <c r="DA909" s="548"/>
      <c r="DB909" s="548"/>
      <c r="DC909" s="548"/>
      <c r="DD909" s="650"/>
      <c r="DE909" s="650"/>
      <c r="DF909" s="650"/>
      <c r="DG909" s="650"/>
      <c r="DH909" s="650"/>
    </row>
    <row r="910" s="548" customFormat="1" ht="31" customHeight="1" spans="1:112">
      <c r="A910" s="641">
        <v>45916</v>
      </c>
      <c r="B910" s="642" t="s">
        <v>729</v>
      </c>
      <c r="C910" s="246" t="s">
        <v>278</v>
      </c>
      <c r="D910" s="551">
        <v>4500179611</v>
      </c>
      <c r="E910" s="246" t="s">
        <v>2514</v>
      </c>
      <c r="F910" s="551" t="s">
        <v>8325</v>
      </c>
      <c r="G910" s="246" t="s">
        <v>6047</v>
      </c>
      <c r="H910" s="246" t="s">
        <v>6069</v>
      </c>
      <c r="I910" s="246">
        <v>17550</v>
      </c>
      <c r="J910" s="246">
        <v>0</v>
      </c>
      <c r="K910" s="246">
        <v>25</v>
      </c>
      <c r="L910" s="644">
        <f t="shared" si="342"/>
        <v>702</v>
      </c>
      <c r="M910" s="645">
        <v>46016</v>
      </c>
      <c r="N910" s="645">
        <v>46013</v>
      </c>
      <c r="O910" s="643"/>
      <c r="P910" s="643" t="s">
        <v>113</v>
      </c>
      <c r="Q910" s="246"/>
      <c r="R910" s="646">
        <v>45916</v>
      </c>
      <c r="S910" s="646" t="s">
        <v>70</v>
      </c>
      <c r="T910" s="646" t="s">
        <v>8326</v>
      </c>
      <c r="U910" s="646"/>
      <c r="V910" s="646"/>
      <c r="W910" s="615"/>
      <c r="X910" s="642" t="s">
        <v>8327</v>
      </c>
      <c r="Y910" s="642" t="s">
        <v>1627</v>
      </c>
      <c r="Z910" s="642">
        <v>0.9313</v>
      </c>
      <c r="AA910" s="647">
        <f t="shared" si="347"/>
        <v>16344.315</v>
      </c>
      <c r="AC910" s="658" t="s">
        <v>2517</v>
      </c>
      <c r="AD910" s="246" t="s">
        <v>6047</v>
      </c>
      <c r="AE910" s="246" t="s">
        <v>82</v>
      </c>
      <c r="AF910" s="246"/>
      <c r="AG910" s="246"/>
      <c r="AH910" s="246">
        <v>1</v>
      </c>
      <c r="AI910" s="246">
        <f>7650+9900</f>
        <v>17550</v>
      </c>
      <c r="AJ910" s="246">
        <f t="shared" si="343"/>
        <v>0</v>
      </c>
      <c r="AK910" s="246"/>
      <c r="AL910" s="246" t="s">
        <v>2368</v>
      </c>
      <c r="AM910" s="246"/>
      <c r="AN910" s="246"/>
      <c r="AO910" s="551">
        <f>I910</f>
        <v>17550</v>
      </c>
      <c r="AP910" s="551"/>
      <c r="AQ910" s="551"/>
      <c r="AR910" s="650"/>
      <c r="AS910" s="551"/>
      <c r="AT910" s="554">
        <f>I910</f>
        <v>17550</v>
      </c>
      <c r="AU910" s="551"/>
      <c r="AV910" s="554">
        <f>I910</f>
        <v>17550</v>
      </c>
      <c r="AW910" s="650"/>
      <c r="AX910" s="551"/>
      <c r="AY910" s="551"/>
      <c r="AZ910" s="551"/>
      <c r="BA910" s="551"/>
      <c r="BB910" s="620">
        <f t="shared" si="348"/>
        <v>731.25</v>
      </c>
      <c r="BC910" s="651"/>
      <c r="BD910" s="551"/>
      <c r="BE910" s="551"/>
      <c r="BF910" s="551"/>
      <c r="BH910" s="551"/>
      <c r="BI910" s="551"/>
      <c r="BJ910" s="551"/>
      <c r="BK910" s="551"/>
      <c r="BL910" s="551"/>
      <c r="BM910" s="551"/>
      <c r="BN910" s="551"/>
      <c r="BO910" s="551"/>
      <c r="BP910" s="551">
        <f>I910/25</f>
        <v>702</v>
      </c>
      <c r="BQ910" s="551"/>
      <c r="BR910" s="551"/>
      <c r="BS910" s="551"/>
      <c r="BT910" s="551"/>
      <c r="BU910" s="551"/>
      <c r="BV910" s="551"/>
      <c r="BW910" s="551"/>
      <c r="BX910" s="551"/>
      <c r="BY910" s="650"/>
      <c r="BZ910" s="551"/>
      <c r="CA910" s="652"/>
      <c r="CB910" s="567"/>
      <c r="CC910" s="653"/>
      <c r="CD910" s="650"/>
      <c r="CE910" s="650"/>
      <c r="CF910" s="551"/>
      <c r="CG910" s="551"/>
      <c r="CI910" s="551"/>
      <c r="CJ910" s="551"/>
      <c r="CK910" s="551"/>
      <c r="CL910" s="551"/>
      <c r="CM910" s="551"/>
      <c r="CN910" s="551"/>
      <c r="CO910" s="551"/>
      <c r="CP910" s="551"/>
      <c r="CQ910" s="551"/>
      <c r="CR910" s="551"/>
      <c r="CS910" s="551"/>
      <c r="CT910" s="551"/>
      <c r="CU910" s="554">
        <f t="shared" si="346"/>
        <v>702</v>
      </c>
      <c r="CV910" s="551">
        <f t="shared" si="349"/>
        <v>0</v>
      </c>
      <c r="CW910" s="551">
        <f t="shared" si="350"/>
        <v>0</v>
      </c>
      <c r="CX910" s="650"/>
      <c r="CY910" s="650"/>
      <c r="CZ910" s="650"/>
      <c r="DA910" s="548"/>
      <c r="DB910" s="548"/>
      <c r="DC910" s="548"/>
      <c r="DD910" s="650"/>
      <c r="DE910" s="650"/>
      <c r="DF910" s="650"/>
      <c r="DG910" s="650"/>
      <c r="DH910" s="650"/>
    </row>
    <row r="911" s="548" customFormat="1" ht="31" customHeight="1" spans="1:112">
      <c r="A911" s="641">
        <v>45916</v>
      </c>
      <c r="B911" s="642" t="s">
        <v>729</v>
      </c>
      <c r="C911" s="246" t="s">
        <v>278</v>
      </c>
      <c r="D911" s="551">
        <v>4500179611</v>
      </c>
      <c r="E911" s="246" t="s">
        <v>2518</v>
      </c>
      <c r="F911" s="551" t="s">
        <v>8328</v>
      </c>
      <c r="G911" s="246" t="s">
        <v>6047</v>
      </c>
      <c r="H911" s="246" t="s">
        <v>6069</v>
      </c>
      <c r="I911" s="246">
        <v>17550</v>
      </c>
      <c r="J911" s="246">
        <v>0</v>
      </c>
      <c r="K911" s="246">
        <v>25</v>
      </c>
      <c r="L911" s="644">
        <f t="shared" si="342"/>
        <v>702</v>
      </c>
      <c r="M911" s="645">
        <v>46016</v>
      </c>
      <c r="N911" s="645">
        <v>46013</v>
      </c>
      <c r="O911" s="643"/>
      <c r="P911" s="643" t="s">
        <v>113</v>
      </c>
      <c r="Q911" s="246"/>
      <c r="R911" s="646">
        <v>45916</v>
      </c>
      <c r="S911" s="646" t="s">
        <v>70</v>
      </c>
      <c r="T911" s="646" t="s">
        <v>8326</v>
      </c>
      <c r="U911" s="646"/>
      <c r="V911" s="646"/>
      <c r="W911" s="615"/>
      <c r="X911" s="642" t="s">
        <v>8327</v>
      </c>
      <c r="Y911" s="642" t="s">
        <v>1627</v>
      </c>
      <c r="Z911" s="642">
        <v>0.9245</v>
      </c>
      <c r="AA911" s="647">
        <f t="shared" si="347"/>
        <v>16224.975</v>
      </c>
      <c r="AC911" s="658" t="s">
        <v>2517</v>
      </c>
      <c r="AD911" s="246" t="s">
        <v>6047</v>
      </c>
      <c r="AE911" s="246" t="s">
        <v>82</v>
      </c>
      <c r="AF911" s="246"/>
      <c r="AG911" s="246"/>
      <c r="AH911" s="246">
        <v>1</v>
      </c>
      <c r="AI911" s="246">
        <v>17550</v>
      </c>
      <c r="AJ911" s="246">
        <f t="shared" si="343"/>
        <v>0</v>
      </c>
      <c r="AK911" s="246"/>
      <c r="AL911" s="246" t="s">
        <v>2368</v>
      </c>
      <c r="AM911" s="246"/>
      <c r="AN911" s="246"/>
      <c r="AO911" s="551">
        <f>I911</f>
        <v>17550</v>
      </c>
      <c r="AP911" s="551"/>
      <c r="AQ911" s="551"/>
      <c r="AR911" s="650"/>
      <c r="AS911" s="551"/>
      <c r="AT911" s="554">
        <f>I911</f>
        <v>17550</v>
      </c>
      <c r="AU911" s="551"/>
      <c r="AV911" s="554">
        <f>I911</f>
        <v>17550</v>
      </c>
      <c r="AW911" s="650"/>
      <c r="AX911" s="551"/>
      <c r="AY911" s="551"/>
      <c r="AZ911" s="551"/>
      <c r="BA911" s="551"/>
      <c r="BB911" s="620">
        <f t="shared" si="348"/>
        <v>731.25</v>
      </c>
      <c r="BC911" s="651"/>
      <c r="BD911" s="551"/>
      <c r="BE911" s="551"/>
      <c r="BF911" s="551"/>
      <c r="BH911" s="551"/>
      <c r="BI911" s="551"/>
      <c r="BJ911" s="551"/>
      <c r="BK911" s="551"/>
      <c r="BL911" s="551"/>
      <c r="BM911" s="551"/>
      <c r="BN911" s="551"/>
      <c r="BO911" s="551"/>
      <c r="BP911" s="551">
        <f>I911/25</f>
        <v>702</v>
      </c>
      <c r="BQ911" s="551"/>
      <c r="BR911" s="551"/>
      <c r="BS911" s="551"/>
      <c r="BT911" s="551"/>
      <c r="BU911" s="551"/>
      <c r="BV911" s="551"/>
      <c r="BW911" s="551"/>
      <c r="BX911" s="551"/>
      <c r="BY911" s="650"/>
      <c r="BZ911" s="551"/>
      <c r="CA911" s="652"/>
      <c r="CB911" s="567"/>
      <c r="CC911" s="653"/>
      <c r="CD911" s="650"/>
      <c r="CE911" s="650"/>
      <c r="CF911" s="551"/>
      <c r="CG911" s="551"/>
      <c r="CI911" s="551"/>
      <c r="CJ911" s="551"/>
      <c r="CK911" s="551"/>
      <c r="CL911" s="551"/>
      <c r="CM911" s="551"/>
      <c r="CN911" s="551"/>
      <c r="CO911" s="551"/>
      <c r="CP911" s="551"/>
      <c r="CQ911" s="551"/>
      <c r="CR911" s="551"/>
      <c r="CS911" s="551"/>
      <c r="CT911" s="551"/>
      <c r="CU911" s="554">
        <f t="shared" si="346"/>
        <v>702</v>
      </c>
      <c r="CV911" s="551">
        <f t="shared" si="349"/>
        <v>0</v>
      </c>
      <c r="CW911" s="551">
        <f t="shared" si="350"/>
        <v>0</v>
      </c>
      <c r="CX911" s="650"/>
      <c r="CY911" s="650"/>
      <c r="CZ911" s="650"/>
      <c r="DA911" s="548"/>
      <c r="DB911" s="548"/>
      <c r="DC911" s="548"/>
      <c r="DD911" s="650"/>
      <c r="DE911" s="650"/>
      <c r="DF911" s="650"/>
      <c r="DG911" s="650"/>
      <c r="DH911" s="650"/>
    </row>
    <row r="912" s="548" customFormat="1" ht="31" customHeight="1" spans="1:112">
      <c r="A912" s="641">
        <v>45954</v>
      </c>
      <c r="B912" s="696" t="s">
        <v>2527</v>
      </c>
      <c r="C912" s="693" t="s">
        <v>2528</v>
      </c>
      <c r="D912" s="551">
        <v>4500182689</v>
      </c>
      <c r="E912" s="246" t="s">
        <v>2529</v>
      </c>
      <c r="F912" s="551" t="s">
        <v>8329</v>
      </c>
      <c r="G912" s="246" t="s">
        <v>6040</v>
      </c>
      <c r="H912" s="246" t="s">
        <v>6041</v>
      </c>
      <c r="I912" s="246">
        <v>1976</v>
      </c>
      <c r="J912" s="246">
        <v>0</v>
      </c>
      <c r="K912" s="246">
        <v>52</v>
      </c>
      <c r="L912" s="644">
        <f t="shared" si="342"/>
        <v>38</v>
      </c>
      <c r="M912" s="645">
        <v>46017</v>
      </c>
      <c r="N912" s="645">
        <v>46013</v>
      </c>
      <c r="O912" s="643"/>
      <c r="P912" s="643" t="s">
        <v>113</v>
      </c>
      <c r="Q912" s="246"/>
      <c r="R912" s="646">
        <v>45959</v>
      </c>
      <c r="S912" s="646" t="s">
        <v>70</v>
      </c>
      <c r="T912" s="646" t="s">
        <v>8330</v>
      </c>
      <c r="U912" s="646"/>
      <c r="V912" s="646"/>
      <c r="W912" s="615"/>
      <c r="X912" s="642" t="s">
        <v>8331</v>
      </c>
      <c r="Y912" s="694" t="s">
        <v>2533</v>
      </c>
      <c r="Z912" s="655">
        <v>0.9129</v>
      </c>
      <c r="AA912" s="647">
        <f t="shared" si="347"/>
        <v>1803.8904</v>
      </c>
      <c r="AC912" s="658" t="s">
        <v>2534</v>
      </c>
      <c r="AD912" s="246" t="s">
        <v>6040</v>
      </c>
      <c r="AE912" s="246" t="s">
        <v>82</v>
      </c>
      <c r="AF912" s="246"/>
      <c r="AG912" s="246"/>
      <c r="AH912" s="246">
        <v>1</v>
      </c>
      <c r="AI912" s="246">
        <v>1976</v>
      </c>
      <c r="AJ912" s="246">
        <f t="shared" si="343"/>
        <v>0</v>
      </c>
      <c r="AK912" s="246"/>
      <c r="AL912" s="246"/>
      <c r="AM912" s="246"/>
      <c r="AN912" s="246"/>
      <c r="AO912" s="551">
        <f>I912</f>
        <v>1976</v>
      </c>
      <c r="AP912" s="551"/>
      <c r="AQ912" s="551"/>
      <c r="AR912" s="650"/>
      <c r="AS912" s="551"/>
      <c r="AT912" s="554">
        <f>I912</f>
        <v>1976</v>
      </c>
      <c r="AU912" s="551"/>
      <c r="AV912" s="554">
        <f>I912</f>
        <v>1976</v>
      </c>
      <c r="AW912" s="650"/>
      <c r="AX912" s="551"/>
      <c r="AY912" s="551"/>
      <c r="AZ912" s="551"/>
      <c r="BA912" s="551"/>
      <c r="BB912" s="620">
        <f t="shared" si="348"/>
        <v>82.3333333333333</v>
      </c>
      <c r="BC912" s="651"/>
      <c r="BD912" s="551"/>
      <c r="BE912" s="551"/>
      <c r="BF912" s="551"/>
      <c r="BH912" s="551"/>
      <c r="BI912" s="551"/>
      <c r="BJ912" s="551"/>
      <c r="BK912" s="551"/>
      <c r="BL912" s="551"/>
      <c r="BM912" s="551">
        <f>I912/13</f>
        <v>152</v>
      </c>
      <c r="BN912" s="551"/>
      <c r="BO912" s="551"/>
      <c r="BP912" s="551"/>
      <c r="BQ912" s="551"/>
      <c r="BR912" s="551"/>
      <c r="BS912" s="551"/>
      <c r="BT912" s="551"/>
      <c r="BU912" s="551"/>
      <c r="BV912" s="551"/>
      <c r="BW912" s="551"/>
      <c r="BX912" s="551"/>
      <c r="BY912" s="650"/>
      <c r="BZ912" s="551"/>
      <c r="CA912" s="652"/>
      <c r="CB912" s="567"/>
      <c r="CC912" s="653"/>
      <c r="CD912" s="650"/>
      <c r="CE912" s="650"/>
      <c r="CF912" s="551"/>
      <c r="CG912" s="551"/>
      <c r="CI912" s="551"/>
      <c r="CJ912" s="551"/>
      <c r="CK912" s="551"/>
      <c r="CL912" s="551"/>
      <c r="CM912" s="551"/>
      <c r="CN912" s="551"/>
      <c r="CO912" s="551"/>
      <c r="CP912" s="551"/>
      <c r="CQ912" s="551"/>
      <c r="CR912" s="551"/>
      <c r="CS912" s="551"/>
      <c r="CT912" s="551"/>
      <c r="CU912" s="554">
        <f t="shared" si="346"/>
        <v>0</v>
      </c>
      <c r="CV912" s="551">
        <f t="shared" si="349"/>
        <v>0</v>
      </c>
      <c r="CW912" s="551">
        <f t="shared" si="350"/>
        <v>0</v>
      </c>
      <c r="CX912" s="650"/>
      <c r="CY912" s="650"/>
      <c r="CZ912" s="650"/>
      <c r="DA912" s="548"/>
      <c r="DB912" s="548"/>
      <c r="DC912" s="548"/>
      <c r="DD912" s="650"/>
      <c r="DE912" s="650"/>
      <c r="DF912" s="650"/>
      <c r="DG912" s="650"/>
      <c r="DH912" s="650"/>
    </row>
    <row r="913" s="548" customFormat="1" ht="31" customHeight="1" spans="1:112">
      <c r="A913" s="641">
        <v>45905</v>
      </c>
      <c r="B913" s="642" t="s">
        <v>1800</v>
      </c>
      <c r="C913" s="246" t="s">
        <v>744</v>
      </c>
      <c r="D913" s="551">
        <v>4500178919</v>
      </c>
      <c r="E913" s="246">
        <v>5000001988</v>
      </c>
      <c r="F913" s="551" t="s">
        <v>2523</v>
      </c>
      <c r="G913" s="246" t="s">
        <v>6337</v>
      </c>
      <c r="H913" s="662" t="s">
        <v>477</v>
      </c>
      <c r="I913" s="246">
        <v>9996</v>
      </c>
      <c r="J913" s="246">
        <v>0</v>
      </c>
      <c r="K913" s="246">
        <v>6</v>
      </c>
      <c r="L913" s="644">
        <f t="shared" si="342"/>
        <v>1666</v>
      </c>
      <c r="M913" s="645">
        <v>46017</v>
      </c>
      <c r="N913" s="645">
        <v>46013</v>
      </c>
      <c r="O913" s="643"/>
      <c r="P913" s="643" t="s">
        <v>113</v>
      </c>
      <c r="Q913" s="246"/>
      <c r="R913" s="646">
        <v>45960</v>
      </c>
      <c r="S913" s="646" t="s">
        <v>70</v>
      </c>
      <c r="T913" s="646" t="s">
        <v>7927</v>
      </c>
      <c r="U913" s="646"/>
      <c r="V913" s="646"/>
      <c r="W913" s="615"/>
      <c r="X913" s="642" t="s">
        <v>2795</v>
      </c>
      <c r="Y913" s="642" t="s">
        <v>1805</v>
      </c>
      <c r="Z913" s="642">
        <v>6.3409</v>
      </c>
      <c r="AA913" s="647">
        <f t="shared" si="347"/>
        <v>63383.6364</v>
      </c>
      <c r="AC913" s="698" t="s">
        <v>2422</v>
      </c>
      <c r="AD913" s="695" t="s">
        <v>2241</v>
      </c>
      <c r="AE913" s="246" t="s">
        <v>82</v>
      </c>
      <c r="AF913" s="246"/>
      <c r="AG913" s="695"/>
      <c r="AH913" s="695">
        <v>1</v>
      </c>
      <c r="AI913" s="246"/>
      <c r="AJ913" s="246">
        <f t="shared" si="343"/>
        <v>-9996</v>
      </c>
      <c r="AK913" s="246"/>
      <c r="AL913" s="246" t="s">
        <v>454</v>
      </c>
      <c r="AM913" s="246"/>
      <c r="AN913" s="246"/>
      <c r="AO913" s="554">
        <f>I913*2</f>
        <v>19992</v>
      </c>
      <c r="AP913" s="551"/>
      <c r="AQ913" s="551"/>
      <c r="AR913" s="650"/>
      <c r="AS913" s="551"/>
      <c r="AT913" s="554">
        <f>I913*2</f>
        <v>19992</v>
      </c>
      <c r="AU913" s="551"/>
      <c r="AV913" s="551"/>
      <c r="AW913" s="650"/>
      <c r="AX913" s="663">
        <f>I913*2</f>
        <v>19992</v>
      </c>
      <c r="AY913" s="551"/>
      <c r="AZ913" s="551"/>
      <c r="BA913" s="671">
        <f>I913/24*2</f>
        <v>833</v>
      </c>
      <c r="BB913" s="249"/>
      <c r="BC913" s="651"/>
      <c r="BD913" s="551"/>
      <c r="BE913" s="551"/>
      <c r="BF913" s="551"/>
      <c r="BH913" s="551"/>
      <c r="BI913" s="551"/>
      <c r="BJ913" s="551"/>
      <c r="BK913" s="551"/>
      <c r="BL913" s="551"/>
      <c r="BM913" s="551"/>
      <c r="BN913" s="551"/>
      <c r="BO913" s="551"/>
      <c r="BP913" s="551"/>
      <c r="BQ913" s="551"/>
      <c r="BR913" s="551"/>
      <c r="BS913" s="551"/>
      <c r="BT913" s="551"/>
      <c r="BU913" s="551"/>
      <c r="BV913" s="551"/>
      <c r="BW913" s="551"/>
      <c r="BX913" s="551"/>
      <c r="BY913" s="619"/>
      <c r="BZ913" s="554">
        <f>I913</f>
        <v>9996</v>
      </c>
      <c r="CA913" s="652"/>
      <c r="CB913" s="567"/>
      <c r="CC913" s="653"/>
      <c r="CD913" s="650"/>
      <c r="CE913" s="650"/>
      <c r="CF913" s="551"/>
      <c r="CG913" s="551"/>
      <c r="CI913" s="551"/>
      <c r="CJ913" s="551"/>
      <c r="CK913" s="551"/>
      <c r="CL913" s="551"/>
      <c r="CM913" s="551"/>
      <c r="CN913" s="551"/>
      <c r="CO913" s="551"/>
      <c r="CP913" s="551"/>
      <c r="CQ913" s="551"/>
      <c r="CR913" s="551"/>
      <c r="CS913" s="551"/>
      <c r="CT913" s="551"/>
      <c r="CU913" s="554">
        <f t="shared" si="346"/>
        <v>0</v>
      </c>
      <c r="CV913" s="551">
        <f t="shared" si="349"/>
        <v>0</v>
      </c>
      <c r="CW913" s="551">
        <f t="shared" si="350"/>
        <v>0</v>
      </c>
      <c r="CX913" s="650"/>
      <c r="CY913" s="650"/>
      <c r="CZ913" s="650"/>
      <c r="DA913" s="551"/>
      <c r="DB913" s="551"/>
      <c r="DC913" s="551"/>
      <c r="DD913" s="650"/>
      <c r="DE913" s="650"/>
      <c r="DF913" s="650"/>
      <c r="DG913" s="650"/>
      <c r="DH913" s="650"/>
    </row>
    <row r="914" s="548" customFormat="1" ht="31" customHeight="1" spans="1:112">
      <c r="A914" s="641">
        <v>45965</v>
      </c>
      <c r="B914" s="642" t="s">
        <v>1544</v>
      </c>
      <c r="C914" s="246" t="s">
        <v>257</v>
      </c>
      <c r="D914" s="551">
        <v>4500184259</v>
      </c>
      <c r="E914" s="246">
        <v>4400515790</v>
      </c>
      <c r="F914" s="551" t="s">
        <v>8332</v>
      </c>
      <c r="G914" s="246" t="s">
        <v>6047</v>
      </c>
      <c r="H914" s="246" t="s">
        <v>6069</v>
      </c>
      <c r="I914" s="246">
        <v>4000</v>
      </c>
      <c r="J914" s="246">
        <v>0</v>
      </c>
      <c r="K914" s="246">
        <v>25</v>
      </c>
      <c r="L914" s="644">
        <f t="shared" si="342"/>
        <v>160</v>
      </c>
      <c r="M914" s="645">
        <v>46017</v>
      </c>
      <c r="N914" s="645">
        <v>46013</v>
      </c>
      <c r="O914" s="643"/>
      <c r="P914" s="643" t="s">
        <v>113</v>
      </c>
      <c r="Q914" s="246"/>
      <c r="R914" s="646">
        <v>45965</v>
      </c>
      <c r="S914" s="646" t="s">
        <v>70</v>
      </c>
      <c r="T914" s="646" t="s">
        <v>8219</v>
      </c>
      <c r="U914" s="646"/>
      <c r="V914" s="646"/>
      <c r="W914" s="615"/>
      <c r="X914" s="642" t="s">
        <v>8333</v>
      </c>
      <c r="Y914" s="642" t="s">
        <v>1549</v>
      </c>
      <c r="Z914" s="642">
        <v>0.9245</v>
      </c>
      <c r="AA914" s="647">
        <f t="shared" si="347"/>
        <v>3698</v>
      </c>
      <c r="AC914" s="658" t="s">
        <v>8334</v>
      </c>
      <c r="AD914" s="246" t="s">
        <v>6047</v>
      </c>
      <c r="AE914" s="246" t="s">
        <v>82</v>
      </c>
      <c r="AF914" s="246"/>
      <c r="AG914" s="695"/>
      <c r="AH914" s="695">
        <v>1</v>
      </c>
      <c r="AI914" s="246">
        <f>3975+25</f>
        <v>4000</v>
      </c>
      <c r="AJ914" s="246">
        <f t="shared" si="343"/>
        <v>0</v>
      </c>
      <c r="AK914" s="246"/>
      <c r="AL914" s="246" t="s">
        <v>2368</v>
      </c>
      <c r="AM914" s="246"/>
      <c r="AN914" s="246"/>
      <c r="AO914" s="551">
        <f>I914</f>
        <v>4000</v>
      </c>
      <c r="AP914" s="551"/>
      <c r="AQ914" s="551"/>
      <c r="AR914" s="650"/>
      <c r="AS914" s="551"/>
      <c r="AT914" s="554">
        <f>I914</f>
        <v>4000</v>
      </c>
      <c r="AU914" s="551"/>
      <c r="AV914" s="554">
        <f>I914</f>
        <v>4000</v>
      </c>
      <c r="AW914" s="650"/>
      <c r="AX914" s="551"/>
      <c r="AY914" s="551"/>
      <c r="AZ914" s="551"/>
      <c r="BA914" s="651"/>
      <c r="BB914" s="620">
        <f>I914/24</f>
        <v>166.666666666667</v>
      </c>
      <c r="BC914" s="651"/>
      <c r="BD914" s="551"/>
      <c r="BE914" s="551"/>
      <c r="BF914" s="551"/>
      <c r="BH914" s="551"/>
      <c r="BI914" s="551"/>
      <c r="BJ914" s="551"/>
      <c r="BK914" s="551"/>
      <c r="BL914" s="551"/>
      <c r="BM914" s="551"/>
      <c r="BN914" s="551"/>
      <c r="BO914" s="551"/>
      <c r="BP914" s="551">
        <f>I914/25</f>
        <v>160</v>
      </c>
      <c r="BQ914" s="551"/>
      <c r="BR914" s="551"/>
      <c r="BS914" s="551"/>
      <c r="BT914" s="551"/>
      <c r="BU914" s="551"/>
      <c r="BV914" s="551"/>
      <c r="BW914" s="551"/>
      <c r="BX914" s="551"/>
      <c r="BY914" s="650"/>
      <c r="BZ914" s="551"/>
      <c r="CA914" s="652"/>
      <c r="CB914" s="567"/>
      <c r="CC914" s="653"/>
      <c r="CD914" s="650"/>
      <c r="CE914" s="650"/>
      <c r="CF914" s="551"/>
      <c r="CG914" s="551"/>
      <c r="CI914" s="551"/>
      <c r="CJ914" s="551"/>
      <c r="CK914" s="551"/>
      <c r="CL914" s="551"/>
      <c r="CM914" s="551"/>
      <c r="CN914" s="551"/>
      <c r="CO914" s="551"/>
      <c r="CP914" s="551"/>
      <c r="CQ914" s="551"/>
      <c r="CR914" s="551"/>
      <c r="CS914" s="551"/>
      <c r="CT914" s="551"/>
      <c r="CU914" s="554">
        <f t="shared" si="346"/>
        <v>160</v>
      </c>
      <c r="CV914" s="551">
        <f t="shared" si="349"/>
        <v>0</v>
      </c>
      <c r="CW914" s="551">
        <f t="shared" si="350"/>
        <v>0</v>
      </c>
      <c r="CX914" s="650"/>
      <c r="CY914" s="650"/>
      <c r="CZ914" s="650"/>
      <c r="DA914" s="548"/>
      <c r="DB914" s="548"/>
      <c r="DC914" s="548"/>
      <c r="DD914" s="650"/>
      <c r="DE914" s="650"/>
      <c r="DF914" s="650"/>
      <c r="DG914" s="650"/>
      <c r="DH914" s="650"/>
    </row>
    <row r="915" s="548" customFormat="1" ht="31" customHeight="1" spans="1:112">
      <c r="A915" s="641">
        <v>45905</v>
      </c>
      <c r="B915" s="642" t="s">
        <v>1800</v>
      </c>
      <c r="C915" s="246" t="s">
        <v>744</v>
      </c>
      <c r="D915" s="551">
        <v>4500178919</v>
      </c>
      <c r="E915" s="246">
        <v>5000001988</v>
      </c>
      <c r="F915" s="551" t="s">
        <v>2526</v>
      </c>
      <c r="G915" s="246" t="s">
        <v>6337</v>
      </c>
      <c r="H915" s="662" t="s">
        <v>477</v>
      </c>
      <c r="I915" s="246">
        <v>2004</v>
      </c>
      <c r="J915" s="246">
        <v>0</v>
      </c>
      <c r="K915" s="246">
        <v>6</v>
      </c>
      <c r="L915" s="644">
        <f t="shared" si="342"/>
        <v>334</v>
      </c>
      <c r="M915" s="645">
        <v>46017</v>
      </c>
      <c r="N915" s="645">
        <v>46013</v>
      </c>
      <c r="O915" s="643"/>
      <c r="P915" s="643" t="s">
        <v>113</v>
      </c>
      <c r="Q915" s="246"/>
      <c r="R915" s="646">
        <v>45960</v>
      </c>
      <c r="S915" s="646" t="s">
        <v>70</v>
      </c>
      <c r="T915" s="646" t="s">
        <v>7927</v>
      </c>
      <c r="U915" s="646"/>
      <c r="V915" s="646"/>
      <c r="W915" s="615"/>
      <c r="X915" s="642" t="s">
        <v>2795</v>
      </c>
      <c r="Y915" s="642" t="s">
        <v>1805</v>
      </c>
      <c r="Z915" s="642">
        <v>6.3409</v>
      </c>
      <c r="AA915" s="647">
        <f t="shared" si="347"/>
        <v>12707.1636</v>
      </c>
      <c r="AC915" s="698" t="s">
        <v>2422</v>
      </c>
      <c r="AD915" s="695" t="s">
        <v>2241</v>
      </c>
      <c r="AE915" s="246" t="s">
        <v>82</v>
      </c>
      <c r="AF915" s="246"/>
      <c r="AG915" s="695"/>
      <c r="AH915" s="695">
        <v>1</v>
      </c>
      <c r="AI915" s="246"/>
      <c r="AJ915" s="246">
        <f t="shared" si="343"/>
        <v>-2004</v>
      </c>
      <c r="AK915" s="246"/>
      <c r="AL915" s="246" t="s">
        <v>454</v>
      </c>
      <c r="AM915" s="246"/>
      <c r="AN915" s="246"/>
      <c r="AO915" s="554">
        <f>I915*2</f>
        <v>4008</v>
      </c>
      <c r="AP915" s="551"/>
      <c r="AQ915" s="551"/>
      <c r="AR915" s="650"/>
      <c r="AS915" s="551"/>
      <c r="AT915" s="554">
        <f>I915*2</f>
        <v>4008</v>
      </c>
      <c r="AU915" s="551"/>
      <c r="AV915" s="551"/>
      <c r="AW915" s="650"/>
      <c r="AX915" s="663">
        <f>I915*2</f>
        <v>4008</v>
      </c>
      <c r="AY915" s="551"/>
      <c r="AZ915" s="551"/>
      <c r="BA915" s="671">
        <f>I915/24*2</f>
        <v>167</v>
      </c>
      <c r="BB915" s="249"/>
      <c r="BC915" s="651"/>
      <c r="BD915" s="551"/>
      <c r="BE915" s="551"/>
      <c r="BF915" s="551"/>
      <c r="BH915" s="551"/>
      <c r="BI915" s="551"/>
      <c r="BJ915" s="551"/>
      <c r="BK915" s="551"/>
      <c r="BL915" s="551"/>
      <c r="BM915" s="551"/>
      <c r="BN915" s="551"/>
      <c r="BO915" s="551"/>
      <c r="BP915" s="551"/>
      <c r="BQ915" s="551"/>
      <c r="BR915" s="551"/>
      <c r="BS915" s="551"/>
      <c r="BT915" s="551"/>
      <c r="BU915" s="551"/>
      <c r="BV915" s="551"/>
      <c r="BW915" s="551"/>
      <c r="BX915" s="551"/>
      <c r="BY915" s="650"/>
      <c r="BZ915" s="551">
        <f>I915</f>
        <v>2004</v>
      </c>
      <c r="CA915" s="652"/>
      <c r="CB915" s="567"/>
      <c r="CC915" s="653"/>
      <c r="CD915" s="650"/>
      <c r="CE915" s="650"/>
      <c r="CF915" s="551"/>
      <c r="CG915" s="551"/>
      <c r="CI915" s="551"/>
      <c r="CJ915" s="551"/>
      <c r="CK915" s="551"/>
      <c r="CL915" s="551"/>
      <c r="CM915" s="551"/>
      <c r="CN915" s="551"/>
      <c r="CO915" s="551"/>
      <c r="CP915" s="551"/>
      <c r="CQ915" s="551"/>
      <c r="CR915" s="551"/>
      <c r="CS915" s="551"/>
      <c r="CT915" s="551"/>
      <c r="CU915" s="554">
        <f t="shared" si="346"/>
        <v>0</v>
      </c>
      <c r="CV915" s="551">
        <f t="shared" si="349"/>
        <v>0</v>
      </c>
      <c r="CW915" s="551">
        <f t="shared" si="350"/>
        <v>0</v>
      </c>
      <c r="CX915" s="650"/>
      <c r="CY915" s="650"/>
      <c r="CZ915" s="650"/>
      <c r="DA915" s="551"/>
      <c r="DB915" s="551"/>
      <c r="DC915" s="551"/>
      <c r="DD915" s="650"/>
      <c r="DE915" s="650"/>
      <c r="DF915" s="650"/>
      <c r="DG915" s="650"/>
      <c r="DH915" s="650"/>
    </row>
    <row r="916" s="548" customFormat="1" ht="31" customHeight="1" spans="1:112">
      <c r="A916" s="641">
        <v>45979</v>
      </c>
      <c r="B916" s="642" t="s">
        <v>1800</v>
      </c>
      <c r="C916" s="246" t="s">
        <v>744</v>
      </c>
      <c r="D916" s="551">
        <v>4500185221</v>
      </c>
      <c r="E916" s="246">
        <v>5000002057</v>
      </c>
      <c r="F916" s="551" t="s">
        <v>8335</v>
      </c>
      <c r="G916" s="246" t="s">
        <v>6093</v>
      </c>
      <c r="H916" s="639" t="s">
        <v>7359</v>
      </c>
      <c r="I916" s="246">
        <v>10010</v>
      </c>
      <c r="J916" s="246">
        <v>0</v>
      </c>
      <c r="K916" s="246">
        <v>13</v>
      </c>
      <c r="L916" s="644">
        <f t="shared" si="342"/>
        <v>770</v>
      </c>
      <c r="M916" s="645">
        <v>46020</v>
      </c>
      <c r="N916" s="645">
        <v>46016</v>
      </c>
      <c r="O916" s="643"/>
      <c r="P916" s="643" t="s">
        <v>113</v>
      </c>
      <c r="Q916" s="246"/>
      <c r="R916" s="646" t="s">
        <v>7814</v>
      </c>
      <c r="S916" s="646" t="s">
        <v>104</v>
      </c>
      <c r="T916" s="646" t="s">
        <v>8017</v>
      </c>
      <c r="U916" s="646"/>
      <c r="V916" s="646"/>
      <c r="W916" s="615"/>
      <c r="X916" s="642" t="s">
        <v>8336</v>
      </c>
      <c r="Y916" s="642" t="s">
        <v>1805</v>
      </c>
      <c r="Z916" s="642">
        <v>0.882</v>
      </c>
      <c r="AA916" s="647">
        <f t="shared" si="347"/>
        <v>8828.82</v>
      </c>
      <c r="AC916" s="698" t="s">
        <v>8337</v>
      </c>
      <c r="AD916" s="693" t="s">
        <v>8338</v>
      </c>
      <c r="AE916" s="246" t="s">
        <v>82</v>
      </c>
      <c r="AF916" s="246"/>
      <c r="AG916" s="642"/>
      <c r="AH916" s="642">
        <v>1</v>
      </c>
      <c r="AI916" s="246">
        <f>9971+39</f>
        <v>10010</v>
      </c>
      <c r="AJ916" s="246">
        <f t="shared" si="343"/>
        <v>0</v>
      </c>
      <c r="AK916" s="246"/>
      <c r="AL916" s="246" t="s">
        <v>2368</v>
      </c>
      <c r="AM916" s="246"/>
      <c r="AN916" s="246"/>
      <c r="AO916" s="551">
        <f>I916</f>
        <v>10010</v>
      </c>
      <c r="AP916" s="554"/>
      <c r="AQ916" s="554"/>
      <c r="AR916" s="619"/>
      <c r="AS916" s="554"/>
      <c r="AT916" s="554">
        <f>I916</f>
        <v>10010</v>
      </c>
      <c r="AU916" s="551"/>
      <c r="AV916" s="551"/>
      <c r="AW916" s="650"/>
      <c r="AX916" s="554">
        <f>I916</f>
        <v>10010</v>
      </c>
      <c r="AY916" s="551"/>
      <c r="AZ916" s="551"/>
      <c r="BA916" s="551">
        <f>I916/13</f>
        <v>770</v>
      </c>
      <c r="BB916" s="249"/>
      <c r="BC916" s="651"/>
      <c r="BD916" s="551"/>
      <c r="BE916" s="551"/>
      <c r="BF916" s="551"/>
      <c r="BH916" s="551"/>
      <c r="BI916" s="551"/>
      <c r="BJ916" s="551"/>
      <c r="BK916" s="551"/>
      <c r="BL916" s="551"/>
      <c r="BM916" s="551">
        <f>I916/13</f>
        <v>770</v>
      </c>
      <c r="BN916" s="551"/>
      <c r="BO916" s="551"/>
      <c r="BP916" s="551"/>
      <c r="BQ916" s="551"/>
      <c r="BR916" s="551"/>
      <c r="BS916" s="551"/>
      <c r="BT916" s="551"/>
      <c r="BU916" s="551"/>
      <c r="BV916" s="551"/>
      <c r="BW916" s="551"/>
      <c r="BX916" s="551"/>
      <c r="BY916" s="650"/>
      <c r="BZ916" s="551"/>
      <c r="CA916" s="652"/>
      <c r="CB916" s="567"/>
      <c r="CC916" s="653"/>
      <c r="CD916" s="650"/>
      <c r="CE916" s="650"/>
      <c r="CF916" s="551"/>
      <c r="CG916" s="551"/>
      <c r="CI916" s="551"/>
      <c r="CJ916" s="551"/>
      <c r="CK916" s="551"/>
      <c r="CL916" s="551"/>
      <c r="CM916" s="551"/>
      <c r="CN916" s="551"/>
      <c r="CO916" s="551"/>
      <c r="CP916" s="551"/>
      <c r="CQ916" s="551"/>
      <c r="CR916" s="551"/>
      <c r="CS916" s="551"/>
      <c r="CT916" s="551"/>
      <c r="CU916" s="554">
        <f t="shared" si="346"/>
        <v>0</v>
      </c>
      <c r="CV916" s="551">
        <f t="shared" si="349"/>
        <v>0</v>
      </c>
      <c r="CW916" s="551">
        <f t="shared" si="350"/>
        <v>0</v>
      </c>
      <c r="CX916" s="650"/>
      <c r="CY916" s="650"/>
      <c r="CZ916" s="650"/>
      <c r="DA916" s="548"/>
      <c r="DB916" s="548"/>
      <c r="DC916" s="548"/>
      <c r="DD916" s="650"/>
      <c r="DE916" s="650"/>
      <c r="DF916" s="650"/>
      <c r="DG916" s="650"/>
      <c r="DH916" s="650"/>
    </row>
    <row r="917" s="548" customFormat="1" ht="31" customHeight="1" spans="1:112">
      <c r="A917" s="641">
        <v>45982</v>
      </c>
      <c r="B917" s="642" t="s">
        <v>2828</v>
      </c>
      <c r="C917" s="246" t="s">
        <v>98</v>
      </c>
      <c r="D917" s="551">
        <v>4500186619</v>
      </c>
      <c r="E917" s="246">
        <v>384258604</v>
      </c>
      <c r="F917" s="551" t="s">
        <v>8339</v>
      </c>
      <c r="G917" s="246" t="s">
        <v>8340</v>
      </c>
      <c r="H917" s="246" t="s">
        <v>8341</v>
      </c>
      <c r="I917" s="246">
        <v>3600</v>
      </c>
      <c r="J917" s="246">
        <v>0</v>
      </c>
      <c r="K917" s="246">
        <v>6</v>
      </c>
      <c r="L917" s="644">
        <f t="shared" si="342"/>
        <v>600</v>
      </c>
      <c r="M917" s="645">
        <v>46020</v>
      </c>
      <c r="N917" s="645">
        <v>46016</v>
      </c>
      <c r="O917" s="643"/>
      <c r="P917" s="643" t="s">
        <v>113</v>
      </c>
      <c r="Q917" s="246"/>
      <c r="R917" s="646">
        <v>45988</v>
      </c>
      <c r="S917" s="646" t="s">
        <v>104</v>
      </c>
      <c r="T917" s="646" t="s">
        <v>2830</v>
      </c>
      <c r="U917" s="646"/>
      <c r="V917" s="646"/>
      <c r="W917" s="615"/>
      <c r="X917" s="642" t="s">
        <v>8342</v>
      </c>
      <c r="Y917" s="642" t="s">
        <v>1278</v>
      </c>
      <c r="Z917" s="642">
        <v>1.3031</v>
      </c>
      <c r="AA917" s="647">
        <f t="shared" si="347"/>
        <v>4691.16</v>
      </c>
      <c r="AC917" s="658" t="s">
        <v>8343</v>
      </c>
      <c r="AD917" s="246" t="s">
        <v>8340</v>
      </c>
      <c r="AE917" s="246" t="s">
        <v>82</v>
      </c>
      <c r="AF917" s="246"/>
      <c r="AG917" s="642"/>
      <c r="AH917" s="642">
        <v>1</v>
      </c>
      <c r="AI917" s="246">
        <v>3600</v>
      </c>
      <c r="AJ917" s="246">
        <f t="shared" si="343"/>
        <v>0</v>
      </c>
      <c r="AK917" s="246"/>
      <c r="AL917" s="246" t="s">
        <v>2368</v>
      </c>
      <c r="AM917" s="246"/>
      <c r="AN917" s="610">
        <f>I917*2</f>
        <v>7200</v>
      </c>
      <c r="AO917" s="551"/>
      <c r="AP917" s="554">
        <f>I917*2</f>
        <v>7200</v>
      </c>
      <c r="AQ917" s="551"/>
      <c r="AR917" s="650"/>
      <c r="AS917" s="551"/>
      <c r="AT917" s="551"/>
      <c r="AU917" s="554">
        <f>I917*2</f>
        <v>7200</v>
      </c>
      <c r="AV917" s="551"/>
      <c r="AW917" s="650"/>
      <c r="AX917" s="551"/>
      <c r="AY917" s="551"/>
      <c r="AZ917" s="551"/>
      <c r="BA917" s="551"/>
      <c r="BB917" s="249">
        <f>I917/24*2</f>
        <v>300</v>
      </c>
      <c r="BC917" s="651"/>
      <c r="BD917" s="551"/>
      <c r="BE917" s="551"/>
      <c r="BF917" s="551"/>
      <c r="BH917" s="551"/>
      <c r="BI917" s="551"/>
      <c r="BJ917" s="551"/>
      <c r="BK917" s="551"/>
      <c r="BL917" s="551"/>
      <c r="BM917" s="551"/>
      <c r="BN917" s="551"/>
      <c r="BO917" s="551"/>
      <c r="BP917" s="551"/>
      <c r="BQ917" s="551"/>
      <c r="BR917" s="551"/>
      <c r="BS917" s="551"/>
      <c r="BT917" s="551"/>
      <c r="BU917" s="551"/>
      <c r="BV917" s="551"/>
      <c r="BW917" s="551"/>
      <c r="BX917" s="551"/>
      <c r="BY917" s="650"/>
      <c r="BZ917" s="551"/>
      <c r="CA917" s="652"/>
      <c r="CB917" s="567"/>
      <c r="CC917" s="653"/>
      <c r="CD917" s="650"/>
      <c r="CE917" s="650"/>
      <c r="CF917" s="551"/>
      <c r="CG917" s="551"/>
      <c r="CI917" s="551"/>
      <c r="CJ917" s="551"/>
      <c r="CK917" s="551"/>
      <c r="CL917" s="551"/>
      <c r="CM917" s="551"/>
      <c r="CN917" s="551"/>
      <c r="CO917" s="551"/>
      <c r="CP917" s="551"/>
      <c r="CQ917" s="551"/>
      <c r="CR917" s="554">
        <f>I917</f>
        <v>3600</v>
      </c>
      <c r="CS917" s="554">
        <f>I917</f>
        <v>3600</v>
      </c>
      <c r="CT917" s="554">
        <f>I917</f>
        <v>3600</v>
      </c>
      <c r="CU917" s="554">
        <f t="shared" si="346"/>
        <v>0</v>
      </c>
      <c r="CV917" s="551">
        <f t="shared" si="349"/>
        <v>0</v>
      </c>
      <c r="CW917" s="551">
        <f t="shared" si="350"/>
        <v>0</v>
      </c>
      <c r="CX917" s="650"/>
      <c r="CY917" s="650"/>
      <c r="CZ917" s="650"/>
      <c r="DA917" s="548"/>
      <c r="DB917" s="548"/>
      <c r="DC917" s="548"/>
      <c r="DD917" s="650"/>
      <c r="DE917" s="650"/>
      <c r="DF917" s="650"/>
      <c r="DG917" s="650"/>
      <c r="DH917" s="650"/>
    </row>
    <row r="918" s="548" customFormat="1" ht="31" customHeight="1" spans="1:112">
      <c r="A918" s="641">
        <v>45982</v>
      </c>
      <c r="B918" s="642" t="s">
        <v>2828</v>
      </c>
      <c r="C918" s="246" t="s">
        <v>98</v>
      </c>
      <c r="D918" s="551">
        <v>4500186619</v>
      </c>
      <c r="E918" s="246">
        <v>384258805</v>
      </c>
      <c r="F918" s="551" t="s">
        <v>8344</v>
      </c>
      <c r="G918" s="246" t="s">
        <v>8340</v>
      </c>
      <c r="H918" s="246" t="s">
        <v>8341</v>
      </c>
      <c r="I918" s="246">
        <v>1800</v>
      </c>
      <c r="J918" s="246">
        <v>0</v>
      </c>
      <c r="K918" s="246">
        <v>6</v>
      </c>
      <c r="L918" s="644">
        <f t="shared" si="342"/>
        <v>300</v>
      </c>
      <c r="M918" s="645">
        <v>46020</v>
      </c>
      <c r="N918" s="645">
        <v>46016</v>
      </c>
      <c r="O918" s="643"/>
      <c r="P918" s="643" t="s">
        <v>113</v>
      </c>
      <c r="Q918" s="246"/>
      <c r="R918" s="646">
        <v>45988</v>
      </c>
      <c r="S918" s="646" t="s">
        <v>104</v>
      </c>
      <c r="T918" s="646" t="s">
        <v>2830</v>
      </c>
      <c r="U918" s="646"/>
      <c r="V918" s="646"/>
      <c r="W918" s="615"/>
      <c r="X918" s="642" t="s">
        <v>8342</v>
      </c>
      <c r="Y918" s="642" t="s">
        <v>1278</v>
      </c>
      <c r="Z918" s="642">
        <v>1.3094</v>
      </c>
      <c r="AA918" s="647">
        <f t="shared" si="347"/>
        <v>2356.92</v>
      </c>
      <c r="AC918" s="658" t="s">
        <v>8343</v>
      </c>
      <c r="AD918" s="246" t="s">
        <v>8340</v>
      </c>
      <c r="AE918" s="246" t="s">
        <v>82</v>
      </c>
      <c r="AF918" s="246"/>
      <c r="AG918" s="642"/>
      <c r="AH918" s="642">
        <v>1</v>
      </c>
      <c r="AI918" s="246">
        <v>1800</v>
      </c>
      <c r="AJ918" s="246">
        <f t="shared" si="343"/>
        <v>0</v>
      </c>
      <c r="AK918" s="246"/>
      <c r="AL918" s="246" t="s">
        <v>2368</v>
      </c>
      <c r="AM918" s="246"/>
      <c r="AN918" s="610">
        <f>I918*2</f>
        <v>3600</v>
      </c>
      <c r="AO918" s="551"/>
      <c r="AP918" s="554">
        <f>I918*2</f>
        <v>3600</v>
      </c>
      <c r="AQ918" s="551"/>
      <c r="AR918" s="650"/>
      <c r="AS918" s="551"/>
      <c r="AT918" s="551"/>
      <c r="AU918" s="554">
        <f>I918*2</f>
        <v>3600</v>
      </c>
      <c r="AV918" s="551"/>
      <c r="AW918" s="650"/>
      <c r="AX918" s="551"/>
      <c r="AY918" s="551"/>
      <c r="AZ918" s="551"/>
      <c r="BA918" s="551"/>
      <c r="BB918" s="249">
        <f>I918/24*2</f>
        <v>150</v>
      </c>
      <c r="BC918" s="651"/>
      <c r="BD918" s="551"/>
      <c r="BE918" s="551"/>
      <c r="BF918" s="551"/>
      <c r="BH918" s="551"/>
      <c r="BI918" s="551"/>
      <c r="BJ918" s="551"/>
      <c r="BK918" s="551"/>
      <c r="BL918" s="551"/>
      <c r="BM918" s="551"/>
      <c r="BN918" s="551"/>
      <c r="BO918" s="551"/>
      <c r="BP918" s="551"/>
      <c r="BQ918" s="551"/>
      <c r="BR918" s="551"/>
      <c r="BS918" s="551"/>
      <c r="BT918" s="551"/>
      <c r="BU918" s="551"/>
      <c r="BV918" s="551"/>
      <c r="BW918" s="551"/>
      <c r="BX918" s="551"/>
      <c r="BY918" s="650"/>
      <c r="BZ918" s="551"/>
      <c r="CA918" s="652"/>
      <c r="CB918" s="567"/>
      <c r="CC918" s="653"/>
      <c r="CD918" s="650"/>
      <c r="CE918" s="650"/>
      <c r="CF918" s="551"/>
      <c r="CG918" s="551"/>
      <c r="CI918" s="551"/>
      <c r="CJ918" s="551"/>
      <c r="CK918" s="551"/>
      <c r="CL918" s="551"/>
      <c r="CM918" s="551"/>
      <c r="CN918" s="551"/>
      <c r="CO918" s="551"/>
      <c r="CP918" s="551"/>
      <c r="CQ918" s="551"/>
      <c r="CR918" s="554">
        <f>I918</f>
        <v>1800</v>
      </c>
      <c r="CS918" s="554">
        <f>I918</f>
        <v>1800</v>
      </c>
      <c r="CT918" s="554">
        <f>I918</f>
        <v>1800</v>
      </c>
      <c r="CU918" s="554">
        <f t="shared" si="346"/>
        <v>0</v>
      </c>
      <c r="CV918" s="551">
        <f t="shared" si="349"/>
        <v>0</v>
      </c>
      <c r="CW918" s="551">
        <f t="shared" si="350"/>
        <v>0</v>
      </c>
      <c r="CX918" s="650"/>
      <c r="CY918" s="650"/>
      <c r="CZ918" s="650"/>
      <c r="DA918" s="548"/>
      <c r="DB918" s="548"/>
      <c r="DC918" s="548"/>
      <c r="DD918" s="650"/>
      <c r="DE918" s="650"/>
      <c r="DF918" s="650"/>
      <c r="DG918" s="650"/>
      <c r="DH918" s="650"/>
    </row>
    <row r="919" s="548" customFormat="1" ht="31" customHeight="1" spans="1:112">
      <c r="A919" s="660">
        <v>45985</v>
      </c>
      <c r="B919" s="609" t="s">
        <v>3577</v>
      </c>
      <c r="C919" s="246" t="s">
        <v>170</v>
      </c>
      <c r="D919" s="701">
        <v>4500186723</v>
      </c>
      <c r="E919" s="702">
        <v>8150975648</v>
      </c>
      <c r="F919" s="701" t="s">
        <v>8345</v>
      </c>
      <c r="G919" s="246" t="s">
        <v>6063</v>
      </c>
      <c r="H919" s="246" t="s">
        <v>6064</v>
      </c>
      <c r="I919" s="246">
        <v>5776</v>
      </c>
      <c r="J919" s="246">
        <v>0</v>
      </c>
      <c r="K919" s="246">
        <v>16</v>
      </c>
      <c r="L919" s="644">
        <f t="shared" si="342"/>
        <v>361</v>
      </c>
      <c r="M919" s="645">
        <v>46020</v>
      </c>
      <c r="N919" s="645">
        <v>46016</v>
      </c>
      <c r="O919" s="643" t="s">
        <v>8346</v>
      </c>
      <c r="P919" s="643" t="s">
        <v>113</v>
      </c>
      <c r="Q919" s="246"/>
      <c r="R919" s="646">
        <v>45985</v>
      </c>
      <c r="S919" s="646" t="s">
        <v>70</v>
      </c>
      <c r="T919" s="646" t="s">
        <v>70</v>
      </c>
      <c r="U919" s="646"/>
      <c r="V919" s="646"/>
      <c r="W919" s="615"/>
      <c r="X919" s="642" t="s">
        <v>8347</v>
      </c>
      <c r="Y919" s="703" t="s">
        <v>2071</v>
      </c>
      <c r="Z919" s="642">
        <v>0.9894</v>
      </c>
      <c r="AA919" s="647">
        <f t="shared" si="347"/>
        <v>5714.7744</v>
      </c>
      <c r="AC919" s="648"/>
      <c r="AD919" s="246" t="s">
        <v>8348</v>
      </c>
      <c r="AE919" s="246" t="s">
        <v>82</v>
      </c>
      <c r="AF919" s="246"/>
      <c r="AG919" s="642"/>
      <c r="AH919" s="642">
        <v>1</v>
      </c>
      <c r="AI919" s="246">
        <v>5776</v>
      </c>
      <c r="AJ919" s="246">
        <f t="shared" si="343"/>
        <v>0</v>
      </c>
      <c r="AK919" s="246"/>
      <c r="AL919" s="246"/>
      <c r="AM919" s="246"/>
      <c r="AN919" s="246">
        <f>I919</f>
        <v>5776</v>
      </c>
      <c r="AO919" s="551"/>
      <c r="AP919" s="551"/>
      <c r="AQ919" s="551"/>
      <c r="AR919" s="650"/>
      <c r="AS919" s="554">
        <f>I919</f>
        <v>5776</v>
      </c>
      <c r="AT919" s="551"/>
      <c r="AU919" s="554">
        <f>I919</f>
        <v>5776</v>
      </c>
      <c r="AV919" s="551"/>
      <c r="AW919" s="650"/>
      <c r="AX919" s="551"/>
      <c r="AY919" s="551"/>
      <c r="AZ919" s="551"/>
      <c r="BA919" s="551"/>
      <c r="BB919" s="249">
        <f>I919/24</f>
        <v>240.666666666667</v>
      </c>
      <c r="BC919" s="651"/>
      <c r="BD919" s="551"/>
      <c r="BE919" s="551"/>
      <c r="BF919" s="551"/>
      <c r="BH919" s="551"/>
      <c r="BI919" s="551"/>
      <c r="BJ919" s="551"/>
      <c r="BK919" s="551"/>
      <c r="BL919" s="551"/>
      <c r="BM919" s="551"/>
      <c r="BN919" s="551"/>
      <c r="BO919" s="551"/>
      <c r="BP919" s="551"/>
      <c r="BQ919" s="551"/>
      <c r="BR919" s="551">
        <f>L919</f>
        <v>361</v>
      </c>
      <c r="BS919" s="551"/>
      <c r="BT919" s="551"/>
      <c r="BU919" s="551"/>
      <c r="BV919" s="551"/>
      <c r="BW919" s="551"/>
      <c r="BX919" s="551"/>
      <c r="BY919" s="650"/>
      <c r="BZ919" s="551"/>
      <c r="CA919" s="652"/>
      <c r="CB919" s="567"/>
      <c r="CC919" s="653"/>
      <c r="CD919" s="650"/>
      <c r="CE919" s="650"/>
      <c r="CF919" s="551"/>
      <c r="CG919" s="551"/>
      <c r="CI919" s="551"/>
      <c r="CJ919" s="551"/>
      <c r="CK919" s="551"/>
      <c r="CL919" s="551"/>
      <c r="CM919" s="551"/>
      <c r="CN919" s="551"/>
      <c r="CO919" s="551"/>
      <c r="CP919" s="551"/>
      <c r="CQ919" s="551"/>
      <c r="CR919" s="551"/>
      <c r="CS919" s="551"/>
      <c r="CT919" s="551"/>
      <c r="CU919" s="554">
        <f t="shared" si="346"/>
        <v>361</v>
      </c>
      <c r="CV919" s="551">
        <f t="shared" si="349"/>
        <v>0</v>
      </c>
      <c r="CW919" s="551">
        <f t="shared" si="350"/>
        <v>0</v>
      </c>
      <c r="CX919" s="650"/>
      <c r="CY919" s="650"/>
      <c r="CZ919" s="650"/>
      <c r="DA919" s="548"/>
      <c r="DB919" s="548"/>
      <c r="DC919" s="548"/>
      <c r="DD919" s="650"/>
      <c r="DE919" s="650"/>
      <c r="DF919" s="650"/>
      <c r="DG919" s="650"/>
      <c r="DH919" s="650"/>
    </row>
    <row r="920" s="548" customFormat="1" ht="31" customHeight="1" spans="1:112">
      <c r="A920" s="641">
        <v>45968</v>
      </c>
      <c r="B920" s="609" t="s">
        <v>3577</v>
      </c>
      <c r="C920" s="246" t="s">
        <v>170</v>
      </c>
      <c r="D920" s="551" t="s">
        <v>8349</v>
      </c>
      <c r="E920" s="246"/>
      <c r="F920" s="551"/>
      <c r="G920" s="246" t="s">
        <v>8286</v>
      </c>
      <c r="H920" s="246" t="s">
        <v>8287</v>
      </c>
      <c r="I920" s="246">
        <v>36192</v>
      </c>
      <c r="J920" s="246">
        <v>0</v>
      </c>
      <c r="K920" s="246">
        <v>24</v>
      </c>
      <c r="L920" s="644">
        <f t="shared" si="342"/>
        <v>1508</v>
      </c>
      <c r="M920" s="645">
        <v>46010</v>
      </c>
      <c r="N920" s="645">
        <v>46006</v>
      </c>
      <c r="O920" s="643" t="s">
        <v>8350</v>
      </c>
      <c r="P920" s="643" t="s">
        <v>113</v>
      </c>
      <c r="Q920" s="246" t="s">
        <v>8351</v>
      </c>
      <c r="R920" s="646"/>
      <c r="S920" s="646" t="s">
        <v>70</v>
      </c>
      <c r="T920" s="646" t="s">
        <v>70</v>
      </c>
      <c r="U920" s="646"/>
      <c r="V920" s="646"/>
      <c r="W920" s="615"/>
      <c r="X920" s="642" t="s">
        <v>8352</v>
      </c>
      <c r="Y920" s="642" t="s">
        <v>8353</v>
      </c>
      <c r="Z920" s="642">
        <v>0.8469</v>
      </c>
      <c r="AA920" s="647">
        <f t="shared" si="347"/>
        <v>30651.0048</v>
      </c>
      <c r="AC920" s="648"/>
      <c r="AD920" s="610" t="s">
        <v>7230</v>
      </c>
      <c r="AE920" s="246" t="s">
        <v>82</v>
      </c>
      <c r="AF920" s="246"/>
      <c r="AG920" s="695"/>
      <c r="AH920" s="695"/>
      <c r="AI920" s="246">
        <v>36192</v>
      </c>
      <c r="AJ920" s="246">
        <f t="shared" ref="AJ920:AJ925" si="351">AI920-I920</f>
        <v>0</v>
      </c>
      <c r="AK920" s="246"/>
      <c r="AL920" s="246"/>
      <c r="AM920" s="246"/>
      <c r="AN920" s="246">
        <f>I920</f>
        <v>36192</v>
      </c>
      <c r="AO920" s="551"/>
      <c r="AP920" s="551"/>
      <c r="AQ920" s="551"/>
      <c r="AR920" s="650"/>
      <c r="AS920" s="551">
        <f>I920</f>
        <v>36192</v>
      </c>
      <c r="AT920" s="551"/>
      <c r="AU920" s="554">
        <f>I920</f>
        <v>36192</v>
      </c>
      <c r="AV920" s="551"/>
      <c r="AW920" s="650"/>
      <c r="AX920" s="551"/>
      <c r="AY920" s="551"/>
      <c r="AZ920" s="551"/>
      <c r="BA920" s="651"/>
      <c r="BB920" s="249">
        <f>I920/24</f>
        <v>1508</v>
      </c>
      <c r="BC920" s="651"/>
      <c r="BD920" s="551"/>
      <c r="BE920" s="551"/>
      <c r="BF920" s="551"/>
      <c r="BH920" s="551"/>
      <c r="BI920" s="551"/>
      <c r="BJ920" s="551"/>
      <c r="BK920" s="551"/>
      <c r="BL920" s="551"/>
      <c r="BM920" s="551"/>
      <c r="BN920" s="551"/>
      <c r="BO920" s="551"/>
      <c r="BP920" s="551"/>
      <c r="BQ920" s="551"/>
      <c r="BR920" s="551"/>
      <c r="BS920" s="551"/>
      <c r="BT920" s="551"/>
      <c r="BU920" s="551"/>
      <c r="BV920" s="551"/>
      <c r="BW920" s="551"/>
      <c r="BX920" s="551"/>
      <c r="BY920" s="650"/>
      <c r="BZ920" s="551"/>
      <c r="CA920" s="652"/>
      <c r="CB920" s="567"/>
      <c r="CC920" s="653"/>
      <c r="CD920" s="650"/>
      <c r="CE920" s="650"/>
      <c r="CF920" s="551"/>
      <c r="CG920" s="551"/>
      <c r="CI920" s="551"/>
      <c r="CJ920" s="551"/>
      <c r="CK920" s="551"/>
      <c r="CL920" s="551"/>
      <c r="CM920" s="551"/>
      <c r="CN920" s="551"/>
      <c r="CO920" s="551"/>
      <c r="CP920" s="551"/>
      <c r="CQ920" s="551"/>
      <c r="CR920" s="551"/>
      <c r="CS920" s="551"/>
      <c r="CT920" s="551"/>
      <c r="CU920" s="554">
        <f t="shared" si="346"/>
        <v>0</v>
      </c>
      <c r="CV920" s="663">
        <f t="shared" si="349"/>
        <v>0</v>
      </c>
      <c r="CW920" s="663">
        <f t="shared" si="350"/>
        <v>0</v>
      </c>
      <c r="CX920" s="650"/>
      <c r="CY920" s="650"/>
      <c r="CZ920" s="650"/>
      <c r="DA920" s="548"/>
      <c r="DB920" s="548"/>
      <c r="DC920" s="548"/>
      <c r="DD920" s="650"/>
      <c r="DE920" s="650"/>
      <c r="DF920" s="650"/>
      <c r="DG920" s="650"/>
      <c r="DH920" s="650"/>
    </row>
    <row r="921" s="548" customFormat="1" ht="31" customHeight="1" spans="1:112">
      <c r="A921" s="641">
        <v>45975</v>
      </c>
      <c r="B921" s="642" t="s">
        <v>803</v>
      </c>
      <c r="C921" s="246" t="s">
        <v>804</v>
      </c>
      <c r="D921" s="551">
        <v>4500185573</v>
      </c>
      <c r="E921" s="246"/>
      <c r="F921" s="551" t="s">
        <v>8354</v>
      </c>
      <c r="G921" s="246" t="s">
        <v>6587</v>
      </c>
      <c r="H921" s="246" t="s">
        <v>6588</v>
      </c>
      <c r="I921" s="246">
        <v>4000</v>
      </c>
      <c r="J921" s="246">
        <v>0</v>
      </c>
      <c r="K921" s="246">
        <v>50</v>
      </c>
      <c r="L921" s="644">
        <f t="shared" si="342"/>
        <v>80</v>
      </c>
      <c r="M921" s="645">
        <v>46016</v>
      </c>
      <c r="N921" s="645">
        <v>46013</v>
      </c>
      <c r="O921" s="643"/>
      <c r="P921" s="643" t="s">
        <v>113</v>
      </c>
      <c r="Q921" s="246"/>
      <c r="R921" s="646">
        <v>45975</v>
      </c>
      <c r="S921" s="646" t="s">
        <v>104</v>
      </c>
      <c r="T921" s="646">
        <v>45975</v>
      </c>
      <c r="U921" s="646"/>
      <c r="V921" s="646"/>
      <c r="W921" s="615"/>
      <c r="X921" s="642" t="s">
        <v>8355</v>
      </c>
      <c r="Y921" s="642" t="s">
        <v>230</v>
      </c>
      <c r="Z921" s="642">
        <v>0.921</v>
      </c>
      <c r="AA921" s="647">
        <f t="shared" si="347"/>
        <v>3684</v>
      </c>
      <c r="AC921" s="658" t="s">
        <v>2522</v>
      </c>
      <c r="AD921" s="610" t="s">
        <v>6587</v>
      </c>
      <c r="AE921" s="246" t="s">
        <v>82</v>
      </c>
      <c r="AF921" s="246"/>
      <c r="AG921" s="246"/>
      <c r="AH921" s="246" t="s">
        <v>2629</v>
      </c>
      <c r="AI921" s="246">
        <v>4000</v>
      </c>
      <c r="AJ921" s="246">
        <f t="shared" si="351"/>
        <v>0</v>
      </c>
      <c r="AK921" s="246"/>
      <c r="AL921" s="246"/>
      <c r="AM921" s="246"/>
      <c r="AN921" s="246"/>
      <c r="AO921" s="551">
        <f>I921</f>
        <v>4000</v>
      </c>
      <c r="AP921" s="551"/>
      <c r="AQ921" s="551"/>
      <c r="AR921" s="650"/>
      <c r="AS921" s="551"/>
      <c r="AT921" s="554">
        <f>I921</f>
        <v>4000</v>
      </c>
      <c r="AU921" s="551"/>
      <c r="AV921" s="554">
        <f>I921</f>
        <v>4000</v>
      </c>
      <c r="AW921" s="650"/>
      <c r="AX921" s="551"/>
      <c r="AY921" s="551"/>
      <c r="AZ921" s="551"/>
      <c r="BA921" s="551"/>
      <c r="BB921" s="620">
        <f>I921/24</f>
        <v>166.666666666667</v>
      </c>
      <c r="BC921" s="651"/>
      <c r="BD921" s="551"/>
      <c r="BE921" s="551"/>
      <c r="BF921" s="551"/>
      <c r="BH921" s="551"/>
      <c r="BI921" s="551"/>
      <c r="BJ921" s="551"/>
      <c r="BK921" s="551"/>
      <c r="BL921" s="551"/>
      <c r="BM921" s="551"/>
      <c r="BN921" s="551"/>
      <c r="BO921" s="551"/>
      <c r="BP921" s="551"/>
      <c r="BQ921" s="551"/>
      <c r="BR921" s="551"/>
      <c r="BS921" s="551"/>
      <c r="BT921" s="551"/>
      <c r="BU921" s="551"/>
      <c r="BV921" s="551"/>
      <c r="BW921" s="551"/>
      <c r="BX921" s="551">
        <f>I921/25</f>
        <v>160</v>
      </c>
      <c r="BY921" s="650"/>
      <c r="BZ921" s="551"/>
      <c r="CA921" s="652"/>
      <c r="CB921" s="567"/>
      <c r="CC921" s="653"/>
      <c r="CD921" s="650"/>
      <c r="CE921" s="650"/>
      <c r="CF921" s="551"/>
      <c r="CG921" s="551"/>
      <c r="CI921" s="551"/>
      <c r="CJ921" s="551"/>
      <c r="CK921" s="551"/>
      <c r="CL921" s="551"/>
      <c r="CM921" s="551"/>
      <c r="CN921" s="551"/>
      <c r="CO921" s="551"/>
      <c r="CP921" s="551"/>
      <c r="CQ921" s="551"/>
      <c r="CR921" s="551"/>
      <c r="CS921" s="551"/>
      <c r="CT921" s="551"/>
      <c r="CU921" s="554">
        <f t="shared" si="346"/>
        <v>160</v>
      </c>
      <c r="CV921" s="663">
        <f t="shared" si="349"/>
        <v>0</v>
      </c>
      <c r="CW921" s="663">
        <f t="shared" si="350"/>
        <v>0</v>
      </c>
      <c r="CX921" s="650"/>
      <c r="CY921" s="650"/>
      <c r="CZ921" s="650"/>
      <c r="DA921" s="548"/>
      <c r="DB921" s="548"/>
      <c r="DC921" s="548"/>
      <c r="DD921" s="650"/>
      <c r="DE921" s="650"/>
      <c r="DF921" s="650"/>
      <c r="DG921" s="650"/>
      <c r="DH921" s="650"/>
    </row>
    <row r="922" s="548" customFormat="1" ht="31" customHeight="1" spans="1:112">
      <c r="A922" s="641">
        <v>45968</v>
      </c>
      <c r="B922" s="642" t="s">
        <v>8283</v>
      </c>
      <c r="C922" s="246" t="s">
        <v>98</v>
      </c>
      <c r="D922" s="551" t="s">
        <v>8284</v>
      </c>
      <c r="E922" s="246"/>
      <c r="F922" s="551" t="s">
        <v>8356</v>
      </c>
      <c r="G922" s="246" t="s">
        <v>8286</v>
      </c>
      <c r="H922" s="246" t="s">
        <v>8287</v>
      </c>
      <c r="I922" s="246">
        <v>25032</v>
      </c>
      <c r="J922" s="246">
        <v>0</v>
      </c>
      <c r="K922" s="246">
        <v>24</v>
      </c>
      <c r="L922" s="644">
        <f t="shared" si="342"/>
        <v>1043</v>
      </c>
      <c r="M922" s="645">
        <v>46017</v>
      </c>
      <c r="N922" s="645">
        <v>46013</v>
      </c>
      <c r="O922" s="643"/>
      <c r="P922" s="643" t="s">
        <v>113</v>
      </c>
      <c r="Q922" s="246" t="s">
        <v>8357</v>
      </c>
      <c r="R922" s="646"/>
      <c r="S922" s="646"/>
      <c r="T922" s="646"/>
      <c r="U922" s="646"/>
      <c r="V922" s="646"/>
      <c r="W922" s="615"/>
      <c r="X922" s="642" t="s">
        <v>8289</v>
      </c>
      <c r="Y922" s="642" t="s">
        <v>819</v>
      </c>
      <c r="Z922" s="642">
        <v>0.8469</v>
      </c>
      <c r="AA922" s="647">
        <f t="shared" si="347"/>
        <v>21199.6008</v>
      </c>
      <c r="AC922" s="698" t="s">
        <v>8290</v>
      </c>
      <c r="AD922" s="610" t="s">
        <v>6020</v>
      </c>
      <c r="AE922" s="662" t="s">
        <v>82</v>
      </c>
      <c r="AF922" s="246"/>
      <c r="AG922" s="693"/>
      <c r="AH922" s="693"/>
      <c r="AI922" s="246">
        <v>25032</v>
      </c>
      <c r="AJ922" s="246">
        <f t="shared" si="351"/>
        <v>0</v>
      </c>
      <c r="AK922" s="246"/>
      <c r="AL922" s="246" t="s">
        <v>2368</v>
      </c>
      <c r="AM922" s="246"/>
      <c r="AN922" s="246">
        <f>I922</f>
        <v>25032</v>
      </c>
      <c r="AO922" s="551"/>
      <c r="AP922" s="554">
        <f>I922</f>
        <v>25032</v>
      </c>
      <c r="AQ922" s="551"/>
      <c r="AR922" s="650"/>
      <c r="AS922" s="551"/>
      <c r="AT922" s="551"/>
      <c r="AU922" s="554">
        <f>I922</f>
        <v>25032</v>
      </c>
      <c r="AV922" s="551"/>
      <c r="AW922" s="650"/>
      <c r="AX922" s="551"/>
      <c r="AY922" s="551"/>
      <c r="AZ922" s="551"/>
      <c r="BA922" s="551"/>
      <c r="BB922" s="249">
        <f>I922/24*2</f>
        <v>2086</v>
      </c>
      <c r="BC922" s="651"/>
      <c r="BD922" s="551"/>
      <c r="BE922" s="551"/>
      <c r="BF922" s="551"/>
      <c r="BH922" s="551"/>
      <c r="BI922" s="551"/>
      <c r="BJ922" s="551"/>
      <c r="BK922" s="551"/>
      <c r="BL922" s="551"/>
      <c r="BM922" s="551"/>
      <c r="BN922" s="551"/>
      <c r="BO922" s="551"/>
      <c r="BP922" s="551"/>
      <c r="BQ922" s="551"/>
      <c r="BR922" s="551"/>
      <c r="BS922" s="551"/>
      <c r="BT922" s="551"/>
      <c r="BU922" s="551"/>
      <c r="BV922" s="551"/>
      <c r="BW922" s="551"/>
      <c r="BX922" s="551"/>
      <c r="BY922" s="650"/>
      <c r="BZ922" s="551"/>
      <c r="CA922" s="652"/>
      <c r="CB922" s="567"/>
      <c r="CC922" s="653"/>
      <c r="CD922" s="650"/>
      <c r="CE922" s="650"/>
      <c r="CF922" s="551"/>
      <c r="CG922" s="551"/>
      <c r="CI922" s="551"/>
      <c r="CJ922" s="551"/>
      <c r="CK922" s="551"/>
      <c r="CL922" s="551"/>
      <c r="CM922" s="551"/>
      <c r="CN922" s="551"/>
      <c r="CO922" s="551"/>
      <c r="CP922" s="551"/>
      <c r="CQ922" s="551"/>
      <c r="CR922" s="551"/>
      <c r="CS922" s="551"/>
      <c r="CT922" s="551"/>
      <c r="CU922" s="554">
        <f t="shared" si="346"/>
        <v>0</v>
      </c>
      <c r="CV922" s="663">
        <f t="shared" si="349"/>
        <v>0</v>
      </c>
      <c r="CW922" s="663">
        <f t="shared" si="350"/>
        <v>0</v>
      </c>
      <c r="CX922" s="650"/>
      <c r="CY922" s="650"/>
      <c r="CZ922" s="650"/>
      <c r="DA922" s="548"/>
      <c r="DB922" s="548"/>
      <c r="DC922" s="548"/>
      <c r="DD922" s="650"/>
      <c r="DE922" s="650"/>
      <c r="DF922" s="650"/>
      <c r="DG922" s="650"/>
      <c r="DH922" s="650"/>
    </row>
    <row r="923" s="548" customFormat="1" ht="31" customHeight="1" spans="1:112">
      <c r="A923" s="641">
        <v>45951</v>
      </c>
      <c r="B923" s="642" t="s">
        <v>2550</v>
      </c>
      <c r="C923" s="246" t="s">
        <v>98</v>
      </c>
      <c r="D923" s="551">
        <v>4500182502</v>
      </c>
      <c r="E923" s="246">
        <v>116986319</v>
      </c>
      <c r="F923" s="551" t="s">
        <v>2551</v>
      </c>
      <c r="G923" s="246" t="s">
        <v>8358</v>
      </c>
      <c r="H923" s="246" t="s">
        <v>2703</v>
      </c>
      <c r="I923" s="246">
        <v>9464</v>
      </c>
      <c r="J923" s="246">
        <v>0</v>
      </c>
      <c r="K923" s="246">
        <v>8</v>
      </c>
      <c r="L923" s="644">
        <f t="shared" si="342"/>
        <v>1183</v>
      </c>
      <c r="M923" s="645">
        <v>46017</v>
      </c>
      <c r="N923" s="645">
        <v>46013</v>
      </c>
      <c r="O923" s="643" t="s">
        <v>8359</v>
      </c>
      <c r="P923" s="643" t="s">
        <v>113</v>
      </c>
      <c r="Q923" s="246"/>
      <c r="R923" s="646">
        <v>45957</v>
      </c>
      <c r="S923" s="646" t="s">
        <v>70</v>
      </c>
      <c r="T923" s="646" t="s">
        <v>70</v>
      </c>
      <c r="U923" s="646"/>
      <c r="V923" s="646"/>
      <c r="W923" s="615"/>
      <c r="X923" s="642" t="s">
        <v>2553</v>
      </c>
      <c r="Y923" s="642" t="s">
        <v>2554</v>
      </c>
      <c r="Z923" s="655">
        <v>4.14</v>
      </c>
      <c r="AA923" s="647">
        <f t="shared" si="347"/>
        <v>39180.96</v>
      </c>
      <c r="AC923" s="658" t="s">
        <v>2555</v>
      </c>
      <c r="AD923" s="246" t="s">
        <v>2556</v>
      </c>
      <c r="AE923" s="246" t="s">
        <v>82</v>
      </c>
      <c r="AF923" s="246"/>
      <c r="AG923" s="642"/>
      <c r="AH923" s="642">
        <v>1</v>
      </c>
      <c r="AI923" s="246">
        <v>9464</v>
      </c>
      <c r="AJ923" s="246">
        <f t="shared" si="351"/>
        <v>0</v>
      </c>
      <c r="AK923" s="246"/>
      <c r="AL923" s="246"/>
      <c r="AM923" s="246"/>
      <c r="AN923" s="610">
        <f>I923*2</f>
        <v>18928</v>
      </c>
      <c r="AO923" s="551"/>
      <c r="AP923" s="554">
        <f>I923*2</f>
        <v>18928</v>
      </c>
      <c r="AQ923" s="551"/>
      <c r="AR923" s="650"/>
      <c r="AS923" s="551"/>
      <c r="AT923" s="551"/>
      <c r="AU923" s="554">
        <f>I923*2</f>
        <v>18928</v>
      </c>
      <c r="AV923" s="551"/>
      <c r="AW923" s="650"/>
      <c r="AX923" s="551"/>
      <c r="AY923" s="551"/>
      <c r="AZ923" s="551"/>
      <c r="BA923" s="551"/>
      <c r="BB923" s="249"/>
      <c r="BC923" s="651"/>
      <c r="BD923" s="551"/>
      <c r="BE923" s="551"/>
      <c r="BF923" s="551"/>
      <c r="BH923" s="551"/>
      <c r="BI923" s="551"/>
      <c r="BJ923" s="551"/>
      <c r="BK923" s="551"/>
      <c r="BL923" s="551"/>
      <c r="BM923" s="551"/>
      <c r="BN923" s="551"/>
      <c r="BO923" s="551"/>
      <c r="BP923" s="551"/>
      <c r="BQ923" s="551"/>
      <c r="BR923" s="551"/>
      <c r="BS923" s="551"/>
      <c r="BT923" s="551"/>
      <c r="BU923" s="551"/>
      <c r="BV923" s="551"/>
      <c r="BW923" s="551"/>
      <c r="BX923" s="551"/>
      <c r="BY923" s="650">
        <f>I923</f>
        <v>9464</v>
      </c>
      <c r="BZ923" s="551"/>
      <c r="CA923" s="652"/>
      <c r="CB923" s="567"/>
      <c r="CC923" s="653"/>
      <c r="CD923" s="650"/>
      <c r="CE923" s="650"/>
      <c r="CF923" s="551"/>
      <c r="CG923" s="551"/>
      <c r="CI923" s="551"/>
      <c r="CJ923" s="551"/>
      <c r="CK923" s="551"/>
      <c r="CL923" s="551"/>
      <c r="CM923" s="551"/>
      <c r="CN923" s="551"/>
      <c r="CO923" s="551"/>
      <c r="CP923" s="551"/>
      <c r="CQ923" s="551"/>
      <c r="CR923" s="551"/>
      <c r="CS923" s="551"/>
      <c r="CT923" s="551"/>
      <c r="CU923" s="554">
        <f t="shared" si="346"/>
        <v>0</v>
      </c>
      <c r="CV923" s="551">
        <f t="shared" si="349"/>
        <v>0</v>
      </c>
      <c r="CW923" s="551">
        <f t="shared" si="350"/>
        <v>0</v>
      </c>
      <c r="CX923" s="650"/>
      <c r="CY923" s="650"/>
      <c r="CZ923" s="650"/>
      <c r="DA923" s="548"/>
      <c r="DB923" s="548"/>
      <c r="DC923" s="548"/>
      <c r="DD923" s="650"/>
      <c r="DE923" s="650"/>
      <c r="DF923" s="650"/>
      <c r="DG923" s="650"/>
      <c r="DH923" s="650"/>
    </row>
    <row r="924" s="548" customFormat="1" ht="31" customHeight="1" spans="1:112">
      <c r="A924" s="641">
        <v>45978</v>
      </c>
      <c r="B924" s="642" t="s">
        <v>8360</v>
      </c>
      <c r="C924" s="246" t="s">
        <v>98</v>
      </c>
      <c r="D924" s="551" t="s">
        <v>8361</v>
      </c>
      <c r="E924" s="246"/>
      <c r="F924" s="551"/>
      <c r="G924" s="246" t="s">
        <v>8286</v>
      </c>
      <c r="H924" s="246" t="s">
        <v>8287</v>
      </c>
      <c r="I924" s="246">
        <v>300</v>
      </c>
      <c r="J924" s="246">
        <v>0</v>
      </c>
      <c r="K924" s="246">
        <v>24</v>
      </c>
      <c r="L924" s="644">
        <f t="shared" si="342"/>
        <v>12.5</v>
      </c>
      <c r="M924" s="645">
        <v>46017</v>
      </c>
      <c r="N924" s="645">
        <v>46013</v>
      </c>
      <c r="O924" s="643"/>
      <c r="P924" s="643" t="s">
        <v>113</v>
      </c>
      <c r="Q924" s="246"/>
      <c r="R924" s="646"/>
      <c r="S924" s="646"/>
      <c r="T924" s="646"/>
      <c r="U924" s="646"/>
      <c r="V924" s="646" t="s">
        <v>8362</v>
      </c>
      <c r="W924" s="615"/>
      <c r="X924" s="642" t="s">
        <v>8363</v>
      </c>
      <c r="Y924" s="642" t="s">
        <v>8364</v>
      </c>
      <c r="Z924" s="655">
        <v>0.8677</v>
      </c>
      <c r="AA924" s="647">
        <f t="shared" si="347"/>
        <v>260.31</v>
      </c>
      <c r="AC924" s="658" t="s">
        <v>8365</v>
      </c>
      <c r="AD924" s="610" t="s">
        <v>6020</v>
      </c>
      <c r="AE924" s="662" t="s">
        <v>82</v>
      </c>
      <c r="AF924" s="246"/>
      <c r="AG924" s="642"/>
      <c r="AH924" s="642"/>
      <c r="AI924" s="246">
        <v>300</v>
      </c>
      <c r="AJ924" s="246">
        <f t="shared" si="351"/>
        <v>0</v>
      </c>
      <c r="AK924" s="246"/>
      <c r="AL924" s="246"/>
      <c r="AM924" s="246"/>
      <c r="AN924" s="246">
        <f>I924*2</f>
        <v>600</v>
      </c>
      <c r="AO924" s="551"/>
      <c r="AP924" s="554">
        <f>I924</f>
        <v>300</v>
      </c>
      <c r="AQ924" s="551"/>
      <c r="AR924" s="650"/>
      <c r="AS924" s="551"/>
      <c r="AT924" s="551"/>
      <c r="AU924" s="554">
        <f>I924</f>
        <v>300</v>
      </c>
      <c r="AV924" s="551"/>
      <c r="AW924" s="650"/>
      <c r="AX924" s="551"/>
      <c r="AY924" s="551"/>
      <c r="AZ924" s="551"/>
      <c r="BA924" s="551"/>
      <c r="BB924" s="249">
        <f>I924/24*2</f>
        <v>25</v>
      </c>
      <c r="BC924" s="651"/>
      <c r="BD924" s="551"/>
      <c r="BE924" s="551"/>
      <c r="BF924" s="551"/>
      <c r="BH924" s="551"/>
      <c r="BI924" s="551"/>
      <c r="BJ924" s="551"/>
      <c r="BK924" s="551"/>
      <c r="BL924" s="551"/>
      <c r="BM924" s="551"/>
      <c r="BN924" s="551"/>
      <c r="BO924" s="551"/>
      <c r="BP924" s="551"/>
      <c r="BQ924" s="551"/>
      <c r="BR924" s="551"/>
      <c r="BS924" s="551"/>
      <c r="BT924" s="551"/>
      <c r="BU924" s="551"/>
      <c r="BV924" s="551"/>
      <c r="BW924" s="551"/>
      <c r="BX924" s="551"/>
      <c r="BY924" s="650"/>
      <c r="BZ924" s="551"/>
      <c r="CA924" s="652"/>
      <c r="CB924" s="567"/>
      <c r="CC924" s="653"/>
      <c r="CD924" s="650"/>
      <c r="CE924" s="650"/>
      <c r="CF924" s="551"/>
      <c r="CG924" s="551"/>
      <c r="CI924" s="551"/>
      <c r="CJ924" s="551"/>
      <c r="CK924" s="551"/>
      <c r="CL924" s="551"/>
      <c r="CM924" s="551"/>
      <c r="CN924" s="551"/>
      <c r="CO924" s="551"/>
      <c r="CP924" s="551"/>
      <c r="CQ924" s="551"/>
      <c r="CR924" s="551"/>
      <c r="CS924" s="551"/>
      <c r="CT924" s="551"/>
      <c r="CU924" s="554">
        <f t="shared" si="346"/>
        <v>0</v>
      </c>
      <c r="CV924" s="663">
        <f t="shared" si="349"/>
        <v>0</v>
      </c>
      <c r="CW924" s="663">
        <f t="shared" si="350"/>
        <v>0</v>
      </c>
      <c r="CX924" s="650"/>
      <c r="CY924" s="650"/>
      <c r="CZ924" s="650"/>
      <c r="DA924" s="548"/>
      <c r="DB924" s="548"/>
      <c r="DC924" s="548"/>
      <c r="DD924" s="650"/>
      <c r="DE924" s="650"/>
      <c r="DF924" s="650"/>
      <c r="DG924" s="650"/>
      <c r="DH924" s="650"/>
    </row>
    <row r="925" s="548" customFormat="1" ht="31" customHeight="1" spans="1:112">
      <c r="A925" s="641">
        <v>46002</v>
      </c>
      <c r="B925" s="642"/>
      <c r="C925" s="246"/>
      <c r="D925" s="551" t="s">
        <v>2557</v>
      </c>
      <c r="E925" s="246"/>
      <c r="F925" s="551" t="s">
        <v>8366</v>
      </c>
      <c r="G925" s="246" t="s">
        <v>6276</v>
      </c>
      <c r="H925" s="246" t="s">
        <v>8367</v>
      </c>
      <c r="I925" s="246">
        <v>156</v>
      </c>
      <c r="J925" s="246">
        <v>0</v>
      </c>
      <c r="K925" s="246">
        <v>50</v>
      </c>
      <c r="L925" s="644">
        <f t="shared" si="342"/>
        <v>3.12</v>
      </c>
      <c r="M925" s="645">
        <v>46017</v>
      </c>
      <c r="N925" s="645">
        <v>46013</v>
      </c>
      <c r="O925" s="643"/>
      <c r="P925" s="643"/>
      <c r="Q925" s="246"/>
      <c r="R925" s="646"/>
      <c r="S925" s="646"/>
      <c r="T925" s="646"/>
      <c r="U925" s="646"/>
      <c r="V925" s="646"/>
      <c r="W925" s="615"/>
      <c r="X925" s="642" t="s">
        <v>8368</v>
      </c>
      <c r="Y925" s="642"/>
      <c r="Z925" s="655"/>
      <c r="AA925" s="647"/>
      <c r="AC925" s="648"/>
      <c r="AD925" s="246" t="s">
        <v>6276</v>
      </c>
      <c r="AE925" s="246" t="s">
        <v>82</v>
      </c>
      <c r="AF925" s="246"/>
      <c r="AG925" s="642"/>
      <c r="AH925" s="642"/>
      <c r="AI925" s="246">
        <v>156</v>
      </c>
      <c r="AJ925" s="246">
        <f t="shared" si="351"/>
        <v>0</v>
      </c>
      <c r="AK925" s="246"/>
      <c r="AL925" s="246"/>
      <c r="AM925" s="246"/>
      <c r="AN925" s="246"/>
      <c r="AO925" s="551">
        <f t="shared" ref="AO925:AO931" si="352">I925</f>
        <v>156</v>
      </c>
      <c r="AP925" s="551"/>
      <c r="AQ925" s="551"/>
      <c r="AR925" s="650"/>
      <c r="AS925" s="551"/>
      <c r="AT925" s="551"/>
      <c r="AU925" s="551"/>
      <c r="AV925" s="551"/>
      <c r="AW925" s="650"/>
      <c r="AX925" s="551"/>
      <c r="AY925" s="551"/>
      <c r="AZ925" s="551"/>
      <c r="BA925" s="551"/>
      <c r="BB925" s="249">
        <f>I925/24*2</f>
        <v>13</v>
      </c>
      <c r="BC925" s="651"/>
      <c r="BD925" s="551"/>
      <c r="BE925" s="551"/>
      <c r="BF925" s="551"/>
      <c r="BH925" s="551"/>
      <c r="BI925" s="551"/>
      <c r="BJ925" s="551"/>
      <c r="BK925" s="551"/>
      <c r="BL925" s="551"/>
      <c r="BM925" s="551"/>
      <c r="BN925" s="551"/>
      <c r="BO925" s="551"/>
      <c r="BP925" s="551"/>
      <c r="BQ925" s="551"/>
      <c r="BR925" s="551"/>
      <c r="BS925" s="551"/>
      <c r="BT925" s="551"/>
      <c r="BU925" s="551"/>
      <c r="BV925" s="551">
        <f>I925</f>
        <v>156</v>
      </c>
      <c r="BW925" s="551">
        <f>I925</f>
        <v>156</v>
      </c>
      <c r="BX925" s="551">
        <f>I925/25</f>
        <v>6.24</v>
      </c>
      <c r="BY925" s="650"/>
      <c r="BZ925" s="551"/>
      <c r="CA925" s="652"/>
      <c r="CB925" s="567"/>
      <c r="CC925" s="653"/>
      <c r="CD925" s="650"/>
      <c r="CE925" s="650"/>
      <c r="CF925" s="551"/>
      <c r="CG925" s="551"/>
      <c r="CI925" s="551"/>
      <c r="CJ925" s="551"/>
      <c r="CK925" s="551"/>
      <c r="CL925" s="551"/>
      <c r="CM925" s="551"/>
      <c r="CN925" s="551"/>
      <c r="CO925" s="551"/>
      <c r="CP925" s="551"/>
      <c r="CQ925" s="551"/>
      <c r="CR925" s="551"/>
      <c r="CS925" s="551"/>
      <c r="CT925" s="551"/>
      <c r="CU925" s="554">
        <f t="shared" si="346"/>
        <v>6.24</v>
      </c>
      <c r="CV925" s="663">
        <f t="shared" si="349"/>
        <v>0</v>
      </c>
      <c r="CW925" s="663">
        <f t="shared" si="350"/>
        <v>0</v>
      </c>
      <c r="CX925" s="650"/>
      <c r="CY925" s="650"/>
      <c r="CZ925" s="650"/>
      <c r="DA925" s="551"/>
      <c r="DB925" s="551"/>
      <c r="DC925" s="551"/>
      <c r="DD925" s="650"/>
      <c r="DE925" s="650"/>
      <c r="DF925" s="650"/>
      <c r="DG925" s="650"/>
      <c r="DH925" s="650"/>
    </row>
    <row r="926" s="548" customFormat="1" ht="31" customHeight="1" spans="1:112">
      <c r="A926" s="641">
        <v>46002</v>
      </c>
      <c r="B926" s="642"/>
      <c r="C926" s="246"/>
      <c r="D926" s="551" t="s">
        <v>2557</v>
      </c>
      <c r="E926" s="246"/>
      <c r="F926" s="551" t="s">
        <v>8369</v>
      </c>
      <c r="G926" s="246" t="s">
        <v>6276</v>
      </c>
      <c r="H926" s="246" t="s">
        <v>6277</v>
      </c>
      <c r="I926" s="246" t="s">
        <v>8370</v>
      </c>
      <c r="J926" s="246">
        <v>0</v>
      </c>
      <c r="K926" s="246">
        <v>50</v>
      </c>
      <c r="L926" s="644">
        <v>2</v>
      </c>
      <c r="M926" s="645">
        <v>46017</v>
      </c>
      <c r="N926" s="645">
        <v>46013</v>
      </c>
      <c r="O926" s="643"/>
      <c r="P926" s="643"/>
      <c r="Q926" s="246"/>
      <c r="R926" s="646"/>
      <c r="S926" s="646"/>
      <c r="T926" s="646"/>
      <c r="U926" s="646"/>
      <c r="V926" s="646"/>
      <c r="W926" s="615"/>
      <c r="X926" s="642" t="s">
        <v>8371</v>
      </c>
      <c r="Y926" s="642"/>
      <c r="Z926" s="655"/>
      <c r="AA926" s="647"/>
      <c r="AC926" s="648"/>
      <c r="AD926" s="246" t="s">
        <v>6276</v>
      </c>
      <c r="AE926" s="246" t="s">
        <v>8372</v>
      </c>
      <c r="AF926" s="246"/>
      <c r="AG926" s="642"/>
      <c r="AH926" s="642"/>
      <c r="AI926" s="246">
        <v>78</v>
      </c>
      <c r="AJ926" s="246"/>
      <c r="AK926" s="246"/>
      <c r="AL926" s="246"/>
      <c r="AM926" s="246"/>
      <c r="AN926" s="246"/>
      <c r="AO926" s="551" t="str">
        <f t="shared" si="352"/>
        <v>78套散件</v>
      </c>
      <c r="AP926" s="551"/>
      <c r="AQ926" s="551"/>
      <c r="AR926" s="650"/>
      <c r="AS926" s="551"/>
      <c r="AT926" s="551"/>
      <c r="AU926" s="551"/>
      <c r="AV926" s="551"/>
      <c r="AW926" s="650"/>
      <c r="AX926" s="551"/>
      <c r="AY926" s="551"/>
      <c r="AZ926" s="551"/>
      <c r="BA926" s="551"/>
      <c r="BB926" s="249"/>
      <c r="BC926" s="651"/>
      <c r="BD926" s="551"/>
      <c r="BE926" s="551"/>
      <c r="BF926" s="551"/>
      <c r="BH926" s="551"/>
      <c r="BI926" s="551"/>
      <c r="BJ926" s="551"/>
      <c r="BK926" s="551"/>
      <c r="BL926" s="551"/>
      <c r="BM926" s="551"/>
      <c r="BN926" s="551"/>
      <c r="BO926" s="551"/>
      <c r="BP926" s="551"/>
      <c r="BQ926" s="551"/>
      <c r="BR926" s="551"/>
      <c r="BS926" s="551"/>
      <c r="BT926" s="551"/>
      <c r="BU926" s="551"/>
      <c r="BV926" s="551"/>
      <c r="BW926" s="551"/>
      <c r="BX926" s="551"/>
      <c r="BY926" s="650"/>
      <c r="BZ926" s="551"/>
      <c r="CA926" s="652"/>
      <c r="CB926" s="567"/>
      <c r="CC926" s="653"/>
      <c r="CD926" s="650"/>
      <c r="CE926" s="650"/>
      <c r="CF926" s="551"/>
      <c r="CG926" s="551"/>
      <c r="CI926" s="551"/>
      <c r="CJ926" s="551"/>
      <c r="CK926" s="551"/>
      <c r="CL926" s="551"/>
      <c r="CM926" s="551"/>
      <c r="CN926" s="551"/>
      <c r="CO926" s="551"/>
      <c r="CP926" s="551"/>
      <c r="CQ926" s="551"/>
      <c r="CR926" s="551"/>
      <c r="CS926" s="551"/>
      <c r="CT926" s="551"/>
      <c r="CU926" s="554">
        <f t="shared" si="346"/>
        <v>0</v>
      </c>
      <c r="CV926" s="551">
        <f t="shared" si="349"/>
        <v>0</v>
      </c>
      <c r="CW926" s="551">
        <f t="shared" si="350"/>
        <v>0</v>
      </c>
      <c r="CX926" s="650"/>
      <c r="CY926" s="650"/>
      <c r="CZ926" s="650"/>
      <c r="DA926" s="551"/>
      <c r="DB926" s="551"/>
      <c r="DC926" s="551"/>
      <c r="DD926" s="650"/>
      <c r="DE926" s="650"/>
      <c r="DF926" s="650"/>
      <c r="DG926" s="650"/>
      <c r="DH926" s="650"/>
    </row>
    <row r="927" s="548" customFormat="1" ht="31" customHeight="1" spans="1:112">
      <c r="A927" s="641">
        <v>45964</v>
      </c>
      <c r="B927" s="642" t="s">
        <v>448</v>
      </c>
      <c r="C927" s="246" t="s">
        <v>399</v>
      </c>
      <c r="D927" s="551">
        <v>4500184256</v>
      </c>
      <c r="E927" s="246"/>
      <c r="F927" s="551" t="s">
        <v>8373</v>
      </c>
      <c r="G927" s="246" t="s">
        <v>6047</v>
      </c>
      <c r="H927" s="246" t="s">
        <v>6069</v>
      </c>
      <c r="I927" s="246">
        <v>4000</v>
      </c>
      <c r="J927" s="246">
        <v>0</v>
      </c>
      <c r="K927" s="246">
        <v>25</v>
      </c>
      <c r="L927" s="644">
        <f t="shared" ref="L927:L932" si="353">I927/K927</f>
        <v>160</v>
      </c>
      <c r="M927" s="645">
        <v>46021</v>
      </c>
      <c r="N927" s="645">
        <v>46017</v>
      </c>
      <c r="O927" s="643"/>
      <c r="P927" s="643" t="s">
        <v>113</v>
      </c>
      <c r="Q927" s="246"/>
      <c r="R927" s="646">
        <v>45978</v>
      </c>
      <c r="S927" s="646" t="s">
        <v>70</v>
      </c>
      <c r="T927" s="646" t="s">
        <v>8374</v>
      </c>
      <c r="U927" s="646"/>
      <c r="V927" s="646"/>
      <c r="W927" s="615"/>
      <c r="X927" s="642" t="s">
        <v>8375</v>
      </c>
      <c r="Y927" s="642" t="s">
        <v>445</v>
      </c>
      <c r="Z927" s="655">
        <v>0.9417</v>
      </c>
      <c r="AA927" s="647">
        <f>Z927*I927</f>
        <v>3766.8</v>
      </c>
      <c r="AC927" s="648" t="s">
        <v>8376</v>
      </c>
      <c r="AD927" s="246" t="s">
        <v>6047</v>
      </c>
      <c r="AE927" s="246" t="s">
        <v>82</v>
      </c>
      <c r="AF927" s="246"/>
      <c r="AG927" s="642"/>
      <c r="AH927" s="642">
        <v>1</v>
      </c>
      <c r="AI927" s="246">
        <f>1200+2800</f>
        <v>4000</v>
      </c>
      <c r="AJ927" s="246">
        <f t="shared" ref="AJ926:AJ938" si="354">AI927-I927</f>
        <v>0</v>
      </c>
      <c r="AK927" s="246"/>
      <c r="AL927" s="246" t="s">
        <v>2368</v>
      </c>
      <c r="AM927" s="246"/>
      <c r="AN927" s="246"/>
      <c r="AO927" s="551">
        <f t="shared" si="352"/>
        <v>4000</v>
      </c>
      <c r="AP927" s="551"/>
      <c r="AQ927" s="551"/>
      <c r="AR927" s="650"/>
      <c r="AS927" s="551"/>
      <c r="AT927" s="554">
        <f>I927</f>
        <v>4000</v>
      </c>
      <c r="AU927" s="551"/>
      <c r="AV927" s="554">
        <f>I927</f>
        <v>4000</v>
      </c>
      <c r="AW927" s="650"/>
      <c r="AX927" s="551"/>
      <c r="AY927" s="551"/>
      <c r="AZ927" s="551"/>
      <c r="BA927" s="551"/>
      <c r="BB927" s="620">
        <f>I927/24</f>
        <v>166.666666666667</v>
      </c>
      <c r="BC927" s="651"/>
      <c r="BD927" s="551"/>
      <c r="BE927" s="551"/>
      <c r="BF927" s="551"/>
      <c r="BH927" s="551"/>
      <c r="BI927" s="551"/>
      <c r="BJ927" s="551"/>
      <c r="BK927" s="551"/>
      <c r="BL927" s="551"/>
      <c r="BM927" s="551"/>
      <c r="BN927" s="551"/>
      <c r="BO927" s="551"/>
      <c r="BP927" s="551">
        <f>I927/25</f>
        <v>160</v>
      </c>
      <c r="BQ927" s="551"/>
      <c r="BR927" s="551"/>
      <c r="BS927" s="551"/>
      <c r="BT927" s="551"/>
      <c r="BU927" s="551"/>
      <c r="BV927" s="551"/>
      <c r="BW927" s="551"/>
      <c r="BX927" s="551"/>
      <c r="BY927" s="650"/>
      <c r="BZ927" s="551"/>
      <c r="CA927" s="652"/>
      <c r="CB927" s="567"/>
      <c r="CC927" s="653"/>
      <c r="CD927" s="650"/>
      <c r="CE927" s="650"/>
      <c r="CF927" s="551"/>
      <c r="CG927" s="551"/>
      <c r="CI927" s="551"/>
      <c r="CJ927" s="551"/>
      <c r="CK927" s="551"/>
      <c r="CL927" s="551"/>
      <c r="CM927" s="551"/>
      <c r="CN927" s="551"/>
      <c r="CO927" s="551"/>
      <c r="CP927" s="551"/>
      <c r="CQ927" s="551"/>
      <c r="CR927" s="551"/>
      <c r="CS927" s="551"/>
      <c r="CT927" s="551"/>
      <c r="CU927" s="554">
        <f t="shared" si="346"/>
        <v>160</v>
      </c>
      <c r="CV927" s="551">
        <f t="shared" ref="CV924:CV935" si="355">CK927+CL927+CM927+CN927+CO927+CQ927+CP927</f>
        <v>0</v>
      </c>
      <c r="CW927" s="551">
        <f t="shared" ref="CW924:CW935" si="356">CI927+CJ927</f>
        <v>0</v>
      </c>
      <c r="CX927" s="650"/>
      <c r="CY927" s="650"/>
      <c r="CZ927" s="650"/>
      <c r="DA927" s="548"/>
      <c r="DB927" s="548"/>
      <c r="DC927" s="548"/>
      <c r="DD927" s="650"/>
      <c r="DE927" s="650"/>
      <c r="DF927" s="650"/>
      <c r="DG927" s="650"/>
      <c r="DH927" s="650"/>
    </row>
    <row r="928" s="548" customFormat="1" ht="31" customHeight="1" spans="1:112">
      <c r="A928" s="641">
        <v>45964</v>
      </c>
      <c r="B928" s="642" t="s">
        <v>448</v>
      </c>
      <c r="C928" s="246" t="s">
        <v>399</v>
      </c>
      <c r="D928" s="551">
        <v>4500184256</v>
      </c>
      <c r="E928" s="246"/>
      <c r="F928" s="551" t="s">
        <v>8377</v>
      </c>
      <c r="G928" s="246" t="s">
        <v>6223</v>
      </c>
      <c r="H928" s="246" t="s">
        <v>6080</v>
      </c>
      <c r="I928" s="246">
        <v>900</v>
      </c>
      <c r="J928" s="246">
        <v>0</v>
      </c>
      <c r="K928" s="246">
        <v>30</v>
      </c>
      <c r="L928" s="644">
        <f t="shared" si="353"/>
        <v>30</v>
      </c>
      <c r="M928" s="645">
        <v>46021</v>
      </c>
      <c r="N928" s="645">
        <v>46017</v>
      </c>
      <c r="O928" s="643"/>
      <c r="P928" s="643" t="s">
        <v>113</v>
      </c>
      <c r="Q928" s="246"/>
      <c r="R928" s="646">
        <v>45978</v>
      </c>
      <c r="S928" s="646" t="s">
        <v>70</v>
      </c>
      <c r="T928" s="646" t="s">
        <v>8378</v>
      </c>
      <c r="U928" s="646"/>
      <c r="V928" s="646"/>
      <c r="W928" s="615"/>
      <c r="X928" s="642" t="s">
        <v>8379</v>
      </c>
      <c r="Y928" s="642" t="s">
        <v>445</v>
      </c>
      <c r="Z928" s="655">
        <v>41.6355</v>
      </c>
      <c r="AA928" s="647">
        <f>Z928*L928</f>
        <v>1249.065</v>
      </c>
      <c r="AC928" s="648" t="s">
        <v>8376</v>
      </c>
      <c r="AD928" s="246" t="s">
        <v>6223</v>
      </c>
      <c r="AE928" s="246" t="s">
        <v>82</v>
      </c>
      <c r="AF928" s="246"/>
      <c r="AG928" s="642"/>
      <c r="AH928" s="642">
        <v>1</v>
      </c>
      <c r="AI928" s="246">
        <v>900</v>
      </c>
      <c r="AJ928" s="246">
        <f t="shared" si="354"/>
        <v>0</v>
      </c>
      <c r="AK928" s="246"/>
      <c r="AL928" s="246" t="s">
        <v>2368</v>
      </c>
      <c r="AM928" s="246"/>
      <c r="AN928" s="246"/>
      <c r="AO928" s="551">
        <f t="shared" si="352"/>
        <v>900</v>
      </c>
      <c r="AP928" s="551"/>
      <c r="AQ928" s="551"/>
      <c r="AR928" s="650"/>
      <c r="AS928" s="551"/>
      <c r="AT928" s="554">
        <f>I928</f>
        <v>900</v>
      </c>
      <c r="AU928" s="551"/>
      <c r="AV928" s="554">
        <f>I928</f>
        <v>900</v>
      </c>
      <c r="AW928" s="650"/>
      <c r="AX928" s="551"/>
      <c r="AY928" s="551"/>
      <c r="AZ928" s="551"/>
      <c r="BA928" s="551"/>
      <c r="BB928" s="620">
        <f>I928/24</f>
        <v>37.5</v>
      </c>
      <c r="BC928" s="651"/>
      <c r="BD928" s="551"/>
      <c r="BE928" s="551"/>
      <c r="BF928" s="551"/>
      <c r="BH928" s="551"/>
      <c r="BI928" s="551"/>
      <c r="BJ928" s="551"/>
      <c r="BK928" s="551"/>
      <c r="BL928" s="551"/>
      <c r="BM928" s="551"/>
      <c r="BN928" s="551"/>
      <c r="BO928" s="551"/>
      <c r="BP928" s="551"/>
      <c r="BQ928" s="551"/>
      <c r="BR928" s="551"/>
      <c r="BS928" s="551"/>
      <c r="BT928" s="551"/>
      <c r="BU928" s="551"/>
      <c r="BV928" s="551"/>
      <c r="BW928" s="551"/>
      <c r="BX928" s="551"/>
      <c r="BY928" s="650"/>
      <c r="BZ928" s="551"/>
      <c r="CA928" s="652"/>
      <c r="CB928" s="567"/>
      <c r="CC928" s="653"/>
      <c r="CD928" s="650"/>
      <c r="CE928" s="650"/>
      <c r="CF928" s="551"/>
      <c r="CG928" s="551"/>
      <c r="CI928" s="551"/>
      <c r="CJ928" s="551"/>
      <c r="CK928" s="551"/>
      <c r="CL928" s="551"/>
      <c r="CM928" s="551"/>
      <c r="CN928" s="551"/>
      <c r="CO928" s="551"/>
      <c r="CP928" s="554">
        <f>I928/30</f>
        <v>30</v>
      </c>
      <c r="CQ928" s="551"/>
      <c r="CR928" s="551"/>
      <c r="CS928" s="551"/>
      <c r="CT928" s="551"/>
      <c r="CU928" s="554">
        <f t="shared" si="346"/>
        <v>0</v>
      </c>
      <c r="CV928" s="551">
        <f t="shared" si="355"/>
        <v>30</v>
      </c>
      <c r="CW928" s="551">
        <f t="shared" si="356"/>
        <v>0</v>
      </c>
      <c r="CX928" s="650"/>
      <c r="CY928" s="650"/>
      <c r="CZ928" s="650"/>
      <c r="DA928" s="548"/>
      <c r="DB928" s="548"/>
      <c r="DC928" s="548"/>
      <c r="DD928" s="650"/>
      <c r="DE928" s="650"/>
      <c r="DF928" s="650"/>
      <c r="DG928" s="650"/>
      <c r="DH928" s="650"/>
    </row>
    <row r="929" s="548" customFormat="1" ht="31" customHeight="1" spans="1:112">
      <c r="A929" s="641">
        <v>45964</v>
      </c>
      <c r="B929" s="642" t="s">
        <v>448</v>
      </c>
      <c r="C929" s="246" t="s">
        <v>399</v>
      </c>
      <c r="D929" s="551">
        <v>4500184204</v>
      </c>
      <c r="E929" s="246"/>
      <c r="F929" s="551" t="s">
        <v>8380</v>
      </c>
      <c r="G929" s="246" t="s">
        <v>6093</v>
      </c>
      <c r="H929" s="246" t="s">
        <v>6094</v>
      </c>
      <c r="I929" s="246">
        <v>3601</v>
      </c>
      <c r="J929" s="246">
        <v>0</v>
      </c>
      <c r="K929" s="246">
        <v>13</v>
      </c>
      <c r="L929" s="644">
        <f t="shared" si="353"/>
        <v>277</v>
      </c>
      <c r="M929" s="645">
        <v>46021</v>
      </c>
      <c r="N929" s="645">
        <v>46017</v>
      </c>
      <c r="O929" s="643"/>
      <c r="P929" s="643" t="s">
        <v>113</v>
      </c>
      <c r="Q929" s="246"/>
      <c r="R929" s="646">
        <v>45978</v>
      </c>
      <c r="S929" s="646" t="s">
        <v>70</v>
      </c>
      <c r="T929" s="646" t="s">
        <v>8381</v>
      </c>
      <c r="U929" s="646"/>
      <c r="V929" s="646"/>
      <c r="W929" s="615"/>
      <c r="X929" s="642" t="s">
        <v>8382</v>
      </c>
      <c r="Y929" s="642" t="s">
        <v>445</v>
      </c>
      <c r="Z929" s="642">
        <v>0.9116</v>
      </c>
      <c r="AA929" s="647">
        <f>Z929*I929</f>
        <v>3282.6716</v>
      </c>
      <c r="AC929" s="648" t="s">
        <v>2608</v>
      </c>
      <c r="AD929" s="246" t="s">
        <v>6093</v>
      </c>
      <c r="AE929" s="246" t="s">
        <v>82</v>
      </c>
      <c r="AF929" s="246"/>
      <c r="AG929" s="642"/>
      <c r="AH929" s="642">
        <v>1</v>
      </c>
      <c r="AI929" s="246">
        <v>3601</v>
      </c>
      <c r="AJ929" s="246">
        <f t="shared" si="354"/>
        <v>0</v>
      </c>
      <c r="AK929" s="246"/>
      <c r="AL929" s="246" t="s">
        <v>2368</v>
      </c>
      <c r="AM929" s="246"/>
      <c r="AN929" s="246"/>
      <c r="AO929" s="551">
        <f t="shared" si="352"/>
        <v>3601</v>
      </c>
      <c r="AP929" s="551"/>
      <c r="AQ929" s="551"/>
      <c r="AR929" s="650"/>
      <c r="AS929" s="551"/>
      <c r="AT929" s="554">
        <f>I929</f>
        <v>3601</v>
      </c>
      <c r="AU929" s="551"/>
      <c r="AV929" s="554">
        <f>I929</f>
        <v>3601</v>
      </c>
      <c r="AW929" s="650"/>
      <c r="AX929" s="551"/>
      <c r="AY929" s="551"/>
      <c r="AZ929" s="551"/>
      <c r="BA929" s="551"/>
      <c r="BB929" s="620">
        <f>I929/24</f>
        <v>150.041666666667</v>
      </c>
      <c r="BC929" s="651"/>
      <c r="BD929" s="551"/>
      <c r="BE929" s="551"/>
      <c r="BF929" s="551"/>
      <c r="BH929" s="551"/>
      <c r="BI929" s="551"/>
      <c r="BJ929" s="551"/>
      <c r="BK929" s="551"/>
      <c r="BL929" s="551"/>
      <c r="BM929" s="551">
        <f>I929/13</f>
        <v>277</v>
      </c>
      <c r="BN929" s="551"/>
      <c r="BO929" s="551"/>
      <c r="BP929" s="551"/>
      <c r="BQ929" s="551"/>
      <c r="BR929" s="551"/>
      <c r="BS929" s="551"/>
      <c r="BT929" s="551"/>
      <c r="BU929" s="551"/>
      <c r="BV929" s="551"/>
      <c r="BW929" s="551"/>
      <c r="BX929" s="551"/>
      <c r="BY929" s="650"/>
      <c r="BZ929" s="551"/>
      <c r="CA929" s="652"/>
      <c r="CB929" s="567"/>
      <c r="CC929" s="653"/>
      <c r="CD929" s="650"/>
      <c r="CE929" s="650"/>
      <c r="CF929" s="551"/>
      <c r="CG929" s="551"/>
      <c r="CI929" s="551"/>
      <c r="CJ929" s="551"/>
      <c r="CK929" s="551"/>
      <c r="CL929" s="551"/>
      <c r="CM929" s="551"/>
      <c r="CN929" s="551"/>
      <c r="CO929" s="551"/>
      <c r="CP929" s="551"/>
      <c r="CQ929" s="551"/>
      <c r="CR929" s="551"/>
      <c r="CS929" s="551"/>
      <c r="CT929" s="551"/>
      <c r="CU929" s="554">
        <f t="shared" si="346"/>
        <v>0</v>
      </c>
      <c r="CV929" s="551">
        <f t="shared" si="355"/>
        <v>0</v>
      </c>
      <c r="CW929" s="551">
        <f t="shared" si="356"/>
        <v>0</v>
      </c>
      <c r="CX929" s="650"/>
      <c r="CY929" s="650"/>
      <c r="CZ929" s="650"/>
      <c r="DA929" s="548"/>
      <c r="DB929" s="548"/>
      <c r="DC929" s="548"/>
      <c r="DD929" s="650"/>
      <c r="DE929" s="650"/>
      <c r="DF929" s="650"/>
      <c r="DG929" s="650"/>
      <c r="DH929" s="650"/>
    </row>
    <row r="930" s="548" customFormat="1" ht="31" customHeight="1" spans="1:112">
      <c r="A930" s="641">
        <v>45964</v>
      </c>
      <c r="B930" s="642" t="s">
        <v>448</v>
      </c>
      <c r="C930" s="246" t="s">
        <v>399</v>
      </c>
      <c r="D930" s="551">
        <v>4500184204</v>
      </c>
      <c r="E930" s="246"/>
      <c r="F930" s="551" t="s">
        <v>8383</v>
      </c>
      <c r="G930" s="246" t="s">
        <v>6223</v>
      </c>
      <c r="H930" s="246" t="s">
        <v>6080</v>
      </c>
      <c r="I930" s="246">
        <v>3600</v>
      </c>
      <c r="J930" s="246">
        <v>0</v>
      </c>
      <c r="K930" s="246">
        <v>30</v>
      </c>
      <c r="L930" s="644">
        <f t="shared" si="353"/>
        <v>120</v>
      </c>
      <c r="M930" s="645">
        <v>46021</v>
      </c>
      <c r="N930" s="645">
        <v>46017</v>
      </c>
      <c r="O930" s="643"/>
      <c r="P930" s="643" t="s">
        <v>113</v>
      </c>
      <c r="Q930" s="246"/>
      <c r="R930" s="646">
        <v>45978</v>
      </c>
      <c r="S930" s="646" t="s">
        <v>70</v>
      </c>
      <c r="T930" s="646" t="s">
        <v>8381</v>
      </c>
      <c r="U930" s="646"/>
      <c r="V930" s="646"/>
      <c r="W930" s="615"/>
      <c r="X930" s="642" t="s">
        <v>8384</v>
      </c>
      <c r="Y930" s="642" t="s">
        <v>445</v>
      </c>
      <c r="Z930" s="655">
        <v>41.4795</v>
      </c>
      <c r="AA930" s="647">
        <f>Z930*L930</f>
        <v>4977.54</v>
      </c>
      <c r="AC930" s="648" t="s">
        <v>2608</v>
      </c>
      <c r="AD930" s="246" t="s">
        <v>6223</v>
      </c>
      <c r="AE930" s="246" t="s">
        <v>82</v>
      </c>
      <c r="AF930" s="246"/>
      <c r="AG930" s="642"/>
      <c r="AH930" s="642">
        <v>1</v>
      </c>
      <c r="AI930" s="246">
        <f>1200+2400</f>
        <v>3600</v>
      </c>
      <c r="AJ930" s="246">
        <f t="shared" si="354"/>
        <v>0</v>
      </c>
      <c r="AK930" s="246"/>
      <c r="AL930" s="246" t="s">
        <v>2368</v>
      </c>
      <c r="AM930" s="246"/>
      <c r="AN930" s="246"/>
      <c r="AO930" s="551">
        <f t="shared" si="352"/>
        <v>3600</v>
      </c>
      <c r="AP930" s="551"/>
      <c r="AQ930" s="551"/>
      <c r="AR930" s="650"/>
      <c r="AS930" s="551"/>
      <c r="AT930" s="554">
        <f>I930</f>
        <v>3600</v>
      </c>
      <c r="AU930" s="551"/>
      <c r="AV930" s="554">
        <f>I930</f>
        <v>3600</v>
      </c>
      <c r="AW930" s="650"/>
      <c r="AX930" s="551"/>
      <c r="AY930" s="551"/>
      <c r="AZ930" s="551"/>
      <c r="BA930" s="551"/>
      <c r="BB930" s="620">
        <f>I930/24</f>
        <v>150</v>
      </c>
      <c r="BC930" s="651"/>
      <c r="BD930" s="551"/>
      <c r="BE930" s="551"/>
      <c r="BF930" s="551"/>
      <c r="BH930" s="551"/>
      <c r="BI930" s="551"/>
      <c r="BJ930" s="551"/>
      <c r="BK930" s="551"/>
      <c r="BL930" s="551"/>
      <c r="BM930" s="551"/>
      <c r="BN930" s="551"/>
      <c r="BO930" s="551"/>
      <c r="BP930" s="551"/>
      <c r="BQ930" s="551"/>
      <c r="BR930" s="551"/>
      <c r="BS930" s="551"/>
      <c r="BT930" s="551"/>
      <c r="BU930" s="551"/>
      <c r="BV930" s="551"/>
      <c r="BW930" s="551"/>
      <c r="BX930" s="551"/>
      <c r="BY930" s="650"/>
      <c r="BZ930" s="551"/>
      <c r="CA930" s="652"/>
      <c r="CB930" s="567"/>
      <c r="CC930" s="653"/>
      <c r="CD930" s="650"/>
      <c r="CE930" s="650"/>
      <c r="CF930" s="551"/>
      <c r="CG930" s="551"/>
      <c r="CI930" s="551"/>
      <c r="CJ930" s="551"/>
      <c r="CK930" s="551"/>
      <c r="CL930" s="551"/>
      <c r="CM930" s="551"/>
      <c r="CN930" s="551"/>
      <c r="CO930" s="551"/>
      <c r="CP930" s="554">
        <f>I930/30</f>
        <v>120</v>
      </c>
      <c r="CQ930" s="551"/>
      <c r="CR930" s="551"/>
      <c r="CS930" s="551"/>
      <c r="CT930" s="551"/>
      <c r="CU930" s="554">
        <f t="shared" si="346"/>
        <v>0</v>
      </c>
      <c r="CV930" s="551">
        <f t="shared" si="355"/>
        <v>120</v>
      </c>
      <c r="CW930" s="551">
        <f t="shared" si="356"/>
        <v>0</v>
      </c>
      <c r="CX930" s="650"/>
      <c r="CY930" s="650"/>
      <c r="CZ930" s="650"/>
      <c r="DA930" s="548"/>
      <c r="DB930" s="548"/>
      <c r="DC930" s="548"/>
      <c r="DD930" s="650"/>
      <c r="DE930" s="650"/>
      <c r="DF930" s="650"/>
      <c r="DG930" s="650"/>
      <c r="DH930" s="650"/>
    </row>
    <row r="931" s="548" customFormat="1" ht="31" customHeight="1" spans="1:112">
      <c r="A931" s="641">
        <v>45961</v>
      </c>
      <c r="B931" s="642" t="s">
        <v>2594</v>
      </c>
      <c r="C931" s="246" t="s">
        <v>2595</v>
      </c>
      <c r="D931" s="551">
        <v>4500183983</v>
      </c>
      <c r="E931" s="246"/>
      <c r="F931" s="551" t="s">
        <v>8385</v>
      </c>
      <c r="G931" s="246" t="s">
        <v>6276</v>
      </c>
      <c r="H931" s="246" t="s">
        <v>6277</v>
      </c>
      <c r="I931" s="246">
        <v>5000</v>
      </c>
      <c r="J931" s="246">
        <v>0</v>
      </c>
      <c r="K931" s="246">
        <v>50</v>
      </c>
      <c r="L931" s="644">
        <f t="shared" si="353"/>
        <v>100</v>
      </c>
      <c r="M931" s="645">
        <v>46021</v>
      </c>
      <c r="N931" s="645">
        <v>46017</v>
      </c>
      <c r="O931" s="643"/>
      <c r="P931" s="643" t="s">
        <v>113</v>
      </c>
      <c r="Q931" s="246"/>
      <c r="R931" s="646">
        <v>45978</v>
      </c>
      <c r="S931" s="646" t="s">
        <v>70</v>
      </c>
      <c r="T931" s="646" t="s">
        <v>6279</v>
      </c>
      <c r="U931" s="646"/>
      <c r="V931" s="646"/>
      <c r="W931" s="615"/>
      <c r="X931" s="642" t="s">
        <v>8386</v>
      </c>
      <c r="Y931" s="642" t="s">
        <v>529</v>
      </c>
      <c r="Z931" s="655">
        <v>0.9188</v>
      </c>
      <c r="AA931" s="647">
        <f>Z931*I931</f>
        <v>4594</v>
      </c>
      <c r="AC931" s="648" t="s">
        <v>2598</v>
      </c>
      <c r="AD931" s="246" t="s">
        <v>6276</v>
      </c>
      <c r="AE931" s="246" t="s">
        <v>82</v>
      </c>
      <c r="AF931" s="246"/>
      <c r="AG931" s="642"/>
      <c r="AH931" s="642">
        <v>1</v>
      </c>
      <c r="AI931" s="246">
        <f>4950+50</f>
        <v>5000</v>
      </c>
      <c r="AJ931" s="246">
        <f t="shared" si="354"/>
        <v>0</v>
      </c>
      <c r="AK931" s="246"/>
      <c r="AL931" s="246" t="s">
        <v>2368</v>
      </c>
      <c r="AM931" s="246"/>
      <c r="AN931" s="246"/>
      <c r="AO931" s="551">
        <f t="shared" si="352"/>
        <v>5000</v>
      </c>
      <c r="AP931" s="551"/>
      <c r="AQ931" s="551"/>
      <c r="AR931" s="650"/>
      <c r="AS931" s="551"/>
      <c r="AT931" s="551"/>
      <c r="AU931" s="551"/>
      <c r="AV931" s="551"/>
      <c r="AW931" s="650"/>
      <c r="AX931" s="551"/>
      <c r="AY931" s="551"/>
      <c r="AZ931" s="551"/>
      <c r="BA931" s="551"/>
      <c r="BB931" s="686">
        <f t="shared" ref="BB928:BB932" si="357">I931/24</f>
        <v>208.333333333333</v>
      </c>
      <c r="BC931" s="651"/>
      <c r="BD931" s="551"/>
      <c r="BE931" s="551"/>
      <c r="BF931" s="551"/>
      <c r="BH931" s="551"/>
      <c r="BI931" s="551"/>
      <c r="BJ931" s="551"/>
      <c r="BK931" s="551"/>
      <c r="BL931" s="551"/>
      <c r="BM931" s="551"/>
      <c r="BN931" s="551"/>
      <c r="BO931" s="551"/>
      <c r="BP931" s="551"/>
      <c r="BQ931" s="551"/>
      <c r="BR931" s="551"/>
      <c r="BS931" s="551"/>
      <c r="BT931" s="551"/>
      <c r="BU931" s="551"/>
      <c r="BV931" s="551">
        <f>I931</f>
        <v>5000</v>
      </c>
      <c r="BW931" s="551">
        <f>I931</f>
        <v>5000</v>
      </c>
      <c r="BX931" s="551">
        <f>I931/25</f>
        <v>200</v>
      </c>
      <c r="BY931" s="650"/>
      <c r="BZ931" s="551"/>
      <c r="CA931" s="652"/>
      <c r="CB931" s="567"/>
      <c r="CC931" s="653"/>
      <c r="CD931" s="650"/>
      <c r="CE931" s="650"/>
      <c r="CF931" s="551"/>
      <c r="CG931" s="551"/>
      <c r="CI931" s="551"/>
      <c r="CJ931" s="551"/>
      <c r="CK931" s="551"/>
      <c r="CL931" s="551"/>
      <c r="CM931" s="551"/>
      <c r="CN931" s="551"/>
      <c r="CO931" s="551"/>
      <c r="CP931" s="551"/>
      <c r="CQ931" s="551"/>
      <c r="CR931" s="551"/>
      <c r="CS931" s="551"/>
      <c r="CT931" s="551"/>
      <c r="CU931" s="554">
        <f t="shared" si="346"/>
        <v>200</v>
      </c>
      <c r="CV931" s="551">
        <f t="shared" si="355"/>
        <v>0</v>
      </c>
      <c r="CW931" s="551">
        <f t="shared" si="356"/>
        <v>0</v>
      </c>
      <c r="CX931" s="650"/>
      <c r="CY931" s="650"/>
      <c r="CZ931" s="650"/>
      <c r="DA931" s="551"/>
      <c r="DB931" s="551"/>
      <c r="DC931" s="551"/>
      <c r="DD931" s="650"/>
      <c r="DE931" s="650"/>
      <c r="DF931" s="650"/>
      <c r="DG931" s="650"/>
      <c r="DH931" s="650"/>
    </row>
    <row r="932" s="548" customFormat="1" ht="31" customHeight="1" spans="1:112">
      <c r="A932" s="641">
        <v>45968</v>
      </c>
      <c r="B932" s="642" t="s">
        <v>6431</v>
      </c>
      <c r="C932" s="246" t="s">
        <v>98</v>
      </c>
      <c r="D932" s="551">
        <v>4500184930</v>
      </c>
      <c r="E932" s="246" t="s">
        <v>8387</v>
      </c>
      <c r="F932" s="551" t="s">
        <v>8388</v>
      </c>
      <c r="G932" s="246" t="s">
        <v>6423</v>
      </c>
      <c r="H932" s="246" t="s">
        <v>6424</v>
      </c>
      <c r="I932" s="246">
        <v>46080</v>
      </c>
      <c r="J932" s="246">
        <v>0</v>
      </c>
      <c r="K932" s="246">
        <v>48</v>
      </c>
      <c r="L932" s="644">
        <f t="shared" si="353"/>
        <v>960</v>
      </c>
      <c r="M932" s="645">
        <v>46021</v>
      </c>
      <c r="N932" s="645">
        <v>46017</v>
      </c>
      <c r="O932" s="643" t="s">
        <v>8389</v>
      </c>
      <c r="P932" s="643" t="s">
        <v>113</v>
      </c>
      <c r="Q932" s="246" t="s">
        <v>8390</v>
      </c>
      <c r="R932" s="646" t="s">
        <v>8391</v>
      </c>
      <c r="S932" s="646" t="s">
        <v>70</v>
      </c>
      <c r="T932" s="646" t="s">
        <v>70</v>
      </c>
      <c r="U932" s="646"/>
      <c r="V932" s="646"/>
      <c r="W932" s="615"/>
      <c r="X932" s="642" t="s">
        <v>8392</v>
      </c>
      <c r="Y932" s="642" t="s">
        <v>1723</v>
      </c>
      <c r="Z932" s="655">
        <v>0.5804</v>
      </c>
      <c r="AA932" s="647">
        <f>I932*Z932</f>
        <v>26744.832</v>
      </c>
      <c r="AC932" s="658" t="s">
        <v>8393</v>
      </c>
      <c r="AD932" s="246" t="s">
        <v>6423</v>
      </c>
      <c r="AE932" s="246" t="s">
        <v>82</v>
      </c>
      <c r="AF932" s="246"/>
      <c r="AG932" s="642"/>
      <c r="AH932" s="642">
        <v>1</v>
      </c>
      <c r="AI932" s="246">
        <v>46080</v>
      </c>
      <c r="AJ932" s="246">
        <f t="shared" si="354"/>
        <v>0</v>
      </c>
      <c r="AK932" s="246"/>
      <c r="AL932" s="246"/>
      <c r="AM932" s="246"/>
      <c r="AN932" s="246">
        <f>I932</f>
        <v>46080</v>
      </c>
      <c r="AO932" s="551"/>
      <c r="AP932" s="551"/>
      <c r="AQ932" s="551"/>
      <c r="AR932" s="650"/>
      <c r="AS932" s="551"/>
      <c r="AT932" s="551"/>
      <c r="AU932" s="554">
        <f>I932</f>
        <v>46080</v>
      </c>
      <c r="AV932" s="551"/>
      <c r="AW932" s="650"/>
      <c r="AX932" s="551"/>
      <c r="AY932" s="551"/>
      <c r="AZ932" s="551"/>
      <c r="BA932" s="551"/>
      <c r="BB932" s="249">
        <f t="shared" si="357"/>
        <v>1920</v>
      </c>
      <c r="BC932" s="651">
        <f>I932</f>
        <v>46080</v>
      </c>
      <c r="BD932" s="551"/>
      <c r="BE932" s="551"/>
      <c r="BF932" s="551"/>
      <c r="BH932" s="551"/>
      <c r="BI932" s="551"/>
      <c r="BJ932" s="551"/>
      <c r="BK932" s="551"/>
      <c r="BL932" s="551"/>
      <c r="BM932" s="551"/>
      <c r="BN932" s="551"/>
      <c r="BO932" s="551"/>
      <c r="BP932" s="551"/>
      <c r="BQ932" s="551"/>
      <c r="BR932" s="551"/>
      <c r="BS932" s="551">
        <f>I932/8</f>
        <v>5760</v>
      </c>
      <c r="BT932" s="551"/>
      <c r="BU932" s="551"/>
      <c r="BV932" s="551"/>
      <c r="BW932" s="551"/>
      <c r="BX932" s="551"/>
      <c r="BY932" s="650"/>
      <c r="BZ932" s="551"/>
      <c r="CA932" s="652"/>
      <c r="CB932" s="567"/>
      <c r="CC932" s="653"/>
      <c r="CD932" s="650"/>
      <c r="CE932" s="650"/>
      <c r="CF932" s="551"/>
      <c r="CG932" s="551"/>
      <c r="CI932" s="551"/>
      <c r="CJ932" s="551"/>
      <c r="CK932" s="551"/>
      <c r="CL932" s="551"/>
      <c r="CM932" s="551"/>
      <c r="CN932" s="551"/>
      <c r="CO932" s="551"/>
      <c r="CP932" s="551"/>
      <c r="CQ932" s="551"/>
      <c r="CR932" s="551"/>
      <c r="CS932" s="551"/>
      <c r="CT932" s="551"/>
      <c r="CU932" s="554">
        <f t="shared" si="346"/>
        <v>0</v>
      </c>
      <c r="CV932" s="551">
        <f t="shared" si="355"/>
        <v>0</v>
      </c>
      <c r="CW932" s="551">
        <f t="shared" si="356"/>
        <v>0</v>
      </c>
      <c r="CX932" s="650"/>
      <c r="CY932" s="650"/>
      <c r="CZ932" s="650"/>
      <c r="DA932" s="548"/>
      <c r="DB932" s="548"/>
      <c r="DC932" s="548"/>
      <c r="DD932" s="650"/>
      <c r="DE932" s="650"/>
      <c r="DF932" s="650"/>
      <c r="DG932" s="650"/>
      <c r="DH932" s="650"/>
    </row>
    <row r="933" s="548" customFormat="1" ht="31" customHeight="1" spans="1:112">
      <c r="A933" s="641">
        <v>46009</v>
      </c>
      <c r="B933" s="642"/>
      <c r="C933" s="246"/>
      <c r="D933" s="551" t="s">
        <v>8394</v>
      </c>
      <c r="E933" s="246"/>
      <c r="F933" s="551" t="s">
        <v>8395</v>
      </c>
      <c r="G933" s="246" t="s">
        <v>6020</v>
      </c>
      <c r="H933" s="246" t="s">
        <v>6021</v>
      </c>
      <c r="I933" s="246" t="s">
        <v>8396</v>
      </c>
      <c r="J933" s="246"/>
      <c r="K933" s="246"/>
      <c r="L933" s="644"/>
      <c r="M933" s="645">
        <v>46021</v>
      </c>
      <c r="N933" s="645">
        <v>46017</v>
      </c>
      <c r="O933" s="643"/>
      <c r="P933" s="643"/>
      <c r="Q933" s="246"/>
      <c r="R933" s="646">
        <v>46009</v>
      </c>
      <c r="S933" s="646" t="s">
        <v>70</v>
      </c>
      <c r="T933" s="646" t="s">
        <v>70</v>
      </c>
      <c r="U933" s="646"/>
      <c r="V933" s="646"/>
      <c r="W933" s="615"/>
      <c r="X933" s="642" t="s">
        <v>8397</v>
      </c>
      <c r="Y933" s="642"/>
      <c r="Z933" s="655"/>
      <c r="AA933" s="647"/>
      <c r="AC933" s="648"/>
      <c r="AD933" s="662" t="s">
        <v>73</v>
      </c>
      <c r="AE933" s="662" t="s">
        <v>73</v>
      </c>
      <c r="AF933" s="246"/>
      <c r="AG933" s="642"/>
      <c r="AH933" s="642"/>
      <c r="AI933" s="246" t="s">
        <v>8398</v>
      </c>
      <c r="AJ933" s="662">
        <v>0</v>
      </c>
      <c r="AK933" s="246"/>
      <c r="AL933" s="246"/>
      <c r="AM933" s="246"/>
      <c r="AN933" s="246"/>
      <c r="AO933" s="551"/>
      <c r="AP933" s="551"/>
      <c r="AQ933" s="551"/>
      <c r="AR933" s="650"/>
      <c r="AS933" s="551"/>
      <c r="AT933" s="551"/>
      <c r="AU933" s="551"/>
      <c r="AV933" s="551"/>
      <c r="AW933" s="650"/>
      <c r="AX933" s="551"/>
      <c r="AY933" s="551"/>
      <c r="AZ933" s="551"/>
      <c r="BA933" s="551"/>
      <c r="BB933" s="249"/>
      <c r="BC933" s="651"/>
      <c r="BD933" s="551"/>
      <c r="BE933" s="551"/>
      <c r="BF933" s="551"/>
      <c r="BH933" s="551"/>
      <c r="BI933" s="551"/>
      <c r="BJ933" s="551"/>
      <c r="BK933" s="551"/>
      <c r="BL933" s="551"/>
      <c r="BM933" s="551"/>
      <c r="BN933" s="551"/>
      <c r="BO933" s="551"/>
      <c r="BP933" s="551"/>
      <c r="BQ933" s="551"/>
      <c r="BR933" s="551"/>
      <c r="BS933" s="551"/>
      <c r="BT933" s="551"/>
      <c r="BU933" s="551"/>
      <c r="BV933" s="551"/>
      <c r="BW933" s="551"/>
      <c r="BX933" s="551"/>
      <c r="BY933" s="650"/>
      <c r="BZ933" s="551"/>
      <c r="CA933" s="652"/>
      <c r="CB933" s="567"/>
      <c r="CC933" s="653"/>
      <c r="CD933" s="650"/>
      <c r="CE933" s="650"/>
      <c r="CF933" s="551"/>
      <c r="CG933" s="551"/>
      <c r="CI933" s="551"/>
      <c r="CJ933" s="551"/>
      <c r="CK933" s="551"/>
      <c r="CL933" s="551"/>
      <c r="CM933" s="551"/>
      <c r="CN933" s="551"/>
      <c r="CO933" s="551"/>
      <c r="CP933" s="551"/>
      <c r="CQ933" s="551"/>
      <c r="CR933" s="551"/>
      <c r="CS933" s="551"/>
      <c r="CT933" s="551"/>
      <c r="CU933" s="554">
        <f t="shared" si="346"/>
        <v>0</v>
      </c>
      <c r="CV933" s="663">
        <f t="shared" si="355"/>
        <v>0</v>
      </c>
      <c r="CW933" s="663">
        <f t="shared" si="356"/>
        <v>0</v>
      </c>
      <c r="CX933" s="650"/>
      <c r="CY933" s="650"/>
      <c r="CZ933" s="650"/>
      <c r="DA933" s="548"/>
      <c r="DB933" s="548"/>
      <c r="DC933" s="548"/>
      <c r="DD933" s="650"/>
      <c r="DE933" s="650"/>
      <c r="DF933" s="650"/>
      <c r="DG933" s="650"/>
      <c r="DH933" s="650"/>
    </row>
    <row r="934" s="548" customFormat="1" ht="31" customHeight="1" spans="1:112">
      <c r="A934" s="641">
        <v>46010</v>
      </c>
      <c r="B934" s="642"/>
      <c r="C934" s="246"/>
      <c r="D934" s="551" t="s">
        <v>8399</v>
      </c>
      <c r="E934" s="246"/>
      <c r="F934" s="551" t="s">
        <v>8400</v>
      </c>
      <c r="G934" s="246" t="s">
        <v>6020</v>
      </c>
      <c r="H934" s="246" t="s">
        <v>6021</v>
      </c>
      <c r="I934" s="246" t="s">
        <v>8401</v>
      </c>
      <c r="J934" s="246"/>
      <c r="K934" s="246"/>
      <c r="L934" s="644"/>
      <c r="M934" s="645">
        <v>46021</v>
      </c>
      <c r="N934" s="645">
        <v>46017</v>
      </c>
      <c r="O934" s="643"/>
      <c r="P934" s="643"/>
      <c r="Q934" s="246"/>
      <c r="R934" s="646">
        <v>46010</v>
      </c>
      <c r="S934" s="646" t="s">
        <v>70</v>
      </c>
      <c r="T934" s="646" t="s">
        <v>70</v>
      </c>
      <c r="U934" s="646"/>
      <c r="V934" s="646"/>
      <c r="W934" s="615"/>
      <c r="X934" s="642" t="s">
        <v>8402</v>
      </c>
      <c r="Y934" s="642"/>
      <c r="Z934" s="655"/>
      <c r="AA934" s="647"/>
      <c r="AC934" s="648"/>
      <c r="AD934" s="662" t="s">
        <v>73</v>
      </c>
      <c r="AE934" s="662" t="s">
        <v>73</v>
      </c>
      <c r="AF934" s="246"/>
      <c r="AG934" s="642"/>
      <c r="AH934" s="642"/>
      <c r="AI934" s="246" t="s">
        <v>8403</v>
      </c>
      <c r="AJ934" s="662">
        <v>0</v>
      </c>
      <c r="AK934" s="246"/>
      <c r="AL934" s="246"/>
      <c r="AM934" s="246"/>
      <c r="AN934" s="246"/>
      <c r="AO934" s="551"/>
      <c r="AP934" s="551"/>
      <c r="AQ934" s="551"/>
      <c r="AR934" s="650"/>
      <c r="AS934" s="551"/>
      <c r="AT934" s="551"/>
      <c r="AU934" s="551"/>
      <c r="AV934" s="551"/>
      <c r="AW934" s="650"/>
      <c r="AX934" s="551"/>
      <c r="AY934" s="551"/>
      <c r="AZ934" s="551"/>
      <c r="BA934" s="551"/>
      <c r="BB934" s="249"/>
      <c r="BC934" s="651"/>
      <c r="BD934" s="551"/>
      <c r="BE934" s="551"/>
      <c r="BF934" s="551"/>
      <c r="BH934" s="551"/>
      <c r="BI934" s="551"/>
      <c r="BJ934" s="551"/>
      <c r="BK934" s="551"/>
      <c r="BL934" s="551"/>
      <c r="BM934" s="551"/>
      <c r="BN934" s="551"/>
      <c r="BO934" s="551"/>
      <c r="BP934" s="551"/>
      <c r="BQ934" s="551"/>
      <c r="BR934" s="551"/>
      <c r="BS934" s="551"/>
      <c r="BT934" s="551"/>
      <c r="BU934" s="551"/>
      <c r="BV934" s="551"/>
      <c r="BW934" s="551"/>
      <c r="BX934" s="551"/>
      <c r="BY934" s="650"/>
      <c r="BZ934" s="551"/>
      <c r="CA934" s="652"/>
      <c r="CB934" s="567"/>
      <c r="CC934" s="653"/>
      <c r="CD934" s="650"/>
      <c r="CE934" s="650"/>
      <c r="CF934" s="551"/>
      <c r="CG934" s="551"/>
      <c r="CI934" s="551"/>
      <c r="CJ934" s="551"/>
      <c r="CK934" s="551"/>
      <c r="CL934" s="551"/>
      <c r="CM934" s="551"/>
      <c r="CN934" s="551"/>
      <c r="CO934" s="551"/>
      <c r="CP934" s="551"/>
      <c r="CQ934" s="551"/>
      <c r="CR934" s="551"/>
      <c r="CS934" s="551"/>
      <c r="CT934" s="551"/>
      <c r="CU934" s="554">
        <f t="shared" si="346"/>
        <v>0</v>
      </c>
      <c r="CV934" s="663">
        <f t="shared" si="355"/>
        <v>0</v>
      </c>
      <c r="CW934" s="663">
        <f t="shared" si="356"/>
        <v>0</v>
      </c>
      <c r="CX934" s="650"/>
      <c r="CY934" s="650"/>
      <c r="CZ934" s="650"/>
      <c r="DA934" s="548"/>
      <c r="DB934" s="548"/>
      <c r="DC934" s="548"/>
      <c r="DD934" s="650"/>
      <c r="DE934" s="650"/>
      <c r="DF934" s="650"/>
      <c r="DG934" s="650"/>
      <c r="DH934" s="650"/>
    </row>
    <row r="935" s="548" customFormat="1" ht="31" customHeight="1" spans="1:112">
      <c r="A935" s="641">
        <v>45974</v>
      </c>
      <c r="B935" s="609" t="s">
        <v>246</v>
      </c>
      <c r="C935" s="246" t="s">
        <v>98</v>
      </c>
      <c r="D935" s="551">
        <v>4500185525</v>
      </c>
      <c r="E935" s="246" t="s">
        <v>8404</v>
      </c>
      <c r="F935" s="551" t="s">
        <v>8405</v>
      </c>
      <c r="G935" s="246" t="s">
        <v>6084</v>
      </c>
      <c r="H935" s="246" t="s">
        <v>6069</v>
      </c>
      <c r="I935" s="246">
        <v>150000</v>
      </c>
      <c r="J935" s="246">
        <v>0</v>
      </c>
      <c r="K935" s="246">
        <v>25</v>
      </c>
      <c r="L935" s="644">
        <f t="shared" ref="L935:L949" si="358">I935/K935</f>
        <v>6000</v>
      </c>
      <c r="M935" s="645">
        <v>46022</v>
      </c>
      <c r="N935" s="645">
        <v>46018</v>
      </c>
      <c r="O935" s="643"/>
      <c r="P935" s="643" t="s">
        <v>113</v>
      </c>
      <c r="Q935" s="246"/>
      <c r="R935" s="646">
        <v>45989</v>
      </c>
      <c r="S935" s="646" t="s">
        <v>104</v>
      </c>
      <c r="T935" s="646" t="s">
        <v>2272</v>
      </c>
      <c r="U935" s="646"/>
      <c r="V935" s="646"/>
      <c r="W935" s="615"/>
      <c r="X935" s="642" t="s">
        <v>8306</v>
      </c>
      <c r="Y935" s="642" t="s">
        <v>252</v>
      </c>
      <c r="Z935" s="655">
        <v>0.5455</v>
      </c>
      <c r="AA935" s="647">
        <f t="shared" ref="AA935:AA943" si="359">Z935*I935</f>
        <v>81825</v>
      </c>
      <c r="AC935" s="698" t="s">
        <v>8406</v>
      </c>
      <c r="AD935" s="246" t="s">
        <v>6084</v>
      </c>
      <c r="AE935" s="246" t="s">
        <v>82</v>
      </c>
      <c r="AF935" s="246"/>
      <c r="AG935" s="642"/>
      <c r="AH935" s="642">
        <v>1</v>
      </c>
      <c r="AI935" s="246">
        <f>74250+30250+23500+22000</f>
        <v>150000</v>
      </c>
      <c r="AJ935" s="246">
        <f t="shared" ref="AJ935:AJ940" si="360">AI935-I935</f>
        <v>0</v>
      </c>
      <c r="AK935" s="246"/>
      <c r="AL935" s="246" t="s">
        <v>2368</v>
      </c>
      <c r="AM935" s="246"/>
      <c r="AN935" s="246">
        <f>I935</f>
        <v>150000</v>
      </c>
      <c r="AO935" s="551"/>
      <c r="AP935" s="554">
        <f>I935</f>
        <v>150000</v>
      </c>
      <c r="AQ935" s="551"/>
      <c r="AR935" s="650"/>
      <c r="AS935" s="551"/>
      <c r="AT935" s="551"/>
      <c r="AU935" s="554">
        <f>I935</f>
        <v>150000</v>
      </c>
      <c r="AV935" s="551"/>
      <c r="AW935" s="650"/>
      <c r="AX935" s="551"/>
      <c r="AY935" s="551"/>
      <c r="AZ935" s="551"/>
      <c r="BA935" s="551"/>
      <c r="BB935" s="249">
        <f>I935/24</f>
        <v>6250</v>
      </c>
      <c r="BC935" s="651"/>
      <c r="BD935" s="551"/>
      <c r="BE935" s="551"/>
      <c r="BF935" s="551"/>
      <c r="BH935" s="551"/>
      <c r="BI935" s="551"/>
      <c r="BJ935" s="551"/>
      <c r="BK935" s="551"/>
      <c r="BL935" s="551"/>
      <c r="BM935" s="551"/>
      <c r="BN935" s="551">
        <f>I935/25</f>
        <v>6000</v>
      </c>
      <c r="BO935" s="551"/>
      <c r="BP935" s="551"/>
      <c r="BQ935" s="551"/>
      <c r="BR935" s="551"/>
      <c r="BS935" s="551"/>
      <c r="BT935" s="551"/>
      <c r="BU935" s="551"/>
      <c r="BV935" s="551"/>
      <c r="BW935" s="551"/>
      <c r="BX935" s="551"/>
      <c r="BY935" s="650"/>
      <c r="BZ935" s="551"/>
      <c r="CA935" s="652"/>
      <c r="CB935" s="567"/>
      <c r="CC935" s="653"/>
      <c r="CD935" s="650"/>
      <c r="CE935" s="650"/>
      <c r="CF935" s="551"/>
      <c r="CG935" s="551"/>
      <c r="CI935" s="551"/>
      <c r="CJ935" s="551"/>
      <c r="CK935" s="551"/>
      <c r="CL935" s="551"/>
      <c r="CM935" s="551"/>
      <c r="CN935" s="551"/>
      <c r="CO935" s="551"/>
      <c r="CP935" s="551"/>
      <c r="CQ935" s="551"/>
      <c r="CR935" s="551"/>
      <c r="CS935" s="551"/>
      <c r="CT935" s="551"/>
      <c r="CU935" s="554">
        <f t="shared" si="346"/>
        <v>6000</v>
      </c>
      <c r="CV935" s="551">
        <f t="shared" si="355"/>
        <v>0</v>
      </c>
      <c r="CW935" s="551">
        <f t="shared" si="356"/>
        <v>0</v>
      </c>
      <c r="CX935" s="650"/>
      <c r="CY935" s="650"/>
      <c r="CZ935" s="650"/>
      <c r="DA935" s="548"/>
      <c r="DB935" s="548"/>
      <c r="DC935" s="548"/>
      <c r="DD935" s="650"/>
      <c r="DE935" s="650"/>
      <c r="DF935" s="650"/>
      <c r="DG935" s="650"/>
      <c r="DH935" s="650"/>
    </row>
    <row r="936" s="548" customFormat="1" ht="31" customHeight="1" spans="1:112">
      <c r="A936" s="641">
        <v>45960</v>
      </c>
      <c r="B936" s="642" t="s">
        <v>3340</v>
      </c>
      <c r="C936" s="246" t="s">
        <v>98</v>
      </c>
      <c r="D936" s="551">
        <v>4500183807</v>
      </c>
      <c r="E936" s="246" t="s">
        <v>8407</v>
      </c>
      <c r="F936" s="551" t="s">
        <v>8408</v>
      </c>
      <c r="G936" s="246" t="s">
        <v>6787</v>
      </c>
      <c r="H936" s="610" t="s">
        <v>6126</v>
      </c>
      <c r="I936" s="246">
        <v>996</v>
      </c>
      <c r="J936" s="246">
        <v>0</v>
      </c>
      <c r="K936" s="246">
        <v>12</v>
      </c>
      <c r="L936" s="644">
        <f t="shared" si="358"/>
        <v>83</v>
      </c>
      <c r="M936" s="645">
        <v>46022</v>
      </c>
      <c r="N936" s="645">
        <v>46018</v>
      </c>
      <c r="O936" s="643"/>
      <c r="P936" s="643" t="s">
        <v>113</v>
      </c>
      <c r="Q936" s="246"/>
      <c r="R936" s="646">
        <v>45965</v>
      </c>
      <c r="S936" s="646" t="s">
        <v>70</v>
      </c>
      <c r="T936" s="646" t="s">
        <v>8062</v>
      </c>
      <c r="U936" s="646"/>
      <c r="V936" s="646"/>
      <c r="W936" s="615"/>
      <c r="X936" s="642" t="s">
        <v>8409</v>
      </c>
      <c r="Y936" s="642" t="s">
        <v>2554</v>
      </c>
      <c r="Z936" s="642">
        <v>1.3094</v>
      </c>
      <c r="AA936" s="647">
        <f t="shared" si="359"/>
        <v>1304.1624</v>
      </c>
      <c r="AC936" s="658" t="s">
        <v>8410</v>
      </c>
      <c r="AD936" s="246" t="s">
        <v>6128</v>
      </c>
      <c r="AE936" s="246" t="s">
        <v>82</v>
      </c>
      <c r="AF936" s="246"/>
      <c r="AG936" s="642"/>
      <c r="AH936" s="642">
        <v>1</v>
      </c>
      <c r="AI936" s="246">
        <v>996</v>
      </c>
      <c r="AJ936" s="246">
        <f t="shared" si="360"/>
        <v>0</v>
      </c>
      <c r="AK936" s="246"/>
      <c r="AL936" s="246" t="s">
        <v>2368</v>
      </c>
      <c r="AM936" s="246"/>
      <c r="AN936" s="610">
        <f>I936*2</f>
        <v>1992</v>
      </c>
      <c r="AO936" s="551"/>
      <c r="AP936" s="551"/>
      <c r="AQ936" s="554">
        <f>I936*2</f>
        <v>1992</v>
      </c>
      <c r="AR936" s="650"/>
      <c r="AS936" s="551"/>
      <c r="AT936" s="551"/>
      <c r="AU936" s="554">
        <f>I936*2</f>
        <v>1992</v>
      </c>
      <c r="AV936" s="551"/>
      <c r="AW936" s="650"/>
      <c r="AX936" s="551"/>
      <c r="AY936" s="551"/>
      <c r="AZ936" s="551"/>
      <c r="BA936" s="551"/>
      <c r="BB936" s="249">
        <f t="shared" ref="BB936:BB941" si="361">I936/24*2</f>
        <v>83</v>
      </c>
      <c r="BC936" s="651"/>
      <c r="BD936" s="551"/>
      <c r="BE936" s="551"/>
      <c r="BF936" s="551"/>
      <c r="BH936" s="551"/>
      <c r="BI936" s="551"/>
      <c r="BJ936" s="551"/>
      <c r="BK936" s="551"/>
      <c r="BL936" s="551"/>
      <c r="BM936" s="551"/>
      <c r="BN936" s="551"/>
      <c r="BO936" s="551"/>
      <c r="BP936" s="551"/>
      <c r="BQ936" s="551"/>
      <c r="BR936" s="551"/>
      <c r="BS936" s="551"/>
      <c r="BT936" s="551"/>
      <c r="BU936" s="551"/>
      <c r="BV936" s="551"/>
      <c r="BW936" s="551"/>
      <c r="BX936" s="551"/>
      <c r="BY936" s="650"/>
      <c r="BZ936" s="551"/>
      <c r="CA936" s="652"/>
      <c r="CB936" s="567"/>
      <c r="CC936" s="653"/>
      <c r="CD936" s="650"/>
      <c r="CE936" s="650"/>
      <c r="CF936" s="551"/>
      <c r="CG936" s="551"/>
      <c r="CI936" s="551"/>
      <c r="CJ936" s="551"/>
      <c r="CK936" s="551"/>
      <c r="CL936" s="551"/>
      <c r="CM936" s="551"/>
      <c r="CN936" s="551"/>
      <c r="CO936" s="551"/>
      <c r="CP936" s="551"/>
      <c r="CQ936" s="551"/>
      <c r="CR936" s="554">
        <f>I936</f>
        <v>996</v>
      </c>
      <c r="CS936" s="554">
        <f>I936</f>
        <v>996</v>
      </c>
      <c r="CT936" s="554">
        <f>I936</f>
        <v>996</v>
      </c>
      <c r="CU936" s="554">
        <f t="shared" si="346"/>
        <v>0</v>
      </c>
      <c r="CV936" s="551">
        <v>0</v>
      </c>
      <c r="CW936" s="551">
        <v>0</v>
      </c>
      <c r="CX936" s="650"/>
      <c r="CY936" s="650"/>
      <c r="CZ936" s="650"/>
      <c r="DA936" s="548"/>
      <c r="DB936" s="548"/>
      <c r="DC936" s="548"/>
      <c r="DD936" s="650"/>
      <c r="DE936" s="650"/>
      <c r="DF936" s="650"/>
      <c r="DG936" s="650"/>
      <c r="DH936" s="650"/>
    </row>
    <row r="937" s="548" customFormat="1" ht="31" customHeight="1" spans="1:112">
      <c r="A937" s="641">
        <v>45960</v>
      </c>
      <c r="B937" s="642" t="s">
        <v>3340</v>
      </c>
      <c r="C937" s="246" t="s">
        <v>98</v>
      </c>
      <c r="D937" s="551">
        <v>4500183805</v>
      </c>
      <c r="E937" s="246" t="s">
        <v>8411</v>
      </c>
      <c r="F937" s="551" t="s">
        <v>8412</v>
      </c>
      <c r="G937" s="246" t="s">
        <v>6787</v>
      </c>
      <c r="H937" s="610" t="s">
        <v>6126</v>
      </c>
      <c r="I937" s="246">
        <v>996</v>
      </c>
      <c r="J937" s="246">
        <v>0</v>
      </c>
      <c r="K937" s="246">
        <v>12</v>
      </c>
      <c r="L937" s="644">
        <f t="shared" si="358"/>
        <v>83</v>
      </c>
      <c r="M937" s="645">
        <v>46022</v>
      </c>
      <c r="N937" s="645">
        <v>46018</v>
      </c>
      <c r="O937" s="643"/>
      <c r="P937" s="643" t="s">
        <v>113</v>
      </c>
      <c r="Q937" s="246"/>
      <c r="R937" s="646">
        <v>45965</v>
      </c>
      <c r="S937" s="646" t="s">
        <v>70</v>
      </c>
      <c r="T937" s="646" t="s">
        <v>8062</v>
      </c>
      <c r="U937" s="646"/>
      <c r="V937" s="646"/>
      <c r="W937" s="615"/>
      <c r="X937" s="642" t="s">
        <v>8066</v>
      </c>
      <c r="Y937" s="642" t="s">
        <v>2554</v>
      </c>
      <c r="Z937" s="642">
        <v>1.3094</v>
      </c>
      <c r="AA937" s="647">
        <f t="shared" si="359"/>
        <v>1304.1624</v>
      </c>
      <c r="AC937" s="658" t="s">
        <v>8413</v>
      </c>
      <c r="AD937" s="246" t="s">
        <v>6128</v>
      </c>
      <c r="AE937" s="246" t="s">
        <v>82</v>
      </c>
      <c r="AF937" s="246"/>
      <c r="AG937" s="642"/>
      <c r="AH937" s="642">
        <v>1</v>
      </c>
      <c r="AI937" s="246">
        <v>996</v>
      </c>
      <c r="AJ937" s="246">
        <f t="shared" si="360"/>
        <v>0</v>
      </c>
      <c r="AK937" s="246"/>
      <c r="AL937" s="246" t="s">
        <v>2368</v>
      </c>
      <c r="AM937" s="246"/>
      <c r="AN937" s="610">
        <f>I937*2</f>
        <v>1992</v>
      </c>
      <c r="AO937" s="551"/>
      <c r="AP937" s="551"/>
      <c r="AQ937" s="554">
        <f>I937*2</f>
        <v>1992</v>
      </c>
      <c r="AR937" s="650"/>
      <c r="AS937" s="551"/>
      <c r="AT937" s="551"/>
      <c r="AU937" s="554">
        <f>I937*2</f>
        <v>1992</v>
      </c>
      <c r="AV937" s="551"/>
      <c r="AW937" s="650"/>
      <c r="AX937" s="551"/>
      <c r="AY937" s="551"/>
      <c r="AZ937" s="551"/>
      <c r="BA937" s="551"/>
      <c r="BB937" s="249">
        <f t="shared" si="361"/>
        <v>83</v>
      </c>
      <c r="BC937" s="651"/>
      <c r="BD937" s="551"/>
      <c r="BE937" s="551"/>
      <c r="BF937" s="551"/>
      <c r="BH937" s="551"/>
      <c r="BI937" s="551"/>
      <c r="BJ937" s="551"/>
      <c r="BK937" s="551"/>
      <c r="BL937" s="551"/>
      <c r="BM937" s="551"/>
      <c r="BN937" s="551"/>
      <c r="BO937" s="551"/>
      <c r="BP937" s="551"/>
      <c r="BQ937" s="551"/>
      <c r="BR937" s="551"/>
      <c r="BS937" s="551"/>
      <c r="BT937" s="551"/>
      <c r="BU937" s="551"/>
      <c r="BV937" s="551"/>
      <c r="BW937" s="551"/>
      <c r="BX937" s="551"/>
      <c r="BY937" s="650"/>
      <c r="BZ937" s="551"/>
      <c r="CA937" s="652"/>
      <c r="CB937" s="567"/>
      <c r="CC937" s="653"/>
      <c r="CD937" s="650"/>
      <c r="CE937" s="650"/>
      <c r="CF937" s="551"/>
      <c r="CG937" s="551"/>
      <c r="CI937" s="551"/>
      <c r="CJ937" s="551"/>
      <c r="CK937" s="551"/>
      <c r="CL937" s="551"/>
      <c r="CM937" s="551"/>
      <c r="CN937" s="551"/>
      <c r="CO937" s="551"/>
      <c r="CP937" s="551"/>
      <c r="CQ937" s="551"/>
      <c r="CR937" s="554">
        <f>I937</f>
        <v>996</v>
      </c>
      <c r="CS937" s="554">
        <f>I937</f>
        <v>996</v>
      </c>
      <c r="CT937" s="554">
        <f>I937</f>
        <v>996</v>
      </c>
      <c r="CU937" s="554">
        <f t="shared" si="346"/>
        <v>0</v>
      </c>
      <c r="CV937" s="551">
        <v>0</v>
      </c>
      <c r="CW937" s="551">
        <v>0</v>
      </c>
      <c r="CX937" s="650"/>
      <c r="CY937" s="650"/>
      <c r="CZ937" s="650"/>
      <c r="DA937" s="548"/>
      <c r="DB937" s="548"/>
      <c r="DC937" s="548"/>
      <c r="DD937" s="650"/>
      <c r="DE937" s="650"/>
      <c r="DF937" s="650"/>
      <c r="DG937" s="650"/>
      <c r="DH937" s="650"/>
    </row>
    <row r="938" s="548" customFormat="1" ht="31" customHeight="1" spans="1:112">
      <c r="A938" s="641">
        <v>45960</v>
      </c>
      <c r="B938" s="642" t="s">
        <v>3340</v>
      </c>
      <c r="C938" s="246" t="s">
        <v>98</v>
      </c>
      <c r="D938" s="551">
        <v>4500183811</v>
      </c>
      <c r="E938" s="246" t="s">
        <v>8414</v>
      </c>
      <c r="F938" s="551" t="s">
        <v>8415</v>
      </c>
      <c r="G938" s="246" t="s">
        <v>6787</v>
      </c>
      <c r="H938" s="610" t="s">
        <v>6126</v>
      </c>
      <c r="I938" s="246">
        <v>1200</v>
      </c>
      <c r="J938" s="246">
        <v>0</v>
      </c>
      <c r="K938" s="246">
        <v>12</v>
      </c>
      <c r="L938" s="644">
        <f t="shared" si="358"/>
        <v>100</v>
      </c>
      <c r="M938" s="645">
        <v>46022</v>
      </c>
      <c r="N938" s="645">
        <v>46018</v>
      </c>
      <c r="O938" s="643"/>
      <c r="P938" s="643" t="s">
        <v>113</v>
      </c>
      <c r="Q938" s="246"/>
      <c r="R938" s="646">
        <v>45965</v>
      </c>
      <c r="S938" s="646" t="s">
        <v>70</v>
      </c>
      <c r="T938" s="646" t="s">
        <v>8062</v>
      </c>
      <c r="U938" s="646"/>
      <c r="V938" s="646"/>
      <c r="W938" s="615"/>
      <c r="X938" s="642" t="s">
        <v>8416</v>
      </c>
      <c r="Y938" s="642" t="s">
        <v>2554</v>
      </c>
      <c r="Z938" s="642">
        <v>1.3094</v>
      </c>
      <c r="AA938" s="647">
        <f t="shared" si="359"/>
        <v>1571.28</v>
      </c>
      <c r="AC938" s="658" t="s">
        <v>8417</v>
      </c>
      <c r="AD938" s="246" t="s">
        <v>6128</v>
      </c>
      <c r="AE938" s="246" t="s">
        <v>82</v>
      </c>
      <c r="AF938" s="246"/>
      <c r="AG938" s="642"/>
      <c r="AH938" s="642">
        <v>1</v>
      </c>
      <c r="AI938" s="246">
        <v>1200</v>
      </c>
      <c r="AJ938" s="246">
        <f t="shared" si="360"/>
        <v>0</v>
      </c>
      <c r="AK938" s="246"/>
      <c r="AL938" s="246" t="s">
        <v>2368</v>
      </c>
      <c r="AM938" s="246"/>
      <c r="AN938" s="610">
        <f>I938*2</f>
        <v>2400</v>
      </c>
      <c r="AO938" s="551"/>
      <c r="AP938" s="551"/>
      <c r="AQ938" s="554">
        <f>I938*2</f>
        <v>2400</v>
      </c>
      <c r="AR938" s="650"/>
      <c r="AS938" s="551"/>
      <c r="AT938" s="551"/>
      <c r="AU938" s="554">
        <f>I938*2</f>
        <v>2400</v>
      </c>
      <c r="AV938" s="551"/>
      <c r="AW938" s="650"/>
      <c r="AX938" s="551"/>
      <c r="AY938" s="551"/>
      <c r="AZ938" s="551"/>
      <c r="BA938" s="551"/>
      <c r="BB938" s="249">
        <f t="shared" si="361"/>
        <v>100</v>
      </c>
      <c r="BC938" s="651"/>
      <c r="BD938" s="551"/>
      <c r="BE938" s="551"/>
      <c r="BF938" s="551"/>
      <c r="BH938" s="551"/>
      <c r="BI938" s="551"/>
      <c r="BJ938" s="551"/>
      <c r="BK938" s="551"/>
      <c r="BL938" s="551"/>
      <c r="BM938" s="551"/>
      <c r="BN938" s="551"/>
      <c r="BO938" s="551"/>
      <c r="BP938" s="551"/>
      <c r="BQ938" s="551"/>
      <c r="BR938" s="551"/>
      <c r="BS938" s="551"/>
      <c r="BT938" s="551"/>
      <c r="BU938" s="551"/>
      <c r="BV938" s="551"/>
      <c r="BW938" s="551"/>
      <c r="BX938" s="551"/>
      <c r="BY938" s="650"/>
      <c r="BZ938" s="551"/>
      <c r="CA938" s="652"/>
      <c r="CB938" s="567"/>
      <c r="CC938" s="653"/>
      <c r="CD938" s="650"/>
      <c r="CE938" s="650"/>
      <c r="CF938" s="551"/>
      <c r="CG938" s="551"/>
      <c r="CI938" s="551"/>
      <c r="CJ938" s="551"/>
      <c r="CK938" s="551"/>
      <c r="CL938" s="551"/>
      <c r="CM938" s="551"/>
      <c r="CN938" s="551"/>
      <c r="CO938" s="551"/>
      <c r="CP938" s="551"/>
      <c r="CQ938" s="551"/>
      <c r="CR938" s="554">
        <f>I938</f>
        <v>1200</v>
      </c>
      <c r="CS938" s="554">
        <f>I938</f>
        <v>1200</v>
      </c>
      <c r="CT938" s="554">
        <f>I938</f>
        <v>1200</v>
      </c>
      <c r="CU938" s="554">
        <f t="shared" si="346"/>
        <v>0</v>
      </c>
      <c r="CV938" s="551">
        <v>0</v>
      </c>
      <c r="CW938" s="551">
        <v>0</v>
      </c>
      <c r="CX938" s="650"/>
      <c r="CY938" s="650"/>
      <c r="CZ938" s="650"/>
      <c r="DA938" s="548"/>
      <c r="DB938" s="548"/>
      <c r="DC938" s="548"/>
      <c r="DD938" s="650"/>
      <c r="DE938" s="650"/>
      <c r="DF938" s="650"/>
      <c r="DG938" s="650"/>
      <c r="DH938" s="650"/>
    </row>
    <row r="939" s="548" customFormat="1" ht="31" customHeight="1" spans="1:112">
      <c r="A939" s="641">
        <v>45960</v>
      </c>
      <c r="B939" s="642" t="s">
        <v>3340</v>
      </c>
      <c r="C939" s="246" t="s">
        <v>98</v>
      </c>
      <c r="D939" s="551">
        <v>4500183809</v>
      </c>
      <c r="E939" s="246" t="s">
        <v>8418</v>
      </c>
      <c r="F939" s="551" t="s">
        <v>8419</v>
      </c>
      <c r="G939" s="246" t="s">
        <v>6787</v>
      </c>
      <c r="H939" s="610" t="s">
        <v>6126</v>
      </c>
      <c r="I939" s="246">
        <v>1200</v>
      </c>
      <c r="J939" s="246">
        <v>0</v>
      </c>
      <c r="K939" s="246">
        <v>12</v>
      </c>
      <c r="L939" s="644">
        <f t="shared" si="358"/>
        <v>100</v>
      </c>
      <c r="M939" s="645">
        <v>46022</v>
      </c>
      <c r="N939" s="645">
        <v>46018</v>
      </c>
      <c r="O939" s="643"/>
      <c r="P939" s="643" t="s">
        <v>113</v>
      </c>
      <c r="Q939" s="246"/>
      <c r="R939" s="646">
        <v>45965</v>
      </c>
      <c r="S939" s="646" t="s">
        <v>70</v>
      </c>
      <c r="T939" s="646" t="s">
        <v>8062</v>
      </c>
      <c r="U939" s="646"/>
      <c r="V939" s="646"/>
      <c r="W939" s="615"/>
      <c r="X939" s="642" t="s">
        <v>8066</v>
      </c>
      <c r="Y939" s="642" t="s">
        <v>2554</v>
      </c>
      <c r="Z939" s="642">
        <v>1.3094</v>
      </c>
      <c r="AA939" s="647">
        <f t="shared" si="359"/>
        <v>1571.28</v>
      </c>
      <c r="AC939" s="658" t="s">
        <v>8420</v>
      </c>
      <c r="AD939" s="246" t="s">
        <v>6128</v>
      </c>
      <c r="AE939" s="246" t="s">
        <v>82</v>
      </c>
      <c r="AF939" s="246"/>
      <c r="AG939" s="642"/>
      <c r="AH939" s="642">
        <v>1</v>
      </c>
      <c r="AI939" s="246">
        <v>1200</v>
      </c>
      <c r="AJ939" s="246">
        <f t="shared" si="360"/>
        <v>0</v>
      </c>
      <c r="AK939" s="246"/>
      <c r="AL939" s="246" t="s">
        <v>2368</v>
      </c>
      <c r="AM939" s="246"/>
      <c r="AN939" s="610">
        <f>I939*2</f>
        <v>2400</v>
      </c>
      <c r="AO939" s="551"/>
      <c r="AP939" s="551"/>
      <c r="AQ939" s="554">
        <f>I939*2</f>
        <v>2400</v>
      </c>
      <c r="AR939" s="650"/>
      <c r="AS939" s="551"/>
      <c r="AT939" s="551"/>
      <c r="AU939" s="554">
        <f>I939*2</f>
        <v>2400</v>
      </c>
      <c r="AV939" s="551"/>
      <c r="AW939" s="650"/>
      <c r="AX939" s="551"/>
      <c r="AY939" s="551"/>
      <c r="AZ939" s="551"/>
      <c r="BA939" s="551"/>
      <c r="BB939" s="249">
        <f t="shared" si="361"/>
        <v>100</v>
      </c>
      <c r="BC939" s="651"/>
      <c r="BD939" s="551"/>
      <c r="BE939" s="551"/>
      <c r="BF939" s="551"/>
      <c r="BH939" s="551"/>
      <c r="BI939" s="551"/>
      <c r="BJ939" s="551"/>
      <c r="BK939" s="551"/>
      <c r="BL939" s="551"/>
      <c r="BM939" s="551"/>
      <c r="BN939" s="551"/>
      <c r="BO939" s="551"/>
      <c r="BP939" s="551"/>
      <c r="BQ939" s="551"/>
      <c r="BR939" s="551"/>
      <c r="BS939" s="551"/>
      <c r="BT939" s="551"/>
      <c r="BU939" s="551"/>
      <c r="BV939" s="551"/>
      <c r="BW939" s="551"/>
      <c r="BX939" s="551"/>
      <c r="BY939" s="650"/>
      <c r="BZ939" s="551"/>
      <c r="CA939" s="652"/>
      <c r="CB939" s="567"/>
      <c r="CC939" s="653"/>
      <c r="CD939" s="650"/>
      <c r="CE939" s="650"/>
      <c r="CF939" s="551"/>
      <c r="CG939" s="551"/>
      <c r="CI939" s="551"/>
      <c r="CJ939" s="551"/>
      <c r="CK939" s="551"/>
      <c r="CL939" s="551"/>
      <c r="CM939" s="551"/>
      <c r="CN939" s="551"/>
      <c r="CO939" s="551"/>
      <c r="CP939" s="551"/>
      <c r="CQ939" s="551"/>
      <c r="CR939" s="554">
        <f>I939</f>
        <v>1200</v>
      </c>
      <c r="CS939" s="554">
        <f>I939</f>
        <v>1200</v>
      </c>
      <c r="CT939" s="554">
        <f>I939</f>
        <v>1200</v>
      </c>
      <c r="CU939" s="554">
        <f t="shared" si="346"/>
        <v>0</v>
      </c>
      <c r="CV939" s="551">
        <v>0</v>
      </c>
      <c r="CW939" s="551">
        <v>0</v>
      </c>
      <c r="CX939" s="650"/>
      <c r="CY939" s="650"/>
      <c r="CZ939" s="650"/>
      <c r="DA939" s="548"/>
      <c r="DB939" s="548"/>
      <c r="DC939" s="548"/>
      <c r="DD939" s="650"/>
      <c r="DE939" s="650"/>
      <c r="DF939" s="650"/>
      <c r="DG939" s="650"/>
      <c r="DH939" s="650"/>
    </row>
    <row r="940" s="548" customFormat="1" ht="31" customHeight="1" spans="1:112">
      <c r="A940" s="641">
        <v>45987</v>
      </c>
      <c r="B940" s="642" t="s">
        <v>4182</v>
      </c>
      <c r="C940" s="246" t="s">
        <v>836</v>
      </c>
      <c r="D940" s="551">
        <v>4500187019</v>
      </c>
      <c r="E940" s="246" t="s">
        <v>8421</v>
      </c>
      <c r="F940" s="551" t="s">
        <v>8422</v>
      </c>
      <c r="G940" s="246" t="s">
        <v>6093</v>
      </c>
      <c r="H940" s="246" t="s">
        <v>6094</v>
      </c>
      <c r="I940" s="246">
        <v>507</v>
      </c>
      <c r="J940" s="246">
        <v>0</v>
      </c>
      <c r="K940" s="246">
        <v>13</v>
      </c>
      <c r="L940" s="644">
        <f t="shared" si="358"/>
        <v>39</v>
      </c>
      <c r="M940" s="645">
        <v>46022</v>
      </c>
      <c r="N940" s="645">
        <v>46018</v>
      </c>
      <c r="O940" s="643"/>
      <c r="P940" s="643" t="s">
        <v>113</v>
      </c>
      <c r="Q940" s="246"/>
      <c r="R940" s="646">
        <v>45987</v>
      </c>
      <c r="S940" s="646" t="s">
        <v>70</v>
      </c>
      <c r="T940" s="646" t="s">
        <v>8423</v>
      </c>
      <c r="U940" s="646"/>
      <c r="V940" s="646"/>
      <c r="W940" s="615"/>
      <c r="X940" s="642" t="s">
        <v>8424</v>
      </c>
      <c r="Y940" s="642" t="s">
        <v>472</v>
      </c>
      <c r="Z940" s="642">
        <v>0.8999</v>
      </c>
      <c r="AA940" s="647">
        <f t="shared" si="359"/>
        <v>456.2493</v>
      </c>
      <c r="AC940" s="648"/>
      <c r="AD940" s="246" t="s">
        <v>6093</v>
      </c>
      <c r="AE940" s="246" t="s">
        <v>82</v>
      </c>
      <c r="AF940" s="246"/>
      <c r="AG940" s="642"/>
      <c r="AH940" s="642">
        <v>1</v>
      </c>
      <c r="AI940" s="246">
        <v>507</v>
      </c>
      <c r="AJ940" s="246">
        <f t="shared" si="360"/>
        <v>0</v>
      </c>
      <c r="AK940" s="246"/>
      <c r="AL940" s="246" t="s">
        <v>2368</v>
      </c>
      <c r="AM940" s="246"/>
      <c r="AN940" s="246"/>
      <c r="AO940" s="551">
        <f>I940</f>
        <v>507</v>
      </c>
      <c r="AP940" s="551"/>
      <c r="AQ940" s="551"/>
      <c r="AR940" s="650"/>
      <c r="AS940" s="551"/>
      <c r="AT940" s="554">
        <f>I940</f>
        <v>507</v>
      </c>
      <c r="AU940" s="551"/>
      <c r="AV940" s="554">
        <f>I940</f>
        <v>507</v>
      </c>
      <c r="AW940" s="650"/>
      <c r="AX940" s="551"/>
      <c r="AY940" s="551"/>
      <c r="AZ940" s="551"/>
      <c r="BA940" s="551"/>
      <c r="BB940" s="620">
        <f>I940/24</f>
        <v>21.125</v>
      </c>
      <c r="BC940" s="651"/>
      <c r="BD940" s="551"/>
      <c r="BE940" s="551"/>
      <c r="BF940" s="551"/>
      <c r="BH940" s="551"/>
      <c r="BI940" s="551"/>
      <c r="BJ940" s="551"/>
      <c r="BK940" s="551"/>
      <c r="BL940" s="551"/>
      <c r="BM940" s="551">
        <f>I940/13</f>
        <v>39</v>
      </c>
      <c r="BN940" s="551"/>
      <c r="BO940" s="551"/>
      <c r="BP940" s="551"/>
      <c r="BQ940" s="551"/>
      <c r="BR940" s="551"/>
      <c r="BS940" s="551"/>
      <c r="BT940" s="551"/>
      <c r="BU940" s="551"/>
      <c r="BV940" s="551"/>
      <c r="BW940" s="551"/>
      <c r="BX940" s="551"/>
      <c r="BY940" s="650"/>
      <c r="BZ940" s="551"/>
      <c r="CA940" s="652"/>
      <c r="CB940" s="567"/>
      <c r="CC940" s="653"/>
      <c r="CD940" s="650"/>
      <c r="CE940" s="650"/>
      <c r="CF940" s="551"/>
      <c r="CG940" s="551"/>
      <c r="CI940" s="551"/>
      <c r="CJ940" s="551"/>
      <c r="CK940" s="551"/>
      <c r="CL940" s="551"/>
      <c r="CM940" s="551"/>
      <c r="CN940" s="551"/>
      <c r="CO940" s="551"/>
      <c r="CP940" s="551"/>
      <c r="CQ940" s="551"/>
      <c r="CR940" s="551"/>
      <c r="CS940" s="551"/>
      <c r="CT940" s="551"/>
      <c r="CU940" s="554">
        <f t="shared" si="346"/>
        <v>0</v>
      </c>
      <c r="CV940" s="551">
        <f>CK940+CL940+CM940+CN940+CO940+CQ940+CP940</f>
        <v>0</v>
      </c>
      <c r="CW940" s="551">
        <f>CI940+CJ940</f>
        <v>0</v>
      </c>
      <c r="CX940" s="650"/>
      <c r="CY940" s="650"/>
      <c r="CZ940" s="650"/>
      <c r="DA940" s="548"/>
      <c r="DB940" s="548"/>
      <c r="DC940" s="548"/>
      <c r="DD940" s="650"/>
      <c r="DE940" s="650"/>
      <c r="DF940" s="650"/>
      <c r="DG940" s="650"/>
      <c r="DH940" s="650"/>
    </row>
    <row r="941" s="548" customFormat="1" ht="31" customHeight="1" spans="1:112">
      <c r="A941" s="641">
        <v>45975</v>
      </c>
      <c r="B941" s="642" t="s">
        <v>2734</v>
      </c>
      <c r="C941" s="246" t="s">
        <v>98</v>
      </c>
      <c r="D941" s="551">
        <v>4500185285</v>
      </c>
      <c r="E941" s="246"/>
      <c r="F941" s="551" t="s">
        <v>8425</v>
      </c>
      <c r="G941" s="246" t="s">
        <v>6787</v>
      </c>
      <c r="H941" s="610" t="s">
        <v>6126</v>
      </c>
      <c r="I941" s="246">
        <v>2004</v>
      </c>
      <c r="J941" s="246">
        <v>0</v>
      </c>
      <c r="K941" s="246">
        <v>12</v>
      </c>
      <c r="L941" s="644">
        <f t="shared" si="358"/>
        <v>167</v>
      </c>
      <c r="M941" s="645">
        <v>46024</v>
      </c>
      <c r="N941" s="645">
        <v>46020</v>
      </c>
      <c r="O941" s="643"/>
      <c r="P941" s="643" t="s">
        <v>113</v>
      </c>
      <c r="Q941" s="246"/>
      <c r="R941" s="646">
        <v>45975</v>
      </c>
      <c r="S941" s="646" t="s">
        <v>70</v>
      </c>
      <c r="T941" s="646" t="s">
        <v>2738</v>
      </c>
      <c r="U941" s="646"/>
      <c r="V941" s="646"/>
      <c r="W941" s="615"/>
      <c r="X941" s="642" t="s">
        <v>8426</v>
      </c>
      <c r="Y941" s="642" t="s">
        <v>2678</v>
      </c>
      <c r="Z941" s="642">
        <v>1.2871</v>
      </c>
      <c r="AA941" s="647">
        <f t="shared" si="359"/>
        <v>2579.3484</v>
      </c>
      <c r="AC941" s="658" t="s">
        <v>8427</v>
      </c>
      <c r="AD941" s="246" t="s">
        <v>6128</v>
      </c>
      <c r="AE941" s="246" t="s">
        <v>82</v>
      </c>
      <c r="AF941" s="246"/>
      <c r="AG941" s="642"/>
      <c r="AH941" s="642">
        <v>1</v>
      </c>
      <c r="AI941" s="246">
        <v>2004</v>
      </c>
      <c r="AJ941" s="246">
        <f t="shared" ref="AJ941:AJ954" si="362">AI941-I941</f>
        <v>0</v>
      </c>
      <c r="AK941" s="246"/>
      <c r="AL941" s="246" t="s">
        <v>2368</v>
      </c>
      <c r="AM941" s="246"/>
      <c r="AN941" s="610">
        <f>I941*2</f>
        <v>4008</v>
      </c>
      <c r="AO941" s="551"/>
      <c r="AP941" s="551"/>
      <c r="AQ941" s="554">
        <f>I941*2</f>
        <v>4008</v>
      </c>
      <c r="AR941" s="650"/>
      <c r="AS941" s="551"/>
      <c r="AT941" s="551"/>
      <c r="AU941" s="554">
        <f>I941*2</f>
        <v>4008</v>
      </c>
      <c r="AV941" s="551"/>
      <c r="AW941" s="650"/>
      <c r="AX941" s="551"/>
      <c r="AY941" s="551"/>
      <c r="AZ941" s="551"/>
      <c r="BA941" s="551"/>
      <c r="BB941" s="249">
        <f t="shared" si="361"/>
        <v>167</v>
      </c>
      <c r="BC941" s="651"/>
      <c r="BD941" s="551"/>
      <c r="BE941" s="551"/>
      <c r="BF941" s="551"/>
      <c r="BH941" s="551"/>
      <c r="BI941" s="551"/>
      <c r="BJ941" s="551"/>
      <c r="BK941" s="551"/>
      <c r="BL941" s="551"/>
      <c r="BM941" s="551"/>
      <c r="BN941" s="551"/>
      <c r="BO941" s="551"/>
      <c r="BP941" s="551"/>
      <c r="BQ941" s="551"/>
      <c r="BR941" s="551"/>
      <c r="BS941" s="551"/>
      <c r="BT941" s="551"/>
      <c r="BU941" s="551"/>
      <c r="BV941" s="551"/>
      <c r="BW941" s="551"/>
      <c r="BX941" s="551"/>
      <c r="BY941" s="650"/>
      <c r="BZ941" s="551"/>
      <c r="CA941" s="652"/>
      <c r="CB941" s="567"/>
      <c r="CC941" s="653"/>
      <c r="CD941" s="650"/>
      <c r="CE941" s="650"/>
      <c r="CF941" s="551"/>
      <c r="CG941" s="551"/>
      <c r="CI941" s="551"/>
      <c r="CJ941" s="551"/>
      <c r="CK941" s="551"/>
      <c r="CL941" s="551"/>
      <c r="CM941" s="551"/>
      <c r="CN941" s="551"/>
      <c r="CO941" s="551"/>
      <c r="CP941" s="551"/>
      <c r="CQ941" s="551"/>
      <c r="CR941" s="554">
        <f>I941</f>
        <v>2004</v>
      </c>
      <c r="CS941" s="554">
        <f>I941</f>
        <v>2004</v>
      </c>
      <c r="CT941" s="554">
        <f>I941</f>
        <v>2004</v>
      </c>
      <c r="CU941" s="554">
        <f t="shared" si="346"/>
        <v>0</v>
      </c>
      <c r="CV941" s="551">
        <v>0</v>
      </c>
      <c r="CW941" s="551">
        <v>0</v>
      </c>
      <c r="CX941" s="650"/>
      <c r="CY941" s="650"/>
      <c r="CZ941" s="650"/>
      <c r="DA941" s="548"/>
      <c r="DB941" s="548"/>
      <c r="DC941" s="548"/>
      <c r="DD941" s="650"/>
      <c r="DE941" s="650"/>
      <c r="DF941" s="650"/>
      <c r="DG941" s="650"/>
      <c r="DH941" s="650"/>
    </row>
    <row r="942" s="548" customFormat="1" ht="31" customHeight="1" spans="1:112">
      <c r="A942" s="641">
        <v>45980</v>
      </c>
      <c r="B942" s="642" t="s">
        <v>3715</v>
      </c>
      <c r="C942" s="246" t="s">
        <v>98</v>
      </c>
      <c r="D942" s="551">
        <v>4500186184</v>
      </c>
      <c r="E942" s="246">
        <v>40799199</v>
      </c>
      <c r="F942" s="551" t="s">
        <v>8428</v>
      </c>
      <c r="G942" s="246" t="s">
        <v>6084</v>
      </c>
      <c r="H942" s="246" t="s">
        <v>6069</v>
      </c>
      <c r="I942" s="246">
        <v>2775</v>
      </c>
      <c r="J942" s="246">
        <v>0</v>
      </c>
      <c r="K942" s="246">
        <v>25</v>
      </c>
      <c r="L942" s="644">
        <f t="shared" si="358"/>
        <v>111</v>
      </c>
      <c r="M942" s="645">
        <v>46027</v>
      </c>
      <c r="N942" s="645">
        <v>46023</v>
      </c>
      <c r="O942" s="643"/>
      <c r="P942" s="643" t="s">
        <v>113</v>
      </c>
      <c r="Q942" s="246"/>
      <c r="R942" s="646">
        <v>46001</v>
      </c>
      <c r="S942" s="646" t="s">
        <v>104</v>
      </c>
      <c r="T942" s="646" t="s">
        <v>8429</v>
      </c>
      <c r="U942" s="646"/>
      <c r="V942" s="646"/>
      <c r="W942" s="615"/>
      <c r="X942" s="642" t="s">
        <v>8430</v>
      </c>
      <c r="Y942" s="642" t="s">
        <v>270</v>
      </c>
      <c r="Z942" s="655">
        <v>0.5646</v>
      </c>
      <c r="AA942" s="647">
        <f t="shared" si="359"/>
        <v>1566.765</v>
      </c>
      <c r="AC942" s="658" t="s">
        <v>2627</v>
      </c>
      <c r="AD942" s="246" t="s">
        <v>6089</v>
      </c>
      <c r="AE942" s="246" t="s">
        <v>82</v>
      </c>
      <c r="AF942" s="246"/>
      <c r="AG942" s="642"/>
      <c r="AH942" s="642">
        <v>1</v>
      </c>
      <c r="AI942" s="246">
        <v>2775</v>
      </c>
      <c r="AJ942" s="246">
        <f t="shared" si="362"/>
        <v>0</v>
      </c>
      <c r="AK942" s="246"/>
      <c r="AL942" s="246" t="s">
        <v>2368</v>
      </c>
      <c r="AM942" s="246"/>
      <c r="AN942" s="246">
        <f>I942</f>
        <v>2775</v>
      </c>
      <c r="AO942" s="551"/>
      <c r="AP942" s="551"/>
      <c r="AQ942" s="551"/>
      <c r="AR942" s="650"/>
      <c r="AS942" s="551">
        <f>I942</f>
        <v>2775</v>
      </c>
      <c r="AT942" s="551"/>
      <c r="AU942" s="554">
        <f>I942</f>
        <v>2775</v>
      </c>
      <c r="AV942" s="551"/>
      <c r="AW942" s="650"/>
      <c r="AX942" s="551"/>
      <c r="AY942" s="551"/>
      <c r="AZ942" s="551"/>
      <c r="BA942" s="551"/>
      <c r="BB942" s="249">
        <f t="shared" ref="BB942:BB949" si="363">I942/24</f>
        <v>115.625</v>
      </c>
      <c r="BC942" s="651"/>
      <c r="BD942" s="551"/>
      <c r="BE942" s="551"/>
      <c r="BF942" s="551"/>
      <c r="BH942" s="551"/>
      <c r="BI942" s="551"/>
      <c r="BJ942" s="551"/>
      <c r="BK942" s="551"/>
      <c r="BL942" s="551"/>
      <c r="BM942" s="551"/>
      <c r="BN942" s="551"/>
      <c r="BO942" s="551">
        <f>I942/25</f>
        <v>111</v>
      </c>
      <c r="BP942" s="551"/>
      <c r="BQ942" s="551"/>
      <c r="BR942" s="551"/>
      <c r="BS942" s="551"/>
      <c r="BT942" s="551"/>
      <c r="BU942" s="551"/>
      <c r="BV942" s="551"/>
      <c r="BW942" s="551"/>
      <c r="BX942" s="551"/>
      <c r="BY942" s="650"/>
      <c r="BZ942" s="551"/>
      <c r="CA942" s="652"/>
      <c r="CB942" s="567"/>
      <c r="CC942" s="653"/>
      <c r="CD942" s="650"/>
      <c r="CE942" s="650"/>
      <c r="CF942" s="551"/>
      <c r="CG942" s="551"/>
      <c r="CI942" s="551"/>
      <c r="CJ942" s="551"/>
      <c r="CK942" s="551"/>
      <c r="CL942" s="551"/>
      <c r="CM942" s="551"/>
      <c r="CN942" s="551"/>
      <c r="CO942" s="551"/>
      <c r="CP942" s="551"/>
      <c r="CQ942" s="551"/>
      <c r="CR942" s="551"/>
      <c r="CS942" s="551"/>
      <c r="CT942" s="551"/>
      <c r="CU942" s="554">
        <f t="shared" si="346"/>
        <v>111</v>
      </c>
      <c r="CV942" s="551">
        <f t="shared" ref="CV942:CV952" si="364">CK942+CL942+CM942+CN942+CO942+CQ942+CP942</f>
        <v>0</v>
      </c>
      <c r="CW942" s="551">
        <f t="shared" ref="CW942:CW952" si="365">CI942+CJ942</f>
        <v>0</v>
      </c>
      <c r="CX942" s="650"/>
      <c r="CY942" s="650"/>
      <c r="CZ942" s="650"/>
      <c r="DA942" s="548"/>
      <c r="DB942" s="548"/>
      <c r="DC942" s="548"/>
      <c r="DD942" s="650"/>
      <c r="DE942" s="650"/>
      <c r="DF942" s="650"/>
      <c r="DG942" s="650"/>
      <c r="DH942" s="650"/>
    </row>
    <row r="943" s="548" customFormat="1" ht="31" customHeight="1" spans="1:112">
      <c r="A943" s="641">
        <v>45981</v>
      </c>
      <c r="B943" s="642" t="s">
        <v>6431</v>
      </c>
      <c r="C943" s="246" t="s">
        <v>98</v>
      </c>
      <c r="D943" s="551">
        <v>4500186337</v>
      </c>
      <c r="E943" s="246" t="s">
        <v>8431</v>
      </c>
      <c r="F943" s="551" t="s">
        <v>8432</v>
      </c>
      <c r="G943" s="246" t="s">
        <v>6423</v>
      </c>
      <c r="H943" s="246" t="s">
        <v>6424</v>
      </c>
      <c r="I943" s="246">
        <v>1200</v>
      </c>
      <c r="J943" s="246">
        <v>0</v>
      </c>
      <c r="K943" s="246">
        <v>48</v>
      </c>
      <c r="L943" s="644">
        <f t="shared" si="358"/>
        <v>25</v>
      </c>
      <c r="M943" s="645">
        <v>46027</v>
      </c>
      <c r="N943" s="645">
        <v>46023</v>
      </c>
      <c r="O943" s="246" t="s">
        <v>8433</v>
      </c>
      <c r="P943" s="643" t="s">
        <v>113</v>
      </c>
      <c r="Q943" s="246"/>
      <c r="R943" s="646" t="s">
        <v>8434</v>
      </c>
      <c r="S943" s="646" t="s">
        <v>70</v>
      </c>
      <c r="T943" s="646" t="s">
        <v>70</v>
      </c>
      <c r="U943" s="646"/>
      <c r="V943" s="646"/>
      <c r="W943" s="615"/>
      <c r="X943" s="642" t="s">
        <v>8435</v>
      </c>
      <c r="Y943" s="642" t="s">
        <v>1723</v>
      </c>
      <c r="Z943" s="655">
        <v>0.5769</v>
      </c>
      <c r="AA943" s="647">
        <f>I943*Z943</f>
        <v>692.28</v>
      </c>
      <c r="AC943" s="658" t="s">
        <v>8436</v>
      </c>
      <c r="AD943" s="246" t="s">
        <v>6423</v>
      </c>
      <c r="AE943" s="246" t="s">
        <v>82</v>
      </c>
      <c r="AF943" s="246"/>
      <c r="AG943" s="642"/>
      <c r="AH943" s="642">
        <v>1</v>
      </c>
      <c r="AI943" s="246">
        <v>1200</v>
      </c>
      <c r="AJ943" s="246">
        <f t="shared" si="362"/>
        <v>0</v>
      </c>
      <c r="AK943" s="246"/>
      <c r="AL943" s="246"/>
      <c r="AM943" s="246"/>
      <c r="AN943" s="246">
        <f>I943</f>
        <v>1200</v>
      </c>
      <c r="AO943" s="551"/>
      <c r="AP943" s="551"/>
      <c r="AQ943" s="551"/>
      <c r="AR943" s="650"/>
      <c r="AS943" s="551"/>
      <c r="AT943" s="551"/>
      <c r="AU943" s="554">
        <f>I943</f>
        <v>1200</v>
      </c>
      <c r="AV943" s="551"/>
      <c r="AW943" s="650"/>
      <c r="AX943" s="551"/>
      <c r="AY943" s="551"/>
      <c r="AZ943" s="551"/>
      <c r="BA943" s="551"/>
      <c r="BB943" s="249">
        <f t="shared" si="363"/>
        <v>50</v>
      </c>
      <c r="BC943" s="651">
        <f>I943</f>
        <v>1200</v>
      </c>
      <c r="BD943" s="551"/>
      <c r="BE943" s="551"/>
      <c r="BF943" s="551"/>
      <c r="BH943" s="551"/>
      <c r="BI943" s="551"/>
      <c r="BJ943" s="551"/>
      <c r="BK943" s="551"/>
      <c r="BL943" s="551"/>
      <c r="BM943" s="551"/>
      <c r="BN943" s="551"/>
      <c r="BO943" s="551"/>
      <c r="BP943" s="551"/>
      <c r="BQ943" s="551"/>
      <c r="BR943" s="551"/>
      <c r="BS943" s="551">
        <f>I943/8</f>
        <v>150</v>
      </c>
      <c r="BT943" s="551"/>
      <c r="BU943" s="551"/>
      <c r="BV943" s="551"/>
      <c r="BW943" s="551"/>
      <c r="BX943" s="551"/>
      <c r="BY943" s="650"/>
      <c r="BZ943" s="551"/>
      <c r="CA943" s="652"/>
      <c r="CB943" s="567"/>
      <c r="CC943" s="653"/>
      <c r="CD943" s="650"/>
      <c r="CE943" s="650"/>
      <c r="CF943" s="551"/>
      <c r="CG943" s="551"/>
      <c r="CI943" s="551"/>
      <c r="CJ943" s="551"/>
      <c r="CK943" s="551"/>
      <c r="CL943" s="551"/>
      <c r="CM943" s="551"/>
      <c r="CN943" s="551"/>
      <c r="CO943" s="551"/>
      <c r="CP943" s="551"/>
      <c r="CQ943" s="551"/>
      <c r="CR943" s="551"/>
      <c r="CS943" s="551"/>
      <c r="CT943" s="551"/>
      <c r="CU943" s="554">
        <f t="shared" si="346"/>
        <v>0</v>
      </c>
      <c r="CV943" s="551">
        <f t="shared" si="364"/>
        <v>0</v>
      </c>
      <c r="CW943" s="551">
        <f t="shared" si="365"/>
        <v>0</v>
      </c>
      <c r="CX943" s="650"/>
      <c r="CY943" s="650"/>
      <c r="CZ943" s="650"/>
      <c r="DA943" s="548"/>
      <c r="DB943" s="548"/>
      <c r="DC943" s="548"/>
      <c r="DD943" s="650"/>
      <c r="DE943" s="650"/>
      <c r="DF943" s="650"/>
      <c r="DG943" s="650"/>
      <c r="DH943" s="650"/>
    </row>
    <row r="944" s="548" customFormat="1" ht="31" customHeight="1" spans="1:112">
      <c r="A944" s="641">
        <v>45981</v>
      </c>
      <c r="B944" s="642" t="s">
        <v>6431</v>
      </c>
      <c r="C944" s="246" t="s">
        <v>98</v>
      </c>
      <c r="D944" s="551">
        <v>4500186337</v>
      </c>
      <c r="E944" s="246" t="s">
        <v>8437</v>
      </c>
      <c r="F944" s="551" t="s">
        <v>8438</v>
      </c>
      <c r="G944" s="246" t="s">
        <v>6423</v>
      </c>
      <c r="H944" s="246" t="s">
        <v>6424</v>
      </c>
      <c r="I944" s="246">
        <v>54192</v>
      </c>
      <c r="J944" s="246">
        <v>0</v>
      </c>
      <c r="K944" s="246">
        <v>48</v>
      </c>
      <c r="L944" s="644">
        <f t="shared" si="358"/>
        <v>1129</v>
      </c>
      <c r="M944" s="645">
        <v>46027</v>
      </c>
      <c r="N944" s="645">
        <v>46023</v>
      </c>
      <c r="O944" s="246" t="s">
        <v>8433</v>
      </c>
      <c r="P944" s="643" t="s">
        <v>113</v>
      </c>
      <c r="Q944" s="246"/>
      <c r="R944" s="646" t="s">
        <v>8434</v>
      </c>
      <c r="S944" s="646" t="s">
        <v>70</v>
      </c>
      <c r="T944" s="646" t="s">
        <v>70</v>
      </c>
      <c r="U944" s="646"/>
      <c r="V944" s="646"/>
      <c r="W944" s="615"/>
      <c r="X944" s="642" t="s">
        <v>8435</v>
      </c>
      <c r="Y944" s="642" t="s">
        <v>1723</v>
      </c>
      <c r="Z944" s="655">
        <v>0.5769</v>
      </c>
      <c r="AA944" s="647">
        <f>I944*Z944</f>
        <v>31263.3648</v>
      </c>
      <c r="AC944" s="658" t="s">
        <v>8439</v>
      </c>
      <c r="AD944" s="246" t="s">
        <v>6423</v>
      </c>
      <c r="AE944" s="246" t="s">
        <v>82</v>
      </c>
      <c r="AF944" s="246"/>
      <c r="AG944" s="642"/>
      <c r="AH944" s="642">
        <v>1</v>
      </c>
      <c r="AI944" s="246">
        <f>36720+10800+6672</f>
        <v>54192</v>
      </c>
      <c r="AJ944" s="246">
        <f t="shared" si="362"/>
        <v>0</v>
      </c>
      <c r="AK944" s="246"/>
      <c r="AL944" s="246"/>
      <c r="AM944" s="246"/>
      <c r="AN944" s="246">
        <f>I944</f>
        <v>54192</v>
      </c>
      <c r="AO944" s="551"/>
      <c r="AP944" s="551"/>
      <c r="AQ944" s="551"/>
      <c r="AR944" s="650"/>
      <c r="AS944" s="551"/>
      <c r="AT944" s="551"/>
      <c r="AU944" s="554">
        <f>I944</f>
        <v>54192</v>
      </c>
      <c r="AV944" s="551"/>
      <c r="AW944" s="650"/>
      <c r="AX944" s="551"/>
      <c r="AY944" s="551"/>
      <c r="AZ944" s="551"/>
      <c r="BA944" s="551"/>
      <c r="BB944" s="249">
        <f t="shared" si="363"/>
        <v>2258</v>
      </c>
      <c r="BC944" s="651">
        <f>I944</f>
        <v>54192</v>
      </c>
      <c r="BD944" s="551"/>
      <c r="BE944" s="551"/>
      <c r="BF944" s="551"/>
      <c r="BH944" s="551"/>
      <c r="BI944" s="551"/>
      <c r="BJ944" s="551"/>
      <c r="BK944" s="551"/>
      <c r="BL944" s="551"/>
      <c r="BM944" s="551"/>
      <c r="BN944" s="551"/>
      <c r="BO944" s="551"/>
      <c r="BP944" s="551"/>
      <c r="BQ944" s="551"/>
      <c r="BR944" s="551"/>
      <c r="BS944" s="551">
        <f>I944/8</f>
        <v>6774</v>
      </c>
      <c r="BT944" s="551"/>
      <c r="BU944" s="551"/>
      <c r="BV944" s="551"/>
      <c r="BW944" s="551"/>
      <c r="BX944" s="551"/>
      <c r="BY944" s="650"/>
      <c r="BZ944" s="551"/>
      <c r="CA944" s="652"/>
      <c r="CB944" s="567"/>
      <c r="CC944" s="653"/>
      <c r="CD944" s="650"/>
      <c r="CE944" s="650"/>
      <c r="CF944" s="551"/>
      <c r="CG944" s="551"/>
      <c r="CI944" s="551"/>
      <c r="CJ944" s="551"/>
      <c r="CK944" s="551"/>
      <c r="CL944" s="551"/>
      <c r="CM944" s="551"/>
      <c r="CN944" s="551"/>
      <c r="CO944" s="551"/>
      <c r="CP944" s="551"/>
      <c r="CQ944" s="551"/>
      <c r="CR944" s="551"/>
      <c r="CS944" s="551"/>
      <c r="CT944" s="551"/>
      <c r="CU944" s="554">
        <f t="shared" si="346"/>
        <v>0</v>
      </c>
      <c r="CV944" s="551">
        <f t="shared" si="364"/>
        <v>0</v>
      </c>
      <c r="CW944" s="551">
        <f t="shared" si="365"/>
        <v>0</v>
      </c>
      <c r="CX944" s="650"/>
      <c r="CY944" s="650"/>
      <c r="CZ944" s="650"/>
      <c r="DA944" s="548"/>
      <c r="DB944" s="548"/>
      <c r="DC944" s="548"/>
      <c r="DD944" s="650"/>
      <c r="DE944" s="650"/>
      <c r="DF944" s="650"/>
      <c r="DG944" s="650"/>
      <c r="DH944" s="650"/>
    </row>
    <row r="945" s="548" customFormat="1" ht="31" customHeight="1" spans="1:112">
      <c r="A945" s="641">
        <v>45985</v>
      </c>
      <c r="B945" s="642" t="s">
        <v>659</v>
      </c>
      <c r="C945" s="246" t="s">
        <v>8440</v>
      </c>
      <c r="D945" s="551">
        <v>4500186648</v>
      </c>
      <c r="E945" s="246"/>
      <c r="F945" s="551" t="s">
        <v>8441</v>
      </c>
      <c r="G945" s="246" t="s">
        <v>6043</v>
      </c>
      <c r="H945" s="246" t="s">
        <v>6110</v>
      </c>
      <c r="I945" s="246">
        <v>1500</v>
      </c>
      <c r="J945" s="246">
        <v>0</v>
      </c>
      <c r="K945" s="246">
        <v>50</v>
      </c>
      <c r="L945" s="644">
        <f t="shared" si="358"/>
        <v>30</v>
      </c>
      <c r="M945" s="645">
        <v>46027</v>
      </c>
      <c r="N945" s="645">
        <v>46023</v>
      </c>
      <c r="O945" s="246"/>
      <c r="P945" s="643" t="s">
        <v>113</v>
      </c>
      <c r="Q945" s="246"/>
      <c r="R945" s="646">
        <v>45985</v>
      </c>
      <c r="S945" s="646" t="s">
        <v>70</v>
      </c>
      <c r="T945" s="646" t="s">
        <v>8442</v>
      </c>
      <c r="U945" s="646"/>
      <c r="V945" s="646"/>
      <c r="W945" s="615"/>
      <c r="X945" s="642" t="s">
        <v>8443</v>
      </c>
      <c r="Y945" s="642" t="s">
        <v>578</v>
      </c>
      <c r="Z945" s="642">
        <v>0.941</v>
      </c>
      <c r="AA945" s="647">
        <f>Z945*I945</f>
        <v>1411.5</v>
      </c>
      <c r="AC945" s="648" t="s">
        <v>8444</v>
      </c>
      <c r="AD945" s="642" t="s">
        <v>6043</v>
      </c>
      <c r="AE945" s="246" t="s">
        <v>82</v>
      </c>
      <c r="AF945" s="246"/>
      <c r="AG945" s="642"/>
      <c r="AH945" s="642">
        <v>1</v>
      </c>
      <c r="AI945" s="246">
        <v>1500</v>
      </c>
      <c r="AJ945" s="246">
        <f t="shared" si="362"/>
        <v>0</v>
      </c>
      <c r="AK945" s="246"/>
      <c r="AL945" s="246" t="s">
        <v>2368</v>
      </c>
      <c r="AM945" s="246"/>
      <c r="AN945" s="246"/>
      <c r="AO945" s="551">
        <f>I945</f>
        <v>1500</v>
      </c>
      <c r="AP945" s="551"/>
      <c r="AQ945" s="551"/>
      <c r="AR945" s="650"/>
      <c r="AS945" s="551"/>
      <c r="AT945" s="554">
        <f>I945</f>
        <v>1500</v>
      </c>
      <c r="AU945" s="551"/>
      <c r="AV945" s="554">
        <f>I945</f>
        <v>1500</v>
      </c>
      <c r="AW945" s="650"/>
      <c r="AX945" s="551"/>
      <c r="AY945" s="551"/>
      <c r="AZ945" s="551"/>
      <c r="BA945" s="551"/>
      <c r="BB945" s="620">
        <f t="shared" si="363"/>
        <v>62.5</v>
      </c>
      <c r="BC945" s="651"/>
      <c r="BD945" s="551"/>
      <c r="BE945" s="551"/>
      <c r="BF945" s="551"/>
      <c r="BH945" s="551"/>
      <c r="BI945" s="551"/>
      <c r="BJ945" s="551"/>
      <c r="BK945" s="551"/>
      <c r="BL945" s="551"/>
      <c r="BM945" s="551"/>
      <c r="BN945" s="551"/>
      <c r="BO945" s="551"/>
      <c r="BP945" s="551">
        <f>I945/25</f>
        <v>60</v>
      </c>
      <c r="BQ945" s="551"/>
      <c r="BR945" s="551"/>
      <c r="BS945" s="551"/>
      <c r="BT945" s="551"/>
      <c r="BU945" s="551"/>
      <c r="BV945" s="551"/>
      <c r="BW945" s="551"/>
      <c r="BX945" s="551"/>
      <c r="BY945" s="650"/>
      <c r="BZ945" s="551"/>
      <c r="CA945" s="652"/>
      <c r="CB945" s="567"/>
      <c r="CC945" s="653"/>
      <c r="CD945" s="650"/>
      <c r="CE945" s="650"/>
      <c r="CF945" s="551"/>
      <c r="CG945" s="551"/>
      <c r="CI945" s="551"/>
      <c r="CJ945" s="551"/>
      <c r="CK945" s="551"/>
      <c r="CL945" s="551"/>
      <c r="CM945" s="551"/>
      <c r="CN945" s="551"/>
      <c r="CO945" s="551"/>
      <c r="CP945" s="551"/>
      <c r="CQ945" s="551"/>
      <c r="CR945" s="551"/>
      <c r="CS945" s="551"/>
      <c r="CT945" s="551"/>
      <c r="CU945" s="554">
        <f t="shared" si="346"/>
        <v>60</v>
      </c>
      <c r="CV945" s="551">
        <f t="shared" si="364"/>
        <v>0</v>
      </c>
      <c r="CW945" s="551">
        <f t="shared" si="365"/>
        <v>0</v>
      </c>
      <c r="CX945" s="650"/>
      <c r="CY945" s="650"/>
      <c r="CZ945" s="650"/>
      <c r="DA945" s="548"/>
      <c r="DB945" s="548"/>
      <c r="DC945" s="548"/>
      <c r="DD945" s="650"/>
      <c r="DE945" s="650"/>
      <c r="DF945" s="650"/>
      <c r="DG945" s="650"/>
      <c r="DH945" s="650"/>
    </row>
    <row r="946" s="548" customFormat="1" ht="31" customHeight="1" spans="1:112">
      <c r="A946" s="641">
        <v>46001</v>
      </c>
      <c r="B946" s="642" t="s">
        <v>3715</v>
      </c>
      <c r="C946" s="246" t="s">
        <v>98</v>
      </c>
      <c r="D946" s="551">
        <v>4500188579</v>
      </c>
      <c r="E946" s="246">
        <v>40799200</v>
      </c>
      <c r="F946" s="551" t="s">
        <v>8445</v>
      </c>
      <c r="G946" s="246" t="s">
        <v>6084</v>
      </c>
      <c r="H946" s="246" t="s">
        <v>6069</v>
      </c>
      <c r="I946" s="246">
        <v>1275</v>
      </c>
      <c r="J946" s="246">
        <v>0</v>
      </c>
      <c r="K946" s="246">
        <v>25</v>
      </c>
      <c r="L946" s="644">
        <f t="shared" si="358"/>
        <v>51</v>
      </c>
      <c r="M946" s="645">
        <v>46027</v>
      </c>
      <c r="N946" s="645">
        <v>46023</v>
      </c>
      <c r="O946" s="246" t="s">
        <v>8446</v>
      </c>
      <c r="P946" s="643" t="s">
        <v>113</v>
      </c>
      <c r="Q946" s="246"/>
      <c r="R946" s="646">
        <v>46001</v>
      </c>
      <c r="S946" s="646" t="s">
        <v>104</v>
      </c>
      <c r="T946" s="646" t="s">
        <v>8447</v>
      </c>
      <c r="U946" s="646"/>
      <c r="V946" s="646"/>
      <c r="W946" s="615"/>
      <c r="X946" s="642" t="s">
        <v>8430</v>
      </c>
      <c r="Y946" s="642" t="s">
        <v>270</v>
      </c>
      <c r="Z946" s="655">
        <v>0.5927</v>
      </c>
      <c r="AA946" s="647">
        <f>Z946*I946</f>
        <v>755.6925</v>
      </c>
      <c r="AC946" s="658" t="s">
        <v>2634</v>
      </c>
      <c r="AD946" s="246" t="s">
        <v>6089</v>
      </c>
      <c r="AE946" s="246" t="s">
        <v>82</v>
      </c>
      <c r="AF946" s="246"/>
      <c r="AG946" s="642"/>
      <c r="AH946" s="642">
        <v>1</v>
      </c>
      <c r="AI946" s="246">
        <f>1250+25</f>
        <v>1275</v>
      </c>
      <c r="AJ946" s="246">
        <f t="shared" si="362"/>
        <v>0</v>
      </c>
      <c r="AK946" s="246"/>
      <c r="AL946" s="246" t="s">
        <v>2368</v>
      </c>
      <c r="AM946" s="246"/>
      <c r="AN946" s="246">
        <f>I946</f>
        <v>1275</v>
      </c>
      <c r="AO946" s="551"/>
      <c r="AP946" s="551"/>
      <c r="AQ946" s="551"/>
      <c r="AR946" s="650"/>
      <c r="AS946" s="551">
        <f>I946</f>
        <v>1275</v>
      </c>
      <c r="AT946" s="551"/>
      <c r="AU946" s="554">
        <f>I946</f>
        <v>1275</v>
      </c>
      <c r="AV946" s="551"/>
      <c r="AW946" s="650"/>
      <c r="AX946" s="551"/>
      <c r="AY946" s="551"/>
      <c r="AZ946" s="551"/>
      <c r="BA946" s="551"/>
      <c r="BB946" s="249">
        <f t="shared" si="363"/>
        <v>53.125</v>
      </c>
      <c r="BC946" s="651"/>
      <c r="BD946" s="551"/>
      <c r="BE946" s="551"/>
      <c r="BF946" s="551"/>
      <c r="BH946" s="551"/>
      <c r="BI946" s="551"/>
      <c r="BJ946" s="551"/>
      <c r="BK946" s="551"/>
      <c r="BL946" s="551"/>
      <c r="BM946" s="551"/>
      <c r="BN946" s="551"/>
      <c r="BO946" s="551">
        <f>I946/25</f>
        <v>51</v>
      </c>
      <c r="BP946" s="551"/>
      <c r="BQ946" s="551"/>
      <c r="BR946" s="551"/>
      <c r="BS946" s="551"/>
      <c r="BT946" s="551"/>
      <c r="BU946" s="551"/>
      <c r="BV946" s="551"/>
      <c r="BW946" s="551"/>
      <c r="BX946" s="551"/>
      <c r="BY946" s="650"/>
      <c r="BZ946" s="551"/>
      <c r="CA946" s="652"/>
      <c r="CB946" s="567"/>
      <c r="CC946" s="653"/>
      <c r="CD946" s="650"/>
      <c r="CE946" s="650"/>
      <c r="CF946" s="551"/>
      <c r="CG946" s="551"/>
      <c r="CI946" s="551"/>
      <c r="CJ946" s="551"/>
      <c r="CK946" s="551"/>
      <c r="CL946" s="551"/>
      <c r="CM946" s="551"/>
      <c r="CN946" s="551"/>
      <c r="CO946" s="551"/>
      <c r="CP946" s="551"/>
      <c r="CQ946" s="551"/>
      <c r="CR946" s="551"/>
      <c r="CS946" s="551"/>
      <c r="CT946" s="551"/>
      <c r="CU946" s="554">
        <f t="shared" si="346"/>
        <v>51</v>
      </c>
      <c r="CV946" s="551">
        <f t="shared" si="364"/>
        <v>0</v>
      </c>
      <c r="CW946" s="551">
        <f t="shared" si="365"/>
        <v>0</v>
      </c>
      <c r="CX946" s="650"/>
      <c r="CY946" s="650"/>
      <c r="CZ946" s="650"/>
      <c r="DA946" s="548"/>
      <c r="DB946" s="548"/>
      <c r="DC946" s="548"/>
      <c r="DD946" s="650"/>
      <c r="DE946" s="650"/>
      <c r="DF946" s="650"/>
      <c r="DG946" s="650"/>
      <c r="DH946" s="650"/>
    </row>
    <row r="947" s="548" customFormat="1" ht="31" customHeight="1" spans="1:112">
      <c r="A947" s="641">
        <v>46001</v>
      </c>
      <c r="B947" s="642" t="s">
        <v>3715</v>
      </c>
      <c r="C947" s="246" t="s">
        <v>98</v>
      </c>
      <c r="D947" s="551">
        <v>4500188596</v>
      </c>
      <c r="E947" s="246">
        <v>40799203</v>
      </c>
      <c r="F947" s="551" t="s">
        <v>8448</v>
      </c>
      <c r="G947" s="246" t="s">
        <v>6084</v>
      </c>
      <c r="H947" s="246" t="s">
        <v>6069</v>
      </c>
      <c r="I947" s="246">
        <v>2350</v>
      </c>
      <c r="J947" s="246">
        <v>0</v>
      </c>
      <c r="K947" s="246">
        <v>25</v>
      </c>
      <c r="L947" s="644">
        <f t="shared" si="358"/>
        <v>94</v>
      </c>
      <c r="M947" s="645">
        <v>46027</v>
      </c>
      <c r="N947" s="645">
        <v>46023</v>
      </c>
      <c r="O947" s="246" t="s">
        <v>8446</v>
      </c>
      <c r="P947" s="643" t="s">
        <v>113</v>
      </c>
      <c r="Q947" s="246"/>
      <c r="R947" s="646">
        <v>46001</v>
      </c>
      <c r="S947" s="646" t="s">
        <v>104</v>
      </c>
      <c r="T947" s="646" t="s">
        <v>8447</v>
      </c>
      <c r="U947" s="646"/>
      <c r="V947" s="646"/>
      <c r="W947" s="615"/>
      <c r="X947" s="642" t="s">
        <v>8430</v>
      </c>
      <c r="Y947" s="642" t="s">
        <v>270</v>
      </c>
      <c r="Z947" s="655">
        <v>0.5927</v>
      </c>
      <c r="AA947" s="647">
        <f>Z947*I947</f>
        <v>1392.845</v>
      </c>
      <c r="AC947" s="658" t="s">
        <v>2636</v>
      </c>
      <c r="AD947" s="246" t="s">
        <v>6089</v>
      </c>
      <c r="AE947" s="246" t="s">
        <v>82</v>
      </c>
      <c r="AF947" s="246"/>
      <c r="AG947" s="642"/>
      <c r="AH947" s="642">
        <v>1</v>
      </c>
      <c r="AI947" s="246">
        <v>2350</v>
      </c>
      <c r="AJ947" s="246">
        <f t="shared" si="362"/>
        <v>0</v>
      </c>
      <c r="AK947" s="246"/>
      <c r="AL947" s="246" t="s">
        <v>2368</v>
      </c>
      <c r="AM947" s="246"/>
      <c r="AN947" s="246">
        <f>I947</f>
        <v>2350</v>
      </c>
      <c r="AO947" s="551"/>
      <c r="AP947" s="551"/>
      <c r="AQ947" s="551"/>
      <c r="AR947" s="650"/>
      <c r="AS947" s="551">
        <f>I947</f>
        <v>2350</v>
      </c>
      <c r="AT947" s="551"/>
      <c r="AU947" s="554">
        <f>I947</f>
        <v>2350</v>
      </c>
      <c r="AV947" s="551"/>
      <c r="AW947" s="650"/>
      <c r="AX947" s="551"/>
      <c r="AY947" s="551"/>
      <c r="AZ947" s="551"/>
      <c r="BA947" s="551"/>
      <c r="BB947" s="249">
        <f t="shared" si="363"/>
        <v>97.9166666666667</v>
      </c>
      <c r="BC947" s="651"/>
      <c r="BD947" s="551"/>
      <c r="BE947" s="551"/>
      <c r="BF947" s="551"/>
      <c r="BH947" s="551"/>
      <c r="BI947" s="551"/>
      <c r="BJ947" s="551"/>
      <c r="BK947" s="551"/>
      <c r="BL947" s="551"/>
      <c r="BM947" s="551"/>
      <c r="BN947" s="551"/>
      <c r="BO947" s="551">
        <f>I947/25</f>
        <v>94</v>
      </c>
      <c r="BP947" s="551"/>
      <c r="BQ947" s="551"/>
      <c r="BR947" s="551"/>
      <c r="BS947" s="551"/>
      <c r="BT947" s="551"/>
      <c r="BU947" s="551"/>
      <c r="BV947" s="551"/>
      <c r="BW947" s="551"/>
      <c r="BX947" s="551"/>
      <c r="BY947" s="650"/>
      <c r="BZ947" s="551"/>
      <c r="CA947" s="652"/>
      <c r="CB947" s="567"/>
      <c r="CC947" s="653"/>
      <c r="CD947" s="650"/>
      <c r="CE947" s="650"/>
      <c r="CF947" s="551"/>
      <c r="CG947" s="551"/>
      <c r="CI947" s="551"/>
      <c r="CJ947" s="551"/>
      <c r="CK947" s="551"/>
      <c r="CL947" s="551"/>
      <c r="CM947" s="551"/>
      <c r="CN947" s="551"/>
      <c r="CO947" s="551"/>
      <c r="CP947" s="551"/>
      <c r="CQ947" s="551"/>
      <c r="CR947" s="551"/>
      <c r="CS947" s="551"/>
      <c r="CT947" s="551"/>
      <c r="CU947" s="554">
        <f t="shared" si="346"/>
        <v>94</v>
      </c>
      <c r="CV947" s="551">
        <f t="shared" si="364"/>
        <v>0</v>
      </c>
      <c r="CW947" s="551">
        <f t="shared" si="365"/>
        <v>0</v>
      </c>
      <c r="CX947" s="650"/>
      <c r="CY947" s="650"/>
      <c r="CZ947" s="650"/>
      <c r="DA947" s="548"/>
      <c r="DB947" s="548"/>
      <c r="DC947" s="548"/>
      <c r="DD947" s="650"/>
      <c r="DE947" s="650"/>
      <c r="DF947" s="650"/>
      <c r="DG947" s="650"/>
      <c r="DH947" s="650"/>
    </row>
    <row r="948" s="548" customFormat="1" ht="31" customHeight="1" spans="1:112">
      <c r="A948" s="641">
        <v>46013</v>
      </c>
      <c r="B948" s="642" t="s">
        <v>2655</v>
      </c>
      <c r="C948" s="246" t="s">
        <v>2656</v>
      </c>
      <c r="D948" s="551">
        <v>4500189510</v>
      </c>
      <c r="E948" s="246"/>
      <c r="F948" s="551" t="s">
        <v>8449</v>
      </c>
      <c r="G948" s="246" t="s">
        <v>6448</v>
      </c>
      <c r="H948" s="246" t="s">
        <v>6449</v>
      </c>
      <c r="I948" s="246">
        <v>500</v>
      </c>
      <c r="J948" s="246">
        <v>0</v>
      </c>
      <c r="K948" s="246">
        <v>50</v>
      </c>
      <c r="L948" s="644">
        <f t="shared" si="358"/>
        <v>10</v>
      </c>
      <c r="M948" s="645">
        <v>46006</v>
      </c>
      <c r="N948" s="645">
        <v>46002</v>
      </c>
      <c r="O948" s="246" t="s">
        <v>8450</v>
      </c>
      <c r="P948" s="643" t="s">
        <v>113</v>
      </c>
      <c r="Q948" s="246"/>
      <c r="R948" s="646">
        <v>45941</v>
      </c>
      <c r="S948" s="646" t="s">
        <v>70</v>
      </c>
      <c r="T948" s="646" t="s">
        <v>8451</v>
      </c>
      <c r="U948" s="646"/>
      <c r="V948" s="646"/>
      <c r="W948" s="615"/>
      <c r="X948" s="642" t="s">
        <v>8452</v>
      </c>
      <c r="Y948" s="642" t="s">
        <v>2398</v>
      </c>
      <c r="Z948" s="655">
        <v>0.9595</v>
      </c>
      <c r="AA948" s="647">
        <f>Z948*I948</f>
        <v>479.75</v>
      </c>
      <c r="AC948" s="648"/>
      <c r="AD948" s="246" t="s">
        <v>6448</v>
      </c>
      <c r="AE948" s="246" t="s">
        <v>82</v>
      </c>
      <c r="AF948" s="246"/>
      <c r="AG948" s="642"/>
      <c r="AH948" s="642" t="s">
        <v>2629</v>
      </c>
      <c r="AI948" s="246"/>
      <c r="AJ948" s="246">
        <f t="shared" si="362"/>
        <v>-500</v>
      </c>
      <c r="AK948" s="246"/>
      <c r="AL948" s="246"/>
      <c r="AM948" s="246"/>
      <c r="AN948" s="246"/>
      <c r="AO948" s="551">
        <f>I948</f>
        <v>500</v>
      </c>
      <c r="AP948" s="551"/>
      <c r="AQ948" s="551"/>
      <c r="AR948" s="650"/>
      <c r="AS948" s="551"/>
      <c r="AT948" s="554">
        <f>I948</f>
        <v>500</v>
      </c>
      <c r="AU948" s="551"/>
      <c r="AV948" s="551"/>
      <c r="AW948" s="650"/>
      <c r="AX948" s="551"/>
      <c r="AY948" s="551"/>
      <c r="AZ948" s="551">
        <f>I948</f>
        <v>500</v>
      </c>
      <c r="BA948" s="551"/>
      <c r="BB948" s="249">
        <f t="shared" si="363"/>
        <v>20.8333333333333</v>
      </c>
      <c r="BC948" s="651"/>
      <c r="BD948" s="551"/>
      <c r="BE948" s="551"/>
      <c r="BF948" s="551"/>
      <c r="BH948" s="551"/>
      <c r="BI948" s="551"/>
      <c r="BJ948" s="551"/>
      <c r="BK948" s="551"/>
      <c r="BL948" s="551"/>
      <c r="BM948" s="551"/>
      <c r="BN948" s="551"/>
      <c r="BO948" s="551"/>
      <c r="BP948" s="551"/>
      <c r="BQ948" s="551"/>
      <c r="BR948" s="551"/>
      <c r="BS948" s="551"/>
      <c r="BT948" s="551"/>
      <c r="BU948" s="551"/>
      <c r="BV948" s="551"/>
      <c r="BW948" s="551"/>
      <c r="BX948" s="551">
        <f>I948/25</f>
        <v>20</v>
      </c>
      <c r="BY948" s="650"/>
      <c r="BZ948" s="551"/>
      <c r="CA948" s="652"/>
      <c r="CB948" s="567"/>
      <c r="CC948" s="653"/>
      <c r="CD948" s="650"/>
      <c r="CE948" s="650"/>
      <c r="CF948" s="551"/>
      <c r="CG948" s="551"/>
      <c r="CI948" s="551"/>
      <c r="CJ948" s="551"/>
      <c r="CK948" s="551"/>
      <c r="CL948" s="551"/>
      <c r="CM948" s="551"/>
      <c r="CN948" s="551"/>
      <c r="CO948" s="551"/>
      <c r="CP948" s="551"/>
      <c r="CQ948" s="551"/>
      <c r="CR948" s="551"/>
      <c r="CS948" s="551"/>
      <c r="CT948" s="551"/>
      <c r="CU948" s="554">
        <f t="shared" si="346"/>
        <v>20</v>
      </c>
      <c r="CV948" s="551">
        <f t="shared" si="364"/>
        <v>0</v>
      </c>
      <c r="CW948" s="551">
        <f t="shared" si="365"/>
        <v>0</v>
      </c>
      <c r="CX948" s="650"/>
      <c r="CY948" s="650"/>
      <c r="CZ948" s="650"/>
      <c r="DA948" s="548"/>
      <c r="DB948" s="548"/>
      <c r="DC948" s="548"/>
      <c r="DD948" s="650"/>
      <c r="DE948" s="650"/>
      <c r="DF948" s="650"/>
      <c r="DG948" s="650"/>
      <c r="DH948" s="650"/>
    </row>
    <row r="949" s="548" customFormat="1" ht="31" customHeight="1" spans="1:112">
      <c r="A949" s="641">
        <v>45986</v>
      </c>
      <c r="B949" s="642" t="s">
        <v>1906</v>
      </c>
      <c r="C949" s="246" t="s">
        <v>154</v>
      </c>
      <c r="D949" s="551">
        <v>4500189939</v>
      </c>
      <c r="E949" s="246">
        <v>5200008525</v>
      </c>
      <c r="F949" s="551" t="s">
        <v>8453</v>
      </c>
      <c r="G949" s="246" t="s">
        <v>6120</v>
      </c>
      <c r="H949" s="246" t="s">
        <v>6094</v>
      </c>
      <c r="I949" s="246">
        <v>611</v>
      </c>
      <c r="J949" s="246">
        <v>0</v>
      </c>
      <c r="K949" s="246">
        <v>13</v>
      </c>
      <c r="L949" s="644">
        <f t="shared" si="358"/>
        <v>47</v>
      </c>
      <c r="M949" s="645">
        <v>46024</v>
      </c>
      <c r="N949" s="645">
        <v>46020</v>
      </c>
      <c r="O949" s="643" t="s">
        <v>8454</v>
      </c>
      <c r="P949" s="643" t="s">
        <v>113</v>
      </c>
      <c r="Q949" s="246"/>
      <c r="R949" s="646">
        <v>45996</v>
      </c>
      <c r="S949" s="646" t="s">
        <v>70</v>
      </c>
      <c r="T949" s="646" t="s">
        <v>7953</v>
      </c>
      <c r="U949" s="646"/>
      <c r="V949" s="646"/>
      <c r="W949" s="615"/>
      <c r="X949" s="642" t="s">
        <v>8455</v>
      </c>
      <c r="Y949" s="642" t="s">
        <v>1237</v>
      </c>
      <c r="Z949" s="655">
        <v>0.8999</v>
      </c>
      <c r="AA949" s="647">
        <f>Z949*I949</f>
        <v>549.8389</v>
      </c>
      <c r="AC949" s="648" t="s">
        <v>8456</v>
      </c>
      <c r="AD949" s="246" t="s">
        <v>6093</v>
      </c>
      <c r="AE949" s="246" t="s">
        <v>82</v>
      </c>
      <c r="AF949" s="246"/>
      <c r="AG949" s="246"/>
      <c r="AH949" s="246" t="s">
        <v>2629</v>
      </c>
      <c r="AI949" s="246">
        <v>611</v>
      </c>
      <c r="AJ949" s="246">
        <f t="shared" si="362"/>
        <v>0</v>
      </c>
      <c r="AK949" s="246"/>
      <c r="AL949" s="246" t="s">
        <v>2368</v>
      </c>
      <c r="AM949" s="246"/>
      <c r="AN949" s="246"/>
      <c r="AO949" s="551">
        <f>I949</f>
        <v>611</v>
      </c>
      <c r="AR949" s="680"/>
      <c r="AS949" s="548"/>
      <c r="AT949" s="554">
        <f>I949</f>
        <v>611</v>
      </c>
      <c r="AU949" s="551"/>
      <c r="AV949" s="554">
        <f>I949</f>
        <v>611</v>
      </c>
      <c r="AW949" s="650"/>
      <c r="AX949" s="551"/>
      <c r="AY949" s="548"/>
      <c r="AZ949" s="548"/>
      <c r="BA949" s="548"/>
      <c r="BB949" s="620">
        <f t="shared" si="363"/>
        <v>25.4583333333333</v>
      </c>
      <c r="BC949" s="651"/>
      <c r="BD949" s="548"/>
      <c r="BE949" s="548"/>
      <c r="BF949" s="548"/>
      <c r="BM949" s="551">
        <f>I949/13</f>
        <v>47</v>
      </c>
      <c r="BY949" s="650"/>
      <c r="BZ949" s="548"/>
      <c r="CA949" s="652"/>
      <c r="CB949" s="567"/>
      <c r="CC949" s="653"/>
      <c r="CD949" s="650"/>
      <c r="CE949" s="650"/>
      <c r="CF949" s="548"/>
      <c r="CG949" s="548"/>
      <c r="CU949" s="554">
        <f t="shared" si="346"/>
        <v>0</v>
      </c>
      <c r="CV949" s="551">
        <f t="shared" si="364"/>
        <v>0</v>
      </c>
      <c r="CW949" s="551">
        <f t="shared" si="365"/>
        <v>0</v>
      </c>
      <c r="CX949" s="650"/>
      <c r="CY949" s="650"/>
      <c r="CZ949" s="650"/>
      <c r="DA949" s="548"/>
      <c r="DB949" s="548"/>
      <c r="DC949" s="548"/>
      <c r="DD949" s="650"/>
      <c r="DE949" s="650"/>
      <c r="DF949" s="650"/>
      <c r="DG949" s="650"/>
      <c r="DH949" s="650"/>
    </row>
    <row r="950" s="548" customFormat="1" ht="31" customHeight="1" spans="1:112">
      <c r="A950" s="641">
        <v>45978</v>
      </c>
      <c r="B950" s="642" t="s">
        <v>1492</v>
      </c>
      <c r="C950" s="246" t="s">
        <v>98</v>
      </c>
      <c r="D950" s="551">
        <v>4500185916</v>
      </c>
      <c r="E950" s="643">
        <v>1711216693</v>
      </c>
      <c r="F950" s="551" t="s">
        <v>2665</v>
      </c>
      <c r="G950" s="246" t="s">
        <v>8457</v>
      </c>
      <c r="H950" s="246" t="s">
        <v>830</v>
      </c>
      <c r="I950" s="704">
        <v>5400</v>
      </c>
      <c r="J950" s="246">
        <v>0</v>
      </c>
      <c r="K950" s="246">
        <v>75</v>
      </c>
      <c r="L950" s="644">
        <f t="shared" ref="L936:L984" si="366">I950/K950</f>
        <v>72</v>
      </c>
      <c r="M950" s="645">
        <v>46028</v>
      </c>
      <c r="N950" s="645">
        <v>46024</v>
      </c>
      <c r="O950" s="246"/>
      <c r="P950" s="643" t="s">
        <v>113</v>
      </c>
      <c r="Q950" s="246" t="s">
        <v>8458</v>
      </c>
      <c r="R950" s="646" t="s">
        <v>2667</v>
      </c>
      <c r="S950" s="646" t="s">
        <v>70</v>
      </c>
      <c r="T950" s="646" t="s">
        <v>70</v>
      </c>
      <c r="U950" s="646"/>
      <c r="V950" s="646"/>
      <c r="W950" s="615"/>
      <c r="X950" s="642" t="s">
        <v>2668</v>
      </c>
      <c r="Y950" s="642" t="s">
        <v>911</v>
      </c>
      <c r="Z950" s="655">
        <v>359.3436</v>
      </c>
      <c r="AA950" s="647">
        <f>Z950*L950</f>
        <v>25872.7392</v>
      </c>
      <c r="AC950" s="658" t="s">
        <v>8459</v>
      </c>
      <c r="AD950" s="246" t="s">
        <v>1498</v>
      </c>
      <c r="AE950" s="246" t="s">
        <v>82</v>
      </c>
      <c r="AF950" s="246"/>
      <c r="AG950" s="642"/>
      <c r="AH950" s="642">
        <v>1</v>
      </c>
      <c r="AI950" s="246">
        <v>5400</v>
      </c>
      <c r="AJ950" s="246">
        <f t="shared" si="362"/>
        <v>0</v>
      </c>
      <c r="AK950" s="246"/>
      <c r="AL950" s="246"/>
      <c r="AM950" s="246"/>
      <c r="AN950" s="610">
        <f>I950*3</f>
        <v>16200</v>
      </c>
      <c r="AO950" s="551"/>
      <c r="AP950" s="551"/>
      <c r="AQ950" s="551"/>
      <c r="AR950" s="650"/>
      <c r="AS950" s="551"/>
      <c r="AT950" s="551"/>
      <c r="AU950" s="551"/>
      <c r="AV950" s="551"/>
      <c r="AW950" s="650"/>
      <c r="AX950" s="551"/>
      <c r="AY950" s="551"/>
      <c r="AZ950" s="551"/>
      <c r="BA950" s="551"/>
      <c r="BB950" s="249">
        <f>I950/24*3</f>
        <v>675</v>
      </c>
      <c r="BC950" s="651"/>
      <c r="BD950" s="551"/>
      <c r="BE950" s="551"/>
      <c r="BF950" s="551">
        <f>AN950</f>
        <v>16200</v>
      </c>
      <c r="BH950" s="551">
        <f>AN950</f>
        <v>16200</v>
      </c>
      <c r="BI950" s="551">
        <f>I950</f>
        <v>5400</v>
      </c>
      <c r="BJ950" s="551">
        <f>I950/5</f>
        <v>1080</v>
      </c>
      <c r="BK950" s="551"/>
      <c r="BL950" s="551"/>
      <c r="BM950" s="551"/>
      <c r="BN950" s="551"/>
      <c r="BO950" s="551"/>
      <c r="BP950" s="551"/>
      <c r="BQ950" s="551"/>
      <c r="BR950" s="551"/>
      <c r="BS950" s="551"/>
      <c r="BT950" s="551"/>
      <c r="BU950" s="551"/>
      <c r="BV950" s="551"/>
      <c r="BW950" s="551"/>
      <c r="BX950" s="551"/>
      <c r="BY950" s="650"/>
      <c r="BZ950" s="551"/>
      <c r="CA950" s="652"/>
      <c r="CB950" s="567"/>
      <c r="CC950" s="653"/>
      <c r="CD950" s="650"/>
      <c r="CE950" s="650"/>
      <c r="CF950" s="551"/>
      <c r="CG950" s="551"/>
      <c r="CI950" s="551"/>
      <c r="CJ950" s="551"/>
      <c r="CK950" s="551"/>
      <c r="CL950" s="551"/>
      <c r="CM950" s="551"/>
      <c r="CN950" s="551"/>
      <c r="CO950" s="551"/>
      <c r="CP950" s="551"/>
      <c r="CQ950" s="551"/>
      <c r="CR950" s="551"/>
      <c r="CS950" s="551"/>
      <c r="CT950" s="551"/>
      <c r="CU950" s="554">
        <f t="shared" si="346"/>
        <v>0</v>
      </c>
      <c r="CV950" s="551">
        <f t="shared" si="364"/>
        <v>0</v>
      </c>
      <c r="CW950" s="551">
        <f t="shared" si="365"/>
        <v>0</v>
      </c>
      <c r="CX950" s="650"/>
      <c r="CY950" s="650"/>
      <c r="CZ950" s="650"/>
      <c r="DA950" s="548"/>
      <c r="DB950" s="548"/>
      <c r="DC950" s="548"/>
      <c r="DD950" s="650"/>
      <c r="DE950" s="650"/>
      <c r="DF950" s="650"/>
      <c r="DG950" s="650"/>
      <c r="DH950" s="650"/>
    </row>
    <row r="951" s="548" customFormat="1" ht="31" customHeight="1" spans="1:112">
      <c r="A951" s="641">
        <v>45986</v>
      </c>
      <c r="B951" s="642" t="s">
        <v>611</v>
      </c>
      <c r="C951" s="246" t="s">
        <v>612</v>
      </c>
      <c r="D951" s="551">
        <v>4500186877</v>
      </c>
      <c r="E951" s="246"/>
      <c r="F951" s="551" t="s">
        <v>8460</v>
      </c>
      <c r="G951" s="246" t="s">
        <v>6040</v>
      </c>
      <c r="H951" s="246" t="s">
        <v>6041</v>
      </c>
      <c r="I951" s="704">
        <v>1872</v>
      </c>
      <c r="J951" s="246">
        <v>0</v>
      </c>
      <c r="K951" s="246">
        <v>52</v>
      </c>
      <c r="L951" s="644">
        <f t="shared" si="366"/>
        <v>36</v>
      </c>
      <c r="M951" s="645">
        <v>46028</v>
      </c>
      <c r="N951" s="645">
        <v>46024</v>
      </c>
      <c r="O951" s="246"/>
      <c r="P951" s="643" t="s">
        <v>113</v>
      </c>
      <c r="Q951" s="246"/>
      <c r="R951" s="646">
        <v>45989</v>
      </c>
      <c r="S951" s="646" t="s">
        <v>70</v>
      </c>
      <c r="T951" s="646" t="s">
        <v>8461</v>
      </c>
      <c r="U951" s="646"/>
      <c r="V951" s="646"/>
      <c r="W951" s="615"/>
      <c r="X951" s="642" t="s">
        <v>8462</v>
      </c>
      <c r="Y951" s="642" t="s">
        <v>615</v>
      </c>
      <c r="Z951" s="655">
        <v>0.9129</v>
      </c>
      <c r="AA951" s="647">
        <f t="shared" ref="AA951:AA956" si="367">Z951*I951</f>
        <v>1708.9488</v>
      </c>
      <c r="AC951" s="705" t="s">
        <v>2645</v>
      </c>
      <c r="AD951" s="246" t="s">
        <v>6040</v>
      </c>
      <c r="AE951" s="246" t="s">
        <v>82</v>
      </c>
      <c r="AF951" s="246"/>
      <c r="AG951" s="642"/>
      <c r="AH951" s="642">
        <v>1</v>
      </c>
      <c r="AI951" s="246">
        <v>1872</v>
      </c>
      <c r="AJ951" s="246">
        <f t="shared" si="362"/>
        <v>0</v>
      </c>
      <c r="AK951" s="246"/>
      <c r="AL951" s="246" t="s">
        <v>2368</v>
      </c>
      <c r="AM951" s="246"/>
      <c r="AN951" s="246"/>
      <c r="AO951" s="551">
        <f>I951</f>
        <v>1872</v>
      </c>
      <c r="AP951" s="551"/>
      <c r="AQ951" s="551"/>
      <c r="AR951" s="650"/>
      <c r="AS951" s="551"/>
      <c r="AT951" s="554">
        <f>I951</f>
        <v>1872</v>
      </c>
      <c r="AU951" s="551"/>
      <c r="AV951" s="554">
        <f>I951</f>
        <v>1872</v>
      </c>
      <c r="AW951" s="650"/>
      <c r="AX951" s="551"/>
      <c r="AY951" s="551"/>
      <c r="AZ951" s="551"/>
      <c r="BA951" s="551"/>
      <c r="BB951" s="620">
        <f>I951/24</f>
        <v>78</v>
      </c>
      <c r="BC951" s="651"/>
      <c r="BD951" s="551"/>
      <c r="BE951" s="551"/>
      <c r="BF951" s="551"/>
      <c r="BH951" s="551"/>
      <c r="BI951" s="551"/>
      <c r="BJ951" s="551"/>
      <c r="BK951" s="551"/>
      <c r="BL951" s="551"/>
      <c r="BM951" s="551">
        <f>I951/13</f>
        <v>144</v>
      </c>
      <c r="BN951" s="551"/>
      <c r="BO951" s="551"/>
      <c r="BP951" s="551"/>
      <c r="BQ951" s="551"/>
      <c r="BR951" s="551"/>
      <c r="BS951" s="551"/>
      <c r="BT951" s="551"/>
      <c r="BU951" s="551"/>
      <c r="BV951" s="551"/>
      <c r="BW951" s="551"/>
      <c r="BX951" s="551"/>
      <c r="BY951" s="650"/>
      <c r="BZ951" s="551"/>
      <c r="CA951" s="652"/>
      <c r="CB951" s="567"/>
      <c r="CC951" s="653"/>
      <c r="CD951" s="650"/>
      <c r="CE951" s="650"/>
      <c r="CF951" s="551"/>
      <c r="CG951" s="551"/>
      <c r="CI951" s="551"/>
      <c r="CJ951" s="551"/>
      <c r="CK951" s="551"/>
      <c r="CL951" s="551"/>
      <c r="CM951" s="551"/>
      <c r="CN951" s="551"/>
      <c r="CO951" s="551"/>
      <c r="CP951" s="551"/>
      <c r="CQ951" s="551"/>
      <c r="CR951" s="551"/>
      <c r="CS951" s="551"/>
      <c r="CT951" s="551"/>
      <c r="CU951" s="554">
        <f t="shared" si="346"/>
        <v>0</v>
      </c>
      <c r="CV951" s="551">
        <f t="shared" si="364"/>
        <v>0</v>
      </c>
      <c r="CW951" s="551">
        <f t="shared" si="365"/>
        <v>0</v>
      </c>
      <c r="CX951" s="650"/>
      <c r="CY951" s="650"/>
      <c r="CZ951" s="650"/>
      <c r="DA951" s="548"/>
      <c r="DB951" s="548"/>
      <c r="DC951" s="548"/>
      <c r="DD951" s="650"/>
      <c r="DE951" s="650"/>
      <c r="DF951" s="650"/>
      <c r="DG951" s="650"/>
      <c r="DH951" s="650"/>
    </row>
    <row r="952" s="548" customFormat="1" ht="31" customHeight="1" spans="1:112">
      <c r="A952" s="641">
        <v>45986</v>
      </c>
      <c r="B952" s="642" t="s">
        <v>312</v>
      </c>
      <c r="C952" s="246" t="s">
        <v>278</v>
      </c>
      <c r="D952" s="551">
        <v>4500186899</v>
      </c>
      <c r="E952" s="246" t="s">
        <v>2646</v>
      </c>
      <c r="F952" s="551" t="s">
        <v>8463</v>
      </c>
      <c r="G952" s="246" t="s">
        <v>6040</v>
      </c>
      <c r="H952" s="246" t="s">
        <v>6041</v>
      </c>
      <c r="I952" s="704">
        <v>10400</v>
      </c>
      <c r="J952" s="246">
        <v>0</v>
      </c>
      <c r="K952" s="246">
        <v>52</v>
      </c>
      <c r="L952" s="644">
        <f t="shared" si="366"/>
        <v>200</v>
      </c>
      <c r="M952" s="645">
        <v>46028</v>
      </c>
      <c r="N952" s="645">
        <v>46024</v>
      </c>
      <c r="O952" s="246"/>
      <c r="P952" s="643" t="s">
        <v>113</v>
      </c>
      <c r="Q952" s="246"/>
      <c r="R952" s="646">
        <v>45981</v>
      </c>
      <c r="S952" s="646" t="s">
        <v>70</v>
      </c>
      <c r="T952" s="646" t="s">
        <v>8464</v>
      </c>
      <c r="U952" s="646"/>
      <c r="V952" s="646"/>
      <c r="W952" s="615"/>
      <c r="X952" s="642" t="s">
        <v>8465</v>
      </c>
      <c r="Y952" s="642" t="s">
        <v>2199</v>
      </c>
      <c r="Z952" s="655">
        <v>0.9002</v>
      </c>
      <c r="AA952" s="647">
        <f t="shared" si="367"/>
        <v>9362.08</v>
      </c>
      <c r="AC952" s="648"/>
      <c r="AD952" s="246" t="s">
        <v>6040</v>
      </c>
      <c r="AE952" s="246" t="s">
        <v>82</v>
      </c>
      <c r="AF952" s="246"/>
      <c r="AG952" s="642"/>
      <c r="AH952" s="642">
        <v>1</v>
      </c>
      <c r="AI952" s="246">
        <v>10400</v>
      </c>
      <c r="AJ952" s="246">
        <f t="shared" si="362"/>
        <v>0</v>
      </c>
      <c r="AK952" s="246"/>
      <c r="AL952" s="246" t="s">
        <v>2368</v>
      </c>
      <c r="AM952" s="246"/>
      <c r="AN952" s="246"/>
      <c r="AO952" s="551">
        <f>I952</f>
        <v>10400</v>
      </c>
      <c r="AP952" s="551"/>
      <c r="AQ952" s="551"/>
      <c r="AR952" s="650"/>
      <c r="AS952" s="551"/>
      <c r="AT952" s="554">
        <f>I952</f>
        <v>10400</v>
      </c>
      <c r="AU952" s="551"/>
      <c r="AV952" s="554">
        <f>I952</f>
        <v>10400</v>
      </c>
      <c r="AW952" s="650"/>
      <c r="AX952" s="551"/>
      <c r="AY952" s="551"/>
      <c r="AZ952" s="551"/>
      <c r="BA952" s="551"/>
      <c r="BB952" s="620">
        <f>I952/24</f>
        <v>433.333333333333</v>
      </c>
      <c r="BC952" s="651"/>
      <c r="BD952" s="551"/>
      <c r="BE952" s="551"/>
      <c r="BF952" s="551"/>
      <c r="BH952" s="551"/>
      <c r="BI952" s="551"/>
      <c r="BJ952" s="551"/>
      <c r="BK952" s="551"/>
      <c r="BL952" s="551"/>
      <c r="BM952" s="551">
        <f>I952/13</f>
        <v>800</v>
      </c>
      <c r="BN952" s="551"/>
      <c r="BO952" s="551"/>
      <c r="BP952" s="551"/>
      <c r="BQ952" s="551"/>
      <c r="BR952" s="551"/>
      <c r="BS952" s="551"/>
      <c r="BT952" s="551"/>
      <c r="BU952" s="551"/>
      <c r="BV952" s="551"/>
      <c r="BW952" s="551"/>
      <c r="BX952" s="551"/>
      <c r="BY952" s="650"/>
      <c r="BZ952" s="551"/>
      <c r="CA952" s="652"/>
      <c r="CB952" s="567"/>
      <c r="CC952" s="653"/>
      <c r="CD952" s="650"/>
      <c r="CE952" s="650"/>
      <c r="CF952" s="551"/>
      <c r="CG952" s="551"/>
      <c r="CI952" s="551"/>
      <c r="CJ952" s="551"/>
      <c r="CK952" s="551"/>
      <c r="CL952" s="551"/>
      <c r="CM952" s="551"/>
      <c r="CN952" s="551"/>
      <c r="CO952" s="551"/>
      <c r="CP952" s="551"/>
      <c r="CQ952" s="551"/>
      <c r="CR952" s="551"/>
      <c r="CS952" s="551"/>
      <c r="CT952" s="551"/>
      <c r="CU952" s="554">
        <f t="shared" si="346"/>
        <v>0</v>
      </c>
      <c r="CV952" s="551">
        <f t="shared" si="364"/>
        <v>0</v>
      </c>
      <c r="CW952" s="551">
        <f t="shared" si="365"/>
        <v>0</v>
      </c>
      <c r="CX952" s="650"/>
      <c r="CY952" s="650"/>
      <c r="CZ952" s="650"/>
      <c r="DA952" s="548"/>
      <c r="DB952" s="548"/>
      <c r="DC952" s="548"/>
      <c r="DD952" s="650"/>
      <c r="DE952" s="650"/>
      <c r="DF952" s="650"/>
      <c r="DG952" s="650"/>
      <c r="DH952" s="650"/>
    </row>
    <row r="953" s="548" customFormat="1" ht="31" customHeight="1" spans="1:112">
      <c r="A953" s="641">
        <v>45982</v>
      </c>
      <c r="B953" s="642" t="s">
        <v>3340</v>
      </c>
      <c r="C953" s="246" t="s">
        <v>98</v>
      </c>
      <c r="D953" s="551">
        <v>4500186435</v>
      </c>
      <c r="E953" s="643">
        <v>718559</v>
      </c>
      <c r="F953" s="551" t="s">
        <v>8466</v>
      </c>
      <c r="G953" s="246" t="s">
        <v>6787</v>
      </c>
      <c r="H953" s="610" t="s">
        <v>6126</v>
      </c>
      <c r="I953" s="704">
        <v>1200</v>
      </c>
      <c r="J953" s="246">
        <v>0</v>
      </c>
      <c r="K953" s="246">
        <v>12</v>
      </c>
      <c r="L953" s="644">
        <f t="shared" si="366"/>
        <v>100</v>
      </c>
      <c r="M953" s="645">
        <v>46029</v>
      </c>
      <c r="N953" s="645">
        <v>46025</v>
      </c>
      <c r="O953" s="246"/>
      <c r="P953" s="643" t="s">
        <v>113</v>
      </c>
      <c r="Q953" s="246"/>
      <c r="R953" s="646">
        <v>45982</v>
      </c>
      <c r="S953" s="646" t="s">
        <v>70</v>
      </c>
      <c r="T953" s="646" t="s">
        <v>2738</v>
      </c>
      <c r="U953" s="646"/>
      <c r="V953" s="646"/>
      <c r="W953" s="615"/>
      <c r="X953" s="642" t="s">
        <v>8467</v>
      </c>
      <c r="Y953" s="642" t="s">
        <v>2554</v>
      </c>
      <c r="Z953" s="655">
        <v>1.3094</v>
      </c>
      <c r="AA953" s="647">
        <f t="shared" si="367"/>
        <v>1571.28</v>
      </c>
      <c r="AC953" s="658" t="s">
        <v>8468</v>
      </c>
      <c r="AD953" s="246" t="s">
        <v>6128</v>
      </c>
      <c r="AE953" s="246" t="s">
        <v>82</v>
      </c>
      <c r="AF953" s="246"/>
      <c r="AG953" s="642"/>
      <c r="AH953" s="642">
        <v>1</v>
      </c>
      <c r="AI953" s="246">
        <f>1188+12</f>
        <v>1200</v>
      </c>
      <c r="AJ953" s="246">
        <f t="shared" si="362"/>
        <v>0</v>
      </c>
      <c r="AK953" s="246"/>
      <c r="AL953" s="246" t="s">
        <v>2368</v>
      </c>
      <c r="AM953" s="246"/>
      <c r="AN953" s="610">
        <f>I953*2</f>
        <v>2400</v>
      </c>
      <c r="AO953" s="551"/>
      <c r="AP953" s="551"/>
      <c r="AQ953" s="554">
        <f>I953*2</f>
        <v>2400</v>
      </c>
      <c r="AR953" s="650"/>
      <c r="AS953" s="551"/>
      <c r="AT953" s="551"/>
      <c r="AU953" s="554">
        <f>I953*2</f>
        <v>2400</v>
      </c>
      <c r="AV953" s="551"/>
      <c r="AW953" s="650"/>
      <c r="AX953" s="551"/>
      <c r="AY953" s="551"/>
      <c r="AZ953" s="551"/>
      <c r="BA953" s="551"/>
      <c r="BB953" s="249">
        <f>I953/24*2</f>
        <v>100</v>
      </c>
      <c r="BC953" s="651"/>
      <c r="BD953" s="551"/>
      <c r="BE953" s="551"/>
      <c r="BF953" s="551"/>
      <c r="BH953" s="551"/>
      <c r="BI953" s="551"/>
      <c r="BJ953" s="551"/>
      <c r="BK953" s="551"/>
      <c r="BL953" s="551"/>
      <c r="BM953" s="551"/>
      <c r="BN953" s="551"/>
      <c r="BO953" s="551"/>
      <c r="BP953" s="551"/>
      <c r="BQ953" s="551"/>
      <c r="BR953" s="551"/>
      <c r="BS953" s="551"/>
      <c r="BT953" s="551"/>
      <c r="BU953" s="551"/>
      <c r="BV953" s="551"/>
      <c r="BW953" s="551"/>
      <c r="BX953" s="551"/>
      <c r="BY953" s="650"/>
      <c r="BZ953" s="551"/>
      <c r="CA953" s="652"/>
      <c r="CB953" s="567"/>
      <c r="CC953" s="653"/>
      <c r="CD953" s="650"/>
      <c r="CE953" s="650"/>
      <c r="CF953" s="551"/>
      <c r="CG953" s="551"/>
      <c r="CI953" s="551"/>
      <c r="CJ953" s="551"/>
      <c r="CK953" s="551"/>
      <c r="CL953" s="551"/>
      <c r="CM953" s="551"/>
      <c r="CN953" s="551"/>
      <c r="CO953" s="551"/>
      <c r="CP953" s="551"/>
      <c r="CQ953" s="551"/>
      <c r="CR953" s="554">
        <f>I953</f>
        <v>1200</v>
      </c>
      <c r="CS953" s="554">
        <f>I953</f>
        <v>1200</v>
      </c>
      <c r="CT953" s="554">
        <f>I953</f>
        <v>1200</v>
      </c>
      <c r="CU953" s="554">
        <f t="shared" si="346"/>
        <v>0</v>
      </c>
      <c r="CV953" s="551">
        <v>0</v>
      </c>
      <c r="CW953" s="551">
        <v>0</v>
      </c>
      <c r="CX953" s="650"/>
      <c r="CY953" s="650"/>
      <c r="CZ953" s="650"/>
      <c r="DA953" s="548"/>
      <c r="DB953" s="548"/>
      <c r="DC953" s="548"/>
      <c r="DD953" s="650"/>
      <c r="DE953" s="650"/>
      <c r="DF953" s="650"/>
      <c r="DG953" s="650"/>
      <c r="DH953" s="650"/>
    </row>
    <row r="954" s="548" customFormat="1" ht="31" customHeight="1" spans="1:112">
      <c r="A954" s="641">
        <v>45982</v>
      </c>
      <c r="B954" s="642" t="s">
        <v>3340</v>
      </c>
      <c r="C954" s="246" t="s">
        <v>98</v>
      </c>
      <c r="D954" s="551">
        <v>4500186433</v>
      </c>
      <c r="E954" s="643">
        <v>718558</v>
      </c>
      <c r="F954" s="551" t="s">
        <v>8469</v>
      </c>
      <c r="G954" s="246" t="s">
        <v>6787</v>
      </c>
      <c r="H954" s="610" t="s">
        <v>6126</v>
      </c>
      <c r="I954" s="704">
        <v>996</v>
      </c>
      <c r="J954" s="246">
        <v>0</v>
      </c>
      <c r="K954" s="246">
        <v>12</v>
      </c>
      <c r="L954" s="644">
        <f t="shared" si="366"/>
        <v>83</v>
      </c>
      <c r="M954" s="645">
        <v>46029</v>
      </c>
      <c r="N954" s="645">
        <v>46025</v>
      </c>
      <c r="O954" s="246"/>
      <c r="P954" s="643" t="s">
        <v>113</v>
      </c>
      <c r="Q954" s="246"/>
      <c r="R954" s="646">
        <v>45982</v>
      </c>
      <c r="S954" s="646" t="s">
        <v>70</v>
      </c>
      <c r="T954" s="646" t="s">
        <v>2738</v>
      </c>
      <c r="U954" s="646"/>
      <c r="V954" s="646"/>
      <c r="W954" s="615"/>
      <c r="X954" s="642" t="s">
        <v>8470</v>
      </c>
      <c r="Y954" s="642" t="s">
        <v>2554</v>
      </c>
      <c r="Z954" s="655">
        <v>1.3094</v>
      </c>
      <c r="AA954" s="647">
        <f t="shared" si="367"/>
        <v>1304.1624</v>
      </c>
      <c r="AC954" s="658" t="s">
        <v>8471</v>
      </c>
      <c r="AD954" s="246" t="s">
        <v>6128</v>
      </c>
      <c r="AE954" s="246" t="s">
        <v>82</v>
      </c>
      <c r="AF954" s="246"/>
      <c r="AG954" s="642"/>
      <c r="AH954" s="642">
        <v>1</v>
      </c>
      <c r="AI954" s="246">
        <v>996</v>
      </c>
      <c r="AJ954" s="246">
        <f t="shared" si="362"/>
        <v>0</v>
      </c>
      <c r="AK954" s="246"/>
      <c r="AL954" s="246" t="s">
        <v>2368</v>
      </c>
      <c r="AM954" s="246"/>
      <c r="AN954" s="610">
        <f>I954*2</f>
        <v>1992</v>
      </c>
      <c r="AO954" s="551"/>
      <c r="AP954" s="551"/>
      <c r="AQ954" s="554">
        <f>I954*2</f>
        <v>1992</v>
      </c>
      <c r="AR954" s="650"/>
      <c r="AS954" s="551"/>
      <c r="AT954" s="551"/>
      <c r="AU954" s="554">
        <f>I954*2</f>
        <v>1992</v>
      </c>
      <c r="AV954" s="551"/>
      <c r="AW954" s="650"/>
      <c r="AX954" s="551"/>
      <c r="AY954" s="551"/>
      <c r="AZ954" s="551"/>
      <c r="BA954" s="551"/>
      <c r="BB954" s="249">
        <f>I954/24*2</f>
        <v>83</v>
      </c>
      <c r="BC954" s="651"/>
      <c r="BD954" s="551"/>
      <c r="BE954" s="551"/>
      <c r="BF954" s="551"/>
      <c r="BH954" s="551"/>
      <c r="BI954" s="551"/>
      <c r="BJ954" s="551"/>
      <c r="BK954" s="551"/>
      <c r="BL954" s="551"/>
      <c r="BM954" s="551"/>
      <c r="BN954" s="551"/>
      <c r="BO954" s="551"/>
      <c r="BP954" s="551"/>
      <c r="BQ954" s="551"/>
      <c r="BR954" s="551"/>
      <c r="BS954" s="551"/>
      <c r="BT954" s="551"/>
      <c r="BU954" s="551"/>
      <c r="BV954" s="551"/>
      <c r="BW954" s="551"/>
      <c r="BX954" s="551"/>
      <c r="BY954" s="650"/>
      <c r="BZ954" s="551"/>
      <c r="CA954" s="652"/>
      <c r="CB954" s="567"/>
      <c r="CC954" s="653"/>
      <c r="CD954" s="650"/>
      <c r="CE954" s="650"/>
      <c r="CF954" s="551"/>
      <c r="CG954" s="551"/>
      <c r="CI954" s="551"/>
      <c r="CJ954" s="551"/>
      <c r="CK954" s="551"/>
      <c r="CL954" s="551"/>
      <c r="CM954" s="551"/>
      <c r="CN954" s="551"/>
      <c r="CO954" s="551"/>
      <c r="CP954" s="551"/>
      <c r="CQ954" s="551"/>
      <c r="CR954" s="554">
        <f>I954</f>
        <v>996</v>
      </c>
      <c r="CS954" s="554">
        <f>I954</f>
        <v>996</v>
      </c>
      <c r="CT954" s="554">
        <f>I954</f>
        <v>996</v>
      </c>
      <c r="CU954" s="554">
        <f t="shared" si="346"/>
        <v>0</v>
      </c>
      <c r="CV954" s="551">
        <v>0</v>
      </c>
      <c r="CW954" s="551">
        <v>0</v>
      </c>
      <c r="CX954" s="650"/>
      <c r="CY954" s="650"/>
      <c r="CZ954" s="650"/>
      <c r="DA954" s="548"/>
      <c r="DB954" s="548"/>
      <c r="DC954" s="548"/>
      <c r="DD954" s="650"/>
      <c r="DE954" s="650"/>
      <c r="DF954" s="650"/>
      <c r="DG954" s="650"/>
      <c r="DH954" s="650"/>
    </row>
    <row r="955" s="548" customFormat="1" ht="31" customHeight="1" spans="1:112">
      <c r="A955" s="641">
        <v>45988</v>
      </c>
      <c r="B955" s="642" t="s">
        <v>3340</v>
      </c>
      <c r="C955" s="246" t="s">
        <v>98</v>
      </c>
      <c r="D955" s="551">
        <v>4500187236</v>
      </c>
      <c r="E955" s="246">
        <v>770793</v>
      </c>
      <c r="F955" s="551" t="s">
        <v>8472</v>
      </c>
      <c r="G955" s="246" t="s">
        <v>6787</v>
      </c>
      <c r="H955" s="610" t="s">
        <v>6126</v>
      </c>
      <c r="I955" s="704">
        <v>1200</v>
      </c>
      <c r="J955" s="246">
        <v>0</v>
      </c>
      <c r="K955" s="246">
        <v>12</v>
      </c>
      <c r="L955" s="644">
        <f t="shared" si="366"/>
        <v>100</v>
      </c>
      <c r="M955" s="645">
        <v>46029</v>
      </c>
      <c r="N955" s="645">
        <v>46025</v>
      </c>
      <c r="O955" s="246"/>
      <c r="P955" s="643" t="s">
        <v>113</v>
      </c>
      <c r="Q955" s="246"/>
      <c r="R955" s="646">
        <v>45988</v>
      </c>
      <c r="S955" s="646" t="s">
        <v>70</v>
      </c>
      <c r="T955" s="646" t="s">
        <v>2738</v>
      </c>
      <c r="U955" s="646"/>
      <c r="V955" s="646"/>
      <c r="W955" s="615"/>
      <c r="X955" s="642" t="s">
        <v>8473</v>
      </c>
      <c r="Y955" s="642" t="s">
        <v>2554</v>
      </c>
      <c r="Z955" s="655">
        <v>1.2871</v>
      </c>
      <c r="AA955" s="647">
        <f t="shared" si="367"/>
        <v>1544.52</v>
      </c>
      <c r="AC955" s="658" t="s">
        <v>8474</v>
      </c>
      <c r="AD955" s="246" t="s">
        <v>6128</v>
      </c>
      <c r="AE955" s="246" t="s">
        <v>82</v>
      </c>
      <c r="AF955" s="246"/>
      <c r="AG955" s="642"/>
      <c r="AH955" s="642">
        <v>1</v>
      </c>
      <c r="AI955" s="246">
        <v>1200</v>
      </c>
      <c r="AJ955" s="246"/>
      <c r="AK955" s="246"/>
      <c r="AL955" s="246" t="s">
        <v>2368</v>
      </c>
      <c r="AM955" s="246"/>
      <c r="AN955" s="610">
        <f>I955*2</f>
        <v>2400</v>
      </c>
      <c r="AO955" s="551"/>
      <c r="AP955" s="551"/>
      <c r="AQ955" s="554">
        <f>I955*2</f>
        <v>2400</v>
      </c>
      <c r="AR955" s="650"/>
      <c r="AS955" s="551"/>
      <c r="AT955" s="551"/>
      <c r="AU955" s="554">
        <f>I955*2</f>
        <v>2400</v>
      </c>
      <c r="AV955" s="551"/>
      <c r="AW955" s="650"/>
      <c r="AX955" s="551"/>
      <c r="AY955" s="551"/>
      <c r="AZ955" s="551"/>
      <c r="BA955" s="551"/>
      <c r="BB955" s="249">
        <f>I955/24*2</f>
        <v>100</v>
      </c>
      <c r="BC955" s="651"/>
      <c r="BD955" s="551"/>
      <c r="BE955" s="551"/>
      <c r="BF955" s="551"/>
      <c r="BH955" s="551"/>
      <c r="BI955" s="551"/>
      <c r="BJ955" s="551"/>
      <c r="BK955" s="551"/>
      <c r="BL955" s="551"/>
      <c r="BM955" s="551"/>
      <c r="BN955" s="551"/>
      <c r="BO955" s="551"/>
      <c r="BP955" s="551"/>
      <c r="BQ955" s="551"/>
      <c r="BR955" s="551"/>
      <c r="BS955" s="551"/>
      <c r="BT955" s="551"/>
      <c r="BU955" s="551"/>
      <c r="BV955" s="551"/>
      <c r="BW955" s="551"/>
      <c r="BX955" s="551"/>
      <c r="BY955" s="650"/>
      <c r="BZ955" s="551"/>
      <c r="CA955" s="652"/>
      <c r="CB955" s="567"/>
      <c r="CC955" s="653"/>
      <c r="CD955" s="650"/>
      <c r="CE955" s="650"/>
      <c r="CF955" s="551"/>
      <c r="CG955" s="551"/>
      <c r="CI955" s="551"/>
      <c r="CJ955" s="551"/>
      <c r="CK955" s="551"/>
      <c r="CL955" s="551"/>
      <c r="CM955" s="551"/>
      <c r="CN955" s="551"/>
      <c r="CO955" s="551"/>
      <c r="CP955" s="551"/>
      <c r="CQ955" s="551"/>
      <c r="CR955" s="554">
        <f>I955</f>
        <v>1200</v>
      </c>
      <c r="CS955" s="554">
        <f>I955</f>
        <v>1200</v>
      </c>
      <c r="CT955" s="554">
        <f>I955</f>
        <v>1200</v>
      </c>
      <c r="CU955" s="554">
        <f t="shared" si="346"/>
        <v>0</v>
      </c>
      <c r="CV955" s="551">
        <v>0</v>
      </c>
      <c r="CW955" s="551">
        <v>0</v>
      </c>
      <c r="CX955" s="650"/>
      <c r="CY955" s="650"/>
      <c r="CZ955" s="650"/>
      <c r="DA955" s="548"/>
      <c r="DB955" s="548"/>
      <c r="DC955" s="548"/>
      <c r="DD955" s="650"/>
      <c r="DE955" s="650"/>
      <c r="DF955" s="650"/>
      <c r="DG955" s="650"/>
      <c r="DH955" s="650"/>
    </row>
    <row r="956" s="548" customFormat="1" ht="31" customHeight="1" spans="1:112">
      <c r="A956" s="641">
        <v>45988</v>
      </c>
      <c r="B956" s="642" t="s">
        <v>3340</v>
      </c>
      <c r="C956" s="246" t="s">
        <v>98</v>
      </c>
      <c r="D956" s="551">
        <v>4500187231</v>
      </c>
      <c r="E956" s="246">
        <v>770791</v>
      </c>
      <c r="F956" s="551" t="s">
        <v>8475</v>
      </c>
      <c r="G956" s="246" t="s">
        <v>6787</v>
      </c>
      <c r="H956" s="610" t="s">
        <v>6126</v>
      </c>
      <c r="I956" s="704">
        <v>996</v>
      </c>
      <c r="J956" s="246">
        <v>0</v>
      </c>
      <c r="K956" s="246">
        <v>12</v>
      </c>
      <c r="L956" s="644">
        <f t="shared" si="366"/>
        <v>83</v>
      </c>
      <c r="M956" s="645">
        <v>46029</v>
      </c>
      <c r="N956" s="645">
        <v>46025</v>
      </c>
      <c r="O956" s="246"/>
      <c r="P956" s="643" t="s">
        <v>113</v>
      </c>
      <c r="Q956" s="246"/>
      <c r="R956" s="646">
        <v>45988</v>
      </c>
      <c r="S956" s="646" t="s">
        <v>70</v>
      </c>
      <c r="T956" s="646" t="s">
        <v>2738</v>
      </c>
      <c r="U956" s="646"/>
      <c r="V956" s="646"/>
      <c r="W956" s="615"/>
      <c r="X956" s="642" t="s">
        <v>8476</v>
      </c>
      <c r="Y956" s="642" t="s">
        <v>2554</v>
      </c>
      <c r="Z956" s="655">
        <v>1.3094</v>
      </c>
      <c r="AA956" s="647">
        <f t="shared" si="367"/>
        <v>1304.1624</v>
      </c>
      <c r="AC956" s="658" t="s">
        <v>8477</v>
      </c>
      <c r="AD956" s="246" t="s">
        <v>6128</v>
      </c>
      <c r="AE956" s="246" t="s">
        <v>82</v>
      </c>
      <c r="AF956" s="246"/>
      <c r="AG956" s="642"/>
      <c r="AH956" s="642">
        <v>1</v>
      </c>
      <c r="AI956" s="246">
        <v>996</v>
      </c>
      <c r="AJ956" s="246"/>
      <c r="AK956" s="246"/>
      <c r="AL956" s="246" t="s">
        <v>2368</v>
      </c>
      <c r="AM956" s="246"/>
      <c r="AN956" s="610">
        <f>I956*2</f>
        <v>1992</v>
      </c>
      <c r="AO956" s="551"/>
      <c r="AP956" s="551"/>
      <c r="AQ956" s="554">
        <f>I956*2</f>
        <v>1992</v>
      </c>
      <c r="AR956" s="650"/>
      <c r="AS956" s="551"/>
      <c r="AT956" s="551"/>
      <c r="AU956" s="554">
        <f>I956*2</f>
        <v>1992</v>
      </c>
      <c r="AV956" s="551"/>
      <c r="AW956" s="650"/>
      <c r="AX956" s="551"/>
      <c r="AY956" s="551"/>
      <c r="AZ956" s="551"/>
      <c r="BA956" s="551"/>
      <c r="BB956" s="249">
        <f>I956/24*2</f>
        <v>83</v>
      </c>
      <c r="BC956" s="651"/>
      <c r="BD956" s="551"/>
      <c r="BE956" s="551"/>
      <c r="BF956" s="551"/>
      <c r="BH956" s="551"/>
      <c r="BI956" s="551"/>
      <c r="BJ956" s="551"/>
      <c r="BK956" s="551"/>
      <c r="BL956" s="551"/>
      <c r="BM956" s="551"/>
      <c r="BN956" s="551"/>
      <c r="BO956" s="551"/>
      <c r="BP956" s="551"/>
      <c r="BQ956" s="551"/>
      <c r="BR956" s="551"/>
      <c r="BS956" s="551"/>
      <c r="BT956" s="551"/>
      <c r="BU956" s="551"/>
      <c r="BV956" s="551"/>
      <c r="BW956" s="551"/>
      <c r="BX956" s="551"/>
      <c r="BY956" s="650"/>
      <c r="BZ956" s="551"/>
      <c r="CA956" s="652"/>
      <c r="CB956" s="567"/>
      <c r="CC956" s="653"/>
      <c r="CD956" s="650"/>
      <c r="CE956" s="650"/>
      <c r="CF956" s="551"/>
      <c r="CG956" s="551"/>
      <c r="CI956" s="551"/>
      <c r="CJ956" s="551"/>
      <c r="CK956" s="551"/>
      <c r="CL956" s="551"/>
      <c r="CM956" s="551"/>
      <c r="CN956" s="551"/>
      <c r="CO956" s="551"/>
      <c r="CP956" s="551"/>
      <c r="CQ956" s="551"/>
      <c r="CR956" s="554">
        <f>I956</f>
        <v>996</v>
      </c>
      <c r="CS956" s="554">
        <f>I956</f>
        <v>996</v>
      </c>
      <c r="CT956" s="554">
        <f>I956</f>
        <v>996</v>
      </c>
      <c r="CU956" s="554">
        <f t="shared" si="346"/>
        <v>0</v>
      </c>
      <c r="CV956" s="551">
        <v>0</v>
      </c>
      <c r="CW956" s="551">
        <v>0</v>
      </c>
      <c r="CX956" s="650"/>
      <c r="CY956" s="650"/>
      <c r="CZ956" s="650"/>
      <c r="DA956" s="548"/>
      <c r="DB956" s="548"/>
      <c r="DC956" s="548"/>
      <c r="DD956" s="650"/>
      <c r="DE956" s="650"/>
      <c r="DF956" s="650"/>
      <c r="DG956" s="650"/>
      <c r="DH956" s="650"/>
    </row>
    <row r="957" s="548" customFormat="1" ht="31" customHeight="1" spans="1:112">
      <c r="A957" s="641">
        <v>45980</v>
      </c>
      <c r="B957" s="642" t="s">
        <v>1245</v>
      </c>
      <c r="C957" s="246" t="s">
        <v>524</v>
      </c>
      <c r="D957" s="551">
        <v>4500186234</v>
      </c>
      <c r="E957" s="246">
        <v>17242705</v>
      </c>
      <c r="F957" s="551" t="s">
        <v>8478</v>
      </c>
      <c r="G957" s="246" t="s">
        <v>6223</v>
      </c>
      <c r="H957" s="246" t="s">
        <v>6080</v>
      </c>
      <c r="I957" s="704">
        <v>2220</v>
      </c>
      <c r="J957" s="246">
        <v>0</v>
      </c>
      <c r="K957" s="246">
        <v>30</v>
      </c>
      <c r="L957" s="644">
        <f t="shared" si="366"/>
        <v>74</v>
      </c>
      <c r="M957" s="645">
        <v>46030</v>
      </c>
      <c r="N957" s="645">
        <v>46027</v>
      </c>
      <c r="O957" s="246"/>
      <c r="P957" s="643" t="s">
        <v>113</v>
      </c>
      <c r="Q957" s="246"/>
      <c r="R957" s="646">
        <v>46001</v>
      </c>
      <c r="S957" s="646" t="s">
        <v>70</v>
      </c>
      <c r="T957" s="646" t="s">
        <v>8277</v>
      </c>
      <c r="U957" s="646"/>
      <c r="V957" s="646"/>
      <c r="W957" s="615"/>
      <c r="X957" s="628" t="s">
        <v>8479</v>
      </c>
      <c r="Y957" s="642" t="s">
        <v>340</v>
      </c>
      <c r="Z957" s="655">
        <v>41.4795</v>
      </c>
      <c r="AA957" s="647">
        <f>Z957*L957</f>
        <v>3069.483</v>
      </c>
      <c r="AC957" s="648"/>
      <c r="AD957" s="246" t="s">
        <v>6223</v>
      </c>
      <c r="AE957" s="246" t="s">
        <v>82</v>
      </c>
      <c r="AF957" s="246"/>
      <c r="AG957" s="642"/>
      <c r="AH957" s="642">
        <v>1</v>
      </c>
      <c r="AI957" s="246">
        <v>2220</v>
      </c>
      <c r="AJ957" s="246">
        <f>AI957-I957</f>
        <v>0</v>
      </c>
      <c r="AK957" s="246"/>
      <c r="AL957" s="246" t="s">
        <v>2368</v>
      </c>
      <c r="AM957" s="246"/>
      <c r="AN957" s="246"/>
      <c r="AO957" s="551">
        <f>I957</f>
        <v>2220</v>
      </c>
      <c r="AP957" s="551"/>
      <c r="AQ957" s="551"/>
      <c r="AR957" s="650"/>
      <c r="AS957" s="551"/>
      <c r="AT957" s="554">
        <f>I957</f>
        <v>2220</v>
      </c>
      <c r="AU957" s="551"/>
      <c r="AV957" s="554">
        <f>I957</f>
        <v>2220</v>
      </c>
      <c r="AW957" s="650"/>
      <c r="AX957" s="551"/>
      <c r="AY957" s="551"/>
      <c r="AZ957" s="551"/>
      <c r="BA957" s="551"/>
      <c r="BB957" s="620">
        <f>I957/24</f>
        <v>92.5</v>
      </c>
      <c r="BC957" s="651"/>
      <c r="BD957" s="551"/>
      <c r="BE957" s="551"/>
      <c r="BF957" s="551"/>
      <c r="BH957" s="551"/>
      <c r="BI957" s="551"/>
      <c r="BJ957" s="551"/>
      <c r="BK957" s="551"/>
      <c r="BL957" s="551"/>
      <c r="BM957" s="551"/>
      <c r="BN957" s="551"/>
      <c r="BO957" s="551"/>
      <c r="BP957" s="551"/>
      <c r="BQ957" s="551"/>
      <c r="BR957" s="551"/>
      <c r="BS957" s="551"/>
      <c r="BT957" s="551"/>
      <c r="BU957" s="551"/>
      <c r="BV957" s="551"/>
      <c r="BW957" s="551"/>
      <c r="BX957" s="551"/>
      <c r="BY957" s="650"/>
      <c r="BZ957" s="551"/>
      <c r="CA957" s="652"/>
      <c r="CB957" s="567"/>
      <c r="CC957" s="653"/>
      <c r="CD957" s="650"/>
      <c r="CE957" s="650"/>
      <c r="CF957" s="551"/>
      <c r="CG957" s="551"/>
      <c r="CI957" s="551"/>
      <c r="CJ957" s="551"/>
      <c r="CK957" s="551"/>
      <c r="CL957" s="551"/>
      <c r="CM957" s="551"/>
      <c r="CN957" s="551"/>
      <c r="CO957" s="551"/>
      <c r="CP957" s="554">
        <f>I957/30</f>
        <v>74</v>
      </c>
      <c r="CQ957" s="551"/>
      <c r="CR957" s="551"/>
      <c r="CS957" s="551"/>
      <c r="CT957" s="551"/>
      <c r="CU957" s="554">
        <f t="shared" si="346"/>
        <v>0</v>
      </c>
      <c r="CV957" s="551">
        <f>CK957+CL957+CM957+CN957+CO957+CQ957+CP957</f>
        <v>74</v>
      </c>
      <c r="CW957" s="551">
        <f>CI957+CJ957</f>
        <v>0</v>
      </c>
      <c r="CX957" s="650"/>
      <c r="CY957" s="650"/>
      <c r="CZ957" s="650"/>
      <c r="DA957" s="548"/>
      <c r="DB957" s="548"/>
      <c r="DC957" s="548"/>
      <c r="DD957" s="650"/>
      <c r="DE957" s="650"/>
      <c r="DF957" s="650"/>
      <c r="DG957" s="650"/>
      <c r="DH957" s="650"/>
    </row>
    <row r="958" s="548" customFormat="1" ht="31" customHeight="1" spans="1:112">
      <c r="A958" s="641">
        <v>45980</v>
      </c>
      <c r="B958" s="642" t="s">
        <v>2673</v>
      </c>
      <c r="C958" s="246" t="s">
        <v>98</v>
      </c>
      <c r="D958" s="551">
        <v>4500186208</v>
      </c>
      <c r="E958" s="246">
        <v>269326</v>
      </c>
      <c r="F958" s="551" t="s">
        <v>8480</v>
      </c>
      <c r="G958" s="246" t="s">
        <v>8481</v>
      </c>
      <c r="H958" s="246" t="s">
        <v>8482</v>
      </c>
      <c r="I958" s="704">
        <v>4992</v>
      </c>
      <c r="J958" s="246">
        <v>0</v>
      </c>
      <c r="K958" s="246">
        <v>24</v>
      </c>
      <c r="L958" s="644">
        <f t="shared" si="366"/>
        <v>208</v>
      </c>
      <c r="M958" s="645">
        <v>46030</v>
      </c>
      <c r="N958" s="645">
        <v>46027</v>
      </c>
      <c r="O958" s="246" t="s">
        <v>8483</v>
      </c>
      <c r="P958" s="643" t="s">
        <v>113</v>
      </c>
      <c r="Q958" s="246"/>
      <c r="R958" s="646">
        <v>45982</v>
      </c>
      <c r="S958" s="646" t="s">
        <v>104</v>
      </c>
      <c r="T958" s="646" t="s">
        <v>8484</v>
      </c>
      <c r="U958" s="646"/>
      <c r="V958" s="646"/>
      <c r="W958" s="615"/>
      <c r="X958" s="642" t="s">
        <v>8485</v>
      </c>
      <c r="Y958" s="642" t="s">
        <v>2678</v>
      </c>
      <c r="Z958" s="655">
        <v>0.552</v>
      </c>
      <c r="AA958" s="647">
        <f>Z958*I958</f>
        <v>2755.584</v>
      </c>
      <c r="AC958" s="658" t="s">
        <v>8486</v>
      </c>
      <c r="AD958" s="246" t="s">
        <v>8481</v>
      </c>
      <c r="AE958" s="246" t="s">
        <v>82</v>
      </c>
      <c r="AF958" s="246"/>
      <c r="AG958" s="642"/>
      <c r="AH958" s="642">
        <v>1</v>
      </c>
      <c r="AI958" s="246">
        <f>1320+3672</f>
        <v>4992</v>
      </c>
      <c r="AJ958" s="618">
        <f>AI958-I958</f>
        <v>0</v>
      </c>
      <c r="AK958" s="246"/>
      <c r="AL958" s="246" t="s">
        <v>454</v>
      </c>
      <c r="AM958" s="246"/>
      <c r="AN958" s="246">
        <f>I958</f>
        <v>4992</v>
      </c>
      <c r="AO958" s="551"/>
      <c r="AP958" s="554">
        <f>I958</f>
        <v>4992</v>
      </c>
      <c r="AQ958" s="551"/>
      <c r="AR958" s="650"/>
      <c r="AS958" s="551"/>
      <c r="AT958" s="551"/>
      <c r="AU958" s="554">
        <f>I958</f>
        <v>4992</v>
      </c>
      <c r="AV958" s="551"/>
      <c r="AW958" s="650"/>
      <c r="AX958" s="551"/>
      <c r="AY958" s="551"/>
      <c r="AZ958" s="551"/>
      <c r="BA958" s="551"/>
      <c r="BB958" s="249">
        <f>I958</f>
        <v>4992</v>
      </c>
      <c r="BC958" s="651"/>
      <c r="BD958" s="551"/>
      <c r="BE958" s="551"/>
      <c r="BF958" s="551"/>
      <c r="BH958" s="551"/>
      <c r="BI958" s="551"/>
      <c r="BJ958" s="551"/>
      <c r="BK958" s="551"/>
      <c r="BL958" s="551"/>
      <c r="BM958" s="551"/>
      <c r="BN958" s="551"/>
      <c r="BO958" s="551"/>
      <c r="BP958" s="551"/>
      <c r="BQ958" s="551"/>
      <c r="BR958" s="551"/>
      <c r="BS958" s="551"/>
      <c r="BT958" s="551"/>
      <c r="BU958" s="551"/>
      <c r="BV958" s="551"/>
      <c r="BW958" s="551"/>
      <c r="BX958" s="551"/>
      <c r="BY958" s="650"/>
      <c r="BZ958" s="551"/>
      <c r="CA958" s="652"/>
      <c r="CB958" s="567"/>
      <c r="CC958" s="653"/>
      <c r="CD958" s="650"/>
      <c r="CE958" s="650"/>
      <c r="CF958" s="551"/>
      <c r="CG958" s="551"/>
      <c r="CI958" s="551"/>
      <c r="CJ958" s="551"/>
      <c r="CK958" s="551"/>
      <c r="CL958" s="551"/>
      <c r="CM958" s="551"/>
      <c r="CN958" s="551"/>
      <c r="CO958" s="551"/>
      <c r="CP958" s="551"/>
      <c r="CQ958" s="551"/>
      <c r="CR958" s="551"/>
      <c r="CS958" s="551"/>
      <c r="CT958" s="551"/>
      <c r="CU958" s="554">
        <f t="shared" si="346"/>
        <v>0</v>
      </c>
      <c r="CV958" s="663">
        <f>CK958+CL958+CM958+CN958+CO958+CQ958+CP958</f>
        <v>0</v>
      </c>
      <c r="CW958" s="663">
        <f>CI958+CJ958</f>
        <v>0</v>
      </c>
      <c r="CX958" s="650"/>
      <c r="CY958" s="650"/>
      <c r="CZ958" s="650"/>
      <c r="DA958" s="548"/>
      <c r="DB958" s="548"/>
      <c r="DC958" s="548"/>
      <c r="DD958" s="650"/>
      <c r="DE958" s="650"/>
      <c r="DF958" s="650"/>
      <c r="DG958" s="650"/>
      <c r="DH958" s="650"/>
    </row>
    <row r="959" s="548" customFormat="1" ht="31" customHeight="1" spans="1:112">
      <c r="A959" s="641">
        <v>45987</v>
      </c>
      <c r="B959" s="642" t="s">
        <v>211</v>
      </c>
      <c r="C959" s="246" t="s">
        <v>212</v>
      </c>
      <c r="D959" s="551">
        <v>4500187090</v>
      </c>
      <c r="E959" s="246" t="s">
        <v>2680</v>
      </c>
      <c r="F959" s="551" t="s">
        <v>8487</v>
      </c>
      <c r="G959" s="246" t="s">
        <v>6040</v>
      </c>
      <c r="H959" s="246" t="s">
        <v>6041</v>
      </c>
      <c r="I959" s="704">
        <v>1248</v>
      </c>
      <c r="J959" s="246">
        <v>0</v>
      </c>
      <c r="K959" s="246">
        <v>52</v>
      </c>
      <c r="L959" s="644">
        <f t="shared" si="366"/>
        <v>24</v>
      </c>
      <c r="M959" s="645">
        <v>46030</v>
      </c>
      <c r="N959" s="645">
        <v>46027</v>
      </c>
      <c r="O959" s="246"/>
      <c r="P959" s="643" t="s">
        <v>113</v>
      </c>
      <c r="Q959" s="246"/>
      <c r="R959" s="646">
        <v>45987</v>
      </c>
      <c r="S959" s="646" t="s">
        <v>70</v>
      </c>
      <c r="T959" s="646" t="s">
        <v>8488</v>
      </c>
      <c r="U959" s="646"/>
      <c r="V959" s="646"/>
      <c r="W959" s="615"/>
      <c r="X959" s="642" t="s">
        <v>8489</v>
      </c>
      <c r="Y959" s="642" t="s">
        <v>1793</v>
      </c>
      <c r="Z959" s="655">
        <v>0.8951</v>
      </c>
      <c r="AA959" s="647">
        <f>Z959*I959</f>
        <v>1117.0848</v>
      </c>
      <c r="AC959" s="648" t="s">
        <v>8490</v>
      </c>
      <c r="AD959" s="246" t="s">
        <v>6040</v>
      </c>
      <c r="AE959" s="246" t="s">
        <v>82</v>
      </c>
      <c r="AF959" s="246"/>
      <c r="AG959" s="642"/>
      <c r="AH959" s="642">
        <v>1</v>
      </c>
      <c r="AI959" s="246">
        <v>1248</v>
      </c>
      <c r="AJ959" s="246">
        <f>AI959-I959</f>
        <v>0</v>
      </c>
      <c r="AK959" s="246"/>
      <c r="AL959" s="246" t="s">
        <v>2368</v>
      </c>
      <c r="AM959" s="246"/>
      <c r="AN959" s="246"/>
      <c r="AO959" s="551">
        <f>I959</f>
        <v>1248</v>
      </c>
      <c r="AP959" s="551"/>
      <c r="AQ959" s="551"/>
      <c r="AR959" s="650"/>
      <c r="AS959" s="551"/>
      <c r="AT959" s="554">
        <f>I959</f>
        <v>1248</v>
      </c>
      <c r="AU959" s="551"/>
      <c r="AV959" s="554">
        <f>I959</f>
        <v>1248</v>
      </c>
      <c r="AW959" s="650"/>
      <c r="AX959" s="551"/>
      <c r="AY959" s="551"/>
      <c r="AZ959" s="551"/>
      <c r="BA959" s="551"/>
      <c r="BB959" s="620">
        <f>I959/24</f>
        <v>52</v>
      </c>
      <c r="BC959" s="651"/>
      <c r="BD959" s="551"/>
      <c r="BE959" s="551"/>
      <c r="BF959" s="551"/>
      <c r="BH959" s="551"/>
      <c r="BI959" s="551"/>
      <c r="BJ959" s="551"/>
      <c r="BK959" s="551"/>
      <c r="BL959" s="551"/>
      <c r="BM959" s="551">
        <f>I959/13</f>
        <v>96</v>
      </c>
      <c r="BN959" s="551"/>
      <c r="BO959" s="551"/>
      <c r="BP959" s="551"/>
      <c r="BQ959" s="551"/>
      <c r="BR959" s="551"/>
      <c r="BS959" s="551"/>
      <c r="BT959" s="551"/>
      <c r="BU959" s="551"/>
      <c r="BV959" s="551"/>
      <c r="BW959" s="551"/>
      <c r="BX959" s="551"/>
      <c r="BY959" s="650"/>
      <c r="BZ959" s="551"/>
      <c r="CA959" s="652"/>
      <c r="CB959" s="567"/>
      <c r="CC959" s="653"/>
      <c r="CD959" s="650"/>
      <c r="CE959" s="650"/>
      <c r="CF959" s="551"/>
      <c r="CG959" s="551"/>
      <c r="CI959" s="551"/>
      <c r="CJ959" s="551"/>
      <c r="CK959" s="551"/>
      <c r="CL959" s="551"/>
      <c r="CM959" s="551"/>
      <c r="CN959" s="551"/>
      <c r="CO959" s="551"/>
      <c r="CP959" s="551"/>
      <c r="CQ959" s="551"/>
      <c r="CR959" s="551"/>
      <c r="CS959" s="551"/>
      <c r="CT959" s="551"/>
      <c r="CU959" s="554">
        <f t="shared" si="346"/>
        <v>0</v>
      </c>
      <c r="CV959" s="551">
        <f t="shared" ref="CV959:CV964" si="368">CK959+CL959+CM959+CN959+CO959+CQ959+CP959</f>
        <v>0</v>
      </c>
      <c r="CW959" s="551">
        <f t="shared" ref="CW959:CW964" si="369">CI959+CJ959</f>
        <v>0</v>
      </c>
      <c r="CX959" s="650"/>
      <c r="CY959" s="650"/>
      <c r="CZ959" s="650"/>
      <c r="DA959" s="548"/>
      <c r="DB959" s="548"/>
      <c r="DC959" s="548"/>
      <c r="DD959" s="650"/>
      <c r="DE959" s="650"/>
      <c r="DF959" s="650"/>
      <c r="DG959" s="650"/>
      <c r="DH959" s="650"/>
    </row>
    <row r="960" s="548" customFormat="1" ht="31" customHeight="1" spans="1:112">
      <c r="A960" s="641">
        <v>45987</v>
      </c>
      <c r="B960" s="642" t="s">
        <v>211</v>
      </c>
      <c r="C960" s="246" t="s">
        <v>212</v>
      </c>
      <c r="D960" s="551">
        <v>4500187090</v>
      </c>
      <c r="E960" s="246" t="s">
        <v>2680</v>
      </c>
      <c r="F960" s="551" t="s">
        <v>2684</v>
      </c>
      <c r="G960" s="246" t="s">
        <v>6337</v>
      </c>
      <c r="H960" s="246" t="s">
        <v>477</v>
      </c>
      <c r="I960" s="704">
        <v>720</v>
      </c>
      <c r="J960" s="246">
        <v>0</v>
      </c>
      <c r="K960" s="246">
        <v>6</v>
      </c>
      <c r="L960" s="644">
        <f t="shared" si="366"/>
        <v>120</v>
      </c>
      <c r="M960" s="645">
        <v>46030</v>
      </c>
      <c r="N960" s="645">
        <v>46027</v>
      </c>
      <c r="O960" s="246"/>
      <c r="P960" s="643" t="s">
        <v>113</v>
      </c>
      <c r="Q960" s="246"/>
      <c r="R960" s="646">
        <v>45987</v>
      </c>
      <c r="S960" s="646" t="s">
        <v>70</v>
      </c>
      <c r="T960" s="646" t="s">
        <v>8491</v>
      </c>
      <c r="U960" s="646"/>
      <c r="V960" s="646"/>
      <c r="W960" s="615"/>
      <c r="X960" s="642" t="s">
        <v>2685</v>
      </c>
      <c r="Y960" s="642" t="s">
        <v>1793</v>
      </c>
      <c r="Z960" s="655">
        <v>7.0456</v>
      </c>
      <c r="AA960" s="647">
        <f>Z960*I960</f>
        <v>5072.832</v>
      </c>
      <c r="AC960" s="648" t="s">
        <v>8490</v>
      </c>
      <c r="AD960" s="246" t="s">
        <v>480</v>
      </c>
      <c r="AE960" s="246" t="s">
        <v>82</v>
      </c>
      <c r="AF960" s="246"/>
      <c r="AG960" s="642"/>
      <c r="AH960" s="642">
        <v>1</v>
      </c>
      <c r="AI960" s="246">
        <v>720</v>
      </c>
      <c r="AJ960" s="246">
        <f>AI960-I960</f>
        <v>0</v>
      </c>
      <c r="AK960" s="246"/>
      <c r="AL960" s="246" t="s">
        <v>2368</v>
      </c>
      <c r="AM960" s="246"/>
      <c r="AN960" s="246"/>
      <c r="AO960" s="554">
        <f>I960*2</f>
        <v>1440</v>
      </c>
      <c r="AP960" s="551"/>
      <c r="AQ960" s="551"/>
      <c r="AR960" s="650"/>
      <c r="AS960" s="551"/>
      <c r="AT960" s="554">
        <f>I960*2</f>
        <v>1440</v>
      </c>
      <c r="AU960" s="551"/>
      <c r="AV960" s="554">
        <f>I960*2</f>
        <v>1440</v>
      </c>
      <c r="AW960" s="650"/>
      <c r="AX960" s="551"/>
      <c r="AY960" s="551"/>
      <c r="AZ960" s="551"/>
      <c r="BA960" s="551"/>
      <c r="BB960" s="620">
        <f>I960/24*2</f>
        <v>60</v>
      </c>
      <c r="BC960" s="651"/>
      <c r="BD960" s="551"/>
      <c r="BE960" s="551"/>
      <c r="BF960" s="551"/>
      <c r="BH960" s="551"/>
      <c r="BI960" s="551"/>
      <c r="BJ960" s="551"/>
      <c r="BK960" s="551"/>
      <c r="BL960" s="551"/>
      <c r="BM960" s="551"/>
      <c r="BN960" s="551"/>
      <c r="BO960" s="551"/>
      <c r="BP960" s="551"/>
      <c r="BQ960" s="551"/>
      <c r="BR960" s="551"/>
      <c r="BS960" s="551"/>
      <c r="BT960" s="551"/>
      <c r="BU960" s="551"/>
      <c r="BV960" s="551"/>
      <c r="BW960" s="551"/>
      <c r="BX960" s="551"/>
      <c r="BY960" s="650"/>
      <c r="BZ960" s="551">
        <f>I960</f>
        <v>720</v>
      </c>
      <c r="CA960" s="652"/>
      <c r="CB960" s="567"/>
      <c r="CC960" s="653"/>
      <c r="CD960" s="650"/>
      <c r="CE960" s="650"/>
      <c r="CF960" s="551"/>
      <c r="CG960" s="551"/>
      <c r="CI960" s="551"/>
      <c r="CJ960" s="551"/>
      <c r="CK960" s="551"/>
      <c r="CL960" s="551"/>
      <c r="CM960" s="551"/>
      <c r="CN960" s="551"/>
      <c r="CO960" s="551"/>
      <c r="CP960" s="551"/>
      <c r="CQ960" s="551"/>
      <c r="CR960" s="551"/>
      <c r="CS960" s="551"/>
      <c r="CT960" s="551"/>
      <c r="CU960" s="554">
        <f t="shared" si="346"/>
        <v>0</v>
      </c>
      <c r="CV960" s="551">
        <f t="shared" si="368"/>
        <v>0</v>
      </c>
      <c r="CW960" s="551">
        <f t="shared" si="369"/>
        <v>0</v>
      </c>
      <c r="CX960" s="650"/>
      <c r="CY960" s="650"/>
      <c r="CZ960" s="650"/>
      <c r="DA960" s="551"/>
      <c r="DB960" s="551"/>
      <c r="DC960" s="551"/>
      <c r="DD960" s="650"/>
      <c r="DE960" s="650"/>
      <c r="DF960" s="650"/>
      <c r="DG960" s="650"/>
      <c r="DH960" s="650"/>
    </row>
    <row r="961" s="548" customFormat="1" ht="31" customHeight="1" spans="1:112">
      <c r="A961" s="641">
        <v>45990</v>
      </c>
      <c r="B961" s="642" t="s">
        <v>1544</v>
      </c>
      <c r="C961" s="246" t="s">
        <v>257</v>
      </c>
      <c r="D961" s="551">
        <v>4500187444</v>
      </c>
      <c r="E961" s="246">
        <v>4400528008</v>
      </c>
      <c r="F961" s="551" t="s">
        <v>8492</v>
      </c>
      <c r="G961" s="246" t="s">
        <v>6047</v>
      </c>
      <c r="H961" s="246" t="s">
        <v>6069</v>
      </c>
      <c r="I961" s="704">
        <v>2500</v>
      </c>
      <c r="J961" s="246">
        <v>0</v>
      </c>
      <c r="K961" s="246">
        <v>25</v>
      </c>
      <c r="L961" s="644">
        <f t="shared" si="366"/>
        <v>100</v>
      </c>
      <c r="M961" s="645">
        <v>46030</v>
      </c>
      <c r="N961" s="645">
        <v>46027</v>
      </c>
      <c r="O961" s="246"/>
      <c r="P961" s="643" t="s">
        <v>113</v>
      </c>
      <c r="Q961" s="246"/>
      <c r="R961" s="646">
        <v>45990</v>
      </c>
      <c r="S961" s="646" t="s">
        <v>70</v>
      </c>
      <c r="T961" s="646" t="s">
        <v>8294</v>
      </c>
      <c r="U961" s="646"/>
      <c r="V961" s="646"/>
      <c r="W961" s="615"/>
      <c r="X961" s="642" t="s">
        <v>8493</v>
      </c>
      <c r="Y961" s="642" t="s">
        <v>1549</v>
      </c>
      <c r="Z961" s="655">
        <v>0.9417</v>
      </c>
      <c r="AA961" s="647">
        <f>Z961*I961</f>
        <v>2354.25</v>
      </c>
      <c r="AC961" s="648" t="s">
        <v>8494</v>
      </c>
      <c r="AD961" s="246" t="s">
        <v>6047</v>
      </c>
      <c r="AE961" s="246" t="s">
        <v>82</v>
      </c>
      <c r="AF961" s="246"/>
      <c r="AG961" s="642"/>
      <c r="AH961" s="642">
        <v>1</v>
      </c>
      <c r="AI961" s="246">
        <f>2475+25</f>
        <v>2500</v>
      </c>
      <c r="AJ961" s="246">
        <f>AI961-I961</f>
        <v>0</v>
      </c>
      <c r="AK961" s="246"/>
      <c r="AL961" s="246" t="s">
        <v>2368</v>
      </c>
      <c r="AM961" s="246"/>
      <c r="AN961" s="246"/>
      <c r="AO961" s="551">
        <f>I961</f>
        <v>2500</v>
      </c>
      <c r="AP961" s="551"/>
      <c r="AQ961" s="551"/>
      <c r="AR961" s="650"/>
      <c r="AS961" s="551"/>
      <c r="AT961" s="554">
        <f>I961</f>
        <v>2500</v>
      </c>
      <c r="AU961" s="551"/>
      <c r="AV961" s="554">
        <f>I961</f>
        <v>2500</v>
      </c>
      <c r="AW961" s="650"/>
      <c r="AX961" s="551"/>
      <c r="AY961" s="551"/>
      <c r="AZ961" s="551"/>
      <c r="BA961" s="551"/>
      <c r="BB961" s="620">
        <f>I961/24</f>
        <v>104.166666666667</v>
      </c>
      <c r="BC961" s="651"/>
      <c r="BD961" s="551"/>
      <c r="BE961" s="551"/>
      <c r="BF961" s="551"/>
      <c r="BH961" s="551"/>
      <c r="BI961" s="551"/>
      <c r="BJ961" s="551"/>
      <c r="BK961" s="551"/>
      <c r="BL961" s="551"/>
      <c r="BM961" s="551"/>
      <c r="BN961" s="551"/>
      <c r="BO961" s="551"/>
      <c r="BP961" s="551">
        <f>I961/25</f>
        <v>100</v>
      </c>
      <c r="BQ961" s="551"/>
      <c r="BR961" s="551"/>
      <c r="BS961" s="551"/>
      <c r="BT961" s="551"/>
      <c r="BU961" s="551"/>
      <c r="BV961" s="551"/>
      <c r="BW961" s="551"/>
      <c r="BX961" s="551"/>
      <c r="BY961" s="650"/>
      <c r="BZ961" s="551"/>
      <c r="CA961" s="652"/>
      <c r="CB961" s="567"/>
      <c r="CC961" s="653"/>
      <c r="CD961" s="650"/>
      <c r="CE961" s="650"/>
      <c r="CF961" s="551"/>
      <c r="CG961" s="551"/>
      <c r="CI961" s="551"/>
      <c r="CJ961" s="551"/>
      <c r="CK961" s="551"/>
      <c r="CL961" s="551"/>
      <c r="CM961" s="551"/>
      <c r="CN961" s="551"/>
      <c r="CO961" s="551"/>
      <c r="CP961" s="551"/>
      <c r="CQ961" s="551"/>
      <c r="CR961" s="551"/>
      <c r="CS961" s="551"/>
      <c r="CT961" s="551"/>
      <c r="CU961" s="554">
        <f t="shared" si="346"/>
        <v>100</v>
      </c>
      <c r="CV961" s="551">
        <f t="shared" si="368"/>
        <v>0</v>
      </c>
      <c r="CW961" s="551">
        <f t="shared" si="369"/>
        <v>0</v>
      </c>
      <c r="CX961" s="650"/>
      <c r="CY961" s="650"/>
      <c r="CZ961" s="650"/>
      <c r="DA961" s="548"/>
      <c r="DB961" s="548"/>
      <c r="DC961" s="548"/>
      <c r="DD961" s="650"/>
      <c r="DE961" s="650"/>
      <c r="DF961" s="650"/>
      <c r="DG961" s="650"/>
      <c r="DH961" s="650"/>
    </row>
    <row r="962" s="548" customFormat="1" ht="31" customHeight="1" spans="1:112">
      <c r="A962" s="641">
        <v>45982</v>
      </c>
      <c r="B962" s="609" t="s">
        <v>246</v>
      </c>
      <c r="C962" s="246" t="s">
        <v>98</v>
      </c>
      <c r="D962" s="551">
        <v>4500186417</v>
      </c>
      <c r="E962" s="246" t="s">
        <v>8495</v>
      </c>
      <c r="F962" s="551" t="s">
        <v>8496</v>
      </c>
      <c r="G962" s="246" t="s">
        <v>6084</v>
      </c>
      <c r="H962" s="246" t="s">
        <v>6069</v>
      </c>
      <c r="I962" s="704">
        <v>46000</v>
      </c>
      <c r="J962" s="246">
        <v>0</v>
      </c>
      <c r="K962" s="246">
        <v>25</v>
      </c>
      <c r="L962" s="644">
        <f t="shared" si="366"/>
        <v>1840</v>
      </c>
      <c r="M962" s="645">
        <v>46031</v>
      </c>
      <c r="N962" s="645">
        <v>46027</v>
      </c>
      <c r="O962" s="246"/>
      <c r="P962" s="643" t="s">
        <v>113</v>
      </c>
      <c r="Q962" s="246"/>
      <c r="R962" s="646">
        <v>45999</v>
      </c>
      <c r="S962" s="646" t="s">
        <v>104</v>
      </c>
      <c r="T962" s="646" t="s">
        <v>2272</v>
      </c>
      <c r="U962" s="646"/>
      <c r="V962" s="646"/>
      <c r="W962" s="615"/>
      <c r="X962" s="642" t="s">
        <v>8306</v>
      </c>
      <c r="Y962" s="642" t="s">
        <v>252</v>
      </c>
      <c r="Z962" s="655">
        <v>0.5488</v>
      </c>
      <c r="AA962" s="647">
        <f t="shared" ref="AA962:AA981" si="370">Z962*I962</f>
        <v>25244.8</v>
      </c>
      <c r="AC962" s="658" t="s">
        <v>8497</v>
      </c>
      <c r="AD962" s="246" t="s">
        <v>6084</v>
      </c>
      <c r="AE962" s="246" t="s">
        <v>82</v>
      </c>
      <c r="AF962" s="246"/>
      <c r="AG962" s="642"/>
      <c r="AH962" s="642">
        <v>1</v>
      </c>
      <c r="AI962" s="246">
        <v>46000</v>
      </c>
      <c r="AJ962" s="246">
        <f t="shared" ref="AJ962:AJ981" si="371">AI962-I962</f>
        <v>0</v>
      </c>
      <c r="AK962" s="246"/>
      <c r="AL962" s="246"/>
      <c r="AM962" s="246"/>
      <c r="AN962" s="246">
        <f>I962</f>
        <v>46000</v>
      </c>
      <c r="AO962" s="551"/>
      <c r="AP962" s="554">
        <f>I962</f>
        <v>46000</v>
      </c>
      <c r="AQ962" s="551"/>
      <c r="AR962" s="650"/>
      <c r="AS962" s="551"/>
      <c r="AT962" s="551"/>
      <c r="AU962" s="554">
        <f>I962</f>
        <v>46000</v>
      </c>
      <c r="AV962" s="551"/>
      <c r="AW962" s="650"/>
      <c r="AX962" s="551"/>
      <c r="AY962" s="551"/>
      <c r="AZ962" s="551"/>
      <c r="BA962" s="551"/>
      <c r="BB962" s="249">
        <f>I962/24</f>
        <v>1916.66666666667</v>
      </c>
      <c r="BC962" s="651"/>
      <c r="BD962" s="551"/>
      <c r="BE962" s="551"/>
      <c r="BF962" s="551"/>
      <c r="BH962" s="551"/>
      <c r="BI962" s="551"/>
      <c r="BJ962" s="551"/>
      <c r="BK962" s="551"/>
      <c r="BL962" s="551"/>
      <c r="BM962" s="551"/>
      <c r="BN962" s="551">
        <f>I962/25</f>
        <v>1840</v>
      </c>
      <c r="BO962" s="551"/>
      <c r="BP962" s="551"/>
      <c r="BQ962" s="551"/>
      <c r="BR962" s="551"/>
      <c r="BS962" s="551"/>
      <c r="BT962" s="551"/>
      <c r="BU962" s="551"/>
      <c r="BV962" s="551"/>
      <c r="BW962" s="551"/>
      <c r="BX962" s="551"/>
      <c r="BY962" s="650"/>
      <c r="BZ962" s="551"/>
      <c r="CA962" s="652"/>
      <c r="CB962" s="567"/>
      <c r="CC962" s="653"/>
      <c r="CD962" s="650"/>
      <c r="CE962" s="650"/>
      <c r="CF962" s="551"/>
      <c r="CG962" s="551"/>
      <c r="CI962" s="551"/>
      <c r="CJ962" s="551"/>
      <c r="CK962" s="551"/>
      <c r="CL962" s="551"/>
      <c r="CM962" s="551"/>
      <c r="CN962" s="551"/>
      <c r="CO962" s="551"/>
      <c r="CP962" s="551"/>
      <c r="CQ962" s="551"/>
      <c r="CR962" s="551"/>
      <c r="CS962" s="551"/>
      <c r="CT962" s="551"/>
      <c r="CU962" s="554">
        <f t="shared" si="346"/>
        <v>1840</v>
      </c>
      <c r="CV962" s="551">
        <f t="shared" si="368"/>
        <v>0</v>
      </c>
      <c r="CW962" s="551">
        <f t="shared" si="369"/>
        <v>0</v>
      </c>
      <c r="CX962" s="650"/>
      <c r="CY962" s="650"/>
      <c r="CZ962" s="650"/>
      <c r="DA962" s="548"/>
      <c r="DB962" s="548"/>
      <c r="DC962" s="548"/>
      <c r="DD962" s="650"/>
      <c r="DE962" s="650"/>
      <c r="DF962" s="650"/>
      <c r="DG962" s="650"/>
      <c r="DH962" s="650"/>
    </row>
    <row r="963" s="548" customFormat="1" ht="31" customHeight="1" spans="1:112">
      <c r="A963" s="641">
        <v>45947</v>
      </c>
      <c r="B963" s="642" t="s">
        <v>1989</v>
      </c>
      <c r="C963" s="246" t="s">
        <v>302</v>
      </c>
      <c r="D963" s="551">
        <v>4500182290</v>
      </c>
      <c r="E963" s="246" t="s">
        <v>2689</v>
      </c>
      <c r="F963" s="551" t="s">
        <v>2690</v>
      </c>
      <c r="G963" s="246" t="s">
        <v>6337</v>
      </c>
      <c r="H963" s="246" t="s">
        <v>477</v>
      </c>
      <c r="I963" s="704">
        <v>504</v>
      </c>
      <c r="J963" s="246">
        <v>0</v>
      </c>
      <c r="K963" s="246">
        <v>6</v>
      </c>
      <c r="L963" s="644">
        <f t="shared" si="366"/>
        <v>84</v>
      </c>
      <c r="M963" s="645">
        <v>46031</v>
      </c>
      <c r="N963" s="645">
        <v>46027</v>
      </c>
      <c r="O963" s="246"/>
      <c r="P963" s="643" t="s">
        <v>113</v>
      </c>
      <c r="Q963" s="246"/>
      <c r="R963" s="646" t="s">
        <v>463</v>
      </c>
      <c r="S963" s="646" t="s">
        <v>104</v>
      </c>
      <c r="T963" s="646" t="s">
        <v>1993</v>
      </c>
      <c r="U963" s="646"/>
      <c r="V963" s="646"/>
      <c r="W963" s="615"/>
      <c r="X963" s="642" t="s">
        <v>2692</v>
      </c>
      <c r="Y963" s="642" t="s">
        <v>466</v>
      </c>
      <c r="Z963" s="655">
        <v>7.1628</v>
      </c>
      <c r="AA963" s="647">
        <f t="shared" si="370"/>
        <v>3610.0512</v>
      </c>
      <c r="AC963" s="648"/>
      <c r="AD963" s="246" t="s">
        <v>480</v>
      </c>
      <c r="AE963" s="246" t="s">
        <v>82</v>
      </c>
      <c r="AF963" s="246"/>
      <c r="AG963" s="642"/>
      <c r="AH963" s="642">
        <v>1</v>
      </c>
      <c r="AI963" s="246"/>
      <c r="AJ963" s="246">
        <f t="shared" si="371"/>
        <v>-504</v>
      </c>
      <c r="AK963" s="246"/>
      <c r="AL963" s="246"/>
      <c r="AM963" s="246"/>
      <c r="AN963" s="246"/>
      <c r="AO963" s="554">
        <f>I963*2</f>
        <v>1008</v>
      </c>
      <c r="AP963" s="551"/>
      <c r="AQ963" s="551"/>
      <c r="AR963" s="650"/>
      <c r="AS963" s="551"/>
      <c r="AT963" s="554">
        <f>I963*2</f>
        <v>1008</v>
      </c>
      <c r="AU963" s="551"/>
      <c r="AV963" s="554">
        <f>I963*2</f>
        <v>1008</v>
      </c>
      <c r="AW963" s="650"/>
      <c r="AX963" s="551"/>
      <c r="AY963" s="551"/>
      <c r="AZ963" s="551"/>
      <c r="BA963" s="551"/>
      <c r="BB963" s="620">
        <f t="shared" ref="BB963:BB972" si="372">I963/24*2</f>
        <v>42</v>
      </c>
      <c r="BC963" s="651"/>
      <c r="BD963" s="551"/>
      <c r="BE963" s="551"/>
      <c r="BF963" s="551"/>
      <c r="BH963" s="551"/>
      <c r="BI963" s="551"/>
      <c r="BJ963" s="551"/>
      <c r="BK963" s="551"/>
      <c r="BL963" s="551"/>
      <c r="BM963" s="551"/>
      <c r="BN963" s="551"/>
      <c r="BO963" s="551"/>
      <c r="BP963" s="551"/>
      <c r="BQ963" s="551"/>
      <c r="BR963" s="551"/>
      <c r="BS963" s="551"/>
      <c r="BT963" s="551"/>
      <c r="BU963" s="551"/>
      <c r="BV963" s="551"/>
      <c r="BW963" s="551"/>
      <c r="BX963" s="551"/>
      <c r="BY963" s="650"/>
      <c r="BZ963" s="551">
        <f>I963</f>
        <v>504</v>
      </c>
      <c r="CA963" s="652"/>
      <c r="CB963" s="567"/>
      <c r="CC963" s="653"/>
      <c r="CD963" s="650"/>
      <c r="CE963" s="650"/>
      <c r="CF963" s="551"/>
      <c r="CG963" s="551"/>
      <c r="CI963" s="551"/>
      <c r="CJ963" s="551"/>
      <c r="CK963" s="551"/>
      <c r="CL963" s="551"/>
      <c r="CM963" s="551"/>
      <c r="CN963" s="551"/>
      <c r="CO963" s="551"/>
      <c r="CP963" s="551"/>
      <c r="CQ963" s="551"/>
      <c r="CR963" s="551"/>
      <c r="CS963" s="551"/>
      <c r="CT963" s="551"/>
      <c r="CU963" s="554">
        <f t="shared" ref="CU963:CU1026" si="373">BQ963+BP963+BO963+BN963+BX963+BR963</f>
        <v>0</v>
      </c>
      <c r="CV963" s="551">
        <f t="shared" si="368"/>
        <v>0</v>
      </c>
      <c r="CW963" s="551">
        <f t="shared" si="369"/>
        <v>0</v>
      </c>
      <c r="CX963" s="650"/>
      <c r="CY963" s="650"/>
      <c r="CZ963" s="650"/>
      <c r="DA963" s="551"/>
      <c r="DB963" s="551"/>
      <c r="DC963" s="551"/>
      <c r="DD963" s="650"/>
      <c r="DE963" s="650"/>
      <c r="DF963" s="650"/>
      <c r="DG963" s="650"/>
      <c r="DH963" s="650"/>
    </row>
    <row r="964" s="548" customFormat="1" ht="31" customHeight="1" spans="1:112">
      <c r="A964" s="641">
        <v>45957</v>
      </c>
      <c r="B964" s="642" t="s">
        <v>2707</v>
      </c>
      <c r="C964" s="246" t="s">
        <v>170</v>
      </c>
      <c r="D964" s="551">
        <v>4500183001</v>
      </c>
      <c r="E964" s="246" t="s">
        <v>8075</v>
      </c>
      <c r="F964" s="551" t="s">
        <v>2701</v>
      </c>
      <c r="G964" s="246" t="s">
        <v>8498</v>
      </c>
      <c r="H964" s="246" t="s">
        <v>2703</v>
      </c>
      <c r="I964" s="704">
        <v>132</v>
      </c>
      <c r="J964" s="246">
        <v>0</v>
      </c>
      <c r="K964" s="246">
        <v>6</v>
      </c>
      <c r="L964" s="644">
        <f t="shared" si="366"/>
        <v>22</v>
      </c>
      <c r="M964" s="645">
        <v>46031</v>
      </c>
      <c r="N964" s="645">
        <v>46027</v>
      </c>
      <c r="O964" s="246"/>
      <c r="P964" s="643" t="s">
        <v>113</v>
      </c>
      <c r="Q964" s="246"/>
      <c r="R964" s="646">
        <v>45995</v>
      </c>
      <c r="S964" s="646" t="s">
        <v>70</v>
      </c>
      <c r="T964" s="646" t="s">
        <v>70</v>
      </c>
      <c r="U964" s="646"/>
      <c r="V964" s="646"/>
      <c r="W964" s="615"/>
      <c r="X964" s="642" t="s">
        <v>2704</v>
      </c>
      <c r="Y964" s="642" t="s">
        <v>1318</v>
      </c>
      <c r="Z964" s="655">
        <v>7.1628</v>
      </c>
      <c r="AA964" s="647">
        <f t="shared" si="370"/>
        <v>945.4896</v>
      </c>
      <c r="AC964" s="648"/>
      <c r="AD964" s="246" t="s">
        <v>2705</v>
      </c>
      <c r="AE964" s="246" t="s">
        <v>82</v>
      </c>
      <c r="AF964" s="246"/>
      <c r="AG964" s="642"/>
      <c r="AH964" s="642">
        <v>1</v>
      </c>
      <c r="AI964" s="246"/>
      <c r="AJ964" s="246">
        <f t="shared" si="371"/>
        <v>-132</v>
      </c>
      <c r="AK964" s="246"/>
      <c r="AL964" s="246"/>
      <c r="AM964" s="246"/>
      <c r="AN964" s="610">
        <f t="shared" ref="AN964:AN972" si="374">I964*2</f>
        <v>264</v>
      </c>
      <c r="AO964" s="551"/>
      <c r="AP964" s="551"/>
      <c r="AQ964" s="551"/>
      <c r="AR964" s="650"/>
      <c r="AS964" s="551">
        <f t="shared" ref="AS964:AS972" si="375">I964*2</f>
        <v>264</v>
      </c>
      <c r="AT964" s="551"/>
      <c r="AU964" s="554">
        <f t="shared" ref="AU964:AU972" si="376">I964*2</f>
        <v>264</v>
      </c>
      <c r="AV964" s="551"/>
      <c r="AW964" s="650"/>
      <c r="AX964" s="551"/>
      <c r="AY964" s="551"/>
      <c r="AZ964" s="551"/>
      <c r="BA964" s="551"/>
      <c r="BB964" s="620">
        <f t="shared" si="372"/>
        <v>11</v>
      </c>
      <c r="BC964" s="651"/>
      <c r="BD964" s="551"/>
      <c r="BE964" s="551"/>
      <c r="BF964" s="551"/>
      <c r="BH964" s="551"/>
      <c r="BI964" s="551"/>
      <c r="BJ964" s="551"/>
      <c r="BK964" s="551"/>
      <c r="BL964" s="551"/>
      <c r="BM964" s="551"/>
      <c r="BN964" s="551"/>
      <c r="BO964" s="551"/>
      <c r="BP964" s="551"/>
      <c r="BQ964" s="551"/>
      <c r="BR964" s="551"/>
      <c r="BS964" s="551"/>
      <c r="BT964" s="551"/>
      <c r="BU964" s="551"/>
      <c r="BV964" s="551"/>
      <c r="BW964" s="551"/>
      <c r="BX964" s="551"/>
      <c r="BY964" s="650"/>
      <c r="BZ964" s="551"/>
      <c r="CA964" s="652">
        <f>I964</f>
        <v>132</v>
      </c>
      <c r="CB964" s="567"/>
      <c r="CC964" s="653"/>
      <c r="CD964" s="650"/>
      <c r="CE964" s="650"/>
      <c r="CF964" s="551"/>
      <c r="CG964" s="551"/>
      <c r="CI964" s="551"/>
      <c r="CJ964" s="551"/>
      <c r="CK964" s="551"/>
      <c r="CL964" s="551"/>
      <c r="CM964" s="551"/>
      <c r="CN964" s="551"/>
      <c r="CO964" s="551"/>
      <c r="CP964" s="551"/>
      <c r="CQ964" s="551"/>
      <c r="CR964" s="551"/>
      <c r="CS964" s="551"/>
      <c r="CT964" s="551"/>
      <c r="CU964" s="554">
        <f t="shared" si="373"/>
        <v>0</v>
      </c>
      <c r="CV964" s="551">
        <f t="shared" si="368"/>
        <v>0</v>
      </c>
      <c r="CW964" s="551">
        <f t="shared" si="369"/>
        <v>0</v>
      </c>
      <c r="CX964" s="650"/>
      <c r="CY964" s="650"/>
      <c r="CZ964" s="650"/>
      <c r="DA964" s="548"/>
      <c r="DB964" s="548"/>
      <c r="DC964" s="548"/>
      <c r="DD964" s="650"/>
      <c r="DE964" s="650"/>
      <c r="DF964" s="650"/>
      <c r="DG964" s="650"/>
      <c r="DH964" s="650"/>
    </row>
    <row r="965" s="548" customFormat="1" ht="31" customHeight="1" spans="1:112">
      <c r="A965" s="641">
        <v>45957</v>
      </c>
      <c r="B965" s="642" t="s">
        <v>2707</v>
      </c>
      <c r="C965" s="246" t="s">
        <v>170</v>
      </c>
      <c r="D965" s="551">
        <v>4500183001</v>
      </c>
      <c r="E965" s="246" t="s">
        <v>8075</v>
      </c>
      <c r="F965" s="551" t="s">
        <v>8499</v>
      </c>
      <c r="G965" s="246" t="s">
        <v>6787</v>
      </c>
      <c r="H965" s="610" t="s">
        <v>6126</v>
      </c>
      <c r="I965" s="704">
        <v>132</v>
      </c>
      <c r="J965" s="246">
        <v>0</v>
      </c>
      <c r="K965" s="246">
        <v>12</v>
      </c>
      <c r="L965" s="644">
        <f t="shared" si="366"/>
        <v>11</v>
      </c>
      <c r="M965" s="645">
        <v>46031</v>
      </c>
      <c r="N965" s="645">
        <v>46027</v>
      </c>
      <c r="O965" s="246"/>
      <c r="P965" s="643" t="s">
        <v>113</v>
      </c>
      <c r="Q965" s="246"/>
      <c r="R965" s="646">
        <v>45995</v>
      </c>
      <c r="S965" s="646" t="s">
        <v>70</v>
      </c>
      <c r="T965" s="646" t="s">
        <v>70</v>
      </c>
      <c r="U965" s="646"/>
      <c r="V965" s="646"/>
      <c r="W965" s="615"/>
      <c r="X965" s="642" t="s">
        <v>8077</v>
      </c>
      <c r="Y965" s="642" t="s">
        <v>1318</v>
      </c>
      <c r="Z965" s="655">
        <v>2.1823</v>
      </c>
      <c r="AA965" s="647">
        <f t="shared" si="370"/>
        <v>288.0636</v>
      </c>
      <c r="AC965" s="698" t="s">
        <v>8500</v>
      </c>
      <c r="AD965" s="246" t="s">
        <v>8079</v>
      </c>
      <c r="AE965" s="246" t="s">
        <v>82</v>
      </c>
      <c r="AF965" s="246"/>
      <c r="AG965" s="642"/>
      <c r="AH965" s="642">
        <v>1</v>
      </c>
      <c r="AI965" s="246">
        <v>132</v>
      </c>
      <c r="AJ965" s="246">
        <f t="shared" si="371"/>
        <v>0</v>
      </c>
      <c r="AK965" s="246"/>
      <c r="AL965" s="246" t="s">
        <v>2368</v>
      </c>
      <c r="AM965" s="246"/>
      <c r="AN965" s="610">
        <f t="shared" si="374"/>
        <v>264</v>
      </c>
      <c r="AO965" s="551"/>
      <c r="AP965" s="551"/>
      <c r="AQ965" s="551"/>
      <c r="AR965" s="650"/>
      <c r="AS965" s="551">
        <f t="shared" si="375"/>
        <v>264</v>
      </c>
      <c r="AT965" s="551"/>
      <c r="AU965" s="554">
        <f t="shared" si="376"/>
        <v>264</v>
      </c>
      <c r="AV965" s="551"/>
      <c r="AW965" s="650"/>
      <c r="AX965" s="551"/>
      <c r="AY965" s="551"/>
      <c r="AZ965" s="551"/>
      <c r="BA965" s="551"/>
      <c r="BB965" s="249">
        <f t="shared" si="372"/>
        <v>11</v>
      </c>
      <c r="BC965" s="651"/>
      <c r="BD965" s="551"/>
      <c r="BE965" s="551"/>
      <c r="BF965" s="551"/>
      <c r="BH965" s="551"/>
      <c r="BI965" s="551"/>
      <c r="BJ965" s="551"/>
      <c r="BK965" s="551"/>
      <c r="BL965" s="551"/>
      <c r="BM965" s="551"/>
      <c r="BN965" s="551"/>
      <c r="BO965" s="551"/>
      <c r="BP965" s="551"/>
      <c r="BQ965" s="551"/>
      <c r="BR965" s="551"/>
      <c r="BS965" s="551"/>
      <c r="BT965" s="551"/>
      <c r="BU965" s="551"/>
      <c r="BV965" s="551"/>
      <c r="BW965" s="551"/>
      <c r="BX965" s="551"/>
      <c r="BY965" s="650"/>
      <c r="BZ965" s="551"/>
      <c r="CA965" s="652"/>
      <c r="CB965" s="567"/>
      <c r="CC965" s="653"/>
      <c r="CD965" s="650"/>
      <c r="CE965" s="650"/>
      <c r="CF965" s="551"/>
      <c r="CG965" s="551"/>
      <c r="CI965" s="551"/>
      <c r="CJ965" s="551"/>
      <c r="CK965" s="551"/>
      <c r="CL965" s="551"/>
      <c r="CM965" s="551"/>
      <c r="CN965" s="551"/>
      <c r="CO965" s="551"/>
      <c r="CP965" s="551"/>
      <c r="CQ965" s="551"/>
      <c r="CR965" s="554">
        <f>I965</f>
        <v>132</v>
      </c>
      <c r="CS965" s="554">
        <f>I965</f>
        <v>132</v>
      </c>
      <c r="CT965" s="554">
        <f>I965</f>
        <v>132</v>
      </c>
      <c r="CU965" s="554">
        <f t="shared" si="373"/>
        <v>0</v>
      </c>
      <c r="CV965" s="551">
        <v>0</v>
      </c>
      <c r="CW965" s="551">
        <v>0</v>
      </c>
      <c r="CX965" s="650"/>
      <c r="CY965" s="650"/>
      <c r="CZ965" s="650"/>
      <c r="DA965" s="548"/>
      <c r="DB965" s="548"/>
      <c r="DC965" s="548"/>
      <c r="DD965" s="650"/>
      <c r="DE965" s="650"/>
      <c r="DF965" s="650"/>
      <c r="DG965" s="650"/>
      <c r="DH965" s="650"/>
    </row>
    <row r="966" s="548" customFormat="1" ht="31" customHeight="1" spans="1:112">
      <c r="A966" s="641">
        <v>45957</v>
      </c>
      <c r="B966" s="642" t="s">
        <v>2707</v>
      </c>
      <c r="C966" s="246" t="s">
        <v>170</v>
      </c>
      <c r="D966" s="551">
        <v>4500183001</v>
      </c>
      <c r="E966" s="246" t="s">
        <v>8075</v>
      </c>
      <c r="F966" s="551" t="s">
        <v>2706</v>
      </c>
      <c r="G966" s="246" t="s">
        <v>8498</v>
      </c>
      <c r="H966" s="246" t="s">
        <v>2703</v>
      </c>
      <c r="I966" s="704">
        <v>132</v>
      </c>
      <c r="J966" s="246">
        <v>0</v>
      </c>
      <c r="K966" s="246">
        <v>6</v>
      </c>
      <c r="L966" s="644">
        <f t="shared" si="366"/>
        <v>22</v>
      </c>
      <c r="M966" s="645">
        <v>46031</v>
      </c>
      <c r="N966" s="645">
        <v>46027</v>
      </c>
      <c r="O966" s="246"/>
      <c r="P966" s="643" t="s">
        <v>113</v>
      </c>
      <c r="Q966" s="246"/>
      <c r="R966" s="646">
        <v>45995</v>
      </c>
      <c r="S966" s="646" t="s">
        <v>70</v>
      </c>
      <c r="T966" s="646" t="s">
        <v>70</v>
      </c>
      <c r="U966" s="646"/>
      <c r="V966" s="646"/>
      <c r="W966" s="615"/>
      <c r="X966" s="642" t="s">
        <v>2704</v>
      </c>
      <c r="Y966" s="642" t="s">
        <v>1318</v>
      </c>
      <c r="Z966" s="655">
        <v>7.1628</v>
      </c>
      <c r="AA966" s="647">
        <f t="shared" si="370"/>
        <v>945.4896</v>
      </c>
      <c r="AC966" s="648"/>
      <c r="AD966" s="246" t="s">
        <v>2705</v>
      </c>
      <c r="AE966" s="246" t="s">
        <v>82</v>
      </c>
      <c r="AF966" s="246"/>
      <c r="AG966" s="642"/>
      <c r="AH966" s="642">
        <v>1</v>
      </c>
      <c r="AI966" s="246"/>
      <c r="AJ966" s="246">
        <f t="shared" si="371"/>
        <v>-132</v>
      </c>
      <c r="AK966" s="246"/>
      <c r="AL966" s="246"/>
      <c r="AM966" s="246"/>
      <c r="AN966" s="610">
        <f t="shared" si="374"/>
        <v>264</v>
      </c>
      <c r="AO966" s="551"/>
      <c r="AP966" s="551"/>
      <c r="AQ966" s="551"/>
      <c r="AR966" s="650"/>
      <c r="AS966" s="551">
        <f t="shared" si="375"/>
        <v>264</v>
      </c>
      <c r="AT966" s="551"/>
      <c r="AU966" s="554">
        <f t="shared" si="376"/>
        <v>264</v>
      </c>
      <c r="AV966" s="551"/>
      <c r="AW966" s="650"/>
      <c r="AX966" s="551"/>
      <c r="AY966" s="551"/>
      <c r="AZ966" s="551"/>
      <c r="BA966" s="551"/>
      <c r="BB966" s="620">
        <f t="shared" si="372"/>
        <v>11</v>
      </c>
      <c r="BC966" s="651"/>
      <c r="BD966" s="551"/>
      <c r="BE966" s="551"/>
      <c r="BF966" s="551"/>
      <c r="BH966" s="551"/>
      <c r="BI966" s="551"/>
      <c r="BJ966" s="551"/>
      <c r="BK966" s="551"/>
      <c r="BL966" s="551"/>
      <c r="BM966" s="551"/>
      <c r="BN966" s="551"/>
      <c r="BO966" s="551"/>
      <c r="BP966" s="551"/>
      <c r="BQ966" s="551"/>
      <c r="BR966" s="551"/>
      <c r="BS966" s="551"/>
      <c r="BT966" s="551"/>
      <c r="BU966" s="551"/>
      <c r="BV966" s="551"/>
      <c r="BW966" s="551"/>
      <c r="BX966" s="551"/>
      <c r="BY966" s="650"/>
      <c r="BZ966" s="551"/>
      <c r="CA966" s="652">
        <f>I966</f>
        <v>132</v>
      </c>
      <c r="CB966" s="567"/>
      <c r="CC966" s="653"/>
      <c r="CD966" s="650"/>
      <c r="CE966" s="650"/>
      <c r="CF966" s="551"/>
      <c r="CG966" s="551"/>
      <c r="CI966" s="551"/>
      <c r="CJ966" s="551"/>
      <c r="CK966" s="551"/>
      <c r="CL966" s="551"/>
      <c r="CM966" s="551"/>
      <c r="CN966" s="551"/>
      <c r="CO966" s="551"/>
      <c r="CP966" s="551"/>
      <c r="CQ966" s="551"/>
      <c r="CR966" s="551"/>
      <c r="CS966" s="551"/>
      <c r="CT966" s="551"/>
      <c r="CU966" s="554">
        <f t="shared" si="373"/>
        <v>0</v>
      </c>
      <c r="CV966" s="551">
        <f>CK966+CL966+CM966+CN966+CO966+CQ966+CP966</f>
        <v>0</v>
      </c>
      <c r="CW966" s="551">
        <f>CI966+CJ966</f>
        <v>0</v>
      </c>
      <c r="CX966" s="650"/>
      <c r="CY966" s="650"/>
      <c r="CZ966" s="650"/>
      <c r="DA966" s="548"/>
      <c r="DB966" s="548"/>
      <c r="DC966" s="548"/>
      <c r="DD966" s="650"/>
      <c r="DE966" s="650"/>
      <c r="DF966" s="650"/>
      <c r="DG966" s="650"/>
      <c r="DH966" s="650"/>
    </row>
    <row r="967" s="548" customFormat="1" ht="31" customHeight="1" spans="1:112">
      <c r="A967" s="641">
        <v>45957</v>
      </c>
      <c r="B967" s="642" t="s">
        <v>2707</v>
      </c>
      <c r="C967" s="246" t="s">
        <v>170</v>
      </c>
      <c r="D967" s="551">
        <v>4500183043</v>
      </c>
      <c r="E967" s="246" t="s">
        <v>8080</v>
      </c>
      <c r="F967" s="551" t="s">
        <v>2709</v>
      </c>
      <c r="G967" s="246" t="s">
        <v>8498</v>
      </c>
      <c r="H967" s="246" t="s">
        <v>2703</v>
      </c>
      <c r="I967" s="704">
        <v>720</v>
      </c>
      <c r="J967" s="246">
        <v>0</v>
      </c>
      <c r="K967" s="246">
        <v>6</v>
      </c>
      <c r="L967" s="644">
        <f t="shared" si="366"/>
        <v>120</v>
      </c>
      <c r="M967" s="645">
        <v>46031</v>
      </c>
      <c r="N967" s="645">
        <v>46027</v>
      </c>
      <c r="O967" s="246"/>
      <c r="P967" s="643" t="s">
        <v>113</v>
      </c>
      <c r="Q967" s="246"/>
      <c r="R967" s="646">
        <v>45995</v>
      </c>
      <c r="S967" s="646" t="s">
        <v>70</v>
      </c>
      <c r="T967" s="646" t="s">
        <v>70</v>
      </c>
      <c r="U967" s="646"/>
      <c r="V967" s="646"/>
      <c r="W967" s="615"/>
      <c r="X967" s="642" t="s">
        <v>2710</v>
      </c>
      <c r="Y967" s="642" t="s">
        <v>1318</v>
      </c>
      <c r="Z967" s="655">
        <v>7.1628</v>
      </c>
      <c r="AA967" s="647">
        <f t="shared" si="370"/>
        <v>5157.216</v>
      </c>
      <c r="AC967" s="648"/>
      <c r="AD967" s="246" t="s">
        <v>2705</v>
      </c>
      <c r="AE967" s="246" t="s">
        <v>82</v>
      </c>
      <c r="AF967" s="246"/>
      <c r="AG967" s="642"/>
      <c r="AH967" s="642">
        <v>1</v>
      </c>
      <c r="AI967" s="246"/>
      <c r="AJ967" s="246">
        <f t="shared" si="371"/>
        <v>-720</v>
      </c>
      <c r="AK967" s="246"/>
      <c r="AL967" s="246" t="s">
        <v>2368</v>
      </c>
      <c r="AM967" s="246"/>
      <c r="AN967" s="610">
        <f t="shared" si="374"/>
        <v>1440</v>
      </c>
      <c r="AO967" s="551"/>
      <c r="AP967" s="551"/>
      <c r="AQ967" s="551"/>
      <c r="AR967" s="650"/>
      <c r="AS967" s="551">
        <f t="shared" si="375"/>
        <v>1440</v>
      </c>
      <c r="AT967" s="551"/>
      <c r="AU967" s="554">
        <f t="shared" si="376"/>
        <v>1440</v>
      </c>
      <c r="AV967" s="551"/>
      <c r="AW967" s="650"/>
      <c r="AX967" s="551"/>
      <c r="AY967" s="551"/>
      <c r="AZ967" s="551"/>
      <c r="BA967" s="551"/>
      <c r="BB967" s="620">
        <f t="shared" si="372"/>
        <v>60</v>
      </c>
      <c r="BC967" s="651"/>
      <c r="BD967" s="551"/>
      <c r="BE967" s="551"/>
      <c r="BF967" s="551"/>
      <c r="BH967" s="551"/>
      <c r="BI967" s="551"/>
      <c r="BJ967" s="551"/>
      <c r="BK967" s="551"/>
      <c r="BL967" s="551"/>
      <c r="BM967" s="551"/>
      <c r="BN967" s="551"/>
      <c r="BO967" s="551"/>
      <c r="BP967" s="551"/>
      <c r="BQ967" s="551"/>
      <c r="BR967" s="551"/>
      <c r="BS967" s="551"/>
      <c r="BT967" s="551"/>
      <c r="BU967" s="551"/>
      <c r="BV967" s="551"/>
      <c r="BW967" s="551"/>
      <c r="BX967" s="551"/>
      <c r="BY967" s="650"/>
      <c r="BZ967" s="551"/>
      <c r="CA967" s="652">
        <f>I967</f>
        <v>720</v>
      </c>
      <c r="CB967" s="567"/>
      <c r="CC967" s="653"/>
      <c r="CD967" s="650"/>
      <c r="CE967" s="650"/>
      <c r="CF967" s="551"/>
      <c r="CG967" s="551"/>
      <c r="CI967" s="551"/>
      <c r="CJ967" s="551"/>
      <c r="CK967" s="551"/>
      <c r="CL967" s="551"/>
      <c r="CM967" s="551"/>
      <c r="CN967" s="551"/>
      <c r="CO967" s="551"/>
      <c r="CP967" s="551"/>
      <c r="CQ967" s="551"/>
      <c r="CR967" s="551"/>
      <c r="CS967" s="551"/>
      <c r="CT967" s="551"/>
      <c r="CU967" s="554">
        <f t="shared" si="373"/>
        <v>0</v>
      </c>
      <c r="CV967" s="551">
        <f>CK967+CL967+CM967+CN967+CO967+CQ967+CP967</f>
        <v>0</v>
      </c>
      <c r="CW967" s="551">
        <f>CI967+CJ967</f>
        <v>0</v>
      </c>
      <c r="CX967" s="650"/>
      <c r="CY967" s="650"/>
      <c r="CZ967" s="650"/>
      <c r="DA967" s="548"/>
      <c r="DB967" s="548"/>
      <c r="DC967" s="548"/>
      <c r="DD967" s="650"/>
      <c r="DE967" s="650"/>
      <c r="DF967" s="650"/>
      <c r="DG967" s="650"/>
      <c r="DH967" s="650"/>
    </row>
    <row r="968" s="548" customFormat="1" ht="31" customHeight="1" spans="1:112">
      <c r="A968" s="641">
        <v>45957</v>
      </c>
      <c r="B968" s="642" t="s">
        <v>2707</v>
      </c>
      <c r="C968" s="246" t="s">
        <v>170</v>
      </c>
      <c r="D968" s="551">
        <v>4500183051</v>
      </c>
      <c r="E968" s="246" t="s">
        <v>8501</v>
      </c>
      <c r="F968" s="551" t="s">
        <v>8502</v>
      </c>
      <c r="G968" s="246" t="s">
        <v>6787</v>
      </c>
      <c r="H968" s="610" t="s">
        <v>6126</v>
      </c>
      <c r="I968" s="704">
        <v>720</v>
      </c>
      <c r="J968" s="246">
        <v>0</v>
      </c>
      <c r="K968" s="246">
        <v>12</v>
      </c>
      <c r="L968" s="644">
        <f t="shared" si="366"/>
        <v>60</v>
      </c>
      <c r="M968" s="645">
        <v>46031</v>
      </c>
      <c r="N968" s="645">
        <v>46027</v>
      </c>
      <c r="O968" s="246"/>
      <c r="P968" s="643" t="s">
        <v>113</v>
      </c>
      <c r="Q968" s="246"/>
      <c r="R968" s="646">
        <v>45995</v>
      </c>
      <c r="S968" s="646" t="s">
        <v>70</v>
      </c>
      <c r="T968" s="646" t="s">
        <v>70</v>
      </c>
      <c r="U968" s="646"/>
      <c r="V968" s="646"/>
      <c r="W968" s="615"/>
      <c r="X968" s="642" t="s">
        <v>8082</v>
      </c>
      <c r="Y968" s="642" t="s">
        <v>1318</v>
      </c>
      <c r="Z968" s="655">
        <v>2.1823</v>
      </c>
      <c r="AA968" s="647">
        <f t="shared" si="370"/>
        <v>1571.256</v>
      </c>
      <c r="AC968" s="648"/>
      <c r="AD968" s="246" t="s">
        <v>8079</v>
      </c>
      <c r="AE968" s="246" t="s">
        <v>82</v>
      </c>
      <c r="AF968" s="246"/>
      <c r="AG968" s="642"/>
      <c r="AH968" s="642">
        <v>1</v>
      </c>
      <c r="AI968" s="246">
        <v>720</v>
      </c>
      <c r="AJ968" s="246">
        <f t="shared" si="371"/>
        <v>0</v>
      </c>
      <c r="AK968" s="246"/>
      <c r="AL968" s="246" t="s">
        <v>2368</v>
      </c>
      <c r="AM968" s="246"/>
      <c r="AN968" s="610">
        <f t="shared" si="374"/>
        <v>1440</v>
      </c>
      <c r="AO968" s="551"/>
      <c r="AP968" s="551"/>
      <c r="AQ968" s="551"/>
      <c r="AR968" s="650"/>
      <c r="AS968" s="551">
        <f t="shared" si="375"/>
        <v>1440</v>
      </c>
      <c r="AT968" s="551"/>
      <c r="AU968" s="554">
        <f t="shared" si="376"/>
        <v>1440</v>
      </c>
      <c r="AV968" s="551"/>
      <c r="AW968" s="650"/>
      <c r="AX968" s="551"/>
      <c r="AY968" s="551"/>
      <c r="AZ968" s="551"/>
      <c r="BA968" s="551"/>
      <c r="BB968" s="249">
        <f t="shared" si="372"/>
        <v>60</v>
      </c>
      <c r="BC968" s="651"/>
      <c r="BD968" s="551"/>
      <c r="BE968" s="551"/>
      <c r="BF968" s="551"/>
      <c r="BH968" s="551"/>
      <c r="BI968" s="551"/>
      <c r="BJ968" s="551"/>
      <c r="BK968" s="551"/>
      <c r="BL968" s="551"/>
      <c r="BM968" s="551"/>
      <c r="BN968" s="551"/>
      <c r="BO968" s="551"/>
      <c r="BP968" s="551"/>
      <c r="BQ968" s="551"/>
      <c r="BR968" s="551"/>
      <c r="BS968" s="551"/>
      <c r="BT968" s="551"/>
      <c r="BU968" s="551"/>
      <c r="BV968" s="551"/>
      <c r="BW968" s="551"/>
      <c r="BX968" s="551"/>
      <c r="BY968" s="650"/>
      <c r="BZ968" s="551"/>
      <c r="CA968" s="652"/>
      <c r="CB968" s="567"/>
      <c r="CC968" s="653"/>
      <c r="CD968" s="650"/>
      <c r="CE968" s="650"/>
      <c r="CF968" s="551"/>
      <c r="CG968" s="551"/>
      <c r="CI968" s="551"/>
      <c r="CJ968" s="551"/>
      <c r="CK968" s="551"/>
      <c r="CL968" s="551"/>
      <c r="CM968" s="551"/>
      <c r="CN968" s="551"/>
      <c r="CO968" s="551"/>
      <c r="CP968" s="551"/>
      <c r="CQ968" s="551"/>
      <c r="CR968" s="554">
        <f>I968</f>
        <v>720</v>
      </c>
      <c r="CS968" s="554">
        <f>I968</f>
        <v>720</v>
      </c>
      <c r="CT968" s="554">
        <f>I968</f>
        <v>720</v>
      </c>
      <c r="CU968" s="554">
        <f t="shared" si="373"/>
        <v>0</v>
      </c>
      <c r="CV968" s="551">
        <v>0</v>
      </c>
      <c r="CW968" s="551">
        <v>0</v>
      </c>
      <c r="CX968" s="650"/>
      <c r="CY968" s="650"/>
      <c r="CZ968" s="650"/>
      <c r="DA968" s="548"/>
      <c r="DB968" s="548"/>
      <c r="DC968" s="548"/>
      <c r="DD968" s="650"/>
      <c r="DE968" s="650"/>
      <c r="DF968" s="650"/>
      <c r="DG968" s="650"/>
      <c r="DH968" s="650"/>
    </row>
    <row r="969" s="548" customFormat="1" ht="31" customHeight="1" spans="1:112">
      <c r="A969" s="641">
        <v>45957</v>
      </c>
      <c r="B969" s="642" t="s">
        <v>2707</v>
      </c>
      <c r="C969" s="246" t="s">
        <v>170</v>
      </c>
      <c r="D969" s="551">
        <v>4500183051</v>
      </c>
      <c r="E969" s="246" t="s">
        <v>8501</v>
      </c>
      <c r="F969" s="551" t="s">
        <v>2712</v>
      </c>
      <c r="G969" s="246" t="s">
        <v>8498</v>
      </c>
      <c r="H969" s="246" t="s">
        <v>2703</v>
      </c>
      <c r="I969" s="704">
        <v>180</v>
      </c>
      <c r="J969" s="246">
        <v>0</v>
      </c>
      <c r="K969" s="246">
        <v>6</v>
      </c>
      <c r="L969" s="644">
        <f t="shared" si="366"/>
        <v>30</v>
      </c>
      <c r="M969" s="645">
        <v>46031</v>
      </c>
      <c r="N969" s="645">
        <v>46027</v>
      </c>
      <c r="O969" s="246"/>
      <c r="P969" s="643" t="s">
        <v>113</v>
      </c>
      <c r="Q969" s="246"/>
      <c r="R969" s="646">
        <v>45995</v>
      </c>
      <c r="S969" s="646" t="s">
        <v>70</v>
      </c>
      <c r="T969" s="646" t="s">
        <v>70</v>
      </c>
      <c r="U969" s="646"/>
      <c r="V969" s="646"/>
      <c r="W969" s="615"/>
      <c r="X969" s="642" t="s">
        <v>2710</v>
      </c>
      <c r="Y969" s="642" t="s">
        <v>1318</v>
      </c>
      <c r="Z969" s="655">
        <v>6.8326</v>
      </c>
      <c r="AA969" s="647">
        <f t="shared" si="370"/>
        <v>1229.868</v>
      </c>
      <c r="AC969" s="648"/>
      <c r="AD969" s="246" t="s">
        <v>2705</v>
      </c>
      <c r="AE969" s="246" t="s">
        <v>82</v>
      </c>
      <c r="AF969" s="246"/>
      <c r="AG969" s="642"/>
      <c r="AH969" s="642">
        <v>1</v>
      </c>
      <c r="AI969" s="246"/>
      <c r="AJ969" s="246">
        <f t="shared" si="371"/>
        <v>-180</v>
      </c>
      <c r="AK969" s="246"/>
      <c r="AL969" s="246" t="s">
        <v>2368</v>
      </c>
      <c r="AM969" s="246"/>
      <c r="AN969" s="610">
        <f t="shared" si="374"/>
        <v>360</v>
      </c>
      <c r="AO969" s="551"/>
      <c r="AP969" s="551"/>
      <c r="AQ969" s="551"/>
      <c r="AR969" s="650"/>
      <c r="AS969" s="551">
        <f t="shared" si="375"/>
        <v>360</v>
      </c>
      <c r="AT969" s="551"/>
      <c r="AU969" s="554">
        <f t="shared" si="376"/>
        <v>360</v>
      </c>
      <c r="AV969" s="551"/>
      <c r="AW969" s="650"/>
      <c r="AX969" s="551"/>
      <c r="AY969" s="551"/>
      <c r="AZ969" s="551"/>
      <c r="BA969" s="551"/>
      <c r="BB969" s="620">
        <f t="shared" si="372"/>
        <v>15</v>
      </c>
      <c r="BC969" s="651"/>
      <c r="BD969" s="551"/>
      <c r="BE969" s="551"/>
      <c r="BF969" s="551"/>
      <c r="BH969" s="551"/>
      <c r="BI969" s="551"/>
      <c r="BJ969" s="551"/>
      <c r="BK969" s="551"/>
      <c r="BL969" s="551"/>
      <c r="BM969" s="551"/>
      <c r="BN969" s="551"/>
      <c r="BO969" s="551"/>
      <c r="BP969" s="551"/>
      <c r="BQ969" s="551"/>
      <c r="BR969" s="551"/>
      <c r="BS969" s="551"/>
      <c r="BT969" s="551"/>
      <c r="BU969" s="551"/>
      <c r="BV969" s="551"/>
      <c r="BW969" s="551"/>
      <c r="BX969" s="551"/>
      <c r="BY969" s="650"/>
      <c r="BZ969" s="551"/>
      <c r="CA969" s="652">
        <f>I969</f>
        <v>180</v>
      </c>
      <c r="CB969" s="567"/>
      <c r="CC969" s="653"/>
      <c r="CD969" s="650"/>
      <c r="CE969" s="650"/>
      <c r="CF969" s="551"/>
      <c r="CG969" s="551"/>
      <c r="CI969" s="551"/>
      <c r="CJ969" s="551"/>
      <c r="CK969" s="551"/>
      <c r="CL969" s="551"/>
      <c r="CM969" s="551"/>
      <c r="CN969" s="551"/>
      <c r="CO969" s="551"/>
      <c r="CP969" s="551"/>
      <c r="CQ969" s="551"/>
      <c r="CR969" s="551"/>
      <c r="CS969" s="551"/>
      <c r="CT969" s="551"/>
      <c r="CU969" s="554">
        <f t="shared" si="373"/>
        <v>0</v>
      </c>
      <c r="CV969" s="551">
        <f>CK969+CL969+CM969+CN969+CO969+CQ969+CP969</f>
        <v>0</v>
      </c>
      <c r="CW969" s="551">
        <f>CI969+CJ969</f>
        <v>0</v>
      </c>
      <c r="CX969" s="650"/>
      <c r="CY969" s="650"/>
      <c r="CZ969" s="650"/>
      <c r="DA969" s="548"/>
      <c r="DB969" s="548"/>
      <c r="DC969" s="548"/>
      <c r="DD969" s="650"/>
      <c r="DE969" s="650"/>
      <c r="DF969" s="650"/>
      <c r="DG969" s="650"/>
      <c r="DH969" s="650"/>
    </row>
    <row r="970" s="548" customFormat="1" ht="31" customHeight="1" spans="1:112">
      <c r="A970" s="641">
        <v>45957</v>
      </c>
      <c r="B970" s="642" t="s">
        <v>2707</v>
      </c>
      <c r="C970" s="246" t="s">
        <v>170</v>
      </c>
      <c r="D970" s="551">
        <v>4500183051</v>
      </c>
      <c r="E970" s="246" t="s">
        <v>8501</v>
      </c>
      <c r="F970" s="551" t="s">
        <v>8503</v>
      </c>
      <c r="G970" s="246" t="s">
        <v>6787</v>
      </c>
      <c r="H970" s="610" t="s">
        <v>6126</v>
      </c>
      <c r="I970" s="704">
        <v>180</v>
      </c>
      <c r="J970" s="246">
        <v>0</v>
      </c>
      <c r="K970" s="246">
        <v>12</v>
      </c>
      <c r="L970" s="644">
        <f t="shared" si="366"/>
        <v>15</v>
      </c>
      <c r="M970" s="645">
        <v>46031</v>
      </c>
      <c r="N970" s="645">
        <v>46027</v>
      </c>
      <c r="O970" s="246"/>
      <c r="P970" s="643" t="s">
        <v>113</v>
      </c>
      <c r="Q970" s="246"/>
      <c r="R970" s="646">
        <v>45995</v>
      </c>
      <c r="S970" s="646" t="s">
        <v>70</v>
      </c>
      <c r="T970" s="646" t="s">
        <v>70</v>
      </c>
      <c r="U970" s="646"/>
      <c r="V970" s="646"/>
      <c r="W970" s="615"/>
      <c r="X970" s="642" t="s">
        <v>8082</v>
      </c>
      <c r="Y970" s="642" t="s">
        <v>1318</v>
      </c>
      <c r="Z970" s="655">
        <v>2.1823</v>
      </c>
      <c r="AA970" s="647">
        <f t="shared" si="370"/>
        <v>392.814</v>
      </c>
      <c r="AC970" s="648"/>
      <c r="AD970" s="246" t="s">
        <v>8079</v>
      </c>
      <c r="AE970" s="246" t="s">
        <v>82</v>
      </c>
      <c r="AF970" s="246"/>
      <c r="AG970" s="642"/>
      <c r="AH970" s="642">
        <v>1</v>
      </c>
      <c r="AI970" s="246">
        <v>180</v>
      </c>
      <c r="AJ970" s="246">
        <f t="shared" si="371"/>
        <v>0</v>
      </c>
      <c r="AK970" s="246"/>
      <c r="AL970" s="246" t="s">
        <v>2368</v>
      </c>
      <c r="AM970" s="246"/>
      <c r="AN970" s="610">
        <f t="shared" si="374"/>
        <v>360</v>
      </c>
      <c r="AO970" s="551"/>
      <c r="AP970" s="551"/>
      <c r="AQ970" s="551"/>
      <c r="AR970" s="650"/>
      <c r="AS970" s="551">
        <f t="shared" si="375"/>
        <v>360</v>
      </c>
      <c r="AT970" s="551"/>
      <c r="AU970" s="554">
        <f t="shared" si="376"/>
        <v>360</v>
      </c>
      <c r="AV970" s="551"/>
      <c r="AW970" s="650"/>
      <c r="AX970" s="551"/>
      <c r="AY970" s="551"/>
      <c r="AZ970" s="551"/>
      <c r="BA970" s="551"/>
      <c r="BB970" s="249">
        <f t="shared" si="372"/>
        <v>15</v>
      </c>
      <c r="BC970" s="651"/>
      <c r="BD970" s="551"/>
      <c r="BE970" s="551"/>
      <c r="BF970" s="551"/>
      <c r="BH970" s="551"/>
      <c r="BI970" s="551"/>
      <c r="BJ970" s="551"/>
      <c r="BK970" s="551"/>
      <c r="BL970" s="551"/>
      <c r="BM970" s="551"/>
      <c r="BN970" s="551"/>
      <c r="BO970" s="551"/>
      <c r="BP970" s="551"/>
      <c r="BQ970" s="551"/>
      <c r="BR970" s="551"/>
      <c r="BS970" s="551"/>
      <c r="BT970" s="551"/>
      <c r="BU970" s="551"/>
      <c r="BV970" s="551"/>
      <c r="BW970" s="551"/>
      <c r="BX970" s="551"/>
      <c r="BY970" s="650"/>
      <c r="BZ970" s="551"/>
      <c r="CA970" s="652"/>
      <c r="CB970" s="567"/>
      <c r="CC970" s="653"/>
      <c r="CD970" s="650"/>
      <c r="CE970" s="650"/>
      <c r="CF970" s="551"/>
      <c r="CG970" s="551"/>
      <c r="CI970" s="551"/>
      <c r="CJ970" s="551"/>
      <c r="CK970" s="551"/>
      <c r="CL970" s="551"/>
      <c r="CM970" s="551"/>
      <c r="CN970" s="551"/>
      <c r="CO970" s="551"/>
      <c r="CP970" s="551"/>
      <c r="CQ970" s="551"/>
      <c r="CR970" s="554">
        <f>I970</f>
        <v>180</v>
      </c>
      <c r="CS970" s="554">
        <f>I970</f>
        <v>180</v>
      </c>
      <c r="CT970" s="554">
        <f>I970</f>
        <v>180</v>
      </c>
      <c r="CU970" s="554">
        <f t="shared" si="373"/>
        <v>0</v>
      </c>
      <c r="CV970" s="551">
        <v>0</v>
      </c>
      <c r="CW970" s="551">
        <v>0</v>
      </c>
      <c r="CX970" s="650"/>
      <c r="CY970" s="650"/>
      <c r="CZ970" s="650"/>
      <c r="DA970" s="548"/>
      <c r="DB970" s="548"/>
      <c r="DC970" s="548"/>
      <c r="DD970" s="650"/>
      <c r="DE970" s="650"/>
      <c r="DF970" s="650"/>
      <c r="DG970" s="650"/>
      <c r="DH970" s="650"/>
    </row>
    <row r="971" s="548" customFormat="1" ht="31" customHeight="1" spans="1:112">
      <c r="A971" s="641">
        <v>45957</v>
      </c>
      <c r="B971" s="642" t="s">
        <v>2707</v>
      </c>
      <c r="C971" s="246" t="s">
        <v>170</v>
      </c>
      <c r="D971" s="551">
        <v>4500183051</v>
      </c>
      <c r="E971" s="246" t="s">
        <v>8501</v>
      </c>
      <c r="F971" s="551" t="s">
        <v>2713</v>
      </c>
      <c r="G971" s="246" t="s">
        <v>8498</v>
      </c>
      <c r="H971" s="246" t="s">
        <v>2703</v>
      </c>
      <c r="I971" s="704">
        <v>720</v>
      </c>
      <c r="J971" s="246">
        <v>0</v>
      </c>
      <c r="K971" s="246">
        <v>6</v>
      </c>
      <c r="L971" s="644">
        <f t="shared" si="366"/>
        <v>120</v>
      </c>
      <c r="M971" s="645">
        <v>46031</v>
      </c>
      <c r="N971" s="645">
        <v>46027</v>
      </c>
      <c r="O971" s="246"/>
      <c r="P971" s="643" t="s">
        <v>113</v>
      </c>
      <c r="Q971" s="246"/>
      <c r="R971" s="646">
        <v>45995</v>
      </c>
      <c r="S971" s="646" t="s">
        <v>70</v>
      </c>
      <c r="T971" s="646" t="s">
        <v>70</v>
      </c>
      <c r="U971" s="646"/>
      <c r="V971" s="646"/>
      <c r="W971" s="615"/>
      <c r="X971" s="642" t="s">
        <v>2710</v>
      </c>
      <c r="Y971" s="642" t="s">
        <v>1318</v>
      </c>
      <c r="Z971" s="655">
        <v>6.8326</v>
      </c>
      <c r="AA971" s="647">
        <f t="shared" si="370"/>
        <v>4919.472</v>
      </c>
      <c r="AC971" s="648"/>
      <c r="AD971" s="246" t="s">
        <v>2705</v>
      </c>
      <c r="AE971" s="246" t="s">
        <v>82</v>
      </c>
      <c r="AF971" s="246"/>
      <c r="AG971" s="642"/>
      <c r="AH971" s="642">
        <v>1</v>
      </c>
      <c r="AI971" s="246"/>
      <c r="AJ971" s="246">
        <f t="shared" si="371"/>
        <v>-720</v>
      </c>
      <c r="AK971" s="246"/>
      <c r="AL971" s="246" t="s">
        <v>2368</v>
      </c>
      <c r="AM971" s="246"/>
      <c r="AN971" s="610">
        <f t="shared" si="374"/>
        <v>1440</v>
      </c>
      <c r="AO971" s="551"/>
      <c r="AP971" s="551"/>
      <c r="AQ971" s="551"/>
      <c r="AR971" s="650"/>
      <c r="AS971" s="551">
        <f t="shared" si="375"/>
        <v>1440</v>
      </c>
      <c r="AT971" s="551"/>
      <c r="AU971" s="554">
        <f t="shared" si="376"/>
        <v>1440</v>
      </c>
      <c r="AV971" s="551"/>
      <c r="AW971" s="650"/>
      <c r="AX971" s="551"/>
      <c r="AY971" s="551"/>
      <c r="AZ971" s="551"/>
      <c r="BA971" s="551"/>
      <c r="BB971" s="620">
        <f t="shared" si="372"/>
        <v>60</v>
      </c>
      <c r="BC971" s="651"/>
      <c r="BD971" s="551"/>
      <c r="BE971" s="551"/>
      <c r="BF971" s="551"/>
      <c r="BH971" s="551"/>
      <c r="BI971" s="551"/>
      <c r="BJ971" s="551"/>
      <c r="BK971" s="551"/>
      <c r="BL971" s="551"/>
      <c r="BM971" s="551"/>
      <c r="BN971" s="551"/>
      <c r="BO971" s="551"/>
      <c r="BP971" s="551"/>
      <c r="BQ971" s="551"/>
      <c r="BR971" s="551"/>
      <c r="BS971" s="551"/>
      <c r="BT971" s="551"/>
      <c r="BU971" s="551"/>
      <c r="BV971" s="551"/>
      <c r="BW971" s="551"/>
      <c r="BX971" s="551"/>
      <c r="BY971" s="650"/>
      <c r="BZ971" s="551"/>
      <c r="CA971" s="652">
        <f>I971</f>
        <v>720</v>
      </c>
      <c r="CB971" s="567"/>
      <c r="CC971" s="653"/>
      <c r="CD971" s="650"/>
      <c r="CE971" s="650"/>
      <c r="CF971" s="551"/>
      <c r="CG971" s="551"/>
      <c r="CI971" s="551"/>
      <c r="CJ971" s="551"/>
      <c r="CK971" s="551"/>
      <c r="CL971" s="551"/>
      <c r="CM971" s="551"/>
      <c r="CN971" s="551"/>
      <c r="CO971" s="551"/>
      <c r="CP971" s="551"/>
      <c r="CQ971" s="551"/>
      <c r="CR971" s="551"/>
      <c r="CS971" s="551"/>
      <c r="CT971" s="551"/>
      <c r="CU971" s="554">
        <f t="shared" si="373"/>
        <v>0</v>
      </c>
      <c r="CV971" s="551">
        <f t="shared" ref="CV971:CV976" si="377">CK971+CL971+CM971+CN971+CO971+CQ971+CP971</f>
        <v>0</v>
      </c>
      <c r="CW971" s="551">
        <f t="shared" ref="CW971:CW976" si="378">CI971+CJ971</f>
        <v>0</v>
      </c>
      <c r="CX971" s="650"/>
      <c r="CY971" s="650"/>
      <c r="CZ971" s="650"/>
      <c r="DA971" s="548"/>
      <c r="DB971" s="548"/>
      <c r="DC971" s="548"/>
      <c r="DD971" s="650"/>
      <c r="DE971" s="650"/>
      <c r="DF971" s="650"/>
      <c r="DG971" s="650"/>
      <c r="DH971" s="650"/>
    </row>
    <row r="972" s="548" customFormat="1" ht="31" customHeight="1" spans="1:112">
      <c r="A972" s="641">
        <v>45957</v>
      </c>
      <c r="B972" s="642" t="s">
        <v>2707</v>
      </c>
      <c r="C972" s="246" t="s">
        <v>170</v>
      </c>
      <c r="D972" s="551">
        <v>4500183051</v>
      </c>
      <c r="E972" s="246" t="s">
        <v>8501</v>
      </c>
      <c r="F972" s="551" t="s">
        <v>2714</v>
      </c>
      <c r="G972" s="246" t="s">
        <v>8498</v>
      </c>
      <c r="H972" s="246" t="s">
        <v>2703</v>
      </c>
      <c r="I972" s="704">
        <v>180</v>
      </c>
      <c r="J972" s="246">
        <v>0</v>
      </c>
      <c r="K972" s="246">
        <v>6</v>
      </c>
      <c r="L972" s="644">
        <f t="shared" si="366"/>
        <v>30</v>
      </c>
      <c r="M972" s="645">
        <v>46031</v>
      </c>
      <c r="N972" s="645">
        <v>46027</v>
      </c>
      <c r="O972" s="246"/>
      <c r="P972" s="643" t="s">
        <v>113</v>
      </c>
      <c r="Q972" s="246"/>
      <c r="R972" s="646">
        <v>45995</v>
      </c>
      <c r="S972" s="646" t="s">
        <v>70</v>
      </c>
      <c r="T972" s="646" t="s">
        <v>70</v>
      </c>
      <c r="U972" s="646"/>
      <c r="V972" s="646"/>
      <c r="W972" s="615"/>
      <c r="X972" s="642" t="s">
        <v>2710</v>
      </c>
      <c r="Y972" s="642" t="s">
        <v>1318</v>
      </c>
      <c r="Z972" s="655">
        <v>6.8326</v>
      </c>
      <c r="AA972" s="647">
        <f t="shared" si="370"/>
        <v>1229.868</v>
      </c>
      <c r="AC972" s="648"/>
      <c r="AD972" s="246" t="s">
        <v>2705</v>
      </c>
      <c r="AE972" s="246" t="s">
        <v>82</v>
      </c>
      <c r="AF972" s="246"/>
      <c r="AG972" s="642"/>
      <c r="AH972" s="642">
        <v>1</v>
      </c>
      <c r="AI972" s="246"/>
      <c r="AJ972" s="246">
        <f t="shared" si="371"/>
        <v>-180</v>
      </c>
      <c r="AK972" s="246"/>
      <c r="AL972" s="246" t="s">
        <v>2368</v>
      </c>
      <c r="AM972" s="246"/>
      <c r="AN972" s="610">
        <f t="shared" si="374"/>
        <v>360</v>
      </c>
      <c r="AO972" s="551"/>
      <c r="AP972" s="551"/>
      <c r="AQ972" s="551"/>
      <c r="AR972" s="650"/>
      <c r="AS972" s="551">
        <f t="shared" si="375"/>
        <v>360</v>
      </c>
      <c r="AT972" s="551"/>
      <c r="AU972" s="554">
        <f t="shared" si="376"/>
        <v>360</v>
      </c>
      <c r="AV972" s="551"/>
      <c r="AW972" s="650"/>
      <c r="AX972" s="551"/>
      <c r="AY972" s="551"/>
      <c r="AZ972" s="551"/>
      <c r="BA972" s="551"/>
      <c r="BB972" s="620">
        <f t="shared" si="372"/>
        <v>15</v>
      </c>
      <c r="BC972" s="651"/>
      <c r="BD972" s="551"/>
      <c r="BE972" s="551"/>
      <c r="BF972" s="551"/>
      <c r="BH972" s="551"/>
      <c r="BI972" s="551"/>
      <c r="BJ972" s="551"/>
      <c r="BK972" s="551"/>
      <c r="BL972" s="551"/>
      <c r="BM972" s="551"/>
      <c r="BN972" s="551"/>
      <c r="BO972" s="551"/>
      <c r="BP972" s="551"/>
      <c r="BQ972" s="551"/>
      <c r="BR972" s="551"/>
      <c r="BS972" s="551"/>
      <c r="BT972" s="551"/>
      <c r="BU972" s="551"/>
      <c r="BV972" s="551"/>
      <c r="BW972" s="551"/>
      <c r="BX972" s="551"/>
      <c r="BY972" s="650"/>
      <c r="BZ972" s="551"/>
      <c r="CA972" s="652">
        <f>I972</f>
        <v>180</v>
      </c>
      <c r="CB972" s="567"/>
      <c r="CC972" s="653"/>
      <c r="CD972" s="650"/>
      <c r="CE972" s="650"/>
      <c r="CF972" s="551"/>
      <c r="CG972" s="551"/>
      <c r="CI972" s="551"/>
      <c r="CJ972" s="551"/>
      <c r="CK972" s="551"/>
      <c r="CL972" s="551"/>
      <c r="CM972" s="551"/>
      <c r="CN972" s="551"/>
      <c r="CO972" s="551"/>
      <c r="CP972" s="551"/>
      <c r="CQ972" s="551"/>
      <c r="CR972" s="551"/>
      <c r="CS972" s="551"/>
      <c r="CT972" s="551"/>
      <c r="CU972" s="554">
        <f t="shared" si="373"/>
        <v>0</v>
      </c>
      <c r="CV972" s="551">
        <f t="shared" si="377"/>
        <v>0</v>
      </c>
      <c r="CW972" s="551">
        <f t="shared" si="378"/>
        <v>0</v>
      </c>
      <c r="CX972" s="650"/>
      <c r="CY972" s="650"/>
      <c r="CZ972" s="650"/>
      <c r="DA972" s="548"/>
      <c r="DB972" s="548"/>
      <c r="DC972" s="548"/>
      <c r="DD972" s="650"/>
      <c r="DE972" s="650"/>
      <c r="DF972" s="650"/>
      <c r="DG972" s="650"/>
      <c r="DH972" s="650"/>
    </row>
    <row r="973" s="548" customFormat="1" ht="31" customHeight="1" spans="1:112">
      <c r="A973" s="641">
        <v>45968</v>
      </c>
      <c r="B973" s="642" t="s">
        <v>738</v>
      </c>
      <c r="C973" s="246" t="s">
        <v>348</v>
      </c>
      <c r="D973" s="551">
        <v>4500183616</v>
      </c>
      <c r="E973" s="246" t="s">
        <v>2715</v>
      </c>
      <c r="F973" s="551" t="s">
        <v>8504</v>
      </c>
      <c r="G973" s="246" t="s">
        <v>6276</v>
      </c>
      <c r="H973" s="246" t="s">
        <v>6277</v>
      </c>
      <c r="I973" s="704">
        <v>3600</v>
      </c>
      <c r="J973" s="246">
        <v>0</v>
      </c>
      <c r="K973" s="246">
        <v>50</v>
      </c>
      <c r="L973" s="644">
        <f t="shared" si="366"/>
        <v>72</v>
      </c>
      <c r="M973" s="645">
        <v>46031</v>
      </c>
      <c r="N973" s="645">
        <v>46027</v>
      </c>
      <c r="O973" s="246"/>
      <c r="P973" s="643" t="s">
        <v>113</v>
      </c>
      <c r="Q973" s="246"/>
      <c r="R973" s="646">
        <v>45995</v>
      </c>
      <c r="S973" s="646" t="s">
        <v>8505</v>
      </c>
      <c r="T973" s="646" t="s">
        <v>2717</v>
      </c>
      <c r="U973" s="646"/>
      <c r="V973" s="646"/>
      <c r="W973" s="615"/>
      <c r="X973" s="642" t="s">
        <v>8506</v>
      </c>
      <c r="Y973" s="642" t="s">
        <v>529</v>
      </c>
      <c r="Z973" s="655">
        <v>0.924</v>
      </c>
      <c r="AA973" s="647">
        <f t="shared" si="370"/>
        <v>3326.4</v>
      </c>
      <c r="AC973" s="648"/>
      <c r="AD973" s="246" t="s">
        <v>6276</v>
      </c>
      <c r="AE973" s="246" t="s">
        <v>82</v>
      </c>
      <c r="AF973" s="246"/>
      <c r="AG973" s="642"/>
      <c r="AH973" s="642">
        <v>1</v>
      </c>
      <c r="AI973" s="246">
        <f>100+3500</f>
        <v>3600</v>
      </c>
      <c r="AJ973" s="246">
        <f t="shared" si="371"/>
        <v>0</v>
      </c>
      <c r="AK973" s="246"/>
      <c r="AL973" s="246" t="s">
        <v>454</v>
      </c>
      <c r="AM973" s="246"/>
      <c r="AN973" s="246"/>
      <c r="AO973" s="551">
        <f>I973</f>
        <v>3600</v>
      </c>
      <c r="AP973" s="551"/>
      <c r="AQ973" s="551"/>
      <c r="AR973" s="650"/>
      <c r="AS973" s="551"/>
      <c r="AT973" s="551"/>
      <c r="AU973" s="551"/>
      <c r="AV973" s="551"/>
      <c r="AW973" s="650"/>
      <c r="AX973" s="551"/>
      <c r="AY973" s="551"/>
      <c r="AZ973" s="551"/>
      <c r="BA973" s="551"/>
      <c r="BB973" s="249">
        <f>I973/24</f>
        <v>150</v>
      </c>
      <c r="BC973" s="651"/>
      <c r="BD973" s="551"/>
      <c r="BE973" s="551"/>
      <c r="BF973" s="551"/>
      <c r="BH973" s="551"/>
      <c r="BI973" s="551"/>
      <c r="BJ973" s="551"/>
      <c r="BK973" s="551"/>
      <c r="BL973" s="551"/>
      <c r="BM973" s="551"/>
      <c r="BN973" s="551"/>
      <c r="BO973" s="551"/>
      <c r="BP973" s="551"/>
      <c r="BQ973" s="551"/>
      <c r="BR973" s="551"/>
      <c r="BS973" s="551"/>
      <c r="BT973" s="551"/>
      <c r="BU973" s="551"/>
      <c r="BV973" s="551">
        <f>I973</f>
        <v>3600</v>
      </c>
      <c r="BW973" s="551">
        <f>I973</f>
        <v>3600</v>
      </c>
      <c r="BX973" s="551">
        <f>I973/25</f>
        <v>144</v>
      </c>
      <c r="BY973" s="650"/>
      <c r="BZ973" s="551"/>
      <c r="CA973" s="652"/>
      <c r="CB973" s="567"/>
      <c r="CC973" s="653"/>
      <c r="CD973" s="650"/>
      <c r="CE973" s="650"/>
      <c r="CF973" s="551"/>
      <c r="CG973" s="551"/>
      <c r="CI973" s="551"/>
      <c r="CJ973" s="551"/>
      <c r="CK973" s="551"/>
      <c r="CL973" s="551"/>
      <c r="CM973" s="551"/>
      <c r="CN973" s="551"/>
      <c r="CO973" s="551"/>
      <c r="CP973" s="551"/>
      <c r="CQ973" s="551"/>
      <c r="CR973" s="551"/>
      <c r="CS973" s="551"/>
      <c r="CT973" s="551"/>
      <c r="CU973" s="554">
        <f t="shared" si="373"/>
        <v>144</v>
      </c>
      <c r="CV973" s="551">
        <f t="shared" si="377"/>
        <v>0</v>
      </c>
      <c r="CW973" s="551">
        <f t="shared" si="378"/>
        <v>0</v>
      </c>
      <c r="CX973" s="650"/>
      <c r="CY973" s="650"/>
      <c r="CZ973" s="650"/>
      <c r="DA973" s="548"/>
      <c r="DB973" s="548"/>
      <c r="DC973" s="548"/>
      <c r="DD973" s="650"/>
      <c r="DE973" s="650"/>
      <c r="DF973" s="650"/>
      <c r="DG973" s="650"/>
      <c r="DH973" s="650"/>
    </row>
    <row r="974" s="548" customFormat="1" ht="31" customHeight="1" spans="1:112">
      <c r="A974" s="641">
        <v>45988</v>
      </c>
      <c r="B974" s="642" t="s">
        <v>549</v>
      </c>
      <c r="C974" s="246" t="s">
        <v>278</v>
      </c>
      <c r="D974" s="551">
        <v>4500187194</v>
      </c>
      <c r="E974" s="246" t="s">
        <v>8507</v>
      </c>
      <c r="F974" s="551" t="s">
        <v>8508</v>
      </c>
      <c r="G974" s="246" t="s">
        <v>6365</v>
      </c>
      <c r="H974" s="246" t="s">
        <v>6126</v>
      </c>
      <c r="I974" s="704">
        <v>912</v>
      </c>
      <c r="J974" s="246">
        <v>0</v>
      </c>
      <c r="K974" s="246">
        <v>12</v>
      </c>
      <c r="L974" s="644">
        <f t="shared" si="366"/>
        <v>76</v>
      </c>
      <c r="M974" s="645">
        <v>46031</v>
      </c>
      <c r="N974" s="645">
        <v>46027</v>
      </c>
      <c r="O974" s="246"/>
      <c r="P974" s="643" t="s">
        <v>113</v>
      </c>
      <c r="Q974" s="246"/>
      <c r="R974" s="646" t="s">
        <v>463</v>
      </c>
      <c r="S974" s="646" t="s">
        <v>104</v>
      </c>
      <c r="T974" s="646">
        <v>45996</v>
      </c>
      <c r="U974" s="646"/>
      <c r="V974" s="646"/>
      <c r="W974" s="615"/>
      <c r="X974" s="642" t="s">
        <v>8509</v>
      </c>
      <c r="Y974" s="642" t="s">
        <v>466</v>
      </c>
      <c r="Z974" s="655">
        <v>2.1422</v>
      </c>
      <c r="AA974" s="647">
        <f t="shared" si="370"/>
        <v>1953.6864</v>
      </c>
      <c r="AC974" s="648" t="s">
        <v>8510</v>
      </c>
      <c r="AD974" s="246" t="s">
        <v>6368</v>
      </c>
      <c r="AE974" s="246" t="s">
        <v>82</v>
      </c>
      <c r="AF974" s="246"/>
      <c r="AG974" s="642"/>
      <c r="AH974" s="642">
        <v>1</v>
      </c>
      <c r="AI974" s="246">
        <v>912</v>
      </c>
      <c r="AJ974" s="246">
        <f t="shared" si="371"/>
        <v>0</v>
      </c>
      <c r="AK974" s="246"/>
      <c r="AL974" s="246" t="s">
        <v>454</v>
      </c>
      <c r="AM974" s="246"/>
      <c r="AN974" s="246"/>
      <c r="AO974" s="554">
        <f>I974*2</f>
        <v>1824</v>
      </c>
      <c r="AP974" s="551"/>
      <c r="AQ974" s="551"/>
      <c r="AR974" s="650"/>
      <c r="AS974" s="551"/>
      <c r="AT974" s="554">
        <f>I974*2</f>
        <v>1824</v>
      </c>
      <c r="AU974" s="551"/>
      <c r="AV974" s="554">
        <f>I974*2</f>
        <v>1824</v>
      </c>
      <c r="AW974" s="650"/>
      <c r="AX974" s="551"/>
      <c r="AY974" s="551"/>
      <c r="AZ974" s="551"/>
      <c r="BA974" s="551"/>
      <c r="BB974" s="249">
        <f>I974/24*2</f>
        <v>76</v>
      </c>
      <c r="BC974" s="651"/>
      <c r="BD974" s="551"/>
      <c r="BE974" s="551"/>
      <c r="BF974" s="551"/>
      <c r="BH974" s="551"/>
      <c r="BI974" s="551"/>
      <c r="BJ974" s="551"/>
      <c r="BK974" s="551"/>
      <c r="BL974" s="551"/>
      <c r="BM974" s="551"/>
      <c r="BN974" s="551"/>
      <c r="BO974" s="551"/>
      <c r="BP974" s="551"/>
      <c r="BQ974" s="551"/>
      <c r="BR974" s="551"/>
      <c r="BS974" s="551"/>
      <c r="BT974" s="551"/>
      <c r="BU974" s="551"/>
      <c r="BV974" s="551"/>
      <c r="BW974" s="551"/>
      <c r="BX974" s="551"/>
      <c r="BY974" s="650"/>
      <c r="BZ974" s="551"/>
      <c r="CA974" s="652"/>
      <c r="CB974" s="567"/>
      <c r="CC974" s="653"/>
      <c r="CD974" s="650"/>
      <c r="CE974" s="650"/>
      <c r="CF974" s="551"/>
      <c r="CG974" s="551"/>
      <c r="CI974" s="551"/>
      <c r="CJ974" s="551"/>
      <c r="CK974" s="551"/>
      <c r="CL974" s="551"/>
      <c r="CM974" s="551"/>
      <c r="CN974" s="551"/>
      <c r="CO974" s="551"/>
      <c r="CP974" s="551"/>
      <c r="CQ974" s="551"/>
      <c r="CR974" s="554">
        <f>I974</f>
        <v>912</v>
      </c>
      <c r="CS974" s="554">
        <f>I974</f>
        <v>912</v>
      </c>
      <c r="CT974" s="554">
        <f>I974</f>
        <v>912</v>
      </c>
      <c r="CU974" s="554">
        <f t="shared" si="373"/>
        <v>0</v>
      </c>
      <c r="CV974" s="551">
        <f t="shared" si="377"/>
        <v>0</v>
      </c>
      <c r="CW974" s="551">
        <f t="shared" si="378"/>
        <v>0</v>
      </c>
      <c r="CX974" s="650"/>
      <c r="CY974" s="650"/>
      <c r="CZ974" s="650"/>
      <c r="DA974" s="548"/>
      <c r="DB974" s="548"/>
      <c r="DC974" s="548"/>
      <c r="DD974" s="650"/>
      <c r="DE974" s="650"/>
      <c r="DF974" s="650"/>
      <c r="DG974" s="650"/>
      <c r="DH974" s="650"/>
    </row>
    <row r="975" s="548" customFormat="1" ht="31" customHeight="1" spans="1:112">
      <c r="A975" s="641">
        <v>45988</v>
      </c>
      <c r="B975" s="642" t="s">
        <v>549</v>
      </c>
      <c r="C975" s="246" t="s">
        <v>278</v>
      </c>
      <c r="D975" s="551">
        <v>4500187194</v>
      </c>
      <c r="E975" s="246" t="s">
        <v>8511</v>
      </c>
      <c r="F975" s="551" t="s">
        <v>8512</v>
      </c>
      <c r="G975" s="246" t="s">
        <v>6365</v>
      </c>
      <c r="H975" s="246" t="s">
        <v>6126</v>
      </c>
      <c r="I975" s="704">
        <v>6300</v>
      </c>
      <c r="J975" s="246">
        <v>0</v>
      </c>
      <c r="K975" s="246">
        <v>12</v>
      </c>
      <c r="L975" s="644">
        <f t="shared" si="366"/>
        <v>525</v>
      </c>
      <c r="M975" s="645">
        <v>46031</v>
      </c>
      <c r="N975" s="645">
        <v>46027</v>
      </c>
      <c r="O975" s="246"/>
      <c r="P975" s="643" t="s">
        <v>113</v>
      </c>
      <c r="Q975" s="246"/>
      <c r="R975" s="646" t="s">
        <v>463</v>
      </c>
      <c r="S975" s="646" t="s">
        <v>104</v>
      </c>
      <c r="T975" s="646">
        <v>45996</v>
      </c>
      <c r="U975" s="646"/>
      <c r="V975" s="646"/>
      <c r="W975" s="615"/>
      <c r="X975" s="642" t="s">
        <v>8509</v>
      </c>
      <c r="Y975" s="642" t="s">
        <v>466</v>
      </c>
      <c r="Z975" s="655">
        <v>2.1422</v>
      </c>
      <c r="AA975" s="647">
        <f t="shared" si="370"/>
        <v>13495.86</v>
      </c>
      <c r="AC975" s="648" t="s">
        <v>8510</v>
      </c>
      <c r="AD975" s="246" t="s">
        <v>6368</v>
      </c>
      <c r="AE975" s="246" t="s">
        <v>82</v>
      </c>
      <c r="AF975" s="246"/>
      <c r="AG975" s="642"/>
      <c r="AH975" s="642">
        <v>1</v>
      </c>
      <c r="AI975" s="246">
        <f>1080+5220</f>
        <v>6300</v>
      </c>
      <c r="AJ975" s="246">
        <f t="shared" si="371"/>
        <v>0</v>
      </c>
      <c r="AK975" s="246"/>
      <c r="AL975" s="246" t="s">
        <v>454</v>
      </c>
      <c r="AM975" s="246"/>
      <c r="AN975" s="246"/>
      <c r="AO975" s="554">
        <f>I975*2</f>
        <v>12600</v>
      </c>
      <c r="AP975" s="551"/>
      <c r="AQ975" s="551"/>
      <c r="AR975" s="650"/>
      <c r="AS975" s="551"/>
      <c r="AT975" s="554">
        <f>I975*2</f>
        <v>12600</v>
      </c>
      <c r="AU975" s="551"/>
      <c r="AV975" s="554">
        <f>I975*2</f>
        <v>12600</v>
      </c>
      <c r="AW975" s="650"/>
      <c r="AX975" s="551"/>
      <c r="AY975" s="551"/>
      <c r="AZ975" s="551"/>
      <c r="BA975" s="551"/>
      <c r="BB975" s="249">
        <f>I975/24*2</f>
        <v>525</v>
      </c>
      <c r="BC975" s="651"/>
      <c r="BD975" s="551"/>
      <c r="BE975" s="551"/>
      <c r="BF975" s="551"/>
      <c r="BH975" s="551"/>
      <c r="BI975" s="551"/>
      <c r="BJ975" s="551"/>
      <c r="BK975" s="551"/>
      <c r="BL975" s="551"/>
      <c r="BM975" s="551"/>
      <c r="BN975" s="551"/>
      <c r="BO975" s="551"/>
      <c r="BP975" s="551"/>
      <c r="BQ975" s="551"/>
      <c r="BR975" s="551"/>
      <c r="BS975" s="551"/>
      <c r="BT975" s="551"/>
      <c r="BU975" s="551"/>
      <c r="BV975" s="551"/>
      <c r="BW975" s="551"/>
      <c r="BX975" s="551"/>
      <c r="BY975" s="650"/>
      <c r="BZ975" s="551"/>
      <c r="CA975" s="652"/>
      <c r="CB975" s="567"/>
      <c r="CC975" s="653"/>
      <c r="CD975" s="650"/>
      <c r="CE975" s="650"/>
      <c r="CF975" s="551"/>
      <c r="CG975" s="551"/>
      <c r="CI975" s="551"/>
      <c r="CJ975" s="551"/>
      <c r="CK975" s="551"/>
      <c r="CL975" s="551"/>
      <c r="CM975" s="551"/>
      <c r="CN975" s="551"/>
      <c r="CO975" s="551"/>
      <c r="CP975" s="551"/>
      <c r="CQ975" s="551"/>
      <c r="CR975" s="554">
        <f>I975</f>
        <v>6300</v>
      </c>
      <c r="CS975" s="554">
        <f>I975</f>
        <v>6300</v>
      </c>
      <c r="CT975" s="554">
        <f>I975</f>
        <v>6300</v>
      </c>
      <c r="CU975" s="554">
        <f t="shared" si="373"/>
        <v>0</v>
      </c>
      <c r="CV975" s="551">
        <f t="shared" si="377"/>
        <v>0</v>
      </c>
      <c r="CW975" s="551">
        <f t="shared" si="378"/>
        <v>0</v>
      </c>
      <c r="CX975" s="650"/>
      <c r="CY975" s="650"/>
      <c r="CZ975" s="650"/>
      <c r="DA975" s="548"/>
      <c r="DB975" s="548"/>
      <c r="DC975" s="548"/>
      <c r="DD975" s="650"/>
      <c r="DE975" s="650"/>
      <c r="DF975" s="650"/>
      <c r="DG975" s="650"/>
      <c r="DH975" s="650"/>
    </row>
    <row r="976" s="548" customFormat="1" ht="31" customHeight="1" spans="1:112">
      <c r="A976" s="641">
        <v>45993</v>
      </c>
      <c r="B976" s="642" t="s">
        <v>1800</v>
      </c>
      <c r="C976" s="246" t="s">
        <v>744</v>
      </c>
      <c r="D976" s="551">
        <v>4500185221</v>
      </c>
      <c r="E976" s="246">
        <v>5000002057</v>
      </c>
      <c r="F976" s="551" t="s">
        <v>8513</v>
      </c>
      <c r="G976" s="246" t="s">
        <v>6093</v>
      </c>
      <c r="H976" s="639" t="s">
        <v>7359</v>
      </c>
      <c r="I976" s="704">
        <v>2600</v>
      </c>
      <c r="J976" s="246">
        <v>0</v>
      </c>
      <c r="K976" s="246">
        <v>13</v>
      </c>
      <c r="L976" s="644">
        <f t="shared" si="366"/>
        <v>200</v>
      </c>
      <c r="M976" s="645">
        <v>46031</v>
      </c>
      <c r="N976" s="645">
        <v>46027</v>
      </c>
      <c r="O976" s="246"/>
      <c r="P976" s="643" t="s">
        <v>113</v>
      </c>
      <c r="Q976" s="246"/>
      <c r="R976" s="646" t="s">
        <v>7814</v>
      </c>
      <c r="S976" s="646" t="s">
        <v>104</v>
      </c>
      <c r="T976" s="646" t="s">
        <v>8017</v>
      </c>
      <c r="U976" s="646"/>
      <c r="V976" s="646" t="s">
        <v>8514</v>
      </c>
      <c r="W976" s="615"/>
      <c r="X976" s="628" t="s">
        <v>8515</v>
      </c>
      <c r="Y976" s="642" t="s">
        <v>1805</v>
      </c>
      <c r="Z976" s="655">
        <v>0.882</v>
      </c>
      <c r="AA976" s="647">
        <f t="shared" si="370"/>
        <v>2293.2</v>
      </c>
      <c r="AC976" s="648" t="s">
        <v>8516</v>
      </c>
      <c r="AD976" s="246" t="s">
        <v>8338</v>
      </c>
      <c r="AE976" s="246" t="s">
        <v>82</v>
      </c>
      <c r="AF976" s="246"/>
      <c r="AG976" s="642"/>
      <c r="AH976" s="642">
        <v>1</v>
      </c>
      <c r="AI976" s="246">
        <v>2600</v>
      </c>
      <c r="AJ976" s="246">
        <f t="shared" si="371"/>
        <v>0</v>
      </c>
      <c r="AK976" s="246"/>
      <c r="AL976" s="246" t="s">
        <v>2368</v>
      </c>
      <c r="AM976" s="246"/>
      <c r="AN976" s="246"/>
      <c r="AO976" s="551">
        <f>I976</f>
        <v>2600</v>
      </c>
      <c r="AP976" s="551"/>
      <c r="AQ976" s="551"/>
      <c r="AR976" s="650"/>
      <c r="AS976" s="551"/>
      <c r="AT976" s="554">
        <f>I976</f>
        <v>2600</v>
      </c>
      <c r="AU976" s="551"/>
      <c r="AV976" s="551"/>
      <c r="AW976" s="650"/>
      <c r="AX976" s="554">
        <f>I976</f>
        <v>2600</v>
      </c>
      <c r="AY976" s="551"/>
      <c r="AZ976" s="551"/>
      <c r="BA976" s="551">
        <f>I976/13</f>
        <v>200</v>
      </c>
      <c r="BB976" s="249"/>
      <c r="BC976" s="651"/>
      <c r="BD976" s="551"/>
      <c r="BE976" s="551"/>
      <c r="BF976" s="551"/>
      <c r="BH976" s="551"/>
      <c r="BI976" s="551"/>
      <c r="BJ976" s="551"/>
      <c r="BK976" s="551"/>
      <c r="BL976" s="551"/>
      <c r="BM976" s="551">
        <f>I976/13</f>
        <v>200</v>
      </c>
      <c r="BN976" s="551"/>
      <c r="BO976" s="551"/>
      <c r="BP976" s="551"/>
      <c r="BQ976" s="551"/>
      <c r="BR976" s="551"/>
      <c r="BS976" s="551"/>
      <c r="BT976" s="551"/>
      <c r="BU976" s="551"/>
      <c r="BV976" s="551"/>
      <c r="BW976" s="551"/>
      <c r="BX976" s="551"/>
      <c r="BY976" s="650"/>
      <c r="BZ976" s="551"/>
      <c r="CA976" s="652"/>
      <c r="CB976" s="567"/>
      <c r="CC976" s="653"/>
      <c r="CD976" s="650"/>
      <c r="CE976" s="650"/>
      <c r="CF976" s="551"/>
      <c r="CG976" s="551"/>
      <c r="CI976" s="551"/>
      <c r="CJ976" s="551"/>
      <c r="CK976" s="551"/>
      <c r="CL976" s="551"/>
      <c r="CM976" s="551"/>
      <c r="CN976" s="551"/>
      <c r="CO976" s="551"/>
      <c r="CP976" s="551"/>
      <c r="CQ976" s="551"/>
      <c r="CR976" s="551"/>
      <c r="CS976" s="551"/>
      <c r="CT976" s="551"/>
      <c r="CU976" s="554">
        <f t="shared" si="373"/>
        <v>0</v>
      </c>
      <c r="CV976" s="551">
        <f t="shared" si="377"/>
        <v>0</v>
      </c>
      <c r="CW976" s="551">
        <f t="shared" si="378"/>
        <v>0</v>
      </c>
      <c r="CX976" s="650"/>
      <c r="CY976" s="650"/>
      <c r="CZ976" s="650"/>
      <c r="DA976" s="548"/>
      <c r="DB976" s="548"/>
      <c r="DC976" s="548"/>
      <c r="DD976" s="650"/>
      <c r="DE976" s="650"/>
      <c r="DF976" s="650"/>
      <c r="DG976" s="650"/>
      <c r="DH976" s="650"/>
    </row>
    <row r="977" s="548" customFormat="1" ht="31" customHeight="1" spans="1:112">
      <c r="A977" s="641">
        <v>45973</v>
      </c>
      <c r="B977" s="642" t="s">
        <v>871</v>
      </c>
      <c r="C977" s="246" t="s">
        <v>98</v>
      </c>
      <c r="D977" s="551">
        <v>4500185399</v>
      </c>
      <c r="E977" s="643">
        <v>42367380</v>
      </c>
      <c r="F977" s="551" t="s">
        <v>8517</v>
      </c>
      <c r="G977" s="246" t="s">
        <v>6084</v>
      </c>
      <c r="H977" s="246" t="s">
        <v>6069</v>
      </c>
      <c r="I977" s="704">
        <v>8000</v>
      </c>
      <c r="J977" s="246">
        <v>0</v>
      </c>
      <c r="K977" s="246">
        <v>25</v>
      </c>
      <c r="L977" s="644">
        <f t="shared" si="366"/>
        <v>320</v>
      </c>
      <c r="M977" s="645">
        <v>46034</v>
      </c>
      <c r="N977" s="645">
        <v>46030</v>
      </c>
      <c r="O977" s="246"/>
      <c r="P977" s="643" t="s">
        <v>113</v>
      </c>
      <c r="Q977" s="246"/>
      <c r="R977" s="646">
        <v>45973</v>
      </c>
      <c r="S977" s="646" t="s">
        <v>70</v>
      </c>
      <c r="T977" s="646" t="s">
        <v>70</v>
      </c>
      <c r="U977" s="646"/>
      <c r="V977" s="646"/>
      <c r="W977" s="615"/>
      <c r="X977" s="642" t="s">
        <v>8518</v>
      </c>
      <c r="Y977" s="642" t="s">
        <v>355</v>
      </c>
      <c r="Z977" s="655">
        <v>0.5677</v>
      </c>
      <c r="AA977" s="647">
        <f t="shared" si="370"/>
        <v>4541.6</v>
      </c>
      <c r="AC977" s="658" t="s">
        <v>8519</v>
      </c>
      <c r="AD977" s="246" t="s">
        <v>6084</v>
      </c>
      <c r="AE977" s="246" t="s">
        <v>82</v>
      </c>
      <c r="AF977" s="246"/>
      <c r="AG977" s="642"/>
      <c r="AH977" s="642">
        <v>1</v>
      </c>
      <c r="AI977" s="246">
        <v>8000</v>
      </c>
      <c r="AJ977" s="246">
        <f t="shared" si="371"/>
        <v>0</v>
      </c>
      <c r="AK977" s="246"/>
      <c r="AL977" s="246"/>
      <c r="AM977" s="246"/>
      <c r="AN977" s="246">
        <f>I977</f>
        <v>8000</v>
      </c>
      <c r="AO977" s="551"/>
      <c r="AP977" s="554">
        <f>I977</f>
        <v>8000</v>
      </c>
      <c r="AQ977" s="551"/>
      <c r="AR977" s="650"/>
      <c r="AS977" s="551"/>
      <c r="AT977" s="551"/>
      <c r="AU977" s="554">
        <f>I977</f>
        <v>8000</v>
      </c>
      <c r="AV977" s="551"/>
      <c r="AW977" s="650"/>
      <c r="AX977" s="551"/>
      <c r="AY977" s="551"/>
      <c r="AZ977" s="551"/>
      <c r="BA977" s="551"/>
      <c r="BB977" s="249">
        <f>I977/24</f>
        <v>333.333333333333</v>
      </c>
      <c r="BC977" s="651"/>
      <c r="BD977" s="551"/>
      <c r="BE977" s="551"/>
      <c r="BF977" s="551"/>
      <c r="BH977" s="551"/>
      <c r="BI977" s="551"/>
      <c r="BJ977" s="551"/>
      <c r="BK977" s="551"/>
      <c r="BL977" s="551"/>
      <c r="BM977" s="551"/>
      <c r="BN977" s="551">
        <f>I977/25</f>
        <v>320</v>
      </c>
      <c r="BO977" s="551"/>
      <c r="BP977" s="551"/>
      <c r="BQ977" s="551"/>
      <c r="BR977" s="551"/>
      <c r="BS977" s="551"/>
      <c r="BT977" s="551"/>
      <c r="BU977" s="551"/>
      <c r="BV977" s="551"/>
      <c r="BW977" s="551"/>
      <c r="BX977" s="551"/>
      <c r="BY977" s="650"/>
      <c r="BZ977" s="551"/>
      <c r="CA977" s="652"/>
      <c r="CB977" s="567"/>
      <c r="CC977" s="653"/>
      <c r="CD977" s="650"/>
      <c r="CE977" s="650"/>
      <c r="CF977" s="551"/>
      <c r="CG977" s="551"/>
      <c r="CI977" s="551"/>
      <c r="CJ977" s="551"/>
      <c r="CK977" s="551"/>
      <c r="CL977" s="551"/>
      <c r="CM977" s="551"/>
      <c r="CN977" s="551"/>
      <c r="CO977" s="551"/>
      <c r="CP977" s="551"/>
      <c r="CQ977" s="551"/>
      <c r="CR977" s="551"/>
      <c r="CS977" s="551"/>
      <c r="CT977" s="551"/>
      <c r="CU977" s="554">
        <f t="shared" si="373"/>
        <v>320</v>
      </c>
      <c r="CV977" s="551">
        <f t="shared" ref="CV977:CV988" si="379">CK977+CL977+CM977+CN977+CO977+CQ977+CP977</f>
        <v>0</v>
      </c>
      <c r="CW977" s="551">
        <f t="shared" ref="CW977:CW988" si="380">CI977+CJ977</f>
        <v>0</v>
      </c>
      <c r="CX977" s="650"/>
      <c r="CY977" s="650"/>
      <c r="CZ977" s="650"/>
      <c r="DA977" s="548"/>
      <c r="DB977" s="548"/>
      <c r="DC977" s="548"/>
      <c r="DD977" s="650"/>
      <c r="DE977" s="650"/>
      <c r="DF977" s="650"/>
      <c r="DG977" s="650"/>
      <c r="DH977" s="650"/>
    </row>
    <row r="978" s="548" customFormat="1" ht="31" customHeight="1" spans="1:112">
      <c r="A978" s="641">
        <v>45985</v>
      </c>
      <c r="B978" s="642" t="s">
        <v>2734</v>
      </c>
      <c r="C978" s="246" t="s">
        <v>98</v>
      </c>
      <c r="D978" s="551">
        <v>4500186676</v>
      </c>
      <c r="E978" s="246">
        <v>60265478</v>
      </c>
      <c r="F978" s="551" t="s">
        <v>2735</v>
      </c>
      <c r="G978" s="246" t="s">
        <v>8520</v>
      </c>
      <c r="H978" s="246" t="s">
        <v>8521</v>
      </c>
      <c r="I978" s="704">
        <v>3000</v>
      </c>
      <c r="J978" s="246">
        <v>0</v>
      </c>
      <c r="K978" s="246">
        <v>8</v>
      </c>
      <c r="L978" s="644">
        <f t="shared" si="366"/>
        <v>375</v>
      </c>
      <c r="M978" s="645">
        <v>46034</v>
      </c>
      <c r="N978" s="645">
        <v>46030</v>
      </c>
      <c r="O978" s="246"/>
      <c r="P978" s="643" t="s">
        <v>113</v>
      </c>
      <c r="Q978" s="246"/>
      <c r="R978" s="646">
        <v>45985</v>
      </c>
      <c r="S978" s="646" t="s">
        <v>70</v>
      </c>
      <c r="T978" s="646" t="s">
        <v>8522</v>
      </c>
      <c r="U978" s="646"/>
      <c r="V978" s="646"/>
      <c r="W978" s="615"/>
      <c r="X978" s="628" t="s">
        <v>2739</v>
      </c>
      <c r="Y978" s="642" t="s">
        <v>2678</v>
      </c>
      <c r="Z978" s="655">
        <v>3.9826</v>
      </c>
      <c r="AA978" s="647">
        <f t="shared" si="370"/>
        <v>11947.8</v>
      </c>
      <c r="AC978" s="658" t="s">
        <v>2740</v>
      </c>
      <c r="AD978" s="246" t="s">
        <v>2741</v>
      </c>
      <c r="AE978" s="246" t="s">
        <v>82</v>
      </c>
      <c r="AF978" s="246"/>
      <c r="AG978" s="642"/>
      <c r="AH978" s="642">
        <v>1</v>
      </c>
      <c r="AI978" s="246"/>
      <c r="AJ978" s="246">
        <f t="shared" si="371"/>
        <v>-3000</v>
      </c>
      <c r="AK978" s="246"/>
      <c r="AL978" s="246"/>
      <c r="AM978" s="246"/>
      <c r="AN978" s="610">
        <f>I978*2</f>
        <v>6000</v>
      </c>
      <c r="AO978" s="551"/>
      <c r="AP978" s="554">
        <f>I978*2</f>
        <v>6000</v>
      </c>
      <c r="AQ978" s="551"/>
      <c r="AR978" s="650"/>
      <c r="AS978" s="551"/>
      <c r="AT978" s="551"/>
      <c r="AU978" s="554">
        <f>I978*2</f>
        <v>6000</v>
      </c>
      <c r="AV978" s="551"/>
      <c r="AW978" s="650"/>
      <c r="AX978" s="551"/>
      <c r="AY978" s="551"/>
      <c r="AZ978" s="551"/>
      <c r="BA978" s="551"/>
      <c r="BB978" s="620">
        <f>I978/24*2</f>
        <v>250</v>
      </c>
      <c r="BC978" s="651"/>
      <c r="BD978" s="551"/>
      <c r="BE978" s="551"/>
      <c r="BF978" s="551"/>
      <c r="BH978" s="551"/>
      <c r="BI978" s="551"/>
      <c r="BJ978" s="551"/>
      <c r="BK978" s="551"/>
      <c r="BL978" s="551"/>
      <c r="BM978" s="551"/>
      <c r="BN978" s="551"/>
      <c r="BO978" s="551"/>
      <c r="BP978" s="551"/>
      <c r="BQ978" s="551"/>
      <c r="BR978" s="551"/>
      <c r="BS978" s="551"/>
      <c r="BT978" s="551"/>
      <c r="BU978" s="551"/>
      <c r="BV978" s="551"/>
      <c r="BW978" s="551"/>
      <c r="BX978" s="551"/>
      <c r="BY978" s="650"/>
      <c r="BZ978" s="551"/>
      <c r="CA978" s="652">
        <f>I978</f>
        <v>3000</v>
      </c>
      <c r="CB978" s="567"/>
      <c r="CC978" s="653"/>
      <c r="CD978" s="650"/>
      <c r="CE978" s="650"/>
      <c r="CF978" s="551"/>
      <c r="CG978" s="551"/>
      <c r="CI978" s="551"/>
      <c r="CJ978" s="551"/>
      <c r="CK978" s="551"/>
      <c r="CL978" s="551"/>
      <c r="CM978" s="551"/>
      <c r="CN978" s="551"/>
      <c r="CO978" s="551"/>
      <c r="CP978" s="551"/>
      <c r="CQ978" s="551"/>
      <c r="CR978" s="551"/>
      <c r="CS978" s="551"/>
      <c r="CT978" s="551"/>
      <c r="CU978" s="554">
        <f t="shared" si="373"/>
        <v>0</v>
      </c>
      <c r="CV978" s="551">
        <f t="shared" si="379"/>
        <v>0</v>
      </c>
      <c r="CW978" s="551">
        <f t="shared" si="380"/>
        <v>0</v>
      </c>
      <c r="CX978" s="650"/>
      <c r="CY978" s="650"/>
      <c r="CZ978" s="650"/>
      <c r="DA978" s="548"/>
      <c r="DB978" s="548"/>
      <c r="DC978" s="548"/>
      <c r="DD978" s="650"/>
      <c r="DE978" s="650"/>
      <c r="DF978" s="650"/>
      <c r="DG978" s="650"/>
      <c r="DH978" s="650"/>
    </row>
    <row r="979" s="548" customFormat="1" ht="31" customHeight="1" spans="1:112">
      <c r="A979" s="641">
        <v>45985</v>
      </c>
      <c r="B979" s="642" t="s">
        <v>2734</v>
      </c>
      <c r="C979" s="246" t="s">
        <v>98</v>
      </c>
      <c r="D979" s="551">
        <v>4500186676</v>
      </c>
      <c r="E979" s="246">
        <v>60265481</v>
      </c>
      <c r="F979" s="551" t="s">
        <v>2742</v>
      </c>
      <c r="G979" s="246" t="s">
        <v>8520</v>
      </c>
      <c r="H979" s="246" t="s">
        <v>8521</v>
      </c>
      <c r="I979" s="704">
        <v>1600</v>
      </c>
      <c r="J979" s="246">
        <v>0</v>
      </c>
      <c r="K979" s="246">
        <v>8</v>
      </c>
      <c r="L979" s="644">
        <f t="shared" si="366"/>
        <v>200</v>
      </c>
      <c r="M979" s="645">
        <v>46034</v>
      </c>
      <c r="N979" s="645">
        <v>46030</v>
      </c>
      <c r="O979" s="246"/>
      <c r="P979" s="643" t="s">
        <v>113</v>
      </c>
      <c r="Q979" s="246"/>
      <c r="R979" s="646">
        <v>45985</v>
      </c>
      <c r="S979" s="646" t="s">
        <v>70</v>
      </c>
      <c r="T979" s="646" t="s">
        <v>8522</v>
      </c>
      <c r="U979" s="646"/>
      <c r="V979" s="646"/>
      <c r="W979" s="615"/>
      <c r="X979" s="628" t="s">
        <v>2739</v>
      </c>
      <c r="Y979" s="642" t="s">
        <v>2678</v>
      </c>
      <c r="Z979" s="655">
        <v>4.0996</v>
      </c>
      <c r="AA979" s="647">
        <f t="shared" si="370"/>
        <v>6559.36</v>
      </c>
      <c r="AC979" s="658" t="s">
        <v>2740</v>
      </c>
      <c r="AD979" s="246" t="s">
        <v>2741</v>
      </c>
      <c r="AE979" s="246" t="s">
        <v>82</v>
      </c>
      <c r="AF979" s="246"/>
      <c r="AG979" s="642"/>
      <c r="AH979" s="642">
        <v>1</v>
      </c>
      <c r="AI979" s="246"/>
      <c r="AJ979" s="246">
        <f t="shared" si="371"/>
        <v>-1600</v>
      </c>
      <c r="AK979" s="246"/>
      <c r="AL979" s="246"/>
      <c r="AM979" s="246"/>
      <c r="AN979" s="610">
        <f>I979*2</f>
        <v>3200</v>
      </c>
      <c r="AO979" s="551"/>
      <c r="AP979" s="554">
        <f>I979*2</f>
        <v>3200</v>
      </c>
      <c r="AQ979" s="551"/>
      <c r="AR979" s="650"/>
      <c r="AS979" s="551"/>
      <c r="AT979" s="551"/>
      <c r="AU979" s="554">
        <f>I979*2</f>
        <v>3200</v>
      </c>
      <c r="AV979" s="551"/>
      <c r="AW979" s="650"/>
      <c r="AX979" s="551"/>
      <c r="AY979" s="551"/>
      <c r="AZ979" s="551"/>
      <c r="BA979" s="551"/>
      <c r="BB979" s="620">
        <f>I979/24*2</f>
        <v>133.333333333333</v>
      </c>
      <c r="BC979" s="651"/>
      <c r="BD979" s="551"/>
      <c r="BE979" s="551"/>
      <c r="BF979" s="551"/>
      <c r="BH979" s="551"/>
      <c r="BI979" s="551"/>
      <c r="BJ979" s="551"/>
      <c r="BK979" s="551"/>
      <c r="BL979" s="551"/>
      <c r="BM979" s="551"/>
      <c r="BN979" s="551"/>
      <c r="BO979" s="551"/>
      <c r="BP979" s="551"/>
      <c r="BQ979" s="551"/>
      <c r="BR979" s="551"/>
      <c r="BS979" s="551"/>
      <c r="BT979" s="551"/>
      <c r="BU979" s="551"/>
      <c r="BV979" s="551"/>
      <c r="BW979" s="551"/>
      <c r="BX979" s="551"/>
      <c r="BY979" s="650"/>
      <c r="BZ979" s="551"/>
      <c r="CA979" s="652">
        <f>I979</f>
        <v>1600</v>
      </c>
      <c r="CB979" s="567"/>
      <c r="CC979" s="653"/>
      <c r="CD979" s="650"/>
      <c r="CE979" s="650"/>
      <c r="CF979" s="551"/>
      <c r="CG979" s="551"/>
      <c r="CI979" s="551"/>
      <c r="CJ979" s="551"/>
      <c r="CK979" s="551"/>
      <c r="CL979" s="551"/>
      <c r="CM979" s="551"/>
      <c r="CN979" s="551"/>
      <c r="CO979" s="551"/>
      <c r="CP979" s="551"/>
      <c r="CQ979" s="551"/>
      <c r="CR979" s="551"/>
      <c r="CS979" s="551"/>
      <c r="CT979" s="551"/>
      <c r="CU979" s="554">
        <f t="shared" si="373"/>
        <v>0</v>
      </c>
      <c r="CV979" s="551">
        <f t="shared" si="379"/>
        <v>0</v>
      </c>
      <c r="CW979" s="551">
        <f t="shared" si="380"/>
        <v>0</v>
      </c>
      <c r="CX979" s="650"/>
      <c r="CY979" s="650"/>
      <c r="CZ979" s="650"/>
      <c r="DA979" s="548"/>
      <c r="DB979" s="548"/>
      <c r="DC979" s="548"/>
      <c r="DD979" s="650"/>
      <c r="DE979" s="650"/>
      <c r="DF979" s="650"/>
      <c r="DG979" s="650"/>
      <c r="DH979" s="650"/>
    </row>
    <row r="980" s="548" customFormat="1" ht="31" customHeight="1" spans="1:112">
      <c r="A980" s="641">
        <v>45989</v>
      </c>
      <c r="B980" s="609" t="s">
        <v>246</v>
      </c>
      <c r="C980" s="246" t="s">
        <v>98</v>
      </c>
      <c r="D980" s="551">
        <v>4500187344</v>
      </c>
      <c r="E980" s="246" t="s">
        <v>8523</v>
      </c>
      <c r="F980" s="551" t="s">
        <v>8524</v>
      </c>
      <c r="G980" s="246" t="s">
        <v>6084</v>
      </c>
      <c r="H980" s="246" t="s">
        <v>6069</v>
      </c>
      <c r="I980" s="704">
        <v>50000</v>
      </c>
      <c r="J980" s="246">
        <v>0</v>
      </c>
      <c r="K980" s="246">
        <v>25</v>
      </c>
      <c r="L980" s="644">
        <f t="shared" si="366"/>
        <v>2000</v>
      </c>
      <c r="M980" s="645">
        <v>46034</v>
      </c>
      <c r="N980" s="645">
        <v>46030</v>
      </c>
      <c r="O980" s="246"/>
      <c r="P980" s="643" t="s">
        <v>113</v>
      </c>
      <c r="Q980" s="246"/>
      <c r="R980" s="646">
        <v>46006</v>
      </c>
      <c r="S980" s="646" t="s">
        <v>104</v>
      </c>
      <c r="T980" s="646" t="s">
        <v>454</v>
      </c>
      <c r="U980" s="646"/>
      <c r="V980" s="646"/>
      <c r="W980" s="615"/>
      <c r="X980" s="642" t="s">
        <v>8306</v>
      </c>
      <c r="Y980" s="642" t="s">
        <v>252</v>
      </c>
      <c r="Z980" s="655">
        <v>0.5455</v>
      </c>
      <c r="AA980" s="647">
        <f t="shared" si="370"/>
        <v>27275</v>
      </c>
      <c r="AC980" s="658" t="s">
        <v>8525</v>
      </c>
      <c r="AD980" s="246" t="s">
        <v>6084</v>
      </c>
      <c r="AE980" s="246" t="s">
        <v>82</v>
      </c>
      <c r="AF980" s="246"/>
      <c r="AG980" s="642"/>
      <c r="AH980" s="642">
        <v>1</v>
      </c>
      <c r="AI980" s="246">
        <v>50000</v>
      </c>
      <c r="AJ980" s="246">
        <f t="shared" si="371"/>
        <v>0</v>
      </c>
      <c r="AK980" s="246"/>
      <c r="AL980" s="246"/>
      <c r="AM980" s="246"/>
      <c r="AN980" s="246">
        <f>I980</f>
        <v>50000</v>
      </c>
      <c r="AO980" s="551"/>
      <c r="AP980" s="554">
        <f>I980</f>
        <v>50000</v>
      </c>
      <c r="AQ980" s="551"/>
      <c r="AR980" s="650"/>
      <c r="AS980" s="551"/>
      <c r="AT980" s="551"/>
      <c r="AU980" s="554">
        <f>I980</f>
        <v>50000</v>
      </c>
      <c r="AV980" s="551"/>
      <c r="AW980" s="650"/>
      <c r="AX980" s="551"/>
      <c r="AY980" s="551"/>
      <c r="AZ980" s="551"/>
      <c r="BA980" s="551"/>
      <c r="BB980" s="249">
        <f>I980/24</f>
        <v>2083.33333333333</v>
      </c>
      <c r="BC980" s="651"/>
      <c r="BD980" s="551"/>
      <c r="BE980" s="551"/>
      <c r="BF980" s="551"/>
      <c r="BH980" s="551"/>
      <c r="BI980" s="551"/>
      <c r="BJ980" s="551"/>
      <c r="BK980" s="551"/>
      <c r="BL980" s="551"/>
      <c r="BM980" s="551"/>
      <c r="BN980" s="551">
        <f>I980/25</f>
        <v>2000</v>
      </c>
      <c r="BO980" s="551"/>
      <c r="BP980" s="551"/>
      <c r="BQ980" s="551"/>
      <c r="BR980" s="551"/>
      <c r="BS980" s="551"/>
      <c r="BT980" s="551"/>
      <c r="BU980" s="551"/>
      <c r="BV980" s="551"/>
      <c r="BW980" s="551"/>
      <c r="BX980" s="551"/>
      <c r="BY980" s="650"/>
      <c r="BZ980" s="551"/>
      <c r="CA980" s="652"/>
      <c r="CB980" s="567"/>
      <c r="CC980" s="653"/>
      <c r="CD980" s="650"/>
      <c r="CE980" s="650"/>
      <c r="CF980" s="551"/>
      <c r="CG980" s="551"/>
      <c r="CI980" s="551"/>
      <c r="CJ980" s="551"/>
      <c r="CK980" s="551"/>
      <c r="CL980" s="551"/>
      <c r="CM980" s="551"/>
      <c r="CN980" s="551"/>
      <c r="CO980" s="551"/>
      <c r="CP980" s="551"/>
      <c r="CQ980" s="551"/>
      <c r="CR980" s="551"/>
      <c r="CS980" s="551"/>
      <c r="CT980" s="551"/>
      <c r="CU980" s="554">
        <f t="shared" si="373"/>
        <v>2000</v>
      </c>
      <c r="CV980" s="551">
        <f t="shared" si="379"/>
        <v>0</v>
      </c>
      <c r="CW980" s="551">
        <f t="shared" si="380"/>
        <v>0</v>
      </c>
      <c r="CX980" s="650"/>
      <c r="CY980" s="650"/>
      <c r="CZ980" s="650"/>
      <c r="DA980" s="548"/>
      <c r="DB980" s="548"/>
      <c r="DC980" s="548"/>
      <c r="DD980" s="650"/>
      <c r="DE980" s="650"/>
      <c r="DF980" s="650"/>
      <c r="DG980" s="650"/>
      <c r="DH980" s="650"/>
    </row>
    <row r="981" s="548" customFormat="1" ht="31" customHeight="1" spans="1:112">
      <c r="A981" s="641">
        <v>45990</v>
      </c>
      <c r="B981" s="642" t="s">
        <v>1620</v>
      </c>
      <c r="C981" s="246" t="s">
        <v>278</v>
      </c>
      <c r="D981" s="551">
        <v>4500187431</v>
      </c>
      <c r="E981" s="246">
        <v>4400524894</v>
      </c>
      <c r="F981" s="551" t="s">
        <v>8526</v>
      </c>
      <c r="G981" s="246" t="s">
        <v>6047</v>
      </c>
      <c r="H981" s="246" t="s">
        <v>6069</v>
      </c>
      <c r="I981" s="704">
        <v>12000</v>
      </c>
      <c r="J981" s="246">
        <v>0</v>
      </c>
      <c r="K981" s="246">
        <v>25</v>
      </c>
      <c r="L981" s="644">
        <f t="shared" si="366"/>
        <v>480</v>
      </c>
      <c r="M981" s="645">
        <v>46034</v>
      </c>
      <c r="N981" s="645">
        <v>46030</v>
      </c>
      <c r="O981" s="246"/>
      <c r="P981" s="643" t="s">
        <v>113</v>
      </c>
      <c r="Q981" s="246"/>
      <c r="R981" s="646">
        <v>45990</v>
      </c>
      <c r="S981" s="646" t="s">
        <v>70</v>
      </c>
      <c r="T981" s="646" t="s">
        <v>8294</v>
      </c>
      <c r="U981" s="646"/>
      <c r="V981" s="646"/>
      <c r="W981" s="615"/>
      <c r="X981" s="642" t="s">
        <v>8493</v>
      </c>
      <c r="Y981" s="642" t="s">
        <v>1549</v>
      </c>
      <c r="Z981" s="655">
        <v>0.9313</v>
      </c>
      <c r="AA981" s="647">
        <f t="shared" si="370"/>
        <v>11175.6</v>
      </c>
      <c r="AC981" s="648"/>
      <c r="AD981" s="246" t="s">
        <v>6047</v>
      </c>
      <c r="AE981" s="246" t="s">
        <v>82</v>
      </c>
      <c r="AF981" s="246"/>
      <c r="AG981" s="642"/>
      <c r="AH981" s="642">
        <v>1</v>
      </c>
      <c r="AI981" s="246">
        <v>12000</v>
      </c>
      <c r="AJ981" s="246">
        <f t="shared" si="371"/>
        <v>0</v>
      </c>
      <c r="AK981" s="246"/>
      <c r="AL981" s="246" t="s">
        <v>2368</v>
      </c>
      <c r="AM981" s="246"/>
      <c r="AN981" s="246"/>
      <c r="AO981" s="551">
        <f>I981</f>
        <v>12000</v>
      </c>
      <c r="AP981" s="551"/>
      <c r="AQ981" s="551"/>
      <c r="AR981" s="650"/>
      <c r="AS981" s="551"/>
      <c r="AT981" s="554">
        <f>I981</f>
        <v>12000</v>
      </c>
      <c r="AU981" s="551"/>
      <c r="AV981" s="554">
        <f>I981</f>
        <v>12000</v>
      </c>
      <c r="AW981" s="650"/>
      <c r="AX981" s="551"/>
      <c r="AY981" s="551"/>
      <c r="AZ981" s="551"/>
      <c r="BA981" s="551"/>
      <c r="BB981" s="620">
        <f>I981/24</f>
        <v>500</v>
      </c>
      <c r="BC981" s="651"/>
      <c r="BD981" s="551"/>
      <c r="BE981" s="551"/>
      <c r="BF981" s="551"/>
      <c r="BH981" s="551"/>
      <c r="BI981" s="551"/>
      <c r="BJ981" s="551"/>
      <c r="BK981" s="551"/>
      <c r="BL981" s="551"/>
      <c r="BM981" s="551"/>
      <c r="BN981" s="551"/>
      <c r="BO981" s="551"/>
      <c r="BP981" s="551">
        <f>I981/25</f>
        <v>480</v>
      </c>
      <c r="BQ981" s="551"/>
      <c r="BR981" s="551"/>
      <c r="BS981" s="551"/>
      <c r="BT981" s="551"/>
      <c r="BU981" s="551"/>
      <c r="BV981" s="551"/>
      <c r="BW981" s="551"/>
      <c r="BX981" s="551"/>
      <c r="BY981" s="650"/>
      <c r="BZ981" s="551"/>
      <c r="CA981" s="652"/>
      <c r="CB981" s="567"/>
      <c r="CC981" s="653"/>
      <c r="CD981" s="650"/>
      <c r="CE981" s="650"/>
      <c r="CF981" s="551"/>
      <c r="CG981" s="551"/>
      <c r="CI981" s="551"/>
      <c r="CJ981" s="551"/>
      <c r="CK981" s="551"/>
      <c r="CL981" s="551"/>
      <c r="CM981" s="551"/>
      <c r="CN981" s="551"/>
      <c r="CO981" s="551"/>
      <c r="CP981" s="551"/>
      <c r="CQ981" s="551"/>
      <c r="CR981" s="551"/>
      <c r="CS981" s="551"/>
      <c r="CT981" s="551"/>
      <c r="CU981" s="554">
        <f t="shared" si="373"/>
        <v>480</v>
      </c>
      <c r="CV981" s="551">
        <f t="shared" si="379"/>
        <v>0</v>
      </c>
      <c r="CW981" s="551">
        <f t="shared" si="380"/>
        <v>0</v>
      </c>
      <c r="CX981" s="650"/>
      <c r="CY981" s="650"/>
      <c r="CZ981" s="650"/>
      <c r="DA981" s="548"/>
      <c r="DB981" s="548"/>
      <c r="DC981" s="548"/>
      <c r="DD981" s="650"/>
      <c r="DE981" s="650"/>
      <c r="DF981" s="650"/>
      <c r="DG981" s="650"/>
      <c r="DH981" s="650"/>
    </row>
    <row r="982" s="548" customFormat="1" ht="31" customHeight="1" spans="1:112">
      <c r="A982" s="641">
        <v>45992</v>
      </c>
      <c r="B982" s="642" t="s">
        <v>7043</v>
      </c>
      <c r="C982" s="246" t="s">
        <v>278</v>
      </c>
      <c r="D982" s="551">
        <v>4500187528</v>
      </c>
      <c r="E982" s="246">
        <v>2950867449</v>
      </c>
      <c r="F982" s="551" t="s">
        <v>8527</v>
      </c>
      <c r="G982" s="246" t="s">
        <v>7045</v>
      </c>
      <c r="H982" s="246" t="s">
        <v>7046</v>
      </c>
      <c r="I982" s="704">
        <v>2925</v>
      </c>
      <c r="J982" s="246">
        <v>0</v>
      </c>
      <c r="K982" s="246">
        <v>975</v>
      </c>
      <c r="L982" s="644">
        <f t="shared" si="366"/>
        <v>3</v>
      </c>
      <c r="M982" s="645">
        <v>46034</v>
      </c>
      <c r="N982" s="645">
        <v>46030</v>
      </c>
      <c r="O982" s="246"/>
      <c r="P982" s="643" t="s">
        <v>113</v>
      </c>
      <c r="Q982" s="246"/>
      <c r="R982" s="646">
        <v>45992</v>
      </c>
      <c r="S982" s="646" t="s">
        <v>104</v>
      </c>
      <c r="T982" s="646" t="s">
        <v>8072</v>
      </c>
      <c r="U982" s="646"/>
      <c r="V982" s="646"/>
      <c r="W982" s="615"/>
      <c r="X982" s="642" t="s">
        <v>8528</v>
      </c>
      <c r="Y982" s="642" t="s">
        <v>2199</v>
      </c>
      <c r="Z982" s="655">
        <v>892.1058</v>
      </c>
      <c r="AA982" s="647">
        <f>Z982*L982</f>
        <v>2676.3174</v>
      </c>
      <c r="AC982" s="648"/>
      <c r="AD982" s="246" t="s">
        <v>7045</v>
      </c>
      <c r="AE982" s="246" t="s">
        <v>82</v>
      </c>
      <c r="AF982" s="246"/>
      <c r="AG982" s="642"/>
      <c r="AH982" s="642">
        <v>1</v>
      </c>
      <c r="AI982" s="246">
        <v>2925</v>
      </c>
      <c r="AJ982" s="246"/>
      <c r="AK982" s="246"/>
      <c r="AL982" s="246"/>
      <c r="AM982" s="246"/>
      <c r="AN982" s="246"/>
      <c r="AO982" s="551">
        <f>I982</f>
        <v>2925</v>
      </c>
      <c r="AP982" s="554">
        <f>I982</f>
        <v>2925</v>
      </c>
      <c r="AQ982" s="551"/>
      <c r="AR982" s="650"/>
      <c r="AS982" s="551"/>
      <c r="AT982" s="551"/>
      <c r="AU982" s="551"/>
      <c r="AV982" s="554">
        <f>I982</f>
        <v>2925</v>
      </c>
      <c r="AW982" s="650"/>
      <c r="AX982" s="551"/>
      <c r="AY982" s="551"/>
      <c r="AZ982" s="551"/>
      <c r="BA982" s="551"/>
      <c r="BB982" s="249">
        <f>I982/24*2</f>
        <v>243.75</v>
      </c>
      <c r="BC982" s="651"/>
      <c r="BD982" s="551"/>
      <c r="BE982" s="551"/>
      <c r="BF982" s="551"/>
      <c r="BH982" s="551"/>
      <c r="BI982" s="551"/>
      <c r="BJ982" s="551"/>
      <c r="BK982" s="551"/>
      <c r="BL982" s="551"/>
      <c r="BM982" s="551">
        <f>I982/13</f>
        <v>225</v>
      </c>
      <c r="BN982" s="551"/>
      <c r="BO982" s="551"/>
      <c r="BP982" s="551"/>
      <c r="BQ982" s="551"/>
      <c r="BR982" s="551"/>
      <c r="BS982" s="551"/>
      <c r="BT982" s="551"/>
      <c r="BU982" s="551"/>
      <c r="BV982" s="551"/>
      <c r="BW982" s="551"/>
      <c r="BX982" s="551"/>
      <c r="BY982" s="650"/>
      <c r="BZ982" s="551"/>
      <c r="CA982" s="652"/>
      <c r="CB982" s="567"/>
      <c r="CC982" s="653"/>
      <c r="CD982" s="650"/>
      <c r="CE982" s="650"/>
      <c r="CF982" s="551"/>
      <c r="CG982" s="551"/>
      <c r="CI982" s="551"/>
      <c r="CJ982" s="551"/>
      <c r="CK982" s="551"/>
      <c r="CL982" s="551"/>
      <c r="CM982" s="551"/>
      <c r="CN982" s="551"/>
      <c r="CO982" s="551"/>
      <c r="CP982" s="551"/>
      <c r="CQ982" s="551"/>
      <c r="CR982" s="551"/>
      <c r="CS982" s="551"/>
      <c r="CT982" s="551"/>
      <c r="CU982" s="554">
        <f t="shared" si="373"/>
        <v>0</v>
      </c>
      <c r="CV982" s="551">
        <f t="shared" si="379"/>
        <v>0</v>
      </c>
      <c r="CW982" s="551">
        <f t="shared" si="380"/>
        <v>0</v>
      </c>
      <c r="CX982" s="650"/>
      <c r="CY982" s="650"/>
      <c r="CZ982" s="650"/>
      <c r="DA982" s="548"/>
      <c r="DB982" s="548"/>
      <c r="DC982" s="548"/>
      <c r="DD982" s="650"/>
      <c r="DE982" s="650"/>
      <c r="DF982" s="650"/>
      <c r="DG982" s="650"/>
      <c r="DH982" s="650"/>
    </row>
    <row r="983" s="548" customFormat="1" ht="31" customHeight="1" spans="1:112">
      <c r="A983" s="641">
        <v>45951</v>
      </c>
      <c r="B983" s="642" t="s">
        <v>2765</v>
      </c>
      <c r="C983" s="246" t="s">
        <v>170</v>
      </c>
      <c r="D983" s="551">
        <v>4500182548</v>
      </c>
      <c r="E983" s="246">
        <v>942104</v>
      </c>
      <c r="F983" s="551" t="s">
        <v>8529</v>
      </c>
      <c r="G983" s="246" t="s">
        <v>6166</v>
      </c>
      <c r="H983" s="246" t="s">
        <v>6094</v>
      </c>
      <c r="I983" s="704">
        <v>520</v>
      </c>
      <c r="J983" s="246">
        <v>0</v>
      </c>
      <c r="K983" s="246">
        <v>13</v>
      </c>
      <c r="L983" s="644">
        <f t="shared" si="366"/>
        <v>40</v>
      </c>
      <c r="M983" s="645">
        <v>46034</v>
      </c>
      <c r="N983" s="645">
        <v>46030</v>
      </c>
      <c r="O983" s="246"/>
      <c r="P983" s="643" t="s">
        <v>113</v>
      </c>
      <c r="Q983" s="246"/>
      <c r="R983" s="646" t="s">
        <v>8530</v>
      </c>
      <c r="S983" s="646" t="s">
        <v>70</v>
      </c>
      <c r="T983" s="646" t="s">
        <v>70</v>
      </c>
      <c r="U983" s="646"/>
      <c r="V983" s="646"/>
      <c r="W983" s="615"/>
      <c r="X983" s="642" t="s">
        <v>8531</v>
      </c>
      <c r="Y983" s="642" t="s">
        <v>1318</v>
      </c>
      <c r="Z983" s="655">
        <v>0.9265</v>
      </c>
      <c r="AA983" s="647">
        <f>Z983*I983</f>
        <v>481.78</v>
      </c>
      <c r="AC983" s="648"/>
      <c r="AD983" s="246" t="s">
        <v>6166</v>
      </c>
      <c r="AE983" s="246" t="s">
        <v>82</v>
      </c>
      <c r="AF983" s="246"/>
      <c r="AG983" s="642"/>
      <c r="AH983" s="642">
        <v>1</v>
      </c>
      <c r="AI983" s="246">
        <v>520</v>
      </c>
      <c r="AJ983" s="246">
        <f>AI983-I983</f>
        <v>0</v>
      </c>
      <c r="AK983" s="246"/>
      <c r="AL983" s="246"/>
      <c r="AM983" s="246"/>
      <c r="AN983" s="246">
        <f>I983</f>
        <v>520</v>
      </c>
      <c r="AO983" s="551"/>
      <c r="AP983" s="551"/>
      <c r="AQ983" s="551"/>
      <c r="AR983" s="650"/>
      <c r="AS983" s="554">
        <f>I983</f>
        <v>520</v>
      </c>
      <c r="AT983" s="551"/>
      <c r="AU983" s="554">
        <f>I983</f>
        <v>520</v>
      </c>
      <c r="AV983" s="551"/>
      <c r="AW983" s="650"/>
      <c r="AX983" s="551"/>
      <c r="AY983" s="551"/>
      <c r="AZ983" s="551"/>
      <c r="BA983" s="551"/>
      <c r="BB983" s="249">
        <f>I983/24</f>
        <v>21.6666666666667</v>
      </c>
      <c r="BC983" s="651"/>
      <c r="BD983" s="551"/>
      <c r="BE983" s="551"/>
      <c r="BF983" s="551"/>
      <c r="BH983" s="551"/>
      <c r="BI983" s="551"/>
      <c r="BJ983" s="551"/>
      <c r="BK983" s="551"/>
      <c r="BL983" s="551">
        <f>I983/13</f>
        <v>40</v>
      </c>
      <c r="BM983" s="551"/>
      <c r="BN983" s="551"/>
      <c r="BO983" s="551"/>
      <c r="BP983" s="551"/>
      <c r="BQ983" s="551"/>
      <c r="BR983" s="551"/>
      <c r="BS983" s="551"/>
      <c r="BT983" s="551"/>
      <c r="BU983" s="551"/>
      <c r="BV983" s="551"/>
      <c r="BW983" s="551"/>
      <c r="BX983" s="551"/>
      <c r="BY983" s="650"/>
      <c r="BZ983" s="551"/>
      <c r="CA983" s="652"/>
      <c r="CB983" s="567"/>
      <c r="CC983" s="653"/>
      <c r="CD983" s="650"/>
      <c r="CE983" s="650"/>
      <c r="CF983" s="551"/>
      <c r="CG983" s="551"/>
      <c r="CI983" s="551"/>
      <c r="CJ983" s="551"/>
      <c r="CK983" s="551"/>
      <c r="CL983" s="551"/>
      <c r="CM983" s="551"/>
      <c r="CN983" s="551"/>
      <c r="CO983" s="551"/>
      <c r="CP983" s="551"/>
      <c r="CQ983" s="551"/>
      <c r="CR983" s="551"/>
      <c r="CS983" s="551"/>
      <c r="CT983" s="551"/>
      <c r="CU983" s="554">
        <f t="shared" si="373"/>
        <v>0</v>
      </c>
      <c r="CV983" s="551">
        <f t="shared" si="379"/>
        <v>0</v>
      </c>
      <c r="CW983" s="551">
        <f t="shared" si="380"/>
        <v>0</v>
      </c>
      <c r="CX983" s="650"/>
      <c r="CY983" s="650"/>
      <c r="CZ983" s="650"/>
      <c r="DA983" s="548"/>
      <c r="DB983" s="548"/>
      <c r="DC983" s="548"/>
      <c r="DD983" s="650"/>
      <c r="DE983" s="650"/>
      <c r="DF983" s="650"/>
      <c r="DG983" s="650"/>
      <c r="DH983" s="650"/>
    </row>
    <row r="984" s="548" customFormat="1" ht="31" customHeight="1" spans="1:112">
      <c r="A984" s="641">
        <v>46015</v>
      </c>
      <c r="B984" s="642"/>
      <c r="C984" s="246"/>
      <c r="D984" s="551" t="s">
        <v>8532</v>
      </c>
      <c r="E984" s="246"/>
      <c r="F984" s="551"/>
      <c r="G984" s="246" t="s">
        <v>6276</v>
      </c>
      <c r="H984" s="246" t="s">
        <v>6277</v>
      </c>
      <c r="I984" s="704" t="s">
        <v>8533</v>
      </c>
      <c r="J984" s="246">
        <v>0</v>
      </c>
      <c r="K984" s="246">
        <v>50</v>
      </c>
      <c r="L984" s="644" t="e">
        <f t="shared" si="366"/>
        <v>#VALUE!</v>
      </c>
      <c r="M984" s="645">
        <v>46034</v>
      </c>
      <c r="N984" s="645">
        <v>46030</v>
      </c>
      <c r="O984" s="246"/>
      <c r="P984" s="643" t="s">
        <v>113</v>
      </c>
      <c r="Q984" s="246"/>
      <c r="R984" s="646">
        <v>46015</v>
      </c>
      <c r="S984" s="646" t="s">
        <v>70</v>
      </c>
      <c r="T984" s="646" t="s">
        <v>70</v>
      </c>
      <c r="U984" s="646"/>
      <c r="V984" s="646"/>
      <c r="W984" s="615"/>
      <c r="X984" s="642" t="s">
        <v>8534</v>
      </c>
      <c r="Y984" s="642"/>
      <c r="Z984" s="655"/>
      <c r="AA984" s="647"/>
      <c r="AC984" s="648"/>
      <c r="AD984" s="246" t="s">
        <v>6276</v>
      </c>
      <c r="AE984" s="246" t="s">
        <v>8372</v>
      </c>
      <c r="AF984" s="246"/>
      <c r="AG984" s="642"/>
      <c r="AH984" s="642"/>
      <c r="AI984" s="246">
        <v>750</v>
      </c>
      <c r="AJ984" s="246" t="str">
        <f>I984</f>
        <v>30个满PDQ</v>
      </c>
      <c r="AK984" s="246"/>
      <c r="AL984" s="246"/>
      <c r="AM984" s="246"/>
      <c r="AN984" s="246"/>
      <c r="AO984" s="551">
        <f>30*25</f>
        <v>750</v>
      </c>
      <c r="AP984" s="551"/>
      <c r="AQ984" s="551"/>
      <c r="AR984" s="650"/>
      <c r="AS984" s="551"/>
      <c r="AT984" s="551"/>
      <c r="AU984" s="551"/>
      <c r="AV984" s="551"/>
      <c r="AW984" s="650"/>
      <c r="AX984" s="551"/>
      <c r="AY984" s="551"/>
      <c r="AZ984" s="551"/>
      <c r="BA984" s="551"/>
      <c r="BB984" s="249">
        <f>AO984/24</f>
        <v>31.25</v>
      </c>
      <c r="BC984" s="651"/>
      <c r="BD984" s="551"/>
      <c r="BE984" s="551"/>
      <c r="BF984" s="551"/>
      <c r="BH984" s="551"/>
      <c r="BI984" s="551"/>
      <c r="BJ984" s="551"/>
      <c r="BK984" s="551"/>
      <c r="BL984" s="551"/>
      <c r="BM984" s="551"/>
      <c r="BN984" s="551"/>
      <c r="BO984" s="551"/>
      <c r="BP984" s="551"/>
      <c r="BQ984" s="551"/>
      <c r="BR984" s="551"/>
      <c r="BS984" s="551"/>
      <c r="BT984" s="551"/>
      <c r="BU984" s="551"/>
      <c r="BV984" s="551"/>
      <c r="BW984" s="551">
        <v>750</v>
      </c>
      <c r="BX984" s="551">
        <v>30</v>
      </c>
      <c r="BY984" s="650"/>
      <c r="BZ984" s="551"/>
      <c r="CA984" s="652"/>
      <c r="CB984" s="567"/>
      <c r="CC984" s="653"/>
      <c r="CD984" s="650"/>
      <c r="CE984" s="650"/>
      <c r="CF984" s="551"/>
      <c r="CG984" s="551"/>
      <c r="CI984" s="551"/>
      <c r="CJ984" s="551"/>
      <c r="CK984" s="551"/>
      <c r="CL984" s="551"/>
      <c r="CM984" s="551"/>
      <c r="CN984" s="551"/>
      <c r="CO984" s="551"/>
      <c r="CP984" s="551"/>
      <c r="CQ984" s="551"/>
      <c r="CR984" s="551"/>
      <c r="CS984" s="551"/>
      <c r="CT984" s="551"/>
      <c r="CU984" s="554">
        <f t="shared" si="373"/>
        <v>30</v>
      </c>
      <c r="CV984" s="663">
        <f t="shared" si="379"/>
        <v>0</v>
      </c>
      <c r="CW984" s="663">
        <f t="shared" si="380"/>
        <v>0</v>
      </c>
      <c r="CX984" s="650"/>
      <c r="CY984" s="650"/>
      <c r="CZ984" s="650"/>
      <c r="DA984" s="548"/>
      <c r="DB984" s="548"/>
      <c r="DC984" s="548"/>
      <c r="DD984" s="650"/>
      <c r="DE984" s="650"/>
      <c r="DF984" s="650"/>
      <c r="DG984" s="650"/>
      <c r="DH984" s="650"/>
    </row>
    <row r="985" s="548" customFormat="1" ht="31" customHeight="1" spans="1:112">
      <c r="A985" s="641">
        <v>45968</v>
      </c>
      <c r="B985" s="642" t="s">
        <v>876</v>
      </c>
      <c r="C985" s="246" t="s">
        <v>98</v>
      </c>
      <c r="D985" s="551">
        <v>4500184978</v>
      </c>
      <c r="E985" s="246" t="s">
        <v>8535</v>
      </c>
      <c r="F985" s="551" t="s">
        <v>8536</v>
      </c>
      <c r="G985" s="246" t="s">
        <v>6166</v>
      </c>
      <c r="H985" s="246" t="s">
        <v>6094</v>
      </c>
      <c r="I985" s="704">
        <v>9893</v>
      </c>
      <c r="J985" s="246">
        <v>0</v>
      </c>
      <c r="K985" s="246">
        <v>13</v>
      </c>
      <c r="L985" s="644">
        <f t="shared" ref="L985:L1048" si="381">I985/K985</f>
        <v>761</v>
      </c>
      <c r="M985" s="645">
        <v>46036</v>
      </c>
      <c r="N985" s="645">
        <v>46032</v>
      </c>
      <c r="O985" s="246" t="s">
        <v>8537</v>
      </c>
      <c r="P985" s="643" t="s">
        <v>113</v>
      </c>
      <c r="Q985" s="246"/>
      <c r="R985" s="646">
        <v>45985</v>
      </c>
      <c r="S985" s="646" t="s">
        <v>70</v>
      </c>
      <c r="T985" s="646" t="s">
        <v>70</v>
      </c>
      <c r="U985" s="646"/>
      <c r="V985" s="646"/>
      <c r="W985" s="615"/>
      <c r="X985" s="642" t="s">
        <v>8538</v>
      </c>
      <c r="Y985" s="642" t="s">
        <v>882</v>
      </c>
      <c r="Z985" s="655">
        <v>0.5497</v>
      </c>
      <c r="AA985" s="647">
        <f t="shared" ref="AA985:AA1022" si="382">Z985*I985</f>
        <v>5438.1821</v>
      </c>
      <c r="AC985" s="658" t="s">
        <v>2775</v>
      </c>
      <c r="AD985" s="246" t="s">
        <v>6257</v>
      </c>
      <c r="AE985" s="246" t="s">
        <v>82</v>
      </c>
      <c r="AF985" s="246"/>
      <c r="AG985" s="642"/>
      <c r="AH985" s="642">
        <v>1</v>
      </c>
      <c r="AI985" s="246">
        <v>9893</v>
      </c>
      <c r="AJ985" s="246">
        <f t="shared" ref="AJ985:AJ1001" si="383">AI985-I985</f>
        <v>0</v>
      </c>
      <c r="AK985" s="246"/>
      <c r="AL985" s="246"/>
      <c r="AM985" s="246"/>
      <c r="AN985" s="246">
        <f>I985</f>
        <v>9893</v>
      </c>
      <c r="AO985" s="551"/>
      <c r="AP985" s="554">
        <f>I985</f>
        <v>9893</v>
      </c>
      <c r="AQ985" s="551"/>
      <c r="AR985" s="650"/>
      <c r="AS985" s="551"/>
      <c r="AT985" s="551"/>
      <c r="AU985" s="554">
        <f>I985</f>
        <v>9893</v>
      </c>
      <c r="AV985" s="551"/>
      <c r="AW985" s="650"/>
      <c r="AX985" s="551"/>
      <c r="AY985" s="551"/>
      <c r="AZ985" s="551"/>
      <c r="BA985" s="551"/>
      <c r="BB985" s="249">
        <f>I985/24</f>
        <v>412.208333333333</v>
      </c>
      <c r="BC985" s="651"/>
      <c r="BD985" s="551"/>
      <c r="BE985" s="551"/>
      <c r="BF985" s="551"/>
      <c r="BH985" s="551"/>
      <c r="BI985" s="551"/>
      <c r="BJ985" s="551"/>
      <c r="BK985" s="551">
        <f>I985/13</f>
        <v>761</v>
      </c>
      <c r="BL985" s="551"/>
      <c r="BM985" s="551"/>
      <c r="BN985" s="551"/>
      <c r="BO985" s="551"/>
      <c r="BP985" s="551"/>
      <c r="BQ985" s="551"/>
      <c r="BR985" s="551"/>
      <c r="BS985" s="551"/>
      <c r="BT985" s="551"/>
      <c r="BU985" s="551"/>
      <c r="BV985" s="551"/>
      <c r="BW985" s="551"/>
      <c r="BX985" s="551"/>
      <c r="BY985" s="650"/>
      <c r="BZ985" s="551"/>
      <c r="CA985" s="652"/>
      <c r="CB985" s="567"/>
      <c r="CC985" s="653"/>
      <c r="CD985" s="650"/>
      <c r="CE985" s="650"/>
      <c r="CF985" s="551"/>
      <c r="CG985" s="551"/>
      <c r="CI985" s="551"/>
      <c r="CJ985" s="551"/>
      <c r="CK985" s="551"/>
      <c r="CL985" s="551"/>
      <c r="CM985" s="551"/>
      <c r="CN985" s="551"/>
      <c r="CO985" s="551"/>
      <c r="CP985" s="551"/>
      <c r="CQ985" s="551"/>
      <c r="CR985" s="551"/>
      <c r="CS985" s="551"/>
      <c r="CT985" s="551"/>
      <c r="CU985" s="554">
        <f t="shared" si="373"/>
        <v>0</v>
      </c>
      <c r="CV985" s="551">
        <f t="shared" si="379"/>
        <v>0</v>
      </c>
      <c r="CW985" s="551">
        <f t="shared" si="380"/>
        <v>0</v>
      </c>
      <c r="CX985" s="650"/>
      <c r="CY985" s="650"/>
      <c r="CZ985" s="650"/>
      <c r="DA985" s="548"/>
      <c r="DB985" s="548"/>
      <c r="DC985" s="548"/>
      <c r="DD985" s="650"/>
      <c r="DE985" s="650"/>
      <c r="DF985" s="650"/>
      <c r="DG985" s="650"/>
      <c r="DH985" s="650"/>
    </row>
    <row r="986" s="548" customFormat="1" ht="31" customHeight="1" spans="1:112">
      <c r="A986" s="641">
        <v>45952</v>
      </c>
      <c r="B986" s="642" t="s">
        <v>1800</v>
      </c>
      <c r="C986" s="246" t="s">
        <v>744</v>
      </c>
      <c r="D986" s="551">
        <v>4500178919</v>
      </c>
      <c r="E986" s="246">
        <v>5000001988</v>
      </c>
      <c r="F986" s="551" t="s">
        <v>2780</v>
      </c>
      <c r="G986" s="246" t="s">
        <v>6337</v>
      </c>
      <c r="H986" s="662" t="s">
        <v>477</v>
      </c>
      <c r="I986" s="704">
        <v>660</v>
      </c>
      <c r="J986" s="246">
        <v>0</v>
      </c>
      <c r="K986" s="246">
        <v>6</v>
      </c>
      <c r="L986" s="644">
        <f t="shared" si="381"/>
        <v>110</v>
      </c>
      <c r="M986" s="645">
        <v>46037</v>
      </c>
      <c r="N986" s="645">
        <v>46034</v>
      </c>
      <c r="O986" s="246"/>
      <c r="P986" s="643" t="s">
        <v>113</v>
      </c>
      <c r="Q986" s="246"/>
      <c r="R986" s="646">
        <v>45960</v>
      </c>
      <c r="S986" s="646" t="s">
        <v>104</v>
      </c>
      <c r="T986" s="646" t="s">
        <v>7927</v>
      </c>
      <c r="U986" s="646"/>
      <c r="V986" s="646"/>
      <c r="W986" s="615"/>
      <c r="X986" s="642" t="s">
        <v>2795</v>
      </c>
      <c r="Y986" s="642" t="s">
        <v>1805</v>
      </c>
      <c r="Z986" s="655">
        <v>6.3409</v>
      </c>
      <c r="AA986" s="647">
        <f t="shared" si="382"/>
        <v>4184.994</v>
      </c>
      <c r="AC986" s="698" t="s">
        <v>2422</v>
      </c>
      <c r="AD986" s="246" t="s">
        <v>2241</v>
      </c>
      <c r="AE986" s="246" t="s">
        <v>82</v>
      </c>
      <c r="AF986" s="246"/>
      <c r="AG986" s="642"/>
      <c r="AH986" s="642" t="s">
        <v>8539</v>
      </c>
      <c r="AI986" s="246"/>
      <c r="AJ986" s="246">
        <f t="shared" si="383"/>
        <v>-660</v>
      </c>
      <c r="AK986" s="246"/>
      <c r="AL986" s="246" t="s">
        <v>454</v>
      </c>
      <c r="AM986" s="246"/>
      <c r="AN986" s="246"/>
      <c r="AO986" s="554">
        <f>I986*2</f>
        <v>1320</v>
      </c>
      <c r="AP986" s="551"/>
      <c r="AQ986" s="551"/>
      <c r="AR986" s="650"/>
      <c r="AS986" s="551"/>
      <c r="AT986" s="554">
        <f>I986*2</f>
        <v>1320</v>
      </c>
      <c r="AU986" s="551"/>
      <c r="AV986" s="551"/>
      <c r="AW986" s="650"/>
      <c r="AX986" s="663">
        <f>I986*2</f>
        <v>1320</v>
      </c>
      <c r="AY986" s="551"/>
      <c r="AZ986" s="551"/>
      <c r="BA986" s="671">
        <f>I986/24*2</f>
        <v>55</v>
      </c>
      <c r="BB986" s="249"/>
      <c r="BC986" s="651"/>
      <c r="BD986" s="551"/>
      <c r="BE986" s="551"/>
      <c r="BF986" s="551"/>
      <c r="BH986" s="551"/>
      <c r="BI986" s="551"/>
      <c r="BJ986" s="551"/>
      <c r="BK986" s="551"/>
      <c r="BL986" s="551"/>
      <c r="BM986" s="551"/>
      <c r="BN986" s="551"/>
      <c r="BO986" s="551"/>
      <c r="BP986" s="551"/>
      <c r="BQ986" s="551"/>
      <c r="BR986" s="551"/>
      <c r="BS986" s="551"/>
      <c r="BT986" s="551"/>
      <c r="BU986" s="551"/>
      <c r="BV986" s="551"/>
      <c r="BW986" s="551"/>
      <c r="BX986" s="551"/>
      <c r="BY986" s="650"/>
      <c r="BZ986" s="551">
        <f>I986</f>
        <v>660</v>
      </c>
      <c r="CA986" s="652"/>
      <c r="CB986" s="567"/>
      <c r="CC986" s="653"/>
      <c r="CD986" s="650"/>
      <c r="CE986" s="650"/>
      <c r="CF986" s="551"/>
      <c r="CG986" s="551"/>
      <c r="CI986" s="551"/>
      <c r="CJ986" s="551"/>
      <c r="CK986" s="551"/>
      <c r="CL986" s="551"/>
      <c r="CM986" s="551"/>
      <c r="CN986" s="551"/>
      <c r="CO986" s="551"/>
      <c r="CP986" s="551"/>
      <c r="CQ986" s="551"/>
      <c r="CR986" s="551"/>
      <c r="CS986" s="551"/>
      <c r="CT986" s="551"/>
      <c r="CU986" s="554">
        <f t="shared" si="373"/>
        <v>0</v>
      </c>
      <c r="CV986" s="551">
        <f t="shared" si="379"/>
        <v>0</v>
      </c>
      <c r="CW986" s="551">
        <f t="shared" si="380"/>
        <v>0</v>
      </c>
      <c r="CX986" s="650"/>
      <c r="CY986" s="650"/>
      <c r="CZ986" s="650"/>
      <c r="DA986" s="551"/>
      <c r="DB986" s="551"/>
      <c r="DC986" s="551"/>
      <c r="DD986" s="650"/>
      <c r="DE986" s="650"/>
      <c r="DF986" s="650"/>
      <c r="DG986" s="650"/>
      <c r="DH986" s="650"/>
    </row>
    <row r="987" s="548" customFormat="1" ht="31" customHeight="1" spans="1:112">
      <c r="A987" s="641">
        <v>45961</v>
      </c>
      <c r="B987" s="642" t="s">
        <v>1800</v>
      </c>
      <c r="C987" s="246" t="s">
        <v>744</v>
      </c>
      <c r="D987" s="551">
        <v>4500178919</v>
      </c>
      <c r="E987" s="246">
        <v>5000001988</v>
      </c>
      <c r="F987" s="551" t="s">
        <v>2791</v>
      </c>
      <c r="G987" s="246" t="s">
        <v>6337</v>
      </c>
      <c r="H987" s="662" t="s">
        <v>477</v>
      </c>
      <c r="I987" s="704">
        <v>1800</v>
      </c>
      <c r="J987" s="246">
        <v>0</v>
      </c>
      <c r="K987" s="246">
        <v>6</v>
      </c>
      <c r="L987" s="644">
        <f t="shared" si="381"/>
        <v>300</v>
      </c>
      <c r="M987" s="645">
        <v>46037</v>
      </c>
      <c r="N987" s="645">
        <v>46034</v>
      </c>
      <c r="O987" s="246"/>
      <c r="P987" s="643" t="s">
        <v>113</v>
      </c>
      <c r="Q987" s="246"/>
      <c r="R987" s="646">
        <v>45960</v>
      </c>
      <c r="S987" s="646" t="s">
        <v>104</v>
      </c>
      <c r="T987" s="646" t="s">
        <v>7927</v>
      </c>
      <c r="U987" s="646"/>
      <c r="V987" s="646"/>
      <c r="W987" s="615"/>
      <c r="X987" s="642" t="s">
        <v>2795</v>
      </c>
      <c r="Y987" s="642" t="s">
        <v>1805</v>
      </c>
      <c r="Z987" s="655">
        <v>6.3409</v>
      </c>
      <c r="AA987" s="647">
        <f t="shared" si="382"/>
        <v>11413.62</v>
      </c>
      <c r="AC987" s="698" t="s">
        <v>2422</v>
      </c>
      <c r="AD987" s="246" t="s">
        <v>2241</v>
      </c>
      <c r="AE987" s="246" t="s">
        <v>82</v>
      </c>
      <c r="AF987" s="246"/>
      <c r="AG987" s="642"/>
      <c r="AH987" s="642" t="s">
        <v>8539</v>
      </c>
      <c r="AI987" s="246"/>
      <c r="AJ987" s="246">
        <f t="shared" si="383"/>
        <v>-1800</v>
      </c>
      <c r="AK987" s="246"/>
      <c r="AL987" s="246" t="s">
        <v>454</v>
      </c>
      <c r="AM987" s="246"/>
      <c r="AN987" s="246"/>
      <c r="AO987" s="554">
        <f>I987*2</f>
        <v>3600</v>
      </c>
      <c r="AP987" s="551"/>
      <c r="AQ987" s="551"/>
      <c r="AR987" s="650"/>
      <c r="AS987" s="551"/>
      <c r="AT987" s="554">
        <f>I987*2</f>
        <v>3600</v>
      </c>
      <c r="AU987" s="551"/>
      <c r="AV987" s="551"/>
      <c r="AW987" s="650"/>
      <c r="AX987" s="663">
        <f>I987*2</f>
        <v>3600</v>
      </c>
      <c r="AY987" s="551"/>
      <c r="AZ987" s="551"/>
      <c r="BA987" s="671">
        <f>I987/24*2</f>
        <v>150</v>
      </c>
      <c r="BB987" s="249"/>
      <c r="BC987" s="651"/>
      <c r="BD987" s="551"/>
      <c r="BE987" s="551"/>
      <c r="BF987" s="551"/>
      <c r="BH987" s="551"/>
      <c r="BI987" s="551"/>
      <c r="BJ987" s="551"/>
      <c r="BK987" s="551"/>
      <c r="BL987" s="551"/>
      <c r="BM987" s="551"/>
      <c r="BN987" s="551"/>
      <c r="BO987" s="551"/>
      <c r="BP987" s="551"/>
      <c r="BQ987" s="551"/>
      <c r="BR987" s="551"/>
      <c r="BS987" s="551"/>
      <c r="BT987" s="551"/>
      <c r="BU987" s="551"/>
      <c r="BV987" s="551"/>
      <c r="BW987" s="551"/>
      <c r="BX987" s="551"/>
      <c r="BY987" s="650"/>
      <c r="BZ987" s="551">
        <f>I987</f>
        <v>1800</v>
      </c>
      <c r="CA987" s="652"/>
      <c r="CB987" s="567"/>
      <c r="CC987" s="653"/>
      <c r="CD987" s="650"/>
      <c r="CE987" s="650"/>
      <c r="CF987" s="551"/>
      <c r="CG987" s="551"/>
      <c r="CI987" s="551"/>
      <c r="CJ987" s="551"/>
      <c r="CK987" s="551"/>
      <c r="CL987" s="551"/>
      <c r="CM987" s="551"/>
      <c r="CN987" s="551"/>
      <c r="CO987" s="551"/>
      <c r="CP987" s="551"/>
      <c r="CQ987" s="551"/>
      <c r="CR987" s="551"/>
      <c r="CS987" s="551"/>
      <c r="CT987" s="551"/>
      <c r="CU987" s="554">
        <f t="shared" si="373"/>
        <v>0</v>
      </c>
      <c r="CV987" s="551">
        <f t="shared" si="379"/>
        <v>0</v>
      </c>
      <c r="CW987" s="551">
        <f t="shared" si="380"/>
        <v>0</v>
      </c>
      <c r="CX987" s="650"/>
      <c r="CY987" s="650"/>
      <c r="CZ987" s="650"/>
      <c r="DA987" s="551"/>
      <c r="DB987" s="551"/>
      <c r="DC987" s="551"/>
      <c r="DD987" s="650"/>
      <c r="DE987" s="650"/>
      <c r="DF987" s="650"/>
      <c r="DG987" s="650"/>
      <c r="DH987" s="650"/>
    </row>
    <row r="988" s="548" customFormat="1" ht="31" customHeight="1" spans="1:112">
      <c r="A988" s="641">
        <v>45974</v>
      </c>
      <c r="B988" s="642" t="s">
        <v>1800</v>
      </c>
      <c r="C988" s="246" t="s">
        <v>744</v>
      </c>
      <c r="D988" s="551">
        <v>4500178919</v>
      </c>
      <c r="E988" s="246">
        <v>5000001988</v>
      </c>
      <c r="F988" s="551" t="s">
        <v>2794</v>
      </c>
      <c r="G988" s="246" t="s">
        <v>6337</v>
      </c>
      <c r="H988" s="662" t="s">
        <v>477</v>
      </c>
      <c r="I988" s="704">
        <v>1200</v>
      </c>
      <c r="J988" s="246">
        <v>0</v>
      </c>
      <c r="K988" s="246">
        <v>6</v>
      </c>
      <c r="L988" s="644">
        <f t="shared" si="381"/>
        <v>200</v>
      </c>
      <c r="M988" s="645">
        <v>46037</v>
      </c>
      <c r="N988" s="645">
        <v>46034</v>
      </c>
      <c r="O988" s="246"/>
      <c r="P988" s="643" t="s">
        <v>113</v>
      </c>
      <c r="Q988" s="246"/>
      <c r="R988" s="646">
        <v>45960</v>
      </c>
      <c r="S988" s="646" t="s">
        <v>104</v>
      </c>
      <c r="T988" s="646" t="s">
        <v>8540</v>
      </c>
      <c r="U988" s="646"/>
      <c r="V988" s="646"/>
      <c r="W988" s="615"/>
      <c r="X988" s="642" t="s">
        <v>2795</v>
      </c>
      <c r="Y988" s="642" t="s">
        <v>1805</v>
      </c>
      <c r="Z988" s="655">
        <v>6.3409</v>
      </c>
      <c r="AA988" s="647">
        <f t="shared" si="382"/>
        <v>7609.08</v>
      </c>
      <c r="AC988" s="698" t="s">
        <v>2422</v>
      </c>
      <c r="AD988" s="246" t="s">
        <v>2241</v>
      </c>
      <c r="AE988" s="246" t="s">
        <v>82</v>
      </c>
      <c r="AF988" s="246"/>
      <c r="AG988" s="642"/>
      <c r="AH988" s="642" t="s">
        <v>8539</v>
      </c>
      <c r="AI988" s="246"/>
      <c r="AJ988" s="246">
        <f t="shared" si="383"/>
        <v>-1200</v>
      </c>
      <c r="AK988" s="246"/>
      <c r="AL988" s="246" t="s">
        <v>454</v>
      </c>
      <c r="AM988" s="246"/>
      <c r="AN988" s="246"/>
      <c r="AO988" s="554">
        <f>I988*2</f>
        <v>2400</v>
      </c>
      <c r="AP988" s="551"/>
      <c r="AQ988" s="551"/>
      <c r="AR988" s="650"/>
      <c r="AS988" s="551"/>
      <c r="AT988" s="554">
        <f>I988*2</f>
        <v>2400</v>
      </c>
      <c r="AU988" s="551"/>
      <c r="AV988" s="551"/>
      <c r="AW988" s="650"/>
      <c r="AX988" s="663">
        <f>I988*2</f>
        <v>2400</v>
      </c>
      <c r="AY988" s="551"/>
      <c r="AZ988" s="551"/>
      <c r="BA988" s="671">
        <f>I988/24*2</f>
        <v>100</v>
      </c>
      <c r="BB988" s="249"/>
      <c r="BC988" s="651"/>
      <c r="BD988" s="551"/>
      <c r="BE988" s="551"/>
      <c r="BF988" s="551"/>
      <c r="BH988" s="551"/>
      <c r="BI988" s="551"/>
      <c r="BJ988" s="551"/>
      <c r="BK988" s="551"/>
      <c r="BL988" s="551"/>
      <c r="BM988" s="551"/>
      <c r="BN988" s="551"/>
      <c r="BO988" s="551"/>
      <c r="BP988" s="551"/>
      <c r="BQ988" s="551"/>
      <c r="BR988" s="551"/>
      <c r="BS988" s="551"/>
      <c r="BT988" s="551"/>
      <c r="BU988" s="551"/>
      <c r="BV988" s="551"/>
      <c r="BW988" s="551"/>
      <c r="BX988" s="551"/>
      <c r="BY988" s="650"/>
      <c r="BZ988" s="551">
        <f>I988</f>
        <v>1200</v>
      </c>
      <c r="CA988" s="652"/>
      <c r="CB988" s="567"/>
      <c r="CC988" s="653"/>
      <c r="CD988" s="650"/>
      <c r="CE988" s="650"/>
      <c r="CF988" s="551"/>
      <c r="CG988" s="551"/>
      <c r="CI988" s="551"/>
      <c r="CJ988" s="551"/>
      <c r="CK988" s="551"/>
      <c r="CL988" s="551"/>
      <c r="CM988" s="551"/>
      <c r="CN988" s="551"/>
      <c r="CO988" s="551"/>
      <c r="CP988" s="551"/>
      <c r="CQ988" s="551"/>
      <c r="CR988" s="551"/>
      <c r="CS988" s="551"/>
      <c r="CT988" s="551"/>
      <c r="CU988" s="554">
        <f t="shared" si="373"/>
        <v>0</v>
      </c>
      <c r="CV988" s="551">
        <f t="shared" si="379"/>
        <v>0</v>
      </c>
      <c r="CW988" s="551">
        <f t="shared" si="380"/>
        <v>0</v>
      </c>
      <c r="CX988" s="650"/>
      <c r="CY988" s="650"/>
      <c r="CZ988" s="650"/>
      <c r="DA988" s="551"/>
      <c r="DB988" s="551"/>
      <c r="DC988" s="551"/>
      <c r="DD988" s="650"/>
      <c r="DE988" s="650"/>
      <c r="DF988" s="650"/>
      <c r="DG988" s="650"/>
      <c r="DH988" s="650"/>
    </row>
    <row r="989" s="548" customFormat="1" ht="31" customHeight="1" spans="1:112">
      <c r="A989" s="641">
        <v>45982</v>
      </c>
      <c r="B989" s="609" t="s">
        <v>3815</v>
      </c>
      <c r="C989" s="246" t="s">
        <v>98</v>
      </c>
      <c r="D989" s="551">
        <v>4500186570</v>
      </c>
      <c r="E989" s="246" t="s">
        <v>8541</v>
      </c>
      <c r="F989" s="551" t="s">
        <v>8542</v>
      </c>
      <c r="G989" s="246" t="s">
        <v>6787</v>
      </c>
      <c r="H989" s="610" t="s">
        <v>6126</v>
      </c>
      <c r="I989" s="704">
        <v>624</v>
      </c>
      <c r="J989" s="246">
        <v>0</v>
      </c>
      <c r="K989" s="246">
        <v>12</v>
      </c>
      <c r="L989" s="644">
        <f t="shared" si="381"/>
        <v>52</v>
      </c>
      <c r="M989" s="645">
        <v>46037</v>
      </c>
      <c r="N989" s="645">
        <v>46034</v>
      </c>
      <c r="O989" s="246"/>
      <c r="P989" s="643" t="s">
        <v>113</v>
      </c>
      <c r="Q989" s="246"/>
      <c r="R989" s="646">
        <v>45982</v>
      </c>
      <c r="S989" s="646" t="s">
        <v>104</v>
      </c>
      <c r="T989" s="646" t="s">
        <v>8543</v>
      </c>
      <c r="U989" s="646"/>
      <c r="V989" s="646"/>
      <c r="W989" s="615"/>
      <c r="X989" s="642" t="s">
        <v>8186</v>
      </c>
      <c r="Y989" s="642" t="s">
        <v>125</v>
      </c>
      <c r="Z989" s="655">
        <v>1.3094</v>
      </c>
      <c r="AA989" s="647">
        <f t="shared" si="382"/>
        <v>817.0656</v>
      </c>
      <c r="AC989" s="658" t="s">
        <v>8544</v>
      </c>
      <c r="AD989" s="246" t="s">
        <v>8545</v>
      </c>
      <c r="AE989" s="246" t="s">
        <v>82</v>
      </c>
      <c r="AF989" s="246"/>
      <c r="AG989" s="642"/>
      <c r="AH989" s="642">
        <v>1</v>
      </c>
      <c r="AI989" s="246">
        <v>624</v>
      </c>
      <c r="AJ989" s="246">
        <f t="shared" si="383"/>
        <v>0</v>
      </c>
      <c r="AK989" s="246"/>
      <c r="AL989" s="246" t="s">
        <v>2368</v>
      </c>
      <c r="AM989" s="246"/>
      <c r="AN989" s="610">
        <f t="shared" ref="AN989:AN994" si="384">I989*2</f>
        <v>1248</v>
      </c>
      <c r="AO989" s="551"/>
      <c r="AP989" s="554">
        <f t="shared" ref="AP989:AP994" si="385">I989*2</f>
        <v>1248</v>
      </c>
      <c r="AQ989" s="551"/>
      <c r="AR989" s="650"/>
      <c r="AS989" s="551"/>
      <c r="AT989" s="551"/>
      <c r="AU989" s="554">
        <f t="shared" ref="AU989:AU994" si="386">I989*2</f>
        <v>1248</v>
      </c>
      <c r="AV989" s="551"/>
      <c r="AW989" s="650"/>
      <c r="AX989" s="551"/>
      <c r="AY989" s="551"/>
      <c r="AZ989" s="551"/>
      <c r="BA989" s="551"/>
      <c r="BB989" s="249">
        <f t="shared" ref="BB989:BB994" si="387">I989/24*2</f>
        <v>52</v>
      </c>
      <c r="BC989" s="651"/>
      <c r="BD989" s="551"/>
      <c r="BE989" s="551"/>
      <c r="BF989" s="551"/>
      <c r="BH989" s="551"/>
      <c r="BI989" s="551"/>
      <c r="BJ989" s="551"/>
      <c r="BK989" s="551"/>
      <c r="BL989" s="551"/>
      <c r="BM989" s="551"/>
      <c r="BN989" s="551"/>
      <c r="BO989" s="551"/>
      <c r="BP989" s="551"/>
      <c r="BQ989" s="551"/>
      <c r="BR989" s="551"/>
      <c r="BS989" s="551"/>
      <c r="BT989" s="551"/>
      <c r="BU989" s="551"/>
      <c r="BV989" s="551"/>
      <c r="BW989" s="551"/>
      <c r="BX989" s="551"/>
      <c r="BY989" s="650"/>
      <c r="BZ989" s="551"/>
      <c r="CA989" s="652"/>
      <c r="CB989" s="567"/>
      <c r="CC989" s="653"/>
      <c r="CD989" s="650"/>
      <c r="CE989" s="650"/>
      <c r="CF989" s="551"/>
      <c r="CG989" s="551"/>
      <c r="CI989" s="551"/>
      <c r="CJ989" s="551"/>
      <c r="CK989" s="551"/>
      <c r="CL989" s="551"/>
      <c r="CM989" s="551"/>
      <c r="CN989" s="551"/>
      <c r="CO989" s="551"/>
      <c r="CP989" s="551"/>
      <c r="CQ989" s="551"/>
      <c r="CR989" s="554">
        <f t="shared" ref="CR989:CR994" si="388">I989</f>
        <v>624</v>
      </c>
      <c r="CS989" s="554">
        <f t="shared" ref="CS989:CS994" si="389">I989</f>
        <v>624</v>
      </c>
      <c r="CT989" s="554">
        <f t="shared" ref="CT989:CT994" si="390">I989</f>
        <v>624</v>
      </c>
      <c r="CU989" s="554">
        <f t="shared" si="373"/>
        <v>0</v>
      </c>
      <c r="CV989" s="551">
        <v>0</v>
      </c>
      <c r="CW989" s="551">
        <v>0</v>
      </c>
      <c r="CX989" s="650"/>
      <c r="CY989" s="650"/>
      <c r="CZ989" s="650"/>
      <c r="DA989" s="548"/>
      <c r="DB989" s="548"/>
      <c r="DC989" s="548"/>
      <c r="DD989" s="650"/>
      <c r="DE989" s="650"/>
      <c r="DF989" s="650"/>
      <c r="DG989" s="650"/>
      <c r="DH989" s="650"/>
    </row>
    <row r="990" s="548" customFormat="1" ht="31" customHeight="1" spans="1:112">
      <c r="A990" s="641">
        <v>45982</v>
      </c>
      <c r="B990" s="609" t="s">
        <v>3815</v>
      </c>
      <c r="C990" s="246" t="s">
        <v>98</v>
      </c>
      <c r="D990" s="551">
        <v>4500186572</v>
      </c>
      <c r="E990" s="246" t="s">
        <v>8546</v>
      </c>
      <c r="F990" s="551" t="s">
        <v>8547</v>
      </c>
      <c r="G990" s="246" t="s">
        <v>6787</v>
      </c>
      <c r="H990" s="610" t="s">
        <v>6126</v>
      </c>
      <c r="I990" s="704">
        <v>4572</v>
      </c>
      <c r="J990" s="246">
        <v>0</v>
      </c>
      <c r="K990" s="246">
        <v>12</v>
      </c>
      <c r="L990" s="644">
        <f t="shared" si="381"/>
        <v>381</v>
      </c>
      <c r="M990" s="645">
        <v>46037</v>
      </c>
      <c r="N990" s="645">
        <v>46034</v>
      </c>
      <c r="O990" s="246"/>
      <c r="P990" s="643" t="s">
        <v>113</v>
      </c>
      <c r="Q990" s="246"/>
      <c r="R990" s="646">
        <v>45982</v>
      </c>
      <c r="S990" s="646" t="s">
        <v>104</v>
      </c>
      <c r="T990" s="646" t="s">
        <v>8543</v>
      </c>
      <c r="U990" s="646"/>
      <c r="V990" s="646"/>
      <c r="W990" s="615"/>
      <c r="X990" s="642" t="s">
        <v>8548</v>
      </c>
      <c r="Y990" s="642" t="s">
        <v>125</v>
      </c>
      <c r="Z990" s="655">
        <v>1.3031</v>
      </c>
      <c r="AA990" s="647">
        <f t="shared" si="382"/>
        <v>5957.7732</v>
      </c>
      <c r="AC990" s="658" t="s">
        <v>8549</v>
      </c>
      <c r="AD990" s="246" t="s">
        <v>8545</v>
      </c>
      <c r="AE990" s="246" t="s">
        <v>82</v>
      </c>
      <c r="AF990" s="246"/>
      <c r="AG990" s="642"/>
      <c r="AH990" s="642" t="s">
        <v>126</v>
      </c>
      <c r="AI990" s="246">
        <v>4572</v>
      </c>
      <c r="AJ990" s="246">
        <f t="shared" si="383"/>
        <v>0</v>
      </c>
      <c r="AK990" s="246"/>
      <c r="AL990" s="246" t="s">
        <v>2368</v>
      </c>
      <c r="AM990" s="246"/>
      <c r="AN990" s="610">
        <f t="shared" si="384"/>
        <v>9144</v>
      </c>
      <c r="AO990" s="551"/>
      <c r="AP990" s="554">
        <f t="shared" si="385"/>
        <v>9144</v>
      </c>
      <c r="AQ990" s="551"/>
      <c r="AR990" s="650"/>
      <c r="AS990" s="551"/>
      <c r="AT990" s="551"/>
      <c r="AU990" s="554">
        <f t="shared" si="386"/>
        <v>9144</v>
      </c>
      <c r="AV990" s="551"/>
      <c r="AW990" s="650"/>
      <c r="AX990" s="551"/>
      <c r="AY990" s="551"/>
      <c r="AZ990" s="551"/>
      <c r="BA990" s="551"/>
      <c r="BB990" s="249">
        <f t="shared" si="387"/>
        <v>381</v>
      </c>
      <c r="BC990" s="651"/>
      <c r="BD990" s="551"/>
      <c r="BE990" s="551"/>
      <c r="BF990" s="551"/>
      <c r="BH990" s="551"/>
      <c r="BI990" s="551"/>
      <c r="BJ990" s="551"/>
      <c r="BK990" s="551"/>
      <c r="BL990" s="551"/>
      <c r="BM990" s="551"/>
      <c r="BN990" s="551"/>
      <c r="BO990" s="551"/>
      <c r="BP990" s="551"/>
      <c r="BQ990" s="551"/>
      <c r="BR990" s="551"/>
      <c r="BS990" s="551"/>
      <c r="BT990" s="551"/>
      <c r="BU990" s="551"/>
      <c r="BV990" s="551"/>
      <c r="BW990" s="551"/>
      <c r="BX990" s="551"/>
      <c r="BY990" s="650"/>
      <c r="BZ990" s="551"/>
      <c r="CA990" s="652"/>
      <c r="CB990" s="567"/>
      <c r="CC990" s="653"/>
      <c r="CD990" s="650"/>
      <c r="CE990" s="650"/>
      <c r="CF990" s="551"/>
      <c r="CG990" s="551"/>
      <c r="CI990" s="551"/>
      <c r="CJ990" s="551"/>
      <c r="CK990" s="551"/>
      <c r="CL990" s="551"/>
      <c r="CM990" s="551"/>
      <c r="CN990" s="551"/>
      <c r="CO990" s="551"/>
      <c r="CP990" s="551"/>
      <c r="CQ990" s="551"/>
      <c r="CR990" s="554">
        <f t="shared" si="388"/>
        <v>4572</v>
      </c>
      <c r="CS990" s="554">
        <f t="shared" si="389"/>
        <v>4572</v>
      </c>
      <c r="CT990" s="554">
        <f t="shared" si="390"/>
        <v>4572</v>
      </c>
      <c r="CU990" s="554">
        <f t="shared" si="373"/>
        <v>0</v>
      </c>
      <c r="CV990" s="551">
        <v>0</v>
      </c>
      <c r="CW990" s="551">
        <v>0</v>
      </c>
      <c r="CX990" s="650"/>
      <c r="CY990" s="650"/>
      <c r="CZ990" s="650"/>
      <c r="DA990" s="548"/>
      <c r="DB990" s="548"/>
      <c r="DC990" s="548"/>
      <c r="DD990" s="650"/>
      <c r="DE990" s="650"/>
      <c r="DF990" s="650"/>
      <c r="DG990" s="650"/>
      <c r="DH990" s="650"/>
    </row>
    <row r="991" s="548" customFormat="1" ht="31" customHeight="1" spans="1:112">
      <c r="A991" s="641">
        <v>45982</v>
      </c>
      <c r="B991" s="609" t="s">
        <v>3815</v>
      </c>
      <c r="C991" s="246" t="s">
        <v>98</v>
      </c>
      <c r="D991" s="551">
        <v>4500186574</v>
      </c>
      <c r="E991" s="246" t="s">
        <v>8550</v>
      </c>
      <c r="F991" s="551" t="s">
        <v>8551</v>
      </c>
      <c r="G991" s="246" t="s">
        <v>6787</v>
      </c>
      <c r="H991" s="610" t="s">
        <v>6126</v>
      </c>
      <c r="I991" s="704">
        <v>408</v>
      </c>
      <c r="J991" s="246">
        <v>0</v>
      </c>
      <c r="K991" s="246">
        <v>12</v>
      </c>
      <c r="L991" s="644">
        <f t="shared" si="381"/>
        <v>34</v>
      </c>
      <c r="M991" s="645">
        <v>46037</v>
      </c>
      <c r="N991" s="645">
        <v>46034</v>
      </c>
      <c r="O991" s="246"/>
      <c r="P991" s="643" t="s">
        <v>113</v>
      </c>
      <c r="Q991" s="246"/>
      <c r="R991" s="646">
        <v>45982</v>
      </c>
      <c r="S991" s="646" t="s">
        <v>104</v>
      </c>
      <c r="T991" s="646" t="s">
        <v>8543</v>
      </c>
      <c r="U991" s="646"/>
      <c r="V991" s="646"/>
      <c r="W991" s="615"/>
      <c r="X991" s="642" t="s">
        <v>8548</v>
      </c>
      <c r="Y991" s="642" t="s">
        <v>125</v>
      </c>
      <c r="Z991" s="655">
        <v>1.2591</v>
      </c>
      <c r="AA991" s="647">
        <f t="shared" si="382"/>
        <v>513.7128</v>
      </c>
      <c r="AC991" s="658" t="s">
        <v>8552</v>
      </c>
      <c r="AD991" s="246" t="s">
        <v>8545</v>
      </c>
      <c r="AE991" s="246" t="s">
        <v>82</v>
      </c>
      <c r="AF991" s="246"/>
      <c r="AG991" s="642"/>
      <c r="AH991" s="642">
        <v>1</v>
      </c>
      <c r="AI991" s="246">
        <v>408</v>
      </c>
      <c r="AJ991" s="246">
        <f t="shared" si="383"/>
        <v>0</v>
      </c>
      <c r="AK991" s="246"/>
      <c r="AL991" s="246" t="s">
        <v>2368</v>
      </c>
      <c r="AM991" s="246"/>
      <c r="AN991" s="610">
        <f t="shared" si="384"/>
        <v>816</v>
      </c>
      <c r="AO991" s="551"/>
      <c r="AP991" s="554">
        <f t="shared" si="385"/>
        <v>816</v>
      </c>
      <c r="AQ991" s="551"/>
      <c r="AR991" s="650"/>
      <c r="AS991" s="551"/>
      <c r="AT991" s="551"/>
      <c r="AU991" s="554">
        <f t="shared" si="386"/>
        <v>816</v>
      </c>
      <c r="AV991" s="551"/>
      <c r="AW991" s="650"/>
      <c r="AX991" s="551"/>
      <c r="AY991" s="551"/>
      <c r="AZ991" s="551"/>
      <c r="BA991" s="551"/>
      <c r="BB991" s="249">
        <f t="shared" si="387"/>
        <v>34</v>
      </c>
      <c r="BC991" s="651"/>
      <c r="BD991" s="551"/>
      <c r="BE991" s="551"/>
      <c r="BF991" s="551"/>
      <c r="BH991" s="551"/>
      <c r="BI991" s="551"/>
      <c r="BJ991" s="551"/>
      <c r="BK991" s="551"/>
      <c r="BL991" s="551"/>
      <c r="BM991" s="551"/>
      <c r="BN991" s="551"/>
      <c r="BO991" s="551"/>
      <c r="BP991" s="551"/>
      <c r="BQ991" s="551"/>
      <c r="BR991" s="551"/>
      <c r="BS991" s="551"/>
      <c r="BT991" s="551"/>
      <c r="BU991" s="551"/>
      <c r="BV991" s="551"/>
      <c r="BW991" s="551"/>
      <c r="BX991" s="551"/>
      <c r="BY991" s="650"/>
      <c r="BZ991" s="551"/>
      <c r="CA991" s="652"/>
      <c r="CB991" s="567"/>
      <c r="CC991" s="653"/>
      <c r="CD991" s="650"/>
      <c r="CE991" s="650"/>
      <c r="CF991" s="551"/>
      <c r="CG991" s="551"/>
      <c r="CI991" s="551"/>
      <c r="CJ991" s="551"/>
      <c r="CK991" s="551"/>
      <c r="CL991" s="551"/>
      <c r="CM991" s="551"/>
      <c r="CN991" s="551"/>
      <c r="CO991" s="551"/>
      <c r="CP991" s="551"/>
      <c r="CQ991" s="551"/>
      <c r="CR991" s="554">
        <f t="shared" si="388"/>
        <v>408</v>
      </c>
      <c r="CS991" s="554">
        <f t="shared" si="389"/>
        <v>408</v>
      </c>
      <c r="CT991" s="554">
        <f t="shared" si="390"/>
        <v>408</v>
      </c>
      <c r="CU991" s="554">
        <f t="shared" si="373"/>
        <v>0</v>
      </c>
      <c r="CV991" s="551">
        <v>0</v>
      </c>
      <c r="CW991" s="551">
        <v>0</v>
      </c>
      <c r="CX991" s="650"/>
      <c r="CY991" s="650"/>
      <c r="CZ991" s="650"/>
      <c r="DA991" s="548"/>
      <c r="DB991" s="548"/>
      <c r="DC991" s="548"/>
      <c r="DD991" s="650"/>
      <c r="DE991" s="650"/>
      <c r="DF991" s="650"/>
      <c r="DG991" s="650"/>
      <c r="DH991" s="650"/>
    </row>
    <row r="992" s="548" customFormat="1" ht="31" customHeight="1" spans="1:112">
      <c r="A992" s="641">
        <v>45982</v>
      </c>
      <c r="B992" s="609" t="s">
        <v>3815</v>
      </c>
      <c r="C992" s="246" t="s">
        <v>98</v>
      </c>
      <c r="D992" s="551">
        <v>4500186574</v>
      </c>
      <c r="E992" s="246" t="s">
        <v>8553</v>
      </c>
      <c r="F992" s="551" t="s">
        <v>8554</v>
      </c>
      <c r="G992" s="246" t="s">
        <v>6787</v>
      </c>
      <c r="H992" s="610" t="s">
        <v>6126</v>
      </c>
      <c r="I992" s="704">
        <v>10464</v>
      </c>
      <c r="J992" s="246">
        <v>0</v>
      </c>
      <c r="K992" s="246">
        <v>12</v>
      </c>
      <c r="L992" s="644">
        <f t="shared" si="381"/>
        <v>872</v>
      </c>
      <c r="M992" s="645">
        <v>46037</v>
      </c>
      <c r="N992" s="645">
        <v>46034</v>
      </c>
      <c r="O992" s="246"/>
      <c r="P992" s="643" t="s">
        <v>113</v>
      </c>
      <c r="Q992" s="246"/>
      <c r="R992" s="646">
        <v>45982</v>
      </c>
      <c r="S992" s="646" t="s">
        <v>104</v>
      </c>
      <c r="T992" s="646" t="s">
        <v>8543</v>
      </c>
      <c r="U992" s="646"/>
      <c r="V992" s="646"/>
      <c r="W992" s="615"/>
      <c r="X992" s="642" t="s">
        <v>8548</v>
      </c>
      <c r="Y992" s="642" t="s">
        <v>125</v>
      </c>
      <c r="Z992" s="655">
        <v>1.2814</v>
      </c>
      <c r="AA992" s="647">
        <f t="shared" si="382"/>
        <v>13408.5696</v>
      </c>
      <c r="AC992" s="658" t="s">
        <v>8552</v>
      </c>
      <c r="AD992" s="246" t="s">
        <v>8545</v>
      </c>
      <c r="AE992" s="246" t="s">
        <v>82</v>
      </c>
      <c r="AF992" s="246"/>
      <c r="AG992" s="642"/>
      <c r="AH992" s="642">
        <v>1</v>
      </c>
      <c r="AI992" s="246">
        <v>10464</v>
      </c>
      <c r="AJ992" s="246">
        <f t="shared" si="383"/>
        <v>0</v>
      </c>
      <c r="AK992" s="246"/>
      <c r="AL992" s="246" t="s">
        <v>2368</v>
      </c>
      <c r="AM992" s="246"/>
      <c r="AN992" s="610">
        <f t="shared" si="384"/>
        <v>20928</v>
      </c>
      <c r="AO992" s="551"/>
      <c r="AP992" s="554">
        <f t="shared" si="385"/>
        <v>20928</v>
      </c>
      <c r="AQ992" s="551"/>
      <c r="AR992" s="650"/>
      <c r="AS992" s="551"/>
      <c r="AT992" s="551"/>
      <c r="AU992" s="554">
        <f t="shared" si="386"/>
        <v>20928</v>
      </c>
      <c r="AV992" s="551"/>
      <c r="AW992" s="650"/>
      <c r="AX992" s="551"/>
      <c r="AY992" s="551"/>
      <c r="AZ992" s="551"/>
      <c r="BA992" s="551"/>
      <c r="BB992" s="249">
        <f t="shared" si="387"/>
        <v>872</v>
      </c>
      <c r="BC992" s="651"/>
      <c r="BD992" s="551"/>
      <c r="BE992" s="551"/>
      <c r="BF992" s="551"/>
      <c r="BH992" s="551"/>
      <c r="BI992" s="551"/>
      <c r="BJ992" s="551"/>
      <c r="BK992" s="551"/>
      <c r="BL992" s="551"/>
      <c r="BM992" s="551"/>
      <c r="BN992" s="551"/>
      <c r="BO992" s="551"/>
      <c r="BP992" s="551"/>
      <c r="BQ992" s="551"/>
      <c r="BR992" s="551"/>
      <c r="BS992" s="551"/>
      <c r="BT992" s="551"/>
      <c r="BU992" s="551"/>
      <c r="BV992" s="551"/>
      <c r="BW992" s="551"/>
      <c r="BX992" s="551"/>
      <c r="BY992" s="650"/>
      <c r="BZ992" s="551"/>
      <c r="CA992" s="652"/>
      <c r="CB992" s="567"/>
      <c r="CC992" s="653"/>
      <c r="CD992" s="650"/>
      <c r="CE992" s="650"/>
      <c r="CF992" s="551"/>
      <c r="CG992" s="551"/>
      <c r="CI992" s="551"/>
      <c r="CJ992" s="551"/>
      <c r="CK992" s="551"/>
      <c r="CL992" s="551"/>
      <c r="CM992" s="551"/>
      <c r="CN992" s="551"/>
      <c r="CO992" s="551"/>
      <c r="CP992" s="551"/>
      <c r="CQ992" s="551"/>
      <c r="CR992" s="554">
        <f t="shared" si="388"/>
        <v>10464</v>
      </c>
      <c r="CS992" s="554">
        <f t="shared" si="389"/>
        <v>10464</v>
      </c>
      <c r="CT992" s="554">
        <f t="shared" si="390"/>
        <v>10464</v>
      </c>
      <c r="CU992" s="554">
        <f t="shared" si="373"/>
        <v>0</v>
      </c>
      <c r="CV992" s="551">
        <v>0</v>
      </c>
      <c r="CW992" s="551">
        <v>0</v>
      </c>
      <c r="CX992" s="650"/>
      <c r="CY992" s="650"/>
      <c r="CZ992" s="650"/>
      <c r="DA992" s="548"/>
      <c r="DB992" s="548"/>
      <c r="DC992" s="548"/>
      <c r="DD992" s="650"/>
      <c r="DE992" s="650"/>
      <c r="DF992" s="650"/>
      <c r="DG992" s="650"/>
      <c r="DH992" s="650"/>
    </row>
    <row r="993" s="548" customFormat="1" ht="31" customHeight="1" spans="1:112">
      <c r="A993" s="641">
        <v>45982</v>
      </c>
      <c r="B993" s="609" t="s">
        <v>3815</v>
      </c>
      <c r="C993" s="246" t="s">
        <v>98</v>
      </c>
      <c r="D993" s="551">
        <v>4500186575</v>
      </c>
      <c r="E993" s="246" t="s">
        <v>8555</v>
      </c>
      <c r="F993" s="551" t="s">
        <v>8556</v>
      </c>
      <c r="G993" s="246" t="s">
        <v>6787</v>
      </c>
      <c r="H993" s="610" t="s">
        <v>6126</v>
      </c>
      <c r="I993" s="704">
        <v>2664</v>
      </c>
      <c r="J993" s="246">
        <v>0</v>
      </c>
      <c r="K993" s="246">
        <v>12</v>
      </c>
      <c r="L993" s="644">
        <f t="shared" si="381"/>
        <v>222</v>
      </c>
      <c r="M993" s="645">
        <v>46037</v>
      </c>
      <c r="N993" s="645">
        <v>46034</v>
      </c>
      <c r="O993" s="246"/>
      <c r="P993" s="643" t="s">
        <v>113</v>
      </c>
      <c r="Q993" s="246"/>
      <c r="R993" s="646">
        <v>45982</v>
      </c>
      <c r="S993" s="646" t="s">
        <v>104</v>
      </c>
      <c r="T993" s="646" t="s">
        <v>8543</v>
      </c>
      <c r="U993" s="646"/>
      <c r="V993" s="646"/>
      <c r="W993" s="615"/>
      <c r="X993" s="642" t="s">
        <v>8557</v>
      </c>
      <c r="Y993" s="642" t="s">
        <v>125</v>
      </c>
      <c r="Z993" s="655">
        <v>1.2871</v>
      </c>
      <c r="AA993" s="647">
        <f t="shared" si="382"/>
        <v>3428.8344</v>
      </c>
      <c r="AC993" s="658" t="s">
        <v>8558</v>
      </c>
      <c r="AD993" s="246" t="s">
        <v>8545</v>
      </c>
      <c r="AE993" s="246" t="s">
        <v>82</v>
      </c>
      <c r="AF993" s="246"/>
      <c r="AG993" s="642"/>
      <c r="AH993" s="642">
        <v>1</v>
      </c>
      <c r="AI993" s="246">
        <v>2664</v>
      </c>
      <c r="AJ993" s="246">
        <f t="shared" si="383"/>
        <v>0</v>
      </c>
      <c r="AK993" s="246"/>
      <c r="AL993" s="246" t="s">
        <v>2368</v>
      </c>
      <c r="AM993" s="246"/>
      <c r="AN993" s="610">
        <f t="shared" si="384"/>
        <v>5328</v>
      </c>
      <c r="AO993" s="551"/>
      <c r="AP993" s="554">
        <f t="shared" si="385"/>
        <v>5328</v>
      </c>
      <c r="AQ993" s="551"/>
      <c r="AR993" s="650"/>
      <c r="AS993" s="551"/>
      <c r="AT993" s="551"/>
      <c r="AU993" s="554">
        <f t="shared" si="386"/>
        <v>5328</v>
      </c>
      <c r="AV993" s="551"/>
      <c r="AW993" s="650"/>
      <c r="AX993" s="551"/>
      <c r="AY993" s="551"/>
      <c r="AZ993" s="551"/>
      <c r="BA993" s="551"/>
      <c r="BB993" s="249">
        <f t="shared" si="387"/>
        <v>222</v>
      </c>
      <c r="BC993" s="651"/>
      <c r="BD993" s="551"/>
      <c r="BE993" s="551"/>
      <c r="BF993" s="551"/>
      <c r="BH993" s="551"/>
      <c r="BI993" s="551"/>
      <c r="BJ993" s="551"/>
      <c r="BK993" s="551"/>
      <c r="BL993" s="551"/>
      <c r="BM993" s="551"/>
      <c r="BN993" s="551"/>
      <c r="BO993" s="551"/>
      <c r="BP993" s="551"/>
      <c r="BQ993" s="551"/>
      <c r="BR993" s="551"/>
      <c r="BS993" s="551"/>
      <c r="BT993" s="551"/>
      <c r="BU993" s="551"/>
      <c r="BV993" s="551"/>
      <c r="BW993" s="551"/>
      <c r="BX993" s="551"/>
      <c r="BY993" s="650"/>
      <c r="BZ993" s="551"/>
      <c r="CA993" s="652"/>
      <c r="CB993" s="567"/>
      <c r="CC993" s="653"/>
      <c r="CD993" s="650"/>
      <c r="CE993" s="650"/>
      <c r="CF993" s="551"/>
      <c r="CG993" s="551"/>
      <c r="CI993" s="551"/>
      <c r="CJ993" s="551"/>
      <c r="CK993" s="551"/>
      <c r="CL993" s="551"/>
      <c r="CM993" s="551"/>
      <c r="CN993" s="551"/>
      <c r="CO993" s="551"/>
      <c r="CP993" s="551"/>
      <c r="CQ993" s="551"/>
      <c r="CR993" s="554">
        <f t="shared" si="388"/>
        <v>2664</v>
      </c>
      <c r="CS993" s="554">
        <f t="shared" si="389"/>
        <v>2664</v>
      </c>
      <c r="CT993" s="554">
        <f t="shared" si="390"/>
        <v>2664</v>
      </c>
      <c r="CU993" s="554">
        <f t="shared" si="373"/>
        <v>0</v>
      </c>
      <c r="CV993" s="551">
        <v>0</v>
      </c>
      <c r="CW993" s="551">
        <v>0</v>
      </c>
      <c r="CX993" s="650"/>
      <c r="CY993" s="650"/>
      <c r="CZ993" s="650"/>
      <c r="DA993" s="548"/>
      <c r="DB993" s="548"/>
      <c r="DC993" s="548"/>
      <c r="DD993" s="650"/>
      <c r="DE993" s="650"/>
      <c r="DF993" s="650"/>
      <c r="DG993" s="650"/>
      <c r="DH993" s="650"/>
    </row>
    <row r="994" s="548" customFormat="1" ht="31" customHeight="1" spans="1:112">
      <c r="A994" s="641">
        <v>45982</v>
      </c>
      <c r="B994" s="609" t="s">
        <v>3815</v>
      </c>
      <c r="C994" s="246" t="s">
        <v>98</v>
      </c>
      <c r="D994" s="551">
        <v>4500186575</v>
      </c>
      <c r="E994" s="246" t="s">
        <v>8559</v>
      </c>
      <c r="F994" s="551" t="s">
        <v>8560</v>
      </c>
      <c r="G994" s="246" t="s">
        <v>6787</v>
      </c>
      <c r="H994" s="610" t="s">
        <v>6126</v>
      </c>
      <c r="I994" s="704">
        <v>96</v>
      </c>
      <c r="J994" s="246">
        <v>0</v>
      </c>
      <c r="K994" s="246">
        <v>12</v>
      </c>
      <c r="L994" s="644">
        <f t="shared" si="381"/>
        <v>8</v>
      </c>
      <c r="M994" s="645">
        <v>46037</v>
      </c>
      <c r="N994" s="645">
        <v>46034</v>
      </c>
      <c r="O994" s="246"/>
      <c r="P994" s="643" t="s">
        <v>113</v>
      </c>
      <c r="Q994" s="246"/>
      <c r="R994" s="646">
        <v>45982</v>
      </c>
      <c r="S994" s="646" t="s">
        <v>104</v>
      </c>
      <c r="T994" s="646" t="s">
        <v>8543</v>
      </c>
      <c r="U994" s="646"/>
      <c r="V994" s="646"/>
      <c r="W994" s="615"/>
      <c r="X994" s="642" t="s">
        <v>8557</v>
      </c>
      <c r="Y994" s="642" t="s">
        <v>125</v>
      </c>
      <c r="Z994" s="655">
        <v>1.3094</v>
      </c>
      <c r="AA994" s="647">
        <f t="shared" si="382"/>
        <v>125.7024</v>
      </c>
      <c r="AC994" s="658" t="s">
        <v>8558</v>
      </c>
      <c r="AD994" s="246" t="s">
        <v>8545</v>
      </c>
      <c r="AE994" s="246" t="s">
        <v>82</v>
      </c>
      <c r="AF994" s="246"/>
      <c r="AG994" s="642"/>
      <c r="AH994" s="642">
        <v>1</v>
      </c>
      <c r="AI994" s="246">
        <v>96</v>
      </c>
      <c r="AJ994" s="246">
        <f t="shared" si="383"/>
        <v>0</v>
      </c>
      <c r="AK994" s="246"/>
      <c r="AL994" s="246" t="s">
        <v>2368</v>
      </c>
      <c r="AM994" s="246"/>
      <c r="AN994" s="610">
        <f t="shared" si="384"/>
        <v>192</v>
      </c>
      <c r="AO994" s="551"/>
      <c r="AP994" s="554">
        <f t="shared" si="385"/>
        <v>192</v>
      </c>
      <c r="AQ994" s="551"/>
      <c r="AR994" s="650"/>
      <c r="AS994" s="551"/>
      <c r="AT994" s="551"/>
      <c r="AU994" s="554">
        <f t="shared" si="386"/>
        <v>192</v>
      </c>
      <c r="AV994" s="551"/>
      <c r="AW994" s="650"/>
      <c r="AX994" s="551"/>
      <c r="AY994" s="551"/>
      <c r="AZ994" s="551"/>
      <c r="BA994" s="551"/>
      <c r="BB994" s="249">
        <f t="shared" si="387"/>
        <v>8</v>
      </c>
      <c r="BC994" s="651"/>
      <c r="BD994" s="551"/>
      <c r="BE994" s="551"/>
      <c r="BF994" s="551"/>
      <c r="BH994" s="551"/>
      <c r="BI994" s="551"/>
      <c r="BJ994" s="551"/>
      <c r="BK994" s="551"/>
      <c r="BL994" s="551"/>
      <c r="BM994" s="551"/>
      <c r="BN994" s="551"/>
      <c r="BO994" s="551"/>
      <c r="BP994" s="551"/>
      <c r="BQ994" s="551"/>
      <c r="BR994" s="551"/>
      <c r="BS994" s="551"/>
      <c r="BT994" s="551"/>
      <c r="BU994" s="551"/>
      <c r="BV994" s="551"/>
      <c r="BW994" s="551"/>
      <c r="BX994" s="551"/>
      <c r="BY994" s="650"/>
      <c r="BZ994" s="551"/>
      <c r="CA994" s="652"/>
      <c r="CB994" s="567"/>
      <c r="CC994" s="653"/>
      <c r="CD994" s="650"/>
      <c r="CE994" s="650"/>
      <c r="CF994" s="551"/>
      <c r="CG994" s="551"/>
      <c r="CI994" s="551"/>
      <c r="CJ994" s="551"/>
      <c r="CK994" s="551"/>
      <c r="CL994" s="551"/>
      <c r="CM994" s="551"/>
      <c r="CN994" s="551"/>
      <c r="CO994" s="551"/>
      <c r="CP994" s="551"/>
      <c r="CQ994" s="551"/>
      <c r="CR994" s="554">
        <f t="shared" si="388"/>
        <v>96</v>
      </c>
      <c r="CS994" s="554">
        <f t="shared" si="389"/>
        <v>96</v>
      </c>
      <c r="CT994" s="554">
        <f t="shared" si="390"/>
        <v>96</v>
      </c>
      <c r="CU994" s="554">
        <f t="shared" si="373"/>
        <v>0</v>
      </c>
      <c r="CV994" s="551">
        <v>0</v>
      </c>
      <c r="CW994" s="551">
        <v>0</v>
      </c>
      <c r="CX994" s="650"/>
      <c r="CY994" s="650"/>
      <c r="CZ994" s="650"/>
      <c r="DA994" s="548"/>
      <c r="DB994" s="548"/>
      <c r="DC994" s="548"/>
      <c r="DD994" s="650"/>
      <c r="DE994" s="650"/>
      <c r="DF994" s="650"/>
      <c r="DG994" s="650"/>
      <c r="DH994" s="650"/>
    </row>
    <row r="995" s="548" customFormat="1" ht="31" customHeight="1" spans="1:112">
      <c r="A995" s="641">
        <v>45971</v>
      </c>
      <c r="B995" s="642" t="s">
        <v>2799</v>
      </c>
      <c r="C995" s="246" t="s">
        <v>2800</v>
      </c>
      <c r="D995" s="551">
        <v>4500185120</v>
      </c>
      <c r="E995" s="246"/>
      <c r="F995" s="551" t="s">
        <v>8561</v>
      </c>
      <c r="G995" s="246" t="s">
        <v>6276</v>
      </c>
      <c r="H995" s="246" t="s">
        <v>6277</v>
      </c>
      <c r="I995" s="704">
        <v>1500</v>
      </c>
      <c r="J995" s="246">
        <v>0</v>
      </c>
      <c r="K995" s="246">
        <v>50</v>
      </c>
      <c r="L995" s="644">
        <f t="shared" si="381"/>
        <v>30</v>
      </c>
      <c r="M995" s="645">
        <v>46037</v>
      </c>
      <c r="N995" s="645">
        <v>46034</v>
      </c>
      <c r="O995" s="246"/>
      <c r="P995" s="643" t="s">
        <v>113</v>
      </c>
      <c r="Q995" s="246"/>
      <c r="R995" s="646">
        <v>45982</v>
      </c>
      <c r="S995" s="646" t="s">
        <v>70</v>
      </c>
      <c r="T995" s="646" t="s">
        <v>70</v>
      </c>
      <c r="U995" s="646"/>
      <c r="V995" s="646"/>
      <c r="W995" s="615"/>
      <c r="X995" s="642" t="s">
        <v>8562</v>
      </c>
      <c r="Y995" s="642" t="s">
        <v>529</v>
      </c>
      <c r="Z995" s="655">
        <v>0.924</v>
      </c>
      <c r="AA995" s="647">
        <f t="shared" si="382"/>
        <v>1386</v>
      </c>
      <c r="AC995" s="648"/>
      <c r="AD995" s="246" t="s">
        <v>6276</v>
      </c>
      <c r="AE995" s="246" t="s">
        <v>82</v>
      </c>
      <c r="AF995" s="246"/>
      <c r="AG995" s="642"/>
      <c r="AH995" s="642">
        <v>1</v>
      </c>
      <c r="AI995" s="246">
        <v>1500</v>
      </c>
      <c r="AJ995" s="246">
        <f t="shared" si="383"/>
        <v>0</v>
      </c>
      <c r="AK995" s="246"/>
      <c r="AL995" s="246"/>
      <c r="AM995" s="246"/>
      <c r="AN995" s="246"/>
      <c r="AO995" s="551">
        <f>I995</f>
        <v>1500</v>
      </c>
      <c r="AP995" s="551"/>
      <c r="AQ995" s="551"/>
      <c r="AR995" s="650"/>
      <c r="AS995" s="551"/>
      <c r="AT995" s="551"/>
      <c r="AU995" s="551"/>
      <c r="AV995" s="551"/>
      <c r="AW995" s="650"/>
      <c r="AX995" s="551"/>
      <c r="AY995" s="551"/>
      <c r="AZ995" s="551"/>
      <c r="BA995" s="551"/>
      <c r="BB995" s="249">
        <f>I995/24</f>
        <v>62.5</v>
      </c>
      <c r="BC995" s="651"/>
      <c r="BD995" s="551"/>
      <c r="BE995" s="551"/>
      <c r="BF995" s="551"/>
      <c r="BH995" s="551"/>
      <c r="BI995" s="551"/>
      <c r="BJ995" s="551"/>
      <c r="BK995" s="551"/>
      <c r="BL995" s="551"/>
      <c r="BM995" s="551"/>
      <c r="BN995" s="551"/>
      <c r="BO995" s="551"/>
      <c r="BP995" s="551"/>
      <c r="BQ995" s="551"/>
      <c r="BR995" s="551"/>
      <c r="BS995" s="551"/>
      <c r="BT995" s="551"/>
      <c r="BU995" s="551"/>
      <c r="BV995" s="551">
        <f>I995</f>
        <v>1500</v>
      </c>
      <c r="BW995" s="551">
        <f>I995</f>
        <v>1500</v>
      </c>
      <c r="BX995" s="551">
        <f>I995/25</f>
        <v>60</v>
      </c>
      <c r="BY995" s="650"/>
      <c r="BZ995" s="551"/>
      <c r="CA995" s="652"/>
      <c r="CB995" s="567"/>
      <c r="CC995" s="653"/>
      <c r="CD995" s="650"/>
      <c r="CE995" s="650"/>
      <c r="CF995" s="551"/>
      <c r="CG995" s="551"/>
      <c r="CI995" s="551"/>
      <c r="CJ995" s="551"/>
      <c r="CK995" s="551"/>
      <c r="CL995" s="551"/>
      <c r="CM995" s="551"/>
      <c r="CN995" s="551"/>
      <c r="CO995" s="551"/>
      <c r="CP995" s="551"/>
      <c r="CQ995" s="551"/>
      <c r="CR995" s="551"/>
      <c r="CS995" s="551"/>
      <c r="CT995" s="551"/>
      <c r="CU995" s="554">
        <f t="shared" si="373"/>
        <v>60</v>
      </c>
      <c r="CV995" s="551">
        <f>CK995+CL995+CM995+CN995+CO995+CQ995+CP995</f>
        <v>0</v>
      </c>
      <c r="CW995" s="551">
        <f>CI995+CJ995</f>
        <v>0</v>
      </c>
      <c r="CX995" s="650"/>
      <c r="CY995" s="650"/>
      <c r="CZ995" s="650"/>
      <c r="DA995" s="548"/>
      <c r="DB995" s="548"/>
      <c r="DC995" s="548"/>
      <c r="DD995" s="650"/>
      <c r="DE995" s="650"/>
      <c r="DF995" s="650"/>
      <c r="DG995" s="650"/>
      <c r="DH995" s="650"/>
    </row>
    <row r="996" s="548" customFormat="1" ht="31" customHeight="1" spans="1:112">
      <c r="A996" s="641">
        <v>45995</v>
      </c>
      <c r="B996" s="642" t="s">
        <v>7688</v>
      </c>
      <c r="C996" s="246" t="s">
        <v>278</v>
      </c>
      <c r="D996" s="551">
        <v>4500188028</v>
      </c>
      <c r="E996" s="246">
        <v>87878414</v>
      </c>
      <c r="F996" s="551" t="s">
        <v>8563</v>
      </c>
      <c r="G996" s="246" t="s">
        <v>6136</v>
      </c>
      <c r="H996" s="246" t="s">
        <v>6137</v>
      </c>
      <c r="I996" s="704">
        <v>4576</v>
      </c>
      <c r="J996" s="246">
        <v>13</v>
      </c>
      <c r="K996" s="246">
        <f>J996*8</f>
        <v>104</v>
      </c>
      <c r="L996" s="644">
        <f t="shared" si="381"/>
        <v>44</v>
      </c>
      <c r="M996" s="645">
        <v>46037</v>
      </c>
      <c r="N996" s="645">
        <v>46034</v>
      </c>
      <c r="O996" s="246"/>
      <c r="P996" s="643" t="s">
        <v>113</v>
      </c>
      <c r="Q996" s="246"/>
      <c r="R996" s="646">
        <v>45995</v>
      </c>
      <c r="S996" s="646" t="s">
        <v>70</v>
      </c>
      <c r="T996" s="646" t="s">
        <v>70</v>
      </c>
      <c r="U996" s="646"/>
      <c r="V996" s="646"/>
      <c r="W996" s="615"/>
      <c r="X996" s="642" t="s">
        <v>8564</v>
      </c>
      <c r="Y996" s="642" t="s">
        <v>1549</v>
      </c>
      <c r="Z996" s="655">
        <v>0.9268</v>
      </c>
      <c r="AA996" s="647">
        <f t="shared" si="382"/>
        <v>4241.0368</v>
      </c>
      <c r="AC996" s="648"/>
      <c r="AD996" s="246" t="s">
        <v>6136</v>
      </c>
      <c r="AE996" s="246" t="s">
        <v>82</v>
      </c>
      <c r="AF996" s="246"/>
      <c r="AG996" s="642"/>
      <c r="AH996" s="642">
        <v>1</v>
      </c>
      <c r="AI996" s="246">
        <v>4576</v>
      </c>
      <c r="AJ996" s="246">
        <f t="shared" si="383"/>
        <v>0</v>
      </c>
      <c r="AK996" s="246"/>
      <c r="AL996" s="246"/>
      <c r="AM996" s="246"/>
      <c r="AN996" s="246"/>
      <c r="AO996" s="551">
        <f>I996</f>
        <v>4576</v>
      </c>
      <c r="AP996" s="551"/>
      <c r="AQ996" s="551"/>
      <c r="AR996" s="650"/>
      <c r="AS996" s="551"/>
      <c r="AT996" s="554">
        <f>I996</f>
        <v>4576</v>
      </c>
      <c r="AU996" s="551"/>
      <c r="AV996" s="554">
        <f>I996</f>
        <v>4576</v>
      </c>
      <c r="AW996" s="650"/>
      <c r="AX996" s="551"/>
      <c r="AY996" s="551"/>
      <c r="AZ996" s="551"/>
      <c r="BA996" s="551"/>
      <c r="BB996" s="620">
        <f>I996/24</f>
        <v>190.666666666667</v>
      </c>
      <c r="BC996" s="651"/>
      <c r="BD996" s="551"/>
      <c r="BE996" s="551"/>
      <c r="BF996" s="551"/>
      <c r="BH996" s="551"/>
      <c r="BI996" s="551"/>
      <c r="BJ996" s="551"/>
      <c r="BK996" s="551"/>
      <c r="BL996" s="551"/>
      <c r="BM996" s="551">
        <f>I996/13</f>
        <v>352</v>
      </c>
      <c r="BN996" s="551"/>
      <c r="BO996" s="551"/>
      <c r="BP996" s="551"/>
      <c r="BQ996" s="551"/>
      <c r="BR996" s="551"/>
      <c r="BS996" s="551"/>
      <c r="BT996" s="551"/>
      <c r="BU996" s="551"/>
      <c r="BV996" s="551"/>
      <c r="BW996" s="551"/>
      <c r="BX996" s="551"/>
      <c r="BY996" s="650"/>
      <c r="BZ996" s="551"/>
      <c r="CA996" s="652"/>
      <c r="CB996" s="567"/>
      <c r="CC996" s="653"/>
      <c r="CD996" s="650"/>
      <c r="CE996" s="650"/>
      <c r="CF996" s="551"/>
      <c r="CG996" s="551"/>
      <c r="CI996" s="551"/>
      <c r="CJ996" s="551"/>
      <c r="CK996" s="551"/>
      <c r="CL996" s="551"/>
      <c r="CM996" s="551"/>
      <c r="CN996" s="551"/>
      <c r="CO996" s="551"/>
      <c r="CP996" s="551"/>
      <c r="CQ996" s="551"/>
      <c r="CR996" s="551"/>
      <c r="CS996" s="551"/>
      <c r="CT996" s="551"/>
      <c r="CU996" s="554">
        <f t="shared" si="373"/>
        <v>0</v>
      </c>
      <c r="CV996" s="551">
        <f>CK996+CL996+CM996+CN996+CO996+CQ996+CP996</f>
        <v>0</v>
      </c>
      <c r="CW996" s="551">
        <f>CI996+CJ996</f>
        <v>0</v>
      </c>
      <c r="CX996" s="650"/>
      <c r="CY996" s="650"/>
      <c r="CZ996" s="650"/>
      <c r="DA996" s="548"/>
      <c r="DB996" s="548"/>
      <c r="DC996" s="548"/>
      <c r="DD996" s="650"/>
      <c r="DE996" s="650"/>
      <c r="DF996" s="650"/>
      <c r="DG996" s="650"/>
      <c r="DH996" s="650"/>
    </row>
    <row r="997" s="548" customFormat="1" ht="31" customHeight="1" spans="1:112">
      <c r="A997" s="641">
        <v>45978</v>
      </c>
      <c r="B997" s="642" t="s">
        <v>1673</v>
      </c>
      <c r="C997" s="246" t="s">
        <v>98</v>
      </c>
      <c r="D997" s="551">
        <v>4500185143</v>
      </c>
      <c r="E997" s="246">
        <v>2056144</v>
      </c>
      <c r="F997" s="551" t="s">
        <v>8565</v>
      </c>
      <c r="G997" s="246" t="s">
        <v>6787</v>
      </c>
      <c r="H997" s="610" t="s">
        <v>6126</v>
      </c>
      <c r="I997" s="704">
        <v>720</v>
      </c>
      <c r="J997" s="246">
        <v>0</v>
      </c>
      <c r="K997" s="246">
        <v>12</v>
      </c>
      <c r="L997" s="644">
        <f t="shared" si="381"/>
        <v>60</v>
      </c>
      <c r="M997" s="645">
        <v>46038</v>
      </c>
      <c r="N997" s="645">
        <v>46034</v>
      </c>
      <c r="O997" s="246"/>
      <c r="P997" s="643" t="s">
        <v>113</v>
      </c>
      <c r="Q997" s="246"/>
      <c r="R997" s="646">
        <v>45999</v>
      </c>
      <c r="S997" s="646" t="s">
        <v>104</v>
      </c>
      <c r="T997" s="646" t="s">
        <v>8566</v>
      </c>
      <c r="U997" s="646"/>
      <c r="V997" s="646"/>
      <c r="W997" s="615"/>
      <c r="X997" s="628" t="s">
        <v>8567</v>
      </c>
      <c r="Y997" s="642" t="s">
        <v>311</v>
      </c>
      <c r="Z997" s="655">
        <v>1.3094</v>
      </c>
      <c r="AA997" s="647">
        <f t="shared" si="382"/>
        <v>942.768</v>
      </c>
      <c r="AC997" s="658" t="s">
        <v>8568</v>
      </c>
      <c r="AD997" s="246" t="s">
        <v>8079</v>
      </c>
      <c r="AE997" s="246" t="s">
        <v>82</v>
      </c>
      <c r="AF997" s="246"/>
      <c r="AG997" s="642"/>
      <c r="AH997" s="642">
        <v>1</v>
      </c>
      <c r="AI997" s="246">
        <v>720</v>
      </c>
      <c r="AJ997" s="246">
        <f t="shared" ref="AJ997:AJ1006" si="391">AI997-I997</f>
        <v>0</v>
      </c>
      <c r="AK997" s="246"/>
      <c r="AL997" s="246" t="s">
        <v>2368</v>
      </c>
      <c r="AM997" s="246"/>
      <c r="AN997" s="610">
        <f>I997*2</f>
        <v>1440</v>
      </c>
      <c r="AO997" s="551"/>
      <c r="AP997" s="551"/>
      <c r="AQ997" s="554">
        <f>I997*2</f>
        <v>1440</v>
      </c>
      <c r="AR997" s="650"/>
      <c r="AS997" s="551"/>
      <c r="AT997" s="551"/>
      <c r="AU997" s="554">
        <f>I997*2</f>
        <v>1440</v>
      </c>
      <c r="AV997" s="551"/>
      <c r="AW997" s="650"/>
      <c r="AX997" s="551"/>
      <c r="AY997" s="551"/>
      <c r="AZ997" s="551"/>
      <c r="BA997" s="551"/>
      <c r="BB997" s="249">
        <f>I997/24*2</f>
        <v>60</v>
      </c>
      <c r="BC997" s="651"/>
      <c r="BD997" s="551"/>
      <c r="BE997" s="551"/>
      <c r="BF997" s="551"/>
      <c r="BH997" s="551"/>
      <c r="BI997" s="551"/>
      <c r="BJ997" s="551"/>
      <c r="BK997" s="551"/>
      <c r="BL997" s="551"/>
      <c r="BM997" s="551"/>
      <c r="BN997" s="551"/>
      <c r="BO997" s="551"/>
      <c r="BP997" s="551"/>
      <c r="BQ997" s="551"/>
      <c r="BR997" s="551"/>
      <c r="BS997" s="551"/>
      <c r="BT997" s="551"/>
      <c r="BU997" s="551"/>
      <c r="BV997" s="551"/>
      <c r="BW997" s="551"/>
      <c r="BX997" s="551"/>
      <c r="BY997" s="650"/>
      <c r="BZ997" s="551"/>
      <c r="CA997" s="652"/>
      <c r="CB997" s="567"/>
      <c r="CC997" s="653"/>
      <c r="CD997" s="650"/>
      <c r="CE997" s="650"/>
      <c r="CF997" s="551"/>
      <c r="CG997" s="551"/>
      <c r="CI997" s="551"/>
      <c r="CJ997" s="551"/>
      <c r="CK997" s="551"/>
      <c r="CL997" s="551"/>
      <c r="CM997" s="551"/>
      <c r="CN997" s="551"/>
      <c r="CO997" s="551"/>
      <c r="CP997" s="551"/>
      <c r="CQ997" s="551"/>
      <c r="CR997" s="554">
        <f>I997</f>
        <v>720</v>
      </c>
      <c r="CS997" s="554">
        <f>I997</f>
        <v>720</v>
      </c>
      <c r="CT997" s="554">
        <f>I997</f>
        <v>720</v>
      </c>
      <c r="CU997" s="554">
        <f t="shared" si="373"/>
        <v>0</v>
      </c>
      <c r="CV997" s="551">
        <v>0</v>
      </c>
      <c r="CW997" s="551">
        <v>0</v>
      </c>
      <c r="CX997" s="650"/>
      <c r="CY997" s="650"/>
      <c r="CZ997" s="650"/>
      <c r="DA997" s="548"/>
      <c r="DB997" s="548"/>
      <c r="DC997" s="548"/>
      <c r="DD997" s="650"/>
      <c r="DE997" s="650"/>
      <c r="DF997" s="650"/>
      <c r="DG997" s="650"/>
      <c r="DH997" s="650"/>
    </row>
    <row r="998" s="548" customFormat="1" ht="31" customHeight="1" spans="1:112">
      <c r="A998" s="641">
        <v>45978</v>
      </c>
      <c r="B998" s="642" t="s">
        <v>1673</v>
      </c>
      <c r="C998" s="246" t="s">
        <v>98</v>
      </c>
      <c r="D998" s="551">
        <v>4500185143</v>
      </c>
      <c r="E998" s="246">
        <v>2056145</v>
      </c>
      <c r="F998" s="551" t="s">
        <v>8569</v>
      </c>
      <c r="G998" s="246" t="s">
        <v>6787</v>
      </c>
      <c r="H998" s="610" t="s">
        <v>6126</v>
      </c>
      <c r="I998" s="704">
        <v>312</v>
      </c>
      <c r="J998" s="246">
        <v>0</v>
      </c>
      <c r="K998" s="246">
        <v>12</v>
      </c>
      <c r="L998" s="644">
        <f t="shared" si="381"/>
        <v>26</v>
      </c>
      <c r="M998" s="645">
        <v>46038</v>
      </c>
      <c r="N998" s="645">
        <v>46034</v>
      </c>
      <c r="O998" s="246"/>
      <c r="P998" s="643" t="s">
        <v>113</v>
      </c>
      <c r="Q998" s="246"/>
      <c r="R998" s="646">
        <v>45999</v>
      </c>
      <c r="S998" s="646" t="s">
        <v>104</v>
      </c>
      <c r="T998" s="646" t="s">
        <v>8566</v>
      </c>
      <c r="U998" s="646"/>
      <c r="V998" s="646"/>
      <c r="W998" s="615"/>
      <c r="X998" s="628" t="s">
        <v>8567</v>
      </c>
      <c r="Y998" s="642" t="s">
        <v>311</v>
      </c>
      <c r="Z998" s="655">
        <v>1.3094</v>
      </c>
      <c r="AA998" s="647">
        <f t="shared" si="382"/>
        <v>408.5328</v>
      </c>
      <c r="AC998" s="658" t="s">
        <v>8570</v>
      </c>
      <c r="AD998" s="246" t="s">
        <v>8079</v>
      </c>
      <c r="AE998" s="246" t="s">
        <v>82</v>
      </c>
      <c r="AF998" s="246"/>
      <c r="AG998" s="642"/>
      <c r="AH998" s="642">
        <v>1</v>
      </c>
      <c r="AI998" s="246">
        <v>312</v>
      </c>
      <c r="AJ998" s="246">
        <f t="shared" si="391"/>
        <v>0</v>
      </c>
      <c r="AK998" s="246"/>
      <c r="AL998" s="246" t="s">
        <v>2368</v>
      </c>
      <c r="AM998" s="246"/>
      <c r="AN998" s="610">
        <f>I998*2</f>
        <v>624</v>
      </c>
      <c r="AO998" s="551"/>
      <c r="AP998" s="551"/>
      <c r="AQ998" s="554">
        <f>I998*2</f>
        <v>624</v>
      </c>
      <c r="AR998" s="650"/>
      <c r="AS998" s="551"/>
      <c r="AT998" s="551"/>
      <c r="AU998" s="554">
        <f>I998*2</f>
        <v>624</v>
      </c>
      <c r="AV998" s="551"/>
      <c r="AW998" s="650"/>
      <c r="AX998" s="551"/>
      <c r="AY998" s="551"/>
      <c r="AZ998" s="551"/>
      <c r="BA998" s="551"/>
      <c r="BB998" s="249">
        <f>I998/24*2</f>
        <v>26</v>
      </c>
      <c r="BC998" s="651"/>
      <c r="BD998" s="551"/>
      <c r="BE998" s="551"/>
      <c r="BF998" s="551"/>
      <c r="BH998" s="551"/>
      <c r="BI998" s="551"/>
      <c r="BJ998" s="551"/>
      <c r="BK998" s="551"/>
      <c r="BL998" s="551"/>
      <c r="BM998" s="551"/>
      <c r="BN998" s="551"/>
      <c r="BO998" s="551"/>
      <c r="BP998" s="551"/>
      <c r="BQ998" s="551"/>
      <c r="BR998" s="551"/>
      <c r="BS998" s="551"/>
      <c r="BT998" s="551"/>
      <c r="BU998" s="551"/>
      <c r="BV998" s="551"/>
      <c r="BW998" s="551"/>
      <c r="BX998" s="551"/>
      <c r="BY998" s="650"/>
      <c r="BZ998" s="551"/>
      <c r="CA998" s="652"/>
      <c r="CB998" s="567"/>
      <c r="CC998" s="653"/>
      <c r="CD998" s="650"/>
      <c r="CE998" s="650"/>
      <c r="CF998" s="551"/>
      <c r="CG998" s="551"/>
      <c r="CI998" s="551"/>
      <c r="CJ998" s="551"/>
      <c r="CK998" s="551"/>
      <c r="CL998" s="551"/>
      <c r="CM998" s="551"/>
      <c r="CN998" s="551"/>
      <c r="CO998" s="551"/>
      <c r="CP998" s="551"/>
      <c r="CQ998" s="551"/>
      <c r="CR998" s="554">
        <f>I998</f>
        <v>312</v>
      </c>
      <c r="CS998" s="554">
        <f>I998</f>
        <v>312</v>
      </c>
      <c r="CT998" s="554">
        <f>I998</f>
        <v>312</v>
      </c>
      <c r="CU998" s="554">
        <f t="shared" si="373"/>
        <v>0</v>
      </c>
      <c r="CV998" s="551">
        <v>0</v>
      </c>
      <c r="CW998" s="551">
        <v>0</v>
      </c>
      <c r="CX998" s="650"/>
      <c r="CY998" s="650"/>
      <c r="CZ998" s="650"/>
      <c r="DA998" s="548"/>
      <c r="DB998" s="548"/>
      <c r="DC998" s="548"/>
      <c r="DD998" s="650"/>
      <c r="DE998" s="650"/>
      <c r="DF998" s="650"/>
      <c r="DG998" s="650"/>
      <c r="DH998" s="650"/>
    </row>
    <row r="999" s="548" customFormat="1" ht="31" customHeight="1" spans="1:112">
      <c r="A999" s="641">
        <v>45979</v>
      </c>
      <c r="B999" s="642" t="s">
        <v>398</v>
      </c>
      <c r="C999" s="246" t="s">
        <v>399</v>
      </c>
      <c r="D999" s="551">
        <v>4500186008</v>
      </c>
      <c r="E999" s="246"/>
      <c r="F999" s="551" t="s">
        <v>8571</v>
      </c>
      <c r="G999" s="246" t="s">
        <v>6043</v>
      </c>
      <c r="H999" s="246" t="s">
        <v>6110</v>
      </c>
      <c r="I999" s="704">
        <v>4000</v>
      </c>
      <c r="J999" s="246">
        <v>0</v>
      </c>
      <c r="K999" s="246">
        <v>50</v>
      </c>
      <c r="L999" s="644">
        <f t="shared" si="381"/>
        <v>80</v>
      </c>
      <c r="M999" s="645">
        <v>46038</v>
      </c>
      <c r="N999" s="645">
        <v>46034</v>
      </c>
      <c r="O999" s="246"/>
      <c r="P999" s="643" t="s">
        <v>113</v>
      </c>
      <c r="Q999" s="246"/>
      <c r="R999" s="646">
        <v>45982</v>
      </c>
      <c r="S999" s="646" t="s">
        <v>70</v>
      </c>
      <c r="T999" s="646" t="s">
        <v>8572</v>
      </c>
      <c r="U999" s="646"/>
      <c r="V999" s="646"/>
      <c r="W999" s="615"/>
      <c r="X999" s="642" t="s">
        <v>8573</v>
      </c>
      <c r="Y999" s="642" t="s">
        <v>402</v>
      </c>
      <c r="Z999" s="655">
        <v>0.941</v>
      </c>
      <c r="AA999" s="647">
        <f t="shared" si="382"/>
        <v>3764</v>
      </c>
      <c r="AC999" s="648"/>
      <c r="AD999" s="246" t="s">
        <v>6043</v>
      </c>
      <c r="AE999" s="246" t="s">
        <v>82</v>
      </c>
      <c r="AF999" s="246"/>
      <c r="AG999" s="642"/>
      <c r="AH999" s="642">
        <v>1</v>
      </c>
      <c r="AI999" s="246">
        <v>4000</v>
      </c>
      <c r="AJ999" s="246">
        <f t="shared" si="391"/>
        <v>0</v>
      </c>
      <c r="AK999" s="246"/>
      <c r="AL999" s="246" t="s">
        <v>2368</v>
      </c>
      <c r="AM999" s="246"/>
      <c r="AN999" s="246"/>
      <c r="AO999" s="551">
        <f>I999</f>
        <v>4000</v>
      </c>
      <c r="AP999" s="551"/>
      <c r="AQ999" s="551"/>
      <c r="AR999" s="650"/>
      <c r="AS999" s="551"/>
      <c r="AT999" s="554">
        <f>I999</f>
        <v>4000</v>
      </c>
      <c r="AU999" s="551"/>
      <c r="AV999" s="554">
        <f>I999</f>
        <v>4000</v>
      </c>
      <c r="AW999" s="650"/>
      <c r="AX999" s="551"/>
      <c r="AY999" s="551"/>
      <c r="AZ999" s="551"/>
      <c r="BA999" s="551"/>
      <c r="BB999" s="620">
        <f>I999/24</f>
        <v>166.666666666667</v>
      </c>
      <c r="BC999" s="651"/>
      <c r="BD999" s="551"/>
      <c r="BE999" s="551"/>
      <c r="BF999" s="551"/>
      <c r="BH999" s="551"/>
      <c r="BI999" s="551"/>
      <c r="BJ999" s="551"/>
      <c r="BK999" s="551"/>
      <c r="BL999" s="551"/>
      <c r="BM999" s="551"/>
      <c r="BN999" s="551"/>
      <c r="BO999" s="551"/>
      <c r="BP999" s="551">
        <f>I999/25</f>
        <v>160</v>
      </c>
      <c r="BQ999" s="551"/>
      <c r="BR999" s="551"/>
      <c r="BS999" s="551"/>
      <c r="BT999" s="551"/>
      <c r="BU999" s="551"/>
      <c r="BV999" s="551"/>
      <c r="BW999" s="551"/>
      <c r="BX999" s="551"/>
      <c r="BY999" s="650"/>
      <c r="BZ999" s="551"/>
      <c r="CA999" s="652"/>
      <c r="CB999" s="567"/>
      <c r="CC999" s="653"/>
      <c r="CD999" s="650"/>
      <c r="CE999" s="650"/>
      <c r="CF999" s="551"/>
      <c r="CG999" s="551"/>
      <c r="CI999" s="551"/>
      <c r="CJ999" s="551"/>
      <c r="CK999" s="551"/>
      <c r="CL999" s="551"/>
      <c r="CM999" s="551"/>
      <c r="CN999" s="551"/>
      <c r="CO999" s="551"/>
      <c r="CP999" s="551"/>
      <c r="CQ999" s="551"/>
      <c r="CR999" s="551"/>
      <c r="CS999" s="551"/>
      <c r="CT999" s="551"/>
      <c r="CU999" s="554">
        <f t="shared" si="373"/>
        <v>160</v>
      </c>
      <c r="CV999" s="551">
        <f>CK999+CL999+CM999+CN999+CO999+CQ999+CP999</f>
        <v>0</v>
      </c>
      <c r="CW999" s="551">
        <f>CI999+CJ999</f>
        <v>0</v>
      </c>
      <c r="CX999" s="650"/>
      <c r="CY999" s="650"/>
      <c r="CZ999" s="650"/>
      <c r="DA999" s="548"/>
      <c r="DB999" s="548"/>
      <c r="DC999" s="548"/>
      <c r="DD999" s="650"/>
      <c r="DE999" s="650"/>
      <c r="DF999" s="650"/>
      <c r="DG999" s="650"/>
      <c r="DH999" s="650"/>
    </row>
    <row r="1000" s="548" customFormat="1" ht="31" customHeight="1" spans="1:112">
      <c r="A1000" s="641">
        <v>45979</v>
      </c>
      <c r="B1000" s="642" t="s">
        <v>398</v>
      </c>
      <c r="C1000" s="246" t="s">
        <v>399</v>
      </c>
      <c r="D1000" s="551">
        <v>4500186008</v>
      </c>
      <c r="E1000" s="246"/>
      <c r="F1000" s="551" t="s">
        <v>2809</v>
      </c>
      <c r="G1000" s="246" t="s">
        <v>6337</v>
      </c>
      <c r="H1000" s="246" t="s">
        <v>477</v>
      </c>
      <c r="I1000" s="704">
        <v>360</v>
      </c>
      <c r="J1000" s="246">
        <v>0</v>
      </c>
      <c r="K1000" s="246">
        <v>6</v>
      </c>
      <c r="L1000" s="644">
        <f t="shared" si="381"/>
        <v>60</v>
      </c>
      <c r="M1000" s="645">
        <v>46038</v>
      </c>
      <c r="N1000" s="645">
        <v>46034</v>
      </c>
      <c r="O1000" s="246"/>
      <c r="P1000" s="643" t="s">
        <v>113</v>
      </c>
      <c r="Q1000" s="246"/>
      <c r="R1000" s="646">
        <v>45982</v>
      </c>
      <c r="S1000" s="646" t="s">
        <v>70</v>
      </c>
      <c r="T1000" s="646" t="s">
        <v>8574</v>
      </c>
      <c r="U1000" s="646"/>
      <c r="V1000" s="646"/>
      <c r="W1000" s="615"/>
      <c r="X1000" s="642" t="s">
        <v>8575</v>
      </c>
      <c r="Y1000" s="642" t="s">
        <v>402</v>
      </c>
      <c r="Z1000" s="655">
        <v>7.1628</v>
      </c>
      <c r="AA1000" s="647">
        <f t="shared" si="382"/>
        <v>2578.608</v>
      </c>
      <c r="AC1000" s="648"/>
      <c r="AD1000" s="246" t="s">
        <v>480</v>
      </c>
      <c r="AE1000" s="246" t="s">
        <v>82</v>
      </c>
      <c r="AF1000" s="246"/>
      <c r="AG1000" s="642"/>
      <c r="AH1000" s="642">
        <v>1</v>
      </c>
      <c r="AI1000" s="246"/>
      <c r="AJ1000" s="246">
        <f t="shared" si="391"/>
        <v>-360</v>
      </c>
      <c r="AK1000" s="246"/>
      <c r="AL1000" s="246" t="s">
        <v>2368</v>
      </c>
      <c r="AM1000" s="246"/>
      <c r="AN1000" s="246"/>
      <c r="AO1000" s="554">
        <f>I1000*2</f>
        <v>720</v>
      </c>
      <c r="AP1000" s="551"/>
      <c r="AQ1000" s="551"/>
      <c r="AR1000" s="650"/>
      <c r="AS1000" s="551"/>
      <c r="AT1000" s="554">
        <f>I1000*2</f>
        <v>720</v>
      </c>
      <c r="AU1000" s="551"/>
      <c r="AV1000" s="554">
        <f>I1000*2</f>
        <v>720</v>
      </c>
      <c r="AW1000" s="650"/>
      <c r="AX1000" s="551"/>
      <c r="AY1000" s="551"/>
      <c r="AZ1000" s="551"/>
      <c r="BA1000" s="551"/>
      <c r="BB1000" s="620">
        <f>I1000/24*2</f>
        <v>30</v>
      </c>
      <c r="BC1000" s="651"/>
      <c r="BD1000" s="551"/>
      <c r="BE1000" s="551"/>
      <c r="BF1000" s="551"/>
      <c r="BH1000" s="551"/>
      <c r="BI1000" s="551"/>
      <c r="BJ1000" s="551"/>
      <c r="BK1000" s="551"/>
      <c r="BL1000" s="551"/>
      <c r="BM1000" s="551"/>
      <c r="BN1000" s="551"/>
      <c r="BO1000" s="551"/>
      <c r="BP1000" s="551"/>
      <c r="BQ1000" s="551"/>
      <c r="BR1000" s="551"/>
      <c r="BS1000" s="551"/>
      <c r="BT1000" s="551"/>
      <c r="BU1000" s="551"/>
      <c r="BV1000" s="551"/>
      <c r="BW1000" s="551"/>
      <c r="BX1000" s="551"/>
      <c r="BY1000" s="650"/>
      <c r="BZ1000" s="551">
        <f>I1000</f>
        <v>360</v>
      </c>
      <c r="CA1000" s="652"/>
      <c r="CB1000" s="567"/>
      <c r="CC1000" s="653"/>
      <c r="CD1000" s="650"/>
      <c r="CE1000" s="650"/>
      <c r="CF1000" s="551"/>
      <c r="CG1000" s="551"/>
      <c r="CI1000" s="551"/>
      <c r="CJ1000" s="551"/>
      <c r="CK1000" s="551"/>
      <c r="CL1000" s="551"/>
      <c r="CM1000" s="551"/>
      <c r="CN1000" s="551"/>
      <c r="CO1000" s="551"/>
      <c r="CP1000" s="551"/>
      <c r="CQ1000" s="551"/>
      <c r="CR1000" s="551"/>
      <c r="CS1000" s="551"/>
      <c r="CT1000" s="551"/>
      <c r="CU1000" s="554">
        <f t="shared" si="373"/>
        <v>0</v>
      </c>
      <c r="CV1000" s="551">
        <f>CK1000+CL1000+CM1000+CN1000+CO1000+CQ1000+CP1000</f>
        <v>0</v>
      </c>
      <c r="CW1000" s="551">
        <f>CI1000+CJ1000</f>
        <v>0</v>
      </c>
      <c r="CX1000" s="650"/>
      <c r="CY1000" s="650"/>
      <c r="CZ1000" s="650"/>
      <c r="DA1000" s="551"/>
      <c r="DB1000" s="551"/>
      <c r="DC1000" s="551"/>
      <c r="DD1000" s="650"/>
      <c r="DE1000" s="650"/>
      <c r="DF1000" s="650"/>
      <c r="DG1000" s="650"/>
      <c r="DH1000" s="650"/>
    </row>
    <row r="1001" s="548" customFormat="1" ht="31" customHeight="1" spans="1:112">
      <c r="A1001" s="641">
        <v>45985</v>
      </c>
      <c r="B1001" s="642" t="s">
        <v>2811</v>
      </c>
      <c r="C1001" s="246" t="s">
        <v>98</v>
      </c>
      <c r="D1001" s="551">
        <v>4500186566</v>
      </c>
      <c r="E1001" s="246">
        <v>70079710</v>
      </c>
      <c r="F1001" s="551" t="s">
        <v>2812</v>
      </c>
      <c r="G1001" s="246" t="s">
        <v>8520</v>
      </c>
      <c r="H1001" s="246" t="s">
        <v>8521</v>
      </c>
      <c r="I1001" s="704">
        <v>1200</v>
      </c>
      <c r="J1001" s="246">
        <v>0</v>
      </c>
      <c r="K1001" s="246">
        <v>8</v>
      </c>
      <c r="L1001" s="644">
        <f t="shared" si="381"/>
        <v>150</v>
      </c>
      <c r="M1001" s="645">
        <v>46038</v>
      </c>
      <c r="N1001" s="645">
        <v>46034</v>
      </c>
      <c r="O1001" s="246"/>
      <c r="P1001" s="643" t="s">
        <v>113</v>
      </c>
      <c r="Q1001" s="246"/>
      <c r="R1001" s="646">
        <v>45985</v>
      </c>
      <c r="S1001" s="646" t="s">
        <v>70</v>
      </c>
      <c r="T1001" s="646" t="s">
        <v>8522</v>
      </c>
      <c r="U1001" s="646"/>
      <c r="V1001" s="646"/>
      <c r="W1001" s="615"/>
      <c r="X1001" s="628" t="s">
        <v>2813</v>
      </c>
      <c r="Y1001" s="642" t="s">
        <v>2814</v>
      </c>
      <c r="Z1001" s="655">
        <v>4.0996</v>
      </c>
      <c r="AA1001" s="647">
        <f t="shared" si="382"/>
        <v>4919.52</v>
      </c>
      <c r="AC1001" s="658" t="s">
        <v>2815</v>
      </c>
      <c r="AD1001" s="246" t="s">
        <v>2741</v>
      </c>
      <c r="AE1001" s="246" t="s">
        <v>82</v>
      </c>
      <c r="AF1001" s="246"/>
      <c r="AG1001" s="642"/>
      <c r="AH1001" s="642">
        <v>1</v>
      </c>
      <c r="AI1001" s="246">
        <v>1200</v>
      </c>
      <c r="AJ1001" s="246">
        <f t="shared" si="391"/>
        <v>0</v>
      </c>
      <c r="AK1001" s="246"/>
      <c r="AL1001" s="246"/>
      <c r="AM1001" s="246"/>
      <c r="AN1001" s="610">
        <f>I1001*2</f>
        <v>2400</v>
      </c>
      <c r="AO1001" s="551"/>
      <c r="AP1001" s="554">
        <f>I1001*2</f>
        <v>2400</v>
      </c>
      <c r="AQ1001" s="551"/>
      <c r="AR1001" s="650"/>
      <c r="AS1001" s="551"/>
      <c r="AT1001" s="551"/>
      <c r="AU1001" s="554">
        <f>I1001*2</f>
        <v>2400</v>
      </c>
      <c r="AV1001" s="551"/>
      <c r="AW1001" s="650"/>
      <c r="AX1001" s="551"/>
      <c r="AY1001" s="551"/>
      <c r="AZ1001" s="551"/>
      <c r="BA1001" s="551"/>
      <c r="BB1001" s="620">
        <f>I1001/24*2</f>
        <v>100</v>
      </c>
      <c r="BC1001" s="651"/>
      <c r="BD1001" s="551"/>
      <c r="BE1001" s="551"/>
      <c r="BF1001" s="551"/>
      <c r="BH1001" s="551"/>
      <c r="BI1001" s="551"/>
      <c r="BJ1001" s="551"/>
      <c r="BK1001" s="551"/>
      <c r="BL1001" s="551"/>
      <c r="BM1001" s="551"/>
      <c r="BN1001" s="551"/>
      <c r="BO1001" s="551"/>
      <c r="BP1001" s="551"/>
      <c r="BQ1001" s="551"/>
      <c r="BR1001" s="551"/>
      <c r="BS1001" s="551"/>
      <c r="BT1001" s="551"/>
      <c r="BU1001" s="551"/>
      <c r="BV1001" s="551"/>
      <c r="BW1001" s="551"/>
      <c r="BX1001" s="551"/>
      <c r="BY1001" s="650"/>
      <c r="BZ1001" s="551"/>
      <c r="CA1001" s="652">
        <f>I1001</f>
        <v>1200</v>
      </c>
      <c r="CB1001" s="567"/>
      <c r="CC1001" s="653"/>
      <c r="CD1001" s="650"/>
      <c r="CE1001" s="650"/>
      <c r="CF1001" s="551"/>
      <c r="CG1001" s="551"/>
      <c r="CI1001" s="551"/>
      <c r="CJ1001" s="551"/>
      <c r="CK1001" s="551"/>
      <c r="CL1001" s="551"/>
      <c r="CM1001" s="551"/>
      <c r="CN1001" s="551"/>
      <c r="CO1001" s="551"/>
      <c r="CP1001" s="551"/>
      <c r="CQ1001" s="551"/>
      <c r="CR1001" s="551"/>
      <c r="CS1001" s="551"/>
      <c r="CT1001" s="551"/>
      <c r="CU1001" s="554">
        <f t="shared" si="373"/>
        <v>0</v>
      </c>
      <c r="CV1001" s="551">
        <f>CK1001+CL1001+CM1001+CN1001+CO1001+CQ1001+CP1001</f>
        <v>0</v>
      </c>
      <c r="CW1001" s="551">
        <f>CI1001+CJ1001</f>
        <v>0</v>
      </c>
      <c r="CX1001" s="650"/>
      <c r="CY1001" s="650"/>
      <c r="CZ1001" s="650"/>
      <c r="DA1001" s="548"/>
      <c r="DB1001" s="548"/>
      <c r="DC1001" s="548"/>
      <c r="DD1001" s="650"/>
      <c r="DE1001" s="650"/>
      <c r="DF1001" s="650"/>
      <c r="DG1001" s="650"/>
      <c r="DH1001" s="650"/>
    </row>
    <row r="1002" s="548" customFormat="1" ht="31" customHeight="1" spans="1:112">
      <c r="A1002" s="641">
        <v>45985</v>
      </c>
      <c r="B1002" s="642" t="s">
        <v>2811</v>
      </c>
      <c r="C1002" s="246" t="s">
        <v>98</v>
      </c>
      <c r="D1002" s="551">
        <v>4500186566</v>
      </c>
      <c r="E1002" s="246">
        <v>70079737</v>
      </c>
      <c r="F1002" s="551" t="s">
        <v>8576</v>
      </c>
      <c r="G1002" s="246" t="s">
        <v>6787</v>
      </c>
      <c r="H1002" s="610" t="s">
        <v>6126</v>
      </c>
      <c r="I1002" s="704">
        <v>1104</v>
      </c>
      <c r="J1002" s="246">
        <v>0</v>
      </c>
      <c r="K1002" s="246">
        <v>12</v>
      </c>
      <c r="L1002" s="644">
        <f t="shared" si="381"/>
        <v>92</v>
      </c>
      <c r="M1002" s="645">
        <v>46038</v>
      </c>
      <c r="N1002" s="645">
        <v>46034</v>
      </c>
      <c r="O1002" s="246"/>
      <c r="P1002" s="643" t="s">
        <v>113</v>
      </c>
      <c r="Q1002" s="246"/>
      <c r="R1002" s="646">
        <v>45985</v>
      </c>
      <c r="S1002" s="646" t="s">
        <v>70</v>
      </c>
      <c r="T1002" s="646" t="s">
        <v>2738</v>
      </c>
      <c r="U1002" s="646"/>
      <c r="V1002" s="646"/>
      <c r="W1002" s="615"/>
      <c r="X1002" s="642" t="s">
        <v>8577</v>
      </c>
      <c r="Y1002" s="642" t="s">
        <v>2814</v>
      </c>
      <c r="Z1002" s="655">
        <v>1.2871</v>
      </c>
      <c r="AA1002" s="647">
        <f t="shared" si="382"/>
        <v>1420.9584</v>
      </c>
      <c r="AC1002" s="658" t="s">
        <v>2815</v>
      </c>
      <c r="AD1002" s="246" t="s">
        <v>8545</v>
      </c>
      <c r="AE1002" s="246" t="s">
        <v>82</v>
      </c>
      <c r="AF1002" s="246"/>
      <c r="AG1002" s="642"/>
      <c r="AH1002" s="642">
        <v>1</v>
      </c>
      <c r="AI1002" s="246">
        <v>1104</v>
      </c>
      <c r="AJ1002" s="246">
        <f t="shared" si="391"/>
        <v>0</v>
      </c>
      <c r="AK1002" s="246"/>
      <c r="AL1002" s="246" t="s">
        <v>2368</v>
      </c>
      <c r="AM1002" s="246"/>
      <c r="AN1002" s="610">
        <f>I1002*2</f>
        <v>2208</v>
      </c>
      <c r="AO1002" s="551"/>
      <c r="AP1002" s="554">
        <f>I1002*2</f>
        <v>2208</v>
      </c>
      <c r="AQ1002" s="551"/>
      <c r="AR1002" s="650"/>
      <c r="AS1002" s="551"/>
      <c r="AT1002" s="551"/>
      <c r="AU1002" s="554">
        <f>I1002*2</f>
        <v>2208</v>
      </c>
      <c r="AV1002" s="551"/>
      <c r="AW1002" s="650"/>
      <c r="AX1002" s="551"/>
      <c r="AY1002" s="551"/>
      <c r="AZ1002" s="551"/>
      <c r="BA1002" s="551"/>
      <c r="BB1002" s="249">
        <f>I1002/24*2</f>
        <v>92</v>
      </c>
      <c r="BC1002" s="651"/>
      <c r="BD1002" s="551"/>
      <c r="BE1002" s="551"/>
      <c r="BF1002" s="551"/>
      <c r="BH1002" s="551"/>
      <c r="BI1002" s="551"/>
      <c r="BJ1002" s="551"/>
      <c r="BK1002" s="551"/>
      <c r="BL1002" s="551"/>
      <c r="BM1002" s="551"/>
      <c r="BN1002" s="551"/>
      <c r="BO1002" s="551"/>
      <c r="BP1002" s="551"/>
      <c r="BQ1002" s="551"/>
      <c r="BR1002" s="551"/>
      <c r="BS1002" s="551"/>
      <c r="BT1002" s="551"/>
      <c r="BU1002" s="551"/>
      <c r="BV1002" s="551"/>
      <c r="BW1002" s="551"/>
      <c r="BX1002" s="551"/>
      <c r="BY1002" s="650"/>
      <c r="BZ1002" s="551"/>
      <c r="CA1002" s="652"/>
      <c r="CB1002" s="567"/>
      <c r="CC1002" s="653"/>
      <c r="CD1002" s="650"/>
      <c r="CE1002" s="650"/>
      <c r="CF1002" s="551"/>
      <c r="CG1002" s="551"/>
      <c r="CI1002" s="551"/>
      <c r="CJ1002" s="551"/>
      <c r="CK1002" s="551"/>
      <c r="CL1002" s="551"/>
      <c r="CM1002" s="551"/>
      <c r="CN1002" s="551"/>
      <c r="CO1002" s="551"/>
      <c r="CP1002" s="551"/>
      <c r="CQ1002" s="551"/>
      <c r="CR1002" s="554">
        <f>I1002</f>
        <v>1104</v>
      </c>
      <c r="CS1002" s="554">
        <f>I1002</f>
        <v>1104</v>
      </c>
      <c r="CT1002" s="554">
        <f>I1002</f>
        <v>1104</v>
      </c>
      <c r="CU1002" s="554">
        <f t="shared" si="373"/>
        <v>0</v>
      </c>
      <c r="CV1002" s="551">
        <v>0</v>
      </c>
      <c r="CW1002" s="551">
        <v>0</v>
      </c>
      <c r="CX1002" s="650"/>
      <c r="CY1002" s="650"/>
      <c r="CZ1002" s="650"/>
      <c r="DA1002" s="548"/>
      <c r="DB1002" s="548"/>
      <c r="DC1002" s="548"/>
      <c r="DD1002" s="650"/>
      <c r="DE1002" s="650"/>
      <c r="DF1002" s="650"/>
      <c r="DG1002" s="650"/>
      <c r="DH1002" s="650"/>
    </row>
    <row r="1003" s="548" customFormat="1" ht="31" customHeight="1" spans="1:112">
      <c r="A1003" s="641">
        <v>45995</v>
      </c>
      <c r="B1003" s="642" t="s">
        <v>841</v>
      </c>
      <c r="C1003" s="246" t="s">
        <v>399</v>
      </c>
      <c r="D1003" s="551">
        <v>4500188043</v>
      </c>
      <c r="E1003" s="246" t="s">
        <v>2966</v>
      </c>
      <c r="F1003" s="551" t="s">
        <v>8578</v>
      </c>
      <c r="G1003" s="246" t="s">
        <v>6043</v>
      </c>
      <c r="H1003" s="246" t="s">
        <v>6110</v>
      </c>
      <c r="I1003" s="704">
        <v>18100</v>
      </c>
      <c r="J1003" s="246">
        <v>0</v>
      </c>
      <c r="K1003" s="246">
        <v>50</v>
      </c>
      <c r="L1003" s="644">
        <f t="shared" si="381"/>
        <v>362</v>
      </c>
      <c r="M1003" s="645">
        <v>46038</v>
      </c>
      <c r="N1003" s="645">
        <v>46034</v>
      </c>
      <c r="O1003" s="246"/>
      <c r="P1003" s="643" t="s">
        <v>113</v>
      </c>
      <c r="Q1003" s="246"/>
      <c r="R1003" s="646">
        <v>46009</v>
      </c>
      <c r="S1003" s="646" t="s">
        <v>70</v>
      </c>
      <c r="T1003" s="646" t="s">
        <v>8579</v>
      </c>
      <c r="U1003" s="646"/>
      <c r="V1003" s="646"/>
      <c r="W1003" s="615"/>
      <c r="X1003" s="642" t="s">
        <v>8580</v>
      </c>
      <c r="Y1003" s="642" t="s">
        <v>445</v>
      </c>
      <c r="Z1003" s="655">
        <v>0.9136</v>
      </c>
      <c r="AA1003" s="647">
        <f t="shared" si="382"/>
        <v>16536.16</v>
      </c>
      <c r="AC1003" s="648"/>
      <c r="AD1003" s="246" t="s">
        <v>6043</v>
      </c>
      <c r="AE1003" s="246" t="s">
        <v>82</v>
      </c>
      <c r="AF1003" s="246"/>
      <c r="AG1003" s="642"/>
      <c r="AH1003" s="642">
        <v>1</v>
      </c>
      <c r="AI1003" s="246">
        <v>18100</v>
      </c>
      <c r="AJ1003" s="246">
        <f t="shared" si="391"/>
        <v>0</v>
      </c>
      <c r="AK1003" s="246"/>
      <c r="AL1003" s="246" t="s">
        <v>2368</v>
      </c>
      <c r="AM1003" s="246"/>
      <c r="AN1003" s="246"/>
      <c r="AO1003" s="551">
        <f>I1003</f>
        <v>18100</v>
      </c>
      <c r="AP1003" s="551"/>
      <c r="AQ1003" s="551"/>
      <c r="AR1003" s="650"/>
      <c r="AS1003" s="551"/>
      <c r="AT1003" s="554">
        <f>I1003</f>
        <v>18100</v>
      </c>
      <c r="AU1003" s="551"/>
      <c r="AV1003" s="554">
        <f>I1003</f>
        <v>18100</v>
      </c>
      <c r="AW1003" s="650"/>
      <c r="AX1003" s="551"/>
      <c r="AY1003" s="551"/>
      <c r="AZ1003" s="551"/>
      <c r="BA1003" s="551"/>
      <c r="BB1003" s="620">
        <f>I1003/24</f>
        <v>754.166666666667</v>
      </c>
      <c r="BC1003" s="651"/>
      <c r="BD1003" s="551"/>
      <c r="BE1003" s="551"/>
      <c r="BF1003" s="551"/>
      <c r="BH1003" s="551"/>
      <c r="BI1003" s="551"/>
      <c r="BJ1003" s="551"/>
      <c r="BK1003" s="551"/>
      <c r="BL1003" s="551"/>
      <c r="BM1003" s="551"/>
      <c r="BN1003" s="551"/>
      <c r="BO1003" s="551"/>
      <c r="BP1003" s="551">
        <f>I1003/25</f>
        <v>724</v>
      </c>
      <c r="BQ1003" s="551"/>
      <c r="BR1003" s="551"/>
      <c r="BS1003" s="551"/>
      <c r="BT1003" s="551"/>
      <c r="BU1003" s="551"/>
      <c r="BV1003" s="551"/>
      <c r="BW1003" s="551"/>
      <c r="BX1003" s="551"/>
      <c r="BY1003" s="650"/>
      <c r="BZ1003" s="551"/>
      <c r="CA1003" s="652"/>
      <c r="CB1003" s="567"/>
      <c r="CC1003" s="653"/>
      <c r="CD1003" s="650"/>
      <c r="CE1003" s="650"/>
      <c r="CF1003" s="551"/>
      <c r="CG1003" s="551"/>
      <c r="CI1003" s="551"/>
      <c r="CJ1003" s="551"/>
      <c r="CK1003" s="551"/>
      <c r="CL1003" s="551"/>
      <c r="CM1003" s="551"/>
      <c r="CN1003" s="551"/>
      <c r="CO1003" s="551"/>
      <c r="CP1003" s="551"/>
      <c r="CQ1003" s="551"/>
      <c r="CR1003" s="551"/>
      <c r="CS1003" s="551"/>
      <c r="CT1003" s="551"/>
      <c r="CU1003" s="554">
        <f t="shared" si="373"/>
        <v>724</v>
      </c>
      <c r="CV1003" s="551">
        <f>CK1003+CL1003+CM1003+CN1003+CO1003+CQ1003+CP1003</f>
        <v>0</v>
      </c>
      <c r="CW1003" s="551">
        <f>CI1003+CJ1003</f>
        <v>0</v>
      </c>
      <c r="CX1003" s="650"/>
      <c r="CY1003" s="650"/>
      <c r="CZ1003" s="650"/>
      <c r="DA1003" s="548"/>
      <c r="DB1003" s="548"/>
      <c r="DC1003" s="548"/>
      <c r="DD1003" s="650"/>
      <c r="DE1003" s="650"/>
      <c r="DF1003" s="650"/>
      <c r="DG1003" s="650"/>
      <c r="DH1003" s="650"/>
    </row>
    <row r="1004" s="548" customFormat="1" ht="31" customHeight="1" spans="1:112">
      <c r="A1004" s="641">
        <v>45995</v>
      </c>
      <c r="B1004" s="642" t="s">
        <v>2819</v>
      </c>
      <c r="C1004" s="246" t="s">
        <v>836</v>
      </c>
      <c r="D1004" s="551">
        <v>4500187921</v>
      </c>
      <c r="E1004" s="246"/>
      <c r="F1004" s="551" t="s">
        <v>8581</v>
      </c>
      <c r="G1004" s="246" t="s">
        <v>6040</v>
      </c>
      <c r="H1004" s="246" t="s">
        <v>6041</v>
      </c>
      <c r="I1004" s="704">
        <v>468</v>
      </c>
      <c r="J1004" s="246">
        <v>0</v>
      </c>
      <c r="K1004" s="246">
        <v>52</v>
      </c>
      <c r="L1004" s="644">
        <f t="shared" si="381"/>
        <v>9</v>
      </c>
      <c r="M1004" s="645">
        <v>46038</v>
      </c>
      <c r="N1004" s="645">
        <v>46034</v>
      </c>
      <c r="O1004" s="246"/>
      <c r="P1004" s="643" t="s">
        <v>113</v>
      </c>
      <c r="Q1004" s="246"/>
      <c r="R1004" s="646">
        <v>46005</v>
      </c>
      <c r="S1004" s="646" t="s">
        <v>70</v>
      </c>
      <c r="T1004" s="646" t="s">
        <v>2821</v>
      </c>
      <c r="U1004" s="646"/>
      <c r="V1004" s="646"/>
      <c r="W1004" s="615"/>
      <c r="X1004" s="642" t="s">
        <v>8582</v>
      </c>
      <c r="Y1004" s="642" t="s">
        <v>472</v>
      </c>
      <c r="Z1004" s="655">
        <v>0.9181</v>
      </c>
      <c r="AA1004" s="647">
        <f t="shared" si="382"/>
        <v>429.6708</v>
      </c>
      <c r="AC1004" s="648" t="s">
        <v>2823</v>
      </c>
      <c r="AD1004" s="246" t="s">
        <v>6040</v>
      </c>
      <c r="AE1004" s="246" t="s">
        <v>82</v>
      </c>
      <c r="AF1004" s="246"/>
      <c r="AG1004" s="642"/>
      <c r="AH1004" s="642">
        <v>1</v>
      </c>
      <c r="AI1004" s="246">
        <v>468</v>
      </c>
      <c r="AJ1004" s="246">
        <f t="shared" si="391"/>
        <v>0</v>
      </c>
      <c r="AK1004" s="246"/>
      <c r="AL1004" s="246" t="s">
        <v>2368</v>
      </c>
      <c r="AM1004" s="246"/>
      <c r="AN1004" s="246"/>
      <c r="AO1004" s="551">
        <f>I1004</f>
        <v>468</v>
      </c>
      <c r="AP1004" s="551"/>
      <c r="AQ1004" s="551"/>
      <c r="AR1004" s="650"/>
      <c r="AS1004" s="551"/>
      <c r="AT1004" s="554">
        <f>I1004</f>
        <v>468</v>
      </c>
      <c r="AU1004" s="551"/>
      <c r="AV1004" s="554">
        <f>I1004</f>
        <v>468</v>
      </c>
      <c r="AW1004" s="650"/>
      <c r="AX1004" s="551"/>
      <c r="AY1004" s="551"/>
      <c r="AZ1004" s="551"/>
      <c r="BA1004" s="551"/>
      <c r="BB1004" s="620">
        <f>I1004/24</f>
        <v>19.5</v>
      </c>
      <c r="BC1004" s="651"/>
      <c r="BD1004" s="551"/>
      <c r="BE1004" s="551"/>
      <c r="BF1004" s="551"/>
      <c r="BH1004" s="551"/>
      <c r="BI1004" s="551"/>
      <c r="BJ1004" s="551"/>
      <c r="BK1004" s="551"/>
      <c r="BL1004" s="551"/>
      <c r="BM1004" s="551">
        <f>I1004/13</f>
        <v>36</v>
      </c>
      <c r="BN1004" s="551"/>
      <c r="BO1004" s="551"/>
      <c r="BP1004" s="551"/>
      <c r="BQ1004" s="551"/>
      <c r="BR1004" s="551"/>
      <c r="BS1004" s="551"/>
      <c r="BT1004" s="551"/>
      <c r="BU1004" s="551"/>
      <c r="BV1004" s="551"/>
      <c r="BW1004" s="551"/>
      <c r="BX1004" s="551"/>
      <c r="BY1004" s="650"/>
      <c r="BZ1004" s="551"/>
      <c r="CA1004" s="652"/>
      <c r="CB1004" s="567"/>
      <c r="CC1004" s="653"/>
      <c r="CD1004" s="650"/>
      <c r="CE1004" s="650"/>
      <c r="CF1004" s="551"/>
      <c r="CG1004" s="551"/>
      <c r="CI1004" s="551"/>
      <c r="CJ1004" s="551"/>
      <c r="CK1004" s="551"/>
      <c r="CL1004" s="551"/>
      <c r="CM1004" s="551"/>
      <c r="CN1004" s="551"/>
      <c r="CO1004" s="551"/>
      <c r="CP1004" s="551"/>
      <c r="CQ1004" s="551"/>
      <c r="CR1004" s="551"/>
      <c r="CS1004" s="551"/>
      <c r="CT1004" s="551"/>
      <c r="CU1004" s="554">
        <f t="shared" si="373"/>
        <v>0</v>
      </c>
      <c r="CV1004" s="551">
        <f>CK1004+CL1004+CM1004+CN1004+CO1004+CQ1004+CP1004</f>
        <v>0</v>
      </c>
      <c r="CW1004" s="551">
        <f>CI1004+CJ1004</f>
        <v>0</v>
      </c>
      <c r="CX1004" s="650"/>
      <c r="CY1004" s="650"/>
      <c r="CZ1004" s="650"/>
      <c r="DA1004" s="548"/>
      <c r="DB1004" s="548"/>
      <c r="DC1004" s="548"/>
      <c r="DD1004" s="650"/>
      <c r="DE1004" s="650"/>
      <c r="DF1004" s="650"/>
      <c r="DG1004" s="650"/>
      <c r="DH1004" s="650"/>
    </row>
    <row r="1005" s="548" customFormat="1" ht="31" customHeight="1" spans="1:112">
      <c r="A1005" s="641">
        <v>45978</v>
      </c>
      <c r="B1005" s="642" t="s">
        <v>1492</v>
      </c>
      <c r="C1005" s="246" t="s">
        <v>98</v>
      </c>
      <c r="D1005" s="551">
        <v>4500185933</v>
      </c>
      <c r="E1005" s="643">
        <v>1711216695</v>
      </c>
      <c r="F1005" s="551" t="s">
        <v>2825</v>
      </c>
      <c r="G1005" s="246" t="s">
        <v>8457</v>
      </c>
      <c r="H1005" s="246" t="s">
        <v>830</v>
      </c>
      <c r="I1005" s="704">
        <v>5400</v>
      </c>
      <c r="J1005" s="246">
        <v>0</v>
      </c>
      <c r="K1005" s="246">
        <v>75</v>
      </c>
      <c r="L1005" s="644">
        <f t="shared" si="381"/>
        <v>72</v>
      </c>
      <c r="M1005" s="645">
        <v>46038</v>
      </c>
      <c r="N1005" s="645">
        <v>46034</v>
      </c>
      <c r="O1005" s="246"/>
      <c r="P1005" s="643" t="s">
        <v>113</v>
      </c>
      <c r="Q1005" s="246"/>
      <c r="R1005" s="646" t="s">
        <v>2667</v>
      </c>
      <c r="S1005" s="646" t="s">
        <v>70</v>
      </c>
      <c r="T1005" s="646" t="s">
        <v>70</v>
      </c>
      <c r="U1005" s="646"/>
      <c r="V1005" s="646"/>
      <c r="W1005" s="615"/>
      <c r="X1005" s="642" t="s">
        <v>2826</v>
      </c>
      <c r="Y1005" s="642" t="s">
        <v>911</v>
      </c>
      <c r="Z1005" s="655">
        <v>359.3436</v>
      </c>
      <c r="AA1005" s="647">
        <f>Z1005*L1005</f>
        <v>25872.7392</v>
      </c>
      <c r="AC1005" s="658" t="s">
        <v>2827</v>
      </c>
      <c r="AD1005" s="246" t="s">
        <v>1498</v>
      </c>
      <c r="AE1005" s="246" t="s">
        <v>82</v>
      </c>
      <c r="AF1005" s="246"/>
      <c r="AG1005" s="642"/>
      <c r="AH1005" s="642">
        <v>1</v>
      </c>
      <c r="AI1005" s="246">
        <f>2520+2280+600</f>
        <v>5400</v>
      </c>
      <c r="AJ1005" s="246">
        <f t="shared" si="391"/>
        <v>0</v>
      </c>
      <c r="AK1005" s="246"/>
      <c r="AL1005" s="246"/>
      <c r="AM1005" s="246"/>
      <c r="AN1005" s="610">
        <f>I1005*3</f>
        <v>16200</v>
      </c>
      <c r="AO1005" s="551"/>
      <c r="AP1005" s="551"/>
      <c r="AQ1005" s="551"/>
      <c r="AR1005" s="650"/>
      <c r="AS1005" s="551"/>
      <c r="AT1005" s="551"/>
      <c r="AU1005" s="551"/>
      <c r="AV1005" s="551"/>
      <c r="AW1005" s="650"/>
      <c r="AX1005" s="551"/>
      <c r="AY1005" s="551"/>
      <c r="AZ1005" s="551"/>
      <c r="BA1005" s="551"/>
      <c r="BB1005" s="249">
        <f>I1005/24*3</f>
        <v>675</v>
      </c>
      <c r="BC1005" s="651"/>
      <c r="BD1005" s="551"/>
      <c r="BE1005" s="551"/>
      <c r="BF1005" s="551">
        <f>AN1005</f>
        <v>16200</v>
      </c>
      <c r="BH1005" s="551">
        <f>AN1005</f>
        <v>16200</v>
      </c>
      <c r="BI1005" s="551">
        <f>I1005</f>
        <v>5400</v>
      </c>
      <c r="BJ1005" s="551">
        <f>I1005/5</f>
        <v>1080</v>
      </c>
      <c r="BK1005" s="551"/>
      <c r="BL1005" s="551"/>
      <c r="BM1005" s="551"/>
      <c r="BN1005" s="551"/>
      <c r="BO1005" s="551"/>
      <c r="BP1005" s="551"/>
      <c r="BQ1005" s="551"/>
      <c r="BR1005" s="551"/>
      <c r="BS1005" s="551"/>
      <c r="BT1005" s="551"/>
      <c r="BU1005" s="551"/>
      <c r="BV1005" s="551"/>
      <c r="BW1005" s="551"/>
      <c r="BX1005" s="551"/>
      <c r="BY1005" s="650"/>
      <c r="BZ1005" s="551"/>
      <c r="CA1005" s="652"/>
      <c r="CB1005" s="567"/>
      <c r="CC1005" s="653"/>
      <c r="CD1005" s="650"/>
      <c r="CE1005" s="650"/>
      <c r="CF1005" s="551"/>
      <c r="CG1005" s="551"/>
      <c r="CI1005" s="551"/>
      <c r="CJ1005" s="551"/>
      <c r="CK1005" s="551"/>
      <c r="CL1005" s="551"/>
      <c r="CM1005" s="551"/>
      <c r="CN1005" s="551"/>
      <c r="CO1005" s="551"/>
      <c r="CP1005" s="551"/>
      <c r="CQ1005" s="551"/>
      <c r="CR1005" s="551"/>
      <c r="CS1005" s="551"/>
      <c r="CT1005" s="551"/>
      <c r="CU1005" s="554">
        <f t="shared" si="373"/>
        <v>0</v>
      </c>
      <c r="CV1005" s="551">
        <f>CK1005+CL1005+CM1005+CN1005+CO1005+CQ1005+CP1005</f>
        <v>0</v>
      </c>
      <c r="CW1005" s="551">
        <f>CI1005+CJ1005</f>
        <v>0</v>
      </c>
      <c r="CX1005" s="650"/>
      <c r="CY1005" s="650"/>
      <c r="CZ1005" s="650"/>
      <c r="DA1005" s="548"/>
      <c r="DB1005" s="548"/>
      <c r="DC1005" s="548"/>
      <c r="DD1005" s="650"/>
      <c r="DE1005" s="650"/>
      <c r="DF1005" s="650"/>
      <c r="DG1005" s="650"/>
      <c r="DH1005" s="650"/>
    </row>
    <row r="1006" s="548" customFormat="1" ht="31" customHeight="1" spans="1:112">
      <c r="A1006" s="641">
        <v>46001</v>
      </c>
      <c r="B1006" s="642" t="s">
        <v>3715</v>
      </c>
      <c r="C1006" s="246" t="s">
        <v>98</v>
      </c>
      <c r="D1006" s="551">
        <v>4500188597</v>
      </c>
      <c r="E1006" s="246">
        <v>40799202</v>
      </c>
      <c r="F1006" s="551" t="s">
        <v>8583</v>
      </c>
      <c r="G1006" s="246" t="s">
        <v>6084</v>
      </c>
      <c r="H1006" s="246" t="s">
        <v>6069</v>
      </c>
      <c r="I1006" s="704">
        <v>1225</v>
      </c>
      <c r="J1006" s="246">
        <v>0</v>
      </c>
      <c r="K1006" s="246">
        <v>25</v>
      </c>
      <c r="L1006" s="644">
        <f t="shared" si="381"/>
        <v>49</v>
      </c>
      <c r="M1006" s="645">
        <v>46041</v>
      </c>
      <c r="N1006" s="645">
        <v>46037</v>
      </c>
      <c r="O1006" s="246" t="s">
        <v>8446</v>
      </c>
      <c r="P1006" s="643" t="s">
        <v>113</v>
      </c>
      <c r="Q1006" s="246"/>
      <c r="R1006" s="646">
        <v>46001</v>
      </c>
      <c r="S1006" s="646" t="s">
        <v>104</v>
      </c>
      <c r="T1006" s="646" t="s">
        <v>8447</v>
      </c>
      <c r="U1006" s="646"/>
      <c r="V1006" s="646"/>
      <c r="W1006" s="615"/>
      <c r="X1006" s="642" t="s">
        <v>8430</v>
      </c>
      <c r="Y1006" s="642" t="s">
        <v>270</v>
      </c>
      <c r="Z1006" s="655">
        <v>0.5927</v>
      </c>
      <c r="AA1006" s="647">
        <f t="shared" ref="AA1006:AA1025" si="392">Z1006*I1006</f>
        <v>726.0575</v>
      </c>
      <c r="AC1006" s="658" t="s">
        <v>2838</v>
      </c>
      <c r="AD1006" s="246" t="s">
        <v>6089</v>
      </c>
      <c r="AE1006" s="246" t="s">
        <v>82</v>
      </c>
      <c r="AF1006" s="246"/>
      <c r="AG1006" s="642"/>
      <c r="AH1006" s="642">
        <v>1</v>
      </c>
      <c r="AI1006" s="246">
        <v>1225</v>
      </c>
      <c r="AJ1006" s="246">
        <f t="shared" si="391"/>
        <v>0</v>
      </c>
      <c r="AK1006" s="246"/>
      <c r="AL1006" s="246" t="s">
        <v>2368</v>
      </c>
      <c r="AM1006" s="246"/>
      <c r="AN1006" s="246">
        <f>I1006</f>
        <v>1225</v>
      </c>
      <c r="AO1006" s="551"/>
      <c r="AP1006" s="551"/>
      <c r="AQ1006" s="551"/>
      <c r="AR1006" s="650"/>
      <c r="AS1006" s="551">
        <f>I1006</f>
        <v>1225</v>
      </c>
      <c r="AT1006" s="551"/>
      <c r="AU1006" s="554">
        <f>I1006</f>
        <v>1225</v>
      </c>
      <c r="AV1006" s="551"/>
      <c r="AW1006" s="650"/>
      <c r="AX1006" s="551"/>
      <c r="AY1006" s="551"/>
      <c r="AZ1006" s="551"/>
      <c r="BA1006" s="551"/>
      <c r="BB1006" s="249">
        <f>I1006/24</f>
        <v>51.0416666666667</v>
      </c>
      <c r="BC1006" s="651"/>
      <c r="BD1006" s="551"/>
      <c r="BE1006" s="551"/>
      <c r="BF1006" s="551"/>
      <c r="BH1006" s="551"/>
      <c r="BI1006" s="551"/>
      <c r="BJ1006" s="551"/>
      <c r="BK1006" s="551"/>
      <c r="BL1006" s="551"/>
      <c r="BM1006" s="551"/>
      <c r="BN1006" s="551"/>
      <c r="BO1006" s="551">
        <f>I1006/25</f>
        <v>49</v>
      </c>
      <c r="BP1006" s="551"/>
      <c r="BQ1006" s="551"/>
      <c r="BR1006" s="551"/>
      <c r="BS1006" s="551"/>
      <c r="BT1006" s="551"/>
      <c r="BU1006" s="551"/>
      <c r="BV1006" s="551"/>
      <c r="BW1006" s="551"/>
      <c r="BX1006" s="551"/>
      <c r="BY1006" s="650"/>
      <c r="BZ1006" s="551"/>
      <c r="CA1006" s="652"/>
      <c r="CB1006" s="567"/>
      <c r="CC1006" s="653"/>
      <c r="CD1006" s="650"/>
      <c r="CE1006" s="650"/>
      <c r="CF1006" s="551"/>
      <c r="CG1006" s="551"/>
      <c r="CI1006" s="551"/>
      <c r="CJ1006" s="551"/>
      <c r="CK1006" s="551"/>
      <c r="CL1006" s="551"/>
      <c r="CM1006" s="551"/>
      <c r="CN1006" s="551"/>
      <c r="CO1006" s="551"/>
      <c r="CP1006" s="551"/>
      <c r="CQ1006" s="551"/>
      <c r="CR1006" s="551"/>
      <c r="CS1006" s="551"/>
      <c r="CT1006" s="551"/>
      <c r="CU1006" s="554">
        <f t="shared" si="373"/>
        <v>49</v>
      </c>
      <c r="CV1006" s="551">
        <f>CK1006+CL1006+CM1006+CN1006+CO1006+CQ1006+CP1006</f>
        <v>0</v>
      </c>
      <c r="CW1006" s="551">
        <f>CI1006+CJ1006</f>
        <v>0</v>
      </c>
      <c r="CX1006" s="650"/>
      <c r="CY1006" s="650"/>
      <c r="CZ1006" s="650"/>
      <c r="DA1006" s="548"/>
      <c r="DB1006" s="548"/>
      <c r="DC1006" s="548"/>
      <c r="DD1006" s="650"/>
      <c r="DE1006" s="650"/>
      <c r="DF1006" s="650"/>
      <c r="DG1006" s="650"/>
      <c r="DH1006" s="650"/>
    </row>
    <row r="1007" s="548" customFormat="1" ht="31" customHeight="1" spans="1:112">
      <c r="A1007" s="641">
        <v>45993</v>
      </c>
      <c r="B1007" s="642" t="s">
        <v>1800</v>
      </c>
      <c r="C1007" s="246" t="s">
        <v>744</v>
      </c>
      <c r="D1007" s="551">
        <v>4500185221</v>
      </c>
      <c r="E1007" s="246">
        <v>5000002057</v>
      </c>
      <c r="F1007" s="551" t="s">
        <v>8584</v>
      </c>
      <c r="G1007" s="246" t="s">
        <v>6093</v>
      </c>
      <c r="H1007" s="639" t="s">
        <v>7359</v>
      </c>
      <c r="I1007" s="704">
        <v>26000</v>
      </c>
      <c r="J1007" s="246">
        <v>0</v>
      </c>
      <c r="K1007" s="246">
        <v>13</v>
      </c>
      <c r="L1007" s="644">
        <f t="shared" si="381"/>
        <v>2000</v>
      </c>
      <c r="M1007" s="645">
        <v>46042</v>
      </c>
      <c r="N1007" s="645">
        <v>46038</v>
      </c>
      <c r="O1007" s="246"/>
      <c r="P1007" s="643" t="s">
        <v>113</v>
      </c>
      <c r="Q1007" s="246"/>
      <c r="R1007" s="646" t="s">
        <v>7814</v>
      </c>
      <c r="S1007" s="646" t="s">
        <v>104</v>
      </c>
      <c r="T1007" s="646" t="s">
        <v>8017</v>
      </c>
      <c r="U1007" s="646"/>
      <c r="V1007" s="646" t="s">
        <v>8514</v>
      </c>
      <c r="W1007" s="615"/>
      <c r="X1007" s="628" t="s">
        <v>8585</v>
      </c>
      <c r="Y1007" s="642" t="s">
        <v>1805</v>
      </c>
      <c r="Z1007" s="655">
        <v>0.8677</v>
      </c>
      <c r="AA1007" s="647">
        <f t="shared" si="392"/>
        <v>22560.2</v>
      </c>
      <c r="AC1007" s="658" t="s">
        <v>8586</v>
      </c>
      <c r="AD1007" s="246" t="s">
        <v>8338</v>
      </c>
      <c r="AE1007" s="246" t="s">
        <v>82</v>
      </c>
      <c r="AF1007" s="246"/>
      <c r="AG1007" s="642"/>
      <c r="AH1007" s="642">
        <v>1</v>
      </c>
      <c r="AI1007" s="246">
        <f>18876+4680+2444</f>
        <v>26000</v>
      </c>
      <c r="AJ1007" s="246">
        <f t="shared" ref="AJ1007:AJ1025" si="393">AI1007-I1007</f>
        <v>0</v>
      </c>
      <c r="AK1007" s="246"/>
      <c r="AL1007" s="246" t="s">
        <v>2368</v>
      </c>
      <c r="AM1007" s="246"/>
      <c r="AN1007" s="246"/>
      <c r="AO1007" s="551">
        <f t="shared" ref="AO1007:AO1013" si="394">I1007</f>
        <v>26000</v>
      </c>
      <c r="AP1007" s="551"/>
      <c r="AQ1007" s="551"/>
      <c r="AR1007" s="650"/>
      <c r="AS1007" s="551"/>
      <c r="AT1007" s="551"/>
      <c r="AU1007" s="551"/>
      <c r="AV1007" s="551"/>
      <c r="AW1007" s="650">
        <f>I1007</f>
        <v>26000</v>
      </c>
      <c r="AX1007" s="554">
        <f>I1007</f>
        <v>26000</v>
      </c>
      <c r="AY1007" s="551"/>
      <c r="AZ1007" s="551"/>
      <c r="BA1007" s="551">
        <f>I1007/13</f>
        <v>2000</v>
      </c>
      <c r="BB1007" s="249"/>
      <c r="BC1007" s="651"/>
      <c r="BD1007" s="551"/>
      <c r="BE1007" s="551"/>
      <c r="BF1007" s="551"/>
      <c r="BH1007" s="551"/>
      <c r="BI1007" s="551"/>
      <c r="BJ1007" s="551"/>
      <c r="BK1007" s="551"/>
      <c r="BL1007" s="551"/>
      <c r="BM1007" s="551">
        <f>I1007/13</f>
        <v>2000</v>
      </c>
      <c r="BN1007" s="551"/>
      <c r="BO1007" s="551"/>
      <c r="BP1007" s="551"/>
      <c r="BQ1007" s="551"/>
      <c r="BR1007" s="551"/>
      <c r="BS1007" s="551"/>
      <c r="BT1007" s="551"/>
      <c r="BU1007" s="551"/>
      <c r="BV1007" s="551"/>
      <c r="BW1007" s="551"/>
      <c r="BX1007" s="551"/>
      <c r="BY1007" s="650"/>
      <c r="BZ1007" s="551"/>
      <c r="CA1007" s="652"/>
      <c r="CB1007" s="567"/>
      <c r="CC1007" s="653"/>
      <c r="CD1007" s="650"/>
      <c r="CE1007" s="650"/>
      <c r="CF1007" s="551"/>
      <c r="CG1007" s="551"/>
      <c r="CI1007" s="551"/>
      <c r="CJ1007" s="551"/>
      <c r="CK1007" s="551"/>
      <c r="CL1007" s="551"/>
      <c r="CM1007" s="551"/>
      <c r="CN1007" s="551"/>
      <c r="CO1007" s="551"/>
      <c r="CP1007" s="551"/>
      <c r="CQ1007" s="551"/>
      <c r="CR1007" s="551"/>
      <c r="CS1007" s="551"/>
      <c r="CT1007" s="551"/>
      <c r="CU1007" s="554">
        <f t="shared" si="373"/>
        <v>0</v>
      </c>
      <c r="CV1007" s="551">
        <f t="shared" ref="CV1007:CV1020" si="395">CK1007+CL1007+CM1007+CN1007+CO1007+CQ1007+CP1007</f>
        <v>0</v>
      </c>
      <c r="CW1007" s="551">
        <f t="shared" ref="CW1007:CW1020" si="396">CI1007+CJ1007</f>
        <v>0</v>
      </c>
      <c r="CX1007" s="650"/>
      <c r="CY1007" s="650"/>
      <c r="CZ1007" s="650"/>
      <c r="DA1007" s="548"/>
      <c r="DB1007" s="548"/>
      <c r="DC1007" s="548"/>
      <c r="DD1007" s="650"/>
      <c r="DE1007" s="650"/>
      <c r="DF1007" s="650"/>
      <c r="DG1007" s="650"/>
      <c r="DH1007" s="650"/>
    </row>
    <row r="1008" s="548" customFormat="1" ht="31" customHeight="1" spans="1:112">
      <c r="A1008" s="641">
        <v>45993</v>
      </c>
      <c r="B1008" s="642" t="s">
        <v>1800</v>
      </c>
      <c r="C1008" s="246" t="s">
        <v>744</v>
      </c>
      <c r="D1008" s="551">
        <v>4500185221</v>
      </c>
      <c r="E1008" s="246">
        <v>5000002057</v>
      </c>
      <c r="F1008" s="551" t="s">
        <v>8587</v>
      </c>
      <c r="G1008" s="246" t="s">
        <v>6093</v>
      </c>
      <c r="H1008" s="639" t="s">
        <v>7359</v>
      </c>
      <c r="I1008" s="704">
        <v>26000</v>
      </c>
      <c r="J1008" s="246">
        <v>0</v>
      </c>
      <c r="K1008" s="246">
        <v>13</v>
      </c>
      <c r="L1008" s="644">
        <f t="shared" si="381"/>
        <v>2000</v>
      </c>
      <c r="M1008" s="645">
        <v>46042</v>
      </c>
      <c r="N1008" s="645">
        <v>46038</v>
      </c>
      <c r="O1008" s="246"/>
      <c r="P1008" s="643" t="s">
        <v>113</v>
      </c>
      <c r="Q1008" s="246"/>
      <c r="R1008" s="646" t="s">
        <v>7814</v>
      </c>
      <c r="S1008" s="646" t="s">
        <v>104</v>
      </c>
      <c r="T1008" s="646" t="s">
        <v>8017</v>
      </c>
      <c r="U1008" s="646"/>
      <c r="V1008" s="646" t="s">
        <v>8514</v>
      </c>
      <c r="W1008" s="615"/>
      <c r="X1008" s="628" t="s">
        <v>8585</v>
      </c>
      <c r="Y1008" s="642" t="s">
        <v>1805</v>
      </c>
      <c r="Z1008" s="655">
        <v>0.8677</v>
      </c>
      <c r="AA1008" s="647">
        <f t="shared" si="392"/>
        <v>22560.2</v>
      </c>
      <c r="AC1008" s="658" t="s">
        <v>8586</v>
      </c>
      <c r="AD1008" s="246" t="s">
        <v>8338</v>
      </c>
      <c r="AE1008" s="246" t="s">
        <v>82</v>
      </c>
      <c r="AF1008" s="246"/>
      <c r="AG1008" s="642"/>
      <c r="AH1008" s="642">
        <v>1</v>
      </c>
      <c r="AI1008" s="246">
        <f>13260+12740</f>
        <v>26000</v>
      </c>
      <c r="AJ1008" s="246">
        <f t="shared" si="393"/>
        <v>0</v>
      </c>
      <c r="AK1008" s="246"/>
      <c r="AL1008" s="246" t="s">
        <v>2368</v>
      </c>
      <c r="AM1008" s="246"/>
      <c r="AN1008" s="246"/>
      <c r="AO1008" s="551">
        <f t="shared" si="394"/>
        <v>26000</v>
      </c>
      <c r="AP1008" s="551"/>
      <c r="AQ1008" s="551"/>
      <c r="AR1008" s="650"/>
      <c r="AS1008" s="551"/>
      <c r="AT1008" s="551"/>
      <c r="AU1008" s="551"/>
      <c r="AV1008" s="551"/>
      <c r="AW1008" s="650">
        <f>I1008</f>
        <v>26000</v>
      </c>
      <c r="AX1008" s="554">
        <f>I1008</f>
        <v>26000</v>
      </c>
      <c r="AY1008" s="551"/>
      <c r="AZ1008" s="551"/>
      <c r="BA1008" s="551">
        <f>I1008/13</f>
        <v>2000</v>
      </c>
      <c r="BB1008" s="249"/>
      <c r="BC1008" s="651"/>
      <c r="BD1008" s="551"/>
      <c r="BE1008" s="551"/>
      <c r="BF1008" s="551"/>
      <c r="BH1008" s="551"/>
      <c r="BI1008" s="551"/>
      <c r="BJ1008" s="551"/>
      <c r="BK1008" s="551"/>
      <c r="BL1008" s="551"/>
      <c r="BM1008" s="551">
        <f>I1008/13</f>
        <v>2000</v>
      </c>
      <c r="BN1008" s="551"/>
      <c r="BO1008" s="551"/>
      <c r="BP1008" s="551"/>
      <c r="BQ1008" s="551"/>
      <c r="BR1008" s="551"/>
      <c r="BS1008" s="551"/>
      <c r="BT1008" s="551"/>
      <c r="BU1008" s="551"/>
      <c r="BV1008" s="551"/>
      <c r="BW1008" s="551"/>
      <c r="BX1008" s="551"/>
      <c r="BY1008" s="650"/>
      <c r="BZ1008" s="551"/>
      <c r="CA1008" s="652"/>
      <c r="CB1008" s="567"/>
      <c r="CC1008" s="653"/>
      <c r="CD1008" s="650"/>
      <c r="CE1008" s="650"/>
      <c r="CF1008" s="551"/>
      <c r="CG1008" s="551"/>
      <c r="CI1008" s="551"/>
      <c r="CJ1008" s="551"/>
      <c r="CK1008" s="551"/>
      <c r="CL1008" s="551"/>
      <c r="CM1008" s="551"/>
      <c r="CN1008" s="551"/>
      <c r="CO1008" s="551"/>
      <c r="CP1008" s="551"/>
      <c r="CQ1008" s="551"/>
      <c r="CR1008" s="551"/>
      <c r="CS1008" s="551"/>
      <c r="CT1008" s="551"/>
      <c r="CU1008" s="554">
        <f t="shared" si="373"/>
        <v>0</v>
      </c>
      <c r="CV1008" s="551">
        <f t="shared" si="395"/>
        <v>0</v>
      </c>
      <c r="CW1008" s="551">
        <f t="shared" si="396"/>
        <v>0</v>
      </c>
      <c r="CX1008" s="650"/>
      <c r="CY1008" s="650"/>
      <c r="CZ1008" s="650"/>
      <c r="DA1008" s="548"/>
      <c r="DB1008" s="548"/>
      <c r="DC1008" s="548"/>
      <c r="DD1008" s="650"/>
      <c r="DE1008" s="650"/>
      <c r="DF1008" s="650"/>
      <c r="DG1008" s="650"/>
      <c r="DH1008" s="650"/>
    </row>
    <row r="1009" s="548" customFormat="1" ht="31" customHeight="1" spans="1:112">
      <c r="A1009" s="641">
        <v>45993</v>
      </c>
      <c r="B1009" s="642" t="s">
        <v>1800</v>
      </c>
      <c r="C1009" s="246" t="s">
        <v>744</v>
      </c>
      <c r="D1009" s="551">
        <v>4500185221</v>
      </c>
      <c r="E1009" s="246">
        <v>5000002057</v>
      </c>
      <c r="F1009" s="551" t="s">
        <v>8588</v>
      </c>
      <c r="G1009" s="246" t="s">
        <v>6093</v>
      </c>
      <c r="H1009" s="639" t="s">
        <v>7359</v>
      </c>
      <c r="I1009" s="704">
        <v>7280</v>
      </c>
      <c r="J1009" s="246">
        <v>0</v>
      </c>
      <c r="K1009" s="246">
        <v>13</v>
      </c>
      <c r="L1009" s="644">
        <f t="shared" si="381"/>
        <v>560</v>
      </c>
      <c r="M1009" s="645">
        <v>46042</v>
      </c>
      <c r="N1009" s="645">
        <v>46038</v>
      </c>
      <c r="O1009" s="246"/>
      <c r="P1009" s="643" t="s">
        <v>113</v>
      </c>
      <c r="Q1009" s="246"/>
      <c r="R1009" s="646" t="s">
        <v>7814</v>
      </c>
      <c r="S1009" s="646" t="s">
        <v>104</v>
      </c>
      <c r="T1009" s="646" t="s">
        <v>8017</v>
      </c>
      <c r="U1009" s="646"/>
      <c r="V1009" s="646" t="s">
        <v>8514</v>
      </c>
      <c r="W1009" s="615"/>
      <c r="X1009" s="628" t="s">
        <v>8585</v>
      </c>
      <c r="Y1009" s="642" t="s">
        <v>1805</v>
      </c>
      <c r="Z1009" s="655">
        <v>0.8677</v>
      </c>
      <c r="AA1009" s="647">
        <f t="shared" si="392"/>
        <v>6316.856</v>
      </c>
      <c r="AC1009" s="658" t="s">
        <v>8586</v>
      </c>
      <c r="AD1009" s="246" t="s">
        <v>8338</v>
      </c>
      <c r="AE1009" s="246" t="s">
        <v>82</v>
      </c>
      <c r="AF1009" s="246"/>
      <c r="AG1009" s="642"/>
      <c r="AH1009" s="642">
        <v>1</v>
      </c>
      <c r="AI1009" s="246">
        <v>7280</v>
      </c>
      <c r="AJ1009" s="246">
        <f t="shared" si="393"/>
        <v>0</v>
      </c>
      <c r="AK1009" s="246"/>
      <c r="AL1009" s="246" t="s">
        <v>2368</v>
      </c>
      <c r="AM1009" s="246"/>
      <c r="AN1009" s="246"/>
      <c r="AO1009" s="551">
        <f t="shared" si="394"/>
        <v>7280</v>
      </c>
      <c r="AP1009" s="551"/>
      <c r="AQ1009" s="551"/>
      <c r="AR1009" s="650"/>
      <c r="AS1009" s="551"/>
      <c r="AT1009" s="551"/>
      <c r="AU1009" s="551"/>
      <c r="AV1009" s="551"/>
      <c r="AW1009" s="650">
        <f>I1009</f>
        <v>7280</v>
      </c>
      <c r="AX1009" s="554">
        <f>I1009</f>
        <v>7280</v>
      </c>
      <c r="AY1009" s="551"/>
      <c r="AZ1009" s="551"/>
      <c r="BA1009" s="551">
        <f>I1009/13</f>
        <v>560</v>
      </c>
      <c r="BB1009" s="249"/>
      <c r="BC1009" s="651"/>
      <c r="BD1009" s="551"/>
      <c r="BE1009" s="551"/>
      <c r="BF1009" s="551"/>
      <c r="BH1009" s="551"/>
      <c r="BI1009" s="551"/>
      <c r="BJ1009" s="551"/>
      <c r="BK1009" s="551"/>
      <c r="BL1009" s="551"/>
      <c r="BM1009" s="551">
        <f>I1009/13</f>
        <v>560</v>
      </c>
      <c r="BN1009" s="551"/>
      <c r="BO1009" s="551"/>
      <c r="BP1009" s="551"/>
      <c r="BQ1009" s="551"/>
      <c r="BR1009" s="551"/>
      <c r="BS1009" s="551"/>
      <c r="BT1009" s="551"/>
      <c r="BU1009" s="551"/>
      <c r="BV1009" s="551"/>
      <c r="BW1009" s="551"/>
      <c r="BX1009" s="551"/>
      <c r="BY1009" s="650"/>
      <c r="BZ1009" s="551"/>
      <c r="CA1009" s="652"/>
      <c r="CB1009" s="567"/>
      <c r="CC1009" s="653"/>
      <c r="CD1009" s="650"/>
      <c r="CE1009" s="650"/>
      <c r="CF1009" s="551"/>
      <c r="CG1009" s="551"/>
      <c r="CI1009" s="551"/>
      <c r="CJ1009" s="551"/>
      <c r="CK1009" s="551"/>
      <c r="CL1009" s="551"/>
      <c r="CM1009" s="551"/>
      <c r="CN1009" s="551"/>
      <c r="CO1009" s="551"/>
      <c r="CP1009" s="551"/>
      <c r="CQ1009" s="551"/>
      <c r="CR1009" s="551"/>
      <c r="CS1009" s="551"/>
      <c r="CT1009" s="551"/>
      <c r="CU1009" s="554">
        <f t="shared" si="373"/>
        <v>0</v>
      </c>
      <c r="CV1009" s="551">
        <f t="shared" si="395"/>
        <v>0</v>
      </c>
      <c r="CW1009" s="551">
        <f t="shared" si="396"/>
        <v>0</v>
      </c>
      <c r="CX1009" s="650"/>
      <c r="CY1009" s="650"/>
      <c r="CZ1009" s="650"/>
      <c r="DA1009" s="548"/>
      <c r="DB1009" s="548"/>
      <c r="DC1009" s="548"/>
      <c r="DD1009" s="650"/>
      <c r="DE1009" s="650"/>
      <c r="DF1009" s="650"/>
      <c r="DG1009" s="650"/>
      <c r="DH1009" s="650"/>
    </row>
    <row r="1010" s="548" customFormat="1" ht="31" customHeight="1" spans="1:112">
      <c r="A1010" s="641">
        <v>45993</v>
      </c>
      <c r="B1010" s="642" t="s">
        <v>757</v>
      </c>
      <c r="C1010" s="246" t="s">
        <v>758</v>
      </c>
      <c r="D1010" s="551">
        <v>4500187640</v>
      </c>
      <c r="E1010" s="246" t="s">
        <v>2875</v>
      </c>
      <c r="F1010" s="551" t="s">
        <v>8589</v>
      </c>
      <c r="G1010" s="246" t="s">
        <v>6043</v>
      </c>
      <c r="H1010" s="246" t="s">
        <v>6110</v>
      </c>
      <c r="I1010" s="704">
        <v>3000</v>
      </c>
      <c r="J1010" s="246">
        <v>0</v>
      </c>
      <c r="K1010" s="246">
        <v>50</v>
      </c>
      <c r="L1010" s="644">
        <f t="shared" si="381"/>
        <v>60</v>
      </c>
      <c r="M1010" s="645">
        <v>46042</v>
      </c>
      <c r="N1010" s="645">
        <v>46038</v>
      </c>
      <c r="O1010" s="246"/>
      <c r="P1010" s="643" t="s">
        <v>113</v>
      </c>
      <c r="Q1010" s="246"/>
      <c r="R1010" s="646">
        <v>45999</v>
      </c>
      <c r="S1010" s="646" t="s">
        <v>70</v>
      </c>
      <c r="T1010" s="646" t="s">
        <v>2877</v>
      </c>
      <c r="U1010" s="646"/>
      <c r="V1010" s="646"/>
      <c r="W1010" s="615"/>
      <c r="X1010" s="642" t="s">
        <v>2878</v>
      </c>
      <c r="Y1010" s="642" t="s">
        <v>529</v>
      </c>
      <c r="Z1010" s="655">
        <v>0.941</v>
      </c>
      <c r="AA1010" s="647">
        <f t="shared" si="392"/>
        <v>2823</v>
      </c>
      <c r="AC1010" s="648"/>
      <c r="AD1010" s="246" t="s">
        <v>6043</v>
      </c>
      <c r="AE1010" s="246" t="s">
        <v>82</v>
      </c>
      <c r="AF1010" s="246"/>
      <c r="AG1010" s="642"/>
      <c r="AH1010" s="642">
        <v>1</v>
      </c>
      <c r="AI1010" s="246">
        <v>3000</v>
      </c>
      <c r="AJ1010" s="246">
        <f t="shared" si="393"/>
        <v>0</v>
      </c>
      <c r="AK1010" s="246"/>
      <c r="AL1010" s="246" t="s">
        <v>2368</v>
      </c>
      <c r="AM1010" s="246"/>
      <c r="AN1010" s="246"/>
      <c r="AO1010" s="551">
        <f t="shared" si="394"/>
        <v>3000</v>
      </c>
      <c r="AP1010" s="551"/>
      <c r="AQ1010" s="551"/>
      <c r="AR1010" s="650"/>
      <c r="AS1010" s="551"/>
      <c r="AT1010" s="554">
        <f>I1010</f>
        <v>3000</v>
      </c>
      <c r="AU1010" s="551"/>
      <c r="AV1010" s="554">
        <f>I1010</f>
        <v>3000</v>
      </c>
      <c r="AW1010" s="650"/>
      <c r="AX1010" s="551"/>
      <c r="AY1010" s="551"/>
      <c r="AZ1010" s="551"/>
      <c r="BA1010" s="551"/>
      <c r="BB1010" s="620">
        <f>I1010/24</f>
        <v>125</v>
      </c>
      <c r="BC1010" s="651"/>
      <c r="BD1010" s="551"/>
      <c r="BE1010" s="551"/>
      <c r="BF1010" s="551"/>
      <c r="BH1010" s="551"/>
      <c r="BI1010" s="551"/>
      <c r="BJ1010" s="551"/>
      <c r="BK1010" s="551"/>
      <c r="BL1010" s="551"/>
      <c r="BM1010" s="551"/>
      <c r="BN1010" s="551"/>
      <c r="BO1010" s="551"/>
      <c r="BP1010" s="551">
        <f>I1010/25</f>
        <v>120</v>
      </c>
      <c r="BQ1010" s="551"/>
      <c r="BR1010" s="551"/>
      <c r="BS1010" s="551"/>
      <c r="BT1010" s="551"/>
      <c r="BU1010" s="551"/>
      <c r="BV1010" s="551"/>
      <c r="BW1010" s="551"/>
      <c r="BX1010" s="551"/>
      <c r="BY1010" s="650"/>
      <c r="BZ1010" s="551"/>
      <c r="CA1010" s="652"/>
      <c r="CB1010" s="567"/>
      <c r="CC1010" s="653"/>
      <c r="CD1010" s="650"/>
      <c r="CE1010" s="650"/>
      <c r="CF1010" s="551"/>
      <c r="CG1010" s="551"/>
      <c r="CI1010" s="551"/>
      <c r="CJ1010" s="551"/>
      <c r="CK1010" s="551"/>
      <c r="CL1010" s="551"/>
      <c r="CM1010" s="551"/>
      <c r="CN1010" s="551"/>
      <c r="CO1010" s="551"/>
      <c r="CP1010" s="551"/>
      <c r="CQ1010" s="551"/>
      <c r="CR1010" s="551"/>
      <c r="CS1010" s="551"/>
      <c r="CT1010" s="551"/>
      <c r="CU1010" s="554">
        <f t="shared" si="373"/>
        <v>120</v>
      </c>
      <c r="CV1010" s="551">
        <f t="shared" si="395"/>
        <v>0</v>
      </c>
      <c r="CW1010" s="551">
        <f t="shared" si="396"/>
        <v>0</v>
      </c>
      <c r="CX1010" s="650"/>
      <c r="CY1010" s="650"/>
      <c r="CZ1010" s="650"/>
      <c r="DA1010" s="548"/>
      <c r="DB1010" s="548"/>
      <c r="DC1010" s="548"/>
      <c r="DD1010" s="650"/>
      <c r="DE1010" s="650"/>
      <c r="DF1010" s="650"/>
      <c r="DG1010" s="650"/>
      <c r="DH1010" s="650"/>
    </row>
    <row r="1011" s="548" customFormat="1" ht="31" customHeight="1" spans="1:112">
      <c r="A1011" s="641">
        <v>45990</v>
      </c>
      <c r="B1011" s="642" t="s">
        <v>1620</v>
      </c>
      <c r="C1011" s="246" t="s">
        <v>278</v>
      </c>
      <c r="D1011" s="551">
        <v>4500187433</v>
      </c>
      <c r="E1011" s="246">
        <v>4400528009</v>
      </c>
      <c r="F1011" s="551" t="s">
        <v>8590</v>
      </c>
      <c r="G1011" s="246" t="s">
        <v>6047</v>
      </c>
      <c r="H1011" s="246" t="s">
        <v>6069</v>
      </c>
      <c r="I1011" s="704">
        <v>6500</v>
      </c>
      <c r="J1011" s="246">
        <v>0</v>
      </c>
      <c r="K1011" s="246">
        <v>25</v>
      </c>
      <c r="L1011" s="644">
        <f t="shared" si="381"/>
        <v>260</v>
      </c>
      <c r="M1011" s="645">
        <v>46042</v>
      </c>
      <c r="N1011" s="645">
        <v>46038</v>
      </c>
      <c r="O1011" s="246"/>
      <c r="P1011" s="643" t="s">
        <v>113</v>
      </c>
      <c r="Q1011" s="246"/>
      <c r="R1011" s="646">
        <v>45990</v>
      </c>
      <c r="S1011" s="646" t="s">
        <v>70</v>
      </c>
      <c r="T1011" s="646" t="s">
        <v>8294</v>
      </c>
      <c r="U1011" s="646"/>
      <c r="V1011" s="646"/>
      <c r="W1011" s="615"/>
      <c r="X1011" s="642" t="s">
        <v>8591</v>
      </c>
      <c r="Y1011" s="642" t="s">
        <v>1549</v>
      </c>
      <c r="Z1011" s="655">
        <v>0.9365</v>
      </c>
      <c r="AA1011" s="647">
        <f t="shared" si="392"/>
        <v>6087.25</v>
      </c>
      <c r="AC1011" s="648"/>
      <c r="AD1011" s="246" t="s">
        <v>6047</v>
      </c>
      <c r="AE1011" s="246" t="s">
        <v>82</v>
      </c>
      <c r="AF1011" s="246"/>
      <c r="AG1011" s="642"/>
      <c r="AH1011" s="642">
        <v>1</v>
      </c>
      <c r="AI1011" s="246">
        <f>25+6475</f>
        <v>6500</v>
      </c>
      <c r="AJ1011" s="246">
        <f t="shared" si="393"/>
        <v>0</v>
      </c>
      <c r="AK1011" s="246"/>
      <c r="AL1011" s="246" t="s">
        <v>2368</v>
      </c>
      <c r="AM1011" s="246"/>
      <c r="AN1011" s="246"/>
      <c r="AO1011" s="551">
        <f t="shared" si="394"/>
        <v>6500</v>
      </c>
      <c r="AP1011" s="551"/>
      <c r="AQ1011" s="551"/>
      <c r="AR1011" s="650"/>
      <c r="AS1011" s="551"/>
      <c r="AT1011" s="554">
        <f>I1011</f>
        <v>6500</v>
      </c>
      <c r="AU1011" s="551"/>
      <c r="AV1011" s="554">
        <f>I1011</f>
        <v>6500</v>
      </c>
      <c r="AW1011" s="650"/>
      <c r="AX1011" s="551"/>
      <c r="AY1011" s="551"/>
      <c r="AZ1011" s="551"/>
      <c r="BA1011" s="551"/>
      <c r="BB1011" s="620">
        <f>I1011/24</f>
        <v>270.833333333333</v>
      </c>
      <c r="BC1011" s="651"/>
      <c r="BD1011" s="551"/>
      <c r="BE1011" s="551"/>
      <c r="BF1011" s="551"/>
      <c r="BH1011" s="551"/>
      <c r="BI1011" s="551"/>
      <c r="BJ1011" s="551"/>
      <c r="BK1011" s="551"/>
      <c r="BL1011" s="551"/>
      <c r="BM1011" s="551"/>
      <c r="BN1011" s="551"/>
      <c r="BO1011" s="551"/>
      <c r="BP1011" s="551">
        <f>I1011/25</f>
        <v>260</v>
      </c>
      <c r="BQ1011" s="551"/>
      <c r="BR1011" s="551"/>
      <c r="BS1011" s="551"/>
      <c r="BT1011" s="551"/>
      <c r="BU1011" s="551"/>
      <c r="BV1011" s="551"/>
      <c r="BW1011" s="551"/>
      <c r="BX1011" s="551"/>
      <c r="BY1011" s="650"/>
      <c r="BZ1011" s="551"/>
      <c r="CA1011" s="652"/>
      <c r="CB1011" s="567"/>
      <c r="CC1011" s="653"/>
      <c r="CD1011" s="650"/>
      <c r="CE1011" s="650"/>
      <c r="CF1011" s="551"/>
      <c r="CG1011" s="551"/>
      <c r="CI1011" s="551"/>
      <c r="CJ1011" s="551"/>
      <c r="CK1011" s="551"/>
      <c r="CL1011" s="551"/>
      <c r="CM1011" s="551"/>
      <c r="CN1011" s="551"/>
      <c r="CO1011" s="551"/>
      <c r="CP1011" s="551"/>
      <c r="CQ1011" s="551"/>
      <c r="CR1011" s="551"/>
      <c r="CS1011" s="551"/>
      <c r="CT1011" s="551"/>
      <c r="CU1011" s="554">
        <f t="shared" si="373"/>
        <v>260</v>
      </c>
      <c r="CV1011" s="551">
        <f t="shared" si="395"/>
        <v>0</v>
      </c>
      <c r="CW1011" s="551">
        <f t="shared" si="396"/>
        <v>0</v>
      </c>
      <c r="CX1011" s="650"/>
      <c r="CY1011" s="650"/>
      <c r="CZ1011" s="650"/>
      <c r="DA1011" s="548"/>
      <c r="DB1011" s="548"/>
      <c r="DC1011" s="548"/>
      <c r="DD1011" s="650"/>
      <c r="DE1011" s="650"/>
      <c r="DF1011" s="650"/>
      <c r="DG1011" s="650"/>
      <c r="DH1011" s="650"/>
    </row>
    <row r="1012" s="548" customFormat="1" ht="31" customHeight="1" spans="1:112">
      <c r="A1012" s="641">
        <v>46000</v>
      </c>
      <c r="B1012" s="642" t="s">
        <v>8592</v>
      </c>
      <c r="C1012" s="246" t="s">
        <v>8593</v>
      </c>
      <c r="D1012" s="551">
        <v>4500188421</v>
      </c>
      <c r="E1012" s="246" t="s">
        <v>8594</v>
      </c>
      <c r="F1012" s="551" t="s">
        <v>8595</v>
      </c>
      <c r="G1012" s="246" t="s">
        <v>6093</v>
      </c>
      <c r="H1012" s="246" t="s">
        <v>6094</v>
      </c>
      <c r="I1012" s="704">
        <v>5980</v>
      </c>
      <c r="J1012" s="246">
        <v>0</v>
      </c>
      <c r="K1012" s="246">
        <v>13</v>
      </c>
      <c r="L1012" s="644">
        <f t="shared" si="381"/>
        <v>460</v>
      </c>
      <c r="M1012" s="645">
        <v>46042</v>
      </c>
      <c r="N1012" s="645">
        <v>46038</v>
      </c>
      <c r="O1012" s="246"/>
      <c r="P1012" s="643" t="s">
        <v>113</v>
      </c>
      <c r="Q1012" s="246"/>
      <c r="R1012" s="646">
        <v>46006</v>
      </c>
      <c r="S1012" s="646" t="s">
        <v>70</v>
      </c>
      <c r="T1012" s="646" t="s">
        <v>8596</v>
      </c>
      <c r="U1012" s="646"/>
      <c r="V1012" s="646"/>
      <c r="W1012" s="615"/>
      <c r="X1012" s="642" t="s">
        <v>8597</v>
      </c>
      <c r="Y1012" s="642" t="s">
        <v>1793</v>
      </c>
      <c r="Z1012" s="655">
        <v>0.9109</v>
      </c>
      <c r="AA1012" s="647">
        <f t="shared" si="392"/>
        <v>5447.182</v>
      </c>
      <c r="AC1012" s="648"/>
      <c r="AD1012" s="246" t="s">
        <v>6093</v>
      </c>
      <c r="AE1012" s="246" t="s">
        <v>82</v>
      </c>
      <c r="AF1012" s="246"/>
      <c r="AG1012" s="642"/>
      <c r="AH1012" s="642" t="s">
        <v>8598</v>
      </c>
      <c r="AI1012" s="246">
        <v>5980</v>
      </c>
      <c r="AJ1012" s="246">
        <f t="shared" si="393"/>
        <v>0</v>
      </c>
      <c r="AK1012" s="246"/>
      <c r="AL1012" s="246" t="s">
        <v>2368</v>
      </c>
      <c r="AM1012" s="246"/>
      <c r="AN1012" s="246"/>
      <c r="AO1012" s="551">
        <f t="shared" si="394"/>
        <v>5980</v>
      </c>
      <c r="AP1012" s="551"/>
      <c r="AQ1012" s="551"/>
      <c r="AR1012" s="650"/>
      <c r="AS1012" s="551"/>
      <c r="AT1012" s="554">
        <f>I1012</f>
        <v>5980</v>
      </c>
      <c r="AU1012" s="551"/>
      <c r="AV1012" s="554">
        <f>I1012</f>
        <v>5980</v>
      </c>
      <c r="AW1012" s="650"/>
      <c r="AX1012" s="551"/>
      <c r="AY1012" s="551"/>
      <c r="AZ1012" s="551"/>
      <c r="BA1012" s="551"/>
      <c r="BB1012" s="620">
        <f>I1012/24</f>
        <v>249.166666666667</v>
      </c>
      <c r="BC1012" s="651"/>
      <c r="BD1012" s="551"/>
      <c r="BE1012" s="551"/>
      <c r="BF1012" s="551"/>
      <c r="BH1012" s="551"/>
      <c r="BI1012" s="551"/>
      <c r="BJ1012" s="551"/>
      <c r="BK1012" s="551"/>
      <c r="BL1012" s="551"/>
      <c r="BM1012" s="551">
        <f>I1012/13</f>
        <v>460</v>
      </c>
      <c r="BN1012" s="551"/>
      <c r="BO1012" s="551"/>
      <c r="BP1012" s="551"/>
      <c r="BQ1012" s="551"/>
      <c r="BR1012" s="551"/>
      <c r="BS1012" s="551"/>
      <c r="BT1012" s="551"/>
      <c r="BU1012" s="551"/>
      <c r="BV1012" s="551"/>
      <c r="BW1012" s="551"/>
      <c r="BX1012" s="551"/>
      <c r="BY1012" s="650"/>
      <c r="BZ1012" s="551"/>
      <c r="CA1012" s="652"/>
      <c r="CB1012" s="567"/>
      <c r="CC1012" s="653"/>
      <c r="CD1012" s="650"/>
      <c r="CE1012" s="650"/>
      <c r="CF1012" s="551"/>
      <c r="CG1012" s="551"/>
      <c r="CI1012" s="551"/>
      <c r="CJ1012" s="551"/>
      <c r="CK1012" s="551"/>
      <c r="CL1012" s="551"/>
      <c r="CM1012" s="551"/>
      <c r="CN1012" s="551"/>
      <c r="CO1012" s="551"/>
      <c r="CP1012" s="551"/>
      <c r="CQ1012" s="551"/>
      <c r="CR1012" s="551"/>
      <c r="CS1012" s="551"/>
      <c r="CT1012" s="551"/>
      <c r="CU1012" s="554">
        <f t="shared" si="373"/>
        <v>0</v>
      </c>
      <c r="CV1012" s="551">
        <f t="shared" si="395"/>
        <v>0</v>
      </c>
      <c r="CW1012" s="551">
        <f t="shared" si="396"/>
        <v>0</v>
      </c>
      <c r="CX1012" s="650"/>
      <c r="CY1012" s="650"/>
      <c r="CZ1012" s="650"/>
      <c r="DA1012" s="548"/>
      <c r="DB1012" s="548"/>
      <c r="DC1012" s="548"/>
      <c r="DD1012" s="650"/>
      <c r="DE1012" s="650"/>
      <c r="DF1012" s="650"/>
      <c r="DG1012" s="650"/>
      <c r="DH1012" s="650"/>
    </row>
    <row r="1013" s="548" customFormat="1" ht="31" customHeight="1" spans="1:112">
      <c r="A1013" s="641">
        <v>45940</v>
      </c>
      <c r="B1013" s="642" t="s">
        <v>559</v>
      </c>
      <c r="C1013" s="246" t="s">
        <v>343</v>
      </c>
      <c r="D1013" s="551">
        <v>4500181289</v>
      </c>
      <c r="E1013" s="246">
        <v>4504470421</v>
      </c>
      <c r="F1013" s="551" t="s">
        <v>8599</v>
      </c>
      <c r="G1013" s="246" t="s">
        <v>6276</v>
      </c>
      <c r="H1013" s="246" t="s">
        <v>6277</v>
      </c>
      <c r="I1013" s="704">
        <v>9000</v>
      </c>
      <c r="J1013" s="246">
        <v>0</v>
      </c>
      <c r="K1013" s="246">
        <v>50</v>
      </c>
      <c r="L1013" s="644">
        <f t="shared" si="381"/>
        <v>180</v>
      </c>
      <c r="M1013" s="645">
        <v>46044</v>
      </c>
      <c r="N1013" s="645">
        <v>46041</v>
      </c>
      <c r="O1013" s="246"/>
      <c r="P1013" s="643" t="s">
        <v>113</v>
      </c>
      <c r="Q1013" s="246"/>
      <c r="R1013" s="646">
        <v>45971</v>
      </c>
      <c r="S1013" s="646" t="s">
        <v>70</v>
      </c>
      <c r="T1013" s="646" t="s">
        <v>70</v>
      </c>
      <c r="U1013" s="646"/>
      <c r="V1013" s="646"/>
      <c r="W1013" s="615"/>
      <c r="X1013" s="642" t="s">
        <v>8600</v>
      </c>
      <c r="Y1013" s="642" t="s">
        <v>529</v>
      </c>
      <c r="Z1013" s="655">
        <v>0.9188</v>
      </c>
      <c r="AA1013" s="647">
        <f t="shared" si="392"/>
        <v>8269.2</v>
      </c>
      <c r="AC1013" s="648"/>
      <c r="AD1013" s="246" t="s">
        <v>6276</v>
      </c>
      <c r="AE1013" s="246" t="s">
        <v>82</v>
      </c>
      <c r="AF1013" s="246"/>
      <c r="AG1013" s="642"/>
      <c r="AH1013" s="642">
        <v>1</v>
      </c>
      <c r="AI1013" s="246">
        <v>9000</v>
      </c>
      <c r="AJ1013" s="246">
        <f t="shared" si="393"/>
        <v>0</v>
      </c>
      <c r="AK1013" s="246"/>
      <c r="AL1013" s="246"/>
      <c r="AM1013" s="246"/>
      <c r="AN1013" s="246"/>
      <c r="AO1013" s="551">
        <f t="shared" si="394"/>
        <v>9000</v>
      </c>
      <c r="AP1013" s="551"/>
      <c r="AQ1013" s="551"/>
      <c r="AR1013" s="650"/>
      <c r="AS1013" s="551"/>
      <c r="AT1013" s="551"/>
      <c r="AU1013" s="551"/>
      <c r="AV1013" s="551"/>
      <c r="AW1013" s="650"/>
      <c r="AX1013" s="551"/>
      <c r="AY1013" s="551"/>
      <c r="AZ1013" s="551"/>
      <c r="BA1013" s="551"/>
      <c r="BB1013" s="249">
        <f>I1013/24</f>
        <v>375</v>
      </c>
      <c r="BC1013" s="651"/>
      <c r="BD1013" s="551"/>
      <c r="BE1013" s="551"/>
      <c r="BF1013" s="551"/>
      <c r="BH1013" s="551"/>
      <c r="BI1013" s="551"/>
      <c r="BJ1013" s="551"/>
      <c r="BK1013" s="551"/>
      <c r="BL1013" s="551"/>
      <c r="BM1013" s="551"/>
      <c r="BN1013" s="551"/>
      <c r="BO1013" s="551"/>
      <c r="BP1013" s="551"/>
      <c r="BQ1013" s="551"/>
      <c r="BR1013" s="551"/>
      <c r="BS1013" s="551"/>
      <c r="BT1013" s="551"/>
      <c r="BU1013" s="551"/>
      <c r="BV1013" s="551">
        <f>I1013</f>
        <v>9000</v>
      </c>
      <c r="BW1013" s="551">
        <f>I1013</f>
        <v>9000</v>
      </c>
      <c r="BX1013" s="551">
        <f>I1013/25</f>
        <v>360</v>
      </c>
      <c r="BY1013" s="650"/>
      <c r="BZ1013" s="551"/>
      <c r="CA1013" s="652"/>
      <c r="CB1013" s="567"/>
      <c r="CC1013" s="653"/>
      <c r="CD1013" s="650"/>
      <c r="CE1013" s="650"/>
      <c r="CF1013" s="551"/>
      <c r="CG1013" s="551"/>
      <c r="CI1013" s="551"/>
      <c r="CJ1013" s="551"/>
      <c r="CK1013" s="551"/>
      <c r="CL1013" s="551"/>
      <c r="CM1013" s="551"/>
      <c r="CN1013" s="551"/>
      <c r="CO1013" s="551"/>
      <c r="CP1013" s="551"/>
      <c r="CQ1013" s="551"/>
      <c r="CR1013" s="551"/>
      <c r="CS1013" s="551"/>
      <c r="CT1013" s="551"/>
      <c r="CU1013" s="554">
        <f t="shared" si="373"/>
        <v>360</v>
      </c>
      <c r="CV1013" s="551">
        <f t="shared" si="395"/>
        <v>0</v>
      </c>
      <c r="CW1013" s="551">
        <f t="shared" si="396"/>
        <v>0</v>
      </c>
      <c r="CX1013" s="650"/>
      <c r="CY1013" s="650"/>
      <c r="CZ1013" s="650"/>
      <c r="DA1013" s="548"/>
      <c r="DB1013" s="548"/>
      <c r="DC1013" s="548"/>
      <c r="DD1013" s="650"/>
      <c r="DE1013" s="650"/>
      <c r="DF1013" s="650"/>
      <c r="DG1013" s="650"/>
      <c r="DH1013" s="650"/>
    </row>
    <row r="1014" s="548" customFormat="1" ht="31" customHeight="1" spans="1:112">
      <c r="A1014" s="641">
        <v>45982</v>
      </c>
      <c r="B1014" s="642" t="s">
        <v>1922</v>
      </c>
      <c r="C1014" s="246" t="s">
        <v>154</v>
      </c>
      <c r="D1014" s="551">
        <v>4500186500</v>
      </c>
      <c r="E1014" s="246" t="s">
        <v>2851</v>
      </c>
      <c r="F1014" s="551" t="s">
        <v>2852</v>
      </c>
      <c r="G1014" s="246" t="s">
        <v>6337</v>
      </c>
      <c r="H1014" s="246" t="s">
        <v>477</v>
      </c>
      <c r="I1014" s="704">
        <v>504</v>
      </c>
      <c r="J1014" s="246">
        <v>0</v>
      </c>
      <c r="K1014" s="246">
        <v>6</v>
      </c>
      <c r="L1014" s="644">
        <f t="shared" si="381"/>
        <v>84</v>
      </c>
      <c r="M1014" s="645">
        <v>46044</v>
      </c>
      <c r="N1014" s="645">
        <v>46041</v>
      </c>
      <c r="O1014" s="246"/>
      <c r="P1014" s="643" t="s">
        <v>113</v>
      </c>
      <c r="Q1014" s="246"/>
      <c r="R1014" s="646" t="s">
        <v>463</v>
      </c>
      <c r="S1014" s="646" t="s">
        <v>104</v>
      </c>
      <c r="T1014" s="646" t="s">
        <v>1993</v>
      </c>
      <c r="U1014" s="646"/>
      <c r="V1014" s="646"/>
      <c r="W1014" s="615"/>
      <c r="X1014" s="642" t="s">
        <v>2854</v>
      </c>
      <c r="Y1014" s="642" t="s">
        <v>2855</v>
      </c>
      <c r="Z1014" s="655">
        <v>7.1628</v>
      </c>
      <c r="AA1014" s="647">
        <f t="shared" si="392"/>
        <v>3610.0512</v>
      </c>
      <c r="AC1014" s="648"/>
      <c r="AD1014" s="246" t="s">
        <v>480</v>
      </c>
      <c r="AE1014" s="246" t="s">
        <v>82</v>
      </c>
      <c r="AF1014" s="246"/>
      <c r="AG1014" s="642"/>
      <c r="AH1014" s="642">
        <v>1</v>
      </c>
      <c r="AI1014" s="246">
        <v>504</v>
      </c>
      <c r="AJ1014" s="246">
        <f t="shared" si="393"/>
        <v>0</v>
      </c>
      <c r="AK1014" s="246"/>
      <c r="AL1014" s="246"/>
      <c r="AM1014" s="246"/>
      <c r="AN1014" s="246"/>
      <c r="AO1014" s="554">
        <f>I1014*2</f>
        <v>1008</v>
      </c>
      <c r="AP1014" s="551"/>
      <c r="AQ1014" s="551"/>
      <c r="AR1014" s="650"/>
      <c r="AS1014" s="551"/>
      <c r="AT1014" s="554">
        <f>I1014*2</f>
        <v>1008</v>
      </c>
      <c r="AU1014" s="551"/>
      <c r="AV1014" s="554">
        <f>I1014*2</f>
        <v>1008</v>
      </c>
      <c r="AW1014" s="650"/>
      <c r="AX1014" s="551"/>
      <c r="AY1014" s="551"/>
      <c r="AZ1014" s="551"/>
      <c r="BA1014" s="551"/>
      <c r="BB1014" s="620">
        <f>I1014/24*2</f>
        <v>42</v>
      </c>
      <c r="BC1014" s="651"/>
      <c r="BD1014" s="551"/>
      <c r="BE1014" s="551"/>
      <c r="BF1014" s="551"/>
      <c r="BH1014" s="551"/>
      <c r="BI1014" s="551"/>
      <c r="BJ1014" s="551"/>
      <c r="BK1014" s="551"/>
      <c r="BL1014" s="551"/>
      <c r="BM1014" s="551"/>
      <c r="BN1014" s="551"/>
      <c r="BO1014" s="551"/>
      <c r="BP1014" s="551"/>
      <c r="BQ1014" s="551"/>
      <c r="BR1014" s="551"/>
      <c r="BS1014" s="551"/>
      <c r="BT1014" s="551"/>
      <c r="BU1014" s="551"/>
      <c r="BV1014" s="551"/>
      <c r="BW1014" s="551"/>
      <c r="BX1014" s="551"/>
      <c r="BY1014" s="650"/>
      <c r="BZ1014" s="551">
        <f>I1014</f>
        <v>504</v>
      </c>
      <c r="CA1014" s="652"/>
      <c r="CB1014" s="567"/>
      <c r="CC1014" s="653"/>
      <c r="CD1014" s="650"/>
      <c r="CE1014" s="650"/>
      <c r="CF1014" s="551"/>
      <c r="CG1014" s="551"/>
      <c r="CI1014" s="551"/>
      <c r="CJ1014" s="551"/>
      <c r="CK1014" s="551"/>
      <c r="CL1014" s="551"/>
      <c r="CM1014" s="551"/>
      <c r="CN1014" s="551"/>
      <c r="CO1014" s="551"/>
      <c r="CP1014" s="551"/>
      <c r="CQ1014" s="551"/>
      <c r="CR1014" s="551"/>
      <c r="CS1014" s="551"/>
      <c r="CT1014" s="551"/>
      <c r="CU1014" s="554">
        <f t="shared" si="373"/>
        <v>0</v>
      </c>
      <c r="CV1014" s="551">
        <f t="shared" si="395"/>
        <v>0</v>
      </c>
      <c r="CW1014" s="551">
        <f t="shared" si="396"/>
        <v>0</v>
      </c>
      <c r="CX1014" s="650"/>
      <c r="CY1014" s="650"/>
      <c r="CZ1014" s="650"/>
      <c r="DA1014" s="551"/>
      <c r="DB1014" s="551"/>
      <c r="DC1014" s="551"/>
      <c r="DD1014" s="650"/>
      <c r="DE1014" s="650"/>
      <c r="DF1014" s="650"/>
      <c r="DG1014" s="650"/>
      <c r="DH1014" s="650"/>
    </row>
    <row r="1015" s="548" customFormat="1" ht="31" customHeight="1" spans="1:112">
      <c r="A1015" s="641">
        <v>45999</v>
      </c>
      <c r="B1015" s="642" t="s">
        <v>404</v>
      </c>
      <c r="C1015" s="246" t="s">
        <v>278</v>
      </c>
      <c r="D1015" s="551">
        <v>4500188088</v>
      </c>
      <c r="E1015" s="246">
        <v>181262</v>
      </c>
      <c r="F1015" s="551" t="s">
        <v>8601</v>
      </c>
      <c r="G1015" s="246" t="s">
        <v>6025</v>
      </c>
      <c r="H1015" s="246" t="s">
        <v>6026</v>
      </c>
      <c r="I1015" s="704">
        <v>1512</v>
      </c>
      <c r="J1015" s="246">
        <v>0</v>
      </c>
      <c r="K1015" s="246">
        <v>24</v>
      </c>
      <c r="L1015" s="644">
        <f t="shared" si="381"/>
        <v>63</v>
      </c>
      <c r="M1015" s="645">
        <v>46044</v>
      </c>
      <c r="N1015" s="645">
        <v>46041</v>
      </c>
      <c r="O1015" s="246"/>
      <c r="P1015" s="643" t="s">
        <v>113</v>
      </c>
      <c r="Q1015" s="246"/>
      <c r="R1015" s="646">
        <v>45999</v>
      </c>
      <c r="S1015" s="646" t="s">
        <v>70</v>
      </c>
      <c r="T1015" s="646" t="s">
        <v>2495</v>
      </c>
      <c r="U1015" s="646"/>
      <c r="V1015" s="646"/>
      <c r="W1015" s="615"/>
      <c r="X1015" s="642" t="s">
        <v>8602</v>
      </c>
      <c r="Y1015" s="642" t="s">
        <v>505</v>
      </c>
      <c r="Z1015" s="655">
        <v>0.8656</v>
      </c>
      <c r="AA1015" s="647">
        <f t="shared" si="392"/>
        <v>1308.7872</v>
      </c>
      <c r="AC1015" s="648"/>
      <c r="AD1015" s="246" t="s">
        <v>6025</v>
      </c>
      <c r="AE1015" s="246" t="s">
        <v>82</v>
      </c>
      <c r="AF1015" s="246"/>
      <c r="AG1015" s="642"/>
      <c r="AH1015" s="642">
        <v>1</v>
      </c>
      <c r="AI1015" s="246">
        <v>1512</v>
      </c>
      <c r="AJ1015" s="246">
        <f t="shared" si="393"/>
        <v>0</v>
      </c>
      <c r="AK1015" s="246"/>
      <c r="AL1015" s="246" t="s">
        <v>2368</v>
      </c>
      <c r="AM1015" s="246"/>
      <c r="AN1015" s="246"/>
      <c r="AO1015" s="551">
        <f>I1015</f>
        <v>1512</v>
      </c>
      <c r="AP1015" s="551"/>
      <c r="AQ1015" s="551"/>
      <c r="AR1015" s="650"/>
      <c r="AS1015" s="551"/>
      <c r="AT1015" s="554">
        <f>I1015</f>
        <v>1512</v>
      </c>
      <c r="AU1015" s="663"/>
      <c r="AV1015" s="554">
        <f>I1015</f>
        <v>1512</v>
      </c>
      <c r="AW1015" s="650"/>
      <c r="AX1015" s="551"/>
      <c r="AY1015" s="551"/>
      <c r="AZ1015" s="551"/>
      <c r="BA1015" s="551"/>
      <c r="BB1015" s="620">
        <f>I1015/24</f>
        <v>63</v>
      </c>
      <c r="BC1015" s="651"/>
      <c r="BD1015" s="551"/>
      <c r="BE1015" s="551"/>
      <c r="BF1015" s="551"/>
      <c r="BH1015" s="551"/>
      <c r="BI1015" s="551"/>
      <c r="BJ1015" s="551"/>
      <c r="BK1015" s="551"/>
      <c r="BL1015" s="551"/>
      <c r="BM1015" s="551"/>
      <c r="BN1015" s="551"/>
      <c r="BO1015" s="551"/>
      <c r="BP1015" s="551"/>
      <c r="BQ1015" s="551"/>
      <c r="BR1015" s="551"/>
      <c r="BS1015" s="551"/>
      <c r="BT1015" s="551"/>
      <c r="BU1015" s="551"/>
      <c r="BV1015" s="551"/>
      <c r="BW1015" s="551"/>
      <c r="BX1015" s="551"/>
      <c r="BY1015" s="650"/>
      <c r="BZ1015" s="551"/>
      <c r="CA1015" s="652"/>
      <c r="CB1015" s="567"/>
      <c r="CC1015" s="653"/>
      <c r="CD1015" s="650"/>
      <c r="CE1015" s="650"/>
      <c r="CF1015" s="551"/>
      <c r="CG1015" s="551"/>
      <c r="CI1015" s="551"/>
      <c r="CJ1015" s="551"/>
      <c r="CK1015" s="551"/>
      <c r="CL1015" s="551"/>
      <c r="CM1015" s="551"/>
      <c r="CN1015" s="551"/>
      <c r="CO1015" s="551"/>
      <c r="CP1015" s="551"/>
      <c r="CQ1015" s="551"/>
      <c r="CR1015" s="551"/>
      <c r="CS1015" s="551"/>
      <c r="CT1015" s="551"/>
      <c r="CU1015" s="554">
        <f t="shared" si="373"/>
        <v>0</v>
      </c>
      <c r="CV1015" s="551">
        <f t="shared" si="395"/>
        <v>0</v>
      </c>
      <c r="CW1015" s="551">
        <f t="shared" si="396"/>
        <v>0</v>
      </c>
      <c r="CX1015" s="650"/>
      <c r="CY1015" s="650"/>
      <c r="CZ1015" s="650"/>
      <c r="DA1015" s="548"/>
      <c r="DB1015" s="548"/>
      <c r="DC1015" s="548"/>
      <c r="DD1015" s="650"/>
      <c r="DE1015" s="650"/>
      <c r="DF1015" s="650"/>
      <c r="DG1015" s="650"/>
      <c r="DH1015" s="650"/>
    </row>
    <row r="1016" s="548" customFormat="1" ht="31" customHeight="1" spans="1:112">
      <c r="A1016" s="641">
        <v>45985</v>
      </c>
      <c r="B1016" s="642" t="s">
        <v>3008</v>
      </c>
      <c r="C1016" s="246" t="s">
        <v>98</v>
      </c>
      <c r="D1016" s="551">
        <v>4500186641</v>
      </c>
      <c r="E1016" s="246" t="s">
        <v>3009</v>
      </c>
      <c r="F1016" s="551" t="s">
        <v>8603</v>
      </c>
      <c r="G1016" s="246" t="s">
        <v>6032</v>
      </c>
      <c r="H1016" s="246" t="s">
        <v>6033</v>
      </c>
      <c r="I1016" s="704">
        <v>40040</v>
      </c>
      <c r="J1016" s="246">
        <v>0</v>
      </c>
      <c r="K1016" s="246">
        <v>52</v>
      </c>
      <c r="L1016" s="644">
        <f t="shared" si="381"/>
        <v>770</v>
      </c>
      <c r="M1016" s="645">
        <v>46045</v>
      </c>
      <c r="N1016" s="645">
        <v>46041</v>
      </c>
      <c r="O1016" s="246"/>
      <c r="P1016" s="643" t="s">
        <v>113</v>
      </c>
      <c r="Q1016" s="246"/>
      <c r="R1016" s="646">
        <v>45992</v>
      </c>
      <c r="S1016" s="646" t="s">
        <v>70</v>
      </c>
      <c r="T1016" s="646" t="s">
        <v>8604</v>
      </c>
      <c r="U1016" s="646"/>
      <c r="V1016" s="646"/>
      <c r="W1016" s="615"/>
      <c r="X1016" s="642" t="s">
        <v>3012</v>
      </c>
      <c r="Y1016" s="642" t="s">
        <v>1372</v>
      </c>
      <c r="Z1016" s="655">
        <v>0.5399</v>
      </c>
      <c r="AA1016" s="647">
        <f t="shared" si="392"/>
        <v>21617.596</v>
      </c>
      <c r="AC1016" s="658" t="s">
        <v>8605</v>
      </c>
      <c r="AD1016" s="246" t="s">
        <v>6032</v>
      </c>
      <c r="AE1016" s="246" t="s">
        <v>82</v>
      </c>
      <c r="AF1016" s="246"/>
      <c r="AG1016" s="642"/>
      <c r="AH1016" s="642">
        <v>1</v>
      </c>
      <c r="AI1016" s="246">
        <v>40040</v>
      </c>
      <c r="AJ1016" s="246">
        <f t="shared" si="393"/>
        <v>0</v>
      </c>
      <c r="AK1016" s="246"/>
      <c r="AL1016" s="246" t="s">
        <v>2368</v>
      </c>
      <c r="AM1016" s="246"/>
      <c r="AN1016" s="246">
        <f>I1016</f>
        <v>40040</v>
      </c>
      <c r="AO1016" s="551"/>
      <c r="AP1016" s="554">
        <f>I1016</f>
        <v>40040</v>
      </c>
      <c r="AQ1016" s="551"/>
      <c r="AR1016" s="650"/>
      <c r="AS1016" s="551"/>
      <c r="AT1016" s="551"/>
      <c r="AU1016" s="554">
        <f>I1016</f>
        <v>40040</v>
      </c>
      <c r="AV1016" s="551"/>
      <c r="AW1016" s="650"/>
      <c r="AX1016" s="551"/>
      <c r="AY1016" s="551"/>
      <c r="AZ1016" s="551"/>
      <c r="BA1016" s="551"/>
      <c r="BB1016" s="249">
        <f t="shared" ref="BB1015:BB1020" si="397">I1016/24</f>
        <v>1668.33333333333</v>
      </c>
      <c r="BC1016" s="651"/>
      <c r="BD1016" s="551"/>
      <c r="BE1016" s="551"/>
      <c r="BF1016" s="551"/>
      <c r="BH1016" s="551"/>
      <c r="BI1016" s="551"/>
      <c r="BJ1016" s="551"/>
      <c r="BK1016" s="551">
        <f>I1016/13</f>
        <v>3080</v>
      </c>
      <c r="BL1016" s="551"/>
      <c r="BM1016" s="551"/>
      <c r="BN1016" s="551"/>
      <c r="BO1016" s="551"/>
      <c r="BP1016" s="551"/>
      <c r="BQ1016" s="551"/>
      <c r="BR1016" s="551"/>
      <c r="BS1016" s="551"/>
      <c r="BT1016" s="551"/>
      <c r="BU1016" s="551"/>
      <c r="BV1016" s="551"/>
      <c r="BW1016" s="551"/>
      <c r="BX1016" s="551"/>
      <c r="BY1016" s="650"/>
      <c r="BZ1016" s="551"/>
      <c r="CA1016" s="652"/>
      <c r="CB1016" s="567"/>
      <c r="CC1016" s="653"/>
      <c r="CD1016" s="650"/>
      <c r="CE1016" s="650"/>
      <c r="CF1016" s="551"/>
      <c r="CG1016" s="551"/>
      <c r="CI1016" s="551"/>
      <c r="CJ1016" s="551"/>
      <c r="CK1016" s="551"/>
      <c r="CL1016" s="551"/>
      <c r="CM1016" s="551"/>
      <c r="CN1016" s="551"/>
      <c r="CO1016" s="551"/>
      <c r="CP1016" s="551"/>
      <c r="CQ1016" s="551"/>
      <c r="CR1016" s="551"/>
      <c r="CS1016" s="551"/>
      <c r="CT1016" s="551"/>
      <c r="CU1016" s="554">
        <f t="shared" si="373"/>
        <v>0</v>
      </c>
      <c r="CV1016" s="551">
        <f t="shared" si="395"/>
        <v>0</v>
      </c>
      <c r="CW1016" s="551">
        <f t="shared" si="396"/>
        <v>0</v>
      </c>
      <c r="CX1016" s="650"/>
      <c r="CY1016" s="650"/>
      <c r="CZ1016" s="650"/>
      <c r="DA1016" s="548"/>
      <c r="DB1016" s="548"/>
      <c r="DC1016" s="548"/>
      <c r="DD1016" s="650"/>
      <c r="DE1016" s="650"/>
      <c r="DF1016" s="650"/>
      <c r="DG1016" s="650"/>
      <c r="DH1016" s="650"/>
    </row>
    <row r="1017" s="548" customFormat="1" ht="31" customHeight="1" spans="1:112">
      <c r="A1017" s="641">
        <v>45980</v>
      </c>
      <c r="B1017" s="642" t="s">
        <v>1772</v>
      </c>
      <c r="C1017" s="246" t="s">
        <v>278</v>
      </c>
      <c r="D1017" s="551">
        <v>4500185077</v>
      </c>
      <c r="E1017" s="246" t="s">
        <v>2887</v>
      </c>
      <c r="F1017" s="551" t="s">
        <v>8606</v>
      </c>
      <c r="G1017" s="246" t="s">
        <v>6318</v>
      </c>
      <c r="H1017" s="246" t="s">
        <v>6319</v>
      </c>
      <c r="I1017" s="704">
        <v>1500</v>
      </c>
      <c r="J1017" s="246">
        <v>25</v>
      </c>
      <c r="K1017" s="246">
        <v>50</v>
      </c>
      <c r="L1017" s="644">
        <f t="shared" si="381"/>
        <v>30</v>
      </c>
      <c r="M1017" s="645">
        <v>46045</v>
      </c>
      <c r="N1017" s="645">
        <v>46041</v>
      </c>
      <c r="O1017" s="246"/>
      <c r="P1017" s="643" t="s">
        <v>113</v>
      </c>
      <c r="Q1017" s="246"/>
      <c r="R1017" s="646">
        <v>45981</v>
      </c>
      <c r="S1017" s="646" t="s">
        <v>70</v>
      </c>
      <c r="T1017" s="646" t="s">
        <v>70</v>
      </c>
      <c r="U1017" s="646"/>
      <c r="V1017" s="646"/>
      <c r="W1017" s="615"/>
      <c r="X1017" s="628" t="s">
        <v>8607</v>
      </c>
      <c r="Y1017" s="642" t="s">
        <v>2890</v>
      </c>
      <c r="Z1017" s="655">
        <v>0.9678</v>
      </c>
      <c r="AA1017" s="647">
        <f t="shared" si="392"/>
        <v>1451.7</v>
      </c>
      <c r="AC1017" s="648"/>
      <c r="AD1017" s="246" t="s">
        <v>6318</v>
      </c>
      <c r="AE1017" s="246" t="s">
        <v>82</v>
      </c>
      <c r="AF1017" s="246"/>
      <c r="AG1017" s="642"/>
      <c r="AH1017" s="642">
        <v>1</v>
      </c>
      <c r="AI1017" s="246">
        <v>1500</v>
      </c>
      <c r="AJ1017" s="246">
        <f t="shared" si="393"/>
        <v>0</v>
      </c>
      <c r="AK1017" s="246"/>
      <c r="AL1017" s="246" t="s">
        <v>2368</v>
      </c>
      <c r="AM1017" s="246"/>
      <c r="AN1017" s="246"/>
      <c r="AO1017" s="551">
        <f>I1017</f>
        <v>1500</v>
      </c>
      <c r="AP1017" s="551"/>
      <c r="AQ1017" s="551"/>
      <c r="AR1017" s="650"/>
      <c r="AS1017" s="551"/>
      <c r="AT1017" s="554">
        <f>I1017</f>
        <v>1500</v>
      </c>
      <c r="AU1017" s="551"/>
      <c r="AV1017" s="554">
        <f>I1017</f>
        <v>1500</v>
      </c>
      <c r="AW1017" s="650"/>
      <c r="AX1017" s="551"/>
      <c r="AY1017" s="551"/>
      <c r="AZ1017" s="551"/>
      <c r="BA1017" s="551"/>
      <c r="BB1017" s="620">
        <f t="shared" si="397"/>
        <v>62.5</v>
      </c>
      <c r="BC1017" s="651"/>
      <c r="BD1017" s="551"/>
      <c r="BE1017" s="551"/>
      <c r="BF1017" s="551"/>
      <c r="BH1017" s="551"/>
      <c r="BI1017" s="551"/>
      <c r="BJ1017" s="551"/>
      <c r="BK1017" s="551"/>
      <c r="BL1017" s="551"/>
      <c r="BM1017" s="551"/>
      <c r="BN1017" s="551"/>
      <c r="BO1017" s="551"/>
      <c r="BP1017" s="551">
        <f>I1017/25</f>
        <v>60</v>
      </c>
      <c r="BQ1017" s="551"/>
      <c r="BR1017" s="551"/>
      <c r="BS1017" s="551"/>
      <c r="BT1017" s="551"/>
      <c r="BU1017" s="551"/>
      <c r="BV1017" s="551"/>
      <c r="BW1017" s="551"/>
      <c r="BX1017" s="551"/>
      <c r="BY1017" s="650"/>
      <c r="BZ1017" s="551"/>
      <c r="CA1017" s="652"/>
      <c r="CB1017" s="567"/>
      <c r="CC1017" s="653"/>
      <c r="CD1017" s="650"/>
      <c r="CE1017" s="650"/>
      <c r="CF1017" s="551"/>
      <c r="CG1017" s="551"/>
      <c r="CI1017" s="551"/>
      <c r="CJ1017" s="551"/>
      <c r="CK1017" s="551"/>
      <c r="CL1017" s="551"/>
      <c r="CM1017" s="551"/>
      <c r="CN1017" s="551"/>
      <c r="CO1017" s="551"/>
      <c r="CP1017" s="551"/>
      <c r="CQ1017" s="551"/>
      <c r="CR1017" s="551"/>
      <c r="CS1017" s="551"/>
      <c r="CT1017" s="551"/>
      <c r="CU1017" s="554">
        <f t="shared" si="373"/>
        <v>60</v>
      </c>
      <c r="CV1017" s="551">
        <f t="shared" si="395"/>
        <v>0</v>
      </c>
      <c r="CW1017" s="551">
        <f t="shared" si="396"/>
        <v>0</v>
      </c>
      <c r="CX1017" s="650"/>
      <c r="CY1017" s="650"/>
      <c r="CZ1017" s="650"/>
      <c r="DA1017" s="548"/>
      <c r="DB1017" s="548"/>
      <c r="DC1017" s="548"/>
      <c r="DD1017" s="650"/>
      <c r="DE1017" s="650"/>
      <c r="DF1017" s="650"/>
      <c r="DG1017" s="650"/>
      <c r="DH1017" s="650"/>
    </row>
    <row r="1018" s="548" customFormat="1" ht="31" customHeight="1" spans="1:112">
      <c r="A1018" s="641">
        <v>45982</v>
      </c>
      <c r="B1018" s="642" t="s">
        <v>1004</v>
      </c>
      <c r="C1018" s="246" t="s">
        <v>98</v>
      </c>
      <c r="D1018" s="551">
        <v>4500186456</v>
      </c>
      <c r="E1018" s="246" t="s">
        <v>8608</v>
      </c>
      <c r="F1018" s="551" t="s">
        <v>8609</v>
      </c>
      <c r="G1018" s="246" t="s">
        <v>6166</v>
      </c>
      <c r="H1018" s="246" t="s">
        <v>6094</v>
      </c>
      <c r="I1018" s="704">
        <v>780</v>
      </c>
      <c r="J1018" s="246">
        <v>0</v>
      </c>
      <c r="K1018" s="246">
        <v>13</v>
      </c>
      <c r="L1018" s="644">
        <f t="shared" si="381"/>
        <v>60</v>
      </c>
      <c r="M1018" s="645">
        <v>46048</v>
      </c>
      <c r="N1018" s="645">
        <v>46044</v>
      </c>
      <c r="O1018" s="246"/>
      <c r="P1018" s="643" t="s">
        <v>113</v>
      </c>
      <c r="Q1018" s="246"/>
      <c r="R1018" s="646">
        <v>45995</v>
      </c>
      <c r="S1018" s="646" t="s">
        <v>70</v>
      </c>
      <c r="T1018" s="646" t="s">
        <v>70</v>
      </c>
      <c r="U1018" s="646"/>
      <c r="V1018" s="646"/>
      <c r="W1018" s="615"/>
      <c r="X1018" s="642" t="s">
        <v>2866</v>
      </c>
      <c r="Y1018" s="642" t="s">
        <v>882</v>
      </c>
      <c r="Z1018" s="655">
        <v>0.5559</v>
      </c>
      <c r="AA1018" s="647">
        <f t="shared" si="392"/>
        <v>433.602</v>
      </c>
      <c r="AC1018" s="658" t="s">
        <v>8610</v>
      </c>
      <c r="AD1018" s="246" t="s">
        <v>6257</v>
      </c>
      <c r="AE1018" s="246" t="s">
        <v>82</v>
      </c>
      <c r="AF1018" s="246"/>
      <c r="AG1018" s="642"/>
      <c r="AH1018" s="642">
        <v>1</v>
      </c>
      <c r="AI1018" s="246">
        <v>780</v>
      </c>
      <c r="AJ1018" s="246">
        <f t="shared" si="393"/>
        <v>0</v>
      </c>
      <c r="AK1018" s="246"/>
      <c r="AL1018" s="246"/>
      <c r="AM1018" s="246"/>
      <c r="AN1018" s="246">
        <f>I1018</f>
        <v>780</v>
      </c>
      <c r="AO1018" s="551"/>
      <c r="AP1018" s="554">
        <f>I1018</f>
        <v>780</v>
      </c>
      <c r="AQ1018" s="551"/>
      <c r="AR1018" s="650"/>
      <c r="AS1018" s="551"/>
      <c r="AT1018" s="551"/>
      <c r="AU1018" s="554">
        <f>I1018</f>
        <v>780</v>
      </c>
      <c r="AV1018" s="551"/>
      <c r="AW1018" s="650"/>
      <c r="AX1018" s="551"/>
      <c r="AY1018" s="551"/>
      <c r="AZ1018" s="551"/>
      <c r="BA1018" s="551"/>
      <c r="BB1018" s="249">
        <f t="shared" si="397"/>
        <v>32.5</v>
      </c>
      <c r="BC1018" s="651"/>
      <c r="BD1018" s="551"/>
      <c r="BE1018" s="551"/>
      <c r="BF1018" s="551"/>
      <c r="BH1018" s="551"/>
      <c r="BI1018" s="551"/>
      <c r="BJ1018" s="551"/>
      <c r="BK1018" s="551">
        <f>I1018/13</f>
        <v>60</v>
      </c>
      <c r="BL1018" s="551"/>
      <c r="BM1018" s="551"/>
      <c r="BN1018" s="551"/>
      <c r="BO1018" s="551"/>
      <c r="BP1018" s="551"/>
      <c r="BQ1018" s="551"/>
      <c r="BR1018" s="551"/>
      <c r="BS1018" s="551"/>
      <c r="BT1018" s="551"/>
      <c r="BU1018" s="551"/>
      <c r="BV1018" s="551"/>
      <c r="BW1018" s="551"/>
      <c r="BX1018" s="551"/>
      <c r="BY1018" s="650"/>
      <c r="BZ1018" s="551"/>
      <c r="CA1018" s="652"/>
      <c r="CB1018" s="567"/>
      <c r="CC1018" s="653"/>
      <c r="CD1018" s="650"/>
      <c r="CE1018" s="650"/>
      <c r="CF1018" s="551"/>
      <c r="CG1018" s="551"/>
      <c r="CI1018" s="551"/>
      <c r="CJ1018" s="551"/>
      <c r="CK1018" s="551"/>
      <c r="CL1018" s="551"/>
      <c r="CM1018" s="551"/>
      <c r="CN1018" s="551"/>
      <c r="CO1018" s="551"/>
      <c r="CP1018" s="551"/>
      <c r="CQ1018" s="551"/>
      <c r="CR1018" s="551"/>
      <c r="CS1018" s="551"/>
      <c r="CT1018" s="551"/>
      <c r="CU1018" s="554">
        <f t="shared" si="373"/>
        <v>0</v>
      </c>
      <c r="CV1018" s="551">
        <f t="shared" si="395"/>
        <v>0</v>
      </c>
      <c r="CW1018" s="551">
        <f t="shared" si="396"/>
        <v>0</v>
      </c>
      <c r="CX1018" s="650"/>
      <c r="CY1018" s="650"/>
      <c r="CZ1018" s="650"/>
      <c r="DA1018" s="548"/>
      <c r="DB1018" s="548"/>
      <c r="DC1018" s="548"/>
      <c r="DD1018" s="650"/>
      <c r="DE1018" s="650"/>
      <c r="DF1018" s="650"/>
      <c r="DG1018" s="650"/>
      <c r="DH1018" s="650"/>
    </row>
    <row r="1019" s="548" customFormat="1" ht="31" customHeight="1" spans="1:112">
      <c r="A1019" s="641">
        <v>45972</v>
      </c>
      <c r="B1019" s="642" t="s">
        <v>8048</v>
      </c>
      <c r="C1019" s="246" t="s">
        <v>98</v>
      </c>
      <c r="D1019" s="551">
        <v>4500185170</v>
      </c>
      <c r="E1019" s="246" t="s">
        <v>8611</v>
      </c>
      <c r="F1019" s="551" t="s">
        <v>8612</v>
      </c>
      <c r="G1019" s="246" t="s">
        <v>8051</v>
      </c>
      <c r="H1019" s="246" t="s">
        <v>6102</v>
      </c>
      <c r="I1019" s="704">
        <v>21180</v>
      </c>
      <c r="J1019" s="246">
        <v>0</v>
      </c>
      <c r="K1019" s="246">
        <v>6</v>
      </c>
      <c r="L1019" s="644">
        <f t="shared" si="381"/>
        <v>3530</v>
      </c>
      <c r="M1019" s="645">
        <v>46043</v>
      </c>
      <c r="N1019" s="645">
        <v>46039</v>
      </c>
      <c r="O1019" s="246"/>
      <c r="P1019" s="643" t="s">
        <v>113</v>
      </c>
      <c r="Q1019" s="246"/>
      <c r="R1019" s="646">
        <v>45982</v>
      </c>
      <c r="S1019" s="646" t="s">
        <v>104</v>
      </c>
      <c r="T1019" s="646" t="s">
        <v>8613</v>
      </c>
      <c r="U1019" s="646"/>
      <c r="V1019" s="646"/>
      <c r="W1019" s="615"/>
      <c r="X1019" s="642" t="s">
        <v>8614</v>
      </c>
      <c r="Y1019" s="642" t="s">
        <v>8055</v>
      </c>
      <c r="Z1019" s="655">
        <v>0.5789</v>
      </c>
      <c r="AA1019" s="647">
        <f t="shared" si="392"/>
        <v>12261.102</v>
      </c>
      <c r="AC1019" s="698" t="s">
        <v>8615</v>
      </c>
      <c r="AD1019" s="246" t="s">
        <v>8051</v>
      </c>
      <c r="AE1019" s="246" t="s">
        <v>82</v>
      </c>
      <c r="AF1019" s="246"/>
      <c r="AG1019" s="642"/>
      <c r="AH1019" s="642">
        <v>1</v>
      </c>
      <c r="AI1019" s="246">
        <v>21180</v>
      </c>
      <c r="AJ1019" s="246">
        <f t="shared" si="393"/>
        <v>0</v>
      </c>
      <c r="AK1019" s="246"/>
      <c r="AL1019" s="246"/>
      <c r="AM1019" s="246"/>
      <c r="AN1019" s="246">
        <f>I1019</f>
        <v>21180</v>
      </c>
      <c r="AO1019" s="551"/>
      <c r="AP1019" s="554">
        <f>I1019</f>
        <v>21180</v>
      </c>
      <c r="AQ1019" s="551"/>
      <c r="AR1019" s="650"/>
      <c r="AS1019" s="551"/>
      <c r="AT1019" s="551"/>
      <c r="AU1019" s="554">
        <f>I1019</f>
        <v>21180</v>
      </c>
      <c r="AV1019" s="551"/>
      <c r="AW1019" s="650"/>
      <c r="AX1019" s="551"/>
      <c r="AY1019" s="551"/>
      <c r="AZ1019" s="551"/>
      <c r="BA1019" s="551"/>
      <c r="BB1019" s="249">
        <f t="shared" si="397"/>
        <v>882.5</v>
      </c>
      <c r="BC1019" s="651"/>
      <c r="BD1019" s="551"/>
      <c r="BE1019" s="551"/>
      <c r="BF1019" s="551"/>
      <c r="BH1019" s="551"/>
      <c r="BI1019" s="551"/>
      <c r="BJ1019" s="551"/>
      <c r="BK1019" s="551"/>
      <c r="BL1019" s="551"/>
      <c r="BM1019" s="551"/>
      <c r="BN1019" s="551"/>
      <c r="BO1019" s="551"/>
      <c r="BP1019" s="551"/>
      <c r="BQ1019" s="551"/>
      <c r="BR1019" s="551"/>
      <c r="BS1019" s="551"/>
      <c r="BT1019" s="551">
        <f>L1019</f>
        <v>3530</v>
      </c>
      <c r="BU1019" s="551"/>
      <c r="BV1019" s="551"/>
      <c r="BW1019" s="551"/>
      <c r="BX1019" s="551"/>
      <c r="BY1019" s="650"/>
      <c r="BZ1019" s="551"/>
      <c r="CA1019" s="652"/>
      <c r="CB1019" s="567"/>
      <c r="CC1019" s="653"/>
      <c r="CD1019" s="650"/>
      <c r="CE1019" s="650"/>
      <c r="CF1019" s="551"/>
      <c r="CG1019" s="551"/>
      <c r="CI1019" s="551"/>
      <c r="CJ1019" s="551"/>
      <c r="CK1019" s="551"/>
      <c r="CL1019" s="551"/>
      <c r="CM1019" s="551"/>
      <c r="CN1019" s="551"/>
      <c r="CO1019" s="551"/>
      <c r="CP1019" s="551"/>
      <c r="CQ1019" s="551"/>
      <c r="CR1019" s="551"/>
      <c r="CS1019" s="551"/>
      <c r="CT1019" s="551"/>
      <c r="CU1019" s="554">
        <f t="shared" si="373"/>
        <v>0</v>
      </c>
      <c r="CV1019" s="663">
        <f t="shared" si="395"/>
        <v>0</v>
      </c>
      <c r="CW1019" s="663">
        <f t="shared" si="396"/>
        <v>0</v>
      </c>
      <c r="CX1019" s="650"/>
      <c r="CY1019" s="650"/>
      <c r="CZ1019" s="650"/>
      <c r="DA1019" s="548"/>
      <c r="DB1019" s="548"/>
      <c r="DC1019" s="548"/>
      <c r="DD1019" s="650"/>
      <c r="DE1019" s="650"/>
      <c r="DF1019" s="650"/>
      <c r="DG1019" s="650"/>
      <c r="DH1019" s="650"/>
    </row>
    <row r="1020" s="548" customFormat="1" ht="31" customHeight="1" spans="1:112">
      <c r="A1020" s="641">
        <v>45996</v>
      </c>
      <c r="B1020" s="642" t="s">
        <v>1214</v>
      </c>
      <c r="C1020" s="246" t="s">
        <v>524</v>
      </c>
      <c r="D1020" s="551">
        <v>4500188145</v>
      </c>
      <c r="E1020" s="246">
        <v>5120008</v>
      </c>
      <c r="F1020" s="551" t="s">
        <v>8616</v>
      </c>
      <c r="G1020" s="246" t="s">
        <v>6043</v>
      </c>
      <c r="H1020" s="246" t="s">
        <v>6110</v>
      </c>
      <c r="I1020" s="704">
        <v>3500</v>
      </c>
      <c r="J1020" s="246">
        <v>0</v>
      </c>
      <c r="K1020" s="246">
        <v>50</v>
      </c>
      <c r="L1020" s="644">
        <f t="shared" si="381"/>
        <v>70</v>
      </c>
      <c r="M1020" s="645">
        <v>46043</v>
      </c>
      <c r="N1020" s="645">
        <v>46039</v>
      </c>
      <c r="O1020" s="246"/>
      <c r="P1020" s="643" t="s">
        <v>113</v>
      </c>
      <c r="Q1020" s="246"/>
      <c r="R1020" s="646">
        <v>46016</v>
      </c>
      <c r="S1020" s="646" t="s">
        <v>70</v>
      </c>
      <c r="T1020" s="646" t="s">
        <v>8277</v>
      </c>
      <c r="U1020" s="646"/>
      <c r="V1020" s="646"/>
      <c r="W1020" s="615"/>
      <c r="X1020" s="628" t="s">
        <v>8617</v>
      </c>
      <c r="Y1020" s="642" t="s">
        <v>340</v>
      </c>
      <c r="Z1020" s="655">
        <v>0.941</v>
      </c>
      <c r="AA1020" s="647">
        <f t="shared" si="392"/>
        <v>3293.5</v>
      </c>
      <c r="AC1020" s="648"/>
      <c r="AD1020" s="246" t="s">
        <v>6043</v>
      </c>
      <c r="AE1020" s="246" t="s">
        <v>82</v>
      </c>
      <c r="AF1020" s="246"/>
      <c r="AG1020" s="642"/>
      <c r="AH1020" s="642">
        <v>1</v>
      </c>
      <c r="AI1020" s="246">
        <v>3500</v>
      </c>
      <c r="AJ1020" s="246">
        <f t="shared" si="393"/>
        <v>0</v>
      </c>
      <c r="AK1020" s="246"/>
      <c r="AL1020" s="246" t="s">
        <v>2368</v>
      </c>
      <c r="AM1020" s="246"/>
      <c r="AN1020" s="246"/>
      <c r="AO1020" s="551">
        <f>I1020</f>
        <v>3500</v>
      </c>
      <c r="AP1020" s="551"/>
      <c r="AQ1020" s="551"/>
      <c r="AR1020" s="650"/>
      <c r="AS1020" s="551"/>
      <c r="AT1020" s="554">
        <f>I1020</f>
        <v>3500</v>
      </c>
      <c r="AU1020" s="551"/>
      <c r="AV1020" s="554">
        <f>I1020</f>
        <v>3500</v>
      </c>
      <c r="AW1020" s="650"/>
      <c r="AX1020" s="551"/>
      <c r="AY1020" s="551"/>
      <c r="AZ1020" s="551"/>
      <c r="BA1020" s="551"/>
      <c r="BB1020" s="620">
        <f t="shared" si="397"/>
        <v>145.833333333333</v>
      </c>
      <c r="BC1020" s="651"/>
      <c r="BD1020" s="551"/>
      <c r="BE1020" s="551"/>
      <c r="BF1020" s="551"/>
      <c r="BH1020" s="551"/>
      <c r="BI1020" s="551"/>
      <c r="BJ1020" s="551"/>
      <c r="BK1020" s="551"/>
      <c r="BL1020" s="551"/>
      <c r="BM1020" s="551"/>
      <c r="BN1020" s="551"/>
      <c r="BO1020" s="551"/>
      <c r="BP1020" s="551">
        <f>I1020/25</f>
        <v>140</v>
      </c>
      <c r="BQ1020" s="551"/>
      <c r="BR1020" s="551"/>
      <c r="BS1020" s="551"/>
      <c r="BT1020" s="551"/>
      <c r="BU1020" s="551"/>
      <c r="BV1020" s="551"/>
      <c r="BW1020" s="551"/>
      <c r="BX1020" s="551"/>
      <c r="BY1020" s="650"/>
      <c r="BZ1020" s="551"/>
      <c r="CA1020" s="652"/>
      <c r="CB1020" s="567"/>
      <c r="CC1020" s="653"/>
      <c r="CD1020" s="650"/>
      <c r="CE1020" s="650"/>
      <c r="CF1020" s="551"/>
      <c r="CG1020" s="551"/>
      <c r="CI1020" s="551"/>
      <c r="CJ1020" s="551"/>
      <c r="CK1020" s="551"/>
      <c r="CL1020" s="551"/>
      <c r="CM1020" s="551"/>
      <c r="CN1020" s="551"/>
      <c r="CO1020" s="551"/>
      <c r="CP1020" s="551"/>
      <c r="CQ1020" s="551"/>
      <c r="CR1020" s="551"/>
      <c r="CS1020" s="551"/>
      <c r="CT1020" s="551"/>
      <c r="CU1020" s="554">
        <f t="shared" si="373"/>
        <v>140</v>
      </c>
      <c r="CV1020" s="551">
        <f t="shared" si="395"/>
        <v>0</v>
      </c>
      <c r="CW1020" s="551">
        <f t="shared" si="396"/>
        <v>0</v>
      </c>
      <c r="CX1020" s="650"/>
      <c r="CY1020" s="650"/>
      <c r="CZ1020" s="650"/>
      <c r="DA1020" s="548"/>
      <c r="DB1020" s="548"/>
      <c r="DC1020" s="548"/>
      <c r="DD1020" s="650"/>
      <c r="DE1020" s="650"/>
      <c r="DF1020" s="650"/>
      <c r="DG1020" s="650"/>
      <c r="DH1020" s="650"/>
    </row>
    <row r="1021" s="548" customFormat="1" ht="31" customHeight="1" spans="1:112">
      <c r="A1021" s="641">
        <v>45985</v>
      </c>
      <c r="B1021" s="642" t="s">
        <v>2734</v>
      </c>
      <c r="C1021" s="246" t="s">
        <v>98</v>
      </c>
      <c r="D1021" s="551">
        <v>4500186392</v>
      </c>
      <c r="E1021" s="246">
        <v>60261201</v>
      </c>
      <c r="F1021" s="551" t="s">
        <v>8618</v>
      </c>
      <c r="G1021" s="246" t="s">
        <v>6787</v>
      </c>
      <c r="H1021" s="610" t="s">
        <v>6126</v>
      </c>
      <c r="I1021" s="704">
        <v>2004</v>
      </c>
      <c r="J1021" s="246">
        <v>0</v>
      </c>
      <c r="K1021" s="246">
        <v>12</v>
      </c>
      <c r="L1021" s="644">
        <f t="shared" si="381"/>
        <v>167</v>
      </c>
      <c r="M1021" s="645">
        <v>46044</v>
      </c>
      <c r="N1021" s="645">
        <v>46041</v>
      </c>
      <c r="O1021" s="246"/>
      <c r="P1021" s="643" t="s">
        <v>113</v>
      </c>
      <c r="Q1021" s="246"/>
      <c r="R1021" s="646">
        <v>45985</v>
      </c>
      <c r="S1021" s="646" t="s">
        <v>70</v>
      </c>
      <c r="T1021" s="646" t="s">
        <v>2738</v>
      </c>
      <c r="U1021" s="646"/>
      <c r="V1021" s="646"/>
      <c r="W1021" s="615"/>
      <c r="X1021" s="642" t="s">
        <v>8577</v>
      </c>
      <c r="Y1021" s="642" t="s">
        <v>2678</v>
      </c>
      <c r="Z1021" s="655">
        <v>1.2871</v>
      </c>
      <c r="AA1021" s="647">
        <f t="shared" si="392"/>
        <v>2579.3484</v>
      </c>
      <c r="AC1021" s="658" t="s">
        <v>2886</v>
      </c>
      <c r="AD1021" s="246" t="s">
        <v>8545</v>
      </c>
      <c r="AE1021" s="246" t="s">
        <v>82</v>
      </c>
      <c r="AF1021" s="246"/>
      <c r="AG1021" s="642"/>
      <c r="AH1021" s="642">
        <v>1</v>
      </c>
      <c r="AI1021" s="246">
        <v>2004</v>
      </c>
      <c r="AJ1021" s="246">
        <f t="shared" si="393"/>
        <v>0</v>
      </c>
      <c r="AK1021" s="246"/>
      <c r="AL1021" s="246" t="s">
        <v>2368</v>
      </c>
      <c r="AM1021" s="246"/>
      <c r="AN1021" s="610">
        <f>I1021*2</f>
        <v>4008</v>
      </c>
      <c r="AO1021" s="551"/>
      <c r="AP1021" s="554">
        <f>I1021*2</f>
        <v>4008</v>
      </c>
      <c r="AQ1021" s="551"/>
      <c r="AR1021" s="650"/>
      <c r="AS1021" s="551"/>
      <c r="AT1021" s="551"/>
      <c r="AU1021" s="554">
        <f>I1021*2</f>
        <v>4008</v>
      </c>
      <c r="AV1021" s="551"/>
      <c r="AW1021" s="650"/>
      <c r="AX1021" s="551"/>
      <c r="AY1021" s="551"/>
      <c r="AZ1021" s="551"/>
      <c r="BA1021" s="551"/>
      <c r="BB1021" s="249">
        <f>I1021/24*2</f>
        <v>167</v>
      </c>
      <c r="BC1021" s="651"/>
      <c r="BD1021" s="551"/>
      <c r="BE1021" s="551"/>
      <c r="BF1021" s="551"/>
      <c r="BH1021" s="551"/>
      <c r="BI1021" s="551"/>
      <c r="BJ1021" s="551"/>
      <c r="BK1021" s="551"/>
      <c r="BL1021" s="551"/>
      <c r="BM1021" s="551"/>
      <c r="BN1021" s="551"/>
      <c r="BO1021" s="551"/>
      <c r="BP1021" s="551"/>
      <c r="BQ1021" s="551"/>
      <c r="BR1021" s="551"/>
      <c r="BS1021" s="551"/>
      <c r="BT1021" s="551"/>
      <c r="BU1021" s="551"/>
      <c r="BV1021" s="551"/>
      <c r="BW1021" s="551"/>
      <c r="BX1021" s="551"/>
      <c r="BY1021" s="650"/>
      <c r="BZ1021" s="551"/>
      <c r="CA1021" s="652"/>
      <c r="CB1021" s="567"/>
      <c r="CC1021" s="653"/>
      <c r="CD1021" s="650"/>
      <c r="CE1021" s="650"/>
      <c r="CF1021" s="551"/>
      <c r="CG1021" s="551"/>
      <c r="CI1021" s="551"/>
      <c r="CJ1021" s="551"/>
      <c r="CK1021" s="551"/>
      <c r="CL1021" s="551"/>
      <c r="CM1021" s="551"/>
      <c r="CN1021" s="551"/>
      <c r="CO1021" s="551"/>
      <c r="CP1021" s="551"/>
      <c r="CQ1021" s="551"/>
      <c r="CR1021" s="554">
        <f>I1021</f>
        <v>2004</v>
      </c>
      <c r="CS1021" s="554">
        <f>I1021</f>
        <v>2004</v>
      </c>
      <c r="CT1021" s="554">
        <f>I1021</f>
        <v>2004</v>
      </c>
      <c r="CU1021" s="554">
        <f t="shared" si="373"/>
        <v>0</v>
      </c>
      <c r="CV1021" s="551">
        <v>0</v>
      </c>
      <c r="CW1021" s="551">
        <v>0</v>
      </c>
      <c r="CX1021" s="650"/>
      <c r="CY1021" s="650"/>
      <c r="CZ1021" s="650"/>
      <c r="DA1021" s="548"/>
      <c r="DB1021" s="548"/>
      <c r="DC1021" s="548"/>
      <c r="DD1021" s="650"/>
      <c r="DE1021" s="650"/>
      <c r="DF1021" s="650"/>
      <c r="DG1021" s="650"/>
      <c r="DH1021" s="650"/>
    </row>
    <row r="1022" s="548" customFormat="1" ht="31" customHeight="1" spans="1:112">
      <c r="A1022" s="641">
        <v>45985</v>
      </c>
      <c r="B1022" s="642" t="s">
        <v>2734</v>
      </c>
      <c r="C1022" s="246" t="s">
        <v>98</v>
      </c>
      <c r="D1022" s="551">
        <v>4500186392</v>
      </c>
      <c r="E1022" s="246">
        <v>60261201</v>
      </c>
      <c r="F1022" s="551" t="s">
        <v>2884</v>
      </c>
      <c r="G1022" s="246" t="s">
        <v>8520</v>
      </c>
      <c r="H1022" s="246" t="s">
        <v>8521</v>
      </c>
      <c r="I1022" s="704">
        <v>2000</v>
      </c>
      <c r="J1022" s="246">
        <v>0</v>
      </c>
      <c r="K1022" s="246">
        <v>8</v>
      </c>
      <c r="L1022" s="644">
        <f t="shared" si="381"/>
        <v>250</v>
      </c>
      <c r="M1022" s="645">
        <v>46044</v>
      </c>
      <c r="N1022" s="645">
        <v>46041</v>
      </c>
      <c r="O1022" s="246"/>
      <c r="P1022" s="643" t="s">
        <v>113</v>
      </c>
      <c r="Q1022" s="246"/>
      <c r="R1022" s="646">
        <v>45985</v>
      </c>
      <c r="S1022" s="646" t="s">
        <v>70</v>
      </c>
      <c r="T1022" s="646" t="s">
        <v>8522</v>
      </c>
      <c r="U1022" s="646"/>
      <c r="V1022" s="646"/>
      <c r="W1022" s="615"/>
      <c r="X1022" s="628" t="s">
        <v>2813</v>
      </c>
      <c r="Y1022" s="642" t="s">
        <v>2678</v>
      </c>
      <c r="Z1022" s="655">
        <v>4.097</v>
      </c>
      <c r="AA1022" s="647">
        <f t="shared" si="392"/>
        <v>8194</v>
      </c>
      <c r="AC1022" s="658" t="s">
        <v>2886</v>
      </c>
      <c r="AD1022" s="246" t="s">
        <v>2741</v>
      </c>
      <c r="AE1022" s="246" t="s">
        <v>82</v>
      </c>
      <c r="AF1022" s="246"/>
      <c r="AG1022" s="642"/>
      <c r="AH1022" s="642">
        <v>1</v>
      </c>
      <c r="AI1022" s="246"/>
      <c r="AJ1022" s="246">
        <f t="shared" si="393"/>
        <v>-2000</v>
      </c>
      <c r="AK1022" s="246"/>
      <c r="AL1022" s="246"/>
      <c r="AM1022" s="246"/>
      <c r="AN1022" s="610">
        <f>I1022*2</f>
        <v>4000</v>
      </c>
      <c r="AO1022" s="551"/>
      <c r="AP1022" s="554">
        <f>I1022*2</f>
        <v>4000</v>
      </c>
      <c r="AQ1022" s="551"/>
      <c r="AR1022" s="650"/>
      <c r="AS1022" s="551"/>
      <c r="AT1022" s="551"/>
      <c r="AU1022" s="554">
        <f>I1022*2</f>
        <v>4000</v>
      </c>
      <c r="AV1022" s="551"/>
      <c r="AW1022" s="650"/>
      <c r="AX1022" s="551"/>
      <c r="AY1022" s="551"/>
      <c r="AZ1022" s="551"/>
      <c r="BA1022" s="551"/>
      <c r="BB1022" s="620">
        <f>I1022/24*2</f>
        <v>166.666666666667</v>
      </c>
      <c r="BC1022" s="651"/>
      <c r="BD1022" s="551"/>
      <c r="BE1022" s="551"/>
      <c r="BF1022" s="551"/>
      <c r="BH1022" s="551"/>
      <c r="BI1022" s="551"/>
      <c r="BJ1022" s="551"/>
      <c r="BK1022" s="551"/>
      <c r="BL1022" s="551"/>
      <c r="BM1022" s="551"/>
      <c r="BN1022" s="551"/>
      <c r="BO1022" s="551"/>
      <c r="BP1022" s="551"/>
      <c r="BQ1022" s="551"/>
      <c r="BR1022" s="551"/>
      <c r="BS1022" s="551"/>
      <c r="BT1022" s="551"/>
      <c r="BU1022" s="551"/>
      <c r="BV1022" s="551"/>
      <c r="BW1022" s="551"/>
      <c r="BX1022" s="551"/>
      <c r="BY1022" s="650"/>
      <c r="BZ1022" s="551"/>
      <c r="CA1022" s="652">
        <f>I1022</f>
        <v>2000</v>
      </c>
      <c r="CB1022" s="567"/>
      <c r="CC1022" s="653"/>
      <c r="CD1022" s="650"/>
      <c r="CE1022" s="650"/>
      <c r="CF1022" s="551"/>
      <c r="CG1022" s="551"/>
      <c r="CI1022" s="551"/>
      <c r="CJ1022" s="551"/>
      <c r="CK1022" s="551"/>
      <c r="CL1022" s="551"/>
      <c r="CM1022" s="551"/>
      <c r="CN1022" s="551"/>
      <c r="CO1022" s="551"/>
      <c r="CP1022" s="551"/>
      <c r="CQ1022" s="551"/>
      <c r="CR1022" s="551"/>
      <c r="CS1022" s="551"/>
      <c r="CT1022" s="551"/>
      <c r="CU1022" s="554">
        <f t="shared" si="373"/>
        <v>0</v>
      </c>
      <c r="CV1022" s="551">
        <f>CK1022+CL1022+CM1022+CN1022+CO1022+CQ1022+CP1022</f>
        <v>0</v>
      </c>
      <c r="CW1022" s="551">
        <f>CI1022+CJ1022</f>
        <v>0</v>
      </c>
      <c r="CX1022" s="650"/>
      <c r="CY1022" s="650"/>
      <c r="CZ1022" s="650"/>
      <c r="DA1022" s="548"/>
      <c r="DB1022" s="548"/>
      <c r="DC1022" s="548"/>
      <c r="DD1022" s="650"/>
      <c r="DE1022" s="650"/>
      <c r="DF1022" s="650"/>
      <c r="DG1022" s="650"/>
      <c r="DH1022" s="650"/>
    </row>
    <row r="1023" s="548" customFormat="1" ht="31" customHeight="1" spans="1:112">
      <c r="A1023" s="641">
        <v>45995</v>
      </c>
      <c r="B1023" s="642" t="s">
        <v>3158</v>
      </c>
      <c r="C1023" s="246" t="s">
        <v>98</v>
      </c>
      <c r="D1023" s="551">
        <v>4500187984</v>
      </c>
      <c r="E1023" s="246">
        <v>4353960389</v>
      </c>
      <c r="F1023" s="551" t="s">
        <v>8619</v>
      </c>
      <c r="G1023" s="246" t="s">
        <v>6084</v>
      </c>
      <c r="H1023" s="246" t="s">
        <v>6069</v>
      </c>
      <c r="I1023" s="704">
        <v>7025</v>
      </c>
      <c r="J1023" s="246">
        <v>0</v>
      </c>
      <c r="K1023" s="246">
        <v>25</v>
      </c>
      <c r="L1023" s="644">
        <f t="shared" si="381"/>
        <v>281</v>
      </c>
      <c r="M1023" s="645">
        <v>46044</v>
      </c>
      <c r="N1023" s="645">
        <v>46041</v>
      </c>
      <c r="O1023" s="246"/>
      <c r="P1023" s="643" t="s">
        <v>113</v>
      </c>
      <c r="Q1023" s="246"/>
      <c r="R1023" s="646">
        <v>46009</v>
      </c>
      <c r="S1023" s="646" t="s">
        <v>70</v>
      </c>
      <c r="T1023" s="646" t="s">
        <v>8620</v>
      </c>
      <c r="U1023" s="646"/>
      <c r="V1023" s="646"/>
      <c r="W1023" s="615"/>
      <c r="X1023" s="642" t="s">
        <v>8621</v>
      </c>
      <c r="Y1023" s="642" t="s">
        <v>3163</v>
      </c>
      <c r="Z1023" s="655">
        <v>0.5574</v>
      </c>
      <c r="AA1023" s="647">
        <f t="shared" si="392"/>
        <v>3915.735</v>
      </c>
      <c r="AC1023" s="658" t="s">
        <v>8622</v>
      </c>
      <c r="AD1023" s="246" t="s">
        <v>6084</v>
      </c>
      <c r="AE1023" s="246" t="s">
        <v>82</v>
      </c>
      <c r="AF1023" s="246"/>
      <c r="AG1023" s="642"/>
      <c r="AH1023" s="642">
        <v>1</v>
      </c>
      <c r="AI1023" s="246">
        <v>7025</v>
      </c>
      <c r="AJ1023" s="246">
        <f t="shared" si="393"/>
        <v>0</v>
      </c>
      <c r="AK1023" s="246"/>
      <c r="AL1023" s="246" t="s">
        <v>2368</v>
      </c>
      <c r="AM1023" s="246"/>
      <c r="AN1023" s="246">
        <f>I1023</f>
        <v>7025</v>
      </c>
      <c r="AO1023" s="551"/>
      <c r="AP1023" s="554">
        <f>I1023</f>
        <v>7025</v>
      </c>
      <c r="AQ1023" s="551"/>
      <c r="AR1023" s="650"/>
      <c r="AS1023" s="551"/>
      <c r="AT1023" s="551"/>
      <c r="AU1023" s="554">
        <f>I1023</f>
        <v>7025</v>
      </c>
      <c r="AV1023" s="551"/>
      <c r="AW1023" s="650"/>
      <c r="AX1023" s="551"/>
      <c r="AY1023" s="551"/>
      <c r="AZ1023" s="551"/>
      <c r="BA1023" s="551"/>
      <c r="BB1023" s="249">
        <f>I1023/24</f>
        <v>292.708333333333</v>
      </c>
      <c r="BC1023" s="651"/>
      <c r="BD1023" s="551"/>
      <c r="BE1023" s="551"/>
      <c r="BF1023" s="551"/>
      <c r="BH1023" s="551"/>
      <c r="BI1023" s="551"/>
      <c r="BJ1023" s="551"/>
      <c r="BK1023" s="551"/>
      <c r="BL1023" s="551"/>
      <c r="BM1023" s="551"/>
      <c r="BN1023" s="551">
        <f>I1023/25</f>
        <v>281</v>
      </c>
      <c r="BO1023" s="551"/>
      <c r="BP1023" s="551"/>
      <c r="BQ1023" s="551"/>
      <c r="BR1023" s="551"/>
      <c r="BS1023" s="551"/>
      <c r="BT1023" s="551"/>
      <c r="BU1023" s="551"/>
      <c r="BV1023" s="551"/>
      <c r="BW1023" s="551"/>
      <c r="BX1023" s="551"/>
      <c r="BY1023" s="650"/>
      <c r="BZ1023" s="551"/>
      <c r="CA1023" s="652"/>
      <c r="CB1023" s="567"/>
      <c r="CC1023" s="653"/>
      <c r="CD1023" s="650"/>
      <c r="CE1023" s="650"/>
      <c r="CF1023" s="551"/>
      <c r="CG1023" s="551"/>
      <c r="CI1023" s="551"/>
      <c r="CJ1023" s="551"/>
      <c r="CK1023" s="551"/>
      <c r="CL1023" s="551"/>
      <c r="CM1023" s="551"/>
      <c r="CN1023" s="551"/>
      <c r="CO1023" s="551"/>
      <c r="CP1023" s="551"/>
      <c r="CQ1023" s="551"/>
      <c r="CR1023" s="551"/>
      <c r="CS1023" s="551"/>
      <c r="CT1023" s="551"/>
      <c r="CU1023" s="554">
        <f t="shared" si="373"/>
        <v>281</v>
      </c>
      <c r="CV1023" s="551">
        <f>CK1023+CL1023+CM1023+CN1023+CO1023+CQ1023+CP1023</f>
        <v>0</v>
      </c>
      <c r="CW1023" s="551">
        <f>CI1023+CJ1023</f>
        <v>0</v>
      </c>
      <c r="CX1023" s="650"/>
      <c r="CY1023" s="650"/>
      <c r="CZ1023" s="650"/>
      <c r="DA1023" s="548"/>
      <c r="DB1023" s="548"/>
      <c r="DC1023" s="548"/>
      <c r="DD1023" s="650"/>
      <c r="DE1023" s="650"/>
      <c r="DF1023" s="650"/>
      <c r="DG1023" s="650"/>
      <c r="DH1023" s="650"/>
    </row>
    <row r="1024" s="548" customFormat="1" ht="31" customHeight="1" spans="1:112">
      <c r="A1024" s="641">
        <v>45996</v>
      </c>
      <c r="B1024" s="642" t="s">
        <v>3158</v>
      </c>
      <c r="C1024" s="246" t="s">
        <v>98</v>
      </c>
      <c r="D1024" s="551">
        <v>4500188208</v>
      </c>
      <c r="E1024" s="246">
        <v>4353960671</v>
      </c>
      <c r="F1024" s="551" t="s">
        <v>8623</v>
      </c>
      <c r="G1024" s="246" t="s">
        <v>6084</v>
      </c>
      <c r="H1024" s="246" t="s">
        <v>6069</v>
      </c>
      <c r="I1024" s="704">
        <v>5725</v>
      </c>
      <c r="J1024" s="246">
        <v>0</v>
      </c>
      <c r="K1024" s="246">
        <v>25</v>
      </c>
      <c r="L1024" s="644">
        <f t="shared" si="381"/>
        <v>229</v>
      </c>
      <c r="M1024" s="645">
        <v>46044</v>
      </c>
      <c r="N1024" s="645">
        <v>46041</v>
      </c>
      <c r="O1024" s="246"/>
      <c r="P1024" s="643" t="s">
        <v>113</v>
      </c>
      <c r="Q1024" s="246"/>
      <c r="R1024" s="646">
        <v>46009</v>
      </c>
      <c r="S1024" s="646" t="s">
        <v>70</v>
      </c>
      <c r="T1024" s="646" t="s">
        <v>8620</v>
      </c>
      <c r="U1024" s="646"/>
      <c r="V1024" s="646"/>
      <c r="W1024" s="615"/>
      <c r="X1024" s="642" t="s">
        <v>8621</v>
      </c>
      <c r="Y1024" s="642" t="s">
        <v>3163</v>
      </c>
      <c r="Z1024" s="655">
        <v>0.5574</v>
      </c>
      <c r="AA1024" s="647">
        <f t="shared" si="392"/>
        <v>3191.115</v>
      </c>
      <c r="AC1024" s="658" t="s">
        <v>8624</v>
      </c>
      <c r="AD1024" s="246" t="s">
        <v>6084</v>
      </c>
      <c r="AE1024" s="246" t="s">
        <v>82</v>
      </c>
      <c r="AF1024" s="246"/>
      <c r="AG1024" s="642"/>
      <c r="AH1024" s="642">
        <v>1</v>
      </c>
      <c r="AI1024" s="246">
        <v>5725</v>
      </c>
      <c r="AJ1024" s="246">
        <f t="shared" si="393"/>
        <v>0</v>
      </c>
      <c r="AK1024" s="246"/>
      <c r="AL1024" s="246" t="s">
        <v>2368</v>
      </c>
      <c r="AM1024" s="246"/>
      <c r="AN1024" s="246">
        <f>I1024</f>
        <v>5725</v>
      </c>
      <c r="AO1024" s="551"/>
      <c r="AP1024" s="554">
        <f>I1024</f>
        <v>5725</v>
      </c>
      <c r="AQ1024" s="551"/>
      <c r="AR1024" s="650"/>
      <c r="AS1024" s="551"/>
      <c r="AT1024" s="551"/>
      <c r="AU1024" s="554">
        <f>I1024</f>
        <v>5725</v>
      </c>
      <c r="AV1024" s="551"/>
      <c r="AW1024" s="650"/>
      <c r="AX1024" s="551"/>
      <c r="AY1024" s="551"/>
      <c r="AZ1024" s="551"/>
      <c r="BA1024" s="551"/>
      <c r="BB1024" s="249">
        <f>I1024/24</f>
        <v>238.541666666667</v>
      </c>
      <c r="BC1024" s="651"/>
      <c r="BD1024" s="551"/>
      <c r="BE1024" s="551"/>
      <c r="BF1024" s="551"/>
      <c r="BH1024" s="551"/>
      <c r="BI1024" s="551"/>
      <c r="BJ1024" s="551"/>
      <c r="BK1024" s="551"/>
      <c r="BL1024" s="551"/>
      <c r="BM1024" s="551"/>
      <c r="BN1024" s="551">
        <f>I1024/25</f>
        <v>229</v>
      </c>
      <c r="BO1024" s="551"/>
      <c r="BP1024" s="551"/>
      <c r="BQ1024" s="551"/>
      <c r="BR1024" s="551"/>
      <c r="BS1024" s="551"/>
      <c r="BT1024" s="551"/>
      <c r="BU1024" s="551"/>
      <c r="BV1024" s="551"/>
      <c r="BW1024" s="551"/>
      <c r="BX1024" s="551"/>
      <c r="BY1024" s="650"/>
      <c r="BZ1024" s="551"/>
      <c r="CA1024" s="652"/>
      <c r="CB1024" s="567"/>
      <c r="CC1024" s="653"/>
      <c r="CD1024" s="650"/>
      <c r="CE1024" s="650"/>
      <c r="CF1024" s="551"/>
      <c r="CG1024" s="551"/>
      <c r="CI1024" s="551"/>
      <c r="CJ1024" s="551"/>
      <c r="CK1024" s="551"/>
      <c r="CL1024" s="551"/>
      <c r="CM1024" s="551"/>
      <c r="CN1024" s="551"/>
      <c r="CO1024" s="551"/>
      <c r="CP1024" s="551"/>
      <c r="CQ1024" s="551"/>
      <c r="CR1024" s="551"/>
      <c r="CS1024" s="551"/>
      <c r="CT1024" s="551"/>
      <c r="CU1024" s="554">
        <f t="shared" si="373"/>
        <v>229</v>
      </c>
      <c r="CV1024" s="551">
        <f>CK1024+CL1024+CM1024+CN1024+CO1024+CQ1024+CP1024</f>
        <v>0</v>
      </c>
      <c r="CW1024" s="551">
        <f>CI1024+CJ1024</f>
        <v>0</v>
      </c>
      <c r="CX1024" s="650"/>
      <c r="CY1024" s="650"/>
      <c r="CZ1024" s="650"/>
      <c r="DA1024" s="548"/>
      <c r="DB1024" s="548"/>
      <c r="DC1024" s="548"/>
      <c r="DD1024" s="650"/>
      <c r="DE1024" s="650"/>
      <c r="DF1024" s="650"/>
      <c r="DG1024" s="650"/>
      <c r="DH1024" s="650"/>
    </row>
    <row r="1025" s="548" customFormat="1" ht="31" customHeight="1" spans="1:112">
      <c r="A1025" s="641">
        <v>45996</v>
      </c>
      <c r="B1025" s="642" t="s">
        <v>1337</v>
      </c>
      <c r="C1025" s="246" t="s">
        <v>931</v>
      </c>
      <c r="D1025" s="551">
        <v>4500188288</v>
      </c>
      <c r="E1025" s="246"/>
      <c r="F1025" s="551" t="s">
        <v>8625</v>
      </c>
      <c r="G1025" s="246" t="s">
        <v>6276</v>
      </c>
      <c r="H1025" s="246" t="s">
        <v>6277</v>
      </c>
      <c r="I1025" s="704">
        <v>1100</v>
      </c>
      <c r="J1025" s="246">
        <v>0</v>
      </c>
      <c r="K1025" s="246">
        <v>50</v>
      </c>
      <c r="L1025" s="644">
        <f t="shared" si="381"/>
        <v>22</v>
      </c>
      <c r="M1025" s="645">
        <v>46045</v>
      </c>
      <c r="N1025" s="645">
        <v>46041</v>
      </c>
      <c r="O1025" s="246"/>
      <c r="P1025" s="643" t="s">
        <v>113</v>
      </c>
      <c r="Q1025" s="246"/>
      <c r="R1025" s="646">
        <v>46021</v>
      </c>
      <c r="S1025" s="646" t="s">
        <v>70</v>
      </c>
      <c r="T1025" s="646" t="s">
        <v>70</v>
      </c>
      <c r="U1025" s="646"/>
      <c r="V1025" s="646"/>
      <c r="W1025" s="615"/>
      <c r="X1025" s="642" t="s">
        <v>8626</v>
      </c>
      <c r="Y1025" s="642" t="s">
        <v>943</v>
      </c>
      <c r="Z1025" s="655">
        <v>0.9521</v>
      </c>
      <c r="AA1025" s="647">
        <f t="shared" si="392"/>
        <v>1047.31</v>
      </c>
      <c r="AC1025" s="648"/>
      <c r="AD1025" s="246" t="s">
        <v>6276</v>
      </c>
      <c r="AE1025" s="246" t="s">
        <v>82</v>
      </c>
      <c r="AF1025" s="246"/>
      <c r="AG1025" s="642"/>
      <c r="AH1025" s="642">
        <v>1</v>
      </c>
      <c r="AI1025" s="246">
        <v>3800</v>
      </c>
      <c r="AJ1025" s="246">
        <f t="shared" si="393"/>
        <v>2700</v>
      </c>
      <c r="AK1025" s="246"/>
      <c r="AL1025" s="246"/>
      <c r="AM1025" s="246"/>
      <c r="AN1025" s="246"/>
      <c r="AO1025" s="551">
        <f>I1025</f>
        <v>1100</v>
      </c>
      <c r="AP1025" s="551"/>
      <c r="AQ1025" s="551"/>
      <c r="AR1025" s="650"/>
      <c r="AS1025" s="551"/>
      <c r="AT1025" s="551"/>
      <c r="AU1025" s="551"/>
      <c r="AV1025" s="551"/>
      <c r="AW1025" s="650"/>
      <c r="AX1025" s="551"/>
      <c r="AY1025" s="551"/>
      <c r="AZ1025" s="551"/>
      <c r="BA1025" s="551"/>
      <c r="BB1025" s="249">
        <f>I1025/24</f>
        <v>45.8333333333333</v>
      </c>
      <c r="BC1025" s="651"/>
      <c r="BD1025" s="551"/>
      <c r="BE1025" s="551"/>
      <c r="BF1025" s="551"/>
      <c r="BH1025" s="551"/>
      <c r="BI1025" s="551"/>
      <c r="BJ1025" s="551"/>
      <c r="BK1025" s="551"/>
      <c r="BL1025" s="551"/>
      <c r="BM1025" s="551"/>
      <c r="BN1025" s="551"/>
      <c r="BO1025" s="551"/>
      <c r="BP1025" s="551"/>
      <c r="BQ1025" s="551"/>
      <c r="BR1025" s="551"/>
      <c r="BS1025" s="551"/>
      <c r="BT1025" s="551"/>
      <c r="BU1025" s="551"/>
      <c r="BV1025" s="551">
        <f>I1025</f>
        <v>1100</v>
      </c>
      <c r="BW1025" s="551">
        <f>I1025</f>
        <v>1100</v>
      </c>
      <c r="BX1025" s="551">
        <f>I1025/25</f>
        <v>44</v>
      </c>
      <c r="BY1025" s="650"/>
      <c r="BZ1025" s="551"/>
      <c r="CA1025" s="652"/>
      <c r="CB1025" s="567"/>
      <c r="CC1025" s="653"/>
      <c r="CD1025" s="650"/>
      <c r="CE1025" s="650"/>
      <c r="CF1025" s="551"/>
      <c r="CG1025" s="551"/>
      <c r="CI1025" s="551"/>
      <c r="CJ1025" s="551"/>
      <c r="CK1025" s="551"/>
      <c r="CL1025" s="551"/>
      <c r="CM1025" s="551"/>
      <c r="CN1025" s="551"/>
      <c r="CO1025" s="551"/>
      <c r="CP1025" s="551"/>
      <c r="CQ1025" s="551"/>
      <c r="CR1025" s="551"/>
      <c r="CS1025" s="551"/>
      <c r="CT1025" s="551"/>
      <c r="CU1025" s="554">
        <f t="shared" si="373"/>
        <v>44</v>
      </c>
      <c r="CV1025" s="551">
        <f>CK1025+CL1025+CM1025+CN1025+CO1025+CQ1025+CP1025</f>
        <v>0</v>
      </c>
      <c r="CW1025" s="551">
        <f>CI1025+CJ1025</f>
        <v>0</v>
      </c>
      <c r="CX1025" s="650"/>
      <c r="CY1025" s="650"/>
      <c r="CZ1025" s="650"/>
      <c r="DA1025" s="548"/>
      <c r="DB1025" s="548"/>
      <c r="DC1025" s="548"/>
      <c r="DD1025" s="650"/>
      <c r="DE1025" s="650"/>
      <c r="DF1025" s="650"/>
      <c r="DG1025" s="650"/>
      <c r="DH1025" s="650"/>
    </row>
    <row r="1026" s="548" customFormat="1" ht="31" customHeight="1" spans="1:112">
      <c r="A1026" s="641">
        <v>45999</v>
      </c>
      <c r="B1026" s="642" t="s">
        <v>947</v>
      </c>
      <c r="C1026" s="246" t="s">
        <v>278</v>
      </c>
      <c r="D1026" s="551">
        <v>4500188369</v>
      </c>
      <c r="E1026" s="246" t="s">
        <v>2898</v>
      </c>
      <c r="F1026" s="551" t="s">
        <v>2899</v>
      </c>
      <c r="G1026" s="246" t="s">
        <v>829</v>
      </c>
      <c r="H1026" s="246" t="s">
        <v>830</v>
      </c>
      <c r="I1026" s="704">
        <v>5400</v>
      </c>
      <c r="J1026" s="246">
        <v>0</v>
      </c>
      <c r="K1026" s="246">
        <v>75</v>
      </c>
      <c r="L1026" s="644">
        <f t="shared" si="381"/>
        <v>72</v>
      </c>
      <c r="M1026" s="645">
        <v>46045</v>
      </c>
      <c r="N1026" s="645">
        <v>46041</v>
      </c>
      <c r="O1026" s="246"/>
      <c r="P1026" s="643" t="s">
        <v>113</v>
      </c>
      <c r="Q1026" s="246"/>
      <c r="R1026" s="646">
        <v>46000</v>
      </c>
      <c r="S1026" s="646" t="s">
        <v>70</v>
      </c>
      <c r="T1026" s="646" t="s">
        <v>70</v>
      </c>
      <c r="U1026" s="646"/>
      <c r="V1026" s="646"/>
      <c r="W1026" s="615"/>
      <c r="X1026" s="642" t="s">
        <v>2900</v>
      </c>
      <c r="Y1026" s="642" t="s">
        <v>1549</v>
      </c>
      <c r="Z1026" s="655">
        <v>24.1361</v>
      </c>
      <c r="AA1026" s="647">
        <f>Z1026*L1026</f>
        <v>1737.7992</v>
      </c>
      <c r="AC1026" s="648"/>
      <c r="AD1026" s="246" t="s">
        <v>829</v>
      </c>
      <c r="AE1026" s="246" t="s">
        <v>82</v>
      </c>
      <c r="AF1026" s="246"/>
      <c r="AG1026" s="642"/>
      <c r="AH1026" s="642" t="s">
        <v>3042</v>
      </c>
      <c r="AI1026" s="246"/>
      <c r="AJ1026" s="246">
        <f>I1026</f>
        <v>5400</v>
      </c>
      <c r="AK1026" s="246"/>
      <c r="AL1026" s="246"/>
      <c r="AM1026" s="246"/>
      <c r="AN1026" s="246"/>
      <c r="AO1026" s="554">
        <f>I1026*3</f>
        <v>16200</v>
      </c>
      <c r="AP1026" s="551"/>
      <c r="AQ1026" s="551"/>
      <c r="AR1026" s="650"/>
      <c r="AS1026" s="551"/>
      <c r="AT1026" s="551"/>
      <c r="AU1026" s="551"/>
      <c r="AV1026" s="551"/>
      <c r="AW1026" s="650"/>
      <c r="AX1026" s="551"/>
      <c r="AY1026" s="551"/>
      <c r="AZ1026" s="551"/>
      <c r="BA1026" s="551"/>
      <c r="BB1026" s="249"/>
      <c r="BC1026" s="651"/>
      <c r="BD1026" s="551"/>
      <c r="BE1026" s="551"/>
      <c r="BF1026" s="551">
        <f>I1026*3</f>
        <v>16200</v>
      </c>
      <c r="BH1026" s="551">
        <f>BF1026</f>
        <v>16200</v>
      </c>
      <c r="BI1026" s="551">
        <f>I1026</f>
        <v>5400</v>
      </c>
      <c r="BJ1026" s="551">
        <f>I1026/5</f>
        <v>1080</v>
      </c>
      <c r="BK1026" s="551"/>
      <c r="BL1026" s="551"/>
      <c r="BM1026" s="551"/>
      <c r="BN1026" s="551"/>
      <c r="BO1026" s="551"/>
      <c r="BP1026" s="551"/>
      <c r="BQ1026" s="551"/>
      <c r="BR1026" s="551"/>
      <c r="BS1026" s="551"/>
      <c r="BT1026" s="551"/>
      <c r="BU1026" s="551"/>
      <c r="BV1026" s="551"/>
      <c r="BW1026" s="551"/>
      <c r="BX1026" s="551"/>
      <c r="BY1026" s="650"/>
      <c r="BZ1026" s="551"/>
      <c r="CA1026" s="652"/>
      <c r="CB1026" s="567"/>
      <c r="CC1026" s="653"/>
      <c r="CD1026" s="650"/>
      <c r="CE1026" s="650"/>
      <c r="CF1026" s="551"/>
      <c r="CG1026" s="551"/>
      <c r="CI1026" s="551"/>
      <c r="CJ1026" s="551"/>
      <c r="CK1026" s="551"/>
      <c r="CL1026" s="551"/>
      <c r="CM1026" s="551"/>
      <c r="CN1026" s="551"/>
      <c r="CO1026" s="551"/>
      <c r="CP1026" s="551"/>
      <c r="CQ1026" s="551"/>
      <c r="CR1026" s="551"/>
      <c r="CS1026" s="551"/>
      <c r="CT1026" s="551"/>
      <c r="CU1026" s="554">
        <f t="shared" si="373"/>
        <v>0</v>
      </c>
      <c r="CV1026" s="551">
        <f>CK1026+CL1026+CM1026+CN1026+CO1026+CQ1026+CP1026</f>
        <v>0</v>
      </c>
      <c r="CW1026" s="551">
        <f>CI1026+CJ1026</f>
        <v>0</v>
      </c>
      <c r="CX1026" s="650"/>
      <c r="CY1026" s="650"/>
      <c r="CZ1026" s="650"/>
      <c r="DA1026" s="548"/>
      <c r="DB1026" s="548"/>
      <c r="DC1026" s="548"/>
      <c r="DD1026" s="650"/>
      <c r="DE1026" s="650"/>
      <c r="DF1026" s="650"/>
      <c r="DG1026" s="650"/>
      <c r="DH1026" s="650"/>
    </row>
    <row r="1027" s="548" customFormat="1" ht="31" customHeight="1" spans="1:112">
      <c r="A1027" s="641">
        <v>45985</v>
      </c>
      <c r="B1027" s="642" t="s">
        <v>549</v>
      </c>
      <c r="C1027" s="246" t="s">
        <v>278</v>
      </c>
      <c r="D1027" s="551">
        <v>4500186739</v>
      </c>
      <c r="E1027" s="246" t="s">
        <v>2901</v>
      </c>
      <c r="F1027" s="551" t="s">
        <v>2902</v>
      </c>
      <c r="G1027" s="246" t="s">
        <v>6337</v>
      </c>
      <c r="H1027" s="246" t="s">
        <v>477</v>
      </c>
      <c r="I1027" s="704">
        <v>762</v>
      </c>
      <c r="J1027" s="246">
        <v>0</v>
      </c>
      <c r="K1027" s="246">
        <v>6</v>
      </c>
      <c r="L1027" s="644">
        <f t="shared" si="381"/>
        <v>127</v>
      </c>
      <c r="M1027" s="645">
        <v>46048</v>
      </c>
      <c r="N1027" s="645">
        <v>46044</v>
      </c>
      <c r="O1027" s="246"/>
      <c r="P1027" s="643" t="s">
        <v>113</v>
      </c>
      <c r="Q1027" s="246"/>
      <c r="R1027" s="646" t="s">
        <v>463</v>
      </c>
      <c r="S1027" s="646" t="s">
        <v>104</v>
      </c>
      <c r="T1027" s="646" t="s">
        <v>1993</v>
      </c>
      <c r="U1027" s="646"/>
      <c r="V1027" s="646"/>
      <c r="W1027" s="615"/>
      <c r="X1027" s="628" t="s">
        <v>8627</v>
      </c>
      <c r="Y1027" s="642" t="s">
        <v>2855</v>
      </c>
      <c r="Z1027" s="655">
        <v>7.0456</v>
      </c>
      <c r="AA1027" s="647">
        <f t="shared" ref="AA1026:AA1047" si="398">Z1027*I1027</f>
        <v>5368.7472</v>
      </c>
      <c r="AC1027" s="648"/>
      <c r="AD1027" s="246" t="s">
        <v>480</v>
      </c>
      <c r="AE1027" s="246" t="s">
        <v>82</v>
      </c>
      <c r="AF1027" s="246"/>
      <c r="AG1027" s="642"/>
      <c r="AH1027" s="642">
        <v>1</v>
      </c>
      <c r="AI1027" s="246">
        <f>648+114</f>
        <v>762</v>
      </c>
      <c r="AJ1027" s="246">
        <f t="shared" ref="AJ1026:AJ1074" si="399">AI1027-I1027</f>
        <v>0</v>
      </c>
      <c r="AK1027" s="246"/>
      <c r="AL1027" s="246"/>
      <c r="AM1027" s="246"/>
      <c r="AN1027" s="246"/>
      <c r="AO1027" s="554">
        <f>I1027*2</f>
        <v>1524</v>
      </c>
      <c r="AP1027" s="551"/>
      <c r="AQ1027" s="551"/>
      <c r="AR1027" s="650"/>
      <c r="AS1027" s="551"/>
      <c r="AT1027" s="554">
        <f>I1027*2</f>
        <v>1524</v>
      </c>
      <c r="AU1027" s="551"/>
      <c r="AV1027" s="554">
        <f>I1027*2</f>
        <v>1524</v>
      </c>
      <c r="AW1027" s="650"/>
      <c r="AX1027" s="551"/>
      <c r="AY1027" s="551"/>
      <c r="AZ1027" s="551"/>
      <c r="BA1027" s="551"/>
      <c r="BB1027" s="620">
        <f>I1027/24*2</f>
        <v>63.5</v>
      </c>
      <c r="BC1027" s="651"/>
      <c r="BD1027" s="551"/>
      <c r="BE1027" s="551"/>
      <c r="BF1027" s="551"/>
      <c r="BH1027" s="551"/>
      <c r="BI1027" s="551"/>
      <c r="BJ1027" s="551"/>
      <c r="BK1027" s="551"/>
      <c r="BL1027" s="551"/>
      <c r="BM1027" s="551"/>
      <c r="BN1027" s="551"/>
      <c r="BO1027" s="551"/>
      <c r="BP1027" s="551"/>
      <c r="BQ1027" s="551"/>
      <c r="BR1027" s="551"/>
      <c r="BS1027" s="551"/>
      <c r="BT1027" s="551"/>
      <c r="BU1027" s="551"/>
      <c r="BV1027" s="551"/>
      <c r="BW1027" s="551"/>
      <c r="BX1027" s="551"/>
      <c r="BY1027" s="650"/>
      <c r="BZ1027" s="551">
        <f>I1027</f>
        <v>762</v>
      </c>
      <c r="CA1027" s="652"/>
      <c r="CB1027" s="567"/>
      <c r="CC1027" s="653"/>
      <c r="CD1027" s="650"/>
      <c r="CE1027" s="650"/>
      <c r="CF1027" s="551"/>
      <c r="CG1027" s="551"/>
      <c r="CI1027" s="551"/>
      <c r="CJ1027" s="551"/>
      <c r="CK1027" s="551"/>
      <c r="CL1027" s="551"/>
      <c r="CM1027" s="551"/>
      <c r="CN1027" s="551"/>
      <c r="CO1027" s="551"/>
      <c r="CP1027" s="551"/>
      <c r="CQ1027" s="551"/>
      <c r="CR1027" s="551"/>
      <c r="CS1027" s="551"/>
      <c r="CT1027" s="551"/>
      <c r="CU1027" s="554">
        <f t="shared" ref="CU1027:CU1098" si="400">BQ1027+BP1027+BO1027+BN1027+BX1027+BR1027</f>
        <v>0</v>
      </c>
      <c r="CV1027" s="551">
        <f t="shared" ref="CV1027:CV1070" si="401">CK1027+CL1027+CM1027+CN1027+CO1027+CQ1027+CP1027</f>
        <v>0</v>
      </c>
      <c r="CW1027" s="551">
        <f t="shared" ref="CW1027:CW1070" si="402">CI1027+CJ1027</f>
        <v>0</v>
      </c>
      <c r="CX1027" s="650"/>
      <c r="CY1027" s="650"/>
      <c r="CZ1027" s="650"/>
      <c r="DA1027" s="548"/>
      <c r="DB1027" s="548"/>
      <c r="DC1027" s="548"/>
      <c r="DD1027" s="650"/>
      <c r="DE1027" s="650"/>
      <c r="DF1027" s="650"/>
      <c r="DG1027" s="650"/>
      <c r="DH1027" s="650"/>
    </row>
    <row r="1028" s="548" customFormat="1" ht="31" customHeight="1" spans="1:112">
      <c r="A1028" s="641">
        <v>45985</v>
      </c>
      <c r="B1028" s="642" t="s">
        <v>549</v>
      </c>
      <c r="C1028" s="246" t="s">
        <v>278</v>
      </c>
      <c r="D1028" s="551">
        <v>4500186739</v>
      </c>
      <c r="E1028" s="246" t="s">
        <v>2904</v>
      </c>
      <c r="F1028" s="551" t="s">
        <v>2905</v>
      </c>
      <c r="G1028" s="246" t="s">
        <v>6337</v>
      </c>
      <c r="H1028" s="246" t="s">
        <v>477</v>
      </c>
      <c r="I1028" s="704">
        <v>504</v>
      </c>
      <c r="J1028" s="246">
        <v>0</v>
      </c>
      <c r="K1028" s="246">
        <v>6</v>
      </c>
      <c r="L1028" s="644">
        <f t="shared" si="381"/>
        <v>84</v>
      </c>
      <c r="M1028" s="645">
        <v>46048</v>
      </c>
      <c r="N1028" s="645">
        <v>46044</v>
      </c>
      <c r="O1028" s="246"/>
      <c r="P1028" s="643" t="s">
        <v>113</v>
      </c>
      <c r="Q1028" s="246"/>
      <c r="R1028" s="646" t="s">
        <v>463</v>
      </c>
      <c r="S1028" s="646" t="s">
        <v>104</v>
      </c>
      <c r="T1028" s="646" t="s">
        <v>1993</v>
      </c>
      <c r="U1028" s="646"/>
      <c r="V1028" s="646"/>
      <c r="W1028" s="615"/>
      <c r="X1028" s="628" t="s">
        <v>8627</v>
      </c>
      <c r="Y1028" s="642" t="s">
        <v>2855</v>
      </c>
      <c r="Z1028" s="655">
        <v>7.0456</v>
      </c>
      <c r="AA1028" s="647">
        <f t="shared" si="398"/>
        <v>3550.9824</v>
      </c>
      <c r="AC1028" s="648"/>
      <c r="AD1028" s="246" t="s">
        <v>480</v>
      </c>
      <c r="AE1028" s="246" t="s">
        <v>82</v>
      </c>
      <c r="AF1028" s="246"/>
      <c r="AG1028" s="642"/>
      <c r="AH1028" s="642">
        <v>1</v>
      </c>
      <c r="AI1028" s="246">
        <f>324+180</f>
        <v>504</v>
      </c>
      <c r="AJ1028" s="246">
        <f t="shared" si="399"/>
        <v>0</v>
      </c>
      <c r="AK1028" s="246"/>
      <c r="AL1028" s="246"/>
      <c r="AM1028" s="246"/>
      <c r="AN1028" s="246"/>
      <c r="AO1028" s="554">
        <f>I1028*2</f>
        <v>1008</v>
      </c>
      <c r="AP1028" s="551"/>
      <c r="AQ1028" s="551"/>
      <c r="AR1028" s="650"/>
      <c r="AS1028" s="551"/>
      <c r="AT1028" s="554">
        <f>I1028*2</f>
        <v>1008</v>
      </c>
      <c r="AU1028" s="551"/>
      <c r="AV1028" s="554">
        <f>I1028*2</f>
        <v>1008</v>
      </c>
      <c r="AW1028" s="650"/>
      <c r="AX1028" s="551"/>
      <c r="AY1028" s="551"/>
      <c r="AZ1028" s="551"/>
      <c r="BA1028" s="551"/>
      <c r="BB1028" s="620">
        <f>I1028/24*2</f>
        <v>42</v>
      </c>
      <c r="BC1028" s="651"/>
      <c r="BD1028" s="551"/>
      <c r="BE1028" s="551"/>
      <c r="BF1028" s="551"/>
      <c r="BH1028" s="551"/>
      <c r="BI1028" s="551"/>
      <c r="BJ1028" s="551"/>
      <c r="BK1028" s="551"/>
      <c r="BL1028" s="551"/>
      <c r="BM1028" s="551"/>
      <c r="BN1028" s="551"/>
      <c r="BO1028" s="551"/>
      <c r="BP1028" s="551"/>
      <c r="BQ1028" s="551"/>
      <c r="BR1028" s="551"/>
      <c r="BS1028" s="551"/>
      <c r="BT1028" s="551"/>
      <c r="BU1028" s="551"/>
      <c r="BV1028" s="551"/>
      <c r="BW1028" s="551"/>
      <c r="BX1028" s="551"/>
      <c r="BY1028" s="650"/>
      <c r="BZ1028" s="551">
        <f>I1028</f>
        <v>504</v>
      </c>
      <c r="CA1028" s="652"/>
      <c r="CB1028" s="567"/>
      <c r="CC1028" s="653"/>
      <c r="CD1028" s="650"/>
      <c r="CE1028" s="650"/>
      <c r="CF1028" s="551"/>
      <c r="CG1028" s="551"/>
      <c r="CI1028" s="551"/>
      <c r="CJ1028" s="551"/>
      <c r="CK1028" s="551"/>
      <c r="CL1028" s="551"/>
      <c r="CM1028" s="551"/>
      <c r="CN1028" s="551"/>
      <c r="CO1028" s="551"/>
      <c r="CP1028" s="551"/>
      <c r="CQ1028" s="551"/>
      <c r="CR1028" s="551"/>
      <c r="CS1028" s="551"/>
      <c r="CT1028" s="551"/>
      <c r="CU1028" s="554">
        <f t="shared" si="400"/>
        <v>0</v>
      </c>
      <c r="CV1028" s="551">
        <f t="shared" si="401"/>
        <v>0</v>
      </c>
      <c r="CW1028" s="551">
        <f t="shared" si="402"/>
        <v>0</v>
      </c>
      <c r="CX1028" s="650"/>
      <c r="CY1028" s="650"/>
      <c r="CZ1028" s="650"/>
      <c r="DA1028" s="548"/>
      <c r="DB1028" s="548"/>
      <c r="DC1028" s="548"/>
      <c r="DD1028" s="650"/>
      <c r="DE1028" s="650"/>
      <c r="DF1028" s="650"/>
      <c r="DG1028" s="650"/>
      <c r="DH1028" s="650"/>
    </row>
    <row r="1029" s="548" customFormat="1" ht="31" customHeight="1" spans="1:112">
      <c r="A1029" s="641">
        <v>45985</v>
      </c>
      <c r="B1029" s="642" t="s">
        <v>549</v>
      </c>
      <c r="C1029" s="246" t="s">
        <v>278</v>
      </c>
      <c r="D1029" s="551">
        <v>4500186739</v>
      </c>
      <c r="E1029" s="246" t="s">
        <v>8628</v>
      </c>
      <c r="F1029" s="551" t="s">
        <v>8629</v>
      </c>
      <c r="G1029" s="246" t="s">
        <v>6365</v>
      </c>
      <c r="H1029" s="246" t="s">
        <v>6126</v>
      </c>
      <c r="I1029" s="704">
        <v>984</v>
      </c>
      <c r="J1029" s="246">
        <v>0</v>
      </c>
      <c r="K1029" s="246">
        <v>12</v>
      </c>
      <c r="L1029" s="644">
        <f t="shared" si="381"/>
        <v>82</v>
      </c>
      <c r="M1029" s="645">
        <v>46048</v>
      </c>
      <c r="N1029" s="645">
        <v>46044</v>
      </c>
      <c r="O1029" s="246"/>
      <c r="P1029" s="643" t="s">
        <v>113</v>
      </c>
      <c r="Q1029" s="246"/>
      <c r="R1029" s="646" t="s">
        <v>463</v>
      </c>
      <c r="S1029" s="646" t="s">
        <v>104</v>
      </c>
      <c r="T1029" s="646" t="s">
        <v>1993</v>
      </c>
      <c r="U1029" s="646"/>
      <c r="V1029" s="646"/>
      <c r="W1029" s="615"/>
      <c r="X1029" s="628" t="s">
        <v>8630</v>
      </c>
      <c r="Y1029" s="642" t="s">
        <v>2855</v>
      </c>
      <c r="Z1029" s="655">
        <v>2.1257</v>
      </c>
      <c r="AA1029" s="647">
        <f t="shared" si="398"/>
        <v>2091.6888</v>
      </c>
      <c r="AC1029" s="648"/>
      <c r="AD1029" s="246" t="s">
        <v>6368</v>
      </c>
      <c r="AE1029" s="246" t="s">
        <v>82</v>
      </c>
      <c r="AF1029" s="246"/>
      <c r="AG1029" s="642"/>
      <c r="AH1029" s="642">
        <v>1</v>
      </c>
      <c r="AI1029" s="246">
        <v>984</v>
      </c>
      <c r="AJ1029" s="246">
        <f t="shared" si="399"/>
        <v>0</v>
      </c>
      <c r="AK1029" s="246"/>
      <c r="AL1029" s="246" t="s">
        <v>2368</v>
      </c>
      <c r="AM1029" s="246"/>
      <c r="AN1029" s="246"/>
      <c r="AO1029" s="554">
        <f>I1029*2</f>
        <v>1968</v>
      </c>
      <c r="AP1029" s="551"/>
      <c r="AQ1029" s="551"/>
      <c r="AR1029" s="650"/>
      <c r="AS1029" s="551"/>
      <c r="AT1029" s="554">
        <f>I1029*2</f>
        <v>1968</v>
      </c>
      <c r="AU1029" s="551"/>
      <c r="AV1029" s="554">
        <f>I1029*2</f>
        <v>1968</v>
      </c>
      <c r="AW1029" s="650"/>
      <c r="AX1029" s="551"/>
      <c r="AY1029" s="551"/>
      <c r="AZ1029" s="551"/>
      <c r="BA1029" s="551"/>
      <c r="BB1029" s="249">
        <f>I1029/24*2</f>
        <v>82</v>
      </c>
      <c r="BC1029" s="651"/>
      <c r="BD1029" s="551"/>
      <c r="BE1029" s="551"/>
      <c r="BF1029" s="551"/>
      <c r="BH1029" s="551"/>
      <c r="BI1029" s="551"/>
      <c r="BJ1029" s="551"/>
      <c r="BK1029" s="551"/>
      <c r="BL1029" s="551"/>
      <c r="BM1029" s="551"/>
      <c r="BN1029" s="551"/>
      <c r="BO1029" s="551"/>
      <c r="BP1029" s="551"/>
      <c r="BQ1029" s="551"/>
      <c r="BR1029" s="551"/>
      <c r="BS1029" s="551"/>
      <c r="BT1029" s="551"/>
      <c r="BU1029" s="551"/>
      <c r="BV1029" s="551"/>
      <c r="BW1029" s="551"/>
      <c r="BX1029" s="551"/>
      <c r="BY1029" s="650"/>
      <c r="BZ1029" s="551"/>
      <c r="CA1029" s="652"/>
      <c r="CB1029" s="567"/>
      <c r="CC1029" s="653"/>
      <c r="CD1029" s="650"/>
      <c r="CE1029" s="650"/>
      <c r="CF1029" s="551"/>
      <c r="CG1029" s="551"/>
      <c r="CI1029" s="551"/>
      <c r="CJ1029" s="551"/>
      <c r="CK1029" s="551"/>
      <c r="CL1029" s="551"/>
      <c r="CM1029" s="551"/>
      <c r="CN1029" s="551"/>
      <c r="CO1029" s="551"/>
      <c r="CP1029" s="551"/>
      <c r="CQ1029" s="551"/>
      <c r="CR1029" s="554">
        <f>I1029</f>
        <v>984</v>
      </c>
      <c r="CS1029" s="554">
        <f>I1029</f>
        <v>984</v>
      </c>
      <c r="CT1029" s="554">
        <f>I1029</f>
        <v>984</v>
      </c>
      <c r="CU1029" s="554">
        <f t="shared" si="400"/>
        <v>0</v>
      </c>
      <c r="CV1029" s="551">
        <f t="shared" si="401"/>
        <v>0</v>
      </c>
      <c r="CW1029" s="551">
        <f t="shared" si="402"/>
        <v>0</v>
      </c>
      <c r="CX1029" s="650"/>
      <c r="CY1029" s="650"/>
      <c r="CZ1029" s="650"/>
      <c r="DA1029" s="548"/>
      <c r="DB1029" s="548"/>
      <c r="DC1029" s="548"/>
      <c r="DD1029" s="650"/>
      <c r="DE1029" s="650"/>
      <c r="DF1029" s="650"/>
      <c r="DG1029" s="650"/>
      <c r="DH1029" s="650"/>
    </row>
    <row r="1030" s="548" customFormat="1" ht="31" customHeight="1" spans="1:112">
      <c r="A1030" s="641">
        <v>45995</v>
      </c>
      <c r="B1030" s="642" t="s">
        <v>135</v>
      </c>
      <c r="C1030" s="246" t="s">
        <v>128</v>
      </c>
      <c r="D1030" s="551">
        <v>4500187429</v>
      </c>
      <c r="E1030" s="246">
        <v>21304827</v>
      </c>
      <c r="F1030" s="551" t="s">
        <v>8631</v>
      </c>
      <c r="G1030" s="246" t="s">
        <v>6093</v>
      </c>
      <c r="H1030" s="246" t="s">
        <v>6094</v>
      </c>
      <c r="I1030" s="704">
        <v>3965</v>
      </c>
      <c r="J1030" s="246">
        <v>0</v>
      </c>
      <c r="K1030" s="246">
        <v>13</v>
      </c>
      <c r="L1030" s="644">
        <f t="shared" si="381"/>
        <v>305</v>
      </c>
      <c r="M1030" s="645">
        <v>46048</v>
      </c>
      <c r="N1030" s="645">
        <v>46044</v>
      </c>
      <c r="O1030" s="246"/>
      <c r="P1030" s="643" t="s">
        <v>113</v>
      </c>
      <c r="Q1030" s="246"/>
      <c r="R1030" s="646">
        <v>46017</v>
      </c>
      <c r="S1030" s="646" t="s">
        <v>104</v>
      </c>
      <c r="T1030" s="646" t="s">
        <v>7547</v>
      </c>
      <c r="U1030" s="646"/>
      <c r="V1030" s="646"/>
      <c r="W1030" s="615"/>
      <c r="X1030" s="642" t="s">
        <v>8632</v>
      </c>
      <c r="Y1030" s="642" t="s">
        <v>133</v>
      </c>
      <c r="Z1030" s="655">
        <v>0.9475</v>
      </c>
      <c r="AA1030" s="647">
        <f t="shared" si="398"/>
        <v>3756.8375</v>
      </c>
      <c r="AC1030" s="648"/>
      <c r="AD1030" s="246" t="s">
        <v>6093</v>
      </c>
      <c r="AE1030" s="246" t="s">
        <v>82</v>
      </c>
      <c r="AF1030" s="246"/>
      <c r="AG1030" s="642"/>
      <c r="AH1030" s="642">
        <v>1</v>
      </c>
      <c r="AI1030" s="246">
        <v>3965</v>
      </c>
      <c r="AJ1030" s="246">
        <f t="shared" si="399"/>
        <v>0</v>
      </c>
      <c r="AK1030" s="246"/>
      <c r="AL1030" s="246" t="s">
        <v>2368</v>
      </c>
      <c r="AM1030" s="246"/>
      <c r="AN1030" s="246"/>
      <c r="AO1030" s="551">
        <f>I1030</f>
        <v>3965</v>
      </c>
      <c r="AP1030" s="551"/>
      <c r="AQ1030" s="551"/>
      <c r="AR1030" s="650"/>
      <c r="AS1030" s="551"/>
      <c r="AT1030" s="554">
        <f>I1030</f>
        <v>3965</v>
      </c>
      <c r="AU1030" s="551"/>
      <c r="AV1030" s="554">
        <f>I1030</f>
        <v>3965</v>
      </c>
      <c r="AW1030" s="650"/>
      <c r="AX1030" s="551"/>
      <c r="AY1030" s="551"/>
      <c r="AZ1030" s="551"/>
      <c r="BA1030" s="551"/>
      <c r="BB1030" s="249">
        <f t="shared" ref="BB1030:BB1036" si="403">I1030/24</f>
        <v>165.208333333333</v>
      </c>
      <c r="BC1030" s="651"/>
      <c r="BD1030" s="551"/>
      <c r="BE1030" s="551"/>
      <c r="BF1030" s="551"/>
      <c r="BH1030" s="551"/>
      <c r="BI1030" s="551"/>
      <c r="BJ1030" s="551"/>
      <c r="BK1030" s="551"/>
      <c r="BL1030" s="551"/>
      <c r="BM1030" s="551">
        <f>I1030/13</f>
        <v>305</v>
      </c>
      <c r="BN1030" s="551"/>
      <c r="BO1030" s="551"/>
      <c r="BP1030" s="551"/>
      <c r="BQ1030" s="551"/>
      <c r="BR1030" s="551"/>
      <c r="BS1030" s="551"/>
      <c r="BT1030" s="551"/>
      <c r="BU1030" s="551"/>
      <c r="BV1030" s="551"/>
      <c r="BW1030" s="551"/>
      <c r="BX1030" s="551"/>
      <c r="BY1030" s="650"/>
      <c r="BZ1030" s="551"/>
      <c r="CA1030" s="652"/>
      <c r="CB1030" s="567"/>
      <c r="CC1030" s="653"/>
      <c r="CD1030" s="650"/>
      <c r="CE1030" s="650"/>
      <c r="CF1030" s="551"/>
      <c r="CG1030" s="551"/>
      <c r="CI1030" s="551"/>
      <c r="CJ1030" s="551"/>
      <c r="CK1030" s="551"/>
      <c r="CL1030" s="551"/>
      <c r="CM1030" s="551"/>
      <c r="CN1030" s="551"/>
      <c r="CO1030" s="551"/>
      <c r="CP1030" s="551"/>
      <c r="CQ1030" s="551"/>
      <c r="CR1030" s="551"/>
      <c r="CS1030" s="551"/>
      <c r="CT1030" s="551"/>
      <c r="CU1030" s="554">
        <f t="shared" si="400"/>
        <v>0</v>
      </c>
      <c r="CV1030" s="551">
        <f t="shared" si="401"/>
        <v>0</v>
      </c>
      <c r="CW1030" s="551">
        <f t="shared" si="402"/>
        <v>0</v>
      </c>
      <c r="CX1030" s="650"/>
      <c r="CY1030" s="650"/>
      <c r="CZ1030" s="650"/>
      <c r="DA1030" s="548"/>
      <c r="DB1030" s="548"/>
      <c r="DC1030" s="548"/>
      <c r="DD1030" s="650"/>
      <c r="DE1030" s="650"/>
      <c r="DF1030" s="650"/>
      <c r="DG1030" s="650"/>
      <c r="DH1030" s="650"/>
    </row>
    <row r="1031" s="548" customFormat="1" ht="31" customHeight="1" spans="1:112">
      <c r="A1031" s="641">
        <v>46001</v>
      </c>
      <c r="B1031" s="642" t="s">
        <v>3715</v>
      </c>
      <c r="C1031" s="246" t="s">
        <v>98</v>
      </c>
      <c r="D1031" s="551">
        <v>4500188598</v>
      </c>
      <c r="E1031" s="246">
        <v>40799204</v>
      </c>
      <c r="F1031" s="551" t="s">
        <v>8633</v>
      </c>
      <c r="G1031" s="246" t="s">
        <v>6084</v>
      </c>
      <c r="H1031" s="246" t="s">
        <v>6069</v>
      </c>
      <c r="I1031" s="704">
        <v>1925</v>
      </c>
      <c r="J1031" s="246">
        <v>0</v>
      </c>
      <c r="K1031" s="246">
        <v>25</v>
      </c>
      <c r="L1031" s="644">
        <f t="shared" si="381"/>
        <v>77</v>
      </c>
      <c r="M1031" s="645">
        <v>46048</v>
      </c>
      <c r="N1031" s="645">
        <v>46044</v>
      </c>
      <c r="O1031" s="246" t="s">
        <v>8446</v>
      </c>
      <c r="P1031" s="643" t="s">
        <v>113</v>
      </c>
      <c r="Q1031" s="246"/>
      <c r="R1031" s="646">
        <v>46001</v>
      </c>
      <c r="S1031" s="646" t="s">
        <v>104</v>
      </c>
      <c r="T1031" s="646" t="s">
        <v>8447</v>
      </c>
      <c r="U1031" s="646"/>
      <c r="V1031" s="646"/>
      <c r="W1031" s="615"/>
      <c r="X1031" s="642" t="s">
        <v>8430</v>
      </c>
      <c r="Y1031" s="642" t="s">
        <v>270</v>
      </c>
      <c r="Z1031" s="655">
        <v>0.5927</v>
      </c>
      <c r="AA1031" s="647">
        <f t="shared" si="398"/>
        <v>1140.9475</v>
      </c>
      <c r="AC1031" s="658" t="s">
        <v>2938</v>
      </c>
      <c r="AD1031" s="246" t="s">
        <v>6089</v>
      </c>
      <c r="AE1031" s="246" t="s">
        <v>82</v>
      </c>
      <c r="AF1031" s="246"/>
      <c r="AG1031" s="642"/>
      <c r="AH1031" s="642">
        <v>1</v>
      </c>
      <c r="AI1031" s="246">
        <v>1925</v>
      </c>
      <c r="AJ1031" s="246">
        <f t="shared" si="399"/>
        <v>0</v>
      </c>
      <c r="AK1031" s="246"/>
      <c r="AL1031" s="246" t="s">
        <v>2368</v>
      </c>
      <c r="AM1031" s="246"/>
      <c r="AN1031" s="246">
        <f>I1031</f>
        <v>1925</v>
      </c>
      <c r="AO1031" s="551"/>
      <c r="AP1031" s="551"/>
      <c r="AQ1031" s="551"/>
      <c r="AR1031" s="650"/>
      <c r="AS1031" s="551">
        <f>I1031</f>
        <v>1925</v>
      </c>
      <c r="AT1031" s="551"/>
      <c r="AU1031" s="554">
        <f>I1031</f>
        <v>1925</v>
      </c>
      <c r="AV1031" s="551"/>
      <c r="AW1031" s="650"/>
      <c r="AX1031" s="551"/>
      <c r="AY1031" s="551"/>
      <c r="AZ1031" s="551"/>
      <c r="BA1031" s="551"/>
      <c r="BB1031" s="249">
        <f t="shared" si="403"/>
        <v>80.2083333333333</v>
      </c>
      <c r="BC1031" s="651"/>
      <c r="BD1031" s="551"/>
      <c r="BE1031" s="551"/>
      <c r="BF1031" s="551"/>
      <c r="BH1031" s="551"/>
      <c r="BI1031" s="551"/>
      <c r="BJ1031" s="551"/>
      <c r="BK1031" s="551"/>
      <c r="BL1031" s="551"/>
      <c r="BM1031" s="551"/>
      <c r="BN1031" s="551"/>
      <c r="BO1031" s="551">
        <f>I1031/25</f>
        <v>77</v>
      </c>
      <c r="BP1031" s="551"/>
      <c r="BQ1031" s="551"/>
      <c r="BR1031" s="551"/>
      <c r="BS1031" s="551"/>
      <c r="BT1031" s="551"/>
      <c r="BU1031" s="551"/>
      <c r="BV1031" s="551"/>
      <c r="BW1031" s="551"/>
      <c r="BX1031" s="551"/>
      <c r="BY1031" s="650"/>
      <c r="BZ1031" s="551"/>
      <c r="CA1031" s="652"/>
      <c r="CB1031" s="567"/>
      <c r="CC1031" s="653"/>
      <c r="CD1031" s="650"/>
      <c r="CE1031" s="650"/>
      <c r="CF1031" s="551"/>
      <c r="CG1031" s="551"/>
      <c r="CI1031" s="551"/>
      <c r="CJ1031" s="551"/>
      <c r="CK1031" s="551"/>
      <c r="CL1031" s="551"/>
      <c r="CM1031" s="551"/>
      <c r="CN1031" s="551"/>
      <c r="CO1031" s="551"/>
      <c r="CP1031" s="551"/>
      <c r="CQ1031" s="551"/>
      <c r="CR1031" s="551"/>
      <c r="CS1031" s="551"/>
      <c r="CT1031" s="551"/>
      <c r="CU1031" s="554">
        <f t="shared" si="400"/>
        <v>77</v>
      </c>
      <c r="CV1031" s="551">
        <f t="shared" si="401"/>
        <v>0</v>
      </c>
      <c r="CW1031" s="551">
        <f t="shared" si="402"/>
        <v>0</v>
      </c>
      <c r="CX1031" s="650"/>
      <c r="CY1031" s="650"/>
      <c r="CZ1031" s="650"/>
      <c r="DA1031" s="548"/>
      <c r="DB1031" s="548"/>
      <c r="DC1031" s="548"/>
      <c r="DD1031" s="650"/>
      <c r="DE1031" s="650"/>
      <c r="DF1031" s="650"/>
      <c r="DG1031" s="650"/>
      <c r="DH1031" s="650"/>
    </row>
    <row r="1032" s="548" customFormat="1" ht="31" customHeight="1" spans="1:112">
      <c r="A1032" s="641">
        <v>46001</v>
      </c>
      <c r="B1032" s="642" t="s">
        <v>3715</v>
      </c>
      <c r="C1032" s="246" t="s">
        <v>98</v>
      </c>
      <c r="D1032" s="551">
        <v>4500188599</v>
      </c>
      <c r="E1032" s="246">
        <v>40799198</v>
      </c>
      <c r="F1032" s="551" t="s">
        <v>8634</v>
      </c>
      <c r="G1032" s="246" t="s">
        <v>6084</v>
      </c>
      <c r="H1032" s="246" t="s">
        <v>6069</v>
      </c>
      <c r="I1032" s="704">
        <v>925</v>
      </c>
      <c r="J1032" s="246">
        <v>0</v>
      </c>
      <c r="K1032" s="246">
        <v>25</v>
      </c>
      <c r="L1032" s="644">
        <f t="shared" si="381"/>
        <v>37</v>
      </c>
      <c r="M1032" s="645">
        <v>46048</v>
      </c>
      <c r="N1032" s="645">
        <v>46046</v>
      </c>
      <c r="O1032" s="246" t="s">
        <v>8446</v>
      </c>
      <c r="P1032" s="643" t="s">
        <v>113</v>
      </c>
      <c r="Q1032" s="246"/>
      <c r="R1032" s="646">
        <v>46001</v>
      </c>
      <c r="S1032" s="646" t="s">
        <v>104</v>
      </c>
      <c r="T1032" s="646" t="s">
        <v>8447</v>
      </c>
      <c r="U1032" s="646"/>
      <c r="V1032" s="646"/>
      <c r="W1032" s="615"/>
      <c r="X1032" s="642" t="s">
        <v>8430</v>
      </c>
      <c r="Y1032" s="642" t="s">
        <v>270</v>
      </c>
      <c r="Z1032" s="655">
        <v>0.5957</v>
      </c>
      <c r="AA1032" s="647">
        <f t="shared" si="398"/>
        <v>551.0225</v>
      </c>
      <c r="AC1032" s="658" t="s">
        <v>2940</v>
      </c>
      <c r="AD1032" s="246" t="s">
        <v>6089</v>
      </c>
      <c r="AE1032" s="246" t="s">
        <v>82</v>
      </c>
      <c r="AF1032" s="246"/>
      <c r="AG1032" s="642"/>
      <c r="AH1032" s="642">
        <v>1</v>
      </c>
      <c r="AI1032" s="246">
        <v>925</v>
      </c>
      <c r="AJ1032" s="246">
        <f t="shared" si="399"/>
        <v>0</v>
      </c>
      <c r="AK1032" s="246"/>
      <c r="AL1032" s="246" t="s">
        <v>2368</v>
      </c>
      <c r="AM1032" s="246"/>
      <c r="AN1032" s="246">
        <f>I1032</f>
        <v>925</v>
      </c>
      <c r="AO1032" s="551"/>
      <c r="AP1032" s="551"/>
      <c r="AQ1032" s="551"/>
      <c r="AR1032" s="650"/>
      <c r="AS1032" s="551">
        <f>I1032</f>
        <v>925</v>
      </c>
      <c r="AT1032" s="551"/>
      <c r="AU1032" s="554">
        <f>I1032</f>
        <v>925</v>
      </c>
      <c r="AV1032" s="551"/>
      <c r="AW1032" s="650"/>
      <c r="AX1032" s="551"/>
      <c r="AY1032" s="551"/>
      <c r="AZ1032" s="551"/>
      <c r="BA1032" s="551"/>
      <c r="BB1032" s="249">
        <f t="shared" si="403"/>
        <v>38.5416666666667</v>
      </c>
      <c r="BC1032" s="651"/>
      <c r="BD1032" s="551"/>
      <c r="BE1032" s="551"/>
      <c r="BF1032" s="551"/>
      <c r="BH1032" s="551"/>
      <c r="BI1032" s="551"/>
      <c r="BJ1032" s="551"/>
      <c r="BK1032" s="551"/>
      <c r="BL1032" s="551"/>
      <c r="BM1032" s="551"/>
      <c r="BN1032" s="551"/>
      <c r="BO1032" s="551">
        <f>I1032/25</f>
        <v>37</v>
      </c>
      <c r="BP1032" s="551"/>
      <c r="BQ1032" s="551"/>
      <c r="BR1032" s="551"/>
      <c r="BS1032" s="551"/>
      <c r="BT1032" s="551"/>
      <c r="BU1032" s="551"/>
      <c r="BV1032" s="551"/>
      <c r="BW1032" s="551"/>
      <c r="BX1032" s="551"/>
      <c r="BY1032" s="650"/>
      <c r="BZ1032" s="551"/>
      <c r="CA1032" s="652"/>
      <c r="CB1032" s="567"/>
      <c r="CC1032" s="653"/>
      <c r="CD1032" s="650"/>
      <c r="CE1032" s="650"/>
      <c r="CF1032" s="551"/>
      <c r="CG1032" s="551"/>
      <c r="CI1032" s="551"/>
      <c r="CJ1032" s="551"/>
      <c r="CK1032" s="551"/>
      <c r="CL1032" s="551"/>
      <c r="CM1032" s="551"/>
      <c r="CN1032" s="551"/>
      <c r="CO1032" s="551"/>
      <c r="CP1032" s="551"/>
      <c r="CQ1032" s="551"/>
      <c r="CR1032" s="551"/>
      <c r="CS1032" s="551"/>
      <c r="CT1032" s="551"/>
      <c r="CU1032" s="554">
        <f t="shared" si="400"/>
        <v>37</v>
      </c>
      <c r="CV1032" s="551">
        <f t="shared" si="401"/>
        <v>0</v>
      </c>
      <c r="CW1032" s="551">
        <f t="shared" si="402"/>
        <v>0</v>
      </c>
      <c r="CX1032" s="650"/>
      <c r="CY1032" s="650"/>
      <c r="CZ1032" s="650"/>
      <c r="DA1032" s="548"/>
      <c r="DB1032" s="548"/>
      <c r="DC1032" s="548"/>
      <c r="DD1032" s="650"/>
      <c r="DE1032" s="650"/>
      <c r="DF1032" s="650"/>
      <c r="DG1032" s="650"/>
      <c r="DH1032" s="650"/>
    </row>
    <row r="1033" s="548" customFormat="1" ht="31" customHeight="1" spans="1:112">
      <c r="A1033" s="641">
        <v>46001</v>
      </c>
      <c r="B1033" s="642" t="s">
        <v>3715</v>
      </c>
      <c r="C1033" s="246" t="s">
        <v>98</v>
      </c>
      <c r="D1033" s="551">
        <v>4500188600</v>
      </c>
      <c r="E1033" s="246">
        <v>40799201</v>
      </c>
      <c r="F1033" s="551" t="s">
        <v>8635</v>
      </c>
      <c r="G1033" s="246" t="s">
        <v>6084</v>
      </c>
      <c r="H1033" s="246" t="s">
        <v>6069</v>
      </c>
      <c r="I1033" s="704">
        <v>2025</v>
      </c>
      <c r="J1033" s="246">
        <v>0</v>
      </c>
      <c r="K1033" s="246">
        <v>25</v>
      </c>
      <c r="L1033" s="644">
        <f t="shared" si="381"/>
        <v>81</v>
      </c>
      <c r="M1033" s="645">
        <v>46048</v>
      </c>
      <c r="N1033" s="645">
        <v>46044</v>
      </c>
      <c r="O1033" s="246" t="s">
        <v>8446</v>
      </c>
      <c r="P1033" s="643" t="s">
        <v>113</v>
      </c>
      <c r="Q1033" s="246"/>
      <c r="R1033" s="646">
        <v>46001</v>
      </c>
      <c r="S1033" s="646" t="s">
        <v>104</v>
      </c>
      <c r="T1033" s="646" t="s">
        <v>8447</v>
      </c>
      <c r="U1033" s="646"/>
      <c r="V1033" s="646"/>
      <c r="W1033" s="615"/>
      <c r="X1033" s="642" t="s">
        <v>8636</v>
      </c>
      <c r="Y1033" s="642" t="s">
        <v>270</v>
      </c>
      <c r="Z1033" s="655">
        <v>0.5927</v>
      </c>
      <c r="AA1033" s="647">
        <f t="shared" si="398"/>
        <v>1200.2175</v>
      </c>
      <c r="AC1033" s="658" t="s">
        <v>2943</v>
      </c>
      <c r="AD1033" s="246" t="s">
        <v>6089</v>
      </c>
      <c r="AE1033" s="246" t="s">
        <v>82</v>
      </c>
      <c r="AF1033" s="246"/>
      <c r="AG1033" s="642"/>
      <c r="AH1033" s="642">
        <v>1</v>
      </c>
      <c r="AI1033" s="246">
        <v>2025</v>
      </c>
      <c r="AJ1033" s="246">
        <f t="shared" si="399"/>
        <v>0</v>
      </c>
      <c r="AK1033" s="246"/>
      <c r="AL1033" s="246" t="s">
        <v>2368</v>
      </c>
      <c r="AM1033" s="246"/>
      <c r="AN1033" s="246">
        <f>I1033</f>
        <v>2025</v>
      </c>
      <c r="AO1033" s="551"/>
      <c r="AP1033" s="551"/>
      <c r="AQ1033" s="551"/>
      <c r="AR1033" s="650"/>
      <c r="AS1033" s="551">
        <f>I1033</f>
        <v>2025</v>
      </c>
      <c r="AT1033" s="551"/>
      <c r="AU1033" s="554">
        <f>I1033</f>
        <v>2025</v>
      </c>
      <c r="AV1033" s="551"/>
      <c r="AW1033" s="650"/>
      <c r="AX1033" s="551"/>
      <c r="AY1033" s="551"/>
      <c r="AZ1033" s="551"/>
      <c r="BA1033" s="551"/>
      <c r="BB1033" s="249">
        <f t="shared" si="403"/>
        <v>84.375</v>
      </c>
      <c r="BC1033" s="651"/>
      <c r="BD1033" s="551"/>
      <c r="BE1033" s="551"/>
      <c r="BF1033" s="551"/>
      <c r="BH1033" s="551"/>
      <c r="BI1033" s="551"/>
      <c r="BJ1033" s="551"/>
      <c r="BK1033" s="551"/>
      <c r="BL1033" s="551"/>
      <c r="BM1033" s="551"/>
      <c r="BN1033" s="551"/>
      <c r="BO1033" s="551">
        <f>I1033/25</f>
        <v>81</v>
      </c>
      <c r="BP1033" s="551"/>
      <c r="BQ1033" s="551"/>
      <c r="BR1033" s="551"/>
      <c r="BS1033" s="551"/>
      <c r="BT1033" s="551"/>
      <c r="BU1033" s="551"/>
      <c r="BV1033" s="551"/>
      <c r="BW1033" s="551"/>
      <c r="BX1033" s="551"/>
      <c r="BY1033" s="650"/>
      <c r="BZ1033" s="551"/>
      <c r="CA1033" s="652"/>
      <c r="CB1033" s="567"/>
      <c r="CC1033" s="653"/>
      <c r="CD1033" s="650"/>
      <c r="CE1033" s="650"/>
      <c r="CF1033" s="551"/>
      <c r="CG1033" s="551"/>
      <c r="CI1033" s="551"/>
      <c r="CJ1033" s="551"/>
      <c r="CK1033" s="551"/>
      <c r="CL1033" s="551"/>
      <c r="CM1033" s="551"/>
      <c r="CN1033" s="551"/>
      <c r="CO1033" s="551"/>
      <c r="CP1033" s="551"/>
      <c r="CQ1033" s="551"/>
      <c r="CR1033" s="551"/>
      <c r="CS1033" s="551"/>
      <c r="CT1033" s="551"/>
      <c r="CU1033" s="554">
        <f t="shared" si="400"/>
        <v>81</v>
      </c>
      <c r="CV1033" s="551">
        <f t="shared" si="401"/>
        <v>0</v>
      </c>
      <c r="CW1033" s="551">
        <f t="shared" si="402"/>
        <v>0</v>
      </c>
      <c r="CX1033" s="650"/>
      <c r="CY1033" s="650"/>
      <c r="CZ1033" s="650"/>
      <c r="DA1033" s="548"/>
      <c r="DB1033" s="548"/>
      <c r="DC1033" s="548"/>
      <c r="DD1033" s="650"/>
      <c r="DE1033" s="650"/>
      <c r="DF1033" s="650"/>
      <c r="DG1033" s="650"/>
      <c r="DH1033" s="650"/>
    </row>
    <row r="1034" s="548" customFormat="1" ht="31" customHeight="1" spans="1:112">
      <c r="A1034" s="641">
        <v>46003</v>
      </c>
      <c r="B1034" s="642" t="s">
        <v>135</v>
      </c>
      <c r="C1034" s="246" t="s">
        <v>128</v>
      </c>
      <c r="D1034" s="551">
        <v>4500188871</v>
      </c>
      <c r="E1034" s="246">
        <v>21320116</v>
      </c>
      <c r="F1034" s="551" t="s">
        <v>8637</v>
      </c>
      <c r="G1034" s="246" t="s">
        <v>6093</v>
      </c>
      <c r="H1034" s="246" t="s">
        <v>6094</v>
      </c>
      <c r="I1034" s="704">
        <v>4407</v>
      </c>
      <c r="J1034" s="246">
        <v>0</v>
      </c>
      <c r="K1034" s="246">
        <v>13</v>
      </c>
      <c r="L1034" s="644">
        <f t="shared" si="381"/>
        <v>339</v>
      </c>
      <c r="M1034" s="645">
        <v>46048</v>
      </c>
      <c r="N1034" s="645">
        <v>46044</v>
      </c>
      <c r="O1034" s="246"/>
      <c r="P1034" s="643" t="s">
        <v>113</v>
      </c>
      <c r="Q1034" s="246"/>
      <c r="R1034" s="646">
        <v>46017</v>
      </c>
      <c r="S1034" s="646" t="s">
        <v>104</v>
      </c>
      <c r="T1034" s="646" t="s">
        <v>8638</v>
      </c>
      <c r="U1034" s="646"/>
      <c r="V1034" s="646"/>
      <c r="W1034" s="615"/>
      <c r="X1034" s="642" t="s">
        <v>8639</v>
      </c>
      <c r="Y1034" s="642" t="s">
        <v>3206</v>
      </c>
      <c r="Z1034" s="655">
        <v>0.9475</v>
      </c>
      <c r="AA1034" s="647">
        <f t="shared" si="398"/>
        <v>4175.6325</v>
      </c>
      <c r="AC1034" s="648"/>
      <c r="AD1034" s="246" t="s">
        <v>6093</v>
      </c>
      <c r="AE1034" s="246" t="s">
        <v>82</v>
      </c>
      <c r="AF1034" s="246"/>
      <c r="AG1034" s="642"/>
      <c r="AH1034" s="642">
        <v>1</v>
      </c>
      <c r="AI1034" s="246">
        <v>4407</v>
      </c>
      <c r="AJ1034" s="246">
        <f t="shared" si="399"/>
        <v>0</v>
      </c>
      <c r="AK1034" s="246"/>
      <c r="AL1034" s="246" t="s">
        <v>2368</v>
      </c>
      <c r="AM1034" s="246"/>
      <c r="AN1034" s="246"/>
      <c r="AO1034" s="551">
        <f>I1034</f>
        <v>4407</v>
      </c>
      <c r="AP1034" s="551"/>
      <c r="AQ1034" s="551"/>
      <c r="AR1034" s="650"/>
      <c r="AS1034" s="551"/>
      <c r="AT1034" s="554">
        <f>I1034</f>
        <v>4407</v>
      </c>
      <c r="AU1034" s="551"/>
      <c r="AV1034" s="554">
        <f>I1034</f>
        <v>4407</v>
      </c>
      <c r="AW1034" s="650"/>
      <c r="AX1034" s="551"/>
      <c r="AY1034" s="551"/>
      <c r="AZ1034" s="551"/>
      <c r="BA1034" s="551"/>
      <c r="BB1034" s="249">
        <f t="shared" si="403"/>
        <v>183.625</v>
      </c>
      <c r="BC1034" s="651"/>
      <c r="BD1034" s="551"/>
      <c r="BE1034" s="551"/>
      <c r="BF1034" s="551"/>
      <c r="BH1034" s="551"/>
      <c r="BI1034" s="551"/>
      <c r="BJ1034" s="551"/>
      <c r="BK1034" s="551"/>
      <c r="BL1034" s="551"/>
      <c r="BM1034" s="551">
        <f>I1034/13</f>
        <v>339</v>
      </c>
      <c r="BN1034" s="551"/>
      <c r="BO1034" s="551"/>
      <c r="BP1034" s="551"/>
      <c r="BQ1034" s="551"/>
      <c r="BR1034" s="551"/>
      <c r="BS1034" s="551"/>
      <c r="BT1034" s="551"/>
      <c r="BU1034" s="551"/>
      <c r="BV1034" s="551"/>
      <c r="BW1034" s="551"/>
      <c r="BX1034" s="551"/>
      <c r="BY1034" s="650"/>
      <c r="BZ1034" s="551"/>
      <c r="CA1034" s="652"/>
      <c r="CB1034" s="567"/>
      <c r="CC1034" s="653"/>
      <c r="CD1034" s="650"/>
      <c r="CE1034" s="650"/>
      <c r="CF1034" s="551"/>
      <c r="CG1034" s="551"/>
      <c r="CI1034" s="551"/>
      <c r="CJ1034" s="551"/>
      <c r="CK1034" s="551"/>
      <c r="CL1034" s="551"/>
      <c r="CM1034" s="551"/>
      <c r="CN1034" s="551"/>
      <c r="CO1034" s="551"/>
      <c r="CP1034" s="551"/>
      <c r="CQ1034" s="551"/>
      <c r="CR1034" s="551"/>
      <c r="CS1034" s="551"/>
      <c r="CT1034" s="551"/>
      <c r="CU1034" s="554">
        <f t="shared" si="400"/>
        <v>0</v>
      </c>
      <c r="CV1034" s="551">
        <f t="shared" si="401"/>
        <v>0</v>
      </c>
      <c r="CW1034" s="551">
        <f t="shared" si="402"/>
        <v>0</v>
      </c>
      <c r="CX1034" s="650"/>
      <c r="CY1034" s="650"/>
      <c r="CZ1034" s="650"/>
      <c r="DA1034" s="548"/>
      <c r="DB1034" s="548"/>
      <c r="DC1034" s="548"/>
      <c r="DD1034" s="650"/>
      <c r="DE1034" s="650"/>
      <c r="DF1034" s="650"/>
      <c r="DG1034" s="650"/>
      <c r="DH1034" s="650"/>
    </row>
    <row r="1035" s="548" customFormat="1" ht="31" customHeight="1" spans="1:112">
      <c r="A1035" s="641">
        <v>46003</v>
      </c>
      <c r="B1035" s="642" t="s">
        <v>139</v>
      </c>
      <c r="C1035" s="246" t="s">
        <v>76</v>
      </c>
      <c r="D1035" s="551">
        <v>4500188875</v>
      </c>
      <c r="E1035" s="246">
        <v>21320117</v>
      </c>
      <c r="F1035" s="551" t="s">
        <v>8640</v>
      </c>
      <c r="G1035" s="246" t="s">
        <v>6093</v>
      </c>
      <c r="H1035" s="246" t="s">
        <v>6094</v>
      </c>
      <c r="I1035" s="704">
        <v>52</v>
      </c>
      <c r="J1035" s="246">
        <v>0</v>
      </c>
      <c r="K1035" s="246">
        <v>13</v>
      </c>
      <c r="L1035" s="644">
        <f t="shared" si="381"/>
        <v>4</v>
      </c>
      <c r="M1035" s="645">
        <v>46048</v>
      </c>
      <c r="N1035" s="645">
        <v>46044</v>
      </c>
      <c r="O1035" s="246"/>
      <c r="P1035" s="643" t="s">
        <v>113</v>
      </c>
      <c r="Q1035" s="246"/>
      <c r="R1035" s="646">
        <v>46017</v>
      </c>
      <c r="S1035" s="646" t="s">
        <v>104</v>
      </c>
      <c r="T1035" s="646" t="s">
        <v>8638</v>
      </c>
      <c r="U1035" s="646"/>
      <c r="V1035" s="646"/>
      <c r="W1035" s="615"/>
      <c r="X1035" s="642" t="s">
        <v>8641</v>
      </c>
      <c r="Y1035" s="642" t="s">
        <v>3206</v>
      </c>
      <c r="Z1035" s="655">
        <v>0.9526</v>
      </c>
      <c r="AA1035" s="647">
        <f t="shared" si="398"/>
        <v>49.5352</v>
      </c>
      <c r="AC1035" s="648"/>
      <c r="AD1035" s="246" t="s">
        <v>6093</v>
      </c>
      <c r="AE1035" s="246" t="s">
        <v>82</v>
      </c>
      <c r="AF1035" s="246"/>
      <c r="AG1035" s="642"/>
      <c r="AH1035" s="642">
        <v>1</v>
      </c>
      <c r="AI1035" s="246">
        <v>52</v>
      </c>
      <c r="AJ1035" s="246">
        <f t="shared" si="399"/>
        <v>0</v>
      </c>
      <c r="AK1035" s="246"/>
      <c r="AL1035" s="246" t="s">
        <v>2368</v>
      </c>
      <c r="AM1035" s="246"/>
      <c r="AN1035" s="246"/>
      <c r="AO1035" s="551">
        <f>I1035</f>
        <v>52</v>
      </c>
      <c r="AP1035" s="551"/>
      <c r="AQ1035" s="551"/>
      <c r="AR1035" s="650"/>
      <c r="AS1035" s="551"/>
      <c r="AT1035" s="554">
        <f>I1035</f>
        <v>52</v>
      </c>
      <c r="AU1035" s="551"/>
      <c r="AV1035" s="554">
        <f>I1035</f>
        <v>52</v>
      </c>
      <c r="AW1035" s="650"/>
      <c r="AX1035" s="551"/>
      <c r="AY1035" s="551"/>
      <c r="AZ1035" s="551"/>
      <c r="BA1035" s="551"/>
      <c r="BB1035" s="249">
        <f t="shared" si="403"/>
        <v>2.16666666666667</v>
      </c>
      <c r="BC1035" s="651"/>
      <c r="BD1035" s="551"/>
      <c r="BE1035" s="551"/>
      <c r="BF1035" s="551"/>
      <c r="BH1035" s="551"/>
      <c r="BI1035" s="551"/>
      <c r="BJ1035" s="551"/>
      <c r="BK1035" s="551"/>
      <c r="BL1035" s="551"/>
      <c r="BM1035" s="551">
        <f>I1035/13</f>
        <v>4</v>
      </c>
      <c r="BN1035" s="551"/>
      <c r="BO1035" s="551"/>
      <c r="BP1035" s="551"/>
      <c r="BQ1035" s="551"/>
      <c r="BR1035" s="551"/>
      <c r="BS1035" s="551"/>
      <c r="BT1035" s="551"/>
      <c r="BU1035" s="551"/>
      <c r="BV1035" s="551"/>
      <c r="BW1035" s="551"/>
      <c r="BX1035" s="551"/>
      <c r="BY1035" s="650"/>
      <c r="BZ1035" s="551"/>
      <c r="CA1035" s="652"/>
      <c r="CB1035" s="567"/>
      <c r="CC1035" s="653"/>
      <c r="CD1035" s="650"/>
      <c r="CE1035" s="650"/>
      <c r="CF1035" s="551"/>
      <c r="CG1035" s="551"/>
      <c r="CI1035" s="551"/>
      <c r="CJ1035" s="551"/>
      <c r="CK1035" s="551"/>
      <c r="CL1035" s="551"/>
      <c r="CM1035" s="551"/>
      <c r="CN1035" s="551"/>
      <c r="CO1035" s="551"/>
      <c r="CP1035" s="551"/>
      <c r="CQ1035" s="551"/>
      <c r="CR1035" s="551"/>
      <c r="CS1035" s="551"/>
      <c r="CT1035" s="551"/>
      <c r="CU1035" s="554">
        <f t="shared" si="400"/>
        <v>0</v>
      </c>
      <c r="CV1035" s="551">
        <f t="shared" si="401"/>
        <v>0</v>
      </c>
      <c r="CW1035" s="551">
        <f t="shared" si="402"/>
        <v>0</v>
      </c>
      <c r="CX1035" s="650"/>
      <c r="CY1035" s="650"/>
      <c r="CZ1035" s="650"/>
      <c r="DA1035" s="548"/>
      <c r="DB1035" s="548"/>
      <c r="DC1035" s="548"/>
      <c r="DD1035" s="650"/>
      <c r="DE1035" s="650"/>
      <c r="DF1035" s="650"/>
      <c r="DG1035" s="650"/>
      <c r="DH1035" s="650"/>
    </row>
    <row r="1036" s="548" customFormat="1" ht="31" customHeight="1" spans="1:112">
      <c r="A1036" s="641">
        <v>46008</v>
      </c>
      <c r="B1036" s="642" t="s">
        <v>2858</v>
      </c>
      <c r="C1036" s="246" t="s">
        <v>154</v>
      </c>
      <c r="D1036" s="551">
        <v>4500189254</v>
      </c>
      <c r="E1036" s="246" t="s">
        <v>2859</v>
      </c>
      <c r="F1036" s="551" t="s">
        <v>8642</v>
      </c>
      <c r="G1036" s="246" t="s">
        <v>6040</v>
      </c>
      <c r="H1036" s="246" t="s">
        <v>6041</v>
      </c>
      <c r="I1036" s="704">
        <v>2080</v>
      </c>
      <c r="J1036" s="246">
        <v>0</v>
      </c>
      <c r="K1036" s="246">
        <v>52</v>
      </c>
      <c r="L1036" s="644">
        <f t="shared" si="381"/>
        <v>40</v>
      </c>
      <c r="M1036" s="645">
        <v>46048</v>
      </c>
      <c r="N1036" s="645">
        <v>46044</v>
      </c>
      <c r="O1036" s="246"/>
      <c r="P1036" s="643" t="s">
        <v>113</v>
      </c>
      <c r="Q1036" s="246"/>
      <c r="R1036" s="646">
        <v>46016</v>
      </c>
      <c r="S1036" s="646" t="s">
        <v>70</v>
      </c>
      <c r="T1036" s="646" t="s">
        <v>8643</v>
      </c>
      <c r="U1036" s="646"/>
      <c r="V1036" s="646"/>
      <c r="W1036" s="615"/>
      <c r="X1036" s="642" t="s">
        <v>8644</v>
      </c>
      <c r="Y1036" s="642" t="s">
        <v>472</v>
      </c>
      <c r="Z1036" s="655">
        <v>0.9129</v>
      </c>
      <c r="AA1036" s="647">
        <f t="shared" si="398"/>
        <v>1898.832</v>
      </c>
      <c r="AC1036" s="648"/>
      <c r="AD1036" s="246" t="s">
        <v>6040</v>
      </c>
      <c r="AE1036" s="246" t="s">
        <v>82</v>
      </c>
      <c r="AF1036" s="246"/>
      <c r="AG1036" s="642"/>
      <c r="AH1036" s="642">
        <v>1</v>
      </c>
      <c r="AI1036" s="246">
        <v>2080</v>
      </c>
      <c r="AJ1036" s="246">
        <f t="shared" si="399"/>
        <v>0</v>
      </c>
      <c r="AK1036" s="246"/>
      <c r="AL1036" s="246" t="s">
        <v>2368</v>
      </c>
      <c r="AM1036" s="246"/>
      <c r="AN1036" s="246"/>
      <c r="AO1036" s="551">
        <f>I1036</f>
        <v>2080</v>
      </c>
      <c r="AP1036" s="551"/>
      <c r="AQ1036" s="551"/>
      <c r="AR1036" s="650"/>
      <c r="AS1036" s="551"/>
      <c r="AT1036" s="554">
        <f>I1036</f>
        <v>2080</v>
      </c>
      <c r="AU1036" s="551"/>
      <c r="AV1036" s="554">
        <f>I1036</f>
        <v>2080</v>
      </c>
      <c r="AW1036" s="650"/>
      <c r="AX1036" s="551"/>
      <c r="AY1036" s="551"/>
      <c r="AZ1036" s="551"/>
      <c r="BA1036" s="551"/>
      <c r="BB1036" s="620">
        <f t="shared" si="403"/>
        <v>86.6666666666667</v>
      </c>
      <c r="BC1036" s="651"/>
      <c r="BD1036" s="551"/>
      <c r="BE1036" s="551"/>
      <c r="BF1036" s="551"/>
      <c r="BH1036" s="551"/>
      <c r="BI1036" s="551"/>
      <c r="BJ1036" s="551"/>
      <c r="BK1036" s="551"/>
      <c r="BL1036" s="551"/>
      <c r="BM1036" s="551">
        <f>I1036/13</f>
        <v>160</v>
      </c>
      <c r="BN1036" s="551"/>
      <c r="BO1036" s="551"/>
      <c r="BP1036" s="551"/>
      <c r="BQ1036" s="551"/>
      <c r="BR1036" s="551"/>
      <c r="BS1036" s="551"/>
      <c r="BT1036" s="551"/>
      <c r="BU1036" s="551"/>
      <c r="BV1036" s="551"/>
      <c r="BW1036" s="551"/>
      <c r="BX1036" s="551"/>
      <c r="BY1036" s="650"/>
      <c r="BZ1036" s="551"/>
      <c r="CA1036" s="652"/>
      <c r="CB1036" s="567"/>
      <c r="CC1036" s="653"/>
      <c r="CD1036" s="650"/>
      <c r="CE1036" s="650"/>
      <c r="CF1036" s="551"/>
      <c r="CG1036" s="551"/>
      <c r="CI1036" s="551"/>
      <c r="CJ1036" s="551"/>
      <c r="CK1036" s="551"/>
      <c r="CL1036" s="551"/>
      <c r="CM1036" s="551"/>
      <c r="CN1036" s="551"/>
      <c r="CO1036" s="551"/>
      <c r="CP1036" s="551"/>
      <c r="CQ1036" s="551"/>
      <c r="CR1036" s="551"/>
      <c r="CS1036" s="551"/>
      <c r="CT1036" s="551"/>
      <c r="CU1036" s="554">
        <f t="shared" si="400"/>
        <v>0</v>
      </c>
      <c r="CV1036" s="551">
        <f t="shared" si="401"/>
        <v>0</v>
      </c>
      <c r="CW1036" s="551">
        <f t="shared" si="402"/>
        <v>0</v>
      </c>
      <c r="CX1036" s="650"/>
      <c r="CY1036" s="650"/>
      <c r="CZ1036" s="650"/>
      <c r="DA1036" s="548"/>
      <c r="DB1036" s="548"/>
      <c r="DC1036" s="548"/>
      <c r="DD1036" s="650"/>
      <c r="DE1036" s="650"/>
      <c r="DF1036" s="650"/>
      <c r="DG1036" s="650"/>
      <c r="DH1036" s="650"/>
    </row>
    <row r="1037" s="548" customFormat="1" ht="31" customHeight="1" spans="1:112">
      <c r="A1037" s="641">
        <v>46010</v>
      </c>
      <c r="B1037" s="642" t="s">
        <v>1800</v>
      </c>
      <c r="C1037" s="246" t="s">
        <v>744</v>
      </c>
      <c r="D1037" s="551">
        <v>4500185221</v>
      </c>
      <c r="E1037" s="246">
        <v>5000002057</v>
      </c>
      <c r="F1037" s="551" t="s">
        <v>8645</v>
      </c>
      <c r="G1037" s="246" t="s">
        <v>6093</v>
      </c>
      <c r="H1037" s="639" t="s">
        <v>7359</v>
      </c>
      <c r="I1037" s="704">
        <v>5200</v>
      </c>
      <c r="J1037" s="246">
        <v>0</v>
      </c>
      <c r="K1037" s="246">
        <v>13</v>
      </c>
      <c r="L1037" s="644">
        <f t="shared" si="381"/>
        <v>400</v>
      </c>
      <c r="M1037" s="645">
        <v>46048</v>
      </c>
      <c r="N1037" s="645">
        <v>46044</v>
      </c>
      <c r="O1037" s="246"/>
      <c r="P1037" s="643" t="s">
        <v>113</v>
      </c>
      <c r="Q1037" s="246"/>
      <c r="R1037" s="646" t="s">
        <v>7814</v>
      </c>
      <c r="S1037" s="646" t="s">
        <v>104</v>
      </c>
      <c r="T1037" s="646" t="s">
        <v>1701</v>
      </c>
      <c r="U1037" s="646"/>
      <c r="V1037" s="646" t="s">
        <v>8514</v>
      </c>
      <c r="W1037" s="615"/>
      <c r="X1037" s="628" t="s">
        <v>8585</v>
      </c>
      <c r="Y1037" s="642" t="s">
        <v>1805</v>
      </c>
      <c r="Z1037" s="655">
        <v>0.8677</v>
      </c>
      <c r="AA1037" s="647">
        <f t="shared" si="398"/>
        <v>4512.04</v>
      </c>
      <c r="AC1037" s="658" t="s">
        <v>8586</v>
      </c>
      <c r="AD1037" s="246" t="s">
        <v>8338</v>
      </c>
      <c r="AE1037" s="246" t="s">
        <v>82</v>
      </c>
      <c r="AF1037" s="246"/>
      <c r="AG1037" s="642"/>
      <c r="AH1037" s="642">
        <v>1</v>
      </c>
      <c r="AI1037" s="246">
        <f>5161+39</f>
        <v>5200</v>
      </c>
      <c r="AJ1037" s="246">
        <f t="shared" si="399"/>
        <v>0</v>
      </c>
      <c r="AK1037" s="246"/>
      <c r="AL1037" s="246" t="s">
        <v>2368</v>
      </c>
      <c r="AM1037" s="246"/>
      <c r="AN1037" s="246"/>
      <c r="AO1037" s="551">
        <f>I1037</f>
        <v>5200</v>
      </c>
      <c r="AP1037" s="551"/>
      <c r="AQ1037" s="551"/>
      <c r="AR1037" s="650"/>
      <c r="AS1037" s="551"/>
      <c r="AT1037" s="551"/>
      <c r="AU1037" s="551"/>
      <c r="AV1037" s="551"/>
      <c r="AW1037" s="650">
        <f>I1037</f>
        <v>5200</v>
      </c>
      <c r="AX1037" s="554">
        <f>I1037</f>
        <v>5200</v>
      </c>
      <c r="AY1037" s="551"/>
      <c r="AZ1037" s="551"/>
      <c r="BA1037" s="551">
        <f>I1037/13</f>
        <v>400</v>
      </c>
      <c r="BB1037" s="249"/>
      <c r="BC1037" s="651"/>
      <c r="BD1037" s="551"/>
      <c r="BE1037" s="551"/>
      <c r="BF1037" s="551"/>
      <c r="BH1037" s="551"/>
      <c r="BI1037" s="551"/>
      <c r="BJ1037" s="551"/>
      <c r="BK1037" s="551"/>
      <c r="BL1037" s="551"/>
      <c r="BM1037" s="551">
        <f>I1037/13</f>
        <v>400</v>
      </c>
      <c r="BN1037" s="551"/>
      <c r="BO1037" s="551"/>
      <c r="BP1037" s="551"/>
      <c r="BQ1037" s="551"/>
      <c r="BR1037" s="551"/>
      <c r="BS1037" s="551"/>
      <c r="BT1037" s="551"/>
      <c r="BU1037" s="551"/>
      <c r="BV1037" s="551"/>
      <c r="BW1037" s="551"/>
      <c r="BX1037" s="551"/>
      <c r="BY1037" s="650"/>
      <c r="BZ1037" s="551"/>
      <c r="CA1037" s="652"/>
      <c r="CB1037" s="567"/>
      <c r="CC1037" s="653"/>
      <c r="CD1037" s="650"/>
      <c r="CE1037" s="650"/>
      <c r="CF1037" s="551"/>
      <c r="CG1037" s="551"/>
      <c r="CI1037" s="551"/>
      <c r="CJ1037" s="551"/>
      <c r="CK1037" s="551"/>
      <c r="CL1037" s="551"/>
      <c r="CM1037" s="551"/>
      <c r="CN1037" s="551"/>
      <c r="CO1037" s="551"/>
      <c r="CP1037" s="551"/>
      <c r="CQ1037" s="551"/>
      <c r="CR1037" s="551"/>
      <c r="CS1037" s="551"/>
      <c r="CT1037" s="551"/>
      <c r="CU1037" s="554">
        <f t="shared" si="400"/>
        <v>0</v>
      </c>
      <c r="CV1037" s="551">
        <f t="shared" si="401"/>
        <v>0</v>
      </c>
      <c r="CW1037" s="551">
        <f t="shared" si="402"/>
        <v>0</v>
      </c>
      <c r="CX1037" s="650"/>
      <c r="CY1037" s="650"/>
      <c r="CZ1037" s="650"/>
      <c r="DA1037" s="548"/>
      <c r="DB1037" s="548"/>
      <c r="DC1037" s="548"/>
      <c r="DD1037" s="650"/>
      <c r="DE1037" s="650"/>
      <c r="DF1037" s="650"/>
      <c r="DG1037" s="650"/>
      <c r="DH1037" s="650"/>
    </row>
    <row r="1038" s="548" customFormat="1" ht="31" customHeight="1" spans="1:112">
      <c r="A1038" s="641">
        <v>46016</v>
      </c>
      <c r="B1038" s="642" t="s">
        <v>6902</v>
      </c>
      <c r="C1038" s="246" t="s">
        <v>524</v>
      </c>
      <c r="D1038" s="551">
        <v>4500189841</v>
      </c>
      <c r="E1038" s="246" t="s">
        <v>8646</v>
      </c>
      <c r="F1038" s="551" t="s">
        <v>8647</v>
      </c>
      <c r="G1038" s="246" t="s">
        <v>6365</v>
      </c>
      <c r="H1038" s="246" t="s">
        <v>6126</v>
      </c>
      <c r="I1038" s="704">
        <v>252</v>
      </c>
      <c r="J1038" s="246">
        <v>0</v>
      </c>
      <c r="K1038" s="246">
        <v>12</v>
      </c>
      <c r="L1038" s="644">
        <f t="shared" si="381"/>
        <v>21</v>
      </c>
      <c r="M1038" s="645">
        <v>46048</v>
      </c>
      <c r="N1038" s="645">
        <v>46044</v>
      </c>
      <c r="O1038" s="246"/>
      <c r="P1038" s="643" t="s">
        <v>113</v>
      </c>
      <c r="Q1038" s="246"/>
      <c r="R1038" s="646" t="s">
        <v>8648</v>
      </c>
      <c r="S1038" s="646" t="s">
        <v>104</v>
      </c>
      <c r="T1038" s="646" t="s">
        <v>8649</v>
      </c>
      <c r="U1038" s="646"/>
      <c r="V1038" s="646"/>
      <c r="W1038" s="615"/>
      <c r="X1038" s="628" t="s">
        <v>8650</v>
      </c>
      <c r="Y1038" s="642" t="s">
        <v>5841</v>
      </c>
      <c r="Z1038" s="655">
        <v>2.2418</v>
      </c>
      <c r="AA1038" s="647">
        <f t="shared" si="398"/>
        <v>564.9336</v>
      </c>
      <c r="AC1038" s="648"/>
      <c r="AD1038" s="246" t="s">
        <v>6368</v>
      </c>
      <c r="AE1038" s="246" t="s">
        <v>82</v>
      </c>
      <c r="AF1038" s="246"/>
      <c r="AG1038" s="642"/>
      <c r="AH1038" s="642">
        <v>1</v>
      </c>
      <c r="AI1038" s="246">
        <v>252</v>
      </c>
      <c r="AJ1038" s="246">
        <f t="shared" si="399"/>
        <v>0</v>
      </c>
      <c r="AK1038" s="246"/>
      <c r="AL1038" s="246" t="s">
        <v>2368</v>
      </c>
      <c r="AM1038" s="246"/>
      <c r="AN1038" s="246"/>
      <c r="AO1038" s="554">
        <f>I1038*2</f>
        <v>504</v>
      </c>
      <c r="AP1038" s="551"/>
      <c r="AQ1038" s="551"/>
      <c r="AR1038" s="650"/>
      <c r="AS1038" s="551"/>
      <c r="AT1038" s="554">
        <f>I1038*2</f>
        <v>504</v>
      </c>
      <c r="AU1038" s="551"/>
      <c r="AV1038" s="554">
        <f>I1038*2</f>
        <v>504</v>
      </c>
      <c r="AW1038" s="650"/>
      <c r="AX1038" s="551"/>
      <c r="AY1038" s="551"/>
      <c r="AZ1038" s="551"/>
      <c r="BA1038" s="551"/>
      <c r="BB1038" s="249">
        <f>I1038/24*2</f>
        <v>21</v>
      </c>
      <c r="BC1038" s="651"/>
      <c r="BD1038" s="551"/>
      <c r="BE1038" s="551"/>
      <c r="BF1038" s="551"/>
      <c r="BH1038" s="551"/>
      <c r="BI1038" s="551"/>
      <c r="BJ1038" s="551"/>
      <c r="BK1038" s="551"/>
      <c r="BL1038" s="551"/>
      <c r="BM1038" s="551"/>
      <c r="BN1038" s="551"/>
      <c r="BO1038" s="551"/>
      <c r="BP1038" s="551"/>
      <c r="BQ1038" s="551"/>
      <c r="BR1038" s="551"/>
      <c r="BS1038" s="551"/>
      <c r="BT1038" s="551"/>
      <c r="BU1038" s="551"/>
      <c r="BV1038" s="551"/>
      <c r="BW1038" s="551"/>
      <c r="BX1038" s="551"/>
      <c r="BY1038" s="650"/>
      <c r="BZ1038" s="551"/>
      <c r="CA1038" s="652"/>
      <c r="CB1038" s="567"/>
      <c r="CC1038" s="653"/>
      <c r="CD1038" s="650"/>
      <c r="CE1038" s="650"/>
      <c r="CF1038" s="551"/>
      <c r="CG1038" s="551"/>
      <c r="CI1038" s="551"/>
      <c r="CJ1038" s="551"/>
      <c r="CK1038" s="551"/>
      <c r="CL1038" s="551"/>
      <c r="CM1038" s="551"/>
      <c r="CN1038" s="551"/>
      <c r="CO1038" s="551"/>
      <c r="CP1038" s="551"/>
      <c r="CQ1038" s="551"/>
      <c r="CR1038" s="554">
        <f>I1038</f>
        <v>252</v>
      </c>
      <c r="CS1038" s="554">
        <f>I1038</f>
        <v>252</v>
      </c>
      <c r="CT1038" s="554">
        <f>I1038</f>
        <v>252</v>
      </c>
      <c r="CU1038" s="554">
        <f t="shared" si="400"/>
        <v>0</v>
      </c>
      <c r="CV1038" s="551">
        <f t="shared" si="401"/>
        <v>0</v>
      </c>
      <c r="CW1038" s="551">
        <f t="shared" si="402"/>
        <v>0</v>
      </c>
      <c r="CX1038" s="650"/>
      <c r="CY1038" s="650"/>
      <c r="CZ1038" s="650"/>
      <c r="DA1038" s="548"/>
      <c r="DB1038" s="548"/>
      <c r="DC1038" s="548"/>
      <c r="DD1038" s="650"/>
      <c r="DE1038" s="650"/>
      <c r="DF1038" s="650"/>
      <c r="DG1038" s="650"/>
      <c r="DH1038" s="650"/>
    </row>
    <row r="1039" s="548" customFormat="1" ht="31" customHeight="1" spans="1:112">
      <c r="A1039" s="641">
        <v>46016</v>
      </c>
      <c r="B1039" s="642" t="s">
        <v>6902</v>
      </c>
      <c r="C1039" s="246" t="s">
        <v>524</v>
      </c>
      <c r="D1039" s="551">
        <v>4500189841</v>
      </c>
      <c r="E1039" s="246" t="s">
        <v>8651</v>
      </c>
      <c r="F1039" s="551" t="s">
        <v>8652</v>
      </c>
      <c r="G1039" s="246" t="s">
        <v>6365</v>
      </c>
      <c r="H1039" s="246" t="s">
        <v>6126</v>
      </c>
      <c r="I1039" s="704">
        <v>1044</v>
      </c>
      <c r="J1039" s="246">
        <v>0</v>
      </c>
      <c r="K1039" s="246">
        <v>12</v>
      </c>
      <c r="L1039" s="644">
        <f t="shared" si="381"/>
        <v>87</v>
      </c>
      <c r="M1039" s="645">
        <v>46048</v>
      </c>
      <c r="N1039" s="645">
        <v>46044</v>
      </c>
      <c r="O1039" s="246"/>
      <c r="P1039" s="643" t="s">
        <v>113</v>
      </c>
      <c r="Q1039" s="246"/>
      <c r="R1039" s="646" t="s">
        <v>8648</v>
      </c>
      <c r="S1039" s="646" t="s">
        <v>104</v>
      </c>
      <c r="T1039" s="646" t="s">
        <v>8649</v>
      </c>
      <c r="U1039" s="646"/>
      <c r="V1039" s="646"/>
      <c r="W1039" s="615"/>
      <c r="X1039" s="628" t="s">
        <v>8650</v>
      </c>
      <c r="Y1039" s="642" t="s">
        <v>5841</v>
      </c>
      <c r="Z1039" s="655">
        <v>2.2418</v>
      </c>
      <c r="AA1039" s="647">
        <f t="shared" si="398"/>
        <v>2340.4392</v>
      </c>
      <c r="AC1039" s="648"/>
      <c r="AD1039" s="246" t="s">
        <v>6368</v>
      </c>
      <c r="AE1039" s="246" t="s">
        <v>82</v>
      </c>
      <c r="AF1039" s="246"/>
      <c r="AG1039" s="642"/>
      <c r="AH1039" s="642">
        <v>1</v>
      </c>
      <c r="AI1039" s="246">
        <v>1044</v>
      </c>
      <c r="AJ1039" s="246">
        <f t="shared" si="399"/>
        <v>0</v>
      </c>
      <c r="AK1039" s="246"/>
      <c r="AL1039" s="246" t="s">
        <v>2368</v>
      </c>
      <c r="AM1039" s="246"/>
      <c r="AN1039" s="246"/>
      <c r="AO1039" s="554">
        <f>I1039*2</f>
        <v>2088</v>
      </c>
      <c r="AP1039" s="551"/>
      <c r="AQ1039" s="551"/>
      <c r="AR1039" s="650"/>
      <c r="AS1039" s="551"/>
      <c r="AT1039" s="554">
        <f>I1039*2</f>
        <v>2088</v>
      </c>
      <c r="AU1039" s="551"/>
      <c r="AV1039" s="554">
        <f>I1039*2</f>
        <v>2088</v>
      </c>
      <c r="AW1039" s="650"/>
      <c r="AX1039" s="551"/>
      <c r="AY1039" s="551"/>
      <c r="AZ1039" s="551"/>
      <c r="BA1039" s="551"/>
      <c r="BB1039" s="249">
        <f>I1039/24*2</f>
        <v>87</v>
      </c>
      <c r="BC1039" s="651"/>
      <c r="BD1039" s="551"/>
      <c r="BE1039" s="551"/>
      <c r="BF1039" s="551"/>
      <c r="BH1039" s="551"/>
      <c r="BI1039" s="551"/>
      <c r="BJ1039" s="551"/>
      <c r="BK1039" s="551"/>
      <c r="BL1039" s="551"/>
      <c r="BM1039" s="551"/>
      <c r="BN1039" s="551"/>
      <c r="BO1039" s="551"/>
      <c r="BP1039" s="551"/>
      <c r="BQ1039" s="551"/>
      <c r="BR1039" s="551"/>
      <c r="BS1039" s="551"/>
      <c r="BT1039" s="551"/>
      <c r="BU1039" s="551"/>
      <c r="BV1039" s="551"/>
      <c r="BW1039" s="551"/>
      <c r="BX1039" s="551"/>
      <c r="BY1039" s="650"/>
      <c r="BZ1039" s="551"/>
      <c r="CA1039" s="652"/>
      <c r="CB1039" s="567"/>
      <c r="CC1039" s="653"/>
      <c r="CD1039" s="650"/>
      <c r="CE1039" s="650"/>
      <c r="CF1039" s="551"/>
      <c r="CG1039" s="551"/>
      <c r="CI1039" s="551"/>
      <c r="CJ1039" s="551"/>
      <c r="CK1039" s="551"/>
      <c r="CL1039" s="551"/>
      <c r="CM1039" s="551"/>
      <c r="CN1039" s="551"/>
      <c r="CO1039" s="551"/>
      <c r="CP1039" s="551"/>
      <c r="CQ1039" s="551"/>
      <c r="CR1039" s="554">
        <f>I1039</f>
        <v>1044</v>
      </c>
      <c r="CS1039" s="554">
        <f>I1039</f>
        <v>1044</v>
      </c>
      <c r="CT1039" s="554">
        <f>I1039</f>
        <v>1044</v>
      </c>
      <c r="CU1039" s="554">
        <f t="shared" si="400"/>
        <v>0</v>
      </c>
      <c r="CV1039" s="551">
        <f t="shared" si="401"/>
        <v>0</v>
      </c>
      <c r="CW1039" s="551">
        <f t="shared" si="402"/>
        <v>0</v>
      </c>
      <c r="CX1039" s="650"/>
      <c r="CY1039" s="650"/>
      <c r="CZ1039" s="650"/>
      <c r="DA1039" s="548"/>
      <c r="DB1039" s="548"/>
      <c r="DC1039" s="548"/>
      <c r="DD1039" s="650"/>
      <c r="DE1039" s="650"/>
      <c r="DF1039" s="650"/>
      <c r="DG1039" s="650"/>
      <c r="DH1039" s="650"/>
    </row>
    <row r="1040" s="548" customFormat="1" ht="31" customHeight="1" spans="1:112">
      <c r="A1040" s="641">
        <v>45993</v>
      </c>
      <c r="B1040" s="642" t="s">
        <v>1691</v>
      </c>
      <c r="C1040" s="246" t="s">
        <v>1692</v>
      </c>
      <c r="D1040" s="551">
        <v>4500187657</v>
      </c>
      <c r="E1040" s="246"/>
      <c r="F1040" s="551" t="s">
        <v>8653</v>
      </c>
      <c r="G1040" s="246" t="s">
        <v>6276</v>
      </c>
      <c r="H1040" s="246" t="s">
        <v>6277</v>
      </c>
      <c r="I1040" s="704">
        <v>2400</v>
      </c>
      <c r="J1040" s="246">
        <v>0</v>
      </c>
      <c r="K1040" s="246">
        <v>50</v>
      </c>
      <c r="L1040" s="644">
        <f t="shared" si="381"/>
        <v>48</v>
      </c>
      <c r="M1040" s="645">
        <v>46051</v>
      </c>
      <c r="N1040" s="645">
        <v>46048</v>
      </c>
      <c r="O1040" s="246"/>
      <c r="P1040" s="643" t="s">
        <v>113</v>
      </c>
      <c r="Q1040" s="246"/>
      <c r="R1040" s="646">
        <v>46009</v>
      </c>
      <c r="S1040" s="646" t="s">
        <v>70</v>
      </c>
      <c r="T1040" s="646" t="s">
        <v>8654</v>
      </c>
      <c r="U1040" s="646"/>
      <c r="V1040" s="646" t="s">
        <v>8655</v>
      </c>
      <c r="W1040" s="615"/>
      <c r="X1040" s="642" t="s">
        <v>2948</v>
      </c>
      <c r="Y1040" s="642" t="s">
        <v>529</v>
      </c>
      <c r="Z1040" s="655">
        <v>0.9351</v>
      </c>
      <c r="AA1040" s="647">
        <f t="shared" si="398"/>
        <v>2244.24</v>
      </c>
      <c r="AC1040" s="648"/>
      <c r="AD1040" s="246" t="s">
        <v>6276</v>
      </c>
      <c r="AE1040" s="246" t="s">
        <v>82</v>
      </c>
      <c r="AF1040" s="246"/>
      <c r="AG1040" s="642"/>
      <c r="AH1040" s="642">
        <v>1</v>
      </c>
      <c r="AI1040" s="246">
        <v>2400</v>
      </c>
      <c r="AJ1040" s="246">
        <f t="shared" si="399"/>
        <v>0</v>
      </c>
      <c r="AK1040" s="246"/>
      <c r="AL1040" s="246" t="s">
        <v>2368</v>
      </c>
      <c r="AM1040" s="246"/>
      <c r="AN1040" s="246"/>
      <c r="AO1040" s="551">
        <f t="shared" ref="AO1040:AO1047" si="404">I1040</f>
        <v>2400</v>
      </c>
      <c r="AP1040" s="551"/>
      <c r="AQ1040" s="551"/>
      <c r="AR1040" s="650"/>
      <c r="AS1040" s="551"/>
      <c r="AT1040" s="551"/>
      <c r="AU1040" s="551"/>
      <c r="AV1040" s="551"/>
      <c r="AW1040" s="650"/>
      <c r="AX1040" s="551"/>
      <c r="AY1040" s="551"/>
      <c r="AZ1040" s="551"/>
      <c r="BA1040" s="551"/>
      <c r="BB1040" s="249">
        <f t="shared" ref="BB1040:BB1047" si="405">I1040/24</f>
        <v>100</v>
      </c>
      <c r="BC1040" s="651"/>
      <c r="BD1040" s="551"/>
      <c r="BE1040" s="551"/>
      <c r="BF1040" s="551"/>
      <c r="BH1040" s="551"/>
      <c r="BI1040" s="551"/>
      <c r="BJ1040" s="551"/>
      <c r="BK1040" s="551"/>
      <c r="BL1040" s="551"/>
      <c r="BM1040" s="551"/>
      <c r="BN1040" s="551"/>
      <c r="BO1040" s="551"/>
      <c r="BP1040" s="551"/>
      <c r="BQ1040" s="551"/>
      <c r="BR1040" s="551"/>
      <c r="BS1040" s="551"/>
      <c r="BT1040" s="551"/>
      <c r="BU1040" s="551"/>
      <c r="BV1040" s="551">
        <f>I1040</f>
        <v>2400</v>
      </c>
      <c r="BW1040" s="551">
        <f>I1040</f>
        <v>2400</v>
      </c>
      <c r="BX1040" s="551">
        <f>I1040/25</f>
        <v>96</v>
      </c>
      <c r="BY1040" s="650"/>
      <c r="BZ1040" s="551"/>
      <c r="CA1040" s="652"/>
      <c r="CB1040" s="567"/>
      <c r="CC1040" s="653"/>
      <c r="CD1040" s="650"/>
      <c r="CE1040" s="650"/>
      <c r="CF1040" s="551"/>
      <c r="CG1040" s="551"/>
      <c r="CI1040" s="551"/>
      <c r="CJ1040" s="551"/>
      <c r="CK1040" s="551"/>
      <c r="CL1040" s="551"/>
      <c r="CM1040" s="551"/>
      <c r="CN1040" s="551"/>
      <c r="CO1040" s="551"/>
      <c r="CP1040" s="551"/>
      <c r="CQ1040" s="551"/>
      <c r="CR1040" s="551"/>
      <c r="CS1040" s="551"/>
      <c r="CT1040" s="551"/>
      <c r="CU1040" s="554">
        <f t="shared" ref="CU1040:CU1047" si="406">BQ1040+BP1040+BO1040+BN1040+BX1040+BR1040</f>
        <v>96</v>
      </c>
      <c r="CV1040" s="551">
        <f t="shared" si="401"/>
        <v>0</v>
      </c>
      <c r="CW1040" s="551">
        <f t="shared" si="402"/>
        <v>0</v>
      </c>
      <c r="CX1040" s="650"/>
      <c r="CY1040" s="650"/>
      <c r="CZ1040" s="650"/>
      <c r="DA1040" s="548"/>
      <c r="DB1040" s="548"/>
      <c r="DC1040" s="548"/>
      <c r="DD1040" s="650"/>
      <c r="DE1040" s="650"/>
      <c r="DF1040" s="650"/>
      <c r="DG1040" s="650"/>
      <c r="DH1040" s="650"/>
    </row>
    <row r="1041" s="548" customFormat="1" ht="31" customHeight="1" spans="1:112">
      <c r="A1041" s="641">
        <v>46003</v>
      </c>
      <c r="B1041" s="642" t="s">
        <v>2952</v>
      </c>
      <c r="C1041" s="246" t="s">
        <v>1227</v>
      </c>
      <c r="D1041" s="551">
        <v>4500188881</v>
      </c>
      <c r="E1041" s="246"/>
      <c r="F1041" s="551" t="s">
        <v>8656</v>
      </c>
      <c r="G1041" s="246" t="s">
        <v>6276</v>
      </c>
      <c r="H1041" s="246" t="s">
        <v>6277</v>
      </c>
      <c r="I1041" s="704">
        <v>800</v>
      </c>
      <c r="J1041" s="246">
        <v>0</v>
      </c>
      <c r="K1041" s="246">
        <v>50</v>
      </c>
      <c r="L1041" s="644">
        <f t="shared" si="381"/>
        <v>16</v>
      </c>
      <c r="M1041" s="645">
        <v>46051</v>
      </c>
      <c r="N1041" s="645">
        <v>46048</v>
      </c>
      <c r="O1041" s="246"/>
      <c r="P1041" s="643" t="s">
        <v>113</v>
      </c>
      <c r="Q1041" s="246"/>
      <c r="R1041" s="646">
        <v>46009</v>
      </c>
      <c r="S1041" s="646" t="s">
        <v>70</v>
      </c>
      <c r="T1041" s="646" t="s">
        <v>2954</v>
      </c>
      <c r="U1041" s="646"/>
      <c r="V1041" s="646"/>
      <c r="W1041" s="615"/>
      <c r="X1041" s="628" t="s">
        <v>8657</v>
      </c>
      <c r="Y1041" s="642" t="s">
        <v>529</v>
      </c>
      <c r="Z1041" s="655">
        <v>0.9572</v>
      </c>
      <c r="AA1041" s="647">
        <f t="shared" si="398"/>
        <v>765.76</v>
      </c>
      <c r="AC1041" s="648"/>
      <c r="AD1041" s="246" t="s">
        <v>6276</v>
      </c>
      <c r="AE1041" s="246" t="s">
        <v>82</v>
      </c>
      <c r="AF1041" s="246"/>
      <c r="AG1041" s="642"/>
      <c r="AH1041" s="642">
        <v>1</v>
      </c>
      <c r="AI1041" s="246">
        <v>800</v>
      </c>
      <c r="AJ1041" s="246">
        <f t="shared" si="399"/>
        <v>0</v>
      </c>
      <c r="AK1041" s="246"/>
      <c r="AL1041" s="246" t="s">
        <v>2368</v>
      </c>
      <c r="AM1041" s="246"/>
      <c r="AN1041" s="246"/>
      <c r="AO1041" s="551">
        <f t="shared" si="404"/>
        <v>800</v>
      </c>
      <c r="AP1041" s="551"/>
      <c r="AQ1041" s="551"/>
      <c r="AR1041" s="650"/>
      <c r="AS1041" s="551"/>
      <c r="AT1041" s="554">
        <f>I1041</f>
        <v>800</v>
      </c>
      <c r="AU1041" s="551"/>
      <c r="AV1041" s="551"/>
      <c r="AW1041" s="650"/>
      <c r="AX1041" s="551"/>
      <c r="AY1041" s="551"/>
      <c r="AZ1041" s="551"/>
      <c r="BA1041" s="551"/>
      <c r="BB1041" s="249">
        <f t="shared" si="405"/>
        <v>33.3333333333333</v>
      </c>
      <c r="BC1041" s="651"/>
      <c r="BD1041" s="551"/>
      <c r="BE1041" s="551"/>
      <c r="BF1041" s="551"/>
      <c r="BH1041" s="551"/>
      <c r="BI1041" s="551"/>
      <c r="BJ1041" s="551"/>
      <c r="BK1041" s="551"/>
      <c r="BL1041" s="551"/>
      <c r="BM1041" s="551"/>
      <c r="BN1041" s="551"/>
      <c r="BO1041" s="551"/>
      <c r="BP1041" s="551"/>
      <c r="BQ1041" s="551"/>
      <c r="BR1041" s="551"/>
      <c r="BS1041" s="551"/>
      <c r="BT1041" s="551"/>
      <c r="BU1041" s="551"/>
      <c r="BV1041" s="551"/>
      <c r="BW1041" s="551">
        <f>I1041</f>
        <v>800</v>
      </c>
      <c r="BX1041" s="551">
        <f>I1041/25</f>
        <v>32</v>
      </c>
      <c r="BY1041" s="650"/>
      <c r="BZ1041" s="551"/>
      <c r="CA1041" s="652"/>
      <c r="CB1041" s="567"/>
      <c r="CC1041" s="653"/>
      <c r="CD1041" s="650"/>
      <c r="CE1041" s="650"/>
      <c r="CF1041" s="551"/>
      <c r="CG1041" s="551"/>
      <c r="CI1041" s="551"/>
      <c r="CJ1041" s="551"/>
      <c r="CK1041" s="551"/>
      <c r="CL1041" s="551"/>
      <c r="CM1041" s="551"/>
      <c r="CN1041" s="551"/>
      <c r="CO1041" s="551"/>
      <c r="CP1041" s="551"/>
      <c r="CQ1041" s="551"/>
      <c r="CR1041" s="551"/>
      <c r="CS1041" s="551"/>
      <c r="CT1041" s="551"/>
      <c r="CU1041" s="554">
        <f t="shared" si="406"/>
        <v>32</v>
      </c>
      <c r="CV1041" s="551">
        <f t="shared" si="401"/>
        <v>0</v>
      </c>
      <c r="CW1041" s="551">
        <f t="shared" si="402"/>
        <v>0</v>
      </c>
      <c r="CX1041" s="650"/>
      <c r="CY1041" s="650"/>
      <c r="CZ1041" s="650"/>
      <c r="DA1041" s="548"/>
      <c r="DB1041" s="548"/>
      <c r="DC1041" s="548"/>
      <c r="DD1041" s="650"/>
      <c r="DE1041" s="650"/>
      <c r="DF1041" s="650"/>
      <c r="DG1041" s="650"/>
      <c r="DH1041" s="650"/>
    </row>
    <row r="1042" s="548" customFormat="1" ht="31" customHeight="1" spans="1:112">
      <c r="A1042" s="641">
        <v>46006</v>
      </c>
      <c r="B1042" s="642" t="s">
        <v>984</v>
      </c>
      <c r="C1042" s="246" t="s">
        <v>399</v>
      </c>
      <c r="D1042" s="551">
        <v>4500189088</v>
      </c>
      <c r="E1042" s="246"/>
      <c r="F1042" s="551" t="s">
        <v>8658</v>
      </c>
      <c r="G1042" s="246" t="s">
        <v>6043</v>
      </c>
      <c r="H1042" s="246" t="s">
        <v>6110</v>
      </c>
      <c r="I1042" s="704">
        <v>1200</v>
      </c>
      <c r="J1042" s="246">
        <v>0</v>
      </c>
      <c r="K1042" s="246">
        <v>50</v>
      </c>
      <c r="L1042" s="644">
        <f t="shared" si="381"/>
        <v>24</v>
      </c>
      <c r="M1042" s="645">
        <v>46051</v>
      </c>
      <c r="N1042" s="645">
        <v>46048</v>
      </c>
      <c r="O1042" s="246"/>
      <c r="P1042" s="643" t="s">
        <v>113</v>
      </c>
      <c r="Q1042" s="246"/>
      <c r="R1042" s="646">
        <v>46009</v>
      </c>
      <c r="S1042" s="646" t="s">
        <v>70</v>
      </c>
      <c r="T1042" s="646" t="s">
        <v>8659</v>
      </c>
      <c r="U1042" s="646"/>
      <c r="V1042" s="646"/>
      <c r="W1042" s="615"/>
      <c r="X1042" s="642" t="s">
        <v>8660</v>
      </c>
      <c r="Y1042" s="642" t="s">
        <v>402</v>
      </c>
      <c r="Z1042" s="655">
        <v>0.941</v>
      </c>
      <c r="AA1042" s="647">
        <f t="shared" si="398"/>
        <v>1129.2</v>
      </c>
      <c r="AC1042" s="648"/>
      <c r="AD1042" s="246" t="s">
        <v>6043</v>
      </c>
      <c r="AE1042" s="246" t="s">
        <v>82</v>
      </c>
      <c r="AF1042" s="246"/>
      <c r="AG1042" s="642"/>
      <c r="AH1042" s="642">
        <v>1</v>
      </c>
      <c r="AI1042" s="246">
        <v>1200</v>
      </c>
      <c r="AJ1042" s="246">
        <f t="shared" si="399"/>
        <v>0</v>
      </c>
      <c r="AK1042" s="246"/>
      <c r="AL1042" s="246" t="s">
        <v>2368</v>
      </c>
      <c r="AM1042" s="246"/>
      <c r="AN1042" s="246"/>
      <c r="AO1042" s="551">
        <f t="shared" si="404"/>
        <v>1200</v>
      </c>
      <c r="AP1042" s="551"/>
      <c r="AQ1042" s="551"/>
      <c r="AR1042" s="650"/>
      <c r="AS1042" s="551"/>
      <c r="AT1042" s="554">
        <f>I1042</f>
        <v>1200</v>
      </c>
      <c r="AU1042" s="551"/>
      <c r="AV1042" s="554">
        <f>I1042</f>
        <v>1200</v>
      </c>
      <c r="AW1042" s="650"/>
      <c r="AX1042" s="551"/>
      <c r="AY1042" s="551"/>
      <c r="AZ1042" s="551"/>
      <c r="BA1042" s="551"/>
      <c r="BB1042" s="620">
        <f t="shared" si="405"/>
        <v>50</v>
      </c>
      <c r="BC1042" s="651"/>
      <c r="BD1042" s="551"/>
      <c r="BE1042" s="551"/>
      <c r="BF1042" s="551"/>
      <c r="BH1042" s="551"/>
      <c r="BI1042" s="551"/>
      <c r="BJ1042" s="551"/>
      <c r="BK1042" s="551"/>
      <c r="BL1042" s="551"/>
      <c r="BM1042" s="551"/>
      <c r="BN1042" s="551"/>
      <c r="BO1042" s="551"/>
      <c r="BP1042" s="551">
        <f>I1042/25</f>
        <v>48</v>
      </c>
      <c r="BQ1042" s="551"/>
      <c r="BR1042" s="551"/>
      <c r="BS1042" s="551"/>
      <c r="BT1042" s="551"/>
      <c r="BU1042" s="551"/>
      <c r="BV1042" s="551"/>
      <c r="BW1042" s="551"/>
      <c r="BX1042" s="551"/>
      <c r="BY1042" s="650"/>
      <c r="BZ1042" s="551"/>
      <c r="CA1042" s="652"/>
      <c r="CB1042" s="567"/>
      <c r="CC1042" s="653"/>
      <c r="CD1042" s="650"/>
      <c r="CE1042" s="650"/>
      <c r="CF1042" s="551"/>
      <c r="CG1042" s="551"/>
      <c r="CI1042" s="551"/>
      <c r="CJ1042" s="551"/>
      <c r="CK1042" s="551"/>
      <c r="CL1042" s="551"/>
      <c r="CM1042" s="551"/>
      <c r="CN1042" s="551"/>
      <c r="CO1042" s="551"/>
      <c r="CP1042" s="551"/>
      <c r="CQ1042" s="551"/>
      <c r="CR1042" s="551"/>
      <c r="CS1042" s="551"/>
      <c r="CT1042" s="551"/>
      <c r="CU1042" s="554">
        <f t="shared" si="406"/>
        <v>48</v>
      </c>
      <c r="CV1042" s="551">
        <f t="shared" si="401"/>
        <v>0</v>
      </c>
      <c r="CW1042" s="551">
        <f t="shared" si="402"/>
        <v>0</v>
      </c>
      <c r="CX1042" s="650"/>
      <c r="CY1042" s="650"/>
      <c r="CZ1042" s="650"/>
      <c r="DA1042" s="548"/>
      <c r="DB1042" s="548"/>
      <c r="DC1042" s="548"/>
      <c r="DD1042" s="650"/>
      <c r="DE1042" s="650"/>
      <c r="DF1042" s="650"/>
      <c r="DG1042" s="650"/>
      <c r="DH1042" s="650"/>
    </row>
    <row r="1043" s="548" customFormat="1" ht="31" customHeight="1" spans="1:112">
      <c r="A1043" s="641">
        <v>45995</v>
      </c>
      <c r="B1043" s="642" t="s">
        <v>1218</v>
      </c>
      <c r="C1043" s="246" t="s">
        <v>399</v>
      </c>
      <c r="D1043" s="551">
        <v>4500187980</v>
      </c>
      <c r="E1043" s="246"/>
      <c r="F1043" s="551" t="s">
        <v>8661</v>
      </c>
      <c r="G1043" s="246" t="s">
        <v>6043</v>
      </c>
      <c r="H1043" s="246" t="s">
        <v>6110</v>
      </c>
      <c r="I1043" s="704">
        <v>1200</v>
      </c>
      <c r="J1043" s="246">
        <v>0</v>
      </c>
      <c r="K1043" s="246">
        <v>50</v>
      </c>
      <c r="L1043" s="644">
        <f t="shared" si="381"/>
        <v>24</v>
      </c>
      <c r="M1043" s="645">
        <v>46052</v>
      </c>
      <c r="N1043" s="645">
        <v>46048</v>
      </c>
      <c r="O1043" s="246"/>
      <c r="P1043" s="643" t="s">
        <v>113</v>
      </c>
      <c r="Q1043" s="246"/>
      <c r="R1043" s="646">
        <v>45995</v>
      </c>
      <c r="S1043" s="646" t="s">
        <v>70</v>
      </c>
      <c r="T1043" s="646" t="s">
        <v>8662</v>
      </c>
      <c r="U1043" s="646"/>
      <c r="V1043" s="646"/>
      <c r="W1043" s="615"/>
      <c r="X1043" s="642" t="s">
        <v>8663</v>
      </c>
      <c r="Y1043" s="642" t="s">
        <v>402</v>
      </c>
      <c r="Z1043" s="655">
        <v>0.941</v>
      </c>
      <c r="AA1043" s="647">
        <f t="shared" si="398"/>
        <v>1129.2</v>
      </c>
      <c r="AC1043" s="648"/>
      <c r="AD1043" s="246" t="s">
        <v>6043</v>
      </c>
      <c r="AE1043" s="246" t="s">
        <v>82</v>
      </c>
      <c r="AF1043" s="246"/>
      <c r="AG1043" s="642"/>
      <c r="AH1043" s="642">
        <v>1</v>
      </c>
      <c r="AI1043" s="246">
        <v>1200</v>
      </c>
      <c r="AJ1043" s="246">
        <f t="shared" si="399"/>
        <v>0</v>
      </c>
      <c r="AK1043" s="246"/>
      <c r="AL1043" s="246" t="s">
        <v>454</v>
      </c>
      <c r="AM1043" s="246"/>
      <c r="AN1043" s="246"/>
      <c r="AO1043" s="551">
        <f t="shared" si="404"/>
        <v>1200</v>
      </c>
      <c r="AP1043" s="551"/>
      <c r="AQ1043" s="551"/>
      <c r="AR1043" s="650"/>
      <c r="AS1043" s="551"/>
      <c r="AT1043" s="554">
        <f>I1043</f>
        <v>1200</v>
      </c>
      <c r="AU1043" s="551"/>
      <c r="AV1043" s="554">
        <f>I1043</f>
        <v>1200</v>
      </c>
      <c r="AW1043" s="650"/>
      <c r="AX1043" s="551"/>
      <c r="AY1043" s="551"/>
      <c r="AZ1043" s="551"/>
      <c r="BA1043" s="551"/>
      <c r="BB1043" s="620">
        <f t="shared" si="405"/>
        <v>50</v>
      </c>
      <c r="BC1043" s="651"/>
      <c r="BD1043" s="551"/>
      <c r="BE1043" s="551"/>
      <c r="BF1043" s="551"/>
      <c r="BH1043" s="551"/>
      <c r="BI1043" s="551"/>
      <c r="BJ1043" s="551"/>
      <c r="BK1043" s="551"/>
      <c r="BL1043" s="551"/>
      <c r="BM1043" s="551"/>
      <c r="BN1043" s="551"/>
      <c r="BO1043" s="551"/>
      <c r="BP1043" s="551">
        <f>I1043/25</f>
        <v>48</v>
      </c>
      <c r="BQ1043" s="551"/>
      <c r="BR1043" s="551"/>
      <c r="BS1043" s="551"/>
      <c r="BT1043" s="551"/>
      <c r="BU1043" s="551"/>
      <c r="BV1043" s="551"/>
      <c r="BW1043" s="551"/>
      <c r="BX1043" s="551"/>
      <c r="BY1043" s="650"/>
      <c r="BZ1043" s="551"/>
      <c r="CA1043" s="652"/>
      <c r="CB1043" s="567"/>
      <c r="CC1043" s="653"/>
      <c r="CD1043" s="650"/>
      <c r="CE1043" s="650"/>
      <c r="CF1043" s="551"/>
      <c r="CG1043" s="551"/>
      <c r="CI1043" s="551"/>
      <c r="CJ1043" s="551"/>
      <c r="CK1043" s="551"/>
      <c r="CL1043" s="551"/>
      <c r="CM1043" s="551"/>
      <c r="CN1043" s="551"/>
      <c r="CO1043" s="551"/>
      <c r="CP1043" s="551"/>
      <c r="CQ1043" s="551"/>
      <c r="CR1043" s="551"/>
      <c r="CS1043" s="551"/>
      <c r="CT1043" s="551"/>
      <c r="CU1043" s="554">
        <f t="shared" si="406"/>
        <v>48</v>
      </c>
      <c r="CV1043" s="551">
        <f t="shared" si="401"/>
        <v>0</v>
      </c>
      <c r="CW1043" s="551">
        <f t="shared" si="402"/>
        <v>0</v>
      </c>
      <c r="CX1043" s="650"/>
      <c r="CY1043" s="650"/>
      <c r="CZ1043" s="650"/>
      <c r="DA1043" s="548"/>
      <c r="DB1043" s="548"/>
      <c r="DC1043" s="548"/>
      <c r="DD1043" s="650"/>
      <c r="DE1043" s="650"/>
      <c r="DF1043" s="650"/>
      <c r="DG1043" s="650"/>
      <c r="DH1043" s="650"/>
    </row>
    <row r="1044" s="548" customFormat="1" ht="31" customHeight="1" spans="1:112">
      <c r="A1044" s="641">
        <v>46014</v>
      </c>
      <c r="B1044" s="642" t="s">
        <v>1337</v>
      </c>
      <c r="C1044" s="246" t="s">
        <v>931</v>
      </c>
      <c r="D1044" s="551">
        <v>4500189691</v>
      </c>
      <c r="E1044" s="246"/>
      <c r="F1044" s="551" t="s">
        <v>8664</v>
      </c>
      <c r="G1044" s="246" t="s">
        <v>6276</v>
      </c>
      <c r="H1044" s="246" t="s">
        <v>6277</v>
      </c>
      <c r="I1044" s="704">
        <v>2400</v>
      </c>
      <c r="J1044" s="246">
        <v>0</v>
      </c>
      <c r="K1044" s="246">
        <v>50</v>
      </c>
      <c r="L1044" s="644">
        <f t="shared" si="381"/>
        <v>48</v>
      </c>
      <c r="M1044" s="645">
        <v>46052</v>
      </c>
      <c r="N1044" s="645">
        <v>46048</v>
      </c>
      <c r="O1044" s="246"/>
      <c r="P1044" s="643" t="s">
        <v>113</v>
      </c>
      <c r="Q1044" s="246"/>
      <c r="R1044" s="646">
        <v>46021</v>
      </c>
      <c r="S1044" s="646" t="s">
        <v>70</v>
      </c>
      <c r="T1044" s="646" t="s">
        <v>70</v>
      </c>
      <c r="U1044" s="646"/>
      <c r="V1044" s="646"/>
      <c r="W1044" s="615"/>
      <c r="X1044" s="642" t="s">
        <v>8665</v>
      </c>
      <c r="Y1044" s="642" t="s">
        <v>943</v>
      </c>
      <c r="Z1044" s="655">
        <v>0.9521</v>
      </c>
      <c r="AA1044" s="647">
        <f t="shared" si="398"/>
        <v>2285.04</v>
      </c>
      <c r="AC1044" s="648"/>
      <c r="AD1044" s="246" t="s">
        <v>6276</v>
      </c>
      <c r="AE1044" s="246" t="s">
        <v>82</v>
      </c>
      <c r="AF1044" s="246"/>
      <c r="AG1044" s="642"/>
      <c r="AH1044" s="642">
        <v>1</v>
      </c>
      <c r="AI1044" s="246">
        <v>2400</v>
      </c>
      <c r="AJ1044" s="246">
        <f t="shared" si="399"/>
        <v>0</v>
      </c>
      <c r="AK1044" s="246"/>
      <c r="AL1044" s="246"/>
      <c r="AM1044" s="246"/>
      <c r="AN1044" s="246"/>
      <c r="AO1044" s="551">
        <f t="shared" si="404"/>
        <v>2400</v>
      </c>
      <c r="AP1044" s="551"/>
      <c r="AQ1044" s="551"/>
      <c r="AR1044" s="650"/>
      <c r="AS1044" s="551"/>
      <c r="AT1044" s="551"/>
      <c r="AU1044" s="551"/>
      <c r="AV1044" s="551"/>
      <c r="AW1044" s="650"/>
      <c r="AX1044" s="551"/>
      <c r="AY1044" s="551"/>
      <c r="AZ1044" s="551"/>
      <c r="BA1044" s="551"/>
      <c r="BB1044" s="249">
        <f t="shared" si="405"/>
        <v>100</v>
      </c>
      <c r="BC1044" s="651"/>
      <c r="BD1044" s="551"/>
      <c r="BE1044" s="551"/>
      <c r="BF1044" s="551"/>
      <c r="BH1044" s="551"/>
      <c r="BI1044" s="551"/>
      <c r="BJ1044" s="551"/>
      <c r="BK1044" s="551"/>
      <c r="BL1044" s="551"/>
      <c r="BM1044" s="551"/>
      <c r="BN1044" s="551"/>
      <c r="BO1044" s="551"/>
      <c r="BP1044" s="551"/>
      <c r="BQ1044" s="551"/>
      <c r="BR1044" s="551"/>
      <c r="BS1044" s="551"/>
      <c r="BT1044" s="551"/>
      <c r="BU1044" s="551"/>
      <c r="BV1044" s="551">
        <f>I1044</f>
        <v>2400</v>
      </c>
      <c r="BW1044" s="551">
        <f>I1044</f>
        <v>2400</v>
      </c>
      <c r="BX1044" s="551">
        <f>I1044/25</f>
        <v>96</v>
      </c>
      <c r="BY1044" s="650"/>
      <c r="BZ1044" s="551"/>
      <c r="CA1044" s="652"/>
      <c r="CB1044" s="567"/>
      <c r="CC1044" s="653"/>
      <c r="CD1044" s="650"/>
      <c r="CE1044" s="650"/>
      <c r="CF1044" s="551"/>
      <c r="CG1044" s="551"/>
      <c r="CI1044" s="551"/>
      <c r="CJ1044" s="551"/>
      <c r="CK1044" s="551"/>
      <c r="CL1044" s="551"/>
      <c r="CM1044" s="551"/>
      <c r="CN1044" s="551"/>
      <c r="CO1044" s="551"/>
      <c r="CP1044" s="551"/>
      <c r="CQ1044" s="551"/>
      <c r="CR1044" s="551"/>
      <c r="CS1044" s="551"/>
      <c r="CT1044" s="551"/>
      <c r="CU1044" s="554">
        <f t="shared" si="406"/>
        <v>96</v>
      </c>
      <c r="CV1044" s="551">
        <f t="shared" si="401"/>
        <v>0</v>
      </c>
      <c r="CW1044" s="551">
        <f t="shared" si="402"/>
        <v>0</v>
      </c>
      <c r="CX1044" s="650"/>
      <c r="CY1044" s="650"/>
      <c r="CZ1044" s="650"/>
      <c r="DA1044" s="548"/>
      <c r="DB1044" s="548"/>
      <c r="DC1044" s="548"/>
      <c r="DD1044" s="650"/>
      <c r="DE1044" s="650"/>
      <c r="DF1044" s="650"/>
      <c r="DG1044" s="650"/>
      <c r="DH1044" s="650"/>
    </row>
    <row r="1045" s="548" customFormat="1" ht="31" customHeight="1" spans="1:112">
      <c r="A1045" s="641">
        <v>46014</v>
      </c>
      <c r="B1045" s="642" t="s">
        <v>1337</v>
      </c>
      <c r="C1045" s="246" t="s">
        <v>931</v>
      </c>
      <c r="D1045" s="551">
        <v>4500188307</v>
      </c>
      <c r="E1045" s="246"/>
      <c r="F1045" s="551" t="s">
        <v>8666</v>
      </c>
      <c r="G1045" s="246" t="s">
        <v>6276</v>
      </c>
      <c r="H1045" s="246" t="s">
        <v>6277</v>
      </c>
      <c r="I1045" s="704">
        <v>2000</v>
      </c>
      <c r="J1045" s="246">
        <v>0</v>
      </c>
      <c r="K1045" s="246">
        <v>50</v>
      </c>
      <c r="L1045" s="644">
        <f t="shared" si="381"/>
        <v>40</v>
      </c>
      <c r="M1045" s="645">
        <v>46052</v>
      </c>
      <c r="N1045" s="645">
        <v>46048</v>
      </c>
      <c r="O1045" s="246"/>
      <c r="P1045" s="643" t="s">
        <v>113</v>
      </c>
      <c r="Q1045" s="246"/>
      <c r="R1045" s="646">
        <v>46021</v>
      </c>
      <c r="S1045" s="646" t="s">
        <v>70</v>
      </c>
      <c r="T1045" s="646" t="s">
        <v>70</v>
      </c>
      <c r="U1045" s="646"/>
      <c r="V1045" s="646"/>
      <c r="W1045" s="615"/>
      <c r="X1045" s="642" t="s">
        <v>8667</v>
      </c>
      <c r="Y1045" s="642" t="s">
        <v>943</v>
      </c>
      <c r="Z1045" s="655">
        <v>0.9521</v>
      </c>
      <c r="AA1045" s="647">
        <f t="shared" si="398"/>
        <v>1904.2</v>
      </c>
      <c r="AC1045" s="648"/>
      <c r="AD1045" s="246" t="s">
        <v>6276</v>
      </c>
      <c r="AE1045" s="246" t="s">
        <v>82</v>
      </c>
      <c r="AF1045" s="246"/>
      <c r="AG1045" s="642"/>
      <c r="AH1045" s="642">
        <v>1</v>
      </c>
      <c r="AI1045" s="246">
        <v>2000</v>
      </c>
      <c r="AJ1045" s="246">
        <f t="shared" si="399"/>
        <v>0</v>
      </c>
      <c r="AK1045" s="246"/>
      <c r="AL1045" s="246"/>
      <c r="AM1045" s="246"/>
      <c r="AN1045" s="246"/>
      <c r="AO1045" s="551">
        <f t="shared" si="404"/>
        <v>2000</v>
      </c>
      <c r="AP1045" s="551"/>
      <c r="AQ1045" s="551"/>
      <c r="AR1045" s="650"/>
      <c r="AS1045" s="551"/>
      <c r="AT1045" s="551"/>
      <c r="AU1045" s="551"/>
      <c r="AV1045" s="551"/>
      <c r="AW1045" s="650"/>
      <c r="AX1045" s="551"/>
      <c r="AY1045" s="551"/>
      <c r="AZ1045" s="551"/>
      <c r="BA1045" s="551"/>
      <c r="BB1045" s="249">
        <f t="shared" si="405"/>
        <v>83.3333333333333</v>
      </c>
      <c r="BC1045" s="651"/>
      <c r="BD1045" s="551"/>
      <c r="BE1045" s="551"/>
      <c r="BF1045" s="551"/>
      <c r="BH1045" s="551"/>
      <c r="BI1045" s="551"/>
      <c r="BJ1045" s="551"/>
      <c r="BK1045" s="551"/>
      <c r="BL1045" s="551"/>
      <c r="BM1045" s="551"/>
      <c r="BN1045" s="551"/>
      <c r="BO1045" s="551"/>
      <c r="BP1045" s="551"/>
      <c r="BQ1045" s="551"/>
      <c r="BR1045" s="551"/>
      <c r="BS1045" s="551"/>
      <c r="BT1045" s="551"/>
      <c r="BU1045" s="551"/>
      <c r="BV1045" s="551">
        <f>I1045</f>
        <v>2000</v>
      </c>
      <c r="BW1045" s="551">
        <f>I1045</f>
        <v>2000</v>
      </c>
      <c r="BX1045" s="551">
        <f>I1045/25</f>
        <v>80</v>
      </c>
      <c r="BY1045" s="650"/>
      <c r="BZ1045" s="551"/>
      <c r="CA1045" s="652"/>
      <c r="CB1045" s="567"/>
      <c r="CC1045" s="653"/>
      <c r="CD1045" s="650"/>
      <c r="CE1045" s="650"/>
      <c r="CF1045" s="551"/>
      <c r="CG1045" s="551"/>
      <c r="CI1045" s="551"/>
      <c r="CJ1045" s="551"/>
      <c r="CK1045" s="551"/>
      <c r="CL1045" s="551"/>
      <c r="CM1045" s="551"/>
      <c r="CN1045" s="551"/>
      <c r="CO1045" s="551"/>
      <c r="CP1045" s="551"/>
      <c r="CQ1045" s="551"/>
      <c r="CR1045" s="551"/>
      <c r="CS1045" s="551"/>
      <c r="CT1045" s="551"/>
      <c r="CU1045" s="554">
        <f t="shared" si="406"/>
        <v>80</v>
      </c>
      <c r="CV1045" s="551">
        <f t="shared" si="401"/>
        <v>0</v>
      </c>
      <c r="CW1045" s="551">
        <f t="shared" si="402"/>
        <v>0</v>
      </c>
      <c r="CX1045" s="650"/>
      <c r="CY1045" s="650"/>
      <c r="CZ1045" s="650"/>
      <c r="DA1045" s="548"/>
      <c r="DB1045" s="548"/>
      <c r="DC1045" s="548"/>
      <c r="DD1045" s="650"/>
      <c r="DE1045" s="650"/>
      <c r="DF1045" s="650"/>
      <c r="DG1045" s="650"/>
      <c r="DH1045" s="650"/>
    </row>
    <row r="1046" s="548" customFormat="1" ht="31" customHeight="1" spans="1:112">
      <c r="A1046" s="641">
        <v>45996</v>
      </c>
      <c r="B1046" s="642" t="s">
        <v>1337</v>
      </c>
      <c r="C1046" s="246" t="s">
        <v>931</v>
      </c>
      <c r="D1046" s="551">
        <v>4500188248</v>
      </c>
      <c r="E1046" s="246"/>
      <c r="F1046" s="551" t="s">
        <v>8668</v>
      </c>
      <c r="G1046" s="246" t="s">
        <v>6276</v>
      </c>
      <c r="H1046" s="246" t="s">
        <v>6277</v>
      </c>
      <c r="I1046" s="704">
        <v>7200</v>
      </c>
      <c r="J1046" s="246">
        <v>0</v>
      </c>
      <c r="K1046" s="246">
        <v>50</v>
      </c>
      <c r="L1046" s="644">
        <f t="shared" si="381"/>
        <v>144</v>
      </c>
      <c r="M1046" s="645">
        <v>46052</v>
      </c>
      <c r="N1046" s="645">
        <v>46048</v>
      </c>
      <c r="O1046" s="246"/>
      <c r="P1046" s="643" t="s">
        <v>113</v>
      </c>
      <c r="Q1046" s="246"/>
      <c r="R1046" s="646">
        <v>46021</v>
      </c>
      <c r="S1046" s="646" t="s">
        <v>70</v>
      </c>
      <c r="T1046" s="646" t="s">
        <v>70</v>
      </c>
      <c r="U1046" s="646"/>
      <c r="V1046" s="646" t="s">
        <v>8669</v>
      </c>
      <c r="W1046" s="615"/>
      <c r="X1046" s="628" t="s">
        <v>8670</v>
      </c>
      <c r="Y1046" s="642" t="s">
        <v>943</v>
      </c>
      <c r="Z1046" s="655">
        <v>0.9521</v>
      </c>
      <c r="AA1046" s="647">
        <f t="shared" si="398"/>
        <v>6855.12</v>
      </c>
      <c r="AC1046" s="648"/>
      <c r="AD1046" s="246" t="s">
        <v>6276</v>
      </c>
      <c r="AE1046" s="246" t="s">
        <v>82</v>
      </c>
      <c r="AF1046" s="246"/>
      <c r="AG1046" s="642"/>
      <c r="AH1046" s="642">
        <v>1</v>
      </c>
      <c r="AI1046" s="246">
        <v>4500</v>
      </c>
      <c r="AJ1046" s="246">
        <f t="shared" si="399"/>
        <v>-2700</v>
      </c>
      <c r="AK1046" s="246"/>
      <c r="AL1046" s="246"/>
      <c r="AM1046" s="246"/>
      <c r="AN1046" s="246"/>
      <c r="AO1046" s="551">
        <f t="shared" si="404"/>
        <v>7200</v>
      </c>
      <c r="AP1046" s="551"/>
      <c r="AQ1046" s="551"/>
      <c r="AR1046" s="650"/>
      <c r="AS1046" s="551"/>
      <c r="AT1046" s="551"/>
      <c r="AU1046" s="551"/>
      <c r="AV1046" s="551"/>
      <c r="AW1046" s="650"/>
      <c r="AX1046" s="551"/>
      <c r="AY1046" s="551"/>
      <c r="AZ1046" s="551"/>
      <c r="BA1046" s="551"/>
      <c r="BB1046" s="249">
        <f t="shared" si="405"/>
        <v>300</v>
      </c>
      <c r="BC1046" s="651"/>
      <c r="BD1046" s="551"/>
      <c r="BE1046" s="551"/>
      <c r="BF1046" s="551"/>
      <c r="BH1046" s="551"/>
      <c r="BI1046" s="551"/>
      <c r="BJ1046" s="551"/>
      <c r="BK1046" s="551"/>
      <c r="BL1046" s="551"/>
      <c r="BM1046" s="551"/>
      <c r="BN1046" s="551"/>
      <c r="BO1046" s="551"/>
      <c r="BP1046" s="551"/>
      <c r="BQ1046" s="551"/>
      <c r="BR1046" s="551"/>
      <c r="BS1046" s="551"/>
      <c r="BT1046" s="551"/>
      <c r="BU1046" s="551"/>
      <c r="BV1046" s="551">
        <f>I1046</f>
        <v>7200</v>
      </c>
      <c r="BW1046" s="551">
        <f>I1046</f>
        <v>7200</v>
      </c>
      <c r="BX1046" s="551">
        <f>I1046/25</f>
        <v>288</v>
      </c>
      <c r="BY1046" s="650"/>
      <c r="BZ1046" s="551"/>
      <c r="CA1046" s="652"/>
      <c r="CB1046" s="567"/>
      <c r="CC1046" s="653"/>
      <c r="CD1046" s="650"/>
      <c r="CE1046" s="650"/>
      <c r="CF1046" s="551"/>
      <c r="CG1046" s="551"/>
      <c r="CI1046" s="551"/>
      <c r="CJ1046" s="551"/>
      <c r="CK1046" s="551"/>
      <c r="CL1046" s="551"/>
      <c r="CM1046" s="551"/>
      <c r="CN1046" s="551"/>
      <c r="CO1046" s="551"/>
      <c r="CP1046" s="551"/>
      <c r="CQ1046" s="551"/>
      <c r="CR1046" s="551"/>
      <c r="CS1046" s="551"/>
      <c r="CT1046" s="551"/>
      <c r="CU1046" s="554">
        <f t="shared" si="406"/>
        <v>288</v>
      </c>
      <c r="CV1046" s="551">
        <f t="shared" si="401"/>
        <v>0</v>
      </c>
      <c r="CW1046" s="551">
        <f t="shared" si="402"/>
        <v>0</v>
      </c>
      <c r="CX1046" s="650"/>
      <c r="CY1046" s="650"/>
      <c r="CZ1046" s="650"/>
      <c r="DA1046" s="548"/>
      <c r="DB1046" s="548"/>
      <c r="DC1046" s="548"/>
      <c r="DD1046" s="650"/>
      <c r="DE1046" s="650"/>
      <c r="DF1046" s="650"/>
      <c r="DG1046" s="650"/>
      <c r="DH1046" s="650"/>
    </row>
    <row r="1047" s="548" customFormat="1" ht="31" customHeight="1" spans="1:112">
      <c r="A1047" s="641">
        <v>45996</v>
      </c>
      <c r="B1047" s="642" t="s">
        <v>1337</v>
      </c>
      <c r="C1047" s="246" t="s">
        <v>931</v>
      </c>
      <c r="D1047" s="551">
        <v>4500188302</v>
      </c>
      <c r="E1047" s="246"/>
      <c r="F1047" s="551" t="s">
        <v>8671</v>
      </c>
      <c r="G1047" s="246" t="s">
        <v>6276</v>
      </c>
      <c r="H1047" s="246" t="s">
        <v>6277</v>
      </c>
      <c r="I1047" s="704">
        <v>700</v>
      </c>
      <c r="J1047" s="246">
        <v>0</v>
      </c>
      <c r="K1047" s="246">
        <v>50</v>
      </c>
      <c r="L1047" s="644">
        <f t="shared" si="381"/>
        <v>14</v>
      </c>
      <c r="M1047" s="645">
        <v>46052</v>
      </c>
      <c r="N1047" s="645">
        <v>46048</v>
      </c>
      <c r="O1047" s="246"/>
      <c r="P1047" s="643" t="s">
        <v>113</v>
      </c>
      <c r="Q1047" s="246"/>
      <c r="R1047" s="646">
        <v>46021</v>
      </c>
      <c r="S1047" s="646" t="s">
        <v>70</v>
      </c>
      <c r="T1047" s="646" t="s">
        <v>70</v>
      </c>
      <c r="U1047" s="646"/>
      <c r="V1047" s="646"/>
      <c r="W1047" s="615"/>
      <c r="X1047" s="628" t="s">
        <v>8670</v>
      </c>
      <c r="Y1047" s="642" t="s">
        <v>943</v>
      </c>
      <c r="Z1047" s="655">
        <v>0.9402</v>
      </c>
      <c r="AA1047" s="647">
        <f t="shared" si="398"/>
        <v>658.14</v>
      </c>
      <c r="AC1047" s="648"/>
      <c r="AD1047" s="246" t="s">
        <v>6276</v>
      </c>
      <c r="AE1047" s="246" t="s">
        <v>82</v>
      </c>
      <c r="AF1047" s="246"/>
      <c r="AG1047" s="642"/>
      <c r="AH1047" s="642">
        <v>1</v>
      </c>
      <c r="AI1047" s="246">
        <v>700</v>
      </c>
      <c r="AJ1047" s="246">
        <f t="shared" si="399"/>
        <v>0</v>
      </c>
      <c r="AK1047" s="246"/>
      <c r="AL1047" s="246"/>
      <c r="AM1047" s="246"/>
      <c r="AN1047" s="246"/>
      <c r="AO1047" s="551">
        <f t="shared" si="404"/>
        <v>700</v>
      </c>
      <c r="AP1047" s="551"/>
      <c r="AQ1047" s="551"/>
      <c r="AR1047" s="650"/>
      <c r="AS1047" s="551"/>
      <c r="AT1047" s="551"/>
      <c r="AU1047" s="551"/>
      <c r="AV1047" s="551"/>
      <c r="AW1047" s="650"/>
      <c r="AX1047" s="551"/>
      <c r="AY1047" s="551"/>
      <c r="AZ1047" s="551"/>
      <c r="BA1047" s="551"/>
      <c r="BB1047" s="249">
        <f t="shared" si="405"/>
        <v>29.1666666666667</v>
      </c>
      <c r="BC1047" s="651"/>
      <c r="BD1047" s="551"/>
      <c r="BE1047" s="551"/>
      <c r="BF1047" s="551"/>
      <c r="BH1047" s="551"/>
      <c r="BI1047" s="551"/>
      <c r="BJ1047" s="551"/>
      <c r="BK1047" s="551"/>
      <c r="BL1047" s="551"/>
      <c r="BM1047" s="551"/>
      <c r="BN1047" s="551"/>
      <c r="BO1047" s="551"/>
      <c r="BP1047" s="551"/>
      <c r="BQ1047" s="551"/>
      <c r="BR1047" s="551"/>
      <c r="BS1047" s="551"/>
      <c r="BT1047" s="551"/>
      <c r="BU1047" s="551"/>
      <c r="BV1047" s="551">
        <f>I1047</f>
        <v>700</v>
      </c>
      <c r="BW1047" s="551">
        <f>I1047</f>
        <v>700</v>
      </c>
      <c r="BX1047" s="551">
        <f>I1047/25</f>
        <v>28</v>
      </c>
      <c r="BY1047" s="650"/>
      <c r="BZ1047" s="551"/>
      <c r="CA1047" s="652"/>
      <c r="CB1047" s="567"/>
      <c r="CC1047" s="653"/>
      <c r="CD1047" s="650"/>
      <c r="CE1047" s="650"/>
      <c r="CF1047" s="551"/>
      <c r="CG1047" s="551"/>
      <c r="CI1047" s="551"/>
      <c r="CJ1047" s="551"/>
      <c r="CK1047" s="551"/>
      <c r="CL1047" s="551"/>
      <c r="CM1047" s="551"/>
      <c r="CN1047" s="551"/>
      <c r="CO1047" s="551"/>
      <c r="CP1047" s="551"/>
      <c r="CQ1047" s="551"/>
      <c r="CR1047" s="551"/>
      <c r="CS1047" s="551"/>
      <c r="CT1047" s="551"/>
      <c r="CU1047" s="554">
        <f t="shared" si="406"/>
        <v>28</v>
      </c>
      <c r="CV1047" s="551">
        <f t="shared" si="401"/>
        <v>0</v>
      </c>
      <c r="CW1047" s="551">
        <f t="shared" si="402"/>
        <v>0</v>
      </c>
      <c r="CX1047" s="650"/>
      <c r="CY1047" s="650"/>
      <c r="CZ1047" s="650"/>
      <c r="DA1047" s="548"/>
      <c r="DB1047" s="548"/>
      <c r="DC1047" s="548"/>
      <c r="DD1047" s="650"/>
      <c r="DE1047" s="650"/>
      <c r="DF1047" s="650"/>
      <c r="DG1047" s="650"/>
      <c r="DH1047" s="650"/>
    </row>
    <row r="1048" s="548" customFormat="1" ht="31" customHeight="1" spans="1:112">
      <c r="A1048" s="641">
        <v>45978</v>
      </c>
      <c r="B1048" s="642" t="s">
        <v>1492</v>
      </c>
      <c r="C1048" s="246" t="s">
        <v>98</v>
      </c>
      <c r="D1048" s="551">
        <v>4500185934</v>
      </c>
      <c r="E1048" s="643">
        <v>5841216380</v>
      </c>
      <c r="F1048" s="551" t="s">
        <v>2989</v>
      </c>
      <c r="G1048" s="246" t="s">
        <v>8457</v>
      </c>
      <c r="H1048" s="246" t="s">
        <v>830</v>
      </c>
      <c r="I1048" s="704">
        <v>5400</v>
      </c>
      <c r="J1048" s="246">
        <v>0</v>
      </c>
      <c r="K1048" s="246">
        <v>75</v>
      </c>
      <c r="L1048" s="644">
        <f t="shared" si="381"/>
        <v>72</v>
      </c>
      <c r="M1048" s="645">
        <v>46052</v>
      </c>
      <c r="N1048" s="645">
        <v>46048</v>
      </c>
      <c r="O1048" s="246"/>
      <c r="P1048" s="643" t="s">
        <v>113</v>
      </c>
      <c r="Q1048" s="246"/>
      <c r="R1048" s="646" t="s">
        <v>2667</v>
      </c>
      <c r="S1048" s="646" t="s">
        <v>70</v>
      </c>
      <c r="T1048" s="646" t="s">
        <v>70</v>
      </c>
      <c r="U1048" s="646"/>
      <c r="V1048" s="646"/>
      <c r="W1048" s="615"/>
      <c r="X1048" s="642" t="s">
        <v>2826</v>
      </c>
      <c r="Y1048" s="642" t="s">
        <v>911</v>
      </c>
      <c r="Z1048" s="655">
        <v>359.3436</v>
      </c>
      <c r="AA1048" s="647">
        <f>Z1048*L1048</f>
        <v>25872.7392</v>
      </c>
      <c r="AC1048" s="658" t="s">
        <v>2990</v>
      </c>
      <c r="AD1048" s="246" t="s">
        <v>1498</v>
      </c>
      <c r="AE1048" s="246" t="s">
        <v>82</v>
      </c>
      <c r="AF1048" s="246"/>
      <c r="AG1048" s="642"/>
      <c r="AH1048" s="642">
        <v>1</v>
      </c>
      <c r="AI1048" s="246">
        <v>5400</v>
      </c>
      <c r="AJ1048" s="246">
        <f t="shared" si="399"/>
        <v>0</v>
      </c>
      <c r="AK1048" s="246"/>
      <c r="AL1048" s="246"/>
      <c r="AM1048" s="246"/>
      <c r="AN1048" s="610">
        <f>I1048*3</f>
        <v>16200</v>
      </c>
      <c r="AO1048" s="551"/>
      <c r="AP1048" s="551"/>
      <c r="AQ1048" s="551"/>
      <c r="AR1048" s="650"/>
      <c r="AS1048" s="551"/>
      <c r="AT1048" s="551"/>
      <c r="AU1048" s="551"/>
      <c r="AV1048" s="551"/>
      <c r="AW1048" s="650"/>
      <c r="AX1048" s="551"/>
      <c r="AY1048" s="551"/>
      <c r="AZ1048" s="551"/>
      <c r="BA1048" s="551"/>
      <c r="BB1048" s="249">
        <f>I1048/24*3</f>
        <v>675</v>
      </c>
      <c r="BC1048" s="651"/>
      <c r="BD1048" s="551"/>
      <c r="BE1048" s="551"/>
      <c r="BF1048" s="551">
        <f>AN1048</f>
        <v>16200</v>
      </c>
      <c r="BH1048" s="551">
        <f>AN1048</f>
        <v>16200</v>
      </c>
      <c r="BI1048" s="551">
        <f>I1048</f>
        <v>5400</v>
      </c>
      <c r="BJ1048" s="551">
        <f>I1048/5</f>
        <v>1080</v>
      </c>
      <c r="BK1048" s="551"/>
      <c r="BL1048" s="551"/>
      <c r="BM1048" s="551"/>
      <c r="BN1048" s="551"/>
      <c r="BO1048" s="551"/>
      <c r="BP1048" s="551"/>
      <c r="BQ1048" s="551"/>
      <c r="BR1048" s="551"/>
      <c r="BS1048" s="551"/>
      <c r="BT1048" s="551"/>
      <c r="BU1048" s="551"/>
      <c r="BV1048" s="551"/>
      <c r="BW1048" s="551"/>
      <c r="BX1048" s="551"/>
      <c r="BY1048" s="650"/>
      <c r="BZ1048" s="551"/>
      <c r="CA1048" s="652"/>
      <c r="CB1048" s="567"/>
      <c r="CC1048" s="653"/>
      <c r="CD1048" s="650"/>
      <c r="CE1048" s="650"/>
      <c r="CF1048" s="551"/>
      <c r="CG1048" s="551"/>
      <c r="CI1048" s="551"/>
      <c r="CJ1048" s="551"/>
      <c r="CK1048" s="551"/>
      <c r="CL1048" s="551"/>
      <c r="CM1048" s="551"/>
      <c r="CN1048" s="551"/>
      <c r="CO1048" s="551"/>
      <c r="CP1048" s="551"/>
      <c r="CQ1048" s="551"/>
      <c r="CR1048" s="551"/>
      <c r="CS1048" s="551"/>
      <c r="CT1048" s="551"/>
      <c r="CU1048" s="554">
        <f t="shared" si="400"/>
        <v>0</v>
      </c>
      <c r="CV1048" s="551">
        <f t="shared" si="401"/>
        <v>0</v>
      </c>
      <c r="CW1048" s="551">
        <f t="shared" si="402"/>
        <v>0</v>
      </c>
      <c r="CX1048" s="650"/>
      <c r="CY1048" s="650"/>
      <c r="CZ1048" s="650"/>
      <c r="DA1048" s="548"/>
      <c r="DB1048" s="548"/>
      <c r="DC1048" s="548"/>
      <c r="DD1048" s="650"/>
      <c r="DE1048" s="650"/>
      <c r="DF1048" s="650"/>
      <c r="DG1048" s="650"/>
      <c r="DH1048" s="650"/>
    </row>
    <row r="1049" s="548" customFormat="1" ht="31" customHeight="1" spans="1:112">
      <c r="A1049" s="641">
        <v>46010</v>
      </c>
      <c r="B1049" s="642" t="s">
        <v>6431</v>
      </c>
      <c r="C1049" s="246" t="s">
        <v>98</v>
      </c>
      <c r="D1049" s="551">
        <v>4500189455</v>
      </c>
      <c r="E1049" s="246"/>
      <c r="F1049" s="551" t="s">
        <v>8672</v>
      </c>
      <c r="G1049" s="246" t="s">
        <v>8673</v>
      </c>
      <c r="H1049" s="246"/>
      <c r="I1049" s="704">
        <v>4500</v>
      </c>
      <c r="J1049" s="246">
        <v>0</v>
      </c>
      <c r="K1049" s="246">
        <v>25</v>
      </c>
      <c r="L1049" s="644">
        <f t="shared" ref="L1049:L1074" si="407">I1049/K1049</f>
        <v>180</v>
      </c>
      <c r="M1049" s="645">
        <v>46052</v>
      </c>
      <c r="N1049" s="645">
        <v>46038</v>
      </c>
      <c r="O1049" s="246"/>
      <c r="P1049" s="643" t="s">
        <v>113</v>
      </c>
      <c r="Q1049" s="246"/>
      <c r="R1049" s="646">
        <v>46028</v>
      </c>
      <c r="S1049" s="646" t="s">
        <v>70</v>
      </c>
      <c r="T1049" s="646" t="s">
        <v>8674</v>
      </c>
      <c r="U1049" s="646"/>
      <c r="V1049" s="646"/>
      <c r="W1049" s="615"/>
      <c r="X1049" s="628" t="s">
        <v>8675</v>
      </c>
      <c r="Y1049" s="642" t="s">
        <v>1723</v>
      </c>
      <c r="Z1049" s="655">
        <v>686.64</v>
      </c>
      <c r="AA1049" s="647">
        <f>Z1049*L1049</f>
        <v>123595.2</v>
      </c>
      <c r="AC1049" s="658" t="s">
        <v>8676</v>
      </c>
      <c r="AD1049" s="246" t="s">
        <v>8673</v>
      </c>
      <c r="AE1049" s="246" t="s">
        <v>82</v>
      </c>
      <c r="AF1049" s="246"/>
      <c r="AG1049" s="642"/>
      <c r="AH1049" s="642" t="s">
        <v>82</v>
      </c>
      <c r="AI1049" s="246">
        <v>4500</v>
      </c>
      <c r="AJ1049" s="246">
        <f t="shared" si="399"/>
        <v>0</v>
      </c>
      <c r="AK1049" s="246"/>
      <c r="AL1049" s="246" t="s">
        <v>2368</v>
      </c>
      <c r="AM1049" s="246"/>
      <c r="AN1049" s="246">
        <f>I1049</f>
        <v>4500</v>
      </c>
      <c r="AO1049" s="551"/>
      <c r="AP1049" s="554">
        <f>I1049</f>
        <v>4500</v>
      </c>
      <c r="AQ1049" s="551"/>
      <c r="AR1049" s="650"/>
      <c r="AS1049" s="551"/>
      <c r="AT1049" s="551"/>
      <c r="AU1049" s="554">
        <f>I1049</f>
        <v>4500</v>
      </c>
      <c r="AV1049" s="551"/>
      <c r="AW1049" s="650"/>
      <c r="AX1049" s="551"/>
      <c r="AY1049" s="551"/>
      <c r="AZ1049" s="551"/>
      <c r="BA1049" s="551"/>
      <c r="BB1049" s="249">
        <f>I1049/24*2</f>
        <v>375</v>
      </c>
      <c r="BC1049" s="651"/>
      <c r="BD1049" s="551"/>
      <c r="BE1049" s="551"/>
      <c r="BF1049" s="551"/>
      <c r="BH1049" s="551"/>
      <c r="BI1049" s="551"/>
      <c r="BJ1049" s="551"/>
      <c r="BK1049" s="551"/>
      <c r="BL1049" s="551"/>
      <c r="BM1049" s="551"/>
      <c r="BN1049" s="551">
        <f>I1049/25</f>
        <v>180</v>
      </c>
      <c r="BO1049" s="551"/>
      <c r="BP1049" s="551"/>
      <c r="BQ1049" s="551"/>
      <c r="BR1049" s="551"/>
      <c r="BS1049" s="551"/>
      <c r="BT1049" s="551"/>
      <c r="BU1049" s="551"/>
      <c r="BV1049" s="551"/>
      <c r="BW1049" s="551"/>
      <c r="BX1049" s="551"/>
      <c r="BY1049" s="650"/>
      <c r="BZ1049" s="551"/>
      <c r="CA1049" s="652"/>
      <c r="CB1049" s="567"/>
      <c r="CC1049" s="653"/>
      <c r="CD1049" s="650"/>
      <c r="CE1049" s="650"/>
      <c r="CF1049" s="551"/>
      <c r="CG1049" s="551"/>
      <c r="CI1049" s="551"/>
      <c r="CJ1049" s="551"/>
      <c r="CK1049" s="551"/>
      <c r="CL1049" s="551"/>
      <c r="CM1049" s="551"/>
      <c r="CN1049" s="551"/>
      <c r="CO1049" s="551"/>
      <c r="CP1049" s="551"/>
      <c r="CQ1049" s="551"/>
      <c r="CR1049" s="551"/>
      <c r="CS1049" s="551"/>
      <c r="CT1049" s="551"/>
      <c r="CU1049" s="554">
        <f t="shared" si="400"/>
        <v>180</v>
      </c>
      <c r="CV1049" s="551">
        <f t="shared" si="401"/>
        <v>0</v>
      </c>
      <c r="CW1049" s="551">
        <f t="shared" si="402"/>
        <v>0</v>
      </c>
      <c r="CX1049" s="650"/>
      <c r="CY1049" s="650"/>
      <c r="CZ1049" s="650"/>
      <c r="DA1049" s="548"/>
      <c r="DB1049" s="548"/>
      <c r="DC1049" s="548"/>
      <c r="DD1049" s="650"/>
      <c r="DE1049" s="650"/>
      <c r="DF1049" s="650"/>
      <c r="DG1049" s="650"/>
      <c r="DH1049" s="650"/>
    </row>
    <row r="1050" s="548" customFormat="1" ht="31" customHeight="1" spans="1:112">
      <c r="A1050" s="641">
        <v>45971</v>
      </c>
      <c r="B1050" s="642" t="s">
        <v>1642</v>
      </c>
      <c r="C1050" s="246" t="s">
        <v>723</v>
      </c>
      <c r="D1050" s="551">
        <v>4500189943</v>
      </c>
      <c r="E1050" s="246" t="s">
        <v>2983</v>
      </c>
      <c r="F1050" s="551" t="s">
        <v>8677</v>
      </c>
      <c r="G1050" s="246" t="s">
        <v>6040</v>
      </c>
      <c r="H1050" s="246" t="s">
        <v>6041</v>
      </c>
      <c r="I1050" s="704">
        <v>1560</v>
      </c>
      <c r="J1050" s="246">
        <v>0</v>
      </c>
      <c r="K1050" s="246">
        <v>52</v>
      </c>
      <c r="L1050" s="644">
        <f t="shared" si="407"/>
        <v>30</v>
      </c>
      <c r="M1050" s="645">
        <v>46052</v>
      </c>
      <c r="N1050" s="645">
        <v>46048</v>
      </c>
      <c r="O1050" s="246" t="s">
        <v>8678</v>
      </c>
      <c r="P1050" s="643" t="s">
        <v>113</v>
      </c>
      <c r="Q1050" s="246"/>
      <c r="R1050" s="646">
        <v>45971</v>
      </c>
      <c r="S1050" s="646" t="s">
        <v>70</v>
      </c>
      <c r="T1050" s="646" t="s">
        <v>8679</v>
      </c>
      <c r="U1050" s="646"/>
      <c r="V1050" s="646" t="s">
        <v>2985</v>
      </c>
      <c r="W1050" s="615"/>
      <c r="X1050" s="628" t="s">
        <v>8680</v>
      </c>
      <c r="Y1050" s="642" t="s">
        <v>1793</v>
      </c>
      <c r="Z1050" s="655">
        <v>0.9371</v>
      </c>
      <c r="AA1050" s="647">
        <f t="shared" ref="AA1050:AA1056" si="408">Z1050*I1050</f>
        <v>1461.876</v>
      </c>
      <c r="AC1050" s="648"/>
      <c r="AD1050" s="246" t="s">
        <v>6040</v>
      </c>
      <c r="AE1050" s="246" t="s">
        <v>82</v>
      </c>
      <c r="AF1050" s="246"/>
      <c r="AG1050" s="642"/>
      <c r="AH1050" s="642">
        <v>1</v>
      </c>
      <c r="AI1050" s="246">
        <f>780+780</f>
        <v>1560</v>
      </c>
      <c r="AJ1050" s="246">
        <f t="shared" si="399"/>
        <v>0</v>
      </c>
      <c r="AK1050" s="246"/>
      <c r="AL1050" s="246" t="s">
        <v>2368</v>
      </c>
      <c r="AM1050" s="246"/>
      <c r="AN1050" s="246"/>
      <c r="AO1050" s="551">
        <f>I1050</f>
        <v>1560</v>
      </c>
      <c r="AP1050" s="551"/>
      <c r="AQ1050" s="551"/>
      <c r="AR1050" s="650"/>
      <c r="AS1050" s="551"/>
      <c r="AT1050" s="554">
        <f>I1050</f>
        <v>1560</v>
      </c>
      <c r="AU1050" s="551"/>
      <c r="AV1050" s="554">
        <f>I1050</f>
        <v>1560</v>
      </c>
      <c r="AW1050" s="650"/>
      <c r="AX1050" s="551"/>
      <c r="AY1050" s="551"/>
      <c r="AZ1050" s="551"/>
      <c r="BA1050" s="551"/>
      <c r="BB1050" s="620">
        <f t="shared" ref="BB1050:BB1057" si="409">I1050/24</f>
        <v>65</v>
      </c>
      <c r="BC1050" s="651"/>
      <c r="BD1050" s="551"/>
      <c r="BE1050" s="551"/>
      <c r="BF1050" s="551"/>
      <c r="BH1050" s="551"/>
      <c r="BI1050" s="551"/>
      <c r="BJ1050" s="551"/>
      <c r="BK1050" s="551"/>
      <c r="BL1050" s="551"/>
      <c r="BM1050" s="551">
        <f>I1050/13</f>
        <v>120</v>
      </c>
      <c r="BN1050" s="551"/>
      <c r="BO1050" s="551"/>
      <c r="BP1050" s="551"/>
      <c r="BQ1050" s="551"/>
      <c r="BR1050" s="551"/>
      <c r="BS1050" s="551"/>
      <c r="BT1050" s="551"/>
      <c r="BU1050" s="551"/>
      <c r="BV1050" s="551"/>
      <c r="BW1050" s="551"/>
      <c r="BX1050" s="551"/>
      <c r="BY1050" s="650"/>
      <c r="BZ1050" s="551"/>
      <c r="CA1050" s="652"/>
      <c r="CB1050" s="567"/>
      <c r="CC1050" s="653"/>
      <c r="CD1050" s="650"/>
      <c r="CE1050" s="650"/>
      <c r="CF1050" s="551"/>
      <c r="CG1050" s="551"/>
      <c r="CI1050" s="551"/>
      <c r="CJ1050" s="551"/>
      <c r="CK1050" s="551"/>
      <c r="CL1050" s="551"/>
      <c r="CM1050" s="551"/>
      <c r="CN1050" s="551"/>
      <c r="CO1050" s="551"/>
      <c r="CP1050" s="551"/>
      <c r="CQ1050" s="551"/>
      <c r="CR1050" s="551"/>
      <c r="CS1050" s="551"/>
      <c r="CT1050" s="551"/>
      <c r="CU1050" s="554">
        <f t="shared" si="400"/>
        <v>0</v>
      </c>
      <c r="CV1050" s="551">
        <f t="shared" si="401"/>
        <v>0</v>
      </c>
      <c r="CW1050" s="551">
        <f t="shared" si="402"/>
        <v>0</v>
      </c>
      <c r="CX1050" s="650"/>
      <c r="CY1050" s="650"/>
      <c r="CZ1050" s="650"/>
      <c r="DA1050" s="548"/>
      <c r="DB1050" s="548"/>
      <c r="DC1050" s="548"/>
      <c r="DD1050" s="650"/>
      <c r="DE1050" s="650"/>
      <c r="DF1050" s="650"/>
      <c r="DG1050" s="650"/>
      <c r="DH1050" s="650"/>
    </row>
    <row r="1051" s="548" customFormat="1" ht="31" customHeight="1" spans="1:112">
      <c r="A1051" s="641">
        <v>45930</v>
      </c>
      <c r="B1051" s="642" t="s">
        <v>1201</v>
      </c>
      <c r="C1051" s="246" t="s">
        <v>524</v>
      </c>
      <c r="D1051" s="551">
        <v>4500181047</v>
      </c>
      <c r="E1051" s="246">
        <v>137110638</v>
      </c>
      <c r="F1051" s="551" t="s">
        <v>8681</v>
      </c>
      <c r="G1051" s="246" t="s">
        <v>6043</v>
      </c>
      <c r="H1051" s="246" t="s">
        <v>6110</v>
      </c>
      <c r="I1051" s="704">
        <v>1250</v>
      </c>
      <c r="J1051" s="246">
        <v>0</v>
      </c>
      <c r="K1051" s="246">
        <v>50</v>
      </c>
      <c r="L1051" s="644">
        <f t="shared" si="407"/>
        <v>25</v>
      </c>
      <c r="M1051" s="645">
        <v>46055</v>
      </c>
      <c r="N1051" s="645">
        <f>M1051-4</f>
        <v>46051</v>
      </c>
      <c r="O1051" s="246" t="s">
        <v>8682</v>
      </c>
      <c r="P1051" s="643" t="s">
        <v>113</v>
      </c>
      <c r="Q1051" s="246"/>
      <c r="R1051" s="646">
        <v>46027</v>
      </c>
      <c r="S1051" s="646" t="s">
        <v>70</v>
      </c>
      <c r="T1051" s="646" t="s">
        <v>8683</v>
      </c>
      <c r="U1051" s="646"/>
      <c r="V1051" s="646"/>
      <c r="W1051" s="615"/>
      <c r="X1051" s="642" t="s">
        <v>8684</v>
      </c>
      <c r="Y1051" s="642" t="s">
        <v>340</v>
      </c>
      <c r="Z1051" s="655">
        <v>0.941</v>
      </c>
      <c r="AA1051" s="647">
        <f t="shared" si="408"/>
        <v>1176.25</v>
      </c>
      <c r="AC1051" s="648"/>
      <c r="AD1051" s="246" t="s">
        <v>6043</v>
      </c>
      <c r="AE1051" s="246" t="s">
        <v>82</v>
      </c>
      <c r="AF1051" s="246"/>
      <c r="AG1051" s="642"/>
      <c r="AH1051" s="642" t="s">
        <v>126</v>
      </c>
      <c r="AI1051" s="246">
        <v>1250</v>
      </c>
      <c r="AJ1051" s="246">
        <f t="shared" si="399"/>
        <v>0</v>
      </c>
      <c r="AK1051" s="246"/>
      <c r="AL1051" s="246" t="s">
        <v>2368</v>
      </c>
      <c r="AM1051" s="246"/>
      <c r="AN1051" s="246"/>
      <c r="AO1051" s="551">
        <f>I1051</f>
        <v>1250</v>
      </c>
      <c r="AP1051" s="551"/>
      <c r="AQ1051" s="551"/>
      <c r="AR1051" s="650"/>
      <c r="AS1051" s="551"/>
      <c r="AT1051" s="554">
        <f>I1051</f>
        <v>1250</v>
      </c>
      <c r="AU1051" s="551"/>
      <c r="AV1051" s="554">
        <f>I1051</f>
        <v>1250</v>
      </c>
      <c r="AW1051" s="650"/>
      <c r="AX1051" s="551"/>
      <c r="AY1051" s="551"/>
      <c r="AZ1051" s="551"/>
      <c r="BA1051" s="551"/>
      <c r="BB1051" s="620">
        <f t="shared" si="409"/>
        <v>52.0833333333333</v>
      </c>
      <c r="BC1051" s="651"/>
      <c r="BD1051" s="551"/>
      <c r="BE1051" s="551"/>
      <c r="BF1051" s="551"/>
      <c r="BH1051" s="551"/>
      <c r="BI1051" s="551"/>
      <c r="BJ1051" s="551"/>
      <c r="BK1051" s="551"/>
      <c r="BL1051" s="551"/>
      <c r="BM1051" s="551"/>
      <c r="BN1051" s="551"/>
      <c r="BO1051" s="551"/>
      <c r="BP1051" s="551">
        <f>I1051/25</f>
        <v>50</v>
      </c>
      <c r="BQ1051" s="551"/>
      <c r="BR1051" s="551"/>
      <c r="BS1051" s="551"/>
      <c r="BT1051" s="551"/>
      <c r="BU1051" s="551"/>
      <c r="BV1051" s="551"/>
      <c r="BW1051" s="551"/>
      <c r="BX1051" s="551"/>
      <c r="BY1051" s="650"/>
      <c r="BZ1051" s="551"/>
      <c r="CA1051" s="652"/>
      <c r="CB1051" s="567"/>
      <c r="CC1051" s="653"/>
      <c r="CD1051" s="650"/>
      <c r="CE1051" s="650"/>
      <c r="CF1051" s="551"/>
      <c r="CG1051" s="551"/>
      <c r="CI1051" s="551"/>
      <c r="CJ1051" s="551"/>
      <c r="CK1051" s="551"/>
      <c r="CL1051" s="551"/>
      <c r="CM1051" s="551"/>
      <c r="CN1051" s="551"/>
      <c r="CO1051" s="551"/>
      <c r="CP1051" s="551"/>
      <c r="CQ1051" s="551"/>
      <c r="CR1051" s="551"/>
      <c r="CS1051" s="551"/>
      <c r="CT1051" s="551"/>
      <c r="CU1051" s="554">
        <f t="shared" si="400"/>
        <v>50</v>
      </c>
      <c r="CV1051" s="551">
        <f t="shared" si="401"/>
        <v>0</v>
      </c>
      <c r="CW1051" s="551">
        <f t="shared" si="402"/>
        <v>0</v>
      </c>
      <c r="CX1051" s="650"/>
      <c r="CY1051" s="650"/>
      <c r="CZ1051" s="650"/>
      <c r="DA1051" s="548"/>
      <c r="DB1051" s="548"/>
      <c r="DC1051" s="548"/>
      <c r="DD1051" s="650"/>
      <c r="DE1051" s="650"/>
      <c r="DF1051" s="650"/>
      <c r="DG1051" s="650"/>
      <c r="DH1051" s="650"/>
    </row>
    <row r="1052" s="548" customFormat="1" ht="31" customHeight="1" spans="1:112">
      <c r="A1052" s="641">
        <v>46027</v>
      </c>
      <c r="B1052" s="642" t="s">
        <v>1201</v>
      </c>
      <c r="C1052" s="246" t="s">
        <v>524</v>
      </c>
      <c r="D1052" s="551">
        <v>4500181047</v>
      </c>
      <c r="E1052" s="246">
        <v>137121075</v>
      </c>
      <c r="F1052" s="551" t="s">
        <v>8685</v>
      </c>
      <c r="G1052" s="246" t="s">
        <v>6043</v>
      </c>
      <c r="H1052" s="246" t="s">
        <v>6110</v>
      </c>
      <c r="I1052" s="704">
        <v>300</v>
      </c>
      <c r="J1052" s="246">
        <v>0</v>
      </c>
      <c r="K1052" s="246">
        <v>50</v>
      </c>
      <c r="L1052" s="644">
        <f t="shared" si="407"/>
        <v>6</v>
      </c>
      <c r="M1052" s="645">
        <v>46055</v>
      </c>
      <c r="N1052" s="645">
        <f>M1052-4</f>
        <v>46051</v>
      </c>
      <c r="O1052" s="246" t="s">
        <v>8682</v>
      </c>
      <c r="P1052" s="643" t="s">
        <v>113</v>
      </c>
      <c r="Q1052" s="246"/>
      <c r="R1052" s="646">
        <v>46027</v>
      </c>
      <c r="S1052" s="646" t="s">
        <v>70</v>
      </c>
      <c r="T1052" s="646" t="s">
        <v>8683</v>
      </c>
      <c r="U1052" s="646"/>
      <c r="V1052" s="646"/>
      <c r="W1052" s="615"/>
      <c r="X1052" s="642" t="s">
        <v>8686</v>
      </c>
      <c r="Y1052" s="642" t="s">
        <v>340</v>
      </c>
      <c r="Z1052" s="655">
        <v>0.941</v>
      </c>
      <c r="AA1052" s="647">
        <f t="shared" si="408"/>
        <v>282.3</v>
      </c>
      <c r="AC1052" s="648"/>
      <c r="AD1052" s="246" t="s">
        <v>6043</v>
      </c>
      <c r="AE1052" s="246" t="s">
        <v>82</v>
      </c>
      <c r="AF1052" s="246"/>
      <c r="AG1052" s="642"/>
      <c r="AH1052" s="642" t="s">
        <v>126</v>
      </c>
      <c r="AI1052" s="246">
        <v>300</v>
      </c>
      <c r="AJ1052" s="246">
        <f t="shared" si="399"/>
        <v>0</v>
      </c>
      <c r="AK1052" s="246"/>
      <c r="AL1052" s="246"/>
      <c r="AM1052" s="246"/>
      <c r="AN1052" s="246"/>
      <c r="AO1052" s="551">
        <f>I1052</f>
        <v>300</v>
      </c>
      <c r="AP1052" s="551"/>
      <c r="AQ1052" s="551"/>
      <c r="AR1052" s="650"/>
      <c r="AS1052" s="551"/>
      <c r="AT1052" s="554">
        <f>I1052</f>
        <v>300</v>
      </c>
      <c r="AU1052" s="551"/>
      <c r="AV1052" s="554">
        <f>I1052</f>
        <v>300</v>
      </c>
      <c r="AW1052" s="650"/>
      <c r="AX1052" s="551"/>
      <c r="AY1052" s="551"/>
      <c r="AZ1052" s="551"/>
      <c r="BA1052" s="551"/>
      <c r="BB1052" s="620">
        <f t="shared" si="409"/>
        <v>12.5</v>
      </c>
      <c r="BC1052" s="651"/>
      <c r="BD1052" s="551"/>
      <c r="BE1052" s="551"/>
      <c r="BF1052" s="551"/>
      <c r="BH1052" s="551"/>
      <c r="BI1052" s="551"/>
      <c r="BJ1052" s="551"/>
      <c r="BK1052" s="551"/>
      <c r="BL1052" s="551"/>
      <c r="BM1052" s="551"/>
      <c r="BN1052" s="551"/>
      <c r="BO1052" s="551"/>
      <c r="BP1052" s="551">
        <f>I1052/25</f>
        <v>12</v>
      </c>
      <c r="BQ1052" s="551"/>
      <c r="BR1052" s="551"/>
      <c r="BS1052" s="551"/>
      <c r="BT1052" s="551"/>
      <c r="BU1052" s="551"/>
      <c r="BV1052" s="551"/>
      <c r="BW1052" s="551"/>
      <c r="BX1052" s="551"/>
      <c r="BY1052" s="650"/>
      <c r="BZ1052" s="551"/>
      <c r="CA1052" s="652"/>
      <c r="CB1052" s="567"/>
      <c r="CC1052" s="653"/>
      <c r="CD1052" s="650"/>
      <c r="CE1052" s="650"/>
      <c r="CF1052" s="551"/>
      <c r="CG1052" s="551"/>
      <c r="CI1052" s="551"/>
      <c r="CJ1052" s="551"/>
      <c r="CK1052" s="551"/>
      <c r="CL1052" s="551"/>
      <c r="CM1052" s="551"/>
      <c r="CN1052" s="551"/>
      <c r="CO1052" s="551"/>
      <c r="CP1052" s="551"/>
      <c r="CQ1052" s="551"/>
      <c r="CR1052" s="551"/>
      <c r="CS1052" s="551"/>
      <c r="CT1052" s="551"/>
      <c r="CU1052" s="554">
        <f t="shared" si="400"/>
        <v>12</v>
      </c>
      <c r="CV1052" s="551">
        <f t="shared" si="401"/>
        <v>0</v>
      </c>
      <c r="CW1052" s="551">
        <f t="shared" si="402"/>
        <v>0</v>
      </c>
      <c r="CX1052" s="650"/>
      <c r="CY1052" s="650"/>
      <c r="CZ1052" s="650"/>
      <c r="DA1052" s="548"/>
      <c r="DB1052" s="548"/>
      <c r="DC1052" s="548"/>
      <c r="DD1052" s="650"/>
      <c r="DE1052" s="650"/>
      <c r="DF1052" s="650"/>
      <c r="DG1052" s="650"/>
      <c r="DH1052" s="650"/>
    </row>
    <row r="1053" s="548" customFormat="1" ht="31" customHeight="1" spans="1:112">
      <c r="A1053" s="641">
        <v>46027</v>
      </c>
      <c r="B1053" s="642" t="s">
        <v>1201</v>
      </c>
      <c r="C1053" s="246" t="s">
        <v>524</v>
      </c>
      <c r="D1053" s="551">
        <v>4500181047</v>
      </c>
      <c r="E1053" s="246">
        <v>137121646</v>
      </c>
      <c r="F1053" s="551" t="s">
        <v>8687</v>
      </c>
      <c r="G1053" s="246" t="s">
        <v>6043</v>
      </c>
      <c r="H1053" s="246" t="s">
        <v>6110</v>
      </c>
      <c r="I1053" s="704">
        <v>950</v>
      </c>
      <c r="J1053" s="246">
        <v>0</v>
      </c>
      <c r="K1053" s="246">
        <v>50</v>
      </c>
      <c r="L1053" s="644">
        <f t="shared" si="407"/>
        <v>19</v>
      </c>
      <c r="M1053" s="645">
        <v>46055</v>
      </c>
      <c r="N1053" s="645">
        <f>M1053-4</f>
        <v>46051</v>
      </c>
      <c r="O1053" s="246" t="s">
        <v>8682</v>
      </c>
      <c r="P1053" s="643" t="s">
        <v>113</v>
      </c>
      <c r="Q1053" s="246"/>
      <c r="R1053" s="646">
        <v>46027</v>
      </c>
      <c r="S1053" s="646" t="s">
        <v>70</v>
      </c>
      <c r="T1053" s="646" t="s">
        <v>8683</v>
      </c>
      <c r="U1053" s="646"/>
      <c r="V1053" s="646"/>
      <c r="W1053" s="615"/>
      <c r="X1053" s="642" t="s">
        <v>8686</v>
      </c>
      <c r="Y1053" s="642" t="s">
        <v>340</v>
      </c>
      <c r="Z1053" s="655">
        <v>0.941</v>
      </c>
      <c r="AA1053" s="647">
        <f t="shared" si="408"/>
        <v>893.95</v>
      </c>
      <c r="AC1053" s="648"/>
      <c r="AD1053" s="246" t="s">
        <v>6043</v>
      </c>
      <c r="AE1053" s="246" t="s">
        <v>82</v>
      </c>
      <c r="AF1053" s="246"/>
      <c r="AG1053" s="642"/>
      <c r="AH1053" s="642">
        <v>1</v>
      </c>
      <c r="AI1053" s="246">
        <v>950</v>
      </c>
      <c r="AJ1053" s="246">
        <f t="shared" si="399"/>
        <v>0</v>
      </c>
      <c r="AK1053" s="246"/>
      <c r="AL1053" s="246"/>
      <c r="AM1053" s="246"/>
      <c r="AN1053" s="246"/>
      <c r="AO1053" s="551">
        <f>I1053</f>
        <v>950</v>
      </c>
      <c r="AP1053" s="551"/>
      <c r="AQ1053" s="551"/>
      <c r="AR1053" s="650"/>
      <c r="AS1053" s="551"/>
      <c r="AT1053" s="554">
        <f>I1053</f>
        <v>950</v>
      </c>
      <c r="AU1053" s="551"/>
      <c r="AV1053" s="554">
        <f>I1053</f>
        <v>950</v>
      </c>
      <c r="AW1053" s="650"/>
      <c r="AX1053" s="551"/>
      <c r="AY1053" s="551"/>
      <c r="AZ1053" s="551"/>
      <c r="BA1053" s="551"/>
      <c r="BB1053" s="620">
        <f t="shared" si="409"/>
        <v>39.5833333333333</v>
      </c>
      <c r="BC1053" s="651"/>
      <c r="BD1053" s="551"/>
      <c r="BE1053" s="551"/>
      <c r="BF1053" s="551"/>
      <c r="BH1053" s="551"/>
      <c r="BI1053" s="551"/>
      <c r="BJ1053" s="551"/>
      <c r="BK1053" s="551"/>
      <c r="BL1053" s="551"/>
      <c r="BM1053" s="551"/>
      <c r="BN1053" s="551"/>
      <c r="BO1053" s="551"/>
      <c r="BP1053" s="551">
        <f>I1053/25</f>
        <v>38</v>
      </c>
      <c r="BQ1053" s="551"/>
      <c r="BR1053" s="551"/>
      <c r="BS1053" s="551"/>
      <c r="BT1053" s="551"/>
      <c r="BU1053" s="551"/>
      <c r="BV1053" s="551"/>
      <c r="BW1053" s="551"/>
      <c r="BX1053" s="551"/>
      <c r="BY1053" s="650"/>
      <c r="BZ1053" s="551"/>
      <c r="CA1053" s="652"/>
      <c r="CB1053" s="567"/>
      <c r="CC1053" s="653"/>
      <c r="CD1053" s="650"/>
      <c r="CE1053" s="650"/>
      <c r="CF1053" s="551"/>
      <c r="CG1053" s="551"/>
      <c r="CI1053" s="551"/>
      <c r="CJ1053" s="551"/>
      <c r="CK1053" s="551"/>
      <c r="CL1053" s="551"/>
      <c r="CM1053" s="551"/>
      <c r="CN1053" s="551"/>
      <c r="CO1053" s="551"/>
      <c r="CP1053" s="551"/>
      <c r="CQ1053" s="551"/>
      <c r="CR1053" s="551"/>
      <c r="CS1053" s="551"/>
      <c r="CT1053" s="551"/>
      <c r="CU1053" s="554">
        <f t="shared" si="400"/>
        <v>38</v>
      </c>
      <c r="CV1053" s="551">
        <f t="shared" si="401"/>
        <v>0</v>
      </c>
      <c r="CW1053" s="551">
        <f t="shared" si="402"/>
        <v>0</v>
      </c>
      <c r="CX1053" s="650"/>
      <c r="CY1053" s="650"/>
      <c r="CZ1053" s="650"/>
      <c r="DA1053" s="548"/>
      <c r="DB1053" s="548"/>
      <c r="DC1053" s="548"/>
      <c r="DD1053" s="650"/>
      <c r="DE1053" s="650"/>
      <c r="DF1053" s="650"/>
      <c r="DG1053" s="650"/>
      <c r="DH1053" s="650"/>
    </row>
    <row r="1054" s="548" customFormat="1" ht="31" customHeight="1" spans="1:112">
      <c r="A1054" s="641">
        <v>46015</v>
      </c>
      <c r="B1054" s="642" t="s">
        <v>1146</v>
      </c>
      <c r="C1054" s="246" t="s">
        <v>170</v>
      </c>
      <c r="D1054" s="551">
        <v>4500189941</v>
      </c>
      <c r="E1054" s="246" t="s">
        <v>3000</v>
      </c>
      <c r="F1054" s="551" t="s">
        <v>8688</v>
      </c>
      <c r="G1054" s="246" t="s">
        <v>6166</v>
      </c>
      <c r="H1054" s="246" t="s">
        <v>6094</v>
      </c>
      <c r="I1054" s="704">
        <v>1300</v>
      </c>
      <c r="J1054" s="246">
        <v>0</v>
      </c>
      <c r="K1054" s="246">
        <v>13</v>
      </c>
      <c r="L1054" s="644">
        <f t="shared" si="407"/>
        <v>100</v>
      </c>
      <c r="M1054" s="645">
        <v>46055</v>
      </c>
      <c r="N1054" s="645">
        <f>M1054-4</f>
        <v>46051</v>
      </c>
      <c r="O1054" s="246"/>
      <c r="P1054" s="643" t="s">
        <v>113</v>
      </c>
      <c r="Q1054" s="246"/>
      <c r="R1054" s="646">
        <v>46027</v>
      </c>
      <c r="S1054" s="646" t="s">
        <v>70</v>
      </c>
      <c r="T1054" s="646" t="s">
        <v>70</v>
      </c>
      <c r="U1054" s="646"/>
      <c r="V1054" s="646"/>
      <c r="W1054" s="615"/>
      <c r="X1054" s="642" t="s">
        <v>8689</v>
      </c>
      <c r="Y1054" s="642" t="s">
        <v>1150</v>
      </c>
      <c r="Z1054" s="655">
        <v>0.9213</v>
      </c>
      <c r="AA1054" s="647">
        <f t="shared" si="408"/>
        <v>1197.69</v>
      </c>
      <c r="AC1054" s="648"/>
      <c r="AD1054" s="246" t="s">
        <v>6166</v>
      </c>
      <c r="AE1054" s="246" t="s">
        <v>82</v>
      </c>
      <c r="AF1054" s="246"/>
      <c r="AG1054" s="642"/>
      <c r="AH1054" s="642">
        <v>1</v>
      </c>
      <c r="AI1054" s="246">
        <v>1300</v>
      </c>
      <c r="AJ1054" s="246">
        <f t="shared" si="399"/>
        <v>0</v>
      </c>
      <c r="AK1054" s="246"/>
      <c r="AL1054" s="246" t="s">
        <v>2368</v>
      </c>
      <c r="AM1054" s="246"/>
      <c r="AN1054" s="246">
        <f>I1054</f>
        <v>1300</v>
      </c>
      <c r="AO1054" s="551"/>
      <c r="AP1054" s="551"/>
      <c r="AQ1054" s="551"/>
      <c r="AR1054" s="650"/>
      <c r="AS1054" s="554">
        <f>I1054</f>
        <v>1300</v>
      </c>
      <c r="AT1054" s="551"/>
      <c r="AU1054" s="554">
        <f>I1054</f>
        <v>1300</v>
      </c>
      <c r="AV1054" s="551"/>
      <c r="AW1054" s="650"/>
      <c r="AX1054" s="551"/>
      <c r="AY1054" s="551"/>
      <c r="AZ1054" s="551"/>
      <c r="BA1054" s="551"/>
      <c r="BB1054" s="249">
        <f t="shared" si="409"/>
        <v>54.1666666666667</v>
      </c>
      <c r="BC1054" s="651"/>
      <c r="BD1054" s="551"/>
      <c r="BE1054" s="551"/>
      <c r="BF1054" s="551"/>
      <c r="BH1054" s="551"/>
      <c r="BI1054" s="551"/>
      <c r="BJ1054" s="551"/>
      <c r="BK1054" s="551"/>
      <c r="BL1054" s="551">
        <f>I1054/13</f>
        <v>100</v>
      </c>
      <c r="BM1054" s="551"/>
      <c r="BN1054" s="551"/>
      <c r="BO1054" s="551"/>
      <c r="BP1054" s="551"/>
      <c r="BQ1054" s="551"/>
      <c r="BR1054" s="551"/>
      <c r="BS1054" s="551"/>
      <c r="BT1054" s="551"/>
      <c r="BU1054" s="551"/>
      <c r="BV1054" s="551"/>
      <c r="BW1054" s="551"/>
      <c r="BX1054" s="551"/>
      <c r="BY1054" s="650"/>
      <c r="BZ1054" s="551"/>
      <c r="CA1054" s="652"/>
      <c r="CB1054" s="567"/>
      <c r="CC1054" s="653"/>
      <c r="CD1054" s="650"/>
      <c r="CE1054" s="650"/>
      <c r="CF1054" s="551"/>
      <c r="CG1054" s="551"/>
      <c r="CI1054" s="551"/>
      <c r="CJ1054" s="551"/>
      <c r="CK1054" s="551"/>
      <c r="CL1054" s="551"/>
      <c r="CM1054" s="551"/>
      <c r="CN1054" s="551"/>
      <c r="CO1054" s="551"/>
      <c r="CP1054" s="551"/>
      <c r="CQ1054" s="551"/>
      <c r="CR1054" s="551"/>
      <c r="CS1054" s="551"/>
      <c r="CT1054" s="551"/>
      <c r="CU1054" s="554">
        <f t="shared" si="400"/>
        <v>0</v>
      </c>
      <c r="CV1054" s="551">
        <f t="shared" si="401"/>
        <v>0</v>
      </c>
      <c r="CW1054" s="551">
        <f t="shared" si="402"/>
        <v>0</v>
      </c>
      <c r="CX1054" s="650"/>
      <c r="CY1054" s="650"/>
      <c r="CZ1054" s="650"/>
      <c r="DA1054" s="548"/>
      <c r="DB1054" s="548"/>
      <c r="DC1054" s="548"/>
      <c r="DD1054" s="650"/>
      <c r="DE1054" s="650"/>
      <c r="DF1054" s="650"/>
      <c r="DG1054" s="650"/>
      <c r="DH1054" s="650"/>
    </row>
    <row r="1055" s="548" customFormat="1" ht="31" customHeight="1" spans="1:112">
      <c r="A1055" s="641">
        <v>45996</v>
      </c>
      <c r="B1055" s="642" t="s">
        <v>1620</v>
      </c>
      <c r="C1055" s="246" t="s">
        <v>278</v>
      </c>
      <c r="D1055" s="551">
        <v>4500188241</v>
      </c>
      <c r="E1055" s="246">
        <v>4400529725</v>
      </c>
      <c r="F1055" s="551" t="s">
        <v>8690</v>
      </c>
      <c r="G1055" s="246" t="s">
        <v>6047</v>
      </c>
      <c r="H1055" s="246" t="s">
        <v>6069</v>
      </c>
      <c r="I1055" s="704">
        <v>10000</v>
      </c>
      <c r="J1055" s="246">
        <v>0</v>
      </c>
      <c r="K1055" s="246">
        <v>25</v>
      </c>
      <c r="L1055" s="644">
        <f t="shared" si="407"/>
        <v>400</v>
      </c>
      <c r="M1055" s="645">
        <v>46056</v>
      </c>
      <c r="N1055" s="645">
        <v>46052</v>
      </c>
      <c r="O1055" s="246"/>
      <c r="P1055" s="643" t="s">
        <v>113</v>
      </c>
      <c r="Q1055" s="246"/>
      <c r="R1055" s="646">
        <v>45990</v>
      </c>
      <c r="S1055" s="646" t="s">
        <v>70</v>
      </c>
      <c r="T1055" s="646" t="s">
        <v>8294</v>
      </c>
      <c r="U1055" s="646"/>
      <c r="V1055" s="646"/>
      <c r="W1055" s="615"/>
      <c r="X1055" s="642" t="s">
        <v>8333</v>
      </c>
      <c r="Y1055" s="642" t="s">
        <v>1549</v>
      </c>
      <c r="Z1055" s="655">
        <v>0.9313</v>
      </c>
      <c r="AA1055" s="647">
        <f t="shared" si="408"/>
        <v>9313</v>
      </c>
      <c r="AC1055" s="648"/>
      <c r="AD1055" s="246" t="s">
        <v>6047</v>
      </c>
      <c r="AE1055" s="246" t="s">
        <v>82</v>
      </c>
      <c r="AF1055" s="246"/>
      <c r="AG1055" s="642"/>
      <c r="AH1055" s="642">
        <v>1</v>
      </c>
      <c r="AI1055" s="246">
        <v>10000</v>
      </c>
      <c r="AJ1055" s="246">
        <f t="shared" si="399"/>
        <v>0</v>
      </c>
      <c r="AK1055" s="246"/>
      <c r="AL1055" s="246" t="s">
        <v>2368</v>
      </c>
      <c r="AM1055" s="246"/>
      <c r="AN1055" s="246"/>
      <c r="AO1055" s="551">
        <f>I1055</f>
        <v>10000</v>
      </c>
      <c r="AP1055" s="551"/>
      <c r="AQ1055" s="551"/>
      <c r="AR1055" s="650"/>
      <c r="AS1055" s="551"/>
      <c r="AT1055" s="554">
        <f>I1055</f>
        <v>10000</v>
      </c>
      <c r="AU1055" s="551"/>
      <c r="AV1055" s="554">
        <f>I1055</f>
        <v>10000</v>
      </c>
      <c r="AW1055" s="650"/>
      <c r="AX1055" s="551"/>
      <c r="AY1055" s="551"/>
      <c r="AZ1055" s="551"/>
      <c r="BA1055" s="551"/>
      <c r="BB1055" s="620">
        <f t="shared" si="409"/>
        <v>416.666666666667</v>
      </c>
      <c r="BC1055" s="651"/>
      <c r="BD1055" s="551"/>
      <c r="BE1055" s="551"/>
      <c r="BF1055" s="551"/>
      <c r="BH1055" s="551"/>
      <c r="BI1055" s="551"/>
      <c r="BJ1055" s="551"/>
      <c r="BK1055" s="551"/>
      <c r="BL1055" s="551"/>
      <c r="BM1055" s="551"/>
      <c r="BN1055" s="551"/>
      <c r="BO1055" s="551"/>
      <c r="BP1055" s="551">
        <f>I1055/25</f>
        <v>400</v>
      </c>
      <c r="BQ1055" s="551"/>
      <c r="BR1055" s="551"/>
      <c r="BS1055" s="551"/>
      <c r="BT1055" s="551"/>
      <c r="BU1055" s="551"/>
      <c r="BV1055" s="551"/>
      <c r="BW1055" s="551"/>
      <c r="BX1055" s="551"/>
      <c r="BY1055" s="650"/>
      <c r="BZ1055" s="551"/>
      <c r="CA1055" s="652"/>
      <c r="CB1055" s="567"/>
      <c r="CC1055" s="653"/>
      <c r="CD1055" s="650"/>
      <c r="CE1055" s="650"/>
      <c r="CF1055" s="551"/>
      <c r="CG1055" s="551"/>
      <c r="CI1055" s="551"/>
      <c r="CJ1055" s="551"/>
      <c r="CK1055" s="551"/>
      <c r="CL1055" s="551"/>
      <c r="CM1055" s="551"/>
      <c r="CN1055" s="551"/>
      <c r="CO1055" s="551"/>
      <c r="CP1055" s="551"/>
      <c r="CQ1055" s="551"/>
      <c r="CR1055" s="551"/>
      <c r="CS1055" s="551"/>
      <c r="CT1055" s="551"/>
      <c r="CU1055" s="554">
        <f t="shared" si="400"/>
        <v>400</v>
      </c>
      <c r="CV1055" s="551">
        <f t="shared" si="401"/>
        <v>0</v>
      </c>
      <c r="CW1055" s="551">
        <f t="shared" si="402"/>
        <v>0</v>
      </c>
      <c r="CX1055" s="650"/>
      <c r="CY1055" s="650"/>
      <c r="CZ1055" s="650"/>
      <c r="DA1055" s="548"/>
      <c r="DB1055" s="548"/>
      <c r="DC1055" s="548"/>
      <c r="DD1055" s="650"/>
      <c r="DE1055" s="650"/>
      <c r="DF1055" s="650"/>
      <c r="DG1055" s="650"/>
      <c r="DH1055" s="650"/>
    </row>
    <row r="1056" s="548" customFormat="1" ht="31" customHeight="1" spans="1:112">
      <c r="A1056" s="641">
        <v>45996</v>
      </c>
      <c r="B1056" s="642" t="s">
        <v>1544</v>
      </c>
      <c r="C1056" s="246" t="s">
        <v>257</v>
      </c>
      <c r="D1056" s="551">
        <v>4500188243</v>
      </c>
      <c r="E1056" s="246">
        <v>4400529726</v>
      </c>
      <c r="F1056" s="551" t="s">
        <v>8691</v>
      </c>
      <c r="G1056" s="246" t="s">
        <v>6047</v>
      </c>
      <c r="H1056" s="246" t="s">
        <v>6069</v>
      </c>
      <c r="I1056" s="704">
        <v>4000</v>
      </c>
      <c r="J1056" s="246">
        <v>0</v>
      </c>
      <c r="K1056" s="246">
        <v>25</v>
      </c>
      <c r="L1056" s="644">
        <f t="shared" si="407"/>
        <v>160</v>
      </c>
      <c r="M1056" s="645">
        <v>46056</v>
      </c>
      <c r="N1056" s="645">
        <v>46052</v>
      </c>
      <c r="O1056" s="246"/>
      <c r="P1056" s="643" t="s">
        <v>113</v>
      </c>
      <c r="Q1056" s="246"/>
      <c r="R1056" s="646">
        <v>45996</v>
      </c>
      <c r="S1056" s="646" t="s">
        <v>70</v>
      </c>
      <c r="T1056" s="646" t="s">
        <v>8294</v>
      </c>
      <c r="U1056" s="646"/>
      <c r="V1056" s="646"/>
      <c r="W1056" s="615"/>
      <c r="X1056" s="642" t="s">
        <v>8333</v>
      </c>
      <c r="Y1056" s="642" t="s">
        <v>1549</v>
      </c>
      <c r="Z1056" s="655">
        <v>0.9417</v>
      </c>
      <c r="AA1056" s="647">
        <f t="shared" si="408"/>
        <v>3766.8</v>
      </c>
      <c r="AC1056" s="648"/>
      <c r="AD1056" s="246" t="s">
        <v>6047</v>
      </c>
      <c r="AE1056" s="246" t="s">
        <v>82</v>
      </c>
      <c r="AF1056" s="246"/>
      <c r="AG1056" s="642"/>
      <c r="AH1056" s="642">
        <v>1</v>
      </c>
      <c r="AI1056" s="246">
        <v>4000</v>
      </c>
      <c r="AJ1056" s="246">
        <f t="shared" si="399"/>
        <v>0</v>
      </c>
      <c r="AK1056" s="246"/>
      <c r="AL1056" s="246" t="s">
        <v>2368</v>
      </c>
      <c r="AM1056" s="246"/>
      <c r="AN1056" s="246"/>
      <c r="AO1056" s="551">
        <f>I1056</f>
        <v>4000</v>
      </c>
      <c r="AP1056" s="551"/>
      <c r="AQ1056" s="551"/>
      <c r="AR1056" s="650"/>
      <c r="AS1056" s="551"/>
      <c r="AT1056" s="554">
        <f>I1056</f>
        <v>4000</v>
      </c>
      <c r="AU1056" s="551"/>
      <c r="AV1056" s="554">
        <f>I1056</f>
        <v>4000</v>
      </c>
      <c r="AW1056" s="650"/>
      <c r="AX1056" s="551"/>
      <c r="AY1056" s="551"/>
      <c r="AZ1056" s="551"/>
      <c r="BA1056" s="551"/>
      <c r="BB1056" s="620">
        <f t="shared" si="409"/>
        <v>166.666666666667</v>
      </c>
      <c r="BC1056" s="651"/>
      <c r="BD1056" s="551"/>
      <c r="BE1056" s="551"/>
      <c r="BF1056" s="551"/>
      <c r="BH1056" s="551"/>
      <c r="BI1056" s="551"/>
      <c r="BJ1056" s="551"/>
      <c r="BK1056" s="551"/>
      <c r="BL1056" s="551"/>
      <c r="BM1056" s="551"/>
      <c r="BN1056" s="551"/>
      <c r="BO1056" s="551"/>
      <c r="BP1056" s="551">
        <f>I1056/25</f>
        <v>160</v>
      </c>
      <c r="BQ1056" s="551"/>
      <c r="BR1056" s="551"/>
      <c r="BS1056" s="551"/>
      <c r="BT1056" s="551"/>
      <c r="BU1056" s="551"/>
      <c r="BV1056" s="551"/>
      <c r="BW1056" s="551"/>
      <c r="BX1056" s="551"/>
      <c r="BY1056" s="650"/>
      <c r="BZ1056" s="551"/>
      <c r="CA1056" s="652"/>
      <c r="CB1056" s="567"/>
      <c r="CC1056" s="653"/>
      <c r="CD1056" s="650"/>
      <c r="CE1056" s="650"/>
      <c r="CF1056" s="551"/>
      <c r="CG1056" s="551"/>
      <c r="CI1056" s="551"/>
      <c r="CJ1056" s="551"/>
      <c r="CK1056" s="551"/>
      <c r="CL1056" s="551"/>
      <c r="CM1056" s="551"/>
      <c r="CN1056" s="551"/>
      <c r="CO1056" s="551"/>
      <c r="CP1056" s="551"/>
      <c r="CQ1056" s="551"/>
      <c r="CR1056" s="551"/>
      <c r="CS1056" s="551"/>
      <c r="CT1056" s="551"/>
      <c r="CU1056" s="554">
        <f t="shared" si="400"/>
        <v>160</v>
      </c>
      <c r="CV1056" s="551">
        <f t="shared" si="401"/>
        <v>0</v>
      </c>
      <c r="CW1056" s="551">
        <f t="shared" si="402"/>
        <v>0</v>
      </c>
      <c r="CX1056" s="650"/>
      <c r="CY1056" s="650"/>
      <c r="CZ1056" s="650"/>
      <c r="DA1056" s="548"/>
      <c r="DB1056" s="548"/>
      <c r="DC1056" s="548"/>
      <c r="DD1056" s="650"/>
      <c r="DE1056" s="650"/>
      <c r="DF1056" s="650"/>
      <c r="DG1056" s="650"/>
      <c r="DH1056" s="650"/>
    </row>
    <row r="1057" s="548" customFormat="1" ht="31" customHeight="1" spans="1:112">
      <c r="A1057" s="641">
        <v>46006</v>
      </c>
      <c r="B1057" s="642" t="s">
        <v>602</v>
      </c>
      <c r="C1057" s="246" t="s">
        <v>98</v>
      </c>
      <c r="D1057" s="551">
        <v>4500188692</v>
      </c>
      <c r="E1057" s="246">
        <v>4836737</v>
      </c>
      <c r="F1057" s="551" t="s">
        <v>3003</v>
      </c>
      <c r="G1057" s="246" t="s">
        <v>8692</v>
      </c>
      <c r="H1057" s="246" t="s">
        <v>509</v>
      </c>
      <c r="I1057" s="704">
        <v>4500</v>
      </c>
      <c r="J1057" s="246">
        <v>0</v>
      </c>
      <c r="K1057" s="246">
        <v>90</v>
      </c>
      <c r="L1057" s="644">
        <f t="shared" si="407"/>
        <v>50</v>
      </c>
      <c r="M1057" s="645">
        <v>46051</v>
      </c>
      <c r="N1057" s="645">
        <v>46048</v>
      </c>
      <c r="O1057" s="246"/>
      <c r="P1057" s="643" t="s">
        <v>113</v>
      </c>
      <c r="Q1057" s="246"/>
      <c r="R1057" s="646">
        <v>46006</v>
      </c>
      <c r="S1057" s="646" t="s">
        <v>70</v>
      </c>
      <c r="T1057" s="646" t="s">
        <v>70</v>
      </c>
      <c r="U1057" s="646"/>
      <c r="V1057" s="646"/>
      <c r="W1057" s="615"/>
      <c r="X1057" s="642" t="s">
        <v>3005</v>
      </c>
      <c r="Y1057" s="642" t="s">
        <v>311</v>
      </c>
      <c r="Z1057" s="655">
        <v>108.436</v>
      </c>
      <c r="AA1057" s="647">
        <f>Z1057*L1057</f>
        <v>5421.8</v>
      </c>
      <c r="AC1057" s="658" t="s">
        <v>3006</v>
      </c>
      <c r="AD1057" s="246" t="s">
        <v>8692</v>
      </c>
      <c r="AE1057" s="246" t="s">
        <v>82</v>
      </c>
      <c r="AF1057" s="246"/>
      <c r="AG1057" s="642"/>
      <c r="AH1057" s="642" t="s">
        <v>8598</v>
      </c>
      <c r="AI1057" s="246">
        <v>4500</v>
      </c>
      <c r="AJ1057" s="246">
        <f t="shared" si="399"/>
        <v>0</v>
      </c>
      <c r="AK1057" s="246"/>
      <c r="AL1057" s="246"/>
      <c r="AM1057" s="246"/>
      <c r="AN1057" s="246">
        <f>I1057</f>
        <v>4500</v>
      </c>
      <c r="AO1057" s="551"/>
      <c r="AP1057" s="551">
        <f>I1057</f>
        <v>4500</v>
      </c>
      <c r="AQ1057" s="551"/>
      <c r="AR1057" s="650"/>
      <c r="AS1057" s="551"/>
      <c r="AT1057" s="551"/>
      <c r="AU1057" s="554">
        <f>I1057</f>
        <v>4500</v>
      </c>
      <c r="AV1057" s="551"/>
      <c r="AW1057" s="650"/>
      <c r="AX1057" s="551"/>
      <c r="AY1057" s="551"/>
      <c r="AZ1057" s="551"/>
      <c r="BA1057" s="551"/>
      <c r="BB1057" s="249">
        <f t="shared" si="409"/>
        <v>187.5</v>
      </c>
      <c r="BC1057" s="651"/>
      <c r="BD1057" s="551"/>
      <c r="BE1057" s="551"/>
      <c r="BF1057" s="551"/>
      <c r="BH1057" s="551"/>
      <c r="BI1057" s="551"/>
      <c r="BJ1057" s="551"/>
      <c r="BK1057" s="551"/>
      <c r="BL1057" s="551"/>
      <c r="BM1057" s="551"/>
      <c r="BN1057" s="551"/>
      <c r="BO1057" s="551"/>
      <c r="BP1057" s="551"/>
      <c r="BQ1057" s="551"/>
      <c r="BR1057" s="551"/>
      <c r="BS1057" s="551"/>
      <c r="BT1057" s="551"/>
      <c r="BU1057" s="551"/>
      <c r="BV1057" s="551"/>
      <c r="BW1057" s="551"/>
      <c r="BX1057" s="551"/>
      <c r="BY1057" s="650"/>
      <c r="BZ1057" s="551"/>
      <c r="CA1057" s="652"/>
      <c r="CB1057" s="567"/>
      <c r="CC1057" s="653"/>
      <c r="CD1057" s="650"/>
      <c r="CE1057" s="650"/>
      <c r="CF1057" s="551"/>
      <c r="CG1057" s="551"/>
      <c r="CI1057" s="551"/>
      <c r="CJ1057" s="551">
        <f>L1057</f>
        <v>50</v>
      </c>
      <c r="CK1057" s="551"/>
      <c r="CL1057" s="551"/>
      <c r="CM1057" s="551"/>
      <c r="CN1057" s="551"/>
      <c r="CO1057" s="551"/>
      <c r="CP1057" s="551"/>
      <c r="CQ1057" s="551"/>
      <c r="CR1057" s="551"/>
      <c r="CS1057" s="551"/>
      <c r="CT1057" s="551"/>
      <c r="CU1057" s="554">
        <f t="shared" si="400"/>
        <v>0</v>
      </c>
      <c r="CV1057" s="551">
        <f t="shared" si="401"/>
        <v>0</v>
      </c>
      <c r="CW1057" s="551">
        <f t="shared" si="402"/>
        <v>50</v>
      </c>
      <c r="CX1057" s="650"/>
      <c r="CY1057" s="650"/>
      <c r="CZ1057" s="650"/>
      <c r="DA1057" s="548"/>
      <c r="DB1057" s="548"/>
      <c r="DC1057" s="548"/>
      <c r="DD1057" s="650"/>
      <c r="DE1057" s="650"/>
      <c r="DF1057" s="650"/>
      <c r="DG1057" s="650"/>
      <c r="DH1057" s="650"/>
    </row>
    <row r="1058" s="548" customFormat="1" ht="31" customHeight="1" spans="1:112">
      <c r="A1058" s="641">
        <v>45995</v>
      </c>
      <c r="B1058" s="642" t="s">
        <v>841</v>
      </c>
      <c r="C1058" s="246" t="s">
        <v>399</v>
      </c>
      <c r="D1058" s="551">
        <v>4500188053</v>
      </c>
      <c r="E1058" s="246" t="s">
        <v>2966</v>
      </c>
      <c r="F1058" s="551" t="s">
        <v>3014</v>
      </c>
      <c r="G1058" s="246" t="s">
        <v>6337</v>
      </c>
      <c r="H1058" s="246" t="s">
        <v>477</v>
      </c>
      <c r="I1058" s="704">
        <v>2532</v>
      </c>
      <c r="J1058" s="246">
        <v>0</v>
      </c>
      <c r="K1058" s="246">
        <v>6</v>
      </c>
      <c r="L1058" s="644">
        <f t="shared" si="407"/>
        <v>422</v>
      </c>
      <c r="M1058" s="645">
        <v>46052</v>
      </c>
      <c r="N1058" s="645">
        <v>46048</v>
      </c>
      <c r="O1058" s="246"/>
      <c r="P1058" s="643" t="s">
        <v>113</v>
      </c>
      <c r="Q1058" s="246" t="s">
        <v>2968</v>
      </c>
      <c r="R1058" s="646">
        <v>46009</v>
      </c>
      <c r="S1058" s="646" t="s">
        <v>70</v>
      </c>
      <c r="T1058" s="646" t="s">
        <v>8693</v>
      </c>
      <c r="U1058" s="646"/>
      <c r="V1058" s="646"/>
      <c r="W1058" s="615"/>
      <c r="X1058" s="628" t="s">
        <v>3015</v>
      </c>
      <c r="Y1058" s="642" t="s">
        <v>445</v>
      </c>
      <c r="Z1058" s="655">
        <v>6.7112</v>
      </c>
      <c r="AA1058" s="647">
        <f t="shared" ref="AA1058:AA1063" si="410">Z1058*I1058</f>
        <v>16992.7584</v>
      </c>
      <c r="AC1058" s="648"/>
      <c r="AD1058" s="246" t="s">
        <v>480</v>
      </c>
      <c r="AE1058" s="246" t="s">
        <v>82</v>
      </c>
      <c r="AF1058" s="246"/>
      <c r="AG1058" s="642"/>
      <c r="AH1058" s="642">
        <v>1</v>
      </c>
      <c r="AI1058" s="246">
        <f>2268+264</f>
        <v>2532</v>
      </c>
      <c r="AJ1058" s="246">
        <f t="shared" si="399"/>
        <v>0</v>
      </c>
      <c r="AK1058" s="246"/>
      <c r="AL1058" s="246" t="s">
        <v>2368</v>
      </c>
      <c r="AM1058" s="246"/>
      <c r="AN1058" s="246"/>
      <c r="AO1058" s="554">
        <f>I1058*2</f>
        <v>5064</v>
      </c>
      <c r="AP1058" s="551"/>
      <c r="AQ1058" s="551"/>
      <c r="AR1058" s="650"/>
      <c r="AS1058" s="551"/>
      <c r="AT1058" s="554">
        <f>I1058*2</f>
        <v>5064</v>
      </c>
      <c r="AU1058" s="551"/>
      <c r="AV1058" s="554">
        <f>I1058*2</f>
        <v>5064</v>
      </c>
      <c r="AW1058" s="650"/>
      <c r="AX1058" s="551"/>
      <c r="AY1058" s="551"/>
      <c r="AZ1058" s="551"/>
      <c r="BA1058" s="551"/>
      <c r="BB1058" s="620">
        <f>I1058/24*2</f>
        <v>211</v>
      </c>
      <c r="BC1058" s="651"/>
      <c r="BD1058" s="551"/>
      <c r="BE1058" s="551"/>
      <c r="BF1058" s="551"/>
      <c r="BH1058" s="551"/>
      <c r="BI1058" s="551"/>
      <c r="BJ1058" s="551"/>
      <c r="BK1058" s="551"/>
      <c r="BL1058" s="551"/>
      <c r="BM1058" s="551"/>
      <c r="BN1058" s="551"/>
      <c r="BO1058" s="551"/>
      <c r="BP1058" s="551"/>
      <c r="BQ1058" s="551"/>
      <c r="BR1058" s="551"/>
      <c r="BS1058" s="551"/>
      <c r="BT1058" s="551"/>
      <c r="BU1058" s="551"/>
      <c r="BV1058" s="551"/>
      <c r="BW1058" s="551"/>
      <c r="BX1058" s="551"/>
      <c r="BY1058" s="650"/>
      <c r="BZ1058" s="551">
        <f>I1058</f>
        <v>2532</v>
      </c>
      <c r="CA1058" s="652"/>
      <c r="CB1058" s="567"/>
      <c r="CC1058" s="653"/>
      <c r="CD1058" s="650"/>
      <c r="CE1058" s="650"/>
      <c r="CF1058" s="551"/>
      <c r="CG1058" s="551"/>
      <c r="CI1058" s="551"/>
      <c r="CJ1058" s="551"/>
      <c r="CK1058" s="551"/>
      <c r="CL1058" s="551"/>
      <c r="CM1058" s="551"/>
      <c r="CN1058" s="551"/>
      <c r="CO1058" s="551"/>
      <c r="CP1058" s="551"/>
      <c r="CQ1058" s="551"/>
      <c r="CR1058" s="551"/>
      <c r="CS1058" s="551"/>
      <c r="CT1058" s="551"/>
      <c r="CU1058" s="554">
        <f t="shared" si="400"/>
        <v>0</v>
      </c>
      <c r="CV1058" s="551">
        <f t="shared" si="401"/>
        <v>0</v>
      </c>
      <c r="CW1058" s="551">
        <f t="shared" si="402"/>
        <v>0</v>
      </c>
      <c r="CX1058" s="650"/>
      <c r="CY1058" s="650"/>
      <c r="CZ1058" s="650"/>
      <c r="DA1058" s="548"/>
      <c r="DB1058" s="548"/>
      <c r="DC1058" s="548"/>
      <c r="DD1058" s="650"/>
      <c r="DE1058" s="650"/>
      <c r="DF1058" s="650"/>
      <c r="DG1058" s="650"/>
      <c r="DH1058" s="650"/>
    </row>
    <row r="1059" s="548" customFormat="1" ht="31" customHeight="1" spans="1:112">
      <c r="A1059" s="641">
        <v>46003</v>
      </c>
      <c r="B1059" s="642" t="s">
        <v>430</v>
      </c>
      <c r="C1059" s="246" t="s">
        <v>76</v>
      </c>
      <c r="D1059" s="551">
        <v>4500188835</v>
      </c>
      <c r="E1059" s="246">
        <v>3026</v>
      </c>
      <c r="F1059" s="551" t="s">
        <v>8694</v>
      </c>
      <c r="G1059" s="246" t="s">
        <v>6047</v>
      </c>
      <c r="H1059" s="246" t="s">
        <v>6069</v>
      </c>
      <c r="I1059" s="704">
        <v>1250</v>
      </c>
      <c r="J1059" s="246">
        <v>0</v>
      </c>
      <c r="K1059" s="246">
        <v>25</v>
      </c>
      <c r="L1059" s="644">
        <f t="shared" si="407"/>
        <v>50</v>
      </c>
      <c r="M1059" s="645">
        <v>46052</v>
      </c>
      <c r="N1059" s="645">
        <v>46048</v>
      </c>
      <c r="O1059" s="246"/>
      <c r="P1059" s="643" t="s">
        <v>113</v>
      </c>
      <c r="Q1059" s="246"/>
      <c r="R1059" s="646">
        <v>46003</v>
      </c>
      <c r="S1059" s="646" t="s">
        <v>70</v>
      </c>
      <c r="T1059" s="646" t="s">
        <v>70</v>
      </c>
      <c r="U1059" s="646"/>
      <c r="V1059" s="646"/>
      <c r="W1059" s="615"/>
      <c r="X1059" s="642" t="s">
        <v>8695</v>
      </c>
      <c r="Y1059" s="642" t="s">
        <v>1735</v>
      </c>
      <c r="Z1059" s="655">
        <v>0.9551</v>
      </c>
      <c r="AA1059" s="647">
        <f t="shared" si="410"/>
        <v>1193.875</v>
      </c>
      <c r="AC1059" s="648"/>
      <c r="AD1059" s="246" t="s">
        <v>6047</v>
      </c>
      <c r="AE1059" s="246" t="s">
        <v>82</v>
      </c>
      <c r="AF1059" s="246"/>
      <c r="AG1059" s="642"/>
      <c r="AH1059" s="642">
        <v>1</v>
      </c>
      <c r="AI1059" s="246">
        <v>1250</v>
      </c>
      <c r="AJ1059" s="246">
        <f t="shared" si="399"/>
        <v>0</v>
      </c>
      <c r="AK1059" s="246"/>
      <c r="AL1059" s="246"/>
      <c r="AM1059" s="246"/>
      <c r="AN1059" s="246"/>
      <c r="AO1059" s="551">
        <f>I1059</f>
        <v>1250</v>
      </c>
      <c r="AP1059" s="551"/>
      <c r="AQ1059" s="551"/>
      <c r="AR1059" s="650"/>
      <c r="AS1059" s="551"/>
      <c r="AT1059" s="554">
        <f>I1059</f>
        <v>1250</v>
      </c>
      <c r="AU1059" s="551"/>
      <c r="AV1059" s="554">
        <f>I1059</f>
        <v>1250</v>
      </c>
      <c r="AW1059" s="650"/>
      <c r="AX1059" s="551"/>
      <c r="AY1059" s="551"/>
      <c r="AZ1059" s="551"/>
      <c r="BA1059" s="551"/>
      <c r="BB1059" s="620">
        <f>I1059/24</f>
        <v>52.0833333333333</v>
      </c>
      <c r="BC1059" s="651"/>
      <c r="BD1059" s="551"/>
      <c r="BE1059" s="551"/>
      <c r="BF1059" s="551"/>
      <c r="BH1059" s="551"/>
      <c r="BI1059" s="551"/>
      <c r="BJ1059" s="551"/>
      <c r="BK1059" s="551"/>
      <c r="BL1059" s="551"/>
      <c r="BM1059" s="551"/>
      <c r="BN1059" s="551"/>
      <c r="BO1059" s="551"/>
      <c r="BP1059" s="551">
        <f>I1059/25</f>
        <v>50</v>
      </c>
      <c r="BQ1059" s="551"/>
      <c r="BR1059" s="551"/>
      <c r="BS1059" s="551"/>
      <c r="BT1059" s="551"/>
      <c r="BU1059" s="551"/>
      <c r="BV1059" s="551"/>
      <c r="BW1059" s="551"/>
      <c r="BX1059" s="551"/>
      <c r="BY1059" s="650"/>
      <c r="BZ1059" s="551"/>
      <c r="CA1059" s="652"/>
      <c r="CB1059" s="567"/>
      <c r="CC1059" s="653"/>
      <c r="CD1059" s="650"/>
      <c r="CE1059" s="650"/>
      <c r="CF1059" s="551"/>
      <c r="CG1059" s="551"/>
      <c r="CI1059" s="551"/>
      <c r="CJ1059" s="551"/>
      <c r="CK1059" s="551"/>
      <c r="CL1059" s="551"/>
      <c r="CM1059" s="551"/>
      <c r="CN1059" s="551"/>
      <c r="CO1059" s="551"/>
      <c r="CP1059" s="551"/>
      <c r="CQ1059" s="551"/>
      <c r="CR1059" s="551"/>
      <c r="CS1059" s="551"/>
      <c r="CT1059" s="551"/>
      <c r="CU1059" s="554">
        <f t="shared" si="400"/>
        <v>50</v>
      </c>
      <c r="CV1059" s="551">
        <f t="shared" si="401"/>
        <v>0</v>
      </c>
      <c r="CW1059" s="551">
        <f t="shared" si="402"/>
        <v>0</v>
      </c>
      <c r="CX1059" s="650"/>
      <c r="CY1059" s="650"/>
      <c r="CZ1059" s="650"/>
      <c r="DA1059" s="548"/>
      <c r="DB1059" s="548"/>
      <c r="DC1059" s="548"/>
      <c r="DD1059" s="650"/>
      <c r="DE1059" s="650"/>
      <c r="DF1059" s="650"/>
      <c r="DG1059" s="650"/>
      <c r="DH1059" s="650"/>
    </row>
    <row r="1060" s="548" customFormat="1" ht="31" customHeight="1" spans="1:112">
      <c r="A1060" s="641">
        <v>46003</v>
      </c>
      <c r="B1060" s="642" t="s">
        <v>1332</v>
      </c>
      <c r="C1060" s="246" t="s">
        <v>590</v>
      </c>
      <c r="D1060" s="551">
        <v>4500188846</v>
      </c>
      <c r="E1060" s="246"/>
      <c r="F1060" s="551" t="s">
        <v>8696</v>
      </c>
      <c r="G1060" s="246" t="s">
        <v>6448</v>
      </c>
      <c r="H1060" s="246" t="s">
        <v>6449</v>
      </c>
      <c r="I1060" s="704">
        <v>3000</v>
      </c>
      <c r="J1060" s="246">
        <v>0</v>
      </c>
      <c r="K1060" s="246">
        <v>50</v>
      </c>
      <c r="L1060" s="644">
        <f t="shared" si="407"/>
        <v>60</v>
      </c>
      <c r="M1060" s="645">
        <v>46052</v>
      </c>
      <c r="N1060" s="645">
        <v>46048</v>
      </c>
      <c r="O1060" s="246"/>
      <c r="P1060" s="643" t="s">
        <v>113</v>
      </c>
      <c r="Q1060" s="246" t="s">
        <v>2971</v>
      </c>
      <c r="R1060" s="646">
        <v>46013</v>
      </c>
      <c r="S1060" s="646" t="s">
        <v>70</v>
      </c>
      <c r="T1060" s="646" t="s">
        <v>8697</v>
      </c>
      <c r="U1060" s="646"/>
      <c r="V1060" s="646"/>
      <c r="W1060" s="615"/>
      <c r="X1060" s="642" t="s">
        <v>8698</v>
      </c>
      <c r="Y1060" s="642" t="s">
        <v>230</v>
      </c>
      <c r="Z1060" s="655">
        <v>0.9676</v>
      </c>
      <c r="AA1060" s="647">
        <f t="shared" si="410"/>
        <v>2902.8</v>
      </c>
      <c r="AC1060" s="648"/>
      <c r="AD1060" s="246" t="s">
        <v>6448</v>
      </c>
      <c r="AE1060" s="246" t="s">
        <v>82</v>
      </c>
      <c r="AF1060" s="246"/>
      <c r="AG1060" s="642"/>
      <c r="AH1060" s="642">
        <v>1</v>
      </c>
      <c r="AI1060" s="246">
        <v>3000</v>
      </c>
      <c r="AJ1060" s="246">
        <f t="shared" si="399"/>
        <v>0</v>
      </c>
      <c r="AK1060" s="246"/>
      <c r="AL1060" s="246" t="s">
        <v>2368</v>
      </c>
      <c r="AM1060" s="246"/>
      <c r="AN1060" s="246"/>
      <c r="AO1060" s="551">
        <f>I1060</f>
        <v>3000</v>
      </c>
      <c r="AP1060" s="551"/>
      <c r="AQ1060" s="551"/>
      <c r="AR1060" s="650"/>
      <c r="AS1060" s="551"/>
      <c r="AT1060" s="554">
        <f>I1060</f>
        <v>3000</v>
      </c>
      <c r="AU1060" s="551"/>
      <c r="AV1060" s="551"/>
      <c r="AW1060" s="650"/>
      <c r="AX1060" s="551"/>
      <c r="AY1060" s="551"/>
      <c r="AZ1060" s="663">
        <f>I1060</f>
        <v>3000</v>
      </c>
      <c r="BA1060" s="663"/>
      <c r="BB1060" s="620">
        <f>I1060/24</f>
        <v>125</v>
      </c>
      <c r="BC1060" s="651"/>
      <c r="BD1060" s="551"/>
      <c r="BE1060" s="551"/>
      <c r="BF1060" s="551"/>
      <c r="BH1060" s="551"/>
      <c r="BI1060" s="551"/>
      <c r="BJ1060" s="551"/>
      <c r="BK1060" s="551"/>
      <c r="BL1060" s="551"/>
      <c r="BM1060" s="551"/>
      <c r="BN1060" s="551"/>
      <c r="BO1060" s="551"/>
      <c r="BP1060" s="551"/>
      <c r="BQ1060" s="551"/>
      <c r="BR1060" s="551"/>
      <c r="BS1060" s="551"/>
      <c r="BT1060" s="551"/>
      <c r="BU1060" s="551"/>
      <c r="BV1060" s="551"/>
      <c r="BW1060" s="551"/>
      <c r="BX1060" s="663">
        <f>I1060/25</f>
        <v>120</v>
      </c>
      <c r="BY1060" s="650"/>
      <c r="BZ1060" s="551"/>
      <c r="CA1060" s="652"/>
      <c r="CB1060" s="567"/>
      <c r="CC1060" s="653"/>
      <c r="CD1060" s="650"/>
      <c r="CE1060" s="650"/>
      <c r="CF1060" s="551"/>
      <c r="CG1060" s="551"/>
      <c r="CI1060" s="551"/>
      <c r="CJ1060" s="551"/>
      <c r="CK1060" s="551"/>
      <c r="CL1060" s="551"/>
      <c r="CM1060" s="551"/>
      <c r="CN1060" s="551"/>
      <c r="CO1060" s="551"/>
      <c r="CP1060" s="551"/>
      <c r="CQ1060" s="551"/>
      <c r="CR1060" s="551"/>
      <c r="CS1060" s="551"/>
      <c r="CT1060" s="551"/>
      <c r="CU1060" s="554">
        <f t="shared" si="400"/>
        <v>120</v>
      </c>
      <c r="CV1060" s="551">
        <f t="shared" si="401"/>
        <v>0</v>
      </c>
      <c r="CW1060" s="551">
        <f t="shared" si="402"/>
        <v>0</v>
      </c>
      <c r="CX1060" s="650"/>
      <c r="CY1060" s="650"/>
      <c r="CZ1060" s="650"/>
      <c r="DA1060" s="548"/>
      <c r="DB1060" s="548"/>
      <c r="DC1060" s="548"/>
      <c r="DD1060" s="650"/>
      <c r="DE1060" s="650"/>
      <c r="DF1060" s="650"/>
      <c r="DG1060" s="650"/>
      <c r="DH1060" s="650"/>
    </row>
    <row r="1061" s="548" customFormat="1" ht="31" customHeight="1" spans="1:112">
      <c r="A1061" s="641">
        <v>46007</v>
      </c>
      <c r="B1061" s="642" t="s">
        <v>211</v>
      </c>
      <c r="C1061" s="246" t="s">
        <v>212</v>
      </c>
      <c r="D1061" s="551">
        <v>4500189099</v>
      </c>
      <c r="E1061" s="246" t="s">
        <v>2980</v>
      </c>
      <c r="F1061" s="551" t="s">
        <v>8699</v>
      </c>
      <c r="G1061" s="246" t="s">
        <v>6040</v>
      </c>
      <c r="H1061" s="246" t="s">
        <v>6041</v>
      </c>
      <c r="I1061" s="704">
        <v>2080</v>
      </c>
      <c r="J1061" s="246">
        <v>0</v>
      </c>
      <c r="K1061" s="246">
        <v>52</v>
      </c>
      <c r="L1061" s="644">
        <f t="shared" si="407"/>
        <v>40</v>
      </c>
      <c r="M1061" s="645">
        <v>46052</v>
      </c>
      <c r="N1061" s="645">
        <v>46048</v>
      </c>
      <c r="O1061" s="246"/>
      <c r="P1061" s="643" t="s">
        <v>113</v>
      </c>
      <c r="Q1061" s="246"/>
      <c r="R1061" s="646">
        <v>46007</v>
      </c>
      <c r="S1061" s="646" t="s">
        <v>70</v>
      </c>
      <c r="T1061" s="646" t="s">
        <v>8700</v>
      </c>
      <c r="U1061" s="646"/>
      <c r="V1061" s="646"/>
      <c r="W1061" s="615"/>
      <c r="X1061" s="642" t="s">
        <v>8701</v>
      </c>
      <c r="Y1061" s="642" t="s">
        <v>1793</v>
      </c>
      <c r="Z1061" s="655">
        <v>0.8951</v>
      </c>
      <c r="AA1061" s="647">
        <f t="shared" si="410"/>
        <v>1861.808</v>
      </c>
      <c r="AC1061" s="648"/>
      <c r="AD1061" s="246" t="s">
        <v>6040</v>
      </c>
      <c r="AE1061" s="246" t="s">
        <v>82</v>
      </c>
      <c r="AF1061" s="246"/>
      <c r="AG1061" s="642"/>
      <c r="AH1061" s="642">
        <v>1</v>
      </c>
      <c r="AI1061" s="246">
        <v>2080</v>
      </c>
      <c r="AJ1061" s="246">
        <f t="shared" si="399"/>
        <v>0</v>
      </c>
      <c r="AK1061" s="246"/>
      <c r="AL1061" s="246" t="s">
        <v>2368</v>
      </c>
      <c r="AM1061" s="246"/>
      <c r="AN1061" s="246"/>
      <c r="AO1061" s="551">
        <f>I1061</f>
        <v>2080</v>
      </c>
      <c r="AP1061" s="551"/>
      <c r="AQ1061" s="551"/>
      <c r="AR1061" s="650"/>
      <c r="AS1061" s="551"/>
      <c r="AT1061" s="554">
        <f>I1061</f>
        <v>2080</v>
      </c>
      <c r="AU1061" s="551"/>
      <c r="AV1061" s="554">
        <f>I1061</f>
        <v>2080</v>
      </c>
      <c r="AW1061" s="650"/>
      <c r="AX1061" s="551"/>
      <c r="AY1061" s="551"/>
      <c r="AZ1061" s="551"/>
      <c r="BA1061" s="551"/>
      <c r="BB1061" s="620">
        <f>I1061/24</f>
        <v>86.6666666666667</v>
      </c>
      <c r="BC1061" s="651"/>
      <c r="BD1061" s="551"/>
      <c r="BE1061" s="551"/>
      <c r="BF1061" s="551"/>
      <c r="BH1061" s="551"/>
      <c r="BI1061" s="551"/>
      <c r="BJ1061" s="551"/>
      <c r="BK1061" s="551"/>
      <c r="BL1061" s="551"/>
      <c r="BM1061" s="551">
        <f>I1061/13</f>
        <v>160</v>
      </c>
      <c r="BN1061" s="551"/>
      <c r="BO1061" s="551"/>
      <c r="BP1061" s="551"/>
      <c r="BQ1061" s="551"/>
      <c r="BR1061" s="551"/>
      <c r="BS1061" s="551"/>
      <c r="BT1061" s="551"/>
      <c r="BU1061" s="551"/>
      <c r="BV1061" s="551"/>
      <c r="BW1061" s="551"/>
      <c r="BX1061" s="551"/>
      <c r="BY1061" s="650"/>
      <c r="BZ1061" s="551"/>
      <c r="CA1061" s="652"/>
      <c r="CB1061" s="567"/>
      <c r="CC1061" s="653"/>
      <c r="CD1061" s="650"/>
      <c r="CE1061" s="650"/>
      <c r="CF1061" s="551"/>
      <c r="CG1061" s="551"/>
      <c r="CI1061" s="551"/>
      <c r="CJ1061" s="551"/>
      <c r="CK1061" s="551"/>
      <c r="CL1061" s="551"/>
      <c r="CM1061" s="551"/>
      <c r="CN1061" s="551"/>
      <c r="CO1061" s="551"/>
      <c r="CP1061" s="551"/>
      <c r="CQ1061" s="551"/>
      <c r="CR1061" s="551"/>
      <c r="CS1061" s="551"/>
      <c r="CT1061" s="551"/>
      <c r="CU1061" s="554">
        <f t="shared" si="400"/>
        <v>0</v>
      </c>
      <c r="CV1061" s="551">
        <f t="shared" si="401"/>
        <v>0</v>
      </c>
      <c r="CW1061" s="551">
        <f t="shared" si="402"/>
        <v>0</v>
      </c>
      <c r="CX1061" s="650"/>
      <c r="CY1061" s="650"/>
      <c r="CZ1061" s="650"/>
      <c r="DA1061" s="548"/>
      <c r="DB1061" s="548"/>
      <c r="DC1061" s="548"/>
      <c r="DD1061" s="650"/>
      <c r="DE1061" s="650"/>
      <c r="DF1061" s="650"/>
      <c r="DG1061" s="650"/>
      <c r="DH1061" s="650"/>
    </row>
    <row r="1062" s="548" customFormat="1" ht="31" customHeight="1" spans="1:112">
      <c r="A1062" s="641">
        <v>46007</v>
      </c>
      <c r="B1062" s="642" t="s">
        <v>211</v>
      </c>
      <c r="C1062" s="246" t="s">
        <v>212</v>
      </c>
      <c r="D1062" s="551">
        <v>4500189099</v>
      </c>
      <c r="E1062" s="246" t="s">
        <v>2980</v>
      </c>
      <c r="F1062" s="551" t="s">
        <v>3016</v>
      </c>
      <c r="G1062" s="246" t="s">
        <v>6337</v>
      </c>
      <c r="H1062" s="246" t="s">
        <v>477</v>
      </c>
      <c r="I1062" s="704">
        <v>720</v>
      </c>
      <c r="J1062" s="246">
        <v>0</v>
      </c>
      <c r="K1062" s="246">
        <v>6</v>
      </c>
      <c r="L1062" s="644">
        <f t="shared" si="407"/>
        <v>120</v>
      </c>
      <c r="M1062" s="645">
        <v>46052</v>
      </c>
      <c r="N1062" s="645">
        <v>46048</v>
      </c>
      <c r="O1062" s="246"/>
      <c r="P1062" s="643" t="s">
        <v>113</v>
      </c>
      <c r="Q1062" s="246"/>
      <c r="R1062" s="646">
        <v>46007</v>
      </c>
      <c r="S1062" s="646" t="s">
        <v>70</v>
      </c>
      <c r="T1062" s="646" t="s">
        <v>8702</v>
      </c>
      <c r="U1062" s="646"/>
      <c r="V1062" s="646"/>
      <c r="W1062" s="615"/>
      <c r="X1062" s="642" t="s">
        <v>3018</v>
      </c>
      <c r="Y1062" s="642" t="s">
        <v>1793</v>
      </c>
      <c r="Z1062" s="655">
        <v>7.0456</v>
      </c>
      <c r="AA1062" s="647">
        <f t="shared" si="410"/>
        <v>5072.832</v>
      </c>
      <c r="AC1062" s="648"/>
      <c r="AD1062" s="246" t="s">
        <v>1306</v>
      </c>
      <c r="AE1062" s="246" t="s">
        <v>82</v>
      </c>
      <c r="AF1062" s="246"/>
      <c r="AG1062" s="642"/>
      <c r="AH1062" s="642">
        <v>1</v>
      </c>
      <c r="AI1062" s="246">
        <v>720</v>
      </c>
      <c r="AJ1062" s="246">
        <f t="shared" si="399"/>
        <v>0</v>
      </c>
      <c r="AK1062" s="246"/>
      <c r="AL1062" s="246" t="s">
        <v>2368</v>
      </c>
      <c r="AM1062" s="246"/>
      <c r="AN1062" s="246"/>
      <c r="AO1062" s="554">
        <f>I1062*2</f>
        <v>1440</v>
      </c>
      <c r="AP1062" s="551"/>
      <c r="AQ1062" s="551"/>
      <c r="AR1062" s="650"/>
      <c r="AS1062" s="551"/>
      <c r="AT1062" s="554">
        <f>I1062*2</f>
        <v>1440</v>
      </c>
      <c r="AU1062" s="551"/>
      <c r="AV1062" s="554">
        <f>I1062*2</f>
        <v>1440</v>
      </c>
      <c r="AW1062" s="650"/>
      <c r="AX1062" s="551"/>
      <c r="AY1062" s="551"/>
      <c r="AZ1062" s="551"/>
      <c r="BA1062" s="551"/>
      <c r="BB1062" s="620">
        <f>I1062/24*2</f>
        <v>60</v>
      </c>
      <c r="BC1062" s="651"/>
      <c r="BD1062" s="551"/>
      <c r="BE1062" s="551"/>
      <c r="BF1062" s="551"/>
      <c r="BH1062" s="551"/>
      <c r="BI1062" s="551"/>
      <c r="BJ1062" s="551"/>
      <c r="BK1062" s="551"/>
      <c r="BL1062" s="551"/>
      <c r="BM1062" s="551"/>
      <c r="BN1062" s="551"/>
      <c r="BO1062" s="551"/>
      <c r="BP1062" s="551"/>
      <c r="BQ1062" s="551"/>
      <c r="BR1062" s="551"/>
      <c r="BS1062" s="551"/>
      <c r="BT1062" s="551"/>
      <c r="BU1062" s="551"/>
      <c r="BV1062" s="551"/>
      <c r="BW1062" s="551"/>
      <c r="BX1062" s="551"/>
      <c r="BY1062" s="650"/>
      <c r="BZ1062" s="551">
        <f>I1062</f>
        <v>720</v>
      </c>
      <c r="CA1062" s="652"/>
      <c r="CB1062" s="567"/>
      <c r="CC1062" s="653"/>
      <c r="CD1062" s="650"/>
      <c r="CE1062" s="650"/>
      <c r="CF1062" s="551"/>
      <c r="CG1062" s="551"/>
      <c r="CI1062" s="551"/>
      <c r="CJ1062" s="551"/>
      <c r="CK1062" s="551"/>
      <c r="CL1062" s="551"/>
      <c r="CM1062" s="551"/>
      <c r="CN1062" s="551"/>
      <c r="CO1062" s="551"/>
      <c r="CP1062" s="551"/>
      <c r="CQ1062" s="551"/>
      <c r="CR1062" s="551"/>
      <c r="CS1062" s="551"/>
      <c r="CT1062" s="551"/>
      <c r="CU1062" s="554">
        <f t="shared" si="400"/>
        <v>0</v>
      </c>
      <c r="CV1062" s="551">
        <f t="shared" si="401"/>
        <v>0</v>
      </c>
      <c r="CW1062" s="551">
        <f t="shared" si="402"/>
        <v>0</v>
      </c>
      <c r="CX1062" s="650"/>
      <c r="CY1062" s="650"/>
      <c r="CZ1062" s="650"/>
      <c r="DA1062" s="548"/>
      <c r="DB1062" s="548"/>
      <c r="DC1062" s="548"/>
      <c r="DD1062" s="650"/>
      <c r="DE1062" s="650"/>
      <c r="DF1062" s="650"/>
      <c r="DG1062" s="650"/>
      <c r="DH1062" s="650"/>
    </row>
    <row r="1063" s="548" customFormat="1" ht="31" customHeight="1" spans="1:112">
      <c r="A1063" s="641">
        <v>46013</v>
      </c>
      <c r="B1063" s="609" t="s">
        <v>3577</v>
      </c>
      <c r="C1063" s="246" t="s">
        <v>170</v>
      </c>
      <c r="D1063" s="551">
        <v>4500189631</v>
      </c>
      <c r="E1063" s="246"/>
      <c r="F1063" s="551" t="s">
        <v>8703</v>
      </c>
      <c r="G1063" s="246" t="s">
        <v>6063</v>
      </c>
      <c r="H1063" s="246" t="s">
        <v>6064</v>
      </c>
      <c r="I1063" s="704">
        <v>8752</v>
      </c>
      <c r="J1063" s="246">
        <v>0</v>
      </c>
      <c r="K1063" s="246">
        <v>16</v>
      </c>
      <c r="L1063" s="644">
        <f t="shared" si="407"/>
        <v>547</v>
      </c>
      <c r="M1063" s="645">
        <v>46052</v>
      </c>
      <c r="N1063" s="645">
        <v>46048</v>
      </c>
      <c r="O1063" s="246" t="s">
        <v>8704</v>
      </c>
      <c r="P1063" s="643" t="s">
        <v>113</v>
      </c>
      <c r="Q1063" s="246"/>
      <c r="R1063" s="646">
        <v>46017</v>
      </c>
      <c r="S1063" s="646" t="s">
        <v>70</v>
      </c>
      <c r="T1063" s="646" t="s">
        <v>70</v>
      </c>
      <c r="U1063" s="646"/>
      <c r="V1063" s="646"/>
      <c r="W1063" s="615"/>
      <c r="X1063" s="642" t="s">
        <v>8705</v>
      </c>
      <c r="Y1063" s="642" t="s">
        <v>2071</v>
      </c>
      <c r="Z1063" s="655">
        <v>0.9894</v>
      </c>
      <c r="AA1063" s="647">
        <f t="shared" si="410"/>
        <v>8659.2288</v>
      </c>
      <c r="AC1063" s="648"/>
      <c r="AD1063" s="246" t="s">
        <v>8348</v>
      </c>
      <c r="AE1063" s="246" t="s">
        <v>82</v>
      </c>
      <c r="AF1063" s="246"/>
      <c r="AG1063" s="642"/>
      <c r="AH1063" s="642">
        <v>1</v>
      </c>
      <c r="AI1063" s="246">
        <f>32+8720</f>
        <v>8752</v>
      </c>
      <c r="AJ1063" s="246">
        <f t="shared" si="399"/>
        <v>0</v>
      </c>
      <c r="AK1063" s="246"/>
      <c r="AL1063" s="246"/>
      <c r="AM1063" s="246"/>
      <c r="AN1063" s="246">
        <f>I1063</f>
        <v>8752</v>
      </c>
      <c r="AO1063" s="551"/>
      <c r="AP1063" s="551"/>
      <c r="AQ1063" s="551"/>
      <c r="AR1063" s="650"/>
      <c r="AS1063" s="554">
        <f>I1063</f>
        <v>8752</v>
      </c>
      <c r="AT1063" s="551"/>
      <c r="AU1063" s="554">
        <f>I1063</f>
        <v>8752</v>
      </c>
      <c r="AV1063" s="551"/>
      <c r="AW1063" s="650"/>
      <c r="AX1063" s="551"/>
      <c r="AY1063" s="551"/>
      <c r="AZ1063" s="551"/>
      <c r="BA1063" s="551"/>
      <c r="BB1063" s="249">
        <f>I1063/24</f>
        <v>364.666666666667</v>
      </c>
      <c r="BC1063" s="651"/>
      <c r="BD1063" s="551"/>
      <c r="BE1063" s="551"/>
      <c r="BF1063" s="551"/>
      <c r="BH1063" s="551"/>
      <c r="BI1063" s="551"/>
      <c r="BJ1063" s="551"/>
      <c r="BK1063" s="551"/>
      <c r="BL1063" s="551"/>
      <c r="BM1063" s="551"/>
      <c r="BN1063" s="551"/>
      <c r="BO1063" s="551"/>
      <c r="BP1063" s="551"/>
      <c r="BQ1063" s="551"/>
      <c r="BR1063" s="551">
        <f>L1063</f>
        <v>547</v>
      </c>
      <c r="BS1063" s="551"/>
      <c r="BT1063" s="551"/>
      <c r="BU1063" s="551"/>
      <c r="BV1063" s="551"/>
      <c r="BW1063" s="551"/>
      <c r="BX1063" s="551"/>
      <c r="BY1063" s="650"/>
      <c r="BZ1063" s="551"/>
      <c r="CA1063" s="652"/>
      <c r="CB1063" s="567"/>
      <c r="CC1063" s="653"/>
      <c r="CD1063" s="650"/>
      <c r="CE1063" s="650"/>
      <c r="CF1063" s="551"/>
      <c r="CG1063" s="551"/>
      <c r="CI1063" s="551"/>
      <c r="CJ1063" s="551"/>
      <c r="CK1063" s="551"/>
      <c r="CL1063" s="551"/>
      <c r="CM1063" s="551"/>
      <c r="CN1063" s="551"/>
      <c r="CO1063" s="551"/>
      <c r="CP1063" s="551"/>
      <c r="CQ1063" s="551"/>
      <c r="CR1063" s="551"/>
      <c r="CS1063" s="551"/>
      <c r="CT1063" s="551"/>
      <c r="CU1063" s="554">
        <f t="shared" si="400"/>
        <v>547</v>
      </c>
      <c r="CV1063" s="551">
        <f t="shared" si="401"/>
        <v>0</v>
      </c>
      <c r="CW1063" s="551">
        <f t="shared" si="402"/>
        <v>0</v>
      </c>
      <c r="CX1063" s="650"/>
      <c r="CY1063" s="650"/>
      <c r="CZ1063" s="650"/>
      <c r="DA1063" s="548"/>
      <c r="DB1063" s="548"/>
      <c r="DC1063" s="548"/>
      <c r="DD1063" s="650"/>
      <c r="DE1063" s="650"/>
      <c r="DF1063" s="650"/>
      <c r="DG1063" s="650"/>
      <c r="DH1063" s="650"/>
    </row>
    <row r="1064" s="548" customFormat="1" ht="31" customHeight="1" spans="1:112">
      <c r="A1064" s="641">
        <v>46014</v>
      </c>
      <c r="B1064" s="642" t="s">
        <v>1800</v>
      </c>
      <c r="C1064" s="246" t="s">
        <v>744</v>
      </c>
      <c r="D1064" s="551">
        <v>4500185221</v>
      </c>
      <c r="E1064" s="246">
        <v>5000002057</v>
      </c>
      <c r="F1064" s="551" t="s">
        <v>8706</v>
      </c>
      <c r="G1064" s="246" t="s">
        <v>6093</v>
      </c>
      <c r="H1064" s="639" t="s">
        <v>7359</v>
      </c>
      <c r="I1064" s="704">
        <v>3900</v>
      </c>
      <c r="J1064" s="246">
        <v>0</v>
      </c>
      <c r="K1064" s="246">
        <v>13</v>
      </c>
      <c r="L1064" s="644">
        <f t="shared" si="407"/>
        <v>300</v>
      </c>
      <c r="M1064" s="645">
        <v>46052</v>
      </c>
      <c r="N1064" s="645">
        <v>46049</v>
      </c>
      <c r="O1064" s="246"/>
      <c r="P1064" s="643" t="s">
        <v>113</v>
      </c>
      <c r="Q1064" s="246"/>
      <c r="R1064" s="646" t="s">
        <v>7814</v>
      </c>
      <c r="S1064" s="646" t="s">
        <v>104</v>
      </c>
      <c r="T1064" s="646" t="s">
        <v>1701</v>
      </c>
      <c r="U1064" s="646"/>
      <c r="V1064" s="646" t="s">
        <v>8514</v>
      </c>
      <c r="W1064" s="615"/>
      <c r="X1064" s="628" t="s">
        <v>8585</v>
      </c>
      <c r="Y1064" s="642" t="s">
        <v>1805</v>
      </c>
      <c r="Z1064" s="655">
        <v>0.8677</v>
      </c>
      <c r="AA1064" s="647">
        <f t="shared" ref="AA1064:AA1069" si="411">Z1064*I1064</f>
        <v>3384.03</v>
      </c>
      <c r="AC1064" s="658" t="s">
        <v>8586</v>
      </c>
      <c r="AD1064" s="246" t="s">
        <v>8338</v>
      </c>
      <c r="AE1064" s="246" t="s">
        <v>82</v>
      </c>
      <c r="AF1064" s="246"/>
      <c r="AG1064" s="642"/>
      <c r="AH1064" s="642">
        <v>1</v>
      </c>
      <c r="AI1064" s="246">
        <f>3900</f>
        <v>3900</v>
      </c>
      <c r="AJ1064" s="246">
        <f t="shared" si="399"/>
        <v>0</v>
      </c>
      <c r="AK1064" s="246"/>
      <c r="AL1064" s="246" t="s">
        <v>2368</v>
      </c>
      <c r="AM1064" s="246"/>
      <c r="AN1064" s="246"/>
      <c r="AO1064" s="551">
        <f>I1064</f>
        <v>3900</v>
      </c>
      <c r="AP1064" s="551"/>
      <c r="AQ1064" s="551"/>
      <c r="AR1064" s="650"/>
      <c r="AS1064" s="551"/>
      <c r="AT1064" s="551"/>
      <c r="AU1064" s="551"/>
      <c r="AV1064" s="551"/>
      <c r="AW1064" s="650">
        <f>I1064</f>
        <v>3900</v>
      </c>
      <c r="AX1064" s="554">
        <f>I1064</f>
        <v>3900</v>
      </c>
      <c r="AY1064" s="551"/>
      <c r="AZ1064" s="551"/>
      <c r="BA1064" s="551">
        <f>I1064/13</f>
        <v>300</v>
      </c>
      <c r="BB1064" s="249"/>
      <c r="BC1064" s="651"/>
      <c r="BD1064" s="551"/>
      <c r="BE1064" s="551"/>
      <c r="BF1064" s="551"/>
      <c r="BH1064" s="551"/>
      <c r="BI1064" s="551"/>
      <c r="BJ1064" s="551"/>
      <c r="BK1064" s="551"/>
      <c r="BL1064" s="551"/>
      <c r="BM1064" s="551">
        <f>I1064/13</f>
        <v>300</v>
      </c>
      <c r="BN1064" s="551"/>
      <c r="BO1064" s="551"/>
      <c r="BP1064" s="551"/>
      <c r="BQ1064" s="551"/>
      <c r="BR1064" s="551"/>
      <c r="BS1064" s="551"/>
      <c r="BT1064" s="551"/>
      <c r="BU1064" s="551"/>
      <c r="BV1064" s="551"/>
      <c r="BW1064" s="551"/>
      <c r="BX1064" s="551"/>
      <c r="BY1064" s="650"/>
      <c r="BZ1064" s="551"/>
      <c r="CA1064" s="652"/>
      <c r="CB1064" s="567"/>
      <c r="CC1064" s="653"/>
      <c r="CD1064" s="650"/>
      <c r="CE1064" s="650"/>
      <c r="CF1064" s="551"/>
      <c r="CG1064" s="551"/>
      <c r="CI1064" s="551"/>
      <c r="CJ1064" s="551"/>
      <c r="CK1064" s="551"/>
      <c r="CL1064" s="551"/>
      <c r="CM1064" s="551"/>
      <c r="CN1064" s="551"/>
      <c r="CO1064" s="551"/>
      <c r="CP1064" s="551"/>
      <c r="CQ1064" s="551"/>
      <c r="CR1064" s="551"/>
      <c r="CS1064" s="551"/>
      <c r="CT1064" s="551"/>
      <c r="CU1064" s="554">
        <f t="shared" si="400"/>
        <v>0</v>
      </c>
      <c r="CV1064" s="551">
        <f t="shared" si="401"/>
        <v>0</v>
      </c>
      <c r="CW1064" s="551">
        <f t="shared" si="402"/>
        <v>0</v>
      </c>
      <c r="CX1064" s="650"/>
      <c r="CY1064" s="650"/>
      <c r="CZ1064" s="650"/>
      <c r="DA1064" s="548"/>
      <c r="DB1064" s="548"/>
      <c r="DC1064" s="548"/>
      <c r="DD1064" s="650"/>
      <c r="DE1064" s="650"/>
      <c r="DF1064" s="650"/>
      <c r="DG1064" s="650"/>
      <c r="DH1064" s="650"/>
    </row>
    <row r="1065" s="548" customFormat="1" ht="31" customHeight="1" spans="1:112">
      <c r="A1065" s="641">
        <v>46014</v>
      </c>
      <c r="B1065" s="642" t="s">
        <v>1800</v>
      </c>
      <c r="C1065" s="246" t="s">
        <v>744</v>
      </c>
      <c r="D1065" s="551">
        <v>4500185221</v>
      </c>
      <c r="E1065" s="246">
        <v>5000002057</v>
      </c>
      <c r="F1065" s="551" t="s">
        <v>8707</v>
      </c>
      <c r="G1065" s="246" t="s">
        <v>6093</v>
      </c>
      <c r="H1065" s="639" t="s">
        <v>7359</v>
      </c>
      <c r="I1065" s="704">
        <v>9100</v>
      </c>
      <c r="J1065" s="246">
        <v>0</v>
      </c>
      <c r="K1065" s="246">
        <v>13</v>
      </c>
      <c r="L1065" s="644">
        <f t="shared" si="407"/>
        <v>700</v>
      </c>
      <c r="M1065" s="645">
        <v>46052</v>
      </c>
      <c r="N1065" s="645">
        <v>46049</v>
      </c>
      <c r="O1065" s="246"/>
      <c r="P1065" s="643" t="s">
        <v>113</v>
      </c>
      <c r="Q1065" s="246"/>
      <c r="R1065" s="646" t="s">
        <v>7814</v>
      </c>
      <c r="S1065" s="646" t="s">
        <v>104</v>
      </c>
      <c r="T1065" s="646" t="s">
        <v>1701</v>
      </c>
      <c r="U1065" s="646"/>
      <c r="V1065" s="646" t="s">
        <v>8514</v>
      </c>
      <c r="W1065" s="615"/>
      <c r="X1065" s="628" t="s">
        <v>8585</v>
      </c>
      <c r="Y1065" s="642" t="s">
        <v>1805</v>
      </c>
      <c r="Z1065" s="655">
        <v>0.8677</v>
      </c>
      <c r="AA1065" s="647">
        <f t="shared" si="411"/>
        <v>7896.07</v>
      </c>
      <c r="AC1065" s="658" t="s">
        <v>8586</v>
      </c>
      <c r="AD1065" s="246" t="s">
        <v>8338</v>
      </c>
      <c r="AE1065" s="246" t="s">
        <v>82</v>
      </c>
      <c r="AF1065" s="246"/>
      <c r="AG1065" s="642"/>
      <c r="AH1065" s="642">
        <v>1</v>
      </c>
      <c r="AI1065" s="246">
        <v>9100</v>
      </c>
      <c r="AJ1065" s="246">
        <f t="shared" si="399"/>
        <v>0</v>
      </c>
      <c r="AK1065" s="246"/>
      <c r="AL1065" s="246" t="s">
        <v>2368</v>
      </c>
      <c r="AM1065" s="246"/>
      <c r="AN1065" s="246"/>
      <c r="AO1065" s="551">
        <f>I1065</f>
        <v>9100</v>
      </c>
      <c r="AP1065" s="551"/>
      <c r="AQ1065" s="551"/>
      <c r="AR1065" s="650"/>
      <c r="AS1065" s="551"/>
      <c r="AT1065" s="551"/>
      <c r="AU1065" s="551"/>
      <c r="AV1065" s="551"/>
      <c r="AW1065" s="650">
        <f>I1065</f>
        <v>9100</v>
      </c>
      <c r="AX1065" s="554">
        <f>I1065</f>
        <v>9100</v>
      </c>
      <c r="AY1065" s="551"/>
      <c r="AZ1065" s="551"/>
      <c r="BA1065" s="551">
        <f>I1065/13</f>
        <v>700</v>
      </c>
      <c r="BB1065" s="249"/>
      <c r="BC1065" s="651"/>
      <c r="BD1065" s="551"/>
      <c r="BE1065" s="551"/>
      <c r="BF1065" s="551"/>
      <c r="BH1065" s="551"/>
      <c r="BI1065" s="551"/>
      <c r="BJ1065" s="551"/>
      <c r="BK1065" s="551"/>
      <c r="BL1065" s="551"/>
      <c r="BM1065" s="551">
        <f>I1065/13</f>
        <v>700</v>
      </c>
      <c r="BN1065" s="551"/>
      <c r="BO1065" s="551"/>
      <c r="BP1065" s="551"/>
      <c r="BQ1065" s="551"/>
      <c r="BR1065" s="551"/>
      <c r="BS1065" s="551"/>
      <c r="BT1065" s="551"/>
      <c r="BU1065" s="551"/>
      <c r="BV1065" s="551"/>
      <c r="BW1065" s="551"/>
      <c r="BX1065" s="551"/>
      <c r="BY1065" s="650"/>
      <c r="BZ1065" s="551"/>
      <c r="CA1065" s="652"/>
      <c r="CB1065" s="567"/>
      <c r="CC1065" s="653"/>
      <c r="CD1065" s="650"/>
      <c r="CE1065" s="650"/>
      <c r="CF1065" s="551"/>
      <c r="CG1065" s="551"/>
      <c r="CI1065" s="551"/>
      <c r="CJ1065" s="551"/>
      <c r="CK1065" s="551"/>
      <c r="CL1065" s="551"/>
      <c r="CM1065" s="551"/>
      <c r="CN1065" s="551"/>
      <c r="CO1065" s="551"/>
      <c r="CP1065" s="551"/>
      <c r="CQ1065" s="551"/>
      <c r="CR1065" s="551"/>
      <c r="CS1065" s="551"/>
      <c r="CT1065" s="551"/>
      <c r="CU1065" s="554">
        <f t="shared" si="400"/>
        <v>0</v>
      </c>
      <c r="CV1065" s="551">
        <f t="shared" si="401"/>
        <v>0</v>
      </c>
      <c r="CW1065" s="551">
        <f t="shared" si="402"/>
        <v>0</v>
      </c>
      <c r="CX1065" s="650"/>
      <c r="CY1065" s="650"/>
      <c r="CZ1065" s="650"/>
      <c r="DA1065" s="548"/>
      <c r="DB1065" s="548"/>
      <c r="DC1065" s="548"/>
      <c r="DD1065" s="650"/>
      <c r="DE1065" s="650"/>
      <c r="DF1065" s="650"/>
      <c r="DG1065" s="650"/>
      <c r="DH1065" s="650"/>
    </row>
    <row r="1066" s="548" customFormat="1" ht="31" customHeight="1" spans="1:112">
      <c r="A1066" s="641">
        <v>46017</v>
      </c>
      <c r="B1066" s="642" t="s">
        <v>1800</v>
      </c>
      <c r="C1066" s="246" t="s">
        <v>744</v>
      </c>
      <c r="D1066" s="551">
        <v>4500185221</v>
      </c>
      <c r="E1066" s="246">
        <v>5000002057</v>
      </c>
      <c r="F1066" s="551" t="s">
        <v>8708</v>
      </c>
      <c r="G1066" s="246" t="s">
        <v>6093</v>
      </c>
      <c r="H1066" s="639" t="s">
        <v>7359</v>
      </c>
      <c r="I1066" s="704">
        <v>6500</v>
      </c>
      <c r="J1066" s="246">
        <v>0</v>
      </c>
      <c r="K1066" s="246">
        <v>13</v>
      </c>
      <c r="L1066" s="644">
        <f t="shared" si="407"/>
        <v>500</v>
      </c>
      <c r="M1066" s="645">
        <v>46052</v>
      </c>
      <c r="N1066" s="645">
        <v>46049</v>
      </c>
      <c r="O1066" s="246"/>
      <c r="P1066" s="643" t="s">
        <v>113</v>
      </c>
      <c r="Q1066" s="246"/>
      <c r="R1066" s="646" t="s">
        <v>7814</v>
      </c>
      <c r="S1066" s="646" t="s">
        <v>104</v>
      </c>
      <c r="T1066" s="646" t="s">
        <v>1701</v>
      </c>
      <c r="U1066" s="646"/>
      <c r="V1066" s="646" t="s">
        <v>8514</v>
      </c>
      <c r="W1066" s="615"/>
      <c r="X1066" s="628" t="s">
        <v>8585</v>
      </c>
      <c r="Y1066" s="642" t="s">
        <v>1805</v>
      </c>
      <c r="Z1066" s="655">
        <v>0.8677</v>
      </c>
      <c r="AA1066" s="647">
        <f t="shared" si="411"/>
        <v>5640.05</v>
      </c>
      <c r="AC1066" s="658" t="s">
        <v>8586</v>
      </c>
      <c r="AD1066" s="246" t="s">
        <v>8338</v>
      </c>
      <c r="AE1066" s="246" t="s">
        <v>82</v>
      </c>
      <c r="AF1066" s="246"/>
      <c r="AG1066" s="642"/>
      <c r="AH1066" s="642">
        <v>1</v>
      </c>
      <c r="AI1066" s="246">
        <v>6500</v>
      </c>
      <c r="AJ1066" s="246">
        <f t="shared" si="399"/>
        <v>0</v>
      </c>
      <c r="AK1066" s="246"/>
      <c r="AL1066" s="246" t="s">
        <v>2368</v>
      </c>
      <c r="AM1066" s="246"/>
      <c r="AN1066" s="246"/>
      <c r="AO1066" s="551">
        <f>I1066</f>
        <v>6500</v>
      </c>
      <c r="AP1066" s="551"/>
      <c r="AQ1066" s="551"/>
      <c r="AR1066" s="650"/>
      <c r="AS1066" s="551"/>
      <c r="AT1066" s="551"/>
      <c r="AU1066" s="551"/>
      <c r="AV1066" s="551"/>
      <c r="AW1066" s="650">
        <f>I1066</f>
        <v>6500</v>
      </c>
      <c r="AX1066" s="554">
        <f>I1066</f>
        <v>6500</v>
      </c>
      <c r="AY1066" s="551"/>
      <c r="AZ1066" s="551"/>
      <c r="BA1066" s="551">
        <f>I1066/13</f>
        <v>500</v>
      </c>
      <c r="BB1066" s="249"/>
      <c r="BC1066" s="651"/>
      <c r="BD1066" s="551"/>
      <c r="BE1066" s="551"/>
      <c r="BF1066" s="551"/>
      <c r="BH1066" s="551"/>
      <c r="BI1066" s="551"/>
      <c r="BJ1066" s="551"/>
      <c r="BK1066" s="551"/>
      <c r="BL1066" s="551"/>
      <c r="BM1066" s="551">
        <f>I1066/13</f>
        <v>500</v>
      </c>
      <c r="BN1066" s="551"/>
      <c r="BO1066" s="551"/>
      <c r="BP1066" s="551"/>
      <c r="BQ1066" s="551"/>
      <c r="BR1066" s="551"/>
      <c r="BS1066" s="551"/>
      <c r="BT1066" s="551"/>
      <c r="BU1066" s="551"/>
      <c r="BV1066" s="551"/>
      <c r="BW1066" s="551"/>
      <c r="BX1066" s="551"/>
      <c r="BY1066" s="650"/>
      <c r="BZ1066" s="551"/>
      <c r="CA1066" s="652"/>
      <c r="CB1066" s="567"/>
      <c r="CC1066" s="653"/>
      <c r="CD1066" s="650"/>
      <c r="CE1066" s="650"/>
      <c r="CF1066" s="551"/>
      <c r="CG1066" s="551"/>
      <c r="CI1066" s="551"/>
      <c r="CJ1066" s="551"/>
      <c r="CK1066" s="551"/>
      <c r="CL1066" s="551"/>
      <c r="CM1066" s="551"/>
      <c r="CN1066" s="551"/>
      <c r="CO1066" s="551"/>
      <c r="CP1066" s="551"/>
      <c r="CQ1066" s="551"/>
      <c r="CR1066" s="551"/>
      <c r="CS1066" s="551"/>
      <c r="CT1066" s="551"/>
      <c r="CU1066" s="554">
        <f t="shared" si="400"/>
        <v>0</v>
      </c>
      <c r="CV1066" s="551">
        <f t="shared" si="401"/>
        <v>0</v>
      </c>
      <c r="CW1066" s="551">
        <f t="shared" si="402"/>
        <v>0</v>
      </c>
      <c r="CX1066" s="650"/>
      <c r="CY1066" s="650"/>
      <c r="CZ1066" s="650"/>
      <c r="DA1066" s="548"/>
      <c r="DB1066" s="548"/>
      <c r="DC1066" s="548"/>
      <c r="DD1066" s="650"/>
      <c r="DE1066" s="650"/>
      <c r="DF1066" s="650"/>
      <c r="DG1066" s="650"/>
      <c r="DH1066" s="650"/>
    </row>
    <row r="1067" s="548" customFormat="1" ht="31" customHeight="1" spans="1:112">
      <c r="A1067" s="641">
        <v>46017</v>
      </c>
      <c r="B1067" s="642" t="s">
        <v>1800</v>
      </c>
      <c r="C1067" s="246" t="s">
        <v>744</v>
      </c>
      <c r="D1067" s="551">
        <v>4500185221</v>
      </c>
      <c r="E1067" s="246">
        <v>5000002057</v>
      </c>
      <c r="F1067" s="551" t="s">
        <v>8709</v>
      </c>
      <c r="G1067" s="246" t="s">
        <v>6093</v>
      </c>
      <c r="H1067" s="639" t="s">
        <v>7359</v>
      </c>
      <c r="I1067" s="704">
        <v>13000</v>
      </c>
      <c r="J1067" s="246">
        <v>0</v>
      </c>
      <c r="K1067" s="246">
        <v>13</v>
      </c>
      <c r="L1067" s="644">
        <f t="shared" si="407"/>
        <v>1000</v>
      </c>
      <c r="M1067" s="645">
        <v>46052</v>
      </c>
      <c r="N1067" s="645">
        <v>46049</v>
      </c>
      <c r="O1067" s="246"/>
      <c r="P1067" s="643" t="s">
        <v>113</v>
      </c>
      <c r="Q1067" s="246"/>
      <c r="R1067" s="646" t="s">
        <v>7814</v>
      </c>
      <c r="S1067" s="646" t="s">
        <v>104</v>
      </c>
      <c r="T1067" s="646" t="s">
        <v>1701</v>
      </c>
      <c r="U1067" s="646"/>
      <c r="V1067" s="646" t="s">
        <v>8514</v>
      </c>
      <c r="W1067" s="615"/>
      <c r="X1067" s="628" t="s">
        <v>8585</v>
      </c>
      <c r="Y1067" s="642" t="s">
        <v>1805</v>
      </c>
      <c r="Z1067" s="655">
        <v>0.8677</v>
      </c>
      <c r="AA1067" s="647">
        <f t="shared" si="411"/>
        <v>11280.1</v>
      </c>
      <c r="AC1067" s="658" t="s">
        <v>8586</v>
      </c>
      <c r="AD1067" s="246" t="s">
        <v>8338</v>
      </c>
      <c r="AE1067" s="246" t="s">
        <v>82</v>
      </c>
      <c r="AF1067" s="246"/>
      <c r="AG1067" s="642"/>
      <c r="AH1067" s="642">
        <v>1</v>
      </c>
      <c r="AI1067" s="246">
        <v>13000</v>
      </c>
      <c r="AJ1067" s="246">
        <f t="shared" si="399"/>
        <v>0</v>
      </c>
      <c r="AK1067" s="246"/>
      <c r="AL1067" s="246" t="s">
        <v>2368</v>
      </c>
      <c r="AM1067" s="246"/>
      <c r="AN1067" s="246"/>
      <c r="AO1067" s="551">
        <f>I1067</f>
        <v>13000</v>
      </c>
      <c r="AP1067" s="551"/>
      <c r="AQ1067" s="551"/>
      <c r="AR1067" s="650"/>
      <c r="AS1067" s="551"/>
      <c r="AT1067" s="551"/>
      <c r="AU1067" s="551"/>
      <c r="AV1067" s="551"/>
      <c r="AW1067" s="650">
        <f>I1067</f>
        <v>13000</v>
      </c>
      <c r="AX1067" s="554">
        <f>I1067</f>
        <v>13000</v>
      </c>
      <c r="AY1067" s="551"/>
      <c r="AZ1067" s="551"/>
      <c r="BA1067" s="551">
        <f>I1067/13</f>
        <v>1000</v>
      </c>
      <c r="BB1067" s="249"/>
      <c r="BC1067" s="651"/>
      <c r="BD1067" s="551"/>
      <c r="BE1067" s="551"/>
      <c r="BF1067" s="551"/>
      <c r="BH1067" s="551"/>
      <c r="BI1067" s="551"/>
      <c r="BJ1067" s="551"/>
      <c r="BK1067" s="551"/>
      <c r="BL1067" s="551"/>
      <c r="BM1067" s="551">
        <f>I1067/13</f>
        <v>1000</v>
      </c>
      <c r="BN1067" s="551"/>
      <c r="BO1067" s="551"/>
      <c r="BP1067" s="551"/>
      <c r="BQ1067" s="551"/>
      <c r="BR1067" s="551"/>
      <c r="BS1067" s="551"/>
      <c r="BT1067" s="551"/>
      <c r="BU1067" s="551"/>
      <c r="BV1067" s="551"/>
      <c r="BW1067" s="551"/>
      <c r="BX1067" s="551"/>
      <c r="BY1067" s="650"/>
      <c r="BZ1067" s="551"/>
      <c r="CA1067" s="652"/>
      <c r="CB1067" s="567"/>
      <c r="CC1067" s="653"/>
      <c r="CD1067" s="650"/>
      <c r="CE1067" s="650"/>
      <c r="CF1067" s="551"/>
      <c r="CG1067" s="551"/>
      <c r="CI1067" s="551"/>
      <c r="CJ1067" s="551"/>
      <c r="CK1067" s="551"/>
      <c r="CL1067" s="551"/>
      <c r="CM1067" s="551"/>
      <c r="CN1067" s="551"/>
      <c r="CO1067" s="551"/>
      <c r="CP1067" s="551"/>
      <c r="CQ1067" s="551"/>
      <c r="CR1067" s="551"/>
      <c r="CS1067" s="551"/>
      <c r="CT1067" s="551"/>
      <c r="CU1067" s="554">
        <f t="shared" si="400"/>
        <v>0</v>
      </c>
      <c r="CV1067" s="551">
        <f t="shared" si="401"/>
        <v>0</v>
      </c>
      <c r="CW1067" s="551">
        <f t="shared" si="402"/>
        <v>0</v>
      </c>
      <c r="CX1067" s="650"/>
      <c r="CY1067" s="650"/>
      <c r="CZ1067" s="650"/>
      <c r="DA1067" s="548"/>
      <c r="DB1067" s="548"/>
      <c r="DC1067" s="548"/>
      <c r="DD1067" s="650"/>
      <c r="DE1067" s="650"/>
      <c r="DF1067" s="650"/>
      <c r="DG1067" s="650"/>
      <c r="DH1067" s="650"/>
    </row>
    <row r="1068" s="548" customFormat="1" ht="31" customHeight="1" spans="1:112">
      <c r="A1068" s="641">
        <v>46021</v>
      </c>
      <c r="B1068" s="642" t="s">
        <v>1337</v>
      </c>
      <c r="C1068" s="246" t="s">
        <v>931</v>
      </c>
      <c r="D1068" s="551">
        <v>4500190234</v>
      </c>
      <c r="E1068" s="246"/>
      <c r="F1068" s="551" t="s">
        <v>8710</v>
      </c>
      <c r="G1068" s="246" t="s">
        <v>6276</v>
      </c>
      <c r="H1068" s="246" t="s">
        <v>6277</v>
      </c>
      <c r="I1068" s="704">
        <v>3900</v>
      </c>
      <c r="J1068" s="246">
        <v>0</v>
      </c>
      <c r="K1068" s="246">
        <v>50</v>
      </c>
      <c r="L1068" s="644">
        <f t="shared" si="407"/>
        <v>78</v>
      </c>
      <c r="M1068" s="645">
        <v>46052</v>
      </c>
      <c r="N1068" s="645">
        <v>46048</v>
      </c>
      <c r="O1068" s="246"/>
      <c r="P1068" s="643" t="s">
        <v>113</v>
      </c>
      <c r="Q1068" s="246"/>
      <c r="R1068" s="646">
        <v>46021</v>
      </c>
      <c r="S1068" s="646" t="s">
        <v>70</v>
      </c>
      <c r="T1068" s="646" t="s">
        <v>70</v>
      </c>
      <c r="U1068" s="646"/>
      <c r="V1068" s="646"/>
      <c r="W1068" s="615"/>
      <c r="X1068" s="642" t="s">
        <v>8711</v>
      </c>
      <c r="Y1068" s="642" t="s">
        <v>943</v>
      </c>
      <c r="Z1068" s="655">
        <v>0.9315</v>
      </c>
      <c r="AA1068" s="647">
        <f t="shared" si="411"/>
        <v>3632.85</v>
      </c>
      <c r="AC1068" s="648"/>
      <c r="AD1068" s="246" t="s">
        <v>6276</v>
      </c>
      <c r="AE1068" s="246" t="s">
        <v>82</v>
      </c>
      <c r="AF1068" s="246"/>
      <c r="AG1068" s="642"/>
      <c r="AH1068" s="642">
        <v>1</v>
      </c>
      <c r="AI1068" s="246">
        <v>3900</v>
      </c>
      <c r="AJ1068" s="246">
        <f t="shared" si="399"/>
        <v>0</v>
      </c>
      <c r="AK1068" s="246"/>
      <c r="AL1068" s="246"/>
      <c r="AM1068" s="246"/>
      <c r="AN1068" s="246"/>
      <c r="AO1068" s="551">
        <f>I1068</f>
        <v>3900</v>
      </c>
      <c r="AP1068" s="551"/>
      <c r="AQ1068" s="551"/>
      <c r="AR1068" s="650"/>
      <c r="AS1068" s="551"/>
      <c r="AT1068" s="551"/>
      <c r="AU1068" s="551"/>
      <c r="AV1068" s="551"/>
      <c r="AW1068" s="650"/>
      <c r="AX1068" s="551"/>
      <c r="AY1068" s="551"/>
      <c r="AZ1068" s="551"/>
      <c r="BA1068" s="551"/>
      <c r="BB1068" s="249">
        <f>I1068/24</f>
        <v>162.5</v>
      </c>
      <c r="BC1068" s="651"/>
      <c r="BD1068" s="551"/>
      <c r="BE1068" s="551"/>
      <c r="BF1068" s="551"/>
      <c r="BH1068" s="551"/>
      <c r="BI1068" s="551"/>
      <c r="BJ1068" s="551"/>
      <c r="BK1068" s="551"/>
      <c r="BL1068" s="551"/>
      <c r="BM1068" s="551"/>
      <c r="BN1068" s="551"/>
      <c r="BO1068" s="551"/>
      <c r="BP1068" s="551"/>
      <c r="BQ1068" s="551"/>
      <c r="BR1068" s="551"/>
      <c r="BS1068" s="551"/>
      <c r="BT1068" s="551"/>
      <c r="BU1068" s="551"/>
      <c r="BV1068" s="551">
        <f>I1068</f>
        <v>3900</v>
      </c>
      <c r="BW1068" s="551">
        <f>I1068</f>
        <v>3900</v>
      </c>
      <c r="BX1068" s="551">
        <f>I1068/25</f>
        <v>156</v>
      </c>
      <c r="BY1068" s="650"/>
      <c r="BZ1068" s="551"/>
      <c r="CA1068" s="652"/>
      <c r="CB1068" s="567"/>
      <c r="CC1068" s="653"/>
      <c r="CD1068" s="650"/>
      <c r="CE1068" s="650"/>
      <c r="CF1068" s="551"/>
      <c r="CG1068" s="551"/>
      <c r="CI1068" s="551"/>
      <c r="CJ1068" s="551"/>
      <c r="CK1068" s="551"/>
      <c r="CL1068" s="551"/>
      <c r="CM1068" s="551"/>
      <c r="CN1068" s="551"/>
      <c r="CO1068" s="551"/>
      <c r="CP1068" s="551"/>
      <c r="CQ1068" s="551"/>
      <c r="CR1068" s="551"/>
      <c r="CS1068" s="551"/>
      <c r="CT1068" s="551"/>
      <c r="CU1068" s="554">
        <f t="shared" si="400"/>
        <v>156</v>
      </c>
      <c r="CV1068" s="551">
        <f t="shared" si="401"/>
        <v>0</v>
      </c>
      <c r="CW1068" s="551">
        <f t="shared" si="402"/>
        <v>0</v>
      </c>
      <c r="CX1068" s="650"/>
      <c r="CY1068" s="650"/>
      <c r="CZ1068" s="650"/>
      <c r="DA1068" s="548"/>
      <c r="DB1068" s="548"/>
      <c r="DC1068" s="548"/>
      <c r="DD1068" s="650"/>
      <c r="DE1068" s="650"/>
      <c r="DF1068" s="650"/>
      <c r="DG1068" s="650"/>
      <c r="DH1068" s="650"/>
    </row>
    <row r="1069" s="548" customFormat="1" ht="31" customHeight="1" spans="1:112">
      <c r="A1069" s="641">
        <v>46042</v>
      </c>
      <c r="B1069" s="642" t="s">
        <v>841</v>
      </c>
      <c r="C1069" s="246" t="s">
        <v>399</v>
      </c>
      <c r="D1069" s="551">
        <v>4500188053</v>
      </c>
      <c r="E1069" s="246" t="s">
        <v>2966</v>
      </c>
      <c r="F1069" s="551" t="s">
        <v>3019</v>
      </c>
      <c r="G1069" s="246" t="s">
        <v>6337</v>
      </c>
      <c r="H1069" s="246" t="s">
        <v>477</v>
      </c>
      <c r="I1069" s="704">
        <v>24</v>
      </c>
      <c r="J1069" s="246">
        <v>0</v>
      </c>
      <c r="K1069" s="246">
        <v>6</v>
      </c>
      <c r="L1069" s="644">
        <f t="shared" si="407"/>
        <v>4</v>
      </c>
      <c r="M1069" s="645">
        <v>46052</v>
      </c>
      <c r="N1069" s="645">
        <v>46048</v>
      </c>
      <c r="O1069" s="246"/>
      <c r="P1069" s="643" t="s">
        <v>113</v>
      </c>
      <c r="Q1069" s="246" t="s">
        <v>2968</v>
      </c>
      <c r="R1069" s="646">
        <v>46009</v>
      </c>
      <c r="S1069" s="646" t="s">
        <v>70</v>
      </c>
      <c r="T1069" s="646" t="s">
        <v>8693</v>
      </c>
      <c r="U1069" s="646"/>
      <c r="V1069" s="646"/>
      <c r="W1069" s="615"/>
      <c r="X1069" s="628" t="s">
        <v>3015</v>
      </c>
      <c r="Y1069" s="642" t="s">
        <v>445</v>
      </c>
      <c r="Z1069" s="655">
        <v>6.7112</v>
      </c>
      <c r="AA1069" s="647">
        <f t="shared" si="411"/>
        <v>161.0688</v>
      </c>
      <c r="AC1069" s="648"/>
      <c r="AD1069" s="246" t="s">
        <v>480</v>
      </c>
      <c r="AE1069" s="246" t="s">
        <v>82</v>
      </c>
      <c r="AF1069" s="246"/>
      <c r="AG1069" s="642"/>
      <c r="AH1069" s="642">
        <v>1</v>
      </c>
      <c r="AI1069" s="246">
        <v>24</v>
      </c>
      <c r="AJ1069" s="246">
        <f t="shared" si="399"/>
        <v>0</v>
      </c>
      <c r="AK1069" s="246"/>
      <c r="AL1069" s="246"/>
      <c r="AM1069" s="246"/>
      <c r="AN1069" s="246"/>
      <c r="AO1069" s="554">
        <f>I1069*2</f>
        <v>48</v>
      </c>
      <c r="AP1069" s="551"/>
      <c r="AQ1069" s="551"/>
      <c r="AR1069" s="650"/>
      <c r="AS1069" s="551"/>
      <c r="AT1069" s="554">
        <f>I1069*2</f>
        <v>48</v>
      </c>
      <c r="AU1069" s="551"/>
      <c r="AV1069" s="554">
        <f>I1069*2</f>
        <v>48</v>
      </c>
      <c r="AW1069" s="650"/>
      <c r="AX1069" s="551"/>
      <c r="AY1069" s="551"/>
      <c r="AZ1069" s="551"/>
      <c r="BA1069" s="551"/>
      <c r="BB1069" s="620">
        <f>I1069/24*2</f>
        <v>2</v>
      </c>
      <c r="BC1069" s="651"/>
      <c r="BD1069" s="551"/>
      <c r="BE1069" s="551"/>
      <c r="BF1069" s="551"/>
      <c r="BH1069" s="551"/>
      <c r="BI1069" s="551"/>
      <c r="BJ1069" s="551"/>
      <c r="BK1069" s="551"/>
      <c r="BL1069" s="551"/>
      <c r="BM1069" s="551"/>
      <c r="BN1069" s="551"/>
      <c r="BO1069" s="551"/>
      <c r="BP1069" s="551"/>
      <c r="BQ1069" s="551"/>
      <c r="BR1069" s="551"/>
      <c r="BS1069" s="551"/>
      <c r="BT1069" s="551"/>
      <c r="BU1069" s="551"/>
      <c r="BV1069" s="551"/>
      <c r="BW1069" s="551"/>
      <c r="BX1069" s="551"/>
      <c r="BY1069" s="650"/>
      <c r="BZ1069" s="551">
        <f>I1069</f>
        <v>24</v>
      </c>
      <c r="CA1069" s="652"/>
      <c r="CB1069" s="567"/>
      <c r="CC1069" s="653"/>
      <c r="CD1069" s="650"/>
      <c r="CE1069" s="650"/>
      <c r="CF1069" s="551"/>
      <c r="CG1069" s="551"/>
      <c r="CI1069" s="551"/>
      <c r="CJ1069" s="551"/>
      <c r="CK1069" s="551"/>
      <c r="CL1069" s="551"/>
      <c r="CM1069" s="551"/>
      <c r="CN1069" s="551"/>
      <c r="CO1069" s="551"/>
      <c r="CP1069" s="551"/>
      <c r="CQ1069" s="551"/>
      <c r="CR1069" s="551"/>
      <c r="CS1069" s="551"/>
      <c r="CT1069" s="551"/>
      <c r="CU1069" s="554">
        <f t="shared" si="400"/>
        <v>0</v>
      </c>
      <c r="CV1069" s="551">
        <f t="shared" si="401"/>
        <v>0</v>
      </c>
      <c r="CW1069" s="551">
        <f t="shared" si="402"/>
        <v>0</v>
      </c>
      <c r="CX1069" s="650"/>
      <c r="CY1069" s="650"/>
      <c r="CZ1069" s="650"/>
      <c r="DA1069" s="548"/>
      <c r="DB1069" s="548"/>
      <c r="DC1069" s="548"/>
      <c r="DD1069" s="650"/>
      <c r="DE1069" s="650"/>
      <c r="DF1069" s="650"/>
      <c r="DG1069" s="650"/>
      <c r="DH1069" s="650"/>
    </row>
    <row r="1070" s="548" customFormat="1" ht="31" customHeight="1" spans="1:112">
      <c r="A1070" s="641">
        <v>46008</v>
      </c>
      <c r="B1070" s="642" t="s">
        <v>1024</v>
      </c>
      <c r="C1070" s="246" t="s">
        <v>399</v>
      </c>
      <c r="D1070" s="551">
        <v>4500189267</v>
      </c>
      <c r="E1070" s="246"/>
      <c r="F1070" s="551" t="s">
        <v>8712</v>
      </c>
      <c r="G1070" s="246" t="s">
        <v>6223</v>
      </c>
      <c r="H1070" s="246" t="s">
        <v>6080</v>
      </c>
      <c r="I1070" s="704">
        <v>1020</v>
      </c>
      <c r="J1070" s="246">
        <v>0</v>
      </c>
      <c r="K1070" s="246">
        <v>30</v>
      </c>
      <c r="L1070" s="644">
        <f t="shared" si="407"/>
        <v>34</v>
      </c>
      <c r="M1070" s="645">
        <v>46054</v>
      </c>
      <c r="N1070" s="645">
        <f>M1070-4</f>
        <v>46050</v>
      </c>
      <c r="O1070" s="246"/>
      <c r="P1070" s="643" t="s">
        <v>113</v>
      </c>
      <c r="Q1070" s="246"/>
      <c r="R1070" s="646">
        <v>46008</v>
      </c>
      <c r="S1070" s="646" t="s">
        <v>8713</v>
      </c>
      <c r="T1070" s="646" t="s">
        <v>8714</v>
      </c>
      <c r="U1070" s="646"/>
      <c r="V1070" s="646"/>
      <c r="W1070" s="615"/>
      <c r="X1070" s="642" t="s">
        <v>8715</v>
      </c>
      <c r="Y1070" s="642" t="s">
        <v>445</v>
      </c>
      <c r="Z1070" s="655">
        <v>41.4795</v>
      </c>
      <c r="AA1070" s="647">
        <f>Z1070*L1070</f>
        <v>1410.303</v>
      </c>
      <c r="AC1070" s="648"/>
      <c r="AD1070" s="246" t="s">
        <v>6223</v>
      </c>
      <c r="AE1070" s="246" t="s">
        <v>82</v>
      </c>
      <c r="AF1070" s="246"/>
      <c r="AG1070" s="642"/>
      <c r="AH1070" s="642">
        <v>1</v>
      </c>
      <c r="AI1070" s="246">
        <v>1020</v>
      </c>
      <c r="AJ1070" s="246">
        <f t="shared" si="399"/>
        <v>0</v>
      </c>
      <c r="AK1070" s="246"/>
      <c r="AL1070" s="246" t="s">
        <v>2368</v>
      </c>
      <c r="AM1070" s="246"/>
      <c r="AN1070" s="246"/>
      <c r="AO1070" s="551">
        <f>I1070</f>
        <v>1020</v>
      </c>
      <c r="AP1070" s="551"/>
      <c r="AQ1070" s="551"/>
      <c r="AR1070" s="650"/>
      <c r="AS1070" s="551"/>
      <c r="AT1070" s="554">
        <f>I1070</f>
        <v>1020</v>
      </c>
      <c r="AU1070" s="551"/>
      <c r="AV1070" s="554">
        <f>I1070</f>
        <v>1020</v>
      </c>
      <c r="AW1070" s="650"/>
      <c r="AX1070" s="551"/>
      <c r="AY1070" s="551"/>
      <c r="AZ1070" s="551"/>
      <c r="BA1070" s="551"/>
      <c r="BB1070" s="620">
        <f>I1070/24</f>
        <v>42.5</v>
      </c>
      <c r="BC1070" s="651"/>
      <c r="BD1070" s="551"/>
      <c r="BE1070" s="551"/>
      <c r="BF1070" s="551"/>
      <c r="BH1070" s="551"/>
      <c r="BI1070" s="551"/>
      <c r="BJ1070" s="551"/>
      <c r="BK1070" s="551"/>
      <c r="BL1070" s="551"/>
      <c r="BM1070" s="551"/>
      <c r="BN1070" s="551"/>
      <c r="BO1070" s="551"/>
      <c r="BP1070" s="551"/>
      <c r="BQ1070" s="551"/>
      <c r="BR1070" s="551"/>
      <c r="BS1070" s="551"/>
      <c r="BT1070" s="551"/>
      <c r="BU1070" s="551"/>
      <c r="BV1070" s="551"/>
      <c r="BW1070" s="551"/>
      <c r="BX1070" s="551"/>
      <c r="BY1070" s="650"/>
      <c r="BZ1070" s="551"/>
      <c r="CA1070" s="652"/>
      <c r="CB1070" s="567"/>
      <c r="CC1070" s="653"/>
      <c r="CD1070" s="650"/>
      <c r="CE1070" s="650"/>
      <c r="CF1070" s="551"/>
      <c r="CG1070" s="551"/>
      <c r="CI1070" s="551"/>
      <c r="CJ1070" s="551"/>
      <c r="CK1070" s="551"/>
      <c r="CL1070" s="551"/>
      <c r="CM1070" s="551"/>
      <c r="CN1070" s="551"/>
      <c r="CO1070" s="551"/>
      <c r="CP1070" s="554">
        <f>I1070/30</f>
        <v>34</v>
      </c>
      <c r="CQ1070" s="551"/>
      <c r="CR1070" s="551"/>
      <c r="CS1070" s="551"/>
      <c r="CT1070" s="551"/>
      <c r="CU1070" s="554">
        <f t="shared" si="400"/>
        <v>0</v>
      </c>
      <c r="CV1070" s="551">
        <f t="shared" si="401"/>
        <v>34</v>
      </c>
      <c r="CW1070" s="551">
        <f t="shared" si="402"/>
        <v>0</v>
      </c>
      <c r="CX1070" s="650"/>
      <c r="CY1070" s="650"/>
      <c r="CZ1070" s="650"/>
      <c r="DA1070" s="548"/>
      <c r="DB1070" s="548"/>
      <c r="DC1070" s="548"/>
      <c r="DD1070" s="650"/>
      <c r="DE1070" s="650"/>
      <c r="DF1070" s="650"/>
      <c r="DG1070" s="650"/>
      <c r="DH1070" s="650"/>
    </row>
    <row r="1071" s="548" customFormat="1" ht="31" customHeight="1" spans="1:112">
      <c r="A1071" s="641">
        <v>45957</v>
      </c>
      <c r="B1071" s="642" t="s">
        <v>2991</v>
      </c>
      <c r="C1071" s="246" t="s">
        <v>98</v>
      </c>
      <c r="D1071" s="551">
        <v>4500183158</v>
      </c>
      <c r="E1071" s="246">
        <v>84006705</v>
      </c>
      <c r="F1071" s="551" t="s">
        <v>8716</v>
      </c>
      <c r="G1071" s="246" t="s">
        <v>6787</v>
      </c>
      <c r="H1071" s="610" t="s">
        <v>6126</v>
      </c>
      <c r="I1071" s="704">
        <v>1200</v>
      </c>
      <c r="J1071" s="246">
        <v>0</v>
      </c>
      <c r="K1071" s="246">
        <v>12</v>
      </c>
      <c r="L1071" s="644">
        <f t="shared" si="407"/>
        <v>100</v>
      </c>
      <c r="M1071" s="645">
        <v>46055</v>
      </c>
      <c r="N1071" s="645">
        <v>46051</v>
      </c>
      <c r="O1071" s="246"/>
      <c r="P1071" s="643" t="s">
        <v>113</v>
      </c>
      <c r="Q1071" s="246"/>
      <c r="R1071" s="646">
        <v>45982</v>
      </c>
      <c r="S1071" s="646" t="s">
        <v>70</v>
      </c>
      <c r="T1071" s="646" t="s">
        <v>70</v>
      </c>
      <c r="U1071" s="646"/>
      <c r="V1071" s="646"/>
      <c r="W1071" s="615"/>
      <c r="X1071" s="642" t="s">
        <v>2993</v>
      </c>
      <c r="Y1071" s="642" t="s">
        <v>1278</v>
      </c>
      <c r="Z1071" s="655">
        <v>1.3094</v>
      </c>
      <c r="AA1071" s="647">
        <f>Z1071*I1071</f>
        <v>1571.28</v>
      </c>
      <c r="AC1071" s="658" t="s">
        <v>2994</v>
      </c>
      <c r="AD1071" s="246" t="s">
        <v>8545</v>
      </c>
      <c r="AE1071" s="246" t="s">
        <v>82</v>
      </c>
      <c r="AF1071" s="246"/>
      <c r="AG1071" s="642"/>
      <c r="AH1071" s="642">
        <v>1</v>
      </c>
      <c r="AI1071" s="246">
        <v>1200</v>
      </c>
      <c r="AJ1071" s="246">
        <f t="shared" si="399"/>
        <v>0</v>
      </c>
      <c r="AK1071" s="246"/>
      <c r="AL1071" s="246"/>
      <c r="AM1071" s="246"/>
      <c r="AN1071" s="610">
        <f>I1071*2</f>
        <v>2400</v>
      </c>
      <c r="AO1071" s="551"/>
      <c r="AP1071" s="554">
        <f>I1071*2</f>
        <v>2400</v>
      </c>
      <c r="AQ1071" s="551"/>
      <c r="AR1071" s="650"/>
      <c r="AS1071" s="551"/>
      <c r="AT1071" s="551"/>
      <c r="AU1071" s="554">
        <f>I1071*2</f>
        <v>2400</v>
      </c>
      <c r="AV1071" s="551"/>
      <c r="AW1071" s="650"/>
      <c r="AX1071" s="551"/>
      <c r="AY1071" s="551"/>
      <c r="AZ1071" s="551"/>
      <c r="BA1071" s="551"/>
      <c r="BB1071" s="249">
        <f>I1071/24*2</f>
        <v>100</v>
      </c>
      <c r="BC1071" s="651"/>
      <c r="BD1071" s="551"/>
      <c r="BE1071" s="551"/>
      <c r="BF1071" s="551"/>
      <c r="BH1071" s="551"/>
      <c r="BI1071" s="551"/>
      <c r="BJ1071" s="551"/>
      <c r="BK1071" s="551"/>
      <c r="BL1071" s="551"/>
      <c r="BM1071" s="551"/>
      <c r="BN1071" s="551"/>
      <c r="BO1071" s="551"/>
      <c r="BP1071" s="551"/>
      <c r="BQ1071" s="551"/>
      <c r="BR1071" s="551"/>
      <c r="BS1071" s="551"/>
      <c r="BT1071" s="551"/>
      <c r="BU1071" s="551"/>
      <c r="BV1071" s="551"/>
      <c r="BW1071" s="551"/>
      <c r="BX1071" s="551"/>
      <c r="BY1071" s="650"/>
      <c r="BZ1071" s="551"/>
      <c r="CA1071" s="652"/>
      <c r="CB1071" s="567"/>
      <c r="CC1071" s="653"/>
      <c r="CD1071" s="650"/>
      <c r="CE1071" s="650"/>
      <c r="CF1071" s="551"/>
      <c r="CG1071" s="551"/>
      <c r="CI1071" s="551"/>
      <c r="CJ1071" s="551"/>
      <c r="CK1071" s="551"/>
      <c r="CL1071" s="551"/>
      <c r="CM1071" s="551"/>
      <c r="CN1071" s="551"/>
      <c r="CO1071" s="551"/>
      <c r="CP1071" s="551"/>
      <c r="CQ1071" s="551"/>
      <c r="CR1071" s="554">
        <f>I1071</f>
        <v>1200</v>
      </c>
      <c r="CS1071" s="554">
        <f>I1071</f>
        <v>1200</v>
      </c>
      <c r="CT1071" s="554">
        <f>I1071</f>
        <v>1200</v>
      </c>
      <c r="CU1071" s="554">
        <f t="shared" si="400"/>
        <v>0</v>
      </c>
      <c r="CV1071" s="551">
        <v>0</v>
      </c>
      <c r="CW1071" s="551">
        <v>0</v>
      </c>
      <c r="CX1071" s="650"/>
      <c r="CY1071" s="650"/>
      <c r="CZ1071" s="650"/>
      <c r="DA1071" s="548"/>
      <c r="DB1071" s="548"/>
      <c r="DC1071" s="548"/>
      <c r="DD1071" s="650"/>
      <c r="DE1071" s="650"/>
      <c r="DF1071" s="650"/>
      <c r="DG1071" s="650"/>
      <c r="DH1071" s="650"/>
    </row>
    <row r="1072" s="548" customFormat="1" ht="31" customHeight="1" spans="1:112">
      <c r="A1072" s="641">
        <v>45957</v>
      </c>
      <c r="B1072" s="642" t="s">
        <v>2991</v>
      </c>
      <c r="C1072" s="246" t="s">
        <v>98</v>
      </c>
      <c r="D1072" s="551">
        <v>4500183158</v>
      </c>
      <c r="E1072" s="246">
        <v>84006706</v>
      </c>
      <c r="F1072" s="551" t="s">
        <v>8717</v>
      </c>
      <c r="G1072" s="246" t="s">
        <v>6787</v>
      </c>
      <c r="H1072" s="610" t="s">
        <v>6126</v>
      </c>
      <c r="I1072" s="704">
        <v>96</v>
      </c>
      <c r="J1072" s="246">
        <v>0</v>
      </c>
      <c r="K1072" s="246">
        <v>12</v>
      </c>
      <c r="L1072" s="644">
        <f t="shared" si="407"/>
        <v>8</v>
      </c>
      <c r="M1072" s="645">
        <v>46055</v>
      </c>
      <c r="N1072" s="645">
        <v>46051</v>
      </c>
      <c r="O1072" s="246"/>
      <c r="P1072" s="643" t="s">
        <v>113</v>
      </c>
      <c r="Q1072" s="246"/>
      <c r="R1072" s="646">
        <v>45982</v>
      </c>
      <c r="S1072" s="646" t="s">
        <v>70</v>
      </c>
      <c r="T1072" s="646" t="s">
        <v>70</v>
      </c>
      <c r="U1072" s="646"/>
      <c r="V1072" s="646"/>
      <c r="W1072" s="615"/>
      <c r="X1072" s="642" t="s">
        <v>2993</v>
      </c>
      <c r="Y1072" s="642" t="s">
        <v>1278</v>
      </c>
      <c r="Z1072" s="655">
        <v>1.3094</v>
      </c>
      <c r="AA1072" s="647">
        <f>Z1072*I1072</f>
        <v>125.7024</v>
      </c>
      <c r="AC1072" s="658" t="s">
        <v>2996</v>
      </c>
      <c r="AD1072" s="246" t="s">
        <v>8545</v>
      </c>
      <c r="AE1072" s="246" t="s">
        <v>82</v>
      </c>
      <c r="AF1072" s="246"/>
      <c r="AG1072" s="642"/>
      <c r="AH1072" s="642">
        <v>1</v>
      </c>
      <c r="AI1072" s="246">
        <v>96</v>
      </c>
      <c r="AJ1072" s="246">
        <f t="shared" si="399"/>
        <v>0</v>
      </c>
      <c r="AK1072" s="246"/>
      <c r="AL1072" s="246"/>
      <c r="AM1072" s="246"/>
      <c r="AN1072" s="610">
        <f>I1072*2</f>
        <v>192</v>
      </c>
      <c r="AO1072" s="551"/>
      <c r="AP1072" s="554">
        <f>I1072*2</f>
        <v>192</v>
      </c>
      <c r="AQ1072" s="551"/>
      <c r="AR1072" s="650"/>
      <c r="AS1072" s="551"/>
      <c r="AT1072" s="551"/>
      <c r="AU1072" s="554">
        <f>I1072*2</f>
        <v>192</v>
      </c>
      <c r="AV1072" s="551"/>
      <c r="AW1072" s="650"/>
      <c r="AX1072" s="551"/>
      <c r="AY1072" s="551"/>
      <c r="AZ1072" s="551"/>
      <c r="BA1072" s="551"/>
      <c r="BB1072" s="249">
        <f>I1072/24*2</f>
        <v>8</v>
      </c>
      <c r="BC1072" s="651"/>
      <c r="BD1072" s="551"/>
      <c r="BE1072" s="551"/>
      <c r="BF1072" s="551"/>
      <c r="BH1072" s="551"/>
      <c r="BI1072" s="551"/>
      <c r="BJ1072" s="551"/>
      <c r="BK1072" s="551"/>
      <c r="BL1072" s="551"/>
      <c r="BM1072" s="551"/>
      <c r="BN1072" s="551"/>
      <c r="BO1072" s="551"/>
      <c r="BP1072" s="551"/>
      <c r="BQ1072" s="551"/>
      <c r="BR1072" s="551"/>
      <c r="BS1072" s="551"/>
      <c r="BT1072" s="551"/>
      <c r="BU1072" s="551"/>
      <c r="BV1072" s="551"/>
      <c r="BW1072" s="551"/>
      <c r="BX1072" s="551"/>
      <c r="BY1072" s="650"/>
      <c r="BZ1072" s="551"/>
      <c r="CA1072" s="652"/>
      <c r="CB1072" s="567"/>
      <c r="CC1072" s="653"/>
      <c r="CD1072" s="650"/>
      <c r="CE1072" s="650"/>
      <c r="CF1072" s="551"/>
      <c r="CG1072" s="551"/>
      <c r="CI1072" s="551"/>
      <c r="CJ1072" s="551"/>
      <c r="CK1072" s="551"/>
      <c r="CL1072" s="551"/>
      <c r="CM1072" s="551"/>
      <c r="CN1072" s="551"/>
      <c r="CO1072" s="551"/>
      <c r="CP1072" s="551"/>
      <c r="CQ1072" s="551"/>
      <c r="CR1072" s="554">
        <f>I1072</f>
        <v>96</v>
      </c>
      <c r="CS1072" s="554">
        <f>I1072</f>
        <v>96</v>
      </c>
      <c r="CT1072" s="554">
        <f>I1072</f>
        <v>96</v>
      </c>
      <c r="CU1072" s="554">
        <f t="shared" si="400"/>
        <v>0</v>
      </c>
      <c r="CV1072" s="551">
        <v>0</v>
      </c>
      <c r="CW1072" s="551">
        <v>0</v>
      </c>
      <c r="CX1072" s="650"/>
      <c r="CY1072" s="650"/>
      <c r="CZ1072" s="650"/>
      <c r="DA1072" s="548"/>
      <c r="DB1072" s="548"/>
      <c r="DC1072" s="548"/>
      <c r="DD1072" s="650"/>
      <c r="DE1072" s="650"/>
      <c r="DF1072" s="650"/>
      <c r="DG1072" s="650"/>
      <c r="DH1072" s="650"/>
    </row>
    <row r="1073" s="548" customFormat="1" ht="31" customHeight="1" spans="1:112">
      <c r="A1073" s="641">
        <v>45985</v>
      </c>
      <c r="B1073" s="642" t="s">
        <v>2734</v>
      </c>
      <c r="C1073" s="246" t="s">
        <v>98</v>
      </c>
      <c r="D1073" s="551">
        <v>4500186609</v>
      </c>
      <c r="E1073" s="246">
        <v>60261219</v>
      </c>
      <c r="F1073" s="551" t="s">
        <v>8718</v>
      </c>
      <c r="G1073" s="246" t="s">
        <v>6787</v>
      </c>
      <c r="H1073" s="610" t="s">
        <v>6126</v>
      </c>
      <c r="I1073" s="704">
        <v>2004</v>
      </c>
      <c r="J1073" s="246">
        <v>0</v>
      </c>
      <c r="K1073" s="246">
        <v>12</v>
      </c>
      <c r="L1073" s="644">
        <f t="shared" si="407"/>
        <v>167</v>
      </c>
      <c r="M1073" s="645">
        <v>46055</v>
      </c>
      <c r="N1073" s="645">
        <v>46051</v>
      </c>
      <c r="O1073" s="246"/>
      <c r="P1073" s="643" t="s">
        <v>113</v>
      </c>
      <c r="Q1073" s="246"/>
      <c r="R1073" s="646">
        <v>45985</v>
      </c>
      <c r="S1073" s="646" t="s">
        <v>70</v>
      </c>
      <c r="T1073" s="646" t="s">
        <v>2738</v>
      </c>
      <c r="U1073" s="646"/>
      <c r="V1073" s="646"/>
      <c r="W1073" s="615"/>
      <c r="X1073" s="642" t="s">
        <v>8577</v>
      </c>
      <c r="Y1073" s="642" t="s">
        <v>2678</v>
      </c>
      <c r="Z1073" s="655">
        <v>1.2871</v>
      </c>
      <c r="AA1073" s="647">
        <f>Z1073*I1073</f>
        <v>2579.3484</v>
      </c>
      <c r="AC1073" s="658" t="s">
        <v>8719</v>
      </c>
      <c r="AD1073" s="246" t="s">
        <v>8545</v>
      </c>
      <c r="AE1073" s="246" t="s">
        <v>82</v>
      </c>
      <c r="AF1073" s="246"/>
      <c r="AG1073" s="642"/>
      <c r="AH1073" s="642">
        <v>1</v>
      </c>
      <c r="AI1073" s="246">
        <v>2004</v>
      </c>
      <c r="AJ1073" s="246">
        <f t="shared" si="399"/>
        <v>0</v>
      </c>
      <c r="AK1073" s="246"/>
      <c r="AL1073" s="246" t="s">
        <v>2368</v>
      </c>
      <c r="AM1073" s="246"/>
      <c r="AN1073" s="610">
        <f>I1073*2</f>
        <v>4008</v>
      </c>
      <c r="AO1073" s="551"/>
      <c r="AP1073" s="554">
        <f>I1073*2</f>
        <v>4008</v>
      </c>
      <c r="AQ1073" s="551"/>
      <c r="AR1073" s="650"/>
      <c r="AS1073" s="551"/>
      <c r="AT1073" s="551"/>
      <c r="AU1073" s="554">
        <f>I1073*2</f>
        <v>4008</v>
      </c>
      <c r="AV1073" s="551"/>
      <c r="AW1073" s="650"/>
      <c r="AX1073" s="551"/>
      <c r="AY1073" s="551"/>
      <c r="AZ1073" s="551"/>
      <c r="BA1073" s="551"/>
      <c r="BB1073" s="249">
        <f>I1073/24*2</f>
        <v>167</v>
      </c>
      <c r="BC1073" s="651"/>
      <c r="BD1073" s="551"/>
      <c r="BE1073" s="551"/>
      <c r="BF1073" s="551"/>
      <c r="BH1073" s="551"/>
      <c r="BI1073" s="551"/>
      <c r="BJ1073" s="551"/>
      <c r="BK1073" s="551"/>
      <c r="BL1073" s="551"/>
      <c r="BM1073" s="551"/>
      <c r="BN1073" s="551"/>
      <c r="BO1073" s="551"/>
      <c r="BP1073" s="551"/>
      <c r="BQ1073" s="551"/>
      <c r="BR1073" s="551"/>
      <c r="BS1073" s="551"/>
      <c r="BT1073" s="551"/>
      <c r="BU1073" s="551"/>
      <c r="BV1073" s="551"/>
      <c r="BW1073" s="551"/>
      <c r="BX1073" s="551"/>
      <c r="BY1073" s="650"/>
      <c r="BZ1073" s="551"/>
      <c r="CA1073" s="652"/>
      <c r="CB1073" s="567"/>
      <c r="CC1073" s="653"/>
      <c r="CD1073" s="650"/>
      <c r="CE1073" s="650"/>
      <c r="CF1073" s="551"/>
      <c r="CG1073" s="551"/>
      <c r="CI1073" s="551"/>
      <c r="CJ1073" s="551"/>
      <c r="CK1073" s="551"/>
      <c r="CL1073" s="551"/>
      <c r="CM1073" s="551"/>
      <c r="CN1073" s="551"/>
      <c r="CO1073" s="551"/>
      <c r="CP1073" s="551"/>
      <c r="CQ1073" s="551"/>
      <c r="CR1073" s="554">
        <f>I1073</f>
        <v>2004</v>
      </c>
      <c r="CS1073" s="554">
        <f>I1073</f>
        <v>2004</v>
      </c>
      <c r="CT1073" s="554">
        <f>I1073</f>
        <v>2004</v>
      </c>
      <c r="CU1073" s="554">
        <f t="shared" si="400"/>
        <v>0</v>
      </c>
      <c r="CV1073" s="551">
        <v>0</v>
      </c>
      <c r="CW1073" s="551">
        <v>0</v>
      </c>
      <c r="CX1073" s="650"/>
      <c r="CY1073" s="650"/>
      <c r="CZ1073" s="650"/>
      <c r="DA1073" s="548"/>
      <c r="DB1073" s="548"/>
      <c r="DC1073" s="548"/>
      <c r="DD1073" s="650"/>
      <c r="DE1073" s="650"/>
      <c r="DF1073" s="650"/>
      <c r="DG1073" s="650"/>
      <c r="DH1073" s="650"/>
    </row>
    <row r="1074" s="548" customFormat="1" ht="31" customHeight="1" spans="1:112">
      <c r="A1074" s="641">
        <v>46016</v>
      </c>
      <c r="B1074" s="642" t="s">
        <v>6645</v>
      </c>
      <c r="C1074" s="246" t="s">
        <v>170</v>
      </c>
      <c r="D1074" s="551">
        <v>4500189973</v>
      </c>
      <c r="E1074" s="643">
        <v>1519015</v>
      </c>
      <c r="F1074" s="551" t="s">
        <v>8720</v>
      </c>
      <c r="G1074" s="246" t="s">
        <v>6166</v>
      </c>
      <c r="H1074" s="246" t="s">
        <v>6094</v>
      </c>
      <c r="I1074" s="704">
        <v>4329</v>
      </c>
      <c r="J1074" s="246">
        <v>0</v>
      </c>
      <c r="K1074" s="246">
        <v>13</v>
      </c>
      <c r="L1074" s="644">
        <f t="shared" ref="L1074:L1130" si="412">I1074/K1074</f>
        <v>333</v>
      </c>
      <c r="M1074" s="645">
        <v>46056</v>
      </c>
      <c r="N1074" s="645">
        <v>46052</v>
      </c>
      <c r="O1074" s="246"/>
      <c r="P1074" s="643" t="s">
        <v>113</v>
      </c>
      <c r="Q1074" s="246"/>
      <c r="R1074" s="646">
        <v>46016</v>
      </c>
      <c r="S1074" s="646" t="s">
        <v>70</v>
      </c>
      <c r="T1074" s="646" t="s">
        <v>70</v>
      </c>
      <c r="U1074" s="646"/>
      <c r="V1074" s="646"/>
      <c r="W1074" s="615"/>
      <c r="X1074" s="642" t="s">
        <v>8721</v>
      </c>
      <c r="Y1074" s="642" t="s">
        <v>1150</v>
      </c>
      <c r="Z1074" s="655">
        <v>0.9213</v>
      </c>
      <c r="AA1074" s="647">
        <f t="shared" ref="AA1074:AA1081" si="413">Z1074*I1074</f>
        <v>3988.3077</v>
      </c>
      <c r="AC1074" s="648"/>
      <c r="AD1074" s="246" t="s">
        <v>6166</v>
      </c>
      <c r="AE1074" s="246" t="s">
        <v>82</v>
      </c>
      <c r="AF1074" s="246"/>
      <c r="AG1074" s="642"/>
      <c r="AH1074" s="642">
        <v>1</v>
      </c>
      <c r="AI1074" s="246">
        <v>4329</v>
      </c>
      <c r="AJ1074" s="246">
        <f t="shared" ref="AJ1074:AJ1081" si="414">AI1074-I1074</f>
        <v>0</v>
      </c>
      <c r="AK1074" s="246"/>
      <c r="AL1074" s="246"/>
      <c r="AM1074" s="246"/>
      <c r="AN1074" s="246">
        <f>I1074</f>
        <v>4329</v>
      </c>
      <c r="AO1074" s="551"/>
      <c r="AP1074" s="551"/>
      <c r="AQ1074" s="551"/>
      <c r="AR1074" s="650"/>
      <c r="AS1074" s="554">
        <f>I1074</f>
        <v>4329</v>
      </c>
      <c r="AT1074" s="551"/>
      <c r="AU1074" s="554">
        <f>I1074</f>
        <v>4329</v>
      </c>
      <c r="AV1074" s="551"/>
      <c r="AW1074" s="650"/>
      <c r="AX1074" s="551"/>
      <c r="AY1074" s="551"/>
      <c r="AZ1074" s="551"/>
      <c r="BA1074" s="551"/>
      <c r="BB1074" s="249">
        <f>I1074/24</f>
        <v>180.375</v>
      </c>
      <c r="BC1074" s="651"/>
      <c r="BD1074" s="551"/>
      <c r="BE1074" s="551"/>
      <c r="BF1074" s="551"/>
      <c r="BH1074" s="551"/>
      <c r="BI1074" s="551"/>
      <c r="BJ1074" s="551"/>
      <c r="BK1074" s="551"/>
      <c r="BL1074" s="663">
        <f>I1074/13</f>
        <v>333</v>
      </c>
      <c r="BM1074" s="551"/>
      <c r="BN1074" s="551"/>
      <c r="BO1074" s="551"/>
      <c r="BP1074" s="551"/>
      <c r="BQ1074" s="551"/>
      <c r="BR1074" s="551"/>
      <c r="BS1074" s="551"/>
      <c r="BT1074" s="551"/>
      <c r="BU1074" s="551"/>
      <c r="BV1074" s="551"/>
      <c r="BW1074" s="551"/>
      <c r="BX1074" s="551"/>
      <c r="BY1074" s="650"/>
      <c r="BZ1074" s="551"/>
      <c r="CA1074" s="652"/>
      <c r="CB1074" s="567"/>
      <c r="CC1074" s="653"/>
      <c r="CD1074" s="650"/>
      <c r="CE1074" s="650"/>
      <c r="CF1074" s="551"/>
      <c r="CG1074" s="551"/>
      <c r="CI1074" s="551"/>
      <c r="CJ1074" s="551"/>
      <c r="CK1074" s="551"/>
      <c r="CL1074" s="551"/>
      <c r="CM1074" s="551"/>
      <c r="CN1074" s="551"/>
      <c r="CO1074" s="551"/>
      <c r="CP1074" s="551"/>
      <c r="CQ1074" s="551"/>
      <c r="CR1074" s="551"/>
      <c r="CS1074" s="551"/>
      <c r="CT1074" s="551"/>
      <c r="CU1074" s="554">
        <f t="shared" si="400"/>
        <v>0</v>
      </c>
      <c r="CV1074" s="551">
        <f t="shared" ref="CV1074:CV1082" si="415">CK1074+CL1074+CM1074+CN1074+CO1074+CQ1074+CP1074</f>
        <v>0</v>
      </c>
      <c r="CW1074" s="551">
        <f t="shared" ref="CW1074:CW1082" si="416">CI1074+CJ1074</f>
        <v>0</v>
      </c>
      <c r="CX1074" s="650"/>
      <c r="CY1074" s="650"/>
      <c r="CZ1074" s="650"/>
      <c r="DA1074" s="548"/>
      <c r="DB1074" s="548"/>
      <c r="DC1074" s="548"/>
      <c r="DD1074" s="650"/>
      <c r="DE1074" s="650"/>
      <c r="DF1074" s="650"/>
      <c r="DG1074" s="650"/>
      <c r="DH1074" s="650"/>
    </row>
    <row r="1075" s="548" customFormat="1" ht="31" customHeight="1" spans="1:112">
      <c r="A1075" s="641">
        <v>46016</v>
      </c>
      <c r="B1075" s="642" t="s">
        <v>6645</v>
      </c>
      <c r="C1075" s="246" t="s">
        <v>170</v>
      </c>
      <c r="D1075" s="551">
        <v>4500189971</v>
      </c>
      <c r="E1075" s="643">
        <v>1519019</v>
      </c>
      <c r="F1075" s="551" t="s">
        <v>8722</v>
      </c>
      <c r="G1075" s="246" t="s">
        <v>6166</v>
      </c>
      <c r="H1075" s="246" t="s">
        <v>6094</v>
      </c>
      <c r="I1075" s="704">
        <v>2015</v>
      </c>
      <c r="J1075" s="246">
        <v>0</v>
      </c>
      <c r="K1075" s="246">
        <v>13</v>
      </c>
      <c r="L1075" s="644">
        <f t="shared" si="412"/>
        <v>155</v>
      </c>
      <c r="M1075" s="645">
        <v>46056</v>
      </c>
      <c r="N1075" s="645">
        <v>46052</v>
      </c>
      <c r="O1075" s="246"/>
      <c r="P1075" s="643" t="s">
        <v>113</v>
      </c>
      <c r="Q1075" s="246"/>
      <c r="R1075" s="646">
        <v>46016</v>
      </c>
      <c r="S1075" s="646" t="s">
        <v>70</v>
      </c>
      <c r="T1075" s="646" t="s">
        <v>70</v>
      </c>
      <c r="U1075" s="646"/>
      <c r="V1075" s="646"/>
      <c r="W1075" s="615"/>
      <c r="X1075" s="642" t="s">
        <v>8721</v>
      </c>
      <c r="Y1075" s="642" t="s">
        <v>1150</v>
      </c>
      <c r="Z1075" s="655">
        <v>0.9213</v>
      </c>
      <c r="AA1075" s="647">
        <f t="shared" si="413"/>
        <v>1856.4195</v>
      </c>
      <c r="AC1075" s="648"/>
      <c r="AD1075" s="246" t="s">
        <v>6166</v>
      </c>
      <c r="AE1075" s="246" t="s">
        <v>82</v>
      </c>
      <c r="AF1075" s="246"/>
      <c r="AG1075" s="642"/>
      <c r="AH1075" s="642">
        <v>1</v>
      </c>
      <c r="AI1075" s="246">
        <v>2015</v>
      </c>
      <c r="AJ1075" s="246">
        <f t="shared" si="414"/>
        <v>0</v>
      </c>
      <c r="AK1075" s="246"/>
      <c r="AL1075" s="246"/>
      <c r="AM1075" s="246"/>
      <c r="AN1075" s="246">
        <f>I1075</f>
        <v>2015</v>
      </c>
      <c r="AO1075" s="551"/>
      <c r="AP1075" s="551"/>
      <c r="AQ1075" s="551"/>
      <c r="AR1075" s="650"/>
      <c r="AS1075" s="554">
        <f>I1075</f>
        <v>2015</v>
      </c>
      <c r="AT1075" s="551"/>
      <c r="AU1075" s="554">
        <f>I1075</f>
        <v>2015</v>
      </c>
      <c r="AV1075" s="551"/>
      <c r="AW1075" s="650"/>
      <c r="AX1075" s="551"/>
      <c r="AY1075" s="551"/>
      <c r="AZ1075" s="551"/>
      <c r="BA1075" s="551"/>
      <c r="BB1075" s="249">
        <f>I1075/24</f>
        <v>83.9583333333333</v>
      </c>
      <c r="BC1075" s="651"/>
      <c r="BD1075" s="551"/>
      <c r="BE1075" s="551"/>
      <c r="BF1075" s="551"/>
      <c r="BH1075" s="551"/>
      <c r="BI1075" s="551"/>
      <c r="BJ1075" s="551"/>
      <c r="BK1075" s="551"/>
      <c r="BL1075" s="663">
        <f>I1075/13</f>
        <v>155</v>
      </c>
      <c r="BM1075" s="551"/>
      <c r="BN1075" s="551"/>
      <c r="BO1075" s="551"/>
      <c r="BP1075" s="551"/>
      <c r="BQ1075" s="551"/>
      <c r="BR1075" s="551"/>
      <c r="BS1075" s="551"/>
      <c r="BT1075" s="551"/>
      <c r="BU1075" s="551"/>
      <c r="BV1075" s="551"/>
      <c r="BW1075" s="551"/>
      <c r="BX1075" s="551"/>
      <c r="BY1075" s="650"/>
      <c r="BZ1075" s="551"/>
      <c r="CA1075" s="652"/>
      <c r="CB1075" s="567"/>
      <c r="CC1075" s="653"/>
      <c r="CD1075" s="650"/>
      <c r="CE1075" s="650"/>
      <c r="CF1075" s="551"/>
      <c r="CG1075" s="551"/>
      <c r="CI1075" s="551"/>
      <c r="CJ1075" s="551"/>
      <c r="CK1075" s="551"/>
      <c r="CL1075" s="551"/>
      <c r="CM1075" s="551"/>
      <c r="CN1075" s="551"/>
      <c r="CO1075" s="551"/>
      <c r="CP1075" s="551"/>
      <c r="CQ1075" s="551"/>
      <c r="CR1075" s="551"/>
      <c r="CS1075" s="551"/>
      <c r="CT1075" s="551"/>
      <c r="CU1075" s="554">
        <f t="shared" si="400"/>
        <v>0</v>
      </c>
      <c r="CV1075" s="551">
        <f t="shared" si="415"/>
        <v>0</v>
      </c>
      <c r="CW1075" s="551">
        <f t="shared" si="416"/>
        <v>0</v>
      </c>
      <c r="CX1075" s="650"/>
      <c r="CY1075" s="650"/>
      <c r="CZ1075" s="650"/>
      <c r="DA1075" s="548"/>
      <c r="DB1075" s="548"/>
      <c r="DC1075" s="548"/>
      <c r="DD1075" s="650"/>
      <c r="DE1075" s="650"/>
      <c r="DF1075" s="650"/>
      <c r="DG1075" s="650"/>
      <c r="DH1075" s="650"/>
    </row>
    <row r="1076" s="548" customFormat="1" ht="31" customHeight="1" spans="1:112">
      <c r="A1076" s="641">
        <v>46010</v>
      </c>
      <c r="B1076" s="642" t="s">
        <v>1800</v>
      </c>
      <c r="C1076" s="246" t="s">
        <v>744</v>
      </c>
      <c r="D1076" s="551">
        <v>4500188895</v>
      </c>
      <c r="E1076" s="246">
        <v>5000002083</v>
      </c>
      <c r="F1076" s="551" t="s">
        <v>3030</v>
      </c>
      <c r="G1076" s="246" t="s">
        <v>6337</v>
      </c>
      <c r="H1076" s="662" t="s">
        <v>477</v>
      </c>
      <c r="I1076" s="704">
        <v>1200</v>
      </c>
      <c r="J1076" s="246">
        <v>0</v>
      </c>
      <c r="K1076" s="246">
        <v>6</v>
      </c>
      <c r="L1076" s="644">
        <f t="shared" si="412"/>
        <v>200</v>
      </c>
      <c r="M1076" s="645">
        <v>46056</v>
      </c>
      <c r="N1076" s="645">
        <v>46051</v>
      </c>
      <c r="O1076" s="246"/>
      <c r="P1076" s="643" t="s">
        <v>113</v>
      </c>
      <c r="Q1076" s="246"/>
      <c r="R1076" s="646" t="s">
        <v>496</v>
      </c>
      <c r="S1076" s="646" t="s">
        <v>104</v>
      </c>
      <c r="T1076" s="646" t="s">
        <v>8723</v>
      </c>
      <c r="U1076" s="646"/>
      <c r="V1076" s="646"/>
      <c r="W1076" s="615"/>
      <c r="X1076" s="642" t="s">
        <v>8724</v>
      </c>
      <c r="Y1076" s="642" t="s">
        <v>1805</v>
      </c>
      <c r="Z1076" s="655">
        <v>6.7154</v>
      </c>
      <c r="AA1076" s="647">
        <f t="shared" si="413"/>
        <v>8058.48</v>
      </c>
      <c r="AC1076" s="648"/>
      <c r="AD1076" s="246" t="s">
        <v>2241</v>
      </c>
      <c r="AE1076" s="246" t="s">
        <v>82</v>
      </c>
      <c r="AF1076" s="246"/>
      <c r="AG1076" s="642"/>
      <c r="AH1076" s="642">
        <v>1</v>
      </c>
      <c r="AI1076" s="246">
        <v>1200</v>
      </c>
      <c r="AJ1076" s="246">
        <f t="shared" si="414"/>
        <v>0</v>
      </c>
      <c r="AK1076" s="246"/>
      <c r="AL1076" s="246" t="s">
        <v>2368</v>
      </c>
      <c r="AM1076" s="246"/>
      <c r="AN1076" s="246"/>
      <c r="AO1076" s="554">
        <f>I1076*2</f>
        <v>2400</v>
      </c>
      <c r="AP1076" s="551"/>
      <c r="AQ1076" s="551"/>
      <c r="AR1076" s="650"/>
      <c r="AS1076" s="551"/>
      <c r="AT1076" s="554">
        <f>I1076*2</f>
        <v>2400</v>
      </c>
      <c r="AU1076" s="551"/>
      <c r="AV1076" s="551"/>
      <c r="AW1076" s="650"/>
      <c r="AX1076" s="663">
        <f>I1076*2</f>
        <v>2400</v>
      </c>
      <c r="AY1076" s="551"/>
      <c r="AZ1076" s="551"/>
      <c r="BA1076" s="671">
        <f>I1076/24*2</f>
        <v>100</v>
      </c>
      <c r="BB1076" s="249"/>
      <c r="BC1076" s="651"/>
      <c r="BD1076" s="551"/>
      <c r="BE1076" s="551"/>
      <c r="BF1076" s="551"/>
      <c r="BH1076" s="551"/>
      <c r="BI1076" s="551"/>
      <c r="BJ1076" s="551"/>
      <c r="BK1076" s="551"/>
      <c r="BL1076" s="551"/>
      <c r="BM1076" s="551"/>
      <c r="BN1076" s="551"/>
      <c r="BO1076" s="551"/>
      <c r="BP1076" s="551"/>
      <c r="BQ1076" s="551"/>
      <c r="BR1076" s="551"/>
      <c r="BS1076" s="551"/>
      <c r="BT1076" s="551"/>
      <c r="BU1076" s="551"/>
      <c r="BV1076" s="551"/>
      <c r="BW1076" s="551"/>
      <c r="BX1076" s="551"/>
      <c r="BY1076" s="650"/>
      <c r="BZ1076" s="551">
        <f>I1076</f>
        <v>1200</v>
      </c>
      <c r="CA1076" s="652"/>
      <c r="CB1076" s="567"/>
      <c r="CC1076" s="653"/>
      <c r="CD1076" s="650"/>
      <c r="CE1076" s="650"/>
      <c r="CF1076" s="551"/>
      <c r="CG1076" s="551"/>
      <c r="CI1076" s="551"/>
      <c r="CJ1076" s="551"/>
      <c r="CK1076" s="551"/>
      <c r="CL1076" s="551"/>
      <c r="CM1076" s="551"/>
      <c r="CN1076" s="551"/>
      <c r="CO1076" s="551"/>
      <c r="CP1076" s="551"/>
      <c r="CQ1076" s="551"/>
      <c r="CR1076" s="551"/>
      <c r="CS1076" s="551"/>
      <c r="CT1076" s="551"/>
      <c r="CU1076" s="554">
        <f t="shared" si="400"/>
        <v>0</v>
      </c>
      <c r="CV1076" s="551">
        <f t="shared" si="415"/>
        <v>0</v>
      </c>
      <c r="CW1076" s="551">
        <f t="shared" si="416"/>
        <v>0</v>
      </c>
      <c r="CX1076" s="650"/>
      <c r="CY1076" s="650"/>
      <c r="CZ1076" s="650"/>
      <c r="DA1076" s="548"/>
      <c r="DB1076" s="548"/>
      <c r="DC1076" s="548"/>
      <c r="DD1076" s="650"/>
      <c r="DE1076" s="650"/>
      <c r="DF1076" s="650"/>
      <c r="DG1076" s="650"/>
      <c r="DH1076" s="650"/>
    </row>
    <row r="1077" s="548" customFormat="1" ht="31" customHeight="1" spans="1:112">
      <c r="A1077" s="641">
        <v>46015</v>
      </c>
      <c r="B1077" s="642" t="s">
        <v>1800</v>
      </c>
      <c r="C1077" s="246" t="s">
        <v>744</v>
      </c>
      <c r="D1077" s="551">
        <v>4500188895</v>
      </c>
      <c r="E1077" s="246">
        <v>5000002083</v>
      </c>
      <c r="F1077" s="551" t="s">
        <v>3033</v>
      </c>
      <c r="G1077" s="246" t="s">
        <v>6337</v>
      </c>
      <c r="H1077" s="662" t="s">
        <v>477</v>
      </c>
      <c r="I1077" s="704">
        <v>3000</v>
      </c>
      <c r="J1077" s="246">
        <v>0</v>
      </c>
      <c r="K1077" s="246">
        <v>6</v>
      </c>
      <c r="L1077" s="644">
        <f t="shared" si="412"/>
        <v>500</v>
      </c>
      <c r="M1077" s="645">
        <v>46056</v>
      </c>
      <c r="N1077" s="645">
        <v>46051</v>
      </c>
      <c r="O1077" s="246"/>
      <c r="P1077" s="643" t="s">
        <v>113</v>
      </c>
      <c r="Q1077" s="246"/>
      <c r="R1077" s="646" t="s">
        <v>496</v>
      </c>
      <c r="S1077" s="646" t="s">
        <v>104</v>
      </c>
      <c r="T1077" s="646" t="s">
        <v>2239</v>
      </c>
      <c r="U1077" s="646"/>
      <c r="V1077" s="646"/>
      <c r="W1077" s="615"/>
      <c r="X1077" s="642" t="s">
        <v>3032</v>
      </c>
      <c r="Y1077" s="642" t="s">
        <v>1805</v>
      </c>
      <c r="Z1077" s="655">
        <v>6.4053</v>
      </c>
      <c r="AA1077" s="647">
        <f t="shared" si="413"/>
        <v>19215.9</v>
      </c>
      <c r="AC1077" s="648"/>
      <c r="AD1077" s="246" t="s">
        <v>2241</v>
      </c>
      <c r="AE1077" s="246" t="s">
        <v>82</v>
      </c>
      <c r="AF1077" s="246"/>
      <c r="AG1077" s="642"/>
      <c r="AH1077" s="642">
        <v>1</v>
      </c>
      <c r="AI1077" s="246">
        <v>3000</v>
      </c>
      <c r="AJ1077" s="246">
        <f t="shared" si="414"/>
        <v>0</v>
      </c>
      <c r="AK1077" s="246"/>
      <c r="AL1077" s="246" t="s">
        <v>454</v>
      </c>
      <c r="AM1077" s="246"/>
      <c r="AN1077" s="246"/>
      <c r="AO1077" s="554">
        <f>I1077*2</f>
        <v>6000</v>
      </c>
      <c r="AP1077" s="551"/>
      <c r="AQ1077" s="551"/>
      <c r="AR1077" s="650"/>
      <c r="AS1077" s="551"/>
      <c r="AT1077" s="554">
        <f>I1077*2</f>
        <v>6000</v>
      </c>
      <c r="AU1077" s="551"/>
      <c r="AV1077" s="551"/>
      <c r="AW1077" s="650"/>
      <c r="AX1077" s="663">
        <f>I1077*2</f>
        <v>6000</v>
      </c>
      <c r="AY1077" s="551"/>
      <c r="AZ1077" s="551"/>
      <c r="BA1077" s="671">
        <f>I1077/24*2</f>
        <v>250</v>
      </c>
      <c r="BB1077" s="249"/>
      <c r="BC1077" s="651"/>
      <c r="BD1077" s="551"/>
      <c r="BE1077" s="551"/>
      <c r="BF1077" s="551"/>
      <c r="BH1077" s="551"/>
      <c r="BI1077" s="551"/>
      <c r="BJ1077" s="551"/>
      <c r="BK1077" s="551"/>
      <c r="BL1077" s="551"/>
      <c r="BM1077" s="551"/>
      <c r="BN1077" s="551"/>
      <c r="BO1077" s="551"/>
      <c r="BP1077" s="551"/>
      <c r="BQ1077" s="551"/>
      <c r="BR1077" s="551"/>
      <c r="BS1077" s="551"/>
      <c r="BT1077" s="551"/>
      <c r="BU1077" s="551"/>
      <c r="BV1077" s="551"/>
      <c r="BW1077" s="551"/>
      <c r="BX1077" s="551"/>
      <c r="BY1077" s="650"/>
      <c r="BZ1077" s="551">
        <f>I1077</f>
        <v>3000</v>
      </c>
      <c r="CA1077" s="652"/>
      <c r="CB1077" s="567"/>
      <c r="CC1077" s="653"/>
      <c r="CD1077" s="650"/>
      <c r="CE1077" s="650"/>
      <c r="CF1077" s="551"/>
      <c r="CG1077" s="551"/>
      <c r="CI1077" s="551"/>
      <c r="CJ1077" s="551"/>
      <c r="CK1077" s="551"/>
      <c r="CL1077" s="551"/>
      <c r="CM1077" s="551"/>
      <c r="CN1077" s="551"/>
      <c r="CO1077" s="551"/>
      <c r="CP1077" s="551"/>
      <c r="CQ1077" s="551"/>
      <c r="CR1077" s="551"/>
      <c r="CS1077" s="551"/>
      <c r="CT1077" s="551"/>
      <c r="CU1077" s="554">
        <f t="shared" si="400"/>
        <v>0</v>
      </c>
      <c r="CV1077" s="551">
        <f t="shared" si="415"/>
        <v>0</v>
      </c>
      <c r="CW1077" s="551">
        <f t="shared" si="416"/>
        <v>0</v>
      </c>
      <c r="CX1077" s="650"/>
      <c r="CY1077" s="650"/>
      <c r="CZ1077" s="650"/>
      <c r="DA1077" s="548"/>
      <c r="DB1077" s="548"/>
      <c r="DC1077" s="548"/>
      <c r="DD1077" s="650"/>
      <c r="DE1077" s="650"/>
      <c r="DF1077" s="650"/>
      <c r="DG1077" s="650"/>
      <c r="DH1077" s="650"/>
    </row>
    <row r="1078" s="548" customFormat="1" ht="31" customHeight="1" spans="1:112">
      <c r="A1078" s="641">
        <v>46015</v>
      </c>
      <c r="B1078" s="642" t="s">
        <v>1800</v>
      </c>
      <c r="C1078" s="246" t="s">
        <v>744</v>
      </c>
      <c r="D1078" s="551">
        <v>4500188895</v>
      </c>
      <c r="E1078" s="246">
        <v>5000002083</v>
      </c>
      <c r="F1078" s="551" t="s">
        <v>3035</v>
      </c>
      <c r="G1078" s="246" t="s">
        <v>6337</v>
      </c>
      <c r="H1078" s="662" t="s">
        <v>477</v>
      </c>
      <c r="I1078" s="704">
        <v>7800</v>
      </c>
      <c r="J1078" s="246">
        <v>0</v>
      </c>
      <c r="K1078" s="246">
        <v>6</v>
      </c>
      <c r="L1078" s="644">
        <f t="shared" si="412"/>
        <v>1300</v>
      </c>
      <c r="M1078" s="645">
        <v>46056</v>
      </c>
      <c r="N1078" s="645">
        <v>46051</v>
      </c>
      <c r="O1078" s="246"/>
      <c r="P1078" s="643" t="s">
        <v>113</v>
      </c>
      <c r="Q1078" s="246"/>
      <c r="R1078" s="646" t="s">
        <v>496</v>
      </c>
      <c r="S1078" s="646" t="s">
        <v>104</v>
      </c>
      <c r="T1078" s="646" t="s">
        <v>2239</v>
      </c>
      <c r="U1078" s="646"/>
      <c r="V1078" s="646"/>
      <c r="W1078" s="615"/>
      <c r="X1078" s="642" t="s">
        <v>3032</v>
      </c>
      <c r="Y1078" s="642" t="s">
        <v>1805</v>
      </c>
      <c r="Z1078" s="655">
        <v>6.4053</v>
      </c>
      <c r="AA1078" s="647">
        <f t="shared" si="413"/>
        <v>49961.34</v>
      </c>
      <c r="AC1078" s="648"/>
      <c r="AD1078" s="246" t="s">
        <v>2241</v>
      </c>
      <c r="AE1078" s="246" t="s">
        <v>82</v>
      </c>
      <c r="AF1078" s="246"/>
      <c r="AG1078" s="642"/>
      <c r="AH1078" s="642">
        <v>1</v>
      </c>
      <c r="AI1078" s="246">
        <v>7800</v>
      </c>
      <c r="AJ1078" s="246">
        <f t="shared" si="414"/>
        <v>0</v>
      </c>
      <c r="AK1078" s="246"/>
      <c r="AL1078" s="246" t="s">
        <v>454</v>
      </c>
      <c r="AM1078" s="246"/>
      <c r="AN1078" s="246"/>
      <c r="AO1078" s="554">
        <f>I1078*2</f>
        <v>15600</v>
      </c>
      <c r="AP1078" s="551"/>
      <c r="AQ1078" s="551"/>
      <c r="AR1078" s="650"/>
      <c r="AS1078" s="551"/>
      <c r="AT1078" s="554">
        <f>I1078*2</f>
        <v>15600</v>
      </c>
      <c r="AU1078" s="551"/>
      <c r="AV1078" s="551"/>
      <c r="AW1078" s="650"/>
      <c r="AX1078" s="663">
        <f>I1078*2</f>
        <v>15600</v>
      </c>
      <c r="AY1078" s="551"/>
      <c r="AZ1078" s="551"/>
      <c r="BA1078" s="671">
        <f>I1078/24*2</f>
        <v>650</v>
      </c>
      <c r="BB1078" s="249"/>
      <c r="BC1078" s="651"/>
      <c r="BD1078" s="551"/>
      <c r="BE1078" s="551"/>
      <c r="BF1078" s="551"/>
      <c r="BH1078" s="551"/>
      <c r="BI1078" s="551"/>
      <c r="BJ1078" s="551"/>
      <c r="BK1078" s="551"/>
      <c r="BL1078" s="551"/>
      <c r="BM1078" s="551"/>
      <c r="BN1078" s="551"/>
      <c r="BO1078" s="551"/>
      <c r="BP1078" s="551"/>
      <c r="BQ1078" s="551"/>
      <c r="BR1078" s="551"/>
      <c r="BS1078" s="551"/>
      <c r="BT1078" s="551"/>
      <c r="BU1078" s="551"/>
      <c r="BV1078" s="551"/>
      <c r="BW1078" s="551"/>
      <c r="BX1078" s="551"/>
      <c r="BY1078" s="650"/>
      <c r="BZ1078" s="551">
        <f>I1078</f>
        <v>7800</v>
      </c>
      <c r="CA1078" s="652"/>
      <c r="CB1078" s="567"/>
      <c r="CC1078" s="653"/>
      <c r="CD1078" s="650"/>
      <c r="CE1078" s="650"/>
      <c r="CF1078" s="551"/>
      <c r="CG1078" s="551"/>
      <c r="CI1078" s="551"/>
      <c r="CJ1078" s="551"/>
      <c r="CK1078" s="551"/>
      <c r="CL1078" s="551"/>
      <c r="CM1078" s="551"/>
      <c r="CN1078" s="551"/>
      <c r="CO1078" s="551"/>
      <c r="CP1078" s="551"/>
      <c r="CQ1078" s="551"/>
      <c r="CR1078" s="551"/>
      <c r="CS1078" s="551"/>
      <c r="CT1078" s="551"/>
      <c r="CU1078" s="554">
        <f t="shared" si="400"/>
        <v>0</v>
      </c>
      <c r="CV1078" s="551">
        <f t="shared" si="415"/>
        <v>0</v>
      </c>
      <c r="CW1078" s="551">
        <f t="shared" si="416"/>
        <v>0</v>
      </c>
      <c r="CX1078" s="650"/>
      <c r="CY1078" s="650"/>
      <c r="CZ1078" s="650"/>
      <c r="DA1078" s="548"/>
      <c r="DB1078" s="548"/>
      <c r="DC1078" s="548"/>
      <c r="DD1078" s="650"/>
      <c r="DE1078" s="650"/>
      <c r="DF1078" s="650"/>
      <c r="DG1078" s="650"/>
      <c r="DH1078" s="650"/>
    </row>
    <row r="1079" s="548" customFormat="1" ht="31" customHeight="1" spans="1:112">
      <c r="A1079" s="641">
        <v>46015</v>
      </c>
      <c r="B1079" s="642" t="s">
        <v>1800</v>
      </c>
      <c r="C1079" s="246" t="s">
        <v>744</v>
      </c>
      <c r="D1079" s="551">
        <v>4500188895</v>
      </c>
      <c r="E1079" s="246">
        <v>5000002083</v>
      </c>
      <c r="F1079" s="551" t="s">
        <v>3036</v>
      </c>
      <c r="G1079" s="246" t="s">
        <v>6337</v>
      </c>
      <c r="H1079" s="662" t="s">
        <v>477</v>
      </c>
      <c r="I1079" s="704">
        <v>7200</v>
      </c>
      <c r="J1079" s="246">
        <v>0</v>
      </c>
      <c r="K1079" s="246">
        <v>6</v>
      </c>
      <c r="L1079" s="644">
        <f t="shared" si="412"/>
        <v>1200</v>
      </c>
      <c r="M1079" s="645">
        <v>46056</v>
      </c>
      <c r="N1079" s="645">
        <v>46051</v>
      </c>
      <c r="O1079" s="246"/>
      <c r="P1079" s="643" t="s">
        <v>113</v>
      </c>
      <c r="Q1079" s="246"/>
      <c r="R1079" s="646" t="s">
        <v>496</v>
      </c>
      <c r="S1079" s="646" t="s">
        <v>104</v>
      </c>
      <c r="T1079" s="646" t="s">
        <v>2239</v>
      </c>
      <c r="U1079" s="646"/>
      <c r="V1079" s="646"/>
      <c r="W1079" s="615"/>
      <c r="X1079" s="642" t="s">
        <v>3032</v>
      </c>
      <c r="Y1079" s="642" t="s">
        <v>1805</v>
      </c>
      <c r="Z1079" s="655">
        <v>6.4053</v>
      </c>
      <c r="AA1079" s="647">
        <f t="shared" si="413"/>
        <v>46118.16</v>
      </c>
      <c r="AC1079" s="648"/>
      <c r="AD1079" s="246" t="s">
        <v>2241</v>
      </c>
      <c r="AE1079" s="246" t="s">
        <v>82</v>
      </c>
      <c r="AF1079" s="246"/>
      <c r="AG1079" s="642"/>
      <c r="AH1079" s="642">
        <v>1</v>
      </c>
      <c r="AI1079" s="246">
        <f>6972+228</f>
        <v>7200</v>
      </c>
      <c r="AJ1079" s="246">
        <f t="shared" si="414"/>
        <v>0</v>
      </c>
      <c r="AK1079" s="246"/>
      <c r="AL1079" s="246" t="s">
        <v>454</v>
      </c>
      <c r="AM1079" s="246"/>
      <c r="AN1079" s="246"/>
      <c r="AO1079" s="554">
        <f>I1079*2</f>
        <v>14400</v>
      </c>
      <c r="AP1079" s="551"/>
      <c r="AQ1079" s="551"/>
      <c r="AR1079" s="650"/>
      <c r="AS1079" s="551"/>
      <c r="AT1079" s="554">
        <f>I1079*2</f>
        <v>14400</v>
      </c>
      <c r="AU1079" s="551"/>
      <c r="AV1079" s="551"/>
      <c r="AW1079" s="650"/>
      <c r="AX1079" s="663">
        <f>I1079*2</f>
        <v>14400</v>
      </c>
      <c r="AY1079" s="551"/>
      <c r="AZ1079" s="551"/>
      <c r="BA1079" s="671">
        <f>I1079/24*2</f>
        <v>600</v>
      </c>
      <c r="BB1079" s="249"/>
      <c r="BC1079" s="651"/>
      <c r="BD1079" s="551"/>
      <c r="BE1079" s="551"/>
      <c r="BF1079" s="551"/>
      <c r="BH1079" s="551"/>
      <c r="BI1079" s="551"/>
      <c r="BJ1079" s="551"/>
      <c r="BK1079" s="551"/>
      <c r="BL1079" s="551"/>
      <c r="BM1079" s="551"/>
      <c r="BN1079" s="551"/>
      <c r="BO1079" s="551"/>
      <c r="BP1079" s="551"/>
      <c r="BQ1079" s="551"/>
      <c r="BR1079" s="551"/>
      <c r="BS1079" s="551"/>
      <c r="BT1079" s="551"/>
      <c r="BU1079" s="551"/>
      <c r="BV1079" s="551"/>
      <c r="BW1079" s="551"/>
      <c r="BX1079" s="551"/>
      <c r="BY1079" s="650"/>
      <c r="BZ1079" s="551">
        <f>I1079</f>
        <v>7200</v>
      </c>
      <c r="CA1079" s="652"/>
      <c r="CB1079" s="567"/>
      <c r="CC1079" s="653"/>
      <c r="CD1079" s="650"/>
      <c r="CE1079" s="650"/>
      <c r="CF1079" s="551"/>
      <c r="CG1079" s="551"/>
      <c r="CI1079" s="551"/>
      <c r="CJ1079" s="551"/>
      <c r="CK1079" s="551"/>
      <c r="CL1079" s="551"/>
      <c r="CM1079" s="551"/>
      <c r="CN1079" s="551"/>
      <c r="CO1079" s="551"/>
      <c r="CP1079" s="551"/>
      <c r="CQ1079" s="551"/>
      <c r="CR1079" s="551"/>
      <c r="CS1079" s="551"/>
      <c r="CT1079" s="551"/>
      <c r="CU1079" s="554">
        <f t="shared" si="400"/>
        <v>0</v>
      </c>
      <c r="CV1079" s="551">
        <f t="shared" si="415"/>
        <v>0</v>
      </c>
      <c r="CW1079" s="551">
        <f t="shared" si="416"/>
        <v>0</v>
      </c>
      <c r="CX1079" s="650"/>
      <c r="CY1079" s="650"/>
      <c r="CZ1079" s="650"/>
      <c r="DA1079" s="548"/>
      <c r="DB1079" s="548"/>
      <c r="DC1079" s="548"/>
      <c r="DD1079" s="650"/>
      <c r="DE1079" s="650"/>
      <c r="DF1079" s="650"/>
      <c r="DG1079" s="650"/>
      <c r="DH1079" s="650"/>
    </row>
    <row r="1080" s="548" customFormat="1" ht="31" customHeight="1" spans="1:112">
      <c r="A1080" s="641">
        <v>46021</v>
      </c>
      <c r="B1080" s="642" t="s">
        <v>1409</v>
      </c>
      <c r="C1080" s="246" t="s">
        <v>524</v>
      </c>
      <c r="D1080" s="551">
        <v>4500190045</v>
      </c>
      <c r="E1080" s="246"/>
      <c r="F1080" s="551" t="s">
        <v>8725</v>
      </c>
      <c r="G1080" s="246" t="s">
        <v>6043</v>
      </c>
      <c r="H1080" s="246" t="s">
        <v>6110</v>
      </c>
      <c r="I1080" s="704">
        <v>5000</v>
      </c>
      <c r="J1080" s="246">
        <v>0</v>
      </c>
      <c r="K1080" s="246">
        <v>50</v>
      </c>
      <c r="L1080" s="644">
        <f t="shared" si="412"/>
        <v>100</v>
      </c>
      <c r="M1080" s="645">
        <v>46057</v>
      </c>
      <c r="N1080" s="645">
        <f>M1080-4</f>
        <v>46053</v>
      </c>
      <c r="O1080" s="246"/>
      <c r="P1080" s="643" t="s">
        <v>113</v>
      </c>
      <c r="Q1080" s="246"/>
      <c r="R1080" s="646">
        <v>46021</v>
      </c>
      <c r="S1080" s="646" t="s">
        <v>70</v>
      </c>
      <c r="T1080" s="646" t="s">
        <v>8277</v>
      </c>
      <c r="U1080" s="646"/>
      <c r="V1080" s="646"/>
      <c r="W1080" s="615"/>
      <c r="X1080" s="642" t="s">
        <v>8726</v>
      </c>
      <c r="Y1080" s="642" t="s">
        <v>340</v>
      </c>
      <c r="Z1080" s="655">
        <v>0.9358</v>
      </c>
      <c r="AA1080" s="647">
        <f t="shared" si="413"/>
        <v>4679</v>
      </c>
      <c r="AC1080" s="648"/>
      <c r="AD1080" s="246" t="s">
        <v>6043</v>
      </c>
      <c r="AE1080" s="246" t="s">
        <v>82</v>
      </c>
      <c r="AF1080" s="246"/>
      <c r="AG1080" s="642"/>
      <c r="AH1080" s="642">
        <v>1</v>
      </c>
      <c r="AI1080" s="246">
        <v>5000</v>
      </c>
      <c r="AJ1080" s="246">
        <f t="shared" si="414"/>
        <v>0</v>
      </c>
      <c r="AK1080" s="246"/>
      <c r="AL1080" s="246" t="s">
        <v>2368</v>
      </c>
      <c r="AM1080" s="246"/>
      <c r="AN1080" s="246"/>
      <c r="AO1080" s="551">
        <f>I1080</f>
        <v>5000</v>
      </c>
      <c r="AP1080" s="551"/>
      <c r="AQ1080" s="551"/>
      <c r="AR1080" s="650"/>
      <c r="AS1080" s="551"/>
      <c r="AT1080" s="554">
        <f>I1080</f>
        <v>5000</v>
      </c>
      <c r="AU1080" s="551"/>
      <c r="AV1080" s="554">
        <f>I1080</f>
        <v>5000</v>
      </c>
      <c r="AW1080" s="650"/>
      <c r="AX1080" s="551"/>
      <c r="AY1080" s="551"/>
      <c r="AZ1080" s="551"/>
      <c r="BA1080" s="551"/>
      <c r="BB1080" s="620">
        <f>I1080/24</f>
        <v>208.333333333333</v>
      </c>
      <c r="BC1080" s="651"/>
      <c r="BD1080" s="551"/>
      <c r="BE1080" s="551"/>
      <c r="BF1080" s="551"/>
      <c r="BH1080" s="551"/>
      <c r="BI1080" s="551"/>
      <c r="BJ1080" s="551"/>
      <c r="BK1080" s="551"/>
      <c r="BL1080" s="551"/>
      <c r="BM1080" s="551"/>
      <c r="BN1080" s="551"/>
      <c r="BO1080" s="551"/>
      <c r="BP1080" s="551">
        <f>I1080/25</f>
        <v>200</v>
      </c>
      <c r="BQ1080" s="551"/>
      <c r="BR1080" s="551"/>
      <c r="BS1080" s="551"/>
      <c r="BT1080" s="551"/>
      <c r="BU1080" s="551"/>
      <c r="BV1080" s="551"/>
      <c r="BW1080" s="551"/>
      <c r="BX1080" s="551"/>
      <c r="BY1080" s="650"/>
      <c r="BZ1080" s="551"/>
      <c r="CA1080" s="652"/>
      <c r="CB1080" s="567"/>
      <c r="CC1080" s="653"/>
      <c r="CD1080" s="650"/>
      <c r="CE1080" s="650"/>
      <c r="CF1080" s="551"/>
      <c r="CG1080" s="551"/>
      <c r="CI1080" s="551"/>
      <c r="CJ1080" s="551"/>
      <c r="CK1080" s="551"/>
      <c r="CL1080" s="551"/>
      <c r="CM1080" s="551"/>
      <c r="CN1080" s="551"/>
      <c r="CO1080" s="551"/>
      <c r="CP1080" s="551"/>
      <c r="CQ1080" s="551"/>
      <c r="CR1080" s="551"/>
      <c r="CS1080" s="551"/>
      <c r="CT1080" s="551"/>
      <c r="CU1080" s="554">
        <f t="shared" si="400"/>
        <v>200</v>
      </c>
      <c r="CV1080" s="551">
        <f t="shared" si="415"/>
        <v>0</v>
      </c>
      <c r="CW1080" s="551">
        <f t="shared" si="416"/>
        <v>0</v>
      </c>
      <c r="CX1080" s="650"/>
      <c r="CY1080" s="650"/>
      <c r="CZ1080" s="650"/>
      <c r="DA1080" s="548"/>
      <c r="DB1080" s="548"/>
      <c r="DC1080" s="548"/>
      <c r="DD1080" s="650"/>
      <c r="DE1080" s="650"/>
      <c r="DF1080" s="650"/>
      <c r="DG1080" s="650"/>
      <c r="DH1080" s="650"/>
    </row>
    <row r="1081" s="548" customFormat="1" ht="31" customHeight="1" spans="1:112">
      <c r="A1081" s="641">
        <v>45999</v>
      </c>
      <c r="B1081" s="642" t="s">
        <v>3039</v>
      </c>
      <c r="C1081" s="246" t="s">
        <v>399</v>
      </c>
      <c r="D1081" s="551">
        <v>4500188370</v>
      </c>
      <c r="E1081" s="246">
        <v>5510062987</v>
      </c>
      <c r="F1081" s="551" t="s">
        <v>3040</v>
      </c>
      <c r="G1081" s="246" t="s">
        <v>829</v>
      </c>
      <c r="H1081" s="246" t="s">
        <v>830</v>
      </c>
      <c r="I1081" s="704">
        <v>1800</v>
      </c>
      <c r="J1081" s="246">
        <v>0</v>
      </c>
      <c r="K1081" s="246">
        <v>75</v>
      </c>
      <c r="L1081" s="644">
        <f t="shared" si="412"/>
        <v>24</v>
      </c>
      <c r="M1081" s="645">
        <v>46058</v>
      </c>
      <c r="N1081" s="645">
        <v>46055</v>
      </c>
      <c r="O1081" s="246"/>
      <c r="P1081" s="643" t="s">
        <v>113</v>
      </c>
      <c r="Q1081" s="246" t="s">
        <v>8727</v>
      </c>
      <c r="R1081" s="646">
        <v>46000</v>
      </c>
      <c r="S1081" s="646" t="s">
        <v>70</v>
      </c>
      <c r="T1081" s="646" t="s">
        <v>70</v>
      </c>
      <c r="U1081" s="646"/>
      <c r="V1081" s="646"/>
      <c r="W1081" s="615"/>
      <c r="X1081" s="628" t="s">
        <v>8728</v>
      </c>
      <c r="Y1081" s="642" t="s">
        <v>1549</v>
      </c>
      <c r="Z1081" s="655">
        <v>615.3431</v>
      </c>
      <c r="AA1081" s="647">
        <f>Z1081*L1081</f>
        <v>14768.2344</v>
      </c>
      <c r="AC1081" s="648"/>
      <c r="AD1081" s="246" t="s">
        <v>829</v>
      </c>
      <c r="AE1081" s="246" t="s">
        <v>82</v>
      </c>
      <c r="AF1081" s="246"/>
      <c r="AG1081" s="642"/>
      <c r="AH1081" s="642" t="s">
        <v>3042</v>
      </c>
      <c r="AI1081" s="246">
        <v>1800</v>
      </c>
      <c r="AJ1081" s="246">
        <f>I1081</f>
        <v>1800</v>
      </c>
      <c r="AK1081" s="246"/>
      <c r="AL1081" s="246"/>
      <c r="AM1081" s="246"/>
      <c r="AN1081" s="246"/>
      <c r="AO1081" s="554">
        <f>I1081*3</f>
        <v>5400</v>
      </c>
      <c r="AP1081" s="551"/>
      <c r="AQ1081" s="551"/>
      <c r="AR1081" s="650"/>
      <c r="AS1081" s="551"/>
      <c r="AT1081" s="551"/>
      <c r="AU1081" s="551"/>
      <c r="AV1081" s="551"/>
      <c r="AW1081" s="650"/>
      <c r="AX1081" s="551"/>
      <c r="AY1081" s="551"/>
      <c r="AZ1081" s="551"/>
      <c r="BA1081" s="551"/>
      <c r="BB1081" s="249"/>
      <c r="BC1081" s="651"/>
      <c r="BD1081" s="551"/>
      <c r="BE1081" s="551"/>
      <c r="BF1081" s="551">
        <f>I1081*3</f>
        <v>5400</v>
      </c>
      <c r="BH1081" s="551">
        <f>BF1081</f>
        <v>5400</v>
      </c>
      <c r="BI1081" s="551">
        <f>I1081</f>
        <v>1800</v>
      </c>
      <c r="BJ1081" s="551">
        <f>I1081/5</f>
        <v>360</v>
      </c>
      <c r="BK1081" s="551"/>
      <c r="BL1081" s="551"/>
      <c r="BM1081" s="551"/>
      <c r="BN1081" s="551"/>
      <c r="BO1081" s="551"/>
      <c r="BP1081" s="551"/>
      <c r="BQ1081" s="551"/>
      <c r="BR1081" s="551"/>
      <c r="BS1081" s="551"/>
      <c r="BT1081" s="551"/>
      <c r="BU1081" s="551"/>
      <c r="BV1081" s="551"/>
      <c r="BW1081" s="551"/>
      <c r="BX1081" s="551"/>
      <c r="BY1081" s="650"/>
      <c r="BZ1081" s="551"/>
      <c r="CA1081" s="652"/>
      <c r="CB1081" s="567"/>
      <c r="CC1081" s="653"/>
      <c r="CD1081" s="650"/>
      <c r="CE1081" s="650"/>
      <c r="CF1081" s="551"/>
      <c r="CG1081" s="551"/>
      <c r="CI1081" s="551"/>
      <c r="CJ1081" s="551"/>
      <c r="CK1081" s="551"/>
      <c r="CL1081" s="551"/>
      <c r="CM1081" s="551"/>
      <c r="CN1081" s="551"/>
      <c r="CO1081" s="551"/>
      <c r="CP1081" s="551"/>
      <c r="CQ1081" s="551"/>
      <c r="CR1081" s="551"/>
      <c r="CS1081" s="551"/>
      <c r="CT1081" s="551"/>
      <c r="CU1081" s="554">
        <f t="shared" si="400"/>
        <v>0</v>
      </c>
      <c r="CV1081" s="551">
        <f t="shared" si="415"/>
        <v>0</v>
      </c>
      <c r="CW1081" s="551">
        <f t="shared" si="416"/>
        <v>0</v>
      </c>
      <c r="CX1081" s="650"/>
      <c r="CY1081" s="650"/>
      <c r="CZ1081" s="650"/>
      <c r="DA1081" s="548"/>
      <c r="DB1081" s="548"/>
      <c r="DC1081" s="548"/>
      <c r="DD1081" s="650"/>
      <c r="DE1081" s="650"/>
      <c r="DF1081" s="650"/>
      <c r="DG1081" s="650"/>
      <c r="DH1081" s="650"/>
    </row>
    <row r="1082" s="548" customFormat="1" ht="31" customHeight="1" spans="1:112">
      <c r="A1082" s="641">
        <v>46015</v>
      </c>
      <c r="B1082" s="642" t="s">
        <v>3340</v>
      </c>
      <c r="C1082" s="246" t="s">
        <v>98</v>
      </c>
      <c r="D1082" s="551">
        <v>4500189851</v>
      </c>
      <c r="E1082" s="246">
        <v>951857</v>
      </c>
      <c r="F1082" s="551" t="s">
        <v>8729</v>
      </c>
      <c r="G1082" s="246" t="s">
        <v>6787</v>
      </c>
      <c r="H1082" s="610" t="s">
        <v>6126</v>
      </c>
      <c r="I1082" s="704">
        <v>1200</v>
      </c>
      <c r="J1082" s="246">
        <v>0</v>
      </c>
      <c r="K1082" s="246">
        <v>12</v>
      </c>
      <c r="L1082" s="644">
        <f t="shared" si="412"/>
        <v>100</v>
      </c>
      <c r="M1082" s="645">
        <v>46058</v>
      </c>
      <c r="N1082" s="645">
        <v>46055</v>
      </c>
      <c r="O1082" s="246"/>
      <c r="P1082" s="643" t="s">
        <v>113</v>
      </c>
      <c r="Q1082" s="246"/>
      <c r="R1082" s="646">
        <v>46015</v>
      </c>
      <c r="S1082" s="646" t="s">
        <v>70</v>
      </c>
      <c r="T1082" s="646" t="s">
        <v>8730</v>
      </c>
      <c r="U1082" s="646"/>
      <c r="V1082" s="646"/>
      <c r="W1082" s="615"/>
      <c r="X1082" s="642" t="s">
        <v>8731</v>
      </c>
      <c r="Y1082" s="642" t="s">
        <v>2554</v>
      </c>
      <c r="Z1082" s="655">
        <v>1.3094</v>
      </c>
      <c r="AA1082" s="647">
        <f>Z1082*I1082</f>
        <v>1571.28</v>
      </c>
      <c r="AC1082" s="658" t="s">
        <v>8732</v>
      </c>
      <c r="AD1082" s="246" t="s">
        <v>8545</v>
      </c>
      <c r="AE1082" s="246" t="s">
        <v>82</v>
      </c>
      <c r="AF1082" s="246"/>
      <c r="AG1082" s="642"/>
      <c r="AH1082" s="642">
        <v>1</v>
      </c>
      <c r="AI1082" s="246">
        <v>1200</v>
      </c>
      <c r="AJ1082" s="246">
        <f>AI1082-I1082</f>
        <v>0</v>
      </c>
      <c r="AK1082" s="246"/>
      <c r="AL1082" s="246" t="s">
        <v>2368</v>
      </c>
      <c r="AM1082" s="246"/>
      <c r="AN1082" s="610">
        <f>I1082*2</f>
        <v>2400</v>
      </c>
      <c r="AO1082" s="551"/>
      <c r="AP1082" s="554">
        <f>I1082*2</f>
        <v>2400</v>
      </c>
      <c r="AQ1082" s="551"/>
      <c r="AR1082" s="650"/>
      <c r="AS1082" s="551"/>
      <c r="AT1082" s="551"/>
      <c r="AU1082" s="554">
        <f>I1082*2</f>
        <v>2400</v>
      </c>
      <c r="AV1082" s="551"/>
      <c r="AW1082" s="650"/>
      <c r="AX1082" s="551"/>
      <c r="AY1082" s="551"/>
      <c r="AZ1082" s="551"/>
      <c r="BA1082" s="551"/>
      <c r="BB1082" s="249">
        <f>I1082/24*2</f>
        <v>100</v>
      </c>
      <c r="BC1082" s="651"/>
      <c r="BD1082" s="551"/>
      <c r="BE1082" s="551"/>
      <c r="BF1082" s="551"/>
      <c r="BH1082" s="551"/>
      <c r="BI1082" s="551"/>
      <c r="BJ1082" s="551"/>
      <c r="BK1082" s="551"/>
      <c r="BL1082" s="551"/>
      <c r="BM1082" s="551"/>
      <c r="BN1082" s="551"/>
      <c r="BO1082" s="551"/>
      <c r="BP1082" s="551"/>
      <c r="BQ1082" s="551"/>
      <c r="BR1082" s="551"/>
      <c r="BS1082" s="551"/>
      <c r="BT1082" s="551"/>
      <c r="BU1082" s="551"/>
      <c r="BV1082" s="551"/>
      <c r="BW1082" s="551"/>
      <c r="BX1082" s="551"/>
      <c r="BY1082" s="650"/>
      <c r="BZ1082" s="551"/>
      <c r="CA1082" s="652"/>
      <c r="CB1082" s="567"/>
      <c r="CC1082" s="653"/>
      <c r="CD1082" s="650"/>
      <c r="CE1082" s="650"/>
      <c r="CF1082" s="551"/>
      <c r="CG1082" s="551"/>
      <c r="CI1082" s="551"/>
      <c r="CJ1082" s="551"/>
      <c r="CK1082" s="551"/>
      <c r="CL1082" s="551"/>
      <c r="CM1082" s="551"/>
      <c r="CN1082" s="551"/>
      <c r="CO1082" s="551"/>
      <c r="CP1082" s="551"/>
      <c r="CQ1082" s="551"/>
      <c r="CR1082" s="554">
        <f>I1082</f>
        <v>1200</v>
      </c>
      <c r="CS1082" s="554">
        <f>I1082</f>
        <v>1200</v>
      </c>
      <c r="CT1082" s="554">
        <f>I1082</f>
        <v>1200</v>
      </c>
      <c r="CU1082" s="554">
        <f t="shared" si="400"/>
        <v>0</v>
      </c>
      <c r="CV1082" s="551">
        <v>0</v>
      </c>
      <c r="CW1082" s="551">
        <v>0</v>
      </c>
      <c r="CX1082" s="650"/>
      <c r="CY1082" s="650"/>
      <c r="CZ1082" s="650"/>
      <c r="DA1082" s="548"/>
      <c r="DB1082" s="548"/>
      <c r="DC1082" s="548"/>
      <c r="DD1082" s="650"/>
      <c r="DE1082" s="650"/>
      <c r="DF1082" s="650"/>
      <c r="DG1082" s="650"/>
      <c r="DH1082" s="650"/>
    </row>
    <row r="1083" s="548" customFormat="1" ht="31" customHeight="1" spans="1:112">
      <c r="A1083" s="641">
        <v>46015</v>
      </c>
      <c r="B1083" s="642" t="s">
        <v>3340</v>
      </c>
      <c r="C1083" s="246" t="s">
        <v>98</v>
      </c>
      <c r="D1083" s="551">
        <v>4500189850</v>
      </c>
      <c r="E1083" s="246">
        <v>951854</v>
      </c>
      <c r="F1083" s="551" t="s">
        <v>8733</v>
      </c>
      <c r="G1083" s="246" t="s">
        <v>6787</v>
      </c>
      <c r="H1083" s="610" t="s">
        <v>6126</v>
      </c>
      <c r="I1083" s="704">
        <v>996</v>
      </c>
      <c r="J1083" s="246">
        <v>0</v>
      </c>
      <c r="K1083" s="246">
        <v>12</v>
      </c>
      <c r="L1083" s="644">
        <f t="shared" si="412"/>
        <v>83</v>
      </c>
      <c r="M1083" s="645">
        <v>46058</v>
      </c>
      <c r="N1083" s="645">
        <v>46055</v>
      </c>
      <c r="O1083" s="246"/>
      <c r="P1083" s="643" t="s">
        <v>113</v>
      </c>
      <c r="Q1083" s="246"/>
      <c r="R1083" s="646">
        <v>46015</v>
      </c>
      <c r="S1083" s="646" t="s">
        <v>70</v>
      </c>
      <c r="T1083" s="646" t="s">
        <v>8730</v>
      </c>
      <c r="U1083" s="646"/>
      <c r="V1083" s="646"/>
      <c r="W1083" s="615"/>
      <c r="X1083" s="642" t="s">
        <v>8734</v>
      </c>
      <c r="Y1083" s="642" t="s">
        <v>2554</v>
      </c>
      <c r="Z1083" s="655">
        <v>1.3094</v>
      </c>
      <c r="AA1083" s="647">
        <f>Z1083*I1083</f>
        <v>1304.1624</v>
      </c>
      <c r="AC1083" s="658" t="s">
        <v>8735</v>
      </c>
      <c r="AD1083" s="246" t="s">
        <v>8545</v>
      </c>
      <c r="AE1083" s="246" t="s">
        <v>82</v>
      </c>
      <c r="AF1083" s="246"/>
      <c r="AG1083" s="642"/>
      <c r="AH1083" s="642">
        <v>1</v>
      </c>
      <c r="AI1083" s="246">
        <v>996</v>
      </c>
      <c r="AJ1083" s="246">
        <f>AI1083-I1083</f>
        <v>0</v>
      </c>
      <c r="AK1083" s="246"/>
      <c r="AL1083" s="246" t="s">
        <v>2368</v>
      </c>
      <c r="AM1083" s="246"/>
      <c r="AN1083" s="610">
        <f>I1083*2</f>
        <v>1992</v>
      </c>
      <c r="AO1083" s="551"/>
      <c r="AP1083" s="554">
        <f>I1083*2</f>
        <v>1992</v>
      </c>
      <c r="AQ1083" s="551"/>
      <c r="AR1083" s="650"/>
      <c r="AS1083" s="551"/>
      <c r="AT1083" s="551"/>
      <c r="AU1083" s="554">
        <f>I1083*2</f>
        <v>1992</v>
      </c>
      <c r="AV1083" s="551"/>
      <c r="AW1083" s="650"/>
      <c r="AX1083" s="551"/>
      <c r="AY1083" s="551"/>
      <c r="AZ1083" s="551"/>
      <c r="BA1083" s="551"/>
      <c r="BB1083" s="249">
        <f>I1083/24*2</f>
        <v>83</v>
      </c>
      <c r="BC1083" s="651"/>
      <c r="BD1083" s="551"/>
      <c r="BE1083" s="551"/>
      <c r="BF1083" s="551"/>
      <c r="BH1083" s="551"/>
      <c r="BI1083" s="551"/>
      <c r="BJ1083" s="551"/>
      <c r="BK1083" s="551"/>
      <c r="BL1083" s="551"/>
      <c r="BM1083" s="551"/>
      <c r="BN1083" s="551"/>
      <c r="BO1083" s="551"/>
      <c r="BP1083" s="551"/>
      <c r="BQ1083" s="551"/>
      <c r="BR1083" s="551"/>
      <c r="BS1083" s="551"/>
      <c r="BT1083" s="551"/>
      <c r="BU1083" s="551"/>
      <c r="BV1083" s="551"/>
      <c r="BW1083" s="551"/>
      <c r="BX1083" s="551"/>
      <c r="BY1083" s="650"/>
      <c r="BZ1083" s="551"/>
      <c r="CA1083" s="652"/>
      <c r="CB1083" s="567"/>
      <c r="CC1083" s="653"/>
      <c r="CD1083" s="650"/>
      <c r="CE1083" s="650"/>
      <c r="CF1083" s="551"/>
      <c r="CG1083" s="551"/>
      <c r="CI1083" s="551"/>
      <c r="CJ1083" s="551"/>
      <c r="CK1083" s="551"/>
      <c r="CL1083" s="551"/>
      <c r="CM1083" s="551"/>
      <c r="CN1083" s="551"/>
      <c r="CO1083" s="551"/>
      <c r="CP1083" s="551"/>
      <c r="CQ1083" s="551"/>
      <c r="CR1083" s="554">
        <f>I1083</f>
        <v>996</v>
      </c>
      <c r="CS1083" s="554">
        <f>I1083</f>
        <v>996</v>
      </c>
      <c r="CT1083" s="554">
        <f>I1083</f>
        <v>996</v>
      </c>
      <c r="CU1083" s="554">
        <f t="shared" si="400"/>
        <v>0</v>
      </c>
      <c r="CV1083" s="551">
        <v>0</v>
      </c>
      <c r="CW1083" s="551">
        <v>0</v>
      </c>
      <c r="CX1083" s="650"/>
      <c r="CY1083" s="650"/>
      <c r="CZ1083" s="650"/>
      <c r="DA1083" s="548"/>
      <c r="DB1083" s="548"/>
      <c r="DC1083" s="548"/>
      <c r="DD1083" s="650"/>
      <c r="DE1083" s="650"/>
      <c r="DF1083" s="650"/>
      <c r="DG1083" s="650"/>
      <c r="DH1083" s="650"/>
    </row>
    <row r="1084" s="548" customFormat="1" ht="31" customHeight="1" spans="1:112">
      <c r="A1084" s="641">
        <v>46027</v>
      </c>
      <c r="B1084" s="642" t="s">
        <v>1534</v>
      </c>
      <c r="C1084" s="246" t="s">
        <v>524</v>
      </c>
      <c r="D1084" s="551">
        <v>4500190462</v>
      </c>
      <c r="E1084" s="246"/>
      <c r="F1084" s="551" t="s">
        <v>8736</v>
      </c>
      <c r="G1084" s="246" t="s">
        <v>6043</v>
      </c>
      <c r="H1084" s="246" t="s">
        <v>6110</v>
      </c>
      <c r="I1084" s="704">
        <v>8000</v>
      </c>
      <c r="J1084" s="246">
        <v>0</v>
      </c>
      <c r="K1084" s="246">
        <v>50</v>
      </c>
      <c r="L1084" s="644">
        <f t="shared" si="412"/>
        <v>160</v>
      </c>
      <c r="M1084" s="645">
        <v>46058</v>
      </c>
      <c r="N1084" s="645">
        <v>46055</v>
      </c>
      <c r="O1084" s="246"/>
      <c r="P1084" s="643" t="s">
        <v>113</v>
      </c>
      <c r="Q1084" s="246"/>
      <c r="R1084" s="646" t="s">
        <v>454</v>
      </c>
      <c r="S1084" s="646" t="s">
        <v>70</v>
      </c>
      <c r="T1084" s="646" t="s">
        <v>8737</v>
      </c>
      <c r="U1084" s="646"/>
      <c r="V1084" s="646"/>
      <c r="W1084" s="615"/>
      <c r="X1084" s="642" t="s">
        <v>8738</v>
      </c>
      <c r="Y1084" s="642" t="s">
        <v>943</v>
      </c>
      <c r="Z1084" s="655">
        <v>0.9358</v>
      </c>
      <c r="AA1084" s="647">
        <f>Z1084*I1084</f>
        <v>7486.4</v>
      </c>
      <c r="AC1084" s="648"/>
      <c r="AD1084" s="246" t="s">
        <v>6043</v>
      </c>
      <c r="AE1084" s="246" t="s">
        <v>82</v>
      </c>
      <c r="AF1084" s="246"/>
      <c r="AG1084" s="642"/>
      <c r="AH1084" s="642">
        <v>1</v>
      </c>
      <c r="AI1084" s="246">
        <v>8000</v>
      </c>
      <c r="AJ1084" s="246">
        <f>AI1084-I1084</f>
        <v>0</v>
      </c>
      <c r="AK1084" s="246"/>
      <c r="AL1084" s="246" t="s">
        <v>2368</v>
      </c>
      <c r="AM1084" s="246"/>
      <c r="AN1084" s="246"/>
      <c r="AO1084" s="551">
        <f>I1084</f>
        <v>8000</v>
      </c>
      <c r="AP1084" s="551"/>
      <c r="AQ1084" s="551"/>
      <c r="AR1084" s="650"/>
      <c r="AS1084" s="551"/>
      <c r="AT1084" s="554">
        <f>I1084</f>
        <v>8000</v>
      </c>
      <c r="AU1084" s="551"/>
      <c r="AV1084" s="554">
        <f>I1084</f>
        <v>8000</v>
      </c>
      <c r="AW1084" s="650"/>
      <c r="AX1084" s="551"/>
      <c r="AY1084" s="551"/>
      <c r="AZ1084" s="551"/>
      <c r="BA1084" s="551"/>
      <c r="BB1084" s="620">
        <f>I1084/24</f>
        <v>333.333333333333</v>
      </c>
      <c r="BC1084" s="651"/>
      <c r="BD1084" s="551"/>
      <c r="BE1084" s="551"/>
      <c r="BF1084" s="551"/>
      <c r="BH1084" s="551"/>
      <c r="BI1084" s="551"/>
      <c r="BJ1084" s="551"/>
      <c r="BK1084" s="551"/>
      <c r="BL1084" s="551"/>
      <c r="BM1084" s="551"/>
      <c r="BN1084" s="551"/>
      <c r="BO1084" s="551"/>
      <c r="BP1084" s="551">
        <f>I1084/25</f>
        <v>320</v>
      </c>
      <c r="BQ1084" s="551"/>
      <c r="BR1084" s="551"/>
      <c r="BS1084" s="551"/>
      <c r="BT1084" s="551"/>
      <c r="BU1084" s="551"/>
      <c r="BV1084" s="551"/>
      <c r="BW1084" s="551"/>
      <c r="BX1084" s="551"/>
      <c r="BY1084" s="650"/>
      <c r="BZ1084" s="551"/>
      <c r="CA1084" s="652"/>
      <c r="CB1084" s="567"/>
      <c r="CC1084" s="653"/>
      <c r="CD1084" s="650"/>
      <c r="CE1084" s="650"/>
      <c r="CF1084" s="551"/>
      <c r="CG1084" s="551"/>
      <c r="CI1084" s="551"/>
      <c r="CJ1084" s="551"/>
      <c r="CK1084" s="551"/>
      <c r="CL1084" s="551"/>
      <c r="CM1084" s="551"/>
      <c r="CN1084" s="551"/>
      <c r="CO1084" s="551"/>
      <c r="CP1084" s="551"/>
      <c r="CQ1084" s="551"/>
      <c r="CR1084" s="551"/>
      <c r="CS1084" s="551"/>
      <c r="CT1084" s="551"/>
      <c r="CU1084" s="554">
        <f t="shared" si="400"/>
        <v>320</v>
      </c>
      <c r="CV1084" s="551">
        <f t="shared" ref="CV1084:CV1089" si="417">CK1084+CL1084+CM1084+CN1084+CO1084+CQ1084+CP1084</f>
        <v>0</v>
      </c>
      <c r="CW1084" s="551">
        <f t="shared" ref="CW1084:CW1089" si="418">CI1084+CJ1084</f>
        <v>0</v>
      </c>
      <c r="CX1084" s="650"/>
      <c r="CY1084" s="650"/>
      <c r="CZ1084" s="650"/>
      <c r="DA1084" s="548"/>
      <c r="DB1084" s="548"/>
      <c r="DC1084" s="548"/>
      <c r="DD1084" s="650"/>
      <c r="DE1084" s="650"/>
      <c r="DF1084" s="650"/>
      <c r="DG1084" s="650"/>
      <c r="DH1084" s="650"/>
    </row>
    <row r="1085" s="548" customFormat="1" ht="31" customHeight="1" spans="1:112">
      <c r="A1085" s="641">
        <v>45995</v>
      </c>
      <c r="B1085" s="642" t="s">
        <v>2811</v>
      </c>
      <c r="C1085" s="246" t="s">
        <v>98</v>
      </c>
      <c r="D1085" s="551">
        <v>4500187941</v>
      </c>
      <c r="E1085" s="246">
        <v>70079708</v>
      </c>
      <c r="F1085" s="551" t="s">
        <v>3059</v>
      </c>
      <c r="G1085" s="246" t="s">
        <v>8520</v>
      </c>
      <c r="H1085" s="246" t="s">
        <v>8521</v>
      </c>
      <c r="I1085" s="704">
        <v>1200</v>
      </c>
      <c r="J1085" s="246">
        <v>0</v>
      </c>
      <c r="K1085" s="246">
        <v>8</v>
      </c>
      <c r="L1085" s="644">
        <f t="shared" si="412"/>
        <v>150</v>
      </c>
      <c r="M1085" s="645">
        <v>46063</v>
      </c>
      <c r="N1085" s="645">
        <v>46059</v>
      </c>
      <c r="O1085" s="246"/>
      <c r="P1085" s="643" t="s">
        <v>113</v>
      </c>
      <c r="Q1085" s="246"/>
      <c r="R1085" s="646">
        <v>45995</v>
      </c>
      <c r="S1085" s="646" t="s">
        <v>70</v>
      </c>
      <c r="T1085" s="646" t="s">
        <v>8522</v>
      </c>
      <c r="U1085" s="646"/>
      <c r="V1085" s="646"/>
      <c r="W1085" s="615"/>
      <c r="X1085" s="642" t="s">
        <v>8739</v>
      </c>
      <c r="Y1085" s="642" t="s">
        <v>3061</v>
      </c>
      <c r="Z1085" s="655">
        <v>4.0996</v>
      </c>
      <c r="AA1085" s="647">
        <f t="shared" ref="AA1085:AA1093" si="419">Z1085*I1085</f>
        <v>4919.52</v>
      </c>
      <c r="AC1085" s="658" t="s">
        <v>3062</v>
      </c>
      <c r="AD1085" s="246" t="s">
        <v>2741</v>
      </c>
      <c r="AE1085" s="246" t="s">
        <v>82</v>
      </c>
      <c r="AF1085" s="246"/>
      <c r="AG1085" s="642"/>
      <c r="AH1085" s="642">
        <v>1</v>
      </c>
      <c r="AI1085" s="246">
        <v>1200</v>
      </c>
      <c r="AJ1085" s="246">
        <f t="shared" ref="AJ1085:AJ1124" si="420">AI1085-I1085</f>
        <v>0</v>
      </c>
      <c r="AK1085" s="246"/>
      <c r="AL1085" s="246"/>
      <c r="AM1085" s="246"/>
      <c r="AN1085" s="610">
        <f>I1085*2</f>
        <v>2400</v>
      </c>
      <c r="AO1085" s="551"/>
      <c r="AP1085" s="554">
        <f>I1085*2</f>
        <v>2400</v>
      </c>
      <c r="AQ1085" s="551"/>
      <c r="AR1085" s="650"/>
      <c r="AS1085" s="551"/>
      <c r="AT1085" s="551"/>
      <c r="AU1085" s="554">
        <f>I1085*2</f>
        <v>2400</v>
      </c>
      <c r="AV1085" s="551"/>
      <c r="AW1085" s="650"/>
      <c r="AX1085" s="551"/>
      <c r="AY1085" s="551"/>
      <c r="AZ1085" s="551"/>
      <c r="BA1085" s="551"/>
      <c r="BB1085" s="620">
        <f>I1085/24*2</f>
        <v>100</v>
      </c>
      <c r="BC1085" s="651"/>
      <c r="BD1085" s="551"/>
      <c r="BE1085" s="551"/>
      <c r="BF1085" s="551"/>
      <c r="BH1085" s="551"/>
      <c r="BI1085" s="551"/>
      <c r="BJ1085" s="551"/>
      <c r="BK1085" s="551"/>
      <c r="BL1085" s="551"/>
      <c r="BM1085" s="551"/>
      <c r="BN1085" s="551"/>
      <c r="BO1085" s="551"/>
      <c r="BP1085" s="551"/>
      <c r="BQ1085" s="551"/>
      <c r="BR1085" s="551"/>
      <c r="BS1085" s="551"/>
      <c r="BT1085" s="551"/>
      <c r="BU1085" s="551"/>
      <c r="BV1085" s="551"/>
      <c r="BW1085" s="551"/>
      <c r="BX1085" s="551"/>
      <c r="BY1085" s="650"/>
      <c r="BZ1085" s="551"/>
      <c r="CA1085" s="652">
        <f>I1085</f>
        <v>1200</v>
      </c>
      <c r="CB1085" s="567"/>
      <c r="CC1085" s="653"/>
      <c r="CD1085" s="650"/>
      <c r="CE1085" s="650"/>
      <c r="CF1085" s="551"/>
      <c r="CG1085" s="551"/>
      <c r="CI1085" s="551"/>
      <c r="CJ1085" s="551"/>
      <c r="CK1085" s="551"/>
      <c r="CL1085" s="551"/>
      <c r="CM1085" s="551"/>
      <c r="CN1085" s="551"/>
      <c r="CO1085" s="551"/>
      <c r="CP1085" s="551"/>
      <c r="CQ1085" s="551"/>
      <c r="CR1085" s="551"/>
      <c r="CS1085" s="551"/>
      <c r="CT1085" s="551"/>
      <c r="CU1085" s="554">
        <f t="shared" si="400"/>
        <v>0</v>
      </c>
      <c r="CV1085" s="551">
        <f t="shared" si="417"/>
        <v>0</v>
      </c>
      <c r="CW1085" s="551">
        <f t="shared" si="418"/>
        <v>0</v>
      </c>
      <c r="CX1085" s="650"/>
      <c r="CY1085" s="650"/>
      <c r="CZ1085" s="650"/>
      <c r="DA1085" s="548"/>
      <c r="DB1085" s="548"/>
      <c r="DC1085" s="548"/>
      <c r="DD1085" s="650"/>
      <c r="DE1085" s="650"/>
      <c r="DF1085" s="650"/>
      <c r="DG1085" s="650"/>
      <c r="DH1085" s="650"/>
    </row>
    <row r="1086" s="548" customFormat="1" ht="31" customHeight="1" spans="1:112">
      <c r="A1086" s="641">
        <v>46015</v>
      </c>
      <c r="B1086" s="642" t="s">
        <v>3755</v>
      </c>
      <c r="C1086" s="246" t="s">
        <v>241</v>
      </c>
      <c r="D1086" s="551">
        <v>4500189777</v>
      </c>
      <c r="E1086" s="246">
        <v>32756367</v>
      </c>
      <c r="F1086" s="551" t="s">
        <v>8740</v>
      </c>
      <c r="G1086" s="246" t="s">
        <v>6047</v>
      </c>
      <c r="H1086" s="246" t="s">
        <v>6069</v>
      </c>
      <c r="I1086" s="704">
        <v>1500</v>
      </c>
      <c r="J1086" s="246">
        <v>0</v>
      </c>
      <c r="K1086" s="246">
        <v>25</v>
      </c>
      <c r="L1086" s="644">
        <f t="shared" si="412"/>
        <v>60</v>
      </c>
      <c r="M1086" s="645">
        <v>46067</v>
      </c>
      <c r="N1086" s="645">
        <v>46063</v>
      </c>
      <c r="O1086" s="246" t="s">
        <v>8741</v>
      </c>
      <c r="P1086" s="643" t="s">
        <v>113</v>
      </c>
      <c r="Q1086" s="246"/>
      <c r="R1086" s="646">
        <v>46015</v>
      </c>
      <c r="S1086" s="646" t="s">
        <v>70</v>
      </c>
      <c r="T1086" s="646" t="s">
        <v>7714</v>
      </c>
      <c r="U1086" s="646"/>
      <c r="V1086" s="646"/>
      <c r="W1086" s="615"/>
      <c r="X1086" s="642" t="s">
        <v>8742</v>
      </c>
      <c r="Y1086" s="642" t="s">
        <v>299</v>
      </c>
      <c r="Z1086" s="655">
        <v>0.9551</v>
      </c>
      <c r="AA1086" s="647">
        <f t="shared" si="419"/>
        <v>1432.65</v>
      </c>
      <c r="AC1086" s="648"/>
      <c r="AD1086" s="246" t="s">
        <v>6047</v>
      </c>
      <c r="AE1086" s="246" t="s">
        <v>82</v>
      </c>
      <c r="AF1086" s="246"/>
      <c r="AG1086" s="642"/>
      <c r="AH1086" s="642">
        <v>1</v>
      </c>
      <c r="AI1086" s="246">
        <v>1500</v>
      </c>
      <c r="AJ1086" s="246">
        <f t="shared" si="420"/>
        <v>0</v>
      </c>
      <c r="AK1086" s="246"/>
      <c r="AL1086" s="246" t="s">
        <v>2368</v>
      </c>
      <c r="AM1086" s="246"/>
      <c r="AN1086" s="246"/>
      <c r="AO1086" s="551">
        <f>I1086</f>
        <v>1500</v>
      </c>
      <c r="AP1086" s="551"/>
      <c r="AQ1086" s="551"/>
      <c r="AR1086" s="650"/>
      <c r="AS1086" s="551"/>
      <c r="AT1086" s="554">
        <f>I1086</f>
        <v>1500</v>
      </c>
      <c r="AU1086" s="551"/>
      <c r="AV1086" s="554">
        <f>I1086</f>
        <v>1500</v>
      </c>
      <c r="AW1086" s="650"/>
      <c r="AX1086" s="551"/>
      <c r="AY1086" s="551"/>
      <c r="AZ1086" s="551"/>
      <c r="BA1086" s="551"/>
      <c r="BB1086" s="620">
        <f>I1086/24</f>
        <v>62.5</v>
      </c>
      <c r="BC1086" s="651"/>
      <c r="BD1086" s="551"/>
      <c r="BE1086" s="551"/>
      <c r="BF1086" s="551"/>
      <c r="BH1086" s="551"/>
      <c r="BI1086" s="551"/>
      <c r="BJ1086" s="551"/>
      <c r="BK1086" s="551"/>
      <c r="BL1086" s="551"/>
      <c r="BM1086" s="551"/>
      <c r="BN1086" s="551"/>
      <c r="BO1086" s="551"/>
      <c r="BP1086" s="551">
        <f>I1086/25</f>
        <v>60</v>
      </c>
      <c r="BQ1086" s="551"/>
      <c r="BR1086" s="551"/>
      <c r="BS1086" s="551"/>
      <c r="BT1086" s="551"/>
      <c r="BU1086" s="551"/>
      <c r="BV1086" s="551"/>
      <c r="BW1086" s="551"/>
      <c r="BX1086" s="551"/>
      <c r="BY1086" s="650"/>
      <c r="BZ1086" s="551"/>
      <c r="CA1086" s="652"/>
      <c r="CB1086" s="567"/>
      <c r="CC1086" s="653"/>
      <c r="CD1086" s="650"/>
      <c r="CE1086" s="650"/>
      <c r="CF1086" s="551"/>
      <c r="CG1086" s="551"/>
      <c r="CI1086" s="551"/>
      <c r="CJ1086" s="551"/>
      <c r="CK1086" s="551"/>
      <c r="CL1086" s="551"/>
      <c r="CM1086" s="551"/>
      <c r="CN1086" s="551"/>
      <c r="CO1086" s="551"/>
      <c r="CP1086" s="551"/>
      <c r="CQ1086" s="551"/>
      <c r="CR1086" s="551"/>
      <c r="CS1086" s="551"/>
      <c r="CT1086" s="551"/>
      <c r="CU1086" s="554">
        <f t="shared" si="400"/>
        <v>60</v>
      </c>
      <c r="CV1086" s="551">
        <f t="shared" si="417"/>
        <v>0</v>
      </c>
      <c r="CW1086" s="551">
        <f t="shared" si="418"/>
        <v>0</v>
      </c>
      <c r="CX1086" s="650"/>
      <c r="CY1086" s="650"/>
      <c r="CZ1086" s="650"/>
      <c r="DA1086" s="548"/>
      <c r="DB1086" s="548"/>
      <c r="DC1086" s="548"/>
      <c r="DD1086" s="650"/>
      <c r="DE1086" s="650"/>
      <c r="DF1086" s="650"/>
      <c r="DG1086" s="650"/>
      <c r="DH1086" s="650"/>
    </row>
    <row r="1087" s="548" customFormat="1" ht="31" customHeight="1" spans="1:112">
      <c r="A1087" s="641">
        <v>46007</v>
      </c>
      <c r="B1087" s="642" t="s">
        <v>6098</v>
      </c>
      <c r="C1087" s="246" t="s">
        <v>128</v>
      </c>
      <c r="D1087" s="551">
        <v>4500189161</v>
      </c>
      <c r="E1087" s="246">
        <v>48453051</v>
      </c>
      <c r="F1087" s="551" t="s">
        <v>8743</v>
      </c>
      <c r="G1087" s="246" t="s">
        <v>6101</v>
      </c>
      <c r="H1087" s="246" t="s">
        <v>6102</v>
      </c>
      <c r="I1087" s="704">
        <v>750</v>
      </c>
      <c r="J1087" s="246">
        <v>0</v>
      </c>
      <c r="K1087" s="246">
        <v>6</v>
      </c>
      <c r="L1087" s="644">
        <f t="shared" si="412"/>
        <v>125</v>
      </c>
      <c r="M1087" s="645">
        <v>46077</v>
      </c>
      <c r="N1087" s="645">
        <v>46073</v>
      </c>
      <c r="O1087" s="246"/>
      <c r="P1087" s="643" t="s">
        <v>113</v>
      </c>
      <c r="Q1087" s="246"/>
      <c r="R1087" s="646" t="s">
        <v>6960</v>
      </c>
      <c r="S1087" s="646" t="s">
        <v>70</v>
      </c>
      <c r="T1087" s="646" t="s">
        <v>8744</v>
      </c>
      <c r="U1087" s="646"/>
      <c r="V1087" s="646"/>
      <c r="W1087" s="615"/>
      <c r="X1087" s="642" t="s">
        <v>7484</v>
      </c>
      <c r="Y1087" s="642" t="s">
        <v>1735</v>
      </c>
      <c r="Z1087" s="655">
        <v>1.0058</v>
      </c>
      <c r="AA1087" s="647">
        <f t="shared" si="419"/>
        <v>754.35</v>
      </c>
      <c r="AC1087" s="648"/>
      <c r="AD1087" s="246" t="s">
        <v>6101</v>
      </c>
      <c r="AE1087" s="246" t="s">
        <v>82</v>
      </c>
      <c r="AF1087" s="246"/>
      <c r="AG1087" s="642"/>
      <c r="AH1087" s="642">
        <v>1</v>
      </c>
      <c r="AI1087" s="246">
        <v>750</v>
      </c>
      <c r="AJ1087" s="246">
        <f t="shared" si="420"/>
        <v>0</v>
      </c>
      <c r="AK1087" s="246"/>
      <c r="AL1087" s="246" t="s">
        <v>2368</v>
      </c>
      <c r="AM1087" s="246"/>
      <c r="AN1087" s="246"/>
      <c r="AO1087" s="551">
        <f>I1087</f>
        <v>750</v>
      </c>
      <c r="AP1087" s="551"/>
      <c r="AQ1087" s="551"/>
      <c r="AR1087" s="650"/>
      <c r="AS1087" s="551"/>
      <c r="AT1087" s="554">
        <f>I1087</f>
        <v>750</v>
      </c>
      <c r="AU1087" s="551"/>
      <c r="AV1087" s="554">
        <f>I1087</f>
        <v>750</v>
      </c>
      <c r="AW1087" s="650"/>
      <c r="AX1087" s="551"/>
      <c r="AY1087" s="551"/>
      <c r="AZ1087" s="551"/>
      <c r="BA1087" s="551"/>
      <c r="BB1087" s="620">
        <f>I1087/24</f>
        <v>31.25</v>
      </c>
      <c r="BC1087" s="651"/>
      <c r="BD1087" s="551"/>
      <c r="BE1087" s="551"/>
      <c r="BF1087" s="551"/>
      <c r="BH1087" s="551"/>
      <c r="BI1087" s="551"/>
      <c r="BJ1087" s="551"/>
      <c r="BK1087" s="551"/>
      <c r="BL1087" s="551"/>
      <c r="BM1087" s="551"/>
      <c r="BN1087" s="551"/>
      <c r="BO1087" s="551"/>
      <c r="BP1087" s="551"/>
      <c r="BQ1087" s="551"/>
      <c r="BR1087" s="551"/>
      <c r="BS1087" s="551"/>
      <c r="BT1087" s="551">
        <f>I1087/6</f>
        <v>125</v>
      </c>
      <c r="BU1087" s="551"/>
      <c r="BV1087" s="551"/>
      <c r="BW1087" s="551"/>
      <c r="BX1087" s="551"/>
      <c r="BY1087" s="650"/>
      <c r="BZ1087" s="551"/>
      <c r="CA1087" s="652"/>
      <c r="CB1087" s="567"/>
      <c r="CC1087" s="653"/>
      <c r="CD1087" s="650"/>
      <c r="CE1087" s="650"/>
      <c r="CF1087" s="551"/>
      <c r="CG1087" s="551"/>
      <c r="CI1087" s="551"/>
      <c r="CJ1087" s="551"/>
      <c r="CK1087" s="551"/>
      <c r="CL1087" s="551"/>
      <c r="CM1087" s="551"/>
      <c r="CN1087" s="551"/>
      <c r="CO1087" s="551"/>
      <c r="CP1087" s="551"/>
      <c r="CQ1087" s="551"/>
      <c r="CR1087" s="551"/>
      <c r="CS1087" s="551"/>
      <c r="CT1087" s="551"/>
      <c r="CU1087" s="554">
        <f t="shared" si="400"/>
        <v>0</v>
      </c>
      <c r="CV1087" s="551">
        <f t="shared" si="417"/>
        <v>0</v>
      </c>
      <c r="CW1087" s="551">
        <f t="shared" si="418"/>
        <v>0</v>
      </c>
      <c r="CX1087" s="650"/>
      <c r="CY1087" s="650"/>
      <c r="CZ1087" s="650"/>
      <c r="DA1087" s="548"/>
      <c r="DB1087" s="548"/>
      <c r="DC1087" s="548"/>
      <c r="DD1087" s="650"/>
      <c r="DE1087" s="650"/>
      <c r="DF1087" s="650"/>
      <c r="DG1087" s="650"/>
      <c r="DH1087" s="650"/>
    </row>
    <row r="1088" s="548" customFormat="1" ht="31" customHeight="1" spans="1:112">
      <c r="A1088" s="641">
        <v>46007</v>
      </c>
      <c r="B1088" s="642" t="s">
        <v>6098</v>
      </c>
      <c r="C1088" s="246" t="s">
        <v>128</v>
      </c>
      <c r="D1088" s="551">
        <v>4500189161</v>
      </c>
      <c r="E1088" s="246">
        <v>48515803</v>
      </c>
      <c r="F1088" s="551" t="s">
        <v>8745</v>
      </c>
      <c r="G1088" s="246" t="s">
        <v>6101</v>
      </c>
      <c r="H1088" s="246" t="s">
        <v>6102</v>
      </c>
      <c r="I1088" s="704">
        <v>750</v>
      </c>
      <c r="J1088" s="246">
        <v>0</v>
      </c>
      <c r="K1088" s="246">
        <v>6</v>
      </c>
      <c r="L1088" s="644">
        <f t="shared" si="412"/>
        <v>125</v>
      </c>
      <c r="M1088" s="645">
        <v>46077</v>
      </c>
      <c r="N1088" s="645">
        <v>46073</v>
      </c>
      <c r="O1088" s="246"/>
      <c r="P1088" s="643" t="s">
        <v>113</v>
      </c>
      <c r="Q1088" s="246"/>
      <c r="R1088" s="646" t="s">
        <v>6960</v>
      </c>
      <c r="S1088" s="646" t="s">
        <v>70</v>
      </c>
      <c r="T1088" s="646" t="s">
        <v>8744</v>
      </c>
      <c r="U1088" s="646"/>
      <c r="V1088" s="646"/>
      <c r="W1088" s="615"/>
      <c r="X1088" s="642" t="s">
        <v>7484</v>
      </c>
      <c r="Y1088" s="642" t="s">
        <v>1735</v>
      </c>
      <c r="Z1088" s="655">
        <v>1.0058</v>
      </c>
      <c r="AA1088" s="647">
        <f t="shared" si="419"/>
        <v>754.35</v>
      </c>
      <c r="AC1088" s="648"/>
      <c r="AD1088" s="246" t="s">
        <v>6101</v>
      </c>
      <c r="AE1088" s="246" t="s">
        <v>82</v>
      </c>
      <c r="AF1088" s="246"/>
      <c r="AG1088" s="642"/>
      <c r="AH1088" s="642">
        <v>1</v>
      </c>
      <c r="AI1088" s="246">
        <v>750</v>
      </c>
      <c r="AJ1088" s="246">
        <f t="shared" si="420"/>
        <v>0</v>
      </c>
      <c r="AK1088" s="246"/>
      <c r="AL1088" s="246" t="s">
        <v>2368</v>
      </c>
      <c r="AM1088" s="246"/>
      <c r="AN1088" s="246"/>
      <c r="AO1088" s="551">
        <f>I1088</f>
        <v>750</v>
      </c>
      <c r="AP1088" s="551"/>
      <c r="AQ1088" s="551"/>
      <c r="AR1088" s="650"/>
      <c r="AS1088" s="551"/>
      <c r="AT1088" s="554">
        <f>I1088</f>
        <v>750</v>
      </c>
      <c r="AU1088" s="551"/>
      <c r="AV1088" s="554">
        <f>I1088</f>
        <v>750</v>
      </c>
      <c r="AW1088" s="650"/>
      <c r="AX1088" s="551"/>
      <c r="AY1088" s="551"/>
      <c r="AZ1088" s="551"/>
      <c r="BA1088" s="551"/>
      <c r="BB1088" s="620">
        <f>I1088/24</f>
        <v>31.25</v>
      </c>
      <c r="BC1088" s="651"/>
      <c r="BD1088" s="551"/>
      <c r="BE1088" s="551"/>
      <c r="BF1088" s="551"/>
      <c r="BH1088" s="551"/>
      <c r="BI1088" s="551"/>
      <c r="BJ1088" s="551"/>
      <c r="BK1088" s="551"/>
      <c r="BL1088" s="551"/>
      <c r="BM1088" s="551"/>
      <c r="BN1088" s="551"/>
      <c r="BO1088" s="551"/>
      <c r="BP1088" s="551"/>
      <c r="BQ1088" s="551"/>
      <c r="BR1088" s="551"/>
      <c r="BS1088" s="551"/>
      <c r="BT1088" s="551">
        <f>I1088/6</f>
        <v>125</v>
      </c>
      <c r="BU1088" s="551"/>
      <c r="BV1088" s="551"/>
      <c r="BW1088" s="551"/>
      <c r="BX1088" s="551"/>
      <c r="BY1088" s="650"/>
      <c r="BZ1088" s="551"/>
      <c r="CA1088" s="652"/>
      <c r="CB1088" s="567"/>
      <c r="CC1088" s="653"/>
      <c r="CD1088" s="650"/>
      <c r="CE1088" s="650"/>
      <c r="CF1088" s="551"/>
      <c r="CG1088" s="551"/>
      <c r="CI1088" s="551"/>
      <c r="CJ1088" s="551"/>
      <c r="CK1088" s="551"/>
      <c r="CL1088" s="551"/>
      <c r="CM1088" s="551"/>
      <c r="CN1088" s="551"/>
      <c r="CO1088" s="551"/>
      <c r="CP1088" s="551"/>
      <c r="CQ1088" s="551"/>
      <c r="CR1088" s="551"/>
      <c r="CS1088" s="551"/>
      <c r="CT1088" s="551"/>
      <c r="CU1088" s="554">
        <f t="shared" si="400"/>
        <v>0</v>
      </c>
      <c r="CV1088" s="551">
        <f t="shared" si="417"/>
        <v>0</v>
      </c>
      <c r="CW1088" s="551">
        <f t="shared" si="418"/>
        <v>0</v>
      </c>
      <c r="CX1088" s="650"/>
      <c r="CY1088" s="650"/>
      <c r="CZ1088" s="650"/>
      <c r="DA1088" s="548"/>
      <c r="DB1088" s="548"/>
      <c r="DC1088" s="548"/>
      <c r="DD1088" s="650"/>
      <c r="DE1088" s="650"/>
      <c r="DF1088" s="650"/>
      <c r="DG1088" s="650"/>
      <c r="DH1088" s="650"/>
    </row>
    <row r="1089" s="548" customFormat="1" ht="31" customHeight="1" spans="1:112">
      <c r="A1089" s="641">
        <v>46007</v>
      </c>
      <c r="B1089" s="642" t="s">
        <v>6098</v>
      </c>
      <c r="C1089" s="246" t="s">
        <v>128</v>
      </c>
      <c r="D1089" s="551">
        <v>4500189161</v>
      </c>
      <c r="E1089" s="246">
        <v>48533931</v>
      </c>
      <c r="F1089" s="551" t="s">
        <v>8746</v>
      </c>
      <c r="G1089" s="246" t="s">
        <v>6101</v>
      </c>
      <c r="H1089" s="246" t="s">
        <v>6102</v>
      </c>
      <c r="I1089" s="704">
        <v>1500</v>
      </c>
      <c r="J1089" s="246">
        <v>0</v>
      </c>
      <c r="K1089" s="246">
        <v>6</v>
      </c>
      <c r="L1089" s="644">
        <f t="shared" si="412"/>
        <v>250</v>
      </c>
      <c r="M1089" s="645">
        <v>46077</v>
      </c>
      <c r="N1089" s="645">
        <v>46073</v>
      </c>
      <c r="O1089" s="246"/>
      <c r="P1089" s="643" t="s">
        <v>113</v>
      </c>
      <c r="Q1089" s="246"/>
      <c r="R1089" s="646" t="s">
        <v>6960</v>
      </c>
      <c r="S1089" s="646" t="s">
        <v>70</v>
      </c>
      <c r="T1089" s="646" t="s">
        <v>8744</v>
      </c>
      <c r="U1089" s="646"/>
      <c r="V1089" s="646"/>
      <c r="W1089" s="615"/>
      <c r="X1089" s="642" t="s">
        <v>7484</v>
      </c>
      <c r="Y1089" s="642" t="s">
        <v>1735</v>
      </c>
      <c r="Z1089" s="655">
        <v>1.0006</v>
      </c>
      <c r="AA1089" s="647">
        <f t="shared" si="419"/>
        <v>1500.9</v>
      </c>
      <c r="AC1089" s="648"/>
      <c r="AD1089" s="246" t="s">
        <v>6101</v>
      </c>
      <c r="AE1089" s="246" t="s">
        <v>82</v>
      </c>
      <c r="AF1089" s="246"/>
      <c r="AG1089" s="642"/>
      <c r="AH1089" s="642">
        <v>1</v>
      </c>
      <c r="AI1089" s="246">
        <v>1500</v>
      </c>
      <c r="AJ1089" s="246">
        <f t="shared" si="420"/>
        <v>0</v>
      </c>
      <c r="AK1089" s="246"/>
      <c r="AL1089" s="246" t="s">
        <v>2368</v>
      </c>
      <c r="AM1089" s="246"/>
      <c r="AN1089" s="246"/>
      <c r="AO1089" s="551">
        <f>I1089</f>
        <v>1500</v>
      </c>
      <c r="AP1089" s="551"/>
      <c r="AQ1089" s="551"/>
      <c r="AR1089" s="650"/>
      <c r="AS1089" s="551"/>
      <c r="AT1089" s="554">
        <f>I1089</f>
        <v>1500</v>
      </c>
      <c r="AU1089" s="551"/>
      <c r="AV1089" s="554">
        <f>I1089</f>
        <v>1500</v>
      </c>
      <c r="AW1089" s="650"/>
      <c r="AX1089" s="551"/>
      <c r="AY1089" s="551"/>
      <c r="AZ1089" s="551"/>
      <c r="BA1089" s="551"/>
      <c r="BB1089" s="620">
        <f>I1089/24</f>
        <v>62.5</v>
      </c>
      <c r="BC1089" s="651"/>
      <c r="BD1089" s="551"/>
      <c r="BE1089" s="551"/>
      <c r="BF1089" s="551"/>
      <c r="BH1089" s="551"/>
      <c r="BI1089" s="551"/>
      <c r="BJ1089" s="551"/>
      <c r="BK1089" s="551"/>
      <c r="BL1089" s="551"/>
      <c r="BM1089" s="551"/>
      <c r="BN1089" s="551"/>
      <c r="BO1089" s="551"/>
      <c r="BP1089" s="551"/>
      <c r="BQ1089" s="551"/>
      <c r="BR1089" s="551"/>
      <c r="BS1089" s="551"/>
      <c r="BT1089" s="551">
        <f>I1089/6</f>
        <v>250</v>
      </c>
      <c r="BU1089" s="551"/>
      <c r="BV1089" s="551"/>
      <c r="BW1089" s="551"/>
      <c r="BX1089" s="551"/>
      <c r="BY1089" s="650"/>
      <c r="BZ1089" s="551"/>
      <c r="CA1089" s="652"/>
      <c r="CB1089" s="567"/>
      <c r="CC1089" s="653"/>
      <c r="CD1089" s="650"/>
      <c r="CE1089" s="650"/>
      <c r="CF1089" s="551"/>
      <c r="CG1089" s="551"/>
      <c r="CI1089" s="551"/>
      <c r="CJ1089" s="551"/>
      <c r="CK1089" s="551"/>
      <c r="CL1089" s="551"/>
      <c r="CM1089" s="551"/>
      <c r="CN1089" s="551"/>
      <c r="CO1089" s="551"/>
      <c r="CP1089" s="551"/>
      <c r="CQ1089" s="551"/>
      <c r="CR1089" s="551"/>
      <c r="CS1089" s="551"/>
      <c r="CT1089" s="551"/>
      <c r="CU1089" s="554">
        <f t="shared" si="400"/>
        <v>0</v>
      </c>
      <c r="CV1089" s="551">
        <f t="shared" si="417"/>
        <v>0</v>
      </c>
      <c r="CW1089" s="551">
        <f t="shared" si="418"/>
        <v>0</v>
      </c>
      <c r="CX1089" s="650"/>
      <c r="CY1089" s="650"/>
      <c r="CZ1089" s="650"/>
      <c r="DA1089" s="548"/>
      <c r="DB1089" s="548"/>
      <c r="DC1089" s="548"/>
      <c r="DD1089" s="650"/>
      <c r="DE1089" s="650"/>
      <c r="DF1089" s="650"/>
      <c r="DG1089" s="650"/>
      <c r="DH1089" s="650"/>
    </row>
    <row r="1090" s="548" customFormat="1" ht="31" customHeight="1" spans="1:112">
      <c r="A1090" s="641">
        <v>45985</v>
      </c>
      <c r="B1090" s="642" t="s">
        <v>2734</v>
      </c>
      <c r="C1090" s="246" t="s">
        <v>98</v>
      </c>
      <c r="D1090" s="551">
        <v>4500186623</v>
      </c>
      <c r="E1090" s="246">
        <v>60261230</v>
      </c>
      <c r="F1090" s="551" t="s">
        <v>8747</v>
      </c>
      <c r="G1090" s="246" t="s">
        <v>6787</v>
      </c>
      <c r="H1090" s="610" t="s">
        <v>6126</v>
      </c>
      <c r="I1090" s="704">
        <v>2004</v>
      </c>
      <c r="J1090" s="246">
        <v>0</v>
      </c>
      <c r="K1090" s="246">
        <v>12</v>
      </c>
      <c r="L1090" s="644">
        <f t="shared" si="412"/>
        <v>167</v>
      </c>
      <c r="M1090" s="645">
        <v>46078</v>
      </c>
      <c r="N1090" s="645">
        <v>46074</v>
      </c>
      <c r="O1090" s="246"/>
      <c r="P1090" s="643" t="s">
        <v>113</v>
      </c>
      <c r="Q1090" s="246"/>
      <c r="R1090" s="646">
        <v>45985</v>
      </c>
      <c r="S1090" s="646" t="s">
        <v>70</v>
      </c>
      <c r="T1090" s="646" t="s">
        <v>2738</v>
      </c>
      <c r="U1090" s="646"/>
      <c r="V1090" s="646"/>
      <c r="W1090" s="615"/>
      <c r="X1090" s="642" t="s">
        <v>8748</v>
      </c>
      <c r="Y1090" s="642" t="s">
        <v>2678</v>
      </c>
      <c r="Z1090" s="655">
        <v>1.2871</v>
      </c>
      <c r="AA1090" s="647">
        <f t="shared" si="419"/>
        <v>2579.3484</v>
      </c>
      <c r="AC1090" s="658" t="s">
        <v>3093</v>
      </c>
      <c r="AD1090" s="246" t="s">
        <v>8545</v>
      </c>
      <c r="AE1090" s="246" t="s">
        <v>82</v>
      </c>
      <c r="AF1090" s="246"/>
      <c r="AG1090" s="642"/>
      <c r="AH1090" s="642">
        <v>1</v>
      </c>
      <c r="AI1090" s="246">
        <v>2004</v>
      </c>
      <c r="AJ1090" s="246">
        <f t="shared" si="420"/>
        <v>0</v>
      </c>
      <c r="AK1090" s="246"/>
      <c r="AL1090" s="246" t="s">
        <v>2368</v>
      </c>
      <c r="AM1090" s="246"/>
      <c r="AN1090" s="610">
        <f>I1090*2</f>
        <v>4008</v>
      </c>
      <c r="AO1090" s="551"/>
      <c r="AP1090" s="554">
        <f>I1090*2</f>
        <v>4008</v>
      </c>
      <c r="AQ1090" s="551"/>
      <c r="AR1090" s="650"/>
      <c r="AS1090" s="551"/>
      <c r="AT1090" s="551"/>
      <c r="AU1090" s="554">
        <f>I1090*2</f>
        <v>4008</v>
      </c>
      <c r="AV1090" s="551"/>
      <c r="AW1090" s="650"/>
      <c r="AX1090" s="551"/>
      <c r="AY1090" s="551"/>
      <c r="AZ1090" s="551"/>
      <c r="BA1090" s="551"/>
      <c r="BB1090" s="249">
        <f>I1090/24*2</f>
        <v>167</v>
      </c>
      <c r="BC1090" s="651"/>
      <c r="BD1090" s="551"/>
      <c r="BE1090" s="551"/>
      <c r="BF1090" s="551"/>
      <c r="BH1090" s="551"/>
      <c r="BI1090" s="551"/>
      <c r="BJ1090" s="551"/>
      <c r="BK1090" s="551"/>
      <c r="BL1090" s="551"/>
      <c r="BM1090" s="551"/>
      <c r="BN1090" s="551"/>
      <c r="BO1090" s="551"/>
      <c r="BP1090" s="551"/>
      <c r="BQ1090" s="551"/>
      <c r="BR1090" s="551"/>
      <c r="BS1090" s="551"/>
      <c r="BT1090" s="551"/>
      <c r="BU1090" s="551"/>
      <c r="BV1090" s="551"/>
      <c r="BW1090" s="551"/>
      <c r="BX1090" s="551"/>
      <c r="BY1090" s="650"/>
      <c r="BZ1090" s="551"/>
      <c r="CA1090" s="652"/>
      <c r="CB1090" s="567"/>
      <c r="CC1090" s="653"/>
      <c r="CD1090" s="650"/>
      <c r="CE1090" s="650"/>
      <c r="CF1090" s="551"/>
      <c r="CG1090" s="551"/>
      <c r="CI1090" s="551"/>
      <c r="CJ1090" s="551"/>
      <c r="CK1090" s="551"/>
      <c r="CL1090" s="551"/>
      <c r="CM1090" s="551"/>
      <c r="CN1090" s="551"/>
      <c r="CO1090" s="551"/>
      <c r="CP1090" s="551"/>
      <c r="CQ1090" s="551"/>
      <c r="CR1090" s="554">
        <f>I1090</f>
        <v>2004</v>
      </c>
      <c r="CS1090" s="554">
        <f>I1090</f>
        <v>2004</v>
      </c>
      <c r="CT1090" s="554">
        <f>I1090</f>
        <v>2004</v>
      </c>
      <c r="CU1090" s="554">
        <f t="shared" si="400"/>
        <v>0</v>
      </c>
      <c r="CV1090" s="551">
        <v>0</v>
      </c>
      <c r="CW1090" s="551">
        <v>0</v>
      </c>
      <c r="CX1090" s="650"/>
      <c r="CY1090" s="650"/>
      <c r="CZ1090" s="650"/>
      <c r="DA1090" s="548"/>
      <c r="DB1090" s="548"/>
      <c r="DC1090" s="548"/>
      <c r="DD1090" s="650"/>
      <c r="DE1090" s="650"/>
      <c r="DF1090" s="650"/>
      <c r="DG1090" s="650"/>
      <c r="DH1090" s="650"/>
    </row>
    <row r="1091" s="548" customFormat="1" ht="31" customHeight="1" spans="1:112">
      <c r="A1091" s="641">
        <v>45985</v>
      </c>
      <c r="B1091" s="642" t="s">
        <v>2734</v>
      </c>
      <c r="C1091" s="246" t="s">
        <v>98</v>
      </c>
      <c r="D1091" s="551">
        <v>4500186623</v>
      </c>
      <c r="E1091" s="246">
        <v>60261230</v>
      </c>
      <c r="F1091" s="551" t="s">
        <v>3091</v>
      </c>
      <c r="G1091" s="246" t="s">
        <v>8520</v>
      </c>
      <c r="H1091" s="246" t="s">
        <v>8521</v>
      </c>
      <c r="I1091" s="704">
        <v>3000</v>
      </c>
      <c r="J1091" s="246">
        <v>0</v>
      </c>
      <c r="K1091" s="246">
        <v>8</v>
      </c>
      <c r="L1091" s="644">
        <f t="shared" si="412"/>
        <v>375</v>
      </c>
      <c r="M1091" s="645">
        <v>46078</v>
      </c>
      <c r="N1091" s="645">
        <v>46074</v>
      </c>
      <c r="O1091" s="246"/>
      <c r="P1091" s="643" t="s">
        <v>113</v>
      </c>
      <c r="Q1091" s="246"/>
      <c r="R1091" s="646">
        <v>45985</v>
      </c>
      <c r="S1091" s="646" t="s">
        <v>70</v>
      </c>
      <c r="T1091" s="646" t="s">
        <v>8522</v>
      </c>
      <c r="U1091" s="646"/>
      <c r="V1091" s="646"/>
      <c r="W1091" s="615"/>
      <c r="X1091" s="642" t="s">
        <v>8749</v>
      </c>
      <c r="Y1091" s="642" t="s">
        <v>2678</v>
      </c>
      <c r="Z1091" s="655">
        <v>3.9826</v>
      </c>
      <c r="AA1091" s="647">
        <f t="shared" si="419"/>
        <v>11947.8</v>
      </c>
      <c r="AC1091" s="658" t="s">
        <v>3093</v>
      </c>
      <c r="AD1091" s="246" t="s">
        <v>8750</v>
      </c>
      <c r="AE1091" s="246" t="s">
        <v>82</v>
      </c>
      <c r="AF1091" s="246"/>
      <c r="AG1091" s="642"/>
      <c r="AH1091" s="642">
        <v>1</v>
      </c>
      <c r="AI1091" s="246">
        <v>3000</v>
      </c>
      <c r="AJ1091" s="246">
        <f t="shared" si="420"/>
        <v>0</v>
      </c>
      <c r="AK1091" s="246"/>
      <c r="AL1091" s="246" t="s">
        <v>2368</v>
      </c>
      <c r="AM1091" s="246"/>
      <c r="AN1091" s="610">
        <f>I1091*2</f>
        <v>6000</v>
      </c>
      <c r="AO1091" s="551"/>
      <c r="AP1091" s="554">
        <f>I1091*2</f>
        <v>6000</v>
      </c>
      <c r="AQ1091" s="551"/>
      <c r="AR1091" s="650"/>
      <c r="AS1091" s="551"/>
      <c r="AT1091" s="551"/>
      <c r="AU1091" s="554">
        <f>I1091*2</f>
        <v>6000</v>
      </c>
      <c r="AV1091" s="551"/>
      <c r="AW1091" s="650"/>
      <c r="AX1091" s="551"/>
      <c r="AY1091" s="551"/>
      <c r="AZ1091" s="551"/>
      <c r="BA1091" s="551"/>
      <c r="BB1091" s="620">
        <f>I1091/24*2</f>
        <v>250</v>
      </c>
      <c r="BC1091" s="651"/>
      <c r="BD1091" s="551"/>
      <c r="BE1091" s="551"/>
      <c r="BF1091" s="551"/>
      <c r="BH1091" s="551"/>
      <c r="BI1091" s="551"/>
      <c r="BJ1091" s="551"/>
      <c r="BK1091" s="551"/>
      <c r="BL1091" s="551"/>
      <c r="BM1091" s="551"/>
      <c r="BN1091" s="551"/>
      <c r="BO1091" s="551"/>
      <c r="BP1091" s="551"/>
      <c r="BQ1091" s="551"/>
      <c r="BR1091" s="551"/>
      <c r="BS1091" s="551"/>
      <c r="BT1091" s="551"/>
      <c r="BU1091" s="551"/>
      <c r="BV1091" s="551"/>
      <c r="BW1091" s="551"/>
      <c r="BX1091" s="551"/>
      <c r="BY1091" s="650"/>
      <c r="BZ1091" s="551"/>
      <c r="CA1091" s="652">
        <f>I1091</f>
        <v>3000</v>
      </c>
      <c r="CB1091" s="567"/>
      <c r="CC1091" s="653"/>
      <c r="CD1091" s="650"/>
      <c r="CE1091" s="650"/>
      <c r="CF1091" s="551"/>
      <c r="CG1091" s="551"/>
      <c r="CI1091" s="551"/>
      <c r="CJ1091" s="551"/>
      <c r="CK1091" s="551"/>
      <c r="CL1091" s="551"/>
      <c r="CM1091" s="551"/>
      <c r="CN1091" s="551"/>
      <c r="CO1091" s="551"/>
      <c r="CP1091" s="551"/>
      <c r="CQ1091" s="551"/>
      <c r="CR1091" s="551"/>
      <c r="CS1091" s="551"/>
      <c r="CT1091" s="551"/>
      <c r="CU1091" s="554">
        <f t="shared" si="400"/>
        <v>0</v>
      </c>
      <c r="CV1091" s="551">
        <f>CK1091+CL1091+CM1091+CN1091+CO1091+CQ1091+CP1091</f>
        <v>0</v>
      </c>
      <c r="CW1091" s="551">
        <f>CI1091+CJ1091</f>
        <v>0</v>
      </c>
      <c r="CX1091" s="650"/>
      <c r="CY1091" s="650"/>
      <c r="CZ1091" s="650"/>
      <c r="DA1091" s="548"/>
      <c r="DB1091" s="548"/>
      <c r="DC1091" s="548"/>
      <c r="DD1091" s="650"/>
      <c r="DE1091" s="650"/>
      <c r="DF1091" s="650"/>
      <c r="DG1091" s="650"/>
      <c r="DH1091" s="650"/>
    </row>
    <row r="1092" s="548" customFormat="1" ht="31" customHeight="1" spans="1:112">
      <c r="A1092" s="641">
        <v>45985</v>
      </c>
      <c r="B1092" s="642" t="s">
        <v>2811</v>
      </c>
      <c r="C1092" s="246" t="s">
        <v>98</v>
      </c>
      <c r="D1092" s="551">
        <v>4500186630</v>
      </c>
      <c r="E1092" s="246">
        <v>70079732</v>
      </c>
      <c r="F1092" s="551" t="s">
        <v>8751</v>
      </c>
      <c r="G1092" s="246" t="s">
        <v>6787</v>
      </c>
      <c r="H1092" s="610" t="s">
        <v>6126</v>
      </c>
      <c r="I1092" s="704">
        <v>804</v>
      </c>
      <c r="J1092" s="246">
        <v>0</v>
      </c>
      <c r="K1092" s="246">
        <v>12</v>
      </c>
      <c r="L1092" s="644">
        <f t="shared" si="412"/>
        <v>67</v>
      </c>
      <c r="M1092" s="645">
        <v>46078</v>
      </c>
      <c r="N1092" s="645">
        <v>46074</v>
      </c>
      <c r="O1092" s="246"/>
      <c r="P1092" s="643" t="s">
        <v>113</v>
      </c>
      <c r="Q1092" s="246"/>
      <c r="R1092" s="646">
        <v>45985</v>
      </c>
      <c r="S1092" s="646" t="s">
        <v>70</v>
      </c>
      <c r="T1092" s="646" t="s">
        <v>2738</v>
      </c>
      <c r="U1092" s="646"/>
      <c r="V1092" s="646"/>
      <c r="W1092" s="615"/>
      <c r="X1092" s="642" t="s">
        <v>8577</v>
      </c>
      <c r="Y1092" s="642" t="s">
        <v>3061</v>
      </c>
      <c r="Z1092" s="655">
        <v>1.2871</v>
      </c>
      <c r="AA1092" s="647">
        <f t="shared" si="419"/>
        <v>1034.8284</v>
      </c>
      <c r="AC1092" s="658" t="s">
        <v>8752</v>
      </c>
      <c r="AD1092" s="246" t="s">
        <v>8545</v>
      </c>
      <c r="AE1092" s="246" t="s">
        <v>82</v>
      </c>
      <c r="AF1092" s="246"/>
      <c r="AG1092" s="642"/>
      <c r="AH1092" s="642">
        <v>1</v>
      </c>
      <c r="AI1092" s="246">
        <v>804</v>
      </c>
      <c r="AJ1092" s="246">
        <f t="shared" si="420"/>
        <v>0</v>
      </c>
      <c r="AK1092" s="246"/>
      <c r="AL1092" s="246" t="s">
        <v>2368</v>
      </c>
      <c r="AM1092" s="246"/>
      <c r="AN1092" s="610">
        <f>I1092*2</f>
        <v>1608</v>
      </c>
      <c r="AO1092" s="551"/>
      <c r="AP1092" s="554">
        <f>I1092*2</f>
        <v>1608</v>
      </c>
      <c r="AQ1092" s="551"/>
      <c r="AR1092" s="650"/>
      <c r="AS1092" s="551"/>
      <c r="AT1092" s="551"/>
      <c r="AU1092" s="554">
        <f>I1092*2</f>
        <v>1608</v>
      </c>
      <c r="AV1092" s="551"/>
      <c r="AW1092" s="650"/>
      <c r="AX1092" s="551"/>
      <c r="AY1092" s="551"/>
      <c r="AZ1092" s="551"/>
      <c r="BA1092" s="551"/>
      <c r="BB1092" s="249">
        <f>I1092/24*2</f>
        <v>67</v>
      </c>
      <c r="BC1092" s="651"/>
      <c r="BD1092" s="551"/>
      <c r="BE1092" s="551"/>
      <c r="BF1092" s="551"/>
      <c r="BH1092" s="551"/>
      <c r="BI1092" s="551"/>
      <c r="BJ1092" s="551"/>
      <c r="BK1092" s="551"/>
      <c r="BL1092" s="551"/>
      <c r="BM1092" s="551"/>
      <c r="BN1092" s="551"/>
      <c r="BO1092" s="551"/>
      <c r="BP1092" s="551"/>
      <c r="BQ1092" s="551"/>
      <c r="BR1092" s="551"/>
      <c r="BS1092" s="551"/>
      <c r="BT1092" s="551"/>
      <c r="BU1092" s="551"/>
      <c r="BV1092" s="551"/>
      <c r="BW1092" s="551"/>
      <c r="BX1092" s="551"/>
      <c r="BY1092" s="650"/>
      <c r="BZ1092" s="551"/>
      <c r="CA1092" s="652"/>
      <c r="CB1092" s="567"/>
      <c r="CC1092" s="653"/>
      <c r="CD1092" s="650"/>
      <c r="CE1092" s="650"/>
      <c r="CF1092" s="551"/>
      <c r="CG1092" s="551"/>
      <c r="CI1092" s="551"/>
      <c r="CJ1092" s="551"/>
      <c r="CK1092" s="551"/>
      <c r="CL1092" s="551"/>
      <c r="CM1092" s="551"/>
      <c r="CN1092" s="551"/>
      <c r="CO1092" s="551"/>
      <c r="CP1092" s="551"/>
      <c r="CQ1092" s="551"/>
      <c r="CR1092" s="554">
        <f>I1092</f>
        <v>804</v>
      </c>
      <c r="CS1092" s="554">
        <f>I1092</f>
        <v>804</v>
      </c>
      <c r="CT1092" s="554">
        <f>I1092</f>
        <v>804</v>
      </c>
      <c r="CU1092" s="554">
        <f t="shared" si="400"/>
        <v>0</v>
      </c>
      <c r="CV1092" s="551">
        <v>0</v>
      </c>
      <c r="CW1092" s="551">
        <v>0</v>
      </c>
      <c r="CX1092" s="650"/>
      <c r="CY1092" s="650"/>
      <c r="CZ1092" s="650"/>
      <c r="DA1092" s="548"/>
      <c r="DB1092" s="548"/>
      <c r="DC1092" s="548"/>
      <c r="DD1092" s="650"/>
      <c r="DE1092" s="650"/>
      <c r="DF1092" s="650"/>
      <c r="DG1092" s="650"/>
      <c r="DH1092" s="650"/>
    </row>
    <row r="1093" s="548" customFormat="1" ht="31" customHeight="1" spans="1:112">
      <c r="A1093" s="641">
        <v>46015</v>
      </c>
      <c r="B1093" s="642" t="s">
        <v>7688</v>
      </c>
      <c r="C1093" s="246" t="s">
        <v>278</v>
      </c>
      <c r="D1093" s="551">
        <v>4500189797</v>
      </c>
      <c r="E1093" s="246">
        <v>14990125</v>
      </c>
      <c r="F1093" s="551" t="s">
        <v>8753</v>
      </c>
      <c r="G1093" s="246" t="s">
        <v>6136</v>
      </c>
      <c r="H1093" s="246" t="s">
        <v>6137</v>
      </c>
      <c r="I1093" s="704">
        <v>1040</v>
      </c>
      <c r="J1093" s="246">
        <v>13</v>
      </c>
      <c r="K1093" s="246">
        <f>J1093*8</f>
        <v>104</v>
      </c>
      <c r="L1093" s="644">
        <f t="shared" si="412"/>
        <v>10</v>
      </c>
      <c r="M1093" s="645">
        <v>46078</v>
      </c>
      <c r="N1093" s="645">
        <f>M1093-4</f>
        <v>46074</v>
      </c>
      <c r="O1093" s="246"/>
      <c r="P1093" s="643" t="s">
        <v>113</v>
      </c>
      <c r="Q1093" s="246"/>
      <c r="R1093" s="646">
        <v>46029</v>
      </c>
      <c r="S1093" s="646" t="s">
        <v>70</v>
      </c>
      <c r="T1093" s="646" t="s">
        <v>70</v>
      </c>
      <c r="U1093" s="646"/>
      <c r="V1093" s="646"/>
      <c r="W1093" s="615"/>
      <c r="X1093" s="628" t="s">
        <v>8754</v>
      </c>
      <c r="Y1093" s="642" t="s">
        <v>1549</v>
      </c>
      <c r="Z1093" s="655">
        <v>0.9268</v>
      </c>
      <c r="AA1093" s="647">
        <f t="shared" si="419"/>
        <v>963.872</v>
      </c>
      <c r="AC1093" s="648"/>
      <c r="AD1093" s="246" t="s">
        <v>6136</v>
      </c>
      <c r="AE1093" s="246" t="s">
        <v>82</v>
      </c>
      <c r="AF1093" s="246"/>
      <c r="AG1093" s="642"/>
      <c r="AH1093" s="642">
        <v>1</v>
      </c>
      <c r="AI1093" s="246">
        <v>1040</v>
      </c>
      <c r="AJ1093" s="246">
        <f t="shared" si="420"/>
        <v>0</v>
      </c>
      <c r="AK1093" s="246"/>
      <c r="AL1093" s="246"/>
      <c r="AM1093" s="246"/>
      <c r="AN1093" s="246"/>
      <c r="AO1093" s="551">
        <f>I1093</f>
        <v>1040</v>
      </c>
      <c r="AP1093" s="551"/>
      <c r="AQ1093" s="551"/>
      <c r="AR1093" s="650"/>
      <c r="AS1093" s="551"/>
      <c r="AT1093" s="554">
        <f>I1093</f>
        <v>1040</v>
      </c>
      <c r="AU1093" s="551"/>
      <c r="AV1093" s="554">
        <f>I1093</f>
        <v>1040</v>
      </c>
      <c r="AW1093" s="650"/>
      <c r="AX1093" s="551"/>
      <c r="AY1093" s="551"/>
      <c r="AZ1093" s="551"/>
      <c r="BA1093" s="551"/>
      <c r="BB1093" s="620">
        <f>I1093/24</f>
        <v>43.3333333333333</v>
      </c>
      <c r="BC1093" s="651"/>
      <c r="BD1093" s="551"/>
      <c r="BE1093" s="551"/>
      <c r="BF1093" s="551"/>
      <c r="BH1093" s="551"/>
      <c r="BI1093" s="551"/>
      <c r="BJ1093" s="551"/>
      <c r="BK1093" s="551"/>
      <c r="BL1093" s="551"/>
      <c r="BM1093" s="551">
        <f>I1093/13</f>
        <v>80</v>
      </c>
      <c r="BN1093" s="551"/>
      <c r="BO1093" s="551"/>
      <c r="BP1093" s="551"/>
      <c r="BQ1093" s="551"/>
      <c r="BR1093" s="551"/>
      <c r="BS1093" s="551"/>
      <c r="BT1093" s="551"/>
      <c r="BU1093" s="551"/>
      <c r="BV1093" s="551"/>
      <c r="BW1093" s="551"/>
      <c r="BX1093" s="551"/>
      <c r="BY1093" s="650"/>
      <c r="BZ1093" s="551"/>
      <c r="CA1093" s="652"/>
      <c r="CB1093" s="567"/>
      <c r="CC1093" s="653"/>
      <c r="CD1093" s="650"/>
      <c r="CE1093" s="650"/>
      <c r="CF1093" s="551"/>
      <c r="CG1093" s="551"/>
      <c r="CI1093" s="551"/>
      <c r="CJ1093" s="551"/>
      <c r="CK1093" s="551"/>
      <c r="CL1093" s="551"/>
      <c r="CM1093" s="551"/>
      <c r="CN1093" s="551"/>
      <c r="CO1093" s="551"/>
      <c r="CP1093" s="551"/>
      <c r="CQ1093" s="551"/>
      <c r="CR1093" s="551"/>
      <c r="CS1093" s="551"/>
      <c r="CT1093" s="551"/>
      <c r="CU1093" s="554">
        <f t="shared" si="400"/>
        <v>0</v>
      </c>
      <c r="CV1093" s="551">
        <f t="shared" ref="CV1093:CV1117" si="421">CK1093+CL1093+CM1093+CN1093+CO1093+CQ1093+CP1093</f>
        <v>0</v>
      </c>
      <c r="CW1093" s="551">
        <f t="shared" ref="CW1093:CW1117" si="422">CI1093+CJ1093</f>
        <v>0</v>
      </c>
      <c r="CX1093" s="650"/>
      <c r="CY1093" s="650"/>
      <c r="CZ1093" s="650"/>
      <c r="DA1093" s="548"/>
      <c r="DB1093" s="548"/>
      <c r="DC1093" s="548"/>
      <c r="DD1093" s="650"/>
      <c r="DE1093" s="650"/>
      <c r="DF1093" s="650"/>
      <c r="DG1093" s="650"/>
      <c r="DH1093" s="650"/>
    </row>
    <row r="1094" s="548" customFormat="1" ht="31" customHeight="1" spans="1:112">
      <c r="A1094" s="641">
        <v>45994</v>
      </c>
      <c r="B1094" s="642" t="s">
        <v>404</v>
      </c>
      <c r="C1094" s="246" t="s">
        <v>278</v>
      </c>
      <c r="D1094" s="551">
        <v>4500187827</v>
      </c>
      <c r="E1094" s="246">
        <v>196107</v>
      </c>
      <c r="F1094" s="551" t="s">
        <v>8755</v>
      </c>
      <c r="G1094" s="246" t="s">
        <v>6025</v>
      </c>
      <c r="H1094" s="246" t="s">
        <v>6026</v>
      </c>
      <c r="I1094" s="704">
        <v>1008</v>
      </c>
      <c r="J1094" s="246">
        <v>0</v>
      </c>
      <c r="K1094" s="246">
        <v>24</v>
      </c>
      <c r="L1094" s="644">
        <f t="shared" si="412"/>
        <v>42</v>
      </c>
      <c r="M1094" s="645">
        <v>46078</v>
      </c>
      <c r="N1094" s="645">
        <v>46074</v>
      </c>
      <c r="O1094" s="246"/>
      <c r="P1094" s="643" t="s">
        <v>113</v>
      </c>
      <c r="Q1094" s="246"/>
      <c r="R1094" s="646">
        <v>45994</v>
      </c>
      <c r="S1094" s="646" t="s">
        <v>70</v>
      </c>
      <c r="T1094" s="646" t="s">
        <v>2495</v>
      </c>
      <c r="U1094" s="646"/>
      <c r="V1094" s="646"/>
      <c r="W1094" s="615"/>
      <c r="X1094" s="642" t="s">
        <v>8756</v>
      </c>
      <c r="Y1094" s="642" t="s">
        <v>505</v>
      </c>
      <c r="Z1094" s="655">
        <v>0.8656</v>
      </c>
      <c r="AA1094" s="647">
        <f t="shared" ref="AA1090:AA1102" si="423">Z1094*I1094</f>
        <v>872.5248</v>
      </c>
      <c r="AC1094" s="648"/>
      <c r="AD1094" s="246" t="s">
        <v>6025</v>
      </c>
      <c r="AE1094" s="246" t="s">
        <v>82</v>
      </c>
      <c r="AF1094" s="246"/>
      <c r="AG1094" s="642"/>
      <c r="AH1094" s="642">
        <v>1</v>
      </c>
      <c r="AI1094" s="246">
        <v>1008</v>
      </c>
      <c r="AJ1094" s="246">
        <f t="shared" si="420"/>
        <v>0</v>
      </c>
      <c r="AK1094" s="246"/>
      <c r="AL1094" s="246" t="s">
        <v>454</v>
      </c>
      <c r="AM1094" s="246"/>
      <c r="AN1094" s="246"/>
      <c r="AO1094" s="551">
        <f>I1094</f>
        <v>1008</v>
      </c>
      <c r="AP1094" s="551"/>
      <c r="AQ1094" s="551"/>
      <c r="AR1094" s="650"/>
      <c r="AS1094" s="551"/>
      <c r="AT1094" s="554">
        <f>I1094</f>
        <v>1008</v>
      </c>
      <c r="AU1094" s="663"/>
      <c r="AV1094" s="554">
        <f>I1094</f>
        <v>1008</v>
      </c>
      <c r="AW1094" s="650"/>
      <c r="AX1094" s="551"/>
      <c r="AY1094" s="551"/>
      <c r="AZ1094" s="551"/>
      <c r="BA1094" s="551"/>
      <c r="BB1094" s="620">
        <f>I1094/24</f>
        <v>42</v>
      </c>
      <c r="BC1094" s="651"/>
      <c r="BD1094" s="551"/>
      <c r="BE1094" s="551"/>
      <c r="BF1094" s="551"/>
      <c r="BH1094" s="551"/>
      <c r="BI1094" s="551"/>
      <c r="BJ1094" s="551"/>
      <c r="BK1094" s="551"/>
      <c r="BL1094" s="551"/>
      <c r="BM1094" s="551"/>
      <c r="BN1094" s="551"/>
      <c r="BO1094" s="551"/>
      <c r="BP1094" s="551"/>
      <c r="BQ1094" s="551"/>
      <c r="BR1094" s="551"/>
      <c r="BS1094" s="551"/>
      <c r="BT1094" s="551"/>
      <c r="BU1094" s="551"/>
      <c r="BV1094" s="551"/>
      <c r="BW1094" s="551"/>
      <c r="BX1094" s="551"/>
      <c r="BY1094" s="650"/>
      <c r="BZ1094" s="551"/>
      <c r="CA1094" s="652"/>
      <c r="CB1094" s="567"/>
      <c r="CC1094" s="653"/>
      <c r="CD1094" s="650"/>
      <c r="CE1094" s="650"/>
      <c r="CF1094" s="551"/>
      <c r="CG1094" s="551"/>
      <c r="CI1094" s="551"/>
      <c r="CJ1094" s="551"/>
      <c r="CK1094" s="551"/>
      <c r="CL1094" s="551"/>
      <c r="CM1094" s="551"/>
      <c r="CN1094" s="551"/>
      <c r="CO1094" s="551"/>
      <c r="CP1094" s="551"/>
      <c r="CQ1094" s="551"/>
      <c r="CR1094" s="551"/>
      <c r="CS1094" s="551"/>
      <c r="CT1094" s="551"/>
      <c r="CU1094" s="554">
        <f t="shared" si="400"/>
        <v>0</v>
      </c>
      <c r="CV1094" s="551">
        <f t="shared" si="421"/>
        <v>0</v>
      </c>
      <c r="CW1094" s="551">
        <f t="shared" si="422"/>
        <v>0</v>
      </c>
      <c r="CX1094" s="650"/>
      <c r="CY1094" s="650"/>
      <c r="CZ1094" s="650"/>
      <c r="DA1094" s="548"/>
      <c r="DB1094" s="548"/>
      <c r="DC1094" s="548"/>
      <c r="DD1094" s="650"/>
      <c r="DE1094" s="650"/>
      <c r="DF1094" s="650"/>
      <c r="DG1094" s="650"/>
      <c r="DH1094" s="650"/>
    </row>
    <row r="1095" s="548" customFormat="1" ht="31" customHeight="1" spans="1:112">
      <c r="A1095" s="641">
        <v>46009</v>
      </c>
      <c r="B1095" s="642" t="s">
        <v>143</v>
      </c>
      <c r="C1095" s="246" t="s">
        <v>98</v>
      </c>
      <c r="D1095" s="551">
        <v>4500189333</v>
      </c>
      <c r="E1095" s="246">
        <v>966920061</v>
      </c>
      <c r="F1095" s="551" t="s">
        <v>8757</v>
      </c>
      <c r="G1095" s="246" t="s">
        <v>6063</v>
      </c>
      <c r="H1095" s="246" t="s">
        <v>6064</v>
      </c>
      <c r="I1095" s="704">
        <v>4800</v>
      </c>
      <c r="J1095" s="246">
        <v>0</v>
      </c>
      <c r="K1095" s="246">
        <v>16</v>
      </c>
      <c r="L1095" s="644">
        <f t="shared" si="412"/>
        <v>300</v>
      </c>
      <c r="M1095" s="645">
        <v>46078</v>
      </c>
      <c r="N1095" s="645">
        <v>46074</v>
      </c>
      <c r="O1095" s="246" t="s">
        <v>8758</v>
      </c>
      <c r="P1095" s="643" t="s">
        <v>113</v>
      </c>
      <c r="Q1095" s="246"/>
      <c r="R1095" s="646" t="s">
        <v>7064</v>
      </c>
      <c r="S1095" s="646" t="s">
        <v>70</v>
      </c>
      <c r="T1095" s="646" t="s">
        <v>8759</v>
      </c>
      <c r="U1095" s="646"/>
      <c r="V1095" s="646"/>
      <c r="W1095" s="615"/>
      <c r="X1095" s="642" t="s">
        <v>7065</v>
      </c>
      <c r="Y1095" s="642" t="s">
        <v>106</v>
      </c>
      <c r="Z1095" s="655">
        <v>0.5783</v>
      </c>
      <c r="AA1095" s="647">
        <f t="shared" si="423"/>
        <v>2775.84</v>
      </c>
      <c r="AC1095" s="658" t="s">
        <v>8760</v>
      </c>
      <c r="AD1095" s="246" t="s">
        <v>6063</v>
      </c>
      <c r="AE1095" s="246" t="s">
        <v>82</v>
      </c>
      <c r="AF1095" s="246"/>
      <c r="AG1095" s="642"/>
      <c r="AH1095" s="642">
        <v>1</v>
      </c>
      <c r="AI1095" s="246">
        <v>4800</v>
      </c>
      <c r="AJ1095" s="246">
        <f t="shared" si="420"/>
        <v>0</v>
      </c>
      <c r="AK1095" s="246"/>
      <c r="AL1095" s="246" t="s">
        <v>2368</v>
      </c>
      <c r="AM1095" s="246"/>
      <c r="AN1095" s="246">
        <f>I1095</f>
        <v>4800</v>
      </c>
      <c r="AO1095" s="551"/>
      <c r="AP1095" s="554">
        <f>I1095</f>
        <v>4800</v>
      </c>
      <c r="AQ1095" s="551"/>
      <c r="AR1095" s="650"/>
      <c r="AS1095" s="551"/>
      <c r="AT1095" s="551"/>
      <c r="AU1095" s="554">
        <f>I1095</f>
        <v>4800</v>
      </c>
      <c r="AV1095" s="551"/>
      <c r="AW1095" s="650"/>
      <c r="AX1095" s="551"/>
      <c r="AY1095" s="551"/>
      <c r="AZ1095" s="551"/>
      <c r="BA1095" s="551"/>
      <c r="BB1095" s="249">
        <f>I1095/24</f>
        <v>200</v>
      </c>
      <c r="BC1095" s="651"/>
      <c r="BD1095" s="551"/>
      <c r="BE1095" s="551"/>
      <c r="BF1095" s="551"/>
      <c r="BH1095" s="551"/>
      <c r="BI1095" s="551"/>
      <c r="BJ1095" s="551"/>
      <c r="BK1095" s="551"/>
      <c r="BL1095" s="551"/>
      <c r="BM1095" s="551"/>
      <c r="BN1095" s="551"/>
      <c r="BO1095" s="551"/>
      <c r="BP1095" s="551"/>
      <c r="BQ1095" s="551">
        <f>I1095/16</f>
        <v>300</v>
      </c>
      <c r="BR1095" s="551"/>
      <c r="BS1095" s="551"/>
      <c r="BT1095" s="551"/>
      <c r="BU1095" s="551"/>
      <c r="BV1095" s="551"/>
      <c r="BW1095" s="551"/>
      <c r="BX1095" s="551"/>
      <c r="BY1095" s="650"/>
      <c r="BZ1095" s="551"/>
      <c r="CA1095" s="652"/>
      <c r="CB1095" s="567"/>
      <c r="CC1095" s="653"/>
      <c r="CD1095" s="650"/>
      <c r="CE1095" s="650"/>
      <c r="CF1095" s="551"/>
      <c r="CG1095" s="551"/>
      <c r="CI1095" s="551"/>
      <c r="CJ1095" s="551"/>
      <c r="CK1095" s="551"/>
      <c r="CL1095" s="551"/>
      <c r="CM1095" s="551"/>
      <c r="CN1095" s="551"/>
      <c r="CO1095" s="551"/>
      <c r="CP1095" s="551"/>
      <c r="CQ1095" s="551"/>
      <c r="CR1095" s="551"/>
      <c r="CS1095" s="551"/>
      <c r="CT1095" s="551"/>
      <c r="CU1095" s="554">
        <f t="shared" si="400"/>
        <v>300</v>
      </c>
      <c r="CV1095" s="551">
        <f t="shared" si="421"/>
        <v>0</v>
      </c>
      <c r="CW1095" s="551">
        <f t="shared" si="422"/>
        <v>0</v>
      </c>
      <c r="CX1095" s="650"/>
      <c r="CY1095" s="650"/>
      <c r="CZ1095" s="650"/>
      <c r="DA1095" s="548"/>
      <c r="DB1095" s="548"/>
      <c r="DC1095" s="548"/>
      <c r="DD1095" s="650"/>
      <c r="DE1095" s="650"/>
      <c r="DF1095" s="650"/>
      <c r="DG1095" s="650"/>
      <c r="DH1095" s="650"/>
    </row>
    <row r="1096" s="548" customFormat="1" ht="31" customHeight="1" spans="1:112">
      <c r="A1096" s="641">
        <v>46009</v>
      </c>
      <c r="B1096" s="642" t="s">
        <v>143</v>
      </c>
      <c r="C1096" s="246" t="s">
        <v>98</v>
      </c>
      <c r="D1096" s="551">
        <v>4500189333</v>
      </c>
      <c r="E1096" s="246">
        <v>966920079</v>
      </c>
      <c r="F1096" s="551" t="s">
        <v>8761</v>
      </c>
      <c r="G1096" s="246" t="s">
        <v>6063</v>
      </c>
      <c r="H1096" s="246" t="s">
        <v>6064</v>
      </c>
      <c r="I1096" s="704">
        <v>42240</v>
      </c>
      <c r="J1096" s="246">
        <v>0</v>
      </c>
      <c r="K1096" s="246">
        <v>16</v>
      </c>
      <c r="L1096" s="644">
        <f t="shared" si="412"/>
        <v>2640</v>
      </c>
      <c r="M1096" s="645">
        <v>46078</v>
      </c>
      <c r="N1096" s="645">
        <v>46074</v>
      </c>
      <c r="O1096" s="246" t="s">
        <v>8758</v>
      </c>
      <c r="P1096" s="643" t="s">
        <v>113</v>
      </c>
      <c r="Q1096" s="246"/>
      <c r="R1096" s="646" t="s">
        <v>7064</v>
      </c>
      <c r="S1096" s="646" t="s">
        <v>70</v>
      </c>
      <c r="T1096" s="646" t="s">
        <v>8759</v>
      </c>
      <c r="U1096" s="646"/>
      <c r="V1096" s="646"/>
      <c r="W1096" s="615"/>
      <c r="X1096" s="642" t="s">
        <v>7065</v>
      </c>
      <c r="Y1096" s="642" t="s">
        <v>106</v>
      </c>
      <c r="Z1096" s="655">
        <v>0.5783</v>
      </c>
      <c r="AA1096" s="647">
        <f t="shared" si="423"/>
        <v>24427.392</v>
      </c>
      <c r="AC1096" s="658" t="s">
        <v>8762</v>
      </c>
      <c r="AD1096" s="246" t="s">
        <v>6063</v>
      </c>
      <c r="AE1096" s="246" t="s">
        <v>82</v>
      </c>
      <c r="AF1096" s="246"/>
      <c r="AG1096" s="642"/>
      <c r="AH1096" s="642">
        <v>1</v>
      </c>
      <c r="AI1096" s="246">
        <f>8448+19008+14784</f>
        <v>42240</v>
      </c>
      <c r="AJ1096" s="246">
        <f t="shared" si="420"/>
        <v>0</v>
      </c>
      <c r="AK1096" s="246"/>
      <c r="AL1096" s="246" t="s">
        <v>2368</v>
      </c>
      <c r="AM1096" s="246"/>
      <c r="AN1096" s="246">
        <f>I1096</f>
        <v>42240</v>
      </c>
      <c r="AO1096" s="551"/>
      <c r="AP1096" s="554">
        <f>I1096</f>
        <v>42240</v>
      </c>
      <c r="AQ1096" s="551"/>
      <c r="AR1096" s="650"/>
      <c r="AS1096" s="551"/>
      <c r="AT1096" s="551"/>
      <c r="AU1096" s="554">
        <f>I1096</f>
        <v>42240</v>
      </c>
      <c r="AV1096" s="551"/>
      <c r="AW1096" s="650"/>
      <c r="AX1096" s="551"/>
      <c r="AY1096" s="551"/>
      <c r="AZ1096" s="551"/>
      <c r="BA1096" s="551"/>
      <c r="BB1096" s="249">
        <f>I1096/24</f>
        <v>1760</v>
      </c>
      <c r="BC1096" s="651"/>
      <c r="BD1096" s="551"/>
      <c r="BE1096" s="551"/>
      <c r="BF1096" s="551"/>
      <c r="BH1096" s="551"/>
      <c r="BI1096" s="551"/>
      <c r="BJ1096" s="551"/>
      <c r="BK1096" s="551"/>
      <c r="BL1096" s="551"/>
      <c r="BM1096" s="551"/>
      <c r="BN1096" s="551"/>
      <c r="BO1096" s="551"/>
      <c r="BP1096" s="551"/>
      <c r="BQ1096" s="551">
        <f>I1096/16</f>
        <v>2640</v>
      </c>
      <c r="BR1096" s="551"/>
      <c r="BS1096" s="551"/>
      <c r="BT1096" s="551"/>
      <c r="BU1096" s="551"/>
      <c r="BV1096" s="551"/>
      <c r="BW1096" s="551"/>
      <c r="BX1096" s="551"/>
      <c r="BY1096" s="650"/>
      <c r="BZ1096" s="551"/>
      <c r="CA1096" s="652"/>
      <c r="CB1096" s="567"/>
      <c r="CC1096" s="653"/>
      <c r="CD1096" s="650"/>
      <c r="CE1096" s="650"/>
      <c r="CF1096" s="551"/>
      <c r="CG1096" s="551"/>
      <c r="CI1096" s="551"/>
      <c r="CJ1096" s="551"/>
      <c r="CK1096" s="551"/>
      <c r="CL1096" s="551"/>
      <c r="CM1096" s="551"/>
      <c r="CN1096" s="551"/>
      <c r="CO1096" s="551"/>
      <c r="CP1096" s="551"/>
      <c r="CQ1096" s="551"/>
      <c r="CR1096" s="551"/>
      <c r="CS1096" s="551"/>
      <c r="CT1096" s="551"/>
      <c r="CU1096" s="554">
        <f t="shared" si="400"/>
        <v>2640</v>
      </c>
      <c r="CV1096" s="551">
        <f t="shared" si="421"/>
        <v>0</v>
      </c>
      <c r="CW1096" s="551">
        <f t="shared" si="422"/>
        <v>0</v>
      </c>
      <c r="CX1096" s="650"/>
      <c r="CY1096" s="650"/>
      <c r="CZ1096" s="650"/>
      <c r="DA1096" s="548"/>
      <c r="DB1096" s="548"/>
      <c r="DC1096" s="548"/>
      <c r="DD1096" s="650"/>
      <c r="DE1096" s="650"/>
      <c r="DF1096" s="650"/>
      <c r="DG1096" s="650"/>
      <c r="DH1096" s="650"/>
    </row>
    <row r="1097" s="548" customFormat="1" ht="31" customHeight="1" spans="1:112">
      <c r="A1097" s="641">
        <v>46009</v>
      </c>
      <c r="B1097" s="642" t="s">
        <v>143</v>
      </c>
      <c r="C1097" s="246" t="s">
        <v>98</v>
      </c>
      <c r="D1097" s="551">
        <v>4500189333</v>
      </c>
      <c r="E1097" s="246">
        <v>966920081</v>
      </c>
      <c r="F1097" s="551" t="s">
        <v>8763</v>
      </c>
      <c r="G1097" s="246" t="s">
        <v>6063</v>
      </c>
      <c r="H1097" s="246" t="s">
        <v>6064</v>
      </c>
      <c r="I1097" s="704">
        <v>50880</v>
      </c>
      <c r="J1097" s="246">
        <v>0</v>
      </c>
      <c r="K1097" s="246">
        <v>16</v>
      </c>
      <c r="L1097" s="644">
        <f t="shared" si="412"/>
        <v>3180</v>
      </c>
      <c r="M1097" s="645">
        <v>46078</v>
      </c>
      <c r="N1097" s="645">
        <v>46074</v>
      </c>
      <c r="O1097" s="246" t="s">
        <v>8758</v>
      </c>
      <c r="P1097" s="643" t="s">
        <v>113</v>
      </c>
      <c r="Q1097" s="246"/>
      <c r="R1097" s="646" t="s">
        <v>7064</v>
      </c>
      <c r="S1097" s="646" t="s">
        <v>70</v>
      </c>
      <c r="T1097" s="646" t="s">
        <v>8759</v>
      </c>
      <c r="U1097" s="646"/>
      <c r="V1097" s="646"/>
      <c r="W1097" s="615"/>
      <c r="X1097" s="642" t="s">
        <v>7065</v>
      </c>
      <c r="Y1097" s="642" t="s">
        <v>106</v>
      </c>
      <c r="Z1097" s="655">
        <v>0.5783</v>
      </c>
      <c r="AA1097" s="647">
        <f t="shared" si="423"/>
        <v>29423.904</v>
      </c>
      <c r="AC1097" s="658" t="s">
        <v>8764</v>
      </c>
      <c r="AD1097" s="246" t="s">
        <v>6063</v>
      </c>
      <c r="AE1097" s="246" t="s">
        <v>82</v>
      </c>
      <c r="AF1097" s="246"/>
      <c r="AG1097" s="642"/>
      <c r="AH1097" s="642">
        <v>1</v>
      </c>
      <c r="AI1097" s="246">
        <v>50880</v>
      </c>
      <c r="AJ1097" s="246">
        <f t="shared" si="420"/>
        <v>0</v>
      </c>
      <c r="AK1097" s="246"/>
      <c r="AL1097" s="246" t="s">
        <v>2368</v>
      </c>
      <c r="AM1097" s="246"/>
      <c r="AN1097" s="246">
        <f>I1097</f>
        <v>50880</v>
      </c>
      <c r="AO1097" s="551"/>
      <c r="AP1097" s="554">
        <f>I1097</f>
        <v>50880</v>
      </c>
      <c r="AQ1097" s="551"/>
      <c r="AR1097" s="650"/>
      <c r="AS1097" s="551"/>
      <c r="AT1097" s="551"/>
      <c r="AU1097" s="554">
        <f>I1097</f>
        <v>50880</v>
      </c>
      <c r="AV1097" s="551"/>
      <c r="AW1097" s="650"/>
      <c r="AX1097" s="551"/>
      <c r="AY1097" s="551"/>
      <c r="AZ1097" s="551"/>
      <c r="BA1097" s="551"/>
      <c r="BB1097" s="249">
        <f>I1097/24</f>
        <v>2120</v>
      </c>
      <c r="BC1097" s="651"/>
      <c r="BD1097" s="551"/>
      <c r="BE1097" s="551"/>
      <c r="BF1097" s="551"/>
      <c r="BH1097" s="551"/>
      <c r="BI1097" s="551"/>
      <c r="BJ1097" s="551"/>
      <c r="BK1097" s="551"/>
      <c r="BL1097" s="551"/>
      <c r="BM1097" s="551"/>
      <c r="BN1097" s="551"/>
      <c r="BO1097" s="551"/>
      <c r="BP1097" s="551"/>
      <c r="BQ1097" s="551">
        <f>I1097/16</f>
        <v>3180</v>
      </c>
      <c r="BR1097" s="551"/>
      <c r="BS1097" s="551"/>
      <c r="BT1097" s="551"/>
      <c r="BU1097" s="551"/>
      <c r="BV1097" s="551"/>
      <c r="BW1097" s="551"/>
      <c r="BX1097" s="551"/>
      <c r="BY1097" s="650"/>
      <c r="BZ1097" s="551"/>
      <c r="CA1097" s="652"/>
      <c r="CB1097" s="567"/>
      <c r="CC1097" s="653"/>
      <c r="CD1097" s="650"/>
      <c r="CE1097" s="650"/>
      <c r="CF1097" s="551"/>
      <c r="CG1097" s="551"/>
      <c r="CI1097" s="551"/>
      <c r="CJ1097" s="551"/>
      <c r="CK1097" s="551"/>
      <c r="CL1097" s="551"/>
      <c r="CM1097" s="551"/>
      <c r="CN1097" s="551"/>
      <c r="CO1097" s="551"/>
      <c r="CP1097" s="551"/>
      <c r="CQ1097" s="551"/>
      <c r="CR1097" s="551"/>
      <c r="CS1097" s="551"/>
      <c r="CT1097" s="551"/>
      <c r="CU1097" s="554">
        <f t="shared" si="400"/>
        <v>3180</v>
      </c>
      <c r="CV1097" s="551">
        <f t="shared" si="421"/>
        <v>0</v>
      </c>
      <c r="CW1097" s="551">
        <f t="shared" si="422"/>
        <v>0</v>
      </c>
      <c r="CX1097" s="650"/>
      <c r="CY1097" s="650"/>
      <c r="CZ1097" s="650"/>
      <c r="DA1097" s="548"/>
      <c r="DB1097" s="548"/>
      <c r="DC1097" s="548"/>
      <c r="DD1097" s="650"/>
      <c r="DE1097" s="650"/>
      <c r="DF1097" s="650"/>
      <c r="DG1097" s="650"/>
      <c r="DH1097" s="650"/>
    </row>
    <row r="1098" s="548" customFormat="1" ht="31" customHeight="1" spans="1:112">
      <c r="A1098" s="641">
        <v>45988</v>
      </c>
      <c r="B1098" s="642" t="s">
        <v>549</v>
      </c>
      <c r="C1098" s="246" t="s">
        <v>278</v>
      </c>
      <c r="D1098" s="551">
        <v>4500187223</v>
      </c>
      <c r="E1098" s="246" t="s">
        <v>3094</v>
      </c>
      <c r="F1098" s="551" t="s">
        <v>3095</v>
      </c>
      <c r="G1098" s="246" t="s">
        <v>6337</v>
      </c>
      <c r="H1098" s="246" t="s">
        <v>477</v>
      </c>
      <c r="I1098" s="704">
        <v>504</v>
      </c>
      <c r="J1098" s="246">
        <v>0</v>
      </c>
      <c r="K1098" s="246">
        <v>6</v>
      </c>
      <c r="L1098" s="644">
        <f t="shared" si="412"/>
        <v>84</v>
      </c>
      <c r="M1098" s="645">
        <v>46079</v>
      </c>
      <c r="N1098" s="645">
        <v>46076</v>
      </c>
      <c r="O1098" s="246"/>
      <c r="P1098" s="643" t="s">
        <v>113</v>
      </c>
      <c r="Q1098" s="246"/>
      <c r="R1098" s="646" t="s">
        <v>463</v>
      </c>
      <c r="S1098" s="646" t="s">
        <v>104</v>
      </c>
      <c r="T1098" s="646">
        <v>46361</v>
      </c>
      <c r="U1098" s="646"/>
      <c r="V1098" s="646"/>
      <c r="W1098" s="615"/>
      <c r="X1098" s="642" t="s">
        <v>3096</v>
      </c>
      <c r="Y1098" s="642" t="s">
        <v>466</v>
      </c>
      <c r="Z1098" s="655">
        <v>7.1628</v>
      </c>
      <c r="AA1098" s="647">
        <f t="shared" si="423"/>
        <v>3610.0512</v>
      </c>
      <c r="AC1098" s="648"/>
      <c r="AD1098" s="246" t="s">
        <v>480</v>
      </c>
      <c r="AE1098" s="246" t="s">
        <v>82</v>
      </c>
      <c r="AF1098" s="246"/>
      <c r="AG1098" s="642"/>
      <c r="AH1098" s="642">
        <v>1</v>
      </c>
      <c r="AI1098" s="246">
        <v>504</v>
      </c>
      <c r="AJ1098" s="246">
        <f t="shared" si="420"/>
        <v>0</v>
      </c>
      <c r="AK1098" s="246"/>
      <c r="AL1098" s="246" t="s">
        <v>2368</v>
      </c>
      <c r="AM1098" s="246"/>
      <c r="AN1098" s="246"/>
      <c r="AO1098" s="554">
        <f>I1098*2</f>
        <v>1008</v>
      </c>
      <c r="AP1098" s="551"/>
      <c r="AQ1098" s="551"/>
      <c r="AR1098" s="650"/>
      <c r="AS1098" s="551"/>
      <c r="AT1098" s="554">
        <f t="shared" ref="AT1098:AT1103" si="424">I1098*2</f>
        <v>1008</v>
      </c>
      <c r="AU1098" s="551"/>
      <c r="AV1098" s="554">
        <f>I1098*2</f>
        <v>1008</v>
      </c>
      <c r="AW1098" s="650"/>
      <c r="AX1098" s="551"/>
      <c r="AY1098" s="551"/>
      <c r="AZ1098" s="551"/>
      <c r="BA1098" s="551"/>
      <c r="BB1098" s="620">
        <f>I1098/24*2</f>
        <v>42</v>
      </c>
      <c r="BC1098" s="651"/>
      <c r="BD1098" s="551"/>
      <c r="BE1098" s="551"/>
      <c r="BF1098" s="551"/>
      <c r="BH1098" s="551"/>
      <c r="BI1098" s="551"/>
      <c r="BJ1098" s="551"/>
      <c r="BK1098" s="551"/>
      <c r="BL1098" s="551"/>
      <c r="BM1098" s="551"/>
      <c r="BN1098" s="551"/>
      <c r="BO1098" s="551"/>
      <c r="BP1098" s="551"/>
      <c r="BQ1098" s="551"/>
      <c r="BR1098" s="551"/>
      <c r="BS1098" s="551"/>
      <c r="BT1098" s="551"/>
      <c r="BU1098" s="551"/>
      <c r="BV1098" s="551"/>
      <c r="BW1098" s="551"/>
      <c r="BX1098" s="551"/>
      <c r="BY1098" s="650"/>
      <c r="BZ1098" s="551">
        <f>I1098</f>
        <v>504</v>
      </c>
      <c r="CA1098" s="652"/>
      <c r="CB1098" s="567"/>
      <c r="CC1098" s="653"/>
      <c r="CD1098" s="650"/>
      <c r="CE1098" s="650"/>
      <c r="CF1098" s="551"/>
      <c r="CG1098" s="551"/>
      <c r="CI1098" s="551"/>
      <c r="CJ1098" s="551"/>
      <c r="CK1098" s="551"/>
      <c r="CL1098" s="551"/>
      <c r="CM1098" s="551"/>
      <c r="CN1098" s="551"/>
      <c r="CO1098" s="551"/>
      <c r="CP1098" s="551"/>
      <c r="CQ1098" s="551"/>
      <c r="CR1098" s="551"/>
      <c r="CS1098" s="551"/>
      <c r="CT1098" s="551"/>
      <c r="CU1098" s="554">
        <f t="shared" si="400"/>
        <v>0</v>
      </c>
      <c r="CV1098" s="551">
        <f t="shared" si="421"/>
        <v>0</v>
      </c>
      <c r="CW1098" s="551">
        <f t="shared" si="422"/>
        <v>0</v>
      </c>
      <c r="CX1098" s="650"/>
      <c r="CY1098" s="650"/>
      <c r="CZ1098" s="650"/>
      <c r="DA1098" s="548"/>
      <c r="DB1098" s="548"/>
      <c r="DC1098" s="548"/>
      <c r="DD1098" s="650"/>
      <c r="DE1098" s="650"/>
      <c r="DF1098" s="650"/>
      <c r="DG1098" s="650"/>
      <c r="DH1098" s="650"/>
    </row>
    <row r="1099" s="548" customFormat="1" ht="31" customHeight="1" spans="1:112">
      <c r="A1099" s="641">
        <v>45988</v>
      </c>
      <c r="B1099" s="642" t="s">
        <v>549</v>
      </c>
      <c r="C1099" s="246" t="s">
        <v>154</v>
      </c>
      <c r="D1099" s="551">
        <v>4500187223</v>
      </c>
      <c r="E1099" s="246" t="s">
        <v>3097</v>
      </c>
      <c r="F1099" s="551" t="s">
        <v>3098</v>
      </c>
      <c r="G1099" s="246" t="s">
        <v>6337</v>
      </c>
      <c r="H1099" s="246" t="s">
        <v>477</v>
      </c>
      <c r="I1099" s="704">
        <v>2430</v>
      </c>
      <c r="J1099" s="246">
        <v>0</v>
      </c>
      <c r="K1099" s="246">
        <v>6</v>
      </c>
      <c r="L1099" s="644">
        <f t="shared" si="412"/>
        <v>405</v>
      </c>
      <c r="M1099" s="645">
        <v>46079</v>
      </c>
      <c r="N1099" s="645">
        <v>46076</v>
      </c>
      <c r="O1099" s="246"/>
      <c r="P1099" s="643" t="s">
        <v>113</v>
      </c>
      <c r="Q1099" s="246"/>
      <c r="R1099" s="646" t="s">
        <v>463</v>
      </c>
      <c r="S1099" s="646" t="s">
        <v>104</v>
      </c>
      <c r="T1099" s="646">
        <v>46361</v>
      </c>
      <c r="U1099" s="646"/>
      <c r="V1099" s="646"/>
      <c r="W1099" s="615"/>
      <c r="X1099" s="642" t="s">
        <v>3096</v>
      </c>
      <c r="Y1099" s="642" t="s">
        <v>466</v>
      </c>
      <c r="Z1099" s="655">
        <v>6.8284</v>
      </c>
      <c r="AA1099" s="647">
        <f t="shared" si="423"/>
        <v>16593.012</v>
      </c>
      <c r="AC1099" s="648"/>
      <c r="AD1099" s="246" t="s">
        <v>480</v>
      </c>
      <c r="AE1099" s="246" t="s">
        <v>82</v>
      </c>
      <c r="AF1099" s="246"/>
      <c r="AG1099" s="642"/>
      <c r="AH1099" s="642">
        <v>1</v>
      </c>
      <c r="AI1099" s="246">
        <f>1296+1134</f>
        <v>2430</v>
      </c>
      <c r="AJ1099" s="246">
        <f t="shared" si="420"/>
        <v>0</v>
      </c>
      <c r="AK1099" s="246"/>
      <c r="AL1099" s="246" t="s">
        <v>2368</v>
      </c>
      <c r="AM1099" s="246"/>
      <c r="AN1099" s="246"/>
      <c r="AO1099" s="554">
        <f>I1099*2</f>
        <v>4860</v>
      </c>
      <c r="AP1099" s="551"/>
      <c r="AQ1099" s="551"/>
      <c r="AR1099" s="650"/>
      <c r="AS1099" s="551"/>
      <c r="AT1099" s="554">
        <f t="shared" si="424"/>
        <v>4860</v>
      </c>
      <c r="AU1099" s="551"/>
      <c r="AV1099" s="554">
        <f>I1099*2</f>
        <v>4860</v>
      </c>
      <c r="AW1099" s="650"/>
      <c r="AX1099" s="551"/>
      <c r="AY1099" s="551"/>
      <c r="AZ1099" s="551"/>
      <c r="BA1099" s="551"/>
      <c r="BB1099" s="620">
        <f>I1099/24*2</f>
        <v>202.5</v>
      </c>
      <c r="BC1099" s="651"/>
      <c r="BD1099" s="551"/>
      <c r="BE1099" s="551"/>
      <c r="BF1099" s="551"/>
      <c r="BH1099" s="551"/>
      <c r="BI1099" s="551"/>
      <c r="BJ1099" s="551"/>
      <c r="BK1099" s="551"/>
      <c r="BL1099" s="551"/>
      <c r="BM1099" s="551"/>
      <c r="BN1099" s="551"/>
      <c r="BO1099" s="551"/>
      <c r="BP1099" s="551"/>
      <c r="BQ1099" s="551"/>
      <c r="BR1099" s="551"/>
      <c r="BS1099" s="551"/>
      <c r="BT1099" s="551"/>
      <c r="BU1099" s="551"/>
      <c r="BV1099" s="551"/>
      <c r="BW1099" s="551"/>
      <c r="BX1099" s="551"/>
      <c r="BY1099" s="650"/>
      <c r="BZ1099" s="551">
        <f>I1099</f>
        <v>2430</v>
      </c>
      <c r="CA1099" s="652"/>
      <c r="CB1099" s="567"/>
      <c r="CC1099" s="653"/>
      <c r="CD1099" s="650"/>
      <c r="CE1099" s="650"/>
      <c r="CF1099" s="551"/>
      <c r="CG1099" s="551"/>
      <c r="CI1099" s="551"/>
      <c r="CJ1099" s="551"/>
      <c r="CK1099" s="551"/>
      <c r="CL1099" s="551"/>
      <c r="CM1099" s="551"/>
      <c r="CN1099" s="551"/>
      <c r="CO1099" s="551"/>
      <c r="CP1099" s="551"/>
      <c r="CQ1099" s="551"/>
      <c r="CR1099" s="551"/>
      <c r="CS1099" s="551"/>
      <c r="CT1099" s="551"/>
      <c r="CU1099" s="554">
        <f t="shared" ref="CU1099:CU1116" si="425">BQ1099+BP1099+BO1099+BN1099+BX1099+BR1099</f>
        <v>0</v>
      </c>
      <c r="CV1099" s="551">
        <f t="shared" si="421"/>
        <v>0</v>
      </c>
      <c r="CW1099" s="551">
        <f t="shared" si="422"/>
        <v>0</v>
      </c>
      <c r="CX1099" s="650"/>
      <c r="CY1099" s="650"/>
      <c r="CZ1099" s="650"/>
      <c r="DA1099" s="548"/>
      <c r="DB1099" s="548"/>
      <c r="DC1099" s="548"/>
      <c r="DD1099" s="650"/>
      <c r="DE1099" s="650"/>
      <c r="DF1099" s="650"/>
      <c r="DG1099" s="650"/>
      <c r="DH1099" s="650"/>
    </row>
    <row r="1100" s="548" customFormat="1" ht="31" customHeight="1" spans="1:112">
      <c r="A1100" s="641">
        <v>46009</v>
      </c>
      <c r="B1100" s="642" t="s">
        <v>1922</v>
      </c>
      <c r="C1100" s="246" t="s">
        <v>399</v>
      </c>
      <c r="D1100" s="551">
        <v>4500189248</v>
      </c>
      <c r="E1100" s="246" t="s">
        <v>8765</v>
      </c>
      <c r="F1100" s="551" t="s">
        <v>8766</v>
      </c>
      <c r="G1100" s="246" t="s">
        <v>6365</v>
      </c>
      <c r="H1100" s="246" t="s">
        <v>6126</v>
      </c>
      <c r="I1100" s="704">
        <v>6648</v>
      </c>
      <c r="J1100" s="246">
        <v>0</v>
      </c>
      <c r="K1100" s="246">
        <v>12</v>
      </c>
      <c r="L1100" s="644">
        <f t="shared" si="412"/>
        <v>554</v>
      </c>
      <c r="M1100" s="645">
        <v>46079</v>
      </c>
      <c r="N1100" s="645">
        <v>46076</v>
      </c>
      <c r="O1100" s="246"/>
      <c r="P1100" s="643" t="s">
        <v>113</v>
      </c>
      <c r="Q1100" s="246"/>
      <c r="R1100" s="646" t="s">
        <v>8767</v>
      </c>
      <c r="S1100" s="646" t="s">
        <v>1993</v>
      </c>
      <c r="T1100" s="646" t="s">
        <v>8768</v>
      </c>
      <c r="U1100" s="646"/>
      <c r="V1100" s="646"/>
      <c r="W1100" s="615"/>
      <c r="X1100" s="642" t="s">
        <v>8769</v>
      </c>
      <c r="Y1100" s="642" t="s">
        <v>428</v>
      </c>
      <c r="Z1100" s="655">
        <v>2.1422</v>
      </c>
      <c r="AA1100" s="647">
        <f t="shared" si="423"/>
        <v>14241.3456</v>
      </c>
      <c r="AC1100" s="648"/>
      <c r="AD1100" s="246" t="s">
        <v>6368</v>
      </c>
      <c r="AE1100" s="246" t="s">
        <v>82</v>
      </c>
      <c r="AF1100" s="246"/>
      <c r="AG1100" s="642"/>
      <c r="AH1100" s="642">
        <v>1</v>
      </c>
      <c r="AI1100" s="246">
        <v>6648</v>
      </c>
      <c r="AJ1100" s="246">
        <f t="shared" si="420"/>
        <v>0</v>
      </c>
      <c r="AK1100" s="246"/>
      <c r="AL1100" s="246" t="s">
        <v>2368</v>
      </c>
      <c r="AM1100" s="246"/>
      <c r="AN1100" s="246"/>
      <c r="AO1100" s="554">
        <f>I1100*2</f>
        <v>13296</v>
      </c>
      <c r="AP1100" s="551"/>
      <c r="AQ1100" s="551"/>
      <c r="AR1100" s="650"/>
      <c r="AS1100" s="551"/>
      <c r="AT1100" s="554">
        <f t="shared" si="424"/>
        <v>13296</v>
      </c>
      <c r="AU1100" s="551"/>
      <c r="AV1100" s="554">
        <f>I1100*2</f>
        <v>13296</v>
      </c>
      <c r="AW1100" s="650"/>
      <c r="AX1100" s="551"/>
      <c r="AY1100" s="551"/>
      <c r="AZ1100" s="551"/>
      <c r="BA1100" s="551"/>
      <c r="BB1100" s="249">
        <f>I1100/24*2</f>
        <v>554</v>
      </c>
      <c r="BC1100" s="651"/>
      <c r="BD1100" s="551"/>
      <c r="BE1100" s="551"/>
      <c r="BF1100" s="551"/>
      <c r="BH1100" s="551"/>
      <c r="BI1100" s="551"/>
      <c r="BJ1100" s="551"/>
      <c r="BK1100" s="551"/>
      <c r="BL1100" s="551"/>
      <c r="BM1100" s="551"/>
      <c r="BN1100" s="551"/>
      <c r="BO1100" s="551"/>
      <c r="BP1100" s="551"/>
      <c r="BQ1100" s="551"/>
      <c r="BR1100" s="551"/>
      <c r="BS1100" s="551"/>
      <c r="BT1100" s="551"/>
      <c r="BU1100" s="551"/>
      <c r="BV1100" s="551"/>
      <c r="BW1100" s="551"/>
      <c r="BX1100" s="551"/>
      <c r="BY1100" s="650"/>
      <c r="BZ1100" s="551"/>
      <c r="CA1100" s="652"/>
      <c r="CB1100" s="567"/>
      <c r="CC1100" s="653"/>
      <c r="CD1100" s="650"/>
      <c r="CE1100" s="650"/>
      <c r="CF1100" s="551"/>
      <c r="CG1100" s="551"/>
      <c r="CI1100" s="551"/>
      <c r="CJ1100" s="551"/>
      <c r="CK1100" s="551"/>
      <c r="CL1100" s="551"/>
      <c r="CM1100" s="551"/>
      <c r="CN1100" s="551"/>
      <c r="CO1100" s="551"/>
      <c r="CP1100" s="551"/>
      <c r="CQ1100" s="551"/>
      <c r="CR1100" s="554">
        <f>I1100</f>
        <v>6648</v>
      </c>
      <c r="CS1100" s="554">
        <f>I1100</f>
        <v>6648</v>
      </c>
      <c r="CT1100" s="554">
        <f>I1100</f>
        <v>6648</v>
      </c>
      <c r="CU1100" s="554">
        <f t="shared" si="425"/>
        <v>0</v>
      </c>
      <c r="CV1100" s="551">
        <f t="shared" si="421"/>
        <v>0</v>
      </c>
      <c r="CW1100" s="551">
        <f t="shared" si="422"/>
        <v>0</v>
      </c>
      <c r="CX1100" s="650"/>
      <c r="CY1100" s="650"/>
      <c r="CZ1100" s="650"/>
      <c r="DA1100" s="548"/>
      <c r="DB1100" s="548"/>
      <c r="DC1100" s="548"/>
      <c r="DD1100" s="650"/>
      <c r="DE1100" s="650"/>
      <c r="DF1100" s="650"/>
      <c r="DG1100" s="650"/>
      <c r="DH1100" s="650"/>
    </row>
    <row r="1101" s="548" customFormat="1" ht="31" customHeight="1" spans="1:112">
      <c r="A1101" s="641">
        <v>46009</v>
      </c>
      <c r="B1101" s="642" t="s">
        <v>1922</v>
      </c>
      <c r="C1101" s="246" t="s">
        <v>399</v>
      </c>
      <c r="D1101" s="551">
        <v>4500189248</v>
      </c>
      <c r="E1101" s="246" t="s">
        <v>8770</v>
      </c>
      <c r="F1101" s="551" t="s">
        <v>8771</v>
      </c>
      <c r="G1101" s="246" t="s">
        <v>6365</v>
      </c>
      <c r="H1101" s="246" t="s">
        <v>6126</v>
      </c>
      <c r="I1101" s="704">
        <v>1992</v>
      </c>
      <c r="J1101" s="246">
        <v>0</v>
      </c>
      <c r="K1101" s="246">
        <v>12</v>
      </c>
      <c r="L1101" s="644">
        <f t="shared" si="412"/>
        <v>166</v>
      </c>
      <c r="M1101" s="645">
        <v>46079</v>
      </c>
      <c r="N1101" s="645">
        <v>46076</v>
      </c>
      <c r="O1101" s="246"/>
      <c r="P1101" s="643" t="s">
        <v>113</v>
      </c>
      <c r="Q1101" s="246"/>
      <c r="R1101" s="646" t="s">
        <v>8767</v>
      </c>
      <c r="S1101" s="646" t="s">
        <v>1993</v>
      </c>
      <c r="T1101" s="646" t="s">
        <v>8768</v>
      </c>
      <c r="U1101" s="646"/>
      <c r="V1101" s="646"/>
      <c r="W1101" s="615"/>
      <c r="X1101" s="642" t="s">
        <v>8769</v>
      </c>
      <c r="Y1101" s="642" t="s">
        <v>428</v>
      </c>
      <c r="Z1101" s="655">
        <v>2.1629</v>
      </c>
      <c r="AA1101" s="647">
        <f t="shared" si="423"/>
        <v>4308.4968</v>
      </c>
      <c r="AC1101" s="648"/>
      <c r="AD1101" s="246" t="s">
        <v>6368</v>
      </c>
      <c r="AE1101" s="246" t="s">
        <v>82</v>
      </c>
      <c r="AF1101" s="246"/>
      <c r="AG1101" s="642"/>
      <c r="AH1101" s="642">
        <v>1</v>
      </c>
      <c r="AI1101" s="246">
        <v>1992</v>
      </c>
      <c r="AJ1101" s="246">
        <f t="shared" si="420"/>
        <v>0</v>
      </c>
      <c r="AK1101" s="246"/>
      <c r="AL1101" s="246" t="s">
        <v>2368</v>
      </c>
      <c r="AM1101" s="246"/>
      <c r="AN1101" s="246"/>
      <c r="AO1101" s="554">
        <f>I1101*2</f>
        <v>3984</v>
      </c>
      <c r="AP1101" s="551"/>
      <c r="AQ1101" s="551"/>
      <c r="AR1101" s="650"/>
      <c r="AS1101" s="551"/>
      <c r="AT1101" s="554">
        <f t="shared" si="424"/>
        <v>3984</v>
      </c>
      <c r="AU1101" s="551"/>
      <c r="AV1101" s="554">
        <f>I1101*2</f>
        <v>3984</v>
      </c>
      <c r="AW1101" s="650"/>
      <c r="AX1101" s="551"/>
      <c r="AY1101" s="551"/>
      <c r="AZ1101" s="551"/>
      <c r="BA1101" s="551"/>
      <c r="BB1101" s="249">
        <f>I1101/24*2</f>
        <v>166</v>
      </c>
      <c r="BC1101" s="651"/>
      <c r="BD1101" s="551"/>
      <c r="BE1101" s="551"/>
      <c r="BF1101" s="551"/>
      <c r="BH1101" s="551"/>
      <c r="BI1101" s="551"/>
      <c r="BJ1101" s="551"/>
      <c r="BK1101" s="551"/>
      <c r="BL1101" s="551"/>
      <c r="BM1101" s="551"/>
      <c r="BN1101" s="551"/>
      <c r="BO1101" s="551"/>
      <c r="BP1101" s="551"/>
      <c r="BQ1101" s="551"/>
      <c r="BR1101" s="551"/>
      <c r="BS1101" s="551"/>
      <c r="BT1101" s="551"/>
      <c r="BU1101" s="551"/>
      <c r="BV1101" s="551"/>
      <c r="BW1101" s="551"/>
      <c r="BX1101" s="551"/>
      <c r="BY1101" s="650"/>
      <c r="BZ1101" s="551"/>
      <c r="CA1101" s="652"/>
      <c r="CB1101" s="567"/>
      <c r="CC1101" s="653"/>
      <c r="CD1101" s="650"/>
      <c r="CE1101" s="650"/>
      <c r="CF1101" s="551"/>
      <c r="CG1101" s="551"/>
      <c r="CI1101" s="551"/>
      <c r="CJ1101" s="551"/>
      <c r="CK1101" s="551"/>
      <c r="CL1101" s="551"/>
      <c r="CM1101" s="551"/>
      <c r="CN1101" s="551"/>
      <c r="CO1101" s="551"/>
      <c r="CP1101" s="551"/>
      <c r="CQ1101" s="551"/>
      <c r="CR1101" s="554">
        <f>I1101</f>
        <v>1992</v>
      </c>
      <c r="CS1101" s="554">
        <f>I1101</f>
        <v>1992</v>
      </c>
      <c r="CT1101" s="554">
        <f>I1101</f>
        <v>1992</v>
      </c>
      <c r="CU1101" s="554">
        <f t="shared" si="425"/>
        <v>0</v>
      </c>
      <c r="CV1101" s="551">
        <f t="shared" si="421"/>
        <v>0</v>
      </c>
      <c r="CW1101" s="551">
        <f t="shared" si="422"/>
        <v>0</v>
      </c>
      <c r="CX1101" s="650"/>
      <c r="CY1101" s="650"/>
      <c r="CZ1101" s="650"/>
      <c r="DA1101" s="548"/>
      <c r="DB1101" s="548"/>
      <c r="DC1101" s="548"/>
      <c r="DD1101" s="650"/>
      <c r="DE1101" s="650"/>
      <c r="DF1101" s="650"/>
      <c r="DG1101" s="650"/>
      <c r="DH1101" s="650"/>
    </row>
    <row r="1102" s="548" customFormat="1" ht="31" customHeight="1" spans="1:112">
      <c r="A1102" s="641">
        <v>46028</v>
      </c>
      <c r="B1102" s="642" t="s">
        <v>448</v>
      </c>
      <c r="C1102" s="246" t="s">
        <v>399</v>
      </c>
      <c r="D1102" s="551">
        <v>4500190678</v>
      </c>
      <c r="E1102" s="246"/>
      <c r="F1102" s="551" t="s">
        <v>8772</v>
      </c>
      <c r="G1102" s="246" t="s">
        <v>6093</v>
      </c>
      <c r="H1102" s="693" t="s">
        <v>6094</v>
      </c>
      <c r="I1102" s="704">
        <v>2405</v>
      </c>
      <c r="J1102" s="246">
        <v>0</v>
      </c>
      <c r="K1102" s="246">
        <v>13</v>
      </c>
      <c r="L1102" s="644">
        <f t="shared" si="412"/>
        <v>185</v>
      </c>
      <c r="M1102" s="645">
        <v>46080</v>
      </c>
      <c r="N1102" s="645">
        <v>46076</v>
      </c>
      <c r="O1102" s="246"/>
      <c r="P1102" s="643" t="s">
        <v>113</v>
      </c>
      <c r="Q1102" s="246"/>
      <c r="R1102" s="646">
        <v>46030</v>
      </c>
      <c r="S1102" s="646" t="s">
        <v>70</v>
      </c>
      <c r="T1102" s="646" t="s">
        <v>8773</v>
      </c>
      <c r="U1102" s="646"/>
      <c r="V1102" s="646"/>
      <c r="W1102" s="615"/>
      <c r="X1102" s="628" t="s">
        <v>8774</v>
      </c>
      <c r="Y1102" s="642" t="s">
        <v>445</v>
      </c>
      <c r="Z1102" s="655">
        <v>0.8947</v>
      </c>
      <c r="AA1102" s="647">
        <f t="shared" si="423"/>
        <v>2151.7535</v>
      </c>
      <c r="AC1102" s="648"/>
      <c r="AD1102" s="246" t="s">
        <v>6093</v>
      </c>
      <c r="AE1102" s="246" t="s">
        <v>82</v>
      </c>
      <c r="AF1102" s="246"/>
      <c r="AG1102" s="642"/>
      <c r="AH1102" s="642">
        <v>1</v>
      </c>
      <c r="AI1102" s="246">
        <v>2405</v>
      </c>
      <c r="AJ1102" s="246">
        <f t="shared" si="420"/>
        <v>0</v>
      </c>
      <c r="AK1102" s="246"/>
      <c r="AL1102" s="246" t="s">
        <v>2368</v>
      </c>
      <c r="AM1102" s="246"/>
      <c r="AN1102" s="246"/>
      <c r="AO1102" s="551">
        <f>I1102</f>
        <v>2405</v>
      </c>
      <c r="AP1102" s="551"/>
      <c r="AQ1102" s="551"/>
      <c r="AR1102" s="650"/>
      <c r="AS1102" s="551"/>
      <c r="AT1102" s="554">
        <f>I1102</f>
        <v>2405</v>
      </c>
      <c r="AU1102" s="551"/>
      <c r="AV1102" s="554">
        <f>I1102</f>
        <v>2405</v>
      </c>
      <c r="AW1102" s="650"/>
      <c r="AX1102" s="551"/>
      <c r="AY1102" s="551"/>
      <c r="AZ1102" s="551"/>
      <c r="BA1102" s="551"/>
      <c r="BB1102" s="249">
        <f>I1102/24</f>
        <v>100.208333333333</v>
      </c>
      <c r="BC1102" s="651"/>
      <c r="BD1102" s="551"/>
      <c r="BE1102" s="551"/>
      <c r="BF1102" s="551"/>
      <c r="BH1102" s="551"/>
      <c r="BI1102" s="551"/>
      <c r="BJ1102" s="551"/>
      <c r="BK1102" s="551"/>
      <c r="BL1102" s="551"/>
      <c r="BM1102" s="551">
        <f>I1102/13</f>
        <v>185</v>
      </c>
      <c r="BN1102" s="551"/>
      <c r="BO1102" s="551"/>
      <c r="BP1102" s="551"/>
      <c r="BQ1102" s="551"/>
      <c r="BR1102" s="551"/>
      <c r="BS1102" s="551"/>
      <c r="BT1102" s="551"/>
      <c r="BU1102" s="551"/>
      <c r="BV1102" s="551"/>
      <c r="BW1102" s="551"/>
      <c r="BX1102" s="551"/>
      <c r="BY1102" s="650"/>
      <c r="BZ1102" s="551"/>
      <c r="CA1102" s="652"/>
      <c r="CB1102" s="567"/>
      <c r="CC1102" s="653"/>
      <c r="CD1102" s="650"/>
      <c r="CE1102" s="650"/>
      <c r="CF1102" s="551"/>
      <c r="CG1102" s="551"/>
      <c r="CI1102" s="551"/>
      <c r="CJ1102" s="551"/>
      <c r="CK1102" s="551"/>
      <c r="CL1102" s="551"/>
      <c r="CM1102" s="551"/>
      <c r="CN1102" s="551"/>
      <c r="CO1102" s="551"/>
      <c r="CP1102" s="551"/>
      <c r="CQ1102" s="551"/>
      <c r="CR1102" s="551"/>
      <c r="CS1102" s="551"/>
      <c r="CT1102" s="551"/>
      <c r="CU1102" s="554">
        <f t="shared" si="425"/>
        <v>0</v>
      </c>
      <c r="CV1102" s="551">
        <f t="shared" si="421"/>
        <v>0</v>
      </c>
      <c r="CW1102" s="551">
        <f t="shared" si="422"/>
        <v>0</v>
      </c>
      <c r="CX1102" s="650"/>
      <c r="CY1102" s="650"/>
      <c r="CZ1102" s="650"/>
      <c r="DA1102" s="548"/>
      <c r="DB1102" s="548"/>
      <c r="DC1102" s="548"/>
      <c r="DD1102" s="650"/>
      <c r="DE1102" s="650"/>
      <c r="DF1102" s="650"/>
      <c r="DG1102" s="650"/>
      <c r="DH1102" s="650"/>
    </row>
    <row r="1103" s="548" customFormat="1" ht="31" customHeight="1" spans="1:112">
      <c r="A1103" s="641">
        <v>46028</v>
      </c>
      <c r="B1103" s="642" t="s">
        <v>448</v>
      </c>
      <c r="C1103" s="246" t="s">
        <v>399</v>
      </c>
      <c r="D1103" s="551">
        <v>4500190678</v>
      </c>
      <c r="E1103" s="246"/>
      <c r="F1103" s="551" t="s">
        <v>8775</v>
      </c>
      <c r="G1103" s="246" t="s">
        <v>6223</v>
      </c>
      <c r="H1103" s="246" t="s">
        <v>6080</v>
      </c>
      <c r="I1103" s="704">
        <v>2790</v>
      </c>
      <c r="J1103" s="246">
        <v>0</v>
      </c>
      <c r="K1103" s="246">
        <v>30</v>
      </c>
      <c r="L1103" s="644">
        <f t="shared" si="412"/>
        <v>93</v>
      </c>
      <c r="M1103" s="645">
        <v>46080</v>
      </c>
      <c r="N1103" s="645">
        <v>46076</v>
      </c>
      <c r="O1103" s="246"/>
      <c r="P1103" s="643" t="s">
        <v>113</v>
      </c>
      <c r="Q1103" s="246"/>
      <c r="R1103" s="646">
        <v>46030</v>
      </c>
      <c r="S1103" s="646" t="s">
        <v>70</v>
      </c>
      <c r="T1103" s="646" t="s">
        <v>8776</v>
      </c>
      <c r="U1103" s="646"/>
      <c r="V1103" s="646"/>
      <c r="W1103" s="615"/>
      <c r="X1103" s="628" t="s">
        <v>8777</v>
      </c>
      <c r="Y1103" s="642" t="s">
        <v>445</v>
      </c>
      <c r="Z1103" s="655">
        <v>40.6757</v>
      </c>
      <c r="AA1103" s="647">
        <f>Z1103*L1103</f>
        <v>3782.8401</v>
      </c>
      <c r="AC1103" s="648"/>
      <c r="AD1103" s="246" t="s">
        <v>6223</v>
      </c>
      <c r="AE1103" s="246" t="s">
        <v>82</v>
      </c>
      <c r="AF1103" s="246"/>
      <c r="AG1103" s="642"/>
      <c r="AH1103" s="642">
        <v>1</v>
      </c>
      <c r="AI1103" s="246">
        <v>2790</v>
      </c>
      <c r="AJ1103" s="246">
        <f t="shared" si="420"/>
        <v>0</v>
      </c>
      <c r="AK1103" s="246"/>
      <c r="AL1103" s="246" t="s">
        <v>2368</v>
      </c>
      <c r="AM1103" s="246"/>
      <c r="AN1103" s="246"/>
      <c r="AO1103" s="551">
        <f>I1103</f>
        <v>2790</v>
      </c>
      <c r="AP1103" s="551"/>
      <c r="AQ1103" s="551"/>
      <c r="AR1103" s="650"/>
      <c r="AS1103" s="551"/>
      <c r="AT1103" s="554">
        <f>I1103</f>
        <v>2790</v>
      </c>
      <c r="AU1103" s="551"/>
      <c r="AV1103" s="554">
        <f>I1103</f>
        <v>2790</v>
      </c>
      <c r="AW1103" s="650"/>
      <c r="AX1103" s="551"/>
      <c r="AY1103" s="551"/>
      <c r="AZ1103" s="551"/>
      <c r="BA1103" s="551"/>
      <c r="BB1103" s="249">
        <f>I1103/24</f>
        <v>116.25</v>
      </c>
      <c r="BC1103" s="651"/>
      <c r="BD1103" s="551"/>
      <c r="BE1103" s="551"/>
      <c r="BF1103" s="551"/>
      <c r="BH1103" s="551"/>
      <c r="BI1103" s="551"/>
      <c r="BJ1103" s="551"/>
      <c r="BK1103" s="551"/>
      <c r="BL1103" s="551"/>
      <c r="BM1103" s="551"/>
      <c r="BN1103" s="551"/>
      <c r="BO1103" s="551"/>
      <c r="BP1103" s="551"/>
      <c r="BQ1103" s="551"/>
      <c r="BR1103" s="551"/>
      <c r="BS1103" s="551"/>
      <c r="BT1103" s="551"/>
      <c r="BU1103" s="551"/>
      <c r="BV1103" s="551"/>
      <c r="BW1103" s="551"/>
      <c r="BX1103" s="551"/>
      <c r="BY1103" s="650"/>
      <c r="BZ1103" s="551"/>
      <c r="CA1103" s="652"/>
      <c r="CB1103" s="567"/>
      <c r="CC1103" s="653"/>
      <c r="CD1103" s="650"/>
      <c r="CE1103" s="650"/>
      <c r="CF1103" s="551"/>
      <c r="CG1103" s="551"/>
      <c r="CI1103" s="551"/>
      <c r="CJ1103" s="551"/>
      <c r="CK1103" s="551"/>
      <c r="CL1103" s="551"/>
      <c r="CM1103" s="551"/>
      <c r="CN1103" s="551"/>
      <c r="CO1103" s="551"/>
      <c r="CP1103" s="554">
        <f>I1103/30</f>
        <v>93</v>
      </c>
      <c r="CQ1103" s="551"/>
      <c r="CR1103" s="551"/>
      <c r="CS1103" s="551"/>
      <c r="CT1103" s="551"/>
      <c r="CU1103" s="554">
        <f t="shared" si="425"/>
        <v>0</v>
      </c>
      <c r="CV1103" s="551">
        <f t="shared" si="421"/>
        <v>93</v>
      </c>
      <c r="CW1103" s="551">
        <f t="shared" si="422"/>
        <v>0</v>
      </c>
      <c r="CX1103" s="650"/>
      <c r="CY1103" s="650"/>
      <c r="CZ1103" s="650"/>
      <c r="DA1103" s="548"/>
      <c r="DB1103" s="548"/>
      <c r="DC1103" s="548"/>
      <c r="DD1103" s="650"/>
      <c r="DE1103" s="650"/>
      <c r="DF1103" s="650"/>
      <c r="DG1103" s="650"/>
      <c r="DH1103" s="650"/>
    </row>
    <row r="1104" s="548" customFormat="1" ht="31" customHeight="1" spans="1:112">
      <c r="A1104" s="641">
        <v>46015</v>
      </c>
      <c r="B1104" s="642" t="s">
        <v>1856</v>
      </c>
      <c r="C1104" s="246" t="s">
        <v>1857</v>
      </c>
      <c r="D1104" s="551">
        <v>4500189773</v>
      </c>
      <c r="E1104" s="246" t="s">
        <v>3207</v>
      </c>
      <c r="F1104" s="551" t="s">
        <v>8778</v>
      </c>
      <c r="G1104" s="246" t="s">
        <v>6043</v>
      </c>
      <c r="H1104" s="246" t="s">
        <v>6110</v>
      </c>
      <c r="I1104" s="704">
        <v>2500</v>
      </c>
      <c r="J1104" s="246">
        <v>0</v>
      </c>
      <c r="K1104" s="246">
        <v>50</v>
      </c>
      <c r="L1104" s="644">
        <f t="shared" si="412"/>
        <v>50</v>
      </c>
      <c r="M1104" s="645">
        <v>46080</v>
      </c>
      <c r="N1104" s="645">
        <f>M1104-4</f>
        <v>46076</v>
      </c>
      <c r="O1104" s="246"/>
      <c r="P1104" s="643" t="s">
        <v>113</v>
      </c>
      <c r="Q1104" s="246"/>
      <c r="R1104" s="646">
        <v>46026</v>
      </c>
      <c r="S1104" s="646" t="s">
        <v>70</v>
      </c>
      <c r="T1104" s="646">
        <v>46035</v>
      </c>
      <c r="U1104" s="646"/>
      <c r="V1104" s="646"/>
      <c r="W1104" s="615"/>
      <c r="X1104" s="642" t="s">
        <v>3210</v>
      </c>
      <c r="Y1104" s="642" t="s">
        <v>529</v>
      </c>
      <c r="Z1104" s="655">
        <v>0.941</v>
      </c>
      <c r="AA1104" s="647">
        <f>Z1104*I1104</f>
        <v>2352.5</v>
      </c>
      <c r="AC1104" s="648"/>
      <c r="AD1104" s="246" t="s">
        <v>6043</v>
      </c>
      <c r="AE1104" s="246" t="s">
        <v>82</v>
      </c>
      <c r="AF1104" s="246"/>
      <c r="AG1104" s="642"/>
      <c r="AH1104" s="642">
        <v>1</v>
      </c>
      <c r="AI1104" s="246">
        <v>2500</v>
      </c>
      <c r="AJ1104" s="246">
        <f t="shared" si="420"/>
        <v>0</v>
      </c>
      <c r="AK1104" s="246"/>
      <c r="AL1104" s="246" t="s">
        <v>2368</v>
      </c>
      <c r="AM1104" s="246"/>
      <c r="AN1104" s="246"/>
      <c r="AO1104" s="551">
        <f>I1104</f>
        <v>2500</v>
      </c>
      <c r="AP1104" s="551"/>
      <c r="AQ1104" s="551"/>
      <c r="AR1104" s="650"/>
      <c r="AS1104" s="551"/>
      <c r="AT1104" s="554">
        <f>I1104</f>
        <v>2500</v>
      </c>
      <c r="AU1104" s="663"/>
      <c r="AV1104" s="554">
        <f>I1104</f>
        <v>2500</v>
      </c>
      <c r="AW1104" s="650"/>
      <c r="AX1104" s="551"/>
      <c r="AY1104" s="551"/>
      <c r="AZ1104" s="551"/>
      <c r="BA1104" s="551"/>
      <c r="BB1104" s="620">
        <f>I1104/24</f>
        <v>104.166666666667</v>
      </c>
      <c r="BC1104" s="651"/>
      <c r="BD1104" s="551"/>
      <c r="BE1104" s="551"/>
      <c r="BF1104" s="551"/>
      <c r="BH1104" s="551"/>
      <c r="BI1104" s="551"/>
      <c r="BJ1104" s="551"/>
      <c r="BK1104" s="551"/>
      <c r="BL1104" s="551"/>
      <c r="BM1104" s="551"/>
      <c r="BN1104" s="551"/>
      <c r="BO1104" s="551"/>
      <c r="BP1104" s="551">
        <f>I1104/25</f>
        <v>100</v>
      </c>
      <c r="BQ1104" s="551"/>
      <c r="BR1104" s="551"/>
      <c r="BS1104" s="551"/>
      <c r="BT1104" s="551"/>
      <c r="BU1104" s="551"/>
      <c r="BV1104" s="551"/>
      <c r="BW1104" s="551"/>
      <c r="BX1104" s="551"/>
      <c r="BY1104" s="650"/>
      <c r="BZ1104" s="551"/>
      <c r="CA1104" s="652"/>
      <c r="CB1104" s="567"/>
      <c r="CC1104" s="653"/>
      <c r="CD1104" s="650"/>
      <c r="CE1104" s="650"/>
      <c r="CF1104" s="551"/>
      <c r="CG1104" s="551"/>
      <c r="CI1104" s="551"/>
      <c r="CJ1104" s="551"/>
      <c r="CK1104" s="551"/>
      <c r="CL1104" s="551"/>
      <c r="CM1104" s="551"/>
      <c r="CN1104" s="551"/>
      <c r="CO1104" s="551"/>
      <c r="CP1104" s="551"/>
      <c r="CQ1104" s="551"/>
      <c r="CR1104" s="551"/>
      <c r="CS1104" s="551"/>
      <c r="CT1104" s="551"/>
      <c r="CU1104" s="554">
        <f t="shared" si="425"/>
        <v>100</v>
      </c>
      <c r="CV1104" s="551">
        <f t="shared" si="421"/>
        <v>0</v>
      </c>
      <c r="CW1104" s="551">
        <f t="shared" si="422"/>
        <v>0</v>
      </c>
      <c r="CX1104" s="650"/>
      <c r="CY1104" s="650"/>
      <c r="CZ1104" s="650"/>
      <c r="DA1104" s="548"/>
      <c r="DB1104" s="548"/>
      <c r="DC1104" s="548"/>
      <c r="DD1104" s="650"/>
      <c r="DE1104" s="650"/>
      <c r="DF1104" s="650"/>
      <c r="DG1104" s="650"/>
      <c r="DH1104" s="650"/>
    </row>
    <row r="1105" s="548" customFormat="1" ht="31" customHeight="1" spans="1:112">
      <c r="A1105" s="641">
        <v>45978</v>
      </c>
      <c r="B1105" s="642" t="s">
        <v>1492</v>
      </c>
      <c r="C1105" s="246" t="s">
        <v>98</v>
      </c>
      <c r="D1105" s="551">
        <v>4500185935</v>
      </c>
      <c r="E1105" s="643">
        <v>9601216986</v>
      </c>
      <c r="F1105" s="551" t="s">
        <v>3105</v>
      </c>
      <c r="G1105" s="246" t="s">
        <v>8457</v>
      </c>
      <c r="H1105" s="246" t="s">
        <v>830</v>
      </c>
      <c r="I1105" s="704">
        <v>5400</v>
      </c>
      <c r="J1105" s="246">
        <v>0</v>
      </c>
      <c r="K1105" s="246">
        <v>75</v>
      </c>
      <c r="L1105" s="644">
        <f t="shared" si="412"/>
        <v>72</v>
      </c>
      <c r="M1105" s="645">
        <v>46081</v>
      </c>
      <c r="N1105" s="645">
        <v>46077</v>
      </c>
      <c r="O1105" s="246"/>
      <c r="P1105" s="643" t="s">
        <v>113</v>
      </c>
      <c r="Q1105" s="246"/>
      <c r="R1105" s="646" t="s">
        <v>2667</v>
      </c>
      <c r="S1105" s="646" t="s">
        <v>70</v>
      </c>
      <c r="T1105" s="646" t="s">
        <v>70</v>
      </c>
      <c r="U1105" s="646"/>
      <c r="V1105" s="646"/>
      <c r="W1105" s="615"/>
      <c r="X1105" s="642" t="s">
        <v>2826</v>
      </c>
      <c r="Y1105" s="642" t="s">
        <v>911</v>
      </c>
      <c r="Z1105" s="655">
        <v>359.3436</v>
      </c>
      <c r="AA1105" s="647">
        <f>Z1105*L1105</f>
        <v>25872.7392</v>
      </c>
      <c r="AC1105" s="658" t="s">
        <v>3106</v>
      </c>
      <c r="AD1105" s="246" t="s">
        <v>1498</v>
      </c>
      <c r="AE1105" s="246" t="s">
        <v>82</v>
      </c>
      <c r="AF1105" s="246"/>
      <c r="AG1105" s="642"/>
      <c r="AH1105" s="642">
        <v>1</v>
      </c>
      <c r="AI1105" s="246">
        <v>5400</v>
      </c>
      <c r="AJ1105" s="246">
        <f t="shared" si="420"/>
        <v>0</v>
      </c>
      <c r="AK1105" s="246"/>
      <c r="AL1105" s="246"/>
      <c r="AM1105" s="246"/>
      <c r="AN1105" s="610">
        <f>I1105*3</f>
        <v>16200</v>
      </c>
      <c r="AO1105" s="551"/>
      <c r="AP1105" s="551"/>
      <c r="AQ1105" s="551"/>
      <c r="AR1105" s="650"/>
      <c r="AS1105" s="551"/>
      <c r="AT1105" s="551"/>
      <c r="AU1105" s="551"/>
      <c r="AV1105" s="551"/>
      <c r="AW1105" s="650"/>
      <c r="AX1105" s="551"/>
      <c r="AY1105" s="551"/>
      <c r="AZ1105" s="551"/>
      <c r="BA1105" s="551"/>
      <c r="BB1105" s="249">
        <f>I1105/24*3</f>
        <v>675</v>
      </c>
      <c r="BC1105" s="651"/>
      <c r="BD1105" s="551"/>
      <c r="BE1105" s="551"/>
      <c r="BF1105" s="551">
        <f>AN1105</f>
        <v>16200</v>
      </c>
      <c r="BH1105" s="551">
        <f>AN1105</f>
        <v>16200</v>
      </c>
      <c r="BI1105" s="551">
        <f>I1105</f>
        <v>5400</v>
      </c>
      <c r="BJ1105" s="551">
        <f>I1105/5</f>
        <v>1080</v>
      </c>
      <c r="BK1105" s="551"/>
      <c r="BL1105" s="551"/>
      <c r="BM1105" s="551"/>
      <c r="BN1105" s="551"/>
      <c r="BO1105" s="551"/>
      <c r="BP1105" s="551"/>
      <c r="BQ1105" s="551"/>
      <c r="BR1105" s="551"/>
      <c r="BS1105" s="551"/>
      <c r="BT1105" s="551"/>
      <c r="BU1105" s="551"/>
      <c r="BV1105" s="551"/>
      <c r="BW1105" s="551"/>
      <c r="BX1105" s="551"/>
      <c r="BY1105" s="650"/>
      <c r="BZ1105" s="551"/>
      <c r="CA1105" s="652"/>
      <c r="CB1105" s="567"/>
      <c r="CC1105" s="653"/>
      <c r="CD1105" s="650"/>
      <c r="CE1105" s="650"/>
      <c r="CF1105" s="551"/>
      <c r="CG1105" s="551"/>
      <c r="CI1105" s="551"/>
      <c r="CJ1105" s="551"/>
      <c r="CK1105" s="551"/>
      <c r="CL1105" s="551"/>
      <c r="CM1105" s="551"/>
      <c r="CN1105" s="551"/>
      <c r="CO1105" s="551"/>
      <c r="CP1105" s="551"/>
      <c r="CQ1105" s="551"/>
      <c r="CR1105" s="551"/>
      <c r="CS1105" s="551"/>
      <c r="CT1105" s="551"/>
      <c r="CU1105" s="554">
        <f t="shared" si="425"/>
        <v>0</v>
      </c>
      <c r="CV1105" s="551">
        <f t="shared" si="421"/>
        <v>0</v>
      </c>
      <c r="CW1105" s="551">
        <f t="shared" si="422"/>
        <v>0</v>
      </c>
      <c r="CX1105" s="650"/>
      <c r="CY1105" s="650"/>
      <c r="CZ1105" s="650"/>
      <c r="DA1105" s="548"/>
      <c r="DB1105" s="548"/>
      <c r="DC1105" s="548"/>
      <c r="DD1105" s="650"/>
      <c r="DE1105" s="650"/>
      <c r="DF1105" s="650"/>
      <c r="DG1105" s="650"/>
      <c r="DH1105" s="650"/>
    </row>
    <row r="1106" s="548" customFormat="1" ht="31" customHeight="1" spans="1:112">
      <c r="A1106" s="641">
        <v>45978</v>
      </c>
      <c r="B1106" s="642" t="s">
        <v>1492</v>
      </c>
      <c r="C1106" s="246" t="s">
        <v>98</v>
      </c>
      <c r="D1106" s="551">
        <v>4500185936</v>
      </c>
      <c r="E1106" s="643">
        <v>9601216987</v>
      </c>
      <c r="F1106" s="551" t="s">
        <v>3108</v>
      </c>
      <c r="G1106" s="246" t="s">
        <v>8457</v>
      </c>
      <c r="H1106" s="246" t="s">
        <v>830</v>
      </c>
      <c r="I1106" s="704">
        <v>5400</v>
      </c>
      <c r="J1106" s="246">
        <v>0</v>
      </c>
      <c r="K1106" s="246">
        <v>75</v>
      </c>
      <c r="L1106" s="644">
        <f t="shared" si="412"/>
        <v>72</v>
      </c>
      <c r="M1106" s="645">
        <v>46081</v>
      </c>
      <c r="N1106" s="645">
        <v>46077</v>
      </c>
      <c r="O1106" s="246"/>
      <c r="P1106" s="643" t="s">
        <v>113</v>
      </c>
      <c r="Q1106" s="246"/>
      <c r="R1106" s="646" t="s">
        <v>2667</v>
      </c>
      <c r="S1106" s="646" t="s">
        <v>70</v>
      </c>
      <c r="T1106" s="646" t="s">
        <v>70</v>
      </c>
      <c r="U1106" s="646"/>
      <c r="V1106" s="646"/>
      <c r="W1106" s="615"/>
      <c r="X1106" s="642" t="s">
        <v>2826</v>
      </c>
      <c r="Y1106" s="642" t="s">
        <v>911</v>
      </c>
      <c r="Z1106" s="655">
        <v>359.3436</v>
      </c>
      <c r="AA1106" s="647">
        <f>Z1106*L1106</f>
        <v>25872.7392</v>
      </c>
      <c r="AC1106" s="658" t="s">
        <v>3109</v>
      </c>
      <c r="AD1106" s="246" t="s">
        <v>1498</v>
      </c>
      <c r="AE1106" s="246" t="s">
        <v>82</v>
      </c>
      <c r="AF1106" s="246"/>
      <c r="AG1106" s="642"/>
      <c r="AH1106" s="642">
        <v>1</v>
      </c>
      <c r="AI1106" s="246">
        <f>760+3960+680</f>
        <v>5400</v>
      </c>
      <c r="AJ1106" s="246">
        <f t="shared" si="420"/>
        <v>0</v>
      </c>
      <c r="AK1106" s="246"/>
      <c r="AL1106" s="246"/>
      <c r="AM1106" s="246"/>
      <c r="AN1106" s="610">
        <f>I1106*3</f>
        <v>16200</v>
      </c>
      <c r="AO1106" s="551"/>
      <c r="AP1106" s="551"/>
      <c r="AQ1106" s="551"/>
      <c r="AR1106" s="650"/>
      <c r="AS1106" s="551"/>
      <c r="AT1106" s="551"/>
      <c r="AU1106" s="551"/>
      <c r="AV1106" s="551"/>
      <c r="AW1106" s="650"/>
      <c r="AX1106" s="551"/>
      <c r="AY1106" s="551"/>
      <c r="AZ1106" s="551"/>
      <c r="BA1106" s="551"/>
      <c r="BB1106" s="249">
        <f>I1106/24*3</f>
        <v>675</v>
      </c>
      <c r="BC1106" s="651"/>
      <c r="BD1106" s="551"/>
      <c r="BE1106" s="551"/>
      <c r="BF1106" s="551">
        <f>AN1106</f>
        <v>16200</v>
      </c>
      <c r="BH1106" s="551">
        <f>AN1106</f>
        <v>16200</v>
      </c>
      <c r="BI1106" s="551">
        <f>I1106</f>
        <v>5400</v>
      </c>
      <c r="BJ1106" s="551">
        <f>I1106/5</f>
        <v>1080</v>
      </c>
      <c r="BK1106" s="551"/>
      <c r="BL1106" s="551"/>
      <c r="BM1106" s="551"/>
      <c r="BN1106" s="551"/>
      <c r="BO1106" s="551"/>
      <c r="BP1106" s="551"/>
      <c r="BQ1106" s="551"/>
      <c r="BR1106" s="551"/>
      <c r="BS1106" s="551"/>
      <c r="BT1106" s="551"/>
      <c r="BU1106" s="551"/>
      <c r="BV1106" s="551"/>
      <c r="BW1106" s="551"/>
      <c r="BX1106" s="551"/>
      <c r="BY1106" s="650"/>
      <c r="BZ1106" s="551"/>
      <c r="CA1106" s="652"/>
      <c r="CB1106" s="567"/>
      <c r="CC1106" s="653"/>
      <c r="CD1106" s="650"/>
      <c r="CE1106" s="650"/>
      <c r="CF1106" s="551"/>
      <c r="CG1106" s="551"/>
      <c r="CI1106" s="551"/>
      <c r="CJ1106" s="551"/>
      <c r="CK1106" s="551"/>
      <c r="CL1106" s="551"/>
      <c r="CM1106" s="551"/>
      <c r="CN1106" s="551"/>
      <c r="CO1106" s="551"/>
      <c r="CP1106" s="551"/>
      <c r="CQ1106" s="551"/>
      <c r="CR1106" s="551"/>
      <c r="CS1106" s="551"/>
      <c r="CT1106" s="551"/>
      <c r="CU1106" s="554">
        <f t="shared" si="425"/>
        <v>0</v>
      </c>
      <c r="CV1106" s="551">
        <f t="shared" si="421"/>
        <v>0</v>
      </c>
      <c r="CW1106" s="551">
        <f t="shared" si="422"/>
        <v>0</v>
      </c>
      <c r="CX1106" s="650"/>
      <c r="CY1106" s="650"/>
      <c r="CZ1106" s="650"/>
      <c r="DA1106" s="548"/>
      <c r="DB1106" s="548"/>
      <c r="DC1106" s="548"/>
      <c r="DD1106" s="650"/>
      <c r="DE1106" s="650"/>
      <c r="DF1106" s="650"/>
      <c r="DG1106" s="650"/>
      <c r="DH1106" s="650"/>
    </row>
    <row r="1107" s="548" customFormat="1" ht="31" customHeight="1" spans="1:112">
      <c r="A1107" s="641">
        <v>45980</v>
      </c>
      <c r="B1107" s="642" t="s">
        <v>3110</v>
      </c>
      <c r="C1107" s="246" t="s">
        <v>524</v>
      </c>
      <c r="D1107" s="551">
        <v>4500186204</v>
      </c>
      <c r="E1107" s="246"/>
      <c r="F1107" s="551" t="s">
        <v>8779</v>
      </c>
      <c r="G1107" s="246" t="s">
        <v>6043</v>
      </c>
      <c r="H1107" s="246" t="s">
        <v>6110</v>
      </c>
      <c r="I1107" s="704">
        <v>3000</v>
      </c>
      <c r="J1107" s="246">
        <v>0</v>
      </c>
      <c r="K1107" s="246">
        <v>50</v>
      </c>
      <c r="L1107" s="644">
        <f t="shared" si="412"/>
        <v>60</v>
      </c>
      <c r="M1107" s="645">
        <v>46082</v>
      </c>
      <c r="N1107" s="645">
        <v>46082</v>
      </c>
      <c r="O1107" s="246" t="s">
        <v>8780</v>
      </c>
      <c r="P1107" s="643" t="s">
        <v>113</v>
      </c>
      <c r="Q1107" s="246"/>
      <c r="R1107" s="646" t="s">
        <v>8781</v>
      </c>
      <c r="S1107" s="646" t="s">
        <v>104</v>
      </c>
      <c r="T1107" s="646" t="s">
        <v>8782</v>
      </c>
      <c r="U1107" s="646"/>
      <c r="V1107" s="646"/>
      <c r="W1107" s="615"/>
      <c r="X1107" s="642" t="s">
        <v>8783</v>
      </c>
      <c r="Y1107" s="642" t="s">
        <v>943</v>
      </c>
      <c r="Z1107" s="655">
        <v>0.924</v>
      </c>
      <c r="AA1107" s="647">
        <f t="shared" ref="AA1107:AA1117" si="426">Z1107*I1107</f>
        <v>2772</v>
      </c>
      <c r="AC1107" s="648"/>
      <c r="AD1107" s="246" t="s">
        <v>6043</v>
      </c>
      <c r="AE1107" s="246" t="s">
        <v>82</v>
      </c>
      <c r="AF1107" s="246"/>
      <c r="AG1107" s="642"/>
      <c r="AH1107" s="642" t="s">
        <v>8784</v>
      </c>
      <c r="AI1107" s="246">
        <v>3000</v>
      </c>
      <c r="AJ1107" s="246">
        <f t="shared" si="420"/>
        <v>0</v>
      </c>
      <c r="AK1107" s="246"/>
      <c r="AL1107" s="246" t="s">
        <v>2368</v>
      </c>
      <c r="AM1107" s="246"/>
      <c r="AN1107" s="246"/>
      <c r="AO1107" s="551">
        <f>I1107</f>
        <v>3000</v>
      </c>
      <c r="AP1107" s="551"/>
      <c r="AQ1107" s="551"/>
      <c r="AR1107" s="650"/>
      <c r="AS1107" s="551"/>
      <c r="AT1107" s="554">
        <f>I1107</f>
        <v>3000</v>
      </c>
      <c r="AU1107" s="551"/>
      <c r="AV1107" s="554">
        <f>I1107</f>
        <v>3000</v>
      </c>
      <c r="AW1107" s="650"/>
      <c r="AX1107" s="551"/>
      <c r="AY1107" s="551"/>
      <c r="AZ1107" s="551"/>
      <c r="BA1107" s="551"/>
      <c r="BB1107" s="620">
        <f>I1107/24</f>
        <v>125</v>
      </c>
      <c r="BC1107" s="651"/>
      <c r="BD1107" s="551"/>
      <c r="BE1107" s="551"/>
      <c r="BF1107" s="551"/>
      <c r="BH1107" s="551"/>
      <c r="BI1107" s="551"/>
      <c r="BJ1107" s="551"/>
      <c r="BK1107" s="551"/>
      <c r="BL1107" s="551"/>
      <c r="BM1107" s="551"/>
      <c r="BN1107" s="551"/>
      <c r="BO1107" s="551"/>
      <c r="BP1107" s="551">
        <f>I1107/25</f>
        <v>120</v>
      </c>
      <c r="BQ1107" s="551"/>
      <c r="BR1107" s="551"/>
      <c r="BS1107" s="551"/>
      <c r="BT1107" s="551"/>
      <c r="BU1107" s="551"/>
      <c r="BV1107" s="551"/>
      <c r="BW1107" s="551"/>
      <c r="BX1107" s="551"/>
      <c r="BY1107" s="650"/>
      <c r="BZ1107" s="551"/>
      <c r="CA1107" s="652"/>
      <c r="CB1107" s="567"/>
      <c r="CC1107" s="653"/>
      <c r="CD1107" s="650"/>
      <c r="CE1107" s="650"/>
      <c r="CF1107" s="551"/>
      <c r="CG1107" s="551"/>
      <c r="CI1107" s="551"/>
      <c r="CJ1107" s="551"/>
      <c r="CK1107" s="551"/>
      <c r="CL1107" s="551"/>
      <c r="CM1107" s="551"/>
      <c r="CN1107" s="551"/>
      <c r="CO1107" s="551"/>
      <c r="CP1107" s="551"/>
      <c r="CQ1107" s="551"/>
      <c r="CR1107" s="551"/>
      <c r="CS1107" s="551"/>
      <c r="CT1107" s="551"/>
      <c r="CU1107" s="554">
        <f t="shared" si="425"/>
        <v>120</v>
      </c>
      <c r="CV1107" s="551">
        <f t="shared" si="421"/>
        <v>0</v>
      </c>
      <c r="CW1107" s="551">
        <f t="shared" si="422"/>
        <v>0</v>
      </c>
      <c r="CX1107" s="650"/>
      <c r="CY1107" s="650"/>
      <c r="CZ1107" s="650"/>
      <c r="DA1107" s="548"/>
      <c r="DB1107" s="548"/>
      <c r="DC1107" s="548"/>
      <c r="DD1107" s="650"/>
      <c r="DE1107" s="650"/>
      <c r="DF1107" s="650"/>
      <c r="DG1107" s="650"/>
      <c r="DH1107" s="650"/>
    </row>
    <row r="1108" s="548" customFormat="1" ht="31" customHeight="1" spans="1:112">
      <c r="A1108" s="641">
        <v>46035</v>
      </c>
      <c r="B1108" s="642" t="s">
        <v>3126</v>
      </c>
      <c r="C1108" s="246" t="s">
        <v>98</v>
      </c>
      <c r="D1108" s="551">
        <v>4500191213</v>
      </c>
      <c r="E1108" s="246">
        <v>33826</v>
      </c>
      <c r="F1108" s="551" t="s">
        <v>8785</v>
      </c>
      <c r="G1108" s="246" t="s">
        <v>6084</v>
      </c>
      <c r="H1108" s="246" t="s">
        <v>6069</v>
      </c>
      <c r="I1108" s="704">
        <v>1875</v>
      </c>
      <c r="J1108" s="246">
        <v>0</v>
      </c>
      <c r="K1108" s="246">
        <v>25</v>
      </c>
      <c r="L1108" s="644">
        <f t="shared" si="412"/>
        <v>75</v>
      </c>
      <c r="M1108" s="645">
        <v>46083</v>
      </c>
      <c r="N1108" s="645">
        <f>M1108-4</f>
        <v>46079</v>
      </c>
      <c r="O1108" s="246"/>
      <c r="P1108" s="643" t="s">
        <v>113</v>
      </c>
      <c r="Q1108" s="246"/>
      <c r="R1108" s="646" t="s">
        <v>8781</v>
      </c>
      <c r="S1108" s="646" t="s">
        <v>70</v>
      </c>
      <c r="T1108" s="646" t="s">
        <v>70</v>
      </c>
      <c r="U1108" s="646"/>
      <c r="V1108" s="646"/>
      <c r="W1108" s="615"/>
      <c r="X1108" s="642" t="s">
        <v>3130</v>
      </c>
      <c r="Y1108" s="642" t="s">
        <v>1781</v>
      </c>
      <c r="Z1108" s="655">
        <v>0.5605</v>
      </c>
      <c r="AA1108" s="647">
        <f t="shared" si="426"/>
        <v>1050.9375</v>
      </c>
      <c r="AC1108" s="658" t="s">
        <v>3131</v>
      </c>
      <c r="AD1108" s="246" t="s">
        <v>6084</v>
      </c>
      <c r="AE1108" s="246" t="s">
        <v>82</v>
      </c>
      <c r="AF1108" s="246"/>
      <c r="AG1108" s="642"/>
      <c r="AH1108" s="642" t="s">
        <v>2629</v>
      </c>
      <c r="AI1108" s="246">
        <v>1875</v>
      </c>
      <c r="AJ1108" s="246">
        <f t="shared" si="420"/>
        <v>0</v>
      </c>
      <c r="AK1108" s="246"/>
      <c r="AL1108" s="246"/>
      <c r="AM1108" s="246"/>
      <c r="AN1108" s="246">
        <f>I1108</f>
        <v>1875</v>
      </c>
      <c r="AO1108" s="551"/>
      <c r="AP1108" s="554">
        <f>I1108</f>
        <v>1875</v>
      </c>
      <c r="AQ1108" s="551"/>
      <c r="AR1108" s="650"/>
      <c r="AS1108" s="551"/>
      <c r="AT1108" s="551"/>
      <c r="AU1108" s="554">
        <f>I1108</f>
        <v>1875</v>
      </c>
      <c r="AV1108" s="551"/>
      <c r="AW1108" s="650"/>
      <c r="AX1108" s="551"/>
      <c r="AY1108" s="551"/>
      <c r="AZ1108" s="551"/>
      <c r="BA1108" s="551"/>
      <c r="BB1108" s="249">
        <f>I1108/24</f>
        <v>78.125</v>
      </c>
      <c r="BC1108" s="651"/>
      <c r="BD1108" s="551"/>
      <c r="BE1108" s="551"/>
      <c r="BF1108" s="551"/>
      <c r="BH1108" s="551"/>
      <c r="BI1108" s="551"/>
      <c r="BJ1108" s="551"/>
      <c r="BK1108" s="551"/>
      <c r="BL1108" s="551"/>
      <c r="BM1108" s="551"/>
      <c r="BN1108" s="551">
        <f>I1108/25</f>
        <v>75</v>
      </c>
      <c r="BO1108" s="551"/>
      <c r="BP1108" s="551"/>
      <c r="BQ1108" s="551"/>
      <c r="BR1108" s="551"/>
      <c r="BS1108" s="551"/>
      <c r="BT1108" s="551"/>
      <c r="BU1108" s="551"/>
      <c r="BV1108" s="551"/>
      <c r="BW1108" s="551"/>
      <c r="BX1108" s="551"/>
      <c r="BY1108" s="650"/>
      <c r="BZ1108" s="551"/>
      <c r="CA1108" s="652"/>
      <c r="CB1108" s="567"/>
      <c r="CC1108" s="653"/>
      <c r="CD1108" s="650"/>
      <c r="CE1108" s="650"/>
      <c r="CF1108" s="551"/>
      <c r="CG1108" s="551"/>
      <c r="CI1108" s="551"/>
      <c r="CJ1108" s="551"/>
      <c r="CK1108" s="551"/>
      <c r="CL1108" s="551"/>
      <c r="CM1108" s="551"/>
      <c r="CN1108" s="551"/>
      <c r="CO1108" s="551"/>
      <c r="CP1108" s="551"/>
      <c r="CQ1108" s="551"/>
      <c r="CR1108" s="551"/>
      <c r="CS1108" s="551"/>
      <c r="CT1108" s="551"/>
      <c r="CU1108" s="554">
        <f t="shared" si="425"/>
        <v>75</v>
      </c>
      <c r="CV1108" s="551">
        <f t="shared" si="421"/>
        <v>0</v>
      </c>
      <c r="CW1108" s="551">
        <f t="shared" si="422"/>
        <v>0</v>
      </c>
      <c r="CX1108" s="650"/>
      <c r="CY1108" s="650"/>
      <c r="CZ1108" s="650"/>
      <c r="DA1108" s="548"/>
      <c r="DB1108" s="548"/>
      <c r="DC1108" s="548"/>
      <c r="DD1108" s="650"/>
      <c r="DE1108" s="650"/>
      <c r="DF1108" s="650"/>
      <c r="DG1108" s="650"/>
      <c r="DH1108" s="650"/>
    </row>
    <row r="1109" s="548" customFormat="1" ht="31" customHeight="1" spans="1:112">
      <c r="A1109" s="641">
        <v>46013</v>
      </c>
      <c r="B1109" s="642" t="s">
        <v>2441</v>
      </c>
      <c r="C1109" s="246" t="s">
        <v>241</v>
      </c>
      <c r="D1109" s="551">
        <v>4500189585</v>
      </c>
      <c r="E1109" s="246">
        <v>20148</v>
      </c>
      <c r="F1109" s="551" t="s">
        <v>8786</v>
      </c>
      <c r="G1109" s="246" t="s">
        <v>6047</v>
      </c>
      <c r="H1109" s="246" t="s">
        <v>6069</v>
      </c>
      <c r="I1109" s="704">
        <v>1000</v>
      </c>
      <c r="J1109" s="246">
        <v>0</v>
      </c>
      <c r="K1109" s="246">
        <v>25</v>
      </c>
      <c r="L1109" s="644">
        <f t="shared" si="412"/>
        <v>40</v>
      </c>
      <c r="M1109" s="645">
        <v>46087</v>
      </c>
      <c r="N1109" s="645">
        <v>46083</v>
      </c>
      <c r="O1109" s="246"/>
      <c r="P1109" s="643" t="s">
        <v>113</v>
      </c>
      <c r="Q1109" s="246"/>
      <c r="R1109" s="646">
        <v>46013</v>
      </c>
      <c r="S1109" s="646" t="s">
        <v>70</v>
      </c>
      <c r="T1109" s="646" t="s">
        <v>2443</v>
      </c>
      <c r="U1109" s="646"/>
      <c r="V1109" s="646"/>
      <c r="W1109" s="615"/>
      <c r="X1109" s="642" t="s">
        <v>8787</v>
      </c>
      <c r="Y1109" s="642" t="s">
        <v>299</v>
      </c>
      <c r="Z1109" s="655">
        <v>0.9417</v>
      </c>
      <c r="AA1109" s="647">
        <f t="shared" si="426"/>
        <v>941.7</v>
      </c>
      <c r="AC1109" s="648"/>
      <c r="AD1109" s="246" t="s">
        <v>6047</v>
      </c>
      <c r="AE1109" s="246" t="s">
        <v>82</v>
      </c>
      <c r="AF1109" s="246"/>
      <c r="AG1109" s="642"/>
      <c r="AH1109" s="642">
        <v>1</v>
      </c>
      <c r="AI1109" s="246">
        <v>1000</v>
      </c>
      <c r="AJ1109" s="246">
        <f t="shared" si="420"/>
        <v>0</v>
      </c>
      <c r="AK1109" s="246"/>
      <c r="AL1109" s="246" t="s">
        <v>2368</v>
      </c>
      <c r="AM1109" s="246"/>
      <c r="AN1109" s="246"/>
      <c r="AO1109" s="551">
        <f>I1109</f>
        <v>1000</v>
      </c>
      <c r="AP1109" s="551"/>
      <c r="AQ1109" s="551"/>
      <c r="AR1109" s="650"/>
      <c r="AS1109" s="551"/>
      <c r="AT1109" s="554">
        <f>I1109</f>
        <v>1000</v>
      </c>
      <c r="AU1109" s="551"/>
      <c r="AV1109" s="554">
        <f>I1109</f>
        <v>1000</v>
      </c>
      <c r="AW1109" s="650"/>
      <c r="AX1109" s="551"/>
      <c r="AY1109" s="551"/>
      <c r="AZ1109" s="551"/>
      <c r="BA1109" s="551"/>
      <c r="BB1109" s="620">
        <f>I1109/24</f>
        <v>41.6666666666667</v>
      </c>
      <c r="BC1109" s="651"/>
      <c r="BD1109" s="551"/>
      <c r="BE1109" s="551"/>
      <c r="BF1109" s="551"/>
      <c r="BH1109" s="551"/>
      <c r="BI1109" s="551"/>
      <c r="BJ1109" s="551"/>
      <c r="BK1109" s="551"/>
      <c r="BL1109" s="551"/>
      <c r="BM1109" s="551"/>
      <c r="BN1109" s="551"/>
      <c r="BO1109" s="551"/>
      <c r="BP1109" s="551">
        <f>I1109/25</f>
        <v>40</v>
      </c>
      <c r="BQ1109" s="551"/>
      <c r="BR1109" s="551"/>
      <c r="BS1109" s="551"/>
      <c r="BT1109" s="551"/>
      <c r="BU1109" s="551"/>
      <c r="BV1109" s="551"/>
      <c r="BW1109" s="551"/>
      <c r="BX1109" s="551"/>
      <c r="BY1109" s="650"/>
      <c r="BZ1109" s="551"/>
      <c r="CA1109" s="652"/>
      <c r="CB1109" s="567"/>
      <c r="CC1109" s="653"/>
      <c r="CD1109" s="650"/>
      <c r="CE1109" s="650"/>
      <c r="CF1109" s="551"/>
      <c r="CG1109" s="551"/>
      <c r="CI1109" s="551"/>
      <c r="CJ1109" s="551"/>
      <c r="CK1109" s="551"/>
      <c r="CL1109" s="551"/>
      <c r="CM1109" s="551"/>
      <c r="CN1109" s="551"/>
      <c r="CO1109" s="551"/>
      <c r="CP1109" s="551"/>
      <c r="CQ1109" s="551"/>
      <c r="CR1109" s="551"/>
      <c r="CS1109" s="551"/>
      <c r="CT1109" s="551"/>
      <c r="CU1109" s="554">
        <f t="shared" si="425"/>
        <v>40</v>
      </c>
      <c r="CV1109" s="551">
        <f t="shared" si="421"/>
        <v>0</v>
      </c>
      <c r="CW1109" s="551">
        <f t="shared" si="422"/>
        <v>0</v>
      </c>
      <c r="CX1109" s="650"/>
      <c r="CY1109" s="650"/>
      <c r="CZ1109" s="650"/>
      <c r="DA1109" s="548"/>
      <c r="DB1109" s="548"/>
      <c r="DC1109" s="548"/>
      <c r="DD1109" s="650"/>
      <c r="DE1109" s="650"/>
      <c r="DF1109" s="650"/>
      <c r="DG1109" s="650"/>
      <c r="DH1109" s="650"/>
    </row>
    <row r="1110" s="548" customFormat="1" ht="31" customHeight="1" spans="1:112">
      <c r="A1110" s="641">
        <v>46020</v>
      </c>
      <c r="B1110" s="642" t="s">
        <v>225</v>
      </c>
      <c r="C1110" s="246" t="s">
        <v>226</v>
      </c>
      <c r="D1110" s="551">
        <v>4500190283</v>
      </c>
      <c r="E1110" s="246" t="s">
        <v>3137</v>
      </c>
      <c r="F1110" s="551" t="s">
        <v>8788</v>
      </c>
      <c r="G1110" s="246" t="s">
        <v>6040</v>
      </c>
      <c r="H1110" s="246" t="s">
        <v>6041</v>
      </c>
      <c r="I1110" s="704">
        <v>20800</v>
      </c>
      <c r="J1110" s="246">
        <v>0</v>
      </c>
      <c r="K1110" s="246">
        <v>52</v>
      </c>
      <c r="L1110" s="644">
        <f t="shared" si="412"/>
        <v>400</v>
      </c>
      <c r="M1110" s="645">
        <v>46087</v>
      </c>
      <c r="N1110" s="645">
        <f>M1110-4</f>
        <v>46083</v>
      </c>
      <c r="O1110" s="246"/>
      <c r="P1110" s="643" t="s">
        <v>113</v>
      </c>
      <c r="Q1110" s="246"/>
      <c r="R1110" s="646">
        <v>46020</v>
      </c>
      <c r="S1110" s="646" t="s">
        <v>70</v>
      </c>
      <c r="T1110" s="646" t="s">
        <v>3139</v>
      </c>
      <c r="U1110" s="646"/>
      <c r="V1110" s="646"/>
      <c r="W1110" s="615"/>
      <c r="X1110" s="628" t="s">
        <v>8789</v>
      </c>
      <c r="Y1110" s="642" t="s">
        <v>230</v>
      </c>
      <c r="Z1110" s="655">
        <v>0.8902</v>
      </c>
      <c r="AA1110" s="647">
        <f t="shared" si="426"/>
        <v>18516.16</v>
      </c>
      <c r="AC1110" s="648"/>
      <c r="AD1110" s="246" t="s">
        <v>6040</v>
      </c>
      <c r="AE1110" s="246" t="s">
        <v>82</v>
      </c>
      <c r="AF1110" s="246"/>
      <c r="AG1110" s="642"/>
      <c r="AH1110" s="642">
        <v>1</v>
      </c>
      <c r="AI1110" s="246">
        <f>15184+5616</f>
        <v>20800</v>
      </c>
      <c r="AJ1110" s="246">
        <f t="shared" si="420"/>
        <v>0</v>
      </c>
      <c r="AK1110" s="246"/>
      <c r="AL1110" s="246" t="s">
        <v>2368</v>
      </c>
      <c r="AM1110" s="246"/>
      <c r="AN1110" s="246"/>
      <c r="AO1110" s="551">
        <f>I1110</f>
        <v>20800</v>
      </c>
      <c r="AP1110" s="551"/>
      <c r="AQ1110" s="551"/>
      <c r="AR1110" s="650"/>
      <c r="AS1110" s="551"/>
      <c r="AT1110" s="554">
        <f>I1110</f>
        <v>20800</v>
      </c>
      <c r="AU1110" s="551"/>
      <c r="AV1110" s="554">
        <f>I1110</f>
        <v>20800</v>
      </c>
      <c r="AW1110" s="650"/>
      <c r="AX1110" s="551"/>
      <c r="AY1110" s="551"/>
      <c r="AZ1110" s="551"/>
      <c r="BA1110" s="551"/>
      <c r="BB1110" s="620">
        <f>I1110/24</f>
        <v>866.666666666667</v>
      </c>
      <c r="BC1110" s="651"/>
      <c r="BD1110" s="551"/>
      <c r="BE1110" s="551"/>
      <c r="BF1110" s="551"/>
      <c r="BH1110" s="551"/>
      <c r="BI1110" s="551"/>
      <c r="BJ1110" s="551"/>
      <c r="BK1110" s="551"/>
      <c r="BL1110" s="551"/>
      <c r="BM1110" s="551">
        <f>I1110/13</f>
        <v>1600</v>
      </c>
      <c r="BN1110" s="551"/>
      <c r="BO1110" s="551"/>
      <c r="BP1110" s="551"/>
      <c r="BQ1110" s="551"/>
      <c r="BR1110" s="551"/>
      <c r="BS1110" s="551"/>
      <c r="BT1110" s="551"/>
      <c r="BU1110" s="551"/>
      <c r="BV1110" s="551"/>
      <c r="BW1110" s="551"/>
      <c r="BX1110" s="551"/>
      <c r="BY1110" s="650"/>
      <c r="BZ1110" s="551"/>
      <c r="CA1110" s="652"/>
      <c r="CB1110" s="567"/>
      <c r="CC1110" s="653"/>
      <c r="CD1110" s="650"/>
      <c r="CE1110" s="650"/>
      <c r="CF1110" s="551"/>
      <c r="CG1110" s="551"/>
      <c r="CI1110" s="551"/>
      <c r="CJ1110" s="551"/>
      <c r="CK1110" s="551"/>
      <c r="CL1110" s="551"/>
      <c r="CM1110" s="551"/>
      <c r="CN1110" s="551"/>
      <c r="CO1110" s="551"/>
      <c r="CP1110" s="551"/>
      <c r="CQ1110" s="551"/>
      <c r="CR1110" s="551"/>
      <c r="CS1110" s="551"/>
      <c r="CT1110" s="551"/>
      <c r="CU1110" s="554">
        <f t="shared" si="425"/>
        <v>0</v>
      </c>
      <c r="CV1110" s="551">
        <f t="shared" si="421"/>
        <v>0</v>
      </c>
      <c r="CW1110" s="551">
        <f t="shared" si="422"/>
        <v>0</v>
      </c>
      <c r="CX1110" s="650"/>
      <c r="CY1110" s="650"/>
      <c r="CZ1110" s="650"/>
      <c r="DA1110" s="548"/>
      <c r="DB1110" s="548"/>
      <c r="DC1110" s="548"/>
      <c r="DD1110" s="650"/>
      <c r="DE1110" s="650"/>
      <c r="DF1110" s="650"/>
      <c r="DG1110" s="650"/>
      <c r="DH1110" s="650"/>
    </row>
    <row r="1111" s="548" customFormat="1" ht="31" customHeight="1" spans="1:112">
      <c r="A1111" s="641">
        <v>46014</v>
      </c>
      <c r="B1111" s="609" t="s">
        <v>246</v>
      </c>
      <c r="C1111" s="246" t="s">
        <v>98</v>
      </c>
      <c r="D1111" s="551">
        <v>4500189636</v>
      </c>
      <c r="E1111" s="246" t="s">
        <v>3141</v>
      </c>
      <c r="F1111" s="551" t="s">
        <v>8790</v>
      </c>
      <c r="G1111" s="246" t="s">
        <v>6084</v>
      </c>
      <c r="H1111" s="246" t="s">
        <v>6069</v>
      </c>
      <c r="I1111" s="704">
        <v>63000</v>
      </c>
      <c r="J1111" s="246">
        <v>0</v>
      </c>
      <c r="K1111" s="246">
        <v>25</v>
      </c>
      <c r="L1111" s="644">
        <f t="shared" si="412"/>
        <v>2520</v>
      </c>
      <c r="M1111" s="645">
        <v>46087</v>
      </c>
      <c r="N1111" s="645">
        <v>46083</v>
      </c>
      <c r="O1111" s="246"/>
      <c r="P1111" s="643" t="s">
        <v>113</v>
      </c>
      <c r="Q1111" s="246"/>
      <c r="R1111" s="646">
        <v>46021</v>
      </c>
      <c r="S1111" s="646" t="s">
        <v>104</v>
      </c>
      <c r="T1111" s="646" t="s">
        <v>8791</v>
      </c>
      <c r="U1111" s="646"/>
      <c r="V1111" s="646"/>
      <c r="W1111" s="615"/>
      <c r="X1111" s="642" t="s">
        <v>8792</v>
      </c>
      <c r="Y1111" s="642" t="s">
        <v>252</v>
      </c>
      <c r="Z1111" s="655">
        <v>0.5455</v>
      </c>
      <c r="AA1111" s="647">
        <f t="shared" si="426"/>
        <v>34366.5</v>
      </c>
      <c r="AC1111" s="658" t="s">
        <v>3144</v>
      </c>
      <c r="AD1111" s="246" t="s">
        <v>6084</v>
      </c>
      <c r="AE1111" s="246" t="s">
        <v>82</v>
      </c>
      <c r="AF1111" s="246"/>
      <c r="AG1111" s="642"/>
      <c r="AH1111" s="642">
        <v>1</v>
      </c>
      <c r="AI1111" s="246">
        <v>63000</v>
      </c>
      <c r="AJ1111" s="246">
        <f t="shared" si="420"/>
        <v>0</v>
      </c>
      <c r="AK1111" s="246"/>
      <c r="AL1111" s="246"/>
      <c r="AM1111" s="246"/>
      <c r="AN1111" s="246">
        <f>I1111</f>
        <v>63000</v>
      </c>
      <c r="AO1111" s="551"/>
      <c r="AP1111" s="554">
        <f>I1111</f>
        <v>63000</v>
      </c>
      <c r="AQ1111" s="551"/>
      <c r="AR1111" s="650"/>
      <c r="AS1111" s="551"/>
      <c r="AT1111" s="551"/>
      <c r="AU1111" s="554">
        <f>I1111</f>
        <v>63000</v>
      </c>
      <c r="AV1111" s="551"/>
      <c r="AW1111" s="650"/>
      <c r="AX1111" s="551"/>
      <c r="AY1111" s="551"/>
      <c r="AZ1111" s="551"/>
      <c r="BA1111" s="551"/>
      <c r="BB1111" s="249">
        <f t="shared" ref="BB1110:BB1115" si="427">I1111/24</f>
        <v>2625</v>
      </c>
      <c r="BC1111" s="651"/>
      <c r="BD1111" s="551"/>
      <c r="BE1111" s="551"/>
      <c r="BF1111" s="551"/>
      <c r="BH1111" s="551"/>
      <c r="BI1111" s="551"/>
      <c r="BJ1111" s="551"/>
      <c r="BK1111" s="551"/>
      <c r="BL1111" s="551"/>
      <c r="BM1111" s="551"/>
      <c r="BN1111" s="551">
        <f>I1111/25</f>
        <v>2520</v>
      </c>
      <c r="BO1111" s="551"/>
      <c r="BP1111" s="551"/>
      <c r="BQ1111" s="551"/>
      <c r="BR1111" s="551"/>
      <c r="BS1111" s="551"/>
      <c r="BT1111" s="551"/>
      <c r="BU1111" s="551"/>
      <c r="BV1111" s="551"/>
      <c r="BW1111" s="551"/>
      <c r="BX1111" s="551"/>
      <c r="BY1111" s="650"/>
      <c r="BZ1111" s="551"/>
      <c r="CA1111" s="652"/>
      <c r="CB1111" s="567"/>
      <c r="CC1111" s="653"/>
      <c r="CD1111" s="650"/>
      <c r="CE1111" s="650"/>
      <c r="CF1111" s="551"/>
      <c r="CG1111" s="551"/>
      <c r="CI1111" s="551"/>
      <c r="CJ1111" s="551"/>
      <c r="CK1111" s="551"/>
      <c r="CL1111" s="551"/>
      <c r="CM1111" s="551"/>
      <c r="CN1111" s="551"/>
      <c r="CO1111" s="551"/>
      <c r="CP1111" s="551"/>
      <c r="CQ1111" s="551"/>
      <c r="CR1111" s="551"/>
      <c r="CS1111" s="551"/>
      <c r="CT1111" s="551"/>
      <c r="CU1111" s="554">
        <f t="shared" si="425"/>
        <v>2520</v>
      </c>
      <c r="CV1111" s="551">
        <f t="shared" si="421"/>
        <v>0</v>
      </c>
      <c r="CW1111" s="551">
        <f t="shared" si="422"/>
        <v>0</v>
      </c>
      <c r="CX1111" s="650"/>
      <c r="CY1111" s="650"/>
      <c r="CZ1111" s="650"/>
      <c r="DA1111" s="548"/>
      <c r="DB1111" s="548"/>
      <c r="DC1111" s="548"/>
      <c r="DD1111" s="650"/>
      <c r="DE1111" s="650"/>
      <c r="DF1111" s="650"/>
      <c r="DG1111" s="650"/>
      <c r="DH1111" s="650"/>
    </row>
    <row r="1112" s="548" customFormat="1" ht="31" customHeight="1" spans="1:112">
      <c r="A1112" s="641">
        <v>46031</v>
      </c>
      <c r="B1112" s="642" t="s">
        <v>3115</v>
      </c>
      <c r="C1112" s="246" t="s">
        <v>847</v>
      </c>
      <c r="D1112" s="551">
        <v>4500191102</v>
      </c>
      <c r="E1112" s="246">
        <v>5200008661</v>
      </c>
      <c r="F1112" s="551" t="s">
        <v>8793</v>
      </c>
      <c r="G1112" s="246" t="s">
        <v>6120</v>
      </c>
      <c r="H1112" s="246" t="s">
        <v>6094</v>
      </c>
      <c r="I1112" s="704">
        <v>2509</v>
      </c>
      <c r="J1112" s="246">
        <v>0</v>
      </c>
      <c r="K1112" s="246">
        <v>13</v>
      </c>
      <c r="L1112" s="644">
        <f t="shared" si="412"/>
        <v>193</v>
      </c>
      <c r="M1112" s="645">
        <v>46087</v>
      </c>
      <c r="N1112" s="645">
        <v>46083</v>
      </c>
      <c r="O1112" s="246"/>
      <c r="P1112" s="643" t="s">
        <v>113</v>
      </c>
      <c r="Q1112" s="246"/>
      <c r="R1112" s="646">
        <v>46034</v>
      </c>
      <c r="S1112" s="646" t="s">
        <v>70</v>
      </c>
      <c r="T1112" s="646" t="s">
        <v>8794</v>
      </c>
      <c r="U1112" s="646"/>
      <c r="V1112" s="646"/>
      <c r="W1112" s="615"/>
      <c r="X1112" s="642" t="s">
        <v>8795</v>
      </c>
      <c r="Y1112" s="642" t="s">
        <v>1237</v>
      </c>
      <c r="Z1112" s="655">
        <v>0.8947</v>
      </c>
      <c r="AA1112" s="647">
        <f t="shared" si="426"/>
        <v>2244.8023</v>
      </c>
      <c r="AC1112" s="648"/>
      <c r="AD1112" s="246" t="s">
        <v>6093</v>
      </c>
      <c r="AE1112" s="246" t="s">
        <v>82</v>
      </c>
      <c r="AF1112" s="246"/>
      <c r="AG1112" s="642"/>
      <c r="AH1112" s="642">
        <v>1</v>
      </c>
      <c r="AI1112" s="704">
        <v>2509</v>
      </c>
      <c r="AJ1112" s="246">
        <f t="shared" si="420"/>
        <v>0</v>
      </c>
      <c r="AK1112" s="246"/>
      <c r="AL1112" s="246" t="s">
        <v>2368</v>
      </c>
      <c r="AM1112" s="246"/>
      <c r="AN1112" s="246"/>
      <c r="AO1112" s="551">
        <f>I1112</f>
        <v>2509</v>
      </c>
      <c r="AP1112" s="551"/>
      <c r="AQ1112" s="551"/>
      <c r="AR1112" s="650"/>
      <c r="AS1112" s="551"/>
      <c r="AT1112" s="554">
        <f>I1112</f>
        <v>2509</v>
      </c>
      <c r="AU1112" s="551"/>
      <c r="AV1112" s="554">
        <f>I1112</f>
        <v>2509</v>
      </c>
      <c r="AW1112" s="650"/>
      <c r="AX1112" s="551"/>
      <c r="AY1112" s="551"/>
      <c r="AZ1112" s="551"/>
      <c r="BA1112" s="551"/>
      <c r="BB1112" s="620">
        <f t="shared" si="427"/>
        <v>104.541666666667</v>
      </c>
      <c r="BC1112" s="651"/>
      <c r="BD1112" s="551"/>
      <c r="BE1112" s="551"/>
      <c r="BF1112" s="551"/>
      <c r="BH1112" s="551"/>
      <c r="BI1112" s="551"/>
      <c r="BJ1112" s="551"/>
      <c r="BK1112" s="551"/>
      <c r="BL1112" s="551"/>
      <c r="BM1112" s="551">
        <f>I1112/13</f>
        <v>193</v>
      </c>
      <c r="BN1112" s="551"/>
      <c r="BO1112" s="551"/>
      <c r="BP1112" s="551"/>
      <c r="BQ1112" s="551"/>
      <c r="BR1112" s="551"/>
      <c r="BS1112" s="551"/>
      <c r="BT1112" s="551"/>
      <c r="BU1112" s="551"/>
      <c r="BV1112" s="551"/>
      <c r="BW1112" s="551"/>
      <c r="BX1112" s="551"/>
      <c r="BY1112" s="650"/>
      <c r="BZ1112" s="551"/>
      <c r="CA1112" s="652"/>
      <c r="CB1112" s="567"/>
      <c r="CC1112" s="653"/>
      <c r="CD1112" s="650"/>
      <c r="CE1112" s="650"/>
      <c r="CF1112" s="551"/>
      <c r="CG1112" s="551"/>
      <c r="CI1112" s="551"/>
      <c r="CJ1112" s="551"/>
      <c r="CK1112" s="551"/>
      <c r="CL1112" s="551"/>
      <c r="CM1112" s="551"/>
      <c r="CN1112" s="551"/>
      <c r="CO1112" s="551"/>
      <c r="CP1112" s="551"/>
      <c r="CQ1112" s="551"/>
      <c r="CR1112" s="551"/>
      <c r="CS1112" s="551"/>
      <c r="CT1112" s="551"/>
      <c r="CU1112" s="554">
        <f t="shared" si="425"/>
        <v>0</v>
      </c>
      <c r="CV1112" s="551">
        <f t="shared" si="421"/>
        <v>0</v>
      </c>
      <c r="CW1112" s="551">
        <f t="shared" si="422"/>
        <v>0</v>
      </c>
      <c r="CX1112" s="650"/>
      <c r="CY1112" s="650"/>
      <c r="CZ1112" s="650"/>
      <c r="DA1112" s="548"/>
      <c r="DB1112" s="548"/>
      <c r="DC1112" s="548"/>
      <c r="DD1112" s="650"/>
      <c r="DE1112" s="650"/>
      <c r="DF1112" s="650"/>
      <c r="DG1112" s="650"/>
      <c r="DH1112" s="650"/>
    </row>
    <row r="1113" s="548" customFormat="1" ht="31" customHeight="1" spans="1:112">
      <c r="A1113" s="641">
        <v>46000</v>
      </c>
      <c r="B1113" s="642" t="s">
        <v>1772</v>
      </c>
      <c r="C1113" s="246" t="s">
        <v>278</v>
      </c>
      <c r="D1113" s="551">
        <v>4500187028</v>
      </c>
      <c r="E1113" s="246" t="s">
        <v>3145</v>
      </c>
      <c r="F1113" s="551" t="s">
        <v>8796</v>
      </c>
      <c r="G1113" s="246" t="s">
        <v>6318</v>
      </c>
      <c r="H1113" s="246" t="s">
        <v>6319</v>
      </c>
      <c r="I1113" s="704">
        <v>2500</v>
      </c>
      <c r="J1113" s="246">
        <v>25</v>
      </c>
      <c r="K1113" s="246">
        <v>50</v>
      </c>
      <c r="L1113" s="644">
        <f t="shared" si="412"/>
        <v>50</v>
      </c>
      <c r="M1113" s="645">
        <v>46090</v>
      </c>
      <c r="N1113" s="645">
        <v>46086</v>
      </c>
      <c r="O1113" s="246"/>
      <c r="P1113" s="643" t="s">
        <v>113</v>
      </c>
      <c r="Q1113" s="246"/>
      <c r="R1113" s="646">
        <v>46000</v>
      </c>
      <c r="S1113" s="646" t="s">
        <v>70</v>
      </c>
      <c r="T1113" s="646" t="s">
        <v>70</v>
      </c>
      <c r="U1113" s="646"/>
      <c r="V1113" s="646"/>
      <c r="W1113" s="615"/>
      <c r="X1113" s="642" t="s">
        <v>8797</v>
      </c>
      <c r="Y1113" s="642" t="s">
        <v>299</v>
      </c>
      <c r="Z1113" s="655">
        <v>0.9678</v>
      </c>
      <c r="AA1113" s="647">
        <f t="shared" si="426"/>
        <v>2419.5</v>
      </c>
      <c r="AC1113" s="648"/>
      <c r="AD1113" s="246" t="s">
        <v>6318</v>
      </c>
      <c r="AE1113" s="246" t="s">
        <v>82</v>
      </c>
      <c r="AF1113" s="246"/>
      <c r="AG1113" s="642"/>
      <c r="AH1113" s="642">
        <v>1</v>
      </c>
      <c r="AI1113" s="246">
        <v>2500</v>
      </c>
      <c r="AJ1113" s="246">
        <f t="shared" si="420"/>
        <v>0</v>
      </c>
      <c r="AK1113" s="246"/>
      <c r="AL1113" s="246" t="s">
        <v>2368</v>
      </c>
      <c r="AM1113" s="246"/>
      <c r="AN1113" s="246"/>
      <c r="AO1113" s="551">
        <f>I1113</f>
        <v>2500</v>
      </c>
      <c r="AP1113" s="551"/>
      <c r="AQ1113" s="551"/>
      <c r="AR1113" s="650"/>
      <c r="AS1113" s="551"/>
      <c r="AT1113" s="554">
        <f>I1113</f>
        <v>2500</v>
      </c>
      <c r="AU1113" s="551"/>
      <c r="AV1113" s="554">
        <f>I1113</f>
        <v>2500</v>
      </c>
      <c r="AW1113" s="650"/>
      <c r="AX1113" s="551"/>
      <c r="AY1113" s="551"/>
      <c r="AZ1113" s="551"/>
      <c r="BA1113" s="551"/>
      <c r="BB1113" s="620">
        <f t="shared" si="427"/>
        <v>104.166666666667</v>
      </c>
      <c r="BC1113" s="651"/>
      <c r="BD1113" s="551"/>
      <c r="BE1113" s="551"/>
      <c r="BF1113" s="551"/>
      <c r="BH1113" s="551"/>
      <c r="BI1113" s="551"/>
      <c r="BJ1113" s="551"/>
      <c r="BK1113" s="551"/>
      <c r="BL1113" s="551"/>
      <c r="BM1113" s="551"/>
      <c r="BN1113" s="551"/>
      <c r="BO1113" s="551"/>
      <c r="BP1113" s="551">
        <f>I1113/25</f>
        <v>100</v>
      </c>
      <c r="BQ1113" s="551"/>
      <c r="BR1113" s="551"/>
      <c r="BS1113" s="551"/>
      <c r="BT1113" s="551"/>
      <c r="BU1113" s="551"/>
      <c r="BV1113" s="551"/>
      <c r="BW1113" s="551"/>
      <c r="BX1113" s="551"/>
      <c r="BY1113" s="650"/>
      <c r="BZ1113" s="551"/>
      <c r="CA1113" s="652"/>
      <c r="CB1113" s="567"/>
      <c r="CC1113" s="653"/>
      <c r="CD1113" s="650"/>
      <c r="CE1113" s="650"/>
      <c r="CF1113" s="551"/>
      <c r="CG1113" s="551"/>
      <c r="CI1113" s="551"/>
      <c r="CJ1113" s="551"/>
      <c r="CK1113" s="551"/>
      <c r="CL1113" s="551"/>
      <c r="CM1113" s="551"/>
      <c r="CN1113" s="551"/>
      <c r="CO1113" s="551"/>
      <c r="CP1113" s="551"/>
      <c r="CQ1113" s="551"/>
      <c r="CR1113" s="551"/>
      <c r="CS1113" s="551"/>
      <c r="CT1113" s="551"/>
      <c r="CU1113" s="554">
        <f t="shared" si="425"/>
        <v>100</v>
      </c>
      <c r="CV1113" s="551">
        <f t="shared" si="421"/>
        <v>0</v>
      </c>
      <c r="CW1113" s="551">
        <f t="shared" si="422"/>
        <v>0</v>
      </c>
      <c r="CX1113" s="650"/>
      <c r="CY1113" s="650"/>
      <c r="CZ1113" s="650"/>
      <c r="DA1113" s="548"/>
      <c r="DB1113" s="548"/>
      <c r="DC1113" s="548"/>
      <c r="DD1113" s="650"/>
      <c r="DE1113" s="650"/>
      <c r="DF1113" s="650"/>
      <c r="DG1113" s="650"/>
      <c r="DH1113" s="650"/>
    </row>
    <row r="1114" s="548" customFormat="1" ht="31" customHeight="1" spans="1:112">
      <c r="A1114" s="641">
        <v>46031</v>
      </c>
      <c r="B1114" s="642" t="s">
        <v>3158</v>
      </c>
      <c r="C1114" s="246" t="s">
        <v>98</v>
      </c>
      <c r="D1114" s="551">
        <v>4500191055</v>
      </c>
      <c r="E1114" s="246">
        <v>4353960680</v>
      </c>
      <c r="F1114" s="551" t="s">
        <v>8798</v>
      </c>
      <c r="G1114" s="246" t="s">
        <v>6084</v>
      </c>
      <c r="H1114" s="246" t="s">
        <v>6069</v>
      </c>
      <c r="I1114" s="704">
        <v>4675</v>
      </c>
      <c r="J1114" s="246">
        <v>0</v>
      </c>
      <c r="K1114" s="246">
        <v>25</v>
      </c>
      <c r="L1114" s="644">
        <f t="shared" si="412"/>
        <v>187</v>
      </c>
      <c r="M1114" s="645">
        <v>46090</v>
      </c>
      <c r="N1114" s="645">
        <v>46086</v>
      </c>
      <c r="O1114" s="246"/>
      <c r="P1114" s="643" t="s">
        <v>113</v>
      </c>
      <c r="Q1114" s="246"/>
      <c r="R1114" s="646">
        <v>46044</v>
      </c>
      <c r="S1114" s="646" t="s">
        <v>70</v>
      </c>
      <c r="T1114" s="646" t="s">
        <v>8799</v>
      </c>
      <c r="U1114" s="646"/>
      <c r="V1114" s="646"/>
      <c r="W1114" s="615"/>
      <c r="X1114" s="642" t="s">
        <v>8800</v>
      </c>
      <c r="Y1114" s="642" t="s">
        <v>3163</v>
      </c>
      <c r="Z1114" s="655">
        <v>0.5605</v>
      </c>
      <c r="AA1114" s="647">
        <f t="shared" si="426"/>
        <v>2620.3375</v>
      </c>
      <c r="AC1114" s="658" t="s">
        <v>8801</v>
      </c>
      <c r="AD1114" s="246" t="s">
        <v>6084</v>
      </c>
      <c r="AE1114" s="246" t="s">
        <v>82</v>
      </c>
      <c r="AF1114" s="246"/>
      <c r="AG1114" s="642"/>
      <c r="AH1114" s="642">
        <v>1</v>
      </c>
      <c r="AI1114" s="246">
        <v>4675</v>
      </c>
      <c r="AJ1114" s="246">
        <f t="shared" si="420"/>
        <v>0</v>
      </c>
      <c r="AK1114" s="246"/>
      <c r="AL1114" s="246" t="s">
        <v>2368</v>
      </c>
      <c r="AM1114" s="246"/>
      <c r="AN1114" s="246">
        <f>I1114</f>
        <v>4675</v>
      </c>
      <c r="AO1114" s="551"/>
      <c r="AP1114" s="554">
        <f>I1114</f>
        <v>4675</v>
      </c>
      <c r="AQ1114" s="551"/>
      <c r="AR1114" s="650"/>
      <c r="AS1114" s="551"/>
      <c r="AT1114" s="551"/>
      <c r="AU1114" s="554">
        <f>I1114</f>
        <v>4675</v>
      </c>
      <c r="AV1114" s="551"/>
      <c r="AW1114" s="650"/>
      <c r="AX1114" s="551"/>
      <c r="AY1114" s="551"/>
      <c r="AZ1114" s="551"/>
      <c r="BA1114" s="551"/>
      <c r="BB1114" s="249">
        <f t="shared" si="427"/>
        <v>194.791666666667</v>
      </c>
      <c r="BC1114" s="651"/>
      <c r="BD1114" s="551"/>
      <c r="BE1114" s="551"/>
      <c r="BF1114" s="551"/>
      <c r="BH1114" s="551"/>
      <c r="BI1114" s="551"/>
      <c r="BJ1114" s="551"/>
      <c r="BK1114" s="551"/>
      <c r="BL1114" s="551"/>
      <c r="BM1114" s="551"/>
      <c r="BN1114" s="551">
        <f>I1114/25</f>
        <v>187</v>
      </c>
      <c r="BO1114" s="551"/>
      <c r="BP1114" s="551"/>
      <c r="BQ1114" s="551"/>
      <c r="BR1114" s="551"/>
      <c r="BS1114" s="551"/>
      <c r="BT1114" s="551"/>
      <c r="BU1114" s="551"/>
      <c r="BV1114" s="551"/>
      <c r="BW1114" s="551"/>
      <c r="BX1114" s="551"/>
      <c r="BY1114" s="650"/>
      <c r="BZ1114" s="551"/>
      <c r="CA1114" s="652"/>
      <c r="CB1114" s="567"/>
      <c r="CC1114" s="653"/>
      <c r="CD1114" s="650"/>
      <c r="CE1114" s="650"/>
      <c r="CF1114" s="551"/>
      <c r="CG1114" s="551"/>
      <c r="CI1114" s="551"/>
      <c r="CJ1114" s="551"/>
      <c r="CK1114" s="551"/>
      <c r="CL1114" s="551"/>
      <c r="CM1114" s="551"/>
      <c r="CN1114" s="551"/>
      <c r="CO1114" s="551"/>
      <c r="CP1114" s="551"/>
      <c r="CQ1114" s="551"/>
      <c r="CR1114" s="551"/>
      <c r="CS1114" s="551"/>
      <c r="CT1114" s="551"/>
      <c r="CU1114" s="554">
        <f t="shared" si="425"/>
        <v>187</v>
      </c>
      <c r="CV1114" s="551">
        <f t="shared" si="421"/>
        <v>0</v>
      </c>
      <c r="CW1114" s="551">
        <f t="shared" si="422"/>
        <v>0</v>
      </c>
      <c r="CX1114" s="650"/>
      <c r="CY1114" s="650"/>
      <c r="CZ1114" s="650"/>
      <c r="DA1114" s="548"/>
      <c r="DB1114" s="548"/>
      <c r="DC1114" s="548"/>
      <c r="DD1114" s="650"/>
      <c r="DE1114" s="650"/>
      <c r="DF1114" s="650"/>
      <c r="DG1114" s="650"/>
      <c r="DH1114" s="650"/>
    </row>
    <row r="1115" s="548" customFormat="1" ht="31" customHeight="1" spans="1:112">
      <c r="A1115" s="641">
        <v>46031</v>
      </c>
      <c r="B1115" s="642" t="s">
        <v>3158</v>
      </c>
      <c r="C1115" s="246" t="s">
        <v>98</v>
      </c>
      <c r="D1115" s="551">
        <v>4500191070</v>
      </c>
      <c r="E1115" s="246">
        <v>4354219568</v>
      </c>
      <c r="F1115" s="551" t="s">
        <v>8802</v>
      </c>
      <c r="G1115" s="246" t="s">
        <v>6084</v>
      </c>
      <c r="H1115" s="246" t="s">
        <v>6069</v>
      </c>
      <c r="I1115" s="704">
        <v>3825</v>
      </c>
      <c r="J1115" s="246">
        <v>0</v>
      </c>
      <c r="K1115" s="246">
        <v>25</v>
      </c>
      <c r="L1115" s="644">
        <f t="shared" si="412"/>
        <v>153</v>
      </c>
      <c r="M1115" s="645">
        <v>46090</v>
      </c>
      <c r="N1115" s="645">
        <v>46086</v>
      </c>
      <c r="O1115" s="246"/>
      <c r="P1115" s="643" t="s">
        <v>113</v>
      </c>
      <c r="Q1115" s="246"/>
      <c r="R1115" s="646">
        <v>46044</v>
      </c>
      <c r="S1115" s="646" t="s">
        <v>70</v>
      </c>
      <c r="T1115" s="646" t="s">
        <v>8799</v>
      </c>
      <c r="U1115" s="646"/>
      <c r="V1115" s="646"/>
      <c r="W1115" s="615"/>
      <c r="X1115" s="642" t="s">
        <v>8800</v>
      </c>
      <c r="Y1115" s="642" t="s">
        <v>3163</v>
      </c>
      <c r="Z1115" s="655">
        <v>0.5605</v>
      </c>
      <c r="AA1115" s="647">
        <f t="shared" si="426"/>
        <v>2143.9125</v>
      </c>
      <c r="AC1115" s="658" t="s">
        <v>3167</v>
      </c>
      <c r="AD1115" s="246" t="s">
        <v>6084</v>
      </c>
      <c r="AE1115" s="246" t="s">
        <v>82</v>
      </c>
      <c r="AF1115" s="246"/>
      <c r="AG1115" s="642"/>
      <c r="AH1115" s="642">
        <v>1</v>
      </c>
      <c r="AI1115" s="246">
        <v>3825</v>
      </c>
      <c r="AJ1115" s="246">
        <f t="shared" si="420"/>
        <v>0</v>
      </c>
      <c r="AK1115" s="246"/>
      <c r="AL1115" s="246" t="s">
        <v>2368</v>
      </c>
      <c r="AM1115" s="246"/>
      <c r="AN1115" s="246">
        <f>I1115</f>
        <v>3825</v>
      </c>
      <c r="AO1115" s="551"/>
      <c r="AP1115" s="554">
        <f>I1115</f>
        <v>3825</v>
      </c>
      <c r="AQ1115" s="551"/>
      <c r="AR1115" s="650"/>
      <c r="AS1115" s="551"/>
      <c r="AT1115" s="551"/>
      <c r="AU1115" s="554">
        <f>I1115</f>
        <v>3825</v>
      </c>
      <c r="AV1115" s="551"/>
      <c r="AW1115" s="650"/>
      <c r="AX1115" s="551"/>
      <c r="AY1115" s="551"/>
      <c r="AZ1115" s="551"/>
      <c r="BA1115" s="551"/>
      <c r="BB1115" s="249">
        <f t="shared" si="427"/>
        <v>159.375</v>
      </c>
      <c r="BC1115" s="651"/>
      <c r="BD1115" s="551"/>
      <c r="BE1115" s="551"/>
      <c r="BF1115" s="551"/>
      <c r="BH1115" s="551"/>
      <c r="BI1115" s="551"/>
      <c r="BJ1115" s="551"/>
      <c r="BK1115" s="551"/>
      <c r="BL1115" s="551"/>
      <c r="BM1115" s="551"/>
      <c r="BN1115" s="551">
        <f>I1115/25</f>
        <v>153</v>
      </c>
      <c r="BO1115" s="551"/>
      <c r="BP1115" s="551"/>
      <c r="BQ1115" s="551"/>
      <c r="BR1115" s="551"/>
      <c r="BS1115" s="551"/>
      <c r="BT1115" s="551"/>
      <c r="BU1115" s="551"/>
      <c r="BV1115" s="551"/>
      <c r="BW1115" s="551"/>
      <c r="BX1115" s="551"/>
      <c r="BY1115" s="650"/>
      <c r="BZ1115" s="551"/>
      <c r="CA1115" s="652"/>
      <c r="CB1115" s="567"/>
      <c r="CC1115" s="653"/>
      <c r="CD1115" s="650"/>
      <c r="CE1115" s="650"/>
      <c r="CF1115" s="551"/>
      <c r="CG1115" s="551"/>
      <c r="CI1115" s="551"/>
      <c r="CJ1115" s="551"/>
      <c r="CK1115" s="551"/>
      <c r="CL1115" s="551"/>
      <c r="CM1115" s="551"/>
      <c r="CN1115" s="551"/>
      <c r="CO1115" s="551"/>
      <c r="CP1115" s="551"/>
      <c r="CQ1115" s="551"/>
      <c r="CR1115" s="551"/>
      <c r="CS1115" s="551"/>
      <c r="CT1115" s="551"/>
      <c r="CU1115" s="554">
        <f t="shared" si="425"/>
        <v>153</v>
      </c>
      <c r="CV1115" s="551">
        <f t="shared" si="421"/>
        <v>0</v>
      </c>
      <c r="CW1115" s="551">
        <f t="shared" si="422"/>
        <v>0</v>
      </c>
      <c r="CX1115" s="650"/>
      <c r="CY1115" s="650"/>
      <c r="CZ1115" s="650"/>
      <c r="DA1115" s="548"/>
      <c r="DB1115" s="548"/>
      <c r="DC1115" s="548"/>
      <c r="DD1115" s="650"/>
      <c r="DE1115" s="650"/>
      <c r="DF1115" s="650"/>
      <c r="DG1115" s="650"/>
      <c r="DH1115" s="650"/>
    </row>
    <row r="1116" s="548" customFormat="1" ht="31" customHeight="1" spans="1:112">
      <c r="A1116" s="641">
        <v>45995</v>
      </c>
      <c r="B1116" s="642" t="s">
        <v>2734</v>
      </c>
      <c r="C1116" s="246" t="s">
        <v>98</v>
      </c>
      <c r="D1116" s="551">
        <v>4500184338</v>
      </c>
      <c r="E1116" s="246">
        <v>60260737</v>
      </c>
      <c r="F1116" s="551" t="s">
        <v>8803</v>
      </c>
      <c r="G1116" s="246" t="s">
        <v>6787</v>
      </c>
      <c r="H1116" s="610" t="s">
        <v>6126</v>
      </c>
      <c r="I1116" s="704">
        <v>2004</v>
      </c>
      <c r="J1116" s="246">
        <v>0</v>
      </c>
      <c r="K1116" s="246">
        <v>12</v>
      </c>
      <c r="L1116" s="644">
        <f t="shared" si="412"/>
        <v>167</v>
      </c>
      <c r="M1116" s="645">
        <v>46093</v>
      </c>
      <c r="N1116" s="645">
        <v>46090</v>
      </c>
      <c r="O1116" s="246"/>
      <c r="P1116" s="643" t="s">
        <v>113</v>
      </c>
      <c r="Q1116" s="246"/>
      <c r="R1116" s="646">
        <v>45995</v>
      </c>
      <c r="S1116" s="646" t="s">
        <v>70</v>
      </c>
      <c r="T1116" s="646" t="s">
        <v>2738</v>
      </c>
      <c r="U1116" s="646"/>
      <c r="V1116" s="646"/>
      <c r="W1116" s="615"/>
      <c r="X1116" s="642" t="s">
        <v>8804</v>
      </c>
      <c r="Y1116" s="642" t="s">
        <v>2678</v>
      </c>
      <c r="Z1116" s="655">
        <v>1.2871</v>
      </c>
      <c r="AA1116" s="647">
        <f t="shared" si="426"/>
        <v>2579.3484</v>
      </c>
      <c r="AC1116" s="658" t="s">
        <v>3189</v>
      </c>
      <c r="AD1116" s="246" t="s">
        <v>8545</v>
      </c>
      <c r="AE1116" s="246" t="s">
        <v>82</v>
      </c>
      <c r="AF1116" s="246"/>
      <c r="AG1116" s="642"/>
      <c r="AH1116" s="642">
        <v>1</v>
      </c>
      <c r="AI1116" s="246">
        <v>2004</v>
      </c>
      <c r="AJ1116" s="246">
        <f t="shared" si="420"/>
        <v>0</v>
      </c>
      <c r="AK1116" s="246"/>
      <c r="AL1116" s="246" t="s">
        <v>2368</v>
      </c>
      <c r="AM1116" s="246"/>
      <c r="AN1116" s="610">
        <f>I1116*2</f>
        <v>4008</v>
      </c>
      <c r="AO1116" s="551"/>
      <c r="AP1116" s="554">
        <f>I1116*2</f>
        <v>4008</v>
      </c>
      <c r="AQ1116" s="551"/>
      <c r="AR1116" s="650"/>
      <c r="AS1116" s="551"/>
      <c r="AT1116" s="551"/>
      <c r="AU1116" s="554">
        <f>I1116*2</f>
        <v>4008</v>
      </c>
      <c r="AV1116" s="551"/>
      <c r="AW1116" s="650"/>
      <c r="AX1116" s="551"/>
      <c r="AY1116" s="551"/>
      <c r="AZ1116" s="551"/>
      <c r="BA1116" s="551"/>
      <c r="BB1116" s="249">
        <f>I1116/24*2</f>
        <v>167</v>
      </c>
      <c r="BC1116" s="651"/>
      <c r="BD1116" s="551"/>
      <c r="BE1116" s="551"/>
      <c r="BF1116" s="551"/>
      <c r="BH1116" s="551"/>
      <c r="BI1116" s="551"/>
      <c r="BJ1116" s="551"/>
      <c r="BK1116" s="551"/>
      <c r="BL1116" s="551"/>
      <c r="BM1116" s="551"/>
      <c r="BN1116" s="551"/>
      <c r="BO1116" s="551"/>
      <c r="BP1116" s="551"/>
      <c r="BQ1116" s="551"/>
      <c r="BR1116" s="551"/>
      <c r="BS1116" s="551"/>
      <c r="BT1116" s="551"/>
      <c r="BU1116" s="551"/>
      <c r="BV1116" s="551"/>
      <c r="BW1116" s="551"/>
      <c r="BX1116" s="551"/>
      <c r="BY1116" s="650"/>
      <c r="BZ1116" s="551"/>
      <c r="CA1116" s="652"/>
      <c r="CB1116" s="567"/>
      <c r="CC1116" s="653"/>
      <c r="CD1116" s="650"/>
      <c r="CE1116" s="650"/>
      <c r="CF1116" s="551"/>
      <c r="CG1116" s="551"/>
      <c r="CI1116" s="551"/>
      <c r="CJ1116" s="551"/>
      <c r="CK1116" s="551"/>
      <c r="CL1116" s="551"/>
      <c r="CM1116" s="551"/>
      <c r="CN1116" s="551"/>
      <c r="CO1116" s="551"/>
      <c r="CP1116" s="551"/>
      <c r="CQ1116" s="551"/>
      <c r="CR1116" s="554">
        <f>I1116</f>
        <v>2004</v>
      </c>
      <c r="CS1116" s="554">
        <f>I1116</f>
        <v>2004</v>
      </c>
      <c r="CT1116" s="554">
        <f>I1116</f>
        <v>2004</v>
      </c>
      <c r="CU1116" s="554">
        <f t="shared" si="425"/>
        <v>0</v>
      </c>
      <c r="CV1116" s="551">
        <v>0</v>
      </c>
      <c r="CW1116" s="551">
        <v>0</v>
      </c>
      <c r="CX1116" s="650"/>
      <c r="CY1116" s="650"/>
      <c r="CZ1116" s="650"/>
      <c r="DA1116" s="548"/>
      <c r="DB1116" s="548"/>
      <c r="DC1116" s="548"/>
      <c r="DD1116" s="650"/>
      <c r="DE1116" s="650"/>
      <c r="DF1116" s="650"/>
      <c r="DG1116" s="650"/>
      <c r="DH1116" s="650"/>
    </row>
    <row r="1117" s="548" customFormat="1" ht="31" customHeight="1" spans="1:112">
      <c r="A1117" s="641">
        <v>46016</v>
      </c>
      <c r="B1117" s="642" t="s">
        <v>6645</v>
      </c>
      <c r="C1117" s="246" t="s">
        <v>170</v>
      </c>
      <c r="D1117" s="551">
        <v>4500189966</v>
      </c>
      <c r="E1117" s="246">
        <v>1417157</v>
      </c>
      <c r="F1117" s="551" t="s">
        <v>8805</v>
      </c>
      <c r="G1117" s="246" t="s">
        <v>7034</v>
      </c>
      <c r="H1117" s="246" t="s">
        <v>6080</v>
      </c>
      <c r="I1117" s="704">
        <v>9030</v>
      </c>
      <c r="J1117" s="246">
        <v>0</v>
      </c>
      <c r="K1117" s="246">
        <v>30</v>
      </c>
      <c r="L1117" s="644">
        <f t="shared" si="412"/>
        <v>301</v>
      </c>
      <c r="M1117" s="645">
        <v>46055</v>
      </c>
      <c r="N1117" s="645">
        <f>M1117-4</f>
        <v>46051</v>
      </c>
      <c r="O1117" s="246"/>
      <c r="P1117" s="643" t="s">
        <v>113</v>
      </c>
      <c r="Q1117" s="246"/>
      <c r="R1117" s="646">
        <v>46016</v>
      </c>
      <c r="S1117" s="646" t="s">
        <v>70</v>
      </c>
      <c r="T1117" s="646" t="s">
        <v>70</v>
      </c>
      <c r="U1117" s="646"/>
      <c r="V1117" s="646"/>
      <c r="W1117" s="615"/>
      <c r="X1117" s="642" t="s">
        <v>8721</v>
      </c>
      <c r="Y1117" s="642" t="s">
        <v>1150</v>
      </c>
      <c r="Z1117" s="655">
        <v>34.5684</v>
      </c>
      <c r="AA1117" s="647">
        <f>Z1117*L1117</f>
        <v>10405.0884</v>
      </c>
      <c r="AC1117" s="648"/>
      <c r="AD1117" s="246" t="s">
        <v>7034</v>
      </c>
      <c r="AE1117" s="246" t="s">
        <v>82</v>
      </c>
      <c r="AF1117" s="246"/>
      <c r="AG1117" s="642"/>
      <c r="AH1117" s="642">
        <v>1</v>
      </c>
      <c r="AI1117" s="246">
        <v>9030</v>
      </c>
      <c r="AJ1117" s="246">
        <f t="shared" si="420"/>
        <v>0</v>
      </c>
      <c r="AK1117" s="246"/>
      <c r="AL1117" s="246"/>
      <c r="AM1117" s="246"/>
      <c r="AN1117" s="246">
        <f>I1117</f>
        <v>9030</v>
      </c>
      <c r="AO1117" s="551"/>
      <c r="AP1117" s="551"/>
      <c r="AQ1117" s="551"/>
      <c r="AR1117" s="650"/>
      <c r="AS1117" s="551">
        <f>I1117</f>
        <v>9030</v>
      </c>
      <c r="AT1117" s="551"/>
      <c r="AU1117" s="554">
        <f>I1117</f>
        <v>9030</v>
      </c>
      <c r="AV1117" s="551"/>
      <c r="AW1117" s="650"/>
      <c r="AX1117" s="551"/>
      <c r="AY1117" s="551"/>
      <c r="AZ1117" s="551"/>
      <c r="BA1117" s="551"/>
      <c r="BB1117" s="249">
        <f t="shared" ref="BB1117:BB1123" si="428">I1117/24</f>
        <v>376.25</v>
      </c>
      <c r="BC1117" s="651"/>
      <c r="BD1117" s="551"/>
      <c r="BE1117" s="551"/>
      <c r="BF1117" s="551"/>
      <c r="BH1117" s="551"/>
      <c r="BI1117" s="551"/>
      <c r="BJ1117" s="551"/>
      <c r="BK1117" s="551"/>
      <c r="BL1117" s="663"/>
      <c r="BM1117" s="551"/>
      <c r="BN1117" s="551"/>
      <c r="BO1117" s="551"/>
      <c r="BP1117" s="551"/>
      <c r="BQ1117" s="551"/>
      <c r="BR1117" s="551"/>
      <c r="BS1117" s="551"/>
      <c r="BT1117" s="551"/>
      <c r="BU1117" s="551"/>
      <c r="BV1117" s="551"/>
      <c r="BW1117" s="551"/>
      <c r="BX1117" s="551"/>
      <c r="BY1117" s="650"/>
      <c r="BZ1117" s="551"/>
      <c r="CA1117" s="652"/>
      <c r="CB1117" s="567"/>
      <c r="CC1117" s="653"/>
      <c r="CD1117" s="650"/>
      <c r="CE1117" s="650"/>
      <c r="CF1117" s="551"/>
      <c r="CG1117" s="551"/>
      <c r="CI1117" s="551"/>
      <c r="CJ1117" s="551"/>
      <c r="CK1117" s="551"/>
      <c r="CL1117" s="551"/>
      <c r="CM1117" s="551"/>
      <c r="CN1117" s="551"/>
      <c r="CO1117" s="548">
        <f>I1117/30</f>
        <v>301</v>
      </c>
      <c r="CP1117" s="554"/>
      <c r="CQ1117" s="551"/>
      <c r="CR1117" s="551"/>
      <c r="CS1117" s="551"/>
      <c r="CT1117" s="551"/>
      <c r="CU1117" s="554">
        <f t="shared" ref="CU1117:CU1153" si="429">BQ1117+BP1117+BO1117+BN1117+BX1117+BR1117</f>
        <v>0</v>
      </c>
      <c r="CV1117" s="551">
        <f t="shared" ref="CV1117:CV1125" si="430">CK1117+CL1117+CM1117+CN1117+CO1117+CQ1117+CP1117</f>
        <v>301</v>
      </c>
      <c r="CW1117" s="551">
        <f t="shared" ref="CW1117:CW1125" si="431">CI1117+CJ1117</f>
        <v>0</v>
      </c>
      <c r="CX1117" s="650"/>
      <c r="CY1117" s="650"/>
      <c r="CZ1117" s="650"/>
      <c r="DA1117" s="548"/>
      <c r="DB1117" s="548"/>
      <c r="DC1117" s="548"/>
      <c r="DD1117" s="650"/>
      <c r="DE1117" s="650"/>
      <c r="DF1117" s="650"/>
      <c r="DG1117" s="650"/>
      <c r="DH1117" s="650"/>
    </row>
    <row r="1118" s="548" customFormat="1" ht="31" customHeight="1" spans="1:112">
      <c r="A1118" s="641">
        <v>46387</v>
      </c>
      <c r="B1118" s="642" t="s">
        <v>1896</v>
      </c>
      <c r="C1118" s="246" t="s">
        <v>399</v>
      </c>
      <c r="D1118" s="551">
        <v>4500190510</v>
      </c>
      <c r="E1118" s="246"/>
      <c r="F1118" s="551" t="s">
        <v>8806</v>
      </c>
      <c r="G1118" s="246" t="s">
        <v>6040</v>
      </c>
      <c r="H1118" s="246" t="s">
        <v>6041</v>
      </c>
      <c r="I1118" s="704">
        <v>2444</v>
      </c>
      <c r="J1118" s="246">
        <v>0</v>
      </c>
      <c r="K1118" s="246">
        <v>52</v>
      </c>
      <c r="L1118" s="644">
        <f t="shared" si="412"/>
        <v>47</v>
      </c>
      <c r="M1118" s="645">
        <v>46084</v>
      </c>
      <c r="N1118" s="645">
        <v>46081</v>
      </c>
      <c r="O1118" s="246"/>
      <c r="P1118" s="643" t="s">
        <v>113</v>
      </c>
      <c r="Q1118" s="246"/>
      <c r="R1118" s="646" t="s">
        <v>8781</v>
      </c>
      <c r="S1118" s="646" t="s">
        <v>70</v>
      </c>
      <c r="T1118" s="646" t="s">
        <v>8807</v>
      </c>
      <c r="U1118" s="646"/>
      <c r="V1118" s="646"/>
      <c r="W1118" s="615"/>
      <c r="X1118" s="642" t="s">
        <v>8808</v>
      </c>
      <c r="Y1118" s="642" t="s">
        <v>445</v>
      </c>
      <c r="Z1118" s="655">
        <v>0.9129</v>
      </c>
      <c r="AA1118" s="647">
        <f t="shared" ref="AA1118:AA1123" si="432">Z1118*I1118</f>
        <v>2231.1276</v>
      </c>
      <c r="AC1118" s="648"/>
      <c r="AD1118" s="246" t="s">
        <v>6040</v>
      </c>
      <c r="AE1118" s="246" t="s">
        <v>82</v>
      </c>
      <c r="AF1118" s="246"/>
      <c r="AG1118" s="642"/>
      <c r="AH1118" s="642">
        <v>1</v>
      </c>
      <c r="AI1118" s="246">
        <v>2444</v>
      </c>
      <c r="AJ1118" s="246">
        <f t="shared" si="420"/>
        <v>0</v>
      </c>
      <c r="AK1118" s="246"/>
      <c r="AL1118" s="246" t="s">
        <v>2368</v>
      </c>
      <c r="AM1118" s="246"/>
      <c r="AN1118" s="246"/>
      <c r="AO1118" s="551">
        <f>I1118</f>
        <v>2444</v>
      </c>
      <c r="AP1118" s="551"/>
      <c r="AQ1118" s="551"/>
      <c r="AR1118" s="650"/>
      <c r="AS1118" s="551"/>
      <c r="AT1118" s="554">
        <f>I1118</f>
        <v>2444</v>
      </c>
      <c r="AU1118" s="551"/>
      <c r="AV1118" s="554">
        <f>I1118</f>
        <v>2444</v>
      </c>
      <c r="AW1118" s="650"/>
      <c r="AX1118" s="551"/>
      <c r="AY1118" s="551"/>
      <c r="AZ1118" s="551"/>
      <c r="BA1118" s="551"/>
      <c r="BB1118" s="620">
        <f t="shared" si="428"/>
        <v>101.833333333333</v>
      </c>
      <c r="BC1118" s="651"/>
      <c r="BD1118" s="551"/>
      <c r="BE1118" s="551"/>
      <c r="BF1118" s="551"/>
      <c r="BH1118" s="551"/>
      <c r="BI1118" s="551"/>
      <c r="BJ1118" s="551"/>
      <c r="BK1118" s="551"/>
      <c r="BL1118" s="551"/>
      <c r="BM1118" s="551">
        <f>I1118/13</f>
        <v>188</v>
      </c>
      <c r="BN1118" s="551"/>
      <c r="BO1118" s="551"/>
      <c r="BP1118" s="551"/>
      <c r="BQ1118" s="551"/>
      <c r="BR1118" s="551"/>
      <c r="BS1118" s="551"/>
      <c r="BT1118" s="551"/>
      <c r="BU1118" s="551"/>
      <c r="BV1118" s="551"/>
      <c r="BW1118" s="551"/>
      <c r="BX1118" s="551"/>
      <c r="BY1118" s="650"/>
      <c r="BZ1118" s="551"/>
      <c r="CA1118" s="652"/>
      <c r="CB1118" s="567"/>
      <c r="CC1118" s="653"/>
      <c r="CD1118" s="650"/>
      <c r="CE1118" s="650"/>
      <c r="CF1118" s="551"/>
      <c r="CG1118" s="551"/>
      <c r="CI1118" s="551"/>
      <c r="CJ1118" s="551"/>
      <c r="CK1118" s="551"/>
      <c r="CL1118" s="551"/>
      <c r="CM1118" s="551"/>
      <c r="CN1118" s="551"/>
      <c r="CO1118" s="551"/>
      <c r="CP1118" s="551"/>
      <c r="CQ1118" s="551"/>
      <c r="CR1118" s="551"/>
      <c r="CS1118" s="551"/>
      <c r="CT1118" s="551"/>
      <c r="CU1118" s="554">
        <f t="shared" si="429"/>
        <v>0</v>
      </c>
      <c r="CV1118" s="551">
        <f t="shared" si="430"/>
        <v>0</v>
      </c>
      <c r="CW1118" s="551">
        <f t="shared" si="431"/>
        <v>0</v>
      </c>
      <c r="CX1118" s="650"/>
      <c r="CY1118" s="650"/>
      <c r="CZ1118" s="650"/>
      <c r="DA1118" s="548"/>
      <c r="DB1118" s="548"/>
      <c r="DC1118" s="548"/>
      <c r="DD1118" s="650"/>
      <c r="DE1118" s="650"/>
      <c r="DF1118" s="650"/>
      <c r="DG1118" s="650"/>
      <c r="DH1118" s="650"/>
    </row>
    <row r="1119" s="548" customFormat="1" ht="31" customHeight="1" spans="1:112">
      <c r="A1119" s="641">
        <v>46037</v>
      </c>
      <c r="B1119" s="642" t="s">
        <v>139</v>
      </c>
      <c r="C1119" s="246" t="s">
        <v>76</v>
      </c>
      <c r="D1119" s="551">
        <v>4500190618</v>
      </c>
      <c r="E1119" s="246">
        <v>21413467</v>
      </c>
      <c r="F1119" s="551" t="s">
        <v>8809</v>
      </c>
      <c r="G1119" s="246" t="s">
        <v>6093</v>
      </c>
      <c r="H1119" s="246" t="s">
        <v>6094</v>
      </c>
      <c r="I1119" s="704">
        <v>455</v>
      </c>
      <c r="J1119" s="246">
        <v>0</v>
      </c>
      <c r="K1119" s="246">
        <v>13</v>
      </c>
      <c r="L1119" s="644">
        <f t="shared" si="412"/>
        <v>35</v>
      </c>
      <c r="M1119" s="645">
        <v>46087</v>
      </c>
      <c r="N1119" s="645">
        <v>46083</v>
      </c>
      <c r="O1119" s="246"/>
      <c r="P1119" s="643" t="s">
        <v>113</v>
      </c>
      <c r="Q1119" s="246"/>
      <c r="R1119" s="646">
        <v>46038</v>
      </c>
      <c r="S1119" s="646" t="s">
        <v>104</v>
      </c>
      <c r="T1119" s="646" t="s">
        <v>8810</v>
      </c>
      <c r="U1119" s="646"/>
      <c r="V1119" s="646"/>
      <c r="W1119" s="615"/>
      <c r="X1119" s="642" t="s">
        <v>8811</v>
      </c>
      <c r="Y1119" s="642" t="s">
        <v>3206</v>
      </c>
      <c r="Z1119" s="655">
        <v>0.9526</v>
      </c>
      <c r="AA1119" s="647">
        <f t="shared" si="432"/>
        <v>433.433</v>
      </c>
      <c r="AC1119" s="648"/>
      <c r="AD1119" s="246" t="s">
        <v>6093</v>
      </c>
      <c r="AE1119" s="246" t="s">
        <v>82</v>
      </c>
      <c r="AF1119" s="246"/>
      <c r="AG1119" s="642"/>
      <c r="AH1119" s="642">
        <v>1</v>
      </c>
      <c r="AI1119" s="246">
        <v>455</v>
      </c>
      <c r="AJ1119" s="246">
        <f t="shared" si="420"/>
        <v>0</v>
      </c>
      <c r="AK1119" s="246"/>
      <c r="AL1119" s="246" t="s">
        <v>2368</v>
      </c>
      <c r="AM1119" s="246"/>
      <c r="AN1119" s="246"/>
      <c r="AO1119" s="551">
        <f>I1119</f>
        <v>455</v>
      </c>
      <c r="AP1119" s="551"/>
      <c r="AQ1119" s="551"/>
      <c r="AR1119" s="650"/>
      <c r="AS1119" s="551"/>
      <c r="AT1119" s="554">
        <f>I1119</f>
        <v>455</v>
      </c>
      <c r="AU1119" s="551"/>
      <c r="AV1119" s="554">
        <f>I1119</f>
        <v>455</v>
      </c>
      <c r="AW1119" s="650"/>
      <c r="AX1119" s="551"/>
      <c r="AY1119" s="551"/>
      <c r="AZ1119" s="551"/>
      <c r="BA1119" s="551"/>
      <c r="BB1119" s="620">
        <f t="shared" si="428"/>
        <v>18.9583333333333</v>
      </c>
      <c r="BC1119" s="651"/>
      <c r="BD1119" s="551"/>
      <c r="BE1119" s="551"/>
      <c r="BF1119" s="551"/>
      <c r="BH1119" s="551"/>
      <c r="BI1119" s="551"/>
      <c r="BJ1119" s="551"/>
      <c r="BK1119" s="551"/>
      <c r="BL1119" s="551"/>
      <c r="BM1119" s="551">
        <f>I1119/13</f>
        <v>35</v>
      </c>
      <c r="BN1119" s="551"/>
      <c r="BO1119" s="551"/>
      <c r="BP1119" s="551"/>
      <c r="BQ1119" s="551"/>
      <c r="BR1119" s="551"/>
      <c r="BS1119" s="551"/>
      <c r="BT1119" s="551"/>
      <c r="BU1119" s="551"/>
      <c r="BV1119" s="551"/>
      <c r="BW1119" s="551"/>
      <c r="BX1119" s="551"/>
      <c r="BY1119" s="650"/>
      <c r="BZ1119" s="551"/>
      <c r="CA1119" s="652"/>
      <c r="CB1119" s="567"/>
      <c r="CC1119" s="653"/>
      <c r="CD1119" s="650"/>
      <c r="CE1119" s="650"/>
      <c r="CF1119" s="551"/>
      <c r="CG1119" s="551"/>
      <c r="CI1119" s="551"/>
      <c r="CJ1119" s="551"/>
      <c r="CK1119" s="551"/>
      <c r="CL1119" s="551"/>
      <c r="CM1119" s="551"/>
      <c r="CN1119" s="551"/>
      <c r="CO1119" s="551"/>
      <c r="CP1119" s="551"/>
      <c r="CQ1119" s="551"/>
      <c r="CR1119" s="551"/>
      <c r="CS1119" s="551"/>
      <c r="CT1119" s="551"/>
      <c r="CU1119" s="554">
        <f t="shared" si="429"/>
        <v>0</v>
      </c>
      <c r="CV1119" s="551">
        <f t="shared" si="430"/>
        <v>0</v>
      </c>
      <c r="CW1119" s="551">
        <f t="shared" si="431"/>
        <v>0</v>
      </c>
      <c r="CX1119" s="650"/>
      <c r="CY1119" s="650"/>
      <c r="CZ1119" s="650"/>
      <c r="DA1119" s="548"/>
      <c r="DB1119" s="548"/>
      <c r="DC1119" s="548"/>
      <c r="DD1119" s="650"/>
      <c r="DE1119" s="650"/>
      <c r="DF1119" s="650"/>
      <c r="DG1119" s="650"/>
      <c r="DH1119" s="650"/>
    </row>
    <row r="1120" s="548" customFormat="1" ht="31" customHeight="1" spans="1:112">
      <c r="A1120" s="641">
        <v>46037</v>
      </c>
      <c r="B1120" s="642" t="s">
        <v>135</v>
      </c>
      <c r="C1120" s="246" t="s">
        <v>128</v>
      </c>
      <c r="D1120" s="551">
        <v>4500190616</v>
      </c>
      <c r="E1120" s="246">
        <v>21413466</v>
      </c>
      <c r="F1120" s="551" t="s">
        <v>8812</v>
      </c>
      <c r="G1120" s="246" t="s">
        <v>6093</v>
      </c>
      <c r="H1120" s="246" t="s">
        <v>6094</v>
      </c>
      <c r="I1120" s="704">
        <v>3939</v>
      </c>
      <c r="J1120" s="246">
        <v>0</v>
      </c>
      <c r="K1120" s="246">
        <v>13</v>
      </c>
      <c r="L1120" s="644">
        <f t="shared" si="412"/>
        <v>303</v>
      </c>
      <c r="M1120" s="645">
        <v>46087</v>
      </c>
      <c r="N1120" s="645">
        <v>46083</v>
      </c>
      <c r="O1120" s="246"/>
      <c r="P1120" s="643" t="s">
        <v>113</v>
      </c>
      <c r="Q1120" s="246"/>
      <c r="R1120" s="646">
        <v>46038</v>
      </c>
      <c r="S1120" s="646" t="s">
        <v>104</v>
      </c>
      <c r="T1120" s="646" t="s">
        <v>8810</v>
      </c>
      <c r="U1120" s="646"/>
      <c r="V1120" s="646"/>
      <c r="W1120" s="615"/>
      <c r="X1120" s="628" t="s">
        <v>8813</v>
      </c>
      <c r="Y1120" s="642" t="s">
        <v>3206</v>
      </c>
      <c r="Z1120" s="655">
        <v>0.9475</v>
      </c>
      <c r="AA1120" s="647">
        <f t="shared" si="432"/>
        <v>3732.2025</v>
      </c>
      <c r="AC1120" s="648"/>
      <c r="AD1120" s="246" t="s">
        <v>6093</v>
      </c>
      <c r="AE1120" s="246" t="s">
        <v>82</v>
      </c>
      <c r="AF1120" s="246"/>
      <c r="AG1120" s="642"/>
      <c r="AH1120" s="642">
        <v>1</v>
      </c>
      <c r="AI1120" s="246">
        <v>3939</v>
      </c>
      <c r="AJ1120" s="246">
        <f t="shared" si="420"/>
        <v>0</v>
      </c>
      <c r="AK1120" s="246"/>
      <c r="AL1120" s="246" t="s">
        <v>2368</v>
      </c>
      <c r="AM1120" s="246"/>
      <c r="AN1120" s="246"/>
      <c r="AO1120" s="551">
        <f>I1120</f>
        <v>3939</v>
      </c>
      <c r="AP1120" s="551"/>
      <c r="AQ1120" s="551"/>
      <c r="AR1120" s="650"/>
      <c r="AS1120" s="551"/>
      <c r="AT1120" s="554">
        <f>I1120</f>
        <v>3939</v>
      </c>
      <c r="AU1120" s="551"/>
      <c r="AV1120" s="554">
        <f>I1120</f>
        <v>3939</v>
      </c>
      <c r="AW1120" s="650"/>
      <c r="AX1120" s="551"/>
      <c r="AY1120" s="551"/>
      <c r="AZ1120" s="551"/>
      <c r="BA1120" s="551"/>
      <c r="BB1120" s="249">
        <f t="shared" si="428"/>
        <v>164.125</v>
      </c>
      <c r="BC1120" s="651"/>
      <c r="BD1120" s="551"/>
      <c r="BE1120" s="551"/>
      <c r="BF1120" s="551"/>
      <c r="BH1120" s="551"/>
      <c r="BI1120" s="551"/>
      <c r="BJ1120" s="551"/>
      <c r="BK1120" s="551"/>
      <c r="BL1120" s="551"/>
      <c r="BM1120" s="551">
        <f>I1120/13</f>
        <v>303</v>
      </c>
      <c r="BN1120" s="551"/>
      <c r="BO1120" s="551"/>
      <c r="BP1120" s="551"/>
      <c r="BQ1120" s="551"/>
      <c r="BR1120" s="551"/>
      <c r="BS1120" s="551"/>
      <c r="BT1120" s="551"/>
      <c r="BU1120" s="551"/>
      <c r="BV1120" s="551"/>
      <c r="BW1120" s="551"/>
      <c r="BX1120" s="551"/>
      <c r="BY1120" s="650"/>
      <c r="BZ1120" s="551"/>
      <c r="CA1120" s="652"/>
      <c r="CB1120" s="567"/>
      <c r="CC1120" s="653"/>
      <c r="CD1120" s="650"/>
      <c r="CE1120" s="650"/>
      <c r="CF1120" s="551"/>
      <c r="CG1120" s="551"/>
      <c r="CI1120" s="551"/>
      <c r="CJ1120" s="551"/>
      <c r="CK1120" s="551"/>
      <c r="CL1120" s="551"/>
      <c r="CM1120" s="551"/>
      <c r="CN1120" s="551"/>
      <c r="CO1120" s="551"/>
      <c r="CP1120" s="551"/>
      <c r="CQ1120" s="551"/>
      <c r="CR1120" s="551"/>
      <c r="CS1120" s="551"/>
      <c r="CT1120" s="551"/>
      <c r="CU1120" s="554">
        <f t="shared" si="429"/>
        <v>0</v>
      </c>
      <c r="CV1120" s="551">
        <f t="shared" si="430"/>
        <v>0</v>
      </c>
      <c r="CW1120" s="551">
        <f t="shared" si="431"/>
        <v>0</v>
      </c>
      <c r="CX1120" s="650"/>
      <c r="CY1120" s="650"/>
      <c r="CZ1120" s="650"/>
      <c r="DA1120" s="548"/>
      <c r="DB1120" s="548"/>
      <c r="DC1120" s="548"/>
      <c r="DD1120" s="650"/>
      <c r="DE1120" s="650"/>
      <c r="DF1120" s="650"/>
      <c r="DG1120" s="650"/>
      <c r="DH1120" s="650"/>
    </row>
    <row r="1121" s="548" customFormat="1" ht="31" customHeight="1" spans="1:112">
      <c r="A1121" s="641">
        <v>46028</v>
      </c>
      <c r="B1121" s="642" t="s">
        <v>3152</v>
      </c>
      <c r="C1121" s="246" t="s">
        <v>98</v>
      </c>
      <c r="D1121" s="551">
        <v>4500190742</v>
      </c>
      <c r="E1121" s="246" t="s">
        <v>3153</v>
      </c>
      <c r="F1121" s="551" t="s">
        <v>8814</v>
      </c>
      <c r="G1121" s="246" t="s">
        <v>6036</v>
      </c>
      <c r="H1121" s="246" t="s">
        <v>6033</v>
      </c>
      <c r="I1121" s="704">
        <v>13750</v>
      </c>
      <c r="J1121" s="246">
        <v>0</v>
      </c>
      <c r="K1121" s="246">
        <v>50</v>
      </c>
      <c r="L1121" s="644">
        <f t="shared" si="412"/>
        <v>275</v>
      </c>
      <c r="M1121" s="645">
        <v>46090</v>
      </c>
      <c r="N1121" s="645">
        <v>46086</v>
      </c>
      <c r="O1121" s="246"/>
      <c r="P1121" s="643" t="s">
        <v>113</v>
      </c>
      <c r="Q1121" s="246"/>
      <c r="R1121" s="646">
        <v>46028</v>
      </c>
      <c r="S1121" s="646" t="s">
        <v>70</v>
      </c>
      <c r="T1121" s="646" t="s">
        <v>70</v>
      </c>
      <c r="U1121" s="646"/>
      <c r="V1121" s="646"/>
      <c r="W1121" s="615"/>
      <c r="X1121" s="642" t="s">
        <v>3155</v>
      </c>
      <c r="Y1121" s="642" t="s">
        <v>355</v>
      </c>
      <c r="Z1121" s="655">
        <v>0.5642</v>
      </c>
      <c r="AA1121" s="647">
        <f t="shared" si="432"/>
        <v>7757.75</v>
      </c>
      <c r="AC1121" s="658" t="s">
        <v>3156</v>
      </c>
      <c r="AD1121" s="246" t="s">
        <v>6036</v>
      </c>
      <c r="AE1121" s="246" t="s">
        <v>82</v>
      </c>
      <c r="AF1121" s="246"/>
      <c r="AG1121" s="642"/>
      <c r="AH1121" s="642">
        <v>1</v>
      </c>
      <c r="AI1121" s="246">
        <v>13750</v>
      </c>
      <c r="AJ1121" s="246">
        <f t="shared" si="420"/>
        <v>0</v>
      </c>
      <c r="AK1121" s="246"/>
      <c r="AL1121" s="246"/>
      <c r="AM1121" s="246"/>
      <c r="AN1121" s="246">
        <f>I1121</f>
        <v>13750</v>
      </c>
      <c r="AO1121" s="551"/>
      <c r="AP1121" s="554">
        <f>I1121</f>
        <v>13750</v>
      </c>
      <c r="AQ1121" s="551"/>
      <c r="AR1121" s="650"/>
      <c r="AS1121" s="551"/>
      <c r="AT1121" s="551"/>
      <c r="AU1121" s="554">
        <f>I1121</f>
        <v>13750</v>
      </c>
      <c r="AV1121" s="551"/>
      <c r="AW1121" s="650"/>
      <c r="AX1121" s="551"/>
      <c r="AY1121" s="551"/>
      <c r="AZ1121" s="551"/>
      <c r="BA1121" s="551"/>
      <c r="BB1121" s="249">
        <f t="shared" si="428"/>
        <v>572.916666666667</v>
      </c>
      <c r="BC1121" s="651"/>
      <c r="BD1121" s="551"/>
      <c r="BE1121" s="551"/>
      <c r="BF1121" s="551"/>
      <c r="BH1121" s="551"/>
      <c r="BI1121" s="551"/>
      <c r="BJ1121" s="551"/>
      <c r="BK1121" s="551"/>
      <c r="BL1121" s="551"/>
      <c r="BM1121" s="551"/>
      <c r="BN1121" s="551">
        <f>I1121/25</f>
        <v>550</v>
      </c>
      <c r="BO1121" s="551"/>
      <c r="BP1121" s="551"/>
      <c r="BQ1121" s="551"/>
      <c r="BR1121" s="551"/>
      <c r="BS1121" s="551"/>
      <c r="BT1121" s="551"/>
      <c r="BU1121" s="551"/>
      <c r="BV1121" s="551"/>
      <c r="BW1121" s="551"/>
      <c r="BX1121" s="551"/>
      <c r="BY1121" s="650"/>
      <c r="BZ1121" s="551"/>
      <c r="CA1121" s="652"/>
      <c r="CB1121" s="567"/>
      <c r="CC1121" s="653"/>
      <c r="CD1121" s="650"/>
      <c r="CE1121" s="650"/>
      <c r="CF1121" s="551"/>
      <c r="CG1121" s="551"/>
      <c r="CI1121" s="551"/>
      <c r="CJ1121" s="551"/>
      <c r="CK1121" s="551"/>
      <c r="CL1121" s="551"/>
      <c r="CM1121" s="551"/>
      <c r="CN1121" s="551"/>
      <c r="CO1121" s="551"/>
      <c r="CP1121" s="551"/>
      <c r="CQ1121" s="551"/>
      <c r="CR1121" s="551"/>
      <c r="CS1121" s="551"/>
      <c r="CT1121" s="551"/>
      <c r="CU1121" s="554">
        <f t="shared" si="429"/>
        <v>550</v>
      </c>
      <c r="CV1121" s="551">
        <f t="shared" si="430"/>
        <v>0</v>
      </c>
      <c r="CW1121" s="551">
        <f t="shared" si="431"/>
        <v>0</v>
      </c>
      <c r="CX1121" s="650"/>
      <c r="CY1121" s="650"/>
      <c r="CZ1121" s="650"/>
      <c r="DA1121" s="548"/>
      <c r="DB1121" s="548"/>
      <c r="DC1121" s="548"/>
      <c r="DD1121" s="650"/>
      <c r="DE1121" s="650"/>
      <c r="DF1121" s="650"/>
      <c r="DG1121" s="650"/>
      <c r="DH1121" s="650"/>
    </row>
    <row r="1122" s="548" customFormat="1" ht="31" customHeight="1" spans="1:112">
      <c r="A1122" s="641">
        <v>46041</v>
      </c>
      <c r="B1122" s="642" t="s">
        <v>135</v>
      </c>
      <c r="C1122" s="246" t="s">
        <v>128</v>
      </c>
      <c r="D1122" s="551">
        <v>4500190370</v>
      </c>
      <c r="E1122" s="246">
        <v>21503983</v>
      </c>
      <c r="F1122" s="551" t="s">
        <v>8815</v>
      </c>
      <c r="G1122" s="246" t="s">
        <v>6093</v>
      </c>
      <c r="H1122" s="246" t="s">
        <v>6094</v>
      </c>
      <c r="I1122" s="704">
        <v>4485</v>
      </c>
      <c r="J1122" s="246">
        <v>0</v>
      </c>
      <c r="K1122" s="246">
        <v>13</v>
      </c>
      <c r="L1122" s="644">
        <f t="shared" si="412"/>
        <v>345</v>
      </c>
      <c r="M1122" s="645">
        <v>46093</v>
      </c>
      <c r="N1122" s="645">
        <v>46090</v>
      </c>
      <c r="O1122" s="246"/>
      <c r="P1122" s="643" t="s">
        <v>113</v>
      </c>
      <c r="Q1122" s="246"/>
      <c r="R1122" s="646">
        <v>46041</v>
      </c>
      <c r="S1122" s="646" t="s">
        <v>104</v>
      </c>
      <c r="T1122" s="646" t="s">
        <v>8816</v>
      </c>
      <c r="U1122" s="646"/>
      <c r="V1122" s="646"/>
      <c r="W1122" s="615"/>
      <c r="X1122" s="642" t="s">
        <v>8817</v>
      </c>
      <c r="Y1122" s="642" t="s">
        <v>3206</v>
      </c>
      <c r="Z1122" s="655">
        <v>0.9475</v>
      </c>
      <c r="AA1122" s="647">
        <f t="shared" si="432"/>
        <v>4249.5375</v>
      </c>
      <c r="AC1122" s="648"/>
      <c r="AD1122" s="246" t="s">
        <v>6093</v>
      </c>
      <c r="AE1122" s="246" t="s">
        <v>82</v>
      </c>
      <c r="AF1122" s="246"/>
      <c r="AG1122" s="642"/>
      <c r="AH1122" s="642">
        <v>1</v>
      </c>
      <c r="AI1122" s="246">
        <v>4485</v>
      </c>
      <c r="AJ1122" s="246">
        <f t="shared" si="420"/>
        <v>0</v>
      </c>
      <c r="AK1122" s="246"/>
      <c r="AL1122" s="246" t="s">
        <v>2368</v>
      </c>
      <c r="AM1122" s="246"/>
      <c r="AN1122" s="246"/>
      <c r="AO1122" s="551">
        <f>I1122</f>
        <v>4485</v>
      </c>
      <c r="AP1122" s="551"/>
      <c r="AQ1122" s="551"/>
      <c r="AR1122" s="650"/>
      <c r="AS1122" s="551"/>
      <c r="AT1122" s="554">
        <f>I1122</f>
        <v>4485</v>
      </c>
      <c r="AU1122" s="551"/>
      <c r="AV1122" s="554">
        <f>I1122</f>
        <v>4485</v>
      </c>
      <c r="AW1122" s="650"/>
      <c r="AX1122" s="551"/>
      <c r="AY1122" s="551"/>
      <c r="AZ1122" s="551"/>
      <c r="BA1122" s="551"/>
      <c r="BB1122" s="620">
        <f t="shared" si="428"/>
        <v>186.875</v>
      </c>
      <c r="BC1122" s="651"/>
      <c r="BD1122" s="551"/>
      <c r="BE1122" s="551"/>
      <c r="BF1122" s="551"/>
      <c r="BH1122" s="551"/>
      <c r="BI1122" s="551"/>
      <c r="BJ1122" s="551"/>
      <c r="BK1122" s="551"/>
      <c r="BL1122" s="551"/>
      <c r="BM1122" s="551">
        <f>I1122/13</f>
        <v>345</v>
      </c>
      <c r="BN1122" s="551"/>
      <c r="BO1122" s="551"/>
      <c r="BP1122" s="551"/>
      <c r="BQ1122" s="551"/>
      <c r="BR1122" s="551"/>
      <c r="BS1122" s="551"/>
      <c r="BT1122" s="551"/>
      <c r="BU1122" s="551"/>
      <c r="BV1122" s="551"/>
      <c r="BW1122" s="551"/>
      <c r="BX1122" s="551"/>
      <c r="BY1122" s="650"/>
      <c r="BZ1122" s="551"/>
      <c r="CA1122" s="652"/>
      <c r="CB1122" s="567"/>
      <c r="CC1122" s="653"/>
      <c r="CD1122" s="650"/>
      <c r="CE1122" s="650"/>
      <c r="CF1122" s="551"/>
      <c r="CG1122" s="551"/>
      <c r="CI1122" s="551"/>
      <c r="CJ1122" s="551"/>
      <c r="CK1122" s="551"/>
      <c r="CL1122" s="551"/>
      <c r="CM1122" s="551"/>
      <c r="CN1122" s="551"/>
      <c r="CO1122" s="551"/>
      <c r="CP1122" s="551"/>
      <c r="CQ1122" s="551"/>
      <c r="CR1122" s="551"/>
      <c r="CS1122" s="551"/>
      <c r="CT1122" s="551"/>
      <c r="CU1122" s="554">
        <f t="shared" si="429"/>
        <v>0</v>
      </c>
      <c r="CV1122" s="551">
        <f t="shared" si="430"/>
        <v>0</v>
      </c>
      <c r="CW1122" s="551">
        <f t="shared" si="431"/>
        <v>0</v>
      </c>
      <c r="CX1122" s="650"/>
      <c r="CY1122" s="650"/>
      <c r="CZ1122" s="650"/>
      <c r="DA1122" s="548"/>
      <c r="DB1122" s="548"/>
      <c r="DC1122" s="548"/>
      <c r="DD1122" s="650"/>
      <c r="DE1122" s="650"/>
      <c r="DF1122" s="650"/>
      <c r="DG1122" s="650"/>
      <c r="DH1122" s="650"/>
    </row>
    <row r="1123" s="548" customFormat="1" ht="31" customHeight="1" spans="1:112">
      <c r="A1123" s="641">
        <v>46041</v>
      </c>
      <c r="B1123" s="642" t="s">
        <v>139</v>
      </c>
      <c r="C1123" s="246" t="s">
        <v>76</v>
      </c>
      <c r="D1123" s="551">
        <v>4500190371</v>
      </c>
      <c r="E1123" s="246">
        <v>21503986</v>
      </c>
      <c r="F1123" s="551" t="s">
        <v>8818</v>
      </c>
      <c r="G1123" s="246" t="s">
        <v>6093</v>
      </c>
      <c r="H1123" s="246" t="s">
        <v>6094</v>
      </c>
      <c r="I1123" s="704">
        <v>455</v>
      </c>
      <c r="J1123" s="246">
        <v>0</v>
      </c>
      <c r="K1123" s="246">
        <v>13</v>
      </c>
      <c r="L1123" s="644">
        <f t="shared" si="412"/>
        <v>35</v>
      </c>
      <c r="M1123" s="645">
        <v>46093</v>
      </c>
      <c r="N1123" s="645">
        <v>46090</v>
      </c>
      <c r="O1123" s="246"/>
      <c r="P1123" s="643" t="s">
        <v>113</v>
      </c>
      <c r="Q1123" s="246"/>
      <c r="R1123" s="646">
        <v>46041</v>
      </c>
      <c r="S1123" s="646" t="s">
        <v>104</v>
      </c>
      <c r="T1123" s="646" t="s">
        <v>8816</v>
      </c>
      <c r="U1123" s="646"/>
      <c r="V1123" s="646"/>
      <c r="W1123" s="615"/>
      <c r="X1123" s="642" t="s">
        <v>8819</v>
      </c>
      <c r="Y1123" s="642" t="s">
        <v>3206</v>
      </c>
      <c r="Z1123" s="655">
        <v>0.9526</v>
      </c>
      <c r="AA1123" s="647">
        <f t="shared" si="432"/>
        <v>433.433</v>
      </c>
      <c r="AC1123" s="648"/>
      <c r="AD1123" s="246" t="s">
        <v>6093</v>
      </c>
      <c r="AE1123" s="246" t="s">
        <v>82</v>
      </c>
      <c r="AF1123" s="246"/>
      <c r="AG1123" s="642"/>
      <c r="AH1123" s="642">
        <v>1</v>
      </c>
      <c r="AI1123" s="246">
        <v>455</v>
      </c>
      <c r="AJ1123" s="246">
        <f t="shared" si="420"/>
        <v>0</v>
      </c>
      <c r="AK1123" s="246"/>
      <c r="AL1123" s="246" t="s">
        <v>2368</v>
      </c>
      <c r="AM1123" s="246"/>
      <c r="AN1123" s="246"/>
      <c r="AO1123" s="551">
        <f>I1123</f>
        <v>455</v>
      </c>
      <c r="AP1123" s="551"/>
      <c r="AQ1123" s="551"/>
      <c r="AR1123" s="650"/>
      <c r="AS1123" s="551"/>
      <c r="AT1123" s="554">
        <f>I1123</f>
        <v>455</v>
      </c>
      <c r="AU1123" s="551"/>
      <c r="AV1123" s="554">
        <f>I1123</f>
        <v>455</v>
      </c>
      <c r="AW1123" s="650"/>
      <c r="AX1123" s="551"/>
      <c r="AY1123" s="551"/>
      <c r="AZ1123" s="551"/>
      <c r="BA1123" s="551"/>
      <c r="BB1123" s="620">
        <f t="shared" si="428"/>
        <v>18.9583333333333</v>
      </c>
      <c r="BC1123" s="651"/>
      <c r="BD1123" s="551"/>
      <c r="BE1123" s="551"/>
      <c r="BF1123" s="551"/>
      <c r="BH1123" s="551"/>
      <c r="BI1123" s="551"/>
      <c r="BJ1123" s="551"/>
      <c r="BK1123" s="551"/>
      <c r="BL1123" s="551"/>
      <c r="BM1123" s="551">
        <f>I1123/13</f>
        <v>35</v>
      </c>
      <c r="BN1123" s="551"/>
      <c r="BO1123" s="551"/>
      <c r="BP1123" s="551"/>
      <c r="BQ1123" s="551"/>
      <c r="BR1123" s="551"/>
      <c r="BS1123" s="551"/>
      <c r="BT1123" s="551"/>
      <c r="BU1123" s="551"/>
      <c r="BV1123" s="551"/>
      <c r="BW1123" s="551"/>
      <c r="BX1123" s="551"/>
      <c r="BY1123" s="650"/>
      <c r="BZ1123" s="551"/>
      <c r="CA1123" s="652"/>
      <c r="CB1123" s="567"/>
      <c r="CC1123" s="653"/>
      <c r="CD1123" s="650"/>
      <c r="CE1123" s="650"/>
      <c r="CF1123" s="551"/>
      <c r="CG1123" s="551"/>
      <c r="CI1123" s="551"/>
      <c r="CJ1123" s="551"/>
      <c r="CK1123" s="551"/>
      <c r="CL1123" s="551"/>
      <c r="CM1123" s="551"/>
      <c r="CN1123" s="551"/>
      <c r="CO1123" s="551"/>
      <c r="CP1123" s="551"/>
      <c r="CQ1123" s="551"/>
      <c r="CR1123" s="551"/>
      <c r="CS1123" s="551"/>
      <c r="CT1123" s="551"/>
      <c r="CU1123" s="554">
        <f t="shared" si="429"/>
        <v>0</v>
      </c>
      <c r="CV1123" s="551">
        <f t="shared" si="430"/>
        <v>0</v>
      </c>
      <c r="CW1123" s="551">
        <f t="shared" si="431"/>
        <v>0</v>
      </c>
      <c r="CX1123" s="650"/>
      <c r="CY1123" s="650"/>
      <c r="CZ1123" s="650"/>
      <c r="DA1123" s="548"/>
      <c r="DB1123" s="548"/>
      <c r="DC1123" s="548"/>
      <c r="DD1123" s="650"/>
      <c r="DE1123" s="650"/>
      <c r="DF1123" s="650"/>
      <c r="DG1123" s="650"/>
      <c r="DH1123" s="650"/>
    </row>
    <row r="1124" s="548" customFormat="1" ht="31" customHeight="1" spans="1:112">
      <c r="A1124" s="641">
        <v>46058</v>
      </c>
      <c r="B1124" s="642" t="s">
        <v>8820</v>
      </c>
      <c r="C1124" s="246" t="s">
        <v>6018</v>
      </c>
      <c r="D1124" s="551" t="s">
        <v>8821</v>
      </c>
      <c r="E1124" s="246"/>
      <c r="F1124" s="551" t="s">
        <v>8822</v>
      </c>
      <c r="G1124" s="246" t="s">
        <v>6025</v>
      </c>
      <c r="H1124" s="246" t="s">
        <v>6026</v>
      </c>
      <c r="I1124" s="704" t="s">
        <v>6053</v>
      </c>
      <c r="J1124" s="246"/>
      <c r="K1124" s="246"/>
      <c r="L1124" s="644"/>
      <c r="M1124" s="645">
        <v>46091</v>
      </c>
      <c r="N1124" s="645">
        <v>46087</v>
      </c>
      <c r="O1124" s="246"/>
      <c r="P1124" s="643"/>
      <c r="Q1124" s="246"/>
      <c r="R1124" s="646" t="s">
        <v>1242</v>
      </c>
      <c r="S1124" s="646" t="s">
        <v>70</v>
      </c>
      <c r="T1124" s="646" t="s">
        <v>70</v>
      </c>
      <c r="U1124" s="646"/>
      <c r="V1124" s="646"/>
      <c r="W1124" s="615"/>
      <c r="X1124" s="642" t="s">
        <v>96</v>
      </c>
      <c r="Y1124" s="642" t="s">
        <v>3247</v>
      </c>
      <c r="Z1124" s="655"/>
      <c r="AA1124" s="647"/>
      <c r="AC1124" s="648"/>
      <c r="AD1124" s="246"/>
      <c r="AE1124" s="246" t="s">
        <v>4133</v>
      </c>
      <c r="AF1124" s="246"/>
      <c r="AG1124" s="642"/>
      <c r="AH1124" s="642" t="s">
        <v>2629</v>
      </c>
      <c r="AI1124" s="246" t="s">
        <v>8823</v>
      </c>
      <c r="AJ1124" s="246"/>
      <c r="AK1124" s="246"/>
      <c r="AL1124" s="246"/>
      <c r="AM1124" s="246"/>
      <c r="AN1124" s="246"/>
      <c r="AO1124" s="551"/>
      <c r="AP1124" s="551"/>
      <c r="AQ1124" s="551"/>
      <c r="AR1124" s="650"/>
      <c r="AS1124" s="551"/>
      <c r="AT1124" s="551"/>
      <c r="AU1124" s="551"/>
      <c r="AV1124" s="551"/>
      <c r="AW1124" s="650"/>
      <c r="AX1124" s="551"/>
      <c r="AY1124" s="551"/>
      <c r="AZ1124" s="551"/>
      <c r="BA1124" s="551"/>
      <c r="BB1124" s="249"/>
      <c r="BC1124" s="651"/>
      <c r="BD1124" s="551"/>
      <c r="BE1124" s="551"/>
      <c r="BF1124" s="551"/>
      <c r="BH1124" s="551"/>
      <c r="BI1124" s="551"/>
      <c r="BJ1124" s="551"/>
      <c r="BK1124" s="551"/>
      <c r="BL1124" s="551"/>
      <c r="BM1124" s="551"/>
      <c r="BN1124" s="551"/>
      <c r="BO1124" s="551"/>
      <c r="BP1124" s="551"/>
      <c r="BQ1124" s="551"/>
      <c r="BR1124" s="551"/>
      <c r="BS1124" s="551"/>
      <c r="BT1124" s="551"/>
      <c r="BU1124" s="551"/>
      <c r="BV1124" s="551"/>
      <c r="BW1124" s="551"/>
      <c r="BX1124" s="551"/>
      <c r="BY1124" s="650"/>
      <c r="BZ1124" s="551"/>
      <c r="CA1124" s="652"/>
      <c r="CB1124" s="567"/>
      <c r="CC1124" s="653"/>
      <c r="CD1124" s="650"/>
      <c r="CE1124" s="650"/>
      <c r="CF1124" s="551"/>
      <c r="CG1124" s="551"/>
      <c r="CI1124" s="551"/>
      <c r="CJ1124" s="551"/>
      <c r="CK1124" s="551"/>
      <c r="CL1124" s="551"/>
      <c r="CM1124" s="551"/>
      <c r="CN1124" s="551"/>
      <c r="CO1124" s="551"/>
      <c r="CP1124" s="551"/>
      <c r="CQ1124" s="551"/>
      <c r="CR1124" s="551"/>
      <c r="CS1124" s="551"/>
      <c r="CT1124" s="551"/>
      <c r="CU1124" s="554">
        <f t="shared" si="429"/>
        <v>0</v>
      </c>
      <c r="CV1124" s="551">
        <f t="shared" si="430"/>
        <v>0</v>
      </c>
      <c r="CW1124" s="551">
        <f t="shared" si="431"/>
        <v>0</v>
      </c>
      <c r="CX1124" s="650"/>
      <c r="CY1124" s="650"/>
      <c r="CZ1124" s="650"/>
      <c r="DA1124" s="548"/>
      <c r="DB1124" s="548"/>
      <c r="DC1124" s="548"/>
      <c r="DD1124" s="650"/>
      <c r="DE1124" s="650"/>
      <c r="DF1124" s="650"/>
      <c r="DG1124" s="650"/>
      <c r="DH1124" s="650"/>
    </row>
    <row r="1125" s="548" customFormat="1" ht="31" customHeight="1" spans="1:112">
      <c r="A1125" s="641">
        <v>46055</v>
      </c>
      <c r="B1125" s="642" t="s">
        <v>8820</v>
      </c>
      <c r="C1125" s="246" t="s">
        <v>6018</v>
      </c>
      <c r="D1125" s="551" t="s">
        <v>8824</v>
      </c>
      <c r="E1125" s="246"/>
      <c r="F1125" s="551" t="s">
        <v>8825</v>
      </c>
      <c r="G1125" s="246" t="s">
        <v>6020</v>
      </c>
      <c r="H1125" s="246" t="s">
        <v>6021</v>
      </c>
      <c r="I1125" s="704" t="s">
        <v>8396</v>
      </c>
      <c r="J1125" s="246"/>
      <c r="K1125" s="246"/>
      <c r="L1125" s="644"/>
      <c r="M1125" s="645">
        <v>46088</v>
      </c>
      <c r="N1125" s="645">
        <v>46084</v>
      </c>
      <c r="O1125" s="246"/>
      <c r="P1125" s="643"/>
      <c r="Q1125" s="246"/>
      <c r="R1125" s="646" t="s">
        <v>1242</v>
      </c>
      <c r="S1125" s="646" t="s">
        <v>70</v>
      </c>
      <c r="T1125" s="646" t="s">
        <v>70</v>
      </c>
      <c r="U1125" s="646"/>
      <c r="V1125" s="646"/>
      <c r="W1125" s="615"/>
      <c r="X1125" s="642" t="s">
        <v>8397</v>
      </c>
      <c r="Y1125" s="642" t="s">
        <v>3247</v>
      </c>
      <c r="Z1125" s="655"/>
      <c r="AA1125" s="647"/>
      <c r="AC1125" s="648"/>
      <c r="AD1125" s="662" t="s">
        <v>73</v>
      </c>
      <c r="AE1125" s="246" t="s">
        <v>4133</v>
      </c>
      <c r="AF1125" s="246"/>
      <c r="AG1125" s="642"/>
      <c r="AH1125" s="642"/>
      <c r="AI1125" s="246" t="s">
        <v>8398</v>
      </c>
      <c r="AJ1125" s="662">
        <v>0</v>
      </c>
      <c r="AK1125" s="246"/>
      <c r="AL1125" s="246"/>
      <c r="AM1125" s="246"/>
      <c r="AN1125" s="246"/>
      <c r="AO1125" s="551"/>
      <c r="AP1125" s="551"/>
      <c r="AQ1125" s="551"/>
      <c r="AR1125" s="650"/>
      <c r="AS1125" s="551"/>
      <c r="AT1125" s="551"/>
      <c r="AU1125" s="551"/>
      <c r="AV1125" s="551"/>
      <c r="AW1125" s="650"/>
      <c r="AX1125" s="551"/>
      <c r="AY1125" s="551"/>
      <c r="AZ1125" s="551"/>
      <c r="BA1125" s="551"/>
      <c r="BB1125" s="249"/>
      <c r="BC1125" s="651"/>
      <c r="BD1125" s="551"/>
      <c r="BE1125" s="551"/>
      <c r="BF1125" s="551"/>
      <c r="BH1125" s="551"/>
      <c r="BI1125" s="551"/>
      <c r="BJ1125" s="551"/>
      <c r="BK1125" s="551"/>
      <c r="BL1125" s="551"/>
      <c r="BM1125" s="551"/>
      <c r="BN1125" s="551"/>
      <c r="BO1125" s="551"/>
      <c r="BP1125" s="551"/>
      <c r="BQ1125" s="551"/>
      <c r="BR1125" s="551"/>
      <c r="BS1125" s="551"/>
      <c r="BT1125" s="551"/>
      <c r="BU1125" s="551"/>
      <c r="BV1125" s="551"/>
      <c r="BW1125" s="551"/>
      <c r="BX1125" s="551"/>
      <c r="BY1125" s="650"/>
      <c r="BZ1125" s="551"/>
      <c r="CA1125" s="652"/>
      <c r="CB1125" s="567"/>
      <c r="CC1125" s="653"/>
      <c r="CD1125" s="650"/>
      <c r="CE1125" s="650"/>
      <c r="CF1125" s="551"/>
      <c r="CG1125" s="551"/>
      <c r="CI1125" s="551"/>
      <c r="CJ1125" s="551"/>
      <c r="CK1125" s="551"/>
      <c r="CL1125" s="551"/>
      <c r="CM1125" s="551"/>
      <c r="CN1125" s="551"/>
      <c r="CO1125" s="551"/>
      <c r="CP1125" s="551"/>
      <c r="CQ1125" s="551"/>
      <c r="CR1125" s="551"/>
      <c r="CS1125" s="551"/>
      <c r="CT1125" s="551"/>
      <c r="CU1125" s="554">
        <f t="shared" si="429"/>
        <v>0</v>
      </c>
      <c r="CV1125" s="663">
        <f t="shared" si="430"/>
        <v>0</v>
      </c>
      <c r="CW1125" s="663">
        <f t="shared" si="431"/>
        <v>0</v>
      </c>
      <c r="CX1125" s="650"/>
      <c r="CY1125" s="650"/>
      <c r="CZ1125" s="650"/>
      <c r="DA1125" s="548"/>
      <c r="DB1125" s="548"/>
      <c r="DC1125" s="548"/>
      <c r="DD1125" s="650"/>
      <c r="DE1125" s="650"/>
      <c r="DF1125" s="650"/>
      <c r="DG1125" s="650"/>
      <c r="DH1125" s="650"/>
    </row>
    <row r="1126" s="548" customFormat="1" ht="31" customHeight="1" spans="1:112">
      <c r="A1126" s="641">
        <v>45978</v>
      </c>
      <c r="B1126" s="642" t="s">
        <v>1492</v>
      </c>
      <c r="C1126" s="246" t="s">
        <v>98</v>
      </c>
      <c r="D1126" s="551">
        <v>4500185938</v>
      </c>
      <c r="E1126" s="643">
        <v>9601216988</v>
      </c>
      <c r="F1126" s="551" t="s">
        <v>3182</v>
      </c>
      <c r="G1126" s="246" t="s">
        <v>8457</v>
      </c>
      <c r="H1126" s="246" t="s">
        <v>830</v>
      </c>
      <c r="I1126" s="704">
        <v>5400</v>
      </c>
      <c r="J1126" s="246">
        <v>0</v>
      </c>
      <c r="K1126" s="246">
        <v>75</v>
      </c>
      <c r="L1126" s="644">
        <f t="shared" si="412"/>
        <v>72</v>
      </c>
      <c r="M1126" s="645">
        <v>46087</v>
      </c>
      <c r="N1126" s="645">
        <v>46083</v>
      </c>
      <c r="O1126" s="246"/>
      <c r="P1126" s="643" t="s">
        <v>113</v>
      </c>
      <c r="Q1126" s="246"/>
      <c r="R1126" s="646" t="s">
        <v>2667</v>
      </c>
      <c r="S1126" s="646" t="s">
        <v>70</v>
      </c>
      <c r="T1126" s="646" t="s">
        <v>70</v>
      </c>
      <c r="U1126" s="646"/>
      <c r="V1126" s="646"/>
      <c r="W1126" s="615"/>
      <c r="X1126" s="642" t="s">
        <v>2826</v>
      </c>
      <c r="Y1126" s="642" t="s">
        <v>911</v>
      </c>
      <c r="Z1126" s="655">
        <v>359.3436</v>
      </c>
      <c r="AA1126" s="647">
        <f>Z1126*L1126</f>
        <v>25872.7392</v>
      </c>
      <c r="AC1126" s="658" t="s">
        <v>3183</v>
      </c>
      <c r="AD1126" s="246" t="s">
        <v>1498</v>
      </c>
      <c r="AE1126" s="246" t="s">
        <v>82</v>
      </c>
      <c r="AF1126" s="246"/>
      <c r="AG1126" s="642"/>
      <c r="AH1126" s="642">
        <v>1</v>
      </c>
      <c r="AI1126" s="246">
        <v>5400</v>
      </c>
      <c r="AJ1126" s="246">
        <f t="shared" ref="AJ1126:AJ1189" si="433">AI1126-I1126</f>
        <v>0</v>
      </c>
      <c r="AK1126" s="246"/>
      <c r="AL1126" s="246"/>
      <c r="AM1126" s="246"/>
      <c r="AN1126" s="610">
        <f>I1126*3</f>
        <v>16200</v>
      </c>
      <c r="AO1126" s="551"/>
      <c r="AP1126" s="551"/>
      <c r="AQ1126" s="551"/>
      <c r="AR1126" s="650"/>
      <c r="AS1126" s="551"/>
      <c r="AT1126" s="551"/>
      <c r="AU1126" s="551"/>
      <c r="AV1126" s="551"/>
      <c r="AW1126" s="650"/>
      <c r="AX1126" s="551"/>
      <c r="AY1126" s="551"/>
      <c r="AZ1126" s="551"/>
      <c r="BA1126" s="551"/>
      <c r="BB1126" s="249">
        <f t="shared" ref="BB1126:BB1131" si="434">I1126/24*3</f>
        <v>675</v>
      </c>
      <c r="BC1126" s="651"/>
      <c r="BD1126" s="551"/>
      <c r="BE1126" s="551"/>
      <c r="BF1126" s="551">
        <f>AN1126</f>
        <v>16200</v>
      </c>
      <c r="BH1126" s="551">
        <f>AN1126</f>
        <v>16200</v>
      </c>
      <c r="BI1126" s="551">
        <f>I1126</f>
        <v>5400</v>
      </c>
      <c r="BJ1126" s="551">
        <f>I1126/5</f>
        <v>1080</v>
      </c>
      <c r="BK1126" s="551"/>
      <c r="BL1126" s="551"/>
      <c r="BM1126" s="551"/>
      <c r="BN1126" s="551"/>
      <c r="BO1126" s="551"/>
      <c r="BP1126" s="551"/>
      <c r="BQ1126" s="551"/>
      <c r="BR1126" s="551"/>
      <c r="BS1126" s="551"/>
      <c r="BT1126" s="551"/>
      <c r="BU1126" s="551"/>
      <c r="BV1126" s="551"/>
      <c r="BW1126" s="551"/>
      <c r="BX1126" s="551"/>
      <c r="BY1126" s="650"/>
      <c r="BZ1126" s="551"/>
      <c r="CA1126" s="652"/>
      <c r="CB1126" s="567"/>
      <c r="CC1126" s="653"/>
      <c r="CD1126" s="650"/>
      <c r="CE1126" s="650"/>
      <c r="CF1126" s="551"/>
      <c r="CG1126" s="551"/>
      <c r="CI1126" s="551"/>
      <c r="CJ1126" s="551"/>
      <c r="CK1126" s="551"/>
      <c r="CL1126" s="551"/>
      <c r="CM1126" s="551"/>
      <c r="CN1126" s="551"/>
      <c r="CO1126" s="551"/>
      <c r="CP1126" s="551"/>
      <c r="CQ1126" s="551"/>
      <c r="CR1126" s="551"/>
      <c r="CS1126" s="551"/>
      <c r="CT1126" s="551"/>
      <c r="CU1126" s="554">
        <f t="shared" si="429"/>
        <v>0</v>
      </c>
      <c r="CV1126" s="551">
        <f t="shared" ref="CV1126:CV1137" si="435">CK1126+CL1126+CM1126+CN1126+CO1126+CQ1126+CP1126</f>
        <v>0</v>
      </c>
      <c r="CW1126" s="551">
        <f t="shared" ref="CW1126:CW1137" si="436">CI1126+CJ1126</f>
        <v>0</v>
      </c>
      <c r="CX1126" s="650"/>
      <c r="CY1126" s="650"/>
      <c r="CZ1126" s="650"/>
      <c r="DA1126" s="548"/>
      <c r="DB1126" s="548"/>
      <c r="DC1126" s="548"/>
      <c r="DD1126" s="650"/>
      <c r="DE1126" s="650"/>
      <c r="DF1126" s="650"/>
      <c r="DG1126" s="650"/>
      <c r="DH1126" s="650"/>
    </row>
    <row r="1127" s="548" customFormat="1" ht="31" customHeight="1" spans="1:112">
      <c r="A1127" s="641">
        <v>45978</v>
      </c>
      <c r="B1127" s="642" t="s">
        <v>1492</v>
      </c>
      <c r="C1127" s="246" t="s">
        <v>98</v>
      </c>
      <c r="D1127" s="551">
        <v>4500185940</v>
      </c>
      <c r="E1127" s="643">
        <v>9361218280</v>
      </c>
      <c r="F1127" s="551" t="s">
        <v>3185</v>
      </c>
      <c r="G1127" s="246" t="s">
        <v>8457</v>
      </c>
      <c r="H1127" s="246" t="s">
        <v>830</v>
      </c>
      <c r="I1127" s="704">
        <v>5400</v>
      </c>
      <c r="J1127" s="246">
        <v>0</v>
      </c>
      <c r="K1127" s="246">
        <v>75</v>
      </c>
      <c r="L1127" s="644">
        <f t="shared" si="412"/>
        <v>72</v>
      </c>
      <c r="M1127" s="645">
        <v>46088</v>
      </c>
      <c r="N1127" s="645">
        <v>46084</v>
      </c>
      <c r="O1127" s="246"/>
      <c r="P1127" s="643" t="s">
        <v>113</v>
      </c>
      <c r="Q1127" s="246"/>
      <c r="R1127" s="646" t="s">
        <v>2667</v>
      </c>
      <c r="S1127" s="646" t="s">
        <v>70</v>
      </c>
      <c r="T1127" s="646" t="s">
        <v>70</v>
      </c>
      <c r="U1127" s="646"/>
      <c r="V1127" s="646"/>
      <c r="W1127" s="615"/>
      <c r="X1127" s="642" t="s">
        <v>2826</v>
      </c>
      <c r="Y1127" s="642" t="s">
        <v>911</v>
      </c>
      <c r="Z1127" s="655">
        <v>359.3436</v>
      </c>
      <c r="AA1127" s="647">
        <f>Z1127*L1127</f>
        <v>25872.7392</v>
      </c>
      <c r="AC1127" s="658" t="s">
        <v>3186</v>
      </c>
      <c r="AD1127" s="246" t="s">
        <v>1498</v>
      </c>
      <c r="AE1127" s="246" t="s">
        <v>82</v>
      </c>
      <c r="AF1127" s="246"/>
      <c r="AG1127" s="642"/>
      <c r="AH1127" s="642">
        <v>1</v>
      </c>
      <c r="AI1127" s="246">
        <f>2700+2700</f>
        <v>5400</v>
      </c>
      <c r="AJ1127" s="246">
        <f t="shared" si="433"/>
        <v>0</v>
      </c>
      <c r="AK1127" s="246"/>
      <c r="AL1127" s="246"/>
      <c r="AM1127" s="246"/>
      <c r="AN1127" s="610">
        <f>I1127*3</f>
        <v>16200</v>
      </c>
      <c r="AO1127" s="551"/>
      <c r="AP1127" s="551"/>
      <c r="AQ1127" s="551"/>
      <c r="AR1127" s="650"/>
      <c r="AS1127" s="551"/>
      <c r="AT1127" s="551"/>
      <c r="AU1127" s="551"/>
      <c r="AV1127" s="551"/>
      <c r="AW1127" s="650"/>
      <c r="AX1127" s="551"/>
      <c r="AY1127" s="551"/>
      <c r="AZ1127" s="551"/>
      <c r="BA1127" s="551"/>
      <c r="BB1127" s="249">
        <f t="shared" si="434"/>
        <v>675</v>
      </c>
      <c r="BC1127" s="651"/>
      <c r="BD1127" s="551"/>
      <c r="BE1127" s="551"/>
      <c r="BF1127" s="551">
        <f>AN1127</f>
        <v>16200</v>
      </c>
      <c r="BH1127" s="551">
        <f>AN1127</f>
        <v>16200</v>
      </c>
      <c r="BI1127" s="551">
        <f>I1127</f>
        <v>5400</v>
      </c>
      <c r="BJ1127" s="551">
        <f>I1127/5</f>
        <v>1080</v>
      </c>
      <c r="BK1127" s="551"/>
      <c r="BL1127" s="551"/>
      <c r="BM1127" s="551"/>
      <c r="BN1127" s="551"/>
      <c r="BO1127" s="551"/>
      <c r="BP1127" s="551"/>
      <c r="BQ1127" s="551"/>
      <c r="BR1127" s="551"/>
      <c r="BS1127" s="551"/>
      <c r="BT1127" s="551"/>
      <c r="BU1127" s="551"/>
      <c r="BV1127" s="551"/>
      <c r="BW1127" s="551"/>
      <c r="BX1127" s="551"/>
      <c r="BY1127" s="650"/>
      <c r="BZ1127" s="551"/>
      <c r="CA1127" s="652"/>
      <c r="CB1127" s="567"/>
      <c r="CC1127" s="653"/>
      <c r="CD1127" s="650"/>
      <c r="CE1127" s="650"/>
      <c r="CF1127" s="551"/>
      <c r="CG1127" s="551"/>
      <c r="CI1127" s="551"/>
      <c r="CJ1127" s="551"/>
      <c r="CK1127" s="551"/>
      <c r="CL1127" s="551"/>
      <c r="CM1127" s="551"/>
      <c r="CN1127" s="551"/>
      <c r="CO1127" s="551"/>
      <c r="CP1127" s="551"/>
      <c r="CQ1127" s="551"/>
      <c r="CR1127" s="551"/>
      <c r="CS1127" s="551"/>
      <c r="CT1127" s="551"/>
      <c r="CU1127" s="554">
        <f t="shared" si="429"/>
        <v>0</v>
      </c>
      <c r="CV1127" s="551">
        <f t="shared" si="435"/>
        <v>0</v>
      </c>
      <c r="CW1127" s="551">
        <f t="shared" si="436"/>
        <v>0</v>
      </c>
      <c r="CX1127" s="650"/>
      <c r="CY1127" s="650"/>
      <c r="CZ1127" s="650"/>
      <c r="DA1127" s="548"/>
      <c r="DB1127" s="548"/>
      <c r="DC1127" s="548"/>
      <c r="DD1127" s="650"/>
      <c r="DE1127" s="650"/>
      <c r="DF1127" s="650"/>
      <c r="DG1127" s="650"/>
      <c r="DH1127" s="650"/>
    </row>
    <row r="1128" s="548" customFormat="1" ht="31" customHeight="1" spans="1:112">
      <c r="A1128" s="641">
        <v>45995</v>
      </c>
      <c r="B1128" s="642" t="s">
        <v>2734</v>
      </c>
      <c r="C1128" s="246" t="s">
        <v>98</v>
      </c>
      <c r="D1128" s="551">
        <v>4500184338</v>
      </c>
      <c r="E1128" s="246">
        <v>60260737</v>
      </c>
      <c r="F1128" s="551" t="s">
        <v>3187</v>
      </c>
      <c r="G1128" s="246" t="s">
        <v>8520</v>
      </c>
      <c r="H1128" s="246" t="s">
        <v>8521</v>
      </c>
      <c r="I1128" s="704">
        <v>2000</v>
      </c>
      <c r="J1128" s="246">
        <v>0</v>
      </c>
      <c r="K1128" s="246">
        <v>8</v>
      </c>
      <c r="L1128" s="644">
        <f t="shared" si="412"/>
        <v>250</v>
      </c>
      <c r="M1128" s="645">
        <v>46093</v>
      </c>
      <c r="N1128" s="645">
        <v>46090</v>
      </c>
      <c r="O1128" s="246"/>
      <c r="P1128" s="643" t="s">
        <v>113</v>
      </c>
      <c r="Q1128" s="246"/>
      <c r="R1128" s="646">
        <v>45995</v>
      </c>
      <c r="S1128" s="646" t="s">
        <v>70</v>
      </c>
      <c r="T1128" s="646" t="s">
        <v>8522</v>
      </c>
      <c r="U1128" s="646"/>
      <c r="V1128" s="646"/>
      <c r="W1128" s="615"/>
      <c r="X1128" s="628" t="s">
        <v>3188</v>
      </c>
      <c r="Y1128" s="642" t="s">
        <v>2678</v>
      </c>
      <c r="Z1128" s="655">
        <v>4.097</v>
      </c>
      <c r="AA1128" s="647">
        <f>Z1128*I1128</f>
        <v>8194</v>
      </c>
      <c r="AC1128" s="658" t="s">
        <v>3189</v>
      </c>
      <c r="AD1128" s="246" t="s">
        <v>2741</v>
      </c>
      <c r="AE1128" s="246" t="s">
        <v>82</v>
      </c>
      <c r="AF1128" s="246"/>
      <c r="AG1128" s="642"/>
      <c r="AH1128" s="642">
        <v>1</v>
      </c>
      <c r="AI1128" s="246">
        <f>1904+96</f>
        <v>2000</v>
      </c>
      <c r="AJ1128" s="246">
        <f t="shared" si="433"/>
        <v>0</v>
      </c>
      <c r="AK1128" s="246"/>
      <c r="AL1128" s="246" t="s">
        <v>2368</v>
      </c>
      <c r="AM1128" s="246"/>
      <c r="AN1128" s="610">
        <f>I1128*2</f>
        <v>4000</v>
      </c>
      <c r="AO1128" s="551"/>
      <c r="AP1128" s="554">
        <f>I1128*2</f>
        <v>4000</v>
      </c>
      <c r="AQ1128" s="551"/>
      <c r="AR1128" s="650"/>
      <c r="AS1128" s="551"/>
      <c r="AT1128" s="551"/>
      <c r="AU1128" s="554">
        <f>I1128*2</f>
        <v>4000</v>
      </c>
      <c r="AV1128" s="551"/>
      <c r="AW1128" s="650"/>
      <c r="AX1128" s="551"/>
      <c r="AY1128" s="551"/>
      <c r="AZ1128" s="551"/>
      <c r="BA1128" s="551"/>
      <c r="BB1128" s="620">
        <f>I1128/24*2</f>
        <v>166.666666666667</v>
      </c>
      <c r="BC1128" s="651"/>
      <c r="BD1128" s="551"/>
      <c r="BE1128" s="551"/>
      <c r="BF1128" s="551"/>
      <c r="BH1128" s="551"/>
      <c r="BI1128" s="551"/>
      <c r="BJ1128" s="551"/>
      <c r="BK1128" s="551"/>
      <c r="BL1128" s="551"/>
      <c r="BM1128" s="551"/>
      <c r="BN1128" s="551"/>
      <c r="BO1128" s="551"/>
      <c r="BP1128" s="551"/>
      <c r="BQ1128" s="551"/>
      <c r="BR1128" s="551"/>
      <c r="BS1128" s="551"/>
      <c r="BT1128" s="551"/>
      <c r="BU1128" s="551"/>
      <c r="BV1128" s="551"/>
      <c r="BW1128" s="551"/>
      <c r="BX1128" s="551"/>
      <c r="BY1128" s="650"/>
      <c r="BZ1128" s="551"/>
      <c r="CA1128" s="652">
        <f>I1128</f>
        <v>2000</v>
      </c>
      <c r="CB1128" s="567"/>
      <c r="CC1128" s="653"/>
      <c r="CD1128" s="650"/>
      <c r="CE1128" s="650"/>
      <c r="CF1128" s="551"/>
      <c r="CG1128" s="551"/>
      <c r="CI1128" s="551"/>
      <c r="CJ1128" s="551"/>
      <c r="CK1128" s="551"/>
      <c r="CL1128" s="551"/>
      <c r="CM1128" s="551"/>
      <c r="CN1128" s="551"/>
      <c r="CO1128" s="551"/>
      <c r="CP1128" s="551"/>
      <c r="CQ1128" s="551"/>
      <c r="CR1128" s="551"/>
      <c r="CS1128" s="551"/>
      <c r="CT1128" s="551"/>
      <c r="CU1128" s="554">
        <f t="shared" si="429"/>
        <v>0</v>
      </c>
      <c r="CV1128" s="551">
        <f t="shared" si="435"/>
        <v>0</v>
      </c>
      <c r="CW1128" s="551">
        <f t="shared" si="436"/>
        <v>0</v>
      </c>
      <c r="CX1128" s="650"/>
      <c r="CY1128" s="650"/>
      <c r="CZ1128" s="650"/>
      <c r="DA1128" s="548"/>
      <c r="DB1128" s="548"/>
      <c r="DC1128" s="548"/>
      <c r="DD1128" s="650"/>
      <c r="DE1128" s="650"/>
      <c r="DF1128" s="650"/>
      <c r="DG1128" s="650"/>
      <c r="DH1128" s="650"/>
    </row>
    <row r="1129" s="548" customFormat="1" ht="31" customHeight="1" spans="1:112">
      <c r="A1129" s="641">
        <v>46030</v>
      </c>
      <c r="B1129" s="642" t="s">
        <v>3039</v>
      </c>
      <c r="C1129" s="246" t="s">
        <v>399</v>
      </c>
      <c r="D1129" s="551">
        <v>4500190902</v>
      </c>
      <c r="E1129" s="246">
        <v>5510064828</v>
      </c>
      <c r="F1129" s="551" t="s">
        <v>3190</v>
      </c>
      <c r="G1129" s="246" t="s">
        <v>829</v>
      </c>
      <c r="H1129" s="246" t="s">
        <v>830</v>
      </c>
      <c r="I1129" s="704">
        <v>1800</v>
      </c>
      <c r="J1129" s="246">
        <v>0</v>
      </c>
      <c r="K1129" s="246">
        <v>75</v>
      </c>
      <c r="L1129" s="644">
        <f t="shared" si="412"/>
        <v>24</v>
      </c>
      <c r="M1129" s="645">
        <v>46093</v>
      </c>
      <c r="N1129" s="645">
        <v>46090</v>
      </c>
      <c r="O1129" s="246"/>
      <c r="P1129" s="643" t="s">
        <v>113</v>
      </c>
      <c r="Q1129" s="246"/>
      <c r="R1129" s="646">
        <v>46030</v>
      </c>
      <c r="S1129" s="646" t="s">
        <v>70</v>
      </c>
      <c r="T1129" s="646" t="s">
        <v>70</v>
      </c>
      <c r="U1129" s="646"/>
      <c r="V1129" s="646"/>
      <c r="W1129" s="615"/>
      <c r="X1129" s="642" t="s">
        <v>3191</v>
      </c>
      <c r="Y1129" s="642" t="s">
        <v>1549</v>
      </c>
      <c r="Z1129" s="655">
        <v>623.8856</v>
      </c>
      <c r="AA1129" s="647">
        <f>Z1129*L1129</f>
        <v>14973.2544</v>
      </c>
      <c r="AC1129" s="648"/>
      <c r="AD1129" s="246" t="s">
        <v>829</v>
      </c>
      <c r="AE1129" s="246" t="s">
        <v>82</v>
      </c>
      <c r="AF1129" s="246"/>
      <c r="AG1129" s="642"/>
      <c r="AH1129" s="642" t="s">
        <v>3042</v>
      </c>
      <c r="AI1129" s="246">
        <f>1790+10</f>
        <v>1800</v>
      </c>
      <c r="AJ1129" s="246">
        <f t="shared" si="433"/>
        <v>0</v>
      </c>
      <c r="AK1129" s="246"/>
      <c r="AL1129" s="246"/>
      <c r="AM1129" s="246"/>
      <c r="AN1129" s="246"/>
      <c r="AO1129" s="554">
        <f>I1129*3</f>
        <v>5400</v>
      </c>
      <c r="AP1129" s="551"/>
      <c r="AQ1129" s="551"/>
      <c r="AR1129" s="650"/>
      <c r="AS1129" s="551"/>
      <c r="AT1129" s="551"/>
      <c r="AU1129" s="551"/>
      <c r="AV1129" s="551"/>
      <c r="AW1129" s="650"/>
      <c r="AX1129" s="551"/>
      <c r="AY1129" s="551"/>
      <c r="AZ1129" s="551"/>
      <c r="BA1129" s="551"/>
      <c r="BB1129" s="249">
        <f t="shared" si="434"/>
        <v>225</v>
      </c>
      <c r="BC1129" s="651"/>
      <c r="BD1129" s="551"/>
      <c r="BE1129" s="551"/>
      <c r="BF1129" s="551">
        <f>I1129*3</f>
        <v>5400</v>
      </c>
      <c r="BH1129" s="551">
        <f>BF1129</f>
        <v>5400</v>
      </c>
      <c r="BI1129" s="551">
        <f>I1129</f>
        <v>1800</v>
      </c>
      <c r="BJ1129" s="551">
        <f>I1129/5</f>
        <v>360</v>
      </c>
      <c r="BK1129" s="551"/>
      <c r="BL1129" s="551"/>
      <c r="BM1129" s="551"/>
      <c r="BN1129" s="551"/>
      <c r="BO1129" s="551"/>
      <c r="BP1129" s="551"/>
      <c r="BQ1129" s="551"/>
      <c r="BR1129" s="551"/>
      <c r="BS1129" s="551"/>
      <c r="BT1129" s="551"/>
      <c r="BU1129" s="551"/>
      <c r="BV1129" s="551"/>
      <c r="BW1129" s="551"/>
      <c r="BX1129" s="551"/>
      <c r="BY1129" s="650"/>
      <c r="BZ1129" s="551"/>
      <c r="CA1129" s="652"/>
      <c r="CB1129" s="567"/>
      <c r="CC1129" s="653"/>
      <c r="CD1129" s="650"/>
      <c r="CE1129" s="650"/>
      <c r="CF1129" s="551"/>
      <c r="CG1129" s="551"/>
      <c r="CI1129" s="551"/>
      <c r="CJ1129" s="551"/>
      <c r="CK1129" s="551"/>
      <c r="CL1129" s="551"/>
      <c r="CM1129" s="551"/>
      <c r="CN1129" s="551"/>
      <c r="CO1129" s="551"/>
      <c r="CP1129" s="551"/>
      <c r="CQ1129" s="551"/>
      <c r="CR1129" s="551"/>
      <c r="CS1129" s="551"/>
      <c r="CT1129" s="551"/>
      <c r="CU1129" s="554">
        <f t="shared" si="429"/>
        <v>0</v>
      </c>
      <c r="CV1129" s="551">
        <f t="shared" si="435"/>
        <v>0</v>
      </c>
      <c r="CW1129" s="551">
        <f t="shared" si="436"/>
        <v>0</v>
      </c>
      <c r="CX1129" s="650"/>
      <c r="CY1129" s="650"/>
      <c r="CZ1129" s="650"/>
      <c r="DA1129" s="548"/>
      <c r="DB1129" s="548"/>
      <c r="DC1129" s="548"/>
      <c r="DD1129" s="650"/>
      <c r="DE1129" s="650"/>
      <c r="DF1129" s="650"/>
      <c r="DG1129" s="650"/>
      <c r="DH1129" s="650"/>
    </row>
    <row r="1130" s="548" customFormat="1" ht="31" customHeight="1" spans="1:112">
      <c r="A1130" s="641">
        <v>45978</v>
      </c>
      <c r="B1130" s="642" t="s">
        <v>1492</v>
      </c>
      <c r="C1130" s="246" t="s">
        <v>98</v>
      </c>
      <c r="D1130" s="551">
        <v>4500185942</v>
      </c>
      <c r="E1130" s="643">
        <v>1791216730</v>
      </c>
      <c r="F1130" s="551" t="s">
        <v>3193</v>
      </c>
      <c r="G1130" s="246" t="s">
        <v>8457</v>
      </c>
      <c r="H1130" s="246" t="s">
        <v>830</v>
      </c>
      <c r="I1130" s="704">
        <v>5400</v>
      </c>
      <c r="J1130" s="246">
        <v>0</v>
      </c>
      <c r="K1130" s="246">
        <v>75</v>
      </c>
      <c r="L1130" s="644">
        <f t="shared" ref="L1128:L1193" si="437">I1130/K1130</f>
        <v>72</v>
      </c>
      <c r="M1130" s="645">
        <v>46094</v>
      </c>
      <c r="N1130" s="645">
        <v>46090</v>
      </c>
      <c r="O1130" s="246"/>
      <c r="P1130" s="643" t="s">
        <v>113</v>
      </c>
      <c r="Q1130" s="246"/>
      <c r="R1130" s="646" t="s">
        <v>2667</v>
      </c>
      <c r="S1130" s="646" t="s">
        <v>70</v>
      </c>
      <c r="T1130" s="646" t="s">
        <v>70</v>
      </c>
      <c r="U1130" s="646"/>
      <c r="V1130" s="646"/>
      <c r="W1130" s="615"/>
      <c r="X1130" s="642" t="s">
        <v>2826</v>
      </c>
      <c r="Y1130" s="642" t="s">
        <v>911</v>
      </c>
      <c r="Z1130" s="655">
        <v>359.3436</v>
      </c>
      <c r="AA1130" s="647">
        <f>Z1130*L1130</f>
        <v>25872.7392</v>
      </c>
      <c r="AC1130" s="658" t="s">
        <v>3194</v>
      </c>
      <c r="AD1130" s="246" t="s">
        <v>1498</v>
      </c>
      <c r="AE1130" s="246" t="s">
        <v>82</v>
      </c>
      <c r="AF1130" s="246"/>
      <c r="AG1130" s="642"/>
      <c r="AH1130" s="642">
        <v>1</v>
      </c>
      <c r="AI1130" s="246">
        <f>4080+1320</f>
        <v>5400</v>
      </c>
      <c r="AJ1130" s="246">
        <f t="shared" si="433"/>
        <v>0</v>
      </c>
      <c r="AK1130" s="246"/>
      <c r="AL1130" s="246"/>
      <c r="AM1130" s="246"/>
      <c r="AN1130" s="610">
        <f>I1130*3</f>
        <v>16200</v>
      </c>
      <c r="AO1130" s="551"/>
      <c r="AP1130" s="551"/>
      <c r="AQ1130" s="551"/>
      <c r="AR1130" s="650"/>
      <c r="AS1130" s="551"/>
      <c r="AT1130" s="551"/>
      <c r="AU1130" s="551"/>
      <c r="AV1130" s="551"/>
      <c r="AW1130" s="650"/>
      <c r="AX1130" s="551"/>
      <c r="AY1130" s="551"/>
      <c r="AZ1130" s="551"/>
      <c r="BA1130" s="551"/>
      <c r="BB1130" s="249">
        <f t="shared" si="434"/>
        <v>675</v>
      </c>
      <c r="BC1130" s="651"/>
      <c r="BD1130" s="551"/>
      <c r="BE1130" s="551"/>
      <c r="BF1130" s="551">
        <f>AN1130</f>
        <v>16200</v>
      </c>
      <c r="BH1130" s="551">
        <f>AN1130</f>
        <v>16200</v>
      </c>
      <c r="BI1130" s="551">
        <f>I1130</f>
        <v>5400</v>
      </c>
      <c r="BJ1130" s="551">
        <f>I1130/5</f>
        <v>1080</v>
      </c>
      <c r="BK1130" s="551"/>
      <c r="BL1130" s="551"/>
      <c r="BM1130" s="551"/>
      <c r="BN1130" s="551"/>
      <c r="BO1130" s="551"/>
      <c r="BP1130" s="551"/>
      <c r="BQ1130" s="551"/>
      <c r="BR1130" s="551"/>
      <c r="BS1130" s="551"/>
      <c r="BT1130" s="551"/>
      <c r="BU1130" s="551"/>
      <c r="BV1130" s="551"/>
      <c r="BW1130" s="551"/>
      <c r="BX1130" s="551"/>
      <c r="BY1130" s="650"/>
      <c r="BZ1130" s="551"/>
      <c r="CA1130" s="652"/>
      <c r="CB1130" s="567"/>
      <c r="CC1130" s="653"/>
      <c r="CD1130" s="650"/>
      <c r="CE1130" s="650"/>
      <c r="CF1130" s="551"/>
      <c r="CG1130" s="551"/>
      <c r="CI1130" s="551"/>
      <c r="CJ1130" s="551"/>
      <c r="CK1130" s="551"/>
      <c r="CL1130" s="551"/>
      <c r="CM1130" s="551"/>
      <c r="CN1130" s="551"/>
      <c r="CO1130" s="551"/>
      <c r="CP1130" s="551"/>
      <c r="CQ1130" s="551"/>
      <c r="CR1130" s="551"/>
      <c r="CS1130" s="551"/>
      <c r="CT1130" s="551"/>
      <c r="CU1130" s="554">
        <f t="shared" si="429"/>
        <v>0</v>
      </c>
      <c r="CV1130" s="551">
        <f t="shared" si="435"/>
        <v>0</v>
      </c>
      <c r="CW1130" s="551">
        <f t="shared" si="436"/>
        <v>0</v>
      </c>
      <c r="CX1130" s="650"/>
      <c r="CY1130" s="650"/>
      <c r="CZ1130" s="650"/>
      <c r="DA1130" s="548"/>
      <c r="DB1130" s="548"/>
      <c r="DC1130" s="548"/>
      <c r="DD1130" s="650"/>
      <c r="DE1130" s="650"/>
      <c r="DF1130" s="650"/>
      <c r="DG1130" s="650"/>
      <c r="DH1130" s="650"/>
    </row>
    <row r="1131" s="548" customFormat="1" ht="31" customHeight="1" spans="1:112">
      <c r="A1131" s="641">
        <v>45978</v>
      </c>
      <c r="B1131" s="642" t="s">
        <v>1492</v>
      </c>
      <c r="C1131" s="246" t="s">
        <v>98</v>
      </c>
      <c r="D1131" s="551">
        <v>4500185943</v>
      </c>
      <c r="E1131" s="643">
        <v>1791216731</v>
      </c>
      <c r="F1131" s="551" t="s">
        <v>3196</v>
      </c>
      <c r="G1131" s="246" t="s">
        <v>8457</v>
      </c>
      <c r="H1131" s="246" t="s">
        <v>830</v>
      </c>
      <c r="I1131" s="704">
        <v>5400</v>
      </c>
      <c r="J1131" s="246">
        <v>0</v>
      </c>
      <c r="K1131" s="246">
        <v>75</v>
      </c>
      <c r="L1131" s="644">
        <f t="shared" si="437"/>
        <v>72</v>
      </c>
      <c r="M1131" s="645">
        <v>46094</v>
      </c>
      <c r="N1131" s="645">
        <v>46090</v>
      </c>
      <c r="O1131" s="246"/>
      <c r="P1131" s="643" t="s">
        <v>113</v>
      </c>
      <c r="Q1131" s="246"/>
      <c r="R1131" s="646" t="s">
        <v>2667</v>
      </c>
      <c r="S1131" s="646" t="s">
        <v>70</v>
      </c>
      <c r="T1131" s="646" t="s">
        <v>70</v>
      </c>
      <c r="U1131" s="646"/>
      <c r="V1131" s="646"/>
      <c r="W1131" s="615"/>
      <c r="X1131" s="642" t="s">
        <v>2826</v>
      </c>
      <c r="Y1131" s="642" t="s">
        <v>911</v>
      </c>
      <c r="Z1131" s="655">
        <v>359.3436</v>
      </c>
      <c r="AA1131" s="647">
        <f>Z1131*L1131</f>
        <v>25872.7392</v>
      </c>
      <c r="AC1131" s="658" t="s">
        <v>3197</v>
      </c>
      <c r="AD1131" s="246" t="s">
        <v>1498</v>
      </c>
      <c r="AE1131" s="246" t="s">
        <v>82</v>
      </c>
      <c r="AF1131" s="246"/>
      <c r="AG1131" s="642"/>
      <c r="AH1131" s="642">
        <v>1</v>
      </c>
      <c r="AI1131" s="246">
        <v>5400</v>
      </c>
      <c r="AJ1131" s="246">
        <f t="shared" si="433"/>
        <v>0</v>
      </c>
      <c r="AK1131" s="246"/>
      <c r="AL1131" s="246"/>
      <c r="AM1131" s="246"/>
      <c r="AN1131" s="610">
        <f>I1131*3</f>
        <v>16200</v>
      </c>
      <c r="AO1131" s="551"/>
      <c r="AP1131" s="551"/>
      <c r="AQ1131" s="551"/>
      <c r="AR1131" s="650"/>
      <c r="AS1131" s="551"/>
      <c r="AT1131" s="551"/>
      <c r="AU1131" s="551"/>
      <c r="AV1131" s="551"/>
      <c r="AW1131" s="650"/>
      <c r="AX1131" s="551"/>
      <c r="AY1131" s="551"/>
      <c r="AZ1131" s="551"/>
      <c r="BA1131" s="551"/>
      <c r="BB1131" s="249">
        <f t="shared" si="434"/>
        <v>675</v>
      </c>
      <c r="BC1131" s="651"/>
      <c r="BD1131" s="551"/>
      <c r="BE1131" s="551"/>
      <c r="BF1131" s="551">
        <f>AN1131</f>
        <v>16200</v>
      </c>
      <c r="BH1131" s="551">
        <f>AN1131</f>
        <v>16200</v>
      </c>
      <c r="BI1131" s="551">
        <f>I1131</f>
        <v>5400</v>
      </c>
      <c r="BJ1131" s="551">
        <f>I1131/5</f>
        <v>1080</v>
      </c>
      <c r="BK1131" s="551"/>
      <c r="BL1131" s="551"/>
      <c r="BM1131" s="551"/>
      <c r="BN1131" s="551"/>
      <c r="BO1131" s="551"/>
      <c r="BP1131" s="551"/>
      <c r="BQ1131" s="551"/>
      <c r="BR1131" s="551"/>
      <c r="BS1131" s="551"/>
      <c r="BT1131" s="551"/>
      <c r="BU1131" s="551"/>
      <c r="BV1131" s="551"/>
      <c r="BW1131" s="551"/>
      <c r="BX1131" s="551"/>
      <c r="BY1131" s="650"/>
      <c r="BZ1131" s="551"/>
      <c r="CA1131" s="652"/>
      <c r="CB1131" s="567"/>
      <c r="CC1131" s="653"/>
      <c r="CD1131" s="650"/>
      <c r="CE1131" s="650"/>
      <c r="CF1131" s="551"/>
      <c r="CG1131" s="551"/>
      <c r="CI1131" s="551"/>
      <c r="CJ1131" s="551"/>
      <c r="CK1131" s="551"/>
      <c r="CL1131" s="551"/>
      <c r="CM1131" s="551"/>
      <c r="CN1131" s="551"/>
      <c r="CO1131" s="551"/>
      <c r="CP1131" s="551"/>
      <c r="CQ1131" s="551"/>
      <c r="CR1131" s="551"/>
      <c r="CS1131" s="551"/>
      <c r="CT1131" s="551"/>
      <c r="CU1131" s="554">
        <f t="shared" si="429"/>
        <v>0</v>
      </c>
      <c r="CV1131" s="551">
        <f t="shared" si="435"/>
        <v>0</v>
      </c>
      <c r="CW1131" s="551">
        <f t="shared" si="436"/>
        <v>0</v>
      </c>
      <c r="CX1131" s="650"/>
      <c r="CY1131" s="650"/>
      <c r="CZ1131" s="650"/>
      <c r="DA1131" s="548"/>
      <c r="DB1131" s="548"/>
      <c r="DC1131" s="548"/>
      <c r="DD1131" s="650"/>
      <c r="DE1131" s="650"/>
      <c r="DF1131" s="650"/>
      <c r="DG1131" s="650"/>
      <c r="DH1131" s="650"/>
    </row>
    <row r="1132" s="548" customFormat="1" ht="31" customHeight="1" spans="1:112">
      <c r="A1132" s="641">
        <v>46027</v>
      </c>
      <c r="B1132" s="642" t="s">
        <v>1856</v>
      </c>
      <c r="C1132" s="246" t="s">
        <v>1857</v>
      </c>
      <c r="D1132" s="551">
        <v>4500190606</v>
      </c>
      <c r="E1132" s="246" t="s">
        <v>3207</v>
      </c>
      <c r="F1132" s="551" t="s">
        <v>8826</v>
      </c>
      <c r="G1132" s="246" t="s">
        <v>6043</v>
      </c>
      <c r="H1132" s="246" t="s">
        <v>6110</v>
      </c>
      <c r="I1132" s="704">
        <v>2500</v>
      </c>
      <c r="J1132" s="246">
        <v>0</v>
      </c>
      <c r="K1132" s="246">
        <v>50</v>
      </c>
      <c r="L1132" s="644">
        <f t="shared" si="437"/>
        <v>50</v>
      </c>
      <c r="M1132" s="645">
        <v>46097</v>
      </c>
      <c r="N1132" s="645">
        <v>46093</v>
      </c>
      <c r="O1132" s="246"/>
      <c r="P1132" s="643" t="s">
        <v>113</v>
      </c>
      <c r="Q1132" s="246"/>
      <c r="R1132" s="646">
        <v>46029</v>
      </c>
      <c r="S1132" s="646" t="s">
        <v>70</v>
      </c>
      <c r="T1132" s="646" t="s">
        <v>8827</v>
      </c>
      <c r="U1132" s="646"/>
      <c r="V1132" s="646"/>
      <c r="W1132" s="615"/>
      <c r="X1132" s="628" t="s">
        <v>8828</v>
      </c>
      <c r="Y1132" s="642" t="s">
        <v>529</v>
      </c>
      <c r="Z1132" s="655">
        <v>0.941</v>
      </c>
      <c r="AA1132" s="647">
        <f>Z1132*I1132</f>
        <v>2352.5</v>
      </c>
      <c r="AC1132" s="648"/>
      <c r="AD1132" s="246" t="s">
        <v>6043</v>
      </c>
      <c r="AE1132" s="246" t="s">
        <v>82</v>
      </c>
      <c r="AF1132" s="246"/>
      <c r="AG1132" s="642"/>
      <c r="AH1132" s="642">
        <v>1</v>
      </c>
      <c r="AI1132" s="246">
        <v>2500</v>
      </c>
      <c r="AJ1132" s="246">
        <f t="shared" si="433"/>
        <v>0</v>
      </c>
      <c r="AK1132" s="246"/>
      <c r="AL1132" s="246" t="s">
        <v>2368</v>
      </c>
      <c r="AM1132" s="246"/>
      <c r="AN1132" s="246"/>
      <c r="AO1132" s="551">
        <f>I1132</f>
        <v>2500</v>
      </c>
      <c r="AP1132" s="551"/>
      <c r="AQ1132" s="551"/>
      <c r="AR1132" s="650"/>
      <c r="AS1132" s="551"/>
      <c r="AT1132" s="554">
        <f>I1132</f>
        <v>2500</v>
      </c>
      <c r="AU1132" s="663"/>
      <c r="AV1132" s="554">
        <f>I1132</f>
        <v>2500</v>
      </c>
      <c r="AW1132" s="650"/>
      <c r="AX1132" s="551"/>
      <c r="AY1132" s="551"/>
      <c r="AZ1132" s="551"/>
      <c r="BA1132" s="551"/>
      <c r="BB1132" s="620">
        <f>I1132/24</f>
        <v>104.166666666667</v>
      </c>
      <c r="BC1132" s="651"/>
      <c r="BD1132" s="551"/>
      <c r="BE1132" s="551"/>
      <c r="BF1132" s="551"/>
      <c r="BH1132" s="551"/>
      <c r="BI1132" s="551"/>
      <c r="BJ1132" s="551"/>
      <c r="BK1132" s="551"/>
      <c r="BL1132" s="551"/>
      <c r="BM1132" s="551"/>
      <c r="BN1132" s="551"/>
      <c r="BO1132" s="551"/>
      <c r="BP1132" s="551">
        <f>I1132/25</f>
        <v>100</v>
      </c>
      <c r="BQ1132" s="551"/>
      <c r="BR1132" s="551"/>
      <c r="BS1132" s="551"/>
      <c r="BT1132" s="551"/>
      <c r="BU1132" s="551"/>
      <c r="BV1132" s="551"/>
      <c r="BW1132" s="551"/>
      <c r="BX1132" s="551"/>
      <c r="BY1132" s="650"/>
      <c r="BZ1132" s="551"/>
      <c r="CA1132" s="652"/>
      <c r="CB1132" s="567"/>
      <c r="CC1132" s="653"/>
      <c r="CD1132" s="650"/>
      <c r="CE1132" s="650"/>
      <c r="CF1132" s="551"/>
      <c r="CG1132" s="551"/>
      <c r="CI1132" s="551"/>
      <c r="CJ1132" s="551"/>
      <c r="CK1132" s="551"/>
      <c r="CL1132" s="551"/>
      <c r="CM1132" s="551"/>
      <c r="CN1132" s="551"/>
      <c r="CO1132" s="551"/>
      <c r="CP1132" s="551"/>
      <c r="CQ1132" s="551"/>
      <c r="CR1132" s="551"/>
      <c r="CS1132" s="551"/>
      <c r="CT1132" s="551"/>
      <c r="CU1132" s="554">
        <f t="shared" si="429"/>
        <v>100</v>
      </c>
      <c r="CV1132" s="551">
        <f t="shared" si="435"/>
        <v>0</v>
      </c>
      <c r="CW1132" s="551">
        <f t="shared" si="436"/>
        <v>0</v>
      </c>
      <c r="CX1132" s="650"/>
      <c r="CY1132" s="650"/>
      <c r="CZ1132" s="650"/>
      <c r="DA1132" s="548"/>
      <c r="DB1132" s="548"/>
      <c r="DC1132" s="548"/>
      <c r="DD1132" s="650"/>
      <c r="DE1132" s="650"/>
      <c r="DF1132" s="650"/>
      <c r="DG1132" s="650"/>
      <c r="DH1132" s="650"/>
    </row>
    <row r="1133" s="548" customFormat="1" ht="31" customHeight="1" spans="1:112">
      <c r="A1133" s="641">
        <v>46042</v>
      </c>
      <c r="B1133" s="642" t="s">
        <v>75</v>
      </c>
      <c r="C1133" s="246" t="s">
        <v>76</v>
      </c>
      <c r="D1133" s="551">
        <v>4500191819</v>
      </c>
      <c r="E1133" s="246">
        <v>29394401</v>
      </c>
      <c r="F1133" s="551" t="s">
        <v>8829</v>
      </c>
      <c r="G1133" s="246" t="s">
        <v>6043</v>
      </c>
      <c r="H1133" s="246" t="s">
        <v>6110</v>
      </c>
      <c r="I1133" s="704">
        <v>3150</v>
      </c>
      <c r="J1133" s="246">
        <v>0</v>
      </c>
      <c r="K1133" s="246">
        <v>50</v>
      </c>
      <c r="L1133" s="644">
        <f t="shared" si="437"/>
        <v>63</v>
      </c>
      <c r="M1133" s="645">
        <v>46097</v>
      </c>
      <c r="N1133" s="645">
        <v>46093</v>
      </c>
      <c r="O1133" s="246"/>
      <c r="P1133" s="643" t="s">
        <v>113</v>
      </c>
      <c r="Q1133" s="246"/>
      <c r="R1133" s="646">
        <v>46042</v>
      </c>
      <c r="S1133" s="646" t="s">
        <v>70</v>
      </c>
      <c r="T1133" s="646" t="s">
        <v>8830</v>
      </c>
      <c r="U1133" s="646"/>
      <c r="V1133" s="646"/>
      <c r="W1133" s="615"/>
      <c r="X1133" s="628" t="s">
        <v>8831</v>
      </c>
      <c r="Y1133" s="642" t="s">
        <v>1735</v>
      </c>
      <c r="Z1133" s="655">
        <v>0.924</v>
      </c>
      <c r="AA1133" s="647">
        <f t="shared" ref="AA1133:AA1147" si="438">Z1133*I1133</f>
        <v>2910.6</v>
      </c>
      <c r="AC1133" s="648"/>
      <c r="AD1133" s="246" t="s">
        <v>7350</v>
      </c>
      <c r="AE1133" s="246" t="s">
        <v>82</v>
      </c>
      <c r="AF1133" s="246"/>
      <c r="AG1133" s="642"/>
      <c r="AH1133" s="642">
        <v>1</v>
      </c>
      <c r="AI1133" s="246">
        <v>3150</v>
      </c>
      <c r="AJ1133" s="246">
        <f t="shared" si="433"/>
        <v>0</v>
      </c>
      <c r="AK1133" s="246"/>
      <c r="AL1133" s="246" t="s">
        <v>2368</v>
      </c>
      <c r="AM1133" s="246"/>
      <c r="AN1133" s="246"/>
      <c r="AO1133" s="551">
        <f>I1133</f>
        <v>3150</v>
      </c>
      <c r="AP1133" s="551"/>
      <c r="AQ1133" s="551"/>
      <c r="AR1133" s="650"/>
      <c r="AS1133" s="551"/>
      <c r="AT1133" s="554">
        <f>I1133</f>
        <v>3150</v>
      </c>
      <c r="AU1133" s="551"/>
      <c r="AV1133" s="554">
        <f>I1133</f>
        <v>3150</v>
      </c>
      <c r="AW1133" s="650"/>
      <c r="AX1133" s="551"/>
      <c r="AY1133" s="551"/>
      <c r="AZ1133" s="551"/>
      <c r="BA1133" s="551"/>
      <c r="BB1133" s="620">
        <f>I1133/24</f>
        <v>131.25</v>
      </c>
      <c r="BC1133" s="651"/>
      <c r="BD1133" s="551"/>
      <c r="BE1133" s="551"/>
      <c r="BF1133" s="551"/>
      <c r="BH1133" s="551"/>
      <c r="BI1133" s="551"/>
      <c r="BJ1133" s="551"/>
      <c r="BK1133" s="551"/>
      <c r="BL1133" s="551"/>
      <c r="BM1133" s="551"/>
      <c r="BN1133" s="551">
        <f>I1133/25</f>
        <v>126</v>
      </c>
      <c r="BO1133" s="551"/>
      <c r="BP1133" s="551"/>
      <c r="BQ1133" s="551"/>
      <c r="BR1133" s="551"/>
      <c r="BS1133" s="551"/>
      <c r="BT1133" s="551"/>
      <c r="BU1133" s="551"/>
      <c r="BV1133" s="551"/>
      <c r="BW1133" s="551"/>
      <c r="BX1133" s="551"/>
      <c r="BY1133" s="650"/>
      <c r="BZ1133" s="551"/>
      <c r="CA1133" s="652"/>
      <c r="CB1133" s="567"/>
      <c r="CC1133" s="653"/>
      <c r="CD1133" s="650"/>
      <c r="CE1133" s="650"/>
      <c r="CF1133" s="551"/>
      <c r="CG1133" s="551"/>
      <c r="CI1133" s="551"/>
      <c r="CJ1133" s="551"/>
      <c r="CK1133" s="551"/>
      <c r="CL1133" s="551"/>
      <c r="CM1133" s="551"/>
      <c r="CN1133" s="551"/>
      <c r="CO1133" s="551"/>
      <c r="CP1133" s="551"/>
      <c r="CQ1133" s="551"/>
      <c r="CR1133" s="551"/>
      <c r="CS1133" s="551"/>
      <c r="CT1133" s="551"/>
      <c r="CU1133" s="554">
        <f t="shared" si="429"/>
        <v>126</v>
      </c>
      <c r="CV1133" s="551">
        <f t="shared" si="435"/>
        <v>0</v>
      </c>
      <c r="CW1133" s="551">
        <f t="shared" si="436"/>
        <v>0</v>
      </c>
      <c r="CX1133" s="650"/>
      <c r="CY1133" s="650"/>
      <c r="CZ1133" s="650"/>
      <c r="DA1133" s="548"/>
      <c r="DB1133" s="548"/>
      <c r="DC1133" s="548"/>
      <c r="DD1133" s="650"/>
      <c r="DE1133" s="650"/>
      <c r="DF1133" s="650"/>
      <c r="DG1133" s="650"/>
      <c r="DH1133" s="650"/>
    </row>
    <row r="1134" s="548" customFormat="1" ht="31" customHeight="1" spans="1:112">
      <c r="A1134" s="641">
        <v>46042</v>
      </c>
      <c r="B1134" s="642" t="s">
        <v>75</v>
      </c>
      <c r="C1134" s="246" t="s">
        <v>76</v>
      </c>
      <c r="D1134" s="551">
        <v>4500191819</v>
      </c>
      <c r="E1134" s="246">
        <v>29394330</v>
      </c>
      <c r="F1134" s="551" t="s">
        <v>8832</v>
      </c>
      <c r="G1134" s="246" t="s">
        <v>6043</v>
      </c>
      <c r="H1134" s="246" t="s">
        <v>6110</v>
      </c>
      <c r="I1134" s="704">
        <v>1850</v>
      </c>
      <c r="J1134" s="246">
        <v>0</v>
      </c>
      <c r="K1134" s="246">
        <v>50</v>
      </c>
      <c r="L1134" s="644">
        <f t="shared" si="437"/>
        <v>37</v>
      </c>
      <c r="M1134" s="645">
        <v>46097</v>
      </c>
      <c r="N1134" s="645">
        <v>46093</v>
      </c>
      <c r="O1134" s="246"/>
      <c r="P1134" s="643" t="s">
        <v>113</v>
      </c>
      <c r="Q1134" s="246"/>
      <c r="R1134" s="646">
        <v>46042</v>
      </c>
      <c r="S1134" s="646" t="s">
        <v>70</v>
      </c>
      <c r="T1134" s="646" t="s">
        <v>8830</v>
      </c>
      <c r="U1134" s="646"/>
      <c r="V1134" s="646"/>
      <c r="W1134" s="615"/>
      <c r="X1134" s="628" t="s">
        <v>8831</v>
      </c>
      <c r="Y1134" s="642" t="s">
        <v>1735</v>
      </c>
      <c r="Z1134" s="655">
        <v>0.941</v>
      </c>
      <c r="AA1134" s="647">
        <f t="shared" si="438"/>
        <v>1740.85</v>
      </c>
      <c r="AC1134" s="648"/>
      <c r="AD1134" s="246" t="s">
        <v>7350</v>
      </c>
      <c r="AE1134" s="246" t="s">
        <v>82</v>
      </c>
      <c r="AF1134" s="246"/>
      <c r="AG1134" s="642"/>
      <c r="AH1134" s="642">
        <v>1</v>
      </c>
      <c r="AI1134" s="246">
        <v>1850</v>
      </c>
      <c r="AJ1134" s="246">
        <f t="shared" si="433"/>
        <v>0</v>
      </c>
      <c r="AK1134" s="246"/>
      <c r="AL1134" s="246" t="s">
        <v>2368</v>
      </c>
      <c r="AM1134" s="246"/>
      <c r="AN1134" s="246"/>
      <c r="AO1134" s="551">
        <f>I1134</f>
        <v>1850</v>
      </c>
      <c r="AP1134" s="551"/>
      <c r="AQ1134" s="551"/>
      <c r="AR1134" s="650"/>
      <c r="AS1134" s="551"/>
      <c r="AT1134" s="554">
        <f>I1134</f>
        <v>1850</v>
      </c>
      <c r="AU1134" s="551"/>
      <c r="AV1134" s="554">
        <f>I1134</f>
        <v>1850</v>
      </c>
      <c r="AW1134" s="650"/>
      <c r="AX1134" s="551"/>
      <c r="AY1134" s="551"/>
      <c r="AZ1134" s="551"/>
      <c r="BA1134" s="551"/>
      <c r="BB1134" s="620">
        <f>I1134/24</f>
        <v>77.0833333333333</v>
      </c>
      <c r="BC1134" s="651"/>
      <c r="BD1134" s="551"/>
      <c r="BE1134" s="551"/>
      <c r="BF1134" s="551"/>
      <c r="BH1134" s="551"/>
      <c r="BI1134" s="551"/>
      <c r="BJ1134" s="551"/>
      <c r="BK1134" s="551"/>
      <c r="BL1134" s="551"/>
      <c r="BM1134" s="551"/>
      <c r="BN1134" s="551">
        <f>I1134/25</f>
        <v>74</v>
      </c>
      <c r="BO1134" s="551"/>
      <c r="BP1134" s="551"/>
      <c r="BQ1134" s="551"/>
      <c r="BR1134" s="551"/>
      <c r="BS1134" s="551"/>
      <c r="BT1134" s="551"/>
      <c r="BU1134" s="551"/>
      <c r="BV1134" s="551"/>
      <c r="BW1134" s="551"/>
      <c r="BX1134" s="551"/>
      <c r="BY1134" s="650"/>
      <c r="BZ1134" s="551"/>
      <c r="CA1134" s="652"/>
      <c r="CB1134" s="567"/>
      <c r="CC1134" s="653"/>
      <c r="CD1134" s="650"/>
      <c r="CE1134" s="650"/>
      <c r="CF1134" s="551"/>
      <c r="CG1134" s="551"/>
      <c r="CI1134" s="551"/>
      <c r="CJ1134" s="551"/>
      <c r="CK1134" s="551"/>
      <c r="CL1134" s="551"/>
      <c r="CM1134" s="551"/>
      <c r="CN1134" s="551"/>
      <c r="CO1134" s="551"/>
      <c r="CP1134" s="551"/>
      <c r="CQ1134" s="551"/>
      <c r="CR1134" s="551"/>
      <c r="CS1134" s="551"/>
      <c r="CT1134" s="551"/>
      <c r="CU1134" s="554">
        <f t="shared" si="429"/>
        <v>74</v>
      </c>
      <c r="CV1134" s="551">
        <f t="shared" si="435"/>
        <v>0</v>
      </c>
      <c r="CW1134" s="551">
        <f t="shared" si="436"/>
        <v>0</v>
      </c>
      <c r="CX1134" s="650"/>
      <c r="CY1134" s="650"/>
      <c r="CZ1134" s="650"/>
      <c r="DA1134" s="548"/>
      <c r="DB1134" s="548"/>
      <c r="DC1134" s="548"/>
      <c r="DD1134" s="650"/>
      <c r="DE1134" s="650"/>
      <c r="DF1134" s="650"/>
      <c r="DG1134" s="650"/>
      <c r="DH1134" s="650"/>
    </row>
    <row r="1135" s="548" customFormat="1" ht="31" customHeight="1" spans="1:112">
      <c r="A1135" s="641">
        <v>46041</v>
      </c>
      <c r="B1135" s="642" t="s">
        <v>135</v>
      </c>
      <c r="C1135" s="246" t="s">
        <v>128</v>
      </c>
      <c r="D1135" s="551">
        <v>4500190626</v>
      </c>
      <c r="E1135" s="246">
        <v>21503984</v>
      </c>
      <c r="F1135" s="551" t="s">
        <v>3203</v>
      </c>
      <c r="G1135" s="246" t="s">
        <v>6093</v>
      </c>
      <c r="H1135" s="246" t="s">
        <v>6094</v>
      </c>
      <c r="I1135" s="704">
        <v>4485</v>
      </c>
      <c r="J1135" s="246">
        <v>0</v>
      </c>
      <c r="K1135" s="246">
        <v>13</v>
      </c>
      <c r="L1135" s="644">
        <f t="shared" si="437"/>
        <v>345</v>
      </c>
      <c r="M1135" s="645">
        <v>46100</v>
      </c>
      <c r="N1135" s="645">
        <v>46097</v>
      </c>
      <c r="O1135" s="246"/>
      <c r="P1135" s="643" t="s">
        <v>113</v>
      </c>
      <c r="Q1135" s="246"/>
      <c r="R1135" s="646">
        <v>46041</v>
      </c>
      <c r="S1135" s="646" t="s">
        <v>104</v>
      </c>
      <c r="T1135" s="646" t="s">
        <v>8816</v>
      </c>
      <c r="U1135" s="646"/>
      <c r="V1135" s="646"/>
      <c r="W1135" s="615"/>
      <c r="X1135" s="642" t="s">
        <v>8833</v>
      </c>
      <c r="Y1135" s="642" t="s">
        <v>3206</v>
      </c>
      <c r="Z1135" s="655">
        <v>0.9475</v>
      </c>
      <c r="AA1135" s="647">
        <f t="shared" si="438"/>
        <v>4249.5375</v>
      </c>
      <c r="AC1135" s="648"/>
      <c r="AD1135" s="246" t="s">
        <v>6093</v>
      </c>
      <c r="AE1135" s="246" t="s">
        <v>82</v>
      </c>
      <c r="AF1135" s="246"/>
      <c r="AG1135" s="642"/>
      <c r="AH1135" s="642">
        <v>1</v>
      </c>
      <c r="AI1135" s="246">
        <v>4485</v>
      </c>
      <c r="AJ1135" s="246">
        <f t="shared" si="433"/>
        <v>0</v>
      </c>
      <c r="AK1135" s="246"/>
      <c r="AL1135" s="246" t="s">
        <v>2368</v>
      </c>
      <c r="AM1135" s="246"/>
      <c r="AN1135" s="246"/>
      <c r="AO1135" s="551">
        <f>I1135</f>
        <v>4485</v>
      </c>
      <c r="AP1135" s="551"/>
      <c r="AQ1135" s="551"/>
      <c r="AR1135" s="650"/>
      <c r="AS1135" s="551"/>
      <c r="AT1135" s="554">
        <f>I1135</f>
        <v>4485</v>
      </c>
      <c r="AU1135" s="551"/>
      <c r="AV1135" s="554">
        <f>I1135</f>
        <v>4485</v>
      </c>
      <c r="AW1135" s="650"/>
      <c r="AX1135" s="551"/>
      <c r="AY1135" s="551"/>
      <c r="AZ1135" s="551"/>
      <c r="BA1135" s="551"/>
      <c r="BB1135" s="620">
        <f>I1135/24</f>
        <v>186.875</v>
      </c>
      <c r="BC1135" s="651"/>
      <c r="BD1135" s="551"/>
      <c r="BE1135" s="551"/>
      <c r="BF1135" s="551"/>
      <c r="BH1135" s="551"/>
      <c r="BI1135" s="551"/>
      <c r="BJ1135" s="551"/>
      <c r="BK1135" s="551"/>
      <c r="BL1135" s="551"/>
      <c r="BM1135" s="551">
        <f>I1135/13</f>
        <v>345</v>
      </c>
      <c r="BN1135" s="551"/>
      <c r="BO1135" s="551"/>
      <c r="BP1135" s="551"/>
      <c r="BQ1135" s="551"/>
      <c r="BR1135" s="551"/>
      <c r="BS1135" s="551"/>
      <c r="BT1135" s="551"/>
      <c r="BU1135" s="551"/>
      <c r="BV1135" s="551"/>
      <c r="BW1135" s="551"/>
      <c r="BX1135" s="551"/>
      <c r="BY1135" s="650"/>
      <c r="BZ1135" s="551"/>
      <c r="CA1135" s="652"/>
      <c r="CB1135" s="567"/>
      <c r="CC1135" s="653"/>
      <c r="CD1135" s="650"/>
      <c r="CE1135" s="650"/>
      <c r="CF1135" s="551"/>
      <c r="CG1135" s="551"/>
      <c r="CI1135" s="551"/>
      <c r="CJ1135" s="551"/>
      <c r="CK1135" s="551"/>
      <c r="CL1135" s="551"/>
      <c r="CM1135" s="551"/>
      <c r="CN1135" s="551"/>
      <c r="CO1135" s="551"/>
      <c r="CP1135" s="551"/>
      <c r="CQ1135" s="551"/>
      <c r="CR1135" s="551"/>
      <c r="CS1135" s="551"/>
      <c r="CT1135" s="551"/>
      <c r="CU1135" s="554">
        <f t="shared" si="429"/>
        <v>0</v>
      </c>
      <c r="CV1135" s="551">
        <f t="shared" si="435"/>
        <v>0</v>
      </c>
      <c r="CW1135" s="551">
        <f t="shared" si="436"/>
        <v>0</v>
      </c>
      <c r="CX1135" s="650"/>
      <c r="CY1135" s="650"/>
      <c r="CZ1135" s="650"/>
      <c r="DA1135" s="548"/>
      <c r="DB1135" s="548"/>
      <c r="DC1135" s="548"/>
      <c r="DD1135" s="650"/>
      <c r="DE1135" s="650"/>
      <c r="DF1135" s="650"/>
      <c r="DG1135" s="650"/>
      <c r="DH1135" s="650"/>
    </row>
    <row r="1136" s="548" customFormat="1" ht="31" customHeight="1" spans="1:112">
      <c r="A1136" s="641">
        <v>46042</v>
      </c>
      <c r="B1136" s="642" t="s">
        <v>139</v>
      </c>
      <c r="C1136" s="246" t="s">
        <v>76</v>
      </c>
      <c r="D1136" s="551">
        <v>4500190629</v>
      </c>
      <c r="E1136" s="246">
        <v>21503987</v>
      </c>
      <c r="F1136" s="551" t="s">
        <v>8834</v>
      </c>
      <c r="G1136" s="246" t="s">
        <v>6093</v>
      </c>
      <c r="H1136" s="246" t="s">
        <v>6094</v>
      </c>
      <c r="I1136" s="704">
        <v>455</v>
      </c>
      <c r="J1136" s="246">
        <v>0</v>
      </c>
      <c r="K1136" s="246">
        <v>13</v>
      </c>
      <c r="L1136" s="644">
        <f t="shared" si="437"/>
        <v>35</v>
      </c>
      <c r="M1136" s="645">
        <v>46100</v>
      </c>
      <c r="N1136" s="645">
        <v>46097</v>
      </c>
      <c r="O1136" s="246"/>
      <c r="P1136" s="643" t="s">
        <v>113</v>
      </c>
      <c r="Q1136" s="246"/>
      <c r="R1136" s="646">
        <v>46041</v>
      </c>
      <c r="S1136" s="646" t="s">
        <v>104</v>
      </c>
      <c r="T1136" s="646" t="s">
        <v>8816</v>
      </c>
      <c r="U1136" s="646"/>
      <c r="V1136" s="646"/>
      <c r="W1136" s="615"/>
      <c r="X1136" s="642" t="s">
        <v>8835</v>
      </c>
      <c r="Y1136" s="642" t="s">
        <v>3206</v>
      </c>
      <c r="Z1136" s="655">
        <v>0.9526</v>
      </c>
      <c r="AA1136" s="647">
        <f t="shared" si="438"/>
        <v>433.433</v>
      </c>
      <c r="AC1136" s="648"/>
      <c r="AD1136" s="246" t="s">
        <v>6093</v>
      </c>
      <c r="AE1136" s="246" t="s">
        <v>82</v>
      </c>
      <c r="AF1136" s="246"/>
      <c r="AG1136" s="642"/>
      <c r="AH1136" s="642">
        <v>1</v>
      </c>
      <c r="AI1136" s="246">
        <v>455</v>
      </c>
      <c r="AJ1136" s="246">
        <f t="shared" si="433"/>
        <v>0</v>
      </c>
      <c r="AK1136" s="246"/>
      <c r="AL1136" s="246" t="s">
        <v>2368</v>
      </c>
      <c r="AM1136" s="246"/>
      <c r="AN1136" s="246"/>
      <c r="AO1136" s="551">
        <f>I1136</f>
        <v>455</v>
      </c>
      <c r="AP1136" s="551"/>
      <c r="AQ1136" s="551"/>
      <c r="AR1136" s="650"/>
      <c r="AS1136" s="551"/>
      <c r="AT1136" s="554">
        <f>I1136</f>
        <v>455</v>
      </c>
      <c r="AU1136" s="551"/>
      <c r="AV1136" s="554">
        <f>I1136</f>
        <v>455</v>
      </c>
      <c r="AW1136" s="650"/>
      <c r="AX1136" s="551"/>
      <c r="AY1136" s="551"/>
      <c r="AZ1136" s="551"/>
      <c r="BA1136" s="551"/>
      <c r="BB1136" s="620">
        <f>I1136/24</f>
        <v>18.9583333333333</v>
      </c>
      <c r="BC1136" s="651"/>
      <c r="BD1136" s="551"/>
      <c r="BE1136" s="551"/>
      <c r="BF1136" s="551"/>
      <c r="BH1136" s="551"/>
      <c r="BI1136" s="551"/>
      <c r="BJ1136" s="551"/>
      <c r="BK1136" s="551"/>
      <c r="BL1136" s="551"/>
      <c r="BM1136" s="551">
        <f>I1136/13</f>
        <v>35</v>
      </c>
      <c r="BN1136" s="551"/>
      <c r="BO1136" s="551"/>
      <c r="BP1136" s="551"/>
      <c r="BQ1136" s="551"/>
      <c r="BR1136" s="551"/>
      <c r="BS1136" s="551"/>
      <c r="BT1136" s="551"/>
      <c r="BU1136" s="551"/>
      <c r="BV1136" s="551"/>
      <c r="BW1136" s="551"/>
      <c r="BX1136" s="551"/>
      <c r="BY1136" s="650"/>
      <c r="BZ1136" s="551"/>
      <c r="CA1136" s="652"/>
      <c r="CB1136" s="567"/>
      <c r="CC1136" s="653"/>
      <c r="CD1136" s="650"/>
      <c r="CE1136" s="650"/>
      <c r="CF1136" s="551"/>
      <c r="CG1136" s="551"/>
      <c r="CI1136" s="551"/>
      <c r="CJ1136" s="551"/>
      <c r="CK1136" s="551"/>
      <c r="CL1136" s="551"/>
      <c r="CM1136" s="551"/>
      <c r="CN1136" s="551"/>
      <c r="CO1136" s="551"/>
      <c r="CP1136" s="551"/>
      <c r="CQ1136" s="551"/>
      <c r="CR1136" s="551"/>
      <c r="CS1136" s="551"/>
      <c r="CT1136" s="551"/>
      <c r="CU1136" s="554">
        <f t="shared" si="429"/>
        <v>0</v>
      </c>
      <c r="CV1136" s="551">
        <f t="shared" si="435"/>
        <v>0</v>
      </c>
      <c r="CW1136" s="551">
        <f t="shared" si="436"/>
        <v>0</v>
      </c>
      <c r="CX1136" s="650"/>
      <c r="CY1136" s="650"/>
      <c r="CZ1136" s="650"/>
      <c r="DA1136" s="548"/>
      <c r="DB1136" s="548"/>
      <c r="DC1136" s="548"/>
      <c r="DD1136" s="650"/>
      <c r="DE1136" s="650"/>
      <c r="DF1136" s="650"/>
      <c r="DG1136" s="650"/>
      <c r="DH1136" s="650"/>
    </row>
    <row r="1137" s="548" customFormat="1" ht="31" customHeight="1" spans="1:112">
      <c r="A1137" s="641">
        <v>45995</v>
      </c>
      <c r="B1137" s="642" t="s">
        <v>2811</v>
      </c>
      <c r="C1137" s="246" t="s">
        <v>98</v>
      </c>
      <c r="D1137" s="551">
        <v>4500187942</v>
      </c>
      <c r="E1137" s="246">
        <v>70079711</v>
      </c>
      <c r="F1137" s="551" t="s">
        <v>3211</v>
      </c>
      <c r="G1137" s="246" t="s">
        <v>8520</v>
      </c>
      <c r="H1137" s="246" t="s">
        <v>8521</v>
      </c>
      <c r="I1137" s="704">
        <v>600</v>
      </c>
      <c r="J1137" s="246">
        <v>0</v>
      </c>
      <c r="K1137" s="246">
        <v>8</v>
      </c>
      <c r="L1137" s="644">
        <f t="shared" si="437"/>
        <v>75</v>
      </c>
      <c r="M1137" s="645">
        <v>46101</v>
      </c>
      <c r="N1137" s="645">
        <v>46097</v>
      </c>
      <c r="O1137" s="246"/>
      <c r="P1137" s="643" t="s">
        <v>113</v>
      </c>
      <c r="Q1137" s="246"/>
      <c r="R1137" s="646">
        <v>45995</v>
      </c>
      <c r="S1137" s="646" t="s">
        <v>70</v>
      </c>
      <c r="T1137" s="646" t="s">
        <v>8522</v>
      </c>
      <c r="U1137" s="646"/>
      <c r="V1137" s="646"/>
      <c r="W1137" s="615"/>
      <c r="X1137" s="628" t="s">
        <v>3060</v>
      </c>
      <c r="Y1137" s="642" t="s">
        <v>3061</v>
      </c>
      <c r="Z1137" s="655">
        <v>4.2977</v>
      </c>
      <c r="AA1137" s="647">
        <f t="shared" si="438"/>
        <v>2578.62</v>
      </c>
      <c r="AC1137" s="658" t="s">
        <v>3212</v>
      </c>
      <c r="AD1137" s="246" t="s">
        <v>2741</v>
      </c>
      <c r="AE1137" s="246" t="s">
        <v>82</v>
      </c>
      <c r="AF1137" s="246"/>
      <c r="AG1137" s="642"/>
      <c r="AH1137" s="642">
        <v>1</v>
      </c>
      <c r="AI1137" s="246">
        <f>576+24</f>
        <v>600</v>
      </c>
      <c r="AJ1137" s="246">
        <f t="shared" si="433"/>
        <v>0</v>
      </c>
      <c r="AK1137" s="246"/>
      <c r="AL1137" s="246" t="s">
        <v>2368</v>
      </c>
      <c r="AM1137" s="246"/>
      <c r="AN1137" s="610">
        <f t="shared" ref="AN1137:AN1142" si="439">I1137*2</f>
        <v>1200</v>
      </c>
      <c r="AO1137" s="551"/>
      <c r="AP1137" s="554">
        <f>I1137*2</f>
        <v>1200</v>
      </c>
      <c r="AQ1137" s="551"/>
      <c r="AR1137" s="650"/>
      <c r="AS1137" s="551"/>
      <c r="AT1137" s="551"/>
      <c r="AU1137" s="554">
        <f>I1137*2</f>
        <v>1200</v>
      </c>
      <c r="AV1137" s="551"/>
      <c r="AW1137" s="650"/>
      <c r="AX1137" s="551"/>
      <c r="AY1137" s="551"/>
      <c r="AZ1137" s="551"/>
      <c r="BA1137" s="551"/>
      <c r="BB1137" s="620">
        <f>I1137/24*2</f>
        <v>50</v>
      </c>
      <c r="BC1137" s="651"/>
      <c r="BD1137" s="551"/>
      <c r="BE1137" s="551"/>
      <c r="BF1137" s="551"/>
      <c r="BH1137" s="551"/>
      <c r="BI1137" s="551"/>
      <c r="BJ1137" s="551"/>
      <c r="BK1137" s="551"/>
      <c r="BL1137" s="551"/>
      <c r="BM1137" s="551"/>
      <c r="BN1137" s="551"/>
      <c r="BO1137" s="551"/>
      <c r="BP1137" s="551"/>
      <c r="BQ1137" s="551"/>
      <c r="BR1137" s="551"/>
      <c r="BS1137" s="551"/>
      <c r="BT1137" s="551"/>
      <c r="BU1137" s="551"/>
      <c r="BV1137" s="551"/>
      <c r="BW1137" s="551"/>
      <c r="BX1137" s="551"/>
      <c r="BY1137" s="650"/>
      <c r="BZ1137" s="551"/>
      <c r="CA1137" s="652">
        <f>I1137</f>
        <v>600</v>
      </c>
      <c r="CB1137" s="567"/>
      <c r="CC1137" s="653"/>
      <c r="CD1137" s="650"/>
      <c r="CE1137" s="650"/>
      <c r="CF1137" s="551"/>
      <c r="CG1137" s="551"/>
      <c r="CI1137" s="551"/>
      <c r="CJ1137" s="551"/>
      <c r="CK1137" s="551"/>
      <c r="CL1137" s="551"/>
      <c r="CM1137" s="551"/>
      <c r="CN1137" s="551"/>
      <c r="CO1137" s="551"/>
      <c r="CP1137" s="551"/>
      <c r="CQ1137" s="551"/>
      <c r="CR1137" s="551"/>
      <c r="CS1137" s="551"/>
      <c r="CT1137" s="551"/>
      <c r="CU1137" s="554">
        <f t="shared" si="429"/>
        <v>0</v>
      </c>
      <c r="CV1137" s="551">
        <f t="shared" si="435"/>
        <v>0</v>
      </c>
      <c r="CW1137" s="551">
        <f t="shared" si="436"/>
        <v>0</v>
      </c>
      <c r="CX1137" s="650"/>
      <c r="CY1137" s="650"/>
      <c r="CZ1137" s="650"/>
      <c r="DA1137" s="548"/>
      <c r="DB1137" s="548"/>
      <c r="DC1137" s="548"/>
      <c r="DD1137" s="650"/>
      <c r="DE1137" s="650"/>
      <c r="DF1137" s="650"/>
      <c r="DG1137" s="650"/>
      <c r="DH1137" s="650"/>
    </row>
    <row r="1138" s="548" customFormat="1" ht="31" customHeight="1" spans="1:112">
      <c r="A1138" s="641">
        <v>45995</v>
      </c>
      <c r="B1138" s="642" t="s">
        <v>2811</v>
      </c>
      <c r="C1138" s="246" t="s">
        <v>98</v>
      </c>
      <c r="D1138" s="551">
        <v>4500186809</v>
      </c>
      <c r="E1138" s="246">
        <v>70081802</v>
      </c>
      <c r="F1138" s="551" t="s">
        <v>8836</v>
      </c>
      <c r="G1138" s="246" t="s">
        <v>6787</v>
      </c>
      <c r="H1138" s="610" t="s">
        <v>6126</v>
      </c>
      <c r="I1138" s="704">
        <v>1104</v>
      </c>
      <c r="J1138" s="246">
        <v>0</v>
      </c>
      <c r="K1138" s="246">
        <v>12</v>
      </c>
      <c r="L1138" s="644">
        <f t="shared" si="437"/>
        <v>92</v>
      </c>
      <c r="M1138" s="645">
        <v>46101</v>
      </c>
      <c r="N1138" s="645">
        <v>46097</v>
      </c>
      <c r="O1138" s="246"/>
      <c r="P1138" s="643" t="s">
        <v>113</v>
      </c>
      <c r="Q1138" s="246"/>
      <c r="R1138" s="646">
        <v>45995</v>
      </c>
      <c r="S1138" s="646" t="s">
        <v>70</v>
      </c>
      <c r="T1138" s="646" t="s">
        <v>2738</v>
      </c>
      <c r="U1138" s="646"/>
      <c r="V1138" s="646"/>
      <c r="W1138" s="615"/>
      <c r="X1138" s="642" t="s">
        <v>8837</v>
      </c>
      <c r="Y1138" s="642" t="s">
        <v>2678</v>
      </c>
      <c r="Z1138" s="655">
        <v>1.3094</v>
      </c>
      <c r="AA1138" s="647">
        <f t="shared" si="438"/>
        <v>1445.5776</v>
      </c>
      <c r="AC1138" s="658" t="s">
        <v>8838</v>
      </c>
      <c r="AD1138" s="246" t="s">
        <v>8545</v>
      </c>
      <c r="AE1138" s="246" t="s">
        <v>82</v>
      </c>
      <c r="AF1138" s="246"/>
      <c r="AG1138" s="642"/>
      <c r="AH1138" s="642">
        <v>1</v>
      </c>
      <c r="AI1138" s="246">
        <f>1092+12</f>
        <v>1104</v>
      </c>
      <c r="AJ1138" s="246">
        <f t="shared" si="433"/>
        <v>0</v>
      </c>
      <c r="AK1138" s="246"/>
      <c r="AL1138" s="246" t="s">
        <v>2368</v>
      </c>
      <c r="AM1138" s="246"/>
      <c r="AN1138" s="610">
        <f t="shared" si="439"/>
        <v>2208</v>
      </c>
      <c r="AO1138" s="551"/>
      <c r="AP1138" s="554">
        <f>I1138*2</f>
        <v>2208</v>
      </c>
      <c r="AQ1138" s="551"/>
      <c r="AR1138" s="650"/>
      <c r="AS1138" s="551"/>
      <c r="AT1138" s="551"/>
      <c r="AU1138" s="554">
        <f t="shared" ref="AU1137:AU1142" si="440">I1138*2</f>
        <v>2208</v>
      </c>
      <c r="AV1138" s="551"/>
      <c r="AW1138" s="650"/>
      <c r="AX1138" s="551"/>
      <c r="AY1138" s="551"/>
      <c r="AZ1138" s="551"/>
      <c r="BA1138" s="551"/>
      <c r="BB1138" s="249">
        <f t="shared" ref="BB1137:BB1142" si="441">I1138/24*2</f>
        <v>92</v>
      </c>
      <c r="BC1138" s="651"/>
      <c r="BD1138" s="551"/>
      <c r="BE1138" s="551"/>
      <c r="BF1138" s="551"/>
      <c r="BH1138" s="551"/>
      <c r="BI1138" s="551"/>
      <c r="BJ1138" s="551"/>
      <c r="BK1138" s="551"/>
      <c r="BL1138" s="551"/>
      <c r="BM1138" s="551"/>
      <c r="BN1138" s="551"/>
      <c r="BO1138" s="551"/>
      <c r="BP1138" s="551"/>
      <c r="BQ1138" s="551"/>
      <c r="BR1138" s="551"/>
      <c r="BS1138" s="551"/>
      <c r="BT1138" s="551"/>
      <c r="BU1138" s="551"/>
      <c r="BV1138" s="551"/>
      <c r="BW1138" s="551"/>
      <c r="BX1138" s="551"/>
      <c r="BY1138" s="650"/>
      <c r="BZ1138" s="551"/>
      <c r="CA1138" s="652"/>
      <c r="CB1138" s="567"/>
      <c r="CC1138" s="653"/>
      <c r="CD1138" s="650"/>
      <c r="CE1138" s="650"/>
      <c r="CF1138" s="551"/>
      <c r="CG1138" s="551"/>
      <c r="CI1138" s="551"/>
      <c r="CJ1138" s="551"/>
      <c r="CK1138" s="551"/>
      <c r="CL1138" s="551"/>
      <c r="CM1138" s="551"/>
      <c r="CN1138" s="551"/>
      <c r="CO1138" s="551"/>
      <c r="CP1138" s="551"/>
      <c r="CQ1138" s="551"/>
      <c r="CR1138" s="554">
        <f>I1138</f>
        <v>1104</v>
      </c>
      <c r="CS1138" s="554">
        <f>I1138</f>
        <v>1104</v>
      </c>
      <c r="CT1138" s="554">
        <f>I1138</f>
        <v>1104</v>
      </c>
      <c r="CU1138" s="554">
        <f t="shared" si="429"/>
        <v>0</v>
      </c>
      <c r="CV1138" s="551">
        <v>0</v>
      </c>
      <c r="CW1138" s="551">
        <v>0</v>
      </c>
      <c r="CX1138" s="650"/>
      <c r="CY1138" s="650"/>
      <c r="CZ1138" s="650"/>
      <c r="DA1138" s="548"/>
      <c r="DB1138" s="548"/>
      <c r="DC1138" s="548"/>
      <c r="DD1138" s="650"/>
      <c r="DE1138" s="650"/>
      <c r="DF1138" s="650"/>
      <c r="DG1138" s="650"/>
      <c r="DH1138" s="650"/>
    </row>
    <row r="1139" s="548" customFormat="1" ht="31" customHeight="1" spans="1:112">
      <c r="A1139" s="641">
        <v>46037</v>
      </c>
      <c r="B1139" s="609" t="s">
        <v>3815</v>
      </c>
      <c r="C1139" s="246" t="s">
        <v>98</v>
      </c>
      <c r="D1139" s="551">
        <v>4500191480</v>
      </c>
      <c r="E1139" s="246" t="s">
        <v>8839</v>
      </c>
      <c r="F1139" s="551" t="s">
        <v>8840</v>
      </c>
      <c r="G1139" s="246" t="s">
        <v>6787</v>
      </c>
      <c r="H1139" s="610" t="s">
        <v>6126</v>
      </c>
      <c r="I1139" s="704">
        <v>1836</v>
      </c>
      <c r="J1139" s="246">
        <v>0</v>
      </c>
      <c r="K1139" s="246">
        <v>12</v>
      </c>
      <c r="L1139" s="644">
        <f t="shared" si="437"/>
        <v>153</v>
      </c>
      <c r="M1139" s="645">
        <v>46101</v>
      </c>
      <c r="N1139" s="645">
        <v>46097</v>
      </c>
      <c r="O1139" s="246"/>
      <c r="P1139" s="643" t="s">
        <v>113</v>
      </c>
      <c r="Q1139" s="246"/>
      <c r="R1139" s="646">
        <v>46037</v>
      </c>
      <c r="S1139" s="646" t="s">
        <v>104</v>
      </c>
      <c r="T1139" s="646" t="s">
        <v>8841</v>
      </c>
      <c r="U1139" s="646"/>
      <c r="V1139" s="646" t="s">
        <v>8842</v>
      </c>
      <c r="W1139" s="615"/>
      <c r="X1139" s="642" t="s">
        <v>8843</v>
      </c>
      <c r="Y1139" s="642" t="s">
        <v>125</v>
      </c>
      <c r="Z1139" s="655">
        <v>1.3094</v>
      </c>
      <c r="AA1139" s="647">
        <f t="shared" si="438"/>
        <v>2404.0584</v>
      </c>
      <c r="AC1139" s="658" t="s">
        <v>3220</v>
      </c>
      <c r="AD1139" s="246" t="s">
        <v>8079</v>
      </c>
      <c r="AE1139" s="246" t="s">
        <v>82</v>
      </c>
      <c r="AF1139" s="246"/>
      <c r="AG1139" s="642"/>
      <c r="AH1139" s="642">
        <v>1</v>
      </c>
      <c r="AI1139" s="246">
        <v>1836</v>
      </c>
      <c r="AJ1139" s="246">
        <f t="shared" si="433"/>
        <v>0</v>
      </c>
      <c r="AK1139" s="246"/>
      <c r="AL1139" s="246" t="s">
        <v>126</v>
      </c>
      <c r="AM1139" s="246"/>
      <c r="AN1139" s="610">
        <f t="shared" si="439"/>
        <v>3672</v>
      </c>
      <c r="AO1139" s="551"/>
      <c r="AP1139" s="551"/>
      <c r="AQ1139" s="554">
        <f>I1139*2</f>
        <v>3672</v>
      </c>
      <c r="AR1139" s="650"/>
      <c r="AS1139" s="551"/>
      <c r="AT1139" s="551"/>
      <c r="AU1139" s="554">
        <f t="shared" si="440"/>
        <v>3672</v>
      </c>
      <c r="AV1139" s="551"/>
      <c r="AW1139" s="650"/>
      <c r="AX1139" s="551"/>
      <c r="AY1139" s="551"/>
      <c r="AZ1139" s="551"/>
      <c r="BA1139" s="551"/>
      <c r="BB1139" s="249">
        <f t="shared" si="441"/>
        <v>153</v>
      </c>
      <c r="BC1139" s="651"/>
      <c r="BD1139" s="551"/>
      <c r="BE1139" s="551"/>
      <c r="BF1139" s="551"/>
      <c r="BH1139" s="551"/>
      <c r="BI1139" s="551"/>
      <c r="BJ1139" s="551"/>
      <c r="BK1139" s="551"/>
      <c r="BL1139" s="551"/>
      <c r="BM1139" s="551"/>
      <c r="BN1139" s="551"/>
      <c r="BO1139" s="551"/>
      <c r="BP1139" s="551"/>
      <c r="BQ1139" s="551"/>
      <c r="BR1139" s="551"/>
      <c r="BS1139" s="551"/>
      <c r="BT1139" s="551"/>
      <c r="BU1139" s="551"/>
      <c r="BV1139" s="551"/>
      <c r="BW1139" s="551"/>
      <c r="BX1139" s="551"/>
      <c r="BY1139" s="650"/>
      <c r="BZ1139" s="551"/>
      <c r="CA1139" s="652"/>
      <c r="CB1139" s="567"/>
      <c r="CC1139" s="653"/>
      <c r="CD1139" s="650"/>
      <c r="CE1139" s="650"/>
      <c r="CF1139" s="551"/>
      <c r="CG1139" s="551"/>
      <c r="CI1139" s="551"/>
      <c r="CJ1139" s="551"/>
      <c r="CK1139" s="551"/>
      <c r="CL1139" s="551"/>
      <c r="CM1139" s="551"/>
      <c r="CN1139" s="551"/>
      <c r="CO1139" s="551"/>
      <c r="CP1139" s="551"/>
      <c r="CQ1139" s="551"/>
      <c r="CR1139" s="554">
        <f>I1139</f>
        <v>1836</v>
      </c>
      <c r="CS1139" s="554">
        <f>I1139</f>
        <v>1836</v>
      </c>
      <c r="CT1139" s="554">
        <f>I1139</f>
        <v>1836</v>
      </c>
      <c r="CU1139" s="554">
        <f t="shared" si="429"/>
        <v>0</v>
      </c>
      <c r="CV1139" s="551">
        <v>0</v>
      </c>
      <c r="CW1139" s="551">
        <v>0</v>
      </c>
      <c r="CX1139" s="650"/>
      <c r="CY1139" s="650"/>
      <c r="CZ1139" s="650"/>
      <c r="DA1139" s="548"/>
      <c r="DB1139" s="548"/>
      <c r="DC1139" s="548"/>
      <c r="DD1139" s="650"/>
      <c r="DE1139" s="650"/>
      <c r="DF1139" s="650"/>
      <c r="DG1139" s="650"/>
      <c r="DH1139" s="650"/>
    </row>
    <row r="1140" s="548" customFormat="1" ht="31" customHeight="1" spans="1:112">
      <c r="A1140" s="641">
        <v>46037</v>
      </c>
      <c r="B1140" s="609" t="s">
        <v>3815</v>
      </c>
      <c r="C1140" s="246" t="s">
        <v>98</v>
      </c>
      <c r="D1140" s="551">
        <v>4500191499</v>
      </c>
      <c r="E1140" s="246" t="s">
        <v>8844</v>
      </c>
      <c r="F1140" s="551" t="s">
        <v>8845</v>
      </c>
      <c r="G1140" s="246" t="s">
        <v>6787</v>
      </c>
      <c r="H1140" s="610" t="s">
        <v>6126</v>
      </c>
      <c r="I1140" s="704">
        <v>24</v>
      </c>
      <c r="J1140" s="246">
        <v>0</v>
      </c>
      <c r="K1140" s="246">
        <v>12</v>
      </c>
      <c r="L1140" s="644">
        <f t="shared" si="437"/>
        <v>2</v>
      </c>
      <c r="M1140" s="645">
        <v>46101</v>
      </c>
      <c r="N1140" s="645">
        <v>46097</v>
      </c>
      <c r="O1140" s="246"/>
      <c r="P1140" s="643" t="s">
        <v>113</v>
      </c>
      <c r="Q1140" s="246"/>
      <c r="R1140" s="646">
        <v>46037</v>
      </c>
      <c r="S1140" s="646" t="s">
        <v>104</v>
      </c>
      <c r="T1140" s="646" t="s">
        <v>8841</v>
      </c>
      <c r="U1140" s="646"/>
      <c r="V1140" s="646" t="s">
        <v>8842</v>
      </c>
      <c r="W1140" s="615"/>
      <c r="X1140" s="642" t="s">
        <v>8843</v>
      </c>
      <c r="Y1140" s="642" t="s">
        <v>125</v>
      </c>
      <c r="Z1140" s="655">
        <v>1.2871</v>
      </c>
      <c r="AA1140" s="647">
        <f t="shared" si="438"/>
        <v>30.8904</v>
      </c>
      <c r="AC1140" s="658" t="s">
        <v>3224</v>
      </c>
      <c r="AD1140" s="246" t="s">
        <v>8079</v>
      </c>
      <c r="AE1140" s="246" t="s">
        <v>82</v>
      </c>
      <c r="AF1140" s="246"/>
      <c r="AG1140" s="642"/>
      <c r="AH1140" s="642">
        <v>1</v>
      </c>
      <c r="AI1140" s="246">
        <v>24</v>
      </c>
      <c r="AJ1140" s="246">
        <f t="shared" si="433"/>
        <v>0</v>
      </c>
      <c r="AK1140" s="246"/>
      <c r="AL1140" s="246" t="s">
        <v>126</v>
      </c>
      <c r="AM1140" s="246"/>
      <c r="AN1140" s="610">
        <f t="shared" si="439"/>
        <v>48</v>
      </c>
      <c r="AO1140" s="551"/>
      <c r="AP1140" s="551"/>
      <c r="AQ1140" s="554">
        <f>I1140*2</f>
        <v>48</v>
      </c>
      <c r="AR1140" s="650"/>
      <c r="AS1140" s="551"/>
      <c r="AT1140" s="551"/>
      <c r="AU1140" s="554">
        <f t="shared" si="440"/>
        <v>48</v>
      </c>
      <c r="AV1140" s="551"/>
      <c r="AW1140" s="650"/>
      <c r="AX1140" s="551"/>
      <c r="AY1140" s="551"/>
      <c r="AZ1140" s="551"/>
      <c r="BA1140" s="551"/>
      <c r="BB1140" s="249">
        <f t="shared" si="441"/>
        <v>2</v>
      </c>
      <c r="BC1140" s="651"/>
      <c r="BD1140" s="551"/>
      <c r="BE1140" s="551"/>
      <c r="BF1140" s="551"/>
      <c r="BH1140" s="551"/>
      <c r="BI1140" s="551"/>
      <c r="BJ1140" s="551"/>
      <c r="BK1140" s="551"/>
      <c r="BL1140" s="551"/>
      <c r="BM1140" s="551"/>
      <c r="BN1140" s="551"/>
      <c r="BO1140" s="551"/>
      <c r="BP1140" s="551"/>
      <c r="BQ1140" s="551"/>
      <c r="BR1140" s="551"/>
      <c r="BS1140" s="551"/>
      <c r="BT1140" s="551"/>
      <c r="BU1140" s="551"/>
      <c r="BV1140" s="551"/>
      <c r="BW1140" s="551"/>
      <c r="BX1140" s="551"/>
      <c r="BY1140" s="650"/>
      <c r="BZ1140" s="551"/>
      <c r="CA1140" s="652"/>
      <c r="CB1140" s="567"/>
      <c r="CC1140" s="653"/>
      <c r="CD1140" s="650"/>
      <c r="CE1140" s="650"/>
      <c r="CF1140" s="551"/>
      <c r="CG1140" s="551"/>
      <c r="CI1140" s="551"/>
      <c r="CJ1140" s="551"/>
      <c r="CK1140" s="551"/>
      <c r="CL1140" s="551"/>
      <c r="CM1140" s="551"/>
      <c r="CN1140" s="551"/>
      <c r="CO1140" s="551"/>
      <c r="CP1140" s="551"/>
      <c r="CQ1140" s="551"/>
      <c r="CR1140" s="554">
        <f>I1140</f>
        <v>24</v>
      </c>
      <c r="CS1140" s="554">
        <f>I1140</f>
        <v>24</v>
      </c>
      <c r="CT1140" s="554">
        <f>I1140</f>
        <v>24</v>
      </c>
      <c r="CU1140" s="554">
        <f t="shared" si="429"/>
        <v>0</v>
      </c>
      <c r="CV1140" s="551">
        <v>0</v>
      </c>
      <c r="CW1140" s="551">
        <v>0</v>
      </c>
      <c r="CX1140" s="650"/>
      <c r="CY1140" s="650"/>
      <c r="CZ1140" s="650"/>
      <c r="DA1140" s="548"/>
      <c r="DB1140" s="548"/>
      <c r="DC1140" s="548"/>
      <c r="DD1140" s="650"/>
      <c r="DE1140" s="650"/>
      <c r="DF1140" s="650"/>
      <c r="DG1140" s="650"/>
      <c r="DH1140" s="650"/>
    </row>
    <row r="1141" s="548" customFormat="1" ht="31" customHeight="1" spans="1:112">
      <c r="A1141" s="641">
        <v>46037</v>
      </c>
      <c r="B1141" s="609" t="s">
        <v>3815</v>
      </c>
      <c r="C1141" s="246" t="s">
        <v>98</v>
      </c>
      <c r="D1141" s="551">
        <v>4500191560</v>
      </c>
      <c r="E1141" s="246" t="s">
        <v>8846</v>
      </c>
      <c r="F1141" s="551" t="s">
        <v>8847</v>
      </c>
      <c r="G1141" s="246" t="s">
        <v>6787</v>
      </c>
      <c r="H1141" s="610" t="s">
        <v>6126</v>
      </c>
      <c r="I1141" s="704">
        <v>36</v>
      </c>
      <c r="J1141" s="246">
        <v>0</v>
      </c>
      <c r="K1141" s="246">
        <v>12</v>
      </c>
      <c r="L1141" s="644">
        <f t="shared" si="437"/>
        <v>3</v>
      </c>
      <c r="M1141" s="645">
        <v>46101</v>
      </c>
      <c r="N1141" s="645">
        <v>46097</v>
      </c>
      <c r="O1141" s="246"/>
      <c r="P1141" s="643" t="s">
        <v>113</v>
      </c>
      <c r="Q1141" s="246"/>
      <c r="R1141" s="646">
        <v>46037</v>
      </c>
      <c r="S1141" s="646" t="s">
        <v>104</v>
      </c>
      <c r="T1141" s="646" t="s">
        <v>8841</v>
      </c>
      <c r="U1141" s="646"/>
      <c r="V1141" s="646" t="s">
        <v>8842</v>
      </c>
      <c r="W1141" s="615"/>
      <c r="X1141" s="642" t="s">
        <v>8843</v>
      </c>
      <c r="Y1141" s="642" t="s">
        <v>125</v>
      </c>
      <c r="Z1141" s="655">
        <v>1.2869</v>
      </c>
      <c r="AA1141" s="647">
        <f t="shared" si="438"/>
        <v>46.3284</v>
      </c>
      <c r="AC1141" s="658" t="s">
        <v>3231</v>
      </c>
      <c r="AD1141" s="246" t="s">
        <v>8079</v>
      </c>
      <c r="AE1141" s="246" t="s">
        <v>82</v>
      </c>
      <c r="AF1141" s="246"/>
      <c r="AG1141" s="642"/>
      <c r="AH1141" s="642">
        <v>1</v>
      </c>
      <c r="AI1141" s="246">
        <v>36</v>
      </c>
      <c r="AJ1141" s="246">
        <f t="shared" si="433"/>
        <v>0</v>
      </c>
      <c r="AK1141" s="246"/>
      <c r="AL1141" s="246" t="s">
        <v>126</v>
      </c>
      <c r="AM1141" s="246"/>
      <c r="AN1141" s="610">
        <f t="shared" si="439"/>
        <v>72</v>
      </c>
      <c r="AO1141" s="551"/>
      <c r="AP1141" s="551"/>
      <c r="AQ1141" s="554">
        <f>I1141*2</f>
        <v>72</v>
      </c>
      <c r="AR1141" s="650"/>
      <c r="AS1141" s="551"/>
      <c r="AT1141" s="551"/>
      <c r="AU1141" s="554">
        <f t="shared" si="440"/>
        <v>72</v>
      </c>
      <c r="AV1141" s="551"/>
      <c r="AW1141" s="650"/>
      <c r="AX1141" s="551"/>
      <c r="AY1141" s="551"/>
      <c r="AZ1141" s="551"/>
      <c r="BA1141" s="551"/>
      <c r="BB1141" s="249">
        <f t="shared" si="441"/>
        <v>3</v>
      </c>
      <c r="BC1141" s="651"/>
      <c r="BD1141" s="551"/>
      <c r="BE1141" s="551"/>
      <c r="BF1141" s="551"/>
      <c r="BH1141" s="551"/>
      <c r="BI1141" s="551"/>
      <c r="BJ1141" s="551"/>
      <c r="BK1141" s="551"/>
      <c r="BL1141" s="551"/>
      <c r="BM1141" s="551"/>
      <c r="BN1141" s="551"/>
      <c r="BO1141" s="551"/>
      <c r="BP1141" s="551"/>
      <c r="BQ1141" s="551"/>
      <c r="BR1141" s="551"/>
      <c r="BS1141" s="551"/>
      <c r="BT1141" s="551"/>
      <c r="BU1141" s="551"/>
      <c r="BV1141" s="551"/>
      <c r="BW1141" s="551"/>
      <c r="BX1141" s="551"/>
      <c r="BY1141" s="650"/>
      <c r="BZ1141" s="551"/>
      <c r="CA1141" s="652"/>
      <c r="CB1141" s="567"/>
      <c r="CC1141" s="653"/>
      <c r="CD1141" s="650"/>
      <c r="CE1141" s="650"/>
      <c r="CF1141" s="551"/>
      <c r="CG1141" s="551"/>
      <c r="CI1141" s="551"/>
      <c r="CJ1141" s="551"/>
      <c r="CK1141" s="551"/>
      <c r="CL1141" s="551"/>
      <c r="CM1141" s="551"/>
      <c r="CN1141" s="551"/>
      <c r="CO1141" s="551"/>
      <c r="CP1141" s="551"/>
      <c r="CQ1141" s="551"/>
      <c r="CR1141" s="554">
        <f>I1141</f>
        <v>36</v>
      </c>
      <c r="CS1141" s="554">
        <f>I1141</f>
        <v>36</v>
      </c>
      <c r="CT1141" s="554">
        <f>I1141</f>
        <v>36</v>
      </c>
      <c r="CU1141" s="554">
        <f t="shared" si="429"/>
        <v>0</v>
      </c>
      <c r="CV1141" s="551">
        <v>0</v>
      </c>
      <c r="CW1141" s="551">
        <v>0</v>
      </c>
      <c r="CX1141" s="650"/>
      <c r="CY1141" s="650"/>
      <c r="CZ1141" s="650"/>
      <c r="DA1141" s="548"/>
      <c r="DB1141" s="548"/>
      <c r="DC1141" s="548"/>
      <c r="DD1141" s="650"/>
      <c r="DE1141" s="650"/>
      <c r="DF1141" s="650"/>
      <c r="DG1141" s="650"/>
      <c r="DH1141" s="650"/>
    </row>
    <row r="1142" s="548" customFormat="1" ht="31" customHeight="1" spans="1:112">
      <c r="A1142" s="641">
        <v>46037</v>
      </c>
      <c r="B1142" s="609" t="s">
        <v>3815</v>
      </c>
      <c r="C1142" s="246" t="s">
        <v>98</v>
      </c>
      <c r="D1142" s="551">
        <v>4500191531</v>
      </c>
      <c r="E1142" s="246" t="s">
        <v>8848</v>
      </c>
      <c r="F1142" s="551" t="s">
        <v>8849</v>
      </c>
      <c r="G1142" s="246" t="s">
        <v>6787</v>
      </c>
      <c r="H1142" s="610" t="s">
        <v>6126</v>
      </c>
      <c r="I1142" s="704">
        <v>96</v>
      </c>
      <c r="J1142" s="246">
        <v>0</v>
      </c>
      <c r="K1142" s="246">
        <v>12</v>
      </c>
      <c r="L1142" s="644">
        <f t="shared" si="437"/>
        <v>8</v>
      </c>
      <c r="M1142" s="645">
        <v>46101</v>
      </c>
      <c r="N1142" s="645">
        <v>46097</v>
      </c>
      <c r="O1142" s="246"/>
      <c r="P1142" s="643" t="s">
        <v>113</v>
      </c>
      <c r="Q1142" s="246"/>
      <c r="R1142" s="646">
        <v>46037</v>
      </c>
      <c r="S1142" s="646" t="s">
        <v>104</v>
      </c>
      <c r="T1142" s="646" t="s">
        <v>8841</v>
      </c>
      <c r="U1142" s="646"/>
      <c r="V1142" s="646" t="s">
        <v>8842</v>
      </c>
      <c r="W1142" s="615"/>
      <c r="X1142" s="642" t="s">
        <v>8850</v>
      </c>
      <c r="Y1142" s="642" t="s">
        <v>125</v>
      </c>
      <c r="Z1142" s="655">
        <v>1.2871</v>
      </c>
      <c r="AA1142" s="647">
        <f t="shared" si="438"/>
        <v>123.5616</v>
      </c>
      <c r="AC1142" s="658" t="s">
        <v>3240</v>
      </c>
      <c r="AD1142" s="246" t="s">
        <v>8079</v>
      </c>
      <c r="AE1142" s="246" t="s">
        <v>82</v>
      </c>
      <c r="AF1142" s="246"/>
      <c r="AG1142" s="642"/>
      <c r="AH1142" s="642">
        <v>1</v>
      </c>
      <c r="AI1142" s="246">
        <v>96</v>
      </c>
      <c r="AJ1142" s="246">
        <f t="shared" si="433"/>
        <v>0</v>
      </c>
      <c r="AK1142" s="246"/>
      <c r="AL1142" s="246" t="s">
        <v>126</v>
      </c>
      <c r="AM1142" s="246"/>
      <c r="AN1142" s="610">
        <f t="shared" si="439"/>
        <v>192</v>
      </c>
      <c r="AO1142" s="551"/>
      <c r="AP1142" s="551"/>
      <c r="AQ1142" s="554">
        <f>I1142*2</f>
        <v>192</v>
      </c>
      <c r="AR1142" s="650"/>
      <c r="AS1142" s="551"/>
      <c r="AT1142" s="551"/>
      <c r="AU1142" s="554">
        <f t="shared" si="440"/>
        <v>192</v>
      </c>
      <c r="AV1142" s="551"/>
      <c r="AW1142" s="650"/>
      <c r="AX1142" s="551"/>
      <c r="AY1142" s="551"/>
      <c r="AZ1142" s="551"/>
      <c r="BA1142" s="551"/>
      <c r="BB1142" s="249">
        <f t="shared" si="441"/>
        <v>8</v>
      </c>
      <c r="BC1142" s="651"/>
      <c r="BD1142" s="551"/>
      <c r="BE1142" s="551"/>
      <c r="BF1142" s="551"/>
      <c r="BH1142" s="551"/>
      <c r="BI1142" s="551"/>
      <c r="BJ1142" s="551"/>
      <c r="BK1142" s="551"/>
      <c r="BL1142" s="551"/>
      <c r="BM1142" s="551"/>
      <c r="BN1142" s="551"/>
      <c r="BO1142" s="551"/>
      <c r="BP1142" s="551"/>
      <c r="BQ1142" s="551"/>
      <c r="BR1142" s="551"/>
      <c r="BS1142" s="551"/>
      <c r="BT1142" s="551"/>
      <c r="BU1142" s="551"/>
      <c r="BV1142" s="551"/>
      <c r="BW1142" s="551"/>
      <c r="BX1142" s="551"/>
      <c r="BY1142" s="650"/>
      <c r="BZ1142" s="551"/>
      <c r="CA1142" s="652"/>
      <c r="CB1142" s="567"/>
      <c r="CC1142" s="653"/>
      <c r="CD1142" s="650"/>
      <c r="CE1142" s="650"/>
      <c r="CF1142" s="551"/>
      <c r="CG1142" s="551"/>
      <c r="CI1142" s="551"/>
      <c r="CJ1142" s="551"/>
      <c r="CK1142" s="551"/>
      <c r="CL1142" s="551"/>
      <c r="CM1142" s="551"/>
      <c r="CN1142" s="551"/>
      <c r="CO1142" s="551"/>
      <c r="CP1142" s="551"/>
      <c r="CQ1142" s="551"/>
      <c r="CR1142" s="554">
        <f>I1142</f>
        <v>96</v>
      </c>
      <c r="CS1142" s="554">
        <f>I1142</f>
        <v>96</v>
      </c>
      <c r="CT1142" s="554">
        <f>I1142</f>
        <v>96</v>
      </c>
      <c r="CU1142" s="554">
        <f t="shared" si="429"/>
        <v>0</v>
      </c>
      <c r="CV1142" s="551">
        <v>0</v>
      </c>
      <c r="CW1142" s="551">
        <v>0</v>
      </c>
      <c r="CX1142" s="650"/>
      <c r="CY1142" s="650"/>
      <c r="CZ1142" s="650"/>
      <c r="DA1142" s="548"/>
      <c r="DB1142" s="548"/>
      <c r="DC1142" s="548"/>
      <c r="DD1142" s="650"/>
      <c r="DE1142" s="650"/>
      <c r="DF1142" s="650"/>
      <c r="DG1142" s="650"/>
      <c r="DH1142" s="650"/>
    </row>
    <row r="1143" s="548" customFormat="1" ht="31" customHeight="1" spans="1:112">
      <c r="A1143" s="641">
        <v>46043</v>
      </c>
      <c r="B1143" s="642" t="s">
        <v>4321</v>
      </c>
      <c r="C1143" s="246" t="s">
        <v>154</v>
      </c>
      <c r="D1143" s="551">
        <v>4500191903</v>
      </c>
      <c r="E1143" s="643">
        <v>220100002452</v>
      </c>
      <c r="F1143" s="551" t="s">
        <v>8851</v>
      </c>
      <c r="G1143" s="246" t="s">
        <v>6025</v>
      </c>
      <c r="H1143" s="246" t="s">
        <v>6026</v>
      </c>
      <c r="I1143" s="704">
        <v>504</v>
      </c>
      <c r="J1143" s="246">
        <v>0</v>
      </c>
      <c r="K1143" s="246">
        <v>24</v>
      </c>
      <c r="L1143" s="644">
        <f t="shared" si="437"/>
        <v>21</v>
      </c>
      <c r="M1143" s="645">
        <v>46101</v>
      </c>
      <c r="N1143" s="645">
        <v>46097</v>
      </c>
      <c r="O1143" s="246"/>
      <c r="P1143" s="643" t="s">
        <v>113</v>
      </c>
      <c r="Q1143" s="246"/>
      <c r="R1143" s="646">
        <v>46043</v>
      </c>
      <c r="S1143" s="646" t="s">
        <v>70</v>
      </c>
      <c r="T1143" s="646" t="s">
        <v>8852</v>
      </c>
      <c r="U1143" s="646"/>
      <c r="V1143" s="646" t="s">
        <v>8853</v>
      </c>
      <c r="W1143" s="615"/>
      <c r="X1143" s="642" t="s">
        <v>8854</v>
      </c>
      <c r="Y1143" s="642" t="s">
        <v>167</v>
      </c>
      <c r="Z1143" s="655">
        <v>0.8707</v>
      </c>
      <c r="AA1143" s="647">
        <f t="shared" si="438"/>
        <v>438.8328</v>
      </c>
      <c r="AC1143" s="648"/>
      <c r="AD1143" s="246" t="s">
        <v>6025</v>
      </c>
      <c r="AE1143" s="246" t="s">
        <v>82</v>
      </c>
      <c r="AF1143" s="246"/>
      <c r="AG1143" s="642"/>
      <c r="AH1143" s="642">
        <v>1</v>
      </c>
      <c r="AI1143" s="246">
        <v>504</v>
      </c>
      <c r="AJ1143" s="246">
        <f t="shared" si="433"/>
        <v>0</v>
      </c>
      <c r="AK1143" s="246"/>
      <c r="AL1143" s="246" t="s">
        <v>2368</v>
      </c>
      <c r="AM1143" s="246"/>
      <c r="AN1143" s="246"/>
      <c r="AO1143" s="551">
        <f>I1143</f>
        <v>504</v>
      </c>
      <c r="AP1143" s="551"/>
      <c r="AQ1143" s="551"/>
      <c r="AR1143" s="650"/>
      <c r="AS1143" s="551"/>
      <c r="AT1143" s="554">
        <f>I1143</f>
        <v>504</v>
      </c>
      <c r="AU1143" s="551"/>
      <c r="AV1143" s="554">
        <f>I1143</f>
        <v>504</v>
      </c>
      <c r="AW1143" s="650"/>
      <c r="AX1143" s="551"/>
      <c r="AY1143" s="551"/>
      <c r="AZ1143" s="551"/>
      <c r="BA1143" s="551"/>
      <c r="BB1143" s="620">
        <f>I1143/24</f>
        <v>21</v>
      </c>
      <c r="BC1143" s="651"/>
      <c r="BD1143" s="551"/>
      <c r="BE1143" s="551"/>
      <c r="BF1143" s="551"/>
      <c r="BH1143" s="551"/>
      <c r="BI1143" s="551"/>
      <c r="BJ1143" s="551"/>
      <c r="BK1143" s="551"/>
      <c r="BL1143" s="551"/>
      <c r="BM1143" s="551"/>
      <c r="BN1143" s="551"/>
      <c r="BO1143" s="551"/>
      <c r="BP1143" s="551"/>
      <c r="BQ1143" s="551"/>
      <c r="BR1143" s="551"/>
      <c r="BS1143" s="551"/>
      <c r="BT1143" s="551"/>
      <c r="BU1143" s="551"/>
      <c r="BV1143" s="551"/>
      <c r="BW1143" s="551"/>
      <c r="BX1143" s="551"/>
      <c r="BY1143" s="650"/>
      <c r="BZ1143" s="551"/>
      <c r="CA1143" s="652"/>
      <c r="CB1143" s="567"/>
      <c r="CC1143" s="653"/>
      <c r="CD1143" s="650"/>
      <c r="CE1143" s="650"/>
      <c r="CF1143" s="551"/>
      <c r="CG1143" s="551"/>
      <c r="CI1143" s="551"/>
      <c r="CJ1143" s="551"/>
      <c r="CK1143" s="551"/>
      <c r="CL1143" s="551"/>
      <c r="CM1143" s="551"/>
      <c r="CN1143" s="551"/>
      <c r="CO1143" s="551"/>
      <c r="CP1143" s="551"/>
      <c r="CQ1143" s="551"/>
      <c r="CR1143" s="551"/>
      <c r="CS1143" s="551"/>
      <c r="CT1143" s="551"/>
      <c r="CU1143" s="554">
        <f t="shared" si="429"/>
        <v>0</v>
      </c>
      <c r="CV1143" s="551">
        <f t="shared" ref="CV1143:CV1152" si="442">CK1143+CL1143+CM1143+CN1143+CO1143+CQ1143+CP1143</f>
        <v>0</v>
      </c>
      <c r="CW1143" s="551">
        <f>CI1143+CJ1143</f>
        <v>0</v>
      </c>
      <c r="CX1143" s="650"/>
      <c r="CY1143" s="650"/>
      <c r="CZ1143" s="650"/>
      <c r="DA1143" s="548"/>
      <c r="DB1143" s="548"/>
      <c r="DC1143" s="548"/>
      <c r="DD1143" s="650"/>
      <c r="DE1143" s="650"/>
      <c r="DF1143" s="650"/>
      <c r="DG1143" s="650"/>
      <c r="DH1143" s="650"/>
    </row>
    <row r="1144" s="548" customFormat="1" ht="31" customHeight="1" spans="1:112">
      <c r="A1144" s="641">
        <v>46045</v>
      </c>
      <c r="B1144" s="609" t="s">
        <v>246</v>
      </c>
      <c r="C1144" s="246" t="s">
        <v>98</v>
      </c>
      <c r="D1144" s="551">
        <v>4500192218</v>
      </c>
      <c r="E1144" s="246" t="s">
        <v>8855</v>
      </c>
      <c r="F1144" s="551" t="s">
        <v>8856</v>
      </c>
      <c r="G1144" s="246" t="s">
        <v>6084</v>
      </c>
      <c r="H1144" s="246" t="s">
        <v>6069</v>
      </c>
      <c r="I1144" s="704">
        <v>50000</v>
      </c>
      <c r="J1144" s="246">
        <v>0</v>
      </c>
      <c r="K1144" s="246">
        <v>25</v>
      </c>
      <c r="L1144" s="644">
        <f t="shared" si="437"/>
        <v>2000</v>
      </c>
      <c r="M1144" s="645">
        <v>46101</v>
      </c>
      <c r="N1144" s="645">
        <v>46097</v>
      </c>
      <c r="O1144" s="246"/>
      <c r="P1144" s="643" t="s">
        <v>113</v>
      </c>
      <c r="Q1144" s="246"/>
      <c r="R1144" s="646">
        <v>46049</v>
      </c>
      <c r="S1144" s="646" t="s">
        <v>104</v>
      </c>
      <c r="T1144" s="646" t="s">
        <v>8857</v>
      </c>
      <c r="U1144" s="646"/>
      <c r="V1144" s="646"/>
      <c r="W1144" s="615"/>
      <c r="X1144" s="628" t="s">
        <v>8858</v>
      </c>
      <c r="Y1144" s="642" t="s">
        <v>252</v>
      </c>
      <c r="Z1144" s="655">
        <v>0.5455</v>
      </c>
      <c r="AA1144" s="647">
        <f t="shared" si="438"/>
        <v>27275</v>
      </c>
      <c r="AC1144" s="658" t="s">
        <v>8859</v>
      </c>
      <c r="AD1144" s="246" t="s">
        <v>6084</v>
      </c>
      <c r="AE1144" s="246" t="s">
        <v>82</v>
      </c>
      <c r="AF1144" s="246"/>
      <c r="AG1144" s="642"/>
      <c r="AH1144" s="642">
        <v>1</v>
      </c>
      <c r="AI1144" s="246">
        <f>38275+11725</f>
        <v>50000</v>
      </c>
      <c r="AJ1144" s="246">
        <f t="shared" si="433"/>
        <v>0</v>
      </c>
      <c r="AK1144" s="246"/>
      <c r="AL1144" s="246" t="s">
        <v>2368</v>
      </c>
      <c r="AM1144" s="246"/>
      <c r="AN1144" s="246">
        <f>I1144</f>
        <v>50000</v>
      </c>
      <c r="AO1144" s="551"/>
      <c r="AP1144" s="554">
        <f>I1144</f>
        <v>50000</v>
      </c>
      <c r="AQ1144" s="551"/>
      <c r="AR1144" s="650"/>
      <c r="AS1144" s="551"/>
      <c r="AT1144" s="551"/>
      <c r="AU1144" s="554">
        <f>I1144</f>
        <v>50000</v>
      </c>
      <c r="AV1144" s="551"/>
      <c r="AW1144" s="650"/>
      <c r="AX1144" s="551"/>
      <c r="AY1144" s="551"/>
      <c r="AZ1144" s="551"/>
      <c r="BA1144" s="551"/>
      <c r="BB1144" s="249">
        <f>I1144/24</f>
        <v>2083.33333333333</v>
      </c>
      <c r="BC1144" s="651"/>
      <c r="BD1144" s="551"/>
      <c r="BE1144" s="551"/>
      <c r="BF1144" s="551"/>
      <c r="BH1144" s="551"/>
      <c r="BI1144" s="551"/>
      <c r="BJ1144" s="551"/>
      <c r="BK1144" s="551"/>
      <c r="BL1144" s="551"/>
      <c r="BM1144" s="551"/>
      <c r="BN1144" s="551">
        <f>I1144/25</f>
        <v>2000</v>
      </c>
      <c r="BO1144" s="551"/>
      <c r="BP1144" s="551"/>
      <c r="BQ1144" s="551"/>
      <c r="BR1144" s="551"/>
      <c r="BS1144" s="551"/>
      <c r="BT1144" s="551"/>
      <c r="BU1144" s="551"/>
      <c r="BV1144" s="551"/>
      <c r="BW1144" s="551"/>
      <c r="BX1144" s="551"/>
      <c r="BY1144" s="650"/>
      <c r="BZ1144" s="551"/>
      <c r="CA1144" s="652"/>
      <c r="CB1144" s="567"/>
      <c r="CC1144" s="653"/>
      <c r="CD1144" s="650"/>
      <c r="CE1144" s="650"/>
      <c r="CF1144" s="551"/>
      <c r="CG1144" s="551"/>
      <c r="CI1144" s="551"/>
      <c r="CJ1144" s="551"/>
      <c r="CK1144" s="551"/>
      <c r="CL1144" s="551"/>
      <c r="CM1144" s="551"/>
      <c r="CN1144" s="551"/>
      <c r="CO1144" s="551"/>
      <c r="CP1144" s="551"/>
      <c r="CQ1144" s="551"/>
      <c r="CR1144" s="551"/>
      <c r="CS1144" s="551"/>
      <c r="CT1144" s="551"/>
      <c r="CU1144" s="554">
        <f t="shared" si="429"/>
        <v>2000</v>
      </c>
      <c r="CV1144" s="551">
        <f t="shared" si="442"/>
        <v>0</v>
      </c>
      <c r="CW1144" s="551">
        <f>CI1144+CJ1144</f>
        <v>0</v>
      </c>
      <c r="CX1144" s="650"/>
      <c r="CY1144" s="650"/>
      <c r="CZ1144" s="650"/>
      <c r="DA1144" s="548"/>
      <c r="DB1144" s="548"/>
      <c r="DC1144" s="548"/>
      <c r="DD1144" s="650"/>
      <c r="DE1144" s="650"/>
      <c r="DF1144" s="650"/>
      <c r="DG1144" s="650"/>
      <c r="DH1144" s="650"/>
    </row>
    <row r="1145" s="548" customFormat="1" ht="31" customHeight="1" spans="1:112">
      <c r="A1145" s="641">
        <v>46044</v>
      </c>
      <c r="B1145" s="642" t="s">
        <v>1906</v>
      </c>
      <c r="C1145" s="246" t="s">
        <v>154</v>
      </c>
      <c r="D1145" s="551">
        <v>4500192064</v>
      </c>
      <c r="E1145" s="246">
        <v>5200008728</v>
      </c>
      <c r="F1145" s="551" t="s">
        <v>8860</v>
      </c>
      <c r="G1145" s="246" t="s">
        <v>6120</v>
      </c>
      <c r="H1145" s="246" t="s">
        <v>6094</v>
      </c>
      <c r="I1145" s="704">
        <v>4810</v>
      </c>
      <c r="J1145" s="246">
        <v>0</v>
      </c>
      <c r="K1145" s="246">
        <v>13</v>
      </c>
      <c r="L1145" s="644">
        <f t="shared" si="437"/>
        <v>370</v>
      </c>
      <c r="M1145" s="645">
        <v>46104</v>
      </c>
      <c r="N1145" s="645">
        <v>46100</v>
      </c>
      <c r="O1145" s="246"/>
      <c r="P1145" s="643" t="s">
        <v>113</v>
      </c>
      <c r="Q1145" s="246"/>
      <c r="R1145" s="646" t="s">
        <v>454</v>
      </c>
      <c r="S1145" s="646" t="s">
        <v>70</v>
      </c>
      <c r="T1145" s="646" t="s">
        <v>6121</v>
      </c>
      <c r="U1145" s="646"/>
      <c r="V1145" s="646"/>
      <c r="W1145" s="615"/>
      <c r="X1145" s="642" t="s">
        <v>8861</v>
      </c>
      <c r="Y1145" s="642" t="s">
        <v>1237</v>
      </c>
      <c r="Z1145" s="655">
        <v>0.8947</v>
      </c>
      <c r="AA1145" s="647">
        <f t="shared" si="438"/>
        <v>4303.507</v>
      </c>
      <c r="AC1145" s="648"/>
      <c r="AD1145" s="246" t="s">
        <v>6093</v>
      </c>
      <c r="AE1145" s="246" t="s">
        <v>82</v>
      </c>
      <c r="AF1145" s="246"/>
      <c r="AG1145" s="642"/>
      <c r="AH1145" s="642">
        <v>1</v>
      </c>
      <c r="AI1145" s="246">
        <f>4797+13</f>
        <v>4810</v>
      </c>
      <c r="AJ1145" s="246">
        <f t="shared" si="433"/>
        <v>0</v>
      </c>
      <c r="AK1145" s="246"/>
      <c r="AL1145" s="246" t="s">
        <v>2368</v>
      </c>
      <c r="AM1145" s="246"/>
      <c r="AN1145" s="246"/>
      <c r="AO1145" s="551">
        <f>I1145</f>
        <v>4810</v>
      </c>
      <c r="AP1145" s="551"/>
      <c r="AQ1145" s="551"/>
      <c r="AR1145" s="650"/>
      <c r="AS1145" s="551"/>
      <c r="AT1145" s="554">
        <f>I1145</f>
        <v>4810</v>
      </c>
      <c r="AU1145" s="551"/>
      <c r="AV1145" s="554">
        <f>I1145</f>
        <v>4810</v>
      </c>
      <c r="AW1145" s="650"/>
      <c r="AX1145" s="551"/>
      <c r="AY1145" s="551"/>
      <c r="AZ1145" s="551"/>
      <c r="BA1145" s="551"/>
      <c r="BB1145" s="620">
        <f>I1145/24</f>
        <v>200.416666666667</v>
      </c>
      <c r="BC1145" s="651"/>
      <c r="BD1145" s="551"/>
      <c r="BE1145" s="551"/>
      <c r="BF1145" s="551"/>
      <c r="BH1145" s="551"/>
      <c r="BI1145" s="551"/>
      <c r="BJ1145" s="551"/>
      <c r="BK1145" s="551"/>
      <c r="BL1145" s="551"/>
      <c r="BM1145" s="551">
        <f>I1145/13</f>
        <v>370</v>
      </c>
      <c r="BN1145" s="551"/>
      <c r="BO1145" s="551"/>
      <c r="BP1145" s="551"/>
      <c r="BQ1145" s="551"/>
      <c r="BR1145" s="551"/>
      <c r="BS1145" s="551"/>
      <c r="BT1145" s="551"/>
      <c r="BU1145" s="551"/>
      <c r="BV1145" s="551"/>
      <c r="BW1145" s="551"/>
      <c r="BX1145" s="551"/>
      <c r="BY1145" s="650"/>
      <c r="BZ1145" s="551"/>
      <c r="CA1145" s="652"/>
      <c r="CB1145" s="567"/>
      <c r="CC1145" s="653"/>
      <c r="CD1145" s="650"/>
      <c r="CE1145" s="650"/>
      <c r="CF1145" s="551"/>
      <c r="CG1145" s="551"/>
      <c r="CI1145" s="551"/>
      <c r="CJ1145" s="551"/>
      <c r="CK1145" s="551"/>
      <c r="CL1145" s="551"/>
      <c r="CM1145" s="551"/>
      <c r="CN1145" s="551"/>
      <c r="CO1145" s="551"/>
      <c r="CP1145" s="551"/>
      <c r="CQ1145" s="551"/>
      <c r="CR1145" s="551"/>
      <c r="CS1145" s="551"/>
      <c r="CT1145" s="551"/>
      <c r="CU1145" s="554">
        <f t="shared" si="429"/>
        <v>0</v>
      </c>
      <c r="CV1145" s="551">
        <f t="shared" si="442"/>
        <v>0</v>
      </c>
      <c r="CW1145" s="551">
        <f>CI1145+CJ1145</f>
        <v>0</v>
      </c>
      <c r="CX1145" s="650"/>
      <c r="CY1145" s="650"/>
      <c r="CZ1145" s="650"/>
      <c r="DA1145" s="548"/>
      <c r="DB1145" s="548"/>
      <c r="DC1145" s="548"/>
      <c r="DD1145" s="650"/>
      <c r="DE1145" s="650"/>
      <c r="DF1145" s="650"/>
      <c r="DG1145" s="650"/>
      <c r="DH1145" s="650"/>
    </row>
    <row r="1146" s="548" customFormat="1" ht="31" customHeight="1" spans="1:112">
      <c r="A1146" s="641">
        <v>46036</v>
      </c>
      <c r="B1146" s="642" t="s">
        <v>1409</v>
      </c>
      <c r="C1146" s="246" t="s">
        <v>524</v>
      </c>
      <c r="D1146" s="551">
        <v>4500191234</v>
      </c>
      <c r="E1146" s="246"/>
      <c r="F1146" s="551" t="s">
        <v>8862</v>
      </c>
      <c r="G1146" s="246" t="s">
        <v>6365</v>
      </c>
      <c r="H1146" s="246" t="s">
        <v>6126</v>
      </c>
      <c r="I1146" s="704">
        <v>5004</v>
      </c>
      <c r="J1146" s="246">
        <v>0</v>
      </c>
      <c r="K1146" s="246">
        <v>12</v>
      </c>
      <c r="L1146" s="644">
        <f t="shared" si="437"/>
        <v>417</v>
      </c>
      <c r="M1146" s="645">
        <v>46097</v>
      </c>
      <c r="N1146" s="645">
        <v>46093</v>
      </c>
      <c r="O1146" s="246"/>
      <c r="P1146" s="643" t="s">
        <v>113</v>
      </c>
      <c r="Q1146" s="246"/>
      <c r="R1146" s="646">
        <v>46038</v>
      </c>
      <c r="S1146" s="646" t="s">
        <v>70</v>
      </c>
      <c r="T1146" s="646" t="s">
        <v>8863</v>
      </c>
      <c r="U1146" s="646"/>
      <c r="V1146" s="646"/>
      <c r="W1146" s="615"/>
      <c r="X1146" s="628" t="s">
        <v>8864</v>
      </c>
      <c r="Y1146" s="642" t="s">
        <v>340</v>
      </c>
      <c r="Z1146" s="655">
        <v>2.1422</v>
      </c>
      <c r="AA1146" s="647">
        <f t="shared" si="438"/>
        <v>10719.5688</v>
      </c>
      <c r="AC1146" s="648"/>
      <c r="AD1146" s="246" t="s">
        <v>6368</v>
      </c>
      <c r="AE1146" s="246" t="s">
        <v>82</v>
      </c>
      <c r="AF1146" s="246"/>
      <c r="AG1146" s="642"/>
      <c r="AH1146" s="642">
        <v>1</v>
      </c>
      <c r="AI1146" s="246">
        <v>5004</v>
      </c>
      <c r="AJ1146" s="246">
        <f t="shared" si="433"/>
        <v>0</v>
      </c>
      <c r="AK1146" s="246"/>
      <c r="AL1146" s="246" t="s">
        <v>2368</v>
      </c>
      <c r="AM1146" s="246"/>
      <c r="AN1146" s="246"/>
      <c r="AO1146" s="554">
        <f>I1146*2</f>
        <v>10008</v>
      </c>
      <c r="AP1146" s="551"/>
      <c r="AQ1146" s="554">
        <f>I1146*2</f>
        <v>10008</v>
      </c>
      <c r="AR1146" s="650"/>
      <c r="AS1146" s="551"/>
      <c r="AT1146" s="551"/>
      <c r="AU1146" s="551"/>
      <c r="AV1146" s="554">
        <f>I1146*2</f>
        <v>10008</v>
      </c>
      <c r="AW1146" s="650"/>
      <c r="AX1146" s="551"/>
      <c r="AY1146" s="551"/>
      <c r="AZ1146" s="551"/>
      <c r="BA1146" s="551"/>
      <c r="BB1146" s="249">
        <f>I1146/24*2</f>
        <v>417</v>
      </c>
      <c r="BC1146" s="651"/>
      <c r="BD1146" s="551"/>
      <c r="BE1146" s="551"/>
      <c r="BF1146" s="551"/>
      <c r="BH1146" s="551"/>
      <c r="BI1146" s="551"/>
      <c r="BJ1146" s="551"/>
      <c r="BK1146" s="551"/>
      <c r="BL1146" s="551"/>
      <c r="BM1146" s="551"/>
      <c r="BN1146" s="551"/>
      <c r="BO1146" s="551"/>
      <c r="BP1146" s="551"/>
      <c r="BQ1146" s="551"/>
      <c r="BR1146" s="551"/>
      <c r="BS1146" s="551"/>
      <c r="BT1146" s="551"/>
      <c r="BU1146" s="551"/>
      <c r="BV1146" s="551"/>
      <c r="BW1146" s="551"/>
      <c r="BX1146" s="551"/>
      <c r="BY1146" s="650"/>
      <c r="BZ1146" s="551"/>
      <c r="CA1146" s="652"/>
      <c r="CB1146" s="567"/>
      <c r="CC1146" s="653"/>
      <c r="CD1146" s="650"/>
      <c r="CE1146" s="650"/>
      <c r="CF1146" s="551"/>
      <c r="CG1146" s="551"/>
      <c r="CI1146" s="551"/>
      <c r="CJ1146" s="551"/>
      <c r="CK1146" s="551"/>
      <c r="CL1146" s="551"/>
      <c r="CM1146" s="551"/>
      <c r="CN1146" s="551"/>
      <c r="CO1146" s="551"/>
      <c r="CP1146" s="551"/>
      <c r="CQ1146" s="551"/>
      <c r="CR1146" s="554">
        <f>I1146</f>
        <v>5004</v>
      </c>
      <c r="CS1146" s="554">
        <f>I1146</f>
        <v>5004</v>
      </c>
      <c r="CT1146" s="554">
        <f>I1146</f>
        <v>5004</v>
      </c>
      <c r="CU1146" s="554">
        <f t="shared" si="429"/>
        <v>0</v>
      </c>
      <c r="CV1146" s="551">
        <f t="shared" si="442"/>
        <v>0</v>
      </c>
      <c r="CW1146" s="551">
        <f>CI1146+CJ1146</f>
        <v>0</v>
      </c>
      <c r="CX1146" s="650"/>
      <c r="CY1146" s="650"/>
      <c r="CZ1146" s="650"/>
      <c r="DA1146" s="548"/>
      <c r="DB1146" s="548"/>
      <c r="DC1146" s="548"/>
      <c r="DD1146" s="650"/>
      <c r="DE1146" s="650"/>
      <c r="DF1146" s="650"/>
      <c r="DG1146" s="650"/>
      <c r="DH1146" s="650"/>
    </row>
    <row r="1147" s="548" customFormat="1" ht="31" customHeight="1" spans="1:112">
      <c r="A1147" s="641">
        <v>46037</v>
      </c>
      <c r="B1147" s="642" t="s">
        <v>3225</v>
      </c>
      <c r="C1147" s="246" t="s">
        <v>348</v>
      </c>
      <c r="D1147" s="551">
        <v>4500191577</v>
      </c>
      <c r="E1147" s="246"/>
      <c r="F1147" s="551" t="s">
        <v>8865</v>
      </c>
      <c r="G1147" s="246" t="s">
        <v>6276</v>
      </c>
      <c r="H1147" s="246" t="s">
        <v>6277</v>
      </c>
      <c r="I1147" s="704">
        <v>1950</v>
      </c>
      <c r="J1147" s="246">
        <v>0</v>
      </c>
      <c r="K1147" s="246">
        <v>50</v>
      </c>
      <c r="L1147" s="644">
        <f t="shared" si="437"/>
        <v>39</v>
      </c>
      <c r="M1147" s="645">
        <v>46101</v>
      </c>
      <c r="N1147" s="645">
        <v>46097</v>
      </c>
      <c r="O1147" s="246"/>
      <c r="P1147" s="643" t="s">
        <v>113</v>
      </c>
      <c r="Q1147" s="246"/>
      <c r="R1147" s="646" t="s">
        <v>454</v>
      </c>
      <c r="S1147" s="646" t="s">
        <v>70</v>
      </c>
      <c r="T1147" s="646" t="s">
        <v>3209</v>
      </c>
      <c r="U1147" s="646"/>
      <c r="V1147" s="646"/>
      <c r="W1147" s="615"/>
      <c r="X1147" s="642" t="s">
        <v>8866</v>
      </c>
      <c r="Y1147" s="642" t="s">
        <v>529</v>
      </c>
      <c r="Z1147" s="655">
        <v>0.9521</v>
      </c>
      <c r="AA1147" s="647">
        <f t="shared" si="438"/>
        <v>1856.595</v>
      </c>
      <c r="AC1147" s="648"/>
      <c r="AD1147" s="246" t="s">
        <v>6276</v>
      </c>
      <c r="AE1147" s="246" t="s">
        <v>82</v>
      </c>
      <c r="AF1147" s="246"/>
      <c r="AG1147" s="642"/>
      <c r="AH1147" s="642">
        <v>1</v>
      </c>
      <c r="AI1147" s="246">
        <v>1950</v>
      </c>
      <c r="AJ1147" s="246">
        <f t="shared" si="433"/>
        <v>0</v>
      </c>
      <c r="AK1147" s="246"/>
      <c r="AL1147" s="246" t="s">
        <v>2368</v>
      </c>
      <c r="AM1147" s="246"/>
      <c r="AN1147" s="246"/>
      <c r="AO1147" s="551">
        <f>I1147</f>
        <v>1950</v>
      </c>
      <c r="AP1147" s="551"/>
      <c r="AQ1147" s="551"/>
      <c r="AR1147" s="650"/>
      <c r="AS1147" s="551"/>
      <c r="AT1147" s="554">
        <f>I1147</f>
        <v>1950</v>
      </c>
      <c r="AU1147" s="551"/>
      <c r="AV1147" s="551"/>
      <c r="AW1147" s="650"/>
      <c r="AX1147" s="551"/>
      <c r="AY1147" s="551"/>
      <c r="AZ1147" s="551"/>
      <c r="BA1147" s="551"/>
      <c r="BB1147" s="249">
        <f>I1147/24</f>
        <v>81.25</v>
      </c>
      <c r="BC1147" s="651"/>
      <c r="BD1147" s="551"/>
      <c r="BE1147" s="551"/>
      <c r="BF1147" s="551"/>
      <c r="BH1147" s="551"/>
      <c r="BI1147" s="551"/>
      <c r="BJ1147" s="551"/>
      <c r="BK1147" s="551"/>
      <c r="BL1147" s="551"/>
      <c r="BM1147" s="551"/>
      <c r="BN1147" s="551"/>
      <c r="BO1147" s="551"/>
      <c r="BP1147" s="551"/>
      <c r="BQ1147" s="551"/>
      <c r="BR1147" s="551"/>
      <c r="BS1147" s="551"/>
      <c r="BT1147" s="551"/>
      <c r="BU1147" s="551"/>
      <c r="BV1147" s="551"/>
      <c r="BW1147" s="551">
        <f>I1147</f>
        <v>1950</v>
      </c>
      <c r="BX1147" s="551">
        <f>I1147/25</f>
        <v>78</v>
      </c>
      <c r="BY1147" s="650"/>
      <c r="BZ1147" s="551"/>
      <c r="CA1147" s="652"/>
      <c r="CB1147" s="567"/>
      <c r="CC1147" s="653"/>
      <c r="CD1147" s="650"/>
      <c r="CE1147" s="650"/>
      <c r="CF1147" s="551"/>
      <c r="CG1147" s="551"/>
      <c r="CI1147" s="551"/>
      <c r="CJ1147" s="551"/>
      <c r="CK1147" s="551"/>
      <c r="CL1147" s="551"/>
      <c r="CM1147" s="551"/>
      <c r="CN1147" s="551"/>
      <c r="CO1147" s="551"/>
      <c r="CP1147" s="551"/>
      <c r="CQ1147" s="551"/>
      <c r="CR1147" s="551"/>
      <c r="CS1147" s="551"/>
      <c r="CT1147" s="551"/>
      <c r="CU1147" s="554">
        <f t="shared" si="429"/>
        <v>78</v>
      </c>
      <c r="CV1147" s="551">
        <f t="shared" si="442"/>
        <v>0</v>
      </c>
      <c r="CW1147" s="551">
        <f t="shared" ref="CW1147:CW1152" si="443">CI1147+CJ1147</f>
        <v>0</v>
      </c>
      <c r="CX1147" s="650"/>
      <c r="CY1147" s="650"/>
      <c r="CZ1147" s="650"/>
      <c r="DA1147" s="548"/>
      <c r="DB1147" s="548"/>
      <c r="DC1147" s="548"/>
      <c r="DD1147" s="650"/>
      <c r="DE1147" s="650"/>
      <c r="DF1147" s="650"/>
      <c r="DG1147" s="650"/>
      <c r="DH1147" s="650"/>
    </row>
    <row r="1148" s="548" customFormat="1" ht="31" customHeight="1" spans="1:112">
      <c r="A1148" s="641">
        <v>46041</v>
      </c>
      <c r="B1148" s="642"/>
      <c r="C1148" s="246"/>
      <c r="D1148" s="551" t="s">
        <v>3241</v>
      </c>
      <c r="E1148" s="246"/>
      <c r="F1148" s="551" t="s">
        <v>3245</v>
      </c>
      <c r="G1148" s="246" t="s">
        <v>6360</v>
      </c>
      <c r="H1148" s="246" t="s">
        <v>477</v>
      </c>
      <c r="I1148" s="704">
        <v>90</v>
      </c>
      <c r="J1148" s="246">
        <v>0</v>
      </c>
      <c r="K1148" s="246">
        <v>6</v>
      </c>
      <c r="L1148" s="644">
        <f t="shared" si="437"/>
        <v>15</v>
      </c>
      <c r="M1148" s="645">
        <v>46101</v>
      </c>
      <c r="N1148" s="645">
        <v>46097</v>
      </c>
      <c r="O1148" s="246"/>
      <c r="P1148" s="643" t="s">
        <v>113</v>
      </c>
      <c r="Q1148" s="246"/>
      <c r="R1148" s="646" t="s">
        <v>1242</v>
      </c>
      <c r="S1148" s="646" t="s">
        <v>70</v>
      </c>
      <c r="T1148" s="646" t="s">
        <v>70</v>
      </c>
      <c r="U1148" s="646"/>
      <c r="V1148" s="646"/>
      <c r="W1148" s="615"/>
      <c r="X1148" s="642" t="s">
        <v>3246</v>
      </c>
      <c r="Y1148" s="642" t="s">
        <v>3247</v>
      </c>
      <c r="Z1148" s="655"/>
      <c r="AA1148" s="647"/>
      <c r="AC1148" s="648"/>
      <c r="AD1148" s="246" t="s">
        <v>480</v>
      </c>
      <c r="AE1148" s="246" t="s">
        <v>82</v>
      </c>
      <c r="AF1148" s="246"/>
      <c r="AG1148" s="642"/>
      <c r="AH1148" s="642">
        <v>1</v>
      </c>
      <c r="AI1148" s="246">
        <v>90</v>
      </c>
      <c r="AJ1148" s="246">
        <f t="shared" si="433"/>
        <v>0</v>
      </c>
      <c r="AK1148" s="246"/>
      <c r="AL1148" s="246"/>
      <c r="AM1148" s="246"/>
      <c r="AN1148" s="246"/>
      <c r="AO1148" s="554">
        <f>I1148*2</f>
        <v>180</v>
      </c>
      <c r="AP1148" s="551"/>
      <c r="AQ1148" s="551"/>
      <c r="AR1148" s="650"/>
      <c r="AS1148" s="551"/>
      <c r="AT1148" s="554">
        <f>I1148*2</f>
        <v>180</v>
      </c>
      <c r="AU1148" s="554"/>
      <c r="AV1148" s="554">
        <f>I1148*2</f>
        <v>180</v>
      </c>
      <c r="AW1148" s="650"/>
      <c r="AX1148" s="551"/>
      <c r="AY1148" s="551"/>
      <c r="AZ1148" s="551"/>
      <c r="BA1148" s="551"/>
      <c r="BB1148" s="620">
        <f>I1148/24*2</f>
        <v>7.5</v>
      </c>
      <c r="BC1148" s="651"/>
      <c r="BD1148" s="551"/>
      <c r="BE1148" s="551"/>
      <c r="BF1148" s="551"/>
      <c r="BH1148" s="551"/>
      <c r="BI1148" s="551"/>
      <c r="BJ1148" s="551"/>
      <c r="BK1148" s="551"/>
      <c r="BL1148" s="551"/>
      <c r="BM1148" s="551"/>
      <c r="BN1148" s="551"/>
      <c r="BO1148" s="551"/>
      <c r="BP1148" s="551"/>
      <c r="BQ1148" s="551"/>
      <c r="BR1148" s="551"/>
      <c r="BS1148" s="551"/>
      <c r="BT1148" s="551"/>
      <c r="BU1148" s="551"/>
      <c r="BV1148" s="551"/>
      <c r="BW1148" s="551"/>
      <c r="BX1148" s="551"/>
      <c r="BY1148" s="650"/>
      <c r="BZ1148" s="551">
        <f>I1148</f>
        <v>90</v>
      </c>
      <c r="CA1148" s="652"/>
      <c r="CB1148" s="567"/>
      <c r="CC1148" s="653"/>
      <c r="CD1148" s="650"/>
      <c r="CE1148" s="650"/>
      <c r="CF1148" s="551"/>
      <c r="CG1148" s="551"/>
      <c r="CI1148" s="551"/>
      <c r="CJ1148" s="551"/>
      <c r="CK1148" s="551"/>
      <c r="CL1148" s="551"/>
      <c r="CM1148" s="551"/>
      <c r="CN1148" s="551"/>
      <c r="CO1148" s="551"/>
      <c r="CP1148" s="551"/>
      <c r="CQ1148" s="551"/>
      <c r="CR1148" s="551"/>
      <c r="CS1148" s="551"/>
      <c r="CT1148" s="551"/>
      <c r="CU1148" s="554">
        <f t="shared" si="429"/>
        <v>0</v>
      </c>
      <c r="CV1148" s="551">
        <f t="shared" si="442"/>
        <v>0</v>
      </c>
      <c r="CW1148" s="551">
        <f t="shared" si="443"/>
        <v>0</v>
      </c>
      <c r="CX1148" s="650"/>
      <c r="CY1148" s="650"/>
      <c r="CZ1148" s="650"/>
      <c r="DA1148" s="548"/>
      <c r="DB1148" s="548"/>
      <c r="DC1148" s="548"/>
      <c r="DD1148" s="650"/>
      <c r="DE1148" s="650"/>
      <c r="DF1148" s="650"/>
      <c r="DG1148" s="650"/>
      <c r="DH1148" s="650"/>
    </row>
    <row r="1149" s="548" customFormat="1" ht="31" customHeight="1" spans="1:112">
      <c r="A1149" s="641">
        <v>46041</v>
      </c>
      <c r="B1149" s="642" t="s">
        <v>1337</v>
      </c>
      <c r="C1149" s="246" t="s">
        <v>931</v>
      </c>
      <c r="D1149" s="551">
        <v>4500191722</v>
      </c>
      <c r="E1149" s="246"/>
      <c r="F1149" s="551" t="s">
        <v>8867</v>
      </c>
      <c r="G1149" s="246" t="s">
        <v>6276</v>
      </c>
      <c r="H1149" s="246" t="s">
        <v>6277</v>
      </c>
      <c r="I1149" s="704">
        <v>350</v>
      </c>
      <c r="J1149" s="246">
        <v>0</v>
      </c>
      <c r="K1149" s="246">
        <v>50</v>
      </c>
      <c r="L1149" s="644">
        <f t="shared" si="437"/>
        <v>7</v>
      </c>
      <c r="M1149" s="645">
        <v>46105</v>
      </c>
      <c r="N1149" s="645">
        <v>46101</v>
      </c>
      <c r="O1149" s="246"/>
      <c r="P1149" s="643" t="s">
        <v>113</v>
      </c>
      <c r="Q1149" s="246"/>
      <c r="R1149" s="646" t="s">
        <v>454</v>
      </c>
      <c r="S1149" s="646" t="s">
        <v>70</v>
      </c>
      <c r="T1149" s="646" t="s">
        <v>70</v>
      </c>
      <c r="U1149" s="646"/>
      <c r="V1149" s="646"/>
      <c r="W1149" s="615"/>
      <c r="X1149" s="628" t="s">
        <v>8868</v>
      </c>
      <c r="Y1149" s="642" t="s">
        <v>943</v>
      </c>
      <c r="Z1149" s="655">
        <v>0.9402</v>
      </c>
      <c r="AA1149" s="647">
        <f t="shared" ref="AA1149:AA1157" si="444">Z1149*I1149</f>
        <v>329.07</v>
      </c>
      <c r="AC1149" s="648"/>
      <c r="AD1149" s="246" t="s">
        <v>6276</v>
      </c>
      <c r="AE1149" s="246" t="s">
        <v>82</v>
      </c>
      <c r="AF1149" s="246"/>
      <c r="AG1149" s="642"/>
      <c r="AH1149" s="642">
        <v>1</v>
      </c>
      <c r="AI1149" s="246">
        <v>350</v>
      </c>
      <c r="AJ1149" s="246">
        <f t="shared" si="433"/>
        <v>0</v>
      </c>
      <c r="AK1149" s="246"/>
      <c r="AL1149" s="246" t="s">
        <v>2368</v>
      </c>
      <c r="AM1149" s="246"/>
      <c r="AN1149" s="246"/>
      <c r="AO1149" s="551">
        <f>I1149</f>
        <v>350</v>
      </c>
      <c r="AP1149" s="551"/>
      <c r="AQ1149" s="551"/>
      <c r="AR1149" s="650"/>
      <c r="AS1149" s="551"/>
      <c r="AT1149" s="551"/>
      <c r="AU1149" s="551"/>
      <c r="AV1149" s="551"/>
      <c r="AW1149" s="650"/>
      <c r="AX1149" s="551"/>
      <c r="AY1149" s="551"/>
      <c r="AZ1149" s="551"/>
      <c r="BA1149" s="551"/>
      <c r="BB1149" s="249">
        <f>I1149/24</f>
        <v>14.5833333333333</v>
      </c>
      <c r="BC1149" s="651"/>
      <c r="BD1149" s="551"/>
      <c r="BE1149" s="551"/>
      <c r="BF1149" s="551"/>
      <c r="BH1149" s="551"/>
      <c r="BI1149" s="551"/>
      <c r="BJ1149" s="551"/>
      <c r="BK1149" s="551"/>
      <c r="BL1149" s="551"/>
      <c r="BM1149" s="551"/>
      <c r="BN1149" s="551"/>
      <c r="BO1149" s="551"/>
      <c r="BP1149" s="551"/>
      <c r="BQ1149" s="551"/>
      <c r="BR1149" s="551"/>
      <c r="BS1149" s="551"/>
      <c r="BT1149" s="551"/>
      <c r="BU1149" s="551"/>
      <c r="BV1149" s="551">
        <f>I1149</f>
        <v>350</v>
      </c>
      <c r="BW1149" s="551">
        <f>I1149</f>
        <v>350</v>
      </c>
      <c r="BX1149" s="551">
        <f t="shared" ref="BX1149:BX1152" si="445">I1149/25</f>
        <v>14</v>
      </c>
      <c r="BY1149" s="650"/>
      <c r="BZ1149" s="551"/>
      <c r="CA1149" s="652"/>
      <c r="CB1149" s="567"/>
      <c r="CC1149" s="653"/>
      <c r="CD1149" s="650"/>
      <c r="CE1149" s="650"/>
      <c r="CF1149" s="551"/>
      <c r="CG1149" s="551"/>
      <c r="CI1149" s="551"/>
      <c r="CJ1149" s="551"/>
      <c r="CK1149" s="551"/>
      <c r="CL1149" s="551"/>
      <c r="CM1149" s="551"/>
      <c r="CN1149" s="551"/>
      <c r="CO1149" s="551"/>
      <c r="CP1149" s="551"/>
      <c r="CQ1149" s="551"/>
      <c r="CR1149" s="551"/>
      <c r="CS1149" s="551"/>
      <c r="CT1149" s="551"/>
      <c r="CU1149" s="554">
        <f t="shared" si="429"/>
        <v>14</v>
      </c>
      <c r="CV1149" s="551">
        <f t="shared" si="442"/>
        <v>0</v>
      </c>
      <c r="CW1149" s="551">
        <f t="shared" si="443"/>
        <v>0</v>
      </c>
      <c r="CX1149" s="650"/>
      <c r="CY1149" s="650"/>
      <c r="CZ1149" s="650"/>
      <c r="DA1149" s="548"/>
      <c r="DB1149" s="548"/>
      <c r="DC1149" s="548"/>
      <c r="DD1149" s="650"/>
      <c r="DE1149" s="650"/>
      <c r="DF1149" s="650"/>
      <c r="DG1149" s="650"/>
      <c r="DH1149" s="650"/>
    </row>
    <row r="1150" s="548" customFormat="1" ht="31" customHeight="1" spans="1:112">
      <c r="A1150" s="641">
        <v>46052</v>
      </c>
      <c r="B1150" s="642" t="s">
        <v>1337</v>
      </c>
      <c r="C1150" s="246" t="s">
        <v>931</v>
      </c>
      <c r="D1150" s="551">
        <v>4500192740</v>
      </c>
      <c r="E1150" s="246"/>
      <c r="F1150" s="551" t="s">
        <v>8869</v>
      </c>
      <c r="G1150" s="246" t="s">
        <v>6276</v>
      </c>
      <c r="H1150" s="246" t="s">
        <v>6277</v>
      </c>
      <c r="I1150" s="704">
        <v>200</v>
      </c>
      <c r="J1150" s="246">
        <v>0</v>
      </c>
      <c r="K1150" s="246">
        <v>50</v>
      </c>
      <c r="L1150" s="644">
        <f t="shared" si="437"/>
        <v>4</v>
      </c>
      <c r="M1150" s="645">
        <v>46105</v>
      </c>
      <c r="N1150" s="645">
        <v>46101</v>
      </c>
      <c r="O1150" s="246"/>
      <c r="P1150" s="643" t="s">
        <v>113</v>
      </c>
      <c r="Q1150" s="246"/>
      <c r="R1150" s="646">
        <v>46052</v>
      </c>
      <c r="S1150" s="646" t="s">
        <v>70</v>
      </c>
      <c r="T1150" s="646" t="s">
        <v>454</v>
      </c>
      <c r="U1150" s="646"/>
      <c r="V1150" s="646"/>
      <c r="W1150" s="615"/>
      <c r="X1150" s="642" t="s">
        <v>8870</v>
      </c>
      <c r="Y1150" s="642" t="s">
        <v>943</v>
      </c>
      <c r="Z1150" s="655">
        <v>0.9402</v>
      </c>
      <c r="AA1150" s="647">
        <f t="shared" si="444"/>
        <v>188.04</v>
      </c>
      <c r="AC1150" s="648"/>
      <c r="AD1150" s="246" t="s">
        <v>6276</v>
      </c>
      <c r="AE1150" s="246" t="s">
        <v>82</v>
      </c>
      <c r="AF1150" s="246"/>
      <c r="AG1150" s="642"/>
      <c r="AH1150" s="642">
        <v>1</v>
      </c>
      <c r="AI1150" s="246">
        <v>200</v>
      </c>
      <c r="AJ1150" s="246">
        <f t="shared" si="433"/>
        <v>0</v>
      </c>
      <c r="AK1150" s="246"/>
      <c r="AL1150" s="246" t="s">
        <v>2368</v>
      </c>
      <c r="AM1150" s="246"/>
      <c r="AN1150" s="246"/>
      <c r="AO1150" s="551">
        <f>I1150</f>
        <v>200</v>
      </c>
      <c r="AP1150" s="551"/>
      <c r="AQ1150" s="551"/>
      <c r="AR1150" s="650"/>
      <c r="AS1150" s="551"/>
      <c r="AT1150" s="551"/>
      <c r="AU1150" s="551"/>
      <c r="AV1150" s="551"/>
      <c r="AW1150" s="650"/>
      <c r="AX1150" s="551"/>
      <c r="AY1150" s="551"/>
      <c r="AZ1150" s="551"/>
      <c r="BA1150" s="551"/>
      <c r="BB1150" s="249">
        <f>I1150/24</f>
        <v>8.33333333333333</v>
      </c>
      <c r="BC1150" s="651"/>
      <c r="BD1150" s="551"/>
      <c r="BE1150" s="551"/>
      <c r="BF1150" s="551"/>
      <c r="BH1150" s="551"/>
      <c r="BI1150" s="551"/>
      <c r="BJ1150" s="551"/>
      <c r="BK1150" s="551"/>
      <c r="BL1150" s="551"/>
      <c r="BM1150" s="551"/>
      <c r="BN1150" s="551"/>
      <c r="BO1150" s="551"/>
      <c r="BP1150" s="551"/>
      <c r="BQ1150" s="551"/>
      <c r="BR1150" s="551"/>
      <c r="BS1150" s="551"/>
      <c r="BT1150" s="551"/>
      <c r="BU1150" s="551"/>
      <c r="BV1150" s="551">
        <f>I1150</f>
        <v>200</v>
      </c>
      <c r="BW1150" s="551">
        <f>I1150</f>
        <v>200</v>
      </c>
      <c r="BX1150" s="551">
        <f t="shared" si="445"/>
        <v>8</v>
      </c>
      <c r="BY1150" s="650"/>
      <c r="BZ1150" s="551"/>
      <c r="CA1150" s="652"/>
      <c r="CB1150" s="567"/>
      <c r="CC1150" s="653"/>
      <c r="CD1150" s="650"/>
      <c r="CE1150" s="650"/>
      <c r="CF1150" s="551"/>
      <c r="CG1150" s="551"/>
      <c r="CI1150" s="551"/>
      <c r="CJ1150" s="551"/>
      <c r="CK1150" s="551"/>
      <c r="CL1150" s="551"/>
      <c r="CM1150" s="551"/>
      <c r="CN1150" s="551"/>
      <c r="CO1150" s="551"/>
      <c r="CP1150" s="551"/>
      <c r="CQ1150" s="551"/>
      <c r="CR1150" s="551"/>
      <c r="CS1150" s="551"/>
      <c r="CT1150" s="551"/>
      <c r="CU1150" s="554">
        <f t="shared" si="429"/>
        <v>8</v>
      </c>
      <c r="CV1150" s="551">
        <f t="shared" si="442"/>
        <v>0</v>
      </c>
      <c r="CW1150" s="551">
        <f t="shared" si="443"/>
        <v>0</v>
      </c>
      <c r="CX1150" s="650"/>
      <c r="CY1150" s="650"/>
      <c r="CZ1150" s="650"/>
      <c r="DA1150" s="548"/>
      <c r="DB1150" s="548"/>
      <c r="DC1150" s="548"/>
      <c r="DD1150" s="650"/>
      <c r="DE1150" s="650"/>
      <c r="DF1150" s="650"/>
      <c r="DG1150" s="650"/>
      <c r="DH1150" s="650"/>
    </row>
    <row r="1151" s="548" customFormat="1" ht="31" customHeight="1" spans="1:112">
      <c r="A1151" s="641">
        <v>46052</v>
      </c>
      <c r="B1151" s="642" t="s">
        <v>1337</v>
      </c>
      <c r="C1151" s="246" t="s">
        <v>931</v>
      </c>
      <c r="D1151" s="551">
        <v>4500192757</v>
      </c>
      <c r="E1151" s="246"/>
      <c r="F1151" s="551" t="s">
        <v>8871</v>
      </c>
      <c r="G1151" s="246" t="s">
        <v>6276</v>
      </c>
      <c r="H1151" s="246" t="s">
        <v>6277</v>
      </c>
      <c r="I1151" s="704">
        <v>100</v>
      </c>
      <c r="J1151" s="246">
        <v>0</v>
      </c>
      <c r="K1151" s="246">
        <v>50</v>
      </c>
      <c r="L1151" s="644">
        <f t="shared" si="437"/>
        <v>2</v>
      </c>
      <c r="M1151" s="645">
        <v>46105</v>
      </c>
      <c r="N1151" s="645">
        <v>46101</v>
      </c>
      <c r="O1151" s="246"/>
      <c r="P1151" s="643" t="s">
        <v>113</v>
      </c>
      <c r="Q1151" s="246"/>
      <c r="R1151" s="646">
        <v>46052</v>
      </c>
      <c r="S1151" s="646" t="s">
        <v>70</v>
      </c>
      <c r="T1151" s="646" t="s">
        <v>454</v>
      </c>
      <c r="U1151" s="646"/>
      <c r="V1151" s="646"/>
      <c r="W1151" s="615"/>
      <c r="X1151" s="642" t="s">
        <v>8872</v>
      </c>
      <c r="Y1151" s="642" t="s">
        <v>943</v>
      </c>
      <c r="Z1151" s="655">
        <v>0.9402</v>
      </c>
      <c r="AA1151" s="647">
        <f t="shared" si="444"/>
        <v>94.02</v>
      </c>
      <c r="AC1151" s="648"/>
      <c r="AD1151" s="246" t="s">
        <v>6276</v>
      </c>
      <c r="AE1151" s="246" t="s">
        <v>82</v>
      </c>
      <c r="AF1151" s="246"/>
      <c r="AG1151" s="642"/>
      <c r="AH1151" s="642">
        <v>1</v>
      </c>
      <c r="AI1151" s="246">
        <v>100</v>
      </c>
      <c r="AJ1151" s="246">
        <f t="shared" si="433"/>
        <v>0</v>
      </c>
      <c r="AK1151" s="246"/>
      <c r="AL1151" s="246" t="s">
        <v>2368</v>
      </c>
      <c r="AM1151" s="246"/>
      <c r="AN1151" s="246"/>
      <c r="AO1151" s="551">
        <f>I1151</f>
        <v>100</v>
      </c>
      <c r="AP1151" s="551"/>
      <c r="AQ1151" s="551"/>
      <c r="AR1151" s="650"/>
      <c r="AS1151" s="551"/>
      <c r="AT1151" s="551"/>
      <c r="AU1151" s="551"/>
      <c r="AV1151" s="551"/>
      <c r="AW1151" s="650"/>
      <c r="AX1151" s="551"/>
      <c r="AY1151" s="551"/>
      <c r="AZ1151" s="551"/>
      <c r="BA1151" s="551"/>
      <c r="BB1151" s="249">
        <f>I1151/24</f>
        <v>4.16666666666667</v>
      </c>
      <c r="BC1151" s="651"/>
      <c r="BD1151" s="551"/>
      <c r="BE1151" s="551"/>
      <c r="BF1151" s="551"/>
      <c r="BH1151" s="551"/>
      <c r="BI1151" s="551"/>
      <c r="BJ1151" s="551"/>
      <c r="BK1151" s="551"/>
      <c r="BL1151" s="551"/>
      <c r="BM1151" s="551"/>
      <c r="BN1151" s="551"/>
      <c r="BO1151" s="551"/>
      <c r="BP1151" s="551"/>
      <c r="BQ1151" s="551"/>
      <c r="BR1151" s="551"/>
      <c r="BS1151" s="551"/>
      <c r="BT1151" s="551"/>
      <c r="BU1151" s="551"/>
      <c r="BV1151" s="551">
        <f>I1151</f>
        <v>100</v>
      </c>
      <c r="BW1151" s="551">
        <f>I1151</f>
        <v>100</v>
      </c>
      <c r="BX1151" s="551">
        <f t="shared" si="445"/>
        <v>4</v>
      </c>
      <c r="BY1151" s="650"/>
      <c r="BZ1151" s="551"/>
      <c r="CA1151" s="652"/>
      <c r="CB1151" s="567"/>
      <c r="CC1151" s="653"/>
      <c r="CD1151" s="650"/>
      <c r="CE1151" s="650"/>
      <c r="CF1151" s="551"/>
      <c r="CG1151" s="551"/>
      <c r="CI1151" s="551"/>
      <c r="CJ1151" s="551"/>
      <c r="CK1151" s="551"/>
      <c r="CL1151" s="551"/>
      <c r="CM1151" s="551"/>
      <c r="CN1151" s="551"/>
      <c r="CO1151" s="551"/>
      <c r="CP1151" s="551"/>
      <c r="CQ1151" s="551"/>
      <c r="CR1151" s="551"/>
      <c r="CS1151" s="551"/>
      <c r="CT1151" s="551"/>
      <c r="CU1151" s="554">
        <f t="shared" si="429"/>
        <v>4</v>
      </c>
      <c r="CV1151" s="551">
        <f t="shared" si="442"/>
        <v>0</v>
      </c>
      <c r="CW1151" s="551">
        <f t="shared" si="443"/>
        <v>0</v>
      </c>
      <c r="CX1151" s="650"/>
      <c r="CY1151" s="650"/>
      <c r="CZ1151" s="650"/>
      <c r="DA1151" s="548"/>
      <c r="DB1151" s="548"/>
      <c r="DC1151" s="548"/>
      <c r="DD1151" s="650"/>
      <c r="DE1151" s="650"/>
      <c r="DF1151" s="650"/>
      <c r="DG1151" s="650"/>
      <c r="DH1151" s="650"/>
    </row>
    <row r="1152" s="548" customFormat="1" ht="31" customHeight="1" spans="1:112">
      <c r="A1152" s="641">
        <v>46052</v>
      </c>
      <c r="B1152" s="642" t="s">
        <v>1337</v>
      </c>
      <c r="C1152" s="246" t="s">
        <v>931</v>
      </c>
      <c r="D1152" s="551">
        <v>4500192767</v>
      </c>
      <c r="E1152" s="246"/>
      <c r="F1152" s="551" t="s">
        <v>8873</v>
      </c>
      <c r="G1152" s="246" t="s">
        <v>6276</v>
      </c>
      <c r="H1152" s="246" t="s">
        <v>6277</v>
      </c>
      <c r="I1152" s="246">
        <v>100</v>
      </c>
      <c r="J1152" s="246">
        <v>0</v>
      </c>
      <c r="K1152" s="246">
        <v>50</v>
      </c>
      <c r="L1152" s="644">
        <f t="shared" si="437"/>
        <v>2</v>
      </c>
      <c r="M1152" s="645">
        <v>46105</v>
      </c>
      <c r="N1152" s="645">
        <v>46101</v>
      </c>
      <c r="O1152" s="246"/>
      <c r="P1152" s="643" t="s">
        <v>113</v>
      </c>
      <c r="Q1152" s="246"/>
      <c r="R1152" s="646">
        <v>46052</v>
      </c>
      <c r="S1152" s="646" t="s">
        <v>70</v>
      </c>
      <c r="T1152" s="646" t="s">
        <v>454</v>
      </c>
      <c r="U1152" s="646"/>
      <c r="V1152" s="646"/>
      <c r="W1152" s="615"/>
      <c r="X1152" s="642" t="s">
        <v>8874</v>
      </c>
      <c r="Y1152" s="642" t="s">
        <v>943</v>
      </c>
      <c r="Z1152" s="655">
        <v>0.9402</v>
      </c>
      <c r="AA1152" s="647">
        <f t="shared" si="444"/>
        <v>94.02</v>
      </c>
      <c r="AC1152" s="648"/>
      <c r="AD1152" s="246" t="s">
        <v>6276</v>
      </c>
      <c r="AE1152" s="246" t="s">
        <v>82</v>
      </c>
      <c r="AF1152" s="246"/>
      <c r="AG1152" s="642"/>
      <c r="AH1152" s="642">
        <v>1</v>
      </c>
      <c r="AI1152" s="246">
        <v>100</v>
      </c>
      <c r="AJ1152" s="246">
        <f t="shared" si="433"/>
        <v>0</v>
      </c>
      <c r="AK1152" s="246"/>
      <c r="AL1152" s="246" t="s">
        <v>2368</v>
      </c>
      <c r="AM1152" s="246"/>
      <c r="AN1152" s="246"/>
      <c r="AO1152" s="551">
        <f>I1152</f>
        <v>100</v>
      </c>
      <c r="AP1152" s="551"/>
      <c r="AQ1152" s="551"/>
      <c r="AR1152" s="650"/>
      <c r="AS1152" s="551"/>
      <c r="AT1152" s="551"/>
      <c r="AU1152" s="551"/>
      <c r="AV1152" s="551"/>
      <c r="AW1152" s="650"/>
      <c r="AX1152" s="551"/>
      <c r="AY1152" s="551"/>
      <c r="AZ1152" s="551"/>
      <c r="BA1152" s="551"/>
      <c r="BB1152" s="249">
        <f>I1152/24</f>
        <v>4.16666666666667</v>
      </c>
      <c r="BC1152" s="651"/>
      <c r="BD1152" s="551"/>
      <c r="BE1152" s="551"/>
      <c r="BF1152" s="551"/>
      <c r="BH1152" s="551"/>
      <c r="BI1152" s="551"/>
      <c r="BJ1152" s="551"/>
      <c r="BK1152" s="551"/>
      <c r="BL1152" s="551"/>
      <c r="BM1152" s="551"/>
      <c r="BN1152" s="551"/>
      <c r="BO1152" s="551"/>
      <c r="BP1152" s="551"/>
      <c r="BQ1152" s="551"/>
      <c r="BR1152" s="551"/>
      <c r="BS1152" s="551"/>
      <c r="BT1152" s="551"/>
      <c r="BU1152" s="551"/>
      <c r="BV1152" s="551">
        <f>I1152</f>
        <v>100</v>
      </c>
      <c r="BW1152" s="551">
        <f>I1152</f>
        <v>100</v>
      </c>
      <c r="BX1152" s="551">
        <f t="shared" si="445"/>
        <v>4</v>
      </c>
      <c r="BY1152" s="650"/>
      <c r="BZ1152" s="551"/>
      <c r="CA1152" s="652"/>
      <c r="CB1152" s="567"/>
      <c r="CC1152" s="653"/>
      <c r="CD1152" s="650"/>
      <c r="CE1152" s="650"/>
      <c r="CF1152" s="551"/>
      <c r="CG1152" s="551"/>
      <c r="CI1152" s="551"/>
      <c r="CJ1152" s="551"/>
      <c r="CK1152" s="551"/>
      <c r="CL1152" s="551"/>
      <c r="CM1152" s="551"/>
      <c r="CN1152" s="551"/>
      <c r="CO1152" s="551"/>
      <c r="CP1152" s="551"/>
      <c r="CQ1152" s="551"/>
      <c r="CR1152" s="551"/>
      <c r="CS1152" s="551"/>
      <c r="CT1152" s="551"/>
      <c r="CU1152" s="554">
        <f t="shared" si="429"/>
        <v>4</v>
      </c>
      <c r="CV1152" s="551">
        <f t="shared" si="442"/>
        <v>0</v>
      </c>
      <c r="CW1152" s="551">
        <f t="shared" si="443"/>
        <v>0</v>
      </c>
      <c r="CX1152" s="650"/>
      <c r="CY1152" s="650"/>
      <c r="CZ1152" s="650"/>
      <c r="DA1152" s="548"/>
      <c r="DB1152" s="548"/>
      <c r="DC1152" s="548"/>
      <c r="DD1152" s="650"/>
      <c r="DE1152" s="650"/>
      <c r="DF1152" s="650"/>
      <c r="DG1152" s="650"/>
      <c r="DH1152" s="650"/>
    </row>
    <row r="1153" s="548" customFormat="1" ht="31" customHeight="1" spans="1:112">
      <c r="A1153" s="641">
        <v>45995</v>
      </c>
      <c r="B1153" s="642" t="s">
        <v>2734</v>
      </c>
      <c r="C1153" s="246" t="s">
        <v>98</v>
      </c>
      <c r="D1153" s="551">
        <v>4500186326</v>
      </c>
      <c r="E1153" s="246">
        <v>60260744</v>
      </c>
      <c r="F1153" s="551" t="s">
        <v>8875</v>
      </c>
      <c r="G1153" s="246" t="s">
        <v>6787</v>
      </c>
      <c r="H1153" s="610" t="s">
        <v>6126</v>
      </c>
      <c r="I1153" s="246">
        <v>2004</v>
      </c>
      <c r="J1153" s="246">
        <v>0</v>
      </c>
      <c r="K1153" s="246">
        <v>12</v>
      </c>
      <c r="L1153" s="644">
        <f t="shared" si="437"/>
        <v>167</v>
      </c>
      <c r="M1153" s="645">
        <v>46106</v>
      </c>
      <c r="N1153" s="645">
        <v>46102</v>
      </c>
      <c r="O1153" s="246"/>
      <c r="P1153" s="643" t="s">
        <v>113</v>
      </c>
      <c r="Q1153" s="246"/>
      <c r="R1153" s="646">
        <v>45995</v>
      </c>
      <c r="S1153" s="646" t="s">
        <v>70</v>
      </c>
      <c r="T1153" s="646" t="s">
        <v>2738</v>
      </c>
      <c r="U1153" s="646"/>
      <c r="V1153" s="646"/>
      <c r="W1153" s="615"/>
      <c r="X1153" s="642" t="s">
        <v>8876</v>
      </c>
      <c r="Y1153" s="642" t="s">
        <v>2678</v>
      </c>
      <c r="Z1153" s="655">
        <v>1.2871</v>
      </c>
      <c r="AA1153" s="647">
        <f t="shared" si="444"/>
        <v>2579.3484</v>
      </c>
      <c r="AC1153" s="658" t="s">
        <v>3274</v>
      </c>
      <c r="AD1153" s="246" t="s">
        <v>8545</v>
      </c>
      <c r="AE1153" s="246" t="s">
        <v>82</v>
      </c>
      <c r="AF1153" s="246"/>
      <c r="AG1153" s="642"/>
      <c r="AH1153" s="642">
        <v>1</v>
      </c>
      <c r="AI1153" s="246">
        <v>2004</v>
      </c>
      <c r="AJ1153" s="246">
        <f t="shared" si="433"/>
        <v>0</v>
      </c>
      <c r="AK1153" s="246"/>
      <c r="AL1153" s="246" t="s">
        <v>2368</v>
      </c>
      <c r="AM1153" s="246"/>
      <c r="AN1153" s="610">
        <f>I1153*2</f>
        <v>4008</v>
      </c>
      <c r="AO1153" s="551"/>
      <c r="AP1153" s="554">
        <f>I1153*2</f>
        <v>4008</v>
      </c>
      <c r="AQ1153" s="551"/>
      <c r="AR1153" s="650"/>
      <c r="AS1153" s="551"/>
      <c r="AT1153" s="551"/>
      <c r="AU1153" s="554">
        <f>I1153*2</f>
        <v>4008</v>
      </c>
      <c r="AV1153" s="551"/>
      <c r="AW1153" s="650"/>
      <c r="AX1153" s="551"/>
      <c r="AY1153" s="551"/>
      <c r="AZ1153" s="551"/>
      <c r="BA1153" s="551"/>
      <c r="BB1153" s="249">
        <f>I1153/24*2</f>
        <v>167</v>
      </c>
      <c r="BC1153" s="651"/>
      <c r="BD1153" s="551"/>
      <c r="BE1153" s="551"/>
      <c r="BF1153" s="551"/>
      <c r="BH1153" s="551"/>
      <c r="BI1153" s="551"/>
      <c r="BJ1153" s="551"/>
      <c r="BK1153" s="551"/>
      <c r="BL1153" s="551"/>
      <c r="BM1153" s="551"/>
      <c r="BN1153" s="551"/>
      <c r="BO1153" s="551"/>
      <c r="BP1153" s="551"/>
      <c r="BQ1153" s="551"/>
      <c r="BR1153" s="551"/>
      <c r="BS1153" s="551"/>
      <c r="BT1153" s="551"/>
      <c r="BU1153" s="551"/>
      <c r="BV1153" s="551"/>
      <c r="BW1153" s="551"/>
      <c r="BX1153" s="551"/>
      <c r="BY1153" s="650"/>
      <c r="BZ1153" s="551"/>
      <c r="CA1153" s="652"/>
      <c r="CB1153" s="567"/>
      <c r="CC1153" s="653"/>
      <c r="CD1153" s="650"/>
      <c r="CE1153" s="650"/>
      <c r="CF1153" s="551"/>
      <c r="CG1153" s="551"/>
      <c r="CI1153" s="551"/>
      <c r="CJ1153" s="551"/>
      <c r="CK1153" s="551"/>
      <c r="CL1153" s="551"/>
      <c r="CM1153" s="551"/>
      <c r="CN1153" s="551"/>
      <c r="CO1153" s="551"/>
      <c r="CP1153" s="551"/>
      <c r="CQ1153" s="551"/>
      <c r="CR1153" s="554">
        <f>I1153</f>
        <v>2004</v>
      </c>
      <c r="CS1153" s="554">
        <f>I1153</f>
        <v>2004</v>
      </c>
      <c r="CT1153" s="554">
        <f>I1153</f>
        <v>2004</v>
      </c>
      <c r="CU1153" s="554">
        <f t="shared" si="429"/>
        <v>0</v>
      </c>
      <c r="CV1153" s="551">
        <v>0</v>
      </c>
      <c r="CW1153" s="551">
        <v>0</v>
      </c>
      <c r="CX1153" s="650"/>
      <c r="CY1153" s="650"/>
      <c r="CZ1153" s="650"/>
      <c r="DA1153" s="548"/>
      <c r="DB1153" s="548"/>
      <c r="DC1153" s="548"/>
      <c r="DD1153" s="650"/>
      <c r="DE1153" s="650"/>
      <c r="DF1153" s="650"/>
      <c r="DG1153" s="650"/>
      <c r="DH1153" s="650"/>
    </row>
    <row r="1154" s="548" customFormat="1" ht="31" customHeight="1" spans="1:112">
      <c r="A1154" s="641">
        <v>45995</v>
      </c>
      <c r="B1154" s="642" t="s">
        <v>2734</v>
      </c>
      <c r="C1154" s="246" t="s">
        <v>98</v>
      </c>
      <c r="D1154" s="551">
        <v>4500186326</v>
      </c>
      <c r="E1154" s="246">
        <v>60260744</v>
      </c>
      <c r="F1154" s="551" t="s">
        <v>3272</v>
      </c>
      <c r="G1154" s="246" t="s">
        <v>8520</v>
      </c>
      <c r="H1154" s="246" t="s">
        <v>8521</v>
      </c>
      <c r="I1154" s="246">
        <v>1600</v>
      </c>
      <c r="J1154" s="246">
        <v>0</v>
      </c>
      <c r="K1154" s="246">
        <v>8</v>
      </c>
      <c r="L1154" s="644">
        <f t="shared" si="437"/>
        <v>200</v>
      </c>
      <c r="M1154" s="645">
        <v>46106</v>
      </c>
      <c r="N1154" s="645">
        <v>46102</v>
      </c>
      <c r="O1154" s="246"/>
      <c r="P1154" s="643" t="s">
        <v>113</v>
      </c>
      <c r="Q1154" s="246"/>
      <c r="R1154" s="646">
        <v>45995</v>
      </c>
      <c r="S1154" s="646" t="s">
        <v>70</v>
      </c>
      <c r="T1154" s="646" t="s">
        <v>8522</v>
      </c>
      <c r="U1154" s="646"/>
      <c r="V1154" s="646"/>
      <c r="W1154" s="615"/>
      <c r="X1154" s="628" t="s">
        <v>8877</v>
      </c>
      <c r="Y1154" s="642" t="s">
        <v>2678</v>
      </c>
      <c r="Z1154" s="655">
        <v>4.0996</v>
      </c>
      <c r="AA1154" s="647">
        <f t="shared" si="444"/>
        <v>6559.36</v>
      </c>
      <c r="AC1154" s="658" t="s">
        <v>3274</v>
      </c>
      <c r="AD1154" s="246" t="s">
        <v>2741</v>
      </c>
      <c r="AE1154" s="246" t="s">
        <v>82</v>
      </c>
      <c r="AF1154" s="246"/>
      <c r="AG1154" s="642"/>
      <c r="AH1154" s="642">
        <v>1</v>
      </c>
      <c r="AI1154" s="246">
        <f>1592+8</f>
        <v>1600</v>
      </c>
      <c r="AJ1154" s="246">
        <f t="shared" si="433"/>
        <v>0</v>
      </c>
      <c r="AK1154" s="246"/>
      <c r="AL1154" s="246" t="s">
        <v>2368</v>
      </c>
      <c r="AM1154" s="246"/>
      <c r="AN1154" s="610">
        <f>I1154*2</f>
        <v>3200</v>
      </c>
      <c r="AO1154" s="551"/>
      <c r="AP1154" s="554">
        <f>I1154*2</f>
        <v>3200</v>
      </c>
      <c r="AQ1154" s="551"/>
      <c r="AR1154" s="650"/>
      <c r="AS1154" s="551"/>
      <c r="AT1154" s="551"/>
      <c r="AU1154" s="554">
        <f>I1154*2</f>
        <v>3200</v>
      </c>
      <c r="AV1154" s="551"/>
      <c r="AW1154" s="650"/>
      <c r="AX1154" s="551"/>
      <c r="AY1154" s="551"/>
      <c r="AZ1154" s="551"/>
      <c r="BA1154" s="551"/>
      <c r="BB1154" s="620">
        <f>I1154/24*2</f>
        <v>133.333333333333</v>
      </c>
      <c r="BC1154" s="651"/>
      <c r="BD1154" s="551"/>
      <c r="BE1154" s="551"/>
      <c r="BF1154" s="551"/>
      <c r="BH1154" s="551"/>
      <c r="BI1154" s="551"/>
      <c r="BJ1154" s="551"/>
      <c r="BK1154" s="551"/>
      <c r="BL1154" s="551"/>
      <c r="BM1154" s="551"/>
      <c r="BN1154" s="551"/>
      <c r="BO1154" s="551"/>
      <c r="BP1154" s="551"/>
      <c r="BQ1154" s="551"/>
      <c r="BR1154" s="551"/>
      <c r="BS1154" s="551"/>
      <c r="BT1154" s="551"/>
      <c r="BU1154" s="551"/>
      <c r="BV1154" s="551"/>
      <c r="BW1154" s="551"/>
      <c r="BX1154" s="551"/>
      <c r="BY1154" s="650"/>
      <c r="BZ1154" s="551"/>
      <c r="CA1154" s="652">
        <f>I1154</f>
        <v>1600</v>
      </c>
      <c r="CB1154" s="567"/>
      <c r="CC1154" s="653"/>
      <c r="CD1154" s="650"/>
      <c r="CE1154" s="650"/>
      <c r="CF1154" s="551"/>
      <c r="CG1154" s="551"/>
      <c r="CI1154" s="551"/>
      <c r="CJ1154" s="551"/>
      <c r="CK1154" s="551"/>
      <c r="CL1154" s="551"/>
      <c r="CM1154" s="551"/>
      <c r="CN1154" s="551"/>
      <c r="CO1154" s="551"/>
      <c r="CP1154" s="551"/>
      <c r="CQ1154" s="551"/>
      <c r="CR1154" s="551"/>
      <c r="CS1154" s="551"/>
      <c r="CT1154" s="551"/>
      <c r="CU1154" s="554">
        <f t="shared" ref="CU1154:CU1217" si="446">BQ1154+BP1154+BO1154+BN1154+BX1154+BR1154</f>
        <v>0</v>
      </c>
      <c r="CV1154" s="551">
        <f t="shared" ref="CV1154:CV1173" si="447">CK1154+CL1154+CM1154+CN1154+CO1154+CQ1154+CP1154</f>
        <v>0</v>
      </c>
      <c r="CW1154" s="551">
        <f t="shared" ref="CW1154:CW1173" si="448">CI1154+CJ1154</f>
        <v>0</v>
      </c>
      <c r="CX1154" s="650"/>
      <c r="CY1154" s="650"/>
      <c r="CZ1154" s="650"/>
      <c r="DA1154" s="548"/>
      <c r="DB1154" s="548"/>
      <c r="DC1154" s="548"/>
      <c r="DD1154" s="650"/>
      <c r="DE1154" s="650"/>
      <c r="DF1154" s="650"/>
      <c r="DG1154" s="650"/>
      <c r="DH1154" s="650"/>
    </row>
    <row r="1155" s="548" customFormat="1" ht="31" customHeight="1" spans="1:112">
      <c r="A1155" s="641">
        <v>46044</v>
      </c>
      <c r="B1155" s="642" t="s">
        <v>1922</v>
      </c>
      <c r="C1155" s="246" t="s">
        <v>302</v>
      </c>
      <c r="D1155" s="551">
        <v>4500191865</v>
      </c>
      <c r="E1155" s="246" t="s">
        <v>3281</v>
      </c>
      <c r="F1155" s="551" t="s">
        <v>3282</v>
      </c>
      <c r="G1155" s="246" t="s">
        <v>6337</v>
      </c>
      <c r="H1155" s="246" t="s">
        <v>477</v>
      </c>
      <c r="I1155" s="246">
        <v>5058</v>
      </c>
      <c r="J1155" s="246">
        <v>0</v>
      </c>
      <c r="K1155" s="246">
        <v>6</v>
      </c>
      <c r="L1155" s="644">
        <f t="shared" si="437"/>
        <v>843</v>
      </c>
      <c r="M1155" s="645">
        <v>46106</v>
      </c>
      <c r="N1155" s="645">
        <v>46102</v>
      </c>
      <c r="O1155" s="246"/>
      <c r="P1155" s="643" t="s">
        <v>113</v>
      </c>
      <c r="Q1155" s="246"/>
      <c r="R1155" s="646" t="s">
        <v>463</v>
      </c>
      <c r="S1155" s="646" t="s">
        <v>104</v>
      </c>
      <c r="T1155" s="646" t="s">
        <v>454</v>
      </c>
      <c r="U1155" s="646"/>
      <c r="V1155" s="646"/>
      <c r="W1155" s="615"/>
      <c r="X1155" s="642" t="s">
        <v>3283</v>
      </c>
      <c r="Y1155" s="642" t="s">
        <v>428</v>
      </c>
      <c r="Z1155" s="655">
        <v>6.5757</v>
      </c>
      <c r="AA1155" s="647">
        <f t="shared" si="444"/>
        <v>33259.8906</v>
      </c>
      <c r="AC1155" s="648"/>
      <c r="AD1155" s="246" t="s">
        <v>480</v>
      </c>
      <c r="AE1155" s="246" t="s">
        <v>82</v>
      </c>
      <c r="AF1155" s="246"/>
      <c r="AG1155" s="642"/>
      <c r="AH1155" s="642">
        <v>1</v>
      </c>
      <c r="AI1155" s="246">
        <v>5058</v>
      </c>
      <c r="AJ1155" s="246">
        <f t="shared" si="433"/>
        <v>0</v>
      </c>
      <c r="AK1155" s="246"/>
      <c r="AL1155" s="246" t="s">
        <v>2368</v>
      </c>
      <c r="AM1155" s="246"/>
      <c r="AN1155" s="246"/>
      <c r="AO1155" s="554">
        <f>I1155*2</f>
        <v>10116</v>
      </c>
      <c r="AP1155" s="551"/>
      <c r="AQ1155" s="551"/>
      <c r="AR1155" s="650"/>
      <c r="AS1155" s="551"/>
      <c r="AT1155" s="554">
        <f>I1155*2</f>
        <v>10116</v>
      </c>
      <c r="AU1155" s="551"/>
      <c r="AV1155" s="554">
        <f>I1155*2</f>
        <v>10116</v>
      </c>
      <c r="AW1155" s="650"/>
      <c r="AX1155" s="551"/>
      <c r="AY1155" s="551"/>
      <c r="AZ1155" s="551"/>
      <c r="BA1155" s="551"/>
      <c r="BB1155" s="620">
        <f>I1155/24*2</f>
        <v>421.5</v>
      </c>
      <c r="BC1155" s="651"/>
      <c r="BD1155" s="551"/>
      <c r="BE1155" s="551"/>
      <c r="BF1155" s="551"/>
      <c r="BH1155" s="551"/>
      <c r="BI1155" s="551"/>
      <c r="BJ1155" s="551"/>
      <c r="BK1155" s="551"/>
      <c r="BL1155" s="551"/>
      <c r="BM1155" s="551"/>
      <c r="BN1155" s="551"/>
      <c r="BO1155" s="551"/>
      <c r="BP1155" s="551"/>
      <c r="BQ1155" s="551"/>
      <c r="BR1155" s="551"/>
      <c r="BS1155" s="551"/>
      <c r="BT1155" s="551"/>
      <c r="BU1155" s="551"/>
      <c r="BV1155" s="551"/>
      <c r="BW1155" s="551"/>
      <c r="BX1155" s="551"/>
      <c r="BY1155" s="650"/>
      <c r="BZ1155" s="551">
        <f>I1155</f>
        <v>5058</v>
      </c>
      <c r="CA1155" s="652"/>
      <c r="CB1155" s="567"/>
      <c r="CC1155" s="653"/>
      <c r="CD1155" s="650"/>
      <c r="CE1155" s="650"/>
      <c r="CF1155" s="551"/>
      <c r="CG1155" s="551"/>
      <c r="CI1155" s="551"/>
      <c r="CJ1155" s="551"/>
      <c r="CK1155" s="551"/>
      <c r="CL1155" s="551"/>
      <c r="CM1155" s="551"/>
      <c r="CN1155" s="551"/>
      <c r="CO1155" s="551"/>
      <c r="CP1155" s="551"/>
      <c r="CQ1155" s="551"/>
      <c r="CR1155" s="551"/>
      <c r="CS1155" s="551"/>
      <c r="CT1155" s="551"/>
      <c r="CU1155" s="554">
        <f t="shared" si="446"/>
        <v>0</v>
      </c>
      <c r="CV1155" s="551">
        <f t="shared" si="447"/>
        <v>0</v>
      </c>
      <c r="CW1155" s="551">
        <f t="shared" si="448"/>
        <v>0</v>
      </c>
      <c r="CX1155" s="650"/>
      <c r="CY1155" s="650"/>
      <c r="CZ1155" s="650"/>
      <c r="DA1155" s="548"/>
      <c r="DB1155" s="548"/>
      <c r="DC1155" s="548"/>
      <c r="DD1155" s="650"/>
      <c r="DE1155" s="650"/>
      <c r="DF1155" s="650"/>
      <c r="DG1155" s="650"/>
      <c r="DH1155" s="650"/>
    </row>
    <row r="1156" s="548" customFormat="1" ht="31" customHeight="1" spans="1:112">
      <c r="A1156" s="641">
        <v>46050</v>
      </c>
      <c r="B1156" s="609" t="s">
        <v>6845</v>
      </c>
      <c r="C1156" s="246" t="s">
        <v>98</v>
      </c>
      <c r="D1156" s="551">
        <v>4500192425</v>
      </c>
      <c r="E1156" s="643">
        <v>5153</v>
      </c>
      <c r="F1156" s="551" t="s">
        <v>8878</v>
      </c>
      <c r="G1156" s="246" t="s">
        <v>6036</v>
      </c>
      <c r="H1156" s="246" t="s">
        <v>6033</v>
      </c>
      <c r="I1156" s="246">
        <v>600</v>
      </c>
      <c r="J1156" s="246">
        <v>0</v>
      </c>
      <c r="K1156" s="246">
        <v>50</v>
      </c>
      <c r="L1156" s="644">
        <f t="shared" si="437"/>
        <v>12</v>
      </c>
      <c r="M1156" s="645">
        <v>46106</v>
      </c>
      <c r="N1156" s="645">
        <v>46102</v>
      </c>
      <c r="O1156" s="246"/>
      <c r="P1156" s="643" t="s">
        <v>113</v>
      </c>
      <c r="Q1156" s="246"/>
      <c r="R1156" s="646" t="s">
        <v>454</v>
      </c>
      <c r="S1156" s="646" t="s">
        <v>70</v>
      </c>
      <c r="T1156" s="646" t="s">
        <v>70</v>
      </c>
      <c r="U1156" s="646"/>
      <c r="V1156" s="646"/>
      <c r="W1156" s="615"/>
      <c r="X1156" s="642" t="s">
        <v>8879</v>
      </c>
      <c r="Y1156" s="642" t="s">
        <v>270</v>
      </c>
      <c r="Z1156" s="655">
        <v>0.5735</v>
      </c>
      <c r="AA1156" s="647">
        <f t="shared" si="444"/>
        <v>344.1</v>
      </c>
      <c r="AC1156" s="658" t="s">
        <v>3297</v>
      </c>
      <c r="AD1156" s="246" t="s">
        <v>6036</v>
      </c>
      <c r="AE1156" s="246" t="s">
        <v>82</v>
      </c>
      <c r="AF1156" s="246"/>
      <c r="AG1156" s="642"/>
      <c r="AH1156" s="642">
        <v>1</v>
      </c>
      <c r="AI1156" s="246">
        <v>600</v>
      </c>
      <c r="AJ1156" s="246">
        <f t="shared" si="433"/>
        <v>0</v>
      </c>
      <c r="AK1156" s="246"/>
      <c r="AL1156" s="246"/>
      <c r="AM1156" s="246"/>
      <c r="AN1156" s="246">
        <f>I1156</f>
        <v>600</v>
      </c>
      <c r="AO1156" s="551"/>
      <c r="AP1156" s="554">
        <f>I1156</f>
        <v>600</v>
      </c>
      <c r="AQ1156" s="551"/>
      <c r="AR1156" s="650"/>
      <c r="AS1156" s="551"/>
      <c r="AT1156" s="551"/>
      <c r="AU1156" s="554">
        <f>I1156</f>
        <v>600</v>
      </c>
      <c r="AV1156" s="551"/>
      <c r="AW1156" s="650"/>
      <c r="AX1156" s="551"/>
      <c r="AY1156" s="551"/>
      <c r="AZ1156" s="551"/>
      <c r="BA1156" s="551"/>
      <c r="BB1156" s="249">
        <f>I1156/24</f>
        <v>25</v>
      </c>
      <c r="BC1156" s="651"/>
      <c r="BD1156" s="551"/>
      <c r="BE1156" s="551"/>
      <c r="BF1156" s="551"/>
      <c r="BH1156" s="551"/>
      <c r="BI1156" s="551"/>
      <c r="BJ1156" s="551"/>
      <c r="BK1156" s="551"/>
      <c r="BL1156" s="551"/>
      <c r="BM1156" s="551"/>
      <c r="BN1156" s="551">
        <f>I1156/25</f>
        <v>24</v>
      </c>
      <c r="BO1156" s="551"/>
      <c r="BP1156" s="551"/>
      <c r="BQ1156" s="551"/>
      <c r="BR1156" s="551"/>
      <c r="BS1156" s="551"/>
      <c r="BT1156" s="551"/>
      <c r="BU1156" s="551"/>
      <c r="BV1156" s="551"/>
      <c r="BW1156" s="551"/>
      <c r="BX1156" s="551"/>
      <c r="BY1156" s="650"/>
      <c r="BZ1156" s="551"/>
      <c r="CA1156" s="652"/>
      <c r="CB1156" s="567"/>
      <c r="CC1156" s="653"/>
      <c r="CD1156" s="650"/>
      <c r="CE1156" s="650"/>
      <c r="CF1156" s="551"/>
      <c r="CG1156" s="551"/>
      <c r="CI1156" s="551"/>
      <c r="CJ1156" s="551"/>
      <c r="CK1156" s="551"/>
      <c r="CL1156" s="551"/>
      <c r="CM1156" s="551"/>
      <c r="CN1156" s="551"/>
      <c r="CO1156" s="551"/>
      <c r="CP1156" s="551"/>
      <c r="CQ1156" s="551"/>
      <c r="CR1156" s="551"/>
      <c r="CS1156" s="551"/>
      <c r="CT1156" s="551"/>
      <c r="CU1156" s="554">
        <f t="shared" si="446"/>
        <v>24</v>
      </c>
      <c r="CV1156" s="551">
        <f t="shared" si="447"/>
        <v>0</v>
      </c>
      <c r="CW1156" s="551">
        <f t="shared" si="448"/>
        <v>0</v>
      </c>
      <c r="CX1156" s="650"/>
      <c r="CY1156" s="650"/>
      <c r="CZ1156" s="650"/>
      <c r="DA1156" s="548"/>
      <c r="DB1156" s="548"/>
      <c r="DC1156" s="548"/>
      <c r="DD1156" s="650"/>
      <c r="DE1156" s="650"/>
      <c r="DF1156" s="650"/>
      <c r="DG1156" s="650"/>
      <c r="DH1156" s="650"/>
    </row>
    <row r="1157" s="548" customFormat="1" ht="31" customHeight="1" spans="1:112">
      <c r="A1157" s="641">
        <v>46051</v>
      </c>
      <c r="B1157" s="642" t="s">
        <v>1971</v>
      </c>
      <c r="C1157" s="246" t="s">
        <v>810</v>
      </c>
      <c r="D1157" s="551">
        <v>4500192550</v>
      </c>
      <c r="E1157" s="246" t="s">
        <v>3301</v>
      </c>
      <c r="F1157" s="551" t="s">
        <v>8880</v>
      </c>
      <c r="G1157" s="246" t="s">
        <v>6043</v>
      </c>
      <c r="H1157" s="246" t="s">
        <v>6110</v>
      </c>
      <c r="I1157" s="246">
        <v>2500</v>
      </c>
      <c r="J1157" s="246">
        <v>0</v>
      </c>
      <c r="K1157" s="246">
        <v>50</v>
      </c>
      <c r="L1157" s="644">
        <f t="shared" si="437"/>
        <v>50</v>
      </c>
      <c r="M1157" s="645">
        <v>46106</v>
      </c>
      <c r="N1157" s="645">
        <v>46102</v>
      </c>
      <c r="O1157" s="246"/>
      <c r="P1157" s="643" t="s">
        <v>113</v>
      </c>
      <c r="Q1157" s="246"/>
      <c r="R1157" s="646">
        <v>46051</v>
      </c>
      <c r="S1157" s="646" t="s">
        <v>70</v>
      </c>
      <c r="T1157" s="646" t="s">
        <v>3303</v>
      </c>
      <c r="U1157" s="646"/>
      <c r="V1157" s="646"/>
      <c r="W1157" s="615"/>
      <c r="X1157" s="628" t="s">
        <v>8881</v>
      </c>
      <c r="Y1157" s="642" t="s">
        <v>230</v>
      </c>
      <c r="Z1157" s="655">
        <v>0.9771</v>
      </c>
      <c r="AA1157" s="647">
        <f t="shared" si="444"/>
        <v>2442.75</v>
      </c>
      <c r="AC1157" s="648"/>
      <c r="AD1157" s="246" t="s">
        <v>7350</v>
      </c>
      <c r="AE1157" s="246" t="s">
        <v>82</v>
      </c>
      <c r="AF1157" s="246"/>
      <c r="AG1157" s="642"/>
      <c r="AH1157" s="642">
        <v>1</v>
      </c>
      <c r="AI1157" s="246">
        <v>2500</v>
      </c>
      <c r="AJ1157" s="246">
        <f t="shared" si="433"/>
        <v>0</v>
      </c>
      <c r="AK1157" s="246"/>
      <c r="AL1157" s="246" t="s">
        <v>2368</v>
      </c>
      <c r="AM1157" s="246"/>
      <c r="AN1157" s="246"/>
      <c r="AO1157" s="551">
        <f>I1157</f>
        <v>2500</v>
      </c>
      <c r="AP1157" s="551"/>
      <c r="AQ1157" s="551"/>
      <c r="AR1157" s="650"/>
      <c r="AS1157" s="551"/>
      <c r="AT1157" s="554">
        <f>I1157</f>
        <v>2500</v>
      </c>
      <c r="AU1157" s="551"/>
      <c r="AV1157" s="554">
        <f>I1157</f>
        <v>2500</v>
      </c>
      <c r="AW1157" s="650"/>
      <c r="AX1157" s="551"/>
      <c r="AY1157" s="551"/>
      <c r="AZ1157" s="551"/>
      <c r="BA1157" s="551"/>
      <c r="BB1157" s="620">
        <f>I1157/24</f>
        <v>104.166666666667</v>
      </c>
      <c r="BC1157" s="651"/>
      <c r="BD1157" s="551"/>
      <c r="BE1157" s="551"/>
      <c r="BF1157" s="551"/>
      <c r="BH1157" s="551"/>
      <c r="BI1157" s="551"/>
      <c r="BJ1157" s="551"/>
      <c r="BK1157" s="551"/>
      <c r="BL1157" s="551"/>
      <c r="BM1157" s="551"/>
      <c r="BN1157" s="551"/>
      <c r="BO1157" s="551"/>
      <c r="BP1157" s="551">
        <f>I1157/25</f>
        <v>100</v>
      </c>
      <c r="BQ1157" s="551"/>
      <c r="BR1157" s="551"/>
      <c r="BS1157" s="551"/>
      <c r="BT1157" s="551"/>
      <c r="BU1157" s="551"/>
      <c r="BV1157" s="551"/>
      <c r="BW1157" s="551"/>
      <c r="BX1157" s="551"/>
      <c r="BY1157" s="650"/>
      <c r="BZ1157" s="551"/>
      <c r="CA1157" s="652"/>
      <c r="CB1157" s="567"/>
      <c r="CC1157" s="653"/>
      <c r="CD1157" s="650"/>
      <c r="CE1157" s="650"/>
      <c r="CF1157" s="551"/>
      <c r="CG1157" s="551"/>
      <c r="CI1157" s="551"/>
      <c r="CJ1157" s="551"/>
      <c r="CK1157" s="551"/>
      <c r="CL1157" s="551"/>
      <c r="CM1157" s="551"/>
      <c r="CN1157" s="551"/>
      <c r="CO1157" s="551"/>
      <c r="CP1157" s="551"/>
      <c r="CQ1157" s="551"/>
      <c r="CR1157" s="551"/>
      <c r="CS1157" s="551"/>
      <c r="CT1157" s="551"/>
      <c r="CU1157" s="554">
        <f t="shared" si="446"/>
        <v>100</v>
      </c>
      <c r="CV1157" s="551">
        <f t="shared" si="447"/>
        <v>0</v>
      </c>
      <c r="CW1157" s="551">
        <f t="shared" si="448"/>
        <v>0</v>
      </c>
      <c r="CX1157" s="650"/>
      <c r="CY1157" s="650"/>
      <c r="CZ1157" s="650"/>
      <c r="DA1157" s="548"/>
      <c r="DB1157" s="548"/>
      <c r="DC1157" s="548"/>
      <c r="DD1157" s="650"/>
      <c r="DE1157" s="650"/>
      <c r="DF1157" s="650"/>
      <c r="DG1157" s="650"/>
      <c r="DH1157" s="650"/>
    </row>
    <row r="1158" s="548" customFormat="1" ht="31" customHeight="1" spans="1:112">
      <c r="A1158" s="641">
        <v>45978</v>
      </c>
      <c r="B1158" s="642" t="s">
        <v>1492</v>
      </c>
      <c r="C1158" s="693" t="s">
        <v>98</v>
      </c>
      <c r="D1158" s="551">
        <v>4500185945</v>
      </c>
      <c r="E1158" s="643">
        <v>9601218346</v>
      </c>
      <c r="F1158" s="551" t="s">
        <v>3252</v>
      </c>
      <c r="G1158" s="246" t="s">
        <v>8457</v>
      </c>
      <c r="H1158" s="246" t="s">
        <v>830</v>
      </c>
      <c r="I1158" s="246">
        <v>5400</v>
      </c>
      <c r="J1158" s="246">
        <v>0</v>
      </c>
      <c r="K1158" s="246">
        <v>75</v>
      </c>
      <c r="L1158" s="644">
        <f t="shared" si="437"/>
        <v>72</v>
      </c>
      <c r="M1158" s="645">
        <v>46101</v>
      </c>
      <c r="N1158" s="645">
        <v>46097</v>
      </c>
      <c r="O1158" s="643"/>
      <c r="P1158" s="643" t="s">
        <v>113</v>
      </c>
      <c r="Q1158" s="246"/>
      <c r="R1158" s="646" t="s">
        <v>2667</v>
      </c>
      <c r="S1158" s="646" t="s">
        <v>70</v>
      </c>
      <c r="T1158" s="646" t="s">
        <v>70</v>
      </c>
      <c r="U1158" s="646"/>
      <c r="V1158" s="646"/>
      <c r="W1158" s="615"/>
      <c r="X1158" s="642" t="s">
        <v>2826</v>
      </c>
      <c r="Y1158" s="694" t="s">
        <v>911</v>
      </c>
      <c r="Z1158" s="642">
        <v>359.3436</v>
      </c>
      <c r="AA1158" s="647">
        <f>Z1158*L1158</f>
        <v>25872.7392</v>
      </c>
      <c r="AC1158" s="658" t="s">
        <v>3253</v>
      </c>
      <c r="AD1158" s="642" t="s">
        <v>1498</v>
      </c>
      <c r="AE1158" s="246" t="s">
        <v>82</v>
      </c>
      <c r="AF1158" s="246"/>
      <c r="AG1158" s="642"/>
      <c r="AH1158" s="642">
        <v>1</v>
      </c>
      <c r="AI1158" s="246">
        <f>4560+840</f>
        <v>5400</v>
      </c>
      <c r="AJ1158" s="246">
        <f t="shared" si="433"/>
        <v>0</v>
      </c>
      <c r="AK1158" s="246"/>
      <c r="AL1158" s="246"/>
      <c r="AM1158" s="246"/>
      <c r="AN1158" s="610">
        <f>I1158*3</f>
        <v>16200</v>
      </c>
      <c r="AO1158" s="551"/>
      <c r="AP1158" s="551"/>
      <c r="AQ1158" s="551"/>
      <c r="AR1158" s="650"/>
      <c r="AS1158" s="551"/>
      <c r="AT1158" s="551"/>
      <c r="AU1158" s="551"/>
      <c r="AV1158" s="551"/>
      <c r="AW1158" s="650"/>
      <c r="AX1158" s="551"/>
      <c r="AY1158" s="551"/>
      <c r="AZ1158" s="551"/>
      <c r="BA1158" s="551"/>
      <c r="BB1158" s="249">
        <f>I1158/24*3</f>
        <v>675</v>
      </c>
      <c r="BC1158" s="651"/>
      <c r="BD1158" s="551"/>
      <c r="BE1158" s="551"/>
      <c r="BF1158" s="551">
        <f>AN1158</f>
        <v>16200</v>
      </c>
      <c r="BH1158" s="551">
        <f>AN1158</f>
        <v>16200</v>
      </c>
      <c r="BI1158" s="551">
        <f>I1158</f>
        <v>5400</v>
      </c>
      <c r="BJ1158" s="551">
        <f>I1158/5</f>
        <v>1080</v>
      </c>
      <c r="BK1158" s="551"/>
      <c r="BL1158" s="551"/>
      <c r="BM1158" s="551"/>
      <c r="BN1158" s="551"/>
      <c r="BO1158" s="551"/>
      <c r="BP1158" s="551"/>
      <c r="BQ1158" s="551"/>
      <c r="BR1158" s="551"/>
      <c r="BS1158" s="551"/>
      <c r="BT1158" s="551"/>
      <c r="BU1158" s="551"/>
      <c r="BV1158" s="551"/>
      <c r="BW1158" s="551"/>
      <c r="BX1158" s="551"/>
      <c r="BY1158" s="650"/>
      <c r="BZ1158" s="551"/>
      <c r="CA1158" s="652"/>
      <c r="CB1158" s="567"/>
      <c r="CC1158" s="653"/>
      <c r="CD1158" s="650"/>
      <c r="CE1158" s="650"/>
      <c r="CF1158" s="551"/>
      <c r="CG1158" s="551"/>
      <c r="CI1158" s="551"/>
      <c r="CJ1158" s="551"/>
      <c r="CK1158" s="551"/>
      <c r="CL1158" s="551"/>
      <c r="CM1158" s="551"/>
      <c r="CN1158" s="551"/>
      <c r="CO1158" s="551"/>
      <c r="CP1158" s="551"/>
      <c r="CQ1158" s="551"/>
      <c r="CR1158" s="551"/>
      <c r="CS1158" s="551"/>
      <c r="CT1158" s="551"/>
      <c r="CU1158" s="551">
        <f t="shared" si="446"/>
        <v>0</v>
      </c>
      <c r="CV1158" s="551">
        <f t="shared" si="447"/>
        <v>0</v>
      </c>
      <c r="CW1158" s="551">
        <f t="shared" si="448"/>
        <v>0</v>
      </c>
      <c r="CX1158" s="650"/>
      <c r="CY1158" s="650"/>
      <c r="CZ1158" s="650"/>
      <c r="DA1158" s="548"/>
      <c r="DB1158" s="548"/>
      <c r="DC1158" s="548"/>
      <c r="DD1158" s="650"/>
      <c r="DE1158" s="650"/>
      <c r="DF1158" s="650"/>
      <c r="DG1158" s="650"/>
      <c r="DH1158" s="650"/>
    </row>
    <row r="1159" s="548" customFormat="1" ht="31" customHeight="1" spans="1:112">
      <c r="A1159" s="641">
        <v>45978</v>
      </c>
      <c r="B1159" s="642" t="s">
        <v>1492</v>
      </c>
      <c r="C1159" s="693" t="s">
        <v>98</v>
      </c>
      <c r="D1159" s="551">
        <v>4500185946</v>
      </c>
      <c r="E1159" s="643">
        <v>2881218254</v>
      </c>
      <c r="F1159" s="551" t="s">
        <v>3255</v>
      </c>
      <c r="G1159" s="246" t="s">
        <v>8457</v>
      </c>
      <c r="H1159" s="246" t="s">
        <v>830</v>
      </c>
      <c r="I1159" s="246">
        <v>5400</v>
      </c>
      <c r="J1159" s="246">
        <v>0</v>
      </c>
      <c r="K1159" s="246">
        <v>75</v>
      </c>
      <c r="L1159" s="644">
        <f t="shared" si="437"/>
        <v>72</v>
      </c>
      <c r="M1159" s="645">
        <v>46101</v>
      </c>
      <c r="N1159" s="645">
        <v>46097</v>
      </c>
      <c r="O1159" s="643"/>
      <c r="P1159" s="643" t="s">
        <v>113</v>
      </c>
      <c r="Q1159" s="246"/>
      <c r="R1159" s="646" t="s">
        <v>2667</v>
      </c>
      <c r="S1159" s="646" t="s">
        <v>70</v>
      </c>
      <c r="T1159" s="646" t="s">
        <v>70</v>
      </c>
      <c r="U1159" s="646"/>
      <c r="V1159" s="646"/>
      <c r="W1159" s="615"/>
      <c r="X1159" s="642" t="s">
        <v>2826</v>
      </c>
      <c r="Y1159" s="694" t="s">
        <v>911</v>
      </c>
      <c r="Z1159" s="642">
        <v>359.3436</v>
      </c>
      <c r="AA1159" s="647">
        <f>Z1159*L1159</f>
        <v>25872.7392</v>
      </c>
      <c r="AC1159" s="658" t="s">
        <v>3256</v>
      </c>
      <c r="AD1159" s="642" t="s">
        <v>1498</v>
      </c>
      <c r="AE1159" s="246" t="s">
        <v>82</v>
      </c>
      <c r="AF1159" s="246"/>
      <c r="AG1159" s="642"/>
      <c r="AH1159" s="642">
        <v>1</v>
      </c>
      <c r="AI1159" s="246">
        <f>2520+2880</f>
        <v>5400</v>
      </c>
      <c r="AJ1159" s="246">
        <f t="shared" si="433"/>
        <v>0</v>
      </c>
      <c r="AK1159" s="246"/>
      <c r="AL1159" s="246"/>
      <c r="AM1159" s="246"/>
      <c r="AN1159" s="610">
        <f>I1159*3</f>
        <v>16200</v>
      </c>
      <c r="AO1159" s="551"/>
      <c r="AP1159" s="551"/>
      <c r="AQ1159" s="551"/>
      <c r="AR1159" s="650"/>
      <c r="AS1159" s="551"/>
      <c r="AT1159" s="551"/>
      <c r="AU1159" s="551"/>
      <c r="AV1159" s="551"/>
      <c r="AW1159" s="650"/>
      <c r="AX1159" s="551"/>
      <c r="AY1159" s="551"/>
      <c r="AZ1159" s="551"/>
      <c r="BA1159" s="551"/>
      <c r="BB1159" s="249">
        <f>I1159/24*3</f>
        <v>675</v>
      </c>
      <c r="BC1159" s="651"/>
      <c r="BD1159" s="551"/>
      <c r="BE1159" s="551"/>
      <c r="BF1159" s="551">
        <f>AN1159</f>
        <v>16200</v>
      </c>
      <c r="BH1159" s="551">
        <f>AN1159</f>
        <v>16200</v>
      </c>
      <c r="BI1159" s="551">
        <f>I1159</f>
        <v>5400</v>
      </c>
      <c r="BJ1159" s="551">
        <f>I1159/5</f>
        <v>1080</v>
      </c>
      <c r="BK1159" s="551"/>
      <c r="BL1159" s="551"/>
      <c r="BM1159" s="551"/>
      <c r="BN1159" s="551"/>
      <c r="BO1159" s="551"/>
      <c r="BP1159" s="551"/>
      <c r="BQ1159" s="551"/>
      <c r="BR1159" s="551"/>
      <c r="BS1159" s="551"/>
      <c r="BT1159" s="551"/>
      <c r="BU1159" s="551"/>
      <c r="BV1159" s="551"/>
      <c r="BW1159" s="551"/>
      <c r="BX1159" s="551"/>
      <c r="BY1159" s="650"/>
      <c r="BZ1159" s="551"/>
      <c r="CA1159" s="652"/>
      <c r="CB1159" s="567"/>
      <c r="CC1159" s="653"/>
      <c r="CD1159" s="650"/>
      <c r="CE1159" s="650"/>
      <c r="CF1159" s="551"/>
      <c r="CG1159" s="551"/>
      <c r="CI1159" s="551"/>
      <c r="CJ1159" s="551"/>
      <c r="CK1159" s="551"/>
      <c r="CL1159" s="551"/>
      <c r="CM1159" s="551"/>
      <c r="CN1159" s="551"/>
      <c r="CO1159" s="551"/>
      <c r="CP1159" s="551"/>
      <c r="CQ1159" s="551"/>
      <c r="CR1159" s="551"/>
      <c r="CS1159" s="551"/>
      <c r="CT1159" s="551"/>
      <c r="CU1159" s="551">
        <f t="shared" si="446"/>
        <v>0</v>
      </c>
      <c r="CV1159" s="551">
        <f t="shared" si="447"/>
        <v>0</v>
      </c>
      <c r="CW1159" s="551">
        <f t="shared" si="448"/>
        <v>0</v>
      </c>
      <c r="CX1159" s="650"/>
      <c r="CY1159" s="650"/>
      <c r="CZ1159" s="650"/>
      <c r="DA1159" s="548"/>
      <c r="DB1159" s="548"/>
      <c r="DC1159" s="548"/>
      <c r="DD1159" s="650"/>
      <c r="DE1159" s="650"/>
      <c r="DF1159" s="650"/>
      <c r="DG1159" s="650"/>
      <c r="DH1159" s="650"/>
    </row>
    <row r="1160" s="548" customFormat="1" ht="31" customHeight="1" spans="1:112">
      <c r="A1160" s="641">
        <v>46021</v>
      </c>
      <c r="B1160" s="642" t="s">
        <v>246</v>
      </c>
      <c r="C1160" s="693" t="s">
        <v>98</v>
      </c>
      <c r="D1160" s="551">
        <v>4500190319</v>
      </c>
      <c r="E1160" s="246" t="s">
        <v>8882</v>
      </c>
      <c r="F1160" s="551" t="s">
        <v>8883</v>
      </c>
      <c r="G1160" s="246" t="s">
        <v>6084</v>
      </c>
      <c r="H1160" s="246" t="s">
        <v>6069</v>
      </c>
      <c r="I1160" s="706">
        <v>50000</v>
      </c>
      <c r="J1160" s="246">
        <v>0</v>
      </c>
      <c r="K1160" s="246">
        <v>25</v>
      </c>
      <c r="L1160" s="644">
        <f t="shared" si="437"/>
        <v>2000</v>
      </c>
      <c r="M1160" s="645">
        <v>46106</v>
      </c>
      <c r="N1160" s="645">
        <v>46101</v>
      </c>
      <c r="O1160" s="643"/>
      <c r="P1160" s="643" t="s">
        <v>113</v>
      </c>
      <c r="Q1160" s="246"/>
      <c r="R1160" s="646" t="s">
        <v>8884</v>
      </c>
      <c r="S1160" s="646" t="s">
        <v>104</v>
      </c>
      <c r="T1160" s="646" t="s">
        <v>8885</v>
      </c>
      <c r="U1160" s="646"/>
      <c r="V1160" s="646"/>
      <c r="W1160" s="615"/>
      <c r="X1160" s="642" t="s">
        <v>8886</v>
      </c>
      <c r="Y1160" s="642" t="s">
        <v>252</v>
      </c>
      <c r="Z1160" s="642">
        <v>0.5455</v>
      </c>
      <c r="AA1160" s="647">
        <f t="shared" ref="AA1160:AA1186" si="449">Z1160*I1160</f>
        <v>27275</v>
      </c>
      <c r="AC1160" s="658" t="s">
        <v>8887</v>
      </c>
      <c r="AD1160" s="246" t="s">
        <v>6084</v>
      </c>
      <c r="AE1160" s="246" t="s">
        <v>82</v>
      </c>
      <c r="AF1160" s="246"/>
      <c r="AG1160" s="642"/>
      <c r="AH1160" s="642">
        <v>1</v>
      </c>
      <c r="AI1160" s="246">
        <f>13750+36250</f>
        <v>50000</v>
      </c>
      <c r="AJ1160" s="246">
        <f t="shared" si="433"/>
        <v>0</v>
      </c>
      <c r="AK1160" s="246"/>
      <c r="AL1160" s="246" t="s">
        <v>2368</v>
      </c>
      <c r="AM1160" s="246"/>
      <c r="AN1160" s="246">
        <f>I1160</f>
        <v>50000</v>
      </c>
      <c r="AO1160" s="551"/>
      <c r="AP1160" s="554">
        <f>I1160</f>
        <v>50000</v>
      </c>
      <c r="AQ1160" s="551"/>
      <c r="AR1160" s="650"/>
      <c r="AS1160" s="551"/>
      <c r="AT1160" s="551"/>
      <c r="AU1160" s="554">
        <f>I1160</f>
        <v>50000</v>
      </c>
      <c r="AV1160" s="551"/>
      <c r="AW1160" s="650"/>
      <c r="AX1160" s="551"/>
      <c r="AY1160" s="551"/>
      <c r="AZ1160" s="551"/>
      <c r="BA1160" s="551"/>
      <c r="BB1160" s="249">
        <f>I1160/24</f>
        <v>2083.33333333333</v>
      </c>
      <c r="BC1160" s="651"/>
      <c r="BD1160" s="551"/>
      <c r="BE1160" s="551"/>
      <c r="BF1160" s="551"/>
      <c r="BH1160" s="551"/>
      <c r="BI1160" s="551"/>
      <c r="BJ1160" s="551"/>
      <c r="BK1160" s="551"/>
      <c r="BL1160" s="551"/>
      <c r="BM1160" s="551"/>
      <c r="BN1160" s="551">
        <f>I1160/25</f>
        <v>2000</v>
      </c>
      <c r="BO1160" s="551"/>
      <c r="BP1160" s="551"/>
      <c r="BQ1160" s="551"/>
      <c r="BR1160" s="551"/>
      <c r="BS1160" s="551"/>
      <c r="BT1160" s="551"/>
      <c r="BU1160" s="551"/>
      <c r="BV1160" s="551"/>
      <c r="BW1160" s="551"/>
      <c r="BX1160" s="551"/>
      <c r="BY1160" s="650"/>
      <c r="BZ1160" s="551"/>
      <c r="CA1160" s="652"/>
      <c r="CB1160" s="567"/>
      <c r="CC1160" s="653"/>
      <c r="CD1160" s="650"/>
      <c r="CE1160" s="650"/>
      <c r="CF1160" s="551"/>
      <c r="CG1160" s="551"/>
      <c r="CI1160" s="551"/>
      <c r="CJ1160" s="551"/>
      <c r="CK1160" s="551"/>
      <c r="CL1160" s="551"/>
      <c r="CM1160" s="551"/>
      <c r="CN1160" s="551"/>
      <c r="CO1160" s="551"/>
      <c r="CP1160" s="551"/>
      <c r="CQ1160" s="551"/>
      <c r="CR1160" s="551"/>
      <c r="CS1160" s="551"/>
      <c r="CT1160" s="551"/>
      <c r="CU1160" s="551">
        <f t="shared" si="446"/>
        <v>2000</v>
      </c>
      <c r="CV1160" s="551">
        <f t="shared" si="447"/>
        <v>0</v>
      </c>
      <c r="CW1160" s="551">
        <f t="shared" si="448"/>
        <v>0</v>
      </c>
      <c r="CX1160" s="650"/>
      <c r="CY1160" s="650"/>
      <c r="CZ1160" s="650"/>
      <c r="DA1160" s="548"/>
      <c r="DB1160" s="548"/>
      <c r="DC1160" s="548"/>
      <c r="DD1160" s="650"/>
      <c r="DE1160" s="650"/>
      <c r="DF1160" s="650"/>
      <c r="DG1160" s="650"/>
      <c r="DH1160" s="650"/>
    </row>
    <row r="1161" s="548" customFormat="1" ht="31" customHeight="1" spans="1:112">
      <c r="A1161" s="641">
        <v>46044</v>
      </c>
      <c r="B1161" s="642" t="s">
        <v>1922</v>
      </c>
      <c r="C1161" s="693" t="s">
        <v>154</v>
      </c>
      <c r="D1161" s="551">
        <v>4500191865</v>
      </c>
      <c r="E1161" s="246" t="s">
        <v>3277</v>
      </c>
      <c r="F1161" s="551" t="s">
        <v>3278</v>
      </c>
      <c r="G1161" s="246" t="s">
        <v>6337</v>
      </c>
      <c r="H1161" s="246" t="s">
        <v>477</v>
      </c>
      <c r="I1161" s="246">
        <v>1008</v>
      </c>
      <c r="J1161" s="246">
        <v>0</v>
      </c>
      <c r="K1161" s="246">
        <v>6</v>
      </c>
      <c r="L1161" s="644">
        <f t="shared" si="437"/>
        <v>168</v>
      </c>
      <c r="M1161" s="645">
        <v>46106</v>
      </c>
      <c r="N1161" s="645">
        <v>46102</v>
      </c>
      <c r="O1161" s="643"/>
      <c r="P1161" s="643" t="s">
        <v>113</v>
      </c>
      <c r="Q1161" s="246"/>
      <c r="R1161" s="646" t="s">
        <v>463</v>
      </c>
      <c r="S1161" s="646" t="s">
        <v>104</v>
      </c>
      <c r="T1161" s="646" t="s">
        <v>454</v>
      </c>
      <c r="U1161" s="646"/>
      <c r="V1161" s="646"/>
      <c r="W1161" s="615"/>
      <c r="X1161" s="642" t="s">
        <v>3280</v>
      </c>
      <c r="Y1161" s="694" t="s">
        <v>428</v>
      </c>
      <c r="Z1161" s="655">
        <v>6.8326</v>
      </c>
      <c r="AA1161" s="647">
        <f t="shared" si="449"/>
        <v>6887.2608</v>
      </c>
      <c r="AC1161" s="648"/>
      <c r="AD1161" s="642" t="s">
        <v>480</v>
      </c>
      <c r="AE1161" s="246" t="s">
        <v>82</v>
      </c>
      <c r="AF1161" s="246"/>
      <c r="AG1161" s="642"/>
      <c r="AH1161" s="642">
        <v>1</v>
      </c>
      <c r="AI1161" s="246">
        <v>1008</v>
      </c>
      <c r="AJ1161" s="246">
        <f t="shared" si="433"/>
        <v>0</v>
      </c>
      <c r="AK1161" s="246"/>
      <c r="AL1161" s="246" t="s">
        <v>2368</v>
      </c>
      <c r="AM1161" s="246"/>
      <c r="AN1161" s="246"/>
      <c r="AO1161" s="554">
        <f>I1161*2</f>
        <v>2016</v>
      </c>
      <c r="AP1161" s="551"/>
      <c r="AQ1161" s="551"/>
      <c r="AR1161" s="650"/>
      <c r="AS1161" s="551"/>
      <c r="AT1161" s="554">
        <f>I1161*2</f>
        <v>2016</v>
      </c>
      <c r="AU1161" s="551"/>
      <c r="AV1161" s="554">
        <f>I1161*2</f>
        <v>2016</v>
      </c>
      <c r="AW1161" s="650"/>
      <c r="AX1161" s="551"/>
      <c r="AY1161" s="551"/>
      <c r="AZ1161" s="551"/>
      <c r="BA1161" s="551"/>
      <c r="BB1161" s="620">
        <f>I1161/24*2</f>
        <v>84</v>
      </c>
      <c r="BC1161" s="651"/>
      <c r="BD1161" s="551"/>
      <c r="BE1161" s="551"/>
      <c r="BF1161" s="551"/>
      <c r="BH1161" s="551"/>
      <c r="BI1161" s="551"/>
      <c r="BJ1161" s="551"/>
      <c r="BK1161" s="551"/>
      <c r="BL1161" s="551"/>
      <c r="BM1161" s="551"/>
      <c r="BN1161" s="551"/>
      <c r="BO1161" s="551"/>
      <c r="BP1161" s="551"/>
      <c r="BQ1161" s="551"/>
      <c r="BR1161" s="551"/>
      <c r="BS1161" s="551"/>
      <c r="BT1161" s="551"/>
      <c r="BU1161" s="551"/>
      <c r="BV1161" s="551"/>
      <c r="BW1161" s="551"/>
      <c r="BX1161" s="551"/>
      <c r="BY1161" s="650"/>
      <c r="BZ1161" s="551">
        <f>I1161</f>
        <v>1008</v>
      </c>
      <c r="CA1161" s="652"/>
      <c r="CB1161" s="567"/>
      <c r="CC1161" s="653"/>
      <c r="CD1161" s="650"/>
      <c r="CE1161" s="650"/>
      <c r="CF1161" s="551"/>
      <c r="CG1161" s="551"/>
      <c r="CI1161" s="551"/>
      <c r="CJ1161" s="551"/>
      <c r="CK1161" s="551"/>
      <c r="CL1161" s="551"/>
      <c r="CM1161" s="551"/>
      <c r="CN1161" s="551"/>
      <c r="CO1161" s="551"/>
      <c r="CP1161" s="551"/>
      <c r="CQ1161" s="551"/>
      <c r="CR1161" s="551"/>
      <c r="CS1161" s="551"/>
      <c r="CT1161" s="551"/>
      <c r="CU1161" s="551">
        <f t="shared" si="446"/>
        <v>0</v>
      </c>
      <c r="CV1161" s="551">
        <f t="shared" si="447"/>
        <v>0</v>
      </c>
      <c r="CW1161" s="551">
        <f t="shared" si="448"/>
        <v>0</v>
      </c>
      <c r="CX1161" s="707"/>
      <c r="CY1161" s="707"/>
      <c r="CZ1161" s="707"/>
      <c r="DA1161" s="708"/>
      <c r="DB1161" s="708"/>
      <c r="DC1161" s="708"/>
      <c r="DD1161" s="707"/>
      <c r="DE1161" s="707"/>
      <c r="DF1161" s="707"/>
      <c r="DG1161" s="707"/>
      <c r="DH1161" s="707"/>
    </row>
    <row r="1162" s="548" customFormat="1" ht="31" customHeight="1" spans="1:112">
      <c r="A1162" s="641">
        <v>46044</v>
      </c>
      <c r="B1162" s="642" t="s">
        <v>1922</v>
      </c>
      <c r="C1162" s="693" t="s">
        <v>411</v>
      </c>
      <c r="D1162" s="551">
        <v>4500191865</v>
      </c>
      <c r="E1162" s="246" t="s">
        <v>3284</v>
      </c>
      <c r="F1162" s="551" t="s">
        <v>3285</v>
      </c>
      <c r="G1162" s="246" t="s">
        <v>6337</v>
      </c>
      <c r="H1162" s="246" t="s">
        <v>477</v>
      </c>
      <c r="I1162" s="246">
        <v>504</v>
      </c>
      <c r="J1162" s="246">
        <v>0</v>
      </c>
      <c r="K1162" s="246">
        <v>6</v>
      </c>
      <c r="L1162" s="644">
        <f t="shared" si="437"/>
        <v>84</v>
      </c>
      <c r="M1162" s="645">
        <v>46106</v>
      </c>
      <c r="N1162" s="645">
        <v>46102</v>
      </c>
      <c r="O1162" s="643"/>
      <c r="P1162" s="643" t="s">
        <v>113</v>
      </c>
      <c r="Q1162" s="246"/>
      <c r="R1162" s="646" t="s">
        <v>463</v>
      </c>
      <c r="S1162" s="646" t="s">
        <v>104</v>
      </c>
      <c r="T1162" s="646" t="s">
        <v>454</v>
      </c>
      <c r="U1162" s="646"/>
      <c r="V1162" s="646"/>
      <c r="W1162" s="615"/>
      <c r="X1162" s="642" t="s">
        <v>3286</v>
      </c>
      <c r="Y1162" s="694" t="s">
        <v>428</v>
      </c>
      <c r="Z1162" s="655">
        <v>7.1628</v>
      </c>
      <c r="AA1162" s="647">
        <f t="shared" si="449"/>
        <v>3610.0512</v>
      </c>
      <c r="AC1162" s="648"/>
      <c r="AD1162" s="642" t="s">
        <v>480</v>
      </c>
      <c r="AE1162" s="246" t="s">
        <v>82</v>
      </c>
      <c r="AF1162" s="246"/>
      <c r="AG1162" s="642"/>
      <c r="AH1162" s="642">
        <v>1</v>
      </c>
      <c r="AI1162" s="246">
        <v>504</v>
      </c>
      <c r="AJ1162" s="246">
        <f t="shared" si="433"/>
        <v>0</v>
      </c>
      <c r="AK1162" s="246"/>
      <c r="AL1162" s="246" t="s">
        <v>2368</v>
      </c>
      <c r="AM1162" s="246"/>
      <c r="AN1162" s="246"/>
      <c r="AO1162" s="554">
        <f>I1162*2</f>
        <v>1008</v>
      </c>
      <c r="AP1162" s="551"/>
      <c r="AQ1162" s="551"/>
      <c r="AR1162" s="650"/>
      <c r="AS1162" s="551"/>
      <c r="AT1162" s="554">
        <f>I1162*2</f>
        <v>1008</v>
      </c>
      <c r="AU1162" s="551"/>
      <c r="AV1162" s="554">
        <f>I1162*2</f>
        <v>1008</v>
      </c>
      <c r="AW1162" s="650"/>
      <c r="AX1162" s="551"/>
      <c r="AY1162" s="551"/>
      <c r="AZ1162" s="551"/>
      <c r="BA1162" s="551"/>
      <c r="BB1162" s="620">
        <f>I1162/24*2</f>
        <v>42</v>
      </c>
      <c r="BC1162" s="651"/>
      <c r="BD1162" s="551"/>
      <c r="BE1162" s="551"/>
      <c r="BF1162" s="551"/>
      <c r="BH1162" s="551"/>
      <c r="BI1162" s="551"/>
      <c r="BJ1162" s="551"/>
      <c r="BK1162" s="551"/>
      <c r="BL1162" s="551"/>
      <c r="BM1162" s="551"/>
      <c r="BN1162" s="551"/>
      <c r="BO1162" s="551"/>
      <c r="BP1162" s="551"/>
      <c r="BQ1162" s="551"/>
      <c r="BR1162" s="551"/>
      <c r="BS1162" s="551"/>
      <c r="BT1162" s="551"/>
      <c r="BU1162" s="551"/>
      <c r="BV1162" s="551"/>
      <c r="BW1162" s="551"/>
      <c r="BX1162" s="551"/>
      <c r="BY1162" s="650"/>
      <c r="BZ1162" s="551">
        <f>I1162</f>
        <v>504</v>
      </c>
      <c r="CA1162" s="652"/>
      <c r="CB1162" s="567"/>
      <c r="CC1162" s="653"/>
      <c r="CD1162" s="650"/>
      <c r="CE1162" s="650"/>
      <c r="CF1162" s="551"/>
      <c r="CG1162" s="551"/>
      <c r="CI1162" s="551"/>
      <c r="CJ1162" s="551"/>
      <c r="CK1162" s="551"/>
      <c r="CL1162" s="551"/>
      <c r="CM1162" s="551"/>
      <c r="CN1162" s="551"/>
      <c r="CO1162" s="551"/>
      <c r="CP1162" s="551"/>
      <c r="CQ1162" s="551"/>
      <c r="CR1162" s="551"/>
      <c r="CS1162" s="551"/>
      <c r="CT1162" s="551"/>
      <c r="CU1162" s="551">
        <f t="shared" si="446"/>
        <v>0</v>
      </c>
      <c r="CV1162" s="551">
        <f t="shared" si="447"/>
        <v>0</v>
      </c>
      <c r="CW1162" s="551">
        <f t="shared" si="448"/>
        <v>0</v>
      </c>
      <c r="CX1162" s="707"/>
      <c r="CY1162" s="707"/>
      <c r="CZ1162" s="707"/>
      <c r="DA1162" s="708"/>
      <c r="DB1162" s="708"/>
      <c r="DC1162" s="708"/>
      <c r="DD1162" s="707"/>
      <c r="DE1162" s="707"/>
      <c r="DF1162" s="707"/>
      <c r="DG1162" s="707"/>
      <c r="DH1162" s="707"/>
    </row>
    <row r="1163" s="548" customFormat="1" ht="31" customHeight="1" spans="1:112">
      <c r="A1163" s="641">
        <v>46051</v>
      </c>
      <c r="B1163" s="642" t="s">
        <v>1800</v>
      </c>
      <c r="C1163" s="693" t="s">
        <v>744</v>
      </c>
      <c r="D1163" s="551">
        <v>4500192252</v>
      </c>
      <c r="E1163" s="246">
        <v>5000002110</v>
      </c>
      <c r="F1163" s="551" t="s">
        <v>8888</v>
      </c>
      <c r="G1163" s="246" t="s">
        <v>6093</v>
      </c>
      <c r="H1163" s="639" t="s">
        <v>7359</v>
      </c>
      <c r="I1163" s="706">
        <v>5018</v>
      </c>
      <c r="J1163" s="246">
        <v>0</v>
      </c>
      <c r="K1163" s="246">
        <v>13</v>
      </c>
      <c r="L1163" s="644">
        <f t="shared" si="437"/>
        <v>386</v>
      </c>
      <c r="M1163" s="645">
        <v>46106</v>
      </c>
      <c r="N1163" s="645">
        <v>46102</v>
      </c>
      <c r="O1163" s="643"/>
      <c r="P1163" s="709" t="s">
        <v>113</v>
      </c>
      <c r="Q1163" s="246"/>
      <c r="R1163" s="646" t="s">
        <v>8889</v>
      </c>
      <c r="S1163" s="646" t="s">
        <v>70</v>
      </c>
      <c r="T1163" s="646" t="s">
        <v>8723</v>
      </c>
      <c r="U1163" s="646"/>
      <c r="V1163" s="646"/>
      <c r="W1163" s="615"/>
      <c r="X1163" s="642" t="s">
        <v>8890</v>
      </c>
      <c r="Y1163" s="694" t="s">
        <v>1805</v>
      </c>
      <c r="Z1163" s="655">
        <v>0.882</v>
      </c>
      <c r="AA1163" s="647">
        <f t="shared" si="449"/>
        <v>4425.876</v>
      </c>
      <c r="AC1163" s="648"/>
      <c r="AD1163" s="246" t="s">
        <v>8338</v>
      </c>
      <c r="AE1163" s="246" t="s">
        <v>82</v>
      </c>
      <c r="AF1163" s="246"/>
      <c r="AG1163" s="642"/>
      <c r="AH1163" s="642">
        <v>1</v>
      </c>
      <c r="AI1163" s="246">
        <v>5018</v>
      </c>
      <c r="AJ1163" s="246">
        <f t="shared" si="433"/>
        <v>0</v>
      </c>
      <c r="AK1163" s="246"/>
      <c r="AL1163" s="246" t="s">
        <v>2368</v>
      </c>
      <c r="AM1163" s="246"/>
      <c r="AN1163" s="246"/>
      <c r="AO1163" s="551">
        <f>I1163</f>
        <v>5018</v>
      </c>
      <c r="AP1163" s="551"/>
      <c r="AQ1163" s="551"/>
      <c r="AR1163" s="650"/>
      <c r="AS1163" s="551"/>
      <c r="AT1163" s="551"/>
      <c r="AU1163" s="551"/>
      <c r="AV1163" s="551"/>
      <c r="AW1163" s="650">
        <f>I1163</f>
        <v>5018</v>
      </c>
      <c r="AX1163" s="554">
        <f>I1163</f>
        <v>5018</v>
      </c>
      <c r="AY1163" s="551"/>
      <c r="AZ1163" s="551"/>
      <c r="BA1163" s="651">
        <f>I1163/24*2</f>
        <v>418.166666666667</v>
      </c>
      <c r="BB1163" s="249"/>
      <c r="BC1163" s="651"/>
      <c r="BD1163" s="551"/>
      <c r="BE1163" s="551"/>
      <c r="BF1163" s="551"/>
      <c r="BH1163" s="551"/>
      <c r="BI1163" s="551"/>
      <c r="BJ1163" s="551"/>
      <c r="BK1163" s="551"/>
      <c r="BL1163" s="551"/>
      <c r="BM1163" s="551">
        <f>I1163/13</f>
        <v>386</v>
      </c>
      <c r="BN1163" s="551"/>
      <c r="BO1163" s="551"/>
      <c r="BP1163" s="551"/>
      <c r="BQ1163" s="551"/>
      <c r="BR1163" s="551"/>
      <c r="BS1163" s="551"/>
      <c r="BT1163" s="551"/>
      <c r="BU1163" s="551"/>
      <c r="BV1163" s="551"/>
      <c r="BW1163" s="551"/>
      <c r="BX1163" s="551"/>
      <c r="BY1163" s="650"/>
      <c r="BZ1163" s="551"/>
      <c r="CA1163" s="652"/>
      <c r="CB1163" s="567"/>
      <c r="CC1163" s="653"/>
      <c r="CD1163" s="650"/>
      <c r="CE1163" s="650"/>
      <c r="CF1163" s="551"/>
      <c r="CG1163" s="551"/>
      <c r="CI1163" s="551"/>
      <c r="CJ1163" s="551"/>
      <c r="CK1163" s="551"/>
      <c r="CL1163" s="551"/>
      <c r="CM1163" s="551"/>
      <c r="CN1163" s="551"/>
      <c r="CO1163" s="551"/>
      <c r="CP1163" s="551"/>
      <c r="CQ1163" s="551"/>
      <c r="CR1163" s="551"/>
      <c r="CS1163" s="551"/>
      <c r="CT1163" s="551"/>
      <c r="CU1163" s="551">
        <f t="shared" si="446"/>
        <v>0</v>
      </c>
      <c r="CV1163" s="551">
        <f t="shared" si="447"/>
        <v>0</v>
      </c>
      <c r="CW1163" s="551">
        <f t="shared" si="448"/>
        <v>0</v>
      </c>
      <c r="CX1163" s="707"/>
      <c r="CY1163" s="707"/>
      <c r="CZ1163" s="707"/>
      <c r="DA1163" s="708"/>
      <c r="DB1163" s="708"/>
      <c r="DC1163" s="708"/>
      <c r="DD1163" s="707"/>
      <c r="DE1163" s="707"/>
      <c r="DF1163" s="707"/>
      <c r="DG1163" s="707"/>
      <c r="DH1163" s="707"/>
    </row>
    <row r="1164" s="548" customFormat="1" ht="31" customHeight="1" spans="1:112">
      <c r="A1164" s="641">
        <v>46051</v>
      </c>
      <c r="B1164" s="642" t="s">
        <v>1800</v>
      </c>
      <c r="C1164" s="246" t="s">
        <v>744</v>
      </c>
      <c r="D1164" s="551">
        <v>4500192252</v>
      </c>
      <c r="E1164" s="246">
        <v>5000002110</v>
      </c>
      <c r="F1164" s="551" t="s">
        <v>3298</v>
      </c>
      <c r="G1164" s="246" t="s">
        <v>6337</v>
      </c>
      <c r="H1164" s="662" t="s">
        <v>477</v>
      </c>
      <c r="I1164" s="706">
        <v>5004</v>
      </c>
      <c r="J1164" s="246">
        <v>0</v>
      </c>
      <c r="K1164" s="246">
        <v>6</v>
      </c>
      <c r="L1164" s="644">
        <f t="shared" si="437"/>
        <v>834</v>
      </c>
      <c r="M1164" s="645">
        <v>46106</v>
      </c>
      <c r="N1164" s="645">
        <v>46102</v>
      </c>
      <c r="O1164" s="643"/>
      <c r="P1164" s="643" t="s">
        <v>113</v>
      </c>
      <c r="Q1164" s="246"/>
      <c r="R1164" s="646" t="s">
        <v>3299</v>
      </c>
      <c r="S1164" s="646" t="s">
        <v>104</v>
      </c>
      <c r="T1164" s="646" t="s">
        <v>2239</v>
      </c>
      <c r="U1164" s="646"/>
      <c r="V1164" s="646"/>
      <c r="W1164" s="615"/>
      <c r="X1164" s="642" t="s">
        <v>8891</v>
      </c>
      <c r="Y1164" s="647" t="s">
        <v>1805</v>
      </c>
      <c r="Z1164" s="655">
        <v>6.4585</v>
      </c>
      <c r="AA1164" s="647">
        <f t="shared" si="449"/>
        <v>32318.334</v>
      </c>
      <c r="AC1164" s="648"/>
      <c r="AD1164" s="246" t="s">
        <v>2241</v>
      </c>
      <c r="AE1164" s="246" t="s">
        <v>82</v>
      </c>
      <c r="AF1164" s="246"/>
      <c r="AG1164" s="642"/>
      <c r="AH1164" s="642">
        <v>1</v>
      </c>
      <c r="AI1164" s="246">
        <v>5004</v>
      </c>
      <c r="AJ1164" s="246">
        <f t="shared" si="433"/>
        <v>0</v>
      </c>
      <c r="AK1164" s="246"/>
      <c r="AL1164" s="246" t="s">
        <v>2368</v>
      </c>
      <c r="AM1164" s="246"/>
      <c r="AN1164" s="246"/>
      <c r="AO1164" s="554">
        <f>I1164*2</f>
        <v>10008</v>
      </c>
      <c r="AP1164" s="551"/>
      <c r="AQ1164" s="551"/>
      <c r="AR1164" s="650"/>
      <c r="AS1164" s="551"/>
      <c r="AT1164" s="554">
        <f>I1164*2</f>
        <v>10008</v>
      </c>
      <c r="AU1164" s="551"/>
      <c r="AV1164" s="551"/>
      <c r="AW1164" s="650"/>
      <c r="AX1164" s="663">
        <f>I1164*2</f>
        <v>10008</v>
      </c>
      <c r="AY1164" s="551"/>
      <c r="AZ1164" s="551"/>
      <c r="BA1164" s="671">
        <f>I1164/24*2</f>
        <v>417</v>
      </c>
      <c r="BB1164" s="249"/>
      <c r="BC1164" s="651"/>
      <c r="BD1164" s="551"/>
      <c r="BE1164" s="551"/>
      <c r="BF1164" s="551"/>
      <c r="BH1164" s="551"/>
      <c r="BI1164" s="551"/>
      <c r="BJ1164" s="551"/>
      <c r="BK1164" s="551"/>
      <c r="BL1164" s="551"/>
      <c r="BM1164" s="551"/>
      <c r="BN1164" s="551"/>
      <c r="BO1164" s="551"/>
      <c r="BP1164" s="551"/>
      <c r="BQ1164" s="551"/>
      <c r="BR1164" s="551"/>
      <c r="BS1164" s="551"/>
      <c r="BT1164" s="551"/>
      <c r="BU1164" s="551"/>
      <c r="BV1164" s="551"/>
      <c r="BW1164" s="551"/>
      <c r="BX1164" s="551"/>
      <c r="BY1164" s="650"/>
      <c r="BZ1164" s="551">
        <f>I1164</f>
        <v>5004</v>
      </c>
      <c r="CA1164" s="652"/>
      <c r="CB1164" s="567"/>
      <c r="CC1164" s="653"/>
      <c r="CD1164" s="650"/>
      <c r="CE1164" s="650"/>
      <c r="CF1164" s="551"/>
      <c r="CG1164" s="551"/>
      <c r="CI1164" s="551"/>
      <c r="CJ1164" s="551"/>
      <c r="CK1164" s="551"/>
      <c r="CL1164" s="551"/>
      <c r="CM1164" s="551"/>
      <c r="CN1164" s="551"/>
      <c r="CO1164" s="551"/>
      <c r="CP1164" s="551"/>
      <c r="CQ1164" s="551"/>
      <c r="CR1164" s="551"/>
      <c r="CS1164" s="551"/>
      <c r="CT1164" s="551"/>
      <c r="CU1164" s="551">
        <f t="shared" si="446"/>
        <v>0</v>
      </c>
      <c r="CV1164" s="551">
        <f t="shared" si="447"/>
        <v>0</v>
      </c>
      <c r="CW1164" s="551">
        <f t="shared" si="448"/>
        <v>0</v>
      </c>
      <c r="CX1164" s="707"/>
      <c r="CY1164" s="707"/>
      <c r="CZ1164" s="707"/>
      <c r="DA1164" s="548"/>
      <c r="DB1164" s="548"/>
      <c r="DC1164" s="548"/>
      <c r="DD1164" s="707"/>
      <c r="DE1164" s="707"/>
      <c r="DF1164" s="707"/>
      <c r="DG1164" s="707"/>
      <c r="DH1164" s="707"/>
    </row>
    <row r="1165" s="548" customFormat="1" ht="32" customHeight="1" spans="1:112">
      <c r="A1165" s="641">
        <v>46049</v>
      </c>
      <c r="B1165" s="642" t="s">
        <v>211</v>
      </c>
      <c r="C1165" s="246" t="s">
        <v>212</v>
      </c>
      <c r="D1165" s="551">
        <v>4500192388</v>
      </c>
      <c r="E1165" s="246" t="s">
        <v>3305</v>
      </c>
      <c r="F1165" s="551" t="s">
        <v>3306</v>
      </c>
      <c r="G1165" s="246" t="s">
        <v>6337</v>
      </c>
      <c r="H1165" s="246" t="s">
        <v>477</v>
      </c>
      <c r="I1165" s="246">
        <v>480</v>
      </c>
      <c r="J1165" s="246">
        <v>0</v>
      </c>
      <c r="K1165" s="246">
        <v>6</v>
      </c>
      <c r="L1165" s="644">
        <f t="shared" si="437"/>
        <v>80</v>
      </c>
      <c r="M1165" s="645">
        <v>46106</v>
      </c>
      <c r="N1165" s="645">
        <v>46102</v>
      </c>
      <c r="O1165" s="643"/>
      <c r="P1165" s="643" t="s">
        <v>113</v>
      </c>
      <c r="Q1165" s="246"/>
      <c r="R1165" s="646">
        <v>46049</v>
      </c>
      <c r="S1165" s="646" t="s">
        <v>70</v>
      </c>
      <c r="T1165" s="646" t="s">
        <v>8892</v>
      </c>
      <c r="U1165" s="646"/>
      <c r="V1165" s="646"/>
      <c r="W1165" s="615"/>
      <c r="X1165" s="642" t="s">
        <v>3308</v>
      </c>
      <c r="Y1165" s="642" t="s">
        <v>1793</v>
      </c>
      <c r="Z1165" s="642">
        <v>7.0456</v>
      </c>
      <c r="AA1165" s="647">
        <f t="shared" si="449"/>
        <v>3381.888</v>
      </c>
      <c r="AC1165" s="648"/>
      <c r="AD1165" s="642" t="s">
        <v>1306</v>
      </c>
      <c r="AE1165" s="246" t="s">
        <v>82</v>
      </c>
      <c r="AF1165" s="246"/>
      <c r="AG1165" s="642"/>
      <c r="AH1165" s="642">
        <v>1</v>
      </c>
      <c r="AI1165" s="246">
        <f>468+12</f>
        <v>480</v>
      </c>
      <c r="AJ1165" s="246">
        <f t="shared" si="433"/>
        <v>0</v>
      </c>
      <c r="AK1165" s="246"/>
      <c r="AL1165" s="246" t="s">
        <v>2368</v>
      </c>
      <c r="AM1165" s="246"/>
      <c r="AN1165" s="246"/>
      <c r="AO1165" s="554">
        <f>I1165*2</f>
        <v>960</v>
      </c>
      <c r="AP1165" s="551"/>
      <c r="AQ1165" s="551"/>
      <c r="AR1165" s="650"/>
      <c r="AS1165" s="551"/>
      <c r="AT1165" s="554">
        <f>I1165*2</f>
        <v>960</v>
      </c>
      <c r="AU1165" s="551"/>
      <c r="AV1165" s="554">
        <f>I1165*2</f>
        <v>960</v>
      </c>
      <c r="AW1165" s="650"/>
      <c r="AX1165" s="551"/>
      <c r="AY1165" s="551"/>
      <c r="AZ1165" s="551"/>
      <c r="BA1165" s="551"/>
      <c r="BB1165" s="620">
        <f>I1165/24*2</f>
        <v>40</v>
      </c>
      <c r="BC1165" s="651"/>
      <c r="BD1165" s="551"/>
      <c r="BE1165" s="551"/>
      <c r="BF1165" s="551"/>
      <c r="BH1165" s="551"/>
      <c r="BI1165" s="551"/>
      <c r="BJ1165" s="551"/>
      <c r="BK1165" s="551"/>
      <c r="BL1165" s="551"/>
      <c r="BM1165" s="551"/>
      <c r="BN1165" s="551"/>
      <c r="BO1165" s="551"/>
      <c r="BP1165" s="551"/>
      <c r="BQ1165" s="551"/>
      <c r="BR1165" s="551"/>
      <c r="BS1165" s="551"/>
      <c r="BT1165" s="551"/>
      <c r="BU1165" s="551"/>
      <c r="BV1165" s="551"/>
      <c r="BW1165" s="551"/>
      <c r="BX1165" s="551"/>
      <c r="BY1165" s="650"/>
      <c r="BZ1165" s="551">
        <f>I1165</f>
        <v>480</v>
      </c>
      <c r="CA1165" s="652"/>
      <c r="CB1165" s="567"/>
      <c r="CC1165" s="653"/>
      <c r="CD1165" s="650"/>
      <c r="CE1165" s="650"/>
      <c r="CF1165" s="551"/>
      <c r="CG1165" s="551"/>
      <c r="CI1165" s="551"/>
      <c r="CJ1165" s="551"/>
      <c r="CK1165" s="551"/>
      <c r="CL1165" s="551"/>
      <c r="CM1165" s="551"/>
      <c r="CN1165" s="551"/>
      <c r="CO1165" s="551"/>
      <c r="CP1165" s="551"/>
      <c r="CQ1165" s="551"/>
      <c r="CR1165" s="551"/>
      <c r="CS1165" s="551"/>
      <c r="CT1165" s="551"/>
      <c r="CU1165" s="551">
        <f t="shared" si="446"/>
        <v>0</v>
      </c>
      <c r="CV1165" s="551">
        <f t="shared" si="447"/>
        <v>0</v>
      </c>
      <c r="CW1165" s="551">
        <f t="shared" si="448"/>
        <v>0</v>
      </c>
      <c r="CX1165" s="650"/>
      <c r="CY1165" s="650"/>
      <c r="CZ1165" s="650"/>
      <c r="DA1165" s="548"/>
      <c r="DB1165" s="548"/>
      <c r="DC1165" s="548"/>
      <c r="DD1165" s="650"/>
      <c r="DE1165" s="650"/>
      <c r="DF1165" s="650"/>
      <c r="DG1165" s="650"/>
      <c r="DH1165" s="650"/>
    </row>
    <row r="1166" s="548" customFormat="1" ht="31" customHeight="1" spans="1:112">
      <c r="A1166" s="641">
        <v>46045</v>
      </c>
      <c r="B1166" s="642" t="s">
        <v>135</v>
      </c>
      <c r="C1166" s="693" t="s">
        <v>128</v>
      </c>
      <c r="D1166" s="551">
        <v>4500192220</v>
      </c>
      <c r="E1166" s="246">
        <v>21503985</v>
      </c>
      <c r="F1166" s="551" t="s">
        <v>8893</v>
      </c>
      <c r="G1166" s="246" t="s">
        <v>6093</v>
      </c>
      <c r="H1166" s="246" t="s">
        <v>6094</v>
      </c>
      <c r="I1166" s="706">
        <v>4485</v>
      </c>
      <c r="J1166" s="246">
        <v>0</v>
      </c>
      <c r="K1166" s="246">
        <v>13</v>
      </c>
      <c r="L1166" s="644">
        <f t="shared" si="437"/>
        <v>345</v>
      </c>
      <c r="M1166" s="645">
        <v>46107</v>
      </c>
      <c r="N1166" s="645">
        <v>46104</v>
      </c>
      <c r="O1166" s="643"/>
      <c r="P1166" s="643" t="s">
        <v>113</v>
      </c>
      <c r="Q1166" s="246"/>
      <c r="R1166" s="646" t="s">
        <v>454</v>
      </c>
      <c r="S1166" s="646" t="s">
        <v>104</v>
      </c>
      <c r="T1166" s="646" t="s">
        <v>454</v>
      </c>
      <c r="U1166" s="646"/>
      <c r="V1166" s="646"/>
      <c r="W1166" s="615"/>
      <c r="X1166" s="642" t="s">
        <v>8894</v>
      </c>
      <c r="Y1166" s="694" t="s">
        <v>3206</v>
      </c>
      <c r="Z1166" s="655">
        <v>0.9475</v>
      </c>
      <c r="AA1166" s="647">
        <f t="shared" si="449"/>
        <v>4249.5375</v>
      </c>
      <c r="AC1166" s="648"/>
      <c r="AD1166" s="647" t="s">
        <v>6093</v>
      </c>
      <c r="AE1166" s="246" t="s">
        <v>82</v>
      </c>
      <c r="AF1166" s="246"/>
      <c r="AG1166" s="642"/>
      <c r="AH1166" s="246" t="s">
        <v>126</v>
      </c>
      <c r="AI1166" s="246">
        <f>2340+2145</f>
        <v>4485</v>
      </c>
      <c r="AJ1166" s="246">
        <f t="shared" si="433"/>
        <v>0</v>
      </c>
      <c r="AK1166" s="246"/>
      <c r="AL1166" s="246" t="s">
        <v>2368</v>
      </c>
      <c r="AM1166" s="246"/>
      <c r="AN1166" s="246"/>
      <c r="AO1166" s="551">
        <f>I1166</f>
        <v>4485</v>
      </c>
      <c r="AP1166" s="551"/>
      <c r="AQ1166" s="551"/>
      <c r="AR1166" s="650"/>
      <c r="AS1166" s="551"/>
      <c r="AT1166" s="554">
        <f>I1166</f>
        <v>4485</v>
      </c>
      <c r="AU1166" s="551"/>
      <c r="AV1166" s="554">
        <f>I1166</f>
        <v>4485</v>
      </c>
      <c r="AW1166" s="650"/>
      <c r="AX1166" s="551"/>
      <c r="AY1166" s="551"/>
      <c r="AZ1166" s="551"/>
      <c r="BA1166" s="551"/>
      <c r="BB1166" s="620">
        <f>I1166/24</f>
        <v>186.875</v>
      </c>
      <c r="BC1166" s="651"/>
      <c r="BD1166" s="551"/>
      <c r="BE1166" s="551"/>
      <c r="BF1166" s="551"/>
      <c r="BH1166" s="551"/>
      <c r="BI1166" s="551"/>
      <c r="BJ1166" s="551"/>
      <c r="BK1166" s="551"/>
      <c r="BL1166" s="551"/>
      <c r="BM1166" s="551">
        <f>I1166/13</f>
        <v>345</v>
      </c>
      <c r="BN1166" s="551"/>
      <c r="BO1166" s="551"/>
      <c r="BP1166" s="551"/>
      <c r="BQ1166" s="551"/>
      <c r="BR1166" s="551"/>
      <c r="BS1166" s="551"/>
      <c r="BT1166" s="551"/>
      <c r="BU1166" s="551"/>
      <c r="BV1166" s="551"/>
      <c r="BW1166" s="551"/>
      <c r="BX1166" s="551"/>
      <c r="BY1166" s="650"/>
      <c r="BZ1166" s="551"/>
      <c r="CA1166" s="652"/>
      <c r="CB1166" s="567"/>
      <c r="CC1166" s="653"/>
      <c r="CD1166" s="650"/>
      <c r="CE1166" s="650"/>
      <c r="CF1166" s="551"/>
      <c r="CG1166" s="551"/>
      <c r="CI1166" s="551"/>
      <c r="CJ1166" s="551"/>
      <c r="CK1166" s="551"/>
      <c r="CL1166" s="551"/>
      <c r="CM1166" s="551"/>
      <c r="CN1166" s="551"/>
      <c r="CO1166" s="551"/>
      <c r="CP1166" s="551"/>
      <c r="CQ1166" s="551"/>
      <c r="CR1166" s="551"/>
      <c r="CS1166" s="551"/>
      <c r="CT1166" s="551"/>
      <c r="CU1166" s="551">
        <f t="shared" si="446"/>
        <v>0</v>
      </c>
      <c r="CV1166" s="551">
        <f t="shared" si="447"/>
        <v>0</v>
      </c>
      <c r="CW1166" s="551">
        <f t="shared" si="448"/>
        <v>0</v>
      </c>
      <c r="CX1166" s="707"/>
      <c r="CY1166" s="707"/>
      <c r="CZ1166" s="707"/>
      <c r="DA1166" s="708"/>
      <c r="DB1166" s="708"/>
      <c r="DC1166" s="708"/>
      <c r="DD1166" s="707"/>
      <c r="DE1166" s="707"/>
      <c r="DF1166" s="707"/>
      <c r="DG1166" s="707"/>
      <c r="DH1166" s="707"/>
    </row>
    <row r="1167" s="548" customFormat="1" ht="31" customHeight="1" spans="1:112">
      <c r="A1167" s="641">
        <v>46045</v>
      </c>
      <c r="B1167" s="642" t="s">
        <v>139</v>
      </c>
      <c r="C1167" s="693" t="s">
        <v>76</v>
      </c>
      <c r="D1167" s="551">
        <v>4500192221</v>
      </c>
      <c r="E1167" s="246">
        <v>21503988</v>
      </c>
      <c r="F1167" s="551" t="s">
        <v>8895</v>
      </c>
      <c r="G1167" s="246" t="s">
        <v>6093</v>
      </c>
      <c r="H1167" s="246" t="s">
        <v>6094</v>
      </c>
      <c r="I1167" s="706">
        <v>455</v>
      </c>
      <c r="J1167" s="246">
        <v>0</v>
      </c>
      <c r="K1167" s="246">
        <v>13</v>
      </c>
      <c r="L1167" s="644">
        <f t="shared" si="437"/>
        <v>35</v>
      </c>
      <c r="M1167" s="645">
        <v>46107</v>
      </c>
      <c r="N1167" s="645">
        <v>46104</v>
      </c>
      <c r="O1167" s="643"/>
      <c r="P1167" s="643" t="s">
        <v>113</v>
      </c>
      <c r="Q1167" s="246"/>
      <c r="R1167" s="646" t="s">
        <v>454</v>
      </c>
      <c r="S1167" s="646" t="s">
        <v>104</v>
      </c>
      <c r="T1167" s="646" t="s">
        <v>454</v>
      </c>
      <c r="U1167" s="646"/>
      <c r="V1167" s="646"/>
      <c r="W1167" s="615"/>
      <c r="X1167" s="642" t="s">
        <v>8896</v>
      </c>
      <c r="Y1167" s="694" t="s">
        <v>3206</v>
      </c>
      <c r="Z1167" s="655">
        <v>0.9526</v>
      </c>
      <c r="AA1167" s="647">
        <f t="shared" si="449"/>
        <v>433.433</v>
      </c>
      <c r="AC1167" s="648"/>
      <c r="AD1167" s="647" t="s">
        <v>6093</v>
      </c>
      <c r="AE1167" s="246" t="s">
        <v>82</v>
      </c>
      <c r="AF1167" s="246"/>
      <c r="AG1167" s="642"/>
      <c r="AH1167" s="246" t="s">
        <v>126</v>
      </c>
      <c r="AI1167" s="246">
        <v>455</v>
      </c>
      <c r="AJ1167" s="246">
        <f t="shared" si="433"/>
        <v>0</v>
      </c>
      <c r="AK1167" s="246"/>
      <c r="AL1167" s="246" t="s">
        <v>454</v>
      </c>
      <c r="AM1167" s="246"/>
      <c r="AN1167" s="246"/>
      <c r="AO1167" s="551">
        <f>I1167</f>
        <v>455</v>
      </c>
      <c r="AP1167" s="551"/>
      <c r="AQ1167" s="551"/>
      <c r="AR1167" s="650"/>
      <c r="AS1167" s="551"/>
      <c r="AT1167" s="554">
        <f>I1167</f>
        <v>455</v>
      </c>
      <c r="AU1167" s="551"/>
      <c r="AV1167" s="554">
        <f>I1167</f>
        <v>455</v>
      </c>
      <c r="AW1167" s="650"/>
      <c r="AX1167" s="551"/>
      <c r="AY1167" s="551"/>
      <c r="AZ1167" s="551"/>
      <c r="BA1167" s="551"/>
      <c r="BB1167" s="620">
        <f>I1167/24</f>
        <v>18.9583333333333</v>
      </c>
      <c r="BC1167" s="651"/>
      <c r="BD1167" s="551"/>
      <c r="BE1167" s="551"/>
      <c r="BF1167" s="551"/>
      <c r="BH1167" s="551"/>
      <c r="BI1167" s="551"/>
      <c r="BJ1167" s="551"/>
      <c r="BK1167" s="551"/>
      <c r="BL1167" s="551"/>
      <c r="BM1167" s="551">
        <f>I1167/13</f>
        <v>35</v>
      </c>
      <c r="BN1167" s="551"/>
      <c r="BO1167" s="551"/>
      <c r="BP1167" s="551"/>
      <c r="BQ1167" s="551"/>
      <c r="BR1167" s="551"/>
      <c r="BS1167" s="551"/>
      <c r="BT1167" s="551"/>
      <c r="BU1167" s="551"/>
      <c r="BV1167" s="551"/>
      <c r="BW1167" s="551"/>
      <c r="BX1167" s="551"/>
      <c r="BY1167" s="650"/>
      <c r="BZ1167" s="551"/>
      <c r="CA1167" s="652"/>
      <c r="CB1167" s="567"/>
      <c r="CC1167" s="653"/>
      <c r="CD1167" s="650"/>
      <c r="CE1167" s="650"/>
      <c r="CF1167" s="551"/>
      <c r="CG1167" s="551"/>
      <c r="CI1167" s="551"/>
      <c r="CJ1167" s="551"/>
      <c r="CK1167" s="551"/>
      <c r="CL1167" s="551"/>
      <c r="CM1167" s="551"/>
      <c r="CN1167" s="551"/>
      <c r="CO1167" s="551"/>
      <c r="CP1167" s="551"/>
      <c r="CQ1167" s="551"/>
      <c r="CR1167" s="551"/>
      <c r="CS1167" s="551"/>
      <c r="CT1167" s="551"/>
      <c r="CU1167" s="551">
        <f t="shared" si="446"/>
        <v>0</v>
      </c>
      <c r="CV1167" s="551">
        <f t="shared" si="447"/>
        <v>0</v>
      </c>
      <c r="CW1167" s="551">
        <f t="shared" si="448"/>
        <v>0</v>
      </c>
      <c r="CX1167" s="707"/>
      <c r="CY1167" s="707"/>
      <c r="CZ1167" s="707"/>
      <c r="DA1167" s="708"/>
      <c r="DB1167" s="708"/>
      <c r="DC1167" s="708"/>
      <c r="DD1167" s="707"/>
      <c r="DE1167" s="707"/>
      <c r="DF1167" s="707"/>
      <c r="DG1167" s="707"/>
      <c r="DH1167" s="707"/>
    </row>
    <row r="1168" s="548" customFormat="1" ht="31" customHeight="1" spans="1:112">
      <c r="A1168" s="641">
        <v>46049</v>
      </c>
      <c r="B1168" s="642" t="s">
        <v>135</v>
      </c>
      <c r="C1168" s="693" t="s">
        <v>128</v>
      </c>
      <c r="D1168" s="551">
        <v>4500192220</v>
      </c>
      <c r="E1168" s="246">
        <v>21528174</v>
      </c>
      <c r="F1168" s="551" t="s">
        <v>3312</v>
      </c>
      <c r="G1168" s="246" t="s">
        <v>6337</v>
      </c>
      <c r="H1168" s="246" t="s">
        <v>477</v>
      </c>
      <c r="I1168" s="706">
        <v>4548</v>
      </c>
      <c r="J1168" s="246">
        <v>0</v>
      </c>
      <c r="K1168" s="246">
        <v>6</v>
      </c>
      <c r="L1168" s="644">
        <f t="shared" si="437"/>
        <v>758</v>
      </c>
      <c r="M1168" s="645">
        <v>46107</v>
      </c>
      <c r="N1168" s="645">
        <v>46104</v>
      </c>
      <c r="O1168" s="643"/>
      <c r="P1168" s="643" t="s">
        <v>113</v>
      </c>
      <c r="Q1168" s="246"/>
      <c r="R1168" s="646" t="s">
        <v>454</v>
      </c>
      <c r="S1168" s="646" t="s">
        <v>104</v>
      </c>
      <c r="T1168" s="646" t="s">
        <v>454</v>
      </c>
      <c r="U1168" s="646"/>
      <c r="V1168" s="646"/>
      <c r="W1168" s="615"/>
      <c r="X1168" s="642" t="s">
        <v>8897</v>
      </c>
      <c r="Y1168" s="694" t="s">
        <v>3206</v>
      </c>
      <c r="Z1168" s="655">
        <v>6.8865</v>
      </c>
      <c r="AA1168" s="647">
        <f t="shared" si="449"/>
        <v>31319.802</v>
      </c>
      <c r="AC1168" s="648"/>
      <c r="AD1168" s="642" t="s">
        <v>480</v>
      </c>
      <c r="AE1168" s="246" t="s">
        <v>82</v>
      </c>
      <c r="AF1168" s="246"/>
      <c r="AG1168" s="642"/>
      <c r="AH1168" s="642">
        <v>1</v>
      </c>
      <c r="AI1168" s="246">
        <f>4536+12</f>
        <v>4548</v>
      </c>
      <c r="AJ1168" s="246">
        <f t="shared" si="433"/>
        <v>0</v>
      </c>
      <c r="AK1168" s="246"/>
      <c r="AL1168" s="246" t="s">
        <v>2368</v>
      </c>
      <c r="AM1168" s="246"/>
      <c r="AN1168" s="246"/>
      <c r="AO1168" s="554">
        <f>I1168*2</f>
        <v>9096</v>
      </c>
      <c r="AP1168" s="551"/>
      <c r="AQ1168" s="551"/>
      <c r="AR1168" s="551"/>
      <c r="AS1168" s="551"/>
      <c r="AT1168" s="554">
        <f>I1168*2</f>
        <v>9096</v>
      </c>
      <c r="AU1168" s="551"/>
      <c r="AV1168" s="554">
        <f>I1168*2</f>
        <v>9096</v>
      </c>
      <c r="AW1168" s="650"/>
      <c r="AX1168" s="551"/>
      <c r="AY1168" s="551"/>
      <c r="AZ1168" s="551"/>
      <c r="BA1168" s="551"/>
      <c r="BB1168" s="620">
        <f>I1168/24*2</f>
        <v>379</v>
      </c>
      <c r="BC1168" s="651"/>
      <c r="BD1168" s="551"/>
      <c r="BE1168" s="551"/>
      <c r="BF1168" s="551"/>
      <c r="BH1168" s="551"/>
      <c r="BI1168" s="551"/>
      <c r="BJ1168" s="551"/>
      <c r="BK1168" s="551"/>
      <c r="BL1168" s="551"/>
      <c r="BM1168" s="551"/>
      <c r="BN1168" s="551"/>
      <c r="BO1168" s="551"/>
      <c r="BP1168" s="551"/>
      <c r="BQ1168" s="551"/>
      <c r="BR1168" s="551"/>
      <c r="BS1168" s="551"/>
      <c r="BT1168" s="551"/>
      <c r="BU1168" s="551"/>
      <c r="BV1168" s="551"/>
      <c r="BW1168" s="551"/>
      <c r="BX1168" s="551"/>
      <c r="BY1168" s="650"/>
      <c r="BZ1168" s="551">
        <f>I1168</f>
        <v>4548</v>
      </c>
      <c r="CA1168" s="652"/>
      <c r="CB1168" s="567"/>
      <c r="CC1168" s="653"/>
      <c r="CD1168" s="650"/>
      <c r="CE1168" s="650"/>
      <c r="CF1168" s="551"/>
      <c r="CG1168" s="551"/>
      <c r="CI1168" s="551"/>
      <c r="CJ1168" s="551"/>
      <c r="CK1168" s="551"/>
      <c r="CL1168" s="551"/>
      <c r="CM1168" s="551"/>
      <c r="CN1168" s="551"/>
      <c r="CO1168" s="551"/>
      <c r="CP1168" s="551"/>
      <c r="CQ1168" s="551"/>
      <c r="CR1168" s="551"/>
      <c r="CS1168" s="551"/>
      <c r="CT1168" s="551"/>
      <c r="CU1168" s="551">
        <f t="shared" si="446"/>
        <v>0</v>
      </c>
      <c r="CV1168" s="551">
        <f t="shared" si="447"/>
        <v>0</v>
      </c>
      <c r="CW1168" s="551">
        <f t="shared" si="448"/>
        <v>0</v>
      </c>
      <c r="CX1168" s="707"/>
      <c r="CY1168" s="707"/>
      <c r="CZ1168" s="707"/>
      <c r="DA1168" s="548"/>
      <c r="DB1168" s="548"/>
      <c r="DC1168" s="548"/>
      <c r="DD1168" s="707"/>
      <c r="DE1168" s="707"/>
      <c r="DF1168" s="707"/>
      <c r="DG1168" s="707"/>
      <c r="DH1168" s="707"/>
    </row>
    <row r="1169" s="548" customFormat="1" ht="31" customHeight="1" spans="1:112">
      <c r="A1169" s="641">
        <v>46049</v>
      </c>
      <c r="B1169" s="642" t="s">
        <v>139</v>
      </c>
      <c r="C1169" s="693" t="s">
        <v>76</v>
      </c>
      <c r="D1169" s="551">
        <v>4500192221</v>
      </c>
      <c r="E1169" s="246">
        <v>21528177</v>
      </c>
      <c r="F1169" s="551" t="s">
        <v>3314</v>
      </c>
      <c r="G1169" s="246" t="s">
        <v>6337</v>
      </c>
      <c r="H1169" s="246" t="s">
        <v>477</v>
      </c>
      <c r="I1169" s="706">
        <v>456</v>
      </c>
      <c r="J1169" s="246">
        <v>0</v>
      </c>
      <c r="K1169" s="246">
        <v>6</v>
      </c>
      <c r="L1169" s="644">
        <f t="shared" si="437"/>
        <v>76</v>
      </c>
      <c r="M1169" s="645">
        <v>46107</v>
      </c>
      <c r="N1169" s="645">
        <v>46104</v>
      </c>
      <c r="O1169" s="643"/>
      <c r="P1169" s="643" t="s">
        <v>113</v>
      </c>
      <c r="Q1169" s="246"/>
      <c r="R1169" s="646" t="s">
        <v>454</v>
      </c>
      <c r="S1169" s="646" t="s">
        <v>104</v>
      </c>
      <c r="T1169" s="646" t="s">
        <v>454</v>
      </c>
      <c r="U1169" s="646"/>
      <c r="V1169" s="646"/>
      <c r="W1169" s="615"/>
      <c r="X1169" s="642" t="s">
        <v>8898</v>
      </c>
      <c r="Y1169" s="694" t="s">
        <v>3206</v>
      </c>
      <c r="Z1169" s="655">
        <v>7.4117</v>
      </c>
      <c r="AA1169" s="647">
        <f t="shared" si="449"/>
        <v>3379.7352</v>
      </c>
      <c r="AC1169" s="648"/>
      <c r="AD1169" s="642" t="s">
        <v>480</v>
      </c>
      <c r="AE1169" s="246" t="s">
        <v>82</v>
      </c>
      <c r="AF1169" s="246"/>
      <c r="AG1169" s="642"/>
      <c r="AH1169" s="642">
        <v>1</v>
      </c>
      <c r="AI1169" s="246">
        <v>456</v>
      </c>
      <c r="AJ1169" s="246">
        <f t="shared" si="433"/>
        <v>0</v>
      </c>
      <c r="AK1169" s="246"/>
      <c r="AL1169" s="246" t="s">
        <v>454</v>
      </c>
      <c r="AM1169" s="246"/>
      <c r="AN1169" s="246"/>
      <c r="AO1169" s="554">
        <f>I1169*2</f>
        <v>912</v>
      </c>
      <c r="AP1169" s="551"/>
      <c r="AQ1169" s="551"/>
      <c r="AR1169" s="551"/>
      <c r="AS1169" s="551"/>
      <c r="AT1169" s="554">
        <f>I1169*2</f>
        <v>912</v>
      </c>
      <c r="AU1169" s="551"/>
      <c r="AV1169" s="554">
        <f>I1169*2</f>
        <v>912</v>
      </c>
      <c r="AW1169" s="650"/>
      <c r="AX1169" s="551"/>
      <c r="AY1169" s="551"/>
      <c r="AZ1169" s="551"/>
      <c r="BA1169" s="551"/>
      <c r="BB1169" s="620">
        <f>I1169/24*2</f>
        <v>38</v>
      </c>
      <c r="BC1169" s="651"/>
      <c r="BD1169" s="551"/>
      <c r="BE1169" s="551"/>
      <c r="BF1169" s="551"/>
      <c r="BH1169" s="551"/>
      <c r="BI1169" s="551"/>
      <c r="BJ1169" s="551"/>
      <c r="BK1169" s="551"/>
      <c r="BL1169" s="551"/>
      <c r="BM1169" s="551"/>
      <c r="BN1169" s="551"/>
      <c r="BO1169" s="551"/>
      <c r="BP1169" s="551"/>
      <c r="BQ1169" s="551"/>
      <c r="BR1169" s="551"/>
      <c r="BS1169" s="551"/>
      <c r="BT1169" s="551"/>
      <c r="BU1169" s="551"/>
      <c r="BV1169" s="551"/>
      <c r="BW1169" s="551"/>
      <c r="BX1169" s="551"/>
      <c r="BY1169" s="650"/>
      <c r="BZ1169" s="551">
        <f>I1169</f>
        <v>456</v>
      </c>
      <c r="CA1169" s="652"/>
      <c r="CB1169" s="567"/>
      <c r="CC1169" s="653"/>
      <c r="CD1169" s="650"/>
      <c r="CE1169" s="650"/>
      <c r="CF1169" s="551"/>
      <c r="CG1169" s="551"/>
      <c r="CI1169" s="551"/>
      <c r="CJ1169" s="551"/>
      <c r="CK1169" s="551"/>
      <c r="CL1169" s="551"/>
      <c r="CM1169" s="551"/>
      <c r="CN1169" s="551"/>
      <c r="CO1169" s="551"/>
      <c r="CP1169" s="551"/>
      <c r="CQ1169" s="551"/>
      <c r="CR1169" s="551"/>
      <c r="CS1169" s="551"/>
      <c r="CT1169" s="551"/>
      <c r="CU1169" s="551">
        <f t="shared" si="446"/>
        <v>0</v>
      </c>
      <c r="CV1169" s="551">
        <f t="shared" si="447"/>
        <v>0</v>
      </c>
      <c r="CW1169" s="551">
        <f t="shared" si="448"/>
        <v>0</v>
      </c>
      <c r="CX1169" s="707"/>
      <c r="CY1169" s="707"/>
      <c r="CZ1169" s="707"/>
      <c r="DA1169" s="548"/>
      <c r="DB1169" s="548"/>
      <c r="DC1169" s="548"/>
      <c r="DD1169" s="707"/>
      <c r="DE1169" s="707"/>
      <c r="DF1169" s="707"/>
      <c r="DG1169" s="707"/>
      <c r="DH1169" s="707"/>
    </row>
    <row r="1170" s="548" customFormat="1" ht="31" customHeight="1" spans="1:112">
      <c r="A1170" s="641">
        <v>46038</v>
      </c>
      <c r="B1170" s="642" t="s">
        <v>580</v>
      </c>
      <c r="C1170" s="246" t="s">
        <v>302</v>
      </c>
      <c r="D1170" s="551">
        <v>4500191607</v>
      </c>
      <c r="E1170" s="246">
        <v>2000009161</v>
      </c>
      <c r="F1170" s="551" t="s">
        <v>3316</v>
      </c>
      <c r="G1170" s="246" t="s">
        <v>6337</v>
      </c>
      <c r="H1170" s="246" t="s">
        <v>477</v>
      </c>
      <c r="I1170" s="706">
        <v>3690</v>
      </c>
      <c r="J1170" s="246">
        <v>0</v>
      </c>
      <c r="K1170" s="246">
        <v>6</v>
      </c>
      <c r="L1170" s="644">
        <f t="shared" si="437"/>
        <v>615</v>
      </c>
      <c r="M1170" s="645">
        <v>46108</v>
      </c>
      <c r="N1170" s="645">
        <v>46104</v>
      </c>
      <c r="O1170" s="643"/>
      <c r="P1170" s="643" t="s">
        <v>113</v>
      </c>
      <c r="Q1170" s="246"/>
      <c r="R1170" s="646" t="s">
        <v>454</v>
      </c>
      <c r="S1170" s="646" t="s">
        <v>70</v>
      </c>
      <c r="T1170" s="646" t="s">
        <v>8899</v>
      </c>
      <c r="U1170" s="646"/>
      <c r="V1170" s="646"/>
      <c r="W1170" s="615"/>
      <c r="X1170" s="642" t="s">
        <v>3320</v>
      </c>
      <c r="Y1170" s="694" t="s">
        <v>415</v>
      </c>
      <c r="Z1170" s="655">
        <v>6.7296</v>
      </c>
      <c r="AA1170" s="647">
        <f t="shared" si="449"/>
        <v>24832.224</v>
      </c>
      <c r="AC1170" s="648"/>
      <c r="AD1170" s="642" t="s">
        <v>480</v>
      </c>
      <c r="AE1170" s="246" t="s">
        <v>82</v>
      </c>
      <c r="AF1170" s="246"/>
      <c r="AG1170" s="642"/>
      <c r="AH1170" s="642">
        <v>1</v>
      </c>
      <c r="AI1170" s="246">
        <f>1422</f>
        <v>1422</v>
      </c>
      <c r="AJ1170" s="246">
        <f t="shared" si="433"/>
        <v>-2268</v>
      </c>
      <c r="AK1170" s="246"/>
      <c r="AL1170" s="246" t="s">
        <v>2368</v>
      </c>
      <c r="AM1170" s="246"/>
      <c r="AN1170" s="246"/>
      <c r="AO1170" s="554">
        <f>I1170*2</f>
        <v>7380</v>
      </c>
      <c r="AP1170" s="551"/>
      <c r="AQ1170" s="551"/>
      <c r="AR1170" s="650"/>
      <c r="AS1170" s="551"/>
      <c r="AT1170" s="554">
        <f>I1170*2</f>
        <v>7380</v>
      </c>
      <c r="AU1170" s="551"/>
      <c r="AV1170" s="554">
        <f>I1170*2</f>
        <v>7380</v>
      </c>
      <c r="AW1170" s="650"/>
      <c r="AX1170" s="551"/>
      <c r="AY1170" s="551"/>
      <c r="AZ1170" s="551"/>
      <c r="BA1170" s="551"/>
      <c r="BB1170" s="620">
        <f>I1170/24*2</f>
        <v>307.5</v>
      </c>
      <c r="BC1170" s="651"/>
      <c r="BD1170" s="551"/>
      <c r="BE1170" s="551"/>
      <c r="BF1170" s="551"/>
      <c r="BH1170" s="551"/>
      <c r="BI1170" s="551"/>
      <c r="BJ1170" s="551"/>
      <c r="BK1170" s="551"/>
      <c r="BL1170" s="551"/>
      <c r="BM1170" s="551"/>
      <c r="BN1170" s="551"/>
      <c r="BO1170" s="551"/>
      <c r="BP1170" s="551"/>
      <c r="BQ1170" s="551"/>
      <c r="BR1170" s="551"/>
      <c r="BS1170" s="551"/>
      <c r="BT1170" s="551"/>
      <c r="BU1170" s="551"/>
      <c r="BV1170" s="551"/>
      <c r="BW1170" s="551"/>
      <c r="BX1170" s="551"/>
      <c r="BY1170" s="650"/>
      <c r="BZ1170" s="551">
        <f>I1170</f>
        <v>3690</v>
      </c>
      <c r="CA1170" s="652"/>
      <c r="CB1170" s="567"/>
      <c r="CC1170" s="653"/>
      <c r="CD1170" s="650"/>
      <c r="CE1170" s="650"/>
      <c r="CF1170" s="551"/>
      <c r="CG1170" s="551"/>
      <c r="CI1170" s="551"/>
      <c r="CJ1170" s="551"/>
      <c r="CK1170" s="551"/>
      <c r="CL1170" s="551"/>
      <c r="CM1170" s="551"/>
      <c r="CN1170" s="551"/>
      <c r="CO1170" s="551"/>
      <c r="CP1170" s="551"/>
      <c r="CQ1170" s="551"/>
      <c r="CR1170" s="551"/>
      <c r="CS1170" s="551"/>
      <c r="CT1170" s="551"/>
      <c r="CU1170" s="551">
        <f t="shared" si="446"/>
        <v>0</v>
      </c>
      <c r="CV1170" s="551">
        <f t="shared" si="447"/>
        <v>0</v>
      </c>
      <c r="CW1170" s="551">
        <f t="shared" si="448"/>
        <v>0</v>
      </c>
      <c r="CX1170" s="650"/>
      <c r="CY1170" s="650"/>
      <c r="CZ1170" s="650"/>
      <c r="DA1170" s="551"/>
      <c r="DB1170" s="551"/>
      <c r="DC1170" s="551"/>
      <c r="DD1170" s="650"/>
      <c r="DE1170" s="650"/>
      <c r="DF1170" s="650"/>
      <c r="DG1170" s="650"/>
      <c r="DH1170" s="650"/>
    </row>
    <row r="1171" s="548" customFormat="1" ht="31" customHeight="1" spans="1:112">
      <c r="A1171" s="641">
        <v>46045</v>
      </c>
      <c r="B1171" s="642" t="s">
        <v>246</v>
      </c>
      <c r="C1171" s="693" t="s">
        <v>98</v>
      </c>
      <c r="D1171" s="551">
        <v>4500192219</v>
      </c>
      <c r="E1171" s="246" t="s">
        <v>8900</v>
      </c>
      <c r="F1171" s="551" t="s">
        <v>8901</v>
      </c>
      <c r="G1171" s="246" t="s">
        <v>6084</v>
      </c>
      <c r="H1171" s="246" t="s">
        <v>6069</v>
      </c>
      <c r="I1171" s="706">
        <v>60000</v>
      </c>
      <c r="J1171" s="246">
        <v>0</v>
      </c>
      <c r="K1171" s="246">
        <v>25</v>
      </c>
      <c r="L1171" s="644">
        <f t="shared" si="437"/>
        <v>2400</v>
      </c>
      <c r="M1171" s="645">
        <v>46108</v>
      </c>
      <c r="N1171" s="645">
        <v>46104</v>
      </c>
      <c r="O1171" s="643"/>
      <c r="P1171" s="643" t="s">
        <v>113</v>
      </c>
      <c r="Q1171" s="246"/>
      <c r="R1171" s="646">
        <v>46049</v>
      </c>
      <c r="S1171" s="646" t="s">
        <v>104</v>
      </c>
      <c r="T1171" s="646" t="s">
        <v>8885</v>
      </c>
      <c r="U1171" s="646"/>
      <c r="V1171" s="646"/>
      <c r="W1171" s="615"/>
      <c r="X1171" s="642" t="s">
        <v>8306</v>
      </c>
      <c r="Y1171" s="647" t="s">
        <v>252</v>
      </c>
      <c r="Z1171" s="642">
        <v>0.5455</v>
      </c>
      <c r="AA1171" s="647">
        <f t="shared" si="449"/>
        <v>32730</v>
      </c>
      <c r="AC1171" s="658" t="s">
        <v>8902</v>
      </c>
      <c r="AD1171" s="246" t="s">
        <v>6084</v>
      </c>
      <c r="AE1171" s="246" t="s">
        <v>82</v>
      </c>
      <c r="AF1171" s="246"/>
      <c r="AG1171" s="642"/>
      <c r="AH1171" s="642">
        <v>1</v>
      </c>
      <c r="AI1171" s="246">
        <f>40000+20000</f>
        <v>60000</v>
      </c>
      <c r="AJ1171" s="246">
        <f t="shared" si="433"/>
        <v>0</v>
      </c>
      <c r="AK1171" s="246"/>
      <c r="AL1171" s="246" t="s">
        <v>2368</v>
      </c>
      <c r="AM1171" s="246"/>
      <c r="AN1171" s="246">
        <f>I1171</f>
        <v>60000</v>
      </c>
      <c r="AO1171" s="651"/>
      <c r="AP1171" s="554">
        <f>I1171</f>
        <v>60000</v>
      </c>
      <c r="AQ1171" s="551"/>
      <c r="AR1171" s="650"/>
      <c r="AS1171" s="551"/>
      <c r="AT1171" s="551"/>
      <c r="AU1171" s="554">
        <f>I1171</f>
        <v>60000</v>
      </c>
      <c r="AV1171" s="551"/>
      <c r="AW1171" s="650"/>
      <c r="AX1171" s="551"/>
      <c r="AY1171" s="551"/>
      <c r="AZ1171" s="551"/>
      <c r="BA1171" s="551"/>
      <c r="BB1171" s="249">
        <f>I1171/24</f>
        <v>2500</v>
      </c>
      <c r="BC1171" s="651"/>
      <c r="BD1171" s="551"/>
      <c r="BE1171" s="551"/>
      <c r="BF1171" s="551"/>
      <c r="BH1171" s="551"/>
      <c r="BI1171" s="551"/>
      <c r="BJ1171" s="551"/>
      <c r="BK1171" s="551"/>
      <c r="BL1171" s="551"/>
      <c r="BM1171" s="551"/>
      <c r="BN1171" s="551">
        <f>I1171/25</f>
        <v>2400</v>
      </c>
      <c r="BO1171" s="551"/>
      <c r="BP1171" s="551"/>
      <c r="BQ1171" s="551"/>
      <c r="BR1171" s="551"/>
      <c r="BS1171" s="551"/>
      <c r="BT1171" s="551"/>
      <c r="BU1171" s="551"/>
      <c r="BV1171" s="551"/>
      <c r="BW1171" s="551"/>
      <c r="BX1171" s="551"/>
      <c r="BY1171" s="650"/>
      <c r="BZ1171" s="551"/>
      <c r="CA1171" s="652"/>
      <c r="CB1171" s="567"/>
      <c r="CC1171" s="653"/>
      <c r="CD1171" s="650"/>
      <c r="CE1171" s="650"/>
      <c r="CF1171" s="551"/>
      <c r="CG1171" s="551"/>
      <c r="CI1171" s="551"/>
      <c r="CJ1171" s="551"/>
      <c r="CK1171" s="551"/>
      <c r="CL1171" s="551"/>
      <c r="CM1171" s="551"/>
      <c r="CN1171" s="551"/>
      <c r="CO1171" s="551"/>
      <c r="CP1171" s="551"/>
      <c r="CQ1171" s="551"/>
      <c r="CR1171" s="551"/>
      <c r="CS1171" s="551"/>
      <c r="CT1171" s="551"/>
      <c r="CU1171" s="551">
        <f t="shared" si="446"/>
        <v>2400</v>
      </c>
      <c r="CV1171" s="551">
        <f t="shared" si="447"/>
        <v>0</v>
      </c>
      <c r="CW1171" s="551">
        <f t="shared" si="448"/>
        <v>0</v>
      </c>
      <c r="CX1171" s="707"/>
      <c r="CY1171" s="707"/>
      <c r="CZ1171" s="707"/>
      <c r="DA1171" s="708"/>
      <c r="DB1171" s="708"/>
      <c r="DC1171" s="708"/>
      <c r="DD1171" s="707"/>
      <c r="DE1171" s="707"/>
      <c r="DF1171" s="707"/>
      <c r="DG1171" s="707"/>
      <c r="DH1171" s="707"/>
    </row>
    <row r="1172" s="548" customFormat="1" ht="31" customHeight="1" spans="1:112">
      <c r="A1172" s="641">
        <v>46055</v>
      </c>
      <c r="B1172" s="642" t="s">
        <v>3321</v>
      </c>
      <c r="C1172" s="246" t="s">
        <v>302</v>
      </c>
      <c r="D1172" s="551">
        <v>4500192944</v>
      </c>
      <c r="E1172" s="246">
        <v>4400536620</v>
      </c>
      <c r="F1172" s="551" t="s">
        <v>8903</v>
      </c>
      <c r="G1172" s="246" t="s">
        <v>6047</v>
      </c>
      <c r="H1172" s="246" t="s">
        <v>6069</v>
      </c>
      <c r="I1172" s="246">
        <v>1400</v>
      </c>
      <c r="J1172" s="246">
        <v>0</v>
      </c>
      <c r="K1172" s="246">
        <v>25</v>
      </c>
      <c r="L1172" s="644">
        <f t="shared" si="437"/>
        <v>56</v>
      </c>
      <c r="M1172" s="645">
        <v>46108</v>
      </c>
      <c r="N1172" s="645">
        <v>46104</v>
      </c>
      <c r="O1172" s="643"/>
      <c r="P1172" s="643" t="s">
        <v>113</v>
      </c>
      <c r="Q1172" s="246"/>
      <c r="R1172" s="646" t="s">
        <v>454</v>
      </c>
      <c r="S1172" s="646" t="s">
        <v>70</v>
      </c>
      <c r="T1172" s="646" t="s">
        <v>8904</v>
      </c>
      <c r="U1172" s="646"/>
      <c r="V1172" s="646"/>
      <c r="W1172" s="615"/>
      <c r="X1172" s="642" t="s">
        <v>8905</v>
      </c>
      <c r="Y1172" s="647" t="s">
        <v>1549</v>
      </c>
      <c r="Z1172" s="642">
        <v>0.9417</v>
      </c>
      <c r="AA1172" s="647">
        <f t="shared" si="449"/>
        <v>1318.38</v>
      </c>
      <c r="AC1172" s="648"/>
      <c r="AD1172" s="246" t="s">
        <v>6047</v>
      </c>
      <c r="AE1172" s="246" t="s">
        <v>82</v>
      </c>
      <c r="AF1172" s="246"/>
      <c r="AG1172" s="642"/>
      <c r="AH1172" s="642">
        <v>1</v>
      </c>
      <c r="AI1172" s="246">
        <v>1400</v>
      </c>
      <c r="AJ1172" s="246">
        <f t="shared" si="433"/>
        <v>0</v>
      </c>
      <c r="AK1172" s="246"/>
      <c r="AL1172" s="246" t="s">
        <v>2368</v>
      </c>
      <c r="AM1172" s="246"/>
      <c r="AN1172" s="246"/>
      <c r="AO1172" s="551">
        <f>I1172</f>
        <v>1400</v>
      </c>
      <c r="AP1172" s="551"/>
      <c r="AQ1172" s="551"/>
      <c r="AR1172" s="650"/>
      <c r="AS1172" s="551"/>
      <c r="AT1172" s="554">
        <f>I1172</f>
        <v>1400</v>
      </c>
      <c r="AU1172" s="551"/>
      <c r="AV1172" s="554">
        <f>I1172</f>
        <v>1400</v>
      </c>
      <c r="AW1172" s="650"/>
      <c r="AX1172" s="551"/>
      <c r="AY1172" s="551"/>
      <c r="AZ1172" s="551"/>
      <c r="BA1172" s="551"/>
      <c r="BB1172" s="620">
        <f>I1172/24</f>
        <v>58.3333333333333</v>
      </c>
      <c r="BC1172" s="651"/>
      <c r="BD1172" s="551"/>
      <c r="BE1172" s="551"/>
      <c r="BF1172" s="551"/>
      <c r="BH1172" s="551"/>
      <c r="BI1172" s="551"/>
      <c r="BJ1172" s="551"/>
      <c r="BK1172" s="551"/>
      <c r="BL1172" s="551"/>
      <c r="BM1172" s="551"/>
      <c r="BN1172" s="551"/>
      <c r="BO1172" s="551"/>
      <c r="BP1172" s="551">
        <f>I1172/25</f>
        <v>56</v>
      </c>
      <c r="BQ1172" s="551"/>
      <c r="BR1172" s="551"/>
      <c r="BS1172" s="551"/>
      <c r="BT1172" s="551"/>
      <c r="BU1172" s="551"/>
      <c r="BV1172" s="551"/>
      <c r="BW1172" s="551"/>
      <c r="BX1172" s="551"/>
      <c r="BY1172" s="650"/>
      <c r="BZ1172" s="551"/>
      <c r="CA1172" s="652"/>
      <c r="CB1172" s="567"/>
      <c r="CC1172" s="653"/>
      <c r="CD1172" s="650"/>
      <c r="CE1172" s="650"/>
      <c r="CF1172" s="551"/>
      <c r="CG1172" s="551"/>
      <c r="CI1172" s="551"/>
      <c r="CJ1172" s="551"/>
      <c r="CK1172" s="551"/>
      <c r="CL1172" s="551"/>
      <c r="CM1172" s="551"/>
      <c r="CN1172" s="551"/>
      <c r="CO1172" s="551"/>
      <c r="CP1172" s="551"/>
      <c r="CQ1172" s="551"/>
      <c r="CR1172" s="551"/>
      <c r="CS1172" s="551"/>
      <c r="CT1172" s="551"/>
      <c r="CU1172" s="551">
        <f t="shared" si="446"/>
        <v>56</v>
      </c>
      <c r="CV1172" s="551">
        <f t="shared" si="447"/>
        <v>0</v>
      </c>
      <c r="CW1172" s="551">
        <f t="shared" si="448"/>
        <v>0</v>
      </c>
      <c r="CX1172" s="707"/>
      <c r="CY1172" s="707"/>
      <c r="CZ1172" s="707"/>
      <c r="DA1172" s="548"/>
      <c r="DB1172" s="548"/>
      <c r="DC1172" s="548"/>
      <c r="DD1172" s="707"/>
      <c r="DE1172" s="707"/>
      <c r="DF1172" s="707"/>
      <c r="DG1172" s="707"/>
      <c r="DH1172" s="707"/>
    </row>
    <row r="1173" s="548" customFormat="1" ht="31" customHeight="1" spans="1:112">
      <c r="A1173" s="641">
        <v>46055</v>
      </c>
      <c r="B1173" s="642" t="s">
        <v>3321</v>
      </c>
      <c r="C1173" s="246" t="s">
        <v>302</v>
      </c>
      <c r="D1173" s="551">
        <v>4500192944</v>
      </c>
      <c r="E1173" s="246">
        <v>4400536621</v>
      </c>
      <c r="F1173" s="551" t="s">
        <v>8906</v>
      </c>
      <c r="G1173" s="246" t="s">
        <v>6047</v>
      </c>
      <c r="H1173" s="246" t="s">
        <v>6069</v>
      </c>
      <c r="I1173" s="246">
        <v>600</v>
      </c>
      <c r="J1173" s="246">
        <v>0</v>
      </c>
      <c r="K1173" s="246">
        <v>25</v>
      </c>
      <c r="L1173" s="644">
        <f t="shared" si="437"/>
        <v>24</v>
      </c>
      <c r="M1173" s="645">
        <v>46108</v>
      </c>
      <c r="N1173" s="645">
        <v>46104</v>
      </c>
      <c r="O1173" s="643"/>
      <c r="P1173" s="643" t="s">
        <v>113</v>
      </c>
      <c r="Q1173" s="246"/>
      <c r="R1173" s="646" t="s">
        <v>454</v>
      </c>
      <c r="S1173" s="646" t="s">
        <v>70</v>
      </c>
      <c r="T1173" s="646" t="s">
        <v>8904</v>
      </c>
      <c r="U1173" s="646"/>
      <c r="V1173" s="646"/>
      <c r="W1173" s="615"/>
      <c r="X1173" s="642" t="s">
        <v>8905</v>
      </c>
      <c r="Y1173" s="647" t="s">
        <v>1549</v>
      </c>
      <c r="Z1173" s="642">
        <v>0.9469</v>
      </c>
      <c r="AA1173" s="647">
        <f t="shared" si="449"/>
        <v>568.14</v>
      </c>
      <c r="AC1173" s="648"/>
      <c r="AD1173" s="246" t="s">
        <v>6047</v>
      </c>
      <c r="AE1173" s="246" t="s">
        <v>82</v>
      </c>
      <c r="AF1173" s="246"/>
      <c r="AG1173" s="642"/>
      <c r="AH1173" s="642">
        <v>1</v>
      </c>
      <c r="AI1173" s="246">
        <v>600</v>
      </c>
      <c r="AJ1173" s="246">
        <f t="shared" si="433"/>
        <v>0</v>
      </c>
      <c r="AK1173" s="246"/>
      <c r="AL1173" s="246" t="s">
        <v>2368</v>
      </c>
      <c r="AM1173" s="246"/>
      <c r="AN1173" s="246"/>
      <c r="AO1173" s="551">
        <f>I1173</f>
        <v>600</v>
      </c>
      <c r="AP1173" s="551"/>
      <c r="AQ1173" s="551"/>
      <c r="AR1173" s="650"/>
      <c r="AS1173" s="551"/>
      <c r="AT1173" s="554">
        <f>I1173</f>
        <v>600</v>
      </c>
      <c r="AU1173" s="551"/>
      <c r="AV1173" s="554">
        <f>I1173</f>
        <v>600</v>
      </c>
      <c r="AW1173" s="650"/>
      <c r="AX1173" s="551"/>
      <c r="AY1173" s="551"/>
      <c r="AZ1173" s="551"/>
      <c r="BA1173" s="551"/>
      <c r="BB1173" s="620">
        <f>I1173/24</f>
        <v>25</v>
      </c>
      <c r="BC1173" s="651"/>
      <c r="BD1173" s="551"/>
      <c r="BE1173" s="551"/>
      <c r="BF1173" s="551"/>
      <c r="BH1173" s="551"/>
      <c r="BI1173" s="551"/>
      <c r="BJ1173" s="551"/>
      <c r="BK1173" s="551"/>
      <c r="BL1173" s="551"/>
      <c r="BM1173" s="551"/>
      <c r="BN1173" s="551"/>
      <c r="BO1173" s="551"/>
      <c r="BP1173" s="551">
        <f>I1173/25</f>
        <v>24</v>
      </c>
      <c r="BQ1173" s="551"/>
      <c r="BR1173" s="551"/>
      <c r="BS1173" s="551"/>
      <c r="BT1173" s="551"/>
      <c r="BU1173" s="551"/>
      <c r="BV1173" s="551"/>
      <c r="BW1173" s="551"/>
      <c r="BX1173" s="551"/>
      <c r="BY1173" s="650"/>
      <c r="BZ1173" s="551"/>
      <c r="CA1173" s="652"/>
      <c r="CB1173" s="567"/>
      <c r="CC1173" s="653"/>
      <c r="CD1173" s="650"/>
      <c r="CE1173" s="650"/>
      <c r="CF1173" s="551"/>
      <c r="CG1173" s="551"/>
      <c r="CI1173" s="551"/>
      <c r="CJ1173" s="551"/>
      <c r="CK1173" s="551"/>
      <c r="CL1173" s="551"/>
      <c r="CM1173" s="551"/>
      <c r="CN1173" s="551"/>
      <c r="CO1173" s="551"/>
      <c r="CP1173" s="551"/>
      <c r="CQ1173" s="551"/>
      <c r="CR1173" s="551"/>
      <c r="CS1173" s="551"/>
      <c r="CT1173" s="551"/>
      <c r="CU1173" s="551">
        <f t="shared" si="446"/>
        <v>24</v>
      </c>
      <c r="CV1173" s="551">
        <f t="shared" si="447"/>
        <v>0</v>
      </c>
      <c r="CW1173" s="551">
        <f t="shared" si="448"/>
        <v>0</v>
      </c>
      <c r="CX1173" s="707"/>
      <c r="CY1173" s="707"/>
      <c r="CZ1173" s="707"/>
      <c r="DA1173" s="548"/>
      <c r="DB1173" s="548"/>
      <c r="DC1173" s="548"/>
      <c r="DD1173" s="707"/>
      <c r="DE1173" s="707"/>
      <c r="DF1173" s="707"/>
      <c r="DG1173" s="707"/>
      <c r="DH1173" s="707"/>
    </row>
    <row r="1174" s="548" customFormat="1" ht="31" customHeight="1" spans="1:112">
      <c r="A1174" s="641">
        <v>46045</v>
      </c>
      <c r="B1174" s="642" t="s">
        <v>1673</v>
      </c>
      <c r="C1174" s="693" t="s">
        <v>98</v>
      </c>
      <c r="D1174" s="710">
        <v>4500192140</v>
      </c>
      <c r="E1174" s="643">
        <v>2116349</v>
      </c>
      <c r="F1174" s="551" t="s">
        <v>8907</v>
      </c>
      <c r="G1174" s="246" t="s">
        <v>6787</v>
      </c>
      <c r="H1174" s="610" t="s">
        <v>6126</v>
      </c>
      <c r="I1174" s="246">
        <v>3984</v>
      </c>
      <c r="J1174" s="246">
        <v>0</v>
      </c>
      <c r="K1174" s="246">
        <v>12</v>
      </c>
      <c r="L1174" s="644">
        <f t="shared" si="437"/>
        <v>332</v>
      </c>
      <c r="M1174" s="645">
        <v>46112</v>
      </c>
      <c r="N1174" s="645">
        <v>46108</v>
      </c>
      <c r="O1174" s="643"/>
      <c r="P1174" s="643" t="s">
        <v>113</v>
      </c>
      <c r="Q1174" s="246"/>
      <c r="R1174" s="646">
        <v>46045</v>
      </c>
      <c r="S1174" s="646" t="s">
        <v>104</v>
      </c>
      <c r="T1174" s="646" t="s">
        <v>454</v>
      </c>
      <c r="U1174" s="646"/>
      <c r="V1174" s="646"/>
      <c r="W1174" s="615"/>
      <c r="X1174" s="642" t="s">
        <v>8908</v>
      </c>
      <c r="Y1174" s="694" t="s">
        <v>311</v>
      </c>
      <c r="Z1174" s="642">
        <v>1.3031</v>
      </c>
      <c r="AA1174" s="647">
        <f t="shared" si="449"/>
        <v>5191.5504</v>
      </c>
      <c r="AC1174" s="658" t="s">
        <v>3329</v>
      </c>
      <c r="AD1174" s="246" t="s">
        <v>8545</v>
      </c>
      <c r="AE1174" s="246" t="s">
        <v>82</v>
      </c>
      <c r="AF1174" s="246"/>
      <c r="AG1174" s="642"/>
      <c r="AH1174" s="642">
        <v>1</v>
      </c>
      <c r="AI1174" s="246">
        <v>3984</v>
      </c>
      <c r="AJ1174" s="246">
        <f t="shared" si="433"/>
        <v>0</v>
      </c>
      <c r="AK1174" s="246"/>
      <c r="AL1174" s="246" t="s">
        <v>2368</v>
      </c>
      <c r="AM1174" s="246"/>
      <c r="AN1174" s="610">
        <f>I1174*2</f>
        <v>7968</v>
      </c>
      <c r="AO1174" s="551"/>
      <c r="AP1174" s="554">
        <f>I1174*2</f>
        <v>7968</v>
      </c>
      <c r="AQ1174" s="551"/>
      <c r="AR1174" s="551"/>
      <c r="AS1174" s="551"/>
      <c r="AT1174" s="551"/>
      <c r="AU1174" s="554">
        <f>I1174*2</f>
        <v>7968</v>
      </c>
      <c r="AV1174" s="551"/>
      <c r="AW1174" s="650"/>
      <c r="AX1174" s="551"/>
      <c r="AY1174" s="551"/>
      <c r="AZ1174" s="551"/>
      <c r="BA1174" s="551"/>
      <c r="BB1174" s="249">
        <f>I1174/24*2</f>
        <v>332</v>
      </c>
      <c r="BC1174" s="651"/>
      <c r="BD1174" s="551"/>
      <c r="BE1174" s="551"/>
      <c r="BF1174" s="551"/>
      <c r="BH1174" s="551"/>
      <c r="BI1174" s="551"/>
      <c r="BJ1174" s="551"/>
      <c r="BK1174" s="551"/>
      <c r="BL1174" s="551"/>
      <c r="BM1174" s="551"/>
      <c r="BN1174" s="551"/>
      <c r="BO1174" s="551"/>
      <c r="BP1174" s="551"/>
      <c r="BQ1174" s="551"/>
      <c r="BR1174" s="551"/>
      <c r="BS1174" s="551"/>
      <c r="BT1174" s="551"/>
      <c r="BU1174" s="551"/>
      <c r="BV1174" s="551"/>
      <c r="BW1174" s="551"/>
      <c r="BX1174" s="551"/>
      <c r="BY1174" s="650"/>
      <c r="BZ1174" s="551"/>
      <c r="CA1174" s="652"/>
      <c r="CB1174" s="567"/>
      <c r="CC1174" s="653"/>
      <c r="CD1174" s="650"/>
      <c r="CE1174" s="650"/>
      <c r="CF1174" s="551"/>
      <c r="CG1174" s="551"/>
      <c r="CI1174" s="551"/>
      <c r="CJ1174" s="551"/>
      <c r="CK1174" s="551"/>
      <c r="CL1174" s="551"/>
      <c r="CM1174" s="551"/>
      <c r="CN1174" s="551"/>
      <c r="CO1174" s="551"/>
      <c r="CP1174" s="551"/>
      <c r="CQ1174" s="551"/>
      <c r="CR1174" s="554">
        <f>I1174</f>
        <v>3984</v>
      </c>
      <c r="CS1174" s="554">
        <f>I1174</f>
        <v>3984</v>
      </c>
      <c r="CT1174" s="554">
        <f>I1174</f>
        <v>3984</v>
      </c>
      <c r="CU1174" s="551">
        <f t="shared" si="446"/>
        <v>0</v>
      </c>
      <c r="CV1174" s="551">
        <v>0</v>
      </c>
      <c r="CW1174" s="551">
        <v>0</v>
      </c>
      <c r="CX1174" s="707"/>
      <c r="CY1174" s="707"/>
      <c r="CZ1174" s="707"/>
      <c r="DA1174" s="708"/>
      <c r="DB1174" s="708"/>
      <c r="DC1174" s="708"/>
      <c r="DD1174" s="707"/>
      <c r="DE1174" s="707"/>
      <c r="DF1174" s="707"/>
      <c r="DG1174" s="707"/>
      <c r="DH1174" s="707"/>
    </row>
    <row r="1175" s="548" customFormat="1" ht="31" customHeight="1" spans="1:112">
      <c r="A1175" s="641">
        <v>46045</v>
      </c>
      <c r="B1175" s="642" t="s">
        <v>1673</v>
      </c>
      <c r="C1175" s="693" t="s">
        <v>98</v>
      </c>
      <c r="D1175" s="710">
        <v>4500192140</v>
      </c>
      <c r="E1175" s="643">
        <v>2116350</v>
      </c>
      <c r="F1175" s="551" t="s">
        <v>8909</v>
      </c>
      <c r="G1175" s="246" t="s">
        <v>6787</v>
      </c>
      <c r="H1175" s="610" t="s">
        <v>6126</v>
      </c>
      <c r="I1175" s="246">
        <v>1716</v>
      </c>
      <c r="J1175" s="246">
        <v>0</v>
      </c>
      <c r="K1175" s="246">
        <v>12</v>
      </c>
      <c r="L1175" s="644">
        <f t="shared" si="437"/>
        <v>143</v>
      </c>
      <c r="M1175" s="645">
        <v>46112</v>
      </c>
      <c r="N1175" s="645">
        <v>46108</v>
      </c>
      <c r="O1175" s="643"/>
      <c r="P1175" s="643" t="s">
        <v>113</v>
      </c>
      <c r="Q1175" s="246"/>
      <c r="R1175" s="646">
        <v>46045</v>
      </c>
      <c r="S1175" s="646" t="s">
        <v>104</v>
      </c>
      <c r="T1175" s="646" t="s">
        <v>454</v>
      </c>
      <c r="U1175" s="646"/>
      <c r="V1175" s="646"/>
      <c r="W1175" s="615"/>
      <c r="X1175" s="642" t="s">
        <v>8908</v>
      </c>
      <c r="Y1175" s="694" t="s">
        <v>311</v>
      </c>
      <c r="Z1175" s="642">
        <v>1.3094</v>
      </c>
      <c r="AA1175" s="647">
        <f t="shared" si="449"/>
        <v>2246.9304</v>
      </c>
      <c r="AC1175" s="658" t="s">
        <v>3329</v>
      </c>
      <c r="AD1175" s="246" t="s">
        <v>8545</v>
      </c>
      <c r="AE1175" s="246" t="s">
        <v>82</v>
      </c>
      <c r="AF1175" s="246"/>
      <c r="AG1175" s="642"/>
      <c r="AH1175" s="642">
        <v>1</v>
      </c>
      <c r="AI1175" s="246">
        <v>1716</v>
      </c>
      <c r="AJ1175" s="246">
        <f t="shared" si="433"/>
        <v>0</v>
      </c>
      <c r="AK1175" s="246"/>
      <c r="AL1175" s="246" t="s">
        <v>2368</v>
      </c>
      <c r="AM1175" s="246"/>
      <c r="AN1175" s="610">
        <f>I1175*2</f>
        <v>3432</v>
      </c>
      <c r="AO1175" s="551"/>
      <c r="AP1175" s="554">
        <f>I1175*2</f>
        <v>3432</v>
      </c>
      <c r="AQ1175" s="551"/>
      <c r="AR1175" s="551"/>
      <c r="AS1175" s="551"/>
      <c r="AT1175" s="551"/>
      <c r="AU1175" s="554">
        <f>I1175*2</f>
        <v>3432</v>
      </c>
      <c r="AV1175" s="551"/>
      <c r="AW1175" s="650"/>
      <c r="AX1175" s="551"/>
      <c r="AY1175" s="551"/>
      <c r="AZ1175" s="551"/>
      <c r="BA1175" s="551"/>
      <c r="BB1175" s="249">
        <f>I1175/24*2</f>
        <v>143</v>
      </c>
      <c r="BC1175" s="651"/>
      <c r="BD1175" s="551"/>
      <c r="BE1175" s="551"/>
      <c r="BF1175" s="551"/>
      <c r="BH1175" s="551"/>
      <c r="BI1175" s="551"/>
      <c r="BJ1175" s="551"/>
      <c r="BK1175" s="551"/>
      <c r="BL1175" s="551"/>
      <c r="BM1175" s="551"/>
      <c r="BN1175" s="551"/>
      <c r="BO1175" s="551"/>
      <c r="BP1175" s="551"/>
      <c r="BQ1175" s="551"/>
      <c r="BR1175" s="551"/>
      <c r="BS1175" s="551"/>
      <c r="BT1175" s="551"/>
      <c r="BU1175" s="551"/>
      <c r="BV1175" s="551"/>
      <c r="BW1175" s="551"/>
      <c r="BX1175" s="551"/>
      <c r="BY1175" s="650"/>
      <c r="BZ1175" s="551"/>
      <c r="CA1175" s="652"/>
      <c r="CB1175" s="567"/>
      <c r="CC1175" s="653"/>
      <c r="CD1175" s="650"/>
      <c r="CE1175" s="650"/>
      <c r="CF1175" s="551"/>
      <c r="CG1175" s="551"/>
      <c r="CI1175" s="551"/>
      <c r="CJ1175" s="551"/>
      <c r="CK1175" s="551"/>
      <c r="CL1175" s="551"/>
      <c r="CM1175" s="551"/>
      <c r="CN1175" s="551"/>
      <c r="CO1175" s="551"/>
      <c r="CP1175" s="551"/>
      <c r="CQ1175" s="551"/>
      <c r="CR1175" s="554">
        <f>I1175</f>
        <v>1716</v>
      </c>
      <c r="CS1175" s="554">
        <f>I1175</f>
        <v>1716</v>
      </c>
      <c r="CT1175" s="554">
        <f>I1175</f>
        <v>1716</v>
      </c>
      <c r="CU1175" s="551">
        <f t="shared" si="446"/>
        <v>0</v>
      </c>
      <c r="CV1175" s="551">
        <v>0</v>
      </c>
      <c r="CW1175" s="551">
        <v>0</v>
      </c>
      <c r="CX1175" s="707"/>
      <c r="CY1175" s="707"/>
      <c r="CZ1175" s="707"/>
      <c r="DA1175" s="708"/>
      <c r="DB1175" s="708"/>
      <c r="DC1175" s="708"/>
      <c r="DD1175" s="707"/>
      <c r="DE1175" s="707"/>
      <c r="DF1175" s="707"/>
      <c r="DG1175" s="707"/>
      <c r="DH1175" s="707"/>
    </row>
    <row r="1176" s="548" customFormat="1" ht="31" customHeight="1" spans="1:112">
      <c r="A1176" s="641">
        <v>46055</v>
      </c>
      <c r="B1176" s="642" t="s">
        <v>6645</v>
      </c>
      <c r="C1176" s="246" t="s">
        <v>170</v>
      </c>
      <c r="D1176" s="710">
        <v>4500192935</v>
      </c>
      <c r="E1176" s="643">
        <v>1591515</v>
      </c>
      <c r="F1176" s="551" t="s">
        <v>8910</v>
      </c>
      <c r="G1176" s="246" t="s">
        <v>6166</v>
      </c>
      <c r="H1176" s="246" t="s">
        <v>6094</v>
      </c>
      <c r="I1176" s="711">
        <v>2015</v>
      </c>
      <c r="J1176" s="246">
        <v>0</v>
      </c>
      <c r="K1176" s="246">
        <v>13</v>
      </c>
      <c r="L1176" s="644">
        <f t="shared" si="437"/>
        <v>155</v>
      </c>
      <c r="M1176" s="645">
        <v>46108</v>
      </c>
      <c r="N1176" s="645">
        <v>46104</v>
      </c>
      <c r="O1176" s="643"/>
      <c r="P1176" s="643" t="s">
        <v>113</v>
      </c>
      <c r="Q1176" s="246"/>
      <c r="R1176" s="646">
        <v>46055</v>
      </c>
      <c r="S1176" s="646" t="s">
        <v>70</v>
      </c>
      <c r="T1176" s="646" t="s">
        <v>70</v>
      </c>
      <c r="U1176" s="646"/>
      <c r="V1176" s="646"/>
      <c r="W1176" s="615"/>
      <c r="X1176" s="642" t="s">
        <v>8721</v>
      </c>
      <c r="Y1176" s="642" t="s">
        <v>1150</v>
      </c>
      <c r="Z1176" s="655">
        <v>0.9213</v>
      </c>
      <c r="AA1176" s="647">
        <f t="shared" si="449"/>
        <v>1856.4195</v>
      </c>
      <c r="AC1176" s="648"/>
      <c r="AD1176" s="246" t="s">
        <v>6166</v>
      </c>
      <c r="AE1176" s="246" t="s">
        <v>82</v>
      </c>
      <c r="AF1176" s="246"/>
      <c r="AG1176" s="642"/>
      <c r="AH1176" s="642">
        <v>1</v>
      </c>
      <c r="AI1176" s="246">
        <v>2015</v>
      </c>
      <c r="AJ1176" s="246">
        <f t="shared" si="433"/>
        <v>0</v>
      </c>
      <c r="AK1176" s="246"/>
      <c r="AL1176" s="246"/>
      <c r="AM1176" s="246"/>
      <c r="AN1176" s="246">
        <f>I1176</f>
        <v>2015</v>
      </c>
      <c r="AO1176" s="551"/>
      <c r="AP1176" s="551"/>
      <c r="AQ1176" s="551"/>
      <c r="AR1176" s="650"/>
      <c r="AS1176" s="554">
        <f>I1176</f>
        <v>2015</v>
      </c>
      <c r="AT1176" s="551"/>
      <c r="AU1176" s="554">
        <f>I1176</f>
        <v>2015</v>
      </c>
      <c r="AV1176" s="551"/>
      <c r="AW1176" s="650"/>
      <c r="AX1176" s="551"/>
      <c r="AY1176" s="551"/>
      <c r="AZ1176" s="551"/>
      <c r="BA1176" s="551"/>
      <c r="BB1176" s="249">
        <f>I1176/24</f>
        <v>83.9583333333333</v>
      </c>
      <c r="BC1176" s="651"/>
      <c r="BD1176" s="551"/>
      <c r="BE1176" s="551"/>
      <c r="BF1176" s="551"/>
      <c r="BH1176" s="551"/>
      <c r="BI1176" s="551"/>
      <c r="BJ1176" s="551"/>
      <c r="BK1176" s="551"/>
      <c r="BL1176" s="551">
        <f>I1176/13</f>
        <v>155</v>
      </c>
      <c r="BM1176" s="551"/>
      <c r="BN1176" s="551"/>
      <c r="BO1176" s="551"/>
      <c r="BP1176" s="551"/>
      <c r="BQ1176" s="551"/>
      <c r="BR1176" s="551"/>
      <c r="BS1176" s="551"/>
      <c r="BT1176" s="551"/>
      <c r="BU1176" s="551"/>
      <c r="BV1176" s="551"/>
      <c r="BW1176" s="551"/>
      <c r="BX1176" s="551"/>
      <c r="BY1176" s="650"/>
      <c r="BZ1176" s="551"/>
      <c r="CA1176" s="652"/>
      <c r="CB1176" s="567"/>
      <c r="CC1176" s="653"/>
      <c r="CD1176" s="650"/>
      <c r="CE1176" s="650"/>
      <c r="CF1176" s="551"/>
      <c r="CG1176" s="551"/>
      <c r="CI1176" s="551"/>
      <c r="CJ1176" s="551"/>
      <c r="CK1176" s="551"/>
      <c r="CL1176" s="551"/>
      <c r="CM1176" s="551"/>
      <c r="CN1176" s="551"/>
      <c r="CO1176" s="551"/>
      <c r="CP1176" s="551"/>
      <c r="CQ1176" s="551"/>
      <c r="CR1176" s="551"/>
      <c r="CS1176" s="551"/>
      <c r="CT1176" s="551"/>
      <c r="CU1176" s="551">
        <f t="shared" si="446"/>
        <v>0</v>
      </c>
      <c r="CV1176" s="551">
        <f>CK1176+CL1176+CM1176+CN1176+CO1176+CQ1176+CP1176</f>
        <v>0</v>
      </c>
      <c r="CW1176" s="551">
        <f>CI1176+CJ1176</f>
        <v>0</v>
      </c>
      <c r="CX1176" s="650"/>
      <c r="CY1176" s="650"/>
      <c r="CZ1176" s="650"/>
      <c r="DA1176" s="548"/>
      <c r="DB1176" s="548"/>
      <c r="DC1176" s="548"/>
      <c r="DD1176" s="650"/>
      <c r="DE1176" s="650"/>
      <c r="DF1176" s="650"/>
      <c r="DG1176" s="650"/>
      <c r="DH1176" s="650"/>
    </row>
    <row r="1177" s="548" customFormat="1" ht="31" customHeight="1" spans="1:112">
      <c r="A1177" s="641">
        <v>46063</v>
      </c>
      <c r="B1177" s="642" t="s">
        <v>143</v>
      </c>
      <c r="C1177" s="246" t="s">
        <v>98</v>
      </c>
      <c r="D1177" s="551">
        <v>4500193634</v>
      </c>
      <c r="E1177" s="643">
        <v>979604361</v>
      </c>
      <c r="F1177" s="551" t="s">
        <v>8911</v>
      </c>
      <c r="G1177" s="246" t="s">
        <v>6063</v>
      </c>
      <c r="H1177" s="246" t="s">
        <v>6064</v>
      </c>
      <c r="I1177" s="246">
        <v>33600</v>
      </c>
      <c r="J1177" s="246">
        <v>0</v>
      </c>
      <c r="K1177" s="246">
        <v>16</v>
      </c>
      <c r="L1177" s="644">
        <f t="shared" si="437"/>
        <v>2100</v>
      </c>
      <c r="M1177" s="645">
        <v>46115</v>
      </c>
      <c r="N1177" s="645">
        <f>M1177-4</f>
        <v>46111</v>
      </c>
      <c r="O1177" s="712" t="s">
        <v>3368</v>
      </c>
      <c r="P1177" s="643" t="s">
        <v>113</v>
      </c>
      <c r="Q1177" s="246"/>
      <c r="R1177" s="646" t="s">
        <v>7064</v>
      </c>
      <c r="S1177" s="646" t="s">
        <v>70</v>
      </c>
      <c r="T1177" s="646" t="s">
        <v>8759</v>
      </c>
      <c r="U1177" s="646"/>
      <c r="V1177" s="646"/>
      <c r="W1177" s="615"/>
      <c r="X1177" s="642" t="s">
        <v>7065</v>
      </c>
      <c r="Y1177" s="694" t="s">
        <v>106</v>
      </c>
      <c r="Z1177" s="642">
        <v>0.5837</v>
      </c>
      <c r="AA1177" s="647">
        <f t="shared" si="449"/>
        <v>19612.32</v>
      </c>
      <c r="AC1177" s="658" t="s">
        <v>8912</v>
      </c>
      <c r="AD1177" s="246" t="s">
        <v>6063</v>
      </c>
      <c r="AE1177" s="246" t="s">
        <v>82</v>
      </c>
      <c r="AF1177" s="246"/>
      <c r="AG1177" s="642"/>
      <c r="AH1177" s="642">
        <v>1</v>
      </c>
      <c r="AI1177" s="246">
        <f>17920+15680</f>
        <v>33600</v>
      </c>
      <c r="AJ1177" s="246">
        <f t="shared" si="433"/>
        <v>0</v>
      </c>
      <c r="AK1177" s="246"/>
      <c r="AL1177" s="246" t="s">
        <v>2368</v>
      </c>
      <c r="AM1177" s="246"/>
      <c r="AN1177" s="246">
        <f>I1177</f>
        <v>33600</v>
      </c>
      <c r="AO1177" s="551"/>
      <c r="AP1177" s="554">
        <f>I1177</f>
        <v>33600</v>
      </c>
      <c r="AQ1177" s="551"/>
      <c r="AR1177" s="650"/>
      <c r="AS1177" s="551"/>
      <c r="AT1177" s="551"/>
      <c r="AU1177" s="554">
        <f>I1177</f>
        <v>33600</v>
      </c>
      <c r="AV1177" s="551"/>
      <c r="AW1177" s="650"/>
      <c r="AX1177" s="551"/>
      <c r="AY1177" s="551"/>
      <c r="AZ1177" s="551"/>
      <c r="BA1177" s="651"/>
      <c r="BB1177" s="249">
        <f>I1177/24</f>
        <v>1400</v>
      </c>
      <c r="BC1177" s="651"/>
      <c r="BD1177" s="551"/>
      <c r="BE1177" s="551"/>
      <c r="BF1177" s="551"/>
      <c r="BH1177" s="551"/>
      <c r="BI1177" s="551"/>
      <c r="BJ1177" s="551"/>
      <c r="BK1177" s="551"/>
      <c r="BL1177" s="551"/>
      <c r="BM1177" s="551"/>
      <c r="BN1177" s="551"/>
      <c r="BO1177" s="551"/>
      <c r="BP1177" s="551"/>
      <c r="BQ1177" s="551">
        <f>I1177/16</f>
        <v>2100</v>
      </c>
      <c r="BR1177" s="551"/>
      <c r="BS1177" s="551"/>
      <c r="BT1177" s="551"/>
      <c r="BU1177" s="551"/>
      <c r="BV1177" s="551"/>
      <c r="BW1177" s="551"/>
      <c r="BX1177" s="551"/>
      <c r="BY1177" s="650"/>
      <c r="BZ1177" s="551"/>
      <c r="CA1177" s="652"/>
      <c r="CB1177" s="567"/>
      <c r="CC1177" s="653"/>
      <c r="CD1177" s="650"/>
      <c r="CE1177" s="650"/>
      <c r="CF1177" s="551"/>
      <c r="CG1177" s="551"/>
      <c r="CI1177" s="551"/>
      <c r="CJ1177" s="551"/>
      <c r="CK1177" s="551"/>
      <c r="CL1177" s="551"/>
      <c r="CM1177" s="551"/>
      <c r="CN1177" s="551"/>
      <c r="CO1177" s="551"/>
      <c r="CP1177" s="551"/>
      <c r="CQ1177" s="551"/>
      <c r="CR1177" s="551"/>
      <c r="CS1177" s="551"/>
      <c r="CT1177" s="551"/>
      <c r="CU1177" s="551">
        <f t="shared" si="446"/>
        <v>2100</v>
      </c>
      <c r="CV1177" s="551">
        <f>CK1177+CL1177+CM1177+CN1177+CO1177+CQ1177+CP1177</f>
        <v>0</v>
      </c>
      <c r="CW1177" s="551">
        <f>CI1177+CJ1177</f>
        <v>0</v>
      </c>
      <c r="CX1177" s="650"/>
      <c r="CY1177" s="650"/>
      <c r="CZ1177" s="650"/>
      <c r="DA1177" s="548"/>
      <c r="DB1177" s="548"/>
      <c r="DC1177" s="548"/>
      <c r="DD1177" s="650"/>
      <c r="DE1177" s="650"/>
      <c r="DF1177" s="650"/>
      <c r="DG1177" s="650"/>
      <c r="DH1177" s="650"/>
    </row>
    <row r="1178" s="548" customFormat="1" ht="31" customHeight="1" spans="1:112">
      <c r="A1178" s="641">
        <v>46063</v>
      </c>
      <c r="B1178" s="642" t="s">
        <v>143</v>
      </c>
      <c r="C1178" s="246" t="s">
        <v>98</v>
      </c>
      <c r="D1178" s="551">
        <v>4500193634</v>
      </c>
      <c r="E1178" s="643">
        <v>979604372</v>
      </c>
      <c r="F1178" s="551" t="s">
        <v>8913</v>
      </c>
      <c r="G1178" s="246" t="s">
        <v>6063</v>
      </c>
      <c r="H1178" s="246" t="s">
        <v>6064</v>
      </c>
      <c r="I1178" s="246">
        <v>5760</v>
      </c>
      <c r="J1178" s="246">
        <v>0</v>
      </c>
      <c r="K1178" s="246">
        <v>16</v>
      </c>
      <c r="L1178" s="644">
        <f t="shared" si="437"/>
        <v>360</v>
      </c>
      <c r="M1178" s="645">
        <v>46115</v>
      </c>
      <c r="N1178" s="645">
        <f>M1178-4</f>
        <v>46111</v>
      </c>
      <c r="O1178" s="712" t="s">
        <v>3368</v>
      </c>
      <c r="P1178" s="643" t="s">
        <v>113</v>
      </c>
      <c r="Q1178" s="246"/>
      <c r="R1178" s="646" t="s">
        <v>7064</v>
      </c>
      <c r="S1178" s="646" t="s">
        <v>70</v>
      </c>
      <c r="T1178" s="646" t="s">
        <v>8759</v>
      </c>
      <c r="U1178" s="646"/>
      <c r="V1178" s="646"/>
      <c r="W1178" s="615"/>
      <c r="X1178" s="642" t="s">
        <v>7065</v>
      </c>
      <c r="Y1178" s="694" t="s">
        <v>106</v>
      </c>
      <c r="Z1178" s="642">
        <v>0.5837</v>
      </c>
      <c r="AA1178" s="647">
        <f t="shared" si="449"/>
        <v>3362.112</v>
      </c>
      <c r="AC1178" s="658" t="s">
        <v>8914</v>
      </c>
      <c r="AD1178" s="246" t="s">
        <v>6063</v>
      </c>
      <c r="AE1178" s="246" t="s">
        <v>82</v>
      </c>
      <c r="AF1178" s="246"/>
      <c r="AG1178" s="642"/>
      <c r="AH1178" s="642">
        <v>1</v>
      </c>
      <c r="AI1178" s="246">
        <v>5760</v>
      </c>
      <c r="AJ1178" s="246">
        <f t="shared" si="433"/>
        <v>0</v>
      </c>
      <c r="AK1178" s="246"/>
      <c r="AL1178" s="246" t="s">
        <v>2368</v>
      </c>
      <c r="AM1178" s="246"/>
      <c r="AN1178" s="246">
        <f>I1178</f>
        <v>5760</v>
      </c>
      <c r="AO1178" s="551"/>
      <c r="AP1178" s="554">
        <f>I1178</f>
        <v>5760</v>
      </c>
      <c r="AQ1178" s="551"/>
      <c r="AR1178" s="650"/>
      <c r="AS1178" s="551"/>
      <c r="AT1178" s="551"/>
      <c r="AU1178" s="554">
        <f>I1178</f>
        <v>5760</v>
      </c>
      <c r="AV1178" s="551"/>
      <c r="AW1178" s="650"/>
      <c r="AX1178" s="551"/>
      <c r="AY1178" s="551"/>
      <c r="AZ1178" s="551"/>
      <c r="BA1178" s="651"/>
      <c r="BB1178" s="249">
        <f>I1178/24</f>
        <v>240</v>
      </c>
      <c r="BC1178" s="651"/>
      <c r="BD1178" s="551"/>
      <c r="BE1178" s="551"/>
      <c r="BF1178" s="551"/>
      <c r="BH1178" s="551"/>
      <c r="BI1178" s="551"/>
      <c r="BJ1178" s="551"/>
      <c r="BK1178" s="551"/>
      <c r="BL1178" s="551"/>
      <c r="BM1178" s="551"/>
      <c r="BN1178" s="551"/>
      <c r="BO1178" s="551"/>
      <c r="BP1178" s="551"/>
      <c r="BQ1178" s="551">
        <f>I1178/16</f>
        <v>360</v>
      </c>
      <c r="BR1178" s="551"/>
      <c r="BS1178" s="551"/>
      <c r="BT1178" s="551"/>
      <c r="BU1178" s="551"/>
      <c r="BV1178" s="551"/>
      <c r="BW1178" s="551"/>
      <c r="BX1178" s="551"/>
      <c r="BY1178" s="650"/>
      <c r="BZ1178" s="551"/>
      <c r="CA1178" s="652"/>
      <c r="CB1178" s="567"/>
      <c r="CC1178" s="653"/>
      <c r="CD1178" s="650"/>
      <c r="CE1178" s="650"/>
      <c r="CF1178" s="551"/>
      <c r="CG1178" s="551"/>
      <c r="CI1178" s="551"/>
      <c r="CJ1178" s="551"/>
      <c r="CK1178" s="551"/>
      <c r="CL1178" s="551"/>
      <c r="CM1178" s="551"/>
      <c r="CN1178" s="551"/>
      <c r="CO1178" s="551"/>
      <c r="CP1178" s="551"/>
      <c r="CQ1178" s="551"/>
      <c r="CR1178" s="551"/>
      <c r="CS1178" s="551"/>
      <c r="CT1178" s="551"/>
      <c r="CU1178" s="551">
        <f t="shared" si="446"/>
        <v>360</v>
      </c>
      <c r="CV1178" s="551">
        <f>CK1178+CL1178+CM1178+CN1178+CO1178+CQ1178+CP1178</f>
        <v>0</v>
      </c>
      <c r="CW1178" s="551">
        <f>CI1178+CJ1178</f>
        <v>0</v>
      </c>
      <c r="CX1178" s="650"/>
      <c r="CY1178" s="650"/>
      <c r="CZ1178" s="650"/>
      <c r="DA1178" s="548"/>
      <c r="DB1178" s="548"/>
      <c r="DC1178" s="548"/>
      <c r="DD1178" s="650"/>
      <c r="DE1178" s="650"/>
      <c r="DF1178" s="650"/>
      <c r="DG1178" s="650"/>
      <c r="DH1178" s="650"/>
    </row>
    <row r="1179" s="548" customFormat="1" ht="29" customHeight="1" spans="1:112">
      <c r="A1179" s="641">
        <v>46063</v>
      </c>
      <c r="B1179" s="642" t="s">
        <v>1971</v>
      </c>
      <c r="C1179" s="693" t="s">
        <v>810</v>
      </c>
      <c r="D1179" s="551">
        <v>4500192550</v>
      </c>
      <c r="E1179" s="246" t="s">
        <v>3301</v>
      </c>
      <c r="F1179" s="551" t="s">
        <v>8915</v>
      </c>
      <c r="G1179" s="246" t="s">
        <v>6043</v>
      </c>
      <c r="H1179" s="246" t="s">
        <v>6110</v>
      </c>
      <c r="I1179" s="706">
        <v>2500</v>
      </c>
      <c r="J1179" s="246">
        <v>0</v>
      </c>
      <c r="K1179" s="246">
        <v>50</v>
      </c>
      <c r="L1179" s="644">
        <f t="shared" si="437"/>
        <v>50</v>
      </c>
      <c r="M1179" s="645">
        <v>46115</v>
      </c>
      <c r="N1179" s="645">
        <f>M1179-4</f>
        <v>46111</v>
      </c>
      <c r="O1179" s="643"/>
      <c r="P1179" s="643" t="s">
        <v>113</v>
      </c>
      <c r="Q1179" s="246"/>
      <c r="R1179" s="646">
        <v>46063</v>
      </c>
      <c r="S1179" s="646" t="s">
        <v>70</v>
      </c>
      <c r="T1179" s="646" t="s">
        <v>3303</v>
      </c>
      <c r="U1179" s="646"/>
      <c r="V1179" s="646"/>
      <c r="W1179" s="615"/>
      <c r="X1179" s="642" t="s">
        <v>8916</v>
      </c>
      <c r="Y1179" s="694" t="s">
        <v>230</v>
      </c>
      <c r="Z1179" s="642">
        <v>0.9719</v>
      </c>
      <c r="AA1179" s="647">
        <f t="shared" si="449"/>
        <v>2429.75</v>
      </c>
      <c r="AC1179" s="648"/>
      <c r="AD1179" s="246" t="s">
        <v>7350</v>
      </c>
      <c r="AE1179" s="246" t="s">
        <v>82</v>
      </c>
      <c r="AF1179" s="246"/>
      <c r="AG1179" s="642"/>
      <c r="AH1179" s="642">
        <v>1</v>
      </c>
      <c r="AI1179" s="246">
        <v>2500</v>
      </c>
      <c r="AJ1179" s="246">
        <f t="shared" si="433"/>
        <v>0</v>
      </c>
      <c r="AK1179" s="246"/>
      <c r="AL1179" s="246" t="s">
        <v>2368</v>
      </c>
      <c r="AM1179" s="246"/>
      <c r="AN1179" s="246"/>
      <c r="AO1179" s="551">
        <f>I1179</f>
        <v>2500</v>
      </c>
      <c r="AP1179" s="551"/>
      <c r="AQ1179" s="551"/>
      <c r="AR1179" s="650"/>
      <c r="AS1179" s="551"/>
      <c r="AT1179" s="554">
        <f>I1179</f>
        <v>2500</v>
      </c>
      <c r="AU1179" s="551"/>
      <c r="AV1179" s="554">
        <f>I1179</f>
        <v>2500</v>
      </c>
      <c r="AW1179" s="650"/>
      <c r="AX1179" s="551"/>
      <c r="AY1179" s="551"/>
      <c r="AZ1179" s="551"/>
      <c r="BA1179" s="551"/>
      <c r="BB1179" s="620">
        <f>I1179/24</f>
        <v>104.166666666667</v>
      </c>
      <c r="BC1179" s="651"/>
      <c r="BD1179" s="551"/>
      <c r="BE1179" s="551"/>
      <c r="BF1179" s="551"/>
      <c r="BH1179" s="551"/>
      <c r="BI1179" s="551"/>
      <c r="BJ1179" s="551"/>
      <c r="BK1179" s="551"/>
      <c r="BL1179" s="551"/>
      <c r="BM1179" s="551"/>
      <c r="BN1179" s="551"/>
      <c r="BO1179" s="551"/>
      <c r="BP1179" s="551">
        <f>I1179/25</f>
        <v>100</v>
      </c>
      <c r="BQ1179" s="551"/>
      <c r="BR1179" s="551"/>
      <c r="BS1179" s="551"/>
      <c r="BT1179" s="551"/>
      <c r="BU1179" s="551"/>
      <c r="BV1179" s="551"/>
      <c r="BW1179" s="551"/>
      <c r="BX1179" s="551"/>
      <c r="BY1179" s="650"/>
      <c r="BZ1179" s="551"/>
      <c r="CA1179" s="652"/>
      <c r="CB1179" s="567"/>
      <c r="CC1179" s="653"/>
      <c r="CD1179" s="650"/>
      <c r="CE1179" s="650"/>
      <c r="CF1179" s="551"/>
      <c r="CG1179" s="551"/>
      <c r="CI1179" s="551"/>
      <c r="CJ1179" s="551"/>
      <c r="CK1179" s="551"/>
      <c r="CL1179" s="551"/>
      <c r="CM1179" s="551"/>
      <c r="CN1179" s="551"/>
      <c r="CO1179" s="551"/>
      <c r="CP1179" s="551"/>
      <c r="CQ1179" s="551"/>
      <c r="CR1179" s="551"/>
      <c r="CS1179" s="551"/>
      <c r="CT1179" s="551"/>
      <c r="CU1179" s="551">
        <f t="shared" si="446"/>
        <v>100</v>
      </c>
      <c r="CV1179" s="551">
        <f>CK1179+CL1179+CM1179+CN1179+CO1179+CQ1179+CP1179</f>
        <v>0</v>
      </c>
      <c r="CW1179" s="551">
        <f>CI1179+CJ1179</f>
        <v>0</v>
      </c>
      <c r="CX1179" s="650"/>
      <c r="CY1179" s="650"/>
      <c r="CZ1179" s="650"/>
      <c r="DA1179" s="548"/>
      <c r="DB1179" s="548"/>
      <c r="DC1179" s="548"/>
      <c r="DD1179" s="650"/>
      <c r="DE1179" s="650"/>
      <c r="DF1179" s="650"/>
      <c r="DG1179" s="650"/>
      <c r="DH1179" s="650"/>
    </row>
    <row r="1180" s="548" customFormat="1" ht="31" customHeight="1" spans="1:112">
      <c r="A1180" s="641">
        <v>45995</v>
      </c>
      <c r="B1180" s="642" t="s">
        <v>2734</v>
      </c>
      <c r="C1180" s="693" t="s">
        <v>98</v>
      </c>
      <c r="D1180" s="551">
        <v>4500184344</v>
      </c>
      <c r="E1180" s="246">
        <v>60260783</v>
      </c>
      <c r="F1180" s="551" t="s">
        <v>8917</v>
      </c>
      <c r="G1180" s="246" t="s">
        <v>6787</v>
      </c>
      <c r="H1180" s="610" t="s">
        <v>6126</v>
      </c>
      <c r="I1180" s="246">
        <v>2004</v>
      </c>
      <c r="J1180" s="246">
        <v>0</v>
      </c>
      <c r="K1180" s="246">
        <v>12</v>
      </c>
      <c r="L1180" s="644">
        <f t="shared" si="437"/>
        <v>167</v>
      </c>
      <c r="M1180" s="645">
        <v>46115</v>
      </c>
      <c r="N1180" s="645">
        <v>46111</v>
      </c>
      <c r="O1180" s="643"/>
      <c r="P1180" s="643" t="s">
        <v>113</v>
      </c>
      <c r="Q1180" s="246"/>
      <c r="R1180" s="646">
        <v>45995</v>
      </c>
      <c r="S1180" s="646" t="s">
        <v>70</v>
      </c>
      <c r="T1180" s="646" t="s">
        <v>2738</v>
      </c>
      <c r="U1180" s="646"/>
      <c r="V1180" s="646"/>
      <c r="W1180" s="615"/>
      <c r="X1180" s="642" t="s">
        <v>8918</v>
      </c>
      <c r="Y1180" s="694" t="s">
        <v>2678</v>
      </c>
      <c r="Z1180" s="642">
        <v>1.2871</v>
      </c>
      <c r="AA1180" s="647">
        <f t="shared" si="449"/>
        <v>2579.3484</v>
      </c>
      <c r="AC1180" s="658" t="s">
        <v>8919</v>
      </c>
      <c r="AD1180" s="246" t="s">
        <v>8545</v>
      </c>
      <c r="AE1180" s="246" t="s">
        <v>82</v>
      </c>
      <c r="AF1180" s="246"/>
      <c r="AG1180" s="642"/>
      <c r="AH1180" s="642">
        <v>1</v>
      </c>
      <c r="AI1180" s="246">
        <v>2004</v>
      </c>
      <c r="AJ1180" s="246">
        <f t="shared" si="433"/>
        <v>0</v>
      </c>
      <c r="AK1180" s="246"/>
      <c r="AL1180" s="246" t="s">
        <v>2368</v>
      </c>
      <c r="AM1180" s="246"/>
      <c r="AN1180" s="610">
        <f>I1180*2</f>
        <v>4008</v>
      </c>
      <c r="AO1180" s="551"/>
      <c r="AP1180" s="554">
        <f>I1180*2</f>
        <v>4008</v>
      </c>
      <c r="AQ1180" s="551"/>
      <c r="AR1180" s="650"/>
      <c r="AS1180" s="551"/>
      <c r="AT1180" s="551"/>
      <c r="AU1180" s="554">
        <f>I1180*2</f>
        <v>4008</v>
      </c>
      <c r="AV1180" s="551"/>
      <c r="AW1180" s="650"/>
      <c r="AX1180" s="551"/>
      <c r="AY1180" s="551"/>
      <c r="AZ1180" s="551"/>
      <c r="BA1180" s="551"/>
      <c r="BB1180" s="249">
        <f>I1180/24*2</f>
        <v>167</v>
      </c>
      <c r="BC1180" s="651"/>
      <c r="BD1180" s="551"/>
      <c r="BE1180" s="551"/>
      <c r="BF1180" s="551"/>
      <c r="BH1180" s="551"/>
      <c r="BI1180" s="551"/>
      <c r="BJ1180" s="551"/>
      <c r="BK1180" s="551"/>
      <c r="BL1180" s="551"/>
      <c r="BM1180" s="551"/>
      <c r="BN1180" s="551"/>
      <c r="BO1180" s="551"/>
      <c r="BP1180" s="551"/>
      <c r="BQ1180" s="551"/>
      <c r="BR1180" s="551"/>
      <c r="BS1180" s="551"/>
      <c r="BT1180" s="551"/>
      <c r="BU1180" s="551"/>
      <c r="BV1180" s="551"/>
      <c r="BW1180" s="551"/>
      <c r="BX1180" s="551"/>
      <c r="BY1180" s="650"/>
      <c r="BZ1180" s="551"/>
      <c r="CA1180" s="652"/>
      <c r="CB1180" s="567"/>
      <c r="CC1180" s="653"/>
      <c r="CD1180" s="650"/>
      <c r="CE1180" s="650"/>
      <c r="CF1180" s="551"/>
      <c r="CG1180" s="551"/>
      <c r="CI1180" s="551"/>
      <c r="CJ1180" s="551"/>
      <c r="CK1180" s="551"/>
      <c r="CL1180" s="551"/>
      <c r="CM1180" s="551"/>
      <c r="CN1180" s="551"/>
      <c r="CO1180" s="551"/>
      <c r="CP1180" s="551"/>
      <c r="CQ1180" s="551"/>
      <c r="CR1180" s="554">
        <f>I1180</f>
        <v>2004</v>
      </c>
      <c r="CS1180" s="554">
        <f>I1180</f>
        <v>2004</v>
      </c>
      <c r="CT1180" s="554">
        <f>I1180</f>
        <v>2004</v>
      </c>
      <c r="CU1180" s="551">
        <f t="shared" si="446"/>
        <v>0</v>
      </c>
      <c r="CV1180" s="551">
        <v>0</v>
      </c>
      <c r="CW1180" s="551">
        <v>0</v>
      </c>
      <c r="CX1180" s="650"/>
      <c r="CY1180" s="650"/>
      <c r="CZ1180" s="650"/>
      <c r="DA1180" s="548"/>
      <c r="DB1180" s="548"/>
      <c r="DC1180" s="548"/>
      <c r="DD1180" s="650"/>
      <c r="DE1180" s="650"/>
      <c r="DF1180" s="650"/>
      <c r="DG1180" s="650"/>
      <c r="DH1180" s="650"/>
    </row>
    <row r="1181" s="548" customFormat="1" ht="31" customHeight="1" spans="1:112">
      <c r="A1181" s="641">
        <v>46059</v>
      </c>
      <c r="B1181" s="642" t="s">
        <v>246</v>
      </c>
      <c r="C1181" s="693" t="s">
        <v>98</v>
      </c>
      <c r="D1181" s="710">
        <v>4500190738</v>
      </c>
      <c r="E1181" s="246" t="s">
        <v>3360</v>
      </c>
      <c r="F1181" s="551" t="s">
        <v>8920</v>
      </c>
      <c r="G1181" s="246" t="s">
        <v>6084</v>
      </c>
      <c r="H1181" s="246" t="s">
        <v>6069</v>
      </c>
      <c r="I1181" s="706">
        <v>21125</v>
      </c>
      <c r="J1181" s="246">
        <v>0</v>
      </c>
      <c r="K1181" s="246">
        <v>25</v>
      </c>
      <c r="L1181" s="644">
        <f t="shared" si="437"/>
        <v>845</v>
      </c>
      <c r="M1181" s="645">
        <v>46119</v>
      </c>
      <c r="N1181" s="645">
        <v>46115</v>
      </c>
      <c r="O1181" s="643"/>
      <c r="P1181" s="643" t="s">
        <v>113</v>
      </c>
      <c r="Q1181" s="246"/>
      <c r="R1181" s="646" t="s">
        <v>454</v>
      </c>
      <c r="S1181" s="646" t="s">
        <v>104</v>
      </c>
      <c r="T1181" s="646" t="s">
        <v>8921</v>
      </c>
      <c r="U1181" s="646"/>
      <c r="V1181" s="646"/>
      <c r="W1181" s="615"/>
      <c r="X1181" s="642" t="s">
        <v>8922</v>
      </c>
      <c r="Y1181" s="694" t="s">
        <v>252</v>
      </c>
      <c r="Z1181" s="642">
        <v>0.5488</v>
      </c>
      <c r="AA1181" s="647">
        <f t="shared" si="449"/>
        <v>11593.4</v>
      </c>
      <c r="AC1181" s="658" t="s">
        <v>3365</v>
      </c>
      <c r="AD1181" s="246" t="s">
        <v>6084</v>
      </c>
      <c r="AE1181" s="246" t="s">
        <v>82</v>
      </c>
      <c r="AF1181" s="246"/>
      <c r="AG1181" s="642"/>
      <c r="AH1181" s="642">
        <v>1</v>
      </c>
      <c r="AI1181" s="246">
        <f>10500+10625</f>
        <v>21125</v>
      </c>
      <c r="AJ1181" s="246">
        <f t="shared" si="433"/>
        <v>0</v>
      </c>
      <c r="AK1181" s="246"/>
      <c r="AL1181" s="246" t="s">
        <v>2368</v>
      </c>
      <c r="AM1181" s="246"/>
      <c r="AN1181" s="246">
        <f>I1181</f>
        <v>21125</v>
      </c>
      <c r="AO1181" s="551"/>
      <c r="AP1181" s="554">
        <f>I1181</f>
        <v>21125</v>
      </c>
      <c r="AQ1181" s="551"/>
      <c r="AR1181" s="650"/>
      <c r="AS1181" s="551"/>
      <c r="AT1181" s="551"/>
      <c r="AU1181" s="554">
        <f>I1181</f>
        <v>21125</v>
      </c>
      <c r="AV1181" s="551"/>
      <c r="AW1181" s="650"/>
      <c r="AX1181" s="551"/>
      <c r="AY1181" s="551"/>
      <c r="AZ1181" s="551"/>
      <c r="BA1181" s="551"/>
      <c r="BB1181" s="249">
        <f>I1181/24</f>
        <v>880.208333333333</v>
      </c>
      <c r="BC1181" s="651"/>
      <c r="BD1181" s="551"/>
      <c r="BE1181" s="551"/>
      <c r="BF1181" s="551"/>
      <c r="BH1181" s="551"/>
      <c r="BI1181" s="551"/>
      <c r="BJ1181" s="551"/>
      <c r="BK1181" s="551"/>
      <c r="BL1181" s="551"/>
      <c r="BM1181" s="551"/>
      <c r="BN1181" s="551">
        <f>I1181/25</f>
        <v>845</v>
      </c>
      <c r="BO1181" s="551"/>
      <c r="BP1181" s="551"/>
      <c r="BQ1181" s="551"/>
      <c r="BR1181" s="551"/>
      <c r="BS1181" s="551"/>
      <c r="BT1181" s="551"/>
      <c r="BU1181" s="551"/>
      <c r="BV1181" s="551"/>
      <c r="BW1181" s="551"/>
      <c r="BX1181" s="551"/>
      <c r="BY1181" s="650"/>
      <c r="BZ1181" s="551"/>
      <c r="CA1181" s="652"/>
      <c r="CB1181" s="567"/>
      <c r="CC1181" s="653"/>
      <c r="CD1181" s="650"/>
      <c r="CE1181" s="650"/>
      <c r="CF1181" s="551"/>
      <c r="CG1181" s="551"/>
      <c r="CI1181" s="551"/>
      <c r="CJ1181" s="551"/>
      <c r="CK1181" s="551"/>
      <c r="CL1181" s="551"/>
      <c r="CM1181" s="551"/>
      <c r="CN1181" s="551"/>
      <c r="CO1181" s="551"/>
      <c r="CP1181" s="551"/>
      <c r="CQ1181" s="551"/>
      <c r="CR1181" s="551"/>
      <c r="CS1181" s="551"/>
      <c r="CT1181" s="551"/>
      <c r="CU1181" s="551">
        <f t="shared" si="446"/>
        <v>845</v>
      </c>
      <c r="CV1181" s="551">
        <f t="shared" ref="CV1181:CV1200" si="450">CK1181+CL1181+CM1181+CN1181+CO1181+CQ1181+CP1181</f>
        <v>0</v>
      </c>
      <c r="CW1181" s="551">
        <f t="shared" ref="CW1181:CW1200" si="451">CI1181+CJ1181</f>
        <v>0</v>
      </c>
      <c r="CX1181" s="650"/>
      <c r="CY1181" s="650"/>
      <c r="CZ1181" s="650"/>
      <c r="DA1181" s="551"/>
      <c r="DB1181" s="551"/>
      <c r="DC1181" s="551"/>
      <c r="DD1181" s="650"/>
      <c r="DE1181" s="650"/>
      <c r="DF1181" s="650"/>
      <c r="DG1181" s="650"/>
      <c r="DH1181" s="650"/>
    </row>
    <row r="1182" s="548" customFormat="1" ht="31" customHeight="1" spans="1:112">
      <c r="A1182" s="641">
        <v>46050</v>
      </c>
      <c r="B1182" s="642" t="s">
        <v>659</v>
      </c>
      <c r="C1182" s="693" t="s">
        <v>2944</v>
      </c>
      <c r="D1182" s="551">
        <v>4500192301</v>
      </c>
      <c r="E1182" s="246"/>
      <c r="F1182" s="551" t="s">
        <v>8923</v>
      </c>
      <c r="G1182" s="246" t="s">
        <v>6043</v>
      </c>
      <c r="H1182" s="246" t="s">
        <v>6110</v>
      </c>
      <c r="I1182" s="706">
        <v>1000</v>
      </c>
      <c r="J1182" s="246">
        <v>0</v>
      </c>
      <c r="K1182" s="246">
        <v>50</v>
      </c>
      <c r="L1182" s="644">
        <f t="shared" si="437"/>
        <v>20</v>
      </c>
      <c r="M1182" s="645">
        <v>46112</v>
      </c>
      <c r="N1182" s="645">
        <v>46108</v>
      </c>
      <c r="O1182" s="551"/>
      <c r="P1182" s="643" t="s">
        <v>113</v>
      </c>
      <c r="Q1182" s="643" t="s">
        <v>8924</v>
      </c>
      <c r="R1182" s="646" t="s">
        <v>454</v>
      </c>
      <c r="S1182" s="646" t="s">
        <v>70</v>
      </c>
      <c r="T1182" s="646" t="s">
        <v>454</v>
      </c>
      <c r="U1182" s="646"/>
      <c r="V1182" s="646"/>
      <c r="W1182" s="615"/>
      <c r="X1182" s="642" t="s">
        <v>8925</v>
      </c>
      <c r="Y1182" s="694" t="s">
        <v>8926</v>
      </c>
      <c r="Z1182" s="642">
        <v>0.941</v>
      </c>
      <c r="AA1182" s="647">
        <f t="shared" si="449"/>
        <v>941</v>
      </c>
      <c r="AC1182" s="648"/>
      <c r="AD1182" s="246" t="s">
        <v>7350</v>
      </c>
      <c r="AE1182" s="246" t="s">
        <v>82</v>
      </c>
      <c r="AF1182" s="246"/>
      <c r="AG1182" s="642"/>
      <c r="AH1182" s="642">
        <v>1</v>
      </c>
      <c r="AI1182" s="246">
        <v>1000</v>
      </c>
      <c r="AJ1182" s="246">
        <f t="shared" si="433"/>
        <v>0</v>
      </c>
      <c r="AK1182" s="246"/>
      <c r="AL1182" s="246" t="s">
        <v>2368</v>
      </c>
      <c r="AM1182" s="246"/>
      <c r="AN1182" s="246"/>
      <c r="AO1182" s="551">
        <f>I1182</f>
        <v>1000</v>
      </c>
      <c r="AP1182" s="554">
        <f>I1182</f>
        <v>1000</v>
      </c>
      <c r="AQ1182" s="551"/>
      <c r="AR1182" s="650"/>
      <c r="AS1182" s="551"/>
      <c r="AT1182" s="551"/>
      <c r="AU1182" s="551"/>
      <c r="AV1182" s="554">
        <f>I1182</f>
        <v>1000</v>
      </c>
      <c r="AW1182" s="650"/>
      <c r="AX1182" s="551"/>
      <c r="AY1182" s="551"/>
      <c r="AZ1182" s="551"/>
      <c r="BA1182" s="551"/>
      <c r="BB1182" s="620">
        <f>I1182/24</f>
        <v>41.6666666666667</v>
      </c>
      <c r="BC1182" s="651"/>
      <c r="BD1182" s="551"/>
      <c r="BE1182" s="551"/>
      <c r="BF1182" s="551"/>
      <c r="BH1182" s="551"/>
      <c r="BI1182" s="551"/>
      <c r="BJ1182" s="551"/>
      <c r="BK1182" s="551"/>
      <c r="BL1182" s="551"/>
      <c r="BM1182" s="551"/>
      <c r="BN1182" s="551">
        <f>I1182/25</f>
        <v>40</v>
      </c>
      <c r="BO1182" s="551"/>
      <c r="BP1182" s="551"/>
      <c r="BQ1182" s="551"/>
      <c r="BR1182" s="551"/>
      <c r="BS1182" s="551"/>
      <c r="BT1182" s="551"/>
      <c r="BU1182" s="551"/>
      <c r="BV1182" s="551"/>
      <c r="BW1182" s="551"/>
      <c r="BX1182" s="551"/>
      <c r="BY1182" s="650"/>
      <c r="BZ1182" s="551"/>
      <c r="CA1182" s="652"/>
      <c r="CB1182" s="567"/>
      <c r="CC1182" s="653"/>
      <c r="CD1182" s="650"/>
      <c r="CE1182" s="650"/>
      <c r="CF1182" s="551"/>
      <c r="CG1182" s="551"/>
      <c r="CI1182" s="551"/>
      <c r="CJ1182" s="551"/>
      <c r="CK1182" s="551"/>
      <c r="CL1182" s="551"/>
      <c r="CM1182" s="551"/>
      <c r="CN1182" s="551"/>
      <c r="CO1182" s="551"/>
      <c r="CP1182" s="551"/>
      <c r="CQ1182" s="551"/>
      <c r="CR1182" s="551"/>
      <c r="CS1182" s="551"/>
      <c r="CT1182" s="551"/>
      <c r="CU1182" s="551">
        <f t="shared" si="446"/>
        <v>40</v>
      </c>
      <c r="CV1182" s="551">
        <f t="shared" si="450"/>
        <v>0</v>
      </c>
      <c r="CW1182" s="551">
        <f t="shared" si="451"/>
        <v>0</v>
      </c>
      <c r="CX1182" s="707"/>
      <c r="CY1182" s="707"/>
      <c r="CZ1182" s="707"/>
      <c r="DA1182" s="708"/>
      <c r="DB1182" s="708"/>
      <c r="DC1182" s="708"/>
      <c r="DD1182" s="707"/>
      <c r="DE1182" s="707"/>
      <c r="DF1182" s="707"/>
      <c r="DG1182" s="707"/>
      <c r="DH1182" s="707"/>
    </row>
    <row r="1183" s="548" customFormat="1" ht="31" customHeight="1" spans="1:112">
      <c r="A1183" s="641">
        <v>46048</v>
      </c>
      <c r="B1183" s="642" t="s">
        <v>1800</v>
      </c>
      <c r="C1183" s="693" t="s">
        <v>744</v>
      </c>
      <c r="D1183" s="551">
        <v>4500192252</v>
      </c>
      <c r="E1183" s="246">
        <v>5000002110</v>
      </c>
      <c r="F1183" s="551" t="s">
        <v>8927</v>
      </c>
      <c r="G1183" s="246" t="s">
        <v>6093</v>
      </c>
      <c r="H1183" s="639" t="s">
        <v>7359</v>
      </c>
      <c r="I1183" s="706">
        <v>5200</v>
      </c>
      <c r="J1183" s="246">
        <v>0</v>
      </c>
      <c r="K1183" s="246">
        <v>13</v>
      </c>
      <c r="L1183" s="644">
        <f t="shared" si="437"/>
        <v>400</v>
      </c>
      <c r="M1183" s="645">
        <v>46115</v>
      </c>
      <c r="N1183" s="645">
        <f>M1183-4</f>
        <v>46111</v>
      </c>
      <c r="O1183" s="643"/>
      <c r="P1183" s="643" t="s">
        <v>113</v>
      </c>
      <c r="Q1183" s="246"/>
      <c r="R1183" s="646" t="s">
        <v>8889</v>
      </c>
      <c r="S1183" s="646" t="s">
        <v>104</v>
      </c>
      <c r="T1183" s="646" t="s">
        <v>8723</v>
      </c>
      <c r="U1183" s="646"/>
      <c r="V1183" s="646"/>
      <c r="W1183" s="615"/>
      <c r="X1183" s="642" t="s">
        <v>8890</v>
      </c>
      <c r="Y1183" s="694" t="s">
        <v>1805</v>
      </c>
      <c r="Z1183" s="655">
        <v>0.8895</v>
      </c>
      <c r="AA1183" s="647">
        <f t="shared" si="449"/>
        <v>4625.4</v>
      </c>
      <c r="AC1183" s="648"/>
      <c r="AD1183" s="246" t="s">
        <v>8338</v>
      </c>
      <c r="AE1183" s="246" t="s">
        <v>82</v>
      </c>
      <c r="AF1183" s="246"/>
      <c r="AG1183" s="642"/>
      <c r="AH1183" s="642">
        <v>1</v>
      </c>
      <c r="AI1183" s="246">
        <v>5200</v>
      </c>
      <c r="AJ1183" s="246">
        <f t="shared" si="433"/>
        <v>0</v>
      </c>
      <c r="AK1183" s="246"/>
      <c r="AL1183" s="246" t="s">
        <v>2368</v>
      </c>
      <c r="AM1183" s="246"/>
      <c r="AN1183" s="246"/>
      <c r="AO1183" s="551">
        <f>I1183</f>
        <v>5200</v>
      </c>
      <c r="AP1183" s="551"/>
      <c r="AQ1183" s="551"/>
      <c r="AR1183" s="551"/>
      <c r="AS1183" s="551"/>
      <c r="AT1183" s="551"/>
      <c r="AU1183" s="551"/>
      <c r="AV1183" s="551"/>
      <c r="AW1183" s="650">
        <f>I1183</f>
        <v>5200</v>
      </c>
      <c r="AX1183" s="554">
        <f>I1183</f>
        <v>5200</v>
      </c>
      <c r="AY1183" s="551"/>
      <c r="AZ1183" s="551"/>
      <c r="BA1183" s="651">
        <f>I1183/24*2</f>
        <v>433.333333333333</v>
      </c>
      <c r="BB1183" s="249"/>
      <c r="BC1183" s="651"/>
      <c r="BD1183" s="551"/>
      <c r="BE1183" s="551"/>
      <c r="BF1183" s="551"/>
      <c r="BH1183" s="551"/>
      <c r="BI1183" s="551"/>
      <c r="BJ1183" s="551"/>
      <c r="BK1183" s="551"/>
      <c r="BL1183" s="551"/>
      <c r="BM1183" s="551">
        <f>I1183/13</f>
        <v>400</v>
      </c>
      <c r="BN1183" s="551"/>
      <c r="BO1183" s="551"/>
      <c r="BP1183" s="551"/>
      <c r="BQ1183" s="551"/>
      <c r="BR1183" s="551"/>
      <c r="BS1183" s="551"/>
      <c r="BT1183" s="551"/>
      <c r="BU1183" s="551"/>
      <c r="BV1183" s="551"/>
      <c r="BW1183" s="551"/>
      <c r="BX1183" s="551"/>
      <c r="BY1183" s="650"/>
      <c r="BZ1183" s="551"/>
      <c r="CA1183" s="652"/>
      <c r="CB1183" s="567"/>
      <c r="CC1183" s="653"/>
      <c r="CD1183" s="650"/>
      <c r="CE1183" s="650"/>
      <c r="CF1183" s="551"/>
      <c r="CG1183" s="551"/>
      <c r="CI1183" s="551"/>
      <c r="CJ1183" s="551"/>
      <c r="CK1183" s="551"/>
      <c r="CL1183" s="551"/>
      <c r="CM1183" s="551"/>
      <c r="CN1183" s="551"/>
      <c r="CO1183" s="551"/>
      <c r="CP1183" s="551"/>
      <c r="CQ1183" s="551"/>
      <c r="CR1183" s="551"/>
      <c r="CS1183" s="551"/>
      <c r="CT1183" s="551"/>
      <c r="CU1183" s="551">
        <f t="shared" si="446"/>
        <v>0</v>
      </c>
      <c r="CV1183" s="551">
        <f t="shared" si="450"/>
        <v>0</v>
      </c>
      <c r="CW1183" s="551">
        <f t="shared" si="451"/>
        <v>0</v>
      </c>
      <c r="CX1183" s="707"/>
      <c r="CY1183" s="707"/>
      <c r="CZ1183" s="707"/>
      <c r="DA1183" s="548"/>
      <c r="DB1183" s="548"/>
      <c r="DC1183" s="548"/>
      <c r="DD1183" s="707"/>
      <c r="DE1183" s="707"/>
      <c r="DF1183" s="707"/>
      <c r="DG1183" s="707"/>
      <c r="DH1183" s="707"/>
    </row>
    <row r="1184" s="548" customFormat="1" ht="31" customHeight="1" spans="1:112">
      <c r="A1184" s="641">
        <v>46048</v>
      </c>
      <c r="B1184" s="642" t="s">
        <v>1800</v>
      </c>
      <c r="C1184" s="693" t="s">
        <v>744</v>
      </c>
      <c r="D1184" s="551">
        <v>4500192252</v>
      </c>
      <c r="E1184" s="246">
        <v>5000002110</v>
      </c>
      <c r="F1184" s="551" t="s">
        <v>3348</v>
      </c>
      <c r="G1184" s="246" t="s">
        <v>6337</v>
      </c>
      <c r="H1184" s="662" t="s">
        <v>477</v>
      </c>
      <c r="I1184" s="706">
        <v>1200</v>
      </c>
      <c r="J1184" s="246">
        <v>0</v>
      </c>
      <c r="K1184" s="246">
        <v>6</v>
      </c>
      <c r="L1184" s="644">
        <f t="shared" si="437"/>
        <v>200</v>
      </c>
      <c r="M1184" s="645">
        <v>46115</v>
      </c>
      <c r="N1184" s="645">
        <f>M1184-4</f>
        <v>46111</v>
      </c>
      <c r="O1184" s="643"/>
      <c r="P1184" s="643" t="s">
        <v>113</v>
      </c>
      <c r="Q1184" s="246"/>
      <c r="R1184" s="646" t="s">
        <v>3299</v>
      </c>
      <c r="S1184" s="646" t="s">
        <v>104</v>
      </c>
      <c r="T1184" s="646" t="s">
        <v>2239</v>
      </c>
      <c r="U1184" s="646"/>
      <c r="V1184" s="646"/>
      <c r="W1184" s="615"/>
      <c r="X1184" s="642" t="s">
        <v>8891</v>
      </c>
      <c r="Y1184" s="694" t="s">
        <v>1805</v>
      </c>
      <c r="Z1184" s="655">
        <v>6.7154</v>
      </c>
      <c r="AA1184" s="647">
        <f t="shared" si="449"/>
        <v>8058.48</v>
      </c>
      <c r="AC1184" s="648"/>
      <c r="AD1184" s="246" t="s">
        <v>2241</v>
      </c>
      <c r="AE1184" s="246" t="s">
        <v>82</v>
      </c>
      <c r="AF1184" s="246"/>
      <c r="AG1184" s="642"/>
      <c r="AH1184" s="642">
        <v>1</v>
      </c>
      <c r="AI1184" s="246">
        <v>1200</v>
      </c>
      <c r="AJ1184" s="246">
        <f t="shared" si="433"/>
        <v>0</v>
      </c>
      <c r="AK1184" s="246"/>
      <c r="AL1184" s="246" t="s">
        <v>2368</v>
      </c>
      <c r="AM1184" s="246"/>
      <c r="AN1184" s="246"/>
      <c r="AO1184" s="554">
        <f>I1184*2</f>
        <v>2400</v>
      </c>
      <c r="AP1184" s="551"/>
      <c r="AQ1184" s="551"/>
      <c r="AR1184" s="551"/>
      <c r="AS1184" s="551"/>
      <c r="AT1184" s="554">
        <f>I1184*2</f>
        <v>2400</v>
      </c>
      <c r="AU1184" s="551"/>
      <c r="AV1184" s="551"/>
      <c r="AW1184" s="650"/>
      <c r="AX1184" s="663">
        <f>I1184*2</f>
        <v>2400</v>
      </c>
      <c r="AY1184" s="551"/>
      <c r="AZ1184" s="551"/>
      <c r="BA1184" s="671">
        <f>I1184/24*2</f>
        <v>100</v>
      </c>
      <c r="BB1184" s="249"/>
      <c r="BC1184" s="651"/>
      <c r="BD1184" s="551"/>
      <c r="BE1184" s="551"/>
      <c r="BF1184" s="551"/>
      <c r="BH1184" s="551"/>
      <c r="BI1184" s="551"/>
      <c r="BJ1184" s="551"/>
      <c r="BK1184" s="551"/>
      <c r="BL1184" s="551"/>
      <c r="BM1184" s="551"/>
      <c r="BN1184" s="551"/>
      <c r="BO1184" s="551"/>
      <c r="BP1184" s="551"/>
      <c r="BQ1184" s="551"/>
      <c r="BR1184" s="551"/>
      <c r="BS1184" s="551"/>
      <c r="BT1184" s="551"/>
      <c r="BU1184" s="551"/>
      <c r="BV1184" s="551"/>
      <c r="BW1184" s="551"/>
      <c r="BX1184" s="551"/>
      <c r="BY1184" s="650"/>
      <c r="BZ1184" s="551">
        <f>I1184</f>
        <v>1200</v>
      </c>
      <c r="CA1184" s="652"/>
      <c r="CB1184" s="567"/>
      <c r="CC1184" s="653"/>
      <c r="CD1184" s="650"/>
      <c r="CE1184" s="650"/>
      <c r="CF1184" s="551"/>
      <c r="CG1184" s="551"/>
      <c r="CI1184" s="551"/>
      <c r="CJ1184" s="551"/>
      <c r="CK1184" s="551"/>
      <c r="CL1184" s="551"/>
      <c r="CM1184" s="551"/>
      <c r="CN1184" s="551"/>
      <c r="CO1184" s="551"/>
      <c r="CP1184" s="551"/>
      <c r="CQ1184" s="551"/>
      <c r="CR1184" s="551"/>
      <c r="CS1184" s="551"/>
      <c r="CT1184" s="551"/>
      <c r="CU1184" s="551">
        <f t="shared" si="446"/>
        <v>0</v>
      </c>
      <c r="CV1184" s="551">
        <f t="shared" si="450"/>
        <v>0</v>
      </c>
      <c r="CW1184" s="551">
        <f t="shared" si="451"/>
        <v>0</v>
      </c>
      <c r="CX1184" s="707"/>
      <c r="CY1184" s="707"/>
      <c r="CZ1184" s="707"/>
      <c r="DA1184" s="548"/>
      <c r="DB1184" s="548"/>
      <c r="DC1184" s="548"/>
      <c r="DD1184" s="707"/>
      <c r="DE1184" s="707"/>
      <c r="DF1184" s="707"/>
      <c r="DG1184" s="707"/>
      <c r="DH1184" s="707"/>
    </row>
    <row r="1185" s="548" customFormat="1" ht="31" customHeight="1" spans="1:112">
      <c r="A1185" s="641">
        <v>46051</v>
      </c>
      <c r="B1185" s="642" t="s">
        <v>1800</v>
      </c>
      <c r="C1185" s="693" t="s">
        <v>744</v>
      </c>
      <c r="D1185" s="551">
        <v>4500192252</v>
      </c>
      <c r="E1185" s="246">
        <v>5000002110</v>
      </c>
      <c r="F1185" s="551" t="s">
        <v>8928</v>
      </c>
      <c r="G1185" s="246" t="s">
        <v>6093</v>
      </c>
      <c r="H1185" s="639" t="s">
        <v>7359</v>
      </c>
      <c r="I1185" s="706">
        <v>2990</v>
      </c>
      <c r="J1185" s="246">
        <v>0</v>
      </c>
      <c r="K1185" s="246">
        <v>13</v>
      </c>
      <c r="L1185" s="644">
        <f t="shared" si="437"/>
        <v>230</v>
      </c>
      <c r="M1185" s="645">
        <v>46115</v>
      </c>
      <c r="N1185" s="645">
        <f>M1185-4</f>
        <v>46111</v>
      </c>
      <c r="O1185" s="643"/>
      <c r="P1185" s="643" t="s">
        <v>113</v>
      </c>
      <c r="Q1185" s="246"/>
      <c r="R1185" s="646" t="s">
        <v>8889</v>
      </c>
      <c r="S1185" s="646" t="s">
        <v>104</v>
      </c>
      <c r="T1185" s="646" t="s">
        <v>8723</v>
      </c>
      <c r="U1185" s="646"/>
      <c r="V1185" s="646"/>
      <c r="W1185" s="615"/>
      <c r="X1185" s="642" t="s">
        <v>8890</v>
      </c>
      <c r="Y1185" s="694" t="s">
        <v>1805</v>
      </c>
      <c r="Z1185" s="655">
        <v>0.882</v>
      </c>
      <c r="AA1185" s="647">
        <f t="shared" si="449"/>
        <v>2637.18</v>
      </c>
      <c r="AC1185" s="648"/>
      <c r="AD1185" s="246" t="s">
        <v>8338</v>
      </c>
      <c r="AE1185" s="246" t="s">
        <v>82</v>
      </c>
      <c r="AF1185" s="246"/>
      <c r="AG1185" s="642"/>
      <c r="AH1185" s="642">
        <v>1</v>
      </c>
      <c r="AI1185" s="246">
        <v>2990</v>
      </c>
      <c r="AJ1185" s="246">
        <f t="shared" si="433"/>
        <v>0</v>
      </c>
      <c r="AK1185" s="246"/>
      <c r="AL1185" s="246" t="s">
        <v>2368</v>
      </c>
      <c r="AM1185" s="246"/>
      <c r="AN1185" s="246"/>
      <c r="AO1185" s="551">
        <f>I1185</f>
        <v>2990</v>
      </c>
      <c r="AP1185" s="551"/>
      <c r="AQ1185" s="551"/>
      <c r="AR1185" s="650"/>
      <c r="AS1185" s="551"/>
      <c r="AT1185" s="551"/>
      <c r="AU1185" s="551"/>
      <c r="AV1185" s="551"/>
      <c r="AW1185" s="650">
        <f>I1185</f>
        <v>2990</v>
      </c>
      <c r="AX1185" s="554">
        <f>I1185</f>
        <v>2990</v>
      </c>
      <c r="AY1185" s="551"/>
      <c r="AZ1185" s="551"/>
      <c r="BA1185" s="651">
        <f>I1185/24*2</f>
        <v>249.166666666667</v>
      </c>
      <c r="BB1185" s="249"/>
      <c r="BC1185" s="651"/>
      <c r="BD1185" s="551"/>
      <c r="BE1185" s="551"/>
      <c r="BF1185" s="551"/>
      <c r="BH1185" s="551"/>
      <c r="BI1185" s="551"/>
      <c r="BJ1185" s="551"/>
      <c r="BK1185" s="551"/>
      <c r="BL1185" s="551"/>
      <c r="BM1185" s="551">
        <f>I1185/13</f>
        <v>230</v>
      </c>
      <c r="BN1185" s="551"/>
      <c r="BO1185" s="551"/>
      <c r="BP1185" s="551"/>
      <c r="BQ1185" s="551"/>
      <c r="BR1185" s="551"/>
      <c r="BS1185" s="551"/>
      <c r="BT1185" s="551"/>
      <c r="BU1185" s="551"/>
      <c r="BV1185" s="551"/>
      <c r="BW1185" s="551"/>
      <c r="BX1185" s="551"/>
      <c r="BY1185" s="650"/>
      <c r="BZ1185" s="551"/>
      <c r="CA1185" s="652"/>
      <c r="CB1185" s="567"/>
      <c r="CC1185" s="653"/>
      <c r="CD1185" s="650"/>
      <c r="CE1185" s="650"/>
      <c r="CF1185" s="551"/>
      <c r="CG1185" s="551"/>
      <c r="CI1185" s="551"/>
      <c r="CJ1185" s="551"/>
      <c r="CK1185" s="551"/>
      <c r="CL1185" s="551"/>
      <c r="CM1185" s="551"/>
      <c r="CN1185" s="551"/>
      <c r="CO1185" s="551"/>
      <c r="CP1185" s="551"/>
      <c r="CQ1185" s="551"/>
      <c r="CR1185" s="551"/>
      <c r="CS1185" s="551"/>
      <c r="CT1185" s="551"/>
      <c r="CU1185" s="551">
        <f t="shared" si="446"/>
        <v>0</v>
      </c>
      <c r="CV1185" s="551">
        <f t="shared" si="450"/>
        <v>0</v>
      </c>
      <c r="CW1185" s="551">
        <f t="shared" si="451"/>
        <v>0</v>
      </c>
      <c r="CX1185" s="707"/>
      <c r="CY1185" s="707"/>
      <c r="CZ1185" s="707"/>
      <c r="DA1185" s="708"/>
      <c r="DB1185" s="708"/>
      <c r="DC1185" s="708"/>
      <c r="DD1185" s="707"/>
      <c r="DE1185" s="707"/>
      <c r="DF1185" s="707"/>
      <c r="DG1185" s="707"/>
      <c r="DH1185" s="707"/>
    </row>
    <row r="1186" s="548" customFormat="1" ht="31" customHeight="1" spans="1:112">
      <c r="A1186" s="641">
        <v>46051</v>
      </c>
      <c r="B1186" s="642" t="s">
        <v>1800</v>
      </c>
      <c r="C1186" s="246" t="s">
        <v>744</v>
      </c>
      <c r="D1186" s="551">
        <v>4500192252</v>
      </c>
      <c r="E1186" s="246">
        <v>5000002110</v>
      </c>
      <c r="F1186" s="551" t="s">
        <v>3349</v>
      </c>
      <c r="G1186" s="246" t="s">
        <v>6337</v>
      </c>
      <c r="H1186" s="662" t="s">
        <v>477</v>
      </c>
      <c r="I1186" s="706">
        <v>3000</v>
      </c>
      <c r="J1186" s="246">
        <v>0</v>
      </c>
      <c r="K1186" s="246">
        <v>6</v>
      </c>
      <c r="L1186" s="644">
        <f t="shared" si="437"/>
        <v>500</v>
      </c>
      <c r="M1186" s="645">
        <v>46115</v>
      </c>
      <c r="N1186" s="645">
        <f>M1186-4</f>
        <v>46111</v>
      </c>
      <c r="O1186" s="643"/>
      <c r="P1186" s="643" t="s">
        <v>113</v>
      </c>
      <c r="Q1186" s="246"/>
      <c r="R1186" s="646" t="s">
        <v>3299</v>
      </c>
      <c r="S1186" s="646" t="s">
        <v>104</v>
      </c>
      <c r="T1186" s="646" t="s">
        <v>2239</v>
      </c>
      <c r="U1186" s="646"/>
      <c r="V1186" s="646"/>
      <c r="W1186" s="615"/>
      <c r="X1186" s="642" t="s">
        <v>8891</v>
      </c>
      <c r="Y1186" s="647" t="s">
        <v>1805</v>
      </c>
      <c r="Z1186" s="655">
        <v>6.4585</v>
      </c>
      <c r="AA1186" s="647">
        <f t="shared" si="449"/>
        <v>19375.5</v>
      </c>
      <c r="AC1186" s="648"/>
      <c r="AD1186" s="246" t="s">
        <v>2241</v>
      </c>
      <c r="AE1186" s="246" t="s">
        <v>82</v>
      </c>
      <c r="AF1186" s="246"/>
      <c r="AG1186" s="642"/>
      <c r="AH1186" s="642">
        <v>1</v>
      </c>
      <c r="AI1186" s="246">
        <v>3000</v>
      </c>
      <c r="AJ1186" s="246">
        <f t="shared" si="433"/>
        <v>0</v>
      </c>
      <c r="AK1186" s="246"/>
      <c r="AL1186" s="246" t="s">
        <v>2368</v>
      </c>
      <c r="AM1186" s="246"/>
      <c r="AN1186" s="246"/>
      <c r="AO1186" s="554">
        <f>I1186*2</f>
        <v>6000</v>
      </c>
      <c r="AP1186" s="551"/>
      <c r="AQ1186" s="551"/>
      <c r="AR1186" s="650"/>
      <c r="AS1186" s="551"/>
      <c r="AT1186" s="554">
        <f>I1186*2</f>
        <v>6000</v>
      </c>
      <c r="AU1186" s="551"/>
      <c r="AV1186" s="551"/>
      <c r="AW1186" s="650"/>
      <c r="AX1186" s="663">
        <f>I1186*2</f>
        <v>6000</v>
      </c>
      <c r="AY1186" s="551"/>
      <c r="AZ1186" s="551"/>
      <c r="BA1186" s="671">
        <f>I1186/24*2</f>
        <v>250</v>
      </c>
      <c r="BB1186" s="249"/>
      <c r="BC1186" s="651"/>
      <c r="BD1186" s="551"/>
      <c r="BE1186" s="551"/>
      <c r="BF1186" s="551"/>
      <c r="BH1186" s="551"/>
      <c r="BI1186" s="551"/>
      <c r="BJ1186" s="551"/>
      <c r="BK1186" s="551"/>
      <c r="BL1186" s="551"/>
      <c r="BM1186" s="551"/>
      <c r="BN1186" s="551"/>
      <c r="BO1186" s="551"/>
      <c r="BP1186" s="551"/>
      <c r="BQ1186" s="551"/>
      <c r="BR1186" s="551"/>
      <c r="BS1186" s="551"/>
      <c r="BT1186" s="551"/>
      <c r="BU1186" s="551"/>
      <c r="BV1186" s="551"/>
      <c r="BW1186" s="551"/>
      <c r="BX1186" s="551"/>
      <c r="BY1186" s="650"/>
      <c r="BZ1186" s="551">
        <f>I1186</f>
        <v>3000</v>
      </c>
      <c r="CA1186" s="652"/>
      <c r="CB1186" s="567"/>
      <c r="CC1186" s="653"/>
      <c r="CD1186" s="650"/>
      <c r="CE1186" s="650"/>
      <c r="CF1186" s="551"/>
      <c r="CG1186" s="551"/>
      <c r="CI1186" s="551"/>
      <c r="CJ1186" s="551"/>
      <c r="CK1186" s="551"/>
      <c r="CL1186" s="551"/>
      <c r="CM1186" s="551"/>
      <c r="CN1186" s="551"/>
      <c r="CO1186" s="551"/>
      <c r="CP1186" s="551"/>
      <c r="CQ1186" s="551"/>
      <c r="CR1186" s="551"/>
      <c r="CS1186" s="551"/>
      <c r="CT1186" s="551"/>
      <c r="CU1186" s="551">
        <f t="shared" si="446"/>
        <v>0</v>
      </c>
      <c r="CV1186" s="551">
        <f t="shared" si="450"/>
        <v>0</v>
      </c>
      <c r="CW1186" s="551">
        <f t="shared" si="451"/>
        <v>0</v>
      </c>
      <c r="CX1186" s="707"/>
      <c r="CY1186" s="707"/>
      <c r="CZ1186" s="707"/>
      <c r="DA1186" s="548"/>
      <c r="DB1186" s="548"/>
      <c r="DC1186" s="548"/>
      <c r="DD1186" s="707"/>
      <c r="DE1186" s="707"/>
      <c r="DF1186" s="707"/>
      <c r="DG1186" s="707"/>
      <c r="DH1186" s="707"/>
    </row>
    <row r="1187" s="548" customFormat="1" ht="31" customHeight="1" spans="1:112">
      <c r="A1187" s="641">
        <v>45978</v>
      </c>
      <c r="B1187" s="642" t="s">
        <v>1492</v>
      </c>
      <c r="C1187" s="693" t="s">
        <v>98</v>
      </c>
      <c r="D1187" s="551">
        <v>4500185948</v>
      </c>
      <c r="E1187" s="643">
        <v>1741218415</v>
      </c>
      <c r="F1187" s="551" t="s">
        <v>3258</v>
      </c>
      <c r="G1187" s="246" t="s">
        <v>8457</v>
      </c>
      <c r="H1187" s="246" t="s">
        <v>830</v>
      </c>
      <c r="I1187" s="246">
        <v>5400</v>
      </c>
      <c r="J1187" s="246">
        <v>0</v>
      </c>
      <c r="K1187" s="246">
        <v>75</v>
      </c>
      <c r="L1187" s="644">
        <f t="shared" si="437"/>
        <v>72</v>
      </c>
      <c r="M1187" s="645">
        <v>46101</v>
      </c>
      <c r="N1187" s="645">
        <v>46097</v>
      </c>
      <c r="O1187" s="643"/>
      <c r="P1187" s="643" t="s">
        <v>113</v>
      </c>
      <c r="Q1187" s="246"/>
      <c r="R1187" s="646" t="s">
        <v>2667</v>
      </c>
      <c r="S1187" s="646" t="s">
        <v>70</v>
      </c>
      <c r="T1187" s="646" t="s">
        <v>70</v>
      </c>
      <c r="U1187" s="646"/>
      <c r="V1187" s="646"/>
      <c r="W1187" s="615"/>
      <c r="X1187" s="642" t="s">
        <v>2826</v>
      </c>
      <c r="Y1187" s="694" t="s">
        <v>911</v>
      </c>
      <c r="Z1187" s="642">
        <v>359.3436</v>
      </c>
      <c r="AA1187" s="647">
        <f>Z1187*L1187</f>
        <v>25872.7392</v>
      </c>
      <c r="AC1187" s="658" t="s">
        <v>3259</v>
      </c>
      <c r="AD1187" s="642" t="s">
        <v>1498</v>
      </c>
      <c r="AE1187" s="246" t="s">
        <v>82</v>
      </c>
      <c r="AF1187" s="246"/>
      <c r="AG1187" s="642"/>
      <c r="AH1187" s="642">
        <v>1</v>
      </c>
      <c r="AI1187" s="246">
        <f>2520+580+2300</f>
        <v>5400</v>
      </c>
      <c r="AJ1187" s="246">
        <f t="shared" si="433"/>
        <v>0</v>
      </c>
      <c r="AK1187" s="246"/>
      <c r="AL1187" s="246"/>
      <c r="AM1187" s="246"/>
      <c r="AN1187" s="610">
        <f>I1187*3</f>
        <v>16200</v>
      </c>
      <c r="AO1187" s="551"/>
      <c r="AP1187" s="551"/>
      <c r="AQ1187" s="551"/>
      <c r="AR1187" s="650"/>
      <c r="AS1187" s="551"/>
      <c r="AT1187" s="551"/>
      <c r="AU1187" s="551"/>
      <c r="AV1187" s="551"/>
      <c r="AW1187" s="650"/>
      <c r="AX1187" s="551"/>
      <c r="AY1187" s="551"/>
      <c r="AZ1187" s="551"/>
      <c r="BA1187" s="551"/>
      <c r="BB1187" s="249">
        <f>I1187/24*3</f>
        <v>675</v>
      </c>
      <c r="BC1187" s="651"/>
      <c r="BD1187" s="551"/>
      <c r="BE1187" s="551"/>
      <c r="BF1187" s="551">
        <f>AN1187</f>
        <v>16200</v>
      </c>
      <c r="BH1187" s="551">
        <f>AN1187</f>
        <v>16200</v>
      </c>
      <c r="BI1187" s="551">
        <f>I1187</f>
        <v>5400</v>
      </c>
      <c r="BJ1187" s="551">
        <f>I1187/5</f>
        <v>1080</v>
      </c>
      <c r="BK1187" s="551"/>
      <c r="BL1187" s="551"/>
      <c r="BM1187" s="551"/>
      <c r="BN1187" s="551"/>
      <c r="BO1187" s="551"/>
      <c r="BP1187" s="551"/>
      <c r="BQ1187" s="551"/>
      <c r="BR1187" s="551"/>
      <c r="BS1187" s="551"/>
      <c r="BT1187" s="551"/>
      <c r="BU1187" s="551"/>
      <c r="BV1187" s="551"/>
      <c r="BW1187" s="551"/>
      <c r="BX1187" s="551"/>
      <c r="BY1187" s="650"/>
      <c r="BZ1187" s="551"/>
      <c r="CA1187" s="652"/>
      <c r="CB1187" s="567"/>
      <c r="CC1187" s="653"/>
      <c r="CD1187" s="650"/>
      <c r="CE1187" s="650"/>
      <c r="CF1187" s="551"/>
      <c r="CG1187" s="551"/>
      <c r="CI1187" s="551"/>
      <c r="CJ1187" s="551"/>
      <c r="CK1187" s="551"/>
      <c r="CL1187" s="551"/>
      <c r="CM1187" s="551"/>
      <c r="CN1187" s="551"/>
      <c r="CO1187" s="551"/>
      <c r="CP1187" s="551"/>
      <c r="CQ1187" s="551"/>
      <c r="CR1187" s="551"/>
      <c r="CS1187" s="551"/>
      <c r="CT1187" s="551"/>
      <c r="CU1187" s="551">
        <f t="shared" si="446"/>
        <v>0</v>
      </c>
      <c r="CV1187" s="551">
        <f t="shared" si="450"/>
        <v>0</v>
      </c>
      <c r="CW1187" s="551">
        <f t="shared" si="451"/>
        <v>0</v>
      </c>
      <c r="CX1187" s="650"/>
      <c r="CY1187" s="650"/>
      <c r="CZ1187" s="650"/>
      <c r="DA1187" s="548"/>
      <c r="DB1187" s="548"/>
      <c r="DC1187" s="548"/>
      <c r="DD1187" s="650"/>
      <c r="DE1187" s="650"/>
      <c r="DF1187" s="650"/>
      <c r="DG1187" s="650"/>
      <c r="DH1187" s="650"/>
    </row>
    <row r="1188" s="548" customFormat="1" ht="31" customHeight="1" spans="1:112">
      <c r="A1188" s="641">
        <v>46057</v>
      </c>
      <c r="B1188" s="642" t="s">
        <v>3385</v>
      </c>
      <c r="C1188" s="693" t="s">
        <v>3386</v>
      </c>
      <c r="D1188" s="551">
        <v>4500193066</v>
      </c>
      <c r="E1188" s="246" t="s">
        <v>3387</v>
      </c>
      <c r="F1188" s="551" t="s">
        <v>8929</v>
      </c>
      <c r="G1188" s="246" t="s">
        <v>6043</v>
      </c>
      <c r="H1188" s="246" t="s">
        <v>6110</v>
      </c>
      <c r="I1188" s="706">
        <v>6000</v>
      </c>
      <c r="J1188" s="246">
        <v>0</v>
      </c>
      <c r="K1188" s="246">
        <v>50</v>
      </c>
      <c r="L1188" s="644">
        <f t="shared" si="437"/>
        <v>120</v>
      </c>
      <c r="M1188" s="645">
        <v>46115</v>
      </c>
      <c r="N1188" s="645">
        <f>M1188-4</f>
        <v>46111</v>
      </c>
      <c r="O1188" s="643"/>
      <c r="P1188" s="643" t="s">
        <v>113</v>
      </c>
      <c r="Q1188" s="246"/>
      <c r="R1188" s="646" t="s">
        <v>3389</v>
      </c>
      <c r="S1188" s="646" t="s">
        <v>70</v>
      </c>
      <c r="T1188" s="646" t="s">
        <v>8930</v>
      </c>
      <c r="U1188" s="646"/>
      <c r="V1188" s="646"/>
      <c r="W1188" s="615"/>
      <c r="X1188" s="642" t="s">
        <v>8931</v>
      </c>
      <c r="Y1188" s="694" t="s">
        <v>529</v>
      </c>
      <c r="Z1188" s="642">
        <v>0.9358</v>
      </c>
      <c r="AA1188" s="647">
        <f>Z1188*I1188</f>
        <v>5614.8</v>
      </c>
      <c r="AC1188" s="648"/>
      <c r="AD1188" s="246" t="s">
        <v>6043</v>
      </c>
      <c r="AE1188" s="246" t="s">
        <v>82</v>
      </c>
      <c r="AF1188" s="246"/>
      <c r="AG1188" s="642"/>
      <c r="AH1188" s="642">
        <v>1</v>
      </c>
      <c r="AI1188" s="246">
        <v>6000</v>
      </c>
      <c r="AJ1188" s="246">
        <f t="shared" si="433"/>
        <v>0</v>
      </c>
      <c r="AK1188" s="246"/>
      <c r="AL1188" s="246" t="s">
        <v>2368</v>
      </c>
      <c r="AM1188" s="246"/>
      <c r="AN1188" s="246"/>
      <c r="AO1188" s="551">
        <f>I1188</f>
        <v>6000</v>
      </c>
      <c r="AP1188" s="551"/>
      <c r="AQ1188" s="551"/>
      <c r="AR1188" s="650"/>
      <c r="AS1188" s="551"/>
      <c r="AT1188" s="554">
        <f>I1188</f>
        <v>6000</v>
      </c>
      <c r="AU1188" s="551"/>
      <c r="AV1188" s="554">
        <f>I1188</f>
        <v>6000</v>
      </c>
      <c r="AW1188" s="650"/>
      <c r="AX1188" s="551"/>
      <c r="AY1188" s="551"/>
      <c r="AZ1188" s="551"/>
      <c r="BA1188" s="551"/>
      <c r="BB1188" s="620">
        <f>I1188/24</f>
        <v>250</v>
      </c>
      <c r="BC1188" s="651"/>
      <c r="BD1188" s="551"/>
      <c r="BE1188" s="551"/>
      <c r="BF1188" s="551"/>
      <c r="BH1188" s="551"/>
      <c r="BI1188" s="551"/>
      <c r="BJ1188" s="551"/>
      <c r="BK1188" s="551"/>
      <c r="BL1188" s="551"/>
      <c r="BM1188" s="551"/>
      <c r="BN1188" s="551"/>
      <c r="BO1188" s="551"/>
      <c r="BP1188" s="551">
        <f>I1188/25</f>
        <v>240</v>
      </c>
      <c r="BQ1188" s="551"/>
      <c r="BR1188" s="551"/>
      <c r="BS1188" s="551"/>
      <c r="BT1188" s="551"/>
      <c r="BU1188" s="551"/>
      <c r="BV1188" s="551"/>
      <c r="BW1188" s="551"/>
      <c r="BX1188" s="551"/>
      <c r="BY1188" s="650"/>
      <c r="BZ1188" s="551"/>
      <c r="CA1188" s="652"/>
      <c r="CB1188" s="567"/>
      <c r="CC1188" s="653"/>
      <c r="CD1188" s="650"/>
      <c r="CE1188" s="650"/>
      <c r="CF1188" s="551"/>
      <c r="CG1188" s="551"/>
      <c r="CI1188" s="551"/>
      <c r="CJ1188" s="551"/>
      <c r="CK1188" s="551"/>
      <c r="CL1188" s="551"/>
      <c r="CM1188" s="551"/>
      <c r="CN1188" s="551"/>
      <c r="CO1188" s="551"/>
      <c r="CP1188" s="551"/>
      <c r="CQ1188" s="551"/>
      <c r="CR1188" s="551"/>
      <c r="CS1188" s="551"/>
      <c r="CT1188" s="551"/>
      <c r="CU1188" s="551">
        <f t="shared" si="446"/>
        <v>240</v>
      </c>
      <c r="CV1188" s="551">
        <f t="shared" si="450"/>
        <v>0</v>
      </c>
      <c r="CW1188" s="551">
        <f t="shared" si="451"/>
        <v>0</v>
      </c>
      <c r="CX1188" s="707"/>
      <c r="CY1188" s="707"/>
      <c r="CZ1188" s="707"/>
      <c r="DA1188" s="708"/>
      <c r="DB1188" s="708"/>
      <c r="DC1188" s="708"/>
      <c r="DD1188" s="707"/>
      <c r="DE1188" s="707"/>
      <c r="DF1188" s="707"/>
      <c r="DG1188" s="707"/>
      <c r="DH1188" s="707"/>
    </row>
    <row r="1189" s="548" customFormat="1" ht="31" customHeight="1" spans="1:112">
      <c r="A1189" s="641">
        <v>46052</v>
      </c>
      <c r="B1189" s="642" t="s">
        <v>1928</v>
      </c>
      <c r="C1189" s="246" t="s">
        <v>424</v>
      </c>
      <c r="D1189" s="551">
        <v>4500192711</v>
      </c>
      <c r="E1189" s="246">
        <v>160646</v>
      </c>
      <c r="F1189" s="551" t="s">
        <v>8932</v>
      </c>
      <c r="G1189" s="246" t="s">
        <v>6047</v>
      </c>
      <c r="H1189" s="246" t="s">
        <v>6069</v>
      </c>
      <c r="I1189" s="246">
        <v>1000</v>
      </c>
      <c r="J1189" s="246">
        <v>0</v>
      </c>
      <c r="K1189" s="246">
        <v>25</v>
      </c>
      <c r="L1189" s="644">
        <f t="shared" si="437"/>
        <v>40</v>
      </c>
      <c r="M1189" s="645">
        <v>46118</v>
      </c>
      <c r="N1189" s="645">
        <v>46114</v>
      </c>
      <c r="O1189" s="643"/>
      <c r="P1189" s="643" t="s">
        <v>113</v>
      </c>
      <c r="Q1189" s="246"/>
      <c r="R1189" s="646">
        <v>46059</v>
      </c>
      <c r="S1189" s="646" t="s">
        <v>70</v>
      </c>
      <c r="T1189" s="646" t="s">
        <v>8933</v>
      </c>
      <c r="U1189" s="646"/>
      <c r="V1189" s="646"/>
      <c r="W1189" s="615"/>
      <c r="X1189" s="642" t="s">
        <v>8934</v>
      </c>
      <c r="Y1189" s="647" t="s">
        <v>244</v>
      </c>
      <c r="Z1189" s="642">
        <v>0.9417</v>
      </c>
      <c r="AA1189" s="647">
        <f>Z1189*I1189</f>
        <v>941.7</v>
      </c>
      <c r="AC1189" s="648"/>
      <c r="AD1189" s="246" t="s">
        <v>6047</v>
      </c>
      <c r="AE1189" s="246" t="s">
        <v>82</v>
      </c>
      <c r="AF1189" s="246"/>
      <c r="AG1189" s="642"/>
      <c r="AH1189" s="642">
        <v>1</v>
      </c>
      <c r="AI1189" s="246">
        <v>1000</v>
      </c>
      <c r="AJ1189" s="246">
        <f t="shared" si="433"/>
        <v>0</v>
      </c>
      <c r="AK1189" s="246"/>
      <c r="AL1189" s="246" t="s">
        <v>2368</v>
      </c>
      <c r="AM1189" s="246"/>
      <c r="AN1189" s="246"/>
      <c r="AO1189" s="551">
        <f>I1189</f>
        <v>1000</v>
      </c>
      <c r="AP1189" s="551"/>
      <c r="AQ1189" s="551"/>
      <c r="AR1189" s="650"/>
      <c r="AS1189" s="551"/>
      <c r="AT1189" s="554">
        <f>I1189</f>
        <v>1000</v>
      </c>
      <c r="AU1189" s="551"/>
      <c r="AV1189" s="554">
        <f>I1189</f>
        <v>1000</v>
      </c>
      <c r="AW1189" s="650"/>
      <c r="AX1189" s="551"/>
      <c r="AY1189" s="551"/>
      <c r="AZ1189" s="551"/>
      <c r="BA1189" s="551"/>
      <c r="BB1189" s="620">
        <f>I1189/24</f>
        <v>41.6666666666667</v>
      </c>
      <c r="BC1189" s="651"/>
      <c r="BD1189" s="551"/>
      <c r="BE1189" s="551"/>
      <c r="BF1189" s="551"/>
      <c r="BH1189" s="551"/>
      <c r="BI1189" s="551"/>
      <c r="BJ1189" s="551"/>
      <c r="BK1189" s="551"/>
      <c r="BL1189" s="551"/>
      <c r="BM1189" s="551"/>
      <c r="BN1189" s="551"/>
      <c r="BO1189" s="551"/>
      <c r="BP1189" s="551">
        <f>I1189/25</f>
        <v>40</v>
      </c>
      <c r="BQ1189" s="551"/>
      <c r="BR1189" s="551"/>
      <c r="BS1189" s="551"/>
      <c r="BT1189" s="551"/>
      <c r="BU1189" s="551"/>
      <c r="BV1189" s="551"/>
      <c r="BW1189" s="551"/>
      <c r="BX1189" s="551"/>
      <c r="BY1189" s="650"/>
      <c r="BZ1189" s="551"/>
      <c r="CA1189" s="652"/>
      <c r="CB1189" s="567"/>
      <c r="CC1189" s="653"/>
      <c r="CD1189" s="650"/>
      <c r="CE1189" s="650"/>
      <c r="CF1189" s="551"/>
      <c r="CG1189" s="551"/>
      <c r="CI1189" s="551"/>
      <c r="CJ1189" s="551"/>
      <c r="CK1189" s="551"/>
      <c r="CL1189" s="551"/>
      <c r="CM1189" s="551"/>
      <c r="CN1189" s="551"/>
      <c r="CO1189" s="551"/>
      <c r="CP1189" s="551"/>
      <c r="CQ1189" s="551"/>
      <c r="CR1189" s="551"/>
      <c r="CS1189" s="551"/>
      <c r="CT1189" s="551"/>
      <c r="CU1189" s="551">
        <f t="shared" si="446"/>
        <v>40</v>
      </c>
      <c r="CV1189" s="551">
        <f t="shared" si="450"/>
        <v>0</v>
      </c>
      <c r="CW1189" s="551">
        <f t="shared" si="451"/>
        <v>0</v>
      </c>
      <c r="CX1189" s="707"/>
      <c r="CY1189" s="707"/>
      <c r="CZ1189" s="707"/>
      <c r="DA1189" s="548"/>
      <c r="DB1189" s="548"/>
      <c r="DC1189" s="548"/>
      <c r="DD1189" s="707"/>
      <c r="DE1189" s="707"/>
      <c r="DF1189" s="707"/>
      <c r="DG1189" s="707"/>
      <c r="DH1189" s="707"/>
    </row>
    <row r="1190" s="548" customFormat="1" ht="31" customHeight="1" spans="1:112">
      <c r="A1190" s="641">
        <v>46052</v>
      </c>
      <c r="B1190" s="642" t="s">
        <v>1928</v>
      </c>
      <c r="C1190" s="246" t="s">
        <v>424</v>
      </c>
      <c r="D1190" s="551">
        <v>4500192711</v>
      </c>
      <c r="E1190" s="246">
        <v>160646</v>
      </c>
      <c r="F1190" s="551" t="s">
        <v>8935</v>
      </c>
      <c r="G1190" s="246" t="s">
        <v>6223</v>
      </c>
      <c r="H1190" s="246" t="s">
        <v>6080</v>
      </c>
      <c r="I1190" s="246">
        <v>510</v>
      </c>
      <c r="J1190" s="246">
        <v>0</v>
      </c>
      <c r="K1190" s="246">
        <v>30</v>
      </c>
      <c r="L1190" s="644">
        <f t="shared" si="437"/>
        <v>17</v>
      </c>
      <c r="M1190" s="645">
        <v>46118</v>
      </c>
      <c r="N1190" s="645">
        <v>46114</v>
      </c>
      <c r="O1190" s="643"/>
      <c r="P1190" s="643" t="s">
        <v>113</v>
      </c>
      <c r="Q1190" s="246"/>
      <c r="R1190" s="646">
        <v>46059</v>
      </c>
      <c r="S1190" s="646" t="s">
        <v>70</v>
      </c>
      <c r="T1190" s="646" t="s">
        <v>8936</v>
      </c>
      <c r="U1190" s="646"/>
      <c r="V1190" s="646"/>
      <c r="W1190" s="615"/>
      <c r="X1190" s="642" t="s">
        <v>8937</v>
      </c>
      <c r="Y1190" s="647" t="s">
        <v>244</v>
      </c>
      <c r="Z1190" s="642">
        <v>41.6355</v>
      </c>
      <c r="AA1190" s="647">
        <f>Z1190*L1190</f>
        <v>707.8035</v>
      </c>
      <c r="AC1190" s="648"/>
      <c r="AD1190" s="246" t="s">
        <v>6223</v>
      </c>
      <c r="AE1190" s="246" t="s">
        <v>82</v>
      </c>
      <c r="AF1190" s="246"/>
      <c r="AG1190" s="642"/>
      <c r="AH1190" s="642">
        <v>1</v>
      </c>
      <c r="AI1190" s="246">
        <v>510</v>
      </c>
      <c r="AJ1190" s="246">
        <f t="shared" ref="AJ1190:AJ1202" si="452">AI1190-I1190</f>
        <v>0</v>
      </c>
      <c r="AK1190" s="246"/>
      <c r="AL1190" s="246" t="s">
        <v>2368</v>
      </c>
      <c r="AM1190" s="246"/>
      <c r="AN1190" s="246"/>
      <c r="AO1190" s="551">
        <f>I1190</f>
        <v>510</v>
      </c>
      <c r="AP1190" s="551"/>
      <c r="AQ1190" s="551"/>
      <c r="AR1190" s="650"/>
      <c r="AS1190" s="551"/>
      <c r="AT1190" s="554">
        <f>I1190</f>
        <v>510</v>
      </c>
      <c r="AU1190" s="551"/>
      <c r="AV1190" s="554">
        <f>I1190</f>
        <v>510</v>
      </c>
      <c r="AW1190" s="650"/>
      <c r="AX1190" s="551"/>
      <c r="AY1190" s="551"/>
      <c r="AZ1190" s="551"/>
      <c r="BA1190" s="551"/>
      <c r="BB1190" s="249">
        <f>I1190/24</f>
        <v>21.25</v>
      </c>
      <c r="BC1190" s="651"/>
      <c r="BD1190" s="551"/>
      <c r="BE1190" s="551"/>
      <c r="BF1190" s="551"/>
      <c r="BH1190" s="551"/>
      <c r="BI1190" s="551"/>
      <c r="BJ1190" s="551"/>
      <c r="BK1190" s="551"/>
      <c r="BL1190" s="551"/>
      <c r="BM1190" s="551"/>
      <c r="BN1190" s="551"/>
      <c r="BO1190" s="551"/>
      <c r="BP1190" s="551"/>
      <c r="BQ1190" s="551"/>
      <c r="BR1190" s="551"/>
      <c r="BS1190" s="551"/>
      <c r="BT1190" s="551"/>
      <c r="BU1190" s="551"/>
      <c r="BV1190" s="551"/>
      <c r="BW1190" s="551"/>
      <c r="BX1190" s="551"/>
      <c r="BY1190" s="650"/>
      <c r="BZ1190" s="551"/>
      <c r="CA1190" s="652"/>
      <c r="CB1190" s="567"/>
      <c r="CC1190" s="653"/>
      <c r="CD1190" s="650"/>
      <c r="CE1190" s="650"/>
      <c r="CF1190" s="551"/>
      <c r="CG1190" s="551"/>
      <c r="CI1190" s="551"/>
      <c r="CJ1190" s="551"/>
      <c r="CK1190" s="551"/>
      <c r="CL1190" s="551"/>
      <c r="CM1190" s="551"/>
      <c r="CN1190" s="551"/>
      <c r="CO1190" s="551"/>
      <c r="CP1190" s="554">
        <f>I1190/30</f>
        <v>17</v>
      </c>
      <c r="CQ1190" s="551"/>
      <c r="CR1190" s="551"/>
      <c r="CS1190" s="551"/>
      <c r="CT1190" s="551"/>
      <c r="CU1190" s="551">
        <f t="shared" si="446"/>
        <v>0</v>
      </c>
      <c r="CV1190" s="551">
        <f t="shared" si="450"/>
        <v>17</v>
      </c>
      <c r="CW1190" s="551">
        <f t="shared" si="451"/>
        <v>0</v>
      </c>
      <c r="CX1190" s="707"/>
      <c r="CY1190" s="707"/>
      <c r="CZ1190" s="707"/>
      <c r="DA1190" s="548"/>
      <c r="DB1190" s="548"/>
      <c r="DC1190" s="548"/>
      <c r="DD1190" s="707"/>
      <c r="DE1190" s="707"/>
      <c r="DF1190" s="707"/>
      <c r="DG1190" s="707"/>
      <c r="DH1190" s="707"/>
    </row>
    <row r="1191" s="548" customFormat="1" ht="31" customHeight="1" spans="1:112">
      <c r="A1191" s="641">
        <v>45995</v>
      </c>
      <c r="B1191" s="642" t="s">
        <v>2734</v>
      </c>
      <c r="C1191" s="693" t="s">
        <v>98</v>
      </c>
      <c r="D1191" s="551">
        <v>4500186385</v>
      </c>
      <c r="E1191" s="246">
        <v>60260792</v>
      </c>
      <c r="F1191" s="551" t="s">
        <v>3350</v>
      </c>
      <c r="G1191" s="246" t="s">
        <v>8520</v>
      </c>
      <c r="H1191" s="246" t="s">
        <v>8521</v>
      </c>
      <c r="I1191" s="246">
        <v>2000</v>
      </c>
      <c r="J1191" s="246">
        <v>0</v>
      </c>
      <c r="K1191" s="246">
        <v>8</v>
      </c>
      <c r="L1191" s="644">
        <f t="shared" si="437"/>
        <v>250</v>
      </c>
      <c r="M1191" s="645">
        <v>46115</v>
      </c>
      <c r="N1191" s="645">
        <v>46111</v>
      </c>
      <c r="O1191" s="643"/>
      <c r="P1191" s="643" t="s">
        <v>113</v>
      </c>
      <c r="Q1191" s="246"/>
      <c r="R1191" s="646">
        <v>45995</v>
      </c>
      <c r="S1191" s="646" t="s">
        <v>70</v>
      </c>
      <c r="T1191" s="646" t="s">
        <v>8522</v>
      </c>
      <c r="U1191" s="646"/>
      <c r="V1191" s="646"/>
      <c r="W1191" s="615"/>
      <c r="X1191" s="642" t="s">
        <v>3351</v>
      </c>
      <c r="Y1191" s="694" t="s">
        <v>2678</v>
      </c>
      <c r="Z1191" s="642">
        <v>4.097</v>
      </c>
      <c r="AA1191" s="647">
        <f t="shared" ref="AA1191:AA1207" si="453">Z1191*I1191</f>
        <v>8194</v>
      </c>
      <c r="AC1191" s="658" t="s">
        <v>3352</v>
      </c>
      <c r="AD1191" s="246" t="s">
        <v>2741</v>
      </c>
      <c r="AE1191" s="246" t="s">
        <v>82</v>
      </c>
      <c r="AF1191" s="246"/>
      <c r="AG1191" s="642"/>
      <c r="AH1191" s="642">
        <v>1</v>
      </c>
      <c r="AI1191" s="246">
        <v>2000</v>
      </c>
      <c r="AJ1191" s="246">
        <f t="shared" si="452"/>
        <v>0</v>
      </c>
      <c r="AK1191" s="246"/>
      <c r="AL1191" s="246" t="s">
        <v>2368</v>
      </c>
      <c r="AM1191" s="246"/>
      <c r="AN1191" s="610">
        <f>I1191*2</f>
        <v>4000</v>
      </c>
      <c r="AO1191" s="551"/>
      <c r="AP1191" s="554">
        <f>I1191*2</f>
        <v>4000</v>
      </c>
      <c r="AQ1191" s="551"/>
      <c r="AR1191" s="650"/>
      <c r="AS1191" s="551"/>
      <c r="AT1191" s="551"/>
      <c r="AU1191" s="554">
        <f>I1191*2</f>
        <v>4000</v>
      </c>
      <c r="AV1191" s="551"/>
      <c r="AW1191" s="650"/>
      <c r="AX1191" s="551"/>
      <c r="AY1191" s="551"/>
      <c r="AZ1191" s="551"/>
      <c r="BA1191" s="551"/>
      <c r="BB1191" s="620">
        <f>I1191/24*2</f>
        <v>166.666666666667</v>
      </c>
      <c r="BC1191" s="651"/>
      <c r="BD1191" s="551"/>
      <c r="BE1191" s="551"/>
      <c r="BF1191" s="551"/>
      <c r="BH1191" s="551"/>
      <c r="BI1191" s="551"/>
      <c r="BJ1191" s="551"/>
      <c r="BK1191" s="551"/>
      <c r="BL1191" s="551"/>
      <c r="BM1191" s="551"/>
      <c r="BN1191" s="551"/>
      <c r="BO1191" s="551"/>
      <c r="BP1191" s="551"/>
      <c r="BQ1191" s="551"/>
      <c r="BR1191" s="551"/>
      <c r="BS1191" s="551"/>
      <c r="BT1191" s="551"/>
      <c r="BU1191" s="551"/>
      <c r="BV1191" s="551"/>
      <c r="BW1191" s="551"/>
      <c r="BX1191" s="551"/>
      <c r="BY1191" s="650"/>
      <c r="BZ1191" s="551"/>
      <c r="CA1191" s="652">
        <f>I1191</f>
        <v>2000</v>
      </c>
      <c r="CB1191" s="567"/>
      <c r="CC1191" s="653"/>
      <c r="CD1191" s="650"/>
      <c r="CE1191" s="650"/>
      <c r="CF1191" s="551"/>
      <c r="CG1191" s="551"/>
      <c r="CI1191" s="551"/>
      <c r="CJ1191" s="551"/>
      <c r="CK1191" s="551"/>
      <c r="CL1191" s="551"/>
      <c r="CM1191" s="551"/>
      <c r="CN1191" s="551"/>
      <c r="CO1191" s="551"/>
      <c r="CP1191" s="551"/>
      <c r="CQ1191" s="551"/>
      <c r="CR1191" s="551"/>
      <c r="CS1191" s="551"/>
      <c r="CT1191" s="551"/>
      <c r="CU1191" s="551">
        <f t="shared" si="446"/>
        <v>0</v>
      </c>
      <c r="CV1191" s="551">
        <f t="shared" si="450"/>
        <v>0</v>
      </c>
      <c r="CW1191" s="551">
        <f t="shared" si="451"/>
        <v>0</v>
      </c>
      <c r="CX1191" s="650"/>
      <c r="CY1191" s="650"/>
      <c r="CZ1191" s="650"/>
      <c r="DA1191" s="548"/>
      <c r="DB1191" s="548"/>
      <c r="DC1191" s="548"/>
      <c r="DD1191" s="650"/>
      <c r="DE1191" s="650"/>
      <c r="DF1191" s="650"/>
      <c r="DG1191" s="650"/>
      <c r="DH1191" s="650"/>
    </row>
    <row r="1192" s="548" customFormat="1" ht="31" customHeight="1" spans="1:112">
      <c r="A1192" s="641">
        <v>46058</v>
      </c>
      <c r="B1192" s="642" t="s">
        <v>1800</v>
      </c>
      <c r="C1192" s="246" t="s">
        <v>744</v>
      </c>
      <c r="D1192" s="551">
        <v>4500192252</v>
      </c>
      <c r="E1192" s="246">
        <v>5000002110</v>
      </c>
      <c r="F1192" s="551" t="s">
        <v>3353</v>
      </c>
      <c r="G1192" s="246" t="s">
        <v>6337</v>
      </c>
      <c r="H1192" s="662" t="s">
        <v>477</v>
      </c>
      <c r="I1192" s="706">
        <v>13860</v>
      </c>
      <c r="J1192" s="246">
        <v>0</v>
      </c>
      <c r="K1192" s="246">
        <v>6</v>
      </c>
      <c r="L1192" s="644">
        <f t="shared" si="437"/>
        <v>2310</v>
      </c>
      <c r="M1192" s="645">
        <v>46115</v>
      </c>
      <c r="N1192" s="645">
        <f>M1192-4</f>
        <v>46111</v>
      </c>
      <c r="O1192" s="643"/>
      <c r="P1192" s="643" t="s">
        <v>113</v>
      </c>
      <c r="Q1192" s="246"/>
      <c r="R1192" s="646" t="s">
        <v>3299</v>
      </c>
      <c r="S1192" s="646" t="s">
        <v>104</v>
      </c>
      <c r="T1192" s="646" t="s">
        <v>2239</v>
      </c>
      <c r="U1192" s="646"/>
      <c r="V1192" s="646"/>
      <c r="W1192" s="615"/>
      <c r="X1192" s="642" t="s">
        <v>8891</v>
      </c>
      <c r="Y1192" s="647" t="s">
        <v>1805</v>
      </c>
      <c r="Z1192" s="655">
        <v>6.3788</v>
      </c>
      <c r="AA1192" s="647">
        <f t="shared" si="453"/>
        <v>88410.168</v>
      </c>
      <c r="AC1192" s="648"/>
      <c r="AD1192" s="246" t="s">
        <v>2241</v>
      </c>
      <c r="AE1192" s="246" t="s">
        <v>82</v>
      </c>
      <c r="AF1192" s="246"/>
      <c r="AG1192" s="642"/>
      <c r="AH1192" s="642">
        <v>1</v>
      </c>
      <c r="AI1192" s="246">
        <f>10080+3780</f>
        <v>13860</v>
      </c>
      <c r="AJ1192" s="246">
        <f t="shared" si="452"/>
        <v>0</v>
      </c>
      <c r="AK1192" s="246"/>
      <c r="AL1192" s="246" t="s">
        <v>2368</v>
      </c>
      <c r="AM1192" s="246"/>
      <c r="AN1192" s="246"/>
      <c r="AO1192" s="554">
        <f>I1192*2</f>
        <v>27720</v>
      </c>
      <c r="AP1192" s="551"/>
      <c r="AQ1192" s="551"/>
      <c r="AR1192" s="650"/>
      <c r="AS1192" s="551"/>
      <c r="AT1192" s="554">
        <f>I1192*2</f>
        <v>27720</v>
      </c>
      <c r="AU1192" s="551"/>
      <c r="AV1192" s="551"/>
      <c r="AW1192" s="650"/>
      <c r="AX1192" s="663">
        <f>I1192*2</f>
        <v>27720</v>
      </c>
      <c r="AY1192" s="551"/>
      <c r="AZ1192" s="551"/>
      <c r="BA1192" s="671">
        <f>I1192/24*2</f>
        <v>1155</v>
      </c>
      <c r="BB1192" s="249"/>
      <c r="BC1192" s="651"/>
      <c r="BD1192" s="551"/>
      <c r="BE1192" s="551"/>
      <c r="BF1192" s="551"/>
      <c r="BH1192" s="551"/>
      <c r="BI1192" s="551"/>
      <c r="BJ1192" s="551"/>
      <c r="BK1192" s="551"/>
      <c r="BL1192" s="551"/>
      <c r="BM1192" s="551"/>
      <c r="BN1192" s="551"/>
      <c r="BO1192" s="551"/>
      <c r="BP1192" s="551"/>
      <c r="BQ1192" s="551"/>
      <c r="BR1192" s="551"/>
      <c r="BS1192" s="551"/>
      <c r="BT1192" s="551"/>
      <c r="BU1192" s="551"/>
      <c r="BV1192" s="551"/>
      <c r="BW1192" s="551"/>
      <c r="BX1192" s="551"/>
      <c r="BY1192" s="650"/>
      <c r="BZ1192" s="551">
        <f>I1192</f>
        <v>13860</v>
      </c>
      <c r="CA1192" s="652"/>
      <c r="CB1192" s="567"/>
      <c r="CC1192" s="653"/>
      <c r="CD1192" s="650"/>
      <c r="CE1192" s="650"/>
      <c r="CF1192" s="551"/>
      <c r="CG1192" s="551"/>
      <c r="CI1192" s="551"/>
      <c r="CJ1192" s="551"/>
      <c r="CK1192" s="551"/>
      <c r="CL1192" s="551"/>
      <c r="CM1192" s="551"/>
      <c r="CN1192" s="551"/>
      <c r="CO1192" s="551"/>
      <c r="CP1192" s="551"/>
      <c r="CQ1192" s="551"/>
      <c r="CR1192" s="551"/>
      <c r="CS1192" s="551"/>
      <c r="CT1192" s="551"/>
      <c r="CU1192" s="551">
        <f t="shared" si="446"/>
        <v>0</v>
      </c>
      <c r="CV1192" s="551">
        <f t="shared" si="450"/>
        <v>0</v>
      </c>
      <c r="CW1192" s="551">
        <f t="shared" si="451"/>
        <v>0</v>
      </c>
      <c r="CX1192" s="707"/>
      <c r="CY1192" s="707"/>
      <c r="CZ1192" s="707"/>
      <c r="DA1192" s="548"/>
      <c r="DB1192" s="548"/>
      <c r="DC1192" s="548"/>
      <c r="DD1192" s="707"/>
      <c r="DE1192" s="707"/>
      <c r="DF1192" s="707"/>
      <c r="DG1192" s="707"/>
      <c r="DH1192" s="707"/>
    </row>
    <row r="1193" s="548" customFormat="1" ht="31" customHeight="1" spans="1:112">
      <c r="A1193" s="641">
        <v>46058</v>
      </c>
      <c r="B1193" s="642" t="s">
        <v>1800</v>
      </c>
      <c r="C1193" s="246" t="s">
        <v>744</v>
      </c>
      <c r="D1193" s="551">
        <v>4500192252</v>
      </c>
      <c r="E1193" s="246">
        <v>5000002110</v>
      </c>
      <c r="F1193" s="551" t="s">
        <v>8938</v>
      </c>
      <c r="G1193" s="246" t="s">
        <v>6093</v>
      </c>
      <c r="H1193" s="639" t="s">
        <v>7359</v>
      </c>
      <c r="I1193" s="706">
        <v>29380</v>
      </c>
      <c r="J1193" s="246">
        <v>0</v>
      </c>
      <c r="K1193" s="246">
        <v>13</v>
      </c>
      <c r="L1193" s="644">
        <f t="shared" si="437"/>
        <v>2260</v>
      </c>
      <c r="M1193" s="645">
        <v>46115</v>
      </c>
      <c r="N1193" s="645">
        <f>M1193-4</f>
        <v>46111</v>
      </c>
      <c r="O1193" s="643"/>
      <c r="P1193" s="643" t="s">
        <v>113</v>
      </c>
      <c r="Q1193" s="246"/>
      <c r="R1193" s="646" t="s">
        <v>8889</v>
      </c>
      <c r="S1193" s="646" t="s">
        <v>104</v>
      </c>
      <c r="T1193" s="646" t="s">
        <v>8723</v>
      </c>
      <c r="U1193" s="646"/>
      <c r="V1193" s="646"/>
      <c r="W1193" s="615"/>
      <c r="X1193" s="642" t="s">
        <v>8890</v>
      </c>
      <c r="Y1193" s="694" t="s">
        <v>1805</v>
      </c>
      <c r="Z1193" s="655">
        <v>0.8677</v>
      </c>
      <c r="AA1193" s="647">
        <f t="shared" si="453"/>
        <v>25493.026</v>
      </c>
      <c r="AC1193" s="648"/>
      <c r="AD1193" s="246" t="s">
        <v>8338</v>
      </c>
      <c r="AE1193" s="246" t="s">
        <v>82</v>
      </c>
      <c r="AF1193" s="246"/>
      <c r="AG1193" s="642"/>
      <c r="AH1193" s="642">
        <v>1</v>
      </c>
      <c r="AI1193" s="246">
        <f>5200+24115+65</f>
        <v>29380</v>
      </c>
      <c r="AJ1193" s="246">
        <f t="shared" si="452"/>
        <v>0</v>
      </c>
      <c r="AK1193" s="246"/>
      <c r="AL1193" s="246" t="s">
        <v>2368</v>
      </c>
      <c r="AM1193" s="246"/>
      <c r="AN1193" s="246"/>
      <c r="AO1193" s="551">
        <f>I1193</f>
        <v>29380</v>
      </c>
      <c r="AP1193" s="551"/>
      <c r="AQ1193" s="551"/>
      <c r="AR1193" s="650"/>
      <c r="AS1193" s="551"/>
      <c r="AT1193" s="551"/>
      <c r="AU1193" s="551"/>
      <c r="AV1193" s="551"/>
      <c r="AW1193" s="650">
        <f>I1193</f>
        <v>29380</v>
      </c>
      <c r="AX1193" s="554">
        <f>I1193</f>
        <v>29380</v>
      </c>
      <c r="AY1193" s="551"/>
      <c r="AZ1193" s="551"/>
      <c r="BA1193" s="651">
        <f>I1193/24*2</f>
        <v>2448.33333333333</v>
      </c>
      <c r="BB1193" s="249"/>
      <c r="BC1193" s="651"/>
      <c r="BD1193" s="551"/>
      <c r="BE1193" s="551"/>
      <c r="BF1193" s="551"/>
      <c r="BH1193" s="551"/>
      <c r="BI1193" s="551"/>
      <c r="BJ1193" s="551"/>
      <c r="BK1193" s="551"/>
      <c r="BL1193" s="551"/>
      <c r="BM1193" s="551">
        <f>I1193/13</f>
        <v>2260</v>
      </c>
      <c r="BN1193" s="551"/>
      <c r="BO1193" s="551"/>
      <c r="BP1193" s="551"/>
      <c r="BQ1193" s="551"/>
      <c r="BR1193" s="551"/>
      <c r="BS1193" s="551"/>
      <c r="BT1193" s="551"/>
      <c r="BU1193" s="551"/>
      <c r="BV1193" s="551"/>
      <c r="BW1193" s="551"/>
      <c r="BX1193" s="551"/>
      <c r="BY1193" s="650"/>
      <c r="BZ1193" s="551"/>
      <c r="CA1193" s="652"/>
      <c r="CB1193" s="567"/>
      <c r="CC1193" s="653"/>
      <c r="CD1193" s="650"/>
      <c r="CE1193" s="650"/>
      <c r="CF1193" s="551"/>
      <c r="CG1193" s="551"/>
      <c r="CI1193" s="551"/>
      <c r="CJ1193" s="551"/>
      <c r="CK1193" s="551"/>
      <c r="CL1193" s="551"/>
      <c r="CM1193" s="551"/>
      <c r="CN1193" s="551"/>
      <c r="CO1193" s="551"/>
      <c r="CP1193" s="551"/>
      <c r="CQ1193" s="551"/>
      <c r="CR1193" s="551"/>
      <c r="CS1193" s="551"/>
      <c r="CT1193" s="551"/>
      <c r="CU1193" s="551">
        <f t="shared" si="446"/>
        <v>0</v>
      </c>
      <c r="CV1193" s="551">
        <f t="shared" si="450"/>
        <v>0</v>
      </c>
      <c r="CW1193" s="551">
        <f t="shared" si="451"/>
        <v>0</v>
      </c>
      <c r="CX1193" s="707"/>
      <c r="CY1193" s="707"/>
      <c r="CZ1193" s="707"/>
      <c r="DA1193" s="548"/>
      <c r="DB1193" s="548"/>
      <c r="DC1193" s="548"/>
      <c r="DD1193" s="707"/>
      <c r="DE1193" s="707"/>
      <c r="DF1193" s="707"/>
      <c r="DG1193" s="707"/>
      <c r="DH1193" s="707"/>
    </row>
    <row r="1194" s="548" customFormat="1" ht="31" customHeight="1" spans="1:112">
      <c r="A1194" s="641">
        <v>46058</v>
      </c>
      <c r="B1194" s="642" t="s">
        <v>1800</v>
      </c>
      <c r="C1194" s="246" t="s">
        <v>744</v>
      </c>
      <c r="D1194" s="551">
        <v>4500192252</v>
      </c>
      <c r="E1194" s="246">
        <v>5000002110</v>
      </c>
      <c r="F1194" s="551" t="s">
        <v>3354</v>
      </c>
      <c r="G1194" s="246" t="s">
        <v>6337</v>
      </c>
      <c r="H1194" s="662" t="s">
        <v>477</v>
      </c>
      <c r="I1194" s="706">
        <v>804</v>
      </c>
      <c r="J1194" s="246">
        <v>0</v>
      </c>
      <c r="K1194" s="246">
        <v>6</v>
      </c>
      <c r="L1194" s="644">
        <f t="shared" ref="L1194:L1257" si="454">I1194/K1194</f>
        <v>134</v>
      </c>
      <c r="M1194" s="645">
        <v>46119</v>
      </c>
      <c r="N1194" s="645">
        <f>M1194-4</f>
        <v>46115</v>
      </c>
      <c r="O1194" s="643"/>
      <c r="P1194" s="643" t="s">
        <v>113</v>
      </c>
      <c r="Q1194" s="246"/>
      <c r="R1194" s="646" t="s">
        <v>3299</v>
      </c>
      <c r="S1194" s="646" t="s">
        <v>104</v>
      </c>
      <c r="T1194" s="646" t="s">
        <v>2239</v>
      </c>
      <c r="U1194" s="646"/>
      <c r="V1194" s="646"/>
      <c r="W1194" s="615"/>
      <c r="X1194" s="642" t="s">
        <v>8891</v>
      </c>
      <c r="Y1194" s="647" t="s">
        <v>1805</v>
      </c>
      <c r="Z1194" s="655">
        <v>6.3788</v>
      </c>
      <c r="AA1194" s="647">
        <f t="shared" si="453"/>
        <v>5128.5552</v>
      </c>
      <c r="AC1194" s="648"/>
      <c r="AD1194" s="246" t="s">
        <v>2241</v>
      </c>
      <c r="AE1194" s="246" t="s">
        <v>82</v>
      </c>
      <c r="AF1194" s="246"/>
      <c r="AG1194" s="642"/>
      <c r="AH1194" s="246">
        <v>1</v>
      </c>
      <c r="AI1194" s="246">
        <v>804</v>
      </c>
      <c r="AJ1194" s="246">
        <f t="shared" si="452"/>
        <v>0</v>
      </c>
      <c r="AK1194" s="246"/>
      <c r="AL1194" s="246" t="s">
        <v>2368</v>
      </c>
      <c r="AM1194" s="246"/>
      <c r="AN1194" s="246"/>
      <c r="AO1194" s="554">
        <f>I1194*2</f>
        <v>1608</v>
      </c>
      <c r="AP1194" s="551"/>
      <c r="AQ1194" s="551"/>
      <c r="AR1194" s="650"/>
      <c r="AS1194" s="551"/>
      <c r="AT1194" s="554">
        <f>I1194*2</f>
        <v>1608</v>
      </c>
      <c r="AU1194" s="551"/>
      <c r="AV1194" s="551"/>
      <c r="AW1194" s="650"/>
      <c r="AX1194" s="663">
        <f>I1194*2</f>
        <v>1608</v>
      </c>
      <c r="AY1194" s="551"/>
      <c r="AZ1194" s="551"/>
      <c r="BA1194" s="671">
        <f>I1194/24*2</f>
        <v>67</v>
      </c>
      <c r="BB1194" s="249"/>
      <c r="BC1194" s="651"/>
      <c r="BD1194" s="551"/>
      <c r="BE1194" s="551"/>
      <c r="BF1194" s="551"/>
      <c r="BH1194" s="551"/>
      <c r="BI1194" s="551"/>
      <c r="BJ1194" s="551"/>
      <c r="BK1194" s="551"/>
      <c r="BL1194" s="551"/>
      <c r="BM1194" s="551"/>
      <c r="BN1194" s="551"/>
      <c r="BO1194" s="551"/>
      <c r="BP1194" s="551"/>
      <c r="BQ1194" s="551"/>
      <c r="BR1194" s="551"/>
      <c r="BS1194" s="551"/>
      <c r="BT1194" s="551"/>
      <c r="BU1194" s="551"/>
      <c r="BV1194" s="551"/>
      <c r="BW1194" s="551"/>
      <c r="BX1194" s="551"/>
      <c r="BY1194" s="650"/>
      <c r="BZ1194" s="551">
        <f>I1194</f>
        <v>804</v>
      </c>
      <c r="CA1194" s="652"/>
      <c r="CB1194" s="567"/>
      <c r="CC1194" s="653"/>
      <c r="CD1194" s="650"/>
      <c r="CE1194" s="650"/>
      <c r="CF1194" s="551"/>
      <c r="CG1194" s="551"/>
      <c r="CI1194" s="551"/>
      <c r="CJ1194" s="551"/>
      <c r="CK1194" s="551"/>
      <c r="CL1194" s="551"/>
      <c r="CM1194" s="551"/>
      <c r="CN1194" s="551"/>
      <c r="CO1194" s="551"/>
      <c r="CP1194" s="551"/>
      <c r="CQ1194" s="551"/>
      <c r="CR1194" s="551"/>
      <c r="CS1194" s="551"/>
      <c r="CT1194" s="551"/>
      <c r="CU1194" s="551">
        <f t="shared" si="446"/>
        <v>0</v>
      </c>
      <c r="CV1194" s="551">
        <f t="shared" si="450"/>
        <v>0</v>
      </c>
      <c r="CW1194" s="551">
        <f t="shared" si="451"/>
        <v>0</v>
      </c>
      <c r="CX1194" s="707"/>
      <c r="CY1194" s="707"/>
      <c r="CZ1194" s="707"/>
      <c r="DA1194" s="548"/>
      <c r="DB1194" s="548"/>
      <c r="DC1194" s="548"/>
      <c r="DD1194" s="707"/>
      <c r="DE1194" s="707"/>
      <c r="DF1194" s="707"/>
      <c r="DG1194" s="707"/>
      <c r="DH1194" s="707"/>
    </row>
    <row r="1195" s="548" customFormat="1" ht="31" customHeight="1" spans="1:112">
      <c r="A1195" s="641">
        <v>46058</v>
      </c>
      <c r="B1195" s="642" t="s">
        <v>1800</v>
      </c>
      <c r="C1195" s="246" t="s">
        <v>744</v>
      </c>
      <c r="D1195" s="551">
        <v>4500192252</v>
      </c>
      <c r="E1195" s="246">
        <v>5000002110</v>
      </c>
      <c r="F1195" s="551" t="s">
        <v>8939</v>
      </c>
      <c r="G1195" s="246" t="s">
        <v>6093</v>
      </c>
      <c r="H1195" s="639" t="s">
        <v>7359</v>
      </c>
      <c r="I1195" s="706">
        <v>19994</v>
      </c>
      <c r="J1195" s="246">
        <v>0</v>
      </c>
      <c r="K1195" s="246">
        <v>13</v>
      </c>
      <c r="L1195" s="644">
        <f t="shared" si="454"/>
        <v>1538</v>
      </c>
      <c r="M1195" s="645">
        <v>46119</v>
      </c>
      <c r="N1195" s="645">
        <f>M1195-4</f>
        <v>46115</v>
      </c>
      <c r="O1195" s="643"/>
      <c r="P1195" s="643" t="s">
        <v>113</v>
      </c>
      <c r="Q1195" s="246"/>
      <c r="R1195" s="646" t="s">
        <v>8889</v>
      </c>
      <c r="S1195" s="646" t="s">
        <v>104</v>
      </c>
      <c r="T1195" s="646" t="s">
        <v>8723</v>
      </c>
      <c r="U1195" s="646"/>
      <c r="V1195" s="646"/>
      <c r="W1195" s="615"/>
      <c r="X1195" s="642" t="s">
        <v>8890</v>
      </c>
      <c r="Y1195" s="694" t="s">
        <v>1805</v>
      </c>
      <c r="Z1195" s="655">
        <v>0.8677</v>
      </c>
      <c r="AA1195" s="647">
        <f t="shared" si="453"/>
        <v>17348.7938</v>
      </c>
      <c r="AC1195" s="648"/>
      <c r="AD1195" s="246" t="s">
        <v>8338</v>
      </c>
      <c r="AE1195" s="246" t="s">
        <v>82</v>
      </c>
      <c r="AF1195" s="246"/>
      <c r="AG1195" s="642"/>
      <c r="AH1195" s="246" t="s">
        <v>8598</v>
      </c>
      <c r="AI1195" s="246">
        <v>19994</v>
      </c>
      <c r="AJ1195" s="246">
        <f t="shared" si="452"/>
        <v>0</v>
      </c>
      <c r="AK1195" s="246"/>
      <c r="AL1195" s="246" t="s">
        <v>2368</v>
      </c>
      <c r="AM1195" s="246"/>
      <c r="AN1195" s="246"/>
      <c r="AO1195" s="551">
        <f>I1195</f>
        <v>19994</v>
      </c>
      <c r="AP1195" s="551"/>
      <c r="AQ1195" s="551"/>
      <c r="AR1195" s="650"/>
      <c r="AS1195" s="551"/>
      <c r="AT1195" s="551"/>
      <c r="AU1195" s="551"/>
      <c r="AV1195" s="551"/>
      <c r="AW1195" s="650">
        <f>I1195</f>
        <v>19994</v>
      </c>
      <c r="AX1195" s="554">
        <f>I1195</f>
        <v>19994</v>
      </c>
      <c r="AY1195" s="551"/>
      <c r="AZ1195" s="551"/>
      <c r="BA1195" s="651">
        <f>I1195/24*2</f>
        <v>1666.16666666667</v>
      </c>
      <c r="BB1195" s="249"/>
      <c r="BC1195" s="651"/>
      <c r="BD1195" s="551"/>
      <c r="BE1195" s="551"/>
      <c r="BF1195" s="551"/>
      <c r="BH1195" s="551"/>
      <c r="BI1195" s="551"/>
      <c r="BJ1195" s="551"/>
      <c r="BK1195" s="551"/>
      <c r="BL1195" s="551"/>
      <c r="BM1195" s="551">
        <f>I1195/13</f>
        <v>1538</v>
      </c>
      <c r="BN1195" s="551"/>
      <c r="BO1195" s="551"/>
      <c r="BP1195" s="551"/>
      <c r="BQ1195" s="551"/>
      <c r="BR1195" s="551"/>
      <c r="BS1195" s="551"/>
      <c r="BT1195" s="551"/>
      <c r="BU1195" s="551"/>
      <c r="BV1195" s="551"/>
      <c r="BW1195" s="551"/>
      <c r="BX1195" s="551"/>
      <c r="BY1195" s="650"/>
      <c r="BZ1195" s="551"/>
      <c r="CA1195" s="652"/>
      <c r="CB1195" s="567"/>
      <c r="CC1195" s="653"/>
      <c r="CD1195" s="650"/>
      <c r="CE1195" s="650"/>
      <c r="CF1195" s="551"/>
      <c r="CG1195" s="551"/>
      <c r="CI1195" s="551"/>
      <c r="CJ1195" s="551"/>
      <c r="CK1195" s="551"/>
      <c r="CL1195" s="551"/>
      <c r="CM1195" s="551"/>
      <c r="CN1195" s="551"/>
      <c r="CO1195" s="551"/>
      <c r="CP1195" s="551"/>
      <c r="CQ1195" s="551"/>
      <c r="CR1195" s="551"/>
      <c r="CS1195" s="551"/>
      <c r="CT1195" s="551"/>
      <c r="CU1195" s="551">
        <f t="shared" si="446"/>
        <v>0</v>
      </c>
      <c r="CV1195" s="551">
        <f t="shared" si="450"/>
        <v>0</v>
      </c>
      <c r="CW1195" s="551">
        <f t="shared" si="451"/>
        <v>0</v>
      </c>
      <c r="CX1195" s="707"/>
      <c r="CY1195" s="707"/>
      <c r="CZ1195" s="707"/>
      <c r="DA1195" s="548"/>
      <c r="DB1195" s="548"/>
      <c r="DC1195" s="548"/>
      <c r="DD1195" s="707"/>
      <c r="DE1195" s="707"/>
      <c r="DF1195" s="707"/>
      <c r="DG1195" s="707"/>
      <c r="DH1195" s="707"/>
    </row>
    <row r="1196" s="548" customFormat="1" ht="31" customHeight="1" spans="1:112">
      <c r="A1196" s="641">
        <v>46077</v>
      </c>
      <c r="B1196" s="642" t="s">
        <v>8592</v>
      </c>
      <c r="C1196" s="246" t="s">
        <v>8593</v>
      </c>
      <c r="D1196" s="551">
        <v>4500194073</v>
      </c>
      <c r="E1196" s="246" t="s">
        <v>8940</v>
      </c>
      <c r="F1196" s="551" t="s">
        <v>8941</v>
      </c>
      <c r="G1196" s="246" t="s">
        <v>6093</v>
      </c>
      <c r="H1196" s="693" t="s">
        <v>6094</v>
      </c>
      <c r="I1196" s="706">
        <v>6006</v>
      </c>
      <c r="J1196" s="246">
        <v>0</v>
      </c>
      <c r="K1196" s="246">
        <v>13</v>
      </c>
      <c r="L1196" s="644">
        <f t="shared" si="454"/>
        <v>462</v>
      </c>
      <c r="M1196" s="645">
        <v>46119</v>
      </c>
      <c r="N1196" s="645">
        <f>M1196-4</f>
        <v>46115</v>
      </c>
      <c r="O1196" s="643"/>
      <c r="P1196" s="643" t="s">
        <v>113</v>
      </c>
      <c r="Q1196" s="246"/>
      <c r="R1196" s="646" t="s">
        <v>8942</v>
      </c>
      <c r="S1196" s="646" t="s">
        <v>70</v>
      </c>
      <c r="T1196" s="646">
        <v>46077</v>
      </c>
      <c r="U1196" s="646"/>
      <c r="V1196" s="646"/>
      <c r="W1196" s="615"/>
      <c r="X1196" s="642" t="s">
        <v>8943</v>
      </c>
      <c r="Y1196" s="694" t="s">
        <v>1793</v>
      </c>
      <c r="Z1196" s="655">
        <v>0.9064</v>
      </c>
      <c r="AA1196" s="647">
        <f t="shared" si="453"/>
        <v>5443.8384</v>
      </c>
      <c r="AC1196" s="648"/>
      <c r="AD1196" s="246" t="s">
        <v>6093</v>
      </c>
      <c r="AE1196" s="246" t="s">
        <v>82</v>
      </c>
      <c r="AF1196" s="246"/>
      <c r="AG1196" s="642"/>
      <c r="AH1196" s="246">
        <v>1</v>
      </c>
      <c r="AI1196" s="246">
        <v>6006</v>
      </c>
      <c r="AJ1196" s="246">
        <f t="shared" si="452"/>
        <v>0</v>
      </c>
      <c r="AK1196" s="246"/>
      <c r="AL1196" s="246" t="s">
        <v>2368</v>
      </c>
      <c r="AM1196" s="246"/>
      <c r="AN1196" s="246"/>
      <c r="AO1196" s="551">
        <f>I1196</f>
        <v>6006</v>
      </c>
      <c r="AP1196" s="551"/>
      <c r="AQ1196" s="551"/>
      <c r="AR1196" s="650"/>
      <c r="AS1196" s="551"/>
      <c r="AT1196" s="554">
        <f>I1196</f>
        <v>6006</v>
      </c>
      <c r="AU1196" s="551"/>
      <c r="AV1196" s="554">
        <f>I1196</f>
        <v>6006</v>
      </c>
      <c r="AW1196" s="650"/>
      <c r="AX1196" s="551"/>
      <c r="AY1196" s="551"/>
      <c r="AZ1196" s="551"/>
      <c r="BA1196" s="651"/>
      <c r="BB1196" s="620">
        <f>I1196/24</f>
        <v>250.25</v>
      </c>
      <c r="BC1196" s="651"/>
      <c r="BD1196" s="551"/>
      <c r="BE1196" s="551"/>
      <c r="BF1196" s="551"/>
      <c r="BH1196" s="551"/>
      <c r="BI1196" s="551"/>
      <c r="BJ1196" s="551"/>
      <c r="BK1196" s="551"/>
      <c r="BL1196" s="551"/>
      <c r="BM1196" s="551">
        <f>I1196/13</f>
        <v>462</v>
      </c>
      <c r="BN1196" s="551"/>
      <c r="BO1196" s="551"/>
      <c r="BP1196" s="551"/>
      <c r="BQ1196" s="551"/>
      <c r="BR1196" s="551"/>
      <c r="BS1196" s="551"/>
      <c r="BT1196" s="551"/>
      <c r="BU1196" s="551"/>
      <c r="BV1196" s="551"/>
      <c r="BW1196" s="551"/>
      <c r="BX1196" s="551"/>
      <c r="BY1196" s="650"/>
      <c r="BZ1196" s="551"/>
      <c r="CA1196" s="652"/>
      <c r="CB1196" s="567"/>
      <c r="CC1196" s="653"/>
      <c r="CD1196" s="650"/>
      <c r="CE1196" s="650"/>
      <c r="CF1196" s="551"/>
      <c r="CG1196" s="551"/>
      <c r="CI1196" s="551"/>
      <c r="CJ1196" s="551"/>
      <c r="CK1196" s="551"/>
      <c r="CL1196" s="551"/>
      <c r="CM1196" s="551"/>
      <c r="CN1196" s="551"/>
      <c r="CO1196" s="551"/>
      <c r="CP1196" s="551"/>
      <c r="CQ1196" s="551"/>
      <c r="CR1196" s="551"/>
      <c r="CS1196" s="551"/>
      <c r="CT1196" s="551"/>
      <c r="CU1196" s="551">
        <f t="shared" si="446"/>
        <v>0</v>
      </c>
      <c r="CV1196" s="551">
        <f t="shared" si="450"/>
        <v>0</v>
      </c>
      <c r="CW1196" s="551">
        <f t="shared" si="451"/>
        <v>0</v>
      </c>
      <c r="CX1196" s="650"/>
      <c r="CY1196" s="650"/>
      <c r="CZ1196" s="650"/>
      <c r="DA1196" s="548"/>
      <c r="DB1196" s="548"/>
      <c r="DC1196" s="548"/>
      <c r="DD1196" s="650"/>
      <c r="DE1196" s="650"/>
      <c r="DF1196" s="650"/>
      <c r="DG1196" s="650"/>
      <c r="DH1196" s="650"/>
    </row>
    <row r="1197" s="548" customFormat="1" ht="30" customHeight="1" spans="1:112">
      <c r="A1197" s="641">
        <v>46034</v>
      </c>
      <c r="B1197" s="642" t="s">
        <v>3355</v>
      </c>
      <c r="C1197" s="246" t="s">
        <v>278</v>
      </c>
      <c r="D1197" s="551">
        <v>4500190991</v>
      </c>
      <c r="E1197" s="246" t="s">
        <v>3356</v>
      </c>
      <c r="F1197" s="551" t="s">
        <v>8944</v>
      </c>
      <c r="G1197" s="246" t="s">
        <v>6043</v>
      </c>
      <c r="H1197" s="246" t="s">
        <v>6110</v>
      </c>
      <c r="I1197" s="246">
        <v>3750</v>
      </c>
      <c r="J1197" s="246">
        <v>0</v>
      </c>
      <c r="K1197" s="246">
        <v>50</v>
      </c>
      <c r="L1197" s="644">
        <f t="shared" si="454"/>
        <v>75</v>
      </c>
      <c r="M1197" s="645">
        <v>46148</v>
      </c>
      <c r="N1197" s="645">
        <v>46144</v>
      </c>
      <c r="O1197" s="246"/>
      <c r="P1197" s="643" t="s">
        <v>113</v>
      </c>
      <c r="Q1197" s="246"/>
      <c r="R1197" s="646">
        <v>46037</v>
      </c>
      <c r="S1197" s="646" t="s">
        <v>70</v>
      </c>
      <c r="T1197" s="646" t="s">
        <v>8945</v>
      </c>
      <c r="U1197" s="646"/>
      <c r="V1197" s="646"/>
      <c r="W1197" s="615"/>
      <c r="X1197" s="628" t="s">
        <v>8946</v>
      </c>
      <c r="Y1197" s="642" t="s">
        <v>299</v>
      </c>
      <c r="Z1197" s="655">
        <v>0.941</v>
      </c>
      <c r="AA1197" s="647">
        <f t="shared" si="453"/>
        <v>3528.75</v>
      </c>
      <c r="AC1197" s="648"/>
      <c r="AD1197" s="246" t="s">
        <v>6043</v>
      </c>
      <c r="AE1197" s="246" t="s">
        <v>82</v>
      </c>
      <c r="AF1197" s="246"/>
      <c r="AG1197" s="642"/>
      <c r="AH1197" s="642">
        <v>1</v>
      </c>
      <c r="AI1197" s="246">
        <v>3750</v>
      </c>
      <c r="AJ1197" s="246">
        <f t="shared" si="452"/>
        <v>0</v>
      </c>
      <c r="AK1197" s="246"/>
      <c r="AL1197" s="246" t="s">
        <v>2368</v>
      </c>
      <c r="AM1197" s="246"/>
      <c r="AN1197" s="246"/>
      <c r="AO1197" s="551">
        <f>I1197</f>
        <v>3750</v>
      </c>
      <c r="AP1197" s="551"/>
      <c r="AQ1197" s="551"/>
      <c r="AR1197" s="650"/>
      <c r="AS1197" s="551"/>
      <c r="AT1197" s="554">
        <f>I1197</f>
        <v>3750</v>
      </c>
      <c r="AU1197" s="551"/>
      <c r="AV1197" s="554">
        <f>I1197</f>
        <v>3750</v>
      </c>
      <c r="AW1197" s="650"/>
      <c r="AX1197" s="551"/>
      <c r="AY1197" s="551"/>
      <c r="AZ1197" s="551"/>
      <c r="BA1197" s="551"/>
      <c r="BB1197" s="620">
        <f>I1197/24</f>
        <v>156.25</v>
      </c>
      <c r="BC1197" s="651"/>
      <c r="BD1197" s="551"/>
      <c r="BE1197" s="551"/>
      <c r="BF1197" s="551"/>
      <c r="BH1197" s="551"/>
      <c r="BI1197" s="551"/>
      <c r="BJ1197" s="551"/>
      <c r="BK1197" s="551"/>
      <c r="BL1197" s="551"/>
      <c r="BM1197" s="551"/>
      <c r="BN1197" s="551"/>
      <c r="BO1197" s="551"/>
      <c r="BP1197" s="551">
        <f>I1197/25</f>
        <v>150</v>
      </c>
      <c r="BQ1197" s="551"/>
      <c r="BR1197" s="551"/>
      <c r="BS1197" s="551"/>
      <c r="BT1197" s="551"/>
      <c r="BU1197" s="551"/>
      <c r="BV1197" s="551"/>
      <c r="BW1197" s="551"/>
      <c r="BX1197" s="551"/>
      <c r="BY1197" s="650"/>
      <c r="BZ1197" s="551"/>
      <c r="CA1197" s="652"/>
      <c r="CB1197" s="567"/>
      <c r="CC1197" s="653"/>
      <c r="CD1197" s="650"/>
      <c r="CE1197" s="650"/>
      <c r="CF1197" s="551"/>
      <c r="CG1197" s="551"/>
      <c r="CI1197" s="551"/>
      <c r="CJ1197" s="551"/>
      <c r="CK1197" s="551"/>
      <c r="CL1197" s="551"/>
      <c r="CM1197" s="551"/>
      <c r="CN1197" s="551"/>
      <c r="CO1197" s="551"/>
      <c r="CP1197" s="551"/>
      <c r="CQ1197" s="551"/>
      <c r="CR1197" s="551"/>
      <c r="CS1197" s="551"/>
      <c r="CT1197" s="551"/>
      <c r="CU1197" s="554">
        <f t="shared" si="446"/>
        <v>150</v>
      </c>
      <c r="CV1197" s="551">
        <f t="shared" si="450"/>
        <v>0</v>
      </c>
      <c r="CW1197" s="551">
        <f t="shared" si="451"/>
        <v>0</v>
      </c>
      <c r="CX1197" s="650"/>
      <c r="CY1197" s="650"/>
      <c r="CZ1197" s="650"/>
      <c r="DA1197" s="548"/>
      <c r="DB1197" s="548"/>
      <c r="DC1197" s="548"/>
      <c r="DD1197" s="650"/>
      <c r="DE1197" s="650"/>
      <c r="DF1197" s="650"/>
      <c r="DG1197" s="650"/>
      <c r="DH1197" s="650"/>
    </row>
    <row r="1198" s="548" customFormat="1" ht="31" customHeight="1" spans="1:112">
      <c r="A1198" s="641">
        <v>46065</v>
      </c>
      <c r="B1198" s="642" t="s">
        <v>3340</v>
      </c>
      <c r="C1198" s="693" t="s">
        <v>98</v>
      </c>
      <c r="D1198" s="551">
        <v>4500193766</v>
      </c>
      <c r="E1198" s="246">
        <v>272587</v>
      </c>
      <c r="F1198" s="551" t="s">
        <v>8947</v>
      </c>
      <c r="G1198" s="246" t="s">
        <v>6787</v>
      </c>
      <c r="H1198" s="610" t="s">
        <v>6126</v>
      </c>
      <c r="I1198" s="246">
        <v>5604</v>
      </c>
      <c r="J1198" s="246">
        <v>0</v>
      </c>
      <c r="K1198" s="246">
        <v>12</v>
      </c>
      <c r="L1198" s="644">
        <f t="shared" si="454"/>
        <v>467</v>
      </c>
      <c r="M1198" s="645">
        <v>46113</v>
      </c>
      <c r="N1198" s="645">
        <v>46109</v>
      </c>
      <c r="O1198" s="643"/>
      <c r="P1198" s="643" t="s">
        <v>113</v>
      </c>
      <c r="Q1198" s="246"/>
      <c r="R1198" s="646">
        <v>46081</v>
      </c>
      <c r="S1198" s="646" t="s">
        <v>70</v>
      </c>
      <c r="T1198" s="646" t="s">
        <v>8730</v>
      </c>
      <c r="U1198" s="646"/>
      <c r="V1198" s="646"/>
      <c r="W1198" s="615"/>
      <c r="X1198" s="642" t="s">
        <v>8948</v>
      </c>
      <c r="Y1198" s="642" t="s">
        <v>2554</v>
      </c>
      <c r="Z1198" s="642">
        <v>1.2969</v>
      </c>
      <c r="AA1198" s="647">
        <f t="shared" si="453"/>
        <v>7267.8276</v>
      </c>
      <c r="AC1198" s="658" t="s">
        <v>8949</v>
      </c>
      <c r="AD1198" s="246" t="s">
        <v>8079</v>
      </c>
      <c r="AE1198" s="246" t="s">
        <v>82</v>
      </c>
      <c r="AF1198" s="246"/>
      <c r="AG1198" s="642"/>
      <c r="AH1198" s="642">
        <v>1</v>
      </c>
      <c r="AI1198" s="246">
        <v>5604</v>
      </c>
      <c r="AJ1198" s="246">
        <f t="shared" si="452"/>
        <v>0</v>
      </c>
      <c r="AK1198" s="246"/>
      <c r="AL1198" s="246" t="s">
        <v>2368</v>
      </c>
      <c r="AM1198" s="246"/>
      <c r="AN1198" s="610">
        <f>I1198*2</f>
        <v>11208</v>
      </c>
      <c r="AO1198" s="551"/>
      <c r="AP1198" s="551"/>
      <c r="AQ1198" s="554">
        <f>I1198*2</f>
        <v>11208</v>
      </c>
      <c r="AR1198" s="650"/>
      <c r="AS1198" s="551"/>
      <c r="AT1198" s="551"/>
      <c r="AU1198" s="554">
        <f>I1198*2</f>
        <v>11208</v>
      </c>
      <c r="AV1198" s="551"/>
      <c r="AW1198" s="650"/>
      <c r="AX1198" s="551"/>
      <c r="AY1198" s="551"/>
      <c r="AZ1198" s="551"/>
      <c r="BA1198" s="551"/>
      <c r="BB1198" s="249">
        <f t="shared" ref="BB1198:BB1203" si="455">I1198/24*2</f>
        <v>467</v>
      </c>
      <c r="BC1198" s="651"/>
      <c r="BD1198" s="551"/>
      <c r="BE1198" s="551"/>
      <c r="BF1198" s="551"/>
      <c r="BH1198" s="551"/>
      <c r="BI1198" s="551"/>
      <c r="BJ1198" s="551"/>
      <c r="BK1198" s="551"/>
      <c r="BL1198" s="551"/>
      <c r="BM1198" s="551"/>
      <c r="BN1198" s="551"/>
      <c r="BO1198" s="551"/>
      <c r="BP1198" s="551"/>
      <c r="BQ1198" s="551"/>
      <c r="BR1198" s="551"/>
      <c r="BS1198" s="551"/>
      <c r="BT1198" s="551"/>
      <c r="BU1198" s="551"/>
      <c r="BV1198" s="551"/>
      <c r="BW1198" s="551"/>
      <c r="BX1198" s="551"/>
      <c r="BY1198" s="650"/>
      <c r="BZ1198" s="551"/>
      <c r="CA1198" s="652"/>
      <c r="CB1198" s="567"/>
      <c r="CC1198" s="653"/>
      <c r="CD1198" s="650"/>
      <c r="CE1198" s="650"/>
      <c r="CF1198" s="551"/>
      <c r="CG1198" s="551"/>
      <c r="CI1198" s="551"/>
      <c r="CJ1198" s="551"/>
      <c r="CK1198" s="551"/>
      <c r="CL1198" s="551"/>
      <c r="CM1198" s="551"/>
      <c r="CN1198" s="551"/>
      <c r="CO1198" s="551"/>
      <c r="CP1198" s="551"/>
      <c r="CQ1198" s="551"/>
      <c r="CR1198" s="554">
        <f>I1198</f>
        <v>5604</v>
      </c>
      <c r="CS1198" s="554">
        <f>I1198</f>
        <v>5604</v>
      </c>
      <c r="CT1198" s="554">
        <f>I1198</f>
        <v>5604</v>
      </c>
      <c r="CU1198" s="551">
        <f t="shared" si="446"/>
        <v>0</v>
      </c>
      <c r="CV1198" s="551">
        <v>0</v>
      </c>
      <c r="CW1198" s="551">
        <v>0</v>
      </c>
      <c r="CX1198" s="650"/>
      <c r="CY1198" s="650"/>
      <c r="CZ1198" s="650"/>
      <c r="DA1198" s="548"/>
      <c r="DB1198" s="548"/>
      <c r="DC1198" s="548"/>
      <c r="DD1198" s="650"/>
      <c r="DE1198" s="650"/>
      <c r="DF1198" s="650"/>
      <c r="DG1198" s="650"/>
      <c r="DH1198" s="650"/>
    </row>
    <row r="1199" s="548" customFormat="1" ht="31" customHeight="1" spans="1:112">
      <c r="A1199" s="641">
        <v>46065</v>
      </c>
      <c r="B1199" s="642" t="s">
        <v>3340</v>
      </c>
      <c r="C1199" s="693" t="s">
        <v>98</v>
      </c>
      <c r="D1199" s="551">
        <v>4500193767</v>
      </c>
      <c r="E1199" s="246">
        <v>272590</v>
      </c>
      <c r="F1199" s="551" t="s">
        <v>8950</v>
      </c>
      <c r="G1199" s="246" t="s">
        <v>6787</v>
      </c>
      <c r="H1199" s="610" t="s">
        <v>6126</v>
      </c>
      <c r="I1199" s="246">
        <v>6396</v>
      </c>
      <c r="J1199" s="246">
        <v>0</v>
      </c>
      <c r="K1199" s="246">
        <v>12</v>
      </c>
      <c r="L1199" s="644">
        <f t="shared" si="454"/>
        <v>533</v>
      </c>
      <c r="M1199" s="645">
        <v>46113</v>
      </c>
      <c r="N1199" s="645">
        <v>46109</v>
      </c>
      <c r="O1199" s="643"/>
      <c r="P1199" s="643" t="s">
        <v>113</v>
      </c>
      <c r="Q1199" s="246"/>
      <c r="R1199" s="646">
        <v>46081</v>
      </c>
      <c r="S1199" s="646" t="s">
        <v>70</v>
      </c>
      <c r="T1199" s="646" t="s">
        <v>8730</v>
      </c>
      <c r="U1199" s="646"/>
      <c r="V1199" s="646"/>
      <c r="W1199" s="615"/>
      <c r="X1199" s="642" t="s">
        <v>8951</v>
      </c>
      <c r="Y1199" s="642" t="s">
        <v>2554</v>
      </c>
      <c r="Z1199" s="642">
        <v>1.2969</v>
      </c>
      <c r="AA1199" s="647">
        <f t="shared" si="453"/>
        <v>8294.9724</v>
      </c>
      <c r="AC1199" s="658" t="s">
        <v>8952</v>
      </c>
      <c r="AD1199" s="246" t="s">
        <v>8079</v>
      </c>
      <c r="AE1199" s="246" t="s">
        <v>82</v>
      </c>
      <c r="AF1199" s="246"/>
      <c r="AG1199" s="642"/>
      <c r="AH1199" s="642">
        <v>1</v>
      </c>
      <c r="AI1199" s="246">
        <f>1980+4404+12</f>
        <v>6396</v>
      </c>
      <c r="AJ1199" s="246">
        <f t="shared" si="452"/>
        <v>0</v>
      </c>
      <c r="AK1199" s="246"/>
      <c r="AL1199" s="246" t="s">
        <v>2368</v>
      </c>
      <c r="AM1199" s="246"/>
      <c r="AN1199" s="610">
        <f>I1199*2</f>
        <v>12792</v>
      </c>
      <c r="AO1199" s="551"/>
      <c r="AP1199" s="551"/>
      <c r="AQ1199" s="554">
        <f>I1199*2</f>
        <v>12792</v>
      </c>
      <c r="AR1199" s="650"/>
      <c r="AS1199" s="551"/>
      <c r="AT1199" s="551"/>
      <c r="AU1199" s="554">
        <f>I1199*2</f>
        <v>12792</v>
      </c>
      <c r="AV1199" s="551"/>
      <c r="AW1199" s="650"/>
      <c r="AX1199" s="551"/>
      <c r="AY1199" s="551"/>
      <c r="AZ1199" s="551"/>
      <c r="BA1199" s="551"/>
      <c r="BB1199" s="249">
        <f t="shared" si="455"/>
        <v>533</v>
      </c>
      <c r="BC1199" s="651"/>
      <c r="BD1199" s="551"/>
      <c r="BE1199" s="551"/>
      <c r="BF1199" s="551"/>
      <c r="BH1199" s="551"/>
      <c r="BI1199" s="551"/>
      <c r="BJ1199" s="551"/>
      <c r="BK1199" s="551"/>
      <c r="BL1199" s="551"/>
      <c r="BM1199" s="551"/>
      <c r="BN1199" s="551"/>
      <c r="BO1199" s="551"/>
      <c r="BP1199" s="551"/>
      <c r="BQ1199" s="551"/>
      <c r="BR1199" s="551"/>
      <c r="BS1199" s="551"/>
      <c r="BT1199" s="551"/>
      <c r="BU1199" s="551"/>
      <c r="BV1199" s="551"/>
      <c r="BW1199" s="551"/>
      <c r="BX1199" s="551"/>
      <c r="BY1199" s="650"/>
      <c r="BZ1199" s="551"/>
      <c r="CA1199" s="652"/>
      <c r="CB1199" s="567"/>
      <c r="CC1199" s="653"/>
      <c r="CD1199" s="650"/>
      <c r="CE1199" s="650"/>
      <c r="CF1199" s="551"/>
      <c r="CG1199" s="551"/>
      <c r="CI1199" s="551"/>
      <c r="CJ1199" s="551"/>
      <c r="CK1199" s="551"/>
      <c r="CL1199" s="551"/>
      <c r="CM1199" s="551"/>
      <c r="CN1199" s="551"/>
      <c r="CO1199" s="551"/>
      <c r="CP1199" s="551"/>
      <c r="CQ1199" s="551"/>
      <c r="CR1199" s="554">
        <f>I1199</f>
        <v>6396</v>
      </c>
      <c r="CS1199" s="554">
        <f>I1199</f>
        <v>6396</v>
      </c>
      <c r="CT1199" s="554">
        <f>I1199</f>
        <v>6396</v>
      </c>
      <c r="CU1199" s="551">
        <f t="shared" si="446"/>
        <v>0</v>
      </c>
      <c r="CV1199" s="551">
        <v>0</v>
      </c>
      <c r="CW1199" s="551">
        <v>0</v>
      </c>
      <c r="CX1199" s="650"/>
      <c r="CY1199" s="650"/>
      <c r="CZ1199" s="650"/>
      <c r="DA1199" s="548"/>
      <c r="DB1199" s="548"/>
      <c r="DC1199" s="548"/>
      <c r="DD1199" s="650"/>
      <c r="DE1199" s="650"/>
      <c r="DF1199" s="650"/>
      <c r="DG1199" s="650"/>
      <c r="DH1199" s="650"/>
    </row>
    <row r="1200" s="548" customFormat="1" ht="31" customHeight="1" spans="1:112">
      <c r="A1200" s="641">
        <v>46065</v>
      </c>
      <c r="B1200" s="642" t="s">
        <v>3340</v>
      </c>
      <c r="C1200" s="246" t="s">
        <v>98</v>
      </c>
      <c r="D1200" s="551">
        <v>4500193768</v>
      </c>
      <c r="E1200" s="246">
        <v>272591</v>
      </c>
      <c r="F1200" s="551" t="s">
        <v>8953</v>
      </c>
      <c r="G1200" s="246" t="s">
        <v>6787</v>
      </c>
      <c r="H1200" s="610" t="s">
        <v>6126</v>
      </c>
      <c r="I1200" s="246">
        <v>3204</v>
      </c>
      <c r="J1200" s="246">
        <v>0</v>
      </c>
      <c r="K1200" s="246">
        <v>12</v>
      </c>
      <c r="L1200" s="644">
        <f t="shared" si="454"/>
        <v>267</v>
      </c>
      <c r="M1200" s="645">
        <v>46115</v>
      </c>
      <c r="N1200" s="645">
        <f>M1200-4</f>
        <v>46111</v>
      </c>
      <c r="O1200" s="643"/>
      <c r="P1200" s="643" t="s">
        <v>113</v>
      </c>
      <c r="Q1200" s="246"/>
      <c r="R1200" s="646">
        <v>46081</v>
      </c>
      <c r="S1200" s="646" t="s">
        <v>70</v>
      </c>
      <c r="T1200" s="646" t="s">
        <v>8730</v>
      </c>
      <c r="U1200" s="646"/>
      <c r="V1200" s="646"/>
      <c r="W1200" s="615"/>
      <c r="X1200" s="642" t="s">
        <v>8954</v>
      </c>
      <c r="Y1200" s="694" t="s">
        <v>2554</v>
      </c>
      <c r="Z1200" s="642">
        <v>1.3031</v>
      </c>
      <c r="AA1200" s="647">
        <f t="shared" si="453"/>
        <v>4175.1324</v>
      </c>
      <c r="AC1200" s="658" t="s">
        <v>3344</v>
      </c>
      <c r="AD1200" s="246" t="s">
        <v>8079</v>
      </c>
      <c r="AE1200" s="246" t="s">
        <v>82</v>
      </c>
      <c r="AF1200" s="246"/>
      <c r="AG1200" s="642"/>
      <c r="AH1200" s="642">
        <v>1</v>
      </c>
      <c r="AI1200" s="246">
        <f>3192+12</f>
        <v>3204</v>
      </c>
      <c r="AJ1200" s="246">
        <f t="shared" si="452"/>
        <v>0</v>
      </c>
      <c r="AK1200" s="246"/>
      <c r="AL1200" s="246" t="s">
        <v>2368</v>
      </c>
      <c r="AM1200" s="246"/>
      <c r="AN1200" s="610">
        <f>I1200*2</f>
        <v>6408</v>
      </c>
      <c r="AO1200" s="551"/>
      <c r="AP1200" s="551"/>
      <c r="AQ1200" s="554">
        <f>I1200*2</f>
        <v>6408</v>
      </c>
      <c r="AR1200" s="650"/>
      <c r="AS1200" s="551"/>
      <c r="AT1200" s="551"/>
      <c r="AU1200" s="554">
        <f>I1200*2</f>
        <v>6408</v>
      </c>
      <c r="AV1200" s="551"/>
      <c r="AW1200" s="650"/>
      <c r="AX1200" s="551"/>
      <c r="AY1200" s="551"/>
      <c r="AZ1200" s="551"/>
      <c r="BA1200" s="651"/>
      <c r="BB1200" s="249">
        <f t="shared" si="455"/>
        <v>267</v>
      </c>
      <c r="BC1200" s="651"/>
      <c r="BD1200" s="551"/>
      <c r="BE1200" s="551"/>
      <c r="BF1200" s="551"/>
      <c r="BH1200" s="551"/>
      <c r="BI1200" s="551"/>
      <c r="BJ1200" s="551"/>
      <c r="BK1200" s="551"/>
      <c r="BL1200" s="551"/>
      <c r="BM1200" s="551"/>
      <c r="BN1200" s="551"/>
      <c r="BO1200" s="551"/>
      <c r="BP1200" s="551"/>
      <c r="BQ1200" s="551"/>
      <c r="BR1200" s="551"/>
      <c r="BS1200" s="551"/>
      <c r="BT1200" s="551"/>
      <c r="BU1200" s="551"/>
      <c r="BV1200" s="551"/>
      <c r="BW1200" s="551"/>
      <c r="BX1200" s="551"/>
      <c r="BY1200" s="650"/>
      <c r="BZ1200" s="551"/>
      <c r="CA1200" s="652"/>
      <c r="CB1200" s="567"/>
      <c r="CC1200" s="653"/>
      <c r="CD1200" s="650"/>
      <c r="CE1200" s="650"/>
      <c r="CF1200" s="551"/>
      <c r="CG1200" s="551"/>
      <c r="CI1200" s="551"/>
      <c r="CJ1200" s="551"/>
      <c r="CK1200" s="551"/>
      <c r="CL1200" s="551"/>
      <c r="CM1200" s="551"/>
      <c r="CN1200" s="551"/>
      <c r="CO1200" s="551"/>
      <c r="CP1200" s="551"/>
      <c r="CQ1200" s="551"/>
      <c r="CR1200" s="554">
        <f>I1200</f>
        <v>3204</v>
      </c>
      <c r="CS1200" s="554">
        <f>I1200</f>
        <v>3204</v>
      </c>
      <c r="CT1200" s="554">
        <f>I1200</f>
        <v>3204</v>
      </c>
      <c r="CU1200" s="551">
        <f t="shared" si="446"/>
        <v>0</v>
      </c>
      <c r="CV1200" s="551">
        <v>0</v>
      </c>
      <c r="CW1200" s="551">
        <v>0</v>
      </c>
      <c r="CX1200" s="650"/>
      <c r="CY1200" s="650"/>
      <c r="CZ1200" s="650"/>
      <c r="DA1200" s="548"/>
      <c r="DB1200" s="548"/>
      <c r="DC1200" s="548"/>
      <c r="DD1200" s="650"/>
      <c r="DE1200" s="650"/>
      <c r="DF1200" s="650"/>
      <c r="DG1200" s="650"/>
      <c r="DH1200" s="650"/>
    </row>
    <row r="1201" s="548" customFormat="1" ht="31" customHeight="1" spans="1:112">
      <c r="A1201" s="641">
        <v>46065</v>
      </c>
      <c r="B1201" s="642" t="s">
        <v>3340</v>
      </c>
      <c r="C1201" s="246" t="s">
        <v>98</v>
      </c>
      <c r="D1201" s="551">
        <v>4500193769</v>
      </c>
      <c r="E1201" s="246">
        <v>272595</v>
      </c>
      <c r="F1201" s="551" t="s">
        <v>3345</v>
      </c>
      <c r="G1201" s="246" t="s">
        <v>6787</v>
      </c>
      <c r="H1201" s="610" t="s">
        <v>6126</v>
      </c>
      <c r="I1201" s="246">
        <v>3600</v>
      </c>
      <c r="J1201" s="246">
        <v>0</v>
      </c>
      <c r="K1201" s="246">
        <v>12</v>
      </c>
      <c r="L1201" s="644">
        <f t="shared" si="454"/>
        <v>300</v>
      </c>
      <c r="M1201" s="645">
        <v>46115</v>
      </c>
      <c r="N1201" s="645">
        <f>M1201-4</f>
        <v>46111</v>
      </c>
      <c r="O1201" s="643"/>
      <c r="P1201" s="643" t="s">
        <v>113</v>
      </c>
      <c r="Q1201" s="246"/>
      <c r="R1201" s="646">
        <v>46081</v>
      </c>
      <c r="S1201" s="646" t="s">
        <v>70</v>
      </c>
      <c r="T1201" s="646" t="s">
        <v>8730</v>
      </c>
      <c r="U1201" s="646"/>
      <c r="V1201" s="646"/>
      <c r="W1201" s="615"/>
      <c r="X1201" s="642" t="s">
        <v>8955</v>
      </c>
      <c r="Y1201" s="694" t="s">
        <v>2554</v>
      </c>
      <c r="Z1201" s="642">
        <v>1.3031</v>
      </c>
      <c r="AA1201" s="647">
        <f t="shared" si="453"/>
        <v>4691.16</v>
      </c>
      <c r="AC1201" s="658" t="s">
        <v>3347</v>
      </c>
      <c r="AD1201" s="246" t="s">
        <v>8079</v>
      </c>
      <c r="AE1201" s="246" t="s">
        <v>82</v>
      </c>
      <c r="AF1201" s="246"/>
      <c r="AG1201" s="642"/>
      <c r="AH1201" s="642">
        <v>1</v>
      </c>
      <c r="AI1201" s="246">
        <v>3600</v>
      </c>
      <c r="AJ1201" s="246">
        <f t="shared" si="452"/>
        <v>0</v>
      </c>
      <c r="AK1201" s="246"/>
      <c r="AL1201" s="246" t="s">
        <v>2368</v>
      </c>
      <c r="AM1201" s="246"/>
      <c r="AN1201" s="610">
        <f>I1201*2</f>
        <v>7200</v>
      </c>
      <c r="AO1201" s="551"/>
      <c r="AP1201" s="551"/>
      <c r="AQ1201" s="554">
        <f>I1201*2</f>
        <v>7200</v>
      </c>
      <c r="AR1201" s="650"/>
      <c r="AS1201" s="551"/>
      <c r="AT1201" s="551"/>
      <c r="AU1201" s="554">
        <f>I1201*2</f>
        <v>7200</v>
      </c>
      <c r="AV1201" s="551"/>
      <c r="AW1201" s="650"/>
      <c r="AX1201" s="551"/>
      <c r="AY1201" s="551"/>
      <c r="AZ1201" s="551"/>
      <c r="BA1201" s="651"/>
      <c r="BB1201" s="249">
        <f t="shared" si="455"/>
        <v>300</v>
      </c>
      <c r="BC1201" s="651"/>
      <c r="BD1201" s="551"/>
      <c r="BE1201" s="551"/>
      <c r="BF1201" s="551"/>
      <c r="BH1201" s="551"/>
      <c r="BI1201" s="551"/>
      <c r="BJ1201" s="551"/>
      <c r="BK1201" s="551"/>
      <c r="BL1201" s="551"/>
      <c r="BM1201" s="551"/>
      <c r="BN1201" s="551"/>
      <c r="BO1201" s="551"/>
      <c r="BP1201" s="551"/>
      <c r="BQ1201" s="551"/>
      <c r="BR1201" s="551"/>
      <c r="BS1201" s="551"/>
      <c r="BT1201" s="551"/>
      <c r="BU1201" s="551"/>
      <c r="BV1201" s="551"/>
      <c r="BW1201" s="551"/>
      <c r="BX1201" s="551"/>
      <c r="BY1201" s="650"/>
      <c r="BZ1201" s="551"/>
      <c r="CA1201" s="652"/>
      <c r="CB1201" s="567"/>
      <c r="CC1201" s="653"/>
      <c r="CD1201" s="650"/>
      <c r="CE1201" s="650"/>
      <c r="CF1201" s="551"/>
      <c r="CG1201" s="551"/>
      <c r="CI1201" s="551"/>
      <c r="CJ1201" s="551"/>
      <c r="CK1201" s="551"/>
      <c r="CL1201" s="551"/>
      <c r="CM1201" s="551"/>
      <c r="CN1201" s="551"/>
      <c r="CO1201" s="551"/>
      <c r="CP1201" s="551"/>
      <c r="CQ1201" s="551"/>
      <c r="CR1201" s="554">
        <f>I1201</f>
        <v>3600</v>
      </c>
      <c r="CS1201" s="554">
        <f>I1201</f>
        <v>3600</v>
      </c>
      <c r="CT1201" s="554">
        <f>I1201</f>
        <v>3600</v>
      </c>
      <c r="CU1201" s="551">
        <f t="shared" si="446"/>
        <v>0</v>
      </c>
      <c r="CV1201" s="551">
        <v>0</v>
      </c>
      <c r="CW1201" s="551">
        <v>0</v>
      </c>
      <c r="CX1201" s="650"/>
      <c r="CY1201" s="650"/>
      <c r="CZ1201" s="650"/>
      <c r="DA1201" s="548"/>
      <c r="DB1201" s="548"/>
      <c r="DC1201" s="548"/>
      <c r="DD1201" s="650"/>
      <c r="DE1201" s="650"/>
      <c r="DF1201" s="650"/>
      <c r="DG1201" s="650"/>
      <c r="DH1201" s="650"/>
    </row>
    <row r="1202" s="548" customFormat="1" ht="31" customHeight="1" spans="1:112">
      <c r="A1202" s="641">
        <v>46080</v>
      </c>
      <c r="B1202" s="642" t="s">
        <v>3340</v>
      </c>
      <c r="C1202" s="246" t="s">
        <v>98</v>
      </c>
      <c r="D1202" s="551">
        <v>4500194544</v>
      </c>
      <c r="E1202" s="246">
        <v>92309736</v>
      </c>
      <c r="F1202" s="551" t="s">
        <v>8956</v>
      </c>
      <c r="G1202" s="246" t="s">
        <v>6787</v>
      </c>
      <c r="H1202" s="610" t="s">
        <v>6126</v>
      </c>
      <c r="I1202" s="246">
        <v>240</v>
      </c>
      <c r="J1202" s="246">
        <v>0</v>
      </c>
      <c r="K1202" s="246">
        <v>12</v>
      </c>
      <c r="L1202" s="644">
        <f t="shared" si="454"/>
        <v>20</v>
      </c>
      <c r="M1202" s="645">
        <v>46115</v>
      </c>
      <c r="N1202" s="645">
        <f>M1202-4</f>
        <v>46111</v>
      </c>
      <c r="O1202" s="643"/>
      <c r="P1202" s="643" t="s">
        <v>113</v>
      </c>
      <c r="Q1202" s="246"/>
      <c r="R1202" s="646">
        <v>46080</v>
      </c>
      <c r="S1202" s="646" t="s">
        <v>70</v>
      </c>
      <c r="T1202" s="646" t="s">
        <v>70</v>
      </c>
      <c r="U1202" s="646"/>
      <c r="V1202" s="646"/>
      <c r="W1202" s="615"/>
      <c r="X1202" s="642" t="s">
        <v>8957</v>
      </c>
      <c r="Y1202" s="694" t="s">
        <v>2554</v>
      </c>
      <c r="Z1202" s="642">
        <v>1.287</v>
      </c>
      <c r="AA1202" s="647">
        <f t="shared" si="453"/>
        <v>308.88</v>
      </c>
      <c r="AC1202" s="658" t="s">
        <v>8958</v>
      </c>
      <c r="AD1202" s="246" t="s">
        <v>8079</v>
      </c>
      <c r="AE1202" s="246" t="s">
        <v>82</v>
      </c>
      <c r="AF1202" s="246"/>
      <c r="AG1202" s="642"/>
      <c r="AH1202" s="642">
        <v>1</v>
      </c>
      <c r="AI1202" s="246">
        <v>240</v>
      </c>
      <c r="AJ1202" s="246"/>
      <c r="AK1202" s="246"/>
      <c r="AL1202" s="246"/>
      <c r="AM1202" s="246"/>
      <c r="AN1202" s="610">
        <f>I1202*2</f>
        <v>480</v>
      </c>
      <c r="AO1202" s="551"/>
      <c r="AP1202" s="551"/>
      <c r="AQ1202" s="554">
        <f>I1202*2</f>
        <v>480</v>
      </c>
      <c r="AR1202" s="650"/>
      <c r="AS1202" s="551"/>
      <c r="AT1202" s="551"/>
      <c r="AU1202" s="554">
        <f>I1202*2</f>
        <v>480</v>
      </c>
      <c r="AV1202" s="551"/>
      <c r="AW1202" s="650"/>
      <c r="AX1202" s="551"/>
      <c r="AY1202" s="551"/>
      <c r="AZ1202" s="551"/>
      <c r="BA1202" s="651"/>
      <c r="BB1202" s="249">
        <f t="shared" si="455"/>
        <v>20</v>
      </c>
      <c r="BC1202" s="651"/>
      <c r="BD1202" s="551"/>
      <c r="BE1202" s="551"/>
      <c r="BF1202" s="551"/>
      <c r="BH1202" s="551"/>
      <c r="BI1202" s="551"/>
      <c r="BJ1202" s="551"/>
      <c r="BK1202" s="551"/>
      <c r="BL1202" s="551"/>
      <c r="BM1202" s="551"/>
      <c r="BN1202" s="551"/>
      <c r="BO1202" s="551"/>
      <c r="BP1202" s="551"/>
      <c r="BQ1202" s="551"/>
      <c r="BR1202" s="551"/>
      <c r="BS1202" s="551"/>
      <c r="BT1202" s="551"/>
      <c r="BU1202" s="551"/>
      <c r="BV1202" s="551"/>
      <c r="BW1202" s="551"/>
      <c r="BX1202" s="551"/>
      <c r="BY1202" s="650"/>
      <c r="BZ1202" s="551"/>
      <c r="CA1202" s="652"/>
      <c r="CB1202" s="567"/>
      <c r="CC1202" s="653"/>
      <c r="CD1202" s="650"/>
      <c r="CE1202" s="650"/>
      <c r="CF1202" s="551"/>
      <c r="CG1202" s="551"/>
      <c r="CI1202" s="551"/>
      <c r="CJ1202" s="551"/>
      <c r="CK1202" s="551"/>
      <c r="CL1202" s="551"/>
      <c r="CM1202" s="551"/>
      <c r="CN1202" s="551"/>
      <c r="CO1202" s="551"/>
      <c r="CP1202" s="551"/>
      <c r="CQ1202" s="551"/>
      <c r="CR1202" s="554">
        <f>I1202</f>
        <v>240</v>
      </c>
      <c r="CS1202" s="554">
        <f>I1202</f>
        <v>240</v>
      </c>
      <c r="CT1202" s="554">
        <f>I1202</f>
        <v>240</v>
      </c>
      <c r="CU1202" s="551">
        <f t="shared" si="446"/>
        <v>0</v>
      </c>
      <c r="CV1202" s="551">
        <v>0</v>
      </c>
      <c r="CW1202" s="551">
        <v>0</v>
      </c>
      <c r="CX1202" s="650"/>
      <c r="CY1202" s="650"/>
      <c r="CZ1202" s="650"/>
      <c r="DA1202" s="548"/>
      <c r="DB1202" s="548"/>
      <c r="DC1202" s="548"/>
      <c r="DD1202" s="650"/>
      <c r="DE1202" s="650"/>
      <c r="DF1202" s="650"/>
      <c r="DG1202" s="650"/>
      <c r="DH1202" s="650"/>
    </row>
    <row r="1203" s="548" customFormat="1" ht="31" customHeight="1" spans="1:112">
      <c r="A1203" s="641">
        <v>46058</v>
      </c>
      <c r="B1203" s="642" t="s">
        <v>1728</v>
      </c>
      <c r="C1203" s="246" t="s">
        <v>154</v>
      </c>
      <c r="D1203" s="551">
        <v>4500193186</v>
      </c>
      <c r="E1203" s="246">
        <v>4400538625</v>
      </c>
      <c r="F1203" s="551" t="s">
        <v>8959</v>
      </c>
      <c r="G1203" s="246" t="s">
        <v>6047</v>
      </c>
      <c r="H1203" s="246" t="s">
        <v>6069</v>
      </c>
      <c r="I1203" s="246">
        <v>4000</v>
      </c>
      <c r="J1203" s="246">
        <v>0</v>
      </c>
      <c r="K1203" s="246">
        <v>25</v>
      </c>
      <c r="L1203" s="644">
        <f t="shared" si="454"/>
        <v>160</v>
      </c>
      <c r="M1203" s="645">
        <v>46118</v>
      </c>
      <c r="N1203" s="645">
        <v>46114</v>
      </c>
      <c r="O1203" s="643"/>
      <c r="P1203" s="643" t="s">
        <v>113</v>
      </c>
      <c r="Q1203" s="246"/>
      <c r="R1203" s="646" t="s">
        <v>3437</v>
      </c>
      <c r="S1203" s="646" t="s">
        <v>70</v>
      </c>
      <c r="T1203" s="646" t="s">
        <v>8960</v>
      </c>
      <c r="U1203" s="646"/>
      <c r="V1203" s="646"/>
      <c r="W1203" s="615"/>
      <c r="X1203" s="642" t="s">
        <v>8961</v>
      </c>
      <c r="Y1203" s="647" t="s">
        <v>1549</v>
      </c>
      <c r="Z1203" s="642">
        <v>0.9417</v>
      </c>
      <c r="AA1203" s="647">
        <f t="shared" si="453"/>
        <v>3766.8</v>
      </c>
      <c r="AC1203" s="648"/>
      <c r="AD1203" s="246" t="s">
        <v>6047</v>
      </c>
      <c r="AE1203" s="246" t="s">
        <v>82</v>
      </c>
      <c r="AF1203" s="246"/>
      <c r="AG1203" s="642"/>
      <c r="AH1203" s="642">
        <v>1</v>
      </c>
      <c r="AI1203" s="246">
        <v>4000</v>
      </c>
      <c r="AJ1203" s="246">
        <f t="shared" ref="AJ1203:AJ1211" si="456">AI1203-I1203</f>
        <v>0</v>
      </c>
      <c r="AK1203" s="246"/>
      <c r="AL1203" s="246" t="s">
        <v>2368</v>
      </c>
      <c r="AM1203" s="246"/>
      <c r="AN1203" s="246"/>
      <c r="AO1203" s="551">
        <f>I1203</f>
        <v>4000</v>
      </c>
      <c r="AP1203" s="551"/>
      <c r="AQ1203" s="551"/>
      <c r="AR1203" s="650"/>
      <c r="AS1203" s="551"/>
      <c r="AT1203" s="554">
        <f>I1203</f>
        <v>4000</v>
      </c>
      <c r="AU1203" s="551"/>
      <c r="AV1203" s="554">
        <f>I1203</f>
        <v>4000</v>
      </c>
      <c r="AW1203" s="650"/>
      <c r="AX1203" s="551"/>
      <c r="AY1203" s="551"/>
      <c r="AZ1203" s="551"/>
      <c r="BA1203" s="551"/>
      <c r="BB1203" s="620">
        <f>I1203/24</f>
        <v>166.666666666667</v>
      </c>
      <c r="BC1203" s="651"/>
      <c r="BD1203" s="551"/>
      <c r="BE1203" s="551"/>
      <c r="BF1203" s="551"/>
      <c r="BH1203" s="551"/>
      <c r="BI1203" s="551"/>
      <c r="BJ1203" s="551"/>
      <c r="BK1203" s="551"/>
      <c r="BL1203" s="551"/>
      <c r="BM1203" s="551"/>
      <c r="BN1203" s="551"/>
      <c r="BO1203" s="551"/>
      <c r="BP1203" s="551">
        <f>I1203/25</f>
        <v>160</v>
      </c>
      <c r="BQ1203" s="551"/>
      <c r="BR1203" s="551"/>
      <c r="BS1203" s="551"/>
      <c r="BT1203" s="551"/>
      <c r="BU1203" s="551"/>
      <c r="BV1203" s="551"/>
      <c r="BW1203" s="551"/>
      <c r="BX1203" s="551"/>
      <c r="BY1203" s="650"/>
      <c r="BZ1203" s="551"/>
      <c r="CA1203" s="652"/>
      <c r="CB1203" s="567"/>
      <c r="CC1203" s="653"/>
      <c r="CD1203" s="650"/>
      <c r="CE1203" s="650"/>
      <c r="CF1203" s="551"/>
      <c r="CG1203" s="551"/>
      <c r="CI1203" s="551"/>
      <c r="CJ1203" s="551"/>
      <c r="CK1203" s="551"/>
      <c r="CL1203" s="551"/>
      <c r="CM1203" s="551"/>
      <c r="CN1203" s="551"/>
      <c r="CO1203" s="551"/>
      <c r="CP1203" s="551"/>
      <c r="CQ1203" s="551"/>
      <c r="CR1203" s="551"/>
      <c r="CS1203" s="551"/>
      <c r="CT1203" s="551"/>
      <c r="CU1203" s="551">
        <f t="shared" si="446"/>
        <v>160</v>
      </c>
      <c r="CV1203" s="551">
        <f t="shared" ref="CV1203:CV1208" si="457">CK1203+CL1203+CM1203+CN1203+CO1203+CQ1203+CP1203</f>
        <v>0</v>
      </c>
      <c r="CW1203" s="551">
        <f t="shared" ref="CW1203:CW1208" si="458">CI1203+CJ1203</f>
        <v>0</v>
      </c>
      <c r="CX1203" s="707"/>
      <c r="CY1203" s="707"/>
      <c r="CZ1203" s="707"/>
      <c r="DA1203" s="548"/>
      <c r="DB1203" s="548"/>
      <c r="DC1203" s="548"/>
      <c r="DD1203" s="707"/>
      <c r="DE1203" s="707"/>
      <c r="DF1203" s="707"/>
      <c r="DG1203" s="707"/>
      <c r="DH1203" s="707"/>
    </row>
    <row r="1204" s="548" customFormat="1" ht="31" customHeight="1" spans="1:112">
      <c r="A1204" s="641">
        <v>46059</v>
      </c>
      <c r="B1204" s="642" t="s">
        <v>246</v>
      </c>
      <c r="C1204" s="693" t="s">
        <v>98</v>
      </c>
      <c r="D1204" s="551">
        <v>4500193353</v>
      </c>
      <c r="E1204" s="246" t="s">
        <v>8962</v>
      </c>
      <c r="F1204" s="551" t="s">
        <v>8963</v>
      </c>
      <c r="G1204" s="246" t="s">
        <v>6084</v>
      </c>
      <c r="H1204" s="246" t="s">
        <v>6069</v>
      </c>
      <c r="I1204" s="706">
        <v>50000</v>
      </c>
      <c r="J1204" s="246">
        <v>0</v>
      </c>
      <c r="K1204" s="246">
        <v>25</v>
      </c>
      <c r="L1204" s="644">
        <f t="shared" si="454"/>
        <v>2000</v>
      </c>
      <c r="M1204" s="645">
        <v>46120</v>
      </c>
      <c r="N1204" s="645">
        <v>46116</v>
      </c>
      <c r="O1204" s="643"/>
      <c r="P1204" s="643" t="s">
        <v>113</v>
      </c>
      <c r="Q1204" s="246"/>
      <c r="R1204" s="646">
        <v>46094</v>
      </c>
      <c r="S1204" s="646" t="s">
        <v>104</v>
      </c>
      <c r="T1204" s="646" t="s">
        <v>8921</v>
      </c>
      <c r="U1204" s="646"/>
      <c r="V1204" s="646"/>
      <c r="W1204" s="615"/>
      <c r="X1204" s="642" t="s">
        <v>8964</v>
      </c>
      <c r="Y1204" s="694" t="s">
        <v>252</v>
      </c>
      <c r="Z1204" s="642">
        <v>0.5455</v>
      </c>
      <c r="AA1204" s="647">
        <f t="shared" si="453"/>
        <v>27275</v>
      </c>
      <c r="AC1204" s="658" t="s">
        <v>8965</v>
      </c>
      <c r="AD1204" s="246" t="s">
        <v>6084</v>
      </c>
      <c r="AE1204" s="246" t="s">
        <v>82</v>
      </c>
      <c r="AF1204" s="246"/>
      <c r="AG1204" s="642"/>
      <c r="AH1204" s="642">
        <v>1</v>
      </c>
      <c r="AI1204" s="246">
        <v>50000</v>
      </c>
      <c r="AJ1204" s="246">
        <f t="shared" si="456"/>
        <v>0</v>
      </c>
      <c r="AK1204" s="246"/>
      <c r="AL1204" s="246" t="s">
        <v>2368</v>
      </c>
      <c r="AM1204" s="246"/>
      <c r="AN1204" s="246">
        <f>I1204</f>
        <v>50000</v>
      </c>
      <c r="AO1204" s="551"/>
      <c r="AP1204" s="554">
        <f>I1204</f>
        <v>50000</v>
      </c>
      <c r="AQ1204" s="551"/>
      <c r="AR1204" s="650"/>
      <c r="AS1204" s="551"/>
      <c r="AT1204" s="551"/>
      <c r="AU1204" s="554">
        <f>I1204</f>
        <v>50000</v>
      </c>
      <c r="AV1204" s="551"/>
      <c r="AW1204" s="650"/>
      <c r="AX1204" s="551"/>
      <c r="AY1204" s="551"/>
      <c r="AZ1204" s="551"/>
      <c r="BA1204" s="551"/>
      <c r="BB1204" s="249">
        <f>I1204/24</f>
        <v>2083.33333333333</v>
      </c>
      <c r="BC1204" s="651"/>
      <c r="BD1204" s="551"/>
      <c r="BE1204" s="551"/>
      <c r="BF1204" s="551"/>
      <c r="BH1204" s="551"/>
      <c r="BI1204" s="551"/>
      <c r="BJ1204" s="551"/>
      <c r="BK1204" s="551"/>
      <c r="BL1204" s="551"/>
      <c r="BM1204" s="551"/>
      <c r="BN1204" s="551">
        <f>I1204/25</f>
        <v>2000</v>
      </c>
      <c r="BO1204" s="551"/>
      <c r="BP1204" s="551"/>
      <c r="BQ1204" s="551"/>
      <c r="BR1204" s="551"/>
      <c r="BS1204" s="551"/>
      <c r="BT1204" s="551"/>
      <c r="BU1204" s="551"/>
      <c r="BV1204" s="551"/>
      <c r="BW1204" s="551"/>
      <c r="BX1204" s="551"/>
      <c r="BY1204" s="650"/>
      <c r="BZ1204" s="551"/>
      <c r="CA1204" s="652"/>
      <c r="CB1204" s="567"/>
      <c r="CC1204" s="653"/>
      <c r="CD1204" s="650"/>
      <c r="CE1204" s="650"/>
      <c r="CF1204" s="551"/>
      <c r="CG1204" s="551"/>
      <c r="CI1204" s="551"/>
      <c r="CJ1204" s="551"/>
      <c r="CK1204" s="551"/>
      <c r="CL1204" s="551"/>
      <c r="CM1204" s="551"/>
      <c r="CN1204" s="551"/>
      <c r="CO1204" s="551"/>
      <c r="CP1204" s="551"/>
      <c r="CQ1204" s="551"/>
      <c r="CR1204" s="551"/>
      <c r="CS1204" s="551"/>
      <c r="CT1204" s="551"/>
      <c r="CU1204" s="551">
        <f t="shared" si="446"/>
        <v>2000</v>
      </c>
      <c r="CV1204" s="551">
        <f t="shared" si="457"/>
        <v>0</v>
      </c>
      <c r="CW1204" s="551">
        <f t="shared" si="458"/>
        <v>0</v>
      </c>
      <c r="CX1204" s="650"/>
      <c r="CY1204" s="650"/>
      <c r="CZ1204" s="650"/>
      <c r="DA1204" s="551"/>
      <c r="DB1204" s="551"/>
      <c r="DC1204" s="551"/>
      <c r="DD1204" s="650"/>
      <c r="DE1204" s="650"/>
      <c r="DF1204" s="650"/>
      <c r="DG1204" s="650"/>
      <c r="DH1204" s="650"/>
    </row>
    <row r="1205" s="548" customFormat="1" ht="31" customHeight="1" spans="1:112">
      <c r="A1205" s="641">
        <v>46093</v>
      </c>
      <c r="B1205" s="642" t="s">
        <v>143</v>
      </c>
      <c r="C1205" s="693" t="s">
        <v>98</v>
      </c>
      <c r="D1205" s="551">
        <v>4500196500</v>
      </c>
      <c r="E1205" s="643">
        <v>986301303</v>
      </c>
      <c r="F1205" s="551" t="s">
        <v>8966</v>
      </c>
      <c r="G1205" s="246" t="s">
        <v>6063</v>
      </c>
      <c r="H1205" s="246" t="s">
        <v>6064</v>
      </c>
      <c r="I1205" s="706">
        <v>3840</v>
      </c>
      <c r="J1205" s="246">
        <v>0</v>
      </c>
      <c r="K1205" s="246">
        <v>16</v>
      </c>
      <c r="L1205" s="644">
        <f t="shared" si="454"/>
        <v>240</v>
      </c>
      <c r="M1205" s="645">
        <v>46127</v>
      </c>
      <c r="N1205" s="645">
        <v>46123</v>
      </c>
      <c r="O1205" s="643" t="s">
        <v>8967</v>
      </c>
      <c r="P1205" s="643" t="s">
        <v>113</v>
      </c>
      <c r="Q1205" s="246"/>
      <c r="R1205" s="646" t="s">
        <v>7064</v>
      </c>
      <c r="S1205" s="646" t="s">
        <v>70</v>
      </c>
      <c r="T1205" s="646" t="s">
        <v>8968</v>
      </c>
      <c r="U1205" s="646"/>
      <c r="V1205" s="646"/>
      <c r="W1205" s="615"/>
      <c r="X1205" s="642" t="s">
        <v>8969</v>
      </c>
      <c r="Y1205" s="642" t="s">
        <v>106</v>
      </c>
      <c r="Z1205" s="642">
        <v>0.5905</v>
      </c>
      <c r="AA1205" s="647">
        <f t="shared" si="453"/>
        <v>2267.52</v>
      </c>
      <c r="AC1205" s="658" t="s">
        <v>8970</v>
      </c>
      <c r="AD1205" s="246" t="s">
        <v>6063</v>
      </c>
      <c r="AE1205" s="246" t="s">
        <v>82</v>
      </c>
      <c r="AF1205" s="246"/>
      <c r="AG1205" s="642"/>
      <c r="AH1205" s="642"/>
      <c r="AI1205" s="246">
        <v>3840</v>
      </c>
      <c r="AJ1205" s="246">
        <f t="shared" si="456"/>
        <v>0</v>
      </c>
      <c r="AK1205" s="246"/>
      <c r="AL1205" s="246" t="s">
        <v>2368</v>
      </c>
      <c r="AM1205" s="246"/>
      <c r="AN1205" s="246">
        <f>I1205</f>
        <v>3840</v>
      </c>
      <c r="AO1205" s="551"/>
      <c r="AP1205" s="554">
        <f>I1205</f>
        <v>3840</v>
      </c>
      <c r="AQ1205" s="551"/>
      <c r="AR1205" s="650"/>
      <c r="AS1205" s="551"/>
      <c r="AT1205" s="551"/>
      <c r="AU1205" s="554">
        <f>I1205</f>
        <v>3840</v>
      </c>
      <c r="AV1205" s="551"/>
      <c r="AW1205" s="650"/>
      <c r="AX1205" s="551"/>
      <c r="AY1205" s="551"/>
      <c r="AZ1205" s="551"/>
      <c r="BA1205" s="651"/>
      <c r="BB1205" s="249">
        <f>I1205/24</f>
        <v>160</v>
      </c>
      <c r="BC1205" s="651"/>
      <c r="BD1205" s="551"/>
      <c r="BE1205" s="551"/>
      <c r="BF1205" s="551"/>
      <c r="BH1205" s="551"/>
      <c r="BI1205" s="551"/>
      <c r="BJ1205" s="551"/>
      <c r="BK1205" s="551"/>
      <c r="BL1205" s="551"/>
      <c r="BM1205" s="551"/>
      <c r="BN1205" s="551"/>
      <c r="BO1205" s="551"/>
      <c r="BP1205" s="551"/>
      <c r="BQ1205" s="551">
        <f>I1205/16</f>
        <v>240</v>
      </c>
      <c r="BR1205" s="551"/>
      <c r="BS1205" s="551"/>
      <c r="BT1205" s="551"/>
      <c r="BU1205" s="551"/>
      <c r="BV1205" s="551"/>
      <c r="BW1205" s="551"/>
      <c r="BX1205" s="551"/>
      <c r="BY1205" s="650"/>
      <c r="BZ1205" s="551"/>
      <c r="CA1205" s="652"/>
      <c r="CB1205" s="567"/>
      <c r="CC1205" s="653"/>
      <c r="CD1205" s="650"/>
      <c r="CE1205" s="650"/>
      <c r="CF1205" s="551"/>
      <c r="CG1205" s="551"/>
      <c r="CI1205" s="551"/>
      <c r="CJ1205" s="551"/>
      <c r="CK1205" s="551"/>
      <c r="CL1205" s="551"/>
      <c r="CM1205" s="551"/>
      <c r="CN1205" s="551"/>
      <c r="CO1205" s="551"/>
      <c r="CP1205" s="551"/>
      <c r="CQ1205" s="551"/>
      <c r="CR1205" s="551"/>
      <c r="CS1205" s="551"/>
      <c r="CT1205" s="551"/>
      <c r="CU1205" s="551">
        <f t="shared" si="446"/>
        <v>240</v>
      </c>
      <c r="CV1205" s="551">
        <f t="shared" si="457"/>
        <v>0</v>
      </c>
      <c r="CW1205" s="551">
        <f t="shared" si="458"/>
        <v>0</v>
      </c>
      <c r="CX1205" s="650"/>
      <c r="CY1205" s="650"/>
      <c r="CZ1205" s="650"/>
      <c r="DA1205" s="548"/>
      <c r="DB1205" s="548"/>
      <c r="DC1205" s="548"/>
      <c r="DD1205" s="650"/>
      <c r="DE1205" s="650"/>
      <c r="DF1205" s="650"/>
      <c r="DG1205" s="650"/>
      <c r="DH1205" s="650"/>
    </row>
    <row r="1206" s="548" customFormat="1" ht="31" customHeight="1" spans="1:112">
      <c r="A1206" s="641">
        <v>46093</v>
      </c>
      <c r="B1206" s="642" t="s">
        <v>143</v>
      </c>
      <c r="C1206" s="693" t="s">
        <v>98</v>
      </c>
      <c r="D1206" s="551">
        <v>4500196500</v>
      </c>
      <c r="E1206" s="643">
        <v>986301308</v>
      </c>
      <c r="F1206" s="551" t="s">
        <v>8971</v>
      </c>
      <c r="G1206" s="246" t="s">
        <v>6063</v>
      </c>
      <c r="H1206" s="246" t="s">
        <v>6064</v>
      </c>
      <c r="I1206" s="706">
        <v>14400</v>
      </c>
      <c r="J1206" s="246">
        <v>0</v>
      </c>
      <c r="K1206" s="246">
        <v>16</v>
      </c>
      <c r="L1206" s="644">
        <f t="shared" si="454"/>
        <v>900</v>
      </c>
      <c r="M1206" s="645">
        <v>46127</v>
      </c>
      <c r="N1206" s="645">
        <v>46123</v>
      </c>
      <c r="O1206" s="643" t="s">
        <v>8972</v>
      </c>
      <c r="P1206" s="643" t="s">
        <v>113</v>
      </c>
      <c r="Q1206" s="246"/>
      <c r="R1206" s="646" t="s">
        <v>7064</v>
      </c>
      <c r="S1206" s="646" t="s">
        <v>70</v>
      </c>
      <c r="T1206" s="646" t="s">
        <v>8968</v>
      </c>
      <c r="U1206" s="646"/>
      <c r="V1206" s="646"/>
      <c r="W1206" s="615"/>
      <c r="X1206" s="642" t="s">
        <v>8969</v>
      </c>
      <c r="Y1206" s="642" t="s">
        <v>106</v>
      </c>
      <c r="Z1206" s="642">
        <v>0.5905</v>
      </c>
      <c r="AA1206" s="647">
        <f t="shared" si="453"/>
        <v>8503.2</v>
      </c>
      <c r="AC1206" s="658" t="s">
        <v>8973</v>
      </c>
      <c r="AD1206" s="246" t="s">
        <v>6063</v>
      </c>
      <c r="AE1206" s="246" t="s">
        <v>82</v>
      </c>
      <c r="AF1206" s="246"/>
      <c r="AG1206" s="642"/>
      <c r="AH1206" s="642"/>
      <c r="AI1206" s="246">
        <f>4224+2112+8064</f>
        <v>14400</v>
      </c>
      <c r="AJ1206" s="246">
        <f t="shared" si="456"/>
        <v>0</v>
      </c>
      <c r="AK1206" s="246"/>
      <c r="AL1206" s="246" t="s">
        <v>2368</v>
      </c>
      <c r="AM1206" s="246"/>
      <c r="AN1206" s="246">
        <f>I1206</f>
        <v>14400</v>
      </c>
      <c r="AO1206" s="551"/>
      <c r="AP1206" s="554">
        <f>I1206</f>
        <v>14400</v>
      </c>
      <c r="AQ1206" s="551"/>
      <c r="AR1206" s="650"/>
      <c r="AS1206" s="551"/>
      <c r="AT1206" s="551"/>
      <c r="AU1206" s="554">
        <f>I1206</f>
        <v>14400</v>
      </c>
      <c r="AV1206" s="551"/>
      <c r="AW1206" s="650"/>
      <c r="AX1206" s="551"/>
      <c r="AY1206" s="551"/>
      <c r="AZ1206" s="551"/>
      <c r="BA1206" s="651"/>
      <c r="BB1206" s="249">
        <f>I1206/24</f>
        <v>600</v>
      </c>
      <c r="BC1206" s="651"/>
      <c r="BD1206" s="551"/>
      <c r="BE1206" s="551"/>
      <c r="BF1206" s="551"/>
      <c r="BH1206" s="551"/>
      <c r="BI1206" s="551"/>
      <c r="BJ1206" s="551"/>
      <c r="BK1206" s="551"/>
      <c r="BL1206" s="551"/>
      <c r="BM1206" s="551"/>
      <c r="BN1206" s="551"/>
      <c r="BO1206" s="551"/>
      <c r="BP1206" s="551"/>
      <c r="BQ1206" s="551">
        <f>I1206/16</f>
        <v>900</v>
      </c>
      <c r="BR1206" s="551"/>
      <c r="BS1206" s="551"/>
      <c r="BT1206" s="551"/>
      <c r="BU1206" s="551"/>
      <c r="BV1206" s="551"/>
      <c r="BW1206" s="551"/>
      <c r="BX1206" s="551"/>
      <c r="BY1206" s="650"/>
      <c r="BZ1206" s="551"/>
      <c r="CA1206" s="652"/>
      <c r="CB1206" s="567"/>
      <c r="CC1206" s="653"/>
      <c r="CD1206" s="650"/>
      <c r="CE1206" s="650"/>
      <c r="CF1206" s="551"/>
      <c r="CG1206" s="551"/>
      <c r="CI1206" s="551"/>
      <c r="CJ1206" s="551"/>
      <c r="CK1206" s="551"/>
      <c r="CL1206" s="551"/>
      <c r="CM1206" s="551"/>
      <c r="CN1206" s="551"/>
      <c r="CO1206" s="551"/>
      <c r="CP1206" s="551"/>
      <c r="CQ1206" s="551"/>
      <c r="CR1206" s="551"/>
      <c r="CS1206" s="551"/>
      <c r="CT1206" s="551"/>
      <c r="CU1206" s="551">
        <f t="shared" si="446"/>
        <v>900</v>
      </c>
      <c r="CV1206" s="551">
        <f t="shared" si="457"/>
        <v>0</v>
      </c>
      <c r="CW1206" s="551">
        <f t="shared" si="458"/>
        <v>0</v>
      </c>
      <c r="CX1206" s="650"/>
      <c r="CY1206" s="650"/>
      <c r="CZ1206" s="650"/>
      <c r="DA1206" s="548"/>
      <c r="DB1206" s="548"/>
      <c r="DC1206" s="548"/>
      <c r="DD1206" s="650"/>
      <c r="DE1206" s="650"/>
      <c r="DF1206" s="650"/>
      <c r="DG1206" s="650"/>
      <c r="DH1206" s="650"/>
    </row>
    <row r="1207" s="548" customFormat="1" ht="31" customHeight="1" spans="1:112">
      <c r="A1207" s="641">
        <v>45978</v>
      </c>
      <c r="B1207" s="642" t="s">
        <v>1492</v>
      </c>
      <c r="C1207" s="693" t="s">
        <v>98</v>
      </c>
      <c r="D1207" s="551">
        <v>4500185958</v>
      </c>
      <c r="E1207" s="643">
        <v>13541218272</v>
      </c>
      <c r="F1207" s="551" t="s">
        <v>3380</v>
      </c>
      <c r="G1207" s="246" t="s">
        <v>8457</v>
      </c>
      <c r="H1207" s="246" t="s">
        <v>830</v>
      </c>
      <c r="I1207" s="246">
        <v>5400</v>
      </c>
      <c r="J1207" s="246">
        <v>0</v>
      </c>
      <c r="K1207" s="246">
        <v>75</v>
      </c>
      <c r="L1207" s="644">
        <f t="shared" si="454"/>
        <v>72</v>
      </c>
      <c r="M1207" s="645">
        <v>46115</v>
      </c>
      <c r="N1207" s="645">
        <f>M1207-4</f>
        <v>46111</v>
      </c>
      <c r="O1207" s="643"/>
      <c r="P1207" s="643" t="s">
        <v>113</v>
      </c>
      <c r="Q1207" s="246"/>
      <c r="R1207" s="646" t="s">
        <v>2667</v>
      </c>
      <c r="S1207" s="646" t="s">
        <v>70</v>
      </c>
      <c r="T1207" s="646" t="s">
        <v>70</v>
      </c>
      <c r="U1207" s="646"/>
      <c r="V1207" s="646"/>
      <c r="W1207" s="615"/>
      <c r="X1207" s="642" t="s">
        <v>2826</v>
      </c>
      <c r="Y1207" s="694" t="s">
        <v>911</v>
      </c>
      <c r="Z1207" s="642">
        <v>359.3436</v>
      </c>
      <c r="AA1207" s="647">
        <f>Z1207*L1207</f>
        <v>25872.7392</v>
      </c>
      <c r="AC1207" s="658" t="s">
        <v>3381</v>
      </c>
      <c r="AD1207" s="642" t="s">
        <v>1498</v>
      </c>
      <c r="AE1207" s="246" t="s">
        <v>82</v>
      </c>
      <c r="AF1207" s="246"/>
      <c r="AG1207" s="642"/>
      <c r="AH1207" s="642">
        <v>1</v>
      </c>
      <c r="AI1207" s="246">
        <f>1680+3720</f>
        <v>5400</v>
      </c>
      <c r="AJ1207" s="246">
        <f t="shared" si="456"/>
        <v>0</v>
      </c>
      <c r="AK1207" s="246"/>
      <c r="AL1207" s="246"/>
      <c r="AM1207" s="246"/>
      <c r="AN1207" s="610">
        <f>I1207*3</f>
        <v>16200</v>
      </c>
      <c r="AO1207" s="551"/>
      <c r="AP1207" s="551"/>
      <c r="AQ1207" s="551"/>
      <c r="AR1207" s="650"/>
      <c r="AS1207" s="551"/>
      <c r="AT1207" s="551"/>
      <c r="AU1207" s="551"/>
      <c r="AV1207" s="551"/>
      <c r="AW1207" s="650"/>
      <c r="AX1207" s="551"/>
      <c r="AY1207" s="551"/>
      <c r="AZ1207" s="551"/>
      <c r="BA1207" s="551"/>
      <c r="BB1207" s="249">
        <f>I1207/24*3</f>
        <v>675</v>
      </c>
      <c r="BC1207" s="651"/>
      <c r="BD1207" s="551"/>
      <c r="BE1207" s="551"/>
      <c r="BF1207" s="551">
        <f>AN1207</f>
        <v>16200</v>
      </c>
      <c r="BH1207" s="551">
        <f>AN1207</f>
        <v>16200</v>
      </c>
      <c r="BI1207" s="551">
        <f>I1207</f>
        <v>5400</v>
      </c>
      <c r="BJ1207" s="551">
        <f>I1207/5</f>
        <v>1080</v>
      </c>
      <c r="BK1207" s="551"/>
      <c r="BL1207" s="551"/>
      <c r="BM1207" s="551"/>
      <c r="BN1207" s="551"/>
      <c r="BO1207" s="551"/>
      <c r="BP1207" s="551"/>
      <c r="BQ1207" s="551"/>
      <c r="BR1207" s="551"/>
      <c r="BS1207" s="551"/>
      <c r="BT1207" s="551"/>
      <c r="BU1207" s="551"/>
      <c r="BV1207" s="551"/>
      <c r="BW1207" s="551"/>
      <c r="BX1207" s="551"/>
      <c r="BY1207" s="650"/>
      <c r="BZ1207" s="551"/>
      <c r="CA1207" s="652"/>
      <c r="CB1207" s="567"/>
      <c r="CC1207" s="653"/>
      <c r="CD1207" s="650"/>
      <c r="CE1207" s="650"/>
      <c r="CF1207" s="551"/>
      <c r="CG1207" s="551"/>
      <c r="CI1207" s="551"/>
      <c r="CJ1207" s="551"/>
      <c r="CK1207" s="551"/>
      <c r="CL1207" s="551"/>
      <c r="CM1207" s="551"/>
      <c r="CN1207" s="551"/>
      <c r="CO1207" s="551"/>
      <c r="CP1207" s="551"/>
      <c r="CQ1207" s="551"/>
      <c r="CR1207" s="551"/>
      <c r="CS1207" s="551"/>
      <c r="CT1207" s="551"/>
      <c r="CU1207" s="551">
        <f t="shared" si="446"/>
        <v>0</v>
      </c>
      <c r="CV1207" s="551">
        <f t="shared" si="457"/>
        <v>0</v>
      </c>
      <c r="CW1207" s="551">
        <f t="shared" si="458"/>
        <v>0</v>
      </c>
      <c r="CX1207" s="650"/>
      <c r="CY1207" s="650"/>
      <c r="CZ1207" s="650"/>
      <c r="DA1207" s="548"/>
      <c r="DB1207" s="548"/>
      <c r="DC1207" s="548"/>
      <c r="DD1207" s="650"/>
      <c r="DE1207" s="650"/>
      <c r="DF1207" s="650"/>
      <c r="DG1207" s="650"/>
      <c r="DH1207" s="650"/>
    </row>
    <row r="1208" s="548" customFormat="1" ht="31" customHeight="1" spans="1:112">
      <c r="A1208" s="641">
        <v>45978</v>
      </c>
      <c r="B1208" s="642" t="s">
        <v>1492</v>
      </c>
      <c r="C1208" s="693" t="s">
        <v>98</v>
      </c>
      <c r="D1208" s="551">
        <v>4500185959</v>
      </c>
      <c r="E1208" s="643">
        <v>1751218316</v>
      </c>
      <c r="F1208" s="551" t="s">
        <v>3383</v>
      </c>
      <c r="G1208" s="246" t="s">
        <v>8457</v>
      </c>
      <c r="H1208" s="246" t="s">
        <v>830</v>
      </c>
      <c r="I1208" s="246">
        <v>5400</v>
      </c>
      <c r="J1208" s="246">
        <v>0</v>
      </c>
      <c r="K1208" s="246">
        <v>75</v>
      </c>
      <c r="L1208" s="644">
        <f t="shared" si="454"/>
        <v>72</v>
      </c>
      <c r="M1208" s="645">
        <v>46115</v>
      </c>
      <c r="N1208" s="645">
        <f>M1208-4</f>
        <v>46111</v>
      </c>
      <c r="O1208" s="643"/>
      <c r="P1208" s="643" t="s">
        <v>113</v>
      </c>
      <c r="Q1208" s="246"/>
      <c r="R1208" s="646" t="s">
        <v>2667</v>
      </c>
      <c r="S1208" s="646" t="s">
        <v>70</v>
      </c>
      <c r="T1208" s="646" t="s">
        <v>70</v>
      </c>
      <c r="U1208" s="646"/>
      <c r="V1208" s="646"/>
      <c r="W1208" s="615"/>
      <c r="X1208" s="642" t="s">
        <v>2826</v>
      </c>
      <c r="Y1208" s="694" t="s">
        <v>911</v>
      </c>
      <c r="Z1208" s="642">
        <v>359.3436</v>
      </c>
      <c r="AA1208" s="647">
        <f>Z1208*L1208</f>
        <v>25872.7392</v>
      </c>
      <c r="AC1208" s="658" t="s">
        <v>3384</v>
      </c>
      <c r="AD1208" s="642" t="s">
        <v>1498</v>
      </c>
      <c r="AE1208" s="246" t="s">
        <v>82</v>
      </c>
      <c r="AF1208" s="246"/>
      <c r="AG1208" s="642"/>
      <c r="AH1208" s="642">
        <v>1</v>
      </c>
      <c r="AI1208" s="246">
        <f>280+2720+2400</f>
        <v>5400</v>
      </c>
      <c r="AJ1208" s="246">
        <f t="shared" si="456"/>
        <v>0</v>
      </c>
      <c r="AK1208" s="246"/>
      <c r="AL1208" s="246"/>
      <c r="AM1208" s="246"/>
      <c r="AN1208" s="610">
        <f>I1208*3</f>
        <v>16200</v>
      </c>
      <c r="AO1208" s="551"/>
      <c r="AP1208" s="551"/>
      <c r="AQ1208" s="551"/>
      <c r="AR1208" s="650"/>
      <c r="AS1208" s="551"/>
      <c r="AT1208" s="551"/>
      <c r="AU1208" s="551"/>
      <c r="AV1208" s="551"/>
      <c r="AW1208" s="650"/>
      <c r="AX1208" s="551"/>
      <c r="AY1208" s="551"/>
      <c r="AZ1208" s="551"/>
      <c r="BA1208" s="551"/>
      <c r="BB1208" s="249">
        <f>I1208/24*3</f>
        <v>675</v>
      </c>
      <c r="BC1208" s="651"/>
      <c r="BD1208" s="551"/>
      <c r="BE1208" s="551"/>
      <c r="BF1208" s="551">
        <f>AN1208</f>
        <v>16200</v>
      </c>
      <c r="BH1208" s="551">
        <f>AN1208</f>
        <v>16200</v>
      </c>
      <c r="BI1208" s="551">
        <f>I1208</f>
        <v>5400</v>
      </c>
      <c r="BJ1208" s="551">
        <f>I1208/5</f>
        <v>1080</v>
      </c>
      <c r="BK1208" s="551"/>
      <c r="BL1208" s="551"/>
      <c r="BM1208" s="551"/>
      <c r="BN1208" s="551"/>
      <c r="BO1208" s="551"/>
      <c r="BP1208" s="551"/>
      <c r="BQ1208" s="551"/>
      <c r="BR1208" s="551"/>
      <c r="BS1208" s="551"/>
      <c r="BT1208" s="551"/>
      <c r="BU1208" s="551"/>
      <c r="BV1208" s="551"/>
      <c r="BW1208" s="551"/>
      <c r="BX1208" s="551"/>
      <c r="BY1208" s="650"/>
      <c r="BZ1208" s="551"/>
      <c r="CA1208" s="652"/>
      <c r="CB1208" s="567"/>
      <c r="CC1208" s="653"/>
      <c r="CD1208" s="650"/>
      <c r="CE1208" s="650"/>
      <c r="CF1208" s="551"/>
      <c r="CG1208" s="551"/>
      <c r="CI1208" s="551"/>
      <c r="CJ1208" s="551"/>
      <c r="CK1208" s="551"/>
      <c r="CL1208" s="551"/>
      <c r="CM1208" s="551"/>
      <c r="CN1208" s="551"/>
      <c r="CO1208" s="551"/>
      <c r="CP1208" s="551"/>
      <c r="CQ1208" s="551"/>
      <c r="CR1208" s="551"/>
      <c r="CS1208" s="551"/>
      <c r="CT1208" s="551"/>
      <c r="CU1208" s="551">
        <f t="shared" si="446"/>
        <v>0</v>
      </c>
      <c r="CV1208" s="551">
        <f t="shared" si="457"/>
        <v>0</v>
      </c>
      <c r="CW1208" s="551">
        <f t="shared" si="458"/>
        <v>0</v>
      </c>
      <c r="CX1208" s="650"/>
      <c r="CY1208" s="650"/>
      <c r="CZ1208" s="650"/>
      <c r="DA1208" s="548"/>
      <c r="DB1208" s="548"/>
      <c r="DC1208" s="548"/>
      <c r="DD1208" s="650"/>
      <c r="DE1208" s="650"/>
      <c r="DF1208" s="650"/>
      <c r="DG1208" s="650"/>
      <c r="DH1208" s="650"/>
    </row>
    <row r="1209" s="548" customFormat="1" ht="31" customHeight="1" spans="1:112">
      <c r="A1209" s="641">
        <v>46031</v>
      </c>
      <c r="B1209" s="642" t="s">
        <v>1673</v>
      </c>
      <c r="C1209" s="693" t="s">
        <v>98</v>
      </c>
      <c r="D1209" s="551">
        <v>4500191041</v>
      </c>
      <c r="E1209" s="246">
        <v>2105688</v>
      </c>
      <c r="F1209" s="551" t="s">
        <v>8974</v>
      </c>
      <c r="G1209" s="246" t="s">
        <v>6787</v>
      </c>
      <c r="H1209" s="610" t="s">
        <v>6126</v>
      </c>
      <c r="I1209" s="246">
        <v>1500</v>
      </c>
      <c r="J1209" s="246">
        <v>0</v>
      </c>
      <c r="K1209" s="246">
        <v>12</v>
      </c>
      <c r="L1209" s="644">
        <f t="shared" si="454"/>
        <v>125</v>
      </c>
      <c r="M1209" s="645">
        <v>46120</v>
      </c>
      <c r="N1209" s="645">
        <v>46116</v>
      </c>
      <c r="O1209" s="643"/>
      <c r="P1209" s="643" t="s">
        <v>113</v>
      </c>
      <c r="Q1209" s="246"/>
      <c r="R1209" s="646">
        <v>46031</v>
      </c>
      <c r="S1209" s="646" t="s">
        <v>104</v>
      </c>
      <c r="T1209" s="646" t="s">
        <v>8975</v>
      </c>
      <c r="U1209" s="646"/>
      <c r="V1209" s="646"/>
      <c r="W1209" s="615"/>
      <c r="X1209" s="642" t="s">
        <v>8976</v>
      </c>
      <c r="Y1209" s="694" t="s">
        <v>882</v>
      </c>
      <c r="Z1209" s="642">
        <v>1.3269</v>
      </c>
      <c r="AA1209" s="647">
        <f t="shared" ref="AA1209:AA1215" si="459">Z1209*I1209</f>
        <v>1990.35</v>
      </c>
      <c r="AC1209" s="658" t="s">
        <v>8977</v>
      </c>
      <c r="AD1209" s="246" t="s">
        <v>8079</v>
      </c>
      <c r="AE1209" s="246" t="s">
        <v>82</v>
      </c>
      <c r="AF1209" s="246"/>
      <c r="AG1209" s="642"/>
      <c r="AH1209" s="642">
        <v>1</v>
      </c>
      <c r="AI1209" s="246">
        <v>1500</v>
      </c>
      <c r="AJ1209" s="246">
        <f t="shared" si="456"/>
        <v>0</v>
      </c>
      <c r="AK1209" s="246"/>
      <c r="AL1209" s="246" t="s">
        <v>454</v>
      </c>
      <c r="AM1209" s="246"/>
      <c r="AN1209" s="610">
        <f>I1209*2</f>
        <v>3000</v>
      </c>
      <c r="AO1209" s="551"/>
      <c r="AP1209" s="551"/>
      <c r="AQ1209" s="554">
        <f>I1209*2</f>
        <v>3000</v>
      </c>
      <c r="AR1209" s="650"/>
      <c r="AS1209" s="551"/>
      <c r="AT1209" s="551"/>
      <c r="AU1209" s="554">
        <f>I1209*2</f>
        <v>3000</v>
      </c>
      <c r="AV1209" s="551"/>
      <c r="AW1209" s="650"/>
      <c r="AX1209" s="551"/>
      <c r="AY1209" s="551"/>
      <c r="AZ1209" s="551"/>
      <c r="BA1209" s="551"/>
      <c r="BB1209" s="249">
        <f>I1209/24*2</f>
        <v>125</v>
      </c>
      <c r="BC1209" s="651"/>
      <c r="BD1209" s="551"/>
      <c r="BE1209" s="551"/>
      <c r="BF1209" s="551"/>
      <c r="BH1209" s="551"/>
      <c r="BI1209" s="551"/>
      <c r="BJ1209" s="551"/>
      <c r="BK1209" s="551"/>
      <c r="BL1209" s="551"/>
      <c r="BM1209" s="551"/>
      <c r="BN1209" s="551"/>
      <c r="BO1209" s="551"/>
      <c r="BP1209" s="551"/>
      <c r="BQ1209" s="551"/>
      <c r="BR1209" s="551"/>
      <c r="BS1209" s="551"/>
      <c r="BT1209" s="551"/>
      <c r="BU1209" s="551"/>
      <c r="BV1209" s="551"/>
      <c r="BW1209" s="551"/>
      <c r="BX1209" s="551"/>
      <c r="BY1209" s="650"/>
      <c r="BZ1209" s="551"/>
      <c r="CA1209" s="652"/>
      <c r="CB1209" s="567"/>
      <c r="CC1209" s="653"/>
      <c r="CD1209" s="650"/>
      <c r="CE1209" s="650"/>
      <c r="CF1209" s="551"/>
      <c r="CG1209" s="551"/>
      <c r="CI1209" s="551"/>
      <c r="CJ1209" s="551"/>
      <c r="CK1209" s="551"/>
      <c r="CL1209" s="551"/>
      <c r="CM1209" s="551"/>
      <c r="CN1209" s="551"/>
      <c r="CO1209" s="551"/>
      <c r="CP1209" s="551"/>
      <c r="CQ1209" s="551"/>
      <c r="CR1209" s="554">
        <f>I1209</f>
        <v>1500</v>
      </c>
      <c r="CS1209" s="554">
        <f>I1209</f>
        <v>1500</v>
      </c>
      <c r="CT1209" s="554">
        <f>I1209</f>
        <v>1500</v>
      </c>
      <c r="CU1209" s="551">
        <f t="shared" si="446"/>
        <v>0</v>
      </c>
      <c r="CV1209" s="551">
        <v>0</v>
      </c>
      <c r="CW1209" s="551">
        <v>0</v>
      </c>
      <c r="CX1209" s="650"/>
      <c r="CY1209" s="650"/>
      <c r="CZ1209" s="650"/>
      <c r="DA1209" s="548"/>
      <c r="DB1209" s="548"/>
      <c r="DC1209" s="548"/>
      <c r="DD1209" s="650"/>
      <c r="DE1209" s="650"/>
      <c r="DF1209" s="650"/>
      <c r="DG1209" s="650"/>
      <c r="DH1209" s="650"/>
    </row>
    <row r="1210" s="548" customFormat="1" ht="31" customHeight="1" spans="1:112">
      <c r="A1210" s="641">
        <v>46031</v>
      </c>
      <c r="B1210" s="642" t="s">
        <v>1673</v>
      </c>
      <c r="C1210" s="693" t="s">
        <v>98</v>
      </c>
      <c r="D1210" s="551">
        <v>4500191041</v>
      </c>
      <c r="E1210" s="246">
        <v>2105690</v>
      </c>
      <c r="F1210" s="551" t="s">
        <v>8978</v>
      </c>
      <c r="G1210" s="246" t="s">
        <v>6787</v>
      </c>
      <c r="H1210" s="610" t="s">
        <v>6126</v>
      </c>
      <c r="I1210" s="246">
        <v>504</v>
      </c>
      <c r="J1210" s="246">
        <v>0</v>
      </c>
      <c r="K1210" s="246">
        <v>12</v>
      </c>
      <c r="L1210" s="644">
        <f t="shared" si="454"/>
        <v>42</v>
      </c>
      <c r="M1210" s="645">
        <v>46120</v>
      </c>
      <c r="N1210" s="645">
        <v>46116</v>
      </c>
      <c r="O1210" s="643"/>
      <c r="P1210" s="643" t="s">
        <v>113</v>
      </c>
      <c r="Q1210" s="246"/>
      <c r="R1210" s="646">
        <v>46031</v>
      </c>
      <c r="S1210" s="646" t="s">
        <v>104</v>
      </c>
      <c r="T1210" s="646" t="s">
        <v>8975</v>
      </c>
      <c r="U1210" s="646"/>
      <c r="V1210" s="646"/>
      <c r="W1210" s="615"/>
      <c r="X1210" s="642" t="s">
        <v>8976</v>
      </c>
      <c r="Y1210" s="694" t="s">
        <v>882</v>
      </c>
      <c r="Z1210" s="642">
        <v>1.3269</v>
      </c>
      <c r="AA1210" s="647">
        <f t="shared" si="459"/>
        <v>668.7576</v>
      </c>
      <c r="AC1210" s="658" t="s">
        <v>8977</v>
      </c>
      <c r="AD1210" s="246" t="s">
        <v>8079</v>
      </c>
      <c r="AE1210" s="246" t="s">
        <v>82</v>
      </c>
      <c r="AF1210" s="246"/>
      <c r="AG1210" s="642"/>
      <c r="AH1210" s="642">
        <v>1</v>
      </c>
      <c r="AI1210" s="246">
        <v>504</v>
      </c>
      <c r="AJ1210" s="246">
        <f t="shared" si="456"/>
        <v>0</v>
      </c>
      <c r="AK1210" s="246"/>
      <c r="AL1210" s="246" t="s">
        <v>454</v>
      </c>
      <c r="AM1210" s="246"/>
      <c r="AN1210" s="610">
        <f>I1210*2</f>
        <v>1008</v>
      </c>
      <c r="AO1210" s="551"/>
      <c r="AP1210" s="551"/>
      <c r="AQ1210" s="554">
        <f>I1210*2</f>
        <v>1008</v>
      </c>
      <c r="AR1210" s="650"/>
      <c r="AS1210" s="551"/>
      <c r="AT1210" s="551"/>
      <c r="AU1210" s="554">
        <f>I1210*2</f>
        <v>1008</v>
      </c>
      <c r="AV1210" s="551"/>
      <c r="AW1210" s="650"/>
      <c r="AX1210" s="551"/>
      <c r="AY1210" s="551"/>
      <c r="AZ1210" s="551"/>
      <c r="BA1210" s="551"/>
      <c r="BB1210" s="249">
        <f>I1210/24*2</f>
        <v>42</v>
      </c>
      <c r="BC1210" s="651"/>
      <c r="BD1210" s="551"/>
      <c r="BE1210" s="551"/>
      <c r="BF1210" s="551"/>
      <c r="BH1210" s="551"/>
      <c r="BI1210" s="551"/>
      <c r="BJ1210" s="551"/>
      <c r="BK1210" s="551"/>
      <c r="BL1210" s="551"/>
      <c r="BM1210" s="551"/>
      <c r="BN1210" s="551"/>
      <c r="BO1210" s="551"/>
      <c r="BP1210" s="551"/>
      <c r="BQ1210" s="551"/>
      <c r="BR1210" s="551"/>
      <c r="BS1210" s="551"/>
      <c r="BT1210" s="551"/>
      <c r="BU1210" s="551"/>
      <c r="BV1210" s="551"/>
      <c r="BW1210" s="551"/>
      <c r="BX1210" s="551"/>
      <c r="BY1210" s="650"/>
      <c r="BZ1210" s="551"/>
      <c r="CA1210" s="652"/>
      <c r="CB1210" s="567"/>
      <c r="CC1210" s="653"/>
      <c r="CD1210" s="650"/>
      <c r="CE1210" s="650"/>
      <c r="CF1210" s="551"/>
      <c r="CG1210" s="551"/>
      <c r="CI1210" s="551"/>
      <c r="CJ1210" s="551"/>
      <c r="CK1210" s="551"/>
      <c r="CL1210" s="551"/>
      <c r="CM1210" s="551"/>
      <c r="CN1210" s="551"/>
      <c r="CO1210" s="551"/>
      <c r="CP1210" s="551"/>
      <c r="CQ1210" s="551"/>
      <c r="CR1210" s="554">
        <f>I1210</f>
        <v>504</v>
      </c>
      <c r="CS1210" s="554">
        <f>I1210</f>
        <v>504</v>
      </c>
      <c r="CT1210" s="554">
        <f>I1210</f>
        <v>504</v>
      </c>
      <c r="CU1210" s="551">
        <f t="shared" si="446"/>
        <v>0</v>
      </c>
      <c r="CV1210" s="551">
        <v>0</v>
      </c>
      <c r="CW1210" s="551">
        <v>0</v>
      </c>
      <c r="CX1210" s="650"/>
      <c r="CY1210" s="650"/>
      <c r="CZ1210" s="650"/>
      <c r="DA1210" s="548"/>
      <c r="DB1210" s="548"/>
      <c r="DC1210" s="548"/>
      <c r="DD1210" s="650"/>
      <c r="DE1210" s="650"/>
      <c r="DF1210" s="650"/>
      <c r="DG1210" s="650"/>
      <c r="DH1210" s="650"/>
    </row>
    <row r="1211" s="548" customFormat="1" ht="31" customHeight="1" spans="1:112">
      <c r="A1211" s="641">
        <v>46083</v>
      </c>
      <c r="B1211" s="642" t="s">
        <v>351</v>
      </c>
      <c r="C1211" s="693" t="s">
        <v>98</v>
      </c>
      <c r="D1211" s="551">
        <v>4500194847</v>
      </c>
      <c r="E1211" s="246" t="s">
        <v>8979</v>
      </c>
      <c r="F1211" s="551" t="s">
        <v>8980</v>
      </c>
      <c r="G1211" s="246" t="s">
        <v>6084</v>
      </c>
      <c r="H1211" s="246" t="s">
        <v>6069</v>
      </c>
      <c r="I1211" s="706">
        <v>3850</v>
      </c>
      <c r="J1211" s="246">
        <v>0</v>
      </c>
      <c r="K1211" s="246">
        <v>25</v>
      </c>
      <c r="L1211" s="644">
        <f t="shared" si="454"/>
        <v>154</v>
      </c>
      <c r="M1211" s="645">
        <v>46121</v>
      </c>
      <c r="N1211" s="645">
        <v>46118</v>
      </c>
      <c r="O1211" s="643"/>
      <c r="P1211" s="643" t="s">
        <v>113</v>
      </c>
      <c r="Q1211" s="246"/>
      <c r="R1211" s="646">
        <v>46083</v>
      </c>
      <c r="S1211" s="646" t="s">
        <v>70</v>
      </c>
      <c r="T1211" s="646">
        <v>46083</v>
      </c>
      <c r="U1211" s="646"/>
      <c r="V1211" s="646"/>
      <c r="W1211" s="615"/>
      <c r="X1211" s="642" t="s">
        <v>8981</v>
      </c>
      <c r="Y1211" s="694" t="s">
        <v>355</v>
      </c>
      <c r="Z1211" s="642">
        <v>0.5809</v>
      </c>
      <c r="AA1211" s="647">
        <f t="shared" si="459"/>
        <v>2236.465</v>
      </c>
      <c r="AC1211" s="658" t="s">
        <v>8982</v>
      </c>
      <c r="AD1211" s="246" t="s">
        <v>6084</v>
      </c>
      <c r="AE1211" s="246" t="s">
        <v>82</v>
      </c>
      <c r="AF1211" s="246"/>
      <c r="AG1211" s="642"/>
      <c r="AH1211" s="642">
        <v>1</v>
      </c>
      <c r="AI1211" s="246">
        <f>25+3825</f>
        <v>3850</v>
      </c>
      <c r="AJ1211" s="610">
        <f t="shared" si="456"/>
        <v>0</v>
      </c>
      <c r="AK1211" s="246"/>
      <c r="AL1211" s="246"/>
      <c r="AM1211" s="246"/>
      <c r="AN1211" s="246">
        <f>I1211</f>
        <v>3850</v>
      </c>
      <c r="AO1211" s="551"/>
      <c r="AP1211" s="554">
        <f>I1211</f>
        <v>3850</v>
      </c>
      <c r="AQ1211" s="551"/>
      <c r="AR1211" s="650"/>
      <c r="AS1211" s="551"/>
      <c r="AT1211" s="551"/>
      <c r="AU1211" s="554">
        <f>I1211</f>
        <v>3850</v>
      </c>
      <c r="AV1211" s="551"/>
      <c r="AW1211" s="650"/>
      <c r="AX1211" s="551"/>
      <c r="AY1211" s="551"/>
      <c r="AZ1211" s="551"/>
      <c r="BA1211" s="551"/>
      <c r="BB1211" s="249">
        <f>I1211/48</f>
        <v>80.2083333333333</v>
      </c>
      <c r="BC1211" s="551"/>
      <c r="BD1211" s="551"/>
      <c r="BE1211" s="551"/>
      <c r="BF1211" s="551"/>
      <c r="BH1211" s="551"/>
      <c r="BI1211" s="551"/>
      <c r="BJ1211" s="551"/>
      <c r="BK1211" s="551"/>
      <c r="BL1211" s="551"/>
      <c r="BM1211" s="551"/>
      <c r="BN1211" s="551">
        <f>I1211/25</f>
        <v>154</v>
      </c>
      <c r="BO1211" s="551"/>
      <c r="BP1211" s="551"/>
      <c r="BQ1211" s="551"/>
      <c r="BR1211" s="551"/>
      <c r="BS1211" s="551"/>
      <c r="BT1211" s="551"/>
      <c r="BU1211" s="551"/>
      <c r="BV1211" s="551"/>
      <c r="BW1211" s="551"/>
      <c r="BX1211" s="551"/>
      <c r="BY1211" s="650"/>
      <c r="BZ1211" s="551"/>
      <c r="CA1211" s="652"/>
      <c r="CB1211" s="567"/>
      <c r="CC1211" s="653"/>
      <c r="CD1211" s="650"/>
      <c r="CE1211" s="650"/>
      <c r="CF1211" s="551"/>
      <c r="CG1211" s="551"/>
      <c r="CI1211" s="551"/>
      <c r="CJ1211" s="551"/>
      <c r="CK1211" s="551"/>
      <c r="CL1211" s="551"/>
      <c r="CM1211" s="551"/>
      <c r="CN1211" s="551"/>
      <c r="CO1211" s="551"/>
      <c r="CP1211" s="551"/>
      <c r="CQ1211" s="551"/>
      <c r="CR1211" s="551"/>
      <c r="CS1211" s="551"/>
      <c r="CT1211" s="551"/>
      <c r="CU1211" s="551">
        <f t="shared" si="446"/>
        <v>154</v>
      </c>
      <c r="CV1211" s="551">
        <f>CK1211+CL1211+CM1211+CN1211+CO1211+CQ1211+CP1211</f>
        <v>0</v>
      </c>
      <c r="CW1211" s="551">
        <f>CI1211+CJ1211</f>
        <v>0</v>
      </c>
      <c r="CX1211" s="650"/>
      <c r="CY1211" s="650"/>
      <c r="CZ1211" s="650"/>
      <c r="DA1211" s="548"/>
      <c r="DB1211" s="548"/>
      <c r="DC1211" s="548"/>
      <c r="DD1211" s="650"/>
      <c r="DE1211" s="650"/>
      <c r="DF1211" s="650"/>
      <c r="DG1211" s="650"/>
      <c r="DH1211" s="650"/>
    </row>
    <row r="1212" s="548" customFormat="1" ht="31" customHeight="1" spans="1:112">
      <c r="A1212" s="641">
        <v>46078</v>
      </c>
      <c r="B1212" s="642" t="s">
        <v>3392</v>
      </c>
      <c r="C1212" s="246" t="s">
        <v>278</v>
      </c>
      <c r="D1212" s="551">
        <v>4500194042</v>
      </c>
      <c r="E1212" s="246" t="s">
        <v>3393</v>
      </c>
      <c r="F1212" s="551" t="s">
        <v>8983</v>
      </c>
      <c r="G1212" s="246" t="s">
        <v>6043</v>
      </c>
      <c r="H1212" s="246" t="s">
        <v>6110</v>
      </c>
      <c r="I1212" s="706">
        <v>1000</v>
      </c>
      <c r="J1212" s="246">
        <v>0</v>
      </c>
      <c r="K1212" s="246">
        <v>50</v>
      </c>
      <c r="L1212" s="644">
        <f t="shared" si="454"/>
        <v>20</v>
      </c>
      <c r="M1212" s="645">
        <v>46122</v>
      </c>
      <c r="N1212" s="645">
        <v>46118</v>
      </c>
      <c r="O1212" s="643"/>
      <c r="P1212" s="643" t="s">
        <v>113</v>
      </c>
      <c r="Q1212" s="246"/>
      <c r="R1212" s="646">
        <v>46080</v>
      </c>
      <c r="S1212" s="646" t="s">
        <v>70</v>
      </c>
      <c r="T1212" s="646" t="s">
        <v>8984</v>
      </c>
      <c r="U1212" s="646"/>
      <c r="V1212" s="646"/>
      <c r="W1212" s="615"/>
      <c r="X1212" s="642" t="s">
        <v>8985</v>
      </c>
      <c r="Y1212" s="642" t="s">
        <v>505</v>
      </c>
      <c r="Z1212" s="642">
        <v>0.9719</v>
      </c>
      <c r="AA1212" s="647">
        <f t="shared" si="459"/>
        <v>971.9</v>
      </c>
      <c r="AC1212" s="648"/>
      <c r="AD1212" s="246" t="s">
        <v>6043</v>
      </c>
      <c r="AE1212" s="246" t="s">
        <v>82</v>
      </c>
      <c r="AF1212" s="246"/>
      <c r="AG1212" s="642"/>
      <c r="AH1212" s="642"/>
      <c r="AI1212" s="246">
        <v>1000</v>
      </c>
      <c r="AJ1212" s="246">
        <f t="shared" ref="AJ1212:AJ1220" si="460">AI1212-I1212</f>
        <v>0</v>
      </c>
      <c r="AK1212" s="246"/>
      <c r="AL1212" s="246" t="s">
        <v>2368</v>
      </c>
      <c r="AM1212" s="246"/>
      <c r="AN1212" s="246"/>
      <c r="AO1212" s="551">
        <f>I1212</f>
        <v>1000</v>
      </c>
      <c r="AP1212" s="551"/>
      <c r="AQ1212" s="551"/>
      <c r="AR1212" s="650"/>
      <c r="AS1212" s="551"/>
      <c r="AT1212" s="554">
        <f>I1212</f>
        <v>1000</v>
      </c>
      <c r="AU1212" s="551"/>
      <c r="AV1212" s="554">
        <f>I1212</f>
        <v>1000</v>
      </c>
      <c r="AW1212" s="650"/>
      <c r="AX1212" s="551"/>
      <c r="AY1212" s="551"/>
      <c r="AZ1212" s="551"/>
      <c r="BA1212" s="551"/>
      <c r="BB1212" s="620">
        <f>I1212/24</f>
        <v>41.6666666666667</v>
      </c>
      <c r="BC1212" s="651"/>
      <c r="BD1212" s="551"/>
      <c r="BE1212" s="551"/>
      <c r="BF1212" s="551"/>
      <c r="BH1212" s="551"/>
      <c r="BI1212" s="551"/>
      <c r="BJ1212" s="551"/>
      <c r="BK1212" s="551"/>
      <c r="BL1212" s="551"/>
      <c r="BM1212" s="551"/>
      <c r="BN1212" s="551"/>
      <c r="BO1212" s="551"/>
      <c r="BP1212" s="551">
        <f>I1212/25</f>
        <v>40</v>
      </c>
      <c r="BQ1212" s="551"/>
      <c r="BR1212" s="551"/>
      <c r="BS1212" s="551"/>
      <c r="BT1212" s="551"/>
      <c r="BU1212" s="551"/>
      <c r="BV1212" s="551"/>
      <c r="BW1212" s="551"/>
      <c r="BX1212" s="551"/>
      <c r="BY1212" s="650"/>
      <c r="BZ1212" s="551"/>
      <c r="CA1212" s="652"/>
      <c r="CB1212" s="567"/>
      <c r="CC1212" s="653"/>
      <c r="CD1212" s="650"/>
      <c r="CE1212" s="650"/>
      <c r="CF1212" s="551"/>
      <c r="CG1212" s="551"/>
      <c r="CI1212" s="551"/>
      <c r="CJ1212" s="551"/>
      <c r="CK1212" s="551"/>
      <c r="CL1212" s="551"/>
      <c r="CM1212" s="551"/>
      <c r="CN1212" s="551"/>
      <c r="CO1212" s="551"/>
      <c r="CP1212" s="551"/>
      <c r="CQ1212" s="551"/>
      <c r="CR1212" s="551"/>
      <c r="CS1212" s="551"/>
      <c r="CT1212" s="551"/>
      <c r="CU1212" s="551">
        <f t="shared" si="446"/>
        <v>40</v>
      </c>
      <c r="CV1212" s="551">
        <f>CK1212+CL1212+CM1212+CN1212+CO1212+CQ1212+CP1212</f>
        <v>0</v>
      </c>
      <c r="CW1212" s="551">
        <f>CI1212+CJ1212</f>
        <v>0</v>
      </c>
      <c r="CX1212" s="650"/>
      <c r="CY1212" s="650"/>
      <c r="CZ1212" s="650"/>
      <c r="DA1212" s="548"/>
      <c r="DB1212" s="548"/>
      <c r="DC1212" s="548"/>
      <c r="DD1212" s="650"/>
      <c r="DE1212" s="650"/>
      <c r="DF1212" s="650"/>
      <c r="DG1212" s="650"/>
      <c r="DH1212" s="650"/>
    </row>
    <row r="1213" s="548" customFormat="1" ht="31" customHeight="1" spans="1:112">
      <c r="A1213" s="641">
        <v>46065</v>
      </c>
      <c r="B1213" s="642" t="s">
        <v>3467</v>
      </c>
      <c r="C1213" s="246" t="s">
        <v>399</v>
      </c>
      <c r="D1213" s="551">
        <v>4500193889</v>
      </c>
      <c r="E1213" s="246"/>
      <c r="F1213" s="551" t="s">
        <v>8986</v>
      </c>
      <c r="G1213" s="246" t="s">
        <v>6040</v>
      </c>
      <c r="H1213" s="246" t="s">
        <v>6041</v>
      </c>
      <c r="I1213" s="706">
        <v>1768</v>
      </c>
      <c r="J1213" s="246">
        <v>0</v>
      </c>
      <c r="K1213" s="246">
        <v>52</v>
      </c>
      <c r="L1213" s="644">
        <f t="shared" si="454"/>
        <v>34</v>
      </c>
      <c r="M1213" s="645">
        <v>46127</v>
      </c>
      <c r="N1213" s="645">
        <v>46123</v>
      </c>
      <c r="O1213" s="643" t="s">
        <v>8987</v>
      </c>
      <c r="P1213" s="643" t="s">
        <v>113</v>
      </c>
      <c r="Q1213" s="246"/>
      <c r="R1213" s="646">
        <v>46093</v>
      </c>
      <c r="S1213" s="646" t="s">
        <v>70</v>
      </c>
      <c r="T1213" s="646" t="s">
        <v>8988</v>
      </c>
      <c r="U1213" s="646"/>
      <c r="V1213" s="646"/>
      <c r="W1213" s="615"/>
      <c r="X1213" s="642" t="s">
        <v>8989</v>
      </c>
      <c r="Y1213" s="642" t="s">
        <v>445</v>
      </c>
      <c r="Z1213" s="655">
        <v>0.9461</v>
      </c>
      <c r="AA1213" s="647">
        <f t="shared" si="459"/>
        <v>1672.7048</v>
      </c>
      <c r="AC1213" s="648"/>
      <c r="AD1213" s="246" t="s">
        <v>6040</v>
      </c>
      <c r="AE1213" s="246" t="s">
        <v>82</v>
      </c>
      <c r="AF1213" s="246"/>
      <c r="AG1213" s="246"/>
      <c r="AH1213" s="246"/>
      <c r="AI1213" s="246">
        <v>1768</v>
      </c>
      <c r="AJ1213" s="246">
        <f t="shared" si="460"/>
        <v>0</v>
      </c>
      <c r="AK1213" s="246"/>
      <c r="AL1213" s="246" t="s">
        <v>2368</v>
      </c>
      <c r="AM1213" s="246"/>
      <c r="AN1213" s="246"/>
      <c r="AO1213" s="551">
        <f>I1213</f>
        <v>1768</v>
      </c>
      <c r="AP1213" s="551"/>
      <c r="AQ1213" s="551"/>
      <c r="AR1213" s="650"/>
      <c r="AS1213" s="551"/>
      <c r="AT1213" s="554">
        <f>I1213</f>
        <v>1768</v>
      </c>
      <c r="AU1213" s="551"/>
      <c r="AV1213" s="554">
        <f>I1213</f>
        <v>1768</v>
      </c>
      <c r="AW1213" s="650"/>
      <c r="AX1213" s="551"/>
      <c r="AY1213" s="551"/>
      <c r="AZ1213" s="551"/>
      <c r="BA1213" s="551"/>
      <c r="BB1213" s="620">
        <f>I1213/24</f>
        <v>73.6666666666667</v>
      </c>
      <c r="BC1213" s="651"/>
      <c r="BD1213" s="551"/>
      <c r="BE1213" s="551"/>
      <c r="BF1213" s="551"/>
      <c r="BH1213" s="551"/>
      <c r="BI1213" s="551"/>
      <c r="BJ1213" s="551"/>
      <c r="BK1213" s="551"/>
      <c r="BL1213" s="551"/>
      <c r="BM1213" s="551">
        <f>I1213/13</f>
        <v>136</v>
      </c>
      <c r="BN1213" s="551"/>
      <c r="BO1213" s="551"/>
      <c r="BP1213" s="551"/>
      <c r="BQ1213" s="551"/>
      <c r="BR1213" s="551"/>
      <c r="BS1213" s="551"/>
      <c r="BT1213" s="551"/>
      <c r="BU1213" s="551"/>
      <c r="BV1213" s="551"/>
      <c r="BW1213" s="551"/>
      <c r="BX1213" s="551"/>
      <c r="BY1213" s="650"/>
      <c r="BZ1213" s="551"/>
      <c r="CA1213" s="652"/>
      <c r="CB1213" s="567"/>
      <c r="CC1213" s="653"/>
      <c r="CD1213" s="650"/>
      <c r="CE1213" s="650"/>
      <c r="CF1213" s="551"/>
      <c r="CG1213" s="551"/>
      <c r="CI1213" s="551"/>
      <c r="CJ1213" s="551"/>
      <c r="CK1213" s="551"/>
      <c r="CL1213" s="551"/>
      <c r="CM1213" s="551"/>
      <c r="CN1213" s="551"/>
      <c r="CO1213" s="551"/>
      <c r="CP1213" s="551"/>
      <c r="CQ1213" s="551"/>
      <c r="CR1213" s="551"/>
      <c r="CS1213" s="551"/>
      <c r="CT1213" s="551"/>
      <c r="CU1213" s="551">
        <f t="shared" si="446"/>
        <v>0</v>
      </c>
      <c r="CV1213" s="551">
        <f>CK1213+CL1213+CM1213+CN1213+CO1213+CQ1213+CP1213</f>
        <v>0</v>
      </c>
      <c r="CW1213" s="551">
        <f>CI1213+CJ1213</f>
        <v>0</v>
      </c>
      <c r="CX1213" s="650"/>
      <c r="CY1213" s="650"/>
      <c r="CZ1213" s="650"/>
      <c r="DA1213" s="548"/>
      <c r="DB1213" s="548"/>
      <c r="DC1213" s="548"/>
      <c r="DD1213" s="650"/>
      <c r="DE1213" s="650"/>
      <c r="DF1213" s="650"/>
      <c r="DG1213" s="650"/>
      <c r="DH1213" s="650"/>
    </row>
    <row r="1214" s="548" customFormat="1" ht="31" customHeight="1" spans="1:112">
      <c r="A1214" s="608">
        <v>46080</v>
      </c>
      <c r="B1214" s="609" t="s">
        <v>3340</v>
      </c>
      <c r="C1214" s="713" t="s">
        <v>98</v>
      </c>
      <c r="D1214" s="554">
        <v>4500194541</v>
      </c>
      <c r="E1214" s="610">
        <v>95309735</v>
      </c>
      <c r="F1214" s="554" t="s">
        <v>8990</v>
      </c>
      <c r="G1214" s="610" t="s">
        <v>6787</v>
      </c>
      <c r="H1214" s="610" t="s">
        <v>6126</v>
      </c>
      <c r="I1214" s="610">
        <v>192</v>
      </c>
      <c r="J1214" s="610">
        <v>0</v>
      </c>
      <c r="K1214" s="610">
        <v>12</v>
      </c>
      <c r="L1214" s="611">
        <f t="shared" si="454"/>
        <v>16</v>
      </c>
      <c r="M1214" s="612">
        <v>46115</v>
      </c>
      <c r="N1214" s="612">
        <v>46111</v>
      </c>
      <c r="O1214" s="613"/>
      <c r="P1214" s="613" t="s">
        <v>113</v>
      </c>
      <c r="Q1214" s="610"/>
      <c r="R1214" s="614" t="s">
        <v>3530</v>
      </c>
      <c r="S1214" s="614" t="s">
        <v>70</v>
      </c>
      <c r="T1214" s="614" t="s">
        <v>70</v>
      </c>
      <c r="U1214" s="614"/>
      <c r="V1214" s="614"/>
      <c r="W1214" s="615"/>
      <c r="X1214" s="609" t="s">
        <v>8991</v>
      </c>
      <c r="Y1214" s="609" t="s">
        <v>2554</v>
      </c>
      <c r="Z1214" s="609">
        <v>1.3094</v>
      </c>
      <c r="AA1214" s="616">
        <f t="shared" si="459"/>
        <v>251.4048</v>
      </c>
      <c r="AC1214" s="629" t="s">
        <v>8992</v>
      </c>
      <c r="AD1214" s="610" t="s">
        <v>8079</v>
      </c>
      <c r="AE1214" s="610" t="s">
        <v>82</v>
      </c>
      <c r="AF1214" s="610"/>
      <c r="AG1214" s="609"/>
      <c r="AH1214" s="609"/>
      <c r="AI1214" s="610">
        <f>180+12</f>
        <v>192</v>
      </c>
      <c r="AJ1214" s="610">
        <f t="shared" si="460"/>
        <v>0</v>
      </c>
      <c r="AK1214" s="610"/>
      <c r="AL1214" s="610"/>
      <c r="AM1214" s="610"/>
      <c r="AN1214" s="610">
        <f>I1214*2</f>
        <v>384</v>
      </c>
      <c r="AO1214" s="554"/>
      <c r="AP1214" s="554"/>
      <c r="AQ1214" s="554">
        <f>I1214*2</f>
        <v>384</v>
      </c>
      <c r="AR1214" s="619"/>
      <c r="AS1214" s="554"/>
      <c r="AT1214" s="554"/>
      <c r="AU1214" s="554">
        <f>I1214*2</f>
        <v>384</v>
      </c>
      <c r="AV1214" s="554"/>
      <c r="AW1214" s="619"/>
      <c r="AX1214" s="554"/>
      <c r="AY1214" s="554"/>
      <c r="AZ1214" s="554"/>
      <c r="BA1214" s="554"/>
      <c r="BB1214" s="249">
        <f>I1214/24*2</f>
        <v>16</v>
      </c>
      <c r="BC1214" s="714"/>
      <c r="BD1214" s="554"/>
      <c r="BE1214" s="554"/>
      <c r="BF1214" s="554"/>
      <c r="BH1214" s="554"/>
      <c r="BI1214" s="554"/>
      <c r="BJ1214" s="554"/>
      <c r="BK1214" s="554"/>
      <c r="BL1214" s="554"/>
      <c r="BM1214" s="554"/>
      <c r="BN1214" s="554"/>
      <c r="BO1214" s="554"/>
      <c r="BP1214" s="554"/>
      <c r="BQ1214" s="554"/>
      <c r="BR1214" s="554"/>
      <c r="BS1214" s="554"/>
      <c r="BT1214" s="554"/>
      <c r="BU1214" s="554"/>
      <c r="BV1214" s="554"/>
      <c r="BW1214" s="554"/>
      <c r="BX1214" s="554"/>
      <c r="BY1214" s="619"/>
      <c r="BZ1214" s="554"/>
      <c r="CA1214" s="621"/>
      <c r="CB1214" s="567"/>
      <c r="CC1214" s="622"/>
      <c r="CD1214" s="619"/>
      <c r="CE1214" s="619"/>
      <c r="CF1214" s="554"/>
      <c r="CG1214" s="554"/>
      <c r="CI1214" s="554"/>
      <c r="CJ1214" s="554"/>
      <c r="CK1214" s="554"/>
      <c r="CL1214" s="554"/>
      <c r="CM1214" s="554"/>
      <c r="CN1214" s="554"/>
      <c r="CO1214" s="554"/>
      <c r="CP1214" s="554"/>
      <c r="CQ1214" s="554"/>
      <c r="CR1214" s="554">
        <f>I1214</f>
        <v>192</v>
      </c>
      <c r="CS1214" s="554">
        <f>I1214</f>
        <v>192</v>
      </c>
      <c r="CT1214" s="554">
        <f>I1214</f>
        <v>192</v>
      </c>
      <c r="CU1214" s="554">
        <f t="shared" si="446"/>
        <v>0</v>
      </c>
      <c r="CV1214" s="554">
        <v>0</v>
      </c>
      <c r="CW1214" s="554">
        <v>0</v>
      </c>
      <c r="CX1214" s="619"/>
      <c r="CY1214" s="619"/>
      <c r="CZ1214" s="619"/>
      <c r="DA1214" s="548"/>
      <c r="DB1214" s="548"/>
      <c r="DC1214" s="548"/>
      <c r="DD1214" s="619"/>
      <c r="DE1214" s="619"/>
      <c r="DF1214" s="619"/>
      <c r="DG1214" s="619"/>
      <c r="DH1214" s="619"/>
    </row>
    <row r="1215" s="548" customFormat="1" ht="31" customHeight="1" spans="1:112">
      <c r="A1215" s="608">
        <v>46079</v>
      </c>
      <c r="B1215" s="609" t="s">
        <v>2362</v>
      </c>
      <c r="C1215" s="610" t="s">
        <v>524</v>
      </c>
      <c r="D1215" s="554">
        <v>4500194320</v>
      </c>
      <c r="E1215" s="610">
        <v>62089545</v>
      </c>
      <c r="F1215" s="554" t="s">
        <v>8993</v>
      </c>
      <c r="G1215" s="610" t="s">
        <v>6043</v>
      </c>
      <c r="H1215" s="610" t="s">
        <v>6110</v>
      </c>
      <c r="I1215" s="715">
        <v>6500</v>
      </c>
      <c r="J1215" s="610">
        <v>0</v>
      </c>
      <c r="K1215" s="610">
        <v>50</v>
      </c>
      <c r="L1215" s="611">
        <f t="shared" si="454"/>
        <v>130</v>
      </c>
      <c r="M1215" s="612">
        <v>46119</v>
      </c>
      <c r="N1215" s="612">
        <v>46122</v>
      </c>
      <c r="O1215" s="613" t="s">
        <v>3451</v>
      </c>
      <c r="P1215" s="613" t="s">
        <v>113</v>
      </c>
      <c r="Q1215" s="610"/>
      <c r="R1215" s="614">
        <v>46094</v>
      </c>
      <c r="S1215" s="614" t="s">
        <v>70</v>
      </c>
      <c r="T1215" s="614" t="s">
        <v>8994</v>
      </c>
      <c r="U1215" s="614"/>
      <c r="V1215" s="614"/>
      <c r="W1215" s="615"/>
      <c r="X1215" s="609" t="s">
        <v>8995</v>
      </c>
      <c r="Y1215" s="716" t="s">
        <v>529</v>
      </c>
      <c r="Z1215" s="609">
        <v>0.9696</v>
      </c>
      <c r="AA1215" s="616">
        <f t="shared" si="459"/>
        <v>6302.4</v>
      </c>
      <c r="AC1215" s="617"/>
      <c r="AD1215" s="610" t="s">
        <v>6043</v>
      </c>
      <c r="AE1215" s="610" t="s">
        <v>82</v>
      </c>
      <c r="AF1215" s="610"/>
      <c r="AG1215" s="609"/>
      <c r="AH1215" s="610">
        <v>1</v>
      </c>
      <c r="AI1215" s="610">
        <v>6500</v>
      </c>
      <c r="AJ1215" s="610">
        <f t="shared" si="460"/>
        <v>0</v>
      </c>
      <c r="AK1215" s="610"/>
      <c r="AL1215" s="610" t="s">
        <v>2368</v>
      </c>
      <c r="AM1215" s="610"/>
      <c r="AN1215" s="610"/>
      <c r="AO1215" s="554">
        <f>I1215</f>
        <v>6500</v>
      </c>
      <c r="AP1215" s="554"/>
      <c r="AQ1215" s="554"/>
      <c r="AR1215" s="619"/>
      <c r="AS1215" s="554"/>
      <c r="AT1215" s="554">
        <f>I1215</f>
        <v>6500</v>
      </c>
      <c r="AU1215" s="554"/>
      <c r="AV1215" s="554">
        <f>I1215</f>
        <v>6500</v>
      </c>
      <c r="AW1215" s="619"/>
      <c r="AX1215" s="554"/>
      <c r="AY1215" s="554"/>
      <c r="AZ1215" s="554"/>
      <c r="BA1215" s="554"/>
      <c r="BB1215" s="620">
        <f>I1215/24</f>
        <v>270.833333333333</v>
      </c>
      <c r="BC1215" s="714"/>
      <c r="BD1215" s="554"/>
      <c r="BE1215" s="554"/>
      <c r="BF1215" s="554"/>
      <c r="BH1215" s="554"/>
      <c r="BI1215" s="554"/>
      <c r="BJ1215" s="554"/>
      <c r="BK1215" s="554"/>
      <c r="BL1215" s="554"/>
      <c r="BM1215" s="554"/>
      <c r="BN1215" s="554"/>
      <c r="BO1215" s="554"/>
      <c r="BP1215" s="554">
        <f>I1215/25</f>
        <v>260</v>
      </c>
      <c r="BQ1215" s="554"/>
      <c r="BR1215" s="554"/>
      <c r="BS1215" s="554"/>
      <c r="BT1215" s="554"/>
      <c r="BU1215" s="554"/>
      <c r="BV1215" s="554"/>
      <c r="BW1215" s="554"/>
      <c r="BX1215" s="554"/>
      <c r="BY1215" s="619"/>
      <c r="BZ1215" s="554"/>
      <c r="CA1215" s="621"/>
      <c r="CB1215" s="567"/>
      <c r="CC1215" s="622"/>
      <c r="CD1215" s="619"/>
      <c r="CE1215" s="619"/>
      <c r="CF1215" s="554"/>
      <c r="CG1215" s="554"/>
      <c r="CI1215" s="554"/>
      <c r="CJ1215" s="554"/>
      <c r="CK1215" s="554"/>
      <c r="CL1215" s="554"/>
      <c r="CM1215" s="554"/>
      <c r="CN1215" s="554"/>
      <c r="CO1215" s="554"/>
      <c r="CP1215" s="554"/>
      <c r="CQ1215" s="554"/>
      <c r="CR1215" s="554"/>
      <c r="CS1215" s="554"/>
      <c r="CT1215" s="554"/>
      <c r="CU1215" s="554">
        <f t="shared" si="446"/>
        <v>260</v>
      </c>
      <c r="CV1215" s="554">
        <f>CK1215+CL1215+CM1215+CN1215+CO1215+CQ1215+CP1215</f>
        <v>0</v>
      </c>
      <c r="CW1215" s="554">
        <f>CI1215+CJ1215</f>
        <v>0</v>
      </c>
      <c r="CX1215" s="619"/>
      <c r="CY1215" s="619"/>
      <c r="CZ1215" s="619"/>
      <c r="DA1215" s="548"/>
      <c r="DB1215" s="548"/>
      <c r="DC1215" s="548"/>
      <c r="DD1215" s="619"/>
      <c r="DE1215" s="619"/>
      <c r="DF1215" s="619"/>
      <c r="DG1215" s="619"/>
      <c r="DH1215" s="619"/>
    </row>
    <row r="1216" s="548" customFormat="1" ht="31" customHeight="1" spans="1:112">
      <c r="A1216" s="608">
        <v>46078</v>
      </c>
      <c r="B1216" s="609" t="s">
        <v>3440</v>
      </c>
      <c r="C1216" s="713" t="s">
        <v>524</v>
      </c>
      <c r="D1216" s="554">
        <v>4500194198</v>
      </c>
      <c r="E1216" s="613">
        <v>21630399</v>
      </c>
      <c r="F1216" s="554" t="s">
        <v>3442</v>
      </c>
      <c r="G1216" s="610" t="s">
        <v>8996</v>
      </c>
      <c r="H1216" s="610" t="s">
        <v>477</v>
      </c>
      <c r="I1216" s="715">
        <v>17280</v>
      </c>
      <c r="J1216" s="610">
        <v>0</v>
      </c>
      <c r="K1216" s="610">
        <v>120</v>
      </c>
      <c r="L1216" s="611">
        <f t="shared" si="454"/>
        <v>144</v>
      </c>
      <c r="M1216" s="612">
        <v>46119</v>
      </c>
      <c r="N1216" s="612">
        <v>46115</v>
      </c>
      <c r="O1216" s="613" t="s">
        <v>3444</v>
      </c>
      <c r="P1216" s="613" t="s">
        <v>113</v>
      </c>
      <c r="Q1216" s="610"/>
      <c r="R1216" s="614" t="s">
        <v>3445</v>
      </c>
      <c r="S1216" s="646" t="s">
        <v>70</v>
      </c>
      <c r="T1216" s="614" t="s">
        <v>8997</v>
      </c>
      <c r="U1216" s="614"/>
      <c r="V1216" s="614" t="s">
        <v>8998</v>
      </c>
      <c r="W1216" s="615"/>
      <c r="X1216" s="609" t="s">
        <v>3448</v>
      </c>
      <c r="Y1216" s="716" t="s">
        <v>529</v>
      </c>
      <c r="Z1216" s="609">
        <v>822</v>
      </c>
      <c r="AA1216" s="616">
        <f>Z1216*L1216</f>
        <v>118368</v>
      </c>
      <c r="AC1216" s="617"/>
      <c r="AD1216" s="554" t="s">
        <v>3449</v>
      </c>
      <c r="AE1216" s="610" t="s">
        <v>82</v>
      </c>
      <c r="AF1216" s="610"/>
      <c r="AG1216" s="609"/>
      <c r="AH1216" s="609">
        <v>1</v>
      </c>
      <c r="AI1216" s="610">
        <f>2016+2688+3936+7392+1224+24</f>
        <v>17280</v>
      </c>
      <c r="AJ1216" s="610">
        <f t="shared" si="460"/>
        <v>0</v>
      </c>
      <c r="AK1216" s="610"/>
      <c r="AL1216" s="610" t="s">
        <v>2368</v>
      </c>
      <c r="AM1216" s="610"/>
      <c r="AN1216" s="610"/>
      <c r="AO1216" s="554">
        <f>I1216*2</f>
        <v>34560</v>
      </c>
      <c r="AP1216" s="554"/>
      <c r="AQ1216" s="554"/>
      <c r="AR1216" s="619"/>
      <c r="AS1216" s="554"/>
      <c r="AT1216" s="554">
        <f>I1216*2</f>
        <v>34560</v>
      </c>
      <c r="AU1216" s="554"/>
      <c r="AV1216" s="554">
        <f>I1216*2</f>
        <v>34560</v>
      </c>
      <c r="AW1216" s="619"/>
      <c r="AX1216" s="554"/>
      <c r="AY1216" s="554"/>
      <c r="AZ1216" s="554"/>
      <c r="BA1216" s="554"/>
      <c r="BB1216" s="620"/>
      <c r="BC1216" s="714"/>
      <c r="BD1216" s="554"/>
      <c r="BE1216" s="554"/>
      <c r="BF1216" s="554"/>
      <c r="BH1216" s="554"/>
      <c r="BI1216" s="554"/>
      <c r="BJ1216" s="554"/>
      <c r="BK1216" s="554"/>
      <c r="BL1216" s="554"/>
      <c r="BM1216" s="554"/>
      <c r="BN1216" s="554"/>
      <c r="BO1216" s="554"/>
      <c r="BP1216" s="554"/>
      <c r="BQ1216" s="554"/>
      <c r="BR1216" s="554"/>
      <c r="BS1216" s="554"/>
      <c r="BT1216" s="554"/>
      <c r="BU1216" s="554"/>
      <c r="BV1216" s="554"/>
      <c r="BW1216" s="554"/>
      <c r="BX1216" s="554"/>
      <c r="BY1216" s="619"/>
      <c r="BZ1216" s="554">
        <f>I1216</f>
        <v>17280</v>
      </c>
      <c r="CA1216" s="621"/>
      <c r="CB1216" s="567"/>
      <c r="CC1216" s="622"/>
      <c r="CD1216" s="619"/>
      <c r="CE1216" s="619"/>
      <c r="CF1216" s="554"/>
      <c r="CG1216" s="554"/>
      <c r="CI1216" s="554"/>
      <c r="CJ1216" s="554"/>
      <c r="CK1216" s="554"/>
      <c r="CL1216" s="554"/>
      <c r="CM1216" s="554"/>
      <c r="CN1216" s="554"/>
      <c r="CO1216" s="554"/>
      <c r="CP1216" s="554"/>
      <c r="CQ1216" s="554"/>
      <c r="CR1216" s="554"/>
      <c r="CS1216" s="554"/>
      <c r="CT1216" s="554"/>
      <c r="CU1216" s="554">
        <f t="shared" si="446"/>
        <v>0</v>
      </c>
      <c r="CV1216" s="551">
        <f>CK1216+CL1216+CM1216+CN1216+CO1216+CQ1216+CP1216</f>
        <v>0</v>
      </c>
      <c r="CW1216" s="551">
        <f>CI1216+CJ1216</f>
        <v>0</v>
      </c>
      <c r="CX1216" s="619"/>
      <c r="CY1216" s="619"/>
      <c r="CZ1216" s="619"/>
      <c r="DA1216" s="554"/>
      <c r="DB1216" s="554"/>
      <c r="DC1216" s="554"/>
      <c r="DD1216" s="619"/>
      <c r="DE1216" s="619"/>
      <c r="DF1216" s="619"/>
      <c r="DG1216" s="619"/>
      <c r="DH1216" s="619"/>
    </row>
    <row r="1217" s="548" customFormat="1" ht="31" customHeight="1" spans="1:112">
      <c r="A1217" s="608">
        <v>45978</v>
      </c>
      <c r="B1217" s="609" t="s">
        <v>1492</v>
      </c>
      <c r="C1217" s="713" t="s">
        <v>98</v>
      </c>
      <c r="D1217" s="554">
        <v>4500185960</v>
      </c>
      <c r="E1217" s="613">
        <v>2621218577</v>
      </c>
      <c r="F1217" s="554" t="s">
        <v>3455</v>
      </c>
      <c r="G1217" s="610" t="s">
        <v>8457</v>
      </c>
      <c r="H1217" s="610" t="s">
        <v>830</v>
      </c>
      <c r="I1217" s="610">
        <v>5400</v>
      </c>
      <c r="J1217" s="610">
        <v>0</v>
      </c>
      <c r="K1217" s="610">
        <v>75</v>
      </c>
      <c r="L1217" s="611">
        <f t="shared" si="454"/>
        <v>72</v>
      </c>
      <c r="M1217" s="612">
        <v>46121</v>
      </c>
      <c r="N1217" s="612">
        <v>46118</v>
      </c>
      <c r="O1217" s="613"/>
      <c r="P1217" s="613" t="s">
        <v>113</v>
      </c>
      <c r="Q1217" s="610"/>
      <c r="R1217" s="614" t="s">
        <v>2667</v>
      </c>
      <c r="S1217" s="614" t="s">
        <v>70</v>
      </c>
      <c r="T1217" s="614" t="s">
        <v>70</v>
      </c>
      <c r="U1217" s="614"/>
      <c r="V1217" s="614"/>
      <c r="W1217" s="615"/>
      <c r="X1217" s="609" t="s">
        <v>2826</v>
      </c>
      <c r="Y1217" s="716" t="s">
        <v>911</v>
      </c>
      <c r="Z1217" s="609">
        <v>359.3436</v>
      </c>
      <c r="AA1217" s="616">
        <f>Z1217*L1217</f>
        <v>25872.7392</v>
      </c>
      <c r="AC1217" s="629" t="s">
        <v>3456</v>
      </c>
      <c r="AD1217" s="609" t="s">
        <v>1498</v>
      </c>
      <c r="AE1217" s="610" t="s">
        <v>82</v>
      </c>
      <c r="AF1217" s="610"/>
      <c r="AG1217" s="609"/>
      <c r="AH1217" s="609">
        <v>1</v>
      </c>
      <c r="AI1217" s="610">
        <f>1200+840+3360</f>
        <v>5400</v>
      </c>
      <c r="AJ1217" s="610">
        <f t="shared" si="460"/>
        <v>0</v>
      </c>
      <c r="AK1217" s="610"/>
      <c r="AL1217" s="610"/>
      <c r="AM1217" s="610"/>
      <c r="AN1217" s="610">
        <f>I1217*3</f>
        <v>16200</v>
      </c>
      <c r="AO1217" s="554"/>
      <c r="AP1217" s="554"/>
      <c r="AQ1217" s="554"/>
      <c r="AR1217" s="619"/>
      <c r="AS1217" s="554"/>
      <c r="AT1217" s="554"/>
      <c r="AU1217" s="554"/>
      <c r="AV1217" s="554"/>
      <c r="AW1217" s="619"/>
      <c r="AX1217" s="554"/>
      <c r="AY1217" s="554"/>
      <c r="AZ1217" s="554"/>
      <c r="BA1217" s="554"/>
      <c r="BB1217" s="620">
        <f>I1217/24*3</f>
        <v>675</v>
      </c>
      <c r="BC1217" s="714"/>
      <c r="BD1217" s="554"/>
      <c r="BE1217" s="554"/>
      <c r="BF1217" s="554">
        <f>AN1217</f>
        <v>16200</v>
      </c>
      <c r="BH1217" s="554">
        <f>AN1217</f>
        <v>16200</v>
      </c>
      <c r="BI1217" s="554">
        <f>I1217</f>
        <v>5400</v>
      </c>
      <c r="BJ1217" s="554">
        <f>I1217/5</f>
        <v>1080</v>
      </c>
      <c r="BK1217" s="554"/>
      <c r="BL1217" s="554"/>
      <c r="BM1217" s="554"/>
      <c r="BN1217" s="554"/>
      <c r="BO1217" s="554"/>
      <c r="BP1217" s="554"/>
      <c r="BQ1217" s="554"/>
      <c r="BR1217" s="554"/>
      <c r="BS1217" s="554"/>
      <c r="BT1217" s="554"/>
      <c r="BU1217" s="554"/>
      <c r="BV1217" s="554"/>
      <c r="BW1217" s="554"/>
      <c r="BX1217" s="554"/>
      <c r="BY1217" s="619"/>
      <c r="BZ1217" s="554"/>
      <c r="CA1217" s="621"/>
      <c r="CB1217" s="567"/>
      <c r="CC1217" s="622"/>
      <c r="CD1217" s="619"/>
      <c r="CE1217" s="619"/>
      <c r="CF1217" s="554"/>
      <c r="CG1217" s="554"/>
      <c r="CI1217" s="554"/>
      <c r="CJ1217" s="554"/>
      <c r="CK1217" s="554"/>
      <c r="CL1217" s="554"/>
      <c r="CM1217" s="554"/>
      <c r="CN1217" s="554"/>
      <c r="CO1217" s="554"/>
      <c r="CP1217" s="554"/>
      <c r="CQ1217" s="554"/>
      <c r="CR1217" s="554"/>
      <c r="CS1217" s="554"/>
      <c r="CT1217" s="554"/>
      <c r="CU1217" s="554">
        <f t="shared" si="446"/>
        <v>0</v>
      </c>
      <c r="CV1217" s="554">
        <f>CK1217+CL1217+CM1217+CN1217+CO1217+CQ1217+CP1217</f>
        <v>0</v>
      </c>
      <c r="CW1217" s="554">
        <f>CI1217+CJ1217</f>
        <v>0</v>
      </c>
      <c r="CX1217" s="619"/>
      <c r="CY1217" s="619"/>
      <c r="CZ1217" s="619"/>
      <c r="DA1217" s="548"/>
      <c r="DB1217" s="548"/>
      <c r="DC1217" s="548"/>
      <c r="DD1217" s="619"/>
      <c r="DE1217" s="619"/>
      <c r="DF1217" s="619"/>
      <c r="DG1217" s="619"/>
      <c r="DH1217" s="619"/>
    </row>
    <row r="1218" s="548" customFormat="1" ht="31" customHeight="1" spans="1:112">
      <c r="A1218" s="608">
        <v>46059</v>
      </c>
      <c r="B1218" s="609" t="s">
        <v>2811</v>
      </c>
      <c r="C1218" s="713" t="s">
        <v>98</v>
      </c>
      <c r="D1218" s="554">
        <v>4500193286</v>
      </c>
      <c r="E1218" s="610">
        <v>70084811</v>
      </c>
      <c r="F1218" s="554" t="s">
        <v>8999</v>
      </c>
      <c r="G1218" s="610" t="s">
        <v>6787</v>
      </c>
      <c r="H1218" s="610" t="s">
        <v>6126</v>
      </c>
      <c r="I1218" s="610">
        <v>804</v>
      </c>
      <c r="J1218" s="610">
        <v>0</v>
      </c>
      <c r="K1218" s="610">
        <v>12</v>
      </c>
      <c r="L1218" s="611">
        <f t="shared" si="454"/>
        <v>67</v>
      </c>
      <c r="M1218" s="612">
        <v>46121</v>
      </c>
      <c r="N1218" s="612">
        <v>46118</v>
      </c>
      <c r="O1218" s="613"/>
      <c r="P1218" s="613" t="s">
        <v>113</v>
      </c>
      <c r="Q1218" s="610"/>
      <c r="R1218" s="614">
        <v>46057</v>
      </c>
      <c r="S1218" s="614" t="s">
        <v>70</v>
      </c>
      <c r="T1218" s="614" t="s">
        <v>9000</v>
      </c>
      <c r="U1218" s="614"/>
      <c r="V1218" s="614"/>
      <c r="W1218" s="615"/>
      <c r="X1218" s="609" t="s">
        <v>9001</v>
      </c>
      <c r="Y1218" s="716" t="s">
        <v>2814</v>
      </c>
      <c r="Z1218" s="609">
        <v>1.3094</v>
      </c>
      <c r="AA1218" s="616">
        <f>Z1218*I1218</f>
        <v>1052.7576</v>
      </c>
      <c r="AC1218" s="629" t="s">
        <v>9002</v>
      </c>
      <c r="AD1218" s="610" t="s">
        <v>8545</v>
      </c>
      <c r="AE1218" s="610" t="s">
        <v>82</v>
      </c>
      <c r="AF1218" s="610"/>
      <c r="AG1218" s="609"/>
      <c r="AH1218" s="609">
        <v>1</v>
      </c>
      <c r="AI1218" s="610">
        <f>792+12</f>
        <v>804</v>
      </c>
      <c r="AJ1218" s="610">
        <f t="shared" si="460"/>
        <v>0</v>
      </c>
      <c r="AK1218" s="610"/>
      <c r="AL1218" s="610" t="s">
        <v>2368</v>
      </c>
      <c r="AM1218" s="610"/>
      <c r="AN1218" s="610">
        <f>I1218*2</f>
        <v>1608</v>
      </c>
      <c r="AO1218" s="554"/>
      <c r="AP1218" s="554">
        <f>I1218*2</f>
        <v>1608</v>
      </c>
      <c r="AQ1218" s="554"/>
      <c r="AR1218" s="619"/>
      <c r="AS1218" s="554"/>
      <c r="AT1218" s="554"/>
      <c r="AU1218" s="554">
        <f>I1218*2</f>
        <v>1608</v>
      </c>
      <c r="AV1218" s="554"/>
      <c r="AW1218" s="619"/>
      <c r="AX1218" s="554"/>
      <c r="AY1218" s="554"/>
      <c r="AZ1218" s="554"/>
      <c r="BA1218" s="554"/>
      <c r="BB1218" s="249">
        <f>I1218/24*2</f>
        <v>67</v>
      </c>
      <c r="BC1218" s="714"/>
      <c r="BD1218" s="554"/>
      <c r="BE1218" s="554"/>
      <c r="BF1218" s="554"/>
      <c r="BH1218" s="554"/>
      <c r="BI1218" s="554"/>
      <c r="BJ1218" s="554"/>
      <c r="BK1218" s="554"/>
      <c r="BL1218" s="554"/>
      <c r="BM1218" s="554"/>
      <c r="BN1218" s="554"/>
      <c r="BO1218" s="554"/>
      <c r="BP1218" s="554"/>
      <c r="BQ1218" s="554"/>
      <c r="BR1218" s="554"/>
      <c r="BS1218" s="554"/>
      <c r="BT1218" s="554"/>
      <c r="BU1218" s="554"/>
      <c r="BV1218" s="554"/>
      <c r="BW1218" s="554"/>
      <c r="BX1218" s="554"/>
      <c r="BY1218" s="619"/>
      <c r="BZ1218" s="554"/>
      <c r="CA1218" s="621"/>
      <c r="CB1218" s="567"/>
      <c r="CC1218" s="622"/>
      <c r="CD1218" s="619"/>
      <c r="CE1218" s="619"/>
      <c r="CF1218" s="554"/>
      <c r="CG1218" s="554"/>
      <c r="CI1218" s="554"/>
      <c r="CJ1218" s="554"/>
      <c r="CK1218" s="554"/>
      <c r="CL1218" s="554"/>
      <c r="CM1218" s="554"/>
      <c r="CN1218" s="554"/>
      <c r="CO1218" s="554"/>
      <c r="CP1218" s="554"/>
      <c r="CQ1218" s="554"/>
      <c r="CR1218" s="554">
        <f>I1218</f>
        <v>804</v>
      </c>
      <c r="CS1218" s="554">
        <f>I1218</f>
        <v>804</v>
      </c>
      <c r="CT1218" s="554">
        <f>I1218</f>
        <v>804</v>
      </c>
      <c r="CU1218" s="554">
        <f t="shared" ref="CU1218:CU1275" si="461">BQ1218+BP1218+BO1218+BN1218+BX1218+BR1218</f>
        <v>0</v>
      </c>
      <c r="CV1218" s="554">
        <v>0</v>
      </c>
      <c r="CW1218" s="554">
        <v>0</v>
      </c>
      <c r="CX1218" s="619"/>
      <c r="CY1218" s="619"/>
      <c r="CZ1218" s="619"/>
      <c r="DA1218" s="548"/>
      <c r="DB1218" s="548"/>
      <c r="DC1218" s="548"/>
      <c r="DD1218" s="619"/>
      <c r="DE1218" s="619"/>
      <c r="DF1218" s="619"/>
      <c r="DG1218" s="619"/>
      <c r="DH1218" s="619"/>
    </row>
    <row r="1219" s="548" customFormat="1" ht="31" customHeight="1" spans="1:112">
      <c r="A1219" s="608">
        <v>46083</v>
      </c>
      <c r="B1219" s="609" t="s">
        <v>3577</v>
      </c>
      <c r="C1219" s="713" t="s">
        <v>170</v>
      </c>
      <c r="D1219" s="554">
        <v>4500194850</v>
      </c>
      <c r="E1219" s="613">
        <v>983834871</v>
      </c>
      <c r="F1219" s="554" t="s">
        <v>9003</v>
      </c>
      <c r="G1219" s="610" t="s">
        <v>6063</v>
      </c>
      <c r="H1219" s="610" t="s">
        <v>6064</v>
      </c>
      <c r="I1219" s="715">
        <v>3200</v>
      </c>
      <c r="J1219" s="610">
        <v>0</v>
      </c>
      <c r="K1219" s="610">
        <v>16</v>
      </c>
      <c r="L1219" s="611">
        <f t="shared" si="454"/>
        <v>200</v>
      </c>
      <c r="M1219" s="612">
        <v>46121</v>
      </c>
      <c r="N1219" s="612">
        <v>46118</v>
      </c>
      <c r="O1219" s="613" t="s">
        <v>3368</v>
      </c>
      <c r="P1219" s="613" t="s">
        <v>113</v>
      </c>
      <c r="Q1219" s="610"/>
      <c r="R1219" s="614" t="s">
        <v>9004</v>
      </c>
      <c r="S1219" s="614" t="s">
        <v>70</v>
      </c>
      <c r="T1219" s="614" t="s">
        <v>70</v>
      </c>
      <c r="U1219" s="614"/>
      <c r="V1219" s="614"/>
      <c r="W1219" s="615"/>
      <c r="X1219" s="609" t="s">
        <v>9005</v>
      </c>
      <c r="Y1219" s="716" t="s">
        <v>2071</v>
      </c>
      <c r="Z1219" s="609">
        <v>0.9946</v>
      </c>
      <c r="AA1219" s="616">
        <f>Z1219*I1219</f>
        <v>3182.72</v>
      </c>
      <c r="AC1219" s="617"/>
      <c r="AD1219" s="610" t="s">
        <v>8348</v>
      </c>
      <c r="AE1219" s="610" t="s">
        <v>82</v>
      </c>
      <c r="AF1219" s="610"/>
      <c r="AG1219" s="609"/>
      <c r="AH1219" s="609">
        <v>1</v>
      </c>
      <c r="AI1219" s="610">
        <v>3200</v>
      </c>
      <c r="AJ1219" s="610">
        <f t="shared" si="460"/>
        <v>0</v>
      </c>
      <c r="AK1219" s="610"/>
      <c r="AL1219" s="610"/>
      <c r="AM1219" s="610"/>
      <c r="AN1219" s="610">
        <f>I1219</f>
        <v>3200</v>
      </c>
      <c r="AO1219" s="554"/>
      <c r="AP1219" s="554"/>
      <c r="AQ1219" s="554"/>
      <c r="AR1219" s="619"/>
      <c r="AS1219" s="554">
        <f>I1219</f>
        <v>3200</v>
      </c>
      <c r="AT1219" s="554"/>
      <c r="AU1219" s="554">
        <f>I1219</f>
        <v>3200</v>
      </c>
      <c r="AV1219" s="554"/>
      <c r="AW1219" s="619"/>
      <c r="AX1219" s="554"/>
      <c r="AY1219" s="554"/>
      <c r="AZ1219" s="554"/>
      <c r="BA1219" s="554"/>
      <c r="BB1219" s="620">
        <f>I1219/24</f>
        <v>133.333333333333</v>
      </c>
      <c r="BC1219" s="714"/>
      <c r="BD1219" s="554"/>
      <c r="BE1219" s="554"/>
      <c r="BF1219" s="554"/>
      <c r="BH1219" s="554"/>
      <c r="BI1219" s="554"/>
      <c r="BJ1219" s="554"/>
      <c r="BK1219" s="554"/>
      <c r="BL1219" s="554"/>
      <c r="BM1219" s="554"/>
      <c r="BN1219" s="554"/>
      <c r="BO1219" s="554"/>
      <c r="BP1219" s="554"/>
      <c r="BQ1219" s="554"/>
      <c r="BR1219" s="554">
        <f>L1219</f>
        <v>200</v>
      </c>
      <c r="BS1219" s="554"/>
      <c r="BT1219" s="554"/>
      <c r="BU1219" s="554"/>
      <c r="BV1219" s="554"/>
      <c r="BW1219" s="554"/>
      <c r="BX1219" s="554"/>
      <c r="BY1219" s="619"/>
      <c r="BZ1219" s="554"/>
      <c r="CA1219" s="621"/>
      <c r="CB1219" s="567"/>
      <c r="CC1219" s="622"/>
      <c r="CD1219" s="619"/>
      <c r="CE1219" s="619"/>
      <c r="CF1219" s="554"/>
      <c r="CG1219" s="554"/>
      <c r="CI1219" s="554"/>
      <c r="CJ1219" s="554"/>
      <c r="CK1219" s="554"/>
      <c r="CL1219" s="554"/>
      <c r="CM1219" s="554"/>
      <c r="CN1219" s="554"/>
      <c r="CO1219" s="554"/>
      <c r="CP1219" s="554"/>
      <c r="CQ1219" s="554"/>
      <c r="CR1219" s="554"/>
      <c r="CS1219" s="554"/>
      <c r="CT1219" s="554"/>
      <c r="CU1219" s="554">
        <f t="shared" si="461"/>
        <v>200</v>
      </c>
      <c r="CV1219" s="554">
        <f t="shared" ref="CV1219:CV1226" si="462">CK1219+CL1219+CM1219+CN1219+CO1219+CQ1219+CP1219</f>
        <v>0</v>
      </c>
      <c r="CW1219" s="554">
        <f t="shared" ref="CW1219:CW1226" si="463">CI1219+CJ1219</f>
        <v>0</v>
      </c>
      <c r="CX1219" s="619"/>
      <c r="CY1219" s="619"/>
      <c r="CZ1219" s="619"/>
      <c r="DA1219" s="548"/>
      <c r="DB1219" s="548"/>
      <c r="DC1219" s="548"/>
      <c r="DD1219" s="619"/>
      <c r="DE1219" s="619"/>
      <c r="DF1219" s="619"/>
      <c r="DG1219" s="619"/>
      <c r="DH1219" s="619"/>
    </row>
    <row r="1220" s="548" customFormat="1" ht="31" customHeight="1" spans="1:112">
      <c r="A1220" s="608">
        <v>45978</v>
      </c>
      <c r="B1220" s="609" t="s">
        <v>1492</v>
      </c>
      <c r="C1220" s="713" t="s">
        <v>98</v>
      </c>
      <c r="D1220" s="554">
        <v>4500185961</v>
      </c>
      <c r="E1220" s="613">
        <v>1751218318</v>
      </c>
      <c r="F1220" s="554" t="s">
        <v>3461</v>
      </c>
      <c r="G1220" s="610" t="s">
        <v>8457</v>
      </c>
      <c r="H1220" s="610" t="s">
        <v>830</v>
      </c>
      <c r="I1220" s="610">
        <v>5400</v>
      </c>
      <c r="J1220" s="610">
        <v>0</v>
      </c>
      <c r="K1220" s="610">
        <v>75</v>
      </c>
      <c r="L1220" s="611">
        <f t="shared" si="454"/>
        <v>72</v>
      </c>
      <c r="M1220" s="612">
        <v>46122</v>
      </c>
      <c r="N1220" s="612">
        <v>46118</v>
      </c>
      <c r="O1220" s="613"/>
      <c r="P1220" s="613" t="s">
        <v>113</v>
      </c>
      <c r="Q1220" s="610"/>
      <c r="R1220" s="614" t="s">
        <v>2667</v>
      </c>
      <c r="S1220" s="614" t="s">
        <v>70</v>
      </c>
      <c r="T1220" s="614" t="s">
        <v>70</v>
      </c>
      <c r="U1220" s="614"/>
      <c r="V1220" s="614"/>
      <c r="W1220" s="615"/>
      <c r="X1220" s="609" t="s">
        <v>2826</v>
      </c>
      <c r="Y1220" s="716" t="s">
        <v>911</v>
      </c>
      <c r="Z1220" s="609">
        <v>359.3436</v>
      </c>
      <c r="AA1220" s="616">
        <f>Z1220*L1220</f>
        <v>25872.7392</v>
      </c>
      <c r="AC1220" s="629" t="s">
        <v>3462</v>
      </c>
      <c r="AD1220" s="609" t="s">
        <v>1498</v>
      </c>
      <c r="AE1220" s="610" t="s">
        <v>82</v>
      </c>
      <c r="AF1220" s="610"/>
      <c r="AG1220" s="609"/>
      <c r="AH1220" s="609">
        <v>1</v>
      </c>
      <c r="AI1220" s="610">
        <f>1680+2240+1480</f>
        <v>5400</v>
      </c>
      <c r="AJ1220" s="610">
        <f t="shared" si="460"/>
        <v>0</v>
      </c>
      <c r="AK1220" s="610"/>
      <c r="AL1220" s="610"/>
      <c r="AM1220" s="610"/>
      <c r="AN1220" s="610">
        <f>I1220*3</f>
        <v>16200</v>
      </c>
      <c r="AO1220" s="554"/>
      <c r="AP1220" s="554"/>
      <c r="AQ1220" s="554"/>
      <c r="AR1220" s="619"/>
      <c r="AS1220" s="554"/>
      <c r="AT1220" s="554"/>
      <c r="AU1220" s="554"/>
      <c r="AV1220" s="554"/>
      <c r="AW1220" s="619"/>
      <c r="AX1220" s="554"/>
      <c r="AY1220" s="554"/>
      <c r="AZ1220" s="554"/>
      <c r="BA1220" s="554"/>
      <c r="BB1220" s="620">
        <f>I1220/24*3</f>
        <v>675</v>
      </c>
      <c r="BC1220" s="714"/>
      <c r="BD1220" s="554"/>
      <c r="BE1220" s="554"/>
      <c r="BF1220" s="554">
        <f>AN1220</f>
        <v>16200</v>
      </c>
      <c r="BH1220" s="554">
        <f>AN1220</f>
        <v>16200</v>
      </c>
      <c r="BI1220" s="554">
        <f>I1220</f>
        <v>5400</v>
      </c>
      <c r="BJ1220" s="554">
        <f>I1220/5</f>
        <v>1080</v>
      </c>
      <c r="BK1220" s="554"/>
      <c r="BL1220" s="554"/>
      <c r="BM1220" s="554"/>
      <c r="BN1220" s="554"/>
      <c r="BO1220" s="554"/>
      <c r="BP1220" s="554"/>
      <c r="BQ1220" s="554"/>
      <c r="BR1220" s="554"/>
      <c r="BS1220" s="554"/>
      <c r="BT1220" s="554"/>
      <c r="BU1220" s="554"/>
      <c r="BV1220" s="554"/>
      <c r="BW1220" s="554"/>
      <c r="BX1220" s="554"/>
      <c r="BY1220" s="619"/>
      <c r="BZ1220" s="554"/>
      <c r="CA1220" s="621"/>
      <c r="CB1220" s="567"/>
      <c r="CC1220" s="622"/>
      <c r="CD1220" s="619"/>
      <c r="CE1220" s="619"/>
      <c r="CF1220" s="554"/>
      <c r="CG1220" s="554"/>
      <c r="CI1220" s="554"/>
      <c r="CJ1220" s="554"/>
      <c r="CK1220" s="554"/>
      <c r="CL1220" s="554"/>
      <c r="CM1220" s="554"/>
      <c r="CN1220" s="554"/>
      <c r="CO1220" s="554"/>
      <c r="CP1220" s="554"/>
      <c r="CQ1220" s="554"/>
      <c r="CR1220" s="554"/>
      <c r="CS1220" s="554"/>
      <c r="CT1220" s="554"/>
      <c r="CU1220" s="554">
        <f t="shared" si="461"/>
        <v>0</v>
      </c>
      <c r="CV1220" s="554">
        <f t="shared" si="462"/>
        <v>0</v>
      </c>
      <c r="CW1220" s="554">
        <f t="shared" si="463"/>
        <v>0</v>
      </c>
      <c r="CX1220" s="619"/>
      <c r="CY1220" s="619"/>
      <c r="CZ1220" s="619"/>
      <c r="DA1220" s="548"/>
      <c r="DB1220" s="548"/>
      <c r="DC1220" s="548"/>
      <c r="DD1220" s="619"/>
      <c r="DE1220" s="619"/>
      <c r="DF1220" s="619"/>
      <c r="DG1220" s="619"/>
      <c r="DH1220" s="619"/>
    </row>
    <row r="1221" s="548" customFormat="1" ht="31" customHeight="1" spans="1:112">
      <c r="A1221" s="608">
        <v>46038</v>
      </c>
      <c r="B1221" s="609" t="s">
        <v>2828</v>
      </c>
      <c r="C1221" s="610" t="s">
        <v>98</v>
      </c>
      <c r="D1221" s="554">
        <v>4500191650</v>
      </c>
      <c r="E1221" s="610">
        <v>384464406</v>
      </c>
      <c r="F1221" s="554" t="s">
        <v>9006</v>
      </c>
      <c r="G1221" s="610" t="s">
        <v>8340</v>
      </c>
      <c r="H1221" s="610" t="s">
        <v>8341</v>
      </c>
      <c r="I1221" s="610">
        <v>1200</v>
      </c>
      <c r="J1221" s="610">
        <v>0</v>
      </c>
      <c r="K1221" s="610">
        <v>6</v>
      </c>
      <c r="L1221" s="611">
        <f t="shared" si="454"/>
        <v>200</v>
      </c>
      <c r="M1221" s="612">
        <v>46122</v>
      </c>
      <c r="N1221" s="612">
        <v>46118</v>
      </c>
      <c r="O1221" s="613"/>
      <c r="P1221" s="613" t="s">
        <v>113</v>
      </c>
      <c r="Q1221" s="610"/>
      <c r="R1221" s="614" t="s">
        <v>3371</v>
      </c>
      <c r="S1221" s="614" t="s">
        <v>104</v>
      </c>
      <c r="T1221" s="614" t="s">
        <v>9007</v>
      </c>
      <c r="U1221" s="614"/>
      <c r="V1221" s="614"/>
      <c r="W1221" s="615"/>
      <c r="X1221" s="609" t="s">
        <v>3373</v>
      </c>
      <c r="Y1221" s="609" t="s">
        <v>1278</v>
      </c>
      <c r="Z1221" s="609">
        <v>1.305</v>
      </c>
      <c r="AA1221" s="616">
        <f>Z1221*I1221</f>
        <v>1566</v>
      </c>
      <c r="AC1221" s="629" t="s">
        <v>3374</v>
      </c>
      <c r="AD1221" s="610" t="s">
        <v>8340</v>
      </c>
      <c r="AE1221" s="610" t="s">
        <v>82</v>
      </c>
      <c r="AF1221" s="610"/>
      <c r="AG1221" s="609"/>
      <c r="AH1221" s="609">
        <v>1</v>
      </c>
      <c r="AI1221" s="610">
        <v>1200</v>
      </c>
      <c r="AJ1221" s="610">
        <f t="shared" ref="AJ1221:AJ1232" si="464">AI1221-I1221</f>
        <v>0</v>
      </c>
      <c r="AK1221" s="610"/>
      <c r="AL1221" s="610" t="s">
        <v>2368</v>
      </c>
      <c r="AM1221" s="610"/>
      <c r="AN1221" s="610">
        <f>I1221*2</f>
        <v>2400</v>
      </c>
      <c r="AO1221" s="554"/>
      <c r="AP1221" s="554">
        <f>I1221*2</f>
        <v>2400</v>
      </c>
      <c r="AQ1221" s="554"/>
      <c r="AR1221" s="619"/>
      <c r="AS1221" s="554"/>
      <c r="AT1221" s="554"/>
      <c r="AU1221" s="554">
        <f>I1221*2</f>
        <v>2400</v>
      </c>
      <c r="AV1221" s="554"/>
      <c r="AW1221" s="619"/>
      <c r="AX1221" s="554"/>
      <c r="AY1221" s="554"/>
      <c r="AZ1221" s="554"/>
      <c r="BA1221" s="554"/>
      <c r="BB1221" s="249">
        <f>I1221/24*2</f>
        <v>100</v>
      </c>
      <c r="BC1221" s="714"/>
      <c r="BD1221" s="554"/>
      <c r="BE1221" s="554"/>
      <c r="BF1221" s="554"/>
      <c r="BH1221" s="554"/>
      <c r="BI1221" s="554"/>
      <c r="BJ1221" s="554"/>
      <c r="BK1221" s="554"/>
      <c r="BL1221" s="554"/>
      <c r="BM1221" s="554"/>
      <c r="BN1221" s="554"/>
      <c r="BO1221" s="554"/>
      <c r="BP1221" s="554"/>
      <c r="BQ1221" s="554"/>
      <c r="BR1221" s="554"/>
      <c r="BS1221" s="554"/>
      <c r="BT1221" s="554"/>
      <c r="BU1221" s="554"/>
      <c r="BV1221" s="554"/>
      <c r="BW1221" s="554"/>
      <c r="BX1221" s="554"/>
      <c r="BY1221" s="619"/>
      <c r="BZ1221" s="554"/>
      <c r="CA1221" s="621"/>
      <c r="CB1221" s="567"/>
      <c r="CC1221" s="622"/>
      <c r="CD1221" s="619"/>
      <c r="CE1221" s="619"/>
      <c r="CF1221" s="554"/>
      <c r="CG1221" s="554"/>
      <c r="CI1221" s="554"/>
      <c r="CJ1221" s="554"/>
      <c r="CK1221" s="554"/>
      <c r="CL1221" s="554"/>
      <c r="CM1221" s="554"/>
      <c r="CN1221" s="554"/>
      <c r="CO1221" s="554"/>
      <c r="CP1221" s="554"/>
      <c r="CQ1221" s="554"/>
      <c r="CR1221" s="554">
        <f>I1221</f>
        <v>1200</v>
      </c>
      <c r="CS1221" s="554">
        <f>I1221</f>
        <v>1200</v>
      </c>
      <c r="CT1221" s="554">
        <f>I1221</f>
        <v>1200</v>
      </c>
      <c r="CU1221" s="554">
        <f t="shared" si="461"/>
        <v>0</v>
      </c>
      <c r="CV1221" s="554">
        <f t="shared" si="462"/>
        <v>0</v>
      </c>
      <c r="CW1221" s="554">
        <f t="shared" si="463"/>
        <v>0</v>
      </c>
      <c r="CX1221" s="717"/>
      <c r="CY1221" s="717"/>
      <c r="CZ1221" s="717"/>
      <c r="DA1221" s="548"/>
      <c r="DB1221" s="548"/>
      <c r="DC1221" s="548"/>
      <c r="DD1221" s="717"/>
      <c r="DE1221" s="717"/>
      <c r="DF1221" s="717"/>
      <c r="DG1221" s="717"/>
      <c r="DH1221" s="717"/>
    </row>
    <row r="1222" s="548" customFormat="1" ht="31" customHeight="1" spans="1:112">
      <c r="A1222" s="608">
        <v>46038</v>
      </c>
      <c r="B1222" s="609" t="s">
        <v>2828</v>
      </c>
      <c r="C1222" s="610" t="s">
        <v>98</v>
      </c>
      <c r="D1222" s="554">
        <v>4500191650</v>
      </c>
      <c r="E1222" s="610">
        <v>384464510</v>
      </c>
      <c r="F1222" s="554" t="s">
        <v>9008</v>
      </c>
      <c r="G1222" s="610" t="s">
        <v>8340</v>
      </c>
      <c r="H1222" s="610" t="s">
        <v>8341</v>
      </c>
      <c r="I1222" s="610">
        <v>1200</v>
      </c>
      <c r="J1222" s="610">
        <v>0</v>
      </c>
      <c r="K1222" s="610">
        <v>6</v>
      </c>
      <c r="L1222" s="611">
        <f t="shared" si="454"/>
        <v>200</v>
      </c>
      <c r="M1222" s="612">
        <v>46122</v>
      </c>
      <c r="N1222" s="612">
        <v>46118</v>
      </c>
      <c r="O1222" s="613"/>
      <c r="P1222" s="613" t="s">
        <v>113</v>
      </c>
      <c r="Q1222" s="610"/>
      <c r="R1222" s="614" t="s">
        <v>3371</v>
      </c>
      <c r="S1222" s="614" t="s">
        <v>104</v>
      </c>
      <c r="T1222" s="614" t="s">
        <v>9007</v>
      </c>
      <c r="U1222" s="614"/>
      <c r="V1222" s="614"/>
      <c r="W1222" s="615"/>
      <c r="X1222" s="609" t="s">
        <v>3373</v>
      </c>
      <c r="Y1222" s="609" t="s">
        <v>1278</v>
      </c>
      <c r="Z1222" s="609">
        <v>1.305</v>
      </c>
      <c r="AA1222" s="616">
        <f>Z1222*I1222</f>
        <v>1566</v>
      </c>
      <c r="AC1222" s="629" t="s">
        <v>3374</v>
      </c>
      <c r="AD1222" s="610" t="s">
        <v>8340</v>
      </c>
      <c r="AE1222" s="610" t="s">
        <v>82</v>
      </c>
      <c r="AF1222" s="610"/>
      <c r="AG1222" s="609"/>
      <c r="AH1222" s="609">
        <v>1</v>
      </c>
      <c r="AI1222" s="610">
        <v>1200</v>
      </c>
      <c r="AJ1222" s="610">
        <f t="shared" si="464"/>
        <v>0</v>
      </c>
      <c r="AK1222" s="610"/>
      <c r="AL1222" s="610" t="s">
        <v>2368</v>
      </c>
      <c r="AM1222" s="610"/>
      <c r="AN1222" s="610">
        <f>I1222*2</f>
        <v>2400</v>
      </c>
      <c r="AO1222" s="554"/>
      <c r="AP1222" s="554">
        <f>I1222*2</f>
        <v>2400</v>
      </c>
      <c r="AQ1222" s="554"/>
      <c r="AR1222" s="619"/>
      <c r="AS1222" s="554"/>
      <c r="AT1222" s="554"/>
      <c r="AU1222" s="554">
        <f>I1222*2</f>
        <v>2400</v>
      </c>
      <c r="AV1222" s="554"/>
      <c r="AW1222" s="619"/>
      <c r="AX1222" s="554"/>
      <c r="AY1222" s="554"/>
      <c r="AZ1222" s="554"/>
      <c r="BA1222" s="554"/>
      <c r="BB1222" s="249">
        <f>I1222/24*2</f>
        <v>100</v>
      </c>
      <c r="BC1222" s="714"/>
      <c r="BD1222" s="554"/>
      <c r="BE1222" s="554"/>
      <c r="BF1222" s="554"/>
      <c r="BH1222" s="554"/>
      <c r="BI1222" s="554"/>
      <c r="BJ1222" s="554"/>
      <c r="BK1222" s="554"/>
      <c r="BL1222" s="554"/>
      <c r="BM1222" s="554"/>
      <c r="BN1222" s="554"/>
      <c r="BO1222" s="554"/>
      <c r="BP1222" s="554"/>
      <c r="BQ1222" s="554"/>
      <c r="BR1222" s="554"/>
      <c r="BS1222" s="554"/>
      <c r="BT1222" s="554"/>
      <c r="BU1222" s="554"/>
      <c r="BV1222" s="554"/>
      <c r="BW1222" s="554"/>
      <c r="BX1222" s="554"/>
      <c r="BY1222" s="619"/>
      <c r="BZ1222" s="554"/>
      <c r="CA1222" s="621"/>
      <c r="CB1222" s="567"/>
      <c r="CC1222" s="622"/>
      <c r="CD1222" s="619"/>
      <c r="CE1222" s="619"/>
      <c r="CF1222" s="554"/>
      <c r="CG1222" s="554"/>
      <c r="CI1222" s="554"/>
      <c r="CJ1222" s="554"/>
      <c r="CK1222" s="554"/>
      <c r="CL1222" s="554"/>
      <c r="CM1222" s="554"/>
      <c r="CN1222" s="554"/>
      <c r="CO1222" s="554"/>
      <c r="CP1222" s="554"/>
      <c r="CQ1222" s="554"/>
      <c r="CR1222" s="554">
        <f>I1222</f>
        <v>1200</v>
      </c>
      <c r="CS1222" s="554">
        <f>I1222</f>
        <v>1200</v>
      </c>
      <c r="CT1222" s="554">
        <f>I1222</f>
        <v>1200</v>
      </c>
      <c r="CU1222" s="554">
        <f t="shared" si="461"/>
        <v>0</v>
      </c>
      <c r="CV1222" s="554">
        <f t="shared" si="462"/>
        <v>0</v>
      </c>
      <c r="CW1222" s="554">
        <f t="shared" si="463"/>
        <v>0</v>
      </c>
      <c r="CX1222" s="717"/>
      <c r="CY1222" s="717"/>
      <c r="CZ1222" s="717"/>
      <c r="DA1222" s="548"/>
      <c r="DB1222" s="548"/>
      <c r="DC1222" s="548"/>
      <c r="DD1222" s="717"/>
      <c r="DE1222" s="717"/>
      <c r="DF1222" s="717"/>
      <c r="DG1222" s="717"/>
      <c r="DH1222" s="717"/>
    </row>
    <row r="1223" s="548" customFormat="1" ht="31" customHeight="1" spans="1:112">
      <c r="A1223" s="608">
        <v>46061</v>
      </c>
      <c r="B1223" s="609" t="s">
        <v>219</v>
      </c>
      <c r="C1223" s="610" t="s">
        <v>220</v>
      </c>
      <c r="D1223" s="554">
        <v>4500193405</v>
      </c>
      <c r="E1223" s="610" t="s">
        <v>3397</v>
      </c>
      <c r="F1223" s="554" t="s">
        <v>9009</v>
      </c>
      <c r="G1223" s="610" t="s">
        <v>6040</v>
      </c>
      <c r="H1223" s="610" t="s">
        <v>6041</v>
      </c>
      <c r="I1223" s="715">
        <v>780</v>
      </c>
      <c r="J1223" s="610">
        <v>0</v>
      </c>
      <c r="K1223" s="610">
        <v>52</v>
      </c>
      <c r="L1223" s="611">
        <f t="shared" si="454"/>
        <v>15</v>
      </c>
      <c r="M1223" s="612">
        <v>46122</v>
      </c>
      <c r="N1223" s="612">
        <v>46118</v>
      </c>
      <c r="O1223" s="613"/>
      <c r="P1223" s="613" t="s">
        <v>113</v>
      </c>
      <c r="Q1223" s="610"/>
      <c r="R1223" s="614">
        <v>46106</v>
      </c>
      <c r="S1223" s="614" t="s">
        <v>70</v>
      </c>
      <c r="T1223" s="614" t="s">
        <v>9010</v>
      </c>
      <c r="U1223" s="614"/>
      <c r="V1223" s="614"/>
      <c r="W1223" s="615"/>
      <c r="X1223" s="609" t="s">
        <v>9011</v>
      </c>
      <c r="Y1223" s="609" t="s">
        <v>1793</v>
      </c>
      <c r="Z1223" s="718">
        <v>0.9003</v>
      </c>
      <c r="AA1223" s="616">
        <f>Z1223*I1223</f>
        <v>702.234</v>
      </c>
      <c r="AC1223" s="617"/>
      <c r="AD1223" s="610" t="s">
        <v>6040</v>
      </c>
      <c r="AE1223" s="610" t="s">
        <v>82</v>
      </c>
      <c r="AF1223" s="610"/>
      <c r="AG1223" s="609"/>
      <c r="AH1223" s="609">
        <v>1</v>
      </c>
      <c r="AI1223" s="610">
        <f>728+52</f>
        <v>780</v>
      </c>
      <c r="AJ1223" s="610">
        <f t="shared" si="464"/>
        <v>0</v>
      </c>
      <c r="AK1223" s="610"/>
      <c r="AL1223" s="610" t="s">
        <v>2368</v>
      </c>
      <c r="AM1223" s="610"/>
      <c r="AN1223" s="610"/>
      <c r="AO1223" s="554">
        <f>I1223</f>
        <v>780</v>
      </c>
      <c r="AP1223" s="554"/>
      <c r="AQ1223" s="554"/>
      <c r="AR1223" s="619"/>
      <c r="AS1223" s="554"/>
      <c r="AT1223" s="554">
        <f>I1223</f>
        <v>780</v>
      </c>
      <c r="AU1223" s="554"/>
      <c r="AV1223" s="554">
        <f>I1223</f>
        <v>780</v>
      </c>
      <c r="AW1223" s="619"/>
      <c r="AX1223" s="554"/>
      <c r="AY1223" s="554"/>
      <c r="AZ1223" s="554"/>
      <c r="BA1223" s="554"/>
      <c r="BB1223" s="620">
        <f>I1223/24</f>
        <v>32.5</v>
      </c>
      <c r="BC1223" s="714"/>
      <c r="BD1223" s="554"/>
      <c r="BE1223" s="554"/>
      <c r="BF1223" s="554"/>
      <c r="BH1223" s="554"/>
      <c r="BI1223" s="554"/>
      <c r="BJ1223" s="554"/>
      <c r="BK1223" s="554"/>
      <c r="BL1223" s="554"/>
      <c r="BM1223" s="554">
        <f>I1223/13</f>
        <v>60</v>
      </c>
      <c r="BN1223" s="554"/>
      <c r="BO1223" s="554"/>
      <c r="BP1223" s="554"/>
      <c r="BQ1223" s="554"/>
      <c r="BR1223" s="554"/>
      <c r="BS1223" s="554"/>
      <c r="BT1223" s="554"/>
      <c r="BU1223" s="554"/>
      <c r="BV1223" s="554"/>
      <c r="BW1223" s="554"/>
      <c r="BX1223" s="554"/>
      <c r="BY1223" s="619"/>
      <c r="BZ1223" s="554"/>
      <c r="CA1223" s="621"/>
      <c r="CB1223" s="567"/>
      <c r="CC1223" s="622"/>
      <c r="CD1223" s="619"/>
      <c r="CE1223" s="619"/>
      <c r="CF1223" s="554"/>
      <c r="CG1223" s="554"/>
      <c r="CI1223" s="554"/>
      <c r="CJ1223" s="554"/>
      <c r="CK1223" s="554"/>
      <c r="CL1223" s="554"/>
      <c r="CM1223" s="554"/>
      <c r="CN1223" s="554"/>
      <c r="CO1223" s="554"/>
      <c r="CP1223" s="554"/>
      <c r="CQ1223" s="554"/>
      <c r="CR1223" s="554"/>
      <c r="CS1223" s="554"/>
      <c r="CT1223" s="554"/>
      <c r="CU1223" s="554">
        <f t="shared" si="461"/>
        <v>0</v>
      </c>
      <c r="CV1223" s="554">
        <f t="shared" si="462"/>
        <v>0</v>
      </c>
      <c r="CW1223" s="554">
        <f t="shared" si="463"/>
        <v>0</v>
      </c>
      <c r="CX1223" s="619"/>
      <c r="CY1223" s="619"/>
      <c r="CZ1223" s="619"/>
      <c r="DA1223" s="548"/>
      <c r="DB1223" s="548"/>
      <c r="DC1223" s="548"/>
      <c r="DD1223" s="619"/>
      <c r="DE1223" s="619"/>
      <c r="DF1223" s="619"/>
      <c r="DG1223" s="619"/>
      <c r="DH1223" s="619"/>
    </row>
    <row r="1224" s="548" customFormat="1" ht="31" customHeight="1" spans="1:112">
      <c r="A1224" s="608">
        <v>46078</v>
      </c>
      <c r="B1224" s="609" t="s">
        <v>3376</v>
      </c>
      <c r="C1224" s="610" t="s">
        <v>782</v>
      </c>
      <c r="D1224" s="554">
        <v>4500194168</v>
      </c>
      <c r="E1224" s="610"/>
      <c r="F1224" s="554" t="s">
        <v>9012</v>
      </c>
      <c r="G1224" s="610" t="s">
        <v>6276</v>
      </c>
      <c r="H1224" s="610" t="s">
        <v>6277</v>
      </c>
      <c r="I1224" s="610">
        <v>500</v>
      </c>
      <c r="J1224" s="610">
        <v>0</v>
      </c>
      <c r="K1224" s="610">
        <v>50</v>
      </c>
      <c r="L1224" s="611">
        <f t="shared" si="454"/>
        <v>10</v>
      </c>
      <c r="M1224" s="612">
        <v>46122</v>
      </c>
      <c r="N1224" s="612">
        <v>46118</v>
      </c>
      <c r="O1224" s="613"/>
      <c r="P1224" s="613" t="s">
        <v>113</v>
      </c>
      <c r="Q1224" s="610"/>
      <c r="R1224" s="614" t="s">
        <v>9013</v>
      </c>
      <c r="S1224" s="614" t="s">
        <v>70</v>
      </c>
      <c r="T1224" s="614" t="s">
        <v>9014</v>
      </c>
      <c r="U1224" s="614"/>
      <c r="V1224" s="614" t="s">
        <v>9015</v>
      </c>
      <c r="W1224" s="615"/>
      <c r="X1224" s="609" t="s">
        <v>9016</v>
      </c>
      <c r="Y1224" s="609" t="s">
        <v>529</v>
      </c>
      <c r="Z1224" s="718">
        <v>0.9572</v>
      </c>
      <c r="AA1224" s="616">
        <f>Z1224*I1224</f>
        <v>478.6</v>
      </c>
      <c r="AC1224" s="617"/>
      <c r="AD1224" s="610" t="s">
        <v>9017</v>
      </c>
      <c r="AE1224" s="610" t="s">
        <v>82</v>
      </c>
      <c r="AF1224" s="610"/>
      <c r="AG1224" s="609"/>
      <c r="AH1224" s="609">
        <v>1</v>
      </c>
      <c r="AI1224" s="610">
        <v>500</v>
      </c>
      <c r="AJ1224" s="610">
        <f t="shared" si="464"/>
        <v>0</v>
      </c>
      <c r="AK1224" s="610"/>
      <c r="AL1224" s="610" t="s">
        <v>2368</v>
      </c>
      <c r="AM1224" s="610"/>
      <c r="AN1224" s="610"/>
      <c r="AO1224" s="554">
        <f>I1224</f>
        <v>500</v>
      </c>
      <c r="AP1224" s="554">
        <f>I1224</f>
        <v>500</v>
      </c>
      <c r="AQ1224" s="554"/>
      <c r="AR1224" s="619"/>
      <c r="AS1224" s="554"/>
      <c r="AT1224" s="554"/>
      <c r="AU1224" s="554"/>
      <c r="AV1224" s="554"/>
      <c r="AW1224" s="619"/>
      <c r="AX1224" s="554"/>
      <c r="AY1224" s="554"/>
      <c r="AZ1224" s="554"/>
      <c r="BA1224" s="554"/>
      <c r="BB1224" s="620">
        <f>I1224/24</f>
        <v>20.8333333333333</v>
      </c>
      <c r="BC1224" s="714"/>
      <c r="BD1224" s="554"/>
      <c r="BE1224" s="554"/>
      <c r="BF1224" s="554"/>
      <c r="BH1224" s="554"/>
      <c r="BI1224" s="554"/>
      <c r="BJ1224" s="554"/>
      <c r="BK1224" s="554"/>
      <c r="BL1224" s="554"/>
      <c r="BM1224" s="554"/>
      <c r="BN1224" s="554"/>
      <c r="BO1224" s="554"/>
      <c r="BP1224" s="554"/>
      <c r="BQ1224" s="554"/>
      <c r="BR1224" s="554"/>
      <c r="BS1224" s="554"/>
      <c r="BT1224" s="554"/>
      <c r="BU1224" s="554"/>
      <c r="BV1224" s="554"/>
      <c r="BW1224" s="554">
        <f>I1224</f>
        <v>500</v>
      </c>
      <c r="BX1224" s="554">
        <f>I1224/25</f>
        <v>20</v>
      </c>
      <c r="BY1224" s="619"/>
      <c r="BZ1224" s="554"/>
      <c r="CA1224" s="621"/>
      <c r="CB1224" s="567"/>
      <c r="CC1224" s="622"/>
      <c r="CD1224" s="619"/>
      <c r="CE1224" s="619"/>
      <c r="CF1224" s="554"/>
      <c r="CG1224" s="554"/>
      <c r="CI1224" s="554"/>
      <c r="CJ1224" s="554"/>
      <c r="CK1224" s="554"/>
      <c r="CL1224" s="554"/>
      <c r="CM1224" s="554"/>
      <c r="CN1224" s="554"/>
      <c r="CO1224" s="554"/>
      <c r="CP1224" s="554"/>
      <c r="CQ1224" s="554"/>
      <c r="CR1224" s="554"/>
      <c r="CS1224" s="554"/>
      <c r="CT1224" s="554"/>
      <c r="CU1224" s="554">
        <f t="shared" si="461"/>
        <v>20</v>
      </c>
      <c r="CV1224" s="554">
        <f t="shared" si="462"/>
        <v>0</v>
      </c>
      <c r="CW1224" s="554">
        <f t="shared" si="463"/>
        <v>0</v>
      </c>
      <c r="CX1224" s="619"/>
      <c r="CY1224" s="619"/>
      <c r="CZ1224" s="619"/>
      <c r="DA1224" s="548"/>
      <c r="DB1224" s="548"/>
      <c r="DC1224" s="548"/>
      <c r="DD1224" s="619"/>
      <c r="DE1224" s="619"/>
      <c r="DF1224" s="619"/>
      <c r="DG1224" s="619"/>
      <c r="DH1224" s="619"/>
    </row>
    <row r="1225" s="548" customFormat="1" ht="31" customHeight="1" spans="1:112">
      <c r="A1225" s="608">
        <v>46078</v>
      </c>
      <c r="B1225" s="609" t="s">
        <v>246</v>
      </c>
      <c r="C1225" s="610" t="s">
        <v>98</v>
      </c>
      <c r="D1225" s="554">
        <v>4500194244</v>
      </c>
      <c r="E1225" s="610" t="s">
        <v>9018</v>
      </c>
      <c r="F1225" s="554" t="s">
        <v>9019</v>
      </c>
      <c r="G1225" s="610" t="s">
        <v>6084</v>
      </c>
      <c r="H1225" s="610" t="s">
        <v>6069</v>
      </c>
      <c r="I1225" s="715">
        <v>60000</v>
      </c>
      <c r="J1225" s="610">
        <v>0</v>
      </c>
      <c r="K1225" s="610">
        <v>25</v>
      </c>
      <c r="L1225" s="611">
        <f t="shared" si="454"/>
        <v>2400</v>
      </c>
      <c r="M1225" s="612">
        <v>46122</v>
      </c>
      <c r="N1225" s="612">
        <v>46118</v>
      </c>
      <c r="O1225" s="613"/>
      <c r="P1225" s="613" t="s">
        <v>113</v>
      </c>
      <c r="Q1225" s="610"/>
      <c r="R1225" s="614">
        <v>46097</v>
      </c>
      <c r="S1225" s="614" t="s">
        <v>104</v>
      </c>
      <c r="T1225" s="614">
        <v>46093</v>
      </c>
      <c r="U1225" s="614"/>
      <c r="V1225" s="614"/>
      <c r="W1225" s="615"/>
      <c r="X1225" s="609" t="s">
        <v>9020</v>
      </c>
      <c r="Y1225" s="609" t="s">
        <v>252</v>
      </c>
      <c r="Z1225" s="609">
        <v>0.5655</v>
      </c>
      <c r="AA1225" s="616">
        <f>Z1225*I1225</f>
        <v>33930</v>
      </c>
      <c r="AC1225" s="629" t="s">
        <v>9021</v>
      </c>
      <c r="AD1225" s="610" t="s">
        <v>6084</v>
      </c>
      <c r="AE1225" s="610" t="s">
        <v>82</v>
      </c>
      <c r="AF1225" s="610"/>
      <c r="AG1225" s="609"/>
      <c r="AH1225" s="609">
        <v>1</v>
      </c>
      <c r="AI1225" s="610">
        <v>60000</v>
      </c>
      <c r="AJ1225" s="610">
        <f t="shared" si="464"/>
        <v>0</v>
      </c>
      <c r="AK1225" s="610"/>
      <c r="AL1225" s="610" t="s">
        <v>2368</v>
      </c>
      <c r="AM1225" s="610"/>
      <c r="AN1225" s="610">
        <f>I1225</f>
        <v>60000</v>
      </c>
      <c r="AO1225" s="554"/>
      <c r="AP1225" s="554">
        <f>I1225</f>
        <v>60000</v>
      </c>
      <c r="AQ1225" s="554"/>
      <c r="AR1225" s="619"/>
      <c r="AS1225" s="554"/>
      <c r="AT1225" s="554"/>
      <c r="AU1225" s="554">
        <f>I1225</f>
        <v>60000</v>
      </c>
      <c r="AV1225" s="554"/>
      <c r="AW1225" s="619"/>
      <c r="AX1225" s="554"/>
      <c r="AY1225" s="554"/>
      <c r="AZ1225" s="554"/>
      <c r="BA1225" s="554"/>
      <c r="BB1225" s="620">
        <f>I1225/24</f>
        <v>2500</v>
      </c>
      <c r="BC1225" s="714"/>
      <c r="BD1225" s="554"/>
      <c r="BE1225" s="554"/>
      <c r="BF1225" s="554"/>
      <c r="BH1225" s="554"/>
      <c r="BI1225" s="554"/>
      <c r="BJ1225" s="554"/>
      <c r="BK1225" s="554"/>
      <c r="BL1225" s="554"/>
      <c r="BM1225" s="554"/>
      <c r="BN1225" s="554">
        <f>I1225/25</f>
        <v>2400</v>
      </c>
      <c r="BO1225" s="554"/>
      <c r="BP1225" s="554"/>
      <c r="BQ1225" s="554"/>
      <c r="BR1225" s="554"/>
      <c r="BS1225" s="554"/>
      <c r="BT1225" s="554"/>
      <c r="BU1225" s="554"/>
      <c r="BV1225" s="554"/>
      <c r="BW1225" s="554"/>
      <c r="BX1225" s="554"/>
      <c r="BY1225" s="619"/>
      <c r="BZ1225" s="554"/>
      <c r="CA1225" s="621"/>
      <c r="CB1225" s="567"/>
      <c r="CC1225" s="622"/>
      <c r="CD1225" s="619"/>
      <c r="CE1225" s="619"/>
      <c r="CF1225" s="554"/>
      <c r="CG1225" s="554"/>
      <c r="CI1225" s="554"/>
      <c r="CJ1225" s="554"/>
      <c r="CK1225" s="554"/>
      <c r="CL1225" s="554"/>
      <c r="CM1225" s="554"/>
      <c r="CN1225" s="554"/>
      <c r="CO1225" s="554"/>
      <c r="CP1225" s="554"/>
      <c r="CQ1225" s="554"/>
      <c r="CR1225" s="554"/>
      <c r="CS1225" s="554"/>
      <c r="CT1225" s="554"/>
      <c r="CU1225" s="554">
        <f t="shared" si="461"/>
        <v>2400</v>
      </c>
      <c r="CV1225" s="554">
        <f t="shared" si="462"/>
        <v>0</v>
      </c>
      <c r="CW1225" s="554">
        <f t="shared" si="463"/>
        <v>0</v>
      </c>
      <c r="CX1225" s="619"/>
      <c r="CY1225" s="619"/>
      <c r="CZ1225" s="619"/>
      <c r="DA1225" s="548"/>
      <c r="DB1225" s="548"/>
      <c r="DC1225" s="548"/>
      <c r="DD1225" s="619"/>
      <c r="DE1225" s="619"/>
      <c r="DF1225" s="619"/>
      <c r="DG1225" s="619"/>
      <c r="DH1225" s="619"/>
    </row>
    <row r="1226" s="548" customFormat="1" ht="31" customHeight="1" spans="1:112">
      <c r="A1226" s="608">
        <v>46092</v>
      </c>
      <c r="B1226" s="609"/>
      <c r="C1226" s="610"/>
      <c r="D1226" s="554" t="s">
        <v>3463</v>
      </c>
      <c r="E1226" s="610"/>
      <c r="F1226" s="554" t="s">
        <v>3464</v>
      </c>
      <c r="G1226" s="610" t="s">
        <v>6360</v>
      </c>
      <c r="H1226" s="610" t="s">
        <v>477</v>
      </c>
      <c r="I1226" s="715">
        <v>60</v>
      </c>
      <c r="J1226" s="610">
        <v>0</v>
      </c>
      <c r="K1226" s="610">
        <v>6</v>
      </c>
      <c r="L1226" s="611">
        <f t="shared" si="454"/>
        <v>10</v>
      </c>
      <c r="M1226" s="612">
        <v>46123</v>
      </c>
      <c r="N1226" s="612">
        <v>46119</v>
      </c>
      <c r="O1226" s="613"/>
      <c r="P1226" s="613" t="s">
        <v>113</v>
      </c>
      <c r="Q1226" s="610"/>
      <c r="R1226" s="614" t="s">
        <v>1242</v>
      </c>
      <c r="S1226" s="614" t="s">
        <v>104</v>
      </c>
      <c r="T1226" s="614" t="s">
        <v>70</v>
      </c>
      <c r="U1226" s="614"/>
      <c r="V1226" s="614"/>
      <c r="W1226" s="615"/>
      <c r="X1226" s="609" t="s">
        <v>3466</v>
      </c>
      <c r="Y1226" s="609" t="s">
        <v>92</v>
      </c>
      <c r="Z1226" s="609"/>
      <c r="AA1226" s="616"/>
      <c r="AC1226" s="617"/>
      <c r="AD1226" s="633" t="s">
        <v>480</v>
      </c>
      <c r="AE1226" s="610" t="s">
        <v>82</v>
      </c>
      <c r="AF1226" s="610"/>
      <c r="AG1226" s="609"/>
      <c r="AH1226" s="618">
        <v>1</v>
      </c>
      <c r="AI1226" s="610">
        <v>60</v>
      </c>
      <c r="AJ1226" s="610">
        <f t="shared" si="464"/>
        <v>0</v>
      </c>
      <c r="AK1226" s="610"/>
      <c r="AL1226" s="610"/>
      <c r="AM1226" s="610"/>
      <c r="AN1226" s="610"/>
      <c r="AO1226" s="554">
        <f>I1226*2</f>
        <v>120</v>
      </c>
      <c r="AP1226" s="554"/>
      <c r="AQ1226" s="554"/>
      <c r="AR1226" s="619"/>
      <c r="AS1226" s="554"/>
      <c r="AT1226" s="554">
        <f>I1226*2</f>
        <v>120</v>
      </c>
      <c r="AU1226" s="554"/>
      <c r="AV1226" s="554">
        <f>I1226*2</f>
        <v>120</v>
      </c>
      <c r="AW1226" s="619"/>
      <c r="AX1226" s="554"/>
      <c r="AY1226" s="554"/>
      <c r="AZ1226" s="554"/>
      <c r="BA1226" s="554"/>
      <c r="BB1226" s="620">
        <f>I1226/24*2</f>
        <v>5</v>
      </c>
      <c r="BC1226" s="714"/>
      <c r="BD1226" s="554"/>
      <c r="BE1226" s="554"/>
      <c r="BF1226" s="554"/>
      <c r="BH1226" s="554"/>
      <c r="BI1226" s="554"/>
      <c r="BJ1226" s="554"/>
      <c r="BK1226" s="554"/>
      <c r="BL1226" s="554"/>
      <c r="BM1226" s="554"/>
      <c r="BN1226" s="554"/>
      <c r="BO1226" s="554"/>
      <c r="BP1226" s="554"/>
      <c r="BQ1226" s="554"/>
      <c r="BR1226" s="554"/>
      <c r="BS1226" s="554"/>
      <c r="BT1226" s="554"/>
      <c r="BU1226" s="554"/>
      <c r="BV1226" s="554"/>
      <c r="BW1226" s="554"/>
      <c r="BX1226" s="554"/>
      <c r="BY1226" s="619"/>
      <c r="BZ1226" s="554">
        <f>I1226</f>
        <v>60</v>
      </c>
      <c r="CA1226" s="621"/>
      <c r="CB1226" s="567"/>
      <c r="CC1226" s="622"/>
      <c r="CD1226" s="619"/>
      <c r="CE1226" s="619"/>
      <c r="CF1226" s="554"/>
      <c r="CG1226" s="554"/>
      <c r="CI1226" s="554"/>
      <c r="CJ1226" s="554"/>
      <c r="CK1226" s="554"/>
      <c r="CL1226" s="554"/>
      <c r="CM1226" s="554"/>
      <c r="CN1226" s="554"/>
      <c r="CO1226" s="554"/>
      <c r="CP1226" s="554"/>
      <c r="CQ1226" s="554"/>
      <c r="CR1226" s="554"/>
      <c r="CS1226" s="554"/>
      <c r="CT1226" s="554"/>
      <c r="CU1226" s="554">
        <f t="shared" si="461"/>
        <v>0</v>
      </c>
      <c r="CV1226" s="551">
        <f t="shared" si="462"/>
        <v>0</v>
      </c>
      <c r="CW1226" s="551">
        <f t="shared" si="463"/>
        <v>0</v>
      </c>
      <c r="CX1226" s="619"/>
      <c r="CY1226" s="619"/>
      <c r="CZ1226" s="619"/>
      <c r="DA1226" s="548"/>
      <c r="DB1226" s="548"/>
      <c r="DC1226" s="548"/>
      <c r="DD1226" s="619"/>
      <c r="DE1226" s="619"/>
      <c r="DF1226" s="619"/>
      <c r="DG1226" s="619"/>
      <c r="DH1226" s="619"/>
    </row>
    <row r="1227" s="548" customFormat="1" ht="31" customHeight="1" spans="1:112">
      <c r="A1227" s="608">
        <v>46058</v>
      </c>
      <c r="B1227" s="609" t="s">
        <v>139</v>
      </c>
      <c r="C1227" s="610" t="s">
        <v>76</v>
      </c>
      <c r="D1227" s="554">
        <v>4500193165</v>
      </c>
      <c r="E1227" s="610">
        <v>21495502</v>
      </c>
      <c r="F1227" s="554" t="s">
        <v>9022</v>
      </c>
      <c r="G1227" s="610" t="s">
        <v>6093</v>
      </c>
      <c r="H1227" s="610" t="s">
        <v>6094</v>
      </c>
      <c r="I1227" s="715">
        <v>520</v>
      </c>
      <c r="J1227" s="610">
        <v>0</v>
      </c>
      <c r="K1227" s="610">
        <v>13</v>
      </c>
      <c r="L1227" s="611">
        <f t="shared" si="454"/>
        <v>40</v>
      </c>
      <c r="M1227" s="612">
        <v>46125</v>
      </c>
      <c r="N1227" s="612">
        <v>46121</v>
      </c>
      <c r="O1227" s="613"/>
      <c r="P1227" s="613" t="s">
        <v>113</v>
      </c>
      <c r="Q1227" s="610"/>
      <c r="R1227" s="614">
        <v>46093</v>
      </c>
      <c r="S1227" s="614" t="s">
        <v>104</v>
      </c>
      <c r="T1227" s="614" t="s">
        <v>9023</v>
      </c>
      <c r="U1227" s="614"/>
      <c r="V1227" s="614"/>
      <c r="W1227" s="615"/>
      <c r="X1227" s="609" t="s">
        <v>9024</v>
      </c>
      <c r="Y1227" s="609" t="s">
        <v>3206</v>
      </c>
      <c r="Z1227" s="718">
        <v>0.9526</v>
      </c>
      <c r="AA1227" s="616">
        <f t="shared" ref="AA1227:AA1236" si="465">Z1227*I1227</f>
        <v>495.352</v>
      </c>
      <c r="AC1227" s="617"/>
      <c r="AD1227" s="610" t="s">
        <v>6093</v>
      </c>
      <c r="AE1227" s="610" t="s">
        <v>82</v>
      </c>
      <c r="AF1227" s="610"/>
      <c r="AG1227" s="609"/>
      <c r="AH1227" s="618">
        <v>1</v>
      </c>
      <c r="AI1227" s="610">
        <v>520</v>
      </c>
      <c r="AJ1227" s="610">
        <f t="shared" si="464"/>
        <v>0</v>
      </c>
      <c r="AK1227" s="610"/>
      <c r="AL1227" s="610" t="s">
        <v>2368</v>
      </c>
      <c r="AM1227" s="610"/>
      <c r="AN1227" s="610"/>
      <c r="AO1227" s="554">
        <f>I1227</f>
        <v>520</v>
      </c>
      <c r="AP1227" s="554"/>
      <c r="AQ1227" s="554"/>
      <c r="AR1227" s="619"/>
      <c r="AS1227" s="554"/>
      <c r="AT1227" s="554">
        <f>I1227</f>
        <v>520</v>
      </c>
      <c r="AU1227" s="554"/>
      <c r="AV1227" s="554">
        <f>I1227</f>
        <v>520</v>
      </c>
      <c r="AW1227" s="619"/>
      <c r="AX1227" s="554"/>
      <c r="AY1227" s="554"/>
      <c r="AZ1227" s="554"/>
      <c r="BA1227" s="554"/>
      <c r="BB1227" s="620">
        <f t="shared" ref="BB1227:BB1234" si="466">I1227/24</f>
        <v>21.6666666666667</v>
      </c>
      <c r="BC1227" s="714"/>
      <c r="BD1227" s="554"/>
      <c r="BE1227" s="554"/>
      <c r="BF1227" s="554"/>
      <c r="BH1227" s="554"/>
      <c r="BI1227" s="554"/>
      <c r="BJ1227" s="554"/>
      <c r="BK1227" s="554"/>
      <c r="BL1227" s="554"/>
      <c r="BM1227" s="554">
        <f t="shared" ref="BM1227:BM1230" si="467">I1227/13</f>
        <v>40</v>
      </c>
      <c r="BN1227" s="554"/>
      <c r="BO1227" s="554"/>
      <c r="BP1227" s="554"/>
      <c r="BQ1227" s="554"/>
      <c r="BR1227" s="554"/>
      <c r="BS1227" s="554"/>
      <c r="BT1227" s="554"/>
      <c r="BU1227" s="554"/>
      <c r="BV1227" s="554"/>
      <c r="BW1227" s="554"/>
      <c r="BX1227" s="554"/>
      <c r="BY1227" s="619"/>
      <c r="BZ1227" s="554"/>
      <c r="CA1227" s="621"/>
      <c r="CB1227" s="567"/>
      <c r="CC1227" s="622"/>
      <c r="CD1227" s="619"/>
      <c r="CE1227" s="619"/>
      <c r="CF1227" s="554"/>
      <c r="CG1227" s="554"/>
      <c r="CI1227" s="554"/>
      <c r="CJ1227" s="554"/>
      <c r="CK1227" s="554"/>
      <c r="CL1227" s="554"/>
      <c r="CM1227" s="554"/>
      <c r="CN1227" s="554"/>
      <c r="CO1227" s="554"/>
      <c r="CP1227" s="554"/>
      <c r="CQ1227" s="554"/>
      <c r="CR1227" s="554"/>
      <c r="CS1227" s="554"/>
      <c r="CT1227" s="554"/>
      <c r="CU1227" s="554">
        <f t="shared" si="461"/>
        <v>0</v>
      </c>
      <c r="CV1227" s="554">
        <f t="shared" ref="CV1227:CV1232" si="468">CK1227+CL1227+CM1227+CN1227+CO1227+CQ1227+CP1227</f>
        <v>0</v>
      </c>
      <c r="CW1227" s="554">
        <f t="shared" ref="CW1227:CW1232" si="469">CI1227+CJ1227</f>
        <v>0</v>
      </c>
      <c r="CX1227" s="717"/>
      <c r="CY1227" s="717"/>
      <c r="CZ1227" s="717"/>
      <c r="DA1227" s="548"/>
      <c r="DB1227" s="548"/>
      <c r="DC1227" s="548"/>
      <c r="DD1227" s="717"/>
      <c r="DE1227" s="717"/>
      <c r="DF1227" s="717"/>
      <c r="DG1227" s="717"/>
      <c r="DH1227" s="717"/>
    </row>
    <row r="1228" s="548" customFormat="1" ht="31" customHeight="1" spans="1:112">
      <c r="A1228" s="608">
        <v>46058</v>
      </c>
      <c r="B1228" s="609" t="s">
        <v>135</v>
      </c>
      <c r="C1228" s="610" t="s">
        <v>128</v>
      </c>
      <c r="D1228" s="554">
        <v>4500193164</v>
      </c>
      <c r="E1228" s="610">
        <v>21495501</v>
      </c>
      <c r="F1228" s="554" t="s">
        <v>9025</v>
      </c>
      <c r="G1228" s="610" t="s">
        <v>6093</v>
      </c>
      <c r="H1228" s="610" t="s">
        <v>6094</v>
      </c>
      <c r="I1228" s="715">
        <v>9776</v>
      </c>
      <c r="J1228" s="610">
        <v>0</v>
      </c>
      <c r="K1228" s="610">
        <v>13</v>
      </c>
      <c r="L1228" s="611">
        <f t="shared" si="454"/>
        <v>752</v>
      </c>
      <c r="M1228" s="612">
        <v>46125</v>
      </c>
      <c r="N1228" s="612">
        <v>46121</v>
      </c>
      <c r="O1228" s="613"/>
      <c r="P1228" s="613" t="s">
        <v>113</v>
      </c>
      <c r="Q1228" s="610"/>
      <c r="R1228" s="614">
        <v>46093</v>
      </c>
      <c r="S1228" s="614" t="s">
        <v>104</v>
      </c>
      <c r="T1228" s="614" t="s">
        <v>9026</v>
      </c>
      <c r="U1228" s="614"/>
      <c r="V1228" s="614"/>
      <c r="W1228" s="615"/>
      <c r="X1228" s="609" t="s">
        <v>9027</v>
      </c>
      <c r="Y1228" s="609" t="s">
        <v>3206</v>
      </c>
      <c r="Z1228" s="718">
        <v>0.9423</v>
      </c>
      <c r="AA1228" s="616">
        <f t="shared" si="465"/>
        <v>9211.9248</v>
      </c>
      <c r="AC1228" s="617"/>
      <c r="AD1228" s="610" t="s">
        <v>6093</v>
      </c>
      <c r="AE1228" s="610" t="s">
        <v>82</v>
      </c>
      <c r="AF1228" s="610"/>
      <c r="AG1228" s="609"/>
      <c r="AH1228" s="618">
        <v>1</v>
      </c>
      <c r="AI1228" s="610">
        <f>5096+4680</f>
        <v>9776</v>
      </c>
      <c r="AJ1228" s="610">
        <f t="shared" si="464"/>
        <v>0</v>
      </c>
      <c r="AK1228" s="610"/>
      <c r="AL1228" s="610" t="s">
        <v>2368</v>
      </c>
      <c r="AM1228" s="610"/>
      <c r="AN1228" s="610"/>
      <c r="AO1228" s="554">
        <f>I1228</f>
        <v>9776</v>
      </c>
      <c r="AP1228" s="554"/>
      <c r="AQ1228" s="554"/>
      <c r="AR1228" s="619"/>
      <c r="AS1228" s="554"/>
      <c r="AT1228" s="554">
        <f>I1228</f>
        <v>9776</v>
      </c>
      <c r="AU1228" s="554"/>
      <c r="AV1228" s="554">
        <f>I1228</f>
        <v>9776</v>
      </c>
      <c r="AW1228" s="619"/>
      <c r="AX1228" s="554"/>
      <c r="AY1228" s="554"/>
      <c r="AZ1228" s="554"/>
      <c r="BA1228" s="554"/>
      <c r="BB1228" s="620">
        <f t="shared" si="466"/>
        <v>407.333333333333</v>
      </c>
      <c r="BC1228" s="714"/>
      <c r="BD1228" s="554"/>
      <c r="BE1228" s="554"/>
      <c r="BF1228" s="554"/>
      <c r="BH1228" s="554"/>
      <c r="BI1228" s="554"/>
      <c r="BJ1228" s="554"/>
      <c r="BK1228" s="554"/>
      <c r="BL1228" s="554"/>
      <c r="BM1228" s="554">
        <f t="shared" si="467"/>
        <v>752</v>
      </c>
      <c r="BN1228" s="554"/>
      <c r="BO1228" s="554"/>
      <c r="BP1228" s="554"/>
      <c r="BQ1228" s="554"/>
      <c r="BR1228" s="554"/>
      <c r="BS1228" s="554"/>
      <c r="BT1228" s="554"/>
      <c r="BU1228" s="554"/>
      <c r="BV1228" s="554"/>
      <c r="BW1228" s="554"/>
      <c r="BX1228" s="554"/>
      <c r="BY1228" s="619"/>
      <c r="BZ1228" s="554"/>
      <c r="CA1228" s="621"/>
      <c r="CB1228" s="567"/>
      <c r="CC1228" s="622"/>
      <c r="CD1228" s="619"/>
      <c r="CE1228" s="619"/>
      <c r="CF1228" s="554"/>
      <c r="CG1228" s="554"/>
      <c r="CI1228" s="554"/>
      <c r="CJ1228" s="554"/>
      <c r="CK1228" s="554"/>
      <c r="CL1228" s="554"/>
      <c r="CM1228" s="554"/>
      <c r="CN1228" s="554"/>
      <c r="CO1228" s="554"/>
      <c r="CP1228" s="554"/>
      <c r="CQ1228" s="554"/>
      <c r="CR1228" s="554"/>
      <c r="CS1228" s="554"/>
      <c r="CT1228" s="554"/>
      <c r="CU1228" s="554">
        <f t="shared" si="461"/>
        <v>0</v>
      </c>
      <c r="CV1228" s="554">
        <f t="shared" si="468"/>
        <v>0</v>
      </c>
      <c r="CW1228" s="554">
        <f t="shared" si="469"/>
        <v>0</v>
      </c>
      <c r="CX1228" s="717"/>
      <c r="CY1228" s="717"/>
      <c r="CZ1228" s="717"/>
      <c r="DA1228" s="548"/>
      <c r="DB1228" s="548"/>
      <c r="DC1228" s="548"/>
      <c r="DD1228" s="717"/>
      <c r="DE1228" s="717"/>
      <c r="DF1228" s="717"/>
      <c r="DG1228" s="717"/>
      <c r="DH1228" s="717"/>
    </row>
    <row r="1229" s="548" customFormat="1" ht="31" customHeight="1" spans="1:112">
      <c r="A1229" s="608">
        <v>46066</v>
      </c>
      <c r="B1229" s="609" t="s">
        <v>379</v>
      </c>
      <c r="C1229" s="610" t="s">
        <v>98</v>
      </c>
      <c r="D1229" s="554">
        <v>4500193668</v>
      </c>
      <c r="E1229" s="610">
        <v>36363</v>
      </c>
      <c r="F1229" s="554" t="s">
        <v>9028</v>
      </c>
      <c r="G1229" s="610" t="s">
        <v>6036</v>
      </c>
      <c r="H1229" s="610" t="s">
        <v>6033</v>
      </c>
      <c r="I1229" s="715">
        <v>6500</v>
      </c>
      <c r="J1229" s="610">
        <v>0</v>
      </c>
      <c r="K1229" s="610">
        <v>50</v>
      </c>
      <c r="L1229" s="611">
        <f t="shared" si="454"/>
        <v>130</v>
      </c>
      <c r="M1229" s="612">
        <v>46125</v>
      </c>
      <c r="N1229" s="612">
        <v>46121</v>
      </c>
      <c r="O1229" s="613"/>
      <c r="P1229" s="613" t="s">
        <v>113</v>
      </c>
      <c r="Q1229" s="610"/>
      <c r="R1229" s="614" t="s">
        <v>9029</v>
      </c>
      <c r="S1229" s="614" t="s">
        <v>70</v>
      </c>
      <c r="T1229" s="614" t="s">
        <v>70</v>
      </c>
      <c r="U1229" s="614"/>
      <c r="V1229" s="614"/>
      <c r="W1229" s="615"/>
      <c r="X1229" s="609" t="s">
        <v>1780</v>
      </c>
      <c r="Y1229" s="609" t="s">
        <v>1781</v>
      </c>
      <c r="Z1229" s="609">
        <v>0.5673</v>
      </c>
      <c r="AA1229" s="616">
        <f t="shared" si="465"/>
        <v>3687.45</v>
      </c>
      <c r="AC1229" s="629" t="s">
        <v>9030</v>
      </c>
      <c r="AD1229" s="610" t="s">
        <v>6036</v>
      </c>
      <c r="AE1229" s="610" t="s">
        <v>82</v>
      </c>
      <c r="AF1229" s="610"/>
      <c r="AG1229" s="609"/>
      <c r="AH1229" s="618">
        <v>1</v>
      </c>
      <c r="AI1229" s="610">
        <v>6500</v>
      </c>
      <c r="AJ1229" s="610">
        <f t="shared" si="464"/>
        <v>0</v>
      </c>
      <c r="AK1229" s="610"/>
      <c r="AL1229" s="610"/>
      <c r="AM1229" s="610"/>
      <c r="AN1229" s="610">
        <f>I1229</f>
        <v>6500</v>
      </c>
      <c r="AO1229" s="554"/>
      <c r="AP1229" s="554">
        <f>I1229</f>
        <v>6500</v>
      </c>
      <c r="AQ1229" s="554"/>
      <c r="AR1229" s="619"/>
      <c r="AS1229" s="554"/>
      <c r="AT1229" s="554"/>
      <c r="AU1229" s="554">
        <f>I1229</f>
        <v>6500</v>
      </c>
      <c r="AV1229" s="554"/>
      <c r="AW1229" s="619"/>
      <c r="AX1229" s="554"/>
      <c r="AY1229" s="554"/>
      <c r="AZ1229" s="554"/>
      <c r="BA1229" s="554"/>
      <c r="BB1229" s="620">
        <f t="shared" si="466"/>
        <v>270.833333333333</v>
      </c>
      <c r="BC1229" s="714"/>
      <c r="BD1229" s="554"/>
      <c r="BE1229" s="554"/>
      <c r="BF1229" s="554"/>
      <c r="BH1229" s="554"/>
      <c r="BI1229" s="554"/>
      <c r="BJ1229" s="554"/>
      <c r="BK1229" s="554"/>
      <c r="BL1229" s="554"/>
      <c r="BM1229" s="554"/>
      <c r="BN1229" s="554">
        <f>I1229/25</f>
        <v>260</v>
      </c>
      <c r="BO1229" s="554"/>
      <c r="BP1229" s="554"/>
      <c r="BQ1229" s="554"/>
      <c r="BR1229" s="554"/>
      <c r="BS1229" s="554"/>
      <c r="BT1229" s="554"/>
      <c r="BU1229" s="554"/>
      <c r="BV1229" s="554"/>
      <c r="BW1229" s="554"/>
      <c r="BX1229" s="554"/>
      <c r="BY1229" s="619"/>
      <c r="BZ1229" s="554"/>
      <c r="CA1229" s="621"/>
      <c r="CB1229" s="567"/>
      <c r="CC1229" s="622"/>
      <c r="CD1229" s="619"/>
      <c r="CE1229" s="619"/>
      <c r="CF1229" s="554"/>
      <c r="CG1229" s="554"/>
      <c r="CI1229" s="554"/>
      <c r="CJ1229" s="554"/>
      <c r="CK1229" s="554"/>
      <c r="CL1229" s="554"/>
      <c r="CM1229" s="554"/>
      <c r="CN1229" s="554"/>
      <c r="CO1229" s="554"/>
      <c r="CP1229" s="554"/>
      <c r="CQ1229" s="554"/>
      <c r="CR1229" s="554"/>
      <c r="CS1229" s="554"/>
      <c r="CT1229" s="554"/>
      <c r="CU1229" s="554">
        <f t="shared" si="461"/>
        <v>260</v>
      </c>
      <c r="CV1229" s="554">
        <f t="shared" si="468"/>
        <v>0</v>
      </c>
      <c r="CW1229" s="554">
        <f t="shared" si="469"/>
        <v>0</v>
      </c>
      <c r="CX1229" s="619"/>
      <c r="CY1229" s="619"/>
      <c r="CZ1229" s="619"/>
      <c r="DA1229" s="548"/>
      <c r="DB1229" s="548"/>
      <c r="DC1229" s="548"/>
      <c r="DD1229" s="619"/>
      <c r="DE1229" s="619"/>
      <c r="DF1229" s="619"/>
      <c r="DG1229" s="619"/>
      <c r="DH1229" s="619"/>
    </row>
    <row r="1230" s="548" customFormat="1" ht="31" customHeight="1" spans="1:112">
      <c r="A1230" s="608">
        <v>46065</v>
      </c>
      <c r="B1230" s="609" t="s">
        <v>3489</v>
      </c>
      <c r="C1230" s="610" t="s">
        <v>836</v>
      </c>
      <c r="D1230" s="554">
        <v>4500193874</v>
      </c>
      <c r="E1230" s="610">
        <v>21214261</v>
      </c>
      <c r="F1230" s="554" t="s">
        <v>9031</v>
      </c>
      <c r="G1230" s="610" t="s">
        <v>6093</v>
      </c>
      <c r="H1230" s="610" t="s">
        <v>6094</v>
      </c>
      <c r="I1230" s="715">
        <v>507</v>
      </c>
      <c r="J1230" s="610">
        <v>0</v>
      </c>
      <c r="K1230" s="610">
        <v>13</v>
      </c>
      <c r="L1230" s="611">
        <f t="shared" si="454"/>
        <v>39</v>
      </c>
      <c r="M1230" s="612">
        <v>46125</v>
      </c>
      <c r="N1230" s="612">
        <v>46121</v>
      </c>
      <c r="O1230" s="613" t="s">
        <v>9032</v>
      </c>
      <c r="P1230" s="613" t="s">
        <v>113</v>
      </c>
      <c r="Q1230" s="610"/>
      <c r="R1230" s="614">
        <v>46065</v>
      </c>
      <c r="S1230" s="614" t="s">
        <v>70</v>
      </c>
      <c r="T1230" s="614" t="s">
        <v>9033</v>
      </c>
      <c r="U1230" s="614"/>
      <c r="V1230" s="614" t="s">
        <v>9034</v>
      </c>
      <c r="W1230" s="615"/>
      <c r="X1230" s="609" t="s">
        <v>9035</v>
      </c>
      <c r="Y1230" s="609" t="s">
        <v>2533</v>
      </c>
      <c r="Z1230" s="718">
        <v>0.9168</v>
      </c>
      <c r="AA1230" s="616">
        <f t="shared" si="465"/>
        <v>464.8176</v>
      </c>
      <c r="AC1230" s="617"/>
      <c r="AD1230" s="610" t="s">
        <v>6093</v>
      </c>
      <c r="AE1230" s="610" t="s">
        <v>82</v>
      </c>
      <c r="AF1230" s="610"/>
      <c r="AG1230" s="609"/>
      <c r="AH1230" s="618">
        <v>1</v>
      </c>
      <c r="AI1230" s="610">
        <v>507</v>
      </c>
      <c r="AJ1230" s="610">
        <f t="shared" si="464"/>
        <v>0</v>
      </c>
      <c r="AK1230" s="610"/>
      <c r="AL1230" s="610" t="s">
        <v>2368</v>
      </c>
      <c r="AM1230" s="610"/>
      <c r="AN1230" s="610"/>
      <c r="AO1230" s="554">
        <f>I1230</f>
        <v>507</v>
      </c>
      <c r="AP1230" s="554"/>
      <c r="AQ1230" s="554"/>
      <c r="AR1230" s="619"/>
      <c r="AS1230" s="554"/>
      <c r="AT1230" s="554">
        <f>I1230</f>
        <v>507</v>
      </c>
      <c r="AU1230" s="554"/>
      <c r="AV1230" s="554">
        <f>I1230</f>
        <v>507</v>
      </c>
      <c r="AW1230" s="619"/>
      <c r="AX1230" s="554"/>
      <c r="AY1230" s="554"/>
      <c r="AZ1230" s="554"/>
      <c r="BA1230" s="554"/>
      <c r="BB1230" s="620">
        <f t="shared" si="466"/>
        <v>21.125</v>
      </c>
      <c r="BC1230" s="714"/>
      <c r="BD1230" s="554"/>
      <c r="BE1230" s="554"/>
      <c r="BF1230" s="554"/>
      <c r="BH1230" s="554"/>
      <c r="BI1230" s="554"/>
      <c r="BJ1230" s="554"/>
      <c r="BK1230" s="554"/>
      <c r="BL1230" s="554"/>
      <c r="BM1230" s="554">
        <f t="shared" si="467"/>
        <v>39</v>
      </c>
      <c r="BN1230" s="554"/>
      <c r="BO1230" s="554"/>
      <c r="BP1230" s="554"/>
      <c r="BQ1230" s="554"/>
      <c r="BR1230" s="554"/>
      <c r="BS1230" s="554"/>
      <c r="BT1230" s="554"/>
      <c r="BU1230" s="554"/>
      <c r="BV1230" s="554"/>
      <c r="BW1230" s="554"/>
      <c r="BX1230" s="554"/>
      <c r="BY1230" s="619"/>
      <c r="BZ1230" s="554"/>
      <c r="CA1230" s="621"/>
      <c r="CB1230" s="567"/>
      <c r="CC1230" s="622"/>
      <c r="CD1230" s="619"/>
      <c r="CE1230" s="619"/>
      <c r="CF1230" s="554"/>
      <c r="CG1230" s="554"/>
      <c r="CI1230" s="554"/>
      <c r="CJ1230" s="554"/>
      <c r="CK1230" s="554"/>
      <c r="CL1230" s="554"/>
      <c r="CM1230" s="554"/>
      <c r="CN1230" s="554"/>
      <c r="CO1230" s="554"/>
      <c r="CP1230" s="554"/>
      <c r="CQ1230" s="554"/>
      <c r="CR1230" s="554"/>
      <c r="CS1230" s="554"/>
      <c r="CT1230" s="554"/>
      <c r="CU1230" s="554">
        <f t="shared" si="461"/>
        <v>0</v>
      </c>
      <c r="CV1230" s="554">
        <f t="shared" si="468"/>
        <v>0</v>
      </c>
      <c r="CW1230" s="554">
        <f t="shared" si="469"/>
        <v>0</v>
      </c>
      <c r="CX1230" s="619"/>
      <c r="CY1230" s="619"/>
      <c r="CZ1230" s="619"/>
      <c r="DA1230" s="548"/>
      <c r="DB1230" s="548"/>
      <c r="DC1230" s="548"/>
      <c r="DD1230" s="619"/>
      <c r="DE1230" s="619"/>
      <c r="DF1230" s="619"/>
      <c r="DG1230" s="619"/>
      <c r="DH1230" s="619"/>
    </row>
    <row r="1231" s="548" customFormat="1" ht="31" customHeight="1" spans="1:112">
      <c r="A1231" s="608">
        <v>46086</v>
      </c>
      <c r="B1231" s="609" t="s">
        <v>3385</v>
      </c>
      <c r="C1231" s="610" t="s">
        <v>3386</v>
      </c>
      <c r="D1231" s="554">
        <v>4500195338</v>
      </c>
      <c r="E1231" s="610"/>
      <c r="F1231" s="554" t="s">
        <v>9036</v>
      </c>
      <c r="G1231" s="610" t="s">
        <v>6043</v>
      </c>
      <c r="H1231" s="610" t="s">
        <v>6110</v>
      </c>
      <c r="I1231" s="715">
        <v>10000</v>
      </c>
      <c r="J1231" s="610">
        <v>0</v>
      </c>
      <c r="K1231" s="610">
        <v>50</v>
      </c>
      <c r="L1231" s="611">
        <f t="shared" si="454"/>
        <v>200</v>
      </c>
      <c r="M1231" s="612">
        <v>46127</v>
      </c>
      <c r="N1231" s="612">
        <v>46123</v>
      </c>
      <c r="O1231" s="613"/>
      <c r="P1231" s="613" t="s">
        <v>113</v>
      </c>
      <c r="Q1231" s="610"/>
      <c r="R1231" s="614" t="s">
        <v>9037</v>
      </c>
      <c r="S1231" s="614" t="s">
        <v>70</v>
      </c>
      <c r="T1231" s="614" t="s">
        <v>9038</v>
      </c>
      <c r="U1231" s="614"/>
      <c r="V1231" s="614"/>
      <c r="W1231" s="615"/>
      <c r="X1231" s="609" t="s">
        <v>9039</v>
      </c>
      <c r="Y1231" s="609" t="s">
        <v>529</v>
      </c>
      <c r="Z1231" s="609">
        <v>0.9642</v>
      </c>
      <c r="AA1231" s="616">
        <f t="shared" si="465"/>
        <v>9642</v>
      </c>
      <c r="AC1231" s="617"/>
      <c r="AD1231" s="610" t="s">
        <v>6043</v>
      </c>
      <c r="AE1231" s="610" t="s">
        <v>82</v>
      </c>
      <c r="AF1231" s="610"/>
      <c r="AG1231" s="610"/>
      <c r="AH1231" s="618">
        <v>1</v>
      </c>
      <c r="AI1231" s="610">
        <v>10000</v>
      </c>
      <c r="AJ1231" s="610">
        <f t="shared" si="464"/>
        <v>0</v>
      </c>
      <c r="AK1231" s="610"/>
      <c r="AL1231" s="610" t="s">
        <v>2368</v>
      </c>
      <c r="AM1231" s="610"/>
      <c r="AN1231" s="610"/>
      <c r="AO1231" s="554">
        <f>I1231</f>
        <v>10000</v>
      </c>
      <c r="AP1231" s="554"/>
      <c r="AQ1231" s="554"/>
      <c r="AR1231" s="619"/>
      <c r="AS1231" s="554"/>
      <c r="AT1231" s="554">
        <f>I1231</f>
        <v>10000</v>
      </c>
      <c r="AU1231" s="554"/>
      <c r="AV1231" s="554">
        <f>I1231</f>
        <v>10000</v>
      </c>
      <c r="AW1231" s="619"/>
      <c r="AX1231" s="554"/>
      <c r="AY1231" s="554"/>
      <c r="AZ1231" s="554"/>
      <c r="BA1231" s="554"/>
      <c r="BB1231" s="620">
        <f t="shared" si="466"/>
        <v>416.666666666667</v>
      </c>
      <c r="BC1231" s="714"/>
      <c r="BD1231" s="554"/>
      <c r="BE1231" s="554"/>
      <c r="BF1231" s="554"/>
      <c r="BH1231" s="554"/>
      <c r="BI1231" s="554"/>
      <c r="BJ1231" s="554"/>
      <c r="BK1231" s="554"/>
      <c r="BL1231" s="554"/>
      <c r="BM1231" s="554"/>
      <c r="BN1231" s="554"/>
      <c r="BO1231" s="554"/>
      <c r="BP1231" s="554">
        <f>I1231/25</f>
        <v>400</v>
      </c>
      <c r="BQ1231" s="554"/>
      <c r="BR1231" s="554"/>
      <c r="BS1231" s="554"/>
      <c r="BT1231" s="554"/>
      <c r="BU1231" s="554"/>
      <c r="BV1231" s="554"/>
      <c r="BW1231" s="554"/>
      <c r="BX1231" s="554"/>
      <c r="BY1231" s="619"/>
      <c r="BZ1231" s="554"/>
      <c r="CA1231" s="621"/>
      <c r="CB1231" s="567"/>
      <c r="CC1231" s="622"/>
      <c r="CD1231" s="619"/>
      <c r="CE1231" s="619"/>
      <c r="CF1231" s="554"/>
      <c r="CG1231" s="554"/>
      <c r="CI1231" s="554"/>
      <c r="CJ1231" s="554"/>
      <c r="CK1231" s="554"/>
      <c r="CL1231" s="554"/>
      <c r="CM1231" s="554"/>
      <c r="CN1231" s="554"/>
      <c r="CO1231" s="554"/>
      <c r="CP1231" s="554"/>
      <c r="CQ1231" s="554"/>
      <c r="CR1231" s="554"/>
      <c r="CS1231" s="554"/>
      <c r="CT1231" s="554"/>
      <c r="CU1231" s="554">
        <f t="shared" si="461"/>
        <v>400</v>
      </c>
      <c r="CV1231" s="554">
        <f t="shared" si="468"/>
        <v>0</v>
      </c>
      <c r="CW1231" s="554">
        <f t="shared" si="469"/>
        <v>0</v>
      </c>
      <c r="CX1231" s="619"/>
      <c r="CY1231" s="619"/>
      <c r="CZ1231" s="619"/>
      <c r="DA1231" s="548"/>
      <c r="DB1231" s="548"/>
      <c r="DC1231" s="548"/>
      <c r="DD1231" s="619"/>
      <c r="DE1231" s="619"/>
      <c r="DF1231" s="619"/>
      <c r="DG1231" s="619"/>
      <c r="DH1231" s="619"/>
    </row>
    <row r="1232" s="548" customFormat="1" ht="31" customHeight="1" spans="1:112">
      <c r="A1232" s="608">
        <v>46087</v>
      </c>
      <c r="B1232" s="609" t="s">
        <v>3385</v>
      </c>
      <c r="C1232" s="610" t="s">
        <v>3386</v>
      </c>
      <c r="D1232" s="554">
        <v>4500195564</v>
      </c>
      <c r="E1232" s="610"/>
      <c r="F1232" s="554" t="s">
        <v>9040</v>
      </c>
      <c r="G1232" s="610" t="s">
        <v>6043</v>
      </c>
      <c r="H1232" s="610" t="s">
        <v>6110</v>
      </c>
      <c r="I1232" s="715">
        <v>29000</v>
      </c>
      <c r="J1232" s="610">
        <v>0</v>
      </c>
      <c r="K1232" s="610">
        <v>50</v>
      </c>
      <c r="L1232" s="611">
        <f t="shared" si="454"/>
        <v>580</v>
      </c>
      <c r="M1232" s="612">
        <v>46127</v>
      </c>
      <c r="N1232" s="612">
        <v>46123</v>
      </c>
      <c r="O1232" s="613"/>
      <c r="P1232" s="613" t="s">
        <v>113</v>
      </c>
      <c r="Q1232" s="610"/>
      <c r="R1232" s="614">
        <v>46087</v>
      </c>
      <c r="S1232" s="614" t="s">
        <v>70</v>
      </c>
      <c r="T1232" s="614" t="s">
        <v>9041</v>
      </c>
      <c r="U1232" s="614"/>
      <c r="V1232" s="614"/>
      <c r="W1232" s="615"/>
      <c r="X1232" s="609" t="s">
        <v>9039</v>
      </c>
      <c r="Y1232" s="609" t="s">
        <v>529</v>
      </c>
      <c r="Z1232" s="609">
        <v>0.9642</v>
      </c>
      <c r="AA1232" s="616">
        <f t="shared" si="465"/>
        <v>27961.8</v>
      </c>
      <c r="AC1232" s="617"/>
      <c r="AD1232" s="610" t="s">
        <v>6043</v>
      </c>
      <c r="AE1232" s="610" t="s">
        <v>82</v>
      </c>
      <c r="AF1232" s="610"/>
      <c r="AG1232" s="610"/>
      <c r="AH1232" s="618">
        <v>1</v>
      </c>
      <c r="AI1232" s="610">
        <f>19450+9550</f>
        <v>29000</v>
      </c>
      <c r="AJ1232" s="610">
        <f t="shared" si="464"/>
        <v>0</v>
      </c>
      <c r="AK1232" s="610"/>
      <c r="AL1232" s="610"/>
      <c r="AM1232" s="610"/>
      <c r="AN1232" s="610"/>
      <c r="AO1232" s="554">
        <f>I1232</f>
        <v>29000</v>
      </c>
      <c r="AP1232" s="554"/>
      <c r="AQ1232" s="554"/>
      <c r="AR1232" s="619"/>
      <c r="AS1232" s="554"/>
      <c r="AT1232" s="554">
        <f>I1232</f>
        <v>29000</v>
      </c>
      <c r="AU1232" s="554"/>
      <c r="AV1232" s="554">
        <f>I1232</f>
        <v>29000</v>
      </c>
      <c r="AW1232" s="619"/>
      <c r="AX1232" s="554"/>
      <c r="AY1232" s="554"/>
      <c r="AZ1232" s="554"/>
      <c r="BA1232" s="554"/>
      <c r="BB1232" s="620">
        <f t="shared" si="466"/>
        <v>1208.33333333333</v>
      </c>
      <c r="BC1232" s="714"/>
      <c r="BD1232" s="554"/>
      <c r="BE1232" s="554"/>
      <c r="BF1232" s="554"/>
      <c r="BH1232" s="554"/>
      <c r="BI1232" s="554"/>
      <c r="BJ1232" s="554"/>
      <c r="BK1232" s="554"/>
      <c r="BL1232" s="554"/>
      <c r="BM1232" s="554"/>
      <c r="BN1232" s="554"/>
      <c r="BO1232" s="554"/>
      <c r="BP1232" s="554">
        <f>I1232/25</f>
        <v>1160</v>
      </c>
      <c r="BQ1232" s="554"/>
      <c r="BR1232" s="554"/>
      <c r="BS1232" s="554"/>
      <c r="BT1232" s="554"/>
      <c r="BU1232" s="554"/>
      <c r="BV1232" s="554"/>
      <c r="BW1232" s="554"/>
      <c r="BX1232" s="554"/>
      <c r="BY1232" s="619"/>
      <c r="BZ1232" s="554"/>
      <c r="CA1232" s="621"/>
      <c r="CB1232" s="567"/>
      <c r="CC1232" s="622"/>
      <c r="CD1232" s="619"/>
      <c r="CE1232" s="619"/>
      <c r="CF1232" s="554"/>
      <c r="CG1232" s="554"/>
      <c r="CI1232" s="554"/>
      <c r="CJ1232" s="554"/>
      <c r="CK1232" s="554"/>
      <c r="CL1232" s="554"/>
      <c r="CM1232" s="554"/>
      <c r="CN1232" s="554"/>
      <c r="CO1232" s="554"/>
      <c r="CP1232" s="554"/>
      <c r="CQ1232" s="554"/>
      <c r="CR1232" s="554"/>
      <c r="CS1232" s="554"/>
      <c r="CT1232" s="554"/>
      <c r="CU1232" s="554">
        <f t="shared" si="461"/>
        <v>1160</v>
      </c>
      <c r="CV1232" s="554">
        <f t="shared" si="468"/>
        <v>0</v>
      </c>
      <c r="CW1232" s="554">
        <f t="shared" si="469"/>
        <v>0</v>
      </c>
      <c r="CX1232" s="619"/>
      <c r="CY1232" s="619"/>
      <c r="CZ1232" s="619"/>
      <c r="DA1232" s="548"/>
      <c r="DB1232" s="548"/>
      <c r="DC1232" s="548"/>
      <c r="DD1232" s="619"/>
      <c r="DE1232" s="619"/>
      <c r="DF1232" s="619"/>
      <c r="DG1232" s="619"/>
      <c r="DH1232" s="619"/>
    </row>
    <row r="1233" s="548" customFormat="1" ht="31" customHeight="1" spans="1:112">
      <c r="A1233" s="608">
        <v>46086</v>
      </c>
      <c r="B1233" s="609" t="s">
        <v>177</v>
      </c>
      <c r="C1233" s="610" t="s">
        <v>170</v>
      </c>
      <c r="D1233" s="554">
        <v>4500195383</v>
      </c>
      <c r="E1233" s="610" t="s">
        <v>3477</v>
      </c>
      <c r="F1233" s="554" t="s">
        <v>9042</v>
      </c>
      <c r="G1233" s="610" t="s">
        <v>6166</v>
      </c>
      <c r="H1233" s="610" t="s">
        <v>6094</v>
      </c>
      <c r="I1233" s="719">
        <v>2405</v>
      </c>
      <c r="J1233" s="610">
        <v>0</v>
      </c>
      <c r="K1233" s="610">
        <v>13</v>
      </c>
      <c r="L1233" s="611">
        <f t="shared" si="454"/>
        <v>185</v>
      </c>
      <c r="M1233" s="612">
        <v>46127</v>
      </c>
      <c r="N1233" s="612">
        <v>46123</v>
      </c>
      <c r="O1233" s="613"/>
      <c r="P1233" s="613" t="s">
        <v>113</v>
      </c>
      <c r="Q1233" s="610"/>
      <c r="R1233" s="614">
        <v>46086</v>
      </c>
      <c r="S1233" s="614" t="s">
        <v>70</v>
      </c>
      <c r="T1233" s="614" t="s">
        <v>70</v>
      </c>
      <c r="U1233" s="614"/>
      <c r="V1233" s="614"/>
      <c r="W1233" s="615"/>
      <c r="X1233" s="609" t="s">
        <v>9043</v>
      </c>
      <c r="Y1233" s="609" t="s">
        <v>3481</v>
      </c>
      <c r="Z1233" s="718">
        <v>0.9376</v>
      </c>
      <c r="AA1233" s="616">
        <f t="shared" si="465"/>
        <v>2254.928</v>
      </c>
      <c r="AC1233" s="617"/>
      <c r="AD1233" s="610" t="s">
        <v>6166</v>
      </c>
      <c r="AE1233" s="610" t="s">
        <v>82</v>
      </c>
      <c r="AF1233" s="610"/>
      <c r="AG1233" s="610"/>
      <c r="AH1233" s="618">
        <v>1</v>
      </c>
      <c r="AI1233" s="610">
        <v>2405</v>
      </c>
      <c r="AJ1233" s="610"/>
      <c r="AK1233" s="610"/>
      <c r="AL1233" s="610"/>
      <c r="AM1233" s="610"/>
      <c r="AN1233" s="610">
        <f>I1233</f>
        <v>2405</v>
      </c>
      <c r="AO1233" s="554"/>
      <c r="AP1233" s="554"/>
      <c r="AQ1233" s="554"/>
      <c r="AR1233" s="619"/>
      <c r="AS1233" s="554">
        <f>I1233</f>
        <v>2405</v>
      </c>
      <c r="AT1233" s="554"/>
      <c r="AU1233" s="554">
        <f>I1233</f>
        <v>2405</v>
      </c>
      <c r="AV1233" s="554"/>
      <c r="AW1233" s="619"/>
      <c r="AX1233" s="554"/>
      <c r="AY1233" s="554"/>
      <c r="AZ1233" s="554"/>
      <c r="BA1233" s="554"/>
      <c r="BB1233" s="620">
        <f t="shared" si="466"/>
        <v>100.208333333333</v>
      </c>
      <c r="BC1233" s="714"/>
      <c r="BD1233" s="554"/>
      <c r="BE1233" s="554"/>
      <c r="BF1233" s="554"/>
      <c r="BH1233" s="554"/>
      <c r="BI1233" s="554"/>
      <c r="BJ1233" s="554"/>
      <c r="BK1233" s="554"/>
      <c r="BL1233" s="554">
        <f>I1233/13</f>
        <v>185</v>
      </c>
      <c r="BM1233" s="554"/>
      <c r="BN1233" s="554"/>
      <c r="BO1233" s="554"/>
      <c r="BP1233" s="554"/>
      <c r="BQ1233" s="554"/>
      <c r="BR1233" s="554"/>
      <c r="BS1233" s="554"/>
      <c r="BT1233" s="554"/>
      <c r="BU1233" s="554"/>
      <c r="BV1233" s="554"/>
      <c r="BW1233" s="554"/>
      <c r="BX1233" s="554"/>
      <c r="BY1233" s="619"/>
      <c r="BZ1233" s="554"/>
      <c r="CA1233" s="621"/>
      <c r="CB1233" s="567"/>
      <c r="CC1233" s="622"/>
      <c r="CD1233" s="619"/>
      <c r="CE1233" s="619"/>
      <c r="CF1233" s="554"/>
      <c r="CG1233" s="554"/>
      <c r="CI1233" s="554"/>
      <c r="CJ1233" s="554"/>
      <c r="CK1233" s="554"/>
      <c r="CL1233" s="554"/>
      <c r="CM1233" s="554"/>
      <c r="CN1233" s="554"/>
      <c r="CO1233" s="554"/>
      <c r="CP1233" s="554"/>
      <c r="CQ1233" s="554"/>
      <c r="CR1233" s="554"/>
      <c r="CS1233" s="554"/>
      <c r="CT1233" s="554"/>
      <c r="CU1233" s="554">
        <f t="shared" si="461"/>
        <v>0</v>
      </c>
      <c r="CV1233" s="554"/>
      <c r="CW1233" s="554"/>
      <c r="CX1233" s="619"/>
      <c r="CY1233" s="619"/>
      <c r="CZ1233" s="619"/>
      <c r="DA1233" s="548"/>
      <c r="DB1233" s="548"/>
      <c r="DC1233" s="548"/>
      <c r="DD1233" s="619"/>
      <c r="DE1233" s="619"/>
      <c r="DF1233" s="619"/>
      <c r="DG1233" s="619"/>
      <c r="DH1233" s="619"/>
    </row>
    <row r="1234" s="548" customFormat="1" ht="31" customHeight="1" spans="1:112">
      <c r="A1234" s="608">
        <v>46041</v>
      </c>
      <c r="B1234" s="609" t="s">
        <v>9044</v>
      </c>
      <c r="C1234" s="713" t="s">
        <v>170</v>
      </c>
      <c r="D1234" s="554">
        <v>4500191753</v>
      </c>
      <c r="E1234" s="610"/>
      <c r="F1234" s="554" t="s">
        <v>9045</v>
      </c>
      <c r="G1234" s="610" t="s">
        <v>6084</v>
      </c>
      <c r="H1234" s="610" t="s">
        <v>6069</v>
      </c>
      <c r="I1234" s="715">
        <v>3000</v>
      </c>
      <c r="J1234" s="610">
        <v>0</v>
      </c>
      <c r="K1234" s="610">
        <v>25</v>
      </c>
      <c r="L1234" s="611">
        <f t="shared" si="454"/>
        <v>120</v>
      </c>
      <c r="M1234" s="612">
        <v>46127</v>
      </c>
      <c r="N1234" s="612">
        <v>46123</v>
      </c>
      <c r="O1234" s="613"/>
      <c r="P1234" s="613" t="s">
        <v>113</v>
      </c>
      <c r="Q1234" s="610"/>
      <c r="R1234" s="614" t="s">
        <v>3629</v>
      </c>
      <c r="S1234" s="614" t="s">
        <v>70</v>
      </c>
      <c r="T1234" s="614" t="s">
        <v>8799</v>
      </c>
      <c r="U1234" s="614"/>
      <c r="V1234" s="614"/>
      <c r="W1234" s="615"/>
      <c r="X1234" s="609" t="s">
        <v>9046</v>
      </c>
      <c r="Y1234" s="609" t="s">
        <v>3163</v>
      </c>
      <c r="Z1234" s="609">
        <v>0.9342</v>
      </c>
      <c r="AA1234" s="616">
        <f t="shared" si="465"/>
        <v>2802.6</v>
      </c>
      <c r="AC1234" s="617"/>
      <c r="AD1234" s="610" t="s">
        <v>6089</v>
      </c>
      <c r="AE1234" s="610" t="s">
        <v>82</v>
      </c>
      <c r="AF1234" s="610"/>
      <c r="AG1234" s="609"/>
      <c r="AH1234" s="618">
        <v>1</v>
      </c>
      <c r="AI1234" s="610">
        <v>3000</v>
      </c>
      <c r="AJ1234" s="610">
        <f t="shared" ref="AJ1234:AJ1275" si="470">AI1234-I1234</f>
        <v>0</v>
      </c>
      <c r="AK1234" s="610"/>
      <c r="AL1234" s="610" t="s">
        <v>2368</v>
      </c>
      <c r="AM1234" s="610"/>
      <c r="AN1234" s="610">
        <f>I1234</f>
        <v>3000</v>
      </c>
      <c r="AO1234" s="554"/>
      <c r="AP1234" s="554"/>
      <c r="AQ1234" s="554"/>
      <c r="AR1234" s="619"/>
      <c r="AS1234" s="554">
        <f>I1234</f>
        <v>3000</v>
      </c>
      <c r="AT1234" s="554"/>
      <c r="AU1234" s="554">
        <f>I1234</f>
        <v>3000</v>
      </c>
      <c r="AV1234" s="554"/>
      <c r="AW1234" s="619"/>
      <c r="AX1234" s="554"/>
      <c r="AY1234" s="554"/>
      <c r="AZ1234" s="554"/>
      <c r="BA1234" s="554"/>
      <c r="BB1234" s="620">
        <f t="shared" si="466"/>
        <v>125</v>
      </c>
      <c r="BC1234" s="714"/>
      <c r="BD1234" s="554"/>
      <c r="BE1234" s="554"/>
      <c r="BF1234" s="554"/>
      <c r="BH1234" s="554"/>
      <c r="BI1234" s="554"/>
      <c r="BJ1234" s="554"/>
      <c r="BK1234" s="554"/>
      <c r="BL1234" s="554"/>
      <c r="BM1234" s="554"/>
      <c r="BN1234" s="554"/>
      <c r="BO1234" s="554">
        <f>I1234/25</f>
        <v>120</v>
      </c>
      <c r="BP1234" s="554"/>
      <c r="BQ1234" s="554"/>
      <c r="BR1234" s="554"/>
      <c r="BS1234" s="554"/>
      <c r="BT1234" s="554"/>
      <c r="BU1234" s="554"/>
      <c r="BV1234" s="554"/>
      <c r="BW1234" s="554"/>
      <c r="BX1234" s="554"/>
      <c r="BY1234" s="619"/>
      <c r="BZ1234" s="554"/>
      <c r="CA1234" s="621"/>
      <c r="CB1234" s="567"/>
      <c r="CC1234" s="622"/>
      <c r="CD1234" s="619"/>
      <c r="CE1234" s="619"/>
      <c r="CF1234" s="554"/>
      <c r="CG1234" s="554"/>
      <c r="CI1234" s="554"/>
      <c r="CJ1234" s="554"/>
      <c r="CK1234" s="554"/>
      <c r="CL1234" s="554"/>
      <c r="CM1234" s="554"/>
      <c r="CN1234" s="554"/>
      <c r="CO1234" s="554"/>
      <c r="CP1234" s="554"/>
      <c r="CQ1234" s="554"/>
      <c r="CR1234" s="554"/>
      <c r="CS1234" s="554"/>
      <c r="CT1234" s="554"/>
      <c r="CU1234" s="554">
        <f t="shared" si="461"/>
        <v>120</v>
      </c>
      <c r="CV1234" s="554">
        <f>CK1234+CL1234+CM1234+CN1234+CO1234+CQ1234+CP1234</f>
        <v>0</v>
      </c>
      <c r="CW1234" s="554">
        <f>CI1234+CJ1234</f>
        <v>0</v>
      </c>
      <c r="CX1234" s="717"/>
      <c r="CY1234" s="717"/>
      <c r="CZ1234" s="717"/>
      <c r="DA1234" s="548"/>
      <c r="DB1234" s="548"/>
      <c r="DC1234" s="548"/>
      <c r="DD1234" s="717"/>
      <c r="DE1234" s="717"/>
      <c r="DF1234" s="717"/>
      <c r="DG1234" s="717"/>
      <c r="DH1234" s="717"/>
    </row>
    <row r="1235" s="548" customFormat="1" ht="31" customHeight="1" spans="1:112">
      <c r="A1235" s="608">
        <v>46079</v>
      </c>
      <c r="B1235" s="609" t="s">
        <v>1800</v>
      </c>
      <c r="C1235" s="610" t="s">
        <v>744</v>
      </c>
      <c r="D1235" s="554">
        <v>4500192252</v>
      </c>
      <c r="E1235" s="610">
        <v>5000002110</v>
      </c>
      <c r="F1235" s="554" t="s">
        <v>3482</v>
      </c>
      <c r="G1235" s="610" t="s">
        <v>6337</v>
      </c>
      <c r="H1235" s="662" t="s">
        <v>477</v>
      </c>
      <c r="I1235" s="715">
        <v>1200</v>
      </c>
      <c r="J1235" s="610">
        <v>0</v>
      </c>
      <c r="K1235" s="610">
        <v>6</v>
      </c>
      <c r="L1235" s="611">
        <f t="shared" si="454"/>
        <v>200</v>
      </c>
      <c r="M1235" s="612">
        <v>46128</v>
      </c>
      <c r="N1235" s="612">
        <v>46125</v>
      </c>
      <c r="O1235" s="613"/>
      <c r="P1235" s="613" t="s">
        <v>113</v>
      </c>
      <c r="Q1235" s="610"/>
      <c r="R1235" s="614" t="s">
        <v>3299</v>
      </c>
      <c r="S1235" s="614" t="s">
        <v>104</v>
      </c>
      <c r="T1235" s="614" t="s">
        <v>2239</v>
      </c>
      <c r="U1235" s="614"/>
      <c r="V1235" s="614"/>
      <c r="W1235" s="615"/>
      <c r="X1235" s="609" t="s">
        <v>8891</v>
      </c>
      <c r="Y1235" s="616" t="s">
        <v>1805</v>
      </c>
      <c r="Z1235" s="718">
        <v>6.3788</v>
      </c>
      <c r="AA1235" s="616">
        <f t="shared" si="465"/>
        <v>7654.56</v>
      </c>
      <c r="AC1235" s="617"/>
      <c r="AD1235" s="610" t="s">
        <v>2241</v>
      </c>
      <c r="AE1235" s="610" t="s">
        <v>82</v>
      </c>
      <c r="AF1235" s="610"/>
      <c r="AG1235" s="610"/>
      <c r="AH1235" s="618">
        <v>1</v>
      </c>
      <c r="AI1235" s="610">
        <v>1200</v>
      </c>
      <c r="AJ1235" s="610">
        <f t="shared" si="470"/>
        <v>0</v>
      </c>
      <c r="AK1235" s="610"/>
      <c r="AL1235" s="610" t="s">
        <v>2368</v>
      </c>
      <c r="AM1235" s="610"/>
      <c r="AN1235" s="610"/>
      <c r="AO1235" s="554">
        <f>I1235*2</f>
        <v>2400</v>
      </c>
      <c r="AP1235" s="554"/>
      <c r="AQ1235" s="554"/>
      <c r="AR1235" s="619"/>
      <c r="AS1235" s="554"/>
      <c r="AT1235" s="554">
        <f>I1235*2</f>
        <v>2400</v>
      </c>
      <c r="AU1235" s="554"/>
      <c r="AV1235" s="554"/>
      <c r="AW1235" s="554"/>
      <c r="AX1235" s="663">
        <f>I1235*2</f>
        <v>2400</v>
      </c>
      <c r="AY1235" s="554"/>
      <c r="AZ1235" s="554"/>
      <c r="BA1235" s="671">
        <f>I1235/24*2</f>
        <v>100</v>
      </c>
      <c r="BB1235" s="620"/>
      <c r="BC1235" s="714"/>
      <c r="BD1235" s="554"/>
      <c r="BE1235" s="554"/>
      <c r="BF1235" s="554"/>
      <c r="BH1235" s="554"/>
      <c r="BI1235" s="554"/>
      <c r="BJ1235" s="554"/>
      <c r="BK1235" s="554"/>
      <c r="BL1235" s="554"/>
      <c r="BM1235" s="554"/>
      <c r="BN1235" s="554"/>
      <c r="BO1235" s="554"/>
      <c r="BP1235" s="554"/>
      <c r="BQ1235" s="554"/>
      <c r="BR1235" s="554"/>
      <c r="BS1235" s="554"/>
      <c r="BT1235" s="554"/>
      <c r="BU1235" s="554"/>
      <c r="BV1235" s="554"/>
      <c r="BW1235" s="554"/>
      <c r="BX1235" s="554"/>
      <c r="BY1235" s="619"/>
      <c r="BZ1235" s="554">
        <f>I1235</f>
        <v>1200</v>
      </c>
      <c r="CA1235" s="621"/>
      <c r="CB1235" s="567"/>
      <c r="CC1235" s="622"/>
      <c r="CD1235" s="619"/>
      <c r="CE1235" s="619"/>
      <c r="CF1235" s="554"/>
      <c r="CG1235" s="554"/>
      <c r="CI1235" s="554"/>
      <c r="CJ1235" s="554"/>
      <c r="CK1235" s="554"/>
      <c r="CL1235" s="554"/>
      <c r="CM1235" s="554"/>
      <c r="CN1235" s="554"/>
      <c r="CO1235" s="554"/>
      <c r="CP1235" s="554"/>
      <c r="CQ1235" s="554"/>
      <c r="CR1235" s="554"/>
      <c r="CS1235" s="554"/>
      <c r="CT1235" s="554"/>
      <c r="CU1235" s="554">
        <f t="shared" si="461"/>
        <v>0</v>
      </c>
      <c r="CV1235" s="554">
        <f>CK1235+CL1235+CM1235+CN1235+CO1235+CQ1235+CP1235</f>
        <v>0</v>
      </c>
      <c r="CW1235" s="554">
        <f>CI1235+CJ1235</f>
        <v>0</v>
      </c>
      <c r="CX1235" s="619"/>
      <c r="CY1235" s="619"/>
      <c r="CZ1235" s="619"/>
      <c r="DA1235" s="548"/>
      <c r="DB1235" s="548"/>
      <c r="DC1235" s="548"/>
      <c r="DD1235" s="619"/>
      <c r="DE1235" s="619"/>
      <c r="DF1235" s="619"/>
      <c r="DG1235" s="619"/>
      <c r="DH1235" s="619"/>
    </row>
    <row r="1236" s="548" customFormat="1" ht="31" customHeight="1" spans="1:112">
      <c r="A1236" s="608">
        <v>46079</v>
      </c>
      <c r="B1236" s="609" t="s">
        <v>1800</v>
      </c>
      <c r="C1236" s="610" t="s">
        <v>744</v>
      </c>
      <c r="D1236" s="554">
        <v>4500192252</v>
      </c>
      <c r="E1236" s="610">
        <v>5000002110</v>
      </c>
      <c r="F1236" s="554" t="s">
        <v>9047</v>
      </c>
      <c r="G1236" s="610" t="s">
        <v>6093</v>
      </c>
      <c r="H1236" s="639" t="s">
        <v>7359</v>
      </c>
      <c r="I1236" s="715">
        <v>7800</v>
      </c>
      <c r="J1236" s="610">
        <v>0</v>
      </c>
      <c r="K1236" s="610">
        <v>13</v>
      </c>
      <c r="L1236" s="611">
        <f t="shared" si="454"/>
        <v>600</v>
      </c>
      <c r="M1236" s="612">
        <v>46128</v>
      </c>
      <c r="N1236" s="612">
        <v>46125</v>
      </c>
      <c r="O1236" s="613"/>
      <c r="P1236" s="613" t="s">
        <v>113</v>
      </c>
      <c r="Q1236" s="610"/>
      <c r="R1236" s="614" t="s">
        <v>8889</v>
      </c>
      <c r="S1236" s="614" t="s">
        <v>104</v>
      </c>
      <c r="T1236" s="614" t="s">
        <v>8723</v>
      </c>
      <c r="U1236" s="614"/>
      <c r="V1236" s="614"/>
      <c r="W1236" s="615"/>
      <c r="X1236" s="609" t="s">
        <v>8890</v>
      </c>
      <c r="Y1236" s="716" t="s">
        <v>1805</v>
      </c>
      <c r="Z1236" s="718">
        <v>0.8677</v>
      </c>
      <c r="AA1236" s="616">
        <f t="shared" si="465"/>
        <v>6768.06</v>
      </c>
      <c r="AC1236" s="617"/>
      <c r="AD1236" s="610" t="s">
        <v>8338</v>
      </c>
      <c r="AE1236" s="610" t="s">
        <v>82</v>
      </c>
      <c r="AF1236" s="610"/>
      <c r="AG1236" s="610"/>
      <c r="AH1236" s="618">
        <v>1</v>
      </c>
      <c r="AI1236" s="610">
        <v>7800</v>
      </c>
      <c r="AJ1236" s="610">
        <f t="shared" si="470"/>
        <v>0</v>
      </c>
      <c r="AK1236" s="610"/>
      <c r="AL1236" s="610" t="s">
        <v>454</v>
      </c>
      <c r="AM1236" s="610"/>
      <c r="AN1236" s="610"/>
      <c r="AO1236" s="554">
        <f>I1236</f>
        <v>7800</v>
      </c>
      <c r="AP1236" s="554"/>
      <c r="AQ1236" s="554"/>
      <c r="AR1236" s="619"/>
      <c r="AS1236" s="554"/>
      <c r="AT1236" s="554"/>
      <c r="AU1236" s="554"/>
      <c r="AV1236" s="554"/>
      <c r="AW1236" s="650">
        <f>I1236</f>
        <v>7800</v>
      </c>
      <c r="AX1236" s="554">
        <f>I1236</f>
        <v>7800</v>
      </c>
      <c r="AY1236" s="554"/>
      <c r="AZ1236" s="554"/>
      <c r="BA1236" s="714">
        <f>I1236/24*2</f>
        <v>650</v>
      </c>
      <c r="BB1236" s="620"/>
      <c r="BC1236" s="714"/>
      <c r="BD1236" s="554"/>
      <c r="BE1236" s="554"/>
      <c r="BF1236" s="554"/>
      <c r="BH1236" s="554"/>
      <c r="BI1236" s="554"/>
      <c r="BJ1236" s="554"/>
      <c r="BK1236" s="554"/>
      <c r="BL1236" s="554"/>
      <c r="BM1236" s="554">
        <f>I1236/13</f>
        <v>600</v>
      </c>
      <c r="BN1236" s="554"/>
      <c r="BO1236" s="554"/>
      <c r="BP1236" s="554"/>
      <c r="BQ1236" s="554"/>
      <c r="BR1236" s="554"/>
      <c r="BS1236" s="554"/>
      <c r="BT1236" s="554"/>
      <c r="BU1236" s="554"/>
      <c r="BV1236" s="554"/>
      <c r="BW1236" s="554"/>
      <c r="BX1236" s="554"/>
      <c r="BY1236" s="619"/>
      <c r="BZ1236" s="554"/>
      <c r="CA1236" s="621"/>
      <c r="CB1236" s="567"/>
      <c r="CC1236" s="622"/>
      <c r="CD1236" s="619"/>
      <c r="CE1236" s="619"/>
      <c r="CF1236" s="554"/>
      <c r="CG1236" s="554"/>
      <c r="CI1236" s="554"/>
      <c r="CJ1236" s="554"/>
      <c r="CK1236" s="554"/>
      <c r="CL1236" s="554"/>
      <c r="CM1236" s="554"/>
      <c r="CN1236" s="554"/>
      <c r="CO1236" s="554"/>
      <c r="CP1236" s="554"/>
      <c r="CQ1236" s="554"/>
      <c r="CR1236" s="554"/>
      <c r="CS1236" s="554"/>
      <c r="CT1236" s="554"/>
      <c r="CU1236" s="554">
        <f t="shared" si="461"/>
        <v>0</v>
      </c>
      <c r="CV1236" s="554">
        <f>CK1236+CL1236+CM1236+CN1236+CO1236+CQ1236+CP1236</f>
        <v>0</v>
      </c>
      <c r="CW1236" s="554">
        <f>CI1236+CJ1236</f>
        <v>0</v>
      </c>
      <c r="CX1236" s="619"/>
      <c r="CY1236" s="619"/>
      <c r="CZ1236" s="619"/>
      <c r="DA1236" s="548"/>
      <c r="DB1236" s="548"/>
      <c r="DC1236" s="548"/>
      <c r="DD1236" s="619"/>
      <c r="DE1236" s="619"/>
      <c r="DF1236" s="619"/>
      <c r="DG1236" s="619"/>
      <c r="DH1236" s="619"/>
    </row>
    <row r="1237" s="548" customFormat="1" ht="31" customHeight="1" spans="1:112">
      <c r="A1237" s="608">
        <v>45978</v>
      </c>
      <c r="B1237" s="609" t="s">
        <v>1492</v>
      </c>
      <c r="C1237" s="713" t="s">
        <v>98</v>
      </c>
      <c r="D1237" s="554">
        <v>4500185965</v>
      </c>
      <c r="E1237" s="613">
        <v>2671218409</v>
      </c>
      <c r="F1237" s="554" t="s">
        <v>3484</v>
      </c>
      <c r="G1237" s="610" t="s">
        <v>8457</v>
      </c>
      <c r="H1237" s="610" t="s">
        <v>830</v>
      </c>
      <c r="I1237" s="610">
        <v>5400</v>
      </c>
      <c r="J1237" s="610">
        <v>0</v>
      </c>
      <c r="K1237" s="610">
        <v>75</v>
      </c>
      <c r="L1237" s="611">
        <f t="shared" si="454"/>
        <v>72</v>
      </c>
      <c r="M1237" s="612">
        <v>46129</v>
      </c>
      <c r="N1237" s="612">
        <v>46125</v>
      </c>
      <c r="O1237" s="613"/>
      <c r="P1237" s="613" t="s">
        <v>113</v>
      </c>
      <c r="Q1237" s="610"/>
      <c r="R1237" s="614" t="s">
        <v>2667</v>
      </c>
      <c r="S1237" s="614" t="s">
        <v>70</v>
      </c>
      <c r="T1237" s="614" t="s">
        <v>70</v>
      </c>
      <c r="U1237" s="614"/>
      <c r="V1237" s="614"/>
      <c r="W1237" s="615"/>
      <c r="X1237" s="609" t="s">
        <v>2826</v>
      </c>
      <c r="Y1237" s="716" t="s">
        <v>911</v>
      </c>
      <c r="Z1237" s="609">
        <v>359.3436</v>
      </c>
      <c r="AA1237" s="616">
        <f>Z1237*L1237</f>
        <v>25872.7392</v>
      </c>
      <c r="AC1237" s="629" t="s">
        <v>3485</v>
      </c>
      <c r="AD1237" s="609" t="s">
        <v>1498</v>
      </c>
      <c r="AE1237" s="610" t="s">
        <v>82</v>
      </c>
      <c r="AF1237" s="610"/>
      <c r="AG1237" s="609"/>
      <c r="AH1237" s="618">
        <v>1</v>
      </c>
      <c r="AI1237" s="610">
        <f>4280+1120</f>
        <v>5400</v>
      </c>
      <c r="AJ1237" s="610">
        <f t="shared" si="470"/>
        <v>0</v>
      </c>
      <c r="AK1237" s="610"/>
      <c r="AL1237" s="610"/>
      <c r="AM1237" s="610"/>
      <c r="AN1237" s="610">
        <f>I1237*3</f>
        <v>16200</v>
      </c>
      <c r="AO1237" s="554"/>
      <c r="AP1237" s="554"/>
      <c r="AQ1237" s="554"/>
      <c r="AR1237" s="619"/>
      <c r="AS1237" s="554"/>
      <c r="AT1237" s="554"/>
      <c r="AU1237" s="554"/>
      <c r="AV1237" s="554"/>
      <c r="AW1237" s="619"/>
      <c r="AX1237" s="554"/>
      <c r="AY1237" s="554"/>
      <c r="AZ1237" s="554"/>
      <c r="BA1237" s="554"/>
      <c r="BB1237" s="620">
        <f>I1237/24*3</f>
        <v>675</v>
      </c>
      <c r="BC1237" s="714"/>
      <c r="BD1237" s="554"/>
      <c r="BE1237" s="554"/>
      <c r="BF1237" s="554">
        <f>AN1237</f>
        <v>16200</v>
      </c>
      <c r="BH1237" s="554">
        <f>AN1237</f>
        <v>16200</v>
      </c>
      <c r="BI1237" s="554">
        <f>I1237</f>
        <v>5400</v>
      </c>
      <c r="BJ1237" s="554">
        <f>I1237/5</f>
        <v>1080</v>
      </c>
      <c r="BK1237" s="554"/>
      <c r="BL1237" s="554"/>
      <c r="BM1237" s="554"/>
      <c r="BN1237" s="554"/>
      <c r="BO1237" s="554"/>
      <c r="BP1237" s="554"/>
      <c r="BQ1237" s="554"/>
      <c r="BR1237" s="554"/>
      <c r="BS1237" s="554"/>
      <c r="BT1237" s="554"/>
      <c r="BU1237" s="554"/>
      <c r="BV1237" s="554"/>
      <c r="BW1237" s="554"/>
      <c r="BX1237" s="554"/>
      <c r="BY1237" s="619"/>
      <c r="BZ1237" s="554"/>
      <c r="CA1237" s="621"/>
      <c r="CB1237" s="567"/>
      <c r="CC1237" s="622"/>
      <c r="CD1237" s="619"/>
      <c r="CE1237" s="619"/>
      <c r="CF1237" s="554"/>
      <c r="CG1237" s="554"/>
      <c r="CI1237" s="554"/>
      <c r="CJ1237" s="554"/>
      <c r="CK1237" s="554"/>
      <c r="CL1237" s="554"/>
      <c r="CM1237" s="554"/>
      <c r="CN1237" s="554"/>
      <c r="CO1237" s="554"/>
      <c r="CP1237" s="554"/>
      <c r="CQ1237" s="554"/>
      <c r="CR1237" s="554"/>
      <c r="CS1237" s="554"/>
      <c r="CT1237" s="554"/>
      <c r="CU1237" s="554">
        <f t="shared" si="461"/>
        <v>0</v>
      </c>
      <c r="CV1237" s="554">
        <f>CK1237+CL1237+CM1237+CN1237+CO1237+CQ1237+CP1237</f>
        <v>0</v>
      </c>
      <c r="CW1237" s="554">
        <f>CI1237+CJ1237</f>
        <v>0</v>
      </c>
      <c r="CX1237" s="619"/>
      <c r="CY1237" s="619"/>
      <c r="CZ1237" s="619"/>
      <c r="DA1237" s="548"/>
      <c r="DB1237" s="548"/>
      <c r="DC1237" s="548"/>
      <c r="DD1237" s="619"/>
      <c r="DE1237" s="619"/>
      <c r="DF1237" s="619"/>
      <c r="DG1237" s="619"/>
      <c r="DH1237" s="619"/>
    </row>
    <row r="1238" s="548" customFormat="1" ht="31" customHeight="1" spans="1:112">
      <c r="A1238" s="608">
        <v>46065</v>
      </c>
      <c r="B1238" s="609" t="s">
        <v>3340</v>
      </c>
      <c r="C1238" s="610" t="s">
        <v>98</v>
      </c>
      <c r="D1238" s="554">
        <v>4500193772</v>
      </c>
      <c r="E1238" s="610">
        <v>272593</v>
      </c>
      <c r="F1238" s="554" t="s">
        <v>9048</v>
      </c>
      <c r="G1238" s="610" t="s">
        <v>6787</v>
      </c>
      <c r="H1238" s="610" t="s">
        <v>6126</v>
      </c>
      <c r="I1238" s="610">
        <v>2196</v>
      </c>
      <c r="J1238" s="610">
        <v>0</v>
      </c>
      <c r="K1238" s="610">
        <v>12</v>
      </c>
      <c r="L1238" s="611">
        <f t="shared" si="454"/>
        <v>183</v>
      </c>
      <c r="M1238" s="612">
        <v>46129</v>
      </c>
      <c r="N1238" s="612">
        <v>46125</v>
      </c>
      <c r="O1238" s="613"/>
      <c r="P1238" s="613" t="s">
        <v>113</v>
      </c>
      <c r="Q1238" s="610"/>
      <c r="R1238" s="614">
        <v>46081</v>
      </c>
      <c r="S1238" s="614" t="s">
        <v>70</v>
      </c>
      <c r="T1238" s="614" t="s">
        <v>8730</v>
      </c>
      <c r="U1238" s="614"/>
      <c r="V1238" s="614"/>
      <c r="W1238" s="615"/>
      <c r="X1238" s="609" t="s">
        <v>9049</v>
      </c>
      <c r="Y1238" s="616" t="s">
        <v>2554</v>
      </c>
      <c r="Z1238" s="609">
        <v>1.3094</v>
      </c>
      <c r="AA1238" s="616">
        <f>Z1238*I1238</f>
        <v>2875.4424</v>
      </c>
      <c r="AC1238" s="629" t="s">
        <v>9050</v>
      </c>
      <c r="AD1238" s="610" t="s">
        <v>8079</v>
      </c>
      <c r="AE1238" s="610" t="s">
        <v>82</v>
      </c>
      <c r="AF1238" s="610"/>
      <c r="AG1238" s="609"/>
      <c r="AH1238" s="618">
        <v>1</v>
      </c>
      <c r="AI1238" s="610">
        <v>2196</v>
      </c>
      <c r="AJ1238" s="610">
        <f t="shared" si="470"/>
        <v>0</v>
      </c>
      <c r="AK1238" s="610"/>
      <c r="AL1238" s="610" t="s">
        <v>2368</v>
      </c>
      <c r="AM1238" s="610"/>
      <c r="AN1238" s="610">
        <f>I1238*2</f>
        <v>4392</v>
      </c>
      <c r="AO1238" s="554"/>
      <c r="AP1238" s="554"/>
      <c r="AQ1238" s="554">
        <f>I1238*2</f>
        <v>4392</v>
      </c>
      <c r="AR1238" s="619"/>
      <c r="AS1238" s="554"/>
      <c r="AT1238" s="554"/>
      <c r="AU1238" s="554">
        <f>I1238*2</f>
        <v>4392</v>
      </c>
      <c r="AV1238" s="554"/>
      <c r="AW1238" s="619"/>
      <c r="AX1238" s="554"/>
      <c r="AY1238" s="554"/>
      <c r="AZ1238" s="554"/>
      <c r="BA1238" s="554"/>
      <c r="BB1238" s="249">
        <f>I1238/24*2</f>
        <v>183</v>
      </c>
      <c r="BC1238" s="714"/>
      <c r="BD1238" s="554"/>
      <c r="BE1238" s="554"/>
      <c r="BF1238" s="554"/>
      <c r="BH1238" s="554"/>
      <c r="BI1238" s="554"/>
      <c r="BJ1238" s="554"/>
      <c r="BK1238" s="554"/>
      <c r="BL1238" s="554"/>
      <c r="BM1238" s="554"/>
      <c r="BN1238" s="554"/>
      <c r="BO1238" s="554"/>
      <c r="BP1238" s="554"/>
      <c r="BQ1238" s="554"/>
      <c r="BR1238" s="554"/>
      <c r="BS1238" s="554"/>
      <c r="BT1238" s="554"/>
      <c r="BU1238" s="554"/>
      <c r="BV1238" s="554"/>
      <c r="BW1238" s="554"/>
      <c r="BX1238" s="554"/>
      <c r="BY1238" s="619"/>
      <c r="BZ1238" s="554"/>
      <c r="CA1238" s="621"/>
      <c r="CB1238" s="567"/>
      <c r="CC1238" s="622"/>
      <c r="CD1238" s="619"/>
      <c r="CE1238" s="619"/>
      <c r="CF1238" s="554"/>
      <c r="CG1238" s="554"/>
      <c r="CI1238" s="554"/>
      <c r="CJ1238" s="554"/>
      <c r="CK1238" s="554"/>
      <c r="CL1238" s="554"/>
      <c r="CM1238" s="554"/>
      <c r="CN1238" s="554"/>
      <c r="CO1238" s="554"/>
      <c r="CP1238" s="554"/>
      <c r="CQ1238" s="554"/>
      <c r="CR1238" s="554">
        <f>I1238</f>
        <v>2196</v>
      </c>
      <c r="CS1238" s="554">
        <f>I1238</f>
        <v>2196</v>
      </c>
      <c r="CT1238" s="554">
        <f>I1238</f>
        <v>2196</v>
      </c>
      <c r="CU1238" s="554">
        <f t="shared" si="461"/>
        <v>0</v>
      </c>
      <c r="CV1238" s="554">
        <v>0</v>
      </c>
      <c r="CW1238" s="554">
        <v>0</v>
      </c>
      <c r="CX1238" s="619"/>
      <c r="CY1238" s="619"/>
      <c r="CZ1238" s="619"/>
      <c r="DA1238" s="548"/>
      <c r="DB1238" s="548"/>
      <c r="DC1238" s="548"/>
      <c r="DD1238" s="619"/>
      <c r="DE1238" s="619"/>
      <c r="DF1238" s="619"/>
      <c r="DG1238" s="619"/>
      <c r="DH1238" s="619"/>
    </row>
    <row r="1239" s="548" customFormat="1" ht="31" customHeight="1" spans="1:112">
      <c r="A1239" s="608">
        <v>46065</v>
      </c>
      <c r="B1239" s="609" t="s">
        <v>3340</v>
      </c>
      <c r="C1239" s="610" t="s">
        <v>98</v>
      </c>
      <c r="D1239" s="554">
        <v>4500193773</v>
      </c>
      <c r="E1239" s="610">
        <v>272597</v>
      </c>
      <c r="F1239" s="554" t="s">
        <v>9051</v>
      </c>
      <c r="G1239" s="610" t="s">
        <v>6787</v>
      </c>
      <c r="H1239" s="610" t="s">
        <v>6126</v>
      </c>
      <c r="I1239" s="610">
        <v>2400</v>
      </c>
      <c r="J1239" s="610">
        <v>0</v>
      </c>
      <c r="K1239" s="610">
        <v>12</v>
      </c>
      <c r="L1239" s="611">
        <f t="shared" si="454"/>
        <v>200</v>
      </c>
      <c r="M1239" s="612">
        <v>46129</v>
      </c>
      <c r="N1239" s="612">
        <v>46125</v>
      </c>
      <c r="O1239" s="613"/>
      <c r="P1239" s="613" t="s">
        <v>113</v>
      </c>
      <c r="Q1239" s="610"/>
      <c r="R1239" s="614">
        <v>46081</v>
      </c>
      <c r="S1239" s="614" t="s">
        <v>70</v>
      </c>
      <c r="T1239" s="614" t="s">
        <v>8730</v>
      </c>
      <c r="U1239" s="614"/>
      <c r="V1239" s="614"/>
      <c r="W1239" s="615"/>
      <c r="X1239" s="609" t="s">
        <v>9052</v>
      </c>
      <c r="Y1239" s="616" t="s">
        <v>2554</v>
      </c>
      <c r="Z1239" s="609">
        <v>1.3094</v>
      </c>
      <c r="AA1239" s="616">
        <f>Z1239*I1239</f>
        <v>3142.56</v>
      </c>
      <c r="AC1239" s="629" t="s">
        <v>9053</v>
      </c>
      <c r="AD1239" s="610" t="s">
        <v>8079</v>
      </c>
      <c r="AE1239" s="610" t="s">
        <v>82</v>
      </c>
      <c r="AF1239" s="610"/>
      <c r="AG1239" s="609"/>
      <c r="AH1239" s="618">
        <v>1</v>
      </c>
      <c r="AI1239" s="610">
        <v>2400</v>
      </c>
      <c r="AJ1239" s="610">
        <f t="shared" si="470"/>
        <v>0</v>
      </c>
      <c r="AK1239" s="610"/>
      <c r="AL1239" s="610" t="s">
        <v>2368</v>
      </c>
      <c r="AM1239" s="610"/>
      <c r="AN1239" s="610">
        <f>I1239*2</f>
        <v>4800</v>
      </c>
      <c r="AO1239" s="554"/>
      <c r="AP1239" s="554"/>
      <c r="AQ1239" s="554">
        <f>I1239*2</f>
        <v>4800</v>
      </c>
      <c r="AR1239" s="619"/>
      <c r="AS1239" s="554"/>
      <c r="AT1239" s="554"/>
      <c r="AU1239" s="554">
        <f>I1239*2</f>
        <v>4800</v>
      </c>
      <c r="AV1239" s="554"/>
      <c r="AW1239" s="619"/>
      <c r="AX1239" s="554"/>
      <c r="AY1239" s="554"/>
      <c r="AZ1239" s="554"/>
      <c r="BA1239" s="554"/>
      <c r="BB1239" s="249">
        <f>I1239/24*2</f>
        <v>200</v>
      </c>
      <c r="BC1239" s="714"/>
      <c r="BD1239" s="554"/>
      <c r="BE1239" s="554"/>
      <c r="BF1239" s="554"/>
      <c r="BH1239" s="554"/>
      <c r="BI1239" s="554"/>
      <c r="BJ1239" s="554"/>
      <c r="BK1239" s="554"/>
      <c r="BL1239" s="554"/>
      <c r="BM1239" s="554"/>
      <c r="BN1239" s="554"/>
      <c r="BO1239" s="554"/>
      <c r="BP1239" s="554"/>
      <c r="BQ1239" s="554"/>
      <c r="BR1239" s="554"/>
      <c r="BS1239" s="554"/>
      <c r="BT1239" s="554"/>
      <c r="BU1239" s="554"/>
      <c r="BV1239" s="554"/>
      <c r="BW1239" s="554"/>
      <c r="BX1239" s="554"/>
      <c r="BY1239" s="619"/>
      <c r="BZ1239" s="554"/>
      <c r="CA1239" s="621"/>
      <c r="CB1239" s="567"/>
      <c r="CC1239" s="622"/>
      <c r="CD1239" s="619"/>
      <c r="CE1239" s="619"/>
      <c r="CF1239" s="554"/>
      <c r="CG1239" s="554"/>
      <c r="CI1239" s="554"/>
      <c r="CJ1239" s="554"/>
      <c r="CK1239" s="554"/>
      <c r="CL1239" s="554"/>
      <c r="CM1239" s="554"/>
      <c r="CN1239" s="554"/>
      <c r="CO1239" s="554"/>
      <c r="CP1239" s="554"/>
      <c r="CQ1239" s="554"/>
      <c r="CR1239" s="554">
        <f>I1239</f>
        <v>2400</v>
      </c>
      <c r="CS1239" s="554">
        <f>I1239</f>
        <v>2400</v>
      </c>
      <c r="CT1239" s="554">
        <f>I1239</f>
        <v>2400</v>
      </c>
      <c r="CU1239" s="554">
        <f t="shared" si="461"/>
        <v>0</v>
      </c>
      <c r="CV1239" s="554">
        <v>0</v>
      </c>
      <c r="CW1239" s="554">
        <v>0</v>
      </c>
      <c r="CX1239" s="619"/>
      <c r="CY1239" s="619"/>
      <c r="CZ1239" s="619"/>
      <c r="DA1239" s="548"/>
      <c r="DB1239" s="548"/>
      <c r="DC1239" s="548"/>
      <c r="DD1239" s="619"/>
      <c r="DE1239" s="619"/>
      <c r="DF1239" s="619"/>
      <c r="DG1239" s="619"/>
      <c r="DH1239" s="619"/>
    </row>
    <row r="1240" s="548" customFormat="1" ht="31" customHeight="1" spans="1:112">
      <c r="A1240" s="608">
        <v>45978</v>
      </c>
      <c r="B1240" s="609" t="s">
        <v>1492</v>
      </c>
      <c r="C1240" s="713" t="s">
        <v>98</v>
      </c>
      <c r="D1240" s="554">
        <v>4500185964</v>
      </c>
      <c r="E1240" s="613">
        <v>10521218450</v>
      </c>
      <c r="F1240" s="554" t="s">
        <v>3487</v>
      </c>
      <c r="G1240" s="610" t="s">
        <v>8457</v>
      </c>
      <c r="H1240" s="610" t="s">
        <v>830</v>
      </c>
      <c r="I1240" s="610">
        <v>5400</v>
      </c>
      <c r="J1240" s="610">
        <v>0</v>
      </c>
      <c r="K1240" s="610">
        <v>75</v>
      </c>
      <c r="L1240" s="611">
        <f t="shared" si="454"/>
        <v>72</v>
      </c>
      <c r="M1240" s="612">
        <v>46122</v>
      </c>
      <c r="N1240" s="612">
        <v>46118</v>
      </c>
      <c r="O1240" s="613"/>
      <c r="P1240" s="613" t="s">
        <v>113</v>
      </c>
      <c r="Q1240" s="610"/>
      <c r="R1240" s="614" t="s">
        <v>2667</v>
      </c>
      <c r="S1240" s="614" t="s">
        <v>70</v>
      </c>
      <c r="T1240" s="614" t="s">
        <v>70</v>
      </c>
      <c r="U1240" s="614"/>
      <c r="V1240" s="614"/>
      <c r="W1240" s="615"/>
      <c r="X1240" s="609" t="s">
        <v>2826</v>
      </c>
      <c r="Y1240" s="716" t="s">
        <v>911</v>
      </c>
      <c r="Z1240" s="609">
        <v>359.3436</v>
      </c>
      <c r="AA1240" s="616">
        <f>Z1240*L1240</f>
        <v>25872.7392</v>
      </c>
      <c r="AC1240" s="629" t="s">
        <v>3488</v>
      </c>
      <c r="AD1240" s="609" t="s">
        <v>1498</v>
      </c>
      <c r="AE1240" s="610" t="s">
        <v>82</v>
      </c>
      <c r="AF1240" s="610"/>
      <c r="AG1240" s="609"/>
      <c r="AH1240" s="618">
        <v>1</v>
      </c>
      <c r="AI1240" s="610">
        <f>3440+560+1400</f>
        <v>5400</v>
      </c>
      <c r="AJ1240" s="610">
        <f t="shared" si="470"/>
        <v>0</v>
      </c>
      <c r="AK1240" s="610"/>
      <c r="AL1240" s="610"/>
      <c r="AM1240" s="610"/>
      <c r="AN1240" s="610">
        <f>I1240*3</f>
        <v>16200</v>
      </c>
      <c r="AO1240" s="554"/>
      <c r="AP1240" s="548"/>
      <c r="AQ1240" s="548"/>
      <c r="AR1240" s="619"/>
      <c r="AS1240" s="548"/>
      <c r="AT1240" s="548"/>
      <c r="AU1240" s="554"/>
      <c r="AV1240" s="554"/>
      <c r="AW1240" s="619"/>
      <c r="AX1240" s="548"/>
      <c r="AY1240" s="548"/>
      <c r="AZ1240" s="548"/>
      <c r="BA1240" s="548"/>
      <c r="BB1240" s="620">
        <f>I1240/24*3</f>
        <v>675</v>
      </c>
      <c r="BC1240" s="714"/>
      <c r="BD1240" s="548"/>
      <c r="BE1240" s="548"/>
      <c r="BF1240" s="554">
        <f>AN1240</f>
        <v>16200</v>
      </c>
      <c r="BH1240" s="554">
        <f>AN1240</f>
        <v>16200</v>
      </c>
      <c r="BI1240" s="554">
        <f>I1240</f>
        <v>5400</v>
      </c>
      <c r="BJ1240" s="554">
        <f>I1240/5</f>
        <v>1080</v>
      </c>
      <c r="BY1240" s="619"/>
      <c r="BZ1240" s="548"/>
      <c r="CA1240" s="621"/>
      <c r="CB1240" s="567"/>
      <c r="CC1240" s="622"/>
      <c r="CD1240" s="619"/>
      <c r="CE1240" s="619"/>
      <c r="CF1240" s="548"/>
      <c r="CG1240" s="548"/>
      <c r="CU1240" s="554">
        <f t="shared" si="461"/>
        <v>0</v>
      </c>
      <c r="CV1240" s="554">
        <f>CK1240+CL1240+CM1240+CN1240+CO1240+CQ1240+CP1240</f>
        <v>0</v>
      </c>
      <c r="CW1240" s="554">
        <f>CI1240+CJ1240</f>
        <v>0</v>
      </c>
      <c r="CX1240" s="619"/>
      <c r="CY1240" s="619"/>
      <c r="CZ1240" s="619"/>
      <c r="DA1240" s="548"/>
      <c r="DB1240" s="548"/>
      <c r="DC1240" s="548"/>
      <c r="DD1240" s="619"/>
      <c r="DE1240" s="619"/>
      <c r="DF1240" s="619"/>
      <c r="DG1240" s="619"/>
      <c r="DH1240" s="619"/>
    </row>
    <row r="1241" s="548" customFormat="1" ht="31" customHeight="1" spans="1:112">
      <c r="A1241" s="608">
        <v>46059</v>
      </c>
      <c r="B1241" s="609" t="s">
        <v>9054</v>
      </c>
      <c r="C1241" s="610" t="s">
        <v>278</v>
      </c>
      <c r="D1241" s="554" t="s">
        <v>9055</v>
      </c>
      <c r="E1241" s="610" t="s">
        <v>9056</v>
      </c>
      <c r="F1241" s="554" t="s">
        <v>9057</v>
      </c>
      <c r="G1241" s="610" t="s">
        <v>9058</v>
      </c>
      <c r="H1241" s="610" t="s">
        <v>6033</v>
      </c>
      <c r="I1241" s="610">
        <v>15315</v>
      </c>
      <c r="J1241" s="610">
        <v>0</v>
      </c>
      <c r="K1241" s="610">
        <v>15</v>
      </c>
      <c r="L1241" s="611">
        <f t="shared" si="454"/>
        <v>1021</v>
      </c>
      <c r="M1241" s="612">
        <v>46129</v>
      </c>
      <c r="N1241" s="612">
        <f>M1241-4</f>
        <v>46125</v>
      </c>
      <c r="O1241" s="613"/>
      <c r="P1241" s="613" t="s">
        <v>113</v>
      </c>
      <c r="Q1241" s="610" t="s">
        <v>9059</v>
      </c>
      <c r="R1241" s="614" t="s">
        <v>1242</v>
      </c>
      <c r="S1241" s="614" t="s">
        <v>70</v>
      </c>
      <c r="T1241" s="614" t="s">
        <v>9060</v>
      </c>
      <c r="U1241" s="614"/>
      <c r="V1241" s="614" t="s">
        <v>9061</v>
      </c>
      <c r="W1241" s="615"/>
      <c r="X1241" s="609" t="s">
        <v>9062</v>
      </c>
      <c r="Y1241" s="609" t="s">
        <v>388</v>
      </c>
      <c r="Z1241" s="609">
        <v>0.8578</v>
      </c>
      <c r="AA1241" s="616">
        <f t="shared" ref="AA1241:AA1250" si="471">Z1241*I1241</f>
        <v>13137.207</v>
      </c>
      <c r="AC1241" s="617"/>
      <c r="AD1241" s="610" t="s">
        <v>9058</v>
      </c>
      <c r="AE1241" s="610" t="s">
        <v>82</v>
      </c>
      <c r="AF1241" s="610"/>
      <c r="AG1241" s="610"/>
      <c r="AH1241" s="628" t="s">
        <v>9063</v>
      </c>
      <c r="AI1241" s="610">
        <f>10815+4500</f>
        <v>15315</v>
      </c>
      <c r="AJ1241" s="610">
        <f t="shared" si="470"/>
        <v>0</v>
      </c>
      <c r="AK1241" s="610"/>
      <c r="AL1241" s="610" t="s">
        <v>2368</v>
      </c>
      <c r="AM1241" s="610"/>
      <c r="AN1241" s="610"/>
      <c r="AO1241" s="554">
        <f>I1241</f>
        <v>15315</v>
      </c>
      <c r="AP1241" s="554"/>
      <c r="AQ1241" s="554"/>
      <c r="AR1241" s="619"/>
      <c r="AS1241" s="554"/>
      <c r="AT1241" s="554">
        <f>I1241</f>
        <v>15315</v>
      </c>
      <c r="AU1241" s="554"/>
      <c r="AV1241" s="554">
        <f>I1241</f>
        <v>15315</v>
      </c>
      <c r="AW1241" s="619"/>
      <c r="AX1241" s="554"/>
      <c r="AY1241" s="554"/>
      <c r="AZ1241" s="554"/>
      <c r="BA1241" s="554"/>
      <c r="BB1241" s="620">
        <f>I1241/24</f>
        <v>638.125</v>
      </c>
      <c r="BC1241" s="714"/>
      <c r="BD1241" s="554"/>
      <c r="BE1241" s="554"/>
      <c r="BF1241" s="554"/>
      <c r="BH1241" s="554"/>
      <c r="BI1241" s="554"/>
      <c r="BJ1241" s="554"/>
      <c r="BK1241" s="554"/>
      <c r="BL1241" s="554"/>
      <c r="BM1241" s="554"/>
      <c r="BN1241" s="554"/>
      <c r="BO1241" s="554"/>
      <c r="BP1241" s="554"/>
      <c r="BQ1241" s="554"/>
      <c r="BR1241" s="554"/>
      <c r="BS1241" s="554"/>
      <c r="BT1241" s="554"/>
      <c r="BU1241" s="554"/>
      <c r="BV1241" s="554"/>
      <c r="BW1241" s="554"/>
      <c r="BX1241" s="554"/>
      <c r="BY1241" s="619"/>
      <c r="BZ1241" s="554"/>
      <c r="CA1241" s="621"/>
      <c r="CB1241" s="567"/>
      <c r="CC1241" s="622"/>
      <c r="CD1241" s="619"/>
      <c r="CE1241" s="619"/>
      <c r="CF1241" s="554"/>
      <c r="CG1241" s="554"/>
      <c r="CI1241" s="554"/>
      <c r="CJ1241" s="554"/>
      <c r="CK1241" s="554"/>
      <c r="CL1241" s="554"/>
      <c r="CM1241" s="554"/>
      <c r="CN1241" s="554"/>
      <c r="CO1241" s="554"/>
      <c r="CP1241" s="554"/>
      <c r="CQ1241" s="554"/>
      <c r="CR1241" s="554"/>
      <c r="CS1241" s="554"/>
      <c r="CT1241" s="554"/>
      <c r="CU1241" s="554">
        <f t="shared" si="461"/>
        <v>0</v>
      </c>
      <c r="CV1241" s="554"/>
      <c r="CW1241" s="554"/>
      <c r="CX1241" s="619"/>
      <c r="CY1241" s="619"/>
      <c r="CZ1241" s="619"/>
      <c r="DA1241" s="548"/>
      <c r="DB1241" s="548"/>
      <c r="DC1241" s="548"/>
      <c r="DD1241" s="619"/>
      <c r="DE1241" s="619"/>
      <c r="DF1241" s="619"/>
      <c r="DG1241" s="619"/>
      <c r="DH1241" s="619"/>
    </row>
    <row r="1242" s="548" customFormat="1" ht="31" customHeight="1" spans="1:112">
      <c r="A1242" s="608">
        <v>46059</v>
      </c>
      <c r="B1242" s="609" t="s">
        <v>9054</v>
      </c>
      <c r="C1242" s="610" t="s">
        <v>278</v>
      </c>
      <c r="D1242" s="554" t="s">
        <v>9055</v>
      </c>
      <c r="E1242" s="610" t="s">
        <v>9064</v>
      </c>
      <c r="F1242" s="554" t="s">
        <v>9065</v>
      </c>
      <c r="G1242" s="610" t="s">
        <v>9058</v>
      </c>
      <c r="H1242" s="610" t="s">
        <v>6033</v>
      </c>
      <c r="I1242" s="610">
        <v>2745</v>
      </c>
      <c r="J1242" s="610">
        <v>0</v>
      </c>
      <c r="K1242" s="610">
        <v>15</v>
      </c>
      <c r="L1242" s="611">
        <f t="shared" si="454"/>
        <v>183</v>
      </c>
      <c r="M1242" s="612">
        <v>46129</v>
      </c>
      <c r="N1242" s="612">
        <f>M1242-4</f>
        <v>46125</v>
      </c>
      <c r="O1242" s="613"/>
      <c r="P1242" s="613" t="s">
        <v>113</v>
      </c>
      <c r="Q1242" s="610" t="s">
        <v>9059</v>
      </c>
      <c r="R1242" s="614" t="s">
        <v>1242</v>
      </c>
      <c r="S1242" s="614" t="s">
        <v>70</v>
      </c>
      <c r="T1242" s="614" t="s">
        <v>9060</v>
      </c>
      <c r="U1242" s="614"/>
      <c r="V1242" s="614" t="s">
        <v>9061</v>
      </c>
      <c r="W1242" s="615"/>
      <c r="X1242" s="609" t="s">
        <v>9062</v>
      </c>
      <c r="Y1242" s="609" t="s">
        <v>388</v>
      </c>
      <c r="Z1242" s="609">
        <v>0.8578</v>
      </c>
      <c r="AA1242" s="616">
        <f t="shared" si="471"/>
        <v>2354.661</v>
      </c>
      <c r="AC1242" s="617"/>
      <c r="AD1242" s="610" t="s">
        <v>9058</v>
      </c>
      <c r="AE1242" s="610" t="s">
        <v>82</v>
      </c>
      <c r="AF1242" s="610"/>
      <c r="AG1242" s="610"/>
      <c r="AH1242" s="628" t="s">
        <v>9063</v>
      </c>
      <c r="AI1242" s="610">
        <v>2745</v>
      </c>
      <c r="AJ1242" s="610">
        <f t="shared" si="470"/>
        <v>0</v>
      </c>
      <c r="AK1242" s="610"/>
      <c r="AL1242" s="610" t="s">
        <v>2368</v>
      </c>
      <c r="AM1242" s="610"/>
      <c r="AN1242" s="610"/>
      <c r="AO1242" s="554">
        <f>I1242</f>
        <v>2745</v>
      </c>
      <c r="AP1242" s="554"/>
      <c r="AQ1242" s="554"/>
      <c r="AR1242" s="619"/>
      <c r="AS1242" s="554"/>
      <c r="AT1242" s="554">
        <f>I1242</f>
        <v>2745</v>
      </c>
      <c r="AU1242" s="554"/>
      <c r="AV1242" s="554">
        <f>I1242</f>
        <v>2745</v>
      </c>
      <c r="AW1242" s="619"/>
      <c r="AX1242" s="554"/>
      <c r="AY1242" s="554"/>
      <c r="AZ1242" s="554"/>
      <c r="BA1242" s="554"/>
      <c r="BB1242" s="620">
        <f>I1242/24</f>
        <v>114.375</v>
      </c>
      <c r="BC1242" s="714"/>
      <c r="BD1242" s="554"/>
      <c r="BE1242" s="554"/>
      <c r="BF1242" s="554"/>
      <c r="BH1242" s="554"/>
      <c r="BI1242" s="554"/>
      <c r="BJ1242" s="554"/>
      <c r="BK1242" s="554"/>
      <c r="BL1242" s="554"/>
      <c r="BM1242" s="554"/>
      <c r="BN1242" s="554"/>
      <c r="BO1242" s="554"/>
      <c r="BP1242" s="554"/>
      <c r="BQ1242" s="554"/>
      <c r="BR1242" s="554"/>
      <c r="BS1242" s="554"/>
      <c r="BT1242" s="554"/>
      <c r="BU1242" s="554"/>
      <c r="BV1242" s="554"/>
      <c r="BW1242" s="554"/>
      <c r="BX1242" s="554"/>
      <c r="BY1242" s="619"/>
      <c r="BZ1242" s="554"/>
      <c r="CA1242" s="621"/>
      <c r="CB1242" s="567"/>
      <c r="CC1242" s="622"/>
      <c r="CD1242" s="619"/>
      <c r="CE1242" s="619"/>
      <c r="CF1242" s="554"/>
      <c r="CG1242" s="554"/>
      <c r="CI1242" s="554"/>
      <c r="CJ1242" s="554"/>
      <c r="CK1242" s="554"/>
      <c r="CL1242" s="554"/>
      <c r="CM1242" s="554"/>
      <c r="CN1242" s="554"/>
      <c r="CO1242" s="554"/>
      <c r="CP1242" s="554"/>
      <c r="CQ1242" s="554"/>
      <c r="CR1242" s="554"/>
      <c r="CS1242" s="554"/>
      <c r="CT1242" s="554"/>
      <c r="CU1242" s="554">
        <f t="shared" si="461"/>
        <v>0</v>
      </c>
      <c r="CV1242" s="554"/>
      <c r="CW1242" s="554"/>
      <c r="CX1242" s="619"/>
      <c r="CY1242" s="619"/>
      <c r="CZ1242" s="619"/>
      <c r="DA1242" s="548"/>
      <c r="DB1242" s="548"/>
      <c r="DC1242" s="548"/>
      <c r="DD1242" s="619"/>
      <c r="DE1242" s="619"/>
      <c r="DF1242" s="619"/>
      <c r="DG1242" s="619"/>
      <c r="DH1242" s="619"/>
    </row>
    <row r="1243" s="548" customFormat="1" ht="31" customHeight="1" spans="1:112">
      <c r="A1243" s="608">
        <v>46051</v>
      </c>
      <c r="B1243" s="609" t="s">
        <v>1272</v>
      </c>
      <c r="C1243" s="610" t="s">
        <v>98</v>
      </c>
      <c r="D1243" s="554">
        <v>4500192264</v>
      </c>
      <c r="E1243" s="610">
        <v>16000291</v>
      </c>
      <c r="F1243" s="554" t="s">
        <v>9066</v>
      </c>
      <c r="G1243" s="610" t="s">
        <v>6166</v>
      </c>
      <c r="H1243" s="610" t="s">
        <v>6094</v>
      </c>
      <c r="I1243" s="719">
        <v>1196</v>
      </c>
      <c r="J1243" s="610">
        <v>0</v>
      </c>
      <c r="K1243" s="610">
        <v>13</v>
      </c>
      <c r="L1243" s="611">
        <f t="shared" si="454"/>
        <v>92</v>
      </c>
      <c r="M1243" s="612">
        <v>46129</v>
      </c>
      <c r="N1243" s="612">
        <v>46125</v>
      </c>
      <c r="O1243" s="613"/>
      <c r="P1243" s="613" t="s">
        <v>113</v>
      </c>
      <c r="Q1243" s="610"/>
      <c r="R1243" s="614" t="s">
        <v>9067</v>
      </c>
      <c r="S1243" s="614" t="s">
        <v>104</v>
      </c>
      <c r="T1243" s="614" t="s">
        <v>3502</v>
      </c>
      <c r="U1243" s="614"/>
      <c r="V1243" s="614"/>
      <c r="W1243" s="615"/>
      <c r="X1243" s="609" t="s">
        <v>3503</v>
      </c>
      <c r="Y1243" s="616" t="s">
        <v>1278</v>
      </c>
      <c r="Z1243" s="718">
        <v>0.5528</v>
      </c>
      <c r="AA1243" s="616">
        <f t="shared" si="471"/>
        <v>661.1488</v>
      </c>
      <c r="AC1243" s="629" t="s">
        <v>3504</v>
      </c>
      <c r="AD1243" s="609" t="s">
        <v>6166</v>
      </c>
      <c r="AE1243" s="610" t="s">
        <v>82</v>
      </c>
      <c r="AF1243" s="610"/>
      <c r="AG1243" s="609"/>
      <c r="AH1243" s="628">
        <v>1</v>
      </c>
      <c r="AI1243" s="610">
        <v>1196</v>
      </c>
      <c r="AJ1243" s="610">
        <f t="shared" si="470"/>
        <v>0</v>
      </c>
      <c r="AK1243" s="610"/>
      <c r="AL1243" s="610" t="s">
        <v>2368</v>
      </c>
      <c r="AM1243" s="610"/>
      <c r="AN1243" s="610">
        <f>I1243</f>
        <v>1196</v>
      </c>
      <c r="AO1243" s="554"/>
      <c r="AP1243" s="554">
        <f>I1243</f>
        <v>1196</v>
      </c>
      <c r="AQ1243" s="554"/>
      <c r="AR1243" s="619"/>
      <c r="AS1243" s="554"/>
      <c r="AT1243" s="554"/>
      <c r="AU1243" s="554">
        <f>I1243</f>
        <v>1196</v>
      </c>
      <c r="AV1243" s="554"/>
      <c r="AW1243" s="619"/>
      <c r="AX1243" s="554"/>
      <c r="AY1243" s="554"/>
      <c r="AZ1243" s="554"/>
      <c r="BA1243" s="554"/>
      <c r="BB1243" s="620">
        <f>I1243/24</f>
        <v>49.8333333333333</v>
      </c>
      <c r="BC1243" s="714"/>
      <c r="BD1243" s="554"/>
      <c r="BE1243" s="554"/>
      <c r="BF1243" s="554"/>
      <c r="BH1243" s="554"/>
      <c r="BI1243" s="554"/>
      <c r="BJ1243" s="554"/>
      <c r="BK1243" s="554">
        <f>I1243/13</f>
        <v>92</v>
      </c>
      <c r="BL1243" s="554"/>
      <c r="BM1243" s="554"/>
      <c r="BN1243" s="554"/>
      <c r="BO1243" s="554"/>
      <c r="BP1243" s="554"/>
      <c r="BQ1243" s="554"/>
      <c r="BR1243" s="554"/>
      <c r="BS1243" s="554"/>
      <c r="BT1243" s="554"/>
      <c r="BU1243" s="554"/>
      <c r="BV1243" s="554"/>
      <c r="BW1243" s="554"/>
      <c r="BX1243" s="554"/>
      <c r="BY1243" s="619"/>
      <c r="BZ1243" s="554"/>
      <c r="CA1243" s="621"/>
      <c r="CB1243" s="567"/>
      <c r="CC1243" s="622"/>
      <c r="CD1243" s="619"/>
      <c r="CE1243" s="619"/>
      <c r="CF1243" s="554"/>
      <c r="CG1243" s="554"/>
      <c r="CI1243" s="554"/>
      <c r="CJ1243" s="554"/>
      <c r="CK1243" s="554"/>
      <c r="CL1243" s="554"/>
      <c r="CM1243" s="554"/>
      <c r="CN1243" s="554"/>
      <c r="CO1243" s="554"/>
      <c r="CP1243" s="554"/>
      <c r="CQ1243" s="554"/>
      <c r="CR1243" s="554"/>
      <c r="CS1243" s="554"/>
      <c r="CT1243" s="554"/>
      <c r="CU1243" s="554">
        <f t="shared" si="461"/>
        <v>0</v>
      </c>
      <c r="CV1243" s="554">
        <f>CK1243+CL1243+CM1243+CN1243+CO1243+CQ1243+CP1243</f>
        <v>0</v>
      </c>
      <c r="CW1243" s="554">
        <f>CI1243+CJ1243</f>
        <v>0</v>
      </c>
      <c r="CX1243" s="717"/>
      <c r="CY1243" s="717"/>
      <c r="CZ1243" s="717"/>
      <c r="DA1243" s="548"/>
      <c r="DB1243" s="548"/>
      <c r="DC1243" s="548"/>
      <c r="DD1243" s="717"/>
      <c r="DE1243" s="717"/>
      <c r="DF1243" s="717"/>
      <c r="DG1243" s="717"/>
      <c r="DH1243" s="717"/>
    </row>
    <row r="1244" s="548" customFormat="1" ht="31" customHeight="1" spans="1:112">
      <c r="A1244" s="608">
        <v>46083</v>
      </c>
      <c r="B1244" s="609" t="s">
        <v>650</v>
      </c>
      <c r="C1244" s="610" t="s">
        <v>424</v>
      </c>
      <c r="D1244" s="554">
        <v>4500194886</v>
      </c>
      <c r="E1244" s="610">
        <v>300609379</v>
      </c>
      <c r="F1244" s="554" t="s">
        <v>9068</v>
      </c>
      <c r="G1244" s="610" t="s">
        <v>6025</v>
      </c>
      <c r="H1244" s="610" t="s">
        <v>6026</v>
      </c>
      <c r="I1244" s="610">
        <v>600</v>
      </c>
      <c r="J1244" s="610">
        <v>0</v>
      </c>
      <c r="K1244" s="610">
        <v>24</v>
      </c>
      <c r="L1244" s="611">
        <f t="shared" si="454"/>
        <v>25</v>
      </c>
      <c r="M1244" s="612">
        <v>46129</v>
      </c>
      <c r="N1244" s="612">
        <v>46125</v>
      </c>
      <c r="O1244" s="613"/>
      <c r="P1244" s="613" t="s">
        <v>113</v>
      </c>
      <c r="Q1244" s="610"/>
      <c r="R1244" s="614">
        <v>46092</v>
      </c>
      <c r="S1244" s="614" t="s">
        <v>70</v>
      </c>
      <c r="T1244" s="614" t="s">
        <v>9069</v>
      </c>
      <c r="U1244" s="614"/>
      <c r="V1244" s="614"/>
      <c r="W1244" s="615"/>
      <c r="X1244" s="609" t="s">
        <v>9070</v>
      </c>
      <c r="Y1244" s="616" t="s">
        <v>299</v>
      </c>
      <c r="Z1244" s="609">
        <v>0.9029</v>
      </c>
      <c r="AA1244" s="616">
        <f t="shared" si="471"/>
        <v>541.74</v>
      </c>
      <c r="AC1244" s="617"/>
      <c r="AD1244" s="610" t="s">
        <v>6025</v>
      </c>
      <c r="AE1244" s="610" t="s">
        <v>82</v>
      </c>
      <c r="AF1244" s="610"/>
      <c r="AG1244" s="609"/>
      <c r="AH1244" s="609">
        <v>1</v>
      </c>
      <c r="AI1244" s="610">
        <v>600</v>
      </c>
      <c r="AJ1244" s="610">
        <f t="shared" si="470"/>
        <v>0</v>
      </c>
      <c r="AK1244" s="610"/>
      <c r="AL1244" s="610" t="s">
        <v>2368</v>
      </c>
      <c r="AM1244" s="610"/>
      <c r="AN1244" s="610"/>
      <c r="AO1244" s="714">
        <f>I1244</f>
        <v>600</v>
      </c>
      <c r="AP1244" s="554"/>
      <c r="AQ1244" s="554"/>
      <c r="AR1244" s="619"/>
      <c r="AS1244" s="554"/>
      <c r="AT1244" s="554">
        <f t="shared" ref="AT1244:AT1252" si="472">I1244</f>
        <v>600</v>
      </c>
      <c r="AU1244" s="554"/>
      <c r="AV1244" s="554">
        <f t="shared" ref="AV1244:AV1252" si="473">I1244</f>
        <v>600</v>
      </c>
      <c r="AW1244" s="619"/>
      <c r="AX1244" s="554"/>
      <c r="AY1244" s="554"/>
      <c r="AZ1244" s="554"/>
      <c r="BA1244" s="554"/>
      <c r="BB1244" s="620">
        <f t="shared" ref="BB1244:BB1256" si="474">I1244/24</f>
        <v>25</v>
      </c>
      <c r="BC1244" s="714"/>
      <c r="BD1244" s="554"/>
      <c r="BE1244" s="554"/>
      <c r="BF1244" s="554"/>
      <c r="BH1244" s="554"/>
      <c r="BI1244" s="554"/>
      <c r="BJ1244" s="554"/>
      <c r="BK1244" s="554"/>
      <c r="BL1244" s="554"/>
      <c r="BM1244" s="554"/>
      <c r="BN1244" s="554"/>
      <c r="BO1244" s="554"/>
      <c r="BP1244" s="554"/>
      <c r="BQ1244" s="554"/>
      <c r="BR1244" s="554"/>
      <c r="BS1244" s="554"/>
      <c r="BT1244" s="554"/>
      <c r="BU1244" s="554"/>
      <c r="BV1244" s="554"/>
      <c r="BW1244" s="554"/>
      <c r="BX1244" s="554"/>
      <c r="BY1244" s="619"/>
      <c r="BZ1244" s="554"/>
      <c r="CA1244" s="621"/>
      <c r="CB1244" s="567"/>
      <c r="CC1244" s="622"/>
      <c r="CD1244" s="619"/>
      <c r="CE1244" s="619"/>
      <c r="CF1244" s="554"/>
      <c r="CG1244" s="554"/>
      <c r="CI1244" s="554"/>
      <c r="CJ1244" s="554"/>
      <c r="CK1244" s="554"/>
      <c r="CL1244" s="554"/>
      <c r="CM1244" s="554"/>
      <c r="CN1244" s="554"/>
      <c r="CO1244" s="554"/>
      <c r="CP1244" s="554"/>
      <c r="CQ1244" s="554"/>
      <c r="CR1244" s="554"/>
      <c r="CS1244" s="554"/>
      <c r="CT1244" s="554"/>
      <c r="CU1244" s="554">
        <f t="shared" si="461"/>
        <v>0</v>
      </c>
      <c r="CV1244" s="554">
        <f>CK1244+CL1244+CM1244+CN1244+CO1244+CQ1244+CP1244</f>
        <v>0</v>
      </c>
      <c r="CW1244" s="554">
        <f>CI1244+CJ1244</f>
        <v>0</v>
      </c>
      <c r="CX1244" s="619"/>
      <c r="CY1244" s="619"/>
      <c r="CZ1244" s="619"/>
      <c r="DA1244" s="548"/>
      <c r="DB1244" s="548"/>
      <c r="DC1244" s="548"/>
      <c r="DD1244" s="619"/>
      <c r="DE1244" s="619"/>
      <c r="DF1244" s="619"/>
      <c r="DG1244" s="619"/>
      <c r="DH1244" s="619"/>
    </row>
    <row r="1245" s="548" customFormat="1" ht="31" customHeight="1" spans="1:112">
      <c r="A1245" s="608">
        <v>46081</v>
      </c>
      <c r="B1245" s="609" t="s">
        <v>404</v>
      </c>
      <c r="C1245" s="610" t="s">
        <v>278</v>
      </c>
      <c r="D1245" s="554">
        <v>4500194687</v>
      </c>
      <c r="E1245" s="610">
        <v>373211</v>
      </c>
      <c r="F1245" s="554" t="s">
        <v>9071</v>
      </c>
      <c r="G1245" s="610" t="s">
        <v>6025</v>
      </c>
      <c r="H1245" s="610" t="s">
        <v>6026</v>
      </c>
      <c r="I1245" s="715">
        <v>15000</v>
      </c>
      <c r="J1245" s="610">
        <v>0</v>
      </c>
      <c r="K1245" s="610">
        <v>24</v>
      </c>
      <c r="L1245" s="611">
        <f t="shared" si="454"/>
        <v>625</v>
      </c>
      <c r="M1245" s="612">
        <v>46129</v>
      </c>
      <c r="N1245" s="612">
        <v>46125</v>
      </c>
      <c r="O1245" s="613"/>
      <c r="P1245" s="613" t="s">
        <v>113</v>
      </c>
      <c r="Q1245" s="610"/>
      <c r="R1245" s="614">
        <v>46081</v>
      </c>
      <c r="S1245" s="614" t="s">
        <v>70</v>
      </c>
      <c r="T1245" s="614" t="s">
        <v>9072</v>
      </c>
      <c r="U1245" s="614"/>
      <c r="V1245" s="614"/>
      <c r="W1245" s="615"/>
      <c r="X1245" s="609" t="s">
        <v>9073</v>
      </c>
      <c r="Y1245" s="616" t="s">
        <v>505</v>
      </c>
      <c r="Z1245" s="609">
        <v>0.887</v>
      </c>
      <c r="AA1245" s="616">
        <f t="shared" si="471"/>
        <v>13305</v>
      </c>
      <c r="AC1245" s="617"/>
      <c r="AD1245" s="610" t="s">
        <v>6025</v>
      </c>
      <c r="AE1245" s="610" t="s">
        <v>82</v>
      </c>
      <c r="AF1245" s="610"/>
      <c r="AG1245" s="609"/>
      <c r="AH1245" s="609">
        <v>1</v>
      </c>
      <c r="AI1245" s="610">
        <f>14904+96</f>
        <v>15000</v>
      </c>
      <c r="AJ1245" s="610">
        <f t="shared" si="470"/>
        <v>0</v>
      </c>
      <c r="AK1245" s="610"/>
      <c r="AL1245" s="610" t="s">
        <v>2368</v>
      </c>
      <c r="AM1245" s="610"/>
      <c r="AN1245" s="610"/>
      <c r="AO1245" s="714">
        <f>I1245</f>
        <v>15000</v>
      </c>
      <c r="AP1245" s="554"/>
      <c r="AQ1245" s="554"/>
      <c r="AR1245" s="619"/>
      <c r="AS1245" s="554"/>
      <c r="AT1245" s="554">
        <f t="shared" si="472"/>
        <v>15000</v>
      </c>
      <c r="AU1245" s="554"/>
      <c r="AV1245" s="554">
        <f t="shared" si="473"/>
        <v>15000</v>
      </c>
      <c r="AW1245" s="619"/>
      <c r="AX1245" s="554"/>
      <c r="AY1245" s="554"/>
      <c r="AZ1245" s="554"/>
      <c r="BA1245" s="554"/>
      <c r="BB1245" s="620">
        <f t="shared" si="474"/>
        <v>625</v>
      </c>
      <c r="BC1245" s="714"/>
      <c r="BD1245" s="554"/>
      <c r="BE1245" s="554"/>
      <c r="BF1245" s="554"/>
      <c r="BH1245" s="554"/>
      <c r="BI1245" s="554"/>
      <c r="BJ1245" s="554"/>
      <c r="BK1245" s="554"/>
      <c r="BL1245" s="554"/>
      <c r="BM1245" s="554"/>
      <c r="BN1245" s="554"/>
      <c r="BO1245" s="554"/>
      <c r="BP1245" s="554"/>
      <c r="BQ1245" s="554"/>
      <c r="BR1245" s="554"/>
      <c r="BS1245" s="554"/>
      <c r="BT1245" s="554"/>
      <c r="BU1245" s="554"/>
      <c r="BV1245" s="554"/>
      <c r="BW1245" s="554"/>
      <c r="BX1245" s="554"/>
      <c r="BY1245" s="619"/>
      <c r="BZ1245" s="554"/>
      <c r="CA1245" s="621"/>
      <c r="CB1245" s="567"/>
      <c r="CC1245" s="622"/>
      <c r="CD1245" s="619"/>
      <c r="CE1245" s="619"/>
      <c r="CF1245" s="554"/>
      <c r="CG1245" s="554"/>
      <c r="CI1245" s="554"/>
      <c r="CJ1245" s="554"/>
      <c r="CK1245" s="554"/>
      <c r="CL1245" s="554"/>
      <c r="CM1245" s="554"/>
      <c r="CN1245" s="554"/>
      <c r="CO1245" s="554"/>
      <c r="CP1245" s="554"/>
      <c r="CQ1245" s="554"/>
      <c r="CR1245" s="554"/>
      <c r="CS1245" s="554"/>
      <c r="CT1245" s="554"/>
      <c r="CU1245" s="554">
        <f t="shared" si="461"/>
        <v>0</v>
      </c>
      <c r="CV1245" s="554">
        <f>CK1245+CL1245+CM1245+CN1245+CO1245+CQ1245+CP1245</f>
        <v>0</v>
      </c>
      <c r="CW1245" s="554">
        <f>CI1245+CJ1245</f>
        <v>0</v>
      </c>
      <c r="CX1245" s="619"/>
      <c r="CY1245" s="619"/>
      <c r="CZ1245" s="619"/>
      <c r="DA1245" s="548"/>
      <c r="DB1245" s="548"/>
      <c r="DC1245" s="548"/>
      <c r="DD1245" s="619"/>
      <c r="DE1245" s="619"/>
      <c r="DF1245" s="619"/>
      <c r="DG1245" s="619"/>
      <c r="DH1245" s="619"/>
    </row>
    <row r="1246" s="548" customFormat="1" ht="31" customHeight="1" spans="1:112">
      <c r="A1246" s="608">
        <v>46086</v>
      </c>
      <c r="B1246" s="609" t="s">
        <v>211</v>
      </c>
      <c r="C1246" s="610" t="s">
        <v>212</v>
      </c>
      <c r="D1246" s="554">
        <v>4500195221</v>
      </c>
      <c r="E1246" s="610" t="s">
        <v>3539</v>
      </c>
      <c r="F1246" s="554" t="s">
        <v>9074</v>
      </c>
      <c r="G1246" s="610" t="s">
        <v>6040</v>
      </c>
      <c r="H1246" s="610" t="s">
        <v>6041</v>
      </c>
      <c r="I1246" s="715">
        <v>1040</v>
      </c>
      <c r="J1246" s="610">
        <v>0</v>
      </c>
      <c r="K1246" s="610">
        <v>52</v>
      </c>
      <c r="L1246" s="611">
        <f t="shared" si="454"/>
        <v>20</v>
      </c>
      <c r="M1246" s="612">
        <v>46129</v>
      </c>
      <c r="N1246" s="612">
        <v>46125</v>
      </c>
      <c r="O1246" s="613"/>
      <c r="P1246" s="613" t="s">
        <v>113</v>
      </c>
      <c r="Q1246" s="610"/>
      <c r="R1246" s="614">
        <v>46086</v>
      </c>
      <c r="S1246" s="614" t="s">
        <v>70</v>
      </c>
      <c r="T1246" s="614">
        <v>46086</v>
      </c>
      <c r="U1246" s="614"/>
      <c r="V1246" s="614"/>
      <c r="W1246" s="615"/>
      <c r="X1246" s="609" t="s">
        <v>8489</v>
      </c>
      <c r="Y1246" s="616" t="s">
        <v>1793</v>
      </c>
      <c r="Z1246" s="718">
        <v>0.9279</v>
      </c>
      <c r="AA1246" s="616">
        <f t="shared" si="471"/>
        <v>965.016</v>
      </c>
      <c r="AC1246" s="617"/>
      <c r="AD1246" s="610" t="s">
        <v>6040</v>
      </c>
      <c r="AE1246" s="610" t="s">
        <v>82</v>
      </c>
      <c r="AF1246" s="610"/>
      <c r="AG1246" s="609"/>
      <c r="AH1246" s="609">
        <v>1</v>
      </c>
      <c r="AI1246" s="610">
        <f>988+52</f>
        <v>1040</v>
      </c>
      <c r="AJ1246" s="610">
        <f t="shared" si="470"/>
        <v>0</v>
      </c>
      <c r="AK1246" s="610"/>
      <c r="AL1246" s="610" t="s">
        <v>2368</v>
      </c>
      <c r="AM1246" s="610"/>
      <c r="AN1246" s="610"/>
      <c r="AO1246" s="554">
        <f>I1246</f>
        <v>1040</v>
      </c>
      <c r="AP1246" s="554"/>
      <c r="AQ1246" s="554"/>
      <c r="AR1246" s="619"/>
      <c r="AS1246" s="554"/>
      <c r="AT1246" s="554">
        <f t="shared" si="472"/>
        <v>1040</v>
      </c>
      <c r="AU1246" s="554"/>
      <c r="AV1246" s="554">
        <f t="shared" si="473"/>
        <v>1040</v>
      </c>
      <c r="AW1246" s="619"/>
      <c r="AX1246" s="554"/>
      <c r="AY1246" s="554"/>
      <c r="AZ1246" s="554"/>
      <c r="BA1246" s="554"/>
      <c r="BB1246" s="620">
        <f t="shared" si="474"/>
        <v>43.3333333333333</v>
      </c>
      <c r="BC1246" s="714"/>
      <c r="BD1246" s="554"/>
      <c r="BE1246" s="554"/>
      <c r="BF1246" s="554"/>
      <c r="BH1246" s="554"/>
      <c r="BI1246" s="554"/>
      <c r="BJ1246" s="554"/>
      <c r="BK1246" s="554"/>
      <c r="BL1246" s="554"/>
      <c r="BM1246" s="554">
        <f>I1246/13</f>
        <v>80</v>
      </c>
      <c r="BN1246" s="554"/>
      <c r="BO1246" s="554"/>
      <c r="BP1246" s="554"/>
      <c r="BQ1246" s="554"/>
      <c r="BR1246" s="554"/>
      <c r="BS1246" s="554"/>
      <c r="BT1246" s="554"/>
      <c r="BU1246" s="554"/>
      <c r="BV1246" s="554"/>
      <c r="BW1246" s="554"/>
      <c r="BX1246" s="554"/>
      <c r="BY1246" s="619"/>
      <c r="BZ1246" s="554"/>
      <c r="CA1246" s="621"/>
      <c r="CB1246" s="567"/>
      <c r="CC1246" s="622"/>
      <c r="CD1246" s="619"/>
      <c r="CE1246" s="619"/>
      <c r="CF1246" s="554"/>
      <c r="CG1246" s="554"/>
      <c r="CI1246" s="554"/>
      <c r="CJ1246" s="554"/>
      <c r="CK1246" s="554"/>
      <c r="CL1246" s="554"/>
      <c r="CM1246" s="554"/>
      <c r="CN1246" s="554"/>
      <c r="CO1246" s="554"/>
      <c r="CP1246" s="554"/>
      <c r="CQ1246" s="554"/>
      <c r="CR1246" s="554"/>
      <c r="CS1246" s="554"/>
      <c r="CT1246" s="554"/>
      <c r="CU1246" s="554">
        <f t="shared" si="461"/>
        <v>0</v>
      </c>
      <c r="CV1246" s="554">
        <f>CK1246+CL1246+CM1246+CN1246+CO1246+CQ1246+CP1246</f>
        <v>0</v>
      </c>
      <c r="CW1246" s="554">
        <f>CI1246+CJ1246</f>
        <v>0</v>
      </c>
      <c r="CX1246" s="619"/>
      <c r="CY1246" s="619"/>
      <c r="CZ1246" s="619"/>
      <c r="DA1246" s="548"/>
      <c r="DB1246" s="548"/>
      <c r="DC1246" s="548"/>
      <c r="DD1246" s="619"/>
      <c r="DE1246" s="619"/>
      <c r="DF1246" s="619"/>
      <c r="DG1246" s="619"/>
      <c r="DH1246" s="619"/>
    </row>
    <row r="1247" s="548" customFormat="1" ht="31" customHeight="1" spans="1:112">
      <c r="A1247" s="608">
        <v>46087</v>
      </c>
      <c r="B1247" s="609" t="s">
        <v>3755</v>
      </c>
      <c r="C1247" s="610" t="s">
        <v>241</v>
      </c>
      <c r="D1247" s="554">
        <v>4500195637</v>
      </c>
      <c r="E1247" s="610">
        <v>32819921</v>
      </c>
      <c r="F1247" s="554" t="s">
        <v>9075</v>
      </c>
      <c r="G1247" s="610" t="s">
        <v>6047</v>
      </c>
      <c r="H1247" s="610" t="s">
        <v>6069</v>
      </c>
      <c r="I1247" s="715">
        <v>1500</v>
      </c>
      <c r="J1247" s="610">
        <v>0</v>
      </c>
      <c r="K1247" s="610">
        <v>25</v>
      </c>
      <c r="L1247" s="611">
        <f t="shared" si="454"/>
        <v>60</v>
      </c>
      <c r="M1247" s="612">
        <v>46129</v>
      </c>
      <c r="N1247" s="612">
        <v>46125</v>
      </c>
      <c r="O1247" s="640" t="s">
        <v>9076</v>
      </c>
      <c r="P1247" s="613" t="s">
        <v>113</v>
      </c>
      <c r="Q1247" s="610"/>
      <c r="R1247" s="614">
        <v>46087</v>
      </c>
      <c r="S1247" s="614" t="s">
        <v>70</v>
      </c>
      <c r="T1247" s="614" t="s">
        <v>7714</v>
      </c>
      <c r="U1247" s="614"/>
      <c r="V1247" s="614"/>
      <c r="W1247" s="615"/>
      <c r="X1247" s="609" t="s">
        <v>8742</v>
      </c>
      <c r="Y1247" s="616" t="s">
        <v>299</v>
      </c>
      <c r="Z1247" s="609">
        <v>0.9781</v>
      </c>
      <c r="AA1247" s="616">
        <f t="shared" si="471"/>
        <v>1467.15</v>
      </c>
      <c r="AC1247" s="617"/>
      <c r="AD1247" s="610" t="s">
        <v>6047</v>
      </c>
      <c r="AE1247" s="610" t="s">
        <v>82</v>
      </c>
      <c r="AF1247" s="610"/>
      <c r="AG1247" s="609"/>
      <c r="AH1247" s="609">
        <v>1</v>
      </c>
      <c r="AI1247" s="610">
        <f>1475+25</f>
        <v>1500</v>
      </c>
      <c r="AJ1247" s="610">
        <f t="shared" si="470"/>
        <v>0</v>
      </c>
      <c r="AK1247" s="610"/>
      <c r="AL1247" s="610" t="s">
        <v>2368</v>
      </c>
      <c r="AM1247" s="610"/>
      <c r="AN1247" s="610"/>
      <c r="AO1247" s="554">
        <f t="shared" ref="AO1247:AO1252" si="475">I1247</f>
        <v>1500</v>
      </c>
      <c r="AP1247" s="554"/>
      <c r="AQ1247" s="554"/>
      <c r="AR1247" s="619"/>
      <c r="AS1247" s="554"/>
      <c r="AT1247" s="554">
        <f t="shared" si="472"/>
        <v>1500</v>
      </c>
      <c r="AU1247" s="554"/>
      <c r="AV1247" s="554">
        <f t="shared" si="473"/>
        <v>1500</v>
      </c>
      <c r="AW1247" s="619"/>
      <c r="AX1247" s="554"/>
      <c r="AY1247" s="554"/>
      <c r="AZ1247" s="554"/>
      <c r="BA1247" s="554"/>
      <c r="BB1247" s="620">
        <f t="shared" si="474"/>
        <v>62.5</v>
      </c>
      <c r="BC1247" s="714"/>
      <c r="BD1247" s="554"/>
      <c r="BE1247" s="554"/>
      <c r="BF1247" s="554"/>
      <c r="BH1247" s="554"/>
      <c r="BI1247" s="554"/>
      <c r="BJ1247" s="554"/>
      <c r="BK1247" s="554"/>
      <c r="BL1247" s="554"/>
      <c r="BM1247" s="554"/>
      <c r="BN1247" s="554"/>
      <c r="BO1247" s="554"/>
      <c r="BP1247" s="554">
        <f>I1247/25</f>
        <v>60</v>
      </c>
      <c r="BQ1247" s="554"/>
      <c r="BR1247" s="554"/>
      <c r="BS1247" s="554"/>
      <c r="BT1247" s="554"/>
      <c r="BU1247" s="554"/>
      <c r="BV1247" s="554"/>
      <c r="BW1247" s="554"/>
      <c r="BX1247" s="554"/>
      <c r="BY1247" s="619"/>
      <c r="BZ1247" s="554"/>
      <c r="CA1247" s="621"/>
      <c r="CB1247" s="567"/>
      <c r="CC1247" s="622"/>
      <c r="CD1247" s="619"/>
      <c r="CE1247" s="619"/>
      <c r="CF1247" s="554"/>
      <c r="CG1247" s="554"/>
      <c r="CI1247" s="554"/>
      <c r="CJ1247" s="554"/>
      <c r="CK1247" s="554"/>
      <c r="CL1247" s="554"/>
      <c r="CM1247" s="554"/>
      <c r="CN1247" s="554"/>
      <c r="CO1247" s="554"/>
      <c r="CP1247" s="554"/>
      <c r="CQ1247" s="554"/>
      <c r="CR1247" s="554"/>
      <c r="CS1247" s="554"/>
      <c r="CT1247" s="554"/>
      <c r="CU1247" s="554">
        <f t="shared" si="461"/>
        <v>60</v>
      </c>
      <c r="CV1247" s="554">
        <f t="shared" ref="CV1243:CV1256" si="476">CK1247+CL1247+CM1247+CN1247+CO1247+CQ1247+CP1247</f>
        <v>0</v>
      </c>
      <c r="CW1247" s="554">
        <f t="shared" ref="CW1243:CW1256" si="477">CI1247+CJ1247</f>
        <v>0</v>
      </c>
      <c r="CX1247" s="619"/>
      <c r="CY1247" s="619"/>
      <c r="CZ1247" s="619"/>
      <c r="DA1247" s="548"/>
      <c r="DB1247" s="548"/>
      <c r="DC1247" s="548"/>
      <c r="DD1247" s="619"/>
      <c r="DE1247" s="619"/>
      <c r="DF1247" s="619"/>
      <c r="DG1247" s="619"/>
      <c r="DH1247" s="619"/>
    </row>
    <row r="1248" s="548" customFormat="1" ht="36" customHeight="1" spans="1:112">
      <c r="A1248" s="608">
        <v>46091</v>
      </c>
      <c r="B1248" s="609" t="s">
        <v>729</v>
      </c>
      <c r="C1248" s="610" t="s">
        <v>278</v>
      </c>
      <c r="D1248" s="554">
        <v>4500195602</v>
      </c>
      <c r="E1248" s="610" t="s">
        <v>9077</v>
      </c>
      <c r="F1248" s="554" t="s">
        <v>9078</v>
      </c>
      <c r="G1248" s="610" t="s">
        <v>6047</v>
      </c>
      <c r="H1248" s="610" t="s">
        <v>6069</v>
      </c>
      <c r="I1248" s="715">
        <v>15000</v>
      </c>
      <c r="J1248" s="610">
        <v>0</v>
      </c>
      <c r="K1248" s="610">
        <v>25</v>
      </c>
      <c r="L1248" s="611">
        <f t="shared" si="454"/>
        <v>600</v>
      </c>
      <c r="M1248" s="612">
        <v>46129</v>
      </c>
      <c r="N1248" s="612">
        <v>46125</v>
      </c>
      <c r="O1248" s="613"/>
      <c r="P1248" s="613" t="s">
        <v>113</v>
      </c>
      <c r="Q1248" s="610"/>
      <c r="R1248" s="614">
        <v>46091</v>
      </c>
      <c r="S1248" s="614" t="s">
        <v>70</v>
      </c>
      <c r="T1248" s="614" t="s">
        <v>9079</v>
      </c>
      <c r="U1248" s="614"/>
      <c r="V1248" s="614"/>
      <c r="W1248" s="615"/>
      <c r="X1248" s="609" t="s">
        <v>9080</v>
      </c>
      <c r="Y1248" s="616" t="s">
        <v>3785</v>
      </c>
      <c r="Z1248" s="609">
        <v>0.9313</v>
      </c>
      <c r="AA1248" s="616">
        <f t="shared" si="471"/>
        <v>13969.5</v>
      </c>
      <c r="AC1248" s="617"/>
      <c r="AD1248" s="610" t="s">
        <v>6047</v>
      </c>
      <c r="AE1248" s="610" t="s">
        <v>82</v>
      </c>
      <c r="AF1248" s="610"/>
      <c r="AG1248" s="609"/>
      <c r="AH1248" s="609">
        <v>1</v>
      </c>
      <c r="AI1248" s="610">
        <v>15000</v>
      </c>
      <c r="AJ1248" s="610">
        <f t="shared" si="470"/>
        <v>0</v>
      </c>
      <c r="AK1248" s="610"/>
      <c r="AL1248" s="610" t="s">
        <v>2368</v>
      </c>
      <c r="AM1248" s="610"/>
      <c r="AN1248" s="610"/>
      <c r="AO1248" s="554">
        <f t="shared" si="475"/>
        <v>15000</v>
      </c>
      <c r="AP1248" s="554"/>
      <c r="AQ1248" s="554"/>
      <c r="AR1248" s="619"/>
      <c r="AS1248" s="554"/>
      <c r="AT1248" s="554">
        <f t="shared" si="472"/>
        <v>15000</v>
      </c>
      <c r="AU1248" s="554"/>
      <c r="AV1248" s="554">
        <f t="shared" si="473"/>
        <v>15000</v>
      </c>
      <c r="AW1248" s="619"/>
      <c r="AX1248" s="554"/>
      <c r="AY1248" s="554"/>
      <c r="AZ1248" s="554"/>
      <c r="BA1248" s="554"/>
      <c r="BB1248" s="620">
        <f t="shared" si="474"/>
        <v>625</v>
      </c>
      <c r="BC1248" s="714"/>
      <c r="BD1248" s="554"/>
      <c r="BE1248" s="554"/>
      <c r="BF1248" s="554"/>
      <c r="BH1248" s="554"/>
      <c r="BI1248" s="554"/>
      <c r="BJ1248" s="554"/>
      <c r="BK1248" s="554"/>
      <c r="BL1248" s="554"/>
      <c r="BM1248" s="554"/>
      <c r="BN1248" s="554"/>
      <c r="BO1248" s="554"/>
      <c r="BP1248" s="554">
        <f>I1248/25</f>
        <v>600</v>
      </c>
      <c r="BQ1248" s="554"/>
      <c r="BR1248" s="554"/>
      <c r="BS1248" s="554"/>
      <c r="BT1248" s="554"/>
      <c r="BU1248" s="554"/>
      <c r="BV1248" s="554"/>
      <c r="BW1248" s="554"/>
      <c r="BX1248" s="554"/>
      <c r="BY1248" s="619"/>
      <c r="BZ1248" s="554"/>
      <c r="CA1248" s="621"/>
      <c r="CB1248" s="567"/>
      <c r="CC1248" s="622"/>
      <c r="CD1248" s="619"/>
      <c r="CE1248" s="619"/>
      <c r="CF1248" s="554"/>
      <c r="CG1248" s="554"/>
      <c r="CI1248" s="554"/>
      <c r="CJ1248" s="554"/>
      <c r="CK1248" s="554"/>
      <c r="CL1248" s="554"/>
      <c r="CM1248" s="554"/>
      <c r="CN1248" s="554"/>
      <c r="CO1248" s="554"/>
      <c r="CP1248" s="554"/>
      <c r="CQ1248" s="554"/>
      <c r="CR1248" s="554"/>
      <c r="CS1248" s="554"/>
      <c r="CT1248" s="554"/>
      <c r="CU1248" s="554">
        <f t="shared" si="461"/>
        <v>600</v>
      </c>
      <c r="CV1248" s="554">
        <f t="shared" si="476"/>
        <v>0</v>
      </c>
      <c r="CW1248" s="554">
        <f t="shared" si="477"/>
        <v>0</v>
      </c>
      <c r="CX1248" s="619"/>
      <c r="CY1248" s="619"/>
      <c r="CZ1248" s="619"/>
      <c r="DA1248" s="548"/>
      <c r="DB1248" s="548"/>
      <c r="DC1248" s="548"/>
      <c r="DD1248" s="619"/>
      <c r="DE1248" s="619"/>
      <c r="DF1248" s="619"/>
      <c r="DG1248" s="619"/>
      <c r="DH1248" s="619"/>
    </row>
    <row r="1249" s="548" customFormat="1" ht="31" customHeight="1" spans="1:112">
      <c r="A1249" s="608">
        <v>46091</v>
      </c>
      <c r="B1249" s="609" t="s">
        <v>729</v>
      </c>
      <c r="C1249" s="610" t="s">
        <v>278</v>
      </c>
      <c r="D1249" s="554">
        <v>4500195602</v>
      </c>
      <c r="E1249" s="610" t="s">
        <v>9081</v>
      </c>
      <c r="F1249" s="554" t="s">
        <v>9082</v>
      </c>
      <c r="G1249" s="610" t="s">
        <v>6047</v>
      </c>
      <c r="H1249" s="610" t="s">
        <v>6069</v>
      </c>
      <c r="I1249" s="715">
        <v>15000</v>
      </c>
      <c r="J1249" s="610">
        <v>0</v>
      </c>
      <c r="K1249" s="610">
        <v>25</v>
      </c>
      <c r="L1249" s="611">
        <f t="shared" si="454"/>
        <v>600</v>
      </c>
      <c r="M1249" s="612">
        <v>46129</v>
      </c>
      <c r="N1249" s="612">
        <v>46125</v>
      </c>
      <c r="O1249" s="613"/>
      <c r="P1249" s="613" t="s">
        <v>113</v>
      </c>
      <c r="Q1249" s="610"/>
      <c r="R1249" s="614">
        <v>46091</v>
      </c>
      <c r="S1249" s="614" t="s">
        <v>70</v>
      </c>
      <c r="T1249" s="614" t="s">
        <v>9079</v>
      </c>
      <c r="U1249" s="614"/>
      <c r="V1249" s="614"/>
      <c r="W1249" s="615"/>
      <c r="X1249" s="609" t="s">
        <v>9080</v>
      </c>
      <c r="Y1249" s="616" t="s">
        <v>3785</v>
      </c>
      <c r="Z1249" s="609">
        <v>0.9313</v>
      </c>
      <c r="AA1249" s="616">
        <f t="shared" si="471"/>
        <v>13969.5</v>
      </c>
      <c r="AC1249" s="617"/>
      <c r="AD1249" s="610" t="s">
        <v>6047</v>
      </c>
      <c r="AE1249" s="610" t="s">
        <v>82</v>
      </c>
      <c r="AF1249" s="610"/>
      <c r="AG1249" s="609"/>
      <c r="AH1249" s="609">
        <v>1</v>
      </c>
      <c r="AI1249" s="610">
        <f>14975+25</f>
        <v>15000</v>
      </c>
      <c r="AJ1249" s="610">
        <f t="shared" si="470"/>
        <v>0</v>
      </c>
      <c r="AK1249" s="610"/>
      <c r="AL1249" s="610" t="s">
        <v>2368</v>
      </c>
      <c r="AM1249" s="610"/>
      <c r="AN1249" s="610"/>
      <c r="AO1249" s="554">
        <f t="shared" si="475"/>
        <v>15000</v>
      </c>
      <c r="AP1249" s="554"/>
      <c r="AQ1249" s="554"/>
      <c r="AR1249" s="619"/>
      <c r="AS1249" s="554"/>
      <c r="AT1249" s="554">
        <f t="shared" si="472"/>
        <v>15000</v>
      </c>
      <c r="AU1249" s="554"/>
      <c r="AV1249" s="554">
        <f t="shared" si="473"/>
        <v>15000</v>
      </c>
      <c r="AW1249" s="619"/>
      <c r="AX1249" s="554"/>
      <c r="AY1249" s="554"/>
      <c r="AZ1249" s="554"/>
      <c r="BA1249" s="554"/>
      <c r="BB1249" s="620">
        <f t="shared" si="474"/>
        <v>625</v>
      </c>
      <c r="BC1249" s="714"/>
      <c r="BD1249" s="554"/>
      <c r="BE1249" s="554"/>
      <c r="BF1249" s="554"/>
      <c r="BH1249" s="554"/>
      <c r="BI1249" s="554"/>
      <c r="BJ1249" s="554"/>
      <c r="BK1249" s="554"/>
      <c r="BL1249" s="554"/>
      <c r="BM1249" s="554"/>
      <c r="BN1249" s="554"/>
      <c r="BO1249" s="554"/>
      <c r="BP1249" s="554">
        <f>I1249/25</f>
        <v>600</v>
      </c>
      <c r="BQ1249" s="554"/>
      <c r="BR1249" s="554"/>
      <c r="BS1249" s="554"/>
      <c r="BT1249" s="554"/>
      <c r="BU1249" s="554"/>
      <c r="BV1249" s="554"/>
      <c r="BW1249" s="554"/>
      <c r="BX1249" s="554"/>
      <c r="BY1249" s="619"/>
      <c r="BZ1249" s="554"/>
      <c r="CA1249" s="621"/>
      <c r="CB1249" s="567"/>
      <c r="CC1249" s="622"/>
      <c r="CD1249" s="619"/>
      <c r="CE1249" s="619"/>
      <c r="CF1249" s="554"/>
      <c r="CG1249" s="554"/>
      <c r="CI1249" s="554"/>
      <c r="CJ1249" s="554"/>
      <c r="CK1249" s="554"/>
      <c r="CL1249" s="554"/>
      <c r="CM1249" s="554"/>
      <c r="CN1249" s="554"/>
      <c r="CO1249" s="554"/>
      <c r="CP1249" s="554"/>
      <c r="CQ1249" s="554"/>
      <c r="CR1249" s="554"/>
      <c r="CS1249" s="554"/>
      <c r="CT1249" s="554"/>
      <c r="CU1249" s="554">
        <f t="shared" si="461"/>
        <v>600</v>
      </c>
      <c r="CV1249" s="554">
        <f t="shared" si="476"/>
        <v>0</v>
      </c>
      <c r="CW1249" s="554">
        <f t="shared" si="477"/>
        <v>0</v>
      </c>
      <c r="CX1249" s="619"/>
      <c r="CY1249" s="619"/>
      <c r="CZ1249" s="619"/>
      <c r="DA1249" s="548"/>
      <c r="DB1249" s="548"/>
      <c r="DC1249" s="548"/>
      <c r="DD1249" s="619"/>
      <c r="DE1249" s="619"/>
      <c r="DF1249" s="619"/>
      <c r="DG1249" s="619"/>
      <c r="DH1249" s="619"/>
    </row>
    <row r="1250" s="548" customFormat="1" ht="31" customHeight="1" spans="1:112">
      <c r="A1250" s="608">
        <v>46091</v>
      </c>
      <c r="B1250" s="609" t="s">
        <v>448</v>
      </c>
      <c r="C1250" s="610" t="s">
        <v>399</v>
      </c>
      <c r="D1250" s="554">
        <v>4500195960</v>
      </c>
      <c r="E1250" s="610"/>
      <c r="F1250" s="554" t="s">
        <v>9083</v>
      </c>
      <c r="G1250" s="610" t="s">
        <v>6093</v>
      </c>
      <c r="H1250" s="610" t="s">
        <v>6094</v>
      </c>
      <c r="I1250" s="715">
        <v>4004</v>
      </c>
      <c r="J1250" s="610">
        <v>0</v>
      </c>
      <c r="K1250" s="610">
        <v>13</v>
      </c>
      <c r="L1250" s="611">
        <f t="shared" si="454"/>
        <v>308</v>
      </c>
      <c r="M1250" s="612">
        <v>46132</v>
      </c>
      <c r="N1250" s="612">
        <v>46128</v>
      </c>
      <c r="O1250" s="613"/>
      <c r="P1250" s="613" t="s">
        <v>113</v>
      </c>
      <c r="Q1250" s="610"/>
      <c r="R1250" s="614" t="s">
        <v>3510</v>
      </c>
      <c r="S1250" s="614" t="s">
        <v>70</v>
      </c>
      <c r="T1250" s="614" t="s">
        <v>8776</v>
      </c>
      <c r="U1250" s="614"/>
      <c r="V1250" s="614"/>
      <c r="W1250" s="615"/>
      <c r="X1250" s="609" t="s">
        <v>9084</v>
      </c>
      <c r="Y1250" s="616" t="s">
        <v>445</v>
      </c>
      <c r="Z1250" s="609">
        <v>0.8947</v>
      </c>
      <c r="AA1250" s="616">
        <f t="shared" si="471"/>
        <v>3582.3788</v>
      </c>
      <c r="AC1250" s="617"/>
      <c r="AD1250" s="610" t="s">
        <v>6093</v>
      </c>
      <c r="AE1250" s="610" t="s">
        <v>82</v>
      </c>
      <c r="AF1250" s="610"/>
      <c r="AG1250" s="609"/>
      <c r="AH1250" s="609">
        <v>1</v>
      </c>
      <c r="AI1250" s="610">
        <v>4004</v>
      </c>
      <c r="AJ1250" s="610">
        <f t="shared" si="470"/>
        <v>0</v>
      </c>
      <c r="AK1250" s="610"/>
      <c r="AL1250" s="610" t="s">
        <v>2368</v>
      </c>
      <c r="AM1250" s="610"/>
      <c r="AN1250" s="610"/>
      <c r="AO1250" s="554">
        <f t="shared" si="475"/>
        <v>4004</v>
      </c>
      <c r="AP1250" s="554"/>
      <c r="AQ1250" s="554"/>
      <c r="AR1250" s="619"/>
      <c r="AS1250" s="554"/>
      <c r="AT1250" s="554">
        <f t="shared" si="472"/>
        <v>4004</v>
      </c>
      <c r="AU1250" s="554"/>
      <c r="AV1250" s="554">
        <f t="shared" si="473"/>
        <v>4004</v>
      </c>
      <c r="AW1250" s="619"/>
      <c r="AX1250" s="554"/>
      <c r="AY1250" s="554"/>
      <c r="AZ1250" s="554"/>
      <c r="BA1250" s="554"/>
      <c r="BB1250" s="620">
        <f t="shared" si="474"/>
        <v>166.833333333333</v>
      </c>
      <c r="BC1250" s="714"/>
      <c r="BD1250" s="554"/>
      <c r="BE1250" s="554"/>
      <c r="BF1250" s="554"/>
      <c r="BH1250" s="554"/>
      <c r="BI1250" s="554"/>
      <c r="BJ1250" s="554"/>
      <c r="BK1250" s="554"/>
      <c r="BL1250" s="554"/>
      <c r="BM1250" s="554">
        <f>I1250/13</f>
        <v>308</v>
      </c>
      <c r="BN1250" s="554"/>
      <c r="BO1250" s="554"/>
      <c r="BP1250" s="554"/>
      <c r="BQ1250" s="554"/>
      <c r="BR1250" s="554"/>
      <c r="BS1250" s="554"/>
      <c r="BT1250" s="554"/>
      <c r="BU1250" s="554"/>
      <c r="BV1250" s="554"/>
      <c r="BW1250" s="554"/>
      <c r="BX1250" s="554"/>
      <c r="BY1250" s="619"/>
      <c r="BZ1250" s="554"/>
      <c r="CA1250" s="621"/>
      <c r="CB1250" s="567"/>
      <c r="CC1250" s="622"/>
      <c r="CD1250" s="619"/>
      <c r="CE1250" s="619"/>
      <c r="CF1250" s="554"/>
      <c r="CG1250" s="554"/>
      <c r="CI1250" s="554"/>
      <c r="CJ1250" s="554"/>
      <c r="CK1250" s="554"/>
      <c r="CL1250" s="554"/>
      <c r="CM1250" s="554"/>
      <c r="CN1250" s="554"/>
      <c r="CO1250" s="554"/>
      <c r="CP1250" s="554"/>
      <c r="CQ1250" s="554"/>
      <c r="CR1250" s="554"/>
      <c r="CS1250" s="554"/>
      <c r="CT1250" s="554"/>
      <c r="CU1250" s="554">
        <f t="shared" si="461"/>
        <v>0</v>
      </c>
      <c r="CV1250" s="554">
        <f t="shared" si="476"/>
        <v>0</v>
      </c>
      <c r="CW1250" s="554">
        <f t="shared" si="477"/>
        <v>0</v>
      </c>
      <c r="CX1250" s="619"/>
      <c r="CY1250" s="619"/>
      <c r="CZ1250" s="619"/>
      <c r="DA1250" s="548"/>
      <c r="DB1250" s="548"/>
      <c r="DC1250" s="548"/>
      <c r="DD1250" s="619"/>
      <c r="DE1250" s="619"/>
      <c r="DF1250" s="619"/>
      <c r="DG1250" s="619"/>
      <c r="DH1250" s="619"/>
    </row>
    <row r="1251" s="548" customFormat="1" ht="31" customHeight="1" spans="1:112">
      <c r="A1251" s="608">
        <v>46091</v>
      </c>
      <c r="B1251" s="609" t="s">
        <v>448</v>
      </c>
      <c r="C1251" s="610" t="s">
        <v>399</v>
      </c>
      <c r="D1251" s="554">
        <v>4500195960</v>
      </c>
      <c r="E1251" s="610"/>
      <c r="F1251" s="554" t="s">
        <v>9085</v>
      </c>
      <c r="G1251" s="610" t="s">
        <v>6223</v>
      </c>
      <c r="H1251" s="610" t="s">
        <v>6080</v>
      </c>
      <c r="I1251" s="715">
        <v>2100</v>
      </c>
      <c r="J1251" s="610">
        <v>0</v>
      </c>
      <c r="K1251" s="610">
        <v>30</v>
      </c>
      <c r="L1251" s="611">
        <f t="shared" si="454"/>
        <v>70</v>
      </c>
      <c r="M1251" s="612">
        <v>46132</v>
      </c>
      <c r="N1251" s="612">
        <v>46128</v>
      </c>
      <c r="O1251" s="613"/>
      <c r="P1251" s="613" t="s">
        <v>113</v>
      </c>
      <c r="Q1251" s="610"/>
      <c r="R1251" s="614" t="s">
        <v>3510</v>
      </c>
      <c r="S1251" s="614" t="s">
        <v>70</v>
      </c>
      <c r="T1251" s="614" t="s">
        <v>8776</v>
      </c>
      <c r="U1251" s="614"/>
      <c r="V1251" s="614"/>
      <c r="W1251" s="615"/>
      <c r="X1251" s="609" t="s">
        <v>9086</v>
      </c>
      <c r="Y1251" s="616" t="s">
        <v>445</v>
      </c>
      <c r="Z1251" s="609">
        <v>41.9924</v>
      </c>
      <c r="AA1251" s="616">
        <f>Z1251*L1251</f>
        <v>2939.468</v>
      </c>
      <c r="AC1251" s="617"/>
      <c r="AD1251" s="610" t="s">
        <v>6223</v>
      </c>
      <c r="AE1251" s="610" t="s">
        <v>82</v>
      </c>
      <c r="AF1251" s="610"/>
      <c r="AG1251" s="609"/>
      <c r="AH1251" s="609">
        <v>1</v>
      </c>
      <c r="AI1251" s="610">
        <v>2100</v>
      </c>
      <c r="AJ1251" s="610">
        <f t="shared" si="470"/>
        <v>0</v>
      </c>
      <c r="AK1251" s="610"/>
      <c r="AL1251" s="610" t="s">
        <v>2368</v>
      </c>
      <c r="AM1251" s="610"/>
      <c r="AN1251" s="610"/>
      <c r="AO1251" s="554">
        <f t="shared" si="475"/>
        <v>2100</v>
      </c>
      <c r="AP1251" s="554"/>
      <c r="AQ1251" s="554"/>
      <c r="AR1251" s="619"/>
      <c r="AS1251" s="554"/>
      <c r="AT1251" s="554">
        <f t="shared" si="472"/>
        <v>2100</v>
      </c>
      <c r="AU1251" s="554"/>
      <c r="AV1251" s="554">
        <f t="shared" si="473"/>
        <v>2100</v>
      </c>
      <c r="AW1251" s="619"/>
      <c r="AX1251" s="554"/>
      <c r="AY1251" s="554"/>
      <c r="AZ1251" s="554"/>
      <c r="BA1251" s="554"/>
      <c r="BB1251" s="620">
        <f t="shared" si="474"/>
        <v>87.5</v>
      </c>
      <c r="BC1251" s="714"/>
      <c r="BD1251" s="554"/>
      <c r="BE1251" s="554"/>
      <c r="BF1251" s="554"/>
      <c r="BH1251" s="554"/>
      <c r="BI1251" s="554"/>
      <c r="BJ1251" s="554"/>
      <c r="BK1251" s="554"/>
      <c r="BL1251" s="554"/>
      <c r="BM1251" s="554"/>
      <c r="BN1251" s="554"/>
      <c r="BO1251" s="554"/>
      <c r="BP1251" s="554"/>
      <c r="BQ1251" s="554"/>
      <c r="BR1251" s="554"/>
      <c r="BS1251" s="554"/>
      <c r="BT1251" s="554"/>
      <c r="BU1251" s="554"/>
      <c r="BV1251" s="554"/>
      <c r="BW1251" s="554"/>
      <c r="BX1251" s="554"/>
      <c r="BY1251" s="619"/>
      <c r="BZ1251" s="554"/>
      <c r="CA1251" s="621"/>
      <c r="CB1251" s="567"/>
      <c r="CC1251" s="622"/>
      <c r="CD1251" s="619"/>
      <c r="CE1251" s="619"/>
      <c r="CF1251" s="554"/>
      <c r="CG1251" s="554"/>
      <c r="CI1251" s="554"/>
      <c r="CJ1251" s="554"/>
      <c r="CK1251" s="554"/>
      <c r="CL1251" s="554"/>
      <c r="CM1251" s="554"/>
      <c r="CN1251" s="554"/>
      <c r="CO1251" s="554"/>
      <c r="CP1251" s="554">
        <f>I1251/30</f>
        <v>70</v>
      </c>
      <c r="CQ1251" s="554"/>
      <c r="CR1251" s="554"/>
      <c r="CS1251" s="554"/>
      <c r="CT1251" s="554"/>
      <c r="CU1251" s="554">
        <f t="shared" si="461"/>
        <v>0</v>
      </c>
      <c r="CV1251" s="554">
        <f t="shared" si="476"/>
        <v>70</v>
      </c>
      <c r="CW1251" s="554">
        <f t="shared" si="477"/>
        <v>0</v>
      </c>
      <c r="CX1251" s="619"/>
      <c r="CY1251" s="619"/>
      <c r="CZ1251" s="619"/>
      <c r="DA1251" s="548"/>
      <c r="DB1251" s="548"/>
      <c r="DC1251" s="548"/>
      <c r="DD1251" s="619"/>
      <c r="DE1251" s="619"/>
      <c r="DF1251" s="619"/>
      <c r="DG1251" s="619"/>
      <c r="DH1251" s="619"/>
    </row>
    <row r="1252" s="548" customFormat="1" ht="31" customHeight="1" spans="1:112">
      <c r="A1252" s="608">
        <v>46078</v>
      </c>
      <c r="B1252" s="609" t="s">
        <v>523</v>
      </c>
      <c r="C1252" s="610" t="s">
        <v>524</v>
      </c>
      <c r="D1252" s="554">
        <v>4500194136</v>
      </c>
      <c r="E1252" s="610">
        <v>50212600321</v>
      </c>
      <c r="F1252" s="554" t="s">
        <v>9087</v>
      </c>
      <c r="G1252" s="610" t="s">
        <v>6047</v>
      </c>
      <c r="H1252" s="610" t="s">
        <v>6069</v>
      </c>
      <c r="I1252" s="610">
        <v>15000</v>
      </c>
      <c r="J1252" s="610">
        <v>0</v>
      </c>
      <c r="K1252" s="610">
        <v>25</v>
      </c>
      <c r="L1252" s="611">
        <f t="shared" si="454"/>
        <v>600</v>
      </c>
      <c r="M1252" s="612">
        <v>46132</v>
      </c>
      <c r="N1252" s="612">
        <v>46128</v>
      </c>
      <c r="O1252" s="613" t="s">
        <v>9088</v>
      </c>
      <c r="P1252" s="613" t="s">
        <v>113</v>
      </c>
      <c r="Q1252" s="610"/>
      <c r="R1252" s="614" t="s">
        <v>3514</v>
      </c>
      <c r="S1252" s="614" t="s">
        <v>104</v>
      </c>
      <c r="T1252" s="614" t="s">
        <v>9089</v>
      </c>
      <c r="U1252" s="614"/>
      <c r="V1252" s="614"/>
      <c r="W1252" s="615"/>
      <c r="X1252" s="609" t="s">
        <v>9090</v>
      </c>
      <c r="Y1252" s="616" t="s">
        <v>529</v>
      </c>
      <c r="Z1252" s="609">
        <v>0.9313</v>
      </c>
      <c r="AA1252" s="616">
        <f t="shared" ref="AA1252:AA1264" si="478">Z1252*I1252</f>
        <v>13969.5</v>
      </c>
      <c r="AC1252" s="617"/>
      <c r="AD1252" s="610" t="s">
        <v>6047</v>
      </c>
      <c r="AE1252" s="610" t="s">
        <v>82</v>
      </c>
      <c r="AF1252" s="610"/>
      <c r="AG1252" s="609"/>
      <c r="AH1252" s="609">
        <v>1</v>
      </c>
      <c r="AI1252" s="610">
        <v>15000</v>
      </c>
      <c r="AJ1252" s="610">
        <f t="shared" si="470"/>
        <v>0</v>
      </c>
      <c r="AK1252" s="610"/>
      <c r="AL1252" s="610" t="s">
        <v>2368</v>
      </c>
      <c r="AM1252" s="610"/>
      <c r="AN1252" s="610"/>
      <c r="AO1252" s="554">
        <f t="shared" si="475"/>
        <v>15000</v>
      </c>
      <c r="AP1252" s="554"/>
      <c r="AQ1252" s="554"/>
      <c r="AR1252" s="619"/>
      <c r="AS1252" s="554"/>
      <c r="AT1252" s="554">
        <f t="shared" si="472"/>
        <v>15000</v>
      </c>
      <c r="AU1252" s="554"/>
      <c r="AV1252" s="554">
        <f t="shared" si="473"/>
        <v>15000</v>
      </c>
      <c r="AW1252" s="619"/>
      <c r="AX1252" s="554"/>
      <c r="AY1252" s="554"/>
      <c r="AZ1252" s="554"/>
      <c r="BA1252" s="554"/>
      <c r="BB1252" s="620">
        <f t="shared" si="474"/>
        <v>625</v>
      </c>
      <c r="BC1252" s="714"/>
      <c r="BD1252" s="554"/>
      <c r="BE1252" s="554"/>
      <c r="BF1252" s="554"/>
      <c r="BH1252" s="554"/>
      <c r="BI1252" s="554"/>
      <c r="BJ1252" s="554"/>
      <c r="BK1252" s="554"/>
      <c r="BL1252" s="554"/>
      <c r="BM1252" s="554"/>
      <c r="BN1252" s="554"/>
      <c r="BO1252" s="554"/>
      <c r="BP1252" s="554">
        <f>I1252/25</f>
        <v>600</v>
      </c>
      <c r="BQ1252" s="554"/>
      <c r="BR1252" s="554"/>
      <c r="BS1252" s="554"/>
      <c r="BT1252" s="554"/>
      <c r="BU1252" s="554"/>
      <c r="BV1252" s="554"/>
      <c r="BW1252" s="554"/>
      <c r="BX1252" s="554"/>
      <c r="BY1252" s="619"/>
      <c r="BZ1252" s="554"/>
      <c r="CA1252" s="621"/>
      <c r="CB1252" s="567"/>
      <c r="CC1252" s="622"/>
      <c r="CD1252" s="619"/>
      <c r="CE1252" s="619"/>
      <c r="CF1252" s="554"/>
      <c r="CG1252" s="554"/>
      <c r="CI1252" s="554"/>
      <c r="CJ1252" s="554"/>
      <c r="CK1252" s="554"/>
      <c r="CL1252" s="554"/>
      <c r="CM1252" s="554"/>
      <c r="CN1252" s="554"/>
      <c r="CO1252" s="554"/>
      <c r="CP1252" s="554"/>
      <c r="CQ1252" s="554"/>
      <c r="CR1252" s="554"/>
      <c r="CS1252" s="554"/>
      <c r="CT1252" s="554"/>
      <c r="CU1252" s="554">
        <f t="shared" si="461"/>
        <v>600</v>
      </c>
      <c r="CV1252" s="554">
        <f t="shared" si="476"/>
        <v>0</v>
      </c>
      <c r="CW1252" s="554">
        <f t="shared" si="477"/>
        <v>0</v>
      </c>
      <c r="CX1252" s="619"/>
      <c r="CY1252" s="619"/>
      <c r="CZ1252" s="619"/>
      <c r="DA1252" s="548"/>
      <c r="DB1252" s="548"/>
      <c r="DC1252" s="548"/>
      <c r="DD1252" s="619"/>
      <c r="DE1252" s="619"/>
      <c r="DF1252" s="619"/>
      <c r="DG1252" s="619"/>
      <c r="DH1252" s="619"/>
    </row>
    <row r="1253" s="548" customFormat="1" ht="31" customHeight="1" spans="1:112">
      <c r="A1253" s="608">
        <v>46079</v>
      </c>
      <c r="B1253" s="609" t="s">
        <v>246</v>
      </c>
      <c r="C1253" s="610" t="s">
        <v>98</v>
      </c>
      <c r="D1253" s="554">
        <v>4500194297</v>
      </c>
      <c r="E1253" s="610" t="s">
        <v>3556</v>
      </c>
      <c r="F1253" s="554" t="s">
        <v>9091</v>
      </c>
      <c r="G1253" s="610" t="s">
        <v>6084</v>
      </c>
      <c r="H1253" s="610" t="s">
        <v>6069</v>
      </c>
      <c r="I1253" s="715">
        <v>29125</v>
      </c>
      <c r="J1253" s="610">
        <v>0</v>
      </c>
      <c r="K1253" s="610">
        <v>25</v>
      </c>
      <c r="L1253" s="611">
        <f t="shared" si="454"/>
        <v>1165</v>
      </c>
      <c r="M1253" s="612">
        <v>46132</v>
      </c>
      <c r="N1253" s="612">
        <v>46128</v>
      </c>
      <c r="O1253" s="613"/>
      <c r="P1253" s="613" t="s">
        <v>113</v>
      </c>
      <c r="Q1253" s="610"/>
      <c r="R1253" s="614">
        <v>46101</v>
      </c>
      <c r="S1253" s="614" t="s">
        <v>104</v>
      </c>
      <c r="T1253" s="614" t="s">
        <v>9092</v>
      </c>
      <c r="U1253" s="614"/>
      <c r="V1253" s="614"/>
      <c r="W1253" s="615"/>
      <c r="X1253" s="609" t="s">
        <v>9093</v>
      </c>
      <c r="Y1253" s="616" t="s">
        <v>252</v>
      </c>
      <c r="Z1253" s="609">
        <v>0.5689</v>
      </c>
      <c r="AA1253" s="616">
        <f t="shared" si="478"/>
        <v>16569.2125</v>
      </c>
      <c r="AC1253" s="629" t="s">
        <v>3562</v>
      </c>
      <c r="AD1253" s="610" t="s">
        <v>6084</v>
      </c>
      <c r="AE1253" s="610" t="s">
        <v>82</v>
      </c>
      <c r="AF1253" s="610"/>
      <c r="AG1253" s="609"/>
      <c r="AH1253" s="609">
        <v>1</v>
      </c>
      <c r="AI1253" s="610">
        <v>29125</v>
      </c>
      <c r="AJ1253" s="610">
        <f t="shared" si="470"/>
        <v>0</v>
      </c>
      <c r="AK1253" s="610"/>
      <c r="AL1253" s="610" t="s">
        <v>2368</v>
      </c>
      <c r="AM1253" s="610"/>
      <c r="AN1253" s="610">
        <f>I1253</f>
        <v>29125</v>
      </c>
      <c r="AO1253" s="554"/>
      <c r="AP1253" s="554">
        <f>I1253</f>
        <v>29125</v>
      </c>
      <c r="AQ1253" s="554"/>
      <c r="AR1253" s="619"/>
      <c r="AS1253" s="554"/>
      <c r="AT1253" s="554"/>
      <c r="AU1253" s="554">
        <f>I1253</f>
        <v>29125</v>
      </c>
      <c r="AV1253" s="554"/>
      <c r="AW1253" s="619"/>
      <c r="AX1253" s="554"/>
      <c r="AY1253" s="554"/>
      <c r="AZ1253" s="554"/>
      <c r="BA1253" s="554"/>
      <c r="BB1253" s="620">
        <f t="shared" si="474"/>
        <v>1213.54166666667</v>
      </c>
      <c r="BC1253" s="714"/>
      <c r="BD1253" s="554"/>
      <c r="BE1253" s="554"/>
      <c r="BF1253" s="554"/>
      <c r="BH1253" s="554"/>
      <c r="BI1253" s="554"/>
      <c r="BJ1253" s="554"/>
      <c r="BK1253" s="554"/>
      <c r="BL1253" s="554"/>
      <c r="BM1253" s="554"/>
      <c r="BN1253" s="554">
        <f>I1253/25</f>
        <v>1165</v>
      </c>
      <c r="BO1253" s="554"/>
      <c r="BP1253" s="554"/>
      <c r="BQ1253" s="554"/>
      <c r="BR1253" s="554"/>
      <c r="BS1253" s="554"/>
      <c r="BT1253" s="554"/>
      <c r="BU1253" s="554"/>
      <c r="BV1253" s="554"/>
      <c r="BW1253" s="554"/>
      <c r="BX1253" s="554"/>
      <c r="BY1253" s="619"/>
      <c r="BZ1253" s="554"/>
      <c r="CA1253" s="621"/>
      <c r="CB1253" s="567"/>
      <c r="CC1253" s="622"/>
      <c r="CD1253" s="619"/>
      <c r="CE1253" s="619"/>
      <c r="CF1253" s="554"/>
      <c r="CG1253" s="554"/>
      <c r="CI1253" s="554"/>
      <c r="CJ1253" s="554"/>
      <c r="CK1253" s="554"/>
      <c r="CL1253" s="554"/>
      <c r="CM1253" s="554"/>
      <c r="CN1253" s="554"/>
      <c r="CO1253" s="554"/>
      <c r="CP1253" s="554"/>
      <c r="CQ1253" s="554"/>
      <c r="CR1253" s="554"/>
      <c r="CS1253" s="554"/>
      <c r="CT1253" s="554"/>
      <c r="CU1253" s="554">
        <f t="shared" si="461"/>
        <v>1165</v>
      </c>
      <c r="CV1253" s="554">
        <f t="shared" si="476"/>
        <v>0</v>
      </c>
      <c r="CW1253" s="554">
        <f t="shared" si="477"/>
        <v>0</v>
      </c>
      <c r="CX1253" s="619"/>
      <c r="CY1253" s="619"/>
      <c r="CZ1253" s="619"/>
      <c r="DA1253" s="548"/>
      <c r="DB1253" s="548"/>
      <c r="DC1253" s="548"/>
      <c r="DD1253" s="619"/>
      <c r="DE1253" s="619"/>
      <c r="DF1253" s="619"/>
      <c r="DG1253" s="619"/>
      <c r="DH1253" s="619"/>
    </row>
    <row r="1254" s="548" customFormat="1" ht="31" customHeight="1" spans="1:112">
      <c r="A1254" s="608">
        <v>46087</v>
      </c>
      <c r="B1254" s="609" t="s">
        <v>1332</v>
      </c>
      <c r="C1254" s="610" t="s">
        <v>590</v>
      </c>
      <c r="D1254" s="554">
        <v>4500195521</v>
      </c>
      <c r="E1254" s="610"/>
      <c r="F1254" s="554" t="s">
        <v>9094</v>
      </c>
      <c r="G1254" s="610" t="s">
        <v>6448</v>
      </c>
      <c r="H1254" s="610" t="s">
        <v>6449</v>
      </c>
      <c r="I1254" s="715">
        <v>4000</v>
      </c>
      <c r="J1254" s="610">
        <v>0</v>
      </c>
      <c r="K1254" s="610">
        <v>50</v>
      </c>
      <c r="L1254" s="611">
        <f t="shared" si="454"/>
        <v>80</v>
      </c>
      <c r="M1254" s="612">
        <v>46132</v>
      </c>
      <c r="N1254" s="612">
        <v>46128</v>
      </c>
      <c r="O1254" s="613"/>
      <c r="P1254" s="613" t="s">
        <v>113</v>
      </c>
      <c r="Q1254" s="610"/>
      <c r="R1254" s="614" t="s">
        <v>3842</v>
      </c>
      <c r="S1254" s="614" t="s">
        <v>70</v>
      </c>
      <c r="T1254" s="614" t="s">
        <v>8697</v>
      </c>
      <c r="U1254" s="614"/>
      <c r="V1254" s="614"/>
      <c r="W1254" s="615"/>
      <c r="X1254" s="609" t="s">
        <v>9095</v>
      </c>
      <c r="Y1254" s="616" t="s">
        <v>230</v>
      </c>
      <c r="Z1254" s="718">
        <v>0.9543</v>
      </c>
      <c r="AA1254" s="616">
        <f t="shared" si="478"/>
        <v>3817.2</v>
      </c>
      <c r="AC1254" s="617"/>
      <c r="AD1254" s="610" t="s">
        <v>6448</v>
      </c>
      <c r="AE1254" s="610" t="s">
        <v>82</v>
      </c>
      <c r="AF1254" s="610"/>
      <c r="AG1254" s="609"/>
      <c r="AH1254" s="609" t="s">
        <v>8598</v>
      </c>
      <c r="AI1254" s="610">
        <v>4000</v>
      </c>
      <c r="AJ1254" s="610">
        <f t="shared" si="470"/>
        <v>0</v>
      </c>
      <c r="AK1254" s="610"/>
      <c r="AL1254" s="610" t="s">
        <v>2368</v>
      </c>
      <c r="AM1254" s="610"/>
      <c r="AN1254" s="610"/>
      <c r="AO1254" s="554">
        <f>I1254</f>
        <v>4000</v>
      </c>
      <c r="AP1254" s="554"/>
      <c r="AQ1254" s="554"/>
      <c r="AR1254" s="619"/>
      <c r="AS1254" s="554"/>
      <c r="AT1254" s="554">
        <f>I1254</f>
        <v>4000</v>
      </c>
      <c r="AU1254" s="554"/>
      <c r="AV1254" s="554"/>
      <c r="AW1254" s="619"/>
      <c r="AX1254" s="554"/>
      <c r="AY1254" s="554"/>
      <c r="AZ1254" s="554">
        <f>I1254</f>
        <v>4000</v>
      </c>
      <c r="BA1254" s="554"/>
      <c r="BB1254" s="620">
        <f t="shared" si="474"/>
        <v>166.666666666667</v>
      </c>
      <c r="BC1254" s="714"/>
      <c r="BD1254" s="554"/>
      <c r="BE1254" s="554"/>
      <c r="BF1254" s="554"/>
      <c r="BH1254" s="554"/>
      <c r="BI1254" s="554"/>
      <c r="BJ1254" s="554"/>
      <c r="BK1254" s="554"/>
      <c r="BL1254" s="554"/>
      <c r="BM1254" s="554"/>
      <c r="BN1254" s="554"/>
      <c r="BO1254" s="554"/>
      <c r="BP1254" s="554"/>
      <c r="BQ1254" s="554"/>
      <c r="BR1254" s="554"/>
      <c r="BS1254" s="554"/>
      <c r="BT1254" s="554"/>
      <c r="BU1254" s="554"/>
      <c r="BV1254" s="554"/>
      <c r="BW1254" s="554"/>
      <c r="BX1254" s="554">
        <f>I1254/25</f>
        <v>160</v>
      </c>
      <c r="BY1254" s="619"/>
      <c r="BZ1254" s="554"/>
      <c r="CA1254" s="621"/>
      <c r="CB1254" s="567"/>
      <c r="CC1254" s="622"/>
      <c r="CD1254" s="619"/>
      <c r="CE1254" s="619"/>
      <c r="CF1254" s="554"/>
      <c r="CG1254" s="554"/>
      <c r="CI1254" s="554"/>
      <c r="CJ1254" s="554"/>
      <c r="CK1254" s="554"/>
      <c r="CL1254" s="554"/>
      <c r="CM1254" s="554"/>
      <c r="CN1254" s="554"/>
      <c r="CO1254" s="554"/>
      <c r="CP1254" s="554"/>
      <c r="CQ1254" s="554"/>
      <c r="CR1254" s="554"/>
      <c r="CS1254" s="554"/>
      <c r="CT1254" s="554"/>
      <c r="CU1254" s="554">
        <f t="shared" si="461"/>
        <v>160</v>
      </c>
      <c r="CV1254" s="554">
        <f t="shared" si="476"/>
        <v>0</v>
      </c>
      <c r="CW1254" s="554">
        <f t="shared" si="477"/>
        <v>0</v>
      </c>
      <c r="CX1254" s="619"/>
      <c r="CY1254" s="619"/>
      <c r="CZ1254" s="619"/>
      <c r="DA1254" s="548"/>
      <c r="DB1254" s="548"/>
      <c r="DC1254" s="548"/>
      <c r="DD1254" s="619"/>
      <c r="DE1254" s="619"/>
      <c r="DF1254" s="619"/>
      <c r="DG1254" s="619"/>
      <c r="DH1254" s="619"/>
    </row>
    <row r="1255" s="548" customFormat="1" ht="31" customHeight="1" spans="1:112">
      <c r="A1255" s="608">
        <v>46080</v>
      </c>
      <c r="B1255" s="609" t="s">
        <v>205</v>
      </c>
      <c r="C1255" s="610" t="s">
        <v>98</v>
      </c>
      <c r="D1255" s="554">
        <v>4500194435</v>
      </c>
      <c r="E1255" s="610">
        <v>219021596</v>
      </c>
      <c r="F1255" s="554" t="s">
        <v>9096</v>
      </c>
      <c r="G1255" s="610" t="s">
        <v>6166</v>
      </c>
      <c r="H1255" s="610" t="s">
        <v>6094</v>
      </c>
      <c r="I1255" s="719">
        <v>2964</v>
      </c>
      <c r="J1255" s="610">
        <v>0</v>
      </c>
      <c r="K1255" s="610">
        <v>13</v>
      </c>
      <c r="L1255" s="611">
        <f t="shared" si="454"/>
        <v>228</v>
      </c>
      <c r="M1255" s="612">
        <v>46132</v>
      </c>
      <c r="N1255" s="612">
        <v>46128</v>
      </c>
      <c r="O1255" s="613"/>
      <c r="P1255" s="613" t="s">
        <v>113</v>
      </c>
      <c r="Q1255" s="610"/>
      <c r="R1255" s="614">
        <v>46080</v>
      </c>
      <c r="S1255" s="614" t="s">
        <v>70</v>
      </c>
      <c r="T1255" s="614" t="s">
        <v>70</v>
      </c>
      <c r="U1255" s="614"/>
      <c r="V1255" s="614"/>
      <c r="W1255" s="615"/>
      <c r="X1255" s="609" t="s">
        <v>9097</v>
      </c>
      <c r="Y1255" s="616" t="s">
        <v>2003</v>
      </c>
      <c r="Z1255" s="718">
        <v>0.5528</v>
      </c>
      <c r="AA1255" s="616">
        <f t="shared" si="478"/>
        <v>1638.4992</v>
      </c>
      <c r="AC1255" s="629" t="s">
        <v>3519</v>
      </c>
      <c r="AD1255" s="610" t="s">
        <v>6257</v>
      </c>
      <c r="AE1255" s="610" t="s">
        <v>82</v>
      </c>
      <c r="AF1255" s="610"/>
      <c r="AG1255" s="609"/>
      <c r="AH1255" s="609">
        <v>1</v>
      </c>
      <c r="AI1255" s="610">
        <v>2964</v>
      </c>
      <c r="AJ1255" s="610">
        <f t="shared" si="470"/>
        <v>0</v>
      </c>
      <c r="AK1255" s="610"/>
      <c r="AL1255" s="610"/>
      <c r="AM1255" s="610"/>
      <c r="AN1255" s="610">
        <f>I1255</f>
        <v>2964</v>
      </c>
      <c r="AO1255" s="554"/>
      <c r="AP1255" s="554">
        <f>I1255</f>
        <v>2964</v>
      </c>
      <c r="AQ1255" s="554"/>
      <c r="AR1255" s="619"/>
      <c r="AS1255" s="554"/>
      <c r="AT1255" s="554"/>
      <c r="AU1255" s="554">
        <f>I1255</f>
        <v>2964</v>
      </c>
      <c r="AV1255" s="554"/>
      <c r="AW1255" s="619"/>
      <c r="AX1255" s="554"/>
      <c r="AY1255" s="554"/>
      <c r="AZ1255" s="554"/>
      <c r="BA1255" s="554"/>
      <c r="BB1255" s="620">
        <f t="shared" si="474"/>
        <v>123.5</v>
      </c>
      <c r="BC1255" s="714"/>
      <c r="BD1255" s="554"/>
      <c r="BE1255" s="554"/>
      <c r="BF1255" s="554"/>
      <c r="BH1255" s="554"/>
      <c r="BI1255" s="554"/>
      <c r="BJ1255" s="554"/>
      <c r="BK1255" s="554">
        <f>I1255/13</f>
        <v>228</v>
      </c>
      <c r="BL1255" s="554"/>
      <c r="BM1255" s="554"/>
      <c r="BN1255" s="554"/>
      <c r="BO1255" s="554"/>
      <c r="BP1255" s="554"/>
      <c r="BQ1255" s="554"/>
      <c r="BR1255" s="554"/>
      <c r="BS1255" s="554"/>
      <c r="BT1255" s="554"/>
      <c r="BU1255" s="554"/>
      <c r="BV1255" s="554"/>
      <c r="BW1255" s="554"/>
      <c r="BX1255" s="554"/>
      <c r="BY1255" s="619"/>
      <c r="BZ1255" s="554"/>
      <c r="CA1255" s="621"/>
      <c r="CB1255" s="567"/>
      <c r="CC1255" s="622"/>
      <c r="CD1255" s="619"/>
      <c r="CE1255" s="619"/>
      <c r="CF1255" s="554"/>
      <c r="CG1255" s="554"/>
      <c r="CI1255" s="554"/>
      <c r="CJ1255" s="554"/>
      <c r="CK1255" s="554"/>
      <c r="CL1255" s="554"/>
      <c r="CM1255" s="554"/>
      <c r="CN1255" s="554"/>
      <c r="CO1255" s="554"/>
      <c r="CP1255" s="554"/>
      <c r="CQ1255" s="554"/>
      <c r="CR1255" s="554"/>
      <c r="CS1255" s="554"/>
      <c r="CT1255" s="554"/>
      <c r="CU1255" s="554">
        <f t="shared" si="461"/>
        <v>0</v>
      </c>
      <c r="CV1255" s="554">
        <f t="shared" si="476"/>
        <v>0</v>
      </c>
      <c r="CW1255" s="554">
        <f t="shared" si="477"/>
        <v>0</v>
      </c>
      <c r="CX1255" s="619"/>
      <c r="CY1255" s="619"/>
      <c r="CZ1255" s="619"/>
      <c r="DA1255" s="548"/>
      <c r="DB1255" s="548"/>
      <c r="DC1255" s="548"/>
      <c r="DD1255" s="619"/>
      <c r="DE1255" s="619"/>
      <c r="DF1255" s="619"/>
      <c r="DG1255" s="619"/>
      <c r="DH1255" s="619"/>
    </row>
    <row r="1256" s="548" customFormat="1" ht="31" customHeight="1" spans="1:112">
      <c r="A1256" s="608">
        <v>46080</v>
      </c>
      <c r="B1256" s="609" t="s">
        <v>205</v>
      </c>
      <c r="C1256" s="610" t="s">
        <v>98</v>
      </c>
      <c r="D1256" s="554">
        <v>4500194435</v>
      </c>
      <c r="E1256" s="610">
        <v>219021648</v>
      </c>
      <c r="F1256" s="554" t="s">
        <v>9098</v>
      </c>
      <c r="G1256" s="610" t="s">
        <v>6166</v>
      </c>
      <c r="H1256" s="610" t="s">
        <v>6094</v>
      </c>
      <c r="I1256" s="719">
        <v>1729</v>
      </c>
      <c r="J1256" s="610">
        <v>0</v>
      </c>
      <c r="K1256" s="610">
        <v>13</v>
      </c>
      <c r="L1256" s="611">
        <f t="shared" si="454"/>
        <v>133</v>
      </c>
      <c r="M1256" s="612">
        <v>46132</v>
      </c>
      <c r="N1256" s="612">
        <v>46128</v>
      </c>
      <c r="O1256" s="613"/>
      <c r="P1256" s="613" t="s">
        <v>113</v>
      </c>
      <c r="Q1256" s="610"/>
      <c r="R1256" s="614">
        <v>46080</v>
      </c>
      <c r="S1256" s="614" t="s">
        <v>70</v>
      </c>
      <c r="T1256" s="614" t="s">
        <v>70</v>
      </c>
      <c r="U1256" s="614"/>
      <c r="V1256" s="614"/>
      <c r="W1256" s="615"/>
      <c r="X1256" s="609" t="s">
        <v>9097</v>
      </c>
      <c r="Y1256" s="616" t="s">
        <v>2003</v>
      </c>
      <c r="Z1256" s="718">
        <v>0.5528</v>
      </c>
      <c r="AA1256" s="616">
        <f t="shared" si="478"/>
        <v>955.7912</v>
      </c>
      <c r="AC1256" s="629" t="s">
        <v>3519</v>
      </c>
      <c r="AD1256" s="610" t="s">
        <v>6257</v>
      </c>
      <c r="AE1256" s="610" t="s">
        <v>82</v>
      </c>
      <c r="AF1256" s="610"/>
      <c r="AG1256" s="609"/>
      <c r="AH1256" s="609">
        <v>1</v>
      </c>
      <c r="AI1256" s="610">
        <v>1729</v>
      </c>
      <c r="AJ1256" s="610">
        <f t="shared" si="470"/>
        <v>0</v>
      </c>
      <c r="AK1256" s="610"/>
      <c r="AL1256" s="610"/>
      <c r="AM1256" s="610"/>
      <c r="AN1256" s="610">
        <f>I1256</f>
        <v>1729</v>
      </c>
      <c r="AO1256" s="554"/>
      <c r="AP1256" s="554">
        <f>I1256</f>
        <v>1729</v>
      </c>
      <c r="AQ1256" s="554"/>
      <c r="AR1256" s="619"/>
      <c r="AS1256" s="554"/>
      <c r="AT1256" s="554"/>
      <c r="AU1256" s="554">
        <f>I1256</f>
        <v>1729</v>
      </c>
      <c r="AV1256" s="554"/>
      <c r="AW1256" s="619"/>
      <c r="AX1256" s="554"/>
      <c r="AY1256" s="554"/>
      <c r="AZ1256" s="554"/>
      <c r="BA1256" s="554"/>
      <c r="BB1256" s="620">
        <f t="shared" si="474"/>
        <v>72.0416666666667</v>
      </c>
      <c r="BC1256" s="714"/>
      <c r="BD1256" s="554"/>
      <c r="BE1256" s="554"/>
      <c r="BF1256" s="554"/>
      <c r="BH1256" s="554"/>
      <c r="BI1256" s="554"/>
      <c r="BJ1256" s="554"/>
      <c r="BK1256" s="554">
        <f>I1256/13</f>
        <v>133</v>
      </c>
      <c r="BL1256" s="554"/>
      <c r="BM1256" s="554"/>
      <c r="BN1256" s="554"/>
      <c r="BO1256" s="554"/>
      <c r="BP1256" s="554"/>
      <c r="BQ1256" s="554"/>
      <c r="BR1256" s="554"/>
      <c r="BS1256" s="554"/>
      <c r="BT1256" s="554"/>
      <c r="BU1256" s="554"/>
      <c r="BV1256" s="554"/>
      <c r="BW1256" s="554"/>
      <c r="BX1256" s="554"/>
      <c r="BY1256" s="619"/>
      <c r="BZ1256" s="554"/>
      <c r="CA1256" s="621"/>
      <c r="CB1256" s="567"/>
      <c r="CC1256" s="622"/>
      <c r="CD1256" s="619"/>
      <c r="CE1256" s="619"/>
      <c r="CF1256" s="554"/>
      <c r="CG1256" s="554"/>
      <c r="CI1256" s="554"/>
      <c r="CJ1256" s="554"/>
      <c r="CK1256" s="554"/>
      <c r="CL1256" s="554"/>
      <c r="CM1256" s="554"/>
      <c r="CN1256" s="554"/>
      <c r="CO1256" s="554"/>
      <c r="CP1256" s="554"/>
      <c r="CQ1256" s="554"/>
      <c r="CR1256" s="554"/>
      <c r="CS1256" s="554"/>
      <c r="CT1256" s="554"/>
      <c r="CU1256" s="554">
        <f t="shared" si="461"/>
        <v>0</v>
      </c>
      <c r="CV1256" s="554">
        <f t="shared" si="476"/>
        <v>0</v>
      </c>
      <c r="CW1256" s="554">
        <f t="shared" si="477"/>
        <v>0</v>
      </c>
      <c r="CX1256" s="619"/>
      <c r="CY1256" s="619"/>
      <c r="CZ1256" s="619"/>
      <c r="DA1256" s="548"/>
      <c r="DB1256" s="548"/>
      <c r="DC1256" s="548"/>
      <c r="DD1256" s="619"/>
      <c r="DE1256" s="619"/>
      <c r="DF1256" s="619"/>
      <c r="DG1256" s="619"/>
      <c r="DH1256" s="619"/>
    </row>
    <row r="1257" s="548" customFormat="1" ht="31" customHeight="1" spans="1:112">
      <c r="A1257" s="608">
        <v>46087</v>
      </c>
      <c r="B1257" s="609" t="s">
        <v>1800</v>
      </c>
      <c r="C1257" s="610" t="s">
        <v>744</v>
      </c>
      <c r="D1257" s="554">
        <v>4500195548</v>
      </c>
      <c r="E1257" s="610">
        <v>5000002140</v>
      </c>
      <c r="F1257" s="554" t="s">
        <v>3521</v>
      </c>
      <c r="G1257" s="610" t="s">
        <v>6337</v>
      </c>
      <c r="H1257" s="662" t="s">
        <v>477</v>
      </c>
      <c r="I1257" s="715">
        <v>13500</v>
      </c>
      <c r="J1257" s="610">
        <v>0</v>
      </c>
      <c r="K1257" s="610">
        <v>6</v>
      </c>
      <c r="L1257" s="611">
        <f t="shared" si="454"/>
        <v>2250</v>
      </c>
      <c r="M1257" s="612">
        <v>46132</v>
      </c>
      <c r="N1257" s="612">
        <v>46128</v>
      </c>
      <c r="O1257" s="613"/>
      <c r="P1257" s="610" t="s">
        <v>113</v>
      </c>
      <c r="Q1257" s="614"/>
      <c r="R1257" s="614" t="s">
        <v>3299</v>
      </c>
      <c r="S1257" s="614" t="s">
        <v>104</v>
      </c>
      <c r="T1257" s="614" t="s">
        <v>2239</v>
      </c>
      <c r="U1257" s="614"/>
      <c r="V1257" s="614"/>
      <c r="W1257" s="615"/>
      <c r="X1257" s="609" t="s">
        <v>3522</v>
      </c>
      <c r="Y1257" s="616" t="s">
        <v>1805</v>
      </c>
      <c r="Z1257" s="718">
        <v>6.3788</v>
      </c>
      <c r="AA1257" s="616">
        <f t="shared" si="478"/>
        <v>86113.8</v>
      </c>
      <c r="AC1257" s="617"/>
      <c r="AD1257" s="610" t="s">
        <v>2241</v>
      </c>
      <c r="AE1257" s="610" t="s">
        <v>82</v>
      </c>
      <c r="AF1257" s="610"/>
      <c r="AG1257" s="610"/>
      <c r="AH1257" s="609">
        <v>1</v>
      </c>
      <c r="AI1257" s="610">
        <f>6048+7452</f>
        <v>13500</v>
      </c>
      <c r="AJ1257" s="610">
        <f t="shared" si="470"/>
        <v>0</v>
      </c>
      <c r="AK1257" s="613"/>
      <c r="AL1257" s="610" t="s">
        <v>2368</v>
      </c>
      <c r="AM1257" s="610"/>
      <c r="AN1257" s="554"/>
      <c r="AO1257" s="554">
        <f>I1257*2</f>
        <v>27000</v>
      </c>
      <c r="AP1257" s="554"/>
      <c r="AQ1257" s="554"/>
      <c r="AR1257" s="554"/>
      <c r="AS1257" s="554"/>
      <c r="AT1257" s="554">
        <f>I1257*2</f>
        <v>27000</v>
      </c>
      <c r="AU1257" s="554"/>
      <c r="AV1257" s="554"/>
      <c r="AW1257" s="554"/>
      <c r="AX1257" s="663">
        <f>I1257*2</f>
        <v>27000</v>
      </c>
      <c r="AY1257" s="554"/>
      <c r="AZ1257" s="554"/>
      <c r="BA1257" s="671">
        <f>I1257/24*2</f>
        <v>1125</v>
      </c>
      <c r="BB1257" s="554"/>
      <c r="BC1257" s="554"/>
      <c r="BD1257" s="554"/>
      <c r="BE1257" s="554"/>
      <c r="BF1257" s="554"/>
      <c r="BH1257" s="554"/>
      <c r="BI1257" s="554"/>
      <c r="BJ1257" s="554"/>
      <c r="BK1257" s="554"/>
      <c r="BL1257" s="554"/>
      <c r="BM1257" s="554"/>
      <c r="BN1257" s="554"/>
      <c r="BO1257" s="554"/>
      <c r="BP1257" s="554"/>
      <c r="BQ1257" s="554"/>
      <c r="BR1257" s="554"/>
      <c r="BS1257" s="554"/>
      <c r="BT1257" s="554"/>
      <c r="BU1257" s="554"/>
      <c r="BV1257" s="554"/>
      <c r="BW1257" s="554"/>
      <c r="BX1257" s="554"/>
      <c r="BY1257" s="554"/>
      <c r="BZ1257" s="554">
        <f>I1257</f>
        <v>13500</v>
      </c>
      <c r="CA1257" s="720"/>
      <c r="CB1257" s="567"/>
      <c r="CC1257" s="721"/>
      <c r="CD1257" s="554"/>
      <c r="CE1257" s="554"/>
      <c r="CF1257" s="554"/>
      <c r="CG1257" s="554"/>
      <c r="CI1257" s="554"/>
      <c r="CJ1257" s="554"/>
      <c r="CK1257" s="554"/>
      <c r="CL1257" s="554"/>
      <c r="CM1257" s="554"/>
      <c r="CN1257" s="554"/>
      <c r="CO1257" s="554"/>
      <c r="CP1257" s="619"/>
      <c r="CQ1257" s="619"/>
      <c r="CR1257" s="619"/>
      <c r="CS1257" s="619"/>
      <c r="CT1257" s="619"/>
      <c r="CU1257" s="554">
        <f t="shared" si="461"/>
        <v>0</v>
      </c>
      <c r="CV1257" s="554">
        <v>0</v>
      </c>
      <c r="CW1257" s="554">
        <v>0</v>
      </c>
      <c r="CX1257" s="619"/>
      <c r="CY1257" s="619"/>
      <c r="CZ1257" s="619"/>
      <c r="DA1257" s="619"/>
      <c r="DB1257" s="619"/>
      <c r="DC1257" s="619"/>
      <c r="DD1257" s="619"/>
      <c r="DE1257" s="619"/>
      <c r="DF1257" s="619"/>
      <c r="DG1257" s="619"/>
      <c r="DH1257" s="619"/>
    </row>
    <row r="1258" s="548" customFormat="1" ht="31" customHeight="1" spans="1:112">
      <c r="A1258" s="608">
        <v>46087</v>
      </c>
      <c r="B1258" s="609" t="s">
        <v>1800</v>
      </c>
      <c r="C1258" s="610" t="s">
        <v>744</v>
      </c>
      <c r="D1258" s="554">
        <v>4500195548</v>
      </c>
      <c r="E1258" s="610">
        <v>5000002140</v>
      </c>
      <c r="F1258" s="554" t="s">
        <v>3523</v>
      </c>
      <c r="G1258" s="610" t="s">
        <v>6337</v>
      </c>
      <c r="H1258" s="662" t="s">
        <v>477</v>
      </c>
      <c r="I1258" s="715">
        <v>3000</v>
      </c>
      <c r="J1258" s="610">
        <v>0</v>
      </c>
      <c r="K1258" s="610">
        <v>6</v>
      </c>
      <c r="L1258" s="611">
        <f t="shared" ref="L1258:L1280" si="479">I1258/K1258</f>
        <v>500</v>
      </c>
      <c r="M1258" s="612">
        <v>46132</v>
      </c>
      <c r="N1258" s="612">
        <v>46128</v>
      </c>
      <c r="O1258" s="613"/>
      <c r="P1258" s="610" t="s">
        <v>113</v>
      </c>
      <c r="Q1258" s="614"/>
      <c r="R1258" s="614" t="s">
        <v>3299</v>
      </c>
      <c r="S1258" s="614" t="s">
        <v>104</v>
      </c>
      <c r="T1258" s="614" t="s">
        <v>2239</v>
      </c>
      <c r="U1258" s="614"/>
      <c r="V1258" s="614"/>
      <c r="W1258" s="615"/>
      <c r="X1258" s="609" t="s">
        <v>3522</v>
      </c>
      <c r="Y1258" s="616" t="s">
        <v>1805</v>
      </c>
      <c r="Z1258" s="718">
        <v>6.3788</v>
      </c>
      <c r="AA1258" s="616">
        <f t="shared" si="478"/>
        <v>19136.4</v>
      </c>
      <c r="AC1258" s="617"/>
      <c r="AD1258" s="610" t="s">
        <v>2241</v>
      </c>
      <c r="AE1258" s="610" t="s">
        <v>82</v>
      </c>
      <c r="AF1258" s="610"/>
      <c r="AG1258" s="610"/>
      <c r="AH1258" s="609">
        <v>1</v>
      </c>
      <c r="AI1258" s="610">
        <f>756+1134+1110</f>
        <v>3000</v>
      </c>
      <c r="AJ1258" s="610">
        <f t="shared" si="470"/>
        <v>0</v>
      </c>
      <c r="AK1258" s="613"/>
      <c r="AL1258" s="610" t="s">
        <v>2368</v>
      </c>
      <c r="AM1258" s="610"/>
      <c r="AN1258" s="554"/>
      <c r="AO1258" s="554">
        <f>I1258*2</f>
        <v>6000</v>
      </c>
      <c r="AP1258" s="554"/>
      <c r="AQ1258" s="554"/>
      <c r="AR1258" s="554"/>
      <c r="AS1258" s="554"/>
      <c r="AT1258" s="554">
        <f>I1258*2</f>
        <v>6000</v>
      </c>
      <c r="AU1258" s="554"/>
      <c r="AV1258" s="554"/>
      <c r="AW1258" s="554"/>
      <c r="AX1258" s="663">
        <f>I1258*2</f>
        <v>6000</v>
      </c>
      <c r="AY1258" s="554"/>
      <c r="AZ1258" s="554"/>
      <c r="BA1258" s="671">
        <f>I1258/24*2</f>
        <v>250</v>
      </c>
      <c r="BB1258" s="554"/>
      <c r="BC1258" s="554"/>
      <c r="BD1258" s="554"/>
      <c r="BE1258" s="554"/>
      <c r="BF1258" s="554"/>
      <c r="BH1258" s="554"/>
      <c r="BI1258" s="554"/>
      <c r="BJ1258" s="554"/>
      <c r="BK1258" s="554"/>
      <c r="BL1258" s="554"/>
      <c r="BM1258" s="554"/>
      <c r="BN1258" s="554"/>
      <c r="BO1258" s="554"/>
      <c r="BP1258" s="554"/>
      <c r="BQ1258" s="554"/>
      <c r="BR1258" s="554"/>
      <c r="BS1258" s="554"/>
      <c r="BT1258" s="554"/>
      <c r="BU1258" s="554"/>
      <c r="BV1258" s="554"/>
      <c r="BW1258" s="554"/>
      <c r="BX1258" s="554"/>
      <c r="BY1258" s="554"/>
      <c r="BZ1258" s="554">
        <f>I1258</f>
        <v>3000</v>
      </c>
      <c r="CA1258" s="720"/>
      <c r="CB1258" s="567"/>
      <c r="CC1258" s="721"/>
      <c r="CD1258" s="554"/>
      <c r="CE1258" s="554"/>
      <c r="CF1258" s="554"/>
      <c r="CG1258" s="554"/>
      <c r="CI1258" s="554"/>
      <c r="CJ1258" s="554"/>
      <c r="CK1258" s="554"/>
      <c r="CL1258" s="554"/>
      <c r="CM1258" s="554"/>
      <c r="CN1258" s="554"/>
      <c r="CO1258" s="554"/>
      <c r="CP1258" s="619"/>
      <c r="CQ1258" s="619"/>
      <c r="CR1258" s="619"/>
      <c r="CS1258" s="619"/>
      <c r="CT1258" s="619"/>
      <c r="CU1258" s="554">
        <f t="shared" si="461"/>
        <v>0</v>
      </c>
      <c r="CV1258" s="554">
        <v>0</v>
      </c>
      <c r="CW1258" s="554">
        <v>0</v>
      </c>
      <c r="CX1258" s="619"/>
      <c r="CY1258" s="619"/>
      <c r="CZ1258" s="619"/>
      <c r="DA1258" s="619"/>
      <c r="DB1258" s="619"/>
      <c r="DC1258" s="619"/>
      <c r="DD1258" s="619"/>
      <c r="DE1258" s="619"/>
      <c r="DF1258" s="619"/>
      <c r="DG1258" s="619"/>
      <c r="DH1258" s="619"/>
    </row>
    <row r="1259" s="548" customFormat="1" ht="31" customHeight="1" spans="1:112">
      <c r="A1259" s="608">
        <v>46087</v>
      </c>
      <c r="B1259" s="609" t="s">
        <v>1800</v>
      </c>
      <c r="C1259" s="610" t="s">
        <v>744</v>
      </c>
      <c r="D1259" s="554">
        <v>4500195548</v>
      </c>
      <c r="E1259" s="610">
        <v>5000002140</v>
      </c>
      <c r="F1259" s="554" t="s">
        <v>9099</v>
      </c>
      <c r="G1259" s="610" t="s">
        <v>6093</v>
      </c>
      <c r="H1259" s="639" t="s">
        <v>7359</v>
      </c>
      <c r="I1259" s="715">
        <v>5005</v>
      </c>
      <c r="J1259" s="610">
        <v>0</v>
      </c>
      <c r="K1259" s="610">
        <v>13</v>
      </c>
      <c r="L1259" s="611">
        <f t="shared" si="479"/>
        <v>385</v>
      </c>
      <c r="M1259" s="612">
        <v>46132</v>
      </c>
      <c r="N1259" s="612">
        <v>46128</v>
      </c>
      <c r="O1259" s="613"/>
      <c r="P1259" s="610" t="s">
        <v>113</v>
      </c>
      <c r="Q1259" s="614"/>
      <c r="R1259" s="614" t="s">
        <v>8889</v>
      </c>
      <c r="S1259" s="614" t="s">
        <v>104</v>
      </c>
      <c r="T1259" s="614" t="s">
        <v>8723</v>
      </c>
      <c r="U1259" s="614"/>
      <c r="V1259" s="614"/>
      <c r="W1259" s="615"/>
      <c r="X1259" s="609" t="s">
        <v>9100</v>
      </c>
      <c r="Y1259" s="616" t="s">
        <v>1805</v>
      </c>
      <c r="Z1259" s="718">
        <v>0.872</v>
      </c>
      <c r="AA1259" s="616">
        <f t="shared" si="478"/>
        <v>4364.36</v>
      </c>
      <c r="AC1259" s="617"/>
      <c r="AD1259" s="610" t="s">
        <v>8338</v>
      </c>
      <c r="AE1259" s="610" t="s">
        <v>82</v>
      </c>
      <c r="AF1259" s="610"/>
      <c r="AG1259" s="610"/>
      <c r="AH1259" s="609">
        <v>1</v>
      </c>
      <c r="AI1259" s="610">
        <v>5005</v>
      </c>
      <c r="AJ1259" s="610">
        <f t="shared" si="470"/>
        <v>0</v>
      </c>
      <c r="AK1259" s="613"/>
      <c r="AL1259" s="610" t="s">
        <v>454</v>
      </c>
      <c r="AM1259" s="610"/>
      <c r="AN1259" s="554"/>
      <c r="AO1259" s="554">
        <f>I1259</f>
        <v>5005</v>
      </c>
      <c r="AP1259" s="554"/>
      <c r="AQ1259" s="554"/>
      <c r="AR1259" s="554"/>
      <c r="AS1259" s="554"/>
      <c r="AT1259" s="554"/>
      <c r="AU1259" s="554"/>
      <c r="AV1259" s="554"/>
      <c r="AW1259" s="650">
        <f>I1259</f>
        <v>5005</v>
      </c>
      <c r="AX1259" s="554">
        <f>I1259</f>
        <v>5005</v>
      </c>
      <c r="AY1259" s="554"/>
      <c r="AZ1259" s="554"/>
      <c r="BA1259" s="714">
        <f>I1259/24*2</f>
        <v>417.083333333333</v>
      </c>
      <c r="BB1259" s="554"/>
      <c r="BC1259" s="554"/>
      <c r="BD1259" s="554"/>
      <c r="BE1259" s="554"/>
      <c r="BF1259" s="554"/>
      <c r="BH1259" s="554"/>
      <c r="BI1259" s="554"/>
      <c r="BJ1259" s="554"/>
      <c r="BK1259" s="554"/>
      <c r="BL1259" s="554"/>
      <c r="BM1259" s="554">
        <f>I1259/13</f>
        <v>385</v>
      </c>
      <c r="BN1259" s="554"/>
      <c r="BO1259" s="554"/>
      <c r="BP1259" s="554"/>
      <c r="BQ1259" s="554"/>
      <c r="BR1259" s="554"/>
      <c r="BS1259" s="554"/>
      <c r="BT1259" s="554"/>
      <c r="BU1259" s="554"/>
      <c r="BV1259" s="554"/>
      <c r="BW1259" s="554"/>
      <c r="BX1259" s="554"/>
      <c r="BY1259" s="554"/>
      <c r="BZ1259" s="554"/>
      <c r="CA1259" s="720"/>
      <c r="CB1259" s="567"/>
      <c r="CC1259" s="721"/>
      <c r="CD1259" s="554"/>
      <c r="CE1259" s="554"/>
      <c r="CF1259" s="554"/>
      <c r="CG1259" s="554"/>
      <c r="CI1259" s="554"/>
      <c r="CJ1259" s="554"/>
      <c r="CK1259" s="554"/>
      <c r="CL1259" s="554"/>
      <c r="CM1259" s="554"/>
      <c r="CN1259" s="554"/>
      <c r="CO1259" s="554"/>
      <c r="CP1259" s="619"/>
      <c r="CQ1259" s="619"/>
      <c r="CR1259" s="619"/>
      <c r="CS1259" s="619"/>
      <c r="CT1259" s="619"/>
      <c r="CU1259" s="554">
        <f t="shared" si="461"/>
        <v>0</v>
      </c>
      <c r="CV1259" s="554">
        <v>0</v>
      </c>
      <c r="CW1259" s="554">
        <v>0</v>
      </c>
      <c r="CX1259" s="619"/>
      <c r="CY1259" s="619"/>
      <c r="CZ1259" s="619"/>
      <c r="DA1259" s="619"/>
      <c r="DB1259" s="619"/>
      <c r="DC1259" s="619"/>
      <c r="DD1259" s="619"/>
      <c r="DE1259" s="619"/>
      <c r="DF1259" s="619"/>
      <c r="DG1259" s="619"/>
      <c r="DH1259" s="619"/>
    </row>
    <row r="1260" s="548" customFormat="1" ht="31" customHeight="1" spans="1:112">
      <c r="A1260" s="608">
        <v>46080</v>
      </c>
      <c r="B1260" s="609" t="s">
        <v>1922</v>
      </c>
      <c r="C1260" s="610" t="s">
        <v>154</v>
      </c>
      <c r="D1260" s="554">
        <v>4500194447</v>
      </c>
      <c r="E1260" s="610" t="s">
        <v>9101</v>
      </c>
      <c r="F1260" s="554" t="s">
        <v>9102</v>
      </c>
      <c r="G1260" s="610" t="s">
        <v>6365</v>
      </c>
      <c r="H1260" s="610" t="s">
        <v>6126</v>
      </c>
      <c r="I1260" s="610">
        <v>492</v>
      </c>
      <c r="J1260" s="610">
        <v>0</v>
      </c>
      <c r="K1260" s="610">
        <v>12</v>
      </c>
      <c r="L1260" s="611">
        <f t="shared" si="479"/>
        <v>41</v>
      </c>
      <c r="M1260" s="612">
        <v>46134</v>
      </c>
      <c r="N1260" s="612">
        <v>46130</v>
      </c>
      <c r="O1260" s="613"/>
      <c r="P1260" s="613" t="s">
        <v>113</v>
      </c>
      <c r="Q1260" s="610"/>
      <c r="R1260" s="614" t="s">
        <v>463</v>
      </c>
      <c r="S1260" s="614" t="s">
        <v>104</v>
      </c>
      <c r="T1260" s="614" t="s">
        <v>9103</v>
      </c>
      <c r="U1260" s="614"/>
      <c r="V1260" s="614"/>
      <c r="W1260" s="615"/>
      <c r="X1260" s="609" t="s">
        <v>9104</v>
      </c>
      <c r="Y1260" s="616" t="s">
        <v>428</v>
      </c>
      <c r="Z1260" s="609">
        <v>2.1525</v>
      </c>
      <c r="AA1260" s="616">
        <f t="shared" si="478"/>
        <v>1059.03</v>
      </c>
      <c r="AC1260" s="617"/>
      <c r="AD1260" s="610" t="s">
        <v>6368</v>
      </c>
      <c r="AE1260" s="610" t="s">
        <v>82</v>
      </c>
      <c r="AF1260" s="610"/>
      <c r="AG1260" s="609"/>
      <c r="AH1260" s="609">
        <v>1</v>
      </c>
      <c r="AI1260" s="610">
        <v>492</v>
      </c>
      <c r="AJ1260" s="610">
        <f t="shared" si="470"/>
        <v>0</v>
      </c>
      <c r="AK1260" s="610"/>
      <c r="AL1260" s="610" t="s">
        <v>2368</v>
      </c>
      <c r="AM1260" s="610"/>
      <c r="AN1260" s="610"/>
      <c r="AO1260" s="554">
        <f>I1260*2</f>
        <v>984</v>
      </c>
      <c r="AP1260" s="554"/>
      <c r="AQ1260" s="554"/>
      <c r="AR1260" s="619"/>
      <c r="AS1260" s="554"/>
      <c r="AT1260" s="554">
        <f>I1260*2</f>
        <v>984</v>
      </c>
      <c r="AU1260" s="554"/>
      <c r="AV1260" s="554">
        <f>I1260*2</f>
        <v>984</v>
      </c>
      <c r="AW1260" s="619"/>
      <c r="AX1260" s="554"/>
      <c r="AY1260" s="554"/>
      <c r="AZ1260" s="554"/>
      <c r="BA1260" s="554"/>
      <c r="BB1260" s="249">
        <f>I1260/24*2</f>
        <v>41</v>
      </c>
      <c r="BC1260" s="714"/>
      <c r="BD1260" s="554"/>
      <c r="BE1260" s="554"/>
      <c r="BF1260" s="554"/>
      <c r="BH1260" s="554"/>
      <c r="BI1260" s="554"/>
      <c r="BJ1260" s="554"/>
      <c r="BK1260" s="554"/>
      <c r="BL1260" s="554"/>
      <c r="BM1260" s="554"/>
      <c r="BN1260" s="554"/>
      <c r="BO1260" s="554"/>
      <c r="BP1260" s="554"/>
      <c r="BQ1260" s="554"/>
      <c r="BR1260" s="554"/>
      <c r="BS1260" s="554"/>
      <c r="BT1260" s="554"/>
      <c r="BU1260" s="554"/>
      <c r="BV1260" s="554"/>
      <c r="BW1260" s="554"/>
      <c r="BX1260" s="554"/>
      <c r="BY1260" s="619"/>
      <c r="BZ1260" s="554"/>
      <c r="CA1260" s="621"/>
      <c r="CB1260" s="567"/>
      <c r="CC1260" s="622"/>
      <c r="CD1260" s="619"/>
      <c r="CE1260" s="619"/>
      <c r="CF1260" s="554"/>
      <c r="CG1260" s="554"/>
      <c r="CI1260" s="554"/>
      <c r="CJ1260" s="554"/>
      <c r="CK1260" s="554"/>
      <c r="CL1260" s="554"/>
      <c r="CM1260" s="554"/>
      <c r="CN1260" s="554"/>
      <c r="CO1260" s="554"/>
      <c r="CP1260" s="554"/>
      <c r="CQ1260" s="554"/>
      <c r="CR1260" s="554">
        <f>I1260</f>
        <v>492</v>
      </c>
      <c r="CS1260" s="554">
        <f>I1260</f>
        <v>492</v>
      </c>
      <c r="CT1260" s="554">
        <f>I1260</f>
        <v>492</v>
      </c>
      <c r="CU1260" s="554">
        <f t="shared" si="461"/>
        <v>0</v>
      </c>
      <c r="CV1260" s="554">
        <f>CK1260+CL1260+CM1260+CN1260+CO1260+CQ1260+CP1260</f>
        <v>0</v>
      </c>
      <c r="CW1260" s="554">
        <f>CI1260+CJ1260</f>
        <v>0</v>
      </c>
      <c r="CX1260" s="619"/>
      <c r="CY1260" s="619"/>
      <c r="CZ1260" s="619"/>
      <c r="DA1260" s="548"/>
      <c r="DB1260" s="548"/>
      <c r="DC1260" s="548"/>
      <c r="DD1260" s="619"/>
      <c r="DE1260" s="619"/>
      <c r="DF1260" s="619"/>
      <c r="DG1260" s="619"/>
      <c r="DH1260" s="619"/>
    </row>
    <row r="1261" s="548" customFormat="1" ht="31" customHeight="1" spans="1:112">
      <c r="A1261" s="608">
        <v>46080</v>
      </c>
      <c r="B1261" s="609" t="s">
        <v>1922</v>
      </c>
      <c r="C1261" s="610" t="s">
        <v>154</v>
      </c>
      <c r="D1261" s="554">
        <v>4500194447</v>
      </c>
      <c r="E1261" s="610" t="s">
        <v>9105</v>
      </c>
      <c r="F1261" s="554" t="s">
        <v>9106</v>
      </c>
      <c r="G1261" s="610" t="s">
        <v>6365</v>
      </c>
      <c r="H1261" s="610" t="s">
        <v>6126</v>
      </c>
      <c r="I1261" s="610">
        <v>3900</v>
      </c>
      <c r="J1261" s="610">
        <v>0</v>
      </c>
      <c r="K1261" s="610">
        <v>12</v>
      </c>
      <c r="L1261" s="611">
        <f t="shared" si="479"/>
        <v>325</v>
      </c>
      <c r="M1261" s="612">
        <v>46134</v>
      </c>
      <c r="N1261" s="612">
        <v>46130</v>
      </c>
      <c r="O1261" s="613"/>
      <c r="P1261" s="613" t="s">
        <v>113</v>
      </c>
      <c r="Q1261" s="610"/>
      <c r="R1261" s="614" t="s">
        <v>463</v>
      </c>
      <c r="S1261" s="614" t="s">
        <v>104</v>
      </c>
      <c r="T1261" s="614" t="s">
        <v>9103</v>
      </c>
      <c r="U1261" s="614"/>
      <c r="V1261" s="614"/>
      <c r="W1261" s="615"/>
      <c r="X1261" s="609" t="s">
        <v>9104</v>
      </c>
      <c r="Y1261" s="616" t="s">
        <v>428</v>
      </c>
      <c r="Z1261" s="609">
        <v>2.1525</v>
      </c>
      <c r="AA1261" s="616">
        <f t="shared" si="478"/>
        <v>8394.75</v>
      </c>
      <c r="AC1261" s="617"/>
      <c r="AD1261" s="610" t="s">
        <v>6368</v>
      </c>
      <c r="AE1261" s="610" t="s">
        <v>82</v>
      </c>
      <c r="AF1261" s="610"/>
      <c r="AG1261" s="609"/>
      <c r="AH1261" s="609">
        <v>1</v>
      </c>
      <c r="AI1261" s="610">
        <v>3900</v>
      </c>
      <c r="AJ1261" s="610">
        <f t="shared" si="470"/>
        <v>0</v>
      </c>
      <c r="AK1261" s="610"/>
      <c r="AL1261" s="610" t="s">
        <v>454</v>
      </c>
      <c r="AM1261" s="610"/>
      <c r="AN1261" s="610"/>
      <c r="AO1261" s="554">
        <f>I1261*2</f>
        <v>7800</v>
      </c>
      <c r="AP1261" s="554"/>
      <c r="AQ1261" s="554"/>
      <c r="AR1261" s="619"/>
      <c r="AS1261" s="554"/>
      <c r="AT1261" s="554">
        <f>I1261*2</f>
        <v>7800</v>
      </c>
      <c r="AU1261" s="554"/>
      <c r="AV1261" s="554">
        <f>I1261*2</f>
        <v>7800</v>
      </c>
      <c r="AW1261" s="619"/>
      <c r="AX1261" s="554"/>
      <c r="AY1261" s="554"/>
      <c r="AZ1261" s="554"/>
      <c r="BA1261" s="554"/>
      <c r="BB1261" s="249">
        <f>I1261/24*2</f>
        <v>325</v>
      </c>
      <c r="BC1261" s="714"/>
      <c r="BD1261" s="554"/>
      <c r="BE1261" s="554"/>
      <c r="BF1261" s="554"/>
      <c r="BH1261" s="554"/>
      <c r="BI1261" s="554"/>
      <c r="BJ1261" s="554"/>
      <c r="BK1261" s="554"/>
      <c r="BL1261" s="554"/>
      <c r="BM1261" s="554"/>
      <c r="BN1261" s="554"/>
      <c r="BO1261" s="554"/>
      <c r="BP1261" s="554"/>
      <c r="BQ1261" s="554"/>
      <c r="BR1261" s="554"/>
      <c r="BS1261" s="554"/>
      <c r="BT1261" s="554"/>
      <c r="BU1261" s="554"/>
      <c r="BV1261" s="554"/>
      <c r="BW1261" s="554"/>
      <c r="BX1261" s="554"/>
      <c r="BY1261" s="619"/>
      <c r="BZ1261" s="554"/>
      <c r="CA1261" s="621"/>
      <c r="CB1261" s="567"/>
      <c r="CC1261" s="622"/>
      <c r="CD1261" s="619"/>
      <c r="CE1261" s="619"/>
      <c r="CF1261" s="554"/>
      <c r="CG1261" s="554"/>
      <c r="CI1261" s="554"/>
      <c r="CJ1261" s="554"/>
      <c r="CK1261" s="554"/>
      <c r="CL1261" s="554"/>
      <c r="CM1261" s="554"/>
      <c r="CN1261" s="554"/>
      <c r="CO1261" s="554"/>
      <c r="CP1261" s="554"/>
      <c r="CQ1261" s="554"/>
      <c r="CR1261" s="554">
        <f>I1261</f>
        <v>3900</v>
      </c>
      <c r="CS1261" s="554">
        <f>I1261</f>
        <v>3900</v>
      </c>
      <c r="CT1261" s="554">
        <f>I1261</f>
        <v>3900</v>
      </c>
      <c r="CU1261" s="554">
        <f t="shared" si="461"/>
        <v>0</v>
      </c>
      <c r="CV1261" s="554">
        <f>CK1261+CL1261+CM1261+CN1261+CO1261+CQ1261+CP1261</f>
        <v>0</v>
      </c>
      <c r="CW1261" s="554">
        <f>CI1261+CJ1261</f>
        <v>0</v>
      </c>
      <c r="CX1261" s="619"/>
      <c r="CY1261" s="619"/>
      <c r="CZ1261" s="619"/>
      <c r="DA1261" s="548"/>
      <c r="DB1261" s="548"/>
      <c r="DC1261" s="548"/>
      <c r="DD1261" s="619"/>
      <c r="DE1261" s="619"/>
      <c r="DF1261" s="619"/>
      <c r="DG1261" s="619"/>
      <c r="DH1261" s="619"/>
    </row>
    <row r="1262" s="548" customFormat="1" ht="31" customHeight="1" spans="1:112">
      <c r="A1262" s="608">
        <v>46080</v>
      </c>
      <c r="B1262" s="609" t="s">
        <v>1922</v>
      </c>
      <c r="C1262" s="610" t="s">
        <v>302</v>
      </c>
      <c r="D1262" s="554">
        <v>4500194447</v>
      </c>
      <c r="E1262" s="610" t="s">
        <v>9107</v>
      </c>
      <c r="F1262" s="554" t="s">
        <v>9108</v>
      </c>
      <c r="G1262" s="610" t="s">
        <v>6365</v>
      </c>
      <c r="H1262" s="610" t="s">
        <v>6126</v>
      </c>
      <c r="I1262" s="610">
        <v>492</v>
      </c>
      <c r="J1262" s="610">
        <v>0</v>
      </c>
      <c r="K1262" s="610">
        <v>12</v>
      </c>
      <c r="L1262" s="611">
        <f t="shared" si="479"/>
        <v>41</v>
      </c>
      <c r="M1262" s="612">
        <v>46134</v>
      </c>
      <c r="N1262" s="612">
        <v>46130</v>
      </c>
      <c r="O1262" s="613"/>
      <c r="P1262" s="613" t="s">
        <v>113</v>
      </c>
      <c r="Q1262" s="610"/>
      <c r="R1262" s="614" t="s">
        <v>463</v>
      </c>
      <c r="S1262" s="614" t="s">
        <v>104</v>
      </c>
      <c r="T1262" s="614" t="s">
        <v>9103</v>
      </c>
      <c r="U1262" s="614"/>
      <c r="V1262" s="614"/>
      <c r="W1262" s="615"/>
      <c r="X1262" s="609" t="s">
        <v>9104</v>
      </c>
      <c r="Y1262" s="616" t="s">
        <v>428</v>
      </c>
      <c r="Z1262" s="609">
        <v>2.1525</v>
      </c>
      <c r="AA1262" s="616">
        <f t="shared" si="478"/>
        <v>1059.03</v>
      </c>
      <c r="AC1262" s="617"/>
      <c r="AD1262" s="610" t="s">
        <v>6368</v>
      </c>
      <c r="AE1262" s="610" t="s">
        <v>82</v>
      </c>
      <c r="AF1262" s="610"/>
      <c r="AG1262" s="609"/>
      <c r="AH1262" s="609">
        <v>1</v>
      </c>
      <c r="AI1262" s="610">
        <v>492</v>
      </c>
      <c r="AJ1262" s="610">
        <f t="shared" si="470"/>
        <v>0</v>
      </c>
      <c r="AK1262" s="610"/>
      <c r="AL1262" s="610" t="s">
        <v>2368</v>
      </c>
      <c r="AM1262" s="610"/>
      <c r="AN1262" s="610"/>
      <c r="AO1262" s="554">
        <f>I1262*2</f>
        <v>984</v>
      </c>
      <c r="AP1262" s="554"/>
      <c r="AQ1262" s="554"/>
      <c r="AR1262" s="619"/>
      <c r="AS1262" s="554"/>
      <c r="AT1262" s="554">
        <f>I1262*2</f>
        <v>984</v>
      </c>
      <c r="AU1262" s="554"/>
      <c r="AV1262" s="554">
        <f>I1262*2</f>
        <v>984</v>
      </c>
      <c r="AW1262" s="619"/>
      <c r="AX1262" s="554"/>
      <c r="AY1262" s="554"/>
      <c r="AZ1262" s="554"/>
      <c r="BA1262" s="554"/>
      <c r="BB1262" s="249">
        <f>I1262/24*2</f>
        <v>41</v>
      </c>
      <c r="BC1262" s="714"/>
      <c r="BD1262" s="554"/>
      <c r="BE1262" s="554"/>
      <c r="BF1262" s="554"/>
      <c r="BH1262" s="554"/>
      <c r="BI1262" s="554"/>
      <c r="BJ1262" s="554"/>
      <c r="BK1262" s="554"/>
      <c r="BL1262" s="554"/>
      <c r="BM1262" s="554"/>
      <c r="BN1262" s="554"/>
      <c r="BO1262" s="554"/>
      <c r="BP1262" s="554"/>
      <c r="BQ1262" s="554"/>
      <c r="BR1262" s="554"/>
      <c r="BS1262" s="554"/>
      <c r="BT1262" s="554"/>
      <c r="BU1262" s="554"/>
      <c r="BV1262" s="554"/>
      <c r="BW1262" s="554"/>
      <c r="BX1262" s="554"/>
      <c r="BY1262" s="619"/>
      <c r="BZ1262" s="554"/>
      <c r="CA1262" s="621"/>
      <c r="CB1262" s="567"/>
      <c r="CC1262" s="622"/>
      <c r="CD1262" s="619"/>
      <c r="CE1262" s="619"/>
      <c r="CF1262" s="554"/>
      <c r="CG1262" s="554"/>
      <c r="CI1262" s="554"/>
      <c r="CJ1262" s="554"/>
      <c r="CK1262" s="554"/>
      <c r="CL1262" s="554"/>
      <c r="CM1262" s="554"/>
      <c r="CN1262" s="554"/>
      <c r="CO1262" s="554"/>
      <c r="CP1262" s="554"/>
      <c r="CQ1262" s="554"/>
      <c r="CR1262" s="554">
        <f>I1262</f>
        <v>492</v>
      </c>
      <c r="CS1262" s="554">
        <f>I1262</f>
        <v>492</v>
      </c>
      <c r="CT1262" s="554">
        <f>I1262</f>
        <v>492</v>
      </c>
      <c r="CU1262" s="554">
        <f t="shared" si="461"/>
        <v>0</v>
      </c>
      <c r="CV1262" s="554">
        <f>CK1262+CL1262+CM1262+CN1262+CO1262+CQ1262+CP1262</f>
        <v>0</v>
      </c>
      <c r="CW1262" s="554">
        <f>CI1262+CJ1262</f>
        <v>0</v>
      </c>
      <c r="CX1262" s="619"/>
      <c r="CY1262" s="619"/>
      <c r="CZ1262" s="619"/>
      <c r="DA1262" s="548"/>
      <c r="DB1262" s="548"/>
      <c r="DC1262" s="548"/>
      <c r="DD1262" s="619"/>
      <c r="DE1262" s="619"/>
      <c r="DF1262" s="619"/>
      <c r="DG1262" s="619"/>
      <c r="DH1262" s="619"/>
    </row>
    <row r="1263" s="548" customFormat="1" ht="31" customHeight="1" spans="1:112">
      <c r="A1263" s="608">
        <v>46080</v>
      </c>
      <c r="B1263" s="609" t="s">
        <v>1922</v>
      </c>
      <c r="C1263" s="610" t="s">
        <v>278</v>
      </c>
      <c r="D1263" s="554">
        <v>4500194447</v>
      </c>
      <c r="E1263" s="610" t="s">
        <v>3586</v>
      </c>
      <c r="F1263" s="554" t="s">
        <v>9109</v>
      </c>
      <c r="G1263" s="610" t="s">
        <v>6365</v>
      </c>
      <c r="H1263" s="610" t="s">
        <v>6126</v>
      </c>
      <c r="I1263" s="610">
        <v>4260</v>
      </c>
      <c r="J1263" s="610">
        <v>0</v>
      </c>
      <c r="K1263" s="610">
        <v>12</v>
      </c>
      <c r="L1263" s="611">
        <f t="shared" si="479"/>
        <v>355</v>
      </c>
      <c r="M1263" s="612">
        <v>46134</v>
      </c>
      <c r="N1263" s="612">
        <v>46130</v>
      </c>
      <c r="O1263" s="613"/>
      <c r="P1263" s="613" t="s">
        <v>113</v>
      </c>
      <c r="Q1263" s="610"/>
      <c r="R1263" s="614" t="s">
        <v>463</v>
      </c>
      <c r="S1263" s="614" t="s">
        <v>104</v>
      </c>
      <c r="T1263" s="614" t="s">
        <v>9103</v>
      </c>
      <c r="U1263" s="614"/>
      <c r="V1263" s="614"/>
      <c r="W1263" s="615"/>
      <c r="X1263" s="609" t="s">
        <v>9104</v>
      </c>
      <c r="Y1263" s="616" t="s">
        <v>428</v>
      </c>
      <c r="Z1263" s="609">
        <v>2.1525</v>
      </c>
      <c r="AA1263" s="616">
        <f t="shared" si="478"/>
        <v>9169.65</v>
      </c>
      <c r="AC1263" s="617"/>
      <c r="AD1263" s="610" t="s">
        <v>6368</v>
      </c>
      <c r="AE1263" s="610" t="s">
        <v>82</v>
      </c>
      <c r="AF1263" s="610"/>
      <c r="AG1263" s="609"/>
      <c r="AH1263" s="609">
        <v>1</v>
      </c>
      <c r="AI1263" s="610">
        <v>4260</v>
      </c>
      <c r="AJ1263" s="610">
        <f t="shared" si="470"/>
        <v>0</v>
      </c>
      <c r="AK1263" s="610"/>
      <c r="AL1263" s="610" t="s">
        <v>454</v>
      </c>
      <c r="AM1263" s="610"/>
      <c r="AN1263" s="610"/>
      <c r="AO1263" s="554">
        <f>I1263*2</f>
        <v>8520</v>
      </c>
      <c r="AP1263" s="554"/>
      <c r="AQ1263" s="554"/>
      <c r="AR1263" s="619"/>
      <c r="AS1263" s="554"/>
      <c r="AT1263" s="554">
        <f>I1263*2</f>
        <v>8520</v>
      </c>
      <c r="AU1263" s="554"/>
      <c r="AV1263" s="554">
        <f>I1263*2</f>
        <v>8520</v>
      </c>
      <c r="AW1263" s="619"/>
      <c r="AX1263" s="554"/>
      <c r="AY1263" s="554"/>
      <c r="AZ1263" s="554"/>
      <c r="BA1263" s="554"/>
      <c r="BB1263" s="249">
        <f>I1263/24*2</f>
        <v>355</v>
      </c>
      <c r="BC1263" s="714"/>
      <c r="BD1263" s="554"/>
      <c r="BE1263" s="554"/>
      <c r="BF1263" s="554"/>
      <c r="BH1263" s="554"/>
      <c r="BI1263" s="554"/>
      <c r="BJ1263" s="554"/>
      <c r="BK1263" s="554"/>
      <c r="BL1263" s="554"/>
      <c r="BM1263" s="554"/>
      <c r="BN1263" s="554"/>
      <c r="BO1263" s="554"/>
      <c r="BP1263" s="554"/>
      <c r="BQ1263" s="554"/>
      <c r="BR1263" s="554"/>
      <c r="BS1263" s="554"/>
      <c r="BT1263" s="554"/>
      <c r="BU1263" s="554"/>
      <c r="BV1263" s="554"/>
      <c r="BW1263" s="554"/>
      <c r="BX1263" s="554"/>
      <c r="BY1263" s="619"/>
      <c r="BZ1263" s="554"/>
      <c r="CA1263" s="621"/>
      <c r="CB1263" s="567"/>
      <c r="CC1263" s="622"/>
      <c r="CD1263" s="619"/>
      <c r="CE1263" s="619"/>
      <c r="CF1263" s="554"/>
      <c r="CG1263" s="554"/>
      <c r="CI1263" s="554"/>
      <c r="CJ1263" s="554"/>
      <c r="CK1263" s="554"/>
      <c r="CL1263" s="554"/>
      <c r="CM1263" s="554"/>
      <c r="CN1263" s="554"/>
      <c r="CO1263" s="554"/>
      <c r="CP1263" s="554"/>
      <c r="CQ1263" s="554"/>
      <c r="CR1263" s="554">
        <f>I1263</f>
        <v>4260</v>
      </c>
      <c r="CS1263" s="554">
        <f>I1263</f>
        <v>4260</v>
      </c>
      <c r="CT1263" s="554">
        <f>I1263</f>
        <v>4260</v>
      </c>
      <c r="CU1263" s="554">
        <f t="shared" si="461"/>
        <v>0</v>
      </c>
      <c r="CV1263" s="554">
        <f>CK1263+CL1263+CM1263+CN1263+CO1263+CQ1263+CP1263</f>
        <v>0</v>
      </c>
      <c r="CW1263" s="554">
        <f>CI1263+CJ1263</f>
        <v>0</v>
      </c>
      <c r="CX1263" s="619"/>
      <c r="CY1263" s="619"/>
      <c r="CZ1263" s="619"/>
      <c r="DA1263" s="548"/>
      <c r="DB1263" s="548"/>
      <c r="DC1263" s="548"/>
      <c r="DD1263" s="619"/>
      <c r="DE1263" s="619"/>
      <c r="DF1263" s="619"/>
      <c r="DG1263" s="619"/>
      <c r="DH1263" s="619"/>
    </row>
    <row r="1264" s="548" customFormat="1" ht="31" customHeight="1" spans="1:112">
      <c r="A1264" s="608">
        <v>45995</v>
      </c>
      <c r="B1264" s="609" t="s">
        <v>2734</v>
      </c>
      <c r="C1264" s="713" t="s">
        <v>98</v>
      </c>
      <c r="D1264" s="554">
        <v>4500186354</v>
      </c>
      <c r="E1264" s="610">
        <v>60260799</v>
      </c>
      <c r="F1264" s="554" t="s">
        <v>9110</v>
      </c>
      <c r="G1264" s="610" t="s">
        <v>6787</v>
      </c>
      <c r="H1264" s="610" t="s">
        <v>6126</v>
      </c>
      <c r="I1264" s="610">
        <v>2004</v>
      </c>
      <c r="J1264" s="610">
        <v>0</v>
      </c>
      <c r="K1264" s="610">
        <v>12</v>
      </c>
      <c r="L1264" s="611">
        <f t="shared" si="479"/>
        <v>167</v>
      </c>
      <c r="M1264" s="612">
        <v>46135</v>
      </c>
      <c r="N1264" s="612">
        <v>46132</v>
      </c>
      <c r="O1264" s="613"/>
      <c r="P1264" s="613" t="s">
        <v>113</v>
      </c>
      <c r="Q1264" s="610"/>
      <c r="R1264" s="614">
        <v>45995</v>
      </c>
      <c r="S1264" s="614" t="s">
        <v>70</v>
      </c>
      <c r="T1264" s="614" t="s">
        <v>2738</v>
      </c>
      <c r="U1264" s="614"/>
      <c r="V1264" s="614"/>
      <c r="W1264" s="615"/>
      <c r="X1264" s="609" t="s">
        <v>9111</v>
      </c>
      <c r="Y1264" s="716" t="s">
        <v>2678</v>
      </c>
      <c r="Z1264" s="609">
        <v>1.2871</v>
      </c>
      <c r="AA1264" s="616">
        <f t="shared" si="478"/>
        <v>2579.3484</v>
      </c>
      <c r="AC1264" s="629" t="s">
        <v>3616</v>
      </c>
      <c r="AD1264" s="610" t="s">
        <v>8545</v>
      </c>
      <c r="AE1264" s="610" t="s">
        <v>82</v>
      </c>
      <c r="AF1264" s="610"/>
      <c r="AG1264" s="609"/>
      <c r="AH1264" s="609">
        <v>1</v>
      </c>
      <c r="AI1264" s="610">
        <v>2004</v>
      </c>
      <c r="AJ1264" s="610">
        <f t="shared" si="470"/>
        <v>0</v>
      </c>
      <c r="AK1264" s="610"/>
      <c r="AL1264" s="610" t="s">
        <v>2368</v>
      </c>
      <c r="AM1264" s="610"/>
      <c r="AN1264" s="610">
        <f>I1264*2</f>
        <v>4008</v>
      </c>
      <c r="AO1264" s="554"/>
      <c r="AP1264" s="554">
        <f>I1264*2</f>
        <v>4008</v>
      </c>
      <c r="AR1264" s="619"/>
      <c r="AS1264" s="548"/>
      <c r="AT1264" s="548"/>
      <c r="AU1264" s="554">
        <f>I1264*2</f>
        <v>4008</v>
      </c>
      <c r="AV1264" s="554"/>
      <c r="AW1264" s="619"/>
      <c r="AX1264" s="548"/>
      <c r="AY1264" s="548"/>
      <c r="AZ1264" s="548"/>
      <c r="BA1264" s="548"/>
      <c r="BB1264" s="249">
        <f>I1264/24*2</f>
        <v>167</v>
      </c>
      <c r="BC1264" s="714"/>
      <c r="BD1264" s="548"/>
      <c r="BE1264" s="548"/>
      <c r="BF1264" s="548"/>
      <c r="BY1264" s="619"/>
      <c r="BZ1264" s="548"/>
      <c r="CA1264" s="621"/>
      <c r="CB1264" s="567"/>
      <c r="CC1264" s="622"/>
      <c r="CD1264" s="619"/>
      <c r="CE1264" s="619"/>
      <c r="CF1264" s="548"/>
      <c r="CG1264" s="548"/>
      <c r="CR1264" s="554">
        <f>I1264</f>
        <v>2004</v>
      </c>
      <c r="CS1264" s="554">
        <f>I1264</f>
        <v>2004</v>
      </c>
      <c r="CT1264" s="554">
        <f>I1264</f>
        <v>2004</v>
      </c>
      <c r="CU1264" s="554">
        <f t="shared" si="461"/>
        <v>0</v>
      </c>
      <c r="CV1264" s="554">
        <v>0</v>
      </c>
      <c r="CW1264" s="554">
        <v>0</v>
      </c>
      <c r="CX1264" s="619"/>
      <c r="CY1264" s="619"/>
      <c r="CZ1264" s="619"/>
      <c r="DA1264" s="548"/>
      <c r="DB1264" s="548"/>
      <c r="DC1264" s="548"/>
      <c r="DD1264" s="619"/>
      <c r="DE1264" s="619"/>
      <c r="DF1264" s="619"/>
      <c r="DG1264" s="619"/>
      <c r="DH1264" s="619"/>
    </row>
    <row r="1265" s="548" customFormat="1" ht="31" customHeight="1" spans="1:112">
      <c r="A1265" s="608">
        <v>46097</v>
      </c>
      <c r="B1265" s="609" t="s">
        <v>1800</v>
      </c>
      <c r="C1265" s="713" t="s">
        <v>744</v>
      </c>
      <c r="D1265" s="554">
        <v>4500195548</v>
      </c>
      <c r="E1265" s="610">
        <v>5000002140</v>
      </c>
      <c r="F1265" s="554" t="s">
        <v>9112</v>
      </c>
      <c r="G1265" s="610" t="s">
        <v>6093</v>
      </c>
      <c r="H1265" s="639" t="s">
        <v>7359</v>
      </c>
      <c r="I1265" s="715">
        <v>13000</v>
      </c>
      <c r="J1265" s="610">
        <v>0</v>
      </c>
      <c r="K1265" s="610">
        <v>13</v>
      </c>
      <c r="L1265" s="611">
        <f t="shared" si="479"/>
        <v>1000</v>
      </c>
      <c r="M1265" s="612">
        <v>46135</v>
      </c>
      <c r="N1265" s="612">
        <v>46132</v>
      </c>
      <c r="O1265" s="613"/>
      <c r="P1265" s="610" t="s">
        <v>113</v>
      </c>
      <c r="Q1265" s="610"/>
      <c r="R1265" s="614" t="s">
        <v>8889</v>
      </c>
      <c r="S1265" s="614" t="s">
        <v>104</v>
      </c>
      <c r="T1265" s="614" t="s">
        <v>8723</v>
      </c>
      <c r="U1265" s="614"/>
      <c r="V1265" s="614"/>
      <c r="W1265" s="615"/>
      <c r="X1265" s="609" t="s">
        <v>9100</v>
      </c>
      <c r="Y1265" s="616" t="s">
        <v>1805</v>
      </c>
      <c r="Z1265" s="718">
        <v>0.8677</v>
      </c>
      <c r="AA1265" s="616">
        <v>4364.36</v>
      </c>
      <c r="AC1265" s="617"/>
      <c r="AD1265" s="610" t="s">
        <v>8338</v>
      </c>
      <c r="AE1265" s="610" t="s">
        <v>82</v>
      </c>
      <c r="AF1265" s="610"/>
      <c r="AG1265" s="609"/>
      <c r="AH1265" s="609"/>
      <c r="AI1265" s="610">
        <f>9126+52+3822</f>
        <v>13000</v>
      </c>
      <c r="AJ1265" s="610">
        <f t="shared" si="470"/>
        <v>0</v>
      </c>
      <c r="AK1265" s="610"/>
      <c r="AL1265" s="610" t="s">
        <v>2368</v>
      </c>
      <c r="AM1265" s="610"/>
      <c r="AN1265" s="610"/>
      <c r="AO1265" s="554">
        <f>I1265</f>
        <v>13000</v>
      </c>
      <c r="AP1265" s="554"/>
      <c r="AQ1265" s="554"/>
      <c r="AR1265" s="619"/>
      <c r="AS1265" s="554"/>
      <c r="AT1265" s="554"/>
      <c r="AU1265" s="554"/>
      <c r="AV1265" s="554"/>
      <c r="AW1265" s="650">
        <f>I1265</f>
        <v>13000</v>
      </c>
      <c r="AX1265" s="554">
        <f>I1265</f>
        <v>13000</v>
      </c>
      <c r="AY1265" s="554"/>
      <c r="AZ1265" s="554"/>
      <c r="BA1265" s="714">
        <f>I1265/24*2</f>
        <v>1083.33333333333</v>
      </c>
      <c r="BB1265" s="620"/>
      <c r="BC1265" s="714"/>
      <c r="BD1265" s="554"/>
      <c r="BE1265" s="554"/>
      <c r="BF1265" s="554"/>
      <c r="BH1265" s="554"/>
      <c r="BI1265" s="554"/>
      <c r="BJ1265" s="554"/>
      <c r="BK1265" s="554"/>
      <c r="BL1265" s="554"/>
      <c r="BM1265" s="554">
        <f>I1265/13</f>
        <v>1000</v>
      </c>
      <c r="BN1265" s="554"/>
      <c r="BO1265" s="554"/>
      <c r="BP1265" s="554"/>
      <c r="BQ1265" s="554"/>
      <c r="BR1265" s="554"/>
      <c r="BS1265" s="554"/>
      <c r="BT1265" s="554"/>
      <c r="BU1265" s="554"/>
      <c r="BV1265" s="554"/>
      <c r="BW1265" s="554"/>
      <c r="BX1265" s="554"/>
      <c r="BY1265" s="619"/>
      <c r="BZ1265" s="554"/>
      <c r="CA1265" s="621"/>
      <c r="CB1265" s="567"/>
      <c r="CC1265" s="622"/>
      <c r="CD1265" s="619"/>
      <c r="CE1265" s="619"/>
      <c r="CF1265" s="554"/>
      <c r="CG1265" s="554"/>
      <c r="CI1265" s="554"/>
      <c r="CJ1265" s="554"/>
      <c r="CK1265" s="554"/>
      <c r="CL1265" s="554"/>
      <c r="CM1265" s="554"/>
      <c r="CN1265" s="554"/>
      <c r="CO1265" s="554"/>
      <c r="CP1265" s="554"/>
      <c r="CQ1265" s="554"/>
      <c r="CR1265" s="554"/>
      <c r="CS1265" s="554"/>
      <c r="CT1265" s="554"/>
      <c r="CU1265" s="554">
        <f t="shared" si="461"/>
        <v>0</v>
      </c>
      <c r="CV1265" s="554">
        <f t="shared" ref="CV1265:CV1270" si="480">CK1265+CL1265+CM1265+CN1265+CO1265+CQ1265+CP1265</f>
        <v>0</v>
      </c>
      <c r="CW1265" s="554">
        <f t="shared" ref="CW1265:CW1270" si="481">CI1265+CJ1265</f>
        <v>0</v>
      </c>
      <c r="CX1265" s="619"/>
      <c r="CY1265" s="619"/>
      <c r="CZ1265" s="619"/>
      <c r="DA1265" s="548"/>
      <c r="DB1265" s="548"/>
      <c r="DC1265" s="548"/>
      <c r="DD1265" s="619"/>
      <c r="DE1265" s="619"/>
      <c r="DF1265" s="619"/>
      <c r="DG1265" s="619"/>
      <c r="DH1265" s="619"/>
    </row>
    <row r="1266" s="548" customFormat="1" ht="31" customHeight="1" spans="1:112">
      <c r="A1266" s="608">
        <v>46092</v>
      </c>
      <c r="B1266" s="609" t="s">
        <v>2734</v>
      </c>
      <c r="C1266" s="610" t="s">
        <v>98</v>
      </c>
      <c r="D1266" s="554">
        <v>4500196190</v>
      </c>
      <c r="E1266" s="610">
        <v>60287663</v>
      </c>
      <c r="F1266" s="554" t="s">
        <v>9113</v>
      </c>
      <c r="G1266" s="610" t="s">
        <v>6787</v>
      </c>
      <c r="H1266" s="610" t="s">
        <v>6126</v>
      </c>
      <c r="I1266" s="715">
        <v>7008</v>
      </c>
      <c r="J1266" s="610">
        <v>0</v>
      </c>
      <c r="K1266" s="610">
        <v>12</v>
      </c>
      <c r="L1266" s="611">
        <f t="shared" si="479"/>
        <v>584</v>
      </c>
      <c r="M1266" s="612">
        <v>46139</v>
      </c>
      <c r="N1266" s="612">
        <v>46135</v>
      </c>
      <c r="O1266" s="613"/>
      <c r="P1266" s="610" t="s">
        <v>113</v>
      </c>
      <c r="Q1266" s="614"/>
      <c r="R1266" s="614">
        <v>46098</v>
      </c>
      <c r="S1266" s="614" t="s">
        <v>70</v>
      </c>
      <c r="T1266" s="614" t="s">
        <v>8522</v>
      </c>
      <c r="U1266" s="614"/>
      <c r="V1266" s="614"/>
      <c r="W1266" s="615"/>
      <c r="X1266" s="609" t="s">
        <v>9114</v>
      </c>
      <c r="Y1266" s="616" t="s">
        <v>1318</v>
      </c>
      <c r="Z1266" s="609">
        <v>1.319</v>
      </c>
      <c r="AA1266" s="616">
        <f>Z1266*I1266</f>
        <v>9243.552</v>
      </c>
      <c r="AC1266" s="629" t="s">
        <v>3634</v>
      </c>
      <c r="AD1266" s="610" t="s">
        <v>8545</v>
      </c>
      <c r="AE1266" s="610" t="s">
        <v>82</v>
      </c>
      <c r="AF1266" s="610"/>
      <c r="AG1266" s="610"/>
      <c r="AH1266" s="609"/>
      <c r="AI1266" s="610">
        <v>7008</v>
      </c>
      <c r="AJ1266" s="610">
        <f t="shared" si="470"/>
        <v>0</v>
      </c>
      <c r="AK1266" s="613"/>
      <c r="AL1266" s="610" t="s">
        <v>2368</v>
      </c>
      <c r="AM1266" s="610"/>
      <c r="AN1266" s="610">
        <f>I1266*2</f>
        <v>14016</v>
      </c>
      <c r="AO1266" s="554"/>
      <c r="AP1266" s="554">
        <f>I1266*2</f>
        <v>14016</v>
      </c>
      <c r="AQ1266" s="554"/>
      <c r="AR1266" s="554"/>
      <c r="AS1266" s="554"/>
      <c r="AT1266" s="554"/>
      <c r="AU1266" s="554">
        <f>I1266*2</f>
        <v>14016</v>
      </c>
      <c r="AV1266" s="554"/>
      <c r="AW1266" s="554"/>
      <c r="AX1266" s="554"/>
      <c r="AY1266" s="554"/>
      <c r="AZ1266" s="554"/>
      <c r="BA1266" s="714"/>
      <c r="BB1266" s="249">
        <f>I1266/24*2</f>
        <v>584</v>
      </c>
      <c r="BC1266" s="554"/>
      <c r="BD1266" s="554"/>
      <c r="BE1266" s="554"/>
      <c r="BF1266" s="554"/>
      <c r="BH1266" s="554"/>
      <c r="BI1266" s="554"/>
      <c r="BJ1266" s="554"/>
      <c r="BK1266" s="554"/>
      <c r="BL1266" s="554"/>
      <c r="BM1266" s="554"/>
      <c r="BN1266" s="554"/>
      <c r="BO1266" s="554"/>
      <c r="BP1266" s="554"/>
      <c r="BQ1266" s="554"/>
      <c r="BR1266" s="554"/>
      <c r="BS1266" s="554"/>
      <c r="BT1266" s="554"/>
      <c r="BU1266" s="554"/>
      <c r="BV1266" s="554"/>
      <c r="BW1266" s="554"/>
      <c r="BX1266" s="554"/>
      <c r="BY1266" s="554"/>
      <c r="BZ1266" s="554"/>
      <c r="CA1266" s="720"/>
      <c r="CB1266" s="567"/>
      <c r="CC1266" s="721"/>
      <c r="CD1266" s="554"/>
      <c r="CE1266" s="554"/>
      <c r="CF1266" s="554"/>
      <c r="CG1266" s="554"/>
      <c r="CI1266" s="554"/>
      <c r="CJ1266" s="554"/>
      <c r="CK1266" s="554"/>
      <c r="CL1266" s="554"/>
      <c r="CM1266" s="554"/>
      <c r="CN1266" s="554"/>
      <c r="CO1266" s="554"/>
      <c r="CP1266" s="619"/>
      <c r="CQ1266" s="619"/>
      <c r="CR1266" s="554">
        <f>I1266</f>
        <v>7008</v>
      </c>
      <c r="CS1266" s="554">
        <f>I1266</f>
        <v>7008</v>
      </c>
      <c r="CT1266" s="554">
        <f>I1266</f>
        <v>7008</v>
      </c>
      <c r="CU1266" s="554">
        <f t="shared" si="461"/>
        <v>0</v>
      </c>
      <c r="CV1266" s="554">
        <f t="shared" si="480"/>
        <v>0</v>
      </c>
      <c r="CW1266" s="554">
        <f t="shared" si="481"/>
        <v>0</v>
      </c>
      <c r="CX1266" s="619"/>
      <c r="CY1266" s="619"/>
      <c r="CZ1266" s="619"/>
      <c r="DA1266" s="619"/>
      <c r="DB1266" s="619"/>
      <c r="DC1266" s="619"/>
      <c r="DD1266" s="619"/>
      <c r="DE1266" s="619"/>
      <c r="DF1266" s="619"/>
      <c r="DG1266" s="619"/>
      <c r="DH1266" s="619"/>
    </row>
    <row r="1267" s="548" customFormat="1" ht="31" customHeight="1" spans="1:112">
      <c r="A1267" s="608">
        <v>45978</v>
      </c>
      <c r="B1267" s="609" t="s">
        <v>1492</v>
      </c>
      <c r="C1267" s="713" t="s">
        <v>98</v>
      </c>
      <c r="D1267" s="554">
        <v>4500185966</v>
      </c>
      <c r="E1267" s="613">
        <v>2621218578</v>
      </c>
      <c r="F1267" s="554" t="s">
        <v>3534</v>
      </c>
      <c r="G1267" s="610" t="s">
        <v>8457</v>
      </c>
      <c r="H1267" s="610" t="s">
        <v>830</v>
      </c>
      <c r="I1267" s="610">
        <v>5400</v>
      </c>
      <c r="J1267" s="610">
        <v>0</v>
      </c>
      <c r="K1267" s="610">
        <v>75</v>
      </c>
      <c r="L1267" s="611">
        <f t="shared" si="479"/>
        <v>72</v>
      </c>
      <c r="M1267" s="612">
        <v>46129</v>
      </c>
      <c r="N1267" s="612">
        <v>46125</v>
      </c>
      <c r="O1267" s="613"/>
      <c r="P1267" s="613" t="s">
        <v>113</v>
      </c>
      <c r="Q1267" s="610"/>
      <c r="R1267" s="614" t="s">
        <v>2667</v>
      </c>
      <c r="S1267" s="614" t="s">
        <v>70</v>
      </c>
      <c r="T1267" s="614" t="s">
        <v>70</v>
      </c>
      <c r="U1267" s="614"/>
      <c r="V1267" s="614"/>
      <c r="W1267" s="615"/>
      <c r="X1267" s="609" t="s">
        <v>2826</v>
      </c>
      <c r="Y1267" s="716" t="s">
        <v>911</v>
      </c>
      <c r="Z1267" s="609">
        <v>359.3436</v>
      </c>
      <c r="AA1267" s="616">
        <f>Z1267*L1267</f>
        <v>25872.7392</v>
      </c>
      <c r="AC1267" s="629" t="s">
        <v>3535</v>
      </c>
      <c r="AD1267" s="609" t="s">
        <v>1498</v>
      </c>
      <c r="AE1267" s="610" t="s">
        <v>82</v>
      </c>
      <c r="AF1267" s="610"/>
      <c r="AG1267" s="609"/>
      <c r="AH1267" s="609">
        <v>1</v>
      </c>
      <c r="AI1267" s="610">
        <f>3640+1760</f>
        <v>5400</v>
      </c>
      <c r="AJ1267" s="610">
        <f t="shared" si="470"/>
        <v>0</v>
      </c>
      <c r="AK1267" s="610"/>
      <c r="AL1267" s="610"/>
      <c r="AM1267" s="610"/>
      <c r="AN1267" s="610">
        <f>I1267*3</f>
        <v>16200</v>
      </c>
      <c r="AO1267" s="554"/>
      <c r="AP1267" s="548"/>
      <c r="AQ1267" s="548"/>
      <c r="AR1267" s="619"/>
      <c r="AS1267" s="548"/>
      <c r="AT1267" s="548"/>
      <c r="AU1267" s="554"/>
      <c r="AV1267" s="554"/>
      <c r="AW1267" s="619"/>
      <c r="AX1267" s="548"/>
      <c r="AY1267" s="548"/>
      <c r="AZ1267" s="548"/>
      <c r="BA1267" s="548"/>
      <c r="BB1267" s="620">
        <f>I1267/24*3</f>
        <v>675</v>
      </c>
      <c r="BC1267" s="714"/>
      <c r="BD1267" s="548"/>
      <c r="BE1267" s="548"/>
      <c r="BF1267" s="554">
        <f>AN1267</f>
        <v>16200</v>
      </c>
      <c r="BH1267" s="554">
        <f>AN1267</f>
        <v>16200</v>
      </c>
      <c r="BI1267" s="554">
        <f>I1267</f>
        <v>5400</v>
      </c>
      <c r="BJ1267" s="554">
        <f>I1267/5</f>
        <v>1080</v>
      </c>
      <c r="BY1267" s="619"/>
      <c r="BZ1267" s="548"/>
      <c r="CA1267" s="621"/>
      <c r="CB1267" s="567"/>
      <c r="CC1267" s="622"/>
      <c r="CD1267" s="619"/>
      <c r="CE1267" s="619"/>
      <c r="CF1267" s="548"/>
      <c r="CG1267" s="548"/>
      <c r="CU1267" s="554">
        <f t="shared" si="461"/>
        <v>0</v>
      </c>
      <c r="CV1267" s="554">
        <f t="shared" si="480"/>
        <v>0</v>
      </c>
      <c r="CW1267" s="554">
        <f t="shared" si="481"/>
        <v>0</v>
      </c>
      <c r="CX1267" s="619"/>
      <c r="CY1267" s="619"/>
      <c r="CZ1267" s="619"/>
      <c r="DA1267" s="548"/>
      <c r="DB1267" s="548"/>
      <c r="DC1267" s="548"/>
      <c r="DD1267" s="619"/>
      <c r="DE1267" s="619"/>
      <c r="DF1267" s="619"/>
      <c r="DG1267" s="619"/>
      <c r="DH1267" s="619"/>
    </row>
    <row r="1268" s="548" customFormat="1" ht="31" customHeight="1" spans="1:112">
      <c r="A1268" s="608">
        <v>45978</v>
      </c>
      <c r="B1268" s="609" t="s">
        <v>1492</v>
      </c>
      <c r="C1268" s="713" t="s">
        <v>98</v>
      </c>
      <c r="D1268" s="554">
        <v>4500185968</v>
      </c>
      <c r="E1268" s="613">
        <v>10521218451</v>
      </c>
      <c r="F1268" s="554" t="s">
        <v>3537</v>
      </c>
      <c r="G1268" s="610" t="s">
        <v>8457</v>
      </c>
      <c r="H1268" s="610" t="s">
        <v>830</v>
      </c>
      <c r="I1268" s="610">
        <v>5400</v>
      </c>
      <c r="J1268" s="610">
        <v>0</v>
      </c>
      <c r="K1268" s="610">
        <v>75</v>
      </c>
      <c r="L1268" s="611">
        <f t="shared" si="479"/>
        <v>72</v>
      </c>
      <c r="M1268" s="612">
        <v>46129</v>
      </c>
      <c r="N1268" s="612">
        <v>46125</v>
      </c>
      <c r="O1268" s="613"/>
      <c r="P1268" s="613" t="s">
        <v>113</v>
      </c>
      <c r="Q1268" s="610"/>
      <c r="R1268" s="614" t="s">
        <v>2667</v>
      </c>
      <c r="S1268" s="614" t="s">
        <v>70</v>
      </c>
      <c r="T1268" s="614" t="s">
        <v>70</v>
      </c>
      <c r="U1268" s="614"/>
      <c r="V1268" s="614"/>
      <c r="W1268" s="615"/>
      <c r="X1268" s="609" t="s">
        <v>2826</v>
      </c>
      <c r="Y1268" s="716" t="s">
        <v>911</v>
      </c>
      <c r="Z1268" s="609">
        <v>359.3436</v>
      </c>
      <c r="AA1268" s="616">
        <f>Z1268*L1268</f>
        <v>25872.7392</v>
      </c>
      <c r="AC1268" s="629" t="s">
        <v>3538</v>
      </c>
      <c r="AD1268" s="609" t="s">
        <v>1498</v>
      </c>
      <c r="AE1268" s="610" t="s">
        <v>82</v>
      </c>
      <c r="AF1268" s="610"/>
      <c r="AG1268" s="609"/>
      <c r="AH1268" s="609">
        <v>1</v>
      </c>
      <c r="AI1268" s="610">
        <v>5400</v>
      </c>
      <c r="AJ1268" s="610">
        <f t="shared" si="470"/>
        <v>0</v>
      </c>
      <c r="AK1268" s="610"/>
      <c r="AL1268" s="610"/>
      <c r="AM1268" s="610"/>
      <c r="AN1268" s="610">
        <f>I1268*3</f>
        <v>16200</v>
      </c>
      <c r="AO1268" s="554"/>
      <c r="AP1268" s="548"/>
      <c r="AQ1268" s="548"/>
      <c r="AR1268" s="619"/>
      <c r="AS1268" s="548"/>
      <c r="AT1268" s="548"/>
      <c r="AU1268" s="554"/>
      <c r="AV1268" s="554"/>
      <c r="AW1268" s="619"/>
      <c r="AX1268" s="548"/>
      <c r="AY1268" s="548"/>
      <c r="AZ1268" s="548"/>
      <c r="BA1268" s="548"/>
      <c r="BB1268" s="620">
        <f>I1268/24*3</f>
        <v>675</v>
      </c>
      <c r="BC1268" s="714"/>
      <c r="BD1268" s="548"/>
      <c r="BE1268" s="548"/>
      <c r="BF1268" s="554">
        <f>AN1268</f>
        <v>16200</v>
      </c>
      <c r="BH1268" s="554">
        <f>AN1268</f>
        <v>16200</v>
      </c>
      <c r="BI1268" s="554">
        <f>I1268</f>
        <v>5400</v>
      </c>
      <c r="BJ1268" s="554">
        <f>I1268/5</f>
        <v>1080</v>
      </c>
      <c r="BY1268" s="619"/>
      <c r="BZ1268" s="548"/>
      <c r="CA1268" s="621"/>
      <c r="CB1268" s="567"/>
      <c r="CC1268" s="622"/>
      <c r="CD1268" s="619"/>
      <c r="CE1268" s="619"/>
      <c r="CF1268" s="548"/>
      <c r="CG1268" s="548"/>
      <c r="CU1268" s="554">
        <f t="shared" si="461"/>
        <v>0</v>
      </c>
      <c r="CV1268" s="554">
        <f t="shared" si="480"/>
        <v>0</v>
      </c>
      <c r="CW1268" s="554">
        <f t="shared" si="481"/>
        <v>0</v>
      </c>
      <c r="CX1268" s="619"/>
      <c r="CY1268" s="619"/>
      <c r="CZ1268" s="619"/>
      <c r="DA1268" s="548"/>
      <c r="DB1268" s="548"/>
      <c r="DC1268" s="548"/>
      <c r="DD1268" s="619"/>
      <c r="DE1268" s="619"/>
      <c r="DF1268" s="619"/>
      <c r="DG1268" s="619"/>
      <c r="DH1268" s="619"/>
    </row>
    <row r="1269" s="548" customFormat="1" ht="31" customHeight="1" spans="1:112">
      <c r="A1269" s="608">
        <v>46086</v>
      </c>
      <c r="B1269" s="609" t="s">
        <v>211</v>
      </c>
      <c r="C1269" s="610" t="s">
        <v>212</v>
      </c>
      <c r="D1269" s="554">
        <v>4500195221</v>
      </c>
      <c r="E1269" s="610" t="s">
        <v>3539</v>
      </c>
      <c r="F1269" s="554" t="s">
        <v>3540</v>
      </c>
      <c r="G1269" s="610" t="s">
        <v>6337</v>
      </c>
      <c r="H1269" s="610" t="s">
        <v>477</v>
      </c>
      <c r="I1269" s="719">
        <v>960</v>
      </c>
      <c r="J1269" s="610">
        <v>0</v>
      </c>
      <c r="K1269" s="610">
        <v>6</v>
      </c>
      <c r="L1269" s="611">
        <f t="shared" si="479"/>
        <v>160</v>
      </c>
      <c r="M1269" s="612">
        <v>46129</v>
      </c>
      <c r="N1269" s="612">
        <v>46125</v>
      </c>
      <c r="O1269" s="613"/>
      <c r="P1269" s="613" t="s">
        <v>113</v>
      </c>
      <c r="Q1269" s="610"/>
      <c r="R1269" s="614">
        <v>46086</v>
      </c>
      <c r="S1269" s="614" t="s">
        <v>70</v>
      </c>
      <c r="T1269" s="614">
        <v>46086</v>
      </c>
      <c r="U1269" s="614"/>
      <c r="V1269" s="614"/>
      <c r="W1269" s="615"/>
      <c r="X1269" s="609" t="s">
        <v>9115</v>
      </c>
      <c r="Y1269" s="616" t="s">
        <v>1793</v>
      </c>
      <c r="Z1269" s="718">
        <v>7.0456</v>
      </c>
      <c r="AA1269" s="616">
        <f>Z1269*I1269</f>
        <v>6763.776</v>
      </c>
      <c r="AC1269" s="617"/>
      <c r="AD1269" s="610" t="s">
        <v>1306</v>
      </c>
      <c r="AE1269" s="610" t="s">
        <v>82</v>
      </c>
      <c r="AF1269" s="610"/>
      <c r="AG1269" s="609"/>
      <c r="AH1269" s="609">
        <v>1</v>
      </c>
      <c r="AI1269" s="610">
        <v>960</v>
      </c>
      <c r="AJ1269" s="610">
        <f t="shared" si="470"/>
        <v>0</v>
      </c>
      <c r="AK1269" s="610"/>
      <c r="AL1269" s="610" t="s">
        <v>2368</v>
      </c>
      <c r="AM1269" s="610"/>
      <c r="AN1269" s="610"/>
      <c r="AO1269" s="554">
        <f>I1269*2</f>
        <v>1920</v>
      </c>
      <c r="AP1269" s="554"/>
      <c r="AQ1269" s="554"/>
      <c r="AR1269" s="619"/>
      <c r="AS1269" s="554"/>
      <c r="AT1269" s="554">
        <f>I1269*2</f>
        <v>1920</v>
      </c>
      <c r="AU1269" s="554"/>
      <c r="AV1269" s="554">
        <f>I1269*2</f>
        <v>1920</v>
      </c>
      <c r="AW1269" s="619"/>
      <c r="AX1269" s="554"/>
      <c r="AY1269" s="554"/>
      <c r="AZ1269" s="554"/>
      <c r="BA1269" s="554"/>
      <c r="BB1269" s="620">
        <f>I1269/24*2</f>
        <v>80</v>
      </c>
      <c r="BC1269" s="714"/>
      <c r="BD1269" s="554"/>
      <c r="BE1269" s="554"/>
      <c r="BF1269" s="554"/>
      <c r="BH1269" s="554"/>
      <c r="BI1269" s="554"/>
      <c r="BJ1269" s="554"/>
      <c r="BK1269" s="554"/>
      <c r="BL1269" s="554"/>
      <c r="BM1269" s="554"/>
      <c r="BN1269" s="554"/>
      <c r="BO1269" s="554"/>
      <c r="BP1269" s="554"/>
      <c r="BQ1269" s="554"/>
      <c r="BR1269" s="554"/>
      <c r="BS1269" s="554"/>
      <c r="BT1269" s="554"/>
      <c r="BU1269" s="554"/>
      <c r="BV1269" s="554"/>
      <c r="BW1269" s="554"/>
      <c r="BX1269" s="554"/>
      <c r="BY1269" s="619"/>
      <c r="BZ1269" s="554">
        <f>I1269</f>
        <v>960</v>
      </c>
      <c r="CA1269" s="621"/>
      <c r="CB1269" s="567"/>
      <c r="CC1269" s="622"/>
      <c r="CD1269" s="619"/>
      <c r="CE1269" s="619"/>
      <c r="CF1269" s="554"/>
      <c r="CG1269" s="554"/>
      <c r="CI1269" s="554"/>
      <c r="CJ1269" s="554"/>
      <c r="CK1269" s="554"/>
      <c r="CL1269" s="554"/>
      <c r="CM1269" s="554"/>
      <c r="CN1269" s="554"/>
      <c r="CO1269" s="554"/>
      <c r="CP1269" s="554"/>
      <c r="CQ1269" s="554"/>
      <c r="CR1269" s="554"/>
      <c r="CS1269" s="554"/>
      <c r="CT1269" s="554"/>
      <c r="CU1269" s="554">
        <f t="shared" si="461"/>
        <v>0</v>
      </c>
      <c r="CV1269" s="554">
        <f t="shared" si="480"/>
        <v>0</v>
      </c>
      <c r="CW1269" s="554">
        <f t="shared" si="481"/>
        <v>0</v>
      </c>
      <c r="CX1269" s="619"/>
      <c r="CY1269" s="619"/>
      <c r="CZ1269" s="619"/>
      <c r="DA1269" s="548"/>
      <c r="DB1269" s="548"/>
      <c r="DC1269" s="548"/>
      <c r="DD1269" s="619"/>
      <c r="DE1269" s="619"/>
      <c r="DF1269" s="619"/>
      <c r="DG1269" s="619"/>
      <c r="DH1269" s="619"/>
    </row>
    <row r="1270" s="548" customFormat="1" ht="31" customHeight="1" spans="1:112">
      <c r="A1270" s="608">
        <v>46107</v>
      </c>
      <c r="B1270" s="609" t="s">
        <v>1691</v>
      </c>
      <c r="C1270" s="610" t="s">
        <v>1692</v>
      </c>
      <c r="D1270" s="554">
        <v>4500198601</v>
      </c>
      <c r="E1270" s="610"/>
      <c r="F1270" s="554" t="s">
        <v>9116</v>
      </c>
      <c r="G1270" s="610" t="s">
        <v>6276</v>
      </c>
      <c r="H1270" s="610" t="s">
        <v>6277</v>
      </c>
      <c r="I1270" s="610">
        <v>12400</v>
      </c>
      <c r="J1270" s="610">
        <v>0</v>
      </c>
      <c r="K1270" s="610">
        <v>50</v>
      </c>
      <c r="L1270" s="611">
        <f t="shared" si="479"/>
        <v>248</v>
      </c>
      <c r="M1270" s="612">
        <v>46134</v>
      </c>
      <c r="N1270" s="612">
        <v>46130</v>
      </c>
      <c r="O1270" s="613"/>
      <c r="P1270" s="613" t="s">
        <v>113</v>
      </c>
      <c r="Q1270" s="610"/>
      <c r="R1270" s="614" t="s">
        <v>3530</v>
      </c>
      <c r="S1270" s="614" t="s">
        <v>70</v>
      </c>
      <c r="T1270" s="614" t="s">
        <v>9117</v>
      </c>
      <c r="U1270" s="614"/>
      <c r="V1270" s="614" t="s">
        <v>9118</v>
      </c>
      <c r="W1270" s="615"/>
      <c r="X1270" s="609" t="s">
        <v>9119</v>
      </c>
      <c r="Y1270" s="609" t="s">
        <v>529</v>
      </c>
      <c r="Z1270" s="722">
        <v>0.9247</v>
      </c>
      <c r="AA1270" s="616">
        <f>Z1270*I1270</f>
        <v>11466.28</v>
      </c>
      <c r="AC1270" s="617"/>
      <c r="AD1270" s="610" t="s">
        <v>9120</v>
      </c>
      <c r="AE1270" s="610" t="s">
        <v>82</v>
      </c>
      <c r="AF1270" s="610"/>
      <c r="AG1270" s="610"/>
      <c r="AH1270" s="610" t="s">
        <v>9121</v>
      </c>
      <c r="AI1270" s="610">
        <v>12400</v>
      </c>
      <c r="AJ1270" s="610">
        <f t="shared" si="470"/>
        <v>0</v>
      </c>
      <c r="AK1270" s="610"/>
      <c r="AL1270" s="610" t="s">
        <v>2368</v>
      </c>
      <c r="AM1270" s="610"/>
      <c r="AN1270" s="610"/>
      <c r="AO1270" s="554">
        <f>I1270</f>
        <v>12400</v>
      </c>
      <c r="AP1270" s="554"/>
      <c r="AQ1270" s="554"/>
      <c r="AR1270" s="619"/>
      <c r="AS1270" s="554"/>
      <c r="AT1270" s="554">
        <f>I1270</f>
        <v>12400</v>
      </c>
      <c r="AU1270" s="554"/>
      <c r="AV1270" s="554"/>
      <c r="AW1270" s="619"/>
      <c r="AX1270" s="554"/>
      <c r="AY1270" s="554"/>
      <c r="AZ1270" s="554"/>
      <c r="BA1270" s="554"/>
      <c r="BB1270" s="620">
        <f>I1270/24</f>
        <v>516.666666666667</v>
      </c>
      <c r="BC1270" s="554"/>
      <c r="BD1270" s="554"/>
      <c r="BE1270" s="554"/>
      <c r="BF1270" s="554"/>
      <c r="BH1270" s="554"/>
      <c r="BI1270" s="554"/>
      <c r="BJ1270" s="554"/>
      <c r="BK1270" s="554"/>
      <c r="BL1270" s="554"/>
      <c r="BM1270" s="554"/>
      <c r="BN1270" s="554"/>
      <c r="BO1270" s="554"/>
      <c r="BP1270" s="554"/>
      <c r="BQ1270" s="554"/>
      <c r="BR1270" s="554"/>
      <c r="BS1270" s="554"/>
      <c r="BT1270" s="554"/>
      <c r="BU1270" s="554"/>
      <c r="BV1270" s="554"/>
      <c r="BW1270" s="554">
        <f>I1270</f>
        <v>12400</v>
      </c>
      <c r="BX1270" s="554">
        <f>I1270/25</f>
        <v>496</v>
      </c>
      <c r="BY1270" s="554"/>
      <c r="BZ1270" s="554"/>
      <c r="CA1270" s="720"/>
      <c r="CB1270" s="567"/>
      <c r="CC1270" s="721"/>
      <c r="CD1270" s="554"/>
      <c r="CE1270" s="554"/>
      <c r="CF1270" s="554"/>
      <c r="CG1270" s="554"/>
      <c r="CI1270" s="554"/>
      <c r="CJ1270" s="554"/>
      <c r="CK1270" s="554"/>
      <c r="CL1270" s="554"/>
      <c r="CM1270" s="554"/>
      <c r="CN1270" s="554"/>
      <c r="CO1270" s="554"/>
      <c r="CP1270" s="619"/>
      <c r="CQ1270" s="619"/>
      <c r="CR1270" s="619"/>
      <c r="CS1270" s="619"/>
      <c r="CT1270" s="619"/>
      <c r="CU1270" s="554">
        <f t="shared" si="461"/>
        <v>496</v>
      </c>
      <c r="CV1270" s="554">
        <f t="shared" si="480"/>
        <v>0</v>
      </c>
      <c r="CW1270" s="554">
        <f t="shared" si="481"/>
        <v>0</v>
      </c>
      <c r="CX1270" s="619"/>
      <c r="CY1270" s="619"/>
      <c r="CZ1270" s="619"/>
      <c r="DA1270" s="619"/>
      <c r="DB1270" s="619"/>
      <c r="DC1270" s="619"/>
      <c r="DD1270" s="619"/>
      <c r="DE1270" s="619"/>
      <c r="DF1270" s="619"/>
      <c r="DG1270" s="619"/>
      <c r="DH1270" s="619"/>
    </row>
    <row r="1271" s="548" customFormat="1" ht="31" customHeight="1" spans="1:112">
      <c r="A1271" s="608">
        <v>46085</v>
      </c>
      <c r="B1271" s="609" t="s">
        <v>6645</v>
      </c>
      <c r="C1271" s="713" t="s">
        <v>170</v>
      </c>
      <c r="D1271" s="554">
        <v>4500195217</v>
      </c>
      <c r="E1271" s="613">
        <v>1648358</v>
      </c>
      <c r="F1271" s="554" t="s">
        <v>9122</v>
      </c>
      <c r="G1271" s="610" t="s">
        <v>6166</v>
      </c>
      <c r="H1271" s="610" t="s">
        <v>6094</v>
      </c>
      <c r="I1271" s="719">
        <v>2015</v>
      </c>
      <c r="J1271" s="610">
        <v>0</v>
      </c>
      <c r="K1271" s="610">
        <v>13</v>
      </c>
      <c r="L1271" s="611">
        <f t="shared" si="479"/>
        <v>155</v>
      </c>
      <c r="M1271" s="612">
        <v>46136</v>
      </c>
      <c r="N1271" s="612">
        <v>46132</v>
      </c>
      <c r="O1271" s="613"/>
      <c r="P1271" s="613" t="s">
        <v>113</v>
      </c>
      <c r="Q1271" s="640">
        <v>46136</v>
      </c>
      <c r="R1271" s="614" t="s">
        <v>9004</v>
      </c>
      <c r="S1271" s="614" t="s">
        <v>70</v>
      </c>
      <c r="T1271" s="614" t="s">
        <v>70</v>
      </c>
      <c r="U1271" s="614"/>
      <c r="V1271" s="614"/>
      <c r="W1271" s="615"/>
      <c r="X1271" s="609" t="s">
        <v>9123</v>
      </c>
      <c r="Y1271" s="616" t="s">
        <v>1150</v>
      </c>
      <c r="Z1271" s="718">
        <v>0.9044</v>
      </c>
      <c r="AA1271" s="616">
        <f>Z1271*I1271</f>
        <v>1822.366</v>
      </c>
      <c r="AC1271" s="617"/>
      <c r="AD1271" s="610" t="s">
        <v>6166</v>
      </c>
      <c r="AE1271" s="610" t="s">
        <v>82</v>
      </c>
      <c r="AF1271" s="610"/>
      <c r="AG1271" s="609"/>
      <c r="AH1271" s="609"/>
      <c r="AI1271" s="610">
        <v>2015</v>
      </c>
      <c r="AJ1271" s="610">
        <f t="shared" si="470"/>
        <v>0</v>
      </c>
      <c r="AK1271" s="610"/>
      <c r="AL1271" s="610"/>
      <c r="AM1271" s="610"/>
      <c r="AN1271" s="610">
        <f>I1271</f>
        <v>2015</v>
      </c>
      <c r="AO1271" s="554"/>
      <c r="AP1271" s="554"/>
      <c r="AQ1271" s="554"/>
      <c r="AR1271" s="619"/>
      <c r="AS1271" s="554">
        <f>I1271</f>
        <v>2015</v>
      </c>
      <c r="AT1271" s="554"/>
      <c r="AU1271" s="554">
        <f>I1271</f>
        <v>2015</v>
      </c>
      <c r="AV1271" s="554"/>
      <c r="AW1271" s="619"/>
      <c r="AX1271" s="554"/>
      <c r="AY1271" s="554"/>
      <c r="AZ1271" s="554"/>
      <c r="BA1271" s="554"/>
      <c r="BB1271" s="620">
        <f>I1271/24</f>
        <v>83.9583333333333</v>
      </c>
      <c r="BC1271" s="714"/>
      <c r="BD1271" s="554"/>
      <c r="BE1271" s="554"/>
      <c r="BF1271" s="554"/>
      <c r="BH1271" s="554"/>
      <c r="BI1271" s="554"/>
      <c r="BJ1271" s="554"/>
      <c r="BK1271" s="554"/>
      <c r="BL1271" s="554">
        <f>I1271/13</f>
        <v>155</v>
      </c>
      <c r="BM1271" s="554"/>
      <c r="BN1271" s="554"/>
      <c r="BO1271" s="554"/>
      <c r="BP1271" s="554"/>
      <c r="BQ1271" s="554"/>
      <c r="BR1271" s="554"/>
      <c r="BS1271" s="554"/>
      <c r="BT1271" s="554"/>
      <c r="BU1271" s="554"/>
      <c r="BV1271" s="554"/>
      <c r="BW1271" s="554"/>
      <c r="BX1271" s="554"/>
      <c r="BY1271" s="619"/>
      <c r="BZ1271" s="554"/>
      <c r="CA1271" s="621"/>
      <c r="CB1271" s="567"/>
      <c r="CC1271" s="622"/>
      <c r="CD1271" s="619"/>
      <c r="CE1271" s="619"/>
      <c r="CF1271" s="554"/>
      <c r="CG1271" s="554"/>
      <c r="CI1271" s="554"/>
      <c r="CJ1271" s="554"/>
      <c r="CK1271" s="554"/>
      <c r="CL1271" s="554"/>
      <c r="CM1271" s="554"/>
      <c r="CN1271" s="554"/>
      <c r="CO1271" s="554"/>
      <c r="CP1271" s="554"/>
      <c r="CQ1271" s="554"/>
      <c r="CR1271" s="554"/>
      <c r="CS1271" s="554"/>
      <c r="CT1271" s="554"/>
      <c r="CU1271" s="554">
        <f t="shared" si="461"/>
        <v>0</v>
      </c>
      <c r="CV1271" s="554">
        <v>0</v>
      </c>
      <c r="CW1271" s="554">
        <v>0</v>
      </c>
      <c r="CX1271" s="619"/>
      <c r="CY1271" s="619"/>
      <c r="CZ1271" s="619"/>
      <c r="DA1271" s="548"/>
      <c r="DB1271" s="548"/>
      <c r="DC1271" s="548"/>
      <c r="DD1271" s="619"/>
      <c r="DE1271" s="619"/>
      <c r="DF1271" s="619"/>
      <c r="DG1271" s="619"/>
      <c r="DH1271" s="619"/>
    </row>
    <row r="1272" s="548" customFormat="1" ht="31" customHeight="1" spans="1:112">
      <c r="A1272" s="608">
        <v>46107</v>
      </c>
      <c r="B1272" s="609" t="s">
        <v>871</v>
      </c>
      <c r="C1272" s="610" t="s">
        <v>98</v>
      </c>
      <c r="D1272" s="554" t="s">
        <v>3635</v>
      </c>
      <c r="E1272" s="610" t="s">
        <v>3636</v>
      </c>
      <c r="F1272" s="554" t="s">
        <v>9124</v>
      </c>
      <c r="G1272" s="610" t="s">
        <v>6036</v>
      </c>
      <c r="H1272" s="610" t="s">
        <v>6033</v>
      </c>
      <c r="I1272" s="715">
        <v>5500</v>
      </c>
      <c r="J1272" s="610">
        <v>0</v>
      </c>
      <c r="K1272" s="610">
        <v>50</v>
      </c>
      <c r="L1272" s="611">
        <f t="shared" si="479"/>
        <v>110</v>
      </c>
      <c r="M1272" s="612">
        <v>46139</v>
      </c>
      <c r="N1272" s="612">
        <v>46135</v>
      </c>
      <c r="O1272" s="613" t="s">
        <v>3638</v>
      </c>
      <c r="P1272" s="610" t="s">
        <v>113</v>
      </c>
      <c r="Q1272" s="614"/>
      <c r="R1272" s="614" t="s">
        <v>3639</v>
      </c>
      <c r="S1272" s="614" t="s">
        <v>70</v>
      </c>
      <c r="T1272" s="614" t="s">
        <v>70</v>
      </c>
      <c r="U1272" s="614"/>
      <c r="V1272" s="614"/>
      <c r="W1272" s="615"/>
      <c r="X1272" s="609" t="s">
        <v>3640</v>
      </c>
      <c r="Y1272" s="616" t="s">
        <v>3641</v>
      </c>
      <c r="Z1272" s="609"/>
      <c r="AA1272" s="616"/>
      <c r="AC1272" s="629" t="s">
        <v>3642</v>
      </c>
      <c r="AD1272" s="610" t="s">
        <v>6036</v>
      </c>
      <c r="AE1272" s="610" t="s">
        <v>82</v>
      </c>
      <c r="AF1272" s="610"/>
      <c r="AG1272" s="610"/>
      <c r="AH1272" s="609"/>
      <c r="AI1272" s="610">
        <v>5500</v>
      </c>
      <c r="AJ1272" s="610">
        <f t="shared" si="470"/>
        <v>0</v>
      </c>
      <c r="AK1272" s="613"/>
      <c r="AL1272" s="610"/>
      <c r="AM1272" s="610"/>
      <c r="AN1272" s="610">
        <f>I1272</f>
        <v>5500</v>
      </c>
      <c r="AO1272" s="554"/>
      <c r="AP1272" s="554">
        <f>I1272</f>
        <v>5500</v>
      </c>
      <c r="AQ1272" s="554"/>
      <c r="AR1272" s="554"/>
      <c r="AS1272" s="554"/>
      <c r="AT1272" s="554"/>
      <c r="AU1272" s="554">
        <f>I1272</f>
        <v>5500</v>
      </c>
      <c r="AV1272" s="554"/>
      <c r="AW1272" s="554"/>
      <c r="AX1272" s="554"/>
      <c r="AY1272" s="554"/>
      <c r="AZ1272" s="554"/>
      <c r="BA1272" s="714"/>
      <c r="BB1272" s="620">
        <f>I1272/24</f>
        <v>229.166666666667</v>
      </c>
      <c r="BC1272" s="554"/>
      <c r="BD1272" s="554"/>
      <c r="BE1272" s="554"/>
      <c r="BF1272" s="554"/>
      <c r="BH1272" s="554"/>
      <c r="BI1272" s="554"/>
      <c r="BJ1272" s="554"/>
      <c r="BK1272" s="554"/>
      <c r="BL1272" s="554"/>
      <c r="BM1272" s="554"/>
      <c r="BN1272" s="554">
        <f>I1272/25</f>
        <v>220</v>
      </c>
      <c r="BO1272" s="554"/>
      <c r="BP1272" s="554"/>
      <c r="BQ1272" s="554"/>
      <c r="BR1272" s="554"/>
      <c r="BS1272" s="554"/>
      <c r="BT1272" s="554"/>
      <c r="BU1272" s="554"/>
      <c r="BV1272" s="554"/>
      <c r="BW1272" s="554"/>
      <c r="BX1272" s="554"/>
      <c r="BY1272" s="554"/>
      <c r="BZ1272" s="554"/>
      <c r="CA1272" s="621"/>
      <c r="CB1272" s="567"/>
      <c r="CC1272" s="622"/>
      <c r="CD1272" s="619"/>
      <c r="CE1272" s="619"/>
      <c r="CF1272" s="554"/>
      <c r="CG1272" s="554"/>
      <c r="CI1272" s="554"/>
      <c r="CJ1272" s="554"/>
      <c r="CK1272" s="554"/>
      <c r="CL1272" s="554"/>
      <c r="CM1272" s="554"/>
      <c r="CN1272" s="554"/>
      <c r="CO1272" s="554"/>
      <c r="CP1272" s="619"/>
      <c r="CQ1272" s="619"/>
      <c r="CR1272" s="619"/>
      <c r="CS1272" s="619"/>
      <c r="CT1272" s="619"/>
      <c r="CU1272" s="554">
        <f t="shared" si="461"/>
        <v>220</v>
      </c>
      <c r="CV1272" s="554">
        <f>CK1272+CL1272+CM1272+CN1272+CO1272+CQ1272+CP1272</f>
        <v>0</v>
      </c>
      <c r="CW1272" s="554">
        <f>CI1272+CJ1272</f>
        <v>0</v>
      </c>
      <c r="CX1272" s="619"/>
      <c r="CY1272" s="619"/>
      <c r="CZ1272" s="619"/>
      <c r="DA1272" s="619"/>
      <c r="DB1272" s="619"/>
      <c r="DC1272" s="619"/>
      <c r="DD1272" s="619"/>
      <c r="DE1272" s="619"/>
      <c r="DF1272" s="619"/>
      <c r="DG1272" s="619"/>
      <c r="DH1272" s="619"/>
    </row>
    <row r="1273" s="548" customFormat="1" ht="31" customHeight="1" spans="1:112">
      <c r="A1273" s="608">
        <v>45978</v>
      </c>
      <c r="B1273" s="609" t="s">
        <v>1492</v>
      </c>
      <c r="C1273" s="713" t="s">
        <v>98</v>
      </c>
      <c r="D1273" s="554">
        <v>4500185949</v>
      </c>
      <c r="E1273" s="613">
        <v>1791216732</v>
      </c>
      <c r="F1273" s="554" t="s">
        <v>3551</v>
      </c>
      <c r="G1273" s="610" t="s">
        <v>8457</v>
      </c>
      <c r="H1273" s="610" t="s">
        <v>830</v>
      </c>
      <c r="I1273" s="610">
        <v>5400</v>
      </c>
      <c r="J1273" s="610">
        <v>0</v>
      </c>
      <c r="K1273" s="610">
        <v>75</v>
      </c>
      <c r="L1273" s="611">
        <f t="shared" si="479"/>
        <v>72</v>
      </c>
      <c r="M1273" s="612">
        <v>46108</v>
      </c>
      <c r="N1273" s="612">
        <v>46104</v>
      </c>
      <c r="O1273" s="613"/>
      <c r="P1273" s="610" t="s">
        <v>113</v>
      </c>
      <c r="Q1273" s="610"/>
      <c r="R1273" s="614" t="s">
        <v>2667</v>
      </c>
      <c r="S1273" s="614" t="s">
        <v>70</v>
      </c>
      <c r="T1273" s="614" t="s">
        <v>70</v>
      </c>
      <c r="U1273" s="614"/>
      <c r="V1273" s="614"/>
      <c r="W1273" s="615"/>
      <c r="X1273" s="609" t="s">
        <v>2826</v>
      </c>
      <c r="Y1273" s="716" t="s">
        <v>911</v>
      </c>
      <c r="Z1273" s="609">
        <v>359.3436</v>
      </c>
      <c r="AA1273" s="616">
        <f>Z1273*L1273</f>
        <v>25872.7392</v>
      </c>
      <c r="AC1273" s="629" t="s">
        <v>3552</v>
      </c>
      <c r="AD1273" s="609" t="s">
        <v>1498</v>
      </c>
      <c r="AE1273" s="610" t="s">
        <v>82</v>
      </c>
      <c r="AF1273" s="610"/>
      <c r="AG1273" s="609"/>
      <c r="AH1273" s="609">
        <v>1</v>
      </c>
      <c r="AI1273" s="610">
        <v>5400</v>
      </c>
      <c r="AJ1273" s="610">
        <f t="shared" si="470"/>
        <v>0</v>
      </c>
      <c r="AK1273" s="610"/>
      <c r="AL1273" s="610"/>
      <c r="AM1273" s="610"/>
      <c r="AN1273" s="610">
        <f>I1273*3</f>
        <v>16200</v>
      </c>
      <c r="AO1273" s="554"/>
      <c r="AP1273" s="548"/>
      <c r="AQ1273" s="548"/>
      <c r="AR1273" s="619"/>
      <c r="AS1273" s="548"/>
      <c r="AT1273" s="548"/>
      <c r="AU1273" s="554"/>
      <c r="AV1273" s="554"/>
      <c r="AW1273" s="619"/>
      <c r="AX1273" s="548"/>
      <c r="AY1273" s="548"/>
      <c r="AZ1273" s="548"/>
      <c r="BA1273" s="548"/>
      <c r="BB1273" s="620">
        <f>I1273/24*3</f>
        <v>675</v>
      </c>
      <c r="BC1273" s="714"/>
      <c r="BD1273" s="548"/>
      <c r="BE1273" s="548"/>
      <c r="BF1273" s="554">
        <f>AN1273</f>
        <v>16200</v>
      </c>
      <c r="BH1273" s="554">
        <f>AN1273</f>
        <v>16200</v>
      </c>
      <c r="BI1273" s="554">
        <f>I1273</f>
        <v>5400</v>
      </c>
      <c r="BJ1273" s="554">
        <f>I1273/5</f>
        <v>1080</v>
      </c>
      <c r="BY1273" s="619"/>
      <c r="BZ1273" s="548"/>
      <c r="CA1273" s="621"/>
      <c r="CB1273" s="567"/>
      <c r="CC1273" s="622"/>
      <c r="CD1273" s="619"/>
      <c r="CE1273" s="619"/>
      <c r="CF1273" s="548"/>
      <c r="CG1273" s="548"/>
      <c r="CU1273" s="554">
        <f t="shared" si="461"/>
        <v>0</v>
      </c>
      <c r="CV1273" s="554">
        <f>CK1273+CL1273+CM1273+CN1273+CO1273+CQ1273+CP1273</f>
        <v>0</v>
      </c>
      <c r="CW1273" s="554">
        <f>CI1273+CJ1273</f>
        <v>0</v>
      </c>
      <c r="CX1273" s="619"/>
      <c r="CY1273" s="619"/>
      <c r="CZ1273" s="619"/>
      <c r="DA1273" s="548"/>
      <c r="DB1273" s="548"/>
      <c r="DC1273" s="548"/>
      <c r="DD1273" s="619"/>
      <c r="DE1273" s="619"/>
      <c r="DF1273" s="619"/>
      <c r="DG1273" s="619"/>
      <c r="DH1273" s="619"/>
    </row>
    <row r="1274" s="548" customFormat="1" ht="31" customHeight="1" spans="1:112">
      <c r="A1274" s="608">
        <v>45978</v>
      </c>
      <c r="B1274" s="609" t="s">
        <v>1492</v>
      </c>
      <c r="C1274" s="713" t="s">
        <v>98</v>
      </c>
      <c r="D1274" s="554">
        <v>4500185956</v>
      </c>
      <c r="E1274" s="723">
        <v>13861218210</v>
      </c>
      <c r="F1274" s="554" t="s">
        <v>3554</v>
      </c>
      <c r="G1274" s="610" t="s">
        <v>8457</v>
      </c>
      <c r="H1274" s="610" t="s">
        <v>830</v>
      </c>
      <c r="I1274" s="610">
        <v>5400</v>
      </c>
      <c r="J1274" s="610">
        <v>0</v>
      </c>
      <c r="K1274" s="610">
        <v>75</v>
      </c>
      <c r="L1274" s="611">
        <f t="shared" si="479"/>
        <v>72</v>
      </c>
      <c r="M1274" s="724">
        <v>46108</v>
      </c>
      <c r="N1274" s="724">
        <v>46104</v>
      </c>
      <c r="O1274" s="613"/>
      <c r="P1274" s="610" t="s">
        <v>113</v>
      </c>
      <c r="Q1274" s="610"/>
      <c r="R1274" s="614" t="s">
        <v>2667</v>
      </c>
      <c r="S1274" s="614" t="s">
        <v>70</v>
      </c>
      <c r="T1274" s="614" t="s">
        <v>70</v>
      </c>
      <c r="U1274" s="614"/>
      <c r="V1274" s="614"/>
      <c r="W1274" s="615"/>
      <c r="X1274" s="609" t="s">
        <v>2826</v>
      </c>
      <c r="Y1274" s="716" t="s">
        <v>911</v>
      </c>
      <c r="Z1274" s="609">
        <v>359.3436</v>
      </c>
      <c r="AA1274" s="616">
        <f>Z1274*L1274</f>
        <v>25872.7392</v>
      </c>
      <c r="AC1274" s="629" t="s">
        <v>3555</v>
      </c>
      <c r="AD1274" s="609" t="s">
        <v>1498</v>
      </c>
      <c r="AE1274" s="610" t="s">
        <v>82</v>
      </c>
      <c r="AF1274" s="610"/>
      <c r="AG1274" s="609"/>
      <c r="AH1274" s="609">
        <v>1</v>
      </c>
      <c r="AI1274" s="610">
        <f>4200+1200</f>
        <v>5400</v>
      </c>
      <c r="AJ1274" s="610">
        <f t="shared" si="470"/>
        <v>0</v>
      </c>
      <c r="AK1274" s="610"/>
      <c r="AL1274" s="610"/>
      <c r="AM1274" s="610"/>
      <c r="AN1274" s="610">
        <f>I1274*3</f>
        <v>16200</v>
      </c>
      <c r="AO1274" s="554"/>
      <c r="AP1274" s="548"/>
      <c r="AQ1274" s="548"/>
      <c r="AR1274" s="619"/>
      <c r="AS1274" s="548"/>
      <c r="AT1274" s="548"/>
      <c r="AU1274" s="554"/>
      <c r="AV1274" s="554"/>
      <c r="AW1274" s="619"/>
      <c r="AX1274" s="548"/>
      <c r="AY1274" s="548"/>
      <c r="AZ1274" s="548"/>
      <c r="BA1274" s="548"/>
      <c r="BB1274" s="620">
        <f>I1274/24*3</f>
        <v>675</v>
      </c>
      <c r="BC1274" s="714"/>
      <c r="BD1274" s="548"/>
      <c r="BE1274" s="548"/>
      <c r="BF1274" s="554">
        <f>AN1274</f>
        <v>16200</v>
      </c>
      <c r="BH1274" s="554">
        <f>AN1274</f>
        <v>16200</v>
      </c>
      <c r="BI1274" s="554">
        <f>I1274</f>
        <v>5400</v>
      </c>
      <c r="BJ1274" s="554">
        <f>I1274/5</f>
        <v>1080</v>
      </c>
      <c r="BY1274" s="619"/>
      <c r="BZ1274" s="548"/>
      <c r="CA1274" s="621"/>
      <c r="CB1274" s="567"/>
      <c r="CC1274" s="622"/>
      <c r="CD1274" s="619"/>
      <c r="CE1274" s="619"/>
      <c r="CF1274" s="548"/>
      <c r="CG1274" s="548"/>
      <c r="CU1274" s="554">
        <f t="shared" si="461"/>
        <v>0</v>
      </c>
      <c r="CV1274" s="554">
        <f>CK1274+CL1274+CM1274+CN1274+CO1274+CQ1274+CP1274</f>
        <v>0</v>
      </c>
      <c r="CW1274" s="554">
        <f>CI1274+CJ1274</f>
        <v>0</v>
      </c>
      <c r="CX1274" s="619"/>
      <c r="CY1274" s="619"/>
      <c r="CZ1274" s="619"/>
      <c r="DA1274" s="548"/>
      <c r="DB1274" s="548"/>
      <c r="DC1274" s="548"/>
      <c r="DD1274" s="619"/>
      <c r="DE1274" s="619"/>
      <c r="DF1274" s="619"/>
      <c r="DG1274" s="619"/>
      <c r="DH1274" s="619"/>
    </row>
    <row r="1275" s="548" customFormat="1" ht="31" customHeight="1" spans="1:112">
      <c r="A1275" s="608">
        <v>46104</v>
      </c>
      <c r="B1275" s="609"/>
      <c r="C1275" s="713"/>
      <c r="D1275" s="554" t="s">
        <v>9125</v>
      </c>
      <c r="E1275" s="610"/>
      <c r="F1275" s="554" t="s">
        <v>9126</v>
      </c>
      <c r="G1275" s="610" t="s">
        <v>6025</v>
      </c>
      <c r="H1275" s="610" t="s">
        <v>6026</v>
      </c>
      <c r="I1275" s="610" t="s">
        <v>9127</v>
      </c>
      <c r="J1275" s="610">
        <v>0</v>
      </c>
      <c r="K1275" s="610">
        <v>24</v>
      </c>
      <c r="L1275" s="611" t="e">
        <f t="shared" si="479"/>
        <v>#VALUE!</v>
      </c>
      <c r="M1275" s="612">
        <v>46114</v>
      </c>
      <c r="N1275" s="612">
        <f>M1275-3</f>
        <v>46111</v>
      </c>
      <c r="O1275" s="613"/>
      <c r="P1275" s="610" t="s">
        <v>113</v>
      </c>
      <c r="Q1275" s="610"/>
      <c r="R1275" s="614"/>
      <c r="S1275" s="614"/>
      <c r="T1275" s="614"/>
      <c r="U1275" s="614"/>
      <c r="V1275" s="614"/>
      <c r="W1275" s="615"/>
      <c r="X1275" s="609" t="s">
        <v>9128</v>
      </c>
      <c r="Y1275" s="609" t="s">
        <v>92</v>
      </c>
      <c r="Z1275" s="609"/>
      <c r="AA1275" s="616"/>
      <c r="AC1275" s="617"/>
      <c r="AD1275" s="610" t="s">
        <v>6025</v>
      </c>
      <c r="AE1275" s="633" t="s">
        <v>73</v>
      </c>
      <c r="AF1275" s="610"/>
      <c r="AG1275" s="609"/>
      <c r="AH1275" s="609" t="s">
        <v>9063</v>
      </c>
      <c r="AI1275" s="610">
        <v>130</v>
      </c>
      <c r="AJ1275" s="610"/>
      <c r="AK1275" s="610"/>
      <c r="AL1275" s="610"/>
      <c r="AM1275" s="610"/>
      <c r="AN1275" s="610"/>
      <c r="AO1275" s="714"/>
      <c r="AP1275" s="554"/>
      <c r="AQ1275" s="554"/>
      <c r="AR1275" s="619"/>
      <c r="AS1275" s="554"/>
      <c r="AT1275" s="554"/>
      <c r="AU1275" s="554"/>
      <c r="AV1275" s="554"/>
      <c r="AW1275" s="619"/>
      <c r="AX1275" s="554"/>
      <c r="AY1275" s="554"/>
      <c r="AZ1275" s="554"/>
      <c r="BA1275" s="554"/>
      <c r="BB1275" s="620"/>
      <c r="BC1275" s="714"/>
      <c r="BD1275" s="554"/>
      <c r="BE1275" s="554"/>
      <c r="BF1275" s="554"/>
      <c r="BH1275" s="554"/>
      <c r="BI1275" s="554"/>
      <c r="BJ1275" s="554"/>
      <c r="BK1275" s="554"/>
      <c r="BL1275" s="554"/>
      <c r="BM1275" s="554"/>
      <c r="BN1275" s="554"/>
      <c r="BO1275" s="554"/>
      <c r="BP1275" s="554"/>
      <c r="BQ1275" s="554"/>
      <c r="BR1275" s="554"/>
      <c r="BS1275" s="554"/>
      <c r="BT1275" s="554"/>
      <c r="BU1275" s="554"/>
      <c r="BV1275" s="554"/>
      <c r="BW1275" s="554"/>
      <c r="BX1275" s="554"/>
      <c r="BY1275" s="619"/>
      <c r="BZ1275" s="554"/>
      <c r="CA1275" s="621"/>
      <c r="CB1275" s="567"/>
      <c r="CC1275" s="622"/>
      <c r="CD1275" s="619"/>
      <c r="CE1275" s="619"/>
      <c r="CF1275" s="554"/>
      <c r="CG1275" s="554"/>
      <c r="CI1275" s="554"/>
      <c r="CJ1275" s="554"/>
      <c r="CK1275" s="554"/>
      <c r="CL1275" s="554"/>
      <c r="CM1275" s="554"/>
      <c r="CN1275" s="554"/>
      <c r="CO1275" s="554"/>
      <c r="CP1275" s="554"/>
      <c r="CQ1275" s="554"/>
      <c r="CR1275" s="554"/>
      <c r="CS1275" s="554"/>
      <c r="CT1275" s="554"/>
      <c r="CU1275" s="554"/>
      <c r="CV1275" s="554"/>
      <c r="CW1275" s="554"/>
      <c r="CX1275" s="619"/>
      <c r="CY1275" s="619"/>
      <c r="CZ1275" s="619"/>
      <c r="DA1275" s="548"/>
      <c r="DB1275" s="548"/>
      <c r="DC1275" s="548"/>
      <c r="DD1275" s="619"/>
      <c r="DE1275" s="619"/>
      <c r="DF1275" s="619"/>
      <c r="DG1275" s="619"/>
      <c r="DH1275" s="619"/>
    </row>
    <row r="1276" s="548" customFormat="1" ht="31" customHeight="1" spans="1:112">
      <c r="A1276" s="608">
        <v>46107</v>
      </c>
      <c r="B1276" s="609"/>
      <c r="C1276" s="713"/>
      <c r="D1276" s="554" t="s">
        <v>9129</v>
      </c>
      <c r="E1276" s="610"/>
      <c r="F1276" s="554" t="s">
        <v>9130</v>
      </c>
      <c r="G1276" s="610" t="s">
        <v>6025</v>
      </c>
      <c r="H1276" s="610" t="s">
        <v>6026</v>
      </c>
      <c r="I1276" s="715" t="s">
        <v>9131</v>
      </c>
      <c r="J1276" s="610">
        <v>0</v>
      </c>
      <c r="K1276" s="610">
        <v>24</v>
      </c>
      <c r="L1276" s="611" t="e">
        <f t="shared" si="479"/>
        <v>#VALUE!</v>
      </c>
      <c r="M1276" s="612">
        <v>46121</v>
      </c>
      <c r="N1276" s="612">
        <v>46118</v>
      </c>
      <c r="O1276" s="613"/>
      <c r="P1276" s="610" t="s">
        <v>113</v>
      </c>
      <c r="Q1276" s="610"/>
      <c r="R1276" s="614"/>
      <c r="S1276" s="614"/>
      <c r="T1276" s="614"/>
      <c r="U1276" s="614"/>
      <c r="V1276" s="614"/>
      <c r="W1276" s="615"/>
      <c r="X1276" s="609" t="s">
        <v>9132</v>
      </c>
      <c r="Y1276" s="716" t="s">
        <v>92</v>
      </c>
      <c r="Z1276" s="609"/>
      <c r="AA1276" s="616"/>
      <c r="AC1276" s="617"/>
      <c r="AD1276" s="610" t="s">
        <v>6025</v>
      </c>
      <c r="AE1276" s="633" t="s">
        <v>73</v>
      </c>
      <c r="AF1276" s="610"/>
      <c r="AG1276" s="609"/>
      <c r="AH1276" s="609" t="s">
        <v>9063</v>
      </c>
      <c r="AI1276" s="610">
        <v>170</v>
      </c>
      <c r="AJ1276" s="610"/>
      <c r="AK1276" s="610"/>
      <c r="AL1276" s="610"/>
      <c r="AM1276" s="610"/>
      <c r="AN1276" s="610"/>
      <c r="AO1276" s="714"/>
      <c r="AP1276" s="554"/>
      <c r="AQ1276" s="554"/>
      <c r="AR1276" s="619"/>
      <c r="AS1276" s="554"/>
      <c r="AT1276" s="554"/>
      <c r="AU1276" s="554"/>
      <c r="AV1276" s="554"/>
      <c r="AW1276" s="619"/>
      <c r="AX1276" s="554"/>
      <c r="AY1276" s="554"/>
      <c r="AZ1276" s="554"/>
      <c r="BA1276" s="554"/>
      <c r="BB1276" s="620"/>
      <c r="BC1276" s="714"/>
      <c r="BD1276" s="554"/>
      <c r="BE1276" s="554"/>
      <c r="BF1276" s="554"/>
      <c r="BH1276" s="554"/>
      <c r="BI1276" s="554"/>
      <c r="BJ1276" s="554"/>
      <c r="BK1276" s="554"/>
      <c r="BL1276" s="554"/>
      <c r="BM1276" s="554"/>
      <c r="BN1276" s="554"/>
      <c r="BO1276" s="554"/>
      <c r="BP1276" s="554"/>
      <c r="BQ1276" s="554"/>
      <c r="BR1276" s="554"/>
      <c r="BS1276" s="554"/>
      <c r="BT1276" s="554"/>
      <c r="BU1276" s="554"/>
      <c r="BV1276" s="554"/>
      <c r="BW1276" s="554"/>
      <c r="BX1276" s="554"/>
      <c r="BY1276" s="619"/>
      <c r="BZ1276" s="554"/>
      <c r="CA1276" s="621"/>
      <c r="CB1276" s="567"/>
      <c r="CC1276" s="622"/>
      <c r="CD1276" s="619"/>
      <c r="CE1276" s="619"/>
      <c r="CF1276" s="554"/>
      <c r="CG1276" s="554"/>
      <c r="CI1276" s="554"/>
      <c r="CJ1276" s="554"/>
      <c r="CK1276" s="554"/>
      <c r="CL1276" s="554"/>
      <c r="CM1276" s="554"/>
      <c r="CN1276" s="554"/>
      <c r="CO1276" s="554"/>
      <c r="CP1276" s="554"/>
      <c r="CQ1276" s="554"/>
      <c r="CR1276" s="554"/>
      <c r="CS1276" s="554"/>
      <c r="CT1276" s="554"/>
      <c r="CU1276" s="554"/>
      <c r="CV1276" s="554"/>
      <c r="CW1276" s="554"/>
      <c r="CX1276" s="619"/>
      <c r="CY1276" s="619"/>
      <c r="CZ1276" s="619"/>
      <c r="DA1276" s="554"/>
      <c r="DB1276" s="554"/>
      <c r="DC1276" s="554"/>
      <c r="DD1276" s="619"/>
      <c r="DE1276" s="619"/>
      <c r="DF1276" s="619"/>
      <c r="DG1276" s="619"/>
      <c r="DH1276" s="619"/>
    </row>
    <row r="1277" s="548" customFormat="1" ht="31" customHeight="1" spans="1:112">
      <c r="A1277" s="608">
        <v>46057</v>
      </c>
      <c r="B1277" s="609" t="s">
        <v>3489</v>
      </c>
      <c r="C1277" s="713" t="s">
        <v>836</v>
      </c>
      <c r="D1277" s="554">
        <v>4500193051</v>
      </c>
      <c r="E1277" s="610">
        <v>21214329</v>
      </c>
      <c r="F1277" s="554" t="s">
        <v>3490</v>
      </c>
      <c r="G1277" s="610" t="s">
        <v>6337</v>
      </c>
      <c r="H1277" s="610" t="s">
        <v>477</v>
      </c>
      <c r="I1277" s="715">
        <v>2196</v>
      </c>
      <c r="J1277" s="610">
        <v>0</v>
      </c>
      <c r="K1277" s="610">
        <v>6</v>
      </c>
      <c r="L1277" s="611">
        <f t="shared" si="479"/>
        <v>366</v>
      </c>
      <c r="M1277" s="612">
        <v>46126</v>
      </c>
      <c r="N1277" s="612">
        <v>46122</v>
      </c>
      <c r="O1277" s="613" t="s">
        <v>3491</v>
      </c>
      <c r="P1277" s="610" t="s">
        <v>113</v>
      </c>
      <c r="Q1277" s="610"/>
      <c r="R1277" s="614">
        <v>46058</v>
      </c>
      <c r="S1277" s="614" t="s">
        <v>70</v>
      </c>
      <c r="T1277" s="614" t="s">
        <v>9133</v>
      </c>
      <c r="U1277" s="614"/>
      <c r="V1277" s="614" t="s">
        <v>9034</v>
      </c>
      <c r="W1277" s="615"/>
      <c r="X1277" s="609" t="s">
        <v>9134</v>
      </c>
      <c r="Y1277" s="716" t="s">
        <v>2533</v>
      </c>
      <c r="Z1277" s="609">
        <v>6.7112</v>
      </c>
      <c r="AA1277" s="616">
        <f>Z1277*I1277</f>
        <v>14737.7952</v>
      </c>
      <c r="AC1277" s="617"/>
      <c r="AD1277" s="609" t="s">
        <v>480</v>
      </c>
      <c r="AE1277" s="610" t="s">
        <v>82</v>
      </c>
      <c r="AF1277" s="610"/>
      <c r="AG1277" s="609"/>
      <c r="AH1277" s="609">
        <v>1</v>
      </c>
      <c r="AI1277" s="610">
        <v>2196</v>
      </c>
      <c r="AJ1277" s="610">
        <f>AI1277-I1277</f>
        <v>0</v>
      </c>
      <c r="AK1277" s="610"/>
      <c r="AL1277" s="610" t="s">
        <v>2368</v>
      </c>
      <c r="AM1277" s="610"/>
      <c r="AN1277" s="610"/>
      <c r="AO1277" s="554">
        <f>I1277*2</f>
        <v>4392</v>
      </c>
      <c r="AP1277" s="554"/>
      <c r="AQ1277" s="554"/>
      <c r="AR1277" s="619"/>
      <c r="AS1277" s="554"/>
      <c r="AT1277" s="554">
        <f>I1277*2</f>
        <v>4392</v>
      </c>
      <c r="AU1277" s="554"/>
      <c r="AV1277" s="554">
        <f>I1277*2</f>
        <v>4392</v>
      </c>
      <c r="AW1277" s="619"/>
      <c r="AX1277" s="554"/>
      <c r="AY1277" s="554"/>
      <c r="AZ1277" s="554"/>
      <c r="BA1277" s="714"/>
      <c r="BB1277" s="620">
        <f>I1277/24*2</f>
        <v>183</v>
      </c>
      <c r="BC1277" s="714"/>
      <c r="BD1277" s="554"/>
      <c r="BE1277" s="554"/>
      <c r="BF1277" s="554"/>
      <c r="BH1277" s="554"/>
      <c r="BI1277" s="554"/>
      <c r="BJ1277" s="554"/>
      <c r="BK1277" s="554"/>
      <c r="BL1277" s="554"/>
      <c r="BM1277" s="554"/>
      <c r="BN1277" s="554"/>
      <c r="BO1277" s="554"/>
      <c r="BP1277" s="554"/>
      <c r="BQ1277" s="554"/>
      <c r="BR1277" s="554"/>
      <c r="BS1277" s="554"/>
      <c r="BT1277" s="554"/>
      <c r="BU1277" s="554"/>
      <c r="BV1277" s="554"/>
      <c r="BW1277" s="554"/>
      <c r="BX1277" s="554"/>
      <c r="BY1277" s="619"/>
      <c r="BZ1277" s="554">
        <f>I1277</f>
        <v>2196</v>
      </c>
      <c r="CA1277" s="621"/>
      <c r="CB1277" s="567"/>
      <c r="CC1277" s="622"/>
      <c r="CD1277" s="619"/>
      <c r="CE1277" s="619"/>
      <c r="CF1277" s="554"/>
      <c r="CG1277" s="554"/>
      <c r="CI1277" s="554"/>
      <c r="CJ1277" s="554"/>
      <c r="CK1277" s="554"/>
      <c r="CL1277" s="554"/>
      <c r="CM1277" s="554"/>
      <c r="CN1277" s="554"/>
      <c r="CO1277" s="554"/>
      <c r="CP1277" s="554"/>
      <c r="CQ1277" s="554"/>
      <c r="CR1277" s="554"/>
      <c r="CS1277" s="554"/>
      <c r="CT1277" s="554"/>
      <c r="CU1277" s="554">
        <f>BQ1277+BP1277+BO1277+BN1277+BX1277+BR1277</f>
        <v>0</v>
      </c>
      <c r="CV1277" s="554"/>
      <c r="CW1277" s="554"/>
      <c r="CX1277" s="619"/>
      <c r="CY1277" s="619"/>
      <c r="CZ1277" s="619"/>
      <c r="DA1277" s="548"/>
      <c r="DB1277" s="548"/>
      <c r="DC1277" s="548"/>
      <c r="DD1277" s="619"/>
      <c r="DE1277" s="619"/>
      <c r="DF1277" s="619"/>
      <c r="DG1277" s="619"/>
      <c r="DH1277" s="619"/>
    </row>
    <row r="1278" s="548" customFormat="1" ht="31" customHeight="1" spans="1:112">
      <c r="A1278" s="608">
        <v>46087</v>
      </c>
      <c r="B1278" s="609" t="s">
        <v>1800</v>
      </c>
      <c r="C1278" s="610" t="s">
        <v>744</v>
      </c>
      <c r="D1278" s="554">
        <v>4500195548</v>
      </c>
      <c r="E1278" s="610">
        <v>5000002140</v>
      </c>
      <c r="F1278" s="554" t="s">
        <v>9135</v>
      </c>
      <c r="G1278" s="610" t="s">
        <v>6093</v>
      </c>
      <c r="H1278" s="639" t="s">
        <v>7359</v>
      </c>
      <c r="I1278" s="715">
        <v>34606</v>
      </c>
      <c r="J1278" s="610">
        <v>0</v>
      </c>
      <c r="K1278" s="610">
        <v>13</v>
      </c>
      <c r="L1278" s="611">
        <f t="shared" si="479"/>
        <v>2662</v>
      </c>
      <c r="M1278" s="612">
        <v>46132</v>
      </c>
      <c r="N1278" s="612">
        <v>46128</v>
      </c>
      <c r="O1278" s="613"/>
      <c r="P1278" s="610" t="s">
        <v>113</v>
      </c>
      <c r="Q1278" s="614"/>
      <c r="R1278" s="614" t="s">
        <v>8889</v>
      </c>
      <c r="S1278" s="614" t="s">
        <v>104</v>
      </c>
      <c r="T1278" s="614" t="s">
        <v>8723</v>
      </c>
      <c r="U1278" s="614"/>
      <c r="V1278" s="614"/>
      <c r="W1278" s="615"/>
      <c r="X1278" s="609" t="s">
        <v>9100</v>
      </c>
      <c r="Y1278" s="616" t="s">
        <v>1805</v>
      </c>
      <c r="Z1278" s="718">
        <v>0.872</v>
      </c>
      <c r="AA1278" s="616">
        <f>Z1278*I1278</f>
        <v>30176.432</v>
      </c>
      <c r="AC1278" s="617"/>
      <c r="AD1278" s="610" t="s">
        <v>8338</v>
      </c>
      <c r="AE1278" s="610" t="s">
        <v>82</v>
      </c>
      <c r="AF1278" s="610"/>
      <c r="AG1278" s="610"/>
      <c r="AH1278" s="609">
        <v>1</v>
      </c>
      <c r="AI1278" s="610">
        <f>27586+7020</f>
        <v>34606</v>
      </c>
      <c r="AJ1278" s="610">
        <f>AI1278-I1278</f>
        <v>0</v>
      </c>
      <c r="AK1278" s="613"/>
      <c r="AL1278" s="610" t="s">
        <v>454</v>
      </c>
      <c r="AM1278" s="610"/>
      <c r="AN1278" s="554"/>
      <c r="AO1278" s="554">
        <f>I1278</f>
        <v>34606</v>
      </c>
      <c r="AP1278" s="554"/>
      <c r="AQ1278" s="554"/>
      <c r="AR1278" s="554"/>
      <c r="AS1278" s="554"/>
      <c r="AT1278" s="554"/>
      <c r="AU1278" s="554"/>
      <c r="AV1278" s="554"/>
      <c r="AW1278" s="650">
        <f>I1278</f>
        <v>34606</v>
      </c>
      <c r="AX1278" s="554">
        <f>I1278</f>
        <v>34606</v>
      </c>
      <c r="AY1278" s="554"/>
      <c r="AZ1278" s="554"/>
      <c r="BA1278" s="714">
        <f>I1278/24*2</f>
        <v>2883.83333333333</v>
      </c>
      <c r="BB1278" s="554"/>
      <c r="BC1278" s="554"/>
      <c r="BD1278" s="554"/>
      <c r="BE1278" s="554"/>
      <c r="BF1278" s="554"/>
      <c r="BH1278" s="554"/>
      <c r="BI1278" s="554"/>
      <c r="BJ1278" s="554"/>
      <c r="BK1278" s="554"/>
      <c r="BL1278" s="554"/>
      <c r="BM1278" s="554">
        <f>I1278/13</f>
        <v>2662</v>
      </c>
      <c r="BN1278" s="554"/>
      <c r="BO1278" s="554"/>
      <c r="BP1278" s="554"/>
      <c r="BQ1278" s="554"/>
      <c r="BR1278" s="554"/>
      <c r="BS1278" s="554"/>
      <c r="BT1278" s="554"/>
      <c r="BU1278" s="554"/>
      <c r="BV1278" s="554"/>
      <c r="BW1278" s="554"/>
      <c r="BX1278" s="554"/>
      <c r="BY1278" s="554"/>
      <c r="BZ1278" s="554"/>
      <c r="CA1278" s="720"/>
      <c r="CB1278" s="567"/>
      <c r="CC1278" s="721"/>
      <c r="CD1278" s="554"/>
      <c r="CE1278" s="554"/>
      <c r="CF1278" s="554"/>
      <c r="CG1278" s="554"/>
      <c r="CI1278" s="554"/>
      <c r="CJ1278" s="554"/>
      <c r="CK1278" s="554"/>
      <c r="CL1278" s="554"/>
      <c r="CM1278" s="554"/>
      <c r="CN1278" s="554"/>
      <c r="CO1278" s="554"/>
      <c r="CP1278" s="619"/>
      <c r="CQ1278" s="619"/>
      <c r="CR1278" s="619"/>
      <c r="CS1278" s="619"/>
      <c r="CT1278" s="619"/>
      <c r="CU1278" s="554">
        <f>BQ1278+BP1278+BO1278+BN1278+BX1278+BR1278</f>
        <v>0</v>
      </c>
      <c r="CV1278" s="554">
        <v>0</v>
      </c>
      <c r="CW1278" s="554">
        <v>0</v>
      </c>
      <c r="CX1278" s="619"/>
      <c r="CY1278" s="619"/>
      <c r="CZ1278" s="619"/>
      <c r="DA1278" s="619"/>
      <c r="DB1278" s="619"/>
      <c r="DC1278" s="619"/>
      <c r="DD1278" s="619"/>
      <c r="DE1278" s="619"/>
      <c r="DF1278" s="619"/>
      <c r="DG1278" s="619"/>
      <c r="DH1278" s="619"/>
    </row>
    <row r="1279" s="548" customFormat="1" ht="31" customHeight="1" spans="1:112">
      <c r="A1279" s="608">
        <v>46092</v>
      </c>
      <c r="B1279" s="609" t="s">
        <v>2285</v>
      </c>
      <c r="C1279" s="610" t="s">
        <v>335</v>
      </c>
      <c r="D1279" s="554">
        <v>4500196056</v>
      </c>
      <c r="E1279" s="610" t="s">
        <v>3567</v>
      </c>
      <c r="F1279" s="554" t="s">
        <v>9136</v>
      </c>
      <c r="G1279" s="610" t="s">
        <v>6276</v>
      </c>
      <c r="H1279" s="610" t="s">
        <v>6277</v>
      </c>
      <c r="I1279" s="610">
        <v>1400</v>
      </c>
      <c r="J1279" s="610">
        <v>0</v>
      </c>
      <c r="K1279" s="610">
        <v>50</v>
      </c>
      <c r="L1279" s="611">
        <f t="shared" si="479"/>
        <v>28</v>
      </c>
      <c r="M1279" s="612">
        <v>46132</v>
      </c>
      <c r="N1279" s="612">
        <v>46128</v>
      </c>
      <c r="O1279" s="613"/>
      <c r="P1279" s="610" t="s">
        <v>113</v>
      </c>
      <c r="Q1279" s="614"/>
      <c r="R1279" s="614">
        <v>46099</v>
      </c>
      <c r="S1279" s="614" t="s">
        <v>70</v>
      </c>
      <c r="T1279" s="614" t="s">
        <v>9137</v>
      </c>
      <c r="U1279" s="614"/>
      <c r="V1279" s="614"/>
      <c r="W1279" s="615"/>
      <c r="X1279" s="609" t="s">
        <v>9138</v>
      </c>
      <c r="Y1279" s="616" t="s">
        <v>3571</v>
      </c>
      <c r="Z1279" s="718">
        <v>0.9521</v>
      </c>
      <c r="AA1279" s="616">
        <f>Z1279*I1279</f>
        <v>1332.94</v>
      </c>
      <c r="AC1279" s="617"/>
      <c r="AD1279" s="610" t="s">
        <v>9017</v>
      </c>
      <c r="AE1279" s="610" t="s">
        <v>82</v>
      </c>
      <c r="AF1279" s="610"/>
      <c r="AG1279" s="610"/>
      <c r="AH1279" s="609">
        <v>1</v>
      </c>
      <c r="AI1279" s="610">
        <v>1400</v>
      </c>
      <c r="AJ1279" s="610">
        <f>AI1279-I1279</f>
        <v>0</v>
      </c>
      <c r="AK1279" s="613"/>
      <c r="AL1279" s="610" t="s">
        <v>2368</v>
      </c>
      <c r="AM1279" s="610"/>
      <c r="AN1279" s="554"/>
      <c r="AO1279" s="554">
        <f>I1279</f>
        <v>1400</v>
      </c>
      <c r="AP1279" s="554"/>
      <c r="AQ1279" s="554"/>
      <c r="AR1279" s="554"/>
      <c r="AS1279" s="554"/>
      <c r="AT1279" s="554">
        <f>I1279</f>
        <v>1400</v>
      </c>
      <c r="AU1279" s="554"/>
      <c r="AV1279" s="554"/>
      <c r="AW1279" s="619"/>
      <c r="AX1279" s="554"/>
      <c r="AY1279" s="554"/>
      <c r="AZ1279" s="554"/>
      <c r="BA1279" s="714"/>
      <c r="BB1279" s="620">
        <f>I1279/24*2</f>
        <v>116.666666666667</v>
      </c>
      <c r="BC1279" s="554"/>
      <c r="BD1279" s="554"/>
      <c r="BE1279" s="554"/>
      <c r="BF1279" s="554"/>
      <c r="BH1279" s="554"/>
      <c r="BI1279" s="554"/>
      <c r="BJ1279" s="554"/>
      <c r="BK1279" s="554"/>
      <c r="BL1279" s="554"/>
      <c r="BM1279" s="554"/>
      <c r="BN1279" s="554"/>
      <c r="BO1279" s="554"/>
      <c r="BP1279" s="554"/>
      <c r="BQ1279" s="554"/>
      <c r="BR1279" s="554"/>
      <c r="BS1279" s="554"/>
      <c r="BT1279" s="554"/>
      <c r="BU1279" s="554"/>
      <c r="BV1279" s="554"/>
      <c r="BW1279" s="554">
        <v>500</v>
      </c>
      <c r="BX1279" s="554">
        <f>I1279/25</f>
        <v>56</v>
      </c>
      <c r="BY1279" s="554"/>
      <c r="BZ1279" s="554"/>
      <c r="CA1279" s="720"/>
      <c r="CB1279" s="567"/>
      <c r="CC1279" s="721"/>
      <c r="CD1279" s="554"/>
      <c r="CE1279" s="554"/>
      <c r="CF1279" s="554"/>
      <c r="CG1279" s="554"/>
      <c r="CI1279" s="554"/>
      <c r="CJ1279" s="554"/>
      <c r="CK1279" s="554"/>
      <c r="CL1279" s="554"/>
      <c r="CM1279" s="554"/>
      <c r="CN1279" s="554"/>
      <c r="CO1279" s="554"/>
      <c r="CP1279" s="619"/>
      <c r="CQ1279" s="619"/>
      <c r="CR1279" s="619"/>
      <c r="CS1279" s="619"/>
      <c r="CT1279" s="619"/>
      <c r="CU1279" s="554">
        <f>BQ1279+BP1279+BO1279+BN1279+BX1279+BR1279</f>
        <v>56</v>
      </c>
      <c r="CV1279" s="554">
        <f>CK1279+CL1279+CM1279+CN1279+CO1279+CQ1279+CP1279</f>
        <v>0</v>
      </c>
      <c r="CW1279" s="554">
        <f>CI1279+CJ1279</f>
        <v>0</v>
      </c>
      <c r="CX1279" s="619"/>
      <c r="CY1279" s="619"/>
      <c r="CZ1279" s="619"/>
      <c r="DA1279" s="619"/>
      <c r="DB1279" s="619"/>
      <c r="DC1279" s="619"/>
      <c r="DD1279" s="619"/>
      <c r="DE1279" s="619"/>
      <c r="DF1279" s="619"/>
      <c r="DG1279" s="619"/>
      <c r="DH1279" s="619"/>
    </row>
    <row r="1280" s="548" customFormat="1" ht="31" customHeight="1" spans="1:112">
      <c r="A1280" s="608">
        <v>46092</v>
      </c>
      <c r="B1280" s="609" t="s">
        <v>1249</v>
      </c>
      <c r="C1280" s="610" t="s">
        <v>1250</v>
      </c>
      <c r="D1280" s="554">
        <v>4500196119</v>
      </c>
      <c r="E1280" s="610" t="s">
        <v>3572</v>
      </c>
      <c r="F1280" s="554" t="s">
        <v>9139</v>
      </c>
      <c r="G1280" s="610" t="s">
        <v>6276</v>
      </c>
      <c r="H1280" s="610" t="s">
        <v>6277</v>
      </c>
      <c r="I1280" s="610">
        <v>1200</v>
      </c>
      <c r="J1280" s="610">
        <v>0</v>
      </c>
      <c r="K1280" s="610">
        <v>50</v>
      </c>
      <c r="L1280" s="611">
        <f t="shared" si="479"/>
        <v>24</v>
      </c>
      <c r="M1280" s="612">
        <v>46132</v>
      </c>
      <c r="N1280" s="612">
        <v>46128</v>
      </c>
      <c r="O1280" s="613"/>
      <c r="P1280" s="610" t="s">
        <v>113</v>
      </c>
      <c r="Q1280" s="614"/>
      <c r="R1280" s="614" t="s">
        <v>3514</v>
      </c>
      <c r="S1280" s="614" t="s">
        <v>70</v>
      </c>
      <c r="T1280" s="614" t="s">
        <v>9140</v>
      </c>
      <c r="U1280" s="614"/>
      <c r="V1280" s="614" t="s">
        <v>9141</v>
      </c>
      <c r="W1280" s="615"/>
      <c r="X1280" s="609" t="s">
        <v>9138</v>
      </c>
      <c r="Y1280" s="616" t="s">
        <v>3571</v>
      </c>
      <c r="Z1280" s="718">
        <v>0.9521</v>
      </c>
      <c r="AA1280" s="616">
        <f>Z1280*I1280</f>
        <v>1142.52</v>
      </c>
      <c r="AC1280" s="617"/>
      <c r="AD1280" s="610" t="s">
        <v>9017</v>
      </c>
      <c r="AE1280" s="610" t="s">
        <v>82</v>
      </c>
      <c r="AF1280" s="610"/>
      <c r="AG1280" s="610"/>
      <c r="AH1280" s="609">
        <v>1</v>
      </c>
      <c r="AI1280" s="610">
        <v>1200</v>
      </c>
      <c r="AJ1280" s="610">
        <f>AI1280-I1280</f>
        <v>0</v>
      </c>
      <c r="AK1280" s="613"/>
      <c r="AL1280" s="610" t="s">
        <v>2368</v>
      </c>
      <c r="AM1280" s="610"/>
      <c r="AN1280" s="554"/>
      <c r="AO1280" s="554">
        <f>I1280</f>
        <v>1200</v>
      </c>
      <c r="AP1280" s="554"/>
      <c r="AQ1280" s="554"/>
      <c r="AR1280" s="554"/>
      <c r="AS1280" s="554"/>
      <c r="AT1280" s="554">
        <f>I1280</f>
        <v>1200</v>
      </c>
      <c r="AU1280" s="554"/>
      <c r="AV1280" s="554"/>
      <c r="AW1280" s="619"/>
      <c r="AX1280" s="554"/>
      <c r="AY1280" s="554"/>
      <c r="AZ1280" s="554"/>
      <c r="BA1280" s="714"/>
      <c r="BB1280" s="620">
        <f>I1280/24*2</f>
        <v>100</v>
      </c>
      <c r="BC1280" s="554"/>
      <c r="BD1280" s="554"/>
      <c r="BE1280" s="554"/>
      <c r="BF1280" s="554"/>
      <c r="BH1280" s="554"/>
      <c r="BI1280" s="554"/>
      <c r="BJ1280" s="554"/>
      <c r="BK1280" s="554"/>
      <c r="BL1280" s="554"/>
      <c r="BM1280" s="554"/>
      <c r="BN1280" s="554"/>
      <c r="BO1280" s="554"/>
      <c r="BP1280" s="554"/>
      <c r="BQ1280" s="554"/>
      <c r="BR1280" s="554"/>
      <c r="BS1280" s="554"/>
      <c r="BT1280" s="554"/>
      <c r="BU1280" s="554"/>
      <c r="BV1280" s="554"/>
      <c r="BW1280" s="554">
        <f>I1280</f>
        <v>1200</v>
      </c>
      <c r="BX1280" s="554">
        <f>I1280/25</f>
        <v>48</v>
      </c>
      <c r="BY1280" s="554"/>
      <c r="BZ1280" s="554"/>
      <c r="CA1280" s="720"/>
      <c r="CB1280" s="567"/>
      <c r="CC1280" s="721"/>
      <c r="CD1280" s="554"/>
      <c r="CE1280" s="554"/>
      <c r="CF1280" s="554"/>
      <c r="CG1280" s="554"/>
      <c r="CI1280" s="554"/>
      <c r="CJ1280" s="554"/>
      <c r="CK1280" s="554"/>
      <c r="CL1280" s="554"/>
      <c r="CM1280" s="554"/>
      <c r="CN1280" s="554"/>
      <c r="CO1280" s="554"/>
      <c r="CP1280" s="619"/>
      <c r="CQ1280" s="619"/>
      <c r="CR1280" s="619"/>
      <c r="CS1280" s="619"/>
      <c r="CT1280" s="619"/>
      <c r="CU1280" s="554">
        <f>BQ1280+BP1280+BO1280+BN1280+BX1280+BR1280</f>
        <v>48</v>
      </c>
      <c r="CV1280" s="554">
        <f>CK1280+CL1280+CM1280+CN1280+CO1280+CQ1280+CP1280</f>
        <v>0</v>
      </c>
      <c r="CW1280" s="554">
        <f>CI1280+CJ1280</f>
        <v>0</v>
      </c>
      <c r="CX1280" s="619"/>
      <c r="CY1280" s="619"/>
      <c r="CZ1280" s="619"/>
      <c r="DA1280" s="619"/>
      <c r="DB1280" s="619"/>
      <c r="DC1280" s="619"/>
      <c r="DD1280" s="619"/>
      <c r="DE1280" s="619"/>
      <c r="DF1280" s="619"/>
      <c r="DG1280" s="619"/>
      <c r="DH1280" s="619"/>
    </row>
    <row r="1281" s="548" customFormat="1" ht="31" customHeight="1" spans="1:112">
      <c r="A1281" s="608">
        <v>46126</v>
      </c>
      <c r="B1281" s="609"/>
      <c r="C1281" s="610"/>
      <c r="D1281" s="554" t="s">
        <v>9142</v>
      </c>
      <c r="E1281" s="610"/>
      <c r="F1281" s="554" t="s">
        <v>9143</v>
      </c>
      <c r="G1281" s="610" t="s">
        <v>6025</v>
      </c>
      <c r="H1281" s="610" t="s">
        <v>6026</v>
      </c>
      <c r="I1281" s="715">
        <v>10</v>
      </c>
      <c r="J1281" s="610"/>
      <c r="K1281" s="610"/>
      <c r="L1281" s="611"/>
      <c r="M1281" s="612">
        <v>46132</v>
      </c>
      <c r="N1281" s="612">
        <v>46128</v>
      </c>
      <c r="O1281" s="613"/>
      <c r="P1281" s="610" t="s">
        <v>113</v>
      </c>
      <c r="Q1281" s="614"/>
      <c r="R1281" s="614"/>
      <c r="S1281" s="614"/>
      <c r="T1281" s="614"/>
      <c r="U1281" s="614"/>
      <c r="V1281" s="614"/>
      <c r="W1281" s="615"/>
      <c r="X1281" s="609" t="s">
        <v>9144</v>
      </c>
      <c r="Y1281" s="616" t="s">
        <v>92</v>
      </c>
      <c r="Z1281" s="609"/>
      <c r="AA1281" s="616"/>
      <c r="AC1281" s="697"/>
      <c r="AD1281" s="610" t="s">
        <v>6025</v>
      </c>
      <c r="AE1281" s="633" t="s">
        <v>73</v>
      </c>
      <c r="AF1281" s="610"/>
      <c r="AG1281" s="610"/>
      <c r="AH1281" s="609">
        <v>1</v>
      </c>
      <c r="AI1281" s="610">
        <v>10</v>
      </c>
      <c r="AJ1281" s="610"/>
      <c r="AK1281" s="613"/>
      <c r="AL1281" s="610"/>
      <c r="AM1281" s="610"/>
      <c r="AN1281" s="554"/>
      <c r="AO1281" s="714">
        <f>I1281</f>
        <v>10</v>
      </c>
      <c r="AP1281" s="554"/>
      <c r="AQ1281" s="554"/>
      <c r="AR1281" s="554"/>
      <c r="AS1281" s="554"/>
      <c r="AT1281" s="554"/>
      <c r="AU1281" s="554"/>
      <c r="AV1281" s="554"/>
      <c r="AW1281" s="554"/>
      <c r="AX1281" s="714"/>
      <c r="AY1281" s="554"/>
      <c r="AZ1281" s="554"/>
      <c r="BA1281" s="554"/>
      <c r="BB1281" s="620"/>
      <c r="BC1281" s="554"/>
      <c r="BD1281" s="554"/>
      <c r="BE1281" s="554"/>
      <c r="BF1281" s="554"/>
      <c r="BH1281" s="554"/>
      <c r="BI1281" s="554"/>
      <c r="BJ1281" s="554"/>
      <c r="BK1281" s="554"/>
      <c r="BL1281" s="554"/>
      <c r="BM1281" s="554"/>
      <c r="BN1281" s="554"/>
      <c r="BO1281" s="554"/>
      <c r="BP1281" s="554"/>
      <c r="BQ1281" s="554"/>
      <c r="BR1281" s="554"/>
      <c r="BS1281" s="554"/>
      <c r="BT1281" s="554"/>
      <c r="BU1281" s="554"/>
      <c r="BV1281" s="554"/>
      <c r="BW1281" s="554"/>
      <c r="BX1281" s="554"/>
      <c r="BY1281" s="554"/>
      <c r="BZ1281" s="554"/>
      <c r="CA1281" s="720"/>
      <c r="CB1281" s="567"/>
      <c r="CC1281" s="721"/>
      <c r="CD1281" s="554"/>
      <c r="CE1281" s="554"/>
      <c r="CF1281" s="554"/>
      <c r="CG1281" s="554"/>
      <c r="CI1281" s="554"/>
      <c r="CJ1281" s="554"/>
      <c r="CK1281" s="554"/>
      <c r="CL1281" s="554"/>
      <c r="CM1281" s="554"/>
      <c r="CN1281" s="554"/>
      <c r="CO1281" s="554"/>
      <c r="CP1281" s="619"/>
      <c r="CQ1281" s="619"/>
      <c r="CR1281" s="619"/>
      <c r="CS1281" s="619"/>
      <c r="CT1281" s="619"/>
      <c r="CU1281" s="554"/>
      <c r="CV1281" s="554"/>
      <c r="CW1281" s="554"/>
      <c r="CX1281" s="619"/>
      <c r="CY1281" s="619"/>
      <c r="CZ1281" s="619"/>
      <c r="DA1281" s="619"/>
      <c r="DB1281" s="619"/>
      <c r="DC1281" s="619"/>
      <c r="DD1281" s="619"/>
      <c r="DE1281" s="619"/>
      <c r="DF1281" s="619"/>
      <c r="DG1281" s="619"/>
      <c r="DH1281" s="619"/>
    </row>
    <row r="1282" s="548" customFormat="1" ht="31" customHeight="1" spans="1:112">
      <c r="A1282" s="608">
        <v>46097</v>
      </c>
      <c r="B1282" s="609" t="s">
        <v>3577</v>
      </c>
      <c r="C1282" s="610" t="s">
        <v>170</v>
      </c>
      <c r="D1282" s="554">
        <v>4500197030</v>
      </c>
      <c r="E1282" s="610">
        <v>7000993236</v>
      </c>
      <c r="F1282" s="554" t="s">
        <v>9145</v>
      </c>
      <c r="G1282" s="610" t="s">
        <v>6063</v>
      </c>
      <c r="H1282" s="610" t="s">
        <v>6064</v>
      </c>
      <c r="I1282" s="610">
        <v>18080</v>
      </c>
      <c r="J1282" s="610">
        <v>0</v>
      </c>
      <c r="K1282" s="610">
        <v>16</v>
      </c>
      <c r="L1282" s="611">
        <f>I1282/K1282</f>
        <v>1130</v>
      </c>
      <c r="M1282" s="612">
        <v>46134</v>
      </c>
      <c r="N1282" s="612">
        <v>46130</v>
      </c>
      <c r="O1282" s="613" t="s">
        <v>3368</v>
      </c>
      <c r="P1282" s="613" t="s">
        <v>113</v>
      </c>
      <c r="Q1282" s="610"/>
      <c r="R1282" s="614">
        <v>46097</v>
      </c>
      <c r="S1282" s="614" t="s">
        <v>70</v>
      </c>
      <c r="T1282" s="614" t="s">
        <v>70</v>
      </c>
      <c r="U1282" s="614"/>
      <c r="V1282" s="614"/>
      <c r="W1282" s="615"/>
      <c r="X1282" s="609" t="s">
        <v>8705</v>
      </c>
      <c r="Y1282" s="609" t="s">
        <v>3581</v>
      </c>
      <c r="Z1282" s="722">
        <v>0.9842</v>
      </c>
      <c r="AA1282" s="616">
        <f>Z1282*I1282</f>
        <v>17794.336</v>
      </c>
      <c r="AC1282" s="617"/>
      <c r="AD1282" s="610" t="s">
        <v>8348</v>
      </c>
      <c r="AE1282" s="610" t="s">
        <v>82</v>
      </c>
      <c r="AF1282" s="610"/>
      <c r="AG1282" s="610"/>
      <c r="AH1282" s="609">
        <v>1</v>
      </c>
      <c r="AI1282" s="610">
        <f>160+17920</f>
        <v>18080</v>
      </c>
      <c r="AJ1282" s="610">
        <f>AI1282-I1282</f>
        <v>0</v>
      </c>
      <c r="AK1282" s="610"/>
      <c r="AL1282" s="610"/>
      <c r="AM1282" s="610"/>
      <c r="AN1282" s="610">
        <f>I1282</f>
        <v>18080</v>
      </c>
      <c r="AO1282" s="554"/>
      <c r="AP1282" s="554"/>
      <c r="AQ1282" s="554"/>
      <c r="AR1282" s="619"/>
      <c r="AS1282" s="554">
        <f>I1282</f>
        <v>18080</v>
      </c>
      <c r="AT1282" s="554"/>
      <c r="AU1282" s="554">
        <f>I1282</f>
        <v>18080</v>
      </c>
      <c r="AV1282" s="554"/>
      <c r="AW1282" s="619"/>
      <c r="AX1282" s="554"/>
      <c r="AY1282" s="554"/>
      <c r="AZ1282" s="554"/>
      <c r="BA1282" s="554"/>
      <c r="BB1282" s="620">
        <f>I1282/24</f>
        <v>753.333333333333</v>
      </c>
      <c r="BC1282" s="554"/>
      <c r="BD1282" s="554"/>
      <c r="BE1282" s="554"/>
      <c r="BF1282" s="554"/>
      <c r="BH1282" s="554"/>
      <c r="BI1282" s="554"/>
      <c r="BJ1282" s="554"/>
      <c r="BK1282" s="554"/>
      <c r="BL1282" s="554"/>
      <c r="BM1282" s="554"/>
      <c r="BN1282" s="554"/>
      <c r="BO1282" s="554"/>
      <c r="BP1282" s="554"/>
      <c r="BQ1282" s="554"/>
      <c r="BR1282" s="554">
        <f>L1282</f>
        <v>1130</v>
      </c>
      <c r="BS1282" s="554"/>
      <c r="BT1282" s="554"/>
      <c r="BU1282" s="554"/>
      <c r="BV1282" s="554"/>
      <c r="BW1282" s="554"/>
      <c r="BX1282" s="554"/>
      <c r="BY1282" s="554"/>
      <c r="BZ1282" s="554"/>
      <c r="CA1282" s="720"/>
      <c r="CB1282" s="567"/>
      <c r="CC1282" s="721"/>
      <c r="CD1282" s="554"/>
      <c r="CE1282" s="554"/>
      <c r="CF1282" s="554"/>
      <c r="CG1282" s="554"/>
      <c r="CI1282" s="554"/>
      <c r="CJ1282" s="554"/>
      <c r="CK1282" s="554"/>
      <c r="CL1282" s="554"/>
      <c r="CM1282" s="554"/>
      <c r="CN1282" s="554"/>
      <c r="CO1282" s="554"/>
      <c r="CP1282" s="619"/>
      <c r="CQ1282" s="619"/>
      <c r="CR1282" s="619"/>
      <c r="CS1282" s="619"/>
      <c r="CT1282" s="619"/>
      <c r="CU1282" s="554">
        <f>BQ1282+BP1282+BO1282+BN1282+BX1282+BR1282</f>
        <v>1130</v>
      </c>
      <c r="CV1282" s="554">
        <f>CK1282+CL1282+CM1282+CN1282+CO1282+CQ1282+CP1282</f>
        <v>0</v>
      </c>
      <c r="CW1282" s="554">
        <f>CI1282+CJ1282</f>
        <v>0</v>
      </c>
      <c r="CX1282" s="619"/>
      <c r="CY1282" s="619"/>
      <c r="CZ1282" s="619"/>
      <c r="DA1282" s="619"/>
      <c r="DB1282" s="619"/>
      <c r="DC1282" s="619"/>
      <c r="DD1282" s="619"/>
      <c r="DE1282" s="619"/>
      <c r="DF1282" s="619"/>
      <c r="DG1282" s="619"/>
      <c r="DH1282" s="619"/>
    </row>
    <row r="1283" s="548" customFormat="1" ht="31" customHeight="1" spans="1:112">
      <c r="A1283" s="608">
        <v>46120</v>
      </c>
      <c r="B1283" s="609"/>
      <c r="C1283" s="610"/>
      <c r="D1283" s="554" t="s">
        <v>9146</v>
      </c>
      <c r="E1283" s="610"/>
      <c r="F1283" s="554" t="s">
        <v>9147</v>
      </c>
      <c r="G1283" s="610" t="s">
        <v>6025</v>
      </c>
      <c r="H1283" s="610" t="s">
        <v>6026</v>
      </c>
      <c r="I1283" s="610" t="s">
        <v>6057</v>
      </c>
      <c r="J1283" s="610"/>
      <c r="K1283" s="610"/>
      <c r="L1283" s="611"/>
      <c r="M1283" s="612">
        <v>46134</v>
      </c>
      <c r="N1283" s="612">
        <f>M1283-4</f>
        <v>46130</v>
      </c>
      <c r="O1283" s="613"/>
      <c r="P1283" s="613" t="s">
        <v>113</v>
      </c>
      <c r="Q1283" s="610"/>
      <c r="R1283" s="614"/>
      <c r="S1283" s="614"/>
      <c r="T1283" s="614"/>
      <c r="U1283" s="614"/>
      <c r="V1283" s="614"/>
      <c r="W1283" s="615"/>
      <c r="X1283" s="609" t="s">
        <v>9148</v>
      </c>
      <c r="Y1283" s="609" t="s">
        <v>92</v>
      </c>
      <c r="Z1283" s="722"/>
      <c r="AA1283" s="616"/>
      <c r="AC1283" s="617"/>
      <c r="AD1283" s="610" t="s">
        <v>6025</v>
      </c>
      <c r="AE1283" s="633" t="s">
        <v>73</v>
      </c>
      <c r="AF1283" s="610"/>
      <c r="AG1283" s="610"/>
      <c r="AH1283" s="609">
        <v>1</v>
      </c>
      <c r="AI1283" s="725">
        <v>30</v>
      </c>
      <c r="AJ1283" s="610"/>
      <c r="AK1283" s="610"/>
      <c r="AL1283" s="610"/>
      <c r="AM1283" s="610"/>
      <c r="AN1283" s="610"/>
      <c r="AO1283" s="714"/>
      <c r="AP1283" s="554"/>
      <c r="AQ1283" s="554"/>
      <c r="AR1283" s="619"/>
      <c r="AS1283" s="554"/>
      <c r="AT1283" s="554"/>
      <c r="AU1283" s="554"/>
      <c r="AV1283" s="554"/>
      <c r="AW1283" s="619"/>
      <c r="AX1283" s="554"/>
      <c r="AY1283" s="554"/>
      <c r="AZ1283" s="554"/>
      <c r="BA1283" s="554"/>
      <c r="BB1283" s="620"/>
      <c r="BC1283" s="554"/>
      <c r="BD1283" s="554"/>
      <c r="BE1283" s="554"/>
      <c r="BF1283" s="554"/>
      <c r="BH1283" s="554"/>
      <c r="BI1283" s="554"/>
      <c r="BJ1283" s="554"/>
      <c r="BK1283" s="554"/>
      <c r="BL1283" s="554"/>
      <c r="BM1283" s="554"/>
      <c r="BN1283" s="554"/>
      <c r="BO1283" s="554"/>
      <c r="BP1283" s="554"/>
      <c r="BQ1283" s="554"/>
      <c r="BR1283" s="554"/>
      <c r="BS1283" s="554"/>
      <c r="BT1283" s="554"/>
      <c r="BU1283" s="554"/>
      <c r="BV1283" s="554"/>
      <c r="BW1283" s="554"/>
      <c r="BX1283" s="554"/>
      <c r="BY1283" s="554"/>
      <c r="BZ1283" s="554"/>
      <c r="CA1283" s="720"/>
      <c r="CB1283" s="567"/>
      <c r="CC1283" s="721"/>
      <c r="CD1283" s="554"/>
      <c r="CE1283" s="554"/>
      <c r="CF1283" s="554"/>
      <c r="CG1283" s="554"/>
      <c r="CI1283" s="554"/>
      <c r="CJ1283" s="554"/>
      <c r="CK1283" s="554"/>
      <c r="CL1283" s="554"/>
      <c r="CM1283" s="554"/>
      <c r="CN1283" s="554"/>
      <c r="CO1283" s="554"/>
      <c r="CP1283" s="619"/>
      <c r="CQ1283" s="619"/>
      <c r="CR1283" s="619"/>
      <c r="CS1283" s="619"/>
      <c r="CT1283" s="619"/>
      <c r="CU1283" s="554"/>
      <c r="CV1283" s="554"/>
      <c r="CW1283" s="554"/>
      <c r="CX1283" s="619"/>
      <c r="CY1283" s="619"/>
      <c r="CZ1283" s="619"/>
      <c r="DA1283" s="619"/>
      <c r="DB1283" s="619"/>
      <c r="DC1283" s="619"/>
      <c r="DD1283" s="619"/>
      <c r="DE1283" s="619"/>
      <c r="DF1283" s="619"/>
      <c r="DG1283" s="619"/>
      <c r="DH1283" s="619"/>
    </row>
    <row r="1284" s="548" customFormat="1" ht="31" customHeight="1" spans="1:112">
      <c r="A1284" s="608">
        <v>46080</v>
      </c>
      <c r="B1284" s="609" t="s">
        <v>1922</v>
      </c>
      <c r="C1284" s="610" t="s">
        <v>154</v>
      </c>
      <c r="D1284" s="554">
        <v>4500194447</v>
      </c>
      <c r="E1284" s="610" t="s">
        <v>3582</v>
      </c>
      <c r="F1284" s="554" t="s">
        <v>3583</v>
      </c>
      <c r="G1284" s="610" t="s">
        <v>6337</v>
      </c>
      <c r="H1284" s="610" t="s">
        <v>477</v>
      </c>
      <c r="I1284" s="715">
        <v>504</v>
      </c>
      <c r="J1284" s="610">
        <v>0</v>
      </c>
      <c r="K1284" s="610">
        <v>6</v>
      </c>
      <c r="L1284" s="611">
        <f t="shared" ref="L1284:L1344" si="482">I1284/K1284</f>
        <v>84</v>
      </c>
      <c r="M1284" s="612">
        <v>46134</v>
      </c>
      <c r="N1284" s="612">
        <v>46130</v>
      </c>
      <c r="O1284" s="613"/>
      <c r="P1284" s="613" t="s">
        <v>113</v>
      </c>
      <c r="Q1284" s="610"/>
      <c r="R1284" s="614" t="s">
        <v>463</v>
      </c>
      <c r="S1284" s="614" t="s">
        <v>104</v>
      </c>
      <c r="T1284" s="614" t="s">
        <v>9103</v>
      </c>
      <c r="U1284" s="614"/>
      <c r="V1284" s="614"/>
      <c r="W1284" s="615"/>
      <c r="X1284" s="609" t="s">
        <v>3585</v>
      </c>
      <c r="Y1284" s="616" t="s">
        <v>428</v>
      </c>
      <c r="Z1284" s="718">
        <v>7.1628</v>
      </c>
      <c r="AA1284" s="616">
        <f>Z1284*I1284</f>
        <v>3610.0512</v>
      </c>
      <c r="AC1284" s="617"/>
      <c r="AD1284" s="610" t="s">
        <v>480</v>
      </c>
      <c r="AE1284" s="610" t="s">
        <v>82</v>
      </c>
      <c r="AF1284" s="610"/>
      <c r="AG1284" s="609"/>
      <c r="AH1284" s="609" t="s">
        <v>9063</v>
      </c>
      <c r="AI1284" s="610">
        <v>504</v>
      </c>
      <c r="AJ1284" s="610">
        <f t="shared" ref="AJ1284:AJ1344" si="483">AI1284-I1284</f>
        <v>0</v>
      </c>
      <c r="AK1284" s="610"/>
      <c r="AL1284" s="610" t="s">
        <v>454</v>
      </c>
      <c r="AM1284" s="610"/>
      <c r="AN1284" s="610"/>
      <c r="AO1284" s="554">
        <f>I1284*2</f>
        <v>1008</v>
      </c>
      <c r="AP1284" s="554"/>
      <c r="AQ1284" s="554"/>
      <c r="AR1284" s="619"/>
      <c r="AS1284" s="554"/>
      <c r="AT1284" s="554">
        <f>I1284*2</f>
        <v>1008</v>
      </c>
      <c r="AU1284" s="554"/>
      <c r="AV1284" s="554">
        <f>I1284*2</f>
        <v>1008</v>
      </c>
      <c r="AW1284" s="619"/>
      <c r="AX1284" s="554"/>
      <c r="AY1284" s="554"/>
      <c r="AZ1284" s="554"/>
      <c r="BA1284" s="554"/>
      <c r="BB1284" s="620">
        <f>I1284/24*2</f>
        <v>42</v>
      </c>
      <c r="BC1284" s="714"/>
      <c r="BD1284" s="554"/>
      <c r="BE1284" s="554"/>
      <c r="BF1284" s="554"/>
      <c r="BH1284" s="554"/>
      <c r="BI1284" s="554"/>
      <c r="BJ1284" s="554"/>
      <c r="BK1284" s="554"/>
      <c r="BL1284" s="554"/>
      <c r="BM1284" s="554"/>
      <c r="BN1284" s="554"/>
      <c r="BO1284" s="554"/>
      <c r="BP1284" s="554"/>
      <c r="BQ1284" s="554"/>
      <c r="BR1284" s="554"/>
      <c r="BS1284" s="554"/>
      <c r="BT1284" s="554"/>
      <c r="BU1284" s="554"/>
      <c r="BV1284" s="554"/>
      <c r="BW1284" s="554"/>
      <c r="BX1284" s="554"/>
      <c r="BY1284" s="619"/>
      <c r="BZ1284" s="554">
        <f>I1284</f>
        <v>504</v>
      </c>
      <c r="CA1284" s="621"/>
      <c r="CB1284" s="567"/>
      <c r="CC1284" s="622"/>
      <c r="CD1284" s="619"/>
      <c r="CE1284" s="619"/>
      <c r="CF1284" s="554"/>
      <c r="CG1284" s="554"/>
      <c r="CI1284" s="554"/>
      <c r="CJ1284" s="554"/>
      <c r="CK1284" s="554"/>
      <c r="CL1284" s="554"/>
      <c r="CM1284" s="554"/>
      <c r="CN1284" s="554"/>
      <c r="CO1284" s="554"/>
      <c r="CP1284" s="554"/>
      <c r="CQ1284" s="554"/>
      <c r="CR1284" s="554"/>
      <c r="CS1284" s="554"/>
      <c r="CT1284" s="554"/>
      <c r="CU1284" s="554">
        <f t="shared" ref="CU1284:CU1344" si="484">BQ1284+BP1284+BO1284+BN1284+BX1284+BR1284</f>
        <v>0</v>
      </c>
      <c r="CV1284" s="554">
        <f t="shared" ref="CV1284:CV1291" si="485">CK1284+CL1284+CM1284+CN1284+CO1284+CQ1284+CP1284</f>
        <v>0</v>
      </c>
      <c r="CW1284" s="554">
        <f t="shared" ref="CW1284:CW1291" si="486">CI1284+CJ1284</f>
        <v>0</v>
      </c>
      <c r="CX1284" s="619"/>
      <c r="CY1284" s="619"/>
      <c r="CZ1284" s="619"/>
      <c r="DA1284" s="548"/>
      <c r="DB1284" s="548"/>
      <c r="DC1284" s="548"/>
      <c r="DD1284" s="619"/>
      <c r="DE1284" s="619"/>
      <c r="DF1284" s="619"/>
      <c r="DG1284" s="619"/>
      <c r="DH1284" s="619"/>
    </row>
    <row r="1285" s="548" customFormat="1" ht="31" customHeight="1" spans="1:112">
      <c r="A1285" s="608">
        <v>45978</v>
      </c>
      <c r="B1285" s="609" t="s">
        <v>1492</v>
      </c>
      <c r="C1285" s="713" t="s">
        <v>98</v>
      </c>
      <c r="D1285" s="554">
        <v>4500185970</v>
      </c>
      <c r="E1285" s="613">
        <v>12031218345</v>
      </c>
      <c r="F1285" s="554" t="s">
        <v>3611</v>
      </c>
      <c r="G1285" s="610" t="s">
        <v>8457</v>
      </c>
      <c r="H1285" s="610" t="s">
        <v>830</v>
      </c>
      <c r="I1285" s="610">
        <v>5400</v>
      </c>
      <c r="J1285" s="610">
        <v>0</v>
      </c>
      <c r="K1285" s="610">
        <v>75</v>
      </c>
      <c r="L1285" s="611">
        <f t="shared" si="482"/>
        <v>72</v>
      </c>
      <c r="M1285" s="612">
        <v>46135</v>
      </c>
      <c r="N1285" s="612">
        <v>46132</v>
      </c>
      <c r="O1285" s="613"/>
      <c r="P1285" s="613" t="s">
        <v>113</v>
      </c>
      <c r="Q1285" s="610"/>
      <c r="R1285" s="614" t="s">
        <v>2667</v>
      </c>
      <c r="S1285" s="614" t="s">
        <v>70</v>
      </c>
      <c r="T1285" s="614" t="s">
        <v>70</v>
      </c>
      <c r="U1285" s="614"/>
      <c r="V1285" s="614"/>
      <c r="W1285" s="615"/>
      <c r="X1285" s="609" t="s">
        <v>2826</v>
      </c>
      <c r="Y1285" s="716" t="s">
        <v>911</v>
      </c>
      <c r="Z1285" s="609">
        <v>359.3436</v>
      </c>
      <c r="AA1285" s="616">
        <f>Z1285*L1285</f>
        <v>25872.7392</v>
      </c>
      <c r="AC1285" s="629" t="s">
        <v>3613</v>
      </c>
      <c r="AD1285" s="609" t="s">
        <v>1498</v>
      </c>
      <c r="AE1285" s="610" t="s">
        <v>82</v>
      </c>
      <c r="AF1285" s="610"/>
      <c r="AG1285" s="609"/>
      <c r="AH1285" s="610">
        <v>1</v>
      </c>
      <c r="AI1285" s="610">
        <f>560+1400+840+2520+80</f>
        <v>5400</v>
      </c>
      <c r="AJ1285" s="610">
        <f t="shared" si="483"/>
        <v>0</v>
      </c>
      <c r="AK1285" s="610"/>
      <c r="AL1285" s="610"/>
      <c r="AM1285" s="610"/>
      <c r="AN1285" s="610">
        <f>I1285*3</f>
        <v>16200</v>
      </c>
      <c r="AO1285" s="554"/>
      <c r="AP1285" s="548"/>
      <c r="AQ1285" s="548"/>
      <c r="AR1285" s="619"/>
      <c r="AS1285" s="548"/>
      <c r="AT1285" s="548"/>
      <c r="AU1285" s="554"/>
      <c r="AV1285" s="554"/>
      <c r="AW1285" s="619"/>
      <c r="AX1285" s="548"/>
      <c r="AY1285" s="548"/>
      <c r="AZ1285" s="548"/>
      <c r="BA1285" s="548"/>
      <c r="BB1285" s="620">
        <f>I1285/24*3</f>
        <v>675</v>
      </c>
      <c r="BC1285" s="714"/>
      <c r="BD1285" s="548"/>
      <c r="BE1285" s="548"/>
      <c r="BF1285" s="554">
        <f>AN1285</f>
        <v>16200</v>
      </c>
      <c r="BH1285" s="554">
        <f>AN1285</f>
        <v>16200</v>
      </c>
      <c r="BI1285" s="554">
        <f>I1285</f>
        <v>5400</v>
      </c>
      <c r="BJ1285" s="554">
        <f>I1285/5</f>
        <v>1080</v>
      </c>
      <c r="BY1285" s="619"/>
      <c r="BZ1285" s="548"/>
      <c r="CA1285" s="621"/>
      <c r="CB1285" s="567"/>
      <c r="CC1285" s="622"/>
      <c r="CD1285" s="619"/>
      <c r="CE1285" s="619"/>
      <c r="CF1285" s="548"/>
      <c r="CG1285" s="548"/>
      <c r="CU1285" s="554">
        <f t="shared" si="484"/>
        <v>0</v>
      </c>
      <c r="CV1285" s="554">
        <f t="shared" si="485"/>
        <v>0</v>
      </c>
      <c r="CW1285" s="554">
        <f t="shared" si="486"/>
        <v>0</v>
      </c>
      <c r="CX1285" s="619"/>
      <c r="CY1285" s="619"/>
      <c r="CZ1285" s="619"/>
      <c r="DA1285" s="548"/>
      <c r="DB1285" s="548"/>
      <c r="DC1285" s="548"/>
      <c r="DD1285" s="619"/>
      <c r="DE1285" s="619"/>
      <c r="DF1285" s="619"/>
      <c r="DG1285" s="619"/>
      <c r="DH1285" s="619"/>
    </row>
    <row r="1286" s="548" customFormat="1" ht="31" customHeight="1" spans="1:112">
      <c r="A1286" s="608">
        <v>45995</v>
      </c>
      <c r="B1286" s="609" t="s">
        <v>2734</v>
      </c>
      <c r="C1286" s="713" t="s">
        <v>98</v>
      </c>
      <c r="D1286" s="554">
        <v>4500186354</v>
      </c>
      <c r="E1286" s="610">
        <v>60260799</v>
      </c>
      <c r="F1286" s="554" t="s">
        <v>3614</v>
      </c>
      <c r="G1286" s="610" t="s">
        <v>8520</v>
      </c>
      <c r="H1286" s="610" t="s">
        <v>8521</v>
      </c>
      <c r="I1286" s="610">
        <v>1600</v>
      </c>
      <c r="J1286" s="610">
        <v>0</v>
      </c>
      <c r="K1286" s="610">
        <v>8</v>
      </c>
      <c r="L1286" s="611">
        <f t="shared" si="482"/>
        <v>200</v>
      </c>
      <c r="M1286" s="612">
        <v>46135</v>
      </c>
      <c r="N1286" s="612">
        <v>46132</v>
      </c>
      <c r="O1286" s="613"/>
      <c r="P1286" s="613" t="s">
        <v>113</v>
      </c>
      <c r="Q1286" s="610"/>
      <c r="R1286" s="614">
        <v>45995</v>
      </c>
      <c r="S1286" s="614" t="s">
        <v>70</v>
      </c>
      <c r="T1286" s="614" t="s">
        <v>8522</v>
      </c>
      <c r="U1286" s="614"/>
      <c r="V1286" s="614"/>
      <c r="W1286" s="615"/>
      <c r="X1286" s="609" t="s">
        <v>3615</v>
      </c>
      <c r="Y1286" s="716" t="s">
        <v>2678</v>
      </c>
      <c r="Z1286" s="609">
        <v>4.0996</v>
      </c>
      <c r="AA1286" s="616">
        <f t="shared" ref="AA1286:AA1299" si="487">Z1286*I1286</f>
        <v>6559.36</v>
      </c>
      <c r="AC1286" s="629" t="s">
        <v>3616</v>
      </c>
      <c r="AD1286" s="610" t="s">
        <v>2741</v>
      </c>
      <c r="AE1286" s="610" t="s">
        <v>82</v>
      </c>
      <c r="AF1286" s="610"/>
      <c r="AG1286" s="609"/>
      <c r="AH1286" s="610">
        <v>1</v>
      </c>
      <c r="AI1286" s="610">
        <v>1600</v>
      </c>
      <c r="AJ1286" s="610">
        <f t="shared" si="483"/>
        <v>0</v>
      </c>
      <c r="AK1286" s="610"/>
      <c r="AL1286" s="610" t="s">
        <v>2368</v>
      </c>
      <c r="AM1286" s="610"/>
      <c r="AN1286" s="610">
        <f>I1286*2</f>
        <v>3200</v>
      </c>
      <c r="AO1286" s="554"/>
      <c r="AP1286" s="554">
        <f>I1286*2</f>
        <v>3200</v>
      </c>
      <c r="AR1286" s="619"/>
      <c r="AS1286" s="548"/>
      <c r="AT1286" s="548"/>
      <c r="AU1286" s="554">
        <f>I1286*2</f>
        <v>3200</v>
      </c>
      <c r="AV1286" s="554"/>
      <c r="AW1286" s="619"/>
      <c r="AX1286" s="548"/>
      <c r="AY1286" s="548"/>
      <c r="AZ1286" s="548"/>
      <c r="BA1286" s="548"/>
      <c r="BB1286" s="620">
        <f>I1286/24*2</f>
        <v>133.333333333333</v>
      </c>
      <c r="BC1286" s="714"/>
      <c r="BD1286" s="548"/>
      <c r="BE1286" s="548"/>
      <c r="BF1286" s="548"/>
      <c r="BY1286" s="619"/>
      <c r="BZ1286" s="548"/>
      <c r="CA1286" s="621">
        <f>I1286</f>
        <v>1600</v>
      </c>
      <c r="CB1286" s="567"/>
      <c r="CC1286" s="622"/>
      <c r="CD1286" s="619"/>
      <c r="CE1286" s="619"/>
      <c r="CU1286" s="554">
        <f t="shared" si="484"/>
        <v>0</v>
      </c>
      <c r="CV1286" s="554">
        <f t="shared" si="485"/>
        <v>0</v>
      </c>
      <c r="CW1286" s="554">
        <f t="shared" si="486"/>
        <v>0</v>
      </c>
      <c r="CX1286" s="619"/>
      <c r="CY1286" s="619"/>
      <c r="CZ1286" s="619"/>
      <c r="DA1286" s="548"/>
      <c r="DB1286" s="548"/>
      <c r="DC1286" s="548"/>
      <c r="DD1286" s="619"/>
      <c r="DE1286" s="619"/>
      <c r="DF1286" s="619"/>
      <c r="DG1286" s="619"/>
      <c r="DH1286" s="619"/>
    </row>
    <row r="1287" s="548" customFormat="1" ht="31" customHeight="1" spans="1:112">
      <c r="A1287" s="608">
        <v>46017</v>
      </c>
      <c r="B1287" s="609" t="s">
        <v>8048</v>
      </c>
      <c r="C1287" s="713" t="s">
        <v>98</v>
      </c>
      <c r="D1287" s="554">
        <v>4500190084</v>
      </c>
      <c r="E1287" s="610">
        <v>56251788</v>
      </c>
      <c r="F1287" s="554" t="s">
        <v>9149</v>
      </c>
      <c r="G1287" s="610" t="s">
        <v>8051</v>
      </c>
      <c r="H1287" s="610" t="s">
        <v>6102</v>
      </c>
      <c r="I1287" s="715">
        <v>21180</v>
      </c>
      <c r="J1287" s="610">
        <v>0</v>
      </c>
      <c r="K1287" s="610">
        <v>6</v>
      </c>
      <c r="L1287" s="611">
        <f t="shared" si="482"/>
        <v>3530</v>
      </c>
      <c r="M1287" s="612">
        <v>46135</v>
      </c>
      <c r="N1287" s="612">
        <v>46132</v>
      </c>
      <c r="O1287" s="613"/>
      <c r="P1287" s="613" t="s">
        <v>113</v>
      </c>
      <c r="Q1287" s="610"/>
      <c r="R1287" s="614">
        <v>46017</v>
      </c>
      <c r="S1287" s="614" t="s">
        <v>104</v>
      </c>
      <c r="T1287" s="614" t="s">
        <v>9150</v>
      </c>
      <c r="U1287" s="614"/>
      <c r="V1287" s="614" t="s">
        <v>9151</v>
      </c>
      <c r="W1287" s="615"/>
      <c r="X1287" s="609" t="s">
        <v>9152</v>
      </c>
      <c r="Y1287" s="616" t="s">
        <v>8055</v>
      </c>
      <c r="Z1287" s="609">
        <v>0.5848</v>
      </c>
      <c r="AA1287" s="616">
        <f t="shared" si="487"/>
        <v>12386.064</v>
      </c>
      <c r="AC1287" s="630" t="s">
        <v>9153</v>
      </c>
      <c r="AD1287" s="610" t="s">
        <v>8051</v>
      </c>
      <c r="AE1287" s="610" t="s">
        <v>82</v>
      </c>
      <c r="AF1287" s="610"/>
      <c r="AG1287" s="609"/>
      <c r="AH1287" s="609">
        <v>1</v>
      </c>
      <c r="AI1287" s="610">
        <f>15012+6168</f>
        <v>21180</v>
      </c>
      <c r="AJ1287" s="610">
        <f t="shared" si="483"/>
        <v>0</v>
      </c>
      <c r="AK1287" s="610"/>
      <c r="AL1287" s="610" t="s">
        <v>2368</v>
      </c>
      <c r="AM1287" s="610"/>
      <c r="AN1287" s="610">
        <f>I1287</f>
        <v>21180</v>
      </c>
      <c r="AO1287" s="554"/>
      <c r="AP1287" s="554">
        <f>I1287</f>
        <v>21180</v>
      </c>
      <c r="AQ1287" s="554"/>
      <c r="AR1287" s="619"/>
      <c r="AS1287" s="554"/>
      <c r="AT1287" s="554"/>
      <c r="AU1287" s="554">
        <f>I1287</f>
        <v>21180</v>
      </c>
      <c r="AV1287" s="554"/>
      <c r="AW1287" s="619"/>
      <c r="AX1287" s="554"/>
      <c r="AY1287" s="554"/>
      <c r="AZ1287" s="554"/>
      <c r="BA1287" s="554"/>
      <c r="BB1287" s="620">
        <f>I1287/24</f>
        <v>882.5</v>
      </c>
      <c r="BC1287" s="714"/>
      <c r="BD1287" s="554"/>
      <c r="BE1287" s="554"/>
      <c r="BF1287" s="554"/>
      <c r="BH1287" s="554"/>
      <c r="BI1287" s="554"/>
      <c r="BJ1287" s="554"/>
      <c r="BK1287" s="554"/>
      <c r="BL1287" s="554"/>
      <c r="BM1287" s="554"/>
      <c r="BN1287" s="554"/>
      <c r="BO1287" s="554"/>
      <c r="BP1287" s="554"/>
      <c r="BQ1287" s="554"/>
      <c r="BR1287" s="554"/>
      <c r="BS1287" s="554"/>
      <c r="BT1287" s="554">
        <f>L1287</f>
        <v>3530</v>
      </c>
      <c r="BU1287" s="554"/>
      <c r="BV1287" s="554"/>
      <c r="BW1287" s="554"/>
      <c r="BX1287" s="554"/>
      <c r="BY1287" s="619"/>
      <c r="BZ1287" s="554"/>
      <c r="CA1287" s="621"/>
      <c r="CB1287" s="567"/>
      <c r="CC1287" s="622"/>
      <c r="CD1287" s="619"/>
      <c r="CE1287" s="619"/>
      <c r="CF1287" s="554"/>
      <c r="CG1287" s="554"/>
      <c r="CI1287" s="554"/>
      <c r="CJ1287" s="554"/>
      <c r="CK1287" s="554"/>
      <c r="CL1287" s="554"/>
      <c r="CM1287" s="554"/>
      <c r="CN1287" s="554"/>
      <c r="CO1287" s="554"/>
      <c r="CP1287" s="554"/>
      <c r="CQ1287" s="554"/>
      <c r="CR1287" s="554"/>
      <c r="CS1287" s="554"/>
      <c r="CT1287" s="554"/>
      <c r="CU1287" s="554">
        <f t="shared" si="484"/>
        <v>0</v>
      </c>
      <c r="CV1287" s="554">
        <f t="shared" si="485"/>
        <v>0</v>
      </c>
      <c r="CW1287" s="554">
        <f t="shared" si="486"/>
        <v>0</v>
      </c>
      <c r="CX1287" s="619"/>
      <c r="CY1287" s="619"/>
      <c r="CZ1287" s="619"/>
      <c r="DA1287" s="548"/>
      <c r="DB1287" s="548"/>
      <c r="DC1287" s="548"/>
      <c r="DD1287" s="619"/>
      <c r="DE1287" s="619"/>
      <c r="DF1287" s="619"/>
      <c r="DG1287" s="619"/>
      <c r="DH1287" s="619"/>
    </row>
    <row r="1288" s="548" customFormat="1" ht="31" customHeight="1" spans="1:112">
      <c r="A1288" s="608">
        <v>46079</v>
      </c>
      <c r="B1288" s="609" t="s">
        <v>2707</v>
      </c>
      <c r="C1288" s="713" t="s">
        <v>170</v>
      </c>
      <c r="D1288" s="554">
        <v>4500194379</v>
      </c>
      <c r="E1288" s="610">
        <v>40320907</v>
      </c>
      <c r="F1288" s="554" t="s">
        <v>9154</v>
      </c>
      <c r="G1288" s="610" t="s">
        <v>6787</v>
      </c>
      <c r="H1288" s="610" t="s">
        <v>6126</v>
      </c>
      <c r="I1288" s="715">
        <v>1200</v>
      </c>
      <c r="J1288" s="610">
        <v>0</v>
      </c>
      <c r="K1288" s="610">
        <v>12</v>
      </c>
      <c r="L1288" s="611">
        <f t="shared" si="482"/>
        <v>100</v>
      </c>
      <c r="M1288" s="612">
        <v>46135</v>
      </c>
      <c r="N1288" s="612">
        <v>46132</v>
      </c>
      <c r="O1288" s="613"/>
      <c r="P1288" s="613" t="s">
        <v>113</v>
      </c>
      <c r="Q1288" s="610"/>
      <c r="R1288" s="614">
        <v>46098</v>
      </c>
      <c r="S1288" s="614" t="s">
        <v>70</v>
      </c>
      <c r="T1288" s="614" t="s">
        <v>70</v>
      </c>
      <c r="U1288" s="614"/>
      <c r="V1288" s="614"/>
      <c r="W1288" s="615"/>
      <c r="X1288" s="609" t="s">
        <v>9155</v>
      </c>
      <c r="Y1288" s="616" t="s">
        <v>3481</v>
      </c>
      <c r="Z1288" s="609">
        <v>2.1451</v>
      </c>
      <c r="AA1288" s="616">
        <f t="shared" si="487"/>
        <v>2574.12</v>
      </c>
      <c r="AC1288" s="617"/>
      <c r="AD1288" s="610" t="s">
        <v>8079</v>
      </c>
      <c r="AE1288" s="610" t="s">
        <v>82</v>
      </c>
      <c r="AF1288" s="610"/>
      <c r="AG1288" s="609"/>
      <c r="AH1288" s="609">
        <v>1</v>
      </c>
      <c r="AI1288" s="610">
        <v>1200</v>
      </c>
      <c r="AJ1288" s="610">
        <f t="shared" si="483"/>
        <v>0</v>
      </c>
      <c r="AK1288" s="610"/>
      <c r="AL1288" s="610" t="s">
        <v>2368</v>
      </c>
      <c r="AM1288" s="610"/>
      <c r="AN1288" s="610">
        <f>I1288*2</f>
        <v>2400</v>
      </c>
      <c r="AO1288" s="554"/>
      <c r="AP1288" s="554"/>
      <c r="AQ1288" s="554"/>
      <c r="AR1288" s="619"/>
      <c r="AS1288" s="551">
        <f>I1288*2</f>
        <v>2400</v>
      </c>
      <c r="AT1288" s="554"/>
      <c r="AU1288" s="554">
        <f>I1288*2</f>
        <v>2400</v>
      </c>
      <c r="AV1288" s="554"/>
      <c r="AW1288" s="619"/>
      <c r="AX1288" s="554"/>
      <c r="AY1288" s="554"/>
      <c r="AZ1288" s="554"/>
      <c r="BA1288" s="554"/>
      <c r="BB1288" s="249">
        <f>I1288/24*2</f>
        <v>100</v>
      </c>
      <c r="BC1288" s="714"/>
      <c r="BD1288" s="554"/>
      <c r="BE1288" s="554"/>
      <c r="BF1288" s="554"/>
      <c r="BH1288" s="554"/>
      <c r="BI1288" s="554"/>
      <c r="BJ1288" s="554"/>
      <c r="BK1288" s="554"/>
      <c r="BL1288" s="554"/>
      <c r="BM1288" s="554"/>
      <c r="BN1288" s="554"/>
      <c r="BO1288" s="554"/>
      <c r="BP1288" s="554"/>
      <c r="BQ1288" s="554"/>
      <c r="BR1288" s="554"/>
      <c r="BS1288" s="554"/>
      <c r="BT1288" s="554"/>
      <c r="BU1288" s="554"/>
      <c r="BV1288" s="554"/>
      <c r="BW1288" s="554"/>
      <c r="BX1288" s="554"/>
      <c r="BY1288" s="619"/>
      <c r="BZ1288" s="554"/>
      <c r="CA1288" s="621"/>
      <c r="CB1288" s="567"/>
      <c r="CC1288" s="622"/>
      <c r="CD1288" s="619"/>
      <c r="CE1288" s="619"/>
      <c r="CF1288" s="554"/>
      <c r="CG1288" s="554"/>
      <c r="CI1288" s="554"/>
      <c r="CJ1288" s="554"/>
      <c r="CK1288" s="554"/>
      <c r="CL1288" s="554"/>
      <c r="CM1288" s="554"/>
      <c r="CN1288" s="554"/>
      <c r="CO1288" s="554"/>
      <c r="CP1288" s="554"/>
      <c r="CQ1288" s="554"/>
      <c r="CR1288" s="554">
        <f>I1288</f>
        <v>1200</v>
      </c>
      <c r="CS1288" s="554">
        <f>I1288</f>
        <v>1200</v>
      </c>
      <c r="CT1288" s="554">
        <f>I1288</f>
        <v>1200</v>
      </c>
      <c r="CU1288" s="554">
        <f t="shared" si="484"/>
        <v>0</v>
      </c>
      <c r="CV1288" s="554">
        <f t="shared" si="485"/>
        <v>0</v>
      </c>
      <c r="CW1288" s="554">
        <f t="shared" si="486"/>
        <v>0</v>
      </c>
      <c r="CX1288" s="619"/>
      <c r="CY1288" s="619"/>
      <c r="CZ1288" s="619"/>
      <c r="DA1288" s="548"/>
      <c r="DB1288" s="548"/>
      <c r="DC1288" s="548"/>
      <c r="DD1288" s="619"/>
      <c r="DE1288" s="619"/>
      <c r="DF1288" s="619"/>
      <c r="DG1288" s="619"/>
      <c r="DH1288" s="619"/>
    </row>
    <row r="1289" s="548" customFormat="1" ht="31" customHeight="1" spans="1:112">
      <c r="A1289" s="608">
        <v>46079</v>
      </c>
      <c r="B1289" s="609" t="s">
        <v>2707</v>
      </c>
      <c r="C1289" s="713" t="s">
        <v>170</v>
      </c>
      <c r="D1289" s="554">
        <v>4500194379</v>
      </c>
      <c r="E1289" s="610">
        <v>40322134</v>
      </c>
      <c r="F1289" s="554" t="s">
        <v>9156</v>
      </c>
      <c r="G1289" s="610" t="s">
        <v>6787</v>
      </c>
      <c r="H1289" s="610" t="s">
        <v>6126</v>
      </c>
      <c r="I1289" s="610">
        <v>324</v>
      </c>
      <c r="J1289" s="610">
        <v>0</v>
      </c>
      <c r="K1289" s="610">
        <v>12</v>
      </c>
      <c r="L1289" s="611">
        <f t="shared" si="482"/>
        <v>27</v>
      </c>
      <c r="M1289" s="612">
        <v>46135</v>
      </c>
      <c r="N1289" s="612">
        <v>46132</v>
      </c>
      <c r="O1289" s="613"/>
      <c r="P1289" s="613" t="s">
        <v>113</v>
      </c>
      <c r="Q1289" s="610"/>
      <c r="R1289" s="614">
        <v>46098</v>
      </c>
      <c r="S1289" s="614" t="s">
        <v>70</v>
      </c>
      <c r="T1289" s="614" t="s">
        <v>70</v>
      </c>
      <c r="U1289" s="614"/>
      <c r="V1289" s="614"/>
      <c r="W1289" s="615"/>
      <c r="X1289" s="609" t="s">
        <v>9155</v>
      </c>
      <c r="Y1289" s="616" t="s">
        <v>3481</v>
      </c>
      <c r="Z1289" s="609">
        <v>2.1451</v>
      </c>
      <c r="AA1289" s="616">
        <f t="shared" si="487"/>
        <v>695.0124</v>
      </c>
      <c r="AC1289" s="617"/>
      <c r="AD1289" s="610" t="s">
        <v>8079</v>
      </c>
      <c r="AE1289" s="610" t="s">
        <v>82</v>
      </c>
      <c r="AF1289" s="610"/>
      <c r="AG1289" s="609"/>
      <c r="AH1289" s="609">
        <v>1</v>
      </c>
      <c r="AI1289" s="610">
        <v>324</v>
      </c>
      <c r="AJ1289" s="610">
        <f t="shared" si="483"/>
        <v>0</v>
      </c>
      <c r="AK1289" s="610"/>
      <c r="AL1289" s="610" t="s">
        <v>2368</v>
      </c>
      <c r="AM1289" s="610"/>
      <c r="AN1289" s="610">
        <f>I1289*2</f>
        <v>648</v>
      </c>
      <c r="AO1289" s="554"/>
      <c r="AP1289" s="554"/>
      <c r="AQ1289" s="554"/>
      <c r="AR1289" s="619"/>
      <c r="AS1289" s="551">
        <f>I1289*2</f>
        <v>648</v>
      </c>
      <c r="AT1289" s="554"/>
      <c r="AU1289" s="554">
        <f>I1289*2</f>
        <v>648</v>
      </c>
      <c r="AV1289" s="554"/>
      <c r="AW1289" s="619"/>
      <c r="AX1289" s="554"/>
      <c r="AY1289" s="554"/>
      <c r="AZ1289" s="554"/>
      <c r="BA1289" s="554"/>
      <c r="BB1289" s="249">
        <f>I1289/24*2</f>
        <v>27</v>
      </c>
      <c r="BC1289" s="714"/>
      <c r="BD1289" s="554"/>
      <c r="BE1289" s="554"/>
      <c r="BF1289" s="554"/>
      <c r="BH1289" s="554"/>
      <c r="BI1289" s="554"/>
      <c r="BJ1289" s="554"/>
      <c r="BK1289" s="554"/>
      <c r="BL1289" s="554"/>
      <c r="BM1289" s="554"/>
      <c r="BN1289" s="554"/>
      <c r="BO1289" s="554"/>
      <c r="BP1289" s="554"/>
      <c r="BQ1289" s="554"/>
      <c r="BR1289" s="554"/>
      <c r="BS1289" s="554"/>
      <c r="BT1289" s="554"/>
      <c r="BU1289" s="554"/>
      <c r="BV1289" s="554"/>
      <c r="BW1289" s="554"/>
      <c r="BX1289" s="554"/>
      <c r="BY1289" s="619"/>
      <c r="BZ1289" s="554"/>
      <c r="CA1289" s="621"/>
      <c r="CB1289" s="567"/>
      <c r="CC1289" s="622"/>
      <c r="CD1289" s="619"/>
      <c r="CE1289" s="619"/>
      <c r="CF1289" s="554"/>
      <c r="CG1289" s="554"/>
      <c r="CI1289" s="554"/>
      <c r="CJ1289" s="554"/>
      <c r="CK1289" s="554"/>
      <c r="CL1289" s="554"/>
      <c r="CM1289" s="554"/>
      <c r="CN1289" s="554"/>
      <c r="CO1289" s="554"/>
      <c r="CP1289" s="554"/>
      <c r="CQ1289" s="554"/>
      <c r="CR1289" s="554">
        <f>I1289</f>
        <v>324</v>
      </c>
      <c r="CS1289" s="554">
        <f>I1289</f>
        <v>324</v>
      </c>
      <c r="CT1289" s="554">
        <f>I1289</f>
        <v>324</v>
      </c>
      <c r="CU1289" s="554">
        <f t="shared" si="484"/>
        <v>0</v>
      </c>
      <c r="CV1289" s="554">
        <f t="shared" si="485"/>
        <v>0</v>
      </c>
      <c r="CW1289" s="554">
        <f t="shared" si="486"/>
        <v>0</v>
      </c>
      <c r="CX1289" s="619"/>
      <c r="CY1289" s="619"/>
      <c r="CZ1289" s="619"/>
      <c r="DA1289" s="548"/>
      <c r="DB1289" s="548"/>
      <c r="DC1289" s="548"/>
      <c r="DD1289" s="619"/>
      <c r="DE1289" s="619"/>
      <c r="DF1289" s="619"/>
      <c r="DG1289" s="619"/>
      <c r="DH1289" s="619"/>
    </row>
    <row r="1290" s="548" customFormat="1" ht="31" customHeight="1" spans="1:112">
      <c r="A1290" s="608">
        <v>46093</v>
      </c>
      <c r="B1290" s="609" t="s">
        <v>2206</v>
      </c>
      <c r="C1290" s="713" t="s">
        <v>1343</v>
      </c>
      <c r="D1290" s="554">
        <v>4500196429</v>
      </c>
      <c r="E1290" s="610" t="s">
        <v>9157</v>
      </c>
      <c r="F1290" s="554" t="s">
        <v>9158</v>
      </c>
      <c r="G1290" s="610" t="s">
        <v>6276</v>
      </c>
      <c r="H1290" s="610" t="s">
        <v>6277</v>
      </c>
      <c r="I1290" s="610">
        <v>2500</v>
      </c>
      <c r="J1290" s="610">
        <v>0</v>
      </c>
      <c r="K1290" s="610">
        <v>50</v>
      </c>
      <c r="L1290" s="611">
        <f t="shared" si="482"/>
        <v>50</v>
      </c>
      <c r="M1290" s="612">
        <v>46135</v>
      </c>
      <c r="N1290" s="612">
        <v>46137</v>
      </c>
      <c r="O1290" s="613"/>
      <c r="P1290" s="613" t="s">
        <v>113</v>
      </c>
      <c r="Q1290" s="610"/>
      <c r="R1290" s="614" t="s">
        <v>9159</v>
      </c>
      <c r="S1290" s="614" t="s">
        <v>70</v>
      </c>
      <c r="T1290" s="614" t="s">
        <v>7845</v>
      </c>
      <c r="U1290" s="614"/>
      <c r="V1290" s="614"/>
      <c r="W1290" s="615"/>
      <c r="X1290" s="609" t="s">
        <v>9160</v>
      </c>
      <c r="Y1290" s="616" t="s">
        <v>217</v>
      </c>
      <c r="Z1290" s="718">
        <v>0.9351</v>
      </c>
      <c r="AA1290" s="616">
        <f t="shared" si="487"/>
        <v>2337.75</v>
      </c>
      <c r="AC1290" s="617"/>
      <c r="AD1290" s="610" t="s">
        <v>9017</v>
      </c>
      <c r="AE1290" s="610" t="s">
        <v>82</v>
      </c>
      <c r="AF1290" s="610"/>
      <c r="AG1290" s="609"/>
      <c r="AH1290" s="609">
        <v>1</v>
      </c>
      <c r="AI1290" s="610">
        <v>2500</v>
      </c>
      <c r="AJ1290" s="610">
        <f t="shared" si="483"/>
        <v>0</v>
      </c>
      <c r="AK1290" s="610"/>
      <c r="AL1290" s="610" t="s">
        <v>2368</v>
      </c>
      <c r="AM1290" s="610"/>
      <c r="AN1290" s="610"/>
      <c r="AO1290" s="554">
        <f>I1290</f>
        <v>2500</v>
      </c>
      <c r="AP1290" s="554"/>
      <c r="AQ1290" s="554"/>
      <c r="AR1290" s="619"/>
      <c r="AS1290" s="554"/>
      <c r="AT1290" s="554">
        <f>I1290</f>
        <v>2500</v>
      </c>
      <c r="AU1290" s="554"/>
      <c r="AV1290" s="554"/>
      <c r="AW1290" s="619"/>
      <c r="AX1290" s="554"/>
      <c r="AY1290" s="554"/>
      <c r="AZ1290" s="554"/>
      <c r="BA1290" s="554"/>
      <c r="BB1290" s="620">
        <f>I1290/24*2</f>
        <v>208.333333333333</v>
      </c>
      <c r="BC1290" s="714"/>
      <c r="BD1290" s="554"/>
      <c r="BE1290" s="554"/>
      <c r="BF1290" s="554"/>
      <c r="BH1290" s="554"/>
      <c r="BI1290" s="554"/>
      <c r="BJ1290" s="554"/>
      <c r="BK1290" s="554"/>
      <c r="BL1290" s="554"/>
      <c r="BM1290" s="554"/>
      <c r="BN1290" s="554"/>
      <c r="BO1290" s="554"/>
      <c r="BP1290" s="554"/>
      <c r="BQ1290" s="554"/>
      <c r="BR1290" s="554"/>
      <c r="BS1290" s="554"/>
      <c r="BT1290" s="554"/>
      <c r="BU1290" s="554"/>
      <c r="BV1290" s="554"/>
      <c r="BW1290" s="554">
        <f>I1290</f>
        <v>2500</v>
      </c>
      <c r="BX1290" s="554">
        <f>I1290/25</f>
        <v>100</v>
      </c>
      <c r="BY1290" s="619"/>
      <c r="BZ1290" s="554"/>
      <c r="CA1290" s="621"/>
      <c r="CB1290" s="567"/>
      <c r="CC1290" s="622"/>
      <c r="CD1290" s="619"/>
      <c r="CE1290" s="619"/>
      <c r="CF1290" s="554"/>
      <c r="CG1290" s="554"/>
      <c r="CI1290" s="554"/>
      <c r="CJ1290" s="554"/>
      <c r="CK1290" s="554"/>
      <c r="CL1290" s="554"/>
      <c r="CM1290" s="554"/>
      <c r="CN1290" s="554"/>
      <c r="CO1290" s="554"/>
      <c r="CP1290" s="554"/>
      <c r="CQ1290" s="554"/>
      <c r="CR1290" s="554"/>
      <c r="CS1290" s="554"/>
      <c r="CT1290" s="554"/>
      <c r="CU1290" s="554">
        <f t="shared" si="484"/>
        <v>100</v>
      </c>
      <c r="CV1290" s="554">
        <f t="shared" si="485"/>
        <v>0</v>
      </c>
      <c r="CW1290" s="554">
        <f t="shared" si="486"/>
        <v>0</v>
      </c>
      <c r="CX1290" s="619"/>
      <c r="CY1290" s="619"/>
      <c r="CZ1290" s="619"/>
      <c r="DA1290" s="548"/>
      <c r="DB1290" s="548"/>
      <c r="DC1290" s="548"/>
      <c r="DD1290" s="619"/>
      <c r="DE1290" s="619"/>
      <c r="DF1290" s="619"/>
      <c r="DG1290" s="619"/>
      <c r="DH1290" s="619"/>
    </row>
    <row r="1291" s="548" customFormat="1" ht="31" customHeight="1" spans="1:112">
      <c r="A1291" s="608">
        <v>46099</v>
      </c>
      <c r="B1291" s="609" t="s">
        <v>4477</v>
      </c>
      <c r="C1291" s="610" t="s">
        <v>744</v>
      </c>
      <c r="D1291" s="554">
        <v>4500195548</v>
      </c>
      <c r="E1291" s="610">
        <v>5000002140</v>
      </c>
      <c r="F1291" s="554" t="s">
        <v>9161</v>
      </c>
      <c r="G1291" s="610" t="s">
        <v>6093</v>
      </c>
      <c r="H1291" s="639" t="s">
        <v>7359</v>
      </c>
      <c r="I1291" s="715">
        <v>2600</v>
      </c>
      <c r="J1291" s="610">
        <v>0</v>
      </c>
      <c r="K1291" s="610">
        <v>13</v>
      </c>
      <c r="L1291" s="611">
        <f t="shared" si="482"/>
        <v>200</v>
      </c>
      <c r="M1291" s="612">
        <v>46139</v>
      </c>
      <c r="N1291" s="612">
        <v>46135</v>
      </c>
      <c r="O1291" s="613"/>
      <c r="P1291" s="610" t="s">
        <v>113</v>
      </c>
      <c r="Q1291" s="640">
        <v>46140</v>
      </c>
      <c r="R1291" s="614" t="s">
        <v>8889</v>
      </c>
      <c r="S1291" s="614" t="s">
        <v>104</v>
      </c>
      <c r="T1291" s="614" t="s">
        <v>8723</v>
      </c>
      <c r="U1291" s="614"/>
      <c r="V1291" s="614"/>
      <c r="W1291" s="615"/>
      <c r="X1291" s="609" t="s">
        <v>9100</v>
      </c>
      <c r="Y1291" s="616" t="s">
        <v>4480</v>
      </c>
      <c r="Z1291" s="722">
        <v>0.8677</v>
      </c>
      <c r="AA1291" s="616">
        <f t="shared" si="487"/>
        <v>2256.02</v>
      </c>
      <c r="AC1291" s="617"/>
      <c r="AD1291" s="610" t="s">
        <v>8338</v>
      </c>
      <c r="AE1291" s="610" t="s">
        <v>82</v>
      </c>
      <c r="AF1291" s="610"/>
      <c r="AG1291" s="609"/>
      <c r="AH1291" s="609">
        <v>1</v>
      </c>
      <c r="AI1291" s="725">
        <v>2600</v>
      </c>
      <c r="AJ1291" s="610">
        <f t="shared" si="483"/>
        <v>0</v>
      </c>
      <c r="AK1291" s="610"/>
      <c r="AL1291" s="610" t="s">
        <v>2368</v>
      </c>
      <c r="AM1291" s="610"/>
      <c r="AN1291" s="610"/>
      <c r="AO1291" s="554">
        <f>I1291</f>
        <v>2600</v>
      </c>
      <c r="AP1291" s="554"/>
      <c r="AQ1291" s="554"/>
      <c r="AR1291" s="619"/>
      <c r="AS1291" s="554"/>
      <c r="AT1291" s="554"/>
      <c r="AU1291" s="554"/>
      <c r="AV1291" s="554"/>
      <c r="AW1291" s="650">
        <f>I1291</f>
        <v>2600</v>
      </c>
      <c r="AX1291" s="554">
        <f>I1291</f>
        <v>2600</v>
      </c>
      <c r="AY1291" s="554"/>
      <c r="AZ1291" s="554"/>
      <c r="BA1291" s="714">
        <f>I1291/24*2</f>
        <v>216.666666666667</v>
      </c>
      <c r="BB1291" s="620"/>
      <c r="BC1291" s="714"/>
      <c r="BD1291" s="554"/>
      <c r="BE1291" s="554"/>
      <c r="BF1291" s="554"/>
      <c r="BH1291" s="554"/>
      <c r="BI1291" s="554"/>
      <c r="BJ1291" s="554"/>
      <c r="BK1291" s="554"/>
      <c r="BL1291" s="554"/>
      <c r="BM1291" s="554">
        <f>I1291/13</f>
        <v>200</v>
      </c>
      <c r="BN1291" s="554"/>
      <c r="BO1291" s="554"/>
      <c r="BP1291" s="554"/>
      <c r="BQ1291" s="554"/>
      <c r="BR1291" s="554"/>
      <c r="BS1291" s="554"/>
      <c r="BT1291" s="554"/>
      <c r="BU1291" s="554"/>
      <c r="BV1291" s="554"/>
      <c r="BW1291" s="554"/>
      <c r="BX1291" s="554"/>
      <c r="BY1291" s="619"/>
      <c r="BZ1291" s="554"/>
      <c r="CA1291" s="621"/>
      <c r="CB1291" s="567"/>
      <c r="CC1291" s="622"/>
      <c r="CD1291" s="619"/>
      <c r="CE1291" s="619"/>
      <c r="CF1291" s="554"/>
      <c r="CG1291" s="554"/>
      <c r="CI1291" s="554"/>
      <c r="CJ1291" s="554"/>
      <c r="CK1291" s="554"/>
      <c r="CL1291" s="554"/>
      <c r="CM1291" s="554"/>
      <c r="CN1291" s="554"/>
      <c r="CO1291" s="554"/>
      <c r="CP1291" s="554"/>
      <c r="CQ1291" s="554"/>
      <c r="CR1291" s="554"/>
      <c r="CS1291" s="554"/>
      <c r="CT1291" s="554"/>
      <c r="CU1291" s="554">
        <f t="shared" si="484"/>
        <v>0</v>
      </c>
      <c r="CV1291" s="554">
        <f t="shared" si="485"/>
        <v>0</v>
      </c>
      <c r="CW1291" s="554">
        <f t="shared" si="486"/>
        <v>0</v>
      </c>
      <c r="CX1291" s="619"/>
      <c r="CY1291" s="619"/>
      <c r="CZ1291" s="619"/>
      <c r="DA1291" s="548"/>
      <c r="DB1291" s="548"/>
      <c r="DC1291" s="548"/>
      <c r="DD1291" s="619"/>
      <c r="DE1291" s="619"/>
      <c r="DF1291" s="619"/>
      <c r="DG1291" s="619"/>
      <c r="DH1291" s="619"/>
    </row>
    <row r="1292" s="548" customFormat="1" ht="31" customHeight="1" spans="1:112">
      <c r="A1292" s="608">
        <v>46087</v>
      </c>
      <c r="B1292" s="609" t="s">
        <v>1800</v>
      </c>
      <c r="C1292" s="610" t="s">
        <v>744</v>
      </c>
      <c r="D1292" s="554">
        <v>4500195548</v>
      </c>
      <c r="E1292" s="610">
        <v>5000002140</v>
      </c>
      <c r="F1292" s="554" t="s">
        <v>3626</v>
      </c>
      <c r="G1292" s="610" t="s">
        <v>6337</v>
      </c>
      <c r="H1292" s="662" t="s">
        <v>477</v>
      </c>
      <c r="I1292" s="715">
        <v>6000</v>
      </c>
      <c r="J1292" s="610">
        <v>0</v>
      </c>
      <c r="K1292" s="610">
        <v>6</v>
      </c>
      <c r="L1292" s="611">
        <f t="shared" si="482"/>
        <v>1000</v>
      </c>
      <c r="M1292" s="612">
        <v>46139</v>
      </c>
      <c r="N1292" s="612">
        <v>46135</v>
      </c>
      <c r="O1292" s="613"/>
      <c r="P1292" s="610" t="s">
        <v>113</v>
      </c>
      <c r="Q1292" s="614"/>
      <c r="R1292" s="614" t="s">
        <v>3299</v>
      </c>
      <c r="S1292" s="614" t="s">
        <v>104</v>
      </c>
      <c r="T1292" s="614" t="s">
        <v>2239</v>
      </c>
      <c r="U1292" s="614"/>
      <c r="V1292" s="614"/>
      <c r="W1292" s="615"/>
      <c r="X1292" s="609" t="s">
        <v>3522</v>
      </c>
      <c r="Y1292" s="616" t="s">
        <v>1805</v>
      </c>
      <c r="Z1292" s="718">
        <v>6.3788</v>
      </c>
      <c r="AA1292" s="616">
        <f t="shared" si="487"/>
        <v>38272.8</v>
      </c>
      <c r="AC1292" s="617"/>
      <c r="AD1292" s="610" t="s">
        <v>2241</v>
      </c>
      <c r="AE1292" s="610" t="s">
        <v>82</v>
      </c>
      <c r="AF1292" s="610"/>
      <c r="AG1292" s="610"/>
      <c r="AH1292" s="609">
        <v>1</v>
      </c>
      <c r="AI1292" s="610">
        <f>1512+4488</f>
        <v>6000</v>
      </c>
      <c r="AJ1292" s="610">
        <f t="shared" si="483"/>
        <v>0</v>
      </c>
      <c r="AK1292" s="613"/>
      <c r="AL1292" s="610" t="s">
        <v>2368</v>
      </c>
      <c r="AM1292" s="610"/>
      <c r="AN1292" s="554"/>
      <c r="AO1292" s="554">
        <f>I1292*2</f>
        <v>12000</v>
      </c>
      <c r="AP1292" s="554"/>
      <c r="AQ1292" s="554"/>
      <c r="AR1292" s="554"/>
      <c r="AS1292" s="554"/>
      <c r="AT1292" s="554">
        <f>I1292*2</f>
        <v>12000</v>
      </c>
      <c r="AU1292" s="554"/>
      <c r="AV1292" s="554"/>
      <c r="AW1292" s="554"/>
      <c r="AX1292" s="663">
        <f>I1292*2</f>
        <v>12000</v>
      </c>
      <c r="AY1292" s="554"/>
      <c r="AZ1292" s="554"/>
      <c r="BA1292" s="671">
        <f>I1292/24*2</f>
        <v>500</v>
      </c>
      <c r="BB1292" s="554"/>
      <c r="BC1292" s="554"/>
      <c r="BD1292" s="554"/>
      <c r="BE1292" s="554"/>
      <c r="BF1292" s="554"/>
      <c r="BH1292" s="554"/>
      <c r="BI1292" s="554"/>
      <c r="BJ1292" s="554"/>
      <c r="BK1292" s="554"/>
      <c r="BL1292" s="554"/>
      <c r="BM1292" s="554"/>
      <c r="BN1292" s="554"/>
      <c r="BO1292" s="554"/>
      <c r="BP1292" s="554"/>
      <c r="BQ1292" s="554"/>
      <c r="BR1292" s="554"/>
      <c r="BS1292" s="554"/>
      <c r="BT1292" s="554"/>
      <c r="BU1292" s="554"/>
      <c r="BV1292" s="554"/>
      <c r="BW1292" s="554"/>
      <c r="BX1292" s="554"/>
      <c r="BY1292" s="554"/>
      <c r="BZ1292" s="554">
        <f>I1292</f>
        <v>6000</v>
      </c>
      <c r="CA1292" s="720"/>
      <c r="CB1292" s="567"/>
      <c r="CC1292" s="721"/>
      <c r="CD1292" s="554"/>
      <c r="CE1292" s="554"/>
      <c r="CF1292" s="554"/>
      <c r="CG1292" s="554"/>
      <c r="CI1292" s="554"/>
      <c r="CJ1292" s="554"/>
      <c r="CK1292" s="554"/>
      <c r="CL1292" s="554"/>
      <c r="CM1292" s="554"/>
      <c r="CN1292" s="554"/>
      <c r="CO1292" s="554"/>
      <c r="CP1292" s="619"/>
      <c r="CQ1292" s="619"/>
      <c r="CR1292" s="619"/>
      <c r="CS1292" s="619"/>
      <c r="CT1292" s="619"/>
      <c r="CU1292" s="554">
        <f t="shared" si="484"/>
        <v>0</v>
      </c>
      <c r="CV1292" s="554">
        <v>0</v>
      </c>
      <c r="CW1292" s="554">
        <v>0</v>
      </c>
      <c r="CX1292" s="619"/>
      <c r="CY1292" s="619"/>
      <c r="CZ1292" s="619"/>
      <c r="DA1292" s="619"/>
      <c r="DB1292" s="619"/>
      <c r="DC1292" s="619"/>
      <c r="DD1292" s="619"/>
      <c r="DE1292" s="619"/>
      <c r="DF1292" s="619"/>
      <c r="DG1292" s="619"/>
      <c r="DH1292" s="619"/>
    </row>
    <row r="1293" s="548" customFormat="1" ht="31" customHeight="1" spans="1:112">
      <c r="A1293" s="608">
        <v>46087</v>
      </c>
      <c r="B1293" s="609" t="s">
        <v>1800</v>
      </c>
      <c r="C1293" s="610" t="s">
        <v>744</v>
      </c>
      <c r="D1293" s="554">
        <v>4500195548</v>
      </c>
      <c r="E1293" s="610">
        <v>5000002140</v>
      </c>
      <c r="F1293" s="554" t="s">
        <v>3627</v>
      </c>
      <c r="G1293" s="610" t="s">
        <v>6337</v>
      </c>
      <c r="H1293" s="662" t="s">
        <v>477</v>
      </c>
      <c r="I1293" s="715">
        <v>1200</v>
      </c>
      <c r="J1293" s="610">
        <v>0</v>
      </c>
      <c r="K1293" s="610">
        <v>6</v>
      </c>
      <c r="L1293" s="611">
        <f t="shared" si="482"/>
        <v>200</v>
      </c>
      <c r="M1293" s="612">
        <v>46139</v>
      </c>
      <c r="N1293" s="612">
        <v>46135</v>
      </c>
      <c r="O1293" s="613"/>
      <c r="P1293" s="610" t="s">
        <v>113</v>
      </c>
      <c r="Q1293" s="614"/>
      <c r="R1293" s="614" t="s">
        <v>3299</v>
      </c>
      <c r="S1293" s="614" t="s">
        <v>104</v>
      </c>
      <c r="T1293" s="614" t="s">
        <v>2239</v>
      </c>
      <c r="U1293" s="614"/>
      <c r="V1293" s="614"/>
      <c r="W1293" s="615"/>
      <c r="X1293" s="609" t="s">
        <v>3522</v>
      </c>
      <c r="Y1293" s="616" t="s">
        <v>1805</v>
      </c>
      <c r="Z1293" s="718">
        <v>6.3788</v>
      </c>
      <c r="AA1293" s="616">
        <f t="shared" si="487"/>
        <v>7654.56</v>
      </c>
      <c r="AC1293" s="617"/>
      <c r="AD1293" s="610" t="s">
        <v>2241</v>
      </c>
      <c r="AE1293" s="610" t="s">
        <v>82</v>
      </c>
      <c r="AF1293" s="610"/>
      <c r="AG1293" s="610"/>
      <c r="AH1293" s="609">
        <v>1</v>
      </c>
      <c r="AI1293" s="610">
        <v>1200</v>
      </c>
      <c r="AJ1293" s="610">
        <f t="shared" si="483"/>
        <v>0</v>
      </c>
      <c r="AK1293" s="613"/>
      <c r="AL1293" s="610" t="s">
        <v>2368</v>
      </c>
      <c r="AM1293" s="610"/>
      <c r="AN1293" s="554"/>
      <c r="AO1293" s="554">
        <f>I1293*2</f>
        <v>2400</v>
      </c>
      <c r="AP1293" s="554"/>
      <c r="AQ1293" s="554"/>
      <c r="AR1293" s="554"/>
      <c r="AS1293" s="554"/>
      <c r="AT1293" s="554">
        <f>I1293*2</f>
        <v>2400</v>
      </c>
      <c r="AU1293" s="554"/>
      <c r="AV1293" s="554"/>
      <c r="AW1293" s="554"/>
      <c r="AX1293" s="663">
        <f>I1293*2</f>
        <v>2400</v>
      </c>
      <c r="AY1293" s="554"/>
      <c r="AZ1293" s="554"/>
      <c r="BA1293" s="671">
        <f>I1293/24*2</f>
        <v>100</v>
      </c>
      <c r="BB1293" s="554"/>
      <c r="BC1293" s="554"/>
      <c r="BD1293" s="554"/>
      <c r="BE1293" s="554"/>
      <c r="BF1293" s="554"/>
      <c r="BH1293" s="554"/>
      <c r="BI1293" s="554"/>
      <c r="BJ1293" s="554"/>
      <c r="BK1293" s="554"/>
      <c r="BL1293" s="554"/>
      <c r="BM1293" s="554"/>
      <c r="BN1293" s="554"/>
      <c r="BO1293" s="554"/>
      <c r="BP1293" s="554"/>
      <c r="BQ1293" s="554"/>
      <c r="BR1293" s="554"/>
      <c r="BS1293" s="554"/>
      <c r="BT1293" s="554"/>
      <c r="BU1293" s="554"/>
      <c r="BV1293" s="554"/>
      <c r="BW1293" s="554"/>
      <c r="BX1293" s="554"/>
      <c r="BY1293" s="554"/>
      <c r="BZ1293" s="554">
        <f>I1293</f>
        <v>1200</v>
      </c>
      <c r="CA1293" s="720"/>
      <c r="CB1293" s="567"/>
      <c r="CC1293" s="721"/>
      <c r="CD1293" s="554"/>
      <c r="CE1293" s="554"/>
      <c r="CF1293" s="554"/>
      <c r="CG1293" s="554"/>
      <c r="CI1293" s="554"/>
      <c r="CJ1293" s="554"/>
      <c r="CK1293" s="554"/>
      <c r="CL1293" s="554"/>
      <c r="CM1293" s="554"/>
      <c r="CN1293" s="554"/>
      <c r="CO1293" s="554"/>
      <c r="CP1293" s="619"/>
      <c r="CQ1293" s="619"/>
      <c r="CR1293" s="619"/>
      <c r="CS1293" s="619"/>
      <c r="CT1293" s="619"/>
      <c r="CU1293" s="554">
        <f t="shared" si="484"/>
        <v>0</v>
      </c>
      <c r="CV1293" s="554">
        <v>0</v>
      </c>
      <c r="CW1293" s="554">
        <v>0</v>
      </c>
      <c r="CX1293" s="619"/>
      <c r="CY1293" s="619"/>
      <c r="CZ1293" s="619"/>
      <c r="DA1293" s="619"/>
      <c r="DB1293" s="619"/>
      <c r="DC1293" s="619"/>
      <c r="DD1293" s="619"/>
      <c r="DE1293" s="619"/>
      <c r="DF1293" s="619"/>
      <c r="DG1293" s="619"/>
      <c r="DH1293" s="619"/>
    </row>
    <row r="1294" s="548" customFormat="1" ht="31" customHeight="1" spans="1:112">
      <c r="A1294" s="608">
        <v>46092</v>
      </c>
      <c r="B1294" s="609" t="s">
        <v>2734</v>
      </c>
      <c r="C1294" s="610" t="s">
        <v>98</v>
      </c>
      <c r="D1294" s="554">
        <v>4500196190</v>
      </c>
      <c r="E1294" s="610">
        <v>60287663</v>
      </c>
      <c r="F1294" s="554" t="s">
        <v>3632</v>
      </c>
      <c r="G1294" s="610" t="s">
        <v>8520</v>
      </c>
      <c r="H1294" s="610" t="s">
        <v>8521</v>
      </c>
      <c r="I1294" s="715">
        <v>6000</v>
      </c>
      <c r="J1294" s="610">
        <v>0</v>
      </c>
      <c r="K1294" s="610">
        <v>8</v>
      </c>
      <c r="L1294" s="611">
        <f t="shared" si="482"/>
        <v>750</v>
      </c>
      <c r="M1294" s="612">
        <v>46139</v>
      </c>
      <c r="N1294" s="612">
        <v>46135</v>
      </c>
      <c r="O1294" s="613"/>
      <c r="P1294" s="610" t="s">
        <v>113</v>
      </c>
      <c r="Q1294" s="614"/>
      <c r="R1294" s="614">
        <v>46098</v>
      </c>
      <c r="S1294" s="614" t="s">
        <v>70</v>
      </c>
      <c r="T1294" s="614" t="s">
        <v>8522</v>
      </c>
      <c r="U1294" s="614"/>
      <c r="V1294" s="614"/>
      <c r="W1294" s="615"/>
      <c r="X1294" s="609" t="s">
        <v>3633</v>
      </c>
      <c r="Y1294" s="616" t="s">
        <v>1318</v>
      </c>
      <c r="Z1294" s="609">
        <v>4.0382</v>
      </c>
      <c r="AA1294" s="616">
        <f t="shared" si="487"/>
        <v>24229.2</v>
      </c>
      <c r="AC1294" s="629" t="s">
        <v>3634</v>
      </c>
      <c r="AD1294" s="610" t="s">
        <v>2741</v>
      </c>
      <c r="AE1294" s="610" t="s">
        <v>82</v>
      </c>
      <c r="AF1294" s="610"/>
      <c r="AG1294" s="610"/>
      <c r="AH1294" s="609">
        <v>1</v>
      </c>
      <c r="AI1294" s="610">
        <v>6000</v>
      </c>
      <c r="AJ1294" s="610">
        <f t="shared" si="483"/>
        <v>0</v>
      </c>
      <c r="AK1294" s="613"/>
      <c r="AL1294" s="610" t="s">
        <v>2368</v>
      </c>
      <c r="AM1294" s="610"/>
      <c r="AN1294" s="610">
        <f>I1294*2</f>
        <v>12000</v>
      </c>
      <c r="AO1294" s="554"/>
      <c r="AP1294" s="554">
        <f>I1294*2</f>
        <v>12000</v>
      </c>
      <c r="AQ1294" s="554"/>
      <c r="AR1294" s="554"/>
      <c r="AS1294" s="554"/>
      <c r="AT1294" s="554"/>
      <c r="AU1294" s="554">
        <f>I1294*2</f>
        <v>12000</v>
      </c>
      <c r="AV1294" s="554"/>
      <c r="AW1294" s="554"/>
      <c r="AX1294" s="554"/>
      <c r="AY1294" s="554"/>
      <c r="AZ1294" s="554"/>
      <c r="BA1294" s="714"/>
      <c r="BB1294" s="620">
        <f>I1294/24*2</f>
        <v>500</v>
      </c>
      <c r="BC1294" s="554"/>
      <c r="BD1294" s="554"/>
      <c r="BE1294" s="554"/>
      <c r="BF1294" s="554"/>
      <c r="BH1294" s="554"/>
      <c r="BI1294" s="554"/>
      <c r="BJ1294" s="554"/>
      <c r="BK1294" s="554"/>
      <c r="BL1294" s="554"/>
      <c r="BM1294" s="554"/>
      <c r="BN1294" s="554"/>
      <c r="BO1294" s="554"/>
      <c r="BP1294" s="554"/>
      <c r="BQ1294" s="554"/>
      <c r="BR1294" s="554"/>
      <c r="BS1294" s="554"/>
      <c r="BT1294" s="554"/>
      <c r="BU1294" s="554"/>
      <c r="BV1294" s="554"/>
      <c r="BW1294" s="554"/>
      <c r="BX1294" s="554"/>
      <c r="BY1294" s="554"/>
      <c r="BZ1294" s="554"/>
      <c r="CA1294" s="621">
        <f>I1294</f>
        <v>6000</v>
      </c>
      <c r="CB1294" s="567"/>
      <c r="CC1294" s="622"/>
      <c r="CD1294" s="619"/>
      <c r="CE1294" s="619"/>
      <c r="CF1294" s="554"/>
      <c r="CG1294" s="554"/>
      <c r="CI1294" s="554"/>
      <c r="CJ1294" s="554"/>
      <c r="CK1294" s="554"/>
      <c r="CL1294" s="554"/>
      <c r="CM1294" s="554"/>
      <c r="CN1294" s="554"/>
      <c r="CO1294" s="554"/>
      <c r="CP1294" s="619"/>
      <c r="CQ1294" s="619"/>
      <c r="CR1294" s="619"/>
      <c r="CS1294" s="619"/>
      <c r="CT1294" s="619"/>
      <c r="CU1294" s="554">
        <f t="shared" si="484"/>
        <v>0</v>
      </c>
      <c r="CV1294" s="554">
        <f>CK1294+CL1294+CM1294+CN1294+CO1294+CQ1294+CP1294</f>
        <v>0</v>
      </c>
      <c r="CW1294" s="554">
        <f>CI1294+CJ1294</f>
        <v>0</v>
      </c>
      <c r="CX1294" s="619"/>
      <c r="CY1294" s="619"/>
      <c r="CZ1294" s="619"/>
      <c r="DA1294" s="619"/>
      <c r="DB1294" s="619"/>
      <c r="DC1294" s="619"/>
      <c r="DD1294" s="619"/>
      <c r="DE1294" s="619"/>
      <c r="DF1294" s="619"/>
      <c r="DG1294" s="619"/>
      <c r="DH1294" s="619"/>
    </row>
    <row r="1295" s="548" customFormat="1" ht="31" customHeight="1" spans="1:112">
      <c r="A1295" s="608">
        <v>46092</v>
      </c>
      <c r="B1295" s="609" t="s">
        <v>1928</v>
      </c>
      <c r="C1295" s="610" t="s">
        <v>424</v>
      </c>
      <c r="D1295" s="554">
        <v>4500196301</v>
      </c>
      <c r="E1295" s="610">
        <v>160748</v>
      </c>
      <c r="F1295" s="554" t="s">
        <v>9162</v>
      </c>
      <c r="G1295" s="610" t="s">
        <v>6047</v>
      </c>
      <c r="H1295" s="610" t="s">
        <v>6069</v>
      </c>
      <c r="I1295" s="715">
        <v>1500</v>
      </c>
      <c r="J1295" s="610">
        <v>0</v>
      </c>
      <c r="K1295" s="610">
        <v>25</v>
      </c>
      <c r="L1295" s="611">
        <f t="shared" si="482"/>
        <v>60</v>
      </c>
      <c r="M1295" s="612">
        <v>46140</v>
      </c>
      <c r="N1295" s="612">
        <v>46136</v>
      </c>
      <c r="O1295" s="613"/>
      <c r="P1295" s="610" t="s">
        <v>113</v>
      </c>
      <c r="Q1295" s="614"/>
      <c r="R1295" s="614" t="s">
        <v>3644</v>
      </c>
      <c r="S1295" s="614" t="s">
        <v>70</v>
      </c>
      <c r="T1295" s="614" t="s">
        <v>9163</v>
      </c>
      <c r="U1295" s="614"/>
      <c r="V1295" s="614"/>
      <c r="W1295" s="615"/>
      <c r="X1295" s="609" t="s">
        <v>9164</v>
      </c>
      <c r="Y1295" s="616" t="s">
        <v>696</v>
      </c>
      <c r="Z1295" s="718">
        <v>0.958</v>
      </c>
      <c r="AA1295" s="616">
        <f t="shared" si="487"/>
        <v>1437</v>
      </c>
      <c r="AC1295" s="617"/>
      <c r="AD1295" s="610" t="s">
        <v>6047</v>
      </c>
      <c r="AE1295" s="610" t="s">
        <v>82</v>
      </c>
      <c r="AF1295" s="610"/>
      <c r="AG1295" s="610"/>
      <c r="AH1295" s="609">
        <v>1</v>
      </c>
      <c r="AI1295" s="610">
        <v>1500</v>
      </c>
      <c r="AJ1295" s="610">
        <f t="shared" si="483"/>
        <v>0</v>
      </c>
      <c r="AK1295" s="613"/>
      <c r="AL1295" s="610"/>
      <c r="AM1295" s="610"/>
      <c r="AN1295" s="554"/>
      <c r="AO1295" s="554">
        <f>I1295</f>
        <v>1500</v>
      </c>
      <c r="AP1295" s="554"/>
      <c r="AQ1295" s="554"/>
      <c r="AR1295" s="554"/>
      <c r="AS1295" s="554"/>
      <c r="AT1295" s="554">
        <f>I1295</f>
        <v>1500</v>
      </c>
      <c r="AU1295" s="554"/>
      <c r="AV1295" s="554">
        <f>I1295</f>
        <v>1500</v>
      </c>
      <c r="AW1295" s="554"/>
      <c r="AX1295" s="554"/>
      <c r="AY1295" s="554"/>
      <c r="AZ1295" s="554"/>
      <c r="BA1295" s="714"/>
      <c r="BB1295" s="620">
        <f>I1295/24</f>
        <v>62.5</v>
      </c>
      <c r="BC1295" s="554"/>
      <c r="BD1295" s="554"/>
      <c r="BE1295" s="554"/>
      <c r="BF1295" s="554"/>
      <c r="BH1295" s="554"/>
      <c r="BI1295" s="554"/>
      <c r="BJ1295" s="554"/>
      <c r="BK1295" s="554"/>
      <c r="BL1295" s="554"/>
      <c r="BM1295" s="554"/>
      <c r="BN1295" s="554"/>
      <c r="BO1295" s="554"/>
      <c r="BP1295" s="554">
        <f>I1295/25</f>
        <v>60</v>
      </c>
      <c r="BQ1295" s="554"/>
      <c r="BR1295" s="554"/>
      <c r="BS1295" s="554"/>
      <c r="BT1295" s="554"/>
      <c r="BU1295" s="554"/>
      <c r="BV1295" s="554"/>
      <c r="BW1295" s="554"/>
      <c r="BX1295" s="554"/>
      <c r="BY1295" s="554"/>
      <c r="BZ1295" s="554"/>
      <c r="CA1295" s="720"/>
      <c r="CB1295" s="567"/>
      <c r="CC1295" s="721"/>
      <c r="CD1295" s="554"/>
      <c r="CE1295" s="554"/>
      <c r="CF1295" s="554"/>
      <c r="CG1295" s="554"/>
      <c r="CI1295" s="554"/>
      <c r="CJ1295" s="554"/>
      <c r="CK1295" s="554"/>
      <c r="CL1295" s="554"/>
      <c r="CM1295" s="554"/>
      <c r="CN1295" s="554"/>
      <c r="CO1295" s="554"/>
      <c r="CP1295" s="619"/>
      <c r="CQ1295" s="619"/>
      <c r="CR1295" s="619"/>
      <c r="CS1295" s="619"/>
      <c r="CT1295" s="619"/>
      <c r="CU1295" s="554">
        <f t="shared" si="484"/>
        <v>60</v>
      </c>
      <c r="CV1295" s="554">
        <f t="shared" ref="CV1295:CV1300" si="488">CK1295+CL1295+CM1295+CN1295+CO1295+CQ1295+CP1295</f>
        <v>0</v>
      </c>
      <c r="CW1295" s="554">
        <f t="shared" ref="CW1295:CW1300" si="489">CI1295+CJ1295</f>
        <v>0</v>
      </c>
      <c r="CX1295" s="619"/>
      <c r="CY1295" s="619"/>
      <c r="CZ1295" s="619"/>
      <c r="DA1295" s="619"/>
      <c r="DB1295" s="619"/>
      <c r="DC1295" s="619"/>
      <c r="DD1295" s="619"/>
      <c r="DE1295" s="619"/>
      <c r="DF1295" s="619"/>
      <c r="DG1295" s="619"/>
      <c r="DH1295" s="619"/>
    </row>
    <row r="1296" s="548" customFormat="1" ht="31" customHeight="1" spans="1:112">
      <c r="A1296" s="608">
        <v>46093</v>
      </c>
      <c r="B1296" s="609" t="s">
        <v>1320</v>
      </c>
      <c r="C1296" s="610" t="s">
        <v>411</v>
      </c>
      <c r="D1296" s="554">
        <v>4500196388</v>
      </c>
      <c r="E1296" s="610"/>
      <c r="F1296" s="554" t="s">
        <v>9165</v>
      </c>
      <c r="G1296" s="610" t="s">
        <v>6043</v>
      </c>
      <c r="H1296" s="610" t="s">
        <v>6110</v>
      </c>
      <c r="I1296" s="715">
        <v>1000</v>
      </c>
      <c r="J1296" s="610">
        <v>0</v>
      </c>
      <c r="K1296" s="610">
        <v>50</v>
      </c>
      <c r="L1296" s="611">
        <f t="shared" si="482"/>
        <v>20</v>
      </c>
      <c r="M1296" s="612">
        <v>46140</v>
      </c>
      <c r="N1296" s="612">
        <v>46136</v>
      </c>
      <c r="O1296" s="610" t="s">
        <v>3648</v>
      </c>
      <c r="P1296" s="610" t="s">
        <v>113</v>
      </c>
      <c r="Q1296" s="613"/>
      <c r="R1296" s="614">
        <v>46104</v>
      </c>
      <c r="S1296" s="614" t="s">
        <v>70</v>
      </c>
      <c r="T1296" s="614">
        <v>46123</v>
      </c>
      <c r="U1296" s="614"/>
      <c r="V1296" s="613" t="s">
        <v>9166</v>
      </c>
      <c r="W1296" s="615"/>
      <c r="X1296" s="609" t="s">
        <v>9167</v>
      </c>
      <c r="Y1296" s="616" t="s">
        <v>415</v>
      </c>
      <c r="Z1296" s="609">
        <v>0.9575</v>
      </c>
      <c r="AA1296" s="616">
        <f t="shared" si="487"/>
        <v>957.5</v>
      </c>
      <c r="AC1296" s="617"/>
      <c r="AD1296" s="610" t="s">
        <v>6043</v>
      </c>
      <c r="AE1296" s="610" t="s">
        <v>82</v>
      </c>
      <c r="AF1296" s="610"/>
      <c r="AG1296" s="610"/>
      <c r="AH1296" s="609">
        <v>1</v>
      </c>
      <c r="AI1296" s="610">
        <v>1000</v>
      </c>
      <c r="AJ1296" s="610">
        <f t="shared" si="483"/>
        <v>0</v>
      </c>
      <c r="AK1296" s="613"/>
      <c r="AL1296" s="610" t="s">
        <v>2368</v>
      </c>
      <c r="AM1296" s="610"/>
      <c r="AN1296" s="554"/>
      <c r="AO1296" s="554">
        <f>I1296</f>
        <v>1000</v>
      </c>
      <c r="AP1296" s="554"/>
      <c r="AQ1296" s="554"/>
      <c r="AR1296" s="554"/>
      <c r="AS1296" s="554"/>
      <c r="AT1296" s="554">
        <f>I1296</f>
        <v>1000</v>
      </c>
      <c r="AU1296" s="554"/>
      <c r="AV1296" s="554">
        <f>I1296</f>
        <v>1000</v>
      </c>
      <c r="AW1296" s="554"/>
      <c r="AX1296" s="554"/>
      <c r="AY1296" s="554"/>
      <c r="AZ1296" s="554"/>
      <c r="BA1296" s="714"/>
      <c r="BB1296" s="620">
        <f>I1296/24</f>
        <v>41.6666666666667</v>
      </c>
      <c r="BC1296" s="554"/>
      <c r="BD1296" s="554"/>
      <c r="BE1296" s="554"/>
      <c r="BF1296" s="554"/>
      <c r="BH1296" s="554"/>
      <c r="BI1296" s="554"/>
      <c r="BJ1296" s="554"/>
      <c r="BK1296" s="554"/>
      <c r="BL1296" s="554"/>
      <c r="BM1296" s="554"/>
      <c r="BN1296" s="554"/>
      <c r="BO1296" s="554"/>
      <c r="BP1296" s="554">
        <f>I1296/25</f>
        <v>40</v>
      </c>
      <c r="BQ1296" s="554"/>
      <c r="BR1296" s="554"/>
      <c r="BS1296" s="554"/>
      <c r="BT1296" s="554"/>
      <c r="BU1296" s="554"/>
      <c r="BV1296" s="554"/>
      <c r="BW1296" s="554"/>
      <c r="BX1296" s="554"/>
      <c r="BY1296" s="554"/>
      <c r="BZ1296" s="554"/>
      <c r="CA1296" s="720"/>
      <c r="CB1296" s="567"/>
      <c r="CC1296" s="721"/>
      <c r="CD1296" s="554"/>
      <c r="CE1296" s="554"/>
      <c r="CF1296" s="554"/>
      <c r="CG1296" s="554"/>
      <c r="CI1296" s="554"/>
      <c r="CJ1296" s="554"/>
      <c r="CK1296" s="554"/>
      <c r="CL1296" s="554"/>
      <c r="CM1296" s="554"/>
      <c r="CN1296" s="554"/>
      <c r="CO1296" s="554"/>
      <c r="CP1296" s="619"/>
      <c r="CQ1296" s="619"/>
      <c r="CR1296" s="619"/>
      <c r="CS1296" s="619"/>
      <c r="CT1296" s="619"/>
      <c r="CU1296" s="554">
        <f t="shared" si="484"/>
        <v>40</v>
      </c>
      <c r="CV1296" s="554">
        <f t="shared" si="488"/>
        <v>0</v>
      </c>
      <c r="CW1296" s="554">
        <f t="shared" si="489"/>
        <v>0</v>
      </c>
      <c r="CX1296" s="619"/>
      <c r="CY1296" s="619"/>
      <c r="CZ1296" s="619"/>
      <c r="DA1296" s="619"/>
      <c r="DB1296" s="619"/>
      <c r="DC1296" s="619"/>
      <c r="DD1296" s="619"/>
      <c r="DE1296" s="619"/>
      <c r="DF1296" s="619"/>
      <c r="DG1296" s="619"/>
      <c r="DH1296" s="619"/>
    </row>
    <row r="1297" s="548" customFormat="1" ht="31" customHeight="1" spans="1:112">
      <c r="A1297" s="608">
        <v>46102</v>
      </c>
      <c r="B1297" s="609" t="s">
        <v>379</v>
      </c>
      <c r="C1297" s="610" t="s">
        <v>98</v>
      </c>
      <c r="D1297" s="554">
        <v>4500197982</v>
      </c>
      <c r="E1297" s="610">
        <v>36554</v>
      </c>
      <c r="F1297" s="554" t="s">
        <v>9168</v>
      </c>
      <c r="G1297" s="610" t="s">
        <v>6036</v>
      </c>
      <c r="H1297" s="610" t="s">
        <v>6033</v>
      </c>
      <c r="I1297" s="610">
        <v>5750</v>
      </c>
      <c r="J1297" s="610">
        <v>0</v>
      </c>
      <c r="K1297" s="610">
        <v>50</v>
      </c>
      <c r="L1297" s="611">
        <f t="shared" si="482"/>
        <v>115</v>
      </c>
      <c r="M1297" s="612">
        <v>46141</v>
      </c>
      <c r="N1297" s="612">
        <v>46137</v>
      </c>
      <c r="O1297" s="613"/>
      <c r="P1297" s="613" t="s">
        <v>113</v>
      </c>
      <c r="Q1297" s="610"/>
      <c r="R1297" s="614">
        <v>46111</v>
      </c>
      <c r="S1297" s="614" t="s">
        <v>70</v>
      </c>
      <c r="T1297" s="614" t="s">
        <v>70</v>
      </c>
      <c r="U1297" s="614"/>
      <c r="V1297" s="614"/>
      <c r="W1297" s="615"/>
      <c r="X1297" s="609" t="s">
        <v>5588</v>
      </c>
      <c r="Y1297" s="609" t="s">
        <v>1781</v>
      </c>
      <c r="Z1297" s="722">
        <v>0.5878</v>
      </c>
      <c r="AA1297" s="616">
        <f t="shared" si="487"/>
        <v>3379.85</v>
      </c>
      <c r="AC1297" s="629" t="s">
        <v>9169</v>
      </c>
      <c r="AD1297" s="610" t="s">
        <v>6036</v>
      </c>
      <c r="AE1297" s="610" t="s">
        <v>82</v>
      </c>
      <c r="AF1297" s="610"/>
      <c r="AG1297" s="610"/>
      <c r="AH1297" s="609">
        <v>1</v>
      </c>
      <c r="AI1297" s="610">
        <v>5750</v>
      </c>
      <c r="AJ1297" s="610">
        <f t="shared" si="483"/>
        <v>0</v>
      </c>
      <c r="AK1297" s="610"/>
      <c r="AL1297" s="610"/>
      <c r="AM1297" s="610"/>
      <c r="AN1297" s="610">
        <f>I1297</f>
        <v>5750</v>
      </c>
      <c r="AO1297" s="554"/>
      <c r="AP1297" s="554">
        <f>I1297</f>
        <v>5750</v>
      </c>
      <c r="AQ1297" s="554"/>
      <c r="AR1297" s="619"/>
      <c r="AS1297" s="554"/>
      <c r="AT1297" s="554"/>
      <c r="AU1297" s="554">
        <f>I1297</f>
        <v>5750</v>
      </c>
      <c r="AV1297" s="554"/>
      <c r="AW1297" s="619"/>
      <c r="AX1297" s="554"/>
      <c r="AY1297" s="554"/>
      <c r="AZ1297" s="554"/>
      <c r="BA1297" s="554"/>
      <c r="BB1297" s="620">
        <f>I1297/24</f>
        <v>239.583333333333</v>
      </c>
      <c r="BC1297" s="554"/>
      <c r="BD1297" s="554"/>
      <c r="BE1297" s="554"/>
      <c r="BF1297" s="554"/>
      <c r="BH1297" s="554"/>
      <c r="BI1297" s="554"/>
      <c r="BJ1297" s="554"/>
      <c r="BK1297" s="554"/>
      <c r="BL1297" s="554"/>
      <c r="BM1297" s="554"/>
      <c r="BN1297" s="554">
        <f>I1297/25</f>
        <v>230</v>
      </c>
      <c r="BO1297" s="554"/>
      <c r="BP1297" s="554"/>
      <c r="BQ1297" s="554"/>
      <c r="BR1297" s="554"/>
      <c r="BS1297" s="554"/>
      <c r="BT1297" s="554"/>
      <c r="BU1297" s="554"/>
      <c r="BV1297" s="554"/>
      <c r="BW1297" s="554"/>
      <c r="BX1297" s="554"/>
      <c r="BY1297" s="554"/>
      <c r="BZ1297" s="554"/>
      <c r="CA1297" s="720"/>
      <c r="CB1297" s="567"/>
      <c r="CC1297" s="721"/>
      <c r="CD1297" s="554"/>
      <c r="CE1297" s="554"/>
      <c r="CF1297" s="554"/>
      <c r="CG1297" s="554"/>
      <c r="CI1297" s="554"/>
      <c r="CJ1297" s="554"/>
      <c r="CK1297" s="554"/>
      <c r="CL1297" s="554"/>
      <c r="CM1297" s="554"/>
      <c r="CN1297" s="554"/>
      <c r="CO1297" s="554"/>
      <c r="CP1297" s="619"/>
      <c r="CQ1297" s="619"/>
      <c r="CR1297" s="619"/>
      <c r="CS1297" s="619"/>
      <c r="CT1297" s="619"/>
      <c r="CU1297" s="554">
        <f t="shared" si="484"/>
        <v>230</v>
      </c>
      <c r="CV1297" s="554">
        <f t="shared" si="488"/>
        <v>0</v>
      </c>
      <c r="CW1297" s="554">
        <f t="shared" si="489"/>
        <v>0</v>
      </c>
      <c r="CX1297" s="619"/>
      <c r="CY1297" s="619"/>
      <c r="CZ1297" s="619"/>
      <c r="DA1297" s="619"/>
      <c r="DB1297" s="619"/>
      <c r="DC1297" s="619"/>
      <c r="DD1297" s="619"/>
      <c r="DE1297" s="619"/>
      <c r="DF1297" s="619"/>
      <c r="DG1297" s="619"/>
      <c r="DH1297" s="619"/>
    </row>
    <row r="1298" s="548" customFormat="1" ht="31" customHeight="1" spans="1:112">
      <c r="A1298" s="608">
        <v>46101</v>
      </c>
      <c r="B1298" s="609" t="s">
        <v>3729</v>
      </c>
      <c r="C1298" s="610" t="s">
        <v>399</v>
      </c>
      <c r="D1298" s="554">
        <v>4500197216</v>
      </c>
      <c r="E1298" s="610" t="s">
        <v>9170</v>
      </c>
      <c r="F1298" s="554" t="s">
        <v>9171</v>
      </c>
      <c r="G1298" s="610" t="s">
        <v>6365</v>
      </c>
      <c r="H1298" s="610" t="s">
        <v>6126</v>
      </c>
      <c r="I1298" s="610">
        <v>600</v>
      </c>
      <c r="J1298" s="610">
        <v>0</v>
      </c>
      <c r="K1298" s="610">
        <v>12</v>
      </c>
      <c r="L1298" s="611">
        <f t="shared" si="482"/>
        <v>50</v>
      </c>
      <c r="M1298" s="612">
        <v>46141</v>
      </c>
      <c r="N1298" s="612">
        <v>46137</v>
      </c>
      <c r="O1298" s="613"/>
      <c r="P1298" s="613" t="s">
        <v>113</v>
      </c>
      <c r="Q1298" s="610"/>
      <c r="R1298" s="614" t="s">
        <v>463</v>
      </c>
      <c r="S1298" s="614" t="s">
        <v>104</v>
      </c>
      <c r="T1298" s="614" t="s">
        <v>9172</v>
      </c>
      <c r="U1298" s="614"/>
      <c r="V1298" s="614"/>
      <c r="W1298" s="615"/>
      <c r="X1298" s="609" t="s">
        <v>9173</v>
      </c>
      <c r="Y1298" s="609" t="s">
        <v>3734</v>
      </c>
      <c r="Z1298" s="722">
        <v>2.1629</v>
      </c>
      <c r="AA1298" s="616">
        <f t="shared" si="487"/>
        <v>1297.74</v>
      </c>
      <c r="AC1298" s="617"/>
      <c r="AD1298" s="610" t="s">
        <v>6368</v>
      </c>
      <c r="AE1298" s="610" t="s">
        <v>82</v>
      </c>
      <c r="AF1298" s="610"/>
      <c r="AG1298" s="610"/>
      <c r="AH1298" s="609">
        <v>1</v>
      </c>
      <c r="AI1298" s="610">
        <v>600</v>
      </c>
      <c r="AJ1298" s="610">
        <f t="shared" si="483"/>
        <v>0</v>
      </c>
      <c r="AK1298" s="610"/>
      <c r="AL1298" s="610" t="s">
        <v>2368</v>
      </c>
      <c r="AM1298" s="610"/>
      <c r="AN1298" s="610"/>
      <c r="AO1298" s="554">
        <f>I1298*2</f>
        <v>1200</v>
      </c>
      <c r="AP1298" s="554"/>
      <c r="AQ1298" s="554"/>
      <c r="AR1298" s="619"/>
      <c r="AS1298" s="554"/>
      <c r="AT1298" s="554">
        <f>I1298*2</f>
        <v>1200</v>
      </c>
      <c r="AU1298" s="554"/>
      <c r="AV1298" s="554">
        <f>I1298*2</f>
        <v>1200</v>
      </c>
      <c r="AW1298" s="619"/>
      <c r="AX1298" s="554"/>
      <c r="AY1298" s="554"/>
      <c r="AZ1298" s="554"/>
      <c r="BA1298" s="554"/>
      <c r="BB1298" s="249">
        <f>I1298/24*2</f>
        <v>50</v>
      </c>
      <c r="BC1298" s="554"/>
      <c r="BD1298" s="554"/>
      <c r="BE1298" s="554"/>
      <c r="BF1298" s="554"/>
      <c r="BH1298" s="554"/>
      <c r="BI1298" s="554"/>
      <c r="BJ1298" s="554"/>
      <c r="BK1298" s="554"/>
      <c r="BL1298" s="554"/>
      <c r="BM1298" s="554"/>
      <c r="BN1298" s="554"/>
      <c r="BO1298" s="554"/>
      <c r="BP1298" s="554"/>
      <c r="BQ1298" s="554"/>
      <c r="BR1298" s="554"/>
      <c r="BS1298" s="554"/>
      <c r="BT1298" s="554"/>
      <c r="BU1298" s="554"/>
      <c r="BV1298" s="554"/>
      <c r="BW1298" s="554"/>
      <c r="BX1298" s="554"/>
      <c r="BY1298" s="554"/>
      <c r="BZ1298" s="554"/>
      <c r="CA1298" s="720"/>
      <c r="CB1298" s="567"/>
      <c r="CC1298" s="721"/>
      <c r="CD1298" s="554"/>
      <c r="CE1298" s="554"/>
      <c r="CF1298" s="554"/>
      <c r="CG1298" s="554"/>
      <c r="CI1298" s="554"/>
      <c r="CJ1298" s="554"/>
      <c r="CK1298" s="554"/>
      <c r="CL1298" s="554"/>
      <c r="CM1298" s="554"/>
      <c r="CN1298" s="554"/>
      <c r="CO1298" s="554"/>
      <c r="CP1298" s="619"/>
      <c r="CQ1298" s="619"/>
      <c r="CR1298" s="554">
        <f>I1298</f>
        <v>600</v>
      </c>
      <c r="CS1298" s="554">
        <f>I1298</f>
        <v>600</v>
      </c>
      <c r="CT1298" s="554">
        <f>I1298</f>
        <v>600</v>
      </c>
      <c r="CU1298" s="554">
        <f t="shared" si="484"/>
        <v>0</v>
      </c>
      <c r="CV1298" s="554">
        <f t="shared" si="488"/>
        <v>0</v>
      </c>
      <c r="CW1298" s="554">
        <f t="shared" si="489"/>
        <v>0</v>
      </c>
      <c r="CX1298" s="619"/>
      <c r="CY1298" s="619"/>
      <c r="CZ1298" s="619"/>
      <c r="DA1298" s="619"/>
      <c r="DB1298" s="619"/>
      <c r="DC1298" s="619"/>
      <c r="DD1298" s="619"/>
      <c r="DE1298" s="619"/>
      <c r="DF1298" s="619"/>
      <c r="DG1298" s="619"/>
      <c r="DH1298" s="619"/>
    </row>
    <row r="1299" s="548" customFormat="1" ht="31" customHeight="1" spans="1:112">
      <c r="A1299" s="608">
        <v>46099</v>
      </c>
      <c r="B1299" s="609" t="s">
        <v>3652</v>
      </c>
      <c r="C1299" s="610" t="s">
        <v>399</v>
      </c>
      <c r="D1299" s="554">
        <v>4500197331</v>
      </c>
      <c r="E1299" s="610">
        <v>5200009323</v>
      </c>
      <c r="F1299" s="554" t="s">
        <v>9174</v>
      </c>
      <c r="G1299" s="610" t="s">
        <v>6120</v>
      </c>
      <c r="H1299" s="610" t="s">
        <v>6033</v>
      </c>
      <c r="I1299" s="610">
        <v>2600</v>
      </c>
      <c r="J1299" s="610">
        <v>0</v>
      </c>
      <c r="K1299" s="610">
        <v>13</v>
      </c>
      <c r="L1299" s="611">
        <f t="shared" si="482"/>
        <v>200</v>
      </c>
      <c r="M1299" s="612">
        <v>46141</v>
      </c>
      <c r="N1299" s="612">
        <v>46137</v>
      </c>
      <c r="O1299" s="613"/>
      <c r="P1299" s="613" t="s">
        <v>113</v>
      </c>
      <c r="Q1299" s="610"/>
      <c r="R1299" s="614" t="s">
        <v>3530</v>
      </c>
      <c r="S1299" s="614" t="s">
        <v>70</v>
      </c>
      <c r="T1299" s="614" t="s">
        <v>6469</v>
      </c>
      <c r="U1299" s="614"/>
      <c r="V1299" s="614" t="s">
        <v>9175</v>
      </c>
      <c r="W1299" s="615"/>
      <c r="X1299" s="609" t="s">
        <v>9176</v>
      </c>
      <c r="Y1299" s="609" t="s">
        <v>305</v>
      </c>
      <c r="Z1299" s="722">
        <v>0.8947</v>
      </c>
      <c r="AA1299" s="616">
        <f t="shared" si="487"/>
        <v>2326.22</v>
      </c>
      <c r="AC1299" s="617"/>
      <c r="AD1299" s="610" t="s">
        <v>6093</v>
      </c>
      <c r="AE1299" s="610" t="s">
        <v>82</v>
      </c>
      <c r="AF1299" s="610"/>
      <c r="AG1299" s="610"/>
      <c r="AH1299" s="609">
        <v>1</v>
      </c>
      <c r="AI1299" s="725">
        <v>2600</v>
      </c>
      <c r="AJ1299" s="610">
        <f t="shared" si="483"/>
        <v>0</v>
      </c>
      <c r="AK1299" s="610"/>
      <c r="AL1299" s="610" t="s">
        <v>2368</v>
      </c>
      <c r="AM1299" s="610"/>
      <c r="AN1299" s="614"/>
      <c r="AO1299" s="554">
        <f>I1299</f>
        <v>2600</v>
      </c>
      <c r="AP1299" s="554"/>
      <c r="AQ1299" s="554"/>
      <c r="AR1299" s="619"/>
      <c r="AS1299" s="554"/>
      <c r="AT1299" s="554">
        <f>I1299</f>
        <v>2600</v>
      </c>
      <c r="AU1299" s="554"/>
      <c r="AV1299" s="554">
        <f>I1299</f>
        <v>2600</v>
      </c>
      <c r="AW1299" s="619"/>
      <c r="AX1299" s="554"/>
      <c r="AY1299" s="554"/>
      <c r="AZ1299" s="554"/>
      <c r="BA1299" s="554"/>
      <c r="BB1299" s="620">
        <f>I1299/24</f>
        <v>108.333333333333</v>
      </c>
      <c r="BC1299" s="714"/>
      <c r="BD1299" s="554"/>
      <c r="BE1299" s="554"/>
      <c r="BF1299" s="554"/>
      <c r="BH1299" s="554"/>
      <c r="BI1299" s="554"/>
      <c r="BJ1299" s="554"/>
      <c r="BK1299" s="554"/>
      <c r="BL1299" s="554"/>
      <c r="BM1299" s="554">
        <f>I1299/13</f>
        <v>200</v>
      </c>
      <c r="BN1299" s="554"/>
      <c r="BO1299" s="554"/>
      <c r="BP1299" s="554"/>
      <c r="BQ1299" s="554"/>
      <c r="BR1299" s="554"/>
      <c r="BS1299" s="554"/>
      <c r="BT1299" s="554"/>
      <c r="BU1299" s="554"/>
      <c r="BV1299" s="554"/>
      <c r="BW1299" s="554"/>
      <c r="BX1299" s="554"/>
      <c r="BY1299" s="554"/>
      <c r="BZ1299" s="554"/>
      <c r="CA1299" s="720"/>
      <c r="CB1299" s="567"/>
      <c r="CC1299" s="721"/>
      <c r="CD1299" s="554"/>
      <c r="CE1299" s="554"/>
      <c r="CF1299" s="554"/>
      <c r="CG1299" s="554"/>
      <c r="CI1299" s="554"/>
      <c r="CJ1299" s="554"/>
      <c r="CK1299" s="554"/>
      <c r="CL1299" s="554"/>
      <c r="CM1299" s="554"/>
      <c r="CN1299" s="554"/>
      <c r="CO1299" s="554"/>
      <c r="CP1299" s="619"/>
      <c r="CQ1299" s="619"/>
      <c r="CR1299" s="619"/>
      <c r="CS1299" s="619"/>
      <c r="CT1299" s="619"/>
      <c r="CU1299" s="554">
        <f t="shared" si="484"/>
        <v>0</v>
      </c>
      <c r="CV1299" s="554">
        <f t="shared" si="488"/>
        <v>0</v>
      </c>
      <c r="CW1299" s="554">
        <f t="shared" si="489"/>
        <v>0</v>
      </c>
      <c r="CX1299" s="619"/>
      <c r="CY1299" s="619"/>
      <c r="CZ1299" s="619"/>
      <c r="DA1299" s="619"/>
      <c r="DB1299" s="619"/>
      <c r="DC1299" s="619"/>
      <c r="DD1299" s="619"/>
      <c r="DE1299" s="619"/>
      <c r="DF1299" s="619"/>
      <c r="DG1299" s="619"/>
      <c r="DH1299" s="619"/>
    </row>
    <row r="1300" s="548" customFormat="1" ht="31" customHeight="1" spans="1:112">
      <c r="A1300" s="608">
        <v>45978</v>
      </c>
      <c r="B1300" s="609" t="s">
        <v>1492</v>
      </c>
      <c r="C1300" s="713" t="s">
        <v>98</v>
      </c>
      <c r="D1300" s="554">
        <v>4500185971</v>
      </c>
      <c r="E1300" s="613">
        <v>13761218305</v>
      </c>
      <c r="F1300" s="554" t="s">
        <v>3657</v>
      </c>
      <c r="G1300" s="610" t="s">
        <v>8457</v>
      </c>
      <c r="H1300" s="610" t="s">
        <v>830</v>
      </c>
      <c r="I1300" s="610">
        <v>5400</v>
      </c>
      <c r="J1300" s="610">
        <v>0</v>
      </c>
      <c r="K1300" s="610">
        <v>75</v>
      </c>
      <c r="L1300" s="611">
        <f t="shared" si="482"/>
        <v>72</v>
      </c>
      <c r="M1300" s="612">
        <v>46141</v>
      </c>
      <c r="N1300" s="612">
        <v>46137</v>
      </c>
      <c r="O1300" s="613"/>
      <c r="P1300" s="613" t="s">
        <v>113</v>
      </c>
      <c r="Q1300" s="610"/>
      <c r="R1300" s="614" t="s">
        <v>2667</v>
      </c>
      <c r="S1300" s="614" t="s">
        <v>70</v>
      </c>
      <c r="T1300" s="614" t="s">
        <v>70</v>
      </c>
      <c r="U1300" s="614"/>
      <c r="V1300" s="614"/>
      <c r="W1300" s="615"/>
      <c r="X1300" s="609" t="s">
        <v>2826</v>
      </c>
      <c r="Y1300" s="716" t="s">
        <v>911</v>
      </c>
      <c r="Z1300" s="609">
        <v>359.3436</v>
      </c>
      <c r="AA1300" s="616">
        <f>Z1300*L1300</f>
        <v>25872.7392</v>
      </c>
      <c r="AC1300" s="629" t="s">
        <v>3658</v>
      </c>
      <c r="AD1300" s="609" t="s">
        <v>1498</v>
      </c>
      <c r="AE1300" s="610" t="s">
        <v>82</v>
      </c>
      <c r="AF1300" s="610"/>
      <c r="AG1300" s="609"/>
      <c r="AH1300" s="609">
        <v>1</v>
      </c>
      <c r="AI1300" s="610"/>
      <c r="AJ1300" s="610">
        <f t="shared" si="483"/>
        <v>-5400</v>
      </c>
      <c r="AK1300" s="610"/>
      <c r="AL1300" s="610"/>
      <c r="AM1300" s="610"/>
      <c r="AN1300" s="610">
        <f>I1300*3</f>
        <v>16200</v>
      </c>
      <c r="AO1300" s="554"/>
      <c r="AP1300" s="548"/>
      <c r="AQ1300" s="548"/>
      <c r="AR1300" s="619"/>
      <c r="AS1300" s="548"/>
      <c r="AT1300" s="548"/>
      <c r="AU1300" s="554"/>
      <c r="AV1300" s="554"/>
      <c r="AW1300" s="619"/>
      <c r="AX1300" s="548"/>
      <c r="AY1300" s="548"/>
      <c r="AZ1300" s="548"/>
      <c r="BA1300" s="548"/>
      <c r="BB1300" s="620">
        <f>I1300/24*3</f>
        <v>675</v>
      </c>
      <c r="BC1300" s="714"/>
      <c r="BD1300" s="548"/>
      <c r="BE1300" s="548"/>
      <c r="BF1300" s="554">
        <f>AN1300</f>
        <v>16200</v>
      </c>
      <c r="BH1300" s="554">
        <f>AN1300</f>
        <v>16200</v>
      </c>
      <c r="BI1300" s="554">
        <f>I1300</f>
        <v>5400</v>
      </c>
      <c r="BJ1300" s="554">
        <f>I1300/5</f>
        <v>1080</v>
      </c>
      <c r="BY1300" s="619"/>
      <c r="BZ1300" s="548"/>
      <c r="CA1300" s="621"/>
      <c r="CB1300" s="567"/>
      <c r="CC1300" s="622"/>
      <c r="CD1300" s="619"/>
      <c r="CE1300" s="619"/>
      <c r="CF1300" s="548"/>
      <c r="CG1300" s="548"/>
      <c r="CU1300" s="554">
        <f t="shared" si="484"/>
        <v>0</v>
      </c>
      <c r="CV1300" s="554">
        <f t="shared" si="488"/>
        <v>0</v>
      </c>
      <c r="CW1300" s="554">
        <f t="shared" si="489"/>
        <v>0</v>
      </c>
      <c r="CX1300" s="619"/>
      <c r="CY1300" s="619"/>
      <c r="CZ1300" s="619"/>
      <c r="DA1300" s="548"/>
      <c r="DB1300" s="548"/>
      <c r="DC1300" s="548"/>
      <c r="DD1300" s="619"/>
      <c r="DE1300" s="619"/>
      <c r="DF1300" s="619"/>
      <c r="DG1300" s="619"/>
      <c r="DH1300" s="619"/>
    </row>
    <row r="1301" s="548" customFormat="1" ht="31" customHeight="1" spans="1:112">
      <c r="A1301" s="608">
        <v>46087</v>
      </c>
      <c r="B1301" s="609" t="s">
        <v>3340</v>
      </c>
      <c r="C1301" s="713" t="s">
        <v>98</v>
      </c>
      <c r="D1301" s="554">
        <v>4500195560</v>
      </c>
      <c r="E1301" s="610">
        <v>332429</v>
      </c>
      <c r="F1301" s="554" t="s">
        <v>9177</v>
      </c>
      <c r="G1301" s="610" t="s">
        <v>6787</v>
      </c>
      <c r="H1301" s="610" t="s">
        <v>6126</v>
      </c>
      <c r="I1301" s="715">
        <v>2400</v>
      </c>
      <c r="J1301" s="610">
        <v>0</v>
      </c>
      <c r="K1301" s="610">
        <v>12</v>
      </c>
      <c r="L1301" s="611">
        <f t="shared" si="482"/>
        <v>200</v>
      </c>
      <c r="M1301" s="612">
        <v>46141</v>
      </c>
      <c r="N1301" s="612">
        <v>46137</v>
      </c>
      <c r="O1301" s="613"/>
      <c r="P1301" s="613" t="s">
        <v>113</v>
      </c>
      <c r="Q1301" s="610"/>
      <c r="R1301" s="614">
        <v>46090</v>
      </c>
      <c r="S1301" s="614" t="s">
        <v>70</v>
      </c>
      <c r="T1301" s="614" t="s">
        <v>8730</v>
      </c>
      <c r="U1301" s="614"/>
      <c r="V1301" s="614"/>
      <c r="W1301" s="615"/>
      <c r="X1301" s="609" t="s">
        <v>9178</v>
      </c>
      <c r="Y1301" s="716" t="s">
        <v>2554</v>
      </c>
      <c r="Z1301" s="609">
        <v>1.3318</v>
      </c>
      <c r="AA1301" s="616">
        <f t="shared" ref="AA1301:AA1306" si="490">Z1301*I1301</f>
        <v>3196.32</v>
      </c>
      <c r="AC1301" s="629" t="s">
        <v>9179</v>
      </c>
      <c r="AD1301" s="609" t="s">
        <v>8079</v>
      </c>
      <c r="AE1301" s="610" t="s">
        <v>82</v>
      </c>
      <c r="AF1301" s="610"/>
      <c r="AG1301" s="609"/>
      <c r="AH1301" s="609">
        <v>1</v>
      </c>
      <c r="AI1301" s="610">
        <v>2400</v>
      </c>
      <c r="AJ1301" s="610">
        <f t="shared" si="483"/>
        <v>0</v>
      </c>
      <c r="AK1301" s="610"/>
      <c r="AL1301" s="610" t="s">
        <v>2368</v>
      </c>
      <c r="AM1301" s="610"/>
      <c r="AN1301" s="610">
        <f>I1301*2</f>
        <v>4800</v>
      </c>
      <c r="AO1301" s="554"/>
      <c r="AP1301" s="554"/>
      <c r="AQ1301" s="554">
        <f>I1301*2</f>
        <v>4800</v>
      </c>
      <c r="AR1301" s="619"/>
      <c r="AS1301" s="554"/>
      <c r="AT1301" s="554"/>
      <c r="AU1301" s="554">
        <f>I1301*2</f>
        <v>4800</v>
      </c>
      <c r="AV1301" s="554"/>
      <c r="AW1301" s="619"/>
      <c r="AX1301" s="554"/>
      <c r="AY1301" s="554"/>
      <c r="AZ1301" s="554"/>
      <c r="BA1301" s="554"/>
      <c r="BB1301" s="249">
        <f>I1301/24*2</f>
        <v>200</v>
      </c>
      <c r="BC1301" s="714"/>
      <c r="BD1301" s="554"/>
      <c r="BE1301" s="554"/>
      <c r="BF1301" s="554"/>
      <c r="BH1301" s="554"/>
      <c r="BI1301" s="554"/>
      <c r="BJ1301" s="554"/>
      <c r="BK1301" s="554"/>
      <c r="BL1301" s="554"/>
      <c r="BM1301" s="554"/>
      <c r="BN1301" s="554"/>
      <c r="BO1301" s="554"/>
      <c r="BP1301" s="554"/>
      <c r="BQ1301" s="554"/>
      <c r="BR1301" s="554"/>
      <c r="BS1301" s="554"/>
      <c r="BT1301" s="554"/>
      <c r="BU1301" s="554"/>
      <c r="BV1301" s="554"/>
      <c r="BW1301" s="554"/>
      <c r="BX1301" s="554"/>
      <c r="BY1301" s="619"/>
      <c r="BZ1301" s="554"/>
      <c r="CA1301" s="621"/>
      <c r="CB1301" s="567"/>
      <c r="CC1301" s="622"/>
      <c r="CD1301" s="619"/>
      <c r="CE1301" s="619"/>
      <c r="CF1301" s="554"/>
      <c r="CG1301" s="554"/>
      <c r="CI1301" s="554"/>
      <c r="CJ1301" s="554"/>
      <c r="CK1301" s="554"/>
      <c r="CL1301" s="554"/>
      <c r="CM1301" s="554"/>
      <c r="CN1301" s="554"/>
      <c r="CO1301" s="554"/>
      <c r="CP1301" s="554"/>
      <c r="CQ1301" s="554"/>
      <c r="CR1301" s="554">
        <f>I1301</f>
        <v>2400</v>
      </c>
      <c r="CS1301" s="554">
        <f>I1301</f>
        <v>2400</v>
      </c>
      <c r="CT1301" s="554">
        <f>I1301</f>
        <v>2400</v>
      </c>
      <c r="CU1301" s="554">
        <f t="shared" si="484"/>
        <v>0</v>
      </c>
      <c r="CV1301" s="554">
        <v>0</v>
      </c>
      <c r="CW1301" s="554">
        <v>0</v>
      </c>
      <c r="CX1301" s="619"/>
      <c r="CY1301" s="619"/>
      <c r="CZ1301" s="619"/>
      <c r="DA1301" s="548"/>
      <c r="DB1301" s="548"/>
      <c r="DC1301" s="548"/>
      <c r="DD1301" s="619"/>
      <c r="DE1301" s="619"/>
      <c r="DF1301" s="619"/>
      <c r="DG1301" s="619"/>
      <c r="DH1301" s="619"/>
    </row>
    <row r="1302" s="548" customFormat="1" ht="31" customHeight="1" spans="1:112">
      <c r="A1302" s="608">
        <v>46087</v>
      </c>
      <c r="B1302" s="609" t="s">
        <v>3340</v>
      </c>
      <c r="C1302" s="713" t="s">
        <v>98</v>
      </c>
      <c r="D1302" s="554">
        <v>4500195559</v>
      </c>
      <c r="E1302" s="610">
        <v>332427</v>
      </c>
      <c r="F1302" s="554" t="s">
        <v>9180</v>
      </c>
      <c r="G1302" s="610" t="s">
        <v>6787</v>
      </c>
      <c r="H1302" s="610" t="s">
        <v>6126</v>
      </c>
      <c r="I1302" s="715">
        <v>2196</v>
      </c>
      <c r="J1302" s="610">
        <v>0</v>
      </c>
      <c r="K1302" s="610">
        <v>12</v>
      </c>
      <c r="L1302" s="611">
        <f t="shared" si="482"/>
        <v>183</v>
      </c>
      <c r="M1302" s="612">
        <v>46141</v>
      </c>
      <c r="N1302" s="612">
        <v>46137</v>
      </c>
      <c r="O1302" s="613"/>
      <c r="P1302" s="613" t="s">
        <v>113</v>
      </c>
      <c r="Q1302" s="610"/>
      <c r="R1302" s="614">
        <v>46090</v>
      </c>
      <c r="S1302" s="614" t="s">
        <v>70</v>
      </c>
      <c r="T1302" s="614" t="s">
        <v>8730</v>
      </c>
      <c r="U1302" s="614"/>
      <c r="V1302" s="614"/>
      <c r="W1302" s="615"/>
      <c r="X1302" s="609" t="s">
        <v>9181</v>
      </c>
      <c r="Y1302" s="716" t="s">
        <v>2554</v>
      </c>
      <c r="Z1302" s="609">
        <v>1.3318</v>
      </c>
      <c r="AA1302" s="616">
        <f t="shared" si="490"/>
        <v>2924.6328</v>
      </c>
      <c r="AC1302" s="629" t="s">
        <v>9182</v>
      </c>
      <c r="AD1302" s="609" t="s">
        <v>8079</v>
      </c>
      <c r="AE1302" s="610" t="s">
        <v>82</v>
      </c>
      <c r="AF1302" s="610"/>
      <c r="AG1302" s="609"/>
      <c r="AH1302" s="609">
        <v>1</v>
      </c>
      <c r="AI1302" s="610">
        <f>2184+12</f>
        <v>2196</v>
      </c>
      <c r="AJ1302" s="610">
        <f t="shared" si="483"/>
        <v>0</v>
      </c>
      <c r="AK1302" s="610"/>
      <c r="AL1302" s="610" t="s">
        <v>2368</v>
      </c>
      <c r="AM1302" s="610"/>
      <c r="AN1302" s="610">
        <f>I1302*2</f>
        <v>4392</v>
      </c>
      <c r="AO1302" s="554"/>
      <c r="AP1302" s="554"/>
      <c r="AQ1302" s="554">
        <f>I1302*2</f>
        <v>4392</v>
      </c>
      <c r="AR1302" s="619"/>
      <c r="AS1302" s="554"/>
      <c r="AT1302" s="554"/>
      <c r="AU1302" s="554">
        <f>I1302*2</f>
        <v>4392</v>
      </c>
      <c r="AV1302" s="554"/>
      <c r="AW1302" s="619"/>
      <c r="AX1302" s="554"/>
      <c r="AY1302" s="554"/>
      <c r="AZ1302" s="554"/>
      <c r="BA1302" s="554"/>
      <c r="BB1302" s="249">
        <f>I1302/24*2</f>
        <v>183</v>
      </c>
      <c r="BC1302" s="714"/>
      <c r="BD1302" s="554"/>
      <c r="BE1302" s="554"/>
      <c r="BF1302" s="554"/>
      <c r="BH1302" s="554"/>
      <c r="BI1302" s="554"/>
      <c r="BJ1302" s="554"/>
      <c r="BK1302" s="554"/>
      <c r="BL1302" s="554"/>
      <c r="BM1302" s="554"/>
      <c r="BN1302" s="554"/>
      <c r="BO1302" s="554"/>
      <c r="BP1302" s="554"/>
      <c r="BQ1302" s="554"/>
      <c r="BR1302" s="554"/>
      <c r="BS1302" s="554"/>
      <c r="BT1302" s="554"/>
      <c r="BU1302" s="554"/>
      <c r="BV1302" s="554"/>
      <c r="BW1302" s="554"/>
      <c r="BX1302" s="554"/>
      <c r="BY1302" s="619"/>
      <c r="BZ1302" s="554"/>
      <c r="CA1302" s="621"/>
      <c r="CB1302" s="567"/>
      <c r="CC1302" s="622"/>
      <c r="CD1302" s="619"/>
      <c r="CE1302" s="619"/>
      <c r="CF1302" s="554"/>
      <c r="CG1302" s="554"/>
      <c r="CI1302" s="554"/>
      <c r="CJ1302" s="554"/>
      <c r="CK1302" s="554"/>
      <c r="CL1302" s="554"/>
      <c r="CM1302" s="554"/>
      <c r="CN1302" s="554"/>
      <c r="CO1302" s="554"/>
      <c r="CP1302" s="554"/>
      <c r="CQ1302" s="554"/>
      <c r="CR1302" s="554">
        <f>I1302</f>
        <v>2196</v>
      </c>
      <c r="CS1302" s="554">
        <f>I1302</f>
        <v>2196</v>
      </c>
      <c r="CT1302" s="554">
        <f>I1302</f>
        <v>2196</v>
      </c>
      <c r="CU1302" s="554">
        <f t="shared" si="484"/>
        <v>0</v>
      </c>
      <c r="CV1302" s="554">
        <v>0</v>
      </c>
      <c r="CW1302" s="554">
        <v>0</v>
      </c>
      <c r="CX1302" s="619"/>
      <c r="CY1302" s="619"/>
      <c r="CZ1302" s="619"/>
      <c r="DA1302" s="548"/>
      <c r="DB1302" s="548"/>
      <c r="DC1302" s="548"/>
      <c r="DD1302" s="619"/>
      <c r="DE1302" s="619"/>
      <c r="DF1302" s="619"/>
      <c r="DG1302" s="619"/>
      <c r="DH1302" s="619"/>
    </row>
    <row r="1303" s="548" customFormat="1" ht="31" customHeight="1" spans="1:112">
      <c r="A1303" s="608">
        <v>46101</v>
      </c>
      <c r="B1303" s="609" t="s">
        <v>9183</v>
      </c>
      <c r="C1303" s="610" t="s">
        <v>98</v>
      </c>
      <c r="D1303" s="554">
        <v>4500197840</v>
      </c>
      <c r="E1303" s="610">
        <v>1764219</v>
      </c>
      <c r="F1303" s="554" t="s">
        <v>9184</v>
      </c>
      <c r="G1303" s="610" t="s">
        <v>6787</v>
      </c>
      <c r="H1303" s="610" t="s">
        <v>6126</v>
      </c>
      <c r="I1303" s="610">
        <v>744</v>
      </c>
      <c r="J1303" s="610">
        <v>0</v>
      </c>
      <c r="K1303" s="610">
        <v>12</v>
      </c>
      <c r="L1303" s="611">
        <f t="shared" si="482"/>
        <v>62</v>
      </c>
      <c r="M1303" s="612">
        <v>46142</v>
      </c>
      <c r="N1303" s="612">
        <v>46139</v>
      </c>
      <c r="O1303" s="613"/>
      <c r="P1303" s="613" t="s">
        <v>113</v>
      </c>
      <c r="Q1303" s="610"/>
      <c r="R1303" s="614">
        <v>46105</v>
      </c>
      <c r="S1303" s="614" t="s">
        <v>70</v>
      </c>
      <c r="T1303" s="614" t="s">
        <v>9185</v>
      </c>
      <c r="U1303" s="614"/>
      <c r="V1303" s="614"/>
      <c r="W1303" s="615"/>
      <c r="X1303" s="609" t="s">
        <v>9186</v>
      </c>
      <c r="Y1303" s="609" t="s">
        <v>9187</v>
      </c>
      <c r="Z1303" s="722">
        <v>1.3318</v>
      </c>
      <c r="AA1303" s="616">
        <f t="shared" si="490"/>
        <v>990.8592</v>
      </c>
      <c r="AC1303" s="629" t="s">
        <v>9188</v>
      </c>
      <c r="AD1303" s="610" t="s">
        <v>8545</v>
      </c>
      <c r="AE1303" s="610" t="s">
        <v>82</v>
      </c>
      <c r="AF1303" s="610"/>
      <c r="AG1303" s="610"/>
      <c r="AH1303" s="610">
        <v>1</v>
      </c>
      <c r="AI1303" s="726">
        <v>744</v>
      </c>
      <c r="AJ1303" s="610">
        <f t="shared" si="483"/>
        <v>0</v>
      </c>
      <c r="AK1303" s="610"/>
      <c r="AL1303" s="610" t="s">
        <v>2368</v>
      </c>
      <c r="AM1303" s="610"/>
      <c r="AN1303" s="610">
        <f>I1303*2</f>
        <v>1488</v>
      </c>
      <c r="AO1303" s="554"/>
      <c r="AP1303" s="554">
        <f>I1303*2</f>
        <v>1488</v>
      </c>
      <c r="AQ1303" s="554"/>
      <c r="AR1303" s="619"/>
      <c r="AS1303" s="554"/>
      <c r="AT1303" s="554"/>
      <c r="AU1303" s="554">
        <f>I1303*2</f>
        <v>1488</v>
      </c>
      <c r="AV1303" s="554"/>
      <c r="AW1303" s="619"/>
      <c r="AX1303" s="554"/>
      <c r="AY1303" s="554"/>
      <c r="AZ1303" s="554"/>
      <c r="BA1303" s="554"/>
      <c r="BB1303" s="249">
        <f>I1303/24*2</f>
        <v>62</v>
      </c>
      <c r="BC1303" s="714"/>
      <c r="BD1303" s="554"/>
      <c r="BE1303" s="554"/>
      <c r="BF1303" s="554"/>
      <c r="BH1303" s="554"/>
      <c r="BI1303" s="554"/>
      <c r="BJ1303" s="554"/>
      <c r="BK1303" s="554"/>
      <c r="BL1303" s="554"/>
      <c r="BM1303" s="554"/>
      <c r="BN1303" s="554"/>
      <c r="BO1303" s="554"/>
      <c r="BP1303" s="554"/>
      <c r="BQ1303" s="554"/>
      <c r="BR1303" s="554"/>
      <c r="BS1303" s="554"/>
      <c r="BT1303" s="554"/>
      <c r="BU1303" s="554"/>
      <c r="BV1303" s="554"/>
      <c r="BW1303" s="554"/>
      <c r="BX1303" s="554"/>
      <c r="BY1303" s="619"/>
      <c r="BZ1303" s="554"/>
      <c r="CA1303" s="621"/>
      <c r="CB1303" s="567"/>
      <c r="CC1303" s="622"/>
      <c r="CD1303" s="619"/>
      <c r="CE1303" s="619"/>
      <c r="CF1303" s="554"/>
      <c r="CG1303" s="554"/>
      <c r="CI1303" s="554"/>
      <c r="CJ1303" s="554"/>
      <c r="CK1303" s="554"/>
      <c r="CL1303" s="554"/>
      <c r="CM1303" s="554"/>
      <c r="CN1303" s="554"/>
      <c r="CO1303" s="554"/>
      <c r="CP1303" s="554"/>
      <c r="CQ1303" s="554"/>
      <c r="CR1303" s="554">
        <f>I1303</f>
        <v>744</v>
      </c>
      <c r="CS1303" s="554">
        <f>I1303</f>
        <v>744</v>
      </c>
      <c r="CT1303" s="554">
        <f>I1303</f>
        <v>744</v>
      </c>
      <c r="CU1303" s="554">
        <f t="shared" si="484"/>
        <v>0</v>
      </c>
      <c r="CV1303" s="554">
        <f>CK1303+CL1303+CM1303+CN1303+CO1303+CQ1303+CP1303</f>
        <v>0</v>
      </c>
      <c r="CW1303" s="554">
        <f>CI1303+CJ1303</f>
        <v>0</v>
      </c>
      <c r="CX1303" s="619"/>
      <c r="CY1303" s="619"/>
      <c r="CZ1303" s="619"/>
      <c r="DA1303" s="548"/>
      <c r="DB1303" s="548"/>
      <c r="DC1303" s="548"/>
      <c r="DD1303" s="619"/>
      <c r="DE1303" s="619"/>
      <c r="DF1303" s="619"/>
      <c r="DG1303" s="619"/>
      <c r="DH1303" s="619"/>
    </row>
    <row r="1304" s="548" customFormat="1" ht="31" customHeight="1" spans="1:112">
      <c r="A1304" s="608">
        <v>46101</v>
      </c>
      <c r="B1304" s="609" t="s">
        <v>9183</v>
      </c>
      <c r="C1304" s="610" t="s">
        <v>98</v>
      </c>
      <c r="D1304" s="554">
        <v>4500197840</v>
      </c>
      <c r="E1304" s="610">
        <v>666128</v>
      </c>
      <c r="F1304" s="554" t="s">
        <v>9189</v>
      </c>
      <c r="G1304" s="610" t="s">
        <v>6787</v>
      </c>
      <c r="H1304" s="610" t="s">
        <v>6126</v>
      </c>
      <c r="I1304" s="610">
        <v>120</v>
      </c>
      <c r="J1304" s="610">
        <v>0</v>
      </c>
      <c r="K1304" s="610">
        <v>12</v>
      </c>
      <c r="L1304" s="611">
        <f t="shared" si="482"/>
        <v>10</v>
      </c>
      <c r="M1304" s="612">
        <v>46142</v>
      </c>
      <c r="N1304" s="612">
        <v>46139</v>
      </c>
      <c r="O1304" s="613"/>
      <c r="P1304" s="613" t="s">
        <v>113</v>
      </c>
      <c r="Q1304" s="610"/>
      <c r="R1304" s="614">
        <v>46105</v>
      </c>
      <c r="S1304" s="614" t="s">
        <v>70</v>
      </c>
      <c r="T1304" s="614" t="s">
        <v>9185</v>
      </c>
      <c r="U1304" s="614"/>
      <c r="V1304" s="614"/>
      <c r="W1304" s="615"/>
      <c r="X1304" s="609" t="s">
        <v>9186</v>
      </c>
      <c r="Y1304" s="609" t="s">
        <v>9187</v>
      </c>
      <c r="Z1304" s="722">
        <v>1.3546</v>
      </c>
      <c r="AA1304" s="616">
        <f t="shared" si="490"/>
        <v>162.552</v>
      </c>
      <c r="AC1304" s="629" t="s">
        <v>9188</v>
      </c>
      <c r="AD1304" s="610" t="s">
        <v>8545</v>
      </c>
      <c r="AE1304" s="610" t="s">
        <v>82</v>
      </c>
      <c r="AF1304" s="610"/>
      <c r="AG1304" s="610"/>
      <c r="AH1304" s="610">
        <v>1</v>
      </c>
      <c r="AI1304" s="726">
        <v>120</v>
      </c>
      <c r="AJ1304" s="610">
        <f t="shared" si="483"/>
        <v>0</v>
      </c>
      <c r="AK1304" s="610"/>
      <c r="AL1304" s="610" t="s">
        <v>2368</v>
      </c>
      <c r="AM1304" s="610"/>
      <c r="AN1304" s="610">
        <f>I1304*2</f>
        <v>240</v>
      </c>
      <c r="AO1304" s="554"/>
      <c r="AP1304" s="554">
        <f>I1304*2</f>
        <v>240</v>
      </c>
      <c r="AQ1304" s="554"/>
      <c r="AR1304" s="619"/>
      <c r="AS1304" s="554"/>
      <c r="AT1304" s="554"/>
      <c r="AU1304" s="554">
        <f>I1304*2</f>
        <v>240</v>
      </c>
      <c r="AV1304" s="554"/>
      <c r="AW1304" s="619"/>
      <c r="AX1304" s="554"/>
      <c r="AY1304" s="554"/>
      <c r="AZ1304" s="554"/>
      <c r="BA1304" s="554"/>
      <c r="BB1304" s="249">
        <f>I1304/24*2</f>
        <v>10</v>
      </c>
      <c r="BC1304" s="714"/>
      <c r="BD1304" s="554"/>
      <c r="BE1304" s="554"/>
      <c r="BF1304" s="554"/>
      <c r="BH1304" s="554"/>
      <c r="BI1304" s="554"/>
      <c r="BJ1304" s="554"/>
      <c r="BK1304" s="554"/>
      <c r="BL1304" s="554"/>
      <c r="BM1304" s="554"/>
      <c r="BN1304" s="554"/>
      <c r="BO1304" s="554"/>
      <c r="BP1304" s="554"/>
      <c r="BQ1304" s="554"/>
      <c r="BR1304" s="554"/>
      <c r="BS1304" s="554"/>
      <c r="BT1304" s="554"/>
      <c r="BU1304" s="554"/>
      <c r="BV1304" s="554"/>
      <c r="BW1304" s="554"/>
      <c r="BX1304" s="554"/>
      <c r="BY1304" s="619"/>
      <c r="BZ1304" s="554"/>
      <c r="CA1304" s="621"/>
      <c r="CB1304" s="567"/>
      <c r="CC1304" s="622"/>
      <c r="CD1304" s="619"/>
      <c r="CE1304" s="619"/>
      <c r="CF1304" s="554"/>
      <c r="CG1304" s="554"/>
      <c r="CI1304" s="554"/>
      <c r="CJ1304" s="554"/>
      <c r="CK1304" s="554"/>
      <c r="CL1304" s="554"/>
      <c r="CM1304" s="554"/>
      <c r="CN1304" s="554"/>
      <c r="CO1304" s="554"/>
      <c r="CP1304" s="554"/>
      <c r="CQ1304" s="554"/>
      <c r="CR1304" s="554">
        <f>I1304</f>
        <v>120</v>
      </c>
      <c r="CS1304" s="554">
        <f>I1304</f>
        <v>120</v>
      </c>
      <c r="CT1304" s="554">
        <f>I1304</f>
        <v>120</v>
      </c>
      <c r="CU1304" s="554">
        <f t="shared" si="484"/>
        <v>0</v>
      </c>
      <c r="CV1304" s="554">
        <f>CK1304+CL1304+CM1304+CN1304+CO1304+CQ1304+CP1304</f>
        <v>0</v>
      </c>
      <c r="CW1304" s="554">
        <f>CI1304+CJ1304</f>
        <v>0</v>
      </c>
      <c r="CX1304" s="619"/>
      <c r="CY1304" s="619"/>
      <c r="CZ1304" s="619"/>
      <c r="DA1304" s="548"/>
      <c r="DB1304" s="548"/>
      <c r="DC1304" s="548"/>
      <c r="DD1304" s="619"/>
      <c r="DE1304" s="619"/>
      <c r="DF1304" s="619"/>
      <c r="DG1304" s="619"/>
      <c r="DH1304" s="619"/>
    </row>
    <row r="1305" s="548" customFormat="1" ht="31" customHeight="1" spans="1:112">
      <c r="A1305" s="608">
        <v>46101</v>
      </c>
      <c r="B1305" s="609" t="s">
        <v>9183</v>
      </c>
      <c r="C1305" s="610" t="s">
        <v>98</v>
      </c>
      <c r="D1305" s="554">
        <v>4500197840</v>
      </c>
      <c r="E1305" s="610">
        <v>1764220</v>
      </c>
      <c r="F1305" s="554" t="s">
        <v>9190</v>
      </c>
      <c r="G1305" s="610" t="s">
        <v>6787</v>
      </c>
      <c r="H1305" s="610" t="s">
        <v>6126</v>
      </c>
      <c r="I1305" s="610">
        <v>456</v>
      </c>
      <c r="J1305" s="610">
        <v>0</v>
      </c>
      <c r="K1305" s="610">
        <v>12</v>
      </c>
      <c r="L1305" s="611">
        <f t="shared" si="482"/>
        <v>38</v>
      </c>
      <c r="M1305" s="612">
        <v>46142</v>
      </c>
      <c r="N1305" s="612">
        <v>46139</v>
      </c>
      <c r="O1305" s="613"/>
      <c r="P1305" s="613" t="s">
        <v>113</v>
      </c>
      <c r="Q1305" s="610"/>
      <c r="R1305" s="614">
        <v>46105</v>
      </c>
      <c r="S1305" s="614" t="s">
        <v>70</v>
      </c>
      <c r="T1305" s="614" t="s">
        <v>9185</v>
      </c>
      <c r="U1305" s="614"/>
      <c r="V1305" s="614"/>
      <c r="W1305" s="615"/>
      <c r="X1305" s="609" t="s">
        <v>9186</v>
      </c>
      <c r="Y1305" s="609" t="s">
        <v>9187</v>
      </c>
      <c r="Z1305" s="722">
        <v>1.3546</v>
      </c>
      <c r="AA1305" s="616">
        <f t="shared" si="490"/>
        <v>617.6976</v>
      </c>
      <c r="AC1305" s="629" t="s">
        <v>9191</v>
      </c>
      <c r="AD1305" s="610" t="s">
        <v>8545</v>
      </c>
      <c r="AE1305" s="610" t="s">
        <v>82</v>
      </c>
      <c r="AF1305" s="610"/>
      <c r="AG1305" s="610"/>
      <c r="AH1305" s="609">
        <v>1</v>
      </c>
      <c r="AI1305" s="726">
        <v>456</v>
      </c>
      <c r="AJ1305" s="610">
        <f t="shared" si="483"/>
        <v>0</v>
      </c>
      <c r="AK1305" s="610"/>
      <c r="AL1305" s="610" t="s">
        <v>2368</v>
      </c>
      <c r="AM1305" s="610"/>
      <c r="AN1305" s="610">
        <f>I1305*2</f>
        <v>912</v>
      </c>
      <c r="AO1305" s="554"/>
      <c r="AP1305" s="554">
        <f>I1305*2</f>
        <v>912</v>
      </c>
      <c r="AQ1305" s="554"/>
      <c r="AR1305" s="619"/>
      <c r="AS1305" s="554"/>
      <c r="AT1305" s="554"/>
      <c r="AU1305" s="554">
        <f>I1305*2</f>
        <v>912</v>
      </c>
      <c r="AV1305" s="554"/>
      <c r="AW1305" s="619"/>
      <c r="AX1305" s="554"/>
      <c r="AY1305" s="554"/>
      <c r="AZ1305" s="554"/>
      <c r="BA1305" s="554"/>
      <c r="BB1305" s="249">
        <f>I1305/24*2</f>
        <v>38</v>
      </c>
      <c r="BC1305" s="714"/>
      <c r="BD1305" s="554"/>
      <c r="BE1305" s="554"/>
      <c r="BF1305" s="554"/>
      <c r="BH1305" s="554"/>
      <c r="BI1305" s="554"/>
      <c r="BJ1305" s="554"/>
      <c r="BK1305" s="554"/>
      <c r="BL1305" s="554"/>
      <c r="BM1305" s="554"/>
      <c r="BN1305" s="554"/>
      <c r="BO1305" s="554"/>
      <c r="BP1305" s="554"/>
      <c r="BQ1305" s="554"/>
      <c r="BR1305" s="554"/>
      <c r="BS1305" s="554"/>
      <c r="BT1305" s="554"/>
      <c r="BU1305" s="554"/>
      <c r="BV1305" s="554"/>
      <c r="BW1305" s="554"/>
      <c r="BX1305" s="554"/>
      <c r="BY1305" s="619"/>
      <c r="BZ1305" s="554"/>
      <c r="CA1305" s="621"/>
      <c r="CB1305" s="567"/>
      <c r="CC1305" s="622"/>
      <c r="CD1305" s="619"/>
      <c r="CE1305" s="619"/>
      <c r="CF1305" s="554"/>
      <c r="CG1305" s="554"/>
      <c r="CI1305" s="554"/>
      <c r="CJ1305" s="554"/>
      <c r="CK1305" s="554"/>
      <c r="CL1305" s="554"/>
      <c r="CM1305" s="554"/>
      <c r="CN1305" s="554"/>
      <c r="CO1305" s="554"/>
      <c r="CP1305" s="554"/>
      <c r="CQ1305" s="554"/>
      <c r="CR1305" s="554">
        <f>I1305</f>
        <v>456</v>
      </c>
      <c r="CS1305" s="554">
        <f>I1305</f>
        <v>456</v>
      </c>
      <c r="CT1305" s="554">
        <f>I1305</f>
        <v>456</v>
      </c>
      <c r="CU1305" s="554">
        <f t="shared" si="484"/>
        <v>0</v>
      </c>
      <c r="CV1305" s="554">
        <f>CK1305+CL1305+CM1305+CN1305+CO1305+CQ1305+CP1305</f>
        <v>0</v>
      </c>
      <c r="CW1305" s="554">
        <f>CI1305+CJ1305</f>
        <v>0</v>
      </c>
      <c r="CX1305" s="619"/>
      <c r="CY1305" s="619"/>
      <c r="CZ1305" s="619"/>
      <c r="DA1305" s="548"/>
      <c r="DB1305" s="548"/>
      <c r="DC1305" s="548"/>
      <c r="DD1305" s="619"/>
      <c r="DE1305" s="619"/>
      <c r="DF1305" s="619"/>
      <c r="DG1305" s="619"/>
      <c r="DH1305" s="619"/>
    </row>
    <row r="1306" s="548" customFormat="1" ht="31" customHeight="1" spans="1:112">
      <c r="A1306" s="608">
        <v>46090</v>
      </c>
      <c r="B1306" s="609" t="s">
        <v>2952</v>
      </c>
      <c r="C1306" s="713" t="s">
        <v>1227</v>
      </c>
      <c r="D1306" s="554">
        <v>4500195747</v>
      </c>
      <c r="E1306" s="610"/>
      <c r="F1306" s="554" t="s">
        <v>9192</v>
      </c>
      <c r="G1306" s="610" t="s">
        <v>6276</v>
      </c>
      <c r="H1306" s="610" t="s">
        <v>6277</v>
      </c>
      <c r="I1306" s="610">
        <v>400</v>
      </c>
      <c r="J1306" s="610">
        <v>0</v>
      </c>
      <c r="K1306" s="610">
        <v>50</v>
      </c>
      <c r="L1306" s="611">
        <f t="shared" si="482"/>
        <v>8</v>
      </c>
      <c r="M1306" s="612">
        <v>46142</v>
      </c>
      <c r="N1306" s="612">
        <v>46139</v>
      </c>
      <c r="O1306" s="613"/>
      <c r="P1306" s="613" t="s">
        <v>113</v>
      </c>
      <c r="Q1306" s="610"/>
      <c r="R1306" s="614" t="s">
        <v>3530</v>
      </c>
      <c r="S1306" s="614" t="s">
        <v>70</v>
      </c>
      <c r="T1306" s="614" t="s">
        <v>3531</v>
      </c>
      <c r="U1306" s="614"/>
      <c r="V1306" s="614"/>
      <c r="W1306" s="615"/>
      <c r="X1306" s="609" t="s">
        <v>9193</v>
      </c>
      <c r="Y1306" s="716" t="s">
        <v>529</v>
      </c>
      <c r="Z1306" s="718">
        <v>0.9572</v>
      </c>
      <c r="AA1306" s="616">
        <f t="shared" si="490"/>
        <v>382.88</v>
      </c>
      <c r="AC1306" s="617"/>
      <c r="AD1306" s="610" t="s">
        <v>6276</v>
      </c>
      <c r="AE1306" s="610" t="s">
        <v>82</v>
      </c>
      <c r="AF1306" s="610"/>
      <c r="AG1306" s="609"/>
      <c r="AH1306" s="609">
        <v>1</v>
      </c>
      <c r="AI1306" s="610">
        <v>400</v>
      </c>
      <c r="AJ1306" s="610">
        <f t="shared" si="483"/>
        <v>0</v>
      </c>
      <c r="AK1306" s="610"/>
      <c r="AL1306" s="610" t="s">
        <v>2368</v>
      </c>
      <c r="AM1306" s="610"/>
      <c r="AN1306" s="610"/>
      <c r="AO1306" s="554">
        <f>I1306</f>
        <v>400</v>
      </c>
      <c r="AP1306" s="554"/>
      <c r="AQ1306" s="554"/>
      <c r="AR1306" s="619"/>
      <c r="AS1306" s="554"/>
      <c r="AT1306" s="554">
        <f>I1306</f>
        <v>400</v>
      </c>
      <c r="AU1306" s="554"/>
      <c r="AV1306" s="554"/>
      <c r="AW1306" s="619"/>
      <c r="AX1306" s="554"/>
      <c r="AY1306" s="554"/>
      <c r="AZ1306" s="554"/>
      <c r="BA1306" s="554"/>
      <c r="BB1306" s="620">
        <f>I1306/24</f>
        <v>16.6666666666667</v>
      </c>
      <c r="BC1306" s="714"/>
      <c r="BD1306" s="554"/>
      <c r="BE1306" s="554"/>
      <c r="BF1306" s="554"/>
      <c r="BH1306" s="554"/>
      <c r="BI1306" s="554"/>
      <c r="BJ1306" s="554"/>
      <c r="BK1306" s="554"/>
      <c r="BL1306" s="554"/>
      <c r="BM1306" s="554"/>
      <c r="BN1306" s="554"/>
      <c r="BO1306" s="554"/>
      <c r="BP1306" s="554"/>
      <c r="BQ1306" s="554"/>
      <c r="BR1306" s="554"/>
      <c r="BS1306" s="554"/>
      <c r="BT1306" s="554"/>
      <c r="BU1306" s="554"/>
      <c r="BV1306" s="554"/>
      <c r="BW1306" s="554">
        <f>I1306</f>
        <v>400</v>
      </c>
      <c r="BX1306" s="554">
        <f>I1306/25</f>
        <v>16</v>
      </c>
      <c r="BY1306" s="619"/>
      <c r="BZ1306" s="554"/>
      <c r="CA1306" s="621"/>
      <c r="CB1306" s="567"/>
      <c r="CC1306" s="622"/>
      <c r="CD1306" s="619"/>
      <c r="CE1306" s="619"/>
      <c r="CF1306" s="554"/>
      <c r="CG1306" s="554"/>
      <c r="CI1306" s="554"/>
      <c r="CJ1306" s="554"/>
      <c r="CK1306" s="554"/>
      <c r="CL1306" s="554"/>
      <c r="CM1306" s="554"/>
      <c r="CN1306" s="554"/>
      <c r="CO1306" s="554"/>
      <c r="CP1306" s="554"/>
      <c r="CQ1306" s="554"/>
      <c r="CR1306" s="554"/>
      <c r="CS1306" s="554"/>
      <c r="CT1306" s="554"/>
      <c r="CU1306" s="554">
        <f t="shared" si="484"/>
        <v>16</v>
      </c>
      <c r="CV1306" s="554">
        <f>CK1306+CL1306+CM1306+CN1306+CO1306+CQ1306+CP1306</f>
        <v>0</v>
      </c>
      <c r="CW1306" s="554">
        <f>CI1306+CJ1306</f>
        <v>0</v>
      </c>
      <c r="CX1306" s="619"/>
      <c r="CY1306" s="619"/>
      <c r="CZ1306" s="619"/>
      <c r="DA1306" s="548"/>
      <c r="DB1306" s="548"/>
      <c r="DC1306" s="548"/>
      <c r="DD1306" s="619"/>
      <c r="DE1306" s="619"/>
      <c r="DF1306" s="619"/>
      <c r="DG1306" s="619"/>
      <c r="DH1306" s="619"/>
    </row>
    <row r="1307" s="548" customFormat="1" ht="31" customHeight="1" spans="1:112">
      <c r="A1307" s="608">
        <v>45978</v>
      </c>
      <c r="B1307" s="609" t="s">
        <v>1492</v>
      </c>
      <c r="C1307" s="713" t="s">
        <v>98</v>
      </c>
      <c r="D1307" s="554">
        <v>4500185973</v>
      </c>
      <c r="E1307" s="613">
        <v>2671218410</v>
      </c>
      <c r="F1307" s="554" t="s">
        <v>3664</v>
      </c>
      <c r="G1307" s="610" t="s">
        <v>8457</v>
      </c>
      <c r="H1307" s="610" t="s">
        <v>830</v>
      </c>
      <c r="I1307" s="610">
        <v>5400</v>
      </c>
      <c r="J1307" s="610">
        <v>0</v>
      </c>
      <c r="K1307" s="610">
        <v>75</v>
      </c>
      <c r="L1307" s="611">
        <f t="shared" si="482"/>
        <v>72</v>
      </c>
      <c r="M1307" s="612">
        <v>46142</v>
      </c>
      <c r="N1307" s="612">
        <v>46139</v>
      </c>
      <c r="O1307" s="613"/>
      <c r="P1307" s="613" t="s">
        <v>113</v>
      </c>
      <c r="Q1307" s="610"/>
      <c r="R1307" s="614" t="s">
        <v>2667</v>
      </c>
      <c r="S1307" s="614" t="s">
        <v>70</v>
      </c>
      <c r="T1307" s="614" t="s">
        <v>70</v>
      </c>
      <c r="U1307" s="614"/>
      <c r="V1307" s="614"/>
      <c r="W1307" s="615"/>
      <c r="X1307" s="609" t="s">
        <v>2826</v>
      </c>
      <c r="Y1307" s="716" t="s">
        <v>911</v>
      </c>
      <c r="Z1307" s="609">
        <v>359.3436</v>
      </c>
      <c r="AA1307" s="616">
        <f>Z1307*L1307</f>
        <v>25872.7392</v>
      </c>
      <c r="AC1307" s="629" t="s">
        <v>3665</v>
      </c>
      <c r="AD1307" s="609" t="s">
        <v>1498</v>
      </c>
      <c r="AE1307" s="610" t="s">
        <v>82</v>
      </c>
      <c r="AF1307" s="610"/>
      <c r="AG1307" s="609"/>
      <c r="AH1307" s="609">
        <v>1</v>
      </c>
      <c r="AI1307" s="610">
        <f>4200</f>
        <v>4200</v>
      </c>
      <c r="AJ1307" s="610">
        <f t="shared" si="483"/>
        <v>-1200</v>
      </c>
      <c r="AK1307" s="610"/>
      <c r="AL1307" s="610"/>
      <c r="AM1307" s="610"/>
      <c r="AN1307" s="610">
        <f>I1307*3</f>
        <v>16200</v>
      </c>
      <c r="AO1307" s="554"/>
      <c r="AP1307" s="548"/>
      <c r="AQ1307" s="548"/>
      <c r="AR1307" s="619"/>
      <c r="AS1307" s="548"/>
      <c r="AT1307" s="548"/>
      <c r="AU1307" s="554"/>
      <c r="AV1307" s="554"/>
      <c r="AW1307" s="619"/>
      <c r="AX1307" s="548"/>
      <c r="AY1307" s="548"/>
      <c r="AZ1307" s="548"/>
      <c r="BA1307" s="548"/>
      <c r="BB1307" s="620">
        <f>I1307/24*3</f>
        <v>675</v>
      </c>
      <c r="BC1307" s="714"/>
      <c r="BD1307" s="548"/>
      <c r="BE1307" s="548"/>
      <c r="BF1307" s="554">
        <f>AN1307</f>
        <v>16200</v>
      </c>
      <c r="BH1307" s="554">
        <f>AN1307</f>
        <v>16200</v>
      </c>
      <c r="BI1307" s="554">
        <f>I1307</f>
        <v>5400</v>
      </c>
      <c r="BJ1307" s="554">
        <f>I1307/5</f>
        <v>1080</v>
      </c>
      <c r="BY1307" s="619"/>
      <c r="BZ1307" s="548"/>
      <c r="CA1307" s="621"/>
      <c r="CB1307" s="567"/>
      <c r="CC1307" s="622"/>
      <c r="CD1307" s="619"/>
      <c r="CE1307" s="619"/>
      <c r="CF1307" s="548"/>
      <c r="CG1307" s="548"/>
      <c r="CU1307" s="554">
        <f t="shared" si="484"/>
        <v>0</v>
      </c>
      <c r="CV1307" s="554">
        <f>CK1307+CL1307+CM1307+CN1307+CO1307+CQ1307+CP1307</f>
        <v>0</v>
      </c>
      <c r="CW1307" s="554">
        <f>CI1307+CJ1307</f>
        <v>0</v>
      </c>
      <c r="CX1307" s="619"/>
      <c r="CY1307" s="619"/>
      <c r="CZ1307" s="619"/>
      <c r="DA1307" s="548"/>
      <c r="DB1307" s="548"/>
      <c r="DC1307" s="548"/>
      <c r="DD1307" s="619"/>
      <c r="DE1307" s="619"/>
      <c r="DF1307" s="619"/>
      <c r="DG1307" s="619"/>
      <c r="DH1307" s="619"/>
    </row>
    <row r="1308" s="548" customFormat="1" ht="31" customHeight="1" spans="1:112">
      <c r="A1308" s="608">
        <v>46085</v>
      </c>
      <c r="B1308" s="609" t="s">
        <v>307</v>
      </c>
      <c r="C1308" s="610" t="s">
        <v>98</v>
      </c>
      <c r="D1308" s="554">
        <v>4500195170</v>
      </c>
      <c r="E1308" s="613">
        <v>21870359</v>
      </c>
      <c r="F1308" s="554" t="s">
        <v>9194</v>
      </c>
      <c r="G1308" s="610" t="s">
        <v>6032</v>
      </c>
      <c r="H1308" s="610" t="s">
        <v>6033</v>
      </c>
      <c r="I1308" s="610">
        <v>10036</v>
      </c>
      <c r="J1308" s="610">
        <v>0</v>
      </c>
      <c r="K1308" s="610">
        <v>52</v>
      </c>
      <c r="L1308" s="610">
        <f t="shared" si="482"/>
        <v>193</v>
      </c>
      <c r="M1308" s="612">
        <v>46142</v>
      </c>
      <c r="N1308" s="612">
        <v>46139</v>
      </c>
      <c r="O1308" s="613"/>
      <c r="P1308" s="613" t="s">
        <v>113</v>
      </c>
      <c r="Q1308" s="610"/>
      <c r="R1308" s="614">
        <v>46104</v>
      </c>
      <c r="S1308" s="614" t="s">
        <v>70</v>
      </c>
      <c r="T1308" s="614" t="s">
        <v>70</v>
      </c>
      <c r="U1308" s="614"/>
      <c r="V1308" s="614"/>
      <c r="W1308" s="615"/>
      <c r="X1308" s="609" t="s">
        <v>2047</v>
      </c>
      <c r="Y1308" s="616" t="s">
        <v>311</v>
      </c>
      <c r="Z1308" s="718">
        <v>0.5459</v>
      </c>
      <c r="AA1308" s="616">
        <f>Z1308*I1308</f>
        <v>5478.6524</v>
      </c>
      <c r="AC1308" s="629" t="s">
        <v>3672</v>
      </c>
      <c r="AD1308" s="610" t="s">
        <v>6032</v>
      </c>
      <c r="AE1308" s="610" t="s">
        <v>82</v>
      </c>
      <c r="AF1308" s="610"/>
      <c r="AG1308" s="609"/>
      <c r="AH1308" s="609">
        <v>1</v>
      </c>
      <c r="AI1308" s="610">
        <v>10036</v>
      </c>
      <c r="AJ1308" s="610">
        <f t="shared" si="483"/>
        <v>0</v>
      </c>
      <c r="AK1308" s="610"/>
      <c r="AL1308" s="610"/>
      <c r="AM1308" s="610"/>
      <c r="AN1308" s="610">
        <f>I1308</f>
        <v>10036</v>
      </c>
      <c r="AO1308" s="554"/>
      <c r="AP1308" s="554">
        <f>I1308</f>
        <v>10036</v>
      </c>
      <c r="AQ1308" s="554"/>
      <c r="AR1308" s="619"/>
      <c r="AS1308" s="554"/>
      <c r="AT1308" s="554"/>
      <c r="AU1308" s="554">
        <f>I1308</f>
        <v>10036</v>
      </c>
      <c r="AV1308" s="554"/>
      <c r="AW1308" s="619"/>
      <c r="AX1308" s="554"/>
      <c r="AY1308" s="554"/>
      <c r="AZ1308" s="554"/>
      <c r="BA1308" s="554"/>
      <c r="BB1308" s="620">
        <f t="shared" ref="BB1308:BB1321" si="491">I1308/24</f>
        <v>418.166666666667</v>
      </c>
      <c r="BC1308" s="714"/>
      <c r="BD1308" s="554"/>
      <c r="BE1308" s="554"/>
      <c r="BF1308" s="554"/>
      <c r="BH1308" s="554"/>
      <c r="BI1308" s="554"/>
      <c r="BJ1308" s="554"/>
      <c r="BK1308" s="554">
        <f>I1308/13</f>
        <v>772</v>
      </c>
      <c r="BL1308" s="554"/>
      <c r="BM1308" s="554"/>
      <c r="BN1308" s="554"/>
      <c r="BO1308" s="554"/>
      <c r="BP1308" s="554"/>
      <c r="BQ1308" s="554"/>
      <c r="BR1308" s="554"/>
      <c r="BS1308" s="554"/>
      <c r="BT1308" s="554"/>
      <c r="BU1308" s="554"/>
      <c r="BV1308" s="554"/>
      <c r="BW1308" s="554"/>
      <c r="BX1308" s="554"/>
      <c r="BY1308" s="619"/>
      <c r="BZ1308" s="554"/>
      <c r="CA1308" s="621"/>
      <c r="CB1308" s="567"/>
      <c r="CC1308" s="622"/>
      <c r="CD1308" s="619"/>
      <c r="CE1308" s="619"/>
      <c r="CF1308" s="554"/>
      <c r="CG1308" s="554"/>
      <c r="CI1308" s="554"/>
      <c r="CJ1308" s="554"/>
      <c r="CK1308" s="554"/>
      <c r="CL1308" s="554"/>
      <c r="CM1308" s="554"/>
      <c r="CN1308" s="554"/>
      <c r="CO1308" s="554"/>
      <c r="CP1308" s="554"/>
      <c r="CQ1308" s="554"/>
      <c r="CR1308" s="554"/>
      <c r="CS1308" s="554"/>
      <c r="CT1308" s="554"/>
      <c r="CU1308" s="554">
        <f t="shared" si="484"/>
        <v>0</v>
      </c>
      <c r="CV1308" s="554">
        <v>0</v>
      </c>
      <c r="CW1308" s="554">
        <v>0</v>
      </c>
      <c r="CX1308" s="619"/>
      <c r="CY1308" s="619"/>
      <c r="CZ1308" s="619"/>
      <c r="DA1308" s="548"/>
      <c r="DB1308" s="548"/>
      <c r="DC1308" s="548"/>
      <c r="DD1308" s="619"/>
      <c r="DE1308" s="619"/>
      <c r="DF1308" s="619"/>
      <c r="DG1308" s="619"/>
      <c r="DH1308" s="619"/>
    </row>
    <row r="1309" s="548" customFormat="1" ht="31" customHeight="1" spans="1:112">
      <c r="A1309" s="608">
        <v>46080</v>
      </c>
      <c r="B1309" s="609" t="s">
        <v>205</v>
      </c>
      <c r="C1309" s="610" t="s">
        <v>98</v>
      </c>
      <c r="D1309" s="554">
        <v>4500194442</v>
      </c>
      <c r="E1309" s="610">
        <v>219144919</v>
      </c>
      <c r="F1309" s="554" t="s">
        <v>9195</v>
      </c>
      <c r="G1309" s="610" t="s">
        <v>6166</v>
      </c>
      <c r="H1309" s="610" t="s">
        <v>6094</v>
      </c>
      <c r="I1309" s="719">
        <v>3250</v>
      </c>
      <c r="J1309" s="610">
        <v>0</v>
      </c>
      <c r="K1309" s="610">
        <v>13</v>
      </c>
      <c r="L1309" s="611">
        <f t="shared" si="482"/>
        <v>250</v>
      </c>
      <c r="M1309" s="612">
        <v>46142</v>
      </c>
      <c r="N1309" s="612">
        <v>46139</v>
      </c>
      <c r="O1309" s="613"/>
      <c r="P1309" s="613" t="s">
        <v>113</v>
      </c>
      <c r="Q1309" s="610"/>
      <c r="R1309" s="614">
        <v>46080</v>
      </c>
      <c r="S1309" s="614" t="s">
        <v>70</v>
      </c>
      <c r="T1309" s="614" t="s">
        <v>70</v>
      </c>
      <c r="U1309" s="614"/>
      <c r="V1309" s="614"/>
      <c r="W1309" s="615"/>
      <c r="X1309" s="609" t="s">
        <v>9196</v>
      </c>
      <c r="Y1309" s="616" t="s">
        <v>2003</v>
      </c>
      <c r="Z1309" s="718">
        <v>0.5426</v>
      </c>
      <c r="AA1309" s="616">
        <f>Z1309*I1309</f>
        <v>1763.45</v>
      </c>
      <c r="AC1309" s="629" t="s">
        <v>3668</v>
      </c>
      <c r="AD1309" s="610" t="s">
        <v>6257</v>
      </c>
      <c r="AE1309" s="610" t="s">
        <v>82</v>
      </c>
      <c r="AF1309" s="610"/>
      <c r="AG1309" s="609"/>
      <c r="AH1309" s="609" t="s">
        <v>9063</v>
      </c>
      <c r="AI1309" s="726">
        <v>3250</v>
      </c>
      <c r="AJ1309" s="610">
        <f t="shared" si="483"/>
        <v>0</v>
      </c>
      <c r="AK1309" s="610"/>
      <c r="AL1309" s="610"/>
      <c r="AM1309" s="610"/>
      <c r="AN1309" s="610">
        <f>I1309</f>
        <v>3250</v>
      </c>
      <c r="AO1309" s="554"/>
      <c r="AP1309" s="554">
        <f>I1309</f>
        <v>3250</v>
      </c>
      <c r="AQ1309" s="554"/>
      <c r="AR1309" s="619"/>
      <c r="AS1309" s="554"/>
      <c r="AT1309" s="554"/>
      <c r="AU1309" s="554">
        <f>I1309</f>
        <v>3250</v>
      </c>
      <c r="AV1309" s="554"/>
      <c r="AW1309" s="619"/>
      <c r="AX1309" s="554"/>
      <c r="AY1309" s="554"/>
      <c r="AZ1309" s="554"/>
      <c r="BA1309" s="554"/>
      <c r="BB1309" s="620">
        <f t="shared" si="491"/>
        <v>135.416666666667</v>
      </c>
      <c r="BC1309" s="714"/>
      <c r="BD1309" s="554"/>
      <c r="BE1309" s="554"/>
      <c r="BF1309" s="554"/>
      <c r="BH1309" s="554"/>
      <c r="BI1309" s="554"/>
      <c r="BJ1309" s="554"/>
      <c r="BK1309" s="554">
        <f>I1309/13</f>
        <v>250</v>
      </c>
      <c r="BL1309" s="554"/>
      <c r="BM1309" s="554"/>
      <c r="BN1309" s="554"/>
      <c r="BO1309" s="554"/>
      <c r="BP1309" s="554"/>
      <c r="BQ1309" s="554"/>
      <c r="BR1309" s="554"/>
      <c r="BS1309" s="554"/>
      <c r="BT1309" s="554"/>
      <c r="BU1309" s="554"/>
      <c r="BV1309" s="554"/>
      <c r="BW1309" s="554"/>
      <c r="BX1309" s="554"/>
      <c r="BY1309" s="619"/>
      <c r="BZ1309" s="554"/>
      <c r="CA1309" s="621"/>
      <c r="CB1309" s="567"/>
      <c r="CC1309" s="622"/>
      <c r="CD1309" s="619"/>
      <c r="CE1309" s="619"/>
      <c r="CF1309" s="554"/>
      <c r="CG1309" s="554"/>
      <c r="CI1309" s="554"/>
      <c r="CJ1309" s="554"/>
      <c r="CK1309" s="554"/>
      <c r="CL1309" s="554"/>
      <c r="CM1309" s="554"/>
      <c r="CN1309" s="554"/>
      <c r="CO1309" s="554"/>
      <c r="CP1309" s="554"/>
      <c r="CQ1309" s="554"/>
      <c r="CR1309" s="554"/>
      <c r="CS1309" s="554"/>
      <c r="CT1309" s="554"/>
      <c r="CU1309" s="554">
        <f t="shared" si="484"/>
        <v>0</v>
      </c>
      <c r="CV1309" s="554">
        <f t="shared" ref="CV1309:CV1336" si="492">CK1309+CL1309+CM1309+CN1309+CO1309+CQ1309+CP1309</f>
        <v>0</v>
      </c>
      <c r="CW1309" s="554">
        <f t="shared" ref="CW1309:CW1336" si="493">CI1309+CJ1309</f>
        <v>0</v>
      </c>
      <c r="CX1309" s="619"/>
      <c r="CY1309" s="619"/>
      <c r="CZ1309" s="619"/>
      <c r="DA1309" s="548"/>
      <c r="DB1309" s="548"/>
      <c r="DC1309" s="548"/>
      <c r="DD1309" s="619"/>
      <c r="DE1309" s="619"/>
      <c r="DF1309" s="619"/>
      <c r="DG1309" s="619"/>
      <c r="DH1309" s="619"/>
    </row>
    <row r="1310" s="548" customFormat="1" ht="31" customHeight="1" spans="1:112">
      <c r="A1310" s="608">
        <v>46080</v>
      </c>
      <c r="B1310" s="609" t="s">
        <v>205</v>
      </c>
      <c r="C1310" s="610" t="s">
        <v>98</v>
      </c>
      <c r="D1310" s="554">
        <v>4500194442</v>
      </c>
      <c r="E1310" s="610">
        <v>219144908</v>
      </c>
      <c r="F1310" s="554" t="s">
        <v>9197</v>
      </c>
      <c r="G1310" s="610" t="s">
        <v>6166</v>
      </c>
      <c r="H1310" s="610" t="s">
        <v>6094</v>
      </c>
      <c r="I1310" s="719">
        <v>1755</v>
      </c>
      <c r="J1310" s="610">
        <v>0</v>
      </c>
      <c r="K1310" s="610">
        <v>13</v>
      </c>
      <c r="L1310" s="611">
        <f t="shared" si="482"/>
        <v>135</v>
      </c>
      <c r="M1310" s="612">
        <v>46142</v>
      </c>
      <c r="N1310" s="612">
        <v>46139</v>
      </c>
      <c r="O1310" s="613"/>
      <c r="P1310" s="613" t="s">
        <v>113</v>
      </c>
      <c r="Q1310" s="610"/>
      <c r="R1310" s="614">
        <v>46080</v>
      </c>
      <c r="S1310" s="614" t="s">
        <v>70</v>
      </c>
      <c r="T1310" s="614" t="s">
        <v>70</v>
      </c>
      <c r="U1310" s="614"/>
      <c r="V1310" s="614"/>
      <c r="W1310" s="615"/>
      <c r="X1310" s="609" t="s">
        <v>9196</v>
      </c>
      <c r="Y1310" s="616" t="s">
        <v>2003</v>
      </c>
      <c r="Z1310" s="718">
        <v>0.5426</v>
      </c>
      <c r="AA1310" s="616">
        <f>Z1310*I1310</f>
        <v>952.263</v>
      </c>
      <c r="AC1310" s="629" t="s">
        <v>3668</v>
      </c>
      <c r="AD1310" s="610" t="s">
        <v>6257</v>
      </c>
      <c r="AE1310" s="610" t="s">
        <v>82</v>
      </c>
      <c r="AF1310" s="610"/>
      <c r="AG1310" s="609"/>
      <c r="AH1310" s="609">
        <v>1</v>
      </c>
      <c r="AI1310" s="726">
        <v>1755</v>
      </c>
      <c r="AJ1310" s="610">
        <f t="shared" si="483"/>
        <v>0</v>
      </c>
      <c r="AK1310" s="610"/>
      <c r="AL1310" s="610"/>
      <c r="AM1310" s="610"/>
      <c r="AN1310" s="610">
        <f>I1310</f>
        <v>1755</v>
      </c>
      <c r="AO1310" s="554"/>
      <c r="AP1310" s="554">
        <f>I1310</f>
        <v>1755</v>
      </c>
      <c r="AQ1310" s="554"/>
      <c r="AR1310" s="619"/>
      <c r="AS1310" s="554"/>
      <c r="AT1310" s="554"/>
      <c r="AU1310" s="554">
        <f>I1310</f>
        <v>1755</v>
      </c>
      <c r="AV1310" s="554"/>
      <c r="AW1310" s="619"/>
      <c r="AX1310" s="554"/>
      <c r="AY1310" s="554"/>
      <c r="AZ1310" s="554"/>
      <c r="BA1310" s="554"/>
      <c r="BB1310" s="620">
        <f t="shared" si="491"/>
        <v>73.125</v>
      </c>
      <c r="BC1310" s="714"/>
      <c r="BD1310" s="554"/>
      <c r="BE1310" s="554"/>
      <c r="BF1310" s="554"/>
      <c r="BH1310" s="554"/>
      <c r="BI1310" s="554"/>
      <c r="BJ1310" s="554"/>
      <c r="BK1310" s="554">
        <f>I1310/13</f>
        <v>135</v>
      </c>
      <c r="BL1310" s="554"/>
      <c r="BM1310" s="554"/>
      <c r="BN1310" s="554"/>
      <c r="BO1310" s="554"/>
      <c r="BP1310" s="554"/>
      <c r="BQ1310" s="554"/>
      <c r="BR1310" s="554"/>
      <c r="BS1310" s="554"/>
      <c r="BT1310" s="554"/>
      <c r="BU1310" s="554"/>
      <c r="BV1310" s="554"/>
      <c r="BW1310" s="554"/>
      <c r="BX1310" s="554"/>
      <c r="BY1310" s="619"/>
      <c r="BZ1310" s="554"/>
      <c r="CA1310" s="621"/>
      <c r="CB1310" s="567"/>
      <c r="CC1310" s="622"/>
      <c r="CD1310" s="619"/>
      <c r="CE1310" s="619"/>
      <c r="CF1310" s="554"/>
      <c r="CG1310" s="554"/>
      <c r="CI1310" s="554"/>
      <c r="CJ1310" s="554"/>
      <c r="CK1310" s="554"/>
      <c r="CL1310" s="554"/>
      <c r="CM1310" s="554"/>
      <c r="CN1310" s="554"/>
      <c r="CO1310" s="554"/>
      <c r="CP1310" s="554"/>
      <c r="CQ1310" s="554"/>
      <c r="CR1310" s="554"/>
      <c r="CS1310" s="554"/>
      <c r="CT1310" s="554"/>
      <c r="CU1310" s="554">
        <f t="shared" si="484"/>
        <v>0</v>
      </c>
      <c r="CV1310" s="554">
        <f t="shared" si="492"/>
        <v>0</v>
      </c>
      <c r="CW1310" s="554">
        <f t="shared" si="493"/>
        <v>0</v>
      </c>
      <c r="CX1310" s="619"/>
      <c r="CY1310" s="619"/>
      <c r="CZ1310" s="619"/>
      <c r="DA1310" s="548"/>
      <c r="DB1310" s="548"/>
      <c r="DC1310" s="548"/>
      <c r="DD1310" s="619"/>
      <c r="DE1310" s="619"/>
      <c r="DF1310" s="619"/>
      <c r="DG1310" s="619"/>
      <c r="DH1310" s="619"/>
    </row>
    <row r="1311" s="548" customFormat="1" ht="31" customHeight="1" spans="1:112">
      <c r="A1311" s="608">
        <v>46107</v>
      </c>
      <c r="B1311" s="609" t="s">
        <v>3385</v>
      </c>
      <c r="C1311" s="610" t="s">
        <v>3386</v>
      </c>
      <c r="D1311" s="554">
        <v>4500198823</v>
      </c>
      <c r="E1311" s="610" t="s">
        <v>3735</v>
      </c>
      <c r="F1311" s="554" t="s">
        <v>9198</v>
      </c>
      <c r="G1311" s="610" t="s">
        <v>6043</v>
      </c>
      <c r="H1311" s="610" t="s">
        <v>6110</v>
      </c>
      <c r="I1311" s="610">
        <v>22000</v>
      </c>
      <c r="J1311" s="610">
        <v>0</v>
      </c>
      <c r="K1311" s="610">
        <v>50</v>
      </c>
      <c r="L1311" s="611">
        <f t="shared" si="482"/>
        <v>440</v>
      </c>
      <c r="M1311" s="612">
        <v>46150</v>
      </c>
      <c r="N1311" s="612">
        <v>46146</v>
      </c>
      <c r="O1311" s="613"/>
      <c r="P1311" s="613" t="s">
        <v>113</v>
      </c>
      <c r="Q1311" s="610"/>
      <c r="R1311" s="614" t="s">
        <v>3530</v>
      </c>
      <c r="S1311" s="614" t="s">
        <v>70</v>
      </c>
      <c r="T1311" s="614" t="s">
        <v>9199</v>
      </c>
      <c r="U1311" s="614"/>
      <c r="V1311" s="614" t="s">
        <v>9200</v>
      </c>
      <c r="W1311" s="615"/>
      <c r="X1311" s="609" t="s">
        <v>3738</v>
      </c>
      <c r="Y1311" s="609" t="s">
        <v>529</v>
      </c>
      <c r="Z1311" s="722">
        <v>0.9549</v>
      </c>
      <c r="AA1311" s="616">
        <f>I1311*Z1311</f>
        <v>21007.8</v>
      </c>
      <c r="AC1311" s="617"/>
      <c r="AD1311" s="610" t="s">
        <v>6043</v>
      </c>
      <c r="AE1311" s="610" t="s">
        <v>82</v>
      </c>
      <c r="AF1311" s="610"/>
      <c r="AG1311" s="610"/>
      <c r="AH1311" s="610"/>
      <c r="AI1311" s="725">
        <f>18850+3150</f>
        <v>22000</v>
      </c>
      <c r="AJ1311" s="610">
        <f t="shared" si="483"/>
        <v>0</v>
      </c>
      <c r="AK1311" s="610"/>
      <c r="AL1311" s="610" t="s">
        <v>454</v>
      </c>
      <c r="AM1311" s="610"/>
      <c r="AN1311" s="614"/>
      <c r="AO1311" s="554">
        <f>I1311</f>
        <v>22000</v>
      </c>
      <c r="AP1311" s="554"/>
      <c r="AQ1311" s="554"/>
      <c r="AR1311" s="619"/>
      <c r="AS1311" s="554"/>
      <c r="AT1311" s="554">
        <f>I1311</f>
        <v>22000</v>
      </c>
      <c r="AU1311" s="554"/>
      <c r="AV1311" s="554">
        <f>I1311</f>
        <v>22000</v>
      </c>
      <c r="AW1311" s="619"/>
      <c r="AX1311" s="554"/>
      <c r="AY1311" s="554"/>
      <c r="AZ1311" s="554"/>
      <c r="BA1311" s="554"/>
      <c r="BB1311" s="620">
        <f t="shared" si="491"/>
        <v>916.666666666667</v>
      </c>
      <c r="BC1311" s="714"/>
      <c r="BD1311" s="554"/>
      <c r="BE1311" s="554"/>
      <c r="BF1311" s="554"/>
      <c r="BH1311" s="554"/>
      <c r="BI1311" s="554"/>
      <c r="BJ1311" s="554"/>
      <c r="BK1311" s="554"/>
      <c r="BL1311" s="554"/>
      <c r="BM1311" s="554"/>
      <c r="BN1311" s="554"/>
      <c r="BO1311" s="554"/>
      <c r="BP1311" s="554">
        <f>I1311/25</f>
        <v>880</v>
      </c>
      <c r="BQ1311" s="554"/>
      <c r="BR1311" s="554"/>
      <c r="BS1311" s="554"/>
      <c r="BT1311" s="554"/>
      <c r="BU1311" s="554"/>
      <c r="BV1311" s="554"/>
      <c r="BW1311" s="554"/>
      <c r="BX1311" s="554"/>
      <c r="BY1311" s="619"/>
      <c r="BZ1311" s="554"/>
      <c r="CA1311" s="621"/>
      <c r="CB1311" s="567"/>
      <c r="CC1311" s="622"/>
      <c r="CD1311" s="619"/>
      <c r="CE1311" s="619"/>
      <c r="CF1311" s="554"/>
      <c r="CG1311" s="554"/>
      <c r="CI1311" s="554"/>
      <c r="CJ1311" s="554"/>
      <c r="CK1311" s="554"/>
      <c r="CL1311" s="554"/>
      <c r="CM1311" s="554"/>
      <c r="CN1311" s="554"/>
      <c r="CO1311" s="554"/>
      <c r="CP1311" s="554"/>
      <c r="CQ1311" s="554"/>
      <c r="CR1311" s="554"/>
      <c r="CS1311" s="554"/>
      <c r="CT1311" s="554"/>
      <c r="CU1311" s="554">
        <f t="shared" si="484"/>
        <v>880</v>
      </c>
      <c r="CV1311" s="554">
        <f t="shared" si="492"/>
        <v>0</v>
      </c>
      <c r="CW1311" s="554">
        <f t="shared" si="493"/>
        <v>0</v>
      </c>
      <c r="CX1311" s="619"/>
      <c r="CY1311" s="619"/>
      <c r="CZ1311" s="619"/>
      <c r="DA1311" s="548"/>
      <c r="DB1311" s="548"/>
      <c r="DC1311" s="548"/>
      <c r="DD1311" s="619"/>
      <c r="DE1311" s="619"/>
      <c r="DF1311" s="619"/>
      <c r="DG1311" s="619"/>
      <c r="DH1311" s="619"/>
    </row>
    <row r="1312" s="548" customFormat="1" ht="31" customHeight="1" spans="1:112">
      <c r="A1312" s="608">
        <v>46105</v>
      </c>
      <c r="B1312" s="609" t="s">
        <v>143</v>
      </c>
      <c r="C1312" s="713" t="s">
        <v>98</v>
      </c>
      <c r="D1312" s="554">
        <v>4500198269</v>
      </c>
      <c r="E1312" s="613">
        <v>989301806</v>
      </c>
      <c r="F1312" s="554" t="s">
        <v>9201</v>
      </c>
      <c r="G1312" s="610" t="s">
        <v>6063</v>
      </c>
      <c r="H1312" s="610" t="s">
        <v>6064</v>
      </c>
      <c r="I1312" s="610">
        <v>2880</v>
      </c>
      <c r="J1312" s="610">
        <v>0</v>
      </c>
      <c r="K1312" s="610">
        <v>16</v>
      </c>
      <c r="L1312" s="611">
        <f t="shared" si="482"/>
        <v>180</v>
      </c>
      <c r="M1312" s="612">
        <v>46150</v>
      </c>
      <c r="N1312" s="612">
        <v>46146</v>
      </c>
      <c r="O1312" s="613" t="s">
        <v>9202</v>
      </c>
      <c r="P1312" s="613" t="s">
        <v>113</v>
      </c>
      <c r="Q1312" s="610"/>
      <c r="R1312" s="614" t="s">
        <v>7064</v>
      </c>
      <c r="S1312" s="614" t="s">
        <v>70</v>
      </c>
      <c r="T1312" s="614" t="s">
        <v>9203</v>
      </c>
      <c r="U1312" s="614"/>
      <c r="V1312" s="614"/>
      <c r="W1312" s="615"/>
      <c r="X1312" s="609" t="s">
        <v>9204</v>
      </c>
      <c r="Y1312" s="716" t="s">
        <v>106</v>
      </c>
      <c r="Z1312" s="722">
        <v>0.5837</v>
      </c>
      <c r="AA1312" s="616">
        <f t="shared" ref="AA1312:AA1323" si="494">Z1312*I1312</f>
        <v>1681.056</v>
      </c>
      <c r="AC1312" s="629" t="s">
        <v>9205</v>
      </c>
      <c r="AD1312" s="610" t="s">
        <v>6063</v>
      </c>
      <c r="AE1312" s="610" t="s">
        <v>82</v>
      </c>
      <c r="AF1312" s="610"/>
      <c r="AG1312" s="609"/>
      <c r="AH1312" s="609"/>
      <c r="AI1312" s="726">
        <v>2368</v>
      </c>
      <c r="AJ1312" s="610">
        <f t="shared" si="483"/>
        <v>-512</v>
      </c>
      <c r="AK1312" s="610"/>
      <c r="AL1312" s="610" t="s">
        <v>2368</v>
      </c>
      <c r="AM1312" s="610"/>
      <c r="AN1312" s="610">
        <f>I1312</f>
        <v>2880</v>
      </c>
      <c r="AO1312" s="554"/>
      <c r="AP1312" s="554">
        <f>I1312</f>
        <v>2880</v>
      </c>
      <c r="AQ1312" s="554"/>
      <c r="AR1312" s="619"/>
      <c r="AS1312" s="554"/>
      <c r="AT1312" s="554"/>
      <c r="AU1312" s="554">
        <f>I1312</f>
        <v>2880</v>
      </c>
      <c r="AV1312" s="554"/>
      <c r="AW1312" s="619"/>
      <c r="AX1312" s="554"/>
      <c r="AY1312" s="554"/>
      <c r="AZ1312" s="554"/>
      <c r="BA1312" s="554"/>
      <c r="BB1312" s="620">
        <f t="shared" si="491"/>
        <v>120</v>
      </c>
      <c r="BC1312" s="714"/>
      <c r="BD1312" s="554"/>
      <c r="BE1312" s="554"/>
      <c r="BF1312" s="554"/>
      <c r="BH1312" s="554"/>
      <c r="BI1312" s="554"/>
      <c r="BJ1312" s="554"/>
      <c r="BK1312" s="554"/>
      <c r="BL1312" s="554"/>
      <c r="BM1312" s="554"/>
      <c r="BN1312" s="554"/>
      <c r="BO1312" s="554"/>
      <c r="BP1312" s="554"/>
      <c r="BQ1312" s="554">
        <f>I1312/16</f>
        <v>180</v>
      </c>
      <c r="BR1312" s="554"/>
      <c r="BS1312" s="554"/>
      <c r="BT1312" s="554"/>
      <c r="BU1312" s="554"/>
      <c r="BV1312" s="554"/>
      <c r="BW1312" s="554"/>
      <c r="BX1312" s="554"/>
      <c r="BY1312" s="619"/>
      <c r="BZ1312" s="554"/>
      <c r="CA1312" s="621"/>
      <c r="CB1312" s="567"/>
      <c r="CC1312" s="622"/>
      <c r="CD1312" s="619"/>
      <c r="CE1312" s="619"/>
      <c r="CF1312" s="554"/>
      <c r="CG1312" s="554"/>
      <c r="CI1312" s="554"/>
      <c r="CJ1312" s="554"/>
      <c r="CK1312" s="554"/>
      <c r="CL1312" s="554"/>
      <c r="CM1312" s="554"/>
      <c r="CN1312" s="554"/>
      <c r="CO1312" s="554"/>
      <c r="CP1312" s="554"/>
      <c r="CQ1312" s="554"/>
      <c r="CR1312" s="554"/>
      <c r="CS1312" s="554"/>
      <c r="CT1312" s="554"/>
      <c r="CU1312" s="554">
        <f t="shared" si="484"/>
        <v>180</v>
      </c>
      <c r="CV1312" s="554">
        <f t="shared" si="492"/>
        <v>0</v>
      </c>
      <c r="CW1312" s="554">
        <f t="shared" si="493"/>
        <v>0</v>
      </c>
      <c r="CX1312" s="619"/>
      <c r="CY1312" s="619"/>
      <c r="CZ1312" s="619"/>
      <c r="DA1312" s="548"/>
      <c r="DB1312" s="548"/>
      <c r="DC1312" s="548"/>
      <c r="DD1312" s="619"/>
      <c r="DE1312" s="619"/>
      <c r="DF1312" s="619"/>
      <c r="DG1312" s="619"/>
      <c r="DH1312" s="619"/>
    </row>
    <row r="1313" s="548" customFormat="1" ht="31" customHeight="1" spans="1:112">
      <c r="A1313" s="608">
        <v>46105</v>
      </c>
      <c r="B1313" s="609" t="s">
        <v>143</v>
      </c>
      <c r="C1313" s="713" t="s">
        <v>98</v>
      </c>
      <c r="D1313" s="554">
        <v>4500198269</v>
      </c>
      <c r="E1313" s="613">
        <v>989301813</v>
      </c>
      <c r="F1313" s="554" t="s">
        <v>9206</v>
      </c>
      <c r="G1313" s="610" t="s">
        <v>6063</v>
      </c>
      <c r="H1313" s="610" t="s">
        <v>6064</v>
      </c>
      <c r="I1313" s="610">
        <v>10560</v>
      </c>
      <c r="J1313" s="610">
        <v>0</v>
      </c>
      <c r="K1313" s="610">
        <v>16</v>
      </c>
      <c r="L1313" s="611">
        <f t="shared" si="482"/>
        <v>660</v>
      </c>
      <c r="M1313" s="612">
        <v>46150</v>
      </c>
      <c r="N1313" s="612">
        <v>46146</v>
      </c>
      <c r="O1313" s="613" t="s">
        <v>9202</v>
      </c>
      <c r="P1313" s="613" t="s">
        <v>113</v>
      </c>
      <c r="Q1313" s="610"/>
      <c r="R1313" s="614" t="s">
        <v>7064</v>
      </c>
      <c r="S1313" s="614" t="s">
        <v>70</v>
      </c>
      <c r="T1313" s="614" t="s">
        <v>9203</v>
      </c>
      <c r="U1313" s="614"/>
      <c r="V1313" s="614"/>
      <c r="W1313" s="615"/>
      <c r="X1313" s="609" t="s">
        <v>9204</v>
      </c>
      <c r="Y1313" s="716" t="s">
        <v>106</v>
      </c>
      <c r="Z1313" s="722">
        <v>0.5837</v>
      </c>
      <c r="AA1313" s="616">
        <f t="shared" si="494"/>
        <v>6163.872</v>
      </c>
      <c r="AC1313" s="629" t="s">
        <v>9207</v>
      </c>
      <c r="AD1313" s="610" t="s">
        <v>6063</v>
      </c>
      <c r="AE1313" s="610" t="s">
        <v>82</v>
      </c>
      <c r="AF1313" s="610"/>
      <c r="AG1313" s="609"/>
      <c r="AH1313" s="609"/>
      <c r="AI1313" s="726">
        <v>10560</v>
      </c>
      <c r="AJ1313" s="610">
        <f t="shared" si="483"/>
        <v>0</v>
      </c>
      <c r="AK1313" s="610"/>
      <c r="AL1313" s="610" t="s">
        <v>2368</v>
      </c>
      <c r="AM1313" s="610"/>
      <c r="AN1313" s="610">
        <f>I1313</f>
        <v>10560</v>
      </c>
      <c r="AO1313" s="554"/>
      <c r="AP1313" s="554">
        <f>I1313</f>
        <v>10560</v>
      </c>
      <c r="AQ1313" s="554"/>
      <c r="AR1313" s="619"/>
      <c r="AS1313" s="554"/>
      <c r="AT1313" s="554"/>
      <c r="AU1313" s="554">
        <f>I1313</f>
        <v>10560</v>
      </c>
      <c r="AV1313" s="554"/>
      <c r="AW1313" s="619"/>
      <c r="AX1313" s="554"/>
      <c r="AY1313" s="554"/>
      <c r="AZ1313" s="554"/>
      <c r="BA1313" s="554"/>
      <c r="BB1313" s="620">
        <f t="shared" si="491"/>
        <v>440</v>
      </c>
      <c r="BC1313" s="714"/>
      <c r="BD1313" s="554"/>
      <c r="BE1313" s="554"/>
      <c r="BF1313" s="554"/>
      <c r="BH1313" s="554"/>
      <c r="BI1313" s="554"/>
      <c r="BJ1313" s="554"/>
      <c r="BK1313" s="554"/>
      <c r="BL1313" s="554"/>
      <c r="BM1313" s="554"/>
      <c r="BN1313" s="554"/>
      <c r="BO1313" s="554"/>
      <c r="BP1313" s="554"/>
      <c r="BQ1313" s="554">
        <f>I1313/16</f>
        <v>660</v>
      </c>
      <c r="BR1313" s="554"/>
      <c r="BS1313" s="554"/>
      <c r="BT1313" s="554"/>
      <c r="BU1313" s="554"/>
      <c r="BV1313" s="554"/>
      <c r="BW1313" s="554"/>
      <c r="BX1313" s="554"/>
      <c r="BY1313" s="619"/>
      <c r="BZ1313" s="554"/>
      <c r="CA1313" s="621"/>
      <c r="CB1313" s="567"/>
      <c r="CC1313" s="622"/>
      <c r="CD1313" s="619"/>
      <c r="CE1313" s="619"/>
      <c r="CF1313" s="554"/>
      <c r="CG1313" s="554"/>
      <c r="CI1313" s="554"/>
      <c r="CJ1313" s="554"/>
      <c r="CK1313" s="554"/>
      <c r="CL1313" s="554"/>
      <c r="CM1313" s="554"/>
      <c r="CN1313" s="554"/>
      <c r="CO1313" s="554"/>
      <c r="CP1313" s="554"/>
      <c r="CQ1313" s="554"/>
      <c r="CR1313" s="554"/>
      <c r="CS1313" s="554"/>
      <c r="CT1313" s="554"/>
      <c r="CU1313" s="554">
        <f t="shared" si="484"/>
        <v>660</v>
      </c>
      <c r="CV1313" s="554">
        <f t="shared" si="492"/>
        <v>0</v>
      </c>
      <c r="CW1313" s="554">
        <f t="shared" si="493"/>
        <v>0</v>
      </c>
      <c r="CX1313" s="619"/>
      <c r="CY1313" s="619"/>
      <c r="CZ1313" s="619"/>
      <c r="DA1313" s="548"/>
      <c r="DB1313" s="548"/>
      <c r="DC1313" s="548"/>
      <c r="DD1313" s="619"/>
      <c r="DE1313" s="619"/>
      <c r="DF1313" s="619"/>
      <c r="DG1313" s="619"/>
      <c r="DH1313" s="619"/>
    </row>
    <row r="1314" s="548" customFormat="1" ht="31" customHeight="1" spans="1:112">
      <c r="A1314" s="608">
        <v>46105</v>
      </c>
      <c r="B1314" s="609" t="s">
        <v>143</v>
      </c>
      <c r="C1314" s="713" t="s">
        <v>98</v>
      </c>
      <c r="D1314" s="554">
        <v>4500198269</v>
      </c>
      <c r="E1314" s="613">
        <v>989301800</v>
      </c>
      <c r="F1314" s="554" t="s">
        <v>9208</v>
      </c>
      <c r="G1314" s="610" t="s">
        <v>6063</v>
      </c>
      <c r="H1314" s="610" t="s">
        <v>6064</v>
      </c>
      <c r="I1314" s="610">
        <v>6720</v>
      </c>
      <c r="J1314" s="610">
        <v>0</v>
      </c>
      <c r="K1314" s="610">
        <v>16</v>
      </c>
      <c r="L1314" s="611">
        <f t="shared" si="482"/>
        <v>420</v>
      </c>
      <c r="M1314" s="612">
        <v>46150</v>
      </c>
      <c r="N1314" s="612">
        <v>46146</v>
      </c>
      <c r="O1314" s="613" t="s">
        <v>9202</v>
      </c>
      <c r="P1314" s="613" t="s">
        <v>113</v>
      </c>
      <c r="Q1314" s="610"/>
      <c r="R1314" s="614" t="s">
        <v>7064</v>
      </c>
      <c r="S1314" s="614" t="s">
        <v>70</v>
      </c>
      <c r="T1314" s="614" t="s">
        <v>9203</v>
      </c>
      <c r="U1314" s="614"/>
      <c r="V1314" s="614"/>
      <c r="W1314" s="615"/>
      <c r="X1314" s="609" t="s">
        <v>9204</v>
      </c>
      <c r="Y1314" s="716" t="s">
        <v>106</v>
      </c>
      <c r="Z1314" s="722">
        <v>0.5837</v>
      </c>
      <c r="AA1314" s="616">
        <f t="shared" si="494"/>
        <v>3922.464</v>
      </c>
      <c r="AC1314" s="629" t="s">
        <v>9209</v>
      </c>
      <c r="AD1314" s="610" t="s">
        <v>6063</v>
      </c>
      <c r="AE1314" s="610" t="s">
        <v>82</v>
      </c>
      <c r="AF1314" s="610"/>
      <c r="AG1314" s="609"/>
      <c r="AH1314" s="609"/>
      <c r="AI1314" s="726">
        <v>6720</v>
      </c>
      <c r="AJ1314" s="610">
        <f t="shared" si="483"/>
        <v>0</v>
      </c>
      <c r="AK1314" s="610"/>
      <c r="AL1314" s="610" t="s">
        <v>2368</v>
      </c>
      <c r="AM1314" s="610"/>
      <c r="AN1314" s="610">
        <f>I1314</f>
        <v>6720</v>
      </c>
      <c r="AO1314" s="554"/>
      <c r="AP1314" s="554">
        <f>I1314</f>
        <v>6720</v>
      </c>
      <c r="AQ1314" s="554"/>
      <c r="AR1314" s="619"/>
      <c r="AS1314" s="554"/>
      <c r="AT1314" s="554"/>
      <c r="AU1314" s="554">
        <f>I1314</f>
        <v>6720</v>
      </c>
      <c r="AV1314" s="554"/>
      <c r="AW1314" s="619"/>
      <c r="AX1314" s="554"/>
      <c r="AY1314" s="554"/>
      <c r="AZ1314" s="554"/>
      <c r="BA1314" s="554"/>
      <c r="BB1314" s="620">
        <f t="shared" si="491"/>
        <v>280</v>
      </c>
      <c r="BC1314" s="714"/>
      <c r="BD1314" s="554"/>
      <c r="BE1314" s="554"/>
      <c r="BF1314" s="554"/>
      <c r="BH1314" s="554"/>
      <c r="BI1314" s="554"/>
      <c r="BJ1314" s="554"/>
      <c r="BK1314" s="554"/>
      <c r="BL1314" s="554"/>
      <c r="BM1314" s="554"/>
      <c r="BN1314" s="554"/>
      <c r="BO1314" s="554"/>
      <c r="BP1314" s="554"/>
      <c r="BQ1314" s="554">
        <f>I1314/16</f>
        <v>420</v>
      </c>
      <c r="BR1314" s="554"/>
      <c r="BS1314" s="554"/>
      <c r="BT1314" s="554"/>
      <c r="BU1314" s="554"/>
      <c r="BV1314" s="554"/>
      <c r="BW1314" s="554"/>
      <c r="BX1314" s="554"/>
      <c r="BY1314" s="619"/>
      <c r="BZ1314" s="554"/>
      <c r="CA1314" s="621"/>
      <c r="CB1314" s="567"/>
      <c r="CC1314" s="622"/>
      <c r="CD1314" s="619"/>
      <c r="CE1314" s="619"/>
      <c r="CF1314" s="554"/>
      <c r="CG1314" s="554"/>
      <c r="CI1314" s="554"/>
      <c r="CJ1314" s="554"/>
      <c r="CK1314" s="554"/>
      <c r="CL1314" s="554"/>
      <c r="CM1314" s="554"/>
      <c r="CN1314" s="554"/>
      <c r="CO1314" s="554"/>
      <c r="CP1314" s="554"/>
      <c r="CQ1314" s="554"/>
      <c r="CR1314" s="554"/>
      <c r="CS1314" s="554"/>
      <c r="CT1314" s="554"/>
      <c r="CU1314" s="554">
        <f t="shared" si="484"/>
        <v>420</v>
      </c>
      <c r="CV1314" s="554">
        <f t="shared" si="492"/>
        <v>0</v>
      </c>
      <c r="CW1314" s="554">
        <f t="shared" si="493"/>
        <v>0</v>
      </c>
      <c r="CX1314" s="619"/>
      <c r="CY1314" s="619"/>
      <c r="CZ1314" s="619"/>
      <c r="DA1314" s="548"/>
      <c r="DB1314" s="548"/>
      <c r="DC1314" s="548"/>
      <c r="DD1314" s="619"/>
      <c r="DE1314" s="619"/>
      <c r="DF1314" s="619"/>
      <c r="DG1314" s="619"/>
      <c r="DH1314" s="619"/>
    </row>
    <row r="1315" s="548" customFormat="1" ht="31" customHeight="1" spans="1:112">
      <c r="A1315" s="608">
        <v>46105</v>
      </c>
      <c r="B1315" s="609" t="s">
        <v>143</v>
      </c>
      <c r="C1315" s="713" t="s">
        <v>98</v>
      </c>
      <c r="D1315" s="554">
        <v>4500198269</v>
      </c>
      <c r="E1315" s="613">
        <v>989301811</v>
      </c>
      <c r="F1315" s="554" t="s">
        <v>9210</v>
      </c>
      <c r="G1315" s="610" t="s">
        <v>6063</v>
      </c>
      <c r="H1315" s="610" t="s">
        <v>6064</v>
      </c>
      <c r="I1315" s="610">
        <v>5760</v>
      </c>
      <c r="J1315" s="610">
        <v>0</v>
      </c>
      <c r="K1315" s="610">
        <v>16</v>
      </c>
      <c r="L1315" s="611">
        <f t="shared" si="482"/>
        <v>360</v>
      </c>
      <c r="M1315" s="612">
        <v>46150</v>
      </c>
      <c r="N1315" s="612">
        <v>46146</v>
      </c>
      <c r="O1315" s="613" t="s">
        <v>9202</v>
      </c>
      <c r="P1315" s="613" t="s">
        <v>113</v>
      </c>
      <c r="Q1315" s="610"/>
      <c r="R1315" s="614" t="s">
        <v>7064</v>
      </c>
      <c r="S1315" s="614" t="s">
        <v>70</v>
      </c>
      <c r="T1315" s="614" t="s">
        <v>9203</v>
      </c>
      <c r="U1315" s="614"/>
      <c r="V1315" s="614"/>
      <c r="W1315" s="615"/>
      <c r="X1315" s="609" t="s">
        <v>9204</v>
      </c>
      <c r="Y1315" s="716" t="s">
        <v>106</v>
      </c>
      <c r="Z1315" s="722">
        <v>0.5837</v>
      </c>
      <c r="AA1315" s="616">
        <f t="shared" si="494"/>
        <v>3362.112</v>
      </c>
      <c r="AC1315" s="629" t="s">
        <v>9211</v>
      </c>
      <c r="AD1315" s="610" t="s">
        <v>6063</v>
      </c>
      <c r="AE1315" s="610" t="s">
        <v>82</v>
      </c>
      <c r="AF1315" s="610"/>
      <c r="AG1315" s="609"/>
      <c r="AH1315" s="609"/>
      <c r="AI1315" s="726">
        <v>5760</v>
      </c>
      <c r="AJ1315" s="610">
        <f t="shared" si="483"/>
        <v>0</v>
      </c>
      <c r="AK1315" s="610"/>
      <c r="AL1315" s="610" t="s">
        <v>2368</v>
      </c>
      <c r="AM1315" s="610"/>
      <c r="AN1315" s="610">
        <f>I1315</f>
        <v>5760</v>
      </c>
      <c r="AO1315" s="554"/>
      <c r="AP1315" s="554">
        <f>I1315</f>
        <v>5760</v>
      </c>
      <c r="AQ1315" s="554"/>
      <c r="AR1315" s="619"/>
      <c r="AS1315" s="554"/>
      <c r="AT1315" s="554"/>
      <c r="AU1315" s="554">
        <f>I1315</f>
        <v>5760</v>
      </c>
      <c r="AV1315" s="554"/>
      <c r="AW1315" s="619"/>
      <c r="AX1315" s="554"/>
      <c r="AY1315" s="554"/>
      <c r="AZ1315" s="554"/>
      <c r="BA1315" s="554"/>
      <c r="BB1315" s="620">
        <f t="shared" si="491"/>
        <v>240</v>
      </c>
      <c r="BC1315" s="714"/>
      <c r="BD1315" s="554"/>
      <c r="BE1315" s="554"/>
      <c r="BF1315" s="554"/>
      <c r="BH1315" s="554"/>
      <c r="BI1315" s="554"/>
      <c r="BJ1315" s="554"/>
      <c r="BK1315" s="554"/>
      <c r="BL1315" s="554"/>
      <c r="BM1315" s="554"/>
      <c r="BN1315" s="554"/>
      <c r="BO1315" s="554"/>
      <c r="BP1315" s="554"/>
      <c r="BQ1315" s="554">
        <f>I1315/16</f>
        <v>360</v>
      </c>
      <c r="BR1315" s="554"/>
      <c r="BS1315" s="554"/>
      <c r="BT1315" s="554"/>
      <c r="BU1315" s="554"/>
      <c r="BV1315" s="554"/>
      <c r="BW1315" s="554"/>
      <c r="BX1315" s="554"/>
      <c r="BY1315" s="619"/>
      <c r="BZ1315" s="554"/>
      <c r="CA1315" s="621"/>
      <c r="CB1315" s="567"/>
      <c r="CC1315" s="622"/>
      <c r="CD1315" s="619"/>
      <c r="CE1315" s="619"/>
      <c r="CF1315" s="554"/>
      <c r="CG1315" s="554"/>
      <c r="CI1315" s="554"/>
      <c r="CJ1315" s="554"/>
      <c r="CK1315" s="554"/>
      <c r="CL1315" s="554"/>
      <c r="CM1315" s="554"/>
      <c r="CN1315" s="554"/>
      <c r="CO1315" s="554"/>
      <c r="CP1315" s="554"/>
      <c r="CQ1315" s="554"/>
      <c r="CR1315" s="554"/>
      <c r="CS1315" s="554"/>
      <c r="CT1315" s="554"/>
      <c r="CU1315" s="554">
        <f t="shared" si="484"/>
        <v>360</v>
      </c>
      <c r="CV1315" s="554">
        <f t="shared" si="492"/>
        <v>0</v>
      </c>
      <c r="CW1315" s="554">
        <f t="shared" si="493"/>
        <v>0</v>
      </c>
      <c r="CX1315" s="619"/>
      <c r="CY1315" s="619"/>
      <c r="CZ1315" s="619"/>
      <c r="DA1315" s="548"/>
      <c r="DB1315" s="548"/>
      <c r="DC1315" s="548"/>
      <c r="DD1315" s="619"/>
      <c r="DE1315" s="619"/>
      <c r="DF1315" s="619"/>
      <c r="DG1315" s="619"/>
      <c r="DH1315" s="619"/>
    </row>
    <row r="1316" s="548" customFormat="1" ht="31" customHeight="1" spans="1:112">
      <c r="A1316" s="608">
        <v>46098</v>
      </c>
      <c r="B1316" s="609" t="s">
        <v>3677</v>
      </c>
      <c r="C1316" s="610" t="s">
        <v>399</v>
      </c>
      <c r="D1316" s="554">
        <v>4500195307</v>
      </c>
      <c r="E1316" s="610">
        <v>2000009657</v>
      </c>
      <c r="F1316" s="554" t="s">
        <v>9212</v>
      </c>
      <c r="G1316" s="610" t="s">
        <v>6043</v>
      </c>
      <c r="H1316" s="610" t="s">
        <v>6110</v>
      </c>
      <c r="I1316" s="610">
        <v>5000</v>
      </c>
      <c r="J1316" s="610">
        <v>0</v>
      </c>
      <c r="K1316" s="610">
        <v>50</v>
      </c>
      <c r="L1316" s="611">
        <f t="shared" si="482"/>
        <v>100</v>
      </c>
      <c r="M1316" s="612">
        <v>46142</v>
      </c>
      <c r="N1316" s="612">
        <v>46139</v>
      </c>
      <c r="O1316" s="614" t="s">
        <v>3679</v>
      </c>
      <c r="P1316" s="613" t="s">
        <v>113</v>
      </c>
      <c r="Q1316" s="610"/>
      <c r="R1316" s="614">
        <v>46106</v>
      </c>
      <c r="S1316" s="614" t="s">
        <v>70</v>
      </c>
      <c r="T1316" s="614">
        <v>46106</v>
      </c>
      <c r="U1316" s="614"/>
      <c r="V1316" s="614" t="s">
        <v>9213</v>
      </c>
      <c r="W1316" s="615"/>
      <c r="X1316" s="609" t="s">
        <v>9214</v>
      </c>
      <c r="Y1316" s="609" t="s">
        <v>3683</v>
      </c>
      <c r="Z1316" s="722">
        <v>0.9521</v>
      </c>
      <c r="AA1316" s="616">
        <f t="shared" si="494"/>
        <v>4760.5</v>
      </c>
      <c r="AC1316" s="617"/>
      <c r="AD1316" s="609" t="s">
        <v>6043</v>
      </c>
      <c r="AE1316" s="610" t="s">
        <v>82</v>
      </c>
      <c r="AF1316" s="610"/>
      <c r="AG1316" s="610"/>
      <c r="AH1316" s="609">
        <v>1</v>
      </c>
      <c r="AI1316" s="725">
        <v>5000</v>
      </c>
      <c r="AJ1316" s="610">
        <f t="shared" si="483"/>
        <v>0</v>
      </c>
      <c r="AK1316" s="610"/>
      <c r="AL1316" s="610" t="s">
        <v>2368</v>
      </c>
      <c r="AM1316" s="610"/>
      <c r="AN1316" s="614"/>
      <c r="AO1316" s="554">
        <f>I1316</f>
        <v>5000</v>
      </c>
      <c r="AP1316" s="554"/>
      <c r="AQ1316" s="554"/>
      <c r="AR1316" s="619"/>
      <c r="AS1316" s="554"/>
      <c r="AT1316" s="554">
        <f>I1316</f>
        <v>5000</v>
      </c>
      <c r="AU1316" s="554"/>
      <c r="AV1316" s="554">
        <f>I1316</f>
        <v>5000</v>
      </c>
      <c r="AW1316" s="619"/>
      <c r="AX1316" s="554"/>
      <c r="AY1316" s="554"/>
      <c r="AZ1316" s="554"/>
      <c r="BA1316" s="554"/>
      <c r="BB1316" s="620">
        <f t="shared" si="491"/>
        <v>208.333333333333</v>
      </c>
      <c r="BC1316" s="714"/>
      <c r="BD1316" s="554"/>
      <c r="BE1316" s="554"/>
      <c r="BF1316" s="554"/>
      <c r="BH1316" s="554"/>
      <c r="BI1316" s="554"/>
      <c r="BJ1316" s="554"/>
      <c r="BK1316" s="554"/>
      <c r="BL1316" s="554"/>
      <c r="BM1316" s="554"/>
      <c r="BN1316" s="554"/>
      <c r="BO1316" s="554"/>
      <c r="BP1316" s="554">
        <f>I1316/25</f>
        <v>200</v>
      </c>
      <c r="BQ1316" s="554"/>
      <c r="BR1316" s="554"/>
      <c r="BS1316" s="554"/>
      <c r="BT1316" s="554"/>
      <c r="BU1316" s="554"/>
      <c r="BV1316" s="554"/>
      <c r="BW1316" s="554"/>
      <c r="BX1316" s="554"/>
      <c r="BY1316" s="619"/>
      <c r="BZ1316" s="554"/>
      <c r="CA1316" s="621"/>
      <c r="CB1316" s="567"/>
      <c r="CC1316" s="622"/>
      <c r="CD1316" s="619"/>
      <c r="CE1316" s="619"/>
      <c r="CF1316" s="554"/>
      <c r="CG1316" s="554"/>
      <c r="CI1316" s="554"/>
      <c r="CJ1316" s="554"/>
      <c r="CK1316" s="554"/>
      <c r="CL1316" s="554"/>
      <c r="CM1316" s="554"/>
      <c r="CN1316" s="554"/>
      <c r="CO1316" s="554"/>
      <c r="CP1316" s="554"/>
      <c r="CQ1316" s="554"/>
      <c r="CR1316" s="554"/>
      <c r="CS1316" s="554"/>
      <c r="CT1316" s="554"/>
      <c r="CU1316" s="554">
        <f t="shared" si="484"/>
        <v>200</v>
      </c>
      <c r="CV1316" s="554">
        <f t="shared" si="492"/>
        <v>0</v>
      </c>
      <c r="CW1316" s="554">
        <f t="shared" si="493"/>
        <v>0</v>
      </c>
      <c r="CX1316" s="619"/>
      <c r="CY1316" s="619"/>
      <c r="CZ1316" s="619"/>
      <c r="DA1316" s="548"/>
      <c r="DB1316" s="548"/>
      <c r="DC1316" s="548"/>
      <c r="DD1316" s="619"/>
      <c r="DE1316" s="619"/>
      <c r="DF1316" s="619"/>
      <c r="DG1316" s="619"/>
      <c r="DH1316" s="619"/>
    </row>
    <row r="1317" s="548" customFormat="1" ht="31" customHeight="1" spans="1:112">
      <c r="A1317" s="608">
        <v>46094</v>
      </c>
      <c r="B1317" s="609" t="s">
        <v>3673</v>
      </c>
      <c r="C1317" s="610" t="s">
        <v>573</v>
      </c>
      <c r="D1317" s="554">
        <v>4500196811</v>
      </c>
      <c r="E1317" s="610"/>
      <c r="F1317" s="554" t="s">
        <v>9215</v>
      </c>
      <c r="G1317" s="610" t="s">
        <v>6040</v>
      </c>
      <c r="H1317" s="610" t="s">
        <v>6041</v>
      </c>
      <c r="I1317" s="610">
        <v>780</v>
      </c>
      <c r="J1317" s="610">
        <v>0</v>
      </c>
      <c r="K1317" s="610">
        <v>52</v>
      </c>
      <c r="L1317" s="611">
        <f t="shared" si="482"/>
        <v>15</v>
      </c>
      <c r="M1317" s="612">
        <v>46142</v>
      </c>
      <c r="N1317" s="612">
        <v>46139</v>
      </c>
      <c r="O1317" s="613"/>
      <c r="P1317" s="613" t="s">
        <v>113</v>
      </c>
      <c r="Q1317" s="610"/>
      <c r="R1317" s="614">
        <v>46094</v>
      </c>
      <c r="S1317" s="614" t="s">
        <v>70</v>
      </c>
      <c r="T1317" s="614" t="s">
        <v>3675</v>
      </c>
      <c r="U1317" s="614"/>
      <c r="V1317" s="614"/>
      <c r="W1317" s="615"/>
      <c r="X1317" s="609" t="s">
        <v>9216</v>
      </c>
      <c r="Y1317" s="609" t="s">
        <v>665</v>
      </c>
      <c r="Z1317" s="722">
        <v>0.9514</v>
      </c>
      <c r="AA1317" s="616">
        <f t="shared" si="494"/>
        <v>742.092</v>
      </c>
      <c r="AC1317" s="617"/>
      <c r="AD1317" s="610" t="s">
        <v>6040</v>
      </c>
      <c r="AE1317" s="610" t="s">
        <v>82</v>
      </c>
      <c r="AF1317" s="610"/>
      <c r="AG1317" s="610"/>
      <c r="AH1317" s="609">
        <v>1</v>
      </c>
      <c r="AI1317" s="725">
        <v>780</v>
      </c>
      <c r="AJ1317" s="610">
        <f t="shared" si="483"/>
        <v>0</v>
      </c>
      <c r="AK1317" s="610"/>
      <c r="AL1317" s="610" t="s">
        <v>2368</v>
      </c>
      <c r="AM1317" s="610"/>
      <c r="AN1317" s="614"/>
      <c r="AO1317" s="554">
        <f>I1317</f>
        <v>780</v>
      </c>
      <c r="AP1317" s="554"/>
      <c r="AQ1317" s="554"/>
      <c r="AR1317" s="619"/>
      <c r="AS1317" s="554"/>
      <c r="AT1317" s="554">
        <f>I1317</f>
        <v>780</v>
      </c>
      <c r="AU1317" s="554"/>
      <c r="AV1317" s="554">
        <f>I1317</f>
        <v>780</v>
      </c>
      <c r="AW1317" s="619"/>
      <c r="AX1317" s="554"/>
      <c r="AY1317" s="554"/>
      <c r="AZ1317" s="554"/>
      <c r="BA1317" s="554"/>
      <c r="BB1317" s="620">
        <f t="shared" si="491"/>
        <v>32.5</v>
      </c>
      <c r="BC1317" s="714"/>
      <c r="BD1317" s="554"/>
      <c r="BE1317" s="554"/>
      <c r="BF1317" s="554"/>
      <c r="BH1317" s="554"/>
      <c r="BI1317" s="554"/>
      <c r="BJ1317" s="554"/>
      <c r="BK1317" s="554"/>
      <c r="BL1317" s="554"/>
      <c r="BM1317" s="554">
        <f>I1317/13</f>
        <v>60</v>
      </c>
      <c r="BN1317" s="554"/>
      <c r="BO1317" s="554"/>
      <c r="BP1317" s="554"/>
      <c r="BQ1317" s="554"/>
      <c r="BR1317" s="554"/>
      <c r="BS1317" s="554"/>
      <c r="BT1317" s="554"/>
      <c r="BU1317" s="554"/>
      <c r="BV1317" s="554"/>
      <c r="BW1317" s="554"/>
      <c r="BX1317" s="554"/>
      <c r="BY1317" s="619"/>
      <c r="BZ1317" s="554"/>
      <c r="CA1317" s="621"/>
      <c r="CB1317" s="567"/>
      <c r="CC1317" s="622"/>
      <c r="CD1317" s="619"/>
      <c r="CE1317" s="619"/>
      <c r="CF1317" s="554"/>
      <c r="CG1317" s="554"/>
      <c r="CI1317" s="554"/>
      <c r="CJ1317" s="554"/>
      <c r="CK1317" s="554"/>
      <c r="CL1317" s="554"/>
      <c r="CM1317" s="554"/>
      <c r="CN1317" s="554"/>
      <c r="CO1317" s="554"/>
      <c r="CP1317" s="554"/>
      <c r="CQ1317" s="554"/>
      <c r="CR1317" s="554"/>
      <c r="CS1317" s="554"/>
      <c r="CT1317" s="554"/>
      <c r="CU1317" s="554">
        <f t="shared" si="484"/>
        <v>0</v>
      </c>
      <c r="CV1317" s="554">
        <f t="shared" si="492"/>
        <v>0</v>
      </c>
      <c r="CW1317" s="554">
        <f t="shared" si="493"/>
        <v>0</v>
      </c>
      <c r="CX1317" s="619"/>
      <c r="CY1317" s="619"/>
      <c r="CZ1317" s="619"/>
      <c r="DA1317" s="548"/>
      <c r="DB1317" s="548"/>
      <c r="DC1317" s="548"/>
      <c r="DD1317" s="619"/>
      <c r="DE1317" s="619"/>
      <c r="DF1317" s="619"/>
      <c r="DG1317" s="619"/>
      <c r="DH1317" s="619"/>
    </row>
    <row r="1318" s="548" customFormat="1" ht="31" customHeight="1" spans="1:112">
      <c r="A1318" s="608">
        <v>46101</v>
      </c>
      <c r="B1318" s="609" t="s">
        <v>3715</v>
      </c>
      <c r="C1318" s="610" t="s">
        <v>98</v>
      </c>
      <c r="D1318" s="554">
        <v>4500197805</v>
      </c>
      <c r="E1318" s="610">
        <v>41201441</v>
      </c>
      <c r="F1318" s="554" t="s">
        <v>9217</v>
      </c>
      <c r="G1318" s="610" t="s">
        <v>6084</v>
      </c>
      <c r="H1318" s="610" t="s">
        <v>6085</v>
      </c>
      <c r="I1318" s="610">
        <v>3425</v>
      </c>
      <c r="J1318" s="610">
        <v>0</v>
      </c>
      <c r="K1318" s="610">
        <v>25</v>
      </c>
      <c r="L1318" s="611">
        <f t="shared" si="482"/>
        <v>137</v>
      </c>
      <c r="M1318" s="612">
        <v>46148</v>
      </c>
      <c r="N1318" s="612">
        <v>46144</v>
      </c>
      <c r="O1318" s="613"/>
      <c r="P1318" s="613" t="s">
        <v>113</v>
      </c>
      <c r="Q1318" s="610"/>
      <c r="R1318" s="614">
        <v>46119</v>
      </c>
      <c r="S1318" s="614" t="s">
        <v>104</v>
      </c>
      <c r="T1318" s="614" t="s">
        <v>9218</v>
      </c>
      <c r="U1318" s="614"/>
      <c r="V1318" s="614" t="s">
        <v>9219</v>
      </c>
      <c r="W1318" s="615"/>
      <c r="X1318" s="609" t="s">
        <v>9220</v>
      </c>
      <c r="Y1318" s="609" t="s">
        <v>3717</v>
      </c>
      <c r="Z1318" s="722">
        <v>0.5914</v>
      </c>
      <c r="AA1318" s="616">
        <f t="shared" si="494"/>
        <v>2025.545</v>
      </c>
      <c r="AC1318" s="629" t="s">
        <v>9221</v>
      </c>
      <c r="AD1318" s="610" t="s">
        <v>6089</v>
      </c>
      <c r="AE1318" s="610" t="s">
        <v>82</v>
      </c>
      <c r="AF1318" s="610"/>
      <c r="AG1318" s="610"/>
      <c r="AH1318" s="609">
        <v>1</v>
      </c>
      <c r="AI1318" s="726">
        <v>3425</v>
      </c>
      <c r="AJ1318" s="610">
        <f t="shared" si="483"/>
        <v>0</v>
      </c>
      <c r="AK1318" s="610"/>
      <c r="AL1318" s="610" t="s">
        <v>2368</v>
      </c>
      <c r="AM1318" s="610"/>
      <c r="AN1318" s="610">
        <f>I1318</f>
        <v>3425</v>
      </c>
      <c r="AO1318" s="554"/>
      <c r="AP1318" s="554"/>
      <c r="AQ1318" s="554"/>
      <c r="AR1318" s="619"/>
      <c r="AS1318" s="554">
        <f>I1318</f>
        <v>3425</v>
      </c>
      <c r="AT1318" s="554"/>
      <c r="AU1318" s="554">
        <f>I1318</f>
        <v>3425</v>
      </c>
      <c r="AV1318" s="554"/>
      <c r="AW1318" s="619"/>
      <c r="AX1318" s="554"/>
      <c r="AY1318" s="554"/>
      <c r="AZ1318" s="554"/>
      <c r="BA1318" s="554"/>
      <c r="BB1318" s="620">
        <f t="shared" si="491"/>
        <v>142.708333333333</v>
      </c>
      <c r="BC1318" s="714"/>
      <c r="BD1318" s="554"/>
      <c r="BE1318" s="554"/>
      <c r="BF1318" s="554"/>
      <c r="BH1318" s="554"/>
      <c r="BI1318" s="554"/>
      <c r="BJ1318" s="554"/>
      <c r="BK1318" s="554"/>
      <c r="BL1318" s="554"/>
      <c r="BM1318" s="554"/>
      <c r="BN1318" s="554"/>
      <c r="BO1318" s="554">
        <f>I1318/25</f>
        <v>137</v>
      </c>
      <c r="BP1318" s="554"/>
      <c r="BQ1318" s="554"/>
      <c r="BR1318" s="554"/>
      <c r="BS1318" s="554"/>
      <c r="BT1318" s="554"/>
      <c r="BU1318" s="554"/>
      <c r="BV1318" s="554"/>
      <c r="BW1318" s="554"/>
      <c r="BX1318" s="554"/>
      <c r="BY1318" s="619"/>
      <c r="BZ1318" s="554"/>
      <c r="CA1318" s="621"/>
      <c r="CB1318" s="567"/>
      <c r="CC1318" s="622"/>
      <c r="CD1318" s="619"/>
      <c r="CE1318" s="619"/>
      <c r="CF1318" s="554"/>
      <c r="CG1318" s="554"/>
      <c r="CI1318" s="554"/>
      <c r="CJ1318" s="554"/>
      <c r="CK1318" s="554"/>
      <c r="CL1318" s="554"/>
      <c r="CM1318" s="554"/>
      <c r="CN1318" s="554"/>
      <c r="CO1318" s="554"/>
      <c r="CP1318" s="554"/>
      <c r="CQ1318" s="554"/>
      <c r="CR1318" s="554"/>
      <c r="CS1318" s="554"/>
      <c r="CT1318" s="554"/>
      <c r="CU1318" s="554">
        <f t="shared" si="484"/>
        <v>137</v>
      </c>
      <c r="CV1318" s="554">
        <f t="shared" si="492"/>
        <v>0</v>
      </c>
      <c r="CW1318" s="554">
        <f t="shared" si="493"/>
        <v>0</v>
      </c>
      <c r="CX1318" s="619"/>
      <c r="CY1318" s="619"/>
      <c r="CZ1318" s="619"/>
      <c r="DA1318" s="548"/>
      <c r="DB1318" s="548"/>
      <c r="DC1318" s="548"/>
      <c r="DD1318" s="619"/>
      <c r="DE1318" s="619"/>
      <c r="DF1318" s="619"/>
      <c r="DG1318" s="619"/>
      <c r="DH1318" s="619"/>
    </row>
    <row r="1319" s="548" customFormat="1" ht="31" customHeight="1" spans="1:112">
      <c r="A1319" s="608">
        <v>46101</v>
      </c>
      <c r="B1319" s="609" t="s">
        <v>3715</v>
      </c>
      <c r="C1319" s="610" t="s">
        <v>98</v>
      </c>
      <c r="D1319" s="554">
        <v>4500197809</v>
      </c>
      <c r="E1319" s="610">
        <v>41201444</v>
      </c>
      <c r="F1319" s="554" t="s">
        <v>9222</v>
      </c>
      <c r="G1319" s="610" t="s">
        <v>6084</v>
      </c>
      <c r="H1319" s="610" t="s">
        <v>6085</v>
      </c>
      <c r="I1319" s="610">
        <v>3425</v>
      </c>
      <c r="J1319" s="610">
        <v>0</v>
      </c>
      <c r="K1319" s="610">
        <v>25</v>
      </c>
      <c r="L1319" s="611">
        <f t="shared" si="482"/>
        <v>137</v>
      </c>
      <c r="M1319" s="612">
        <v>46148</v>
      </c>
      <c r="N1319" s="612">
        <v>46144</v>
      </c>
      <c r="O1319" s="613"/>
      <c r="P1319" s="613" t="s">
        <v>113</v>
      </c>
      <c r="Q1319" s="610"/>
      <c r="R1319" s="614">
        <v>46119</v>
      </c>
      <c r="S1319" s="614" t="s">
        <v>104</v>
      </c>
      <c r="T1319" s="614" t="s">
        <v>9218</v>
      </c>
      <c r="U1319" s="614"/>
      <c r="V1319" s="614" t="s">
        <v>9219</v>
      </c>
      <c r="W1319" s="615"/>
      <c r="X1319" s="609" t="s">
        <v>9223</v>
      </c>
      <c r="Y1319" s="609" t="s">
        <v>3717</v>
      </c>
      <c r="Z1319" s="722">
        <v>0.5914</v>
      </c>
      <c r="AA1319" s="616">
        <f t="shared" si="494"/>
        <v>2025.545</v>
      </c>
      <c r="AC1319" s="629" t="s">
        <v>3722</v>
      </c>
      <c r="AD1319" s="610" t="s">
        <v>6089</v>
      </c>
      <c r="AE1319" s="610" t="s">
        <v>82</v>
      </c>
      <c r="AF1319" s="610"/>
      <c r="AG1319" s="610"/>
      <c r="AH1319" s="609">
        <v>1</v>
      </c>
      <c r="AI1319" s="726">
        <v>3425</v>
      </c>
      <c r="AJ1319" s="610">
        <f t="shared" si="483"/>
        <v>0</v>
      </c>
      <c r="AK1319" s="610"/>
      <c r="AL1319" s="610" t="s">
        <v>2368</v>
      </c>
      <c r="AM1319" s="610"/>
      <c r="AN1319" s="610">
        <f>I1319</f>
        <v>3425</v>
      </c>
      <c r="AO1319" s="554"/>
      <c r="AP1319" s="554"/>
      <c r="AQ1319" s="554"/>
      <c r="AR1319" s="619"/>
      <c r="AS1319" s="554">
        <f>I1319</f>
        <v>3425</v>
      </c>
      <c r="AT1319" s="554"/>
      <c r="AU1319" s="554">
        <f>I1319</f>
        <v>3425</v>
      </c>
      <c r="AV1319" s="554"/>
      <c r="AW1319" s="619"/>
      <c r="AX1319" s="554"/>
      <c r="AY1319" s="554"/>
      <c r="AZ1319" s="554"/>
      <c r="BA1319" s="554"/>
      <c r="BB1319" s="620">
        <f t="shared" si="491"/>
        <v>142.708333333333</v>
      </c>
      <c r="BC1319" s="714"/>
      <c r="BD1319" s="554"/>
      <c r="BE1319" s="554"/>
      <c r="BF1319" s="554"/>
      <c r="BH1319" s="554"/>
      <c r="BI1319" s="554"/>
      <c r="BJ1319" s="554"/>
      <c r="BK1319" s="554"/>
      <c r="BL1319" s="554"/>
      <c r="BM1319" s="554"/>
      <c r="BN1319" s="554"/>
      <c r="BO1319" s="554">
        <f>I1319/25</f>
        <v>137</v>
      </c>
      <c r="BP1319" s="554"/>
      <c r="BQ1319" s="554"/>
      <c r="BR1319" s="554"/>
      <c r="BS1319" s="554"/>
      <c r="BT1319" s="554"/>
      <c r="BU1319" s="554"/>
      <c r="BV1319" s="554"/>
      <c r="BW1319" s="554"/>
      <c r="BX1319" s="554"/>
      <c r="BY1319" s="619"/>
      <c r="BZ1319" s="554"/>
      <c r="CA1319" s="621"/>
      <c r="CB1319" s="567"/>
      <c r="CC1319" s="622"/>
      <c r="CD1319" s="619"/>
      <c r="CE1319" s="619"/>
      <c r="CF1319" s="554"/>
      <c r="CG1319" s="554"/>
      <c r="CI1319" s="554"/>
      <c r="CJ1319" s="554"/>
      <c r="CK1319" s="554"/>
      <c r="CL1319" s="554"/>
      <c r="CM1319" s="554"/>
      <c r="CN1319" s="554"/>
      <c r="CO1319" s="554"/>
      <c r="CP1319" s="554"/>
      <c r="CQ1319" s="554"/>
      <c r="CR1319" s="554"/>
      <c r="CS1319" s="554"/>
      <c r="CT1319" s="554"/>
      <c r="CU1319" s="554">
        <f t="shared" si="484"/>
        <v>137</v>
      </c>
      <c r="CV1319" s="554">
        <f t="shared" si="492"/>
        <v>0</v>
      </c>
      <c r="CW1319" s="554">
        <f t="shared" si="493"/>
        <v>0</v>
      </c>
      <c r="CX1319" s="619"/>
      <c r="CY1319" s="619"/>
      <c r="CZ1319" s="619"/>
      <c r="DA1319" s="548"/>
      <c r="DB1319" s="548"/>
      <c r="DC1319" s="548"/>
      <c r="DD1319" s="619"/>
      <c r="DE1319" s="619"/>
      <c r="DF1319" s="619"/>
      <c r="DG1319" s="619"/>
      <c r="DH1319" s="619"/>
    </row>
    <row r="1320" s="548" customFormat="1" ht="31" customHeight="1" spans="1:112">
      <c r="A1320" s="608">
        <v>46101</v>
      </c>
      <c r="B1320" s="609" t="s">
        <v>3715</v>
      </c>
      <c r="C1320" s="610" t="s">
        <v>98</v>
      </c>
      <c r="D1320" s="554">
        <v>4500197806</v>
      </c>
      <c r="E1320" s="610">
        <v>41201442</v>
      </c>
      <c r="F1320" s="554" t="s">
        <v>9224</v>
      </c>
      <c r="G1320" s="610" t="s">
        <v>6084</v>
      </c>
      <c r="H1320" s="610" t="s">
        <v>6085</v>
      </c>
      <c r="I1320" s="610">
        <v>2450</v>
      </c>
      <c r="J1320" s="610">
        <v>0</v>
      </c>
      <c r="K1320" s="610">
        <v>25</v>
      </c>
      <c r="L1320" s="611">
        <f t="shared" si="482"/>
        <v>98</v>
      </c>
      <c r="M1320" s="612">
        <v>46148</v>
      </c>
      <c r="N1320" s="612">
        <v>46144</v>
      </c>
      <c r="O1320" s="613"/>
      <c r="P1320" s="613" t="s">
        <v>113</v>
      </c>
      <c r="Q1320" s="610"/>
      <c r="R1320" s="614">
        <v>46119</v>
      </c>
      <c r="S1320" s="614" t="s">
        <v>104</v>
      </c>
      <c r="T1320" s="614" t="s">
        <v>9218</v>
      </c>
      <c r="U1320" s="614"/>
      <c r="V1320" s="614" t="s">
        <v>9219</v>
      </c>
      <c r="W1320" s="615"/>
      <c r="X1320" s="609" t="s">
        <v>9223</v>
      </c>
      <c r="Y1320" s="609" t="s">
        <v>3717</v>
      </c>
      <c r="Z1320" s="722">
        <v>0.5914</v>
      </c>
      <c r="AA1320" s="616">
        <f t="shared" si="494"/>
        <v>1448.93</v>
      </c>
      <c r="AC1320" s="629" t="s">
        <v>9225</v>
      </c>
      <c r="AD1320" s="610" t="s">
        <v>6089</v>
      </c>
      <c r="AE1320" s="610" t="s">
        <v>82</v>
      </c>
      <c r="AF1320" s="610"/>
      <c r="AG1320" s="610"/>
      <c r="AH1320" s="609">
        <v>1</v>
      </c>
      <c r="AI1320" s="726">
        <v>2450</v>
      </c>
      <c r="AJ1320" s="610">
        <f t="shared" si="483"/>
        <v>0</v>
      </c>
      <c r="AK1320" s="610"/>
      <c r="AL1320" s="610" t="s">
        <v>2368</v>
      </c>
      <c r="AM1320" s="610"/>
      <c r="AN1320" s="610">
        <f>I1320</f>
        <v>2450</v>
      </c>
      <c r="AO1320" s="554"/>
      <c r="AP1320" s="554"/>
      <c r="AQ1320" s="554"/>
      <c r="AR1320" s="619"/>
      <c r="AS1320" s="554">
        <f>I1320</f>
        <v>2450</v>
      </c>
      <c r="AT1320" s="554"/>
      <c r="AU1320" s="554">
        <f>I1320</f>
        <v>2450</v>
      </c>
      <c r="AV1320" s="554"/>
      <c r="AW1320" s="619"/>
      <c r="AX1320" s="554"/>
      <c r="AY1320" s="554"/>
      <c r="AZ1320" s="554"/>
      <c r="BA1320" s="554"/>
      <c r="BB1320" s="620">
        <f t="shared" si="491"/>
        <v>102.083333333333</v>
      </c>
      <c r="BC1320" s="714"/>
      <c r="BD1320" s="554"/>
      <c r="BE1320" s="554"/>
      <c r="BF1320" s="554"/>
      <c r="BH1320" s="554"/>
      <c r="BI1320" s="554"/>
      <c r="BJ1320" s="554"/>
      <c r="BK1320" s="554"/>
      <c r="BL1320" s="554"/>
      <c r="BM1320" s="554"/>
      <c r="BN1320" s="554"/>
      <c r="BO1320" s="554">
        <f>I1320/25</f>
        <v>98</v>
      </c>
      <c r="BP1320" s="554"/>
      <c r="BQ1320" s="554"/>
      <c r="BR1320" s="554"/>
      <c r="BS1320" s="554"/>
      <c r="BT1320" s="554"/>
      <c r="BU1320" s="554"/>
      <c r="BV1320" s="554"/>
      <c r="BW1320" s="554"/>
      <c r="BX1320" s="554"/>
      <c r="BY1320" s="619"/>
      <c r="BZ1320" s="554"/>
      <c r="CA1320" s="621"/>
      <c r="CB1320" s="567"/>
      <c r="CC1320" s="622"/>
      <c r="CD1320" s="619"/>
      <c r="CE1320" s="619"/>
      <c r="CF1320" s="554"/>
      <c r="CG1320" s="554"/>
      <c r="CI1320" s="554"/>
      <c r="CJ1320" s="554"/>
      <c r="CK1320" s="554"/>
      <c r="CL1320" s="554"/>
      <c r="CM1320" s="554"/>
      <c r="CN1320" s="554"/>
      <c r="CO1320" s="554"/>
      <c r="CP1320" s="554"/>
      <c r="CQ1320" s="554"/>
      <c r="CR1320" s="554"/>
      <c r="CS1320" s="554"/>
      <c r="CT1320" s="554"/>
      <c r="CU1320" s="554">
        <f t="shared" si="484"/>
        <v>98</v>
      </c>
      <c r="CV1320" s="554">
        <f t="shared" si="492"/>
        <v>0</v>
      </c>
      <c r="CW1320" s="554">
        <f t="shared" si="493"/>
        <v>0</v>
      </c>
      <c r="CX1320" s="619"/>
      <c r="CY1320" s="619"/>
      <c r="CZ1320" s="619"/>
      <c r="DA1320" s="548"/>
      <c r="DB1320" s="548"/>
      <c r="DC1320" s="548"/>
      <c r="DD1320" s="619"/>
      <c r="DE1320" s="619"/>
      <c r="DF1320" s="619"/>
      <c r="DG1320" s="619"/>
      <c r="DH1320" s="619"/>
    </row>
    <row r="1321" s="548" customFormat="1" ht="31" customHeight="1" spans="1:112">
      <c r="A1321" s="608">
        <v>46065</v>
      </c>
      <c r="B1321" s="609" t="s">
        <v>1327</v>
      </c>
      <c r="C1321" s="610" t="s">
        <v>524</v>
      </c>
      <c r="D1321" s="554">
        <v>4500193910</v>
      </c>
      <c r="E1321" s="610"/>
      <c r="F1321" s="554" t="s">
        <v>9226</v>
      </c>
      <c r="G1321" s="610" t="s">
        <v>6043</v>
      </c>
      <c r="H1321" s="610" t="s">
        <v>6110</v>
      </c>
      <c r="I1321" s="715">
        <v>1500</v>
      </c>
      <c r="J1321" s="610">
        <v>0</v>
      </c>
      <c r="K1321" s="610">
        <v>50</v>
      </c>
      <c r="L1321" s="611">
        <f t="shared" si="482"/>
        <v>30</v>
      </c>
      <c r="M1321" s="612">
        <v>46148</v>
      </c>
      <c r="N1321" s="612">
        <v>46144</v>
      </c>
      <c r="O1321" s="613" t="s">
        <v>1329</v>
      </c>
      <c r="P1321" s="613" t="s">
        <v>113</v>
      </c>
      <c r="Q1321" s="610"/>
      <c r="R1321" s="614">
        <v>46094</v>
      </c>
      <c r="S1321" s="614" t="s">
        <v>70</v>
      </c>
      <c r="T1321" s="614" t="s">
        <v>9227</v>
      </c>
      <c r="U1321" s="614"/>
      <c r="V1321" s="614"/>
      <c r="W1321" s="615"/>
      <c r="X1321" s="609" t="s">
        <v>9228</v>
      </c>
      <c r="Y1321" s="616" t="s">
        <v>340</v>
      </c>
      <c r="Z1321" s="609">
        <v>0.9749</v>
      </c>
      <c r="AA1321" s="616">
        <f t="shared" si="494"/>
        <v>1462.35</v>
      </c>
      <c r="AC1321" s="617"/>
      <c r="AD1321" s="609" t="s">
        <v>6043</v>
      </c>
      <c r="AE1321" s="610" t="s">
        <v>82</v>
      </c>
      <c r="AF1321" s="610"/>
      <c r="AG1321" s="609"/>
      <c r="AH1321" s="609">
        <v>1</v>
      </c>
      <c r="AI1321" s="725">
        <v>1500</v>
      </c>
      <c r="AJ1321" s="246">
        <f t="shared" si="483"/>
        <v>0</v>
      </c>
      <c r="AK1321" s="610"/>
      <c r="AL1321" s="610" t="s">
        <v>2368</v>
      </c>
      <c r="AM1321" s="610"/>
      <c r="AN1321" s="610"/>
      <c r="AO1321" s="554">
        <f>I1321</f>
        <v>1500</v>
      </c>
      <c r="AP1321" s="554"/>
      <c r="AQ1321" s="554"/>
      <c r="AR1321" s="619"/>
      <c r="AS1321" s="554"/>
      <c r="AT1321" s="554">
        <f>I1321</f>
        <v>1500</v>
      </c>
      <c r="AU1321" s="554"/>
      <c r="AV1321" s="554">
        <f>I1321</f>
        <v>1500</v>
      </c>
      <c r="AW1321" s="619"/>
      <c r="AX1321" s="554"/>
      <c r="AY1321" s="554"/>
      <c r="AZ1321" s="554"/>
      <c r="BA1321" s="554"/>
      <c r="BB1321" s="620">
        <f t="shared" si="491"/>
        <v>62.5</v>
      </c>
      <c r="BC1321" s="714"/>
      <c r="BD1321" s="554"/>
      <c r="BE1321" s="554"/>
      <c r="BF1321" s="554"/>
      <c r="BH1321" s="554"/>
      <c r="BI1321" s="554"/>
      <c r="BJ1321" s="554"/>
      <c r="BK1321" s="554"/>
      <c r="BL1321" s="554"/>
      <c r="BM1321" s="554"/>
      <c r="BN1321" s="554"/>
      <c r="BO1321" s="554"/>
      <c r="BP1321" s="554">
        <f>I1321/25</f>
        <v>60</v>
      </c>
      <c r="BQ1321" s="554"/>
      <c r="BR1321" s="554"/>
      <c r="BS1321" s="554"/>
      <c r="BT1321" s="554"/>
      <c r="BU1321" s="554"/>
      <c r="BV1321" s="554"/>
      <c r="BW1321" s="554"/>
      <c r="BX1321" s="554"/>
      <c r="BY1321" s="619"/>
      <c r="BZ1321" s="554"/>
      <c r="CA1321" s="621"/>
      <c r="CB1321" s="567"/>
      <c r="CC1321" s="622"/>
      <c r="CD1321" s="619"/>
      <c r="CE1321" s="619"/>
      <c r="CF1321" s="554"/>
      <c r="CG1321" s="554"/>
      <c r="CI1321" s="554"/>
      <c r="CJ1321" s="554"/>
      <c r="CK1321" s="554"/>
      <c r="CL1321" s="554"/>
      <c r="CM1321" s="554"/>
      <c r="CN1321" s="554"/>
      <c r="CO1321" s="554"/>
      <c r="CP1321" s="554"/>
      <c r="CQ1321" s="554"/>
      <c r="CR1321" s="554"/>
      <c r="CS1321" s="554"/>
      <c r="CT1321" s="554"/>
      <c r="CU1321" s="554">
        <f t="shared" si="484"/>
        <v>60</v>
      </c>
      <c r="CV1321" s="554">
        <f t="shared" si="492"/>
        <v>0</v>
      </c>
      <c r="CW1321" s="554">
        <f t="shared" si="493"/>
        <v>0</v>
      </c>
      <c r="CX1321" s="619"/>
      <c r="CY1321" s="619"/>
      <c r="CZ1321" s="619"/>
      <c r="DA1321" s="548"/>
      <c r="DB1321" s="548"/>
      <c r="DC1321" s="548"/>
      <c r="DD1321" s="619"/>
      <c r="DE1321" s="619"/>
      <c r="DF1321" s="619"/>
      <c r="DG1321" s="619"/>
      <c r="DH1321" s="619"/>
    </row>
    <row r="1322" s="548" customFormat="1" ht="31" customHeight="1" spans="1:112">
      <c r="A1322" s="608">
        <v>45995</v>
      </c>
      <c r="B1322" s="609" t="s">
        <v>2734</v>
      </c>
      <c r="C1322" s="713" t="s">
        <v>98</v>
      </c>
      <c r="D1322" s="554">
        <v>4500186369</v>
      </c>
      <c r="E1322" s="610">
        <v>60260844</v>
      </c>
      <c r="F1322" s="554" t="s">
        <v>9229</v>
      </c>
      <c r="G1322" s="610" t="s">
        <v>6787</v>
      </c>
      <c r="H1322" s="610" t="s">
        <v>6126</v>
      </c>
      <c r="I1322" s="610">
        <v>2004</v>
      </c>
      <c r="J1322" s="610">
        <v>0</v>
      </c>
      <c r="K1322" s="610">
        <v>12</v>
      </c>
      <c r="L1322" s="611">
        <f t="shared" si="482"/>
        <v>167</v>
      </c>
      <c r="M1322" s="612">
        <v>46150</v>
      </c>
      <c r="N1322" s="612">
        <v>46146</v>
      </c>
      <c r="O1322" s="613"/>
      <c r="P1322" s="613" t="s">
        <v>113</v>
      </c>
      <c r="Q1322" s="610"/>
      <c r="R1322" s="614">
        <v>45995</v>
      </c>
      <c r="S1322" s="614" t="s">
        <v>70</v>
      </c>
      <c r="T1322" s="614" t="s">
        <v>2738</v>
      </c>
      <c r="U1322" s="614"/>
      <c r="V1322" s="614"/>
      <c r="W1322" s="615"/>
      <c r="X1322" s="609" t="s">
        <v>9230</v>
      </c>
      <c r="Y1322" s="716" t="s">
        <v>2678</v>
      </c>
      <c r="Z1322" s="609">
        <v>1.2871</v>
      </c>
      <c r="AA1322" s="616">
        <f t="shared" si="494"/>
        <v>2579.3484</v>
      </c>
      <c r="AC1322" s="629" t="s">
        <v>3700</v>
      </c>
      <c r="AD1322" s="610" t="s">
        <v>8545</v>
      </c>
      <c r="AE1322" s="610" t="s">
        <v>82</v>
      </c>
      <c r="AF1322" s="610"/>
      <c r="AG1322" s="609"/>
      <c r="AH1322" s="609">
        <v>1</v>
      </c>
      <c r="AI1322" s="726">
        <v>2004</v>
      </c>
      <c r="AJ1322" s="610">
        <f t="shared" si="483"/>
        <v>0</v>
      </c>
      <c r="AK1322" s="610"/>
      <c r="AL1322" s="610" t="s">
        <v>2368</v>
      </c>
      <c r="AM1322" s="610"/>
      <c r="AN1322" s="610">
        <f>I1322*2</f>
        <v>4008</v>
      </c>
      <c r="AO1322" s="554"/>
      <c r="AP1322" s="554">
        <f>I1322*2</f>
        <v>4008</v>
      </c>
      <c r="AR1322" s="619"/>
      <c r="AS1322" s="548"/>
      <c r="AT1322" s="548"/>
      <c r="AU1322" s="554">
        <f>I1322*2</f>
        <v>4008</v>
      </c>
      <c r="AV1322" s="554"/>
      <c r="AW1322" s="619"/>
      <c r="AX1322" s="548"/>
      <c r="AY1322" s="548"/>
      <c r="AZ1322" s="548"/>
      <c r="BA1322" s="548"/>
      <c r="BB1322" s="249">
        <f>I1322/24*2</f>
        <v>167</v>
      </c>
      <c r="BC1322" s="714"/>
      <c r="BD1322" s="548"/>
      <c r="BE1322" s="548"/>
      <c r="BF1322" s="548"/>
      <c r="BY1322" s="619"/>
      <c r="BZ1322" s="548"/>
      <c r="CA1322" s="621"/>
      <c r="CB1322" s="567"/>
      <c r="CC1322" s="622"/>
      <c r="CD1322" s="619"/>
      <c r="CE1322" s="619"/>
      <c r="CF1322" s="548"/>
      <c r="CG1322" s="548"/>
      <c r="CR1322" s="554">
        <f>I1322</f>
        <v>2004</v>
      </c>
      <c r="CS1322" s="554">
        <f>I1322</f>
        <v>2004</v>
      </c>
      <c r="CT1322" s="554">
        <f>I1322</f>
        <v>2004</v>
      </c>
      <c r="CU1322" s="554">
        <f t="shared" si="484"/>
        <v>0</v>
      </c>
      <c r="CV1322" s="554">
        <f t="shared" si="492"/>
        <v>0</v>
      </c>
      <c r="CW1322" s="554">
        <f t="shared" si="493"/>
        <v>0</v>
      </c>
      <c r="CX1322" s="619"/>
      <c r="CY1322" s="619"/>
      <c r="CZ1322" s="619"/>
      <c r="DA1322" s="548"/>
      <c r="DB1322" s="548"/>
      <c r="DC1322" s="548"/>
      <c r="DD1322" s="619"/>
      <c r="DE1322" s="619"/>
      <c r="DF1322" s="619"/>
      <c r="DG1322" s="619"/>
      <c r="DH1322" s="619"/>
    </row>
    <row r="1323" s="548" customFormat="1" ht="31" customHeight="1" spans="1:112">
      <c r="A1323" s="608">
        <v>46094</v>
      </c>
      <c r="B1323" s="609" t="s">
        <v>246</v>
      </c>
      <c r="C1323" s="610" t="s">
        <v>98</v>
      </c>
      <c r="D1323" s="554">
        <v>4500196798</v>
      </c>
      <c r="E1323" s="610" t="s">
        <v>9231</v>
      </c>
      <c r="F1323" s="554" t="s">
        <v>9232</v>
      </c>
      <c r="G1323" s="610" t="s">
        <v>6084</v>
      </c>
      <c r="H1323" s="610" t="s">
        <v>6033</v>
      </c>
      <c r="I1323" s="610">
        <v>39750</v>
      </c>
      <c r="J1323" s="610">
        <v>0</v>
      </c>
      <c r="K1323" s="610">
        <v>25</v>
      </c>
      <c r="L1323" s="611">
        <f t="shared" si="482"/>
        <v>1590</v>
      </c>
      <c r="M1323" s="612">
        <v>46147</v>
      </c>
      <c r="N1323" s="612">
        <v>46143</v>
      </c>
      <c r="O1323" s="613"/>
      <c r="P1323" s="613" t="s">
        <v>113</v>
      </c>
      <c r="Q1323" s="610"/>
      <c r="R1323" s="614">
        <v>46119</v>
      </c>
      <c r="S1323" s="614" t="s">
        <v>104</v>
      </c>
      <c r="T1323" s="614">
        <v>46133</v>
      </c>
      <c r="U1323" s="614"/>
      <c r="V1323" s="614"/>
      <c r="W1323" s="615"/>
      <c r="X1323" s="609" t="s">
        <v>9233</v>
      </c>
      <c r="Y1323" s="609" t="s">
        <v>3691</v>
      </c>
      <c r="Z1323" s="722">
        <v>0.5689</v>
      </c>
      <c r="AA1323" s="616">
        <f t="shared" si="494"/>
        <v>22613.775</v>
      </c>
      <c r="AC1323" s="629" t="s">
        <v>9234</v>
      </c>
      <c r="AD1323" s="610" t="s">
        <v>6084</v>
      </c>
      <c r="AE1323" s="610" t="s">
        <v>82</v>
      </c>
      <c r="AF1323" s="610"/>
      <c r="AG1323" s="610"/>
      <c r="AH1323" s="609">
        <v>1</v>
      </c>
      <c r="AI1323" s="726">
        <f>36750+3000</f>
        <v>39750</v>
      </c>
      <c r="AJ1323" s="610">
        <f t="shared" si="483"/>
        <v>0</v>
      </c>
      <c r="AK1323" s="610"/>
      <c r="AL1323" s="610" t="s">
        <v>2368</v>
      </c>
      <c r="AM1323" s="610"/>
      <c r="AN1323" s="610">
        <f>I1323</f>
        <v>39750</v>
      </c>
      <c r="AO1323" s="554"/>
      <c r="AP1323" s="554">
        <f>I1323</f>
        <v>39750</v>
      </c>
      <c r="AQ1323" s="554"/>
      <c r="AR1323" s="619"/>
      <c r="AS1323" s="554"/>
      <c r="AT1323" s="554"/>
      <c r="AU1323" s="554">
        <f>I1323</f>
        <v>39750</v>
      </c>
      <c r="AV1323" s="554"/>
      <c r="AW1323" s="619"/>
      <c r="AX1323" s="554"/>
      <c r="AY1323" s="554"/>
      <c r="AZ1323" s="554"/>
      <c r="BA1323" s="554"/>
      <c r="BB1323" s="620">
        <f>I1323/24</f>
        <v>1656.25</v>
      </c>
      <c r="BC1323" s="714"/>
      <c r="BD1323" s="554"/>
      <c r="BE1323" s="554"/>
      <c r="BF1323" s="554"/>
      <c r="BH1323" s="554"/>
      <c r="BI1323" s="554"/>
      <c r="BJ1323" s="554"/>
      <c r="BK1323" s="554"/>
      <c r="BL1323" s="554"/>
      <c r="BM1323" s="554"/>
      <c r="BN1323" s="554">
        <f>I1323/25</f>
        <v>1590</v>
      </c>
      <c r="BO1323" s="554"/>
      <c r="BP1323" s="554"/>
      <c r="BQ1323" s="554"/>
      <c r="BR1323" s="554"/>
      <c r="BS1323" s="554"/>
      <c r="BT1323" s="554"/>
      <c r="BU1323" s="554"/>
      <c r="BV1323" s="554"/>
      <c r="BW1323" s="554"/>
      <c r="BX1323" s="554"/>
      <c r="BY1323" s="619"/>
      <c r="BZ1323" s="554"/>
      <c r="CA1323" s="621"/>
      <c r="CB1323" s="567"/>
      <c r="CC1323" s="622"/>
      <c r="CD1323" s="619"/>
      <c r="CE1323" s="619"/>
      <c r="CF1323" s="554"/>
      <c r="CG1323" s="554"/>
      <c r="CI1323" s="554"/>
      <c r="CJ1323" s="554"/>
      <c r="CK1323" s="554"/>
      <c r="CL1323" s="554"/>
      <c r="CM1323" s="554"/>
      <c r="CN1323" s="554"/>
      <c r="CO1323" s="554"/>
      <c r="CP1323" s="554"/>
      <c r="CQ1323" s="554"/>
      <c r="CR1323" s="554"/>
      <c r="CS1323" s="554"/>
      <c r="CT1323" s="554"/>
      <c r="CU1323" s="554">
        <f t="shared" si="484"/>
        <v>1590</v>
      </c>
      <c r="CV1323" s="554">
        <f t="shared" si="492"/>
        <v>0</v>
      </c>
      <c r="CW1323" s="554">
        <f t="shared" si="493"/>
        <v>0</v>
      </c>
      <c r="CX1323" s="619"/>
      <c r="CY1323" s="619"/>
      <c r="CZ1323" s="619"/>
      <c r="DA1323" s="548"/>
      <c r="DB1323" s="548"/>
      <c r="DC1323" s="548"/>
      <c r="DD1323" s="619"/>
      <c r="DE1323" s="619"/>
      <c r="DF1323" s="619"/>
      <c r="DG1323" s="619"/>
      <c r="DH1323" s="619"/>
    </row>
    <row r="1324" s="548" customFormat="1" ht="31" customHeight="1" spans="1:112">
      <c r="A1324" s="608">
        <v>46105</v>
      </c>
      <c r="B1324" s="609" t="s">
        <v>3693</v>
      </c>
      <c r="C1324" s="610" t="s">
        <v>641</v>
      </c>
      <c r="D1324" s="554">
        <v>4500198254</v>
      </c>
      <c r="E1324" s="610"/>
      <c r="F1324" s="554" t="s">
        <v>9235</v>
      </c>
      <c r="G1324" s="610" t="s">
        <v>6040</v>
      </c>
      <c r="H1324" s="610" t="s">
        <v>6041</v>
      </c>
      <c r="I1324" s="610">
        <v>2080</v>
      </c>
      <c r="J1324" s="610">
        <v>0</v>
      </c>
      <c r="K1324" s="610">
        <v>52</v>
      </c>
      <c r="L1324" s="611">
        <f t="shared" si="482"/>
        <v>40</v>
      </c>
      <c r="M1324" s="612">
        <v>46148</v>
      </c>
      <c r="N1324" s="612">
        <v>46144</v>
      </c>
      <c r="O1324" s="613"/>
      <c r="P1324" s="613" t="s">
        <v>113</v>
      </c>
      <c r="Q1324" s="610"/>
      <c r="R1324" s="614" t="s">
        <v>3530</v>
      </c>
      <c r="S1324" s="614" t="s">
        <v>70</v>
      </c>
      <c r="T1324" s="614" t="s">
        <v>3695</v>
      </c>
      <c r="U1324" s="614"/>
      <c r="V1324" s="614" t="s">
        <v>9236</v>
      </c>
      <c r="W1324" s="615"/>
      <c r="X1324" s="609" t="s">
        <v>9237</v>
      </c>
      <c r="Y1324" s="609" t="s">
        <v>3697</v>
      </c>
      <c r="Z1324" s="722">
        <v>0.9461</v>
      </c>
      <c r="AA1324" s="616">
        <f>I1324*Z1324</f>
        <v>1967.888</v>
      </c>
      <c r="AC1324" s="617"/>
      <c r="AD1324" s="610" t="s">
        <v>6040</v>
      </c>
      <c r="AE1324" s="610" t="s">
        <v>82</v>
      </c>
      <c r="AF1324" s="610"/>
      <c r="AG1324" s="610"/>
      <c r="AH1324" s="609">
        <v>1</v>
      </c>
      <c r="AI1324" s="725">
        <f>2028+52</f>
        <v>2080</v>
      </c>
      <c r="AJ1324" s="610">
        <f t="shared" si="483"/>
        <v>0</v>
      </c>
      <c r="AK1324" s="610"/>
      <c r="AL1324" s="610" t="s">
        <v>2368</v>
      </c>
      <c r="AM1324" s="610"/>
      <c r="AN1324" s="614"/>
      <c r="AO1324" s="554">
        <f>I1324</f>
        <v>2080</v>
      </c>
      <c r="AP1324" s="554"/>
      <c r="AQ1324" s="554"/>
      <c r="AR1324" s="619"/>
      <c r="AS1324" s="554"/>
      <c r="AT1324" s="554">
        <f>I1324</f>
        <v>2080</v>
      </c>
      <c r="AU1324" s="554"/>
      <c r="AV1324" s="554">
        <f>I1324</f>
        <v>2080</v>
      </c>
      <c r="AW1324" s="619"/>
      <c r="AX1324" s="554"/>
      <c r="AY1324" s="554"/>
      <c r="AZ1324" s="554"/>
      <c r="BA1324" s="554"/>
      <c r="BB1324" s="620">
        <f>I1324/24</f>
        <v>86.6666666666667</v>
      </c>
      <c r="BC1324" s="714"/>
      <c r="BD1324" s="554"/>
      <c r="BE1324" s="554"/>
      <c r="BF1324" s="554"/>
      <c r="BH1324" s="554"/>
      <c r="BI1324" s="554"/>
      <c r="BJ1324" s="554"/>
      <c r="BK1324" s="554"/>
      <c r="BL1324" s="554"/>
      <c r="BM1324" s="554">
        <f>I1324/13</f>
        <v>160</v>
      </c>
      <c r="BN1324" s="554"/>
      <c r="BO1324" s="554"/>
      <c r="BP1324" s="554"/>
      <c r="BQ1324" s="554"/>
      <c r="BR1324" s="554"/>
      <c r="BS1324" s="554"/>
      <c r="BT1324" s="554"/>
      <c r="BU1324" s="554"/>
      <c r="BV1324" s="554"/>
      <c r="BW1324" s="554"/>
      <c r="BX1324" s="554"/>
      <c r="BY1324" s="619"/>
      <c r="BZ1324" s="554"/>
      <c r="CA1324" s="621"/>
      <c r="CB1324" s="567"/>
      <c r="CC1324" s="622"/>
      <c r="CD1324" s="619"/>
      <c r="CE1324" s="619"/>
      <c r="CF1324" s="554"/>
      <c r="CG1324" s="554"/>
      <c r="CI1324" s="554"/>
      <c r="CJ1324" s="554"/>
      <c r="CK1324" s="554"/>
      <c r="CL1324" s="554"/>
      <c r="CM1324" s="554"/>
      <c r="CN1324" s="554"/>
      <c r="CO1324" s="554"/>
      <c r="CP1324" s="554"/>
      <c r="CQ1324" s="554"/>
      <c r="CR1324" s="554"/>
      <c r="CS1324" s="554"/>
      <c r="CT1324" s="554"/>
      <c r="CU1324" s="554">
        <f t="shared" si="484"/>
        <v>0</v>
      </c>
      <c r="CV1324" s="554">
        <f t="shared" si="492"/>
        <v>0</v>
      </c>
      <c r="CW1324" s="554">
        <f t="shared" si="493"/>
        <v>0</v>
      </c>
      <c r="CX1324" s="619"/>
      <c r="CY1324" s="619"/>
      <c r="CZ1324" s="619"/>
      <c r="DA1324" s="548"/>
      <c r="DB1324" s="548"/>
      <c r="DC1324" s="548"/>
      <c r="DD1324" s="619"/>
      <c r="DE1324" s="619"/>
      <c r="DF1324" s="619"/>
      <c r="DG1324" s="619"/>
      <c r="DH1324" s="619"/>
    </row>
    <row r="1325" s="548" customFormat="1" ht="31" customHeight="1" spans="1:112">
      <c r="A1325" s="608">
        <v>46101</v>
      </c>
      <c r="B1325" s="609" t="s">
        <v>3407</v>
      </c>
      <c r="C1325" s="610" t="s">
        <v>170</v>
      </c>
      <c r="D1325" s="554">
        <v>4500197917</v>
      </c>
      <c r="E1325" s="610" t="s">
        <v>9238</v>
      </c>
      <c r="F1325" s="554" t="s">
        <v>9239</v>
      </c>
      <c r="G1325" s="610" t="s">
        <v>6787</v>
      </c>
      <c r="H1325" s="610" t="s">
        <v>6126</v>
      </c>
      <c r="I1325" s="610">
        <v>1212</v>
      </c>
      <c r="J1325" s="610">
        <v>0</v>
      </c>
      <c r="K1325" s="610">
        <v>12</v>
      </c>
      <c r="L1325" s="611">
        <f t="shared" si="482"/>
        <v>101</v>
      </c>
      <c r="M1325" s="612">
        <v>46149</v>
      </c>
      <c r="N1325" s="612">
        <v>46146</v>
      </c>
      <c r="O1325" s="613"/>
      <c r="P1325" s="613" t="s">
        <v>113</v>
      </c>
      <c r="Q1325" s="610"/>
      <c r="R1325" s="614">
        <v>46101</v>
      </c>
      <c r="S1325" s="614" t="s">
        <v>104</v>
      </c>
      <c r="T1325" s="614" t="s">
        <v>9240</v>
      </c>
      <c r="U1325" s="614"/>
      <c r="V1325" s="614"/>
      <c r="W1325" s="615"/>
      <c r="X1325" s="609" t="s">
        <v>9241</v>
      </c>
      <c r="Y1325" s="609" t="s">
        <v>1507</v>
      </c>
      <c r="Z1325" s="722">
        <v>2.2576</v>
      </c>
      <c r="AA1325" s="616">
        <f t="shared" ref="AA1325:AA1330" si="495">Z1325*I1325</f>
        <v>2736.2112</v>
      </c>
      <c r="AC1325" s="617"/>
      <c r="AD1325" s="610" t="s">
        <v>8079</v>
      </c>
      <c r="AE1325" s="610" t="s">
        <v>82</v>
      </c>
      <c r="AF1325" s="610"/>
      <c r="AG1325" s="610"/>
      <c r="AH1325" s="609">
        <v>1</v>
      </c>
      <c r="AI1325" s="726">
        <v>1212</v>
      </c>
      <c r="AJ1325" s="610">
        <f t="shared" si="483"/>
        <v>0</v>
      </c>
      <c r="AK1325" s="610"/>
      <c r="AL1325" s="610"/>
      <c r="AM1325" s="610"/>
      <c r="AN1325" s="610">
        <f>I1325*2</f>
        <v>2424</v>
      </c>
      <c r="AO1325" s="554"/>
      <c r="AP1325" s="554"/>
      <c r="AQ1325" s="554">
        <f>I1325*2</f>
        <v>2424</v>
      </c>
      <c r="AR1325" s="619"/>
      <c r="AS1325" s="554"/>
      <c r="AT1325" s="554"/>
      <c r="AU1325" s="554">
        <f>I1325*2</f>
        <v>2424</v>
      </c>
      <c r="AV1325" s="554"/>
      <c r="AW1325" s="619"/>
      <c r="AX1325" s="554"/>
      <c r="AY1325" s="554"/>
      <c r="AZ1325" s="554"/>
      <c r="BA1325" s="554"/>
      <c r="BB1325" s="249">
        <f>I1325/24*2</f>
        <v>101</v>
      </c>
      <c r="BC1325" s="714"/>
      <c r="BD1325" s="554"/>
      <c r="BE1325" s="554"/>
      <c r="BF1325" s="554"/>
      <c r="BH1325" s="554"/>
      <c r="BI1325" s="554"/>
      <c r="BJ1325" s="554"/>
      <c r="BK1325" s="554"/>
      <c r="BL1325" s="554"/>
      <c r="BM1325" s="554"/>
      <c r="BN1325" s="554"/>
      <c r="BO1325" s="554"/>
      <c r="BP1325" s="554"/>
      <c r="BQ1325" s="554"/>
      <c r="BR1325" s="554"/>
      <c r="BS1325" s="554"/>
      <c r="BT1325" s="554"/>
      <c r="BU1325" s="554"/>
      <c r="BV1325" s="554"/>
      <c r="BW1325" s="554"/>
      <c r="BX1325" s="554"/>
      <c r="BY1325" s="619"/>
      <c r="BZ1325" s="554"/>
      <c r="CA1325" s="621"/>
      <c r="CB1325" s="567"/>
      <c r="CC1325" s="622"/>
      <c r="CD1325" s="619"/>
      <c r="CE1325" s="619"/>
      <c r="CF1325" s="554"/>
      <c r="CG1325" s="554"/>
      <c r="CI1325" s="554"/>
      <c r="CJ1325" s="554"/>
      <c r="CK1325" s="554"/>
      <c r="CL1325" s="554"/>
      <c r="CM1325" s="554"/>
      <c r="CN1325" s="554"/>
      <c r="CO1325" s="554"/>
      <c r="CP1325" s="554"/>
      <c r="CQ1325" s="554"/>
      <c r="CR1325" s="554">
        <f>I1325</f>
        <v>1212</v>
      </c>
      <c r="CS1325" s="554">
        <f>I1325</f>
        <v>1212</v>
      </c>
      <c r="CT1325" s="554">
        <f>I1325</f>
        <v>1212</v>
      </c>
      <c r="CU1325" s="554">
        <f t="shared" si="484"/>
        <v>0</v>
      </c>
      <c r="CV1325" s="554">
        <f t="shared" si="492"/>
        <v>0</v>
      </c>
      <c r="CW1325" s="554">
        <f t="shared" si="493"/>
        <v>0</v>
      </c>
      <c r="CX1325" s="619"/>
      <c r="CY1325" s="619"/>
      <c r="CZ1325" s="619"/>
      <c r="DA1325" s="548"/>
      <c r="DB1325" s="548"/>
      <c r="DC1325" s="548"/>
      <c r="DD1325" s="619"/>
      <c r="DE1325" s="619"/>
      <c r="DF1325" s="619"/>
      <c r="DG1325" s="619"/>
      <c r="DH1325" s="619"/>
    </row>
    <row r="1326" s="548" customFormat="1" ht="31" customHeight="1" spans="1:112">
      <c r="A1326" s="608">
        <v>46101</v>
      </c>
      <c r="B1326" s="609" t="s">
        <v>3407</v>
      </c>
      <c r="C1326" s="610" t="s">
        <v>170</v>
      </c>
      <c r="D1326" s="554">
        <v>4500197917</v>
      </c>
      <c r="E1326" s="610" t="s">
        <v>9242</v>
      </c>
      <c r="F1326" s="554" t="s">
        <v>9243</v>
      </c>
      <c r="G1326" s="610" t="s">
        <v>6787</v>
      </c>
      <c r="H1326" s="610" t="s">
        <v>6126</v>
      </c>
      <c r="I1326" s="610">
        <v>120</v>
      </c>
      <c r="J1326" s="610">
        <v>0</v>
      </c>
      <c r="K1326" s="610">
        <v>12</v>
      </c>
      <c r="L1326" s="611">
        <f t="shared" si="482"/>
        <v>10</v>
      </c>
      <c r="M1326" s="612">
        <v>46149</v>
      </c>
      <c r="N1326" s="612">
        <v>46146</v>
      </c>
      <c r="O1326" s="613"/>
      <c r="P1326" s="613" t="s">
        <v>113</v>
      </c>
      <c r="Q1326" s="610"/>
      <c r="R1326" s="614">
        <v>46101</v>
      </c>
      <c r="S1326" s="614" t="s">
        <v>104</v>
      </c>
      <c r="T1326" s="614" t="s">
        <v>9240</v>
      </c>
      <c r="U1326" s="614"/>
      <c r="V1326" s="614"/>
      <c r="W1326" s="615"/>
      <c r="X1326" s="609" t="s">
        <v>9241</v>
      </c>
      <c r="Y1326" s="609" t="s">
        <v>1507</v>
      </c>
      <c r="Z1326" s="722">
        <v>2.2576</v>
      </c>
      <c r="AA1326" s="616">
        <f t="shared" si="495"/>
        <v>270.912</v>
      </c>
      <c r="AC1326" s="617"/>
      <c r="AD1326" s="610" t="s">
        <v>8079</v>
      </c>
      <c r="AE1326" s="610" t="s">
        <v>82</v>
      </c>
      <c r="AF1326" s="610"/>
      <c r="AG1326" s="610"/>
      <c r="AH1326" s="609">
        <v>1</v>
      </c>
      <c r="AI1326" s="726">
        <v>120</v>
      </c>
      <c r="AJ1326" s="610">
        <f t="shared" si="483"/>
        <v>0</v>
      </c>
      <c r="AK1326" s="610"/>
      <c r="AL1326" s="610"/>
      <c r="AM1326" s="610"/>
      <c r="AN1326" s="610">
        <f>I1326*2</f>
        <v>240</v>
      </c>
      <c r="AO1326" s="554"/>
      <c r="AP1326" s="554"/>
      <c r="AQ1326" s="554">
        <f>I1326*2</f>
        <v>240</v>
      </c>
      <c r="AR1326" s="619"/>
      <c r="AS1326" s="554"/>
      <c r="AT1326" s="554"/>
      <c r="AU1326" s="554">
        <f>I1326*2</f>
        <v>240</v>
      </c>
      <c r="AV1326" s="554"/>
      <c r="AW1326" s="619"/>
      <c r="AX1326" s="554"/>
      <c r="AY1326" s="554"/>
      <c r="AZ1326" s="554"/>
      <c r="BA1326" s="554"/>
      <c r="BB1326" s="249">
        <f>I1326/24*2</f>
        <v>10</v>
      </c>
      <c r="BC1326" s="714"/>
      <c r="BD1326" s="554"/>
      <c r="BE1326" s="554"/>
      <c r="BF1326" s="554"/>
      <c r="BH1326" s="554"/>
      <c r="BI1326" s="554"/>
      <c r="BJ1326" s="554"/>
      <c r="BK1326" s="554"/>
      <c r="BL1326" s="554"/>
      <c r="BM1326" s="554"/>
      <c r="BN1326" s="554"/>
      <c r="BO1326" s="554"/>
      <c r="BP1326" s="554"/>
      <c r="BQ1326" s="554"/>
      <c r="BR1326" s="554"/>
      <c r="BS1326" s="554"/>
      <c r="BT1326" s="554"/>
      <c r="BU1326" s="554"/>
      <c r="BV1326" s="554"/>
      <c r="BW1326" s="554"/>
      <c r="BX1326" s="554"/>
      <c r="BY1326" s="619"/>
      <c r="BZ1326" s="554"/>
      <c r="CA1326" s="621"/>
      <c r="CB1326" s="567"/>
      <c r="CC1326" s="622"/>
      <c r="CD1326" s="619"/>
      <c r="CE1326" s="619"/>
      <c r="CF1326" s="554"/>
      <c r="CG1326" s="554"/>
      <c r="CI1326" s="554"/>
      <c r="CJ1326" s="554"/>
      <c r="CK1326" s="554"/>
      <c r="CL1326" s="554"/>
      <c r="CM1326" s="554"/>
      <c r="CN1326" s="554"/>
      <c r="CO1326" s="554"/>
      <c r="CP1326" s="554"/>
      <c r="CQ1326" s="554"/>
      <c r="CR1326" s="554">
        <f>I1326</f>
        <v>120</v>
      </c>
      <c r="CS1326" s="554">
        <f>I1326</f>
        <v>120</v>
      </c>
      <c r="CT1326" s="554">
        <f>I1326</f>
        <v>120</v>
      </c>
      <c r="CU1326" s="554">
        <f t="shared" si="484"/>
        <v>0</v>
      </c>
      <c r="CV1326" s="554">
        <f t="shared" si="492"/>
        <v>0</v>
      </c>
      <c r="CW1326" s="554">
        <f t="shared" si="493"/>
        <v>0</v>
      </c>
      <c r="CX1326" s="619"/>
      <c r="CY1326" s="619"/>
      <c r="CZ1326" s="619"/>
      <c r="DA1326" s="548"/>
      <c r="DB1326" s="548"/>
      <c r="DC1326" s="548"/>
      <c r="DD1326" s="619"/>
      <c r="DE1326" s="619"/>
      <c r="DF1326" s="619"/>
      <c r="DG1326" s="619"/>
      <c r="DH1326" s="619"/>
    </row>
    <row r="1327" s="548" customFormat="1" ht="31" customHeight="1" spans="1:112">
      <c r="A1327" s="608">
        <v>46101</v>
      </c>
      <c r="B1327" s="609" t="s">
        <v>3729</v>
      </c>
      <c r="C1327" s="610" t="s">
        <v>278</v>
      </c>
      <c r="D1327" s="554">
        <v>4500197220</v>
      </c>
      <c r="E1327" s="610" t="s">
        <v>3730</v>
      </c>
      <c r="F1327" s="554" t="s">
        <v>9244</v>
      </c>
      <c r="G1327" s="610" t="s">
        <v>6365</v>
      </c>
      <c r="H1327" s="610" t="s">
        <v>6126</v>
      </c>
      <c r="I1327" s="610">
        <v>1800</v>
      </c>
      <c r="J1327" s="610">
        <v>0</v>
      </c>
      <c r="K1327" s="610">
        <v>12</v>
      </c>
      <c r="L1327" s="611">
        <f t="shared" si="482"/>
        <v>150</v>
      </c>
      <c r="M1327" s="612">
        <v>46149</v>
      </c>
      <c r="N1327" s="612">
        <v>46146</v>
      </c>
      <c r="O1327" s="613"/>
      <c r="P1327" s="613" t="s">
        <v>113</v>
      </c>
      <c r="Q1327" s="610"/>
      <c r="R1327" s="614" t="s">
        <v>463</v>
      </c>
      <c r="S1327" s="614" t="s">
        <v>104</v>
      </c>
      <c r="T1327" s="614" t="s">
        <v>9245</v>
      </c>
      <c r="U1327" s="614"/>
      <c r="V1327" s="614"/>
      <c r="W1327" s="615"/>
      <c r="X1327" s="609" t="s">
        <v>9246</v>
      </c>
      <c r="Y1327" s="609" t="s">
        <v>3734</v>
      </c>
      <c r="Z1327" s="722">
        <v>2.1629</v>
      </c>
      <c r="AA1327" s="616">
        <f t="shared" si="495"/>
        <v>3893.22</v>
      </c>
      <c r="AC1327" s="617"/>
      <c r="AD1327" s="610" t="s">
        <v>6368</v>
      </c>
      <c r="AE1327" s="610" t="s">
        <v>82</v>
      </c>
      <c r="AF1327" s="610"/>
      <c r="AG1327" s="610"/>
      <c r="AH1327" s="609">
        <v>1</v>
      </c>
      <c r="AI1327" s="610">
        <v>1800</v>
      </c>
      <c r="AJ1327" s="610">
        <f t="shared" si="483"/>
        <v>0</v>
      </c>
      <c r="AK1327" s="610"/>
      <c r="AL1327" s="610" t="s">
        <v>2368</v>
      </c>
      <c r="AM1327" s="610"/>
      <c r="AN1327" s="610"/>
      <c r="AO1327" s="554">
        <f>I1327*2</f>
        <v>3600</v>
      </c>
      <c r="AP1327" s="554"/>
      <c r="AQ1327" s="554"/>
      <c r="AR1327" s="619"/>
      <c r="AS1327" s="554"/>
      <c r="AT1327" s="554">
        <f>I1327*2</f>
        <v>3600</v>
      </c>
      <c r="AU1327" s="554"/>
      <c r="AV1327" s="554">
        <f>I1327*2</f>
        <v>3600</v>
      </c>
      <c r="AW1327" s="619"/>
      <c r="AX1327" s="554"/>
      <c r="AY1327" s="554"/>
      <c r="AZ1327" s="554"/>
      <c r="BA1327" s="554"/>
      <c r="BB1327" s="249">
        <f>I1327/24*2</f>
        <v>150</v>
      </c>
      <c r="BC1327" s="714"/>
      <c r="BD1327" s="554"/>
      <c r="BE1327" s="554"/>
      <c r="BF1327" s="554"/>
      <c r="BH1327" s="554"/>
      <c r="BI1327" s="554"/>
      <c r="BJ1327" s="554"/>
      <c r="BK1327" s="554"/>
      <c r="BL1327" s="554"/>
      <c r="BM1327" s="554"/>
      <c r="BN1327" s="554"/>
      <c r="BO1327" s="554"/>
      <c r="BP1327" s="554"/>
      <c r="BQ1327" s="554"/>
      <c r="BR1327" s="554"/>
      <c r="BS1327" s="554"/>
      <c r="BT1327" s="554"/>
      <c r="BU1327" s="554"/>
      <c r="BV1327" s="554"/>
      <c r="BW1327" s="554"/>
      <c r="BX1327" s="554"/>
      <c r="BY1327" s="619"/>
      <c r="BZ1327" s="554"/>
      <c r="CA1327" s="621"/>
      <c r="CB1327" s="567"/>
      <c r="CC1327" s="622"/>
      <c r="CD1327" s="619"/>
      <c r="CE1327" s="619"/>
      <c r="CF1327" s="554"/>
      <c r="CG1327" s="554"/>
      <c r="CI1327" s="554"/>
      <c r="CJ1327" s="554"/>
      <c r="CK1327" s="554"/>
      <c r="CL1327" s="554"/>
      <c r="CM1327" s="554"/>
      <c r="CN1327" s="554"/>
      <c r="CO1327" s="554"/>
      <c r="CP1327" s="554"/>
      <c r="CQ1327" s="554"/>
      <c r="CR1327" s="554">
        <f>I1327</f>
        <v>1800</v>
      </c>
      <c r="CS1327" s="554">
        <f>I1327</f>
        <v>1800</v>
      </c>
      <c r="CT1327" s="554">
        <f>I1327</f>
        <v>1800</v>
      </c>
      <c r="CU1327" s="554">
        <f t="shared" si="484"/>
        <v>0</v>
      </c>
      <c r="CV1327" s="554">
        <f t="shared" si="492"/>
        <v>0</v>
      </c>
      <c r="CW1327" s="554">
        <f t="shared" si="493"/>
        <v>0</v>
      </c>
      <c r="CX1327" s="619"/>
      <c r="CY1327" s="619"/>
      <c r="CZ1327" s="619"/>
      <c r="DA1327" s="548"/>
      <c r="DB1327" s="548"/>
      <c r="DC1327" s="548"/>
      <c r="DD1327" s="619"/>
      <c r="DE1327" s="619"/>
      <c r="DF1327" s="619"/>
      <c r="DG1327" s="619"/>
      <c r="DH1327" s="619"/>
    </row>
    <row r="1328" s="548" customFormat="1" ht="31" customHeight="1" spans="1:112">
      <c r="A1328" s="608">
        <v>46099</v>
      </c>
      <c r="B1328" s="609" t="s">
        <v>3750</v>
      </c>
      <c r="C1328" s="610" t="s">
        <v>1857</v>
      </c>
      <c r="D1328" s="554">
        <v>4500197389</v>
      </c>
      <c r="E1328" s="610" t="s">
        <v>3751</v>
      </c>
      <c r="F1328" s="554" t="s">
        <v>9247</v>
      </c>
      <c r="G1328" s="610" t="s">
        <v>6043</v>
      </c>
      <c r="H1328" s="610" t="s">
        <v>6110</v>
      </c>
      <c r="I1328" s="610">
        <v>7800</v>
      </c>
      <c r="J1328" s="610">
        <v>0</v>
      </c>
      <c r="K1328" s="610">
        <v>50</v>
      </c>
      <c r="L1328" s="611">
        <f t="shared" si="482"/>
        <v>156</v>
      </c>
      <c r="M1328" s="612">
        <v>46150</v>
      </c>
      <c r="N1328" s="612">
        <v>46146</v>
      </c>
      <c r="O1328" s="613"/>
      <c r="P1328" s="613" t="s">
        <v>113</v>
      </c>
      <c r="Q1328" s="610"/>
      <c r="R1328" s="614">
        <v>46115</v>
      </c>
      <c r="S1328" s="614" t="s">
        <v>70</v>
      </c>
      <c r="T1328" s="614" t="s">
        <v>3753</v>
      </c>
      <c r="U1328" s="614"/>
      <c r="V1328" s="614"/>
      <c r="W1328" s="615"/>
      <c r="X1328" s="609" t="s">
        <v>3210</v>
      </c>
      <c r="Y1328" s="609" t="s">
        <v>3754</v>
      </c>
      <c r="Z1328" s="722">
        <v>0.9521</v>
      </c>
      <c r="AA1328" s="616">
        <f t="shared" si="495"/>
        <v>7426.38</v>
      </c>
      <c r="AC1328" s="617"/>
      <c r="AD1328" s="610" t="s">
        <v>6043</v>
      </c>
      <c r="AE1328" s="610" t="s">
        <v>82</v>
      </c>
      <c r="AF1328" s="610"/>
      <c r="AG1328" s="610"/>
      <c r="AH1328" s="609">
        <v>1</v>
      </c>
      <c r="AI1328" s="725">
        <f>7750+50</f>
        <v>7800</v>
      </c>
      <c r="AJ1328" s="610">
        <f t="shared" si="483"/>
        <v>0</v>
      </c>
      <c r="AK1328" s="610"/>
      <c r="AL1328" s="610" t="s">
        <v>2368</v>
      </c>
      <c r="AM1328" s="610"/>
      <c r="AN1328" s="614"/>
      <c r="AO1328" s="554">
        <f>I1328</f>
        <v>7800</v>
      </c>
      <c r="AP1328" s="554"/>
      <c r="AQ1328" s="554"/>
      <c r="AR1328" s="619"/>
      <c r="AS1328" s="554"/>
      <c r="AT1328" s="554">
        <f>I1328</f>
        <v>7800</v>
      </c>
      <c r="AU1328" s="554"/>
      <c r="AV1328" s="554">
        <f>I1328</f>
        <v>7800</v>
      </c>
      <c r="AW1328" s="619"/>
      <c r="AX1328" s="554"/>
      <c r="AY1328" s="554"/>
      <c r="AZ1328" s="554"/>
      <c r="BA1328" s="554"/>
      <c r="BB1328" s="620">
        <f>I1328/24</f>
        <v>325</v>
      </c>
      <c r="BC1328" s="714"/>
      <c r="BD1328" s="554"/>
      <c r="BE1328" s="554"/>
      <c r="BF1328" s="554"/>
      <c r="BH1328" s="554"/>
      <c r="BI1328" s="554"/>
      <c r="BJ1328" s="554"/>
      <c r="BK1328" s="554"/>
      <c r="BL1328" s="554"/>
      <c r="BM1328" s="554"/>
      <c r="BN1328" s="554"/>
      <c r="BO1328" s="554"/>
      <c r="BP1328" s="554">
        <f>I1328/25</f>
        <v>312</v>
      </c>
      <c r="BQ1328" s="554"/>
      <c r="BR1328" s="554"/>
      <c r="BS1328" s="554"/>
      <c r="BT1328" s="554"/>
      <c r="BU1328" s="554"/>
      <c r="BV1328" s="554"/>
      <c r="BW1328" s="554"/>
      <c r="BX1328" s="554"/>
      <c r="BY1328" s="619"/>
      <c r="BZ1328" s="554"/>
      <c r="CA1328" s="621"/>
      <c r="CB1328" s="567"/>
      <c r="CC1328" s="622"/>
      <c r="CD1328" s="619"/>
      <c r="CE1328" s="619"/>
      <c r="CF1328" s="554"/>
      <c r="CG1328" s="554"/>
      <c r="CI1328" s="554"/>
      <c r="CJ1328" s="554"/>
      <c r="CK1328" s="554"/>
      <c r="CL1328" s="554"/>
      <c r="CM1328" s="554"/>
      <c r="CN1328" s="554"/>
      <c r="CO1328" s="554"/>
      <c r="CP1328" s="554"/>
      <c r="CQ1328" s="554"/>
      <c r="CR1328" s="554"/>
      <c r="CS1328" s="554"/>
      <c r="CT1328" s="554"/>
      <c r="CU1328" s="554">
        <f t="shared" si="484"/>
        <v>312</v>
      </c>
      <c r="CV1328" s="554">
        <f t="shared" si="492"/>
        <v>0</v>
      </c>
      <c r="CW1328" s="554">
        <f t="shared" si="493"/>
        <v>0</v>
      </c>
      <c r="CX1328" s="619"/>
      <c r="CY1328" s="619"/>
      <c r="CZ1328" s="619"/>
      <c r="DA1328" s="548"/>
      <c r="DB1328" s="548"/>
      <c r="DC1328" s="548"/>
      <c r="DD1328" s="619"/>
      <c r="DE1328" s="619"/>
      <c r="DF1328" s="619"/>
      <c r="DG1328" s="619"/>
      <c r="DH1328" s="619"/>
    </row>
    <row r="1329" s="548" customFormat="1" ht="31" customHeight="1" spans="1:112">
      <c r="A1329" s="608">
        <v>45995</v>
      </c>
      <c r="B1329" s="609" t="s">
        <v>2734</v>
      </c>
      <c r="C1329" s="713" t="s">
        <v>98</v>
      </c>
      <c r="D1329" s="554">
        <v>4500186369</v>
      </c>
      <c r="E1329" s="610">
        <v>60260844</v>
      </c>
      <c r="F1329" s="554" t="s">
        <v>3698</v>
      </c>
      <c r="G1329" s="610" t="s">
        <v>8520</v>
      </c>
      <c r="H1329" s="610" t="s">
        <v>8521</v>
      </c>
      <c r="I1329" s="610">
        <v>2000</v>
      </c>
      <c r="J1329" s="610">
        <v>0</v>
      </c>
      <c r="K1329" s="610">
        <v>8</v>
      </c>
      <c r="L1329" s="611">
        <f t="shared" si="482"/>
        <v>250</v>
      </c>
      <c r="M1329" s="612">
        <v>46150</v>
      </c>
      <c r="N1329" s="612">
        <v>46146</v>
      </c>
      <c r="O1329" s="613"/>
      <c r="P1329" s="613" t="s">
        <v>113</v>
      </c>
      <c r="Q1329" s="610"/>
      <c r="R1329" s="614">
        <v>45995</v>
      </c>
      <c r="S1329" s="614" t="s">
        <v>70</v>
      </c>
      <c r="T1329" s="614" t="s">
        <v>8522</v>
      </c>
      <c r="U1329" s="614"/>
      <c r="V1329" s="614"/>
      <c r="W1329" s="615"/>
      <c r="X1329" s="609" t="s">
        <v>9248</v>
      </c>
      <c r="Y1329" s="716" t="s">
        <v>2678</v>
      </c>
      <c r="Z1329" s="609">
        <v>4.097</v>
      </c>
      <c r="AA1329" s="616">
        <f t="shared" si="495"/>
        <v>8194</v>
      </c>
      <c r="AC1329" s="629" t="s">
        <v>3700</v>
      </c>
      <c r="AD1329" s="610" t="s">
        <v>2741</v>
      </c>
      <c r="AE1329" s="610" t="s">
        <v>82</v>
      </c>
      <c r="AF1329" s="610"/>
      <c r="AG1329" s="609"/>
      <c r="AH1329" s="609">
        <v>1</v>
      </c>
      <c r="AI1329" s="726">
        <v>1952</v>
      </c>
      <c r="AJ1329" s="610">
        <f t="shared" si="483"/>
        <v>-48</v>
      </c>
      <c r="AK1329" s="610"/>
      <c r="AL1329" s="610" t="s">
        <v>2368</v>
      </c>
      <c r="AM1329" s="610"/>
      <c r="AN1329" s="610">
        <f>I1329*2</f>
        <v>4000</v>
      </c>
      <c r="AO1329" s="554"/>
      <c r="AP1329" s="554">
        <f>I1329*2</f>
        <v>4000</v>
      </c>
      <c r="AR1329" s="619"/>
      <c r="AS1329" s="548"/>
      <c r="AT1329" s="548"/>
      <c r="AU1329" s="554">
        <f>I1329*2</f>
        <v>4000</v>
      </c>
      <c r="AV1329" s="554"/>
      <c r="AW1329" s="619"/>
      <c r="AX1329" s="548"/>
      <c r="AY1329" s="548"/>
      <c r="AZ1329" s="548"/>
      <c r="BA1329" s="548"/>
      <c r="BB1329" s="620">
        <f>I1329/24*2</f>
        <v>166.666666666667</v>
      </c>
      <c r="BC1329" s="714"/>
      <c r="BD1329" s="548"/>
      <c r="BE1329" s="548"/>
      <c r="BF1329" s="548"/>
      <c r="BY1329" s="619"/>
      <c r="BZ1329" s="548"/>
      <c r="CA1329" s="621">
        <f>I1329</f>
        <v>2000</v>
      </c>
      <c r="CB1329" s="567"/>
      <c r="CC1329" s="622"/>
      <c r="CD1329" s="619"/>
      <c r="CE1329" s="619"/>
      <c r="CU1329" s="554">
        <f t="shared" si="484"/>
        <v>0</v>
      </c>
      <c r="CV1329" s="554">
        <f t="shared" si="492"/>
        <v>0</v>
      </c>
      <c r="CW1329" s="554">
        <f t="shared" si="493"/>
        <v>0</v>
      </c>
      <c r="CX1329" s="619"/>
      <c r="CY1329" s="619"/>
      <c r="CZ1329" s="619"/>
      <c r="DA1329" s="548"/>
      <c r="DB1329" s="548"/>
      <c r="DC1329" s="548"/>
      <c r="DD1329" s="619"/>
      <c r="DE1329" s="619"/>
      <c r="DF1329" s="619"/>
      <c r="DG1329" s="619"/>
      <c r="DH1329" s="619"/>
    </row>
    <row r="1330" s="548" customFormat="1" ht="31" customHeight="1" spans="1:112">
      <c r="A1330" s="608">
        <v>46112</v>
      </c>
      <c r="B1330" s="609" t="s">
        <v>7760</v>
      </c>
      <c r="C1330" s="610" t="s">
        <v>170</v>
      </c>
      <c r="D1330" s="727">
        <v>4500199427</v>
      </c>
      <c r="E1330" s="613">
        <v>42938</v>
      </c>
      <c r="F1330" s="554" t="s">
        <v>9249</v>
      </c>
      <c r="G1330" s="610" t="s">
        <v>6084</v>
      </c>
      <c r="H1330" s="610" t="s">
        <v>6069</v>
      </c>
      <c r="I1330" s="715">
        <v>2300</v>
      </c>
      <c r="J1330" s="610">
        <v>0</v>
      </c>
      <c r="K1330" s="610">
        <v>25</v>
      </c>
      <c r="L1330" s="611">
        <f t="shared" si="482"/>
        <v>92</v>
      </c>
      <c r="M1330" s="612">
        <v>46153</v>
      </c>
      <c r="N1330" s="612">
        <v>46149</v>
      </c>
      <c r="O1330" s="613"/>
      <c r="P1330" s="610" t="s">
        <v>113</v>
      </c>
      <c r="Q1330" s="614"/>
      <c r="R1330" s="614">
        <v>46126</v>
      </c>
      <c r="S1330" s="614" t="s">
        <v>70</v>
      </c>
      <c r="T1330" s="614" t="s">
        <v>70</v>
      </c>
      <c r="U1330" s="614"/>
      <c r="V1330" s="614" t="s">
        <v>9250</v>
      </c>
      <c r="W1330" s="615"/>
      <c r="X1330" s="609" t="s">
        <v>9251</v>
      </c>
      <c r="Y1330" s="616" t="s">
        <v>1150</v>
      </c>
      <c r="Z1330" s="609">
        <v>1.023</v>
      </c>
      <c r="AA1330" s="616">
        <f t="shared" si="495"/>
        <v>2352.9</v>
      </c>
      <c r="AC1330" s="697"/>
      <c r="AD1330" s="610" t="s">
        <v>6089</v>
      </c>
      <c r="AE1330" s="610" t="s">
        <v>82</v>
      </c>
      <c r="AF1330" s="610"/>
      <c r="AG1330" s="610"/>
      <c r="AH1330" s="609">
        <v>1</v>
      </c>
      <c r="AI1330" s="726">
        <v>2300</v>
      </c>
      <c r="AJ1330" s="610">
        <f t="shared" si="483"/>
        <v>0</v>
      </c>
      <c r="AK1330" s="613"/>
      <c r="AL1330" s="610"/>
      <c r="AM1330" s="610"/>
      <c r="AN1330" s="610">
        <f>I1330</f>
        <v>2300</v>
      </c>
      <c r="AO1330" s="554"/>
      <c r="AP1330" s="554"/>
      <c r="AQ1330" s="554"/>
      <c r="AR1330" s="554"/>
      <c r="AS1330" s="554">
        <f>I1330</f>
        <v>2300</v>
      </c>
      <c r="AT1330" s="554"/>
      <c r="AU1330" s="554">
        <f>I1330</f>
        <v>2300</v>
      </c>
      <c r="AV1330" s="554"/>
      <c r="AW1330" s="554"/>
      <c r="AX1330" s="714"/>
      <c r="AY1330" s="554"/>
      <c r="AZ1330" s="554"/>
      <c r="BA1330" s="554"/>
      <c r="BB1330" s="620">
        <f>I1330/24</f>
        <v>95.8333333333333</v>
      </c>
      <c r="BC1330" s="554"/>
      <c r="BD1330" s="554"/>
      <c r="BE1330" s="554"/>
      <c r="BF1330" s="554"/>
      <c r="BH1330" s="554"/>
      <c r="BI1330" s="554"/>
      <c r="BJ1330" s="554"/>
      <c r="BK1330" s="554"/>
      <c r="BL1330" s="554"/>
      <c r="BM1330" s="554"/>
      <c r="BN1330" s="554"/>
      <c r="BO1330" s="554">
        <f>I1330/25</f>
        <v>92</v>
      </c>
      <c r="BP1330" s="554"/>
      <c r="BQ1330" s="554"/>
      <c r="BR1330" s="554"/>
      <c r="BS1330" s="554"/>
      <c r="BT1330" s="554"/>
      <c r="BU1330" s="554"/>
      <c r="BV1330" s="554"/>
      <c r="BW1330" s="554"/>
      <c r="BX1330" s="554"/>
      <c r="BY1330" s="554"/>
      <c r="BZ1330" s="554"/>
      <c r="CA1330" s="720"/>
      <c r="CB1330" s="567"/>
      <c r="CC1330" s="721"/>
      <c r="CD1330" s="554"/>
      <c r="CE1330" s="554"/>
      <c r="CF1330" s="554"/>
      <c r="CG1330" s="554"/>
      <c r="CI1330" s="554"/>
      <c r="CJ1330" s="554"/>
      <c r="CK1330" s="554"/>
      <c r="CL1330" s="554"/>
      <c r="CM1330" s="554"/>
      <c r="CN1330" s="554"/>
      <c r="CO1330" s="554"/>
      <c r="CP1330" s="619"/>
      <c r="CQ1330" s="619"/>
      <c r="CR1330" s="619"/>
      <c r="CS1330" s="619"/>
      <c r="CT1330" s="619"/>
      <c r="CU1330" s="554">
        <f t="shared" si="484"/>
        <v>92</v>
      </c>
      <c r="CV1330" s="554">
        <f t="shared" si="492"/>
        <v>0</v>
      </c>
      <c r="CW1330" s="554">
        <f t="shared" si="493"/>
        <v>0</v>
      </c>
      <c r="CX1330" s="619"/>
      <c r="CY1330" s="619"/>
      <c r="CZ1330" s="619"/>
      <c r="DA1330" s="619"/>
      <c r="DB1330" s="619"/>
      <c r="DC1330" s="619"/>
      <c r="DD1330" s="619"/>
      <c r="DE1330" s="619"/>
      <c r="DF1330" s="619"/>
      <c r="DG1330" s="619"/>
      <c r="DH1330" s="619"/>
    </row>
    <row r="1331" s="548" customFormat="1" ht="31" customHeight="1" spans="1:112">
      <c r="A1331" s="608">
        <v>46112</v>
      </c>
      <c r="B1331" s="609" t="s">
        <v>169</v>
      </c>
      <c r="C1331" s="610" t="s">
        <v>170</v>
      </c>
      <c r="D1331" s="554">
        <v>4500199426</v>
      </c>
      <c r="E1331" s="613">
        <v>990381933</v>
      </c>
      <c r="F1331" s="554" t="s">
        <v>9252</v>
      </c>
      <c r="G1331" s="610" t="s">
        <v>6063</v>
      </c>
      <c r="H1331" s="610" t="s">
        <v>6064</v>
      </c>
      <c r="I1331" s="610">
        <v>5136</v>
      </c>
      <c r="J1331" s="610">
        <v>0</v>
      </c>
      <c r="K1331" s="610">
        <v>16</v>
      </c>
      <c r="L1331" s="611">
        <f t="shared" si="482"/>
        <v>321</v>
      </c>
      <c r="M1331" s="612">
        <v>46153</v>
      </c>
      <c r="N1331" s="612">
        <v>46149</v>
      </c>
      <c r="O1331" s="613" t="s">
        <v>9253</v>
      </c>
      <c r="P1331" s="613" t="s">
        <v>113</v>
      </c>
      <c r="Q1331" s="610"/>
      <c r="R1331" s="614">
        <v>46112</v>
      </c>
      <c r="S1331" s="614" t="s">
        <v>70</v>
      </c>
      <c r="T1331" s="614" t="s">
        <v>9254</v>
      </c>
      <c r="U1331" s="614"/>
      <c r="V1331" s="614" t="s">
        <v>9255</v>
      </c>
      <c r="W1331" s="615"/>
      <c r="X1331" s="609" t="s">
        <v>8705</v>
      </c>
      <c r="Y1331" s="609" t="s">
        <v>2071</v>
      </c>
      <c r="Z1331" s="722">
        <v>1.0247</v>
      </c>
      <c r="AA1331" s="616">
        <f>I1331*Z1331</f>
        <v>5262.8592</v>
      </c>
      <c r="AC1331" s="617"/>
      <c r="AD1331" s="610" t="s">
        <v>8348</v>
      </c>
      <c r="AE1331" s="610" t="s">
        <v>82</v>
      </c>
      <c r="AF1331" s="610"/>
      <c r="AG1331" s="610"/>
      <c r="AH1331" s="609">
        <v>1</v>
      </c>
      <c r="AI1331" s="726">
        <v>5136</v>
      </c>
      <c r="AJ1331" s="610">
        <f t="shared" si="483"/>
        <v>0</v>
      </c>
      <c r="AK1331" s="610"/>
      <c r="AL1331" s="610"/>
      <c r="AM1331" s="610"/>
      <c r="AN1331" s="610">
        <f>I1331</f>
        <v>5136</v>
      </c>
      <c r="AO1331" s="554"/>
      <c r="AP1331" s="554"/>
      <c r="AQ1331" s="554"/>
      <c r="AR1331" s="619"/>
      <c r="AS1331" s="554">
        <f>I1331</f>
        <v>5136</v>
      </c>
      <c r="AT1331" s="554"/>
      <c r="AU1331" s="554">
        <f>I1331</f>
        <v>5136</v>
      </c>
      <c r="AV1331" s="554"/>
      <c r="AW1331" s="619"/>
      <c r="AX1331" s="554"/>
      <c r="AY1331" s="554"/>
      <c r="AZ1331" s="554"/>
      <c r="BA1331" s="554"/>
      <c r="BB1331" s="620">
        <f>I1331/24</f>
        <v>214</v>
      </c>
      <c r="BC1331" s="554"/>
      <c r="BD1331" s="554"/>
      <c r="BE1331" s="554"/>
      <c r="BF1331" s="554"/>
      <c r="BH1331" s="554"/>
      <c r="BI1331" s="554"/>
      <c r="BJ1331" s="554"/>
      <c r="BK1331" s="554"/>
      <c r="BL1331" s="554"/>
      <c r="BM1331" s="554"/>
      <c r="BN1331" s="554"/>
      <c r="BO1331" s="554"/>
      <c r="BP1331" s="554"/>
      <c r="BQ1331" s="554"/>
      <c r="BR1331" s="554">
        <f>L1331</f>
        <v>321</v>
      </c>
      <c r="BS1331" s="554"/>
      <c r="BT1331" s="554"/>
      <c r="BU1331" s="554"/>
      <c r="BV1331" s="554"/>
      <c r="BW1331" s="554"/>
      <c r="BX1331" s="554"/>
      <c r="BY1331" s="554"/>
      <c r="BZ1331" s="554"/>
      <c r="CA1331" s="720"/>
      <c r="CB1331" s="567"/>
      <c r="CC1331" s="721"/>
      <c r="CD1331" s="554"/>
      <c r="CE1331" s="554"/>
      <c r="CF1331" s="554"/>
      <c r="CG1331" s="554"/>
      <c r="CI1331" s="554"/>
      <c r="CJ1331" s="554"/>
      <c r="CK1331" s="554"/>
      <c r="CL1331" s="554"/>
      <c r="CM1331" s="554"/>
      <c r="CN1331" s="554"/>
      <c r="CO1331" s="554"/>
      <c r="CP1331" s="619"/>
      <c r="CQ1331" s="619"/>
      <c r="CR1331" s="619"/>
      <c r="CS1331" s="619"/>
      <c r="CT1331" s="619"/>
      <c r="CU1331" s="554">
        <f t="shared" si="484"/>
        <v>321</v>
      </c>
      <c r="CV1331" s="554">
        <f t="shared" si="492"/>
        <v>0</v>
      </c>
      <c r="CW1331" s="554">
        <f t="shared" si="493"/>
        <v>0</v>
      </c>
      <c r="CX1331" s="619"/>
      <c r="CY1331" s="619"/>
      <c r="CZ1331" s="619"/>
      <c r="DA1331" s="619"/>
      <c r="DB1331" s="619"/>
      <c r="DC1331" s="619"/>
      <c r="DD1331" s="619"/>
      <c r="DE1331" s="619"/>
      <c r="DF1331" s="619"/>
      <c r="DG1331" s="619"/>
      <c r="DH1331" s="619"/>
    </row>
    <row r="1332" s="548" customFormat="1" ht="31" customHeight="1" spans="1:112">
      <c r="A1332" s="608">
        <v>46092</v>
      </c>
      <c r="B1332" s="609" t="s">
        <v>2734</v>
      </c>
      <c r="C1332" s="610" t="s">
        <v>98</v>
      </c>
      <c r="D1332" s="554">
        <v>4500196191</v>
      </c>
      <c r="E1332" s="610">
        <v>60287666</v>
      </c>
      <c r="F1332" s="554" t="s">
        <v>3708</v>
      </c>
      <c r="G1332" s="610" t="s">
        <v>8520</v>
      </c>
      <c r="H1332" s="610" t="s">
        <v>8521</v>
      </c>
      <c r="I1332" s="715">
        <v>5000</v>
      </c>
      <c r="J1332" s="610">
        <v>0</v>
      </c>
      <c r="K1332" s="610">
        <v>8</v>
      </c>
      <c r="L1332" s="611">
        <f t="shared" si="482"/>
        <v>625</v>
      </c>
      <c r="M1332" s="612">
        <v>46154</v>
      </c>
      <c r="N1332" s="612">
        <v>46150</v>
      </c>
      <c r="O1332" s="613"/>
      <c r="P1332" s="613" t="s">
        <v>113</v>
      </c>
      <c r="Q1332" s="610"/>
      <c r="R1332" s="614">
        <v>46098</v>
      </c>
      <c r="S1332" s="614" t="s">
        <v>70</v>
      </c>
      <c r="T1332" s="614" t="s">
        <v>8522</v>
      </c>
      <c r="U1332" s="614"/>
      <c r="V1332" s="614"/>
      <c r="W1332" s="615"/>
      <c r="X1332" s="609" t="s">
        <v>3633</v>
      </c>
      <c r="Y1332" s="616" t="s">
        <v>1318</v>
      </c>
      <c r="Z1332" s="609">
        <v>4.0382</v>
      </c>
      <c r="AA1332" s="616">
        <f t="shared" ref="AA1332:AA1340" si="496">Z1332*I1332</f>
        <v>20191</v>
      </c>
      <c r="AC1332" s="629" t="s">
        <v>3709</v>
      </c>
      <c r="AD1332" s="610" t="s">
        <v>2741</v>
      </c>
      <c r="AE1332" s="610" t="s">
        <v>82</v>
      </c>
      <c r="AF1332" s="610"/>
      <c r="AG1332" s="609"/>
      <c r="AH1332" s="609">
        <v>1</v>
      </c>
      <c r="AI1332" s="726">
        <f>2592+1728+680</f>
        <v>5000</v>
      </c>
      <c r="AJ1332" s="610">
        <f t="shared" si="483"/>
        <v>0</v>
      </c>
      <c r="AK1332" s="610"/>
      <c r="AL1332" s="610"/>
      <c r="AM1332" s="610"/>
      <c r="AN1332" s="610">
        <f>I1332*2</f>
        <v>10000</v>
      </c>
      <c r="AO1332" s="554"/>
      <c r="AP1332" s="554">
        <f>I1332*2</f>
        <v>10000</v>
      </c>
      <c r="AQ1332" s="554"/>
      <c r="AR1332" s="619"/>
      <c r="AS1332" s="554"/>
      <c r="AT1332" s="554"/>
      <c r="AU1332" s="554">
        <f>I1332*2</f>
        <v>10000</v>
      </c>
      <c r="AV1332" s="554"/>
      <c r="AW1332" s="619"/>
      <c r="AX1332" s="554"/>
      <c r="AY1332" s="554"/>
      <c r="AZ1332" s="554"/>
      <c r="BA1332" s="554"/>
      <c r="BB1332" s="620">
        <f>I1332/24*2</f>
        <v>416.666666666667</v>
      </c>
      <c r="BC1332" s="714"/>
      <c r="BD1332" s="554"/>
      <c r="BE1332" s="554"/>
      <c r="BF1332" s="554"/>
      <c r="BH1332" s="554"/>
      <c r="BI1332" s="554"/>
      <c r="BJ1332" s="554"/>
      <c r="BK1332" s="554"/>
      <c r="BL1332" s="554"/>
      <c r="BM1332" s="554"/>
      <c r="BN1332" s="554"/>
      <c r="BO1332" s="554"/>
      <c r="BP1332" s="554"/>
      <c r="BQ1332" s="554"/>
      <c r="BR1332" s="554"/>
      <c r="BS1332" s="554"/>
      <c r="BT1332" s="554"/>
      <c r="BU1332" s="554"/>
      <c r="BV1332" s="554"/>
      <c r="BW1332" s="554"/>
      <c r="BX1332" s="554"/>
      <c r="BY1332" s="619"/>
      <c r="BZ1332" s="554"/>
      <c r="CA1332" s="621">
        <f>I1332</f>
        <v>5000</v>
      </c>
      <c r="CB1332" s="567"/>
      <c r="CC1332" s="622"/>
      <c r="CD1332" s="619"/>
      <c r="CE1332" s="619"/>
      <c r="CF1332" s="554"/>
      <c r="CG1332" s="554"/>
      <c r="CI1332" s="554"/>
      <c r="CJ1332" s="554"/>
      <c r="CK1332" s="554"/>
      <c r="CL1332" s="554"/>
      <c r="CM1332" s="554"/>
      <c r="CN1332" s="554"/>
      <c r="CO1332" s="554"/>
      <c r="CP1332" s="554"/>
      <c r="CQ1332" s="554"/>
      <c r="CR1332" s="554"/>
      <c r="CS1332" s="554"/>
      <c r="CT1332" s="554"/>
      <c r="CU1332" s="554">
        <f t="shared" si="484"/>
        <v>0</v>
      </c>
      <c r="CV1332" s="554">
        <f t="shared" si="492"/>
        <v>0</v>
      </c>
      <c r="CW1332" s="554">
        <f t="shared" si="493"/>
        <v>0</v>
      </c>
      <c r="CX1332" s="619"/>
      <c r="CY1332" s="619"/>
      <c r="CZ1332" s="619"/>
      <c r="DA1332" s="548"/>
      <c r="DB1332" s="548"/>
      <c r="DC1332" s="548"/>
      <c r="DD1332" s="619"/>
      <c r="DE1332" s="619"/>
      <c r="DF1332" s="619"/>
      <c r="DG1332" s="619"/>
      <c r="DH1332" s="619"/>
    </row>
    <row r="1333" s="548" customFormat="1" ht="31" customHeight="1" spans="1:112">
      <c r="A1333" s="608">
        <v>46101</v>
      </c>
      <c r="B1333" s="609" t="s">
        <v>3729</v>
      </c>
      <c r="C1333" s="610" t="s">
        <v>278</v>
      </c>
      <c r="D1333" s="554">
        <v>4500197220</v>
      </c>
      <c r="E1333" s="610" t="s">
        <v>3730</v>
      </c>
      <c r="F1333" s="554" t="s">
        <v>3731</v>
      </c>
      <c r="G1333" s="610" t="s">
        <v>6337</v>
      </c>
      <c r="H1333" s="610" t="s">
        <v>477</v>
      </c>
      <c r="I1333" s="610">
        <v>570</v>
      </c>
      <c r="J1333" s="610">
        <v>0</v>
      </c>
      <c r="K1333" s="610">
        <v>6</v>
      </c>
      <c r="L1333" s="611">
        <f t="shared" si="482"/>
        <v>95</v>
      </c>
      <c r="M1333" s="612">
        <v>46149</v>
      </c>
      <c r="N1333" s="612">
        <v>46155</v>
      </c>
      <c r="O1333" s="613"/>
      <c r="P1333" s="613" t="s">
        <v>113</v>
      </c>
      <c r="Q1333" s="640">
        <v>46157</v>
      </c>
      <c r="R1333" s="614" t="s">
        <v>463</v>
      </c>
      <c r="S1333" s="614" t="s">
        <v>104</v>
      </c>
      <c r="T1333" s="614" t="s">
        <v>9256</v>
      </c>
      <c r="U1333" s="614"/>
      <c r="V1333" s="614"/>
      <c r="W1333" s="615"/>
      <c r="X1333" s="609" t="s">
        <v>9257</v>
      </c>
      <c r="Y1333" s="609" t="s">
        <v>3734</v>
      </c>
      <c r="Z1333" s="722">
        <v>7.1628</v>
      </c>
      <c r="AA1333" s="616">
        <f t="shared" si="496"/>
        <v>4082.796</v>
      </c>
      <c r="AC1333" s="617"/>
      <c r="AD1333" s="610" t="s">
        <v>480</v>
      </c>
      <c r="AE1333" s="610" t="s">
        <v>82</v>
      </c>
      <c r="AF1333" s="610"/>
      <c r="AG1333" s="610"/>
      <c r="AH1333" s="609">
        <v>1</v>
      </c>
      <c r="AI1333" s="725">
        <v>570</v>
      </c>
      <c r="AJ1333" s="610">
        <f t="shared" si="483"/>
        <v>0</v>
      </c>
      <c r="AK1333" s="640">
        <v>46153</v>
      </c>
      <c r="AL1333" s="610" t="s">
        <v>2368</v>
      </c>
      <c r="AM1333" s="610"/>
      <c r="AN1333" s="610"/>
      <c r="AO1333" s="554">
        <f>I1333*2</f>
        <v>1140</v>
      </c>
      <c r="AP1333" s="554"/>
      <c r="AQ1333" s="554"/>
      <c r="AR1333" s="619"/>
      <c r="AS1333" s="554"/>
      <c r="AT1333" s="554">
        <f>I1333*2</f>
        <v>1140</v>
      </c>
      <c r="AU1333" s="554"/>
      <c r="AV1333" s="554">
        <f>I1333*2</f>
        <v>1140</v>
      </c>
      <c r="AW1333" s="619"/>
      <c r="AX1333" s="554"/>
      <c r="AY1333" s="554"/>
      <c r="AZ1333" s="554"/>
      <c r="BA1333" s="554"/>
      <c r="BB1333" s="620">
        <f>I1333/24*2</f>
        <v>47.5</v>
      </c>
      <c r="BC1333" s="714"/>
      <c r="BD1333" s="554"/>
      <c r="BE1333" s="554"/>
      <c r="BF1333" s="554"/>
      <c r="BH1333" s="554"/>
      <c r="BI1333" s="554"/>
      <c r="BJ1333" s="554"/>
      <c r="BK1333" s="554"/>
      <c r="BL1333" s="554"/>
      <c r="BM1333" s="554"/>
      <c r="BN1333" s="554"/>
      <c r="BO1333" s="554"/>
      <c r="BP1333" s="554"/>
      <c r="BQ1333" s="554"/>
      <c r="BR1333" s="554"/>
      <c r="BS1333" s="554"/>
      <c r="BT1333" s="554"/>
      <c r="BU1333" s="554"/>
      <c r="BV1333" s="554"/>
      <c r="BW1333" s="554"/>
      <c r="BX1333" s="554"/>
      <c r="BY1333" s="619"/>
      <c r="BZ1333" s="554"/>
      <c r="CA1333" s="621"/>
      <c r="CB1333" s="567"/>
      <c r="CC1333" s="622"/>
      <c r="CD1333" s="619">
        <f>I1333</f>
        <v>570</v>
      </c>
      <c r="CE1333" s="619"/>
      <c r="CF1333" s="554"/>
      <c r="CG1333" s="554"/>
      <c r="CI1333" s="554"/>
      <c r="CJ1333" s="554"/>
      <c r="CK1333" s="554"/>
      <c r="CL1333" s="554"/>
      <c r="CM1333" s="554"/>
      <c r="CN1333" s="554"/>
      <c r="CO1333" s="554"/>
      <c r="CP1333" s="554"/>
      <c r="CQ1333" s="554"/>
      <c r="CR1333" s="554"/>
      <c r="CS1333" s="554"/>
      <c r="CT1333" s="554"/>
      <c r="CU1333" s="554">
        <f t="shared" si="484"/>
        <v>0</v>
      </c>
      <c r="CV1333" s="554">
        <f t="shared" si="492"/>
        <v>0</v>
      </c>
      <c r="CW1333" s="554">
        <f t="shared" si="493"/>
        <v>0</v>
      </c>
      <c r="CX1333" s="619"/>
      <c r="CY1333" s="619"/>
      <c r="CZ1333" s="619"/>
      <c r="DA1333" s="548"/>
      <c r="DB1333" s="548"/>
      <c r="DC1333" s="548"/>
      <c r="DD1333" s="619"/>
      <c r="DE1333" s="619"/>
      <c r="DF1333" s="619"/>
      <c r="DG1333" s="619"/>
      <c r="DH1333" s="619"/>
    </row>
    <row r="1334" s="548" customFormat="1" ht="31" customHeight="1" spans="1:112">
      <c r="A1334" s="608">
        <v>46112</v>
      </c>
      <c r="B1334" s="609" t="s">
        <v>7688</v>
      </c>
      <c r="C1334" s="610" t="s">
        <v>278</v>
      </c>
      <c r="D1334" s="727">
        <v>4500199237</v>
      </c>
      <c r="E1334" s="613">
        <v>89006287</v>
      </c>
      <c r="F1334" s="554" t="s">
        <v>9258</v>
      </c>
      <c r="G1334" s="610" t="s">
        <v>6136</v>
      </c>
      <c r="H1334" s="610" t="s">
        <v>9259</v>
      </c>
      <c r="I1334" s="715">
        <v>8112</v>
      </c>
      <c r="J1334" s="610">
        <v>13</v>
      </c>
      <c r="K1334" s="610">
        <v>104</v>
      </c>
      <c r="L1334" s="611">
        <f t="shared" si="482"/>
        <v>78</v>
      </c>
      <c r="M1334" s="612">
        <v>46153</v>
      </c>
      <c r="N1334" s="612">
        <v>46149</v>
      </c>
      <c r="O1334" s="613"/>
      <c r="P1334" s="610" t="s">
        <v>113</v>
      </c>
      <c r="Q1334" s="614"/>
      <c r="R1334" s="614">
        <v>46129</v>
      </c>
      <c r="S1334" s="614" t="s">
        <v>70</v>
      </c>
      <c r="T1334" s="614" t="s">
        <v>70</v>
      </c>
      <c r="U1334" s="614"/>
      <c r="V1334" s="614" t="s">
        <v>9260</v>
      </c>
      <c r="W1334" s="615"/>
      <c r="X1334" s="609" t="s">
        <v>9261</v>
      </c>
      <c r="Y1334" s="616" t="s">
        <v>1549</v>
      </c>
      <c r="Z1334" s="609">
        <v>0.9216</v>
      </c>
      <c r="AA1334" s="616">
        <f t="shared" si="496"/>
        <v>7476.0192</v>
      </c>
      <c r="AC1334" s="697"/>
      <c r="AD1334" s="610" t="s">
        <v>6136</v>
      </c>
      <c r="AE1334" s="610" t="s">
        <v>82</v>
      </c>
      <c r="AF1334" s="610"/>
      <c r="AG1334" s="610"/>
      <c r="AH1334" s="609">
        <v>1</v>
      </c>
      <c r="AI1334" s="725">
        <v>8112</v>
      </c>
      <c r="AJ1334" s="610">
        <f t="shared" si="483"/>
        <v>0</v>
      </c>
      <c r="AK1334" s="640">
        <v>46153</v>
      </c>
      <c r="AL1334" s="610"/>
      <c r="AM1334" s="610"/>
      <c r="AN1334" s="554"/>
      <c r="AO1334" s="554">
        <f>I1334</f>
        <v>8112</v>
      </c>
      <c r="AP1334" s="554"/>
      <c r="AQ1334" s="554"/>
      <c r="AR1334" s="554"/>
      <c r="AS1334" s="554"/>
      <c r="AT1334" s="554">
        <f>I1334</f>
        <v>8112</v>
      </c>
      <c r="AU1334" s="554"/>
      <c r="AV1334" s="554">
        <f>I1334</f>
        <v>8112</v>
      </c>
      <c r="AW1334" s="554"/>
      <c r="AX1334" s="714"/>
      <c r="AY1334" s="554"/>
      <c r="AZ1334" s="554"/>
      <c r="BA1334" s="554"/>
      <c r="BB1334" s="620">
        <f>I1334/24</f>
        <v>338</v>
      </c>
      <c r="BC1334" s="554"/>
      <c r="BD1334" s="554"/>
      <c r="BE1334" s="554"/>
      <c r="BF1334" s="554"/>
      <c r="BH1334" s="554"/>
      <c r="BI1334" s="554"/>
      <c r="BJ1334" s="554"/>
      <c r="BK1334" s="554"/>
      <c r="BL1334" s="554"/>
      <c r="BM1334" s="554">
        <f>I1334/13</f>
        <v>624</v>
      </c>
      <c r="BN1334" s="554"/>
      <c r="BO1334" s="554"/>
      <c r="BP1334" s="554"/>
      <c r="BQ1334" s="554"/>
      <c r="BR1334" s="554"/>
      <c r="BS1334" s="554"/>
      <c r="BT1334" s="554"/>
      <c r="BU1334" s="554"/>
      <c r="BV1334" s="554"/>
      <c r="BW1334" s="554"/>
      <c r="BX1334" s="554"/>
      <c r="BY1334" s="554"/>
      <c r="BZ1334" s="554"/>
      <c r="CA1334" s="720"/>
      <c r="CB1334" s="567"/>
      <c r="CC1334" s="721"/>
      <c r="CD1334" s="554"/>
      <c r="CE1334" s="554"/>
      <c r="CF1334" s="554"/>
      <c r="CG1334" s="554"/>
      <c r="CI1334" s="554"/>
      <c r="CJ1334" s="554"/>
      <c r="CK1334" s="554"/>
      <c r="CL1334" s="554"/>
      <c r="CM1334" s="554"/>
      <c r="CN1334" s="554"/>
      <c r="CO1334" s="554"/>
      <c r="CP1334" s="619"/>
      <c r="CQ1334" s="619"/>
      <c r="CR1334" s="619"/>
      <c r="CS1334" s="619"/>
      <c r="CT1334" s="619"/>
      <c r="CU1334" s="554">
        <f t="shared" si="484"/>
        <v>0</v>
      </c>
      <c r="CV1334" s="554">
        <f t="shared" si="492"/>
        <v>0</v>
      </c>
      <c r="CW1334" s="554">
        <f t="shared" si="493"/>
        <v>0</v>
      </c>
      <c r="CX1334" s="619"/>
      <c r="CY1334" s="619"/>
      <c r="CZ1334" s="619"/>
      <c r="DA1334" s="619"/>
      <c r="DB1334" s="619"/>
      <c r="DC1334" s="619"/>
      <c r="DD1334" s="619"/>
      <c r="DE1334" s="619"/>
      <c r="DF1334" s="619"/>
      <c r="DG1334" s="619"/>
      <c r="DH1334" s="619"/>
    </row>
    <row r="1335" s="548" customFormat="1" ht="31" customHeight="1" spans="1:112">
      <c r="A1335" s="608">
        <v>46092</v>
      </c>
      <c r="B1335" s="609" t="s">
        <v>2734</v>
      </c>
      <c r="C1335" s="610" t="s">
        <v>98</v>
      </c>
      <c r="D1335" s="554">
        <v>4500196191</v>
      </c>
      <c r="E1335" s="610">
        <v>60287666</v>
      </c>
      <c r="F1335" s="554" t="s">
        <v>9262</v>
      </c>
      <c r="G1335" s="610" t="s">
        <v>6787</v>
      </c>
      <c r="H1335" s="610" t="s">
        <v>6126</v>
      </c>
      <c r="I1335" s="715">
        <v>4008</v>
      </c>
      <c r="J1335" s="610">
        <v>0</v>
      </c>
      <c r="K1335" s="610">
        <v>12</v>
      </c>
      <c r="L1335" s="611">
        <f t="shared" si="482"/>
        <v>334</v>
      </c>
      <c r="M1335" s="612">
        <v>46154</v>
      </c>
      <c r="N1335" s="612">
        <v>46150</v>
      </c>
      <c r="O1335" s="613"/>
      <c r="P1335" s="613" t="s">
        <v>113</v>
      </c>
      <c r="Q1335" s="610"/>
      <c r="R1335" s="614">
        <v>46098</v>
      </c>
      <c r="S1335" s="614" t="s">
        <v>70</v>
      </c>
      <c r="T1335" s="614" t="s">
        <v>9263</v>
      </c>
      <c r="U1335" s="614"/>
      <c r="V1335" s="614"/>
      <c r="W1335" s="615"/>
      <c r="X1335" s="609" t="s">
        <v>9264</v>
      </c>
      <c r="Y1335" s="616" t="s">
        <v>1318</v>
      </c>
      <c r="Z1335" s="609">
        <v>1.3253</v>
      </c>
      <c r="AA1335" s="616">
        <f t="shared" si="496"/>
        <v>5311.8024</v>
      </c>
      <c r="AC1335" s="629" t="s">
        <v>3709</v>
      </c>
      <c r="AD1335" s="610" t="s">
        <v>8545</v>
      </c>
      <c r="AE1335" s="610" t="s">
        <v>82</v>
      </c>
      <c r="AF1335" s="610"/>
      <c r="AG1335" s="609"/>
      <c r="AH1335" s="609">
        <v>1</v>
      </c>
      <c r="AI1335" s="726">
        <f>3996+12</f>
        <v>4008</v>
      </c>
      <c r="AJ1335" s="610">
        <f t="shared" si="483"/>
        <v>0</v>
      </c>
      <c r="AK1335" s="640">
        <v>46150</v>
      </c>
      <c r="AL1335" s="610"/>
      <c r="AM1335" s="610"/>
      <c r="AN1335" s="610">
        <f>I1335*2</f>
        <v>8016</v>
      </c>
      <c r="AO1335" s="554"/>
      <c r="AP1335" s="554">
        <f>I1335*2</f>
        <v>8016</v>
      </c>
      <c r="AQ1335" s="554"/>
      <c r="AR1335" s="619"/>
      <c r="AS1335" s="554"/>
      <c r="AT1335" s="554"/>
      <c r="AU1335" s="554">
        <f>I1335*2</f>
        <v>8016</v>
      </c>
      <c r="AV1335" s="554"/>
      <c r="AW1335" s="619"/>
      <c r="AX1335" s="554"/>
      <c r="AY1335" s="554"/>
      <c r="AZ1335" s="554"/>
      <c r="BA1335" s="554"/>
      <c r="BB1335" s="249">
        <f>I1335/24*2</f>
        <v>334</v>
      </c>
      <c r="BC1335" s="714"/>
      <c r="BD1335" s="554"/>
      <c r="BE1335" s="554"/>
      <c r="BF1335" s="554"/>
      <c r="BH1335" s="554"/>
      <c r="BI1335" s="554"/>
      <c r="BJ1335" s="554"/>
      <c r="BK1335" s="554"/>
      <c r="BL1335" s="554"/>
      <c r="BM1335" s="554"/>
      <c r="BN1335" s="554"/>
      <c r="BO1335" s="554"/>
      <c r="BP1335" s="554"/>
      <c r="BQ1335" s="554"/>
      <c r="BR1335" s="554"/>
      <c r="BS1335" s="554"/>
      <c r="BT1335" s="554"/>
      <c r="BU1335" s="554"/>
      <c r="BV1335" s="554"/>
      <c r="BW1335" s="554"/>
      <c r="BX1335" s="554"/>
      <c r="BY1335" s="619"/>
      <c r="BZ1335" s="554"/>
      <c r="CA1335" s="621"/>
      <c r="CB1335" s="567"/>
      <c r="CC1335" s="622"/>
      <c r="CD1335" s="619"/>
      <c r="CE1335" s="619"/>
      <c r="CF1335" s="554"/>
      <c r="CG1335" s="554"/>
      <c r="CI1335" s="554"/>
      <c r="CJ1335" s="554"/>
      <c r="CK1335" s="554"/>
      <c r="CL1335" s="554"/>
      <c r="CM1335" s="554"/>
      <c r="CN1335" s="554"/>
      <c r="CO1335" s="554"/>
      <c r="CP1335" s="554"/>
      <c r="CQ1335" s="554"/>
      <c r="CR1335" s="554">
        <f>I1335</f>
        <v>4008</v>
      </c>
      <c r="CS1335" s="554">
        <f>I1335</f>
        <v>4008</v>
      </c>
      <c r="CT1335" s="554">
        <f>I1335</f>
        <v>4008</v>
      </c>
      <c r="CU1335" s="554">
        <f t="shared" si="484"/>
        <v>0</v>
      </c>
      <c r="CV1335" s="554">
        <f t="shared" si="492"/>
        <v>0</v>
      </c>
      <c r="CW1335" s="554">
        <f t="shared" si="493"/>
        <v>0</v>
      </c>
      <c r="CX1335" s="619"/>
      <c r="CY1335" s="619"/>
      <c r="CZ1335" s="619"/>
      <c r="DA1335" s="548"/>
      <c r="DB1335" s="548"/>
      <c r="DC1335" s="548"/>
      <c r="DD1335" s="619"/>
      <c r="DE1335" s="619"/>
      <c r="DF1335" s="619"/>
      <c r="DG1335" s="619"/>
      <c r="DH1335" s="619"/>
    </row>
    <row r="1336" s="548" customFormat="1" ht="31" customHeight="1" spans="1:112">
      <c r="A1336" s="608">
        <v>46106</v>
      </c>
      <c r="B1336" s="609" t="s">
        <v>1800</v>
      </c>
      <c r="C1336" s="713" t="s">
        <v>744</v>
      </c>
      <c r="D1336" s="554">
        <v>4500198503</v>
      </c>
      <c r="E1336" s="610">
        <v>5000002156</v>
      </c>
      <c r="F1336" s="554" t="s">
        <v>3761</v>
      </c>
      <c r="G1336" s="610" t="s">
        <v>6337</v>
      </c>
      <c r="H1336" s="662" t="s">
        <v>477</v>
      </c>
      <c r="I1336" s="610">
        <v>10002</v>
      </c>
      <c r="J1336" s="610">
        <v>0</v>
      </c>
      <c r="K1336" s="610">
        <v>6</v>
      </c>
      <c r="L1336" s="611">
        <f t="shared" si="482"/>
        <v>1667</v>
      </c>
      <c r="M1336" s="612">
        <v>46155</v>
      </c>
      <c r="N1336" s="612">
        <v>46151</v>
      </c>
      <c r="O1336" s="613"/>
      <c r="P1336" s="613" t="s">
        <v>113</v>
      </c>
      <c r="Q1336" s="610"/>
      <c r="R1336" s="614" t="s">
        <v>3299</v>
      </c>
      <c r="S1336" s="614" t="s">
        <v>104</v>
      </c>
      <c r="T1336" s="614" t="s">
        <v>2239</v>
      </c>
      <c r="U1336" s="614"/>
      <c r="V1336" s="614"/>
      <c r="W1336" s="615"/>
      <c r="X1336" s="609" t="s">
        <v>3762</v>
      </c>
      <c r="Y1336" s="716" t="s">
        <v>1805</v>
      </c>
      <c r="Z1336" s="722">
        <v>6.3788</v>
      </c>
      <c r="AA1336" s="616">
        <f t="shared" si="496"/>
        <v>63800.7576</v>
      </c>
      <c r="AC1336" s="617"/>
      <c r="AD1336" s="610" t="s">
        <v>2241</v>
      </c>
      <c r="AE1336" s="610" t="s">
        <v>82</v>
      </c>
      <c r="AF1336" s="610"/>
      <c r="AG1336" s="609"/>
      <c r="AH1336" s="609">
        <v>1</v>
      </c>
      <c r="AI1336" s="725">
        <f>2916+7086</f>
        <v>10002</v>
      </c>
      <c r="AJ1336" s="610">
        <f t="shared" si="483"/>
        <v>0</v>
      </c>
      <c r="AK1336" s="640">
        <v>46150</v>
      </c>
      <c r="AL1336" s="610" t="s">
        <v>2368</v>
      </c>
      <c r="AM1336" s="610"/>
      <c r="AN1336" s="610"/>
      <c r="AO1336" s="554">
        <f>I1336*2</f>
        <v>20004</v>
      </c>
      <c r="AP1336" s="554"/>
      <c r="AQ1336" s="554"/>
      <c r="AR1336" s="554"/>
      <c r="AS1336" s="554"/>
      <c r="AT1336" s="554">
        <f>I1336*2</f>
        <v>20004</v>
      </c>
      <c r="AU1336" s="554"/>
      <c r="AV1336" s="554"/>
      <c r="AW1336" s="554"/>
      <c r="AX1336" s="663">
        <f>I1336*2</f>
        <v>20004</v>
      </c>
      <c r="AY1336" s="554"/>
      <c r="AZ1336" s="554"/>
      <c r="BA1336" s="671">
        <f>I1336/24*2</f>
        <v>833.5</v>
      </c>
      <c r="BB1336" s="620"/>
      <c r="BC1336" s="714"/>
      <c r="BD1336" s="554"/>
      <c r="BE1336" s="554"/>
      <c r="BF1336" s="554"/>
      <c r="BH1336" s="554"/>
      <c r="BI1336" s="554"/>
      <c r="BJ1336" s="554"/>
      <c r="BK1336" s="554"/>
      <c r="BL1336" s="554"/>
      <c r="BM1336" s="554"/>
      <c r="BN1336" s="554"/>
      <c r="BO1336" s="554"/>
      <c r="BP1336" s="554"/>
      <c r="BQ1336" s="554"/>
      <c r="BR1336" s="554"/>
      <c r="BS1336" s="554"/>
      <c r="BT1336" s="554"/>
      <c r="BU1336" s="554"/>
      <c r="BV1336" s="554"/>
      <c r="BW1336" s="554"/>
      <c r="BX1336" s="554"/>
      <c r="BY1336" s="619"/>
      <c r="BZ1336" s="554">
        <f>I1336</f>
        <v>10002</v>
      </c>
      <c r="CA1336" s="621"/>
      <c r="CB1336" s="567"/>
      <c r="CC1336" s="622"/>
      <c r="CD1336" s="619"/>
      <c r="CE1336" s="619"/>
      <c r="CF1336" s="554"/>
      <c r="CG1336" s="554"/>
      <c r="CI1336" s="554"/>
      <c r="CJ1336" s="554"/>
      <c r="CK1336" s="554"/>
      <c r="CL1336" s="554"/>
      <c r="CM1336" s="554"/>
      <c r="CN1336" s="554"/>
      <c r="CO1336" s="554"/>
      <c r="CP1336" s="554"/>
      <c r="CQ1336" s="554"/>
      <c r="CR1336" s="554"/>
      <c r="CS1336" s="554"/>
      <c r="CT1336" s="554"/>
      <c r="CU1336" s="554">
        <f t="shared" si="484"/>
        <v>0</v>
      </c>
      <c r="CV1336" s="554">
        <v>0</v>
      </c>
      <c r="CW1336" s="554">
        <v>0</v>
      </c>
      <c r="CX1336" s="619"/>
      <c r="CY1336" s="619"/>
      <c r="CZ1336" s="619"/>
      <c r="DA1336" s="548"/>
      <c r="DB1336" s="548"/>
      <c r="DC1336" s="548"/>
      <c r="DD1336" s="619"/>
      <c r="DE1336" s="619"/>
      <c r="DF1336" s="619"/>
      <c r="DG1336" s="619"/>
      <c r="DH1336" s="619"/>
    </row>
    <row r="1337" s="548" customFormat="1" ht="30" customHeight="1" spans="1:112">
      <c r="A1337" s="608">
        <v>46094</v>
      </c>
      <c r="B1337" s="609" t="s">
        <v>6845</v>
      </c>
      <c r="C1337" s="610" t="s">
        <v>98</v>
      </c>
      <c r="D1337" s="554">
        <v>4500196710</v>
      </c>
      <c r="E1337" s="610">
        <v>5286</v>
      </c>
      <c r="F1337" s="554" t="s">
        <v>9265</v>
      </c>
      <c r="G1337" s="610" t="s">
        <v>6036</v>
      </c>
      <c r="H1337" s="610" t="s">
        <v>6033</v>
      </c>
      <c r="I1337" s="610">
        <v>1000</v>
      </c>
      <c r="J1337" s="610">
        <v>0</v>
      </c>
      <c r="K1337" s="610">
        <v>50</v>
      </c>
      <c r="L1337" s="611">
        <f t="shared" si="482"/>
        <v>20</v>
      </c>
      <c r="M1337" s="612">
        <v>46157</v>
      </c>
      <c r="N1337" s="612">
        <v>46153</v>
      </c>
      <c r="O1337" s="613"/>
      <c r="P1337" s="613" t="s">
        <v>113</v>
      </c>
      <c r="Q1337" s="610"/>
      <c r="R1337" s="614">
        <v>46121</v>
      </c>
      <c r="S1337" s="614" t="s">
        <v>70</v>
      </c>
      <c r="T1337" s="614" t="s">
        <v>70</v>
      </c>
      <c r="U1337" s="614"/>
      <c r="V1337" s="614"/>
      <c r="W1337" s="615"/>
      <c r="X1337" s="609" t="s">
        <v>9266</v>
      </c>
      <c r="Y1337" s="609" t="s">
        <v>3717</v>
      </c>
      <c r="Z1337" s="722">
        <v>0.591</v>
      </c>
      <c r="AA1337" s="616">
        <f t="shared" si="496"/>
        <v>591</v>
      </c>
      <c r="AC1337" s="629" t="s">
        <v>9267</v>
      </c>
      <c r="AD1337" s="610" t="s">
        <v>6036</v>
      </c>
      <c r="AE1337" s="610" t="s">
        <v>82</v>
      </c>
      <c r="AF1337" s="610"/>
      <c r="AG1337" s="610"/>
      <c r="AH1337" s="609">
        <v>1</v>
      </c>
      <c r="AI1337" s="726">
        <f>950+50</f>
        <v>1000</v>
      </c>
      <c r="AJ1337" s="610">
        <f t="shared" si="483"/>
        <v>0</v>
      </c>
      <c r="AK1337" s="610"/>
      <c r="AL1337" s="610"/>
      <c r="AM1337" s="610"/>
      <c r="AN1337" s="610">
        <f>I1337</f>
        <v>1000</v>
      </c>
      <c r="AO1337" s="554"/>
      <c r="AP1337" s="554">
        <f>I1337</f>
        <v>1000</v>
      </c>
      <c r="AQ1337" s="554"/>
      <c r="AR1337" s="619"/>
      <c r="AS1337" s="554"/>
      <c r="AT1337" s="554"/>
      <c r="AU1337" s="554">
        <f>I1337</f>
        <v>1000</v>
      </c>
      <c r="AV1337" s="554"/>
      <c r="AW1337" s="619"/>
      <c r="AX1337" s="554"/>
      <c r="AY1337" s="554"/>
      <c r="AZ1337" s="554"/>
      <c r="BA1337" s="554"/>
      <c r="BB1337" s="620">
        <f>I1337/24</f>
        <v>41.6666666666667</v>
      </c>
      <c r="BC1337" s="714"/>
      <c r="BD1337" s="554"/>
      <c r="BE1337" s="554"/>
      <c r="BF1337" s="554"/>
      <c r="BH1337" s="554"/>
      <c r="BI1337" s="554"/>
      <c r="BJ1337" s="554"/>
      <c r="BK1337" s="554"/>
      <c r="BL1337" s="554"/>
      <c r="BM1337" s="554"/>
      <c r="BN1337" s="554">
        <f>I1337/25</f>
        <v>40</v>
      </c>
      <c r="BO1337" s="554"/>
      <c r="BP1337" s="554"/>
      <c r="BQ1337" s="554"/>
      <c r="BR1337" s="554"/>
      <c r="BS1337" s="554"/>
      <c r="BT1337" s="554"/>
      <c r="BU1337" s="554"/>
      <c r="BV1337" s="554"/>
      <c r="BW1337" s="554"/>
      <c r="BX1337" s="554"/>
      <c r="BY1337" s="619"/>
      <c r="BZ1337" s="554"/>
      <c r="CA1337" s="621"/>
      <c r="CB1337" s="567"/>
      <c r="CC1337" s="622"/>
      <c r="CD1337" s="619"/>
      <c r="CE1337" s="619"/>
      <c r="CF1337" s="554"/>
      <c r="CG1337" s="554"/>
      <c r="CI1337" s="554"/>
      <c r="CJ1337" s="554"/>
      <c r="CK1337" s="554"/>
      <c r="CL1337" s="554"/>
      <c r="CM1337" s="554"/>
      <c r="CN1337" s="554"/>
      <c r="CO1337" s="554"/>
      <c r="CP1337" s="554"/>
      <c r="CQ1337" s="554"/>
      <c r="CR1337" s="554"/>
      <c r="CS1337" s="554"/>
      <c r="CT1337" s="554"/>
      <c r="CU1337" s="554">
        <f t="shared" si="484"/>
        <v>40</v>
      </c>
      <c r="CV1337" s="554">
        <f>CK1337+CL1337+CM1337+CN1337+CO1337+CQ1337+CP1337</f>
        <v>0</v>
      </c>
      <c r="CW1337" s="554">
        <f>CI1337+CJ1337</f>
        <v>0</v>
      </c>
      <c r="CX1337" s="619"/>
      <c r="CY1337" s="619"/>
      <c r="CZ1337" s="619"/>
      <c r="DA1337" s="548"/>
      <c r="DB1337" s="548"/>
      <c r="DC1337" s="548"/>
      <c r="DD1337" s="619"/>
      <c r="DE1337" s="619"/>
      <c r="DF1337" s="619"/>
      <c r="DG1337" s="619"/>
      <c r="DH1337" s="619"/>
    </row>
    <row r="1338" s="548" customFormat="1" ht="31" customHeight="1" spans="1:112">
      <c r="A1338" s="608">
        <v>45995</v>
      </c>
      <c r="B1338" s="609" t="s">
        <v>2734</v>
      </c>
      <c r="C1338" s="713" t="s">
        <v>98</v>
      </c>
      <c r="D1338" s="554">
        <v>4500186375</v>
      </c>
      <c r="E1338" s="610">
        <v>60260879</v>
      </c>
      <c r="F1338" s="554" t="s">
        <v>3780</v>
      </c>
      <c r="G1338" s="610" t="s">
        <v>8520</v>
      </c>
      <c r="H1338" s="610" t="s">
        <v>8521</v>
      </c>
      <c r="I1338" s="610">
        <v>1600</v>
      </c>
      <c r="J1338" s="610">
        <v>0</v>
      </c>
      <c r="K1338" s="610">
        <v>8</v>
      </c>
      <c r="L1338" s="611">
        <f t="shared" si="482"/>
        <v>200</v>
      </c>
      <c r="M1338" s="612">
        <v>46164</v>
      </c>
      <c r="N1338" s="612">
        <v>46160</v>
      </c>
      <c r="O1338" s="613"/>
      <c r="P1338" s="613" t="s">
        <v>113</v>
      </c>
      <c r="Q1338" s="610"/>
      <c r="R1338" s="614">
        <v>45995</v>
      </c>
      <c r="S1338" s="614" t="s">
        <v>70</v>
      </c>
      <c r="T1338" s="614" t="s">
        <v>9268</v>
      </c>
      <c r="U1338" s="614"/>
      <c r="V1338" s="614"/>
      <c r="W1338" s="615"/>
      <c r="X1338" s="609" t="s">
        <v>3351</v>
      </c>
      <c r="Y1338" s="716" t="s">
        <v>2678</v>
      </c>
      <c r="Z1338" s="609">
        <v>4.0996</v>
      </c>
      <c r="AA1338" s="616">
        <f t="shared" si="496"/>
        <v>6559.36</v>
      </c>
      <c r="AC1338" s="629" t="s">
        <v>3781</v>
      </c>
      <c r="AD1338" s="610" t="s">
        <v>2741</v>
      </c>
      <c r="AE1338" s="610" t="s">
        <v>82</v>
      </c>
      <c r="AF1338" s="610"/>
      <c r="AG1338" s="609"/>
      <c r="AH1338" s="609">
        <v>1</v>
      </c>
      <c r="AI1338" s="726">
        <f>864+736</f>
        <v>1600</v>
      </c>
      <c r="AJ1338" s="610">
        <f t="shared" si="483"/>
        <v>0</v>
      </c>
      <c r="AK1338" s="610"/>
      <c r="AL1338" s="610" t="s">
        <v>2368</v>
      </c>
      <c r="AM1338" s="610"/>
      <c r="AN1338" s="610">
        <f>I1338*2</f>
        <v>3200</v>
      </c>
      <c r="AO1338" s="554"/>
      <c r="AP1338" s="554">
        <f>I1338*2</f>
        <v>3200</v>
      </c>
      <c r="AR1338" s="619"/>
      <c r="AS1338" s="548"/>
      <c r="AT1338" s="548"/>
      <c r="AU1338" s="554">
        <f>I1338*2</f>
        <v>3200</v>
      </c>
      <c r="AV1338" s="554"/>
      <c r="AW1338" s="619"/>
      <c r="AX1338" s="548"/>
      <c r="AY1338" s="548"/>
      <c r="AZ1338" s="548"/>
      <c r="BA1338" s="548"/>
      <c r="BB1338" s="620">
        <f>I1338/24*2</f>
        <v>133.333333333333</v>
      </c>
      <c r="BC1338" s="714"/>
      <c r="BD1338" s="548"/>
      <c r="BE1338" s="548"/>
      <c r="BF1338" s="548"/>
      <c r="BY1338" s="619"/>
      <c r="BZ1338" s="548"/>
      <c r="CA1338" s="621">
        <f>I1338</f>
        <v>1600</v>
      </c>
      <c r="CB1338" s="567"/>
      <c r="CC1338" s="622"/>
      <c r="CD1338" s="619"/>
      <c r="CE1338" s="619"/>
      <c r="CU1338" s="554">
        <f t="shared" si="484"/>
        <v>0</v>
      </c>
      <c r="CV1338" s="554">
        <f>CK1338+CL1338+CM1338+CN1338+CO1338+CQ1338+CP1338</f>
        <v>0</v>
      </c>
      <c r="CW1338" s="554">
        <f>CI1338+CJ1338</f>
        <v>0</v>
      </c>
      <c r="CX1338" s="619"/>
      <c r="CY1338" s="619"/>
      <c r="CZ1338" s="619"/>
      <c r="DA1338" s="548"/>
      <c r="DB1338" s="548"/>
      <c r="DC1338" s="548"/>
      <c r="DD1338" s="619"/>
      <c r="DE1338" s="619"/>
      <c r="DF1338" s="619"/>
      <c r="DG1338" s="619"/>
      <c r="DH1338" s="619"/>
    </row>
    <row r="1339" s="548" customFormat="1" ht="31" customHeight="1" spans="1:112">
      <c r="A1339" s="608">
        <v>46113</v>
      </c>
      <c r="B1339" s="609" t="s">
        <v>2811</v>
      </c>
      <c r="C1339" s="610" t="s">
        <v>98</v>
      </c>
      <c r="D1339" s="727">
        <v>4500199536</v>
      </c>
      <c r="E1339" s="613">
        <v>70087533</v>
      </c>
      <c r="F1339" s="554" t="s">
        <v>3776</v>
      </c>
      <c r="G1339" s="610" t="s">
        <v>8520</v>
      </c>
      <c r="H1339" s="610" t="s">
        <v>8521</v>
      </c>
      <c r="I1339" s="715">
        <v>3000</v>
      </c>
      <c r="J1339" s="610">
        <v>0</v>
      </c>
      <c r="K1339" s="610">
        <v>8</v>
      </c>
      <c r="L1339" s="611">
        <f t="shared" si="482"/>
        <v>375</v>
      </c>
      <c r="M1339" s="612">
        <v>46164</v>
      </c>
      <c r="N1339" s="612">
        <v>46160</v>
      </c>
      <c r="O1339" s="613"/>
      <c r="P1339" s="610" t="s">
        <v>113</v>
      </c>
      <c r="Q1339" s="614"/>
      <c r="R1339" s="614">
        <v>46120</v>
      </c>
      <c r="S1339" s="614" t="s">
        <v>70</v>
      </c>
      <c r="T1339" s="614" t="s">
        <v>3777</v>
      </c>
      <c r="U1339" s="614"/>
      <c r="V1339" s="614"/>
      <c r="W1339" s="615"/>
      <c r="X1339" s="609" t="s">
        <v>3778</v>
      </c>
      <c r="Y1339" s="616" t="s">
        <v>1318</v>
      </c>
      <c r="Z1339" s="609">
        <v>4.0073</v>
      </c>
      <c r="AA1339" s="616">
        <f t="shared" si="496"/>
        <v>12021.9</v>
      </c>
      <c r="AC1339" s="678" t="s">
        <v>3779</v>
      </c>
      <c r="AD1339" s="610" t="s">
        <v>2741</v>
      </c>
      <c r="AE1339" s="610" t="s">
        <v>82</v>
      </c>
      <c r="AF1339" s="610"/>
      <c r="AG1339" s="610"/>
      <c r="AH1339" s="609">
        <v>1</v>
      </c>
      <c r="AI1339" s="726">
        <v>3000</v>
      </c>
      <c r="AJ1339" s="610">
        <f t="shared" si="483"/>
        <v>0</v>
      </c>
      <c r="AK1339" s="613"/>
      <c r="AL1339" s="610" t="s">
        <v>2368</v>
      </c>
      <c r="AM1339" s="610"/>
      <c r="AN1339" s="610">
        <f>I1339*2</f>
        <v>6000</v>
      </c>
      <c r="AO1339" s="554"/>
      <c r="AP1339" s="554">
        <f>I1339*2</f>
        <v>6000</v>
      </c>
      <c r="AQ1339" s="554"/>
      <c r="AR1339" s="554"/>
      <c r="AS1339" s="554"/>
      <c r="AT1339" s="554"/>
      <c r="AU1339" s="554">
        <f>I1339*2</f>
        <v>6000</v>
      </c>
      <c r="AV1339" s="554"/>
      <c r="AW1339" s="554"/>
      <c r="AX1339" s="714"/>
      <c r="AY1339" s="554"/>
      <c r="AZ1339" s="554"/>
      <c r="BA1339" s="554"/>
      <c r="BB1339" s="620">
        <f>I1339/24*2</f>
        <v>250</v>
      </c>
      <c r="BC1339" s="554"/>
      <c r="BD1339" s="554"/>
      <c r="BE1339" s="554"/>
      <c r="BF1339" s="554"/>
      <c r="BH1339" s="554"/>
      <c r="BI1339" s="554"/>
      <c r="BJ1339" s="554"/>
      <c r="BK1339" s="554"/>
      <c r="BL1339" s="554"/>
      <c r="BM1339" s="554"/>
      <c r="BN1339" s="554"/>
      <c r="BO1339" s="554"/>
      <c r="BP1339" s="554"/>
      <c r="BQ1339" s="554"/>
      <c r="BR1339" s="554"/>
      <c r="BS1339" s="554"/>
      <c r="BT1339" s="554"/>
      <c r="BU1339" s="554"/>
      <c r="BV1339" s="554"/>
      <c r="BW1339" s="554"/>
      <c r="BX1339" s="554"/>
      <c r="BY1339" s="554"/>
      <c r="BZ1339" s="554"/>
      <c r="CA1339" s="621">
        <f>I1339</f>
        <v>3000</v>
      </c>
      <c r="CB1339" s="567"/>
      <c r="CC1339" s="622"/>
      <c r="CD1339" s="619"/>
      <c r="CE1339" s="619"/>
      <c r="CF1339" s="554"/>
      <c r="CG1339" s="554"/>
      <c r="CI1339" s="554"/>
      <c r="CJ1339" s="554"/>
      <c r="CK1339" s="554"/>
      <c r="CL1339" s="554"/>
      <c r="CM1339" s="554"/>
      <c r="CN1339" s="554"/>
      <c r="CO1339" s="554"/>
      <c r="CP1339" s="619"/>
      <c r="CQ1339" s="619"/>
      <c r="CR1339" s="619"/>
      <c r="CS1339" s="619"/>
      <c r="CT1339" s="619"/>
      <c r="CU1339" s="554">
        <f t="shared" si="484"/>
        <v>0</v>
      </c>
      <c r="CV1339" s="554">
        <v>0</v>
      </c>
      <c r="CW1339" s="554">
        <v>0</v>
      </c>
      <c r="CX1339" s="619"/>
      <c r="CY1339" s="619"/>
      <c r="CZ1339" s="619"/>
      <c r="DA1339" s="619"/>
      <c r="DB1339" s="619"/>
      <c r="DC1339" s="619"/>
      <c r="DD1339" s="619"/>
      <c r="DE1339" s="619"/>
      <c r="DF1339" s="619"/>
      <c r="DG1339" s="619"/>
      <c r="DH1339" s="619"/>
    </row>
    <row r="1340" s="548" customFormat="1" ht="31" customHeight="1" spans="1:112">
      <c r="A1340" s="608">
        <v>46106</v>
      </c>
      <c r="B1340" s="609" t="s">
        <v>1800</v>
      </c>
      <c r="C1340" s="610" t="s">
        <v>744</v>
      </c>
      <c r="D1340" s="554">
        <v>4500198503</v>
      </c>
      <c r="E1340" s="610">
        <v>5000002156</v>
      </c>
      <c r="F1340" s="554" t="s">
        <v>9269</v>
      </c>
      <c r="G1340" s="610" t="s">
        <v>6093</v>
      </c>
      <c r="H1340" s="639" t="s">
        <v>7359</v>
      </c>
      <c r="I1340" s="610">
        <v>34320</v>
      </c>
      <c r="J1340" s="610">
        <v>0</v>
      </c>
      <c r="K1340" s="610">
        <v>13</v>
      </c>
      <c r="L1340" s="611">
        <f t="shared" si="482"/>
        <v>2640</v>
      </c>
      <c r="M1340" s="612">
        <v>46155</v>
      </c>
      <c r="N1340" s="612">
        <v>46151</v>
      </c>
      <c r="O1340" s="613"/>
      <c r="P1340" s="613" t="s">
        <v>113</v>
      </c>
      <c r="Q1340" s="610"/>
      <c r="R1340" s="614" t="s">
        <v>3299</v>
      </c>
      <c r="S1340" s="614" t="s">
        <v>104</v>
      </c>
      <c r="T1340" s="614" t="s">
        <v>8723</v>
      </c>
      <c r="U1340" s="614"/>
      <c r="V1340" s="614"/>
      <c r="W1340" s="615"/>
      <c r="X1340" s="609" t="s">
        <v>9270</v>
      </c>
      <c r="Y1340" s="609" t="s">
        <v>1805</v>
      </c>
      <c r="Z1340" s="722">
        <v>0.8677</v>
      </c>
      <c r="AA1340" s="616">
        <f t="shared" si="496"/>
        <v>29779.464</v>
      </c>
      <c r="AC1340" s="617"/>
      <c r="AD1340" s="610" t="s">
        <v>8338</v>
      </c>
      <c r="AE1340" s="610" t="s">
        <v>82</v>
      </c>
      <c r="AF1340" s="610"/>
      <c r="AG1340" s="610"/>
      <c r="AH1340" s="609">
        <v>1</v>
      </c>
      <c r="AI1340" s="725">
        <f>32305+2015</f>
        <v>34320</v>
      </c>
      <c r="AJ1340" s="610">
        <f t="shared" si="483"/>
        <v>0</v>
      </c>
      <c r="AK1340" s="610" t="s">
        <v>9271</v>
      </c>
      <c r="AL1340" s="610" t="s">
        <v>2368</v>
      </c>
      <c r="AM1340" s="610"/>
      <c r="AN1340" s="610"/>
      <c r="AO1340" s="554">
        <f>I1340</f>
        <v>34320</v>
      </c>
      <c r="AP1340" s="554"/>
      <c r="AQ1340" s="554"/>
      <c r="AR1340" s="619"/>
      <c r="AS1340" s="554"/>
      <c r="AT1340" s="554"/>
      <c r="AU1340" s="554"/>
      <c r="AV1340" s="554"/>
      <c r="AW1340" s="650">
        <f>I1340</f>
        <v>34320</v>
      </c>
      <c r="AX1340" s="554">
        <f>I1340</f>
        <v>34320</v>
      </c>
      <c r="AY1340" s="554"/>
      <c r="AZ1340" s="554"/>
      <c r="BA1340" s="714">
        <f>I1340/24*2</f>
        <v>2860</v>
      </c>
      <c r="BB1340" s="620"/>
      <c r="BC1340" s="714"/>
      <c r="BD1340" s="554"/>
      <c r="BE1340" s="554"/>
      <c r="BF1340" s="554"/>
      <c r="BH1340" s="554"/>
      <c r="BI1340" s="554"/>
      <c r="BJ1340" s="554"/>
      <c r="BK1340" s="554"/>
      <c r="BL1340" s="554"/>
      <c r="BM1340" s="554">
        <f>I1340/13</f>
        <v>2640</v>
      </c>
      <c r="BN1340" s="554"/>
      <c r="BO1340" s="554"/>
      <c r="BP1340" s="554"/>
      <c r="BQ1340" s="554"/>
      <c r="BR1340" s="554"/>
      <c r="BS1340" s="554"/>
      <c r="BT1340" s="554"/>
      <c r="BU1340" s="554"/>
      <c r="BV1340" s="554"/>
      <c r="BW1340" s="554"/>
      <c r="BX1340" s="554"/>
      <c r="BY1340" s="619"/>
      <c r="BZ1340" s="554"/>
      <c r="CA1340" s="621"/>
      <c r="CB1340" s="567"/>
      <c r="CC1340" s="622"/>
      <c r="CD1340" s="619"/>
      <c r="CE1340" s="619"/>
      <c r="CF1340" s="554"/>
      <c r="CG1340" s="554"/>
      <c r="CI1340" s="554"/>
      <c r="CJ1340" s="554"/>
      <c r="CK1340" s="554"/>
      <c r="CL1340" s="554"/>
      <c r="CM1340" s="554"/>
      <c r="CN1340" s="554"/>
      <c r="CO1340" s="554"/>
      <c r="CP1340" s="554"/>
      <c r="CQ1340" s="554"/>
      <c r="CR1340" s="554"/>
      <c r="CS1340" s="554"/>
      <c r="CT1340" s="554"/>
      <c r="CU1340" s="554">
        <f t="shared" si="484"/>
        <v>0</v>
      </c>
      <c r="CV1340" s="554">
        <f>CK1340+CL1340+CM1340+CN1340+CO1340+CQ1340+CP1340</f>
        <v>0</v>
      </c>
      <c r="CW1340" s="554">
        <f>CI1340+CJ1340</f>
        <v>0</v>
      </c>
      <c r="CX1340" s="619"/>
      <c r="CY1340" s="619"/>
      <c r="CZ1340" s="619"/>
      <c r="DA1340" s="548"/>
      <c r="DB1340" s="548"/>
      <c r="DC1340" s="548"/>
      <c r="DD1340" s="619"/>
      <c r="DE1340" s="619"/>
      <c r="DF1340" s="619"/>
      <c r="DG1340" s="619"/>
      <c r="DH1340" s="619"/>
    </row>
    <row r="1341" s="548" customFormat="1" ht="31" customHeight="1" spans="1:112">
      <c r="A1341" s="608">
        <v>46108</v>
      </c>
      <c r="B1341" s="609" t="s">
        <v>143</v>
      </c>
      <c r="C1341" s="610" t="s">
        <v>98</v>
      </c>
      <c r="D1341" s="554">
        <v>4500199069</v>
      </c>
      <c r="E1341" s="613">
        <v>989803762</v>
      </c>
      <c r="F1341" s="554" t="s">
        <v>9272</v>
      </c>
      <c r="G1341" s="610" t="s">
        <v>6063</v>
      </c>
      <c r="H1341" s="610" t="s">
        <v>6064</v>
      </c>
      <c r="I1341" s="610">
        <v>26880</v>
      </c>
      <c r="J1341" s="610">
        <v>0</v>
      </c>
      <c r="K1341" s="610">
        <v>16</v>
      </c>
      <c r="L1341" s="611">
        <f t="shared" si="482"/>
        <v>1680</v>
      </c>
      <c r="M1341" s="612">
        <v>46156</v>
      </c>
      <c r="N1341" s="612">
        <v>46153</v>
      </c>
      <c r="O1341" s="613" t="s">
        <v>3795</v>
      </c>
      <c r="P1341" s="613" t="s">
        <v>113</v>
      </c>
      <c r="Q1341" s="610"/>
      <c r="R1341" s="614" t="s">
        <v>7064</v>
      </c>
      <c r="S1341" s="614" t="s">
        <v>70</v>
      </c>
      <c r="T1341" s="614" t="s">
        <v>9273</v>
      </c>
      <c r="U1341" s="614"/>
      <c r="V1341" s="614" t="s">
        <v>3705</v>
      </c>
      <c r="W1341" s="615"/>
      <c r="X1341" s="609" t="s">
        <v>9274</v>
      </c>
      <c r="Y1341" s="609" t="s">
        <v>106</v>
      </c>
      <c r="Z1341" s="722">
        <v>0.599</v>
      </c>
      <c r="AA1341" s="616">
        <f>I1341*Z1341</f>
        <v>16101.12</v>
      </c>
      <c r="AC1341" s="630" t="s">
        <v>9275</v>
      </c>
      <c r="AD1341" s="610" t="s">
        <v>6063</v>
      </c>
      <c r="AE1341" s="610" t="s">
        <v>82</v>
      </c>
      <c r="AF1341" s="610"/>
      <c r="AG1341" s="610"/>
      <c r="AH1341" s="609">
        <v>1</v>
      </c>
      <c r="AI1341" s="726">
        <f>13888+12992</f>
        <v>26880</v>
      </c>
      <c r="AJ1341" s="610">
        <f t="shared" si="483"/>
        <v>0</v>
      </c>
      <c r="AK1341" s="640">
        <v>46153</v>
      </c>
      <c r="AL1341" s="610" t="s">
        <v>2368</v>
      </c>
      <c r="AM1341" s="610"/>
      <c r="AN1341" s="610">
        <f>I1341</f>
        <v>26880</v>
      </c>
      <c r="AO1341" s="554"/>
      <c r="AP1341" s="554">
        <f>I1341</f>
        <v>26880</v>
      </c>
      <c r="AQ1341" s="554"/>
      <c r="AR1341" s="619"/>
      <c r="AS1341" s="554"/>
      <c r="AT1341" s="554"/>
      <c r="AU1341" s="554">
        <f>I1341</f>
        <v>26880</v>
      </c>
      <c r="AV1341" s="554"/>
      <c r="AW1341" s="619"/>
      <c r="AX1341" s="554"/>
      <c r="AY1341" s="554"/>
      <c r="AZ1341" s="554"/>
      <c r="BA1341" s="554"/>
      <c r="BB1341" s="620">
        <f t="shared" ref="BB1341:BB1347" si="497">I1341/24</f>
        <v>1120</v>
      </c>
      <c r="BC1341" s="554"/>
      <c r="BD1341" s="554"/>
      <c r="BE1341" s="554"/>
      <c r="BF1341" s="554"/>
      <c r="BH1341" s="554"/>
      <c r="BI1341" s="554"/>
      <c r="BJ1341" s="554"/>
      <c r="BK1341" s="554"/>
      <c r="BL1341" s="554"/>
      <c r="BM1341" s="554"/>
      <c r="BN1341" s="554"/>
      <c r="BO1341" s="554"/>
      <c r="BP1341" s="554"/>
      <c r="BQ1341" s="554">
        <f>I1341/16</f>
        <v>1680</v>
      </c>
      <c r="BR1341" s="554"/>
      <c r="BS1341" s="554"/>
      <c r="BT1341" s="554"/>
      <c r="BU1341" s="554"/>
      <c r="BV1341" s="554"/>
      <c r="BW1341" s="554"/>
      <c r="BX1341" s="554"/>
      <c r="BY1341" s="554"/>
      <c r="BZ1341" s="554"/>
      <c r="CA1341" s="720"/>
      <c r="CB1341" s="567"/>
      <c r="CC1341" s="721"/>
      <c r="CD1341" s="554"/>
      <c r="CE1341" s="554"/>
      <c r="CF1341" s="554"/>
      <c r="CG1341" s="554"/>
      <c r="CI1341" s="554"/>
      <c r="CJ1341" s="554"/>
      <c r="CK1341" s="554"/>
      <c r="CL1341" s="554"/>
      <c r="CM1341" s="554"/>
      <c r="CN1341" s="554"/>
      <c r="CO1341" s="554"/>
      <c r="CP1341" s="619"/>
      <c r="CQ1341" s="619"/>
      <c r="CR1341" s="619"/>
      <c r="CS1341" s="619"/>
      <c r="CT1341" s="619"/>
      <c r="CU1341" s="554">
        <f t="shared" si="484"/>
        <v>1680</v>
      </c>
      <c r="CV1341" s="554">
        <f>CK1341+CL1341+CM1341+CN1341+CO1341+CQ1341+CP1341</f>
        <v>0</v>
      </c>
      <c r="CW1341" s="554">
        <f>CI1341+CJ1341</f>
        <v>0</v>
      </c>
      <c r="CX1341" s="619"/>
      <c r="CY1341" s="619"/>
      <c r="CZ1341" s="619"/>
      <c r="DA1341" s="619"/>
      <c r="DB1341" s="619"/>
      <c r="DC1341" s="619"/>
      <c r="DD1341" s="619"/>
      <c r="DE1341" s="619"/>
      <c r="DF1341" s="619"/>
      <c r="DG1341" s="619"/>
      <c r="DH1341" s="619"/>
    </row>
    <row r="1342" s="548" customFormat="1" ht="31" customHeight="1" spans="1:112">
      <c r="A1342" s="608">
        <v>46108</v>
      </c>
      <c r="B1342" s="609" t="s">
        <v>143</v>
      </c>
      <c r="C1342" s="610" t="s">
        <v>98</v>
      </c>
      <c r="D1342" s="554">
        <v>4500199069</v>
      </c>
      <c r="E1342" s="613">
        <v>989803758</v>
      </c>
      <c r="F1342" s="554" t="s">
        <v>9276</v>
      </c>
      <c r="G1342" s="610" t="s">
        <v>6063</v>
      </c>
      <c r="H1342" s="610" t="s">
        <v>6064</v>
      </c>
      <c r="I1342" s="610">
        <v>18240</v>
      </c>
      <c r="J1342" s="610">
        <v>0</v>
      </c>
      <c r="K1342" s="610">
        <v>16</v>
      </c>
      <c r="L1342" s="611">
        <f t="shared" si="482"/>
        <v>1140</v>
      </c>
      <c r="M1342" s="612">
        <v>46156</v>
      </c>
      <c r="N1342" s="612">
        <v>46153</v>
      </c>
      <c r="O1342" s="613" t="s">
        <v>3795</v>
      </c>
      <c r="P1342" s="613" t="s">
        <v>113</v>
      </c>
      <c r="Q1342" s="610"/>
      <c r="R1342" s="614" t="s">
        <v>7064</v>
      </c>
      <c r="S1342" s="614" t="s">
        <v>70</v>
      </c>
      <c r="T1342" s="614" t="s">
        <v>9273</v>
      </c>
      <c r="U1342" s="614"/>
      <c r="V1342" s="614" t="s">
        <v>3705</v>
      </c>
      <c r="W1342" s="615"/>
      <c r="X1342" s="609" t="s">
        <v>3801</v>
      </c>
      <c r="Y1342" s="609" t="s">
        <v>106</v>
      </c>
      <c r="Z1342" s="722">
        <v>0.599</v>
      </c>
      <c r="AA1342" s="616">
        <f>I1342*Z1342</f>
        <v>10925.76</v>
      </c>
      <c r="AC1342" s="629" t="s">
        <v>9277</v>
      </c>
      <c r="AD1342" s="610" t="s">
        <v>6063</v>
      </c>
      <c r="AE1342" s="610" t="s">
        <v>82</v>
      </c>
      <c r="AF1342" s="610"/>
      <c r="AG1342" s="610"/>
      <c r="AH1342" s="609">
        <v>1</v>
      </c>
      <c r="AI1342" s="726">
        <v>18240</v>
      </c>
      <c r="AJ1342" s="610">
        <f t="shared" si="483"/>
        <v>0</v>
      </c>
      <c r="AK1342" s="640">
        <v>46153</v>
      </c>
      <c r="AL1342" s="610" t="s">
        <v>2368</v>
      </c>
      <c r="AM1342" s="610"/>
      <c r="AN1342" s="610">
        <f>I1342</f>
        <v>18240</v>
      </c>
      <c r="AO1342" s="554"/>
      <c r="AP1342" s="554">
        <f>I1342</f>
        <v>18240</v>
      </c>
      <c r="AQ1342" s="554"/>
      <c r="AR1342" s="619"/>
      <c r="AS1342" s="554"/>
      <c r="AT1342" s="554"/>
      <c r="AU1342" s="554">
        <f>I1342</f>
        <v>18240</v>
      </c>
      <c r="AV1342" s="554"/>
      <c r="AW1342" s="619"/>
      <c r="AX1342" s="554"/>
      <c r="AY1342" s="554"/>
      <c r="AZ1342" s="554"/>
      <c r="BA1342" s="554"/>
      <c r="BB1342" s="620">
        <f t="shared" si="497"/>
        <v>760</v>
      </c>
      <c r="BC1342" s="554"/>
      <c r="BD1342" s="554"/>
      <c r="BE1342" s="554"/>
      <c r="BF1342" s="554"/>
      <c r="BH1342" s="554"/>
      <c r="BI1342" s="554"/>
      <c r="BJ1342" s="554"/>
      <c r="BK1342" s="554"/>
      <c r="BL1342" s="554"/>
      <c r="BM1342" s="554"/>
      <c r="BN1342" s="554"/>
      <c r="BO1342" s="554"/>
      <c r="BP1342" s="554"/>
      <c r="BQ1342" s="554">
        <f>I1342/16</f>
        <v>1140</v>
      </c>
      <c r="BR1342" s="554"/>
      <c r="BS1342" s="554"/>
      <c r="BT1342" s="554"/>
      <c r="BU1342" s="554"/>
      <c r="BV1342" s="554"/>
      <c r="BW1342" s="554"/>
      <c r="BX1342" s="554"/>
      <c r="BY1342" s="554"/>
      <c r="BZ1342" s="554"/>
      <c r="CA1342" s="720"/>
      <c r="CB1342" s="567"/>
      <c r="CC1342" s="721"/>
      <c r="CD1342" s="554"/>
      <c r="CE1342" s="554"/>
      <c r="CF1342" s="554"/>
      <c r="CG1342" s="554"/>
      <c r="CI1342" s="554"/>
      <c r="CJ1342" s="554"/>
      <c r="CK1342" s="554"/>
      <c r="CL1342" s="554"/>
      <c r="CM1342" s="554"/>
      <c r="CN1342" s="554"/>
      <c r="CO1342" s="554"/>
      <c r="CP1342" s="619"/>
      <c r="CQ1342" s="619"/>
      <c r="CR1342" s="619"/>
      <c r="CS1342" s="619"/>
      <c r="CT1342" s="619"/>
      <c r="CU1342" s="554">
        <f t="shared" si="484"/>
        <v>1140</v>
      </c>
      <c r="CV1342" s="554">
        <f>CK1342+CL1342+CM1342+CN1342+CO1342+CQ1342+CP1342</f>
        <v>0</v>
      </c>
      <c r="CW1342" s="554">
        <f>CI1342+CJ1342</f>
        <v>0</v>
      </c>
      <c r="CX1342" s="619"/>
      <c r="CY1342" s="619"/>
      <c r="CZ1342" s="619"/>
      <c r="DA1342" s="619"/>
      <c r="DB1342" s="619"/>
      <c r="DC1342" s="619"/>
      <c r="DD1342" s="619"/>
      <c r="DE1342" s="619"/>
      <c r="DF1342" s="619"/>
      <c r="DG1342" s="619"/>
      <c r="DH1342" s="619"/>
    </row>
    <row r="1343" s="548" customFormat="1" ht="31" customHeight="1" spans="1:112">
      <c r="A1343" s="608">
        <v>46108</v>
      </c>
      <c r="B1343" s="609" t="s">
        <v>143</v>
      </c>
      <c r="C1343" s="610" t="s">
        <v>98</v>
      </c>
      <c r="D1343" s="554">
        <v>4500199069</v>
      </c>
      <c r="E1343" s="613">
        <v>989803769</v>
      </c>
      <c r="F1343" s="554" t="s">
        <v>9278</v>
      </c>
      <c r="G1343" s="610" t="s">
        <v>6063</v>
      </c>
      <c r="H1343" s="610" t="s">
        <v>6064</v>
      </c>
      <c r="I1343" s="610">
        <v>26880</v>
      </c>
      <c r="J1343" s="610">
        <v>0</v>
      </c>
      <c r="K1343" s="610">
        <v>16</v>
      </c>
      <c r="L1343" s="611">
        <f t="shared" si="482"/>
        <v>1680</v>
      </c>
      <c r="M1343" s="612">
        <v>46156</v>
      </c>
      <c r="N1343" s="612">
        <v>46153</v>
      </c>
      <c r="O1343" s="613" t="s">
        <v>3795</v>
      </c>
      <c r="P1343" s="613" t="s">
        <v>113</v>
      </c>
      <c r="Q1343" s="610"/>
      <c r="R1343" s="614" t="s">
        <v>7064</v>
      </c>
      <c r="S1343" s="614" t="s">
        <v>70</v>
      </c>
      <c r="T1343" s="614" t="s">
        <v>9273</v>
      </c>
      <c r="U1343" s="614"/>
      <c r="V1343" s="614" t="s">
        <v>3705</v>
      </c>
      <c r="W1343" s="615"/>
      <c r="X1343" s="609" t="s">
        <v>3801</v>
      </c>
      <c r="Y1343" s="609" t="s">
        <v>106</v>
      </c>
      <c r="Z1343" s="722">
        <v>0.599</v>
      </c>
      <c r="AA1343" s="616">
        <f>I1343*Z1343</f>
        <v>16101.12</v>
      </c>
      <c r="AC1343" s="630" t="s">
        <v>9275</v>
      </c>
      <c r="AD1343" s="610" t="s">
        <v>6063</v>
      </c>
      <c r="AE1343" s="610" t="s">
        <v>82</v>
      </c>
      <c r="AF1343" s="610"/>
      <c r="AG1343" s="610"/>
      <c r="AH1343" s="609">
        <v>1</v>
      </c>
      <c r="AI1343" s="726">
        <v>26880</v>
      </c>
      <c r="AJ1343" s="610">
        <f t="shared" si="483"/>
        <v>0</v>
      </c>
      <c r="AK1343" s="640">
        <v>46153</v>
      </c>
      <c r="AL1343" s="610" t="s">
        <v>2368</v>
      </c>
      <c r="AM1343" s="610"/>
      <c r="AN1343" s="610">
        <f>I1343</f>
        <v>26880</v>
      </c>
      <c r="AO1343" s="554"/>
      <c r="AP1343" s="554">
        <f>I1343</f>
        <v>26880</v>
      </c>
      <c r="AQ1343" s="554"/>
      <c r="AR1343" s="619"/>
      <c r="AS1343" s="554"/>
      <c r="AT1343" s="554"/>
      <c r="AU1343" s="554">
        <f>I1343</f>
        <v>26880</v>
      </c>
      <c r="AV1343" s="554"/>
      <c r="AW1343" s="619"/>
      <c r="AX1343" s="554"/>
      <c r="AY1343" s="554"/>
      <c r="AZ1343" s="554"/>
      <c r="BA1343" s="554"/>
      <c r="BB1343" s="620">
        <f t="shared" si="497"/>
        <v>1120</v>
      </c>
      <c r="BC1343" s="554"/>
      <c r="BD1343" s="554"/>
      <c r="BE1343" s="554"/>
      <c r="BF1343" s="554"/>
      <c r="BH1343" s="554"/>
      <c r="BI1343" s="554"/>
      <c r="BJ1343" s="554"/>
      <c r="BK1343" s="554"/>
      <c r="BL1343" s="554"/>
      <c r="BM1343" s="554"/>
      <c r="BN1343" s="554"/>
      <c r="BO1343" s="554"/>
      <c r="BP1343" s="554"/>
      <c r="BQ1343" s="554">
        <f>I1343/16</f>
        <v>1680</v>
      </c>
      <c r="BR1343" s="554"/>
      <c r="BS1343" s="554"/>
      <c r="BT1343" s="554"/>
      <c r="BU1343" s="554"/>
      <c r="BV1343" s="554"/>
      <c r="BW1343" s="554"/>
      <c r="BX1343" s="554"/>
      <c r="BY1343" s="554"/>
      <c r="BZ1343" s="554"/>
      <c r="CA1343" s="720"/>
      <c r="CB1343" s="567"/>
      <c r="CC1343" s="721"/>
      <c r="CD1343" s="554"/>
      <c r="CE1343" s="554"/>
      <c r="CF1343" s="554"/>
      <c r="CG1343" s="554"/>
      <c r="CI1343" s="554"/>
      <c r="CJ1343" s="554"/>
      <c r="CK1343" s="554"/>
      <c r="CL1343" s="554"/>
      <c r="CM1343" s="554"/>
      <c r="CN1343" s="554"/>
      <c r="CO1343" s="554"/>
      <c r="CP1343" s="619"/>
      <c r="CQ1343" s="619"/>
      <c r="CR1343" s="619"/>
      <c r="CS1343" s="619"/>
      <c r="CT1343" s="619"/>
      <c r="CU1343" s="554">
        <f t="shared" si="484"/>
        <v>1680</v>
      </c>
      <c r="CV1343" s="554">
        <f>CK1343+CL1343+CM1343+CN1343+CO1343+CQ1343+CP1343</f>
        <v>0</v>
      </c>
      <c r="CW1343" s="554">
        <f>CI1343+CJ1343</f>
        <v>0</v>
      </c>
      <c r="CX1343" s="619"/>
      <c r="CY1343" s="619"/>
      <c r="CZ1343" s="619"/>
      <c r="DA1343" s="619"/>
      <c r="DB1343" s="619"/>
      <c r="DC1343" s="619"/>
      <c r="DD1343" s="619"/>
      <c r="DE1343" s="619"/>
      <c r="DF1343" s="619"/>
      <c r="DG1343" s="619"/>
      <c r="DH1343" s="619"/>
    </row>
    <row r="1344" s="548" customFormat="1" ht="31" customHeight="1" spans="1:112">
      <c r="A1344" s="608">
        <v>46108</v>
      </c>
      <c r="B1344" s="609" t="s">
        <v>143</v>
      </c>
      <c r="C1344" s="610" t="s">
        <v>98</v>
      </c>
      <c r="D1344" s="554">
        <v>4500199069</v>
      </c>
      <c r="E1344" s="613">
        <v>989803757</v>
      </c>
      <c r="F1344" s="554" t="s">
        <v>9279</v>
      </c>
      <c r="G1344" s="610" t="s">
        <v>6063</v>
      </c>
      <c r="H1344" s="610" t="s">
        <v>6064</v>
      </c>
      <c r="I1344" s="610">
        <v>38400</v>
      </c>
      <c r="J1344" s="610">
        <v>0</v>
      </c>
      <c r="K1344" s="610">
        <v>16</v>
      </c>
      <c r="L1344" s="611">
        <f t="shared" si="482"/>
        <v>2400</v>
      </c>
      <c r="M1344" s="612">
        <v>46156</v>
      </c>
      <c r="N1344" s="612">
        <v>46153</v>
      </c>
      <c r="O1344" s="613" t="s">
        <v>3795</v>
      </c>
      <c r="P1344" s="613" t="s">
        <v>113</v>
      </c>
      <c r="Q1344" s="610"/>
      <c r="R1344" s="614" t="s">
        <v>7064</v>
      </c>
      <c r="S1344" s="614" t="s">
        <v>70</v>
      </c>
      <c r="T1344" s="614" t="s">
        <v>9273</v>
      </c>
      <c r="U1344" s="614"/>
      <c r="V1344" s="614" t="s">
        <v>3705</v>
      </c>
      <c r="W1344" s="615"/>
      <c r="X1344" s="609" t="s">
        <v>3801</v>
      </c>
      <c r="Y1344" s="609" t="s">
        <v>106</v>
      </c>
      <c r="Z1344" s="722">
        <v>0.599</v>
      </c>
      <c r="AA1344" s="616">
        <f>I1344*Z1344</f>
        <v>23001.6</v>
      </c>
      <c r="AC1344" s="629" t="s">
        <v>9280</v>
      </c>
      <c r="AD1344" s="610" t="s">
        <v>6063</v>
      </c>
      <c r="AE1344" s="610" t="s">
        <v>82</v>
      </c>
      <c r="AF1344" s="610"/>
      <c r="AG1344" s="610"/>
      <c r="AH1344" s="609">
        <v>1</v>
      </c>
      <c r="AI1344" s="726">
        <f>24192+14208</f>
        <v>38400</v>
      </c>
      <c r="AJ1344" s="610">
        <f t="shared" si="483"/>
        <v>0</v>
      </c>
      <c r="AK1344" s="640">
        <v>46153</v>
      </c>
      <c r="AL1344" s="610" t="s">
        <v>2368</v>
      </c>
      <c r="AM1344" s="610"/>
      <c r="AN1344" s="610">
        <f>I1344</f>
        <v>38400</v>
      </c>
      <c r="AO1344" s="554"/>
      <c r="AP1344" s="554">
        <f>I1344</f>
        <v>38400</v>
      </c>
      <c r="AQ1344" s="554"/>
      <c r="AR1344" s="619"/>
      <c r="AS1344" s="554"/>
      <c r="AT1344" s="554"/>
      <c r="AU1344" s="554">
        <f>I1344</f>
        <v>38400</v>
      </c>
      <c r="AV1344" s="554"/>
      <c r="AW1344" s="619"/>
      <c r="AX1344" s="554"/>
      <c r="AY1344" s="554"/>
      <c r="AZ1344" s="554"/>
      <c r="BA1344" s="554"/>
      <c r="BB1344" s="620">
        <f t="shared" si="497"/>
        <v>1600</v>
      </c>
      <c r="BC1344" s="554"/>
      <c r="BD1344" s="554"/>
      <c r="BE1344" s="554"/>
      <c r="BF1344" s="554"/>
      <c r="BH1344" s="554"/>
      <c r="BI1344" s="554"/>
      <c r="BJ1344" s="554"/>
      <c r="BK1344" s="554"/>
      <c r="BL1344" s="554"/>
      <c r="BM1344" s="554"/>
      <c r="BN1344" s="554"/>
      <c r="BO1344" s="554"/>
      <c r="BP1344" s="554"/>
      <c r="BQ1344" s="554">
        <f>I1344/16</f>
        <v>2400</v>
      </c>
      <c r="BR1344" s="554"/>
      <c r="BS1344" s="554"/>
      <c r="BT1344" s="554"/>
      <c r="BU1344" s="554"/>
      <c r="BV1344" s="554"/>
      <c r="BW1344" s="554"/>
      <c r="BX1344" s="554"/>
      <c r="BY1344" s="554"/>
      <c r="BZ1344" s="554"/>
      <c r="CA1344" s="720"/>
      <c r="CB1344" s="567"/>
      <c r="CC1344" s="721"/>
      <c r="CD1344" s="554"/>
      <c r="CE1344" s="554"/>
      <c r="CF1344" s="554"/>
      <c r="CG1344" s="554"/>
      <c r="CI1344" s="554"/>
      <c r="CJ1344" s="554"/>
      <c r="CK1344" s="554"/>
      <c r="CL1344" s="554"/>
      <c r="CM1344" s="554"/>
      <c r="CN1344" s="554"/>
      <c r="CO1344" s="554"/>
      <c r="CP1344" s="619"/>
      <c r="CQ1344" s="619"/>
      <c r="CR1344" s="619"/>
      <c r="CS1344" s="619"/>
      <c r="CT1344" s="619"/>
      <c r="CU1344" s="554">
        <f t="shared" si="484"/>
        <v>2400</v>
      </c>
      <c r="CV1344" s="554">
        <f>CK1344+CL1344+CM1344+CN1344+CO1344+CQ1344+CP1344</f>
        <v>0</v>
      </c>
      <c r="CW1344" s="554">
        <f>CI1344+CJ1344</f>
        <v>0</v>
      </c>
      <c r="CX1344" s="619"/>
      <c r="CY1344" s="619"/>
      <c r="CZ1344" s="619"/>
      <c r="DA1344" s="619"/>
      <c r="DB1344" s="619"/>
      <c r="DC1344" s="619"/>
      <c r="DD1344" s="619"/>
      <c r="DE1344" s="619"/>
      <c r="DF1344" s="619"/>
      <c r="DG1344" s="619"/>
      <c r="DH1344" s="619"/>
    </row>
    <row r="1345" s="548" customFormat="1" ht="30" customHeight="1" spans="1:112">
      <c r="A1345" s="608">
        <v>46115</v>
      </c>
      <c r="B1345" s="609" t="s">
        <v>6645</v>
      </c>
      <c r="C1345" s="610" t="s">
        <v>170</v>
      </c>
      <c r="D1345" s="727">
        <v>4500200235</v>
      </c>
      <c r="E1345" s="613">
        <v>1715504</v>
      </c>
      <c r="F1345" s="554" t="s">
        <v>9281</v>
      </c>
      <c r="G1345" s="610" t="s">
        <v>6166</v>
      </c>
      <c r="H1345" s="610" t="s">
        <v>6094</v>
      </c>
      <c r="I1345" s="610">
        <v>2275</v>
      </c>
      <c r="J1345" s="610">
        <v>0</v>
      </c>
      <c r="K1345" s="610">
        <v>13</v>
      </c>
      <c r="L1345" s="611">
        <f t="shared" ref="L1345:L1354" si="498">I1345/K1345</f>
        <v>175</v>
      </c>
      <c r="M1345" s="612">
        <v>46157</v>
      </c>
      <c r="N1345" s="612">
        <v>46153</v>
      </c>
      <c r="O1345" s="613"/>
      <c r="P1345" s="613" t="s">
        <v>113</v>
      </c>
      <c r="Q1345" s="610"/>
      <c r="R1345" s="614">
        <v>46125</v>
      </c>
      <c r="S1345" s="614" t="s">
        <v>70</v>
      </c>
      <c r="T1345" s="614" t="s">
        <v>70</v>
      </c>
      <c r="U1345" s="614"/>
      <c r="V1345" s="614"/>
      <c r="W1345" s="615"/>
      <c r="X1345" s="609" t="s">
        <v>9251</v>
      </c>
      <c r="Y1345" s="609" t="s">
        <v>1150</v>
      </c>
      <c r="Z1345" s="722">
        <v>0.9916</v>
      </c>
      <c r="AA1345" s="616">
        <f t="shared" ref="AA1345:AA1354" si="499">Z1345*I1345</f>
        <v>2255.89</v>
      </c>
      <c r="AC1345" s="617"/>
      <c r="AD1345" s="610" t="s">
        <v>6166</v>
      </c>
      <c r="AE1345" s="610" t="s">
        <v>82</v>
      </c>
      <c r="AF1345" s="610"/>
      <c r="AG1345" s="610"/>
      <c r="AH1345" s="609">
        <v>1</v>
      </c>
      <c r="AI1345" s="726">
        <v>2275</v>
      </c>
      <c r="AJ1345" s="610">
        <f t="shared" ref="AJ1345:AJ1354" si="500">AI1345-I1345</f>
        <v>0</v>
      </c>
      <c r="AK1345" s="610"/>
      <c r="AL1345" s="610"/>
      <c r="AM1345" s="610"/>
      <c r="AN1345" s="610">
        <f>I1345</f>
        <v>2275</v>
      </c>
      <c r="AO1345" s="554"/>
      <c r="AP1345" s="554"/>
      <c r="AQ1345" s="554"/>
      <c r="AR1345" s="619"/>
      <c r="AS1345" s="554">
        <f>I1345</f>
        <v>2275</v>
      </c>
      <c r="AT1345" s="554"/>
      <c r="AU1345" s="554">
        <f>I1345</f>
        <v>2275</v>
      </c>
      <c r="AV1345" s="554"/>
      <c r="AW1345" s="619"/>
      <c r="AX1345" s="554"/>
      <c r="AY1345" s="554"/>
      <c r="AZ1345" s="554"/>
      <c r="BA1345" s="554"/>
      <c r="BB1345" s="620">
        <f t="shared" si="497"/>
        <v>94.7916666666667</v>
      </c>
      <c r="BC1345" s="714"/>
      <c r="BD1345" s="554"/>
      <c r="BE1345" s="554"/>
      <c r="BF1345" s="554"/>
      <c r="BH1345" s="554"/>
      <c r="BI1345" s="554"/>
      <c r="BJ1345" s="554"/>
      <c r="BK1345" s="554"/>
      <c r="BL1345" s="554">
        <f>I1345/13</f>
        <v>175</v>
      </c>
      <c r="BM1345" s="554"/>
      <c r="BN1345" s="554"/>
      <c r="BO1345" s="554"/>
      <c r="BP1345" s="554"/>
      <c r="BQ1345" s="554"/>
      <c r="BR1345" s="554"/>
      <c r="BS1345" s="554"/>
      <c r="BT1345" s="554"/>
      <c r="BU1345" s="554"/>
      <c r="BV1345" s="554"/>
      <c r="BW1345" s="554"/>
      <c r="BX1345" s="554"/>
      <c r="BY1345" s="619"/>
      <c r="BZ1345" s="554"/>
      <c r="CA1345" s="621"/>
      <c r="CB1345" s="567"/>
      <c r="CC1345" s="622"/>
      <c r="CD1345" s="619"/>
      <c r="CE1345" s="619"/>
      <c r="CF1345" s="554"/>
      <c r="CG1345" s="554"/>
      <c r="CI1345" s="554"/>
      <c r="CJ1345" s="554"/>
      <c r="CK1345" s="554"/>
      <c r="CL1345" s="554"/>
      <c r="CM1345" s="554"/>
      <c r="CN1345" s="554"/>
      <c r="CO1345" s="554"/>
      <c r="CP1345" s="554"/>
      <c r="CQ1345" s="554"/>
      <c r="CR1345" s="554"/>
      <c r="CS1345" s="554"/>
      <c r="CT1345" s="554"/>
      <c r="CU1345" s="554">
        <f t="shared" ref="CU1345:CU1354" si="501">BQ1345+BP1345+BO1345+BN1345+BX1345+BR1345</f>
        <v>0</v>
      </c>
      <c r="CV1345" s="554">
        <v>0</v>
      </c>
      <c r="CW1345" s="554">
        <v>0</v>
      </c>
      <c r="CX1345" s="619"/>
      <c r="CY1345" s="619"/>
      <c r="CZ1345" s="619"/>
      <c r="DA1345" s="548"/>
      <c r="DB1345" s="548"/>
      <c r="DC1345" s="548"/>
      <c r="DD1345" s="619"/>
      <c r="DE1345" s="619"/>
      <c r="DF1345" s="619"/>
      <c r="DG1345" s="619"/>
      <c r="DH1345" s="619"/>
    </row>
    <row r="1346" s="548" customFormat="1" ht="30" customHeight="1" spans="1:112">
      <c r="A1346" s="608">
        <v>46105</v>
      </c>
      <c r="B1346" s="609" t="s">
        <v>2651</v>
      </c>
      <c r="C1346" s="610" t="s">
        <v>302</v>
      </c>
      <c r="D1346" s="554">
        <v>4500198339</v>
      </c>
      <c r="E1346" s="610">
        <v>5200009366</v>
      </c>
      <c r="F1346" s="554" t="s">
        <v>9282</v>
      </c>
      <c r="G1346" s="610" t="s">
        <v>6120</v>
      </c>
      <c r="H1346" s="610" t="s">
        <v>6094</v>
      </c>
      <c r="I1346" s="610">
        <v>10010</v>
      </c>
      <c r="J1346" s="610">
        <v>0</v>
      </c>
      <c r="K1346" s="610">
        <v>13</v>
      </c>
      <c r="L1346" s="611">
        <f t="shared" si="498"/>
        <v>770</v>
      </c>
      <c r="M1346" s="612">
        <v>46160</v>
      </c>
      <c r="N1346" s="612">
        <v>46156</v>
      </c>
      <c r="O1346" s="613"/>
      <c r="P1346" s="613" t="s">
        <v>113</v>
      </c>
      <c r="Q1346" s="610"/>
      <c r="R1346" s="614">
        <v>46108</v>
      </c>
      <c r="S1346" s="614" t="s">
        <v>70</v>
      </c>
      <c r="T1346" s="614" t="s">
        <v>9283</v>
      </c>
      <c r="U1346" s="614"/>
      <c r="V1346" s="614" t="s">
        <v>9175</v>
      </c>
      <c r="W1346" s="615"/>
      <c r="X1346" s="609" t="s">
        <v>3811</v>
      </c>
      <c r="Y1346" s="609" t="s">
        <v>2037</v>
      </c>
      <c r="Z1346" s="609">
        <v>1.16</v>
      </c>
      <c r="AA1346" s="616">
        <f t="shared" si="499"/>
        <v>11611.6</v>
      </c>
      <c r="AC1346" s="617"/>
      <c r="AD1346" s="610" t="s">
        <v>6093</v>
      </c>
      <c r="AE1346" s="610" t="s">
        <v>82</v>
      </c>
      <c r="AF1346" s="610"/>
      <c r="AG1346" s="610"/>
      <c r="AH1346" s="609">
        <v>1</v>
      </c>
      <c r="AI1346" s="725">
        <v>10010</v>
      </c>
      <c r="AJ1346" s="610">
        <f t="shared" si="500"/>
        <v>0</v>
      </c>
      <c r="AK1346" s="610"/>
      <c r="AL1346" s="610"/>
      <c r="AM1346" s="610"/>
      <c r="AN1346" s="610"/>
      <c r="AO1346" s="554">
        <f>I1346</f>
        <v>10010</v>
      </c>
      <c r="AP1346" s="554"/>
      <c r="AQ1346" s="554"/>
      <c r="AR1346" s="619"/>
      <c r="AS1346" s="554"/>
      <c r="AT1346" s="554">
        <f>I1346</f>
        <v>10010</v>
      </c>
      <c r="AU1346" s="554"/>
      <c r="AV1346" s="554">
        <f>I1346</f>
        <v>10010</v>
      </c>
      <c r="AW1346" s="619"/>
      <c r="AX1346" s="554"/>
      <c r="AY1346" s="554"/>
      <c r="AZ1346" s="554"/>
      <c r="BA1346" s="554"/>
      <c r="BB1346" s="620">
        <f t="shared" si="497"/>
        <v>417.083333333333</v>
      </c>
      <c r="BC1346" s="714"/>
      <c r="BD1346" s="554"/>
      <c r="BE1346" s="554"/>
      <c r="BF1346" s="554"/>
      <c r="BH1346" s="554"/>
      <c r="BI1346" s="554"/>
      <c r="BJ1346" s="554"/>
      <c r="BK1346" s="554"/>
      <c r="BL1346" s="554"/>
      <c r="BM1346" s="554">
        <f>I1346/13</f>
        <v>770</v>
      </c>
      <c r="BN1346" s="554"/>
      <c r="BO1346" s="554"/>
      <c r="BP1346" s="554"/>
      <c r="BQ1346" s="554"/>
      <c r="BR1346" s="554"/>
      <c r="BS1346" s="554"/>
      <c r="BT1346" s="554"/>
      <c r="BU1346" s="554"/>
      <c r="BV1346" s="554"/>
      <c r="BW1346" s="554"/>
      <c r="BX1346" s="554"/>
      <c r="BY1346" s="619"/>
      <c r="BZ1346" s="554"/>
      <c r="CA1346" s="621"/>
      <c r="CB1346" s="567"/>
      <c r="CC1346" s="622"/>
      <c r="CD1346" s="619"/>
      <c r="CE1346" s="619"/>
      <c r="CF1346" s="554"/>
      <c r="CG1346" s="554"/>
      <c r="CI1346" s="554"/>
      <c r="CJ1346" s="554"/>
      <c r="CK1346" s="554"/>
      <c r="CL1346" s="554"/>
      <c r="CM1346" s="554"/>
      <c r="CN1346" s="554"/>
      <c r="CO1346" s="554"/>
      <c r="CP1346" s="554"/>
      <c r="CQ1346" s="554"/>
      <c r="CR1346" s="554"/>
      <c r="CS1346" s="554"/>
      <c r="CT1346" s="554"/>
      <c r="CU1346" s="554">
        <f t="shared" si="501"/>
        <v>0</v>
      </c>
      <c r="CV1346" s="554">
        <f>CK1346+CL1346+CM1346+CN1346+CO1346+CQ1346+CP1346</f>
        <v>0</v>
      </c>
      <c r="CW1346" s="554">
        <f>CI1346+CJ1346</f>
        <v>0</v>
      </c>
      <c r="CX1346" s="619"/>
      <c r="CY1346" s="619"/>
      <c r="CZ1346" s="619"/>
      <c r="DA1346" s="548"/>
      <c r="DB1346" s="548"/>
      <c r="DC1346" s="548"/>
      <c r="DD1346" s="619"/>
      <c r="DE1346" s="619"/>
      <c r="DF1346" s="619"/>
      <c r="DG1346" s="619"/>
      <c r="DH1346" s="619"/>
    </row>
    <row r="1347" s="548" customFormat="1" ht="31" customHeight="1" spans="1:112">
      <c r="A1347" s="608">
        <v>46105</v>
      </c>
      <c r="B1347" s="609" t="s">
        <v>1503</v>
      </c>
      <c r="C1347" s="610" t="s">
        <v>98</v>
      </c>
      <c r="D1347" s="554">
        <v>4500198305</v>
      </c>
      <c r="E1347" s="610" t="s">
        <v>9284</v>
      </c>
      <c r="F1347" s="554" t="s">
        <v>9285</v>
      </c>
      <c r="G1347" s="610" t="s">
        <v>6787</v>
      </c>
      <c r="H1347" s="610" t="s">
        <v>6126</v>
      </c>
      <c r="I1347" s="610">
        <v>3792</v>
      </c>
      <c r="J1347" s="610">
        <v>0</v>
      </c>
      <c r="K1347" s="610">
        <v>12</v>
      </c>
      <c r="L1347" s="611">
        <f t="shared" si="498"/>
        <v>316</v>
      </c>
      <c r="M1347" s="612">
        <v>46155</v>
      </c>
      <c r="N1347" s="724">
        <v>46157</v>
      </c>
      <c r="O1347" s="613"/>
      <c r="P1347" s="613" t="s">
        <v>113</v>
      </c>
      <c r="Q1347" s="610"/>
      <c r="R1347" s="614">
        <v>46105</v>
      </c>
      <c r="S1347" s="614" t="s">
        <v>104</v>
      </c>
      <c r="T1347" s="614" t="s">
        <v>9286</v>
      </c>
      <c r="U1347" s="614"/>
      <c r="V1347" s="614" t="s">
        <v>8842</v>
      </c>
      <c r="W1347" s="615"/>
      <c r="X1347" s="609" t="s">
        <v>9287</v>
      </c>
      <c r="Y1347" s="609" t="s">
        <v>1507</v>
      </c>
      <c r="Z1347" s="722">
        <v>1.319</v>
      </c>
      <c r="AA1347" s="616">
        <f t="shared" si="499"/>
        <v>5001.648</v>
      </c>
      <c r="AC1347" s="629" t="s">
        <v>9288</v>
      </c>
      <c r="AD1347" s="610" t="s">
        <v>8079</v>
      </c>
      <c r="AE1347" s="610" t="s">
        <v>82</v>
      </c>
      <c r="AF1347" s="610"/>
      <c r="AG1347" s="610"/>
      <c r="AH1347" s="609">
        <v>1</v>
      </c>
      <c r="AI1347" s="726">
        <v>3792</v>
      </c>
      <c r="AJ1347" s="610">
        <f t="shared" si="500"/>
        <v>0</v>
      </c>
      <c r="AK1347" s="640">
        <v>46151</v>
      </c>
      <c r="AL1347" s="610" t="s">
        <v>2368</v>
      </c>
      <c r="AM1347" s="610"/>
      <c r="AN1347" s="610">
        <f t="shared" ref="AN1347:AN1353" si="502">I1347*2</f>
        <v>7584</v>
      </c>
      <c r="AO1347" s="554"/>
      <c r="AP1347" s="554"/>
      <c r="AQ1347" s="554">
        <f>I1347*2</f>
        <v>7584</v>
      </c>
      <c r="AR1347" s="619"/>
      <c r="AS1347" s="554"/>
      <c r="AT1347" s="554"/>
      <c r="AU1347" s="554">
        <f t="shared" ref="AU1347:AU1353" si="503">I1347*2</f>
        <v>7584</v>
      </c>
      <c r="AV1347" s="554"/>
      <c r="AW1347" s="619"/>
      <c r="AX1347" s="554"/>
      <c r="AY1347" s="554"/>
      <c r="AZ1347" s="554"/>
      <c r="BA1347" s="554"/>
      <c r="BB1347" s="249">
        <f t="shared" ref="BB1347:BB1353" si="504">I1347/24*2</f>
        <v>316</v>
      </c>
      <c r="BC1347" s="714"/>
      <c r="BD1347" s="554"/>
      <c r="BE1347" s="554"/>
      <c r="BF1347" s="554"/>
      <c r="BH1347" s="554"/>
      <c r="BI1347" s="554"/>
      <c r="BJ1347" s="554"/>
      <c r="BK1347" s="554"/>
      <c r="BL1347" s="554"/>
      <c r="BM1347" s="554"/>
      <c r="BN1347" s="554"/>
      <c r="BO1347" s="554"/>
      <c r="BP1347" s="554"/>
      <c r="BQ1347" s="554"/>
      <c r="BR1347" s="554"/>
      <c r="BS1347" s="554"/>
      <c r="BT1347" s="554"/>
      <c r="BU1347" s="554"/>
      <c r="BV1347" s="554"/>
      <c r="BW1347" s="554"/>
      <c r="BX1347" s="554"/>
      <c r="BY1347" s="619"/>
      <c r="BZ1347" s="554"/>
      <c r="CA1347" s="621"/>
      <c r="CB1347" s="567"/>
      <c r="CC1347" s="622"/>
      <c r="CD1347" s="619"/>
      <c r="CE1347" s="619"/>
      <c r="CF1347" s="554"/>
      <c r="CG1347" s="554"/>
      <c r="CI1347" s="554"/>
      <c r="CJ1347" s="554"/>
      <c r="CK1347" s="554"/>
      <c r="CL1347" s="554"/>
      <c r="CM1347" s="554"/>
      <c r="CN1347" s="554"/>
      <c r="CO1347" s="554"/>
      <c r="CP1347" s="554"/>
      <c r="CQ1347" s="554"/>
      <c r="CR1347" s="554">
        <f t="shared" ref="CR1347:CR1353" si="505">I1347</f>
        <v>3792</v>
      </c>
      <c r="CS1347" s="554">
        <f t="shared" ref="CS1347:CS1353" si="506">I1347</f>
        <v>3792</v>
      </c>
      <c r="CT1347" s="554">
        <f t="shared" ref="CT1347:CT1353" si="507">I1347</f>
        <v>3792</v>
      </c>
      <c r="CU1347" s="554">
        <f t="shared" si="501"/>
        <v>0</v>
      </c>
      <c r="CV1347" s="554">
        <v>0</v>
      </c>
      <c r="CW1347" s="554">
        <v>0</v>
      </c>
      <c r="CX1347" s="619"/>
      <c r="CY1347" s="619"/>
      <c r="CZ1347" s="619"/>
      <c r="DA1347" s="548"/>
      <c r="DB1347" s="548"/>
      <c r="DC1347" s="548"/>
      <c r="DD1347" s="619"/>
      <c r="DE1347" s="619"/>
      <c r="DF1347" s="619"/>
      <c r="DG1347" s="619"/>
      <c r="DH1347" s="619"/>
    </row>
    <row r="1348" s="548" customFormat="1" ht="31" customHeight="1" spans="1:112">
      <c r="A1348" s="608">
        <v>46105</v>
      </c>
      <c r="B1348" s="609" t="s">
        <v>1503</v>
      </c>
      <c r="C1348" s="610" t="s">
        <v>98</v>
      </c>
      <c r="D1348" s="554">
        <v>4500198305</v>
      </c>
      <c r="E1348" s="610" t="s">
        <v>9289</v>
      </c>
      <c r="F1348" s="554" t="s">
        <v>9290</v>
      </c>
      <c r="G1348" s="610" t="s">
        <v>6787</v>
      </c>
      <c r="H1348" s="610" t="s">
        <v>6126</v>
      </c>
      <c r="I1348" s="610">
        <v>4896</v>
      </c>
      <c r="J1348" s="610">
        <v>0</v>
      </c>
      <c r="K1348" s="610">
        <v>12</v>
      </c>
      <c r="L1348" s="611">
        <f t="shared" si="498"/>
        <v>408</v>
      </c>
      <c r="M1348" s="612">
        <v>46155</v>
      </c>
      <c r="N1348" s="724">
        <v>46157</v>
      </c>
      <c r="O1348" s="613"/>
      <c r="P1348" s="613" t="s">
        <v>113</v>
      </c>
      <c r="Q1348" s="610"/>
      <c r="R1348" s="614">
        <v>46105</v>
      </c>
      <c r="S1348" s="614" t="s">
        <v>104</v>
      </c>
      <c r="T1348" s="614" t="s">
        <v>9286</v>
      </c>
      <c r="U1348" s="614"/>
      <c r="V1348" s="614" t="s">
        <v>8842</v>
      </c>
      <c r="W1348" s="615"/>
      <c r="X1348" s="609" t="s">
        <v>9287</v>
      </c>
      <c r="Y1348" s="609" t="s">
        <v>1507</v>
      </c>
      <c r="Z1348" s="722">
        <v>1.3418</v>
      </c>
      <c r="AA1348" s="616">
        <f t="shared" si="499"/>
        <v>6569.4528</v>
      </c>
      <c r="AC1348" s="629" t="s">
        <v>9288</v>
      </c>
      <c r="AD1348" s="610" t="s">
        <v>8079</v>
      </c>
      <c r="AE1348" s="610" t="s">
        <v>82</v>
      </c>
      <c r="AF1348" s="610"/>
      <c r="AG1348" s="610"/>
      <c r="AH1348" s="609">
        <v>1</v>
      </c>
      <c r="AI1348" s="726">
        <v>4896</v>
      </c>
      <c r="AJ1348" s="610">
        <f t="shared" si="500"/>
        <v>0</v>
      </c>
      <c r="AK1348" s="640">
        <v>46151</v>
      </c>
      <c r="AL1348" s="610" t="s">
        <v>2368</v>
      </c>
      <c r="AM1348" s="610"/>
      <c r="AN1348" s="610">
        <f t="shared" si="502"/>
        <v>9792</v>
      </c>
      <c r="AO1348" s="554"/>
      <c r="AP1348" s="554"/>
      <c r="AQ1348" s="554">
        <f>I1348*2</f>
        <v>9792</v>
      </c>
      <c r="AR1348" s="619"/>
      <c r="AS1348" s="554"/>
      <c r="AT1348" s="554"/>
      <c r="AU1348" s="554">
        <f t="shared" si="503"/>
        <v>9792</v>
      </c>
      <c r="AV1348" s="554"/>
      <c r="AW1348" s="619"/>
      <c r="AX1348" s="554"/>
      <c r="AY1348" s="554"/>
      <c r="AZ1348" s="554"/>
      <c r="BA1348" s="554"/>
      <c r="BB1348" s="249">
        <f t="shared" si="504"/>
        <v>408</v>
      </c>
      <c r="BC1348" s="714"/>
      <c r="BD1348" s="554"/>
      <c r="BE1348" s="554"/>
      <c r="BF1348" s="554"/>
      <c r="BH1348" s="554"/>
      <c r="BI1348" s="554"/>
      <c r="BJ1348" s="554"/>
      <c r="BK1348" s="554"/>
      <c r="BL1348" s="554"/>
      <c r="BM1348" s="554"/>
      <c r="BN1348" s="554"/>
      <c r="BO1348" s="554"/>
      <c r="BP1348" s="554"/>
      <c r="BQ1348" s="554"/>
      <c r="BR1348" s="554"/>
      <c r="BS1348" s="554"/>
      <c r="BT1348" s="554"/>
      <c r="BU1348" s="554"/>
      <c r="BV1348" s="554"/>
      <c r="BW1348" s="554"/>
      <c r="BX1348" s="554"/>
      <c r="BY1348" s="619"/>
      <c r="BZ1348" s="554"/>
      <c r="CA1348" s="621"/>
      <c r="CB1348" s="567"/>
      <c r="CC1348" s="622"/>
      <c r="CD1348" s="619"/>
      <c r="CE1348" s="619"/>
      <c r="CF1348" s="554"/>
      <c r="CG1348" s="554"/>
      <c r="CI1348" s="554"/>
      <c r="CJ1348" s="554"/>
      <c r="CK1348" s="554"/>
      <c r="CL1348" s="554"/>
      <c r="CM1348" s="554"/>
      <c r="CN1348" s="554"/>
      <c r="CO1348" s="554"/>
      <c r="CP1348" s="554"/>
      <c r="CQ1348" s="554"/>
      <c r="CR1348" s="554">
        <f t="shared" si="505"/>
        <v>4896</v>
      </c>
      <c r="CS1348" s="554">
        <f t="shared" si="506"/>
        <v>4896</v>
      </c>
      <c r="CT1348" s="554">
        <f t="shared" si="507"/>
        <v>4896</v>
      </c>
      <c r="CU1348" s="554">
        <f t="shared" si="501"/>
        <v>0</v>
      </c>
      <c r="CV1348" s="554">
        <v>0</v>
      </c>
      <c r="CW1348" s="554">
        <v>0</v>
      </c>
      <c r="CX1348" s="619"/>
      <c r="CY1348" s="619"/>
      <c r="CZ1348" s="619"/>
      <c r="DA1348" s="548"/>
      <c r="DB1348" s="548"/>
      <c r="DC1348" s="548"/>
      <c r="DD1348" s="619"/>
      <c r="DE1348" s="619"/>
      <c r="DF1348" s="619"/>
      <c r="DG1348" s="619"/>
      <c r="DH1348" s="619"/>
    </row>
    <row r="1349" s="548" customFormat="1" ht="31" customHeight="1" spans="1:112">
      <c r="A1349" s="608">
        <v>46105</v>
      </c>
      <c r="B1349" s="609" t="s">
        <v>1503</v>
      </c>
      <c r="C1349" s="610" t="s">
        <v>98</v>
      </c>
      <c r="D1349" s="554">
        <v>4500198303</v>
      </c>
      <c r="E1349" s="610" t="s">
        <v>9291</v>
      </c>
      <c r="F1349" s="554" t="s">
        <v>9292</v>
      </c>
      <c r="G1349" s="610" t="s">
        <v>6787</v>
      </c>
      <c r="H1349" s="610" t="s">
        <v>6126</v>
      </c>
      <c r="I1349" s="610">
        <v>7716</v>
      </c>
      <c r="J1349" s="610">
        <v>0</v>
      </c>
      <c r="K1349" s="610">
        <v>12</v>
      </c>
      <c r="L1349" s="611">
        <f t="shared" si="498"/>
        <v>643</v>
      </c>
      <c r="M1349" s="612">
        <v>46155</v>
      </c>
      <c r="N1349" s="724">
        <v>46157</v>
      </c>
      <c r="O1349" s="613"/>
      <c r="P1349" s="613" t="s">
        <v>113</v>
      </c>
      <c r="Q1349" s="610"/>
      <c r="R1349" s="614">
        <v>46105</v>
      </c>
      <c r="S1349" s="614" t="s">
        <v>104</v>
      </c>
      <c r="T1349" s="614" t="s">
        <v>9286</v>
      </c>
      <c r="U1349" s="614"/>
      <c r="V1349" s="614" t="s">
        <v>8842</v>
      </c>
      <c r="W1349" s="615"/>
      <c r="X1349" s="609" t="s">
        <v>3937</v>
      </c>
      <c r="Y1349" s="609" t="s">
        <v>1507</v>
      </c>
      <c r="Z1349" s="722">
        <v>1.3259</v>
      </c>
      <c r="AA1349" s="616">
        <f t="shared" si="499"/>
        <v>10230.6444</v>
      </c>
      <c r="AC1349" s="629" t="s">
        <v>3916</v>
      </c>
      <c r="AD1349" s="610" t="s">
        <v>8079</v>
      </c>
      <c r="AE1349" s="610" t="s">
        <v>82</v>
      </c>
      <c r="AF1349" s="610"/>
      <c r="AG1349" s="610"/>
      <c r="AH1349" s="609">
        <v>1</v>
      </c>
      <c r="AI1349" s="726">
        <f>3840+3876</f>
        <v>7716</v>
      </c>
      <c r="AJ1349" s="610">
        <f t="shared" si="500"/>
        <v>0</v>
      </c>
      <c r="AK1349" s="640">
        <v>46153</v>
      </c>
      <c r="AL1349" s="610" t="s">
        <v>2368</v>
      </c>
      <c r="AM1349" s="610"/>
      <c r="AN1349" s="610">
        <f t="shared" si="502"/>
        <v>15432</v>
      </c>
      <c r="AO1349" s="554"/>
      <c r="AP1349" s="554"/>
      <c r="AQ1349" s="554">
        <f>I1349*2</f>
        <v>15432</v>
      </c>
      <c r="AR1349" s="619"/>
      <c r="AS1349" s="554"/>
      <c r="AT1349" s="554"/>
      <c r="AU1349" s="554">
        <f t="shared" si="503"/>
        <v>15432</v>
      </c>
      <c r="AV1349" s="554"/>
      <c r="AW1349" s="619"/>
      <c r="AX1349" s="554"/>
      <c r="AY1349" s="554"/>
      <c r="AZ1349" s="554"/>
      <c r="BA1349" s="554"/>
      <c r="BB1349" s="249">
        <f t="shared" si="504"/>
        <v>643</v>
      </c>
      <c r="BC1349" s="714"/>
      <c r="BD1349" s="554"/>
      <c r="BE1349" s="554"/>
      <c r="BF1349" s="554"/>
      <c r="BH1349" s="554"/>
      <c r="BI1349" s="554"/>
      <c r="BJ1349" s="554"/>
      <c r="BK1349" s="554"/>
      <c r="BL1349" s="554"/>
      <c r="BM1349" s="554"/>
      <c r="BN1349" s="554"/>
      <c r="BO1349" s="554"/>
      <c r="BP1349" s="554"/>
      <c r="BQ1349" s="554"/>
      <c r="BR1349" s="554"/>
      <c r="BS1349" s="554"/>
      <c r="BT1349" s="554"/>
      <c r="BU1349" s="554"/>
      <c r="BV1349" s="554"/>
      <c r="BW1349" s="554"/>
      <c r="BX1349" s="554"/>
      <c r="BY1349" s="619"/>
      <c r="BZ1349" s="554"/>
      <c r="CA1349" s="621"/>
      <c r="CB1349" s="567"/>
      <c r="CC1349" s="622"/>
      <c r="CD1349" s="619"/>
      <c r="CE1349" s="619"/>
      <c r="CF1349" s="554"/>
      <c r="CG1349" s="554"/>
      <c r="CI1349" s="554"/>
      <c r="CJ1349" s="554"/>
      <c r="CK1349" s="554"/>
      <c r="CL1349" s="554"/>
      <c r="CM1349" s="554"/>
      <c r="CN1349" s="554"/>
      <c r="CO1349" s="554"/>
      <c r="CP1349" s="554"/>
      <c r="CQ1349" s="554"/>
      <c r="CR1349" s="554">
        <f t="shared" si="505"/>
        <v>7716</v>
      </c>
      <c r="CS1349" s="554">
        <f t="shared" si="506"/>
        <v>7716</v>
      </c>
      <c r="CT1349" s="554">
        <f t="shared" si="507"/>
        <v>7716</v>
      </c>
      <c r="CU1349" s="554">
        <f t="shared" si="501"/>
        <v>0</v>
      </c>
      <c r="CV1349" s="554">
        <v>0</v>
      </c>
      <c r="CW1349" s="554">
        <v>0</v>
      </c>
      <c r="CX1349" s="619"/>
      <c r="CY1349" s="619"/>
      <c r="CZ1349" s="619"/>
      <c r="DA1349" s="548"/>
      <c r="DB1349" s="548"/>
      <c r="DC1349" s="548"/>
      <c r="DD1349" s="619"/>
      <c r="DE1349" s="619"/>
      <c r="DF1349" s="619"/>
      <c r="DG1349" s="619"/>
      <c r="DH1349" s="619"/>
    </row>
    <row r="1350" s="548" customFormat="1" ht="31" customHeight="1" spans="1:112">
      <c r="A1350" s="608">
        <v>46105</v>
      </c>
      <c r="B1350" s="609" t="s">
        <v>1503</v>
      </c>
      <c r="C1350" s="610" t="s">
        <v>98</v>
      </c>
      <c r="D1350" s="554">
        <v>4500198303</v>
      </c>
      <c r="E1350" s="610" t="s">
        <v>9293</v>
      </c>
      <c r="F1350" s="554" t="s">
        <v>9294</v>
      </c>
      <c r="G1350" s="610" t="s">
        <v>6787</v>
      </c>
      <c r="H1350" s="610" t="s">
        <v>6126</v>
      </c>
      <c r="I1350" s="610">
        <v>8376</v>
      </c>
      <c r="J1350" s="610">
        <v>0</v>
      </c>
      <c r="K1350" s="610">
        <v>12</v>
      </c>
      <c r="L1350" s="611">
        <f t="shared" si="498"/>
        <v>698</v>
      </c>
      <c r="M1350" s="612">
        <v>46155</v>
      </c>
      <c r="N1350" s="724">
        <v>46157</v>
      </c>
      <c r="O1350" s="613"/>
      <c r="P1350" s="613" t="s">
        <v>113</v>
      </c>
      <c r="Q1350" s="610"/>
      <c r="R1350" s="614">
        <v>46105</v>
      </c>
      <c r="S1350" s="614" t="s">
        <v>104</v>
      </c>
      <c r="T1350" s="614" t="s">
        <v>9286</v>
      </c>
      <c r="U1350" s="614"/>
      <c r="V1350" s="614" t="s">
        <v>8842</v>
      </c>
      <c r="W1350" s="615"/>
      <c r="X1350" s="609" t="s">
        <v>3937</v>
      </c>
      <c r="Y1350" s="609" t="s">
        <v>1507</v>
      </c>
      <c r="Z1350" s="722">
        <v>1.3259</v>
      </c>
      <c r="AA1350" s="616">
        <f t="shared" si="499"/>
        <v>11105.7384</v>
      </c>
      <c r="AC1350" s="629" t="s">
        <v>3916</v>
      </c>
      <c r="AD1350" s="610" t="s">
        <v>8079</v>
      </c>
      <c r="AE1350" s="610" t="s">
        <v>82</v>
      </c>
      <c r="AF1350" s="610"/>
      <c r="AG1350" s="610"/>
      <c r="AH1350" s="609">
        <v>1</v>
      </c>
      <c r="AI1350" s="726">
        <f>960+7416</f>
        <v>8376</v>
      </c>
      <c r="AJ1350" s="610">
        <f t="shared" si="500"/>
        <v>0</v>
      </c>
      <c r="AK1350" s="640">
        <v>46153</v>
      </c>
      <c r="AL1350" s="610" t="s">
        <v>2368</v>
      </c>
      <c r="AM1350" s="610"/>
      <c r="AN1350" s="610">
        <f t="shared" si="502"/>
        <v>16752</v>
      </c>
      <c r="AO1350" s="554"/>
      <c r="AP1350" s="554"/>
      <c r="AQ1350" s="554">
        <f>I1350*2</f>
        <v>16752</v>
      </c>
      <c r="AR1350" s="619"/>
      <c r="AS1350" s="554"/>
      <c r="AT1350" s="554"/>
      <c r="AU1350" s="554">
        <f t="shared" si="503"/>
        <v>16752</v>
      </c>
      <c r="AV1350" s="554"/>
      <c r="AW1350" s="619"/>
      <c r="AX1350" s="554"/>
      <c r="AY1350" s="554"/>
      <c r="AZ1350" s="554"/>
      <c r="BA1350" s="554"/>
      <c r="BB1350" s="249">
        <f t="shared" si="504"/>
        <v>698</v>
      </c>
      <c r="BC1350" s="714"/>
      <c r="BD1350" s="554"/>
      <c r="BE1350" s="554"/>
      <c r="BF1350" s="554"/>
      <c r="BH1350" s="554"/>
      <c r="BI1350" s="554"/>
      <c r="BJ1350" s="554"/>
      <c r="BK1350" s="554"/>
      <c r="BL1350" s="554"/>
      <c r="BM1350" s="554"/>
      <c r="BN1350" s="554"/>
      <c r="BO1350" s="554"/>
      <c r="BP1350" s="554"/>
      <c r="BQ1350" s="554"/>
      <c r="BR1350" s="554"/>
      <c r="BS1350" s="554"/>
      <c r="BT1350" s="554"/>
      <c r="BU1350" s="554"/>
      <c r="BV1350" s="554"/>
      <c r="BW1350" s="554"/>
      <c r="BX1350" s="554"/>
      <c r="BY1350" s="619"/>
      <c r="BZ1350" s="554"/>
      <c r="CA1350" s="621"/>
      <c r="CB1350" s="567"/>
      <c r="CC1350" s="622"/>
      <c r="CD1350" s="619"/>
      <c r="CE1350" s="619"/>
      <c r="CF1350" s="554"/>
      <c r="CG1350" s="554"/>
      <c r="CI1350" s="554"/>
      <c r="CJ1350" s="554"/>
      <c r="CK1350" s="554"/>
      <c r="CL1350" s="554"/>
      <c r="CM1350" s="554"/>
      <c r="CN1350" s="554"/>
      <c r="CO1350" s="554"/>
      <c r="CP1350" s="554"/>
      <c r="CQ1350" s="554"/>
      <c r="CR1350" s="554">
        <f t="shared" si="505"/>
        <v>8376</v>
      </c>
      <c r="CS1350" s="554">
        <f t="shared" si="506"/>
        <v>8376</v>
      </c>
      <c r="CT1350" s="554">
        <f t="shared" si="507"/>
        <v>8376</v>
      </c>
      <c r="CU1350" s="554">
        <f t="shared" si="501"/>
        <v>0</v>
      </c>
      <c r="CV1350" s="554">
        <v>0</v>
      </c>
      <c r="CW1350" s="554">
        <v>0</v>
      </c>
      <c r="CX1350" s="619"/>
      <c r="CY1350" s="619"/>
      <c r="CZ1350" s="619"/>
      <c r="DA1350" s="548"/>
      <c r="DB1350" s="548"/>
      <c r="DC1350" s="548"/>
      <c r="DD1350" s="619"/>
      <c r="DE1350" s="619"/>
      <c r="DF1350" s="619"/>
      <c r="DG1350" s="619"/>
      <c r="DH1350" s="619"/>
    </row>
    <row r="1351" s="548" customFormat="1" ht="31" customHeight="1" spans="1:112">
      <c r="A1351" s="608">
        <v>46105</v>
      </c>
      <c r="B1351" s="609" t="s">
        <v>1503</v>
      </c>
      <c r="C1351" s="713" t="s">
        <v>98</v>
      </c>
      <c r="D1351" s="554">
        <v>4500198299</v>
      </c>
      <c r="E1351" s="610" t="s">
        <v>9295</v>
      </c>
      <c r="F1351" s="554" t="s">
        <v>9296</v>
      </c>
      <c r="G1351" s="610" t="s">
        <v>6787</v>
      </c>
      <c r="H1351" s="610" t="s">
        <v>6126</v>
      </c>
      <c r="I1351" s="610">
        <v>5700</v>
      </c>
      <c r="J1351" s="610">
        <v>0</v>
      </c>
      <c r="K1351" s="610">
        <v>12</v>
      </c>
      <c r="L1351" s="611">
        <f t="shared" si="498"/>
        <v>475</v>
      </c>
      <c r="M1351" s="612">
        <v>46155</v>
      </c>
      <c r="N1351" s="724">
        <v>46157</v>
      </c>
      <c r="O1351" s="613"/>
      <c r="P1351" s="613" t="s">
        <v>113</v>
      </c>
      <c r="Q1351" s="610"/>
      <c r="R1351" s="614">
        <v>46105</v>
      </c>
      <c r="S1351" s="614" t="s">
        <v>104</v>
      </c>
      <c r="T1351" s="614" t="s">
        <v>9286</v>
      </c>
      <c r="U1351" s="614"/>
      <c r="V1351" s="614" t="s">
        <v>8842</v>
      </c>
      <c r="W1351" s="615"/>
      <c r="X1351" s="609" t="s">
        <v>3898</v>
      </c>
      <c r="Y1351" s="716" t="s">
        <v>1507</v>
      </c>
      <c r="Z1351" s="722">
        <v>1.319</v>
      </c>
      <c r="AA1351" s="616">
        <f t="shared" si="499"/>
        <v>7518.3</v>
      </c>
      <c r="AC1351" s="629" t="s">
        <v>3899</v>
      </c>
      <c r="AD1351" s="610" t="s">
        <v>8079</v>
      </c>
      <c r="AE1351" s="610" t="s">
        <v>82</v>
      </c>
      <c r="AF1351" s="610"/>
      <c r="AG1351" s="609"/>
      <c r="AH1351" s="609">
        <v>1</v>
      </c>
      <c r="AI1351" s="726">
        <v>5700</v>
      </c>
      <c r="AJ1351" s="610">
        <f t="shared" si="500"/>
        <v>0</v>
      </c>
      <c r="AK1351" s="640">
        <v>46153</v>
      </c>
      <c r="AL1351" s="610" t="s">
        <v>2368</v>
      </c>
      <c r="AM1351" s="610"/>
      <c r="AN1351" s="610">
        <f t="shared" si="502"/>
        <v>11400</v>
      </c>
      <c r="AO1351" s="554"/>
      <c r="AP1351" s="554"/>
      <c r="AQ1351" s="554">
        <f>I1351*2</f>
        <v>11400</v>
      </c>
      <c r="AR1351" s="554"/>
      <c r="AS1351" s="554"/>
      <c r="AT1351" s="554"/>
      <c r="AU1351" s="554">
        <f t="shared" si="503"/>
        <v>11400</v>
      </c>
      <c r="AV1351" s="554"/>
      <c r="AW1351" s="619"/>
      <c r="AX1351" s="554"/>
      <c r="AY1351" s="554"/>
      <c r="AZ1351" s="554"/>
      <c r="BA1351" s="554"/>
      <c r="BB1351" s="249">
        <f t="shared" si="504"/>
        <v>475</v>
      </c>
      <c r="BC1351" s="714"/>
      <c r="BD1351" s="554"/>
      <c r="BE1351" s="554"/>
      <c r="BF1351" s="554"/>
      <c r="BH1351" s="554"/>
      <c r="BI1351" s="554"/>
      <c r="BJ1351" s="554"/>
      <c r="BK1351" s="554"/>
      <c r="BL1351" s="554"/>
      <c r="BM1351" s="554"/>
      <c r="BN1351" s="554"/>
      <c r="BO1351" s="554"/>
      <c r="BP1351" s="554"/>
      <c r="BQ1351" s="554"/>
      <c r="BR1351" s="554"/>
      <c r="BS1351" s="554"/>
      <c r="BT1351" s="554"/>
      <c r="BU1351" s="554"/>
      <c r="BV1351" s="554"/>
      <c r="BW1351" s="554"/>
      <c r="BX1351" s="554"/>
      <c r="BY1351" s="619"/>
      <c r="BZ1351" s="554"/>
      <c r="CA1351" s="621"/>
      <c r="CB1351" s="567"/>
      <c r="CC1351" s="622"/>
      <c r="CD1351" s="619"/>
      <c r="CE1351" s="619"/>
      <c r="CF1351" s="554"/>
      <c r="CG1351" s="554"/>
      <c r="CI1351" s="554"/>
      <c r="CJ1351" s="554"/>
      <c r="CK1351" s="554"/>
      <c r="CL1351" s="554"/>
      <c r="CM1351" s="554"/>
      <c r="CN1351" s="554"/>
      <c r="CO1351" s="554"/>
      <c r="CP1351" s="554"/>
      <c r="CQ1351" s="554"/>
      <c r="CR1351" s="554">
        <f t="shared" si="505"/>
        <v>5700</v>
      </c>
      <c r="CS1351" s="554">
        <f t="shared" si="506"/>
        <v>5700</v>
      </c>
      <c r="CT1351" s="554">
        <f t="shared" si="507"/>
        <v>5700</v>
      </c>
      <c r="CU1351" s="554">
        <f t="shared" si="501"/>
        <v>0</v>
      </c>
      <c r="CV1351" s="554">
        <v>0</v>
      </c>
      <c r="CW1351" s="554">
        <v>0</v>
      </c>
      <c r="CX1351" s="619"/>
      <c r="CY1351" s="619"/>
      <c r="CZ1351" s="619"/>
      <c r="DA1351" s="554"/>
      <c r="DB1351" s="554"/>
      <c r="DC1351" s="554"/>
      <c r="DD1351" s="619"/>
      <c r="DE1351" s="619"/>
      <c r="DF1351" s="619"/>
      <c r="DG1351" s="619"/>
      <c r="DH1351" s="619"/>
    </row>
    <row r="1352" s="548" customFormat="1" ht="30" customHeight="1" spans="1:112">
      <c r="A1352" s="608">
        <v>46086</v>
      </c>
      <c r="B1352" s="609" t="s">
        <v>2811</v>
      </c>
      <c r="C1352" s="713" t="s">
        <v>98</v>
      </c>
      <c r="D1352" s="554">
        <v>4500193648</v>
      </c>
      <c r="E1352" s="610">
        <v>70084784</v>
      </c>
      <c r="F1352" s="554" t="s">
        <v>9297</v>
      </c>
      <c r="G1352" s="610" t="s">
        <v>6787</v>
      </c>
      <c r="H1352" s="610" t="s">
        <v>6126</v>
      </c>
      <c r="I1352" s="610">
        <v>804</v>
      </c>
      <c r="J1352" s="610">
        <v>0</v>
      </c>
      <c r="K1352" s="610">
        <v>12</v>
      </c>
      <c r="L1352" s="611">
        <f t="shared" si="498"/>
        <v>67</v>
      </c>
      <c r="M1352" s="612">
        <v>46156</v>
      </c>
      <c r="N1352" s="612">
        <v>46153</v>
      </c>
      <c r="O1352" s="613"/>
      <c r="P1352" s="613" t="s">
        <v>113</v>
      </c>
      <c r="Q1352" s="610"/>
      <c r="R1352" s="614">
        <v>46086</v>
      </c>
      <c r="S1352" s="614" t="s">
        <v>70</v>
      </c>
      <c r="T1352" s="614" t="s">
        <v>9298</v>
      </c>
      <c r="U1352" s="614"/>
      <c r="V1352" s="614"/>
      <c r="W1352" s="615"/>
      <c r="X1352" s="609" t="s">
        <v>9001</v>
      </c>
      <c r="Y1352" s="616" t="s">
        <v>2814</v>
      </c>
      <c r="Z1352" s="609">
        <v>1.3094</v>
      </c>
      <c r="AA1352" s="616">
        <f t="shared" si="499"/>
        <v>1052.7576</v>
      </c>
      <c r="AC1352" s="629" t="s">
        <v>9299</v>
      </c>
      <c r="AD1352" s="610" t="s">
        <v>8545</v>
      </c>
      <c r="AE1352" s="610" t="s">
        <v>82</v>
      </c>
      <c r="AF1352" s="610"/>
      <c r="AG1352" s="609"/>
      <c r="AH1352" s="609">
        <v>1</v>
      </c>
      <c r="AI1352" s="726">
        <v>804</v>
      </c>
      <c r="AJ1352" s="610">
        <f t="shared" si="500"/>
        <v>0</v>
      </c>
      <c r="AK1352" s="640">
        <v>46153</v>
      </c>
      <c r="AL1352" s="610" t="s">
        <v>2368</v>
      </c>
      <c r="AM1352" s="610"/>
      <c r="AN1352" s="610">
        <f t="shared" si="502"/>
        <v>1608</v>
      </c>
      <c r="AO1352" s="554"/>
      <c r="AP1352" s="554">
        <f>I1352*2</f>
        <v>1608</v>
      </c>
      <c r="AQ1352" s="554"/>
      <c r="AR1352" s="619"/>
      <c r="AS1352" s="554"/>
      <c r="AT1352" s="554"/>
      <c r="AU1352" s="554">
        <f t="shared" si="503"/>
        <v>1608</v>
      </c>
      <c r="AV1352" s="554"/>
      <c r="AW1352" s="619"/>
      <c r="AX1352" s="554"/>
      <c r="AY1352" s="554"/>
      <c r="AZ1352" s="554"/>
      <c r="BA1352" s="554"/>
      <c r="BB1352" s="249">
        <f t="shared" si="504"/>
        <v>67</v>
      </c>
      <c r="BC1352" s="714"/>
      <c r="BD1352" s="554"/>
      <c r="BE1352" s="554"/>
      <c r="BF1352" s="554"/>
      <c r="BH1352" s="554"/>
      <c r="BI1352" s="554"/>
      <c r="BJ1352" s="554"/>
      <c r="BK1352" s="554"/>
      <c r="BL1352" s="554"/>
      <c r="BM1352" s="554"/>
      <c r="BN1352" s="554"/>
      <c r="BO1352" s="554"/>
      <c r="BP1352" s="554"/>
      <c r="BQ1352" s="554"/>
      <c r="BR1352" s="554"/>
      <c r="BS1352" s="554"/>
      <c r="BT1352" s="554"/>
      <c r="BU1352" s="554"/>
      <c r="BV1352" s="554"/>
      <c r="BW1352" s="554"/>
      <c r="BX1352" s="554"/>
      <c r="BY1352" s="619"/>
      <c r="BZ1352" s="554"/>
      <c r="CA1352" s="621"/>
      <c r="CB1352" s="567"/>
      <c r="CC1352" s="622"/>
      <c r="CD1352" s="619"/>
      <c r="CE1352" s="619"/>
      <c r="CF1352" s="554"/>
      <c r="CG1352" s="554"/>
      <c r="CI1352" s="554"/>
      <c r="CJ1352" s="554"/>
      <c r="CK1352" s="554"/>
      <c r="CL1352" s="554"/>
      <c r="CM1352" s="554"/>
      <c r="CN1352" s="554"/>
      <c r="CO1352" s="554"/>
      <c r="CP1352" s="554"/>
      <c r="CQ1352" s="554"/>
      <c r="CR1352" s="554">
        <f t="shared" si="505"/>
        <v>804</v>
      </c>
      <c r="CS1352" s="554">
        <f t="shared" si="506"/>
        <v>804</v>
      </c>
      <c r="CT1352" s="554">
        <f t="shared" si="507"/>
        <v>804</v>
      </c>
      <c r="CU1352" s="554">
        <f t="shared" si="501"/>
        <v>0</v>
      </c>
      <c r="CV1352" s="554">
        <v>0</v>
      </c>
      <c r="CW1352" s="554">
        <v>0</v>
      </c>
      <c r="CX1352" s="619"/>
      <c r="CY1352" s="619"/>
      <c r="CZ1352" s="619"/>
      <c r="DA1352" s="548"/>
      <c r="DB1352" s="548"/>
      <c r="DC1352" s="548"/>
      <c r="DD1352" s="619"/>
      <c r="DE1352" s="619"/>
      <c r="DF1352" s="619"/>
      <c r="DG1352" s="619"/>
      <c r="DH1352" s="619"/>
    </row>
    <row r="1353" s="548" customFormat="1" ht="30" customHeight="1" spans="1:112">
      <c r="A1353" s="608">
        <v>46115</v>
      </c>
      <c r="B1353" s="609" t="s">
        <v>1503</v>
      </c>
      <c r="C1353" s="610" t="s">
        <v>98</v>
      </c>
      <c r="D1353" s="727">
        <v>4500199983</v>
      </c>
      <c r="E1353" s="610" t="s">
        <v>9300</v>
      </c>
      <c r="F1353" s="554" t="s">
        <v>9301</v>
      </c>
      <c r="G1353" s="610" t="s">
        <v>6787</v>
      </c>
      <c r="H1353" s="610" t="s">
        <v>6126</v>
      </c>
      <c r="I1353" s="610">
        <v>5856</v>
      </c>
      <c r="J1353" s="610">
        <v>0</v>
      </c>
      <c r="K1353" s="610">
        <v>12</v>
      </c>
      <c r="L1353" s="611">
        <f t="shared" si="498"/>
        <v>488</v>
      </c>
      <c r="M1353" s="612">
        <v>46157</v>
      </c>
      <c r="N1353" s="612">
        <v>46153</v>
      </c>
      <c r="O1353" s="613"/>
      <c r="P1353" s="613" t="s">
        <v>113</v>
      </c>
      <c r="Q1353" s="610"/>
      <c r="R1353" s="614">
        <v>46115</v>
      </c>
      <c r="S1353" s="614" t="s">
        <v>104</v>
      </c>
      <c r="T1353" s="614" t="s">
        <v>9302</v>
      </c>
      <c r="U1353" s="614"/>
      <c r="V1353" s="614"/>
      <c r="W1353" s="615"/>
      <c r="X1353" s="609" t="s">
        <v>9303</v>
      </c>
      <c r="Y1353" s="609" t="s">
        <v>125</v>
      </c>
      <c r="Z1353" s="722">
        <v>1.3418</v>
      </c>
      <c r="AA1353" s="616">
        <f t="shared" si="499"/>
        <v>7857.5808</v>
      </c>
      <c r="AC1353" s="629" t="s">
        <v>9304</v>
      </c>
      <c r="AD1353" s="610" t="s">
        <v>8079</v>
      </c>
      <c r="AE1353" s="610" t="s">
        <v>82</v>
      </c>
      <c r="AF1353" s="610"/>
      <c r="AG1353" s="610"/>
      <c r="AH1353" s="609">
        <v>1</v>
      </c>
      <c r="AI1353" s="726">
        <v>5856</v>
      </c>
      <c r="AJ1353" s="610">
        <f t="shared" si="500"/>
        <v>0</v>
      </c>
      <c r="AK1353" s="610"/>
      <c r="AL1353" s="610" t="s">
        <v>2368</v>
      </c>
      <c r="AM1353" s="610"/>
      <c r="AN1353" s="610">
        <f t="shared" si="502"/>
        <v>11712</v>
      </c>
      <c r="AO1353" s="554"/>
      <c r="AP1353" s="554"/>
      <c r="AQ1353" s="554">
        <f>I1353*2</f>
        <v>11712</v>
      </c>
      <c r="AR1353" s="554"/>
      <c r="AS1353" s="554"/>
      <c r="AT1353" s="554"/>
      <c r="AU1353" s="554">
        <f t="shared" si="503"/>
        <v>11712</v>
      </c>
      <c r="AV1353" s="554"/>
      <c r="AW1353" s="619"/>
      <c r="AX1353" s="554"/>
      <c r="AY1353" s="554"/>
      <c r="AZ1353" s="554"/>
      <c r="BA1353" s="554"/>
      <c r="BB1353" s="249">
        <f t="shared" si="504"/>
        <v>488</v>
      </c>
      <c r="BC1353" s="714"/>
      <c r="BD1353" s="554"/>
      <c r="BE1353" s="554"/>
      <c r="BF1353" s="554"/>
      <c r="BH1353" s="554"/>
      <c r="BI1353" s="554"/>
      <c r="BJ1353" s="554"/>
      <c r="BK1353" s="554"/>
      <c r="BL1353" s="554"/>
      <c r="BM1353" s="554"/>
      <c r="BN1353" s="554"/>
      <c r="BO1353" s="554"/>
      <c r="BP1353" s="554"/>
      <c r="BQ1353" s="554"/>
      <c r="BR1353" s="554"/>
      <c r="BS1353" s="554"/>
      <c r="BT1353" s="554"/>
      <c r="BU1353" s="554"/>
      <c r="BV1353" s="554"/>
      <c r="BW1353" s="554"/>
      <c r="BX1353" s="554"/>
      <c r="BY1353" s="619"/>
      <c r="BZ1353" s="554"/>
      <c r="CA1353" s="621"/>
      <c r="CB1353" s="567"/>
      <c r="CC1353" s="622"/>
      <c r="CD1353" s="619"/>
      <c r="CE1353" s="619"/>
      <c r="CF1353" s="554"/>
      <c r="CG1353" s="554"/>
      <c r="CI1353" s="554"/>
      <c r="CJ1353" s="554"/>
      <c r="CK1353" s="554"/>
      <c r="CL1353" s="554"/>
      <c r="CM1353" s="554"/>
      <c r="CN1353" s="554"/>
      <c r="CO1353" s="554"/>
      <c r="CP1353" s="554"/>
      <c r="CQ1353" s="554"/>
      <c r="CR1353" s="554">
        <f t="shared" si="505"/>
        <v>5856</v>
      </c>
      <c r="CS1353" s="554">
        <f t="shared" si="506"/>
        <v>5856</v>
      </c>
      <c r="CT1353" s="554">
        <f t="shared" si="507"/>
        <v>5856</v>
      </c>
      <c r="CU1353" s="554">
        <f t="shared" si="501"/>
        <v>0</v>
      </c>
      <c r="CV1353" s="554">
        <v>0</v>
      </c>
      <c r="CW1353" s="554">
        <v>0</v>
      </c>
      <c r="CX1353" s="619"/>
      <c r="CY1353" s="619"/>
      <c r="CZ1353" s="619"/>
      <c r="DA1353" s="548"/>
      <c r="DB1353" s="548"/>
      <c r="DC1353" s="548"/>
      <c r="DD1353" s="619"/>
      <c r="DE1353" s="619"/>
      <c r="DF1353" s="619"/>
      <c r="DG1353" s="619"/>
      <c r="DH1353" s="619"/>
    </row>
    <row r="1354" s="548" customFormat="1" ht="31" customHeight="1" spans="1:112">
      <c r="A1354" s="608">
        <v>46112</v>
      </c>
      <c r="B1354" s="609" t="s">
        <v>2545</v>
      </c>
      <c r="C1354" s="610" t="s">
        <v>2286</v>
      </c>
      <c r="D1354" s="727">
        <v>4500199366</v>
      </c>
      <c r="E1354" s="610" t="s">
        <v>3764</v>
      </c>
      <c r="F1354" s="554" t="s">
        <v>9305</v>
      </c>
      <c r="G1354" s="610" t="s">
        <v>6043</v>
      </c>
      <c r="H1354" s="610" t="s">
        <v>6110</v>
      </c>
      <c r="I1354" s="715">
        <v>10000</v>
      </c>
      <c r="J1354" s="610">
        <v>0</v>
      </c>
      <c r="K1354" s="610">
        <v>50</v>
      </c>
      <c r="L1354" s="611">
        <f t="shared" si="498"/>
        <v>200</v>
      </c>
      <c r="M1354" s="612">
        <v>46157</v>
      </c>
      <c r="N1354" s="612">
        <v>46153</v>
      </c>
      <c r="O1354" s="613"/>
      <c r="P1354" s="610" t="s">
        <v>113</v>
      </c>
      <c r="Q1354" s="614"/>
      <c r="R1354" s="614">
        <v>46112</v>
      </c>
      <c r="S1354" s="614" t="s">
        <v>70</v>
      </c>
      <c r="T1354" s="614" t="s">
        <v>3766</v>
      </c>
      <c r="U1354" s="614"/>
      <c r="V1354" s="614"/>
      <c r="W1354" s="615"/>
      <c r="X1354" s="609" t="s">
        <v>3767</v>
      </c>
      <c r="Y1354" s="616" t="s">
        <v>3571</v>
      </c>
      <c r="Z1354" s="609">
        <v>0.9468</v>
      </c>
      <c r="AA1354" s="616">
        <f t="shared" si="499"/>
        <v>9468</v>
      </c>
      <c r="AC1354" s="697"/>
      <c r="AD1354" s="610" t="s">
        <v>6043</v>
      </c>
      <c r="AE1354" s="610" t="s">
        <v>82</v>
      </c>
      <c r="AF1354" s="610"/>
      <c r="AG1354" s="610"/>
      <c r="AH1354" s="609">
        <v>1</v>
      </c>
      <c r="AI1354" s="725">
        <v>10000</v>
      </c>
      <c r="AJ1354" s="610">
        <f t="shared" si="500"/>
        <v>0</v>
      </c>
      <c r="AK1354" s="613"/>
      <c r="AL1354" s="610" t="s">
        <v>2368</v>
      </c>
      <c r="AM1354" s="610"/>
      <c r="AN1354" s="554"/>
      <c r="AO1354" s="554">
        <f>I1354</f>
        <v>10000</v>
      </c>
      <c r="AP1354" s="554"/>
      <c r="AQ1354" s="554"/>
      <c r="AR1354" s="554"/>
      <c r="AS1354" s="554"/>
      <c r="AT1354" s="554">
        <f>I1354</f>
        <v>10000</v>
      </c>
      <c r="AU1354" s="554"/>
      <c r="AV1354" s="554">
        <f>I1354</f>
        <v>10000</v>
      </c>
      <c r="AW1354" s="554"/>
      <c r="AX1354" s="714"/>
      <c r="AY1354" s="554"/>
      <c r="AZ1354" s="554"/>
      <c r="BA1354" s="554"/>
      <c r="BB1354" s="620">
        <f>I1354/24</f>
        <v>416.666666666667</v>
      </c>
      <c r="BC1354" s="554"/>
      <c r="BD1354" s="554"/>
      <c r="BE1354" s="554"/>
      <c r="BF1354" s="554"/>
      <c r="BH1354" s="554"/>
      <c r="BI1354" s="554"/>
      <c r="BJ1354" s="554"/>
      <c r="BK1354" s="554"/>
      <c r="BL1354" s="554"/>
      <c r="BM1354" s="554"/>
      <c r="BN1354" s="554"/>
      <c r="BO1354" s="554"/>
      <c r="BP1354" s="554">
        <f>I1354/25</f>
        <v>400</v>
      </c>
      <c r="BQ1354" s="554"/>
      <c r="BR1354" s="554"/>
      <c r="BS1354" s="554"/>
      <c r="BT1354" s="554"/>
      <c r="BU1354" s="554"/>
      <c r="BV1354" s="554"/>
      <c r="BW1354" s="554"/>
      <c r="BX1354" s="554"/>
      <c r="BY1354" s="554"/>
      <c r="BZ1354" s="554"/>
      <c r="CA1354" s="720"/>
      <c r="CB1354" s="567"/>
      <c r="CC1354" s="721"/>
      <c r="CD1354" s="554"/>
      <c r="CE1354" s="554"/>
      <c r="CF1354" s="554"/>
      <c r="CG1354" s="554"/>
      <c r="CI1354" s="554"/>
      <c r="CJ1354" s="554"/>
      <c r="CK1354" s="554"/>
      <c r="CL1354" s="554"/>
      <c r="CM1354" s="554"/>
      <c r="CN1354" s="554"/>
      <c r="CO1354" s="554"/>
      <c r="CP1354" s="619"/>
      <c r="CQ1354" s="619"/>
      <c r="CR1354" s="619"/>
      <c r="CS1354" s="619"/>
      <c r="CT1354" s="619"/>
      <c r="CU1354" s="554">
        <f t="shared" si="501"/>
        <v>400</v>
      </c>
      <c r="CV1354" s="554">
        <f>CK1354+CL1354+CM1354+CN1354+CO1354+CQ1354+CP1354</f>
        <v>0</v>
      </c>
      <c r="CW1354" s="554">
        <f>CI1354+CJ1354</f>
        <v>0</v>
      </c>
      <c r="CX1354" s="619"/>
      <c r="CY1354" s="619"/>
      <c r="CZ1354" s="619"/>
      <c r="DA1354" s="619"/>
      <c r="DB1354" s="619"/>
      <c r="DC1354" s="619"/>
      <c r="DD1354" s="619"/>
      <c r="DE1354" s="619"/>
      <c r="DF1354" s="619"/>
      <c r="DG1354" s="619"/>
      <c r="DH1354" s="619"/>
    </row>
    <row r="1355" s="548" customFormat="1" ht="31" customHeight="1" spans="1:112">
      <c r="A1355" s="608">
        <v>46128</v>
      </c>
      <c r="B1355" s="609"/>
      <c r="C1355" s="610"/>
      <c r="D1355" s="554" t="s">
        <v>9306</v>
      </c>
      <c r="E1355" s="610"/>
      <c r="F1355" s="554" t="s">
        <v>9307</v>
      </c>
      <c r="G1355" s="610" t="s">
        <v>6025</v>
      </c>
      <c r="H1355" s="610" t="s">
        <v>6026</v>
      </c>
      <c r="I1355" s="715" t="s">
        <v>9308</v>
      </c>
      <c r="J1355" s="610"/>
      <c r="K1355" s="610"/>
      <c r="L1355" s="611"/>
      <c r="M1355" s="612">
        <v>46141</v>
      </c>
      <c r="N1355" s="612">
        <v>46137</v>
      </c>
      <c r="O1355" s="613"/>
      <c r="P1355" s="610"/>
      <c r="Q1355" s="614"/>
      <c r="R1355" s="614"/>
      <c r="S1355" s="614"/>
      <c r="T1355" s="614"/>
      <c r="U1355" s="614"/>
      <c r="V1355" s="614"/>
      <c r="W1355" s="615"/>
      <c r="X1355" s="609" t="s">
        <v>9309</v>
      </c>
      <c r="Y1355" s="616" t="s">
        <v>92</v>
      </c>
      <c r="Z1355" s="609"/>
      <c r="AA1355" s="616"/>
      <c r="AC1355" s="697"/>
      <c r="AD1355" s="610" t="s">
        <v>6025</v>
      </c>
      <c r="AE1355" s="610" t="s">
        <v>8372</v>
      </c>
      <c r="AF1355" s="610"/>
      <c r="AG1355" s="610"/>
      <c r="AH1355" s="609">
        <v>1</v>
      </c>
      <c r="AI1355" s="725">
        <v>70</v>
      </c>
      <c r="AJ1355" s="610"/>
      <c r="AK1355" s="613"/>
      <c r="AL1355" s="610"/>
      <c r="AM1355" s="610"/>
      <c r="AN1355" s="554"/>
      <c r="AO1355" s="714"/>
      <c r="AP1355" s="554"/>
      <c r="AQ1355" s="554"/>
      <c r="AR1355" s="554"/>
      <c r="AS1355" s="554"/>
      <c r="AT1355" s="554"/>
      <c r="AU1355" s="554"/>
      <c r="AV1355" s="554"/>
      <c r="AW1355" s="554"/>
      <c r="AX1355" s="714"/>
      <c r="AY1355" s="554"/>
      <c r="AZ1355" s="554"/>
      <c r="BA1355" s="554"/>
      <c r="BB1355" s="620"/>
      <c r="BC1355" s="554"/>
      <c r="BD1355" s="554"/>
      <c r="BE1355" s="554"/>
      <c r="BF1355" s="554"/>
      <c r="BH1355" s="554"/>
      <c r="BI1355" s="554"/>
      <c r="BJ1355" s="554"/>
      <c r="BK1355" s="554"/>
      <c r="BL1355" s="554"/>
      <c r="BM1355" s="554"/>
      <c r="BN1355" s="554"/>
      <c r="BO1355" s="554"/>
      <c r="BP1355" s="554"/>
      <c r="BQ1355" s="554"/>
      <c r="BR1355" s="554"/>
      <c r="BS1355" s="554"/>
      <c r="BT1355" s="554"/>
      <c r="BU1355" s="554"/>
      <c r="BV1355" s="554"/>
      <c r="BW1355" s="554"/>
      <c r="BX1355" s="554"/>
      <c r="BY1355" s="554"/>
      <c r="BZ1355" s="554"/>
      <c r="CA1355" s="720"/>
      <c r="CB1355" s="567"/>
      <c r="CC1355" s="721"/>
      <c r="CD1355" s="554"/>
      <c r="CE1355" s="554"/>
      <c r="CF1355" s="554"/>
      <c r="CG1355" s="554"/>
      <c r="CI1355" s="554"/>
      <c r="CJ1355" s="554"/>
      <c r="CK1355" s="554"/>
      <c r="CL1355" s="554"/>
      <c r="CM1355" s="554"/>
      <c r="CN1355" s="554"/>
      <c r="CO1355" s="554"/>
      <c r="CP1355" s="619"/>
      <c r="CQ1355" s="619"/>
      <c r="CR1355" s="619"/>
      <c r="CS1355" s="619"/>
      <c r="CT1355" s="619"/>
      <c r="CU1355" s="554"/>
      <c r="CV1355" s="554"/>
      <c r="CW1355" s="554"/>
      <c r="CX1355" s="619"/>
      <c r="CY1355" s="619"/>
      <c r="CZ1355" s="619"/>
      <c r="DA1355" s="619"/>
      <c r="DB1355" s="619"/>
      <c r="DC1355" s="619"/>
      <c r="DD1355" s="619"/>
      <c r="DE1355" s="619"/>
      <c r="DF1355" s="619"/>
      <c r="DG1355" s="619"/>
      <c r="DH1355" s="619"/>
    </row>
    <row r="1356" s="548" customFormat="1" ht="31" customHeight="1" spans="1:112">
      <c r="A1356" s="608">
        <v>46106</v>
      </c>
      <c r="B1356" s="609" t="s">
        <v>8152</v>
      </c>
      <c r="C1356" s="610" t="s">
        <v>98</v>
      </c>
      <c r="D1356" s="554">
        <v>4500198523</v>
      </c>
      <c r="E1356" s="610">
        <v>4562506778</v>
      </c>
      <c r="F1356" s="554" t="s">
        <v>9310</v>
      </c>
      <c r="G1356" s="610" t="s">
        <v>8051</v>
      </c>
      <c r="H1356" s="610" t="s">
        <v>6102</v>
      </c>
      <c r="I1356" s="610">
        <v>2736</v>
      </c>
      <c r="J1356" s="610">
        <v>0</v>
      </c>
      <c r="K1356" s="610">
        <v>6</v>
      </c>
      <c r="L1356" s="611">
        <f t="shared" ref="L1356:L1380" si="508">I1356/K1356</f>
        <v>456</v>
      </c>
      <c r="M1356" s="612">
        <v>46156</v>
      </c>
      <c r="N1356" s="612">
        <v>46153</v>
      </c>
      <c r="O1356" s="613"/>
      <c r="P1356" s="613" t="s">
        <v>113</v>
      </c>
      <c r="Q1356" s="610"/>
      <c r="R1356" s="614" t="s">
        <v>3740</v>
      </c>
      <c r="S1356" s="614" t="s">
        <v>70</v>
      </c>
      <c r="T1356" s="614" t="s">
        <v>9311</v>
      </c>
      <c r="U1356" s="614"/>
      <c r="V1356" s="614"/>
      <c r="W1356" s="615"/>
      <c r="X1356" s="609" t="s">
        <v>9312</v>
      </c>
      <c r="Y1356" s="609" t="s">
        <v>819</v>
      </c>
      <c r="Z1356" s="722">
        <v>0.5675</v>
      </c>
      <c r="AA1356" s="616">
        <f>Z1356*I1356</f>
        <v>1552.68</v>
      </c>
      <c r="AC1356" s="629" t="s">
        <v>9313</v>
      </c>
      <c r="AD1356" s="610" t="s">
        <v>8051</v>
      </c>
      <c r="AE1356" s="610" t="s">
        <v>82</v>
      </c>
      <c r="AF1356" s="610"/>
      <c r="AG1356" s="610"/>
      <c r="AH1356" s="609">
        <v>1</v>
      </c>
      <c r="AI1356" s="726">
        <v>2736</v>
      </c>
      <c r="AJ1356" s="610">
        <f t="shared" ref="AJ1356:AJ1381" si="509">AI1356-I1356</f>
        <v>0</v>
      </c>
      <c r="AK1356" s="640">
        <v>46154</v>
      </c>
      <c r="AL1356" s="610" t="s">
        <v>454</v>
      </c>
      <c r="AM1356" s="610"/>
      <c r="AN1356" s="610">
        <f>I1356</f>
        <v>2736</v>
      </c>
      <c r="AO1356" s="554"/>
      <c r="AP1356" s="554">
        <f>I1356</f>
        <v>2736</v>
      </c>
      <c r="AQ1356" s="554"/>
      <c r="AR1356" s="619"/>
      <c r="AS1356" s="554"/>
      <c r="AT1356" s="554"/>
      <c r="AU1356" s="554">
        <f>I1356</f>
        <v>2736</v>
      </c>
      <c r="AV1356" s="554"/>
      <c r="AW1356" s="619"/>
      <c r="AX1356" s="554"/>
      <c r="AY1356" s="554"/>
      <c r="AZ1356" s="554"/>
      <c r="BA1356" s="554"/>
      <c r="BB1356" s="620">
        <f t="shared" ref="BB1356:BB1366" si="510">I1356/24</f>
        <v>114</v>
      </c>
      <c r="BC1356" s="714"/>
      <c r="BD1356" s="554"/>
      <c r="BE1356" s="554"/>
      <c r="BF1356" s="554"/>
      <c r="BH1356" s="554"/>
      <c r="BI1356" s="554"/>
      <c r="BJ1356" s="554"/>
      <c r="BK1356" s="554"/>
      <c r="BL1356" s="554"/>
      <c r="BM1356" s="554"/>
      <c r="BN1356" s="554"/>
      <c r="BO1356" s="554"/>
      <c r="BP1356" s="554"/>
      <c r="BQ1356" s="554"/>
      <c r="BR1356" s="554"/>
      <c r="BS1356" s="554"/>
      <c r="BT1356" s="554">
        <f>L1356</f>
        <v>456</v>
      </c>
      <c r="BU1356" s="554"/>
      <c r="BV1356" s="554"/>
      <c r="BW1356" s="554"/>
      <c r="BX1356" s="554"/>
      <c r="BY1356" s="619"/>
      <c r="BZ1356" s="554"/>
      <c r="CA1356" s="621"/>
      <c r="CB1356" s="567"/>
      <c r="CC1356" s="622"/>
      <c r="CD1356" s="619"/>
      <c r="CE1356" s="619"/>
      <c r="CF1356" s="554"/>
      <c r="CG1356" s="554"/>
      <c r="CI1356" s="554"/>
      <c r="CJ1356" s="554"/>
      <c r="CK1356" s="554"/>
      <c r="CL1356" s="554"/>
      <c r="CM1356" s="554"/>
      <c r="CN1356" s="554"/>
      <c r="CO1356" s="554"/>
      <c r="CP1356" s="554"/>
      <c r="CQ1356" s="554"/>
      <c r="CR1356" s="554"/>
      <c r="CS1356" s="554"/>
      <c r="CT1356" s="554"/>
      <c r="CU1356" s="554">
        <f t="shared" ref="CU1356:CU1381" si="511">BQ1356+BP1356+BO1356+BN1356+BX1356+BR1356</f>
        <v>0</v>
      </c>
      <c r="CV1356" s="554">
        <f t="shared" ref="CV1356:CV1366" si="512">CK1356+CL1356+CM1356+CN1356+CO1356+CQ1356+CP1356</f>
        <v>0</v>
      </c>
      <c r="CW1356" s="554">
        <f t="shared" ref="CW1356:CW1366" si="513">CI1356+CJ1356</f>
        <v>0</v>
      </c>
      <c r="CX1356" s="619"/>
      <c r="CY1356" s="619"/>
      <c r="CZ1356" s="619"/>
      <c r="DA1356" s="548"/>
      <c r="DB1356" s="548"/>
      <c r="DC1356" s="548"/>
      <c r="DD1356" s="619"/>
      <c r="DE1356" s="619"/>
      <c r="DF1356" s="619"/>
      <c r="DG1356" s="619"/>
      <c r="DH1356" s="619"/>
    </row>
    <row r="1357" s="548" customFormat="1" ht="31" customHeight="1" spans="1:112">
      <c r="A1357" s="608">
        <v>46106</v>
      </c>
      <c r="B1357" s="609" t="s">
        <v>8152</v>
      </c>
      <c r="C1357" s="610" t="s">
        <v>98</v>
      </c>
      <c r="D1357" s="554">
        <v>4500198523</v>
      </c>
      <c r="E1357" s="610">
        <v>4562506717</v>
      </c>
      <c r="F1357" s="554" t="s">
        <v>9314</v>
      </c>
      <c r="G1357" s="610" t="s">
        <v>8051</v>
      </c>
      <c r="H1357" s="610" t="s">
        <v>6102</v>
      </c>
      <c r="I1357" s="610">
        <v>2166</v>
      </c>
      <c r="J1357" s="610">
        <v>0</v>
      </c>
      <c r="K1357" s="610">
        <v>6</v>
      </c>
      <c r="L1357" s="611">
        <f t="shared" si="508"/>
        <v>361</v>
      </c>
      <c r="M1357" s="612">
        <v>46156</v>
      </c>
      <c r="N1357" s="612">
        <v>46153</v>
      </c>
      <c r="O1357" s="613"/>
      <c r="P1357" s="613" t="s">
        <v>113</v>
      </c>
      <c r="Q1357" s="610"/>
      <c r="R1357" s="614" t="s">
        <v>3740</v>
      </c>
      <c r="S1357" s="614" t="s">
        <v>70</v>
      </c>
      <c r="T1357" s="614" t="s">
        <v>9311</v>
      </c>
      <c r="U1357" s="614"/>
      <c r="V1357" s="614"/>
      <c r="W1357" s="615"/>
      <c r="X1357" s="609" t="s">
        <v>9312</v>
      </c>
      <c r="Y1357" s="609" t="s">
        <v>819</v>
      </c>
      <c r="Z1357" s="722">
        <v>0.5799</v>
      </c>
      <c r="AA1357" s="616">
        <f>Z1357*I1357</f>
        <v>1256.0634</v>
      </c>
      <c r="AC1357" s="629" t="s">
        <v>9313</v>
      </c>
      <c r="AD1357" s="610" t="s">
        <v>8051</v>
      </c>
      <c r="AE1357" s="610" t="s">
        <v>82</v>
      </c>
      <c r="AF1357" s="610"/>
      <c r="AG1357" s="610"/>
      <c r="AH1357" s="609">
        <v>1</v>
      </c>
      <c r="AI1357" s="726">
        <v>2166</v>
      </c>
      <c r="AJ1357" s="610">
        <f t="shared" si="509"/>
        <v>0</v>
      </c>
      <c r="AK1357" s="640">
        <v>46154</v>
      </c>
      <c r="AL1357" s="610" t="s">
        <v>454</v>
      </c>
      <c r="AM1357" s="610"/>
      <c r="AN1357" s="610">
        <f>I1357</f>
        <v>2166</v>
      </c>
      <c r="AO1357" s="554"/>
      <c r="AP1357" s="554">
        <f>I1357</f>
        <v>2166</v>
      </c>
      <c r="AQ1357" s="554"/>
      <c r="AR1357" s="619"/>
      <c r="AS1357" s="554"/>
      <c r="AT1357" s="554"/>
      <c r="AU1357" s="554">
        <f>I1357</f>
        <v>2166</v>
      </c>
      <c r="AV1357" s="554"/>
      <c r="AW1357" s="619"/>
      <c r="AX1357" s="554"/>
      <c r="AY1357" s="554"/>
      <c r="AZ1357" s="554"/>
      <c r="BA1357" s="554"/>
      <c r="BB1357" s="620">
        <f t="shared" si="510"/>
        <v>90.25</v>
      </c>
      <c r="BC1357" s="714"/>
      <c r="BD1357" s="554"/>
      <c r="BE1357" s="554"/>
      <c r="BF1357" s="554"/>
      <c r="BH1357" s="554"/>
      <c r="BI1357" s="554"/>
      <c r="BJ1357" s="554"/>
      <c r="BK1357" s="554"/>
      <c r="BL1357" s="554"/>
      <c r="BM1357" s="554"/>
      <c r="BN1357" s="554"/>
      <c r="BO1357" s="554"/>
      <c r="BP1357" s="554"/>
      <c r="BQ1357" s="554"/>
      <c r="BR1357" s="554"/>
      <c r="BS1357" s="554"/>
      <c r="BT1357" s="554">
        <f>L1357</f>
        <v>361</v>
      </c>
      <c r="BU1357" s="554"/>
      <c r="BV1357" s="554"/>
      <c r="BW1357" s="554"/>
      <c r="BX1357" s="554"/>
      <c r="BY1357" s="619"/>
      <c r="BZ1357" s="554"/>
      <c r="CA1357" s="621"/>
      <c r="CB1357" s="567"/>
      <c r="CC1357" s="622"/>
      <c r="CD1357" s="619"/>
      <c r="CE1357" s="619"/>
      <c r="CF1357" s="554"/>
      <c r="CG1357" s="554"/>
      <c r="CI1357" s="554"/>
      <c r="CJ1357" s="554"/>
      <c r="CK1357" s="554"/>
      <c r="CL1357" s="554"/>
      <c r="CM1357" s="554"/>
      <c r="CN1357" s="554"/>
      <c r="CO1357" s="554"/>
      <c r="CP1357" s="554"/>
      <c r="CQ1357" s="554"/>
      <c r="CR1357" s="554"/>
      <c r="CS1357" s="554"/>
      <c r="CT1357" s="554"/>
      <c r="CU1357" s="554">
        <f t="shared" si="511"/>
        <v>0</v>
      </c>
      <c r="CV1357" s="554">
        <f t="shared" si="512"/>
        <v>0</v>
      </c>
      <c r="CW1357" s="554">
        <f t="shared" si="513"/>
        <v>0</v>
      </c>
      <c r="CX1357" s="619"/>
      <c r="CY1357" s="619"/>
      <c r="CZ1357" s="619"/>
      <c r="DA1357" s="548"/>
      <c r="DB1357" s="548"/>
      <c r="DC1357" s="548"/>
      <c r="DD1357" s="619"/>
      <c r="DE1357" s="619"/>
      <c r="DF1357" s="619"/>
      <c r="DG1357" s="619"/>
      <c r="DH1357" s="619"/>
    </row>
    <row r="1358" s="548" customFormat="1" ht="31" customHeight="1" spans="1:112">
      <c r="A1358" s="608">
        <v>46120</v>
      </c>
      <c r="B1358" s="609" t="s">
        <v>757</v>
      </c>
      <c r="C1358" s="610" t="s">
        <v>758</v>
      </c>
      <c r="D1358" s="727">
        <v>4500198705</v>
      </c>
      <c r="E1358" s="610" t="s">
        <v>3846</v>
      </c>
      <c r="F1358" s="554" t="s">
        <v>9315</v>
      </c>
      <c r="G1358" s="610" t="s">
        <v>6079</v>
      </c>
      <c r="H1358" s="610" t="s">
        <v>6080</v>
      </c>
      <c r="I1358" s="610">
        <v>900</v>
      </c>
      <c r="J1358" s="610">
        <v>0</v>
      </c>
      <c r="K1358" s="610">
        <v>60</v>
      </c>
      <c r="L1358" s="611">
        <f t="shared" si="508"/>
        <v>15</v>
      </c>
      <c r="M1358" s="612">
        <v>46157</v>
      </c>
      <c r="N1358" s="612">
        <v>46153</v>
      </c>
      <c r="O1358" s="613"/>
      <c r="P1358" s="613" t="s">
        <v>113</v>
      </c>
      <c r="Q1358" s="640">
        <v>46187</v>
      </c>
      <c r="R1358" s="614">
        <v>46127</v>
      </c>
      <c r="S1358" s="614" t="s">
        <v>70</v>
      </c>
      <c r="T1358" s="614" t="s">
        <v>3856</v>
      </c>
      <c r="U1358" s="614"/>
      <c r="V1358" s="614" t="s">
        <v>3857</v>
      </c>
      <c r="W1358" s="615"/>
      <c r="X1358" s="609" t="s">
        <v>9316</v>
      </c>
      <c r="Y1358" s="609" t="s">
        <v>529</v>
      </c>
      <c r="Z1358" s="609">
        <v>70.2327</v>
      </c>
      <c r="AA1358" s="616">
        <f>Z1358*L1358</f>
        <v>1053.4905</v>
      </c>
      <c r="AC1358" s="617"/>
      <c r="AD1358" s="610" t="s">
        <v>6079</v>
      </c>
      <c r="AE1358" s="610" t="s">
        <v>82</v>
      </c>
      <c r="AF1358" s="610"/>
      <c r="AG1358" s="610"/>
      <c r="AH1358" s="609">
        <v>1</v>
      </c>
      <c r="AI1358" s="610">
        <v>900</v>
      </c>
      <c r="AJ1358" s="610">
        <f t="shared" si="509"/>
        <v>0</v>
      </c>
      <c r="AK1358" s="640">
        <v>46154</v>
      </c>
      <c r="AL1358" s="610"/>
      <c r="AM1358" s="610"/>
      <c r="AN1358" s="610"/>
      <c r="AO1358" s="554">
        <f>I1358</f>
        <v>900</v>
      </c>
      <c r="AP1358" s="554"/>
      <c r="AQ1358" s="554"/>
      <c r="AR1358" s="619"/>
      <c r="AS1358" s="554"/>
      <c r="AT1358" s="554">
        <f>I1358</f>
        <v>900</v>
      </c>
      <c r="AU1358" s="554"/>
      <c r="AV1358" s="554">
        <f>I1358</f>
        <v>900</v>
      </c>
      <c r="AW1358" s="619"/>
      <c r="AX1358" s="554"/>
      <c r="AY1358" s="554"/>
      <c r="AZ1358" s="554"/>
      <c r="BA1358" s="554"/>
      <c r="BB1358" s="620">
        <f t="shared" si="510"/>
        <v>37.5</v>
      </c>
      <c r="BC1358" s="554"/>
      <c r="BD1358" s="554"/>
      <c r="BE1358" s="554"/>
      <c r="BF1358" s="554"/>
      <c r="BH1358" s="554"/>
      <c r="BI1358" s="554"/>
      <c r="BJ1358" s="554"/>
      <c r="BK1358" s="554"/>
      <c r="BL1358" s="554"/>
      <c r="BM1358" s="554"/>
      <c r="BN1358" s="554"/>
      <c r="BO1358" s="554"/>
      <c r="BP1358" s="554"/>
      <c r="BQ1358" s="554"/>
      <c r="BR1358" s="554"/>
      <c r="BS1358" s="554"/>
      <c r="BT1358" s="554"/>
      <c r="BU1358" s="554"/>
      <c r="BV1358" s="554"/>
      <c r="BW1358" s="554"/>
      <c r="BX1358" s="554"/>
      <c r="BY1358" s="619"/>
      <c r="BZ1358" s="554"/>
      <c r="CA1358" s="621"/>
      <c r="CB1358" s="567"/>
      <c r="CC1358" s="622"/>
      <c r="CD1358" s="619"/>
      <c r="CE1358" s="619"/>
      <c r="CF1358" s="554"/>
      <c r="CG1358" s="554"/>
      <c r="CI1358" s="554"/>
      <c r="CJ1358" s="554"/>
      <c r="CK1358" s="554"/>
      <c r="CL1358" s="554">
        <f>L1358</f>
        <v>15</v>
      </c>
      <c r="CM1358" s="554"/>
      <c r="CN1358" s="554"/>
      <c r="CO1358" s="554"/>
      <c r="CP1358" s="554"/>
      <c r="CQ1358" s="554"/>
      <c r="CR1358" s="554"/>
      <c r="CS1358" s="554"/>
      <c r="CT1358" s="554"/>
      <c r="CU1358" s="554">
        <f t="shared" si="511"/>
        <v>0</v>
      </c>
      <c r="CV1358" s="554">
        <f t="shared" si="512"/>
        <v>15</v>
      </c>
      <c r="CW1358" s="554">
        <f t="shared" si="513"/>
        <v>0</v>
      </c>
      <c r="CX1358" s="619"/>
      <c r="CY1358" s="619"/>
      <c r="CZ1358" s="619"/>
      <c r="DA1358" s="548"/>
      <c r="DB1358" s="548"/>
      <c r="DC1358" s="548"/>
      <c r="DD1358" s="619"/>
      <c r="DE1358" s="619"/>
      <c r="DF1358" s="619"/>
      <c r="DG1358" s="619"/>
      <c r="DH1358" s="619"/>
    </row>
    <row r="1359" s="548" customFormat="1" ht="30" customHeight="1" spans="1:112">
      <c r="A1359" s="608">
        <v>46115</v>
      </c>
      <c r="B1359" s="609" t="s">
        <v>606</v>
      </c>
      <c r="C1359" s="610" t="s">
        <v>399</v>
      </c>
      <c r="D1359" s="727">
        <v>4500200070</v>
      </c>
      <c r="E1359" s="610">
        <v>22362602</v>
      </c>
      <c r="F1359" s="554" t="s">
        <v>9317</v>
      </c>
      <c r="G1359" s="610" t="s">
        <v>6223</v>
      </c>
      <c r="H1359" s="610" t="s">
        <v>6080</v>
      </c>
      <c r="I1359" s="610">
        <v>1800</v>
      </c>
      <c r="J1359" s="610">
        <v>0</v>
      </c>
      <c r="K1359" s="610">
        <v>30</v>
      </c>
      <c r="L1359" s="611">
        <f t="shared" si="508"/>
        <v>60</v>
      </c>
      <c r="M1359" s="612">
        <v>46157</v>
      </c>
      <c r="N1359" s="612">
        <v>46153</v>
      </c>
      <c r="O1359" s="613" t="s">
        <v>9318</v>
      </c>
      <c r="P1359" s="613" t="s">
        <v>113</v>
      </c>
      <c r="Q1359" s="640">
        <v>46185</v>
      </c>
      <c r="R1359" s="614">
        <v>46126</v>
      </c>
      <c r="S1359" s="614" t="s">
        <v>70</v>
      </c>
      <c r="T1359" s="614" t="s">
        <v>9319</v>
      </c>
      <c r="U1359" s="614"/>
      <c r="V1359" s="614" t="s">
        <v>3941</v>
      </c>
      <c r="W1359" s="615"/>
      <c r="X1359" s="609" t="s">
        <v>9320</v>
      </c>
      <c r="Y1359" s="609" t="s">
        <v>445</v>
      </c>
      <c r="Z1359" s="722">
        <v>42.8155</v>
      </c>
      <c r="AA1359" s="616">
        <f>Z1359*L1359</f>
        <v>2568.93</v>
      </c>
      <c r="AC1359" s="617"/>
      <c r="AD1359" s="610" t="s">
        <v>6223</v>
      </c>
      <c r="AE1359" s="610" t="s">
        <v>82</v>
      </c>
      <c r="AF1359" s="610"/>
      <c r="AG1359" s="610"/>
      <c r="AH1359" s="609">
        <v>1</v>
      </c>
      <c r="AI1359" s="610">
        <v>1800</v>
      </c>
      <c r="AJ1359" s="610">
        <f t="shared" si="509"/>
        <v>0</v>
      </c>
      <c r="AK1359" s="610"/>
      <c r="AL1359" s="610" t="s">
        <v>2368</v>
      </c>
      <c r="AM1359" s="610"/>
      <c r="AN1359" s="610"/>
      <c r="AO1359" s="554">
        <f>I1359</f>
        <v>1800</v>
      </c>
      <c r="AP1359" s="554"/>
      <c r="AQ1359" s="554"/>
      <c r="AR1359" s="619"/>
      <c r="AS1359" s="554"/>
      <c r="AT1359" s="554">
        <f>I1359</f>
        <v>1800</v>
      </c>
      <c r="AU1359" s="554"/>
      <c r="AV1359" s="554">
        <f>I1359</f>
        <v>1800</v>
      </c>
      <c r="AW1359" s="619"/>
      <c r="AX1359" s="554"/>
      <c r="AY1359" s="554"/>
      <c r="AZ1359" s="554"/>
      <c r="BA1359" s="554"/>
      <c r="BB1359" s="620">
        <f t="shared" si="510"/>
        <v>75</v>
      </c>
      <c r="BC1359" s="714"/>
      <c r="BD1359" s="554"/>
      <c r="BE1359" s="554"/>
      <c r="BF1359" s="554"/>
      <c r="BH1359" s="554"/>
      <c r="BI1359" s="554"/>
      <c r="BJ1359" s="554"/>
      <c r="BK1359" s="554"/>
      <c r="BL1359" s="554"/>
      <c r="BM1359" s="554"/>
      <c r="BN1359" s="554"/>
      <c r="BO1359" s="554"/>
      <c r="BP1359" s="554"/>
      <c r="BQ1359" s="554"/>
      <c r="BR1359" s="554"/>
      <c r="BS1359" s="554"/>
      <c r="BT1359" s="554"/>
      <c r="BU1359" s="554"/>
      <c r="BV1359" s="554"/>
      <c r="BW1359" s="554"/>
      <c r="BX1359" s="554"/>
      <c r="BY1359" s="619"/>
      <c r="BZ1359" s="554"/>
      <c r="CA1359" s="621"/>
      <c r="CB1359" s="567"/>
      <c r="CC1359" s="622"/>
      <c r="CD1359" s="619"/>
      <c r="CE1359" s="619"/>
      <c r="CF1359" s="554"/>
      <c r="CG1359" s="554"/>
      <c r="CI1359" s="554"/>
      <c r="CJ1359" s="554"/>
      <c r="CK1359" s="554"/>
      <c r="CL1359" s="554"/>
      <c r="CM1359" s="554"/>
      <c r="CN1359" s="554"/>
      <c r="CO1359" s="554"/>
      <c r="CP1359" s="554">
        <f>I1359/30</f>
        <v>60</v>
      </c>
      <c r="CQ1359" s="554"/>
      <c r="CR1359" s="554"/>
      <c r="CS1359" s="554"/>
      <c r="CT1359" s="554"/>
      <c r="CU1359" s="554">
        <f t="shared" si="511"/>
        <v>0</v>
      </c>
      <c r="CV1359" s="554">
        <f t="shared" si="512"/>
        <v>60</v>
      </c>
      <c r="CW1359" s="554">
        <f t="shared" si="513"/>
        <v>0</v>
      </c>
      <c r="CX1359" s="619"/>
      <c r="CY1359" s="619"/>
      <c r="CZ1359" s="619"/>
      <c r="DA1359" s="548"/>
      <c r="DB1359" s="548"/>
      <c r="DC1359" s="548"/>
      <c r="DD1359" s="619"/>
      <c r="DE1359" s="619"/>
      <c r="DF1359" s="619"/>
      <c r="DG1359" s="619"/>
      <c r="DH1359" s="619"/>
    </row>
    <row r="1360" s="548" customFormat="1" ht="31" customHeight="1" spans="1:112">
      <c r="A1360" s="608">
        <v>46111</v>
      </c>
      <c r="B1360" s="609" t="s">
        <v>211</v>
      </c>
      <c r="C1360" s="610" t="s">
        <v>212</v>
      </c>
      <c r="D1360" s="727">
        <v>4500199196</v>
      </c>
      <c r="E1360" s="610" t="s">
        <v>3804</v>
      </c>
      <c r="F1360" s="554" t="s">
        <v>9321</v>
      </c>
      <c r="G1360" s="610" t="s">
        <v>6040</v>
      </c>
      <c r="H1360" s="610" t="s">
        <v>6041</v>
      </c>
      <c r="I1360" s="610">
        <v>1456</v>
      </c>
      <c r="J1360" s="610">
        <v>0</v>
      </c>
      <c r="K1360" s="610">
        <v>52</v>
      </c>
      <c r="L1360" s="611">
        <f t="shared" si="508"/>
        <v>28</v>
      </c>
      <c r="M1360" s="612">
        <v>46157</v>
      </c>
      <c r="N1360" s="612">
        <v>46153</v>
      </c>
      <c r="O1360" s="613"/>
      <c r="P1360" s="613" t="s">
        <v>113</v>
      </c>
      <c r="Q1360" s="610"/>
      <c r="R1360" s="614">
        <v>46111</v>
      </c>
      <c r="S1360" s="614" t="s">
        <v>70</v>
      </c>
      <c r="T1360" s="614" t="s">
        <v>9322</v>
      </c>
      <c r="U1360" s="614"/>
      <c r="V1360" s="614"/>
      <c r="W1360" s="615"/>
      <c r="X1360" s="609" t="s">
        <v>3807</v>
      </c>
      <c r="Y1360" s="609" t="s">
        <v>1793</v>
      </c>
      <c r="Z1360" s="722">
        <v>0.9279</v>
      </c>
      <c r="AA1360" s="616">
        <f t="shared" ref="AA1360:AA1368" si="514">Z1360*I1360</f>
        <v>1351.0224</v>
      </c>
      <c r="AC1360" s="617"/>
      <c r="AD1360" s="610" t="s">
        <v>6040</v>
      </c>
      <c r="AE1360" s="610" t="s">
        <v>82</v>
      </c>
      <c r="AF1360" s="610"/>
      <c r="AG1360" s="610"/>
      <c r="AH1360" s="609">
        <v>1</v>
      </c>
      <c r="AI1360" s="725">
        <f>1404+52</f>
        <v>1456</v>
      </c>
      <c r="AJ1360" s="610">
        <f t="shared" si="509"/>
        <v>0</v>
      </c>
      <c r="AK1360" s="610"/>
      <c r="AL1360" s="610" t="s">
        <v>454</v>
      </c>
      <c r="AM1360" s="610"/>
      <c r="AN1360" s="614"/>
      <c r="AO1360" s="554">
        <f>I1360</f>
        <v>1456</v>
      </c>
      <c r="AP1360" s="554"/>
      <c r="AQ1360" s="554"/>
      <c r="AR1360" s="619"/>
      <c r="AS1360" s="554"/>
      <c r="AT1360" s="554">
        <f>I1360</f>
        <v>1456</v>
      </c>
      <c r="AU1360" s="554"/>
      <c r="AV1360" s="554">
        <f>I1360</f>
        <v>1456</v>
      </c>
      <c r="AW1360" s="619"/>
      <c r="AX1360" s="554"/>
      <c r="AY1360" s="554"/>
      <c r="AZ1360" s="554"/>
      <c r="BA1360" s="554"/>
      <c r="BB1360" s="620">
        <f t="shared" si="510"/>
        <v>60.6666666666667</v>
      </c>
      <c r="BC1360" s="554"/>
      <c r="BD1360" s="554"/>
      <c r="BE1360" s="554"/>
      <c r="BF1360" s="554"/>
      <c r="BH1360" s="554"/>
      <c r="BI1360" s="554"/>
      <c r="BJ1360" s="554"/>
      <c r="BK1360" s="554"/>
      <c r="BL1360" s="554"/>
      <c r="BM1360" s="554">
        <f>I1360/13</f>
        <v>112</v>
      </c>
      <c r="BN1360" s="554"/>
      <c r="BO1360" s="554"/>
      <c r="BP1360" s="554"/>
      <c r="BQ1360" s="554"/>
      <c r="BR1360" s="554"/>
      <c r="BS1360" s="554"/>
      <c r="BT1360" s="554"/>
      <c r="BU1360" s="554"/>
      <c r="BV1360" s="554"/>
      <c r="BW1360" s="554"/>
      <c r="BX1360" s="554"/>
      <c r="BY1360" s="554"/>
      <c r="BZ1360" s="554"/>
      <c r="CA1360" s="720"/>
      <c r="CB1360" s="567"/>
      <c r="CC1360" s="721"/>
      <c r="CD1360" s="554"/>
      <c r="CE1360" s="554"/>
      <c r="CF1360" s="554"/>
      <c r="CG1360" s="554"/>
      <c r="CI1360" s="554"/>
      <c r="CJ1360" s="554"/>
      <c r="CK1360" s="554"/>
      <c r="CL1360" s="554"/>
      <c r="CM1360" s="554"/>
      <c r="CN1360" s="554"/>
      <c r="CO1360" s="554"/>
      <c r="CP1360" s="619"/>
      <c r="CQ1360" s="619"/>
      <c r="CR1360" s="619"/>
      <c r="CS1360" s="619"/>
      <c r="CT1360" s="619"/>
      <c r="CU1360" s="554">
        <f t="shared" si="511"/>
        <v>0</v>
      </c>
      <c r="CV1360" s="554">
        <f t="shared" si="512"/>
        <v>0</v>
      </c>
      <c r="CW1360" s="554">
        <f t="shared" si="513"/>
        <v>0</v>
      </c>
      <c r="CX1360" s="619"/>
      <c r="CY1360" s="619"/>
      <c r="CZ1360" s="619"/>
      <c r="DA1360" s="619"/>
      <c r="DB1360" s="619"/>
      <c r="DC1360" s="619"/>
      <c r="DD1360" s="619"/>
      <c r="DE1360" s="619"/>
      <c r="DF1360" s="619"/>
      <c r="DG1360" s="619"/>
      <c r="DH1360" s="619"/>
    </row>
    <row r="1361" s="548" customFormat="1" ht="31" customHeight="1" spans="1:112">
      <c r="A1361" s="608">
        <v>46111</v>
      </c>
      <c r="B1361" s="609" t="s">
        <v>211</v>
      </c>
      <c r="C1361" s="610" t="s">
        <v>212</v>
      </c>
      <c r="D1361" s="727">
        <v>4500199196</v>
      </c>
      <c r="E1361" s="610" t="s">
        <v>3804</v>
      </c>
      <c r="F1361" s="554" t="s">
        <v>3805</v>
      </c>
      <c r="G1361" s="610" t="s">
        <v>6337</v>
      </c>
      <c r="H1361" s="610" t="s">
        <v>477</v>
      </c>
      <c r="I1361" s="715">
        <v>480</v>
      </c>
      <c r="J1361" s="610">
        <v>0</v>
      </c>
      <c r="K1361" s="610">
        <v>6</v>
      </c>
      <c r="L1361" s="611">
        <f t="shared" si="508"/>
        <v>80</v>
      </c>
      <c r="M1361" s="612">
        <v>46157</v>
      </c>
      <c r="N1361" s="612">
        <v>46153</v>
      </c>
      <c r="O1361" s="613"/>
      <c r="P1361" s="613" t="s">
        <v>113</v>
      </c>
      <c r="Q1361" s="614"/>
      <c r="R1361" s="614">
        <v>46111</v>
      </c>
      <c r="S1361" s="614" t="s">
        <v>70</v>
      </c>
      <c r="T1361" s="614" t="s">
        <v>9323</v>
      </c>
      <c r="U1361" s="614"/>
      <c r="V1361" s="614"/>
      <c r="W1361" s="615"/>
      <c r="X1361" s="609" t="s">
        <v>3807</v>
      </c>
      <c r="Y1361" s="616" t="s">
        <v>1793</v>
      </c>
      <c r="Z1361" s="609">
        <v>7.0456</v>
      </c>
      <c r="AA1361" s="616">
        <f t="shared" si="514"/>
        <v>3381.888</v>
      </c>
      <c r="AC1361" s="697"/>
      <c r="AD1361" s="610" t="s">
        <v>1306</v>
      </c>
      <c r="AE1361" s="610" t="s">
        <v>82</v>
      </c>
      <c r="AF1361" s="610"/>
      <c r="AG1361" s="610"/>
      <c r="AH1361" s="609">
        <v>1</v>
      </c>
      <c r="AI1361" s="725">
        <v>480</v>
      </c>
      <c r="AJ1361" s="610">
        <f t="shared" si="509"/>
        <v>0</v>
      </c>
      <c r="AK1361" s="613"/>
      <c r="AL1361" s="610" t="s">
        <v>454</v>
      </c>
      <c r="AM1361" s="610"/>
      <c r="AN1361" s="554"/>
      <c r="AO1361" s="554">
        <f>I1361*2</f>
        <v>960</v>
      </c>
      <c r="AP1361" s="554"/>
      <c r="AQ1361" s="554"/>
      <c r="AR1361" s="554"/>
      <c r="AS1361" s="554"/>
      <c r="AT1361" s="554">
        <f>I1361*2</f>
        <v>960</v>
      </c>
      <c r="AU1361" s="554"/>
      <c r="AV1361" s="554">
        <f>I1361*2</f>
        <v>960</v>
      </c>
      <c r="AW1361" s="554"/>
      <c r="AX1361" s="714"/>
      <c r="AY1361" s="554"/>
      <c r="AZ1361" s="554"/>
      <c r="BA1361" s="554"/>
      <c r="BB1361" s="620">
        <f>I1361/24*2</f>
        <v>40</v>
      </c>
      <c r="BC1361" s="554"/>
      <c r="BD1361" s="554"/>
      <c r="BE1361" s="554"/>
      <c r="BF1361" s="554"/>
      <c r="BH1361" s="554"/>
      <c r="BI1361" s="554"/>
      <c r="BJ1361" s="554"/>
      <c r="BK1361" s="554"/>
      <c r="BL1361" s="554"/>
      <c r="BM1361" s="554"/>
      <c r="BN1361" s="554"/>
      <c r="BO1361" s="554"/>
      <c r="BP1361" s="554"/>
      <c r="BQ1361" s="554"/>
      <c r="BR1361" s="554"/>
      <c r="BS1361" s="554"/>
      <c r="BT1361" s="554"/>
      <c r="BU1361" s="554"/>
      <c r="BV1361" s="554"/>
      <c r="BW1361" s="554"/>
      <c r="BX1361" s="554"/>
      <c r="BY1361" s="554"/>
      <c r="BZ1361" s="554">
        <f>I1361</f>
        <v>480</v>
      </c>
      <c r="CA1361" s="720"/>
      <c r="CB1361" s="567"/>
      <c r="CC1361" s="721"/>
      <c r="CD1361" s="554"/>
      <c r="CE1361" s="554"/>
      <c r="CF1361" s="554"/>
      <c r="CG1361" s="554"/>
      <c r="CI1361" s="554"/>
      <c r="CJ1361" s="554"/>
      <c r="CK1361" s="554"/>
      <c r="CL1361" s="554"/>
      <c r="CM1361" s="554"/>
      <c r="CN1361" s="554"/>
      <c r="CO1361" s="554"/>
      <c r="CP1361" s="619"/>
      <c r="CQ1361" s="619"/>
      <c r="CR1361" s="619"/>
      <c r="CS1361" s="619"/>
      <c r="CT1361" s="619"/>
      <c r="CU1361" s="554">
        <f t="shared" si="511"/>
        <v>0</v>
      </c>
      <c r="CV1361" s="554">
        <f t="shared" si="512"/>
        <v>0</v>
      </c>
      <c r="CW1361" s="554">
        <f t="shared" si="513"/>
        <v>0</v>
      </c>
      <c r="CX1361" s="619"/>
      <c r="CY1361" s="619"/>
      <c r="CZ1361" s="619"/>
      <c r="DA1361" s="619"/>
      <c r="DB1361" s="619"/>
      <c r="DC1361" s="619"/>
      <c r="DD1361" s="619"/>
      <c r="DE1361" s="619"/>
      <c r="DF1361" s="619"/>
      <c r="DG1361" s="619"/>
      <c r="DH1361" s="619"/>
    </row>
    <row r="1362" s="548" customFormat="1" ht="31" customHeight="1" spans="1:112">
      <c r="A1362" s="608">
        <v>46107</v>
      </c>
      <c r="B1362" s="609" t="s">
        <v>757</v>
      </c>
      <c r="C1362" s="610" t="s">
        <v>758</v>
      </c>
      <c r="D1362" s="554">
        <v>4500198705</v>
      </c>
      <c r="E1362" s="610"/>
      <c r="F1362" s="554" t="s">
        <v>9324</v>
      </c>
      <c r="G1362" s="610" t="s">
        <v>6043</v>
      </c>
      <c r="H1362" s="610" t="s">
        <v>6110</v>
      </c>
      <c r="I1362" s="610">
        <v>1100</v>
      </c>
      <c r="J1362" s="610">
        <v>0</v>
      </c>
      <c r="K1362" s="610">
        <v>50</v>
      </c>
      <c r="L1362" s="611">
        <f t="shared" si="508"/>
        <v>22</v>
      </c>
      <c r="M1362" s="612">
        <v>46157</v>
      </c>
      <c r="N1362" s="612">
        <v>46153</v>
      </c>
      <c r="O1362" s="613"/>
      <c r="P1362" s="613" t="s">
        <v>113</v>
      </c>
      <c r="Q1362" s="640">
        <v>46187</v>
      </c>
      <c r="R1362" s="614">
        <v>46127</v>
      </c>
      <c r="S1362" s="614" t="s">
        <v>70</v>
      </c>
      <c r="T1362" s="614" t="s">
        <v>3856</v>
      </c>
      <c r="U1362" s="614"/>
      <c r="V1362" s="614" t="s">
        <v>3857</v>
      </c>
      <c r="W1362" s="615"/>
      <c r="X1362" s="609" t="s">
        <v>9325</v>
      </c>
      <c r="Y1362" s="609" t="s">
        <v>529</v>
      </c>
      <c r="Z1362" s="722">
        <v>0.9749</v>
      </c>
      <c r="AA1362" s="616">
        <f t="shared" si="514"/>
        <v>1072.39</v>
      </c>
      <c r="AC1362" s="617"/>
      <c r="AD1362" s="610" t="s">
        <v>6043</v>
      </c>
      <c r="AE1362" s="610" t="s">
        <v>82</v>
      </c>
      <c r="AF1362" s="610"/>
      <c r="AG1362" s="610"/>
      <c r="AH1362" s="609">
        <v>1</v>
      </c>
      <c r="AI1362" s="725">
        <v>1100</v>
      </c>
      <c r="AJ1362" s="610">
        <f t="shared" si="509"/>
        <v>0</v>
      </c>
      <c r="AK1362" s="610"/>
      <c r="AL1362" s="610"/>
      <c r="AM1362" s="610"/>
      <c r="AN1362" s="610"/>
      <c r="AO1362" s="554">
        <f>I1362</f>
        <v>1100</v>
      </c>
      <c r="AP1362" s="554"/>
      <c r="AQ1362" s="554"/>
      <c r="AR1362" s="619"/>
      <c r="AS1362" s="554"/>
      <c r="AT1362" s="554">
        <f>I1362</f>
        <v>1100</v>
      </c>
      <c r="AU1362" s="554"/>
      <c r="AV1362" s="554">
        <f>I1362</f>
        <v>1100</v>
      </c>
      <c r="AW1362" s="619"/>
      <c r="AX1362" s="554"/>
      <c r="AY1362" s="554"/>
      <c r="AZ1362" s="554"/>
      <c r="BA1362" s="554"/>
      <c r="BB1362" s="620">
        <f>I1362/24</f>
        <v>45.8333333333333</v>
      </c>
      <c r="BC1362" s="714"/>
      <c r="BD1362" s="554"/>
      <c r="BE1362" s="554"/>
      <c r="BF1362" s="554"/>
      <c r="BH1362" s="554"/>
      <c r="BI1362" s="554"/>
      <c r="BJ1362" s="554"/>
      <c r="BK1362" s="554"/>
      <c r="BL1362" s="554"/>
      <c r="BM1362" s="554"/>
      <c r="BN1362" s="554"/>
      <c r="BO1362" s="554"/>
      <c r="BP1362" s="554">
        <f>I1362/25</f>
        <v>44</v>
      </c>
      <c r="BQ1362" s="554"/>
      <c r="BR1362" s="554"/>
      <c r="BS1362" s="554"/>
      <c r="BT1362" s="554"/>
      <c r="BU1362" s="554"/>
      <c r="BV1362" s="554"/>
      <c r="BW1362" s="554"/>
      <c r="BX1362" s="554"/>
      <c r="BY1362" s="619"/>
      <c r="BZ1362" s="554"/>
      <c r="CA1362" s="621"/>
      <c r="CB1362" s="567"/>
      <c r="CC1362" s="622"/>
      <c r="CD1362" s="619"/>
      <c r="CE1362" s="619"/>
      <c r="CF1362" s="554"/>
      <c r="CG1362" s="554"/>
      <c r="CI1362" s="554"/>
      <c r="CJ1362" s="554"/>
      <c r="CK1362" s="554"/>
      <c r="CL1362" s="554"/>
      <c r="CM1362" s="554"/>
      <c r="CN1362" s="554"/>
      <c r="CO1362" s="554"/>
      <c r="CP1362" s="554"/>
      <c r="CQ1362" s="554"/>
      <c r="CR1362" s="554"/>
      <c r="CS1362" s="554"/>
      <c r="CT1362" s="554"/>
      <c r="CU1362" s="554">
        <f t="shared" si="511"/>
        <v>44</v>
      </c>
      <c r="CV1362" s="554">
        <f t="shared" si="512"/>
        <v>0</v>
      </c>
      <c r="CW1362" s="554">
        <f t="shared" si="513"/>
        <v>0</v>
      </c>
      <c r="CX1362" s="619"/>
      <c r="CY1362" s="619"/>
      <c r="CZ1362" s="619"/>
      <c r="DA1362" s="548"/>
      <c r="DB1362" s="548"/>
      <c r="DC1362" s="548"/>
      <c r="DD1362" s="619"/>
      <c r="DE1362" s="619"/>
      <c r="DF1362" s="619"/>
      <c r="DG1362" s="619"/>
      <c r="DH1362" s="619"/>
    </row>
    <row r="1363" s="548" customFormat="1" ht="30" customHeight="1" spans="1:112">
      <c r="A1363" s="608">
        <v>46101</v>
      </c>
      <c r="B1363" s="609" t="s">
        <v>3715</v>
      </c>
      <c r="C1363" s="610" t="s">
        <v>98</v>
      </c>
      <c r="D1363" s="554">
        <v>4500197810</v>
      </c>
      <c r="E1363" s="610">
        <v>41201445</v>
      </c>
      <c r="F1363" s="554" t="s">
        <v>9326</v>
      </c>
      <c r="G1363" s="610" t="s">
        <v>6084</v>
      </c>
      <c r="H1363" s="610" t="s">
        <v>6085</v>
      </c>
      <c r="I1363" s="610">
        <v>2000</v>
      </c>
      <c r="J1363" s="610">
        <v>0</v>
      </c>
      <c r="K1363" s="610">
        <v>25</v>
      </c>
      <c r="L1363" s="611">
        <f t="shared" si="508"/>
        <v>80</v>
      </c>
      <c r="M1363" s="612">
        <v>46160</v>
      </c>
      <c r="N1363" s="612">
        <v>46156</v>
      </c>
      <c r="O1363" s="613"/>
      <c r="P1363" s="613" t="s">
        <v>113</v>
      </c>
      <c r="Q1363" s="610"/>
      <c r="R1363" s="614">
        <v>46119</v>
      </c>
      <c r="S1363" s="614" t="s">
        <v>104</v>
      </c>
      <c r="T1363" s="614">
        <v>46113</v>
      </c>
      <c r="U1363" s="614"/>
      <c r="V1363" s="614"/>
      <c r="W1363" s="615"/>
      <c r="X1363" s="609" t="s">
        <v>9223</v>
      </c>
      <c r="Y1363" s="609" t="s">
        <v>3717</v>
      </c>
      <c r="Z1363" s="722">
        <v>0.5914</v>
      </c>
      <c r="AA1363" s="616">
        <f t="shared" si="514"/>
        <v>1182.8</v>
      </c>
      <c r="AC1363" s="629" t="s">
        <v>3814</v>
      </c>
      <c r="AD1363" s="610" t="s">
        <v>6089</v>
      </c>
      <c r="AE1363" s="610" t="s">
        <v>82</v>
      </c>
      <c r="AF1363" s="610"/>
      <c r="AG1363" s="610"/>
      <c r="AH1363" s="609">
        <v>1</v>
      </c>
      <c r="AI1363" s="726">
        <v>2000</v>
      </c>
      <c r="AJ1363" s="610">
        <f t="shared" si="509"/>
        <v>0</v>
      </c>
      <c r="AK1363" s="610"/>
      <c r="AL1363" s="610" t="s">
        <v>2368</v>
      </c>
      <c r="AM1363" s="610"/>
      <c r="AN1363" s="610">
        <f>I1363</f>
        <v>2000</v>
      </c>
      <c r="AO1363" s="554"/>
      <c r="AP1363" s="554"/>
      <c r="AQ1363" s="554"/>
      <c r="AR1363" s="619"/>
      <c r="AS1363" s="554">
        <f>I1363</f>
        <v>2000</v>
      </c>
      <c r="AT1363" s="554"/>
      <c r="AU1363" s="554">
        <f>I1363</f>
        <v>2000</v>
      </c>
      <c r="AV1363" s="554"/>
      <c r="AW1363" s="619"/>
      <c r="AX1363" s="554"/>
      <c r="AY1363" s="554"/>
      <c r="AZ1363" s="554"/>
      <c r="BA1363" s="554"/>
      <c r="BB1363" s="620">
        <f t="shared" si="510"/>
        <v>83.3333333333333</v>
      </c>
      <c r="BC1363" s="714"/>
      <c r="BD1363" s="554"/>
      <c r="BE1363" s="554"/>
      <c r="BF1363" s="554"/>
      <c r="BH1363" s="554"/>
      <c r="BI1363" s="554"/>
      <c r="BJ1363" s="554"/>
      <c r="BK1363" s="554"/>
      <c r="BL1363" s="554"/>
      <c r="BM1363" s="554"/>
      <c r="BN1363" s="554"/>
      <c r="BO1363" s="554">
        <f>I1363/25</f>
        <v>80</v>
      </c>
      <c r="BP1363" s="554"/>
      <c r="BQ1363" s="554"/>
      <c r="BR1363" s="554"/>
      <c r="BS1363" s="554"/>
      <c r="BT1363" s="554"/>
      <c r="BU1363" s="554"/>
      <c r="BV1363" s="554"/>
      <c r="BW1363" s="554"/>
      <c r="BX1363" s="554"/>
      <c r="BY1363" s="619"/>
      <c r="BZ1363" s="554"/>
      <c r="CA1363" s="621"/>
      <c r="CB1363" s="567"/>
      <c r="CC1363" s="622"/>
      <c r="CD1363" s="619"/>
      <c r="CE1363" s="619"/>
      <c r="CF1363" s="554"/>
      <c r="CG1363" s="554"/>
      <c r="CI1363" s="554"/>
      <c r="CJ1363" s="554"/>
      <c r="CK1363" s="554"/>
      <c r="CL1363" s="554"/>
      <c r="CM1363" s="554"/>
      <c r="CN1363" s="554"/>
      <c r="CO1363" s="554"/>
      <c r="CP1363" s="554"/>
      <c r="CQ1363" s="554"/>
      <c r="CR1363" s="554"/>
      <c r="CS1363" s="554"/>
      <c r="CT1363" s="554"/>
      <c r="CU1363" s="554">
        <f t="shared" si="511"/>
        <v>80</v>
      </c>
      <c r="CV1363" s="554">
        <f t="shared" si="512"/>
        <v>0</v>
      </c>
      <c r="CW1363" s="554">
        <f t="shared" si="513"/>
        <v>0</v>
      </c>
      <c r="CX1363" s="619"/>
      <c r="CY1363" s="619"/>
      <c r="CZ1363" s="619"/>
      <c r="DA1363" s="548"/>
      <c r="DB1363" s="548"/>
      <c r="DC1363" s="548"/>
      <c r="DD1363" s="619"/>
      <c r="DE1363" s="619"/>
      <c r="DF1363" s="619"/>
      <c r="DG1363" s="619"/>
      <c r="DH1363" s="619"/>
    </row>
    <row r="1364" s="548" customFormat="1" ht="30" customHeight="1" spans="1:112">
      <c r="A1364" s="608">
        <v>46100</v>
      </c>
      <c r="B1364" s="609" t="s">
        <v>3815</v>
      </c>
      <c r="C1364" s="610" t="s">
        <v>98</v>
      </c>
      <c r="D1364" s="554">
        <v>4500197570</v>
      </c>
      <c r="E1364" s="610" t="s">
        <v>9327</v>
      </c>
      <c r="F1364" s="554" t="s">
        <v>9328</v>
      </c>
      <c r="G1364" s="610" t="s">
        <v>6787</v>
      </c>
      <c r="H1364" s="610" t="s">
        <v>6126</v>
      </c>
      <c r="I1364" s="610">
        <v>2688</v>
      </c>
      <c r="J1364" s="610">
        <v>0</v>
      </c>
      <c r="K1364" s="610">
        <v>12</v>
      </c>
      <c r="L1364" s="611">
        <f t="shared" si="508"/>
        <v>224</v>
      </c>
      <c r="M1364" s="612">
        <v>46160</v>
      </c>
      <c r="N1364" s="612">
        <v>46156</v>
      </c>
      <c r="O1364" s="613"/>
      <c r="P1364" s="613" t="s">
        <v>113</v>
      </c>
      <c r="Q1364" s="610"/>
      <c r="R1364" s="614">
        <v>46100</v>
      </c>
      <c r="S1364" s="614" t="s">
        <v>104</v>
      </c>
      <c r="T1364" s="614" t="s">
        <v>9302</v>
      </c>
      <c r="U1364" s="614"/>
      <c r="V1364" s="614"/>
      <c r="W1364" s="615"/>
      <c r="X1364" s="609" t="s">
        <v>8850</v>
      </c>
      <c r="Y1364" s="609" t="s">
        <v>3820</v>
      </c>
      <c r="Z1364" s="722">
        <v>1.3318</v>
      </c>
      <c r="AA1364" s="616">
        <f t="shared" si="514"/>
        <v>3579.8784</v>
      </c>
      <c r="AC1364" s="629" t="s">
        <v>3821</v>
      </c>
      <c r="AD1364" s="610" t="s">
        <v>8079</v>
      </c>
      <c r="AE1364" s="610" t="s">
        <v>82</v>
      </c>
      <c r="AF1364" s="610"/>
      <c r="AG1364" s="610"/>
      <c r="AH1364" s="609">
        <v>1</v>
      </c>
      <c r="AI1364" s="726">
        <v>2688</v>
      </c>
      <c r="AJ1364" s="610">
        <f t="shared" si="509"/>
        <v>0</v>
      </c>
      <c r="AK1364" s="610"/>
      <c r="AL1364" s="610" t="s">
        <v>2368</v>
      </c>
      <c r="AM1364" s="610"/>
      <c r="AN1364" s="610">
        <f>I1364*2</f>
        <v>5376</v>
      </c>
      <c r="AO1364" s="554"/>
      <c r="AP1364" s="554"/>
      <c r="AQ1364" s="554">
        <f>I1364*2</f>
        <v>5376</v>
      </c>
      <c r="AR1364" s="554"/>
      <c r="AS1364" s="554"/>
      <c r="AT1364" s="554"/>
      <c r="AU1364" s="554">
        <f>I1364*2</f>
        <v>5376</v>
      </c>
      <c r="AV1364" s="554"/>
      <c r="AW1364" s="619"/>
      <c r="AX1364" s="554"/>
      <c r="AY1364" s="554"/>
      <c r="AZ1364" s="554"/>
      <c r="BA1364" s="554"/>
      <c r="BB1364" s="249">
        <f>I1364/24*2</f>
        <v>224</v>
      </c>
      <c r="BC1364" s="714"/>
      <c r="BD1364" s="554"/>
      <c r="BE1364" s="554"/>
      <c r="BF1364" s="554"/>
      <c r="BH1364" s="554"/>
      <c r="BI1364" s="554"/>
      <c r="BJ1364" s="554"/>
      <c r="BK1364" s="554"/>
      <c r="BL1364" s="554"/>
      <c r="BM1364" s="554"/>
      <c r="BN1364" s="554"/>
      <c r="BO1364" s="554"/>
      <c r="BP1364" s="554"/>
      <c r="BQ1364" s="554"/>
      <c r="BR1364" s="554"/>
      <c r="BS1364" s="554"/>
      <c r="BT1364" s="554"/>
      <c r="BU1364" s="554"/>
      <c r="BV1364" s="554"/>
      <c r="BW1364" s="554"/>
      <c r="BX1364" s="554"/>
      <c r="BY1364" s="619"/>
      <c r="BZ1364" s="554"/>
      <c r="CA1364" s="621"/>
      <c r="CB1364" s="567"/>
      <c r="CC1364" s="622"/>
      <c r="CD1364" s="619"/>
      <c r="CE1364" s="619"/>
      <c r="CF1364" s="554"/>
      <c r="CG1364" s="554"/>
      <c r="CI1364" s="554"/>
      <c r="CJ1364" s="554"/>
      <c r="CK1364" s="554"/>
      <c r="CL1364" s="554"/>
      <c r="CM1364" s="554"/>
      <c r="CN1364" s="554"/>
      <c r="CO1364" s="554"/>
      <c r="CP1364" s="554"/>
      <c r="CQ1364" s="554"/>
      <c r="CR1364" s="554">
        <f>I1364</f>
        <v>2688</v>
      </c>
      <c r="CS1364" s="554">
        <f>I1364</f>
        <v>2688</v>
      </c>
      <c r="CT1364" s="554">
        <f>I1364</f>
        <v>2688</v>
      </c>
      <c r="CU1364" s="554">
        <f t="shared" si="511"/>
        <v>0</v>
      </c>
      <c r="CV1364" s="554">
        <v>0</v>
      </c>
      <c r="CW1364" s="554">
        <v>0</v>
      </c>
      <c r="CX1364" s="619"/>
      <c r="CY1364" s="619"/>
      <c r="CZ1364" s="619"/>
      <c r="DA1364" s="548"/>
      <c r="DB1364" s="548"/>
      <c r="DC1364" s="548"/>
      <c r="DD1364" s="619"/>
      <c r="DE1364" s="619"/>
      <c r="DF1364" s="619"/>
      <c r="DG1364" s="619"/>
      <c r="DH1364" s="619"/>
    </row>
    <row r="1365" s="548" customFormat="1" ht="30" customHeight="1" spans="1:112">
      <c r="A1365" s="608">
        <v>46119</v>
      </c>
      <c r="B1365" s="609" t="s">
        <v>3340</v>
      </c>
      <c r="C1365" s="610" t="s">
        <v>98</v>
      </c>
      <c r="D1365" s="727">
        <v>4500200296</v>
      </c>
      <c r="E1365" s="613">
        <v>130349</v>
      </c>
      <c r="F1365" s="554" t="s">
        <v>9329</v>
      </c>
      <c r="G1365" s="610" t="s">
        <v>6787</v>
      </c>
      <c r="H1365" s="610" t="s">
        <v>6126</v>
      </c>
      <c r="I1365" s="610">
        <v>3204</v>
      </c>
      <c r="J1365" s="610">
        <v>0</v>
      </c>
      <c r="K1365" s="610">
        <v>12</v>
      </c>
      <c r="L1365" s="611">
        <f t="shared" si="508"/>
        <v>267</v>
      </c>
      <c r="M1365" s="612">
        <v>46160</v>
      </c>
      <c r="N1365" s="612">
        <v>46156</v>
      </c>
      <c r="O1365" s="613"/>
      <c r="P1365" s="613" t="s">
        <v>113</v>
      </c>
      <c r="Q1365" s="610"/>
      <c r="R1365" s="614">
        <v>46119</v>
      </c>
      <c r="S1365" s="614" t="s">
        <v>70</v>
      </c>
      <c r="T1365" s="614" t="s">
        <v>3862</v>
      </c>
      <c r="U1365" s="614"/>
      <c r="V1365" s="614"/>
      <c r="W1365" s="615"/>
      <c r="X1365" s="609" t="s">
        <v>9330</v>
      </c>
      <c r="Y1365" s="609" t="s">
        <v>3864</v>
      </c>
      <c r="Z1365" s="722">
        <v>1.3482</v>
      </c>
      <c r="AA1365" s="616">
        <f t="shared" si="514"/>
        <v>4319.6328</v>
      </c>
      <c r="AC1365" s="629" t="s">
        <v>3865</v>
      </c>
      <c r="AD1365" s="609" t="s">
        <v>8079</v>
      </c>
      <c r="AE1365" s="610" t="s">
        <v>82</v>
      </c>
      <c r="AF1365" s="610"/>
      <c r="AG1365" s="610"/>
      <c r="AH1365" s="609">
        <v>1</v>
      </c>
      <c r="AI1365" s="726">
        <v>3204</v>
      </c>
      <c r="AJ1365" s="610">
        <f t="shared" si="509"/>
        <v>0</v>
      </c>
      <c r="AK1365" s="610"/>
      <c r="AL1365" s="610" t="s">
        <v>2368</v>
      </c>
      <c r="AM1365" s="610"/>
      <c r="AN1365" s="610">
        <f>I1365*2</f>
        <v>6408</v>
      </c>
      <c r="AO1365" s="554"/>
      <c r="AP1365" s="554"/>
      <c r="AQ1365" s="554">
        <f>I1365*2</f>
        <v>6408</v>
      </c>
      <c r="AR1365" s="619"/>
      <c r="AS1365" s="554"/>
      <c r="AT1365" s="554"/>
      <c r="AU1365" s="554">
        <f>I1365*2</f>
        <v>6408</v>
      </c>
      <c r="AV1365" s="554"/>
      <c r="AW1365" s="619"/>
      <c r="AX1365" s="554"/>
      <c r="AY1365" s="554"/>
      <c r="AZ1365" s="554"/>
      <c r="BA1365" s="554"/>
      <c r="BB1365" s="249">
        <f>I1365/24*2</f>
        <v>267</v>
      </c>
      <c r="BC1365" s="714"/>
      <c r="BD1365" s="554"/>
      <c r="BE1365" s="554"/>
      <c r="BF1365" s="554"/>
      <c r="BH1365" s="554"/>
      <c r="BI1365" s="554"/>
      <c r="BJ1365" s="554"/>
      <c r="BK1365" s="554"/>
      <c r="BL1365" s="554"/>
      <c r="BM1365" s="554"/>
      <c r="BN1365" s="554"/>
      <c r="BO1365" s="554"/>
      <c r="BP1365" s="554"/>
      <c r="BQ1365" s="554"/>
      <c r="BR1365" s="554"/>
      <c r="BS1365" s="554"/>
      <c r="BT1365" s="554"/>
      <c r="BU1365" s="554"/>
      <c r="BV1365" s="554"/>
      <c r="BW1365" s="554"/>
      <c r="BX1365" s="554"/>
      <c r="BY1365" s="619"/>
      <c r="BZ1365" s="554"/>
      <c r="CA1365" s="621"/>
      <c r="CB1365" s="567"/>
      <c r="CC1365" s="622"/>
      <c r="CD1365" s="619"/>
      <c r="CE1365" s="619"/>
      <c r="CF1365" s="554"/>
      <c r="CG1365" s="554"/>
      <c r="CI1365" s="554"/>
      <c r="CJ1365" s="554"/>
      <c r="CK1365" s="554"/>
      <c r="CL1365" s="554"/>
      <c r="CM1365" s="554"/>
      <c r="CN1365" s="554"/>
      <c r="CO1365" s="554"/>
      <c r="CP1365" s="554"/>
      <c r="CQ1365" s="554"/>
      <c r="CR1365" s="554">
        <f>I1365</f>
        <v>3204</v>
      </c>
      <c r="CS1365" s="554">
        <f>I1365</f>
        <v>3204</v>
      </c>
      <c r="CT1365" s="554">
        <f>I1365</f>
        <v>3204</v>
      </c>
      <c r="CU1365" s="554">
        <f t="shared" si="511"/>
        <v>0</v>
      </c>
      <c r="CV1365" s="554">
        <v>0</v>
      </c>
      <c r="CW1365" s="554">
        <v>0</v>
      </c>
      <c r="CX1365" s="619"/>
      <c r="CY1365" s="619"/>
      <c r="CZ1365" s="619"/>
      <c r="DA1365" s="548"/>
      <c r="DB1365" s="548"/>
      <c r="DC1365" s="548"/>
      <c r="DD1365" s="619"/>
      <c r="DE1365" s="619"/>
      <c r="DF1365" s="619"/>
      <c r="DG1365" s="619"/>
      <c r="DH1365" s="619"/>
    </row>
    <row r="1366" s="548" customFormat="1" ht="30" customHeight="1" spans="1:112">
      <c r="A1366" s="608">
        <v>46119</v>
      </c>
      <c r="B1366" s="609" t="s">
        <v>3340</v>
      </c>
      <c r="C1366" s="610" t="s">
        <v>98</v>
      </c>
      <c r="D1366" s="727">
        <v>4500200297</v>
      </c>
      <c r="E1366" s="613">
        <v>130360</v>
      </c>
      <c r="F1366" s="554" t="s">
        <v>9331</v>
      </c>
      <c r="G1366" s="610" t="s">
        <v>6787</v>
      </c>
      <c r="H1366" s="610" t="s">
        <v>6126</v>
      </c>
      <c r="I1366" s="610">
        <v>3600</v>
      </c>
      <c r="J1366" s="610">
        <v>0</v>
      </c>
      <c r="K1366" s="610">
        <v>12</v>
      </c>
      <c r="L1366" s="611">
        <f t="shared" si="508"/>
        <v>300</v>
      </c>
      <c r="M1366" s="612">
        <v>46160</v>
      </c>
      <c r="N1366" s="612">
        <v>46156</v>
      </c>
      <c r="O1366" s="613"/>
      <c r="P1366" s="613" t="s">
        <v>113</v>
      </c>
      <c r="Q1366" s="610"/>
      <c r="R1366" s="614">
        <v>46119</v>
      </c>
      <c r="S1366" s="614" t="s">
        <v>70</v>
      </c>
      <c r="T1366" s="614" t="s">
        <v>3862</v>
      </c>
      <c r="U1366" s="614"/>
      <c r="V1366" s="614"/>
      <c r="W1366" s="615"/>
      <c r="X1366" s="609" t="s">
        <v>9332</v>
      </c>
      <c r="Y1366" s="609" t="s">
        <v>3864</v>
      </c>
      <c r="Z1366" s="722">
        <v>1.3253</v>
      </c>
      <c r="AA1366" s="616">
        <f t="shared" si="514"/>
        <v>4771.08</v>
      </c>
      <c r="AC1366" s="629" t="s">
        <v>3870</v>
      </c>
      <c r="AD1366" s="609" t="s">
        <v>8079</v>
      </c>
      <c r="AE1366" s="610" t="s">
        <v>82</v>
      </c>
      <c r="AF1366" s="610"/>
      <c r="AG1366" s="610"/>
      <c r="AH1366" s="609">
        <v>1</v>
      </c>
      <c r="AI1366" s="726">
        <v>3600</v>
      </c>
      <c r="AJ1366" s="610">
        <f t="shared" si="509"/>
        <v>0</v>
      </c>
      <c r="AK1366" s="610"/>
      <c r="AL1366" s="610" t="s">
        <v>2368</v>
      </c>
      <c r="AM1366" s="610"/>
      <c r="AN1366" s="610">
        <f>I1366*2</f>
        <v>7200</v>
      </c>
      <c r="AO1366" s="554"/>
      <c r="AP1366" s="554"/>
      <c r="AQ1366" s="554">
        <f>I1366*2</f>
        <v>7200</v>
      </c>
      <c r="AR1366" s="619"/>
      <c r="AS1366" s="554"/>
      <c r="AT1366" s="554"/>
      <c r="AU1366" s="554">
        <f>I1366*2</f>
        <v>7200</v>
      </c>
      <c r="AV1366" s="554"/>
      <c r="AW1366" s="619"/>
      <c r="AX1366" s="554"/>
      <c r="AY1366" s="554"/>
      <c r="AZ1366" s="554"/>
      <c r="BA1366" s="554"/>
      <c r="BB1366" s="249">
        <f>I1366/24*2</f>
        <v>300</v>
      </c>
      <c r="BC1366" s="714"/>
      <c r="BD1366" s="554"/>
      <c r="BE1366" s="554"/>
      <c r="BF1366" s="554"/>
      <c r="BH1366" s="554"/>
      <c r="BI1366" s="554"/>
      <c r="BJ1366" s="554"/>
      <c r="BK1366" s="554"/>
      <c r="BL1366" s="554"/>
      <c r="BM1366" s="554"/>
      <c r="BN1366" s="554"/>
      <c r="BO1366" s="554"/>
      <c r="BP1366" s="554"/>
      <c r="BQ1366" s="554"/>
      <c r="BR1366" s="554"/>
      <c r="BS1366" s="554"/>
      <c r="BT1366" s="554"/>
      <c r="BU1366" s="554"/>
      <c r="BV1366" s="554"/>
      <c r="BW1366" s="554"/>
      <c r="BX1366" s="554"/>
      <c r="BY1366" s="619"/>
      <c r="BZ1366" s="554"/>
      <c r="CA1366" s="621"/>
      <c r="CB1366" s="567"/>
      <c r="CC1366" s="622"/>
      <c r="CD1366" s="619"/>
      <c r="CE1366" s="619"/>
      <c r="CF1366" s="554"/>
      <c r="CG1366" s="554"/>
      <c r="CI1366" s="554"/>
      <c r="CJ1366" s="554"/>
      <c r="CK1366" s="554"/>
      <c r="CL1366" s="554"/>
      <c r="CM1366" s="554"/>
      <c r="CN1366" s="554"/>
      <c r="CO1366" s="554"/>
      <c r="CP1366" s="554"/>
      <c r="CQ1366" s="554"/>
      <c r="CR1366" s="554">
        <f>I1366</f>
        <v>3600</v>
      </c>
      <c r="CS1366" s="554">
        <f>I1366</f>
        <v>3600</v>
      </c>
      <c r="CT1366" s="554">
        <f>I1366</f>
        <v>3600</v>
      </c>
      <c r="CU1366" s="554">
        <f t="shared" si="511"/>
        <v>0</v>
      </c>
      <c r="CV1366" s="554">
        <v>0</v>
      </c>
      <c r="CW1366" s="554">
        <v>0</v>
      </c>
      <c r="CX1366" s="619"/>
      <c r="CY1366" s="619"/>
      <c r="CZ1366" s="619"/>
      <c r="DA1366" s="548"/>
      <c r="DB1366" s="548"/>
      <c r="DC1366" s="548"/>
      <c r="DD1366" s="619"/>
      <c r="DE1366" s="619"/>
      <c r="DF1366" s="619"/>
      <c r="DG1366" s="619"/>
      <c r="DH1366" s="619"/>
    </row>
    <row r="1367" s="548" customFormat="1" ht="31" customHeight="1" spans="1:112">
      <c r="A1367" s="608">
        <v>46106</v>
      </c>
      <c r="B1367" s="609" t="s">
        <v>1800</v>
      </c>
      <c r="C1367" s="610" t="s">
        <v>744</v>
      </c>
      <c r="D1367" s="554">
        <v>4500198503</v>
      </c>
      <c r="E1367" s="610">
        <v>5000002156</v>
      </c>
      <c r="F1367" s="554" t="s">
        <v>9333</v>
      </c>
      <c r="G1367" s="610" t="s">
        <v>6093</v>
      </c>
      <c r="H1367" s="713" t="s">
        <v>7359</v>
      </c>
      <c r="I1367" s="610">
        <v>34320</v>
      </c>
      <c r="J1367" s="610">
        <v>0</v>
      </c>
      <c r="K1367" s="610">
        <v>13</v>
      </c>
      <c r="L1367" s="611">
        <f t="shared" si="508"/>
        <v>2640</v>
      </c>
      <c r="M1367" s="612">
        <v>46161</v>
      </c>
      <c r="N1367" s="612">
        <v>46157</v>
      </c>
      <c r="O1367" s="613"/>
      <c r="P1367" s="613" t="s">
        <v>9334</v>
      </c>
      <c r="Q1367" s="610"/>
      <c r="R1367" s="614" t="s">
        <v>3299</v>
      </c>
      <c r="S1367" s="614" t="s">
        <v>104</v>
      </c>
      <c r="T1367" s="614" t="s">
        <v>8723</v>
      </c>
      <c r="U1367" s="614"/>
      <c r="V1367" s="614"/>
      <c r="W1367" s="615"/>
      <c r="X1367" s="609" t="s">
        <v>9270</v>
      </c>
      <c r="Y1367" s="609" t="s">
        <v>1805</v>
      </c>
      <c r="Z1367" s="722">
        <v>0.8677</v>
      </c>
      <c r="AA1367" s="616">
        <f t="shared" si="514"/>
        <v>29779.464</v>
      </c>
      <c r="AC1367" s="617"/>
      <c r="AD1367" s="610" t="s">
        <v>8338</v>
      </c>
      <c r="AE1367" s="610" t="s">
        <v>82</v>
      </c>
      <c r="AF1367" s="610"/>
      <c r="AG1367" s="610"/>
      <c r="AH1367" s="609">
        <v>1</v>
      </c>
      <c r="AI1367" s="725">
        <v>34320</v>
      </c>
      <c r="AJ1367" s="610">
        <f t="shared" si="509"/>
        <v>0</v>
      </c>
      <c r="AK1367" s="640">
        <v>46154</v>
      </c>
      <c r="AL1367" s="610" t="s">
        <v>2368</v>
      </c>
      <c r="AM1367" s="610"/>
      <c r="AN1367" s="610"/>
      <c r="AO1367" s="554">
        <f>I1367</f>
        <v>34320</v>
      </c>
      <c r="AP1367" s="554"/>
      <c r="AQ1367" s="554"/>
      <c r="AR1367" s="619"/>
      <c r="AS1367" s="554"/>
      <c r="AT1367" s="554"/>
      <c r="AU1367" s="554"/>
      <c r="AV1367" s="554"/>
      <c r="AW1367" s="650">
        <f>I1367</f>
        <v>34320</v>
      </c>
      <c r="AX1367" s="554">
        <f>I1367</f>
        <v>34320</v>
      </c>
      <c r="AY1367" s="554"/>
      <c r="AZ1367" s="554"/>
      <c r="BA1367" s="714">
        <f>I1367/24*2</f>
        <v>2860</v>
      </c>
      <c r="BB1367" s="620"/>
      <c r="BC1367" s="714"/>
      <c r="BD1367" s="554"/>
      <c r="BE1367" s="554"/>
      <c r="BF1367" s="554"/>
      <c r="BH1367" s="554"/>
      <c r="BI1367" s="554"/>
      <c r="BJ1367" s="554"/>
      <c r="BK1367" s="554"/>
      <c r="BL1367" s="554"/>
      <c r="BM1367" s="554">
        <f>I1367/13</f>
        <v>2640</v>
      </c>
      <c r="BN1367" s="554"/>
      <c r="BO1367" s="554"/>
      <c r="BP1367" s="554"/>
      <c r="BQ1367" s="554"/>
      <c r="BR1367" s="554"/>
      <c r="BS1367" s="554"/>
      <c r="BT1367" s="554"/>
      <c r="BU1367" s="554"/>
      <c r="BV1367" s="554"/>
      <c r="BW1367" s="554"/>
      <c r="BX1367" s="554"/>
      <c r="BY1367" s="619"/>
      <c r="BZ1367" s="554"/>
      <c r="CA1367" s="621"/>
      <c r="CB1367" s="567"/>
      <c r="CC1367" s="622"/>
      <c r="CD1367" s="619"/>
      <c r="CE1367" s="619"/>
      <c r="CF1367" s="554"/>
      <c r="CG1367" s="554"/>
      <c r="CI1367" s="554"/>
      <c r="CJ1367" s="554"/>
      <c r="CK1367" s="554"/>
      <c r="CL1367" s="554"/>
      <c r="CM1367" s="554"/>
      <c r="CN1367" s="554"/>
      <c r="CO1367" s="554"/>
      <c r="CP1367" s="554"/>
      <c r="CQ1367" s="554"/>
      <c r="CR1367" s="554"/>
      <c r="CS1367" s="554"/>
      <c r="CT1367" s="554"/>
      <c r="CU1367" s="554">
        <f t="shared" si="511"/>
        <v>0</v>
      </c>
      <c r="CV1367" s="554">
        <f>CK1367+CL1367+CM1367+CN1367+CO1367+CQ1367+CP1367</f>
        <v>0</v>
      </c>
      <c r="CW1367" s="554">
        <f>CI1367+CJ1367</f>
        <v>0</v>
      </c>
      <c r="CX1367" s="619"/>
      <c r="CY1367" s="619"/>
      <c r="CZ1367" s="619"/>
      <c r="DA1367" s="548"/>
      <c r="DB1367" s="548"/>
      <c r="DC1367" s="548"/>
      <c r="DD1367" s="619"/>
      <c r="DE1367" s="619"/>
      <c r="DF1367" s="619"/>
      <c r="DG1367" s="619"/>
      <c r="DH1367" s="619"/>
    </row>
    <row r="1368" s="548" customFormat="1" ht="31" customHeight="1" spans="1:112">
      <c r="A1368" s="608">
        <v>46106</v>
      </c>
      <c r="B1368" s="609" t="s">
        <v>1800</v>
      </c>
      <c r="C1368" s="713" t="s">
        <v>744</v>
      </c>
      <c r="D1368" s="554">
        <v>4500198503</v>
      </c>
      <c r="E1368" s="610">
        <v>5000002156</v>
      </c>
      <c r="F1368" s="554" t="s">
        <v>3839</v>
      </c>
      <c r="G1368" s="610" t="s">
        <v>6337</v>
      </c>
      <c r="H1368" s="610" t="s">
        <v>477</v>
      </c>
      <c r="I1368" s="610">
        <v>10002</v>
      </c>
      <c r="J1368" s="610">
        <v>0</v>
      </c>
      <c r="K1368" s="610">
        <v>6</v>
      </c>
      <c r="L1368" s="611">
        <f t="shared" si="508"/>
        <v>1667</v>
      </c>
      <c r="M1368" s="612">
        <v>46161</v>
      </c>
      <c r="N1368" s="612">
        <v>46157</v>
      </c>
      <c r="O1368" s="613"/>
      <c r="P1368" s="613" t="s">
        <v>9334</v>
      </c>
      <c r="Q1368" s="610"/>
      <c r="R1368" s="614" t="s">
        <v>3299</v>
      </c>
      <c r="S1368" s="614" t="s">
        <v>104</v>
      </c>
      <c r="T1368" s="614" t="s">
        <v>2239</v>
      </c>
      <c r="U1368" s="614"/>
      <c r="V1368" s="614"/>
      <c r="W1368" s="615"/>
      <c r="X1368" s="609" t="s">
        <v>3762</v>
      </c>
      <c r="Y1368" s="716" t="s">
        <v>1805</v>
      </c>
      <c r="Z1368" s="722">
        <v>6.3788</v>
      </c>
      <c r="AA1368" s="616">
        <f t="shared" si="514"/>
        <v>63800.7576</v>
      </c>
      <c r="AC1368" s="617"/>
      <c r="AD1368" s="610" t="s">
        <v>2241</v>
      </c>
      <c r="AE1368" s="610" t="s">
        <v>82</v>
      </c>
      <c r="AF1368" s="610"/>
      <c r="AG1368" s="610"/>
      <c r="AH1368" s="609">
        <v>1</v>
      </c>
      <c r="AI1368" s="725">
        <v>10002</v>
      </c>
      <c r="AJ1368" s="610">
        <f t="shared" si="509"/>
        <v>0</v>
      </c>
      <c r="AK1368" s="610"/>
      <c r="AL1368" s="610" t="s">
        <v>2368</v>
      </c>
      <c r="AM1368" s="610"/>
      <c r="AN1368" s="610"/>
      <c r="AO1368" s="554">
        <f>I1368*2</f>
        <v>20004</v>
      </c>
      <c r="AP1368" s="554"/>
      <c r="AQ1368" s="554"/>
      <c r="AR1368" s="619"/>
      <c r="AS1368" s="554"/>
      <c r="AT1368" s="554">
        <f>I1368*2</f>
        <v>20004</v>
      </c>
      <c r="AU1368" s="554"/>
      <c r="AV1368" s="554"/>
      <c r="AW1368" s="554"/>
      <c r="AX1368" s="663">
        <f>I1368*2</f>
        <v>20004</v>
      </c>
      <c r="AY1368" s="554"/>
      <c r="AZ1368" s="554"/>
      <c r="BA1368" s="671">
        <f>I1368/24*2</f>
        <v>833.5</v>
      </c>
      <c r="BB1368" s="620"/>
      <c r="BC1368" s="714"/>
      <c r="BD1368" s="554"/>
      <c r="BE1368" s="554"/>
      <c r="BF1368" s="554"/>
      <c r="BH1368" s="554"/>
      <c r="BI1368" s="554"/>
      <c r="BJ1368" s="554"/>
      <c r="BK1368" s="554"/>
      <c r="BL1368" s="554"/>
      <c r="BM1368" s="554"/>
      <c r="BN1368" s="554"/>
      <c r="BO1368" s="554"/>
      <c r="BP1368" s="554"/>
      <c r="BQ1368" s="554"/>
      <c r="BR1368" s="554"/>
      <c r="BS1368" s="554"/>
      <c r="BT1368" s="554"/>
      <c r="BU1368" s="554"/>
      <c r="BV1368" s="554"/>
      <c r="BW1368" s="554"/>
      <c r="BX1368" s="554"/>
      <c r="BY1368" s="619"/>
      <c r="BZ1368" s="554">
        <f>I1368</f>
        <v>10002</v>
      </c>
      <c r="CA1368" s="621"/>
      <c r="CB1368" s="567"/>
      <c r="CC1368" s="622"/>
      <c r="CD1368" s="619"/>
      <c r="CE1368" s="619"/>
      <c r="CF1368" s="554"/>
      <c r="CG1368" s="554"/>
      <c r="CI1368" s="554"/>
      <c r="CJ1368" s="554"/>
      <c r="CK1368" s="554"/>
      <c r="CL1368" s="554"/>
      <c r="CM1368" s="554"/>
      <c r="CN1368" s="554"/>
      <c r="CO1368" s="554"/>
      <c r="CP1368" s="554"/>
      <c r="CQ1368" s="554"/>
      <c r="CR1368" s="554"/>
      <c r="CS1368" s="554"/>
      <c r="CT1368" s="554"/>
      <c r="CU1368" s="554">
        <f t="shared" si="511"/>
        <v>0</v>
      </c>
      <c r="CV1368" s="554">
        <v>0</v>
      </c>
      <c r="CW1368" s="554">
        <v>0</v>
      </c>
      <c r="CX1368" s="619"/>
      <c r="CY1368" s="619"/>
      <c r="CZ1368" s="619"/>
      <c r="DA1368" s="548"/>
      <c r="DB1368" s="548"/>
      <c r="DC1368" s="548"/>
      <c r="DD1368" s="619"/>
      <c r="DE1368" s="619"/>
      <c r="DF1368" s="619"/>
      <c r="DG1368" s="619"/>
      <c r="DH1368" s="619"/>
    </row>
    <row r="1369" s="548" customFormat="1" ht="31" customHeight="1" spans="1:112">
      <c r="A1369" s="608">
        <v>46108</v>
      </c>
      <c r="B1369" s="609" t="s">
        <v>9335</v>
      </c>
      <c r="C1369" s="610" t="s">
        <v>302</v>
      </c>
      <c r="D1369" s="554">
        <v>4500198533</v>
      </c>
      <c r="E1369" s="610" t="s">
        <v>9336</v>
      </c>
      <c r="F1369" s="554" t="s">
        <v>9337</v>
      </c>
      <c r="G1369" s="610" t="s">
        <v>6040</v>
      </c>
      <c r="H1369" s="610" t="s">
        <v>6041</v>
      </c>
      <c r="I1369" s="610">
        <v>260</v>
      </c>
      <c r="J1369" s="610">
        <v>0</v>
      </c>
      <c r="K1369" s="610">
        <v>52</v>
      </c>
      <c r="L1369" s="611">
        <f t="shared" si="508"/>
        <v>5</v>
      </c>
      <c r="M1369" s="612">
        <v>46162</v>
      </c>
      <c r="N1369" s="612">
        <v>46158</v>
      </c>
      <c r="O1369" s="613"/>
      <c r="P1369" s="613" t="s">
        <v>113</v>
      </c>
      <c r="Q1369" s="610"/>
      <c r="R1369" s="614">
        <v>46108</v>
      </c>
      <c r="S1369" s="614" t="s">
        <v>70</v>
      </c>
      <c r="T1369" s="614" t="s">
        <v>9338</v>
      </c>
      <c r="U1369" s="614"/>
      <c r="V1369" s="614"/>
      <c r="W1369" s="615"/>
      <c r="X1369" s="609" t="s">
        <v>9339</v>
      </c>
      <c r="Y1369" s="609" t="s">
        <v>261</v>
      </c>
      <c r="Z1369" s="722">
        <v>0.9332</v>
      </c>
      <c r="AA1369" s="616">
        <f>I1369*Z1369</f>
        <v>242.632</v>
      </c>
      <c r="AC1369" s="617"/>
      <c r="AD1369" s="610" t="s">
        <v>6040</v>
      </c>
      <c r="AE1369" s="610" t="s">
        <v>82</v>
      </c>
      <c r="AF1369" s="610"/>
      <c r="AG1369" s="610"/>
      <c r="AH1369" s="609">
        <v>1</v>
      </c>
      <c r="AI1369" s="725">
        <v>260</v>
      </c>
      <c r="AJ1369" s="610">
        <f t="shared" si="509"/>
        <v>0</v>
      </c>
      <c r="AK1369" s="610"/>
      <c r="AL1369" s="610" t="s">
        <v>2368</v>
      </c>
      <c r="AM1369" s="610"/>
      <c r="AN1369" s="614"/>
      <c r="AO1369" s="554">
        <f>I1369</f>
        <v>260</v>
      </c>
      <c r="AP1369" s="554"/>
      <c r="AQ1369" s="554"/>
      <c r="AR1369" s="619"/>
      <c r="AS1369" s="554"/>
      <c r="AT1369" s="554">
        <f>I1369</f>
        <v>260</v>
      </c>
      <c r="AU1369" s="554"/>
      <c r="AV1369" s="554">
        <f>I1369</f>
        <v>260</v>
      </c>
      <c r="AW1369" s="619"/>
      <c r="AX1369" s="554"/>
      <c r="AY1369" s="554"/>
      <c r="AZ1369" s="554"/>
      <c r="BA1369" s="554"/>
      <c r="BB1369" s="620">
        <f>I1369/24</f>
        <v>10.8333333333333</v>
      </c>
      <c r="BC1369" s="554"/>
      <c r="BD1369" s="554"/>
      <c r="BE1369" s="554"/>
      <c r="BF1369" s="554"/>
      <c r="BH1369" s="554"/>
      <c r="BI1369" s="554"/>
      <c r="BJ1369" s="554"/>
      <c r="BK1369" s="554"/>
      <c r="BL1369" s="554"/>
      <c r="BM1369" s="554">
        <f>I1369/13</f>
        <v>20</v>
      </c>
      <c r="BN1369" s="554"/>
      <c r="BO1369" s="554"/>
      <c r="BP1369" s="554"/>
      <c r="BQ1369" s="554"/>
      <c r="BR1369" s="554"/>
      <c r="BS1369" s="554"/>
      <c r="BT1369" s="554"/>
      <c r="BU1369" s="554"/>
      <c r="BV1369" s="554"/>
      <c r="BW1369" s="554"/>
      <c r="BX1369" s="554"/>
      <c r="BY1369" s="554"/>
      <c r="BZ1369" s="554"/>
      <c r="CA1369" s="720"/>
      <c r="CB1369" s="567"/>
      <c r="CC1369" s="721"/>
      <c r="CD1369" s="554"/>
      <c r="CE1369" s="554"/>
      <c r="CF1369" s="554"/>
      <c r="CG1369" s="554"/>
      <c r="CI1369" s="554"/>
      <c r="CJ1369" s="554"/>
      <c r="CK1369" s="554"/>
      <c r="CL1369" s="554"/>
      <c r="CM1369" s="554"/>
      <c r="CN1369" s="554"/>
      <c r="CO1369" s="554"/>
      <c r="CP1369" s="619"/>
      <c r="CQ1369" s="619"/>
      <c r="CR1369" s="619"/>
      <c r="CS1369" s="619"/>
      <c r="CT1369" s="619"/>
      <c r="CU1369" s="554">
        <f t="shared" si="511"/>
        <v>0</v>
      </c>
      <c r="CV1369" s="554">
        <f>CK1369+CL1369+CM1369+CN1369+CO1369+CQ1369+CP1369</f>
        <v>0</v>
      </c>
      <c r="CW1369" s="554">
        <f>CI1369+CJ1369</f>
        <v>0</v>
      </c>
      <c r="CX1369" s="619"/>
      <c r="CY1369" s="619"/>
      <c r="CZ1369" s="619"/>
      <c r="DA1369" s="619"/>
      <c r="DB1369" s="619"/>
      <c r="DC1369" s="619"/>
      <c r="DD1369" s="619"/>
      <c r="DE1369" s="619"/>
      <c r="DF1369" s="619"/>
      <c r="DG1369" s="619"/>
      <c r="DH1369" s="619"/>
    </row>
    <row r="1370" s="548" customFormat="1" ht="30" customHeight="1" spans="1:112">
      <c r="A1370" s="608">
        <v>46115</v>
      </c>
      <c r="B1370" s="609" t="s">
        <v>1503</v>
      </c>
      <c r="C1370" s="610" t="s">
        <v>98</v>
      </c>
      <c r="D1370" s="727">
        <v>4500199988</v>
      </c>
      <c r="E1370" s="610" t="s">
        <v>9340</v>
      </c>
      <c r="F1370" s="554" t="s">
        <v>9341</v>
      </c>
      <c r="G1370" s="610" t="s">
        <v>6787</v>
      </c>
      <c r="H1370" s="610" t="s">
        <v>6126</v>
      </c>
      <c r="I1370" s="610">
        <v>2580</v>
      </c>
      <c r="J1370" s="610">
        <v>0</v>
      </c>
      <c r="K1370" s="610">
        <v>12</v>
      </c>
      <c r="L1370" s="611">
        <f t="shared" si="508"/>
        <v>215</v>
      </c>
      <c r="M1370" s="612">
        <v>46163</v>
      </c>
      <c r="N1370" s="612">
        <v>46160</v>
      </c>
      <c r="O1370" s="613"/>
      <c r="P1370" s="613" t="s">
        <v>113</v>
      </c>
      <c r="Q1370" s="610"/>
      <c r="R1370" s="614">
        <v>46115</v>
      </c>
      <c r="S1370" s="614" t="s">
        <v>104</v>
      </c>
      <c r="T1370" s="614" t="s">
        <v>9342</v>
      </c>
      <c r="U1370" s="614"/>
      <c r="V1370" s="614"/>
      <c r="W1370" s="615"/>
      <c r="X1370" s="609" t="s">
        <v>9303</v>
      </c>
      <c r="Y1370" s="609" t="s">
        <v>125</v>
      </c>
      <c r="Z1370" s="722">
        <v>1.3546</v>
      </c>
      <c r="AA1370" s="616">
        <f>Z1370*I1370</f>
        <v>3494.868</v>
      </c>
      <c r="AC1370" s="629" t="s">
        <v>9343</v>
      </c>
      <c r="AD1370" s="610" t="s">
        <v>8079</v>
      </c>
      <c r="AE1370" s="610" t="s">
        <v>82</v>
      </c>
      <c r="AF1370" s="610"/>
      <c r="AG1370" s="610"/>
      <c r="AH1370" s="609">
        <v>1</v>
      </c>
      <c r="AI1370" s="726">
        <v>2580</v>
      </c>
      <c r="AJ1370" s="610">
        <f t="shared" si="509"/>
        <v>0</v>
      </c>
      <c r="AK1370" s="610"/>
      <c r="AL1370" s="610" t="s">
        <v>2368</v>
      </c>
      <c r="AM1370" s="610"/>
      <c r="AN1370" s="610">
        <f>I1370*2</f>
        <v>5160</v>
      </c>
      <c r="AO1370" s="554"/>
      <c r="AP1370" s="554"/>
      <c r="AQ1370" s="554">
        <f>I1370*2</f>
        <v>5160</v>
      </c>
      <c r="AR1370" s="554"/>
      <c r="AS1370" s="554"/>
      <c r="AT1370" s="554"/>
      <c r="AU1370" s="554">
        <f>I1370*2</f>
        <v>5160</v>
      </c>
      <c r="AV1370" s="554"/>
      <c r="AW1370" s="619"/>
      <c r="AX1370" s="554"/>
      <c r="AY1370" s="554"/>
      <c r="AZ1370" s="554"/>
      <c r="BA1370" s="554"/>
      <c r="BB1370" s="249">
        <f>I1370/24*2</f>
        <v>215</v>
      </c>
      <c r="BC1370" s="714"/>
      <c r="BD1370" s="554"/>
      <c r="BE1370" s="554"/>
      <c r="BF1370" s="554"/>
      <c r="BH1370" s="554"/>
      <c r="BI1370" s="554"/>
      <c r="BJ1370" s="554"/>
      <c r="BK1370" s="554"/>
      <c r="BL1370" s="554"/>
      <c r="BM1370" s="554"/>
      <c r="BN1370" s="554"/>
      <c r="BO1370" s="554"/>
      <c r="BP1370" s="554"/>
      <c r="BQ1370" s="554"/>
      <c r="BR1370" s="554"/>
      <c r="BS1370" s="554"/>
      <c r="BT1370" s="554"/>
      <c r="BU1370" s="554"/>
      <c r="BV1370" s="554"/>
      <c r="BW1370" s="554"/>
      <c r="BX1370" s="554"/>
      <c r="BY1370" s="619"/>
      <c r="BZ1370" s="554"/>
      <c r="CA1370" s="621"/>
      <c r="CB1370" s="567"/>
      <c r="CC1370" s="622"/>
      <c r="CD1370" s="619"/>
      <c r="CE1370" s="619"/>
      <c r="CF1370" s="554"/>
      <c r="CG1370" s="554"/>
      <c r="CI1370" s="554"/>
      <c r="CJ1370" s="554"/>
      <c r="CK1370" s="554"/>
      <c r="CL1370" s="554"/>
      <c r="CM1370" s="554"/>
      <c r="CN1370" s="554"/>
      <c r="CO1370" s="554"/>
      <c r="CP1370" s="554"/>
      <c r="CQ1370" s="554"/>
      <c r="CR1370" s="554">
        <f>I1370</f>
        <v>2580</v>
      </c>
      <c r="CS1370" s="554">
        <f>I1370</f>
        <v>2580</v>
      </c>
      <c r="CT1370" s="554">
        <f>I1370</f>
        <v>2580</v>
      </c>
      <c r="CU1370" s="554">
        <f t="shared" si="511"/>
        <v>0</v>
      </c>
      <c r="CV1370" s="554">
        <v>0</v>
      </c>
      <c r="CW1370" s="554">
        <v>0</v>
      </c>
      <c r="CX1370" s="619"/>
      <c r="CY1370" s="619"/>
      <c r="CZ1370" s="619"/>
      <c r="DA1370" s="548"/>
      <c r="DB1370" s="548"/>
      <c r="DC1370" s="548"/>
      <c r="DD1370" s="619"/>
      <c r="DE1370" s="619"/>
      <c r="DF1370" s="619"/>
      <c r="DG1370" s="619"/>
      <c r="DH1370" s="619"/>
    </row>
    <row r="1371" s="548" customFormat="1" ht="30" customHeight="1" spans="1:112">
      <c r="A1371" s="608">
        <v>46115</v>
      </c>
      <c r="B1371" s="609" t="s">
        <v>1503</v>
      </c>
      <c r="C1371" s="610" t="s">
        <v>98</v>
      </c>
      <c r="D1371" s="727">
        <v>4500200020</v>
      </c>
      <c r="E1371" s="610" t="s">
        <v>9344</v>
      </c>
      <c r="F1371" s="554" t="s">
        <v>9345</v>
      </c>
      <c r="G1371" s="610" t="s">
        <v>6787</v>
      </c>
      <c r="H1371" s="610" t="s">
        <v>6126</v>
      </c>
      <c r="I1371" s="610">
        <v>180</v>
      </c>
      <c r="J1371" s="610">
        <v>0</v>
      </c>
      <c r="K1371" s="610">
        <v>12</v>
      </c>
      <c r="L1371" s="611">
        <f t="shared" si="508"/>
        <v>15</v>
      </c>
      <c r="M1371" s="612">
        <v>46163</v>
      </c>
      <c r="N1371" s="612">
        <v>46160</v>
      </c>
      <c r="O1371" s="613"/>
      <c r="P1371" s="613" t="s">
        <v>113</v>
      </c>
      <c r="Q1371" s="610"/>
      <c r="R1371" s="614">
        <v>46115</v>
      </c>
      <c r="S1371" s="614" t="s">
        <v>104</v>
      </c>
      <c r="T1371" s="614" t="s">
        <v>9342</v>
      </c>
      <c r="U1371" s="614"/>
      <c r="V1371" s="614"/>
      <c r="W1371" s="615"/>
      <c r="X1371" s="609" t="s">
        <v>9303</v>
      </c>
      <c r="Y1371" s="609" t="s">
        <v>125</v>
      </c>
      <c r="Z1371" s="722">
        <v>1.3546</v>
      </c>
      <c r="AA1371" s="616">
        <f>Z1371*I1371</f>
        <v>243.828</v>
      </c>
      <c r="AC1371" s="629" t="s">
        <v>9346</v>
      </c>
      <c r="AD1371" s="610" t="s">
        <v>8079</v>
      </c>
      <c r="AE1371" s="610" t="s">
        <v>82</v>
      </c>
      <c r="AF1371" s="610"/>
      <c r="AG1371" s="610"/>
      <c r="AH1371" s="609">
        <v>1</v>
      </c>
      <c r="AI1371" s="726">
        <v>180</v>
      </c>
      <c r="AJ1371" s="610">
        <f t="shared" si="509"/>
        <v>0</v>
      </c>
      <c r="AK1371" s="610"/>
      <c r="AL1371" s="610"/>
      <c r="AM1371" s="610"/>
      <c r="AN1371" s="610">
        <f>I1371*2</f>
        <v>360</v>
      </c>
      <c r="AO1371" s="554"/>
      <c r="AP1371" s="554"/>
      <c r="AQ1371" s="554">
        <f>I1371*2</f>
        <v>360</v>
      </c>
      <c r="AR1371" s="554"/>
      <c r="AS1371" s="554"/>
      <c r="AT1371" s="554"/>
      <c r="AU1371" s="554">
        <f>I1371*2</f>
        <v>360</v>
      </c>
      <c r="AV1371" s="554"/>
      <c r="AW1371" s="619"/>
      <c r="AX1371" s="554"/>
      <c r="AY1371" s="554"/>
      <c r="AZ1371" s="554"/>
      <c r="BA1371" s="554"/>
      <c r="BB1371" s="249">
        <f>I1371/24*2</f>
        <v>15</v>
      </c>
      <c r="BC1371" s="714"/>
      <c r="BD1371" s="554"/>
      <c r="BE1371" s="554"/>
      <c r="BF1371" s="554"/>
      <c r="BH1371" s="554"/>
      <c r="BI1371" s="554"/>
      <c r="BJ1371" s="554"/>
      <c r="BK1371" s="554"/>
      <c r="BL1371" s="554"/>
      <c r="BM1371" s="554"/>
      <c r="BN1371" s="554"/>
      <c r="BO1371" s="554"/>
      <c r="BP1371" s="554"/>
      <c r="BQ1371" s="554"/>
      <c r="BR1371" s="554"/>
      <c r="BS1371" s="554"/>
      <c r="BT1371" s="554"/>
      <c r="BU1371" s="554"/>
      <c r="BV1371" s="554"/>
      <c r="BW1371" s="554"/>
      <c r="BX1371" s="554"/>
      <c r="BY1371" s="619"/>
      <c r="BZ1371" s="554"/>
      <c r="CA1371" s="621"/>
      <c r="CB1371" s="567"/>
      <c r="CC1371" s="622"/>
      <c r="CD1371" s="619"/>
      <c r="CE1371" s="619"/>
      <c r="CF1371" s="554"/>
      <c r="CG1371" s="554"/>
      <c r="CI1371" s="554"/>
      <c r="CJ1371" s="554"/>
      <c r="CK1371" s="554"/>
      <c r="CL1371" s="554"/>
      <c r="CM1371" s="554"/>
      <c r="CN1371" s="554"/>
      <c r="CO1371" s="554"/>
      <c r="CP1371" s="554"/>
      <c r="CQ1371" s="554"/>
      <c r="CR1371" s="554">
        <f>I1371</f>
        <v>180</v>
      </c>
      <c r="CS1371" s="554">
        <f>I1371</f>
        <v>180</v>
      </c>
      <c r="CT1371" s="554">
        <f>I1371</f>
        <v>180</v>
      </c>
      <c r="CU1371" s="554">
        <f t="shared" si="511"/>
        <v>0</v>
      </c>
      <c r="CV1371" s="554">
        <v>0</v>
      </c>
      <c r="CW1371" s="554">
        <v>0</v>
      </c>
      <c r="CX1371" s="619"/>
      <c r="CY1371" s="619"/>
      <c r="CZ1371" s="619"/>
      <c r="DA1371" s="548"/>
      <c r="DB1371" s="548"/>
      <c r="DC1371" s="548"/>
      <c r="DD1371" s="619"/>
      <c r="DE1371" s="619"/>
      <c r="DF1371" s="619"/>
      <c r="DG1371" s="619"/>
      <c r="DH1371" s="619"/>
    </row>
    <row r="1372" s="548" customFormat="1" ht="30" customHeight="1" spans="1:112">
      <c r="A1372" s="608">
        <v>46101</v>
      </c>
      <c r="B1372" s="609" t="s">
        <v>3729</v>
      </c>
      <c r="C1372" s="610" t="s">
        <v>278</v>
      </c>
      <c r="D1372" s="554">
        <v>4500197232</v>
      </c>
      <c r="E1372" s="610" t="s">
        <v>3879</v>
      </c>
      <c r="F1372" s="554" t="s">
        <v>9347</v>
      </c>
      <c r="G1372" s="610" t="s">
        <v>6365</v>
      </c>
      <c r="H1372" s="610" t="s">
        <v>6126</v>
      </c>
      <c r="I1372" s="610">
        <v>1800</v>
      </c>
      <c r="J1372" s="610">
        <v>0</v>
      </c>
      <c r="K1372" s="610">
        <v>12</v>
      </c>
      <c r="L1372" s="611">
        <f t="shared" si="508"/>
        <v>150</v>
      </c>
      <c r="M1372" s="724">
        <v>46205</v>
      </c>
      <c r="N1372" s="724">
        <v>46202</v>
      </c>
      <c r="O1372" s="613"/>
      <c r="P1372" s="613" t="s">
        <v>113</v>
      </c>
      <c r="Q1372" s="610"/>
      <c r="R1372" s="614" t="s">
        <v>463</v>
      </c>
      <c r="S1372" s="614" t="s">
        <v>104</v>
      </c>
      <c r="T1372" s="614" t="s">
        <v>9256</v>
      </c>
      <c r="U1372" s="614"/>
      <c r="V1372" s="614"/>
      <c r="W1372" s="615"/>
      <c r="X1372" s="728" t="s">
        <v>9348</v>
      </c>
      <c r="Y1372" s="609" t="s">
        <v>3734</v>
      </c>
      <c r="Z1372" s="722">
        <v>2.1629</v>
      </c>
      <c r="AA1372" s="616">
        <f>Z1372*I1372</f>
        <v>3893.22</v>
      </c>
      <c r="AC1372" s="617"/>
      <c r="AD1372" s="610" t="s">
        <v>6368</v>
      </c>
      <c r="AE1372" s="610" t="s">
        <v>82</v>
      </c>
      <c r="AF1372" s="610"/>
      <c r="AG1372" s="610"/>
      <c r="AH1372" s="609">
        <v>1</v>
      </c>
      <c r="AI1372" s="610">
        <v>1800</v>
      </c>
      <c r="AJ1372" s="610">
        <f t="shared" si="509"/>
        <v>0</v>
      </c>
      <c r="AK1372" s="640">
        <v>46153</v>
      </c>
      <c r="AL1372" s="610" t="s">
        <v>2368</v>
      </c>
      <c r="AM1372" s="610"/>
      <c r="AN1372" s="610"/>
      <c r="AO1372" s="554">
        <f>I1372*2</f>
        <v>3600</v>
      </c>
      <c r="AP1372" s="554"/>
      <c r="AQ1372" s="554"/>
      <c r="AR1372" s="619"/>
      <c r="AS1372" s="554"/>
      <c r="AT1372" s="554">
        <f>I1372*2</f>
        <v>3600</v>
      </c>
      <c r="AU1372" s="554"/>
      <c r="AV1372" s="554">
        <f>I1372*2</f>
        <v>3600</v>
      </c>
      <c r="AW1372" s="619"/>
      <c r="AX1372" s="554"/>
      <c r="AY1372" s="554"/>
      <c r="AZ1372" s="554"/>
      <c r="BA1372" s="554"/>
      <c r="BB1372" s="249">
        <f>I1372/24*2</f>
        <v>150</v>
      </c>
      <c r="BC1372" s="714"/>
      <c r="BD1372" s="554"/>
      <c r="BE1372" s="554"/>
      <c r="BF1372" s="554"/>
      <c r="BH1372" s="554"/>
      <c r="BI1372" s="554"/>
      <c r="BJ1372" s="554"/>
      <c r="BK1372" s="554"/>
      <c r="BL1372" s="554"/>
      <c r="BM1372" s="554"/>
      <c r="BN1372" s="554"/>
      <c r="BO1372" s="554"/>
      <c r="BP1372" s="554"/>
      <c r="BQ1372" s="554"/>
      <c r="BR1372" s="554"/>
      <c r="BS1372" s="554"/>
      <c r="BT1372" s="554"/>
      <c r="BU1372" s="554"/>
      <c r="BV1372" s="554"/>
      <c r="BW1372" s="554"/>
      <c r="BX1372" s="554"/>
      <c r="BY1372" s="619"/>
      <c r="BZ1372" s="554"/>
      <c r="CA1372" s="621"/>
      <c r="CB1372" s="567"/>
      <c r="CC1372" s="622"/>
      <c r="CD1372" s="619"/>
      <c r="CE1372" s="619"/>
      <c r="CF1372" s="554"/>
      <c r="CG1372" s="554"/>
      <c r="CI1372" s="554"/>
      <c r="CJ1372" s="554"/>
      <c r="CK1372" s="554"/>
      <c r="CL1372" s="554"/>
      <c r="CM1372" s="554"/>
      <c r="CN1372" s="554"/>
      <c r="CO1372" s="554"/>
      <c r="CP1372" s="554"/>
      <c r="CQ1372" s="554"/>
      <c r="CR1372" s="554">
        <f>I1372</f>
        <v>1800</v>
      </c>
      <c r="CS1372" s="554">
        <f>I1372</f>
        <v>1800</v>
      </c>
      <c r="CT1372" s="554">
        <f>I1372</f>
        <v>1800</v>
      </c>
      <c r="CU1372" s="554">
        <f t="shared" si="511"/>
        <v>0</v>
      </c>
      <c r="CV1372" s="554">
        <f>CK1372+CL1372+CM1372+CN1372+CO1372+CQ1372+CP1372</f>
        <v>0</v>
      </c>
      <c r="CW1372" s="554">
        <f>CI1372+CJ1372</f>
        <v>0</v>
      </c>
      <c r="CX1372" s="619"/>
      <c r="CY1372" s="619"/>
      <c r="CZ1372" s="619"/>
      <c r="DA1372" s="548"/>
      <c r="DB1372" s="548"/>
      <c r="DC1372" s="548"/>
      <c r="DD1372" s="619"/>
      <c r="DE1372" s="619"/>
      <c r="DF1372" s="619"/>
      <c r="DG1372" s="619"/>
      <c r="DH1372" s="619"/>
    </row>
    <row r="1373" s="548" customFormat="1" ht="31" customHeight="1" spans="1:112">
      <c r="A1373" s="608">
        <v>46099</v>
      </c>
      <c r="B1373" s="609" t="s">
        <v>9349</v>
      </c>
      <c r="C1373" s="610" t="s">
        <v>212</v>
      </c>
      <c r="D1373" s="554">
        <v>4500197327</v>
      </c>
      <c r="E1373" s="610" t="s">
        <v>9350</v>
      </c>
      <c r="F1373" s="554" t="s">
        <v>9351</v>
      </c>
      <c r="G1373" s="610" t="s">
        <v>9352</v>
      </c>
      <c r="H1373" s="610" t="s">
        <v>9353</v>
      </c>
      <c r="I1373" s="610">
        <v>9048</v>
      </c>
      <c r="J1373" s="610">
        <v>13</v>
      </c>
      <c r="K1373" s="610">
        <v>52</v>
      </c>
      <c r="L1373" s="611">
        <f t="shared" si="508"/>
        <v>174</v>
      </c>
      <c r="M1373" s="612">
        <v>46160</v>
      </c>
      <c r="N1373" s="724">
        <v>46165</v>
      </c>
      <c r="O1373" s="613" t="s">
        <v>9354</v>
      </c>
      <c r="P1373" s="613" t="s">
        <v>113</v>
      </c>
      <c r="Q1373" s="613" t="s">
        <v>3944</v>
      </c>
      <c r="R1373" s="614">
        <v>46104</v>
      </c>
      <c r="S1373" s="614" t="s">
        <v>70</v>
      </c>
      <c r="T1373" s="614" t="s">
        <v>9355</v>
      </c>
      <c r="U1373" s="614"/>
      <c r="V1373" s="614"/>
      <c r="W1373" s="615"/>
      <c r="X1373" s="609" t="s">
        <v>9356</v>
      </c>
      <c r="Y1373" s="609" t="s">
        <v>3828</v>
      </c>
      <c r="Z1373" s="722">
        <v>0.9546</v>
      </c>
      <c r="AA1373" s="616">
        <f t="shared" ref="AA1373:AA1383" si="515">Z1373*I1373</f>
        <v>8637.2208</v>
      </c>
      <c r="AC1373" s="617"/>
      <c r="AD1373" s="610" t="s">
        <v>9352</v>
      </c>
      <c r="AE1373" s="610" t="s">
        <v>82</v>
      </c>
      <c r="AF1373" s="610"/>
      <c r="AG1373" s="610"/>
      <c r="AH1373" s="609">
        <v>1</v>
      </c>
      <c r="AI1373" s="725">
        <v>9048</v>
      </c>
      <c r="AJ1373" s="610">
        <f t="shared" si="509"/>
        <v>0</v>
      </c>
      <c r="AK1373" s="610"/>
      <c r="AL1373" s="610" t="s">
        <v>2368</v>
      </c>
      <c r="AM1373" s="610"/>
      <c r="AN1373" s="614"/>
      <c r="AO1373" s="554">
        <f t="shared" ref="AO1373:AO1380" si="516">I1373</f>
        <v>9048</v>
      </c>
      <c r="AP1373" s="554"/>
      <c r="AQ1373" s="554"/>
      <c r="AR1373" s="619"/>
      <c r="AS1373" s="554"/>
      <c r="AT1373" s="554">
        <f t="shared" ref="AT1373:AT1380" si="517">I1373</f>
        <v>9048</v>
      </c>
      <c r="AU1373" s="554"/>
      <c r="AV1373" s="554">
        <f t="shared" ref="AV1373:AV1380" si="518">I1373</f>
        <v>9048</v>
      </c>
      <c r="AW1373" s="619"/>
      <c r="AX1373" s="554"/>
      <c r="AY1373" s="554"/>
      <c r="AZ1373" s="554"/>
      <c r="BA1373" s="554"/>
      <c r="BB1373" s="620">
        <f t="shared" ref="BB1373:BB1381" si="519">I1373/24</f>
        <v>377</v>
      </c>
      <c r="BC1373" s="714"/>
      <c r="BD1373" s="554"/>
      <c r="BE1373" s="554"/>
      <c r="BF1373" s="554"/>
      <c r="BH1373" s="554"/>
      <c r="BI1373" s="554"/>
      <c r="BJ1373" s="554"/>
      <c r="BK1373" s="554"/>
      <c r="BL1373" s="554"/>
      <c r="BM1373" s="554">
        <f>I1373/13</f>
        <v>696</v>
      </c>
      <c r="BN1373" s="554"/>
      <c r="BO1373" s="554"/>
      <c r="BP1373" s="554"/>
      <c r="BQ1373" s="554"/>
      <c r="BR1373" s="554"/>
      <c r="BS1373" s="554"/>
      <c r="BT1373" s="554"/>
      <c r="BU1373" s="554"/>
      <c r="BV1373" s="554"/>
      <c r="BW1373" s="554"/>
      <c r="BX1373" s="554"/>
      <c r="BY1373" s="619"/>
      <c r="BZ1373" s="554"/>
      <c r="CA1373" s="621"/>
      <c r="CB1373" s="567"/>
      <c r="CC1373" s="622"/>
      <c r="CD1373" s="619"/>
      <c r="CE1373" s="619"/>
      <c r="CF1373" s="554"/>
      <c r="CG1373" s="554"/>
      <c r="CI1373" s="554"/>
      <c r="CJ1373" s="554"/>
      <c r="CK1373" s="554"/>
      <c r="CL1373" s="554"/>
      <c r="CM1373" s="554"/>
      <c r="CN1373" s="554"/>
      <c r="CO1373" s="554"/>
      <c r="CP1373" s="554"/>
      <c r="CQ1373" s="554"/>
      <c r="CR1373" s="554"/>
      <c r="CS1373" s="554"/>
      <c r="CT1373" s="554"/>
      <c r="CU1373" s="554">
        <f t="shared" si="511"/>
        <v>0</v>
      </c>
      <c r="CV1373" s="554">
        <f t="shared" ref="CV1373:CV1381" si="520">CK1373+CL1373+CM1373+CN1373+CO1373+CQ1373+CP1373</f>
        <v>0</v>
      </c>
      <c r="CW1373" s="554">
        <f t="shared" ref="CW1373:CW1381" si="521">CI1373+CJ1373</f>
        <v>0</v>
      </c>
      <c r="CX1373" s="619"/>
      <c r="CY1373" s="619"/>
      <c r="CZ1373" s="619"/>
      <c r="DA1373" s="548"/>
      <c r="DB1373" s="548"/>
      <c r="DC1373" s="548"/>
      <c r="DD1373" s="619"/>
      <c r="DE1373" s="619"/>
      <c r="DF1373" s="619"/>
      <c r="DG1373" s="619"/>
      <c r="DH1373" s="619"/>
    </row>
    <row r="1374" s="548" customFormat="1" ht="31" customHeight="1" spans="1:112">
      <c r="A1374" s="608">
        <v>46099</v>
      </c>
      <c r="B1374" s="609" t="s">
        <v>9349</v>
      </c>
      <c r="C1374" s="610" t="s">
        <v>212</v>
      </c>
      <c r="D1374" s="554">
        <v>4500197327</v>
      </c>
      <c r="E1374" s="610" t="s">
        <v>9350</v>
      </c>
      <c r="F1374" s="554" t="s">
        <v>9357</v>
      </c>
      <c r="G1374" s="610" t="s">
        <v>9352</v>
      </c>
      <c r="H1374" s="610" t="s">
        <v>9353</v>
      </c>
      <c r="I1374" s="610">
        <v>28028</v>
      </c>
      <c r="J1374" s="610">
        <v>13</v>
      </c>
      <c r="K1374" s="610">
        <v>52</v>
      </c>
      <c r="L1374" s="611">
        <f t="shared" si="508"/>
        <v>539</v>
      </c>
      <c r="M1374" s="612">
        <v>46160</v>
      </c>
      <c r="N1374" s="724">
        <v>46165</v>
      </c>
      <c r="O1374" s="613" t="s">
        <v>9354</v>
      </c>
      <c r="P1374" s="613" t="s">
        <v>113</v>
      </c>
      <c r="Q1374" s="613" t="s">
        <v>3944</v>
      </c>
      <c r="R1374" s="614">
        <v>46104</v>
      </c>
      <c r="S1374" s="614" t="s">
        <v>70</v>
      </c>
      <c r="T1374" s="614" t="s">
        <v>9355</v>
      </c>
      <c r="U1374" s="614"/>
      <c r="V1374" s="614"/>
      <c r="W1374" s="615"/>
      <c r="X1374" s="609" t="s">
        <v>9356</v>
      </c>
      <c r="Y1374" s="609" t="s">
        <v>3828</v>
      </c>
      <c r="Z1374" s="722">
        <v>0.9546</v>
      </c>
      <c r="AA1374" s="616">
        <f t="shared" si="515"/>
        <v>26755.5288</v>
      </c>
      <c r="AC1374" s="617"/>
      <c r="AD1374" s="610" t="s">
        <v>9352</v>
      </c>
      <c r="AE1374" s="610" t="s">
        <v>82</v>
      </c>
      <c r="AF1374" s="610"/>
      <c r="AG1374" s="610"/>
      <c r="AH1374" s="609">
        <v>1</v>
      </c>
      <c r="AI1374" s="725">
        <v>28028</v>
      </c>
      <c r="AJ1374" s="610">
        <f t="shared" si="509"/>
        <v>0</v>
      </c>
      <c r="AK1374" s="610"/>
      <c r="AL1374" s="610" t="s">
        <v>2368</v>
      </c>
      <c r="AM1374" s="610"/>
      <c r="AN1374" s="614"/>
      <c r="AO1374" s="554">
        <f t="shared" si="516"/>
        <v>28028</v>
      </c>
      <c r="AP1374" s="554"/>
      <c r="AQ1374" s="554"/>
      <c r="AR1374" s="619"/>
      <c r="AS1374" s="554"/>
      <c r="AT1374" s="554">
        <f t="shared" si="517"/>
        <v>28028</v>
      </c>
      <c r="AU1374" s="554"/>
      <c r="AV1374" s="554">
        <f t="shared" si="518"/>
        <v>28028</v>
      </c>
      <c r="AW1374" s="619"/>
      <c r="AX1374" s="554"/>
      <c r="AY1374" s="554"/>
      <c r="AZ1374" s="554"/>
      <c r="BA1374" s="554"/>
      <c r="BB1374" s="620">
        <f t="shared" si="519"/>
        <v>1167.83333333333</v>
      </c>
      <c r="BC1374" s="714"/>
      <c r="BD1374" s="554"/>
      <c r="BE1374" s="554"/>
      <c r="BF1374" s="554"/>
      <c r="BH1374" s="554"/>
      <c r="BI1374" s="554"/>
      <c r="BJ1374" s="554"/>
      <c r="BK1374" s="554"/>
      <c r="BL1374" s="554"/>
      <c r="BM1374" s="554">
        <f>I1374/13</f>
        <v>2156</v>
      </c>
      <c r="BN1374" s="554"/>
      <c r="BO1374" s="554"/>
      <c r="BP1374" s="554"/>
      <c r="BQ1374" s="554"/>
      <c r="BR1374" s="554"/>
      <c r="BS1374" s="554"/>
      <c r="BT1374" s="554"/>
      <c r="BU1374" s="554"/>
      <c r="BV1374" s="554"/>
      <c r="BW1374" s="554"/>
      <c r="BX1374" s="554"/>
      <c r="BY1374" s="619"/>
      <c r="BZ1374" s="554"/>
      <c r="CA1374" s="621"/>
      <c r="CB1374" s="567"/>
      <c r="CC1374" s="622"/>
      <c r="CD1374" s="619"/>
      <c r="CE1374" s="619"/>
      <c r="CF1374" s="554"/>
      <c r="CG1374" s="554"/>
      <c r="CI1374" s="554"/>
      <c r="CJ1374" s="554"/>
      <c r="CK1374" s="554"/>
      <c r="CL1374" s="554"/>
      <c r="CM1374" s="554"/>
      <c r="CN1374" s="554"/>
      <c r="CO1374" s="554"/>
      <c r="CP1374" s="554"/>
      <c r="CQ1374" s="554"/>
      <c r="CR1374" s="554"/>
      <c r="CS1374" s="554"/>
      <c r="CT1374" s="554"/>
      <c r="CU1374" s="554">
        <f t="shared" si="511"/>
        <v>0</v>
      </c>
      <c r="CV1374" s="554">
        <f t="shared" si="520"/>
        <v>0</v>
      </c>
      <c r="CW1374" s="554">
        <f t="shared" si="521"/>
        <v>0</v>
      </c>
      <c r="CX1374" s="619"/>
      <c r="CY1374" s="619"/>
      <c r="CZ1374" s="619"/>
      <c r="DA1374" s="548"/>
      <c r="DB1374" s="548"/>
      <c r="DC1374" s="548"/>
      <c r="DD1374" s="619"/>
      <c r="DE1374" s="619"/>
      <c r="DF1374" s="619"/>
      <c r="DG1374" s="619"/>
      <c r="DH1374" s="619"/>
    </row>
    <row r="1375" s="548" customFormat="1" ht="31" customHeight="1" spans="1:112">
      <c r="A1375" s="608">
        <v>46099</v>
      </c>
      <c r="B1375" s="609" t="s">
        <v>9349</v>
      </c>
      <c r="C1375" s="610" t="s">
        <v>212</v>
      </c>
      <c r="D1375" s="554">
        <v>4500197327</v>
      </c>
      <c r="E1375" s="610" t="s">
        <v>9350</v>
      </c>
      <c r="F1375" s="554" t="s">
        <v>9358</v>
      </c>
      <c r="G1375" s="610" t="s">
        <v>9352</v>
      </c>
      <c r="H1375" s="610" t="s">
        <v>9353</v>
      </c>
      <c r="I1375" s="610">
        <v>3016</v>
      </c>
      <c r="J1375" s="610">
        <v>13</v>
      </c>
      <c r="K1375" s="610">
        <v>52</v>
      </c>
      <c r="L1375" s="611">
        <f t="shared" si="508"/>
        <v>58</v>
      </c>
      <c r="M1375" s="612">
        <v>46160</v>
      </c>
      <c r="N1375" s="724">
        <v>46165</v>
      </c>
      <c r="O1375" s="613" t="s">
        <v>9354</v>
      </c>
      <c r="P1375" s="613" t="s">
        <v>113</v>
      </c>
      <c r="Q1375" s="613" t="s">
        <v>3944</v>
      </c>
      <c r="R1375" s="614">
        <v>46104</v>
      </c>
      <c r="S1375" s="614" t="s">
        <v>70</v>
      </c>
      <c r="T1375" s="614" t="s">
        <v>9355</v>
      </c>
      <c r="U1375" s="614"/>
      <c r="V1375" s="614"/>
      <c r="W1375" s="615"/>
      <c r="X1375" s="609" t="s">
        <v>9356</v>
      </c>
      <c r="Y1375" s="609" t="s">
        <v>3828</v>
      </c>
      <c r="Z1375" s="722">
        <v>0.9546</v>
      </c>
      <c r="AA1375" s="616">
        <f t="shared" si="515"/>
        <v>2879.0736</v>
      </c>
      <c r="AC1375" s="617"/>
      <c r="AD1375" s="610" t="s">
        <v>9352</v>
      </c>
      <c r="AE1375" s="610" t="s">
        <v>82</v>
      </c>
      <c r="AF1375" s="610"/>
      <c r="AG1375" s="610"/>
      <c r="AH1375" s="609">
        <v>1</v>
      </c>
      <c r="AI1375" s="725">
        <v>3016</v>
      </c>
      <c r="AJ1375" s="610">
        <f t="shared" si="509"/>
        <v>0</v>
      </c>
      <c r="AK1375" s="610"/>
      <c r="AL1375" s="610" t="s">
        <v>2368</v>
      </c>
      <c r="AM1375" s="610"/>
      <c r="AN1375" s="614"/>
      <c r="AO1375" s="554">
        <f t="shared" si="516"/>
        <v>3016</v>
      </c>
      <c r="AP1375" s="554"/>
      <c r="AQ1375" s="554"/>
      <c r="AR1375" s="619"/>
      <c r="AS1375" s="554"/>
      <c r="AT1375" s="554">
        <f t="shared" si="517"/>
        <v>3016</v>
      </c>
      <c r="AU1375" s="554"/>
      <c r="AV1375" s="554">
        <f t="shared" si="518"/>
        <v>3016</v>
      </c>
      <c r="AW1375" s="619"/>
      <c r="AX1375" s="554"/>
      <c r="AY1375" s="554"/>
      <c r="AZ1375" s="554"/>
      <c r="BA1375" s="554"/>
      <c r="BB1375" s="620">
        <f t="shared" si="519"/>
        <v>125.666666666667</v>
      </c>
      <c r="BC1375" s="554"/>
      <c r="BD1375" s="554"/>
      <c r="BE1375" s="554"/>
      <c r="BF1375" s="554"/>
      <c r="BH1375" s="554"/>
      <c r="BI1375" s="554"/>
      <c r="BJ1375" s="554"/>
      <c r="BK1375" s="554"/>
      <c r="BL1375" s="554"/>
      <c r="BM1375" s="554">
        <f>I1375/13</f>
        <v>232</v>
      </c>
      <c r="BN1375" s="554"/>
      <c r="BO1375" s="554"/>
      <c r="BP1375" s="554"/>
      <c r="BQ1375" s="554"/>
      <c r="BR1375" s="554"/>
      <c r="BS1375" s="554"/>
      <c r="BT1375" s="554"/>
      <c r="BU1375" s="554"/>
      <c r="BV1375" s="554"/>
      <c r="BW1375" s="554"/>
      <c r="BX1375" s="554"/>
      <c r="BY1375" s="554"/>
      <c r="BZ1375" s="554"/>
      <c r="CA1375" s="720"/>
      <c r="CB1375" s="567"/>
      <c r="CC1375" s="721"/>
      <c r="CD1375" s="554"/>
      <c r="CE1375" s="554"/>
      <c r="CF1375" s="554"/>
      <c r="CG1375" s="554"/>
      <c r="CI1375" s="554"/>
      <c r="CJ1375" s="554"/>
      <c r="CK1375" s="554"/>
      <c r="CL1375" s="554"/>
      <c r="CM1375" s="554"/>
      <c r="CN1375" s="554"/>
      <c r="CO1375" s="554"/>
      <c r="CP1375" s="619"/>
      <c r="CQ1375" s="619"/>
      <c r="CR1375" s="619"/>
      <c r="CS1375" s="619"/>
      <c r="CT1375" s="619"/>
      <c r="CU1375" s="554">
        <f t="shared" si="511"/>
        <v>0</v>
      </c>
      <c r="CV1375" s="554">
        <f t="shared" si="520"/>
        <v>0</v>
      </c>
      <c r="CW1375" s="554">
        <f t="shared" si="521"/>
        <v>0</v>
      </c>
      <c r="CX1375" s="619"/>
      <c r="CY1375" s="619"/>
      <c r="CZ1375" s="619"/>
      <c r="DA1375" s="619"/>
      <c r="DB1375" s="619"/>
      <c r="DC1375" s="619"/>
      <c r="DD1375" s="619"/>
      <c r="DE1375" s="619"/>
      <c r="DF1375" s="619"/>
      <c r="DG1375" s="619"/>
      <c r="DH1375" s="619"/>
    </row>
    <row r="1376" s="548" customFormat="1" ht="30" customHeight="1" spans="1:112">
      <c r="A1376" s="608">
        <v>46091</v>
      </c>
      <c r="B1376" s="609" t="s">
        <v>9349</v>
      </c>
      <c r="C1376" s="713" t="s">
        <v>212</v>
      </c>
      <c r="D1376" s="554">
        <v>4500196058</v>
      </c>
      <c r="E1376" s="610" t="s">
        <v>9359</v>
      </c>
      <c r="F1376" s="554" t="s">
        <v>9360</v>
      </c>
      <c r="G1376" s="610" t="s">
        <v>9352</v>
      </c>
      <c r="H1376" s="610" t="s">
        <v>9353</v>
      </c>
      <c r="I1376" s="610">
        <v>416</v>
      </c>
      <c r="J1376" s="610">
        <v>13</v>
      </c>
      <c r="K1376" s="610">
        <v>52</v>
      </c>
      <c r="L1376" s="611">
        <f t="shared" si="508"/>
        <v>8</v>
      </c>
      <c r="M1376" s="612">
        <v>46160</v>
      </c>
      <c r="N1376" s="612">
        <v>46156</v>
      </c>
      <c r="O1376" s="613" t="s">
        <v>9361</v>
      </c>
      <c r="P1376" s="613" t="s">
        <v>113</v>
      </c>
      <c r="Q1376" s="613" t="s">
        <v>3944</v>
      </c>
      <c r="R1376" s="614" t="s">
        <v>3758</v>
      </c>
      <c r="S1376" s="614" t="s">
        <v>70</v>
      </c>
      <c r="T1376" s="614" t="s">
        <v>9362</v>
      </c>
      <c r="U1376" s="614"/>
      <c r="V1376" s="614"/>
      <c r="W1376" s="615"/>
      <c r="X1376" s="609" t="s">
        <v>9363</v>
      </c>
      <c r="Y1376" s="616" t="s">
        <v>388</v>
      </c>
      <c r="Z1376" s="609">
        <v>0.8947</v>
      </c>
      <c r="AA1376" s="616">
        <f t="shared" si="515"/>
        <v>372.1952</v>
      </c>
      <c r="AC1376" s="617"/>
      <c r="AD1376" s="610" t="s">
        <v>9352</v>
      </c>
      <c r="AE1376" s="610" t="s">
        <v>82</v>
      </c>
      <c r="AF1376" s="610"/>
      <c r="AG1376" s="609"/>
      <c r="AH1376" s="609">
        <v>1</v>
      </c>
      <c r="AI1376" s="725">
        <v>416</v>
      </c>
      <c r="AJ1376" s="610">
        <f t="shared" si="509"/>
        <v>0</v>
      </c>
      <c r="AK1376" s="610"/>
      <c r="AL1376" s="610" t="s">
        <v>2368</v>
      </c>
      <c r="AM1376" s="610"/>
      <c r="AN1376" s="610"/>
      <c r="AO1376" s="554">
        <f t="shared" si="516"/>
        <v>416</v>
      </c>
      <c r="AP1376" s="554"/>
      <c r="AQ1376" s="554"/>
      <c r="AR1376" s="619"/>
      <c r="AS1376" s="554"/>
      <c r="AT1376" s="554">
        <f t="shared" si="517"/>
        <v>416</v>
      </c>
      <c r="AU1376" s="554"/>
      <c r="AV1376" s="554">
        <f t="shared" si="518"/>
        <v>416</v>
      </c>
      <c r="AW1376" s="619"/>
      <c r="AX1376" s="554"/>
      <c r="AY1376" s="554"/>
      <c r="AZ1376" s="554"/>
      <c r="BA1376" s="554"/>
      <c r="BB1376" s="620">
        <f t="shared" si="519"/>
        <v>17.3333333333333</v>
      </c>
      <c r="BC1376" s="714"/>
      <c r="BD1376" s="554"/>
      <c r="BE1376" s="554"/>
      <c r="BF1376" s="554"/>
      <c r="BH1376" s="554"/>
      <c r="BI1376" s="554"/>
      <c r="BJ1376" s="554"/>
      <c r="BK1376" s="554"/>
      <c r="BL1376" s="554"/>
      <c r="BM1376" s="554">
        <f>I1376/13</f>
        <v>32</v>
      </c>
      <c r="BN1376" s="554"/>
      <c r="BO1376" s="554"/>
      <c r="BP1376" s="554"/>
      <c r="BQ1376" s="554"/>
      <c r="BR1376" s="554"/>
      <c r="BS1376" s="554"/>
      <c r="BT1376" s="554"/>
      <c r="BU1376" s="554"/>
      <c r="BV1376" s="554"/>
      <c r="BW1376" s="554"/>
      <c r="BX1376" s="554"/>
      <c r="BY1376" s="619"/>
      <c r="BZ1376" s="554"/>
      <c r="CA1376" s="621"/>
      <c r="CB1376" s="567"/>
      <c r="CC1376" s="622"/>
      <c r="CD1376" s="619"/>
      <c r="CE1376" s="619"/>
      <c r="CF1376" s="554"/>
      <c r="CG1376" s="554"/>
      <c r="CI1376" s="554"/>
      <c r="CJ1376" s="554"/>
      <c r="CK1376" s="554"/>
      <c r="CL1376" s="554"/>
      <c r="CM1376" s="554"/>
      <c r="CN1376" s="554"/>
      <c r="CO1376" s="554"/>
      <c r="CP1376" s="554"/>
      <c r="CQ1376" s="554"/>
      <c r="CR1376" s="554"/>
      <c r="CS1376" s="554"/>
      <c r="CT1376" s="554"/>
      <c r="CU1376" s="554">
        <f t="shared" si="511"/>
        <v>0</v>
      </c>
      <c r="CV1376" s="729">
        <f t="shared" si="520"/>
        <v>0</v>
      </c>
      <c r="CW1376" s="729">
        <f t="shared" si="521"/>
        <v>0</v>
      </c>
      <c r="CX1376" s="619"/>
      <c r="CY1376" s="619"/>
      <c r="CZ1376" s="619"/>
      <c r="DA1376" s="548"/>
      <c r="DB1376" s="548"/>
      <c r="DC1376" s="548"/>
      <c r="DD1376" s="619"/>
      <c r="DE1376" s="619"/>
      <c r="DF1376" s="619"/>
      <c r="DG1376" s="619"/>
      <c r="DH1376" s="619"/>
    </row>
    <row r="1377" s="548" customFormat="1" ht="30" customHeight="1" spans="1:112">
      <c r="A1377" s="608">
        <v>46091</v>
      </c>
      <c r="B1377" s="609" t="s">
        <v>9349</v>
      </c>
      <c r="C1377" s="713" t="s">
        <v>212</v>
      </c>
      <c r="D1377" s="554">
        <v>4500196058</v>
      </c>
      <c r="E1377" s="610" t="s">
        <v>9359</v>
      </c>
      <c r="F1377" s="554" t="s">
        <v>9364</v>
      </c>
      <c r="G1377" s="610" t="s">
        <v>9352</v>
      </c>
      <c r="H1377" s="610" t="s">
        <v>9353</v>
      </c>
      <c r="I1377" s="715">
        <v>2028</v>
      </c>
      <c r="J1377" s="610">
        <v>13</v>
      </c>
      <c r="K1377" s="610">
        <v>52</v>
      </c>
      <c r="L1377" s="611">
        <f t="shared" si="508"/>
        <v>39</v>
      </c>
      <c r="M1377" s="612">
        <v>46160</v>
      </c>
      <c r="N1377" s="612">
        <v>46156</v>
      </c>
      <c r="O1377" s="613" t="s">
        <v>9361</v>
      </c>
      <c r="P1377" s="613" t="s">
        <v>113</v>
      </c>
      <c r="Q1377" s="613" t="s">
        <v>3944</v>
      </c>
      <c r="R1377" s="614" t="s">
        <v>3758</v>
      </c>
      <c r="S1377" s="614" t="s">
        <v>70</v>
      </c>
      <c r="T1377" s="614" t="s">
        <v>9362</v>
      </c>
      <c r="U1377" s="614"/>
      <c r="V1377" s="614"/>
      <c r="W1377" s="615"/>
      <c r="X1377" s="609" t="s">
        <v>9363</v>
      </c>
      <c r="Y1377" s="616" t="s">
        <v>388</v>
      </c>
      <c r="Z1377" s="609">
        <v>0.9116</v>
      </c>
      <c r="AA1377" s="616">
        <f t="shared" si="515"/>
        <v>1848.7248</v>
      </c>
      <c r="AC1377" s="617"/>
      <c r="AD1377" s="610" t="s">
        <v>9352</v>
      </c>
      <c r="AE1377" s="610" t="s">
        <v>82</v>
      </c>
      <c r="AF1377" s="610"/>
      <c r="AG1377" s="609"/>
      <c r="AH1377" s="609">
        <v>1</v>
      </c>
      <c r="AI1377" s="725">
        <v>2028</v>
      </c>
      <c r="AJ1377" s="610">
        <f t="shared" si="509"/>
        <v>0</v>
      </c>
      <c r="AK1377" s="610"/>
      <c r="AL1377" s="610" t="s">
        <v>2368</v>
      </c>
      <c r="AM1377" s="610"/>
      <c r="AN1377" s="610"/>
      <c r="AO1377" s="554">
        <f t="shared" si="516"/>
        <v>2028</v>
      </c>
      <c r="AP1377" s="554"/>
      <c r="AQ1377" s="554"/>
      <c r="AR1377" s="619"/>
      <c r="AS1377" s="554"/>
      <c r="AT1377" s="554">
        <f t="shared" si="517"/>
        <v>2028</v>
      </c>
      <c r="AU1377" s="554"/>
      <c r="AV1377" s="554">
        <f t="shared" si="518"/>
        <v>2028</v>
      </c>
      <c r="AW1377" s="619"/>
      <c r="AX1377" s="554"/>
      <c r="AY1377" s="554"/>
      <c r="AZ1377" s="554"/>
      <c r="BA1377" s="554"/>
      <c r="BB1377" s="620">
        <f t="shared" si="519"/>
        <v>84.5</v>
      </c>
      <c r="BC1377" s="714"/>
      <c r="BD1377" s="554"/>
      <c r="BE1377" s="554"/>
      <c r="BF1377" s="554"/>
      <c r="BH1377" s="554"/>
      <c r="BI1377" s="554"/>
      <c r="BJ1377" s="554"/>
      <c r="BK1377" s="554"/>
      <c r="BL1377" s="554"/>
      <c r="BM1377" s="554">
        <f>I1377/13</f>
        <v>156</v>
      </c>
      <c r="BN1377" s="554"/>
      <c r="BO1377" s="554"/>
      <c r="BP1377" s="554"/>
      <c r="BQ1377" s="554"/>
      <c r="BR1377" s="554"/>
      <c r="BS1377" s="554"/>
      <c r="BT1377" s="554"/>
      <c r="BU1377" s="554"/>
      <c r="BV1377" s="554"/>
      <c r="BW1377" s="554"/>
      <c r="BX1377" s="554"/>
      <c r="BY1377" s="619"/>
      <c r="BZ1377" s="554"/>
      <c r="CA1377" s="621"/>
      <c r="CB1377" s="567"/>
      <c r="CC1377" s="622"/>
      <c r="CD1377" s="619"/>
      <c r="CE1377" s="619"/>
      <c r="CF1377" s="554"/>
      <c r="CG1377" s="554"/>
      <c r="CI1377" s="554"/>
      <c r="CJ1377" s="554"/>
      <c r="CK1377" s="554"/>
      <c r="CL1377" s="554"/>
      <c r="CM1377" s="554"/>
      <c r="CN1377" s="554"/>
      <c r="CO1377" s="554"/>
      <c r="CP1377" s="554"/>
      <c r="CQ1377" s="554"/>
      <c r="CR1377" s="554"/>
      <c r="CS1377" s="554"/>
      <c r="CT1377" s="554"/>
      <c r="CU1377" s="554">
        <f t="shared" si="511"/>
        <v>0</v>
      </c>
      <c r="CV1377" s="729">
        <f t="shared" si="520"/>
        <v>0</v>
      </c>
      <c r="CW1377" s="729">
        <f t="shared" si="521"/>
        <v>0</v>
      </c>
      <c r="CX1377" s="619"/>
      <c r="CY1377" s="619"/>
      <c r="CZ1377" s="619"/>
      <c r="DA1377" s="548"/>
      <c r="DB1377" s="548"/>
      <c r="DC1377" s="548"/>
      <c r="DD1377" s="619"/>
      <c r="DE1377" s="619"/>
      <c r="DF1377" s="619"/>
      <c r="DG1377" s="619"/>
      <c r="DH1377" s="619"/>
    </row>
    <row r="1378" s="548" customFormat="1" ht="30" customHeight="1" spans="1:112">
      <c r="A1378" s="608">
        <v>46091</v>
      </c>
      <c r="B1378" s="609" t="s">
        <v>729</v>
      </c>
      <c r="C1378" s="713" t="s">
        <v>278</v>
      </c>
      <c r="D1378" s="554">
        <v>4500195606</v>
      </c>
      <c r="E1378" s="610" t="s">
        <v>9365</v>
      </c>
      <c r="F1378" s="554" t="s">
        <v>9366</v>
      </c>
      <c r="G1378" s="610" t="s">
        <v>6047</v>
      </c>
      <c r="H1378" s="610" t="s">
        <v>6069</v>
      </c>
      <c r="I1378" s="715">
        <v>12300</v>
      </c>
      <c r="J1378" s="610">
        <v>0</v>
      </c>
      <c r="K1378" s="610">
        <v>25</v>
      </c>
      <c r="L1378" s="611">
        <f t="shared" si="508"/>
        <v>492</v>
      </c>
      <c r="M1378" s="612">
        <v>46160</v>
      </c>
      <c r="N1378" s="612">
        <v>46156</v>
      </c>
      <c r="O1378" s="613"/>
      <c r="P1378" s="613" t="s">
        <v>9334</v>
      </c>
      <c r="Q1378" s="613" t="s">
        <v>3944</v>
      </c>
      <c r="R1378" s="614">
        <v>46091</v>
      </c>
      <c r="S1378" s="614" t="s">
        <v>70</v>
      </c>
      <c r="T1378" s="614" t="s">
        <v>9079</v>
      </c>
      <c r="U1378" s="614"/>
      <c r="V1378" s="614"/>
      <c r="W1378" s="615"/>
      <c r="X1378" s="609" t="s">
        <v>9367</v>
      </c>
      <c r="Y1378" s="616" t="s">
        <v>3785</v>
      </c>
      <c r="Z1378" s="609">
        <v>0.9313</v>
      </c>
      <c r="AA1378" s="616">
        <f t="shared" si="515"/>
        <v>11454.99</v>
      </c>
      <c r="AC1378" s="617"/>
      <c r="AD1378" s="610" t="s">
        <v>6047</v>
      </c>
      <c r="AE1378" s="610" t="s">
        <v>82</v>
      </c>
      <c r="AF1378" s="610"/>
      <c r="AG1378" s="609"/>
      <c r="AH1378" s="609">
        <v>1</v>
      </c>
      <c r="AI1378" s="725">
        <v>12300</v>
      </c>
      <c r="AJ1378" s="610">
        <f t="shared" si="509"/>
        <v>0</v>
      </c>
      <c r="AK1378" s="610"/>
      <c r="AL1378" s="610" t="s">
        <v>2368</v>
      </c>
      <c r="AM1378" s="610"/>
      <c r="AN1378" s="610"/>
      <c r="AO1378" s="554">
        <f t="shared" si="516"/>
        <v>12300</v>
      </c>
      <c r="AP1378" s="554"/>
      <c r="AQ1378" s="554"/>
      <c r="AR1378" s="619"/>
      <c r="AS1378" s="554"/>
      <c r="AT1378" s="554">
        <f t="shared" si="517"/>
        <v>12300</v>
      </c>
      <c r="AU1378" s="554"/>
      <c r="AV1378" s="554">
        <f t="shared" si="518"/>
        <v>12300</v>
      </c>
      <c r="AW1378" s="619"/>
      <c r="AX1378" s="554"/>
      <c r="AY1378" s="554"/>
      <c r="AZ1378" s="554"/>
      <c r="BA1378" s="554"/>
      <c r="BB1378" s="620">
        <f t="shared" si="519"/>
        <v>512.5</v>
      </c>
      <c r="BC1378" s="714"/>
      <c r="BD1378" s="554"/>
      <c r="BE1378" s="554"/>
      <c r="BF1378" s="554"/>
      <c r="BH1378" s="554"/>
      <c r="BI1378" s="554"/>
      <c r="BJ1378" s="554"/>
      <c r="BK1378" s="554"/>
      <c r="BL1378" s="554"/>
      <c r="BM1378" s="554"/>
      <c r="BN1378" s="554"/>
      <c r="BO1378" s="554"/>
      <c r="BP1378" s="554">
        <f>I1378/25</f>
        <v>492</v>
      </c>
      <c r="BQ1378" s="554"/>
      <c r="BR1378" s="554"/>
      <c r="BS1378" s="554"/>
      <c r="BT1378" s="554"/>
      <c r="BU1378" s="554"/>
      <c r="BV1378" s="554"/>
      <c r="BW1378" s="554"/>
      <c r="BX1378" s="554"/>
      <c r="BY1378" s="619"/>
      <c r="BZ1378" s="554"/>
      <c r="CA1378" s="621"/>
      <c r="CB1378" s="567"/>
      <c r="CC1378" s="622"/>
      <c r="CD1378" s="619"/>
      <c r="CE1378" s="619"/>
      <c r="CF1378" s="554"/>
      <c r="CG1378" s="554"/>
      <c r="CI1378" s="554"/>
      <c r="CJ1378" s="554"/>
      <c r="CK1378" s="554"/>
      <c r="CL1378" s="554"/>
      <c r="CM1378" s="554"/>
      <c r="CN1378" s="554"/>
      <c r="CO1378" s="554"/>
      <c r="CP1378" s="554"/>
      <c r="CQ1378" s="554"/>
      <c r="CR1378" s="554"/>
      <c r="CS1378" s="554"/>
      <c r="CT1378" s="554"/>
      <c r="CU1378" s="554">
        <f t="shared" si="511"/>
        <v>492</v>
      </c>
      <c r="CV1378" s="554">
        <f t="shared" si="520"/>
        <v>0</v>
      </c>
      <c r="CW1378" s="554">
        <f t="shared" si="521"/>
        <v>0</v>
      </c>
      <c r="CX1378" s="619"/>
      <c r="CY1378" s="619"/>
      <c r="CZ1378" s="619"/>
      <c r="DA1378" s="548"/>
      <c r="DB1378" s="548"/>
      <c r="DC1378" s="548"/>
      <c r="DD1378" s="619"/>
      <c r="DE1378" s="619"/>
      <c r="DF1378" s="619"/>
      <c r="DG1378" s="619"/>
      <c r="DH1378" s="619"/>
    </row>
    <row r="1379" s="548" customFormat="1" ht="31" customHeight="1" spans="1:112">
      <c r="A1379" s="608">
        <v>46112</v>
      </c>
      <c r="B1379" s="609" t="s">
        <v>127</v>
      </c>
      <c r="C1379" s="610" t="s">
        <v>128</v>
      </c>
      <c r="D1379" s="727">
        <v>4500199491</v>
      </c>
      <c r="E1379" s="613">
        <v>86072</v>
      </c>
      <c r="F1379" s="554" t="s">
        <v>9368</v>
      </c>
      <c r="G1379" s="610" t="s">
        <v>6047</v>
      </c>
      <c r="H1379" s="610" t="s">
        <v>6069</v>
      </c>
      <c r="I1379" s="715">
        <v>1250</v>
      </c>
      <c r="J1379" s="610">
        <v>0</v>
      </c>
      <c r="K1379" s="610">
        <v>25</v>
      </c>
      <c r="L1379" s="611">
        <f t="shared" si="508"/>
        <v>50</v>
      </c>
      <c r="M1379" s="612">
        <v>46160</v>
      </c>
      <c r="N1379" s="612">
        <v>46156</v>
      </c>
      <c r="O1379" s="613"/>
      <c r="P1379" s="610" t="s">
        <v>9369</v>
      </c>
      <c r="Q1379" s="730" t="s">
        <v>9370</v>
      </c>
      <c r="R1379" s="614">
        <v>46125</v>
      </c>
      <c r="S1379" s="614" t="s">
        <v>70</v>
      </c>
      <c r="T1379" s="614" t="s">
        <v>7820</v>
      </c>
      <c r="U1379" s="614"/>
      <c r="V1379" s="614"/>
      <c r="W1379" s="615"/>
      <c r="X1379" s="609" t="s">
        <v>9371</v>
      </c>
      <c r="Y1379" s="616" t="s">
        <v>3206</v>
      </c>
      <c r="Z1379" s="609">
        <v>0.9756</v>
      </c>
      <c r="AA1379" s="616">
        <f t="shared" si="515"/>
        <v>1219.5</v>
      </c>
      <c r="AC1379" s="697"/>
      <c r="AD1379" s="610" t="s">
        <v>6047</v>
      </c>
      <c r="AE1379" s="610" t="s">
        <v>82</v>
      </c>
      <c r="AF1379" s="610"/>
      <c r="AG1379" s="610"/>
      <c r="AH1379" s="609">
        <v>1</v>
      </c>
      <c r="AI1379" s="725">
        <v>1250</v>
      </c>
      <c r="AJ1379" s="610">
        <f t="shared" si="509"/>
        <v>0</v>
      </c>
      <c r="AK1379" s="613"/>
      <c r="AL1379" s="610" t="s">
        <v>2368</v>
      </c>
      <c r="AM1379" s="610"/>
      <c r="AN1379" s="554"/>
      <c r="AO1379" s="554">
        <f t="shared" si="516"/>
        <v>1250</v>
      </c>
      <c r="AP1379" s="554"/>
      <c r="AQ1379" s="554"/>
      <c r="AR1379" s="554"/>
      <c r="AS1379" s="554"/>
      <c r="AT1379" s="554">
        <f t="shared" si="517"/>
        <v>1250</v>
      </c>
      <c r="AU1379" s="554"/>
      <c r="AV1379" s="554">
        <f t="shared" si="518"/>
        <v>1250</v>
      </c>
      <c r="AW1379" s="554"/>
      <c r="AX1379" s="714"/>
      <c r="AY1379" s="554"/>
      <c r="AZ1379" s="554"/>
      <c r="BA1379" s="554"/>
      <c r="BB1379" s="620">
        <f t="shared" si="519"/>
        <v>52.0833333333333</v>
      </c>
      <c r="BC1379" s="554"/>
      <c r="BD1379" s="554"/>
      <c r="BE1379" s="554"/>
      <c r="BF1379" s="554"/>
      <c r="BH1379" s="554"/>
      <c r="BI1379" s="554"/>
      <c r="BJ1379" s="554"/>
      <c r="BK1379" s="554"/>
      <c r="BL1379" s="554"/>
      <c r="BM1379" s="554"/>
      <c r="BN1379" s="554"/>
      <c r="BO1379" s="554"/>
      <c r="BP1379" s="554">
        <f>I1379/25</f>
        <v>50</v>
      </c>
      <c r="BQ1379" s="554"/>
      <c r="BR1379" s="554"/>
      <c r="BS1379" s="554"/>
      <c r="BT1379" s="554"/>
      <c r="BU1379" s="554"/>
      <c r="BV1379" s="554"/>
      <c r="BW1379" s="554"/>
      <c r="BX1379" s="554"/>
      <c r="BY1379" s="554"/>
      <c r="BZ1379" s="554"/>
      <c r="CA1379" s="720"/>
      <c r="CB1379" s="567"/>
      <c r="CC1379" s="721"/>
      <c r="CD1379" s="554"/>
      <c r="CE1379" s="554"/>
      <c r="CF1379" s="554"/>
      <c r="CG1379" s="554"/>
      <c r="CI1379" s="554"/>
      <c r="CJ1379" s="554"/>
      <c r="CK1379" s="554"/>
      <c r="CL1379" s="554"/>
      <c r="CM1379" s="554"/>
      <c r="CN1379" s="554"/>
      <c r="CO1379" s="554"/>
      <c r="CP1379" s="619"/>
      <c r="CQ1379" s="619"/>
      <c r="CR1379" s="619"/>
      <c r="CS1379" s="619"/>
      <c r="CT1379" s="619"/>
      <c r="CU1379" s="554">
        <f t="shared" si="511"/>
        <v>50</v>
      </c>
      <c r="CV1379" s="554">
        <f t="shared" si="520"/>
        <v>0</v>
      </c>
      <c r="CW1379" s="554">
        <f t="shared" si="521"/>
        <v>0</v>
      </c>
      <c r="CX1379" s="619"/>
      <c r="CY1379" s="619"/>
      <c r="CZ1379" s="619"/>
      <c r="DA1379" s="619"/>
      <c r="DB1379" s="619"/>
      <c r="DC1379" s="619"/>
      <c r="DD1379" s="619"/>
      <c r="DE1379" s="619"/>
      <c r="DF1379" s="619"/>
      <c r="DG1379" s="619"/>
      <c r="DH1379" s="619"/>
    </row>
    <row r="1380" s="548" customFormat="1" ht="31" customHeight="1" spans="1:112">
      <c r="A1380" s="608">
        <v>46128</v>
      </c>
      <c r="B1380" s="609" t="s">
        <v>3385</v>
      </c>
      <c r="C1380" s="610" t="s">
        <v>3386</v>
      </c>
      <c r="D1380" s="554">
        <v>4500202375</v>
      </c>
      <c r="E1380" s="610" t="s">
        <v>3871</v>
      </c>
      <c r="F1380" s="554" t="s">
        <v>9372</v>
      </c>
      <c r="G1380" s="610" t="s">
        <v>6043</v>
      </c>
      <c r="H1380" s="610" t="s">
        <v>6110</v>
      </c>
      <c r="I1380" s="715">
        <v>22000</v>
      </c>
      <c r="J1380" s="610">
        <v>0</v>
      </c>
      <c r="K1380" s="610">
        <v>50</v>
      </c>
      <c r="L1380" s="611">
        <f t="shared" si="508"/>
        <v>440</v>
      </c>
      <c r="M1380" s="612">
        <v>46162</v>
      </c>
      <c r="N1380" s="612">
        <v>46158</v>
      </c>
      <c r="O1380" s="613"/>
      <c r="P1380" s="610" t="s">
        <v>9369</v>
      </c>
      <c r="Q1380" s="614"/>
      <c r="R1380" s="614">
        <v>46128</v>
      </c>
      <c r="S1380" s="614" t="s">
        <v>70</v>
      </c>
      <c r="T1380" s="614" t="s">
        <v>9373</v>
      </c>
      <c r="U1380" s="614"/>
      <c r="V1380" s="614"/>
      <c r="W1380" s="615"/>
      <c r="X1380" s="609" t="s">
        <v>9374</v>
      </c>
      <c r="Y1380" s="616" t="s">
        <v>529</v>
      </c>
      <c r="Z1380" s="609">
        <v>0.9549</v>
      </c>
      <c r="AA1380" s="616">
        <f t="shared" si="515"/>
        <v>21007.8</v>
      </c>
      <c r="AC1380" s="697"/>
      <c r="AD1380" s="610" t="s">
        <v>6043</v>
      </c>
      <c r="AE1380" s="610" t="s">
        <v>82</v>
      </c>
      <c r="AF1380" s="610"/>
      <c r="AG1380" s="610"/>
      <c r="AH1380" s="609">
        <v>1</v>
      </c>
      <c r="AI1380" s="725">
        <v>22000</v>
      </c>
      <c r="AJ1380" s="610">
        <f t="shared" si="509"/>
        <v>0</v>
      </c>
      <c r="AK1380" s="613"/>
      <c r="AL1380" s="610" t="s">
        <v>454</v>
      </c>
      <c r="AM1380" s="610"/>
      <c r="AN1380" s="554"/>
      <c r="AO1380" s="554">
        <f t="shared" si="516"/>
        <v>22000</v>
      </c>
      <c r="AP1380" s="554"/>
      <c r="AQ1380" s="554"/>
      <c r="AR1380" s="554"/>
      <c r="AS1380" s="554"/>
      <c r="AT1380" s="554">
        <f t="shared" si="517"/>
        <v>22000</v>
      </c>
      <c r="AU1380" s="554"/>
      <c r="AV1380" s="554">
        <f t="shared" si="518"/>
        <v>22000</v>
      </c>
      <c r="AW1380" s="554"/>
      <c r="AX1380" s="714"/>
      <c r="AY1380" s="554"/>
      <c r="AZ1380" s="554"/>
      <c r="BA1380" s="554"/>
      <c r="BB1380" s="620">
        <f t="shared" si="519"/>
        <v>916.666666666667</v>
      </c>
      <c r="BC1380" s="554"/>
      <c r="BD1380" s="554"/>
      <c r="BE1380" s="554"/>
      <c r="BF1380" s="554"/>
      <c r="BH1380" s="554"/>
      <c r="BI1380" s="554"/>
      <c r="BJ1380" s="554"/>
      <c r="BK1380" s="554"/>
      <c r="BL1380" s="554"/>
      <c r="BM1380" s="554"/>
      <c r="BN1380" s="554"/>
      <c r="BO1380" s="554"/>
      <c r="BP1380" s="554">
        <f>I1380/25</f>
        <v>880</v>
      </c>
      <c r="BQ1380" s="554"/>
      <c r="BR1380" s="554"/>
      <c r="BS1380" s="554"/>
      <c r="BT1380" s="554"/>
      <c r="BU1380" s="554"/>
      <c r="BV1380" s="554"/>
      <c r="BW1380" s="554"/>
      <c r="BX1380" s="554"/>
      <c r="BY1380" s="554"/>
      <c r="BZ1380" s="554"/>
      <c r="CA1380" s="720"/>
      <c r="CB1380" s="567"/>
      <c r="CC1380" s="721"/>
      <c r="CD1380" s="554"/>
      <c r="CE1380" s="554"/>
      <c r="CF1380" s="554"/>
      <c r="CG1380" s="554"/>
      <c r="CI1380" s="554"/>
      <c r="CJ1380" s="554"/>
      <c r="CK1380" s="554"/>
      <c r="CL1380" s="554"/>
      <c r="CM1380" s="554"/>
      <c r="CN1380" s="554"/>
      <c r="CO1380" s="554"/>
      <c r="CP1380" s="619"/>
      <c r="CQ1380" s="619"/>
      <c r="CR1380" s="619"/>
      <c r="CS1380" s="619"/>
      <c r="CT1380" s="619"/>
      <c r="CU1380" s="554">
        <f t="shared" si="511"/>
        <v>880</v>
      </c>
      <c r="CV1380" s="554">
        <f t="shared" si="520"/>
        <v>0</v>
      </c>
      <c r="CW1380" s="554">
        <f t="shared" si="521"/>
        <v>0</v>
      </c>
      <c r="CX1380" s="619"/>
      <c r="CY1380" s="619"/>
      <c r="CZ1380" s="619"/>
      <c r="DA1380" s="619"/>
      <c r="DB1380" s="619"/>
      <c r="DC1380" s="619"/>
      <c r="DD1380" s="619"/>
      <c r="DE1380" s="619"/>
      <c r="DF1380" s="619"/>
      <c r="DG1380" s="619"/>
      <c r="DH1380" s="619"/>
    </row>
    <row r="1381" s="548" customFormat="1" ht="31" customHeight="1" spans="1:112">
      <c r="A1381" s="608">
        <v>46105</v>
      </c>
      <c r="B1381" s="609" t="s">
        <v>3148</v>
      </c>
      <c r="C1381" s="610" t="s">
        <v>170</v>
      </c>
      <c r="D1381" s="554">
        <v>4500198236</v>
      </c>
      <c r="E1381" s="610" t="s">
        <v>9375</v>
      </c>
      <c r="F1381" s="554" t="s">
        <v>9376</v>
      </c>
      <c r="G1381" s="610" t="s">
        <v>6036</v>
      </c>
      <c r="H1381" s="610" t="s">
        <v>6033</v>
      </c>
      <c r="I1381" s="610">
        <v>500</v>
      </c>
      <c r="J1381" s="610">
        <v>0</v>
      </c>
      <c r="K1381" s="610">
        <v>50</v>
      </c>
      <c r="L1381" s="611">
        <f t="shared" ref="L1381:L1441" si="522">I1381/K1381</f>
        <v>10</v>
      </c>
      <c r="M1381" s="612">
        <v>46163</v>
      </c>
      <c r="N1381" s="612">
        <v>46160</v>
      </c>
      <c r="O1381" s="613"/>
      <c r="P1381" s="613" t="s">
        <v>113</v>
      </c>
      <c r="Q1381" s="610"/>
      <c r="R1381" s="614">
        <v>46132</v>
      </c>
      <c r="S1381" s="614" t="s">
        <v>70</v>
      </c>
      <c r="T1381" s="614" t="s">
        <v>70</v>
      </c>
      <c r="U1381" s="614"/>
      <c r="V1381" s="614"/>
      <c r="W1381" s="615"/>
      <c r="X1381" s="609" t="s">
        <v>9377</v>
      </c>
      <c r="Y1381" s="609" t="s">
        <v>1150</v>
      </c>
      <c r="Z1381" s="722">
        <v>0.9903</v>
      </c>
      <c r="AA1381" s="616">
        <f t="shared" si="515"/>
        <v>495.15</v>
      </c>
      <c r="AC1381" s="617"/>
      <c r="AD1381" s="610" t="s">
        <v>9378</v>
      </c>
      <c r="AE1381" s="610" t="s">
        <v>4133</v>
      </c>
      <c r="AF1381" s="610"/>
      <c r="AG1381" s="610"/>
      <c r="AH1381" s="609">
        <v>1</v>
      </c>
      <c r="AI1381" s="726">
        <v>500</v>
      </c>
      <c r="AJ1381" s="610">
        <f t="shared" si="509"/>
        <v>0</v>
      </c>
      <c r="AK1381" s="610"/>
      <c r="AL1381" s="610"/>
      <c r="AM1381" s="610"/>
      <c r="AN1381" s="610">
        <f>I1381</f>
        <v>500</v>
      </c>
      <c r="AO1381" s="554"/>
      <c r="AP1381" s="554"/>
      <c r="AQ1381" s="554"/>
      <c r="AR1381" s="619"/>
      <c r="AS1381" s="554">
        <f>I1381</f>
        <v>500</v>
      </c>
      <c r="AT1381" s="554"/>
      <c r="AU1381" s="554">
        <f t="shared" ref="AU1381:AU1387" si="523">I1381</f>
        <v>500</v>
      </c>
      <c r="AV1381" s="554"/>
      <c r="AW1381" s="619"/>
      <c r="AX1381" s="554"/>
      <c r="AY1381" s="554"/>
      <c r="AZ1381" s="554"/>
      <c r="BA1381" s="554"/>
      <c r="BB1381" s="620">
        <f t="shared" si="519"/>
        <v>20.8333333333333</v>
      </c>
      <c r="BC1381" s="714"/>
      <c r="BD1381" s="554"/>
      <c r="BE1381" s="554"/>
      <c r="BF1381" s="554"/>
      <c r="BH1381" s="554"/>
      <c r="BI1381" s="554"/>
      <c r="BJ1381" s="554"/>
      <c r="BK1381" s="554"/>
      <c r="BL1381" s="554"/>
      <c r="BM1381" s="554"/>
      <c r="BN1381" s="554"/>
      <c r="BO1381" s="554">
        <f>I1381/25</f>
        <v>20</v>
      </c>
      <c r="BP1381" s="554"/>
      <c r="BQ1381" s="554"/>
      <c r="BR1381" s="554"/>
      <c r="BS1381" s="554"/>
      <c r="BT1381" s="554"/>
      <c r="BU1381" s="554"/>
      <c r="BV1381" s="554"/>
      <c r="BW1381" s="554"/>
      <c r="BX1381" s="554"/>
      <c r="BY1381" s="619"/>
      <c r="BZ1381" s="554"/>
      <c r="CA1381" s="621"/>
      <c r="CB1381" s="567"/>
      <c r="CC1381" s="622"/>
      <c r="CD1381" s="619"/>
      <c r="CE1381" s="619"/>
      <c r="CF1381" s="554"/>
      <c r="CG1381" s="554"/>
      <c r="CI1381" s="554"/>
      <c r="CJ1381" s="554"/>
      <c r="CK1381" s="554"/>
      <c r="CL1381" s="554"/>
      <c r="CM1381" s="554"/>
      <c r="CN1381" s="554"/>
      <c r="CO1381" s="554"/>
      <c r="CP1381" s="554"/>
      <c r="CQ1381" s="554"/>
      <c r="CR1381" s="554"/>
      <c r="CS1381" s="554"/>
      <c r="CT1381" s="554"/>
      <c r="CU1381" s="554">
        <f t="shared" si="511"/>
        <v>20</v>
      </c>
      <c r="CV1381" s="554">
        <f t="shared" si="520"/>
        <v>0</v>
      </c>
      <c r="CW1381" s="554">
        <f t="shared" si="521"/>
        <v>0</v>
      </c>
      <c r="CX1381" s="619"/>
      <c r="CY1381" s="619"/>
      <c r="CZ1381" s="619"/>
      <c r="DA1381" s="548"/>
      <c r="DB1381" s="548"/>
      <c r="DC1381" s="548"/>
      <c r="DD1381" s="619"/>
      <c r="DE1381" s="619"/>
      <c r="DF1381" s="619"/>
      <c r="DG1381" s="619"/>
      <c r="DH1381" s="619"/>
    </row>
    <row r="1382" s="548" customFormat="1" ht="30" customHeight="1" spans="1:112">
      <c r="A1382" s="608">
        <v>46119</v>
      </c>
      <c r="B1382" s="609" t="s">
        <v>8152</v>
      </c>
      <c r="C1382" s="610" t="s">
        <v>98</v>
      </c>
      <c r="D1382" s="727">
        <v>4500200266</v>
      </c>
      <c r="E1382" s="613">
        <v>4564766074</v>
      </c>
      <c r="F1382" s="554" t="s">
        <v>9379</v>
      </c>
      <c r="G1382" s="610" t="s">
        <v>8051</v>
      </c>
      <c r="H1382" s="610" t="s">
        <v>6102</v>
      </c>
      <c r="I1382" s="610">
        <v>102</v>
      </c>
      <c r="J1382" s="610">
        <v>0</v>
      </c>
      <c r="K1382" s="610">
        <v>6</v>
      </c>
      <c r="L1382" s="611">
        <f t="shared" si="522"/>
        <v>17</v>
      </c>
      <c r="M1382" s="612">
        <v>46164</v>
      </c>
      <c r="N1382" s="612">
        <v>46160</v>
      </c>
      <c r="O1382" s="613"/>
      <c r="P1382" s="613" t="s">
        <v>113</v>
      </c>
      <c r="Q1382" s="610"/>
      <c r="R1382" s="614">
        <v>46119</v>
      </c>
      <c r="S1382" s="614" t="s">
        <v>70</v>
      </c>
      <c r="T1382" s="614" t="s">
        <v>9311</v>
      </c>
      <c r="U1382" s="614"/>
      <c r="V1382" s="614"/>
      <c r="W1382" s="615"/>
      <c r="X1382" s="609" t="s">
        <v>9380</v>
      </c>
      <c r="Y1382" s="609" t="s">
        <v>819</v>
      </c>
      <c r="Z1382" s="722">
        <v>0.5707</v>
      </c>
      <c r="AA1382" s="616">
        <f t="shared" ref="AA1382:AA1392" si="524">Z1382*I1382</f>
        <v>58.2114</v>
      </c>
      <c r="AC1382" s="629" t="s">
        <v>9381</v>
      </c>
      <c r="AD1382" s="610" t="s">
        <v>8051</v>
      </c>
      <c r="AE1382" s="610" t="s">
        <v>82</v>
      </c>
      <c r="AF1382" s="610"/>
      <c r="AG1382" s="610"/>
      <c r="AH1382" s="609">
        <v>1</v>
      </c>
      <c r="AI1382" s="726">
        <v>102</v>
      </c>
      <c r="AJ1382" s="610">
        <f t="shared" ref="AJ1382:AJ1441" si="525">AI1382-I1382</f>
        <v>0</v>
      </c>
      <c r="AK1382" s="610"/>
      <c r="AL1382" s="610" t="s">
        <v>2368</v>
      </c>
      <c r="AM1382" s="610"/>
      <c r="AN1382" s="610">
        <f t="shared" ref="AN1382:AN1387" si="526">I1382</f>
        <v>102</v>
      </c>
      <c r="AO1382" s="554"/>
      <c r="AP1382" s="554">
        <f t="shared" ref="AP1382:AP1387" si="527">I1382</f>
        <v>102</v>
      </c>
      <c r="AQ1382" s="554"/>
      <c r="AR1382" s="619"/>
      <c r="AS1382" s="554"/>
      <c r="AT1382" s="554"/>
      <c r="AU1382" s="554">
        <f t="shared" si="523"/>
        <v>102</v>
      </c>
      <c r="AV1382" s="554"/>
      <c r="AW1382" s="619"/>
      <c r="AX1382" s="554"/>
      <c r="AY1382" s="554"/>
      <c r="AZ1382" s="554"/>
      <c r="BA1382" s="554"/>
      <c r="BB1382" s="620">
        <f t="shared" ref="BB1382:BB1387" si="528">I1382/24</f>
        <v>4.25</v>
      </c>
      <c r="BC1382" s="714"/>
      <c r="BD1382" s="554"/>
      <c r="BE1382" s="554"/>
      <c r="BF1382" s="554"/>
      <c r="BH1382" s="554"/>
      <c r="BI1382" s="554"/>
      <c r="BJ1382" s="554"/>
      <c r="BK1382" s="554"/>
      <c r="BL1382" s="554"/>
      <c r="BM1382" s="554"/>
      <c r="BN1382" s="554"/>
      <c r="BO1382" s="554"/>
      <c r="BP1382" s="554"/>
      <c r="BQ1382" s="554"/>
      <c r="BR1382" s="554"/>
      <c r="BS1382" s="554"/>
      <c r="BT1382" s="554">
        <f t="shared" ref="BT1382:BT1387" si="529">L1382</f>
        <v>17</v>
      </c>
      <c r="BU1382" s="554"/>
      <c r="BV1382" s="554"/>
      <c r="BW1382" s="554"/>
      <c r="BX1382" s="554"/>
      <c r="BY1382" s="619"/>
      <c r="BZ1382" s="554"/>
      <c r="CA1382" s="621"/>
      <c r="CB1382" s="567"/>
      <c r="CC1382" s="622"/>
      <c r="CD1382" s="619"/>
      <c r="CE1382" s="619"/>
      <c r="CF1382" s="554"/>
      <c r="CG1382" s="554"/>
      <c r="CI1382" s="554"/>
      <c r="CJ1382" s="554"/>
      <c r="CK1382" s="554"/>
      <c r="CL1382" s="554"/>
      <c r="CM1382" s="554"/>
      <c r="CN1382" s="554"/>
      <c r="CO1382" s="554"/>
      <c r="CP1382" s="554"/>
      <c r="CQ1382" s="554"/>
      <c r="CR1382" s="554"/>
      <c r="CS1382" s="554"/>
      <c r="CT1382" s="554"/>
      <c r="CU1382" s="554">
        <f t="shared" ref="CU1382:CU1404" si="530">BQ1382+BP1382+BO1382+BN1382+BX1382+BR1382</f>
        <v>0</v>
      </c>
      <c r="CV1382" s="554">
        <f t="shared" ref="CV1382:CV1389" si="531">CK1382+CL1382+CM1382+CN1382+CO1382+CQ1382+CP1382</f>
        <v>0</v>
      </c>
      <c r="CW1382" s="554">
        <f t="shared" ref="CW1382:CW1389" si="532">CI1382+CJ1382</f>
        <v>0</v>
      </c>
      <c r="CX1382" s="619"/>
      <c r="CY1382" s="619"/>
      <c r="CZ1382" s="619"/>
      <c r="DA1382" s="548"/>
      <c r="DB1382" s="548"/>
      <c r="DC1382" s="548"/>
      <c r="DD1382" s="619"/>
      <c r="DE1382" s="619"/>
      <c r="DF1382" s="619"/>
      <c r="DG1382" s="619"/>
      <c r="DH1382" s="619"/>
    </row>
    <row r="1383" s="548" customFormat="1" ht="30" customHeight="1" spans="1:112">
      <c r="A1383" s="608">
        <v>46119</v>
      </c>
      <c r="B1383" s="609" t="s">
        <v>8152</v>
      </c>
      <c r="C1383" s="610" t="s">
        <v>98</v>
      </c>
      <c r="D1383" s="727">
        <v>4500200266</v>
      </c>
      <c r="E1383" s="613">
        <v>4564766194</v>
      </c>
      <c r="F1383" s="554" t="s">
        <v>9382</v>
      </c>
      <c r="G1383" s="610" t="s">
        <v>8051</v>
      </c>
      <c r="H1383" s="610" t="s">
        <v>6102</v>
      </c>
      <c r="I1383" s="610">
        <v>894</v>
      </c>
      <c r="J1383" s="610">
        <v>0</v>
      </c>
      <c r="K1383" s="610">
        <v>6</v>
      </c>
      <c r="L1383" s="611">
        <f t="shared" si="522"/>
        <v>149</v>
      </c>
      <c r="M1383" s="612">
        <v>46164</v>
      </c>
      <c r="N1383" s="612">
        <v>46160</v>
      </c>
      <c r="O1383" s="613"/>
      <c r="P1383" s="613" t="s">
        <v>113</v>
      </c>
      <c r="Q1383" s="610"/>
      <c r="R1383" s="614">
        <v>46119</v>
      </c>
      <c r="S1383" s="614" t="s">
        <v>70</v>
      </c>
      <c r="T1383" s="614" t="s">
        <v>9311</v>
      </c>
      <c r="U1383" s="614"/>
      <c r="V1383" s="614"/>
      <c r="W1383" s="615"/>
      <c r="X1383" s="609" t="s">
        <v>9380</v>
      </c>
      <c r="Y1383" s="609" t="s">
        <v>819</v>
      </c>
      <c r="Z1383" s="722">
        <v>0.5707</v>
      </c>
      <c r="AA1383" s="616">
        <f t="shared" si="524"/>
        <v>510.2058</v>
      </c>
      <c r="AC1383" s="629" t="s">
        <v>9383</v>
      </c>
      <c r="AD1383" s="610" t="s">
        <v>8051</v>
      </c>
      <c r="AE1383" s="610" t="s">
        <v>82</v>
      </c>
      <c r="AF1383" s="610"/>
      <c r="AG1383" s="610"/>
      <c r="AH1383" s="609">
        <v>1</v>
      </c>
      <c r="AI1383" s="726">
        <v>894</v>
      </c>
      <c r="AJ1383" s="610">
        <f t="shared" si="525"/>
        <v>0</v>
      </c>
      <c r="AK1383" s="610"/>
      <c r="AL1383" s="610" t="s">
        <v>2368</v>
      </c>
      <c r="AM1383" s="610"/>
      <c r="AN1383" s="610">
        <f t="shared" si="526"/>
        <v>894</v>
      </c>
      <c r="AO1383" s="554"/>
      <c r="AP1383" s="554">
        <f t="shared" si="527"/>
        <v>894</v>
      </c>
      <c r="AQ1383" s="554"/>
      <c r="AR1383" s="619"/>
      <c r="AS1383" s="554"/>
      <c r="AT1383" s="554"/>
      <c r="AU1383" s="554">
        <f t="shared" si="523"/>
        <v>894</v>
      </c>
      <c r="AV1383" s="554"/>
      <c r="AW1383" s="619"/>
      <c r="AX1383" s="554"/>
      <c r="AY1383" s="554"/>
      <c r="AZ1383" s="554"/>
      <c r="BA1383" s="554"/>
      <c r="BB1383" s="620">
        <f t="shared" si="528"/>
        <v>37.25</v>
      </c>
      <c r="BC1383" s="714"/>
      <c r="BD1383" s="554"/>
      <c r="BE1383" s="554"/>
      <c r="BF1383" s="554"/>
      <c r="BH1383" s="554"/>
      <c r="BI1383" s="554"/>
      <c r="BJ1383" s="554"/>
      <c r="BK1383" s="554"/>
      <c r="BL1383" s="554"/>
      <c r="BM1383" s="554"/>
      <c r="BN1383" s="554"/>
      <c r="BO1383" s="554"/>
      <c r="BP1383" s="554"/>
      <c r="BQ1383" s="554"/>
      <c r="BR1383" s="554"/>
      <c r="BS1383" s="554"/>
      <c r="BT1383" s="554">
        <f t="shared" si="529"/>
        <v>149</v>
      </c>
      <c r="BU1383" s="554"/>
      <c r="BV1383" s="554"/>
      <c r="BW1383" s="554"/>
      <c r="BX1383" s="554"/>
      <c r="BY1383" s="619"/>
      <c r="BZ1383" s="554"/>
      <c r="CA1383" s="621"/>
      <c r="CB1383" s="567"/>
      <c r="CC1383" s="622"/>
      <c r="CD1383" s="619"/>
      <c r="CE1383" s="619"/>
      <c r="CF1383" s="554"/>
      <c r="CG1383" s="554"/>
      <c r="CI1383" s="554"/>
      <c r="CJ1383" s="554"/>
      <c r="CK1383" s="554"/>
      <c r="CL1383" s="554"/>
      <c r="CM1383" s="554"/>
      <c r="CN1383" s="554"/>
      <c r="CO1383" s="554"/>
      <c r="CP1383" s="554"/>
      <c r="CQ1383" s="554"/>
      <c r="CR1383" s="554"/>
      <c r="CS1383" s="554"/>
      <c r="CT1383" s="554"/>
      <c r="CU1383" s="554">
        <f t="shared" si="530"/>
        <v>0</v>
      </c>
      <c r="CV1383" s="554">
        <f t="shared" si="531"/>
        <v>0</v>
      </c>
      <c r="CW1383" s="554">
        <f t="shared" si="532"/>
        <v>0</v>
      </c>
      <c r="CX1383" s="619"/>
      <c r="CY1383" s="619"/>
      <c r="CZ1383" s="619"/>
      <c r="DA1383" s="548"/>
      <c r="DB1383" s="548"/>
      <c r="DC1383" s="548"/>
      <c r="DD1383" s="619"/>
      <c r="DE1383" s="619"/>
      <c r="DF1383" s="619"/>
      <c r="DG1383" s="619"/>
      <c r="DH1383" s="619"/>
    </row>
    <row r="1384" s="548" customFormat="1" ht="30" customHeight="1" spans="1:112">
      <c r="A1384" s="608">
        <v>46119</v>
      </c>
      <c r="B1384" s="609" t="s">
        <v>8152</v>
      </c>
      <c r="C1384" s="610" t="s">
        <v>98</v>
      </c>
      <c r="D1384" s="727">
        <v>4500200266</v>
      </c>
      <c r="E1384" s="613">
        <v>4564765985</v>
      </c>
      <c r="F1384" s="554" t="s">
        <v>9384</v>
      </c>
      <c r="G1384" s="610" t="s">
        <v>8051</v>
      </c>
      <c r="H1384" s="610" t="s">
        <v>6102</v>
      </c>
      <c r="I1384" s="610">
        <v>1110</v>
      </c>
      <c r="J1384" s="610">
        <v>0</v>
      </c>
      <c r="K1384" s="610">
        <v>6</v>
      </c>
      <c r="L1384" s="611">
        <f t="shared" si="522"/>
        <v>185</v>
      </c>
      <c r="M1384" s="612">
        <v>46164</v>
      </c>
      <c r="N1384" s="612">
        <v>46160</v>
      </c>
      <c r="O1384" s="613"/>
      <c r="P1384" s="613" t="s">
        <v>113</v>
      </c>
      <c r="Q1384" s="610"/>
      <c r="R1384" s="614">
        <v>46119</v>
      </c>
      <c r="S1384" s="614" t="s">
        <v>70</v>
      </c>
      <c r="T1384" s="614" t="s">
        <v>9311</v>
      </c>
      <c r="U1384" s="614"/>
      <c r="V1384" s="614"/>
      <c r="W1384" s="615"/>
      <c r="X1384" s="609" t="s">
        <v>9380</v>
      </c>
      <c r="Y1384" s="609" t="s">
        <v>819</v>
      </c>
      <c r="Z1384" s="722">
        <v>0.5675</v>
      </c>
      <c r="AA1384" s="616">
        <f t="shared" si="524"/>
        <v>629.925</v>
      </c>
      <c r="AC1384" s="629" t="s">
        <v>9385</v>
      </c>
      <c r="AD1384" s="610" t="s">
        <v>8051</v>
      </c>
      <c r="AE1384" s="610" t="s">
        <v>82</v>
      </c>
      <c r="AF1384" s="610"/>
      <c r="AG1384" s="610"/>
      <c r="AH1384" s="609">
        <v>1</v>
      </c>
      <c r="AI1384" s="726">
        <v>1110</v>
      </c>
      <c r="AJ1384" s="610">
        <f t="shared" si="525"/>
        <v>0</v>
      </c>
      <c r="AK1384" s="610"/>
      <c r="AL1384" s="610" t="s">
        <v>2368</v>
      </c>
      <c r="AM1384" s="610"/>
      <c r="AN1384" s="610">
        <f t="shared" si="526"/>
        <v>1110</v>
      </c>
      <c r="AO1384" s="554"/>
      <c r="AP1384" s="554">
        <f t="shared" si="527"/>
        <v>1110</v>
      </c>
      <c r="AQ1384" s="554"/>
      <c r="AR1384" s="619"/>
      <c r="AS1384" s="554"/>
      <c r="AT1384" s="554"/>
      <c r="AU1384" s="554">
        <f t="shared" si="523"/>
        <v>1110</v>
      </c>
      <c r="AV1384" s="554"/>
      <c r="AW1384" s="619"/>
      <c r="AX1384" s="554"/>
      <c r="AY1384" s="554"/>
      <c r="AZ1384" s="554"/>
      <c r="BA1384" s="554"/>
      <c r="BB1384" s="620">
        <f t="shared" si="528"/>
        <v>46.25</v>
      </c>
      <c r="BC1384" s="714"/>
      <c r="BD1384" s="554"/>
      <c r="BE1384" s="554"/>
      <c r="BF1384" s="554"/>
      <c r="BH1384" s="554"/>
      <c r="BI1384" s="554"/>
      <c r="BJ1384" s="554"/>
      <c r="BK1384" s="554"/>
      <c r="BL1384" s="554"/>
      <c r="BM1384" s="554"/>
      <c r="BN1384" s="554"/>
      <c r="BO1384" s="554"/>
      <c r="BP1384" s="554"/>
      <c r="BQ1384" s="554"/>
      <c r="BR1384" s="554"/>
      <c r="BS1384" s="554"/>
      <c r="BT1384" s="554">
        <f t="shared" si="529"/>
        <v>185</v>
      </c>
      <c r="BU1384" s="554"/>
      <c r="BV1384" s="554"/>
      <c r="BW1384" s="554"/>
      <c r="BX1384" s="554"/>
      <c r="BY1384" s="619"/>
      <c r="BZ1384" s="554"/>
      <c r="CA1384" s="621"/>
      <c r="CB1384" s="567"/>
      <c r="CC1384" s="622"/>
      <c r="CD1384" s="619"/>
      <c r="CE1384" s="619"/>
      <c r="CF1384" s="554"/>
      <c r="CG1384" s="554"/>
      <c r="CI1384" s="554"/>
      <c r="CJ1384" s="554"/>
      <c r="CK1384" s="554"/>
      <c r="CL1384" s="554"/>
      <c r="CM1384" s="554"/>
      <c r="CN1384" s="554"/>
      <c r="CO1384" s="554"/>
      <c r="CP1384" s="554"/>
      <c r="CQ1384" s="554"/>
      <c r="CR1384" s="554"/>
      <c r="CS1384" s="554"/>
      <c r="CT1384" s="554"/>
      <c r="CU1384" s="554">
        <f t="shared" si="530"/>
        <v>0</v>
      </c>
      <c r="CV1384" s="554">
        <f t="shared" si="531"/>
        <v>0</v>
      </c>
      <c r="CW1384" s="554">
        <f t="shared" si="532"/>
        <v>0</v>
      </c>
      <c r="CX1384" s="619"/>
      <c r="CY1384" s="619"/>
      <c r="CZ1384" s="619"/>
      <c r="DA1384" s="548"/>
      <c r="DB1384" s="548"/>
      <c r="DC1384" s="548"/>
      <c r="DD1384" s="619"/>
      <c r="DE1384" s="619"/>
      <c r="DF1384" s="619"/>
      <c r="DG1384" s="619"/>
      <c r="DH1384" s="619"/>
    </row>
    <row r="1385" s="548" customFormat="1" ht="30" customHeight="1" spans="1:112">
      <c r="A1385" s="608">
        <v>46119</v>
      </c>
      <c r="B1385" s="609" t="s">
        <v>8152</v>
      </c>
      <c r="C1385" s="610" t="s">
        <v>98</v>
      </c>
      <c r="D1385" s="727">
        <v>4500200266</v>
      </c>
      <c r="E1385" s="613">
        <v>4564766007</v>
      </c>
      <c r="F1385" s="554" t="s">
        <v>9386</v>
      </c>
      <c r="G1385" s="610" t="s">
        <v>8051</v>
      </c>
      <c r="H1385" s="610" t="s">
        <v>6102</v>
      </c>
      <c r="I1385" s="610">
        <v>414</v>
      </c>
      <c r="J1385" s="610">
        <v>0</v>
      </c>
      <c r="K1385" s="610">
        <v>6</v>
      </c>
      <c r="L1385" s="611">
        <f t="shared" si="522"/>
        <v>69</v>
      </c>
      <c r="M1385" s="612">
        <v>46164</v>
      </c>
      <c r="N1385" s="612">
        <v>46160</v>
      </c>
      <c r="O1385" s="613"/>
      <c r="P1385" s="613" t="s">
        <v>113</v>
      </c>
      <c r="Q1385" s="610"/>
      <c r="R1385" s="614">
        <v>46119</v>
      </c>
      <c r="S1385" s="614" t="s">
        <v>70</v>
      </c>
      <c r="T1385" s="614" t="s">
        <v>9311</v>
      </c>
      <c r="U1385" s="614"/>
      <c r="V1385" s="614"/>
      <c r="W1385" s="615"/>
      <c r="X1385" s="609" t="s">
        <v>9380</v>
      </c>
      <c r="Y1385" s="609" t="s">
        <v>819</v>
      </c>
      <c r="Z1385" s="722">
        <v>0.5707</v>
      </c>
      <c r="AA1385" s="616">
        <f t="shared" si="524"/>
        <v>236.2698</v>
      </c>
      <c r="AC1385" s="629" t="s">
        <v>9387</v>
      </c>
      <c r="AD1385" s="610" t="s">
        <v>8051</v>
      </c>
      <c r="AE1385" s="610" t="s">
        <v>82</v>
      </c>
      <c r="AF1385" s="610"/>
      <c r="AG1385" s="610"/>
      <c r="AH1385" s="609">
        <v>1</v>
      </c>
      <c r="AI1385" s="726">
        <v>414</v>
      </c>
      <c r="AJ1385" s="610">
        <f t="shared" si="525"/>
        <v>0</v>
      </c>
      <c r="AK1385" s="610"/>
      <c r="AL1385" s="610" t="s">
        <v>2368</v>
      </c>
      <c r="AM1385" s="610"/>
      <c r="AN1385" s="610">
        <f t="shared" si="526"/>
        <v>414</v>
      </c>
      <c r="AO1385" s="554"/>
      <c r="AP1385" s="554">
        <f t="shared" si="527"/>
        <v>414</v>
      </c>
      <c r="AQ1385" s="554"/>
      <c r="AR1385" s="619"/>
      <c r="AS1385" s="554"/>
      <c r="AT1385" s="554"/>
      <c r="AU1385" s="554">
        <f t="shared" si="523"/>
        <v>414</v>
      </c>
      <c r="AV1385" s="554"/>
      <c r="AW1385" s="619"/>
      <c r="AX1385" s="554"/>
      <c r="AY1385" s="554"/>
      <c r="AZ1385" s="554"/>
      <c r="BA1385" s="554"/>
      <c r="BB1385" s="620">
        <f t="shared" si="528"/>
        <v>17.25</v>
      </c>
      <c r="BC1385" s="714"/>
      <c r="BD1385" s="554"/>
      <c r="BE1385" s="554"/>
      <c r="BF1385" s="554"/>
      <c r="BH1385" s="554"/>
      <c r="BI1385" s="554"/>
      <c r="BJ1385" s="554"/>
      <c r="BK1385" s="554"/>
      <c r="BL1385" s="554"/>
      <c r="BM1385" s="554"/>
      <c r="BN1385" s="554"/>
      <c r="BO1385" s="554"/>
      <c r="BP1385" s="554"/>
      <c r="BQ1385" s="554"/>
      <c r="BR1385" s="554"/>
      <c r="BS1385" s="554"/>
      <c r="BT1385" s="554">
        <f t="shared" si="529"/>
        <v>69</v>
      </c>
      <c r="BU1385" s="554"/>
      <c r="BV1385" s="554"/>
      <c r="BW1385" s="554"/>
      <c r="BX1385" s="554"/>
      <c r="BY1385" s="619"/>
      <c r="BZ1385" s="554"/>
      <c r="CA1385" s="621"/>
      <c r="CB1385" s="567"/>
      <c r="CC1385" s="622"/>
      <c r="CD1385" s="619"/>
      <c r="CE1385" s="619"/>
      <c r="CF1385" s="554"/>
      <c r="CG1385" s="554"/>
      <c r="CI1385" s="554"/>
      <c r="CJ1385" s="554"/>
      <c r="CK1385" s="554"/>
      <c r="CL1385" s="554"/>
      <c r="CM1385" s="554"/>
      <c r="CN1385" s="554"/>
      <c r="CO1385" s="554"/>
      <c r="CP1385" s="554"/>
      <c r="CQ1385" s="554"/>
      <c r="CR1385" s="554"/>
      <c r="CS1385" s="554"/>
      <c r="CT1385" s="554"/>
      <c r="CU1385" s="554">
        <f t="shared" si="530"/>
        <v>0</v>
      </c>
      <c r="CV1385" s="554">
        <f t="shared" si="531"/>
        <v>0</v>
      </c>
      <c r="CW1385" s="554">
        <f t="shared" si="532"/>
        <v>0</v>
      </c>
      <c r="CX1385" s="619"/>
      <c r="CY1385" s="619"/>
      <c r="CZ1385" s="619"/>
      <c r="DA1385" s="548"/>
      <c r="DB1385" s="548"/>
      <c r="DC1385" s="548"/>
      <c r="DD1385" s="619"/>
      <c r="DE1385" s="619"/>
      <c r="DF1385" s="619"/>
      <c r="DG1385" s="619"/>
      <c r="DH1385" s="619"/>
    </row>
    <row r="1386" s="548" customFormat="1" ht="30" customHeight="1" spans="1:112">
      <c r="A1386" s="608">
        <v>46119</v>
      </c>
      <c r="B1386" s="609" t="s">
        <v>8152</v>
      </c>
      <c r="C1386" s="610" t="s">
        <v>98</v>
      </c>
      <c r="D1386" s="727">
        <v>4500200266</v>
      </c>
      <c r="E1386" s="613">
        <v>4564766126</v>
      </c>
      <c r="F1386" s="554" t="s">
        <v>9388</v>
      </c>
      <c r="G1386" s="610" t="s">
        <v>8051</v>
      </c>
      <c r="H1386" s="610" t="s">
        <v>6102</v>
      </c>
      <c r="I1386" s="610">
        <v>2454</v>
      </c>
      <c r="J1386" s="610">
        <v>0</v>
      </c>
      <c r="K1386" s="610">
        <v>6</v>
      </c>
      <c r="L1386" s="611">
        <f t="shared" si="522"/>
        <v>409</v>
      </c>
      <c r="M1386" s="612">
        <v>46164</v>
      </c>
      <c r="N1386" s="612">
        <v>46160</v>
      </c>
      <c r="O1386" s="613"/>
      <c r="P1386" s="613" t="s">
        <v>113</v>
      </c>
      <c r="Q1386" s="610"/>
      <c r="R1386" s="614">
        <v>46119</v>
      </c>
      <c r="S1386" s="614" t="s">
        <v>70</v>
      </c>
      <c r="T1386" s="614" t="s">
        <v>9311</v>
      </c>
      <c r="U1386" s="614"/>
      <c r="V1386" s="614"/>
      <c r="W1386" s="615"/>
      <c r="X1386" s="609" t="s">
        <v>9380</v>
      </c>
      <c r="Y1386" s="609" t="s">
        <v>819</v>
      </c>
      <c r="Z1386" s="722">
        <v>0.5675</v>
      </c>
      <c r="AA1386" s="616">
        <f t="shared" si="524"/>
        <v>1392.645</v>
      </c>
      <c r="AC1386" s="629" t="s">
        <v>9389</v>
      </c>
      <c r="AD1386" s="610" t="s">
        <v>8051</v>
      </c>
      <c r="AE1386" s="610" t="s">
        <v>82</v>
      </c>
      <c r="AF1386" s="610"/>
      <c r="AG1386" s="610"/>
      <c r="AH1386" s="609">
        <v>1</v>
      </c>
      <c r="AI1386" s="726">
        <v>2454</v>
      </c>
      <c r="AJ1386" s="610">
        <f t="shared" si="525"/>
        <v>0</v>
      </c>
      <c r="AK1386" s="610"/>
      <c r="AL1386" s="610" t="s">
        <v>2368</v>
      </c>
      <c r="AM1386" s="610"/>
      <c r="AN1386" s="610">
        <f t="shared" si="526"/>
        <v>2454</v>
      </c>
      <c r="AO1386" s="554"/>
      <c r="AP1386" s="554">
        <f t="shared" si="527"/>
        <v>2454</v>
      </c>
      <c r="AQ1386" s="554"/>
      <c r="AR1386" s="619"/>
      <c r="AS1386" s="554"/>
      <c r="AT1386" s="554"/>
      <c r="AU1386" s="554">
        <f t="shared" si="523"/>
        <v>2454</v>
      </c>
      <c r="AV1386" s="554"/>
      <c r="AW1386" s="619"/>
      <c r="AX1386" s="554"/>
      <c r="AY1386" s="554"/>
      <c r="AZ1386" s="554"/>
      <c r="BA1386" s="554"/>
      <c r="BB1386" s="620">
        <f t="shared" si="528"/>
        <v>102.25</v>
      </c>
      <c r="BC1386" s="714"/>
      <c r="BD1386" s="554"/>
      <c r="BE1386" s="554"/>
      <c r="BF1386" s="554"/>
      <c r="BH1386" s="554"/>
      <c r="BI1386" s="554"/>
      <c r="BJ1386" s="554"/>
      <c r="BK1386" s="554"/>
      <c r="BL1386" s="554"/>
      <c r="BM1386" s="554"/>
      <c r="BN1386" s="554"/>
      <c r="BO1386" s="554"/>
      <c r="BP1386" s="554"/>
      <c r="BQ1386" s="554"/>
      <c r="BR1386" s="554"/>
      <c r="BS1386" s="554"/>
      <c r="BT1386" s="554">
        <f t="shared" si="529"/>
        <v>409</v>
      </c>
      <c r="BU1386" s="554"/>
      <c r="BV1386" s="554"/>
      <c r="BW1386" s="554"/>
      <c r="BX1386" s="554"/>
      <c r="BY1386" s="619"/>
      <c r="BZ1386" s="554"/>
      <c r="CA1386" s="621"/>
      <c r="CB1386" s="567"/>
      <c r="CC1386" s="622"/>
      <c r="CD1386" s="619"/>
      <c r="CE1386" s="619"/>
      <c r="CF1386" s="554"/>
      <c r="CG1386" s="554"/>
      <c r="CI1386" s="554"/>
      <c r="CJ1386" s="554"/>
      <c r="CK1386" s="554"/>
      <c r="CL1386" s="554"/>
      <c r="CM1386" s="554"/>
      <c r="CN1386" s="554"/>
      <c r="CO1386" s="554"/>
      <c r="CP1386" s="554"/>
      <c r="CQ1386" s="554"/>
      <c r="CR1386" s="554"/>
      <c r="CS1386" s="554"/>
      <c r="CT1386" s="554"/>
      <c r="CU1386" s="554">
        <f t="shared" si="530"/>
        <v>0</v>
      </c>
      <c r="CV1386" s="554">
        <f t="shared" si="531"/>
        <v>0</v>
      </c>
      <c r="CW1386" s="554">
        <f t="shared" si="532"/>
        <v>0</v>
      </c>
      <c r="CX1386" s="619"/>
      <c r="CY1386" s="619"/>
      <c r="CZ1386" s="619"/>
      <c r="DA1386" s="548"/>
      <c r="DB1386" s="548"/>
      <c r="DC1386" s="548"/>
      <c r="DD1386" s="619"/>
      <c r="DE1386" s="619"/>
      <c r="DF1386" s="619"/>
      <c r="DG1386" s="619"/>
      <c r="DH1386" s="619"/>
    </row>
    <row r="1387" s="548" customFormat="1" ht="30" customHeight="1" spans="1:112">
      <c r="A1387" s="608">
        <v>46119</v>
      </c>
      <c r="B1387" s="609" t="s">
        <v>8152</v>
      </c>
      <c r="C1387" s="610" t="s">
        <v>98</v>
      </c>
      <c r="D1387" s="727">
        <v>4500200266</v>
      </c>
      <c r="E1387" s="613">
        <v>4564766105</v>
      </c>
      <c r="F1387" s="554" t="s">
        <v>9390</v>
      </c>
      <c r="G1387" s="610" t="s">
        <v>8051</v>
      </c>
      <c r="H1387" s="610" t="s">
        <v>6102</v>
      </c>
      <c r="I1387" s="610">
        <v>318</v>
      </c>
      <c r="J1387" s="610">
        <v>0</v>
      </c>
      <c r="K1387" s="610">
        <v>6</v>
      </c>
      <c r="L1387" s="611">
        <f t="shared" si="522"/>
        <v>53</v>
      </c>
      <c r="M1387" s="612">
        <v>46164</v>
      </c>
      <c r="N1387" s="612">
        <v>46160</v>
      </c>
      <c r="O1387" s="613"/>
      <c r="P1387" s="613" t="s">
        <v>113</v>
      </c>
      <c r="Q1387" s="610"/>
      <c r="R1387" s="614">
        <v>46119</v>
      </c>
      <c r="S1387" s="614" t="s">
        <v>70</v>
      </c>
      <c r="T1387" s="614" t="s">
        <v>9311</v>
      </c>
      <c r="U1387" s="614"/>
      <c r="V1387" s="614"/>
      <c r="W1387" s="615"/>
      <c r="X1387" s="609" t="s">
        <v>9380</v>
      </c>
      <c r="Y1387" s="609" t="s">
        <v>819</v>
      </c>
      <c r="Z1387" s="722">
        <v>0.583</v>
      </c>
      <c r="AA1387" s="616">
        <f t="shared" si="524"/>
        <v>185.394</v>
      </c>
      <c r="AC1387" s="629" t="s">
        <v>9391</v>
      </c>
      <c r="AD1387" s="610" t="s">
        <v>8051</v>
      </c>
      <c r="AE1387" s="610" t="s">
        <v>82</v>
      </c>
      <c r="AF1387" s="610"/>
      <c r="AG1387" s="610"/>
      <c r="AH1387" s="609">
        <v>1</v>
      </c>
      <c r="AI1387" s="726">
        <v>318</v>
      </c>
      <c r="AJ1387" s="610">
        <f t="shared" si="525"/>
        <v>0</v>
      </c>
      <c r="AK1387" s="610"/>
      <c r="AL1387" s="610" t="s">
        <v>2368</v>
      </c>
      <c r="AM1387" s="610"/>
      <c r="AN1387" s="610">
        <f t="shared" si="526"/>
        <v>318</v>
      </c>
      <c r="AO1387" s="554"/>
      <c r="AP1387" s="554">
        <f t="shared" si="527"/>
        <v>318</v>
      </c>
      <c r="AQ1387" s="554"/>
      <c r="AR1387" s="619"/>
      <c r="AS1387" s="554"/>
      <c r="AT1387" s="554"/>
      <c r="AU1387" s="554">
        <f t="shared" si="523"/>
        <v>318</v>
      </c>
      <c r="AV1387" s="554"/>
      <c r="AW1387" s="619"/>
      <c r="AX1387" s="554"/>
      <c r="AY1387" s="554"/>
      <c r="AZ1387" s="554"/>
      <c r="BA1387" s="554"/>
      <c r="BB1387" s="620">
        <f t="shared" si="528"/>
        <v>13.25</v>
      </c>
      <c r="BC1387" s="714"/>
      <c r="BD1387" s="554"/>
      <c r="BE1387" s="554"/>
      <c r="BF1387" s="554"/>
      <c r="BH1387" s="554"/>
      <c r="BI1387" s="554"/>
      <c r="BJ1387" s="554"/>
      <c r="BK1387" s="554"/>
      <c r="BL1387" s="554"/>
      <c r="BM1387" s="554"/>
      <c r="BN1387" s="554"/>
      <c r="BO1387" s="554"/>
      <c r="BP1387" s="554"/>
      <c r="BQ1387" s="554"/>
      <c r="BR1387" s="554"/>
      <c r="BS1387" s="554"/>
      <c r="BT1387" s="554">
        <f t="shared" si="529"/>
        <v>53</v>
      </c>
      <c r="BU1387" s="554"/>
      <c r="BV1387" s="554"/>
      <c r="BW1387" s="554"/>
      <c r="BX1387" s="554"/>
      <c r="BY1387" s="619"/>
      <c r="BZ1387" s="554"/>
      <c r="CA1387" s="621"/>
      <c r="CB1387" s="567"/>
      <c r="CC1387" s="622"/>
      <c r="CD1387" s="619"/>
      <c r="CE1387" s="619"/>
      <c r="CF1387" s="554"/>
      <c r="CG1387" s="554"/>
      <c r="CI1387" s="554"/>
      <c r="CJ1387" s="554"/>
      <c r="CK1387" s="554"/>
      <c r="CL1387" s="554"/>
      <c r="CM1387" s="554"/>
      <c r="CN1387" s="554"/>
      <c r="CO1387" s="554"/>
      <c r="CP1387" s="554"/>
      <c r="CQ1387" s="554"/>
      <c r="CR1387" s="554"/>
      <c r="CS1387" s="554"/>
      <c r="CT1387" s="554"/>
      <c r="CU1387" s="554">
        <f t="shared" si="530"/>
        <v>0</v>
      </c>
      <c r="CV1387" s="554">
        <f t="shared" si="531"/>
        <v>0</v>
      </c>
      <c r="CW1387" s="554">
        <f t="shared" si="532"/>
        <v>0</v>
      </c>
      <c r="CX1387" s="619"/>
      <c r="CY1387" s="619"/>
      <c r="CZ1387" s="619"/>
      <c r="DA1387" s="548"/>
      <c r="DB1387" s="548"/>
      <c r="DC1387" s="548"/>
      <c r="DD1387" s="619"/>
      <c r="DE1387" s="619"/>
      <c r="DF1387" s="619"/>
      <c r="DG1387" s="619"/>
      <c r="DH1387" s="619"/>
    </row>
    <row r="1388" s="548" customFormat="1" ht="30" customHeight="1" spans="1:112">
      <c r="A1388" s="608">
        <v>46115</v>
      </c>
      <c r="B1388" s="609" t="s">
        <v>2487</v>
      </c>
      <c r="C1388" s="610" t="s">
        <v>154</v>
      </c>
      <c r="D1388" s="727">
        <v>4500199906</v>
      </c>
      <c r="E1388" s="610" t="s">
        <v>3885</v>
      </c>
      <c r="F1388" s="554" t="s">
        <v>9392</v>
      </c>
      <c r="G1388" s="610" t="s">
        <v>6365</v>
      </c>
      <c r="H1388" s="610" t="s">
        <v>6126</v>
      </c>
      <c r="I1388" s="610">
        <v>600</v>
      </c>
      <c r="J1388" s="610">
        <v>0</v>
      </c>
      <c r="K1388" s="610">
        <v>12</v>
      </c>
      <c r="L1388" s="611">
        <f t="shared" si="522"/>
        <v>50</v>
      </c>
      <c r="M1388" s="612">
        <v>46164</v>
      </c>
      <c r="N1388" s="612">
        <v>46160</v>
      </c>
      <c r="O1388" s="613"/>
      <c r="P1388" s="613" t="s">
        <v>9369</v>
      </c>
      <c r="Q1388" s="731" t="s">
        <v>9393</v>
      </c>
      <c r="R1388" s="614">
        <v>46115</v>
      </c>
      <c r="S1388" s="614" t="s">
        <v>70</v>
      </c>
      <c r="T1388" s="614" t="s">
        <v>9394</v>
      </c>
      <c r="U1388" s="614"/>
      <c r="V1388" s="614" t="s">
        <v>9034</v>
      </c>
      <c r="W1388" s="615"/>
      <c r="X1388" s="609" t="s">
        <v>9395</v>
      </c>
      <c r="Y1388" s="609" t="s">
        <v>2533</v>
      </c>
      <c r="Z1388" s="722">
        <v>2.1629</v>
      </c>
      <c r="AA1388" s="616">
        <f t="shared" si="524"/>
        <v>1297.74</v>
      </c>
      <c r="AC1388" s="617"/>
      <c r="AD1388" s="610" t="s">
        <v>6368</v>
      </c>
      <c r="AE1388" s="610" t="s">
        <v>82</v>
      </c>
      <c r="AF1388" s="610"/>
      <c r="AG1388" s="610"/>
      <c r="AH1388" s="609">
        <v>1</v>
      </c>
      <c r="AI1388" s="610">
        <v>600</v>
      </c>
      <c r="AJ1388" s="610">
        <f t="shared" si="525"/>
        <v>0</v>
      </c>
      <c r="AK1388" s="610"/>
      <c r="AL1388" s="610"/>
      <c r="AM1388" s="610"/>
      <c r="AN1388" s="610"/>
      <c r="AO1388" s="554">
        <f>I1388*2</f>
        <v>1200</v>
      </c>
      <c r="AP1388" s="554"/>
      <c r="AQ1388" s="554"/>
      <c r="AR1388" s="619"/>
      <c r="AS1388" s="554"/>
      <c r="AT1388" s="554">
        <f>I1388*2</f>
        <v>1200</v>
      </c>
      <c r="AU1388" s="554"/>
      <c r="AV1388" s="554">
        <f>I1388*2</f>
        <v>1200</v>
      </c>
      <c r="AW1388" s="619"/>
      <c r="AX1388" s="554"/>
      <c r="AY1388" s="554"/>
      <c r="AZ1388" s="554"/>
      <c r="BA1388" s="554"/>
      <c r="BB1388" s="249">
        <f>I1388/24*2</f>
        <v>50</v>
      </c>
      <c r="BC1388" s="714"/>
      <c r="BD1388" s="554"/>
      <c r="BE1388" s="554"/>
      <c r="BF1388" s="554"/>
      <c r="BH1388" s="554"/>
      <c r="BI1388" s="554"/>
      <c r="BJ1388" s="554"/>
      <c r="BK1388" s="554"/>
      <c r="BL1388" s="554"/>
      <c r="BM1388" s="554"/>
      <c r="BN1388" s="554"/>
      <c r="BO1388" s="554"/>
      <c r="BP1388" s="554"/>
      <c r="BQ1388" s="554"/>
      <c r="BR1388" s="554"/>
      <c r="BS1388" s="554"/>
      <c r="BT1388" s="554"/>
      <c r="BU1388" s="554"/>
      <c r="BV1388" s="554"/>
      <c r="BW1388" s="554"/>
      <c r="BX1388" s="554"/>
      <c r="BY1388" s="619"/>
      <c r="BZ1388" s="554"/>
      <c r="CA1388" s="621"/>
      <c r="CB1388" s="567"/>
      <c r="CC1388" s="622"/>
      <c r="CD1388" s="619"/>
      <c r="CE1388" s="619"/>
      <c r="CF1388" s="554"/>
      <c r="CG1388" s="554"/>
      <c r="CI1388" s="554"/>
      <c r="CJ1388" s="554"/>
      <c r="CK1388" s="554"/>
      <c r="CL1388" s="554"/>
      <c r="CM1388" s="554"/>
      <c r="CN1388" s="554"/>
      <c r="CO1388" s="554"/>
      <c r="CP1388" s="554"/>
      <c r="CQ1388" s="554"/>
      <c r="CR1388" s="554">
        <f>I1388</f>
        <v>600</v>
      </c>
      <c r="CS1388" s="554">
        <f>I1388</f>
        <v>600</v>
      </c>
      <c r="CT1388" s="554">
        <f>I1388</f>
        <v>600</v>
      </c>
      <c r="CU1388" s="554">
        <f t="shared" si="530"/>
        <v>0</v>
      </c>
      <c r="CV1388" s="554">
        <f t="shared" si="531"/>
        <v>0</v>
      </c>
      <c r="CW1388" s="554">
        <f t="shared" si="532"/>
        <v>0</v>
      </c>
      <c r="CX1388" s="619"/>
      <c r="CY1388" s="619"/>
      <c r="CZ1388" s="619"/>
      <c r="DA1388" s="548"/>
      <c r="DB1388" s="548"/>
      <c r="DC1388" s="548"/>
      <c r="DD1388" s="619"/>
      <c r="DE1388" s="619"/>
      <c r="DF1388" s="619"/>
      <c r="DG1388" s="619"/>
      <c r="DH1388" s="619"/>
    </row>
    <row r="1389" s="548" customFormat="1" ht="31" customHeight="1" spans="1:112">
      <c r="A1389" s="608">
        <v>45995</v>
      </c>
      <c r="B1389" s="609" t="s">
        <v>2734</v>
      </c>
      <c r="C1389" s="713" t="s">
        <v>98</v>
      </c>
      <c r="D1389" s="554">
        <v>4500186375</v>
      </c>
      <c r="E1389" s="610">
        <v>60260879</v>
      </c>
      <c r="F1389" s="554" t="s">
        <v>9396</v>
      </c>
      <c r="G1389" s="610" t="s">
        <v>6787</v>
      </c>
      <c r="H1389" s="610" t="s">
        <v>6126</v>
      </c>
      <c r="I1389" s="610">
        <v>2004</v>
      </c>
      <c r="J1389" s="610">
        <v>0</v>
      </c>
      <c r="K1389" s="610">
        <v>12</v>
      </c>
      <c r="L1389" s="611">
        <f t="shared" si="522"/>
        <v>167</v>
      </c>
      <c r="M1389" s="612">
        <v>46164</v>
      </c>
      <c r="N1389" s="612">
        <v>46160</v>
      </c>
      <c r="O1389" s="613"/>
      <c r="P1389" s="613" t="s">
        <v>113</v>
      </c>
      <c r="Q1389" s="610"/>
      <c r="R1389" s="614">
        <v>45995</v>
      </c>
      <c r="S1389" s="614" t="s">
        <v>70</v>
      </c>
      <c r="T1389" s="614" t="s">
        <v>9397</v>
      </c>
      <c r="U1389" s="614"/>
      <c r="V1389" s="614"/>
      <c r="W1389" s="615"/>
      <c r="X1389" s="609" t="s">
        <v>9398</v>
      </c>
      <c r="Y1389" s="716" t="s">
        <v>2678</v>
      </c>
      <c r="Z1389" s="609">
        <v>1.2871</v>
      </c>
      <c r="AA1389" s="616">
        <f t="shared" si="524"/>
        <v>2579.3484</v>
      </c>
      <c r="AC1389" s="629" t="s">
        <v>3781</v>
      </c>
      <c r="AD1389" s="610" t="s">
        <v>8545</v>
      </c>
      <c r="AE1389" s="610" t="s">
        <v>82</v>
      </c>
      <c r="AF1389" s="610"/>
      <c r="AG1389" s="609"/>
      <c r="AH1389" s="609">
        <v>1</v>
      </c>
      <c r="AI1389" s="726">
        <v>2004</v>
      </c>
      <c r="AJ1389" s="610">
        <f t="shared" si="525"/>
        <v>0</v>
      </c>
      <c r="AK1389" s="610"/>
      <c r="AL1389" s="610" t="s">
        <v>2368</v>
      </c>
      <c r="AM1389" s="610"/>
      <c r="AN1389" s="610">
        <f>I1389*2</f>
        <v>4008</v>
      </c>
      <c r="AO1389" s="554"/>
      <c r="AP1389" s="554">
        <f>I1389*2</f>
        <v>4008</v>
      </c>
      <c r="AR1389" s="619"/>
      <c r="AS1389" s="548"/>
      <c r="AT1389" s="548"/>
      <c r="AU1389" s="554">
        <f>I1389*2</f>
        <v>4008</v>
      </c>
      <c r="AV1389" s="554"/>
      <c r="AW1389" s="619"/>
      <c r="AX1389" s="548"/>
      <c r="AY1389" s="548"/>
      <c r="AZ1389" s="548"/>
      <c r="BA1389" s="548"/>
      <c r="BB1389" s="249">
        <f>I1389/24*2</f>
        <v>167</v>
      </c>
      <c r="BC1389" s="714"/>
      <c r="BD1389" s="548"/>
      <c r="BE1389" s="548"/>
      <c r="BF1389" s="548"/>
      <c r="BY1389" s="619"/>
      <c r="BZ1389" s="548"/>
      <c r="CA1389" s="621"/>
      <c r="CB1389" s="567"/>
      <c r="CC1389" s="622"/>
      <c r="CD1389" s="619"/>
      <c r="CE1389" s="619"/>
      <c r="CF1389" s="548"/>
      <c r="CG1389" s="548"/>
      <c r="CR1389" s="554">
        <f>I1389</f>
        <v>2004</v>
      </c>
      <c r="CS1389" s="554">
        <f>I1389</f>
        <v>2004</v>
      </c>
      <c r="CT1389" s="554">
        <f>I1389</f>
        <v>2004</v>
      </c>
      <c r="CU1389" s="554">
        <f t="shared" si="530"/>
        <v>0</v>
      </c>
      <c r="CV1389" s="554">
        <f t="shared" si="531"/>
        <v>0</v>
      </c>
      <c r="CW1389" s="554">
        <f t="shared" si="532"/>
        <v>0</v>
      </c>
      <c r="CX1389" s="619"/>
      <c r="CY1389" s="619"/>
      <c r="CZ1389" s="619"/>
      <c r="DA1389" s="548"/>
      <c r="DB1389" s="548"/>
      <c r="DC1389" s="548"/>
      <c r="DD1389" s="619"/>
      <c r="DE1389" s="619"/>
      <c r="DF1389" s="619"/>
      <c r="DG1389" s="619"/>
      <c r="DH1389" s="619"/>
    </row>
    <row r="1390" s="548" customFormat="1" ht="31" customHeight="1" spans="1:112">
      <c r="A1390" s="608">
        <v>46113</v>
      </c>
      <c r="B1390" s="609" t="s">
        <v>2811</v>
      </c>
      <c r="C1390" s="610" t="s">
        <v>98</v>
      </c>
      <c r="D1390" s="727">
        <v>4500199536</v>
      </c>
      <c r="E1390" s="613">
        <v>70087533</v>
      </c>
      <c r="F1390" s="554" t="s">
        <v>9399</v>
      </c>
      <c r="G1390" s="610" t="s">
        <v>6787</v>
      </c>
      <c r="H1390" s="610" t="s">
        <v>6126</v>
      </c>
      <c r="I1390" s="715">
        <v>3000</v>
      </c>
      <c r="J1390" s="610">
        <v>0</v>
      </c>
      <c r="K1390" s="610">
        <v>12</v>
      </c>
      <c r="L1390" s="611">
        <f t="shared" si="522"/>
        <v>250</v>
      </c>
      <c r="M1390" s="612">
        <v>46164</v>
      </c>
      <c r="N1390" s="612">
        <v>46160</v>
      </c>
      <c r="O1390" s="613"/>
      <c r="P1390" s="610" t="s">
        <v>113</v>
      </c>
      <c r="Q1390" s="614"/>
      <c r="R1390" s="614">
        <v>46120</v>
      </c>
      <c r="S1390" s="614" t="s">
        <v>70</v>
      </c>
      <c r="T1390" s="614" t="s">
        <v>9298</v>
      </c>
      <c r="U1390" s="614"/>
      <c r="V1390" s="614"/>
      <c r="W1390" s="615"/>
      <c r="X1390" s="609" t="s">
        <v>9400</v>
      </c>
      <c r="Y1390" s="616" t="s">
        <v>1318</v>
      </c>
      <c r="Z1390" s="609">
        <v>1.3482</v>
      </c>
      <c r="AA1390" s="616">
        <f t="shared" si="524"/>
        <v>4044.6</v>
      </c>
      <c r="AC1390" s="678" t="s">
        <v>3779</v>
      </c>
      <c r="AD1390" s="610" t="s">
        <v>8545</v>
      </c>
      <c r="AE1390" s="610" t="s">
        <v>82</v>
      </c>
      <c r="AF1390" s="610"/>
      <c r="AG1390" s="610"/>
      <c r="AH1390" s="609">
        <v>1</v>
      </c>
      <c r="AI1390" s="726">
        <v>3000</v>
      </c>
      <c r="AJ1390" s="610">
        <f t="shared" si="525"/>
        <v>0</v>
      </c>
      <c r="AK1390" s="613"/>
      <c r="AL1390" s="610" t="s">
        <v>2368</v>
      </c>
      <c r="AM1390" s="610"/>
      <c r="AN1390" s="610">
        <f>I1390*2</f>
        <v>6000</v>
      </c>
      <c r="AO1390" s="554"/>
      <c r="AP1390" s="554">
        <f>I1390*2</f>
        <v>6000</v>
      </c>
      <c r="AQ1390" s="554"/>
      <c r="AR1390" s="554"/>
      <c r="AS1390" s="554"/>
      <c r="AT1390" s="554"/>
      <c r="AU1390" s="554">
        <f>I1390*2</f>
        <v>6000</v>
      </c>
      <c r="AV1390" s="554"/>
      <c r="AW1390" s="554"/>
      <c r="AX1390" s="714"/>
      <c r="AY1390" s="554"/>
      <c r="AZ1390" s="554"/>
      <c r="BA1390" s="554"/>
      <c r="BB1390" s="249">
        <f>I1390/24*2</f>
        <v>250</v>
      </c>
      <c r="BC1390" s="554"/>
      <c r="BD1390" s="554"/>
      <c r="BE1390" s="554"/>
      <c r="BF1390" s="554"/>
      <c r="BH1390" s="554"/>
      <c r="BI1390" s="554"/>
      <c r="BJ1390" s="554"/>
      <c r="BK1390" s="554"/>
      <c r="BL1390" s="554"/>
      <c r="BM1390" s="554"/>
      <c r="BN1390" s="554"/>
      <c r="BO1390" s="554"/>
      <c r="BP1390" s="554"/>
      <c r="BQ1390" s="554"/>
      <c r="BR1390" s="554"/>
      <c r="BS1390" s="554"/>
      <c r="BT1390" s="554"/>
      <c r="BU1390" s="554"/>
      <c r="BV1390" s="554"/>
      <c r="BW1390" s="554"/>
      <c r="BX1390" s="554"/>
      <c r="BY1390" s="554"/>
      <c r="BZ1390" s="554"/>
      <c r="CA1390" s="720"/>
      <c r="CB1390" s="567"/>
      <c r="CC1390" s="721"/>
      <c r="CD1390" s="554"/>
      <c r="CE1390" s="554"/>
      <c r="CF1390" s="554"/>
      <c r="CG1390" s="554"/>
      <c r="CI1390" s="554"/>
      <c r="CJ1390" s="554"/>
      <c r="CK1390" s="554"/>
      <c r="CL1390" s="554"/>
      <c r="CM1390" s="554"/>
      <c r="CN1390" s="554"/>
      <c r="CO1390" s="554"/>
      <c r="CP1390" s="619"/>
      <c r="CQ1390" s="619"/>
      <c r="CR1390" s="554">
        <f>I1390</f>
        <v>3000</v>
      </c>
      <c r="CS1390" s="554">
        <f>I1390</f>
        <v>3000</v>
      </c>
      <c r="CT1390" s="554">
        <f>I1390</f>
        <v>3000</v>
      </c>
      <c r="CU1390" s="554">
        <f t="shared" si="530"/>
        <v>0</v>
      </c>
      <c r="CV1390" s="554">
        <v>0</v>
      </c>
      <c r="CW1390" s="554">
        <v>0</v>
      </c>
      <c r="CX1390" s="619"/>
      <c r="CY1390" s="619"/>
      <c r="CZ1390" s="619"/>
      <c r="DA1390" s="619"/>
      <c r="DB1390" s="619"/>
      <c r="DC1390" s="619"/>
      <c r="DD1390" s="619"/>
      <c r="DE1390" s="619"/>
      <c r="DF1390" s="619"/>
      <c r="DG1390" s="619"/>
      <c r="DH1390" s="619"/>
    </row>
    <row r="1391" s="548" customFormat="1" ht="31" customHeight="1" spans="1:112">
      <c r="A1391" s="608">
        <v>46115</v>
      </c>
      <c r="B1391" s="609" t="s">
        <v>9401</v>
      </c>
      <c r="C1391" s="610" t="s">
        <v>241</v>
      </c>
      <c r="D1391" s="727">
        <v>4500199975</v>
      </c>
      <c r="E1391" s="613">
        <v>32827021</v>
      </c>
      <c r="F1391" s="554" t="s">
        <v>9402</v>
      </c>
      <c r="G1391" s="610" t="s">
        <v>6047</v>
      </c>
      <c r="H1391" s="610" t="s">
        <v>6069</v>
      </c>
      <c r="I1391" s="715">
        <v>2500</v>
      </c>
      <c r="J1391" s="610">
        <v>0</v>
      </c>
      <c r="K1391" s="610">
        <v>25</v>
      </c>
      <c r="L1391" s="611">
        <f t="shared" si="522"/>
        <v>100</v>
      </c>
      <c r="M1391" s="612">
        <v>46164</v>
      </c>
      <c r="N1391" s="612">
        <v>46160</v>
      </c>
      <c r="O1391" s="723" t="s">
        <v>9403</v>
      </c>
      <c r="P1391" s="610" t="s">
        <v>9369</v>
      </c>
      <c r="Q1391" s="614"/>
      <c r="R1391" s="614">
        <v>46115</v>
      </c>
      <c r="S1391" s="614" t="s">
        <v>70</v>
      </c>
      <c r="T1391" s="614" t="s">
        <v>7714</v>
      </c>
      <c r="U1391" s="614"/>
      <c r="V1391" s="614"/>
      <c r="W1391" s="615"/>
      <c r="X1391" s="609" t="s">
        <v>9404</v>
      </c>
      <c r="Y1391" s="616" t="s">
        <v>299</v>
      </c>
      <c r="Z1391" s="609">
        <v>0.9893</v>
      </c>
      <c r="AA1391" s="616">
        <f t="shared" si="524"/>
        <v>2473.25</v>
      </c>
      <c r="AC1391" s="697"/>
      <c r="AD1391" s="610" t="s">
        <v>6047</v>
      </c>
      <c r="AE1391" s="610" t="s">
        <v>82</v>
      </c>
      <c r="AF1391" s="610"/>
      <c r="AG1391" s="610"/>
      <c r="AH1391" s="609">
        <v>1</v>
      </c>
      <c r="AI1391" s="725">
        <v>2500</v>
      </c>
      <c r="AJ1391" s="610">
        <f t="shared" si="525"/>
        <v>0</v>
      </c>
      <c r="AK1391" s="613"/>
      <c r="AL1391" s="610" t="s">
        <v>2368</v>
      </c>
      <c r="AM1391" s="610"/>
      <c r="AN1391" s="610"/>
      <c r="AO1391" s="554">
        <f t="shared" ref="AO1391:AO1397" si="533">I1391</f>
        <v>2500</v>
      </c>
      <c r="AP1391" s="554"/>
      <c r="AQ1391" s="554"/>
      <c r="AR1391" s="554"/>
      <c r="AS1391" s="554"/>
      <c r="AT1391" s="554">
        <f t="shared" ref="AT1391:AT1397" si="534">I1391</f>
        <v>2500</v>
      </c>
      <c r="AU1391" s="554"/>
      <c r="AV1391" s="554">
        <f>I1391</f>
        <v>2500</v>
      </c>
      <c r="AW1391" s="554"/>
      <c r="AX1391" s="714"/>
      <c r="AY1391" s="554"/>
      <c r="AZ1391" s="554"/>
      <c r="BA1391" s="554"/>
      <c r="BB1391" s="620">
        <f t="shared" ref="BB1391:BB1398" si="535">I1391/24</f>
        <v>104.166666666667</v>
      </c>
      <c r="BC1391" s="554"/>
      <c r="BD1391" s="554"/>
      <c r="BE1391" s="554"/>
      <c r="BF1391" s="554"/>
      <c r="BH1391" s="554"/>
      <c r="BI1391" s="554"/>
      <c r="BJ1391" s="554"/>
      <c r="BK1391" s="554"/>
      <c r="BL1391" s="554"/>
      <c r="BM1391" s="554"/>
      <c r="BN1391" s="554"/>
      <c r="BO1391" s="554"/>
      <c r="BP1391" s="554">
        <f>I1391/25</f>
        <v>100</v>
      </c>
      <c r="BQ1391" s="554"/>
      <c r="BR1391" s="554"/>
      <c r="BS1391" s="554"/>
      <c r="BT1391" s="554"/>
      <c r="BU1391" s="554"/>
      <c r="BV1391" s="554"/>
      <c r="BW1391" s="554"/>
      <c r="BX1391" s="554"/>
      <c r="BY1391" s="554"/>
      <c r="BZ1391" s="554"/>
      <c r="CA1391" s="720"/>
      <c r="CB1391" s="567"/>
      <c r="CC1391" s="721"/>
      <c r="CD1391" s="554"/>
      <c r="CE1391" s="554"/>
      <c r="CF1391" s="554"/>
      <c r="CG1391" s="554"/>
      <c r="CI1391" s="554"/>
      <c r="CJ1391" s="554"/>
      <c r="CK1391" s="554"/>
      <c r="CL1391" s="554"/>
      <c r="CM1391" s="554"/>
      <c r="CN1391" s="554"/>
      <c r="CO1391" s="554"/>
      <c r="CP1391" s="619"/>
      <c r="CQ1391" s="619"/>
      <c r="CR1391" s="554"/>
      <c r="CS1391" s="554"/>
      <c r="CT1391" s="554"/>
      <c r="CU1391" s="554">
        <f t="shared" si="530"/>
        <v>100</v>
      </c>
      <c r="CV1391" s="554">
        <f t="shared" ref="CV1391:CV1398" si="536">CK1391+CL1391+CM1391+CN1391+CO1391+CQ1391+CP1391</f>
        <v>0</v>
      </c>
      <c r="CW1391" s="554">
        <f t="shared" ref="CW1391:CW1398" si="537">CI1391+CJ1391</f>
        <v>0</v>
      </c>
      <c r="CX1391" s="619"/>
      <c r="CY1391" s="619"/>
      <c r="CZ1391" s="619"/>
      <c r="DA1391" s="619"/>
      <c r="DB1391" s="619"/>
      <c r="DC1391" s="619"/>
      <c r="DD1391" s="619"/>
      <c r="DE1391" s="619"/>
      <c r="DF1391" s="619"/>
      <c r="DG1391" s="619"/>
      <c r="DH1391" s="619"/>
    </row>
    <row r="1392" s="548" customFormat="1" ht="31" customHeight="1" spans="1:112">
      <c r="A1392" s="608">
        <v>46121</v>
      </c>
      <c r="B1392" s="609" t="s">
        <v>448</v>
      </c>
      <c r="C1392" s="610" t="s">
        <v>399</v>
      </c>
      <c r="D1392" s="727">
        <v>4500200896</v>
      </c>
      <c r="E1392" s="610" t="s">
        <v>3846</v>
      </c>
      <c r="F1392" s="554" t="s">
        <v>9405</v>
      </c>
      <c r="G1392" s="610" t="s">
        <v>6093</v>
      </c>
      <c r="H1392" s="610" t="s">
        <v>6094</v>
      </c>
      <c r="I1392" s="610">
        <v>7241</v>
      </c>
      <c r="J1392" s="610">
        <v>0</v>
      </c>
      <c r="K1392" s="610">
        <v>13</v>
      </c>
      <c r="L1392" s="611">
        <f t="shared" si="522"/>
        <v>557</v>
      </c>
      <c r="M1392" s="612">
        <v>46164</v>
      </c>
      <c r="N1392" s="612">
        <v>46160</v>
      </c>
      <c r="O1392" s="613" t="s">
        <v>3876</v>
      </c>
      <c r="P1392" s="613" t="s">
        <v>9369</v>
      </c>
      <c r="Q1392" s="610"/>
      <c r="R1392" s="614">
        <v>46121</v>
      </c>
      <c r="S1392" s="614" t="s">
        <v>70</v>
      </c>
      <c r="T1392" s="614" t="s">
        <v>9406</v>
      </c>
      <c r="U1392" s="614"/>
      <c r="V1392" s="614" t="s">
        <v>9407</v>
      </c>
      <c r="W1392" s="615"/>
      <c r="X1392" s="609" t="s">
        <v>9408</v>
      </c>
      <c r="Y1392" s="609" t="s">
        <v>445</v>
      </c>
      <c r="Z1392" s="609">
        <v>0.8895</v>
      </c>
      <c r="AA1392" s="616">
        <f t="shared" si="524"/>
        <v>6440.8695</v>
      </c>
      <c r="AC1392" s="617"/>
      <c r="AD1392" s="610" t="s">
        <v>6093</v>
      </c>
      <c r="AE1392" s="610" t="s">
        <v>82</v>
      </c>
      <c r="AF1392" s="610"/>
      <c r="AG1392" s="610"/>
      <c r="AH1392" s="609">
        <v>1</v>
      </c>
      <c r="AI1392" s="725">
        <v>7241</v>
      </c>
      <c r="AJ1392" s="610">
        <f t="shared" si="525"/>
        <v>0</v>
      </c>
      <c r="AK1392" s="610"/>
      <c r="AL1392" s="610" t="s">
        <v>2368</v>
      </c>
      <c r="AM1392" s="610"/>
      <c r="AN1392" s="610"/>
      <c r="AO1392" s="554">
        <f t="shared" si="533"/>
        <v>7241</v>
      </c>
      <c r="AP1392" s="554"/>
      <c r="AQ1392" s="554"/>
      <c r="AR1392" s="619"/>
      <c r="AS1392" s="554"/>
      <c r="AT1392" s="554">
        <f t="shared" si="534"/>
        <v>7241</v>
      </c>
      <c r="AU1392" s="554"/>
      <c r="AV1392" s="554">
        <f t="shared" ref="AV1391:AV1397" si="538">I1392</f>
        <v>7241</v>
      </c>
      <c r="AW1392" s="619"/>
      <c r="AX1392" s="554"/>
      <c r="AY1392" s="554"/>
      <c r="AZ1392" s="554"/>
      <c r="BA1392" s="554"/>
      <c r="BB1392" s="620">
        <f t="shared" si="535"/>
        <v>301.708333333333</v>
      </c>
      <c r="BC1392" s="554"/>
      <c r="BD1392" s="554"/>
      <c r="BE1392" s="554"/>
      <c r="BF1392" s="554"/>
      <c r="BH1392" s="554"/>
      <c r="BI1392" s="554"/>
      <c r="BJ1392" s="554"/>
      <c r="BK1392" s="554"/>
      <c r="BL1392" s="554"/>
      <c r="BM1392" s="554">
        <f>I1392/13</f>
        <v>557</v>
      </c>
      <c r="BN1392" s="554"/>
      <c r="BO1392" s="554"/>
      <c r="BP1392" s="554"/>
      <c r="BQ1392" s="554"/>
      <c r="BR1392" s="554"/>
      <c r="BS1392" s="554"/>
      <c r="BT1392" s="554"/>
      <c r="BU1392" s="554"/>
      <c r="BV1392" s="554"/>
      <c r="BW1392" s="554"/>
      <c r="BX1392" s="554"/>
      <c r="BY1392" s="619"/>
      <c r="BZ1392" s="554"/>
      <c r="CA1392" s="621"/>
      <c r="CB1392" s="567"/>
      <c r="CC1392" s="622"/>
      <c r="CD1392" s="619"/>
      <c r="CE1392" s="619"/>
      <c r="CF1392" s="554"/>
      <c r="CG1392" s="554"/>
      <c r="CI1392" s="554"/>
      <c r="CJ1392" s="554"/>
      <c r="CK1392" s="554"/>
      <c r="CL1392" s="554"/>
      <c r="CM1392" s="554"/>
      <c r="CN1392" s="554"/>
      <c r="CO1392" s="554"/>
      <c r="CP1392" s="554"/>
      <c r="CQ1392" s="554"/>
      <c r="CR1392" s="554"/>
      <c r="CS1392" s="554"/>
      <c r="CT1392" s="554"/>
      <c r="CU1392" s="554">
        <f t="shared" si="530"/>
        <v>0</v>
      </c>
      <c r="CV1392" s="554">
        <f t="shared" si="536"/>
        <v>0</v>
      </c>
      <c r="CW1392" s="554">
        <f t="shared" si="537"/>
        <v>0</v>
      </c>
      <c r="CX1392" s="619"/>
      <c r="CY1392" s="619"/>
      <c r="CZ1392" s="619"/>
      <c r="DA1392" s="548"/>
      <c r="DB1392" s="548"/>
      <c r="DC1392" s="548"/>
      <c r="DD1392" s="619"/>
      <c r="DE1392" s="619"/>
      <c r="DF1392" s="619"/>
      <c r="DG1392" s="619"/>
      <c r="DH1392" s="619"/>
    </row>
    <row r="1393" s="548" customFormat="1" ht="30" customHeight="1" spans="1:112">
      <c r="A1393" s="608">
        <v>46121</v>
      </c>
      <c r="B1393" s="609" t="s">
        <v>448</v>
      </c>
      <c r="C1393" s="610" t="s">
        <v>399</v>
      </c>
      <c r="D1393" s="727">
        <v>4500200896</v>
      </c>
      <c r="E1393" s="610" t="s">
        <v>3846</v>
      </c>
      <c r="F1393" s="554" t="s">
        <v>9409</v>
      </c>
      <c r="G1393" s="610" t="s">
        <v>6223</v>
      </c>
      <c r="H1393" s="610" t="s">
        <v>6080</v>
      </c>
      <c r="I1393" s="610">
        <v>8220</v>
      </c>
      <c r="J1393" s="610">
        <v>0</v>
      </c>
      <c r="K1393" s="610">
        <v>30</v>
      </c>
      <c r="L1393" s="611">
        <f t="shared" si="522"/>
        <v>274</v>
      </c>
      <c r="M1393" s="612">
        <v>46164</v>
      </c>
      <c r="N1393" s="612">
        <v>46160</v>
      </c>
      <c r="O1393" s="613" t="s">
        <v>3876</v>
      </c>
      <c r="P1393" s="613" t="s">
        <v>9369</v>
      </c>
      <c r="Q1393" s="610"/>
      <c r="R1393" s="614">
        <v>46121</v>
      </c>
      <c r="S1393" s="614" t="s">
        <v>70</v>
      </c>
      <c r="T1393" s="614" t="s">
        <v>9410</v>
      </c>
      <c r="U1393" s="614"/>
      <c r="V1393" s="614" t="s">
        <v>9407</v>
      </c>
      <c r="W1393" s="615"/>
      <c r="X1393" s="609" t="s">
        <v>9411</v>
      </c>
      <c r="Y1393" s="609" t="s">
        <v>445</v>
      </c>
      <c r="Z1393" s="722">
        <v>36.4123</v>
      </c>
      <c r="AA1393" s="616">
        <f>Z1393*L1393</f>
        <v>9976.9702</v>
      </c>
      <c r="AC1393" s="617"/>
      <c r="AD1393" s="610" t="s">
        <v>6223</v>
      </c>
      <c r="AE1393" s="610" t="s">
        <v>82</v>
      </c>
      <c r="AF1393" s="610"/>
      <c r="AG1393" s="610"/>
      <c r="AH1393" s="609">
        <v>1</v>
      </c>
      <c r="AI1393" s="610">
        <f>1380+6840</f>
        <v>8220</v>
      </c>
      <c r="AJ1393" s="610">
        <f t="shared" si="525"/>
        <v>0</v>
      </c>
      <c r="AK1393" s="610"/>
      <c r="AL1393" s="610" t="s">
        <v>2368</v>
      </c>
      <c r="AM1393" s="610"/>
      <c r="AN1393" s="610"/>
      <c r="AO1393" s="554">
        <f t="shared" si="533"/>
        <v>8220</v>
      </c>
      <c r="AP1393" s="554"/>
      <c r="AQ1393" s="554"/>
      <c r="AR1393" s="619"/>
      <c r="AS1393" s="554"/>
      <c r="AT1393" s="554">
        <f t="shared" si="534"/>
        <v>8220</v>
      </c>
      <c r="AU1393" s="554"/>
      <c r="AV1393" s="554">
        <f t="shared" si="538"/>
        <v>8220</v>
      </c>
      <c r="AW1393" s="619"/>
      <c r="AX1393" s="554"/>
      <c r="AY1393" s="554"/>
      <c r="AZ1393" s="554"/>
      <c r="BA1393" s="554"/>
      <c r="BB1393" s="620">
        <f t="shared" si="535"/>
        <v>342.5</v>
      </c>
      <c r="BC1393" s="714"/>
      <c r="BD1393" s="554"/>
      <c r="BE1393" s="554"/>
      <c r="BF1393" s="554"/>
      <c r="BH1393" s="554"/>
      <c r="BI1393" s="554"/>
      <c r="BJ1393" s="554"/>
      <c r="BK1393" s="554"/>
      <c r="BL1393" s="554"/>
      <c r="BM1393" s="554"/>
      <c r="BN1393" s="554"/>
      <c r="BO1393" s="554"/>
      <c r="BP1393" s="554"/>
      <c r="BQ1393" s="554"/>
      <c r="BR1393" s="554"/>
      <c r="BS1393" s="554"/>
      <c r="BT1393" s="554"/>
      <c r="BU1393" s="554"/>
      <c r="BV1393" s="554"/>
      <c r="BW1393" s="554"/>
      <c r="BX1393" s="554"/>
      <c r="BY1393" s="619"/>
      <c r="BZ1393" s="554"/>
      <c r="CA1393" s="621"/>
      <c r="CB1393" s="567"/>
      <c r="CC1393" s="622"/>
      <c r="CD1393" s="619"/>
      <c r="CE1393" s="619"/>
      <c r="CF1393" s="554"/>
      <c r="CG1393" s="554"/>
      <c r="CI1393" s="554"/>
      <c r="CJ1393" s="554"/>
      <c r="CK1393" s="554"/>
      <c r="CL1393" s="554"/>
      <c r="CM1393" s="554"/>
      <c r="CN1393" s="554"/>
      <c r="CO1393" s="554"/>
      <c r="CP1393" s="554">
        <f>I1393/30</f>
        <v>274</v>
      </c>
      <c r="CQ1393" s="554"/>
      <c r="CR1393" s="554"/>
      <c r="CS1393" s="554"/>
      <c r="CT1393" s="554"/>
      <c r="CU1393" s="554">
        <f t="shared" si="530"/>
        <v>0</v>
      </c>
      <c r="CV1393" s="554">
        <f t="shared" si="536"/>
        <v>274</v>
      </c>
      <c r="CW1393" s="554">
        <f t="shared" si="537"/>
        <v>0</v>
      </c>
      <c r="CX1393" s="619"/>
      <c r="CY1393" s="619"/>
      <c r="CZ1393" s="619"/>
      <c r="DA1393" s="548"/>
      <c r="DB1393" s="548"/>
      <c r="DC1393" s="548"/>
      <c r="DD1393" s="619"/>
      <c r="DE1393" s="619"/>
      <c r="DF1393" s="619"/>
      <c r="DG1393" s="619"/>
      <c r="DH1393" s="619"/>
    </row>
    <row r="1394" s="548" customFormat="1" ht="31" customHeight="1" spans="1:112">
      <c r="A1394" s="608">
        <v>46128</v>
      </c>
      <c r="B1394" s="609" t="s">
        <v>2506</v>
      </c>
      <c r="C1394" s="610" t="s">
        <v>198</v>
      </c>
      <c r="D1394" s="554">
        <v>4500202248</v>
      </c>
      <c r="E1394" s="610">
        <v>5200009635</v>
      </c>
      <c r="F1394" s="554" t="s">
        <v>9412</v>
      </c>
      <c r="G1394" s="610" t="s">
        <v>6120</v>
      </c>
      <c r="H1394" s="610" t="s">
        <v>6094</v>
      </c>
      <c r="I1394" s="715">
        <v>2860</v>
      </c>
      <c r="J1394" s="610">
        <v>0</v>
      </c>
      <c r="K1394" s="610">
        <v>13</v>
      </c>
      <c r="L1394" s="611">
        <f t="shared" si="522"/>
        <v>220</v>
      </c>
      <c r="M1394" s="612">
        <v>46164</v>
      </c>
      <c r="N1394" s="612">
        <v>46160</v>
      </c>
      <c r="O1394" s="613"/>
      <c r="P1394" s="610" t="s">
        <v>9369</v>
      </c>
      <c r="Q1394" s="614"/>
      <c r="R1394" s="614">
        <v>46133</v>
      </c>
      <c r="S1394" s="614" t="s">
        <v>70</v>
      </c>
      <c r="T1394" s="614" t="s">
        <v>3891</v>
      </c>
      <c r="U1394" s="614"/>
      <c r="V1394" s="614"/>
      <c r="W1394" s="615"/>
      <c r="X1394" s="609" t="s">
        <v>9413</v>
      </c>
      <c r="Y1394" s="616" t="s">
        <v>3894</v>
      </c>
      <c r="Z1394" s="609">
        <v>0.9116</v>
      </c>
      <c r="AA1394" s="616">
        <f>Z1394*I1394</f>
        <v>2607.176</v>
      </c>
      <c r="AC1394" s="697"/>
      <c r="AD1394" s="610" t="s">
        <v>6093</v>
      </c>
      <c r="AE1394" s="610" t="s">
        <v>82</v>
      </c>
      <c r="AF1394" s="610"/>
      <c r="AG1394" s="610"/>
      <c r="AH1394" s="609">
        <v>1</v>
      </c>
      <c r="AI1394" s="725">
        <v>2860</v>
      </c>
      <c r="AJ1394" s="610">
        <f t="shared" si="525"/>
        <v>0</v>
      </c>
      <c r="AK1394" s="613"/>
      <c r="AL1394" s="610" t="s">
        <v>2368</v>
      </c>
      <c r="AM1394" s="610"/>
      <c r="AN1394" s="554"/>
      <c r="AO1394" s="554">
        <f t="shared" si="533"/>
        <v>2860</v>
      </c>
      <c r="AP1394" s="554"/>
      <c r="AQ1394" s="554"/>
      <c r="AR1394" s="554"/>
      <c r="AS1394" s="554"/>
      <c r="AT1394" s="554">
        <f t="shared" si="534"/>
        <v>2860</v>
      </c>
      <c r="AU1394" s="554"/>
      <c r="AV1394" s="554">
        <f t="shared" si="538"/>
        <v>2860</v>
      </c>
      <c r="AW1394" s="554"/>
      <c r="AX1394" s="714"/>
      <c r="AY1394" s="554"/>
      <c r="AZ1394" s="554"/>
      <c r="BA1394" s="554"/>
      <c r="BB1394" s="620">
        <f t="shared" si="535"/>
        <v>119.166666666667</v>
      </c>
      <c r="BC1394" s="554"/>
      <c r="BD1394" s="554"/>
      <c r="BE1394" s="554"/>
      <c r="BF1394" s="554"/>
      <c r="BH1394" s="554"/>
      <c r="BI1394" s="554"/>
      <c r="BJ1394" s="554"/>
      <c r="BK1394" s="554"/>
      <c r="BL1394" s="554"/>
      <c r="BM1394" s="554">
        <f>I1394/13</f>
        <v>220</v>
      </c>
      <c r="BN1394" s="554"/>
      <c r="BO1394" s="554"/>
      <c r="BP1394" s="554"/>
      <c r="BQ1394" s="554"/>
      <c r="BR1394" s="554"/>
      <c r="BS1394" s="554"/>
      <c r="BT1394" s="554"/>
      <c r="BU1394" s="554"/>
      <c r="BV1394" s="554"/>
      <c r="BW1394" s="554"/>
      <c r="BX1394" s="554"/>
      <c r="BY1394" s="554"/>
      <c r="BZ1394" s="554"/>
      <c r="CA1394" s="720"/>
      <c r="CB1394" s="567"/>
      <c r="CC1394" s="721"/>
      <c r="CD1394" s="554"/>
      <c r="CE1394" s="554"/>
      <c r="CF1394" s="554"/>
      <c r="CG1394" s="554"/>
      <c r="CI1394" s="554"/>
      <c r="CJ1394" s="554"/>
      <c r="CK1394" s="554"/>
      <c r="CL1394" s="554"/>
      <c r="CM1394" s="554"/>
      <c r="CN1394" s="554"/>
      <c r="CO1394" s="554"/>
      <c r="CP1394" s="619"/>
      <c r="CQ1394" s="619"/>
      <c r="CR1394" s="619"/>
      <c r="CS1394" s="619"/>
      <c r="CT1394" s="619"/>
      <c r="CU1394" s="554">
        <f t="shared" si="530"/>
        <v>0</v>
      </c>
      <c r="CV1394" s="554">
        <f t="shared" si="536"/>
        <v>0</v>
      </c>
      <c r="CW1394" s="554">
        <f t="shared" si="537"/>
        <v>0</v>
      </c>
      <c r="CX1394" s="619"/>
      <c r="CY1394" s="619"/>
      <c r="CZ1394" s="619"/>
      <c r="DA1394" s="619"/>
      <c r="DB1394" s="619"/>
      <c r="DC1394" s="619"/>
      <c r="DD1394" s="619"/>
      <c r="DE1394" s="619"/>
      <c r="DF1394" s="619"/>
      <c r="DG1394" s="619"/>
      <c r="DH1394" s="619"/>
    </row>
    <row r="1395" s="548" customFormat="1" ht="31" customHeight="1" spans="1:112">
      <c r="A1395" s="608">
        <v>46128</v>
      </c>
      <c r="B1395" s="609" t="s">
        <v>2506</v>
      </c>
      <c r="C1395" s="610" t="s">
        <v>198</v>
      </c>
      <c r="D1395" s="554">
        <v>4500202248</v>
      </c>
      <c r="E1395" s="610">
        <v>5200009635</v>
      </c>
      <c r="F1395" s="554" t="s">
        <v>9414</v>
      </c>
      <c r="G1395" s="610" t="s">
        <v>9415</v>
      </c>
      <c r="H1395" s="610" t="s">
        <v>6069</v>
      </c>
      <c r="I1395" s="715">
        <v>2025</v>
      </c>
      <c r="J1395" s="610">
        <v>0</v>
      </c>
      <c r="K1395" s="610">
        <v>25</v>
      </c>
      <c r="L1395" s="611">
        <f t="shared" si="522"/>
        <v>81</v>
      </c>
      <c r="M1395" s="612">
        <v>46164</v>
      </c>
      <c r="N1395" s="612">
        <v>46160</v>
      </c>
      <c r="O1395" s="613"/>
      <c r="P1395" s="610" t="s">
        <v>9369</v>
      </c>
      <c r="Q1395" s="614"/>
      <c r="R1395" s="614">
        <v>46133</v>
      </c>
      <c r="S1395" s="614" t="s">
        <v>70</v>
      </c>
      <c r="T1395" s="614" t="s">
        <v>3891</v>
      </c>
      <c r="U1395" s="614"/>
      <c r="V1395" s="614"/>
      <c r="W1395" s="615"/>
      <c r="X1395" s="609" t="s">
        <v>9416</v>
      </c>
      <c r="Y1395" s="616" t="s">
        <v>3894</v>
      </c>
      <c r="Z1395" s="609">
        <v>0.9756</v>
      </c>
      <c r="AA1395" s="616">
        <f>Z1395*I1395</f>
        <v>1975.59</v>
      </c>
      <c r="AC1395" s="697"/>
      <c r="AD1395" s="610" t="s">
        <v>6047</v>
      </c>
      <c r="AE1395" s="610" t="s">
        <v>82</v>
      </c>
      <c r="AF1395" s="610"/>
      <c r="AG1395" s="610"/>
      <c r="AH1395" s="609">
        <v>1</v>
      </c>
      <c r="AI1395" s="725">
        <v>2025</v>
      </c>
      <c r="AJ1395" s="610">
        <f t="shared" si="525"/>
        <v>0</v>
      </c>
      <c r="AK1395" s="613"/>
      <c r="AL1395" s="610" t="s">
        <v>2368</v>
      </c>
      <c r="AM1395" s="610"/>
      <c r="AN1395" s="554"/>
      <c r="AO1395" s="554">
        <f t="shared" si="533"/>
        <v>2025</v>
      </c>
      <c r="AP1395" s="554"/>
      <c r="AQ1395" s="554"/>
      <c r="AR1395" s="554"/>
      <c r="AS1395" s="554"/>
      <c r="AT1395" s="554">
        <f t="shared" si="534"/>
        <v>2025</v>
      </c>
      <c r="AU1395" s="554"/>
      <c r="AV1395" s="554">
        <f t="shared" si="538"/>
        <v>2025</v>
      </c>
      <c r="AW1395" s="554"/>
      <c r="AX1395" s="714"/>
      <c r="AY1395" s="554"/>
      <c r="AZ1395" s="554"/>
      <c r="BA1395" s="554"/>
      <c r="BB1395" s="620">
        <f t="shared" si="535"/>
        <v>84.375</v>
      </c>
      <c r="BC1395" s="554"/>
      <c r="BD1395" s="554"/>
      <c r="BE1395" s="554"/>
      <c r="BF1395" s="554"/>
      <c r="BH1395" s="554"/>
      <c r="BI1395" s="554"/>
      <c r="BJ1395" s="554"/>
      <c r="BK1395" s="554"/>
      <c r="BL1395" s="554"/>
      <c r="BM1395" s="554"/>
      <c r="BN1395" s="554"/>
      <c r="BO1395" s="554"/>
      <c r="BP1395" s="554">
        <f>I1395/25</f>
        <v>81</v>
      </c>
      <c r="BQ1395" s="554"/>
      <c r="BR1395" s="554"/>
      <c r="BS1395" s="554"/>
      <c r="BT1395" s="554"/>
      <c r="BU1395" s="554"/>
      <c r="BV1395" s="554"/>
      <c r="BW1395" s="554"/>
      <c r="BX1395" s="554"/>
      <c r="BY1395" s="554"/>
      <c r="BZ1395" s="554"/>
      <c r="CA1395" s="720"/>
      <c r="CB1395" s="567"/>
      <c r="CC1395" s="721"/>
      <c r="CD1395" s="554"/>
      <c r="CE1395" s="554"/>
      <c r="CF1395" s="554"/>
      <c r="CG1395" s="554"/>
      <c r="CI1395" s="554"/>
      <c r="CJ1395" s="554"/>
      <c r="CK1395" s="554"/>
      <c r="CL1395" s="554"/>
      <c r="CM1395" s="554"/>
      <c r="CN1395" s="554"/>
      <c r="CO1395" s="554"/>
      <c r="CP1395" s="619"/>
      <c r="CQ1395" s="619"/>
      <c r="CR1395" s="619"/>
      <c r="CS1395" s="619"/>
      <c r="CT1395" s="619"/>
      <c r="CU1395" s="554">
        <f t="shared" si="530"/>
        <v>81</v>
      </c>
      <c r="CV1395" s="554">
        <f t="shared" si="536"/>
        <v>0</v>
      </c>
      <c r="CW1395" s="554">
        <f t="shared" si="537"/>
        <v>0</v>
      </c>
      <c r="CX1395" s="619"/>
      <c r="CY1395" s="619"/>
      <c r="CZ1395" s="619"/>
      <c r="DA1395" s="619"/>
      <c r="DB1395" s="619"/>
      <c r="DC1395" s="619"/>
      <c r="DD1395" s="619"/>
      <c r="DE1395" s="619"/>
      <c r="DF1395" s="619"/>
      <c r="DG1395" s="619"/>
      <c r="DH1395" s="619"/>
    </row>
    <row r="1396" s="548" customFormat="1" ht="31" customHeight="1" spans="1:112">
      <c r="A1396" s="608">
        <v>46121</v>
      </c>
      <c r="B1396" s="609" t="s">
        <v>3905</v>
      </c>
      <c r="C1396" s="610" t="s">
        <v>765</v>
      </c>
      <c r="D1396" s="727">
        <v>4500200650</v>
      </c>
      <c r="E1396" s="610" t="s">
        <v>9417</v>
      </c>
      <c r="F1396" s="554" t="s">
        <v>9418</v>
      </c>
      <c r="G1396" s="610" t="s">
        <v>6093</v>
      </c>
      <c r="H1396" s="610" t="s">
        <v>6094</v>
      </c>
      <c r="I1396" s="610">
        <v>2600</v>
      </c>
      <c r="J1396" s="610">
        <v>0</v>
      </c>
      <c r="K1396" s="610">
        <v>13</v>
      </c>
      <c r="L1396" s="611">
        <f t="shared" si="522"/>
        <v>200</v>
      </c>
      <c r="M1396" s="612">
        <v>46167</v>
      </c>
      <c r="N1396" s="612">
        <v>46163</v>
      </c>
      <c r="O1396" s="613"/>
      <c r="P1396" s="613" t="s">
        <v>9369</v>
      </c>
      <c r="Q1396" s="640">
        <v>46181</v>
      </c>
      <c r="R1396" s="614">
        <v>46135</v>
      </c>
      <c r="S1396" s="614" t="s">
        <v>70</v>
      </c>
      <c r="T1396" s="614" t="s">
        <v>9419</v>
      </c>
      <c r="U1396" s="614"/>
      <c r="V1396" s="614"/>
      <c r="W1396" s="615"/>
      <c r="X1396" s="609" t="s">
        <v>9420</v>
      </c>
      <c r="Y1396" s="609" t="s">
        <v>3912</v>
      </c>
      <c r="Z1396" s="609">
        <v>0.9116</v>
      </c>
      <c r="AA1396" s="616">
        <f>Z1396*I1396</f>
        <v>2370.16</v>
      </c>
      <c r="AC1396" s="617"/>
      <c r="AD1396" s="610" t="s">
        <v>6093</v>
      </c>
      <c r="AE1396" s="610" t="s">
        <v>82</v>
      </c>
      <c r="AF1396" s="610"/>
      <c r="AG1396" s="610"/>
      <c r="AH1396" s="609">
        <v>1</v>
      </c>
      <c r="AI1396" s="725">
        <v>2600</v>
      </c>
      <c r="AJ1396" s="610">
        <f t="shared" si="525"/>
        <v>0</v>
      </c>
      <c r="AK1396" s="610"/>
      <c r="AL1396" s="610" t="s">
        <v>2368</v>
      </c>
      <c r="AM1396" s="610"/>
      <c r="AN1396" s="610"/>
      <c r="AO1396" s="554">
        <f t="shared" si="533"/>
        <v>2600</v>
      </c>
      <c r="AP1396" s="554"/>
      <c r="AQ1396" s="554"/>
      <c r="AR1396" s="619"/>
      <c r="AS1396" s="554"/>
      <c r="AT1396" s="554">
        <f t="shared" si="534"/>
        <v>2600</v>
      </c>
      <c r="AU1396" s="554"/>
      <c r="AV1396" s="554">
        <f t="shared" si="538"/>
        <v>2600</v>
      </c>
      <c r="AW1396" s="619"/>
      <c r="AX1396" s="554"/>
      <c r="AY1396" s="554"/>
      <c r="AZ1396" s="554"/>
      <c r="BA1396" s="554"/>
      <c r="BB1396" s="620">
        <f t="shared" si="535"/>
        <v>108.333333333333</v>
      </c>
      <c r="BC1396" s="554"/>
      <c r="BD1396" s="554"/>
      <c r="BE1396" s="554"/>
      <c r="BF1396" s="554"/>
      <c r="BH1396" s="554"/>
      <c r="BI1396" s="554"/>
      <c r="BJ1396" s="554"/>
      <c r="BK1396" s="554"/>
      <c r="BL1396" s="554"/>
      <c r="BM1396" s="554">
        <f>I1396/13</f>
        <v>200</v>
      </c>
      <c r="BN1396" s="554"/>
      <c r="BO1396" s="554"/>
      <c r="BP1396" s="554"/>
      <c r="BQ1396" s="554"/>
      <c r="BR1396" s="554"/>
      <c r="BS1396" s="554"/>
      <c r="BT1396" s="554"/>
      <c r="BU1396" s="554"/>
      <c r="BV1396" s="554"/>
      <c r="BW1396" s="554"/>
      <c r="BX1396" s="554"/>
      <c r="BY1396" s="619"/>
      <c r="BZ1396" s="554"/>
      <c r="CA1396" s="621"/>
      <c r="CB1396" s="567"/>
      <c r="CC1396" s="622"/>
      <c r="CD1396" s="619"/>
      <c r="CE1396" s="619"/>
      <c r="CF1396" s="554"/>
      <c r="CG1396" s="554"/>
      <c r="CI1396" s="554"/>
      <c r="CJ1396" s="554"/>
      <c r="CK1396" s="554"/>
      <c r="CL1396" s="554"/>
      <c r="CM1396" s="554"/>
      <c r="CN1396" s="554"/>
      <c r="CO1396" s="554"/>
      <c r="CP1396" s="554"/>
      <c r="CQ1396" s="554"/>
      <c r="CR1396" s="554"/>
      <c r="CS1396" s="554"/>
      <c r="CT1396" s="554"/>
      <c r="CU1396" s="554">
        <f t="shared" si="530"/>
        <v>0</v>
      </c>
      <c r="CV1396" s="554">
        <f t="shared" si="536"/>
        <v>0</v>
      </c>
      <c r="CW1396" s="554">
        <f t="shared" si="537"/>
        <v>0</v>
      </c>
      <c r="CX1396" s="619"/>
      <c r="CY1396" s="619"/>
      <c r="CZ1396" s="619"/>
      <c r="DA1396" s="548"/>
      <c r="DB1396" s="548"/>
      <c r="DC1396" s="548"/>
      <c r="DD1396" s="619"/>
      <c r="DE1396" s="619"/>
      <c r="DF1396" s="619"/>
      <c r="DG1396" s="619"/>
      <c r="DH1396" s="619"/>
    </row>
    <row r="1397" s="548" customFormat="1" ht="31" customHeight="1" spans="1:112">
      <c r="A1397" s="608">
        <v>46115</v>
      </c>
      <c r="B1397" s="609" t="s">
        <v>2362</v>
      </c>
      <c r="C1397" s="610" t="s">
        <v>524</v>
      </c>
      <c r="D1397" s="727">
        <v>4500199969</v>
      </c>
      <c r="E1397" s="731">
        <v>62106764</v>
      </c>
      <c r="F1397" s="554" t="s">
        <v>9421</v>
      </c>
      <c r="G1397" s="610" t="s">
        <v>6043</v>
      </c>
      <c r="H1397" s="610" t="s">
        <v>6110</v>
      </c>
      <c r="I1397" s="715">
        <v>7000</v>
      </c>
      <c r="J1397" s="610">
        <v>0</v>
      </c>
      <c r="K1397" s="610">
        <v>50</v>
      </c>
      <c r="L1397" s="611">
        <f t="shared" si="522"/>
        <v>140</v>
      </c>
      <c r="M1397" s="612">
        <v>46167</v>
      </c>
      <c r="N1397" s="612">
        <v>46163</v>
      </c>
      <c r="O1397" s="613"/>
      <c r="P1397" s="610" t="s">
        <v>9369</v>
      </c>
      <c r="Q1397" s="614"/>
      <c r="R1397" s="614">
        <v>46139</v>
      </c>
      <c r="S1397" s="614" t="s">
        <v>70</v>
      </c>
      <c r="T1397" s="614" t="s">
        <v>9422</v>
      </c>
      <c r="U1397" s="614"/>
      <c r="V1397" s="614" t="s">
        <v>4101</v>
      </c>
      <c r="W1397" s="615"/>
      <c r="X1397" s="732" t="s">
        <v>9423</v>
      </c>
      <c r="Y1397" s="616" t="s">
        <v>529</v>
      </c>
      <c r="Z1397" s="609">
        <v>0.9696</v>
      </c>
      <c r="AA1397" s="616">
        <f>Z1397*I1397</f>
        <v>6787.2</v>
      </c>
      <c r="AC1397" s="697"/>
      <c r="AD1397" s="610" t="s">
        <v>6043</v>
      </c>
      <c r="AE1397" s="610" t="s">
        <v>82</v>
      </c>
      <c r="AF1397" s="610"/>
      <c r="AG1397" s="610"/>
      <c r="AH1397" s="609">
        <v>1</v>
      </c>
      <c r="AI1397" s="725">
        <v>7000</v>
      </c>
      <c r="AJ1397" s="610">
        <f t="shared" si="525"/>
        <v>0</v>
      </c>
      <c r="AK1397" s="613"/>
      <c r="AL1397" s="610" t="s">
        <v>2368</v>
      </c>
      <c r="AM1397" s="610"/>
      <c r="AN1397" s="610"/>
      <c r="AO1397" s="554">
        <f t="shared" si="533"/>
        <v>7000</v>
      </c>
      <c r="AP1397" s="554"/>
      <c r="AQ1397" s="554"/>
      <c r="AR1397" s="554"/>
      <c r="AS1397" s="554"/>
      <c r="AT1397" s="554">
        <f t="shared" si="534"/>
        <v>7000</v>
      </c>
      <c r="AU1397" s="554"/>
      <c r="AV1397" s="554">
        <f t="shared" si="538"/>
        <v>7000</v>
      </c>
      <c r="AW1397" s="554"/>
      <c r="AX1397" s="714"/>
      <c r="AY1397" s="554"/>
      <c r="AZ1397" s="554"/>
      <c r="BA1397" s="554"/>
      <c r="BB1397" s="620">
        <f t="shared" si="535"/>
        <v>291.666666666667</v>
      </c>
      <c r="BC1397" s="554"/>
      <c r="BD1397" s="554"/>
      <c r="BE1397" s="554"/>
      <c r="BF1397" s="554"/>
      <c r="BH1397" s="554"/>
      <c r="BI1397" s="554"/>
      <c r="BJ1397" s="554"/>
      <c r="BK1397" s="554"/>
      <c r="BL1397" s="554"/>
      <c r="BM1397" s="554"/>
      <c r="BN1397" s="554"/>
      <c r="BO1397" s="554"/>
      <c r="BP1397" s="554">
        <f>I1397/25</f>
        <v>280</v>
      </c>
      <c r="BQ1397" s="554"/>
      <c r="BR1397" s="554"/>
      <c r="BS1397" s="554"/>
      <c r="BT1397" s="554"/>
      <c r="BU1397" s="554"/>
      <c r="BV1397" s="554"/>
      <c r="BW1397" s="554"/>
      <c r="BX1397" s="554"/>
      <c r="BY1397" s="554"/>
      <c r="BZ1397" s="554"/>
      <c r="CA1397" s="720"/>
      <c r="CB1397" s="567"/>
      <c r="CC1397" s="721"/>
      <c r="CD1397" s="554"/>
      <c r="CE1397" s="554"/>
      <c r="CF1397" s="554"/>
      <c r="CG1397" s="554"/>
      <c r="CI1397" s="554"/>
      <c r="CJ1397" s="554"/>
      <c r="CK1397" s="554"/>
      <c r="CL1397" s="554"/>
      <c r="CM1397" s="554"/>
      <c r="CN1397" s="554"/>
      <c r="CO1397" s="554"/>
      <c r="CP1397" s="619"/>
      <c r="CQ1397" s="619"/>
      <c r="CR1397" s="554"/>
      <c r="CS1397" s="554"/>
      <c r="CT1397" s="554"/>
      <c r="CU1397" s="554">
        <f t="shared" si="530"/>
        <v>280</v>
      </c>
      <c r="CV1397" s="554">
        <f t="shared" si="536"/>
        <v>0</v>
      </c>
      <c r="CW1397" s="554">
        <f t="shared" si="537"/>
        <v>0</v>
      </c>
      <c r="CX1397" s="619"/>
      <c r="CY1397" s="619"/>
      <c r="CZ1397" s="619"/>
      <c r="DA1397" s="619"/>
      <c r="DB1397" s="619"/>
      <c r="DC1397" s="619"/>
      <c r="DD1397" s="619"/>
      <c r="DE1397" s="619"/>
      <c r="DF1397" s="619"/>
      <c r="DG1397" s="619"/>
      <c r="DH1397" s="619"/>
    </row>
    <row r="1398" s="548" customFormat="1" ht="31" customHeight="1" spans="1:112">
      <c r="A1398" s="608">
        <v>46092</v>
      </c>
      <c r="B1398" s="609" t="s">
        <v>8048</v>
      </c>
      <c r="C1398" s="610" t="s">
        <v>98</v>
      </c>
      <c r="D1398" s="554">
        <v>4500196195</v>
      </c>
      <c r="E1398" s="610">
        <v>58558788</v>
      </c>
      <c r="F1398" s="554" t="s">
        <v>9424</v>
      </c>
      <c r="G1398" s="610" t="s">
        <v>8051</v>
      </c>
      <c r="H1398" s="610" t="s">
        <v>6102</v>
      </c>
      <c r="I1398" s="715">
        <v>47508</v>
      </c>
      <c r="J1398" s="610">
        <v>0</v>
      </c>
      <c r="K1398" s="610">
        <v>6</v>
      </c>
      <c r="L1398" s="611">
        <f t="shared" si="522"/>
        <v>7918</v>
      </c>
      <c r="M1398" s="612">
        <v>46167</v>
      </c>
      <c r="N1398" s="612">
        <v>46163</v>
      </c>
      <c r="O1398" s="613" t="s">
        <v>9425</v>
      </c>
      <c r="P1398" s="613" t="s">
        <v>113</v>
      </c>
      <c r="Q1398" s="610"/>
      <c r="R1398" s="614">
        <v>46113</v>
      </c>
      <c r="S1398" s="614" t="s">
        <v>70</v>
      </c>
      <c r="T1398" s="614" t="s">
        <v>9426</v>
      </c>
      <c r="U1398" s="614"/>
      <c r="V1398" s="614" t="s">
        <v>9427</v>
      </c>
      <c r="W1398" s="615"/>
      <c r="X1398" s="732" t="s">
        <v>9428</v>
      </c>
      <c r="Y1398" s="616" t="s">
        <v>9429</v>
      </c>
      <c r="Z1398" s="609">
        <v>0.5848</v>
      </c>
      <c r="AA1398" s="616">
        <f>Z1398*I1398</f>
        <v>27782.6784</v>
      </c>
      <c r="AC1398" s="630" t="s">
        <v>9430</v>
      </c>
      <c r="AD1398" s="610" t="s">
        <v>8051</v>
      </c>
      <c r="AE1398" s="610" t="s">
        <v>82</v>
      </c>
      <c r="AF1398" s="610"/>
      <c r="AG1398" s="609"/>
      <c r="AH1398" s="609">
        <v>1</v>
      </c>
      <c r="AI1398" s="726">
        <v>47508</v>
      </c>
      <c r="AJ1398" s="610">
        <f t="shared" si="525"/>
        <v>0</v>
      </c>
      <c r="AK1398" s="610"/>
      <c r="AL1398" s="610" t="s">
        <v>2368</v>
      </c>
      <c r="AM1398" s="610"/>
      <c r="AN1398" s="610">
        <f>I1398</f>
        <v>47508</v>
      </c>
      <c r="AO1398" s="554"/>
      <c r="AP1398" s="554">
        <f>I1398</f>
        <v>47508</v>
      </c>
      <c r="AQ1398" s="554"/>
      <c r="AR1398" s="619"/>
      <c r="AS1398" s="554"/>
      <c r="AT1398" s="554"/>
      <c r="AU1398" s="554">
        <f>I1398</f>
        <v>47508</v>
      </c>
      <c r="AV1398" s="554"/>
      <c r="AW1398" s="619"/>
      <c r="AX1398" s="554"/>
      <c r="AY1398" s="554"/>
      <c r="AZ1398" s="554"/>
      <c r="BA1398" s="554"/>
      <c r="BB1398" s="620">
        <f t="shared" si="535"/>
        <v>1979.5</v>
      </c>
      <c r="BC1398" s="714"/>
      <c r="BD1398" s="554"/>
      <c r="BE1398" s="554"/>
      <c r="BF1398" s="554"/>
      <c r="BH1398" s="554"/>
      <c r="BI1398" s="554"/>
      <c r="BJ1398" s="554"/>
      <c r="BK1398" s="554"/>
      <c r="BL1398" s="554"/>
      <c r="BM1398" s="554"/>
      <c r="BN1398" s="554"/>
      <c r="BO1398" s="554"/>
      <c r="BP1398" s="554"/>
      <c r="BQ1398" s="554"/>
      <c r="BR1398" s="554"/>
      <c r="BS1398" s="554"/>
      <c r="BT1398" s="554">
        <f>L1398</f>
        <v>7918</v>
      </c>
      <c r="BU1398" s="554"/>
      <c r="BV1398" s="554"/>
      <c r="BW1398" s="554"/>
      <c r="BX1398" s="554"/>
      <c r="BY1398" s="619"/>
      <c r="BZ1398" s="554"/>
      <c r="CA1398" s="621"/>
      <c r="CB1398" s="567"/>
      <c r="CC1398" s="622"/>
      <c r="CD1398" s="619"/>
      <c r="CE1398" s="619"/>
      <c r="CF1398" s="554"/>
      <c r="CG1398" s="554"/>
      <c r="CI1398" s="554"/>
      <c r="CJ1398" s="554"/>
      <c r="CK1398" s="554"/>
      <c r="CL1398" s="554"/>
      <c r="CM1398" s="554"/>
      <c r="CN1398" s="554"/>
      <c r="CO1398" s="554"/>
      <c r="CP1398" s="554"/>
      <c r="CQ1398" s="554"/>
      <c r="CR1398" s="554"/>
      <c r="CS1398" s="554"/>
      <c r="CT1398" s="554"/>
      <c r="CU1398" s="554">
        <f t="shared" si="530"/>
        <v>0</v>
      </c>
      <c r="CV1398" s="554">
        <f t="shared" si="536"/>
        <v>0</v>
      </c>
      <c r="CW1398" s="554">
        <f t="shared" si="537"/>
        <v>0</v>
      </c>
      <c r="CX1398" s="619"/>
      <c r="CY1398" s="619"/>
      <c r="CZ1398" s="619"/>
      <c r="DA1398" s="548"/>
      <c r="DB1398" s="548"/>
      <c r="DC1398" s="548"/>
      <c r="DD1398" s="619"/>
      <c r="DE1398" s="619"/>
      <c r="DF1398" s="619"/>
      <c r="DG1398" s="619"/>
      <c r="DH1398" s="619"/>
    </row>
    <row r="1399" s="548" customFormat="1" ht="31" customHeight="1" spans="1:112">
      <c r="A1399" s="608">
        <v>46121</v>
      </c>
      <c r="B1399" s="609" t="s">
        <v>4058</v>
      </c>
      <c r="C1399" s="610" t="s">
        <v>302</v>
      </c>
      <c r="D1399" s="733">
        <v>4500200740</v>
      </c>
      <c r="E1399" s="610" t="s">
        <v>4060</v>
      </c>
      <c r="F1399" s="554" t="s">
        <v>9431</v>
      </c>
      <c r="G1399" s="610" t="s">
        <v>6047</v>
      </c>
      <c r="H1399" s="610" t="s">
        <v>6069</v>
      </c>
      <c r="I1399" s="610">
        <v>150</v>
      </c>
      <c r="J1399" s="610">
        <v>0</v>
      </c>
      <c r="K1399" s="610">
        <v>25</v>
      </c>
      <c r="L1399" s="611">
        <f t="shared" si="522"/>
        <v>6</v>
      </c>
      <c r="M1399" s="612">
        <v>46167</v>
      </c>
      <c r="N1399" s="612">
        <v>46163</v>
      </c>
      <c r="O1399" s="734" t="s">
        <v>9432</v>
      </c>
      <c r="P1399" s="613" t="s">
        <v>9433</v>
      </c>
      <c r="Q1399" s="640">
        <v>46182</v>
      </c>
      <c r="R1399" s="614">
        <v>46121</v>
      </c>
      <c r="S1399" s="614" t="s">
        <v>70</v>
      </c>
      <c r="T1399" s="614" t="s">
        <v>9434</v>
      </c>
      <c r="U1399" s="614"/>
      <c r="V1399" s="614" t="s">
        <v>4063</v>
      </c>
      <c r="W1399" s="615"/>
      <c r="X1399" s="732" t="s">
        <v>9435</v>
      </c>
      <c r="Y1399" s="609" t="s">
        <v>4065</v>
      </c>
      <c r="Z1399" s="609">
        <v>0.9633</v>
      </c>
      <c r="AA1399" s="616">
        <f t="shared" ref="AA1399:AA1406" si="539">Z1399*I1399</f>
        <v>144.495</v>
      </c>
      <c r="AC1399" s="617"/>
      <c r="AD1399" s="610" t="s">
        <v>6047</v>
      </c>
      <c r="AE1399" s="610" t="s">
        <v>82</v>
      </c>
      <c r="AF1399" s="610"/>
      <c r="AG1399" s="610"/>
      <c r="AH1399" s="610">
        <v>1</v>
      </c>
      <c r="AI1399" s="726">
        <v>150</v>
      </c>
      <c r="AJ1399" s="610">
        <f t="shared" si="525"/>
        <v>0</v>
      </c>
      <c r="AK1399" s="610"/>
      <c r="AL1399" s="610"/>
      <c r="AM1399" s="610"/>
      <c r="AN1399" s="610"/>
      <c r="AO1399" s="554">
        <f t="shared" ref="AO1399:AO1405" si="540">I1399</f>
        <v>150</v>
      </c>
      <c r="AP1399" s="554"/>
      <c r="AQ1399" s="554"/>
      <c r="AR1399" s="619"/>
      <c r="AS1399" s="554"/>
      <c r="AT1399" s="554">
        <f t="shared" ref="AT1399:AT1405" si="541">I1399</f>
        <v>150</v>
      </c>
      <c r="AU1399" s="554"/>
      <c r="AV1399" s="554">
        <f t="shared" ref="AV1399:AV1405" si="542">I1399</f>
        <v>150</v>
      </c>
      <c r="AW1399" s="619"/>
      <c r="AX1399" s="554"/>
      <c r="AY1399" s="554"/>
      <c r="AZ1399" s="554"/>
      <c r="BA1399" s="554"/>
      <c r="BB1399" s="620">
        <f t="shared" ref="BB1399:BB1406" si="543">I1399/24</f>
        <v>6.25</v>
      </c>
      <c r="BC1399" s="554"/>
      <c r="BD1399" s="554"/>
      <c r="BE1399" s="554"/>
      <c r="BF1399" s="554"/>
      <c r="BH1399" s="554"/>
      <c r="BI1399" s="554"/>
      <c r="BJ1399" s="554"/>
      <c r="BK1399" s="554"/>
      <c r="BL1399" s="554"/>
      <c r="BM1399" s="554"/>
      <c r="BN1399" s="554"/>
      <c r="BO1399" s="554"/>
      <c r="BP1399" s="554">
        <f t="shared" ref="BP1399:BP1404" si="544">I1399/25</f>
        <v>6</v>
      </c>
      <c r="BQ1399" s="554"/>
      <c r="BR1399" s="554"/>
      <c r="BS1399" s="554"/>
      <c r="BT1399" s="554"/>
      <c r="BU1399" s="554"/>
      <c r="BV1399" s="554"/>
      <c r="BW1399" s="554"/>
      <c r="BX1399" s="554"/>
      <c r="BY1399" s="619"/>
      <c r="BZ1399" s="554"/>
      <c r="CA1399" s="621"/>
      <c r="CB1399" s="567"/>
      <c r="CC1399" s="622"/>
      <c r="CD1399" s="619"/>
      <c r="CE1399" s="619"/>
      <c r="CF1399" s="554"/>
      <c r="CG1399" s="554"/>
      <c r="CI1399" s="554"/>
      <c r="CJ1399" s="554"/>
      <c r="CK1399" s="554"/>
      <c r="CL1399" s="554"/>
      <c r="CM1399" s="554"/>
      <c r="CN1399" s="554"/>
      <c r="CO1399" s="554"/>
      <c r="CP1399" s="554"/>
      <c r="CQ1399" s="554"/>
      <c r="CR1399" s="554"/>
      <c r="CS1399" s="554"/>
      <c r="CT1399" s="554"/>
      <c r="CU1399" s="554">
        <f t="shared" si="530"/>
        <v>6</v>
      </c>
      <c r="CV1399" s="554">
        <f t="shared" ref="CV1399:CV1404" si="545">CK1399+CL1399+CM1399+CN1399+CO1399+CQ1399+CP1399</f>
        <v>0</v>
      </c>
      <c r="CW1399" s="554">
        <f t="shared" ref="CW1399:CW1404" si="546">CI1399+CJ1399</f>
        <v>0</v>
      </c>
      <c r="CX1399" s="619"/>
      <c r="CY1399" s="619"/>
      <c r="CZ1399" s="619"/>
      <c r="DA1399" s="548"/>
      <c r="DB1399" s="548"/>
      <c r="DC1399" s="548"/>
      <c r="DD1399" s="619"/>
      <c r="DE1399" s="619"/>
      <c r="DF1399" s="619"/>
      <c r="DG1399" s="619"/>
      <c r="DH1399" s="619"/>
    </row>
    <row r="1400" s="548" customFormat="1" ht="31" customHeight="1" spans="1:112">
      <c r="A1400" s="608">
        <v>46121</v>
      </c>
      <c r="B1400" s="609" t="s">
        <v>4058</v>
      </c>
      <c r="C1400" s="610" t="s">
        <v>302</v>
      </c>
      <c r="D1400" s="735">
        <v>4500200740</v>
      </c>
      <c r="E1400" s="610" t="s">
        <v>9436</v>
      </c>
      <c r="F1400" s="554" t="s">
        <v>9437</v>
      </c>
      <c r="G1400" s="610" t="s">
        <v>6047</v>
      </c>
      <c r="H1400" s="610" t="s">
        <v>6069</v>
      </c>
      <c r="I1400" s="610">
        <v>3100</v>
      </c>
      <c r="J1400" s="610">
        <v>0</v>
      </c>
      <c r="K1400" s="610">
        <v>25</v>
      </c>
      <c r="L1400" s="611">
        <f t="shared" si="522"/>
        <v>124</v>
      </c>
      <c r="M1400" s="612">
        <v>46167</v>
      </c>
      <c r="N1400" s="612">
        <v>46163</v>
      </c>
      <c r="O1400" s="734" t="s">
        <v>9432</v>
      </c>
      <c r="P1400" s="613" t="s">
        <v>9433</v>
      </c>
      <c r="Q1400" s="640">
        <v>46182</v>
      </c>
      <c r="R1400" s="614">
        <v>46121</v>
      </c>
      <c r="S1400" s="614" t="s">
        <v>70</v>
      </c>
      <c r="T1400" s="614" t="s">
        <v>9434</v>
      </c>
      <c r="U1400" s="614"/>
      <c r="V1400" s="614" t="s">
        <v>4063</v>
      </c>
      <c r="W1400" s="615"/>
      <c r="X1400" s="732" t="s">
        <v>9435</v>
      </c>
      <c r="Y1400" s="609" t="s">
        <v>4065</v>
      </c>
      <c r="Z1400" s="609">
        <v>0.958</v>
      </c>
      <c r="AA1400" s="616">
        <f t="shared" si="539"/>
        <v>2969.8</v>
      </c>
      <c r="AC1400" s="617"/>
      <c r="AD1400" s="610" t="s">
        <v>6047</v>
      </c>
      <c r="AE1400" s="610" t="s">
        <v>82</v>
      </c>
      <c r="AF1400" s="610"/>
      <c r="AG1400" s="610"/>
      <c r="AH1400" s="610">
        <v>1</v>
      </c>
      <c r="AI1400" s="726">
        <v>3100</v>
      </c>
      <c r="AJ1400" s="610">
        <f t="shared" si="525"/>
        <v>0</v>
      </c>
      <c r="AK1400" s="610"/>
      <c r="AL1400" s="610"/>
      <c r="AM1400" s="610"/>
      <c r="AN1400" s="610"/>
      <c r="AO1400" s="554">
        <f t="shared" si="540"/>
        <v>3100</v>
      </c>
      <c r="AP1400" s="554"/>
      <c r="AQ1400" s="554"/>
      <c r="AR1400" s="619"/>
      <c r="AS1400" s="554"/>
      <c r="AT1400" s="554">
        <f t="shared" si="541"/>
        <v>3100</v>
      </c>
      <c r="AU1400" s="554"/>
      <c r="AV1400" s="554">
        <f t="shared" si="542"/>
        <v>3100</v>
      </c>
      <c r="AW1400" s="619"/>
      <c r="AX1400" s="554"/>
      <c r="AY1400" s="554"/>
      <c r="AZ1400" s="554"/>
      <c r="BA1400" s="554"/>
      <c r="BB1400" s="620">
        <f t="shared" si="543"/>
        <v>129.166666666667</v>
      </c>
      <c r="BC1400" s="554"/>
      <c r="BD1400" s="554"/>
      <c r="BE1400" s="554"/>
      <c r="BF1400" s="554"/>
      <c r="BH1400" s="554"/>
      <c r="BI1400" s="554"/>
      <c r="BJ1400" s="554"/>
      <c r="BK1400" s="554"/>
      <c r="BL1400" s="554"/>
      <c r="BM1400" s="554"/>
      <c r="BN1400" s="554"/>
      <c r="BO1400" s="554"/>
      <c r="BP1400" s="554">
        <f t="shared" si="544"/>
        <v>124</v>
      </c>
      <c r="BQ1400" s="554"/>
      <c r="BR1400" s="554"/>
      <c r="BS1400" s="554"/>
      <c r="BT1400" s="554"/>
      <c r="BU1400" s="554"/>
      <c r="BV1400" s="554"/>
      <c r="BW1400" s="554"/>
      <c r="BX1400" s="554"/>
      <c r="BY1400" s="619"/>
      <c r="BZ1400" s="554"/>
      <c r="CA1400" s="621"/>
      <c r="CB1400" s="567"/>
      <c r="CC1400" s="622"/>
      <c r="CD1400" s="619"/>
      <c r="CE1400" s="619"/>
      <c r="CF1400" s="554"/>
      <c r="CG1400" s="554"/>
      <c r="CI1400" s="554"/>
      <c r="CJ1400" s="554"/>
      <c r="CK1400" s="554"/>
      <c r="CL1400" s="554"/>
      <c r="CM1400" s="554"/>
      <c r="CN1400" s="554"/>
      <c r="CO1400" s="554"/>
      <c r="CP1400" s="554"/>
      <c r="CQ1400" s="554"/>
      <c r="CR1400" s="554"/>
      <c r="CS1400" s="554"/>
      <c r="CT1400" s="554"/>
      <c r="CU1400" s="554">
        <f t="shared" si="530"/>
        <v>124</v>
      </c>
      <c r="CV1400" s="554">
        <f t="shared" si="545"/>
        <v>0</v>
      </c>
      <c r="CW1400" s="554">
        <f t="shared" si="546"/>
        <v>0</v>
      </c>
      <c r="CX1400" s="619"/>
      <c r="CY1400" s="619"/>
      <c r="CZ1400" s="619"/>
      <c r="DA1400" s="548"/>
      <c r="DB1400" s="548"/>
      <c r="DC1400" s="548"/>
      <c r="DD1400" s="619"/>
      <c r="DE1400" s="619"/>
      <c r="DF1400" s="619"/>
      <c r="DG1400" s="619"/>
      <c r="DH1400" s="619"/>
    </row>
    <row r="1401" s="548" customFormat="1" ht="31" customHeight="1" spans="1:112">
      <c r="A1401" s="608">
        <v>46121</v>
      </c>
      <c r="B1401" s="609" t="s">
        <v>4058</v>
      </c>
      <c r="C1401" s="610" t="s">
        <v>302</v>
      </c>
      <c r="D1401" s="735">
        <v>4500200740</v>
      </c>
      <c r="E1401" s="610" t="s">
        <v>4068</v>
      </c>
      <c r="F1401" s="554" t="s">
        <v>9438</v>
      </c>
      <c r="G1401" s="610" t="s">
        <v>6047</v>
      </c>
      <c r="H1401" s="610" t="s">
        <v>6069</v>
      </c>
      <c r="I1401" s="610">
        <v>300</v>
      </c>
      <c r="J1401" s="610">
        <v>0</v>
      </c>
      <c r="K1401" s="610">
        <v>25</v>
      </c>
      <c r="L1401" s="611">
        <f t="shared" si="522"/>
        <v>12</v>
      </c>
      <c r="M1401" s="612">
        <v>46167</v>
      </c>
      <c r="N1401" s="612">
        <v>46163</v>
      </c>
      <c r="O1401" s="734" t="s">
        <v>9432</v>
      </c>
      <c r="P1401" s="613" t="s">
        <v>9433</v>
      </c>
      <c r="Q1401" s="640">
        <v>46182</v>
      </c>
      <c r="R1401" s="614">
        <v>46121</v>
      </c>
      <c r="S1401" s="614" t="s">
        <v>70</v>
      </c>
      <c r="T1401" s="614" t="s">
        <v>9434</v>
      </c>
      <c r="U1401" s="614"/>
      <c r="V1401" s="614" t="s">
        <v>4063</v>
      </c>
      <c r="W1401" s="615"/>
      <c r="X1401" s="732" t="s">
        <v>9435</v>
      </c>
      <c r="Y1401" s="609" t="s">
        <v>4065</v>
      </c>
      <c r="Z1401" s="609">
        <v>0.9633</v>
      </c>
      <c r="AA1401" s="616">
        <f t="shared" si="539"/>
        <v>288.99</v>
      </c>
      <c r="AC1401" s="617"/>
      <c r="AD1401" s="610" t="s">
        <v>6047</v>
      </c>
      <c r="AE1401" s="610" t="s">
        <v>82</v>
      </c>
      <c r="AF1401" s="610"/>
      <c r="AG1401" s="610"/>
      <c r="AH1401" s="610">
        <v>1</v>
      </c>
      <c r="AI1401" s="726">
        <v>300</v>
      </c>
      <c r="AJ1401" s="610">
        <f t="shared" si="525"/>
        <v>0</v>
      </c>
      <c r="AK1401" s="610"/>
      <c r="AL1401" s="610"/>
      <c r="AM1401" s="610"/>
      <c r="AN1401" s="610"/>
      <c r="AO1401" s="554">
        <f t="shared" si="540"/>
        <v>300</v>
      </c>
      <c r="AP1401" s="554"/>
      <c r="AQ1401" s="554"/>
      <c r="AR1401" s="619"/>
      <c r="AS1401" s="554"/>
      <c r="AT1401" s="554">
        <f t="shared" si="541"/>
        <v>300</v>
      </c>
      <c r="AU1401" s="554"/>
      <c r="AV1401" s="554">
        <f t="shared" si="542"/>
        <v>300</v>
      </c>
      <c r="AW1401" s="619"/>
      <c r="AX1401" s="554"/>
      <c r="AY1401" s="554"/>
      <c r="AZ1401" s="554"/>
      <c r="BA1401" s="554"/>
      <c r="BB1401" s="620">
        <f t="shared" si="543"/>
        <v>12.5</v>
      </c>
      <c r="BC1401" s="554"/>
      <c r="BD1401" s="554"/>
      <c r="BE1401" s="554"/>
      <c r="BF1401" s="554"/>
      <c r="BH1401" s="554"/>
      <c r="BI1401" s="554"/>
      <c r="BJ1401" s="554"/>
      <c r="BK1401" s="554"/>
      <c r="BL1401" s="554"/>
      <c r="BM1401" s="554"/>
      <c r="BN1401" s="554"/>
      <c r="BO1401" s="554"/>
      <c r="BP1401" s="554">
        <f t="shared" si="544"/>
        <v>12</v>
      </c>
      <c r="BQ1401" s="554"/>
      <c r="BR1401" s="554"/>
      <c r="BS1401" s="554"/>
      <c r="BT1401" s="554"/>
      <c r="BU1401" s="554"/>
      <c r="BV1401" s="554"/>
      <c r="BW1401" s="554"/>
      <c r="BX1401" s="554"/>
      <c r="BY1401" s="619"/>
      <c r="BZ1401" s="554"/>
      <c r="CA1401" s="621"/>
      <c r="CB1401" s="567"/>
      <c r="CC1401" s="622"/>
      <c r="CD1401" s="619"/>
      <c r="CE1401" s="619"/>
      <c r="CF1401" s="554"/>
      <c r="CG1401" s="554"/>
      <c r="CI1401" s="554"/>
      <c r="CJ1401" s="554"/>
      <c r="CK1401" s="554"/>
      <c r="CL1401" s="554"/>
      <c r="CM1401" s="554"/>
      <c r="CN1401" s="554"/>
      <c r="CO1401" s="554"/>
      <c r="CP1401" s="554"/>
      <c r="CQ1401" s="554"/>
      <c r="CR1401" s="554"/>
      <c r="CS1401" s="554"/>
      <c r="CT1401" s="554"/>
      <c r="CU1401" s="554">
        <f t="shared" si="530"/>
        <v>12</v>
      </c>
      <c r="CV1401" s="554">
        <f t="shared" si="545"/>
        <v>0</v>
      </c>
      <c r="CW1401" s="554">
        <f t="shared" si="546"/>
        <v>0</v>
      </c>
      <c r="CX1401" s="619"/>
      <c r="CY1401" s="619"/>
      <c r="CZ1401" s="619"/>
      <c r="DA1401" s="548"/>
      <c r="DB1401" s="548"/>
      <c r="DC1401" s="548"/>
      <c r="DD1401" s="619"/>
      <c r="DE1401" s="619"/>
      <c r="DF1401" s="619"/>
      <c r="DG1401" s="619"/>
      <c r="DH1401" s="619"/>
    </row>
    <row r="1402" s="548" customFormat="1" ht="31" customHeight="1" spans="1:112">
      <c r="A1402" s="608">
        <v>46121</v>
      </c>
      <c r="B1402" s="609" t="s">
        <v>4058</v>
      </c>
      <c r="C1402" s="610" t="s">
        <v>302</v>
      </c>
      <c r="D1402" s="735">
        <v>4500200742</v>
      </c>
      <c r="E1402" s="610" t="s">
        <v>9439</v>
      </c>
      <c r="F1402" s="554" t="s">
        <v>9440</v>
      </c>
      <c r="G1402" s="610" t="s">
        <v>6047</v>
      </c>
      <c r="H1402" s="610" t="s">
        <v>6069</v>
      </c>
      <c r="I1402" s="610">
        <v>50</v>
      </c>
      <c r="J1402" s="610">
        <v>0</v>
      </c>
      <c r="K1402" s="610">
        <v>25</v>
      </c>
      <c r="L1402" s="611">
        <f t="shared" si="522"/>
        <v>2</v>
      </c>
      <c r="M1402" s="612">
        <v>46167</v>
      </c>
      <c r="N1402" s="612">
        <v>46163</v>
      </c>
      <c r="O1402" s="734" t="s">
        <v>9432</v>
      </c>
      <c r="P1402" s="613" t="s">
        <v>9433</v>
      </c>
      <c r="Q1402" s="610" t="s">
        <v>4083</v>
      </c>
      <c r="R1402" s="614">
        <v>46121</v>
      </c>
      <c r="S1402" s="614" t="s">
        <v>70</v>
      </c>
      <c r="T1402" s="614" t="s">
        <v>9434</v>
      </c>
      <c r="U1402" s="614"/>
      <c r="V1402" s="614" t="s">
        <v>4063</v>
      </c>
      <c r="W1402" s="615"/>
      <c r="X1402" s="732" t="s">
        <v>9441</v>
      </c>
      <c r="Y1402" s="609" t="s">
        <v>4065</v>
      </c>
      <c r="Z1402" s="609">
        <v>0.9809</v>
      </c>
      <c r="AA1402" s="616">
        <f t="shared" si="539"/>
        <v>49.045</v>
      </c>
      <c r="AC1402" s="617"/>
      <c r="AD1402" s="610" t="s">
        <v>6047</v>
      </c>
      <c r="AE1402" s="610" t="s">
        <v>82</v>
      </c>
      <c r="AF1402" s="610"/>
      <c r="AG1402" s="610"/>
      <c r="AH1402" s="610">
        <v>1</v>
      </c>
      <c r="AI1402" s="726">
        <v>50</v>
      </c>
      <c r="AJ1402" s="610">
        <f t="shared" si="525"/>
        <v>0</v>
      </c>
      <c r="AK1402" s="610"/>
      <c r="AL1402" s="610"/>
      <c r="AM1402" s="610"/>
      <c r="AN1402" s="610"/>
      <c r="AO1402" s="554">
        <f t="shared" si="540"/>
        <v>50</v>
      </c>
      <c r="AP1402" s="554"/>
      <c r="AQ1402" s="554"/>
      <c r="AR1402" s="619"/>
      <c r="AS1402" s="554"/>
      <c r="AT1402" s="554">
        <f t="shared" si="541"/>
        <v>50</v>
      </c>
      <c r="AU1402" s="554"/>
      <c r="AV1402" s="554">
        <f t="shared" si="542"/>
        <v>50</v>
      </c>
      <c r="AW1402" s="619"/>
      <c r="AX1402" s="554"/>
      <c r="AY1402" s="554"/>
      <c r="AZ1402" s="554"/>
      <c r="BA1402" s="554"/>
      <c r="BB1402" s="620">
        <f t="shared" si="543"/>
        <v>2.08333333333333</v>
      </c>
      <c r="BC1402" s="554"/>
      <c r="BD1402" s="554"/>
      <c r="BE1402" s="554"/>
      <c r="BF1402" s="554"/>
      <c r="BH1402" s="554"/>
      <c r="BI1402" s="554"/>
      <c r="BJ1402" s="554"/>
      <c r="BK1402" s="554"/>
      <c r="BL1402" s="554"/>
      <c r="BM1402" s="554"/>
      <c r="BN1402" s="554"/>
      <c r="BO1402" s="554"/>
      <c r="BP1402" s="554">
        <f t="shared" si="544"/>
        <v>2</v>
      </c>
      <c r="BQ1402" s="554"/>
      <c r="BR1402" s="554"/>
      <c r="BS1402" s="554"/>
      <c r="BT1402" s="554"/>
      <c r="BU1402" s="554"/>
      <c r="BV1402" s="554"/>
      <c r="BW1402" s="554"/>
      <c r="BX1402" s="554"/>
      <c r="BY1402" s="619"/>
      <c r="BZ1402" s="554"/>
      <c r="CA1402" s="621"/>
      <c r="CB1402" s="567"/>
      <c r="CC1402" s="622"/>
      <c r="CD1402" s="619"/>
      <c r="CE1402" s="619"/>
      <c r="CF1402" s="554"/>
      <c r="CG1402" s="554"/>
      <c r="CI1402" s="554"/>
      <c r="CJ1402" s="554"/>
      <c r="CK1402" s="554"/>
      <c r="CL1402" s="554"/>
      <c r="CM1402" s="554"/>
      <c r="CN1402" s="554"/>
      <c r="CO1402" s="554"/>
      <c r="CP1402" s="554"/>
      <c r="CQ1402" s="554"/>
      <c r="CR1402" s="554"/>
      <c r="CS1402" s="554"/>
      <c r="CT1402" s="554"/>
      <c r="CU1402" s="554">
        <f t="shared" si="530"/>
        <v>2</v>
      </c>
      <c r="CV1402" s="554">
        <f t="shared" si="545"/>
        <v>0</v>
      </c>
      <c r="CW1402" s="554">
        <f t="shared" si="546"/>
        <v>0</v>
      </c>
      <c r="CX1402" s="619"/>
      <c r="CY1402" s="619"/>
      <c r="CZ1402" s="619"/>
      <c r="DA1402" s="548"/>
      <c r="DB1402" s="548"/>
      <c r="DC1402" s="548"/>
      <c r="DD1402" s="619"/>
      <c r="DE1402" s="619"/>
      <c r="DF1402" s="619"/>
      <c r="DG1402" s="619"/>
      <c r="DH1402" s="619"/>
    </row>
    <row r="1403" s="548" customFormat="1" ht="31" customHeight="1" spans="1:112">
      <c r="A1403" s="608">
        <v>46121</v>
      </c>
      <c r="B1403" s="609" t="s">
        <v>4058</v>
      </c>
      <c r="C1403" s="610" t="s">
        <v>302</v>
      </c>
      <c r="D1403" s="735">
        <v>4500200742</v>
      </c>
      <c r="E1403" s="610" t="s">
        <v>9442</v>
      </c>
      <c r="F1403" s="554" t="s">
        <v>9443</v>
      </c>
      <c r="G1403" s="610" t="s">
        <v>6047</v>
      </c>
      <c r="H1403" s="610" t="s">
        <v>6069</v>
      </c>
      <c r="I1403" s="610">
        <v>5100</v>
      </c>
      <c r="J1403" s="610">
        <v>0</v>
      </c>
      <c r="K1403" s="610">
        <v>25</v>
      </c>
      <c r="L1403" s="611">
        <f t="shared" si="522"/>
        <v>204</v>
      </c>
      <c r="M1403" s="612">
        <v>46167</v>
      </c>
      <c r="N1403" s="612">
        <v>46163</v>
      </c>
      <c r="O1403" s="734" t="s">
        <v>9432</v>
      </c>
      <c r="P1403" s="613" t="s">
        <v>9433</v>
      </c>
      <c r="Q1403" s="610" t="s">
        <v>4083</v>
      </c>
      <c r="R1403" s="614">
        <v>46121</v>
      </c>
      <c r="S1403" s="614" t="s">
        <v>70</v>
      </c>
      <c r="T1403" s="614" t="s">
        <v>9434</v>
      </c>
      <c r="U1403" s="614"/>
      <c r="V1403" s="614" t="s">
        <v>4063</v>
      </c>
      <c r="W1403" s="615"/>
      <c r="X1403" s="732" t="s">
        <v>9441</v>
      </c>
      <c r="Y1403" s="609" t="s">
        <v>4065</v>
      </c>
      <c r="Z1403" s="609">
        <v>0.9703</v>
      </c>
      <c r="AA1403" s="616">
        <f t="shared" si="539"/>
        <v>4948.53</v>
      </c>
      <c r="AC1403" s="617"/>
      <c r="AD1403" s="610" t="s">
        <v>6047</v>
      </c>
      <c r="AE1403" s="610" t="s">
        <v>82</v>
      </c>
      <c r="AF1403" s="610"/>
      <c r="AG1403" s="610"/>
      <c r="AH1403" s="610">
        <v>1</v>
      </c>
      <c r="AI1403" s="726">
        <v>5100</v>
      </c>
      <c r="AJ1403" s="610">
        <f t="shared" si="525"/>
        <v>0</v>
      </c>
      <c r="AK1403" s="610"/>
      <c r="AL1403" s="610"/>
      <c r="AM1403" s="610"/>
      <c r="AN1403" s="610"/>
      <c r="AO1403" s="554">
        <f t="shared" si="540"/>
        <v>5100</v>
      </c>
      <c r="AP1403" s="554"/>
      <c r="AQ1403" s="554"/>
      <c r="AR1403" s="619"/>
      <c r="AS1403" s="554"/>
      <c r="AT1403" s="554">
        <f t="shared" si="541"/>
        <v>5100</v>
      </c>
      <c r="AU1403" s="554"/>
      <c r="AV1403" s="554">
        <f t="shared" si="542"/>
        <v>5100</v>
      </c>
      <c r="AW1403" s="619"/>
      <c r="AX1403" s="554"/>
      <c r="AY1403" s="554"/>
      <c r="AZ1403" s="554"/>
      <c r="BA1403" s="554"/>
      <c r="BB1403" s="620">
        <f t="shared" si="543"/>
        <v>212.5</v>
      </c>
      <c r="BC1403" s="554"/>
      <c r="BD1403" s="554"/>
      <c r="BE1403" s="554"/>
      <c r="BF1403" s="554"/>
      <c r="BH1403" s="554"/>
      <c r="BI1403" s="554"/>
      <c r="BJ1403" s="554"/>
      <c r="BK1403" s="554"/>
      <c r="BL1403" s="554"/>
      <c r="BM1403" s="554"/>
      <c r="BN1403" s="554"/>
      <c r="BO1403" s="554"/>
      <c r="BP1403" s="554">
        <f t="shared" si="544"/>
        <v>204</v>
      </c>
      <c r="BQ1403" s="554"/>
      <c r="BR1403" s="554"/>
      <c r="BS1403" s="554"/>
      <c r="BT1403" s="554"/>
      <c r="BU1403" s="554"/>
      <c r="BV1403" s="554"/>
      <c r="BW1403" s="554"/>
      <c r="BX1403" s="554"/>
      <c r="BY1403" s="619"/>
      <c r="BZ1403" s="554"/>
      <c r="CA1403" s="621"/>
      <c r="CB1403" s="567"/>
      <c r="CC1403" s="622"/>
      <c r="CD1403" s="619"/>
      <c r="CE1403" s="619"/>
      <c r="CF1403" s="554"/>
      <c r="CG1403" s="554"/>
      <c r="CI1403" s="554"/>
      <c r="CJ1403" s="554"/>
      <c r="CK1403" s="554"/>
      <c r="CL1403" s="554"/>
      <c r="CM1403" s="554"/>
      <c r="CN1403" s="554"/>
      <c r="CO1403" s="554"/>
      <c r="CP1403" s="554"/>
      <c r="CQ1403" s="554"/>
      <c r="CR1403" s="554"/>
      <c r="CS1403" s="554"/>
      <c r="CT1403" s="554"/>
      <c r="CU1403" s="554">
        <f t="shared" si="530"/>
        <v>204</v>
      </c>
      <c r="CV1403" s="554">
        <f t="shared" si="545"/>
        <v>0</v>
      </c>
      <c r="CW1403" s="554">
        <f t="shared" si="546"/>
        <v>0</v>
      </c>
      <c r="CX1403" s="619"/>
      <c r="CY1403" s="619"/>
      <c r="CZ1403" s="619"/>
      <c r="DA1403" s="548"/>
      <c r="DB1403" s="548"/>
      <c r="DC1403" s="548"/>
      <c r="DD1403" s="619"/>
      <c r="DE1403" s="619"/>
      <c r="DF1403" s="619"/>
      <c r="DG1403" s="619"/>
      <c r="DH1403" s="619"/>
    </row>
    <row r="1404" s="548" customFormat="1" ht="31" customHeight="1" spans="1:112">
      <c r="A1404" s="608">
        <v>46121</v>
      </c>
      <c r="B1404" s="609" t="s">
        <v>4058</v>
      </c>
      <c r="C1404" s="610" t="s">
        <v>302</v>
      </c>
      <c r="D1404" s="735">
        <v>4500200742</v>
      </c>
      <c r="E1404" s="610" t="s">
        <v>4073</v>
      </c>
      <c r="F1404" s="554" t="s">
        <v>9444</v>
      </c>
      <c r="G1404" s="610" t="s">
        <v>6047</v>
      </c>
      <c r="H1404" s="610" t="s">
        <v>6069</v>
      </c>
      <c r="I1404" s="610">
        <v>200</v>
      </c>
      <c r="J1404" s="610">
        <v>0</v>
      </c>
      <c r="K1404" s="610">
        <v>25</v>
      </c>
      <c r="L1404" s="611">
        <f t="shared" si="522"/>
        <v>8</v>
      </c>
      <c r="M1404" s="612">
        <v>46167</v>
      </c>
      <c r="N1404" s="612">
        <v>46163</v>
      </c>
      <c r="O1404" s="734" t="s">
        <v>9432</v>
      </c>
      <c r="P1404" s="613" t="s">
        <v>9433</v>
      </c>
      <c r="Q1404" s="610" t="s">
        <v>4083</v>
      </c>
      <c r="R1404" s="614">
        <v>46121</v>
      </c>
      <c r="S1404" s="614" t="s">
        <v>70</v>
      </c>
      <c r="T1404" s="614" t="s">
        <v>9434</v>
      </c>
      <c r="U1404" s="614"/>
      <c r="V1404" s="614" t="s">
        <v>4063</v>
      </c>
      <c r="W1404" s="615"/>
      <c r="X1404" s="732" t="s">
        <v>9441</v>
      </c>
      <c r="Y1404" s="609" t="s">
        <v>4065</v>
      </c>
      <c r="Z1404" s="609">
        <v>0.9809</v>
      </c>
      <c r="AA1404" s="616">
        <f t="shared" si="539"/>
        <v>196.18</v>
      </c>
      <c r="AC1404" s="617"/>
      <c r="AD1404" s="610" t="s">
        <v>6047</v>
      </c>
      <c r="AE1404" s="610" t="s">
        <v>82</v>
      </c>
      <c r="AF1404" s="610"/>
      <c r="AG1404" s="610"/>
      <c r="AH1404" s="610">
        <v>1</v>
      </c>
      <c r="AI1404" s="726">
        <v>200</v>
      </c>
      <c r="AJ1404" s="610">
        <f t="shared" si="525"/>
        <v>0</v>
      </c>
      <c r="AK1404" s="610"/>
      <c r="AL1404" s="610"/>
      <c r="AM1404" s="610"/>
      <c r="AN1404" s="610"/>
      <c r="AO1404" s="554">
        <f t="shared" si="540"/>
        <v>200</v>
      </c>
      <c r="AP1404" s="554"/>
      <c r="AQ1404" s="554"/>
      <c r="AR1404" s="619"/>
      <c r="AS1404" s="554"/>
      <c r="AT1404" s="554">
        <f t="shared" si="541"/>
        <v>200</v>
      </c>
      <c r="AU1404" s="554"/>
      <c r="AV1404" s="554">
        <f t="shared" si="542"/>
        <v>200</v>
      </c>
      <c r="AW1404" s="619"/>
      <c r="AX1404" s="554"/>
      <c r="AY1404" s="554"/>
      <c r="AZ1404" s="554"/>
      <c r="BA1404" s="554"/>
      <c r="BB1404" s="620">
        <f t="shared" si="543"/>
        <v>8.33333333333333</v>
      </c>
      <c r="BC1404" s="554"/>
      <c r="BD1404" s="554"/>
      <c r="BE1404" s="554"/>
      <c r="BF1404" s="554"/>
      <c r="BH1404" s="554"/>
      <c r="BI1404" s="554"/>
      <c r="BJ1404" s="554"/>
      <c r="BK1404" s="554"/>
      <c r="BL1404" s="554"/>
      <c r="BM1404" s="554"/>
      <c r="BN1404" s="554"/>
      <c r="BO1404" s="554"/>
      <c r="BP1404" s="554">
        <f t="shared" si="544"/>
        <v>8</v>
      </c>
      <c r="BQ1404" s="554"/>
      <c r="BR1404" s="554"/>
      <c r="BS1404" s="554"/>
      <c r="BT1404" s="554"/>
      <c r="BU1404" s="554"/>
      <c r="BV1404" s="554"/>
      <c r="BW1404" s="554"/>
      <c r="BX1404" s="554"/>
      <c r="BY1404" s="619"/>
      <c r="BZ1404" s="554"/>
      <c r="CA1404" s="621"/>
      <c r="CB1404" s="567"/>
      <c r="CC1404" s="622"/>
      <c r="CD1404" s="619"/>
      <c r="CE1404" s="619"/>
      <c r="CF1404" s="554"/>
      <c r="CG1404" s="554"/>
      <c r="CI1404" s="554"/>
      <c r="CJ1404" s="554"/>
      <c r="CK1404" s="554"/>
      <c r="CL1404" s="554"/>
      <c r="CM1404" s="554"/>
      <c r="CN1404" s="554"/>
      <c r="CO1404" s="554"/>
      <c r="CP1404" s="554"/>
      <c r="CQ1404" s="554"/>
      <c r="CR1404" s="554"/>
      <c r="CS1404" s="554"/>
      <c r="CT1404" s="554"/>
      <c r="CU1404" s="554">
        <f t="shared" si="530"/>
        <v>8</v>
      </c>
      <c r="CV1404" s="554">
        <f t="shared" si="545"/>
        <v>0</v>
      </c>
      <c r="CW1404" s="554">
        <f t="shared" si="546"/>
        <v>0</v>
      </c>
      <c r="CX1404" s="619"/>
      <c r="CY1404" s="619"/>
      <c r="CZ1404" s="619"/>
      <c r="DA1404" s="548"/>
      <c r="DB1404" s="548"/>
      <c r="DC1404" s="548"/>
      <c r="DD1404" s="619"/>
      <c r="DE1404" s="619"/>
      <c r="DF1404" s="619"/>
      <c r="DG1404" s="619"/>
      <c r="DH1404" s="619"/>
    </row>
    <row r="1405" s="548" customFormat="1" ht="30" customHeight="1" spans="1:112">
      <c r="A1405" s="608">
        <v>46120</v>
      </c>
      <c r="B1405" s="609" t="s">
        <v>404</v>
      </c>
      <c r="C1405" s="610" t="s">
        <v>278</v>
      </c>
      <c r="D1405" s="727">
        <v>4500200368</v>
      </c>
      <c r="E1405" s="613">
        <v>412875</v>
      </c>
      <c r="F1405" s="554" t="s">
        <v>9445</v>
      </c>
      <c r="G1405" s="610" t="s">
        <v>6025</v>
      </c>
      <c r="H1405" s="610" t="s">
        <v>6026</v>
      </c>
      <c r="I1405" s="610">
        <v>1512</v>
      </c>
      <c r="J1405" s="610">
        <v>0</v>
      </c>
      <c r="K1405" s="610">
        <v>24</v>
      </c>
      <c r="L1405" s="611">
        <f t="shared" si="522"/>
        <v>63</v>
      </c>
      <c r="M1405" s="612">
        <v>46167</v>
      </c>
      <c r="N1405" s="612">
        <v>46163</v>
      </c>
      <c r="O1405" s="613"/>
      <c r="P1405" s="613" t="s">
        <v>9433</v>
      </c>
      <c r="Q1405" s="610" t="s">
        <v>3944</v>
      </c>
      <c r="R1405" s="614">
        <v>46120</v>
      </c>
      <c r="S1405" s="614" t="s">
        <v>70</v>
      </c>
      <c r="T1405" s="614" t="s">
        <v>9446</v>
      </c>
      <c r="U1405" s="614"/>
      <c r="V1405" s="614"/>
      <c r="W1405" s="615"/>
      <c r="X1405" s="609" t="s">
        <v>9447</v>
      </c>
      <c r="Y1405" s="609" t="s">
        <v>505</v>
      </c>
      <c r="Z1405" s="722">
        <v>0.8976</v>
      </c>
      <c r="AA1405" s="616">
        <f t="shared" si="539"/>
        <v>1357.1712</v>
      </c>
      <c r="AC1405" s="617"/>
      <c r="AD1405" s="610" t="s">
        <v>6025</v>
      </c>
      <c r="AE1405" s="610" t="s">
        <v>82</v>
      </c>
      <c r="AF1405" s="610"/>
      <c r="AG1405" s="610"/>
      <c r="AH1405" s="610">
        <v>1</v>
      </c>
      <c r="AI1405" s="725">
        <v>1512</v>
      </c>
      <c r="AJ1405" s="610">
        <f t="shared" si="525"/>
        <v>0</v>
      </c>
      <c r="AK1405" s="610"/>
      <c r="AL1405" s="610" t="s">
        <v>2368</v>
      </c>
      <c r="AM1405" s="610"/>
      <c r="AN1405" s="610"/>
      <c r="AO1405" s="554">
        <f t="shared" si="540"/>
        <v>1512</v>
      </c>
      <c r="AP1405" s="554"/>
      <c r="AQ1405" s="554"/>
      <c r="AR1405" s="619"/>
      <c r="AS1405" s="554"/>
      <c r="AT1405" s="554">
        <f t="shared" si="541"/>
        <v>1512</v>
      </c>
      <c r="AU1405" s="554"/>
      <c r="AV1405" s="554">
        <f t="shared" si="542"/>
        <v>1512</v>
      </c>
      <c r="AW1405" s="619"/>
      <c r="AX1405" s="554"/>
      <c r="AY1405" s="554"/>
      <c r="AZ1405" s="554"/>
      <c r="BA1405" s="554"/>
      <c r="BB1405" s="620">
        <f t="shared" si="543"/>
        <v>63</v>
      </c>
      <c r="BC1405" s="714"/>
      <c r="BD1405" s="554"/>
      <c r="BE1405" s="554"/>
      <c r="BF1405" s="554"/>
      <c r="BH1405" s="554"/>
      <c r="BI1405" s="554"/>
      <c r="BJ1405" s="554"/>
      <c r="BK1405" s="554"/>
      <c r="BL1405" s="554"/>
      <c r="BM1405" s="554"/>
      <c r="BN1405" s="554"/>
      <c r="BO1405" s="554"/>
      <c r="BP1405" s="554"/>
      <c r="BQ1405" s="554"/>
      <c r="BR1405" s="554"/>
      <c r="BS1405" s="554"/>
      <c r="BT1405" s="554"/>
      <c r="BU1405" s="554"/>
      <c r="BV1405" s="554"/>
      <c r="BW1405" s="554"/>
      <c r="BX1405" s="554"/>
      <c r="BY1405" s="619"/>
      <c r="BZ1405" s="554"/>
      <c r="CA1405" s="621"/>
      <c r="CB1405" s="567"/>
      <c r="CC1405" s="622"/>
      <c r="CD1405" s="619"/>
      <c r="CE1405" s="619"/>
      <c r="CF1405" s="554"/>
      <c r="CG1405" s="554"/>
      <c r="CI1405" s="554"/>
      <c r="CJ1405" s="554"/>
      <c r="CK1405" s="554"/>
      <c r="CL1405" s="554"/>
      <c r="CM1405" s="554"/>
      <c r="CN1405" s="554"/>
      <c r="CO1405" s="554"/>
      <c r="CP1405" s="554"/>
      <c r="CQ1405" s="554"/>
      <c r="CR1405" s="554"/>
      <c r="CS1405" s="554"/>
      <c r="CT1405" s="554"/>
      <c r="CU1405" s="554"/>
      <c r="CV1405" s="554"/>
      <c r="CW1405" s="554"/>
      <c r="CX1405" s="619"/>
      <c r="CY1405" s="619"/>
      <c r="CZ1405" s="619"/>
      <c r="DA1405" s="548"/>
      <c r="DB1405" s="548"/>
      <c r="DC1405" s="548"/>
      <c r="DD1405" s="619"/>
      <c r="DE1405" s="619"/>
      <c r="DF1405" s="619"/>
      <c r="DG1405" s="619"/>
      <c r="DH1405" s="619"/>
    </row>
    <row r="1406" s="548" customFormat="1" ht="31" customHeight="1" spans="1:112">
      <c r="A1406" s="608">
        <v>46101</v>
      </c>
      <c r="B1406" s="609" t="s">
        <v>3715</v>
      </c>
      <c r="C1406" s="610" t="s">
        <v>98</v>
      </c>
      <c r="D1406" s="554">
        <v>4500197812</v>
      </c>
      <c r="E1406" s="610">
        <v>41201446</v>
      </c>
      <c r="F1406" s="554" t="s">
        <v>9448</v>
      </c>
      <c r="G1406" s="610" t="s">
        <v>6084</v>
      </c>
      <c r="H1406" s="610" t="s">
        <v>6085</v>
      </c>
      <c r="I1406" s="610">
        <v>3300</v>
      </c>
      <c r="J1406" s="610">
        <v>0</v>
      </c>
      <c r="K1406" s="610">
        <v>25</v>
      </c>
      <c r="L1406" s="611">
        <f t="shared" si="522"/>
        <v>132</v>
      </c>
      <c r="M1406" s="612">
        <v>46167</v>
      </c>
      <c r="N1406" s="612">
        <v>46163</v>
      </c>
      <c r="O1406" s="613"/>
      <c r="P1406" s="613" t="s">
        <v>113</v>
      </c>
      <c r="Q1406" s="610"/>
      <c r="R1406" s="614">
        <v>46119</v>
      </c>
      <c r="S1406" s="614" t="s">
        <v>104</v>
      </c>
      <c r="T1406" s="614">
        <v>46113</v>
      </c>
      <c r="U1406" s="614"/>
      <c r="V1406" s="614"/>
      <c r="W1406" s="615"/>
      <c r="X1406" s="609" t="s">
        <v>9223</v>
      </c>
      <c r="Y1406" s="609" t="s">
        <v>3717</v>
      </c>
      <c r="Z1406" s="722">
        <v>0.5914</v>
      </c>
      <c r="AA1406" s="616">
        <f t="shared" si="539"/>
        <v>1951.62</v>
      </c>
      <c r="AC1406" s="629" t="s">
        <v>3951</v>
      </c>
      <c r="AD1406" s="610" t="s">
        <v>6089</v>
      </c>
      <c r="AE1406" s="610" t="s">
        <v>82</v>
      </c>
      <c r="AF1406" s="610"/>
      <c r="AG1406" s="610"/>
      <c r="AH1406" s="610">
        <v>1</v>
      </c>
      <c r="AI1406" s="726">
        <v>3300</v>
      </c>
      <c r="AJ1406" s="610">
        <f t="shared" si="525"/>
        <v>0</v>
      </c>
      <c r="AK1406" s="610"/>
      <c r="AL1406" s="610" t="s">
        <v>2368</v>
      </c>
      <c r="AM1406" s="610"/>
      <c r="AN1406" s="610">
        <f>I1406</f>
        <v>3300</v>
      </c>
      <c r="AO1406" s="554"/>
      <c r="AP1406" s="554"/>
      <c r="AQ1406" s="554"/>
      <c r="AR1406" s="619"/>
      <c r="AS1406" s="554">
        <f>I1406</f>
        <v>3300</v>
      </c>
      <c r="AT1406" s="554"/>
      <c r="AU1406" s="554">
        <f t="shared" ref="AU1406:AU1412" si="547">I1406</f>
        <v>3300</v>
      </c>
      <c r="AV1406" s="554"/>
      <c r="AW1406" s="619"/>
      <c r="AX1406" s="554"/>
      <c r="AY1406" s="554"/>
      <c r="AZ1406" s="554"/>
      <c r="BA1406" s="554"/>
      <c r="BB1406" s="620">
        <f t="shared" si="543"/>
        <v>137.5</v>
      </c>
      <c r="BC1406" s="714"/>
      <c r="BD1406" s="554"/>
      <c r="BE1406" s="554"/>
      <c r="BF1406" s="554"/>
      <c r="BH1406" s="554"/>
      <c r="BI1406" s="554"/>
      <c r="BJ1406" s="554"/>
      <c r="BK1406" s="554"/>
      <c r="BL1406" s="554"/>
      <c r="BM1406" s="554"/>
      <c r="BN1406" s="554"/>
      <c r="BO1406" s="554">
        <f>I1406/25</f>
        <v>132</v>
      </c>
      <c r="BP1406" s="554"/>
      <c r="BQ1406" s="554"/>
      <c r="BR1406" s="554"/>
      <c r="BS1406" s="554"/>
      <c r="BT1406" s="554"/>
      <c r="BU1406" s="554"/>
      <c r="BV1406" s="554"/>
      <c r="BW1406" s="554"/>
      <c r="BX1406" s="554"/>
      <c r="BY1406" s="619"/>
      <c r="BZ1406" s="554"/>
      <c r="CA1406" s="621"/>
      <c r="CB1406" s="567"/>
      <c r="CC1406" s="622"/>
      <c r="CD1406" s="619"/>
      <c r="CE1406" s="619"/>
      <c r="CF1406" s="554"/>
      <c r="CG1406" s="554"/>
      <c r="CI1406" s="554"/>
      <c r="CJ1406" s="554"/>
      <c r="CK1406" s="554"/>
      <c r="CL1406" s="554"/>
      <c r="CM1406" s="554"/>
      <c r="CN1406" s="554"/>
      <c r="CO1406" s="554"/>
      <c r="CP1406" s="554"/>
      <c r="CQ1406" s="554"/>
      <c r="CR1406" s="554"/>
      <c r="CS1406" s="554"/>
      <c r="CT1406" s="554"/>
      <c r="CU1406" s="554">
        <f t="shared" ref="CU1406:CU1427" si="548">BQ1406+BP1406+BO1406+BN1406+BX1406+BR1406</f>
        <v>132</v>
      </c>
      <c r="CV1406" s="554">
        <f>CK1406+CL1406+CM1406+CN1406+CO1406+CQ1406+CP1406</f>
        <v>0</v>
      </c>
      <c r="CW1406" s="554">
        <f>CI1406+CJ1406</f>
        <v>0</v>
      </c>
      <c r="CX1406" s="619"/>
      <c r="CY1406" s="619"/>
      <c r="CZ1406" s="619"/>
      <c r="DA1406" s="548"/>
      <c r="DB1406" s="548"/>
      <c r="DC1406" s="548"/>
      <c r="DD1406" s="619"/>
      <c r="DE1406" s="619"/>
      <c r="DF1406" s="619"/>
      <c r="DG1406" s="619"/>
      <c r="DH1406" s="619"/>
    </row>
    <row r="1407" s="548" customFormat="1" ht="31" customHeight="1" spans="1:112">
      <c r="A1407" s="608">
        <v>46122</v>
      </c>
      <c r="B1407" s="609" t="s">
        <v>143</v>
      </c>
      <c r="C1407" s="610" t="s">
        <v>98</v>
      </c>
      <c r="D1407" s="727">
        <v>4500201172</v>
      </c>
      <c r="E1407" s="613">
        <v>993124074</v>
      </c>
      <c r="F1407" s="554" t="s">
        <v>9449</v>
      </c>
      <c r="G1407" s="610" t="s">
        <v>6063</v>
      </c>
      <c r="H1407" s="610" t="s">
        <v>6064</v>
      </c>
      <c r="I1407" s="610">
        <v>5760</v>
      </c>
      <c r="J1407" s="610">
        <v>0</v>
      </c>
      <c r="K1407" s="610">
        <v>16</v>
      </c>
      <c r="L1407" s="611">
        <f t="shared" si="522"/>
        <v>360</v>
      </c>
      <c r="M1407" s="612">
        <v>46167</v>
      </c>
      <c r="N1407" s="612">
        <v>46163</v>
      </c>
      <c r="O1407" s="613" t="s">
        <v>362</v>
      </c>
      <c r="P1407" s="613" t="s">
        <v>113</v>
      </c>
      <c r="Q1407" s="610" t="s">
        <v>3902</v>
      </c>
      <c r="R1407" s="614" t="s">
        <v>7064</v>
      </c>
      <c r="S1407" s="614" t="s">
        <v>70</v>
      </c>
      <c r="T1407" s="614" t="s">
        <v>3920</v>
      </c>
      <c r="U1407" s="614"/>
      <c r="V1407" s="614"/>
      <c r="W1407" s="615"/>
      <c r="X1407" s="609" t="s">
        <v>9450</v>
      </c>
      <c r="Y1407" s="609" t="s">
        <v>106</v>
      </c>
      <c r="Z1407" s="722">
        <v>0.6046</v>
      </c>
      <c r="AA1407" s="616">
        <f t="shared" ref="AA1407:AA1412" si="549">I1407*Z1407</f>
        <v>3482.496</v>
      </c>
      <c r="AC1407" s="629" t="s">
        <v>9451</v>
      </c>
      <c r="AD1407" s="610" t="s">
        <v>6063</v>
      </c>
      <c r="AE1407" s="610" t="s">
        <v>82</v>
      </c>
      <c r="AF1407" s="610"/>
      <c r="AG1407" s="610"/>
      <c r="AH1407" s="610">
        <v>1</v>
      </c>
      <c r="AI1407" s="726">
        <v>960</v>
      </c>
      <c r="AJ1407" s="610">
        <f t="shared" si="525"/>
        <v>-4800</v>
      </c>
      <c r="AK1407" s="610"/>
      <c r="AL1407" s="610" t="s">
        <v>2368</v>
      </c>
      <c r="AM1407" s="610"/>
      <c r="AN1407" s="610">
        <f t="shared" ref="AN1407:AN1412" si="550">I1407</f>
        <v>5760</v>
      </c>
      <c r="AO1407" s="554"/>
      <c r="AP1407" s="554">
        <f t="shared" ref="AP1407:AP1412" si="551">I1407</f>
        <v>5760</v>
      </c>
      <c r="AQ1407" s="554"/>
      <c r="AR1407" s="619"/>
      <c r="AS1407" s="554"/>
      <c r="AT1407" s="554"/>
      <c r="AU1407" s="554">
        <f t="shared" si="547"/>
        <v>5760</v>
      </c>
      <c r="AV1407" s="554"/>
      <c r="AW1407" s="619"/>
      <c r="AX1407" s="554"/>
      <c r="AY1407" s="554"/>
      <c r="AZ1407" s="554"/>
      <c r="BA1407" s="554"/>
      <c r="BB1407" s="620">
        <f t="shared" ref="BB1407:BB1418" si="552">I1407/24</f>
        <v>240</v>
      </c>
      <c r="BC1407" s="554"/>
      <c r="BD1407" s="554"/>
      <c r="BE1407" s="554"/>
      <c r="BF1407" s="554"/>
      <c r="BH1407" s="554"/>
      <c r="BI1407" s="554"/>
      <c r="BJ1407" s="554"/>
      <c r="BK1407" s="554"/>
      <c r="BL1407" s="554"/>
      <c r="BM1407" s="554"/>
      <c r="BN1407" s="554"/>
      <c r="BO1407" s="554"/>
      <c r="BP1407" s="554"/>
      <c r="BQ1407" s="554">
        <f t="shared" ref="BQ1407:BQ1412" si="553">I1407/16</f>
        <v>360</v>
      </c>
      <c r="BR1407" s="554"/>
      <c r="BS1407" s="554"/>
      <c r="BT1407" s="554"/>
      <c r="BU1407" s="554"/>
      <c r="BV1407" s="554"/>
      <c r="BW1407" s="554"/>
      <c r="BX1407" s="554"/>
      <c r="BY1407" s="554"/>
      <c r="BZ1407" s="554"/>
      <c r="CA1407" s="720"/>
      <c r="CB1407" s="567"/>
      <c r="CC1407" s="721"/>
      <c r="CD1407" s="554"/>
      <c r="CE1407" s="554"/>
      <c r="CF1407" s="554"/>
      <c r="CG1407" s="554"/>
      <c r="CI1407" s="554"/>
      <c r="CJ1407" s="554"/>
      <c r="CK1407" s="554"/>
      <c r="CL1407" s="554"/>
      <c r="CM1407" s="554"/>
      <c r="CN1407" s="554"/>
      <c r="CO1407" s="554"/>
      <c r="CP1407" s="619"/>
      <c r="CQ1407" s="619"/>
      <c r="CR1407" s="619"/>
      <c r="CS1407" s="619"/>
      <c r="CT1407" s="619"/>
      <c r="CU1407" s="554">
        <f t="shared" si="548"/>
        <v>360</v>
      </c>
      <c r="CV1407" s="554">
        <f t="shared" ref="CV1407:CV1412" si="554">CK1407+CL1407+CM1407+CN1407+CO1407+CQ1407+CP1407</f>
        <v>0</v>
      </c>
      <c r="CW1407" s="554">
        <f t="shared" ref="CW1407:CW1412" si="555">CI1407+CJ1407</f>
        <v>0</v>
      </c>
      <c r="CX1407" s="619"/>
      <c r="CY1407" s="619"/>
      <c r="CZ1407" s="619"/>
      <c r="DA1407" s="619"/>
      <c r="DB1407" s="619"/>
      <c r="DC1407" s="619"/>
      <c r="DD1407" s="619"/>
      <c r="DE1407" s="619"/>
      <c r="DF1407" s="619"/>
      <c r="DG1407" s="619"/>
      <c r="DH1407" s="619"/>
    </row>
    <row r="1408" s="548" customFormat="1" ht="31" customHeight="1" spans="1:112">
      <c r="A1408" s="608">
        <v>46122</v>
      </c>
      <c r="B1408" s="609" t="s">
        <v>143</v>
      </c>
      <c r="C1408" s="610" t="s">
        <v>98</v>
      </c>
      <c r="D1408" s="727">
        <v>4500201172</v>
      </c>
      <c r="E1408" s="613">
        <v>993124122</v>
      </c>
      <c r="F1408" s="554" t="s">
        <v>9452</v>
      </c>
      <c r="G1408" s="610" t="s">
        <v>6063</v>
      </c>
      <c r="H1408" s="610" t="s">
        <v>6064</v>
      </c>
      <c r="I1408" s="610">
        <v>13440</v>
      </c>
      <c r="J1408" s="610">
        <v>0</v>
      </c>
      <c r="K1408" s="610">
        <v>16</v>
      </c>
      <c r="L1408" s="611">
        <f t="shared" si="522"/>
        <v>840</v>
      </c>
      <c r="M1408" s="612">
        <v>46167</v>
      </c>
      <c r="N1408" s="612">
        <v>46163</v>
      </c>
      <c r="O1408" s="613" t="s">
        <v>362</v>
      </c>
      <c r="P1408" s="613" t="s">
        <v>113</v>
      </c>
      <c r="Q1408" s="610"/>
      <c r="R1408" s="614" t="s">
        <v>7064</v>
      </c>
      <c r="S1408" s="614" t="s">
        <v>70</v>
      </c>
      <c r="T1408" s="614" t="s">
        <v>3920</v>
      </c>
      <c r="U1408" s="614"/>
      <c r="V1408" s="614"/>
      <c r="W1408" s="615"/>
      <c r="X1408" s="609" t="s">
        <v>9450</v>
      </c>
      <c r="Y1408" s="609" t="s">
        <v>106</v>
      </c>
      <c r="Z1408" s="722">
        <v>0.6046</v>
      </c>
      <c r="AA1408" s="616">
        <f t="shared" si="549"/>
        <v>8125.824</v>
      </c>
      <c r="AC1408" s="629" t="s">
        <v>9453</v>
      </c>
      <c r="AD1408" s="610" t="s">
        <v>6063</v>
      </c>
      <c r="AE1408" s="610" t="s">
        <v>82</v>
      </c>
      <c r="AF1408" s="610"/>
      <c r="AG1408" s="610"/>
      <c r="AH1408" s="610">
        <v>1</v>
      </c>
      <c r="AI1408" s="726">
        <v>2880</v>
      </c>
      <c r="AJ1408" s="610">
        <f t="shared" si="525"/>
        <v>-10560</v>
      </c>
      <c r="AK1408" s="610"/>
      <c r="AL1408" s="610" t="s">
        <v>2368</v>
      </c>
      <c r="AM1408" s="610"/>
      <c r="AN1408" s="610">
        <f t="shared" si="550"/>
        <v>13440</v>
      </c>
      <c r="AO1408" s="554"/>
      <c r="AP1408" s="554">
        <f t="shared" si="551"/>
        <v>13440</v>
      </c>
      <c r="AQ1408" s="554"/>
      <c r="AR1408" s="619"/>
      <c r="AS1408" s="554"/>
      <c r="AT1408" s="554"/>
      <c r="AU1408" s="554">
        <f t="shared" si="547"/>
        <v>13440</v>
      </c>
      <c r="AV1408" s="554"/>
      <c r="AW1408" s="619"/>
      <c r="AX1408" s="554"/>
      <c r="AY1408" s="554"/>
      <c r="AZ1408" s="554"/>
      <c r="BA1408" s="554"/>
      <c r="BB1408" s="620">
        <f t="shared" si="552"/>
        <v>560</v>
      </c>
      <c r="BC1408" s="554"/>
      <c r="BD1408" s="554"/>
      <c r="BE1408" s="554"/>
      <c r="BF1408" s="554"/>
      <c r="BH1408" s="554"/>
      <c r="BI1408" s="554"/>
      <c r="BJ1408" s="554"/>
      <c r="BK1408" s="554"/>
      <c r="BL1408" s="554"/>
      <c r="BM1408" s="554"/>
      <c r="BN1408" s="554"/>
      <c r="BO1408" s="554"/>
      <c r="BP1408" s="554"/>
      <c r="BQ1408" s="554">
        <f t="shared" si="553"/>
        <v>840</v>
      </c>
      <c r="BR1408" s="554"/>
      <c r="BS1408" s="554"/>
      <c r="BT1408" s="554"/>
      <c r="BU1408" s="554"/>
      <c r="BV1408" s="554"/>
      <c r="BW1408" s="554"/>
      <c r="BX1408" s="554"/>
      <c r="BY1408" s="554"/>
      <c r="BZ1408" s="554"/>
      <c r="CA1408" s="720"/>
      <c r="CB1408" s="567"/>
      <c r="CC1408" s="721"/>
      <c r="CD1408" s="554"/>
      <c r="CE1408" s="554"/>
      <c r="CF1408" s="554"/>
      <c r="CG1408" s="554"/>
      <c r="CI1408" s="554"/>
      <c r="CJ1408" s="554"/>
      <c r="CK1408" s="554"/>
      <c r="CL1408" s="554"/>
      <c r="CM1408" s="554"/>
      <c r="CN1408" s="554"/>
      <c r="CO1408" s="554"/>
      <c r="CP1408" s="619"/>
      <c r="CQ1408" s="619"/>
      <c r="CR1408" s="619"/>
      <c r="CS1408" s="619"/>
      <c r="CT1408" s="619"/>
      <c r="CU1408" s="554">
        <f t="shared" si="548"/>
        <v>840</v>
      </c>
      <c r="CV1408" s="554">
        <f t="shared" si="554"/>
        <v>0</v>
      </c>
      <c r="CW1408" s="554">
        <f t="shared" si="555"/>
        <v>0</v>
      </c>
      <c r="CX1408" s="619"/>
      <c r="CY1408" s="619"/>
      <c r="CZ1408" s="619"/>
      <c r="DA1408" s="619"/>
      <c r="DB1408" s="619"/>
      <c r="DC1408" s="619"/>
      <c r="DD1408" s="619"/>
      <c r="DE1408" s="619"/>
      <c r="DF1408" s="619"/>
      <c r="DG1408" s="619"/>
      <c r="DH1408" s="619"/>
    </row>
    <row r="1409" s="548" customFormat="1" ht="31" customHeight="1" spans="1:112">
      <c r="A1409" s="608">
        <v>46122</v>
      </c>
      <c r="B1409" s="609" t="s">
        <v>143</v>
      </c>
      <c r="C1409" s="610" t="s">
        <v>98</v>
      </c>
      <c r="D1409" s="727">
        <v>4500201172</v>
      </c>
      <c r="E1409" s="613">
        <v>993124123</v>
      </c>
      <c r="F1409" s="554" t="s">
        <v>9454</v>
      </c>
      <c r="G1409" s="610" t="s">
        <v>6063</v>
      </c>
      <c r="H1409" s="610" t="s">
        <v>6064</v>
      </c>
      <c r="I1409" s="610">
        <v>9600</v>
      </c>
      <c r="J1409" s="610">
        <v>0</v>
      </c>
      <c r="K1409" s="610">
        <v>16</v>
      </c>
      <c r="L1409" s="611">
        <f t="shared" si="522"/>
        <v>600</v>
      </c>
      <c r="M1409" s="612">
        <v>46167</v>
      </c>
      <c r="N1409" s="612">
        <v>46163</v>
      </c>
      <c r="O1409" s="613" t="s">
        <v>362</v>
      </c>
      <c r="P1409" s="613" t="s">
        <v>113</v>
      </c>
      <c r="Q1409" s="610"/>
      <c r="R1409" s="614" t="s">
        <v>7064</v>
      </c>
      <c r="S1409" s="614" t="s">
        <v>70</v>
      </c>
      <c r="T1409" s="614" t="s">
        <v>3920</v>
      </c>
      <c r="U1409" s="614"/>
      <c r="V1409" s="614"/>
      <c r="W1409" s="615"/>
      <c r="X1409" s="609" t="s">
        <v>9450</v>
      </c>
      <c r="Y1409" s="609" t="s">
        <v>106</v>
      </c>
      <c r="Z1409" s="722">
        <v>0.6046</v>
      </c>
      <c r="AA1409" s="616">
        <f t="shared" si="549"/>
        <v>5804.16</v>
      </c>
      <c r="AC1409" s="629" t="s">
        <v>9455</v>
      </c>
      <c r="AD1409" s="610" t="s">
        <v>6063</v>
      </c>
      <c r="AE1409" s="610" t="s">
        <v>82</v>
      </c>
      <c r="AF1409" s="610"/>
      <c r="AG1409" s="610"/>
      <c r="AH1409" s="610">
        <v>1</v>
      </c>
      <c r="AI1409" s="726">
        <v>5760</v>
      </c>
      <c r="AJ1409" s="610">
        <f t="shared" si="525"/>
        <v>-3840</v>
      </c>
      <c r="AK1409" s="610"/>
      <c r="AL1409" s="610" t="s">
        <v>2368</v>
      </c>
      <c r="AM1409" s="610"/>
      <c r="AN1409" s="610">
        <f t="shared" si="550"/>
        <v>9600</v>
      </c>
      <c r="AO1409" s="554"/>
      <c r="AP1409" s="554">
        <f t="shared" si="551"/>
        <v>9600</v>
      </c>
      <c r="AQ1409" s="554"/>
      <c r="AR1409" s="619"/>
      <c r="AS1409" s="554"/>
      <c r="AT1409" s="554"/>
      <c r="AU1409" s="554">
        <f t="shared" si="547"/>
        <v>9600</v>
      </c>
      <c r="AV1409" s="554"/>
      <c r="AW1409" s="619"/>
      <c r="AX1409" s="554"/>
      <c r="AY1409" s="554"/>
      <c r="AZ1409" s="554"/>
      <c r="BA1409" s="554"/>
      <c r="BB1409" s="620">
        <f t="shared" si="552"/>
        <v>400</v>
      </c>
      <c r="BC1409" s="554"/>
      <c r="BD1409" s="554"/>
      <c r="BE1409" s="554"/>
      <c r="BF1409" s="554"/>
      <c r="BH1409" s="554"/>
      <c r="BI1409" s="554"/>
      <c r="BJ1409" s="554"/>
      <c r="BK1409" s="554"/>
      <c r="BL1409" s="554"/>
      <c r="BM1409" s="554"/>
      <c r="BN1409" s="554"/>
      <c r="BO1409" s="554"/>
      <c r="BP1409" s="554"/>
      <c r="BQ1409" s="554">
        <f t="shared" si="553"/>
        <v>600</v>
      </c>
      <c r="BR1409" s="554"/>
      <c r="BS1409" s="554"/>
      <c r="BT1409" s="554"/>
      <c r="BU1409" s="554"/>
      <c r="BV1409" s="554"/>
      <c r="BW1409" s="554"/>
      <c r="BX1409" s="554"/>
      <c r="BY1409" s="554"/>
      <c r="BZ1409" s="554"/>
      <c r="CA1409" s="720"/>
      <c r="CB1409" s="567"/>
      <c r="CC1409" s="721"/>
      <c r="CD1409" s="554"/>
      <c r="CE1409" s="554"/>
      <c r="CF1409" s="554"/>
      <c r="CG1409" s="554"/>
      <c r="CI1409" s="554"/>
      <c r="CJ1409" s="554"/>
      <c r="CK1409" s="554"/>
      <c r="CL1409" s="554"/>
      <c r="CM1409" s="554"/>
      <c r="CN1409" s="554"/>
      <c r="CO1409" s="554"/>
      <c r="CP1409" s="619"/>
      <c r="CQ1409" s="619"/>
      <c r="CR1409" s="619"/>
      <c r="CS1409" s="619"/>
      <c r="CT1409" s="619"/>
      <c r="CU1409" s="554">
        <f t="shared" si="548"/>
        <v>600</v>
      </c>
      <c r="CV1409" s="554">
        <f t="shared" si="554"/>
        <v>0</v>
      </c>
      <c r="CW1409" s="554">
        <f t="shared" si="555"/>
        <v>0</v>
      </c>
      <c r="CX1409" s="619"/>
      <c r="CY1409" s="619"/>
      <c r="CZ1409" s="619"/>
      <c r="DA1409" s="619"/>
      <c r="DB1409" s="619"/>
      <c r="DC1409" s="619"/>
      <c r="DD1409" s="619"/>
      <c r="DE1409" s="619"/>
      <c r="DF1409" s="619"/>
      <c r="DG1409" s="619"/>
      <c r="DH1409" s="619"/>
    </row>
    <row r="1410" s="548" customFormat="1" ht="31" customHeight="1" spans="1:112">
      <c r="A1410" s="608">
        <v>46122</v>
      </c>
      <c r="B1410" s="609" t="s">
        <v>143</v>
      </c>
      <c r="C1410" s="610" t="s">
        <v>98</v>
      </c>
      <c r="D1410" s="727">
        <v>4500201172</v>
      </c>
      <c r="E1410" s="613">
        <v>993124230</v>
      </c>
      <c r="F1410" s="554" t="s">
        <v>9456</v>
      </c>
      <c r="G1410" s="610" t="s">
        <v>6063</v>
      </c>
      <c r="H1410" s="610" t="s">
        <v>6064</v>
      </c>
      <c r="I1410" s="610">
        <v>2880</v>
      </c>
      <c r="J1410" s="610">
        <v>0</v>
      </c>
      <c r="K1410" s="610">
        <v>16</v>
      </c>
      <c r="L1410" s="611">
        <f t="shared" si="522"/>
        <v>180</v>
      </c>
      <c r="M1410" s="612">
        <v>46167</v>
      </c>
      <c r="N1410" s="612">
        <v>46163</v>
      </c>
      <c r="O1410" s="613" t="s">
        <v>362</v>
      </c>
      <c r="P1410" s="613" t="s">
        <v>113</v>
      </c>
      <c r="Q1410" s="610"/>
      <c r="R1410" s="614" t="s">
        <v>7064</v>
      </c>
      <c r="S1410" s="614" t="s">
        <v>70</v>
      </c>
      <c r="T1410" s="614" t="s">
        <v>3920</v>
      </c>
      <c r="U1410" s="614"/>
      <c r="V1410" s="614"/>
      <c r="W1410" s="615"/>
      <c r="X1410" s="609" t="s">
        <v>9450</v>
      </c>
      <c r="Y1410" s="609" t="s">
        <v>106</v>
      </c>
      <c r="Z1410" s="722">
        <v>0.6046</v>
      </c>
      <c r="AA1410" s="616">
        <f t="shared" si="549"/>
        <v>1741.248</v>
      </c>
      <c r="AC1410" s="629" t="s">
        <v>9457</v>
      </c>
      <c r="AD1410" s="610" t="s">
        <v>6063</v>
      </c>
      <c r="AE1410" s="610" t="s">
        <v>82</v>
      </c>
      <c r="AF1410" s="610"/>
      <c r="AG1410" s="610"/>
      <c r="AH1410" s="610">
        <v>1</v>
      </c>
      <c r="AI1410" s="726">
        <v>9600</v>
      </c>
      <c r="AJ1410" s="610">
        <f t="shared" si="525"/>
        <v>6720</v>
      </c>
      <c r="AK1410" s="610"/>
      <c r="AL1410" s="610" t="s">
        <v>2368</v>
      </c>
      <c r="AM1410" s="610"/>
      <c r="AN1410" s="610">
        <f t="shared" si="550"/>
        <v>2880</v>
      </c>
      <c r="AO1410" s="554"/>
      <c r="AP1410" s="554">
        <f t="shared" si="551"/>
        <v>2880</v>
      </c>
      <c r="AQ1410" s="554"/>
      <c r="AR1410" s="619"/>
      <c r="AS1410" s="554"/>
      <c r="AT1410" s="554"/>
      <c r="AU1410" s="554">
        <f t="shared" si="547"/>
        <v>2880</v>
      </c>
      <c r="AV1410" s="554"/>
      <c r="AW1410" s="619"/>
      <c r="AX1410" s="554"/>
      <c r="AY1410" s="554"/>
      <c r="AZ1410" s="554"/>
      <c r="BA1410" s="554"/>
      <c r="BB1410" s="620">
        <f t="shared" si="552"/>
        <v>120</v>
      </c>
      <c r="BC1410" s="554"/>
      <c r="BD1410" s="554"/>
      <c r="BE1410" s="554"/>
      <c r="BF1410" s="554"/>
      <c r="BH1410" s="554"/>
      <c r="BI1410" s="554"/>
      <c r="BJ1410" s="554"/>
      <c r="BK1410" s="554"/>
      <c r="BL1410" s="554"/>
      <c r="BM1410" s="554"/>
      <c r="BN1410" s="554"/>
      <c r="BO1410" s="554"/>
      <c r="BP1410" s="554"/>
      <c r="BQ1410" s="554">
        <f t="shared" si="553"/>
        <v>180</v>
      </c>
      <c r="BR1410" s="554"/>
      <c r="BS1410" s="554"/>
      <c r="BT1410" s="554"/>
      <c r="BU1410" s="554"/>
      <c r="BV1410" s="554"/>
      <c r="BW1410" s="554"/>
      <c r="BX1410" s="554"/>
      <c r="BY1410" s="554"/>
      <c r="BZ1410" s="554"/>
      <c r="CA1410" s="720"/>
      <c r="CB1410" s="567"/>
      <c r="CC1410" s="721"/>
      <c r="CD1410" s="554"/>
      <c r="CE1410" s="554"/>
      <c r="CF1410" s="554"/>
      <c r="CG1410" s="554"/>
      <c r="CI1410" s="554"/>
      <c r="CJ1410" s="554"/>
      <c r="CK1410" s="554"/>
      <c r="CL1410" s="554"/>
      <c r="CM1410" s="554"/>
      <c r="CN1410" s="554"/>
      <c r="CO1410" s="554"/>
      <c r="CP1410" s="619"/>
      <c r="CQ1410" s="619"/>
      <c r="CR1410" s="619"/>
      <c r="CS1410" s="619"/>
      <c r="CT1410" s="619"/>
      <c r="CU1410" s="554">
        <f t="shared" si="548"/>
        <v>180</v>
      </c>
      <c r="CV1410" s="554">
        <f t="shared" si="554"/>
        <v>0</v>
      </c>
      <c r="CW1410" s="554">
        <f t="shared" si="555"/>
        <v>0</v>
      </c>
      <c r="CX1410" s="619"/>
      <c r="CY1410" s="619"/>
      <c r="CZ1410" s="619"/>
      <c r="DA1410" s="619"/>
      <c r="DB1410" s="619"/>
      <c r="DC1410" s="619"/>
      <c r="DD1410" s="619"/>
      <c r="DE1410" s="619"/>
      <c r="DF1410" s="619"/>
      <c r="DG1410" s="619"/>
      <c r="DH1410" s="619"/>
    </row>
    <row r="1411" s="548" customFormat="1" ht="31" customHeight="1" spans="1:112">
      <c r="A1411" s="608">
        <v>46122</v>
      </c>
      <c r="B1411" s="609" t="s">
        <v>143</v>
      </c>
      <c r="C1411" s="610" t="s">
        <v>98</v>
      </c>
      <c r="D1411" s="727">
        <v>4500201172</v>
      </c>
      <c r="E1411" s="613">
        <v>993124294</v>
      </c>
      <c r="F1411" s="554" t="s">
        <v>9458</v>
      </c>
      <c r="G1411" s="610" t="s">
        <v>6063</v>
      </c>
      <c r="H1411" s="610" t="s">
        <v>6064</v>
      </c>
      <c r="I1411" s="610">
        <v>960</v>
      </c>
      <c r="J1411" s="610">
        <v>0</v>
      </c>
      <c r="K1411" s="610">
        <v>16</v>
      </c>
      <c r="L1411" s="611">
        <f t="shared" si="522"/>
        <v>60</v>
      </c>
      <c r="M1411" s="612">
        <v>46167</v>
      </c>
      <c r="N1411" s="612">
        <v>46163</v>
      </c>
      <c r="O1411" s="613" t="s">
        <v>362</v>
      </c>
      <c r="P1411" s="613" t="s">
        <v>113</v>
      </c>
      <c r="Q1411" s="610"/>
      <c r="R1411" s="614" t="s">
        <v>7064</v>
      </c>
      <c r="S1411" s="614" t="s">
        <v>70</v>
      </c>
      <c r="T1411" s="614" t="s">
        <v>3920</v>
      </c>
      <c r="U1411" s="614"/>
      <c r="V1411" s="614"/>
      <c r="W1411" s="615"/>
      <c r="X1411" s="609" t="s">
        <v>9450</v>
      </c>
      <c r="Y1411" s="609" t="s">
        <v>106</v>
      </c>
      <c r="Z1411" s="722">
        <v>0.6046</v>
      </c>
      <c r="AA1411" s="616">
        <f t="shared" si="549"/>
        <v>580.416</v>
      </c>
      <c r="AC1411" s="629" t="s">
        <v>9459</v>
      </c>
      <c r="AD1411" s="610" t="s">
        <v>6063</v>
      </c>
      <c r="AE1411" s="610" t="s">
        <v>82</v>
      </c>
      <c r="AF1411" s="610"/>
      <c r="AG1411" s="610"/>
      <c r="AH1411" s="610">
        <v>1</v>
      </c>
      <c r="AI1411" s="726">
        <v>10560</v>
      </c>
      <c r="AJ1411" s="610">
        <f t="shared" si="525"/>
        <v>9600</v>
      </c>
      <c r="AK1411" s="610"/>
      <c r="AL1411" s="610" t="s">
        <v>2368</v>
      </c>
      <c r="AM1411" s="610"/>
      <c r="AN1411" s="610">
        <f t="shared" si="550"/>
        <v>960</v>
      </c>
      <c r="AO1411" s="554"/>
      <c r="AP1411" s="554">
        <f t="shared" si="551"/>
        <v>960</v>
      </c>
      <c r="AQ1411" s="554"/>
      <c r="AR1411" s="619"/>
      <c r="AS1411" s="554"/>
      <c r="AT1411" s="554"/>
      <c r="AU1411" s="554">
        <f t="shared" si="547"/>
        <v>960</v>
      </c>
      <c r="AV1411" s="554"/>
      <c r="AW1411" s="619"/>
      <c r="AX1411" s="554"/>
      <c r="AY1411" s="554"/>
      <c r="AZ1411" s="554"/>
      <c r="BA1411" s="554"/>
      <c r="BB1411" s="620">
        <f t="shared" si="552"/>
        <v>40</v>
      </c>
      <c r="BC1411" s="554"/>
      <c r="BD1411" s="554"/>
      <c r="BE1411" s="554"/>
      <c r="BF1411" s="554"/>
      <c r="BH1411" s="554"/>
      <c r="BI1411" s="554"/>
      <c r="BJ1411" s="554"/>
      <c r="BK1411" s="554"/>
      <c r="BL1411" s="554"/>
      <c r="BM1411" s="554"/>
      <c r="BN1411" s="554"/>
      <c r="BO1411" s="554"/>
      <c r="BP1411" s="554"/>
      <c r="BQ1411" s="554">
        <f t="shared" si="553"/>
        <v>60</v>
      </c>
      <c r="BR1411" s="554"/>
      <c r="BS1411" s="554"/>
      <c r="BT1411" s="554"/>
      <c r="BU1411" s="554"/>
      <c r="BV1411" s="554"/>
      <c r="BW1411" s="554"/>
      <c r="BX1411" s="554"/>
      <c r="BY1411" s="554"/>
      <c r="BZ1411" s="554"/>
      <c r="CA1411" s="720"/>
      <c r="CB1411" s="567"/>
      <c r="CC1411" s="721"/>
      <c r="CD1411" s="554"/>
      <c r="CE1411" s="554"/>
      <c r="CF1411" s="554"/>
      <c r="CG1411" s="554"/>
      <c r="CI1411" s="554"/>
      <c r="CJ1411" s="554"/>
      <c r="CK1411" s="554"/>
      <c r="CL1411" s="554"/>
      <c r="CM1411" s="554"/>
      <c r="CN1411" s="554"/>
      <c r="CO1411" s="554"/>
      <c r="CP1411" s="619"/>
      <c r="CQ1411" s="619"/>
      <c r="CR1411" s="619"/>
      <c r="CS1411" s="619"/>
      <c r="CT1411" s="619"/>
      <c r="CU1411" s="554">
        <f t="shared" si="548"/>
        <v>60</v>
      </c>
      <c r="CV1411" s="554">
        <f t="shared" si="554"/>
        <v>0</v>
      </c>
      <c r="CW1411" s="554">
        <f t="shared" si="555"/>
        <v>0</v>
      </c>
      <c r="CX1411" s="619"/>
      <c r="CY1411" s="619"/>
      <c r="CZ1411" s="619"/>
      <c r="DA1411" s="619"/>
      <c r="DB1411" s="619"/>
      <c r="DC1411" s="619"/>
      <c r="DD1411" s="619"/>
      <c r="DE1411" s="619"/>
      <c r="DF1411" s="619"/>
      <c r="DG1411" s="619"/>
      <c r="DH1411" s="619"/>
    </row>
    <row r="1412" s="548" customFormat="1" ht="31" customHeight="1" spans="1:112">
      <c r="A1412" s="608">
        <v>46122</v>
      </c>
      <c r="B1412" s="609" t="s">
        <v>143</v>
      </c>
      <c r="C1412" s="610" t="s">
        <v>98</v>
      </c>
      <c r="D1412" s="727">
        <v>4500201172</v>
      </c>
      <c r="E1412" s="613">
        <v>993124311</v>
      </c>
      <c r="F1412" s="554" t="s">
        <v>9460</v>
      </c>
      <c r="G1412" s="610" t="s">
        <v>6063</v>
      </c>
      <c r="H1412" s="610" t="s">
        <v>6064</v>
      </c>
      <c r="I1412" s="610">
        <v>10560</v>
      </c>
      <c r="J1412" s="610">
        <v>0</v>
      </c>
      <c r="K1412" s="610">
        <v>16</v>
      </c>
      <c r="L1412" s="611">
        <f t="shared" si="522"/>
        <v>660</v>
      </c>
      <c r="M1412" s="612">
        <v>46167</v>
      </c>
      <c r="N1412" s="612">
        <v>46163</v>
      </c>
      <c r="O1412" s="613" t="s">
        <v>362</v>
      </c>
      <c r="P1412" s="613" t="s">
        <v>113</v>
      </c>
      <c r="Q1412" s="610"/>
      <c r="R1412" s="614" t="s">
        <v>7064</v>
      </c>
      <c r="S1412" s="614" t="s">
        <v>70</v>
      </c>
      <c r="T1412" s="614" t="s">
        <v>3920</v>
      </c>
      <c r="U1412" s="614"/>
      <c r="V1412" s="614"/>
      <c r="W1412" s="615"/>
      <c r="X1412" s="609" t="s">
        <v>9450</v>
      </c>
      <c r="Y1412" s="609" t="s">
        <v>106</v>
      </c>
      <c r="Z1412" s="722">
        <v>0.6046</v>
      </c>
      <c r="AA1412" s="616">
        <f t="shared" si="549"/>
        <v>6384.576</v>
      </c>
      <c r="AC1412" s="629" t="s">
        <v>9461</v>
      </c>
      <c r="AD1412" s="610" t="s">
        <v>6063</v>
      </c>
      <c r="AE1412" s="610" t="s">
        <v>82</v>
      </c>
      <c r="AF1412" s="610"/>
      <c r="AG1412" s="610"/>
      <c r="AH1412" s="610">
        <v>1</v>
      </c>
      <c r="AI1412" s="726">
        <v>13440</v>
      </c>
      <c r="AJ1412" s="610">
        <f t="shared" si="525"/>
        <v>2880</v>
      </c>
      <c r="AK1412" s="610"/>
      <c r="AL1412" s="610" t="s">
        <v>2368</v>
      </c>
      <c r="AM1412" s="610"/>
      <c r="AN1412" s="610">
        <f t="shared" si="550"/>
        <v>10560</v>
      </c>
      <c r="AO1412" s="554"/>
      <c r="AP1412" s="554">
        <f t="shared" si="551"/>
        <v>10560</v>
      </c>
      <c r="AQ1412" s="554"/>
      <c r="AR1412" s="619"/>
      <c r="AS1412" s="554"/>
      <c r="AT1412" s="554"/>
      <c r="AU1412" s="554">
        <f t="shared" si="547"/>
        <v>10560</v>
      </c>
      <c r="AV1412" s="554"/>
      <c r="AW1412" s="619"/>
      <c r="AX1412" s="554"/>
      <c r="AY1412" s="554"/>
      <c r="AZ1412" s="554"/>
      <c r="BA1412" s="554"/>
      <c r="BB1412" s="620">
        <f t="shared" si="552"/>
        <v>440</v>
      </c>
      <c r="BC1412" s="554"/>
      <c r="BD1412" s="554"/>
      <c r="BE1412" s="554"/>
      <c r="BF1412" s="554"/>
      <c r="BH1412" s="554"/>
      <c r="BI1412" s="554"/>
      <c r="BJ1412" s="554"/>
      <c r="BK1412" s="554"/>
      <c r="BL1412" s="554"/>
      <c r="BM1412" s="554"/>
      <c r="BN1412" s="554"/>
      <c r="BO1412" s="554"/>
      <c r="BP1412" s="554"/>
      <c r="BQ1412" s="554">
        <f t="shared" si="553"/>
        <v>660</v>
      </c>
      <c r="BR1412" s="554"/>
      <c r="BS1412" s="554"/>
      <c r="BT1412" s="554"/>
      <c r="BU1412" s="554"/>
      <c r="BV1412" s="554"/>
      <c r="BW1412" s="554"/>
      <c r="BX1412" s="554"/>
      <c r="BY1412" s="554"/>
      <c r="BZ1412" s="554"/>
      <c r="CA1412" s="720"/>
      <c r="CB1412" s="567"/>
      <c r="CC1412" s="721"/>
      <c r="CD1412" s="554"/>
      <c r="CE1412" s="554"/>
      <c r="CF1412" s="554"/>
      <c r="CG1412" s="554"/>
      <c r="CI1412" s="554"/>
      <c r="CJ1412" s="554"/>
      <c r="CK1412" s="554"/>
      <c r="CL1412" s="554"/>
      <c r="CM1412" s="554"/>
      <c r="CN1412" s="554"/>
      <c r="CO1412" s="554"/>
      <c r="CP1412" s="619"/>
      <c r="CQ1412" s="619"/>
      <c r="CR1412" s="619"/>
      <c r="CS1412" s="619"/>
      <c r="CT1412" s="619"/>
      <c r="CU1412" s="554">
        <f t="shared" si="548"/>
        <v>660</v>
      </c>
      <c r="CV1412" s="554">
        <f t="shared" si="554"/>
        <v>0</v>
      </c>
      <c r="CW1412" s="554">
        <f t="shared" si="555"/>
        <v>0</v>
      </c>
      <c r="CX1412" s="619"/>
      <c r="CY1412" s="619"/>
      <c r="CZ1412" s="619"/>
      <c r="DA1412" s="619"/>
      <c r="DB1412" s="619"/>
      <c r="DC1412" s="619"/>
      <c r="DD1412" s="619"/>
      <c r="DE1412" s="619"/>
      <c r="DF1412" s="619"/>
      <c r="DG1412" s="619"/>
      <c r="DH1412" s="619"/>
    </row>
    <row r="1413" s="548" customFormat="1" ht="31" customHeight="1" spans="1:112">
      <c r="A1413" s="608">
        <v>46126</v>
      </c>
      <c r="B1413" s="609" t="s">
        <v>135</v>
      </c>
      <c r="C1413" s="610" t="s">
        <v>128</v>
      </c>
      <c r="D1413" s="554">
        <v>4500197999</v>
      </c>
      <c r="E1413" s="610">
        <v>21528175</v>
      </c>
      <c r="F1413" s="554" t="s">
        <v>3955</v>
      </c>
      <c r="G1413" s="610" t="s">
        <v>6337</v>
      </c>
      <c r="H1413" s="610" t="s">
        <v>477</v>
      </c>
      <c r="I1413" s="715">
        <v>3186</v>
      </c>
      <c r="J1413" s="610">
        <v>0</v>
      </c>
      <c r="K1413" s="610">
        <v>6</v>
      </c>
      <c r="L1413" s="611">
        <f t="shared" si="522"/>
        <v>531</v>
      </c>
      <c r="M1413" s="612">
        <v>46167</v>
      </c>
      <c r="N1413" s="612">
        <v>46163</v>
      </c>
      <c r="O1413" s="613"/>
      <c r="P1413" s="610" t="s">
        <v>113</v>
      </c>
      <c r="Q1413" s="614"/>
      <c r="R1413" s="614">
        <v>46138</v>
      </c>
      <c r="S1413" s="614" t="s">
        <v>104</v>
      </c>
      <c r="T1413" s="614" t="s">
        <v>9462</v>
      </c>
      <c r="U1413" s="614"/>
      <c r="V1413" s="614"/>
      <c r="W1413" s="615"/>
      <c r="X1413" s="609" t="s">
        <v>9463</v>
      </c>
      <c r="Y1413" s="616" t="s">
        <v>3206</v>
      </c>
      <c r="Z1413" s="609">
        <v>7.0744</v>
      </c>
      <c r="AA1413" s="616">
        <f t="shared" ref="AA1413:AA1427" si="556">Z1413*I1413</f>
        <v>22539.0384</v>
      </c>
      <c r="AC1413" s="697"/>
      <c r="AD1413" s="610" t="s">
        <v>1306</v>
      </c>
      <c r="AE1413" s="610" t="s">
        <v>82</v>
      </c>
      <c r="AF1413" s="610"/>
      <c r="AG1413" s="610"/>
      <c r="AH1413" s="609">
        <v>1</v>
      </c>
      <c r="AI1413" s="736">
        <v>3186</v>
      </c>
      <c r="AJ1413" s="610">
        <f t="shared" si="525"/>
        <v>0</v>
      </c>
      <c r="AK1413" s="613"/>
      <c r="AL1413" s="610" t="s">
        <v>2368</v>
      </c>
      <c r="AM1413" s="610"/>
      <c r="AN1413" s="554"/>
      <c r="AO1413" s="554">
        <f>I1413*2</f>
        <v>6372</v>
      </c>
      <c r="AP1413" s="554"/>
      <c r="AQ1413" s="554"/>
      <c r="AR1413" s="554"/>
      <c r="AS1413" s="554"/>
      <c r="AT1413" s="554">
        <f>I1413*2</f>
        <v>6372</v>
      </c>
      <c r="AU1413" s="554"/>
      <c r="AV1413" s="554">
        <f>I1413*2</f>
        <v>6372</v>
      </c>
      <c r="AW1413" s="554"/>
      <c r="AX1413" s="714"/>
      <c r="AY1413" s="554"/>
      <c r="AZ1413" s="554"/>
      <c r="BA1413" s="554"/>
      <c r="BB1413" s="620">
        <f>I1413/24*2</f>
        <v>265.5</v>
      </c>
      <c r="BC1413" s="554"/>
      <c r="BD1413" s="554"/>
      <c r="BE1413" s="554"/>
      <c r="BF1413" s="554"/>
      <c r="BH1413" s="554"/>
      <c r="BI1413" s="554"/>
      <c r="BJ1413" s="554"/>
      <c r="BK1413" s="554"/>
      <c r="BL1413" s="554"/>
      <c r="BM1413" s="554"/>
      <c r="BN1413" s="554"/>
      <c r="BO1413" s="554"/>
      <c r="BP1413" s="554"/>
      <c r="BQ1413" s="554"/>
      <c r="BR1413" s="554"/>
      <c r="BS1413" s="554"/>
      <c r="BT1413" s="554"/>
      <c r="BU1413" s="554"/>
      <c r="BV1413" s="554"/>
      <c r="BW1413" s="554"/>
      <c r="BX1413" s="554"/>
      <c r="BY1413" s="554"/>
      <c r="BZ1413" s="554">
        <f>I1413</f>
        <v>3186</v>
      </c>
      <c r="CA1413" s="720"/>
      <c r="CB1413" s="567"/>
      <c r="CC1413" s="721"/>
      <c r="CD1413" s="554"/>
      <c r="CE1413" s="554"/>
      <c r="CF1413" s="554"/>
      <c r="CG1413" s="554"/>
      <c r="CI1413" s="554"/>
      <c r="CJ1413" s="554"/>
      <c r="CK1413" s="554"/>
      <c r="CL1413" s="554"/>
      <c r="CM1413" s="554"/>
      <c r="CN1413" s="554"/>
      <c r="CO1413" s="554"/>
      <c r="CP1413" s="619"/>
      <c r="CQ1413" s="619"/>
      <c r="CR1413" s="619"/>
      <c r="CS1413" s="619"/>
      <c r="CT1413" s="619"/>
      <c r="CU1413" s="554">
        <f t="shared" si="548"/>
        <v>0</v>
      </c>
      <c r="CV1413" s="554">
        <v>0</v>
      </c>
      <c r="CW1413" s="554">
        <v>0</v>
      </c>
      <c r="CX1413" s="619"/>
      <c r="CY1413" s="619"/>
      <c r="CZ1413" s="619"/>
      <c r="DA1413" s="619"/>
      <c r="DB1413" s="619"/>
      <c r="DC1413" s="619"/>
      <c r="DD1413" s="619"/>
      <c r="DE1413" s="619"/>
      <c r="DF1413" s="619"/>
      <c r="DG1413" s="619"/>
      <c r="DH1413" s="619"/>
    </row>
    <row r="1414" s="548" customFormat="1" ht="31" customHeight="1" spans="1:112">
      <c r="A1414" s="608">
        <v>46126</v>
      </c>
      <c r="B1414" s="609" t="s">
        <v>139</v>
      </c>
      <c r="C1414" s="610" t="s">
        <v>76</v>
      </c>
      <c r="D1414" s="554">
        <v>4500198000</v>
      </c>
      <c r="E1414" s="610">
        <v>21528178</v>
      </c>
      <c r="F1414" s="554" t="s">
        <v>3958</v>
      </c>
      <c r="G1414" s="610" t="s">
        <v>6337</v>
      </c>
      <c r="H1414" s="610" t="s">
        <v>477</v>
      </c>
      <c r="I1414" s="715">
        <v>318</v>
      </c>
      <c r="J1414" s="610">
        <v>0</v>
      </c>
      <c r="K1414" s="610">
        <v>6</v>
      </c>
      <c r="L1414" s="611">
        <f t="shared" si="522"/>
        <v>53</v>
      </c>
      <c r="M1414" s="612">
        <v>46167</v>
      </c>
      <c r="N1414" s="612">
        <v>46163</v>
      </c>
      <c r="O1414" s="613"/>
      <c r="P1414" s="610" t="s">
        <v>113</v>
      </c>
      <c r="Q1414" s="614"/>
      <c r="R1414" s="614">
        <v>46138</v>
      </c>
      <c r="S1414" s="614" t="s">
        <v>104</v>
      </c>
      <c r="T1414" s="614" t="s">
        <v>9462</v>
      </c>
      <c r="U1414" s="614"/>
      <c r="V1414" s="614"/>
      <c r="W1414" s="615"/>
      <c r="X1414" s="609" t="s">
        <v>9464</v>
      </c>
      <c r="Y1414" s="616" t="s">
        <v>3206</v>
      </c>
      <c r="Z1414" s="609">
        <v>7.6122</v>
      </c>
      <c r="AA1414" s="616">
        <f t="shared" si="556"/>
        <v>2420.6796</v>
      </c>
      <c r="AC1414" s="697"/>
      <c r="AD1414" s="610" t="s">
        <v>1306</v>
      </c>
      <c r="AE1414" s="610" t="s">
        <v>82</v>
      </c>
      <c r="AF1414" s="610"/>
      <c r="AG1414" s="610"/>
      <c r="AH1414" s="609">
        <v>1</v>
      </c>
      <c r="AI1414" s="736">
        <v>318</v>
      </c>
      <c r="AJ1414" s="610">
        <f t="shared" si="525"/>
        <v>0</v>
      </c>
      <c r="AK1414" s="613"/>
      <c r="AL1414" s="610"/>
      <c r="AM1414" s="610"/>
      <c r="AN1414" s="554"/>
      <c r="AO1414" s="554">
        <f>I1414*2</f>
        <v>636</v>
      </c>
      <c r="AP1414" s="554"/>
      <c r="AQ1414" s="554"/>
      <c r="AR1414" s="554"/>
      <c r="AS1414" s="554"/>
      <c r="AT1414" s="554">
        <f>I1414*2</f>
        <v>636</v>
      </c>
      <c r="AU1414" s="554"/>
      <c r="AV1414" s="554">
        <f>I1414*2</f>
        <v>636</v>
      </c>
      <c r="AW1414" s="554"/>
      <c r="AX1414" s="714"/>
      <c r="AY1414" s="554"/>
      <c r="AZ1414" s="554"/>
      <c r="BA1414" s="554"/>
      <c r="BB1414" s="620">
        <f>I1414/24*2</f>
        <v>26.5</v>
      </c>
      <c r="BC1414" s="554"/>
      <c r="BD1414" s="554"/>
      <c r="BE1414" s="554"/>
      <c r="BF1414" s="554"/>
      <c r="BH1414" s="554"/>
      <c r="BI1414" s="554"/>
      <c r="BJ1414" s="554"/>
      <c r="BK1414" s="554"/>
      <c r="BL1414" s="554"/>
      <c r="BM1414" s="554"/>
      <c r="BN1414" s="554"/>
      <c r="BO1414" s="554"/>
      <c r="BP1414" s="554"/>
      <c r="BQ1414" s="554"/>
      <c r="BR1414" s="554"/>
      <c r="BS1414" s="554"/>
      <c r="BT1414" s="554"/>
      <c r="BU1414" s="554"/>
      <c r="BV1414" s="554"/>
      <c r="BW1414" s="554"/>
      <c r="BX1414" s="554"/>
      <c r="BY1414" s="554"/>
      <c r="BZ1414" s="554">
        <f>I1414</f>
        <v>318</v>
      </c>
      <c r="CA1414" s="720"/>
      <c r="CB1414" s="567"/>
      <c r="CC1414" s="721"/>
      <c r="CD1414" s="554"/>
      <c r="CE1414" s="554"/>
      <c r="CF1414" s="554"/>
      <c r="CG1414" s="554"/>
      <c r="CI1414" s="554"/>
      <c r="CJ1414" s="554"/>
      <c r="CK1414" s="554"/>
      <c r="CL1414" s="554"/>
      <c r="CM1414" s="554"/>
      <c r="CN1414" s="554"/>
      <c r="CO1414" s="554"/>
      <c r="CP1414" s="619"/>
      <c r="CQ1414" s="619"/>
      <c r="CR1414" s="619"/>
      <c r="CS1414" s="619"/>
      <c r="CT1414" s="619"/>
      <c r="CU1414" s="554">
        <f t="shared" si="548"/>
        <v>0</v>
      </c>
      <c r="CV1414" s="554">
        <v>0</v>
      </c>
      <c r="CW1414" s="554">
        <v>0</v>
      </c>
      <c r="CX1414" s="619"/>
      <c r="CY1414" s="619"/>
      <c r="CZ1414" s="619"/>
      <c r="DA1414" s="619"/>
      <c r="DB1414" s="619"/>
      <c r="DC1414" s="619"/>
      <c r="DD1414" s="619"/>
      <c r="DE1414" s="619"/>
      <c r="DF1414" s="619"/>
      <c r="DG1414" s="619"/>
      <c r="DH1414" s="619"/>
    </row>
    <row r="1415" s="548" customFormat="1" ht="31" customHeight="1" spans="1:112">
      <c r="A1415" s="608">
        <v>46126</v>
      </c>
      <c r="B1415" s="609" t="s">
        <v>169</v>
      </c>
      <c r="C1415" s="610" t="s">
        <v>170</v>
      </c>
      <c r="D1415" s="554">
        <v>4500201690</v>
      </c>
      <c r="E1415" s="610">
        <v>993628077</v>
      </c>
      <c r="F1415" s="554" t="s">
        <v>9465</v>
      </c>
      <c r="G1415" s="610" t="s">
        <v>6063</v>
      </c>
      <c r="H1415" s="610" t="s">
        <v>6064</v>
      </c>
      <c r="I1415" s="715">
        <v>8384</v>
      </c>
      <c r="J1415" s="610">
        <v>0</v>
      </c>
      <c r="K1415" s="610">
        <v>16</v>
      </c>
      <c r="L1415" s="611">
        <f t="shared" si="522"/>
        <v>524</v>
      </c>
      <c r="M1415" s="612">
        <v>46167</v>
      </c>
      <c r="N1415" s="612">
        <v>46163</v>
      </c>
      <c r="O1415" s="613" t="s">
        <v>9466</v>
      </c>
      <c r="P1415" s="610" t="s">
        <v>113</v>
      </c>
      <c r="Q1415" s="614"/>
      <c r="R1415" s="614">
        <v>46130</v>
      </c>
      <c r="S1415" s="614" t="s">
        <v>70</v>
      </c>
      <c r="T1415" s="614" t="s">
        <v>9467</v>
      </c>
      <c r="U1415" s="614"/>
      <c r="V1415" s="614"/>
      <c r="W1415" s="615"/>
      <c r="X1415" s="609" t="s">
        <v>9468</v>
      </c>
      <c r="Y1415" s="616" t="s">
        <v>2071</v>
      </c>
      <c r="Z1415" s="609">
        <v>1.0247</v>
      </c>
      <c r="AA1415" s="616">
        <f t="shared" si="556"/>
        <v>8591.0848</v>
      </c>
      <c r="AC1415" s="697"/>
      <c r="AD1415" s="610" t="s">
        <v>8348</v>
      </c>
      <c r="AE1415" s="610" t="s">
        <v>82</v>
      </c>
      <c r="AF1415" s="610"/>
      <c r="AG1415" s="610"/>
      <c r="AH1415" s="609">
        <v>1</v>
      </c>
      <c r="AI1415" s="737">
        <f>32+8352</f>
        <v>8384</v>
      </c>
      <c r="AJ1415" s="610">
        <f t="shared" si="525"/>
        <v>0</v>
      </c>
      <c r="AK1415" s="613"/>
      <c r="AL1415" s="610"/>
      <c r="AM1415" s="610"/>
      <c r="AN1415" s="554">
        <f>I1415</f>
        <v>8384</v>
      </c>
      <c r="AO1415" s="554"/>
      <c r="AP1415" s="554"/>
      <c r="AQ1415" s="554"/>
      <c r="AR1415" s="554"/>
      <c r="AS1415" s="554">
        <f>I1415</f>
        <v>8384</v>
      </c>
      <c r="AT1415" s="554"/>
      <c r="AU1415" s="554">
        <f>I1415</f>
        <v>8384</v>
      </c>
      <c r="AV1415" s="554"/>
      <c r="AW1415" s="554"/>
      <c r="AX1415" s="714"/>
      <c r="AY1415" s="554"/>
      <c r="AZ1415" s="554"/>
      <c r="BA1415" s="554"/>
      <c r="BB1415" s="620">
        <f t="shared" si="552"/>
        <v>349.333333333333</v>
      </c>
      <c r="BC1415" s="554"/>
      <c r="BD1415" s="554"/>
      <c r="BE1415" s="554"/>
      <c r="BF1415" s="554"/>
      <c r="BH1415" s="554"/>
      <c r="BI1415" s="554"/>
      <c r="BJ1415" s="554"/>
      <c r="BK1415" s="554"/>
      <c r="BL1415" s="554"/>
      <c r="BM1415" s="554"/>
      <c r="BN1415" s="554"/>
      <c r="BO1415" s="554"/>
      <c r="BP1415" s="554"/>
      <c r="BQ1415" s="554"/>
      <c r="BR1415" s="554">
        <f>L1415</f>
        <v>524</v>
      </c>
      <c r="BS1415" s="554"/>
      <c r="BT1415" s="554"/>
      <c r="BU1415" s="554"/>
      <c r="BV1415" s="554"/>
      <c r="BW1415" s="554"/>
      <c r="BX1415" s="554"/>
      <c r="BY1415" s="554"/>
      <c r="BZ1415" s="554"/>
      <c r="CA1415" s="720"/>
      <c r="CB1415" s="567"/>
      <c r="CC1415" s="721"/>
      <c r="CD1415" s="554"/>
      <c r="CE1415" s="554"/>
      <c r="CF1415" s="554"/>
      <c r="CG1415" s="554"/>
      <c r="CI1415" s="554"/>
      <c r="CJ1415" s="554"/>
      <c r="CK1415" s="554"/>
      <c r="CL1415" s="554"/>
      <c r="CM1415" s="554"/>
      <c r="CN1415" s="554"/>
      <c r="CO1415" s="554"/>
      <c r="CP1415" s="619"/>
      <c r="CQ1415" s="619"/>
      <c r="CR1415" s="619"/>
      <c r="CS1415" s="619"/>
      <c r="CT1415" s="619"/>
      <c r="CU1415" s="554">
        <f t="shared" si="548"/>
        <v>524</v>
      </c>
      <c r="CV1415" s="554">
        <f>CK1415+CL1415+CM1415+CN1415+CO1415+CQ1415+CP1415</f>
        <v>0</v>
      </c>
      <c r="CW1415" s="554">
        <f>CI1415+CJ1415</f>
        <v>0</v>
      </c>
      <c r="CX1415" s="619"/>
      <c r="CY1415" s="619"/>
      <c r="CZ1415" s="619"/>
      <c r="DA1415" s="619"/>
      <c r="DB1415" s="619"/>
      <c r="DC1415" s="619"/>
      <c r="DD1415" s="619"/>
      <c r="DE1415" s="619"/>
      <c r="DF1415" s="619"/>
      <c r="DG1415" s="619"/>
      <c r="DH1415" s="619"/>
    </row>
    <row r="1416" s="548" customFormat="1" ht="31" customHeight="1" spans="1:112">
      <c r="A1416" s="608">
        <v>46122</v>
      </c>
      <c r="B1416" s="609" t="s">
        <v>3989</v>
      </c>
      <c r="C1416" s="610" t="s">
        <v>154</v>
      </c>
      <c r="D1416" s="727">
        <v>4500201132</v>
      </c>
      <c r="E1416" s="613">
        <v>55795612</v>
      </c>
      <c r="F1416" s="554" t="s">
        <v>3992</v>
      </c>
      <c r="G1416" s="610" t="s">
        <v>6337</v>
      </c>
      <c r="H1416" s="610" t="s">
        <v>477</v>
      </c>
      <c r="I1416" s="715">
        <v>1200</v>
      </c>
      <c r="J1416" s="610">
        <v>0</v>
      </c>
      <c r="K1416" s="610">
        <v>6</v>
      </c>
      <c r="L1416" s="611">
        <f t="shared" si="522"/>
        <v>200</v>
      </c>
      <c r="M1416" s="724">
        <v>46168</v>
      </c>
      <c r="N1416" s="724">
        <v>46164</v>
      </c>
      <c r="O1416" s="613"/>
      <c r="P1416" s="610" t="s">
        <v>113</v>
      </c>
      <c r="Q1416" s="614" t="s">
        <v>3993</v>
      </c>
      <c r="R1416" s="614">
        <v>46122</v>
      </c>
      <c r="S1416" s="614" t="s">
        <v>70</v>
      </c>
      <c r="T1416" s="614" t="s">
        <v>3994</v>
      </c>
      <c r="U1416" s="614"/>
      <c r="V1416" s="614"/>
      <c r="W1416" s="615"/>
      <c r="X1416" s="738" t="s">
        <v>3995</v>
      </c>
      <c r="Y1416" s="616" t="s">
        <v>1894</v>
      </c>
      <c r="Z1416" s="609">
        <v>7.0192</v>
      </c>
      <c r="AA1416" s="616">
        <f t="shared" si="556"/>
        <v>8423.04</v>
      </c>
      <c r="AC1416" s="697"/>
      <c r="AD1416" s="610" t="s">
        <v>480</v>
      </c>
      <c r="AE1416" s="610" t="s">
        <v>82</v>
      </c>
      <c r="AF1416" s="610"/>
      <c r="AG1416" s="610"/>
      <c r="AH1416" s="609">
        <v>1</v>
      </c>
      <c r="AI1416" s="725">
        <v>1200</v>
      </c>
      <c r="AJ1416" s="610">
        <f t="shared" si="525"/>
        <v>0</v>
      </c>
      <c r="AK1416" s="613"/>
      <c r="AL1416" s="610" t="s">
        <v>2368</v>
      </c>
      <c r="AM1416" s="610"/>
      <c r="AN1416" s="554"/>
      <c r="AO1416" s="554">
        <f>I1416*2</f>
        <v>2400</v>
      </c>
      <c r="AP1416" s="554"/>
      <c r="AQ1416" s="554"/>
      <c r="AR1416" s="554"/>
      <c r="AS1416" s="554"/>
      <c r="AT1416" s="554">
        <f>I1416*2</f>
        <v>2400</v>
      </c>
      <c r="AU1416" s="554"/>
      <c r="AV1416" s="554">
        <f>I1416*2</f>
        <v>2400</v>
      </c>
      <c r="AW1416" s="554"/>
      <c r="AX1416" s="714"/>
      <c r="AY1416" s="554"/>
      <c r="AZ1416" s="554"/>
      <c r="BA1416" s="554"/>
      <c r="BB1416" s="620">
        <f>I1416/24*2</f>
        <v>100</v>
      </c>
      <c r="BC1416" s="554"/>
      <c r="BD1416" s="554"/>
      <c r="BE1416" s="554"/>
      <c r="BF1416" s="554"/>
      <c r="BH1416" s="554"/>
      <c r="BI1416" s="554"/>
      <c r="BJ1416" s="554"/>
      <c r="BK1416" s="554"/>
      <c r="BL1416" s="554"/>
      <c r="BM1416" s="554"/>
      <c r="BN1416" s="554"/>
      <c r="BO1416" s="554"/>
      <c r="BP1416" s="554"/>
      <c r="BQ1416" s="554"/>
      <c r="BR1416" s="554"/>
      <c r="BS1416" s="554"/>
      <c r="BT1416" s="554"/>
      <c r="BU1416" s="554"/>
      <c r="BV1416" s="554"/>
      <c r="BW1416" s="554"/>
      <c r="BX1416" s="554"/>
      <c r="BY1416" s="554"/>
      <c r="BZ1416" s="554">
        <f>I1416</f>
        <v>1200</v>
      </c>
      <c r="CA1416" s="720"/>
      <c r="CB1416" s="567"/>
      <c r="CC1416" s="721"/>
      <c r="CD1416" s="554"/>
      <c r="CE1416" s="554"/>
      <c r="CF1416" s="554"/>
      <c r="CG1416" s="554"/>
      <c r="CI1416" s="554"/>
      <c r="CJ1416" s="554"/>
      <c r="CK1416" s="554"/>
      <c r="CL1416" s="554"/>
      <c r="CM1416" s="554"/>
      <c r="CN1416" s="554"/>
      <c r="CO1416" s="554"/>
      <c r="CP1416" s="619"/>
      <c r="CQ1416" s="619"/>
      <c r="CR1416" s="619"/>
      <c r="CS1416" s="619"/>
      <c r="CT1416" s="619"/>
      <c r="CU1416" s="554">
        <f t="shared" si="548"/>
        <v>0</v>
      </c>
      <c r="CV1416" s="554">
        <v>0</v>
      </c>
      <c r="CW1416" s="554">
        <v>0</v>
      </c>
      <c r="CX1416" s="619"/>
      <c r="CY1416" s="619"/>
      <c r="CZ1416" s="619"/>
      <c r="DA1416" s="619"/>
      <c r="DB1416" s="619"/>
      <c r="DC1416" s="619"/>
      <c r="DD1416" s="619"/>
      <c r="DE1416" s="619"/>
      <c r="DF1416" s="619"/>
      <c r="DG1416" s="619"/>
      <c r="DH1416" s="619"/>
    </row>
    <row r="1417" s="548" customFormat="1" ht="31" customHeight="1" spans="1:112">
      <c r="A1417" s="608">
        <v>46122</v>
      </c>
      <c r="B1417" s="609" t="s">
        <v>3996</v>
      </c>
      <c r="C1417" s="610" t="s">
        <v>278</v>
      </c>
      <c r="D1417" s="727">
        <v>4500201091</v>
      </c>
      <c r="E1417" s="613">
        <v>50795597</v>
      </c>
      <c r="F1417" s="554" t="s">
        <v>9469</v>
      </c>
      <c r="G1417" s="610" t="s">
        <v>6040</v>
      </c>
      <c r="H1417" s="610" t="s">
        <v>6041</v>
      </c>
      <c r="I1417" s="715">
        <v>2028</v>
      </c>
      <c r="J1417" s="610">
        <v>0</v>
      </c>
      <c r="K1417" s="610">
        <v>52</v>
      </c>
      <c r="L1417" s="611">
        <f t="shared" si="522"/>
        <v>39</v>
      </c>
      <c r="M1417" s="612">
        <v>46169</v>
      </c>
      <c r="N1417" s="612">
        <v>46165</v>
      </c>
      <c r="O1417" s="613"/>
      <c r="P1417" s="610" t="s">
        <v>9433</v>
      </c>
      <c r="Q1417" s="614" t="s">
        <v>4000</v>
      </c>
      <c r="R1417" s="614">
        <v>46122</v>
      </c>
      <c r="S1417" s="614" t="s">
        <v>70</v>
      </c>
      <c r="T1417" s="614" t="s">
        <v>4001</v>
      </c>
      <c r="U1417" s="614"/>
      <c r="V1417" s="614"/>
      <c r="W1417" s="615"/>
      <c r="X1417" s="609" t="s">
        <v>9470</v>
      </c>
      <c r="Y1417" s="616" t="s">
        <v>1894</v>
      </c>
      <c r="Z1417" s="609">
        <v>0.9461</v>
      </c>
      <c r="AA1417" s="616">
        <f t="shared" si="556"/>
        <v>1918.6908</v>
      </c>
      <c r="AC1417" s="697"/>
      <c r="AD1417" s="610" t="s">
        <v>6040</v>
      </c>
      <c r="AE1417" s="610" t="s">
        <v>82</v>
      </c>
      <c r="AF1417" s="610"/>
      <c r="AG1417" s="610"/>
      <c r="AH1417" s="609">
        <v>1</v>
      </c>
      <c r="AI1417" s="739">
        <v>2028</v>
      </c>
      <c r="AJ1417" s="610">
        <f t="shared" si="525"/>
        <v>0</v>
      </c>
      <c r="AK1417" s="613"/>
      <c r="AL1417" s="610" t="s">
        <v>2368</v>
      </c>
      <c r="AM1417" s="610"/>
      <c r="AN1417" s="554"/>
      <c r="AO1417" s="554">
        <f>I1417</f>
        <v>2028</v>
      </c>
      <c r="AP1417" s="554"/>
      <c r="AQ1417" s="554"/>
      <c r="AR1417" s="554"/>
      <c r="AS1417" s="554"/>
      <c r="AT1417" s="554">
        <f>I1417</f>
        <v>2028</v>
      </c>
      <c r="AU1417" s="554"/>
      <c r="AV1417" s="554">
        <f>I1417</f>
        <v>2028</v>
      </c>
      <c r="AW1417" s="554"/>
      <c r="AX1417" s="714"/>
      <c r="AY1417" s="554"/>
      <c r="AZ1417" s="554"/>
      <c r="BA1417" s="554"/>
      <c r="BB1417" s="620">
        <f>I1417/24</f>
        <v>84.5</v>
      </c>
      <c r="BC1417" s="554"/>
      <c r="BD1417" s="554"/>
      <c r="BE1417" s="554"/>
      <c r="BF1417" s="554"/>
      <c r="BH1417" s="554"/>
      <c r="BI1417" s="554"/>
      <c r="BJ1417" s="554"/>
      <c r="BK1417" s="554"/>
      <c r="BL1417" s="554"/>
      <c r="BM1417" s="554">
        <f>I1417/13</f>
        <v>156</v>
      </c>
      <c r="BN1417" s="554"/>
      <c r="BO1417" s="554"/>
      <c r="BP1417" s="554"/>
      <c r="BQ1417" s="554"/>
      <c r="BR1417" s="554"/>
      <c r="BS1417" s="554"/>
      <c r="BT1417" s="554"/>
      <c r="BU1417" s="554"/>
      <c r="BV1417" s="554"/>
      <c r="BW1417" s="554"/>
      <c r="BX1417" s="554"/>
      <c r="BY1417" s="554"/>
      <c r="BZ1417" s="554"/>
      <c r="CA1417" s="720"/>
      <c r="CB1417" s="567"/>
      <c r="CC1417" s="721"/>
      <c r="CD1417" s="554"/>
      <c r="CE1417" s="554"/>
      <c r="CF1417" s="554"/>
      <c r="CG1417" s="554"/>
      <c r="CI1417" s="554"/>
      <c r="CJ1417" s="554"/>
      <c r="CK1417" s="554"/>
      <c r="CL1417" s="554"/>
      <c r="CM1417" s="554"/>
      <c r="CN1417" s="554"/>
      <c r="CO1417" s="554"/>
      <c r="CP1417" s="619"/>
      <c r="CQ1417" s="619"/>
      <c r="CR1417" s="619"/>
      <c r="CS1417" s="619"/>
      <c r="CT1417" s="619"/>
      <c r="CU1417" s="554">
        <f t="shared" si="548"/>
        <v>0</v>
      </c>
      <c r="CV1417" s="554">
        <f>CK1417+CL1417+CM1417+CN1417+CO1417+CQ1417+CP1417</f>
        <v>0</v>
      </c>
      <c r="CW1417" s="554">
        <f>CI1417+CJ1417</f>
        <v>0</v>
      </c>
      <c r="CX1417" s="619"/>
      <c r="CY1417" s="619"/>
      <c r="CZ1417" s="619"/>
      <c r="DA1417" s="619"/>
      <c r="DB1417" s="619"/>
      <c r="DC1417" s="619"/>
      <c r="DD1417" s="619"/>
      <c r="DE1417" s="619"/>
      <c r="DF1417" s="619"/>
      <c r="DG1417" s="619"/>
      <c r="DH1417" s="619"/>
    </row>
    <row r="1418" s="548" customFormat="1" ht="31" customHeight="1" spans="1:112">
      <c r="A1418" s="608">
        <v>46122</v>
      </c>
      <c r="B1418" s="609" t="s">
        <v>3996</v>
      </c>
      <c r="C1418" s="610" t="s">
        <v>278</v>
      </c>
      <c r="D1418" s="727">
        <v>4500201091</v>
      </c>
      <c r="E1418" s="613">
        <v>50795599</v>
      </c>
      <c r="F1418" s="554" t="s">
        <v>3999</v>
      </c>
      <c r="G1418" s="610" t="s">
        <v>6337</v>
      </c>
      <c r="H1418" s="610" t="s">
        <v>477</v>
      </c>
      <c r="I1418" s="715">
        <v>2004</v>
      </c>
      <c r="J1418" s="610">
        <v>0</v>
      </c>
      <c r="K1418" s="610">
        <v>6</v>
      </c>
      <c r="L1418" s="611">
        <f t="shared" si="522"/>
        <v>334</v>
      </c>
      <c r="M1418" s="612">
        <v>46169</v>
      </c>
      <c r="N1418" s="612">
        <v>46165</v>
      </c>
      <c r="O1418" s="613"/>
      <c r="P1418" s="610" t="s">
        <v>9433</v>
      </c>
      <c r="Q1418" s="614" t="s">
        <v>4000</v>
      </c>
      <c r="R1418" s="614">
        <v>46122</v>
      </c>
      <c r="S1418" s="614" t="s">
        <v>70</v>
      </c>
      <c r="T1418" s="614" t="s">
        <v>4001</v>
      </c>
      <c r="U1418" s="614"/>
      <c r="V1418" s="614"/>
      <c r="W1418" s="615"/>
      <c r="X1418" s="609" t="s">
        <v>4002</v>
      </c>
      <c r="Y1418" s="616" t="s">
        <v>1894</v>
      </c>
      <c r="Z1418" s="609">
        <v>7.0149</v>
      </c>
      <c r="AA1418" s="616">
        <f t="shared" si="556"/>
        <v>14057.8596</v>
      </c>
      <c r="AC1418" s="697"/>
      <c r="AD1418" s="610" t="s">
        <v>480</v>
      </c>
      <c r="AE1418" s="610" t="s">
        <v>82</v>
      </c>
      <c r="AF1418" s="610"/>
      <c r="AG1418" s="610"/>
      <c r="AH1418" s="609">
        <v>1</v>
      </c>
      <c r="AI1418" s="739">
        <v>2004</v>
      </c>
      <c r="AJ1418" s="610">
        <f t="shared" si="525"/>
        <v>0</v>
      </c>
      <c r="AK1418" s="613"/>
      <c r="AL1418" s="610" t="s">
        <v>2368</v>
      </c>
      <c r="AM1418" s="610"/>
      <c r="AN1418" s="554"/>
      <c r="AO1418" s="554">
        <f>I1418*2</f>
        <v>4008</v>
      </c>
      <c r="AP1418" s="554"/>
      <c r="AQ1418" s="554"/>
      <c r="AR1418" s="554"/>
      <c r="AS1418" s="554"/>
      <c r="AT1418" s="554">
        <f>I1418*2</f>
        <v>4008</v>
      </c>
      <c r="AU1418" s="554"/>
      <c r="AV1418" s="554">
        <f>I1418*2</f>
        <v>4008</v>
      </c>
      <c r="AW1418" s="554"/>
      <c r="AX1418" s="714"/>
      <c r="AY1418" s="554"/>
      <c r="AZ1418" s="554"/>
      <c r="BA1418" s="554"/>
      <c r="BB1418" s="620">
        <f>I1418/24*2</f>
        <v>167</v>
      </c>
      <c r="BC1418" s="554"/>
      <c r="BD1418" s="554"/>
      <c r="BE1418" s="554"/>
      <c r="BF1418" s="554"/>
      <c r="BH1418" s="554"/>
      <c r="BI1418" s="554"/>
      <c r="BJ1418" s="554"/>
      <c r="BK1418" s="554"/>
      <c r="BL1418" s="554"/>
      <c r="BM1418" s="554"/>
      <c r="BN1418" s="554"/>
      <c r="BO1418" s="554"/>
      <c r="BP1418" s="554"/>
      <c r="BQ1418" s="554"/>
      <c r="BR1418" s="554"/>
      <c r="BS1418" s="554"/>
      <c r="BT1418" s="554"/>
      <c r="BU1418" s="554"/>
      <c r="BV1418" s="554"/>
      <c r="BW1418" s="554"/>
      <c r="BX1418" s="554"/>
      <c r="BY1418" s="554"/>
      <c r="BZ1418" s="554">
        <f>I1418</f>
        <v>2004</v>
      </c>
      <c r="CA1418" s="720"/>
      <c r="CB1418" s="567"/>
      <c r="CC1418" s="721"/>
      <c r="CD1418" s="554"/>
      <c r="CE1418" s="554"/>
      <c r="CF1418" s="554"/>
      <c r="CG1418" s="554"/>
      <c r="CI1418" s="554"/>
      <c r="CJ1418" s="554"/>
      <c r="CK1418" s="554"/>
      <c r="CL1418" s="554"/>
      <c r="CM1418" s="554"/>
      <c r="CN1418" s="554"/>
      <c r="CO1418" s="554"/>
      <c r="CP1418" s="619"/>
      <c r="CQ1418" s="619"/>
      <c r="CR1418" s="619"/>
      <c r="CS1418" s="619"/>
      <c r="CT1418" s="619"/>
      <c r="CU1418" s="554">
        <f t="shared" si="548"/>
        <v>0</v>
      </c>
      <c r="CV1418" s="554">
        <v>0</v>
      </c>
      <c r="CW1418" s="554">
        <v>0</v>
      </c>
      <c r="CX1418" s="619"/>
      <c r="CY1418" s="619"/>
      <c r="CZ1418" s="619"/>
      <c r="DA1418" s="619"/>
      <c r="DB1418" s="619"/>
      <c r="DC1418" s="619"/>
      <c r="DD1418" s="619"/>
      <c r="DE1418" s="619"/>
      <c r="DF1418" s="619"/>
      <c r="DG1418" s="619"/>
      <c r="DH1418" s="619"/>
    </row>
    <row r="1419" s="548" customFormat="1" ht="30" customHeight="1" spans="1:112">
      <c r="A1419" s="608">
        <v>46135</v>
      </c>
      <c r="B1419" s="609" t="s">
        <v>1503</v>
      </c>
      <c r="C1419" s="610" t="s">
        <v>98</v>
      </c>
      <c r="D1419" s="727">
        <v>4500203534</v>
      </c>
      <c r="E1419" s="610" t="s">
        <v>9471</v>
      </c>
      <c r="F1419" s="554" t="s">
        <v>9472</v>
      </c>
      <c r="G1419" s="610" t="s">
        <v>6787</v>
      </c>
      <c r="H1419" s="610" t="s">
        <v>6126</v>
      </c>
      <c r="I1419" s="610">
        <v>30000</v>
      </c>
      <c r="J1419" s="610">
        <v>0</v>
      </c>
      <c r="K1419" s="610">
        <v>12</v>
      </c>
      <c r="L1419" s="611">
        <f t="shared" si="522"/>
        <v>2500</v>
      </c>
      <c r="M1419" s="612">
        <v>46161</v>
      </c>
      <c r="N1419" s="612">
        <v>46157</v>
      </c>
      <c r="O1419" s="613" t="s">
        <v>9473</v>
      </c>
      <c r="P1419" s="610" t="s">
        <v>113</v>
      </c>
      <c r="Q1419" s="610"/>
      <c r="R1419" s="614">
        <v>46136</v>
      </c>
      <c r="S1419" s="614" t="s">
        <v>104</v>
      </c>
      <c r="T1419" s="614" t="s">
        <v>9474</v>
      </c>
      <c r="U1419" s="614"/>
      <c r="V1419" s="614"/>
      <c r="W1419" s="615"/>
      <c r="X1419" s="609" t="s">
        <v>9475</v>
      </c>
      <c r="Y1419" s="609" t="s">
        <v>125</v>
      </c>
      <c r="Z1419" s="722">
        <v>1.3259</v>
      </c>
      <c r="AA1419" s="616">
        <f t="shared" si="556"/>
        <v>39777</v>
      </c>
      <c r="AC1419" s="629" t="s">
        <v>9476</v>
      </c>
      <c r="AD1419" s="610" t="s">
        <v>8079</v>
      </c>
      <c r="AE1419" s="610" t="s">
        <v>82</v>
      </c>
      <c r="AF1419" s="610"/>
      <c r="AG1419" s="610"/>
      <c r="AH1419" s="610">
        <v>1</v>
      </c>
      <c r="AI1419" s="610"/>
      <c r="AJ1419" s="610">
        <f t="shared" si="525"/>
        <v>-30000</v>
      </c>
      <c r="AK1419" s="610"/>
      <c r="AL1419" s="610"/>
      <c r="AM1419" s="610"/>
      <c r="AN1419" s="610">
        <f>I1419*2</f>
        <v>60000</v>
      </c>
      <c r="AO1419" s="554"/>
      <c r="AP1419" s="554"/>
      <c r="AQ1419" s="554">
        <f>I1419*2</f>
        <v>60000</v>
      </c>
      <c r="AR1419" s="619"/>
      <c r="AS1419" s="554"/>
      <c r="AT1419" s="554"/>
      <c r="AU1419" s="554">
        <f>I1419*2</f>
        <v>60000</v>
      </c>
      <c r="AV1419" s="554"/>
      <c r="AW1419" s="619"/>
      <c r="AX1419" s="554"/>
      <c r="AY1419" s="554"/>
      <c r="AZ1419" s="554"/>
      <c r="BA1419" s="554"/>
      <c r="BB1419" s="249">
        <f>I1419/24*2</f>
        <v>2500</v>
      </c>
      <c r="BC1419" s="714"/>
      <c r="BD1419" s="554"/>
      <c r="BE1419" s="554"/>
      <c r="BF1419" s="554"/>
      <c r="BH1419" s="554"/>
      <c r="BI1419" s="554"/>
      <c r="BJ1419" s="554"/>
      <c r="BK1419" s="554"/>
      <c r="BL1419" s="554"/>
      <c r="BM1419" s="554"/>
      <c r="BN1419" s="554"/>
      <c r="BO1419" s="554"/>
      <c r="BP1419" s="554"/>
      <c r="BQ1419" s="554"/>
      <c r="BR1419" s="554"/>
      <c r="BS1419" s="554"/>
      <c r="BT1419" s="554"/>
      <c r="BU1419" s="554"/>
      <c r="BV1419" s="554"/>
      <c r="BW1419" s="554"/>
      <c r="BX1419" s="554"/>
      <c r="BY1419" s="619"/>
      <c r="BZ1419" s="554"/>
      <c r="CA1419" s="621"/>
      <c r="CB1419" s="567"/>
      <c r="CC1419" s="622"/>
      <c r="CD1419" s="619"/>
      <c r="CE1419" s="619"/>
      <c r="CF1419" s="554"/>
      <c r="CG1419" s="554"/>
      <c r="CI1419" s="554"/>
      <c r="CJ1419" s="554"/>
      <c r="CK1419" s="554"/>
      <c r="CL1419" s="554"/>
      <c r="CM1419" s="554"/>
      <c r="CN1419" s="554"/>
      <c r="CO1419" s="554"/>
      <c r="CP1419" s="554"/>
      <c r="CQ1419" s="554"/>
      <c r="CR1419" s="554">
        <f>I1419</f>
        <v>30000</v>
      </c>
      <c r="CS1419" s="554">
        <f>I1419</f>
        <v>30000</v>
      </c>
      <c r="CT1419" s="554">
        <f>I1419</f>
        <v>30000</v>
      </c>
      <c r="CU1419" s="554">
        <f t="shared" si="548"/>
        <v>0</v>
      </c>
      <c r="CV1419" s="554">
        <v>0</v>
      </c>
      <c r="CW1419" s="554">
        <v>0</v>
      </c>
      <c r="CX1419" s="619"/>
      <c r="CY1419" s="619"/>
      <c r="CZ1419" s="619"/>
      <c r="DA1419" s="548"/>
      <c r="DB1419" s="548"/>
      <c r="DC1419" s="548"/>
      <c r="DD1419" s="619"/>
      <c r="DE1419" s="619"/>
      <c r="DF1419" s="619"/>
      <c r="DG1419" s="619"/>
      <c r="DH1419" s="619"/>
    </row>
    <row r="1420" s="548" customFormat="1" ht="30" customHeight="1" spans="1:112">
      <c r="A1420" s="608">
        <v>46119</v>
      </c>
      <c r="B1420" s="609" t="s">
        <v>211</v>
      </c>
      <c r="C1420" s="610" t="s">
        <v>212</v>
      </c>
      <c r="D1420" s="727">
        <v>4500200438</v>
      </c>
      <c r="E1420" s="610" t="s">
        <v>4076</v>
      </c>
      <c r="F1420" s="554" t="s">
        <v>9477</v>
      </c>
      <c r="G1420" s="610" t="s">
        <v>6040</v>
      </c>
      <c r="H1420" s="610" t="s">
        <v>6041</v>
      </c>
      <c r="I1420" s="610">
        <v>1560</v>
      </c>
      <c r="J1420" s="610">
        <v>0</v>
      </c>
      <c r="K1420" s="610">
        <v>52</v>
      </c>
      <c r="L1420" s="611">
        <f t="shared" si="522"/>
        <v>30</v>
      </c>
      <c r="M1420" s="612">
        <v>46167</v>
      </c>
      <c r="N1420" s="612">
        <v>46163</v>
      </c>
      <c r="O1420" s="613"/>
      <c r="P1420" s="613" t="s">
        <v>9334</v>
      </c>
      <c r="Q1420" s="740">
        <v>46170</v>
      </c>
      <c r="R1420" s="614">
        <v>46119</v>
      </c>
      <c r="S1420" s="614" t="s">
        <v>70</v>
      </c>
      <c r="T1420" s="614" t="s">
        <v>9478</v>
      </c>
      <c r="U1420" s="614"/>
      <c r="V1420" s="614"/>
      <c r="W1420" s="615"/>
      <c r="X1420" s="609" t="s">
        <v>9479</v>
      </c>
      <c r="Y1420" s="609" t="s">
        <v>1793</v>
      </c>
      <c r="Z1420" s="722">
        <v>0.9279</v>
      </c>
      <c r="AA1420" s="616">
        <f t="shared" si="556"/>
        <v>1447.524</v>
      </c>
      <c r="AC1420" s="617"/>
      <c r="AD1420" s="610" t="s">
        <v>6040</v>
      </c>
      <c r="AE1420" s="610" t="s">
        <v>82</v>
      </c>
      <c r="AF1420" s="610"/>
      <c r="AG1420" s="610"/>
      <c r="AH1420" s="610">
        <v>1</v>
      </c>
      <c r="AI1420" s="725">
        <v>1560</v>
      </c>
      <c r="AJ1420" s="610">
        <f t="shared" si="525"/>
        <v>0</v>
      </c>
      <c r="AK1420" s="610"/>
      <c r="AL1420" s="610" t="s">
        <v>454</v>
      </c>
      <c r="AM1420" s="610"/>
      <c r="AN1420" s="610"/>
      <c r="AO1420" s="554">
        <f>I1420</f>
        <v>1560</v>
      </c>
      <c r="AP1420" s="554"/>
      <c r="AQ1420" s="554"/>
      <c r="AR1420" s="619"/>
      <c r="AS1420" s="554"/>
      <c r="AT1420" s="554">
        <f>I1420</f>
        <v>1560</v>
      </c>
      <c r="AU1420" s="554"/>
      <c r="AV1420" s="554">
        <f>I1420</f>
        <v>1560</v>
      </c>
      <c r="AW1420" s="619"/>
      <c r="AX1420" s="554"/>
      <c r="AY1420" s="554"/>
      <c r="AZ1420" s="554"/>
      <c r="BA1420" s="554"/>
      <c r="BB1420" s="620">
        <f>I1420/24</f>
        <v>65</v>
      </c>
      <c r="BC1420" s="714"/>
      <c r="BD1420" s="554"/>
      <c r="BE1420" s="554"/>
      <c r="BF1420" s="554"/>
      <c r="BH1420" s="554"/>
      <c r="BI1420" s="554"/>
      <c r="BJ1420" s="554"/>
      <c r="BK1420" s="554"/>
      <c r="BL1420" s="554"/>
      <c r="BM1420" s="554">
        <f>I1420/13</f>
        <v>120</v>
      </c>
      <c r="BN1420" s="554"/>
      <c r="BO1420" s="554"/>
      <c r="BP1420" s="554"/>
      <c r="BQ1420" s="554"/>
      <c r="BR1420" s="554"/>
      <c r="BS1420" s="554"/>
      <c r="BT1420" s="554"/>
      <c r="BU1420" s="554"/>
      <c r="BV1420" s="554"/>
      <c r="BW1420" s="554"/>
      <c r="BX1420" s="554"/>
      <c r="BY1420" s="619"/>
      <c r="BZ1420" s="554"/>
      <c r="CA1420" s="621"/>
      <c r="CB1420" s="567"/>
      <c r="CC1420" s="622"/>
      <c r="CD1420" s="619"/>
      <c r="CE1420" s="619"/>
      <c r="CF1420" s="554"/>
      <c r="CG1420" s="554"/>
      <c r="CI1420" s="554"/>
      <c r="CJ1420" s="554"/>
      <c r="CK1420" s="554"/>
      <c r="CL1420" s="554"/>
      <c r="CM1420" s="554"/>
      <c r="CN1420" s="554"/>
      <c r="CO1420" s="554"/>
      <c r="CP1420" s="554"/>
      <c r="CQ1420" s="554"/>
      <c r="CR1420" s="554"/>
      <c r="CS1420" s="554"/>
      <c r="CT1420" s="554"/>
      <c r="CU1420" s="554">
        <f t="shared" si="548"/>
        <v>0</v>
      </c>
      <c r="CV1420" s="554">
        <f>CK1420+CL1420+CM1420+CN1420+CO1420+CQ1420+CP1420</f>
        <v>0</v>
      </c>
      <c r="CW1420" s="554">
        <f>CI1420+CJ1420</f>
        <v>0</v>
      </c>
      <c r="CX1420" s="619"/>
      <c r="CY1420" s="619"/>
      <c r="CZ1420" s="619"/>
      <c r="DA1420" s="548"/>
      <c r="DB1420" s="548"/>
      <c r="DC1420" s="548"/>
      <c r="DD1420" s="619"/>
      <c r="DE1420" s="619"/>
      <c r="DF1420" s="619"/>
      <c r="DG1420" s="619"/>
      <c r="DH1420" s="619"/>
    </row>
    <row r="1421" s="548" customFormat="1" ht="30" customHeight="1" spans="1:112">
      <c r="A1421" s="608">
        <v>46119</v>
      </c>
      <c r="B1421" s="609" t="s">
        <v>211</v>
      </c>
      <c r="C1421" s="610" t="s">
        <v>212</v>
      </c>
      <c r="D1421" s="727">
        <v>4500200438</v>
      </c>
      <c r="E1421" s="610" t="s">
        <v>4076</v>
      </c>
      <c r="F1421" s="554" t="s">
        <v>4077</v>
      </c>
      <c r="G1421" s="610" t="s">
        <v>6337</v>
      </c>
      <c r="H1421" s="610" t="s">
        <v>477</v>
      </c>
      <c r="I1421" s="610">
        <v>1200</v>
      </c>
      <c r="J1421" s="610">
        <v>0</v>
      </c>
      <c r="K1421" s="610">
        <v>6</v>
      </c>
      <c r="L1421" s="611">
        <f t="shared" si="522"/>
        <v>200</v>
      </c>
      <c r="M1421" s="612">
        <v>46167</v>
      </c>
      <c r="N1421" s="612">
        <v>46163</v>
      </c>
      <c r="O1421" s="613"/>
      <c r="P1421" s="613" t="s">
        <v>9334</v>
      </c>
      <c r="Q1421" s="740">
        <v>46170</v>
      </c>
      <c r="R1421" s="614">
        <v>46119</v>
      </c>
      <c r="S1421" s="614" t="s">
        <v>70</v>
      </c>
      <c r="T1421" s="614" t="s">
        <v>9480</v>
      </c>
      <c r="U1421" s="614"/>
      <c r="V1421" s="614"/>
      <c r="W1421" s="615"/>
      <c r="X1421" s="609" t="s">
        <v>9481</v>
      </c>
      <c r="Y1421" s="609" t="s">
        <v>1793</v>
      </c>
      <c r="Z1421" s="722">
        <v>6.8992</v>
      </c>
      <c r="AA1421" s="616">
        <f t="shared" si="556"/>
        <v>8279.04</v>
      </c>
      <c r="AC1421" s="617"/>
      <c r="AD1421" s="610" t="s">
        <v>1306</v>
      </c>
      <c r="AE1421" s="610" t="s">
        <v>82</v>
      </c>
      <c r="AF1421" s="610"/>
      <c r="AG1421" s="610"/>
      <c r="AH1421" s="609">
        <v>1</v>
      </c>
      <c r="AI1421" s="725">
        <v>1200</v>
      </c>
      <c r="AJ1421" s="610">
        <f t="shared" si="525"/>
        <v>0</v>
      </c>
      <c r="AK1421" s="610"/>
      <c r="AL1421" s="610" t="s">
        <v>2368</v>
      </c>
      <c r="AM1421" s="610"/>
      <c r="AN1421" s="610"/>
      <c r="AO1421" s="554">
        <f>I1421*2</f>
        <v>2400</v>
      </c>
      <c r="AP1421" s="554"/>
      <c r="AQ1421" s="554"/>
      <c r="AR1421" s="619"/>
      <c r="AS1421" s="554"/>
      <c r="AT1421" s="554">
        <f>I1421*2</f>
        <v>2400</v>
      </c>
      <c r="AU1421" s="554"/>
      <c r="AV1421" s="554">
        <f>I1421*2</f>
        <v>2400</v>
      </c>
      <c r="AW1421" s="619"/>
      <c r="AX1421" s="554"/>
      <c r="AY1421" s="554"/>
      <c r="AZ1421" s="554"/>
      <c r="BA1421" s="554"/>
      <c r="BB1421" s="620">
        <f>I1421/24*2</f>
        <v>100</v>
      </c>
      <c r="BC1421" s="714"/>
      <c r="BD1421" s="554"/>
      <c r="BE1421" s="554"/>
      <c r="BF1421" s="554"/>
      <c r="BH1421" s="554"/>
      <c r="BI1421" s="554"/>
      <c r="BJ1421" s="554"/>
      <c r="BK1421" s="554"/>
      <c r="BL1421" s="554"/>
      <c r="BM1421" s="554"/>
      <c r="BN1421" s="554"/>
      <c r="BO1421" s="554"/>
      <c r="BP1421" s="554"/>
      <c r="BQ1421" s="554"/>
      <c r="BR1421" s="554"/>
      <c r="BS1421" s="554"/>
      <c r="BT1421" s="554"/>
      <c r="BU1421" s="554"/>
      <c r="BV1421" s="554"/>
      <c r="BW1421" s="554"/>
      <c r="BX1421" s="554"/>
      <c r="BY1421" s="619"/>
      <c r="BZ1421" s="554">
        <f>I1421</f>
        <v>1200</v>
      </c>
      <c r="CA1421" s="621"/>
      <c r="CB1421" s="567"/>
      <c r="CC1421" s="622"/>
      <c r="CD1421" s="619"/>
      <c r="CE1421" s="619"/>
      <c r="CF1421" s="554"/>
      <c r="CG1421" s="554"/>
      <c r="CI1421" s="554"/>
      <c r="CJ1421" s="554"/>
      <c r="CK1421" s="554"/>
      <c r="CL1421" s="554"/>
      <c r="CM1421" s="554"/>
      <c r="CN1421" s="554"/>
      <c r="CO1421" s="554"/>
      <c r="CP1421" s="554"/>
      <c r="CQ1421" s="554"/>
      <c r="CR1421" s="554"/>
      <c r="CS1421" s="554"/>
      <c r="CT1421" s="554"/>
      <c r="CU1421" s="554">
        <f t="shared" si="548"/>
        <v>0</v>
      </c>
      <c r="CV1421" s="554">
        <v>0</v>
      </c>
      <c r="CW1421" s="554">
        <v>0</v>
      </c>
      <c r="CX1421" s="619"/>
      <c r="CY1421" s="619"/>
      <c r="CZ1421" s="619"/>
      <c r="DA1421" s="548"/>
      <c r="DB1421" s="548"/>
      <c r="DC1421" s="548"/>
      <c r="DD1421" s="619"/>
      <c r="DE1421" s="619"/>
      <c r="DF1421" s="619"/>
      <c r="DG1421" s="619"/>
      <c r="DH1421" s="619"/>
    </row>
    <row r="1422" s="548" customFormat="1" ht="31" customHeight="1" spans="1:112">
      <c r="A1422" s="608">
        <v>46129</v>
      </c>
      <c r="B1422" s="609" t="s">
        <v>4080</v>
      </c>
      <c r="C1422" s="610" t="s">
        <v>411</v>
      </c>
      <c r="D1422" s="554">
        <v>4500202516</v>
      </c>
      <c r="E1422" s="610" t="s">
        <v>3846</v>
      </c>
      <c r="F1422" s="554" t="s">
        <v>4081</v>
      </c>
      <c r="G1422" s="610" t="s">
        <v>6337</v>
      </c>
      <c r="H1422" s="610" t="s">
        <v>477</v>
      </c>
      <c r="I1422" s="715">
        <v>2520</v>
      </c>
      <c r="J1422" s="610">
        <v>0</v>
      </c>
      <c r="K1422" s="610">
        <v>6</v>
      </c>
      <c r="L1422" s="611">
        <f t="shared" si="522"/>
        <v>420</v>
      </c>
      <c r="M1422" s="612">
        <v>46167</v>
      </c>
      <c r="N1422" s="612">
        <v>46163</v>
      </c>
      <c r="O1422" s="613" t="s">
        <v>4082</v>
      </c>
      <c r="P1422" s="723" t="s">
        <v>9334</v>
      </c>
      <c r="Q1422" s="614" t="s">
        <v>4083</v>
      </c>
      <c r="R1422" s="614">
        <v>46136</v>
      </c>
      <c r="S1422" s="614" t="s">
        <v>70</v>
      </c>
      <c r="T1422" s="614" t="s">
        <v>4084</v>
      </c>
      <c r="U1422" s="614"/>
      <c r="V1422" s="741" t="s">
        <v>9482</v>
      </c>
      <c r="W1422" s="615"/>
      <c r="X1422" s="609" t="s">
        <v>4086</v>
      </c>
      <c r="Y1422" s="616" t="s">
        <v>415</v>
      </c>
      <c r="Z1422" s="609">
        <v>7.0149</v>
      </c>
      <c r="AA1422" s="616">
        <f t="shared" si="556"/>
        <v>17677.548</v>
      </c>
      <c r="AC1422" s="697"/>
      <c r="AD1422" s="610" t="s">
        <v>480</v>
      </c>
      <c r="AE1422" s="610" t="s">
        <v>82</v>
      </c>
      <c r="AF1422" s="610"/>
      <c r="AG1422" s="610"/>
      <c r="AH1422" s="609">
        <v>1</v>
      </c>
      <c r="AI1422" s="725">
        <f>2482+38</f>
        <v>2520</v>
      </c>
      <c r="AJ1422" s="610">
        <f t="shared" si="525"/>
        <v>0</v>
      </c>
      <c r="AK1422" s="613"/>
      <c r="AL1422" s="610" t="s">
        <v>2368</v>
      </c>
      <c r="AM1422" s="610"/>
      <c r="AN1422" s="554"/>
      <c r="AO1422" s="554">
        <f>I1422*2</f>
        <v>5040</v>
      </c>
      <c r="AP1422" s="554"/>
      <c r="AQ1422" s="554"/>
      <c r="AR1422" s="554"/>
      <c r="AS1422" s="554"/>
      <c r="AT1422" s="554">
        <f>I1422*2</f>
        <v>5040</v>
      </c>
      <c r="AU1422" s="554"/>
      <c r="AV1422" s="554">
        <f>I1422*2</f>
        <v>5040</v>
      </c>
      <c r="AW1422" s="554"/>
      <c r="AX1422" s="714"/>
      <c r="AY1422" s="554"/>
      <c r="AZ1422" s="554"/>
      <c r="BA1422" s="554"/>
      <c r="BB1422" s="620">
        <f>I1422/24*2</f>
        <v>210</v>
      </c>
      <c r="BC1422" s="554"/>
      <c r="BD1422" s="554"/>
      <c r="BE1422" s="554"/>
      <c r="BF1422" s="554"/>
      <c r="BH1422" s="554"/>
      <c r="BI1422" s="554"/>
      <c r="BJ1422" s="554"/>
      <c r="BK1422" s="554"/>
      <c r="BL1422" s="554"/>
      <c r="BM1422" s="554"/>
      <c r="BN1422" s="554"/>
      <c r="BO1422" s="554"/>
      <c r="BP1422" s="554"/>
      <c r="BQ1422" s="554"/>
      <c r="BR1422" s="554"/>
      <c r="BS1422" s="554"/>
      <c r="BT1422" s="554"/>
      <c r="BU1422" s="554"/>
      <c r="BV1422" s="554"/>
      <c r="BW1422" s="554"/>
      <c r="BX1422" s="554"/>
      <c r="BY1422" s="554"/>
      <c r="BZ1422" s="554"/>
      <c r="CA1422" s="720"/>
      <c r="CB1422" s="567"/>
      <c r="CC1422" s="721"/>
      <c r="CD1422" s="619">
        <f>I1422</f>
        <v>2520</v>
      </c>
      <c r="CE1422" s="554"/>
      <c r="CF1422" s="554"/>
      <c r="CG1422" s="554"/>
      <c r="CI1422" s="554"/>
      <c r="CJ1422" s="554"/>
      <c r="CK1422" s="554"/>
      <c r="CL1422" s="554"/>
      <c r="CM1422" s="554"/>
      <c r="CN1422" s="554"/>
      <c r="CO1422" s="554"/>
      <c r="CP1422" s="619"/>
      <c r="CQ1422" s="619"/>
      <c r="CR1422" s="619"/>
      <c r="CS1422" s="619"/>
      <c r="CT1422" s="619"/>
      <c r="CU1422" s="554">
        <f t="shared" si="548"/>
        <v>0</v>
      </c>
      <c r="CV1422" s="554">
        <v>0</v>
      </c>
      <c r="CW1422" s="554">
        <v>0</v>
      </c>
      <c r="CX1422" s="619"/>
      <c r="CY1422" s="619"/>
      <c r="CZ1422" s="619"/>
      <c r="DA1422" s="619"/>
      <c r="DB1422" s="619"/>
      <c r="DC1422" s="619"/>
      <c r="DD1422" s="619"/>
      <c r="DE1422" s="619"/>
      <c r="DF1422" s="619"/>
      <c r="DG1422" s="619"/>
      <c r="DH1422" s="619"/>
    </row>
    <row r="1423" s="548" customFormat="1" ht="31" customHeight="1" spans="1:112">
      <c r="A1423" s="608">
        <v>46129</v>
      </c>
      <c r="B1423" s="609" t="s">
        <v>4087</v>
      </c>
      <c r="C1423" s="610" t="s">
        <v>399</v>
      </c>
      <c r="D1423" s="554">
        <v>4500202524</v>
      </c>
      <c r="E1423" s="610" t="s">
        <v>3846</v>
      </c>
      <c r="F1423" s="554" t="s">
        <v>4088</v>
      </c>
      <c r="G1423" s="610" t="s">
        <v>6337</v>
      </c>
      <c r="H1423" s="610" t="s">
        <v>477</v>
      </c>
      <c r="I1423" s="715">
        <v>1404</v>
      </c>
      <c r="J1423" s="610">
        <v>0</v>
      </c>
      <c r="K1423" s="610">
        <v>6</v>
      </c>
      <c r="L1423" s="611">
        <f t="shared" si="522"/>
        <v>234</v>
      </c>
      <c r="M1423" s="612">
        <v>46167</v>
      </c>
      <c r="N1423" s="612">
        <v>46163</v>
      </c>
      <c r="O1423" s="723" t="s">
        <v>4089</v>
      </c>
      <c r="P1423" s="723" t="s">
        <v>9334</v>
      </c>
      <c r="Q1423" s="614"/>
      <c r="R1423" s="614">
        <v>46136</v>
      </c>
      <c r="S1423" s="614" t="s">
        <v>70</v>
      </c>
      <c r="T1423" s="614" t="s">
        <v>4090</v>
      </c>
      <c r="U1423" s="614"/>
      <c r="V1423" s="609" t="s">
        <v>9483</v>
      </c>
      <c r="W1423" s="615"/>
      <c r="X1423" s="609" t="s">
        <v>9484</v>
      </c>
      <c r="Y1423" s="616" t="s">
        <v>415</v>
      </c>
      <c r="Z1423" s="609">
        <v>6.8992</v>
      </c>
      <c r="AA1423" s="616">
        <f t="shared" si="556"/>
        <v>9686.4768</v>
      </c>
      <c r="AC1423" s="697"/>
      <c r="AD1423" s="610" t="s">
        <v>480</v>
      </c>
      <c r="AE1423" s="610" t="s">
        <v>82</v>
      </c>
      <c r="AF1423" s="610"/>
      <c r="AG1423" s="610"/>
      <c r="AH1423" s="609">
        <v>1</v>
      </c>
      <c r="AI1423" s="725">
        <v>1404</v>
      </c>
      <c r="AJ1423" s="610">
        <f t="shared" si="525"/>
        <v>0</v>
      </c>
      <c r="AK1423" s="613"/>
      <c r="AL1423" s="610" t="s">
        <v>2368</v>
      </c>
      <c r="AM1423" s="610"/>
      <c r="AN1423" s="554"/>
      <c r="AO1423" s="554">
        <f>I1423*2</f>
        <v>2808</v>
      </c>
      <c r="AP1423" s="554"/>
      <c r="AQ1423" s="554"/>
      <c r="AR1423" s="554"/>
      <c r="AS1423" s="554"/>
      <c r="AT1423" s="554">
        <f>I1423*2</f>
        <v>2808</v>
      </c>
      <c r="AU1423" s="554"/>
      <c r="AV1423" s="554">
        <f>I1423*2</f>
        <v>2808</v>
      </c>
      <c r="AW1423" s="554"/>
      <c r="AX1423" s="714"/>
      <c r="AY1423" s="554"/>
      <c r="AZ1423" s="554"/>
      <c r="BA1423" s="554"/>
      <c r="BB1423" s="620">
        <f>I1423/24*2</f>
        <v>117</v>
      </c>
      <c r="BC1423" s="554"/>
      <c r="BD1423" s="554"/>
      <c r="BE1423" s="554"/>
      <c r="BF1423" s="554"/>
      <c r="BH1423" s="554"/>
      <c r="BI1423" s="554"/>
      <c r="BJ1423" s="554"/>
      <c r="BK1423" s="554"/>
      <c r="BL1423" s="554"/>
      <c r="BM1423" s="554"/>
      <c r="BN1423" s="554"/>
      <c r="BO1423" s="554"/>
      <c r="BP1423" s="554"/>
      <c r="BQ1423" s="554"/>
      <c r="BR1423" s="554"/>
      <c r="BS1423" s="554"/>
      <c r="BT1423" s="554"/>
      <c r="BU1423" s="554"/>
      <c r="BV1423" s="554"/>
      <c r="BW1423" s="554"/>
      <c r="BX1423" s="554"/>
      <c r="BY1423" s="554"/>
      <c r="BZ1423" s="554"/>
      <c r="CA1423" s="720"/>
      <c r="CB1423" s="567"/>
      <c r="CC1423" s="721"/>
      <c r="CD1423" s="619">
        <f>I1423</f>
        <v>1404</v>
      </c>
      <c r="CE1423" s="554"/>
      <c r="CF1423" s="554"/>
      <c r="CG1423" s="554"/>
      <c r="CI1423" s="554"/>
      <c r="CJ1423" s="554"/>
      <c r="CK1423" s="554"/>
      <c r="CL1423" s="554"/>
      <c r="CM1423" s="554"/>
      <c r="CN1423" s="554"/>
      <c r="CO1423" s="554"/>
      <c r="CP1423" s="619"/>
      <c r="CQ1423" s="619"/>
      <c r="CR1423" s="619"/>
      <c r="CS1423" s="619"/>
      <c r="CT1423" s="619"/>
      <c r="CU1423" s="554">
        <f t="shared" si="548"/>
        <v>0</v>
      </c>
      <c r="CV1423" s="554">
        <v>0</v>
      </c>
      <c r="CW1423" s="554">
        <v>0</v>
      </c>
      <c r="CX1423" s="619"/>
      <c r="CY1423" s="619"/>
      <c r="CZ1423" s="619"/>
      <c r="DA1423" s="619"/>
      <c r="DB1423" s="619"/>
      <c r="DC1423" s="619"/>
      <c r="DD1423" s="619"/>
      <c r="DE1423" s="619"/>
      <c r="DF1423" s="619"/>
      <c r="DG1423" s="619"/>
      <c r="DH1423" s="619"/>
    </row>
    <row r="1424" s="548" customFormat="1" ht="31" customHeight="1" spans="1:112">
      <c r="A1424" s="608">
        <v>46126</v>
      </c>
      <c r="B1424" s="609" t="s">
        <v>135</v>
      </c>
      <c r="C1424" s="610" t="s">
        <v>128</v>
      </c>
      <c r="D1424" s="554">
        <v>4500197999</v>
      </c>
      <c r="E1424" s="610">
        <v>21673357</v>
      </c>
      <c r="F1424" s="554" t="s">
        <v>9485</v>
      </c>
      <c r="G1424" s="610" t="s">
        <v>6093</v>
      </c>
      <c r="H1424" s="610" t="s">
        <v>6094</v>
      </c>
      <c r="I1424" s="715">
        <v>4004</v>
      </c>
      <c r="J1424" s="610">
        <v>0</v>
      </c>
      <c r="K1424" s="610">
        <v>13</v>
      </c>
      <c r="L1424" s="611">
        <f t="shared" si="522"/>
        <v>308</v>
      </c>
      <c r="M1424" s="612">
        <v>46169</v>
      </c>
      <c r="N1424" s="612">
        <v>46165</v>
      </c>
      <c r="O1424" s="613"/>
      <c r="P1424" s="610" t="s">
        <v>9334</v>
      </c>
      <c r="Q1424" s="610" t="s">
        <v>4000</v>
      </c>
      <c r="R1424" s="614">
        <v>46138</v>
      </c>
      <c r="S1424" s="614" t="s">
        <v>104</v>
      </c>
      <c r="T1424" s="614" t="s">
        <v>9462</v>
      </c>
      <c r="U1424" s="614"/>
      <c r="V1424" s="614"/>
      <c r="W1424" s="615"/>
      <c r="X1424" s="609" t="s">
        <v>9486</v>
      </c>
      <c r="Y1424" s="616" t="s">
        <v>3206</v>
      </c>
      <c r="Z1424" s="609">
        <v>0.9475</v>
      </c>
      <c r="AA1424" s="616">
        <f t="shared" si="556"/>
        <v>3793.79</v>
      </c>
      <c r="AC1424" s="697"/>
      <c r="AD1424" s="610" t="s">
        <v>6093</v>
      </c>
      <c r="AE1424" s="610" t="s">
        <v>82</v>
      </c>
      <c r="AF1424" s="610"/>
      <c r="AG1424" s="610"/>
      <c r="AH1424" s="609">
        <v>1</v>
      </c>
      <c r="AI1424" s="739">
        <v>4004</v>
      </c>
      <c r="AJ1424" s="610">
        <f t="shared" si="525"/>
        <v>0</v>
      </c>
      <c r="AK1424" s="613"/>
      <c r="AL1424" s="610" t="s">
        <v>454</v>
      </c>
      <c r="AM1424" s="610"/>
      <c r="AN1424" s="554"/>
      <c r="AO1424" s="554">
        <f>I1424</f>
        <v>4004</v>
      </c>
      <c r="AP1424" s="554"/>
      <c r="AQ1424" s="554"/>
      <c r="AR1424" s="554"/>
      <c r="AS1424" s="554"/>
      <c r="AT1424" s="554">
        <f>I1424</f>
        <v>4004</v>
      </c>
      <c r="AU1424" s="554"/>
      <c r="AV1424" s="554">
        <f>I1424</f>
        <v>4004</v>
      </c>
      <c r="AW1424" s="554"/>
      <c r="AX1424" s="714"/>
      <c r="AY1424" s="554"/>
      <c r="AZ1424" s="554"/>
      <c r="BA1424" s="554"/>
      <c r="BB1424" s="620">
        <f>I1424/24</f>
        <v>166.833333333333</v>
      </c>
      <c r="BC1424" s="554"/>
      <c r="BD1424" s="554"/>
      <c r="BE1424" s="554"/>
      <c r="BF1424" s="554"/>
      <c r="BH1424" s="554"/>
      <c r="BI1424" s="554"/>
      <c r="BJ1424" s="554"/>
      <c r="BK1424" s="554"/>
      <c r="BL1424" s="554"/>
      <c r="BM1424" s="554">
        <f>I1424/13</f>
        <v>308</v>
      </c>
      <c r="BN1424" s="554"/>
      <c r="BO1424" s="554"/>
      <c r="BP1424" s="554"/>
      <c r="BQ1424" s="554"/>
      <c r="BR1424" s="554"/>
      <c r="BS1424" s="554"/>
      <c r="BT1424" s="554"/>
      <c r="BU1424" s="554"/>
      <c r="BV1424" s="554"/>
      <c r="BW1424" s="554"/>
      <c r="BX1424" s="554"/>
      <c r="BY1424" s="554"/>
      <c r="BZ1424" s="554"/>
      <c r="CA1424" s="720"/>
      <c r="CB1424" s="567"/>
      <c r="CC1424" s="721"/>
      <c r="CD1424" s="554"/>
      <c r="CE1424" s="554"/>
      <c r="CF1424" s="554"/>
      <c r="CG1424" s="554"/>
      <c r="CI1424" s="554"/>
      <c r="CJ1424" s="554"/>
      <c r="CK1424" s="554"/>
      <c r="CL1424" s="554"/>
      <c r="CM1424" s="554"/>
      <c r="CN1424" s="554"/>
      <c r="CO1424" s="554"/>
      <c r="CP1424" s="619"/>
      <c r="CQ1424" s="619"/>
      <c r="CR1424" s="619"/>
      <c r="CS1424" s="619"/>
      <c r="CT1424" s="619"/>
      <c r="CU1424" s="554">
        <f t="shared" si="548"/>
        <v>0</v>
      </c>
      <c r="CV1424" s="554">
        <f>CK1424+CL1424+CM1424+CN1424+CO1424+CQ1424+CP1424</f>
        <v>0</v>
      </c>
      <c r="CW1424" s="554">
        <f>CI1424+CJ1424</f>
        <v>0</v>
      </c>
      <c r="CX1424" s="619"/>
      <c r="CY1424" s="619"/>
      <c r="CZ1424" s="619"/>
      <c r="DA1424" s="619"/>
      <c r="DB1424" s="619"/>
      <c r="DC1424" s="619"/>
      <c r="DD1424" s="619"/>
      <c r="DE1424" s="619"/>
      <c r="DF1424" s="619"/>
      <c r="DG1424" s="619"/>
      <c r="DH1424" s="619"/>
    </row>
    <row r="1425" s="548" customFormat="1" ht="31" customHeight="1" spans="1:113">
      <c r="A1425" s="608">
        <v>46126</v>
      </c>
      <c r="B1425" s="609" t="s">
        <v>139</v>
      </c>
      <c r="C1425" s="610" t="s">
        <v>76</v>
      </c>
      <c r="D1425" s="554">
        <v>4500198000</v>
      </c>
      <c r="E1425" s="610">
        <v>21673359</v>
      </c>
      <c r="F1425" s="554" t="s">
        <v>9487</v>
      </c>
      <c r="G1425" s="610" t="s">
        <v>6093</v>
      </c>
      <c r="H1425" s="610" t="s">
        <v>6094</v>
      </c>
      <c r="I1425" s="715">
        <v>520</v>
      </c>
      <c r="J1425" s="610">
        <v>0</v>
      </c>
      <c r="K1425" s="610">
        <v>13</v>
      </c>
      <c r="L1425" s="611">
        <f t="shared" si="522"/>
        <v>40</v>
      </c>
      <c r="M1425" s="612">
        <v>46169</v>
      </c>
      <c r="N1425" s="612">
        <v>46165</v>
      </c>
      <c r="O1425" s="613"/>
      <c r="P1425" s="610" t="s">
        <v>9334</v>
      </c>
      <c r="Q1425" s="610" t="s">
        <v>4000</v>
      </c>
      <c r="R1425" s="614">
        <v>46138</v>
      </c>
      <c r="S1425" s="614" t="s">
        <v>104</v>
      </c>
      <c r="T1425" s="614" t="s">
        <v>9488</v>
      </c>
      <c r="U1425" s="614"/>
      <c r="V1425" s="614"/>
      <c r="W1425" s="615"/>
      <c r="X1425" s="609" t="s">
        <v>9464</v>
      </c>
      <c r="Y1425" s="616" t="s">
        <v>3206</v>
      </c>
      <c r="Z1425" s="609">
        <v>0.9526</v>
      </c>
      <c r="AA1425" s="616">
        <f t="shared" si="556"/>
        <v>495.352</v>
      </c>
      <c r="AC1425" s="697"/>
      <c r="AD1425" s="610" t="s">
        <v>6093</v>
      </c>
      <c r="AE1425" s="610" t="s">
        <v>82</v>
      </c>
      <c r="AF1425" s="610"/>
      <c r="AG1425" s="610"/>
      <c r="AH1425" s="609">
        <v>1</v>
      </c>
      <c r="AI1425" s="736">
        <v>520</v>
      </c>
      <c r="AJ1425" s="610">
        <f t="shared" si="525"/>
        <v>0</v>
      </c>
      <c r="AK1425" s="613"/>
      <c r="AL1425" s="610" t="s">
        <v>2368</v>
      </c>
      <c r="AM1425" s="610"/>
      <c r="AN1425" s="554"/>
      <c r="AO1425" s="554">
        <f>I1425</f>
        <v>520</v>
      </c>
      <c r="AP1425" s="554"/>
      <c r="AQ1425" s="554"/>
      <c r="AR1425" s="554"/>
      <c r="AS1425" s="554"/>
      <c r="AT1425" s="554">
        <f>I1425</f>
        <v>520</v>
      </c>
      <c r="AU1425" s="554"/>
      <c r="AV1425" s="554">
        <f>I1425</f>
        <v>520</v>
      </c>
      <c r="AW1425" s="554"/>
      <c r="AX1425" s="714"/>
      <c r="AY1425" s="554"/>
      <c r="AZ1425" s="554"/>
      <c r="BA1425" s="554"/>
      <c r="BB1425" s="620">
        <f>I1425/24</f>
        <v>21.6666666666667</v>
      </c>
      <c r="BC1425" s="554"/>
      <c r="BD1425" s="554"/>
      <c r="BE1425" s="554"/>
      <c r="BF1425" s="554"/>
      <c r="BH1425" s="554"/>
      <c r="BI1425" s="554"/>
      <c r="BJ1425" s="554"/>
      <c r="BK1425" s="554"/>
      <c r="BL1425" s="554"/>
      <c r="BM1425" s="554">
        <f>I1425/13</f>
        <v>40</v>
      </c>
      <c r="BN1425" s="554"/>
      <c r="BO1425" s="554"/>
      <c r="BP1425" s="554"/>
      <c r="BQ1425" s="554"/>
      <c r="BR1425" s="554"/>
      <c r="BS1425" s="554"/>
      <c r="BT1425" s="554"/>
      <c r="BU1425" s="554"/>
      <c r="BV1425" s="554"/>
      <c r="BW1425" s="554"/>
      <c r="BX1425" s="554"/>
      <c r="BY1425" s="554"/>
      <c r="BZ1425" s="554"/>
      <c r="CA1425" s="720"/>
      <c r="CB1425" s="567"/>
      <c r="CC1425" s="721"/>
      <c r="CD1425" s="554"/>
      <c r="CE1425" s="554"/>
      <c r="CF1425" s="554"/>
      <c r="CG1425" s="554"/>
      <c r="CI1425" s="554"/>
      <c r="CJ1425" s="554"/>
      <c r="CK1425" s="554"/>
      <c r="CL1425" s="554"/>
      <c r="CM1425" s="554"/>
      <c r="CN1425" s="554"/>
      <c r="CO1425" s="554"/>
      <c r="CP1425" s="619"/>
      <c r="CQ1425" s="619"/>
      <c r="CR1425" s="619"/>
      <c r="CS1425" s="619"/>
      <c r="CT1425" s="619"/>
      <c r="CU1425" s="554">
        <f t="shared" si="548"/>
        <v>0</v>
      </c>
      <c r="CV1425" s="554">
        <f>CK1425+CL1425+CM1425+CN1425+CO1425+CQ1425+CP1425</f>
        <v>0</v>
      </c>
      <c r="CW1425" s="554">
        <f>CI1425+CJ1425</f>
        <v>0</v>
      </c>
      <c r="CX1425" s="619"/>
      <c r="CY1425" s="619"/>
      <c r="CZ1425" s="619"/>
      <c r="DA1425" s="619"/>
      <c r="DB1425" s="619"/>
      <c r="DC1425" s="619"/>
      <c r="DD1425" s="619"/>
      <c r="DE1425" s="619"/>
      <c r="DF1425" s="619"/>
      <c r="DG1425" s="619"/>
      <c r="DH1425" s="619"/>
    </row>
    <row r="1426" s="549" customFormat="1" ht="30" customHeight="1" spans="1:113">
      <c r="A1426" s="641">
        <v>46120</v>
      </c>
      <c r="B1426" s="642" t="s">
        <v>2594</v>
      </c>
      <c r="C1426" s="246" t="s">
        <v>2595</v>
      </c>
      <c r="D1426" s="551">
        <v>4500200402</v>
      </c>
      <c r="E1426" s="246" t="s">
        <v>3846</v>
      </c>
      <c r="F1426" s="551" t="s">
        <v>4093</v>
      </c>
      <c r="G1426" s="246" t="s">
        <v>9489</v>
      </c>
      <c r="H1426" s="246" t="s">
        <v>4095</v>
      </c>
      <c r="I1426" s="246">
        <v>360</v>
      </c>
      <c r="J1426" s="246">
        <v>0</v>
      </c>
      <c r="K1426" s="246">
        <v>6</v>
      </c>
      <c r="L1426" s="644">
        <f t="shared" si="522"/>
        <v>60</v>
      </c>
      <c r="M1426" s="645">
        <v>46162</v>
      </c>
      <c r="N1426" s="742">
        <v>46162</v>
      </c>
      <c r="O1426" s="643"/>
      <c r="P1426" s="643" t="s">
        <v>9433</v>
      </c>
      <c r="Q1426" s="743" t="s">
        <v>3953</v>
      </c>
      <c r="R1426" s="646">
        <v>46128</v>
      </c>
      <c r="S1426" s="646" t="s">
        <v>70</v>
      </c>
      <c r="T1426" s="646" t="s">
        <v>9490</v>
      </c>
      <c r="U1426" s="646"/>
      <c r="V1426" s="646" t="s">
        <v>4097</v>
      </c>
      <c r="W1426" s="744"/>
      <c r="X1426" s="642" t="s">
        <v>9491</v>
      </c>
      <c r="Y1426" s="642" t="s">
        <v>529</v>
      </c>
      <c r="Z1426" s="745">
        <v>7.3574</v>
      </c>
      <c r="AA1426" s="647">
        <f t="shared" si="556"/>
        <v>2648.664</v>
      </c>
      <c r="AC1426" s="648"/>
      <c r="AD1426" s="246" t="s">
        <v>480</v>
      </c>
      <c r="AE1426" s="246" t="s">
        <v>82</v>
      </c>
      <c r="AF1426" s="246"/>
      <c r="AG1426" s="246"/>
      <c r="AH1426" s="246">
        <v>1</v>
      </c>
      <c r="AI1426" s="746">
        <v>360</v>
      </c>
      <c r="AJ1426" s="246">
        <f t="shared" si="525"/>
        <v>0</v>
      </c>
      <c r="AK1426" s="246"/>
      <c r="AL1426" s="246" t="s">
        <v>2368</v>
      </c>
      <c r="AM1426" s="246"/>
      <c r="AN1426" s="246"/>
      <c r="AO1426" s="551">
        <f>I1426*2</f>
        <v>720</v>
      </c>
      <c r="AP1426" s="551"/>
      <c r="AQ1426" s="551"/>
      <c r="AR1426" s="650"/>
      <c r="AS1426" s="551"/>
      <c r="AT1426" s="551"/>
      <c r="AU1426" s="551"/>
      <c r="AV1426" s="551"/>
      <c r="AW1426" s="650"/>
      <c r="AX1426" s="551"/>
      <c r="AY1426" s="551"/>
      <c r="AZ1426" s="551"/>
      <c r="BA1426" s="551"/>
      <c r="BB1426" s="249">
        <f>I1426/24*2</f>
        <v>30</v>
      </c>
      <c r="BC1426" s="651"/>
      <c r="BD1426" s="551"/>
      <c r="BE1426" s="551"/>
      <c r="BF1426" s="551"/>
      <c r="BH1426" s="551"/>
      <c r="BI1426" s="551"/>
      <c r="BJ1426" s="551"/>
      <c r="BK1426" s="551"/>
      <c r="BL1426" s="551"/>
      <c r="BM1426" s="551"/>
      <c r="BN1426" s="551"/>
      <c r="BO1426" s="551"/>
      <c r="BP1426" s="551"/>
      <c r="BQ1426" s="551"/>
      <c r="BR1426" s="551"/>
      <c r="BS1426" s="551"/>
      <c r="BT1426" s="551"/>
      <c r="BU1426" s="551"/>
      <c r="BV1426" s="551">
        <f>I1426*2</f>
        <v>720</v>
      </c>
      <c r="BW1426" s="551">
        <f>I1426*2</f>
        <v>720</v>
      </c>
      <c r="BX1426" s="551"/>
      <c r="BY1426" s="650"/>
      <c r="BZ1426" s="551"/>
      <c r="CA1426" s="652"/>
      <c r="CB1426" s="747"/>
      <c r="CC1426" s="653"/>
      <c r="CD1426" s="650">
        <f>I1426</f>
        <v>360</v>
      </c>
      <c r="CE1426" s="650"/>
      <c r="CF1426" s="551"/>
      <c r="CG1426" s="551"/>
      <c r="CI1426" s="551"/>
      <c r="CJ1426" s="551"/>
      <c r="CK1426" s="551"/>
      <c r="CL1426" s="551"/>
      <c r="CM1426" s="551"/>
      <c r="CN1426" s="551"/>
      <c r="CO1426" s="551"/>
      <c r="CP1426" s="551"/>
      <c r="CQ1426" s="551"/>
      <c r="CR1426" s="551"/>
      <c r="CS1426" s="551"/>
      <c r="CT1426" s="551"/>
      <c r="CU1426" s="551">
        <f t="shared" si="548"/>
        <v>0</v>
      </c>
      <c r="CV1426" s="551">
        <v>0</v>
      </c>
      <c r="CW1426" s="551">
        <v>0</v>
      </c>
      <c r="CX1426" s="650"/>
      <c r="CY1426" s="650"/>
      <c r="CZ1426" s="650"/>
      <c r="DA1426" s="551"/>
      <c r="DB1426" s="551"/>
      <c r="DC1426" s="551"/>
      <c r="DD1426" s="650"/>
      <c r="DE1426" s="650"/>
      <c r="DF1426" s="650"/>
      <c r="DG1426" s="650"/>
      <c r="DH1426" s="650"/>
      <c r="DI1426" s="551"/>
    </row>
    <row r="1427" s="549" customFormat="1" ht="30" customHeight="1" spans="1:113">
      <c r="A1427" s="641">
        <v>46120</v>
      </c>
      <c r="B1427" s="642" t="s">
        <v>2594</v>
      </c>
      <c r="C1427" s="246" t="s">
        <v>2595</v>
      </c>
      <c r="D1427" s="748">
        <v>4500200402</v>
      </c>
      <c r="E1427" s="246" t="s">
        <v>3846</v>
      </c>
      <c r="F1427" s="551" t="s">
        <v>9492</v>
      </c>
      <c r="G1427" s="246" t="s">
        <v>6276</v>
      </c>
      <c r="H1427" s="246" t="s">
        <v>6277</v>
      </c>
      <c r="I1427" s="246">
        <v>5000</v>
      </c>
      <c r="J1427" s="246">
        <v>0</v>
      </c>
      <c r="K1427" s="246">
        <v>50</v>
      </c>
      <c r="L1427" s="644">
        <f t="shared" si="522"/>
        <v>100</v>
      </c>
      <c r="M1427" s="645">
        <v>46162</v>
      </c>
      <c r="N1427" s="742">
        <v>46168</v>
      </c>
      <c r="O1427" s="643"/>
      <c r="P1427" s="643" t="s">
        <v>9433</v>
      </c>
      <c r="Q1427" s="743" t="s">
        <v>3953</v>
      </c>
      <c r="R1427" s="646">
        <v>46128</v>
      </c>
      <c r="S1427" s="646" t="s">
        <v>70</v>
      </c>
      <c r="T1427" s="646" t="s">
        <v>9493</v>
      </c>
      <c r="U1427" s="646"/>
      <c r="V1427" s="646" t="s">
        <v>9494</v>
      </c>
      <c r="W1427" s="744"/>
      <c r="X1427" s="642" t="s">
        <v>9495</v>
      </c>
      <c r="Y1427" s="642" t="s">
        <v>529</v>
      </c>
      <c r="Z1427" s="745">
        <v>0.9469</v>
      </c>
      <c r="AA1427" s="647">
        <f t="shared" si="556"/>
        <v>4734.5</v>
      </c>
      <c r="AC1427" s="648"/>
      <c r="AD1427" s="246" t="s">
        <v>6276</v>
      </c>
      <c r="AE1427" s="246" t="s">
        <v>82</v>
      </c>
      <c r="AF1427" s="246"/>
      <c r="AG1427" s="246"/>
      <c r="AH1427" s="246">
        <v>1</v>
      </c>
      <c r="AI1427" s="246">
        <v>5000</v>
      </c>
      <c r="AJ1427" s="246">
        <f t="shared" si="525"/>
        <v>0</v>
      </c>
      <c r="AK1427" s="246"/>
      <c r="AL1427" s="246" t="s">
        <v>2368</v>
      </c>
      <c r="AM1427" s="246"/>
      <c r="AN1427" s="246"/>
      <c r="AO1427" s="551">
        <f>I1427</f>
        <v>5000</v>
      </c>
      <c r="AP1427" s="551"/>
      <c r="AQ1427" s="551"/>
      <c r="AR1427" s="650"/>
      <c r="AS1427" s="551"/>
      <c r="AT1427" s="551"/>
      <c r="AU1427" s="551"/>
      <c r="AV1427" s="551"/>
      <c r="AW1427" s="650"/>
      <c r="AX1427" s="551"/>
      <c r="AY1427" s="551"/>
      <c r="AZ1427" s="551"/>
      <c r="BA1427" s="551"/>
      <c r="BB1427" s="249">
        <f>I1427/24</f>
        <v>208.333333333333</v>
      </c>
      <c r="BC1427" s="651"/>
      <c r="BD1427" s="551"/>
      <c r="BE1427" s="551"/>
      <c r="BF1427" s="551"/>
      <c r="BH1427" s="551"/>
      <c r="BI1427" s="551"/>
      <c r="BJ1427" s="551"/>
      <c r="BK1427" s="551"/>
      <c r="BL1427" s="551"/>
      <c r="BM1427" s="551"/>
      <c r="BN1427" s="551"/>
      <c r="BO1427" s="551"/>
      <c r="BP1427" s="551"/>
      <c r="BQ1427" s="551"/>
      <c r="BR1427" s="551"/>
      <c r="BS1427" s="551"/>
      <c r="BT1427" s="551"/>
      <c r="BU1427" s="551"/>
      <c r="BV1427" s="551">
        <f>I1427</f>
        <v>5000</v>
      </c>
      <c r="BW1427" s="551">
        <f>I1427</f>
        <v>5000</v>
      </c>
      <c r="BX1427" s="551">
        <f>I1427/25</f>
        <v>200</v>
      </c>
      <c r="BY1427" s="650"/>
      <c r="BZ1427" s="551"/>
      <c r="CA1427" s="652"/>
      <c r="CB1427" s="747"/>
      <c r="CC1427" s="653"/>
      <c r="CD1427" s="650"/>
      <c r="CE1427" s="650"/>
      <c r="CF1427" s="551"/>
      <c r="CG1427" s="551"/>
      <c r="CI1427" s="551"/>
      <c r="CJ1427" s="551"/>
      <c r="CK1427" s="551"/>
      <c r="CL1427" s="551"/>
      <c r="CM1427" s="551"/>
      <c r="CN1427" s="551"/>
      <c r="CO1427" s="551"/>
      <c r="CP1427" s="551"/>
      <c r="CQ1427" s="551"/>
      <c r="CR1427" s="551"/>
      <c r="CS1427" s="551"/>
      <c r="CT1427" s="551"/>
      <c r="CU1427" s="551">
        <f t="shared" si="548"/>
        <v>200</v>
      </c>
      <c r="CV1427" s="551">
        <f>CK1427+CL1427+CM1427+CN1427+CO1427+CQ1427+CP1427</f>
        <v>0</v>
      </c>
      <c r="CW1427" s="551">
        <f>CI1427+CJ1427</f>
        <v>0</v>
      </c>
      <c r="CX1427" s="650"/>
      <c r="CY1427" s="650"/>
      <c r="CZ1427" s="650"/>
      <c r="DA1427" s="551"/>
      <c r="DB1427" s="551"/>
      <c r="DC1427" s="551"/>
      <c r="DD1427" s="650"/>
      <c r="DE1427" s="650"/>
      <c r="DF1427" s="650"/>
      <c r="DG1427" s="650"/>
      <c r="DH1427" s="650"/>
      <c r="DI1427" s="551"/>
    </row>
    <row r="1428" s="549" customFormat="1" ht="31" customHeight="1" spans="1:113">
      <c r="A1428" s="641">
        <v>46107</v>
      </c>
      <c r="B1428" s="642" t="s">
        <v>1472</v>
      </c>
      <c r="C1428" s="246" t="s">
        <v>524</v>
      </c>
      <c r="D1428" s="551">
        <v>4500198544</v>
      </c>
      <c r="E1428" s="246">
        <v>5251219679</v>
      </c>
      <c r="F1428" s="551" t="s">
        <v>9496</v>
      </c>
      <c r="G1428" s="246" t="s">
        <v>6047</v>
      </c>
      <c r="H1428" s="246" t="s">
        <v>6048</v>
      </c>
      <c r="I1428" s="246">
        <v>13750</v>
      </c>
      <c r="J1428" s="246">
        <v>0</v>
      </c>
      <c r="K1428" s="246">
        <v>25</v>
      </c>
      <c r="L1428" s="644">
        <f t="shared" si="522"/>
        <v>550</v>
      </c>
      <c r="M1428" s="645">
        <v>46163</v>
      </c>
      <c r="N1428" s="645">
        <v>46160</v>
      </c>
      <c r="O1428" s="643"/>
      <c r="P1428" s="643" t="s">
        <v>9334</v>
      </c>
      <c r="Q1428" s="246"/>
      <c r="R1428" s="646">
        <v>46132</v>
      </c>
      <c r="S1428" s="646" t="s">
        <v>70</v>
      </c>
      <c r="T1428" s="646" t="s">
        <v>9497</v>
      </c>
      <c r="U1428" s="646"/>
      <c r="V1428" s="646" t="s">
        <v>9498</v>
      </c>
      <c r="W1428" s="744"/>
      <c r="X1428" s="749" t="s">
        <v>9499</v>
      </c>
      <c r="Y1428" s="642" t="s">
        <v>340</v>
      </c>
      <c r="Z1428" s="745">
        <v>0.9474</v>
      </c>
      <c r="AA1428" s="647">
        <f t="shared" ref="AA1428:AA1433" si="557">Z1428*I1428</f>
        <v>13026.75</v>
      </c>
      <c r="AC1428" s="648"/>
      <c r="AD1428" s="246" t="s">
        <v>6047</v>
      </c>
      <c r="AE1428" s="246" t="s">
        <v>82</v>
      </c>
      <c r="AF1428" s="246"/>
      <c r="AG1428" s="246"/>
      <c r="AH1428" s="246">
        <v>1</v>
      </c>
      <c r="AI1428" s="750">
        <v>13750</v>
      </c>
      <c r="AJ1428" s="246">
        <f t="shared" si="525"/>
        <v>0</v>
      </c>
      <c r="AK1428" s="246"/>
      <c r="AL1428" s="246" t="s">
        <v>2368</v>
      </c>
      <c r="AM1428" s="246"/>
      <c r="AN1428" s="246"/>
      <c r="AO1428" s="551">
        <f>I1428</f>
        <v>13750</v>
      </c>
      <c r="AP1428" s="551"/>
      <c r="AQ1428" s="551"/>
      <c r="AR1428" s="650"/>
      <c r="AS1428" s="551"/>
      <c r="AT1428" s="554">
        <f>I1428</f>
        <v>13750</v>
      </c>
      <c r="AU1428" s="551"/>
      <c r="AV1428" s="554">
        <f>I1428</f>
        <v>13750</v>
      </c>
      <c r="AW1428" s="650"/>
      <c r="AX1428" s="551"/>
      <c r="AY1428" s="551"/>
      <c r="AZ1428" s="551"/>
      <c r="BA1428" s="551"/>
      <c r="BB1428" s="620">
        <f>I1428/24</f>
        <v>572.916666666667</v>
      </c>
      <c r="BC1428" s="651"/>
      <c r="BD1428" s="551"/>
      <c r="BE1428" s="551"/>
      <c r="BF1428" s="551"/>
      <c r="BH1428" s="551"/>
      <c r="BI1428" s="551"/>
      <c r="BJ1428" s="551"/>
      <c r="BK1428" s="551"/>
      <c r="BL1428" s="551"/>
      <c r="BM1428" s="551"/>
      <c r="BN1428" s="551"/>
      <c r="BO1428" s="551"/>
      <c r="BP1428" s="551">
        <f>I1428/25</f>
        <v>550</v>
      </c>
      <c r="BQ1428" s="551"/>
      <c r="BR1428" s="551"/>
      <c r="BS1428" s="551"/>
      <c r="BT1428" s="551"/>
      <c r="BU1428" s="551"/>
      <c r="BV1428" s="551"/>
      <c r="BW1428" s="551"/>
      <c r="BX1428" s="551"/>
      <c r="BY1428" s="650"/>
      <c r="BZ1428" s="551"/>
      <c r="CA1428" s="652"/>
      <c r="CB1428" s="747"/>
      <c r="CC1428" s="653"/>
      <c r="CD1428" s="650"/>
      <c r="CE1428" s="650"/>
      <c r="CF1428" s="551"/>
      <c r="CG1428" s="551"/>
      <c r="CI1428" s="551"/>
      <c r="CJ1428" s="551"/>
      <c r="CK1428" s="551"/>
      <c r="CL1428" s="551"/>
      <c r="CM1428" s="551"/>
      <c r="CN1428" s="551"/>
      <c r="CO1428" s="551"/>
      <c r="CP1428" s="551"/>
      <c r="CQ1428" s="551"/>
      <c r="CR1428" s="551"/>
      <c r="CS1428" s="551"/>
      <c r="CT1428" s="551"/>
      <c r="CU1428" s="551">
        <f t="shared" ref="CU1428:CU1441" si="558">BQ1428+BP1428+BO1428+BN1428+BX1428+BR1428</f>
        <v>550</v>
      </c>
      <c r="CV1428" s="551">
        <f>CK1428+CL1428+CM1428+CN1428+CO1428+CQ1428+CP1428</f>
        <v>0</v>
      </c>
      <c r="CW1428" s="551">
        <f>CI1428+CJ1428</f>
        <v>0</v>
      </c>
      <c r="CX1428" s="650"/>
      <c r="CY1428" s="650"/>
      <c r="CZ1428" s="650"/>
      <c r="DA1428" s="551"/>
      <c r="DB1428" s="551"/>
      <c r="DC1428" s="551"/>
      <c r="DD1428" s="650"/>
      <c r="DE1428" s="650"/>
      <c r="DF1428" s="650"/>
      <c r="DG1428" s="650"/>
      <c r="DH1428" s="650"/>
      <c r="DI1428" s="551"/>
    </row>
    <row r="1429" s="549" customFormat="1" ht="31" customHeight="1" spans="1:113">
      <c r="A1429" s="641">
        <v>46113</v>
      </c>
      <c r="B1429" s="642" t="s">
        <v>580</v>
      </c>
      <c r="C1429" s="246" t="s">
        <v>302</v>
      </c>
      <c r="D1429" s="551">
        <v>4500199646</v>
      </c>
      <c r="E1429" s="643">
        <v>2000009902</v>
      </c>
      <c r="F1429" s="551" t="s">
        <v>4104</v>
      </c>
      <c r="G1429" s="246" t="s">
        <v>6337</v>
      </c>
      <c r="H1429" s="246" t="s">
        <v>477</v>
      </c>
      <c r="I1429" s="706">
        <v>2418</v>
      </c>
      <c r="J1429" s="246">
        <v>0</v>
      </c>
      <c r="K1429" s="246">
        <v>6</v>
      </c>
      <c r="L1429" s="644">
        <f t="shared" si="522"/>
        <v>403</v>
      </c>
      <c r="M1429" s="645">
        <v>46167</v>
      </c>
      <c r="N1429" s="645">
        <v>46163</v>
      </c>
      <c r="O1429" s="743" t="s">
        <v>367</v>
      </c>
      <c r="P1429" s="743" t="s">
        <v>9334</v>
      </c>
      <c r="Q1429" s="646"/>
      <c r="R1429" s="646">
        <v>46127</v>
      </c>
      <c r="S1429" s="646" t="s">
        <v>70</v>
      </c>
      <c r="T1429" s="646" t="s">
        <v>4106</v>
      </c>
      <c r="U1429" s="646"/>
      <c r="V1429" s="646"/>
      <c r="W1429" s="744"/>
      <c r="X1429" s="642" t="s">
        <v>9500</v>
      </c>
      <c r="Y1429" s="647" t="s">
        <v>415</v>
      </c>
      <c r="Z1429" s="642">
        <v>6.8284</v>
      </c>
      <c r="AA1429" s="647">
        <f t="shared" si="557"/>
        <v>16511.0712</v>
      </c>
      <c r="AC1429" s="751"/>
      <c r="AD1429" s="642" t="s">
        <v>480</v>
      </c>
      <c r="AE1429" s="246" t="s">
        <v>82</v>
      </c>
      <c r="AF1429" s="246"/>
      <c r="AG1429" s="246"/>
      <c r="AH1429" s="609">
        <v>1</v>
      </c>
      <c r="AI1429" s="750">
        <f>2406+12</f>
        <v>2418</v>
      </c>
      <c r="AJ1429" s="246">
        <f t="shared" si="525"/>
        <v>0</v>
      </c>
      <c r="AK1429" s="643"/>
      <c r="AL1429" s="246" t="s">
        <v>454</v>
      </c>
      <c r="AM1429" s="246"/>
      <c r="AN1429" s="551"/>
      <c r="AO1429" s="551">
        <f>I1429*2</f>
        <v>4836</v>
      </c>
      <c r="AP1429" s="551"/>
      <c r="AQ1429" s="551"/>
      <c r="AR1429" s="551"/>
      <c r="AS1429" s="551"/>
      <c r="AT1429" s="551">
        <f>I1429*2</f>
        <v>4836</v>
      </c>
      <c r="AU1429" s="551"/>
      <c r="AV1429" s="551">
        <f>I1429*2</f>
        <v>4836</v>
      </c>
      <c r="AW1429" s="551"/>
      <c r="AX1429" s="651"/>
      <c r="AY1429" s="551"/>
      <c r="AZ1429" s="551"/>
      <c r="BA1429" s="551"/>
      <c r="BB1429" s="620">
        <f>I1429/24*2</f>
        <v>201.5</v>
      </c>
      <c r="BC1429" s="551"/>
      <c r="BD1429" s="551"/>
      <c r="BE1429" s="551"/>
      <c r="BF1429" s="551"/>
      <c r="BH1429" s="551"/>
      <c r="BI1429" s="551"/>
      <c r="BJ1429" s="551"/>
      <c r="BK1429" s="551"/>
      <c r="BL1429" s="551"/>
      <c r="BM1429" s="551"/>
      <c r="BN1429" s="551"/>
      <c r="BO1429" s="551"/>
      <c r="BP1429" s="551"/>
      <c r="BQ1429" s="551"/>
      <c r="BR1429" s="551"/>
      <c r="BS1429" s="551"/>
      <c r="BT1429" s="551"/>
      <c r="BU1429" s="551"/>
      <c r="BV1429" s="551"/>
      <c r="BW1429" s="551"/>
      <c r="BX1429" s="551"/>
      <c r="BY1429" s="551"/>
      <c r="BZ1429" s="551">
        <f>I1429</f>
        <v>2418</v>
      </c>
      <c r="CA1429" s="752"/>
      <c r="CB1429" s="747"/>
      <c r="CC1429" s="753"/>
      <c r="CD1429" s="551"/>
      <c r="CE1429" s="551"/>
      <c r="CF1429" s="551"/>
      <c r="CG1429" s="551"/>
      <c r="CI1429" s="551"/>
      <c r="CJ1429" s="551"/>
      <c r="CK1429" s="551"/>
      <c r="CL1429" s="551"/>
      <c r="CM1429" s="551"/>
      <c r="CN1429" s="551"/>
      <c r="CO1429" s="551"/>
      <c r="CP1429" s="650"/>
      <c r="CQ1429" s="650"/>
      <c r="CR1429" s="650"/>
      <c r="CS1429" s="650"/>
      <c r="CT1429" s="650"/>
      <c r="CU1429" s="551">
        <f t="shared" si="558"/>
        <v>0</v>
      </c>
      <c r="CV1429" s="551">
        <v>0</v>
      </c>
      <c r="CW1429" s="551">
        <v>0</v>
      </c>
      <c r="CX1429" s="650"/>
      <c r="CY1429" s="650"/>
      <c r="CZ1429" s="650"/>
      <c r="DA1429" s="650"/>
      <c r="DB1429" s="650"/>
      <c r="DC1429" s="650"/>
      <c r="DD1429" s="650"/>
      <c r="DE1429" s="650"/>
      <c r="DF1429" s="650"/>
      <c r="DG1429" s="650"/>
      <c r="DH1429" s="650"/>
      <c r="DI1429" s="551"/>
    </row>
    <row r="1430" s="549" customFormat="1" ht="30" customHeight="1" spans="1:113">
      <c r="A1430" s="641">
        <v>46115</v>
      </c>
      <c r="B1430" s="642" t="s">
        <v>606</v>
      </c>
      <c r="C1430" s="246" t="s">
        <v>399</v>
      </c>
      <c r="D1430" s="754">
        <v>4500200146</v>
      </c>
      <c r="E1430" s="246">
        <v>22362602</v>
      </c>
      <c r="F1430" s="551" t="s">
        <v>9501</v>
      </c>
      <c r="G1430" s="246" t="s">
        <v>6043</v>
      </c>
      <c r="H1430" s="246" t="s">
        <v>6110</v>
      </c>
      <c r="I1430" s="246">
        <v>3600</v>
      </c>
      <c r="J1430" s="246">
        <v>0</v>
      </c>
      <c r="K1430" s="246">
        <v>50</v>
      </c>
      <c r="L1430" s="644">
        <f t="shared" si="522"/>
        <v>72</v>
      </c>
      <c r="M1430" s="645">
        <v>46167</v>
      </c>
      <c r="N1430" s="645">
        <v>46163</v>
      </c>
      <c r="O1430" s="755" t="s">
        <v>3939</v>
      </c>
      <c r="P1430" s="643" t="s">
        <v>9334</v>
      </c>
      <c r="Q1430" s="654">
        <v>46186</v>
      </c>
      <c r="R1430" s="646">
        <v>46126</v>
      </c>
      <c r="S1430" s="646" t="s">
        <v>70</v>
      </c>
      <c r="T1430" s="646" t="s">
        <v>9502</v>
      </c>
      <c r="U1430" s="646"/>
      <c r="V1430" s="646" t="s">
        <v>3941</v>
      </c>
      <c r="W1430" s="744"/>
      <c r="X1430" s="642" t="s">
        <v>9503</v>
      </c>
      <c r="Y1430" s="642" t="s">
        <v>445</v>
      </c>
      <c r="Z1430" s="745">
        <v>0.9749</v>
      </c>
      <c r="AA1430" s="647">
        <f t="shared" si="557"/>
        <v>3509.64</v>
      </c>
      <c r="AC1430" s="648"/>
      <c r="AD1430" s="642" t="s">
        <v>6043</v>
      </c>
      <c r="AE1430" s="246" t="s">
        <v>82</v>
      </c>
      <c r="AF1430" s="246"/>
      <c r="AG1430" s="246"/>
      <c r="AH1430" s="246">
        <v>1</v>
      </c>
      <c r="AI1430" s="746">
        <v>3600</v>
      </c>
      <c r="AJ1430" s="246">
        <f t="shared" si="525"/>
        <v>0</v>
      </c>
      <c r="AK1430" s="246"/>
      <c r="AL1430" s="246" t="s">
        <v>2368</v>
      </c>
      <c r="AM1430" s="246"/>
      <c r="AN1430" s="246"/>
      <c r="AO1430" s="551">
        <f>I1430</f>
        <v>3600</v>
      </c>
      <c r="AP1430" s="551"/>
      <c r="AQ1430" s="551"/>
      <c r="AR1430" s="650"/>
      <c r="AS1430" s="551"/>
      <c r="AT1430" s="554">
        <f>I1430</f>
        <v>3600</v>
      </c>
      <c r="AU1430" s="551"/>
      <c r="AV1430" s="554">
        <f>I1430</f>
        <v>3600</v>
      </c>
      <c r="AW1430" s="650"/>
      <c r="AX1430" s="551"/>
      <c r="AY1430" s="551"/>
      <c r="AZ1430" s="551"/>
      <c r="BA1430" s="551"/>
      <c r="BB1430" s="620">
        <f t="shared" ref="BB1430:BB1436" si="559">I1430/24</f>
        <v>150</v>
      </c>
      <c r="BC1430" s="651"/>
      <c r="BD1430" s="551"/>
      <c r="BE1430" s="551"/>
      <c r="BF1430" s="551"/>
      <c r="BH1430" s="551"/>
      <c r="BI1430" s="551"/>
      <c r="BJ1430" s="551"/>
      <c r="BK1430" s="551"/>
      <c r="BL1430" s="551"/>
      <c r="BM1430" s="551"/>
      <c r="BN1430" s="551"/>
      <c r="BO1430" s="551"/>
      <c r="BP1430" s="551">
        <f>I1430/25</f>
        <v>144</v>
      </c>
      <c r="BQ1430" s="551"/>
      <c r="BR1430" s="551"/>
      <c r="BS1430" s="551"/>
      <c r="BT1430" s="551"/>
      <c r="BU1430" s="551"/>
      <c r="BV1430" s="551"/>
      <c r="BW1430" s="551"/>
      <c r="BX1430" s="551"/>
      <c r="BY1430" s="650"/>
      <c r="BZ1430" s="551"/>
      <c r="CA1430" s="652"/>
      <c r="CB1430" s="747"/>
      <c r="CC1430" s="653"/>
      <c r="CD1430" s="650"/>
      <c r="CE1430" s="650"/>
      <c r="CF1430" s="551"/>
      <c r="CG1430" s="551"/>
      <c r="CI1430" s="551"/>
      <c r="CJ1430" s="551"/>
      <c r="CK1430" s="551"/>
      <c r="CL1430" s="551"/>
      <c r="CM1430" s="551"/>
      <c r="CN1430" s="551"/>
      <c r="CO1430" s="551"/>
      <c r="CP1430" s="551"/>
      <c r="CQ1430" s="551"/>
      <c r="CR1430" s="551"/>
      <c r="CS1430" s="551"/>
      <c r="CT1430" s="551"/>
      <c r="CU1430" s="551">
        <f t="shared" si="558"/>
        <v>144</v>
      </c>
      <c r="CV1430" s="551">
        <f t="shared" ref="CV1430:CV1439" si="560">CK1430+CL1430+CM1430+CN1430+CO1430+CQ1430+CP1430</f>
        <v>0</v>
      </c>
      <c r="CW1430" s="551">
        <f t="shared" ref="CW1430:CW1439" si="561">CI1430+CJ1430</f>
        <v>0</v>
      </c>
      <c r="CX1430" s="650"/>
      <c r="CY1430" s="650"/>
      <c r="CZ1430" s="650"/>
      <c r="DA1430" s="551"/>
      <c r="DB1430" s="551"/>
      <c r="DC1430" s="551"/>
      <c r="DD1430" s="650"/>
      <c r="DE1430" s="650"/>
      <c r="DF1430" s="650"/>
      <c r="DG1430" s="650"/>
      <c r="DH1430" s="650"/>
      <c r="DI1430" s="551"/>
    </row>
    <row r="1431" s="549" customFormat="1" ht="31" customHeight="1" spans="1:113">
      <c r="A1431" s="641">
        <v>46101</v>
      </c>
      <c r="B1431" s="642" t="s">
        <v>3715</v>
      </c>
      <c r="C1431" s="246" t="s">
        <v>98</v>
      </c>
      <c r="D1431" s="551">
        <v>4500197801</v>
      </c>
      <c r="E1431" s="246">
        <v>41201440</v>
      </c>
      <c r="F1431" s="551" t="s">
        <v>9504</v>
      </c>
      <c r="G1431" s="246" t="s">
        <v>6084</v>
      </c>
      <c r="H1431" s="246" t="s">
        <v>6085</v>
      </c>
      <c r="I1431" s="246">
        <v>1825</v>
      </c>
      <c r="J1431" s="246">
        <v>0</v>
      </c>
      <c r="K1431" s="246">
        <v>25</v>
      </c>
      <c r="L1431" s="644">
        <f t="shared" si="522"/>
        <v>73</v>
      </c>
      <c r="M1431" s="645">
        <v>46167</v>
      </c>
      <c r="N1431" s="645">
        <v>46163</v>
      </c>
      <c r="O1431" s="643"/>
      <c r="P1431" s="643" t="s">
        <v>9433</v>
      </c>
      <c r="Q1431" s="756" t="s">
        <v>3953</v>
      </c>
      <c r="R1431" s="646">
        <v>46119</v>
      </c>
      <c r="S1431" s="646" t="s">
        <v>104</v>
      </c>
      <c r="T1431" s="646">
        <v>46113</v>
      </c>
      <c r="U1431" s="646"/>
      <c r="V1431" s="646"/>
      <c r="W1431" s="744"/>
      <c r="X1431" s="642" t="s">
        <v>9223</v>
      </c>
      <c r="Y1431" s="642" t="s">
        <v>3717</v>
      </c>
      <c r="Z1431" s="745">
        <v>0.5914</v>
      </c>
      <c r="AA1431" s="647">
        <f t="shared" si="557"/>
        <v>1079.305</v>
      </c>
      <c r="AC1431" s="658" t="s">
        <v>3954</v>
      </c>
      <c r="AD1431" s="246" t="s">
        <v>6089</v>
      </c>
      <c r="AE1431" s="246" t="s">
        <v>82</v>
      </c>
      <c r="AF1431" s="246"/>
      <c r="AG1431" s="246"/>
      <c r="AH1431" s="246">
        <v>1</v>
      </c>
      <c r="AI1431" s="746">
        <v>1825</v>
      </c>
      <c r="AJ1431" s="246">
        <f t="shared" si="525"/>
        <v>0</v>
      </c>
      <c r="AK1431" s="246"/>
      <c r="AL1431" s="246" t="s">
        <v>2368</v>
      </c>
      <c r="AM1431" s="246"/>
      <c r="AN1431" s="246">
        <f>I1431</f>
        <v>1825</v>
      </c>
      <c r="AO1431" s="551"/>
      <c r="AP1431" s="551"/>
      <c r="AQ1431" s="551"/>
      <c r="AR1431" s="650"/>
      <c r="AS1431" s="551">
        <f>I1431</f>
        <v>1825</v>
      </c>
      <c r="AT1431" s="551"/>
      <c r="AU1431" s="551">
        <f>I1431</f>
        <v>1825</v>
      </c>
      <c r="AV1431" s="551"/>
      <c r="AW1431" s="650"/>
      <c r="AX1431" s="551"/>
      <c r="AY1431" s="551"/>
      <c r="AZ1431" s="551"/>
      <c r="BA1431" s="551"/>
      <c r="BB1431" s="249">
        <f t="shared" si="559"/>
        <v>76.0416666666667</v>
      </c>
      <c r="BC1431" s="651"/>
      <c r="BD1431" s="551"/>
      <c r="BE1431" s="551"/>
      <c r="BF1431" s="551"/>
      <c r="BH1431" s="551"/>
      <c r="BI1431" s="551"/>
      <c r="BJ1431" s="551"/>
      <c r="BK1431" s="551"/>
      <c r="BL1431" s="551"/>
      <c r="BM1431" s="551"/>
      <c r="BN1431" s="551"/>
      <c r="BO1431" s="551">
        <f>I1431/25</f>
        <v>73</v>
      </c>
      <c r="BP1431" s="551"/>
      <c r="BQ1431" s="551"/>
      <c r="BR1431" s="551"/>
      <c r="BS1431" s="551"/>
      <c r="BT1431" s="551"/>
      <c r="BU1431" s="551"/>
      <c r="BV1431" s="551"/>
      <c r="BW1431" s="551"/>
      <c r="BX1431" s="551"/>
      <c r="BY1431" s="650"/>
      <c r="BZ1431" s="551"/>
      <c r="CA1431" s="652"/>
      <c r="CB1431" s="747"/>
      <c r="CC1431" s="653"/>
      <c r="CD1431" s="650"/>
      <c r="CE1431" s="650"/>
      <c r="CF1431" s="551"/>
      <c r="CG1431" s="551"/>
      <c r="CI1431" s="551"/>
      <c r="CJ1431" s="551"/>
      <c r="CK1431" s="551"/>
      <c r="CL1431" s="551"/>
      <c r="CM1431" s="551"/>
      <c r="CN1431" s="551"/>
      <c r="CO1431" s="551"/>
      <c r="CP1431" s="551"/>
      <c r="CQ1431" s="551"/>
      <c r="CR1431" s="551"/>
      <c r="CS1431" s="551"/>
      <c r="CT1431" s="551"/>
      <c r="CU1431" s="551">
        <f t="shared" si="558"/>
        <v>73</v>
      </c>
      <c r="CV1431" s="551">
        <f t="shared" si="560"/>
        <v>0</v>
      </c>
      <c r="CW1431" s="551">
        <f t="shared" si="561"/>
        <v>0</v>
      </c>
      <c r="CX1431" s="650"/>
      <c r="CY1431" s="650"/>
      <c r="CZ1431" s="650"/>
      <c r="DA1431" s="551"/>
      <c r="DB1431" s="551"/>
      <c r="DC1431" s="551"/>
      <c r="DD1431" s="650"/>
      <c r="DE1431" s="650"/>
      <c r="DF1431" s="650"/>
      <c r="DG1431" s="650"/>
      <c r="DH1431" s="650"/>
      <c r="DI1431" s="551"/>
    </row>
    <row r="1432" s="549" customFormat="1" ht="31" customHeight="1" spans="1:113">
      <c r="A1432" s="641">
        <v>46048</v>
      </c>
      <c r="B1432" s="642" t="s">
        <v>8048</v>
      </c>
      <c r="C1432" s="693" t="s">
        <v>98</v>
      </c>
      <c r="D1432" s="551">
        <v>4500192272</v>
      </c>
      <c r="E1432" s="246">
        <v>56251795</v>
      </c>
      <c r="F1432" s="551" t="s">
        <v>9505</v>
      </c>
      <c r="G1432" s="246" t="s">
        <v>8051</v>
      </c>
      <c r="H1432" s="246" t="s">
        <v>6102</v>
      </c>
      <c r="I1432" s="706">
        <v>21180</v>
      </c>
      <c r="J1432" s="246">
        <v>0</v>
      </c>
      <c r="K1432" s="246">
        <v>6</v>
      </c>
      <c r="L1432" s="644">
        <f t="shared" si="522"/>
        <v>3530</v>
      </c>
      <c r="M1432" s="645">
        <v>46167</v>
      </c>
      <c r="N1432" s="645">
        <v>46163</v>
      </c>
      <c r="O1432" s="643"/>
      <c r="P1432" s="643" t="s">
        <v>9433</v>
      </c>
      <c r="Q1432" s="246" t="s">
        <v>9506</v>
      </c>
      <c r="R1432" s="646">
        <v>46048</v>
      </c>
      <c r="S1432" s="646" t="s">
        <v>104</v>
      </c>
      <c r="T1432" s="646" t="s">
        <v>9507</v>
      </c>
      <c r="U1432" s="646"/>
      <c r="V1432" s="646" t="s">
        <v>9508</v>
      </c>
      <c r="W1432" s="744"/>
      <c r="X1432" s="642" t="s">
        <v>9509</v>
      </c>
      <c r="Y1432" s="694" t="s">
        <v>8055</v>
      </c>
      <c r="Z1432" s="642">
        <v>0.5462</v>
      </c>
      <c r="AA1432" s="647">
        <f t="shared" si="557"/>
        <v>11568.516</v>
      </c>
      <c r="AC1432" s="698" t="s">
        <v>9510</v>
      </c>
      <c r="AD1432" s="246" t="s">
        <v>8051</v>
      </c>
      <c r="AE1432" s="246" t="s">
        <v>82</v>
      </c>
      <c r="AF1432" s="246"/>
      <c r="AG1432" s="642"/>
      <c r="AH1432" s="642">
        <v>1</v>
      </c>
      <c r="AI1432" s="246">
        <v>21180</v>
      </c>
      <c r="AJ1432" s="246">
        <f t="shared" si="525"/>
        <v>0</v>
      </c>
      <c r="AK1432" s="246"/>
      <c r="AL1432" s="246" t="s">
        <v>2368</v>
      </c>
      <c r="AM1432" s="246"/>
      <c r="AN1432" s="246">
        <f>I1432</f>
        <v>21180</v>
      </c>
      <c r="AO1432" s="551"/>
      <c r="AP1432" s="554">
        <f>I1432</f>
        <v>21180</v>
      </c>
      <c r="AR1432" s="650"/>
      <c r="AS1432" s="551"/>
      <c r="AT1432" s="551"/>
      <c r="AU1432" s="551">
        <f>I1432</f>
        <v>21180</v>
      </c>
      <c r="AV1432" s="551"/>
      <c r="AW1432" s="650"/>
      <c r="AX1432" s="551"/>
      <c r="AY1432" s="551"/>
      <c r="AZ1432" s="551"/>
      <c r="BA1432" s="551"/>
      <c r="BB1432" s="249">
        <f t="shared" si="559"/>
        <v>882.5</v>
      </c>
      <c r="BC1432" s="651"/>
      <c r="BD1432" s="551"/>
      <c r="BE1432" s="551"/>
      <c r="BF1432" s="551"/>
      <c r="BH1432" s="551"/>
      <c r="BI1432" s="551"/>
      <c r="BJ1432" s="551"/>
      <c r="BK1432" s="551"/>
      <c r="BL1432" s="551"/>
      <c r="BM1432" s="551"/>
      <c r="BN1432" s="551"/>
      <c r="BO1432" s="551"/>
      <c r="BP1432" s="551"/>
      <c r="BQ1432" s="551"/>
      <c r="BR1432" s="551"/>
      <c r="BS1432" s="551"/>
      <c r="BT1432" s="551">
        <f>L1432</f>
        <v>3530</v>
      </c>
      <c r="BY1432" s="650"/>
      <c r="BZ1432" s="551"/>
      <c r="CA1432" s="652"/>
      <c r="CB1432" s="747"/>
      <c r="CC1432" s="653"/>
      <c r="CD1432" s="650"/>
      <c r="CE1432" s="650"/>
      <c r="CF1432" s="551"/>
      <c r="CG1432" s="551"/>
      <c r="CI1432" s="551"/>
      <c r="CJ1432" s="551"/>
      <c r="CK1432" s="551"/>
      <c r="CL1432" s="551"/>
      <c r="CM1432" s="551"/>
      <c r="CN1432" s="551"/>
      <c r="CO1432" s="551"/>
      <c r="CP1432" s="551"/>
      <c r="CQ1432" s="551"/>
      <c r="CR1432" s="551"/>
      <c r="CS1432" s="551"/>
      <c r="CT1432" s="551"/>
      <c r="CU1432" s="551">
        <f t="shared" si="558"/>
        <v>0</v>
      </c>
      <c r="CV1432" s="551">
        <f t="shared" si="560"/>
        <v>0</v>
      </c>
      <c r="CW1432" s="551">
        <f t="shared" si="561"/>
        <v>0</v>
      </c>
      <c r="CX1432" s="707"/>
      <c r="CY1432" s="707"/>
      <c r="CZ1432" s="707"/>
      <c r="DA1432" s="551"/>
      <c r="DB1432" s="551"/>
      <c r="DC1432" s="551"/>
      <c r="DD1432" s="707"/>
      <c r="DE1432" s="707"/>
      <c r="DF1432" s="707"/>
      <c r="DG1432" s="707"/>
      <c r="DH1432" s="707"/>
      <c r="DI1432" s="551"/>
    </row>
    <row r="1433" s="549" customFormat="1" ht="31" customHeight="1" spans="1:113">
      <c r="A1433" s="641">
        <v>46126</v>
      </c>
      <c r="B1433" s="642" t="s">
        <v>2527</v>
      </c>
      <c r="C1433" s="246" t="s">
        <v>2528</v>
      </c>
      <c r="D1433" s="551">
        <v>4500201779</v>
      </c>
      <c r="E1433" s="246" t="s">
        <v>3846</v>
      </c>
      <c r="F1433" s="551" t="s">
        <v>9511</v>
      </c>
      <c r="G1433" s="246" t="s">
        <v>6025</v>
      </c>
      <c r="H1433" s="246" t="s">
        <v>6026</v>
      </c>
      <c r="I1433" s="706">
        <v>1200</v>
      </c>
      <c r="J1433" s="246">
        <v>0</v>
      </c>
      <c r="K1433" s="246">
        <v>24</v>
      </c>
      <c r="L1433" s="644">
        <f t="shared" si="522"/>
        <v>50</v>
      </c>
      <c r="M1433" s="645">
        <v>46168</v>
      </c>
      <c r="N1433" s="645">
        <v>46164</v>
      </c>
      <c r="O1433" s="643"/>
      <c r="P1433" s="246" t="s">
        <v>9334</v>
      </c>
      <c r="Q1433" s="646" t="s">
        <v>3993</v>
      </c>
      <c r="R1433" s="646">
        <v>46134</v>
      </c>
      <c r="S1433" s="646" t="s">
        <v>70</v>
      </c>
      <c r="T1433" s="646" t="s">
        <v>9512</v>
      </c>
      <c r="U1433" s="646"/>
      <c r="V1433" s="646"/>
      <c r="W1433" s="744"/>
      <c r="X1433" s="642" t="s">
        <v>9513</v>
      </c>
      <c r="Y1433" s="647" t="s">
        <v>2533</v>
      </c>
      <c r="Z1433" s="642">
        <v>0.8976</v>
      </c>
      <c r="AA1433" s="647">
        <f t="shared" si="557"/>
        <v>1077.12</v>
      </c>
      <c r="AC1433" s="751"/>
      <c r="AD1433" s="246" t="s">
        <v>6025</v>
      </c>
      <c r="AE1433" s="246" t="s">
        <v>82</v>
      </c>
      <c r="AF1433" s="246"/>
      <c r="AG1433" s="246"/>
      <c r="AH1433" s="642">
        <v>1</v>
      </c>
      <c r="AI1433" s="750">
        <v>1200</v>
      </c>
      <c r="AJ1433" s="246">
        <f t="shared" si="525"/>
        <v>0</v>
      </c>
      <c r="AK1433" s="643"/>
      <c r="AL1433" s="246"/>
      <c r="AM1433" s="246"/>
      <c r="AN1433" s="551"/>
      <c r="AO1433" s="551">
        <f>I1433</f>
        <v>1200</v>
      </c>
      <c r="AP1433" s="551"/>
      <c r="AQ1433" s="551"/>
      <c r="AR1433" s="551"/>
      <c r="AS1433" s="551"/>
      <c r="AT1433" s="554">
        <f>I1433</f>
        <v>1200</v>
      </c>
      <c r="AU1433" s="551"/>
      <c r="AV1433" s="554">
        <f>I1433</f>
        <v>1200</v>
      </c>
      <c r="AW1433" s="551"/>
      <c r="AX1433" s="651"/>
      <c r="AY1433" s="551"/>
      <c r="AZ1433" s="551"/>
      <c r="BA1433" s="551"/>
      <c r="BB1433" s="620">
        <f t="shared" si="559"/>
        <v>50</v>
      </c>
      <c r="BC1433" s="551"/>
      <c r="BD1433" s="551"/>
      <c r="BE1433" s="551"/>
      <c r="BF1433" s="551"/>
      <c r="BH1433" s="551"/>
      <c r="BI1433" s="551"/>
      <c r="BJ1433" s="551"/>
      <c r="BK1433" s="551"/>
      <c r="BL1433" s="551"/>
      <c r="BM1433" s="551"/>
      <c r="BN1433" s="551"/>
      <c r="BO1433" s="551"/>
      <c r="BP1433" s="551"/>
      <c r="BQ1433" s="551"/>
      <c r="BR1433" s="551"/>
      <c r="BS1433" s="551"/>
      <c r="BT1433" s="551"/>
      <c r="BU1433" s="551"/>
      <c r="BV1433" s="551"/>
      <c r="BW1433" s="551"/>
      <c r="BX1433" s="551"/>
      <c r="BY1433" s="551"/>
      <c r="BZ1433" s="551"/>
      <c r="CA1433" s="752"/>
      <c r="CB1433" s="747"/>
      <c r="CC1433" s="753"/>
      <c r="CD1433" s="551"/>
      <c r="CE1433" s="551"/>
      <c r="CF1433" s="551"/>
      <c r="CG1433" s="551"/>
      <c r="CI1433" s="551"/>
      <c r="CJ1433" s="551"/>
      <c r="CK1433" s="551"/>
      <c r="CL1433" s="551"/>
      <c r="CM1433" s="551"/>
      <c r="CN1433" s="551"/>
      <c r="CO1433" s="551"/>
      <c r="CP1433" s="650"/>
      <c r="CQ1433" s="650"/>
      <c r="CR1433" s="650"/>
      <c r="CS1433" s="650"/>
      <c r="CT1433" s="650"/>
      <c r="CU1433" s="551">
        <f t="shared" si="558"/>
        <v>0</v>
      </c>
      <c r="CV1433" s="551">
        <f t="shared" si="560"/>
        <v>0</v>
      </c>
      <c r="CW1433" s="551">
        <f t="shared" si="561"/>
        <v>0</v>
      </c>
      <c r="CX1433" s="650"/>
      <c r="CY1433" s="650"/>
      <c r="CZ1433" s="650"/>
      <c r="DA1433" s="650"/>
      <c r="DB1433" s="650"/>
      <c r="DC1433" s="650"/>
      <c r="DD1433" s="650"/>
      <c r="DE1433" s="650"/>
      <c r="DF1433" s="650"/>
      <c r="DG1433" s="650"/>
      <c r="DH1433" s="650"/>
      <c r="DI1433" s="551"/>
    </row>
    <row r="1434" s="549" customFormat="1" ht="31" customHeight="1" spans="1:113">
      <c r="A1434" s="641">
        <v>46106</v>
      </c>
      <c r="B1434" s="642" t="s">
        <v>1928</v>
      </c>
      <c r="C1434" s="246" t="s">
        <v>424</v>
      </c>
      <c r="D1434" s="551">
        <v>4500198350</v>
      </c>
      <c r="E1434" s="246">
        <v>160695</v>
      </c>
      <c r="F1434" s="551" t="s">
        <v>9514</v>
      </c>
      <c r="G1434" s="246" t="s">
        <v>6047</v>
      </c>
      <c r="H1434" s="246" t="s">
        <v>6069</v>
      </c>
      <c r="I1434" s="246">
        <v>500</v>
      </c>
      <c r="J1434" s="246">
        <v>0</v>
      </c>
      <c r="K1434" s="246">
        <v>25</v>
      </c>
      <c r="L1434" s="644">
        <f t="shared" si="522"/>
        <v>20</v>
      </c>
      <c r="M1434" s="645">
        <v>46168</v>
      </c>
      <c r="N1434" s="645">
        <v>46164</v>
      </c>
      <c r="O1434" s="643"/>
      <c r="P1434" s="643" t="s">
        <v>9334</v>
      </c>
      <c r="Q1434" s="646" t="s">
        <v>3993</v>
      </c>
      <c r="R1434" s="646">
        <v>46129</v>
      </c>
      <c r="S1434" s="646" t="s">
        <v>70</v>
      </c>
      <c r="T1434" s="646" t="s">
        <v>9515</v>
      </c>
      <c r="U1434" s="646"/>
      <c r="V1434" s="646"/>
      <c r="W1434" s="744"/>
      <c r="X1434" s="642" t="s">
        <v>9516</v>
      </c>
      <c r="Y1434" s="642" t="s">
        <v>696</v>
      </c>
      <c r="Z1434" s="745">
        <v>0.9809</v>
      </c>
      <c r="AA1434" s="647">
        <f>I1434*Z1434</f>
        <v>490.45</v>
      </c>
      <c r="AC1434" s="648"/>
      <c r="AD1434" s="246" t="s">
        <v>6047</v>
      </c>
      <c r="AE1434" s="246" t="s">
        <v>82</v>
      </c>
      <c r="AF1434" s="246"/>
      <c r="AG1434" s="246"/>
      <c r="AH1434" s="246">
        <v>1</v>
      </c>
      <c r="AI1434" s="750">
        <v>500</v>
      </c>
      <c r="AJ1434" s="246">
        <f t="shared" si="525"/>
        <v>0</v>
      </c>
      <c r="AK1434" s="246"/>
      <c r="AL1434" s="246" t="s">
        <v>2368</v>
      </c>
      <c r="AM1434" s="246"/>
      <c r="AN1434" s="646"/>
      <c r="AO1434" s="551">
        <f>I1434</f>
        <v>500</v>
      </c>
      <c r="AP1434" s="551"/>
      <c r="AQ1434" s="551"/>
      <c r="AR1434" s="650"/>
      <c r="AS1434" s="551"/>
      <c r="AT1434" s="554">
        <f>I1434</f>
        <v>500</v>
      </c>
      <c r="AU1434" s="551"/>
      <c r="AV1434" s="554">
        <f>I1434</f>
        <v>500</v>
      </c>
      <c r="AW1434" s="551"/>
      <c r="AX1434" s="551"/>
      <c r="AY1434" s="551"/>
      <c r="AZ1434" s="551"/>
      <c r="BA1434" s="651"/>
      <c r="BB1434" s="620">
        <f t="shared" si="559"/>
        <v>20.8333333333333</v>
      </c>
      <c r="BC1434" s="651"/>
      <c r="BD1434" s="551"/>
      <c r="BE1434" s="551"/>
      <c r="BF1434" s="551"/>
      <c r="BH1434" s="551"/>
      <c r="BI1434" s="551"/>
      <c r="BJ1434" s="551"/>
      <c r="BK1434" s="551"/>
      <c r="BL1434" s="551"/>
      <c r="BM1434" s="551"/>
      <c r="BN1434" s="551"/>
      <c r="BO1434" s="551"/>
      <c r="BP1434" s="551">
        <f>I1434/25</f>
        <v>20</v>
      </c>
      <c r="BQ1434" s="551"/>
      <c r="BR1434" s="551"/>
      <c r="BS1434" s="551"/>
      <c r="BT1434" s="551"/>
      <c r="BU1434" s="551"/>
      <c r="BV1434" s="551"/>
      <c r="BW1434" s="551"/>
      <c r="BX1434" s="551"/>
      <c r="BY1434" s="650"/>
      <c r="BZ1434" s="551"/>
      <c r="CA1434" s="652"/>
      <c r="CB1434" s="747"/>
      <c r="CC1434" s="653"/>
      <c r="CD1434" s="650"/>
      <c r="CE1434" s="650"/>
      <c r="CF1434" s="551"/>
      <c r="CG1434" s="551"/>
      <c r="CI1434" s="551"/>
      <c r="CJ1434" s="551"/>
      <c r="CK1434" s="551"/>
      <c r="CL1434" s="551"/>
      <c r="CM1434" s="551"/>
      <c r="CN1434" s="551"/>
      <c r="CO1434" s="551"/>
      <c r="CP1434" s="551"/>
      <c r="CQ1434" s="551"/>
      <c r="CR1434" s="551"/>
      <c r="CS1434" s="551"/>
      <c r="CT1434" s="551"/>
      <c r="CU1434" s="551">
        <f t="shared" si="558"/>
        <v>20</v>
      </c>
      <c r="CV1434" s="551">
        <f t="shared" si="560"/>
        <v>0</v>
      </c>
      <c r="CW1434" s="551">
        <f t="shared" si="561"/>
        <v>0</v>
      </c>
      <c r="CX1434" s="650"/>
      <c r="CY1434" s="650"/>
      <c r="CZ1434" s="650"/>
      <c r="DA1434" s="551"/>
      <c r="DB1434" s="551"/>
      <c r="DC1434" s="551"/>
      <c r="DD1434" s="650"/>
      <c r="DE1434" s="650"/>
      <c r="DF1434" s="650"/>
      <c r="DG1434" s="650"/>
      <c r="DH1434" s="650"/>
      <c r="DI1434" s="551"/>
    </row>
    <row r="1435" s="549" customFormat="1" ht="30" customHeight="1" spans="1:113">
      <c r="A1435" s="641">
        <v>46120</v>
      </c>
      <c r="B1435" s="642" t="s">
        <v>3355</v>
      </c>
      <c r="C1435" s="246" t="s">
        <v>278</v>
      </c>
      <c r="D1435" s="757">
        <v>4500200725</v>
      </c>
      <c r="E1435" s="643">
        <v>15376</v>
      </c>
      <c r="F1435" s="551" t="s">
        <v>9517</v>
      </c>
      <c r="G1435" s="246" t="s">
        <v>6043</v>
      </c>
      <c r="H1435" s="246" t="s">
        <v>6110</v>
      </c>
      <c r="I1435" s="246">
        <v>5000</v>
      </c>
      <c r="J1435" s="246">
        <v>0</v>
      </c>
      <c r="K1435" s="246">
        <v>50</v>
      </c>
      <c r="L1435" s="644">
        <f t="shared" si="522"/>
        <v>100</v>
      </c>
      <c r="M1435" s="645">
        <v>46168</v>
      </c>
      <c r="N1435" s="742">
        <v>46172</v>
      </c>
      <c r="O1435" s="643"/>
      <c r="P1435" s="643" t="s">
        <v>9334</v>
      </c>
      <c r="Q1435" s="246"/>
      <c r="R1435" s="646">
        <v>46120</v>
      </c>
      <c r="S1435" s="646" t="s">
        <v>70</v>
      </c>
      <c r="T1435" s="646" t="s">
        <v>9518</v>
      </c>
      <c r="U1435" s="646"/>
      <c r="V1435" s="646" t="s">
        <v>9519</v>
      </c>
      <c r="W1435" s="744"/>
      <c r="X1435" s="749" t="s">
        <v>9520</v>
      </c>
      <c r="Y1435" s="642" t="s">
        <v>299</v>
      </c>
      <c r="Z1435" s="745">
        <v>0.9696</v>
      </c>
      <c r="AA1435" s="647">
        <f t="shared" ref="AA1435:AA1443" si="562">Z1435*I1435</f>
        <v>4848</v>
      </c>
      <c r="AC1435" s="648"/>
      <c r="AD1435" s="246" t="s">
        <v>7350</v>
      </c>
      <c r="AE1435" s="246" t="s">
        <v>82</v>
      </c>
      <c r="AF1435" s="246"/>
      <c r="AG1435" s="246"/>
      <c r="AH1435" s="246">
        <v>1</v>
      </c>
      <c r="AI1435" s="746">
        <v>5000</v>
      </c>
      <c r="AJ1435" s="246">
        <f t="shared" si="525"/>
        <v>0</v>
      </c>
      <c r="AK1435" s="246"/>
      <c r="AL1435" s="246" t="s">
        <v>2368</v>
      </c>
      <c r="AM1435" s="246"/>
      <c r="AN1435" s="246"/>
      <c r="AO1435" s="551">
        <f>I1435</f>
        <v>5000</v>
      </c>
      <c r="AP1435" s="551"/>
      <c r="AQ1435" s="551"/>
      <c r="AR1435" s="650"/>
      <c r="AS1435" s="551"/>
      <c r="AT1435" s="554">
        <f>I1435</f>
        <v>5000</v>
      </c>
      <c r="AU1435" s="551"/>
      <c r="AV1435" s="554">
        <f>I1435</f>
        <v>5000</v>
      </c>
      <c r="AW1435" s="650"/>
      <c r="AX1435" s="551"/>
      <c r="AY1435" s="551"/>
      <c r="AZ1435" s="551"/>
      <c r="BA1435" s="551"/>
      <c r="BB1435" s="620">
        <f t="shared" si="559"/>
        <v>208.333333333333</v>
      </c>
      <c r="BC1435" s="651"/>
      <c r="BD1435" s="551"/>
      <c r="BE1435" s="551"/>
      <c r="BF1435" s="551"/>
      <c r="BH1435" s="551"/>
      <c r="BI1435" s="551"/>
      <c r="BJ1435" s="551"/>
      <c r="BK1435" s="551"/>
      <c r="BL1435" s="551"/>
      <c r="BM1435" s="551"/>
      <c r="BN1435" s="551"/>
      <c r="BO1435" s="551"/>
      <c r="BP1435" s="551">
        <f>I1435/25</f>
        <v>200</v>
      </c>
      <c r="BQ1435" s="551"/>
      <c r="BR1435" s="551"/>
      <c r="BS1435" s="551"/>
      <c r="BT1435" s="551"/>
      <c r="BU1435" s="551"/>
      <c r="BV1435" s="551"/>
      <c r="BW1435" s="551"/>
      <c r="BX1435" s="551"/>
      <c r="BY1435" s="650"/>
      <c r="BZ1435" s="551"/>
      <c r="CA1435" s="652"/>
      <c r="CB1435" s="747"/>
      <c r="CC1435" s="653"/>
      <c r="CD1435" s="650"/>
      <c r="CE1435" s="650"/>
      <c r="CF1435" s="551"/>
      <c r="CG1435" s="551"/>
      <c r="CI1435" s="551"/>
      <c r="CJ1435" s="551"/>
      <c r="CK1435" s="551"/>
      <c r="CL1435" s="551"/>
      <c r="CM1435" s="551"/>
      <c r="CN1435" s="551"/>
      <c r="CO1435" s="551"/>
      <c r="CP1435" s="551"/>
      <c r="CQ1435" s="551"/>
      <c r="CR1435" s="551"/>
      <c r="CS1435" s="551"/>
      <c r="CT1435" s="551"/>
      <c r="CU1435" s="551">
        <f t="shared" si="558"/>
        <v>200</v>
      </c>
      <c r="CV1435" s="551">
        <f t="shared" si="560"/>
        <v>0</v>
      </c>
      <c r="CW1435" s="551">
        <f t="shared" si="561"/>
        <v>0</v>
      </c>
      <c r="CX1435" s="650"/>
      <c r="CY1435" s="650"/>
      <c r="CZ1435" s="650"/>
      <c r="DA1435" s="551"/>
      <c r="DB1435" s="551"/>
      <c r="DC1435" s="551"/>
      <c r="DD1435" s="650"/>
      <c r="DE1435" s="650"/>
      <c r="DF1435" s="650"/>
      <c r="DG1435" s="650"/>
      <c r="DH1435" s="650"/>
      <c r="DI1435" s="551"/>
    </row>
    <row r="1436" s="549" customFormat="1" ht="31" customHeight="1" spans="1:113">
      <c r="A1436" s="641">
        <v>46120</v>
      </c>
      <c r="B1436" s="642" t="s">
        <v>127</v>
      </c>
      <c r="C1436" s="246" t="s">
        <v>128</v>
      </c>
      <c r="D1436" s="754">
        <v>4500200163</v>
      </c>
      <c r="E1436" s="643">
        <v>86311</v>
      </c>
      <c r="F1436" s="551" t="s">
        <v>9521</v>
      </c>
      <c r="G1436" s="246" t="s">
        <v>6047</v>
      </c>
      <c r="H1436" s="246" t="s">
        <v>6069</v>
      </c>
      <c r="I1436" s="246">
        <v>2500</v>
      </c>
      <c r="J1436" s="246">
        <v>0</v>
      </c>
      <c r="K1436" s="246">
        <v>25</v>
      </c>
      <c r="L1436" s="644">
        <f t="shared" si="522"/>
        <v>100</v>
      </c>
      <c r="M1436" s="645">
        <v>46169</v>
      </c>
      <c r="N1436" s="645">
        <v>46165</v>
      </c>
      <c r="O1436" s="643"/>
      <c r="P1436" s="643" t="s">
        <v>9334</v>
      </c>
      <c r="Q1436" s="246" t="s">
        <v>4000</v>
      </c>
      <c r="R1436" s="646">
        <v>46115</v>
      </c>
      <c r="S1436" s="646" t="s">
        <v>70</v>
      </c>
      <c r="T1436" s="646" t="s">
        <v>7820</v>
      </c>
      <c r="U1436" s="646"/>
      <c r="V1436" s="646"/>
      <c r="W1436" s="744"/>
      <c r="X1436" s="642" t="s">
        <v>7609</v>
      </c>
      <c r="Y1436" s="642" t="s">
        <v>3206</v>
      </c>
      <c r="Z1436" s="642">
        <v>0.9756</v>
      </c>
      <c r="AA1436" s="647">
        <f t="shared" si="562"/>
        <v>2439</v>
      </c>
      <c r="AC1436" s="648"/>
      <c r="AD1436" s="246" t="s">
        <v>6047</v>
      </c>
      <c r="AE1436" s="246" t="s">
        <v>82</v>
      </c>
      <c r="AF1436" s="246"/>
      <c r="AG1436" s="246"/>
      <c r="AH1436" s="246">
        <v>1</v>
      </c>
      <c r="AI1436" s="746">
        <v>2500</v>
      </c>
      <c r="AJ1436" s="246">
        <f t="shared" si="525"/>
        <v>0</v>
      </c>
      <c r="AK1436" s="246"/>
      <c r="AL1436" s="246" t="s">
        <v>2368</v>
      </c>
      <c r="AM1436" s="246"/>
      <c r="AN1436" s="246"/>
      <c r="AO1436" s="551">
        <f>I1436</f>
        <v>2500</v>
      </c>
      <c r="AP1436" s="551"/>
      <c r="AQ1436" s="551"/>
      <c r="AR1436" s="650"/>
      <c r="AS1436" s="551"/>
      <c r="AT1436" s="554">
        <f>I1436</f>
        <v>2500</v>
      </c>
      <c r="AU1436" s="551"/>
      <c r="AV1436" s="554">
        <f>I1436</f>
        <v>2500</v>
      </c>
      <c r="AW1436" s="650"/>
      <c r="AX1436" s="551"/>
      <c r="AY1436" s="551"/>
      <c r="AZ1436" s="551"/>
      <c r="BA1436" s="551"/>
      <c r="BB1436" s="620">
        <f t="shared" si="559"/>
        <v>104.166666666667</v>
      </c>
      <c r="BC1436" s="551"/>
      <c r="BD1436" s="551"/>
      <c r="BE1436" s="551"/>
      <c r="BF1436" s="551"/>
      <c r="BH1436" s="551"/>
      <c r="BI1436" s="551"/>
      <c r="BJ1436" s="551"/>
      <c r="BK1436" s="551"/>
      <c r="BL1436" s="551"/>
      <c r="BM1436" s="551"/>
      <c r="BN1436" s="551"/>
      <c r="BO1436" s="551"/>
      <c r="BP1436" s="551">
        <f>I1436/25</f>
        <v>100</v>
      </c>
      <c r="BQ1436" s="551"/>
      <c r="BR1436" s="551"/>
      <c r="BS1436" s="551"/>
      <c r="BT1436" s="551"/>
      <c r="BU1436" s="551"/>
      <c r="BV1436" s="551"/>
      <c r="BW1436" s="551"/>
      <c r="BX1436" s="551"/>
      <c r="BY1436" s="650"/>
      <c r="BZ1436" s="551"/>
      <c r="CA1436" s="652"/>
      <c r="CB1436" s="747"/>
      <c r="CC1436" s="653"/>
      <c r="CD1436" s="650"/>
      <c r="CE1436" s="650"/>
      <c r="CF1436" s="551"/>
      <c r="CG1436" s="551"/>
      <c r="CI1436" s="551"/>
      <c r="CJ1436" s="551"/>
      <c r="CK1436" s="551"/>
      <c r="CL1436" s="551"/>
      <c r="CM1436" s="551"/>
      <c r="CN1436" s="551"/>
      <c r="CO1436" s="551"/>
      <c r="CP1436" s="551"/>
      <c r="CQ1436" s="551"/>
      <c r="CR1436" s="551"/>
      <c r="CS1436" s="551"/>
      <c r="CT1436" s="551"/>
      <c r="CU1436" s="551">
        <f t="shared" si="558"/>
        <v>100</v>
      </c>
      <c r="CV1436" s="551">
        <f t="shared" si="560"/>
        <v>0</v>
      </c>
      <c r="CW1436" s="551">
        <f t="shared" si="561"/>
        <v>0</v>
      </c>
      <c r="CX1436" s="650"/>
      <c r="CY1436" s="650"/>
      <c r="CZ1436" s="650"/>
      <c r="DA1436" s="551"/>
      <c r="DB1436" s="551"/>
      <c r="DC1436" s="551"/>
      <c r="DD1436" s="650"/>
      <c r="DE1436" s="650"/>
      <c r="DF1436" s="650"/>
      <c r="DG1436" s="650"/>
      <c r="DH1436" s="650"/>
      <c r="DI1436" s="551"/>
    </row>
    <row r="1437" s="549" customFormat="1" ht="31" customHeight="1" spans="1:113">
      <c r="A1437" s="641">
        <v>46101</v>
      </c>
      <c r="B1437" s="642" t="s">
        <v>4008</v>
      </c>
      <c r="C1437" s="246" t="s">
        <v>278</v>
      </c>
      <c r="D1437" s="551">
        <v>4500197236</v>
      </c>
      <c r="E1437" s="246" t="s">
        <v>4009</v>
      </c>
      <c r="F1437" s="551" t="s">
        <v>9522</v>
      </c>
      <c r="G1437" s="246" t="s">
        <v>6365</v>
      </c>
      <c r="H1437" s="246" t="s">
        <v>6126</v>
      </c>
      <c r="I1437" s="246">
        <v>5364</v>
      </c>
      <c r="J1437" s="246">
        <v>0</v>
      </c>
      <c r="K1437" s="246">
        <v>12</v>
      </c>
      <c r="L1437" s="644">
        <f t="shared" si="522"/>
        <v>447</v>
      </c>
      <c r="M1437" s="645">
        <v>46170</v>
      </c>
      <c r="N1437" s="645">
        <v>46167</v>
      </c>
      <c r="O1437" s="643"/>
      <c r="P1437" s="743" t="s">
        <v>9334</v>
      </c>
      <c r="Q1437" s="246"/>
      <c r="R1437" s="646" t="s">
        <v>463</v>
      </c>
      <c r="S1437" s="646" t="s">
        <v>104</v>
      </c>
      <c r="T1437" s="646" t="s">
        <v>9256</v>
      </c>
      <c r="U1437" s="646"/>
      <c r="V1437" s="646"/>
      <c r="W1437" s="744"/>
      <c r="X1437" s="642" t="s">
        <v>9523</v>
      </c>
      <c r="Y1437" s="642" t="s">
        <v>3734</v>
      </c>
      <c r="Z1437" s="745">
        <v>2.1422</v>
      </c>
      <c r="AA1437" s="647">
        <f t="shared" si="562"/>
        <v>11490.7608</v>
      </c>
      <c r="AC1437" s="648"/>
      <c r="AD1437" s="246" t="s">
        <v>6368</v>
      </c>
      <c r="AE1437" s="246" t="s">
        <v>82</v>
      </c>
      <c r="AF1437" s="246"/>
      <c r="AG1437" s="246"/>
      <c r="AH1437" s="246">
        <v>1</v>
      </c>
      <c r="AI1437" s="746">
        <v>5364</v>
      </c>
      <c r="AJ1437" s="246">
        <f t="shared" si="525"/>
        <v>0</v>
      </c>
      <c r="AK1437" s="246"/>
      <c r="AL1437" s="246" t="s">
        <v>454</v>
      </c>
      <c r="AM1437" s="246"/>
      <c r="AN1437" s="246"/>
      <c r="AO1437" s="551">
        <f>I1437*2</f>
        <v>10728</v>
      </c>
      <c r="AP1437" s="551"/>
      <c r="AQ1437" s="551"/>
      <c r="AR1437" s="650"/>
      <c r="AS1437" s="551"/>
      <c r="AT1437" s="551">
        <f>I1437*2</f>
        <v>10728</v>
      </c>
      <c r="AU1437" s="551"/>
      <c r="AV1437" s="551">
        <f>I1437*2</f>
        <v>10728</v>
      </c>
      <c r="AW1437" s="650"/>
      <c r="AX1437" s="551"/>
      <c r="AY1437" s="551"/>
      <c r="AZ1437" s="551"/>
      <c r="BA1437" s="551"/>
      <c r="BB1437" s="249">
        <f>I1437/24*2</f>
        <v>447</v>
      </c>
      <c r="BC1437" s="651"/>
      <c r="BD1437" s="551"/>
      <c r="BE1437" s="551"/>
      <c r="BF1437" s="551"/>
      <c r="BH1437" s="551"/>
      <c r="BI1437" s="551"/>
      <c r="BJ1437" s="551"/>
      <c r="BK1437" s="551"/>
      <c r="BL1437" s="551"/>
      <c r="BM1437" s="551"/>
      <c r="BN1437" s="551"/>
      <c r="BO1437" s="551"/>
      <c r="BP1437" s="551"/>
      <c r="BQ1437" s="551"/>
      <c r="BR1437" s="551"/>
      <c r="BS1437" s="551"/>
      <c r="BT1437" s="551"/>
      <c r="BU1437" s="551"/>
      <c r="BV1437" s="551"/>
      <c r="BW1437" s="551"/>
      <c r="BX1437" s="551"/>
      <c r="BY1437" s="650"/>
      <c r="BZ1437" s="551"/>
      <c r="CA1437" s="652"/>
      <c r="CB1437" s="747"/>
      <c r="CC1437" s="653"/>
      <c r="CD1437" s="650"/>
      <c r="CE1437" s="650"/>
      <c r="CF1437" s="551"/>
      <c r="CG1437" s="551"/>
      <c r="CI1437" s="551"/>
      <c r="CJ1437" s="551"/>
      <c r="CK1437" s="551"/>
      <c r="CL1437" s="551"/>
      <c r="CM1437" s="551"/>
      <c r="CN1437" s="551"/>
      <c r="CO1437" s="551"/>
      <c r="CP1437" s="551"/>
      <c r="CQ1437" s="551"/>
      <c r="CR1437" s="551">
        <f>I1437</f>
        <v>5364</v>
      </c>
      <c r="CS1437" s="551">
        <f>I1437</f>
        <v>5364</v>
      </c>
      <c r="CT1437" s="551">
        <f>I1437</f>
        <v>5364</v>
      </c>
      <c r="CU1437" s="551">
        <f t="shared" si="558"/>
        <v>0</v>
      </c>
      <c r="CV1437" s="551">
        <f t="shared" si="560"/>
        <v>0</v>
      </c>
      <c r="CW1437" s="551">
        <f t="shared" si="561"/>
        <v>0</v>
      </c>
      <c r="CX1437" s="650"/>
      <c r="CY1437" s="650"/>
      <c r="CZ1437" s="650"/>
      <c r="DA1437" s="551"/>
      <c r="DB1437" s="551"/>
      <c r="DC1437" s="551"/>
      <c r="DD1437" s="650"/>
      <c r="DE1437" s="650"/>
      <c r="DF1437" s="650"/>
      <c r="DG1437" s="650"/>
      <c r="DH1437" s="650"/>
      <c r="DI1437" s="551"/>
    </row>
    <row r="1438" s="549" customFormat="1" ht="31" customHeight="1" spans="1:113">
      <c r="A1438" s="641">
        <v>46101</v>
      </c>
      <c r="B1438" s="642" t="s">
        <v>4008</v>
      </c>
      <c r="C1438" s="246" t="s">
        <v>278</v>
      </c>
      <c r="D1438" s="551">
        <v>4500197236</v>
      </c>
      <c r="E1438" s="246" t="s">
        <v>4009</v>
      </c>
      <c r="F1438" s="551" t="s">
        <v>4115</v>
      </c>
      <c r="G1438" s="246" t="s">
        <v>6337</v>
      </c>
      <c r="H1438" s="246" t="s">
        <v>477</v>
      </c>
      <c r="I1438" s="706">
        <v>1716</v>
      </c>
      <c r="J1438" s="246">
        <v>0</v>
      </c>
      <c r="K1438" s="246">
        <v>6</v>
      </c>
      <c r="L1438" s="644">
        <f t="shared" si="522"/>
        <v>286</v>
      </c>
      <c r="M1438" s="645">
        <v>46170</v>
      </c>
      <c r="N1438" s="645">
        <v>46167</v>
      </c>
      <c r="O1438" s="643"/>
      <c r="P1438" s="743" t="s">
        <v>9334</v>
      </c>
      <c r="Q1438" s="246"/>
      <c r="R1438" s="646" t="s">
        <v>463</v>
      </c>
      <c r="S1438" s="646" t="s">
        <v>104</v>
      </c>
      <c r="T1438" s="646" t="s">
        <v>9256</v>
      </c>
      <c r="U1438" s="646"/>
      <c r="V1438" s="646"/>
      <c r="W1438" s="744"/>
      <c r="X1438" s="642" t="s">
        <v>9524</v>
      </c>
      <c r="Y1438" s="642" t="s">
        <v>3734</v>
      </c>
      <c r="Z1438" s="655">
        <v>6.8326</v>
      </c>
      <c r="AA1438" s="647">
        <f t="shared" si="562"/>
        <v>11724.7416</v>
      </c>
      <c r="AC1438" s="648"/>
      <c r="AD1438" s="246" t="s">
        <v>480</v>
      </c>
      <c r="AE1438" s="246" t="s">
        <v>82</v>
      </c>
      <c r="AF1438" s="246"/>
      <c r="AG1438" s="246"/>
      <c r="AH1438" s="609">
        <v>1</v>
      </c>
      <c r="AI1438" s="750">
        <f>1068+648</f>
        <v>1716</v>
      </c>
      <c r="AJ1438" s="246">
        <f t="shared" si="525"/>
        <v>0</v>
      </c>
      <c r="AK1438" s="246"/>
      <c r="AL1438" s="246" t="s">
        <v>2368</v>
      </c>
      <c r="AM1438" s="246"/>
      <c r="AN1438" s="246"/>
      <c r="AO1438" s="551">
        <f>I1438*2</f>
        <v>3432</v>
      </c>
      <c r="AP1438" s="551"/>
      <c r="AQ1438" s="551"/>
      <c r="AR1438" s="650"/>
      <c r="AS1438" s="551"/>
      <c r="AT1438" s="551">
        <f>I1438*2</f>
        <v>3432</v>
      </c>
      <c r="AU1438" s="551"/>
      <c r="AV1438" s="551">
        <f>I1438*2</f>
        <v>3432</v>
      </c>
      <c r="AW1438" s="650"/>
      <c r="AX1438" s="551"/>
      <c r="AY1438" s="551"/>
      <c r="AZ1438" s="551"/>
      <c r="BA1438" s="551"/>
      <c r="BB1438" s="620">
        <f>I1438/24*2</f>
        <v>143</v>
      </c>
      <c r="BC1438" s="651"/>
      <c r="BD1438" s="551"/>
      <c r="BE1438" s="551"/>
      <c r="BF1438" s="551"/>
      <c r="BH1438" s="551"/>
      <c r="BI1438" s="551"/>
      <c r="BJ1438" s="551"/>
      <c r="BK1438" s="551"/>
      <c r="BL1438" s="551"/>
      <c r="BM1438" s="551"/>
      <c r="BN1438" s="551"/>
      <c r="BO1438" s="551"/>
      <c r="BP1438" s="551"/>
      <c r="BQ1438" s="551"/>
      <c r="BR1438" s="551"/>
      <c r="BS1438" s="551"/>
      <c r="BT1438" s="551"/>
      <c r="BU1438" s="551"/>
      <c r="BV1438" s="551"/>
      <c r="BW1438" s="551"/>
      <c r="BX1438" s="551"/>
      <c r="BY1438" s="650"/>
      <c r="BZ1438" s="551"/>
      <c r="CA1438" s="652"/>
      <c r="CB1438" s="747"/>
      <c r="CC1438" s="653"/>
      <c r="CD1438" s="650">
        <f>I1438</f>
        <v>1716</v>
      </c>
      <c r="CE1438" s="650"/>
      <c r="CF1438" s="551"/>
      <c r="CG1438" s="551"/>
      <c r="CI1438" s="551"/>
      <c r="CJ1438" s="551"/>
      <c r="CK1438" s="551"/>
      <c r="CL1438" s="551"/>
      <c r="CM1438" s="551"/>
      <c r="CN1438" s="551"/>
      <c r="CO1438" s="551"/>
      <c r="CP1438" s="551"/>
      <c r="CQ1438" s="551"/>
      <c r="CR1438" s="551"/>
      <c r="CS1438" s="551"/>
      <c r="CT1438" s="551"/>
      <c r="CU1438" s="551">
        <f t="shared" si="558"/>
        <v>0</v>
      </c>
      <c r="CV1438" s="551">
        <v>0</v>
      </c>
      <c r="CW1438" s="551">
        <v>0</v>
      </c>
      <c r="CX1438" s="650"/>
      <c r="CY1438" s="650"/>
      <c r="CZ1438" s="650"/>
      <c r="DA1438" s="551"/>
      <c r="DB1438" s="551"/>
      <c r="DC1438" s="551"/>
      <c r="DD1438" s="650"/>
      <c r="DE1438" s="650"/>
      <c r="DF1438" s="650"/>
      <c r="DG1438" s="650"/>
      <c r="DH1438" s="650"/>
      <c r="DI1438" s="551"/>
    </row>
    <row r="1439" s="549" customFormat="1" ht="31" customHeight="1" spans="1:113">
      <c r="A1439" s="641">
        <v>46115</v>
      </c>
      <c r="B1439" s="642" t="s">
        <v>1800</v>
      </c>
      <c r="C1439" s="246" t="s">
        <v>744</v>
      </c>
      <c r="D1439" s="551">
        <v>4500198503</v>
      </c>
      <c r="E1439" s="246">
        <v>5000002156</v>
      </c>
      <c r="F1439" s="551" t="s">
        <v>9525</v>
      </c>
      <c r="G1439" s="246" t="s">
        <v>6093</v>
      </c>
      <c r="H1439" s="693" t="s">
        <v>7359</v>
      </c>
      <c r="I1439" s="706">
        <v>2600</v>
      </c>
      <c r="J1439" s="246">
        <v>0</v>
      </c>
      <c r="K1439" s="246">
        <v>13</v>
      </c>
      <c r="L1439" s="644">
        <f t="shared" si="522"/>
        <v>200</v>
      </c>
      <c r="M1439" s="645">
        <v>46171</v>
      </c>
      <c r="N1439" s="645">
        <f>M1439-4</f>
        <v>46167</v>
      </c>
      <c r="O1439" s="643"/>
      <c r="P1439" s="613" t="s">
        <v>9334</v>
      </c>
      <c r="Q1439" s="246"/>
      <c r="R1439" s="646" t="s">
        <v>3299</v>
      </c>
      <c r="S1439" s="646" t="s">
        <v>104</v>
      </c>
      <c r="T1439" s="646" t="s">
        <v>8723</v>
      </c>
      <c r="U1439" s="646"/>
      <c r="V1439" s="646"/>
      <c r="W1439" s="744"/>
      <c r="X1439" s="642" t="s">
        <v>4119</v>
      </c>
      <c r="Y1439" s="642" t="s">
        <v>1805</v>
      </c>
      <c r="Z1439" s="745">
        <v>0.8677</v>
      </c>
      <c r="AA1439" s="647">
        <f t="shared" si="562"/>
        <v>2256.02</v>
      </c>
      <c r="AC1439" s="648"/>
      <c r="AD1439" s="246" t="s">
        <v>8338</v>
      </c>
      <c r="AE1439" s="246" t="s">
        <v>82</v>
      </c>
      <c r="AF1439" s="246"/>
      <c r="AG1439" s="246"/>
      <c r="AH1439" s="609">
        <v>1</v>
      </c>
      <c r="AI1439" s="750">
        <v>2600</v>
      </c>
      <c r="AJ1439" s="246">
        <f t="shared" si="525"/>
        <v>0</v>
      </c>
      <c r="AK1439" s="246"/>
      <c r="AL1439" s="246" t="s">
        <v>454</v>
      </c>
      <c r="AM1439" s="246"/>
      <c r="AN1439" s="646"/>
      <c r="AO1439" s="551">
        <f>I1439</f>
        <v>2600</v>
      </c>
      <c r="AP1439" s="551"/>
      <c r="AQ1439" s="551"/>
      <c r="AR1439" s="650"/>
      <c r="AS1439" s="551"/>
      <c r="AT1439" s="551"/>
      <c r="AU1439" s="551"/>
      <c r="AV1439" s="551"/>
      <c r="AW1439" s="650">
        <f>I1439</f>
        <v>2600</v>
      </c>
      <c r="AX1439" s="554">
        <f>I1439</f>
        <v>2600</v>
      </c>
      <c r="AY1439" s="551"/>
      <c r="AZ1439" s="551"/>
      <c r="BA1439" s="651">
        <f>I1439/24*2</f>
        <v>216.666666666667</v>
      </c>
      <c r="BB1439" s="249"/>
      <c r="BC1439" s="551"/>
      <c r="BD1439" s="551"/>
      <c r="BE1439" s="551"/>
      <c r="BF1439" s="551"/>
      <c r="BH1439" s="551"/>
      <c r="BI1439" s="551"/>
      <c r="BJ1439" s="551"/>
      <c r="BK1439" s="551"/>
      <c r="BL1439" s="551"/>
      <c r="BM1439" s="551">
        <f>I1439/13</f>
        <v>200</v>
      </c>
      <c r="BN1439" s="551"/>
      <c r="BO1439" s="551"/>
      <c r="BP1439" s="551"/>
      <c r="BQ1439" s="551"/>
      <c r="BR1439" s="551"/>
      <c r="BS1439" s="551"/>
      <c r="BT1439" s="551"/>
      <c r="BU1439" s="551"/>
      <c r="BV1439" s="551"/>
      <c r="BW1439" s="551"/>
      <c r="BX1439" s="551"/>
      <c r="BY1439" s="650"/>
      <c r="BZ1439" s="551"/>
      <c r="CA1439" s="652"/>
      <c r="CB1439" s="747"/>
      <c r="CC1439" s="653"/>
      <c r="CD1439" s="650"/>
      <c r="CE1439" s="650"/>
      <c r="CF1439" s="551"/>
      <c r="CG1439" s="551"/>
      <c r="CI1439" s="551"/>
      <c r="CJ1439" s="551"/>
      <c r="CK1439" s="551"/>
      <c r="CL1439" s="551"/>
      <c r="CM1439" s="551"/>
      <c r="CN1439" s="551"/>
      <c r="CO1439" s="551"/>
      <c r="CP1439" s="551"/>
      <c r="CQ1439" s="551"/>
      <c r="CR1439" s="551"/>
      <c r="CS1439" s="551"/>
      <c r="CT1439" s="551"/>
      <c r="CU1439" s="551">
        <f t="shared" si="558"/>
        <v>0</v>
      </c>
      <c r="CV1439" s="551">
        <v>0</v>
      </c>
      <c r="CW1439" s="551">
        <v>0</v>
      </c>
      <c r="CX1439" s="650"/>
      <c r="CY1439" s="650"/>
      <c r="CZ1439" s="650"/>
      <c r="DA1439" s="551"/>
      <c r="DB1439" s="551"/>
      <c r="DC1439" s="551"/>
      <c r="DD1439" s="650"/>
      <c r="DE1439" s="650"/>
      <c r="DF1439" s="650"/>
      <c r="DG1439" s="650"/>
      <c r="DH1439" s="650"/>
      <c r="DI1439" s="551"/>
    </row>
    <row r="1440" s="549" customFormat="1" ht="31" customHeight="1" spans="1:113">
      <c r="A1440" s="641">
        <v>46115</v>
      </c>
      <c r="B1440" s="642" t="s">
        <v>1800</v>
      </c>
      <c r="C1440" s="246" t="s">
        <v>744</v>
      </c>
      <c r="D1440" s="551">
        <v>4500198503</v>
      </c>
      <c r="E1440" s="246">
        <v>5000002156</v>
      </c>
      <c r="F1440" s="551" t="s">
        <v>9526</v>
      </c>
      <c r="G1440" s="246" t="s">
        <v>6093</v>
      </c>
      <c r="H1440" s="693" t="s">
        <v>7359</v>
      </c>
      <c r="I1440" s="706">
        <v>25012</v>
      </c>
      <c r="J1440" s="246">
        <v>0</v>
      </c>
      <c r="K1440" s="246">
        <v>13</v>
      </c>
      <c r="L1440" s="644">
        <f t="shared" si="522"/>
        <v>1924</v>
      </c>
      <c r="M1440" s="645">
        <v>46171</v>
      </c>
      <c r="N1440" s="645">
        <f>M1440-4</f>
        <v>46167</v>
      </c>
      <c r="O1440" s="643"/>
      <c r="P1440" s="613" t="s">
        <v>9334</v>
      </c>
      <c r="Q1440" s="246"/>
      <c r="R1440" s="646" t="s">
        <v>3299</v>
      </c>
      <c r="S1440" s="646" t="s">
        <v>104</v>
      </c>
      <c r="T1440" s="646" t="s">
        <v>8723</v>
      </c>
      <c r="U1440" s="646"/>
      <c r="V1440" s="646"/>
      <c r="W1440" s="744"/>
      <c r="X1440" s="642" t="s">
        <v>4119</v>
      </c>
      <c r="Y1440" s="642" t="s">
        <v>1805</v>
      </c>
      <c r="Z1440" s="745">
        <v>0.8677</v>
      </c>
      <c r="AA1440" s="647">
        <f t="shared" si="562"/>
        <v>21702.9124</v>
      </c>
      <c r="AC1440" s="648"/>
      <c r="AD1440" s="246" t="s">
        <v>8338</v>
      </c>
      <c r="AE1440" s="246" t="s">
        <v>82</v>
      </c>
      <c r="AF1440" s="246"/>
      <c r="AG1440" s="246"/>
      <c r="AH1440" s="609">
        <v>1</v>
      </c>
      <c r="AI1440" s="750">
        <v>25012</v>
      </c>
      <c r="AJ1440" s="246">
        <f t="shared" si="525"/>
        <v>0</v>
      </c>
      <c r="AK1440" s="246"/>
      <c r="AL1440" s="246" t="s">
        <v>454</v>
      </c>
      <c r="AM1440" s="246"/>
      <c r="AN1440" s="646"/>
      <c r="AO1440" s="551">
        <f>I1440</f>
        <v>25012</v>
      </c>
      <c r="AP1440" s="551"/>
      <c r="AQ1440" s="551"/>
      <c r="AR1440" s="650"/>
      <c r="AS1440" s="551"/>
      <c r="AT1440" s="551"/>
      <c r="AU1440" s="551"/>
      <c r="AV1440" s="551"/>
      <c r="AW1440" s="650">
        <f>I1440</f>
        <v>25012</v>
      </c>
      <c r="AX1440" s="554">
        <f>I1440</f>
        <v>25012</v>
      </c>
      <c r="AY1440" s="551"/>
      <c r="AZ1440" s="551"/>
      <c r="BA1440" s="651">
        <f>I1440/24*2</f>
        <v>2084.33333333333</v>
      </c>
      <c r="BB1440" s="249"/>
      <c r="BC1440" s="551"/>
      <c r="BD1440" s="551"/>
      <c r="BE1440" s="551"/>
      <c r="BF1440" s="551"/>
      <c r="BH1440" s="551"/>
      <c r="BI1440" s="551"/>
      <c r="BJ1440" s="551"/>
      <c r="BK1440" s="551"/>
      <c r="BL1440" s="551"/>
      <c r="BM1440" s="551">
        <f>I1440/13</f>
        <v>1924</v>
      </c>
      <c r="BN1440" s="551"/>
      <c r="BO1440" s="551"/>
      <c r="BP1440" s="551"/>
      <c r="BQ1440" s="551"/>
      <c r="BR1440" s="551"/>
      <c r="BS1440" s="551"/>
      <c r="BT1440" s="551"/>
      <c r="BU1440" s="551"/>
      <c r="BV1440" s="551"/>
      <c r="BW1440" s="551"/>
      <c r="BX1440" s="551"/>
      <c r="BY1440" s="650"/>
      <c r="BZ1440" s="551"/>
      <c r="CA1440" s="652"/>
      <c r="CB1440" s="747"/>
      <c r="CC1440" s="653"/>
      <c r="CD1440" s="650"/>
      <c r="CE1440" s="650"/>
      <c r="CF1440" s="551"/>
      <c r="CG1440" s="551"/>
      <c r="CI1440" s="551"/>
      <c r="CJ1440" s="551"/>
      <c r="CK1440" s="551"/>
      <c r="CL1440" s="551"/>
      <c r="CM1440" s="551"/>
      <c r="CN1440" s="551"/>
      <c r="CO1440" s="551"/>
      <c r="CP1440" s="551"/>
      <c r="CQ1440" s="551"/>
      <c r="CR1440" s="551"/>
      <c r="CS1440" s="551"/>
      <c r="CT1440" s="551"/>
      <c r="CU1440" s="551">
        <f t="shared" si="558"/>
        <v>0</v>
      </c>
      <c r="CV1440" s="551">
        <v>0</v>
      </c>
      <c r="CW1440" s="551">
        <v>0</v>
      </c>
      <c r="CX1440" s="650"/>
      <c r="CY1440" s="650"/>
      <c r="CZ1440" s="650"/>
      <c r="DA1440" s="551"/>
      <c r="DB1440" s="551"/>
      <c r="DC1440" s="551"/>
      <c r="DD1440" s="650"/>
      <c r="DE1440" s="650"/>
      <c r="DF1440" s="650"/>
      <c r="DG1440" s="650"/>
      <c r="DH1440" s="650"/>
      <c r="DI1440" s="551"/>
    </row>
    <row r="1441" s="549" customFormat="1" ht="31" customHeight="1" spans="1:113">
      <c r="A1441" s="641">
        <v>46115</v>
      </c>
      <c r="B1441" s="642" t="s">
        <v>1800</v>
      </c>
      <c r="C1441" s="246" t="s">
        <v>744</v>
      </c>
      <c r="D1441" s="551">
        <v>4500198503</v>
      </c>
      <c r="E1441" s="246">
        <v>5000002156</v>
      </c>
      <c r="F1441" s="551" t="s">
        <v>4118</v>
      </c>
      <c r="G1441" s="246" t="s">
        <v>6337</v>
      </c>
      <c r="H1441" s="246" t="s">
        <v>477</v>
      </c>
      <c r="I1441" s="706">
        <v>2400</v>
      </c>
      <c r="J1441" s="246">
        <v>0</v>
      </c>
      <c r="K1441" s="246">
        <v>6</v>
      </c>
      <c r="L1441" s="644">
        <f t="shared" si="522"/>
        <v>400</v>
      </c>
      <c r="M1441" s="645">
        <v>46171</v>
      </c>
      <c r="N1441" s="645">
        <f>M1441-4</f>
        <v>46167</v>
      </c>
      <c r="O1441" s="643"/>
      <c r="P1441" s="613" t="s">
        <v>9334</v>
      </c>
      <c r="Q1441" s="246"/>
      <c r="R1441" s="646" t="s">
        <v>3299</v>
      </c>
      <c r="S1441" s="646" t="s">
        <v>104</v>
      </c>
      <c r="T1441" s="646" t="s">
        <v>2239</v>
      </c>
      <c r="U1441" s="646"/>
      <c r="V1441" s="646"/>
      <c r="W1441" s="744"/>
      <c r="X1441" s="642" t="s">
        <v>4119</v>
      </c>
      <c r="Y1441" s="642" t="s">
        <v>1805</v>
      </c>
      <c r="Z1441" s="745">
        <v>6.3788</v>
      </c>
      <c r="AA1441" s="647">
        <f t="shared" si="562"/>
        <v>15309.12</v>
      </c>
      <c r="AC1441" s="648"/>
      <c r="AD1441" s="246" t="s">
        <v>2241</v>
      </c>
      <c r="AE1441" s="246" t="s">
        <v>82</v>
      </c>
      <c r="AF1441" s="246"/>
      <c r="AG1441" s="246"/>
      <c r="AH1441" s="609">
        <v>1</v>
      </c>
      <c r="AI1441" s="750">
        <v>2400</v>
      </c>
      <c r="AJ1441" s="246">
        <f t="shared" si="525"/>
        <v>0</v>
      </c>
      <c r="AK1441" s="246"/>
      <c r="AL1441" s="246" t="s">
        <v>454</v>
      </c>
      <c r="AM1441" s="246"/>
      <c r="AN1441" s="646"/>
      <c r="AO1441" s="551">
        <f>I1441*2</f>
        <v>4800</v>
      </c>
      <c r="AP1441" s="551"/>
      <c r="AQ1441" s="551"/>
      <c r="AR1441" s="650"/>
      <c r="AS1441" s="551"/>
      <c r="AT1441" s="551">
        <f>I1441*2</f>
        <v>4800</v>
      </c>
      <c r="AU1441" s="551"/>
      <c r="AV1441" s="551"/>
      <c r="AW1441" s="650"/>
      <c r="AX1441" s="551">
        <f>I1441*2</f>
        <v>4800</v>
      </c>
      <c r="AY1441" s="551"/>
      <c r="AZ1441" s="551"/>
      <c r="BA1441" s="671">
        <f>I1441/24*2</f>
        <v>200</v>
      </c>
      <c r="BB1441" s="249"/>
      <c r="BC1441" s="551"/>
      <c r="BD1441" s="551"/>
      <c r="BE1441" s="551"/>
      <c r="BF1441" s="551"/>
      <c r="BH1441" s="551"/>
      <c r="BI1441" s="551"/>
      <c r="BJ1441" s="551"/>
      <c r="BK1441" s="551"/>
      <c r="BL1441" s="551"/>
      <c r="BM1441" s="551"/>
      <c r="BN1441" s="551"/>
      <c r="BO1441" s="551"/>
      <c r="BP1441" s="551"/>
      <c r="BQ1441" s="551"/>
      <c r="BR1441" s="551"/>
      <c r="BS1441" s="551"/>
      <c r="BT1441" s="551"/>
      <c r="BU1441" s="551"/>
      <c r="BV1441" s="551"/>
      <c r="BW1441" s="551"/>
      <c r="BX1441" s="551"/>
      <c r="BY1441" s="650"/>
      <c r="BZ1441" s="551">
        <f>I1441</f>
        <v>2400</v>
      </c>
      <c r="CA1441" s="652"/>
      <c r="CB1441" s="747"/>
      <c r="CC1441" s="653"/>
      <c r="CD1441" s="650"/>
      <c r="CE1441" s="650"/>
      <c r="CF1441" s="551"/>
      <c r="CG1441" s="551"/>
      <c r="CI1441" s="551"/>
      <c r="CJ1441" s="551"/>
      <c r="CK1441" s="551"/>
      <c r="CL1441" s="551"/>
      <c r="CM1441" s="551"/>
      <c r="CN1441" s="551"/>
      <c r="CO1441" s="551"/>
      <c r="CP1441" s="551"/>
      <c r="CQ1441" s="551"/>
      <c r="CR1441" s="551"/>
      <c r="CS1441" s="551"/>
      <c r="CT1441" s="551"/>
      <c r="CU1441" s="551">
        <f t="shared" si="558"/>
        <v>0</v>
      </c>
      <c r="CV1441" s="551">
        <v>0</v>
      </c>
      <c r="CW1441" s="551">
        <v>0</v>
      </c>
      <c r="CX1441" s="650"/>
      <c r="CY1441" s="650"/>
      <c r="CZ1441" s="650"/>
      <c r="DA1441" s="551"/>
      <c r="DB1441" s="551"/>
      <c r="DC1441" s="551"/>
      <c r="DD1441" s="650"/>
      <c r="DE1441" s="650"/>
      <c r="DF1441" s="650"/>
      <c r="DG1441" s="650"/>
      <c r="DH1441" s="650"/>
      <c r="DI1441" s="551"/>
    </row>
    <row r="1442" s="549" customFormat="1" ht="31" customHeight="1" spans="1:113">
      <c r="A1442" s="641">
        <v>46115</v>
      </c>
      <c r="B1442" s="642" t="s">
        <v>1800</v>
      </c>
      <c r="C1442" s="246" t="s">
        <v>744</v>
      </c>
      <c r="D1442" s="551">
        <v>4500198503</v>
      </c>
      <c r="E1442" s="246">
        <v>5000002156</v>
      </c>
      <c r="F1442" s="551" t="s">
        <v>4120</v>
      </c>
      <c r="G1442" s="246" t="s">
        <v>6337</v>
      </c>
      <c r="H1442" s="246" t="s">
        <v>477</v>
      </c>
      <c r="I1442" s="706">
        <v>3000</v>
      </c>
      <c r="J1442" s="246">
        <v>0</v>
      </c>
      <c r="K1442" s="246">
        <v>6</v>
      </c>
      <c r="L1442" s="644">
        <f t="shared" ref="L1442:L1470" si="563">I1442/K1442</f>
        <v>500</v>
      </c>
      <c r="M1442" s="645">
        <v>46171</v>
      </c>
      <c r="N1442" s="645">
        <f>M1442-4</f>
        <v>46167</v>
      </c>
      <c r="O1442" s="643"/>
      <c r="P1442" s="613" t="s">
        <v>9334</v>
      </c>
      <c r="Q1442" s="246"/>
      <c r="R1442" s="646" t="s">
        <v>3299</v>
      </c>
      <c r="S1442" s="646" t="s">
        <v>104</v>
      </c>
      <c r="T1442" s="646" t="s">
        <v>2239</v>
      </c>
      <c r="U1442" s="646"/>
      <c r="V1442" s="646"/>
      <c r="W1442" s="744"/>
      <c r="X1442" s="642" t="s">
        <v>4119</v>
      </c>
      <c r="Y1442" s="642" t="s">
        <v>1805</v>
      </c>
      <c r="Z1442" s="745">
        <v>6.3788</v>
      </c>
      <c r="AA1442" s="647">
        <f t="shared" si="562"/>
        <v>19136.4</v>
      </c>
      <c r="AC1442" s="648"/>
      <c r="AD1442" s="246" t="s">
        <v>2241</v>
      </c>
      <c r="AE1442" s="246" t="s">
        <v>82</v>
      </c>
      <c r="AF1442" s="246"/>
      <c r="AG1442" s="246"/>
      <c r="AH1442" s="609">
        <v>1</v>
      </c>
      <c r="AI1442" s="750">
        <v>3000</v>
      </c>
      <c r="AJ1442" s="246">
        <f t="shared" ref="AJ1442:AJ1474" si="564">AI1442-I1442</f>
        <v>0</v>
      </c>
      <c r="AK1442" s="246"/>
      <c r="AL1442" s="246" t="s">
        <v>454</v>
      </c>
      <c r="AM1442" s="246"/>
      <c r="AN1442" s="646"/>
      <c r="AO1442" s="551">
        <f>I1442*2</f>
        <v>6000</v>
      </c>
      <c r="AP1442" s="551"/>
      <c r="AQ1442" s="551"/>
      <c r="AR1442" s="650"/>
      <c r="AS1442" s="551"/>
      <c r="AT1442" s="551">
        <f>I1442*2</f>
        <v>6000</v>
      </c>
      <c r="AU1442" s="551"/>
      <c r="AV1442" s="551"/>
      <c r="AW1442" s="650"/>
      <c r="AX1442" s="551">
        <f>I1442*2</f>
        <v>6000</v>
      </c>
      <c r="AY1442" s="551"/>
      <c r="AZ1442" s="551"/>
      <c r="BA1442" s="671">
        <f>I1442/24*2</f>
        <v>250</v>
      </c>
      <c r="BB1442" s="249"/>
      <c r="BC1442" s="551"/>
      <c r="BD1442" s="551"/>
      <c r="BE1442" s="551"/>
      <c r="BF1442" s="551"/>
      <c r="BH1442" s="551"/>
      <c r="BI1442" s="551"/>
      <c r="BJ1442" s="551"/>
      <c r="BK1442" s="551"/>
      <c r="BL1442" s="551"/>
      <c r="BM1442" s="551"/>
      <c r="BN1442" s="551"/>
      <c r="BO1442" s="551"/>
      <c r="BP1442" s="551"/>
      <c r="BQ1442" s="551"/>
      <c r="BR1442" s="551"/>
      <c r="BS1442" s="551"/>
      <c r="BT1442" s="551"/>
      <c r="BU1442" s="551"/>
      <c r="BV1442" s="551"/>
      <c r="BW1442" s="551"/>
      <c r="BX1442" s="551"/>
      <c r="BY1442" s="650"/>
      <c r="BZ1442" s="551">
        <f>I1442</f>
        <v>3000</v>
      </c>
      <c r="CA1442" s="652"/>
      <c r="CB1442" s="747"/>
      <c r="CC1442" s="653"/>
      <c r="CD1442" s="650"/>
      <c r="CE1442" s="650"/>
      <c r="CF1442" s="551"/>
      <c r="CG1442" s="551"/>
      <c r="CI1442" s="551"/>
      <c r="CJ1442" s="551"/>
      <c r="CK1442" s="551"/>
      <c r="CL1442" s="551"/>
      <c r="CM1442" s="551"/>
      <c r="CN1442" s="551"/>
      <c r="CO1442" s="551"/>
      <c r="CP1442" s="551"/>
      <c r="CQ1442" s="551"/>
      <c r="CR1442" s="551"/>
      <c r="CS1442" s="551"/>
      <c r="CT1442" s="551"/>
      <c r="CU1442" s="551">
        <f t="shared" ref="CU1442:CU1470" si="565">BQ1442+BP1442+BO1442+BN1442+BX1442+BR1442</f>
        <v>0</v>
      </c>
      <c r="CV1442" s="551">
        <v>0</v>
      </c>
      <c r="CW1442" s="551">
        <v>0</v>
      </c>
      <c r="CX1442" s="650"/>
      <c r="CY1442" s="650"/>
      <c r="CZ1442" s="650"/>
      <c r="DA1442" s="551"/>
      <c r="DB1442" s="551"/>
      <c r="DC1442" s="551"/>
      <c r="DD1442" s="650"/>
      <c r="DE1442" s="650"/>
      <c r="DF1442" s="650"/>
      <c r="DG1442" s="650"/>
      <c r="DH1442" s="650"/>
      <c r="DI1442" s="551"/>
    </row>
    <row r="1443" s="549" customFormat="1" ht="31" customHeight="1" spans="1:113">
      <c r="A1443" s="641">
        <v>46101</v>
      </c>
      <c r="B1443" s="642" t="s">
        <v>3715</v>
      </c>
      <c r="C1443" s="246" t="s">
        <v>98</v>
      </c>
      <c r="D1443" s="551">
        <v>4500197808</v>
      </c>
      <c r="E1443" s="246">
        <v>41201443</v>
      </c>
      <c r="F1443" s="551" t="s">
        <v>9527</v>
      </c>
      <c r="G1443" s="246" t="s">
        <v>6084</v>
      </c>
      <c r="H1443" s="246" t="s">
        <v>6085</v>
      </c>
      <c r="I1443" s="246">
        <v>2800</v>
      </c>
      <c r="J1443" s="246">
        <v>0</v>
      </c>
      <c r="K1443" s="246">
        <v>25</v>
      </c>
      <c r="L1443" s="644">
        <f t="shared" si="563"/>
        <v>112</v>
      </c>
      <c r="M1443" s="645">
        <v>46171</v>
      </c>
      <c r="N1443" s="645">
        <v>46167</v>
      </c>
      <c r="O1443" s="643"/>
      <c r="P1443" s="643" t="s">
        <v>9433</v>
      </c>
      <c r="Q1443" s="246" t="s">
        <v>9528</v>
      </c>
      <c r="R1443" s="646">
        <v>46119</v>
      </c>
      <c r="S1443" s="646" t="s">
        <v>104</v>
      </c>
      <c r="T1443" s="646">
        <v>46123</v>
      </c>
      <c r="U1443" s="646"/>
      <c r="V1443" s="646"/>
      <c r="W1443" s="744"/>
      <c r="X1443" s="642" t="s">
        <v>9529</v>
      </c>
      <c r="Y1443" s="642" t="s">
        <v>3717</v>
      </c>
      <c r="Z1443" s="745">
        <v>0.5914</v>
      </c>
      <c r="AA1443" s="647">
        <f t="shared" si="562"/>
        <v>1655.92</v>
      </c>
      <c r="AC1443" s="658" t="s">
        <v>4024</v>
      </c>
      <c r="AD1443" s="246" t="s">
        <v>6089</v>
      </c>
      <c r="AE1443" s="246" t="s">
        <v>82</v>
      </c>
      <c r="AF1443" s="246"/>
      <c r="AG1443" s="246"/>
      <c r="AH1443" s="246">
        <v>1</v>
      </c>
      <c r="AI1443" s="246">
        <v>2800</v>
      </c>
      <c r="AJ1443" s="246">
        <f t="shared" si="564"/>
        <v>0</v>
      </c>
      <c r="AK1443" s="246"/>
      <c r="AL1443" s="246" t="s">
        <v>2368</v>
      </c>
      <c r="AM1443" s="246"/>
      <c r="AN1443" s="246">
        <f>I1443</f>
        <v>2800</v>
      </c>
      <c r="AO1443" s="551"/>
      <c r="AP1443" s="551"/>
      <c r="AQ1443" s="551"/>
      <c r="AR1443" s="650"/>
      <c r="AS1443" s="551">
        <f>I1443</f>
        <v>2800</v>
      </c>
      <c r="AT1443" s="551"/>
      <c r="AU1443" s="551">
        <f>I1443</f>
        <v>2800</v>
      </c>
      <c r="AV1443" s="551"/>
      <c r="AW1443" s="650"/>
      <c r="AX1443" s="551"/>
      <c r="AY1443" s="551"/>
      <c r="AZ1443" s="551"/>
      <c r="BA1443" s="551"/>
      <c r="BB1443" s="249">
        <f>I1443/24</f>
        <v>116.666666666667</v>
      </c>
      <c r="BC1443" s="651"/>
      <c r="BD1443" s="551"/>
      <c r="BE1443" s="551"/>
      <c r="BF1443" s="551"/>
      <c r="BH1443" s="551"/>
      <c r="BI1443" s="551"/>
      <c r="BJ1443" s="551"/>
      <c r="BK1443" s="551"/>
      <c r="BL1443" s="551"/>
      <c r="BM1443" s="551"/>
      <c r="BN1443" s="551"/>
      <c r="BO1443" s="551">
        <f>I1443/25</f>
        <v>112</v>
      </c>
      <c r="BP1443" s="551"/>
      <c r="BQ1443" s="551"/>
      <c r="BR1443" s="551"/>
      <c r="BS1443" s="551"/>
      <c r="BT1443" s="551"/>
      <c r="BU1443" s="551"/>
      <c r="BV1443" s="551"/>
      <c r="BW1443" s="551"/>
      <c r="BX1443" s="551"/>
      <c r="BY1443" s="650"/>
      <c r="BZ1443" s="551"/>
      <c r="CA1443" s="652"/>
      <c r="CB1443" s="747"/>
      <c r="CC1443" s="653"/>
      <c r="CD1443" s="650"/>
      <c r="CE1443" s="650"/>
      <c r="CF1443" s="551"/>
      <c r="CG1443" s="551"/>
      <c r="CI1443" s="551"/>
      <c r="CJ1443" s="551"/>
      <c r="CK1443" s="551"/>
      <c r="CL1443" s="551"/>
      <c r="CM1443" s="551"/>
      <c r="CN1443" s="551"/>
      <c r="CO1443" s="551"/>
      <c r="CP1443" s="551"/>
      <c r="CQ1443" s="551"/>
      <c r="CR1443" s="551"/>
      <c r="CS1443" s="551"/>
      <c r="CT1443" s="551"/>
      <c r="CU1443" s="551">
        <f t="shared" si="565"/>
        <v>112</v>
      </c>
      <c r="CV1443" s="551">
        <f>CK1443+CL1443+CM1443+CN1443+CO1443+CQ1443+CP1443</f>
        <v>0</v>
      </c>
      <c r="CW1443" s="551">
        <f>CI1443+CJ1443</f>
        <v>0</v>
      </c>
      <c r="CX1443" s="650"/>
      <c r="CY1443" s="650"/>
      <c r="CZ1443" s="650"/>
      <c r="DA1443" s="551"/>
      <c r="DB1443" s="551"/>
      <c r="DC1443" s="551"/>
      <c r="DD1443" s="650"/>
      <c r="DE1443" s="650"/>
      <c r="DF1443" s="650"/>
      <c r="DG1443" s="650"/>
      <c r="DH1443" s="650"/>
      <c r="DI1443" s="551"/>
    </row>
    <row r="1444" s="549" customFormat="1" ht="31" customHeight="1" spans="1:113">
      <c r="A1444" s="641">
        <v>46155</v>
      </c>
      <c r="B1444" s="642"/>
      <c r="C1444" s="246" t="s">
        <v>4137</v>
      </c>
      <c r="D1444" s="551" t="s">
        <v>4138</v>
      </c>
      <c r="E1444" s="246"/>
      <c r="F1444" s="551" t="s">
        <v>4141</v>
      </c>
      <c r="G1444" s="246" t="s">
        <v>6360</v>
      </c>
      <c r="H1444" s="246" t="s">
        <v>477</v>
      </c>
      <c r="I1444" s="706">
        <v>120</v>
      </c>
      <c r="J1444" s="246">
        <v>0</v>
      </c>
      <c r="K1444" s="246">
        <v>6</v>
      </c>
      <c r="L1444" s="644">
        <f t="shared" si="563"/>
        <v>20</v>
      </c>
      <c r="M1444" s="645">
        <v>46172</v>
      </c>
      <c r="N1444" s="645">
        <v>46168</v>
      </c>
      <c r="O1444" s="643"/>
      <c r="P1444" s="743" t="s">
        <v>9334</v>
      </c>
      <c r="Q1444" s="646"/>
      <c r="R1444" s="646"/>
      <c r="S1444" s="646"/>
      <c r="T1444" s="646"/>
      <c r="U1444" s="646"/>
      <c r="V1444" s="646"/>
      <c r="W1444" s="744"/>
      <c r="X1444" s="642" t="s">
        <v>4142</v>
      </c>
      <c r="Y1444" s="647" t="s">
        <v>92</v>
      </c>
      <c r="Z1444" s="642"/>
      <c r="AA1444" s="647"/>
      <c r="AB1444" s="549"/>
      <c r="AC1444" s="751"/>
      <c r="AD1444" s="246" t="s">
        <v>480</v>
      </c>
      <c r="AE1444" s="246" t="s">
        <v>82</v>
      </c>
      <c r="AF1444" s="246"/>
      <c r="AG1444" s="246"/>
      <c r="AH1444" s="609">
        <v>1</v>
      </c>
      <c r="AI1444" s="750">
        <v>120</v>
      </c>
      <c r="AJ1444" s="246">
        <f t="shared" si="564"/>
        <v>0</v>
      </c>
      <c r="AK1444" s="643"/>
      <c r="AL1444" s="246"/>
      <c r="AM1444" s="246"/>
      <c r="AN1444" s="551"/>
      <c r="AO1444" s="551">
        <f>I1444*2</f>
        <v>240</v>
      </c>
      <c r="AP1444" s="551"/>
      <c r="AQ1444" s="551"/>
      <c r="AR1444" s="650"/>
      <c r="AS1444" s="551"/>
      <c r="AT1444" s="551">
        <f>I1444*2</f>
        <v>240</v>
      </c>
      <c r="AU1444" s="551"/>
      <c r="AV1444" s="551">
        <f>I1444*2</f>
        <v>240</v>
      </c>
      <c r="AW1444" s="551"/>
      <c r="AX1444" s="651"/>
      <c r="AY1444" s="551"/>
      <c r="AZ1444" s="551"/>
      <c r="BA1444" s="551"/>
      <c r="BB1444" s="620">
        <f>I1444/24*2</f>
        <v>10</v>
      </c>
      <c r="BC1444" s="551"/>
      <c r="BD1444" s="551"/>
      <c r="BE1444" s="551"/>
      <c r="BF1444" s="551"/>
      <c r="BH1444" s="551"/>
      <c r="BI1444" s="551"/>
      <c r="BJ1444" s="551"/>
      <c r="BK1444" s="551"/>
      <c r="BL1444" s="551"/>
      <c r="BM1444" s="551"/>
      <c r="BN1444" s="551"/>
      <c r="BO1444" s="551"/>
      <c r="BP1444" s="551"/>
      <c r="BQ1444" s="551"/>
      <c r="BR1444" s="551"/>
      <c r="BS1444" s="551"/>
      <c r="BT1444" s="551"/>
      <c r="BU1444" s="551"/>
      <c r="BV1444" s="551"/>
      <c r="BW1444" s="551"/>
      <c r="BX1444" s="551"/>
      <c r="BY1444" s="551"/>
      <c r="BZ1444" s="551">
        <f>I1444</f>
        <v>120</v>
      </c>
      <c r="CA1444" s="752"/>
      <c r="CB1444" s="747"/>
      <c r="CC1444" s="753"/>
      <c r="CD1444" s="551"/>
      <c r="CE1444" s="551"/>
      <c r="CF1444" s="551"/>
      <c r="CG1444" s="551"/>
      <c r="CI1444" s="551"/>
      <c r="CJ1444" s="551"/>
      <c r="CK1444" s="551"/>
      <c r="CL1444" s="551"/>
      <c r="CM1444" s="551"/>
      <c r="CN1444" s="551"/>
      <c r="CO1444" s="551"/>
      <c r="CP1444" s="650"/>
      <c r="CQ1444" s="650"/>
      <c r="CR1444" s="551"/>
      <c r="CS1444" s="551"/>
      <c r="CT1444" s="551"/>
      <c r="CU1444" s="551">
        <f t="shared" si="565"/>
        <v>0</v>
      </c>
      <c r="CV1444" s="551">
        <f>CK1444+CL1444+CM1444+CN1444+CO1444+CQ1444+CP1444</f>
        <v>0</v>
      </c>
      <c r="CW1444" s="551">
        <f>CI1444+CJ1444</f>
        <v>0</v>
      </c>
      <c r="CX1444" s="650"/>
      <c r="CY1444" s="650"/>
      <c r="CZ1444" s="650"/>
      <c r="DA1444" s="650"/>
      <c r="DB1444" s="650"/>
      <c r="DC1444" s="650"/>
      <c r="DD1444" s="650"/>
      <c r="DE1444" s="650"/>
      <c r="DF1444" s="650"/>
      <c r="DG1444" s="650"/>
      <c r="DH1444" s="650"/>
      <c r="DI1444" s="551"/>
    </row>
    <row r="1445" s="549" customFormat="1" ht="31" customHeight="1" spans="1:113">
      <c r="A1445" s="641">
        <v>46133</v>
      </c>
      <c r="B1445" s="642" t="s">
        <v>3321</v>
      </c>
      <c r="C1445" s="246" t="s">
        <v>302</v>
      </c>
      <c r="D1445" s="748">
        <v>4500203132</v>
      </c>
      <c r="E1445" s="643">
        <v>4400561389</v>
      </c>
      <c r="F1445" s="551" t="s">
        <v>9530</v>
      </c>
      <c r="G1445" s="246" t="s">
        <v>6047</v>
      </c>
      <c r="H1445" s="246" t="s">
        <v>6069</v>
      </c>
      <c r="I1445" s="706">
        <v>2400</v>
      </c>
      <c r="J1445" s="246">
        <v>0</v>
      </c>
      <c r="K1445" s="246">
        <v>25</v>
      </c>
      <c r="L1445" s="644">
        <f t="shared" si="563"/>
        <v>96</v>
      </c>
      <c r="M1445" s="645">
        <v>46174</v>
      </c>
      <c r="N1445" s="645">
        <v>46170</v>
      </c>
      <c r="O1445" s="643"/>
      <c r="P1445" s="246" t="s">
        <v>9334</v>
      </c>
      <c r="Q1445" s="646"/>
      <c r="R1445" s="646">
        <v>46141</v>
      </c>
      <c r="S1445" s="646" t="s">
        <v>70</v>
      </c>
      <c r="T1445" s="646" t="s">
        <v>8294</v>
      </c>
      <c r="U1445" s="646"/>
      <c r="V1445" s="646"/>
      <c r="W1445" s="744"/>
      <c r="X1445" s="642" t="s">
        <v>9531</v>
      </c>
      <c r="Y1445" s="647" t="s">
        <v>1549</v>
      </c>
      <c r="Z1445" s="642">
        <v>0.9756</v>
      </c>
      <c r="AA1445" s="647">
        <f t="shared" ref="AA1445:AA1462" si="566">Z1445*I1445</f>
        <v>2341.44</v>
      </c>
      <c r="AC1445" s="751"/>
      <c r="AD1445" s="246" t="s">
        <v>6047</v>
      </c>
      <c r="AE1445" s="246" t="s">
        <v>82</v>
      </c>
      <c r="AF1445" s="246"/>
      <c r="AG1445" s="246"/>
      <c r="AH1445" s="642">
        <v>1</v>
      </c>
      <c r="AI1445" s="750">
        <v>2400</v>
      </c>
      <c r="AJ1445" s="750">
        <f t="shared" si="564"/>
        <v>0</v>
      </c>
      <c r="AK1445" s="643"/>
      <c r="AL1445" s="246" t="s">
        <v>2368</v>
      </c>
      <c r="AM1445" s="246"/>
      <c r="AN1445" s="551"/>
      <c r="AO1445" s="551">
        <f>I1445</f>
        <v>2400</v>
      </c>
      <c r="AP1445" s="551"/>
      <c r="AQ1445" s="551"/>
      <c r="AR1445" s="551"/>
      <c r="AS1445" s="551"/>
      <c r="AT1445" s="554">
        <f>I1445</f>
        <v>2400</v>
      </c>
      <c r="AU1445" s="551"/>
      <c r="AV1445" s="554">
        <f>I1445</f>
        <v>2400</v>
      </c>
      <c r="AW1445" s="551"/>
      <c r="AX1445" s="651"/>
      <c r="AY1445" s="551"/>
      <c r="AZ1445" s="551"/>
      <c r="BA1445" s="551"/>
      <c r="BB1445" s="620">
        <f>I1445/24</f>
        <v>100</v>
      </c>
      <c r="BC1445" s="551"/>
      <c r="BD1445" s="551"/>
      <c r="BE1445" s="551"/>
      <c r="BF1445" s="551"/>
      <c r="BH1445" s="551"/>
      <c r="BI1445" s="551"/>
      <c r="BJ1445" s="551"/>
      <c r="BK1445" s="551"/>
      <c r="BL1445" s="551"/>
      <c r="BM1445" s="551"/>
      <c r="BN1445" s="551"/>
      <c r="BO1445" s="551"/>
      <c r="BP1445" s="551">
        <f>I1445/25</f>
        <v>96</v>
      </c>
      <c r="BQ1445" s="551"/>
      <c r="BR1445" s="551"/>
      <c r="BS1445" s="551"/>
      <c r="BT1445" s="551"/>
      <c r="BU1445" s="551"/>
      <c r="BV1445" s="551"/>
      <c r="BW1445" s="551"/>
      <c r="BX1445" s="551"/>
      <c r="BY1445" s="551"/>
      <c r="BZ1445" s="551"/>
      <c r="CA1445" s="752"/>
      <c r="CB1445" s="747"/>
      <c r="CC1445" s="753"/>
      <c r="CD1445" s="551"/>
      <c r="CE1445" s="551"/>
      <c r="CF1445" s="551"/>
      <c r="CG1445" s="551"/>
      <c r="CI1445" s="551"/>
      <c r="CJ1445" s="551"/>
      <c r="CK1445" s="551"/>
      <c r="CL1445" s="551"/>
      <c r="CM1445" s="551"/>
      <c r="CN1445" s="551"/>
      <c r="CO1445" s="551"/>
      <c r="CP1445" s="650"/>
      <c r="CQ1445" s="650"/>
      <c r="CR1445" s="650"/>
      <c r="CS1445" s="650"/>
      <c r="CT1445" s="650"/>
      <c r="CU1445" s="551">
        <f t="shared" si="565"/>
        <v>96</v>
      </c>
      <c r="CV1445" s="551">
        <f>CK1445+CL1445+CM1445+CN1445+CO1445+CQ1445+CP1445</f>
        <v>0</v>
      </c>
      <c r="CW1445" s="551">
        <f>CI1445+CJ1445</f>
        <v>0</v>
      </c>
      <c r="CX1445" s="650"/>
      <c r="CY1445" s="650"/>
      <c r="CZ1445" s="650"/>
      <c r="DA1445" s="650"/>
      <c r="DB1445" s="650"/>
      <c r="DC1445" s="650"/>
      <c r="DD1445" s="650"/>
      <c r="DE1445" s="650"/>
      <c r="DF1445" s="650"/>
      <c r="DG1445" s="650"/>
      <c r="DH1445" s="650"/>
      <c r="DI1445" s="551"/>
    </row>
    <row r="1446" s="549" customFormat="1" ht="31" customHeight="1" spans="1:113">
      <c r="A1446" s="641">
        <v>46115</v>
      </c>
      <c r="B1446" s="642" t="s">
        <v>1800</v>
      </c>
      <c r="C1446" s="246" t="s">
        <v>744</v>
      </c>
      <c r="D1446" s="757">
        <v>4500198503</v>
      </c>
      <c r="E1446" s="246">
        <v>5000002156</v>
      </c>
      <c r="F1446" s="551" t="s">
        <v>4143</v>
      </c>
      <c r="G1446" s="246" t="s">
        <v>6337</v>
      </c>
      <c r="H1446" s="246" t="s">
        <v>477</v>
      </c>
      <c r="I1446" s="706">
        <v>1200</v>
      </c>
      <c r="J1446" s="246">
        <v>0</v>
      </c>
      <c r="K1446" s="246">
        <v>6</v>
      </c>
      <c r="L1446" s="644">
        <f t="shared" si="563"/>
        <v>200</v>
      </c>
      <c r="M1446" s="645">
        <v>46175</v>
      </c>
      <c r="N1446" s="645">
        <f>M1446-4</f>
        <v>46171</v>
      </c>
      <c r="O1446" s="643"/>
      <c r="P1446" s="613" t="s">
        <v>9334</v>
      </c>
      <c r="Q1446" s="246"/>
      <c r="R1446" s="646" t="s">
        <v>3299</v>
      </c>
      <c r="S1446" s="646" t="s">
        <v>104</v>
      </c>
      <c r="T1446" s="646" t="s">
        <v>2239</v>
      </c>
      <c r="U1446" s="646"/>
      <c r="V1446" s="646"/>
      <c r="W1446" s="744"/>
      <c r="X1446" s="642" t="s">
        <v>4119</v>
      </c>
      <c r="Y1446" s="642" t="s">
        <v>1805</v>
      </c>
      <c r="Z1446" s="745">
        <v>6.3788</v>
      </c>
      <c r="AA1446" s="647">
        <f t="shared" si="566"/>
        <v>7654.56</v>
      </c>
      <c r="AC1446" s="648"/>
      <c r="AD1446" s="246" t="s">
        <v>2241</v>
      </c>
      <c r="AE1446" s="246" t="s">
        <v>82</v>
      </c>
      <c r="AF1446" s="246"/>
      <c r="AG1446" s="246"/>
      <c r="AH1446" s="609">
        <v>1</v>
      </c>
      <c r="AI1446" s="746">
        <v>1200</v>
      </c>
      <c r="AJ1446" s="246">
        <f t="shared" si="564"/>
        <v>0</v>
      </c>
      <c r="AK1446" s="246"/>
      <c r="AL1446" s="246" t="s">
        <v>454</v>
      </c>
      <c r="AM1446" s="246"/>
      <c r="AN1446" s="646"/>
      <c r="AO1446" s="551">
        <f>I1446*2</f>
        <v>2400</v>
      </c>
      <c r="AP1446" s="551"/>
      <c r="AQ1446" s="551"/>
      <c r="AR1446" s="650"/>
      <c r="AS1446" s="551"/>
      <c r="AT1446" s="551">
        <f>I1446*2</f>
        <v>2400</v>
      </c>
      <c r="AU1446" s="551"/>
      <c r="AV1446" s="551"/>
      <c r="AW1446" s="650"/>
      <c r="AX1446" s="551">
        <f>I1446*2</f>
        <v>2400</v>
      </c>
      <c r="AY1446" s="551"/>
      <c r="AZ1446" s="551"/>
      <c r="BA1446" s="671">
        <f>I1446/24*2</f>
        <v>100</v>
      </c>
      <c r="BB1446" s="249"/>
      <c r="BC1446" s="551"/>
      <c r="BD1446" s="551"/>
      <c r="BE1446" s="551"/>
      <c r="BF1446" s="551"/>
      <c r="BH1446" s="551"/>
      <c r="BI1446" s="551"/>
      <c r="BJ1446" s="551"/>
      <c r="BK1446" s="551"/>
      <c r="BL1446" s="551"/>
      <c r="BM1446" s="551"/>
      <c r="BN1446" s="551"/>
      <c r="BO1446" s="551"/>
      <c r="BP1446" s="551"/>
      <c r="BQ1446" s="551"/>
      <c r="BR1446" s="551"/>
      <c r="BS1446" s="551"/>
      <c r="BT1446" s="551"/>
      <c r="BU1446" s="551"/>
      <c r="BV1446" s="551"/>
      <c r="BW1446" s="551"/>
      <c r="BX1446" s="551"/>
      <c r="BY1446" s="650"/>
      <c r="BZ1446" s="551">
        <f>I1446</f>
        <v>1200</v>
      </c>
      <c r="CA1446" s="652"/>
      <c r="CB1446" s="747"/>
      <c r="CC1446" s="653"/>
      <c r="CD1446" s="650"/>
      <c r="CE1446" s="650"/>
      <c r="CF1446" s="551"/>
      <c r="CG1446" s="551"/>
      <c r="CI1446" s="551"/>
      <c r="CJ1446" s="551"/>
      <c r="CK1446" s="551"/>
      <c r="CL1446" s="551"/>
      <c r="CM1446" s="551"/>
      <c r="CN1446" s="551"/>
      <c r="CO1446" s="551"/>
      <c r="CP1446" s="551"/>
      <c r="CQ1446" s="551"/>
      <c r="CR1446" s="551"/>
      <c r="CS1446" s="551"/>
      <c r="CT1446" s="551"/>
      <c r="CU1446" s="551">
        <f t="shared" si="565"/>
        <v>0</v>
      </c>
      <c r="CV1446" s="551">
        <v>0</v>
      </c>
      <c r="CW1446" s="551">
        <v>0</v>
      </c>
      <c r="CX1446" s="650"/>
      <c r="CY1446" s="650"/>
      <c r="CZ1446" s="650"/>
      <c r="DA1446" s="551"/>
      <c r="DB1446" s="551"/>
      <c r="DC1446" s="551"/>
      <c r="DD1446" s="650"/>
      <c r="DE1446" s="650"/>
      <c r="DF1446" s="650"/>
      <c r="DG1446" s="650"/>
      <c r="DH1446" s="650"/>
      <c r="DI1446" s="551"/>
    </row>
    <row r="1447" s="549" customFormat="1" ht="31" customHeight="1" spans="1:113">
      <c r="A1447" s="641">
        <v>46115</v>
      </c>
      <c r="B1447" s="642" t="s">
        <v>1800</v>
      </c>
      <c r="C1447" s="246" t="s">
        <v>744</v>
      </c>
      <c r="D1447" s="757">
        <v>4500198503</v>
      </c>
      <c r="E1447" s="246">
        <v>5000002156</v>
      </c>
      <c r="F1447" s="551" t="s">
        <v>4144</v>
      </c>
      <c r="G1447" s="246" t="s">
        <v>6337</v>
      </c>
      <c r="H1447" s="246" t="s">
        <v>477</v>
      </c>
      <c r="I1447" s="706">
        <v>5604</v>
      </c>
      <c r="J1447" s="246">
        <v>0</v>
      </c>
      <c r="K1447" s="246">
        <v>6</v>
      </c>
      <c r="L1447" s="644">
        <f t="shared" si="563"/>
        <v>934</v>
      </c>
      <c r="M1447" s="645">
        <v>46175</v>
      </c>
      <c r="N1447" s="645">
        <f>M1447-4</f>
        <v>46171</v>
      </c>
      <c r="O1447" s="643"/>
      <c r="P1447" s="613" t="s">
        <v>9334</v>
      </c>
      <c r="Q1447" s="246"/>
      <c r="R1447" s="646" t="s">
        <v>3299</v>
      </c>
      <c r="S1447" s="646" t="s">
        <v>104</v>
      </c>
      <c r="T1447" s="646" t="s">
        <v>2239</v>
      </c>
      <c r="U1447" s="646"/>
      <c r="V1447" s="646"/>
      <c r="W1447" s="744"/>
      <c r="X1447" s="642" t="s">
        <v>4119</v>
      </c>
      <c r="Y1447" s="642" t="s">
        <v>1805</v>
      </c>
      <c r="Z1447" s="745">
        <v>6.3788</v>
      </c>
      <c r="AA1447" s="647">
        <f t="shared" si="566"/>
        <v>35746.7952</v>
      </c>
      <c r="AC1447" s="648"/>
      <c r="AD1447" s="246" t="s">
        <v>2241</v>
      </c>
      <c r="AE1447" s="246" t="s">
        <v>82</v>
      </c>
      <c r="AF1447" s="246"/>
      <c r="AG1447" s="246"/>
      <c r="AH1447" s="609">
        <v>1</v>
      </c>
      <c r="AI1447" s="746">
        <v>5604</v>
      </c>
      <c r="AJ1447" s="246">
        <f t="shared" si="564"/>
        <v>0</v>
      </c>
      <c r="AK1447" s="246"/>
      <c r="AL1447" s="246" t="s">
        <v>454</v>
      </c>
      <c r="AM1447" s="246"/>
      <c r="AN1447" s="646"/>
      <c r="AO1447" s="551">
        <f>I1447*2</f>
        <v>11208</v>
      </c>
      <c r="AP1447" s="551"/>
      <c r="AQ1447" s="551"/>
      <c r="AR1447" s="650"/>
      <c r="AS1447" s="551"/>
      <c r="AT1447" s="551">
        <f>I1447*2</f>
        <v>11208</v>
      </c>
      <c r="AU1447" s="551"/>
      <c r="AV1447" s="551"/>
      <c r="AW1447" s="650"/>
      <c r="AX1447" s="551">
        <f>I1447*2</f>
        <v>11208</v>
      </c>
      <c r="AY1447" s="551"/>
      <c r="AZ1447" s="551"/>
      <c r="BA1447" s="671">
        <f>I1447/24*2</f>
        <v>467</v>
      </c>
      <c r="BB1447" s="249"/>
      <c r="BC1447" s="551"/>
      <c r="BD1447" s="551"/>
      <c r="BE1447" s="551"/>
      <c r="BF1447" s="551"/>
      <c r="BH1447" s="551"/>
      <c r="BI1447" s="551"/>
      <c r="BJ1447" s="551"/>
      <c r="BK1447" s="551"/>
      <c r="BL1447" s="551"/>
      <c r="BM1447" s="551"/>
      <c r="BN1447" s="551"/>
      <c r="BO1447" s="551"/>
      <c r="BP1447" s="551"/>
      <c r="BQ1447" s="551"/>
      <c r="BR1447" s="551"/>
      <c r="BS1447" s="551"/>
      <c r="BT1447" s="551"/>
      <c r="BU1447" s="551"/>
      <c r="BV1447" s="551"/>
      <c r="BW1447" s="551"/>
      <c r="BX1447" s="551"/>
      <c r="BY1447" s="650"/>
      <c r="BZ1447" s="551">
        <f>I1447</f>
        <v>5604</v>
      </c>
      <c r="CA1447" s="652"/>
      <c r="CB1447" s="747"/>
      <c r="CC1447" s="653"/>
      <c r="CD1447" s="650"/>
      <c r="CE1447" s="650"/>
      <c r="CF1447" s="551"/>
      <c r="CG1447" s="551"/>
      <c r="CI1447" s="551"/>
      <c r="CJ1447" s="551"/>
      <c r="CK1447" s="551"/>
      <c r="CL1447" s="551"/>
      <c r="CM1447" s="551"/>
      <c r="CN1447" s="551"/>
      <c r="CO1447" s="551"/>
      <c r="CP1447" s="551"/>
      <c r="CQ1447" s="551"/>
      <c r="CR1447" s="551"/>
      <c r="CS1447" s="551"/>
      <c r="CT1447" s="551"/>
      <c r="CU1447" s="551">
        <f t="shared" si="565"/>
        <v>0</v>
      </c>
      <c r="CV1447" s="551">
        <v>0</v>
      </c>
      <c r="CW1447" s="551">
        <v>0</v>
      </c>
      <c r="CX1447" s="650"/>
      <c r="CY1447" s="650"/>
      <c r="CZ1447" s="650"/>
      <c r="DA1447" s="551"/>
      <c r="DB1447" s="551"/>
      <c r="DC1447" s="551"/>
      <c r="DD1447" s="650"/>
      <c r="DE1447" s="650"/>
      <c r="DF1447" s="650"/>
      <c r="DG1447" s="650"/>
      <c r="DH1447" s="650"/>
      <c r="DI1447" s="551"/>
    </row>
    <row r="1448" s="549" customFormat="1" ht="30" customHeight="1" spans="1:113">
      <c r="A1448" s="641">
        <v>46119</v>
      </c>
      <c r="B1448" s="642" t="s">
        <v>3340</v>
      </c>
      <c r="C1448" s="246" t="s">
        <v>98</v>
      </c>
      <c r="D1448" s="748">
        <v>4500200300</v>
      </c>
      <c r="E1448" s="643">
        <v>130351</v>
      </c>
      <c r="F1448" s="551" t="s">
        <v>9532</v>
      </c>
      <c r="G1448" s="246" t="s">
        <v>6787</v>
      </c>
      <c r="H1448" s="610" t="s">
        <v>6126</v>
      </c>
      <c r="I1448" s="246">
        <v>2196</v>
      </c>
      <c r="J1448" s="246">
        <v>0</v>
      </c>
      <c r="K1448" s="246">
        <v>12</v>
      </c>
      <c r="L1448" s="644">
        <f t="shared" si="563"/>
        <v>183</v>
      </c>
      <c r="M1448" s="645">
        <v>46175</v>
      </c>
      <c r="N1448" s="645">
        <v>46171</v>
      </c>
      <c r="O1448" s="643"/>
      <c r="P1448" s="643" t="s">
        <v>9433</v>
      </c>
      <c r="Q1448" s="246" t="s">
        <v>9533</v>
      </c>
      <c r="R1448" s="646">
        <v>46119</v>
      </c>
      <c r="S1448" s="646" t="s">
        <v>70</v>
      </c>
      <c r="T1448" s="646" t="s">
        <v>3862</v>
      </c>
      <c r="U1448" s="646"/>
      <c r="V1448" s="646"/>
      <c r="W1448" s="744"/>
      <c r="X1448" s="642" t="s">
        <v>9534</v>
      </c>
      <c r="Y1448" s="642" t="s">
        <v>3864</v>
      </c>
      <c r="Z1448" s="745">
        <v>1.3546</v>
      </c>
      <c r="AA1448" s="647">
        <f t="shared" si="566"/>
        <v>2974.7016</v>
      </c>
      <c r="AC1448" s="658" t="s">
        <v>4045</v>
      </c>
      <c r="AD1448" s="642" t="s">
        <v>8079</v>
      </c>
      <c r="AE1448" s="246" t="s">
        <v>82</v>
      </c>
      <c r="AF1448" s="246"/>
      <c r="AG1448" s="246"/>
      <c r="AH1448" s="246">
        <v>1</v>
      </c>
      <c r="AI1448" s="246">
        <v>2196</v>
      </c>
      <c r="AJ1448" s="246">
        <f t="shared" si="564"/>
        <v>0</v>
      </c>
      <c r="AK1448" s="246"/>
      <c r="AL1448" s="246" t="s">
        <v>2368</v>
      </c>
      <c r="AM1448" s="246"/>
      <c r="AN1448" s="246">
        <f>I1448*2</f>
        <v>4392</v>
      </c>
      <c r="AO1448" s="551"/>
      <c r="AP1448" s="551"/>
      <c r="AQ1448" s="551">
        <f>I1448*2</f>
        <v>4392</v>
      </c>
      <c r="AR1448" s="650"/>
      <c r="AS1448" s="551"/>
      <c r="AT1448" s="551"/>
      <c r="AU1448" s="551">
        <f>I1448*2</f>
        <v>4392</v>
      </c>
      <c r="AV1448" s="551"/>
      <c r="AW1448" s="650"/>
      <c r="AX1448" s="551"/>
      <c r="AY1448" s="551"/>
      <c r="AZ1448" s="551"/>
      <c r="BA1448" s="551"/>
      <c r="BB1448" s="249">
        <f>I1448/24*2</f>
        <v>183</v>
      </c>
      <c r="BC1448" s="651"/>
      <c r="BD1448" s="551"/>
      <c r="BE1448" s="551"/>
      <c r="BF1448" s="551"/>
      <c r="BH1448" s="551"/>
      <c r="BI1448" s="551"/>
      <c r="BJ1448" s="551"/>
      <c r="BK1448" s="551"/>
      <c r="BL1448" s="551"/>
      <c r="BM1448" s="551"/>
      <c r="BN1448" s="551"/>
      <c r="BO1448" s="551"/>
      <c r="BP1448" s="551"/>
      <c r="BQ1448" s="551"/>
      <c r="BR1448" s="551"/>
      <c r="BS1448" s="551"/>
      <c r="BT1448" s="551"/>
      <c r="BU1448" s="551"/>
      <c r="BV1448" s="551"/>
      <c r="BW1448" s="551"/>
      <c r="BX1448" s="551"/>
      <c r="BY1448" s="650"/>
      <c r="BZ1448" s="551"/>
      <c r="CA1448" s="652"/>
      <c r="CB1448" s="747"/>
      <c r="CC1448" s="653"/>
      <c r="CD1448" s="650"/>
      <c r="CE1448" s="650"/>
      <c r="CF1448" s="551"/>
      <c r="CG1448" s="551"/>
      <c r="CI1448" s="551"/>
      <c r="CJ1448" s="551"/>
      <c r="CK1448" s="551"/>
      <c r="CL1448" s="551"/>
      <c r="CM1448" s="551"/>
      <c r="CN1448" s="551"/>
      <c r="CO1448" s="551"/>
      <c r="CP1448" s="551"/>
      <c r="CQ1448" s="551"/>
      <c r="CR1448" s="551">
        <f>I1448</f>
        <v>2196</v>
      </c>
      <c r="CS1448" s="551">
        <f>I1448</f>
        <v>2196</v>
      </c>
      <c r="CT1448" s="551">
        <f>I1448</f>
        <v>2196</v>
      </c>
      <c r="CU1448" s="551">
        <f t="shared" si="565"/>
        <v>0</v>
      </c>
      <c r="CV1448" s="551">
        <v>0</v>
      </c>
      <c r="CW1448" s="551">
        <v>0</v>
      </c>
      <c r="CX1448" s="650"/>
      <c r="CY1448" s="650"/>
      <c r="CZ1448" s="650"/>
      <c r="DA1448" s="551"/>
      <c r="DB1448" s="551"/>
      <c r="DC1448" s="551"/>
      <c r="DD1448" s="650"/>
      <c r="DE1448" s="650"/>
      <c r="DF1448" s="650"/>
      <c r="DG1448" s="650"/>
      <c r="DH1448" s="650"/>
      <c r="DI1448" s="551"/>
    </row>
    <row r="1449" s="549" customFormat="1" ht="30" customHeight="1" spans="1:113">
      <c r="A1449" s="641">
        <v>46119</v>
      </c>
      <c r="B1449" s="642" t="s">
        <v>3340</v>
      </c>
      <c r="C1449" s="246" t="s">
        <v>98</v>
      </c>
      <c r="D1449" s="748">
        <v>4500200301</v>
      </c>
      <c r="E1449" s="643">
        <v>130362</v>
      </c>
      <c r="F1449" s="551" t="s">
        <v>9535</v>
      </c>
      <c r="G1449" s="246" t="s">
        <v>6787</v>
      </c>
      <c r="H1449" s="610" t="s">
        <v>6126</v>
      </c>
      <c r="I1449" s="246">
        <v>2400</v>
      </c>
      <c r="J1449" s="246">
        <v>0</v>
      </c>
      <c r="K1449" s="246">
        <v>12</v>
      </c>
      <c r="L1449" s="644">
        <f t="shared" si="563"/>
        <v>200</v>
      </c>
      <c r="M1449" s="645">
        <v>46175</v>
      </c>
      <c r="N1449" s="645">
        <v>46171</v>
      </c>
      <c r="O1449" s="643"/>
      <c r="P1449" s="643" t="s">
        <v>9433</v>
      </c>
      <c r="Q1449" s="246" t="s">
        <v>4083</v>
      </c>
      <c r="R1449" s="646">
        <v>46119</v>
      </c>
      <c r="S1449" s="646" t="s">
        <v>70</v>
      </c>
      <c r="T1449" s="646" t="s">
        <v>9536</v>
      </c>
      <c r="U1449" s="646"/>
      <c r="V1449" s="646"/>
      <c r="W1449" s="744"/>
      <c r="X1449" s="642" t="s">
        <v>9537</v>
      </c>
      <c r="Y1449" s="642" t="s">
        <v>3864</v>
      </c>
      <c r="Z1449" s="745">
        <v>1.3546</v>
      </c>
      <c r="AA1449" s="647">
        <f t="shared" si="566"/>
        <v>3251.04</v>
      </c>
      <c r="AC1449" s="658" t="s">
        <v>4050</v>
      </c>
      <c r="AD1449" s="642" t="s">
        <v>8079</v>
      </c>
      <c r="AE1449" s="246" t="s">
        <v>82</v>
      </c>
      <c r="AF1449" s="246"/>
      <c r="AG1449" s="246"/>
      <c r="AH1449" s="246">
        <v>1</v>
      </c>
      <c r="AI1449" s="246">
        <v>2400</v>
      </c>
      <c r="AJ1449" s="246">
        <f t="shared" si="564"/>
        <v>0</v>
      </c>
      <c r="AK1449" s="246"/>
      <c r="AL1449" s="246" t="s">
        <v>2368</v>
      </c>
      <c r="AM1449" s="246"/>
      <c r="AN1449" s="246">
        <f>I1449*2</f>
        <v>4800</v>
      </c>
      <c r="AO1449" s="551"/>
      <c r="AP1449" s="551"/>
      <c r="AQ1449" s="551">
        <f>I1449*2</f>
        <v>4800</v>
      </c>
      <c r="AR1449" s="650"/>
      <c r="AS1449" s="551"/>
      <c r="AT1449" s="551"/>
      <c r="AU1449" s="551">
        <f>I1449*2</f>
        <v>4800</v>
      </c>
      <c r="AV1449" s="551"/>
      <c r="AW1449" s="650"/>
      <c r="AX1449" s="551"/>
      <c r="AY1449" s="551"/>
      <c r="AZ1449" s="551"/>
      <c r="BA1449" s="551"/>
      <c r="BB1449" s="249">
        <f>I1449/24*2</f>
        <v>200</v>
      </c>
      <c r="BC1449" s="651"/>
      <c r="BD1449" s="551"/>
      <c r="BE1449" s="551"/>
      <c r="BF1449" s="551"/>
      <c r="BH1449" s="551"/>
      <c r="BI1449" s="551"/>
      <c r="BJ1449" s="551"/>
      <c r="BK1449" s="551"/>
      <c r="BL1449" s="551"/>
      <c r="BM1449" s="551"/>
      <c r="BN1449" s="551"/>
      <c r="BO1449" s="551"/>
      <c r="BP1449" s="551"/>
      <c r="BQ1449" s="551"/>
      <c r="BR1449" s="551"/>
      <c r="BS1449" s="551"/>
      <c r="BT1449" s="551"/>
      <c r="BU1449" s="551"/>
      <c r="BV1449" s="551"/>
      <c r="BW1449" s="551"/>
      <c r="BX1449" s="551"/>
      <c r="BY1449" s="650"/>
      <c r="BZ1449" s="551"/>
      <c r="CA1449" s="652"/>
      <c r="CB1449" s="747"/>
      <c r="CC1449" s="653"/>
      <c r="CD1449" s="650"/>
      <c r="CE1449" s="650"/>
      <c r="CF1449" s="551"/>
      <c r="CG1449" s="551"/>
      <c r="CI1449" s="551"/>
      <c r="CJ1449" s="551"/>
      <c r="CK1449" s="551"/>
      <c r="CL1449" s="551"/>
      <c r="CM1449" s="551"/>
      <c r="CN1449" s="551"/>
      <c r="CO1449" s="551"/>
      <c r="CP1449" s="551"/>
      <c r="CQ1449" s="551"/>
      <c r="CR1449" s="551">
        <f>I1449</f>
        <v>2400</v>
      </c>
      <c r="CS1449" s="551">
        <f>I1449</f>
        <v>2400</v>
      </c>
      <c r="CT1449" s="551">
        <f>I1449</f>
        <v>2400</v>
      </c>
      <c r="CU1449" s="551">
        <f t="shared" si="565"/>
        <v>0</v>
      </c>
      <c r="CV1449" s="551">
        <v>0</v>
      </c>
      <c r="CW1449" s="551">
        <v>0</v>
      </c>
      <c r="CX1449" s="650"/>
      <c r="CY1449" s="650"/>
      <c r="CZ1449" s="650"/>
      <c r="DA1449" s="551"/>
      <c r="DB1449" s="551"/>
      <c r="DC1449" s="551"/>
      <c r="DD1449" s="650"/>
      <c r="DE1449" s="650"/>
      <c r="DF1449" s="650"/>
      <c r="DG1449" s="650"/>
      <c r="DH1449" s="650"/>
      <c r="DI1449" s="551"/>
    </row>
    <row r="1450" s="549" customFormat="1" ht="31" customHeight="1" spans="1:113">
      <c r="A1450" s="641">
        <v>46115</v>
      </c>
      <c r="B1450" s="642" t="s">
        <v>1800</v>
      </c>
      <c r="C1450" s="246" t="s">
        <v>744</v>
      </c>
      <c r="D1450" s="758">
        <v>4500198503</v>
      </c>
      <c r="E1450" s="246">
        <v>5000002156</v>
      </c>
      <c r="F1450" s="551" t="s">
        <v>9538</v>
      </c>
      <c r="G1450" s="246" t="s">
        <v>6093</v>
      </c>
      <c r="H1450" s="693" t="s">
        <v>7359</v>
      </c>
      <c r="I1450" s="706">
        <v>3900</v>
      </c>
      <c r="J1450" s="246">
        <v>0</v>
      </c>
      <c r="K1450" s="246">
        <v>13</v>
      </c>
      <c r="L1450" s="644">
        <f t="shared" si="563"/>
        <v>300</v>
      </c>
      <c r="M1450" s="645">
        <v>46175</v>
      </c>
      <c r="N1450" s="645">
        <f>M1450-4</f>
        <v>46171</v>
      </c>
      <c r="O1450" s="643"/>
      <c r="P1450" s="613" t="s">
        <v>9334</v>
      </c>
      <c r="Q1450" s="246"/>
      <c r="R1450" s="646" t="s">
        <v>3299</v>
      </c>
      <c r="S1450" s="646" t="s">
        <v>104</v>
      </c>
      <c r="T1450" s="646" t="s">
        <v>8723</v>
      </c>
      <c r="U1450" s="646"/>
      <c r="V1450" s="646"/>
      <c r="W1450" s="744"/>
      <c r="X1450" s="642" t="s">
        <v>4119</v>
      </c>
      <c r="Y1450" s="642" t="s">
        <v>1805</v>
      </c>
      <c r="Z1450" s="745">
        <v>0.8677</v>
      </c>
      <c r="AA1450" s="647">
        <f t="shared" si="566"/>
        <v>3384.03</v>
      </c>
      <c r="AC1450" s="648"/>
      <c r="AD1450" s="246" t="s">
        <v>8338</v>
      </c>
      <c r="AE1450" s="246" t="s">
        <v>82</v>
      </c>
      <c r="AF1450" s="246"/>
      <c r="AG1450" s="246"/>
      <c r="AH1450" s="609">
        <v>1</v>
      </c>
      <c r="AI1450" s="746">
        <v>3900</v>
      </c>
      <c r="AJ1450" s="246">
        <f t="shared" si="564"/>
        <v>0</v>
      </c>
      <c r="AK1450" s="246"/>
      <c r="AL1450" s="246" t="s">
        <v>2368</v>
      </c>
      <c r="AM1450" s="246"/>
      <c r="AN1450" s="646"/>
      <c r="AO1450" s="551">
        <f t="shared" ref="AO1450:AO1456" si="567">I1450</f>
        <v>3900</v>
      </c>
      <c r="AP1450" s="551"/>
      <c r="AQ1450" s="551"/>
      <c r="AR1450" s="650"/>
      <c r="AS1450" s="551"/>
      <c r="AT1450" s="551"/>
      <c r="AU1450" s="551"/>
      <c r="AV1450" s="551"/>
      <c r="AW1450" s="650">
        <f>I1450</f>
        <v>3900</v>
      </c>
      <c r="AX1450" s="554">
        <f>I1450</f>
        <v>3900</v>
      </c>
      <c r="AY1450" s="551"/>
      <c r="AZ1450" s="551"/>
      <c r="BA1450" s="651">
        <f>I1450/24*2</f>
        <v>325</v>
      </c>
      <c r="BB1450" s="249"/>
      <c r="BC1450" s="551"/>
      <c r="BD1450" s="551"/>
      <c r="BE1450" s="551"/>
      <c r="BF1450" s="551"/>
      <c r="BH1450" s="551"/>
      <c r="BI1450" s="551"/>
      <c r="BJ1450" s="551"/>
      <c r="BK1450" s="551"/>
      <c r="BL1450" s="551"/>
      <c r="BM1450" s="551">
        <f>I1450/13</f>
        <v>300</v>
      </c>
      <c r="BN1450" s="551"/>
      <c r="BO1450" s="551"/>
      <c r="BP1450" s="551"/>
      <c r="BQ1450" s="551"/>
      <c r="BR1450" s="551"/>
      <c r="BS1450" s="551"/>
      <c r="BT1450" s="551"/>
      <c r="BU1450" s="551"/>
      <c r="BV1450" s="551"/>
      <c r="BW1450" s="551"/>
      <c r="BX1450" s="551"/>
      <c r="BY1450" s="650"/>
      <c r="BZ1450" s="551"/>
      <c r="CA1450" s="652"/>
      <c r="CB1450" s="747"/>
      <c r="CC1450" s="653"/>
      <c r="CD1450" s="650"/>
      <c r="CE1450" s="650"/>
      <c r="CF1450" s="551"/>
      <c r="CG1450" s="551"/>
      <c r="CI1450" s="551"/>
      <c r="CJ1450" s="551"/>
      <c r="CK1450" s="551"/>
      <c r="CL1450" s="551"/>
      <c r="CM1450" s="551"/>
      <c r="CN1450" s="551"/>
      <c r="CO1450" s="551"/>
      <c r="CP1450" s="551"/>
      <c r="CQ1450" s="551"/>
      <c r="CR1450" s="551"/>
      <c r="CS1450" s="551"/>
      <c r="CT1450" s="551"/>
      <c r="CU1450" s="551">
        <f t="shared" si="565"/>
        <v>0</v>
      </c>
      <c r="CV1450" s="551">
        <v>0</v>
      </c>
      <c r="CW1450" s="551">
        <v>0</v>
      </c>
      <c r="CX1450" s="650"/>
      <c r="CY1450" s="650"/>
      <c r="CZ1450" s="650"/>
      <c r="DA1450" s="551"/>
      <c r="DB1450" s="551"/>
      <c r="DC1450" s="551"/>
      <c r="DD1450" s="650"/>
      <c r="DE1450" s="650"/>
      <c r="DF1450" s="650"/>
      <c r="DG1450" s="650"/>
      <c r="DH1450" s="650"/>
      <c r="DI1450" s="551"/>
    </row>
    <row r="1451" s="549" customFormat="1" ht="31" customHeight="1" spans="1:113">
      <c r="A1451" s="641">
        <v>46115</v>
      </c>
      <c r="B1451" s="642" t="s">
        <v>1800</v>
      </c>
      <c r="C1451" s="246" t="s">
        <v>744</v>
      </c>
      <c r="D1451" s="759">
        <v>4500198503</v>
      </c>
      <c r="E1451" s="246">
        <v>5000002156</v>
      </c>
      <c r="F1451" s="551" t="s">
        <v>9539</v>
      </c>
      <c r="G1451" s="246" t="s">
        <v>6093</v>
      </c>
      <c r="H1451" s="693" t="s">
        <v>7359</v>
      </c>
      <c r="I1451" s="706">
        <v>13000</v>
      </c>
      <c r="J1451" s="246">
        <v>0</v>
      </c>
      <c r="K1451" s="246">
        <v>13</v>
      </c>
      <c r="L1451" s="644">
        <f t="shared" si="563"/>
        <v>1000</v>
      </c>
      <c r="M1451" s="645">
        <v>46175</v>
      </c>
      <c r="N1451" s="760">
        <f>M1451-4</f>
        <v>46171</v>
      </c>
      <c r="O1451" s="643"/>
      <c r="P1451" s="613" t="s">
        <v>9334</v>
      </c>
      <c r="Q1451" s="246"/>
      <c r="R1451" s="646" t="s">
        <v>3299</v>
      </c>
      <c r="S1451" s="646" t="s">
        <v>104</v>
      </c>
      <c r="T1451" s="646" t="s">
        <v>8723</v>
      </c>
      <c r="U1451" s="646"/>
      <c r="V1451" s="646"/>
      <c r="W1451" s="744"/>
      <c r="X1451" s="642" t="s">
        <v>4119</v>
      </c>
      <c r="Y1451" s="642" t="s">
        <v>1805</v>
      </c>
      <c r="Z1451" s="745">
        <v>0.8677</v>
      </c>
      <c r="AA1451" s="647">
        <f t="shared" si="566"/>
        <v>11280.1</v>
      </c>
      <c r="AC1451" s="648"/>
      <c r="AD1451" s="246" t="s">
        <v>8338</v>
      </c>
      <c r="AE1451" s="246" t="s">
        <v>82</v>
      </c>
      <c r="AF1451" s="246"/>
      <c r="AG1451" s="246"/>
      <c r="AH1451" s="609">
        <v>1</v>
      </c>
      <c r="AI1451" s="746">
        <v>13000</v>
      </c>
      <c r="AJ1451" s="246">
        <f t="shared" si="564"/>
        <v>0</v>
      </c>
      <c r="AK1451" s="246"/>
      <c r="AL1451" s="246" t="s">
        <v>2368</v>
      </c>
      <c r="AM1451" s="246"/>
      <c r="AN1451" s="646"/>
      <c r="AO1451" s="551">
        <f t="shared" si="567"/>
        <v>13000</v>
      </c>
      <c r="AP1451" s="551"/>
      <c r="AQ1451" s="551"/>
      <c r="AR1451" s="650"/>
      <c r="AS1451" s="551"/>
      <c r="AT1451" s="551"/>
      <c r="AU1451" s="551"/>
      <c r="AV1451" s="551"/>
      <c r="AW1451" s="650">
        <f>I1451</f>
        <v>13000</v>
      </c>
      <c r="AX1451" s="554">
        <f>I1451</f>
        <v>13000</v>
      </c>
      <c r="AY1451" s="551"/>
      <c r="AZ1451" s="551"/>
      <c r="BA1451" s="651">
        <f>I1451/24*2</f>
        <v>1083.33333333333</v>
      </c>
      <c r="BB1451" s="249"/>
      <c r="BC1451" s="551"/>
      <c r="BD1451" s="551"/>
      <c r="BE1451" s="551"/>
      <c r="BF1451" s="551"/>
      <c r="BH1451" s="551"/>
      <c r="BI1451" s="551"/>
      <c r="BJ1451" s="551"/>
      <c r="BK1451" s="551"/>
      <c r="BL1451" s="551"/>
      <c r="BM1451" s="551">
        <f>I1451/13</f>
        <v>1000</v>
      </c>
      <c r="BN1451" s="551"/>
      <c r="BO1451" s="551"/>
      <c r="BP1451" s="551"/>
      <c r="BQ1451" s="551"/>
      <c r="BR1451" s="551"/>
      <c r="BS1451" s="551"/>
      <c r="BT1451" s="551"/>
      <c r="BU1451" s="551"/>
      <c r="BV1451" s="551"/>
      <c r="BW1451" s="551"/>
      <c r="BX1451" s="551"/>
      <c r="BY1451" s="650"/>
      <c r="BZ1451" s="551"/>
      <c r="CA1451" s="652"/>
      <c r="CB1451" s="747"/>
      <c r="CC1451" s="653"/>
      <c r="CD1451" s="650"/>
      <c r="CE1451" s="650"/>
      <c r="CF1451" s="551"/>
      <c r="CG1451" s="551"/>
      <c r="CI1451" s="551"/>
      <c r="CJ1451" s="551"/>
      <c r="CK1451" s="551"/>
      <c r="CL1451" s="551"/>
      <c r="CM1451" s="551"/>
      <c r="CN1451" s="551"/>
      <c r="CO1451" s="551"/>
      <c r="CP1451" s="551"/>
      <c r="CQ1451" s="551"/>
      <c r="CR1451" s="551"/>
      <c r="CS1451" s="551"/>
      <c r="CT1451" s="551"/>
      <c r="CU1451" s="551">
        <f t="shared" si="565"/>
        <v>0</v>
      </c>
      <c r="CV1451" s="551">
        <v>0</v>
      </c>
      <c r="CW1451" s="551">
        <v>0</v>
      </c>
      <c r="CX1451" s="650"/>
      <c r="CY1451" s="650"/>
      <c r="CZ1451" s="650"/>
      <c r="DA1451" s="551"/>
      <c r="DB1451" s="551"/>
      <c r="DC1451" s="551"/>
      <c r="DD1451" s="650"/>
      <c r="DE1451" s="650"/>
      <c r="DF1451" s="650"/>
      <c r="DG1451" s="650"/>
      <c r="DH1451" s="650"/>
      <c r="DI1451" s="551"/>
    </row>
    <row r="1452" s="549" customFormat="1" ht="31" customHeight="1" spans="1:113">
      <c r="A1452" s="641">
        <v>46128</v>
      </c>
      <c r="B1452" s="642" t="s">
        <v>4051</v>
      </c>
      <c r="C1452" s="246" t="s">
        <v>4052</v>
      </c>
      <c r="D1452" s="757">
        <v>4500202366</v>
      </c>
      <c r="E1452" s="246" t="s">
        <v>4053</v>
      </c>
      <c r="F1452" s="551" t="s">
        <v>9540</v>
      </c>
      <c r="G1452" s="246" t="s">
        <v>6047</v>
      </c>
      <c r="H1452" s="246" t="s">
        <v>6069</v>
      </c>
      <c r="I1452" s="706">
        <v>6000</v>
      </c>
      <c r="J1452" s="246">
        <v>0</v>
      </c>
      <c r="K1452" s="246">
        <v>25</v>
      </c>
      <c r="L1452" s="644">
        <f t="shared" si="563"/>
        <v>240</v>
      </c>
      <c r="M1452" s="645">
        <v>46175</v>
      </c>
      <c r="N1452" s="645">
        <v>46171</v>
      </c>
      <c r="O1452" s="643"/>
      <c r="P1452" s="246" t="s">
        <v>9334</v>
      </c>
      <c r="Q1452" s="646" t="s">
        <v>4021</v>
      </c>
      <c r="R1452" s="646">
        <v>46139</v>
      </c>
      <c r="S1452" s="646" t="s">
        <v>70</v>
      </c>
      <c r="T1452" s="646" t="s">
        <v>9541</v>
      </c>
      <c r="U1452" s="646"/>
      <c r="V1452" s="646"/>
      <c r="W1452" s="744"/>
      <c r="X1452" s="642" t="s">
        <v>9542</v>
      </c>
      <c r="Y1452" s="647" t="s">
        <v>445</v>
      </c>
      <c r="Z1452" s="642">
        <v>0.9703</v>
      </c>
      <c r="AA1452" s="647">
        <f t="shared" si="566"/>
        <v>5821.8</v>
      </c>
      <c r="AC1452" s="751"/>
      <c r="AD1452" s="246" t="s">
        <v>6047</v>
      </c>
      <c r="AE1452" s="246" t="s">
        <v>82</v>
      </c>
      <c r="AF1452" s="246"/>
      <c r="AG1452" s="246"/>
      <c r="AH1452" s="642">
        <v>1</v>
      </c>
      <c r="AI1452" s="761">
        <v>6000</v>
      </c>
      <c r="AJ1452" s="246">
        <f t="shared" si="564"/>
        <v>0</v>
      </c>
      <c r="AK1452" s="643"/>
      <c r="AL1452" s="246" t="s">
        <v>2368</v>
      </c>
      <c r="AM1452" s="246"/>
      <c r="AN1452" s="551"/>
      <c r="AO1452" s="551">
        <f t="shared" si="567"/>
        <v>6000</v>
      </c>
      <c r="AP1452" s="551"/>
      <c r="AQ1452" s="551"/>
      <c r="AR1452" s="551"/>
      <c r="AS1452" s="551"/>
      <c r="AT1452" s="554">
        <f>I1452</f>
        <v>6000</v>
      </c>
      <c r="AU1452" s="551"/>
      <c r="AV1452" s="554">
        <f>I1452</f>
        <v>6000</v>
      </c>
      <c r="AW1452" s="551"/>
      <c r="AX1452" s="651"/>
      <c r="AY1452" s="551"/>
      <c r="AZ1452" s="551"/>
      <c r="BA1452" s="551"/>
      <c r="BB1452" s="620">
        <f>I1452/24</f>
        <v>250</v>
      </c>
      <c r="BC1452" s="551"/>
      <c r="BD1452" s="551"/>
      <c r="BE1452" s="551"/>
      <c r="BF1452" s="551"/>
      <c r="BH1452" s="551"/>
      <c r="BI1452" s="551"/>
      <c r="BJ1452" s="551"/>
      <c r="BK1452" s="551"/>
      <c r="BL1452" s="551"/>
      <c r="BM1452" s="551"/>
      <c r="BN1452" s="551"/>
      <c r="BO1452" s="551"/>
      <c r="BP1452" s="551">
        <f>I1452/25</f>
        <v>240</v>
      </c>
      <c r="BQ1452" s="551"/>
      <c r="BR1452" s="551"/>
      <c r="BS1452" s="551"/>
      <c r="BT1452" s="551"/>
      <c r="BU1452" s="551"/>
      <c r="BV1452" s="551"/>
      <c r="BW1452" s="551"/>
      <c r="BX1452" s="551"/>
      <c r="BY1452" s="551"/>
      <c r="BZ1452" s="551"/>
      <c r="CA1452" s="752"/>
      <c r="CB1452" s="747"/>
      <c r="CC1452" s="753"/>
      <c r="CD1452" s="551"/>
      <c r="CE1452" s="551"/>
      <c r="CF1452" s="551"/>
      <c r="CG1452" s="551"/>
      <c r="CI1452" s="551"/>
      <c r="CJ1452" s="551"/>
      <c r="CK1452" s="551"/>
      <c r="CL1452" s="551"/>
      <c r="CM1452" s="551"/>
      <c r="CN1452" s="551"/>
      <c r="CO1452" s="551"/>
      <c r="CP1452" s="650"/>
      <c r="CQ1452" s="650"/>
      <c r="CR1452" s="650"/>
      <c r="CS1452" s="650"/>
      <c r="CT1452" s="650"/>
      <c r="CU1452" s="551">
        <f t="shared" si="565"/>
        <v>240</v>
      </c>
      <c r="CV1452" s="551">
        <f>CK1452+CL1452+CM1452+CN1452+CO1452+CQ1452+CP1452</f>
        <v>0</v>
      </c>
      <c r="CW1452" s="551">
        <f>CI1452+CJ1452</f>
        <v>0</v>
      </c>
      <c r="CX1452" s="650"/>
      <c r="CY1452" s="650"/>
      <c r="CZ1452" s="650"/>
      <c r="DA1452" s="650"/>
      <c r="DB1452" s="650"/>
      <c r="DC1452" s="650"/>
      <c r="DD1452" s="650"/>
      <c r="DE1452" s="650"/>
      <c r="DF1452" s="650"/>
      <c r="DG1452" s="650"/>
      <c r="DH1452" s="650"/>
      <c r="DI1452" s="551"/>
    </row>
    <row r="1453" s="549" customFormat="1" ht="31" customHeight="1" spans="1:113">
      <c r="A1453" s="641">
        <v>46127</v>
      </c>
      <c r="B1453" s="642" t="s">
        <v>1800</v>
      </c>
      <c r="C1453" s="246" t="s">
        <v>744</v>
      </c>
      <c r="D1453" s="758">
        <v>4500198503</v>
      </c>
      <c r="E1453" s="246">
        <v>5000002156</v>
      </c>
      <c r="F1453" s="551" t="s">
        <v>9543</v>
      </c>
      <c r="G1453" s="246" t="s">
        <v>6093</v>
      </c>
      <c r="H1453" s="693" t="s">
        <v>7359</v>
      </c>
      <c r="I1453" s="706">
        <v>24999</v>
      </c>
      <c r="J1453" s="246">
        <v>0</v>
      </c>
      <c r="K1453" s="246">
        <v>13</v>
      </c>
      <c r="L1453" s="644">
        <f t="shared" si="563"/>
        <v>1923</v>
      </c>
      <c r="M1453" s="645">
        <v>46176</v>
      </c>
      <c r="N1453" s="645">
        <f>M1453-4</f>
        <v>46172</v>
      </c>
      <c r="O1453" s="643"/>
      <c r="P1453" s="613" t="s">
        <v>9334</v>
      </c>
      <c r="Q1453" s="646"/>
      <c r="R1453" s="646" t="s">
        <v>3299</v>
      </c>
      <c r="S1453" s="646" t="s">
        <v>104</v>
      </c>
      <c r="T1453" s="646" t="s">
        <v>8723</v>
      </c>
      <c r="U1453" s="646"/>
      <c r="V1453" s="646"/>
      <c r="W1453" s="744"/>
      <c r="X1453" s="642" t="s">
        <v>9544</v>
      </c>
      <c r="Y1453" s="647" t="s">
        <v>1805</v>
      </c>
      <c r="Z1453" s="642">
        <v>0.8677</v>
      </c>
      <c r="AA1453" s="647">
        <f t="shared" si="566"/>
        <v>21691.6323</v>
      </c>
      <c r="AC1453" s="751"/>
      <c r="AD1453" s="246" t="s">
        <v>8338</v>
      </c>
      <c r="AE1453" s="246" t="s">
        <v>82</v>
      </c>
      <c r="AF1453" s="246"/>
      <c r="AG1453" s="246"/>
      <c r="AH1453" s="609">
        <v>1</v>
      </c>
      <c r="AI1453" s="746">
        <v>24999</v>
      </c>
      <c r="AJ1453" s="246">
        <f t="shared" si="564"/>
        <v>0</v>
      </c>
      <c r="AK1453" s="643"/>
      <c r="AL1453" s="246" t="s">
        <v>2368</v>
      </c>
      <c r="AM1453" s="246"/>
      <c r="AN1453" s="551"/>
      <c r="AO1453" s="551">
        <f t="shared" si="567"/>
        <v>24999</v>
      </c>
      <c r="AP1453" s="551"/>
      <c r="AQ1453" s="551"/>
      <c r="AR1453" s="551"/>
      <c r="AS1453" s="551"/>
      <c r="AT1453" s="551"/>
      <c r="AU1453" s="551"/>
      <c r="AV1453" s="551"/>
      <c r="AW1453" s="650">
        <f>I1453</f>
        <v>24999</v>
      </c>
      <c r="AX1453" s="554">
        <f>I1453</f>
        <v>24999</v>
      </c>
      <c r="AY1453" s="551"/>
      <c r="AZ1453" s="551"/>
      <c r="BA1453" s="651">
        <f>I1453/24*2</f>
        <v>2083.25</v>
      </c>
      <c r="BB1453" s="249"/>
      <c r="BC1453" s="551"/>
      <c r="BD1453" s="551"/>
      <c r="BE1453" s="551"/>
      <c r="BF1453" s="551"/>
      <c r="BH1453" s="551"/>
      <c r="BI1453" s="551"/>
      <c r="BJ1453" s="551"/>
      <c r="BK1453" s="551"/>
      <c r="BL1453" s="551"/>
      <c r="BM1453" s="551">
        <f>I1453/13</f>
        <v>1923</v>
      </c>
      <c r="BN1453" s="551"/>
      <c r="BO1453" s="551"/>
      <c r="BP1453" s="551"/>
      <c r="BQ1453" s="551"/>
      <c r="BR1453" s="551"/>
      <c r="BS1453" s="551"/>
      <c r="BT1453" s="551"/>
      <c r="BU1453" s="551"/>
      <c r="BV1453" s="551"/>
      <c r="BW1453" s="551"/>
      <c r="BX1453" s="551"/>
      <c r="BY1453" s="551"/>
      <c r="BZ1453" s="551"/>
      <c r="CA1453" s="752"/>
      <c r="CB1453" s="747"/>
      <c r="CC1453" s="753"/>
      <c r="CD1453" s="551"/>
      <c r="CE1453" s="551"/>
      <c r="CF1453" s="551"/>
      <c r="CG1453" s="551"/>
      <c r="CI1453" s="551"/>
      <c r="CJ1453" s="551"/>
      <c r="CK1453" s="551"/>
      <c r="CL1453" s="551"/>
      <c r="CM1453" s="551"/>
      <c r="CN1453" s="551"/>
      <c r="CO1453" s="551"/>
      <c r="CP1453" s="650"/>
      <c r="CQ1453" s="650"/>
      <c r="CR1453" s="650"/>
      <c r="CS1453" s="650"/>
      <c r="CT1453" s="650"/>
      <c r="CU1453" s="551">
        <f t="shared" si="565"/>
        <v>0</v>
      </c>
      <c r="CV1453" s="551">
        <v>0</v>
      </c>
      <c r="CW1453" s="551">
        <v>0</v>
      </c>
      <c r="CX1453" s="650"/>
      <c r="CY1453" s="650"/>
      <c r="CZ1453" s="650"/>
      <c r="DA1453" s="650"/>
      <c r="DB1453" s="650"/>
      <c r="DC1453" s="650"/>
      <c r="DD1453" s="650"/>
      <c r="DE1453" s="650"/>
      <c r="DF1453" s="650"/>
      <c r="DG1453" s="650"/>
      <c r="DH1453" s="650"/>
      <c r="DI1453" s="551"/>
    </row>
    <row r="1454" s="549" customFormat="1" ht="31" customHeight="1" spans="1:113">
      <c r="A1454" s="641">
        <v>46093</v>
      </c>
      <c r="B1454" s="642" t="s">
        <v>2206</v>
      </c>
      <c r="C1454" s="693" t="s">
        <v>1343</v>
      </c>
      <c r="D1454" s="762">
        <v>4500196429</v>
      </c>
      <c r="E1454" s="246" t="s">
        <v>9545</v>
      </c>
      <c r="F1454" s="551" t="s">
        <v>9546</v>
      </c>
      <c r="G1454" s="246" t="s">
        <v>6276</v>
      </c>
      <c r="H1454" s="246" t="s">
        <v>6277</v>
      </c>
      <c r="I1454" s="246">
        <v>2500</v>
      </c>
      <c r="J1454" s="246">
        <v>0</v>
      </c>
      <c r="K1454" s="246">
        <v>50</v>
      </c>
      <c r="L1454" s="644">
        <f t="shared" si="563"/>
        <v>50</v>
      </c>
      <c r="M1454" s="645">
        <v>46176</v>
      </c>
      <c r="N1454" s="645">
        <v>46172</v>
      </c>
      <c r="O1454" s="643"/>
      <c r="P1454" s="643" t="s">
        <v>9433</v>
      </c>
      <c r="Q1454" s="246" t="s">
        <v>9547</v>
      </c>
      <c r="R1454" s="646" t="s">
        <v>9159</v>
      </c>
      <c r="S1454" s="646" t="s">
        <v>70</v>
      </c>
      <c r="T1454" s="646" t="s">
        <v>7845</v>
      </c>
      <c r="U1454" s="646"/>
      <c r="V1454" s="646"/>
      <c r="W1454" s="744"/>
      <c r="X1454" s="642" t="s">
        <v>9160</v>
      </c>
      <c r="Y1454" s="647" t="s">
        <v>217</v>
      </c>
      <c r="Z1454" s="655">
        <v>0.9882</v>
      </c>
      <c r="AA1454" s="647">
        <f t="shared" si="566"/>
        <v>2470.5</v>
      </c>
      <c r="AC1454" s="648"/>
      <c r="AD1454" s="246" t="s">
        <v>9017</v>
      </c>
      <c r="AE1454" s="246" t="s">
        <v>82</v>
      </c>
      <c r="AF1454" s="246"/>
      <c r="AG1454" s="642"/>
      <c r="AH1454" s="642"/>
      <c r="AI1454" s="246">
        <f>2450+50</f>
        <v>2500</v>
      </c>
      <c r="AJ1454" s="246">
        <f t="shared" si="564"/>
        <v>0</v>
      </c>
      <c r="AK1454" s="246"/>
      <c r="AL1454" s="246" t="s">
        <v>2368</v>
      </c>
      <c r="AM1454" s="246"/>
      <c r="AN1454" s="246"/>
      <c r="AO1454" s="551">
        <f t="shared" si="567"/>
        <v>2500</v>
      </c>
      <c r="AP1454" s="551"/>
      <c r="AQ1454" s="551"/>
      <c r="AR1454" s="551"/>
      <c r="AS1454" s="551"/>
      <c r="AT1454" s="554">
        <f>I1454</f>
        <v>2500</v>
      </c>
      <c r="AU1454" s="551"/>
      <c r="AV1454" s="551"/>
      <c r="AW1454" s="650"/>
      <c r="AX1454" s="551"/>
      <c r="AY1454" s="551"/>
      <c r="AZ1454" s="551"/>
      <c r="BA1454" s="551"/>
      <c r="BB1454" s="249">
        <f>I1454/24*2</f>
        <v>208.333333333333</v>
      </c>
      <c r="BC1454" s="651"/>
      <c r="BD1454" s="551"/>
      <c r="BE1454" s="551"/>
      <c r="BF1454" s="551"/>
      <c r="BH1454" s="551"/>
      <c r="BI1454" s="551"/>
      <c r="BJ1454" s="551"/>
      <c r="BK1454" s="551"/>
      <c r="BL1454" s="551"/>
      <c r="BM1454" s="551"/>
      <c r="BN1454" s="551"/>
      <c r="BO1454" s="551"/>
      <c r="BP1454" s="551"/>
      <c r="BQ1454" s="551"/>
      <c r="BR1454" s="551"/>
      <c r="BS1454" s="551"/>
      <c r="BT1454" s="551"/>
      <c r="BU1454" s="551"/>
      <c r="BV1454" s="551"/>
      <c r="BW1454" s="551">
        <f>I1454</f>
        <v>2500</v>
      </c>
      <c r="BX1454" s="551">
        <f>I1454/25</f>
        <v>100</v>
      </c>
      <c r="BY1454" s="650"/>
      <c r="BZ1454" s="551"/>
      <c r="CA1454" s="652"/>
      <c r="CB1454" s="747"/>
      <c r="CC1454" s="653"/>
      <c r="CD1454" s="650"/>
      <c r="CE1454" s="650"/>
      <c r="CF1454" s="551"/>
      <c r="CG1454" s="551"/>
      <c r="CI1454" s="551"/>
      <c r="CJ1454" s="551"/>
      <c r="CK1454" s="551"/>
      <c r="CL1454" s="551"/>
      <c r="CM1454" s="551"/>
      <c r="CN1454" s="551"/>
      <c r="CO1454" s="551"/>
      <c r="CP1454" s="551"/>
      <c r="CQ1454" s="551"/>
      <c r="CR1454" s="551"/>
      <c r="CS1454" s="551"/>
      <c r="CT1454" s="551"/>
      <c r="CU1454" s="551">
        <f t="shared" si="565"/>
        <v>100</v>
      </c>
      <c r="CV1454" s="551">
        <f>CK1454+CL1454+CM1454+CN1454+CO1454+CQ1454+CP1454</f>
        <v>0</v>
      </c>
      <c r="CW1454" s="551">
        <f>CI1454+CJ1454</f>
        <v>0</v>
      </c>
      <c r="CX1454" s="650"/>
      <c r="CY1454" s="650"/>
      <c r="CZ1454" s="650"/>
      <c r="DA1454" s="551"/>
      <c r="DB1454" s="551"/>
      <c r="DC1454" s="551"/>
      <c r="DD1454" s="650"/>
      <c r="DE1454" s="650"/>
      <c r="DF1454" s="650"/>
      <c r="DG1454" s="650"/>
      <c r="DH1454" s="650"/>
      <c r="DI1454" s="551"/>
    </row>
    <row r="1455" s="549" customFormat="1" ht="31" customHeight="1" spans="1:113">
      <c r="A1455" s="641">
        <v>46133</v>
      </c>
      <c r="B1455" s="642" t="s">
        <v>1620</v>
      </c>
      <c r="C1455" s="246" t="s">
        <v>278</v>
      </c>
      <c r="D1455" s="748">
        <v>4500203119</v>
      </c>
      <c r="E1455" s="246" t="s">
        <v>9548</v>
      </c>
      <c r="F1455" s="551" t="s">
        <v>9549</v>
      </c>
      <c r="G1455" s="246" t="s">
        <v>6047</v>
      </c>
      <c r="H1455" s="246" t="s">
        <v>6069</v>
      </c>
      <c r="I1455" s="706">
        <v>15000</v>
      </c>
      <c r="J1455" s="246">
        <v>0</v>
      </c>
      <c r="K1455" s="246">
        <v>25</v>
      </c>
      <c r="L1455" s="644">
        <f t="shared" si="563"/>
        <v>600</v>
      </c>
      <c r="M1455" s="645">
        <v>46176</v>
      </c>
      <c r="N1455" s="645">
        <v>46172</v>
      </c>
      <c r="O1455" s="643"/>
      <c r="P1455" s="246" t="s">
        <v>9334</v>
      </c>
      <c r="Q1455" s="646" t="s">
        <v>9550</v>
      </c>
      <c r="R1455" s="646">
        <v>46141</v>
      </c>
      <c r="S1455" s="646" t="s">
        <v>70</v>
      </c>
      <c r="T1455" s="646" t="s">
        <v>8294</v>
      </c>
      <c r="U1455" s="646"/>
      <c r="V1455" s="646"/>
      <c r="W1455" s="744"/>
      <c r="X1455" s="642" t="s">
        <v>9551</v>
      </c>
      <c r="Y1455" s="647" t="s">
        <v>1549</v>
      </c>
      <c r="Z1455" s="642">
        <v>0.9649</v>
      </c>
      <c r="AA1455" s="647">
        <f t="shared" si="566"/>
        <v>14473.5</v>
      </c>
      <c r="AC1455" s="751"/>
      <c r="AD1455" s="246" t="s">
        <v>6047</v>
      </c>
      <c r="AE1455" s="246" t="s">
        <v>82</v>
      </c>
      <c r="AF1455" s="246"/>
      <c r="AG1455" s="246"/>
      <c r="AH1455" s="642"/>
      <c r="AI1455" s="750"/>
      <c r="AJ1455" s="656">
        <f t="shared" si="564"/>
        <v>-15000</v>
      </c>
      <c r="AK1455" s="643"/>
      <c r="AL1455" s="246" t="s">
        <v>2368</v>
      </c>
      <c r="AM1455" s="246"/>
      <c r="AN1455" s="551"/>
      <c r="AO1455" s="551">
        <f t="shared" si="567"/>
        <v>15000</v>
      </c>
      <c r="AP1455" s="551"/>
      <c r="AQ1455" s="551"/>
      <c r="AR1455" s="551"/>
      <c r="AS1455" s="551"/>
      <c r="AT1455" s="554">
        <f>I1455</f>
        <v>15000</v>
      </c>
      <c r="AU1455" s="551"/>
      <c r="AV1455" s="554">
        <f>I1455</f>
        <v>15000</v>
      </c>
      <c r="AW1455" s="551"/>
      <c r="AX1455" s="651"/>
      <c r="AY1455" s="551"/>
      <c r="AZ1455" s="551"/>
      <c r="BA1455" s="551"/>
      <c r="BB1455" s="620">
        <f>I1455/24</f>
        <v>625</v>
      </c>
      <c r="BC1455" s="551"/>
      <c r="BD1455" s="551"/>
      <c r="BE1455" s="551"/>
      <c r="BF1455" s="551"/>
      <c r="BH1455" s="551"/>
      <c r="BI1455" s="551"/>
      <c r="BJ1455" s="551"/>
      <c r="BK1455" s="551"/>
      <c r="BL1455" s="551"/>
      <c r="BM1455" s="551"/>
      <c r="BN1455" s="551"/>
      <c r="BO1455" s="551"/>
      <c r="BP1455" s="551">
        <f>I1455/25</f>
        <v>600</v>
      </c>
      <c r="BQ1455" s="551"/>
      <c r="BR1455" s="551"/>
      <c r="BS1455" s="551"/>
      <c r="BT1455" s="551"/>
      <c r="BU1455" s="551"/>
      <c r="BV1455" s="551"/>
      <c r="BW1455" s="551"/>
      <c r="BX1455" s="551"/>
      <c r="BY1455" s="551"/>
      <c r="BZ1455" s="551"/>
      <c r="CA1455" s="752"/>
      <c r="CB1455" s="747"/>
      <c r="CC1455" s="753"/>
      <c r="CD1455" s="551"/>
      <c r="CE1455" s="551"/>
      <c r="CF1455" s="551"/>
      <c r="CG1455" s="551"/>
      <c r="CI1455" s="551"/>
      <c r="CJ1455" s="551"/>
      <c r="CK1455" s="551"/>
      <c r="CL1455" s="551"/>
      <c r="CM1455" s="551"/>
      <c r="CN1455" s="551"/>
      <c r="CO1455" s="551"/>
      <c r="CP1455" s="650"/>
      <c r="CQ1455" s="650"/>
      <c r="CR1455" s="650"/>
      <c r="CS1455" s="650"/>
      <c r="CT1455" s="650"/>
      <c r="CU1455" s="551">
        <f t="shared" si="565"/>
        <v>600</v>
      </c>
      <c r="CV1455" s="551">
        <f>CK1455+CL1455+CM1455+CN1455+CO1455+CQ1455+CP1455</f>
        <v>0</v>
      </c>
      <c r="CW1455" s="551">
        <f>CI1455+CJ1455</f>
        <v>0</v>
      </c>
      <c r="CX1455" s="650"/>
      <c r="CY1455" s="650"/>
      <c r="CZ1455" s="650"/>
      <c r="DA1455" s="650"/>
      <c r="DB1455" s="650"/>
      <c r="DC1455" s="650"/>
      <c r="DD1455" s="650"/>
      <c r="DE1455" s="650"/>
      <c r="DF1455" s="650"/>
      <c r="DG1455" s="650"/>
      <c r="DH1455" s="650"/>
      <c r="DI1455" s="551"/>
    </row>
    <row r="1456" s="549" customFormat="1" ht="31" customHeight="1" spans="1:113">
      <c r="A1456" s="641">
        <v>46126</v>
      </c>
      <c r="B1456" s="642" t="s">
        <v>3340</v>
      </c>
      <c r="C1456" s="246" t="s">
        <v>98</v>
      </c>
      <c r="D1456" s="551">
        <v>4500201723</v>
      </c>
      <c r="E1456" s="246">
        <v>127316</v>
      </c>
      <c r="F1456" s="551" t="s">
        <v>9552</v>
      </c>
      <c r="G1456" s="246" t="s">
        <v>6787</v>
      </c>
      <c r="H1456" s="610" t="s">
        <v>6126</v>
      </c>
      <c r="I1456" s="706">
        <v>2004</v>
      </c>
      <c r="J1456" s="246">
        <v>0</v>
      </c>
      <c r="K1456" s="246">
        <v>12</v>
      </c>
      <c r="L1456" s="644">
        <f t="shared" si="563"/>
        <v>167</v>
      </c>
      <c r="M1456" s="645">
        <v>46177</v>
      </c>
      <c r="N1456" s="645">
        <v>46174</v>
      </c>
      <c r="O1456" s="643"/>
      <c r="P1456" s="643" t="s">
        <v>9433</v>
      </c>
      <c r="Q1456" s="646">
        <v>46178</v>
      </c>
      <c r="R1456" s="646">
        <v>46126</v>
      </c>
      <c r="S1456" s="646" t="s">
        <v>70</v>
      </c>
      <c r="T1456" s="646" t="s">
        <v>4147</v>
      </c>
      <c r="U1456" s="646"/>
      <c r="V1456" s="646"/>
      <c r="W1456" s="744"/>
      <c r="X1456" s="642" t="s">
        <v>9553</v>
      </c>
      <c r="Y1456" s="647" t="s">
        <v>3864</v>
      </c>
      <c r="Z1456" s="642">
        <v>1.3546</v>
      </c>
      <c r="AA1456" s="647">
        <f t="shared" si="566"/>
        <v>2714.6184</v>
      </c>
      <c r="AC1456" s="763" t="s">
        <v>4149</v>
      </c>
      <c r="AD1456" s="642" t="s">
        <v>8079</v>
      </c>
      <c r="AE1456" s="246" t="s">
        <v>82</v>
      </c>
      <c r="AF1456" s="246"/>
      <c r="AG1456" s="246"/>
      <c r="AH1456" s="642"/>
      <c r="AI1456" s="610">
        <v>2004</v>
      </c>
      <c r="AJ1456" s="246">
        <f t="shared" si="564"/>
        <v>0</v>
      </c>
      <c r="AK1456" s="643"/>
      <c r="AL1456" s="246" t="s">
        <v>2368</v>
      </c>
      <c r="AM1456" s="246"/>
      <c r="AN1456" s="246">
        <f>I1456*2</f>
        <v>4008</v>
      </c>
      <c r="AO1456" s="551"/>
      <c r="AP1456" s="551"/>
      <c r="AQ1456" s="551">
        <f>I1456*2</f>
        <v>4008</v>
      </c>
      <c r="AR1456" s="650"/>
      <c r="AS1456" s="551"/>
      <c r="AT1456" s="551"/>
      <c r="AU1456" s="551">
        <f>I1456*2</f>
        <v>4008</v>
      </c>
      <c r="AV1456" s="551"/>
      <c r="AW1456" s="551"/>
      <c r="AX1456" s="651"/>
      <c r="AY1456" s="551"/>
      <c r="AZ1456" s="551"/>
      <c r="BA1456" s="551"/>
      <c r="BB1456" s="249">
        <f>I1456/24*2</f>
        <v>167</v>
      </c>
      <c r="BC1456" s="551"/>
      <c r="BD1456" s="551"/>
      <c r="BE1456" s="551"/>
      <c r="BF1456" s="551"/>
      <c r="BH1456" s="551"/>
      <c r="BI1456" s="551"/>
      <c r="BJ1456" s="551"/>
      <c r="BK1456" s="551"/>
      <c r="BL1456" s="551"/>
      <c r="BM1456" s="551"/>
      <c r="BN1456" s="551"/>
      <c r="BO1456" s="551"/>
      <c r="BP1456" s="551"/>
      <c r="BQ1456" s="551"/>
      <c r="BR1456" s="551"/>
      <c r="BS1456" s="551"/>
      <c r="BT1456" s="551"/>
      <c r="BU1456" s="551"/>
      <c r="BV1456" s="551"/>
      <c r="BW1456" s="551"/>
      <c r="BX1456" s="551"/>
      <c r="BY1456" s="551"/>
      <c r="BZ1456" s="551"/>
      <c r="CA1456" s="752"/>
      <c r="CB1456" s="747"/>
      <c r="CC1456" s="753"/>
      <c r="CD1456" s="551"/>
      <c r="CE1456" s="551"/>
      <c r="CF1456" s="551"/>
      <c r="CG1456" s="551"/>
      <c r="CI1456" s="551"/>
      <c r="CJ1456" s="551"/>
      <c r="CK1456" s="551"/>
      <c r="CL1456" s="551"/>
      <c r="CM1456" s="551"/>
      <c r="CN1456" s="551"/>
      <c r="CO1456" s="551"/>
      <c r="CP1456" s="650"/>
      <c r="CQ1456" s="650"/>
      <c r="CR1456" s="551">
        <f>I1456</f>
        <v>2004</v>
      </c>
      <c r="CS1456" s="551">
        <f>I1456</f>
        <v>2004</v>
      </c>
      <c r="CT1456" s="551">
        <f>I1456</f>
        <v>2004</v>
      </c>
      <c r="CU1456" s="551">
        <f t="shared" si="565"/>
        <v>0</v>
      </c>
      <c r="CV1456" s="551">
        <v>0</v>
      </c>
      <c r="CW1456" s="551">
        <v>0</v>
      </c>
      <c r="CX1456" s="650"/>
      <c r="CY1456" s="650"/>
      <c r="CZ1456" s="650"/>
      <c r="DA1456" s="650"/>
      <c r="DB1456" s="650"/>
      <c r="DC1456" s="650"/>
      <c r="DD1456" s="650"/>
      <c r="DE1456" s="650"/>
      <c r="DF1456" s="650"/>
      <c r="DG1456" s="650"/>
      <c r="DH1456" s="650"/>
      <c r="DI1456" s="551"/>
    </row>
    <row r="1457" s="549" customFormat="1" ht="31" customHeight="1" spans="1:113">
      <c r="A1457" s="641">
        <v>46126</v>
      </c>
      <c r="B1457" s="642" t="s">
        <v>3340</v>
      </c>
      <c r="C1457" s="246" t="s">
        <v>98</v>
      </c>
      <c r="D1457" s="551">
        <v>4500201724</v>
      </c>
      <c r="E1457" s="246">
        <v>127329</v>
      </c>
      <c r="F1457" s="551" t="s">
        <v>9554</v>
      </c>
      <c r="G1457" s="246" t="s">
        <v>6787</v>
      </c>
      <c r="H1457" s="610" t="s">
        <v>6126</v>
      </c>
      <c r="I1457" s="706">
        <v>2196</v>
      </c>
      <c r="J1457" s="246">
        <v>0</v>
      </c>
      <c r="K1457" s="246">
        <v>12</v>
      </c>
      <c r="L1457" s="644">
        <f t="shared" si="563"/>
        <v>183</v>
      </c>
      <c r="M1457" s="645">
        <v>46177</v>
      </c>
      <c r="N1457" s="645">
        <v>46174</v>
      </c>
      <c r="O1457" s="643"/>
      <c r="P1457" s="643" t="s">
        <v>9433</v>
      </c>
      <c r="Q1457" s="646" t="s">
        <v>4151</v>
      </c>
      <c r="R1457" s="646">
        <v>46126</v>
      </c>
      <c r="S1457" s="646" t="s">
        <v>70</v>
      </c>
      <c r="T1457" s="646" t="s">
        <v>4147</v>
      </c>
      <c r="U1457" s="646"/>
      <c r="V1457" s="646"/>
      <c r="W1457" s="744"/>
      <c r="X1457" s="642" t="s">
        <v>9555</v>
      </c>
      <c r="Y1457" s="647" t="s">
        <v>3864</v>
      </c>
      <c r="Z1457" s="642">
        <v>1.3546</v>
      </c>
      <c r="AA1457" s="647">
        <f t="shared" si="566"/>
        <v>2974.7016</v>
      </c>
      <c r="AC1457" s="763" t="s">
        <v>4154</v>
      </c>
      <c r="AD1457" s="642" t="s">
        <v>8079</v>
      </c>
      <c r="AE1457" s="246" t="s">
        <v>82</v>
      </c>
      <c r="AF1457" s="246"/>
      <c r="AG1457" s="246"/>
      <c r="AH1457" s="642"/>
      <c r="AI1457" s="610">
        <v>2196</v>
      </c>
      <c r="AJ1457" s="746">
        <f t="shared" si="564"/>
        <v>0</v>
      </c>
      <c r="AK1457" s="643"/>
      <c r="AL1457" s="246" t="s">
        <v>2368</v>
      </c>
      <c r="AM1457" s="246"/>
      <c r="AN1457" s="246">
        <f>I1457*2</f>
        <v>4392</v>
      </c>
      <c r="AO1457" s="551"/>
      <c r="AP1457" s="551"/>
      <c r="AQ1457" s="551">
        <f>I1457*2</f>
        <v>4392</v>
      </c>
      <c r="AR1457" s="650"/>
      <c r="AS1457" s="551"/>
      <c r="AT1457" s="551"/>
      <c r="AU1457" s="551">
        <f>I1457*2</f>
        <v>4392</v>
      </c>
      <c r="AV1457" s="551"/>
      <c r="AW1457" s="551"/>
      <c r="AX1457" s="651"/>
      <c r="AY1457" s="551"/>
      <c r="AZ1457" s="551"/>
      <c r="BA1457" s="551"/>
      <c r="BB1457" s="249">
        <f>I1457/24*2</f>
        <v>183</v>
      </c>
      <c r="BC1457" s="551"/>
      <c r="BD1457" s="551"/>
      <c r="BE1457" s="551"/>
      <c r="BF1457" s="551"/>
      <c r="BH1457" s="551"/>
      <c r="BI1457" s="551"/>
      <c r="BJ1457" s="551"/>
      <c r="BK1457" s="551"/>
      <c r="BL1457" s="551"/>
      <c r="BM1457" s="551"/>
      <c r="BN1457" s="551"/>
      <c r="BO1457" s="551"/>
      <c r="BP1457" s="551"/>
      <c r="BQ1457" s="551"/>
      <c r="BR1457" s="551"/>
      <c r="BS1457" s="551"/>
      <c r="BT1457" s="551"/>
      <c r="BU1457" s="551"/>
      <c r="BV1457" s="551"/>
      <c r="BW1457" s="551"/>
      <c r="BX1457" s="551"/>
      <c r="BY1457" s="551"/>
      <c r="BZ1457" s="551"/>
      <c r="CA1457" s="752"/>
      <c r="CB1457" s="747"/>
      <c r="CC1457" s="753"/>
      <c r="CD1457" s="551"/>
      <c r="CE1457" s="551"/>
      <c r="CF1457" s="551"/>
      <c r="CG1457" s="551"/>
      <c r="CI1457" s="551"/>
      <c r="CJ1457" s="551"/>
      <c r="CK1457" s="551"/>
      <c r="CL1457" s="551"/>
      <c r="CM1457" s="551"/>
      <c r="CN1457" s="551"/>
      <c r="CO1457" s="551"/>
      <c r="CP1457" s="650"/>
      <c r="CQ1457" s="650"/>
      <c r="CR1457" s="551">
        <f>I1457</f>
        <v>2196</v>
      </c>
      <c r="CS1457" s="551">
        <f>I1457</f>
        <v>2196</v>
      </c>
      <c r="CT1457" s="551">
        <f>I1457</f>
        <v>2196</v>
      </c>
      <c r="CU1457" s="551">
        <f t="shared" si="565"/>
        <v>0</v>
      </c>
      <c r="CV1457" s="551">
        <v>0</v>
      </c>
      <c r="CW1457" s="551">
        <v>0</v>
      </c>
      <c r="CX1457" s="650"/>
      <c r="CY1457" s="650"/>
      <c r="CZ1457" s="650"/>
      <c r="DA1457" s="650"/>
      <c r="DB1457" s="650"/>
      <c r="DC1457" s="650"/>
      <c r="DD1457" s="650"/>
      <c r="DE1457" s="650"/>
      <c r="DF1457" s="650"/>
      <c r="DG1457" s="650"/>
      <c r="DH1457" s="650"/>
      <c r="DI1457" s="551"/>
    </row>
    <row r="1458" s="549" customFormat="1" ht="31" customHeight="1" spans="1:113">
      <c r="A1458" s="641">
        <v>46135</v>
      </c>
      <c r="B1458" s="642" t="s">
        <v>1800</v>
      </c>
      <c r="C1458" s="246" t="s">
        <v>744</v>
      </c>
      <c r="D1458" s="758">
        <v>4500198503</v>
      </c>
      <c r="E1458" s="246">
        <v>5000002156</v>
      </c>
      <c r="F1458" s="551" t="s">
        <v>9556</v>
      </c>
      <c r="G1458" s="246" t="s">
        <v>6093</v>
      </c>
      <c r="H1458" s="693" t="s">
        <v>7359</v>
      </c>
      <c r="I1458" s="706">
        <v>19500</v>
      </c>
      <c r="J1458" s="246">
        <v>0</v>
      </c>
      <c r="K1458" s="246">
        <v>13</v>
      </c>
      <c r="L1458" s="644">
        <f t="shared" si="563"/>
        <v>1500</v>
      </c>
      <c r="M1458" s="645">
        <v>46182</v>
      </c>
      <c r="N1458" s="645">
        <v>46178</v>
      </c>
      <c r="O1458" s="643"/>
      <c r="P1458" s="613" t="s">
        <v>9334</v>
      </c>
      <c r="Q1458" s="646"/>
      <c r="R1458" s="646" t="s">
        <v>3299</v>
      </c>
      <c r="S1458" s="646" t="s">
        <v>104</v>
      </c>
      <c r="T1458" s="646" t="s">
        <v>8723</v>
      </c>
      <c r="U1458" s="646"/>
      <c r="V1458" s="646"/>
      <c r="W1458" s="744"/>
      <c r="X1458" s="642" t="s">
        <v>9544</v>
      </c>
      <c r="Y1458" s="647" t="s">
        <v>1805</v>
      </c>
      <c r="Z1458" s="642">
        <v>0.8677</v>
      </c>
      <c r="AA1458" s="647">
        <f t="shared" si="566"/>
        <v>16920.15</v>
      </c>
      <c r="AC1458" s="751"/>
      <c r="AD1458" s="246" t="s">
        <v>8338</v>
      </c>
      <c r="AE1458" s="246" t="s">
        <v>82</v>
      </c>
      <c r="AF1458" s="246"/>
      <c r="AG1458" s="246"/>
      <c r="AH1458" s="609">
        <v>1</v>
      </c>
      <c r="AI1458" s="746">
        <f>4680+14820</f>
        <v>19500</v>
      </c>
      <c r="AJ1458" s="246">
        <f t="shared" si="564"/>
        <v>0</v>
      </c>
      <c r="AK1458" s="643"/>
      <c r="AL1458" s="246" t="s">
        <v>2368</v>
      </c>
      <c r="AM1458" s="246"/>
      <c r="AN1458" s="551"/>
      <c r="AO1458" s="551">
        <f>I1458</f>
        <v>19500</v>
      </c>
      <c r="AP1458" s="551"/>
      <c r="AQ1458" s="551"/>
      <c r="AR1458" s="551"/>
      <c r="AS1458" s="551"/>
      <c r="AT1458" s="551"/>
      <c r="AU1458" s="551"/>
      <c r="AV1458" s="551"/>
      <c r="AW1458" s="650">
        <f>I1458</f>
        <v>19500</v>
      </c>
      <c r="AX1458" s="554">
        <f>I1458</f>
        <v>19500</v>
      </c>
      <c r="AY1458" s="551"/>
      <c r="AZ1458" s="551"/>
      <c r="BA1458" s="651">
        <f>I1458/24*2</f>
        <v>1625</v>
      </c>
      <c r="BB1458" s="249"/>
      <c r="BC1458" s="551"/>
      <c r="BD1458" s="551"/>
      <c r="BE1458" s="551"/>
      <c r="BF1458" s="551"/>
      <c r="BH1458" s="551"/>
      <c r="BI1458" s="551"/>
      <c r="BJ1458" s="551"/>
      <c r="BK1458" s="551"/>
      <c r="BL1458" s="551"/>
      <c r="BM1458" s="551">
        <f>I1458/13</f>
        <v>1500</v>
      </c>
      <c r="BN1458" s="551"/>
      <c r="BO1458" s="551"/>
      <c r="BP1458" s="551"/>
      <c r="BQ1458" s="551"/>
      <c r="BR1458" s="551"/>
      <c r="BS1458" s="551"/>
      <c r="BT1458" s="551"/>
      <c r="BU1458" s="551"/>
      <c r="BV1458" s="551"/>
      <c r="BW1458" s="551"/>
      <c r="BX1458" s="551"/>
      <c r="BY1458" s="551"/>
      <c r="BZ1458" s="551"/>
      <c r="CA1458" s="752"/>
      <c r="CB1458" s="747"/>
      <c r="CC1458" s="753"/>
      <c r="CD1458" s="551"/>
      <c r="CE1458" s="551"/>
      <c r="CF1458" s="551"/>
      <c r="CG1458" s="551"/>
      <c r="CI1458" s="551"/>
      <c r="CJ1458" s="551"/>
      <c r="CK1458" s="551"/>
      <c r="CL1458" s="551"/>
      <c r="CM1458" s="551"/>
      <c r="CN1458" s="551"/>
      <c r="CO1458" s="551"/>
      <c r="CP1458" s="650"/>
      <c r="CQ1458" s="650"/>
      <c r="CR1458" s="650"/>
      <c r="CS1458" s="650"/>
      <c r="CT1458" s="650"/>
      <c r="CU1458" s="551">
        <f t="shared" si="565"/>
        <v>0</v>
      </c>
      <c r="CV1458" s="551">
        <v>0</v>
      </c>
      <c r="CW1458" s="551">
        <v>0</v>
      </c>
      <c r="CX1458" s="650"/>
      <c r="CY1458" s="650"/>
      <c r="CZ1458" s="650"/>
      <c r="DA1458" s="650"/>
      <c r="DB1458" s="650"/>
      <c r="DC1458" s="650"/>
      <c r="DD1458" s="650"/>
      <c r="DE1458" s="650"/>
      <c r="DF1458" s="650"/>
      <c r="DG1458" s="650"/>
      <c r="DH1458" s="650"/>
      <c r="DI1458" s="551"/>
    </row>
    <row r="1459" s="550" customFormat="1" ht="31" customHeight="1" spans="1:113">
      <c r="A1459" s="608">
        <v>46094</v>
      </c>
      <c r="B1459" s="609" t="s">
        <v>6442</v>
      </c>
      <c r="C1459" s="610" t="s">
        <v>375</v>
      </c>
      <c r="D1459" s="733">
        <v>4500196453</v>
      </c>
      <c r="E1459" s="610">
        <v>188529</v>
      </c>
      <c r="F1459" s="554" t="s">
        <v>9557</v>
      </c>
      <c r="G1459" s="610" t="s">
        <v>6047</v>
      </c>
      <c r="H1459" s="610" t="s">
        <v>6033</v>
      </c>
      <c r="I1459" s="610">
        <v>700</v>
      </c>
      <c r="J1459" s="610">
        <v>0</v>
      </c>
      <c r="K1459" s="610">
        <v>25</v>
      </c>
      <c r="L1459" s="611">
        <f t="shared" si="563"/>
        <v>28</v>
      </c>
      <c r="M1459" s="612">
        <v>46170</v>
      </c>
      <c r="N1459" s="612">
        <v>46167</v>
      </c>
      <c r="O1459" s="613" t="s">
        <v>9558</v>
      </c>
      <c r="P1459" s="723" t="s">
        <v>9334</v>
      </c>
      <c r="Q1459" s="610" t="s">
        <v>9378</v>
      </c>
      <c r="R1459" s="614">
        <v>46127</v>
      </c>
      <c r="S1459" s="614" t="s">
        <v>70</v>
      </c>
      <c r="T1459" s="614" t="s">
        <v>9559</v>
      </c>
      <c r="U1459" s="614"/>
      <c r="V1459" s="614"/>
      <c r="W1459" s="573"/>
      <c r="X1459" s="738" t="s">
        <v>9560</v>
      </c>
      <c r="Y1459" s="609" t="s">
        <v>244</v>
      </c>
      <c r="Z1459" s="722">
        <v>0.9809</v>
      </c>
      <c r="AA1459" s="616">
        <f t="shared" si="566"/>
        <v>686.63</v>
      </c>
      <c r="AC1459" s="617"/>
      <c r="AD1459" s="610" t="s">
        <v>6047</v>
      </c>
      <c r="AE1459" s="610" t="s">
        <v>82</v>
      </c>
      <c r="AF1459" s="610"/>
      <c r="AG1459" s="610"/>
      <c r="AH1459" s="610"/>
      <c r="AI1459" s="726">
        <v>700</v>
      </c>
      <c r="AJ1459" s="610">
        <f t="shared" si="564"/>
        <v>0</v>
      </c>
      <c r="AK1459" s="610"/>
      <c r="AL1459" s="610" t="s">
        <v>2368</v>
      </c>
      <c r="AM1459" s="610"/>
      <c r="AN1459" s="614"/>
      <c r="AO1459" s="554">
        <f>I1459</f>
        <v>700</v>
      </c>
      <c r="AP1459" s="554"/>
      <c r="AQ1459" s="554"/>
      <c r="AR1459" s="619"/>
      <c r="AS1459" s="554"/>
      <c r="AT1459" s="554">
        <f>I1459</f>
        <v>700</v>
      </c>
      <c r="AU1459" s="554"/>
      <c r="AV1459" s="554">
        <f>I1459</f>
        <v>700</v>
      </c>
      <c r="AW1459" s="619"/>
      <c r="AX1459" s="554"/>
      <c r="AY1459" s="554"/>
      <c r="AZ1459" s="554"/>
      <c r="BA1459" s="554"/>
      <c r="BB1459" s="620">
        <f>I1459/24</f>
        <v>29.1666666666667</v>
      </c>
      <c r="BC1459" s="554"/>
      <c r="BD1459" s="554"/>
      <c r="BE1459" s="554"/>
      <c r="BF1459" s="554"/>
      <c r="BG1459" s="550"/>
      <c r="BH1459" s="554"/>
      <c r="BI1459" s="554"/>
      <c r="BJ1459" s="554"/>
      <c r="BK1459" s="554"/>
      <c r="BL1459" s="554"/>
      <c r="BM1459" s="554"/>
      <c r="BN1459" s="554"/>
      <c r="BO1459" s="554"/>
      <c r="BP1459" s="554">
        <f>I1459/25</f>
        <v>28</v>
      </c>
      <c r="BQ1459" s="554"/>
      <c r="BR1459" s="554"/>
      <c r="BS1459" s="554"/>
      <c r="BT1459" s="554"/>
      <c r="BU1459" s="554"/>
      <c r="BV1459" s="554"/>
      <c r="BW1459" s="554"/>
      <c r="BX1459" s="554"/>
      <c r="BY1459" s="619"/>
      <c r="BZ1459" s="554"/>
      <c r="CA1459" s="621"/>
      <c r="CB1459" s="555"/>
      <c r="CC1459" s="622"/>
      <c r="CD1459" s="619"/>
      <c r="CE1459" s="619"/>
      <c r="CF1459" s="554"/>
      <c r="CG1459" s="554"/>
      <c r="CH1459" s="550"/>
      <c r="CI1459" s="554"/>
      <c r="CJ1459" s="554"/>
      <c r="CK1459" s="554"/>
      <c r="CL1459" s="554"/>
      <c r="CM1459" s="554"/>
      <c r="CN1459" s="554"/>
      <c r="CO1459" s="554"/>
      <c r="CP1459" s="554"/>
      <c r="CQ1459" s="554"/>
      <c r="CR1459" s="554"/>
      <c r="CS1459" s="554"/>
      <c r="CT1459" s="554"/>
      <c r="CU1459" s="554">
        <f t="shared" si="565"/>
        <v>28</v>
      </c>
      <c r="CV1459" s="554">
        <f>CK1459+CL1459+CM1459+CN1459+CO1459+CQ1459+CP1459</f>
        <v>0</v>
      </c>
      <c r="CW1459" s="554">
        <f>CI1459+CJ1459</f>
        <v>0</v>
      </c>
      <c r="CX1459" s="619"/>
      <c r="CY1459" s="619"/>
      <c r="CZ1459" s="619"/>
      <c r="DA1459" s="554"/>
      <c r="DB1459" s="554"/>
      <c r="DC1459" s="554"/>
      <c r="DD1459" s="619"/>
      <c r="DE1459" s="619"/>
      <c r="DF1459" s="619"/>
      <c r="DG1459" s="619"/>
      <c r="DH1459" s="619"/>
      <c r="DI1459" s="554"/>
    </row>
    <row r="1460" s="550" customFormat="1" ht="31" customHeight="1" spans="1:113">
      <c r="A1460" s="608">
        <v>46122</v>
      </c>
      <c r="B1460" s="609" t="s">
        <v>3989</v>
      </c>
      <c r="C1460" s="610" t="s">
        <v>154</v>
      </c>
      <c r="D1460" s="764">
        <v>4500201132</v>
      </c>
      <c r="E1460" s="613">
        <v>55795612</v>
      </c>
      <c r="F1460" s="554" t="s">
        <v>9561</v>
      </c>
      <c r="G1460" s="610" t="s">
        <v>6040</v>
      </c>
      <c r="H1460" s="610" t="s">
        <v>6041</v>
      </c>
      <c r="I1460" s="715">
        <v>624</v>
      </c>
      <c r="J1460" s="610">
        <v>0</v>
      </c>
      <c r="K1460" s="610">
        <v>52</v>
      </c>
      <c r="L1460" s="611">
        <f t="shared" si="563"/>
        <v>12</v>
      </c>
      <c r="M1460" s="724">
        <v>46168</v>
      </c>
      <c r="N1460" s="724">
        <v>46164</v>
      </c>
      <c r="O1460" s="613"/>
      <c r="P1460" s="610" t="s">
        <v>9334</v>
      </c>
      <c r="Q1460" s="614" t="s">
        <v>3993</v>
      </c>
      <c r="R1460" s="614">
        <v>46122</v>
      </c>
      <c r="S1460" s="614" t="s">
        <v>70</v>
      </c>
      <c r="T1460" s="614" t="s">
        <v>3994</v>
      </c>
      <c r="U1460" s="614"/>
      <c r="V1460" s="614"/>
      <c r="W1460" s="573"/>
      <c r="X1460" s="609" t="s">
        <v>9562</v>
      </c>
      <c r="Y1460" s="616" t="s">
        <v>1894</v>
      </c>
      <c r="Z1460" s="609">
        <v>0.9514</v>
      </c>
      <c r="AA1460" s="616">
        <f t="shared" si="566"/>
        <v>593.6736</v>
      </c>
      <c r="AC1460" s="697"/>
      <c r="AD1460" s="610" t="s">
        <v>6040</v>
      </c>
      <c r="AE1460" s="610" t="s">
        <v>82</v>
      </c>
      <c r="AF1460" s="610"/>
      <c r="AG1460" s="610"/>
      <c r="AH1460" s="609"/>
      <c r="AI1460" s="726">
        <v>624</v>
      </c>
      <c r="AJ1460" s="610">
        <f t="shared" si="564"/>
        <v>0</v>
      </c>
      <c r="AK1460" s="613"/>
      <c r="AL1460" s="610" t="s">
        <v>454</v>
      </c>
      <c r="AM1460" s="610"/>
      <c r="AN1460" s="554"/>
      <c r="AO1460" s="554">
        <f>I1460</f>
        <v>624</v>
      </c>
      <c r="AP1460" s="554"/>
      <c r="AQ1460" s="554"/>
      <c r="AR1460" s="554"/>
      <c r="AS1460" s="554"/>
      <c r="AT1460" s="554">
        <f>I1460</f>
        <v>624</v>
      </c>
      <c r="AU1460" s="554"/>
      <c r="AV1460" s="554">
        <f>I1460</f>
        <v>624</v>
      </c>
      <c r="AW1460" s="554"/>
      <c r="AX1460" s="714"/>
      <c r="AY1460" s="554"/>
      <c r="AZ1460" s="554"/>
      <c r="BA1460" s="554"/>
      <c r="BB1460" s="620">
        <f>I1460/24</f>
        <v>26</v>
      </c>
      <c r="BC1460" s="554"/>
      <c r="BD1460" s="554"/>
      <c r="BE1460" s="554"/>
      <c r="BF1460" s="554"/>
      <c r="BG1460" s="550"/>
      <c r="BH1460" s="554"/>
      <c r="BI1460" s="554"/>
      <c r="BJ1460" s="554"/>
      <c r="BK1460" s="554"/>
      <c r="BL1460" s="554"/>
      <c r="BM1460" s="554">
        <f>I1460/13</f>
        <v>48</v>
      </c>
      <c r="BN1460" s="554"/>
      <c r="BO1460" s="554"/>
      <c r="BP1460" s="554"/>
      <c r="BQ1460" s="554"/>
      <c r="BR1460" s="554"/>
      <c r="BS1460" s="554"/>
      <c r="BT1460" s="554"/>
      <c r="BU1460" s="554"/>
      <c r="BV1460" s="554"/>
      <c r="BW1460" s="554"/>
      <c r="BX1460" s="554"/>
      <c r="BY1460" s="554"/>
      <c r="BZ1460" s="554"/>
      <c r="CA1460" s="720"/>
      <c r="CB1460" s="555"/>
      <c r="CC1460" s="721"/>
      <c r="CD1460" s="554"/>
      <c r="CE1460" s="554"/>
      <c r="CF1460" s="554"/>
      <c r="CG1460" s="554"/>
      <c r="CH1460" s="550"/>
      <c r="CI1460" s="554"/>
      <c r="CJ1460" s="554"/>
      <c r="CK1460" s="554"/>
      <c r="CL1460" s="554"/>
      <c r="CM1460" s="554"/>
      <c r="CN1460" s="554"/>
      <c r="CO1460" s="554"/>
      <c r="CP1460" s="619"/>
      <c r="CQ1460" s="619"/>
      <c r="CR1460" s="619"/>
      <c r="CS1460" s="619"/>
      <c r="CT1460" s="619"/>
      <c r="CU1460" s="554">
        <f t="shared" si="565"/>
        <v>0</v>
      </c>
      <c r="CV1460" s="554">
        <f>CK1460+CL1460+CM1460+CN1460+CO1460+CQ1460+CP1460</f>
        <v>0</v>
      </c>
      <c r="CW1460" s="554">
        <f>CI1460+CJ1460</f>
        <v>0</v>
      </c>
      <c r="CX1460" s="619"/>
      <c r="CY1460" s="619"/>
      <c r="CZ1460" s="619"/>
      <c r="DA1460" s="619"/>
      <c r="DB1460" s="619"/>
      <c r="DC1460" s="619"/>
      <c r="DD1460" s="619"/>
      <c r="DE1460" s="619"/>
      <c r="DF1460" s="619"/>
      <c r="DG1460" s="619"/>
      <c r="DH1460" s="619"/>
      <c r="DI1460" s="554"/>
    </row>
    <row r="1461" s="550" customFormat="1" ht="31" customHeight="1" spans="1:113">
      <c r="A1461" s="608">
        <v>46125</v>
      </c>
      <c r="B1461" s="609" t="s">
        <v>1922</v>
      </c>
      <c r="C1461" s="610" t="s">
        <v>399</v>
      </c>
      <c r="D1461" s="554">
        <v>4500201277</v>
      </c>
      <c r="E1461" s="610" t="s">
        <v>4003</v>
      </c>
      <c r="F1461" s="554" t="s">
        <v>9563</v>
      </c>
      <c r="G1461" s="610" t="s">
        <v>6365</v>
      </c>
      <c r="H1461" s="610" t="s">
        <v>9564</v>
      </c>
      <c r="I1461" s="715">
        <v>2328</v>
      </c>
      <c r="J1461" s="610">
        <v>0</v>
      </c>
      <c r="K1461" s="610">
        <v>12</v>
      </c>
      <c r="L1461" s="611">
        <f t="shared" si="563"/>
        <v>194</v>
      </c>
      <c r="M1461" s="612">
        <v>46169</v>
      </c>
      <c r="N1461" s="612">
        <v>46165</v>
      </c>
      <c r="O1461" s="613"/>
      <c r="P1461" s="610" t="s">
        <v>9334</v>
      </c>
      <c r="Q1461" s="610" t="s">
        <v>9565</v>
      </c>
      <c r="R1461" s="614" t="s">
        <v>9566</v>
      </c>
      <c r="S1461" s="614" t="s">
        <v>104</v>
      </c>
      <c r="T1461" s="614" t="s">
        <v>9567</v>
      </c>
      <c r="U1461" s="614"/>
      <c r="V1461" s="614"/>
      <c r="W1461" s="573"/>
      <c r="X1461" s="609" t="s">
        <v>9568</v>
      </c>
      <c r="Y1461" s="616" t="s">
        <v>428</v>
      </c>
      <c r="Z1461" s="609">
        <v>2.1629</v>
      </c>
      <c r="AA1461" s="616">
        <f t="shared" si="566"/>
        <v>5035.2312</v>
      </c>
      <c r="AC1461" s="697"/>
      <c r="AD1461" s="610" t="s">
        <v>6368</v>
      </c>
      <c r="AE1461" s="610" t="s">
        <v>82</v>
      </c>
      <c r="AF1461" s="610"/>
      <c r="AG1461" s="610"/>
      <c r="AH1461" s="609"/>
      <c r="AI1461" s="726">
        <v>2328</v>
      </c>
      <c r="AJ1461" s="610">
        <f t="shared" si="564"/>
        <v>0</v>
      </c>
      <c r="AK1461" s="613"/>
      <c r="AL1461" s="610" t="s">
        <v>2368</v>
      </c>
      <c r="AM1461" s="610"/>
      <c r="AN1461" s="554"/>
      <c r="AO1461" s="554">
        <f>I1461*2</f>
        <v>4656</v>
      </c>
      <c r="AP1461" s="554"/>
      <c r="AQ1461" s="554"/>
      <c r="AR1461" s="554"/>
      <c r="AS1461" s="554"/>
      <c r="AT1461" s="554">
        <f>I1461*2</f>
        <v>4656</v>
      </c>
      <c r="AU1461" s="554"/>
      <c r="AV1461" s="554">
        <f>I1461*2</f>
        <v>4656</v>
      </c>
      <c r="AW1461" s="554"/>
      <c r="AX1461" s="714"/>
      <c r="AY1461" s="554"/>
      <c r="AZ1461" s="554"/>
      <c r="BA1461" s="554"/>
      <c r="BB1461" s="249">
        <f>I1461/24*2</f>
        <v>194</v>
      </c>
      <c r="BC1461" s="554"/>
      <c r="BD1461" s="554"/>
      <c r="BE1461" s="554"/>
      <c r="BF1461" s="554"/>
      <c r="BG1461" s="550"/>
      <c r="BH1461" s="554"/>
      <c r="BI1461" s="554"/>
      <c r="BJ1461" s="554"/>
      <c r="BK1461" s="554"/>
      <c r="BL1461" s="554"/>
      <c r="BM1461" s="554"/>
      <c r="BN1461" s="554"/>
      <c r="BO1461" s="554"/>
      <c r="BP1461" s="554"/>
      <c r="BQ1461" s="554"/>
      <c r="BR1461" s="554"/>
      <c r="BS1461" s="554"/>
      <c r="BT1461" s="554"/>
      <c r="BU1461" s="554"/>
      <c r="BV1461" s="554"/>
      <c r="BW1461" s="554"/>
      <c r="BX1461" s="554"/>
      <c r="BY1461" s="554"/>
      <c r="BZ1461" s="554"/>
      <c r="CA1461" s="720"/>
      <c r="CB1461" s="555"/>
      <c r="CC1461" s="721"/>
      <c r="CD1461" s="554"/>
      <c r="CE1461" s="554"/>
      <c r="CF1461" s="554"/>
      <c r="CG1461" s="554"/>
      <c r="CH1461" s="550"/>
      <c r="CI1461" s="554"/>
      <c r="CJ1461" s="554"/>
      <c r="CK1461" s="554"/>
      <c r="CL1461" s="554"/>
      <c r="CM1461" s="554"/>
      <c r="CN1461" s="554"/>
      <c r="CO1461" s="554"/>
      <c r="CP1461" s="619"/>
      <c r="CQ1461" s="619"/>
      <c r="CR1461" s="554">
        <f>I1461</f>
        <v>2328</v>
      </c>
      <c r="CS1461" s="554">
        <f>I1461</f>
        <v>2328</v>
      </c>
      <c r="CT1461" s="554">
        <f>I1461</f>
        <v>2328</v>
      </c>
      <c r="CU1461" s="554">
        <f t="shared" si="565"/>
        <v>0</v>
      </c>
      <c r="CV1461" s="554">
        <f>CK1461+CL1461+CM1461+CN1461+CO1461+CQ1461+CP1461</f>
        <v>0</v>
      </c>
      <c r="CW1461" s="554">
        <f>CI1461+CJ1461</f>
        <v>0</v>
      </c>
      <c r="CX1461" s="619"/>
      <c r="CY1461" s="619"/>
      <c r="CZ1461" s="619"/>
      <c r="DA1461" s="619"/>
      <c r="DB1461" s="619"/>
      <c r="DC1461" s="619"/>
      <c r="DD1461" s="619"/>
      <c r="DE1461" s="619"/>
      <c r="DF1461" s="619"/>
      <c r="DG1461" s="619"/>
      <c r="DH1461" s="619"/>
      <c r="DI1461" s="554"/>
    </row>
    <row r="1462" s="550" customFormat="1" ht="31" customHeight="1" spans="1:113">
      <c r="A1462" s="608">
        <v>46138</v>
      </c>
      <c r="B1462" s="609" t="s">
        <v>4182</v>
      </c>
      <c r="C1462" s="610" t="s">
        <v>836</v>
      </c>
      <c r="D1462" s="764">
        <v>4500203574</v>
      </c>
      <c r="E1462" s="610" t="s">
        <v>4184</v>
      </c>
      <c r="F1462" s="554" t="s">
        <v>9569</v>
      </c>
      <c r="G1462" s="610" t="s">
        <v>6093</v>
      </c>
      <c r="H1462" s="610" t="s">
        <v>6094</v>
      </c>
      <c r="I1462" s="715">
        <v>403</v>
      </c>
      <c r="J1462" s="610">
        <v>0</v>
      </c>
      <c r="K1462" s="610">
        <v>13</v>
      </c>
      <c r="L1462" s="611">
        <f t="shared" si="563"/>
        <v>31</v>
      </c>
      <c r="M1462" s="612">
        <v>46178</v>
      </c>
      <c r="N1462" s="612">
        <v>46174</v>
      </c>
      <c r="O1462" s="613" t="s">
        <v>9570</v>
      </c>
      <c r="P1462" s="610" t="s">
        <v>9334</v>
      </c>
      <c r="Q1462" s="614">
        <v>46191</v>
      </c>
      <c r="R1462" s="614">
        <v>46141</v>
      </c>
      <c r="S1462" s="614" t="s">
        <v>70</v>
      </c>
      <c r="T1462" s="614" t="s">
        <v>9571</v>
      </c>
      <c r="U1462" s="614"/>
      <c r="V1462" s="614"/>
      <c r="W1462" s="741" t="s">
        <v>4188</v>
      </c>
      <c r="X1462" s="609" t="s">
        <v>9572</v>
      </c>
      <c r="Y1462" s="616" t="s">
        <v>472</v>
      </c>
      <c r="Z1462" s="609">
        <v>0.9168</v>
      </c>
      <c r="AA1462" s="616">
        <f t="shared" si="566"/>
        <v>369.4704</v>
      </c>
      <c r="AC1462" s="697"/>
      <c r="AD1462" s="610" t="s">
        <v>6093</v>
      </c>
      <c r="AE1462" s="610" t="s">
        <v>82</v>
      </c>
      <c r="AF1462" s="610"/>
      <c r="AG1462" s="610"/>
      <c r="AH1462" s="609"/>
      <c r="AI1462" s="765">
        <v>403</v>
      </c>
      <c r="AJ1462" s="610">
        <f t="shared" si="564"/>
        <v>0</v>
      </c>
      <c r="AK1462" s="613"/>
      <c r="AL1462" s="610" t="s">
        <v>2368</v>
      </c>
      <c r="AM1462" s="610"/>
      <c r="AN1462" s="554"/>
      <c r="AO1462" s="554">
        <f>I1462</f>
        <v>403</v>
      </c>
      <c r="AP1462" s="554"/>
      <c r="AQ1462" s="554"/>
      <c r="AR1462" s="619"/>
      <c r="AS1462" s="554"/>
      <c r="AT1462" s="554">
        <f>I1462</f>
        <v>403</v>
      </c>
      <c r="AU1462" s="554"/>
      <c r="AV1462" s="554">
        <f>I1462</f>
        <v>403</v>
      </c>
      <c r="AW1462" s="554"/>
      <c r="AX1462" s="714"/>
      <c r="AY1462" s="554"/>
      <c r="AZ1462" s="554"/>
      <c r="BA1462" s="554"/>
      <c r="BB1462" s="620">
        <f>I1462/24</f>
        <v>16.7916666666667</v>
      </c>
      <c r="BC1462" s="554"/>
      <c r="BD1462" s="554"/>
      <c r="BE1462" s="554"/>
      <c r="BF1462" s="554"/>
      <c r="BG1462" s="550"/>
      <c r="BH1462" s="554"/>
      <c r="BI1462" s="554"/>
      <c r="BJ1462" s="554"/>
      <c r="BK1462" s="554"/>
      <c r="BL1462" s="554"/>
      <c r="BM1462" s="554">
        <f>I1462/13</f>
        <v>31</v>
      </c>
      <c r="BN1462" s="554"/>
      <c r="BO1462" s="554"/>
      <c r="BP1462" s="554"/>
      <c r="BQ1462" s="554"/>
      <c r="BR1462" s="554"/>
      <c r="BS1462" s="554"/>
      <c r="BT1462" s="554"/>
      <c r="BU1462" s="554"/>
      <c r="BV1462" s="554"/>
      <c r="BW1462" s="554"/>
      <c r="BX1462" s="554"/>
      <c r="BY1462" s="554"/>
      <c r="BZ1462" s="554"/>
      <c r="CA1462" s="720"/>
      <c r="CB1462" s="555"/>
      <c r="CC1462" s="721"/>
      <c r="CD1462" s="554"/>
      <c r="CE1462" s="554"/>
      <c r="CF1462" s="554"/>
      <c r="CG1462" s="554"/>
      <c r="CH1462" s="550"/>
      <c r="CI1462" s="554"/>
      <c r="CJ1462" s="554"/>
      <c r="CK1462" s="554"/>
      <c r="CL1462" s="554"/>
      <c r="CM1462" s="554"/>
      <c r="CN1462" s="554"/>
      <c r="CO1462" s="554"/>
      <c r="CP1462" s="619"/>
      <c r="CQ1462" s="619"/>
      <c r="CR1462" s="554"/>
      <c r="CS1462" s="554"/>
      <c r="CT1462" s="554"/>
      <c r="CU1462" s="554">
        <f t="shared" si="565"/>
        <v>0</v>
      </c>
      <c r="CV1462" s="554">
        <f>CK1462+CL1462+CM1462+CN1462+CO1462+CQ1462+CP1462</f>
        <v>0</v>
      </c>
      <c r="CW1462" s="554">
        <f>CI1462+CJ1462</f>
        <v>0</v>
      </c>
      <c r="CX1462" s="619"/>
      <c r="CY1462" s="619"/>
      <c r="CZ1462" s="619"/>
      <c r="DA1462" s="619"/>
      <c r="DB1462" s="619"/>
      <c r="DC1462" s="619"/>
      <c r="DD1462" s="619"/>
      <c r="DE1462" s="619"/>
      <c r="DF1462" s="619"/>
      <c r="DG1462" s="619"/>
      <c r="DH1462" s="619"/>
      <c r="DI1462" s="554"/>
    </row>
    <row r="1463" s="550" customFormat="1" ht="31" customHeight="1" spans="1:113">
      <c r="A1463" s="608">
        <v>46101</v>
      </c>
      <c r="B1463" s="609" t="s">
        <v>4656</v>
      </c>
      <c r="C1463" s="610" t="s">
        <v>154</v>
      </c>
      <c r="D1463" s="766">
        <v>4500199091</v>
      </c>
      <c r="E1463" s="610">
        <v>4500192551</v>
      </c>
      <c r="F1463" s="554" t="s">
        <v>9573</v>
      </c>
      <c r="G1463" s="610" t="s">
        <v>6040</v>
      </c>
      <c r="H1463" s="610" t="s">
        <v>6041</v>
      </c>
      <c r="I1463" s="610">
        <v>520</v>
      </c>
      <c r="J1463" s="610">
        <v>0</v>
      </c>
      <c r="K1463" s="610">
        <v>52</v>
      </c>
      <c r="L1463" s="611">
        <f t="shared" si="563"/>
        <v>10</v>
      </c>
      <c r="M1463" s="612">
        <v>46181</v>
      </c>
      <c r="N1463" s="612">
        <v>46177</v>
      </c>
      <c r="O1463" s="734" t="s">
        <v>9574</v>
      </c>
      <c r="P1463" s="613" t="s">
        <v>9334</v>
      </c>
      <c r="Q1463" s="610"/>
      <c r="R1463" s="614">
        <v>46112</v>
      </c>
      <c r="S1463" s="614" t="s">
        <v>70</v>
      </c>
      <c r="T1463" s="614" t="s">
        <v>9575</v>
      </c>
      <c r="U1463" s="614"/>
      <c r="V1463" s="614" t="s">
        <v>9576</v>
      </c>
      <c r="W1463" s="573"/>
      <c r="X1463" s="609" t="s">
        <v>9577</v>
      </c>
      <c r="Y1463" s="609" t="s">
        <v>167</v>
      </c>
      <c r="Z1463" s="722">
        <v>0.9658</v>
      </c>
      <c r="AA1463" s="616">
        <f>I1463*Z1463</f>
        <v>502.216</v>
      </c>
      <c r="AC1463" s="617"/>
      <c r="AD1463" s="610" t="s">
        <v>6040</v>
      </c>
      <c r="AE1463" s="610" t="s">
        <v>82</v>
      </c>
      <c r="AF1463" s="610"/>
      <c r="AG1463" s="610"/>
      <c r="AH1463" s="610"/>
      <c r="AI1463" s="726">
        <v>520</v>
      </c>
      <c r="AJ1463" s="610">
        <f t="shared" si="564"/>
        <v>0</v>
      </c>
      <c r="AK1463" s="610"/>
      <c r="AL1463" s="610" t="s">
        <v>2368</v>
      </c>
      <c r="AM1463" s="610"/>
      <c r="AN1463" s="614"/>
      <c r="AO1463" s="554">
        <f>I1463</f>
        <v>520</v>
      </c>
      <c r="AP1463" s="554"/>
      <c r="AQ1463" s="554"/>
      <c r="AR1463" s="619"/>
      <c r="AS1463" s="554"/>
      <c r="AT1463" s="554">
        <f>I1463</f>
        <v>520</v>
      </c>
      <c r="AU1463" s="554"/>
      <c r="AV1463" s="554">
        <f>I1463</f>
        <v>520</v>
      </c>
      <c r="AW1463" s="619"/>
      <c r="AX1463" s="554"/>
      <c r="AY1463" s="554"/>
      <c r="AZ1463" s="554"/>
      <c r="BA1463" s="554"/>
      <c r="BB1463" s="620">
        <f>I1463/24</f>
        <v>21.6666666666667</v>
      </c>
      <c r="BC1463" s="554"/>
      <c r="BD1463" s="554"/>
      <c r="BE1463" s="554"/>
      <c r="BF1463" s="554"/>
      <c r="BG1463" s="550"/>
      <c r="BH1463" s="554"/>
      <c r="BI1463" s="554"/>
      <c r="BJ1463" s="554"/>
      <c r="BK1463" s="554"/>
      <c r="BL1463" s="554"/>
      <c r="BM1463" s="554">
        <f>I1463/13</f>
        <v>40</v>
      </c>
      <c r="BN1463" s="554"/>
      <c r="BO1463" s="554"/>
      <c r="BP1463" s="554"/>
      <c r="BQ1463" s="554"/>
      <c r="BR1463" s="554"/>
      <c r="BS1463" s="554"/>
      <c r="BT1463" s="554"/>
      <c r="BU1463" s="554"/>
      <c r="BV1463" s="554"/>
      <c r="BW1463" s="554"/>
      <c r="BX1463" s="554"/>
      <c r="BY1463" s="554"/>
      <c r="BZ1463" s="554"/>
      <c r="CA1463" s="720"/>
      <c r="CB1463" s="555"/>
      <c r="CC1463" s="721"/>
      <c r="CD1463" s="554"/>
      <c r="CE1463" s="554"/>
      <c r="CF1463" s="554"/>
      <c r="CG1463" s="554"/>
      <c r="CH1463" s="550"/>
      <c r="CI1463" s="554"/>
      <c r="CJ1463" s="554"/>
      <c r="CK1463" s="554"/>
      <c r="CL1463" s="554"/>
      <c r="CM1463" s="554"/>
      <c r="CN1463" s="554"/>
      <c r="CO1463" s="554"/>
      <c r="CP1463" s="619"/>
      <c r="CQ1463" s="619"/>
      <c r="CR1463" s="619"/>
      <c r="CS1463" s="619"/>
      <c r="CT1463" s="619"/>
      <c r="CU1463" s="554">
        <f t="shared" si="565"/>
        <v>0</v>
      </c>
      <c r="CV1463" s="554">
        <f>CK1463+CL1463+CM1463+CN1463+CO1463+CQ1463+CP1463</f>
        <v>0</v>
      </c>
      <c r="CW1463" s="554">
        <f>CI1463+CJ1463</f>
        <v>0</v>
      </c>
      <c r="CX1463" s="619"/>
      <c r="CY1463" s="619"/>
      <c r="CZ1463" s="619"/>
      <c r="DA1463" s="619"/>
      <c r="DB1463" s="619"/>
      <c r="DC1463" s="619"/>
      <c r="DD1463" s="619"/>
      <c r="DE1463" s="619"/>
      <c r="DF1463" s="619"/>
      <c r="DG1463" s="619"/>
      <c r="DH1463" s="619"/>
      <c r="DI1463" s="554"/>
    </row>
    <row r="1464" s="550" customFormat="1" ht="31" customHeight="1" spans="1:113">
      <c r="A1464" s="608">
        <v>46140</v>
      </c>
      <c r="B1464" s="609" t="s">
        <v>211</v>
      </c>
      <c r="C1464" s="610" t="s">
        <v>212</v>
      </c>
      <c r="D1464" s="733">
        <v>4500204383</v>
      </c>
      <c r="E1464" s="610" t="s">
        <v>4211</v>
      </c>
      <c r="F1464" s="554" t="s">
        <v>4212</v>
      </c>
      <c r="G1464" s="610" t="s">
        <v>6337</v>
      </c>
      <c r="H1464" s="610" t="s">
        <v>477</v>
      </c>
      <c r="I1464" s="715">
        <v>1200</v>
      </c>
      <c r="J1464" s="610">
        <v>0</v>
      </c>
      <c r="K1464" s="610">
        <v>6</v>
      </c>
      <c r="L1464" s="611">
        <f t="shared" si="563"/>
        <v>200</v>
      </c>
      <c r="M1464" s="612">
        <v>46178</v>
      </c>
      <c r="N1464" s="612">
        <v>46174</v>
      </c>
      <c r="O1464" s="613"/>
      <c r="P1464" s="723" t="s">
        <v>9334</v>
      </c>
      <c r="Q1464" s="614"/>
      <c r="R1464" s="614">
        <v>46140</v>
      </c>
      <c r="S1464" s="614" t="s">
        <v>70</v>
      </c>
      <c r="T1464" s="614" t="s">
        <v>9578</v>
      </c>
      <c r="U1464" s="614"/>
      <c r="V1464" s="614"/>
      <c r="W1464" s="573"/>
      <c r="X1464" s="609" t="s">
        <v>9579</v>
      </c>
      <c r="Y1464" s="616" t="s">
        <v>1793</v>
      </c>
      <c r="Z1464" s="609">
        <v>6.8992</v>
      </c>
      <c r="AA1464" s="616">
        <f t="shared" ref="AA1464:AA1470" si="568">Z1464*I1464</f>
        <v>8279.04</v>
      </c>
      <c r="AC1464" s="697"/>
      <c r="AD1464" s="610" t="s">
        <v>1306</v>
      </c>
      <c r="AE1464" s="610" t="s">
        <v>82</v>
      </c>
      <c r="AF1464" s="610"/>
      <c r="AG1464" s="767" t="s">
        <v>9580</v>
      </c>
      <c r="AH1464" s="609">
        <v>1</v>
      </c>
      <c r="AI1464" s="765">
        <f>30+1170</f>
        <v>1200</v>
      </c>
      <c r="AJ1464" s="610">
        <f t="shared" si="564"/>
        <v>0</v>
      </c>
      <c r="AK1464" s="613"/>
      <c r="AL1464" s="610" t="s">
        <v>2368</v>
      </c>
      <c r="AM1464" s="610"/>
      <c r="AN1464" s="554"/>
      <c r="AO1464" s="554">
        <f>I1464*2</f>
        <v>2400</v>
      </c>
      <c r="AP1464" s="554"/>
      <c r="AQ1464" s="554"/>
      <c r="AR1464" s="619"/>
      <c r="AS1464" s="554"/>
      <c r="AT1464" s="554">
        <f>I1464*2</f>
        <v>2400</v>
      </c>
      <c r="AU1464" s="554"/>
      <c r="AV1464" s="554">
        <f>I1464*2</f>
        <v>2400</v>
      </c>
      <c r="AW1464" s="554"/>
      <c r="AX1464" s="714"/>
      <c r="AY1464" s="554"/>
      <c r="AZ1464" s="554"/>
      <c r="BA1464" s="554"/>
      <c r="BB1464" s="620">
        <f>I1464/24*2</f>
        <v>100</v>
      </c>
      <c r="BC1464" s="554"/>
      <c r="BD1464" s="554"/>
      <c r="BE1464" s="554"/>
      <c r="BF1464" s="554"/>
      <c r="BG1464" s="550"/>
      <c r="BH1464" s="554"/>
      <c r="BI1464" s="554"/>
      <c r="BJ1464" s="554"/>
      <c r="BK1464" s="554"/>
      <c r="BL1464" s="554"/>
      <c r="BM1464" s="554"/>
      <c r="BN1464" s="554"/>
      <c r="BO1464" s="554"/>
      <c r="BP1464" s="554"/>
      <c r="BQ1464" s="554"/>
      <c r="BR1464" s="554"/>
      <c r="BS1464" s="554"/>
      <c r="BT1464" s="554"/>
      <c r="BU1464" s="554"/>
      <c r="BV1464" s="554"/>
      <c r="BW1464" s="554"/>
      <c r="BX1464" s="554"/>
      <c r="BY1464" s="554"/>
      <c r="BZ1464" s="554">
        <f>I1464</f>
        <v>1200</v>
      </c>
      <c r="CA1464" s="720"/>
      <c r="CB1464" s="555"/>
      <c r="CC1464" s="721"/>
      <c r="CD1464" s="554"/>
      <c r="CE1464" s="554"/>
      <c r="CF1464" s="554"/>
      <c r="CG1464" s="554"/>
      <c r="CH1464" s="550"/>
      <c r="CI1464" s="554"/>
      <c r="CJ1464" s="554"/>
      <c r="CK1464" s="554"/>
      <c r="CL1464" s="554"/>
      <c r="CM1464" s="554"/>
      <c r="CN1464" s="554"/>
      <c r="CO1464" s="554"/>
      <c r="CP1464" s="619"/>
      <c r="CQ1464" s="619"/>
      <c r="CR1464" s="554"/>
      <c r="CS1464" s="554"/>
      <c r="CT1464" s="554"/>
      <c r="CU1464" s="554">
        <f t="shared" si="565"/>
        <v>0</v>
      </c>
      <c r="CV1464" s="554">
        <v>0</v>
      </c>
      <c r="CW1464" s="554">
        <v>0</v>
      </c>
      <c r="CX1464" s="619"/>
      <c r="CY1464" s="619"/>
      <c r="CZ1464" s="619"/>
      <c r="DA1464" s="619"/>
      <c r="DB1464" s="619"/>
      <c r="DC1464" s="619"/>
      <c r="DD1464" s="619"/>
      <c r="DE1464" s="619"/>
      <c r="DF1464" s="619"/>
      <c r="DG1464" s="619"/>
      <c r="DH1464" s="619"/>
      <c r="DI1464" s="554"/>
    </row>
    <row r="1465" s="550" customFormat="1" ht="31" customHeight="1" spans="1:113">
      <c r="A1465" s="608">
        <v>46126</v>
      </c>
      <c r="B1465" s="609" t="s">
        <v>1332</v>
      </c>
      <c r="C1465" s="610" t="s">
        <v>590</v>
      </c>
      <c r="D1465" s="554">
        <v>4500201913</v>
      </c>
      <c r="E1465" s="610" t="s">
        <v>3846</v>
      </c>
      <c r="F1465" s="554" t="s">
        <v>9581</v>
      </c>
      <c r="G1465" s="610" t="s">
        <v>6448</v>
      </c>
      <c r="H1465" s="610" t="s">
        <v>6449</v>
      </c>
      <c r="I1465" s="715">
        <v>3000</v>
      </c>
      <c r="J1465" s="610">
        <v>0</v>
      </c>
      <c r="K1465" s="610">
        <v>50</v>
      </c>
      <c r="L1465" s="611">
        <f t="shared" si="563"/>
        <v>60</v>
      </c>
      <c r="M1465" s="612">
        <v>46178</v>
      </c>
      <c r="N1465" s="612">
        <v>46174</v>
      </c>
      <c r="O1465" s="613"/>
      <c r="P1465" s="610" t="s">
        <v>9433</v>
      </c>
      <c r="Q1465" s="614" t="s">
        <v>9582</v>
      </c>
      <c r="R1465" s="614">
        <v>46134</v>
      </c>
      <c r="S1465" s="614" t="s">
        <v>70</v>
      </c>
      <c r="T1465" s="614" t="s">
        <v>9583</v>
      </c>
      <c r="U1465" s="614"/>
      <c r="V1465" s="614"/>
      <c r="W1465" s="573"/>
      <c r="X1465" s="609" t="s">
        <v>9584</v>
      </c>
      <c r="Y1465" s="616" t="s">
        <v>230</v>
      </c>
      <c r="Z1465" s="609">
        <v>0.9274</v>
      </c>
      <c r="AA1465" s="616">
        <f t="shared" si="568"/>
        <v>2782.2</v>
      </c>
      <c r="AC1465" s="697"/>
      <c r="AD1465" s="610" t="s">
        <v>6448</v>
      </c>
      <c r="AE1465" s="610" t="s">
        <v>82</v>
      </c>
      <c r="AF1465" s="610"/>
      <c r="AG1465" s="767" t="s">
        <v>9585</v>
      </c>
      <c r="AH1465" s="609"/>
      <c r="AI1465" s="726"/>
      <c r="AJ1465" s="610">
        <f t="shared" si="564"/>
        <v>-3000</v>
      </c>
      <c r="AK1465" s="613"/>
      <c r="AL1465" s="610" t="s">
        <v>2368</v>
      </c>
      <c r="AM1465" s="610"/>
      <c r="AN1465" s="554"/>
      <c r="AO1465" s="554">
        <f t="shared" ref="AO1465:AO1470" si="569">I1465</f>
        <v>3000</v>
      </c>
      <c r="AP1465" s="554"/>
      <c r="AQ1465" s="554"/>
      <c r="AR1465" s="554"/>
      <c r="AS1465" s="554"/>
      <c r="AT1465" s="554">
        <f>I1465</f>
        <v>3000</v>
      </c>
      <c r="AU1465" s="554"/>
      <c r="AV1465" s="554"/>
      <c r="AW1465" s="554"/>
      <c r="AX1465" s="714"/>
      <c r="AY1465" s="554"/>
      <c r="AZ1465" s="554">
        <f>I1465</f>
        <v>3000</v>
      </c>
      <c r="BA1465" s="554"/>
      <c r="BB1465" s="620">
        <f>I1465/24</f>
        <v>125</v>
      </c>
      <c r="BC1465" s="554"/>
      <c r="BD1465" s="554"/>
      <c r="BE1465" s="554"/>
      <c r="BF1465" s="554"/>
      <c r="BG1465" s="550"/>
      <c r="BH1465" s="554"/>
      <c r="BI1465" s="554"/>
      <c r="BJ1465" s="554"/>
      <c r="BK1465" s="554"/>
      <c r="BL1465" s="554"/>
      <c r="BM1465" s="554"/>
      <c r="BN1465" s="554"/>
      <c r="BO1465" s="554"/>
      <c r="BP1465" s="554"/>
      <c r="BQ1465" s="554"/>
      <c r="BR1465" s="554"/>
      <c r="BS1465" s="554"/>
      <c r="BT1465" s="554"/>
      <c r="BU1465" s="554"/>
      <c r="BV1465" s="554"/>
      <c r="BW1465" s="554"/>
      <c r="BX1465" s="554">
        <f t="shared" ref="BX1465:BX1470" si="570">I1465/25</f>
        <v>120</v>
      </c>
      <c r="BY1465" s="554"/>
      <c r="BZ1465" s="554"/>
      <c r="CA1465" s="720"/>
      <c r="CB1465" s="555"/>
      <c r="CC1465" s="721"/>
      <c r="CD1465" s="554"/>
      <c r="CE1465" s="554"/>
      <c r="CF1465" s="554"/>
      <c r="CG1465" s="554"/>
      <c r="CH1465" s="550"/>
      <c r="CI1465" s="554"/>
      <c r="CJ1465" s="554"/>
      <c r="CK1465" s="554"/>
      <c r="CL1465" s="554"/>
      <c r="CM1465" s="554"/>
      <c r="CN1465" s="554"/>
      <c r="CO1465" s="554"/>
      <c r="CP1465" s="619"/>
      <c r="CQ1465" s="619"/>
      <c r="CR1465" s="619"/>
      <c r="CS1465" s="619"/>
      <c r="CT1465" s="619"/>
      <c r="CU1465" s="554">
        <f t="shared" si="565"/>
        <v>120</v>
      </c>
      <c r="CV1465" s="554">
        <f t="shared" ref="CV1465:CV1470" si="571">CK1465+CL1465+CM1465+CN1465+CO1465+CQ1465+CP1465</f>
        <v>0</v>
      </c>
      <c r="CW1465" s="554">
        <f t="shared" ref="CW1465:CW1470" si="572">CI1465+CJ1465</f>
        <v>0</v>
      </c>
      <c r="CX1465" s="619"/>
      <c r="CY1465" s="619"/>
      <c r="CZ1465" s="619"/>
      <c r="DA1465" s="619"/>
      <c r="DB1465" s="619"/>
      <c r="DC1465" s="619"/>
      <c r="DD1465" s="619"/>
      <c r="DE1465" s="619"/>
      <c r="DF1465" s="619"/>
      <c r="DG1465" s="619"/>
      <c r="DH1465" s="619"/>
      <c r="DI1465" s="554"/>
    </row>
    <row r="1466" s="550" customFormat="1" ht="31" customHeight="1" spans="1:113">
      <c r="A1466" s="608">
        <v>46150</v>
      </c>
      <c r="B1466" s="609" t="s">
        <v>2454</v>
      </c>
      <c r="C1466" s="610" t="s">
        <v>782</v>
      </c>
      <c r="D1466" s="727">
        <v>4500205650</v>
      </c>
      <c r="E1466" s="613">
        <v>6607192050</v>
      </c>
      <c r="F1466" s="554" t="s">
        <v>9586</v>
      </c>
      <c r="G1466" s="610" t="s">
        <v>6276</v>
      </c>
      <c r="H1466" s="610" t="s">
        <v>6277</v>
      </c>
      <c r="I1466" s="715">
        <v>1550</v>
      </c>
      <c r="J1466" s="610">
        <v>0</v>
      </c>
      <c r="K1466" s="610">
        <v>50</v>
      </c>
      <c r="L1466" s="611">
        <f t="shared" si="563"/>
        <v>31</v>
      </c>
      <c r="M1466" s="612">
        <v>46181</v>
      </c>
      <c r="N1466" s="612">
        <v>46177</v>
      </c>
      <c r="O1466" s="613" t="s">
        <v>4224</v>
      </c>
      <c r="P1466" s="610" t="s">
        <v>113</v>
      </c>
      <c r="Q1466" s="614">
        <v>46195</v>
      </c>
      <c r="R1466" s="614">
        <v>46151</v>
      </c>
      <c r="S1466" s="614" t="s">
        <v>70</v>
      </c>
      <c r="T1466" s="614" t="s">
        <v>9587</v>
      </c>
      <c r="U1466" s="614"/>
      <c r="V1466" s="614"/>
      <c r="W1466" s="573"/>
      <c r="X1466" s="609" t="s">
        <v>9588</v>
      </c>
      <c r="Y1466" s="616" t="s">
        <v>340</v>
      </c>
      <c r="Z1466" s="609">
        <v>0.9351</v>
      </c>
      <c r="AA1466" s="616">
        <f t="shared" si="568"/>
        <v>1449.405</v>
      </c>
      <c r="AC1466" s="697"/>
      <c r="AD1466" s="610" t="s">
        <v>6276</v>
      </c>
      <c r="AE1466" s="610" t="s">
        <v>82</v>
      </c>
      <c r="AF1466" s="610"/>
      <c r="AG1466" s="767" t="s">
        <v>9585</v>
      </c>
      <c r="AH1466" s="609"/>
      <c r="AI1466" s="609">
        <v>1550</v>
      </c>
      <c r="AJ1466" s="610">
        <f t="shared" si="564"/>
        <v>0</v>
      </c>
      <c r="AK1466" s="613"/>
      <c r="AL1466" s="610"/>
      <c r="AM1466" s="610"/>
      <c r="AN1466" s="554"/>
      <c r="AO1466" s="554">
        <f t="shared" si="569"/>
        <v>1550</v>
      </c>
      <c r="AP1466" s="554"/>
      <c r="AQ1466" s="554"/>
      <c r="AR1466" s="619"/>
      <c r="AS1466" s="554"/>
      <c r="AT1466" s="554"/>
      <c r="AU1466" s="554"/>
      <c r="AV1466" s="554"/>
      <c r="AW1466" s="554"/>
      <c r="AX1466" s="714"/>
      <c r="AY1466" s="554"/>
      <c r="AZ1466" s="554"/>
      <c r="BA1466" s="554"/>
      <c r="BB1466" s="620">
        <f>I1466/24*2</f>
        <v>129.166666666667</v>
      </c>
      <c r="BC1466" s="554"/>
      <c r="BD1466" s="554"/>
      <c r="BE1466" s="554"/>
      <c r="BF1466" s="554"/>
      <c r="BG1466" s="550"/>
      <c r="BH1466" s="554"/>
      <c r="BI1466" s="554"/>
      <c r="BJ1466" s="554"/>
      <c r="BK1466" s="554"/>
      <c r="BL1466" s="554"/>
      <c r="BM1466" s="554"/>
      <c r="BN1466" s="554"/>
      <c r="BO1466" s="554"/>
      <c r="BP1466" s="554"/>
      <c r="BQ1466" s="554"/>
      <c r="BR1466" s="554"/>
      <c r="BS1466" s="554"/>
      <c r="BT1466" s="554"/>
      <c r="BU1466" s="554"/>
      <c r="BV1466" s="554">
        <f>I1466</f>
        <v>1550</v>
      </c>
      <c r="BW1466" s="554">
        <f>I1466</f>
        <v>1550</v>
      </c>
      <c r="BX1466" s="554">
        <f t="shared" si="570"/>
        <v>62</v>
      </c>
      <c r="BY1466" s="554"/>
      <c r="BZ1466" s="554"/>
      <c r="CA1466" s="720"/>
      <c r="CB1466" s="555"/>
      <c r="CC1466" s="721"/>
      <c r="CD1466" s="554"/>
      <c r="CE1466" s="554"/>
      <c r="CF1466" s="554"/>
      <c r="CG1466" s="554"/>
      <c r="CH1466" s="550"/>
      <c r="CI1466" s="554"/>
      <c r="CJ1466" s="554"/>
      <c r="CK1466" s="554"/>
      <c r="CL1466" s="554"/>
      <c r="CM1466" s="554"/>
      <c r="CN1466" s="554"/>
      <c r="CO1466" s="554"/>
      <c r="CP1466" s="619"/>
      <c r="CQ1466" s="619"/>
      <c r="CR1466" s="554"/>
      <c r="CS1466" s="554"/>
      <c r="CT1466" s="554"/>
      <c r="CU1466" s="554">
        <f t="shared" si="565"/>
        <v>62</v>
      </c>
      <c r="CV1466" s="554">
        <f t="shared" si="571"/>
        <v>0</v>
      </c>
      <c r="CW1466" s="554">
        <f t="shared" si="572"/>
        <v>0</v>
      </c>
      <c r="CX1466" s="619"/>
      <c r="CY1466" s="619"/>
      <c r="CZ1466" s="619"/>
      <c r="DA1466" s="619"/>
      <c r="DB1466" s="619"/>
      <c r="DC1466" s="619"/>
      <c r="DD1466" s="619"/>
      <c r="DE1466" s="619"/>
      <c r="DF1466" s="619"/>
      <c r="DG1466" s="619"/>
      <c r="DH1466" s="619"/>
      <c r="DI1466" s="554"/>
    </row>
    <row r="1467" s="550" customFormat="1" ht="31" customHeight="1" spans="1:113">
      <c r="A1467" s="608">
        <v>46136</v>
      </c>
      <c r="B1467" s="609" t="s">
        <v>2470</v>
      </c>
      <c r="C1467" s="610" t="s">
        <v>343</v>
      </c>
      <c r="D1467" s="727">
        <v>4500203679</v>
      </c>
      <c r="E1467" s="610" t="s">
        <v>3846</v>
      </c>
      <c r="F1467" s="554" t="s">
        <v>9589</v>
      </c>
      <c r="G1467" s="610" t="s">
        <v>6276</v>
      </c>
      <c r="H1467" s="610" t="s">
        <v>6277</v>
      </c>
      <c r="I1467" s="715">
        <v>3800</v>
      </c>
      <c r="J1467" s="610">
        <v>0</v>
      </c>
      <c r="K1467" s="610">
        <v>50</v>
      </c>
      <c r="L1467" s="611">
        <f t="shared" si="563"/>
        <v>76</v>
      </c>
      <c r="M1467" s="612">
        <v>46181</v>
      </c>
      <c r="N1467" s="612">
        <v>46177</v>
      </c>
      <c r="O1467" s="613"/>
      <c r="P1467" s="610" t="s">
        <v>9433</v>
      </c>
      <c r="Q1467" s="614">
        <v>46191</v>
      </c>
      <c r="R1467" s="614">
        <v>46151</v>
      </c>
      <c r="S1467" s="614" t="s">
        <v>70</v>
      </c>
      <c r="T1467" s="614" t="s">
        <v>9587</v>
      </c>
      <c r="U1467" s="614"/>
      <c r="V1467" s="614"/>
      <c r="W1467" s="573"/>
      <c r="X1467" s="609" t="s">
        <v>9590</v>
      </c>
      <c r="Y1467" s="616" t="s">
        <v>340</v>
      </c>
      <c r="Z1467" s="609">
        <v>0.9521</v>
      </c>
      <c r="AA1467" s="616">
        <f t="shared" si="568"/>
        <v>3617.98</v>
      </c>
      <c r="AC1467" s="697"/>
      <c r="AD1467" s="610" t="s">
        <v>6276</v>
      </c>
      <c r="AE1467" s="610" t="s">
        <v>82</v>
      </c>
      <c r="AF1467" s="610"/>
      <c r="AG1467" s="610"/>
      <c r="AH1467" s="609"/>
      <c r="AI1467" s="609">
        <v>3800</v>
      </c>
      <c r="AJ1467" s="610">
        <f t="shared" si="564"/>
        <v>0</v>
      </c>
      <c r="AK1467" s="613"/>
      <c r="AL1467" s="610" t="s">
        <v>2368</v>
      </c>
      <c r="AM1467" s="610"/>
      <c r="AN1467" s="554"/>
      <c r="AO1467" s="554">
        <f t="shared" si="569"/>
        <v>3800</v>
      </c>
      <c r="AP1467" s="554"/>
      <c r="AQ1467" s="554"/>
      <c r="AR1467" s="619"/>
      <c r="AS1467" s="554"/>
      <c r="AT1467" s="554"/>
      <c r="AU1467" s="554"/>
      <c r="AV1467" s="554"/>
      <c r="AW1467" s="554"/>
      <c r="AX1467" s="714"/>
      <c r="AY1467" s="554"/>
      <c r="AZ1467" s="554"/>
      <c r="BA1467" s="554"/>
      <c r="BB1467" s="620">
        <f>I1467/24*2</f>
        <v>316.666666666667</v>
      </c>
      <c r="BC1467" s="554"/>
      <c r="BD1467" s="554"/>
      <c r="BE1467" s="554"/>
      <c r="BF1467" s="554"/>
      <c r="BG1467" s="550"/>
      <c r="BH1467" s="554"/>
      <c r="BI1467" s="554"/>
      <c r="BJ1467" s="554"/>
      <c r="BK1467" s="554"/>
      <c r="BL1467" s="554"/>
      <c r="BM1467" s="554"/>
      <c r="BN1467" s="554"/>
      <c r="BO1467" s="554"/>
      <c r="BP1467" s="554"/>
      <c r="BQ1467" s="554"/>
      <c r="BR1467" s="554"/>
      <c r="BS1467" s="554"/>
      <c r="BT1467" s="554"/>
      <c r="BU1467" s="554"/>
      <c r="BV1467" s="554">
        <f>I1467</f>
        <v>3800</v>
      </c>
      <c r="BW1467" s="554">
        <f>I1467</f>
        <v>3800</v>
      </c>
      <c r="BX1467" s="554">
        <f t="shared" si="570"/>
        <v>152</v>
      </c>
      <c r="BY1467" s="554"/>
      <c r="BZ1467" s="554"/>
      <c r="CA1467" s="720"/>
      <c r="CB1467" s="555"/>
      <c r="CC1467" s="721"/>
      <c r="CD1467" s="554"/>
      <c r="CE1467" s="554"/>
      <c r="CF1467" s="554"/>
      <c r="CG1467" s="554"/>
      <c r="CH1467" s="550"/>
      <c r="CI1467" s="554"/>
      <c r="CJ1467" s="554"/>
      <c r="CK1467" s="554"/>
      <c r="CL1467" s="554"/>
      <c r="CM1467" s="554"/>
      <c r="CN1467" s="554"/>
      <c r="CO1467" s="554"/>
      <c r="CP1467" s="619"/>
      <c r="CQ1467" s="619"/>
      <c r="CR1467" s="554"/>
      <c r="CS1467" s="554"/>
      <c r="CT1467" s="554"/>
      <c r="CU1467" s="554">
        <f t="shared" si="565"/>
        <v>152</v>
      </c>
      <c r="CV1467" s="554">
        <f t="shared" si="571"/>
        <v>0</v>
      </c>
      <c r="CW1467" s="554">
        <f t="shared" si="572"/>
        <v>0</v>
      </c>
      <c r="CX1467" s="619"/>
      <c r="CY1467" s="619"/>
      <c r="CZ1467" s="619"/>
      <c r="DA1467" s="619"/>
      <c r="DB1467" s="619"/>
      <c r="DC1467" s="619"/>
      <c r="DD1467" s="619"/>
      <c r="DE1467" s="619"/>
      <c r="DF1467" s="619"/>
      <c r="DG1467" s="619"/>
      <c r="DH1467" s="619"/>
      <c r="DI1467" s="554"/>
    </row>
    <row r="1468" s="550" customFormat="1" ht="31" customHeight="1" spans="1:113">
      <c r="A1468" s="608">
        <v>46136</v>
      </c>
      <c r="B1468" s="609" t="s">
        <v>4222</v>
      </c>
      <c r="C1468" s="610" t="s">
        <v>335</v>
      </c>
      <c r="D1468" s="727">
        <v>4500203765</v>
      </c>
      <c r="E1468" s="731">
        <v>5907192049</v>
      </c>
      <c r="F1468" s="554" t="s">
        <v>9591</v>
      </c>
      <c r="G1468" s="610" t="s">
        <v>6276</v>
      </c>
      <c r="H1468" s="610" t="s">
        <v>6277</v>
      </c>
      <c r="I1468" s="768">
        <v>3500</v>
      </c>
      <c r="J1468" s="610">
        <v>0</v>
      </c>
      <c r="K1468" s="610">
        <v>50</v>
      </c>
      <c r="L1468" s="611">
        <f t="shared" si="563"/>
        <v>70</v>
      </c>
      <c r="M1468" s="612">
        <v>46181</v>
      </c>
      <c r="N1468" s="612">
        <v>46177</v>
      </c>
      <c r="O1468" s="723" t="s">
        <v>4224</v>
      </c>
      <c r="P1468" s="610" t="s">
        <v>9433</v>
      </c>
      <c r="Q1468" s="614">
        <v>46195</v>
      </c>
      <c r="R1468" s="614">
        <v>46151</v>
      </c>
      <c r="S1468" s="614" t="s">
        <v>70</v>
      </c>
      <c r="T1468" s="614" t="s">
        <v>9587</v>
      </c>
      <c r="U1468" s="614"/>
      <c r="V1468" s="614"/>
      <c r="W1468" s="573"/>
      <c r="X1468" s="609" t="s">
        <v>9590</v>
      </c>
      <c r="Y1468" s="616" t="s">
        <v>340</v>
      </c>
      <c r="Z1468" s="609">
        <v>0.9469</v>
      </c>
      <c r="AA1468" s="616">
        <f t="shared" si="568"/>
        <v>3314.15</v>
      </c>
      <c r="AC1468" s="697"/>
      <c r="AD1468" s="610" t="s">
        <v>6276</v>
      </c>
      <c r="AE1468" s="610" t="s">
        <v>82</v>
      </c>
      <c r="AF1468" s="610"/>
      <c r="AG1468" s="767" t="s">
        <v>9585</v>
      </c>
      <c r="AH1468" s="609"/>
      <c r="AI1468" s="609">
        <v>3500</v>
      </c>
      <c r="AJ1468" s="610">
        <f t="shared" si="564"/>
        <v>0</v>
      </c>
      <c r="AK1468" s="613"/>
      <c r="AL1468" s="610" t="s">
        <v>454</v>
      </c>
      <c r="AM1468" s="610"/>
      <c r="AN1468" s="554"/>
      <c r="AO1468" s="554">
        <f t="shared" si="569"/>
        <v>3500</v>
      </c>
      <c r="AP1468" s="554"/>
      <c r="AQ1468" s="554"/>
      <c r="AR1468" s="619"/>
      <c r="AS1468" s="554"/>
      <c r="AT1468" s="554"/>
      <c r="AU1468" s="554"/>
      <c r="AV1468" s="554"/>
      <c r="AW1468" s="554"/>
      <c r="AX1468" s="714"/>
      <c r="AY1468" s="554"/>
      <c r="AZ1468" s="554"/>
      <c r="BA1468" s="554"/>
      <c r="BB1468" s="620">
        <f>I1468/24*2</f>
        <v>291.666666666667</v>
      </c>
      <c r="BC1468" s="554"/>
      <c r="BD1468" s="554"/>
      <c r="BE1468" s="554"/>
      <c r="BF1468" s="554"/>
      <c r="BG1468" s="550"/>
      <c r="BH1468" s="554"/>
      <c r="BI1468" s="554"/>
      <c r="BJ1468" s="554"/>
      <c r="BK1468" s="554"/>
      <c r="BL1468" s="554"/>
      <c r="BM1468" s="554"/>
      <c r="BN1468" s="554"/>
      <c r="BO1468" s="554"/>
      <c r="BP1468" s="554"/>
      <c r="BQ1468" s="554"/>
      <c r="BR1468" s="554"/>
      <c r="BS1468" s="554"/>
      <c r="BT1468" s="554"/>
      <c r="BU1468" s="554"/>
      <c r="BV1468" s="554">
        <f>I1468</f>
        <v>3500</v>
      </c>
      <c r="BW1468" s="554">
        <f>I1468</f>
        <v>3500</v>
      </c>
      <c r="BX1468" s="554">
        <f t="shared" si="570"/>
        <v>140</v>
      </c>
      <c r="BY1468" s="554"/>
      <c r="BZ1468" s="554"/>
      <c r="CA1468" s="720"/>
      <c r="CB1468" s="555"/>
      <c r="CC1468" s="721"/>
      <c r="CD1468" s="554"/>
      <c r="CE1468" s="554"/>
      <c r="CF1468" s="554"/>
      <c r="CG1468" s="554"/>
      <c r="CH1468" s="550"/>
      <c r="CI1468" s="554"/>
      <c r="CJ1468" s="554"/>
      <c r="CK1468" s="554"/>
      <c r="CL1468" s="554"/>
      <c r="CM1468" s="554"/>
      <c r="CN1468" s="554"/>
      <c r="CO1468" s="554"/>
      <c r="CP1468" s="619"/>
      <c r="CQ1468" s="619"/>
      <c r="CR1468" s="554"/>
      <c r="CS1468" s="554"/>
      <c r="CT1468" s="554"/>
      <c r="CU1468" s="554">
        <f t="shared" si="565"/>
        <v>140</v>
      </c>
      <c r="CV1468" s="554">
        <f t="shared" si="571"/>
        <v>0</v>
      </c>
      <c r="CW1468" s="554">
        <f t="shared" si="572"/>
        <v>0</v>
      </c>
      <c r="CX1468" s="619"/>
      <c r="CY1468" s="619"/>
      <c r="CZ1468" s="619"/>
      <c r="DA1468" s="619"/>
      <c r="DB1468" s="619"/>
      <c r="DC1468" s="619"/>
      <c r="DD1468" s="619"/>
      <c r="DE1468" s="619"/>
      <c r="DF1468" s="619"/>
      <c r="DG1468" s="619"/>
      <c r="DH1468" s="619"/>
      <c r="DI1468" s="554"/>
    </row>
    <row r="1469" s="550" customFormat="1" ht="31" customHeight="1" spans="1:113">
      <c r="A1469" s="608">
        <v>46136</v>
      </c>
      <c r="B1469" s="609" t="s">
        <v>2465</v>
      </c>
      <c r="C1469" s="610" t="s">
        <v>348</v>
      </c>
      <c r="D1469" s="727">
        <v>4500204007</v>
      </c>
      <c r="E1469" s="610" t="s">
        <v>3846</v>
      </c>
      <c r="F1469" s="554" t="s">
        <v>9592</v>
      </c>
      <c r="G1469" s="610" t="s">
        <v>6276</v>
      </c>
      <c r="H1469" s="610" t="s">
        <v>6277</v>
      </c>
      <c r="I1469" s="715">
        <v>8550</v>
      </c>
      <c r="J1469" s="610">
        <v>0</v>
      </c>
      <c r="K1469" s="610">
        <v>50</v>
      </c>
      <c r="L1469" s="611">
        <f t="shared" si="563"/>
        <v>171</v>
      </c>
      <c r="M1469" s="612">
        <v>46181</v>
      </c>
      <c r="N1469" s="612">
        <v>46177</v>
      </c>
      <c r="O1469" s="613"/>
      <c r="P1469" s="610" t="s">
        <v>9433</v>
      </c>
      <c r="Q1469" s="614">
        <v>46189</v>
      </c>
      <c r="R1469" s="614">
        <v>46151</v>
      </c>
      <c r="S1469" s="614" t="s">
        <v>70</v>
      </c>
      <c r="T1469" s="614" t="s">
        <v>9587</v>
      </c>
      <c r="U1469" s="614"/>
      <c r="V1469" s="614"/>
      <c r="W1469" s="573"/>
      <c r="X1469" s="609" t="s">
        <v>9588</v>
      </c>
      <c r="Y1469" s="616" t="s">
        <v>340</v>
      </c>
      <c r="Z1469" s="609">
        <v>0.9469</v>
      </c>
      <c r="AA1469" s="616">
        <f t="shared" si="568"/>
        <v>8095.995</v>
      </c>
      <c r="AC1469" s="697"/>
      <c r="AD1469" s="610" t="s">
        <v>6276</v>
      </c>
      <c r="AE1469" s="610" t="s">
        <v>82</v>
      </c>
      <c r="AF1469" s="610"/>
      <c r="AG1469" s="610"/>
      <c r="AH1469" s="609"/>
      <c r="AI1469" s="609">
        <v>8550</v>
      </c>
      <c r="AJ1469" s="610">
        <f t="shared" si="564"/>
        <v>0</v>
      </c>
      <c r="AK1469" s="613"/>
      <c r="AL1469" s="610" t="s">
        <v>2368</v>
      </c>
      <c r="AM1469" s="610"/>
      <c r="AN1469" s="554"/>
      <c r="AO1469" s="554">
        <f t="shared" si="569"/>
        <v>8550</v>
      </c>
      <c r="AP1469" s="554"/>
      <c r="AQ1469" s="554"/>
      <c r="AR1469" s="619"/>
      <c r="AS1469" s="554"/>
      <c r="AT1469" s="554"/>
      <c r="AU1469" s="554"/>
      <c r="AV1469" s="554"/>
      <c r="AW1469" s="554"/>
      <c r="AX1469" s="714"/>
      <c r="AY1469" s="554"/>
      <c r="AZ1469" s="554"/>
      <c r="BA1469" s="554"/>
      <c r="BB1469" s="620">
        <f>I1469/24*2</f>
        <v>712.5</v>
      </c>
      <c r="BC1469" s="554"/>
      <c r="BD1469" s="554"/>
      <c r="BE1469" s="554"/>
      <c r="BF1469" s="554"/>
      <c r="BG1469" s="550"/>
      <c r="BH1469" s="554"/>
      <c r="BI1469" s="554"/>
      <c r="BJ1469" s="554"/>
      <c r="BK1469" s="554"/>
      <c r="BL1469" s="554"/>
      <c r="BM1469" s="554"/>
      <c r="BN1469" s="554"/>
      <c r="BO1469" s="554"/>
      <c r="BP1469" s="554"/>
      <c r="BQ1469" s="554"/>
      <c r="BR1469" s="554"/>
      <c r="BS1469" s="554"/>
      <c r="BT1469" s="554"/>
      <c r="BU1469" s="554"/>
      <c r="BV1469" s="554">
        <f>I1469</f>
        <v>8550</v>
      </c>
      <c r="BW1469" s="554">
        <f>I1469</f>
        <v>8550</v>
      </c>
      <c r="BX1469" s="554">
        <f t="shared" si="570"/>
        <v>342</v>
      </c>
      <c r="BY1469" s="554"/>
      <c r="BZ1469" s="554"/>
      <c r="CA1469" s="720"/>
      <c r="CB1469" s="555"/>
      <c r="CC1469" s="721"/>
      <c r="CD1469" s="554"/>
      <c r="CE1469" s="554"/>
      <c r="CF1469" s="554"/>
      <c r="CG1469" s="554"/>
      <c r="CH1469" s="550"/>
      <c r="CI1469" s="554"/>
      <c r="CJ1469" s="554"/>
      <c r="CK1469" s="554"/>
      <c r="CL1469" s="554"/>
      <c r="CM1469" s="554"/>
      <c r="CN1469" s="554"/>
      <c r="CO1469" s="554"/>
      <c r="CP1469" s="619"/>
      <c r="CQ1469" s="619"/>
      <c r="CR1469" s="554"/>
      <c r="CS1469" s="554"/>
      <c r="CT1469" s="554"/>
      <c r="CU1469" s="554">
        <f t="shared" si="565"/>
        <v>342</v>
      </c>
      <c r="CV1469" s="554">
        <f t="shared" si="571"/>
        <v>0</v>
      </c>
      <c r="CW1469" s="554">
        <f t="shared" si="572"/>
        <v>0</v>
      </c>
      <c r="CX1469" s="619"/>
      <c r="CY1469" s="619"/>
      <c r="CZ1469" s="619"/>
      <c r="DA1469" s="619"/>
      <c r="DB1469" s="619"/>
      <c r="DC1469" s="619"/>
      <c r="DD1469" s="619"/>
      <c r="DE1469" s="619"/>
      <c r="DF1469" s="619"/>
      <c r="DG1469" s="619"/>
      <c r="DH1469" s="619"/>
      <c r="DI1469" s="554"/>
    </row>
    <row r="1470" s="550" customFormat="1" ht="30" customHeight="1" spans="1:113">
      <c r="A1470" s="608">
        <v>46115</v>
      </c>
      <c r="B1470" s="609" t="s">
        <v>1691</v>
      </c>
      <c r="C1470" s="610" t="s">
        <v>1692</v>
      </c>
      <c r="D1470" s="727">
        <v>4500199984</v>
      </c>
      <c r="E1470" s="610" t="s">
        <v>3846</v>
      </c>
      <c r="F1470" s="554" t="s">
        <v>9593</v>
      </c>
      <c r="G1470" s="610" t="s">
        <v>6276</v>
      </c>
      <c r="H1470" s="610" t="s">
        <v>6277</v>
      </c>
      <c r="I1470" s="610">
        <v>2400</v>
      </c>
      <c r="J1470" s="610">
        <v>0</v>
      </c>
      <c r="K1470" s="610">
        <v>50</v>
      </c>
      <c r="L1470" s="611">
        <f t="shared" si="563"/>
        <v>48</v>
      </c>
      <c r="M1470" s="612">
        <v>46183</v>
      </c>
      <c r="N1470" s="612">
        <v>46179</v>
      </c>
      <c r="O1470" s="613"/>
      <c r="P1470" s="613" t="s">
        <v>9433</v>
      </c>
      <c r="Q1470" s="640">
        <v>46185</v>
      </c>
      <c r="R1470" s="614">
        <v>46139</v>
      </c>
      <c r="S1470" s="614" t="s">
        <v>70</v>
      </c>
      <c r="T1470" s="614" t="s">
        <v>9594</v>
      </c>
      <c r="U1470" s="614"/>
      <c r="V1470" s="614"/>
      <c r="W1470" s="573"/>
      <c r="X1470" s="609" t="s">
        <v>9595</v>
      </c>
      <c r="Y1470" s="609" t="s">
        <v>529</v>
      </c>
      <c r="Z1470" s="722">
        <v>0.9521</v>
      </c>
      <c r="AA1470" s="616">
        <f t="shared" si="568"/>
        <v>2285.04</v>
      </c>
      <c r="AC1470" s="617"/>
      <c r="AD1470" s="610" t="s">
        <v>6276</v>
      </c>
      <c r="AE1470" s="610" t="s">
        <v>82</v>
      </c>
      <c r="AF1470" s="610"/>
      <c r="AG1470" s="610"/>
      <c r="AH1470" s="610"/>
      <c r="AI1470" s="610">
        <v>2400</v>
      </c>
      <c r="AJ1470" s="610">
        <f t="shared" si="564"/>
        <v>0</v>
      </c>
      <c r="AK1470" s="610"/>
      <c r="AL1470" s="610" t="s">
        <v>2368</v>
      </c>
      <c r="AM1470" s="610"/>
      <c r="AN1470" s="610"/>
      <c r="AO1470" s="554">
        <f t="shared" si="569"/>
        <v>2400</v>
      </c>
      <c r="AP1470" s="554"/>
      <c r="AQ1470" s="554"/>
      <c r="AR1470" s="619"/>
      <c r="AS1470" s="554"/>
      <c r="AT1470" s="554"/>
      <c r="AU1470" s="554"/>
      <c r="AV1470" s="554"/>
      <c r="AW1470" s="619"/>
      <c r="AX1470" s="554"/>
      <c r="AY1470" s="554"/>
      <c r="AZ1470" s="554"/>
      <c r="BA1470" s="554"/>
      <c r="BB1470" s="620">
        <f>I1470/24</f>
        <v>100</v>
      </c>
      <c r="BC1470" s="714"/>
      <c r="BD1470" s="554"/>
      <c r="BE1470" s="554"/>
      <c r="BF1470" s="554"/>
      <c r="BG1470" s="550"/>
      <c r="BH1470" s="554"/>
      <c r="BI1470" s="554"/>
      <c r="BJ1470" s="554"/>
      <c r="BK1470" s="554"/>
      <c r="BL1470" s="554"/>
      <c r="BM1470" s="554"/>
      <c r="BN1470" s="554"/>
      <c r="BO1470" s="554"/>
      <c r="BP1470" s="554"/>
      <c r="BQ1470" s="554"/>
      <c r="BR1470" s="554"/>
      <c r="BS1470" s="554"/>
      <c r="BT1470" s="554"/>
      <c r="BU1470" s="554"/>
      <c r="BV1470" s="554">
        <f>I1470</f>
        <v>2400</v>
      </c>
      <c r="BW1470" s="554">
        <f>I1470</f>
        <v>2400</v>
      </c>
      <c r="BX1470" s="554">
        <f t="shared" si="570"/>
        <v>96</v>
      </c>
      <c r="BY1470" s="619"/>
      <c r="BZ1470" s="554"/>
      <c r="CA1470" s="621"/>
      <c r="CB1470" s="555"/>
      <c r="CC1470" s="622"/>
      <c r="CD1470" s="619"/>
      <c r="CE1470" s="619"/>
      <c r="CF1470" s="554"/>
      <c r="CG1470" s="554"/>
      <c r="CH1470" s="550"/>
      <c r="CI1470" s="554"/>
      <c r="CJ1470" s="554"/>
      <c r="CK1470" s="554"/>
      <c r="CL1470" s="554"/>
      <c r="CM1470" s="554"/>
      <c r="CN1470" s="554"/>
      <c r="CO1470" s="554"/>
      <c r="CP1470" s="554"/>
      <c r="CQ1470" s="554"/>
      <c r="CR1470" s="554"/>
      <c r="CS1470" s="554"/>
      <c r="CT1470" s="554"/>
      <c r="CU1470" s="554">
        <f t="shared" si="565"/>
        <v>96</v>
      </c>
      <c r="CV1470" s="554">
        <f t="shared" si="571"/>
        <v>0</v>
      </c>
      <c r="CW1470" s="554">
        <f t="shared" si="572"/>
        <v>0</v>
      </c>
      <c r="CX1470" s="619"/>
      <c r="CY1470" s="619"/>
      <c r="CZ1470" s="619"/>
      <c r="DA1470" s="554"/>
      <c r="DB1470" s="554"/>
      <c r="DC1470" s="554"/>
      <c r="DD1470" s="619"/>
      <c r="DE1470" s="619"/>
      <c r="DF1470" s="619"/>
      <c r="DG1470" s="619"/>
      <c r="DH1470" s="619"/>
      <c r="DI1470" s="554"/>
    </row>
    <row r="1471" s="549" customFormat="1" ht="31" customHeight="1" spans="1:113">
      <c r="A1471" s="641">
        <v>46148</v>
      </c>
      <c r="B1471" s="642"/>
      <c r="C1471" s="246"/>
      <c r="D1471" s="551" t="s">
        <v>9596</v>
      </c>
      <c r="E1471" s="246"/>
      <c r="F1471" s="551" t="s">
        <v>9597</v>
      </c>
      <c r="G1471" s="246" t="s">
        <v>6025</v>
      </c>
      <c r="H1471" s="246" t="s">
        <v>6026</v>
      </c>
      <c r="I1471" s="706" t="s">
        <v>9598</v>
      </c>
      <c r="J1471" s="246"/>
      <c r="K1471" s="246"/>
      <c r="L1471" s="644"/>
      <c r="M1471" s="645">
        <v>46162</v>
      </c>
      <c r="N1471" s="645">
        <v>46158</v>
      </c>
      <c r="O1471" s="643"/>
      <c r="P1471" s="743" t="s">
        <v>9599</v>
      </c>
      <c r="Q1471" s="646"/>
      <c r="R1471" s="646"/>
      <c r="S1471" s="646"/>
      <c r="T1471" s="646"/>
      <c r="U1471" s="646"/>
      <c r="V1471" s="646"/>
      <c r="W1471" s="744"/>
      <c r="X1471" s="642" t="s">
        <v>9148</v>
      </c>
      <c r="Y1471" s="647" t="s">
        <v>92</v>
      </c>
      <c r="Z1471" s="642"/>
      <c r="AA1471" s="647"/>
      <c r="AB1471" s="549"/>
      <c r="AC1471" s="751"/>
      <c r="AD1471" s="246" t="s">
        <v>73</v>
      </c>
      <c r="AE1471" s="246" t="s">
        <v>4133</v>
      </c>
      <c r="AF1471" s="246"/>
      <c r="AG1471" s="246"/>
      <c r="AH1471" s="642"/>
      <c r="AI1471" s="642"/>
      <c r="AJ1471" s="246" t="e">
        <f t="shared" si="564"/>
        <v>#VALUE!</v>
      </c>
      <c r="AK1471" s="643"/>
      <c r="AL1471" s="246"/>
      <c r="AM1471" s="246"/>
      <c r="AN1471" s="551"/>
      <c r="AO1471" s="551"/>
      <c r="AP1471" s="551"/>
      <c r="AQ1471" s="551"/>
      <c r="AR1471" s="650"/>
      <c r="AS1471" s="551"/>
      <c r="AT1471" s="551"/>
      <c r="AU1471" s="551"/>
      <c r="AV1471" s="551"/>
      <c r="AW1471" s="551"/>
      <c r="AX1471" s="651"/>
      <c r="AY1471" s="551"/>
      <c r="AZ1471" s="551"/>
      <c r="BA1471" s="551"/>
      <c r="BB1471" s="249"/>
      <c r="BC1471" s="551"/>
      <c r="BD1471" s="551"/>
      <c r="BE1471" s="551"/>
      <c r="BF1471" s="551"/>
      <c r="BG1471" s="549"/>
      <c r="BH1471" s="551"/>
      <c r="BI1471" s="551"/>
      <c r="BJ1471" s="551"/>
      <c r="BK1471" s="551"/>
      <c r="BL1471" s="551"/>
      <c r="BM1471" s="551"/>
      <c r="BN1471" s="551"/>
      <c r="BO1471" s="551"/>
      <c r="BP1471" s="551"/>
      <c r="BQ1471" s="551"/>
      <c r="BR1471" s="551"/>
      <c r="BS1471" s="551"/>
      <c r="BT1471" s="551"/>
      <c r="BU1471" s="551"/>
      <c r="BV1471" s="551"/>
      <c r="BW1471" s="551"/>
      <c r="BX1471" s="551"/>
      <c r="BY1471" s="551"/>
      <c r="BZ1471" s="551"/>
      <c r="CA1471" s="752"/>
      <c r="CB1471" s="747"/>
      <c r="CC1471" s="753"/>
      <c r="CD1471" s="551"/>
      <c r="CE1471" s="551"/>
      <c r="CF1471" s="551"/>
      <c r="CG1471" s="551"/>
      <c r="CH1471" s="549"/>
      <c r="CI1471" s="551"/>
      <c r="CJ1471" s="551"/>
      <c r="CK1471" s="551"/>
      <c r="CL1471" s="551"/>
      <c r="CM1471" s="551"/>
      <c r="CN1471" s="551"/>
      <c r="CO1471" s="551"/>
      <c r="CP1471" s="650"/>
      <c r="CQ1471" s="650"/>
      <c r="CR1471" s="551"/>
      <c r="CS1471" s="551"/>
      <c r="CT1471" s="551"/>
      <c r="CU1471" s="551"/>
      <c r="CV1471" s="551"/>
      <c r="CW1471" s="551"/>
      <c r="CX1471" s="650"/>
      <c r="CY1471" s="650"/>
      <c r="CZ1471" s="650"/>
      <c r="DA1471" s="650"/>
      <c r="DB1471" s="650"/>
      <c r="DC1471" s="650"/>
      <c r="DD1471" s="650"/>
      <c r="DE1471" s="650"/>
      <c r="DF1471" s="650"/>
      <c r="DG1471" s="650"/>
      <c r="DH1471" s="650"/>
      <c r="DI1471" s="551"/>
    </row>
    <row r="1472" s="549" customFormat="1" ht="31" customHeight="1" spans="1:113">
      <c r="A1472" s="641">
        <v>46129</v>
      </c>
      <c r="B1472" s="642" t="s">
        <v>884</v>
      </c>
      <c r="C1472" s="769" t="s">
        <v>885</v>
      </c>
      <c r="D1472" s="770">
        <v>4500202382</v>
      </c>
      <c r="E1472" s="246" t="s">
        <v>3846</v>
      </c>
      <c r="F1472" s="551" t="s">
        <v>9600</v>
      </c>
      <c r="G1472" s="246" t="s">
        <v>6448</v>
      </c>
      <c r="H1472" s="246" t="s">
        <v>6449</v>
      </c>
      <c r="I1472" s="706">
        <v>2400</v>
      </c>
      <c r="J1472" s="246">
        <v>0</v>
      </c>
      <c r="K1472" s="246">
        <v>50</v>
      </c>
      <c r="L1472" s="644">
        <f t="shared" ref="L1472:L1535" si="573">I1472/K1472</f>
        <v>48</v>
      </c>
      <c r="M1472" s="645">
        <v>46171</v>
      </c>
      <c r="N1472" s="645">
        <v>46167</v>
      </c>
      <c r="O1472" s="643"/>
      <c r="P1472" s="246" t="s">
        <v>9433</v>
      </c>
      <c r="Q1472" s="646">
        <v>46202</v>
      </c>
      <c r="R1472" s="646">
        <v>46132</v>
      </c>
      <c r="S1472" s="646" t="s">
        <v>70</v>
      </c>
      <c r="T1472" s="646" t="s">
        <v>9601</v>
      </c>
      <c r="U1472" s="646"/>
      <c r="V1472" s="646"/>
      <c r="W1472" s="642"/>
      <c r="X1472" s="749" t="s">
        <v>9602</v>
      </c>
      <c r="Y1472" s="647" t="s">
        <v>217</v>
      </c>
      <c r="Z1472" s="642">
        <v>0.9274</v>
      </c>
      <c r="AA1472" s="647">
        <f>Z1472*I1472</f>
        <v>2225.76</v>
      </c>
      <c r="AC1472" s="751"/>
      <c r="AD1472" s="246" t="s">
        <v>7959</v>
      </c>
      <c r="AE1472" s="246" t="s">
        <v>82</v>
      </c>
      <c r="AF1472" s="246"/>
      <c r="AG1472" s="246" t="s">
        <v>9603</v>
      </c>
      <c r="AH1472" s="642"/>
      <c r="AI1472" s="642">
        <v>2400</v>
      </c>
      <c r="AJ1472" s="246">
        <f t="shared" si="564"/>
        <v>0</v>
      </c>
      <c r="AK1472" s="643"/>
      <c r="AL1472" s="246" t="s">
        <v>454</v>
      </c>
      <c r="AM1472" s="246"/>
      <c r="AN1472" s="551"/>
      <c r="AO1472" s="551">
        <f t="shared" ref="AO1472:AO1478" si="574">I1472</f>
        <v>2400</v>
      </c>
      <c r="AP1472" s="551">
        <f>I1472</f>
        <v>2400</v>
      </c>
      <c r="AQ1472" s="551"/>
      <c r="AR1472" s="551"/>
      <c r="AS1472" s="551"/>
      <c r="AT1472" s="551"/>
      <c r="AU1472" s="551"/>
      <c r="AV1472" s="551"/>
      <c r="AW1472" s="551"/>
      <c r="AX1472" s="651"/>
      <c r="AY1472" s="551"/>
      <c r="AZ1472" s="551">
        <f>I1472</f>
        <v>2400</v>
      </c>
      <c r="BA1472" s="551"/>
      <c r="BB1472" s="249">
        <f t="shared" ref="BB1472:BB1478" si="575">I1472/24</f>
        <v>100</v>
      </c>
      <c r="BC1472" s="551"/>
      <c r="BD1472" s="551"/>
      <c r="BE1472" s="551"/>
      <c r="BF1472" s="551"/>
      <c r="BG1472" s="551"/>
      <c r="BH1472" s="551"/>
      <c r="BI1472" s="551"/>
      <c r="BJ1472" s="551"/>
      <c r="BK1472" s="551"/>
      <c r="BL1472" s="551"/>
      <c r="BM1472" s="551"/>
      <c r="BN1472" s="551"/>
      <c r="BO1472" s="551"/>
      <c r="BP1472" s="551"/>
      <c r="BQ1472" s="551"/>
      <c r="BR1472" s="551"/>
      <c r="BS1472" s="551"/>
      <c r="BT1472" s="551"/>
      <c r="BU1472" s="551"/>
      <c r="BV1472" s="551"/>
      <c r="BW1472" s="551"/>
      <c r="BX1472" s="551">
        <f>I1472/25</f>
        <v>96</v>
      </c>
      <c r="BY1472" s="551"/>
      <c r="BZ1472" s="551"/>
      <c r="CA1472" s="752"/>
      <c r="CB1472" s="747"/>
      <c r="CC1472" s="753"/>
      <c r="CD1472" s="551"/>
      <c r="CE1472" s="551"/>
      <c r="CF1472" s="551"/>
      <c r="CG1472" s="551"/>
      <c r="CH1472" s="551"/>
      <c r="CI1472" s="551"/>
      <c r="CJ1472" s="551"/>
      <c r="CK1472" s="551"/>
      <c r="CL1472" s="551"/>
      <c r="CM1472" s="551"/>
      <c r="CN1472" s="551"/>
      <c r="CO1472" s="551"/>
      <c r="CP1472" s="650"/>
      <c r="CQ1472" s="650"/>
      <c r="CR1472" s="650"/>
      <c r="CS1472" s="650"/>
      <c r="CT1472" s="650"/>
      <c r="CU1472" s="551">
        <f t="shared" ref="CU1472:CU1485" si="576">BQ1472+BP1472+BO1472+BN1472+BX1472+BR1472</f>
        <v>96</v>
      </c>
      <c r="CV1472" s="551">
        <f>CK1472+CL1472+CM1472+CN1472+CO1472+CQ1472+CP1472</f>
        <v>0</v>
      </c>
      <c r="CW1472" s="551">
        <f>CI1472+CJ1472</f>
        <v>0</v>
      </c>
      <c r="CX1472" s="650"/>
      <c r="CY1472" s="650"/>
      <c r="CZ1472" s="650"/>
      <c r="DA1472" s="650"/>
      <c r="DB1472" s="650"/>
      <c r="DC1472" s="650"/>
      <c r="DD1472" s="650"/>
      <c r="DE1472" s="650"/>
      <c r="DF1472" s="650"/>
      <c r="DG1472" s="650"/>
      <c r="DH1472" s="650"/>
      <c r="DI1472" s="551"/>
    </row>
    <row r="1473" s="549" customFormat="1" ht="31" customHeight="1" spans="1:113">
      <c r="A1473" s="641">
        <v>46129</v>
      </c>
      <c r="B1473" s="642" t="s">
        <v>499</v>
      </c>
      <c r="C1473" s="246" t="s">
        <v>4124</v>
      </c>
      <c r="D1473" s="770">
        <v>4500202631</v>
      </c>
      <c r="E1473" s="246" t="s">
        <v>3846</v>
      </c>
      <c r="F1473" s="551" t="s">
        <v>9604</v>
      </c>
      <c r="G1473" s="246" t="s">
        <v>6448</v>
      </c>
      <c r="H1473" s="246" t="s">
        <v>6449</v>
      </c>
      <c r="I1473" s="706">
        <v>1850</v>
      </c>
      <c r="J1473" s="246">
        <v>0</v>
      </c>
      <c r="K1473" s="246">
        <v>50</v>
      </c>
      <c r="L1473" s="644">
        <f t="shared" si="573"/>
        <v>37</v>
      </c>
      <c r="M1473" s="645">
        <v>46171</v>
      </c>
      <c r="N1473" s="645">
        <v>46167</v>
      </c>
      <c r="O1473" s="643"/>
      <c r="P1473" s="246" t="s">
        <v>9433</v>
      </c>
      <c r="Q1473" s="646">
        <v>46202</v>
      </c>
      <c r="R1473" s="646">
        <v>46132</v>
      </c>
      <c r="S1473" s="646" t="s">
        <v>70</v>
      </c>
      <c r="T1473" s="646" t="s">
        <v>9605</v>
      </c>
      <c r="U1473" s="646"/>
      <c r="V1473" s="646" t="s">
        <v>9606</v>
      </c>
      <c r="W1473" s="642"/>
      <c r="X1473" s="749" t="s">
        <v>9607</v>
      </c>
      <c r="Y1473" s="647" t="s">
        <v>217</v>
      </c>
      <c r="Z1473" s="642">
        <v>0.91</v>
      </c>
      <c r="AA1473" s="647">
        <f>Z1473*I1473</f>
        <v>1683.5</v>
      </c>
      <c r="AC1473" s="751"/>
      <c r="AD1473" s="246" t="s">
        <v>7959</v>
      </c>
      <c r="AE1473" s="246" t="s">
        <v>82</v>
      </c>
      <c r="AF1473" s="246"/>
      <c r="AG1473" s="771" t="s">
        <v>9585</v>
      </c>
      <c r="AH1473" s="642"/>
      <c r="AI1473" s="642">
        <v>1850</v>
      </c>
      <c r="AJ1473" s="246">
        <f t="shared" si="564"/>
        <v>0</v>
      </c>
      <c r="AK1473" s="643"/>
      <c r="AL1473" s="246" t="s">
        <v>2368</v>
      </c>
      <c r="AM1473" s="246"/>
      <c r="AN1473" s="551"/>
      <c r="AO1473" s="551">
        <f t="shared" si="574"/>
        <v>1850</v>
      </c>
      <c r="AP1473" s="551">
        <f>I1473</f>
        <v>1850</v>
      </c>
      <c r="AQ1473" s="551"/>
      <c r="AR1473" s="551"/>
      <c r="AS1473" s="551"/>
      <c r="AT1473" s="551"/>
      <c r="AU1473" s="551"/>
      <c r="AV1473" s="551"/>
      <c r="AW1473" s="551"/>
      <c r="AX1473" s="651"/>
      <c r="AY1473" s="551"/>
      <c r="AZ1473" s="551">
        <f>I1473</f>
        <v>1850</v>
      </c>
      <c r="BA1473" s="551"/>
      <c r="BB1473" s="249">
        <f t="shared" si="575"/>
        <v>77.0833333333333</v>
      </c>
      <c r="BC1473" s="551"/>
      <c r="BD1473" s="551"/>
      <c r="BE1473" s="551"/>
      <c r="BF1473" s="551"/>
      <c r="BG1473" s="551"/>
      <c r="BH1473" s="551"/>
      <c r="BI1473" s="551"/>
      <c r="BJ1473" s="551"/>
      <c r="BK1473" s="551"/>
      <c r="BL1473" s="551"/>
      <c r="BM1473" s="551"/>
      <c r="BN1473" s="551"/>
      <c r="BO1473" s="551"/>
      <c r="BP1473" s="551"/>
      <c r="BQ1473" s="551"/>
      <c r="BR1473" s="551"/>
      <c r="BS1473" s="551"/>
      <c r="BT1473" s="551"/>
      <c r="BU1473" s="551"/>
      <c r="BV1473" s="551"/>
      <c r="BW1473" s="551"/>
      <c r="BX1473" s="551">
        <f>I1473/25</f>
        <v>74</v>
      </c>
      <c r="BY1473" s="551"/>
      <c r="BZ1473" s="551"/>
      <c r="CA1473" s="752"/>
      <c r="CB1473" s="747"/>
      <c r="CC1473" s="753"/>
      <c r="CD1473" s="551"/>
      <c r="CE1473" s="551"/>
      <c r="CF1473" s="551"/>
      <c r="CG1473" s="551"/>
      <c r="CH1473" s="551"/>
      <c r="CI1473" s="551"/>
      <c r="CJ1473" s="551"/>
      <c r="CK1473" s="551"/>
      <c r="CL1473" s="551"/>
      <c r="CM1473" s="551"/>
      <c r="CN1473" s="551"/>
      <c r="CO1473" s="551"/>
      <c r="CP1473" s="650"/>
      <c r="CQ1473" s="650"/>
      <c r="CR1473" s="650"/>
      <c r="CS1473" s="650"/>
      <c r="CT1473" s="650"/>
      <c r="CU1473" s="551">
        <f t="shared" si="576"/>
        <v>74</v>
      </c>
      <c r="CV1473" s="551">
        <f>CK1473+CL1473+CM1473+CN1473+CO1473+CQ1473+CP1473</f>
        <v>0</v>
      </c>
      <c r="CW1473" s="551">
        <f>CI1473+CJ1473</f>
        <v>0</v>
      </c>
      <c r="CX1473" s="650"/>
      <c r="CY1473" s="650"/>
      <c r="CZ1473" s="650"/>
      <c r="DA1473" s="650"/>
      <c r="DB1473" s="650"/>
      <c r="DC1473" s="650"/>
      <c r="DD1473" s="650"/>
      <c r="DE1473" s="650"/>
      <c r="DF1473" s="650"/>
      <c r="DG1473" s="650"/>
      <c r="DH1473" s="650"/>
      <c r="DI1473" s="551"/>
    </row>
    <row r="1474" s="549" customFormat="1" ht="31" customHeight="1" spans="1:113">
      <c r="A1474" s="641">
        <v>46129</v>
      </c>
      <c r="B1474" s="642" t="s">
        <v>499</v>
      </c>
      <c r="C1474" s="246" t="s">
        <v>4124</v>
      </c>
      <c r="D1474" s="748">
        <v>4500202631</v>
      </c>
      <c r="E1474" s="246" t="s">
        <v>3846</v>
      </c>
      <c r="F1474" s="551" t="s">
        <v>9608</v>
      </c>
      <c r="G1474" s="246" t="s">
        <v>6708</v>
      </c>
      <c r="H1474" s="246" t="s">
        <v>6709</v>
      </c>
      <c r="I1474" s="246">
        <v>1050</v>
      </c>
      <c r="J1474" s="246">
        <v>0</v>
      </c>
      <c r="K1474" s="246">
        <v>30</v>
      </c>
      <c r="L1474" s="644">
        <f t="shared" si="573"/>
        <v>35</v>
      </c>
      <c r="M1474" s="645">
        <v>46171</v>
      </c>
      <c r="N1474" s="645">
        <v>46167</v>
      </c>
      <c r="O1474" s="643"/>
      <c r="P1474" s="246" t="s">
        <v>9433</v>
      </c>
      <c r="Q1474" s="646">
        <v>46202</v>
      </c>
      <c r="R1474" s="646">
        <v>46132</v>
      </c>
      <c r="S1474" s="646" t="s">
        <v>70</v>
      </c>
      <c r="T1474" s="646" t="s">
        <v>9605</v>
      </c>
      <c r="U1474" s="646"/>
      <c r="V1474" s="646" t="s">
        <v>9606</v>
      </c>
      <c r="W1474" s="642"/>
      <c r="X1474" s="749" t="s">
        <v>9607</v>
      </c>
      <c r="Y1474" s="642" t="s">
        <v>217</v>
      </c>
      <c r="Z1474" s="642">
        <v>16.6605</v>
      </c>
      <c r="AA1474" s="647">
        <f>Z1474*L1474</f>
        <v>583.1175</v>
      </c>
      <c r="AC1474" s="648"/>
      <c r="AD1474" s="246" t="s">
        <v>6708</v>
      </c>
      <c r="AE1474" s="246" t="s">
        <v>82</v>
      </c>
      <c r="AF1474" s="246"/>
      <c r="AG1474" s="771" t="s">
        <v>9585</v>
      </c>
      <c r="AH1474" s="246"/>
      <c r="AI1474" s="642">
        <v>1050</v>
      </c>
      <c r="AJ1474" s="246">
        <f t="shared" si="564"/>
        <v>0</v>
      </c>
      <c r="AK1474" s="246"/>
      <c r="AL1474" s="246" t="s">
        <v>454</v>
      </c>
      <c r="AM1474" s="246"/>
      <c r="AN1474" s="246"/>
      <c r="AO1474" s="551">
        <f t="shared" si="574"/>
        <v>1050</v>
      </c>
      <c r="AP1474" s="551">
        <f>I1474</f>
        <v>1050</v>
      </c>
      <c r="AQ1474" s="551"/>
      <c r="AR1474" s="551"/>
      <c r="AS1474" s="551"/>
      <c r="AT1474" s="551"/>
      <c r="AU1474" s="551"/>
      <c r="AV1474" s="551"/>
      <c r="AW1474" s="650"/>
      <c r="AX1474" s="551"/>
      <c r="AY1474" s="551"/>
      <c r="AZ1474" s="551">
        <f>I1474</f>
        <v>1050</v>
      </c>
      <c r="BA1474" s="551"/>
      <c r="BB1474" s="249">
        <f t="shared" si="575"/>
        <v>43.75</v>
      </c>
      <c r="BC1474" s="651"/>
      <c r="BD1474" s="551"/>
      <c r="BE1474" s="551"/>
      <c r="BF1474" s="551"/>
      <c r="BG1474" s="551"/>
      <c r="BH1474" s="551"/>
      <c r="BI1474" s="551"/>
      <c r="BJ1474" s="551"/>
      <c r="BK1474" s="551"/>
      <c r="BL1474" s="551"/>
      <c r="BM1474" s="551"/>
      <c r="BN1474" s="551"/>
      <c r="BO1474" s="551"/>
      <c r="BP1474" s="551"/>
      <c r="BQ1474" s="551"/>
      <c r="BR1474" s="551"/>
      <c r="BS1474" s="551"/>
      <c r="BT1474" s="551"/>
      <c r="BU1474" s="551"/>
      <c r="BV1474" s="551"/>
      <c r="BW1474" s="551"/>
      <c r="BX1474" s="551"/>
      <c r="BY1474" s="650"/>
      <c r="BZ1474" s="551"/>
      <c r="CA1474" s="652"/>
      <c r="CB1474" s="747"/>
      <c r="CC1474" s="653"/>
      <c r="CD1474" s="650"/>
      <c r="CE1474" s="650"/>
      <c r="CF1474" s="551"/>
      <c r="CG1474" s="551"/>
      <c r="CH1474" s="551"/>
      <c r="CI1474" s="551"/>
      <c r="CJ1474" s="551"/>
      <c r="CK1474" s="551"/>
      <c r="CL1474" s="551"/>
      <c r="CM1474" s="551"/>
      <c r="CN1474" s="551"/>
      <c r="CO1474" s="551"/>
      <c r="CP1474" s="551"/>
      <c r="CQ1474" s="551">
        <f>I1474/30</f>
        <v>35</v>
      </c>
      <c r="CR1474" s="551"/>
      <c r="CS1474" s="551"/>
      <c r="CT1474" s="551"/>
      <c r="CU1474" s="551">
        <f t="shared" si="576"/>
        <v>0</v>
      </c>
      <c r="CV1474" s="551">
        <f>CK1474+CL1474+CM1474+CN1474+CO1474+CQ1474+CP1474</f>
        <v>35</v>
      </c>
      <c r="CW1474" s="551">
        <f>CI1474+CJ1474</f>
        <v>0</v>
      </c>
      <c r="CX1474" s="650"/>
      <c r="CY1474" s="650"/>
      <c r="CZ1474" s="650"/>
      <c r="DA1474" s="551"/>
      <c r="DB1474" s="551"/>
      <c r="DC1474" s="551"/>
      <c r="DD1474" s="650"/>
      <c r="DE1474" s="650"/>
      <c r="DF1474" s="650"/>
      <c r="DG1474" s="650"/>
      <c r="DH1474" s="650"/>
      <c r="DI1474" s="551"/>
    </row>
    <row r="1475" s="551" customFormat="1" ht="31" customHeight="1" spans="1:113">
      <c r="A1475" s="641">
        <v>46140</v>
      </c>
      <c r="B1475" s="642" t="s">
        <v>211</v>
      </c>
      <c r="C1475" s="246" t="s">
        <v>212</v>
      </c>
      <c r="D1475" s="758">
        <v>4500204383</v>
      </c>
      <c r="E1475" s="618" t="s">
        <v>4211</v>
      </c>
      <c r="F1475" s="687" t="s">
        <v>9609</v>
      </c>
      <c r="G1475" s="246" t="s">
        <v>6040</v>
      </c>
      <c r="H1475" s="246" t="s">
        <v>6041</v>
      </c>
      <c r="I1475" s="706">
        <v>1248</v>
      </c>
      <c r="J1475" s="246">
        <v>0</v>
      </c>
      <c r="K1475" s="246">
        <v>52</v>
      </c>
      <c r="L1475" s="644">
        <f t="shared" si="573"/>
        <v>24</v>
      </c>
      <c r="M1475" s="645">
        <v>46178</v>
      </c>
      <c r="N1475" s="645">
        <v>46174</v>
      </c>
      <c r="O1475" s="643"/>
      <c r="P1475" s="743" t="s">
        <v>9334</v>
      </c>
      <c r="Q1475" s="646"/>
      <c r="R1475" s="646">
        <v>46140</v>
      </c>
      <c r="S1475" s="646" t="s">
        <v>70</v>
      </c>
      <c r="T1475" s="646" t="s">
        <v>9610</v>
      </c>
      <c r="U1475" s="646"/>
      <c r="V1475" s="646"/>
      <c r="W1475" s="642"/>
      <c r="X1475" s="642" t="s">
        <v>9611</v>
      </c>
      <c r="Y1475" s="647" t="s">
        <v>1793</v>
      </c>
      <c r="Z1475" s="642">
        <v>0.9279</v>
      </c>
      <c r="AA1475" s="647">
        <f>I1475*Z1475</f>
        <v>1158.0192</v>
      </c>
      <c r="AC1475" s="751"/>
      <c r="AD1475" s="246" t="s">
        <v>6040</v>
      </c>
      <c r="AE1475" s="246" t="s">
        <v>82</v>
      </c>
      <c r="AF1475" s="246"/>
      <c r="AG1475" s="771" t="s">
        <v>9580</v>
      </c>
      <c r="AH1475" s="642"/>
      <c r="AI1475" s="761">
        <v>1248</v>
      </c>
      <c r="AJ1475" s="246">
        <f t="shared" ref="AJ1471:AJ1484" si="577">AI1475-I1475</f>
        <v>0</v>
      </c>
      <c r="AK1475" s="643"/>
      <c r="AL1475" s="246" t="s">
        <v>2368</v>
      </c>
      <c r="AM1475" s="246"/>
      <c r="AN1475" s="551"/>
      <c r="AO1475" s="551">
        <f t="shared" si="574"/>
        <v>1248</v>
      </c>
      <c r="AR1475" s="650"/>
      <c r="AS1475" s="551"/>
      <c r="AT1475" s="554">
        <f>I1475</f>
        <v>1248</v>
      </c>
      <c r="AV1475" s="554">
        <f>I1475</f>
        <v>1248</v>
      </c>
      <c r="AX1475" s="651"/>
      <c r="AY1475" s="551"/>
      <c r="AZ1475" s="551"/>
      <c r="BA1475" s="551"/>
      <c r="BB1475" s="620">
        <f t="shared" si="575"/>
        <v>52</v>
      </c>
      <c r="BM1475" s="551">
        <f>I1475/13</f>
        <v>96</v>
      </c>
      <c r="CA1475" s="752"/>
      <c r="CB1475" s="747"/>
      <c r="CC1475" s="753"/>
      <c r="CD1475" s="551"/>
      <c r="CE1475" s="551"/>
      <c r="CF1475" s="551"/>
      <c r="CG1475" s="551"/>
      <c r="CH1475" s="551"/>
      <c r="CI1475" s="551"/>
      <c r="CJ1475" s="551"/>
      <c r="CK1475" s="551"/>
      <c r="CL1475" s="551"/>
      <c r="CM1475" s="551"/>
      <c r="CN1475" s="551"/>
      <c r="CO1475" s="551"/>
      <c r="CP1475" s="650"/>
      <c r="CQ1475" s="650"/>
      <c r="CR1475" s="551"/>
      <c r="CS1475" s="551"/>
      <c r="CT1475" s="551"/>
      <c r="CU1475" s="551">
        <f t="shared" si="576"/>
        <v>0</v>
      </c>
      <c r="CV1475" s="551">
        <v>0</v>
      </c>
      <c r="CW1475" s="551">
        <v>0</v>
      </c>
      <c r="CX1475" s="650"/>
      <c r="CY1475" s="650"/>
      <c r="CZ1475" s="650"/>
      <c r="DA1475" s="650"/>
      <c r="DB1475" s="650"/>
      <c r="DC1475" s="650"/>
      <c r="DD1475" s="650"/>
      <c r="DE1475" s="650"/>
      <c r="DF1475" s="650"/>
      <c r="DG1475" s="650"/>
      <c r="DH1475" s="650"/>
    </row>
    <row r="1476" s="551" customFormat="1" ht="31" customHeight="1" spans="1:113">
      <c r="A1476" s="641">
        <v>46064</v>
      </c>
      <c r="B1476" s="642" t="s">
        <v>4155</v>
      </c>
      <c r="C1476" s="246" t="s">
        <v>198</v>
      </c>
      <c r="D1476" s="758">
        <v>4500193716</v>
      </c>
      <c r="E1476" s="618">
        <v>4045728998</v>
      </c>
      <c r="F1476" s="687" t="s">
        <v>9612</v>
      </c>
      <c r="G1476" s="246" t="s">
        <v>6093</v>
      </c>
      <c r="H1476" s="246" t="s">
        <v>6094</v>
      </c>
      <c r="I1476" s="706">
        <v>1508</v>
      </c>
      <c r="J1476" s="246">
        <v>0</v>
      </c>
      <c r="K1476" s="246">
        <v>13</v>
      </c>
      <c r="L1476" s="644">
        <f t="shared" si="573"/>
        <v>116</v>
      </c>
      <c r="M1476" s="645">
        <v>46178</v>
      </c>
      <c r="N1476" s="645">
        <v>46174</v>
      </c>
      <c r="O1476" s="246" t="s">
        <v>4157</v>
      </c>
      <c r="P1476" s="643" t="s">
        <v>9334</v>
      </c>
      <c r="Q1476" s="246"/>
      <c r="R1476" s="646">
        <v>46104</v>
      </c>
      <c r="S1476" s="646" t="s">
        <v>70</v>
      </c>
      <c r="T1476" s="646" t="s">
        <v>9613</v>
      </c>
      <c r="U1476" s="646"/>
      <c r="V1476" s="646"/>
      <c r="W1476" s="642"/>
      <c r="X1476" s="642" t="s">
        <v>9614</v>
      </c>
      <c r="Y1476" s="647" t="s">
        <v>244</v>
      </c>
      <c r="Z1476" s="655">
        <v>0.9116</v>
      </c>
      <c r="AA1476" s="647">
        <f>Z1476*I1476</f>
        <v>1374.6928</v>
      </c>
      <c r="AC1476" s="648"/>
      <c r="AD1476" s="246" t="s">
        <v>6093</v>
      </c>
      <c r="AE1476" s="246" t="s">
        <v>82</v>
      </c>
      <c r="AF1476" s="246"/>
      <c r="AG1476" s="771" t="s">
        <v>9585</v>
      </c>
      <c r="AH1476" s="642"/>
      <c r="AI1476" s="761">
        <v>1508</v>
      </c>
      <c r="AJ1476" s="246">
        <f t="shared" si="577"/>
        <v>0</v>
      </c>
      <c r="AK1476" s="246"/>
      <c r="AL1476" s="246" t="s">
        <v>2368</v>
      </c>
      <c r="AM1476" s="246"/>
      <c r="AN1476" s="246"/>
      <c r="AO1476" s="551">
        <f t="shared" si="574"/>
        <v>1508</v>
      </c>
      <c r="AR1476" s="650"/>
      <c r="AS1476" s="551"/>
      <c r="AT1476" s="554">
        <f>I1476</f>
        <v>1508</v>
      </c>
      <c r="AV1476" s="554">
        <f>I1476</f>
        <v>1508</v>
      </c>
      <c r="AW1476" s="650"/>
      <c r="AX1476" s="551"/>
      <c r="AY1476" s="551"/>
      <c r="AZ1476" s="551"/>
      <c r="BA1476" s="551"/>
      <c r="BB1476" s="620">
        <f t="shared" si="575"/>
        <v>62.8333333333333</v>
      </c>
      <c r="BC1476" s="651"/>
      <c r="BD1476" s="551"/>
      <c r="BE1476" s="551"/>
      <c r="BF1476" s="551"/>
      <c r="BG1476" s="551"/>
      <c r="BH1476" s="551"/>
      <c r="BI1476" s="551"/>
      <c r="BJ1476" s="551"/>
      <c r="BK1476" s="551"/>
      <c r="BL1476" s="551"/>
      <c r="BM1476" s="551">
        <f>I1476/13</f>
        <v>116</v>
      </c>
      <c r="BY1476" s="650"/>
      <c r="BZ1476" s="551"/>
      <c r="CA1476" s="652"/>
      <c r="CB1476" s="747"/>
      <c r="CC1476" s="653"/>
      <c r="CD1476" s="650"/>
      <c r="CE1476" s="650"/>
      <c r="CF1476" s="551"/>
      <c r="CG1476" s="551"/>
      <c r="CH1476" s="551"/>
      <c r="CI1476" s="551"/>
      <c r="CJ1476" s="551"/>
      <c r="CK1476" s="551"/>
      <c r="CL1476" s="551"/>
      <c r="CM1476" s="551"/>
      <c r="CN1476" s="551"/>
      <c r="CO1476" s="551"/>
      <c r="CP1476" s="551"/>
      <c r="CQ1476" s="551"/>
      <c r="CR1476" s="551"/>
      <c r="CS1476" s="551"/>
      <c r="CT1476" s="551"/>
      <c r="CU1476" s="551">
        <f t="shared" si="576"/>
        <v>0</v>
      </c>
      <c r="CV1476" s="551">
        <f t="shared" ref="CV1476:CV1481" si="578">CK1476+CL1476+CM1476+CN1476+CO1476+CQ1476+CP1476</f>
        <v>0</v>
      </c>
      <c r="CW1476" s="551">
        <f t="shared" ref="CW1476:CW1481" si="579">CI1476+CJ1476</f>
        <v>0</v>
      </c>
      <c r="CX1476" s="650"/>
      <c r="CY1476" s="650"/>
      <c r="CZ1476" s="650"/>
      <c r="DA1476" s="551"/>
      <c r="DB1476" s="551"/>
      <c r="DC1476" s="551"/>
      <c r="DD1476" s="650"/>
      <c r="DE1476" s="650"/>
      <c r="DF1476" s="650"/>
      <c r="DG1476" s="650"/>
      <c r="DH1476" s="650"/>
    </row>
    <row r="1477" s="549" customFormat="1" ht="31" customHeight="1" spans="1:113">
      <c r="A1477" s="641">
        <v>46129</v>
      </c>
      <c r="B1477" s="642" t="s">
        <v>499</v>
      </c>
      <c r="C1477" s="246" t="s">
        <v>890</v>
      </c>
      <c r="D1477" s="708">
        <v>4500202591</v>
      </c>
      <c r="E1477" s="246" t="s">
        <v>3846</v>
      </c>
      <c r="F1477" s="551" t="s">
        <v>9615</v>
      </c>
      <c r="G1477" s="246" t="s">
        <v>6448</v>
      </c>
      <c r="H1477" s="246" t="s">
        <v>6449</v>
      </c>
      <c r="I1477" s="706">
        <v>1550</v>
      </c>
      <c r="J1477" s="246">
        <v>0</v>
      </c>
      <c r="K1477" s="246">
        <v>50</v>
      </c>
      <c r="L1477" s="644">
        <f t="shared" si="573"/>
        <v>31</v>
      </c>
      <c r="M1477" s="645">
        <v>46178</v>
      </c>
      <c r="N1477" s="645">
        <v>46174</v>
      </c>
      <c r="O1477" s="643"/>
      <c r="P1477" s="246" t="s">
        <v>9433</v>
      </c>
      <c r="Q1477" s="646">
        <v>46207</v>
      </c>
      <c r="R1477" s="646">
        <v>46132</v>
      </c>
      <c r="S1477" s="646" t="s">
        <v>70</v>
      </c>
      <c r="T1477" s="646" t="s">
        <v>9605</v>
      </c>
      <c r="U1477" s="646"/>
      <c r="V1477" s="772" t="s">
        <v>9616</v>
      </c>
      <c r="W1477" s="642"/>
      <c r="X1477" s="749" t="s">
        <v>9617</v>
      </c>
      <c r="Y1477" s="647" t="s">
        <v>217</v>
      </c>
      <c r="Z1477" s="642">
        <v>0.91</v>
      </c>
      <c r="AA1477" s="647">
        <f>Z1477*I1477</f>
        <v>1410.5</v>
      </c>
      <c r="AC1477" s="751"/>
      <c r="AD1477" s="246" t="s">
        <v>7959</v>
      </c>
      <c r="AE1477" s="246" t="s">
        <v>82</v>
      </c>
      <c r="AF1477" s="246"/>
      <c r="AG1477" s="771" t="s">
        <v>9585</v>
      </c>
      <c r="AH1477" s="642"/>
      <c r="AI1477" s="642">
        <v>1550</v>
      </c>
      <c r="AJ1477" s="246">
        <f t="shared" si="577"/>
        <v>0</v>
      </c>
      <c r="AK1477" s="643"/>
      <c r="AL1477" s="246" t="s">
        <v>454</v>
      </c>
      <c r="AM1477" s="246"/>
      <c r="AN1477" s="551"/>
      <c r="AO1477" s="551">
        <f t="shared" si="574"/>
        <v>1550</v>
      </c>
      <c r="AP1477" s="551">
        <f>I1477</f>
        <v>1550</v>
      </c>
      <c r="AQ1477" s="551"/>
      <c r="AR1477" s="551"/>
      <c r="AS1477" s="551"/>
      <c r="AT1477" s="551"/>
      <c r="AU1477" s="551"/>
      <c r="AV1477" s="551"/>
      <c r="AW1477" s="551"/>
      <c r="AX1477" s="651"/>
      <c r="AY1477" s="551"/>
      <c r="AZ1477" s="551">
        <f>I1477</f>
        <v>1550</v>
      </c>
      <c r="BA1477" s="551"/>
      <c r="BB1477" s="249">
        <f t="shared" si="575"/>
        <v>64.5833333333333</v>
      </c>
      <c r="BC1477" s="551"/>
      <c r="BD1477" s="551"/>
      <c r="BE1477" s="551"/>
      <c r="BF1477" s="551"/>
      <c r="BG1477" s="551"/>
      <c r="BH1477" s="551"/>
      <c r="BI1477" s="551"/>
      <c r="BJ1477" s="551"/>
      <c r="BK1477" s="551"/>
      <c r="BL1477" s="551"/>
      <c r="BM1477" s="551"/>
      <c r="BN1477" s="551"/>
      <c r="BO1477" s="551"/>
      <c r="BP1477" s="551"/>
      <c r="BQ1477" s="551"/>
      <c r="BR1477" s="551"/>
      <c r="BS1477" s="551"/>
      <c r="BT1477" s="551"/>
      <c r="BU1477" s="551"/>
      <c r="BV1477" s="551"/>
      <c r="BW1477" s="551"/>
      <c r="BX1477" s="551">
        <f>I1477/25</f>
        <v>62</v>
      </c>
      <c r="BY1477" s="551"/>
      <c r="BZ1477" s="551"/>
      <c r="CA1477" s="752"/>
      <c r="CB1477" s="747"/>
      <c r="CC1477" s="753"/>
      <c r="CD1477" s="551"/>
      <c r="CE1477" s="551"/>
      <c r="CF1477" s="551"/>
      <c r="CG1477" s="551"/>
      <c r="CH1477" s="551"/>
      <c r="CI1477" s="551"/>
      <c r="CJ1477" s="551"/>
      <c r="CK1477" s="551"/>
      <c r="CL1477" s="551"/>
      <c r="CM1477" s="551"/>
      <c r="CN1477" s="551"/>
      <c r="CO1477" s="551"/>
      <c r="CP1477" s="650"/>
      <c r="CQ1477" s="650"/>
      <c r="CR1477" s="650"/>
      <c r="CS1477" s="650"/>
      <c r="CT1477" s="650"/>
      <c r="CU1477" s="551">
        <f t="shared" si="576"/>
        <v>62</v>
      </c>
      <c r="CV1477" s="551">
        <f t="shared" si="578"/>
        <v>0</v>
      </c>
      <c r="CW1477" s="551">
        <f t="shared" si="579"/>
        <v>0</v>
      </c>
      <c r="CX1477" s="650"/>
      <c r="CY1477" s="650"/>
      <c r="CZ1477" s="650"/>
      <c r="DA1477" s="650"/>
      <c r="DB1477" s="650"/>
      <c r="DC1477" s="650"/>
      <c r="DD1477" s="650"/>
      <c r="DE1477" s="650"/>
      <c r="DF1477" s="650"/>
      <c r="DG1477" s="650"/>
      <c r="DH1477" s="650"/>
      <c r="DI1477" s="551"/>
    </row>
    <row r="1478" s="549" customFormat="1" ht="31" customHeight="1" spans="1:113">
      <c r="A1478" s="641">
        <v>46129</v>
      </c>
      <c r="B1478" s="642" t="s">
        <v>499</v>
      </c>
      <c r="C1478" s="246" t="s">
        <v>890</v>
      </c>
      <c r="D1478" s="748">
        <v>4500202591</v>
      </c>
      <c r="E1478" s="246" t="s">
        <v>3846</v>
      </c>
      <c r="F1478" s="551" t="s">
        <v>9618</v>
      </c>
      <c r="G1478" s="246" t="s">
        <v>6708</v>
      </c>
      <c r="H1478" s="246" t="s">
        <v>6709</v>
      </c>
      <c r="I1478" s="246">
        <v>960</v>
      </c>
      <c r="J1478" s="246">
        <v>0</v>
      </c>
      <c r="K1478" s="246">
        <v>30</v>
      </c>
      <c r="L1478" s="644">
        <f t="shared" si="573"/>
        <v>32</v>
      </c>
      <c r="M1478" s="645">
        <v>46178</v>
      </c>
      <c r="N1478" s="645">
        <v>46174</v>
      </c>
      <c r="O1478" s="643"/>
      <c r="P1478" s="246" t="s">
        <v>9433</v>
      </c>
      <c r="Q1478" s="646">
        <v>46207</v>
      </c>
      <c r="R1478" s="646">
        <v>46132</v>
      </c>
      <c r="S1478" s="646" t="s">
        <v>70</v>
      </c>
      <c r="T1478" s="646" t="s">
        <v>9605</v>
      </c>
      <c r="U1478" s="646"/>
      <c r="V1478" s="646"/>
      <c r="W1478" s="642"/>
      <c r="X1478" s="749" t="s">
        <v>9617</v>
      </c>
      <c r="Y1478" s="642" t="s">
        <v>217</v>
      </c>
      <c r="Z1478" s="642">
        <v>16.6605</v>
      </c>
      <c r="AA1478" s="647">
        <f>Z1478*L1478</f>
        <v>533.136</v>
      </c>
      <c r="AC1478" s="648"/>
      <c r="AD1478" s="246" t="s">
        <v>6708</v>
      </c>
      <c r="AE1478" s="246" t="s">
        <v>82</v>
      </c>
      <c r="AF1478" s="246"/>
      <c r="AG1478" s="771" t="s">
        <v>9585</v>
      </c>
      <c r="AH1478" s="246"/>
      <c r="AI1478" s="642">
        <v>960</v>
      </c>
      <c r="AJ1478" s="246">
        <f t="shared" si="577"/>
        <v>0</v>
      </c>
      <c r="AK1478" s="246"/>
      <c r="AL1478" s="246" t="s">
        <v>454</v>
      </c>
      <c r="AM1478" s="246"/>
      <c r="AN1478" s="246"/>
      <c r="AO1478" s="551">
        <f t="shared" si="574"/>
        <v>960</v>
      </c>
      <c r="AP1478" s="551">
        <f>I1478</f>
        <v>960</v>
      </c>
      <c r="AR1478" s="650"/>
      <c r="AS1478" s="551"/>
      <c r="AT1478" s="551"/>
      <c r="AU1478" s="551"/>
      <c r="AV1478" s="551"/>
      <c r="AW1478" s="650"/>
      <c r="AX1478" s="551"/>
      <c r="AY1478" s="551"/>
      <c r="AZ1478" s="551">
        <f>I1478</f>
        <v>960</v>
      </c>
      <c r="BA1478" s="551"/>
      <c r="BB1478" s="249">
        <f t="shared" si="575"/>
        <v>40</v>
      </c>
      <c r="BC1478" s="651"/>
      <c r="BD1478" s="551"/>
      <c r="BE1478" s="551"/>
      <c r="BF1478" s="551"/>
      <c r="BG1478" s="551"/>
      <c r="BH1478" s="551"/>
      <c r="BI1478" s="551"/>
      <c r="BJ1478" s="551"/>
      <c r="BK1478" s="551"/>
      <c r="BL1478" s="551"/>
      <c r="BM1478" s="551"/>
      <c r="BN1478" s="551"/>
      <c r="BO1478" s="551"/>
      <c r="BP1478" s="551"/>
      <c r="BQ1478" s="551"/>
      <c r="BR1478" s="551"/>
      <c r="BS1478" s="551"/>
      <c r="BT1478" s="551"/>
      <c r="BU1478" s="551"/>
      <c r="BV1478" s="551"/>
      <c r="BW1478" s="551"/>
      <c r="BX1478" s="551"/>
      <c r="BY1478" s="650"/>
      <c r="BZ1478" s="551"/>
      <c r="CA1478" s="652"/>
      <c r="CB1478" s="747"/>
      <c r="CC1478" s="653"/>
      <c r="CD1478" s="650"/>
      <c r="CE1478" s="650"/>
      <c r="CF1478" s="551"/>
      <c r="CG1478" s="551"/>
      <c r="CH1478" s="551"/>
      <c r="CI1478" s="551"/>
      <c r="CJ1478" s="551"/>
      <c r="CK1478" s="551"/>
      <c r="CL1478" s="551"/>
      <c r="CM1478" s="551"/>
      <c r="CN1478" s="551"/>
      <c r="CO1478" s="551"/>
      <c r="CP1478" s="551"/>
      <c r="CQ1478" s="551">
        <f>I1478/30</f>
        <v>32</v>
      </c>
      <c r="CU1478" s="551">
        <f t="shared" si="576"/>
        <v>0</v>
      </c>
      <c r="CV1478" s="551">
        <f t="shared" si="578"/>
        <v>32</v>
      </c>
      <c r="CW1478" s="551">
        <f t="shared" si="579"/>
        <v>0</v>
      </c>
      <c r="CX1478" s="650"/>
      <c r="CY1478" s="650"/>
      <c r="CZ1478" s="650"/>
      <c r="DA1478" s="551"/>
      <c r="DB1478" s="551"/>
      <c r="DC1478" s="551"/>
      <c r="DD1478" s="650"/>
      <c r="DE1478" s="650"/>
      <c r="DF1478" s="650"/>
      <c r="DG1478" s="650"/>
      <c r="DH1478" s="650"/>
      <c r="DI1478" s="551"/>
    </row>
    <row r="1479" s="549" customFormat="1" ht="31" customHeight="1" spans="1:113">
      <c r="A1479" s="641">
        <v>46134</v>
      </c>
      <c r="B1479" s="642" t="s">
        <v>1368</v>
      </c>
      <c r="C1479" s="246" t="s">
        <v>98</v>
      </c>
      <c r="D1479" s="748">
        <v>4500203270</v>
      </c>
      <c r="E1479" s="643">
        <v>660860</v>
      </c>
      <c r="F1479" s="551" t="s">
        <v>9619</v>
      </c>
      <c r="G1479" s="246" t="s">
        <v>6084</v>
      </c>
      <c r="H1479" s="246" t="s">
        <v>6085</v>
      </c>
      <c r="I1479" s="246">
        <v>225</v>
      </c>
      <c r="J1479" s="246">
        <v>0</v>
      </c>
      <c r="K1479" s="246">
        <v>25</v>
      </c>
      <c r="L1479" s="644">
        <f t="shared" si="573"/>
        <v>9</v>
      </c>
      <c r="M1479" s="645">
        <v>46181</v>
      </c>
      <c r="N1479" s="645">
        <v>46177</v>
      </c>
      <c r="O1479" s="643"/>
      <c r="P1479" s="643" t="s">
        <v>9433</v>
      </c>
      <c r="Q1479" s="246" t="s">
        <v>9550</v>
      </c>
      <c r="R1479" s="646">
        <v>46136</v>
      </c>
      <c r="S1479" s="646" t="s">
        <v>70</v>
      </c>
      <c r="T1479" s="646" t="s">
        <v>70</v>
      </c>
      <c r="U1479" s="646"/>
      <c r="V1479" s="646"/>
      <c r="W1479" s="642"/>
      <c r="X1479" s="642" t="s">
        <v>9620</v>
      </c>
      <c r="Y1479" s="642" t="s">
        <v>1372</v>
      </c>
      <c r="Z1479" s="745">
        <v>0.5946</v>
      </c>
      <c r="AA1479" s="647">
        <f t="shared" ref="AA1479:AA1485" si="580">Z1479*I1479</f>
        <v>133.785</v>
      </c>
      <c r="AC1479" s="658" t="s">
        <v>4194</v>
      </c>
      <c r="AD1479" s="246" t="s">
        <v>6084</v>
      </c>
      <c r="AE1479" s="246" t="s">
        <v>82</v>
      </c>
      <c r="AF1479" s="246"/>
      <c r="AG1479" s="771" t="s">
        <v>9585</v>
      </c>
      <c r="AH1479" s="246"/>
      <c r="AI1479" s="642">
        <v>225</v>
      </c>
      <c r="AJ1479" s="246">
        <f t="shared" si="577"/>
        <v>0</v>
      </c>
      <c r="AK1479" s="246"/>
      <c r="AL1479" s="246"/>
      <c r="AM1479" s="246"/>
      <c r="AN1479" s="246">
        <f>I1479</f>
        <v>225</v>
      </c>
      <c r="AO1479" s="551"/>
      <c r="AP1479" s="551">
        <f>I1479</f>
        <v>225</v>
      </c>
      <c r="AQ1479" s="551"/>
      <c r="AR1479" s="650"/>
      <c r="AS1479" s="551"/>
      <c r="AT1479" s="551"/>
      <c r="AU1479" s="551">
        <f>I1479</f>
        <v>225</v>
      </c>
      <c r="AV1479" s="551"/>
      <c r="AW1479" s="650"/>
      <c r="AX1479" s="551"/>
      <c r="AY1479" s="551"/>
      <c r="AZ1479" s="551"/>
      <c r="BA1479" s="551"/>
      <c r="BB1479" s="249">
        <f>I1479/48</f>
        <v>4.6875</v>
      </c>
      <c r="BC1479" s="651"/>
      <c r="BD1479" s="551"/>
      <c r="BE1479" s="551"/>
      <c r="BF1479" s="551"/>
      <c r="BG1479" s="551"/>
      <c r="BH1479" s="551"/>
      <c r="BI1479" s="551"/>
      <c r="BJ1479" s="551"/>
      <c r="BK1479" s="551"/>
      <c r="BL1479" s="551"/>
      <c r="BM1479" s="551"/>
      <c r="BN1479" s="551">
        <f>I1479/25</f>
        <v>9</v>
      </c>
      <c r="BO1479" s="551"/>
      <c r="BP1479" s="551"/>
      <c r="BQ1479" s="551"/>
      <c r="BR1479" s="551"/>
      <c r="BS1479" s="551"/>
      <c r="BT1479" s="551"/>
      <c r="BU1479" s="551"/>
      <c r="BV1479" s="551"/>
      <c r="BW1479" s="551"/>
      <c r="BX1479" s="551"/>
      <c r="BY1479" s="650"/>
      <c r="BZ1479" s="551"/>
      <c r="CA1479" s="652"/>
      <c r="CB1479" s="747"/>
      <c r="CC1479" s="653"/>
      <c r="CD1479" s="650"/>
      <c r="CE1479" s="650"/>
      <c r="CF1479" s="551"/>
      <c r="CG1479" s="551"/>
      <c r="CH1479" s="551"/>
      <c r="CI1479" s="551"/>
      <c r="CJ1479" s="551"/>
      <c r="CK1479" s="551"/>
      <c r="CL1479" s="551"/>
      <c r="CM1479" s="551"/>
      <c r="CN1479" s="551"/>
      <c r="CO1479" s="551"/>
      <c r="CP1479" s="551"/>
      <c r="CQ1479" s="551"/>
      <c r="CR1479" s="551"/>
      <c r="CS1479" s="551"/>
      <c r="CT1479" s="551"/>
      <c r="CU1479" s="551">
        <f t="shared" si="576"/>
        <v>9</v>
      </c>
      <c r="CV1479" s="551">
        <f t="shared" si="578"/>
        <v>0</v>
      </c>
      <c r="CW1479" s="551">
        <f t="shared" si="579"/>
        <v>0</v>
      </c>
      <c r="CX1479" s="650"/>
      <c r="CY1479" s="650"/>
      <c r="CZ1479" s="650"/>
      <c r="DA1479" s="551"/>
      <c r="DB1479" s="551"/>
      <c r="DC1479" s="551"/>
      <c r="DD1479" s="650"/>
      <c r="DE1479" s="650"/>
      <c r="DF1479" s="650"/>
      <c r="DG1479" s="650"/>
      <c r="DH1479" s="650"/>
      <c r="DI1479" s="551"/>
    </row>
    <row r="1480" s="551" customFormat="1" ht="31" customHeight="1" spans="1:113">
      <c r="A1480" s="641">
        <v>46136</v>
      </c>
      <c r="B1480" s="642" t="s">
        <v>1728</v>
      </c>
      <c r="C1480" s="246" t="s">
        <v>154</v>
      </c>
      <c r="D1480" s="754">
        <v>4500204062</v>
      </c>
      <c r="E1480" s="773">
        <v>4400564361</v>
      </c>
      <c r="F1480" s="687" t="s">
        <v>9621</v>
      </c>
      <c r="G1480" s="246" t="s">
        <v>6047</v>
      </c>
      <c r="H1480" s="246" t="s">
        <v>6069</v>
      </c>
      <c r="I1480" s="706">
        <v>8000</v>
      </c>
      <c r="J1480" s="246">
        <v>0</v>
      </c>
      <c r="K1480" s="246">
        <v>25</v>
      </c>
      <c r="L1480" s="644">
        <f t="shared" si="573"/>
        <v>320</v>
      </c>
      <c r="M1480" s="645">
        <v>46182</v>
      </c>
      <c r="N1480" s="645">
        <v>46178</v>
      </c>
      <c r="O1480" s="643"/>
      <c r="P1480" s="743" t="s">
        <v>9334</v>
      </c>
      <c r="Q1480" s="646"/>
      <c r="R1480" s="646">
        <v>46146</v>
      </c>
      <c r="S1480" s="646" t="s">
        <v>70</v>
      </c>
      <c r="T1480" s="646" t="s">
        <v>6736</v>
      </c>
      <c r="U1480" s="646"/>
      <c r="V1480" s="646"/>
      <c r="W1480" s="642"/>
      <c r="X1480" s="642" t="s">
        <v>9622</v>
      </c>
      <c r="Y1480" s="647" t="s">
        <v>1549</v>
      </c>
      <c r="Z1480" s="642">
        <v>0.9703</v>
      </c>
      <c r="AA1480" s="647">
        <f t="shared" si="580"/>
        <v>7762.4</v>
      </c>
      <c r="AC1480" s="751"/>
      <c r="AD1480" s="246" t="s">
        <v>6073</v>
      </c>
      <c r="AE1480" s="246" t="s">
        <v>82</v>
      </c>
      <c r="AF1480" s="246"/>
      <c r="AG1480" s="771" t="s">
        <v>9603</v>
      </c>
      <c r="AH1480" s="642"/>
      <c r="AI1480" s="761">
        <f>5500+2500</f>
        <v>8000</v>
      </c>
      <c r="AJ1480" s="246">
        <f t="shared" si="577"/>
        <v>0</v>
      </c>
      <c r="AK1480" s="643"/>
      <c r="AL1480" s="246" t="s">
        <v>454</v>
      </c>
      <c r="AM1480" s="246"/>
      <c r="AN1480" s="551"/>
      <c r="AO1480" s="551">
        <f>I1480</f>
        <v>8000</v>
      </c>
      <c r="AR1480" s="650"/>
      <c r="AS1480" s="551"/>
      <c r="AT1480" s="551"/>
      <c r="AU1480" s="551"/>
      <c r="AV1480" s="551">
        <f>I1480</f>
        <v>8000</v>
      </c>
      <c r="AX1480" s="651"/>
      <c r="AY1480" s="551"/>
      <c r="AZ1480" s="551"/>
      <c r="BA1480" s="551"/>
      <c r="BB1480" s="249">
        <f>I1480/24*2</f>
        <v>666.666666666667</v>
      </c>
      <c r="BE1480" s="551">
        <f>I1480</f>
        <v>8000</v>
      </c>
      <c r="BP1480" s="551">
        <f>I1480/25</f>
        <v>320</v>
      </c>
      <c r="CA1480" s="752"/>
      <c r="CB1480" s="747"/>
      <c r="CC1480" s="753"/>
      <c r="CD1480" s="551"/>
      <c r="CE1480" s="551"/>
      <c r="CF1480" s="551"/>
      <c r="CG1480" s="551"/>
      <c r="CH1480" s="551"/>
      <c r="CI1480" s="551"/>
      <c r="CJ1480" s="551"/>
      <c r="CK1480" s="551"/>
      <c r="CL1480" s="551"/>
      <c r="CM1480" s="551"/>
      <c r="CN1480" s="551"/>
      <c r="CO1480" s="551"/>
      <c r="CP1480" s="650"/>
      <c r="CQ1480" s="650"/>
      <c r="CR1480" s="551"/>
      <c r="CS1480" s="551"/>
      <c r="CT1480" s="551"/>
      <c r="CU1480" s="551">
        <f t="shared" si="576"/>
        <v>320</v>
      </c>
      <c r="CV1480" s="551">
        <f t="shared" si="578"/>
        <v>0</v>
      </c>
      <c r="CW1480" s="551">
        <f t="shared" si="579"/>
        <v>0</v>
      </c>
      <c r="CX1480" s="650"/>
      <c r="CY1480" s="650"/>
      <c r="CZ1480" s="650"/>
      <c r="DA1480" s="650"/>
      <c r="DB1480" s="650"/>
      <c r="DC1480" s="650"/>
      <c r="DD1480" s="650"/>
      <c r="DE1480" s="650"/>
      <c r="DF1480" s="650"/>
      <c r="DG1480" s="650"/>
      <c r="DH1480" s="650"/>
    </row>
    <row r="1481" s="549" customFormat="1" ht="31" customHeight="1" spans="1:113">
      <c r="A1481" s="641">
        <v>46133</v>
      </c>
      <c r="B1481" s="642" t="s">
        <v>1544</v>
      </c>
      <c r="C1481" s="246" t="s">
        <v>257</v>
      </c>
      <c r="D1481" s="754">
        <v>4500203128</v>
      </c>
      <c r="E1481" s="643">
        <v>4400558686</v>
      </c>
      <c r="F1481" s="551" t="s">
        <v>9623</v>
      </c>
      <c r="G1481" s="246" t="s">
        <v>6047</v>
      </c>
      <c r="H1481" s="246" t="s">
        <v>6069</v>
      </c>
      <c r="I1481" s="706">
        <v>5000</v>
      </c>
      <c r="J1481" s="246">
        <v>0</v>
      </c>
      <c r="K1481" s="246">
        <v>25</v>
      </c>
      <c r="L1481" s="644">
        <f t="shared" si="573"/>
        <v>200</v>
      </c>
      <c r="M1481" s="645">
        <v>46182</v>
      </c>
      <c r="N1481" s="645">
        <v>46182</v>
      </c>
      <c r="O1481" s="643"/>
      <c r="P1481" s="743" t="s">
        <v>9334</v>
      </c>
      <c r="Q1481" s="774">
        <v>46189</v>
      </c>
      <c r="R1481" s="646">
        <v>46162</v>
      </c>
      <c r="S1481" s="646" t="s">
        <v>70</v>
      </c>
      <c r="T1481" s="646" t="s">
        <v>8294</v>
      </c>
      <c r="U1481" s="646"/>
      <c r="V1481" s="646"/>
      <c r="W1481" s="642"/>
      <c r="X1481" s="642" t="s">
        <v>9624</v>
      </c>
      <c r="Y1481" s="647" t="s">
        <v>1549</v>
      </c>
      <c r="Z1481" s="642">
        <v>0.9703</v>
      </c>
      <c r="AA1481" s="647">
        <f t="shared" si="580"/>
        <v>4851.5</v>
      </c>
      <c r="AC1481" s="751"/>
      <c r="AD1481" s="246" t="s">
        <v>6047</v>
      </c>
      <c r="AE1481" s="246" t="s">
        <v>82</v>
      </c>
      <c r="AF1481" s="246"/>
      <c r="AG1481" s="246"/>
      <c r="AH1481" s="642"/>
      <c r="AI1481" s="761">
        <v>5000</v>
      </c>
      <c r="AJ1481" s="246">
        <f t="shared" si="577"/>
        <v>0</v>
      </c>
      <c r="AK1481" s="643"/>
      <c r="AL1481" s="246" t="s">
        <v>2368</v>
      </c>
      <c r="AM1481" s="246"/>
      <c r="AN1481" s="551"/>
      <c r="AO1481" s="551">
        <f>I1481</f>
        <v>5000</v>
      </c>
      <c r="AP1481" s="551"/>
      <c r="AQ1481" s="551"/>
      <c r="AR1481" s="551"/>
      <c r="AS1481" s="551"/>
      <c r="AT1481" s="554">
        <f>I1481</f>
        <v>5000</v>
      </c>
      <c r="AU1481" s="551"/>
      <c r="AV1481" s="554">
        <f>I1481</f>
        <v>5000</v>
      </c>
      <c r="AW1481" s="551"/>
      <c r="AX1481" s="651"/>
      <c r="AY1481" s="551"/>
      <c r="AZ1481" s="551"/>
      <c r="BA1481" s="551"/>
      <c r="BB1481" s="620">
        <f>I1481/24</f>
        <v>208.333333333333</v>
      </c>
      <c r="BC1481" s="551"/>
      <c r="BD1481" s="551"/>
      <c r="BE1481" s="551"/>
      <c r="BF1481" s="551"/>
      <c r="BG1481" s="551"/>
      <c r="BH1481" s="551"/>
      <c r="BI1481" s="551"/>
      <c r="BJ1481" s="551"/>
      <c r="BK1481" s="551"/>
      <c r="BL1481" s="551"/>
      <c r="BM1481" s="551"/>
      <c r="BN1481" s="551"/>
      <c r="BO1481" s="551"/>
      <c r="BP1481" s="551">
        <f>I1481/25</f>
        <v>200</v>
      </c>
      <c r="BQ1481" s="551"/>
      <c r="BR1481" s="551"/>
      <c r="BS1481" s="551"/>
      <c r="BT1481" s="551"/>
      <c r="BU1481" s="551"/>
      <c r="BV1481" s="551"/>
      <c r="BW1481" s="551"/>
      <c r="BX1481" s="551"/>
      <c r="BY1481" s="551"/>
      <c r="BZ1481" s="551"/>
      <c r="CA1481" s="752"/>
      <c r="CB1481" s="747"/>
      <c r="CC1481" s="753"/>
      <c r="CD1481" s="551"/>
      <c r="CE1481" s="551"/>
      <c r="CF1481" s="551"/>
      <c r="CG1481" s="551"/>
      <c r="CH1481" s="551"/>
      <c r="CI1481" s="551"/>
      <c r="CJ1481" s="551"/>
      <c r="CK1481" s="551"/>
      <c r="CL1481" s="551"/>
      <c r="CM1481" s="551"/>
      <c r="CN1481" s="551"/>
      <c r="CO1481" s="551"/>
      <c r="CP1481" s="650"/>
      <c r="CQ1481" s="650"/>
      <c r="CR1481" s="650"/>
      <c r="CS1481" s="650"/>
      <c r="CT1481" s="650"/>
      <c r="CU1481" s="551">
        <f t="shared" si="576"/>
        <v>200</v>
      </c>
      <c r="CV1481" s="551">
        <f t="shared" si="578"/>
        <v>0</v>
      </c>
      <c r="CW1481" s="551">
        <f t="shared" si="579"/>
        <v>0</v>
      </c>
      <c r="CX1481" s="650"/>
      <c r="CY1481" s="650"/>
      <c r="CZ1481" s="650"/>
      <c r="DA1481" s="650"/>
      <c r="DB1481" s="650"/>
      <c r="DC1481" s="650"/>
      <c r="DD1481" s="650"/>
      <c r="DE1481" s="650"/>
      <c r="DF1481" s="650"/>
      <c r="DG1481" s="650"/>
      <c r="DH1481" s="650"/>
      <c r="DI1481" s="551"/>
    </row>
    <row r="1482" s="549" customFormat="1" ht="31" customHeight="1" spans="1:113">
      <c r="A1482" s="641">
        <v>46135</v>
      </c>
      <c r="B1482" s="642" t="s">
        <v>120</v>
      </c>
      <c r="C1482" s="693" t="s">
        <v>98</v>
      </c>
      <c r="D1482" s="748">
        <v>4500203609</v>
      </c>
      <c r="E1482" s="643">
        <v>5200009780</v>
      </c>
      <c r="F1482" s="551" t="s">
        <v>9625</v>
      </c>
      <c r="G1482" s="246" t="s">
        <v>6125</v>
      </c>
      <c r="H1482" s="246" t="s">
        <v>8008</v>
      </c>
      <c r="I1482" s="246">
        <v>19992</v>
      </c>
      <c r="J1482" s="246">
        <v>0</v>
      </c>
      <c r="K1482" s="246">
        <v>12</v>
      </c>
      <c r="L1482" s="644">
        <f t="shared" si="573"/>
        <v>1666</v>
      </c>
      <c r="M1482" s="645">
        <v>46183</v>
      </c>
      <c r="N1482" s="645">
        <v>46179</v>
      </c>
      <c r="O1482" s="643"/>
      <c r="P1482" s="643" t="s">
        <v>9433</v>
      </c>
      <c r="Q1482" s="654">
        <v>46189</v>
      </c>
      <c r="R1482" s="646">
        <v>46136</v>
      </c>
      <c r="S1482" s="646" t="s">
        <v>70</v>
      </c>
      <c r="T1482" s="646" t="s">
        <v>8842</v>
      </c>
      <c r="U1482" s="646"/>
      <c r="V1482" s="646"/>
      <c r="W1482" s="642"/>
      <c r="X1482" s="642" t="s">
        <v>9626</v>
      </c>
      <c r="Y1482" s="647" t="s">
        <v>9627</v>
      </c>
      <c r="Z1482" s="642">
        <v>1.2814</v>
      </c>
      <c r="AA1482" s="647">
        <f t="shared" si="580"/>
        <v>25617.7488</v>
      </c>
      <c r="AC1482" s="658" t="s">
        <v>9628</v>
      </c>
      <c r="AD1482" s="246" t="s">
        <v>6128</v>
      </c>
      <c r="AE1482" s="246" t="s">
        <v>82</v>
      </c>
      <c r="AF1482" s="246"/>
      <c r="AG1482" s="642"/>
      <c r="AH1482" s="642"/>
      <c r="AI1482" s="642">
        <v>19992</v>
      </c>
      <c r="AJ1482" s="246">
        <f t="shared" si="577"/>
        <v>0</v>
      </c>
      <c r="AK1482" s="246"/>
      <c r="AL1482" s="246"/>
      <c r="AM1482" s="246"/>
      <c r="AN1482" s="246">
        <f>I1482*2</f>
        <v>39984</v>
      </c>
      <c r="AO1482" s="551"/>
      <c r="AP1482" s="551"/>
      <c r="AQ1482" s="551">
        <f>I1482*2</f>
        <v>39984</v>
      </c>
      <c r="AR1482" s="650"/>
      <c r="AS1482" s="551"/>
      <c r="AT1482" s="551"/>
      <c r="AU1482" s="551">
        <f>I1482*2</f>
        <v>39984</v>
      </c>
      <c r="AV1482" s="551"/>
      <c r="AW1482" s="650"/>
      <c r="AX1482" s="551"/>
      <c r="AY1482" s="551"/>
      <c r="AZ1482" s="551"/>
      <c r="BA1482" s="551"/>
      <c r="BB1482" s="249">
        <f>I1482/24*2</f>
        <v>1666</v>
      </c>
      <c r="BC1482" s="651"/>
      <c r="BD1482" s="551"/>
      <c r="BE1482" s="551"/>
      <c r="BF1482" s="551"/>
      <c r="BG1482" s="551"/>
      <c r="BH1482" s="551"/>
      <c r="BI1482" s="551"/>
      <c r="BJ1482" s="551"/>
      <c r="BK1482" s="551"/>
      <c r="BL1482" s="551"/>
      <c r="BM1482" s="551"/>
      <c r="BN1482" s="551"/>
      <c r="BO1482" s="551"/>
      <c r="BP1482" s="551"/>
      <c r="BQ1482" s="551"/>
      <c r="BR1482" s="551"/>
      <c r="BS1482" s="551"/>
      <c r="BT1482" s="551"/>
      <c r="BU1482" s="551"/>
      <c r="BV1482" s="551"/>
      <c r="BW1482" s="551"/>
      <c r="BX1482" s="551"/>
      <c r="BY1482" s="650"/>
      <c r="BZ1482" s="551"/>
      <c r="CA1482" s="652"/>
      <c r="CB1482" s="747"/>
      <c r="CC1482" s="653"/>
      <c r="CD1482" s="650"/>
      <c r="CE1482" s="650"/>
      <c r="CF1482" s="551"/>
      <c r="CG1482" s="551"/>
      <c r="CH1482" s="551"/>
      <c r="CI1482" s="551"/>
      <c r="CJ1482" s="551"/>
      <c r="CK1482" s="551"/>
      <c r="CL1482" s="551"/>
      <c r="CM1482" s="551"/>
      <c r="CN1482" s="551"/>
      <c r="CO1482" s="551"/>
      <c r="CP1482" s="551"/>
      <c r="CQ1482" s="551"/>
      <c r="CR1482" s="551">
        <f>I1482</f>
        <v>19992</v>
      </c>
      <c r="CS1482" s="551">
        <f>I1482</f>
        <v>19992</v>
      </c>
      <c r="CT1482" s="551">
        <f>I1482</f>
        <v>19992</v>
      </c>
      <c r="CU1482" s="551">
        <f t="shared" si="576"/>
        <v>0</v>
      </c>
      <c r="CV1482" s="551">
        <v>0</v>
      </c>
      <c r="CW1482" s="551">
        <v>0</v>
      </c>
      <c r="CX1482" s="650"/>
      <c r="CY1482" s="650"/>
      <c r="CZ1482" s="650"/>
      <c r="DA1482" s="551"/>
      <c r="DB1482" s="551"/>
      <c r="DC1482" s="551"/>
      <c r="DD1482" s="650"/>
      <c r="DE1482" s="650"/>
      <c r="DF1482" s="650"/>
      <c r="DG1482" s="650"/>
      <c r="DH1482" s="650"/>
      <c r="DI1482" s="551"/>
    </row>
    <row r="1483" s="549" customFormat="1" ht="31" customHeight="1" spans="1:113">
      <c r="A1483" s="641">
        <v>46140</v>
      </c>
      <c r="B1483" s="642" t="s">
        <v>169</v>
      </c>
      <c r="C1483" s="246" t="s">
        <v>170</v>
      </c>
      <c r="D1483" s="748">
        <v>4500204413</v>
      </c>
      <c r="E1483" s="643">
        <v>996939446</v>
      </c>
      <c r="F1483" s="551" t="s">
        <v>9629</v>
      </c>
      <c r="G1483" s="246" t="s">
        <v>6063</v>
      </c>
      <c r="H1483" s="246" t="s">
        <v>6064</v>
      </c>
      <c r="I1483" s="706">
        <v>5408</v>
      </c>
      <c r="J1483" s="246">
        <v>0</v>
      </c>
      <c r="K1483" s="246">
        <v>16</v>
      </c>
      <c r="L1483" s="644">
        <f t="shared" si="573"/>
        <v>338</v>
      </c>
      <c r="M1483" s="645">
        <v>46183</v>
      </c>
      <c r="N1483" s="645">
        <v>46179</v>
      </c>
      <c r="O1483" s="775" t="s">
        <v>3368</v>
      </c>
      <c r="P1483" s="643" t="s">
        <v>9433</v>
      </c>
      <c r="Q1483" s="646">
        <v>46195</v>
      </c>
      <c r="R1483" s="646">
        <v>46140</v>
      </c>
      <c r="S1483" s="646" t="s">
        <v>70</v>
      </c>
      <c r="T1483" s="646" t="s">
        <v>70</v>
      </c>
      <c r="U1483" s="646"/>
      <c r="V1483" s="646" t="s">
        <v>9630</v>
      </c>
      <c r="W1483" s="642"/>
      <c r="X1483" s="749" t="s">
        <v>9631</v>
      </c>
      <c r="Y1483" s="647" t="s">
        <v>2071</v>
      </c>
      <c r="Z1483" s="642">
        <v>1.0247</v>
      </c>
      <c r="AA1483" s="647">
        <f t="shared" si="580"/>
        <v>5541.5776</v>
      </c>
      <c r="AC1483" s="751"/>
      <c r="AD1483" s="246" t="s">
        <v>8348</v>
      </c>
      <c r="AE1483" s="246" t="s">
        <v>82</v>
      </c>
      <c r="AF1483" s="246"/>
      <c r="AG1483" s="246"/>
      <c r="AH1483" s="642"/>
      <c r="AI1483" s="642">
        <v>5408</v>
      </c>
      <c r="AJ1483" s="246">
        <f t="shared" si="577"/>
        <v>0</v>
      </c>
      <c r="AK1483" s="643"/>
      <c r="AL1483" s="246"/>
      <c r="AM1483" s="246"/>
      <c r="AN1483" s="551">
        <f>I1483</f>
        <v>5408</v>
      </c>
      <c r="AO1483" s="551"/>
      <c r="AP1483" s="551"/>
      <c r="AQ1483" s="551"/>
      <c r="AR1483" s="650"/>
      <c r="AS1483" s="551">
        <f>I1483</f>
        <v>5408</v>
      </c>
      <c r="AT1483" s="551"/>
      <c r="AU1483" s="551">
        <f>I1483</f>
        <v>5408</v>
      </c>
      <c r="AV1483" s="551"/>
      <c r="AW1483" s="551"/>
      <c r="AX1483" s="651"/>
      <c r="AY1483" s="551"/>
      <c r="AZ1483" s="551"/>
      <c r="BA1483" s="551"/>
      <c r="BB1483" s="249">
        <f>I1483/24</f>
        <v>225.333333333333</v>
      </c>
      <c r="BC1483" s="551"/>
      <c r="BD1483" s="551"/>
      <c r="BE1483" s="551"/>
      <c r="BF1483" s="551"/>
      <c r="BG1483" s="551"/>
      <c r="BH1483" s="551"/>
      <c r="BI1483" s="551"/>
      <c r="BJ1483" s="551"/>
      <c r="BK1483" s="551"/>
      <c r="BL1483" s="551"/>
      <c r="BM1483" s="551"/>
      <c r="BN1483" s="551"/>
      <c r="BO1483" s="551"/>
      <c r="BP1483" s="551"/>
      <c r="BQ1483" s="551"/>
      <c r="BR1483" s="551">
        <f>L1483</f>
        <v>338</v>
      </c>
      <c r="BS1483" s="551"/>
      <c r="BT1483" s="551"/>
      <c r="BU1483" s="551"/>
      <c r="BV1483" s="551"/>
      <c r="BW1483" s="551"/>
      <c r="BX1483" s="551"/>
      <c r="BY1483" s="551"/>
      <c r="BZ1483" s="551"/>
      <c r="CA1483" s="752"/>
      <c r="CB1483" s="747"/>
      <c r="CC1483" s="753"/>
      <c r="CD1483" s="551"/>
      <c r="CE1483" s="551"/>
      <c r="CF1483" s="551"/>
      <c r="CG1483" s="551"/>
      <c r="CH1483" s="551"/>
      <c r="CI1483" s="551"/>
      <c r="CJ1483" s="551"/>
      <c r="CK1483" s="551"/>
      <c r="CL1483" s="551"/>
      <c r="CM1483" s="551"/>
      <c r="CN1483" s="551"/>
      <c r="CO1483" s="551"/>
      <c r="CP1483" s="650"/>
      <c r="CQ1483" s="650"/>
      <c r="CR1483" s="551"/>
      <c r="CS1483" s="551"/>
      <c r="CT1483" s="551"/>
      <c r="CU1483" s="551">
        <f t="shared" si="576"/>
        <v>338</v>
      </c>
      <c r="CV1483" s="551">
        <f>CK1483+CL1483+CM1483+CN1483+CO1483+CQ1483+CP1483</f>
        <v>0</v>
      </c>
      <c r="CW1483" s="551">
        <f>CI1483+CJ1483</f>
        <v>0</v>
      </c>
      <c r="CX1483" s="650"/>
      <c r="CY1483" s="650"/>
      <c r="CZ1483" s="650"/>
      <c r="DA1483" s="650"/>
      <c r="DB1483" s="650"/>
      <c r="DC1483" s="650"/>
      <c r="DD1483" s="650"/>
      <c r="DE1483" s="650"/>
      <c r="DF1483" s="650"/>
      <c r="DG1483" s="650"/>
      <c r="DH1483" s="650"/>
      <c r="DI1483" s="551"/>
    </row>
    <row r="1484" s="549" customFormat="1" ht="31" customHeight="1" spans="1:113">
      <c r="A1484" s="641">
        <v>46135</v>
      </c>
      <c r="B1484" s="642" t="s">
        <v>325</v>
      </c>
      <c r="C1484" s="246" t="s">
        <v>98</v>
      </c>
      <c r="D1484" s="748">
        <v>4500203486</v>
      </c>
      <c r="E1484" s="246" t="s">
        <v>9632</v>
      </c>
      <c r="F1484" s="551" t="s">
        <v>9633</v>
      </c>
      <c r="G1484" s="246" t="s">
        <v>6084</v>
      </c>
      <c r="H1484" s="246" t="s">
        <v>6085</v>
      </c>
      <c r="I1484" s="246">
        <v>6550</v>
      </c>
      <c r="J1484" s="246">
        <v>0</v>
      </c>
      <c r="K1484" s="246">
        <v>25</v>
      </c>
      <c r="L1484" s="644">
        <f t="shared" si="573"/>
        <v>262</v>
      </c>
      <c r="M1484" s="645">
        <v>46185</v>
      </c>
      <c r="N1484" s="645">
        <v>46181</v>
      </c>
      <c r="O1484" s="643"/>
      <c r="P1484" s="643" t="s">
        <v>9433</v>
      </c>
      <c r="Q1484" s="654">
        <v>46197</v>
      </c>
      <c r="R1484" s="646">
        <v>46151</v>
      </c>
      <c r="S1484" s="646" t="s">
        <v>104</v>
      </c>
      <c r="T1484" s="646" t="s">
        <v>9634</v>
      </c>
      <c r="U1484" s="646"/>
      <c r="V1484" s="646"/>
      <c r="W1484" s="642"/>
      <c r="X1484" s="642" t="s">
        <v>9635</v>
      </c>
      <c r="Y1484" s="642" t="s">
        <v>252</v>
      </c>
      <c r="Z1484" s="745">
        <v>0.5777</v>
      </c>
      <c r="AA1484" s="647">
        <f t="shared" si="580"/>
        <v>3783.935</v>
      </c>
      <c r="AC1484" s="658" t="s">
        <v>9636</v>
      </c>
      <c r="AD1484" s="246" t="s">
        <v>6084</v>
      </c>
      <c r="AE1484" s="246" t="s">
        <v>82</v>
      </c>
      <c r="AF1484" s="246"/>
      <c r="AG1484" s="246"/>
      <c r="AH1484" s="246"/>
      <c r="AI1484" s="642">
        <v>6550</v>
      </c>
      <c r="AJ1484" s="246">
        <f t="shared" si="577"/>
        <v>0</v>
      </c>
      <c r="AK1484" s="246"/>
      <c r="AL1484" s="246" t="s">
        <v>2368</v>
      </c>
      <c r="AM1484" s="246"/>
      <c r="AN1484" s="246">
        <f>I1484</f>
        <v>6550</v>
      </c>
      <c r="AO1484" s="551"/>
      <c r="AP1484" s="551">
        <f>I1484</f>
        <v>6550</v>
      </c>
      <c r="AQ1484" s="551"/>
      <c r="AR1484" s="650"/>
      <c r="AS1484" s="551"/>
      <c r="AT1484" s="551"/>
      <c r="AU1484" s="551">
        <f>I1484</f>
        <v>6550</v>
      </c>
      <c r="AV1484" s="551"/>
      <c r="AW1484" s="650"/>
      <c r="AX1484" s="551"/>
      <c r="AY1484" s="551"/>
      <c r="AZ1484" s="551"/>
      <c r="BA1484" s="551"/>
      <c r="BB1484" s="249">
        <f>I1484/48</f>
        <v>136.458333333333</v>
      </c>
      <c r="BC1484" s="651"/>
      <c r="BD1484" s="551"/>
      <c r="BE1484" s="551"/>
      <c r="BF1484" s="551"/>
      <c r="BG1484" s="551"/>
      <c r="BH1484" s="551"/>
      <c r="BI1484" s="551"/>
      <c r="BJ1484" s="551"/>
      <c r="BK1484" s="551"/>
      <c r="BL1484" s="551"/>
      <c r="BM1484" s="551"/>
      <c r="BN1484" s="551">
        <f>I1484/25</f>
        <v>262</v>
      </c>
      <c r="BO1484" s="551"/>
      <c r="BP1484" s="551"/>
      <c r="BQ1484" s="551"/>
      <c r="BR1484" s="551"/>
      <c r="BS1484" s="551"/>
      <c r="BT1484" s="551"/>
      <c r="BU1484" s="551"/>
      <c r="BV1484" s="551"/>
      <c r="BW1484" s="551"/>
      <c r="BX1484" s="551"/>
      <c r="BY1484" s="650"/>
      <c r="BZ1484" s="551"/>
      <c r="CA1484" s="652"/>
      <c r="CB1484" s="747"/>
      <c r="CC1484" s="653"/>
      <c r="CD1484" s="650"/>
      <c r="CE1484" s="650"/>
      <c r="CF1484" s="551"/>
      <c r="CG1484" s="551"/>
      <c r="CH1484" s="551"/>
      <c r="CI1484" s="551"/>
      <c r="CJ1484" s="551"/>
      <c r="CK1484" s="551"/>
      <c r="CL1484" s="551"/>
      <c r="CM1484" s="551"/>
      <c r="CN1484" s="551"/>
      <c r="CO1484" s="551"/>
      <c r="CP1484" s="551"/>
      <c r="CQ1484" s="551"/>
      <c r="CR1484" s="551"/>
      <c r="CS1484" s="551"/>
      <c r="CT1484" s="551"/>
      <c r="CU1484" s="551">
        <f t="shared" si="576"/>
        <v>262</v>
      </c>
      <c r="CV1484" s="551">
        <f>CK1484+CL1484+CM1484+CN1484+CO1484+CQ1484+CP1484</f>
        <v>0</v>
      </c>
      <c r="CW1484" s="551">
        <f>CI1484+CJ1484</f>
        <v>0</v>
      </c>
      <c r="CX1484" s="650"/>
      <c r="CY1484" s="650"/>
      <c r="CZ1484" s="650"/>
      <c r="DA1484" s="551"/>
      <c r="DB1484" s="551"/>
      <c r="DC1484" s="551"/>
      <c r="DD1484" s="650"/>
      <c r="DE1484" s="650"/>
      <c r="DF1484" s="650"/>
      <c r="DG1484" s="650"/>
      <c r="DH1484" s="650"/>
      <c r="DI1484" s="551"/>
    </row>
    <row r="1485" s="549" customFormat="1" ht="31" customHeight="1" spans="1:113">
      <c r="A1485" s="641">
        <v>46129</v>
      </c>
      <c r="B1485" s="642" t="s">
        <v>803</v>
      </c>
      <c r="C1485" s="246" t="s">
        <v>804</v>
      </c>
      <c r="D1485" s="748">
        <v>4500202788</v>
      </c>
      <c r="E1485" s="246" t="s">
        <v>3846</v>
      </c>
      <c r="F1485" s="551" t="s">
        <v>9637</v>
      </c>
      <c r="G1485" s="246" t="s">
        <v>6587</v>
      </c>
      <c r="H1485" s="246" t="s">
        <v>6588</v>
      </c>
      <c r="I1485" s="246">
        <v>2000</v>
      </c>
      <c r="J1485" s="246">
        <v>0</v>
      </c>
      <c r="K1485" s="246">
        <v>50</v>
      </c>
      <c r="L1485" s="644">
        <f t="shared" si="573"/>
        <v>40</v>
      </c>
      <c r="M1485" s="645">
        <v>46182</v>
      </c>
      <c r="N1485" s="645">
        <v>46178</v>
      </c>
      <c r="O1485" s="643"/>
      <c r="P1485" s="743" t="s">
        <v>9334</v>
      </c>
      <c r="Q1485" s="246"/>
      <c r="R1485" s="646">
        <v>46136</v>
      </c>
      <c r="S1485" s="646" t="s">
        <v>70</v>
      </c>
      <c r="T1485" s="646" t="s">
        <v>4197</v>
      </c>
      <c r="U1485" s="646"/>
      <c r="V1485" s="646" t="s">
        <v>9638</v>
      </c>
      <c r="W1485" s="744"/>
      <c r="X1485" s="749" t="s">
        <v>9639</v>
      </c>
      <c r="Y1485" s="642" t="s">
        <v>230</v>
      </c>
      <c r="Z1485" s="642">
        <v>0.9977</v>
      </c>
      <c r="AA1485" s="647">
        <f t="shared" si="580"/>
        <v>1995.4</v>
      </c>
      <c r="AC1485" s="648"/>
      <c r="AD1485" s="246" t="s">
        <v>6587</v>
      </c>
      <c r="AE1485" s="246" t="s">
        <v>82</v>
      </c>
      <c r="AF1485" s="246"/>
      <c r="AG1485" s="246"/>
      <c r="AH1485" s="246"/>
      <c r="AI1485" s="246">
        <f>1950+50</f>
        <v>2000</v>
      </c>
      <c r="AJ1485" s="246">
        <f>I1485-AI1485</f>
        <v>0</v>
      </c>
      <c r="AK1485" s="246"/>
      <c r="AL1485" s="246" t="s">
        <v>2368</v>
      </c>
      <c r="AM1485" s="246"/>
      <c r="AN1485" s="246"/>
      <c r="AO1485" s="551">
        <f>I1485</f>
        <v>2000</v>
      </c>
      <c r="AP1485" s="551"/>
      <c r="AQ1485" s="551"/>
      <c r="AR1485" s="650"/>
      <c r="AS1485" s="551"/>
      <c r="AT1485" s="551">
        <f>I1485</f>
        <v>2000</v>
      </c>
      <c r="AU1485" s="551"/>
      <c r="AV1485" s="551">
        <f>I1485</f>
        <v>2000</v>
      </c>
      <c r="AW1485" s="650"/>
      <c r="AX1485" s="551"/>
      <c r="AY1485" s="551"/>
      <c r="AZ1485" s="551"/>
      <c r="BA1485" s="551"/>
      <c r="BB1485" s="249">
        <f>I1485/24</f>
        <v>83.3333333333333</v>
      </c>
      <c r="BC1485" s="651"/>
      <c r="BD1485" s="551"/>
      <c r="BE1485" s="551"/>
      <c r="BF1485" s="551"/>
      <c r="BG1485" s="549"/>
      <c r="BH1485" s="551"/>
      <c r="BI1485" s="551"/>
      <c r="BJ1485" s="551"/>
      <c r="BK1485" s="551"/>
      <c r="BL1485" s="551"/>
      <c r="BM1485" s="551"/>
      <c r="BN1485" s="551"/>
      <c r="BO1485" s="551"/>
      <c r="BP1485" s="551"/>
      <c r="BQ1485" s="551"/>
      <c r="BR1485" s="551"/>
      <c r="BS1485" s="551"/>
      <c r="BT1485" s="551"/>
      <c r="BU1485" s="551"/>
      <c r="BV1485" s="551"/>
      <c r="BW1485" s="551"/>
      <c r="BX1485" s="551">
        <f>I1485/25</f>
        <v>80</v>
      </c>
      <c r="BY1485" s="650"/>
      <c r="BZ1485" s="551"/>
      <c r="CA1485" s="652"/>
      <c r="CB1485" s="747"/>
      <c r="CC1485" s="653"/>
      <c r="CD1485" s="650"/>
      <c r="CE1485" s="650"/>
      <c r="CF1485" s="551"/>
      <c r="CG1485" s="551"/>
      <c r="CH1485" s="549"/>
      <c r="CI1485" s="551"/>
      <c r="CJ1485" s="551"/>
      <c r="CK1485" s="551"/>
      <c r="CL1485" s="551"/>
      <c r="CM1485" s="551"/>
      <c r="CN1485" s="551"/>
      <c r="CO1485" s="551"/>
      <c r="CP1485" s="551"/>
      <c r="CQ1485" s="551"/>
      <c r="CR1485" s="551"/>
      <c r="CS1485" s="551"/>
      <c r="CT1485" s="551"/>
      <c r="CU1485" s="551">
        <f t="shared" si="576"/>
        <v>80</v>
      </c>
      <c r="CV1485" s="551">
        <f>CK1485+CL1485+CM1485+CN1485+CO1485+CQ1485+CP1485</f>
        <v>0</v>
      </c>
      <c r="CW1485" s="551">
        <f>CI1485+CJ1485</f>
        <v>0</v>
      </c>
      <c r="CX1485" s="650"/>
      <c r="CY1485" s="650"/>
      <c r="CZ1485" s="650"/>
      <c r="DA1485" s="551"/>
      <c r="DB1485" s="551"/>
      <c r="DC1485" s="551"/>
      <c r="DD1485" s="650"/>
      <c r="DE1485" s="650"/>
      <c r="DF1485" s="650"/>
      <c r="DG1485" s="650"/>
      <c r="DH1485" s="650"/>
      <c r="DI1485" s="551"/>
    </row>
    <row r="1486" s="549" customFormat="1" ht="31" customHeight="1" spans="1:113">
      <c r="A1486" s="641">
        <v>46126</v>
      </c>
      <c r="B1486" s="642" t="s">
        <v>4203</v>
      </c>
      <c r="C1486" s="246" t="s">
        <v>98</v>
      </c>
      <c r="D1486" s="551">
        <v>4500201308</v>
      </c>
      <c r="E1486" s="246" t="s">
        <v>4204</v>
      </c>
      <c r="F1486" s="551" t="s">
        <v>9640</v>
      </c>
      <c r="G1486" s="246" t="s">
        <v>6166</v>
      </c>
      <c r="H1486" s="246" t="s">
        <v>6094</v>
      </c>
      <c r="I1486" s="706">
        <v>182</v>
      </c>
      <c r="J1486" s="246">
        <v>0</v>
      </c>
      <c r="K1486" s="246">
        <v>13</v>
      </c>
      <c r="L1486" s="644">
        <f t="shared" si="573"/>
        <v>14</v>
      </c>
      <c r="M1486" s="645">
        <v>46183</v>
      </c>
      <c r="N1486" s="645">
        <v>46179</v>
      </c>
      <c r="O1486" s="643"/>
      <c r="P1486" s="643" t="s">
        <v>9433</v>
      </c>
      <c r="Q1486" s="646">
        <v>46184</v>
      </c>
      <c r="R1486" s="646">
        <v>46136</v>
      </c>
      <c r="S1486" s="646" t="s">
        <v>70</v>
      </c>
      <c r="T1486" s="646" t="s">
        <v>70</v>
      </c>
      <c r="U1486" s="646"/>
      <c r="V1486" s="646"/>
      <c r="W1486" s="744"/>
      <c r="X1486" s="642" t="s">
        <v>4206</v>
      </c>
      <c r="Y1486" s="647" t="s">
        <v>819</v>
      </c>
      <c r="Z1486" s="642">
        <v>0.5981</v>
      </c>
      <c r="AA1486" s="647">
        <f t="shared" ref="AA1485:AA1508" si="581">Z1486*I1486</f>
        <v>108.8542</v>
      </c>
      <c r="AC1486" s="763" t="s">
        <v>4207</v>
      </c>
      <c r="AD1486" s="246" t="s">
        <v>6257</v>
      </c>
      <c r="AE1486" s="246" t="s">
        <v>82</v>
      </c>
      <c r="AF1486" s="246"/>
      <c r="AG1486" s="246"/>
      <c r="AH1486" s="642"/>
      <c r="AI1486" s="642">
        <v>182</v>
      </c>
      <c r="AJ1486" s="246">
        <f t="shared" ref="AJ1485:AJ1513" si="582">AI1486-I1486</f>
        <v>0</v>
      </c>
      <c r="AK1486" s="643"/>
      <c r="AL1486" s="246"/>
      <c r="AM1486" s="246"/>
      <c r="AN1486" s="551">
        <f>I1486</f>
        <v>182</v>
      </c>
      <c r="AO1486" s="551"/>
      <c r="AP1486" s="551">
        <f>I1486</f>
        <v>182</v>
      </c>
      <c r="AQ1486" s="551"/>
      <c r="AR1486" s="551"/>
      <c r="AS1486" s="551"/>
      <c r="AT1486" s="551"/>
      <c r="AU1486" s="551">
        <f>I1486</f>
        <v>182</v>
      </c>
      <c r="AV1486" s="551"/>
      <c r="AW1486" s="551"/>
      <c r="AX1486" s="651"/>
      <c r="AY1486" s="551"/>
      <c r="AZ1486" s="551"/>
      <c r="BA1486" s="551"/>
      <c r="BB1486" s="249">
        <f>I1486/24</f>
        <v>7.58333333333333</v>
      </c>
      <c r="BC1486" s="551"/>
      <c r="BD1486" s="551"/>
      <c r="BE1486" s="551"/>
      <c r="BF1486" s="551"/>
      <c r="BG1486" s="549"/>
      <c r="BH1486" s="551"/>
      <c r="BI1486" s="551"/>
      <c r="BJ1486" s="551"/>
      <c r="BK1486" s="551">
        <f>I1486/13</f>
        <v>14</v>
      </c>
      <c r="BL1486" s="551"/>
      <c r="BM1486" s="551"/>
      <c r="BN1486" s="551"/>
      <c r="BO1486" s="551"/>
      <c r="BP1486" s="551"/>
      <c r="BQ1486" s="551"/>
      <c r="BR1486" s="551"/>
      <c r="BS1486" s="551"/>
      <c r="BT1486" s="551"/>
      <c r="BU1486" s="551"/>
      <c r="BV1486" s="551"/>
      <c r="BW1486" s="551"/>
      <c r="BX1486" s="551"/>
      <c r="BY1486" s="551"/>
      <c r="BZ1486" s="551"/>
      <c r="CA1486" s="752"/>
      <c r="CB1486" s="747"/>
      <c r="CC1486" s="753"/>
      <c r="CD1486" s="551"/>
      <c r="CE1486" s="551"/>
      <c r="CF1486" s="551"/>
      <c r="CG1486" s="551"/>
      <c r="CH1486" s="549"/>
      <c r="CI1486" s="551"/>
      <c r="CJ1486" s="551"/>
      <c r="CK1486" s="551"/>
      <c r="CL1486" s="551"/>
      <c r="CM1486" s="551"/>
      <c r="CN1486" s="551"/>
      <c r="CO1486" s="551"/>
      <c r="CP1486" s="650"/>
      <c r="CQ1486" s="650"/>
      <c r="CR1486" s="650"/>
      <c r="CS1486" s="650"/>
      <c r="CT1486" s="650"/>
      <c r="CU1486" s="551">
        <f t="shared" ref="CU1485:CU1513" si="583">BQ1486+BP1486+BO1486+BN1486+BX1486+BR1486</f>
        <v>0</v>
      </c>
      <c r="CV1486" s="551">
        <v>0</v>
      </c>
      <c r="CW1486" s="551">
        <v>0</v>
      </c>
      <c r="CX1486" s="650"/>
      <c r="CY1486" s="650"/>
      <c r="CZ1486" s="650"/>
      <c r="DA1486" s="650"/>
      <c r="DB1486" s="650"/>
      <c r="DC1486" s="650"/>
      <c r="DD1486" s="650"/>
      <c r="DE1486" s="650"/>
      <c r="DF1486" s="650"/>
      <c r="DG1486" s="650"/>
      <c r="DH1486" s="650"/>
      <c r="DI1486" s="551"/>
    </row>
    <row r="1487" s="550" customFormat="1" ht="31" customHeight="1" spans="1:113">
      <c r="A1487" s="608">
        <v>46126</v>
      </c>
      <c r="B1487" s="609" t="s">
        <v>4203</v>
      </c>
      <c r="C1487" s="610" t="s">
        <v>98</v>
      </c>
      <c r="D1487" s="554">
        <v>4500201308</v>
      </c>
      <c r="E1487" s="610" t="s">
        <v>4208</v>
      </c>
      <c r="F1487" s="554" t="s">
        <v>9641</v>
      </c>
      <c r="G1487" s="610" t="s">
        <v>6166</v>
      </c>
      <c r="H1487" s="610" t="s">
        <v>6094</v>
      </c>
      <c r="I1487" s="715">
        <v>299</v>
      </c>
      <c r="J1487" s="610">
        <v>0</v>
      </c>
      <c r="K1487" s="610">
        <v>13</v>
      </c>
      <c r="L1487" s="611">
        <f t="shared" si="573"/>
        <v>23</v>
      </c>
      <c r="M1487" s="612">
        <v>46183</v>
      </c>
      <c r="N1487" s="612">
        <v>46179</v>
      </c>
      <c r="O1487" s="613"/>
      <c r="P1487" s="613" t="s">
        <v>9433</v>
      </c>
      <c r="Q1487" s="614">
        <v>46196</v>
      </c>
      <c r="R1487" s="614">
        <v>46136</v>
      </c>
      <c r="S1487" s="614" t="s">
        <v>70</v>
      </c>
      <c r="T1487" s="614" t="s">
        <v>70</v>
      </c>
      <c r="U1487" s="614"/>
      <c r="V1487" s="614"/>
      <c r="W1487" s="573"/>
      <c r="X1487" s="609" t="s">
        <v>4206</v>
      </c>
      <c r="Y1487" s="616" t="s">
        <v>819</v>
      </c>
      <c r="Z1487" s="609">
        <v>0.5761</v>
      </c>
      <c r="AA1487" s="616">
        <f t="shared" si="581"/>
        <v>172.2539</v>
      </c>
      <c r="AC1487" s="678" t="s">
        <v>4210</v>
      </c>
      <c r="AD1487" s="610" t="s">
        <v>6257</v>
      </c>
      <c r="AE1487" s="610" t="s">
        <v>82</v>
      </c>
      <c r="AF1487" s="610"/>
      <c r="AG1487" s="610"/>
      <c r="AH1487" s="609"/>
      <c r="AI1487" s="609">
        <v>299</v>
      </c>
      <c r="AJ1487" s="610">
        <f t="shared" si="582"/>
        <v>0</v>
      </c>
      <c r="AK1487" s="613"/>
      <c r="AL1487" s="610"/>
      <c r="AM1487" s="610"/>
      <c r="AN1487" s="554">
        <f>I1487</f>
        <v>299</v>
      </c>
      <c r="AO1487" s="554"/>
      <c r="AP1487" s="554">
        <f>I1487</f>
        <v>299</v>
      </c>
      <c r="AQ1487" s="554"/>
      <c r="AR1487" s="554"/>
      <c r="AS1487" s="554"/>
      <c r="AT1487" s="554"/>
      <c r="AU1487" s="554">
        <f>I1487</f>
        <v>299</v>
      </c>
      <c r="AV1487" s="554"/>
      <c r="AW1487" s="554"/>
      <c r="AX1487" s="714"/>
      <c r="AY1487" s="554"/>
      <c r="AZ1487" s="554"/>
      <c r="BA1487" s="554"/>
      <c r="BB1487" s="620">
        <f>I1487/24</f>
        <v>12.4583333333333</v>
      </c>
      <c r="BC1487" s="554"/>
      <c r="BD1487" s="554"/>
      <c r="BE1487" s="554"/>
      <c r="BF1487" s="554"/>
      <c r="BG1487" s="550"/>
      <c r="BH1487" s="554"/>
      <c r="BI1487" s="554"/>
      <c r="BJ1487" s="554"/>
      <c r="BK1487" s="554">
        <f>I1487/13</f>
        <v>23</v>
      </c>
      <c r="BL1487" s="554"/>
      <c r="BM1487" s="554"/>
      <c r="BN1487" s="554"/>
      <c r="BO1487" s="554"/>
      <c r="BP1487" s="554"/>
      <c r="BQ1487" s="554"/>
      <c r="BR1487" s="554"/>
      <c r="BS1487" s="554"/>
      <c r="BT1487" s="554"/>
      <c r="BU1487" s="554"/>
      <c r="BV1487" s="554"/>
      <c r="BW1487" s="554"/>
      <c r="BX1487" s="554"/>
      <c r="BY1487" s="554"/>
      <c r="BZ1487" s="554"/>
      <c r="CA1487" s="720"/>
      <c r="CB1487" s="555"/>
      <c r="CC1487" s="721"/>
      <c r="CD1487" s="554"/>
      <c r="CE1487" s="554"/>
      <c r="CF1487" s="554"/>
      <c r="CG1487" s="554"/>
      <c r="CH1487" s="550"/>
      <c r="CI1487" s="554"/>
      <c r="CJ1487" s="554"/>
      <c r="CK1487" s="554"/>
      <c r="CL1487" s="554"/>
      <c r="CM1487" s="554"/>
      <c r="CN1487" s="554"/>
      <c r="CO1487" s="554"/>
      <c r="CP1487" s="619"/>
      <c r="CQ1487" s="619"/>
      <c r="CR1487" s="619"/>
      <c r="CS1487" s="619"/>
      <c r="CT1487" s="619"/>
      <c r="CU1487" s="554">
        <f t="shared" si="583"/>
        <v>0</v>
      </c>
      <c r="CV1487" s="554">
        <v>0</v>
      </c>
      <c r="CW1487" s="554">
        <v>0</v>
      </c>
      <c r="CX1487" s="619"/>
      <c r="CY1487" s="619"/>
      <c r="CZ1487" s="619"/>
      <c r="DA1487" s="619"/>
      <c r="DB1487" s="619"/>
      <c r="DC1487" s="619"/>
      <c r="DD1487" s="619"/>
      <c r="DE1487" s="619"/>
      <c r="DF1487" s="619"/>
      <c r="DG1487" s="619"/>
      <c r="DH1487" s="619"/>
      <c r="DI1487" s="554"/>
    </row>
    <row r="1488" s="550" customFormat="1" ht="31" customHeight="1" spans="1:113">
      <c r="A1488" s="608">
        <v>46128</v>
      </c>
      <c r="B1488" s="609" t="s">
        <v>2734</v>
      </c>
      <c r="C1488" s="610" t="s">
        <v>98</v>
      </c>
      <c r="D1488" s="554">
        <v>4500202166</v>
      </c>
      <c r="E1488" s="610">
        <v>60295831</v>
      </c>
      <c r="F1488" s="554" t="s">
        <v>9642</v>
      </c>
      <c r="G1488" s="610" t="s">
        <v>6787</v>
      </c>
      <c r="H1488" s="610" t="s">
        <v>6126</v>
      </c>
      <c r="I1488" s="715">
        <v>5004</v>
      </c>
      <c r="J1488" s="610">
        <v>0</v>
      </c>
      <c r="K1488" s="610">
        <v>12</v>
      </c>
      <c r="L1488" s="611">
        <f t="shared" si="573"/>
        <v>417</v>
      </c>
      <c r="M1488" s="612">
        <v>46183</v>
      </c>
      <c r="N1488" s="612">
        <v>46179</v>
      </c>
      <c r="O1488" s="613"/>
      <c r="P1488" s="613" t="s">
        <v>9433</v>
      </c>
      <c r="Q1488" s="614" t="s">
        <v>4234</v>
      </c>
      <c r="R1488" s="614">
        <v>46139</v>
      </c>
      <c r="S1488" s="614" t="s">
        <v>70</v>
      </c>
      <c r="T1488" s="614" t="s">
        <v>4494</v>
      </c>
      <c r="U1488" s="614"/>
      <c r="V1488" s="614"/>
      <c r="W1488" s="573"/>
      <c r="X1488" s="609" t="s">
        <v>4310</v>
      </c>
      <c r="Y1488" s="616" t="s">
        <v>1318</v>
      </c>
      <c r="Z1488" s="609">
        <v>1.3418</v>
      </c>
      <c r="AA1488" s="616">
        <f t="shared" si="581"/>
        <v>6714.3672</v>
      </c>
      <c r="AC1488" s="678" t="s">
        <v>4311</v>
      </c>
      <c r="AD1488" s="610" t="s">
        <v>8545</v>
      </c>
      <c r="AE1488" s="610" t="s">
        <v>82</v>
      </c>
      <c r="AF1488" s="610"/>
      <c r="AG1488" s="610"/>
      <c r="AH1488" s="609"/>
      <c r="AI1488" s="609">
        <f>4992+12</f>
        <v>5004</v>
      </c>
      <c r="AJ1488" s="610">
        <f t="shared" si="582"/>
        <v>0</v>
      </c>
      <c r="AK1488" s="613"/>
      <c r="AL1488" s="610" t="s">
        <v>2368</v>
      </c>
      <c r="AM1488" s="610"/>
      <c r="AN1488" s="610">
        <f>I1488*2</f>
        <v>10008</v>
      </c>
      <c r="AO1488" s="554"/>
      <c r="AP1488" s="554">
        <f>I1488*2</f>
        <v>10008</v>
      </c>
      <c r="AQ1488" s="554"/>
      <c r="AR1488" s="554"/>
      <c r="AS1488" s="554"/>
      <c r="AT1488" s="554"/>
      <c r="AU1488" s="554">
        <f>I1488*2</f>
        <v>10008</v>
      </c>
      <c r="AV1488" s="554"/>
      <c r="AW1488" s="554"/>
      <c r="AX1488" s="714"/>
      <c r="AY1488" s="554"/>
      <c r="AZ1488" s="554"/>
      <c r="BA1488" s="554"/>
      <c r="BB1488" s="620">
        <f>I1488/24*2</f>
        <v>417</v>
      </c>
      <c r="BC1488" s="554"/>
      <c r="BD1488" s="554"/>
      <c r="BE1488" s="554"/>
      <c r="BF1488" s="554"/>
      <c r="BG1488" s="550"/>
      <c r="BH1488" s="554"/>
      <c r="BI1488" s="554"/>
      <c r="BJ1488" s="554"/>
      <c r="BK1488" s="554"/>
      <c r="BL1488" s="554"/>
      <c r="BM1488" s="554"/>
      <c r="BN1488" s="554"/>
      <c r="BO1488" s="554"/>
      <c r="BP1488" s="554"/>
      <c r="BQ1488" s="554"/>
      <c r="BR1488" s="554"/>
      <c r="BS1488" s="554"/>
      <c r="BT1488" s="554"/>
      <c r="BU1488" s="554"/>
      <c r="BV1488" s="554"/>
      <c r="BW1488" s="554"/>
      <c r="BX1488" s="554"/>
      <c r="BY1488" s="554"/>
      <c r="BZ1488" s="554"/>
      <c r="CA1488" s="720"/>
      <c r="CB1488" s="555"/>
      <c r="CC1488" s="721"/>
      <c r="CD1488" s="554"/>
      <c r="CE1488" s="554"/>
      <c r="CF1488" s="554"/>
      <c r="CG1488" s="554"/>
      <c r="CH1488" s="550"/>
      <c r="CI1488" s="554"/>
      <c r="CJ1488" s="554"/>
      <c r="CK1488" s="554"/>
      <c r="CL1488" s="554"/>
      <c r="CM1488" s="554"/>
      <c r="CN1488" s="554"/>
      <c r="CO1488" s="554"/>
      <c r="CP1488" s="619"/>
      <c r="CQ1488" s="619"/>
      <c r="CR1488" s="554">
        <f>I1488</f>
        <v>5004</v>
      </c>
      <c r="CS1488" s="554">
        <f>I1488</f>
        <v>5004</v>
      </c>
      <c r="CT1488" s="554">
        <f>I1488</f>
        <v>5004</v>
      </c>
      <c r="CU1488" s="554">
        <f t="shared" si="583"/>
        <v>0</v>
      </c>
      <c r="CV1488" s="554">
        <f>CK1488+CL1488+CM1488+CN1488+CO1488+CQ1488+CP1488</f>
        <v>0</v>
      </c>
      <c r="CW1488" s="554">
        <f>CI1488+CJ1488</f>
        <v>0</v>
      </c>
      <c r="CX1488" s="619"/>
      <c r="CY1488" s="619"/>
      <c r="CZ1488" s="619"/>
      <c r="DA1488" s="619"/>
      <c r="DB1488" s="619"/>
      <c r="DC1488" s="619"/>
      <c r="DD1488" s="619"/>
      <c r="DE1488" s="619"/>
      <c r="DF1488" s="619"/>
      <c r="DG1488" s="619"/>
      <c r="DH1488" s="619"/>
      <c r="DI1488" s="554"/>
    </row>
    <row r="1489" s="550" customFormat="1" ht="31" customHeight="1" spans="1:113">
      <c r="A1489" s="608">
        <v>46136</v>
      </c>
      <c r="B1489" s="609" t="s">
        <v>143</v>
      </c>
      <c r="C1489" s="610" t="s">
        <v>98</v>
      </c>
      <c r="D1489" s="554">
        <v>4500203833</v>
      </c>
      <c r="E1489" s="613">
        <v>996476588</v>
      </c>
      <c r="F1489" s="554" t="s">
        <v>9643</v>
      </c>
      <c r="G1489" s="610" t="s">
        <v>6063</v>
      </c>
      <c r="H1489" s="610" t="s">
        <v>6064</v>
      </c>
      <c r="I1489" s="715">
        <v>17280</v>
      </c>
      <c r="J1489" s="610">
        <v>0</v>
      </c>
      <c r="K1489" s="610">
        <v>16</v>
      </c>
      <c r="L1489" s="611">
        <f t="shared" si="573"/>
        <v>1080</v>
      </c>
      <c r="M1489" s="612">
        <v>46183</v>
      </c>
      <c r="N1489" s="612">
        <v>46179</v>
      </c>
      <c r="O1489" s="737" t="s">
        <v>4233</v>
      </c>
      <c r="P1489" s="613" t="s">
        <v>9433</v>
      </c>
      <c r="Q1489" s="614" t="s">
        <v>4305</v>
      </c>
      <c r="R1489" s="614" t="s">
        <v>7064</v>
      </c>
      <c r="S1489" s="614" t="s">
        <v>70</v>
      </c>
      <c r="T1489" s="614" t="s">
        <v>9644</v>
      </c>
      <c r="U1489" s="614"/>
      <c r="V1489" s="614"/>
      <c r="W1489" s="573"/>
      <c r="X1489" s="609" t="s">
        <v>6927</v>
      </c>
      <c r="Y1489" s="616" t="s">
        <v>106</v>
      </c>
      <c r="Z1489" s="609">
        <v>0.599</v>
      </c>
      <c r="AA1489" s="616">
        <f t="shared" si="581"/>
        <v>10350.72</v>
      </c>
      <c r="AC1489" s="678" t="s">
        <v>9645</v>
      </c>
      <c r="AD1489" s="610" t="s">
        <v>6063</v>
      </c>
      <c r="AE1489" s="610" t="s">
        <v>82</v>
      </c>
      <c r="AF1489" s="610"/>
      <c r="AG1489" s="610"/>
      <c r="AH1489" s="609"/>
      <c r="AI1489" s="739">
        <v>17280</v>
      </c>
      <c r="AJ1489" s="610">
        <f t="shared" si="582"/>
        <v>0</v>
      </c>
      <c r="AK1489" s="613"/>
      <c r="AL1489" s="610" t="s">
        <v>2368</v>
      </c>
      <c r="AM1489" s="610"/>
      <c r="AN1489" s="554">
        <f t="shared" ref="AN1489:AN1495" si="584">I1489</f>
        <v>17280</v>
      </c>
      <c r="AO1489" s="554"/>
      <c r="AP1489" s="554">
        <f t="shared" ref="AP1489:AP1495" si="585">I1489</f>
        <v>17280</v>
      </c>
      <c r="AQ1489" s="554"/>
      <c r="AR1489" s="619"/>
      <c r="AS1489" s="554"/>
      <c r="AT1489" s="554"/>
      <c r="AU1489" s="554">
        <f t="shared" ref="AU1489:AU1495" si="586">I1489</f>
        <v>17280</v>
      </c>
      <c r="AV1489" s="554"/>
      <c r="AW1489" s="554"/>
      <c r="AX1489" s="714"/>
      <c r="AY1489" s="554"/>
      <c r="AZ1489" s="554"/>
      <c r="BA1489" s="554"/>
      <c r="BB1489" s="620">
        <f t="shared" ref="BB1489:BB1498" si="587">I1489/24</f>
        <v>720</v>
      </c>
      <c r="BC1489" s="554"/>
      <c r="BD1489" s="554"/>
      <c r="BE1489" s="554"/>
      <c r="BF1489" s="554"/>
      <c r="BG1489" s="550"/>
      <c r="BH1489" s="554"/>
      <c r="BI1489" s="554"/>
      <c r="BJ1489" s="554"/>
      <c r="BK1489" s="554"/>
      <c r="BL1489" s="554"/>
      <c r="BM1489" s="554"/>
      <c r="BN1489" s="554"/>
      <c r="BO1489" s="554"/>
      <c r="BP1489" s="554"/>
      <c r="BQ1489" s="554">
        <f t="shared" ref="BQ1489:BQ1495" si="588">I1489/16</f>
        <v>1080</v>
      </c>
      <c r="BR1489" s="554"/>
      <c r="BS1489" s="554"/>
      <c r="BT1489" s="554"/>
      <c r="BU1489" s="554"/>
      <c r="BV1489" s="554"/>
      <c r="BW1489" s="554"/>
      <c r="BX1489" s="554"/>
      <c r="BY1489" s="554"/>
      <c r="BZ1489" s="554"/>
      <c r="CA1489" s="720"/>
      <c r="CB1489" s="555"/>
      <c r="CC1489" s="721"/>
      <c r="CD1489" s="554"/>
      <c r="CE1489" s="554"/>
      <c r="CF1489" s="554"/>
      <c r="CG1489" s="554"/>
      <c r="CH1489" s="550"/>
      <c r="CI1489" s="554"/>
      <c r="CJ1489" s="554"/>
      <c r="CK1489" s="554"/>
      <c r="CL1489" s="554"/>
      <c r="CM1489" s="554"/>
      <c r="CN1489" s="554"/>
      <c r="CO1489" s="554"/>
      <c r="CP1489" s="619"/>
      <c r="CQ1489" s="619"/>
      <c r="CR1489" s="619"/>
      <c r="CS1489" s="619"/>
      <c r="CT1489" s="619"/>
      <c r="CU1489" s="554">
        <f t="shared" si="583"/>
        <v>1080</v>
      </c>
      <c r="CV1489" s="554">
        <f t="shared" ref="CV1489:CV1498" si="589">CK1489+CL1489+CM1489+CN1489+CO1489+CQ1489+CP1489</f>
        <v>0</v>
      </c>
      <c r="CW1489" s="554">
        <f t="shared" ref="CW1489:CW1498" si="590">CI1489+CJ1489</f>
        <v>0</v>
      </c>
      <c r="CX1489" s="619"/>
      <c r="CY1489" s="619"/>
      <c r="CZ1489" s="619"/>
      <c r="DA1489" s="619"/>
      <c r="DB1489" s="619"/>
      <c r="DC1489" s="619"/>
      <c r="DD1489" s="619"/>
      <c r="DE1489" s="619"/>
      <c r="DF1489" s="619"/>
      <c r="DG1489" s="619"/>
      <c r="DH1489" s="619"/>
      <c r="DI1489" s="554"/>
    </row>
    <row r="1490" s="550" customFormat="1" ht="31" customHeight="1" spans="1:113">
      <c r="A1490" s="608">
        <v>46136</v>
      </c>
      <c r="B1490" s="609" t="s">
        <v>143</v>
      </c>
      <c r="C1490" s="610" t="s">
        <v>98</v>
      </c>
      <c r="D1490" s="554">
        <v>4500203833</v>
      </c>
      <c r="E1490" s="613">
        <v>996476597</v>
      </c>
      <c r="F1490" s="554" t="s">
        <v>9646</v>
      </c>
      <c r="G1490" s="610" t="s">
        <v>6063</v>
      </c>
      <c r="H1490" s="610" t="s">
        <v>6064</v>
      </c>
      <c r="I1490" s="715">
        <v>24000</v>
      </c>
      <c r="J1490" s="610">
        <v>0</v>
      </c>
      <c r="K1490" s="610">
        <v>16</v>
      </c>
      <c r="L1490" s="611">
        <f t="shared" si="573"/>
        <v>1500</v>
      </c>
      <c r="M1490" s="612">
        <v>46183</v>
      </c>
      <c r="N1490" s="612">
        <v>46179</v>
      </c>
      <c r="O1490" s="737" t="s">
        <v>4233</v>
      </c>
      <c r="P1490" s="613" t="s">
        <v>9433</v>
      </c>
      <c r="Q1490" s="614" t="s">
        <v>4234</v>
      </c>
      <c r="R1490" s="614" t="s">
        <v>7064</v>
      </c>
      <c r="S1490" s="614" t="s">
        <v>70</v>
      </c>
      <c r="T1490" s="614" t="s">
        <v>9644</v>
      </c>
      <c r="U1490" s="614"/>
      <c r="V1490" s="614"/>
      <c r="W1490" s="573"/>
      <c r="X1490" s="609" t="s">
        <v>9647</v>
      </c>
      <c r="Y1490" s="616" t="s">
        <v>106</v>
      </c>
      <c r="Z1490" s="609">
        <v>0.599</v>
      </c>
      <c r="AA1490" s="616">
        <f t="shared" si="581"/>
        <v>14376</v>
      </c>
      <c r="AC1490" s="678" t="s">
        <v>9648</v>
      </c>
      <c r="AD1490" s="610" t="s">
        <v>6063</v>
      </c>
      <c r="AE1490" s="610" t="s">
        <v>82</v>
      </c>
      <c r="AF1490" s="610"/>
      <c r="AG1490" s="610"/>
      <c r="AH1490" s="609"/>
      <c r="AI1490" s="776">
        <v>24000</v>
      </c>
      <c r="AJ1490" s="610">
        <f t="shared" si="582"/>
        <v>0</v>
      </c>
      <c r="AK1490" s="613"/>
      <c r="AL1490" s="610" t="s">
        <v>2368</v>
      </c>
      <c r="AM1490" s="610"/>
      <c r="AN1490" s="554">
        <f t="shared" si="584"/>
        <v>24000</v>
      </c>
      <c r="AO1490" s="554"/>
      <c r="AP1490" s="554">
        <f t="shared" si="585"/>
        <v>24000</v>
      </c>
      <c r="AQ1490" s="554"/>
      <c r="AR1490" s="619"/>
      <c r="AS1490" s="554"/>
      <c r="AT1490" s="554"/>
      <c r="AU1490" s="554">
        <f t="shared" si="586"/>
        <v>24000</v>
      </c>
      <c r="AV1490" s="554"/>
      <c r="AW1490" s="554"/>
      <c r="AX1490" s="714"/>
      <c r="AY1490" s="554"/>
      <c r="AZ1490" s="554"/>
      <c r="BA1490" s="554"/>
      <c r="BB1490" s="620">
        <f t="shared" si="587"/>
        <v>1000</v>
      </c>
      <c r="BC1490" s="554"/>
      <c r="BD1490" s="554"/>
      <c r="BE1490" s="554"/>
      <c r="BF1490" s="554"/>
      <c r="BG1490" s="550"/>
      <c r="BH1490" s="554"/>
      <c r="BI1490" s="554"/>
      <c r="BJ1490" s="554"/>
      <c r="BK1490" s="554"/>
      <c r="BL1490" s="554"/>
      <c r="BM1490" s="554"/>
      <c r="BN1490" s="554"/>
      <c r="BO1490" s="554"/>
      <c r="BP1490" s="554"/>
      <c r="BQ1490" s="554">
        <f t="shared" si="588"/>
        <v>1500</v>
      </c>
      <c r="BR1490" s="554"/>
      <c r="BS1490" s="554"/>
      <c r="BT1490" s="554"/>
      <c r="BU1490" s="554"/>
      <c r="BV1490" s="554"/>
      <c r="BW1490" s="554"/>
      <c r="BX1490" s="554"/>
      <c r="BY1490" s="554"/>
      <c r="BZ1490" s="554"/>
      <c r="CA1490" s="720"/>
      <c r="CB1490" s="555"/>
      <c r="CC1490" s="721"/>
      <c r="CD1490" s="554"/>
      <c r="CE1490" s="554"/>
      <c r="CF1490" s="554"/>
      <c r="CG1490" s="554"/>
      <c r="CH1490" s="550"/>
      <c r="CI1490" s="554"/>
      <c r="CJ1490" s="554"/>
      <c r="CK1490" s="554"/>
      <c r="CL1490" s="554"/>
      <c r="CM1490" s="554"/>
      <c r="CN1490" s="554"/>
      <c r="CO1490" s="554"/>
      <c r="CP1490" s="619"/>
      <c r="CQ1490" s="619"/>
      <c r="CR1490" s="619"/>
      <c r="CS1490" s="619"/>
      <c r="CT1490" s="619"/>
      <c r="CU1490" s="554">
        <f t="shared" si="583"/>
        <v>1500</v>
      </c>
      <c r="CV1490" s="554">
        <f t="shared" si="589"/>
        <v>0</v>
      </c>
      <c r="CW1490" s="554">
        <f t="shared" si="590"/>
        <v>0</v>
      </c>
      <c r="CX1490" s="619"/>
      <c r="CY1490" s="619"/>
      <c r="CZ1490" s="619"/>
      <c r="DA1490" s="619"/>
      <c r="DB1490" s="619"/>
      <c r="DC1490" s="619"/>
      <c r="DD1490" s="619"/>
      <c r="DE1490" s="619"/>
      <c r="DF1490" s="619"/>
      <c r="DG1490" s="619"/>
      <c r="DH1490" s="619"/>
      <c r="DI1490" s="554"/>
    </row>
    <row r="1491" s="550" customFormat="1" ht="31" customHeight="1" spans="1:113">
      <c r="A1491" s="608">
        <v>46136</v>
      </c>
      <c r="B1491" s="609" t="s">
        <v>143</v>
      </c>
      <c r="C1491" s="610" t="s">
        <v>98</v>
      </c>
      <c r="D1491" s="554">
        <v>4500203833</v>
      </c>
      <c r="E1491" s="613">
        <v>996476618</v>
      </c>
      <c r="F1491" s="554" t="s">
        <v>9649</v>
      </c>
      <c r="G1491" s="610" t="s">
        <v>6063</v>
      </c>
      <c r="H1491" s="610" t="s">
        <v>6064</v>
      </c>
      <c r="I1491" s="715">
        <v>15360</v>
      </c>
      <c r="J1491" s="610">
        <v>0</v>
      </c>
      <c r="K1491" s="610">
        <v>16</v>
      </c>
      <c r="L1491" s="611">
        <f t="shared" si="573"/>
        <v>960</v>
      </c>
      <c r="M1491" s="612">
        <v>46183</v>
      </c>
      <c r="N1491" s="612">
        <v>46179</v>
      </c>
      <c r="O1491" s="737" t="s">
        <v>4233</v>
      </c>
      <c r="P1491" s="613" t="s">
        <v>9433</v>
      </c>
      <c r="Q1491" s="614" t="s">
        <v>4234</v>
      </c>
      <c r="R1491" s="614" t="s">
        <v>7064</v>
      </c>
      <c r="S1491" s="614" t="s">
        <v>70</v>
      </c>
      <c r="T1491" s="614" t="s">
        <v>9644</v>
      </c>
      <c r="U1491" s="614"/>
      <c r="V1491" s="614"/>
      <c r="W1491" s="573"/>
      <c r="X1491" s="609" t="s">
        <v>9647</v>
      </c>
      <c r="Y1491" s="616" t="s">
        <v>106</v>
      </c>
      <c r="Z1491" s="609">
        <v>0.599</v>
      </c>
      <c r="AA1491" s="616">
        <f t="shared" si="581"/>
        <v>9200.64</v>
      </c>
      <c r="AC1491" s="678" t="s">
        <v>9650</v>
      </c>
      <c r="AD1491" s="610" t="s">
        <v>6063</v>
      </c>
      <c r="AE1491" s="610" t="s">
        <v>82</v>
      </c>
      <c r="AF1491" s="610"/>
      <c r="AG1491" s="610"/>
      <c r="AH1491" s="609"/>
      <c r="AI1491" s="739">
        <v>15360</v>
      </c>
      <c r="AJ1491" s="610">
        <f t="shared" si="582"/>
        <v>0</v>
      </c>
      <c r="AK1491" s="613"/>
      <c r="AL1491" s="610" t="s">
        <v>2368</v>
      </c>
      <c r="AM1491" s="610"/>
      <c r="AN1491" s="554">
        <f t="shared" si="584"/>
        <v>15360</v>
      </c>
      <c r="AO1491" s="554"/>
      <c r="AP1491" s="554">
        <f t="shared" si="585"/>
        <v>15360</v>
      </c>
      <c r="AQ1491" s="554"/>
      <c r="AR1491" s="619"/>
      <c r="AS1491" s="554"/>
      <c r="AT1491" s="554"/>
      <c r="AU1491" s="554">
        <f t="shared" si="586"/>
        <v>15360</v>
      </c>
      <c r="AV1491" s="554"/>
      <c r="AW1491" s="554"/>
      <c r="AX1491" s="714"/>
      <c r="AY1491" s="554"/>
      <c r="AZ1491" s="554"/>
      <c r="BA1491" s="554"/>
      <c r="BB1491" s="620">
        <f t="shared" si="587"/>
        <v>640</v>
      </c>
      <c r="BC1491" s="554"/>
      <c r="BD1491" s="554"/>
      <c r="BE1491" s="554"/>
      <c r="BF1491" s="554"/>
      <c r="BG1491" s="550"/>
      <c r="BH1491" s="554"/>
      <c r="BI1491" s="554"/>
      <c r="BJ1491" s="554"/>
      <c r="BK1491" s="554"/>
      <c r="BL1491" s="554"/>
      <c r="BM1491" s="554"/>
      <c r="BN1491" s="554"/>
      <c r="BO1491" s="554"/>
      <c r="BP1491" s="554"/>
      <c r="BQ1491" s="554">
        <f t="shared" si="588"/>
        <v>960</v>
      </c>
      <c r="BR1491" s="554"/>
      <c r="BS1491" s="554"/>
      <c r="BT1491" s="554"/>
      <c r="BU1491" s="554"/>
      <c r="BV1491" s="554"/>
      <c r="BW1491" s="554"/>
      <c r="BX1491" s="554"/>
      <c r="BY1491" s="554"/>
      <c r="BZ1491" s="554"/>
      <c r="CA1491" s="720"/>
      <c r="CB1491" s="555"/>
      <c r="CC1491" s="721"/>
      <c r="CD1491" s="554"/>
      <c r="CE1491" s="554"/>
      <c r="CF1491" s="554"/>
      <c r="CG1491" s="554"/>
      <c r="CH1491" s="550"/>
      <c r="CI1491" s="554"/>
      <c r="CJ1491" s="554"/>
      <c r="CK1491" s="554"/>
      <c r="CL1491" s="554"/>
      <c r="CM1491" s="554"/>
      <c r="CN1491" s="554"/>
      <c r="CO1491" s="554"/>
      <c r="CP1491" s="619"/>
      <c r="CQ1491" s="619"/>
      <c r="CR1491" s="619"/>
      <c r="CS1491" s="619"/>
      <c r="CT1491" s="619"/>
      <c r="CU1491" s="554">
        <f t="shared" si="583"/>
        <v>960</v>
      </c>
      <c r="CV1491" s="554">
        <f t="shared" si="589"/>
        <v>0</v>
      </c>
      <c r="CW1491" s="554">
        <f t="shared" si="590"/>
        <v>0</v>
      </c>
      <c r="CX1491" s="619"/>
      <c r="CY1491" s="619"/>
      <c r="CZ1491" s="619"/>
      <c r="DA1491" s="619"/>
      <c r="DB1491" s="619"/>
      <c r="DC1491" s="619"/>
      <c r="DD1491" s="619"/>
      <c r="DE1491" s="619"/>
      <c r="DF1491" s="619"/>
      <c r="DG1491" s="619"/>
      <c r="DH1491" s="619"/>
      <c r="DI1491" s="554"/>
    </row>
    <row r="1492" s="550" customFormat="1" ht="31" customHeight="1" spans="1:113">
      <c r="A1492" s="608">
        <v>46136</v>
      </c>
      <c r="B1492" s="609" t="s">
        <v>143</v>
      </c>
      <c r="C1492" s="610" t="s">
        <v>98</v>
      </c>
      <c r="D1492" s="554">
        <v>4500203833</v>
      </c>
      <c r="E1492" s="613">
        <v>996476625</v>
      </c>
      <c r="F1492" s="554" t="s">
        <v>9651</v>
      </c>
      <c r="G1492" s="610" t="s">
        <v>6063</v>
      </c>
      <c r="H1492" s="610" t="s">
        <v>6064</v>
      </c>
      <c r="I1492" s="715">
        <v>12480</v>
      </c>
      <c r="J1492" s="610">
        <v>0</v>
      </c>
      <c r="K1492" s="610">
        <v>16</v>
      </c>
      <c r="L1492" s="611">
        <f t="shared" si="573"/>
        <v>780</v>
      </c>
      <c r="M1492" s="612">
        <v>46183</v>
      </c>
      <c r="N1492" s="612">
        <v>46179</v>
      </c>
      <c r="O1492" s="737" t="s">
        <v>4233</v>
      </c>
      <c r="P1492" s="613" t="s">
        <v>9433</v>
      </c>
      <c r="Q1492" s="614" t="s">
        <v>4234</v>
      </c>
      <c r="R1492" s="614" t="s">
        <v>7064</v>
      </c>
      <c r="S1492" s="614" t="s">
        <v>70</v>
      </c>
      <c r="T1492" s="614" t="s">
        <v>9644</v>
      </c>
      <c r="U1492" s="614"/>
      <c r="V1492" s="614"/>
      <c r="W1492" s="573"/>
      <c r="X1492" s="609" t="s">
        <v>9647</v>
      </c>
      <c r="Y1492" s="616" t="s">
        <v>106</v>
      </c>
      <c r="Z1492" s="609">
        <v>0.599</v>
      </c>
      <c r="AA1492" s="616">
        <f t="shared" si="581"/>
        <v>7475.52</v>
      </c>
      <c r="AC1492" s="678" t="s">
        <v>9652</v>
      </c>
      <c r="AD1492" s="610" t="s">
        <v>6063</v>
      </c>
      <c r="AE1492" s="610" t="s">
        <v>82</v>
      </c>
      <c r="AF1492" s="610"/>
      <c r="AG1492" s="610"/>
      <c r="AH1492" s="609"/>
      <c r="AI1492" s="739">
        <v>12480</v>
      </c>
      <c r="AJ1492" s="610">
        <f t="shared" si="582"/>
        <v>0</v>
      </c>
      <c r="AK1492" s="613"/>
      <c r="AL1492" s="610" t="s">
        <v>2368</v>
      </c>
      <c r="AM1492" s="610"/>
      <c r="AN1492" s="554">
        <f t="shared" si="584"/>
        <v>12480</v>
      </c>
      <c r="AO1492" s="554"/>
      <c r="AP1492" s="554">
        <f t="shared" si="585"/>
        <v>12480</v>
      </c>
      <c r="AQ1492" s="554"/>
      <c r="AR1492" s="619"/>
      <c r="AS1492" s="554"/>
      <c r="AT1492" s="554"/>
      <c r="AU1492" s="554">
        <f t="shared" si="586"/>
        <v>12480</v>
      </c>
      <c r="AV1492" s="554"/>
      <c r="AW1492" s="554"/>
      <c r="AX1492" s="714"/>
      <c r="AY1492" s="554"/>
      <c r="AZ1492" s="554"/>
      <c r="BA1492" s="554"/>
      <c r="BB1492" s="620">
        <f t="shared" si="587"/>
        <v>520</v>
      </c>
      <c r="BC1492" s="554"/>
      <c r="BD1492" s="554"/>
      <c r="BE1492" s="554"/>
      <c r="BF1492" s="554"/>
      <c r="BG1492" s="550"/>
      <c r="BH1492" s="554"/>
      <c r="BI1492" s="554"/>
      <c r="BJ1492" s="554"/>
      <c r="BK1492" s="554"/>
      <c r="BL1492" s="554"/>
      <c r="BM1492" s="554"/>
      <c r="BN1492" s="554"/>
      <c r="BO1492" s="554"/>
      <c r="BP1492" s="554"/>
      <c r="BQ1492" s="554">
        <f t="shared" si="588"/>
        <v>780</v>
      </c>
      <c r="BR1492" s="554"/>
      <c r="BS1492" s="554"/>
      <c r="BT1492" s="554"/>
      <c r="BU1492" s="554"/>
      <c r="BV1492" s="554"/>
      <c r="BW1492" s="554"/>
      <c r="BX1492" s="554"/>
      <c r="BY1492" s="554"/>
      <c r="BZ1492" s="554"/>
      <c r="CA1492" s="720"/>
      <c r="CB1492" s="555"/>
      <c r="CC1492" s="721"/>
      <c r="CD1492" s="554"/>
      <c r="CE1492" s="554"/>
      <c r="CF1492" s="554"/>
      <c r="CG1492" s="554"/>
      <c r="CH1492" s="550"/>
      <c r="CI1492" s="554"/>
      <c r="CJ1492" s="554"/>
      <c r="CK1492" s="554"/>
      <c r="CL1492" s="554"/>
      <c r="CM1492" s="554"/>
      <c r="CN1492" s="554"/>
      <c r="CO1492" s="554"/>
      <c r="CP1492" s="619"/>
      <c r="CQ1492" s="619"/>
      <c r="CR1492" s="619"/>
      <c r="CS1492" s="619"/>
      <c r="CT1492" s="619"/>
      <c r="CU1492" s="554">
        <f t="shared" si="583"/>
        <v>780</v>
      </c>
      <c r="CV1492" s="554">
        <f t="shared" si="589"/>
        <v>0</v>
      </c>
      <c r="CW1492" s="554">
        <f t="shared" si="590"/>
        <v>0</v>
      </c>
      <c r="CX1492" s="619"/>
      <c r="CY1492" s="619"/>
      <c r="CZ1492" s="619"/>
      <c r="DA1492" s="619"/>
      <c r="DB1492" s="619"/>
      <c r="DC1492" s="619"/>
      <c r="DD1492" s="619"/>
      <c r="DE1492" s="619"/>
      <c r="DF1492" s="619"/>
      <c r="DG1492" s="619"/>
      <c r="DH1492" s="619"/>
      <c r="DI1492" s="554"/>
    </row>
    <row r="1493" s="550" customFormat="1" ht="31" customHeight="1" spans="1:113">
      <c r="A1493" s="608">
        <v>46136</v>
      </c>
      <c r="B1493" s="609" t="s">
        <v>143</v>
      </c>
      <c r="C1493" s="610" t="s">
        <v>98</v>
      </c>
      <c r="D1493" s="554">
        <v>4500203833</v>
      </c>
      <c r="E1493" s="613">
        <v>996476636</v>
      </c>
      <c r="F1493" s="554" t="s">
        <v>9653</v>
      </c>
      <c r="G1493" s="610" t="s">
        <v>6063</v>
      </c>
      <c r="H1493" s="610" t="s">
        <v>6064</v>
      </c>
      <c r="I1493" s="715">
        <v>14400</v>
      </c>
      <c r="J1493" s="610">
        <v>0</v>
      </c>
      <c r="K1493" s="610">
        <v>16</v>
      </c>
      <c r="L1493" s="611">
        <f t="shared" si="573"/>
        <v>900</v>
      </c>
      <c r="M1493" s="612">
        <v>46183</v>
      </c>
      <c r="N1493" s="612">
        <v>46179</v>
      </c>
      <c r="O1493" s="737" t="s">
        <v>4233</v>
      </c>
      <c r="P1493" s="613" t="s">
        <v>9433</v>
      </c>
      <c r="Q1493" s="614" t="s">
        <v>4234</v>
      </c>
      <c r="R1493" s="614" t="s">
        <v>7064</v>
      </c>
      <c r="S1493" s="614" t="s">
        <v>70</v>
      </c>
      <c r="T1493" s="614" t="s">
        <v>9644</v>
      </c>
      <c r="U1493" s="614"/>
      <c r="V1493" s="614"/>
      <c r="W1493" s="573"/>
      <c r="X1493" s="609" t="s">
        <v>9647</v>
      </c>
      <c r="Y1493" s="616" t="s">
        <v>106</v>
      </c>
      <c r="Z1493" s="609">
        <v>0.599</v>
      </c>
      <c r="AA1493" s="616">
        <f t="shared" si="581"/>
        <v>8625.6</v>
      </c>
      <c r="AC1493" s="678" t="s">
        <v>9654</v>
      </c>
      <c r="AD1493" s="610" t="s">
        <v>6063</v>
      </c>
      <c r="AE1493" s="610" t="s">
        <v>82</v>
      </c>
      <c r="AF1493" s="610"/>
      <c r="AG1493" s="610"/>
      <c r="AH1493" s="609"/>
      <c r="AI1493" s="777">
        <v>14400</v>
      </c>
      <c r="AJ1493" s="610">
        <f t="shared" si="582"/>
        <v>0</v>
      </c>
      <c r="AK1493" s="613"/>
      <c r="AL1493" s="610" t="s">
        <v>2368</v>
      </c>
      <c r="AM1493" s="610"/>
      <c r="AN1493" s="554">
        <f t="shared" si="584"/>
        <v>14400</v>
      </c>
      <c r="AO1493" s="554"/>
      <c r="AP1493" s="554">
        <f t="shared" si="585"/>
        <v>14400</v>
      </c>
      <c r="AQ1493" s="554"/>
      <c r="AR1493" s="619"/>
      <c r="AS1493" s="554"/>
      <c r="AT1493" s="554"/>
      <c r="AU1493" s="554">
        <f t="shared" si="586"/>
        <v>14400</v>
      </c>
      <c r="AV1493" s="554"/>
      <c r="AW1493" s="554"/>
      <c r="AX1493" s="714"/>
      <c r="AY1493" s="554"/>
      <c r="AZ1493" s="554"/>
      <c r="BA1493" s="554"/>
      <c r="BB1493" s="620">
        <f t="shared" si="587"/>
        <v>600</v>
      </c>
      <c r="BC1493" s="554"/>
      <c r="BD1493" s="554"/>
      <c r="BE1493" s="554"/>
      <c r="BF1493" s="554"/>
      <c r="BG1493" s="550"/>
      <c r="BH1493" s="554"/>
      <c r="BI1493" s="554"/>
      <c r="BJ1493" s="554"/>
      <c r="BK1493" s="554"/>
      <c r="BL1493" s="554"/>
      <c r="BM1493" s="554"/>
      <c r="BN1493" s="554"/>
      <c r="BO1493" s="554"/>
      <c r="BP1493" s="554"/>
      <c r="BQ1493" s="554">
        <f t="shared" si="588"/>
        <v>900</v>
      </c>
      <c r="BR1493" s="554"/>
      <c r="BS1493" s="554"/>
      <c r="BT1493" s="554"/>
      <c r="BU1493" s="554"/>
      <c r="BV1493" s="554"/>
      <c r="BW1493" s="554"/>
      <c r="BX1493" s="554"/>
      <c r="BY1493" s="554"/>
      <c r="BZ1493" s="554"/>
      <c r="CA1493" s="720"/>
      <c r="CB1493" s="555"/>
      <c r="CC1493" s="721"/>
      <c r="CD1493" s="554"/>
      <c r="CE1493" s="554"/>
      <c r="CF1493" s="554"/>
      <c r="CG1493" s="554"/>
      <c r="CH1493" s="550"/>
      <c r="CI1493" s="554"/>
      <c r="CJ1493" s="554"/>
      <c r="CK1493" s="554"/>
      <c r="CL1493" s="554"/>
      <c r="CM1493" s="554"/>
      <c r="CN1493" s="554"/>
      <c r="CO1493" s="554"/>
      <c r="CP1493" s="619"/>
      <c r="CQ1493" s="619"/>
      <c r="CR1493" s="619"/>
      <c r="CS1493" s="619"/>
      <c r="CT1493" s="619"/>
      <c r="CU1493" s="554">
        <f t="shared" si="583"/>
        <v>900</v>
      </c>
      <c r="CV1493" s="554">
        <f t="shared" si="589"/>
        <v>0</v>
      </c>
      <c r="CW1493" s="554">
        <f t="shared" si="590"/>
        <v>0</v>
      </c>
      <c r="CX1493" s="619"/>
      <c r="CY1493" s="619"/>
      <c r="CZ1493" s="619"/>
      <c r="DA1493" s="619"/>
      <c r="DB1493" s="619"/>
      <c r="DC1493" s="619"/>
      <c r="DD1493" s="619"/>
      <c r="DE1493" s="619"/>
      <c r="DF1493" s="619"/>
      <c r="DG1493" s="619"/>
      <c r="DH1493" s="619"/>
      <c r="DI1493" s="554"/>
    </row>
    <row r="1494" s="550" customFormat="1" ht="31" customHeight="1" spans="1:113">
      <c r="A1494" s="608">
        <v>46136</v>
      </c>
      <c r="B1494" s="609" t="s">
        <v>143</v>
      </c>
      <c r="C1494" s="610" t="s">
        <v>98</v>
      </c>
      <c r="D1494" s="554">
        <v>4500203833</v>
      </c>
      <c r="E1494" s="613">
        <v>996476673</v>
      </c>
      <c r="F1494" s="554" t="s">
        <v>9655</v>
      </c>
      <c r="G1494" s="610" t="s">
        <v>6063</v>
      </c>
      <c r="H1494" s="610" t="s">
        <v>6064</v>
      </c>
      <c r="I1494" s="715">
        <v>18240</v>
      </c>
      <c r="J1494" s="610">
        <v>0</v>
      </c>
      <c r="K1494" s="610">
        <v>16</v>
      </c>
      <c r="L1494" s="611">
        <f t="shared" si="573"/>
        <v>1140</v>
      </c>
      <c r="M1494" s="612">
        <v>46183</v>
      </c>
      <c r="N1494" s="612">
        <v>46179</v>
      </c>
      <c r="O1494" s="737" t="s">
        <v>4233</v>
      </c>
      <c r="P1494" s="613" t="s">
        <v>9433</v>
      </c>
      <c r="Q1494" s="614" t="s">
        <v>4234</v>
      </c>
      <c r="R1494" s="614" t="s">
        <v>7064</v>
      </c>
      <c r="S1494" s="614" t="s">
        <v>70</v>
      </c>
      <c r="T1494" s="614" t="s">
        <v>9644</v>
      </c>
      <c r="U1494" s="614"/>
      <c r="V1494" s="614"/>
      <c r="W1494" s="573"/>
      <c r="X1494" s="609" t="s">
        <v>9647</v>
      </c>
      <c r="Y1494" s="616" t="s">
        <v>106</v>
      </c>
      <c r="Z1494" s="609">
        <v>0.599</v>
      </c>
      <c r="AA1494" s="616">
        <f t="shared" si="581"/>
        <v>10925.76</v>
      </c>
      <c r="AC1494" s="678" t="s">
        <v>9656</v>
      </c>
      <c r="AD1494" s="610" t="s">
        <v>6063</v>
      </c>
      <c r="AE1494" s="610" t="s">
        <v>82</v>
      </c>
      <c r="AF1494" s="610"/>
      <c r="AG1494" s="610"/>
      <c r="AH1494" s="609"/>
      <c r="AI1494" s="739">
        <f>11328+6912</f>
        <v>18240</v>
      </c>
      <c r="AJ1494" s="610">
        <f t="shared" si="582"/>
        <v>0</v>
      </c>
      <c r="AK1494" s="613"/>
      <c r="AL1494" s="610" t="s">
        <v>2368</v>
      </c>
      <c r="AM1494" s="610"/>
      <c r="AN1494" s="554">
        <f t="shared" si="584"/>
        <v>18240</v>
      </c>
      <c r="AO1494" s="554"/>
      <c r="AP1494" s="554">
        <f t="shared" si="585"/>
        <v>18240</v>
      </c>
      <c r="AQ1494" s="554"/>
      <c r="AR1494" s="619"/>
      <c r="AS1494" s="554"/>
      <c r="AT1494" s="554"/>
      <c r="AU1494" s="554">
        <f t="shared" si="586"/>
        <v>18240</v>
      </c>
      <c r="AV1494" s="554"/>
      <c r="AW1494" s="554"/>
      <c r="AX1494" s="714"/>
      <c r="AY1494" s="554"/>
      <c r="AZ1494" s="554"/>
      <c r="BA1494" s="554"/>
      <c r="BB1494" s="620">
        <f t="shared" si="587"/>
        <v>760</v>
      </c>
      <c r="BC1494" s="554"/>
      <c r="BD1494" s="554"/>
      <c r="BE1494" s="554"/>
      <c r="BF1494" s="554"/>
      <c r="BG1494" s="550"/>
      <c r="BH1494" s="554"/>
      <c r="BI1494" s="554"/>
      <c r="BJ1494" s="554"/>
      <c r="BK1494" s="554"/>
      <c r="BL1494" s="554"/>
      <c r="BM1494" s="554"/>
      <c r="BN1494" s="554"/>
      <c r="BO1494" s="554"/>
      <c r="BP1494" s="554"/>
      <c r="BQ1494" s="554">
        <f t="shared" si="588"/>
        <v>1140</v>
      </c>
      <c r="BR1494" s="554"/>
      <c r="BS1494" s="554"/>
      <c r="BT1494" s="554"/>
      <c r="BU1494" s="554"/>
      <c r="BV1494" s="554"/>
      <c r="BW1494" s="554"/>
      <c r="BX1494" s="554"/>
      <c r="BY1494" s="554"/>
      <c r="BZ1494" s="554"/>
      <c r="CA1494" s="720"/>
      <c r="CB1494" s="555"/>
      <c r="CC1494" s="721"/>
      <c r="CD1494" s="554"/>
      <c r="CE1494" s="554"/>
      <c r="CF1494" s="554"/>
      <c r="CG1494" s="554"/>
      <c r="CH1494" s="550"/>
      <c r="CI1494" s="554"/>
      <c r="CJ1494" s="554"/>
      <c r="CK1494" s="554"/>
      <c r="CL1494" s="554"/>
      <c r="CM1494" s="554"/>
      <c r="CN1494" s="554"/>
      <c r="CO1494" s="554"/>
      <c r="CP1494" s="619"/>
      <c r="CQ1494" s="619"/>
      <c r="CR1494" s="619"/>
      <c r="CS1494" s="619"/>
      <c r="CT1494" s="619"/>
      <c r="CU1494" s="554">
        <f t="shared" si="583"/>
        <v>1140</v>
      </c>
      <c r="CV1494" s="554">
        <f t="shared" si="589"/>
        <v>0</v>
      </c>
      <c r="CW1494" s="554">
        <f t="shared" si="590"/>
        <v>0</v>
      </c>
      <c r="CX1494" s="619"/>
      <c r="CY1494" s="619"/>
      <c r="CZ1494" s="619"/>
      <c r="DA1494" s="619"/>
      <c r="DB1494" s="619"/>
      <c r="DC1494" s="619"/>
      <c r="DD1494" s="619"/>
      <c r="DE1494" s="619"/>
      <c r="DF1494" s="619"/>
      <c r="DG1494" s="619"/>
      <c r="DH1494" s="619"/>
      <c r="DI1494" s="554"/>
    </row>
    <row r="1495" s="550" customFormat="1" ht="31" customHeight="1" spans="1:113">
      <c r="A1495" s="608">
        <v>46136</v>
      </c>
      <c r="B1495" s="609" t="s">
        <v>143</v>
      </c>
      <c r="C1495" s="610" t="s">
        <v>98</v>
      </c>
      <c r="D1495" s="554">
        <v>4500203833</v>
      </c>
      <c r="E1495" s="613">
        <v>996476678</v>
      </c>
      <c r="F1495" s="554" t="s">
        <v>9657</v>
      </c>
      <c r="G1495" s="610" t="s">
        <v>6063</v>
      </c>
      <c r="H1495" s="610" t="s">
        <v>6064</v>
      </c>
      <c r="I1495" s="715">
        <v>27840</v>
      </c>
      <c r="J1495" s="610">
        <v>0</v>
      </c>
      <c r="K1495" s="610">
        <v>16</v>
      </c>
      <c r="L1495" s="611">
        <f t="shared" si="573"/>
        <v>1740</v>
      </c>
      <c r="M1495" s="612">
        <v>46183</v>
      </c>
      <c r="N1495" s="612">
        <v>46179</v>
      </c>
      <c r="O1495" s="737" t="s">
        <v>4233</v>
      </c>
      <c r="P1495" s="613" t="s">
        <v>9433</v>
      </c>
      <c r="Q1495" s="614" t="s">
        <v>4248</v>
      </c>
      <c r="R1495" s="614" t="s">
        <v>7064</v>
      </c>
      <c r="S1495" s="614" t="s">
        <v>70</v>
      </c>
      <c r="T1495" s="614" t="s">
        <v>9644</v>
      </c>
      <c r="U1495" s="614"/>
      <c r="V1495" s="614"/>
      <c r="W1495" s="573"/>
      <c r="X1495" s="609" t="s">
        <v>9647</v>
      </c>
      <c r="Y1495" s="616" t="s">
        <v>106</v>
      </c>
      <c r="Z1495" s="609">
        <v>0.599</v>
      </c>
      <c r="AA1495" s="616">
        <f t="shared" si="581"/>
        <v>16676.16</v>
      </c>
      <c r="AC1495" s="678" t="s">
        <v>9658</v>
      </c>
      <c r="AD1495" s="610" t="s">
        <v>6063</v>
      </c>
      <c r="AE1495" s="610" t="s">
        <v>82</v>
      </c>
      <c r="AF1495" s="610"/>
      <c r="AG1495" s="610"/>
      <c r="AH1495" s="609"/>
      <c r="AI1495" s="739">
        <v>27840</v>
      </c>
      <c r="AJ1495" s="610">
        <f t="shared" si="582"/>
        <v>0</v>
      </c>
      <c r="AK1495" s="613"/>
      <c r="AL1495" s="610" t="s">
        <v>2368</v>
      </c>
      <c r="AM1495" s="610"/>
      <c r="AN1495" s="554">
        <f t="shared" si="584"/>
        <v>27840</v>
      </c>
      <c r="AO1495" s="554"/>
      <c r="AP1495" s="554">
        <f t="shared" si="585"/>
        <v>27840</v>
      </c>
      <c r="AQ1495" s="554"/>
      <c r="AR1495" s="619"/>
      <c r="AS1495" s="554"/>
      <c r="AT1495" s="554"/>
      <c r="AU1495" s="554">
        <f t="shared" si="586"/>
        <v>27840</v>
      </c>
      <c r="AV1495" s="554"/>
      <c r="AW1495" s="554"/>
      <c r="AX1495" s="714"/>
      <c r="AY1495" s="554"/>
      <c r="AZ1495" s="554"/>
      <c r="BA1495" s="554"/>
      <c r="BB1495" s="620">
        <f t="shared" si="587"/>
        <v>1160</v>
      </c>
      <c r="BC1495" s="554"/>
      <c r="BD1495" s="554"/>
      <c r="BE1495" s="554"/>
      <c r="BF1495" s="554"/>
      <c r="BG1495" s="550"/>
      <c r="BH1495" s="554"/>
      <c r="BI1495" s="554"/>
      <c r="BJ1495" s="554"/>
      <c r="BK1495" s="554"/>
      <c r="BL1495" s="554"/>
      <c r="BM1495" s="554"/>
      <c r="BN1495" s="554"/>
      <c r="BO1495" s="554"/>
      <c r="BP1495" s="554"/>
      <c r="BQ1495" s="554">
        <f t="shared" si="588"/>
        <v>1740</v>
      </c>
      <c r="BR1495" s="554"/>
      <c r="BS1495" s="554"/>
      <c r="BT1495" s="554"/>
      <c r="BU1495" s="554"/>
      <c r="BV1495" s="554"/>
      <c r="BW1495" s="554"/>
      <c r="BX1495" s="554"/>
      <c r="BY1495" s="554"/>
      <c r="BZ1495" s="554"/>
      <c r="CA1495" s="720"/>
      <c r="CB1495" s="555"/>
      <c r="CC1495" s="721"/>
      <c r="CD1495" s="554"/>
      <c r="CE1495" s="554"/>
      <c r="CF1495" s="554"/>
      <c r="CG1495" s="554"/>
      <c r="CH1495" s="550"/>
      <c r="CI1495" s="554"/>
      <c r="CJ1495" s="554"/>
      <c r="CK1495" s="554"/>
      <c r="CL1495" s="554"/>
      <c r="CM1495" s="554"/>
      <c r="CN1495" s="554"/>
      <c r="CO1495" s="554"/>
      <c r="CP1495" s="619"/>
      <c r="CQ1495" s="619"/>
      <c r="CR1495" s="619"/>
      <c r="CS1495" s="619"/>
      <c r="CT1495" s="619"/>
      <c r="CU1495" s="554">
        <f t="shared" si="583"/>
        <v>1740</v>
      </c>
      <c r="CV1495" s="554">
        <f t="shared" si="589"/>
        <v>0</v>
      </c>
      <c r="CW1495" s="554">
        <f t="shared" si="590"/>
        <v>0</v>
      </c>
      <c r="CX1495" s="619"/>
      <c r="CY1495" s="619"/>
      <c r="CZ1495" s="619"/>
      <c r="DA1495" s="619"/>
      <c r="DB1495" s="619"/>
      <c r="DC1495" s="619"/>
      <c r="DD1495" s="619"/>
      <c r="DE1495" s="619"/>
      <c r="DF1495" s="619"/>
      <c r="DG1495" s="619"/>
      <c r="DH1495" s="619"/>
      <c r="DI1495" s="554"/>
    </row>
    <row r="1496" s="550" customFormat="1" ht="31" customHeight="1" spans="1:113">
      <c r="A1496" s="608">
        <v>46126</v>
      </c>
      <c r="B1496" s="609" t="s">
        <v>4256</v>
      </c>
      <c r="C1496" s="610" t="s">
        <v>375</v>
      </c>
      <c r="D1496" s="766">
        <v>4500200583</v>
      </c>
      <c r="E1496" s="610">
        <v>4100444913</v>
      </c>
      <c r="F1496" s="554" t="s">
        <v>9659</v>
      </c>
      <c r="G1496" s="610" t="s">
        <v>6093</v>
      </c>
      <c r="H1496" s="610" t="s">
        <v>6094</v>
      </c>
      <c r="I1496" s="715">
        <v>1300</v>
      </c>
      <c r="J1496" s="610">
        <v>0</v>
      </c>
      <c r="K1496" s="610">
        <v>13</v>
      </c>
      <c r="L1496" s="611">
        <f t="shared" si="573"/>
        <v>100</v>
      </c>
      <c r="M1496" s="612">
        <v>46184</v>
      </c>
      <c r="N1496" s="612">
        <v>46181</v>
      </c>
      <c r="O1496" s="613"/>
      <c r="P1496" s="610" t="s">
        <v>9334</v>
      </c>
      <c r="Q1496" s="614"/>
      <c r="R1496" s="614">
        <v>46142</v>
      </c>
      <c r="S1496" s="614" t="s">
        <v>70</v>
      </c>
      <c r="T1496" s="614" t="s">
        <v>9613</v>
      </c>
      <c r="U1496" s="614"/>
      <c r="V1496" s="614"/>
      <c r="W1496" s="573"/>
      <c r="X1496" s="609" t="s">
        <v>9660</v>
      </c>
      <c r="Y1496" s="616" t="s">
        <v>244</v>
      </c>
      <c r="Z1496" s="609">
        <v>0.9116</v>
      </c>
      <c r="AA1496" s="616">
        <f t="shared" si="581"/>
        <v>1185.08</v>
      </c>
      <c r="AC1496" s="697"/>
      <c r="AD1496" s="610" t="s">
        <v>6093</v>
      </c>
      <c r="AE1496" s="610" t="s">
        <v>82</v>
      </c>
      <c r="AF1496" s="610"/>
      <c r="AG1496" s="610"/>
      <c r="AH1496" s="609"/>
      <c r="AI1496" s="765">
        <f>1287+13</f>
        <v>1300</v>
      </c>
      <c r="AJ1496" s="610">
        <f t="shared" si="582"/>
        <v>0</v>
      </c>
      <c r="AK1496" s="613"/>
      <c r="AL1496" s="610" t="s">
        <v>2368</v>
      </c>
      <c r="AM1496" s="610"/>
      <c r="AN1496" s="554"/>
      <c r="AO1496" s="554">
        <f>I1496</f>
        <v>1300</v>
      </c>
      <c r="AP1496" s="554"/>
      <c r="AQ1496" s="554"/>
      <c r="AR1496" s="554"/>
      <c r="AS1496" s="554"/>
      <c r="AT1496" s="554">
        <f>I1496</f>
        <v>1300</v>
      </c>
      <c r="AU1496" s="554"/>
      <c r="AV1496" s="554">
        <f>I1496</f>
        <v>1300</v>
      </c>
      <c r="AW1496" s="554"/>
      <c r="AX1496" s="714"/>
      <c r="AY1496" s="554"/>
      <c r="AZ1496" s="554"/>
      <c r="BA1496" s="554"/>
      <c r="BB1496" s="620">
        <f t="shared" si="587"/>
        <v>54.1666666666667</v>
      </c>
      <c r="BC1496" s="554"/>
      <c r="BD1496" s="554"/>
      <c r="BE1496" s="554"/>
      <c r="BF1496" s="554"/>
      <c r="BG1496" s="550"/>
      <c r="BH1496" s="554"/>
      <c r="BI1496" s="554"/>
      <c r="BJ1496" s="554"/>
      <c r="BK1496" s="554"/>
      <c r="BL1496" s="554"/>
      <c r="BM1496" s="554">
        <f>I1496/13</f>
        <v>100</v>
      </c>
      <c r="BN1496" s="554"/>
      <c r="BO1496" s="554"/>
      <c r="BP1496" s="554"/>
      <c r="BQ1496" s="554"/>
      <c r="BR1496" s="554"/>
      <c r="BS1496" s="554"/>
      <c r="BT1496" s="554"/>
      <c r="BU1496" s="554"/>
      <c r="BV1496" s="554"/>
      <c r="BW1496" s="554"/>
      <c r="BX1496" s="554"/>
      <c r="BY1496" s="554"/>
      <c r="BZ1496" s="554"/>
      <c r="CA1496" s="720"/>
      <c r="CB1496" s="555"/>
      <c r="CC1496" s="721"/>
      <c r="CD1496" s="554"/>
      <c r="CE1496" s="554"/>
      <c r="CF1496" s="554"/>
      <c r="CG1496" s="554"/>
      <c r="CH1496" s="550"/>
      <c r="CI1496" s="554"/>
      <c r="CJ1496" s="554"/>
      <c r="CK1496" s="554"/>
      <c r="CL1496" s="554"/>
      <c r="CM1496" s="554"/>
      <c r="CN1496" s="554"/>
      <c r="CO1496" s="554"/>
      <c r="CP1496" s="619"/>
      <c r="CQ1496" s="619"/>
      <c r="CR1496" s="619"/>
      <c r="CS1496" s="619"/>
      <c r="CT1496" s="619"/>
      <c r="CU1496" s="554">
        <f t="shared" si="583"/>
        <v>0</v>
      </c>
      <c r="CV1496" s="554">
        <f t="shared" si="589"/>
        <v>0</v>
      </c>
      <c r="CW1496" s="554">
        <f t="shared" si="590"/>
        <v>0</v>
      </c>
      <c r="CX1496" s="619"/>
      <c r="CY1496" s="619"/>
      <c r="CZ1496" s="619"/>
      <c r="DA1496" s="619"/>
      <c r="DB1496" s="619"/>
      <c r="DC1496" s="619"/>
      <c r="DD1496" s="619"/>
      <c r="DE1496" s="619"/>
      <c r="DF1496" s="619"/>
      <c r="DG1496" s="619"/>
      <c r="DH1496" s="619"/>
      <c r="DI1496" s="554"/>
    </row>
    <row r="1497" s="550" customFormat="1" ht="31" customHeight="1" spans="1:113">
      <c r="A1497" s="608">
        <v>46135</v>
      </c>
      <c r="B1497" s="609" t="s">
        <v>1800</v>
      </c>
      <c r="C1497" s="610" t="s">
        <v>744</v>
      </c>
      <c r="D1497" s="733">
        <v>4500198503</v>
      </c>
      <c r="E1497" s="610">
        <v>5000002156</v>
      </c>
      <c r="F1497" s="554" t="s">
        <v>4269</v>
      </c>
      <c r="G1497" s="610" t="s">
        <v>6337</v>
      </c>
      <c r="H1497" s="610" t="s">
        <v>477</v>
      </c>
      <c r="I1497" s="610">
        <v>2400</v>
      </c>
      <c r="J1497" s="610">
        <v>0</v>
      </c>
      <c r="K1497" s="610">
        <v>6</v>
      </c>
      <c r="L1497" s="611">
        <f t="shared" si="573"/>
        <v>400</v>
      </c>
      <c r="M1497" s="612">
        <v>46184</v>
      </c>
      <c r="N1497" s="612">
        <f>M1497-3</f>
        <v>46181</v>
      </c>
      <c r="O1497" s="613"/>
      <c r="P1497" s="613" t="s">
        <v>9334</v>
      </c>
      <c r="Q1497" s="610"/>
      <c r="R1497" s="614" t="s">
        <v>3299</v>
      </c>
      <c r="S1497" s="614" t="s">
        <v>104</v>
      </c>
      <c r="T1497" s="614" t="s">
        <v>2239</v>
      </c>
      <c r="U1497" s="614"/>
      <c r="V1497" s="614"/>
      <c r="W1497" s="573"/>
      <c r="X1497" s="609" t="s">
        <v>3762</v>
      </c>
      <c r="Y1497" s="609" t="s">
        <v>1805</v>
      </c>
      <c r="Z1497" s="722">
        <v>6.5546</v>
      </c>
      <c r="AA1497" s="616">
        <f t="shared" si="581"/>
        <v>15731.04</v>
      </c>
      <c r="AC1497" s="617"/>
      <c r="AD1497" s="610" t="s">
        <v>2241</v>
      </c>
      <c r="AE1497" s="610" t="s">
        <v>82</v>
      </c>
      <c r="AF1497" s="610"/>
      <c r="AG1497" s="610"/>
      <c r="AH1497" s="610"/>
      <c r="AI1497" s="765">
        <v>2400</v>
      </c>
      <c r="AJ1497" s="610">
        <f t="shared" si="582"/>
        <v>0</v>
      </c>
      <c r="AK1497" s="610"/>
      <c r="AL1497" s="610" t="s">
        <v>454</v>
      </c>
      <c r="AM1497" s="610"/>
      <c r="AN1497" s="610"/>
      <c r="AO1497" s="554">
        <f>I1497*2</f>
        <v>4800</v>
      </c>
      <c r="AP1497" s="554"/>
      <c r="AQ1497" s="554"/>
      <c r="AR1497" s="619"/>
      <c r="AS1497" s="554"/>
      <c r="AT1497" s="554">
        <f>I1497*2</f>
        <v>4800</v>
      </c>
      <c r="AU1497" s="554"/>
      <c r="AV1497" s="554"/>
      <c r="AW1497" s="619"/>
      <c r="AX1497" s="554">
        <f>I1497*2</f>
        <v>4800</v>
      </c>
      <c r="AY1497" s="554"/>
      <c r="AZ1497" s="554"/>
      <c r="BA1497" s="714">
        <f>I1497/24*2</f>
        <v>200</v>
      </c>
      <c r="BB1497" s="620"/>
      <c r="BC1497" s="714"/>
      <c r="BD1497" s="554"/>
      <c r="BE1497" s="554"/>
      <c r="BF1497" s="554"/>
      <c r="BG1497" s="550"/>
      <c r="BH1497" s="554"/>
      <c r="BI1497" s="554"/>
      <c r="BJ1497" s="554"/>
      <c r="BK1497" s="554"/>
      <c r="BL1497" s="554"/>
      <c r="BM1497" s="554"/>
      <c r="BN1497" s="554"/>
      <c r="BO1497" s="554"/>
      <c r="BP1497" s="554"/>
      <c r="BQ1497" s="554"/>
      <c r="BR1497" s="554"/>
      <c r="BS1497" s="554"/>
      <c r="BT1497" s="554"/>
      <c r="BU1497" s="554"/>
      <c r="BV1497" s="554"/>
      <c r="BW1497" s="554"/>
      <c r="BX1497" s="554"/>
      <c r="BY1497" s="619"/>
      <c r="BZ1497" s="554">
        <f>I1497</f>
        <v>2400</v>
      </c>
      <c r="CA1497" s="621"/>
      <c r="CB1497" s="555"/>
      <c r="CC1497" s="622"/>
      <c r="CD1497" s="619"/>
      <c r="CE1497" s="619"/>
      <c r="CF1497" s="554"/>
      <c r="CG1497" s="554"/>
      <c r="CH1497" s="550"/>
      <c r="CI1497" s="554"/>
      <c r="CJ1497" s="554"/>
      <c r="CK1497" s="554"/>
      <c r="CL1497" s="554"/>
      <c r="CM1497" s="554"/>
      <c r="CN1497" s="554"/>
      <c r="CO1497" s="554"/>
      <c r="CP1497" s="554"/>
      <c r="CQ1497" s="554"/>
      <c r="CR1497" s="554"/>
      <c r="CS1497" s="554"/>
      <c r="CT1497" s="554"/>
      <c r="CU1497" s="554">
        <f t="shared" si="583"/>
        <v>0</v>
      </c>
      <c r="CV1497" s="554">
        <v>0</v>
      </c>
      <c r="CW1497" s="554">
        <v>0</v>
      </c>
      <c r="CX1497" s="619"/>
      <c r="CY1497" s="619"/>
      <c r="CZ1497" s="619"/>
      <c r="DA1497" s="554"/>
      <c r="DB1497" s="554"/>
      <c r="DC1497" s="554"/>
      <c r="DD1497" s="619"/>
      <c r="DE1497" s="619"/>
      <c r="DF1497" s="619"/>
      <c r="DG1497" s="619"/>
      <c r="DH1497" s="619"/>
      <c r="DI1497" s="554"/>
    </row>
    <row r="1498" s="550" customFormat="1" ht="31" customHeight="1" spans="1:113">
      <c r="A1498" s="608">
        <v>46139</v>
      </c>
      <c r="B1498" s="609" t="s">
        <v>120</v>
      </c>
      <c r="C1498" s="610" t="s">
        <v>98</v>
      </c>
      <c r="D1498" s="727">
        <v>4500204153</v>
      </c>
      <c r="E1498" s="613">
        <v>5200009793</v>
      </c>
      <c r="F1498" s="554" t="s">
        <v>9661</v>
      </c>
      <c r="G1498" s="610" t="s">
        <v>6125</v>
      </c>
      <c r="H1498" s="610" t="s">
        <v>9564</v>
      </c>
      <c r="I1498" s="715">
        <v>4200</v>
      </c>
      <c r="J1498" s="610">
        <v>0</v>
      </c>
      <c r="K1498" s="610">
        <v>12</v>
      </c>
      <c r="L1498" s="611">
        <f t="shared" si="573"/>
        <v>350</v>
      </c>
      <c r="M1498" s="612">
        <v>46185</v>
      </c>
      <c r="N1498" s="612">
        <v>46181</v>
      </c>
      <c r="O1498" s="613"/>
      <c r="P1498" s="613" t="s">
        <v>9433</v>
      </c>
      <c r="Q1498" s="614">
        <v>46203</v>
      </c>
      <c r="R1498" s="614">
        <v>46139</v>
      </c>
      <c r="S1498" s="614" t="s">
        <v>70</v>
      </c>
      <c r="T1498" s="614" t="s">
        <v>70</v>
      </c>
      <c r="U1498" s="614"/>
      <c r="V1498" s="614"/>
      <c r="W1498" s="573"/>
      <c r="X1498" s="609" t="s">
        <v>9662</v>
      </c>
      <c r="Y1498" s="647" t="s">
        <v>9627</v>
      </c>
      <c r="Z1498" s="609">
        <v>1.2808</v>
      </c>
      <c r="AA1498" s="616">
        <f t="shared" si="581"/>
        <v>5379.36</v>
      </c>
      <c r="AC1498" s="678" t="s">
        <v>9663</v>
      </c>
      <c r="AD1498" s="610" t="s">
        <v>6128</v>
      </c>
      <c r="AE1498" s="610" t="s">
        <v>82</v>
      </c>
      <c r="AF1498" s="610"/>
      <c r="AG1498" s="610"/>
      <c r="AH1498" s="609"/>
      <c r="AI1498" s="609">
        <v>4200</v>
      </c>
      <c r="AJ1498" s="610">
        <f t="shared" si="582"/>
        <v>0</v>
      </c>
      <c r="AK1498" s="613"/>
      <c r="AL1498" s="610"/>
      <c r="AM1498" s="610"/>
      <c r="AN1498" s="610">
        <f>I1498*2</f>
        <v>8400</v>
      </c>
      <c r="AO1498" s="554"/>
      <c r="AP1498" s="554"/>
      <c r="AQ1498" s="554">
        <f>I1498*2</f>
        <v>8400</v>
      </c>
      <c r="AR1498" s="619"/>
      <c r="AS1498" s="554"/>
      <c r="AT1498" s="554"/>
      <c r="AU1498" s="554">
        <f>I1498*2</f>
        <v>8400</v>
      </c>
      <c r="AV1498" s="554"/>
      <c r="AW1498" s="554"/>
      <c r="AX1498" s="714"/>
      <c r="AY1498" s="554"/>
      <c r="AZ1498" s="554"/>
      <c r="BA1498" s="554"/>
      <c r="BB1498" s="620">
        <f t="shared" ref="BB1498:BB1503" si="591">I1498/24*2</f>
        <v>350</v>
      </c>
      <c r="BC1498" s="554"/>
      <c r="BD1498" s="554"/>
      <c r="BE1498" s="554"/>
      <c r="BF1498" s="554"/>
      <c r="BG1498" s="550"/>
      <c r="BH1498" s="554"/>
      <c r="BI1498" s="554"/>
      <c r="BJ1498" s="554"/>
      <c r="BK1498" s="554"/>
      <c r="BL1498" s="554"/>
      <c r="BM1498" s="554"/>
      <c r="BN1498" s="554"/>
      <c r="BO1498" s="554"/>
      <c r="BP1498" s="554"/>
      <c r="BQ1498" s="554"/>
      <c r="BR1498" s="554"/>
      <c r="BS1498" s="554"/>
      <c r="BT1498" s="554"/>
      <c r="BU1498" s="554"/>
      <c r="BV1498" s="554"/>
      <c r="BW1498" s="554"/>
      <c r="BX1498" s="554"/>
      <c r="BY1498" s="554"/>
      <c r="BZ1498" s="554"/>
      <c r="CA1498" s="720"/>
      <c r="CB1498" s="555"/>
      <c r="CC1498" s="721"/>
      <c r="CD1498" s="554"/>
      <c r="CE1498" s="554"/>
      <c r="CF1498" s="554"/>
      <c r="CG1498" s="554"/>
      <c r="CH1498" s="550"/>
      <c r="CI1498" s="554"/>
      <c r="CJ1498" s="554"/>
      <c r="CK1498" s="554"/>
      <c r="CL1498" s="554"/>
      <c r="CM1498" s="554"/>
      <c r="CN1498" s="554"/>
      <c r="CO1498" s="554"/>
      <c r="CP1498" s="619"/>
      <c r="CQ1498" s="619"/>
      <c r="CR1498" s="554">
        <f>I1498</f>
        <v>4200</v>
      </c>
      <c r="CS1498" s="554">
        <f>I1498</f>
        <v>4200</v>
      </c>
      <c r="CT1498" s="554">
        <f>I1498</f>
        <v>4200</v>
      </c>
      <c r="CU1498" s="554">
        <f t="shared" si="583"/>
        <v>0</v>
      </c>
      <c r="CV1498" s="554">
        <v>0</v>
      </c>
      <c r="CW1498" s="554">
        <v>0</v>
      </c>
      <c r="CX1498" s="619"/>
      <c r="CY1498" s="619"/>
      <c r="CZ1498" s="619"/>
      <c r="DA1498" s="619"/>
      <c r="DB1498" s="619"/>
      <c r="DC1498" s="619"/>
      <c r="DD1498" s="619"/>
      <c r="DE1498" s="619"/>
      <c r="DF1498" s="619"/>
      <c r="DG1498" s="619"/>
      <c r="DH1498" s="619"/>
      <c r="DI1498" s="554"/>
    </row>
    <row r="1499" s="550" customFormat="1" ht="31" customHeight="1" spans="1:113">
      <c r="A1499" s="608">
        <v>46140</v>
      </c>
      <c r="B1499" s="609" t="s">
        <v>1503</v>
      </c>
      <c r="C1499" s="610" t="s">
        <v>98</v>
      </c>
      <c r="D1499" s="727">
        <v>4500200822</v>
      </c>
      <c r="E1499" s="610" t="s">
        <v>9664</v>
      </c>
      <c r="F1499" s="554" t="s">
        <v>9665</v>
      </c>
      <c r="G1499" s="610" t="s">
        <v>6787</v>
      </c>
      <c r="H1499" s="610" t="s">
        <v>6126</v>
      </c>
      <c r="I1499" s="715">
        <v>2520</v>
      </c>
      <c r="J1499" s="610">
        <v>0</v>
      </c>
      <c r="K1499" s="610">
        <v>12</v>
      </c>
      <c r="L1499" s="611">
        <f t="shared" si="573"/>
        <v>210</v>
      </c>
      <c r="M1499" s="612">
        <v>46184</v>
      </c>
      <c r="N1499" s="724">
        <v>46184</v>
      </c>
      <c r="O1499" s="613"/>
      <c r="P1499" s="613" t="s">
        <v>9433</v>
      </c>
      <c r="Q1499" s="614">
        <v>46193</v>
      </c>
      <c r="R1499" s="614">
        <v>46141</v>
      </c>
      <c r="S1499" s="614" t="s">
        <v>104</v>
      </c>
      <c r="T1499" s="614" t="s">
        <v>9666</v>
      </c>
      <c r="U1499" s="614"/>
      <c r="V1499" s="614"/>
      <c r="W1499" s="573"/>
      <c r="X1499" s="609" t="s">
        <v>9667</v>
      </c>
      <c r="Y1499" s="616" t="s">
        <v>125</v>
      </c>
      <c r="Z1499" s="609">
        <v>1.3546</v>
      </c>
      <c r="AA1499" s="616">
        <f t="shared" si="581"/>
        <v>3413.592</v>
      </c>
      <c r="AC1499" s="678" t="s">
        <v>9668</v>
      </c>
      <c r="AD1499" s="610" t="s">
        <v>8079</v>
      </c>
      <c r="AE1499" s="610" t="s">
        <v>82</v>
      </c>
      <c r="AF1499" s="610"/>
      <c r="AG1499" s="610"/>
      <c r="AH1499" s="609"/>
      <c r="AI1499" s="609">
        <v>2520</v>
      </c>
      <c r="AJ1499" s="610">
        <f t="shared" si="582"/>
        <v>0</v>
      </c>
      <c r="AK1499" s="613"/>
      <c r="AL1499" s="610"/>
      <c r="AM1499" s="610"/>
      <c r="AN1499" s="610">
        <f>I1499*2</f>
        <v>5040</v>
      </c>
      <c r="AO1499" s="554"/>
      <c r="AP1499" s="554"/>
      <c r="AQ1499" s="554">
        <f>I1499*2</f>
        <v>5040</v>
      </c>
      <c r="AR1499" s="619"/>
      <c r="AS1499" s="554"/>
      <c r="AT1499" s="554"/>
      <c r="AU1499" s="554">
        <f>I1499*2</f>
        <v>5040</v>
      </c>
      <c r="AV1499" s="554"/>
      <c r="AW1499" s="554"/>
      <c r="AX1499" s="714"/>
      <c r="AY1499" s="554"/>
      <c r="AZ1499" s="554"/>
      <c r="BA1499" s="554"/>
      <c r="BB1499" s="620">
        <f t="shared" si="591"/>
        <v>210</v>
      </c>
      <c r="BC1499" s="554"/>
      <c r="BD1499" s="554"/>
      <c r="BE1499" s="554"/>
      <c r="BF1499" s="554"/>
      <c r="BG1499" s="550"/>
      <c r="BH1499" s="554"/>
      <c r="BI1499" s="554"/>
      <c r="BJ1499" s="554"/>
      <c r="BK1499" s="554"/>
      <c r="BL1499" s="554"/>
      <c r="BM1499" s="554"/>
      <c r="BN1499" s="554"/>
      <c r="BO1499" s="554"/>
      <c r="BP1499" s="554"/>
      <c r="BQ1499" s="554"/>
      <c r="BR1499" s="554"/>
      <c r="BS1499" s="554"/>
      <c r="BT1499" s="554"/>
      <c r="BU1499" s="554"/>
      <c r="BV1499" s="554"/>
      <c r="BW1499" s="554"/>
      <c r="BX1499" s="554"/>
      <c r="BY1499" s="554"/>
      <c r="BZ1499" s="554"/>
      <c r="CA1499" s="720"/>
      <c r="CB1499" s="555"/>
      <c r="CC1499" s="721"/>
      <c r="CD1499" s="554"/>
      <c r="CE1499" s="554"/>
      <c r="CF1499" s="554"/>
      <c r="CG1499" s="554"/>
      <c r="CH1499" s="550"/>
      <c r="CI1499" s="554"/>
      <c r="CJ1499" s="554"/>
      <c r="CK1499" s="554"/>
      <c r="CL1499" s="554"/>
      <c r="CM1499" s="554"/>
      <c r="CN1499" s="554"/>
      <c r="CO1499" s="554"/>
      <c r="CP1499" s="619"/>
      <c r="CQ1499" s="619"/>
      <c r="CR1499" s="554">
        <f>I1499</f>
        <v>2520</v>
      </c>
      <c r="CS1499" s="554">
        <f>I1499</f>
        <v>2520</v>
      </c>
      <c r="CT1499" s="554">
        <f>I1499</f>
        <v>2520</v>
      </c>
      <c r="CU1499" s="554">
        <f t="shared" si="583"/>
        <v>0</v>
      </c>
      <c r="CV1499" s="554">
        <v>0</v>
      </c>
      <c r="CW1499" s="554">
        <v>0</v>
      </c>
      <c r="CX1499" s="619"/>
      <c r="CY1499" s="619"/>
      <c r="CZ1499" s="619"/>
      <c r="DA1499" s="619"/>
      <c r="DB1499" s="619"/>
      <c r="DC1499" s="619"/>
      <c r="DD1499" s="619"/>
      <c r="DE1499" s="619"/>
      <c r="DF1499" s="619"/>
      <c r="DG1499" s="619"/>
      <c r="DH1499" s="619"/>
      <c r="DI1499" s="554"/>
    </row>
    <row r="1500" s="550" customFormat="1" ht="31" customHeight="1" spans="1:113">
      <c r="A1500" s="608">
        <v>46140</v>
      </c>
      <c r="B1500" s="609" t="s">
        <v>1503</v>
      </c>
      <c r="C1500" s="610" t="s">
        <v>98</v>
      </c>
      <c r="D1500" s="727">
        <v>4500201801</v>
      </c>
      <c r="E1500" s="610" t="s">
        <v>9669</v>
      </c>
      <c r="F1500" s="554" t="s">
        <v>9670</v>
      </c>
      <c r="G1500" s="610" t="s">
        <v>6787</v>
      </c>
      <c r="H1500" s="610" t="s">
        <v>6126</v>
      </c>
      <c r="I1500" s="715">
        <v>2052</v>
      </c>
      <c r="J1500" s="610">
        <v>0</v>
      </c>
      <c r="K1500" s="610">
        <v>12</v>
      </c>
      <c r="L1500" s="611">
        <f t="shared" si="573"/>
        <v>171</v>
      </c>
      <c r="M1500" s="612">
        <v>46184</v>
      </c>
      <c r="N1500" s="724">
        <v>46184</v>
      </c>
      <c r="O1500" s="613"/>
      <c r="P1500" s="613" t="s">
        <v>9433</v>
      </c>
      <c r="Q1500" s="614">
        <v>46193</v>
      </c>
      <c r="R1500" s="614">
        <v>46141</v>
      </c>
      <c r="S1500" s="614" t="s">
        <v>104</v>
      </c>
      <c r="T1500" s="614" t="s">
        <v>9666</v>
      </c>
      <c r="U1500" s="614"/>
      <c r="V1500" s="614"/>
      <c r="W1500" s="573"/>
      <c r="X1500" s="609" t="s">
        <v>9671</v>
      </c>
      <c r="Y1500" s="616" t="s">
        <v>125</v>
      </c>
      <c r="Z1500" s="609">
        <v>1.3546</v>
      </c>
      <c r="AA1500" s="616">
        <f t="shared" si="581"/>
        <v>2779.6392</v>
      </c>
      <c r="AC1500" s="678" t="s">
        <v>9672</v>
      </c>
      <c r="AD1500" s="610" t="s">
        <v>8079</v>
      </c>
      <c r="AE1500" s="610" t="s">
        <v>82</v>
      </c>
      <c r="AF1500" s="610"/>
      <c r="AG1500" s="610"/>
      <c r="AH1500" s="609"/>
      <c r="AI1500" s="609"/>
      <c r="AJ1500" s="610">
        <f t="shared" si="582"/>
        <v>-2052</v>
      </c>
      <c r="AK1500" s="613"/>
      <c r="AL1500" s="610"/>
      <c r="AM1500" s="610"/>
      <c r="AN1500" s="610">
        <f>I1500*2</f>
        <v>4104</v>
      </c>
      <c r="AO1500" s="554"/>
      <c r="AP1500" s="554"/>
      <c r="AQ1500" s="554">
        <f>I1500*2</f>
        <v>4104</v>
      </c>
      <c r="AR1500" s="619"/>
      <c r="AS1500" s="554"/>
      <c r="AT1500" s="554"/>
      <c r="AU1500" s="554">
        <f>I1500*2</f>
        <v>4104</v>
      </c>
      <c r="AV1500" s="554"/>
      <c r="AW1500" s="554"/>
      <c r="AX1500" s="714"/>
      <c r="AY1500" s="554"/>
      <c r="AZ1500" s="554"/>
      <c r="BA1500" s="554"/>
      <c r="BB1500" s="620">
        <f t="shared" si="591"/>
        <v>171</v>
      </c>
      <c r="BC1500" s="554"/>
      <c r="BD1500" s="554"/>
      <c r="BE1500" s="554"/>
      <c r="BF1500" s="554"/>
      <c r="BG1500" s="550"/>
      <c r="BH1500" s="554"/>
      <c r="BI1500" s="554"/>
      <c r="BJ1500" s="554"/>
      <c r="BK1500" s="554"/>
      <c r="BL1500" s="554"/>
      <c r="BM1500" s="554"/>
      <c r="BN1500" s="554"/>
      <c r="BO1500" s="554"/>
      <c r="BP1500" s="554"/>
      <c r="BQ1500" s="554"/>
      <c r="BR1500" s="554"/>
      <c r="BS1500" s="554"/>
      <c r="BT1500" s="554"/>
      <c r="BU1500" s="554"/>
      <c r="BV1500" s="554"/>
      <c r="BW1500" s="554"/>
      <c r="BX1500" s="554"/>
      <c r="BY1500" s="554"/>
      <c r="BZ1500" s="554"/>
      <c r="CA1500" s="720"/>
      <c r="CB1500" s="555"/>
      <c r="CC1500" s="721"/>
      <c r="CD1500" s="554"/>
      <c r="CE1500" s="554"/>
      <c r="CF1500" s="554"/>
      <c r="CG1500" s="554"/>
      <c r="CH1500" s="550"/>
      <c r="CI1500" s="554"/>
      <c r="CJ1500" s="554"/>
      <c r="CK1500" s="554"/>
      <c r="CL1500" s="554"/>
      <c r="CM1500" s="554"/>
      <c r="CN1500" s="554"/>
      <c r="CO1500" s="554"/>
      <c r="CP1500" s="619"/>
      <c r="CQ1500" s="619"/>
      <c r="CR1500" s="554">
        <f>I1500</f>
        <v>2052</v>
      </c>
      <c r="CS1500" s="554">
        <f>I1500</f>
        <v>2052</v>
      </c>
      <c r="CT1500" s="554">
        <f>I1500</f>
        <v>2052</v>
      </c>
      <c r="CU1500" s="554">
        <f t="shared" si="583"/>
        <v>0</v>
      </c>
      <c r="CV1500" s="554">
        <v>0</v>
      </c>
      <c r="CW1500" s="554">
        <v>0</v>
      </c>
      <c r="CX1500" s="619"/>
      <c r="CY1500" s="619"/>
      <c r="CZ1500" s="619"/>
      <c r="DA1500" s="619"/>
      <c r="DB1500" s="619"/>
      <c r="DC1500" s="619"/>
      <c r="DD1500" s="619"/>
      <c r="DE1500" s="619"/>
      <c r="DF1500" s="619"/>
      <c r="DG1500" s="619"/>
      <c r="DH1500" s="619"/>
      <c r="DI1500" s="554"/>
    </row>
    <row r="1501" s="550" customFormat="1" ht="31" customHeight="1" spans="1:113">
      <c r="A1501" s="608">
        <v>46140</v>
      </c>
      <c r="B1501" s="609" t="s">
        <v>1503</v>
      </c>
      <c r="C1501" s="610" t="s">
        <v>98</v>
      </c>
      <c r="D1501" s="727">
        <v>4500201941</v>
      </c>
      <c r="E1501" s="610" t="s">
        <v>9673</v>
      </c>
      <c r="F1501" s="554" t="s">
        <v>9674</v>
      </c>
      <c r="G1501" s="610" t="s">
        <v>6787</v>
      </c>
      <c r="H1501" s="610" t="s">
        <v>6126</v>
      </c>
      <c r="I1501" s="715">
        <v>1884</v>
      </c>
      <c r="J1501" s="610">
        <v>0</v>
      </c>
      <c r="K1501" s="610">
        <v>12</v>
      </c>
      <c r="L1501" s="611">
        <f t="shared" si="573"/>
        <v>157</v>
      </c>
      <c r="M1501" s="612">
        <v>46184</v>
      </c>
      <c r="N1501" s="724">
        <v>46184</v>
      </c>
      <c r="O1501" s="613"/>
      <c r="P1501" s="613" t="s">
        <v>9433</v>
      </c>
      <c r="Q1501" s="614">
        <v>46193</v>
      </c>
      <c r="R1501" s="614">
        <v>46141</v>
      </c>
      <c r="S1501" s="614" t="s">
        <v>104</v>
      </c>
      <c r="T1501" s="614" t="s">
        <v>9666</v>
      </c>
      <c r="U1501" s="614"/>
      <c r="V1501" s="614"/>
      <c r="W1501" s="573"/>
      <c r="X1501" s="609" t="s">
        <v>9303</v>
      </c>
      <c r="Y1501" s="616" t="s">
        <v>125</v>
      </c>
      <c r="Z1501" s="609">
        <v>1.3546</v>
      </c>
      <c r="AA1501" s="616">
        <f t="shared" si="581"/>
        <v>2552.0664</v>
      </c>
      <c r="AC1501" s="678" t="s">
        <v>9675</v>
      </c>
      <c r="AD1501" s="610" t="s">
        <v>8079</v>
      </c>
      <c r="AE1501" s="610" t="s">
        <v>82</v>
      </c>
      <c r="AF1501" s="610"/>
      <c r="AG1501" s="610"/>
      <c r="AH1501" s="609"/>
      <c r="AI1501" s="609">
        <v>1884</v>
      </c>
      <c r="AJ1501" s="610">
        <f t="shared" si="582"/>
        <v>0</v>
      </c>
      <c r="AK1501" s="613"/>
      <c r="AL1501" s="610"/>
      <c r="AM1501" s="610"/>
      <c r="AN1501" s="610">
        <f>I1501*2</f>
        <v>3768</v>
      </c>
      <c r="AO1501" s="554"/>
      <c r="AP1501" s="554"/>
      <c r="AQ1501" s="554">
        <f>I1501*2</f>
        <v>3768</v>
      </c>
      <c r="AR1501" s="619"/>
      <c r="AS1501" s="554"/>
      <c r="AT1501" s="554"/>
      <c r="AU1501" s="554">
        <f>I1501*2</f>
        <v>3768</v>
      </c>
      <c r="AV1501" s="554"/>
      <c r="AW1501" s="554"/>
      <c r="AX1501" s="714"/>
      <c r="AY1501" s="554"/>
      <c r="AZ1501" s="554"/>
      <c r="BA1501" s="554"/>
      <c r="BB1501" s="620">
        <f t="shared" si="591"/>
        <v>157</v>
      </c>
      <c r="BC1501" s="554"/>
      <c r="BD1501" s="554"/>
      <c r="BE1501" s="554"/>
      <c r="BF1501" s="554"/>
      <c r="BG1501" s="550"/>
      <c r="BH1501" s="554"/>
      <c r="BI1501" s="554"/>
      <c r="BJ1501" s="554"/>
      <c r="BK1501" s="554"/>
      <c r="BL1501" s="554"/>
      <c r="BM1501" s="554"/>
      <c r="BN1501" s="554"/>
      <c r="BO1501" s="554"/>
      <c r="BP1501" s="554"/>
      <c r="BQ1501" s="554"/>
      <c r="BR1501" s="554"/>
      <c r="BS1501" s="554"/>
      <c r="BT1501" s="554"/>
      <c r="BU1501" s="554"/>
      <c r="BV1501" s="554"/>
      <c r="BW1501" s="554"/>
      <c r="BX1501" s="554"/>
      <c r="BY1501" s="554"/>
      <c r="BZ1501" s="554"/>
      <c r="CA1501" s="720"/>
      <c r="CB1501" s="555"/>
      <c r="CC1501" s="721"/>
      <c r="CD1501" s="554"/>
      <c r="CE1501" s="554"/>
      <c r="CF1501" s="554"/>
      <c r="CG1501" s="554"/>
      <c r="CH1501" s="550"/>
      <c r="CI1501" s="554"/>
      <c r="CJ1501" s="554"/>
      <c r="CK1501" s="554"/>
      <c r="CL1501" s="554"/>
      <c r="CM1501" s="554"/>
      <c r="CN1501" s="554"/>
      <c r="CO1501" s="554"/>
      <c r="CP1501" s="619"/>
      <c r="CQ1501" s="619"/>
      <c r="CR1501" s="554">
        <f>I1501</f>
        <v>1884</v>
      </c>
      <c r="CS1501" s="554">
        <f>I1501</f>
        <v>1884</v>
      </c>
      <c r="CT1501" s="554">
        <f>I1501</f>
        <v>1884</v>
      </c>
      <c r="CU1501" s="554">
        <f t="shared" si="583"/>
        <v>0</v>
      </c>
      <c r="CV1501" s="554">
        <v>0</v>
      </c>
      <c r="CW1501" s="554">
        <v>0</v>
      </c>
      <c r="CX1501" s="619"/>
      <c r="CY1501" s="619"/>
      <c r="CZ1501" s="619"/>
      <c r="DA1501" s="619"/>
      <c r="DB1501" s="619"/>
      <c r="DC1501" s="619"/>
      <c r="DD1501" s="619"/>
      <c r="DE1501" s="619"/>
      <c r="DF1501" s="619"/>
      <c r="DG1501" s="619"/>
      <c r="DH1501" s="619"/>
      <c r="DI1501" s="554"/>
    </row>
    <row r="1502" s="550" customFormat="1" ht="31" customHeight="1" spans="1:113">
      <c r="A1502" s="608">
        <v>46148</v>
      </c>
      <c r="B1502" s="609" t="s">
        <v>3996</v>
      </c>
      <c r="C1502" s="610" t="s">
        <v>278</v>
      </c>
      <c r="D1502" s="735">
        <v>4500205100</v>
      </c>
      <c r="E1502" s="613">
        <v>50795641</v>
      </c>
      <c r="F1502" s="554" t="s">
        <v>4280</v>
      </c>
      <c r="G1502" s="610" t="s">
        <v>6337</v>
      </c>
      <c r="H1502" s="610" t="s">
        <v>477</v>
      </c>
      <c r="I1502" s="715">
        <v>2004</v>
      </c>
      <c r="J1502" s="610">
        <v>0</v>
      </c>
      <c r="K1502" s="610">
        <v>6</v>
      </c>
      <c r="L1502" s="611">
        <f t="shared" si="573"/>
        <v>334</v>
      </c>
      <c r="M1502" s="612">
        <v>46188</v>
      </c>
      <c r="N1502" s="612">
        <v>46184</v>
      </c>
      <c r="O1502" s="613"/>
      <c r="P1502" s="610" t="s">
        <v>113</v>
      </c>
      <c r="Q1502" s="614">
        <v>46211</v>
      </c>
      <c r="R1502" s="614">
        <v>46151</v>
      </c>
      <c r="S1502" s="614" t="s">
        <v>70</v>
      </c>
      <c r="T1502" s="614" t="s">
        <v>4281</v>
      </c>
      <c r="U1502" s="614"/>
      <c r="V1502" s="614"/>
      <c r="W1502" s="573"/>
      <c r="X1502" s="738" t="s">
        <v>4282</v>
      </c>
      <c r="Y1502" s="616" t="s">
        <v>1894</v>
      </c>
      <c r="Z1502" s="609">
        <v>6.8949</v>
      </c>
      <c r="AA1502" s="616">
        <f t="shared" si="581"/>
        <v>13817.3796</v>
      </c>
      <c r="AC1502" s="697"/>
      <c r="AD1502" s="610" t="s">
        <v>480</v>
      </c>
      <c r="AE1502" s="610" t="s">
        <v>82</v>
      </c>
      <c r="AF1502" s="610"/>
      <c r="AG1502" s="610"/>
      <c r="AH1502" s="609"/>
      <c r="AI1502" s="765">
        <v>2004</v>
      </c>
      <c r="AJ1502" s="610">
        <f t="shared" si="582"/>
        <v>0</v>
      </c>
      <c r="AK1502" s="613"/>
      <c r="AL1502" s="610" t="s">
        <v>454</v>
      </c>
      <c r="AM1502" s="610"/>
      <c r="AN1502" s="554"/>
      <c r="AO1502" s="554">
        <f>I1502*2</f>
        <v>4008</v>
      </c>
      <c r="AP1502" s="554"/>
      <c r="AQ1502" s="554"/>
      <c r="AR1502" s="619"/>
      <c r="AS1502" s="554"/>
      <c r="AT1502" s="554">
        <f>I1502*2</f>
        <v>4008</v>
      </c>
      <c r="AU1502" s="554"/>
      <c r="AV1502" s="554">
        <f>I1502*2</f>
        <v>4008</v>
      </c>
      <c r="AW1502" s="554"/>
      <c r="AX1502" s="714"/>
      <c r="AY1502" s="554"/>
      <c r="AZ1502" s="554"/>
      <c r="BA1502" s="554"/>
      <c r="BB1502" s="620">
        <f t="shared" si="591"/>
        <v>167</v>
      </c>
      <c r="BC1502" s="554"/>
      <c r="BD1502" s="554"/>
      <c r="BE1502" s="554"/>
      <c r="BF1502" s="554"/>
      <c r="BG1502" s="550"/>
      <c r="BH1502" s="554"/>
      <c r="BI1502" s="554"/>
      <c r="BJ1502" s="554"/>
      <c r="BK1502" s="554"/>
      <c r="BL1502" s="554"/>
      <c r="BM1502" s="554"/>
      <c r="BN1502" s="554"/>
      <c r="BO1502" s="554"/>
      <c r="BP1502" s="554"/>
      <c r="BQ1502" s="554"/>
      <c r="BR1502" s="554"/>
      <c r="BS1502" s="554"/>
      <c r="BT1502" s="554"/>
      <c r="BU1502" s="554"/>
      <c r="BV1502" s="554"/>
      <c r="BW1502" s="554"/>
      <c r="BX1502" s="554"/>
      <c r="BY1502" s="554"/>
      <c r="BZ1502" s="554">
        <f>I1502</f>
        <v>2004</v>
      </c>
      <c r="CA1502" s="720"/>
      <c r="CB1502" s="555"/>
      <c r="CC1502" s="721"/>
      <c r="CD1502" s="554"/>
      <c r="CE1502" s="554"/>
      <c r="CF1502" s="554"/>
      <c r="CG1502" s="554"/>
      <c r="CH1502" s="550"/>
      <c r="CI1502" s="554"/>
      <c r="CJ1502" s="554"/>
      <c r="CK1502" s="554"/>
      <c r="CL1502" s="554"/>
      <c r="CM1502" s="554"/>
      <c r="CN1502" s="554"/>
      <c r="CO1502" s="554"/>
      <c r="CP1502" s="619"/>
      <c r="CQ1502" s="619"/>
      <c r="CR1502" s="554"/>
      <c r="CS1502" s="554"/>
      <c r="CT1502" s="554"/>
      <c r="CU1502" s="554">
        <f t="shared" si="583"/>
        <v>0</v>
      </c>
      <c r="CV1502" s="554">
        <v>0</v>
      </c>
      <c r="CW1502" s="554">
        <v>0</v>
      </c>
      <c r="CX1502" s="619"/>
      <c r="CY1502" s="619"/>
      <c r="CZ1502" s="619"/>
      <c r="DA1502" s="619"/>
      <c r="DB1502" s="619"/>
      <c r="DC1502" s="619"/>
      <c r="DD1502" s="619"/>
      <c r="DE1502" s="619"/>
      <c r="DF1502" s="619"/>
      <c r="DG1502" s="619"/>
      <c r="DH1502" s="619"/>
      <c r="DI1502" s="554"/>
    </row>
    <row r="1503" s="550" customFormat="1" ht="31" customHeight="1" spans="1:113">
      <c r="A1503" s="608">
        <v>46148</v>
      </c>
      <c r="B1503" s="609" t="s">
        <v>3996</v>
      </c>
      <c r="C1503" s="610" t="s">
        <v>278</v>
      </c>
      <c r="D1503" s="735">
        <v>4500205100</v>
      </c>
      <c r="E1503" s="613">
        <v>50795651</v>
      </c>
      <c r="F1503" s="554" t="s">
        <v>4284</v>
      </c>
      <c r="G1503" s="610" t="s">
        <v>6337</v>
      </c>
      <c r="H1503" s="610" t="s">
        <v>477</v>
      </c>
      <c r="I1503" s="715">
        <v>2004</v>
      </c>
      <c r="J1503" s="610">
        <v>0</v>
      </c>
      <c r="K1503" s="610">
        <v>6</v>
      </c>
      <c r="L1503" s="611">
        <f t="shared" si="573"/>
        <v>334</v>
      </c>
      <c r="M1503" s="612">
        <v>46188</v>
      </c>
      <c r="N1503" s="612">
        <v>46184</v>
      </c>
      <c r="O1503" s="613"/>
      <c r="P1503" s="610" t="s">
        <v>113</v>
      </c>
      <c r="Q1503" s="614">
        <v>46197</v>
      </c>
      <c r="R1503" s="614">
        <v>46151</v>
      </c>
      <c r="S1503" s="614" t="s">
        <v>70</v>
      </c>
      <c r="T1503" s="614" t="s">
        <v>4281</v>
      </c>
      <c r="U1503" s="614"/>
      <c r="V1503" s="614"/>
      <c r="W1503" s="573"/>
      <c r="X1503" s="738" t="s">
        <v>4282</v>
      </c>
      <c r="Y1503" s="616" t="s">
        <v>1894</v>
      </c>
      <c r="Z1503" s="609">
        <v>6.8949</v>
      </c>
      <c r="AA1503" s="616">
        <f t="shared" si="581"/>
        <v>13817.3796</v>
      </c>
      <c r="AC1503" s="697"/>
      <c r="AD1503" s="610" t="s">
        <v>480</v>
      </c>
      <c r="AE1503" s="610" t="s">
        <v>82</v>
      </c>
      <c r="AF1503" s="610"/>
      <c r="AG1503" s="610"/>
      <c r="AH1503" s="609"/>
      <c r="AI1503" s="765">
        <v>2004</v>
      </c>
      <c r="AJ1503" s="610">
        <f t="shared" si="582"/>
        <v>0</v>
      </c>
      <c r="AK1503" s="613"/>
      <c r="AL1503" s="610" t="s">
        <v>454</v>
      </c>
      <c r="AM1503" s="610"/>
      <c r="AN1503" s="554"/>
      <c r="AO1503" s="554">
        <f>I1503*2</f>
        <v>4008</v>
      </c>
      <c r="AP1503" s="554"/>
      <c r="AQ1503" s="554"/>
      <c r="AR1503" s="619"/>
      <c r="AS1503" s="554"/>
      <c r="AT1503" s="554">
        <f>I1503*2</f>
        <v>4008</v>
      </c>
      <c r="AU1503" s="554"/>
      <c r="AV1503" s="554">
        <f>I1503*2</f>
        <v>4008</v>
      </c>
      <c r="AW1503" s="554"/>
      <c r="AX1503" s="714"/>
      <c r="AY1503" s="554"/>
      <c r="AZ1503" s="554"/>
      <c r="BA1503" s="554"/>
      <c r="BB1503" s="620">
        <f t="shared" si="591"/>
        <v>167</v>
      </c>
      <c r="BC1503" s="554"/>
      <c r="BD1503" s="554"/>
      <c r="BE1503" s="554"/>
      <c r="BF1503" s="554"/>
      <c r="BG1503" s="550"/>
      <c r="BH1503" s="554"/>
      <c r="BI1503" s="554"/>
      <c r="BJ1503" s="554"/>
      <c r="BK1503" s="554"/>
      <c r="BL1503" s="554"/>
      <c r="BM1503" s="554"/>
      <c r="BN1503" s="554"/>
      <c r="BO1503" s="554"/>
      <c r="BP1503" s="554"/>
      <c r="BQ1503" s="554"/>
      <c r="BR1503" s="554"/>
      <c r="BS1503" s="554"/>
      <c r="BT1503" s="554"/>
      <c r="BU1503" s="554"/>
      <c r="BV1503" s="554"/>
      <c r="BW1503" s="554"/>
      <c r="BX1503" s="554"/>
      <c r="BY1503" s="554"/>
      <c r="BZ1503" s="554">
        <f>I1503</f>
        <v>2004</v>
      </c>
      <c r="CA1503" s="720"/>
      <c r="CB1503" s="555"/>
      <c r="CC1503" s="721"/>
      <c r="CD1503" s="554"/>
      <c r="CE1503" s="554"/>
      <c r="CF1503" s="554"/>
      <c r="CG1503" s="554"/>
      <c r="CH1503" s="550"/>
      <c r="CI1503" s="554"/>
      <c r="CJ1503" s="554"/>
      <c r="CK1503" s="554"/>
      <c r="CL1503" s="554"/>
      <c r="CM1503" s="554"/>
      <c r="CN1503" s="554"/>
      <c r="CO1503" s="554"/>
      <c r="CP1503" s="619"/>
      <c r="CQ1503" s="619"/>
      <c r="CR1503" s="554"/>
      <c r="CS1503" s="554"/>
      <c r="CT1503" s="554"/>
      <c r="CU1503" s="554">
        <f t="shared" si="583"/>
        <v>0</v>
      </c>
      <c r="CV1503" s="554">
        <v>0</v>
      </c>
      <c r="CW1503" s="554">
        <v>0</v>
      </c>
      <c r="CX1503" s="619"/>
      <c r="CY1503" s="619"/>
      <c r="CZ1503" s="619"/>
      <c r="DA1503" s="619"/>
      <c r="DB1503" s="619"/>
      <c r="DC1503" s="619"/>
      <c r="DD1503" s="619"/>
      <c r="DE1503" s="619"/>
      <c r="DF1503" s="619"/>
      <c r="DG1503" s="619"/>
      <c r="DH1503" s="619"/>
      <c r="DI1503" s="554"/>
    </row>
    <row r="1504" s="550" customFormat="1" ht="31" customHeight="1" spans="1:113">
      <c r="A1504" s="608">
        <v>46142</v>
      </c>
      <c r="B1504" s="609" t="s">
        <v>1800</v>
      </c>
      <c r="C1504" s="610" t="s">
        <v>744</v>
      </c>
      <c r="D1504" s="735">
        <v>4500204920</v>
      </c>
      <c r="E1504" s="613">
        <v>5000002195</v>
      </c>
      <c r="F1504" s="554" t="s">
        <v>4287</v>
      </c>
      <c r="G1504" s="610" t="s">
        <v>6337</v>
      </c>
      <c r="H1504" s="610" t="s">
        <v>477</v>
      </c>
      <c r="I1504" s="715">
        <v>6204</v>
      </c>
      <c r="J1504" s="610">
        <v>0</v>
      </c>
      <c r="K1504" s="610">
        <v>6</v>
      </c>
      <c r="L1504" s="611">
        <f t="shared" si="573"/>
        <v>1034</v>
      </c>
      <c r="M1504" s="612">
        <v>46192</v>
      </c>
      <c r="N1504" s="612">
        <v>46188</v>
      </c>
      <c r="O1504" s="613"/>
      <c r="P1504" s="610" t="s">
        <v>113</v>
      </c>
      <c r="Q1504" s="614"/>
      <c r="R1504" s="614" t="s">
        <v>9676</v>
      </c>
      <c r="S1504" s="614" t="s">
        <v>104</v>
      </c>
      <c r="T1504" s="614" t="s">
        <v>2239</v>
      </c>
      <c r="U1504" s="614"/>
      <c r="V1504" s="614"/>
      <c r="W1504" s="573"/>
      <c r="X1504" s="609" t="s">
        <v>9677</v>
      </c>
      <c r="Y1504" s="616" t="s">
        <v>1805</v>
      </c>
      <c r="Z1504" s="609">
        <v>6.6361</v>
      </c>
      <c r="AA1504" s="616">
        <f t="shared" si="581"/>
        <v>41170.3644</v>
      </c>
      <c r="AC1504" s="697"/>
      <c r="AD1504" s="610" t="s">
        <v>2241</v>
      </c>
      <c r="AE1504" s="610" t="s">
        <v>82</v>
      </c>
      <c r="AF1504" s="610"/>
      <c r="AG1504" s="610"/>
      <c r="AH1504" s="609"/>
      <c r="AI1504" s="765">
        <v>6204</v>
      </c>
      <c r="AJ1504" s="610">
        <f t="shared" si="582"/>
        <v>0</v>
      </c>
      <c r="AK1504" s="613"/>
      <c r="AL1504" s="610" t="s">
        <v>2368</v>
      </c>
      <c r="AM1504" s="610"/>
      <c r="AN1504" s="554"/>
      <c r="AO1504" s="554">
        <f>I1504*2</f>
        <v>12408</v>
      </c>
      <c r="AP1504" s="554"/>
      <c r="AQ1504" s="554"/>
      <c r="AR1504" s="619"/>
      <c r="AS1504" s="554"/>
      <c r="AT1504" s="554">
        <f>I1504*2</f>
        <v>12408</v>
      </c>
      <c r="AU1504" s="554"/>
      <c r="AV1504" s="554"/>
      <c r="AW1504" s="554"/>
      <c r="AX1504" s="554">
        <f>I1504*2</f>
        <v>12408</v>
      </c>
      <c r="AY1504" s="554"/>
      <c r="AZ1504" s="554"/>
      <c r="BA1504" s="714">
        <f>I1504/24*2</f>
        <v>517</v>
      </c>
      <c r="BB1504" s="620"/>
      <c r="BC1504" s="554"/>
      <c r="BD1504" s="554"/>
      <c r="BE1504" s="554"/>
      <c r="BF1504" s="554"/>
      <c r="BG1504" s="550"/>
      <c r="BH1504" s="554"/>
      <c r="BI1504" s="554"/>
      <c r="BJ1504" s="554"/>
      <c r="BK1504" s="554"/>
      <c r="BL1504" s="554"/>
      <c r="BM1504" s="554"/>
      <c r="BN1504" s="554"/>
      <c r="BO1504" s="554"/>
      <c r="BP1504" s="554"/>
      <c r="BQ1504" s="554"/>
      <c r="BR1504" s="554"/>
      <c r="BS1504" s="554"/>
      <c r="BT1504" s="554"/>
      <c r="BU1504" s="554"/>
      <c r="BV1504" s="554"/>
      <c r="BW1504" s="554"/>
      <c r="BX1504" s="554"/>
      <c r="BY1504" s="554"/>
      <c r="BZ1504" s="554">
        <f>I1504</f>
        <v>6204</v>
      </c>
      <c r="CA1504" s="720"/>
      <c r="CB1504" s="555"/>
      <c r="CC1504" s="721"/>
      <c r="CD1504" s="554"/>
      <c r="CE1504" s="554"/>
      <c r="CF1504" s="554"/>
      <c r="CG1504" s="554"/>
      <c r="CH1504" s="550"/>
      <c r="CI1504" s="554"/>
      <c r="CJ1504" s="554"/>
      <c r="CK1504" s="554"/>
      <c r="CL1504" s="554"/>
      <c r="CM1504" s="554"/>
      <c r="CN1504" s="554"/>
      <c r="CO1504" s="554"/>
      <c r="CP1504" s="619"/>
      <c r="CQ1504" s="619"/>
      <c r="CR1504" s="554"/>
      <c r="CS1504" s="554"/>
      <c r="CT1504" s="554"/>
      <c r="CU1504" s="554">
        <f t="shared" si="583"/>
        <v>0</v>
      </c>
      <c r="CV1504" s="554">
        <v>0</v>
      </c>
      <c r="CW1504" s="554">
        <v>0</v>
      </c>
      <c r="CX1504" s="619"/>
      <c r="CY1504" s="619"/>
      <c r="CZ1504" s="619"/>
      <c r="DA1504" s="619"/>
      <c r="DB1504" s="619"/>
      <c r="DC1504" s="619"/>
      <c r="DD1504" s="619"/>
      <c r="DE1504" s="619"/>
      <c r="DF1504" s="619"/>
      <c r="DG1504" s="619"/>
      <c r="DH1504" s="619"/>
      <c r="DI1504" s="554"/>
    </row>
    <row r="1505" s="552" customFormat="1" ht="31" customHeight="1" spans="1:113">
      <c r="A1505" s="778">
        <v>46132</v>
      </c>
      <c r="B1505" s="779" t="s">
        <v>2651</v>
      </c>
      <c r="C1505" s="780" t="s">
        <v>302</v>
      </c>
      <c r="D1505" s="781">
        <v>4500202844</v>
      </c>
      <c r="E1505" s="782">
        <v>5200009653</v>
      </c>
      <c r="F1505" s="783" t="s">
        <v>9678</v>
      </c>
      <c r="G1505" s="780" t="s">
        <v>6120</v>
      </c>
      <c r="H1505" s="780" t="s">
        <v>6094</v>
      </c>
      <c r="I1505" s="784">
        <v>19825</v>
      </c>
      <c r="J1505" s="780">
        <v>0</v>
      </c>
      <c r="K1505" s="780">
        <v>13</v>
      </c>
      <c r="L1505" s="785">
        <f t="shared" si="573"/>
        <v>1525</v>
      </c>
      <c r="M1505" s="786">
        <v>46183</v>
      </c>
      <c r="N1505" s="786">
        <v>46179</v>
      </c>
      <c r="O1505" s="782"/>
      <c r="P1505" s="780" t="s">
        <v>9334</v>
      </c>
      <c r="Q1505" s="787" t="s">
        <v>4305</v>
      </c>
      <c r="R1505" s="787">
        <v>46151</v>
      </c>
      <c r="S1505" s="787" t="s">
        <v>70</v>
      </c>
      <c r="T1505" s="787" t="s">
        <v>9679</v>
      </c>
      <c r="U1505" s="787"/>
      <c r="V1505" s="787"/>
      <c r="W1505" s="788"/>
      <c r="X1505" s="779" t="s">
        <v>9680</v>
      </c>
      <c r="Y1505" s="789" t="s">
        <v>305</v>
      </c>
      <c r="Z1505" s="779">
        <v>0.882</v>
      </c>
      <c r="AA1505" s="789">
        <f t="shared" si="581"/>
        <v>17485.65</v>
      </c>
      <c r="AC1505" s="790"/>
      <c r="AD1505" s="780" t="s">
        <v>6093</v>
      </c>
      <c r="AE1505" s="780" t="s">
        <v>82</v>
      </c>
      <c r="AF1505" s="780"/>
      <c r="AG1505" s="780"/>
      <c r="AH1505" s="779"/>
      <c r="AI1505" s="791">
        <v>19825</v>
      </c>
      <c r="AJ1505" s="780">
        <f t="shared" si="582"/>
        <v>0</v>
      </c>
      <c r="AK1505" s="782"/>
      <c r="AL1505" s="780" t="s">
        <v>2368</v>
      </c>
      <c r="AM1505" s="780"/>
      <c r="AN1505" s="783"/>
      <c r="AO1505" s="783">
        <f>I1505</f>
        <v>19825</v>
      </c>
      <c r="AP1505" s="783"/>
      <c r="AQ1505" s="783"/>
      <c r="AR1505" s="783"/>
      <c r="AS1505" s="783"/>
      <c r="AT1505" s="783">
        <f>I1505</f>
        <v>19825</v>
      </c>
      <c r="AU1505" s="783"/>
      <c r="AV1505" s="783">
        <f>I1505</f>
        <v>19825</v>
      </c>
      <c r="AW1505" s="783"/>
      <c r="AX1505" s="792"/>
      <c r="AY1505" s="783"/>
      <c r="AZ1505" s="783"/>
      <c r="BA1505" s="783"/>
      <c r="BB1505" s="793">
        <f>I1505/24</f>
        <v>826.041666666667</v>
      </c>
      <c r="BC1505" s="783"/>
      <c r="BD1505" s="783"/>
      <c r="BE1505" s="783"/>
      <c r="BF1505" s="783"/>
      <c r="BG1505" s="552"/>
      <c r="BH1505" s="783"/>
      <c r="BI1505" s="783"/>
      <c r="BJ1505" s="783"/>
      <c r="BK1505" s="783"/>
      <c r="BL1505" s="783"/>
      <c r="BM1505" s="783">
        <f>I1505/13</f>
        <v>1525</v>
      </c>
      <c r="BN1505" s="783"/>
      <c r="BO1505" s="783"/>
      <c r="BP1505" s="783"/>
      <c r="BQ1505" s="783"/>
      <c r="BR1505" s="783"/>
      <c r="BS1505" s="783"/>
      <c r="BT1505" s="783"/>
      <c r="BU1505" s="783"/>
      <c r="BV1505" s="783"/>
      <c r="BW1505" s="783"/>
      <c r="BX1505" s="783"/>
      <c r="BY1505" s="783"/>
      <c r="BZ1505" s="783"/>
      <c r="CA1505" s="794"/>
      <c r="CB1505" s="795"/>
      <c r="CC1505" s="796"/>
      <c r="CD1505" s="783"/>
      <c r="CE1505" s="783"/>
      <c r="CF1505" s="783"/>
      <c r="CG1505" s="783"/>
      <c r="CH1505" s="552"/>
      <c r="CI1505" s="783"/>
      <c r="CJ1505" s="783"/>
      <c r="CK1505" s="783"/>
      <c r="CL1505" s="783"/>
      <c r="CM1505" s="783"/>
      <c r="CN1505" s="783"/>
      <c r="CO1505" s="783"/>
      <c r="CP1505" s="797"/>
      <c r="CQ1505" s="797"/>
      <c r="CR1505" s="797"/>
      <c r="CS1505" s="797"/>
      <c r="CT1505" s="797"/>
      <c r="CU1505" s="783">
        <f t="shared" si="583"/>
        <v>0</v>
      </c>
      <c r="CV1505" s="783">
        <f>CK1505+CL1505+CM1505+CN1505+CO1505+CQ1505+CP1505</f>
        <v>0</v>
      </c>
      <c r="CW1505" s="783">
        <f>CI1505+CJ1505</f>
        <v>0</v>
      </c>
      <c r="CX1505" s="797"/>
      <c r="CY1505" s="797"/>
      <c r="CZ1505" s="797"/>
      <c r="DA1505" s="797"/>
      <c r="DB1505" s="797"/>
      <c r="DC1505" s="797"/>
      <c r="DD1505" s="797"/>
      <c r="DE1505" s="797"/>
      <c r="DF1505" s="797"/>
      <c r="DG1505" s="797"/>
      <c r="DH1505" s="797"/>
      <c r="DI1505" s="783"/>
    </row>
    <row r="1506" s="552" customFormat="1" ht="31" customHeight="1" spans="1:113">
      <c r="A1506" s="778">
        <v>46139</v>
      </c>
      <c r="B1506" s="779" t="s">
        <v>1906</v>
      </c>
      <c r="C1506" s="780" t="s">
        <v>154</v>
      </c>
      <c r="D1506" s="781">
        <v>4500204363</v>
      </c>
      <c r="E1506" s="782">
        <v>5200009772</v>
      </c>
      <c r="F1506" s="783" t="s">
        <v>9681</v>
      </c>
      <c r="G1506" s="780" t="s">
        <v>6120</v>
      </c>
      <c r="H1506" s="780" t="s">
        <v>6094</v>
      </c>
      <c r="I1506" s="784">
        <v>6500</v>
      </c>
      <c r="J1506" s="780">
        <v>0</v>
      </c>
      <c r="K1506" s="780">
        <v>13</v>
      </c>
      <c r="L1506" s="785">
        <f t="shared" si="573"/>
        <v>500</v>
      </c>
      <c r="M1506" s="786">
        <v>46185</v>
      </c>
      <c r="N1506" s="786">
        <v>46181</v>
      </c>
      <c r="O1506" s="782"/>
      <c r="P1506" s="780" t="s">
        <v>9334</v>
      </c>
      <c r="Q1506" s="787">
        <v>46185</v>
      </c>
      <c r="R1506" s="787">
        <v>46154</v>
      </c>
      <c r="S1506" s="787" t="s">
        <v>70</v>
      </c>
      <c r="T1506" s="787" t="s">
        <v>9682</v>
      </c>
      <c r="U1506" s="787"/>
      <c r="V1506" s="787"/>
      <c r="W1506" s="788"/>
      <c r="X1506" s="779" t="s">
        <v>9683</v>
      </c>
      <c r="Y1506" s="789" t="s">
        <v>3894</v>
      </c>
      <c r="Z1506" s="779">
        <v>0.9064</v>
      </c>
      <c r="AA1506" s="789">
        <f t="shared" si="581"/>
        <v>5891.6</v>
      </c>
      <c r="AC1506" s="790"/>
      <c r="AD1506" s="780" t="s">
        <v>6093</v>
      </c>
      <c r="AE1506" s="780" t="s">
        <v>82</v>
      </c>
      <c r="AF1506" s="780"/>
      <c r="AG1506" s="780"/>
      <c r="AH1506" s="779"/>
      <c r="AI1506" s="791">
        <v>6500</v>
      </c>
      <c r="AJ1506" s="780">
        <f t="shared" si="582"/>
        <v>0</v>
      </c>
      <c r="AK1506" s="782"/>
      <c r="AL1506" s="780" t="s">
        <v>2368</v>
      </c>
      <c r="AM1506" s="780"/>
      <c r="AN1506" s="783"/>
      <c r="AO1506" s="783">
        <f>I1506</f>
        <v>6500</v>
      </c>
      <c r="AP1506" s="783"/>
      <c r="AQ1506" s="783"/>
      <c r="AR1506" s="797"/>
      <c r="AS1506" s="783"/>
      <c r="AT1506" s="783">
        <f>I1506</f>
        <v>6500</v>
      </c>
      <c r="AU1506" s="783"/>
      <c r="AV1506" s="783">
        <f>I1506</f>
        <v>6500</v>
      </c>
      <c r="AW1506" s="783"/>
      <c r="AX1506" s="792"/>
      <c r="AY1506" s="783"/>
      <c r="AZ1506" s="783"/>
      <c r="BA1506" s="783"/>
      <c r="BB1506" s="793">
        <f>I1506/24</f>
        <v>270.833333333333</v>
      </c>
      <c r="BC1506" s="783"/>
      <c r="BD1506" s="783"/>
      <c r="BE1506" s="783"/>
      <c r="BF1506" s="783"/>
      <c r="BG1506" s="552"/>
      <c r="BH1506" s="783"/>
      <c r="BI1506" s="783"/>
      <c r="BJ1506" s="783"/>
      <c r="BK1506" s="783"/>
      <c r="BL1506" s="783"/>
      <c r="BM1506" s="783">
        <f>I1506/13</f>
        <v>500</v>
      </c>
      <c r="BN1506" s="783"/>
      <c r="BO1506" s="783"/>
      <c r="BP1506" s="783"/>
      <c r="BQ1506" s="783"/>
      <c r="BR1506" s="783"/>
      <c r="BS1506" s="783"/>
      <c r="BT1506" s="783"/>
      <c r="BU1506" s="783"/>
      <c r="BV1506" s="783"/>
      <c r="BW1506" s="783"/>
      <c r="BX1506" s="783"/>
      <c r="BY1506" s="783"/>
      <c r="BZ1506" s="783"/>
      <c r="CA1506" s="794"/>
      <c r="CB1506" s="795"/>
      <c r="CC1506" s="796"/>
      <c r="CD1506" s="783"/>
      <c r="CE1506" s="783"/>
      <c r="CF1506" s="783"/>
      <c r="CG1506" s="783"/>
      <c r="CH1506" s="552"/>
      <c r="CI1506" s="783"/>
      <c r="CJ1506" s="783"/>
      <c r="CK1506" s="783"/>
      <c r="CL1506" s="783"/>
      <c r="CM1506" s="783"/>
      <c r="CN1506" s="783"/>
      <c r="CO1506" s="783"/>
      <c r="CP1506" s="797"/>
      <c r="CQ1506" s="797"/>
      <c r="CR1506" s="783"/>
      <c r="CS1506" s="783"/>
      <c r="CT1506" s="783"/>
      <c r="CU1506" s="783">
        <f t="shared" si="583"/>
        <v>0</v>
      </c>
      <c r="CV1506" s="783">
        <f>CK1506+CL1506+CM1506+CN1506+CO1506+CQ1506+CP1506</f>
        <v>0</v>
      </c>
      <c r="CW1506" s="783">
        <f>CI1506+CJ1506</f>
        <v>0</v>
      </c>
      <c r="CX1506" s="797"/>
      <c r="CY1506" s="797"/>
      <c r="CZ1506" s="797"/>
      <c r="DA1506" s="797"/>
      <c r="DB1506" s="797"/>
      <c r="DC1506" s="797"/>
      <c r="DD1506" s="797"/>
      <c r="DE1506" s="797"/>
      <c r="DF1506" s="797"/>
      <c r="DG1506" s="797"/>
      <c r="DH1506" s="797"/>
      <c r="DI1506" s="783"/>
    </row>
    <row r="1507" s="552" customFormat="1" ht="31" customHeight="1" spans="1:113">
      <c r="A1507" s="778">
        <v>46126</v>
      </c>
      <c r="B1507" s="779" t="s">
        <v>3340</v>
      </c>
      <c r="C1507" s="780" t="s">
        <v>98</v>
      </c>
      <c r="D1507" s="783">
        <v>4500201725</v>
      </c>
      <c r="E1507" s="780">
        <v>127317</v>
      </c>
      <c r="F1507" s="783" t="s">
        <v>9684</v>
      </c>
      <c r="G1507" s="780" t="s">
        <v>6787</v>
      </c>
      <c r="H1507" s="610" t="s">
        <v>6126</v>
      </c>
      <c r="I1507" s="784">
        <v>1404</v>
      </c>
      <c r="J1507" s="780">
        <v>0</v>
      </c>
      <c r="K1507" s="780">
        <v>12</v>
      </c>
      <c r="L1507" s="785">
        <f t="shared" si="573"/>
        <v>117</v>
      </c>
      <c r="M1507" s="786">
        <v>46184</v>
      </c>
      <c r="N1507" s="786">
        <v>46181</v>
      </c>
      <c r="O1507" s="782"/>
      <c r="P1507" s="782" t="s">
        <v>9433</v>
      </c>
      <c r="Q1507" s="787">
        <v>46187</v>
      </c>
      <c r="R1507" s="787">
        <v>46126</v>
      </c>
      <c r="S1507" s="787" t="s">
        <v>70</v>
      </c>
      <c r="T1507" s="787" t="s">
        <v>4147</v>
      </c>
      <c r="U1507" s="787"/>
      <c r="V1507" s="787"/>
      <c r="W1507" s="788"/>
      <c r="X1507" s="779" t="s">
        <v>9685</v>
      </c>
      <c r="Y1507" s="789" t="s">
        <v>3864</v>
      </c>
      <c r="Z1507" s="779">
        <v>1.3318</v>
      </c>
      <c r="AA1507" s="789">
        <f t="shared" si="581"/>
        <v>1869.8472</v>
      </c>
      <c r="AC1507" s="798" t="s">
        <v>9686</v>
      </c>
      <c r="AD1507" s="779" t="s">
        <v>8079</v>
      </c>
      <c r="AE1507" s="780" t="s">
        <v>82</v>
      </c>
      <c r="AF1507" s="780"/>
      <c r="AG1507" s="780"/>
      <c r="AH1507" s="779"/>
      <c r="AI1507" s="779">
        <v>1404</v>
      </c>
      <c r="AJ1507" s="780">
        <f t="shared" si="582"/>
        <v>0</v>
      </c>
      <c r="AK1507" s="782"/>
      <c r="AL1507" s="780" t="s">
        <v>2368</v>
      </c>
      <c r="AM1507" s="780"/>
      <c r="AN1507" s="780">
        <f>I1507*2</f>
        <v>2808</v>
      </c>
      <c r="AO1507" s="783"/>
      <c r="AP1507" s="783"/>
      <c r="AQ1507" s="783">
        <f>I1507*2</f>
        <v>2808</v>
      </c>
      <c r="AR1507" s="797"/>
      <c r="AS1507" s="783"/>
      <c r="AT1507" s="783"/>
      <c r="AU1507" s="783">
        <f>I1507*2</f>
        <v>2808</v>
      </c>
      <c r="AV1507" s="783"/>
      <c r="AW1507" s="783"/>
      <c r="AX1507" s="792"/>
      <c r="AY1507" s="783"/>
      <c r="AZ1507" s="783"/>
      <c r="BA1507" s="783"/>
      <c r="BB1507" s="793">
        <f>I1507/24*2</f>
        <v>117</v>
      </c>
      <c r="BC1507" s="783"/>
      <c r="BD1507" s="783"/>
      <c r="BE1507" s="783"/>
      <c r="BF1507" s="783"/>
      <c r="BG1507" s="552"/>
      <c r="BH1507" s="783"/>
      <c r="BI1507" s="783"/>
      <c r="BJ1507" s="783"/>
      <c r="BK1507" s="783"/>
      <c r="BL1507" s="783"/>
      <c r="BM1507" s="783"/>
      <c r="BN1507" s="783"/>
      <c r="BO1507" s="783"/>
      <c r="BP1507" s="783"/>
      <c r="BQ1507" s="783"/>
      <c r="BR1507" s="783"/>
      <c r="BS1507" s="783"/>
      <c r="BT1507" s="783"/>
      <c r="BU1507" s="783"/>
      <c r="BV1507" s="783"/>
      <c r="BW1507" s="783"/>
      <c r="BX1507" s="783"/>
      <c r="BY1507" s="783"/>
      <c r="BZ1507" s="783"/>
      <c r="CA1507" s="794"/>
      <c r="CB1507" s="795"/>
      <c r="CC1507" s="796"/>
      <c r="CD1507" s="783"/>
      <c r="CE1507" s="783"/>
      <c r="CF1507" s="783"/>
      <c r="CG1507" s="783"/>
      <c r="CH1507" s="552"/>
      <c r="CI1507" s="783"/>
      <c r="CJ1507" s="783"/>
      <c r="CK1507" s="783"/>
      <c r="CL1507" s="783"/>
      <c r="CM1507" s="783"/>
      <c r="CN1507" s="783"/>
      <c r="CO1507" s="783"/>
      <c r="CP1507" s="797"/>
      <c r="CQ1507" s="797"/>
      <c r="CR1507" s="783">
        <f>I1507</f>
        <v>1404</v>
      </c>
      <c r="CS1507" s="783">
        <f>I1507</f>
        <v>1404</v>
      </c>
      <c r="CT1507" s="783">
        <f>I1507</f>
        <v>1404</v>
      </c>
      <c r="CU1507" s="783">
        <f t="shared" si="583"/>
        <v>0</v>
      </c>
      <c r="CV1507" s="783">
        <v>0</v>
      </c>
      <c r="CW1507" s="783">
        <v>0</v>
      </c>
      <c r="CX1507" s="797"/>
      <c r="CY1507" s="797"/>
      <c r="CZ1507" s="797"/>
      <c r="DA1507" s="797"/>
      <c r="DB1507" s="797"/>
      <c r="DC1507" s="797"/>
      <c r="DD1507" s="797"/>
      <c r="DE1507" s="797"/>
      <c r="DF1507" s="797"/>
      <c r="DG1507" s="797"/>
      <c r="DH1507" s="797"/>
      <c r="DI1507" s="783"/>
    </row>
    <row r="1508" s="552" customFormat="1" ht="31" customHeight="1" spans="1:113">
      <c r="A1508" s="778">
        <v>46126</v>
      </c>
      <c r="B1508" s="779" t="s">
        <v>3340</v>
      </c>
      <c r="C1508" s="780" t="s">
        <v>98</v>
      </c>
      <c r="D1508" s="783">
        <v>4500201728</v>
      </c>
      <c r="E1508" s="780">
        <v>127330</v>
      </c>
      <c r="F1508" s="783" t="s">
        <v>9687</v>
      </c>
      <c r="G1508" s="780" t="s">
        <v>6787</v>
      </c>
      <c r="H1508" s="610" t="s">
        <v>6126</v>
      </c>
      <c r="I1508" s="784">
        <v>1596</v>
      </c>
      <c r="J1508" s="780">
        <v>0</v>
      </c>
      <c r="K1508" s="780">
        <v>12</v>
      </c>
      <c r="L1508" s="785">
        <f t="shared" si="573"/>
        <v>133</v>
      </c>
      <c r="M1508" s="786">
        <v>46184</v>
      </c>
      <c r="N1508" s="786">
        <v>46181</v>
      </c>
      <c r="O1508" s="782"/>
      <c r="P1508" s="782" t="s">
        <v>9433</v>
      </c>
      <c r="Q1508" s="787">
        <v>46187</v>
      </c>
      <c r="R1508" s="787">
        <v>46126</v>
      </c>
      <c r="S1508" s="787" t="s">
        <v>70</v>
      </c>
      <c r="T1508" s="787" t="s">
        <v>4147</v>
      </c>
      <c r="U1508" s="787"/>
      <c r="V1508" s="787"/>
      <c r="W1508" s="788"/>
      <c r="X1508" s="779" t="s">
        <v>9688</v>
      </c>
      <c r="Y1508" s="789" t="s">
        <v>3864</v>
      </c>
      <c r="Z1508" s="779">
        <v>1.3318</v>
      </c>
      <c r="AA1508" s="789">
        <f t="shared" si="581"/>
        <v>2125.5528</v>
      </c>
      <c r="AC1508" s="798" t="s">
        <v>9689</v>
      </c>
      <c r="AD1508" s="779" t="s">
        <v>8079</v>
      </c>
      <c r="AE1508" s="780" t="s">
        <v>82</v>
      </c>
      <c r="AF1508" s="780"/>
      <c r="AG1508" s="780"/>
      <c r="AH1508" s="779"/>
      <c r="AI1508" s="779">
        <v>1596</v>
      </c>
      <c r="AJ1508" s="780">
        <f t="shared" si="582"/>
        <v>0</v>
      </c>
      <c r="AK1508" s="782"/>
      <c r="AL1508" s="780" t="s">
        <v>2368</v>
      </c>
      <c r="AM1508" s="780"/>
      <c r="AN1508" s="780">
        <f>I1508*2</f>
        <v>3192</v>
      </c>
      <c r="AO1508" s="783"/>
      <c r="AP1508" s="783"/>
      <c r="AQ1508" s="783">
        <f>I1508*2</f>
        <v>3192</v>
      </c>
      <c r="AR1508" s="797"/>
      <c r="AS1508" s="783"/>
      <c r="AT1508" s="783"/>
      <c r="AU1508" s="783">
        <f>I1508*2</f>
        <v>3192</v>
      </c>
      <c r="AV1508" s="783"/>
      <c r="AW1508" s="783"/>
      <c r="AX1508" s="792"/>
      <c r="AY1508" s="783"/>
      <c r="AZ1508" s="783"/>
      <c r="BA1508" s="783"/>
      <c r="BB1508" s="793">
        <f>I1508/24*2</f>
        <v>133</v>
      </c>
      <c r="BC1508" s="783"/>
      <c r="BD1508" s="783"/>
      <c r="BE1508" s="783"/>
      <c r="BF1508" s="783"/>
      <c r="BG1508" s="552"/>
      <c r="BH1508" s="783"/>
      <c r="BI1508" s="783"/>
      <c r="BJ1508" s="783"/>
      <c r="BK1508" s="783"/>
      <c r="BL1508" s="783"/>
      <c r="BM1508" s="783"/>
      <c r="BN1508" s="783"/>
      <c r="BO1508" s="783"/>
      <c r="BP1508" s="783"/>
      <c r="BQ1508" s="783"/>
      <c r="BR1508" s="783"/>
      <c r="BS1508" s="783"/>
      <c r="BT1508" s="783"/>
      <c r="BU1508" s="783"/>
      <c r="BV1508" s="783"/>
      <c r="BW1508" s="783"/>
      <c r="BX1508" s="783"/>
      <c r="BY1508" s="783"/>
      <c r="BZ1508" s="783"/>
      <c r="CA1508" s="794"/>
      <c r="CB1508" s="795"/>
      <c r="CC1508" s="796"/>
      <c r="CD1508" s="783"/>
      <c r="CE1508" s="783"/>
      <c r="CF1508" s="783"/>
      <c r="CG1508" s="783"/>
      <c r="CH1508" s="552"/>
      <c r="CI1508" s="783"/>
      <c r="CJ1508" s="783"/>
      <c r="CK1508" s="783"/>
      <c r="CL1508" s="783"/>
      <c r="CM1508" s="783"/>
      <c r="CN1508" s="783"/>
      <c r="CO1508" s="783"/>
      <c r="CP1508" s="797"/>
      <c r="CQ1508" s="797"/>
      <c r="CR1508" s="783">
        <f>I1508</f>
        <v>1596</v>
      </c>
      <c r="CS1508" s="783">
        <f>I1508</f>
        <v>1596</v>
      </c>
      <c r="CT1508" s="783">
        <f>I1508</f>
        <v>1596</v>
      </c>
      <c r="CU1508" s="783">
        <f t="shared" si="583"/>
        <v>0</v>
      </c>
      <c r="CV1508" s="783">
        <v>0</v>
      </c>
      <c r="CW1508" s="783">
        <v>0</v>
      </c>
      <c r="CX1508" s="797"/>
      <c r="CY1508" s="797"/>
      <c r="CZ1508" s="797"/>
      <c r="DA1508" s="797"/>
      <c r="DB1508" s="797"/>
      <c r="DC1508" s="797"/>
      <c r="DD1508" s="797"/>
      <c r="DE1508" s="797"/>
      <c r="DF1508" s="797"/>
      <c r="DG1508" s="797"/>
      <c r="DH1508" s="797"/>
      <c r="DI1508" s="783"/>
    </row>
    <row r="1509" s="552" customFormat="1" ht="31" customHeight="1" spans="1:113">
      <c r="A1509" s="778">
        <v>46161</v>
      </c>
      <c r="B1509" s="779"/>
      <c r="C1509" s="780" t="s">
        <v>4137</v>
      </c>
      <c r="D1509" s="799" t="s">
        <v>9690</v>
      </c>
      <c r="E1509" s="780"/>
      <c r="F1509" s="783" t="s">
        <v>9691</v>
      </c>
      <c r="G1509" s="780" t="s">
        <v>6025</v>
      </c>
      <c r="H1509" s="780" t="s">
        <v>6026</v>
      </c>
      <c r="I1509" s="784">
        <v>1200</v>
      </c>
      <c r="J1509" s="780">
        <v>0</v>
      </c>
      <c r="K1509" s="780">
        <v>24</v>
      </c>
      <c r="L1509" s="785">
        <f t="shared" si="573"/>
        <v>50</v>
      </c>
      <c r="M1509" s="786">
        <v>46184</v>
      </c>
      <c r="N1509" s="786">
        <v>46181</v>
      </c>
      <c r="O1509" s="782"/>
      <c r="P1509" s="780" t="s">
        <v>9334</v>
      </c>
      <c r="Q1509" s="787"/>
      <c r="R1509" s="787"/>
      <c r="S1509" s="787"/>
      <c r="T1509" s="787"/>
      <c r="U1509" s="787"/>
      <c r="V1509" s="787"/>
      <c r="W1509" s="788"/>
      <c r="X1509" s="779" t="s">
        <v>9692</v>
      </c>
      <c r="Y1509" s="789" t="s">
        <v>92</v>
      </c>
      <c r="Z1509" s="779"/>
      <c r="AA1509" s="789"/>
      <c r="AB1509" s="552"/>
      <c r="AC1509" s="790"/>
      <c r="AD1509" s="800" t="s">
        <v>6025</v>
      </c>
      <c r="AE1509" s="780" t="s">
        <v>82</v>
      </c>
      <c r="AF1509" s="780"/>
      <c r="AG1509" s="780"/>
      <c r="AH1509" s="779"/>
      <c r="AI1509" s="791">
        <v>1200</v>
      </c>
      <c r="AJ1509" s="780">
        <f t="shared" si="582"/>
        <v>0</v>
      </c>
      <c r="AK1509" s="782"/>
      <c r="AL1509" s="780"/>
      <c r="AM1509" s="780"/>
      <c r="AN1509" s="783"/>
      <c r="AO1509" s="783">
        <f>I1509</f>
        <v>1200</v>
      </c>
      <c r="AP1509" s="783"/>
      <c r="AQ1509" s="783"/>
      <c r="AR1509" s="797"/>
      <c r="AS1509" s="783"/>
      <c r="AT1509" s="783">
        <f>I1509</f>
        <v>1200</v>
      </c>
      <c r="AU1509" s="783"/>
      <c r="AV1509" s="783">
        <f>I1509</f>
        <v>1200</v>
      </c>
      <c r="AW1509" s="783"/>
      <c r="AX1509" s="792"/>
      <c r="AY1509" s="783"/>
      <c r="AZ1509" s="783"/>
      <c r="BA1509" s="783"/>
      <c r="BB1509" s="793">
        <f>I1509/24</f>
        <v>50</v>
      </c>
      <c r="BC1509" s="783"/>
      <c r="BD1509" s="783"/>
      <c r="BE1509" s="783"/>
      <c r="BF1509" s="783"/>
      <c r="BG1509" s="552"/>
      <c r="BH1509" s="783"/>
      <c r="BI1509" s="783"/>
      <c r="BJ1509" s="783"/>
      <c r="BK1509" s="783"/>
      <c r="BL1509" s="783"/>
      <c r="BM1509" s="783"/>
      <c r="BN1509" s="783"/>
      <c r="BO1509" s="783"/>
      <c r="BP1509" s="783"/>
      <c r="BQ1509" s="783"/>
      <c r="BR1509" s="783"/>
      <c r="BS1509" s="783"/>
      <c r="BT1509" s="783"/>
      <c r="BU1509" s="783"/>
      <c r="BV1509" s="783"/>
      <c r="BW1509" s="783"/>
      <c r="BX1509" s="783"/>
      <c r="BY1509" s="783"/>
      <c r="BZ1509" s="783"/>
      <c r="CA1509" s="794"/>
      <c r="CB1509" s="795"/>
      <c r="CC1509" s="796"/>
      <c r="CD1509" s="783"/>
      <c r="CE1509" s="783"/>
      <c r="CF1509" s="783"/>
      <c r="CG1509" s="783"/>
      <c r="CH1509" s="552"/>
      <c r="CI1509" s="783"/>
      <c r="CJ1509" s="783"/>
      <c r="CK1509" s="783"/>
      <c r="CL1509" s="783"/>
      <c r="CM1509" s="783"/>
      <c r="CN1509" s="783"/>
      <c r="CO1509" s="783"/>
      <c r="CP1509" s="797"/>
      <c r="CQ1509" s="797"/>
      <c r="CR1509" s="783"/>
      <c r="CS1509" s="783"/>
      <c r="CT1509" s="783"/>
      <c r="CU1509" s="783">
        <f t="shared" si="583"/>
        <v>0</v>
      </c>
      <c r="CV1509" s="783">
        <f>CK1509+CL1509+CM1509+CN1509+CO1509+CQ1509+CP1509</f>
        <v>0</v>
      </c>
      <c r="CW1509" s="783">
        <f>CI1509+CJ1509</f>
        <v>0</v>
      </c>
      <c r="CX1509" s="801"/>
      <c r="CY1509" s="801"/>
      <c r="CZ1509" s="801"/>
      <c r="DA1509" s="801"/>
      <c r="DB1509" s="801"/>
      <c r="DC1509" s="801"/>
      <c r="DD1509" s="801"/>
      <c r="DE1509" s="801"/>
      <c r="DF1509" s="801"/>
      <c r="DG1509" s="801"/>
      <c r="DH1509" s="801"/>
    </row>
    <row r="1510" s="552" customFormat="1" ht="31" customHeight="1" spans="1:113">
      <c r="A1510" s="778">
        <v>46137</v>
      </c>
      <c r="B1510" s="779" t="s">
        <v>4260</v>
      </c>
      <c r="C1510" s="780" t="s">
        <v>524</v>
      </c>
      <c r="D1510" s="802">
        <v>4500201981</v>
      </c>
      <c r="E1510" s="782">
        <v>17369082</v>
      </c>
      <c r="F1510" s="783" t="s">
        <v>9693</v>
      </c>
      <c r="G1510" s="780" t="s">
        <v>6079</v>
      </c>
      <c r="H1510" s="780" t="s">
        <v>6080</v>
      </c>
      <c r="I1510" s="784">
        <v>2220</v>
      </c>
      <c r="J1510" s="780">
        <v>0</v>
      </c>
      <c r="K1510" s="780">
        <v>60</v>
      </c>
      <c r="L1510" s="785">
        <f t="shared" si="573"/>
        <v>37</v>
      </c>
      <c r="M1510" s="786">
        <v>46185</v>
      </c>
      <c r="N1510" s="786">
        <v>46181</v>
      </c>
      <c r="O1510" s="782"/>
      <c r="P1510" s="780" t="s">
        <v>9334</v>
      </c>
      <c r="Q1510" s="787"/>
      <c r="R1510" s="787">
        <v>46154</v>
      </c>
      <c r="S1510" s="787" t="s">
        <v>70</v>
      </c>
      <c r="T1510" s="787" t="s">
        <v>9694</v>
      </c>
      <c r="U1510" s="787"/>
      <c r="V1510" s="787"/>
      <c r="W1510" s="788"/>
      <c r="X1510" s="779" t="s">
        <v>9695</v>
      </c>
      <c r="Y1510" s="789" t="s">
        <v>340</v>
      </c>
      <c r="Z1510" s="779">
        <v>70.3566</v>
      </c>
      <c r="AA1510" s="789">
        <f>Z1510*L1510</f>
        <v>2603.1942</v>
      </c>
      <c r="AC1510" s="790"/>
      <c r="AD1510" s="780" t="s">
        <v>6079</v>
      </c>
      <c r="AE1510" s="780" t="s">
        <v>82</v>
      </c>
      <c r="AF1510" s="780"/>
      <c r="AG1510" s="780"/>
      <c r="AH1510" s="779"/>
      <c r="AI1510" s="779">
        <v>2220</v>
      </c>
      <c r="AJ1510" s="780">
        <f t="shared" si="582"/>
        <v>0</v>
      </c>
      <c r="AK1510" s="782"/>
      <c r="AL1510" s="780" t="s">
        <v>2368</v>
      </c>
      <c r="AM1510" s="780"/>
      <c r="AN1510" s="783"/>
      <c r="AO1510" s="783">
        <f>I1510</f>
        <v>2220</v>
      </c>
      <c r="AP1510" s="783"/>
      <c r="AQ1510" s="783"/>
      <c r="AR1510" s="797"/>
      <c r="AS1510" s="783"/>
      <c r="AT1510" s="783">
        <f>I1510</f>
        <v>2220</v>
      </c>
      <c r="AU1510" s="783"/>
      <c r="AV1510" s="783">
        <f>I1510</f>
        <v>2220</v>
      </c>
      <c r="AW1510" s="783"/>
      <c r="AX1510" s="792"/>
      <c r="AY1510" s="783"/>
      <c r="AZ1510" s="783"/>
      <c r="BA1510" s="783"/>
      <c r="BB1510" s="793">
        <f>I1510/24</f>
        <v>92.5</v>
      </c>
      <c r="BC1510" s="783"/>
      <c r="BD1510" s="783"/>
      <c r="BE1510" s="783"/>
      <c r="BF1510" s="783"/>
      <c r="BG1510" s="552"/>
      <c r="BH1510" s="783"/>
      <c r="BI1510" s="783"/>
      <c r="BJ1510" s="783"/>
      <c r="BK1510" s="783"/>
      <c r="BL1510" s="783"/>
      <c r="BM1510" s="783"/>
      <c r="BN1510" s="783"/>
      <c r="BO1510" s="783"/>
      <c r="BP1510" s="783"/>
      <c r="BQ1510" s="783"/>
      <c r="BR1510" s="783"/>
      <c r="BS1510" s="783"/>
      <c r="BT1510" s="783"/>
      <c r="BU1510" s="783"/>
      <c r="BV1510" s="783"/>
      <c r="BW1510" s="783"/>
      <c r="BX1510" s="783"/>
      <c r="BY1510" s="783"/>
      <c r="BZ1510" s="783"/>
      <c r="CA1510" s="794"/>
      <c r="CB1510" s="795"/>
      <c r="CC1510" s="796"/>
      <c r="CD1510" s="783"/>
      <c r="CE1510" s="783"/>
      <c r="CF1510" s="783"/>
      <c r="CG1510" s="783"/>
      <c r="CH1510" s="552"/>
      <c r="CI1510" s="783"/>
      <c r="CJ1510" s="783"/>
      <c r="CK1510" s="783"/>
      <c r="CL1510" s="783">
        <f>L1510</f>
        <v>37</v>
      </c>
      <c r="CM1510" s="783"/>
      <c r="CN1510" s="783"/>
      <c r="CO1510" s="783"/>
      <c r="CP1510" s="783"/>
      <c r="CQ1510" s="797"/>
      <c r="CR1510" s="783"/>
      <c r="CS1510" s="783"/>
      <c r="CT1510" s="783"/>
      <c r="CU1510" s="783">
        <f t="shared" si="583"/>
        <v>0</v>
      </c>
      <c r="CV1510" s="783">
        <f>CK1510+CL1510+CM1510+CN1510+CO1510+CQ1510+CP1510</f>
        <v>37</v>
      </c>
      <c r="CW1510" s="783">
        <f>CI1510+CJ1510</f>
        <v>0</v>
      </c>
      <c r="CX1510" s="797"/>
      <c r="CY1510" s="797"/>
      <c r="CZ1510" s="797"/>
      <c r="DA1510" s="797"/>
      <c r="DB1510" s="797"/>
      <c r="DC1510" s="797"/>
      <c r="DD1510" s="797"/>
      <c r="DE1510" s="797"/>
      <c r="DF1510" s="797"/>
      <c r="DG1510" s="797"/>
      <c r="DH1510" s="797"/>
    </row>
    <row r="1511" s="552" customFormat="1" ht="31" customHeight="1" spans="1:113">
      <c r="A1511" s="778">
        <v>46133</v>
      </c>
      <c r="B1511" s="779" t="s">
        <v>1544</v>
      </c>
      <c r="C1511" s="780" t="s">
        <v>257</v>
      </c>
      <c r="D1511" s="803">
        <v>4500203128</v>
      </c>
      <c r="E1511" s="804">
        <v>4400568720</v>
      </c>
      <c r="F1511" s="783" t="s">
        <v>9696</v>
      </c>
      <c r="G1511" s="780" t="s">
        <v>6047</v>
      </c>
      <c r="H1511" s="780" t="s">
        <v>6069</v>
      </c>
      <c r="I1511" s="784">
        <v>4000</v>
      </c>
      <c r="J1511" s="780">
        <v>0</v>
      </c>
      <c r="K1511" s="780">
        <v>25</v>
      </c>
      <c r="L1511" s="785">
        <f t="shared" si="573"/>
        <v>160</v>
      </c>
      <c r="M1511" s="786">
        <v>46176</v>
      </c>
      <c r="N1511" s="805">
        <v>46184</v>
      </c>
      <c r="O1511" s="782"/>
      <c r="P1511" s="806" t="s">
        <v>9334</v>
      </c>
      <c r="Q1511" s="787">
        <v>46190</v>
      </c>
      <c r="R1511" s="787">
        <v>46160</v>
      </c>
      <c r="S1511" s="787" t="s">
        <v>70</v>
      </c>
      <c r="T1511" s="787" t="s">
        <v>8294</v>
      </c>
      <c r="U1511" s="787"/>
      <c r="V1511" s="787"/>
      <c r="W1511" s="788"/>
      <c r="X1511" s="779" t="s">
        <v>9624</v>
      </c>
      <c r="Y1511" s="789" t="s">
        <v>1549</v>
      </c>
      <c r="Z1511" s="779">
        <v>0.9756</v>
      </c>
      <c r="AA1511" s="789">
        <f>Z1511*I1511</f>
        <v>3902.4</v>
      </c>
      <c r="AC1511" s="790"/>
      <c r="AD1511" s="780" t="s">
        <v>6047</v>
      </c>
      <c r="AE1511" s="780" t="s">
        <v>82</v>
      </c>
      <c r="AF1511" s="780"/>
      <c r="AG1511" s="780"/>
      <c r="AH1511" s="779"/>
      <c r="AI1511" s="791">
        <v>4000</v>
      </c>
      <c r="AJ1511" s="780">
        <f t="shared" si="582"/>
        <v>0</v>
      </c>
      <c r="AK1511" s="782"/>
      <c r="AL1511" s="780" t="s">
        <v>2368</v>
      </c>
      <c r="AM1511" s="780"/>
      <c r="AN1511" s="783"/>
      <c r="AO1511" s="783">
        <f>I1511</f>
        <v>4000</v>
      </c>
      <c r="AP1511" s="783"/>
      <c r="AQ1511" s="783"/>
      <c r="AR1511" s="783"/>
      <c r="AS1511" s="783"/>
      <c r="AT1511" s="783">
        <f>I1511</f>
        <v>4000</v>
      </c>
      <c r="AU1511" s="783"/>
      <c r="AV1511" s="783">
        <f>I1511</f>
        <v>4000</v>
      </c>
      <c r="AW1511" s="783"/>
      <c r="AX1511" s="792"/>
      <c r="AY1511" s="783"/>
      <c r="AZ1511" s="783"/>
      <c r="BA1511" s="783"/>
      <c r="BB1511" s="793">
        <f>I1511/24</f>
        <v>166.666666666667</v>
      </c>
      <c r="BC1511" s="783"/>
      <c r="BD1511" s="783"/>
      <c r="BE1511" s="783"/>
      <c r="BF1511" s="783"/>
      <c r="BG1511" s="552"/>
      <c r="BH1511" s="783"/>
      <c r="BI1511" s="783"/>
      <c r="BJ1511" s="783"/>
      <c r="BK1511" s="783"/>
      <c r="BL1511" s="783"/>
      <c r="BM1511" s="783"/>
      <c r="BN1511" s="783"/>
      <c r="BO1511" s="783"/>
      <c r="BP1511" s="783">
        <f>I1511/25</f>
        <v>160</v>
      </c>
      <c r="BQ1511" s="783"/>
      <c r="BR1511" s="783"/>
      <c r="BS1511" s="783"/>
      <c r="BT1511" s="783"/>
      <c r="BU1511" s="783"/>
      <c r="BV1511" s="783"/>
      <c r="BW1511" s="783"/>
      <c r="BX1511" s="783"/>
      <c r="BY1511" s="783"/>
      <c r="BZ1511" s="783"/>
      <c r="CA1511" s="794"/>
      <c r="CB1511" s="795"/>
      <c r="CC1511" s="796"/>
      <c r="CD1511" s="783"/>
      <c r="CE1511" s="783"/>
      <c r="CF1511" s="783"/>
      <c r="CG1511" s="783"/>
      <c r="CH1511" s="552"/>
      <c r="CI1511" s="783"/>
      <c r="CJ1511" s="783"/>
      <c r="CK1511" s="783"/>
      <c r="CL1511" s="783"/>
      <c r="CM1511" s="783"/>
      <c r="CN1511" s="783"/>
      <c r="CO1511" s="783"/>
      <c r="CP1511" s="797"/>
      <c r="CQ1511" s="797"/>
      <c r="CR1511" s="797"/>
      <c r="CS1511" s="797"/>
      <c r="CT1511" s="797"/>
      <c r="CU1511" s="783">
        <f t="shared" si="583"/>
        <v>160</v>
      </c>
      <c r="CV1511" s="783">
        <f>CK1511+CL1511+CM1511+CN1511+CO1511+CQ1511+CP1511</f>
        <v>0</v>
      </c>
      <c r="CW1511" s="783">
        <f>CI1511+CJ1511</f>
        <v>0</v>
      </c>
      <c r="CX1511" s="797"/>
      <c r="CY1511" s="797"/>
      <c r="CZ1511" s="797"/>
      <c r="DA1511" s="797"/>
      <c r="DB1511" s="797"/>
      <c r="DC1511" s="797"/>
      <c r="DD1511" s="797"/>
      <c r="DE1511" s="797"/>
      <c r="DF1511" s="797"/>
      <c r="DG1511" s="797"/>
      <c r="DH1511" s="797"/>
    </row>
    <row r="1512" s="552" customFormat="1" ht="31" customHeight="1" spans="1:113">
      <c r="A1512" s="778">
        <v>46150</v>
      </c>
      <c r="B1512" s="779" t="s">
        <v>4371</v>
      </c>
      <c r="C1512" s="780" t="s">
        <v>98</v>
      </c>
      <c r="D1512" s="802">
        <v>4500205765</v>
      </c>
      <c r="E1512" s="782">
        <v>999666849</v>
      </c>
      <c r="F1512" s="783" t="s">
        <v>9697</v>
      </c>
      <c r="G1512" s="780" t="s">
        <v>6063</v>
      </c>
      <c r="H1512" s="780" t="s">
        <v>6064</v>
      </c>
      <c r="I1512" s="784">
        <v>22080</v>
      </c>
      <c r="J1512" s="780">
        <v>0</v>
      </c>
      <c r="K1512" s="780">
        <v>16</v>
      </c>
      <c r="L1512" s="785">
        <f t="shared" si="573"/>
        <v>1380</v>
      </c>
      <c r="M1512" s="786">
        <v>46188</v>
      </c>
      <c r="N1512" s="786">
        <v>46184</v>
      </c>
      <c r="O1512" s="807" t="s">
        <v>4375</v>
      </c>
      <c r="P1512" s="808" t="s">
        <v>9698</v>
      </c>
      <c r="Q1512" s="787">
        <v>46195</v>
      </c>
      <c r="R1512" s="787" t="s">
        <v>7064</v>
      </c>
      <c r="S1512" s="787" t="s">
        <v>70</v>
      </c>
      <c r="T1512" s="787" t="s">
        <v>9699</v>
      </c>
      <c r="U1512" s="787"/>
      <c r="V1512" s="787"/>
      <c r="W1512" s="788"/>
      <c r="X1512" s="779" t="s">
        <v>9700</v>
      </c>
      <c r="Y1512" s="789" t="s">
        <v>4378</v>
      </c>
      <c r="Z1512" s="779">
        <v>0.599</v>
      </c>
      <c r="AA1512" s="789">
        <f t="shared" ref="AA1512:AA1520" si="592">Z1512*I1512</f>
        <v>13225.92</v>
      </c>
      <c r="AC1512" s="809" t="s">
        <v>9701</v>
      </c>
      <c r="AD1512" s="780" t="s">
        <v>6063</v>
      </c>
      <c r="AE1512" s="780" t="s">
        <v>82</v>
      </c>
      <c r="AF1512" s="780"/>
      <c r="AG1512" s="780"/>
      <c r="AH1512" s="779"/>
      <c r="AI1512" s="779">
        <v>22080</v>
      </c>
      <c r="AJ1512" s="780">
        <f t="shared" ref="AJ1512:AJ1575" si="593">AI1512-I1512</f>
        <v>0</v>
      </c>
      <c r="AK1512" s="782"/>
      <c r="AL1512" s="780" t="s">
        <v>2368</v>
      </c>
      <c r="AM1512" s="780"/>
      <c r="AN1512" s="783">
        <f t="shared" ref="AN1512:AN1517" si="594">I1512</f>
        <v>22080</v>
      </c>
      <c r="AO1512" s="783"/>
      <c r="AP1512" s="783">
        <f t="shared" ref="AP1512:AP1517" si="595">I1512</f>
        <v>22080</v>
      </c>
      <c r="AQ1512" s="783"/>
      <c r="AR1512" s="797"/>
      <c r="AS1512" s="783"/>
      <c r="AT1512" s="783"/>
      <c r="AU1512" s="783">
        <f t="shared" ref="AU1512:AU1517" si="596">I1512</f>
        <v>22080</v>
      </c>
      <c r="AV1512" s="783"/>
      <c r="AW1512" s="783"/>
      <c r="AX1512" s="792"/>
      <c r="AY1512" s="783"/>
      <c r="AZ1512" s="783"/>
      <c r="BA1512" s="783"/>
      <c r="BB1512" s="793">
        <f t="shared" ref="BB1512:BB1519" si="597">I1512/24</f>
        <v>920</v>
      </c>
      <c r="BC1512" s="783"/>
      <c r="BD1512" s="783"/>
      <c r="BE1512" s="783"/>
      <c r="BF1512" s="783"/>
      <c r="BG1512" s="552"/>
      <c r="BH1512" s="783"/>
      <c r="BI1512" s="783"/>
      <c r="BJ1512" s="783"/>
      <c r="BK1512" s="783"/>
      <c r="BL1512" s="783"/>
      <c r="BM1512" s="783"/>
      <c r="BN1512" s="783"/>
      <c r="BO1512" s="783"/>
      <c r="BP1512" s="783"/>
      <c r="BQ1512" s="783">
        <f t="shared" ref="BQ1512:BQ1517" si="598">I1512/16</f>
        <v>1380</v>
      </c>
      <c r="BR1512" s="783"/>
      <c r="BS1512" s="783"/>
      <c r="BT1512" s="783"/>
      <c r="BU1512" s="783"/>
      <c r="BV1512" s="783"/>
      <c r="BW1512" s="783"/>
      <c r="BX1512" s="783"/>
      <c r="BY1512" s="783"/>
      <c r="BZ1512" s="783"/>
      <c r="CA1512" s="794"/>
      <c r="CB1512" s="795"/>
      <c r="CC1512" s="796"/>
      <c r="CD1512" s="783"/>
      <c r="CE1512" s="783"/>
      <c r="CF1512" s="783"/>
      <c r="CG1512" s="783"/>
      <c r="CH1512" s="552"/>
      <c r="CI1512" s="783"/>
      <c r="CJ1512" s="783"/>
      <c r="CK1512" s="783"/>
      <c r="CL1512" s="783"/>
      <c r="CM1512" s="783"/>
      <c r="CN1512" s="783"/>
      <c r="CO1512" s="783"/>
      <c r="CP1512" s="797"/>
      <c r="CQ1512" s="797"/>
      <c r="CR1512" s="783"/>
      <c r="CS1512" s="783"/>
      <c r="CT1512" s="783"/>
      <c r="CU1512" s="783">
        <f t="shared" ref="CU1512:CU1575" si="599">BQ1512+BP1512+BO1512+BN1512+BX1512+BR1512</f>
        <v>1380</v>
      </c>
      <c r="CV1512" s="783">
        <f t="shared" ref="CV1512:CV1519" si="600">CK1512+CL1512+CM1512+CN1512+CO1512+CQ1512+CP1512</f>
        <v>0</v>
      </c>
      <c r="CW1512" s="783">
        <f t="shared" ref="CW1512:CW1519" si="601">CI1512+CJ1512</f>
        <v>0</v>
      </c>
      <c r="CX1512" s="797"/>
      <c r="CY1512" s="797"/>
      <c r="CZ1512" s="797"/>
      <c r="DA1512" s="797"/>
      <c r="DB1512" s="797"/>
      <c r="DC1512" s="797"/>
      <c r="DD1512" s="797"/>
      <c r="DE1512" s="797"/>
      <c r="DF1512" s="797"/>
      <c r="DG1512" s="797"/>
      <c r="DH1512" s="797"/>
    </row>
    <row r="1513" s="552" customFormat="1" ht="31" customHeight="1" spans="1:113">
      <c r="A1513" s="778">
        <v>46150</v>
      </c>
      <c r="B1513" s="779" t="s">
        <v>4371</v>
      </c>
      <c r="C1513" s="780" t="s">
        <v>98</v>
      </c>
      <c r="D1513" s="802">
        <v>4500205765</v>
      </c>
      <c r="E1513" s="782">
        <v>999666860</v>
      </c>
      <c r="F1513" s="783" t="s">
        <v>9702</v>
      </c>
      <c r="G1513" s="780" t="s">
        <v>6063</v>
      </c>
      <c r="H1513" s="780" t="s">
        <v>6064</v>
      </c>
      <c r="I1513" s="784">
        <v>2880</v>
      </c>
      <c r="J1513" s="780">
        <v>0</v>
      </c>
      <c r="K1513" s="780">
        <v>16</v>
      </c>
      <c r="L1513" s="785">
        <f t="shared" si="573"/>
        <v>180</v>
      </c>
      <c r="M1513" s="786">
        <v>46188</v>
      </c>
      <c r="N1513" s="786">
        <v>46184</v>
      </c>
      <c r="O1513" s="807" t="s">
        <v>4375</v>
      </c>
      <c r="P1513" s="808" t="s">
        <v>9698</v>
      </c>
      <c r="Q1513" s="787">
        <v>46195</v>
      </c>
      <c r="R1513" s="787" t="s">
        <v>7064</v>
      </c>
      <c r="S1513" s="787" t="s">
        <v>70</v>
      </c>
      <c r="T1513" s="787" t="s">
        <v>9699</v>
      </c>
      <c r="U1513" s="787"/>
      <c r="V1513" s="787"/>
      <c r="W1513" s="788"/>
      <c r="X1513" s="779" t="s">
        <v>9700</v>
      </c>
      <c r="Y1513" s="789" t="s">
        <v>4378</v>
      </c>
      <c r="Z1513" s="779">
        <v>0.599</v>
      </c>
      <c r="AA1513" s="789">
        <f t="shared" si="592"/>
        <v>1725.12</v>
      </c>
      <c r="AC1513" s="798" t="s">
        <v>9703</v>
      </c>
      <c r="AD1513" s="780" t="s">
        <v>6063</v>
      </c>
      <c r="AE1513" s="780" t="s">
        <v>82</v>
      </c>
      <c r="AF1513" s="780"/>
      <c r="AG1513" s="780"/>
      <c r="AH1513" s="779"/>
      <c r="AI1513" s="779">
        <v>2880</v>
      </c>
      <c r="AJ1513" s="780">
        <f t="shared" si="593"/>
        <v>0</v>
      </c>
      <c r="AK1513" s="782"/>
      <c r="AL1513" s="780" t="s">
        <v>2368</v>
      </c>
      <c r="AM1513" s="780"/>
      <c r="AN1513" s="783">
        <f t="shared" si="594"/>
        <v>2880</v>
      </c>
      <c r="AO1513" s="783"/>
      <c r="AP1513" s="783">
        <f t="shared" si="595"/>
        <v>2880</v>
      </c>
      <c r="AQ1513" s="783"/>
      <c r="AR1513" s="797"/>
      <c r="AS1513" s="783"/>
      <c r="AT1513" s="783"/>
      <c r="AU1513" s="783">
        <f t="shared" si="596"/>
        <v>2880</v>
      </c>
      <c r="AV1513" s="783"/>
      <c r="AW1513" s="783"/>
      <c r="AX1513" s="792"/>
      <c r="AY1513" s="783"/>
      <c r="AZ1513" s="783"/>
      <c r="BA1513" s="783"/>
      <c r="BB1513" s="793">
        <f t="shared" si="597"/>
        <v>120</v>
      </c>
      <c r="BC1513" s="783"/>
      <c r="BD1513" s="783"/>
      <c r="BE1513" s="783"/>
      <c r="BF1513" s="783"/>
      <c r="BG1513" s="552"/>
      <c r="BH1513" s="783"/>
      <c r="BI1513" s="783"/>
      <c r="BJ1513" s="783"/>
      <c r="BK1513" s="783"/>
      <c r="BL1513" s="783"/>
      <c r="BM1513" s="783"/>
      <c r="BN1513" s="783"/>
      <c r="BO1513" s="783"/>
      <c r="BP1513" s="783"/>
      <c r="BQ1513" s="783">
        <f t="shared" si="598"/>
        <v>180</v>
      </c>
      <c r="BR1513" s="783"/>
      <c r="BS1513" s="783"/>
      <c r="BT1513" s="783"/>
      <c r="BU1513" s="783"/>
      <c r="BV1513" s="783"/>
      <c r="BW1513" s="783"/>
      <c r="BX1513" s="783"/>
      <c r="BY1513" s="783"/>
      <c r="BZ1513" s="783"/>
      <c r="CA1513" s="794"/>
      <c r="CB1513" s="795"/>
      <c r="CC1513" s="796"/>
      <c r="CD1513" s="783"/>
      <c r="CE1513" s="783"/>
      <c r="CF1513" s="783"/>
      <c r="CG1513" s="783"/>
      <c r="CH1513" s="552"/>
      <c r="CI1513" s="783"/>
      <c r="CJ1513" s="783"/>
      <c r="CK1513" s="783"/>
      <c r="CL1513" s="783"/>
      <c r="CM1513" s="783"/>
      <c r="CN1513" s="783"/>
      <c r="CO1513" s="783"/>
      <c r="CP1513" s="797"/>
      <c r="CQ1513" s="797"/>
      <c r="CR1513" s="783"/>
      <c r="CS1513" s="783"/>
      <c r="CT1513" s="783"/>
      <c r="CU1513" s="783">
        <f t="shared" si="599"/>
        <v>180</v>
      </c>
      <c r="CV1513" s="783">
        <f t="shared" si="600"/>
        <v>0</v>
      </c>
      <c r="CW1513" s="783">
        <f t="shared" si="601"/>
        <v>0</v>
      </c>
      <c r="CX1513" s="797"/>
      <c r="CY1513" s="797"/>
      <c r="CZ1513" s="797"/>
      <c r="DA1513" s="797"/>
      <c r="DB1513" s="797"/>
      <c r="DC1513" s="797"/>
      <c r="DD1513" s="797"/>
      <c r="DE1513" s="797"/>
      <c r="DF1513" s="797"/>
      <c r="DG1513" s="797"/>
      <c r="DH1513" s="797"/>
    </row>
    <row r="1514" s="552" customFormat="1" ht="31" customHeight="1" spans="1:113">
      <c r="A1514" s="778">
        <v>46150</v>
      </c>
      <c r="B1514" s="779" t="s">
        <v>4371</v>
      </c>
      <c r="C1514" s="780" t="s">
        <v>98</v>
      </c>
      <c r="D1514" s="802">
        <v>4500205765</v>
      </c>
      <c r="E1514" s="782">
        <v>999666880</v>
      </c>
      <c r="F1514" s="783" t="s">
        <v>9704</v>
      </c>
      <c r="G1514" s="780" t="s">
        <v>6063</v>
      </c>
      <c r="H1514" s="780" t="s">
        <v>6064</v>
      </c>
      <c r="I1514" s="784">
        <v>17280</v>
      </c>
      <c r="J1514" s="780">
        <v>0</v>
      </c>
      <c r="K1514" s="780">
        <v>16</v>
      </c>
      <c r="L1514" s="785">
        <f t="shared" si="573"/>
        <v>1080</v>
      </c>
      <c r="M1514" s="786">
        <v>46188</v>
      </c>
      <c r="N1514" s="786">
        <v>46184</v>
      </c>
      <c r="O1514" s="807" t="s">
        <v>4375</v>
      </c>
      <c r="P1514" s="808" t="s">
        <v>9698</v>
      </c>
      <c r="Q1514" s="787">
        <v>46199</v>
      </c>
      <c r="R1514" s="787" t="s">
        <v>7064</v>
      </c>
      <c r="S1514" s="787" t="s">
        <v>70</v>
      </c>
      <c r="T1514" s="787" t="s">
        <v>9699</v>
      </c>
      <c r="U1514" s="787"/>
      <c r="V1514" s="787"/>
      <c r="W1514" s="788"/>
      <c r="X1514" s="779" t="s">
        <v>9700</v>
      </c>
      <c r="Y1514" s="789" t="s">
        <v>4378</v>
      </c>
      <c r="Z1514" s="779">
        <v>0.599</v>
      </c>
      <c r="AA1514" s="789">
        <f t="shared" si="592"/>
        <v>10350.72</v>
      </c>
      <c r="AC1514" s="798" t="s">
        <v>9705</v>
      </c>
      <c r="AD1514" s="780" t="s">
        <v>6063</v>
      </c>
      <c r="AE1514" s="780" t="s">
        <v>82</v>
      </c>
      <c r="AF1514" s="780"/>
      <c r="AG1514" s="780"/>
      <c r="AH1514" s="779"/>
      <c r="AI1514" s="779">
        <f>6144+11136</f>
        <v>17280</v>
      </c>
      <c r="AJ1514" s="780">
        <f t="shared" si="593"/>
        <v>0</v>
      </c>
      <c r="AK1514" s="782"/>
      <c r="AL1514" s="780" t="s">
        <v>2368</v>
      </c>
      <c r="AM1514" s="780"/>
      <c r="AN1514" s="783">
        <f t="shared" si="594"/>
        <v>17280</v>
      </c>
      <c r="AO1514" s="783"/>
      <c r="AP1514" s="783">
        <f t="shared" si="595"/>
        <v>17280</v>
      </c>
      <c r="AQ1514" s="783"/>
      <c r="AR1514" s="797"/>
      <c r="AS1514" s="783"/>
      <c r="AT1514" s="783"/>
      <c r="AU1514" s="783">
        <f t="shared" si="596"/>
        <v>17280</v>
      </c>
      <c r="AV1514" s="783"/>
      <c r="AW1514" s="783"/>
      <c r="AX1514" s="792"/>
      <c r="AY1514" s="783"/>
      <c r="AZ1514" s="783"/>
      <c r="BA1514" s="783"/>
      <c r="BB1514" s="793">
        <f t="shared" si="597"/>
        <v>720</v>
      </c>
      <c r="BC1514" s="783"/>
      <c r="BD1514" s="783"/>
      <c r="BE1514" s="783"/>
      <c r="BF1514" s="783"/>
      <c r="BG1514" s="552"/>
      <c r="BH1514" s="783"/>
      <c r="BI1514" s="783"/>
      <c r="BJ1514" s="783"/>
      <c r="BK1514" s="783"/>
      <c r="BL1514" s="783"/>
      <c r="BM1514" s="783"/>
      <c r="BN1514" s="783"/>
      <c r="BO1514" s="783"/>
      <c r="BP1514" s="783"/>
      <c r="BQ1514" s="783">
        <f t="shared" si="598"/>
        <v>1080</v>
      </c>
      <c r="BR1514" s="783"/>
      <c r="BS1514" s="783"/>
      <c r="BT1514" s="783"/>
      <c r="BU1514" s="783"/>
      <c r="BV1514" s="783"/>
      <c r="BW1514" s="783"/>
      <c r="BX1514" s="783"/>
      <c r="BY1514" s="783"/>
      <c r="BZ1514" s="783"/>
      <c r="CA1514" s="794"/>
      <c r="CB1514" s="795"/>
      <c r="CC1514" s="796"/>
      <c r="CD1514" s="783"/>
      <c r="CE1514" s="783"/>
      <c r="CF1514" s="783"/>
      <c r="CG1514" s="783"/>
      <c r="CH1514" s="552"/>
      <c r="CI1514" s="783"/>
      <c r="CJ1514" s="783"/>
      <c r="CK1514" s="783"/>
      <c r="CL1514" s="783"/>
      <c r="CM1514" s="783"/>
      <c r="CN1514" s="783"/>
      <c r="CO1514" s="783"/>
      <c r="CP1514" s="797"/>
      <c r="CQ1514" s="797"/>
      <c r="CR1514" s="783"/>
      <c r="CS1514" s="783"/>
      <c r="CT1514" s="783"/>
      <c r="CU1514" s="783">
        <f t="shared" si="599"/>
        <v>1080</v>
      </c>
      <c r="CV1514" s="783">
        <f t="shared" si="600"/>
        <v>0</v>
      </c>
      <c r="CW1514" s="783">
        <f t="shared" si="601"/>
        <v>0</v>
      </c>
      <c r="CX1514" s="797"/>
      <c r="CY1514" s="797"/>
      <c r="CZ1514" s="797"/>
      <c r="DA1514" s="797"/>
      <c r="DB1514" s="797"/>
      <c r="DC1514" s="797"/>
      <c r="DD1514" s="797"/>
      <c r="DE1514" s="797"/>
      <c r="DF1514" s="797"/>
      <c r="DG1514" s="797"/>
      <c r="DH1514" s="797"/>
    </row>
    <row r="1515" s="552" customFormat="1" ht="31" customHeight="1" spans="1:113">
      <c r="A1515" s="778">
        <v>46150</v>
      </c>
      <c r="B1515" s="779" t="s">
        <v>4371</v>
      </c>
      <c r="C1515" s="780" t="s">
        <v>98</v>
      </c>
      <c r="D1515" s="802">
        <v>4500205765</v>
      </c>
      <c r="E1515" s="782">
        <v>999666883</v>
      </c>
      <c r="F1515" s="783" t="s">
        <v>9706</v>
      </c>
      <c r="G1515" s="780" t="s">
        <v>6063</v>
      </c>
      <c r="H1515" s="780" t="s">
        <v>6064</v>
      </c>
      <c r="I1515" s="784">
        <v>32640</v>
      </c>
      <c r="J1515" s="780">
        <v>0</v>
      </c>
      <c r="K1515" s="780">
        <v>16</v>
      </c>
      <c r="L1515" s="785">
        <f t="shared" si="573"/>
        <v>2040</v>
      </c>
      <c r="M1515" s="786">
        <v>46188</v>
      </c>
      <c r="N1515" s="786">
        <v>46184</v>
      </c>
      <c r="O1515" s="807" t="s">
        <v>4375</v>
      </c>
      <c r="P1515" s="808" t="s">
        <v>9698</v>
      </c>
      <c r="Q1515" s="787">
        <v>46206</v>
      </c>
      <c r="R1515" s="787" t="s">
        <v>7064</v>
      </c>
      <c r="S1515" s="787" t="s">
        <v>70</v>
      </c>
      <c r="T1515" s="787" t="s">
        <v>9699</v>
      </c>
      <c r="U1515" s="787"/>
      <c r="V1515" s="787"/>
      <c r="W1515" s="788"/>
      <c r="X1515" s="779" t="s">
        <v>9700</v>
      </c>
      <c r="Y1515" s="789" t="s">
        <v>4378</v>
      </c>
      <c r="Z1515" s="779">
        <v>0.599</v>
      </c>
      <c r="AA1515" s="789">
        <f t="shared" si="592"/>
        <v>19551.36</v>
      </c>
      <c r="AC1515" s="798" t="s">
        <v>9707</v>
      </c>
      <c r="AD1515" s="780" t="s">
        <v>6063</v>
      </c>
      <c r="AE1515" s="780" t="s">
        <v>82</v>
      </c>
      <c r="AF1515" s="780"/>
      <c r="AG1515" s="780"/>
      <c r="AH1515" s="779"/>
      <c r="AI1515" s="779">
        <f>30720+1920</f>
        <v>32640</v>
      </c>
      <c r="AJ1515" s="780">
        <f t="shared" si="593"/>
        <v>0</v>
      </c>
      <c r="AK1515" s="782"/>
      <c r="AL1515" s="780" t="s">
        <v>2368</v>
      </c>
      <c r="AM1515" s="780"/>
      <c r="AN1515" s="783">
        <f t="shared" si="594"/>
        <v>32640</v>
      </c>
      <c r="AO1515" s="783"/>
      <c r="AP1515" s="783">
        <f t="shared" si="595"/>
        <v>32640</v>
      </c>
      <c r="AQ1515" s="783"/>
      <c r="AR1515" s="797"/>
      <c r="AS1515" s="783"/>
      <c r="AT1515" s="783"/>
      <c r="AU1515" s="783">
        <f t="shared" si="596"/>
        <v>32640</v>
      </c>
      <c r="AV1515" s="783"/>
      <c r="AW1515" s="783"/>
      <c r="AX1515" s="792"/>
      <c r="AY1515" s="783"/>
      <c r="AZ1515" s="783"/>
      <c r="BA1515" s="783"/>
      <c r="BB1515" s="793">
        <f t="shared" si="597"/>
        <v>1360</v>
      </c>
      <c r="BC1515" s="783"/>
      <c r="BD1515" s="783"/>
      <c r="BE1515" s="783"/>
      <c r="BF1515" s="783"/>
      <c r="BG1515" s="552"/>
      <c r="BH1515" s="783"/>
      <c r="BI1515" s="783"/>
      <c r="BJ1515" s="783"/>
      <c r="BK1515" s="783"/>
      <c r="BL1515" s="783"/>
      <c r="BM1515" s="783"/>
      <c r="BN1515" s="783"/>
      <c r="BO1515" s="783"/>
      <c r="BP1515" s="783"/>
      <c r="BQ1515" s="783">
        <f t="shared" si="598"/>
        <v>2040</v>
      </c>
      <c r="BR1515" s="783"/>
      <c r="BS1515" s="783"/>
      <c r="BT1515" s="783"/>
      <c r="BU1515" s="783"/>
      <c r="BV1515" s="783"/>
      <c r="BW1515" s="783"/>
      <c r="BX1515" s="783"/>
      <c r="BY1515" s="783"/>
      <c r="BZ1515" s="783"/>
      <c r="CA1515" s="794"/>
      <c r="CB1515" s="795"/>
      <c r="CC1515" s="796"/>
      <c r="CD1515" s="783"/>
      <c r="CE1515" s="783"/>
      <c r="CF1515" s="783"/>
      <c r="CG1515" s="783"/>
      <c r="CH1515" s="552"/>
      <c r="CI1515" s="783"/>
      <c r="CJ1515" s="783"/>
      <c r="CK1515" s="783"/>
      <c r="CL1515" s="783"/>
      <c r="CM1515" s="783"/>
      <c r="CN1515" s="783"/>
      <c r="CO1515" s="783"/>
      <c r="CP1515" s="797"/>
      <c r="CQ1515" s="797"/>
      <c r="CR1515" s="783"/>
      <c r="CS1515" s="783"/>
      <c r="CT1515" s="783"/>
      <c r="CU1515" s="783">
        <f t="shared" si="599"/>
        <v>2040</v>
      </c>
      <c r="CV1515" s="783">
        <f t="shared" si="600"/>
        <v>0</v>
      </c>
      <c r="CW1515" s="783">
        <f t="shared" si="601"/>
        <v>0</v>
      </c>
      <c r="CX1515" s="797"/>
      <c r="CY1515" s="797"/>
      <c r="CZ1515" s="797"/>
      <c r="DA1515" s="797"/>
      <c r="DB1515" s="797"/>
      <c r="DC1515" s="797"/>
      <c r="DD1515" s="797"/>
      <c r="DE1515" s="797"/>
      <c r="DF1515" s="797"/>
      <c r="DG1515" s="797"/>
      <c r="DH1515" s="797"/>
    </row>
    <row r="1516" s="552" customFormat="1" ht="31" customHeight="1" spans="1:113">
      <c r="A1516" s="778">
        <v>46150</v>
      </c>
      <c r="B1516" s="779" t="s">
        <v>4371</v>
      </c>
      <c r="C1516" s="780" t="s">
        <v>98</v>
      </c>
      <c r="D1516" s="802">
        <v>4500205765</v>
      </c>
      <c r="E1516" s="782">
        <v>999666888</v>
      </c>
      <c r="F1516" s="783" t="s">
        <v>9708</v>
      </c>
      <c r="G1516" s="780" t="s">
        <v>6063</v>
      </c>
      <c r="H1516" s="780" t="s">
        <v>6064</v>
      </c>
      <c r="I1516" s="784">
        <v>22080</v>
      </c>
      <c r="J1516" s="780">
        <v>0</v>
      </c>
      <c r="K1516" s="780">
        <v>16</v>
      </c>
      <c r="L1516" s="785">
        <f t="shared" si="573"/>
        <v>1380</v>
      </c>
      <c r="M1516" s="786">
        <v>46188</v>
      </c>
      <c r="N1516" s="786">
        <v>46184</v>
      </c>
      <c r="O1516" s="807" t="s">
        <v>4375</v>
      </c>
      <c r="P1516" s="808" t="s">
        <v>9698</v>
      </c>
      <c r="Q1516" s="787">
        <v>46204</v>
      </c>
      <c r="R1516" s="787" t="s">
        <v>7064</v>
      </c>
      <c r="S1516" s="787" t="s">
        <v>70</v>
      </c>
      <c r="T1516" s="787" t="s">
        <v>9699</v>
      </c>
      <c r="U1516" s="787"/>
      <c r="V1516" s="787"/>
      <c r="W1516" s="788"/>
      <c r="X1516" s="779" t="s">
        <v>9700</v>
      </c>
      <c r="Y1516" s="789" t="s">
        <v>4378</v>
      </c>
      <c r="Z1516" s="779">
        <v>0.599</v>
      </c>
      <c r="AA1516" s="789">
        <f t="shared" si="592"/>
        <v>13225.92</v>
      </c>
      <c r="AC1516" s="809" t="s">
        <v>9701</v>
      </c>
      <c r="AD1516" s="780" t="s">
        <v>6063</v>
      </c>
      <c r="AE1516" s="780" t="s">
        <v>82</v>
      </c>
      <c r="AF1516" s="780"/>
      <c r="AG1516" s="780"/>
      <c r="AH1516" s="779"/>
      <c r="AI1516" s="779">
        <v>22080</v>
      </c>
      <c r="AJ1516" s="780">
        <f t="shared" si="593"/>
        <v>0</v>
      </c>
      <c r="AK1516" s="782"/>
      <c r="AL1516" s="780" t="s">
        <v>2368</v>
      </c>
      <c r="AM1516" s="780"/>
      <c r="AN1516" s="783">
        <f t="shared" si="594"/>
        <v>22080</v>
      </c>
      <c r="AO1516" s="783"/>
      <c r="AP1516" s="783">
        <f t="shared" si="595"/>
        <v>22080</v>
      </c>
      <c r="AQ1516" s="783"/>
      <c r="AR1516" s="797"/>
      <c r="AS1516" s="783"/>
      <c r="AT1516" s="783"/>
      <c r="AU1516" s="783">
        <f t="shared" si="596"/>
        <v>22080</v>
      </c>
      <c r="AV1516" s="783"/>
      <c r="AW1516" s="783"/>
      <c r="AX1516" s="792"/>
      <c r="AY1516" s="783"/>
      <c r="AZ1516" s="783"/>
      <c r="BA1516" s="783"/>
      <c r="BB1516" s="793">
        <f t="shared" si="597"/>
        <v>920</v>
      </c>
      <c r="BC1516" s="783"/>
      <c r="BD1516" s="783"/>
      <c r="BE1516" s="783"/>
      <c r="BF1516" s="783"/>
      <c r="BG1516" s="552"/>
      <c r="BH1516" s="783"/>
      <c r="BI1516" s="783"/>
      <c r="BJ1516" s="783"/>
      <c r="BK1516" s="783"/>
      <c r="BL1516" s="783"/>
      <c r="BM1516" s="783"/>
      <c r="BN1516" s="783"/>
      <c r="BO1516" s="783"/>
      <c r="BP1516" s="783"/>
      <c r="BQ1516" s="783">
        <f t="shared" si="598"/>
        <v>1380</v>
      </c>
      <c r="BR1516" s="783"/>
      <c r="BS1516" s="783"/>
      <c r="BT1516" s="783"/>
      <c r="BU1516" s="783"/>
      <c r="BV1516" s="783"/>
      <c r="BW1516" s="783"/>
      <c r="BX1516" s="783"/>
      <c r="BY1516" s="783"/>
      <c r="BZ1516" s="783"/>
      <c r="CA1516" s="794"/>
      <c r="CB1516" s="795"/>
      <c r="CC1516" s="796"/>
      <c r="CD1516" s="783"/>
      <c r="CE1516" s="783"/>
      <c r="CF1516" s="783"/>
      <c r="CG1516" s="783"/>
      <c r="CH1516" s="552"/>
      <c r="CI1516" s="783"/>
      <c r="CJ1516" s="783"/>
      <c r="CK1516" s="783"/>
      <c r="CL1516" s="783"/>
      <c r="CM1516" s="783"/>
      <c r="CN1516" s="783"/>
      <c r="CO1516" s="783"/>
      <c r="CP1516" s="797"/>
      <c r="CQ1516" s="797"/>
      <c r="CR1516" s="783"/>
      <c r="CS1516" s="783"/>
      <c r="CT1516" s="783"/>
      <c r="CU1516" s="783">
        <f t="shared" si="599"/>
        <v>1380</v>
      </c>
      <c r="CV1516" s="783">
        <f t="shared" si="600"/>
        <v>0</v>
      </c>
      <c r="CW1516" s="783">
        <f t="shared" si="601"/>
        <v>0</v>
      </c>
      <c r="CX1516" s="797"/>
      <c r="CY1516" s="797"/>
      <c r="CZ1516" s="797"/>
      <c r="DA1516" s="797"/>
      <c r="DB1516" s="797"/>
      <c r="DC1516" s="797"/>
      <c r="DD1516" s="797"/>
      <c r="DE1516" s="797"/>
      <c r="DF1516" s="797"/>
      <c r="DG1516" s="797"/>
      <c r="DH1516" s="797"/>
    </row>
    <row r="1517" s="552" customFormat="1" ht="31" customHeight="1" spans="1:113">
      <c r="A1517" s="778">
        <v>46150</v>
      </c>
      <c r="B1517" s="779" t="s">
        <v>4371</v>
      </c>
      <c r="C1517" s="780" t="s">
        <v>98</v>
      </c>
      <c r="D1517" s="802">
        <v>4500205765</v>
      </c>
      <c r="E1517" s="782">
        <v>999666956</v>
      </c>
      <c r="F1517" s="783" t="s">
        <v>9709</v>
      </c>
      <c r="G1517" s="780" t="s">
        <v>6063</v>
      </c>
      <c r="H1517" s="780" t="s">
        <v>6064</v>
      </c>
      <c r="I1517" s="784">
        <v>11520</v>
      </c>
      <c r="J1517" s="780">
        <v>0</v>
      </c>
      <c r="K1517" s="780">
        <v>16</v>
      </c>
      <c r="L1517" s="785">
        <f t="shared" si="573"/>
        <v>720</v>
      </c>
      <c r="M1517" s="786">
        <v>46188</v>
      </c>
      <c r="N1517" s="786">
        <v>46184</v>
      </c>
      <c r="O1517" s="807" t="s">
        <v>4375</v>
      </c>
      <c r="P1517" s="808" t="s">
        <v>9698</v>
      </c>
      <c r="Q1517" s="787">
        <v>46195</v>
      </c>
      <c r="R1517" s="787" t="s">
        <v>7064</v>
      </c>
      <c r="S1517" s="787" t="s">
        <v>70</v>
      </c>
      <c r="T1517" s="787" t="s">
        <v>9699</v>
      </c>
      <c r="U1517" s="787"/>
      <c r="V1517" s="787"/>
      <c r="W1517" s="788"/>
      <c r="X1517" s="779" t="s">
        <v>9700</v>
      </c>
      <c r="Y1517" s="789" t="s">
        <v>4378</v>
      </c>
      <c r="Z1517" s="779">
        <v>0.599</v>
      </c>
      <c r="AA1517" s="789">
        <f t="shared" si="592"/>
        <v>6900.48</v>
      </c>
      <c r="AC1517" s="798" t="s">
        <v>9710</v>
      </c>
      <c r="AD1517" s="780" t="s">
        <v>6063</v>
      </c>
      <c r="AE1517" s="780" t="s">
        <v>82</v>
      </c>
      <c r="AF1517" s="780"/>
      <c r="AG1517" s="780"/>
      <c r="AH1517" s="779"/>
      <c r="AI1517" s="779">
        <v>11520</v>
      </c>
      <c r="AJ1517" s="780">
        <f t="shared" si="593"/>
        <v>0</v>
      </c>
      <c r="AK1517" s="782"/>
      <c r="AL1517" s="780" t="s">
        <v>2368</v>
      </c>
      <c r="AM1517" s="780"/>
      <c r="AN1517" s="783">
        <f t="shared" si="594"/>
        <v>11520</v>
      </c>
      <c r="AO1517" s="783"/>
      <c r="AP1517" s="783">
        <f t="shared" si="595"/>
        <v>11520</v>
      </c>
      <c r="AQ1517" s="783"/>
      <c r="AR1517" s="797"/>
      <c r="AS1517" s="783"/>
      <c r="AT1517" s="783"/>
      <c r="AU1517" s="783">
        <f t="shared" si="596"/>
        <v>11520</v>
      </c>
      <c r="AV1517" s="783"/>
      <c r="AW1517" s="783"/>
      <c r="AX1517" s="792"/>
      <c r="AY1517" s="783"/>
      <c r="AZ1517" s="783"/>
      <c r="BA1517" s="783"/>
      <c r="BB1517" s="793">
        <f t="shared" si="597"/>
        <v>480</v>
      </c>
      <c r="BC1517" s="783"/>
      <c r="BD1517" s="783"/>
      <c r="BE1517" s="783"/>
      <c r="BF1517" s="783"/>
      <c r="BG1517" s="552"/>
      <c r="BH1517" s="783"/>
      <c r="BI1517" s="783"/>
      <c r="BJ1517" s="783"/>
      <c r="BK1517" s="783"/>
      <c r="BL1517" s="783"/>
      <c r="BM1517" s="783"/>
      <c r="BN1517" s="783"/>
      <c r="BO1517" s="783"/>
      <c r="BP1517" s="783"/>
      <c r="BQ1517" s="783">
        <f t="shared" si="598"/>
        <v>720</v>
      </c>
      <c r="BR1517" s="783"/>
      <c r="BS1517" s="783"/>
      <c r="BT1517" s="783"/>
      <c r="BU1517" s="783"/>
      <c r="BV1517" s="783"/>
      <c r="BW1517" s="783"/>
      <c r="BX1517" s="783"/>
      <c r="BY1517" s="783"/>
      <c r="BZ1517" s="783"/>
      <c r="CA1517" s="794"/>
      <c r="CB1517" s="795"/>
      <c r="CC1517" s="796"/>
      <c r="CD1517" s="783"/>
      <c r="CE1517" s="783"/>
      <c r="CF1517" s="783"/>
      <c r="CG1517" s="783"/>
      <c r="CH1517" s="552"/>
      <c r="CI1517" s="783"/>
      <c r="CJ1517" s="783"/>
      <c r="CK1517" s="783"/>
      <c r="CL1517" s="783"/>
      <c r="CM1517" s="783"/>
      <c r="CN1517" s="783"/>
      <c r="CO1517" s="783"/>
      <c r="CP1517" s="797"/>
      <c r="CQ1517" s="797"/>
      <c r="CR1517" s="783"/>
      <c r="CS1517" s="783"/>
      <c r="CT1517" s="783"/>
      <c r="CU1517" s="783">
        <f t="shared" si="599"/>
        <v>720</v>
      </c>
      <c r="CV1517" s="783">
        <f t="shared" si="600"/>
        <v>0</v>
      </c>
      <c r="CW1517" s="783">
        <f t="shared" si="601"/>
        <v>0</v>
      </c>
      <c r="CX1517" s="797"/>
      <c r="CY1517" s="797"/>
      <c r="CZ1517" s="797"/>
      <c r="DA1517" s="797"/>
      <c r="DB1517" s="797"/>
      <c r="DC1517" s="797"/>
      <c r="DD1517" s="797"/>
      <c r="DE1517" s="797"/>
      <c r="DF1517" s="797"/>
      <c r="DG1517" s="797"/>
      <c r="DH1517" s="797"/>
    </row>
    <row r="1518" s="552" customFormat="1" ht="31" customHeight="1" spans="1:113">
      <c r="A1518" s="778">
        <v>46148</v>
      </c>
      <c r="B1518" s="779" t="s">
        <v>3996</v>
      </c>
      <c r="C1518" s="780" t="s">
        <v>278</v>
      </c>
      <c r="D1518" s="781">
        <v>4500205100</v>
      </c>
      <c r="E1518" s="782">
        <v>50795652</v>
      </c>
      <c r="F1518" s="783" t="s">
        <v>9711</v>
      </c>
      <c r="G1518" s="780" t="s">
        <v>6040</v>
      </c>
      <c r="H1518" s="780" t="s">
        <v>6041</v>
      </c>
      <c r="I1518" s="784">
        <v>1196</v>
      </c>
      <c r="J1518" s="780">
        <v>0</v>
      </c>
      <c r="K1518" s="780">
        <v>52</v>
      </c>
      <c r="L1518" s="785">
        <f t="shared" si="573"/>
        <v>23</v>
      </c>
      <c r="M1518" s="786">
        <v>46188</v>
      </c>
      <c r="N1518" s="786">
        <v>46184</v>
      </c>
      <c r="O1518" s="782"/>
      <c r="P1518" s="780" t="s">
        <v>113</v>
      </c>
      <c r="Q1518" s="787">
        <v>46203</v>
      </c>
      <c r="R1518" s="787">
        <v>46151</v>
      </c>
      <c r="S1518" s="787" t="s">
        <v>70</v>
      </c>
      <c r="T1518" s="787" t="s">
        <v>4281</v>
      </c>
      <c r="U1518" s="787"/>
      <c r="V1518" s="787"/>
      <c r="W1518" s="788"/>
      <c r="X1518" s="779" t="s">
        <v>9712</v>
      </c>
      <c r="Y1518" s="789" t="s">
        <v>1894</v>
      </c>
      <c r="Z1518" s="779">
        <v>0.9279</v>
      </c>
      <c r="AA1518" s="789">
        <f t="shared" si="592"/>
        <v>1109.7684</v>
      </c>
      <c r="AC1518" s="790"/>
      <c r="AD1518" s="780" t="s">
        <v>6040</v>
      </c>
      <c r="AE1518" s="780" t="s">
        <v>82</v>
      </c>
      <c r="AF1518" s="780"/>
      <c r="AG1518" s="780"/>
      <c r="AH1518" s="779"/>
      <c r="AI1518" s="791">
        <v>1196</v>
      </c>
      <c r="AJ1518" s="780">
        <f t="shared" si="593"/>
        <v>0</v>
      </c>
      <c r="AK1518" s="782"/>
      <c r="AL1518" s="780" t="s">
        <v>2368</v>
      </c>
      <c r="AM1518" s="780"/>
      <c r="AN1518" s="783"/>
      <c r="AO1518" s="783">
        <f>I1518</f>
        <v>1196</v>
      </c>
      <c r="AP1518" s="783"/>
      <c r="AQ1518" s="783"/>
      <c r="AR1518" s="797"/>
      <c r="AS1518" s="783"/>
      <c r="AT1518" s="783">
        <f>I1518</f>
        <v>1196</v>
      </c>
      <c r="AU1518" s="783"/>
      <c r="AV1518" s="783">
        <f>I1518</f>
        <v>1196</v>
      </c>
      <c r="AW1518" s="783"/>
      <c r="AX1518" s="792"/>
      <c r="AY1518" s="783"/>
      <c r="AZ1518" s="783"/>
      <c r="BA1518" s="783"/>
      <c r="BB1518" s="793">
        <f t="shared" si="597"/>
        <v>49.8333333333333</v>
      </c>
      <c r="BC1518" s="783"/>
      <c r="BD1518" s="783"/>
      <c r="BE1518" s="783"/>
      <c r="BF1518" s="783"/>
      <c r="BG1518" s="552"/>
      <c r="BH1518" s="783"/>
      <c r="BI1518" s="783"/>
      <c r="BJ1518" s="783"/>
      <c r="BK1518" s="783"/>
      <c r="BL1518" s="783"/>
      <c r="BM1518" s="783">
        <f>I1518/13</f>
        <v>92</v>
      </c>
      <c r="BN1518" s="783"/>
      <c r="BO1518" s="783"/>
      <c r="BP1518" s="783"/>
      <c r="BQ1518" s="783"/>
      <c r="BR1518" s="783"/>
      <c r="BS1518" s="783"/>
      <c r="BT1518" s="783"/>
      <c r="BU1518" s="783"/>
      <c r="BV1518" s="783"/>
      <c r="BW1518" s="783"/>
      <c r="BX1518" s="783"/>
      <c r="BY1518" s="783"/>
      <c r="BZ1518" s="783"/>
      <c r="CA1518" s="794"/>
      <c r="CB1518" s="795"/>
      <c r="CC1518" s="796"/>
      <c r="CD1518" s="783"/>
      <c r="CE1518" s="783"/>
      <c r="CF1518" s="783"/>
      <c r="CG1518" s="783"/>
      <c r="CH1518" s="552"/>
      <c r="CI1518" s="783"/>
      <c r="CJ1518" s="783"/>
      <c r="CK1518" s="783"/>
      <c r="CL1518" s="783"/>
      <c r="CM1518" s="783"/>
      <c r="CN1518" s="783"/>
      <c r="CO1518" s="783"/>
      <c r="CP1518" s="797"/>
      <c r="CQ1518" s="797"/>
      <c r="CR1518" s="783"/>
      <c r="CS1518" s="783"/>
      <c r="CT1518" s="783"/>
      <c r="CU1518" s="783">
        <f t="shared" si="599"/>
        <v>0</v>
      </c>
      <c r="CV1518" s="783">
        <f t="shared" si="600"/>
        <v>0</v>
      </c>
      <c r="CW1518" s="783">
        <f t="shared" si="601"/>
        <v>0</v>
      </c>
      <c r="CX1518" s="797"/>
      <c r="CY1518" s="797"/>
      <c r="CZ1518" s="797"/>
      <c r="DA1518" s="797"/>
      <c r="DB1518" s="797"/>
      <c r="DC1518" s="797"/>
      <c r="DD1518" s="797"/>
      <c r="DE1518" s="797"/>
      <c r="DF1518" s="797"/>
      <c r="DG1518" s="797"/>
      <c r="DH1518" s="797"/>
    </row>
    <row r="1519" s="552" customFormat="1" ht="31" customHeight="1" spans="1:113">
      <c r="A1519" s="778">
        <v>46148</v>
      </c>
      <c r="B1519" s="779" t="s">
        <v>3989</v>
      </c>
      <c r="C1519" s="780" t="s">
        <v>154</v>
      </c>
      <c r="D1519" s="781">
        <v>4500205118</v>
      </c>
      <c r="E1519" s="782">
        <v>55795659</v>
      </c>
      <c r="F1519" s="783" t="s">
        <v>9713</v>
      </c>
      <c r="G1519" s="780" t="s">
        <v>6040</v>
      </c>
      <c r="H1519" s="780" t="s">
        <v>6041</v>
      </c>
      <c r="I1519" s="784">
        <v>1248</v>
      </c>
      <c r="J1519" s="780">
        <v>0</v>
      </c>
      <c r="K1519" s="780">
        <v>52</v>
      </c>
      <c r="L1519" s="785">
        <f t="shared" si="573"/>
        <v>24</v>
      </c>
      <c r="M1519" s="786">
        <v>46188</v>
      </c>
      <c r="N1519" s="786">
        <v>46184</v>
      </c>
      <c r="O1519" s="782"/>
      <c r="P1519" s="780" t="s">
        <v>113</v>
      </c>
      <c r="Q1519" s="787">
        <v>46202</v>
      </c>
      <c r="R1519" s="787">
        <v>46156</v>
      </c>
      <c r="S1519" s="787" t="s">
        <v>70</v>
      </c>
      <c r="T1519" s="787" t="s">
        <v>9714</v>
      </c>
      <c r="U1519" s="787"/>
      <c r="V1519" s="787"/>
      <c r="W1519" s="788"/>
      <c r="X1519" s="810" t="s">
        <v>9715</v>
      </c>
      <c r="Y1519" s="789" t="s">
        <v>1894</v>
      </c>
      <c r="Z1519" s="779">
        <v>0.9279</v>
      </c>
      <c r="AA1519" s="789">
        <f t="shared" si="592"/>
        <v>1158.0192</v>
      </c>
      <c r="AC1519" s="790"/>
      <c r="AD1519" s="780" t="s">
        <v>6040</v>
      </c>
      <c r="AE1519" s="780" t="s">
        <v>82</v>
      </c>
      <c r="AF1519" s="780"/>
      <c r="AG1519" s="780"/>
      <c r="AH1519" s="779"/>
      <c r="AI1519" s="791">
        <v>1248</v>
      </c>
      <c r="AJ1519" s="780">
        <f t="shared" si="593"/>
        <v>0</v>
      </c>
      <c r="AK1519" s="782"/>
      <c r="AL1519" s="780" t="s">
        <v>2368</v>
      </c>
      <c r="AM1519" s="780"/>
      <c r="AN1519" s="783"/>
      <c r="AO1519" s="783">
        <f>I1519</f>
        <v>1248</v>
      </c>
      <c r="AP1519" s="783"/>
      <c r="AQ1519" s="783"/>
      <c r="AR1519" s="797"/>
      <c r="AS1519" s="783"/>
      <c r="AT1519" s="783">
        <f>I1519</f>
        <v>1248</v>
      </c>
      <c r="AU1519" s="783"/>
      <c r="AV1519" s="783">
        <f>I1519</f>
        <v>1248</v>
      </c>
      <c r="AW1519" s="783"/>
      <c r="AX1519" s="792"/>
      <c r="AY1519" s="783"/>
      <c r="AZ1519" s="783"/>
      <c r="BA1519" s="783"/>
      <c r="BB1519" s="793">
        <f t="shared" si="597"/>
        <v>52</v>
      </c>
      <c r="BC1519" s="783"/>
      <c r="BD1519" s="783"/>
      <c r="BE1519" s="783"/>
      <c r="BF1519" s="783"/>
      <c r="BG1519" s="552"/>
      <c r="BH1519" s="783"/>
      <c r="BI1519" s="783"/>
      <c r="BJ1519" s="783"/>
      <c r="BK1519" s="783"/>
      <c r="BL1519" s="783"/>
      <c r="BM1519" s="783">
        <f>I1519/13</f>
        <v>96</v>
      </c>
      <c r="BN1519" s="783"/>
      <c r="BO1519" s="783"/>
      <c r="BP1519" s="783"/>
      <c r="BQ1519" s="783"/>
      <c r="BR1519" s="783"/>
      <c r="BS1519" s="783"/>
      <c r="BT1519" s="783"/>
      <c r="BU1519" s="783"/>
      <c r="BV1519" s="783"/>
      <c r="BW1519" s="783"/>
      <c r="BX1519" s="783"/>
      <c r="BY1519" s="783"/>
      <c r="BZ1519" s="783"/>
      <c r="CA1519" s="794"/>
      <c r="CB1519" s="795"/>
      <c r="CC1519" s="796"/>
      <c r="CD1519" s="783"/>
      <c r="CE1519" s="783"/>
      <c r="CF1519" s="783"/>
      <c r="CG1519" s="783"/>
      <c r="CH1519" s="552"/>
      <c r="CI1519" s="783"/>
      <c r="CJ1519" s="783"/>
      <c r="CK1519" s="783"/>
      <c r="CL1519" s="783"/>
      <c r="CM1519" s="783"/>
      <c r="CN1519" s="783"/>
      <c r="CO1519" s="783"/>
      <c r="CP1519" s="797"/>
      <c r="CQ1519" s="797"/>
      <c r="CR1519" s="783"/>
      <c r="CS1519" s="783"/>
      <c r="CT1519" s="783"/>
      <c r="CU1519" s="783">
        <f t="shared" si="599"/>
        <v>0</v>
      </c>
      <c r="CV1519" s="783">
        <f t="shared" si="600"/>
        <v>0</v>
      </c>
      <c r="CW1519" s="783">
        <f t="shared" si="601"/>
        <v>0</v>
      </c>
      <c r="CX1519" s="797"/>
      <c r="CY1519" s="797"/>
      <c r="CZ1519" s="797"/>
      <c r="DA1519" s="797"/>
      <c r="DB1519" s="797"/>
      <c r="DC1519" s="797"/>
      <c r="DD1519" s="797"/>
      <c r="DE1519" s="797"/>
      <c r="DF1519" s="797"/>
      <c r="DG1519" s="797"/>
      <c r="DH1519" s="797"/>
    </row>
    <row r="1520" s="552" customFormat="1" ht="31" customHeight="1" spans="1:113">
      <c r="A1520" s="778">
        <v>46148</v>
      </c>
      <c r="B1520" s="779" t="s">
        <v>3989</v>
      </c>
      <c r="C1520" s="780" t="s">
        <v>154</v>
      </c>
      <c r="D1520" s="802">
        <v>4500205118</v>
      </c>
      <c r="E1520" s="782">
        <v>55795660</v>
      </c>
      <c r="F1520" s="783" t="s">
        <v>4391</v>
      </c>
      <c r="G1520" s="780" t="s">
        <v>6337</v>
      </c>
      <c r="H1520" s="780" t="s">
        <v>477</v>
      </c>
      <c r="I1520" s="784">
        <v>1200</v>
      </c>
      <c r="J1520" s="780">
        <v>0</v>
      </c>
      <c r="K1520" s="780">
        <v>6</v>
      </c>
      <c r="L1520" s="785">
        <f t="shared" si="573"/>
        <v>200</v>
      </c>
      <c r="M1520" s="786">
        <v>46188</v>
      </c>
      <c r="N1520" s="786">
        <v>46184</v>
      </c>
      <c r="O1520" s="782"/>
      <c r="P1520" s="780" t="s">
        <v>113</v>
      </c>
      <c r="Q1520" s="787">
        <v>46204</v>
      </c>
      <c r="R1520" s="787">
        <v>46156</v>
      </c>
      <c r="S1520" s="787" t="s">
        <v>70</v>
      </c>
      <c r="T1520" s="787" t="s">
        <v>9714</v>
      </c>
      <c r="U1520" s="787"/>
      <c r="V1520" s="787"/>
      <c r="W1520" s="788"/>
      <c r="X1520" s="810" t="s">
        <v>9716</v>
      </c>
      <c r="Y1520" s="789" t="s">
        <v>1894</v>
      </c>
      <c r="Z1520" s="779">
        <v>6.8992</v>
      </c>
      <c r="AA1520" s="789">
        <f t="shared" si="592"/>
        <v>8279.04</v>
      </c>
      <c r="AC1520" s="790"/>
      <c r="AD1520" s="780" t="s">
        <v>480</v>
      </c>
      <c r="AE1520" s="780" t="s">
        <v>82</v>
      </c>
      <c r="AF1520" s="780"/>
      <c r="AG1520" s="780"/>
      <c r="AH1520" s="779"/>
      <c r="AI1520" s="779">
        <v>1200</v>
      </c>
      <c r="AJ1520" s="780">
        <f t="shared" si="593"/>
        <v>0</v>
      </c>
      <c r="AK1520" s="782"/>
      <c r="AL1520" s="780" t="s">
        <v>454</v>
      </c>
      <c r="AM1520" s="780"/>
      <c r="AN1520" s="783"/>
      <c r="AO1520" s="783">
        <f>I1520*2</f>
        <v>2400</v>
      </c>
      <c r="AP1520" s="783"/>
      <c r="AQ1520" s="783"/>
      <c r="AR1520" s="797"/>
      <c r="AS1520" s="783"/>
      <c r="AT1520" s="783">
        <f>I1520*2</f>
        <v>2400</v>
      </c>
      <c r="AU1520" s="783"/>
      <c r="AV1520" s="783">
        <f>I1520*2</f>
        <v>2400</v>
      </c>
      <c r="AW1520" s="783"/>
      <c r="AX1520" s="792"/>
      <c r="AY1520" s="783"/>
      <c r="AZ1520" s="783"/>
      <c r="BA1520" s="783"/>
      <c r="BB1520" s="793">
        <f>I1520/24*2</f>
        <v>100</v>
      </c>
      <c r="BC1520" s="783"/>
      <c r="BD1520" s="783"/>
      <c r="BE1520" s="783"/>
      <c r="BF1520" s="783"/>
      <c r="BG1520" s="552"/>
      <c r="BH1520" s="783"/>
      <c r="BI1520" s="783"/>
      <c r="BJ1520" s="783"/>
      <c r="BK1520" s="783"/>
      <c r="BL1520" s="783"/>
      <c r="BM1520" s="783"/>
      <c r="BN1520" s="783"/>
      <c r="BO1520" s="783"/>
      <c r="BP1520" s="783"/>
      <c r="BQ1520" s="783"/>
      <c r="BR1520" s="783"/>
      <c r="BS1520" s="783"/>
      <c r="BT1520" s="783"/>
      <c r="BU1520" s="783"/>
      <c r="BV1520" s="783"/>
      <c r="BW1520" s="783"/>
      <c r="BX1520" s="783"/>
      <c r="BY1520" s="783"/>
      <c r="BZ1520" s="783">
        <f>I1520</f>
        <v>1200</v>
      </c>
      <c r="CA1520" s="794"/>
      <c r="CB1520" s="795"/>
      <c r="CC1520" s="796"/>
      <c r="CD1520" s="783"/>
      <c r="CE1520" s="783"/>
      <c r="CF1520" s="783"/>
      <c r="CG1520" s="783"/>
      <c r="CH1520" s="552"/>
      <c r="CI1520" s="783"/>
      <c r="CJ1520" s="783"/>
      <c r="CK1520" s="783"/>
      <c r="CL1520" s="783"/>
      <c r="CM1520" s="783"/>
      <c r="CN1520" s="783"/>
      <c r="CO1520" s="783"/>
      <c r="CP1520" s="797"/>
      <c r="CQ1520" s="797"/>
      <c r="CR1520" s="783"/>
      <c r="CS1520" s="783"/>
      <c r="CT1520" s="783"/>
      <c r="CU1520" s="783">
        <f t="shared" si="599"/>
        <v>0</v>
      </c>
      <c r="CV1520" s="783">
        <v>0</v>
      </c>
      <c r="CW1520" s="783">
        <v>0</v>
      </c>
      <c r="CX1520" s="797"/>
      <c r="CY1520" s="797"/>
      <c r="CZ1520" s="797"/>
      <c r="DA1520" s="797"/>
      <c r="DB1520" s="797"/>
      <c r="DC1520" s="797"/>
      <c r="DD1520" s="797"/>
      <c r="DE1520" s="797"/>
      <c r="DF1520" s="797"/>
      <c r="DG1520" s="797"/>
      <c r="DH1520" s="797"/>
      <c r="DI1520" s="783"/>
    </row>
    <row r="1521" s="552" customFormat="1" ht="31" customHeight="1" spans="1:113">
      <c r="A1521" s="778">
        <v>46142</v>
      </c>
      <c r="B1521" s="779" t="s">
        <v>3115</v>
      </c>
      <c r="C1521" s="780" t="s">
        <v>847</v>
      </c>
      <c r="D1521" s="781">
        <v>4500204775</v>
      </c>
      <c r="E1521" s="782">
        <v>5200009821</v>
      </c>
      <c r="F1521" s="783" t="s">
        <v>9717</v>
      </c>
      <c r="G1521" s="780" t="s">
        <v>6120</v>
      </c>
      <c r="H1521" s="780" t="s">
        <v>6094</v>
      </c>
      <c r="I1521" s="784">
        <v>1209</v>
      </c>
      <c r="J1521" s="780">
        <v>0</v>
      </c>
      <c r="K1521" s="780">
        <v>13</v>
      </c>
      <c r="L1521" s="785">
        <f t="shared" si="573"/>
        <v>93</v>
      </c>
      <c r="M1521" s="786">
        <v>46189</v>
      </c>
      <c r="N1521" s="786">
        <v>46185</v>
      </c>
      <c r="O1521" s="782"/>
      <c r="P1521" s="780" t="s">
        <v>113</v>
      </c>
      <c r="Q1521" s="787" t="s">
        <v>4305</v>
      </c>
      <c r="R1521" s="787">
        <v>46162</v>
      </c>
      <c r="S1521" s="787" t="s">
        <v>70</v>
      </c>
      <c r="T1521" s="787" t="s">
        <v>9718</v>
      </c>
      <c r="U1521" s="787"/>
      <c r="V1521" s="787" t="s">
        <v>4319</v>
      </c>
      <c r="W1521" s="788"/>
      <c r="X1521" s="810" t="s">
        <v>9719</v>
      </c>
      <c r="Y1521" s="789" t="s">
        <v>3894</v>
      </c>
      <c r="Z1521" s="779">
        <v>0.9448</v>
      </c>
      <c r="AA1521" s="789">
        <f t="shared" ref="AA1521:AA1555" si="602">Z1521*I1521</f>
        <v>1142.2632</v>
      </c>
      <c r="AC1521" s="790"/>
      <c r="AD1521" s="780" t="s">
        <v>6093</v>
      </c>
      <c r="AE1521" s="780" t="s">
        <v>82</v>
      </c>
      <c r="AF1521" s="780"/>
      <c r="AG1521" s="780"/>
      <c r="AH1521" s="779"/>
      <c r="AI1521" s="791">
        <v>1209</v>
      </c>
      <c r="AJ1521" s="780">
        <f t="shared" si="593"/>
        <v>0</v>
      </c>
      <c r="AK1521" s="782"/>
      <c r="AL1521" s="780" t="s">
        <v>2368</v>
      </c>
      <c r="AM1521" s="780"/>
      <c r="AN1521" s="783"/>
      <c r="AO1521" s="783">
        <f>I1521</f>
        <v>1209</v>
      </c>
      <c r="AP1521" s="783"/>
      <c r="AQ1521" s="783"/>
      <c r="AR1521" s="797"/>
      <c r="AS1521" s="783"/>
      <c r="AT1521" s="783">
        <f>I1521</f>
        <v>1209</v>
      </c>
      <c r="AU1521" s="783"/>
      <c r="AV1521" s="783">
        <f>I1521</f>
        <v>1209</v>
      </c>
      <c r="AW1521" s="783"/>
      <c r="AX1521" s="792"/>
      <c r="AY1521" s="783"/>
      <c r="AZ1521" s="783"/>
      <c r="BA1521" s="783"/>
      <c r="BB1521" s="793">
        <f>I1521/24</f>
        <v>50.375</v>
      </c>
      <c r="BC1521" s="783"/>
      <c r="BD1521" s="783"/>
      <c r="BE1521" s="783"/>
      <c r="BF1521" s="783"/>
      <c r="BG1521" s="552"/>
      <c r="BH1521" s="783"/>
      <c r="BI1521" s="783"/>
      <c r="BJ1521" s="783"/>
      <c r="BK1521" s="783"/>
      <c r="BL1521" s="783"/>
      <c r="BM1521" s="783">
        <f>I1521/13</f>
        <v>93</v>
      </c>
      <c r="BN1521" s="783"/>
      <c r="BO1521" s="783"/>
      <c r="BP1521" s="783"/>
      <c r="BQ1521" s="783"/>
      <c r="BR1521" s="783"/>
      <c r="BS1521" s="783"/>
      <c r="BT1521" s="783"/>
      <c r="BU1521" s="783"/>
      <c r="BV1521" s="783"/>
      <c r="BW1521" s="783"/>
      <c r="BX1521" s="783"/>
      <c r="BY1521" s="783"/>
      <c r="BZ1521" s="783"/>
      <c r="CA1521" s="794"/>
      <c r="CB1521" s="795"/>
      <c r="CC1521" s="796"/>
      <c r="CD1521" s="783"/>
      <c r="CE1521" s="783"/>
      <c r="CF1521" s="783"/>
      <c r="CG1521" s="783"/>
      <c r="CH1521" s="552"/>
      <c r="CI1521" s="783"/>
      <c r="CJ1521" s="783"/>
      <c r="CK1521" s="783"/>
      <c r="CL1521" s="783"/>
      <c r="CM1521" s="783"/>
      <c r="CN1521" s="783"/>
      <c r="CO1521" s="783"/>
      <c r="CP1521" s="797"/>
      <c r="CQ1521" s="797"/>
      <c r="CR1521" s="783"/>
      <c r="CS1521" s="783"/>
      <c r="CT1521" s="783"/>
      <c r="CU1521" s="783">
        <f t="shared" si="599"/>
        <v>0</v>
      </c>
      <c r="CV1521" s="783">
        <f>CK1521+CL1521+CM1521+CN1521+CO1521+CQ1521+CP1521</f>
        <v>0</v>
      </c>
      <c r="CW1521" s="783">
        <f>CI1521+CJ1521</f>
        <v>0</v>
      </c>
      <c r="CX1521" s="797"/>
      <c r="CY1521" s="797"/>
      <c r="CZ1521" s="797"/>
      <c r="DA1521" s="797"/>
      <c r="DB1521" s="797"/>
      <c r="DC1521" s="797"/>
      <c r="DD1521" s="797"/>
      <c r="DE1521" s="797"/>
      <c r="DF1521" s="797"/>
      <c r="DG1521" s="797"/>
      <c r="DH1521" s="797"/>
    </row>
    <row r="1522" s="552" customFormat="1" ht="31" customHeight="1" spans="1:113">
      <c r="A1522" s="778">
        <v>46067</v>
      </c>
      <c r="B1522" s="779" t="s">
        <v>4321</v>
      </c>
      <c r="C1522" s="780" t="s">
        <v>154</v>
      </c>
      <c r="D1522" s="799">
        <v>4500193992</v>
      </c>
      <c r="E1522" s="1422" t="s">
        <v>4322</v>
      </c>
      <c r="F1522" s="783" t="s">
        <v>9720</v>
      </c>
      <c r="G1522" s="780" t="s">
        <v>6025</v>
      </c>
      <c r="H1522" s="780" t="s">
        <v>6026</v>
      </c>
      <c r="I1522" s="780">
        <v>504</v>
      </c>
      <c r="J1522" s="780">
        <v>0</v>
      </c>
      <c r="K1522" s="780">
        <v>24</v>
      </c>
      <c r="L1522" s="785">
        <f t="shared" si="573"/>
        <v>21</v>
      </c>
      <c r="M1522" s="786">
        <v>46189</v>
      </c>
      <c r="N1522" s="786">
        <v>46185</v>
      </c>
      <c r="O1522" s="807" t="s">
        <v>4324</v>
      </c>
      <c r="P1522" s="780" t="s">
        <v>113</v>
      </c>
      <c r="Q1522" s="787">
        <v>46217</v>
      </c>
      <c r="R1522" s="787">
        <v>46139</v>
      </c>
      <c r="S1522" s="787" t="s">
        <v>70</v>
      </c>
      <c r="T1522" s="787" t="s">
        <v>9721</v>
      </c>
      <c r="U1522" s="787"/>
      <c r="V1522" s="787" t="s">
        <v>9034</v>
      </c>
      <c r="W1522" s="788"/>
      <c r="X1522" s="779" t="s">
        <v>9722</v>
      </c>
      <c r="Y1522" s="789" t="s">
        <v>167</v>
      </c>
      <c r="Z1522" s="811">
        <v>4.2622</v>
      </c>
      <c r="AA1522" s="789">
        <f t="shared" si="602"/>
        <v>2148.1488</v>
      </c>
      <c r="AC1522" s="790"/>
      <c r="AD1522" s="780" t="s">
        <v>6025</v>
      </c>
      <c r="AE1522" s="780" t="s">
        <v>82</v>
      </c>
      <c r="AF1522" s="780"/>
      <c r="AG1522" s="780"/>
      <c r="AH1522" s="779"/>
      <c r="AI1522" s="791">
        <v>504</v>
      </c>
      <c r="AJ1522" s="780">
        <f t="shared" si="593"/>
        <v>0</v>
      </c>
      <c r="AK1522" s="782"/>
      <c r="AL1522" s="780"/>
      <c r="AM1522" s="780"/>
      <c r="AN1522" s="783"/>
      <c r="AO1522" s="792">
        <f>I1522</f>
        <v>504</v>
      </c>
      <c r="AP1522" s="783"/>
      <c r="AQ1522" s="783"/>
      <c r="AR1522" s="783"/>
      <c r="AS1522" s="783"/>
      <c r="AT1522" s="783">
        <f>I1522</f>
        <v>504</v>
      </c>
      <c r="AU1522" s="783"/>
      <c r="AV1522" s="783">
        <f>I1522</f>
        <v>504</v>
      </c>
      <c r="AW1522" s="783"/>
      <c r="AX1522" s="792"/>
      <c r="AY1522" s="783"/>
      <c r="AZ1522" s="783"/>
      <c r="BA1522" s="783"/>
      <c r="BB1522" s="793">
        <f>I1522/24</f>
        <v>21</v>
      </c>
      <c r="BC1522" s="783"/>
      <c r="BD1522" s="783"/>
      <c r="BE1522" s="783"/>
      <c r="BF1522" s="783"/>
      <c r="BG1522" s="552"/>
      <c r="BH1522" s="783"/>
      <c r="BI1522" s="783"/>
      <c r="BJ1522" s="783"/>
      <c r="BK1522" s="783"/>
      <c r="BL1522" s="783"/>
      <c r="BM1522" s="783"/>
      <c r="BN1522" s="783"/>
      <c r="BO1522" s="783"/>
      <c r="BP1522" s="783"/>
      <c r="BQ1522" s="783"/>
      <c r="BR1522" s="783"/>
      <c r="BS1522" s="783"/>
      <c r="BT1522" s="783"/>
      <c r="BU1522" s="783"/>
      <c r="BV1522" s="783"/>
      <c r="BW1522" s="783"/>
      <c r="BX1522" s="783"/>
      <c r="BY1522" s="783"/>
      <c r="BZ1522" s="783"/>
      <c r="CA1522" s="794"/>
      <c r="CB1522" s="795"/>
      <c r="CC1522" s="796"/>
      <c r="CD1522" s="783"/>
      <c r="CE1522" s="783"/>
      <c r="CF1522" s="783"/>
      <c r="CG1522" s="783"/>
      <c r="CH1522" s="552"/>
      <c r="CI1522" s="783"/>
      <c r="CJ1522" s="783"/>
      <c r="CK1522" s="783"/>
      <c r="CL1522" s="783"/>
      <c r="CM1522" s="783"/>
      <c r="CN1522" s="783"/>
      <c r="CO1522" s="783"/>
      <c r="CP1522" s="797"/>
      <c r="CQ1522" s="797"/>
      <c r="CR1522" s="797"/>
      <c r="CS1522" s="797"/>
      <c r="CT1522" s="797"/>
      <c r="CU1522" s="783">
        <f t="shared" si="599"/>
        <v>0</v>
      </c>
      <c r="CV1522" s="783">
        <f>CK1522+CL1522+CM1522+CN1522+CO1522+CQ1522+CP1522</f>
        <v>0</v>
      </c>
      <c r="CW1522" s="783">
        <f>CI1522+CJ1522</f>
        <v>0</v>
      </c>
      <c r="CX1522" s="797"/>
      <c r="CY1522" s="797"/>
      <c r="CZ1522" s="797"/>
      <c r="DA1522" s="797"/>
      <c r="DB1522" s="797"/>
      <c r="DC1522" s="797"/>
      <c r="DD1522" s="797"/>
      <c r="DE1522" s="797"/>
      <c r="DF1522" s="797"/>
      <c r="DG1522" s="797"/>
      <c r="DH1522" s="797"/>
    </row>
    <row r="1523" s="552" customFormat="1" ht="31" customHeight="1" spans="1:113">
      <c r="A1523" s="778">
        <v>46136</v>
      </c>
      <c r="B1523" s="779" t="s">
        <v>3321</v>
      </c>
      <c r="C1523" s="780" t="s">
        <v>302</v>
      </c>
      <c r="D1523" s="803">
        <v>4500204054</v>
      </c>
      <c r="E1523" s="782">
        <v>4400561390</v>
      </c>
      <c r="F1523" s="783" t="s">
        <v>9723</v>
      </c>
      <c r="G1523" s="780" t="s">
        <v>6047</v>
      </c>
      <c r="H1523" s="780" t="s">
        <v>6069</v>
      </c>
      <c r="I1523" s="784">
        <v>1675</v>
      </c>
      <c r="J1523" s="780">
        <v>0</v>
      </c>
      <c r="K1523" s="780">
        <v>25</v>
      </c>
      <c r="L1523" s="785">
        <f t="shared" si="573"/>
        <v>67</v>
      </c>
      <c r="M1523" s="786">
        <v>46189</v>
      </c>
      <c r="N1523" s="786">
        <v>46185</v>
      </c>
      <c r="O1523" s="782"/>
      <c r="P1523" s="780" t="s">
        <v>113</v>
      </c>
      <c r="Q1523" s="787"/>
      <c r="R1523" s="787">
        <v>46141</v>
      </c>
      <c r="S1523" s="787" t="s">
        <v>70</v>
      </c>
      <c r="T1523" s="787" t="s">
        <v>8294</v>
      </c>
      <c r="U1523" s="787"/>
      <c r="V1523" s="787"/>
      <c r="W1523" s="788"/>
      <c r="X1523" s="779" t="s">
        <v>9531</v>
      </c>
      <c r="Y1523" s="789" t="s">
        <v>1549</v>
      </c>
      <c r="Z1523" s="779">
        <v>0.9756</v>
      </c>
      <c r="AA1523" s="789">
        <f t="shared" si="602"/>
        <v>1634.13</v>
      </c>
      <c r="AC1523" s="790"/>
      <c r="AD1523" s="780" t="s">
        <v>6047</v>
      </c>
      <c r="AE1523" s="780" t="s">
        <v>82</v>
      </c>
      <c r="AF1523" s="780"/>
      <c r="AG1523" s="780"/>
      <c r="AH1523" s="779"/>
      <c r="AI1523" s="791">
        <v>1675</v>
      </c>
      <c r="AJ1523" s="780">
        <f t="shared" si="593"/>
        <v>0</v>
      </c>
      <c r="AK1523" s="782"/>
      <c r="AL1523" s="780" t="s">
        <v>2368</v>
      </c>
      <c r="AM1523" s="780"/>
      <c r="AN1523" s="783"/>
      <c r="AO1523" s="783">
        <f>I1523</f>
        <v>1675</v>
      </c>
      <c r="AP1523" s="783"/>
      <c r="AQ1523" s="783"/>
      <c r="AR1523" s="797"/>
      <c r="AS1523" s="783"/>
      <c r="AT1523" s="783">
        <f>I1523</f>
        <v>1675</v>
      </c>
      <c r="AU1523" s="783"/>
      <c r="AV1523" s="783">
        <f>I1523</f>
        <v>1675</v>
      </c>
      <c r="AW1523" s="783"/>
      <c r="AX1523" s="792"/>
      <c r="AY1523" s="783"/>
      <c r="AZ1523" s="783"/>
      <c r="BA1523" s="783"/>
      <c r="BB1523" s="793">
        <f>I1523/24</f>
        <v>69.7916666666667</v>
      </c>
      <c r="BC1523" s="783"/>
      <c r="BD1523" s="783"/>
      <c r="BE1523" s="783"/>
      <c r="BF1523" s="783"/>
      <c r="BG1523" s="552"/>
      <c r="BH1523" s="783"/>
      <c r="BI1523" s="783"/>
      <c r="BJ1523" s="783"/>
      <c r="BK1523" s="783"/>
      <c r="BL1523" s="783"/>
      <c r="BM1523" s="783"/>
      <c r="BN1523" s="783"/>
      <c r="BO1523" s="783"/>
      <c r="BP1523" s="783">
        <f>I1523/25</f>
        <v>67</v>
      </c>
      <c r="BQ1523" s="783"/>
      <c r="BR1523" s="783"/>
      <c r="BS1523" s="783"/>
      <c r="BT1523" s="783"/>
      <c r="BU1523" s="783"/>
      <c r="BV1523" s="783"/>
      <c r="BW1523" s="783"/>
      <c r="BX1523" s="783"/>
      <c r="BY1523" s="783"/>
      <c r="BZ1523" s="783"/>
      <c r="CA1523" s="794"/>
      <c r="CB1523" s="795"/>
      <c r="CC1523" s="796"/>
      <c r="CD1523" s="783"/>
      <c r="CE1523" s="783"/>
      <c r="CF1523" s="783"/>
      <c r="CG1523" s="783"/>
      <c r="CH1523" s="552"/>
      <c r="CI1523" s="783"/>
      <c r="CJ1523" s="783"/>
      <c r="CK1523" s="783"/>
      <c r="CL1523" s="783"/>
      <c r="CM1523" s="783"/>
      <c r="CN1523" s="783"/>
      <c r="CO1523" s="783"/>
      <c r="CP1523" s="797"/>
      <c r="CQ1523" s="797"/>
      <c r="CR1523" s="783"/>
      <c r="CS1523" s="783"/>
      <c r="CT1523" s="783"/>
      <c r="CU1523" s="783">
        <f t="shared" si="599"/>
        <v>67</v>
      </c>
      <c r="CV1523" s="783">
        <f>CK1523+CL1523+CM1523+CN1523+CO1523+CQ1523+CP1523</f>
        <v>0</v>
      </c>
      <c r="CW1523" s="783">
        <f>CI1523+CJ1523</f>
        <v>0</v>
      </c>
      <c r="CX1523" s="797"/>
      <c r="CY1523" s="797"/>
      <c r="CZ1523" s="797"/>
      <c r="DA1523" s="797"/>
      <c r="DB1523" s="797"/>
      <c r="DC1523" s="797"/>
      <c r="DD1523" s="797"/>
      <c r="DE1523" s="797"/>
      <c r="DF1523" s="797"/>
      <c r="DG1523" s="797"/>
      <c r="DH1523" s="797"/>
    </row>
    <row r="1524" s="552" customFormat="1" ht="31" customHeight="1" spans="1:113">
      <c r="A1524" s="778">
        <v>46136</v>
      </c>
      <c r="B1524" s="779" t="s">
        <v>3321</v>
      </c>
      <c r="C1524" s="780" t="s">
        <v>302</v>
      </c>
      <c r="D1524" s="803">
        <v>4500204054</v>
      </c>
      <c r="E1524" s="782">
        <v>4400561391</v>
      </c>
      <c r="F1524" s="783" t="s">
        <v>9724</v>
      </c>
      <c r="G1524" s="780" t="s">
        <v>6047</v>
      </c>
      <c r="H1524" s="780" t="s">
        <v>6069</v>
      </c>
      <c r="I1524" s="784">
        <v>725</v>
      </c>
      <c r="J1524" s="780">
        <v>0</v>
      </c>
      <c r="K1524" s="780">
        <v>25</v>
      </c>
      <c r="L1524" s="785">
        <f t="shared" si="573"/>
        <v>29</v>
      </c>
      <c r="M1524" s="786">
        <v>46189</v>
      </c>
      <c r="N1524" s="786">
        <v>46185</v>
      </c>
      <c r="O1524" s="782"/>
      <c r="P1524" s="780" t="s">
        <v>113</v>
      </c>
      <c r="Q1524" s="787"/>
      <c r="R1524" s="787">
        <v>46141</v>
      </c>
      <c r="S1524" s="787" t="s">
        <v>70</v>
      </c>
      <c r="T1524" s="787" t="s">
        <v>8294</v>
      </c>
      <c r="U1524" s="787"/>
      <c r="V1524" s="787"/>
      <c r="W1524" s="788"/>
      <c r="X1524" s="779" t="s">
        <v>9531</v>
      </c>
      <c r="Y1524" s="789" t="s">
        <v>1549</v>
      </c>
      <c r="Z1524" s="779">
        <v>0.9809</v>
      </c>
      <c r="AA1524" s="789">
        <f t="shared" si="602"/>
        <v>711.1525</v>
      </c>
      <c r="AC1524" s="790"/>
      <c r="AD1524" s="780" t="s">
        <v>6047</v>
      </c>
      <c r="AE1524" s="780" t="s">
        <v>82</v>
      </c>
      <c r="AF1524" s="780"/>
      <c r="AG1524" s="780"/>
      <c r="AH1524" s="779"/>
      <c r="AI1524" s="791">
        <v>725</v>
      </c>
      <c r="AJ1524" s="780">
        <f t="shared" si="593"/>
        <v>0</v>
      </c>
      <c r="AK1524" s="782"/>
      <c r="AL1524" s="780" t="s">
        <v>2368</v>
      </c>
      <c r="AM1524" s="780"/>
      <c r="AN1524" s="783"/>
      <c r="AO1524" s="783">
        <f>I1524</f>
        <v>725</v>
      </c>
      <c r="AP1524" s="783"/>
      <c r="AQ1524" s="783"/>
      <c r="AR1524" s="797"/>
      <c r="AS1524" s="783"/>
      <c r="AT1524" s="783">
        <f>I1524</f>
        <v>725</v>
      </c>
      <c r="AU1524" s="783"/>
      <c r="AV1524" s="783">
        <f>I1524</f>
        <v>725</v>
      </c>
      <c r="AW1524" s="783"/>
      <c r="AX1524" s="792"/>
      <c r="AY1524" s="783"/>
      <c r="AZ1524" s="783"/>
      <c r="BA1524" s="783"/>
      <c r="BB1524" s="793">
        <f>I1524/24</f>
        <v>30.2083333333333</v>
      </c>
      <c r="BC1524" s="783"/>
      <c r="BD1524" s="783"/>
      <c r="BE1524" s="783"/>
      <c r="BF1524" s="783"/>
      <c r="BG1524" s="552"/>
      <c r="BH1524" s="783"/>
      <c r="BI1524" s="783"/>
      <c r="BJ1524" s="783"/>
      <c r="BK1524" s="783"/>
      <c r="BL1524" s="783"/>
      <c r="BM1524" s="783"/>
      <c r="BN1524" s="783"/>
      <c r="BO1524" s="783"/>
      <c r="BP1524" s="783">
        <f>I1524/25</f>
        <v>29</v>
      </c>
      <c r="BQ1524" s="783"/>
      <c r="BR1524" s="783"/>
      <c r="BS1524" s="783"/>
      <c r="BT1524" s="783"/>
      <c r="BU1524" s="783"/>
      <c r="BV1524" s="783"/>
      <c r="BW1524" s="783"/>
      <c r="BX1524" s="783"/>
      <c r="BY1524" s="783"/>
      <c r="BZ1524" s="783"/>
      <c r="CA1524" s="794"/>
      <c r="CB1524" s="795"/>
      <c r="CC1524" s="796"/>
      <c r="CD1524" s="783"/>
      <c r="CE1524" s="783"/>
      <c r="CF1524" s="783"/>
      <c r="CG1524" s="783"/>
      <c r="CH1524" s="552"/>
      <c r="CI1524" s="783"/>
      <c r="CJ1524" s="783"/>
      <c r="CK1524" s="783"/>
      <c r="CL1524" s="783"/>
      <c r="CM1524" s="783"/>
      <c r="CN1524" s="783"/>
      <c r="CO1524" s="783"/>
      <c r="CP1524" s="797"/>
      <c r="CQ1524" s="797"/>
      <c r="CR1524" s="783"/>
      <c r="CS1524" s="783"/>
      <c r="CT1524" s="783"/>
      <c r="CU1524" s="783">
        <f t="shared" si="599"/>
        <v>29</v>
      </c>
      <c r="CV1524" s="783">
        <f>CK1524+CL1524+CM1524+CN1524+CO1524+CQ1524+CP1524</f>
        <v>0</v>
      </c>
      <c r="CW1524" s="783">
        <f>CI1524+CJ1524</f>
        <v>0</v>
      </c>
      <c r="CX1524" s="797"/>
      <c r="CY1524" s="797"/>
      <c r="CZ1524" s="797"/>
      <c r="DA1524" s="797"/>
      <c r="DB1524" s="797"/>
      <c r="DC1524" s="797"/>
      <c r="DD1524" s="797"/>
      <c r="DE1524" s="797"/>
      <c r="DF1524" s="797"/>
      <c r="DG1524" s="797"/>
      <c r="DH1524" s="797"/>
    </row>
    <row r="1525" s="552" customFormat="1" ht="31" customHeight="1" spans="1:113">
      <c r="A1525" s="778">
        <v>46141</v>
      </c>
      <c r="B1525" s="779" t="s">
        <v>1856</v>
      </c>
      <c r="C1525" s="780" t="s">
        <v>1857</v>
      </c>
      <c r="D1525" s="803">
        <v>4500204693</v>
      </c>
      <c r="E1525" s="780" t="s">
        <v>3846</v>
      </c>
      <c r="F1525" s="783" t="s">
        <v>9725</v>
      </c>
      <c r="G1525" s="780" t="s">
        <v>6043</v>
      </c>
      <c r="H1525" s="780" t="s">
        <v>6110</v>
      </c>
      <c r="I1525" s="784">
        <v>5000</v>
      </c>
      <c r="J1525" s="780">
        <v>0</v>
      </c>
      <c r="K1525" s="780">
        <v>50</v>
      </c>
      <c r="L1525" s="785">
        <f t="shared" si="573"/>
        <v>100</v>
      </c>
      <c r="M1525" s="786">
        <v>46188</v>
      </c>
      <c r="N1525" s="805">
        <v>46188</v>
      </c>
      <c r="O1525" s="782"/>
      <c r="P1525" s="780" t="s">
        <v>9334</v>
      </c>
      <c r="Q1525" s="787"/>
      <c r="R1525" s="787">
        <v>46156</v>
      </c>
      <c r="S1525" s="787" t="s">
        <v>70</v>
      </c>
      <c r="T1525" s="787" t="s">
        <v>4401</v>
      </c>
      <c r="U1525" s="787"/>
      <c r="V1525" s="787"/>
      <c r="W1525" s="788"/>
      <c r="X1525" s="779" t="s">
        <v>4402</v>
      </c>
      <c r="Y1525" s="789" t="s">
        <v>529</v>
      </c>
      <c r="Z1525" s="779">
        <v>0.9696</v>
      </c>
      <c r="AA1525" s="789">
        <f t="shared" si="602"/>
        <v>4848</v>
      </c>
      <c r="AC1525" s="790"/>
      <c r="AD1525" s="780" t="s">
        <v>6043</v>
      </c>
      <c r="AE1525" s="780" t="s">
        <v>82</v>
      </c>
      <c r="AF1525" s="780"/>
      <c r="AG1525" s="780"/>
      <c r="AH1525" s="779"/>
      <c r="AI1525" s="791">
        <v>5000</v>
      </c>
      <c r="AJ1525" s="780">
        <f t="shared" si="593"/>
        <v>0</v>
      </c>
      <c r="AK1525" s="782"/>
      <c r="AL1525" s="780" t="s">
        <v>454</v>
      </c>
      <c r="AM1525" s="780"/>
      <c r="AN1525" s="783"/>
      <c r="AO1525" s="783">
        <f>I1525</f>
        <v>5000</v>
      </c>
      <c r="AP1525" s="783"/>
      <c r="AQ1525" s="783"/>
      <c r="AR1525" s="797"/>
      <c r="AS1525" s="783"/>
      <c r="AT1525" s="783">
        <f>I1525</f>
        <v>5000</v>
      </c>
      <c r="AU1525" s="783"/>
      <c r="AV1525" s="783">
        <f>I1525</f>
        <v>5000</v>
      </c>
      <c r="AW1525" s="783"/>
      <c r="AX1525" s="792"/>
      <c r="AY1525" s="783"/>
      <c r="AZ1525" s="783"/>
      <c r="BA1525" s="783"/>
      <c r="BB1525" s="793">
        <f>I1525/24</f>
        <v>208.333333333333</v>
      </c>
      <c r="BC1525" s="783"/>
      <c r="BD1525" s="783"/>
      <c r="BE1525" s="783"/>
      <c r="BF1525" s="783"/>
      <c r="BG1525" s="552"/>
      <c r="BH1525" s="783"/>
      <c r="BI1525" s="783"/>
      <c r="BJ1525" s="783"/>
      <c r="BK1525" s="783"/>
      <c r="BL1525" s="783"/>
      <c r="BM1525" s="783"/>
      <c r="BN1525" s="783"/>
      <c r="BO1525" s="783"/>
      <c r="BP1525" s="783">
        <f>I1525/25</f>
        <v>200</v>
      </c>
      <c r="BQ1525" s="783"/>
      <c r="BR1525" s="783"/>
      <c r="BS1525" s="783"/>
      <c r="BT1525" s="783"/>
      <c r="BU1525" s="783"/>
      <c r="BV1525" s="783"/>
      <c r="BW1525" s="783"/>
      <c r="BX1525" s="783"/>
      <c r="BY1525" s="783"/>
      <c r="BZ1525" s="783"/>
      <c r="CA1525" s="794"/>
      <c r="CB1525" s="795"/>
      <c r="CC1525" s="796"/>
      <c r="CD1525" s="783"/>
      <c r="CE1525" s="783"/>
      <c r="CF1525" s="783"/>
      <c r="CG1525" s="783"/>
      <c r="CH1525" s="552"/>
      <c r="CI1525" s="783"/>
      <c r="CJ1525" s="783"/>
      <c r="CK1525" s="783"/>
      <c r="CL1525" s="783"/>
      <c r="CM1525" s="783"/>
      <c r="CN1525" s="783"/>
      <c r="CO1525" s="783"/>
      <c r="CP1525" s="797"/>
      <c r="CQ1525" s="797"/>
      <c r="CR1525" s="783"/>
      <c r="CS1525" s="783"/>
      <c r="CT1525" s="783"/>
      <c r="CU1525" s="783">
        <f t="shared" si="599"/>
        <v>200</v>
      </c>
      <c r="CV1525" s="783">
        <f>CK1525+CL1525+CM1525+CN1525+CO1525+CQ1525+CP1525</f>
        <v>0</v>
      </c>
      <c r="CW1525" s="783">
        <f>CI1525+CJ1525</f>
        <v>0</v>
      </c>
      <c r="CX1525" s="797"/>
      <c r="CY1525" s="797"/>
      <c r="CZ1525" s="797"/>
      <c r="DA1525" s="797"/>
      <c r="DB1525" s="797"/>
      <c r="DC1525" s="797"/>
      <c r="DD1525" s="797"/>
      <c r="DE1525" s="797"/>
      <c r="DF1525" s="797"/>
      <c r="DG1525" s="797"/>
      <c r="DH1525" s="797"/>
    </row>
    <row r="1526" s="552" customFormat="1" ht="31" customHeight="1" spans="1:113">
      <c r="A1526" s="778">
        <v>46139</v>
      </c>
      <c r="B1526" s="779" t="s">
        <v>549</v>
      </c>
      <c r="C1526" s="780" t="s">
        <v>278</v>
      </c>
      <c r="D1526" s="803">
        <v>4500203640</v>
      </c>
      <c r="E1526" s="780" t="s">
        <v>4404</v>
      </c>
      <c r="F1526" s="783" t="s">
        <v>4405</v>
      </c>
      <c r="G1526" s="780" t="s">
        <v>6337</v>
      </c>
      <c r="H1526" s="780" t="s">
        <v>477</v>
      </c>
      <c r="I1526" s="784">
        <v>558</v>
      </c>
      <c r="J1526" s="780">
        <v>0</v>
      </c>
      <c r="K1526" s="780">
        <v>6</v>
      </c>
      <c r="L1526" s="785">
        <f t="shared" si="573"/>
        <v>93</v>
      </c>
      <c r="M1526" s="786">
        <v>46191</v>
      </c>
      <c r="N1526" s="786">
        <v>46188</v>
      </c>
      <c r="O1526" s="782"/>
      <c r="P1526" s="780" t="s">
        <v>113</v>
      </c>
      <c r="Q1526" s="787"/>
      <c r="R1526" s="787" t="s">
        <v>463</v>
      </c>
      <c r="S1526" s="787" t="s">
        <v>104</v>
      </c>
      <c r="T1526" s="787" t="s">
        <v>5364</v>
      </c>
      <c r="U1526" s="787"/>
      <c r="V1526" s="787"/>
      <c r="W1526" s="788"/>
      <c r="X1526" s="779" t="s">
        <v>9726</v>
      </c>
      <c r="Y1526" s="789" t="s">
        <v>428</v>
      </c>
      <c r="Z1526" s="779">
        <v>7.3574</v>
      </c>
      <c r="AA1526" s="789">
        <f t="shared" si="602"/>
        <v>4105.4292</v>
      </c>
      <c r="AC1526" s="790"/>
      <c r="AD1526" s="780" t="s">
        <v>480</v>
      </c>
      <c r="AE1526" s="780" t="s">
        <v>82</v>
      </c>
      <c r="AF1526" s="780"/>
      <c r="AG1526" s="780"/>
      <c r="AH1526" s="779"/>
      <c r="AI1526" s="791">
        <v>558</v>
      </c>
      <c r="AJ1526" s="780">
        <f t="shared" si="593"/>
        <v>0</v>
      </c>
      <c r="AK1526" s="782"/>
      <c r="AL1526" s="780"/>
      <c r="AM1526" s="780"/>
      <c r="AN1526" s="783"/>
      <c r="AO1526" s="783">
        <f>I1526*2</f>
        <v>1116</v>
      </c>
      <c r="AP1526" s="783"/>
      <c r="AQ1526" s="783"/>
      <c r="AR1526" s="797"/>
      <c r="AS1526" s="783"/>
      <c r="AT1526" s="783">
        <f>I1526*2</f>
        <v>1116</v>
      </c>
      <c r="AU1526" s="783"/>
      <c r="AV1526" s="783">
        <f>I1526*2</f>
        <v>1116</v>
      </c>
      <c r="AW1526" s="783"/>
      <c r="AX1526" s="792"/>
      <c r="AY1526" s="783"/>
      <c r="AZ1526" s="783"/>
      <c r="BA1526" s="783"/>
      <c r="BB1526" s="793">
        <f>I1526/24*2</f>
        <v>46.5</v>
      </c>
      <c r="BC1526" s="783"/>
      <c r="BD1526" s="783"/>
      <c r="BE1526" s="783"/>
      <c r="BF1526" s="783"/>
      <c r="BG1526" s="552"/>
      <c r="BH1526" s="783"/>
      <c r="BI1526" s="783"/>
      <c r="BJ1526" s="783"/>
      <c r="BK1526" s="783"/>
      <c r="BL1526" s="783"/>
      <c r="BM1526" s="783"/>
      <c r="BN1526" s="783"/>
      <c r="BO1526" s="783"/>
      <c r="BP1526" s="783"/>
      <c r="BQ1526" s="783"/>
      <c r="BR1526" s="783"/>
      <c r="BS1526" s="783"/>
      <c r="BT1526" s="783"/>
      <c r="BU1526" s="783"/>
      <c r="BV1526" s="783"/>
      <c r="BW1526" s="783"/>
      <c r="BX1526" s="783"/>
      <c r="BY1526" s="783"/>
      <c r="BZ1526" s="783"/>
      <c r="CA1526" s="794"/>
      <c r="CB1526" s="795"/>
      <c r="CC1526" s="796"/>
      <c r="CD1526" s="797">
        <f>I1526</f>
        <v>558</v>
      </c>
      <c r="CE1526" s="783"/>
      <c r="CF1526" s="783"/>
      <c r="CG1526" s="783"/>
      <c r="CH1526" s="552"/>
      <c r="CI1526" s="783"/>
      <c r="CJ1526" s="783"/>
      <c r="CK1526" s="783"/>
      <c r="CL1526" s="783"/>
      <c r="CM1526" s="783"/>
      <c r="CN1526" s="783"/>
      <c r="CO1526" s="783"/>
      <c r="CP1526" s="797"/>
      <c r="CQ1526" s="797"/>
      <c r="CR1526" s="783"/>
      <c r="CS1526" s="783"/>
      <c r="CT1526" s="783"/>
      <c r="CU1526" s="783">
        <f t="shared" si="599"/>
        <v>0</v>
      </c>
      <c r="CV1526" s="783">
        <v>0</v>
      </c>
      <c r="CW1526" s="783">
        <v>0</v>
      </c>
      <c r="CX1526" s="797"/>
      <c r="CY1526" s="797"/>
      <c r="CZ1526" s="797"/>
      <c r="DA1526" s="797"/>
      <c r="DB1526" s="797"/>
      <c r="DC1526" s="797"/>
      <c r="DD1526" s="797"/>
      <c r="DE1526" s="797"/>
      <c r="DF1526" s="797"/>
      <c r="DG1526" s="797"/>
      <c r="DH1526" s="797"/>
      <c r="DI1526" s="783"/>
    </row>
    <row r="1527" s="552" customFormat="1" ht="31" customHeight="1" spans="1:113">
      <c r="A1527" s="778">
        <v>46139</v>
      </c>
      <c r="B1527" s="779" t="s">
        <v>549</v>
      </c>
      <c r="C1527" s="780" t="s">
        <v>399</v>
      </c>
      <c r="D1527" s="803">
        <v>4500203640</v>
      </c>
      <c r="E1527" s="780" t="s">
        <v>4409</v>
      </c>
      <c r="F1527" s="783" t="s">
        <v>4410</v>
      </c>
      <c r="G1527" s="780" t="s">
        <v>6337</v>
      </c>
      <c r="H1527" s="780" t="s">
        <v>477</v>
      </c>
      <c r="I1527" s="784">
        <v>504</v>
      </c>
      <c r="J1527" s="780">
        <v>0</v>
      </c>
      <c r="K1527" s="780">
        <v>6</v>
      </c>
      <c r="L1527" s="785">
        <f t="shared" si="573"/>
        <v>84</v>
      </c>
      <c r="M1527" s="786">
        <v>46191</v>
      </c>
      <c r="N1527" s="786">
        <v>46188</v>
      </c>
      <c r="O1527" s="782"/>
      <c r="P1527" s="780" t="s">
        <v>113</v>
      </c>
      <c r="Q1527" s="787"/>
      <c r="R1527" s="787" t="s">
        <v>463</v>
      </c>
      <c r="S1527" s="787" t="s">
        <v>104</v>
      </c>
      <c r="T1527" s="787" t="s">
        <v>5364</v>
      </c>
      <c r="U1527" s="787"/>
      <c r="V1527" s="787"/>
      <c r="W1527" s="788"/>
      <c r="X1527" s="779" t="s">
        <v>9727</v>
      </c>
      <c r="Y1527" s="789" t="s">
        <v>428</v>
      </c>
      <c r="Z1527" s="779">
        <v>7.3574</v>
      </c>
      <c r="AA1527" s="789">
        <f t="shared" si="602"/>
        <v>3708.1296</v>
      </c>
      <c r="AC1527" s="790"/>
      <c r="AD1527" s="780" t="s">
        <v>480</v>
      </c>
      <c r="AE1527" s="780" t="s">
        <v>82</v>
      </c>
      <c r="AF1527" s="780"/>
      <c r="AG1527" s="780"/>
      <c r="AH1527" s="779"/>
      <c r="AI1527" s="791">
        <v>504</v>
      </c>
      <c r="AJ1527" s="780">
        <f t="shared" si="593"/>
        <v>0</v>
      </c>
      <c r="AK1527" s="782"/>
      <c r="AL1527" s="780" t="s">
        <v>2368</v>
      </c>
      <c r="AM1527" s="780"/>
      <c r="AN1527" s="783"/>
      <c r="AO1527" s="783">
        <f>I1527*2</f>
        <v>1008</v>
      </c>
      <c r="AP1527" s="783"/>
      <c r="AQ1527" s="783"/>
      <c r="AR1527" s="797"/>
      <c r="AS1527" s="783"/>
      <c r="AT1527" s="783">
        <f>I1527*2</f>
        <v>1008</v>
      </c>
      <c r="AU1527" s="783"/>
      <c r="AV1527" s="783">
        <f>I1527*2</f>
        <v>1008</v>
      </c>
      <c r="AW1527" s="783"/>
      <c r="AX1527" s="792"/>
      <c r="AY1527" s="783"/>
      <c r="AZ1527" s="783"/>
      <c r="BA1527" s="783"/>
      <c r="BB1527" s="793">
        <f>I1527/24*2</f>
        <v>42</v>
      </c>
      <c r="BC1527" s="783"/>
      <c r="BD1527" s="783"/>
      <c r="BE1527" s="783"/>
      <c r="BF1527" s="783"/>
      <c r="BG1527" s="552"/>
      <c r="BH1527" s="783"/>
      <c r="BI1527" s="783"/>
      <c r="BJ1527" s="783"/>
      <c r="BK1527" s="783"/>
      <c r="BL1527" s="783"/>
      <c r="BM1527" s="783"/>
      <c r="BN1527" s="783"/>
      <c r="BO1527" s="783"/>
      <c r="BP1527" s="783"/>
      <c r="BQ1527" s="783"/>
      <c r="BR1527" s="783"/>
      <c r="BS1527" s="783"/>
      <c r="BT1527" s="783"/>
      <c r="BU1527" s="783"/>
      <c r="BV1527" s="783"/>
      <c r="BW1527" s="783"/>
      <c r="BX1527" s="783"/>
      <c r="BY1527" s="783"/>
      <c r="BZ1527" s="783"/>
      <c r="CA1527" s="794"/>
      <c r="CB1527" s="795"/>
      <c r="CC1527" s="796"/>
      <c r="CD1527" s="797">
        <f>I1527</f>
        <v>504</v>
      </c>
      <c r="CE1527" s="783"/>
      <c r="CF1527" s="783"/>
      <c r="CG1527" s="783"/>
      <c r="CH1527" s="552"/>
      <c r="CI1527" s="783"/>
      <c r="CJ1527" s="783"/>
      <c r="CK1527" s="783"/>
      <c r="CL1527" s="783"/>
      <c r="CM1527" s="783"/>
      <c r="CN1527" s="783"/>
      <c r="CO1527" s="783"/>
      <c r="CP1527" s="797"/>
      <c r="CQ1527" s="797"/>
      <c r="CR1527" s="783"/>
      <c r="CS1527" s="783"/>
      <c r="CT1527" s="783"/>
      <c r="CU1527" s="783">
        <f t="shared" si="599"/>
        <v>0</v>
      </c>
      <c r="CV1527" s="783">
        <v>0</v>
      </c>
      <c r="CW1527" s="783">
        <v>0</v>
      </c>
      <c r="CX1527" s="797"/>
      <c r="CY1527" s="797"/>
      <c r="CZ1527" s="797"/>
      <c r="DA1527" s="797"/>
      <c r="DB1527" s="797"/>
      <c r="DC1527" s="797"/>
      <c r="DD1527" s="797"/>
      <c r="DE1527" s="797"/>
      <c r="DF1527" s="797"/>
      <c r="DG1527" s="797"/>
      <c r="DH1527" s="797"/>
      <c r="DI1527" s="783"/>
    </row>
    <row r="1528" s="552" customFormat="1" ht="31" customHeight="1" spans="1:113">
      <c r="A1528" s="778">
        <v>46139</v>
      </c>
      <c r="B1528" s="779" t="s">
        <v>549</v>
      </c>
      <c r="C1528" s="780" t="s">
        <v>411</v>
      </c>
      <c r="D1528" s="812">
        <v>4500203640</v>
      </c>
      <c r="E1528" s="780" t="s">
        <v>9728</v>
      </c>
      <c r="F1528" s="783" t="s">
        <v>9729</v>
      </c>
      <c r="G1528" s="780" t="s">
        <v>6365</v>
      </c>
      <c r="H1528" s="780" t="s">
        <v>9564</v>
      </c>
      <c r="I1528" s="784">
        <v>492</v>
      </c>
      <c r="J1528" s="780">
        <v>0</v>
      </c>
      <c r="K1528" s="780">
        <v>12</v>
      </c>
      <c r="L1528" s="785">
        <f t="shared" si="573"/>
        <v>41</v>
      </c>
      <c r="M1528" s="786">
        <v>46191</v>
      </c>
      <c r="N1528" s="786">
        <v>46188</v>
      </c>
      <c r="O1528" s="782"/>
      <c r="P1528" s="780" t="s">
        <v>113</v>
      </c>
      <c r="Q1528" s="787">
        <v>46199</v>
      </c>
      <c r="R1528" s="787" t="s">
        <v>463</v>
      </c>
      <c r="S1528" s="787" t="s">
        <v>104</v>
      </c>
      <c r="T1528" s="787" t="s">
        <v>5364</v>
      </c>
      <c r="U1528" s="787"/>
      <c r="V1528" s="787"/>
      <c r="W1528" s="788"/>
      <c r="X1528" s="779" t="s">
        <v>9730</v>
      </c>
      <c r="Y1528" s="789" t="s">
        <v>428</v>
      </c>
      <c r="Z1528" s="779">
        <v>2.2374</v>
      </c>
      <c r="AA1528" s="789">
        <f t="shared" si="602"/>
        <v>1100.8008</v>
      </c>
      <c r="AC1528" s="790"/>
      <c r="AD1528" s="780" t="s">
        <v>6368</v>
      </c>
      <c r="AE1528" s="780" t="s">
        <v>82</v>
      </c>
      <c r="AF1528" s="780"/>
      <c r="AG1528" s="780"/>
      <c r="AH1528" s="779"/>
      <c r="AI1528" s="791">
        <v>492</v>
      </c>
      <c r="AJ1528" s="780">
        <f t="shared" si="593"/>
        <v>0</v>
      </c>
      <c r="AK1528" s="782"/>
      <c r="AL1528" s="780" t="s">
        <v>2368</v>
      </c>
      <c r="AM1528" s="780"/>
      <c r="AN1528" s="783"/>
      <c r="AO1528" s="783">
        <f>I1528*2</f>
        <v>984</v>
      </c>
      <c r="AP1528" s="783"/>
      <c r="AQ1528" s="783"/>
      <c r="AR1528" s="797"/>
      <c r="AS1528" s="783"/>
      <c r="AT1528" s="783">
        <f>I1528*2</f>
        <v>984</v>
      </c>
      <c r="AU1528" s="783"/>
      <c r="AV1528" s="783">
        <f>I1528*2</f>
        <v>984</v>
      </c>
      <c r="AW1528" s="783"/>
      <c r="AX1528" s="792"/>
      <c r="AY1528" s="783"/>
      <c r="AZ1528" s="783"/>
      <c r="BA1528" s="783"/>
      <c r="BB1528" s="793">
        <f>I1528/24*2</f>
        <v>41</v>
      </c>
      <c r="BC1528" s="783"/>
      <c r="BD1528" s="783"/>
      <c r="BE1528" s="783"/>
      <c r="BF1528" s="783"/>
      <c r="BG1528" s="552"/>
      <c r="BH1528" s="783"/>
      <c r="BI1528" s="783"/>
      <c r="BJ1528" s="783"/>
      <c r="BK1528" s="783"/>
      <c r="BL1528" s="783"/>
      <c r="BM1528" s="783"/>
      <c r="BN1528" s="783"/>
      <c r="BO1528" s="783"/>
      <c r="BP1528" s="783"/>
      <c r="BQ1528" s="783"/>
      <c r="BR1528" s="783"/>
      <c r="BS1528" s="783"/>
      <c r="BT1528" s="783"/>
      <c r="BU1528" s="783"/>
      <c r="BV1528" s="783"/>
      <c r="BW1528" s="783"/>
      <c r="BX1528" s="783"/>
      <c r="BY1528" s="783"/>
      <c r="BZ1528" s="783"/>
      <c r="CA1528" s="794"/>
      <c r="CB1528" s="795"/>
      <c r="CC1528" s="796"/>
      <c r="CD1528" s="783"/>
      <c r="CE1528" s="783"/>
      <c r="CF1528" s="783"/>
      <c r="CG1528" s="783"/>
      <c r="CH1528" s="552"/>
      <c r="CI1528" s="783"/>
      <c r="CJ1528" s="783"/>
      <c r="CK1528" s="783"/>
      <c r="CL1528" s="783"/>
      <c r="CM1528" s="783"/>
      <c r="CN1528" s="783"/>
      <c r="CO1528" s="783"/>
      <c r="CP1528" s="797"/>
      <c r="CQ1528" s="797"/>
      <c r="CR1528" s="563">
        <f>I1528</f>
        <v>492</v>
      </c>
      <c r="CS1528" s="563">
        <f>I1528</f>
        <v>492</v>
      </c>
      <c r="CT1528" s="563">
        <f>I1528</f>
        <v>492</v>
      </c>
      <c r="CU1528" s="563">
        <f t="shared" si="599"/>
        <v>0</v>
      </c>
      <c r="CV1528" s="563">
        <v>0</v>
      </c>
      <c r="CW1528" s="563">
        <v>0</v>
      </c>
      <c r="CX1528" s="797"/>
      <c r="CY1528" s="797"/>
      <c r="CZ1528" s="797"/>
      <c r="DA1528" s="797"/>
      <c r="DB1528" s="797"/>
      <c r="DC1528" s="797"/>
      <c r="DD1528" s="797"/>
      <c r="DE1528" s="797"/>
      <c r="DF1528" s="797"/>
      <c r="DG1528" s="797"/>
      <c r="DH1528" s="797"/>
    </row>
    <row r="1529" s="552" customFormat="1" ht="31" customHeight="1" spans="1:113">
      <c r="A1529" s="778">
        <v>46141</v>
      </c>
      <c r="B1529" s="779" t="s">
        <v>9731</v>
      </c>
      <c r="C1529" s="780" t="s">
        <v>9732</v>
      </c>
      <c r="D1529" s="803">
        <v>4500204707</v>
      </c>
      <c r="E1529" s="780" t="s">
        <v>3846</v>
      </c>
      <c r="F1529" s="783" t="s">
        <v>9733</v>
      </c>
      <c r="G1529" s="780" t="s">
        <v>6043</v>
      </c>
      <c r="H1529" s="780" t="s">
        <v>6110</v>
      </c>
      <c r="I1529" s="784">
        <v>600</v>
      </c>
      <c r="J1529" s="780">
        <v>0</v>
      </c>
      <c r="K1529" s="780">
        <v>50</v>
      </c>
      <c r="L1529" s="785">
        <f t="shared" si="573"/>
        <v>12</v>
      </c>
      <c r="M1529" s="786">
        <v>46191</v>
      </c>
      <c r="N1529" s="786">
        <v>46188</v>
      </c>
      <c r="O1529" s="782"/>
      <c r="P1529" s="780" t="s">
        <v>113</v>
      </c>
      <c r="Q1529" s="787">
        <v>46219</v>
      </c>
      <c r="R1529" s="787">
        <v>46141</v>
      </c>
      <c r="S1529" s="787" t="s">
        <v>70</v>
      </c>
      <c r="T1529" s="787" t="s">
        <v>9734</v>
      </c>
      <c r="U1529" s="787"/>
      <c r="V1529" s="787"/>
      <c r="W1529" s="788"/>
      <c r="X1529" s="779" t="s">
        <v>9735</v>
      </c>
      <c r="Y1529" s="789" t="s">
        <v>665</v>
      </c>
      <c r="Z1529" s="779">
        <v>0.9802</v>
      </c>
      <c r="AA1529" s="789">
        <f t="shared" si="602"/>
        <v>588.12</v>
      </c>
      <c r="AC1529" s="790"/>
      <c r="AD1529" s="780" t="s">
        <v>6043</v>
      </c>
      <c r="AE1529" s="780" t="s">
        <v>82</v>
      </c>
      <c r="AF1529" s="780"/>
      <c r="AG1529" s="780"/>
      <c r="AH1529" s="779"/>
      <c r="AI1529" s="791">
        <v>600</v>
      </c>
      <c r="AJ1529" s="780">
        <f t="shared" si="593"/>
        <v>0</v>
      </c>
      <c r="AK1529" s="782"/>
      <c r="AL1529" s="780" t="s">
        <v>2368</v>
      </c>
      <c r="AM1529" s="780"/>
      <c r="AN1529" s="783"/>
      <c r="AO1529" s="783">
        <f>I1529</f>
        <v>600</v>
      </c>
      <c r="AP1529" s="783"/>
      <c r="AQ1529" s="783"/>
      <c r="AR1529" s="797"/>
      <c r="AS1529" s="783"/>
      <c r="AT1529" s="783">
        <f>I1529</f>
        <v>600</v>
      </c>
      <c r="AU1529" s="783"/>
      <c r="AV1529" s="783">
        <f>I1529</f>
        <v>600</v>
      </c>
      <c r="AW1529" s="783"/>
      <c r="AX1529" s="792"/>
      <c r="AY1529" s="783"/>
      <c r="AZ1529" s="783"/>
      <c r="BA1529" s="783"/>
      <c r="BB1529" s="793">
        <f>I1529/24</f>
        <v>25</v>
      </c>
      <c r="BC1529" s="783"/>
      <c r="BD1529" s="783"/>
      <c r="BE1529" s="783"/>
      <c r="BF1529" s="783"/>
      <c r="BG1529" s="552"/>
      <c r="BH1529" s="783"/>
      <c r="BI1529" s="783"/>
      <c r="BJ1529" s="783"/>
      <c r="BK1529" s="783"/>
      <c r="BL1529" s="783"/>
      <c r="BM1529" s="783"/>
      <c r="BN1529" s="783"/>
      <c r="BO1529" s="783"/>
      <c r="BP1529" s="783">
        <f>I1529/25</f>
        <v>24</v>
      </c>
      <c r="BQ1529" s="783"/>
      <c r="BR1529" s="783"/>
      <c r="BS1529" s="783"/>
      <c r="BT1529" s="783"/>
      <c r="BU1529" s="783"/>
      <c r="BV1529" s="783"/>
      <c r="BW1529" s="783"/>
      <c r="BX1529" s="783"/>
      <c r="BY1529" s="783"/>
      <c r="BZ1529" s="783"/>
      <c r="CA1529" s="794"/>
      <c r="CB1529" s="795"/>
      <c r="CC1529" s="796"/>
      <c r="CD1529" s="783"/>
      <c r="CE1529" s="783"/>
      <c r="CF1529" s="783"/>
      <c r="CG1529" s="783"/>
      <c r="CH1529" s="552"/>
      <c r="CI1529" s="783"/>
      <c r="CJ1529" s="783"/>
      <c r="CK1529" s="783"/>
      <c r="CL1529" s="783"/>
      <c r="CM1529" s="783"/>
      <c r="CN1529" s="783"/>
      <c r="CO1529" s="783"/>
      <c r="CP1529" s="797"/>
      <c r="CQ1529" s="797"/>
      <c r="CR1529" s="783"/>
      <c r="CS1529" s="783"/>
      <c r="CT1529" s="783"/>
      <c r="CU1529" s="783">
        <f t="shared" si="599"/>
        <v>24</v>
      </c>
      <c r="CV1529" s="783">
        <f>CK1529+CL1529+CM1529+CN1529+CO1529+CQ1529+CP1529</f>
        <v>0</v>
      </c>
      <c r="CW1529" s="783">
        <f>CI1529+CJ1529</f>
        <v>0</v>
      </c>
      <c r="CX1529" s="797"/>
      <c r="CY1529" s="797"/>
      <c r="CZ1529" s="797"/>
      <c r="DA1529" s="797"/>
      <c r="DB1529" s="797"/>
      <c r="DC1529" s="797"/>
      <c r="DD1529" s="797"/>
      <c r="DE1529" s="797"/>
      <c r="DF1529" s="797"/>
      <c r="DG1529" s="797"/>
      <c r="DH1529" s="797"/>
    </row>
    <row r="1530" s="552" customFormat="1" ht="31" customHeight="1" spans="1:113">
      <c r="A1530" s="778">
        <v>46126</v>
      </c>
      <c r="B1530" s="779" t="s">
        <v>3340</v>
      </c>
      <c r="C1530" s="780" t="s">
        <v>98</v>
      </c>
      <c r="D1530" s="783">
        <v>4500201730</v>
      </c>
      <c r="E1530" s="780">
        <v>127322</v>
      </c>
      <c r="F1530" s="783" t="s">
        <v>9736</v>
      </c>
      <c r="G1530" s="780" t="s">
        <v>6787</v>
      </c>
      <c r="H1530" s="610" t="s">
        <v>6126</v>
      </c>
      <c r="I1530" s="784">
        <v>2004</v>
      </c>
      <c r="J1530" s="780">
        <v>0</v>
      </c>
      <c r="K1530" s="780">
        <v>12</v>
      </c>
      <c r="L1530" s="785">
        <f t="shared" si="573"/>
        <v>167</v>
      </c>
      <c r="M1530" s="786">
        <v>46191</v>
      </c>
      <c r="N1530" s="786">
        <v>46188</v>
      </c>
      <c r="O1530" s="782"/>
      <c r="P1530" s="780" t="s">
        <v>113</v>
      </c>
      <c r="Q1530" s="787" t="s">
        <v>4234</v>
      </c>
      <c r="R1530" s="787">
        <v>46126</v>
      </c>
      <c r="S1530" s="787" t="s">
        <v>70</v>
      </c>
      <c r="T1530" s="787" t="s">
        <v>4147</v>
      </c>
      <c r="U1530" s="787"/>
      <c r="V1530" s="787"/>
      <c r="W1530" s="788"/>
      <c r="X1530" s="779" t="s">
        <v>9737</v>
      </c>
      <c r="Y1530" s="789" t="s">
        <v>3864</v>
      </c>
      <c r="Z1530" s="779">
        <v>1.3546</v>
      </c>
      <c r="AA1530" s="789">
        <f t="shared" si="602"/>
        <v>2714.6184</v>
      </c>
      <c r="AC1530" s="798" t="s">
        <v>4333</v>
      </c>
      <c r="AD1530" s="779" t="s">
        <v>8079</v>
      </c>
      <c r="AE1530" s="780" t="s">
        <v>82</v>
      </c>
      <c r="AF1530" s="780"/>
      <c r="AG1530" s="780"/>
      <c r="AH1530" s="779"/>
      <c r="AI1530" s="779">
        <v>2004</v>
      </c>
      <c r="AJ1530" s="780">
        <f t="shared" si="593"/>
        <v>0</v>
      </c>
      <c r="AK1530" s="782"/>
      <c r="AL1530" s="780" t="s">
        <v>2368</v>
      </c>
      <c r="AM1530" s="780"/>
      <c r="AN1530" s="780">
        <f t="shared" ref="AN1530:AN1535" si="603">I1530*2</f>
        <v>4008</v>
      </c>
      <c r="AO1530" s="783"/>
      <c r="AP1530" s="783"/>
      <c r="AQ1530" s="783">
        <f t="shared" ref="AQ1530:AQ1535" si="604">I1530*2</f>
        <v>4008</v>
      </c>
      <c r="AR1530" s="797"/>
      <c r="AS1530" s="783"/>
      <c r="AT1530" s="783"/>
      <c r="AU1530" s="783">
        <f t="shared" ref="AU1530:AU1535" si="605">I1530*2</f>
        <v>4008</v>
      </c>
      <c r="AV1530" s="783"/>
      <c r="AW1530" s="783"/>
      <c r="AX1530" s="792"/>
      <c r="AY1530" s="783"/>
      <c r="AZ1530" s="783"/>
      <c r="BA1530" s="783"/>
      <c r="BB1530" s="793">
        <f t="shared" ref="BB1530:BB1535" si="606">I1530/24*2</f>
        <v>167</v>
      </c>
      <c r="BC1530" s="783"/>
      <c r="BD1530" s="783"/>
      <c r="BE1530" s="783"/>
      <c r="BF1530" s="783"/>
      <c r="BG1530" s="552"/>
      <c r="BH1530" s="783"/>
      <c r="BI1530" s="783"/>
      <c r="BJ1530" s="783"/>
      <c r="BK1530" s="783"/>
      <c r="BL1530" s="783"/>
      <c r="BM1530" s="783"/>
      <c r="BN1530" s="783"/>
      <c r="BO1530" s="783"/>
      <c r="BP1530" s="783"/>
      <c r="BQ1530" s="783"/>
      <c r="BR1530" s="783"/>
      <c r="BS1530" s="783"/>
      <c r="BT1530" s="783"/>
      <c r="BU1530" s="783"/>
      <c r="BV1530" s="783"/>
      <c r="BW1530" s="783"/>
      <c r="BX1530" s="783"/>
      <c r="BY1530" s="783"/>
      <c r="BZ1530" s="783"/>
      <c r="CA1530" s="794"/>
      <c r="CB1530" s="795"/>
      <c r="CC1530" s="796"/>
      <c r="CD1530" s="783"/>
      <c r="CE1530" s="783"/>
      <c r="CF1530" s="783"/>
      <c r="CG1530" s="783"/>
      <c r="CH1530" s="552"/>
      <c r="CI1530" s="783"/>
      <c r="CJ1530" s="783"/>
      <c r="CK1530" s="783"/>
      <c r="CL1530" s="783"/>
      <c r="CM1530" s="783"/>
      <c r="CN1530" s="783"/>
      <c r="CO1530" s="783"/>
      <c r="CP1530" s="797"/>
      <c r="CQ1530" s="797"/>
      <c r="CR1530" s="783">
        <f t="shared" ref="CR1530:CR1535" si="607">I1530</f>
        <v>2004</v>
      </c>
      <c r="CS1530" s="783">
        <f t="shared" ref="CS1530:CS1535" si="608">I1530</f>
        <v>2004</v>
      </c>
      <c r="CT1530" s="783">
        <f t="shared" ref="CT1530:CT1535" si="609">I1530</f>
        <v>2004</v>
      </c>
      <c r="CU1530" s="783">
        <f t="shared" si="599"/>
        <v>0</v>
      </c>
      <c r="CV1530" s="783">
        <v>0</v>
      </c>
      <c r="CW1530" s="783">
        <v>0</v>
      </c>
      <c r="CX1530" s="797"/>
      <c r="CY1530" s="797"/>
      <c r="CZ1530" s="797"/>
      <c r="DA1530" s="797"/>
      <c r="DB1530" s="797"/>
      <c r="DC1530" s="797"/>
      <c r="DD1530" s="797"/>
      <c r="DE1530" s="797"/>
      <c r="DF1530" s="797"/>
      <c r="DG1530" s="797"/>
      <c r="DH1530" s="797"/>
    </row>
    <row r="1531" s="552" customFormat="1" ht="31" customHeight="1" spans="1:113">
      <c r="A1531" s="778">
        <v>46126</v>
      </c>
      <c r="B1531" s="779" t="s">
        <v>3340</v>
      </c>
      <c r="C1531" s="780" t="s">
        <v>98</v>
      </c>
      <c r="D1531" s="783">
        <v>4500201732</v>
      </c>
      <c r="E1531" s="780">
        <v>127323</v>
      </c>
      <c r="F1531" s="783" t="s">
        <v>9738</v>
      </c>
      <c r="G1531" s="780" t="s">
        <v>6787</v>
      </c>
      <c r="H1531" s="610" t="s">
        <v>6126</v>
      </c>
      <c r="I1531" s="784">
        <v>1800</v>
      </c>
      <c r="J1531" s="780">
        <v>0</v>
      </c>
      <c r="K1531" s="780">
        <v>12</v>
      </c>
      <c r="L1531" s="785">
        <f t="shared" si="573"/>
        <v>150</v>
      </c>
      <c r="M1531" s="786">
        <v>46191</v>
      </c>
      <c r="N1531" s="786">
        <v>46188</v>
      </c>
      <c r="O1531" s="782"/>
      <c r="P1531" s="780" t="s">
        <v>113</v>
      </c>
      <c r="Q1531" s="787" t="s">
        <v>4234</v>
      </c>
      <c r="R1531" s="787">
        <v>46126</v>
      </c>
      <c r="S1531" s="787" t="s">
        <v>70</v>
      </c>
      <c r="T1531" s="787" t="s">
        <v>4147</v>
      </c>
      <c r="U1531" s="787"/>
      <c r="V1531" s="787"/>
      <c r="W1531" s="788"/>
      <c r="X1531" s="779" t="s">
        <v>9739</v>
      </c>
      <c r="Y1531" s="789" t="s">
        <v>3864</v>
      </c>
      <c r="Z1531" s="779">
        <v>1.3546</v>
      </c>
      <c r="AA1531" s="789">
        <f t="shared" si="602"/>
        <v>2438.28</v>
      </c>
      <c r="AC1531" s="798" t="s">
        <v>4336</v>
      </c>
      <c r="AD1531" s="779" t="s">
        <v>8079</v>
      </c>
      <c r="AE1531" s="780" t="s">
        <v>82</v>
      </c>
      <c r="AF1531" s="780"/>
      <c r="AG1531" s="780"/>
      <c r="AH1531" s="779"/>
      <c r="AI1531" s="779">
        <v>1800</v>
      </c>
      <c r="AJ1531" s="780">
        <f t="shared" si="593"/>
        <v>0</v>
      </c>
      <c r="AK1531" s="782"/>
      <c r="AL1531" s="780" t="s">
        <v>2368</v>
      </c>
      <c r="AM1531" s="780"/>
      <c r="AN1531" s="780">
        <f t="shared" si="603"/>
        <v>3600</v>
      </c>
      <c r="AO1531" s="783"/>
      <c r="AP1531" s="783"/>
      <c r="AQ1531" s="783">
        <f t="shared" si="604"/>
        <v>3600</v>
      </c>
      <c r="AR1531" s="797"/>
      <c r="AS1531" s="783"/>
      <c r="AT1531" s="783"/>
      <c r="AU1531" s="783">
        <f t="shared" si="605"/>
        <v>3600</v>
      </c>
      <c r="AV1531" s="783"/>
      <c r="AW1531" s="783"/>
      <c r="AX1531" s="792"/>
      <c r="AY1531" s="783"/>
      <c r="AZ1531" s="783"/>
      <c r="BA1531" s="783"/>
      <c r="BB1531" s="793">
        <f t="shared" si="606"/>
        <v>150</v>
      </c>
      <c r="BC1531" s="783"/>
      <c r="BD1531" s="783"/>
      <c r="BE1531" s="783"/>
      <c r="BF1531" s="783"/>
      <c r="BG1531" s="552"/>
      <c r="BH1531" s="783"/>
      <c r="BI1531" s="783"/>
      <c r="BJ1531" s="783"/>
      <c r="BK1531" s="783"/>
      <c r="BL1531" s="783"/>
      <c r="BM1531" s="783"/>
      <c r="BN1531" s="783"/>
      <c r="BO1531" s="783"/>
      <c r="BP1531" s="783"/>
      <c r="BQ1531" s="783"/>
      <c r="BR1531" s="783"/>
      <c r="BS1531" s="783"/>
      <c r="BT1531" s="783"/>
      <c r="BU1531" s="783"/>
      <c r="BV1531" s="783"/>
      <c r="BW1531" s="783"/>
      <c r="BX1531" s="783"/>
      <c r="BY1531" s="783"/>
      <c r="BZ1531" s="783"/>
      <c r="CA1531" s="794"/>
      <c r="CB1531" s="795"/>
      <c r="CC1531" s="796"/>
      <c r="CD1531" s="783"/>
      <c r="CE1531" s="783"/>
      <c r="CF1531" s="783"/>
      <c r="CG1531" s="783"/>
      <c r="CH1531" s="552"/>
      <c r="CI1531" s="783"/>
      <c r="CJ1531" s="783"/>
      <c r="CK1531" s="783"/>
      <c r="CL1531" s="783"/>
      <c r="CM1531" s="783"/>
      <c r="CN1531" s="783"/>
      <c r="CO1531" s="783"/>
      <c r="CP1531" s="797"/>
      <c r="CQ1531" s="797"/>
      <c r="CR1531" s="783">
        <f t="shared" si="607"/>
        <v>1800</v>
      </c>
      <c r="CS1531" s="783">
        <f t="shared" si="608"/>
        <v>1800</v>
      </c>
      <c r="CT1531" s="783">
        <f t="shared" si="609"/>
        <v>1800</v>
      </c>
      <c r="CU1531" s="783">
        <f t="shared" si="599"/>
        <v>0</v>
      </c>
      <c r="CV1531" s="783">
        <v>0</v>
      </c>
      <c r="CW1531" s="783">
        <v>0</v>
      </c>
      <c r="CX1531" s="797"/>
      <c r="CY1531" s="797"/>
      <c r="CZ1531" s="797"/>
      <c r="DA1531" s="797"/>
      <c r="DB1531" s="797"/>
      <c r="DC1531" s="797"/>
      <c r="DD1531" s="797"/>
      <c r="DE1531" s="797"/>
      <c r="DF1531" s="797"/>
      <c r="DG1531" s="797"/>
      <c r="DH1531" s="797"/>
    </row>
    <row r="1532" s="552" customFormat="1" ht="31" customHeight="1" spans="1:113">
      <c r="A1532" s="778">
        <v>46126</v>
      </c>
      <c r="B1532" s="779" t="s">
        <v>3340</v>
      </c>
      <c r="C1532" s="780" t="s">
        <v>98</v>
      </c>
      <c r="D1532" s="783">
        <v>4500201735</v>
      </c>
      <c r="E1532" s="780">
        <v>127324</v>
      </c>
      <c r="F1532" s="783" t="s">
        <v>9740</v>
      </c>
      <c r="G1532" s="780" t="s">
        <v>6787</v>
      </c>
      <c r="H1532" s="610" t="s">
        <v>6126</v>
      </c>
      <c r="I1532" s="784">
        <v>2004</v>
      </c>
      <c r="J1532" s="780">
        <v>0</v>
      </c>
      <c r="K1532" s="780">
        <v>12</v>
      </c>
      <c r="L1532" s="785">
        <f t="shared" si="573"/>
        <v>167</v>
      </c>
      <c r="M1532" s="786">
        <v>46191</v>
      </c>
      <c r="N1532" s="786">
        <v>46188</v>
      </c>
      <c r="O1532" s="782"/>
      <c r="P1532" s="780" t="s">
        <v>113</v>
      </c>
      <c r="Q1532" s="787" t="s">
        <v>4234</v>
      </c>
      <c r="R1532" s="787">
        <v>46126</v>
      </c>
      <c r="S1532" s="787" t="s">
        <v>70</v>
      </c>
      <c r="T1532" s="787" t="s">
        <v>4147</v>
      </c>
      <c r="U1532" s="787"/>
      <c r="V1532" s="787"/>
      <c r="W1532" s="788"/>
      <c r="X1532" s="779" t="s">
        <v>9741</v>
      </c>
      <c r="Y1532" s="789" t="s">
        <v>3864</v>
      </c>
      <c r="Z1532" s="779">
        <v>1.3318</v>
      </c>
      <c r="AA1532" s="789">
        <f t="shared" si="602"/>
        <v>2668.9272</v>
      </c>
      <c r="AC1532" s="798" t="s">
        <v>9742</v>
      </c>
      <c r="AD1532" s="779" t="s">
        <v>8079</v>
      </c>
      <c r="AE1532" s="780" t="s">
        <v>82</v>
      </c>
      <c r="AF1532" s="780"/>
      <c r="AG1532" s="780"/>
      <c r="AH1532" s="779"/>
      <c r="AI1532" s="779">
        <v>2004</v>
      </c>
      <c r="AJ1532" s="780">
        <f t="shared" si="593"/>
        <v>0</v>
      </c>
      <c r="AK1532" s="782"/>
      <c r="AL1532" s="780" t="s">
        <v>2368</v>
      </c>
      <c r="AM1532" s="780"/>
      <c r="AN1532" s="780">
        <f t="shared" si="603"/>
        <v>4008</v>
      </c>
      <c r="AO1532" s="783"/>
      <c r="AP1532" s="783"/>
      <c r="AQ1532" s="783">
        <f t="shared" si="604"/>
        <v>4008</v>
      </c>
      <c r="AR1532" s="797"/>
      <c r="AS1532" s="783"/>
      <c r="AT1532" s="783"/>
      <c r="AU1532" s="783">
        <f t="shared" si="605"/>
        <v>4008</v>
      </c>
      <c r="AV1532" s="783"/>
      <c r="AW1532" s="783"/>
      <c r="AX1532" s="792"/>
      <c r="AY1532" s="783"/>
      <c r="AZ1532" s="783"/>
      <c r="BA1532" s="783"/>
      <c r="BB1532" s="793">
        <f t="shared" si="606"/>
        <v>167</v>
      </c>
      <c r="BC1532" s="783"/>
      <c r="BD1532" s="783"/>
      <c r="BE1532" s="783"/>
      <c r="BF1532" s="783"/>
      <c r="BG1532" s="552"/>
      <c r="BH1532" s="783"/>
      <c r="BI1532" s="783"/>
      <c r="BJ1532" s="783"/>
      <c r="BK1532" s="783"/>
      <c r="BL1532" s="783"/>
      <c r="BM1532" s="783"/>
      <c r="BN1532" s="783"/>
      <c r="BO1532" s="783"/>
      <c r="BP1532" s="783"/>
      <c r="BQ1532" s="783"/>
      <c r="BR1532" s="783"/>
      <c r="BS1532" s="783"/>
      <c r="BT1532" s="783"/>
      <c r="BU1532" s="783"/>
      <c r="BV1532" s="783"/>
      <c r="BW1532" s="783"/>
      <c r="BX1532" s="783"/>
      <c r="BY1532" s="783"/>
      <c r="BZ1532" s="783"/>
      <c r="CA1532" s="794"/>
      <c r="CB1532" s="795"/>
      <c r="CC1532" s="796"/>
      <c r="CD1532" s="783"/>
      <c r="CE1532" s="783"/>
      <c r="CF1532" s="783"/>
      <c r="CG1532" s="783"/>
      <c r="CH1532" s="552"/>
      <c r="CI1532" s="783"/>
      <c r="CJ1532" s="783"/>
      <c r="CK1532" s="783"/>
      <c r="CL1532" s="783"/>
      <c r="CM1532" s="783"/>
      <c r="CN1532" s="783"/>
      <c r="CO1532" s="783"/>
      <c r="CP1532" s="797"/>
      <c r="CQ1532" s="797"/>
      <c r="CR1532" s="783">
        <f t="shared" si="607"/>
        <v>2004</v>
      </c>
      <c r="CS1532" s="783">
        <f t="shared" si="608"/>
        <v>2004</v>
      </c>
      <c r="CT1532" s="783">
        <f t="shared" si="609"/>
        <v>2004</v>
      </c>
      <c r="CU1532" s="783">
        <f t="shared" si="599"/>
        <v>0</v>
      </c>
      <c r="CV1532" s="783">
        <v>0</v>
      </c>
      <c r="CW1532" s="783">
        <v>0</v>
      </c>
      <c r="CX1532" s="797"/>
      <c r="CY1532" s="797"/>
      <c r="CZ1532" s="797"/>
      <c r="DA1532" s="797"/>
      <c r="DB1532" s="797"/>
      <c r="DC1532" s="797"/>
      <c r="DD1532" s="797"/>
      <c r="DE1532" s="797"/>
      <c r="DF1532" s="797"/>
      <c r="DG1532" s="797"/>
      <c r="DH1532" s="797"/>
    </row>
    <row r="1533" s="552" customFormat="1" ht="31" customHeight="1" spans="1:113">
      <c r="A1533" s="778">
        <v>46126</v>
      </c>
      <c r="B1533" s="779" t="s">
        <v>3340</v>
      </c>
      <c r="C1533" s="780" t="s">
        <v>98</v>
      </c>
      <c r="D1533" s="783">
        <v>4500201739</v>
      </c>
      <c r="E1533" s="780">
        <v>127335</v>
      </c>
      <c r="F1533" s="783" t="s">
        <v>9743</v>
      </c>
      <c r="G1533" s="780" t="s">
        <v>6787</v>
      </c>
      <c r="H1533" s="610" t="s">
        <v>6126</v>
      </c>
      <c r="I1533" s="784">
        <v>2196</v>
      </c>
      <c r="J1533" s="780">
        <v>0</v>
      </c>
      <c r="K1533" s="780">
        <v>12</v>
      </c>
      <c r="L1533" s="785">
        <f t="shared" si="573"/>
        <v>183</v>
      </c>
      <c r="M1533" s="786">
        <v>46191</v>
      </c>
      <c r="N1533" s="786">
        <v>46188</v>
      </c>
      <c r="O1533" s="782"/>
      <c r="P1533" s="780" t="s">
        <v>113</v>
      </c>
      <c r="Q1533" s="787" t="s">
        <v>4342</v>
      </c>
      <c r="R1533" s="787">
        <v>46126</v>
      </c>
      <c r="S1533" s="787" t="s">
        <v>70</v>
      </c>
      <c r="T1533" s="787" t="s">
        <v>4147</v>
      </c>
      <c r="U1533" s="787"/>
      <c r="V1533" s="787"/>
      <c r="W1533" s="788"/>
      <c r="X1533" s="779" t="s">
        <v>9744</v>
      </c>
      <c r="Y1533" s="789" t="s">
        <v>3864</v>
      </c>
      <c r="Z1533" s="779">
        <v>1.3546</v>
      </c>
      <c r="AA1533" s="789">
        <f t="shared" si="602"/>
        <v>2974.7016</v>
      </c>
      <c r="AC1533" s="798" t="s">
        <v>4344</v>
      </c>
      <c r="AD1533" s="779" t="s">
        <v>8079</v>
      </c>
      <c r="AE1533" s="780" t="s">
        <v>82</v>
      </c>
      <c r="AF1533" s="780"/>
      <c r="AG1533" s="780"/>
      <c r="AH1533" s="779"/>
      <c r="AI1533" s="779">
        <v>2196</v>
      </c>
      <c r="AJ1533" s="780">
        <f t="shared" si="593"/>
        <v>0</v>
      </c>
      <c r="AK1533" s="782"/>
      <c r="AL1533" s="780" t="s">
        <v>2368</v>
      </c>
      <c r="AM1533" s="780"/>
      <c r="AN1533" s="780">
        <f t="shared" si="603"/>
        <v>4392</v>
      </c>
      <c r="AO1533" s="783"/>
      <c r="AP1533" s="783"/>
      <c r="AQ1533" s="783">
        <f t="shared" si="604"/>
        <v>4392</v>
      </c>
      <c r="AR1533" s="797"/>
      <c r="AS1533" s="783"/>
      <c r="AT1533" s="783"/>
      <c r="AU1533" s="783">
        <f t="shared" si="605"/>
        <v>4392</v>
      </c>
      <c r="AV1533" s="783"/>
      <c r="AW1533" s="783"/>
      <c r="AX1533" s="792"/>
      <c r="AY1533" s="783"/>
      <c r="AZ1533" s="783"/>
      <c r="BA1533" s="783"/>
      <c r="BB1533" s="793">
        <f t="shared" si="606"/>
        <v>183</v>
      </c>
      <c r="BC1533" s="783"/>
      <c r="BD1533" s="783"/>
      <c r="BE1533" s="783"/>
      <c r="BF1533" s="783"/>
      <c r="BG1533" s="552"/>
      <c r="BH1533" s="783"/>
      <c r="BI1533" s="783"/>
      <c r="BJ1533" s="783"/>
      <c r="BK1533" s="783"/>
      <c r="BL1533" s="783"/>
      <c r="BM1533" s="783"/>
      <c r="BN1533" s="783"/>
      <c r="BO1533" s="783"/>
      <c r="BP1533" s="783"/>
      <c r="BQ1533" s="783"/>
      <c r="BR1533" s="783"/>
      <c r="BS1533" s="783"/>
      <c r="BT1533" s="783"/>
      <c r="BU1533" s="783"/>
      <c r="BV1533" s="783"/>
      <c r="BW1533" s="783"/>
      <c r="BX1533" s="783"/>
      <c r="BY1533" s="783"/>
      <c r="BZ1533" s="783"/>
      <c r="CA1533" s="794"/>
      <c r="CB1533" s="795"/>
      <c r="CC1533" s="796"/>
      <c r="CD1533" s="783"/>
      <c r="CE1533" s="783"/>
      <c r="CF1533" s="783"/>
      <c r="CG1533" s="783"/>
      <c r="CH1533" s="552"/>
      <c r="CI1533" s="783"/>
      <c r="CJ1533" s="783"/>
      <c r="CK1533" s="783"/>
      <c r="CL1533" s="783"/>
      <c r="CM1533" s="783"/>
      <c r="CN1533" s="783"/>
      <c r="CO1533" s="783"/>
      <c r="CP1533" s="797"/>
      <c r="CQ1533" s="797"/>
      <c r="CR1533" s="783">
        <f t="shared" si="607"/>
        <v>2196</v>
      </c>
      <c r="CS1533" s="783">
        <f t="shared" si="608"/>
        <v>2196</v>
      </c>
      <c r="CT1533" s="783">
        <f t="shared" si="609"/>
        <v>2196</v>
      </c>
      <c r="CU1533" s="783">
        <f t="shared" si="599"/>
        <v>0</v>
      </c>
      <c r="CV1533" s="783">
        <v>0</v>
      </c>
      <c r="CW1533" s="783">
        <v>0</v>
      </c>
      <c r="CX1533" s="797"/>
      <c r="CY1533" s="797"/>
      <c r="CZ1533" s="797"/>
      <c r="DA1533" s="797"/>
      <c r="DB1533" s="797"/>
      <c r="DC1533" s="797"/>
      <c r="DD1533" s="797"/>
      <c r="DE1533" s="797"/>
      <c r="DF1533" s="797"/>
      <c r="DG1533" s="797"/>
      <c r="DH1533" s="797"/>
    </row>
    <row r="1534" s="552" customFormat="1" ht="31" customHeight="1" spans="1:113">
      <c r="A1534" s="778">
        <v>46126</v>
      </c>
      <c r="B1534" s="779" t="s">
        <v>3340</v>
      </c>
      <c r="C1534" s="780" t="s">
        <v>98</v>
      </c>
      <c r="D1534" s="783">
        <v>4500201740</v>
      </c>
      <c r="E1534" s="780">
        <v>127336</v>
      </c>
      <c r="F1534" s="783" t="s">
        <v>9745</v>
      </c>
      <c r="G1534" s="780" t="s">
        <v>6787</v>
      </c>
      <c r="H1534" s="610" t="s">
        <v>6126</v>
      </c>
      <c r="I1534" s="784">
        <v>2004</v>
      </c>
      <c r="J1534" s="780">
        <v>0</v>
      </c>
      <c r="K1534" s="780">
        <v>12</v>
      </c>
      <c r="L1534" s="785">
        <f t="shared" si="573"/>
        <v>167</v>
      </c>
      <c r="M1534" s="786">
        <v>46191</v>
      </c>
      <c r="N1534" s="786">
        <v>46188</v>
      </c>
      <c r="O1534" s="782"/>
      <c r="P1534" s="780" t="s">
        <v>113</v>
      </c>
      <c r="Q1534" s="787" t="s">
        <v>4342</v>
      </c>
      <c r="R1534" s="787">
        <v>46126</v>
      </c>
      <c r="S1534" s="787" t="s">
        <v>70</v>
      </c>
      <c r="T1534" s="787" t="s">
        <v>4147</v>
      </c>
      <c r="U1534" s="787"/>
      <c r="V1534" s="787"/>
      <c r="W1534" s="788"/>
      <c r="X1534" s="779" t="s">
        <v>9746</v>
      </c>
      <c r="Y1534" s="789" t="s">
        <v>3864</v>
      </c>
      <c r="Z1534" s="779">
        <v>1.3546</v>
      </c>
      <c r="AA1534" s="789">
        <f t="shared" si="602"/>
        <v>2714.6184</v>
      </c>
      <c r="AC1534" s="798" t="s">
        <v>4347</v>
      </c>
      <c r="AD1534" s="779" t="s">
        <v>8079</v>
      </c>
      <c r="AE1534" s="780" t="s">
        <v>82</v>
      </c>
      <c r="AF1534" s="780"/>
      <c r="AG1534" s="780"/>
      <c r="AH1534" s="779"/>
      <c r="AI1534" s="779">
        <v>2004</v>
      </c>
      <c r="AJ1534" s="780">
        <f t="shared" si="593"/>
        <v>0</v>
      </c>
      <c r="AK1534" s="782"/>
      <c r="AL1534" s="780" t="s">
        <v>2368</v>
      </c>
      <c r="AM1534" s="780"/>
      <c r="AN1534" s="780">
        <f t="shared" si="603"/>
        <v>4008</v>
      </c>
      <c r="AO1534" s="783"/>
      <c r="AP1534" s="783"/>
      <c r="AQ1534" s="783">
        <f t="shared" si="604"/>
        <v>4008</v>
      </c>
      <c r="AR1534" s="797"/>
      <c r="AS1534" s="783"/>
      <c r="AT1534" s="783"/>
      <c r="AU1534" s="783">
        <f t="shared" si="605"/>
        <v>4008</v>
      </c>
      <c r="AV1534" s="783"/>
      <c r="AW1534" s="783"/>
      <c r="AX1534" s="792"/>
      <c r="AY1534" s="783"/>
      <c r="AZ1534" s="783"/>
      <c r="BA1534" s="783"/>
      <c r="BB1534" s="793">
        <f t="shared" si="606"/>
        <v>167</v>
      </c>
      <c r="BC1534" s="783"/>
      <c r="BD1534" s="783"/>
      <c r="BE1534" s="783"/>
      <c r="BF1534" s="783"/>
      <c r="BG1534" s="552"/>
      <c r="BH1534" s="783"/>
      <c r="BI1534" s="783"/>
      <c r="BJ1534" s="783"/>
      <c r="BK1534" s="783"/>
      <c r="BL1534" s="783"/>
      <c r="BM1534" s="783"/>
      <c r="BN1534" s="783"/>
      <c r="BO1534" s="783"/>
      <c r="BP1534" s="783"/>
      <c r="BQ1534" s="783"/>
      <c r="BR1534" s="783"/>
      <c r="BS1534" s="783"/>
      <c r="BT1534" s="783"/>
      <c r="BU1534" s="783"/>
      <c r="BV1534" s="783"/>
      <c r="BW1534" s="783"/>
      <c r="BX1534" s="783"/>
      <c r="BY1534" s="783"/>
      <c r="BZ1534" s="783"/>
      <c r="CA1534" s="794"/>
      <c r="CB1534" s="795"/>
      <c r="CC1534" s="796"/>
      <c r="CD1534" s="783"/>
      <c r="CE1534" s="783"/>
      <c r="CF1534" s="783"/>
      <c r="CG1534" s="783"/>
      <c r="CH1534" s="552"/>
      <c r="CI1534" s="783"/>
      <c r="CJ1534" s="783"/>
      <c r="CK1534" s="783"/>
      <c r="CL1534" s="783"/>
      <c r="CM1534" s="783"/>
      <c r="CN1534" s="783"/>
      <c r="CO1534" s="783"/>
      <c r="CP1534" s="797"/>
      <c r="CQ1534" s="797"/>
      <c r="CR1534" s="783">
        <f t="shared" si="607"/>
        <v>2004</v>
      </c>
      <c r="CS1534" s="783">
        <f t="shared" si="608"/>
        <v>2004</v>
      </c>
      <c r="CT1534" s="783">
        <f t="shared" si="609"/>
        <v>2004</v>
      </c>
      <c r="CU1534" s="783">
        <f t="shared" si="599"/>
        <v>0</v>
      </c>
      <c r="CV1534" s="783">
        <v>0</v>
      </c>
      <c r="CW1534" s="783">
        <v>0</v>
      </c>
      <c r="CX1534" s="797"/>
      <c r="CY1534" s="797"/>
      <c r="CZ1534" s="797"/>
      <c r="DA1534" s="797"/>
      <c r="DB1534" s="797"/>
      <c r="DC1534" s="797"/>
      <c r="DD1534" s="797"/>
      <c r="DE1534" s="797"/>
      <c r="DF1534" s="797"/>
      <c r="DG1534" s="797"/>
      <c r="DH1534" s="797"/>
    </row>
    <row r="1535" s="552" customFormat="1" ht="31" customHeight="1" spans="1:113">
      <c r="A1535" s="778">
        <v>46126</v>
      </c>
      <c r="B1535" s="779" t="s">
        <v>3340</v>
      </c>
      <c r="C1535" s="780" t="s">
        <v>98</v>
      </c>
      <c r="D1535" s="783">
        <v>4500201742</v>
      </c>
      <c r="E1535" s="780">
        <v>127337</v>
      </c>
      <c r="F1535" s="783" t="s">
        <v>9747</v>
      </c>
      <c r="G1535" s="780" t="s">
        <v>6787</v>
      </c>
      <c r="H1535" s="610" t="s">
        <v>6126</v>
      </c>
      <c r="I1535" s="784">
        <v>2196</v>
      </c>
      <c r="J1535" s="780">
        <v>0</v>
      </c>
      <c r="K1535" s="780">
        <v>12</v>
      </c>
      <c r="L1535" s="785">
        <f t="shared" si="573"/>
        <v>183</v>
      </c>
      <c r="M1535" s="786">
        <v>46191</v>
      </c>
      <c r="N1535" s="786">
        <v>46188</v>
      </c>
      <c r="O1535" s="782"/>
      <c r="P1535" s="780" t="s">
        <v>113</v>
      </c>
      <c r="Q1535" s="787" t="s">
        <v>4342</v>
      </c>
      <c r="R1535" s="787">
        <v>46126</v>
      </c>
      <c r="S1535" s="787" t="s">
        <v>70</v>
      </c>
      <c r="T1535" s="787" t="s">
        <v>4581</v>
      </c>
      <c r="U1535" s="787"/>
      <c r="V1535" s="787"/>
      <c r="W1535" s="788"/>
      <c r="X1535" s="779" t="s">
        <v>9748</v>
      </c>
      <c r="Y1535" s="789" t="s">
        <v>3864</v>
      </c>
      <c r="Z1535" s="779">
        <v>1.3318</v>
      </c>
      <c r="AA1535" s="789">
        <f t="shared" si="602"/>
        <v>2924.6328</v>
      </c>
      <c r="AC1535" s="798" t="s">
        <v>9749</v>
      </c>
      <c r="AD1535" s="779" t="s">
        <v>8079</v>
      </c>
      <c r="AE1535" s="780" t="s">
        <v>82</v>
      </c>
      <c r="AF1535" s="780"/>
      <c r="AG1535" s="780"/>
      <c r="AH1535" s="779"/>
      <c r="AI1535" s="779">
        <v>2196</v>
      </c>
      <c r="AJ1535" s="780">
        <f t="shared" si="593"/>
        <v>0</v>
      </c>
      <c r="AK1535" s="782"/>
      <c r="AL1535" s="780" t="s">
        <v>2368</v>
      </c>
      <c r="AM1535" s="780"/>
      <c r="AN1535" s="780">
        <f t="shared" si="603"/>
        <v>4392</v>
      </c>
      <c r="AO1535" s="783"/>
      <c r="AP1535" s="783"/>
      <c r="AQ1535" s="783">
        <f t="shared" si="604"/>
        <v>4392</v>
      </c>
      <c r="AR1535" s="797"/>
      <c r="AS1535" s="783"/>
      <c r="AT1535" s="783"/>
      <c r="AU1535" s="783">
        <f t="shared" si="605"/>
        <v>4392</v>
      </c>
      <c r="AV1535" s="783"/>
      <c r="AW1535" s="783"/>
      <c r="AX1535" s="792"/>
      <c r="AY1535" s="783"/>
      <c r="AZ1535" s="783"/>
      <c r="BA1535" s="783"/>
      <c r="BB1535" s="793">
        <f t="shared" si="606"/>
        <v>183</v>
      </c>
      <c r="BC1535" s="783"/>
      <c r="BD1535" s="783"/>
      <c r="BE1535" s="783"/>
      <c r="BF1535" s="783"/>
      <c r="BG1535" s="552"/>
      <c r="BH1535" s="783"/>
      <c r="BI1535" s="783"/>
      <c r="BJ1535" s="783"/>
      <c r="BK1535" s="783"/>
      <c r="BL1535" s="783"/>
      <c r="BM1535" s="783"/>
      <c r="BN1535" s="783"/>
      <c r="BO1535" s="783"/>
      <c r="BP1535" s="783"/>
      <c r="BQ1535" s="783"/>
      <c r="BR1535" s="783"/>
      <c r="BS1535" s="783"/>
      <c r="BT1535" s="783"/>
      <c r="BU1535" s="783"/>
      <c r="BV1535" s="783"/>
      <c r="BW1535" s="783"/>
      <c r="BX1535" s="783"/>
      <c r="BY1535" s="783"/>
      <c r="BZ1535" s="783"/>
      <c r="CA1535" s="794"/>
      <c r="CB1535" s="795"/>
      <c r="CC1535" s="796"/>
      <c r="CD1535" s="783"/>
      <c r="CE1535" s="783"/>
      <c r="CF1535" s="783"/>
      <c r="CG1535" s="783"/>
      <c r="CH1535" s="552"/>
      <c r="CI1535" s="783"/>
      <c r="CJ1535" s="783"/>
      <c r="CK1535" s="783"/>
      <c r="CL1535" s="783"/>
      <c r="CM1535" s="783"/>
      <c r="CN1535" s="783"/>
      <c r="CO1535" s="783"/>
      <c r="CP1535" s="797"/>
      <c r="CQ1535" s="797"/>
      <c r="CR1535" s="783">
        <f t="shared" si="607"/>
        <v>2196</v>
      </c>
      <c r="CS1535" s="783">
        <f t="shared" si="608"/>
        <v>2196</v>
      </c>
      <c r="CT1535" s="783">
        <f t="shared" si="609"/>
        <v>2196</v>
      </c>
      <c r="CU1535" s="783">
        <f t="shared" si="599"/>
        <v>0</v>
      </c>
      <c r="CV1535" s="783">
        <v>0</v>
      </c>
      <c r="CW1535" s="783">
        <v>0</v>
      </c>
      <c r="CX1535" s="797"/>
      <c r="CY1535" s="797"/>
      <c r="CZ1535" s="797"/>
      <c r="DA1535" s="797"/>
      <c r="DB1535" s="797"/>
      <c r="DC1535" s="797"/>
      <c r="DD1535" s="797"/>
      <c r="DE1535" s="797"/>
      <c r="DF1535" s="797"/>
      <c r="DG1535" s="797"/>
      <c r="DH1535" s="797"/>
    </row>
    <row r="1536" s="552" customFormat="1" ht="31" customHeight="1" spans="1:113">
      <c r="A1536" s="778">
        <v>46155</v>
      </c>
      <c r="B1536" s="779" t="s">
        <v>351</v>
      </c>
      <c r="C1536" s="780" t="s">
        <v>98</v>
      </c>
      <c r="D1536" s="802">
        <v>4500206995</v>
      </c>
      <c r="E1536" s="780" t="s">
        <v>9750</v>
      </c>
      <c r="F1536" s="783" t="s">
        <v>9751</v>
      </c>
      <c r="G1536" s="780" t="s">
        <v>6084</v>
      </c>
      <c r="H1536" s="780" t="s">
        <v>6069</v>
      </c>
      <c r="I1536" s="784">
        <v>2500</v>
      </c>
      <c r="J1536" s="780">
        <v>0</v>
      </c>
      <c r="K1536" s="780">
        <v>25</v>
      </c>
      <c r="L1536" s="785">
        <f t="shared" ref="L1536:L1586" si="610">I1536/K1536</f>
        <v>100</v>
      </c>
      <c r="M1536" s="786">
        <v>46191</v>
      </c>
      <c r="N1536" s="786">
        <v>46188</v>
      </c>
      <c r="O1536" s="782"/>
      <c r="P1536" s="780" t="s">
        <v>113</v>
      </c>
      <c r="Q1536" s="787">
        <v>46192</v>
      </c>
      <c r="R1536" s="787">
        <v>46156</v>
      </c>
      <c r="S1536" s="787" t="s">
        <v>70</v>
      </c>
      <c r="T1536" s="787" t="s">
        <v>70</v>
      </c>
      <c r="U1536" s="787"/>
      <c r="V1536" s="787"/>
      <c r="W1536" s="788"/>
      <c r="X1536" s="779" t="s">
        <v>9752</v>
      </c>
      <c r="Y1536" s="789" t="s">
        <v>355</v>
      </c>
      <c r="Z1536" s="779">
        <v>0.5956</v>
      </c>
      <c r="AA1536" s="789">
        <f t="shared" si="602"/>
        <v>1489</v>
      </c>
      <c r="AC1536" s="798" t="s">
        <v>9753</v>
      </c>
      <c r="AD1536" s="780" t="s">
        <v>6084</v>
      </c>
      <c r="AE1536" s="780" t="s">
        <v>82</v>
      </c>
      <c r="AF1536" s="780"/>
      <c r="AG1536" s="780"/>
      <c r="AH1536" s="779"/>
      <c r="AI1536" s="779">
        <v>2500</v>
      </c>
      <c r="AJ1536" s="780">
        <f t="shared" si="593"/>
        <v>0</v>
      </c>
      <c r="AK1536" s="782"/>
      <c r="AL1536" s="780"/>
      <c r="AM1536" s="780"/>
      <c r="AN1536" s="783">
        <f>I1536</f>
        <v>2500</v>
      </c>
      <c r="AO1536" s="783"/>
      <c r="AP1536" s="783">
        <f>I1536</f>
        <v>2500</v>
      </c>
      <c r="AQ1536" s="783"/>
      <c r="AR1536" s="797"/>
      <c r="AS1536" s="783"/>
      <c r="AT1536" s="783"/>
      <c r="AU1536" s="783">
        <f>I1536</f>
        <v>2500</v>
      </c>
      <c r="AV1536" s="783"/>
      <c r="AW1536" s="783"/>
      <c r="AX1536" s="792"/>
      <c r="AY1536" s="783"/>
      <c r="AZ1536" s="783"/>
      <c r="BA1536" s="783"/>
      <c r="BB1536" s="793">
        <f>I1536/48</f>
        <v>52.0833333333333</v>
      </c>
      <c r="BC1536" s="783"/>
      <c r="BD1536" s="783"/>
      <c r="BE1536" s="783"/>
      <c r="BF1536" s="783"/>
      <c r="BG1536" s="552"/>
      <c r="BH1536" s="783"/>
      <c r="BI1536" s="783"/>
      <c r="BJ1536" s="783"/>
      <c r="BK1536" s="783"/>
      <c r="BL1536" s="783"/>
      <c r="BM1536" s="783"/>
      <c r="BN1536" s="783">
        <f>I1536/25</f>
        <v>100</v>
      </c>
      <c r="BO1536" s="783"/>
      <c r="BP1536" s="783"/>
      <c r="BQ1536" s="783"/>
      <c r="BR1536" s="783"/>
      <c r="BS1536" s="783"/>
      <c r="BT1536" s="783"/>
      <c r="BU1536" s="783"/>
      <c r="BV1536" s="783"/>
      <c r="BW1536" s="783"/>
      <c r="BX1536" s="783"/>
      <c r="BY1536" s="783"/>
      <c r="BZ1536" s="783"/>
      <c r="CA1536" s="794"/>
      <c r="CB1536" s="795"/>
      <c r="CC1536" s="796"/>
      <c r="CD1536" s="783"/>
      <c r="CE1536" s="783"/>
      <c r="CF1536" s="783"/>
      <c r="CG1536" s="783"/>
      <c r="CH1536" s="552"/>
      <c r="CI1536" s="783"/>
      <c r="CJ1536" s="783"/>
      <c r="CK1536" s="783"/>
      <c r="CL1536" s="783"/>
      <c r="CM1536" s="783"/>
      <c r="CN1536" s="783"/>
      <c r="CO1536" s="783"/>
      <c r="CP1536" s="797"/>
      <c r="CQ1536" s="797"/>
      <c r="CR1536" s="783"/>
      <c r="CS1536" s="783"/>
      <c r="CT1536" s="783"/>
      <c r="CU1536" s="783">
        <f t="shared" si="599"/>
        <v>100</v>
      </c>
      <c r="CV1536" s="783">
        <f t="shared" ref="CV1536:CV1543" si="611">CK1536+CL1536+CM1536+CN1536+CO1536+CQ1536+CP1536</f>
        <v>0</v>
      </c>
      <c r="CW1536" s="783">
        <f t="shared" ref="CW1536:CW1543" si="612">CI1536+CJ1536</f>
        <v>0</v>
      </c>
      <c r="CX1536" s="797"/>
      <c r="CY1536" s="797"/>
      <c r="CZ1536" s="797"/>
      <c r="DA1536" s="797"/>
      <c r="DB1536" s="797"/>
      <c r="DC1536" s="797"/>
      <c r="DD1536" s="797"/>
      <c r="DE1536" s="797"/>
      <c r="DF1536" s="797"/>
      <c r="DG1536" s="797"/>
      <c r="DH1536" s="797"/>
    </row>
    <row r="1537" s="552" customFormat="1" ht="31" customHeight="1" spans="1:112">
      <c r="A1537" s="778">
        <v>46155</v>
      </c>
      <c r="B1537" s="779" t="s">
        <v>139</v>
      </c>
      <c r="C1537" s="780" t="s">
        <v>76</v>
      </c>
      <c r="D1537" s="799">
        <v>4500202801</v>
      </c>
      <c r="E1537" s="808">
        <v>21798773</v>
      </c>
      <c r="F1537" s="783" t="s">
        <v>9754</v>
      </c>
      <c r="G1537" s="780" t="s">
        <v>6093</v>
      </c>
      <c r="H1537" s="780" t="s">
        <v>6094</v>
      </c>
      <c r="I1537" s="784">
        <v>871</v>
      </c>
      <c r="J1537" s="780">
        <v>0</v>
      </c>
      <c r="K1537" s="780">
        <v>13</v>
      </c>
      <c r="L1537" s="785">
        <f t="shared" si="610"/>
        <v>67</v>
      </c>
      <c r="M1537" s="786">
        <v>46191</v>
      </c>
      <c r="N1537" s="786">
        <v>46188</v>
      </c>
      <c r="O1537" s="782"/>
      <c r="P1537" s="780" t="s">
        <v>113</v>
      </c>
      <c r="Q1537" s="787"/>
      <c r="R1537" s="787">
        <v>46160</v>
      </c>
      <c r="S1537" s="787" t="s">
        <v>104</v>
      </c>
      <c r="T1537" s="787" t="s">
        <v>9755</v>
      </c>
      <c r="U1537" s="787"/>
      <c r="V1537" s="787"/>
      <c r="W1537" s="788"/>
      <c r="X1537" s="779" t="s">
        <v>9756</v>
      </c>
      <c r="Y1537" s="789" t="s">
        <v>3206</v>
      </c>
      <c r="Z1537" s="779">
        <v>0.9815</v>
      </c>
      <c r="AA1537" s="789">
        <f t="shared" si="602"/>
        <v>854.8865</v>
      </c>
      <c r="AC1537" s="790"/>
      <c r="AD1537" s="780" t="s">
        <v>6093</v>
      </c>
      <c r="AE1537" s="780" t="s">
        <v>82</v>
      </c>
      <c r="AF1537" s="780"/>
      <c r="AG1537" s="780"/>
      <c r="AH1537" s="779"/>
      <c r="AI1537" s="791">
        <v>871</v>
      </c>
      <c r="AJ1537" s="780">
        <f t="shared" si="593"/>
        <v>0</v>
      </c>
      <c r="AK1537" s="782"/>
      <c r="AL1537" s="780" t="s">
        <v>454</v>
      </c>
      <c r="AM1537" s="780"/>
      <c r="AN1537" s="783"/>
      <c r="AO1537" s="783">
        <f t="shared" ref="AO1537:AO1543" si="613">I1537</f>
        <v>871</v>
      </c>
      <c r="AP1537" s="783"/>
      <c r="AQ1537" s="783"/>
      <c r="AR1537" s="797"/>
      <c r="AS1537" s="783"/>
      <c r="AT1537" s="783">
        <f t="shared" ref="AT1537:AT1543" si="614">I1537</f>
        <v>871</v>
      </c>
      <c r="AU1537" s="783"/>
      <c r="AV1537" s="783">
        <f t="shared" ref="AV1537:AV1543" si="615">I1537</f>
        <v>871</v>
      </c>
      <c r="AW1537" s="783"/>
      <c r="AX1537" s="792"/>
      <c r="AY1537" s="783"/>
      <c r="AZ1537" s="783"/>
      <c r="BA1537" s="783"/>
      <c r="BB1537" s="793">
        <f t="shared" ref="BB1537:BB1543" si="616">I1537/24</f>
        <v>36.2916666666667</v>
      </c>
      <c r="BC1537" s="783"/>
      <c r="BD1537" s="783"/>
      <c r="BE1537" s="783"/>
      <c r="BF1537" s="783"/>
      <c r="BG1537" s="552"/>
      <c r="BH1537" s="783"/>
      <c r="BI1537" s="783"/>
      <c r="BJ1537" s="783"/>
      <c r="BK1537" s="783"/>
      <c r="BL1537" s="783"/>
      <c r="BM1537" s="783">
        <f>I1537/13</f>
        <v>67</v>
      </c>
      <c r="BN1537" s="783"/>
      <c r="BO1537" s="783"/>
      <c r="BP1537" s="783"/>
      <c r="BQ1537" s="783"/>
      <c r="BR1537" s="783"/>
      <c r="BS1537" s="783"/>
      <c r="BT1537" s="783"/>
      <c r="BU1537" s="783"/>
      <c r="BV1537" s="783"/>
      <c r="BW1537" s="783"/>
      <c r="BX1537" s="783"/>
      <c r="BY1537" s="783"/>
      <c r="BZ1537" s="783"/>
      <c r="CA1537" s="794"/>
      <c r="CB1537" s="795"/>
      <c r="CC1537" s="796"/>
      <c r="CD1537" s="783"/>
      <c r="CE1537" s="783"/>
      <c r="CF1537" s="783"/>
      <c r="CG1537" s="783"/>
      <c r="CH1537" s="552"/>
      <c r="CI1537" s="783"/>
      <c r="CJ1537" s="783"/>
      <c r="CK1537" s="783"/>
      <c r="CL1537" s="783"/>
      <c r="CM1537" s="783"/>
      <c r="CN1537" s="783"/>
      <c r="CO1537" s="783"/>
      <c r="CP1537" s="797"/>
      <c r="CQ1537" s="797"/>
      <c r="CR1537" s="783"/>
      <c r="CS1537" s="783"/>
      <c r="CT1537" s="783"/>
      <c r="CU1537" s="783">
        <f t="shared" si="599"/>
        <v>0</v>
      </c>
      <c r="CV1537" s="783">
        <f t="shared" si="611"/>
        <v>0</v>
      </c>
      <c r="CW1537" s="783">
        <f t="shared" si="612"/>
        <v>0</v>
      </c>
      <c r="CX1537" s="797"/>
      <c r="CY1537" s="797"/>
      <c r="CZ1537" s="797"/>
      <c r="DA1537" s="797"/>
      <c r="DB1537" s="797"/>
      <c r="DC1537" s="797"/>
      <c r="DD1537" s="797"/>
      <c r="DE1537" s="797"/>
      <c r="DF1537" s="797"/>
      <c r="DG1537" s="797"/>
      <c r="DH1537" s="797"/>
    </row>
    <row r="1538" s="552" customFormat="1" ht="31" customHeight="1" spans="1:112">
      <c r="A1538" s="778">
        <v>46155</v>
      </c>
      <c r="B1538" s="779" t="s">
        <v>135</v>
      </c>
      <c r="C1538" s="780" t="s">
        <v>128</v>
      </c>
      <c r="D1538" s="799">
        <v>4500202800</v>
      </c>
      <c r="E1538" s="808">
        <v>21798772</v>
      </c>
      <c r="F1538" s="783" t="s">
        <v>9757</v>
      </c>
      <c r="G1538" s="780" t="s">
        <v>6093</v>
      </c>
      <c r="H1538" s="780" t="s">
        <v>6094</v>
      </c>
      <c r="I1538" s="784">
        <v>637</v>
      </c>
      <c r="J1538" s="780">
        <v>0</v>
      </c>
      <c r="K1538" s="780">
        <v>13</v>
      </c>
      <c r="L1538" s="785">
        <f t="shared" si="610"/>
        <v>49</v>
      </c>
      <c r="M1538" s="786">
        <v>46191</v>
      </c>
      <c r="N1538" s="786">
        <v>46188</v>
      </c>
      <c r="O1538" s="782"/>
      <c r="P1538" s="780" t="s">
        <v>113</v>
      </c>
      <c r="Q1538" s="787"/>
      <c r="R1538" s="787">
        <v>46160</v>
      </c>
      <c r="S1538" s="787" t="s">
        <v>104</v>
      </c>
      <c r="T1538" s="787" t="s">
        <v>9755</v>
      </c>
      <c r="U1538" s="787"/>
      <c r="V1538" s="787"/>
      <c r="W1538" s="788"/>
      <c r="X1538" s="779" t="s">
        <v>9758</v>
      </c>
      <c r="Y1538" s="789" t="s">
        <v>3206</v>
      </c>
      <c r="Z1538" s="779">
        <v>0.9815</v>
      </c>
      <c r="AA1538" s="789">
        <f t="shared" si="602"/>
        <v>625.2155</v>
      </c>
      <c r="AC1538" s="790"/>
      <c r="AD1538" s="780" t="s">
        <v>6093</v>
      </c>
      <c r="AE1538" s="780" t="s">
        <v>82</v>
      </c>
      <c r="AF1538" s="780"/>
      <c r="AG1538" s="780"/>
      <c r="AH1538" s="779"/>
      <c r="AI1538" s="791">
        <v>637</v>
      </c>
      <c r="AJ1538" s="780">
        <f t="shared" si="593"/>
        <v>0</v>
      </c>
      <c r="AK1538" s="782"/>
      <c r="AL1538" s="780" t="s">
        <v>454</v>
      </c>
      <c r="AM1538" s="780"/>
      <c r="AN1538" s="783"/>
      <c r="AO1538" s="783">
        <f t="shared" si="613"/>
        <v>637</v>
      </c>
      <c r="AP1538" s="783"/>
      <c r="AQ1538" s="783"/>
      <c r="AR1538" s="797"/>
      <c r="AS1538" s="783"/>
      <c r="AT1538" s="783">
        <f t="shared" si="614"/>
        <v>637</v>
      </c>
      <c r="AU1538" s="783"/>
      <c r="AV1538" s="783">
        <f t="shared" si="615"/>
        <v>637</v>
      </c>
      <c r="AW1538" s="783"/>
      <c r="AX1538" s="792"/>
      <c r="AY1538" s="783"/>
      <c r="AZ1538" s="783"/>
      <c r="BA1538" s="783"/>
      <c r="BB1538" s="793">
        <f t="shared" si="616"/>
        <v>26.5416666666667</v>
      </c>
      <c r="BC1538" s="783"/>
      <c r="BD1538" s="783"/>
      <c r="BE1538" s="783"/>
      <c r="BF1538" s="783"/>
      <c r="BG1538" s="552"/>
      <c r="BH1538" s="783"/>
      <c r="BI1538" s="783"/>
      <c r="BJ1538" s="783"/>
      <c r="BK1538" s="783"/>
      <c r="BL1538" s="783"/>
      <c r="BM1538" s="783">
        <f>I1538/13</f>
        <v>49</v>
      </c>
      <c r="BN1538" s="783"/>
      <c r="BO1538" s="783"/>
      <c r="BP1538" s="783"/>
      <c r="BQ1538" s="783"/>
      <c r="BR1538" s="783"/>
      <c r="BS1538" s="783"/>
      <c r="BT1538" s="783"/>
      <c r="BU1538" s="783"/>
      <c r="BV1538" s="783"/>
      <c r="BW1538" s="783"/>
      <c r="BX1538" s="783"/>
      <c r="BY1538" s="783"/>
      <c r="BZ1538" s="783"/>
      <c r="CA1538" s="794"/>
      <c r="CB1538" s="795"/>
      <c r="CC1538" s="796"/>
      <c r="CD1538" s="783"/>
      <c r="CE1538" s="783"/>
      <c r="CF1538" s="783"/>
      <c r="CG1538" s="783"/>
      <c r="CH1538" s="552"/>
      <c r="CI1538" s="783"/>
      <c r="CJ1538" s="783"/>
      <c r="CK1538" s="783"/>
      <c r="CL1538" s="783"/>
      <c r="CM1538" s="783"/>
      <c r="CN1538" s="783"/>
      <c r="CO1538" s="783"/>
      <c r="CP1538" s="797"/>
      <c r="CQ1538" s="797"/>
      <c r="CR1538" s="783"/>
      <c r="CS1538" s="783"/>
      <c r="CT1538" s="783"/>
      <c r="CU1538" s="783">
        <f t="shared" si="599"/>
        <v>0</v>
      </c>
      <c r="CV1538" s="783">
        <f t="shared" si="611"/>
        <v>0</v>
      </c>
      <c r="CW1538" s="783">
        <f t="shared" si="612"/>
        <v>0</v>
      </c>
      <c r="CX1538" s="797"/>
      <c r="CY1538" s="797"/>
      <c r="CZ1538" s="797"/>
      <c r="DA1538" s="797"/>
      <c r="DB1538" s="797"/>
      <c r="DC1538" s="797"/>
      <c r="DD1538" s="797"/>
      <c r="DE1538" s="797"/>
      <c r="DF1538" s="797"/>
      <c r="DG1538" s="797"/>
      <c r="DH1538" s="797"/>
    </row>
    <row r="1539" s="552" customFormat="1" ht="31" customHeight="1" spans="1:112">
      <c r="A1539" s="778">
        <v>46154</v>
      </c>
      <c r="B1539" s="779" t="s">
        <v>3321</v>
      </c>
      <c r="C1539" s="780" t="s">
        <v>302</v>
      </c>
      <c r="D1539" s="803">
        <v>4500206784</v>
      </c>
      <c r="E1539" s="782">
        <v>4400567573</v>
      </c>
      <c r="F1539" s="783" t="s">
        <v>9759</v>
      </c>
      <c r="G1539" s="780" t="s">
        <v>6047</v>
      </c>
      <c r="H1539" s="780" t="s">
        <v>6069</v>
      </c>
      <c r="I1539" s="784">
        <v>3225</v>
      </c>
      <c r="J1539" s="780">
        <v>0</v>
      </c>
      <c r="K1539" s="780">
        <v>25</v>
      </c>
      <c r="L1539" s="785">
        <f t="shared" si="610"/>
        <v>129</v>
      </c>
      <c r="M1539" s="786">
        <v>46191</v>
      </c>
      <c r="N1539" s="786">
        <v>46188</v>
      </c>
      <c r="O1539" s="782"/>
      <c r="P1539" s="780" t="s">
        <v>113</v>
      </c>
      <c r="Q1539" s="787"/>
      <c r="R1539" s="787">
        <v>46160</v>
      </c>
      <c r="S1539" s="787" t="s">
        <v>70</v>
      </c>
      <c r="T1539" s="787" t="s">
        <v>8294</v>
      </c>
      <c r="U1539" s="787"/>
      <c r="V1539" s="787"/>
      <c r="W1539" s="788"/>
      <c r="X1539" s="779" t="s">
        <v>9531</v>
      </c>
      <c r="Y1539" s="789" t="s">
        <v>1549</v>
      </c>
      <c r="Z1539" s="779">
        <v>0.9756</v>
      </c>
      <c r="AA1539" s="789">
        <f t="shared" si="602"/>
        <v>3146.31</v>
      </c>
      <c r="AC1539" s="790"/>
      <c r="AD1539" s="780" t="s">
        <v>6047</v>
      </c>
      <c r="AE1539" s="780" t="s">
        <v>82</v>
      </c>
      <c r="AF1539" s="780"/>
      <c r="AG1539" s="780"/>
      <c r="AH1539" s="779"/>
      <c r="AI1539" s="791">
        <v>3225</v>
      </c>
      <c r="AJ1539" s="780">
        <f t="shared" si="593"/>
        <v>0</v>
      </c>
      <c r="AK1539" s="782"/>
      <c r="AL1539" s="780" t="s">
        <v>2368</v>
      </c>
      <c r="AM1539" s="780"/>
      <c r="AN1539" s="783"/>
      <c r="AO1539" s="783">
        <f t="shared" si="613"/>
        <v>3225</v>
      </c>
      <c r="AP1539" s="783"/>
      <c r="AQ1539" s="783"/>
      <c r="AR1539" s="797"/>
      <c r="AS1539" s="783"/>
      <c r="AT1539" s="783">
        <f t="shared" si="614"/>
        <v>3225</v>
      </c>
      <c r="AU1539" s="783"/>
      <c r="AV1539" s="783">
        <f t="shared" si="615"/>
        <v>3225</v>
      </c>
      <c r="AW1539" s="783"/>
      <c r="AX1539" s="792"/>
      <c r="AY1539" s="783"/>
      <c r="AZ1539" s="783"/>
      <c r="BA1539" s="783"/>
      <c r="BB1539" s="793">
        <f t="shared" si="616"/>
        <v>134.375</v>
      </c>
      <c r="BC1539" s="783"/>
      <c r="BD1539" s="783"/>
      <c r="BE1539" s="783"/>
      <c r="BF1539" s="783"/>
      <c r="BG1539" s="552"/>
      <c r="BH1539" s="783"/>
      <c r="BI1539" s="783"/>
      <c r="BJ1539" s="783"/>
      <c r="BK1539" s="783"/>
      <c r="BL1539" s="783"/>
      <c r="BM1539" s="783"/>
      <c r="BN1539" s="783"/>
      <c r="BO1539" s="783"/>
      <c r="BP1539" s="783">
        <f>I1539/25</f>
        <v>129</v>
      </c>
      <c r="BQ1539" s="783"/>
      <c r="BR1539" s="783"/>
      <c r="BS1539" s="783"/>
      <c r="BT1539" s="783"/>
      <c r="BU1539" s="783"/>
      <c r="BV1539" s="783"/>
      <c r="BW1539" s="783"/>
      <c r="BX1539" s="783"/>
      <c r="BY1539" s="783"/>
      <c r="BZ1539" s="783"/>
      <c r="CA1539" s="794"/>
      <c r="CB1539" s="795"/>
      <c r="CC1539" s="796"/>
      <c r="CD1539" s="783"/>
      <c r="CE1539" s="783"/>
      <c r="CF1539" s="783"/>
      <c r="CG1539" s="783"/>
      <c r="CH1539" s="552"/>
      <c r="CI1539" s="783"/>
      <c r="CJ1539" s="783"/>
      <c r="CK1539" s="783"/>
      <c r="CL1539" s="783"/>
      <c r="CM1539" s="783"/>
      <c r="CN1539" s="783"/>
      <c r="CO1539" s="783"/>
      <c r="CP1539" s="797"/>
      <c r="CQ1539" s="797"/>
      <c r="CR1539" s="783"/>
      <c r="CS1539" s="783"/>
      <c r="CT1539" s="783"/>
      <c r="CU1539" s="783">
        <f t="shared" si="599"/>
        <v>129</v>
      </c>
      <c r="CV1539" s="783">
        <f t="shared" si="611"/>
        <v>0</v>
      </c>
      <c r="CW1539" s="783">
        <f t="shared" si="612"/>
        <v>0</v>
      </c>
      <c r="CX1539" s="797"/>
      <c r="CY1539" s="797"/>
      <c r="CZ1539" s="797"/>
      <c r="DA1539" s="797"/>
      <c r="DB1539" s="797"/>
      <c r="DC1539" s="797"/>
      <c r="DD1539" s="797"/>
      <c r="DE1539" s="797"/>
      <c r="DF1539" s="797"/>
      <c r="DG1539" s="797"/>
      <c r="DH1539" s="797"/>
    </row>
    <row r="1540" s="552" customFormat="1" ht="31" customHeight="1" spans="1:112">
      <c r="A1540" s="778">
        <v>46154</v>
      </c>
      <c r="B1540" s="779" t="s">
        <v>3321</v>
      </c>
      <c r="C1540" s="780" t="s">
        <v>302</v>
      </c>
      <c r="D1540" s="803">
        <v>4500206784</v>
      </c>
      <c r="E1540" s="782">
        <v>4400567574</v>
      </c>
      <c r="F1540" s="783" t="s">
        <v>9760</v>
      </c>
      <c r="G1540" s="780" t="s">
        <v>6047</v>
      </c>
      <c r="H1540" s="780" t="s">
        <v>6069</v>
      </c>
      <c r="I1540" s="784">
        <v>1375</v>
      </c>
      <c r="J1540" s="780">
        <v>0</v>
      </c>
      <c r="K1540" s="780">
        <v>25</v>
      </c>
      <c r="L1540" s="785">
        <f t="shared" si="610"/>
        <v>55</v>
      </c>
      <c r="M1540" s="786">
        <v>46191</v>
      </c>
      <c r="N1540" s="786">
        <v>46188</v>
      </c>
      <c r="O1540" s="782"/>
      <c r="P1540" s="780" t="s">
        <v>113</v>
      </c>
      <c r="Q1540" s="787"/>
      <c r="R1540" s="787">
        <v>46160</v>
      </c>
      <c r="S1540" s="787" t="s">
        <v>70</v>
      </c>
      <c r="T1540" s="787" t="s">
        <v>8294</v>
      </c>
      <c r="U1540" s="787"/>
      <c r="V1540" s="787"/>
      <c r="W1540" s="788"/>
      <c r="X1540" s="779" t="s">
        <v>9531</v>
      </c>
      <c r="Y1540" s="789" t="s">
        <v>1549</v>
      </c>
      <c r="Z1540" s="779">
        <v>0.9756</v>
      </c>
      <c r="AA1540" s="789">
        <f t="shared" si="602"/>
        <v>1341.45</v>
      </c>
      <c r="AC1540" s="790"/>
      <c r="AD1540" s="780" t="s">
        <v>6047</v>
      </c>
      <c r="AE1540" s="780" t="s">
        <v>82</v>
      </c>
      <c r="AF1540" s="780"/>
      <c r="AG1540" s="780"/>
      <c r="AH1540" s="779"/>
      <c r="AI1540" s="791">
        <v>1375</v>
      </c>
      <c r="AJ1540" s="780">
        <f t="shared" si="593"/>
        <v>0</v>
      </c>
      <c r="AK1540" s="782"/>
      <c r="AL1540" s="780" t="s">
        <v>2368</v>
      </c>
      <c r="AM1540" s="780"/>
      <c r="AN1540" s="783"/>
      <c r="AO1540" s="783">
        <f t="shared" si="613"/>
        <v>1375</v>
      </c>
      <c r="AP1540" s="783"/>
      <c r="AQ1540" s="783"/>
      <c r="AR1540" s="797"/>
      <c r="AS1540" s="783"/>
      <c r="AT1540" s="783">
        <f t="shared" si="614"/>
        <v>1375</v>
      </c>
      <c r="AU1540" s="783"/>
      <c r="AV1540" s="783">
        <f t="shared" si="615"/>
        <v>1375</v>
      </c>
      <c r="AW1540" s="783"/>
      <c r="AX1540" s="792"/>
      <c r="AY1540" s="783"/>
      <c r="AZ1540" s="783"/>
      <c r="BA1540" s="783"/>
      <c r="BB1540" s="793">
        <f t="shared" si="616"/>
        <v>57.2916666666667</v>
      </c>
      <c r="BC1540" s="783"/>
      <c r="BD1540" s="783"/>
      <c r="BE1540" s="783"/>
      <c r="BF1540" s="783"/>
      <c r="BG1540" s="552"/>
      <c r="BH1540" s="783"/>
      <c r="BI1540" s="783"/>
      <c r="BJ1540" s="783"/>
      <c r="BK1540" s="783"/>
      <c r="BL1540" s="783"/>
      <c r="BM1540" s="783"/>
      <c r="BN1540" s="783"/>
      <c r="BO1540" s="783"/>
      <c r="BP1540" s="783">
        <f>I1540/25</f>
        <v>55</v>
      </c>
      <c r="BQ1540" s="783"/>
      <c r="BR1540" s="783"/>
      <c r="BS1540" s="783"/>
      <c r="BT1540" s="783"/>
      <c r="BU1540" s="783"/>
      <c r="BV1540" s="783"/>
      <c r="BW1540" s="783"/>
      <c r="BX1540" s="783"/>
      <c r="BY1540" s="783"/>
      <c r="BZ1540" s="783"/>
      <c r="CA1540" s="794"/>
      <c r="CB1540" s="795"/>
      <c r="CC1540" s="796"/>
      <c r="CD1540" s="783"/>
      <c r="CE1540" s="783"/>
      <c r="CF1540" s="783"/>
      <c r="CG1540" s="783"/>
      <c r="CH1540" s="552"/>
      <c r="CI1540" s="783"/>
      <c r="CJ1540" s="783"/>
      <c r="CK1540" s="783"/>
      <c r="CL1540" s="783"/>
      <c r="CM1540" s="783"/>
      <c r="CN1540" s="783"/>
      <c r="CO1540" s="783"/>
      <c r="CP1540" s="797"/>
      <c r="CQ1540" s="797"/>
      <c r="CR1540" s="783"/>
      <c r="CS1540" s="783"/>
      <c r="CT1540" s="783"/>
      <c r="CU1540" s="783">
        <f t="shared" si="599"/>
        <v>55</v>
      </c>
      <c r="CV1540" s="783">
        <f t="shared" si="611"/>
        <v>0</v>
      </c>
      <c r="CW1540" s="783">
        <f t="shared" si="612"/>
        <v>0</v>
      </c>
      <c r="CX1540" s="797"/>
      <c r="CY1540" s="797"/>
      <c r="CZ1540" s="797"/>
      <c r="DA1540" s="797"/>
      <c r="DB1540" s="797"/>
      <c r="DC1540" s="797"/>
      <c r="DD1540" s="797"/>
      <c r="DE1540" s="797"/>
      <c r="DF1540" s="797"/>
      <c r="DG1540" s="797"/>
      <c r="DH1540" s="797"/>
    </row>
    <row r="1541" s="552" customFormat="1" ht="31" customHeight="1" spans="1:112">
      <c r="A1541" s="778">
        <v>46142</v>
      </c>
      <c r="B1541" s="779" t="s">
        <v>1971</v>
      </c>
      <c r="C1541" s="780" t="s">
        <v>810</v>
      </c>
      <c r="D1541" s="803">
        <v>4500204811</v>
      </c>
      <c r="E1541" s="780" t="s">
        <v>4367</v>
      </c>
      <c r="F1541" s="783" t="s">
        <v>9761</v>
      </c>
      <c r="G1541" s="780" t="s">
        <v>6043</v>
      </c>
      <c r="H1541" s="780" t="s">
        <v>6110</v>
      </c>
      <c r="I1541" s="784">
        <v>2500</v>
      </c>
      <c r="J1541" s="780">
        <v>0</v>
      </c>
      <c r="K1541" s="780">
        <v>50</v>
      </c>
      <c r="L1541" s="785">
        <f t="shared" si="610"/>
        <v>50</v>
      </c>
      <c r="M1541" s="786">
        <v>46192</v>
      </c>
      <c r="N1541" s="786">
        <v>46188</v>
      </c>
      <c r="O1541" s="782"/>
      <c r="P1541" s="780" t="s">
        <v>113</v>
      </c>
      <c r="Q1541" s="787"/>
      <c r="R1541" s="787">
        <v>46142</v>
      </c>
      <c r="S1541" s="787" t="s">
        <v>70</v>
      </c>
      <c r="T1541" s="787" t="s">
        <v>9762</v>
      </c>
      <c r="U1541" s="787"/>
      <c r="V1541" s="787"/>
      <c r="W1541" s="788"/>
      <c r="X1541" s="779" t="s">
        <v>9763</v>
      </c>
      <c r="Y1541" s="789" t="s">
        <v>230</v>
      </c>
      <c r="Z1541" s="779">
        <v>1.0118</v>
      </c>
      <c r="AA1541" s="789">
        <f t="shared" si="602"/>
        <v>2529.5</v>
      </c>
      <c r="AC1541" s="790"/>
      <c r="AD1541" s="780" t="s">
        <v>6043</v>
      </c>
      <c r="AE1541" s="780" t="s">
        <v>82</v>
      </c>
      <c r="AF1541" s="780"/>
      <c r="AG1541" s="780"/>
      <c r="AH1541" s="779"/>
      <c r="AI1541" s="791">
        <v>2500</v>
      </c>
      <c r="AJ1541" s="780">
        <f t="shared" si="593"/>
        <v>0</v>
      </c>
      <c r="AK1541" s="782"/>
      <c r="AL1541" s="780" t="s">
        <v>2368</v>
      </c>
      <c r="AM1541" s="780"/>
      <c r="AN1541" s="783"/>
      <c r="AO1541" s="783">
        <f t="shared" si="613"/>
        <v>2500</v>
      </c>
      <c r="AP1541" s="783"/>
      <c r="AQ1541" s="783"/>
      <c r="AR1541" s="797"/>
      <c r="AS1541" s="783"/>
      <c r="AT1541" s="783">
        <f t="shared" si="614"/>
        <v>2500</v>
      </c>
      <c r="AU1541" s="783"/>
      <c r="AV1541" s="783">
        <f t="shared" si="615"/>
        <v>2500</v>
      </c>
      <c r="AW1541" s="783"/>
      <c r="AX1541" s="792"/>
      <c r="AY1541" s="783"/>
      <c r="AZ1541" s="783"/>
      <c r="BA1541" s="783"/>
      <c r="BB1541" s="793">
        <f t="shared" si="616"/>
        <v>104.166666666667</v>
      </c>
      <c r="BC1541" s="783"/>
      <c r="BD1541" s="783"/>
      <c r="BE1541" s="783"/>
      <c r="BF1541" s="783"/>
      <c r="BG1541" s="552"/>
      <c r="BH1541" s="783"/>
      <c r="BI1541" s="783"/>
      <c r="BJ1541" s="783"/>
      <c r="BK1541" s="783"/>
      <c r="BL1541" s="783"/>
      <c r="BM1541" s="783"/>
      <c r="BN1541" s="783"/>
      <c r="BO1541" s="783"/>
      <c r="BP1541" s="783">
        <f>I1541/25</f>
        <v>100</v>
      </c>
      <c r="BQ1541" s="783"/>
      <c r="BR1541" s="783"/>
      <c r="BS1541" s="783"/>
      <c r="BT1541" s="783"/>
      <c r="BU1541" s="783"/>
      <c r="BV1541" s="783"/>
      <c r="BW1541" s="783"/>
      <c r="BX1541" s="783"/>
      <c r="BY1541" s="783"/>
      <c r="BZ1541" s="783"/>
      <c r="CA1541" s="794"/>
      <c r="CB1541" s="795"/>
      <c r="CC1541" s="796"/>
      <c r="CD1541" s="783"/>
      <c r="CE1541" s="783"/>
      <c r="CF1541" s="783"/>
      <c r="CG1541" s="783"/>
      <c r="CH1541" s="552"/>
      <c r="CI1541" s="783"/>
      <c r="CJ1541" s="783"/>
      <c r="CK1541" s="783"/>
      <c r="CL1541" s="783"/>
      <c r="CM1541" s="783"/>
      <c r="CN1541" s="783"/>
      <c r="CO1541" s="783"/>
      <c r="CP1541" s="797"/>
      <c r="CQ1541" s="797"/>
      <c r="CR1541" s="783"/>
      <c r="CS1541" s="783"/>
      <c r="CT1541" s="783"/>
      <c r="CU1541" s="783">
        <f t="shared" si="599"/>
        <v>100</v>
      </c>
      <c r="CV1541" s="783">
        <f t="shared" si="611"/>
        <v>0</v>
      </c>
      <c r="CW1541" s="783">
        <f t="shared" si="612"/>
        <v>0</v>
      </c>
      <c r="CX1541" s="797"/>
      <c r="CY1541" s="797"/>
      <c r="CZ1541" s="797"/>
      <c r="DA1541" s="797"/>
      <c r="DB1541" s="797"/>
      <c r="DC1541" s="797"/>
      <c r="DD1541" s="797"/>
      <c r="DE1541" s="797"/>
      <c r="DF1541" s="797"/>
      <c r="DG1541" s="797"/>
      <c r="DH1541" s="797"/>
    </row>
    <row r="1542" s="552" customFormat="1" ht="31" customHeight="1" spans="1:112">
      <c r="A1542" s="778">
        <v>46142</v>
      </c>
      <c r="B1542" s="779" t="s">
        <v>979</v>
      </c>
      <c r="C1542" s="780" t="s">
        <v>980</v>
      </c>
      <c r="D1542" s="803">
        <v>4500204880</v>
      </c>
      <c r="E1542" s="780" t="s">
        <v>3846</v>
      </c>
      <c r="F1542" s="783" t="s">
        <v>9764</v>
      </c>
      <c r="G1542" s="780" t="s">
        <v>6047</v>
      </c>
      <c r="H1542" s="780" t="s">
        <v>6069</v>
      </c>
      <c r="I1542" s="784">
        <v>4000</v>
      </c>
      <c r="J1542" s="780">
        <v>0</v>
      </c>
      <c r="K1542" s="780">
        <v>25</v>
      </c>
      <c r="L1542" s="785">
        <f t="shared" si="610"/>
        <v>160</v>
      </c>
      <c r="M1542" s="786">
        <v>46192</v>
      </c>
      <c r="N1542" s="786">
        <v>46188</v>
      </c>
      <c r="O1542" s="782"/>
      <c r="P1542" s="780" t="s">
        <v>113</v>
      </c>
      <c r="Q1542" s="787" t="s">
        <v>4414</v>
      </c>
      <c r="R1542" s="787">
        <v>46155</v>
      </c>
      <c r="S1542" s="787" t="s">
        <v>70</v>
      </c>
      <c r="T1542" s="787" t="s">
        <v>9765</v>
      </c>
      <c r="U1542" s="787"/>
      <c r="V1542" s="787"/>
      <c r="W1542" s="788"/>
      <c r="X1542" s="779" t="s">
        <v>9766</v>
      </c>
      <c r="Y1542" s="789" t="s">
        <v>415</v>
      </c>
      <c r="Z1542" s="779">
        <v>0.958</v>
      </c>
      <c r="AA1542" s="789">
        <f t="shared" si="602"/>
        <v>3832</v>
      </c>
      <c r="AC1542" s="790"/>
      <c r="AD1542" s="780" t="s">
        <v>6047</v>
      </c>
      <c r="AE1542" s="780" t="s">
        <v>82</v>
      </c>
      <c r="AF1542" s="780"/>
      <c r="AG1542" s="780"/>
      <c r="AH1542" s="779"/>
      <c r="AI1542" s="791">
        <v>4000</v>
      </c>
      <c r="AJ1542" s="780">
        <f t="shared" si="593"/>
        <v>0</v>
      </c>
      <c r="AK1542" s="782"/>
      <c r="AL1542" s="780" t="s">
        <v>2368</v>
      </c>
      <c r="AM1542" s="780"/>
      <c r="AN1542" s="783"/>
      <c r="AO1542" s="783">
        <f t="shared" si="613"/>
        <v>4000</v>
      </c>
      <c r="AP1542" s="783"/>
      <c r="AQ1542" s="783"/>
      <c r="AR1542" s="797"/>
      <c r="AS1542" s="783"/>
      <c r="AT1542" s="783">
        <f t="shared" si="614"/>
        <v>4000</v>
      </c>
      <c r="AU1542" s="783"/>
      <c r="AV1542" s="783">
        <f t="shared" si="615"/>
        <v>4000</v>
      </c>
      <c r="AW1542" s="783"/>
      <c r="AX1542" s="792"/>
      <c r="AY1542" s="783"/>
      <c r="AZ1542" s="783"/>
      <c r="BA1542" s="783"/>
      <c r="BB1542" s="793">
        <f t="shared" si="616"/>
        <v>166.666666666667</v>
      </c>
      <c r="BC1542" s="783"/>
      <c r="BD1542" s="783"/>
      <c r="BE1542" s="783"/>
      <c r="BF1542" s="783"/>
      <c r="BG1542" s="552"/>
      <c r="BH1542" s="783"/>
      <c r="BI1542" s="783"/>
      <c r="BJ1542" s="783"/>
      <c r="BK1542" s="783"/>
      <c r="BL1542" s="783"/>
      <c r="BM1542" s="783"/>
      <c r="BN1542" s="783"/>
      <c r="BO1542" s="783"/>
      <c r="BP1542" s="783">
        <f>I1542/25</f>
        <v>160</v>
      </c>
      <c r="BQ1542" s="783"/>
      <c r="BR1542" s="783"/>
      <c r="BS1542" s="783"/>
      <c r="BT1542" s="783"/>
      <c r="BU1542" s="783"/>
      <c r="BV1542" s="783"/>
      <c r="BW1542" s="783"/>
      <c r="BX1542" s="783"/>
      <c r="BY1542" s="783"/>
      <c r="BZ1542" s="783"/>
      <c r="CA1542" s="794"/>
      <c r="CB1542" s="795"/>
      <c r="CC1542" s="796"/>
      <c r="CD1542" s="783"/>
      <c r="CE1542" s="783"/>
      <c r="CF1542" s="783"/>
      <c r="CG1542" s="783"/>
      <c r="CH1542" s="552"/>
      <c r="CI1542" s="783"/>
      <c r="CJ1542" s="783"/>
      <c r="CK1542" s="783"/>
      <c r="CL1542" s="783"/>
      <c r="CM1542" s="783"/>
      <c r="CN1542" s="783"/>
      <c r="CO1542" s="783"/>
      <c r="CP1542" s="797"/>
      <c r="CQ1542" s="797"/>
      <c r="CR1542" s="783"/>
      <c r="CS1542" s="783"/>
      <c r="CT1542" s="783"/>
      <c r="CU1542" s="783">
        <f t="shared" si="599"/>
        <v>160</v>
      </c>
      <c r="CV1542" s="783">
        <f t="shared" si="611"/>
        <v>0</v>
      </c>
      <c r="CW1542" s="783">
        <f t="shared" si="612"/>
        <v>0</v>
      </c>
      <c r="CX1542" s="797"/>
      <c r="CY1542" s="797"/>
      <c r="CZ1542" s="797"/>
      <c r="DA1542" s="797"/>
      <c r="DB1542" s="797"/>
      <c r="DC1542" s="797"/>
      <c r="DD1542" s="797"/>
      <c r="DE1542" s="797"/>
      <c r="DF1542" s="797"/>
      <c r="DG1542" s="797"/>
      <c r="DH1542" s="797"/>
    </row>
    <row r="1543" s="552" customFormat="1" ht="31" customHeight="1" spans="1:112">
      <c r="A1543" s="778">
        <v>46108</v>
      </c>
      <c r="B1543" s="779" t="s">
        <v>4361</v>
      </c>
      <c r="C1543" s="780" t="s">
        <v>424</v>
      </c>
      <c r="D1543" s="799">
        <v>4500197002</v>
      </c>
      <c r="E1543" s="780">
        <v>300609410</v>
      </c>
      <c r="F1543" s="783" t="s">
        <v>9767</v>
      </c>
      <c r="G1543" s="780" t="s">
        <v>6025</v>
      </c>
      <c r="H1543" s="780" t="s">
        <v>6026</v>
      </c>
      <c r="I1543" s="780">
        <v>600</v>
      </c>
      <c r="J1543" s="780">
        <v>0</v>
      </c>
      <c r="K1543" s="780">
        <v>24</v>
      </c>
      <c r="L1543" s="785">
        <f t="shared" si="610"/>
        <v>25</v>
      </c>
      <c r="M1543" s="786">
        <v>46192</v>
      </c>
      <c r="N1543" s="786">
        <v>46188</v>
      </c>
      <c r="O1543" s="782"/>
      <c r="P1543" s="782" t="s">
        <v>113</v>
      </c>
      <c r="Q1543" s="780"/>
      <c r="R1543" s="787">
        <v>46153</v>
      </c>
      <c r="S1543" s="787" t="s">
        <v>70</v>
      </c>
      <c r="T1543" s="787" t="s">
        <v>9768</v>
      </c>
      <c r="U1543" s="787"/>
      <c r="V1543" s="787"/>
      <c r="W1543" s="788"/>
      <c r="X1543" s="779" t="s">
        <v>4364</v>
      </c>
      <c r="Y1543" s="779" t="s">
        <v>4365</v>
      </c>
      <c r="Z1543" s="813">
        <v>0.9029</v>
      </c>
      <c r="AA1543" s="789">
        <f t="shared" si="602"/>
        <v>541.74</v>
      </c>
      <c r="AC1543" s="814"/>
      <c r="AD1543" s="780" t="s">
        <v>6025</v>
      </c>
      <c r="AE1543" s="780" t="s">
        <v>82</v>
      </c>
      <c r="AF1543" s="780"/>
      <c r="AG1543" s="780"/>
      <c r="AH1543" s="780"/>
      <c r="AI1543" s="791">
        <v>600</v>
      </c>
      <c r="AJ1543" s="780">
        <f t="shared" si="593"/>
        <v>0</v>
      </c>
      <c r="AK1543" s="780"/>
      <c r="AL1543" s="780" t="s">
        <v>2368</v>
      </c>
      <c r="AM1543" s="780"/>
      <c r="AN1543" s="780"/>
      <c r="AO1543" s="792">
        <f t="shared" si="613"/>
        <v>600</v>
      </c>
      <c r="AP1543" s="783"/>
      <c r="AQ1543" s="783"/>
      <c r="AR1543" s="797"/>
      <c r="AS1543" s="783"/>
      <c r="AT1543" s="783">
        <f t="shared" si="614"/>
        <v>600</v>
      </c>
      <c r="AU1543" s="783"/>
      <c r="AV1543" s="783">
        <f t="shared" si="615"/>
        <v>600</v>
      </c>
      <c r="AW1543" s="797"/>
      <c r="AX1543" s="783"/>
      <c r="AY1543" s="783"/>
      <c r="AZ1543" s="783"/>
      <c r="BA1543" s="783"/>
      <c r="BB1543" s="793">
        <f t="shared" si="616"/>
        <v>25</v>
      </c>
      <c r="BC1543" s="783"/>
      <c r="BD1543" s="783"/>
      <c r="BE1543" s="783"/>
      <c r="BF1543" s="783"/>
      <c r="BG1543" s="552"/>
      <c r="BH1543" s="783"/>
      <c r="BI1543" s="783"/>
      <c r="BJ1543" s="783"/>
      <c r="BK1543" s="783"/>
      <c r="BL1543" s="783"/>
      <c r="BM1543" s="783"/>
      <c r="BN1543" s="783"/>
      <c r="BO1543" s="783"/>
      <c r="BP1543" s="783"/>
      <c r="BQ1543" s="783"/>
      <c r="BR1543" s="783"/>
      <c r="BS1543" s="783"/>
      <c r="BT1543" s="783"/>
      <c r="BU1543" s="783"/>
      <c r="BV1543" s="783"/>
      <c r="BW1543" s="783"/>
      <c r="BX1543" s="783"/>
      <c r="BY1543" s="783"/>
      <c r="BZ1543" s="783"/>
      <c r="CA1543" s="794"/>
      <c r="CB1543" s="795"/>
      <c r="CC1543" s="796"/>
      <c r="CD1543" s="783"/>
      <c r="CE1543" s="783"/>
      <c r="CF1543" s="783"/>
      <c r="CG1543" s="783"/>
      <c r="CH1543" s="552"/>
      <c r="CI1543" s="783"/>
      <c r="CJ1543" s="783"/>
      <c r="CK1543" s="783"/>
      <c r="CL1543" s="783"/>
      <c r="CM1543" s="783"/>
      <c r="CN1543" s="783"/>
      <c r="CO1543" s="783"/>
      <c r="CP1543" s="797"/>
      <c r="CQ1543" s="797"/>
      <c r="CR1543" s="797"/>
      <c r="CS1543" s="797"/>
      <c r="CT1543" s="797"/>
      <c r="CU1543" s="783">
        <f t="shared" si="599"/>
        <v>0</v>
      </c>
      <c r="CV1543" s="783">
        <f t="shared" si="611"/>
        <v>0</v>
      </c>
      <c r="CW1543" s="783">
        <f t="shared" si="612"/>
        <v>0</v>
      </c>
      <c r="CX1543" s="797"/>
      <c r="CY1543" s="797"/>
      <c r="CZ1543" s="797"/>
      <c r="DA1543" s="797"/>
      <c r="DB1543" s="797"/>
      <c r="DC1543" s="797"/>
      <c r="DD1543" s="797"/>
      <c r="DE1543" s="797"/>
      <c r="DF1543" s="797"/>
      <c r="DG1543" s="797"/>
      <c r="DH1543" s="797"/>
    </row>
    <row r="1544" s="552" customFormat="1" ht="31" customHeight="1" spans="1:112">
      <c r="A1544" s="778">
        <v>46142</v>
      </c>
      <c r="B1544" s="779" t="s">
        <v>2811</v>
      </c>
      <c r="C1544" s="780" t="s">
        <v>98</v>
      </c>
      <c r="D1544" s="802">
        <v>4500204609</v>
      </c>
      <c r="E1544" s="782">
        <v>70089476</v>
      </c>
      <c r="F1544" s="783" t="s">
        <v>9769</v>
      </c>
      <c r="G1544" s="780" t="s">
        <v>6787</v>
      </c>
      <c r="H1544" s="610" t="s">
        <v>6126</v>
      </c>
      <c r="I1544" s="784">
        <v>1800</v>
      </c>
      <c r="J1544" s="780">
        <v>0</v>
      </c>
      <c r="K1544" s="780">
        <v>12</v>
      </c>
      <c r="L1544" s="785">
        <f t="shared" si="610"/>
        <v>150</v>
      </c>
      <c r="M1544" s="786">
        <v>46192</v>
      </c>
      <c r="N1544" s="786">
        <v>46188</v>
      </c>
      <c r="O1544" s="782"/>
      <c r="P1544" s="780" t="s">
        <v>113</v>
      </c>
      <c r="Q1544" s="787">
        <v>46199</v>
      </c>
      <c r="R1544" s="787">
        <v>46154</v>
      </c>
      <c r="S1544" s="787" t="s">
        <v>70</v>
      </c>
      <c r="T1544" s="787" t="s">
        <v>4494</v>
      </c>
      <c r="U1544" s="787"/>
      <c r="V1544" s="787"/>
      <c r="W1544" s="788"/>
      <c r="X1544" s="779" t="s">
        <v>4495</v>
      </c>
      <c r="Y1544" s="789" t="s">
        <v>1318</v>
      </c>
      <c r="Z1544" s="779">
        <v>1.3546</v>
      </c>
      <c r="AA1544" s="789">
        <f t="shared" si="602"/>
        <v>2438.28</v>
      </c>
      <c r="AC1544" s="798" t="s">
        <v>4496</v>
      </c>
      <c r="AD1544" s="780" t="s">
        <v>8545</v>
      </c>
      <c r="AE1544" s="780" t="s">
        <v>82</v>
      </c>
      <c r="AF1544" s="780"/>
      <c r="AG1544" s="780"/>
      <c r="AH1544" s="779"/>
      <c r="AI1544" s="779">
        <v>1800</v>
      </c>
      <c r="AJ1544" s="780">
        <f t="shared" si="593"/>
        <v>0</v>
      </c>
      <c r="AK1544" s="782"/>
      <c r="AL1544" s="780" t="s">
        <v>2368</v>
      </c>
      <c r="AM1544" s="780"/>
      <c r="AN1544" s="780">
        <f>I1544*2</f>
        <v>3600</v>
      </c>
      <c r="AO1544" s="783"/>
      <c r="AP1544" s="783">
        <f>I1544*2</f>
        <v>3600</v>
      </c>
      <c r="AQ1544" s="783"/>
      <c r="AR1544" s="783"/>
      <c r="AS1544" s="783"/>
      <c r="AT1544" s="783"/>
      <c r="AU1544" s="783">
        <f>I1544*2</f>
        <v>3600</v>
      </c>
      <c r="AV1544" s="783"/>
      <c r="AW1544" s="783"/>
      <c r="AX1544" s="792"/>
      <c r="AY1544" s="783"/>
      <c r="AZ1544" s="783"/>
      <c r="BA1544" s="783"/>
      <c r="BB1544" s="793">
        <f>I1544/24*2</f>
        <v>150</v>
      </c>
      <c r="BC1544" s="783"/>
      <c r="BD1544" s="783"/>
      <c r="BE1544" s="783"/>
      <c r="BF1544" s="783"/>
      <c r="BG1544" s="552"/>
      <c r="BH1544" s="783"/>
      <c r="BI1544" s="783"/>
      <c r="BJ1544" s="783"/>
      <c r="BK1544" s="783"/>
      <c r="BL1544" s="783"/>
      <c r="BM1544" s="783"/>
      <c r="BN1544" s="783"/>
      <c r="BO1544" s="783"/>
      <c r="BP1544" s="783"/>
      <c r="BQ1544" s="783"/>
      <c r="BR1544" s="783"/>
      <c r="BS1544" s="783"/>
      <c r="BT1544" s="783"/>
      <c r="BU1544" s="783"/>
      <c r="BV1544" s="783"/>
      <c r="BW1544" s="783"/>
      <c r="BX1544" s="783"/>
      <c r="BY1544" s="783"/>
      <c r="BZ1544" s="783"/>
      <c r="CA1544" s="794"/>
      <c r="CB1544" s="795"/>
      <c r="CC1544" s="796"/>
      <c r="CD1544" s="783"/>
      <c r="CE1544" s="783"/>
      <c r="CF1544" s="783"/>
      <c r="CG1544" s="783"/>
      <c r="CH1544" s="552"/>
      <c r="CI1544" s="783"/>
      <c r="CJ1544" s="783"/>
      <c r="CK1544" s="783"/>
      <c r="CL1544" s="783"/>
      <c r="CM1544" s="783"/>
      <c r="CN1544" s="783"/>
      <c r="CO1544" s="783"/>
      <c r="CP1544" s="797"/>
      <c r="CQ1544" s="797"/>
      <c r="CR1544" s="783">
        <f>I1544</f>
        <v>1800</v>
      </c>
      <c r="CS1544" s="783">
        <f>I1544</f>
        <v>1800</v>
      </c>
      <c r="CT1544" s="783">
        <f>I1544</f>
        <v>1800</v>
      </c>
      <c r="CU1544" s="783">
        <f t="shared" si="599"/>
        <v>0</v>
      </c>
      <c r="CV1544" s="783">
        <v>0</v>
      </c>
      <c r="CW1544" s="783">
        <v>0</v>
      </c>
      <c r="CX1544" s="797"/>
      <c r="CY1544" s="797"/>
      <c r="CZ1544" s="797"/>
      <c r="DA1544" s="797"/>
      <c r="DB1544" s="797"/>
      <c r="DC1544" s="797"/>
      <c r="DD1544" s="797"/>
      <c r="DE1544" s="797"/>
      <c r="DF1544" s="797"/>
      <c r="DG1544" s="797"/>
      <c r="DH1544" s="797"/>
    </row>
    <row r="1545" s="552" customFormat="1" ht="31" customHeight="1" spans="1:112">
      <c r="A1545" s="778">
        <v>46142</v>
      </c>
      <c r="B1545" s="779" t="s">
        <v>1800</v>
      </c>
      <c r="C1545" s="780" t="s">
        <v>744</v>
      </c>
      <c r="D1545" s="781">
        <v>4500204920</v>
      </c>
      <c r="E1545" s="782">
        <v>5000002195</v>
      </c>
      <c r="F1545" s="783" t="s">
        <v>9770</v>
      </c>
      <c r="G1545" s="780" t="s">
        <v>6093</v>
      </c>
      <c r="H1545" s="780" t="s">
        <v>7359</v>
      </c>
      <c r="I1545" s="784">
        <v>28600</v>
      </c>
      <c r="J1545" s="780">
        <v>0</v>
      </c>
      <c r="K1545" s="780">
        <v>13</v>
      </c>
      <c r="L1545" s="785">
        <f t="shared" si="610"/>
        <v>2200</v>
      </c>
      <c r="M1545" s="786">
        <v>46192</v>
      </c>
      <c r="N1545" s="786">
        <v>46188</v>
      </c>
      <c r="O1545" s="782"/>
      <c r="P1545" s="780" t="s">
        <v>113</v>
      </c>
      <c r="Q1545" s="787"/>
      <c r="R1545" s="787" t="s">
        <v>9676</v>
      </c>
      <c r="S1545" s="787" t="s">
        <v>104</v>
      </c>
      <c r="T1545" s="787" t="s">
        <v>8723</v>
      </c>
      <c r="U1545" s="787"/>
      <c r="V1545" s="787"/>
      <c r="W1545" s="788"/>
      <c r="X1545" s="779" t="s">
        <v>9771</v>
      </c>
      <c r="Y1545" s="789" t="s">
        <v>1805</v>
      </c>
      <c r="Z1545" s="779">
        <v>0.9043</v>
      </c>
      <c r="AA1545" s="789">
        <f t="shared" si="602"/>
        <v>25862.98</v>
      </c>
      <c r="AC1545" s="790"/>
      <c r="AD1545" s="780" t="s">
        <v>8338</v>
      </c>
      <c r="AE1545" s="780" t="s">
        <v>82</v>
      </c>
      <c r="AF1545" s="780"/>
      <c r="AG1545" s="780"/>
      <c r="AH1545" s="779"/>
      <c r="AI1545" s="791">
        <v>28600</v>
      </c>
      <c r="AJ1545" s="780">
        <f t="shared" si="593"/>
        <v>0</v>
      </c>
      <c r="AK1545" s="782"/>
      <c r="AL1545" s="780"/>
      <c r="AM1545" s="780"/>
      <c r="AN1545" s="783"/>
      <c r="AO1545" s="783">
        <f>I1545</f>
        <v>28600</v>
      </c>
      <c r="AP1545" s="783"/>
      <c r="AQ1545" s="783"/>
      <c r="AR1545" s="783"/>
      <c r="AS1545" s="783"/>
      <c r="AT1545" s="783"/>
      <c r="AU1545" s="783"/>
      <c r="AV1545" s="783"/>
      <c r="AW1545" s="650">
        <f>I1545</f>
        <v>28600</v>
      </c>
      <c r="AX1545" s="554">
        <f>I1545</f>
        <v>28600</v>
      </c>
      <c r="AY1545" s="783"/>
      <c r="AZ1545" s="783"/>
      <c r="BA1545" s="792">
        <f>I1545/24</f>
        <v>1191.66666666667</v>
      </c>
      <c r="BB1545" s="793"/>
      <c r="BC1545" s="783"/>
      <c r="BD1545" s="783"/>
      <c r="BE1545" s="783"/>
      <c r="BF1545" s="783"/>
      <c r="BG1545" s="552"/>
      <c r="BH1545" s="783"/>
      <c r="BI1545" s="783"/>
      <c r="BJ1545" s="783"/>
      <c r="BK1545" s="783"/>
      <c r="BL1545" s="783"/>
      <c r="BM1545" s="783">
        <f>I1545/13</f>
        <v>2200</v>
      </c>
      <c r="BN1545" s="783"/>
      <c r="BO1545" s="783"/>
      <c r="BP1545" s="783"/>
      <c r="BQ1545" s="783"/>
      <c r="BR1545" s="783"/>
      <c r="BS1545" s="783"/>
      <c r="BT1545" s="783"/>
      <c r="BU1545" s="783"/>
      <c r="BV1545" s="783"/>
      <c r="BW1545" s="783"/>
      <c r="BX1545" s="783"/>
      <c r="BY1545" s="783"/>
      <c r="BZ1545" s="783"/>
      <c r="CA1545" s="794"/>
      <c r="CB1545" s="795"/>
      <c r="CC1545" s="796"/>
      <c r="CD1545" s="783"/>
      <c r="CE1545" s="783"/>
      <c r="CF1545" s="783"/>
      <c r="CG1545" s="783"/>
      <c r="CH1545" s="552"/>
      <c r="CI1545" s="783"/>
      <c r="CJ1545" s="783"/>
      <c r="CK1545" s="783"/>
      <c r="CL1545" s="783"/>
      <c r="CM1545" s="783"/>
      <c r="CN1545" s="783"/>
      <c r="CO1545" s="783"/>
      <c r="CP1545" s="797"/>
      <c r="CQ1545" s="797"/>
      <c r="CR1545" s="797"/>
      <c r="CS1545" s="797"/>
      <c r="CT1545" s="797"/>
      <c r="CU1545" s="783">
        <f t="shared" si="599"/>
        <v>0</v>
      </c>
      <c r="CV1545" s="783">
        <v>0</v>
      </c>
      <c r="CW1545" s="783">
        <v>0</v>
      </c>
      <c r="CX1545" s="797"/>
      <c r="CY1545" s="797"/>
      <c r="CZ1545" s="797"/>
      <c r="DA1545" s="797"/>
      <c r="DB1545" s="797"/>
      <c r="DC1545" s="797"/>
      <c r="DD1545" s="797"/>
      <c r="DE1545" s="797"/>
      <c r="DF1545" s="797"/>
      <c r="DG1545" s="797"/>
      <c r="DH1545" s="797"/>
    </row>
    <row r="1546" s="549" customFormat="1" ht="31" customHeight="1" spans="1:112">
      <c r="A1546" s="641">
        <v>46135</v>
      </c>
      <c r="B1546" s="642" t="s">
        <v>3158</v>
      </c>
      <c r="C1546" s="246" t="s">
        <v>98</v>
      </c>
      <c r="D1546" s="748">
        <v>4500203552</v>
      </c>
      <c r="E1546" s="656">
        <v>4364689823</v>
      </c>
      <c r="F1546" s="551" t="s">
        <v>9772</v>
      </c>
      <c r="G1546" s="246" t="s">
        <v>6084</v>
      </c>
      <c r="H1546" s="246" t="s">
        <v>6069</v>
      </c>
      <c r="I1546" s="706">
        <v>12625</v>
      </c>
      <c r="J1546" s="246">
        <v>0</v>
      </c>
      <c r="K1546" s="246">
        <v>25</v>
      </c>
      <c r="L1546" s="644">
        <f t="shared" si="610"/>
        <v>505</v>
      </c>
      <c r="M1546" s="645">
        <v>46188</v>
      </c>
      <c r="N1546" s="645">
        <v>46184</v>
      </c>
      <c r="O1546" s="643"/>
      <c r="P1546" s="656" t="s">
        <v>9698</v>
      </c>
      <c r="Q1546" s="646"/>
      <c r="R1546" s="646">
        <v>46157</v>
      </c>
      <c r="S1546" s="646" t="s">
        <v>70</v>
      </c>
      <c r="T1546" s="646" t="s">
        <v>9773</v>
      </c>
      <c r="U1546" s="646"/>
      <c r="V1546" s="646"/>
      <c r="W1546" s="744"/>
      <c r="X1546" s="749" t="s">
        <v>9774</v>
      </c>
      <c r="Y1546" s="647" t="s">
        <v>3163</v>
      </c>
      <c r="Z1546" s="642">
        <v>0.5745</v>
      </c>
      <c r="AA1546" s="647">
        <f t="shared" si="602"/>
        <v>7253.0625</v>
      </c>
      <c r="AC1546" s="763" t="s">
        <v>9775</v>
      </c>
      <c r="AD1546" s="246" t="s">
        <v>6084</v>
      </c>
      <c r="AE1546" s="246" t="s">
        <v>82</v>
      </c>
      <c r="AF1546" s="246"/>
      <c r="AG1546" s="246"/>
      <c r="AH1546" s="642"/>
      <c r="AI1546" s="642">
        <v>12625</v>
      </c>
      <c r="AJ1546" s="246">
        <f t="shared" si="593"/>
        <v>0</v>
      </c>
      <c r="AK1546" s="643"/>
      <c r="AL1546" s="246" t="s">
        <v>2368</v>
      </c>
      <c r="AM1546" s="246"/>
      <c r="AN1546" s="551">
        <f>I1546</f>
        <v>12625</v>
      </c>
      <c r="AO1546" s="551"/>
      <c r="AP1546" s="551">
        <f>I1546</f>
        <v>12625</v>
      </c>
      <c r="AQ1546" s="551"/>
      <c r="AR1546" s="650"/>
      <c r="AS1546" s="551"/>
      <c r="AT1546" s="551"/>
      <c r="AU1546" s="551">
        <f>I1546</f>
        <v>12625</v>
      </c>
      <c r="AV1546" s="551"/>
      <c r="AW1546" s="551"/>
      <c r="AX1546" s="651"/>
      <c r="AY1546" s="551"/>
      <c r="AZ1546" s="551"/>
      <c r="BA1546" s="551"/>
      <c r="BB1546" s="249">
        <f>I1546/48</f>
        <v>263.020833333333</v>
      </c>
      <c r="BC1546" s="551"/>
      <c r="BD1546" s="551"/>
      <c r="BE1546" s="551"/>
      <c r="BF1546" s="551"/>
      <c r="BG1546" s="549"/>
      <c r="BH1546" s="551"/>
      <c r="BI1546" s="551"/>
      <c r="BJ1546" s="551"/>
      <c r="BK1546" s="551"/>
      <c r="BL1546" s="551"/>
      <c r="BM1546" s="551"/>
      <c r="BN1546" s="551">
        <f>I1546/25</f>
        <v>505</v>
      </c>
      <c r="BO1546" s="551"/>
      <c r="BP1546" s="551"/>
      <c r="BQ1546" s="551"/>
      <c r="BR1546" s="551"/>
      <c r="BS1546" s="551"/>
      <c r="BT1546" s="551"/>
      <c r="BU1546" s="551"/>
      <c r="BV1546" s="551"/>
      <c r="BW1546" s="551"/>
      <c r="BX1546" s="551"/>
      <c r="BY1546" s="551"/>
      <c r="BZ1546" s="551"/>
      <c r="CA1546" s="752"/>
      <c r="CB1546" s="747"/>
      <c r="CC1546" s="753"/>
      <c r="CD1546" s="551"/>
      <c r="CE1546" s="551"/>
      <c r="CF1546" s="551"/>
      <c r="CG1546" s="551"/>
      <c r="CH1546" s="549"/>
      <c r="CI1546" s="551"/>
      <c r="CJ1546" s="551"/>
      <c r="CK1546" s="551"/>
      <c r="CL1546" s="551"/>
      <c r="CM1546" s="551"/>
      <c r="CN1546" s="551"/>
      <c r="CO1546" s="551"/>
      <c r="CP1546" s="650"/>
      <c r="CQ1546" s="650"/>
      <c r="CR1546" s="551"/>
      <c r="CS1546" s="551"/>
      <c r="CT1546" s="551"/>
      <c r="CU1546" s="551">
        <f t="shared" si="599"/>
        <v>505</v>
      </c>
      <c r="CV1546" s="551">
        <f t="shared" ref="CV1546:CV1554" si="617">CK1546+CL1546+CM1546+CN1546+CO1546+CQ1546+CP1546</f>
        <v>0</v>
      </c>
      <c r="CW1546" s="551">
        <f t="shared" ref="CW1546:CW1554" si="618">CI1546+CJ1546</f>
        <v>0</v>
      </c>
      <c r="CX1546" s="650"/>
      <c r="CY1546" s="650"/>
      <c r="CZ1546" s="650"/>
      <c r="DA1546" s="650"/>
      <c r="DB1546" s="650"/>
      <c r="DC1546" s="650"/>
      <c r="DD1546" s="650"/>
      <c r="DE1546" s="650"/>
      <c r="DF1546" s="650"/>
      <c r="DG1546" s="650"/>
      <c r="DH1546" s="650"/>
    </row>
    <row r="1547" s="549" customFormat="1" ht="31" customHeight="1" spans="1:112">
      <c r="A1547" s="641">
        <v>46136</v>
      </c>
      <c r="B1547" s="642" t="s">
        <v>3158</v>
      </c>
      <c r="C1547" s="246" t="s">
        <v>98</v>
      </c>
      <c r="D1547" s="748">
        <v>4500203732</v>
      </c>
      <c r="E1547" s="656">
        <v>4364844134</v>
      </c>
      <c r="F1547" s="551" t="s">
        <v>9776</v>
      </c>
      <c r="G1547" s="246" t="s">
        <v>6084</v>
      </c>
      <c r="H1547" s="246" t="s">
        <v>6069</v>
      </c>
      <c r="I1547" s="706">
        <v>10325</v>
      </c>
      <c r="J1547" s="246">
        <v>0</v>
      </c>
      <c r="K1547" s="246">
        <v>25</v>
      </c>
      <c r="L1547" s="644">
        <f t="shared" si="610"/>
        <v>413</v>
      </c>
      <c r="M1547" s="645">
        <v>46188</v>
      </c>
      <c r="N1547" s="645">
        <v>46184</v>
      </c>
      <c r="O1547" s="643"/>
      <c r="P1547" s="656" t="s">
        <v>9698</v>
      </c>
      <c r="Q1547" s="646"/>
      <c r="R1547" s="646">
        <v>46157</v>
      </c>
      <c r="S1547" s="646" t="s">
        <v>70</v>
      </c>
      <c r="T1547" s="646" t="s">
        <v>9777</v>
      </c>
      <c r="U1547" s="646"/>
      <c r="V1547" s="646"/>
      <c r="W1547" s="744"/>
      <c r="X1547" s="749" t="s">
        <v>9774</v>
      </c>
      <c r="Y1547" s="647" t="s">
        <v>3163</v>
      </c>
      <c r="Z1547" s="642">
        <v>0.5851</v>
      </c>
      <c r="AA1547" s="647">
        <f t="shared" si="602"/>
        <v>6041.1575</v>
      </c>
      <c r="AC1547" s="763" t="s">
        <v>9778</v>
      </c>
      <c r="AD1547" s="246" t="s">
        <v>6084</v>
      </c>
      <c r="AE1547" s="246" t="s">
        <v>82</v>
      </c>
      <c r="AF1547" s="246"/>
      <c r="AG1547" s="246"/>
      <c r="AH1547" s="642"/>
      <c r="AI1547" s="642">
        <v>10325</v>
      </c>
      <c r="AJ1547" s="246">
        <f t="shared" si="593"/>
        <v>0</v>
      </c>
      <c r="AK1547" s="643"/>
      <c r="AL1547" s="246"/>
      <c r="AM1547" s="246"/>
      <c r="AN1547" s="551">
        <f>I1547</f>
        <v>10325</v>
      </c>
      <c r="AO1547" s="551"/>
      <c r="AP1547" s="551">
        <f>I1547</f>
        <v>10325</v>
      </c>
      <c r="AQ1547" s="551"/>
      <c r="AR1547" s="650"/>
      <c r="AS1547" s="551"/>
      <c r="AT1547" s="551"/>
      <c r="AU1547" s="551">
        <f>I1547</f>
        <v>10325</v>
      </c>
      <c r="AV1547" s="551"/>
      <c r="AW1547" s="551"/>
      <c r="AX1547" s="651"/>
      <c r="AY1547" s="551"/>
      <c r="AZ1547" s="551"/>
      <c r="BA1547" s="551"/>
      <c r="BB1547" s="249">
        <f>I1547/48</f>
        <v>215.104166666667</v>
      </c>
      <c r="BC1547" s="551"/>
      <c r="BD1547" s="551"/>
      <c r="BE1547" s="551"/>
      <c r="BF1547" s="551"/>
      <c r="BG1547" s="549"/>
      <c r="BH1547" s="551"/>
      <c r="BI1547" s="551"/>
      <c r="BJ1547" s="551"/>
      <c r="BK1547" s="551"/>
      <c r="BL1547" s="551"/>
      <c r="BM1547" s="551"/>
      <c r="BN1547" s="551">
        <f>I1547/25</f>
        <v>413</v>
      </c>
      <c r="BO1547" s="551"/>
      <c r="BP1547" s="551"/>
      <c r="BQ1547" s="551"/>
      <c r="BR1547" s="551"/>
      <c r="BS1547" s="551"/>
      <c r="BT1547" s="551"/>
      <c r="BU1547" s="551"/>
      <c r="BV1547" s="551"/>
      <c r="BW1547" s="551"/>
      <c r="BX1547" s="551"/>
      <c r="BY1547" s="551"/>
      <c r="BZ1547" s="551"/>
      <c r="CA1547" s="752"/>
      <c r="CB1547" s="747"/>
      <c r="CC1547" s="753"/>
      <c r="CD1547" s="551"/>
      <c r="CE1547" s="551"/>
      <c r="CF1547" s="551"/>
      <c r="CG1547" s="551"/>
      <c r="CH1547" s="549"/>
      <c r="CI1547" s="551"/>
      <c r="CJ1547" s="551"/>
      <c r="CK1547" s="551"/>
      <c r="CL1547" s="551"/>
      <c r="CM1547" s="551"/>
      <c r="CN1547" s="551"/>
      <c r="CO1547" s="551"/>
      <c r="CP1547" s="650"/>
      <c r="CQ1547" s="650"/>
      <c r="CR1547" s="551"/>
      <c r="CS1547" s="551"/>
      <c r="CT1547" s="551"/>
      <c r="CU1547" s="551">
        <f t="shared" si="599"/>
        <v>413</v>
      </c>
      <c r="CV1547" s="551">
        <f t="shared" si="617"/>
        <v>0</v>
      </c>
      <c r="CW1547" s="551">
        <f t="shared" si="618"/>
        <v>0</v>
      </c>
      <c r="CX1547" s="650"/>
      <c r="CY1547" s="650"/>
      <c r="CZ1547" s="650"/>
      <c r="DA1547" s="650"/>
      <c r="DB1547" s="650"/>
      <c r="DC1547" s="650"/>
      <c r="DD1547" s="650"/>
      <c r="DE1547" s="650"/>
      <c r="DF1547" s="650"/>
      <c r="DG1547" s="650"/>
      <c r="DH1547" s="650"/>
    </row>
    <row r="1548" s="549" customFormat="1" ht="31" customHeight="1" spans="1:112">
      <c r="A1548" s="641">
        <v>46148</v>
      </c>
      <c r="B1548" s="642" t="s">
        <v>738</v>
      </c>
      <c r="C1548" s="246" t="s">
        <v>348</v>
      </c>
      <c r="D1548" s="748">
        <v>4500205015</v>
      </c>
      <c r="E1548" s="246" t="s">
        <v>3846</v>
      </c>
      <c r="F1548" s="551" t="s">
        <v>9779</v>
      </c>
      <c r="G1548" s="246" t="s">
        <v>6276</v>
      </c>
      <c r="H1548" s="246" t="s">
        <v>6277</v>
      </c>
      <c r="I1548" s="706">
        <v>2400</v>
      </c>
      <c r="J1548" s="246">
        <v>0</v>
      </c>
      <c r="K1548" s="246">
        <v>50</v>
      </c>
      <c r="L1548" s="644">
        <f t="shared" si="610"/>
        <v>48</v>
      </c>
      <c r="M1548" s="645">
        <v>46188</v>
      </c>
      <c r="N1548" s="645">
        <v>46184</v>
      </c>
      <c r="O1548" s="643"/>
      <c r="P1548" s="246" t="s">
        <v>9780</v>
      </c>
      <c r="Q1548" s="646"/>
      <c r="R1548" s="646">
        <v>46154</v>
      </c>
      <c r="S1548" s="646" t="s">
        <v>70</v>
      </c>
      <c r="T1548" s="646" t="s">
        <v>9781</v>
      </c>
      <c r="U1548" s="646"/>
      <c r="V1548" s="646"/>
      <c r="W1548" s="744"/>
      <c r="X1548" s="642" t="s">
        <v>9782</v>
      </c>
      <c r="Y1548" s="647" t="s">
        <v>529</v>
      </c>
      <c r="Z1548" s="642">
        <v>0.9521</v>
      </c>
      <c r="AA1548" s="647">
        <f t="shared" si="602"/>
        <v>2285.04</v>
      </c>
      <c r="AC1548" s="751"/>
      <c r="AD1548" s="246" t="s">
        <v>6276</v>
      </c>
      <c r="AE1548" s="246" t="s">
        <v>82</v>
      </c>
      <c r="AF1548" s="246"/>
      <c r="AG1548" s="246"/>
      <c r="AH1548" s="642"/>
      <c r="AI1548" s="642">
        <v>2400</v>
      </c>
      <c r="AJ1548" s="246">
        <f t="shared" si="593"/>
        <v>0</v>
      </c>
      <c r="AK1548" s="643"/>
      <c r="AL1548" s="246" t="s">
        <v>2368</v>
      </c>
      <c r="AM1548" s="246"/>
      <c r="AN1548" s="551"/>
      <c r="AO1548" s="551">
        <f t="shared" ref="AO1548:AO1556" si="619">I1548</f>
        <v>2400</v>
      </c>
      <c r="AP1548" s="551"/>
      <c r="AQ1548" s="551"/>
      <c r="AR1548" s="650"/>
      <c r="AS1548" s="551"/>
      <c r="AT1548" s="551"/>
      <c r="AU1548" s="551"/>
      <c r="AV1548" s="551"/>
      <c r="AW1548" s="551"/>
      <c r="AX1548" s="651"/>
      <c r="AY1548" s="551"/>
      <c r="AZ1548" s="551"/>
      <c r="BA1548" s="551"/>
      <c r="BB1548" s="249">
        <f t="shared" ref="BB1548:BB1554" si="620">I1548/24</f>
        <v>100</v>
      </c>
      <c r="BC1548" s="551"/>
      <c r="BD1548" s="551"/>
      <c r="BE1548" s="551"/>
      <c r="BF1548" s="551"/>
      <c r="BG1548" s="549"/>
      <c r="BH1548" s="551"/>
      <c r="BI1548" s="551"/>
      <c r="BJ1548" s="551"/>
      <c r="BK1548" s="551"/>
      <c r="BL1548" s="551"/>
      <c r="BM1548" s="551"/>
      <c r="BN1548" s="551"/>
      <c r="BO1548" s="551"/>
      <c r="BP1548" s="551"/>
      <c r="BQ1548" s="551"/>
      <c r="BR1548" s="551"/>
      <c r="BS1548" s="551"/>
      <c r="BT1548" s="551"/>
      <c r="BU1548" s="551"/>
      <c r="BV1548" s="551">
        <f>I1548</f>
        <v>2400</v>
      </c>
      <c r="BW1548" s="551">
        <f>I1548</f>
        <v>2400</v>
      </c>
      <c r="BX1548" s="551">
        <f>I1548/25</f>
        <v>96</v>
      </c>
      <c r="BY1548" s="551"/>
      <c r="BZ1548" s="551"/>
      <c r="CA1548" s="752"/>
      <c r="CB1548" s="747"/>
      <c r="CC1548" s="753"/>
      <c r="CD1548" s="551"/>
      <c r="CE1548" s="551"/>
      <c r="CF1548" s="551"/>
      <c r="CG1548" s="551"/>
      <c r="CH1548" s="549"/>
      <c r="CI1548" s="551"/>
      <c r="CJ1548" s="551"/>
      <c r="CK1548" s="551"/>
      <c r="CL1548" s="551"/>
      <c r="CM1548" s="551"/>
      <c r="CN1548" s="551"/>
      <c r="CO1548" s="551"/>
      <c r="CP1548" s="650"/>
      <c r="CQ1548" s="650"/>
      <c r="CR1548" s="551"/>
      <c r="CS1548" s="551"/>
      <c r="CT1548" s="551"/>
      <c r="CU1548" s="551">
        <f t="shared" si="599"/>
        <v>96</v>
      </c>
      <c r="CV1548" s="551">
        <f t="shared" si="617"/>
        <v>0</v>
      </c>
      <c r="CW1548" s="551">
        <f t="shared" si="618"/>
        <v>0</v>
      </c>
      <c r="CX1548" s="650"/>
      <c r="CY1548" s="650"/>
      <c r="CZ1548" s="650"/>
      <c r="DA1548" s="650"/>
      <c r="DB1548" s="650"/>
      <c r="DC1548" s="650"/>
      <c r="DD1548" s="650"/>
      <c r="DE1548" s="650"/>
      <c r="DF1548" s="650"/>
      <c r="DG1548" s="650"/>
      <c r="DH1548" s="650"/>
    </row>
    <row r="1549" s="549" customFormat="1" ht="30" customHeight="1" spans="1:112">
      <c r="A1549" s="641">
        <v>46140</v>
      </c>
      <c r="B1549" s="642" t="s">
        <v>2952</v>
      </c>
      <c r="C1549" s="246" t="s">
        <v>1227</v>
      </c>
      <c r="D1549" s="551">
        <v>4500204440</v>
      </c>
      <c r="E1549" s="246"/>
      <c r="F1549" s="551" t="s">
        <v>9783</v>
      </c>
      <c r="G1549" s="246" t="s">
        <v>6276</v>
      </c>
      <c r="H1549" s="246" t="s">
        <v>6277</v>
      </c>
      <c r="I1549" s="246">
        <v>2400</v>
      </c>
      <c r="J1549" s="246">
        <v>0</v>
      </c>
      <c r="K1549" s="246">
        <v>50</v>
      </c>
      <c r="L1549" s="644">
        <f t="shared" si="610"/>
        <v>48</v>
      </c>
      <c r="M1549" s="645">
        <v>46188</v>
      </c>
      <c r="N1549" s="645">
        <v>46185</v>
      </c>
      <c r="O1549" s="643"/>
      <c r="P1549" s="643" t="s">
        <v>113</v>
      </c>
      <c r="Q1549" s="246"/>
      <c r="R1549" s="646">
        <v>46161</v>
      </c>
      <c r="S1549" s="646" t="s">
        <v>70</v>
      </c>
      <c r="T1549" s="646" t="s">
        <v>9784</v>
      </c>
      <c r="U1549" s="646"/>
      <c r="V1549" s="646"/>
      <c r="W1549" s="744"/>
      <c r="X1549" s="642" t="s">
        <v>9785</v>
      </c>
      <c r="Y1549" s="642" t="s">
        <v>529</v>
      </c>
      <c r="Z1549" s="745">
        <v>0.9351</v>
      </c>
      <c r="AA1549" s="647">
        <f t="shared" si="602"/>
        <v>2244.24</v>
      </c>
      <c r="AC1549" s="648"/>
      <c r="AD1549" s="246" t="s">
        <v>6276</v>
      </c>
      <c r="AE1549" s="246" t="s">
        <v>82</v>
      </c>
      <c r="AF1549" s="246"/>
      <c r="AG1549" s="246"/>
      <c r="AH1549" s="246"/>
      <c r="AI1549" s="642">
        <v>2400</v>
      </c>
      <c r="AJ1549" s="246">
        <f t="shared" si="593"/>
        <v>0</v>
      </c>
      <c r="AK1549" s="246"/>
      <c r="AL1549" s="246" t="s">
        <v>2368</v>
      </c>
      <c r="AM1549" s="246"/>
      <c r="AN1549" s="246"/>
      <c r="AO1549" s="551">
        <f t="shared" si="619"/>
        <v>2400</v>
      </c>
      <c r="AP1549" s="551"/>
      <c r="AQ1549" s="551"/>
      <c r="AR1549" s="650"/>
      <c r="AS1549" s="551"/>
      <c r="AT1549" s="551"/>
      <c r="AU1549" s="551"/>
      <c r="AV1549" s="551"/>
      <c r="AW1549" s="650"/>
      <c r="AX1549" s="551"/>
      <c r="AY1549" s="551"/>
      <c r="AZ1549" s="551"/>
      <c r="BA1549" s="551"/>
      <c r="BB1549" s="249">
        <f t="shared" si="620"/>
        <v>100</v>
      </c>
      <c r="BC1549" s="651"/>
      <c r="BD1549" s="551"/>
      <c r="BE1549" s="551"/>
      <c r="BF1549" s="551"/>
      <c r="BG1549" s="549"/>
      <c r="BH1549" s="551"/>
      <c r="BI1549" s="551"/>
      <c r="BJ1549" s="551"/>
      <c r="BK1549" s="551"/>
      <c r="BL1549" s="551"/>
      <c r="BM1549" s="551"/>
      <c r="BN1549" s="551"/>
      <c r="BO1549" s="551"/>
      <c r="BP1549" s="551"/>
      <c r="BQ1549" s="551"/>
      <c r="BR1549" s="551"/>
      <c r="BS1549" s="551"/>
      <c r="BT1549" s="551"/>
      <c r="BU1549" s="551"/>
      <c r="BV1549" s="551">
        <f>I1549</f>
        <v>2400</v>
      </c>
      <c r="BW1549" s="551">
        <f>I1549</f>
        <v>2400</v>
      </c>
      <c r="BX1549" s="551">
        <f>I1549/25</f>
        <v>96</v>
      </c>
      <c r="BY1549" s="650"/>
      <c r="BZ1549" s="551"/>
      <c r="CA1549" s="652"/>
      <c r="CB1549" s="747"/>
      <c r="CC1549" s="653"/>
      <c r="CD1549" s="650"/>
      <c r="CE1549" s="650"/>
      <c r="CF1549" s="551"/>
      <c r="CG1549" s="551"/>
      <c r="CH1549" s="549"/>
      <c r="CI1549" s="551"/>
      <c r="CJ1549" s="551"/>
      <c r="CK1549" s="551"/>
      <c r="CL1549" s="551"/>
      <c r="CM1549" s="551"/>
      <c r="CN1549" s="551"/>
      <c r="CO1549" s="551"/>
      <c r="CP1549" s="551"/>
      <c r="CQ1549" s="551"/>
      <c r="CR1549" s="551"/>
      <c r="CS1549" s="551"/>
      <c r="CT1549" s="551"/>
      <c r="CU1549" s="551">
        <f t="shared" si="599"/>
        <v>96</v>
      </c>
      <c r="CV1549" s="551">
        <f t="shared" si="617"/>
        <v>0</v>
      </c>
      <c r="CW1549" s="551">
        <f t="shared" si="618"/>
        <v>0</v>
      </c>
      <c r="CX1549" s="650"/>
      <c r="CY1549" s="650"/>
      <c r="CZ1549" s="650"/>
      <c r="DA1549" s="551"/>
      <c r="DB1549" s="551"/>
      <c r="DC1549" s="551"/>
      <c r="DD1549" s="650"/>
      <c r="DE1549" s="650"/>
      <c r="DF1549" s="650"/>
      <c r="DG1549" s="650"/>
      <c r="DH1549" s="650"/>
    </row>
    <row r="1550" s="549" customFormat="1" ht="31" customHeight="1" spans="1:112">
      <c r="A1550" s="641">
        <v>46149</v>
      </c>
      <c r="B1550" s="642" t="s">
        <v>4445</v>
      </c>
      <c r="C1550" s="246" t="s">
        <v>847</v>
      </c>
      <c r="D1550" s="748">
        <v>4500205388</v>
      </c>
      <c r="E1550" s="246" t="s">
        <v>3846</v>
      </c>
      <c r="F1550" s="551" t="s">
        <v>9786</v>
      </c>
      <c r="G1550" s="246" t="s">
        <v>6047</v>
      </c>
      <c r="H1550" s="246" t="s">
        <v>6069</v>
      </c>
      <c r="I1550" s="706">
        <v>2000</v>
      </c>
      <c r="J1550" s="246">
        <v>0</v>
      </c>
      <c r="K1550" s="246">
        <v>25</v>
      </c>
      <c r="L1550" s="644">
        <f t="shared" si="610"/>
        <v>80</v>
      </c>
      <c r="M1550" s="645">
        <v>46191</v>
      </c>
      <c r="N1550" s="645">
        <v>46188</v>
      </c>
      <c r="O1550" s="643"/>
      <c r="P1550" s="246" t="s">
        <v>113</v>
      </c>
      <c r="Q1550" s="646">
        <v>46204</v>
      </c>
      <c r="R1550" s="646">
        <v>46157</v>
      </c>
      <c r="S1550" s="646" t="s">
        <v>70</v>
      </c>
      <c r="T1550" s="646" t="s">
        <v>4448</v>
      </c>
      <c r="U1550" s="646"/>
      <c r="V1550" s="646"/>
      <c r="W1550" s="744"/>
      <c r="X1550" s="749" t="s">
        <v>9787</v>
      </c>
      <c r="Y1550" s="647" t="s">
        <v>665</v>
      </c>
      <c r="Z1550" s="642">
        <v>0.9756</v>
      </c>
      <c r="AA1550" s="647">
        <f t="shared" si="602"/>
        <v>1951.2</v>
      </c>
      <c r="AC1550" s="751"/>
      <c r="AD1550" s="246" t="s">
        <v>6047</v>
      </c>
      <c r="AE1550" s="246" t="s">
        <v>82</v>
      </c>
      <c r="AF1550" s="246"/>
      <c r="AG1550" s="246"/>
      <c r="AH1550" s="642"/>
      <c r="AI1550" s="642">
        <f>1925+75</f>
        <v>2000</v>
      </c>
      <c r="AJ1550" s="246">
        <f t="shared" si="593"/>
        <v>0</v>
      </c>
      <c r="AK1550" s="643"/>
      <c r="AL1550" s="246" t="s">
        <v>2368</v>
      </c>
      <c r="AM1550" s="246"/>
      <c r="AN1550" s="551"/>
      <c r="AO1550" s="551">
        <f t="shared" si="619"/>
        <v>2000</v>
      </c>
      <c r="AP1550" s="551"/>
      <c r="AQ1550" s="551"/>
      <c r="AR1550" s="650"/>
      <c r="AS1550" s="551"/>
      <c r="AT1550" s="551">
        <f>I1550</f>
        <v>2000</v>
      </c>
      <c r="AU1550" s="551"/>
      <c r="AV1550" s="551">
        <f>I1550</f>
        <v>2000</v>
      </c>
      <c r="AW1550" s="551"/>
      <c r="AX1550" s="651"/>
      <c r="AY1550" s="551"/>
      <c r="AZ1550" s="551"/>
      <c r="BA1550" s="551"/>
      <c r="BB1550" s="249">
        <f t="shared" si="620"/>
        <v>83.3333333333333</v>
      </c>
      <c r="BC1550" s="551"/>
      <c r="BD1550" s="551"/>
      <c r="BE1550" s="551"/>
      <c r="BF1550" s="551"/>
      <c r="BG1550" s="549"/>
      <c r="BH1550" s="551"/>
      <c r="BI1550" s="551"/>
      <c r="BJ1550" s="551"/>
      <c r="BK1550" s="551"/>
      <c r="BL1550" s="551"/>
      <c r="BM1550" s="551"/>
      <c r="BN1550" s="551"/>
      <c r="BO1550" s="551"/>
      <c r="BP1550" s="551">
        <f>I1550/25</f>
        <v>80</v>
      </c>
      <c r="BQ1550" s="551"/>
      <c r="BR1550" s="551"/>
      <c r="BS1550" s="551"/>
      <c r="BT1550" s="551"/>
      <c r="BU1550" s="551"/>
      <c r="BV1550" s="551"/>
      <c r="BW1550" s="551"/>
      <c r="BX1550" s="551"/>
      <c r="BY1550" s="551"/>
      <c r="BZ1550" s="551"/>
      <c r="CA1550" s="752"/>
      <c r="CB1550" s="747"/>
      <c r="CC1550" s="753"/>
      <c r="CD1550" s="551"/>
      <c r="CE1550" s="551"/>
      <c r="CF1550" s="551"/>
      <c r="CG1550" s="551"/>
      <c r="CH1550" s="549"/>
      <c r="CI1550" s="551"/>
      <c r="CJ1550" s="551"/>
      <c r="CK1550" s="551"/>
      <c r="CL1550" s="551"/>
      <c r="CM1550" s="551"/>
      <c r="CN1550" s="551"/>
      <c r="CO1550" s="551"/>
      <c r="CP1550" s="650"/>
      <c r="CQ1550" s="650"/>
      <c r="CR1550" s="551"/>
      <c r="CS1550" s="551"/>
      <c r="CT1550" s="551"/>
      <c r="CU1550" s="551">
        <f t="shared" si="599"/>
        <v>80</v>
      </c>
      <c r="CV1550" s="551">
        <f t="shared" si="617"/>
        <v>0</v>
      </c>
      <c r="CW1550" s="551">
        <f t="shared" si="618"/>
        <v>0</v>
      </c>
      <c r="CX1550" s="650"/>
      <c r="CY1550" s="650"/>
      <c r="CZ1550" s="650"/>
      <c r="DA1550" s="650"/>
      <c r="DB1550" s="650"/>
      <c r="DC1550" s="650"/>
      <c r="DD1550" s="650"/>
      <c r="DE1550" s="650"/>
      <c r="DF1550" s="650"/>
      <c r="DG1550" s="650"/>
      <c r="DH1550" s="650"/>
    </row>
    <row r="1551" s="549" customFormat="1" ht="31" customHeight="1" spans="1:112">
      <c r="A1551" s="641">
        <v>46150</v>
      </c>
      <c r="B1551" s="642" t="s">
        <v>4456</v>
      </c>
      <c r="C1551" s="246" t="s">
        <v>931</v>
      </c>
      <c r="D1551" s="748">
        <v>4500205582</v>
      </c>
      <c r="E1551" s="246" t="s">
        <v>4458</v>
      </c>
      <c r="F1551" s="551" t="s">
        <v>9788</v>
      </c>
      <c r="G1551" s="246" t="s">
        <v>6276</v>
      </c>
      <c r="H1551" s="246" t="s">
        <v>6277</v>
      </c>
      <c r="I1551" s="706">
        <v>500</v>
      </c>
      <c r="J1551" s="246">
        <v>0</v>
      </c>
      <c r="K1551" s="246">
        <v>50</v>
      </c>
      <c r="L1551" s="644">
        <f t="shared" si="610"/>
        <v>10</v>
      </c>
      <c r="M1551" s="645">
        <v>46191</v>
      </c>
      <c r="N1551" s="742">
        <v>46191</v>
      </c>
      <c r="O1551" s="643"/>
      <c r="P1551" s="246" t="s">
        <v>113</v>
      </c>
      <c r="Q1551" s="646"/>
      <c r="R1551" s="646">
        <v>46157</v>
      </c>
      <c r="S1551" s="646" t="s">
        <v>70</v>
      </c>
      <c r="T1551" s="646" t="s">
        <v>70</v>
      </c>
      <c r="U1551" s="646"/>
      <c r="V1551" s="646"/>
      <c r="W1551" s="744"/>
      <c r="X1551" s="642" t="s">
        <v>9789</v>
      </c>
      <c r="Y1551" s="647" t="s">
        <v>4462</v>
      </c>
      <c r="Z1551" s="642">
        <v>0.9572</v>
      </c>
      <c r="AA1551" s="647">
        <f t="shared" si="602"/>
        <v>478.6</v>
      </c>
      <c r="AC1551" s="751"/>
      <c r="AD1551" s="246" t="s">
        <v>6276</v>
      </c>
      <c r="AE1551" s="246" t="s">
        <v>82</v>
      </c>
      <c r="AF1551" s="246"/>
      <c r="AG1551" s="246"/>
      <c r="AH1551" s="642"/>
      <c r="AI1551" s="642">
        <v>500</v>
      </c>
      <c r="AJ1551" s="246">
        <f t="shared" si="593"/>
        <v>0</v>
      </c>
      <c r="AK1551" s="643"/>
      <c r="AL1551" s="246"/>
      <c r="AM1551" s="246"/>
      <c r="AN1551" s="551"/>
      <c r="AO1551" s="551">
        <f t="shared" si="619"/>
        <v>500</v>
      </c>
      <c r="AP1551" s="551"/>
      <c r="AQ1551" s="551"/>
      <c r="AR1551" s="650"/>
      <c r="AS1551" s="551"/>
      <c r="AT1551" s="551"/>
      <c r="AU1551" s="551"/>
      <c r="AV1551" s="551"/>
      <c r="AW1551" s="551"/>
      <c r="AX1551" s="651"/>
      <c r="AY1551" s="551"/>
      <c r="AZ1551" s="551"/>
      <c r="BA1551" s="551"/>
      <c r="BB1551" s="249">
        <f t="shared" si="620"/>
        <v>20.8333333333333</v>
      </c>
      <c r="BC1551" s="551"/>
      <c r="BD1551" s="551"/>
      <c r="BE1551" s="551"/>
      <c r="BF1551" s="551"/>
      <c r="BG1551" s="549"/>
      <c r="BH1551" s="551"/>
      <c r="BI1551" s="551"/>
      <c r="BJ1551" s="551"/>
      <c r="BK1551" s="551"/>
      <c r="BL1551" s="551"/>
      <c r="BM1551" s="551"/>
      <c r="BN1551" s="551"/>
      <c r="BO1551" s="551"/>
      <c r="BP1551" s="551"/>
      <c r="BQ1551" s="551"/>
      <c r="BR1551" s="551"/>
      <c r="BS1551" s="551"/>
      <c r="BT1551" s="551"/>
      <c r="BU1551" s="551"/>
      <c r="BV1551" s="551">
        <f>I1551</f>
        <v>500</v>
      </c>
      <c r="BW1551" s="551">
        <f>I1551</f>
        <v>500</v>
      </c>
      <c r="BX1551" s="551">
        <f>I1551/25</f>
        <v>20</v>
      </c>
      <c r="BY1551" s="551"/>
      <c r="BZ1551" s="551"/>
      <c r="CA1551" s="752"/>
      <c r="CB1551" s="747"/>
      <c r="CC1551" s="753"/>
      <c r="CD1551" s="551"/>
      <c r="CE1551" s="551"/>
      <c r="CF1551" s="551"/>
      <c r="CG1551" s="551"/>
      <c r="CH1551" s="549"/>
      <c r="CI1551" s="551"/>
      <c r="CJ1551" s="551"/>
      <c r="CK1551" s="551"/>
      <c r="CL1551" s="551"/>
      <c r="CM1551" s="551"/>
      <c r="CN1551" s="551"/>
      <c r="CO1551" s="551"/>
      <c r="CP1551" s="650"/>
      <c r="CQ1551" s="650"/>
      <c r="CR1551" s="551"/>
      <c r="CS1551" s="551"/>
      <c r="CT1551" s="551"/>
      <c r="CU1551" s="551">
        <f t="shared" si="599"/>
        <v>20</v>
      </c>
      <c r="CV1551" s="551">
        <f t="shared" si="617"/>
        <v>0</v>
      </c>
      <c r="CW1551" s="551">
        <f t="shared" si="618"/>
        <v>0</v>
      </c>
      <c r="CX1551" s="650"/>
      <c r="CY1551" s="650"/>
      <c r="CZ1551" s="650"/>
      <c r="DA1551" s="650"/>
      <c r="DB1551" s="650"/>
      <c r="DC1551" s="650"/>
      <c r="DD1551" s="650"/>
      <c r="DE1551" s="650"/>
      <c r="DF1551" s="650"/>
      <c r="DG1551" s="650"/>
      <c r="DH1551" s="650"/>
    </row>
    <row r="1552" s="549" customFormat="1" ht="30" customHeight="1" spans="1:112">
      <c r="A1552" s="641">
        <v>46115</v>
      </c>
      <c r="B1552" s="642" t="s">
        <v>4485</v>
      </c>
      <c r="C1552" s="246" t="s">
        <v>2800</v>
      </c>
      <c r="D1552" s="748">
        <v>4500199743</v>
      </c>
      <c r="E1552" s="246" t="s">
        <v>3846</v>
      </c>
      <c r="F1552" s="551" t="s">
        <v>9790</v>
      </c>
      <c r="G1552" s="246" t="s">
        <v>6276</v>
      </c>
      <c r="H1552" s="246" t="s">
        <v>6277</v>
      </c>
      <c r="I1552" s="246">
        <v>500</v>
      </c>
      <c r="J1552" s="246">
        <v>0</v>
      </c>
      <c r="K1552" s="246">
        <v>50</v>
      </c>
      <c r="L1552" s="644">
        <f t="shared" si="610"/>
        <v>10</v>
      </c>
      <c r="M1552" s="645">
        <v>46195</v>
      </c>
      <c r="N1552" s="645">
        <v>46191</v>
      </c>
      <c r="O1552" s="643"/>
      <c r="P1552" s="643" t="s">
        <v>113</v>
      </c>
      <c r="Q1552" s="646" t="s">
        <v>4488</v>
      </c>
      <c r="R1552" s="646">
        <v>46162</v>
      </c>
      <c r="S1552" s="646" t="s">
        <v>70</v>
      </c>
      <c r="T1552" s="646" t="s">
        <v>70</v>
      </c>
      <c r="U1552" s="646"/>
      <c r="V1552" s="646"/>
      <c r="W1552" s="744"/>
      <c r="X1552" s="642" t="s">
        <v>9791</v>
      </c>
      <c r="Y1552" s="642" t="s">
        <v>529</v>
      </c>
      <c r="Z1552" s="745">
        <v>0.9572</v>
      </c>
      <c r="AA1552" s="647">
        <f t="shared" si="602"/>
        <v>478.6</v>
      </c>
      <c r="AC1552" s="648"/>
      <c r="AD1552" s="246" t="s">
        <v>6276</v>
      </c>
      <c r="AE1552" s="246" t="s">
        <v>82</v>
      </c>
      <c r="AF1552" s="246"/>
      <c r="AG1552" s="246"/>
      <c r="AH1552" s="246"/>
      <c r="AI1552" s="642">
        <v>500</v>
      </c>
      <c r="AJ1552" s="246">
        <f t="shared" si="593"/>
        <v>0</v>
      </c>
      <c r="AK1552" s="246"/>
      <c r="AL1552" s="246"/>
      <c r="AM1552" s="246"/>
      <c r="AN1552" s="246"/>
      <c r="AO1552" s="551">
        <f t="shared" si="619"/>
        <v>500</v>
      </c>
      <c r="AP1552" s="551"/>
      <c r="AQ1552" s="551"/>
      <c r="AR1552" s="650"/>
      <c r="AS1552" s="551"/>
      <c r="AT1552" s="551"/>
      <c r="AU1552" s="551"/>
      <c r="AV1552" s="551"/>
      <c r="AW1552" s="650"/>
      <c r="AX1552" s="551"/>
      <c r="AY1552" s="551"/>
      <c r="AZ1552" s="551"/>
      <c r="BA1552" s="551"/>
      <c r="BB1552" s="249">
        <f t="shared" si="620"/>
        <v>20.8333333333333</v>
      </c>
      <c r="BC1552" s="651"/>
      <c r="BD1552" s="551"/>
      <c r="BE1552" s="551"/>
      <c r="BF1552" s="551"/>
      <c r="BG1552" s="549"/>
      <c r="BH1552" s="551"/>
      <c r="BI1552" s="551"/>
      <c r="BJ1552" s="551"/>
      <c r="BK1552" s="551"/>
      <c r="BL1552" s="551"/>
      <c r="BM1552" s="551"/>
      <c r="BN1552" s="551"/>
      <c r="BO1552" s="551"/>
      <c r="BP1552" s="551"/>
      <c r="BQ1552" s="551"/>
      <c r="BR1552" s="551"/>
      <c r="BS1552" s="551"/>
      <c r="BT1552" s="551"/>
      <c r="BU1552" s="551"/>
      <c r="BV1552" s="551">
        <f>I1552</f>
        <v>500</v>
      </c>
      <c r="BW1552" s="551">
        <f>I1552</f>
        <v>500</v>
      </c>
      <c r="BX1552" s="551">
        <f>I1552/25</f>
        <v>20</v>
      </c>
      <c r="BY1552" s="650"/>
      <c r="BZ1552" s="551"/>
      <c r="CA1552" s="652"/>
      <c r="CB1552" s="747"/>
      <c r="CC1552" s="653"/>
      <c r="CD1552" s="650"/>
      <c r="CE1552" s="650"/>
      <c r="CF1552" s="551"/>
      <c r="CG1552" s="551"/>
      <c r="CH1552" s="549"/>
      <c r="CI1552" s="551"/>
      <c r="CJ1552" s="551"/>
      <c r="CK1552" s="551"/>
      <c r="CL1552" s="551"/>
      <c r="CM1552" s="551"/>
      <c r="CN1552" s="551"/>
      <c r="CO1552" s="551"/>
      <c r="CP1552" s="551"/>
      <c r="CQ1552" s="551"/>
      <c r="CR1552" s="551"/>
      <c r="CS1552" s="551"/>
      <c r="CT1552" s="551"/>
      <c r="CU1552" s="551">
        <f t="shared" si="599"/>
        <v>20</v>
      </c>
      <c r="CV1552" s="551">
        <f t="shared" si="617"/>
        <v>0</v>
      </c>
      <c r="CW1552" s="551">
        <f t="shared" si="618"/>
        <v>0</v>
      </c>
      <c r="CX1552" s="650"/>
      <c r="CY1552" s="650"/>
      <c r="CZ1552" s="650"/>
      <c r="DA1552" s="551"/>
      <c r="DB1552" s="551"/>
      <c r="DC1552" s="551"/>
      <c r="DD1552" s="650"/>
      <c r="DE1552" s="650"/>
      <c r="DF1552" s="650"/>
      <c r="DG1552" s="650"/>
      <c r="DH1552" s="650"/>
    </row>
    <row r="1553" s="549" customFormat="1" ht="31" customHeight="1" spans="1:113">
      <c r="A1553" s="641">
        <v>46106</v>
      </c>
      <c r="B1553" s="642" t="s">
        <v>410</v>
      </c>
      <c r="C1553" s="246" t="s">
        <v>411</v>
      </c>
      <c r="D1553" s="551">
        <v>4500196923</v>
      </c>
      <c r="E1553" s="246"/>
      <c r="F1553" s="551" t="s">
        <v>9792</v>
      </c>
      <c r="G1553" s="246" t="s">
        <v>6040</v>
      </c>
      <c r="H1553" s="246" t="s">
        <v>6041</v>
      </c>
      <c r="I1553" s="246">
        <v>520</v>
      </c>
      <c r="J1553" s="246">
        <v>0</v>
      </c>
      <c r="K1553" s="246">
        <v>52</v>
      </c>
      <c r="L1553" s="644">
        <f t="shared" si="610"/>
        <v>10</v>
      </c>
      <c r="M1553" s="645">
        <v>46195</v>
      </c>
      <c r="N1553" s="645">
        <v>46191</v>
      </c>
      <c r="O1553" s="643"/>
      <c r="P1553" s="643" t="s">
        <v>113</v>
      </c>
      <c r="Q1553" s="654">
        <v>46198</v>
      </c>
      <c r="R1553" s="646">
        <v>46156</v>
      </c>
      <c r="S1553" s="646" t="s">
        <v>70</v>
      </c>
      <c r="T1553" s="646" t="s">
        <v>9793</v>
      </c>
      <c r="U1553" s="646"/>
      <c r="V1553" s="646"/>
      <c r="W1553" s="744"/>
      <c r="X1553" s="815" t="s">
        <v>9794</v>
      </c>
      <c r="Y1553" s="642" t="s">
        <v>415</v>
      </c>
      <c r="Z1553" s="745">
        <v>0.9332</v>
      </c>
      <c r="AA1553" s="647">
        <f>I1553*Z1553</f>
        <v>485.264</v>
      </c>
      <c r="AC1553" s="648"/>
      <c r="AD1553" s="246" t="s">
        <v>6040</v>
      </c>
      <c r="AE1553" s="246" t="s">
        <v>82</v>
      </c>
      <c r="AF1553" s="246"/>
      <c r="AG1553" s="246"/>
      <c r="AH1553" s="246"/>
      <c r="AI1553" s="642">
        <v>520</v>
      </c>
      <c r="AJ1553" s="246">
        <f t="shared" si="593"/>
        <v>0</v>
      </c>
      <c r="AK1553" s="246"/>
      <c r="AL1553" s="246" t="s">
        <v>2368</v>
      </c>
      <c r="AM1553" s="246"/>
      <c r="AN1553" s="646"/>
      <c r="AO1553" s="551">
        <f t="shared" si="619"/>
        <v>520</v>
      </c>
      <c r="AP1553" s="551"/>
      <c r="AQ1553" s="551"/>
      <c r="AR1553" s="650"/>
      <c r="AS1553" s="551"/>
      <c r="AT1553" s="551">
        <f>I1553</f>
        <v>520</v>
      </c>
      <c r="AU1553" s="551"/>
      <c r="AV1553" s="551">
        <f>I1553</f>
        <v>520</v>
      </c>
      <c r="AW1553" s="650"/>
      <c r="AX1553" s="551"/>
      <c r="AY1553" s="551"/>
      <c r="AZ1553" s="551"/>
      <c r="BA1553" s="551"/>
      <c r="BB1553" s="249">
        <f t="shared" si="620"/>
        <v>21.6666666666667</v>
      </c>
      <c r="BC1553" s="551"/>
      <c r="BD1553" s="551"/>
      <c r="BE1553" s="551"/>
      <c r="BF1553" s="551"/>
      <c r="BG1553" s="549"/>
      <c r="BH1553" s="551"/>
      <c r="BI1553" s="551"/>
      <c r="BJ1553" s="551"/>
      <c r="BK1553" s="551"/>
      <c r="BL1553" s="551"/>
      <c r="BM1553" s="551">
        <f>I1553/13</f>
        <v>40</v>
      </c>
      <c r="BN1553" s="551"/>
      <c r="BO1553" s="551"/>
      <c r="BP1553" s="551"/>
      <c r="BQ1553" s="551"/>
      <c r="BR1553" s="551"/>
      <c r="BS1553" s="551"/>
      <c r="BT1553" s="551"/>
      <c r="BU1553" s="551"/>
      <c r="BV1553" s="551"/>
      <c r="BW1553" s="551"/>
      <c r="BX1553" s="551"/>
      <c r="BY1553" s="551"/>
      <c r="BZ1553" s="551"/>
      <c r="CA1553" s="752"/>
      <c r="CB1553" s="747"/>
      <c r="CC1553" s="753"/>
      <c r="CD1553" s="551"/>
      <c r="CE1553" s="551"/>
      <c r="CF1553" s="551"/>
      <c r="CG1553" s="551"/>
      <c r="CH1553" s="549"/>
      <c r="CI1553" s="551"/>
      <c r="CJ1553" s="551"/>
      <c r="CK1553" s="551"/>
      <c r="CL1553" s="551"/>
      <c r="CM1553" s="551"/>
      <c r="CN1553" s="551"/>
      <c r="CO1553" s="551"/>
      <c r="CP1553" s="650"/>
      <c r="CQ1553" s="650"/>
      <c r="CR1553" s="650"/>
      <c r="CS1553" s="650"/>
      <c r="CT1553" s="650"/>
      <c r="CU1553" s="551">
        <f t="shared" si="599"/>
        <v>0</v>
      </c>
      <c r="CV1553" s="551">
        <f t="shared" si="617"/>
        <v>0</v>
      </c>
      <c r="CW1553" s="551">
        <f t="shared" si="618"/>
        <v>0</v>
      </c>
      <c r="CX1553" s="650"/>
      <c r="CY1553" s="650"/>
      <c r="CZ1553" s="650"/>
      <c r="DA1553" s="650"/>
      <c r="DB1553" s="650"/>
      <c r="DC1553" s="650"/>
      <c r="DD1553" s="650"/>
      <c r="DE1553" s="650"/>
      <c r="DF1553" s="650"/>
      <c r="DG1553" s="650"/>
      <c r="DH1553" s="650"/>
    </row>
    <row r="1554" s="549" customFormat="1" ht="30" customHeight="1" spans="1:113">
      <c r="A1554" s="641">
        <v>46121</v>
      </c>
      <c r="B1554" s="642" t="s">
        <v>2594</v>
      </c>
      <c r="C1554" s="246" t="s">
        <v>2595</v>
      </c>
      <c r="D1554" s="748">
        <v>4500200614</v>
      </c>
      <c r="E1554" s="246" t="s">
        <v>3846</v>
      </c>
      <c r="F1554" s="551" t="s">
        <v>9795</v>
      </c>
      <c r="G1554" s="246" t="s">
        <v>6276</v>
      </c>
      <c r="H1554" s="246" t="s">
        <v>6277</v>
      </c>
      <c r="I1554" s="246">
        <v>5000</v>
      </c>
      <c r="J1554" s="246">
        <v>0</v>
      </c>
      <c r="K1554" s="246">
        <v>50</v>
      </c>
      <c r="L1554" s="644">
        <f t="shared" si="610"/>
        <v>100</v>
      </c>
      <c r="M1554" s="645">
        <v>46195</v>
      </c>
      <c r="N1554" s="645">
        <f>M1554-4</f>
        <v>46191</v>
      </c>
      <c r="O1554" s="643"/>
      <c r="P1554" s="643" t="s">
        <v>113</v>
      </c>
      <c r="Q1554" s="654">
        <v>46223</v>
      </c>
      <c r="R1554" s="646">
        <v>46154</v>
      </c>
      <c r="S1554" s="646" t="s">
        <v>70</v>
      </c>
      <c r="T1554" s="646" t="s">
        <v>9796</v>
      </c>
      <c r="U1554" s="646"/>
      <c r="V1554" s="646" t="s">
        <v>9797</v>
      </c>
      <c r="W1554" s="744"/>
      <c r="X1554" s="749" t="s">
        <v>9798</v>
      </c>
      <c r="Y1554" s="642" t="s">
        <v>529</v>
      </c>
      <c r="Z1554" s="745">
        <v>0.9469</v>
      </c>
      <c r="AA1554" s="647">
        <f t="shared" ref="AA1554:AA1579" si="621">Z1554*I1554</f>
        <v>4734.5</v>
      </c>
      <c r="AC1554" s="648"/>
      <c r="AD1554" s="246" t="s">
        <v>6276</v>
      </c>
      <c r="AE1554" s="246" t="s">
        <v>82</v>
      </c>
      <c r="AF1554" s="246"/>
      <c r="AG1554" s="246"/>
      <c r="AH1554" s="246"/>
      <c r="AI1554" s="642">
        <v>5000</v>
      </c>
      <c r="AJ1554" s="246">
        <f t="shared" si="593"/>
        <v>0</v>
      </c>
      <c r="AK1554" s="246"/>
      <c r="AL1554" s="246" t="s">
        <v>2368</v>
      </c>
      <c r="AM1554" s="246"/>
      <c r="AN1554" s="246"/>
      <c r="AO1554" s="551">
        <f t="shared" si="619"/>
        <v>5000</v>
      </c>
      <c r="AP1554" s="551"/>
      <c r="AQ1554" s="551"/>
      <c r="AR1554" s="650"/>
      <c r="AS1554" s="551"/>
      <c r="AT1554" s="551"/>
      <c r="AU1554" s="551"/>
      <c r="AV1554" s="551"/>
      <c r="AW1554" s="650"/>
      <c r="AX1554" s="551"/>
      <c r="AY1554" s="551"/>
      <c r="AZ1554" s="551"/>
      <c r="BA1554" s="551"/>
      <c r="BB1554" s="249">
        <f t="shared" si="620"/>
        <v>208.333333333333</v>
      </c>
      <c r="BC1554" s="651"/>
      <c r="BD1554" s="551"/>
      <c r="BE1554" s="551"/>
      <c r="BF1554" s="551"/>
      <c r="BG1554" s="549"/>
      <c r="BH1554" s="551"/>
      <c r="BI1554" s="551"/>
      <c r="BJ1554" s="551"/>
      <c r="BK1554" s="551"/>
      <c r="BL1554" s="551"/>
      <c r="BM1554" s="551"/>
      <c r="BN1554" s="551"/>
      <c r="BO1554" s="551"/>
      <c r="BP1554" s="551"/>
      <c r="BQ1554" s="551"/>
      <c r="BR1554" s="551"/>
      <c r="BS1554" s="551"/>
      <c r="BT1554" s="551"/>
      <c r="BU1554" s="551"/>
      <c r="BV1554" s="551">
        <f>I1554</f>
        <v>5000</v>
      </c>
      <c r="BW1554" s="551">
        <f>I1554</f>
        <v>5000</v>
      </c>
      <c r="BX1554" s="551">
        <f>I1554/25</f>
        <v>200</v>
      </c>
      <c r="BY1554" s="650"/>
      <c r="BZ1554" s="551"/>
      <c r="CA1554" s="652"/>
      <c r="CB1554" s="747"/>
      <c r="CC1554" s="653"/>
      <c r="CD1554" s="650"/>
      <c r="CE1554" s="650"/>
      <c r="CF1554" s="551"/>
      <c r="CG1554" s="551"/>
      <c r="CH1554" s="549"/>
      <c r="CI1554" s="551"/>
      <c r="CJ1554" s="551"/>
      <c r="CK1554" s="551"/>
      <c r="CL1554" s="551"/>
      <c r="CM1554" s="551"/>
      <c r="CN1554" s="551"/>
      <c r="CO1554" s="551"/>
      <c r="CP1554" s="551"/>
      <c r="CQ1554" s="551"/>
      <c r="CR1554" s="551"/>
      <c r="CS1554" s="551"/>
      <c r="CT1554" s="551"/>
      <c r="CU1554" s="551">
        <f t="shared" si="599"/>
        <v>200</v>
      </c>
      <c r="CV1554" s="551">
        <f t="shared" si="617"/>
        <v>0</v>
      </c>
      <c r="CW1554" s="551">
        <f t="shared" si="618"/>
        <v>0</v>
      </c>
      <c r="CX1554" s="650"/>
      <c r="CY1554" s="650"/>
      <c r="CZ1554" s="650"/>
      <c r="DA1554" s="551"/>
      <c r="DB1554" s="551"/>
      <c r="DC1554" s="551"/>
      <c r="DD1554" s="650"/>
      <c r="DE1554" s="650"/>
      <c r="DF1554" s="650"/>
      <c r="DG1554" s="650"/>
      <c r="DH1554" s="650"/>
    </row>
    <row r="1555" s="549" customFormat="1" ht="31" customHeight="1" spans="1:113">
      <c r="A1555" s="641">
        <v>46151</v>
      </c>
      <c r="B1555" s="642" t="s">
        <v>1800</v>
      </c>
      <c r="C1555" s="246" t="s">
        <v>744</v>
      </c>
      <c r="D1555" s="551">
        <v>4500204920</v>
      </c>
      <c r="E1555" s="246">
        <v>5000002195</v>
      </c>
      <c r="F1555" s="551" t="s">
        <v>9799</v>
      </c>
      <c r="G1555" s="246" t="s">
        <v>6093</v>
      </c>
      <c r="H1555" s="246" t="s">
        <v>7359</v>
      </c>
      <c r="I1555" s="706">
        <v>11960</v>
      </c>
      <c r="J1555" s="246">
        <v>0</v>
      </c>
      <c r="K1555" s="246">
        <v>13</v>
      </c>
      <c r="L1555" s="644">
        <f t="shared" si="610"/>
        <v>920</v>
      </c>
      <c r="M1555" s="645">
        <v>46196</v>
      </c>
      <c r="N1555" s="645">
        <v>46192</v>
      </c>
      <c r="O1555" s="643"/>
      <c r="P1555" s="780" t="s">
        <v>113</v>
      </c>
      <c r="Q1555" s="646"/>
      <c r="R1555" s="646" t="s">
        <v>9676</v>
      </c>
      <c r="S1555" s="646" t="s">
        <v>104</v>
      </c>
      <c r="T1555" s="646" t="s">
        <v>8723</v>
      </c>
      <c r="U1555" s="646"/>
      <c r="V1555" s="646"/>
      <c r="W1555" s="744"/>
      <c r="X1555" s="642" t="s">
        <v>9800</v>
      </c>
      <c r="Y1555" s="647" t="s">
        <v>1805</v>
      </c>
      <c r="Z1555" s="642">
        <v>0.9043</v>
      </c>
      <c r="AA1555" s="647">
        <f t="shared" si="621"/>
        <v>10815.428</v>
      </c>
      <c r="AC1555" s="751"/>
      <c r="AD1555" s="246" t="s">
        <v>8338</v>
      </c>
      <c r="AE1555" s="246" t="s">
        <v>82</v>
      </c>
      <c r="AF1555" s="246"/>
      <c r="AG1555" s="246"/>
      <c r="AH1555" s="642"/>
      <c r="AI1555" s="642">
        <v>11960</v>
      </c>
      <c r="AJ1555" s="246">
        <f t="shared" si="593"/>
        <v>0</v>
      </c>
      <c r="AK1555" s="643"/>
      <c r="AL1555" s="246" t="s">
        <v>454</v>
      </c>
      <c r="AM1555" s="246"/>
      <c r="AN1555" s="551"/>
      <c r="AO1555" s="551">
        <f t="shared" si="619"/>
        <v>11960</v>
      </c>
      <c r="AP1555" s="551"/>
      <c r="AQ1555" s="551"/>
      <c r="AR1555" s="650"/>
      <c r="AS1555" s="551"/>
      <c r="AT1555" s="551"/>
      <c r="AU1555" s="551"/>
      <c r="AV1555" s="551"/>
      <c r="AW1555" s="650">
        <f>I1555</f>
        <v>11960</v>
      </c>
      <c r="AX1555" s="551">
        <f>I1555</f>
        <v>11960</v>
      </c>
      <c r="AY1555" s="551"/>
      <c r="AZ1555" s="551"/>
      <c r="BA1555" s="651">
        <f>I1555/24</f>
        <v>498.333333333333</v>
      </c>
      <c r="BB1555" s="249"/>
      <c r="BC1555" s="551"/>
      <c r="BD1555" s="551"/>
      <c r="BE1555" s="551"/>
      <c r="BF1555" s="551"/>
      <c r="BG1555" s="549"/>
      <c r="BH1555" s="551"/>
      <c r="BI1555" s="551"/>
      <c r="BJ1555" s="551"/>
      <c r="BK1555" s="551"/>
      <c r="BL1555" s="551"/>
      <c r="BM1555" s="551">
        <f>I1555/13</f>
        <v>920</v>
      </c>
      <c r="BN1555" s="551"/>
      <c r="BO1555" s="551"/>
      <c r="BP1555" s="551"/>
      <c r="BQ1555" s="551"/>
      <c r="BR1555" s="551"/>
      <c r="BS1555" s="551"/>
      <c r="BT1555" s="551"/>
      <c r="BU1555" s="551"/>
      <c r="BV1555" s="551"/>
      <c r="BW1555" s="551"/>
      <c r="BX1555" s="551"/>
      <c r="BY1555" s="551"/>
      <c r="BZ1555" s="551"/>
      <c r="CA1555" s="752"/>
      <c r="CB1555" s="747"/>
      <c r="CC1555" s="753"/>
      <c r="CD1555" s="551"/>
      <c r="CE1555" s="551"/>
      <c r="CF1555" s="551"/>
      <c r="CG1555" s="551"/>
      <c r="CH1555" s="549"/>
      <c r="CI1555" s="551"/>
      <c r="CJ1555" s="551"/>
      <c r="CK1555" s="551"/>
      <c r="CL1555" s="551"/>
      <c r="CM1555" s="551"/>
      <c r="CN1555" s="551"/>
      <c r="CO1555" s="551"/>
      <c r="CP1555" s="650"/>
      <c r="CQ1555" s="650"/>
      <c r="CR1555" s="551"/>
      <c r="CS1555" s="551"/>
      <c r="CT1555" s="551"/>
      <c r="CU1555" s="551">
        <f t="shared" si="599"/>
        <v>0</v>
      </c>
      <c r="CV1555" s="551">
        <v>0</v>
      </c>
      <c r="CW1555" s="551">
        <v>0</v>
      </c>
      <c r="CX1555" s="650"/>
      <c r="CY1555" s="650"/>
      <c r="CZ1555" s="650"/>
      <c r="DA1555" s="650"/>
      <c r="DB1555" s="650"/>
      <c r="DC1555" s="650"/>
      <c r="DD1555" s="650"/>
      <c r="DE1555" s="650"/>
      <c r="DF1555" s="650"/>
      <c r="DG1555" s="650"/>
      <c r="DH1555" s="650"/>
    </row>
    <row r="1556" s="549" customFormat="1" ht="31" customHeight="1" spans="1:113">
      <c r="A1556" s="641">
        <v>46142</v>
      </c>
      <c r="B1556" s="642" t="s">
        <v>4155</v>
      </c>
      <c r="C1556" s="246" t="s">
        <v>198</v>
      </c>
      <c r="D1556" s="748">
        <v>4500203674</v>
      </c>
      <c r="E1556" s="643">
        <v>4045802242</v>
      </c>
      <c r="F1556" s="551" t="s">
        <v>9801</v>
      </c>
      <c r="G1556" s="246" t="s">
        <v>6093</v>
      </c>
      <c r="H1556" s="246" t="s">
        <v>6094</v>
      </c>
      <c r="I1556" s="706">
        <v>4004</v>
      </c>
      <c r="J1556" s="246">
        <v>0</v>
      </c>
      <c r="K1556" s="246">
        <v>13</v>
      </c>
      <c r="L1556" s="644">
        <f t="shared" si="610"/>
        <v>308</v>
      </c>
      <c r="M1556" s="645">
        <v>46196</v>
      </c>
      <c r="N1556" s="645">
        <v>46192</v>
      </c>
      <c r="O1556" s="643"/>
      <c r="P1556" s="246" t="s">
        <v>113</v>
      </c>
      <c r="Q1556" s="646" t="s">
        <v>9802</v>
      </c>
      <c r="R1556" s="646">
        <v>46161</v>
      </c>
      <c r="S1556" s="646" t="s">
        <v>70</v>
      </c>
      <c r="T1556" s="646" t="s">
        <v>9613</v>
      </c>
      <c r="U1556" s="646"/>
      <c r="V1556" s="646"/>
      <c r="W1556" s="816" t="s">
        <v>9803</v>
      </c>
      <c r="X1556" s="642" t="s">
        <v>9804</v>
      </c>
      <c r="Y1556" s="647" t="s">
        <v>244</v>
      </c>
      <c r="Z1556" s="642">
        <v>0.9116</v>
      </c>
      <c r="AA1556" s="647">
        <f t="shared" si="621"/>
        <v>3650.0464</v>
      </c>
      <c r="AC1556" s="751"/>
      <c r="AD1556" s="246" t="s">
        <v>6093</v>
      </c>
      <c r="AE1556" s="246" t="s">
        <v>82</v>
      </c>
      <c r="AF1556" s="246"/>
      <c r="AG1556" s="246"/>
      <c r="AH1556" s="642"/>
      <c r="AI1556" s="642">
        <f>3991+13</f>
        <v>4004</v>
      </c>
      <c r="AJ1556" s="246">
        <f t="shared" si="593"/>
        <v>0</v>
      </c>
      <c r="AK1556" s="643"/>
      <c r="AL1556" s="246" t="s">
        <v>2368</v>
      </c>
      <c r="AM1556" s="246"/>
      <c r="AN1556" s="551"/>
      <c r="AO1556" s="551">
        <f t="shared" si="619"/>
        <v>4004</v>
      </c>
      <c r="AP1556" s="551"/>
      <c r="AQ1556" s="551"/>
      <c r="AR1556" s="650"/>
      <c r="AS1556" s="551"/>
      <c r="AT1556" s="551">
        <f>I1556</f>
        <v>4004</v>
      </c>
      <c r="AU1556" s="551"/>
      <c r="AV1556" s="551">
        <f>I1556</f>
        <v>4004</v>
      </c>
      <c r="AW1556" s="551"/>
      <c r="AX1556" s="651"/>
      <c r="AY1556" s="551"/>
      <c r="AZ1556" s="551"/>
      <c r="BA1556" s="551"/>
      <c r="BB1556" s="249">
        <f>I1556/24</f>
        <v>166.833333333333</v>
      </c>
      <c r="BC1556" s="551"/>
      <c r="BD1556" s="551"/>
      <c r="BE1556" s="551"/>
      <c r="BF1556" s="551"/>
      <c r="BG1556" s="549"/>
      <c r="BH1556" s="551"/>
      <c r="BI1556" s="551"/>
      <c r="BJ1556" s="551"/>
      <c r="BK1556" s="551"/>
      <c r="BL1556" s="551"/>
      <c r="BM1556" s="551">
        <f>I1556/13</f>
        <v>308</v>
      </c>
      <c r="BN1556" s="551"/>
      <c r="BO1556" s="551"/>
      <c r="BP1556" s="551"/>
      <c r="BQ1556" s="551"/>
      <c r="BR1556" s="551"/>
      <c r="BS1556" s="551"/>
      <c r="BT1556" s="551"/>
      <c r="BU1556" s="551"/>
      <c r="BV1556" s="551"/>
      <c r="BW1556" s="551"/>
      <c r="BX1556" s="551"/>
      <c r="BY1556" s="551"/>
      <c r="BZ1556" s="551"/>
      <c r="CA1556" s="752"/>
      <c r="CB1556" s="747"/>
      <c r="CC1556" s="753"/>
      <c r="CD1556" s="551"/>
      <c r="CE1556" s="551"/>
      <c r="CF1556" s="551"/>
      <c r="CG1556" s="551"/>
      <c r="CH1556" s="549"/>
      <c r="CI1556" s="551"/>
      <c r="CJ1556" s="551"/>
      <c r="CK1556" s="551"/>
      <c r="CL1556" s="551"/>
      <c r="CM1556" s="551"/>
      <c r="CN1556" s="551"/>
      <c r="CO1556" s="551"/>
      <c r="CP1556" s="650"/>
      <c r="CQ1556" s="650"/>
      <c r="CR1556" s="551"/>
      <c r="CS1556" s="551"/>
      <c r="CT1556" s="551"/>
      <c r="CU1556" s="551">
        <f t="shared" si="599"/>
        <v>0</v>
      </c>
      <c r="CV1556" s="551">
        <f>CK1556+CL1556+CM1556+CN1556+CO1556+CQ1556+CP1556</f>
        <v>0</v>
      </c>
      <c r="CW1556" s="551">
        <f>CI1556+CJ1556</f>
        <v>0</v>
      </c>
      <c r="CX1556" s="650"/>
      <c r="CY1556" s="650"/>
      <c r="CZ1556" s="650"/>
      <c r="DA1556" s="650"/>
      <c r="DB1556" s="650"/>
      <c r="DC1556" s="650"/>
      <c r="DD1556" s="650"/>
      <c r="DE1556" s="650"/>
      <c r="DF1556" s="650"/>
      <c r="DG1556" s="650"/>
      <c r="DH1556" s="650"/>
    </row>
    <row r="1557" s="549" customFormat="1" ht="31" customHeight="1" spans="1:113">
      <c r="A1557" s="641">
        <v>46151</v>
      </c>
      <c r="B1557" s="642" t="s">
        <v>1800</v>
      </c>
      <c r="C1557" s="246" t="s">
        <v>744</v>
      </c>
      <c r="D1557" s="551">
        <v>4500204920</v>
      </c>
      <c r="E1557" s="246">
        <v>5000002195</v>
      </c>
      <c r="F1557" s="551" t="s">
        <v>4476</v>
      </c>
      <c r="G1557" s="246" t="s">
        <v>6337</v>
      </c>
      <c r="H1557" s="246" t="s">
        <v>477</v>
      </c>
      <c r="I1557" s="706">
        <v>4500</v>
      </c>
      <c r="J1557" s="246">
        <v>0</v>
      </c>
      <c r="K1557" s="246">
        <v>6</v>
      </c>
      <c r="L1557" s="644">
        <f t="shared" si="610"/>
        <v>750</v>
      </c>
      <c r="M1557" s="645">
        <v>46196</v>
      </c>
      <c r="N1557" s="645">
        <v>46192</v>
      </c>
      <c r="O1557" s="643"/>
      <c r="P1557" s="246" t="s">
        <v>113</v>
      </c>
      <c r="Q1557" s="646"/>
      <c r="R1557" s="646" t="s">
        <v>9676</v>
      </c>
      <c r="S1557" s="646" t="s">
        <v>104</v>
      </c>
      <c r="T1557" s="646" t="s">
        <v>2239</v>
      </c>
      <c r="U1557" s="646"/>
      <c r="V1557" s="646"/>
      <c r="W1557" s="744"/>
      <c r="X1557" s="642" t="s">
        <v>3762</v>
      </c>
      <c r="Y1557" s="647" t="s">
        <v>1805</v>
      </c>
      <c r="Z1557" s="642">
        <v>6.5817</v>
      </c>
      <c r="AA1557" s="647">
        <f t="shared" si="621"/>
        <v>29617.65</v>
      </c>
      <c r="AC1557" s="751"/>
      <c r="AD1557" s="246" t="s">
        <v>2241</v>
      </c>
      <c r="AE1557" s="246" t="s">
        <v>82</v>
      </c>
      <c r="AF1557" s="246"/>
      <c r="AG1557" s="246"/>
      <c r="AH1557" s="642"/>
      <c r="AI1557" s="642">
        <f>1890+2610</f>
        <v>4500</v>
      </c>
      <c r="AJ1557" s="246">
        <f t="shared" si="593"/>
        <v>0</v>
      </c>
      <c r="AK1557" s="643"/>
      <c r="AL1557" s="246" t="s">
        <v>2368</v>
      </c>
      <c r="AM1557" s="246"/>
      <c r="AN1557" s="551"/>
      <c r="AO1557" s="551">
        <f>I1557*2</f>
        <v>9000</v>
      </c>
      <c r="AP1557" s="551"/>
      <c r="AQ1557" s="551"/>
      <c r="AR1557" s="650"/>
      <c r="AS1557" s="551"/>
      <c r="AT1557" s="551">
        <f>I1557*2</f>
        <v>9000</v>
      </c>
      <c r="AU1557" s="551"/>
      <c r="AV1557" s="551"/>
      <c r="AW1557" s="551"/>
      <c r="AX1557" s="551">
        <f>I1557*2</f>
        <v>9000</v>
      </c>
      <c r="AY1557" s="551"/>
      <c r="AZ1557" s="551"/>
      <c r="BA1557" s="651">
        <f>I1557/24*2</f>
        <v>375</v>
      </c>
      <c r="BB1557" s="249"/>
      <c r="BC1557" s="551"/>
      <c r="BD1557" s="551"/>
      <c r="BE1557" s="551"/>
      <c r="BF1557" s="551"/>
      <c r="BG1557" s="549"/>
      <c r="BH1557" s="551"/>
      <c r="BI1557" s="551"/>
      <c r="BJ1557" s="551"/>
      <c r="BK1557" s="551"/>
      <c r="BL1557" s="551"/>
      <c r="BM1557" s="551"/>
      <c r="BN1557" s="551"/>
      <c r="BO1557" s="551"/>
      <c r="BP1557" s="551"/>
      <c r="BQ1557" s="551"/>
      <c r="BR1557" s="551"/>
      <c r="BS1557" s="551"/>
      <c r="BT1557" s="551"/>
      <c r="BU1557" s="551"/>
      <c r="BV1557" s="551"/>
      <c r="BW1557" s="551"/>
      <c r="BX1557" s="551"/>
      <c r="BY1557" s="551"/>
      <c r="BZ1557" s="551">
        <f>I1557</f>
        <v>4500</v>
      </c>
      <c r="CA1557" s="752"/>
      <c r="CB1557" s="747"/>
      <c r="CC1557" s="753"/>
      <c r="CD1557" s="551"/>
      <c r="CE1557" s="551"/>
      <c r="CF1557" s="551"/>
      <c r="CG1557" s="551"/>
      <c r="CH1557" s="549"/>
      <c r="CI1557" s="551"/>
      <c r="CJ1557" s="551"/>
      <c r="CK1557" s="551"/>
      <c r="CL1557" s="551"/>
      <c r="CM1557" s="551"/>
      <c r="CN1557" s="551"/>
      <c r="CO1557" s="551"/>
      <c r="CP1557" s="650"/>
      <c r="CQ1557" s="650"/>
      <c r="CR1557" s="551"/>
      <c r="CS1557" s="551"/>
      <c r="CT1557" s="551"/>
      <c r="CU1557" s="551">
        <f t="shared" si="599"/>
        <v>0</v>
      </c>
      <c r="CV1557" s="551">
        <v>0</v>
      </c>
      <c r="CW1557" s="551">
        <v>0</v>
      </c>
      <c r="CX1557" s="650"/>
      <c r="CY1557" s="650"/>
      <c r="CZ1557" s="650"/>
      <c r="DA1557" s="650"/>
      <c r="DB1557" s="650"/>
      <c r="DC1557" s="650"/>
      <c r="DD1557" s="650"/>
      <c r="DE1557" s="650"/>
      <c r="DF1557" s="650"/>
      <c r="DG1557" s="650"/>
      <c r="DH1557" s="650"/>
      <c r="DI1557" s="551"/>
    </row>
    <row r="1558" s="549" customFormat="1" ht="31" customHeight="1" spans="1:113">
      <c r="A1558" s="641">
        <v>46154</v>
      </c>
      <c r="B1558" s="642" t="s">
        <v>7901</v>
      </c>
      <c r="C1558" s="246" t="s">
        <v>170</v>
      </c>
      <c r="D1558" s="748">
        <v>4500206743</v>
      </c>
      <c r="E1558" s="643">
        <v>4552480074</v>
      </c>
      <c r="F1558" s="551" t="s">
        <v>9805</v>
      </c>
      <c r="G1558" s="246" t="s">
        <v>6166</v>
      </c>
      <c r="H1558" s="246" t="s">
        <v>6094</v>
      </c>
      <c r="I1558" s="706">
        <v>4238</v>
      </c>
      <c r="J1558" s="246">
        <v>0</v>
      </c>
      <c r="K1558" s="246">
        <v>13</v>
      </c>
      <c r="L1558" s="644">
        <f t="shared" si="610"/>
        <v>326</v>
      </c>
      <c r="M1558" s="645">
        <v>46196</v>
      </c>
      <c r="N1558" s="645">
        <v>46192</v>
      </c>
      <c r="O1558" s="643"/>
      <c r="P1558" s="246" t="s">
        <v>113</v>
      </c>
      <c r="Q1558" s="646"/>
      <c r="R1558" s="646">
        <v>46154</v>
      </c>
      <c r="S1558" s="646" t="s">
        <v>70</v>
      </c>
      <c r="T1558" s="646" t="s">
        <v>9806</v>
      </c>
      <c r="U1558" s="646"/>
      <c r="V1558" s="646"/>
      <c r="W1558" s="744"/>
      <c r="X1558" s="642" t="s">
        <v>9807</v>
      </c>
      <c r="Y1558" s="647" t="s">
        <v>9808</v>
      </c>
      <c r="Z1558" s="642">
        <v>0.9549</v>
      </c>
      <c r="AA1558" s="647">
        <f t="shared" si="621"/>
        <v>4046.8662</v>
      </c>
      <c r="AC1558" s="751"/>
      <c r="AD1558" s="246" t="s">
        <v>6166</v>
      </c>
      <c r="AE1558" s="246" t="s">
        <v>82</v>
      </c>
      <c r="AF1558" s="246"/>
      <c r="AG1558" s="246"/>
      <c r="AH1558" s="642"/>
      <c r="AI1558" s="642">
        <v>4238</v>
      </c>
      <c r="AJ1558" s="246">
        <f t="shared" si="593"/>
        <v>0</v>
      </c>
      <c r="AK1558" s="643"/>
      <c r="AL1558" s="246" t="s">
        <v>2368</v>
      </c>
      <c r="AM1558" s="246"/>
      <c r="AN1558" s="551">
        <f>I1558</f>
        <v>4238</v>
      </c>
      <c r="AO1558" s="551"/>
      <c r="AP1558" s="551"/>
      <c r="AQ1558" s="551"/>
      <c r="AR1558" s="650"/>
      <c r="AS1558" s="551">
        <f>I1558</f>
        <v>4238</v>
      </c>
      <c r="AT1558" s="551"/>
      <c r="AU1558" s="551">
        <f>I1558</f>
        <v>4238</v>
      </c>
      <c r="AV1558" s="551"/>
      <c r="AW1558" s="551"/>
      <c r="AX1558" s="651"/>
      <c r="AY1558" s="551"/>
      <c r="AZ1558" s="551"/>
      <c r="BA1558" s="551"/>
      <c r="BB1558" s="249">
        <v>177.125</v>
      </c>
      <c r="BC1558" s="551"/>
      <c r="BD1558" s="551"/>
      <c r="BE1558" s="551"/>
      <c r="BF1558" s="551"/>
      <c r="BG1558" s="549"/>
      <c r="BH1558" s="551"/>
      <c r="BI1558" s="551"/>
      <c r="BJ1558" s="551"/>
      <c r="BK1558" s="551"/>
      <c r="BL1558" s="551">
        <v>327</v>
      </c>
      <c r="BM1558" s="551"/>
      <c r="BN1558" s="551"/>
      <c r="BO1558" s="551"/>
      <c r="BP1558" s="551"/>
      <c r="BQ1558" s="551"/>
      <c r="BR1558" s="551"/>
      <c r="BS1558" s="551"/>
      <c r="BT1558" s="551"/>
      <c r="BU1558" s="551"/>
      <c r="BV1558" s="551"/>
      <c r="BW1558" s="551"/>
      <c r="BX1558" s="551"/>
      <c r="BY1558" s="551"/>
      <c r="BZ1558" s="551"/>
      <c r="CA1558" s="752"/>
      <c r="CB1558" s="747"/>
      <c r="CC1558" s="753"/>
      <c r="CD1558" s="551"/>
      <c r="CE1558" s="551"/>
      <c r="CF1558" s="551"/>
      <c r="CG1558" s="551"/>
      <c r="CH1558" s="549"/>
      <c r="CI1558" s="551"/>
      <c r="CJ1558" s="551"/>
      <c r="CK1558" s="551"/>
      <c r="CL1558" s="551"/>
      <c r="CM1558" s="551"/>
      <c r="CN1558" s="551"/>
      <c r="CO1558" s="551"/>
      <c r="CP1558" s="650"/>
      <c r="CQ1558" s="650"/>
      <c r="CR1558" s="551"/>
      <c r="CS1558" s="551"/>
      <c r="CT1558" s="551"/>
      <c r="CU1558" s="551">
        <f t="shared" si="599"/>
        <v>0</v>
      </c>
      <c r="CV1558" s="551">
        <f>CK1558+CL1558+CM1558+CN1558+CO1558+CQ1558+CP1558</f>
        <v>0</v>
      </c>
      <c r="CW1558" s="551">
        <f>CI1558+CJ1558</f>
        <v>0</v>
      </c>
      <c r="CX1558" s="650"/>
      <c r="CY1558" s="650"/>
      <c r="CZ1558" s="650"/>
      <c r="DA1558" s="650"/>
      <c r="DB1558" s="650"/>
      <c r="DC1558" s="650"/>
      <c r="DD1558" s="650"/>
      <c r="DE1558" s="650"/>
      <c r="DF1558" s="650"/>
      <c r="DG1558" s="650"/>
      <c r="DH1558" s="650"/>
    </row>
    <row r="1559" s="549" customFormat="1" ht="31" customHeight="1" spans="1:113">
      <c r="A1559" s="641">
        <v>46140</v>
      </c>
      <c r="B1559" s="642" t="s">
        <v>4289</v>
      </c>
      <c r="C1559" s="246" t="s">
        <v>1101</v>
      </c>
      <c r="D1559" s="748">
        <v>4500204227</v>
      </c>
      <c r="E1559" s="743">
        <v>85060</v>
      </c>
      <c r="F1559" s="551" t="s">
        <v>9809</v>
      </c>
      <c r="G1559" s="246" t="s">
        <v>6043</v>
      </c>
      <c r="H1559" s="246" t="s">
        <v>6110</v>
      </c>
      <c r="I1559" s="706">
        <v>36000</v>
      </c>
      <c r="J1559" s="246">
        <v>0</v>
      </c>
      <c r="K1559" s="246">
        <v>50</v>
      </c>
      <c r="L1559" s="644">
        <f t="shared" si="610"/>
        <v>720</v>
      </c>
      <c r="M1559" s="645">
        <v>46188</v>
      </c>
      <c r="N1559" s="742">
        <v>46195</v>
      </c>
      <c r="O1559" s="643"/>
      <c r="P1559" s="246" t="s">
        <v>9334</v>
      </c>
      <c r="Q1559" s="646">
        <v>46212</v>
      </c>
      <c r="R1559" s="646">
        <v>46156</v>
      </c>
      <c r="S1559" s="646" t="s">
        <v>70</v>
      </c>
      <c r="T1559" s="646" t="s">
        <v>9810</v>
      </c>
      <c r="U1559" s="646"/>
      <c r="V1559" s="646"/>
      <c r="W1559" s="816" t="s">
        <v>9811</v>
      </c>
      <c r="X1559" s="749" t="s">
        <v>9812</v>
      </c>
      <c r="Y1559" s="647" t="s">
        <v>217</v>
      </c>
      <c r="Z1559" s="642">
        <v>0.9549</v>
      </c>
      <c r="AA1559" s="647">
        <f t="shared" si="621"/>
        <v>34376.4</v>
      </c>
      <c r="AC1559" s="751"/>
      <c r="AD1559" s="246" t="s">
        <v>6043</v>
      </c>
      <c r="AE1559" s="246" t="s">
        <v>82</v>
      </c>
      <c r="AF1559" s="246"/>
      <c r="AG1559" s="246"/>
      <c r="AH1559" s="642"/>
      <c r="AI1559" s="642">
        <f>34600+1400</f>
        <v>36000</v>
      </c>
      <c r="AJ1559" s="246">
        <f t="shared" si="593"/>
        <v>0</v>
      </c>
      <c r="AK1559" s="643"/>
      <c r="AL1559" s="246" t="s">
        <v>2368</v>
      </c>
      <c r="AM1559" s="246"/>
      <c r="AN1559" s="551"/>
      <c r="AO1559" s="551">
        <f>I1559</f>
        <v>36000</v>
      </c>
      <c r="AP1559" s="551"/>
      <c r="AQ1559" s="551"/>
      <c r="AR1559" s="650"/>
      <c r="AS1559" s="551"/>
      <c r="AT1559" s="551">
        <f>I1559</f>
        <v>36000</v>
      </c>
      <c r="AU1559" s="551"/>
      <c r="AV1559" s="551">
        <f>I1559</f>
        <v>36000</v>
      </c>
      <c r="AW1559" s="551"/>
      <c r="AX1559" s="651"/>
      <c r="AY1559" s="551"/>
      <c r="AZ1559" s="551"/>
      <c r="BA1559" s="551"/>
      <c r="BB1559" s="249">
        <f>I1559/24</f>
        <v>1500</v>
      </c>
      <c r="BC1559" s="551"/>
      <c r="BD1559" s="551"/>
      <c r="BE1559" s="551"/>
      <c r="BF1559" s="551"/>
      <c r="BG1559" s="549"/>
      <c r="BH1559" s="551"/>
      <c r="BI1559" s="551"/>
      <c r="BJ1559" s="551"/>
      <c r="BK1559" s="551"/>
      <c r="BL1559" s="551"/>
      <c r="BM1559" s="551"/>
      <c r="BN1559" s="551"/>
      <c r="BO1559" s="551"/>
      <c r="BP1559" s="551">
        <f>I1559/25</f>
        <v>1440</v>
      </c>
      <c r="BQ1559" s="551"/>
      <c r="BR1559" s="551"/>
      <c r="BS1559" s="551"/>
      <c r="BT1559" s="551"/>
      <c r="BU1559" s="551"/>
      <c r="BV1559" s="551"/>
      <c r="BW1559" s="551"/>
      <c r="BX1559" s="551"/>
      <c r="BY1559" s="551"/>
      <c r="BZ1559" s="551"/>
      <c r="CA1559" s="752"/>
      <c r="CB1559" s="747"/>
      <c r="CC1559" s="753"/>
      <c r="CD1559" s="551"/>
      <c r="CE1559" s="551"/>
      <c r="CF1559" s="551"/>
      <c r="CG1559" s="551"/>
      <c r="CH1559" s="549"/>
      <c r="CI1559" s="551"/>
      <c r="CJ1559" s="551"/>
      <c r="CK1559" s="551"/>
      <c r="CL1559" s="551"/>
      <c r="CM1559" s="551"/>
      <c r="CN1559" s="551"/>
      <c r="CO1559" s="551"/>
      <c r="CP1559" s="650"/>
      <c r="CQ1559" s="650"/>
      <c r="CR1559" s="551"/>
      <c r="CS1559" s="551"/>
      <c r="CT1559" s="551"/>
      <c r="CU1559" s="551">
        <f t="shared" si="599"/>
        <v>1440</v>
      </c>
      <c r="CV1559" s="551">
        <f>CK1559+CL1559+CM1559+CN1559+CO1559+CQ1559+CP1559</f>
        <v>0</v>
      </c>
      <c r="CW1559" s="551">
        <f>CI1559+CJ1559</f>
        <v>0</v>
      </c>
      <c r="CX1559" s="650"/>
      <c r="CY1559" s="650"/>
      <c r="CZ1559" s="650"/>
      <c r="DA1559" s="650"/>
      <c r="DB1559" s="650"/>
      <c r="DC1559" s="650"/>
      <c r="DD1559" s="650"/>
      <c r="DE1559" s="650"/>
      <c r="DF1559" s="650"/>
      <c r="DG1559" s="650"/>
      <c r="DH1559" s="650"/>
    </row>
    <row r="1560" s="549" customFormat="1" ht="31" customHeight="1" spans="1:113">
      <c r="A1560" s="641">
        <v>46122</v>
      </c>
      <c r="B1560" s="642" t="s">
        <v>4549</v>
      </c>
      <c r="C1560" s="246" t="s">
        <v>98</v>
      </c>
      <c r="D1560" s="748">
        <v>4500201029</v>
      </c>
      <c r="E1560" s="246" t="s">
        <v>4551</v>
      </c>
      <c r="F1560" s="551" t="s">
        <v>9813</v>
      </c>
      <c r="G1560" s="246" t="s">
        <v>6032</v>
      </c>
      <c r="H1560" s="246" t="s">
        <v>6033</v>
      </c>
      <c r="I1560" s="246">
        <v>520</v>
      </c>
      <c r="J1560" s="246">
        <v>0</v>
      </c>
      <c r="K1560" s="246">
        <v>52</v>
      </c>
      <c r="L1560" s="246">
        <f t="shared" si="610"/>
        <v>10</v>
      </c>
      <c r="M1560" s="645">
        <v>46198</v>
      </c>
      <c r="N1560" s="645">
        <v>46195</v>
      </c>
      <c r="O1560" s="643"/>
      <c r="P1560" s="643" t="s">
        <v>113</v>
      </c>
      <c r="Q1560" s="246"/>
      <c r="R1560" s="646">
        <v>46164</v>
      </c>
      <c r="S1560" s="646" t="s">
        <v>70</v>
      </c>
      <c r="T1560" s="646" t="s">
        <v>70</v>
      </c>
      <c r="U1560" s="646"/>
      <c r="V1560" s="646"/>
      <c r="W1560" s="744"/>
      <c r="X1560" s="642" t="s">
        <v>4553</v>
      </c>
      <c r="Y1560" s="647" t="s">
        <v>1278</v>
      </c>
      <c r="Z1560" s="655">
        <v>0.6002</v>
      </c>
      <c r="AA1560" s="647">
        <f t="shared" si="621"/>
        <v>312.104</v>
      </c>
      <c r="AC1560" s="658" t="s">
        <v>4554</v>
      </c>
      <c r="AD1560" s="246" t="s">
        <v>6032</v>
      </c>
      <c r="AE1560" s="246" t="s">
        <v>82</v>
      </c>
      <c r="AF1560" s="246"/>
      <c r="AG1560" s="642"/>
      <c r="AH1560" s="642"/>
      <c r="AI1560" s="642">
        <v>520</v>
      </c>
      <c r="AJ1560" s="246">
        <f t="shared" si="593"/>
        <v>0</v>
      </c>
      <c r="AK1560" s="246"/>
      <c r="AL1560" s="246"/>
      <c r="AM1560" s="246"/>
      <c r="AN1560" s="246">
        <f>I1560</f>
        <v>520</v>
      </c>
      <c r="AO1560" s="551"/>
      <c r="AP1560" s="551">
        <f>I1560</f>
        <v>520</v>
      </c>
      <c r="AQ1560" s="551"/>
      <c r="AR1560" s="650"/>
      <c r="AS1560" s="551"/>
      <c r="AT1560" s="551"/>
      <c r="AU1560" s="551">
        <f>I1560</f>
        <v>520</v>
      </c>
      <c r="AV1560" s="551"/>
      <c r="AW1560" s="650"/>
      <c r="AX1560" s="551"/>
      <c r="AY1560" s="551"/>
      <c r="AZ1560" s="551"/>
      <c r="BA1560" s="551"/>
      <c r="BB1560" s="249">
        <f>I1560/24</f>
        <v>21.6666666666667</v>
      </c>
      <c r="BC1560" s="651"/>
      <c r="BD1560" s="551"/>
      <c r="BE1560" s="551"/>
      <c r="BF1560" s="551"/>
      <c r="BG1560" s="549"/>
      <c r="BH1560" s="551"/>
      <c r="BI1560" s="551"/>
      <c r="BJ1560" s="551"/>
      <c r="BK1560" s="551">
        <f>I1560/13</f>
        <v>40</v>
      </c>
      <c r="BL1560" s="551"/>
      <c r="BM1560" s="551"/>
      <c r="BN1560" s="551"/>
      <c r="BO1560" s="551"/>
      <c r="BP1560" s="551"/>
      <c r="BQ1560" s="551"/>
      <c r="BR1560" s="551"/>
      <c r="BS1560" s="551"/>
      <c r="BT1560" s="551"/>
      <c r="BU1560" s="551"/>
      <c r="BV1560" s="551"/>
      <c r="BW1560" s="551"/>
      <c r="BX1560" s="551"/>
      <c r="BY1560" s="650"/>
      <c r="BZ1560" s="551"/>
      <c r="CA1560" s="652"/>
      <c r="CB1560" s="747"/>
      <c r="CC1560" s="653"/>
      <c r="CD1560" s="650"/>
      <c r="CE1560" s="650"/>
      <c r="CF1560" s="551"/>
      <c r="CG1560" s="551"/>
      <c r="CH1560" s="549"/>
      <c r="CI1560" s="551"/>
      <c r="CJ1560" s="551"/>
      <c r="CK1560" s="551"/>
      <c r="CL1560" s="551"/>
      <c r="CM1560" s="551"/>
      <c r="CN1560" s="551"/>
      <c r="CO1560" s="551"/>
      <c r="CP1560" s="551"/>
      <c r="CQ1560" s="551"/>
      <c r="CR1560" s="551"/>
      <c r="CS1560" s="551"/>
      <c r="CT1560" s="551"/>
      <c r="CU1560" s="551">
        <f t="shared" si="599"/>
        <v>0</v>
      </c>
      <c r="CV1560" s="551">
        <v>0</v>
      </c>
      <c r="CW1560" s="551">
        <v>0</v>
      </c>
      <c r="CX1560" s="650"/>
      <c r="CY1560" s="650"/>
      <c r="CZ1560" s="650"/>
      <c r="DA1560" s="551"/>
      <c r="DB1560" s="551"/>
      <c r="DC1560" s="551"/>
      <c r="DD1560" s="650"/>
      <c r="DE1560" s="650"/>
      <c r="DF1560" s="650"/>
      <c r="DG1560" s="650"/>
      <c r="DH1560" s="650"/>
    </row>
    <row r="1561" s="550" customFormat="1" ht="31" customHeight="1" spans="1:113">
      <c r="A1561" s="608">
        <v>46154</v>
      </c>
      <c r="B1561" s="609" t="s">
        <v>606</v>
      </c>
      <c r="C1561" s="610" t="s">
        <v>399</v>
      </c>
      <c r="D1561" s="554">
        <v>4500206586</v>
      </c>
      <c r="E1561" s="731">
        <v>2236260204</v>
      </c>
      <c r="F1561" s="554" t="s">
        <v>9814</v>
      </c>
      <c r="G1561" s="610" t="s">
        <v>6043</v>
      </c>
      <c r="H1561" s="610" t="s">
        <v>6110</v>
      </c>
      <c r="I1561" s="715">
        <v>2000</v>
      </c>
      <c r="J1561" s="610">
        <v>0</v>
      </c>
      <c r="K1561" s="610">
        <v>50</v>
      </c>
      <c r="L1561" s="611">
        <f t="shared" si="610"/>
        <v>40</v>
      </c>
      <c r="M1561" s="612">
        <v>46196</v>
      </c>
      <c r="N1561" s="612">
        <v>46192</v>
      </c>
      <c r="O1561" s="613"/>
      <c r="P1561" s="610" t="s">
        <v>113</v>
      </c>
      <c r="Q1561" s="614">
        <v>46206</v>
      </c>
      <c r="R1561" s="614">
        <v>46169</v>
      </c>
      <c r="S1561" s="614" t="s">
        <v>70</v>
      </c>
      <c r="T1561" s="614" t="s">
        <v>9815</v>
      </c>
      <c r="U1561" s="614"/>
      <c r="V1561" s="614" t="s">
        <v>9816</v>
      </c>
      <c r="W1561" s="573"/>
      <c r="X1561" s="738" t="s">
        <v>9817</v>
      </c>
      <c r="Y1561" s="616" t="s">
        <v>445</v>
      </c>
      <c r="Z1561" s="609">
        <v>0.9749</v>
      </c>
      <c r="AA1561" s="616">
        <f t="shared" si="621"/>
        <v>1949.8</v>
      </c>
      <c r="AC1561" s="697"/>
      <c r="AD1561" s="609" t="s">
        <v>6043</v>
      </c>
      <c r="AE1561" s="610" t="s">
        <v>82</v>
      </c>
      <c r="AF1561" s="610"/>
      <c r="AG1561" s="610"/>
      <c r="AH1561" s="609"/>
      <c r="AI1561" s="609">
        <v>2000</v>
      </c>
      <c r="AJ1561" s="610">
        <f t="shared" si="593"/>
        <v>0</v>
      </c>
      <c r="AK1561" s="613"/>
      <c r="AL1561" s="610" t="s">
        <v>2368</v>
      </c>
      <c r="AM1561" s="610"/>
      <c r="AN1561" s="554"/>
      <c r="AO1561" s="554">
        <f>I1561</f>
        <v>2000</v>
      </c>
      <c r="AP1561" s="554"/>
      <c r="AQ1561" s="554"/>
      <c r="AR1561" s="619"/>
      <c r="AS1561" s="554"/>
      <c r="AT1561" s="554">
        <f>I1561</f>
        <v>2000</v>
      </c>
      <c r="AU1561" s="554"/>
      <c r="AV1561" s="554">
        <f>I1561</f>
        <v>2000</v>
      </c>
      <c r="AW1561" s="554"/>
      <c r="AX1561" s="714"/>
      <c r="AY1561" s="554"/>
      <c r="AZ1561" s="554"/>
      <c r="BA1561" s="554"/>
      <c r="BB1561" s="620">
        <f>I1561/24</f>
        <v>83.3333333333333</v>
      </c>
      <c r="BC1561" s="554"/>
      <c r="BD1561" s="554"/>
      <c r="BE1561" s="554"/>
      <c r="BF1561" s="554"/>
      <c r="BG1561" s="550"/>
      <c r="BH1561" s="554"/>
      <c r="BI1561" s="554"/>
      <c r="BJ1561" s="554"/>
      <c r="BK1561" s="554"/>
      <c r="BL1561" s="554"/>
      <c r="BM1561" s="554"/>
      <c r="BN1561" s="554"/>
      <c r="BO1561" s="554"/>
      <c r="BP1561" s="554">
        <f>I1561/25</f>
        <v>80</v>
      </c>
      <c r="BQ1561" s="554"/>
      <c r="BR1561" s="554"/>
      <c r="BS1561" s="554"/>
      <c r="BT1561" s="554"/>
      <c r="BU1561" s="554"/>
      <c r="BV1561" s="554"/>
      <c r="BW1561" s="554"/>
      <c r="BX1561" s="554"/>
      <c r="BY1561" s="554"/>
      <c r="BZ1561" s="554"/>
      <c r="CA1561" s="720"/>
      <c r="CB1561" s="555"/>
      <c r="CC1561" s="721"/>
      <c r="CD1561" s="554"/>
      <c r="CE1561" s="554"/>
      <c r="CF1561" s="554"/>
      <c r="CG1561" s="554"/>
      <c r="CH1561" s="550"/>
      <c r="CI1561" s="554"/>
      <c r="CJ1561" s="554"/>
      <c r="CK1561" s="554"/>
      <c r="CL1561" s="554"/>
      <c r="CM1561" s="554"/>
      <c r="CN1561" s="554"/>
      <c r="CO1561" s="554"/>
      <c r="CP1561" s="619"/>
      <c r="CQ1561" s="619"/>
      <c r="CR1561" s="554"/>
      <c r="CS1561" s="554"/>
      <c r="CT1561" s="554"/>
      <c r="CU1561" s="554">
        <f t="shared" si="599"/>
        <v>80</v>
      </c>
      <c r="CV1561" s="554">
        <f>CK1561+CL1561+CM1561+CN1561+CO1561+CQ1561+CP1561</f>
        <v>0</v>
      </c>
      <c r="CW1561" s="554">
        <f>CI1561+CJ1561</f>
        <v>0</v>
      </c>
      <c r="CX1561" s="619"/>
      <c r="CY1561" s="619"/>
      <c r="CZ1561" s="619"/>
      <c r="DA1561" s="619"/>
      <c r="DB1561" s="619"/>
      <c r="DC1561" s="619"/>
      <c r="DD1561" s="619"/>
      <c r="DE1561" s="619"/>
      <c r="DF1561" s="619"/>
      <c r="DG1561" s="619"/>
      <c r="DH1561" s="619"/>
    </row>
    <row r="1562" s="550" customFormat="1" ht="31" customHeight="1" spans="1:113">
      <c r="A1562" s="608">
        <v>46131</v>
      </c>
      <c r="B1562" s="609" t="s">
        <v>139</v>
      </c>
      <c r="C1562" s="610" t="s">
        <v>76</v>
      </c>
      <c r="D1562" s="727">
        <v>4500202801</v>
      </c>
      <c r="E1562" s="731">
        <v>21798775</v>
      </c>
      <c r="F1562" s="554" t="s">
        <v>9818</v>
      </c>
      <c r="G1562" s="610" t="s">
        <v>6093</v>
      </c>
      <c r="H1562" s="610" t="s">
        <v>6094</v>
      </c>
      <c r="I1562" s="715">
        <v>1469</v>
      </c>
      <c r="J1562" s="610">
        <v>0</v>
      </c>
      <c r="K1562" s="610">
        <v>13</v>
      </c>
      <c r="L1562" s="611">
        <f t="shared" si="610"/>
        <v>113</v>
      </c>
      <c r="M1562" s="724">
        <v>46196</v>
      </c>
      <c r="N1562" s="724">
        <v>46192</v>
      </c>
      <c r="O1562" s="613"/>
      <c r="P1562" s="610" t="s">
        <v>113</v>
      </c>
      <c r="Q1562" s="614"/>
      <c r="R1562" s="614">
        <v>46154</v>
      </c>
      <c r="S1562" s="614" t="s">
        <v>104</v>
      </c>
      <c r="T1562" s="614" t="s">
        <v>9819</v>
      </c>
      <c r="U1562" s="614"/>
      <c r="V1562" s="614"/>
      <c r="W1562" s="573"/>
      <c r="X1562" s="738" t="s">
        <v>9756</v>
      </c>
      <c r="Y1562" s="616" t="s">
        <v>3206</v>
      </c>
      <c r="Z1562" s="609">
        <v>0.9475</v>
      </c>
      <c r="AA1562" s="616">
        <f t="shared" si="621"/>
        <v>1391.8775</v>
      </c>
      <c r="AC1562" s="697"/>
      <c r="AD1562" s="610" t="s">
        <v>6093</v>
      </c>
      <c r="AE1562" s="610" t="s">
        <v>82</v>
      </c>
      <c r="AF1562" s="610"/>
      <c r="AG1562" s="610"/>
      <c r="AH1562" s="609"/>
      <c r="AI1562" s="609">
        <v>1469</v>
      </c>
      <c r="AJ1562" s="610">
        <f t="shared" si="593"/>
        <v>0</v>
      </c>
      <c r="AK1562" s="613"/>
      <c r="AL1562" s="610" t="s">
        <v>2368</v>
      </c>
      <c r="AM1562" s="610"/>
      <c r="AN1562" s="554"/>
      <c r="AO1562" s="554">
        <f>I1562</f>
        <v>1469</v>
      </c>
      <c r="AP1562" s="554"/>
      <c r="AQ1562" s="554"/>
      <c r="AR1562" s="554"/>
      <c r="AS1562" s="554"/>
      <c r="AT1562" s="554">
        <f>I1562</f>
        <v>1469</v>
      </c>
      <c r="AU1562" s="554"/>
      <c r="AV1562" s="554">
        <f>I1562</f>
        <v>1469</v>
      </c>
      <c r="AW1562" s="554"/>
      <c r="AX1562" s="714"/>
      <c r="AY1562" s="554"/>
      <c r="AZ1562" s="554"/>
      <c r="BA1562" s="554"/>
      <c r="BB1562" s="620">
        <f>I1562/24</f>
        <v>61.2083333333333</v>
      </c>
      <c r="BC1562" s="554"/>
      <c r="BD1562" s="554"/>
      <c r="BE1562" s="554"/>
      <c r="BF1562" s="554"/>
      <c r="BG1562" s="550"/>
      <c r="BH1562" s="554"/>
      <c r="BI1562" s="554"/>
      <c r="BJ1562" s="554"/>
      <c r="BK1562" s="554"/>
      <c r="BL1562" s="554"/>
      <c r="BM1562" s="554">
        <f>I1562/13</f>
        <v>113</v>
      </c>
      <c r="BN1562" s="554"/>
      <c r="BO1562" s="554"/>
      <c r="BP1562" s="554"/>
      <c r="BQ1562" s="554"/>
      <c r="BR1562" s="554"/>
      <c r="BS1562" s="554"/>
      <c r="BT1562" s="554"/>
      <c r="BU1562" s="554"/>
      <c r="BV1562" s="554"/>
      <c r="BW1562" s="554"/>
      <c r="BX1562" s="554"/>
      <c r="BY1562" s="554"/>
      <c r="BZ1562" s="554"/>
      <c r="CA1562" s="720"/>
      <c r="CB1562" s="555"/>
      <c r="CC1562" s="721"/>
      <c r="CD1562" s="554"/>
      <c r="CE1562" s="554"/>
      <c r="CF1562" s="554"/>
      <c r="CG1562" s="554"/>
      <c r="CH1562" s="550"/>
      <c r="CI1562" s="554"/>
      <c r="CJ1562" s="554"/>
      <c r="CK1562" s="554"/>
      <c r="CL1562" s="554"/>
      <c r="CM1562" s="554"/>
      <c r="CN1562" s="554"/>
      <c r="CO1562" s="554"/>
      <c r="CP1562" s="619"/>
      <c r="CQ1562" s="619"/>
      <c r="CR1562" s="619"/>
      <c r="CS1562" s="619"/>
      <c r="CT1562" s="619"/>
      <c r="CU1562" s="554">
        <f t="shared" si="599"/>
        <v>0</v>
      </c>
      <c r="CV1562" s="554">
        <f>CK1562+CL1562+CM1562+CN1562+CO1562+CQ1562+CP1562</f>
        <v>0</v>
      </c>
      <c r="CW1562" s="554">
        <f>CI1562+CJ1562</f>
        <v>0</v>
      </c>
      <c r="CX1562" s="619"/>
      <c r="CY1562" s="619"/>
      <c r="CZ1562" s="619"/>
      <c r="DA1562" s="619"/>
      <c r="DB1562" s="619"/>
      <c r="DC1562" s="619"/>
      <c r="DD1562" s="619"/>
      <c r="DE1562" s="619"/>
      <c r="DF1562" s="619"/>
      <c r="DG1562" s="619"/>
      <c r="DH1562" s="619"/>
    </row>
    <row r="1563" s="550" customFormat="1" ht="31" customHeight="1" spans="1:113">
      <c r="A1563" s="608">
        <v>46131</v>
      </c>
      <c r="B1563" s="609" t="s">
        <v>135</v>
      </c>
      <c r="C1563" s="610" t="s">
        <v>128</v>
      </c>
      <c r="D1563" s="727">
        <v>4500202800</v>
      </c>
      <c r="E1563" s="731">
        <v>21798774</v>
      </c>
      <c r="F1563" s="554" t="s">
        <v>9820</v>
      </c>
      <c r="G1563" s="610" t="s">
        <v>6093</v>
      </c>
      <c r="H1563" s="610" t="s">
        <v>6094</v>
      </c>
      <c r="I1563" s="715">
        <v>2938</v>
      </c>
      <c r="J1563" s="610">
        <v>0</v>
      </c>
      <c r="K1563" s="610">
        <v>13</v>
      </c>
      <c r="L1563" s="611">
        <f t="shared" si="610"/>
        <v>226</v>
      </c>
      <c r="M1563" s="724">
        <v>46196</v>
      </c>
      <c r="N1563" s="724">
        <v>46192</v>
      </c>
      <c r="O1563" s="613"/>
      <c r="P1563" s="610" t="s">
        <v>113</v>
      </c>
      <c r="Q1563" s="614"/>
      <c r="R1563" s="614">
        <v>46154</v>
      </c>
      <c r="S1563" s="614" t="s">
        <v>104</v>
      </c>
      <c r="T1563" s="614" t="s">
        <v>9819</v>
      </c>
      <c r="U1563" s="614"/>
      <c r="V1563" s="614"/>
      <c r="W1563" s="573"/>
      <c r="X1563" s="609" t="s">
        <v>9821</v>
      </c>
      <c r="Y1563" s="616" t="s">
        <v>3206</v>
      </c>
      <c r="Z1563" s="609">
        <v>0.9475</v>
      </c>
      <c r="AA1563" s="616">
        <f t="shared" si="621"/>
        <v>2783.755</v>
      </c>
      <c r="AC1563" s="697"/>
      <c r="AD1563" s="610" t="s">
        <v>6093</v>
      </c>
      <c r="AE1563" s="610" t="s">
        <v>82</v>
      </c>
      <c r="AF1563" s="610"/>
      <c r="AG1563" s="610"/>
      <c r="AH1563" s="609"/>
      <c r="AI1563" s="609">
        <v>2938</v>
      </c>
      <c r="AJ1563" s="610">
        <f t="shared" si="593"/>
        <v>0</v>
      </c>
      <c r="AK1563" s="613"/>
      <c r="AL1563" s="610" t="s">
        <v>2368</v>
      </c>
      <c r="AM1563" s="610"/>
      <c r="AN1563" s="554"/>
      <c r="AO1563" s="554">
        <f>I1563</f>
        <v>2938</v>
      </c>
      <c r="AP1563" s="554"/>
      <c r="AQ1563" s="554"/>
      <c r="AR1563" s="554"/>
      <c r="AS1563" s="554"/>
      <c r="AT1563" s="554">
        <f>I1563</f>
        <v>2938</v>
      </c>
      <c r="AU1563" s="554"/>
      <c r="AV1563" s="554">
        <f>I1563</f>
        <v>2938</v>
      </c>
      <c r="AW1563" s="554"/>
      <c r="AX1563" s="714"/>
      <c r="AY1563" s="554"/>
      <c r="AZ1563" s="554"/>
      <c r="BA1563" s="554"/>
      <c r="BB1563" s="620">
        <f>I1563/24</f>
        <v>122.416666666667</v>
      </c>
      <c r="BC1563" s="554"/>
      <c r="BD1563" s="554"/>
      <c r="BE1563" s="554"/>
      <c r="BF1563" s="554"/>
      <c r="BG1563" s="550"/>
      <c r="BH1563" s="554"/>
      <c r="BI1563" s="554"/>
      <c r="BJ1563" s="554"/>
      <c r="BK1563" s="554"/>
      <c r="BL1563" s="554"/>
      <c r="BM1563" s="554">
        <f>I1563/13</f>
        <v>226</v>
      </c>
      <c r="BN1563" s="554"/>
      <c r="BO1563" s="554"/>
      <c r="BP1563" s="554"/>
      <c r="BQ1563" s="554"/>
      <c r="BR1563" s="554"/>
      <c r="BS1563" s="554"/>
      <c r="BT1563" s="554"/>
      <c r="BU1563" s="554"/>
      <c r="BV1563" s="554"/>
      <c r="BW1563" s="554"/>
      <c r="BX1563" s="554"/>
      <c r="BY1563" s="554"/>
      <c r="BZ1563" s="554"/>
      <c r="CA1563" s="720"/>
      <c r="CB1563" s="555"/>
      <c r="CC1563" s="721"/>
      <c r="CD1563" s="554"/>
      <c r="CE1563" s="554"/>
      <c r="CF1563" s="554"/>
      <c r="CG1563" s="554"/>
      <c r="CH1563" s="550"/>
      <c r="CI1563" s="554"/>
      <c r="CJ1563" s="554"/>
      <c r="CK1563" s="554"/>
      <c r="CL1563" s="554"/>
      <c r="CM1563" s="554"/>
      <c r="CN1563" s="554"/>
      <c r="CO1563" s="554"/>
      <c r="CP1563" s="619"/>
      <c r="CQ1563" s="619"/>
      <c r="CR1563" s="619"/>
      <c r="CS1563" s="619"/>
      <c r="CT1563" s="619"/>
      <c r="CU1563" s="554">
        <f t="shared" si="599"/>
        <v>0</v>
      </c>
      <c r="CV1563" s="554">
        <f>CK1563+CL1563+CM1563+CN1563+CO1563+CQ1563+CP1563</f>
        <v>0</v>
      </c>
      <c r="CW1563" s="554">
        <f>CI1563+CJ1563</f>
        <v>0</v>
      </c>
      <c r="CX1563" s="619"/>
      <c r="CY1563" s="619"/>
      <c r="CZ1563" s="619"/>
      <c r="DA1563" s="619"/>
      <c r="DB1563" s="619"/>
      <c r="DC1563" s="619"/>
      <c r="DD1563" s="619"/>
      <c r="DE1563" s="619"/>
      <c r="DF1563" s="619"/>
      <c r="DG1563" s="619"/>
      <c r="DH1563" s="619"/>
    </row>
    <row r="1564" s="550" customFormat="1" ht="31" customHeight="1" spans="1:113">
      <c r="A1564" s="608">
        <v>46126</v>
      </c>
      <c r="B1564" s="609" t="s">
        <v>3340</v>
      </c>
      <c r="C1564" s="610" t="s">
        <v>98</v>
      </c>
      <c r="D1564" s="554">
        <v>4500201743</v>
      </c>
      <c r="E1564" s="610">
        <v>127319</v>
      </c>
      <c r="F1564" s="554" t="s">
        <v>9822</v>
      </c>
      <c r="G1564" s="610" t="s">
        <v>6787</v>
      </c>
      <c r="H1564" s="610" t="s">
        <v>6126</v>
      </c>
      <c r="I1564" s="715">
        <v>1404</v>
      </c>
      <c r="J1564" s="610">
        <v>0</v>
      </c>
      <c r="K1564" s="610">
        <v>12</v>
      </c>
      <c r="L1564" s="611">
        <f t="shared" si="610"/>
        <v>117</v>
      </c>
      <c r="M1564" s="612">
        <v>46198</v>
      </c>
      <c r="N1564" s="612">
        <v>46195</v>
      </c>
      <c r="O1564" s="613"/>
      <c r="P1564" s="610" t="s">
        <v>113</v>
      </c>
      <c r="Q1564" s="614" t="s">
        <v>9823</v>
      </c>
      <c r="R1564" s="614">
        <v>46126</v>
      </c>
      <c r="S1564" s="614" t="s">
        <v>70</v>
      </c>
      <c r="T1564" s="614" t="s">
        <v>9824</v>
      </c>
      <c r="U1564" s="614"/>
      <c r="V1564" s="614"/>
      <c r="W1564" s="573"/>
      <c r="X1564" s="609" t="s">
        <v>9825</v>
      </c>
      <c r="Y1564" s="616" t="s">
        <v>3864</v>
      </c>
      <c r="Z1564" s="609">
        <v>1.3318</v>
      </c>
      <c r="AA1564" s="616">
        <f t="shared" si="621"/>
        <v>1869.8472</v>
      </c>
      <c r="AC1564" s="678" t="s">
        <v>9826</v>
      </c>
      <c r="AD1564" s="609" t="s">
        <v>8079</v>
      </c>
      <c r="AE1564" s="610" t="s">
        <v>82</v>
      </c>
      <c r="AF1564" s="610"/>
      <c r="AG1564" s="610"/>
      <c r="AH1564" s="609"/>
      <c r="AI1564" s="609">
        <v>1404</v>
      </c>
      <c r="AJ1564" s="610">
        <f t="shared" si="593"/>
        <v>0</v>
      </c>
      <c r="AK1564" s="613"/>
      <c r="AL1564" s="610" t="s">
        <v>2368</v>
      </c>
      <c r="AM1564" s="610"/>
      <c r="AN1564" s="610">
        <f>I1564*2</f>
        <v>2808</v>
      </c>
      <c r="AO1564" s="554"/>
      <c r="AP1564" s="554"/>
      <c r="AQ1564" s="554">
        <f>I1564*2</f>
        <v>2808</v>
      </c>
      <c r="AR1564" s="619"/>
      <c r="AS1564" s="554"/>
      <c r="AT1564" s="554"/>
      <c r="AU1564" s="554">
        <f>I1564*2</f>
        <v>2808</v>
      </c>
      <c r="AV1564" s="554"/>
      <c r="AW1564" s="554"/>
      <c r="AX1564" s="714"/>
      <c r="AY1564" s="554"/>
      <c r="AZ1564" s="554"/>
      <c r="BA1564" s="554"/>
      <c r="BB1564" s="620">
        <f>I1564/24*2</f>
        <v>117</v>
      </c>
      <c r="BC1564" s="554"/>
      <c r="BD1564" s="554"/>
      <c r="BE1564" s="554"/>
      <c r="BF1564" s="554"/>
      <c r="BG1564" s="550"/>
      <c r="BH1564" s="554"/>
      <c r="BI1564" s="554"/>
      <c r="BJ1564" s="554"/>
      <c r="BK1564" s="554"/>
      <c r="BL1564" s="554"/>
      <c r="BM1564" s="554"/>
      <c r="BN1564" s="554"/>
      <c r="BO1564" s="554"/>
      <c r="BP1564" s="554"/>
      <c r="BQ1564" s="554"/>
      <c r="BR1564" s="554"/>
      <c r="BS1564" s="554"/>
      <c r="BT1564" s="554"/>
      <c r="BU1564" s="554"/>
      <c r="BV1564" s="554"/>
      <c r="BW1564" s="554"/>
      <c r="BX1564" s="554"/>
      <c r="BY1564" s="554"/>
      <c r="BZ1564" s="554"/>
      <c r="CA1564" s="720"/>
      <c r="CB1564" s="555"/>
      <c r="CC1564" s="721"/>
      <c r="CD1564" s="554"/>
      <c r="CE1564" s="554"/>
      <c r="CF1564" s="554"/>
      <c r="CG1564" s="554"/>
      <c r="CH1564" s="550"/>
      <c r="CI1564" s="554"/>
      <c r="CJ1564" s="554"/>
      <c r="CK1564" s="554"/>
      <c r="CL1564" s="554"/>
      <c r="CM1564" s="554"/>
      <c r="CN1564" s="554"/>
      <c r="CO1564" s="554"/>
      <c r="CP1564" s="619"/>
      <c r="CQ1564" s="619"/>
      <c r="CR1564" s="554">
        <f>I1564</f>
        <v>1404</v>
      </c>
      <c r="CS1564" s="554">
        <f>I1564</f>
        <v>1404</v>
      </c>
      <c r="CT1564" s="554">
        <f>I1564</f>
        <v>1404</v>
      </c>
      <c r="CU1564" s="554">
        <f t="shared" si="599"/>
        <v>0</v>
      </c>
      <c r="CV1564" s="554">
        <v>0</v>
      </c>
      <c r="CW1564" s="554">
        <v>0</v>
      </c>
      <c r="CX1564" s="619"/>
      <c r="CY1564" s="619"/>
      <c r="CZ1564" s="619"/>
      <c r="DA1564" s="619"/>
      <c r="DB1564" s="619"/>
      <c r="DC1564" s="619"/>
      <c r="DD1564" s="619"/>
      <c r="DE1564" s="619"/>
      <c r="DF1564" s="619"/>
      <c r="DG1564" s="619"/>
      <c r="DH1564" s="619"/>
    </row>
    <row r="1565" s="550" customFormat="1" ht="31" customHeight="1" spans="1:113">
      <c r="A1565" s="608">
        <v>46126</v>
      </c>
      <c r="B1565" s="609" t="s">
        <v>3340</v>
      </c>
      <c r="C1565" s="610" t="s">
        <v>98</v>
      </c>
      <c r="D1565" s="554">
        <v>4500201744</v>
      </c>
      <c r="E1565" s="610">
        <v>127332</v>
      </c>
      <c r="F1565" s="554" t="s">
        <v>9827</v>
      </c>
      <c r="G1565" s="610" t="s">
        <v>6787</v>
      </c>
      <c r="H1565" s="610" t="s">
        <v>6126</v>
      </c>
      <c r="I1565" s="715">
        <v>1596</v>
      </c>
      <c r="J1565" s="610">
        <v>0</v>
      </c>
      <c r="K1565" s="610">
        <v>12</v>
      </c>
      <c r="L1565" s="611">
        <f t="shared" si="610"/>
        <v>133</v>
      </c>
      <c r="M1565" s="612">
        <v>46198</v>
      </c>
      <c r="N1565" s="612">
        <v>46195</v>
      </c>
      <c r="O1565" s="613"/>
      <c r="P1565" s="610" t="s">
        <v>113</v>
      </c>
      <c r="Q1565" s="614" t="s">
        <v>9823</v>
      </c>
      <c r="R1565" s="614">
        <v>46126</v>
      </c>
      <c r="S1565" s="614" t="s">
        <v>70</v>
      </c>
      <c r="T1565" s="614" t="s">
        <v>4147</v>
      </c>
      <c r="U1565" s="614"/>
      <c r="V1565" s="614"/>
      <c r="W1565" s="573"/>
      <c r="X1565" s="609" t="s">
        <v>9828</v>
      </c>
      <c r="Y1565" s="616" t="s">
        <v>3864</v>
      </c>
      <c r="Z1565" s="609">
        <v>1.3318</v>
      </c>
      <c r="AA1565" s="616">
        <f t="shared" si="621"/>
        <v>2125.5528</v>
      </c>
      <c r="AC1565" s="678" t="s">
        <v>9829</v>
      </c>
      <c r="AD1565" s="609" t="s">
        <v>8079</v>
      </c>
      <c r="AE1565" s="610" t="s">
        <v>82</v>
      </c>
      <c r="AF1565" s="610"/>
      <c r="AG1565" s="610"/>
      <c r="AH1565" s="609"/>
      <c r="AI1565" s="609">
        <v>1596</v>
      </c>
      <c r="AJ1565" s="610">
        <f t="shared" si="593"/>
        <v>0</v>
      </c>
      <c r="AK1565" s="613"/>
      <c r="AL1565" s="610" t="s">
        <v>2368</v>
      </c>
      <c r="AM1565" s="610"/>
      <c r="AN1565" s="610">
        <f>I1565*2</f>
        <v>3192</v>
      </c>
      <c r="AO1565" s="554"/>
      <c r="AP1565" s="554"/>
      <c r="AQ1565" s="554">
        <f>I1565*2</f>
        <v>3192</v>
      </c>
      <c r="AR1565" s="619"/>
      <c r="AS1565" s="554"/>
      <c r="AT1565" s="554"/>
      <c r="AU1565" s="554">
        <f>I1565*2</f>
        <v>3192</v>
      </c>
      <c r="AV1565" s="554"/>
      <c r="AW1565" s="554"/>
      <c r="AX1565" s="714"/>
      <c r="AY1565" s="554"/>
      <c r="AZ1565" s="554"/>
      <c r="BA1565" s="554"/>
      <c r="BB1565" s="620">
        <f>I1565/24*2</f>
        <v>133</v>
      </c>
      <c r="BC1565" s="554"/>
      <c r="BD1565" s="554"/>
      <c r="BE1565" s="554"/>
      <c r="BF1565" s="554"/>
      <c r="BG1565" s="550"/>
      <c r="BH1565" s="554"/>
      <c r="BI1565" s="554"/>
      <c r="BJ1565" s="554"/>
      <c r="BK1565" s="554"/>
      <c r="BL1565" s="554"/>
      <c r="BM1565" s="554"/>
      <c r="BN1565" s="554"/>
      <c r="BO1565" s="554"/>
      <c r="BP1565" s="554"/>
      <c r="BQ1565" s="554"/>
      <c r="BR1565" s="554"/>
      <c r="BS1565" s="554"/>
      <c r="BT1565" s="554"/>
      <c r="BU1565" s="554"/>
      <c r="BV1565" s="554"/>
      <c r="BW1565" s="554"/>
      <c r="BX1565" s="554"/>
      <c r="BY1565" s="554"/>
      <c r="BZ1565" s="554"/>
      <c r="CA1565" s="720"/>
      <c r="CB1565" s="555"/>
      <c r="CC1565" s="721"/>
      <c r="CD1565" s="554"/>
      <c r="CE1565" s="554"/>
      <c r="CF1565" s="554"/>
      <c r="CG1565" s="554"/>
      <c r="CH1565" s="550"/>
      <c r="CI1565" s="554"/>
      <c r="CJ1565" s="554"/>
      <c r="CK1565" s="554"/>
      <c r="CL1565" s="554"/>
      <c r="CM1565" s="554"/>
      <c r="CN1565" s="554"/>
      <c r="CO1565" s="554"/>
      <c r="CP1565" s="619"/>
      <c r="CQ1565" s="619"/>
      <c r="CR1565" s="554">
        <f>I1565</f>
        <v>1596</v>
      </c>
      <c r="CS1565" s="554">
        <f>I1565</f>
        <v>1596</v>
      </c>
      <c r="CT1565" s="554">
        <f>I1565</f>
        <v>1596</v>
      </c>
      <c r="CU1565" s="554">
        <f t="shared" si="599"/>
        <v>0</v>
      </c>
      <c r="CV1565" s="554">
        <v>0</v>
      </c>
      <c r="CW1565" s="554">
        <v>0</v>
      </c>
      <c r="CX1565" s="619"/>
      <c r="CY1565" s="619"/>
      <c r="CZ1565" s="619"/>
      <c r="DA1565" s="619"/>
      <c r="DB1565" s="619"/>
      <c r="DC1565" s="619"/>
      <c r="DD1565" s="619"/>
      <c r="DE1565" s="619"/>
      <c r="DF1565" s="619"/>
      <c r="DG1565" s="619"/>
      <c r="DH1565" s="619"/>
    </row>
    <row r="1566" s="550" customFormat="1" ht="31" customHeight="1" spans="1:113">
      <c r="A1566" s="608">
        <v>46153</v>
      </c>
      <c r="B1566" s="609" t="s">
        <v>2015</v>
      </c>
      <c r="C1566" s="610" t="s">
        <v>836</v>
      </c>
      <c r="D1566" s="727">
        <v>4500206324</v>
      </c>
      <c r="E1566" s="613">
        <v>7207569961</v>
      </c>
      <c r="F1566" s="554" t="s">
        <v>9830</v>
      </c>
      <c r="G1566" s="610" t="s">
        <v>6040</v>
      </c>
      <c r="H1566" s="610" t="s">
        <v>6041</v>
      </c>
      <c r="I1566" s="715">
        <v>3016</v>
      </c>
      <c r="J1566" s="610">
        <v>0</v>
      </c>
      <c r="K1566" s="610">
        <v>52</v>
      </c>
      <c r="L1566" s="611">
        <f t="shared" si="610"/>
        <v>58</v>
      </c>
      <c r="M1566" s="612">
        <v>46199</v>
      </c>
      <c r="N1566" s="612">
        <v>46195</v>
      </c>
      <c r="O1566" s="737" t="s">
        <v>9831</v>
      </c>
      <c r="P1566" s="610" t="s">
        <v>113</v>
      </c>
      <c r="Q1566" s="614">
        <v>46215</v>
      </c>
      <c r="R1566" s="614">
        <v>46153</v>
      </c>
      <c r="S1566" s="614" t="s">
        <v>70</v>
      </c>
      <c r="T1566" s="614" t="s">
        <v>9832</v>
      </c>
      <c r="U1566" s="614"/>
      <c r="V1566" s="614"/>
      <c r="W1566" s="614" t="s">
        <v>9833</v>
      </c>
      <c r="X1566" s="738" t="s">
        <v>9834</v>
      </c>
      <c r="Y1566" s="616" t="s">
        <v>388</v>
      </c>
      <c r="Z1566" s="609">
        <v>0.9461</v>
      </c>
      <c r="AA1566" s="616">
        <f t="shared" si="621"/>
        <v>2853.4376</v>
      </c>
      <c r="AC1566" s="697"/>
      <c r="AD1566" s="610" t="s">
        <v>6040</v>
      </c>
      <c r="AE1566" s="610" t="s">
        <v>82</v>
      </c>
      <c r="AF1566" s="610"/>
      <c r="AG1566" s="610"/>
      <c r="AH1566" s="609"/>
      <c r="AI1566" s="609">
        <v>3016</v>
      </c>
      <c r="AJ1566" s="610">
        <f t="shared" si="593"/>
        <v>0</v>
      </c>
      <c r="AK1566" s="613"/>
      <c r="AL1566" s="610" t="s">
        <v>454</v>
      </c>
      <c r="AM1566" s="610"/>
      <c r="AN1566" s="554"/>
      <c r="AO1566" s="554">
        <f>I1566</f>
        <v>3016</v>
      </c>
      <c r="AP1566" s="554"/>
      <c r="AQ1566" s="554"/>
      <c r="AR1566" s="619"/>
      <c r="AS1566" s="554"/>
      <c r="AT1566" s="554">
        <f>I1566</f>
        <v>3016</v>
      </c>
      <c r="AU1566" s="554"/>
      <c r="AV1566" s="554">
        <f>I1566</f>
        <v>3016</v>
      </c>
      <c r="AW1566" s="554"/>
      <c r="AX1566" s="714"/>
      <c r="AY1566" s="554"/>
      <c r="AZ1566" s="554"/>
      <c r="BA1566" s="554"/>
      <c r="BB1566" s="620">
        <f>I1566/24</f>
        <v>125.666666666667</v>
      </c>
      <c r="BC1566" s="554"/>
      <c r="BD1566" s="554"/>
      <c r="BE1566" s="554"/>
      <c r="BF1566" s="554"/>
      <c r="BG1566" s="550"/>
      <c r="BH1566" s="554"/>
      <c r="BI1566" s="554"/>
      <c r="BJ1566" s="554"/>
      <c r="BK1566" s="554"/>
      <c r="BL1566" s="554"/>
      <c r="BM1566" s="554">
        <f>I1566/13</f>
        <v>232</v>
      </c>
      <c r="BN1566" s="554"/>
      <c r="BO1566" s="554"/>
      <c r="BP1566" s="554"/>
      <c r="BQ1566" s="554"/>
      <c r="BR1566" s="554"/>
      <c r="BS1566" s="554"/>
      <c r="BT1566" s="554"/>
      <c r="BU1566" s="554"/>
      <c r="BV1566" s="554"/>
      <c r="BW1566" s="554"/>
      <c r="BX1566" s="554"/>
      <c r="BY1566" s="554"/>
      <c r="BZ1566" s="554"/>
      <c r="CA1566" s="720"/>
      <c r="CB1566" s="555"/>
      <c r="CC1566" s="721"/>
      <c r="CD1566" s="554"/>
      <c r="CE1566" s="554"/>
      <c r="CF1566" s="554"/>
      <c r="CG1566" s="554"/>
      <c r="CH1566" s="550"/>
      <c r="CI1566" s="554"/>
      <c r="CJ1566" s="554"/>
      <c r="CK1566" s="554"/>
      <c r="CL1566" s="554"/>
      <c r="CM1566" s="554"/>
      <c r="CN1566" s="554"/>
      <c r="CO1566" s="554"/>
      <c r="CP1566" s="619"/>
      <c r="CQ1566" s="619"/>
      <c r="CR1566" s="554"/>
      <c r="CS1566" s="554"/>
      <c r="CT1566" s="554"/>
      <c r="CU1566" s="554">
        <f t="shared" si="599"/>
        <v>0</v>
      </c>
      <c r="CV1566" s="554">
        <f>CK1566+CL1566+CM1566+CN1566+CO1566+CQ1566+CP1566</f>
        <v>0</v>
      </c>
      <c r="CW1566" s="554">
        <f>CI1566+CJ1566</f>
        <v>0</v>
      </c>
      <c r="CX1566" s="619"/>
      <c r="CY1566" s="619"/>
      <c r="CZ1566" s="619"/>
      <c r="DA1566" s="619"/>
      <c r="DB1566" s="619"/>
      <c r="DC1566" s="619"/>
      <c r="DD1566" s="619"/>
      <c r="DE1566" s="619"/>
      <c r="DF1566" s="619"/>
      <c r="DG1566" s="619"/>
      <c r="DH1566" s="619"/>
    </row>
    <row r="1567" s="550" customFormat="1" ht="31" customHeight="1" spans="1:113">
      <c r="A1567" s="608">
        <v>46133</v>
      </c>
      <c r="B1567" s="609" t="s">
        <v>455</v>
      </c>
      <c r="C1567" s="610" t="s">
        <v>241</v>
      </c>
      <c r="D1567" s="727">
        <v>4500203154</v>
      </c>
      <c r="E1567" s="613">
        <v>1342</v>
      </c>
      <c r="F1567" s="554" t="s">
        <v>9835</v>
      </c>
      <c r="G1567" s="610" t="s">
        <v>6047</v>
      </c>
      <c r="H1567" s="610" t="s">
        <v>6069</v>
      </c>
      <c r="I1567" s="715">
        <v>825</v>
      </c>
      <c r="J1567" s="610">
        <v>0</v>
      </c>
      <c r="K1567" s="610">
        <v>25</v>
      </c>
      <c r="L1567" s="611">
        <f t="shared" si="610"/>
        <v>33</v>
      </c>
      <c r="M1567" s="612">
        <v>46199</v>
      </c>
      <c r="N1567" s="612">
        <v>46195</v>
      </c>
      <c r="O1567" s="613"/>
      <c r="P1567" s="610" t="s">
        <v>113</v>
      </c>
      <c r="Q1567" s="614">
        <v>46205</v>
      </c>
      <c r="R1567" s="614">
        <v>46133</v>
      </c>
      <c r="S1567" s="614" t="s">
        <v>70</v>
      </c>
      <c r="T1567" s="614" t="s">
        <v>9836</v>
      </c>
      <c r="U1567" s="614"/>
      <c r="V1567" s="614"/>
      <c r="W1567" s="573"/>
      <c r="X1567" s="738" t="s">
        <v>9837</v>
      </c>
      <c r="Y1567" s="616" t="s">
        <v>299</v>
      </c>
      <c r="Z1567" s="609">
        <v>0.9809</v>
      </c>
      <c r="AA1567" s="616">
        <f t="shared" si="621"/>
        <v>809.2425</v>
      </c>
      <c r="AC1567" s="697"/>
      <c r="AD1567" s="610" t="s">
        <v>6047</v>
      </c>
      <c r="AE1567" s="610" t="s">
        <v>82</v>
      </c>
      <c r="AF1567" s="610"/>
      <c r="AG1567" s="610"/>
      <c r="AH1567" s="609"/>
      <c r="AI1567" s="609">
        <v>825</v>
      </c>
      <c r="AJ1567" s="610">
        <f t="shared" si="593"/>
        <v>0</v>
      </c>
      <c r="AK1567" s="613"/>
      <c r="AL1567" s="610" t="s">
        <v>2368</v>
      </c>
      <c r="AM1567" s="610"/>
      <c r="AN1567" s="554"/>
      <c r="AO1567" s="554">
        <f>I1567</f>
        <v>825</v>
      </c>
      <c r="AP1567" s="554"/>
      <c r="AQ1567" s="554"/>
      <c r="AR1567" s="554"/>
      <c r="AS1567" s="554"/>
      <c r="AT1567" s="554">
        <f>I1567</f>
        <v>825</v>
      </c>
      <c r="AU1567" s="554"/>
      <c r="AV1567" s="554">
        <f>I1567</f>
        <v>825</v>
      </c>
      <c r="AW1567" s="554"/>
      <c r="AX1567" s="714"/>
      <c r="AY1567" s="554"/>
      <c r="AZ1567" s="554"/>
      <c r="BA1567" s="554"/>
      <c r="BB1567" s="620">
        <f>I1567/24</f>
        <v>34.375</v>
      </c>
      <c r="BC1567" s="554"/>
      <c r="BD1567" s="554"/>
      <c r="BE1567" s="554"/>
      <c r="BF1567" s="554"/>
      <c r="BG1567" s="550"/>
      <c r="BH1567" s="554"/>
      <c r="BI1567" s="554"/>
      <c r="BJ1567" s="554"/>
      <c r="BK1567" s="554"/>
      <c r="BL1567" s="554"/>
      <c r="BM1567" s="554"/>
      <c r="BN1567" s="554"/>
      <c r="BO1567" s="554"/>
      <c r="BP1567" s="554">
        <f>I1567/25</f>
        <v>33</v>
      </c>
      <c r="BQ1567" s="554"/>
      <c r="BR1567" s="554"/>
      <c r="BS1567" s="554"/>
      <c r="BT1567" s="554"/>
      <c r="BU1567" s="554"/>
      <c r="BV1567" s="554"/>
      <c r="BW1567" s="554"/>
      <c r="BX1567" s="554"/>
      <c r="BY1567" s="554"/>
      <c r="BZ1567" s="554"/>
      <c r="CA1567" s="720"/>
      <c r="CB1567" s="555"/>
      <c r="CC1567" s="721"/>
      <c r="CD1567" s="554"/>
      <c r="CE1567" s="554"/>
      <c r="CF1567" s="554"/>
      <c r="CG1567" s="554"/>
      <c r="CH1567" s="550"/>
      <c r="CI1567" s="554"/>
      <c r="CJ1567" s="554"/>
      <c r="CK1567" s="554"/>
      <c r="CL1567" s="554"/>
      <c r="CM1567" s="554"/>
      <c r="CN1567" s="554"/>
      <c r="CO1567" s="554"/>
      <c r="CP1567" s="619"/>
      <c r="CQ1567" s="619"/>
      <c r="CR1567" s="619"/>
      <c r="CS1567" s="619"/>
      <c r="CT1567" s="619"/>
      <c r="CU1567" s="554">
        <f t="shared" si="599"/>
        <v>33</v>
      </c>
      <c r="CV1567" s="554">
        <f>CK1567+CL1567+CM1567+CN1567+CO1567+CQ1567+CP1567</f>
        <v>0</v>
      </c>
      <c r="CW1567" s="554">
        <f>CI1567+CJ1567</f>
        <v>0</v>
      </c>
      <c r="CX1567" s="619"/>
      <c r="CY1567" s="619"/>
      <c r="CZ1567" s="619"/>
      <c r="DA1567" s="619"/>
      <c r="DB1567" s="619"/>
      <c r="DC1567" s="619"/>
      <c r="DD1567" s="619"/>
      <c r="DE1567" s="619"/>
      <c r="DF1567" s="619"/>
      <c r="DG1567" s="619"/>
      <c r="DH1567" s="619"/>
    </row>
    <row r="1568" s="549" customFormat="1" ht="31" customHeight="1" spans="1:113">
      <c r="A1568" s="641">
        <v>46142</v>
      </c>
      <c r="B1568" s="642" t="s">
        <v>2811</v>
      </c>
      <c r="C1568" s="246" t="s">
        <v>98</v>
      </c>
      <c r="D1568" s="748">
        <v>4500204609</v>
      </c>
      <c r="E1568" s="643">
        <v>70089476</v>
      </c>
      <c r="F1568" s="551" t="s">
        <v>4493</v>
      </c>
      <c r="G1568" s="246" t="s">
        <v>8520</v>
      </c>
      <c r="H1568" s="246" t="s">
        <v>8521</v>
      </c>
      <c r="I1568" s="706">
        <v>1800</v>
      </c>
      <c r="J1568" s="246">
        <v>0</v>
      </c>
      <c r="K1568" s="246">
        <v>8</v>
      </c>
      <c r="L1568" s="644">
        <f t="shared" si="610"/>
        <v>225</v>
      </c>
      <c r="M1568" s="645">
        <v>46192</v>
      </c>
      <c r="N1568" s="645">
        <v>46188</v>
      </c>
      <c r="O1568" s="643"/>
      <c r="P1568" s="780" t="s">
        <v>113</v>
      </c>
      <c r="Q1568" s="646">
        <v>46199</v>
      </c>
      <c r="R1568" s="646">
        <v>46154</v>
      </c>
      <c r="S1568" s="646" t="s">
        <v>70</v>
      </c>
      <c r="T1568" s="646" t="s">
        <v>4494</v>
      </c>
      <c r="U1568" s="646"/>
      <c r="V1568" s="646"/>
      <c r="W1568" s="744"/>
      <c r="X1568" s="642" t="s">
        <v>4495</v>
      </c>
      <c r="Y1568" s="647" t="s">
        <v>1318</v>
      </c>
      <c r="Z1568" s="642">
        <v>4.196</v>
      </c>
      <c r="AA1568" s="647">
        <f t="shared" si="621"/>
        <v>7552.8</v>
      </c>
      <c r="AC1568" s="763" t="s">
        <v>4496</v>
      </c>
      <c r="AD1568" s="246" t="s">
        <v>2741</v>
      </c>
      <c r="AE1568" s="246" t="s">
        <v>82</v>
      </c>
      <c r="AF1568" s="246"/>
      <c r="AG1568" s="246"/>
      <c r="AH1568" s="642"/>
      <c r="AI1568" s="642">
        <f>1752+48</f>
        <v>1800</v>
      </c>
      <c r="AJ1568" s="246">
        <f t="shared" si="593"/>
        <v>0</v>
      </c>
      <c r="AK1568" s="643"/>
      <c r="AL1568" s="246" t="s">
        <v>2368</v>
      </c>
      <c r="AM1568" s="246"/>
      <c r="AN1568" s="246">
        <f>I1568*2</f>
        <v>3600</v>
      </c>
      <c r="AO1568" s="551"/>
      <c r="AP1568" s="551">
        <f>I1568*2</f>
        <v>3600</v>
      </c>
      <c r="AQ1568" s="551"/>
      <c r="AR1568" s="551"/>
      <c r="AS1568" s="551"/>
      <c r="AT1568" s="551"/>
      <c r="AU1568" s="551">
        <f>I1568*2</f>
        <v>3600</v>
      </c>
      <c r="AV1568" s="551"/>
      <c r="AW1568" s="551"/>
      <c r="AX1568" s="651"/>
      <c r="AY1568" s="551"/>
      <c r="AZ1568" s="551"/>
      <c r="BA1568" s="551"/>
      <c r="BB1568" s="249">
        <f>I1568/24*2</f>
        <v>150</v>
      </c>
      <c r="BC1568" s="551"/>
      <c r="BD1568" s="551"/>
      <c r="BE1568" s="551"/>
      <c r="BF1568" s="551"/>
      <c r="BG1568" s="549"/>
      <c r="BH1568" s="551"/>
      <c r="BI1568" s="551"/>
      <c r="BJ1568" s="551"/>
      <c r="BK1568" s="551"/>
      <c r="BL1568" s="551"/>
      <c r="BM1568" s="551"/>
      <c r="BN1568" s="551"/>
      <c r="BO1568" s="551"/>
      <c r="BP1568" s="551"/>
      <c r="BQ1568" s="551"/>
      <c r="BR1568" s="551"/>
      <c r="BS1568" s="551"/>
      <c r="BT1568" s="551"/>
      <c r="BU1568" s="551"/>
      <c r="BV1568" s="551"/>
      <c r="BW1568" s="551"/>
      <c r="BX1568" s="551"/>
      <c r="BY1568" s="551"/>
      <c r="BZ1568" s="551"/>
      <c r="CA1568" s="652">
        <f>I1568</f>
        <v>1800</v>
      </c>
      <c r="CB1568" s="747"/>
      <c r="CC1568" s="653"/>
      <c r="CD1568" s="650"/>
      <c r="CE1568" s="650"/>
      <c r="CF1568" s="551"/>
      <c r="CG1568" s="551"/>
      <c r="CH1568" s="549"/>
      <c r="CI1568" s="551"/>
      <c r="CJ1568" s="551"/>
      <c r="CK1568" s="551"/>
      <c r="CL1568" s="551"/>
      <c r="CM1568" s="551"/>
      <c r="CN1568" s="551"/>
      <c r="CO1568" s="551"/>
      <c r="CP1568" s="650"/>
      <c r="CQ1568" s="650"/>
      <c r="CR1568" s="650"/>
      <c r="CS1568" s="650"/>
      <c r="CT1568" s="650"/>
      <c r="CU1568" s="551">
        <f t="shared" si="599"/>
        <v>0</v>
      </c>
      <c r="CV1568" s="551">
        <v>0</v>
      </c>
      <c r="CW1568" s="551">
        <v>0</v>
      </c>
      <c r="CX1568" s="650"/>
      <c r="CY1568" s="650"/>
      <c r="CZ1568" s="650"/>
      <c r="DA1568" s="650"/>
      <c r="DB1568" s="650"/>
      <c r="DC1568" s="650"/>
      <c r="DD1568" s="650"/>
      <c r="DE1568" s="650"/>
      <c r="DF1568" s="650"/>
      <c r="DG1568" s="650"/>
      <c r="DH1568" s="650"/>
      <c r="DI1568" s="551"/>
    </row>
    <row r="1569" s="549" customFormat="1" ht="31" customHeight="1" spans="1:113">
      <c r="A1569" s="641">
        <v>46153</v>
      </c>
      <c r="B1569" s="642" t="s">
        <v>351</v>
      </c>
      <c r="C1569" s="246" t="s">
        <v>98</v>
      </c>
      <c r="D1569" s="748">
        <v>4500206200</v>
      </c>
      <c r="E1569" s="246" t="s">
        <v>9838</v>
      </c>
      <c r="F1569" s="551" t="s">
        <v>9839</v>
      </c>
      <c r="G1569" s="246" t="s">
        <v>6084</v>
      </c>
      <c r="H1569" s="246" t="s">
        <v>6069</v>
      </c>
      <c r="I1569" s="706">
        <v>2500</v>
      </c>
      <c r="J1569" s="246">
        <v>0</v>
      </c>
      <c r="K1569" s="246">
        <v>25</v>
      </c>
      <c r="L1569" s="644">
        <f t="shared" si="610"/>
        <v>100</v>
      </c>
      <c r="M1569" s="645">
        <v>46196</v>
      </c>
      <c r="N1569" s="645">
        <v>46192</v>
      </c>
      <c r="O1569" s="643"/>
      <c r="P1569" s="246" t="s">
        <v>113</v>
      </c>
      <c r="Q1569" s="646">
        <v>46213</v>
      </c>
      <c r="R1569" s="646">
        <v>46153</v>
      </c>
      <c r="S1569" s="646" t="s">
        <v>70</v>
      </c>
      <c r="T1569" s="646" t="s">
        <v>70</v>
      </c>
      <c r="U1569" s="646"/>
      <c r="V1569" s="646"/>
      <c r="W1569" s="744"/>
      <c r="X1569" s="642" t="s">
        <v>4671</v>
      </c>
      <c r="Y1569" s="647" t="s">
        <v>355</v>
      </c>
      <c r="Z1569" s="642">
        <v>0.5914</v>
      </c>
      <c r="AA1569" s="647">
        <f t="shared" si="621"/>
        <v>1478.5</v>
      </c>
      <c r="AC1569" s="763" t="s">
        <v>9840</v>
      </c>
      <c r="AD1569" s="246" t="s">
        <v>6084</v>
      </c>
      <c r="AE1569" s="246" t="s">
        <v>82</v>
      </c>
      <c r="AF1569" s="246"/>
      <c r="AG1569" s="246"/>
      <c r="AH1569" s="642"/>
      <c r="AI1569" s="642">
        <v>2500</v>
      </c>
      <c r="AJ1569" s="246">
        <f t="shared" si="593"/>
        <v>0</v>
      </c>
      <c r="AK1569" s="643"/>
      <c r="AL1569" s="246"/>
      <c r="AM1569" s="246"/>
      <c r="AN1569" s="551">
        <f>I1569</f>
        <v>2500</v>
      </c>
      <c r="AO1569" s="551"/>
      <c r="AP1569" s="551">
        <f>I1569</f>
        <v>2500</v>
      </c>
      <c r="AQ1569" s="551"/>
      <c r="AR1569" s="650"/>
      <c r="AS1569" s="551"/>
      <c r="AT1569" s="551"/>
      <c r="AU1569" s="551">
        <f>I1569</f>
        <v>2500</v>
      </c>
      <c r="AV1569" s="551"/>
      <c r="AW1569" s="551"/>
      <c r="AX1569" s="651"/>
      <c r="AY1569" s="551"/>
      <c r="AZ1569" s="551"/>
      <c r="BA1569" s="551"/>
      <c r="BB1569" s="249">
        <f>I1569/48</f>
        <v>52.0833333333333</v>
      </c>
      <c r="BC1569" s="551"/>
      <c r="BD1569" s="551"/>
      <c r="BE1569" s="551"/>
      <c r="BF1569" s="551"/>
      <c r="BG1569" s="549"/>
      <c r="BH1569" s="551"/>
      <c r="BI1569" s="551"/>
      <c r="BJ1569" s="551"/>
      <c r="BK1569" s="551"/>
      <c r="BL1569" s="551"/>
      <c r="BM1569" s="551"/>
      <c r="BN1569" s="551">
        <f>I1569/25</f>
        <v>100</v>
      </c>
      <c r="BO1569" s="551"/>
      <c r="BP1569" s="551"/>
      <c r="BQ1569" s="551"/>
      <c r="BR1569" s="551"/>
      <c r="BS1569" s="551"/>
      <c r="BT1569" s="551"/>
      <c r="BU1569" s="551"/>
      <c r="BV1569" s="551"/>
      <c r="BW1569" s="551"/>
      <c r="BX1569" s="551"/>
      <c r="BY1569" s="551"/>
      <c r="BZ1569" s="551"/>
      <c r="CA1569" s="752"/>
      <c r="CB1569" s="747"/>
      <c r="CC1569" s="753"/>
      <c r="CD1569" s="551"/>
      <c r="CE1569" s="551"/>
      <c r="CF1569" s="551"/>
      <c r="CG1569" s="551"/>
      <c r="CH1569" s="549"/>
      <c r="CI1569" s="551"/>
      <c r="CJ1569" s="551"/>
      <c r="CK1569" s="551"/>
      <c r="CL1569" s="551"/>
      <c r="CM1569" s="551"/>
      <c r="CN1569" s="551"/>
      <c r="CO1569" s="551"/>
      <c r="CP1569" s="650"/>
      <c r="CQ1569" s="650"/>
      <c r="CR1569" s="551"/>
      <c r="CS1569" s="551"/>
      <c r="CT1569" s="551"/>
      <c r="CU1569" s="551">
        <f t="shared" si="599"/>
        <v>100</v>
      </c>
      <c r="CV1569" s="551">
        <f>CK1569+CL1569+CM1569+CN1569+CO1569+CQ1569+CP1569</f>
        <v>0</v>
      </c>
      <c r="CW1569" s="551">
        <f>CI1569+CJ1569</f>
        <v>0</v>
      </c>
      <c r="CX1569" s="650"/>
      <c r="CY1569" s="650"/>
      <c r="CZ1569" s="650"/>
      <c r="DA1569" s="650"/>
      <c r="DB1569" s="650"/>
      <c r="DC1569" s="650"/>
      <c r="DD1569" s="650"/>
      <c r="DE1569" s="650"/>
      <c r="DF1569" s="650"/>
      <c r="DG1569" s="650"/>
      <c r="DH1569" s="650"/>
    </row>
    <row r="1570" s="549" customFormat="1" ht="31" customHeight="1" spans="1:113">
      <c r="A1570" s="641">
        <v>46132</v>
      </c>
      <c r="B1570" s="642" t="s">
        <v>4450</v>
      </c>
      <c r="C1570" s="246" t="s">
        <v>278</v>
      </c>
      <c r="D1570" s="748">
        <v>4500202849</v>
      </c>
      <c r="E1570" s="643">
        <v>4500499659</v>
      </c>
      <c r="F1570" s="551" t="s">
        <v>9841</v>
      </c>
      <c r="G1570" s="659" t="s">
        <v>6043</v>
      </c>
      <c r="H1570" s="246" t="s">
        <v>6110</v>
      </c>
      <c r="I1570" s="706">
        <v>600</v>
      </c>
      <c r="J1570" s="246">
        <v>0</v>
      </c>
      <c r="K1570" s="246">
        <v>50</v>
      </c>
      <c r="L1570" s="644">
        <f t="shared" si="610"/>
        <v>12</v>
      </c>
      <c r="M1570" s="645">
        <v>46191</v>
      </c>
      <c r="N1570" s="742">
        <v>46193</v>
      </c>
      <c r="O1570" s="643"/>
      <c r="P1570" s="246" t="s">
        <v>113</v>
      </c>
      <c r="Q1570" s="646">
        <v>46233</v>
      </c>
      <c r="R1570" s="646">
        <v>46132</v>
      </c>
      <c r="S1570" s="646" t="s">
        <v>70</v>
      </c>
      <c r="T1570" s="646" t="s">
        <v>9842</v>
      </c>
      <c r="U1570" s="646"/>
      <c r="V1570" s="646"/>
      <c r="W1570" s="744"/>
      <c r="X1570" s="749" t="s">
        <v>4455</v>
      </c>
      <c r="Y1570" s="645" t="s">
        <v>1549</v>
      </c>
      <c r="Z1570" s="551">
        <v>0.9628</v>
      </c>
      <c r="AA1570" s="647">
        <f t="shared" si="621"/>
        <v>577.68</v>
      </c>
      <c r="AC1570" s="751"/>
      <c r="AD1570" s="246" t="s">
        <v>6043</v>
      </c>
      <c r="AE1570" s="246" t="s">
        <v>82</v>
      </c>
      <c r="AF1570" s="246"/>
      <c r="AG1570" s="246"/>
      <c r="AH1570" s="642"/>
      <c r="AI1570" s="642">
        <v>600</v>
      </c>
      <c r="AJ1570" s="246">
        <f t="shared" si="593"/>
        <v>0</v>
      </c>
      <c r="AK1570" s="643"/>
      <c r="AL1570" s="246" t="s">
        <v>2368</v>
      </c>
      <c r="AM1570" s="246"/>
      <c r="AN1570" s="551"/>
      <c r="AO1570" s="551">
        <f>I1570</f>
        <v>600</v>
      </c>
      <c r="AP1570" s="551"/>
      <c r="AQ1570" s="551"/>
      <c r="AR1570" s="551"/>
      <c r="AS1570" s="551"/>
      <c r="AT1570" s="551">
        <f>I1570</f>
        <v>600</v>
      </c>
      <c r="AU1570" s="551"/>
      <c r="AV1570" s="551">
        <f>I1570</f>
        <v>600</v>
      </c>
      <c r="AW1570" s="551"/>
      <c r="AX1570" s="651"/>
      <c r="AY1570" s="551"/>
      <c r="AZ1570" s="551"/>
      <c r="BA1570" s="551"/>
      <c r="BB1570" s="249">
        <f t="shared" ref="BB1570:BB1575" si="622">I1570/24</f>
        <v>25</v>
      </c>
      <c r="BC1570" s="551"/>
      <c r="BD1570" s="551"/>
      <c r="BE1570" s="551"/>
      <c r="BF1570" s="551"/>
      <c r="BG1570" s="549"/>
      <c r="BH1570" s="551"/>
      <c r="BI1570" s="551"/>
      <c r="BJ1570" s="551"/>
      <c r="BK1570" s="551"/>
      <c r="BL1570" s="551"/>
      <c r="BM1570" s="551"/>
      <c r="BN1570" s="551"/>
      <c r="BO1570" s="551"/>
      <c r="BP1570" s="551">
        <f>I1570/25</f>
        <v>24</v>
      </c>
      <c r="BQ1570" s="551"/>
      <c r="BR1570" s="551"/>
      <c r="BS1570" s="551"/>
      <c r="BT1570" s="551"/>
      <c r="BU1570" s="551"/>
      <c r="BV1570" s="551"/>
      <c r="BW1570" s="551"/>
      <c r="BX1570" s="551"/>
      <c r="BY1570" s="551"/>
      <c r="BZ1570" s="551"/>
      <c r="CA1570" s="752"/>
      <c r="CB1570" s="747"/>
      <c r="CC1570" s="753"/>
      <c r="CD1570" s="551"/>
      <c r="CE1570" s="551"/>
      <c r="CF1570" s="551"/>
      <c r="CG1570" s="551"/>
      <c r="CH1570" s="549"/>
      <c r="CI1570" s="551"/>
      <c r="CJ1570" s="551"/>
      <c r="CK1570" s="551"/>
      <c r="CL1570" s="551"/>
      <c r="CM1570" s="551"/>
      <c r="CN1570" s="551"/>
      <c r="CO1570" s="551"/>
      <c r="CP1570" s="650"/>
      <c r="CQ1570" s="650"/>
      <c r="CR1570" s="650"/>
      <c r="CS1570" s="650"/>
      <c r="CT1570" s="650"/>
      <c r="CU1570" s="551">
        <f t="shared" si="599"/>
        <v>24</v>
      </c>
      <c r="CV1570" s="551">
        <f>CK1570+CL1570+CM1570+CN1570+CO1570+CQ1570+CP1570</f>
        <v>0</v>
      </c>
      <c r="CW1570" s="551">
        <f>CI1570+CJ1570</f>
        <v>0</v>
      </c>
      <c r="CX1570" s="650"/>
      <c r="CY1570" s="650"/>
      <c r="CZ1570" s="650"/>
      <c r="DA1570" s="650"/>
      <c r="DB1570" s="650"/>
      <c r="DC1570" s="650"/>
      <c r="DD1570" s="650"/>
      <c r="DE1570" s="650"/>
      <c r="DF1570" s="650"/>
      <c r="DG1570" s="650"/>
      <c r="DH1570" s="650"/>
    </row>
    <row r="1571" s="549" customFormat="1" ht="31" customHeight="1" spans="1:113">
      <c r="A1571" s="641">
        <v>46148</v>
      </c>
      <c r="B1571" s="642" t="s">
        <v>523</v>
      </c>
      <c r="C1571" s="246" t="s">
        <v>524</v>
      </c>
      <c r="D1571" s="748">
        <v>4500205025</v>
      </c>
      <c r="E1571" s="643">
        <v>50212601221</v>
      </c>
      <c r="F1571" s="551" t="s">
        <v>9843</v>
      </c>
      <c r="G1571" s="246" t="s">
        <v>6047</v>
      </c>
      <c r="H1571" s="246" t="s">
        <v>6069</v>
      </c>
      <c r="I1571" s="817">
        <v>13975</v>
      </c>
      <c r="J1571" s="246">
        <v>0</v>
      </c>
      <c r="K1571" s="246">
        <v>25</v>
      </c>
      <c r="L1571" s="644">
        <f t="shared" si="610"/>
        <v>559</v>
      </c>
      <c r="M1571" s="742">
        <v>46197</v>
      </c>
      <c r="N1571" s="742">
        <v>46193</v>
      </c>
      <c r="O1571" s="643"/>
      <c r="P1571" s="246" t="s">
        <v>113</v>
      </c>
      <c r="Q1571" s="646" t="s">
        <v>4526</v>
      </c>
      <c r="R1571" s="646">
        <v>46160</v>
      </c>
      <c r="S1571" s="646" t="s">
        <v>104</v>
      </c>
      <c r="T1571" s="646" t="s">
        <v>9844</v>
      </c>
      <c r="U1571" s="646"/>
      <c r="V1571" s="646"/>
      <c r="W1571" s="744"/>
      <c r="X1571" s="749" t="s">
        <v>9845</v>
      </c>
      <c r="Y1571" s="647" t="s">
        <v>529</v>
      </c>
      <c r="Z1571" s="642">
        <v>0.9649</v>
      </c>
      <c r="AA1571" s="647">
        <f t="shared" si="621"/>
        <v>13484.4775</v>
      </c>
      <c r="AC1571" s="751"/>
      <c r="AD1571" s="246" t="s">
        <v>6047</v>
      </c>
      <c r="AE1571" s="246" t="s">
        <v>82</v>
      </c>
      <c r="AF1571" s="246"/>
      <c r="AG1571" s="246"/>
      <c r="AH1571" s="642"/>
      <c r="AI1571" s="642">
        <v>14000</v>
      </c>
      <c r="AJ1571" s="246">
        <f t="shared" si="593"/>
        <v>25</v>
      </c>
      <c r="AK1571" s="643"/>
      <c r="AL1571" s="246" t="s">
        <v>2368</v>
      </c>
      <c r="AM1571" s="246"/>
      <c r="AN1571" s="551"/>
      <c r="AO1571" s="551">
        <f>I1571</f>
        <v>13975</v>
      </c>
      <c r="AP1571" s="551"/>
      <c r="AQ1571" s="551"/>
      <c r="AR1571" s="650"/>
      <c r="AS1571" s="551"/>
      <c r="AT1571" s="551">
        <f>I1571</f>
        <v>13975</v>
      </c>
      <c r="AU1571" s="551"/>
      <c r="AV1571" s="551">
        <f>I1571</f>
        <v>13975</v>
      </c>
      <c r="AW1571" s="551"/>
      <c r="AX1571" s="651"/>
      <c r="AY1571" s="551"/>
      <c r="AZ1571" s="551"/>
      <c r="BA1571" s="551"/>
      <c r="BB1571" s="249">
        <f t="shared" si="622"/>
        <v>582.291666666667</v>
      </c>
      <c r="BC1571" s="551"/>
      <c r="BD1571" s="551"/>
      <c r="BE1571" s="551"/>
      <c r="BF1571" s="551"/>
      <c r="BG1571" s="549"/>
      <c r="BH1571" s="551"/>
      <c r="BI1571" s="551"/>
      <c r="BJ1571" s="551"/>
      <c r="BK1571" s="551"/>
      <c r="BL1571" s="551"/>
      <c r="BM1571" s="551"/>
      <c r="BN1571" s="551"/>
      <c r="BO1571" s="551"/>
      <c r="BP1571" s="551">
        <f>I1571/25</f>
        <v>559</v>
      </c>
      <c r="BQ1571" s="551"/>
      <c r="BR1571" s="551"/>
      <c r="BS1571" s="551"/>
      <c r="BT1571" s="551"/>
      <c r="BU1571" s="551"/>
      <c r="BV1571" s="551"/>
      <c r="BW1571" s="551"/>
      <c r="BX1571" s="551"/>
      <c r="BY1571" s="551"/>
      <c r="BZ1571" s="551"/>
      <c r="CA1571" s="752"/>
      <c r="CB1571" s="747"/>
      <c r="CC1571" s="753"/>
      <c r="CD1571" s="551"/>
      <c r="CE1571" s="551"/>
      <c r="CF1571" s="551"/>
      <c r="CG1571" s="551"/>
      <c r="CH1571" s="549"/>
      <c r="CI1571" s="551"/>
      <c r="CJ1571" s="551"/>
      <c r="CK1571" s="551"/>
      <c r="CL1571" s="551"/>
      <c r="CM1571" s="551"/>
      <c r="CN1571" s="551"/>
      <c r="CO1571" s="551"/>
      <c r="CP1571" s="650"/>
      <c r="CQ1571" s="650"/>
      <c r="CR1571" s="551"/>
      <c r="CS1571" s="551"/>
      <c r="CT1571" s="551"/>
      <c r="CU1571" s="551">
        <f t="shared" si="599"/>
        <v>559</v>
      </c>
      <c r="CV1571" s="551">
        <f>CK1571+CL1571+CM1571+CN1571+CO1571+CQ1571+CP1571</f>
        <v>0</v>
      </c>
      <c r="CW1571" s="551">
        <f>CI1571+CJ1571</f>
        <v>0</v>
      </c>
      <c r="CX1571" s="650"/>
      <c r="CY1571" s="650"/>
      <c r="CZ1571" s="650"/>
      <c r="DA1571" s="650"/>
      <c r="DB1571" s="650"/>
      <c r="DC1571" s="650"/>
      <c r="DD1571" s="650"/>
      <c r="DE1571" s="650"/>
      <c r="DF1571" s="650"/>
      <c r="DG1571" s="650"/>
      <c r="DH1571" s="650"/>
    </row>
    <row r="1572" s="549" customFormat="1" ht="31" customHeight="1" spans="1:113">
      <c r="A1572" s="641">
        <v>46157</v>
      </c>
      <c r="B1572" s="642" t="s">
        <v>5537</v>
      </c>
      <c r="C1572" s="246" t="s">
        <v>170</v>
      </c>
      <c r="D1572" s="748">
        <v>4500207509</v>
      </c>
      <c r="E1572" s="643">
        <v>1804976</v>
      </c>
      <c r="F1572" s="551" t="s">
        <v>9846</v>
      </c>
      <c r="G1572" s="246" t="s">
        <v>6166</v>
      </c>
      <c r="H1572" s="246" t="s">
        <v>6094</v>
      </c>
      <c r="I1572" s="706">
        <v>13325</v>
      </c>
      <c r="J1572" s="246">
        <v>0</v>
      </c>
      <c r="K1572" s="246">
        <v>13</v>
      </c>
      <c r="L1572" s="644">
        <f t="shared" si="610"/>
        <v>1025</v>
      </c>
      <c r="M1572" s="645">
        <v>46197</v>
      </c>
      <c r="N1572" s="645">
        <v>46193</v>
      </c>
      <c r="O1572" s="643"/>
      <c r="P1572" s="246" t="s">
        <v>113</v>
      </c>
      <c r="Q1572" s="646"/>
      <c r="R1572" s="646">
        <v>46169</v>
      </c>
      <c r="S1572" s="646" t="s">
        <v>70</v>
      </c>
      <c r="T1572" s="646" t="s">
        <v>70</v>
      </c>
      <c r="U1572" s="646"/>
      <c r="V1572" s="646"/>
      <c r="W1572" s="744"/>
      <c r="X1572" s="642" t="s">
        <v>9847</v>
      </c>
      <c r="Y1572" s="647" t="s">
        <v>5543</v>
      </c>
      <c r="Z1572" s="642">
        <v>0.9246</v>
      </c>
      <c r="AA1572" s="647">
        <f t="shared" si="621"/>
        <v>12320.295</v>
      </c>
      <c r="AC1572" s="751"/>
      <c r="AD1572" s="246" t="s">
        <v>6166</v>
      </c>
      <c r="AE1572" s="246" t="s">
        <v>82</v>
      </c>
      <c r="AF1572" s="246"/>
      <c r="AG1572" s="246"/>
      <c r="AH1572" s="642"/>
      <c r="AI1572" s="642">
        <f>3900+9425</f>
        <v>13325</v>
      </c>
      <c r="AJ1572" s="246">
        <f t="shared" si="593"/>
        <v>0</v>
      </c>
      <c r="AK1572" s="643"/>
      <c r="AL1572" s="246"/>
      <c r="AM1572" s="246"/>
      <c r="AN1572" s="551">
        <f>I1572</f>
        <v>13325</v>
      </c>
      <c r="AO1572" s="551"/>
      <c r="AP1572" s="551"/>
      <c r="AQ1572" s="551"/>
      <c r="AR1572" s="650"/>
      <c r="AS1572" s="551">
        <f>I1572</f>
        <v>13325</v>
      </c>
      <c r="AT1572" s="551"/>
      <c r="AU1572" s="551">
        <f>I1572</f>
        <v>13325</v>
      </c>
      <c r="AV1572" s="551"/>
      <c r="AW1572" s="551"/>
      <c r="AX1572" s="651"/>
      <c r="AY1572" s="551"/>
      <c r="AZ1572" s="551"/>
      <c r="BA1572" s="551"/>
      <c r="BB1572" s="249">
        <f t="shared" si="622"/>
        <v>555.208333333333</v>
      </c>
      <c r="BC1572" s="551"/>
      <c r="BD1572" s="551"/>
      <c r="BE1572" s="551"/>
      <c r="BF1572" s="551"/>
      <c r="BG1572" s="549"/>
      <c r="BH1572" s="551"/>
      <c r="BI1572" s="551"/>
      <c r="BJ1572" s="551"/>
      <c r="BK1572" s="551"/>
      <c r="BL1572" s="551">
        <f>I1572/13</f>
        <v>1025</v>
      </c>
      <c r="BM1572" s="551"/>
      <c r="BN1572" s="551"/>
      <c r="BO1572" s="551"/>
      <c r="BP1572" s="551"/>
      <c r="BQ1572" s="551"/>
      <c r="BR1572" s="551"/>
      <c r="BS1572" s="551"/>
      <c r="BT1572" s="551"/>
      <c r="BU1572" s="551"/>
      <c r="BV1572" s="551"/>
      <c r="BW1572" s="551"/>
      <c r="BX1572" s="551"/>
      <c r="BY1572" s="551"/>
      <c r="BZ1572" s="551"/>
      <c r="CA1572" s="752"/>
      <c r="CB1572" s="747"/>
      <c r="CC1572" s="753"/>
      <c r="CD1572" s="551"/>
      <c r="CE1572" s="551"/>
      <c r="CF1572" s="551"/>
      <c r="CG1572" s="551"/>
      <c r="CH1572" s="549"/>
      <c r="CI1572" s="551"/>
      <c r="CJ1572" s="551"/>
      <c r="CK1572" s="551"/>
      <c r="CL1572" s="551"/>
      <c r="CM1572" s="551"/>
      <c r="CN1572" s="551"/>
      <c r="CO1572" s="551"/>
      <c r="CP1572" s="650"/>
      <c r="CQ1572" s="650"/>
      <c r="CR1572" s="551"/>
      <c r="CS1572" s="551"/>
      <c r="CT1572" s="551"/>
      <c r="CU1572" s="551">
        <f t="shared" si="599"/>
        <v>0</v>
      </c>
      <c r="CV1572" s="551">
        <v>0</v>
      </c>
      <c r="CW1572" s="551">
        <v>0</v>
      </c>
      <c r="CX1572" s="650"/>
      <c r="CY1572" s="650"/>
      <c r="CZ1572" s="650"/>
      <c r="DA1572" s="650"/>
      <c r="DB1572" s="650"/>
      <c r="DC1572" s="650"/>
      <c r="DD1572" s="650"/>
      <c r="DE1572" s="650"/>
      <c r="DF1572" s="650"/>
      <c r="DG1572" s="650"/>
      <c r="DH1572" s="650"/>
    </row>
    <row r="1573" s="549" customFormat="1" ht="31" customHeight="1" spans="1:113">
      <c r="A1573" s="641">
        <v>46154</v>
      </c>
      <c r="B1573" s="642" t="s">
        <v>1620</v>
      </c>
      <c r="C1573" s="246" t="s">
        <v>278</v>
      </c>
      <c r="D1573" s="748">
        <v>4500206775</v>
      </c>
      <c r="E1573" s="643">
        <v>4400558689</v>
      </c>
      <c r="F1573" s="551" t="s">
        <v>9848</v>
      </c>
      <c r="G1573" s="246" t="s">
        <v>6047</v>
      </c>
      <c r="H1573" s="246" t="s">
        <v>6069</v>
      </c>
      <c r="I1573" s="706">
        <v>15000</v>
      </c>
      <c r="J1573" s="246">
        <v>0</v>
      </c>
      <c r="K1573" s="246">
        <v>25</v>
      </c>
      <c r="L1573" s="644">
        <f t="shared" si="610"/>
        <v>600</v>
      </c>
      <c r="M1573" s="645">
        <v>46197</v>
      </c>
      <c r="N1573" s="645">
        <v>46193</v>
      </c>
      <c r="O1573" s="643"/>
      <c r="P1573" s="246" t="s">
        <v>113</v>
      </c>
      <c r="Q1573" s="646">
        <v>46206</v>
      </c>
      <c r="R1573" s="646">
        <v>46163</v>
      </c>
      <c r="S1573" s="646" t="s">
        <v>70</v>
      </c>
      <c r="T1573" s="646" t="s">
        <v>8219</v>
      </c>
      <c r="U1573" s="646"/>
      <c r="V1573" s="646"/>
      <c r="W1573" s="744"/>
      <c r="X1573" s="642" t="s">
        <v>9849</v>
      </c>
      <c r="Y1573" s="647" t="s">
        <v>1549</v>
      </c>
      <c r="Z1573" s="642">
        <v>0.9649</v>
      </c>
      <c r="AA1573" s="647">
        <f t="shared" si="621"/>
        <v>14473.5</v>
      </c>
      <c r="AC1573" s="751"/>
      <c r="AD1573" s="246" t="s">
        <v>6047</v>
      </c>
      <c r="AE1573" s="246" t="s">
        <v>82</v>
      </c>
      <c r="AF1573" s="246"/>
      <c r="AG1573" s="246"/>
      <c r="AH1573" s="642"/>
      <c r="AI1573" s="642">
        <f>12150+2850</f>
        <v>15000</v>
      </c>
      <c r="AJ1573" s="246">
        <f t="shared" si="593"/>
        <v>0</v>
      </c>
      <c r="AK1573" s="643"/>
      <c r="AL1573" s="246" t="s">
        <v>2368</v>
      </c>
      <c r="AM1573" s="246"/>
      <c r="AN1573" s="551"/>
      <c r="AO1573" s="551">
        <f>I1573</f>
        <v>15000</v>
      </c>
      <c r="AP1573" s="551"/>
      <c r="AQ1573" s="551"/>
      <c r="AR1573" s="650"/>
      <c r="AS1573" s="551"/>
      <c r="AT1573" s="551">
        <f>I1573</f>
        <v>15000</v>
      </c>
      <c r="AU1573" s="551"/>
      <c r="AV1573" s="551">
        <f>I1573</f>
        <v>15000</v>
      </c>
      <c r="AW1573" s="551"/>
      <c r="AX1573" s="651"/>
      <c r="AY1573" s="551"/>
      <c r="AZ1573" s="551"/>
      <c r="BA1573" s="551"/>
      <c r="BB1573" s="249">
        <f t="shared" si="622"/>
        <v>625</v>
      </c>
      <c r="BC1573" s="551"/>
      <c r="BD1573" s="551"/>
      <c r="BE1573" s="551"/>
      <c r="BF1573" s="551"/>
      <c r="BG1573" s="549"/>
      <c r="BH1573" s="551"/>
      <c r="BI1573" s="551"/>
      <c r="BJ1573" s="551"/>
      <c r="BK1573" s="551"/>
      <c r="BL1573" s="551"/>
      <c r="BM1573" s="551"/>
      <c r="BN1573" s="551"/>
      <c r="BO1573" s="551"/>
      <c r="BP1573" s="551">
        <f>I1573/25</f>
        <v>600</v>
      </c>
      <c r="BQ1573" s="551"/>
      <c r="BR1573" s="551"/>
      <c r="BS1573" s="551"/>
      <c r="BT1573" s="551"/>
      <c r="BU1573" s="551"/>
      <c r="BV1573" s="551"/>
      <c r="BW1573" s="551"/>
      <c r="BX1573" s="551"/>
      <c r="BY1573" s="551"/>
      <c r="BZ1573" s="551"/>
      <c r="CA1573" s="752"/>
      <c r="CB1573" s="747"/>
      <c r="CC1573" s="753"/>
      <c r="CD1573" s="551"/>
      <c r="CE1573" s="551"/>
      <c r="CF1573" s="551"/>
      <c r="CG1573" s="551"/>
      <c r="CH1573" s="549"/>
      <c r="CI1573" s="551"/>
      <c r="CJ1573" s="551"/>
      <c r="CK1573" s="551"/>
      <c r="CL1573" s="551"/>
      <c r="CM1573" s="551"/>
      <c r="CN1573" s="551"/>
      <c r="CO1573" s="551"/>
      <c r="CP1573" s="650"/>
      <c r="CQ1573" s="650"/>
      <c r="CR1573" s="551"/>
      <c r="CS1573" s="551"/>
      <c r="CT1573" s="551"/>
      <c r="CU1573" s="551">
        <f t="shared" si="599"/>
        <v>600</v>
      </c>
      <c r="CV1573" s="551">
        <f>CK1573+CL1573+CM1573+CN1573+CO1573+CQ1573+CP1573</f>
        <v>0</v>
      </c>
      <c r="CW1573" s="551">
        <f>CI1573+CJ1573</f>
        <v>0</v>
      </c>
      <c r="CX1573" s="650"/>
      <c r="CY1573" s="650"/>
      <c r="CZ1573" s="650"/>
      <c r="DA1573" s="650"/>
      <c r="DB1573" s="650"/>
      <c r="DC1573" s="650"/>
      <c r="DD1573" s="650"/>
      <c r="DE1573" s="650"/>
      <c r="DF1573" s="650"/>
      <c r="DG1573" s="650"/>
      <c r="DH1573" s="650"/>
    </row>
    <row r="1574" s="550" customFormat="1" ht="31" customHeight="1" spans="1:113">
      <c r="A1574" s="608">
        <v>46134</v>
      </c>
      <c r="B1574" s="609" t="s">
        <v>4417</v>
      </c>
      <c r="C1574" s="610" t="s">
        <v>302</v>
      </c>
      <c r="D1574" s="727">
        <v>4500201727</v>
      </c>
      <c r="E1574" s="613">
        <v>1346748</v>
      </c>
      <c r="F1574" s="554" t="s">
        <v>9850</v>
      </c>
      <c r="G1574" s="623" t="s">
        <v>6043</v>
      </c>
      <c r="H1574" s="610" t="s">
        <v>6110</v>
      </c>
      <c r="I1574" s="715">
        <v>450</v>
      </c>
      <c r="J1574" s="610">
        <v>0</v>
      </c>
      <c r="K1574" s="610">
        <v>50</v>
      </c>
      <c r="L1574" s="611">
        <f t="shared" si="610"/>
        <v>9</v>
      </c>
      <c r="M1574" s="724">
        <v>46195</v>
      </c>
      <c r="N1574" s="724">
        <v>46191</v>
      </c>
      <c r="O1574" s="737" t="s">
        <v>4438</v>
      </c>
      <c r="P1574" s="723" t="s">
        <v>9334</v>
      </c>
      <c r="Q1574" s="614"/>
      <c r="R1574" s="614">
        <v>46153</v>
      </c>
      <c r="S1574" s="614" t="s">
        <v>70</v>
      </c>
      <c r="T1574" s="614" t="s">
        <v>9851</v>
      </c>
      <c r="U1574" s="614"/>
      <c r="V1574" s="614"/>
      <c r="W1574" s="741" t="s">
        <v>9852</v>
      </c>
      <c r="X1574" s="738" t="s">
        <v>9853</v>
      </c>
      <c r="Y1574" s="612" t="s">
        <v>261</v>
      </c>
      <c r="Z1574" s="554">
        <v>0.9628</v>
      </c>
      <c r="AA1574" s="616">
        <f t="shared" si="621"/>
        <v>433.26</v>
      </c>
      <c r="AB1574" s="573"/>
      <c r="AC1574" s="697"/>
      <c r="AD1574" s="610" t="s">
        <v>6043</v>
      </c>
      <c r="AE1574" s="610" t="s">
        <v>82</v>
      </c>
      <c r="AF1574" s="610"/>
      <c r="AG1574" s="610"/>
      <c r="AH1574" s="609"/>
      <c r="AI1574" s="609">
        <v>450</v>
      </c>
      <c r="AJ1574" s="610">
        <f t="shared" si="593"/>
        <v>0</v>
      </c>
      <c r="AK1574" s="613"/>
      <c r="AL1574" s="610" t="s">
        <v>2368</v>
      </c>
      <c r="AM1574" s="610"/>
      <c r="AN1574" s="554"/>
      <c r="AO1574" s="554">
        <f>I1574</f>
        <v>450</v>
      </c>
      <c r="AP1574" s="554"/>
      <c r="AQ1574" s="554"/>
      <c r="AR1574" s="554"/>
      <c r="AS1574" s="554"/>
      <c r="AT1574" s="554">
        <f>I1574</f>
        <v>450</v>
      </c>
      <c r="AU1574" s="554"/>
      <c r="AV1574" s="554">
        <f>I1574</f>
        <v>450</v>
      </c>
      <c r="AW1574" s="554"/>
      <c r="AX1574" s="714"/>
      <c r="AY1574" s="554"/>
      <c r="AZ1574" s="554"/>
      <c r="BA1574" s="554"/>
      <c r="BB1574" s="620">
        <f t="shared" si="622"/>
        <v>18.75</v>
      </c>
      <c r="BC1574" s="554"/>
      <c r="BD1574" s="554"/>
      <c r="BE1574" s="554"/>
      <c r="BF1574" s="554"/>
      <c r="BG1574" s="550"/>
      <c r="BH1574" s="554"/>
      <c r="BI1574" s="554"/>
      <c r="BJ1574" s="554"/>
      <c r="BK1574" s="554"/>
      <c r="BL1574" s="554"/>
      <c r="BM1574" s="554"/>
      <c r="BN1574" s="554"/>
      <c r="BO1574" s="554"/>
      <c r="BP1574" s="554">
        <f>I1574/25</f>
        <v>18</v>
      </c>
      <c r="BQ1574" s="554"/>
      <c r="BR1574" s="554"/>
      <c r="BS1574" s="554"/>
      <c r="BT1574" s="554"/>
      <c r="BU1574" s="554"/>
      <c r="BV1574" s="554"/>
      <c r="BW1574" s="554"/>
      <c r="BX1574" s="554"/>
      <c r="BY1574" s="554"/>
      <c r="BZ1574" s="554"/>
      <c r="CA1574" s="720"/>
      <c r="CB1574" s="555"/>
      <c r="CC1574" s="721"/>
      <c r="CD1574" s="554"/>
      <c r="CE1574" s="554"/>
      <c r="CF1574" s="554"/>
      <c r="CG1574" s="554"/>
      <c r="CH1574" s="550"/>
      <c r="CI1574" s="554"/>
      <c r="CJ1574" s="554"/>
      <c r="CK1574" s="554"/>
      <c r="CL1574" s="554"/>
      <c r="CM1574" s="554"/>
      <c r="CN1574" s="554"/>
      <c r="CO1574" s="554"/>
      <c r="CP1574" s="619"/>
      <c r="CQ1574" s="619"/>
      <c r="CR1574" s="619"/>
      <c r="CS1574" s="619"/>
      <c r="CT1574" s="619"/>
      <c r="CU1574" s="554">
        <f t="shared" si="599"/>
        <v>18</v>
      </c>
      <c r="CV1574" s="554">
        <f>CK1574+CL1574+CM1574+CN1574+CO1574+CQ1574+CP1574</f>
        <v>0</v>
      </c>
      <c r="CW1574" s="554">
        <f>CI1574+CJ1574</f>
        <v>0</v>
      </c>
      <c r="CX1574" s="619"/>
      <c r="CY1574" s="619"/>
      <c r="CZ1574" s="619"/>
      <c r="DA1574" s="619"/>
      <c r="DB1574" s="619"/>
      <c r="DC1574" s="619"/>
      <c r="DD1574" s="619"/>
      <c r="DE1574" s="619"/>
      <c r="DF1574" s="619"/>
      <c r="DG1574" s="619"/>
      <c r="DH1574" s="619"/>
    </row>
    <row r="1575" s="550" customFormat="1" ht="31" customHeight="1" spans="1:113">
      <c r="A1575" s="608">
        <v>46134</v>
      </c>
      <c r="B1575" s="609" t="s">
        <v>4417</v>
      </c>
      <c r="C1575" s="610" t="s">
        <v>302</v>
      </c>
      <c r="D1575" s="727">
        <v>4500201774</v>
      </c>
      <c r="E1575" s="613">
        <v>1346737</v>
      </c>
      <c r="F1575" s="554" t="s">
        <v>9854</v>
      </c>
      <c r="G1575" s="623" t="s">
        <v>6043</v>
      </c>
      <c r="H1575" s="610" t="s">
        <v>6110</v>
      </c>
      <c r="I1575" s="715">
        <v>1600</v>
      </c>
      <c r="J1575" s="610">
        <v>0</v>
      </c>
      <c r="K1575" s="610">
        <v>50</v>
      </c>
      <c r="L1575" s="611">
        <f t="shared" si="610"/>
        <v>32</v>
      </c>
      <c r="M1575" s="724">
        <v>46195</v>
      </c>
      <c r="N1575" s="724">
        <v>46191</v>
      </c>
      <c r="O1575" s="737" t="s">
        <v>4421</v>
      </c>
      <c r="P1575" s="723" t="s">
        <v>9334</v>
      </c>
      <c r="Q1575" s="614">
        <v>46219</v>
      </c>
      <c r="R1575" s="614">
        <v>46153</v>
      </c>
      <c r="S1575" s="614" t="s">
        <v>104</v>
      </c>
      <c r="T1575" s="614" t="s">
        <v>9855</v>
      </c>
      <c r="U1575" s="614"/>
      <c r="V1575" s="614"/>
      <c r="W1575" s="741" t="s">
        <v>9856</v>
      </c>
      <c r="X1575" s="738" t="s">
        <v>9857</v>
      </c>
      <c r="Y1575" s="612" t="s">
        <v>261</v>
      </c>
      <c r="Z1575" s="554">
        <v>0.9749</v>
      </c>
      <c r="AA1575" s="616">
        <f t="shared" si="621"/>
        <v>1559.84</v>
      </c>
      <c r="AB1575" s="573"/>
      <c r="AC1575" s="697"/>
      <c r="AD1575" s="610" t="s">
        <v>6043</v>
      </c>
      <c r="AE1575" s="610" t="s">
        <v>82</v>
      </c>
      <c r="AF1575" s="610"/>
      <c r="AG1575" s="610"/>
      <c r="AH1575" s="609"/>
      <c r="AI1575" s="609">
        <v>1600</v>
      </c>
      <c r="AJ1575" s="610">
        <f t="shared" si="593"/>
        <v>0</v>
      </c>
      <c r="AK1575" s="613"/>
      <c r="AL1575" s="610" t="s">
        <v>2368</v>
      </c>
      <c r="AM1575" s="610"/>
      <c r="AN1575" s="554"/>
      <c r="AO1575" s="554">
        <f>I1575</f>
        <v>1600</v>
      </c>
      <c r="AP1575" s="554"/>
      <c r="AQ1575" s="554"/>
      <c r="AR1575" s="554"/>
      <c r="AS1575" s="554"/>
      <c r="AT1575" s="554">
        <f>I1575</f>
        <v>1600</v>
      </c>
      <c r="AU1575" s="554"/>
      <c r="AV1575" s="554">
        <f>I1575</f>
        <v>1600</v>
      </c>
      <c r="AW1575" s="554"/>
      <c r="AX1575" s="714"/>
      <c r="AY1575" s="554"/>
      <c r="AZ1575" s="554"/>
      <c r="BA1575" s="554"/>
      <c r="BB1575" s="620">
        <f t="shared" si="622"/>
        <v>66.6666666666667</v>
      </c>
      <c r="BC1575" s="554"/>
      <c r="BD1575" s="554"/>
      <c r="BE1575" s="554"/>
      <c r="BF1575" s="554"/>
      <c r="BG1575" s="550"/>
      <c r="BH1575" s="554"/>
      <c r="BI1575" s="554"/>
      <c r="BJ1575" s="554"/>
      <c r="BK1575" s="554"/>
      <c r="BL1575" s="554"/>
      <c r="BM1575" s="554"/>
      <c r="BN1575" s="554"/>
      <c r="BO1575" s="554"/>
      <c r="BP1575" s="554">
        <f>I1575/25</f>
        <v>64</v>
      </c>
      <c r="BQ1575" s="554"/>
      <c r="BR1575" s="554"/>
      <c r="BS1575" s="554"/>
      <c r="BT1575" s="554"/>
      <c r="BU1575" s="554"/>
      <c r="BV1575" s="554"/>
      <c r="BW1575" s="554"/>
      <c r="BX1575" s="554"/>
      <c r="BY1575" s="554"/>
      <c r="BZ1575" s="554"/>
      <c r="CA1575" s="720"/>
      <c r="CB1575" s="555"/>
      <c r="CC1575" s="721"/>
      <c r="CD1575" s="554"/>
      <c r="CE1575" s="554"/>
      <c r="CF1575" s="554"/>
      <c r="CG1575" s="554"/>
      <c r="CH1575" s="550"/>
      <c r="CI1575" s="554"/>
      <c r="CJ1575" s="554"/>
      <c r="CK1575" s="554"/>
      <c r="CL1575" s="554"/>
      <c r="CM1575" s="554"/>
      <c r="CN1575" s="554"/>
      <c r="CO1575" s="554"/>
      <c r="CP1575" s="619"/>
      <c r="CQ1575" s="619"/>
      <c r="CR1575" s="619"/>
      <c r="CS1575" s="619"/>
      <c r="CT1575" s="619"/>
      <c r="CU1575" s="554">
        <f t="shared" si="599"/>
        <v>64</v>
      </c>
      <c r="CV1575" s="554">
        <f>CK1575+CL1575+CM1575+CN1575+CO1575+CQ1575+CP1575</f>
        <v>0</v>
      </c>
      <c r="CW1575" s="554">
        <f>CI1575+CJ1575</f>
        <v>0</v>
      </c>
      <c r="CX1575" s="619"/>
      <c r="CY1575" s="619"/>
      <c r="CZ1575" s="619"/>
      <c r="DA1575" s="619"/>
      <c r="DB1575" s="619"/>
      <c r="DC1575" s="619"/>
      <c r="DD1575" s="619"/>
      <c r="DE1575" s="619"/>
      <c r="DF1575" s="619"/>
      <c r="DG1575" s="619"/>
      <c r="DH1575" s="619"/>
    </row>
    <row r="1576" s="550" customFormat="1" ht="31" customHeight="1" spans="1:113">
      <c r="A1576" s="608">
        <v>46139</v>
      </c>
      <c r="B1576" s="609" t="s">
        <v>549</v>
      </c>
      <c r="C1576" s="610" t="s">
        <v>278</v>
      </c>
      <c r="D1576" s="727">
        <v>4500203661</v>
      </c>
      <c r="E1576" s="610" t="s">
        <v>9858</v>
      </c>
      <c r="F1576" s="554" t="s">
        <v>9859</v>
      </c>
      <c r="G1576" s="610" t="s">
        <v>6365</v>
      </c>
      <c r="H1576" s="610" t="s">
        <v>9564</v>
      </c>
      <c r="I1576" s="715">
        <v>4452</v>
      </c>
      <c r="J1576" s="610">
        <v>0</v>
      </c>
      <c r="K1576" s="610">
        <v>12</v>
      </c>
      <c r="L1576" s="611">
        <f t="shared" si="610"/>
        <v>371</v>
      </c>
      <c r="M1576" s="612">
        <v>46195</v>
      </c>
      <c r="N1576" s="612">
        <v>46191</v>
      </c>
      <c r="O1576" s="613"/>
      <c r="P1576" s="610" t="s">
        <v>113</v>
      </c>
      <c r="Q1576" s="614" t="s">
        <v>4414</v>
      </c>
      <c r="R1576" s="614" t="s">
        <v>463</v>
      </c>
      <c r="S1576" s="614" t="s">
        <v>104</v>
      </c>
      <c r="T1576" s="614" t="s">
        <v>9860</v>
      </c>
      <c r="U1576" s="614"/>
      <c r="V1576" s="614"/>
      <c r="W1576" s="573"/>
      <c r="X1576" s="609" t="s">
        <v>9861</v>
      </c>
      <c r="Y1576" s="616" t="s">
        <v>428</v>
      </c>
      <c r="Z1576" s="609">
        <v>2.1887</v>
      </c>
      <c r="AA1576" s="616">
        <f t="shared" si="621"/>
        <v>9744.0924</v>
      </c>
      <c r="AB1576" s="573"/>
      <c r="AC1576" s="697"/>
      <c r="AD1576" s="610" t="s">
        <v>6368</v>
      </c>
      <c r="AE1576" s="610" t="s">
        <v>82</v>
      </c>
      <c r="AF1576" s="610"/>
      <c r="AG1576" s="610"/>
      <c r="AH1576" s="609"/>
      <c r="AI1576" s="609">
        <v>4452</v>
      </c>
      <c r="AJ1576" s="610">
        <f t="shared" ref="AJ1576:AJ1639" si="623">AI1576-I1576</f>
        <v>0</v>
      </c>
      <c r="AK1576" s="613"/>
      <c r="AL1576" s="610" t="s">
        <v>454</v>
      </c>
      <c r="AM1576" s="610"/>
      <c r="AN1576" s="554"/>
      <c r="AO1576" s="554">
        <f>I1576*2</f>
        <v>8904</v>
      </c>
      <c r="AP1576" s="554"/>
      <c r="AQ1576" s="554"/>
      <c r="AR1576" s="619"/>
      <c r="AS1576" s="554"/>
      <c r="AT1576" s="554">
        <f>I1576*2</f>
        <v>8904</v>
      </c>
      <c r="AU1576" s="554"/>
      <c r="AV1576" s="554">
        <f>I1576*2</f>
        <v>8904</v>
      </c>
      <c r="AW1576" s="554"/>
      <c r="AX1576" s="714"/>
      <c r="AY1576" s="554"/>
      <c r="AZ1576" s="554"/>
      <c r="BA1576" s="554"/>
      <c r="BB1576" s="620">
        <f>I1576/24*2</f>
        <v>371</v>
      </c>
      <c r="BC1576" s="554"/>
      <c r="BD1576" s="554"/>
      <c r="BE1576" s="554"/>
      <c r="BF1576" s="554"/>
      <c r="BG1576" s="550"/>
      <c r="BH1576" s="554"/>
      <c r="BI1576" s="554"/>
      <c r="BJ1576" s="554"/>
      <c r="BK1576" s="554"/>
      <c r="BL1576" s="554"/>
      <c r="BM1576" s="554"/>
      <c r="BN1576" s="554"/>
      <c r="BO1576" s="554"/>
      <c r="BP1576" s="554"/>
      <c r="BQ1576" s="554"/>
      <c r="BR1576" s="554"/>
      <c r="BS1576" s="554"/>
      <c r="BT1576" s="554"/>
      <c r="BU1576" s="554"/>
      <c r="BV1576" s="554"/>
      <c r="BW1576" s="554"/>
      <c r="BX1576" s="554"/>
      <c r="BY1576" s="554"/>
      <c r="BZ1576" s="554"/>
      <c r="CA1576" s="720"/>
      <c r="CB1576" s="555"/>
      <c r="CC1576" s="721"/>
      <c r="CD1576" s="554"/>
      <c r="CE1576" s="554"/>
      <c r="CF1576" s="554"/>
      <c r="CG1576" s="554"/>
      <c r="CH1576" s="550"/>
      <c r="CI1576" s="554"/>
      <c r="CJ1576" s="554"/>
      <c r="CK1576" s="554"/>
      <c r="CL1576" s="554"/>
      <c r="CM1576" s="554"/>
      <c r="CN1576" s="554"/>
      <c r="CO1576" s="554"/>
      <c r="CP1576" s="619"/>
      <c r="CQ1576" s="619"/>
      <c r="CR1576" s="554">
        <f>I1576</f>
        <v>4452</v>
      </c>
      <c r="CS1576" s="554">
        <f>I1576</f>
        <v>4452</v>
      </c>
      <c r="CT1576" s="554">
        <f>I1576</f>
        <v>4452</v>
      </c>
      <c r="CU1576" s="554">
        <f>BQ1576+BP1576+BO1576+BN1576+BX1576+BR1576</f>
        <v>0</v>
      </c>
      <c r="CV1576" s="554">
        <v>0</v>
      </c>
      <c r="CW1576" s="554">
        <v>0</v>
      </c>
      <c r="CX1576" s="619"/>
      <c r="CY1576" s="619"/>
      <c r="CZ1576" s="619"/>
      <c r="DA1576" s="619"/>
      <c r="DB1576" s="619"/>
      <c r="DC1576" s="619"/>
      <c r="DD1576" s="619"/>
      <c r="DE1576" s="619"/>
      <c r="DF1576" s="619"/>
      <c r="DG1576" s="619"/>
      <c r="DH1576" s="619"/>
    </row>
    <row r="1577" s="550" customFormat="1" ht="31" customHeight="1" spans="1:113">
      <c r="A1577" s="608">
        <v>46154</v>
      </c>
      <c r="B1577" s="609" t="s">
        <v>606</v>
      </c>
      <c r="C1577" s="610" t="s">
        <v>399</v>
      </c>
      <c r="D1577" s="727">
        <v>4500206586</v>
      </c>
      <c r="E1577" s="731">
        <v>2236260204</v>
      </c>
      <c r="F1577" s="554" t="s">
        <v>4536</v>
      </c>
      <c r="G1577" s="610" t="s">
        <v>6337</v>
      </c>
      <c r="H1577" s="610" t="s">
        <v>477</v>
      </c>
      <c r="I1577" s="715">
        <v>3504</v>
      </c>
      <c r="J1577" s="610">
        <v>0</v>
      </c>
      <c r="K1577" s="610">
        <v>6</v>
      </c>
      <c r="L1577" s="611">
        <f t="shared" si="610"/>
        <v>584</v>
      </c>
      <c r="M1577" s="612">
        <v>46196</v>
      </c>
      <c r="N1577" s="724">
        <v>46196</v>
      </c>
      <c r="O1577" s="613" t="s">
        <v>9862</v>
      </c>
      <c r="P1577" s="610" t="s">
        <v>113</v>
      </c>
      <c r="Q1577" s="614"/>
      <c r="R1577" s="614">
        <v>46169</v>
      </c>
      <c r="S1577" s="614" t="s">
        <v>70</v>
      </c>
      <c r="T1577" s="614" t="s">
        <v>9863</v>
      </c>
      <c r="U1577" s="614"/>
      <c r="V1577" s="614" t="s">
        <v>9864</v>
      </c>
      <c r="W1577" s="614" t="s">
        <v>9865</v>
      </c>
      <c r="X1577" s="738" t="s">
        <v>4540</v>
      </c>
      <c r="Y1577" s="616" t="s">
        <v>445</v>
      </c>
      <c r="Z1577" s="609">
        <v>6.8196</v>
      </c>
      <c r="AA1577" s="616">
        <f t="shared" si="621"/>
        <v>23895.8784</v>
      </c>
      <c r="AB1577" s="573"/>
      <c r="AC1577" s="697"/>
      <c r="AD1577" s="610" t="s">
        <v>480</v>
      </c>
      <c r="AE1577" s="610" t="s">
        <v>82</v>
      </c>
      <c r="AF1577" s="610"/>
      <c r="AG1577" s="610"/>
      <c r="AH1577" s="609"/>
      <c r="AI1577" s="609">
        <f>3468+36</f>
        <v>3504</v>
      </c>
      <c r="AJ1577" s="610">
        <f t="shared" si="623"/>
        <v>0</v>
      </c>
      <c r="AK1577" s="613"/>
      <c r="AL1577" s="610" t="s">
        <v>2368</v>
      </c>
      <c r="AM1577" s="610"/>
      <c r="AN1577" s="554"/>
      <c r="AO1577" s="554">
        <f>I1577*2</f>
        <v>7008</v>
      </c>
      <c r="AP1577" s="554"/>
      <c r="AQ1577" s="554"/>
      <c r="AR1577" s="619"/>
      <c r="AS1577" s="554"/>
      <c r="AT1577" s="554">
        <f>I1577*2</f>
        <v>7008</v>
      </c>
      <c r="AU1577" s="554"/>
      <c r="AV1577" s="554">
        <f>I1577*2</f>
        <v>7008</v>
      </c>
      <c r="AW1577" s="554"/>
      <c r="AX1577" s="714"/>
      <c r="AY1577" s="554"/>
      <c r="AZ1577" s="554"/>
      <c r="BA1577" s="554"/>
      <c r="BB1577" s="620">
        <f>I1577/24*2</f>
        <v>292</v>
      </c>
      <c r="BC1577" s="554"/>
      <c r="BD1577" s="554"/>
      <c r="BE1577" s="554"/>
      <c r="BF1577" s="554"/>
      <c r="BG1577" s="550"/>
      <c r="BH1577" s="554"/>
      <c r="BI1577" s="554"/>
      <c r="BJ1577" s="554"/>
      <c r="BK1577" s="554"/>
      <c r="BL1577" s="554"/>
      <c r="BM1577" s="554"/>
      <c r="BN1577" s="554"/>
      <c r="BO1577" s="554"/>
      <c r="BP1577" s="554"/>
      <c r="BQ1577" s="554"/>
      <c r="BR1577" s="554"/>
      <c r="BS1577" s="554"/>
      <c r="BT1577" s="554"/>
      <c r="BU1577" s="554"/>
      <c r="BV1577" s="554"/>
      <c r="BW1577" s="554"/>
      <c r="BX1577" s="554"/>
      <c r="BY1577" s="554"/>
      <c r="BZ1577" s="554">
        <f>I1577</f>
        <v>3504</v>
      </c>
      <c r="CA1577" s="720"/>
      <c r="CB1577" s="555"/>
      <c r="CC1577" s="721"/>
      <c r="CD1577" s="554"/>
      <c r="CE1577" s="554"/>
      <c r="CF1577" s="554"/>
      <c r="CG1577" s="554"/>
      <c r="CH1577" s="550"/>
      <c r="CI1577" s="554"/>
      <c r="CJ1577" s="554"/>
      <c r="CK1577" s="554"/>
      <c r="CL1577" s="554"/>
      <c r="CM1577" s="554"/>
      <c r="CN1577" s="554"/>
      <c r="CO1577" s="554"/>
      <c r="CP1577" s="619"/>
      <c r="CQ1577" s="619"/>
      <c r="CR1577" s="554"/>
      <c r="CS1577" s="554"/>
      <c r="CT1577" s="554"/>
      <c r="CU1577" s="554">
        <f>BQ1577+BP1577+BO1577+BN1577+BX1577+BR1577</f>
        <v>0</v>
      </c>
      <c r="CV1577" s="554">
        <f>CK1577+CL1577+CM1577+CN1577+CO1577+CQ1577+CP1577</f>
        <v>0</v>
      </c>
      <c r="CW1577" s="554">
        <f>CI1577+CJ1577</f>
        <v>0</v>
      </c>
      <c r="CX1577" s="619"/>
      <c r="CY1577" s="619"/>
      <c r="CZ1577" s="619"/>
      <c r="DA1577" s="619"/>
      <c r="DB1577" s="619"/>
      <c r="DC1577" s="619"/>
      <c r="DD1577" s="619"/>
      <c r="DE1577" s="619"/>
      <c r="DF1577" s="619"/>
      <c r="DG1577" s="619"/>
      <c r="DH1577" s="619"/>
      <c r="DI1577" s="554"/>
    </row>
    <row r="1578" s="550" customFormat="1" ht="31" customHeight="1" spans="1:113">
      <c r="A1578" s="608">
        <v>46148</v>
      </c>
      <c r="B1578" s="609" t="s">
        <v>523</v>
      </c>
      <c r="C1578" s="610" t="s">
        <v>524</v>
      </c>
      <c r="D1578" s="727">
        <v>4500205025</v>
      </c>
      <c r="E1578" s="613">
        <v>50212601221</v>
      </c>
      <c r="F1578" s="554" t="s">
        <v>4529</v>
      </c>
      <c r="G1578" s="610" t="s">
        <v>6337</v>
      </c>
      <c r="H1578" s="610" t="s">
        <v>477</v>
      </c>
      <c r="I1578" s="715">
        <v>1800</v>
      </c>
      <c r="J1578" s="610">
        <v>0</v>
      </c>
      <c r="K1578" s="610">
        <v>6</v>
      </c>
      <c r="L1578" s="611">
        <f t="shared" si="610"/>
        <v>300</v>
      </c>
      <c r="M1578" s="724">
        <v>46197</v>
      </c>
      <c r="N1578" s="724">
        <v>46193</v>
      </c>
      <c r="O1578" s="613"/>
      <c r="P1578" s="246" t="s">
        <v>113</v>
      </c>
      <c r="Q1578" s="614" t="s">
        <v>4526</v>
      </c>
      <c r="R1578" s="614">
        <v>46160</v>
      </c>
      <c r="S1578" s="614" t="s">
        <v>104</v>
      </c>
      <c r="T1578" s="614" t="s">
        <v>9866</v>
      </c>
      <c r="U1578" s="614"/>
      <c r="V1578" s="614"/>
      <c r="W1578" s="573"/>
      <c r="X1578" s="738" t="s">
        <v>9845</v>
      </c>
      <c r="Y1578" s="616" t="s">
        <v>529</v>
      </c>
      <c r="Z1578" s="609">
        <v>7.0192</v>
      </c>
      <c r="AA1578" s="616">
        <f t="shared" si="621"/>
        <v>12634.56</v>
      </c>
      <c r="AB1578" s="573"/>
      <c r="AC1578" s="697"/>
      <c r="AD1578" s="610" t="s">
        <v>480</v>
      </c>
      <c r="AE1578" s="610" t="s">
        <v>82</v>
      </c>
      <c r="AF1578" s="610"/>
      <c r="AG1578" s="610"/>
      <c r="AH1578" s="609"/>
      <c r="AI1578" s="609">
        <v>1800</v>
      </c>
      <c r="AJ1578" s="610">
        <f t="shared" si="623"/>
        <v>0</v>
      </c>
      <c r="AK1578" s="613"/>
      <c r="AL1578" s="610"/>
      <c r="AM1578" s="610"/>
      <c r="AN1578" s="554"/>
      <c r="AO1578" s="554">
        <f>I1578*2</f>
        <v>3600</v>
      </c>
      <c r="AP1578" s="554"/>
      <c r="AQ1578" s="554"/>
      <c r="AR1578" s="619"/>
      <c r="AS1578" s="554"/>
      <c r="AT1578" s="554">
        <f>I1578*2</f>
        <v>3600</v>
      </c>
      <c r="AU1578" s="554"/>
      <c r="AV1578" s="554">
        <f>I1578*2</f>
        <v>3600</v>
      </c>
      <c r="AW1578" s="554"/>
      <c r="AX1578" s="714"/>
      <c r="AY1578" s="554"/>
      <c r="AZ1578" s="554"/>
      <c r="BA1578" s="554"/>
      <c r="BB1578" s="620">
        <f>I1578/24*2</f>
        <v>150</v>
      </c>
      <c r="BC1578" s="554"/>
      <c r="BD1578" s="554"/>
      <c r="BE1578" s="554"/>
      <c r="BF1578" s="554"/>
      <c r="BG1578" s="550"/>
      <c r="BH1578" s="554"/>
      <c r="BI1578" s="554"/>
      <c r="BJ1578" s="554"/>
      <c r="BK1578" s="554"/>
      <c r="BL1578" s="554"/>
      <c r="BM1578" s="554"/>
      <c r="BN1578" s="554"/>
      <c r="BO1578" s="554"/>
      <c r="BP1578" s="554"/>
      <c r="BQ1578" s="554"/>
      <c r="BR1578" s="554"/>
      <c r="BS1578" s="554"/>
      <c r="BT1578" s="554"/>
      <c r="BU1578" s="554"/>
      <c r="BV1578" s="554"/>
      <c r="BW1578" s="554"/>
      <c r="BX1578" s="554"/>
      <c r="BY1578" s="554"/>
      <c r="BZ1578" s="554"/>
      <c r="CA1578" s="720"/>
      <c r="CB1578" s="555"/>
      <c r="CC1578" s="721"/>
      <c r="CD1578" s="619">
        <f>I1578</f>
        <v>1800</v>
      </c>
      <c r="CE1578" s="554"/>
      <c r="CF1578" s="554"/>
      <c r="CG1578" s="554"/>
      <c r="CH1578" s="550"/>
      <c r="CI1578" s="554"/>
      <c r="CJ1578" s="554"/>
      <c r="CK1578" s="554"/>
      <c r="CL1578" s="554"/>
      <c r="CM1578" s="554"/>
      <c r="CN1578" s="554"/>
      <c r="CO1578" s="554"/>
      <c r="CP1578" s="619"/>
      <c r="CQ1578" s="619"/>
      <c r="CR1578" s="554"/>
      <c r="CS1578" s="554"/>
      <c r="CT1578" s="554"/>
      <c r="CU1578" s="554">
        <f>BQ1578+BP1578+BO1578+BN1578+BX1578+BR1578</f>
        <v>0</v>
      </c>
      <c r="CV1578" s="554">
        <v>0</v>
      </c>
      <c r="CW1578" s="554">
        <v>0</v>
      </c>
      <c r="CX1578" s="619"/>
      <c r="CY1578" s="619"/>
      <c r="CZ1578" s="619"/>
      <c r="DA1578" s="619"/>
      <c r="DB1578" s="619"/>
      <c r="DC1578" s="619"/>
      <c r="DD1578" s="619"/>
      <c r="DE1578" s="619"/>
      <c r="DF1578" s="619"/>
      <c r="DG1578" s="619"/>
      <c r="DH1578" s="619"/>
      <c r="DI1578" s="554"/>
    </row>
    <row r="1579" s="550" customFormat="1" ht="31" customHeight="1" spans="1:113">
      <c r="A1579" s="608">
        <v>46157</v>
      </c>
      <c r="B1579" s="609" t="s">
        <v>4531</v>
      </c>
      <c r="C1579" s="610" t="s">
        <v>524</v>
      </c>
      <c r="D1579" s="554">
        <v>4500205025</v>
      </c>
      <c r="E1579" s="613">
        <v>50212601221</v>
      </c>
      <c r="F1579" s="554" t="s">
        <v>4532</v>
      </c>
      <c r="G1579" s="610" t="s">
        <v>9867</v>
      </c>
      <c r="H1579" s="610" t="s">
        <v>2537</v>
      </c>
      <c r="I1579" s="715">
        <v>30</v>
      </c>
      <c r="J1579" s="610">
        <v>0</v>
      </c>
      <c r="K1579" s="610">
        <v>1</v>
      </c>
      <c r="L1579" s="611">
        <f t="shared" si="610"/>
        <v>30</v>
      </c>
      <c r="M1579" s="724">
        <v>46197</v>
      </c>
      <c r="N1579" s="724">
        <v>46193</v>
      </c>
      <c r="O1579" s="613"/>
      <c r="P1579" s="246" t="s">
        <v>113</v>
      </c>
      <c r="Q1579" s="614"/>
      <c r="R1579" s="614">
        <v>46160</v>
      </c>
      <c r="S1579" s="614" t="s">
        <v>70</v>
      </c>
      <c r="T1579" s="614" t="s">
        <v>70</v>
      </c>
      <c r="U1579" s="614"/>
      <c r="V1579" s="614"/>
      <c r="W1579" s="573"/>
      <c r="X1579" s="738" t="s">
        <v>4534</v>
      </c>
      <c r="Y1579" s="616" t="s">
        <v>3754</v>
      </c>
      <c r="Z1579" s="609">
        <v>27.2493</v>
      </c>
      <c r="AA1579" s="616">
        <f>Z1579*L1579</f>
        <v>817.479</v>
      </c>
      <c r="AB1579" s="573"/>
      <c r="AC1579" s="697"/>
      <c r="AD1579" s="610" t="s">
        <v>73</v>
      </c>
      <c r="AE1579" s="610" t="s">
        <v>4133</v>
      </c>
      <c r="AF1579" s="610"/>
      <c r="AG1579" s="610"/>
      <c r="AH1579" s="609"/>
      <c r="AI1579" s="609"/>
      <c r="AJ1579" s="610">
        <f t="shared" si="623"/>
        <v>-30</v>
      </c>
      <c r="AK1579" s="613"/>
      <c r="AL1579" s="610"/>
      <c r="AM1579" s="610"/>
      <c r="AN1579" s="554"/>
      <c r="AO1579" s="554"/>
      <c r="AP1579" s="554"/>
      <c r="AQ1579" s="554"/>
      <c r="AR1579" s="619"/>
      <c r="AS1579" s="554"/>
      <c r="AT1579" s="554"/>
      <c r="AU1579" s="554"/>
      <c r="AV1579" s="554"/>
      <c r="AW1579" s="554"/>
      <c r="AX1579" s="714"/>
      <c r="AY1579" s="554"/>
      <c r="AZ1579" s="554"/>
      <c r="BA1579" s="554"/>
      <c r="BB1579" s="620"/>
      <c r="BC1579" s="554"/>
      <c r="BD1579" s="554"/>
      <c r="BE1579" s="554"/>
      <c r="BF1579" s="554"/>
      <c r="BG1579" s="550"/>
      <c r="BH1579" s="554"/>
      <c r="BI1579" s="554"/>
      <c r="BJ1579" s="554"/>
      <c r="BK1579" s="554"/>
      <c r="BL1579" s="554"/>
      <c r="BM1579" s="554"/>
      <c r="BN1579" s="554"/>
      <c r="BO1579" s="554"/>
      <c r="BP1579" s="554"/>
      <c r="BQ1579" s="554"/>
      <c r="BR1579" s="554"/>
      <c r="BS1579" s="554"/>
      <c r="BT1579" s="554"/>
      <c r="BU1579" s="554"/>
      <c r="BV1579" s="554"/>
      <c r="BW1579" s="554"/>
      <c r="BX1579" s="554"/>
      <c r="BY1579" s="554"/>
      <c r="BZ1579" s="554"/>
      <c r="CA1579" s="720"/>
      <c r="CB1579" s="555"/>
      <c r="CC1579" s="721"/>
      <c r="CD1579" s="554"/>
      <c r="CE1579" s="554"/>
      <c r="CF1579" s="554"/>
      <c r="CG1579" s="554"/>
      <c r="CH1579" s="550"/>
      <c r="CI1579" s="554"/>
      <c r="CJ1579" s="554">
        <f>I1579</f>
        <v>30</v>
      </c>
      <c r="CK1579" s="554"/>
      <c r="CL1579" s="554"/>
      <c r="CM1579" s="554"/>
      <c r="CN1579" s="554"/>
      <c r="CO1579" s="554"/>
      <c r="CP1579" s="619"/>
      <c r="CQ1579" s="619"/>
      <c r="CR1579" s="554"/>
      <c r="CS1579" s="554"/>
      <c r="CT1579" s="554"/>
      <c r="CU1579" s="554"/>
      <c r="CV1579" s="554"/>
      <c r="CW1579" s="554"/>
      <c r="CX1579" s="619"/>
      <c r="CY1579" s="619"/>
      <c r="CZ1579" s="619"/>
      <c r="DA1579" s="619"/>
      <c r="DB1579" s="619"/>
      <c r="DC1579" s="619"/>
      <c r="DD1579" s="619"/>
      <c r="DE1579" s="619"/>
      <c r="DF1579" s="619"/>
      <c r="DG1579" s="619"/>
      <c r="DH1579" s="619"/>
    </row>
    <row r="1580" s="550" customFormat="1" ht="31" customHeight="1" spans="1:113">
      <c r="A1580" s="608">
        <v>46151</v>
      </c>
      <c r="B1580" s="609" t="s">
        <v>9868</v>
      </c>
      <c r="C1580" s="610" t="s">
        <v>128</v>
      </c>
      <c r="D1580" s="727">
        <v>4500206040</v>
      </c>
      <c r="E1580" s="613">
        <v>1082759</v>
      </c>
      <c r="F1580" s="554" t="s">
        <v>9869</v>
      </c>
      <c r="G1580" s="610" t="s">
        <v>6040</v>
      </c>
      <c r="H1580" s="610" t="s">
        <v>6041</v>
      </c>
      <c r="I1580" s="715">
        <v>364</v>
      </c>
      <c r="J1580" s="610">
        <v>0</v>
      </c>
      <c r="K1580" s="610">
        <v>52</v>
      </c>
      <c r="L1580" s="611">
        <f t="shared" si="610"/>
        <v>7</v>
      </c>
      <c r="M1580" s="612">
        <v>46195</v>
      </c>
      <c r="N1580" s="724">
        <v>46193</v>
      </c>
      <c r="O1580" s="613"/>
      <c r="P1580" s="610" t="s">
        <v>113</v>
      </c>
      <c r="Q1580" s="614">
        <v>46214</v>
      </c>
      <c r="R1580" s="614">
        <v>46151</v>
      </c>
      <c r="S1580" s="614" t="s">
        <v>70</v>
      </c>
      <c r="T1580" s="614" t="s">
        <v>9870</v>
      </c>
      <c r="U1580" s="818"/>
      <c r="V1580" s="818"/>
      <c r="W1580" s="819"/>
      <c r="X1580" s="820" t="s">
        <v>9871</v>
      </c>
      <c r="Y1580" s="616" t="s">
        <v>9872</v>
      </c>
      <c r="Z1580" s="609">
        <v>0.9332</v>
      </c>
      <c r="AA1580" s="616">
        <f t="shared" ref="AA1578:AA1584" si="624">Z1580*I1580</f>
        <v>339.6848</v>
      </c>
      <c r="AB1580" s="573"/>
      <c r="AC1580" s="697"/>
      <c r="AD1580" s="610" t="s">
        <v>6255</v>
      </c>
      <c r="AE1580" s="610" t="s">
        <v>82</v>
      </c>
      <c r="AF1580" s="610"/>
      <c r="AG1580" s="610"/>
      <c r="AH1580" s="609"/>
      <c r="AI1580" s="609">
        <v>364</v>
      </c>
      <c r="AJ1580" s="610">
        <f t="shared" si="623"/>
        <v>0</v>
      </c>
      <c r="AK1580" s="613"/>
      <c r="AL1580" s="610" t="s">
        <v>2368</v>
      </c>
      <c r="AM1580" s="610"/>
      <c r="AN1580" s="554"/>
      <c r="AO1580" s="554">
        <f>I1580</f>
        <v>364</v>
      </c>
      <c r="AP1580" s="554">
        <f>I1580</f>
        <v>364</v>
      </c>
      <c r="AQ1580" s="554"/>
      <c r="AR1580" s="619"/>
      <c r="AS1580" s="554"/>
      <c r="AT1580" s="554"/>
      <c r="AU1580" s="554"/>
      <c r="AV1580" s="554">
        <f>I1580</f>
        <v>364</v>
      </c>
      <c r="AW1580" s="554"/>
      <c r="AX1580" s="714"/>
      <c r="AY1580" s="554"/>
      <c r="AZ1580" s="554"/>
      <c r="BA1580" s="554"/>
      <c r="BB1580" s="620">
        <f>I1580/24</f>
        <v>15.1666666666667</v>
      </c>
      <c r="BC1580" s="554"/>
      <c r="BD1580" s="554"/>
      <c r="BE1580" s="554"/>
      <c r="BF1580" s="554"/>
      <c r="BG1580" s="550"/>
      <c r="BH1580" s="554"/>
      <c r="BI1580" s="554"/>
      <c r="BJ1580" s="554"/>
      <c r="BK1580" s="554"/>
      <c r="BL1580" s="554"/>
      <c r="BM1580" s="554">
        <f>I1580/13</f>
        <v>28</v>
      </c>
      <c r="BN1580" s="554"/>
      <c r="BO1580" s="554"/>
      <c r="BP1580" s="554"/>
      <c r="BQ1580" s="554"/>
      <c r="BR1580" s="554"/>
      <c r="BS1580" s="554"/>
      <c r="BT1580" s="554"/>
      <c r="BU1580" s="554"/>
      <c r="BV1580" s="554"/>
      <c r="BW1580" s="554"/>
      <c r="BX1580" s="554"/>
      <c r="BY1580" s="554"/>
      <c r="BZ1580" s="554"/>
      <c r="CA1580" s="720"/>
      <c r="CB1580" s="555"/>
      <c r="CC1580" s="721"/>
      <c r="CD1580" s="554"/>
      <c r="CE1580" s="554"/>
      <c r="CF1580" s="554"/>
      <c r="CG1580" s="720"/>
      <c r="CH1580" s="555"/>
      <c r="CI1580" s="721"/>
      <c r="CJ1580" s="554"/>
      <c r="CK1580" s="554"/>
      <c r="CL1580" s="554"/>
      <c r="CM1580" s="554"/>
      <c r="CN1580" s="554"/>
      <c r="CO1580" s="554"/>
      <c r="CP1580" s="619"/>
      <c r="CQ1580" s="619"/>
      <c r="CR1580" s="554"/>
      <c r="CS1580" s="554"/>
      <c r="CT1580" s="554"/>
      <c r="CU1580" s="554">
        <f t="shared" ref="CU1578:CU1643" si="625">BQ1580+BP1580+BO1580+BN1580+BX1580+BR1580</f>
        <v>0</v>
      </c>
      <c r="CV1580" s="554">
        <f>CK1580+CL1580+CM1580+CN1580+CO1580+CQ1580+CP1580</f>
        <v>0</v>
      </c>
      <c r="CW1580" s="554">
        <f>CI1580+CJ1580</f>
        <v>0</v>
      </c>
      <c r="CX1580" s="619"/>
      <c r="CY1580" s="619"/>
      <c r="CZ1580" s="619"/>
      <c r="DA1580" s="619"/>
      <c r="DB1580" s="619"/>
      <c r="DC1580" s="619"/>
      <c r="DD1580" s="619"/>
      <c r="DE1580" s="619"/>
      <c r="DF1580" s="619"/>
      <c r="DG1580" s="619"/>
      <c r="DH1580" s="619"/>
    </row>
    <row r="1581" s="550" customFormat="1" ht="31" customHeight="1" spans="1:113">
      <c r="A1581" s="608">
        <v>46151</v>
      </c>
      <c r="B1581" s="609" t="s">
        <v>9868</v>
      </c>
      <c r="C1581" s="610" t="s">
        <v>128</v>
      </c>
      <c r="D1581" s="727">
        <v>4500206040</v>
      </c>
      <c r="E1581" s="613">
        <v>1082765</v>
      </c>
      <c r="F1581" s="554" t="s">
        <v>9873</v>
      </c>
      <c r="G1581" s="610" t="s">
        <v>6040</v>
      </c>
      <c r="H1581" s="610" t="s">
        <v>6041</v>
      </c>
      <c r="I1581" s="715">
        <v>468</v>
      </c>
      <c r="J1581" s="610">
        <v>0</v>
      </c>
      <c r="K1581" s="610">
        <v>52</v>
      </c>
      <c r="L1581" s="611">
        <f t="shared" si="610"/>
        <v>9</v>
      </c>
      <c r="M1581" s="612">
        <v>46195</v>
      </c>
      <c r="N1581" s="724">
        <v>46193</v>
      </c>
      <c r="O1581" s="613"/>
      <c r="P1581" s="610" t="s">
        <v>113</v>
      </c>
      <c r="Q1581" s="614">
        <v>46214</v>
      </c>
      <c r="R1581" s="614">
        <v>46151</v>
      </c>
      <c r="S1581" s="614" t="s">
        <v>70</v>
      </c>
      <c r="T1581" s="614" t="s">
        <v>9870</v>
      </c>
      <c r="U1581" s="818"/>
      <c r="V1581" s="818"/>
      <c r="W1581" s="819"/>
      <c r="X1581" s="820" t="s">
        <v>9874</v>
      </c>
      <c r="Y1581" s="616" t="s">
        <v>9872</v>
      </c>
      <c r="Z1581" s="609">
        <v>0.9902</v>
      </c>
      <c r="AA1581" s="616">
        <f t="shared" si="624"/>
        <v>463.4136</v>
      </c>
      <c r="AB1581" s="573"/>
      <c r="AC1581" s="697"/>
      <c r="AD1581" s="610" t="s">
        <v>6255</v>
      </c>
      <c r="AE1581" s="610" t="s">
        <v>82</v>
      </c>
      <c r="AF1581" s="610"/>
      <c r="AG1581" s="610"/>
      <c r="AH1581" s="609"/>
      <c r="AI1581" s="609">
        <v>468</v>
      </c>
      <c r="AJ1581" s="610">
        <f t="shared" si="623"/>
        <v>0</v>
      </c>
      <c r="AK1581" s="613"/>
      <c r="AL1581" s="610" t="s">
        <v>2368</v>
      </c>
      <c r="AM1581" s="610"/>
      <c r="AN1581" s="554"/>
      <c r="AO1581" s="554">
        <f>I1581</f>
        <v>468</v>
      </c>
      <c r="AP1581" s="554">
        <f>I1581</f>
        <v>468</v>
      </c>
      <c r="AQ1581" s="554"/>
      <c r="AR1581" s="619"/>
      <c r="AS1581" s="554"/>
      <c r="AT1581" s="554"/>
      <c r="AU1581" s="554"/>
      <c r="AV1581" s="554">
        <f>I1581</f>
        <v>468</v>
      </c>
      <c r="AW1581" s="554"/>
      <c r="AX1581" s="714"/>
      <c r="AY1581" s="554"/>
      <c r="AZ1581" s="554"/>
      <c r="BA1581" s="554"/>
      <c r="BB1581" s="620">
        <f>I1581/24</f>
        <v>19.5</v>
      </c>
      <c r="BC1581" s="554"/>
      <c r="BD1581" s="554"/>
      <c r="BE1581" s="554"/>
      <c r="BF1581" s="554"/>
      <c r="BG1581" s="550"/>
      <c r="BH1581" s="554"/>
      <c r="BI1581" s="554"/>
      <c r="BJ1581" s="554"/>
      <c r="BK1581" s="554"/>
      <c r="BL1581" s="554"/>
      <c r="BM1581" s="554">
        <f>I1581/13</f>
        <v>36</v>
      </c>
      <c r="BN1581" s="554"/>
      <c r="BO1581" s="554"/>
      <c r="BP1581" s="554"/>
      <c r="BQ1581" s="554"/>
      <c r="BR1581" s="554"/>
      <c r="BS1581" s="554"/>
      <c r="BT1581" s="554"/>
      <c r="BU1581" s="554"/>
      <c r="BV1581" s="554"/>
      <c r="BW1581" s="554"/>
      <c r="BX1581" s="554"/>
      <c r="BY1581" s="554"/>
      <c r="BZ1581" s="554"/>
      <c r="CA1581" s="720"/>
      <c r="CB1581" s="555"/>
      <c r="CC1581" s="721"/>
      <c r="CD1581" s="554"/>
      <c r="CE1581" s="554"/>
      <c r="CF1581" s="554"/>
      <c r="CG1581" s="720"/>
      <c r="CH1581" s="555"/>
      <c r="CI1581" s="721"/>
      <c r="CJ1581" s="554"/>
      <c r="CK1581" s="554"/>
      <c r="CL1581" s="554"/>
      <c r="CM1581" s="554"/>
      <c r="CN1581" s="554"/>
      <c r="CO1581" s="554"/>
      <c r="CP1581" s="619"/>
      <c r="CQ1581" s="619"/>
      <c r="CR1581" s="554"/>
      <c r="CS1581" s="554"/>
      <c r="CT1581" s="554"/>
      <c r="CU1581" s="554">
        <f t="shared" si="625"/>
        <v>0</v>
      </c>
      <c r="CV1581" s="554">
        <f>CK1581+CL1581+CM1581+CN1581+CO1581+CQ1581+CP1581</f>
        <v>0</v>
      </c>
      <c r="CW1581" s="554">
        <f>CI1581+CJ1581</f>
        <v>0</v>
      </c>
      <c r="CX1581" s="619"/>
      <c r="CY1581" s="619"/>
      <c r="CZ1581" s="619"/>
      <c r="DA1581" s="619"/>
      <c r="DB1581" s="619"/>
      <c r="DC1581" s="619"/>
      <c r="DD1581" s="619"/>
      <c r="DE1581" s="619"/>
      <c r="DF1581" s="619"/>
      <c r="DG1581" s="619"/>
      <c r="DH1581" s="619"/>
    </row>
    <row r="1582" s="550" customFormat="1" ht="31" customHeight="1" spans="1:113">
      <c r="A1582" s="608">
        <v>46149</v>
      </c>
      <c r="B1582" s="609" t="s">
        <v>325</v>
      </c>
      <c r="C1582" s="610" t="s">
        <v>98</v>
      </c>
      <c r="D1582" s="727">
        <v>4500205507</v>
      </c>
      <c r="E1582" s="610" t="s">
        <v>9875</v>
      </c>
      <c r="F1582" s="554" t="s">
        <v>9876</v>
      </c>
      <c r="G1582" s="610" t="s">
        <v>6084</v>
      </c>
      <c r="H1582" s="610" t="s">
        <v>6069</v>
      </c>
      <c r="I1582" s="715">
        <v>6550</v>
      </c>
      <c r="J1582" s="610">
        <v>0</v>
      </c>
      <c r="K1582" s="610">
        <v>25</v>
      </c>
      <c r="L1582" s="611">
        <f t="shared" si="610"/>
        <v>262</v>
      </c>
      <c r="M1582" s="612">
        <v>46195</v>
      </c>
      <c r="N1582" s="724">
        <v>46195</v>
      </c>
      <c r="O1582" s="613"/>
      <c r="P1582" s="610" t="s">
        <v>113</v>
      </c>
      <c r="Q1582" s="614">
        <v>46206</v>
      </c>
      <c r="R1582" s="614">
        <v>46163</v>
      </c>
      <c r="S1582" s="614" t="s">
        <v>104</v>
      </c>
      <c r="T1582" s="614" t="s">
        <v>9877</v>
      </c>
      <c r="U1582" s="614"/>
      <c r="V1582" s="614"/>
      <c r="W1582" s="573"/>
      <c r="X1582" s="609" t="s">
        <v>9878</v>
      </c>
      <c r="Y1582" s="616" t="s">
        <v>252</v>
      </c>
      <c r="Z1582" s="609">
        <v>0.5777</v>
      </c>
      <c r="AA1582" s="616">
        <f t="shared" si="624"/>
        <v>3783.935</v>
      </c>
      <c r="AB1582" s="573"/>
      <c r="AC1582" s="678" t="s">
        <v>9879</v>
      </c>
      <c r="AD1582" s="610" t="s">
        <v>6084</v>
      </c>
      <c r="AE1582" s="610" t="s">
        <v>82</v>
      </c>
      <c r="AF1582" s="610"/>
      <c r="AG1582" s="610"/>
      <c r="AH1582" s="609"/>
      <c r="AI1582" s="609">
        <v>6550</v>
      </c>
      <c r="AJ1582" s="610">
        <f t="shared" si="623"/>
        <v>0</v>
      </c>
      <c r="AK1582" s="613"/>
      <c r="AL1582" s="610" t="s">
        <v>2368</v>
      </c>
      <c r="AM1582" s="610"/>
      <c r="AN1582" s="554">
        <f>I1582</f>
        <v>6550</v>
      </c>
      <c r="AO1582" s="554"/>
      <c r="AP1582" s="554">
        <f>I1582</f>
        <v>6550</v>
      </c>
      <c r="AQ1582" s="554"/>
      <c r="AR1582" s="619"/>
      <c r="AS1582" s="554"/>
      <c r="AT1582" s="554"/>
      <c r="AU1582" s="554">
        <f>I1582</f>
        <v>6550</v>
      </c>
      <c r="AV1582" s="554"/>
      <c r="AW1582" s="554"/>
      <c r="AX1582" s="714"/>
      <c r="AY1582" s="554"/>
      <c r="AZ1582" s="554"/>
      <c r="BA1582" s="554"/>
      <c r="BB1582" s="620">
        <f>I1582/48</f>
        <v>136.458333333333</v>
      </c>
      <c r="BC1582" s="554"/>
      <c r="BD1582" s="554"/>
      <c r="BE1582" s="554"/>
      <c r="BF1582" s="554"/>
      <c r="BG1582" s="550"/>
      <c r="BH1582" s="554"/>
      <c r="BI1582" s="554"/>
      <c r="BJ1582" s="554"/>
      <c r="BK1582" s="554"/>
      <c r="BL1582" s="554"/>
      <c r="BM1582" s="554"/>
      <c r="BN1582" s="554">
        <f>I1582/25</f>
        <v>262</v>
      </c>
      <c r="BO1582" s="554"/>
      <c r="BP1582" s="554"/>
      <c r="BQ1582" s="554"/>
      <c r="BR1582" s="554"/>
      <c r="BS1582" s="554"/>
      <c r="BT1582" s="554"/>
      <c r="BU1582" s="554"/>
      <c r="BV1582" s="554"/>
      <c r="BW1582" s="554"/>
      <c r="BX1582" s="554"/>
      <c r="BY1582" s="554"/>
      <c r="BZ1582" s="554"/>
      <c r="CA1582" s="720"/>
      <c r="CB1582" s="555"/>
      <c r="CC1582" s="721"/>
      <c r="CD1582" s="554"/>
      <c r="CE1582" s="554"/>
      <c r="CF1582" s="554"/>
      <c r="CG1582" s="554"/>
      <c r="CH1582" s="550"/>
      <c r="CI1582" s="554"/>
      <c r="CJ1582" s="554"/>
      <c r="CK1582" s="554"/>
      <c r="CL1582" s="554"/>
      <c r="CM1582" s="554"/>
      <c r="CN1582" s="554"/>
      <c r="CO1582" s="554"/>
      <c r="CP1582" s="619"/>
      <c r="CQ1582" s="619"/>
      <c r="CR1582" s="554"/>
      <c r="CS1582" s="554"/>
      <c r="CT1582" s="554"/>
      <c r="CU1582" s="554">
        <f t="shared" si="625"/>
        <v>262</v>
      </c>
      <c r="CV1582" s="554">
        <f>CK1582+CL1582+CM1582+CN1582+CO1582+CQ1582+CP1582</f>
        <v>0</v>
      </c>
      <c r="CW1582" s="554">
        <f>CI1582+CJ1582</f>
        <v>0</v>
      </c>
      <c r="CX1582" s="619"/>
      <c r="CY1582" s="619"/>
      <c r="CZ1582" s="619"/>
      <c r="DA1582" s="619"/>
      <c r="DB1582" s="619"/>
      <c r="DC1582" s="619"/>
      <c r="DD1582" s="619"/>
      <c r="DE1582" s="619"/>
      <c r="DF1582" s="619"/>
      <c r="DG1582" s="619"/>
      <c r="DH1582" s="619"/>
    </row>
    <row r="1583" s="550" customFormat="1" ht="31" customHeight="1" spans="1:113">
      <c r="A1583" s="608">
        <v>46142</v>
      </c>
      <c r="B1583" s="609" t="s">
        <v>325</v>
      </c>
      <c r="C1583" s="610" t="s">
        <v>98</v>
      </c>
      <c r="D1583" s="727">
        <v>4500204789</v>
      </c>
      <c r="E1583" s="610" t="s">
        <v>9880</v>
      </c>
      <c r="F1583" s="554" t="s">
        <v>9881</v>
      </c>
      <c r="G1583" s="610" t="s">
        <v>6084</v>
      </c>
      <c r="H1583" s="610" t="s">
        <v>6069</v>
      </c>
      <c r="I1583" s="715">
        <v>100000</v>
      </c>
      <c r="J1583" s="610">
        <v>0</v>
      </c>
      <c r="K1583" s="610">
        <v>25</v>
      </c>
      <c r="L1583" s="611">
        <f t="shared" si="610"/>
        <v>4000</v>
      </c>
      <c r="M1583" s="612">
        <v>46195</v>
      </c>
      <c r="N1583" s="724">
        <v>46195</v>
      </c>
      <c r="O1583" s="613"/>
      <c r="P1583" s="610" t="s">
        <v>113</v>
      </c>
      <c r="Q1583" s="614">
        <v>46203</v>
      </c>
      <c r="R1583" s="614">
        <v>46164</v>
      </c>
      <c r="S1583" s="614" t="s">
        <v>104</v>
      </c>
      <c r="T1583" s="614" t="s">
        <v>9882</v>
      </c>
      <c r="U1583" s="614"/>
      <c r="V1583" s="614"/>
      <c r="W1583" s="573"/>
      <c r="X1583" s="609" t="s">
        <v>9878</v>
      </c>
      <c r="Y1583" s="616" t="s">
        <v>252</v>
      </c>
      <c r="Z1583" s="609">
        <v>0.5655</v>
      </c>
      <c r="AA1583" s="616">
        <f t="shared" si="624"/>
        <v>56550</v>
      </c>
      <c r="AB1583" s="573"/>
      <c r="AC1583" s="637" t="s">
        <v>9883</v>
      </c>
      <c r="AD1583" s="610" t="s">
        <v>6084</v>
      </c>
      <c r="AE1583" s="610" t="s">
        <v>82</v>
      </c>
      <c r="AF1583" s="610"/>
      <c r="AG1583" s="610"/>
      <c r="AH1583" s="609"/>
      <c r="AI1583" s="609">
        <f>35175+59575+5250</f>
        <v>100000</v>
      </c>
      <c r="AJ1583" s="610">
        <f t="shared" si="623"/>
        <v>0</v>
      </c>
      <c r="AK1583" s="613"/>
      <c r="AL1583" s="610" t="s">
        <v>2368</v>
      </c>
      <c r="AM1583" s="610"/>
      <c r="AN1583" s="554">
        <f>I1583</f>
        <v>100000</v>
      </c>
      <c r="AO1583" s="554"/>
      <c r="AP1583" s="554">
        <f>I1583</f>
        <v>100000</v>
      </c>
      <c r="AQ1583" s="554"/>
      <c r="AR1583" s="619"/>
      <c r="AS1583" s="554"/>
      <c r="AT1583" s="554"/>
      <c r="AU1583" s="554">
        <f>I1583</f>
        <v>100000</v>
      </c>
      <c r="AV1583" s="554"/>
      <c r="AW1583" s="554"/>
      <c r="AX1583" s="714"/>
      <c r="AY1583" s="554"/>
      <c r="AZ1583" s="554"/>
      <c r="BA1583" s="554"/>
      <c r="BB1583" s="620">
        <f>I1583/48</f>
        <v>2083.33333333333</v>
      </c>
      <c r="BC1583" s="554"/>
      <c r="BD1583" s="554"/>
      <c r="BE1583" s="554"/>
      <c r="BF1583" s="554"/>
      <c r="BG1583" s="550"/>
      <c r="BH1583" s="554"/>
      <c r="BI1583" s="554"/>
      <c r="BJ1583" s="554"/>
      <c r="BK1583" s="554"/>
      <c r="BL1583" s="554"/>
      <c r="BM1583" s="554"/>
      <c r="BN1583" s="554">
        <f>I1583/25</f>
        <v>4000</v>
      </c>
      <c r="BO1583" s="554"/>
      <c r="BP1583" s="554"/>
      <c r="BQ1583" s="554"/>
      <c r="BR1583" s="554"/>
      <c r="BS1583" s="554"/>
      <c r="BT1583" s="554"/>
      <c r="BU1583" s="554"/>
      <c r="BV1583" s="554"/>
      <c r="BW1583" s="554"/>
      <c r="BX1583" s="554"/>
      <c r="BY1583" s="554"/>
      <c r="BZ1583" s="554"/>
      <c r="CA1583" s="720"/>
      <c r="CB1583" s="555"/>
      <c r="CC1583" s="721"/>
      <c r="CD1583" s="554"/>
      <c r="CE1583" s="554"/>
      <c r="CF1583" s="554"/>
      <c r="CG1583" s="554"/>
      <c r="CH1583" s="550"/>
      <c r="CI1583" s="554"/>
      <c r="CJ1583" s="554"/>
      <c r="CK1583" s="554"/>
      <c r="CL1583" s="554"/>
      <c r="CM1583" s="554"/>
      <c r="CN1583" s="554"/>
      <c r="CO1583" s="554"/>
      <c r="CP1583" s="619"/>
      <c r="CQ1583" s="619"/>
      <c r="CR1583" s="554"/>
      <c r="CS1583" s="554"/>
      <c r="CT1583" s="554"/>
      <c r="CU1583" s="554">
        <f t="shared" si="625"/>
        <v>4000</v>
      </c>
      <c r="CV1583" s="554">
        <f>CK1583+CL1583+CM1583+CN1583+CO1583+CQ1583+CP1583</f>
        <v>0</v>
      </c>
      <c r="CW1583" s="554">
        <f>CI1583+CJ1583</f>
        <v>0</v>
      </c>
      <c r="CX1583" s="619"/>
      <c r="CY1583" s="619"/>
      <c r="CZ1583" s="619"/>
      <c r="DA1583" s="619"/>
      <c r="DB1583" s="619"/>
      <c r="DC1583" s="619"/>
      <c r="DD1583" s="619"/>
      <c r="DE1583" s="619"/>
      <c r="DF1583" s="619"/>
      <c r="DG1583" s="619"/>
      <c r="DH1583" s="619"/>
    </row>
    <row r="1584" s="550" customFormat="1" ht="31" customHeight="1" spans="1:113">
      <c r="A1584" s="608">
        <v>46154</v>
      </c>
      <c r="B1584" s="609" t="s">
        <v>4087</v>
      </c>
      <c r="C1584" s="610" t="s">
        <v>399</v>
      </c>
      <c r="D1584" s="727">
        <v>4500206580</v>
      </c>
      <c r="E1584" s="731">
        <v>2000010355</v>
      </c>
      <c r="F1584" s="554" t="s">
        <v>9884</v>
      </c>
      <c r="G1584" s="610" t="s">
        <v>6043</v>
      </c>
      <c r="H1584" s="610" t="s">
        <v>6110</v>
      </c>
      <c r="I1584" s="715">
        <v>3000</v>
      </c>
      <c r="J1584" s="610">
        <v>0</v>
      </c>
      <c r="K1584" s="610">
        <v>50</v>
      </c>
      <c r="L1584" s="611">
        <f t="shared" si="610"/>
        <v>60</v>
      </c>
      <c r="M1584" s="612">
        <v>46198</v>
      </c>
      <c r="N1584" s="612">
        <v>46195</v>
      </c>
      <c r="O1584" s="737" t="s">
        <v>3368</v>
      </c>
      <c r="P1584" s="610" t="s">
        <v>113</v>
      </c>
      <c r="Q1584" s="614">
        <v>46238</v>
      </c>
      <c r="R1584" s="614">
        <v>46164</v>
      </c>
      <c r="S1584" s="614" t="s">
        <v>70</v>
      </c>
      <c r="T1584" s="614" t="s">
        <v>9885</v>
      </c>
      <c r="U1584" s="614"/>
      <c r="V1584" s="730" t="s">
        <v>4543</v>
      </c>
      <c r="W1584" s="730" t="s">
        <v>9886</v>
      </c>
      <c r="X1584" s="738" t="s">
        <v>9887</v>
      </c>
      <c r="Y1584" s="616" t="s">
        <v>415</v>
      </c>
      <c r="Z1584" s="609">
        <v>0.9575</v>
      </c>
      <c r="AA1584" s="616">
        <f t="shared" si="624"/>
        <v>2872.5</v>
      </c>
      <c r="AB1584" s="573"/>
      <c r="AC1584" s="697"/>
      <c r="AD1584" s="609" t="s">
        <v>6043</v>
      </c>
      <c r="AE1584" s="610" t="s">
        <v>82</v>
      </c>
      <c r="AF1584" s="610"/>
      <c r="AG1584" s="610"/>
      <c r="AH1584" s="609"/>
      <c r="AI1584" s="609">
        <f>2950+50</f>
        <v>3000</v>
      </c>
      <c r="AJ1584" s="610">
        <f t="shared" si="623"/>
        <v>0</v>
      </c>
      <c r="AK1584" s="613"/>
      <c r="AL1584" s="610" t="s">
        <v>2368</v>
      </c>
      <c r="AM1584" s="610"/>
      <c r="AN1584" s="554"/>
      <c r="AO1584" s="554">
        <f>I1584</f>
        <v>3000</v>
      </c>
      <c r="AP1584" s="554"/>
      <c r="AQ1584" s="554"/>
      <c r="AR1584" s="619"/>
      <c r="AS1584" s="554"/>
      <c r="AT1584" s="554">
        <f>I1584</f>
        <v>3000</v>
      </c>
      <c r="AU1584" s="554"/>
      <c r="AV1584" s="554">
        <f>I1584</f>
        <v>3000</v>
      </c>
      <c r="AW1584" s="554"/>
      <c r="AX1584" s="714"/>
      <c r="AY1584" s="554"/>
      <c r="AZ1584" s="554"/>
      <c r="BA1584" s="554"/>
      <c r="BB1584" s="620">
        <f>I1584/24</f>
        <v>125</v>
      </c>
      <c r="BC1584" s="554"/>
      <c r="BD1584" s="554"/>
      <c r="BE1584" s="554"/>
      <c r="BF1584" s="554"/>
      <c r="BG1584" s="550"/>
      <c r="BH1584" s="554"/>
      <c r="BI1584" s="554"/>
      <c r="BJ1584" s="554"/>
      <c r="BK1584" s="554"/>
      <c r="BL1584" s="554"/>
      <c r="BM1584" s="554"/>
      <c r="BN1584" s="554"/>
      <c r="BO1584" s="554"/>
      <c r="BP1584" s="554">
        <f>I1584/25</f>
        <v>120</v>
      </c>
      <c r="BQ1584" s="554"/>
      <c r="BR1584" s="554"/>
      <c r="BS1584" s="554"/>
      <c r="BT1584" s="554"/>
      <c r="BU1584" s="554"/>
      <c r="BV1584" s="554"/>
      <c r="BW1584" s="554"/>
      <c r="BX1584" s="554"/>
      <c r="BY1584" s="554"/>
      <c r="BZ1584" s="554"/>
      <c r="CA1584" s="720"/>
      <c r="CB1584" s="555"/>
      <c r="CC1584" s="721"/>
      <c r="CD1584" s="554"/>
      <c r="CE1584" s="554"/>
      <c r="CF1584" s="554"/>
      <c r="CG1584" s="554"/>
      <c r="CH1584" s="550"/>
      <c r="CI1584" s="554"/>
      <c r="CJ1584" s="554"/>
      <c r="CK1584" s="554"/>
      <c r="CL1584" s="554"/>
      <c r="CM1584" s="554"/>
      <c r="CN1584" s="554"/>
      <c r="CO1584" s="554"/>
      <c r="CP1584" s="619"/>
      <c r="CQ1584" s="619"/>
      <c r="CR1584" s="554"/>
      <c r="CS1584" s="554"/>
      <c r="CT1584" s="554"/>
      <c r="CU1584" s="554">
        <f t="shared" si="625"/>
        <v>120</v>
      </c>
      <c r="CV1584" s="554">
        <v>0</v>
      </c>
      <c r="CW1584" s="554">
        <v>0</v>
      </c>
      <c r="CX1584" s="619"/>
      <c r="CY1584" s="619"/>
      <c r="CZ1584" s="619"/>
      <c r="DA1584" s="619"/>
      <c r="DB1584" s="619"/>
      <c r="DC1584" s="619"/>
      <c r="DD1584" s="619"/>
      <c r="DE1584" s="619"/>
      <c r="DF1584" s="619"/>
      <c r="DG1584" s="619"/>
      <c r="DH1584" s="619"/>
    </row>
    <row r="1585" s="550" customFormat="1" ht="31" customHeight="1" spans="1:113">
      <c r="A1585" s="608">
        <v>46153</v>
      </c>
      <c r="B1585" s="609" t="s">
        <v>143</v>
      </c>
      <c r="C1585" s="610" t="s">
        <v>98</v>
      </c>
      <c r="D1585" s="727">
        <v>4500206382</v>
      </c>
      <c r="E1585" s="613">
        <v>999666850</v>
      </c>
      <c r="F1585" s="554" t="s">
        <v>9888</v>
      </c>
      <c r="G1585" s="610" t="s">
        <v>6063</v>
      </c>
      <c r="H1585" s="610" t="s">
        <v>6064</v>
      </c>
      <c r="I1585" s="715">
        <v>12480</v>
      </c>
      <c r="J1585" s="610">
        <v>0</v>
      </c>
      <c r="K1585" s="610">
        <v>16</v>
      </c>
      <c r="L1585" s="611">
        <f t="shared" ref="L1585:L1648" si="626">I1585/K1585</f>
        <v>780</v>
      </c>
      <c r="M1585" s="612">
        <v>46202</v>
      </c>
      <c r="N1585" s="612">
        <v>46198</v>
      </c>
      <c r="O1585" s="737" t="s">
        <v>3368</v>
      </c>
      <c r="P1585" s="610" t="s">
        <v>113</v>
      </c>
      <c r="Q1585" s="614" t="s">
        <v>4443</v>
      </c>
      <c r="R1585" s="614" t="s">
        <v>9889</v>
      </c>
      <c r="S1585" s="614" t="s">
        <v>70</v>
      </c>
      <c r="T1585" s="614" t="s">
        <v>9890</v>
      </c>
      <c r="U1585" s="614"/>
      <c r="V1585" s="614"/>
      <c r="W1585" s="573"/>
      <c r="X1585" s="609" t="s">
        <v>9891</v>
      </c>
      <c r="Y1585" s="616" t="s">
        <v>106</v>
      </c>
      <c r="Z1585" s="609">
        <v>0.599</v>
      </c>
      <c r="AA1585" s="616">
        <f t="shared" ref="AA1585:AA1603" si="627">Z1585*I1585</f>
        <v>7475.52</v>
      </c>
      <c r="AB1585" s="573"/>
      <c r="AC1585" s="678" t="s">
        <v>9892</v>
      </c>
      <c r="AD1585" s="610" t="s">
        <v>6063</v>
      </c>
      <c r="AE1585" s="610" t="s">
        <v>82</v>
      </c>
      <c r="AF1585" s="610"/>
      <c r="AG1585" s="610"/>
      <c r="AH1585" s="609"/>
      <c r="AI1585" s="609">
        <f>7872+4608</f>
        <v>12480</v>
      </c>
      <c r="AJ1585" s="610">
        <f t="shared" si="623"/>
        <v>0</v>
      </c>
      <c r="AK1585" s="613"/>
      <c r="AL1585" s="610" t="s">
        <v>2368</v>
      </c>
      <c r="AM1585" s="610"/>
      <c r="AN1585" s="554">
        <f t="shared" ref="AN1585:AN1591" si="628">I1585</f>
        <v>12480</v>
      </c>
      <c r="AO1585" s="554"/>
      <c r="AP1585" s="554">
        <f t="shared" ref="AP1585:AP1591" si="629">I1585</f>
        <v>12480</v>
      </c>
      <c r="AQ1585" s="554"/>
      <c r="AR1585" s="619"/>
      <c r="AS1585" s="554"/>
      <c r="AT1585" s="554"/>
      <c r="AU1585" s="554">
        <f t="shared" ref="AU1585:AU1591" si="630">I1585</f>
        <v>12480</v>
      </c>
      <c r="AV1585" s="554"/>
      <c r="AW1585" s="554"/>
      <c r="AX1585" s="714"/>
      <c r="AY1585" s="554"/>
      <c r="AZ1585" s="554"/>
      <c r="BA1585" s="554"/>
      <c r="BB1585" s="620">
        <f t="shared" ref="BB1585:BB1593" si="631">I1585/24</f>
        <v>520</v>
      </c>
      <c r="BC1585" s="554"/>
      <c r="BD1585" s="554"/>
      <c r="BE1585" s="554"/>
      <c r="BF1585" s="554"/>
      <c r="BG1585" s="550"/>
      <c r="BH1585" s="554"/>
      <c r="BI1585" s="554"/>
      <c r="BJ1585" s="554"/>
      <c r="BK1585" s="554"/>
      <c r="BL1585" s="554"/>
      <c r="BM1585" s="554"/>
      <c r="BN1585" s="554"/>
      <c r="BO1585" s="554"/>
      <c r="BP1585" s="554"/>
      <c r="BQ1585" s="554">
        <f t="shared" ref="BQ1585:BQ1591" si="632">I1585/16</f>
        <v>780</v>
      </c>
      <c r="BR1585" s="554"/>
      <c r="BS1585" s="554"/>
      <c r="BT1585" s="554"/>
      <c r="BU1585" s="554"/>
      <c r="BV1585" s="554"/>
      <c r="BW1585" s="554"/>
      <c r="BX1585" s="554"/>
      <c r="BY1585" s="554"/>
      <c r="BZ1585" s="554"/>
      <c r="CA1585" s="720"/>
      <c r="CB1585" s="555"/>
      <c r="CC1585" s="721"/>
      <c r="CD1585" s="554"/>
      <c r="CE1585" s="554"/>
      <c r="CF1585" s="554"/>
      <c r="CG1585" s="554"/>
      <c r="CH1585" s="550"/>
      <c r="CI1585" s="554"/>
      <c r="CJ1585" s="554"/>
      <c r="CK1585" s="554"/>
      <c r="CL1585" s="554"/>
      <c r="CM1585" s="554"/>
      <c r="CN1585" s="554"/>
      <c r="CO1585" s="554"/>
      <c r="CP1585" s="619"/>
      <c r="CQ1585" s="619"/>
      <c r="CR1585" s="554"/>
      <c r="CS1585" s="554"/>
      <c r="CT1585" s="554"/>
      <c r="CU1585" s="554">
        <f t="shared" si="625"/>
        <v>780</v>
      </c>
      <c r="CV1585" s="554">
        <f t="shared" ref="CV1585:CV1596" si="633">CK1585+CL1585+CM1585+CN1585+CO1585+CQ1585+CP1585</f>
        <v>0</v>
      </c>
      <c r="CW1585" s="554">
        <f t="shared" ref="CW1585:CW1596" si="634">CI1585+CJ1585</f>
        <v>0</v>
      </c>
      <c r="CX1585" s="619"/>
      <c r="CY1585" s="619"/>
      <c r="CZ1585" s="619"/>
      <c r="DA1585" s="619"/>
      <c r="DB1585" s="619"/>
      <c r="DC1585" s="619"/>
      <c r="DD1585" s="619"/>
      <c r="DE1585" s="619"/>
      <c r="DF1585" s="619"/>
      <c r="DG1585" s="619"/>
      <c r="DH1585" s="619"/>
    </row>
    <row r="1586" s="550" customFormat="1" ht="31" customHeight="1" spans="1:113">
      <c r="A1586" s="608">
        <v>46153</v>
      </c>
      <c r="B1586" s="609" t="s">
        <v>143</v>
      </c>
      <c r="C1586" s="610" t="s">
        <v>98</v>
      </c>
      <c r="D1586" s="727">
        <v>4500206382</v>
      </c>
      <c r="E1586" s="613">
        <v>999666856</v>
      </c>
      <c r="F1586" s="554" t="s">
        <v>9893</v>
      </c>
      <c r="G1586" s="610" t="s">
        <v>6063</v>
      </c>
      <c r="H1586" s="610" t="s">
        <v>6064</v>
      </c>
      <c r="I1586" s="715">
        <v>10560</v>
      </c>
      <c r="J1586" s="610">
        <v>0</v>
      </c>
      <c r="K1586" s="610">
        <v>16</v>
      </c>
      <c r="L1586" s="611">
        <f t="shared" si="626"/>
        <v>660</v>
      </c>
      <c r="M1586" s="612">
        <v>46202</v>
      </c>
      <c r="N1586" s="612">
        <v>46198</v>
      </c>
      <c r="O1586" s="737" t="s">
        <v>3368</v>
      </c>
      <c r="P1586" s="610" t="s">
        <v>113</v>
      </c>
      <c r="Q1586" s="614" t="s">
        <v>4443</v>
      </c>
      <c r="R1586" s="614" t="s">
        <v>9889</v>
      </c>
      <c r="S1586" s="614" t="s">
        <v>70</v>
      </c>
      <c r="T1586" s="614" t="s">
        <v>9890</v>
      </c>
      <c r="U1586" s="614"/>
      <c r="V1586" s="614"/>
      <c r="W1586" s="573"/>
      <c r="X1586" s="609" t="s">
        <v>9891</v>
      </c>
      <c r="Y1586" s="616" t="s">
        <v>106</v>
      </c>
      <c r="Z1586" s="609">
        <v>0.599</v>
      </c>
      <c r="AA1586" s="616">
        <f t="shared" si="627"/>
        <v>6325.44</v>
      </c>
      <c r="AB1586" s="573"/>
      <c r="AC1586" s="637" t="s">
        <v>9894</v>
      </c>
      <c r="AD1586" s="610" t="s">
        <v>6063</v>
      </c>
      <c r="AE1586" s="610" t="s">
        <v>82</v>
      </c>
      <c r="AF1586" s="610"/>
      <c r="AG1586" s="610"/>
      <c r="AH1586" s="609"/>
      <c r="AI1586" s="609">
        <v>10560</v>
      </c>
      <c r="AJ1586" s="610">
        <f t="shared" si="623"/>
        <v>0</v>
      </c>
      <c r="AK1586" s="613"/>
      <c r="AL1586" s="610" t="s">
        <v>2368</v>
      </c>
      <c r="AM1586" s="610"/>
      <c r="AN1586" s="554">
        <f t="shared" si="628"/>
        <v>10560</v>
      </c>
      <c r="AO1586" s="554"/>
      <c r="AP1586" s="554">
        <f t="shared" si="629"/>
        <v>10560</v>
      </c>
      <c r="AQ1586" s="554"/>
      <c r="AR1586" s="619"/>
      <c r="AS1586" s="554"/>
      <c r="AT1586" s="554"/>
      <c r="AU1586" s="554">
        <f t="shared" si="630"/>
        <v>10560</v>
      </c>
      <c r="AV1586" s="554"/>
      <c r="AW1586" s="554"/>
      <c r="AX1586" s="714"/>
      <c r="AY1586" s="554"/>
      <c r="AZ1586" s="554"/>
      <c r="BA1586" s="554"/>
      <c r="BB1586" s="620">
        <f t="shared" si="631"/>
        <v>440</v>
      </c>
      <c r="BC1586" s="554"/>
      <c r="BD1586" s="554"/>
      <c r="BE1586" s="554"/>
      <c r="BF1586" s="554"/>
      <c r="BG1586" s="550"/>
      <c r="BH1586" s="554"/>
      <c r="BI1586" s="554"/>
      <c r="BJ1586" s="554"/>
      <c r="BK1586" s="554"/>
      <c r="BL1586" s="554"/>
      <c r="BM1586" s="554"/>
      <c r="BN1586" s="554"/>
      <c r="BO1586" s="554"/>
      <c r="BP1586" s="554"/>
      <c r="BQ1586" s="554">
        <f t="shared" si="632"/>
        <v>660</v>
      </c>
      <c r="BR1586" s="554"/>
      <c r="BS1586" s="554"/>
      <c r="BT1586" s="554"/>
      <c r="BU1586" s="554"/>
      <c r="BV1586" s="554"/>
      <c r="BW1586" s="554"/>
      <c r="BX1586" s="554"/>
      <c r="BY1586" s="554"/>
      <c r="BZ1586" s="554"/>
      <c r="CA1586" s="720"/>
      <c r="CB1586" s="555"/>
      <c r="CC1586" s="721"/>
      <c r="CD1586" s="554"/>
      <c r="CE1586" s="554"/>
      <c r="CF1586" s="554"/>
      <c r="CG1586" s="554"/>
      <c r="CH1586" s="550"/>
      <c r="CI1586" s="554"/>
      <c r="CJ1586" s="554"/>
      <c r="CK1586" s="554"/>
      <c r="CL1586" s="554"/>
      <c r="CM1586" s="554"/>
      <c r="CN1586" s="554"/>
      <c r="CO1586" s="554"/>
      <c r="CP1586" s="619"/>
      <c r="CQ1586" s="619"/>
      <c r="CR1586" s="554"/>
      <c r="CS1586" s="554"/>
      <c r="CT1586" s="554"/>
      <c r="CU1586" s="554">
        <f t="shared" si="625"/>
        <v>660</v>
      </c>
      <c r="CV1586" s="554">
        <f t="shared" si="633"/>
        <v>0</v>
      </c>
      <c r="CW1586" s="554">
        <f t="shared" si="634"/>
        <v>0</v>
      </c>
      <c r="CX1586" s="619"/>
      <c r="CY1586" s="619"/>
      <c r="CZ1586" s="619"/>
      <c r="DA1586" s="619"/>
      <c r="DB1586" s="619"/>
      <c r="DC1586" s="619"/>
      <c r="DD1586" s="619"/>
      <c r="DE1586" s="619"/>
      <c r="DF1586" s="619"/>
      <c r="DG1586" s="619"/>
      <c r="DH1586" s="619"/>
    </row>
    <row r="1587" s="550" customFormat="1" ht="31" customHeight="1" spans="1:113">
      <c r="A1587" s="608">
        <v>46153</v>
      </c>
      <c r="B1587" s="609" t="s">
        <v>143</v>
      </c>
      <c r="C1587" s="610" t="s">
        <v>98</v>
      </c>
      <c r="D1587" s="727">
        <v>4500206382</v>
      </c>
      <c r="E1587" s="613">
        <v>999666878</v>
      </c>
      <c r="F1587" s="554" t="s">
        <v>9895</v>
      </c>
      <c r="G1587" s="610" t="s">
        <v>6063</v>
      </c>
      <c r="H1587" s="610" t="s">
        <v>6064</v>
      </c>
      <c r="I1587" s="715">
        <v>10560</v>
      </c>
      <c r="J1587" s="610">
        <v>0</v>
      </c>
      <c r="K1587" s="610">
        <v>16</v>
      </c>
      <c r="L1587" s="611">
        <f t="shared" si="626"/>
        <v>660</v>
      </c>
      <c r="M1587" s="612">
        <v>46202</v>
      </c>
      <c r="N1587" s="612">
        <v>46198</v>
      </c>
      <c r="O1587" s="737" t="s">
        <v>3368</v>
      </c>
      <c r="P1587" s="610" t="s">
        <v>113</v>
      </c>
      <c r="Q1587" s="614" t="s">
        <v>4443</v>
      </c>
      <c r="R1587" s="614" t="s">
        <v>9889</v>
      </c>
      <c r="S1587" s="614" t="s">
        <v>70</v>
      </c>
      <c r="T1587" s="614" t="s">
        <v>9890</v>
      </c>
      <c r="U1587" s="614"/>
      <c r="V1587" s="614"/>
      <c r="W1587" s="573"/>
      <c r="X1587" s="609" t="s">
        <v>4565</v>
      </c>
      <c r="Y1587" s="616" t="s">
        <v>106</v>
      </c>
      <c r="Z1587" s="609">
        <v>0.599</v>
      </c>
      <c r="AA1587" s="616">
        <f t="shared" si="627"/>
        <v>6325.44</v>
      </c>
      <c r="AB1587" s="573"/>
      <c r="AC1587" s="637" t="s">
        <v>9894</v>
      </c>
      <c r="AD1587" s="610" t="s">
        <v>6063</v>
      </c>
      <c r="AE1587" s="610" t="s">
        <v>82</v>
      </c>
      <c r="AF1587" s="610"/>
      <c r="AG1587" s="610"/>
      <c r="AH1587" s="609"/>
      <c r="AI1587" s="609">
        <v>10560</v>
      </c>
      <c r="AJ1587" s="610">
        <f t="shared" si="623"/>
        <v>0</v>
      </c>
      <c r="AK1587" s="613"/>
      <c r="AL1587" s="610" t="s">
        <v>2368</v>
      </c>
      <c r="AM1587" s="610"/>
      <c r="AN1587" s="554">
        <f t="shared" si="628"/>
        <v>10560</v>
      </c>
      <c r="AO1587" s="554"/>
      <c r="AP1587" s="554">
        <f t="shared" si="629"/>
        <v>10560</v>
      </c>
      <c r="AQ1587" s="554"/>
      <c r="AR1587" s="619"/>
      <c r="AS1587" s="554"/>
      <c r="AT1587" s="554"/>
      <c r="AU1587" s="554">
        <f t="shared" si="630"/>
        <v>10560</v>
      </c>
      <c r="AV1587" s="554"/>
      <c r="AW1587" s="554"/>
      <c r="AX1587" s="714"/>
      <c r="AY1587" s="554"/>
      <c r="AZ1587" s="554"/>
      <c r="BA1587" s="554"/>
      <c r="BB1587" s="620">
        <f t="shared" si="631"/>
        <v>440</v>
      </c>
      <c r="BC1587" s="554"/>
      <c r="BD1587" s="554"/>
      <c r="BE1587" s="554"/>
      <c r="BF1587" s="554"/>
      <c r="BG1587" s="550"/>
      <c r="BH1587" s="554"/>
      <c r="BI1587" s="554"/>
      <c r="BJ1587" s="554"/>
      <c r="BK1587" s="554"/>
      <c r="BL1587" s="554"/>
      <c r="BM1587" s="554"/>
      <c r="BN1587" s="554"/>
      <c r="BO1587" s="554"/>
      <c r="BP1587" s="554"/>
      <c r="BQ1587" s="554">
        <f t="shared" si="632"/>
        <v>660</v>
      </c>
      <c r="BR1587" s="554"/>
      <c r="BS1587" s="554"/>
      <c r="BT1587" s="554"/>
      <c r="BU1587" s="554"/>
      <c r="BV1587" s="554"/>
      <c r="BW1587" s="554"/>
      <c r="BX1587" s="554"/>
      <c r="BY1587" s="554"/>
      <c r="BZ1587" s="554"/>
      <c r="CA1587" s="720"/>
      <c r="CB1587" s="555"/>
      <c r="CC1587" s="721"/>
      <c r="CD1587" s="554"/>
      <c r="CE1587" s="554"/>
      <c r="CF1587" s="554"/>
      <c r="CG1587" s="554"/>
      <c r="CH1587" s="550"/>
      <c r="CI1587" s="554"/>
      <c r="CJ1587" s="554"/>
      <c r="CK1587" s="554"/>
      <c r="CL1587" s="554"/>
      <c r="CM1587" s="554"/>
      <c r="CN1587" s="554"/>
      <c r="CO1587" s="554"/>
      <c r="CP1587" s="619"/>
      <c r="CQ1587" s="619"/>
      <c r="CR1587" s="554"/>
      <c r="CS1587" s="554"/>
      <c r="CT1587" s="554"/>
      <c r="CU1587" s="554">
        <f t="shared" si="625"/>
        <v>660</v>
      </c>
      <c r="CV1587" s="554">
        <f t="shared" si="633"/>
        <v>0</v>
      </c>
      <c r="CW1587" s="554">
        <f t="shared" si="634"/>
        <v>0</v>
      </c>
      <c r="CX1587" s="619"/>
      <c r="CY1587" s="619"/>
      <c r="CZ1587" s="619"/>
      <c r="DA1587" s="619"/>
      <c r="DB1587" s="619"/>
      <c r="DC1587" s="619"/>
      <c r="DD1587" s="619"/>
      <c r="DE1587" s="619"/>
      <c r="DF1587" s="619"/>
      <c r="DG1587" s="619"/>
      <c r="DH1587" s="619"/>
    </row>
    <row r="1588" s="550" customFormat="1" ht="31" customHeight="1" spans="1:113">
      <c r="A1588" s="608">
        <v>46153</v>
      </c>
      <c r="B1588" s="609" t="s">
        <v>143</v>
      </c>
      <c r="C1588" s="610" t="s">
        <v>98</v>
      </c>
      <c r="D1588" s="727">
        <v>4500206382</v>
      </c>
      <c r="E1588" s="613">
        <v>999666933</v>
      </c>
      <c r="F1588" s="554" t="s">
        <v>9896</v>
      </c>
      <c r="G1588" s="610" t="s">
        <v>6063</v>
      </c>
      <c r="H1588" s="610" t="s">
        <v>6064</v>
      </c>
      <c r="I1588" s="715">
        <v>13440</v>
      </c>
      <c r="J1588" s="610">
        <v>0</v>
      </c>
      <c r="K1588" s="610">
        <v>16</v>
      </c>
      <c r="L1588" s="611">
        <f t="shared" si="626"/>
        <v>840</v>
      </c>
      <c r="M1588" s="612">
        <v>46202</v>
      </c>
      <c r="N1588" s="612">
        <v>46198</v>
      </c>
      <c r="O1588" s="737" t="s">
        <v>3368</v>
      </c>
      <c r="P1588" s="610" t="s">
        <v>113</v>
      </c>
      <c r="Q1588" s="614">
        <v>46216</v>
      </c>
      <c r="R1588" s="614" t="s">
        <v>9889</v>
      </c>
      <c r="S1588" s="614" t="s">
        <v>70</v>
      </c>
      <c r="T1588" s="614" t="s">
        <v>9890</v>
      </c>
      <c r="U1588" s="614"/>
      <c r="V1588" s="614"/>
      <c r="W1588" s="573"/>
      <c r="X1588" s="609" t="s">
        <v>9891</v>
      </c>
      <c r="Y1588" s="616" t="s">
        <v>106</v>
      </c>
      <c r="Z1588" s="609">
        <v>0.599</v>
      </c>
      <c r="AA1588" s="616">
        <f t="shared" si="627"/>
        <v>8050.56</v>
      </c>
      <c r="AB1588" s="573"/>
      <c r="AC1588" s="637" t="s">
        <v>9894</v>
      </c>
      <c r="AD1588" s="610" t="s">
        <v>6063</v>
      </c>
      <c r="AE1588" s="610" t="s">
        <v>82</v>
      </c>
      <c r="AF1588" s="610"/>
      <c r="AG1588" s="610"/>
      <c r="AH1588" s="609"/>
      <c r="AI1588" s="609">
        <v>13440</v>
      </c>
      <c r="AJ1588" s="610">
        <f t="shared" si="623"/>
        <v>0</v>
      </c>
      <c r="AK1588" s="613"/>
      <c r="AL1588" s="610" t="s">
        <v>2368</v>
      </c>
      <c r="AM1588" s="610"/>
      <c r="AN1588" s="554">
        <f t="shared" si="628"/>
        <v>13440</v>
      </c>
      <c r="AO1588" s="554"/>
      <c r="AP1588" s="554">
        <f t="shared" si="629"/>
        <v>13440</v>
      </c>
      <c r="AQ1588" s="554"/>
      <c r="AR1588" s="619"/>
      <c r="AS1588" s="554"/>
      <c r="AT1588" s="554"/>
      <c r="AU1588" s="554">
        <f t="shared" si="630"/>
        <v>13440</v>
      </c>
      <c r="AV1588" s="554"/>
      <c r="AW1588" s="554"/>
      <c r="AX1588" s="714"/>
      <c r="AY1588" s="554"/>
      <c r="AZ1588" s="554"/>
      <c r="BA1588" s="554"/>
      <c r="BB1588" s="620">
        <f t="shared" si="631"/>
        <v>560</v>
      </c>
      <c r="BC1588" s="554"/>
      <c r="BD1588" s="554"/>
      <c r="BE1588" s="554"/>
      <c r="BF1588" s="554"/>
      <c r="BG1588" s="550"/>
      <c r="BH1588" s="554"/>
      <c r="BI1588" s="554"/>
      <c r="BJ1588" s="554"/>
      <c r="BK1588" s="554"/>
      <c r="BL1588" s="554"/>
      <c r="BM1588" s="554"/>
      <c r="BN1588" s="554"/>
      <c r="BO1588" s="554"/>
      <c r="BP1588" s="554"/>
      <c r="BQ1588" s="554">
        <f t="shared" si="632"/>
        <v>840</v>
      </c>
      <c r="BR1588" s="554"/>
      <c r="BS1588" s="554"/>
      <c r="BT1588" s="554"/>
      <c r="BU1588" s="554"/>
      <c r="BV1588" s="554"/>
      <c r="BW1588" s="554"/>
      <c r="BX1588" s="554"/>
      <c r="BY1588" s="554"/>
      <c r="BZ1588" s="554"/>
      <c r="CA1588" s="720"/>
      <c r="CB1588" s="555"/>
      <c r="CC1588" s="721"/>
      <c r="CD1588" s="554"/>
      <c r="CE1588" s="554"/>
      <c r="CF1588" s="554"/>
      <c r="CG1588" s="554"/>
      <c r="CH1588" s="550"/>
      <c r="CI1588" s="554"/>
      <c r="CJ1588" s="554"/>
      <c r="CK1588" s="554"/>
      <c r="CL1588" s="554"/>
      <c r="CM1588" s="554"/>
      <c r="CN1588" s="554"/>
      <c r="CO1588" s="554"/>
      <c r="CP1588" s="619"/>
      <c r="CQ1588" s="619"/>
      <c r="CR1588" s="554"/>
      <c r="CS1588" s="554"/>
      <c r="CT1588" s="554"/>
      <c r="CU1588" s="554">
        <f t="shared" si="625"/>
        <v>840</v>
      </c>
      <c r="CV1588" s="554">
        <f t="shared" si="633"/>
        <v>0</v>
      </c>
      <c r="CW1588" s="554">
        <f t="shared" si="634"/>
        <v>0</v>
      </c>
      <c r="CX1588" s="619"/>
      <c r="CY1588" s="619"/>
      <c r="CZ1588" s="619"/>
      <c r="DA1588" s="619"/>
      <c r="DB1588" s="619"/>
      <c r="DC1588" s="619"/>
      <c r="DD1588" s="619"/>
      <c r="DE1588" s="619"/>
      <c r="DF1588" s="619"/>
      <c r="DG1588" s="619"/>
      <c r="DH1588" s="619"/>
    </row>
    <row r="1589" s="550" customFormat="1" ht="31" customHeight="1" spans="1:113">
      <c r="A1589" s="608">
        <v>46153</v>
      </c>
      <c r="B1589" s="609" t="s">
        <v>143</v>
      </c>
      <c r="C1589" s="610" t="s">
        <v>98</v>
      </c>
      <c r="D1589" s="727">
        <v>4500206382</v>
      </c>
      <c r="E1589" s="613">
        <v>999666968</v>
      </c>
      <c r="F1589" s="554" t="s">
        <v>9897</v>
      </c>
      <c r="G1589" s="610" t="s">
        <v>6063</v>
      </c>
      <c r="H1589" s="610" t="s">
        <v>6064</v>
      </c>
      <c r="I1589" s="715">
        <v>17280</v>
      </c>
      <c r="J1589" s="610">
        <v>0</v>
      </c>
      <c r="K1589" s="610">
        <v>16</v>
      </c>
      <c r="L1589" s="611">
        <f t="shared" si="626"/>
        <v>1080</v>
      </c>
      <c r="M1589" s="612">
        <v>46202</v>
      </c>
      <c r="N1589" s="612">
        <v>46198</v>
      </c>
      <c r="O1589" s="737" t="s">
        <v>3368</v>
      </c>
      <c r="P1589" s="610" t="s">
        <v>113</v>
      </c>
      <c r="Q1589" s="614">
        <v>46219</v>
      </c>
      <c r="R1589" s="614" t="s">
        <v>9889</v>
      </c>
      <c r="S1589" s="614" t="s">
        <v>70</v>
      </c>
      <c r="T1589" s="614" t="s">
        <v>9890</v>
      </c>
      <c r="U1589" s="614"/>
      <c r="V1589" s="614"/>
      <c r="W1589" s="573"/>
      <c r="X1589" s="609" t="s">
        <v>9891</v>
      </c>
      <c r="Y1589" s="616" t="s">
        <v>106</v>
      </c>
      <c r="Z1589" s="609">
        <v>0.599</v>
      </c>
      <c r="AA1589" s="616">
        <f t="shared" si="627"/>
        <v>10350.72</v>
      </c>
      <c r="AB1589" s="573"/>
      <c r="AC1589" s="678" t="s">
        <v>9898</v>
      </c>
      <c r="AD1589" s="610" t="s">
        <v>6063</v>
      </c>
      <c r="AE1589" s="610" t="s">
        <v>82</v>
      </c>
      <c r="AF1589" s="610"/>
      <c r="AG1589" s="610"/>
      <c r="AH1589" s="609"/>
      <c r="AI1589" s="609">
        <v>17280</v>
      </c>
      <c r="AJ1589" s="610">
        <f t="shared" si="623"/>
        <v>0</v>
      </c>
      <c r="AK1589" s="613"/>
      <c r="AL1589" s="610" t="s">
        <v>2368</v>
      </c>
      <c r="AM1589" s="610"/>
      <c r="AN1589" s="554">
        <f t="shared" si="628"/>
        <v>17280</v>
      </c>
      <c r="AO1589" s="554"/>
      <c r="AP1589" s="554">
        <f t="shared" si="629"/>
        <v>17280</v>
      </c>
      <c r="AQ1589" s="554"/>
      <c r="AR1589" s="619"/>
      <c r="AS1589" s="554"/>
      <c r="AT1589" s="554"/>
      <c r="AU1589" s="554">
        <f t="shared" si="630"/>
        <v>17280</v>
      </c>
      <c r="AV1589" s="554"/>
      <c r="AW1589" s="554"/>
      <c r="AX1589" s="714"/>
      <c r="AY1589" s="554"/>
      <c r="AZ1589" s="554"/>
      <c r="BA1589" s="554"/>
      <c r="BB1589" s="620">
        <f t="shared" si="631"/>
        <v>720</v>
      </c>
      <c r="BC1589" s="554"/>
      <c r="BD1589" s="554"/>
      <c r="BE1589" s="554"/>
      <c r="BF1589" s="554"/>
      <c r="BG1589" s="550"/>
      <c r="BH1589" s="554"/>
      <c r="BI1589" s="554"/>
      <c r="BJ1589" s="554"/>
      <c r="BK1589" s="554"/>
      <c r="BL1589" s="554"/>
      <c r="BM1589" s="554"/>
      <c r="BN1589" s="554"/>
      <c r="BO1589" s="554"/>
      <c r="BP1589" s="554"/>
      <c r="BQ1589" s="554">
        <f t="shared" si="632"/>
        <v>1080</v>
      </c>
      <c r="BR1589" s="554"/>
      <c r="BS1589" s="554"/>
      <c r="BT1589" s="554"/>
      <c r="BU1589" s="554"/>
      <c r="BV1589" s="554"/>
      <c r="BW1589" s="554"/>
      <c r="BX1589" s="554"/>
      <c r="BY1589" s="554"/>
      <c r="BZ1589" s="554"/>
      <c r="CA1589" s="720"/>
      <c r="CB1589" s="555"/>
      <c r="CC1589" s="721"/>
      <c r="CD1589" s="554"/>
      <c r="CE1589" s="554"/>
      <c r="CF1589" s="554"/>
      <c r="CG1589" s="554"/>
      <c r="CH1589" s="550"/>
      <c r="CI1589" s="554"/>
      <c r="CJ1589" s="554"/>
      <c r="CK1589" s="554"/>
      <c r="CL1589" s="554"/>
      <c r="CM1589" s="554"/>
      <c r="CN1589" s="554"/>
      <c r="CO1589" s="554"/>
      <c r="CP1589" s="619"/>
      <c r="CQ1589" s="619"/>
      <c r="CR1589" s="554"/>
      <c r="CS1589" s="554"/>
      <c r="CT1589" s="554"/>
      <c r="CU1589" s="554">
        <f t="shared" si="625"/>
        <v>1080</v>
      </c>
      <c r="CV1589" s="554">
        <f t="shared" si="633"/>
        <v>0</v>
      </c>
      <c r="CW1589" s="554">
        <f t="shared" si="634"/>
        <v>0</v>
      </c>
      <c r="CX1589" s="619"/>
      <c r="CY1589" s="619"/>
      <c r="CZ1589" s="619"/>
      <c r="DA1589" s="619"/>
      <c r="DB1589" s="619"/>
      <c r="DC1589" s="619"/>
      <c r="DD1589" s="619"/>
      <c r="DE1589" s="619"/>
      <c r="DF1589" s="619"/>
      <c r="DG1589" s="619"/>
      <c r="DH1589" s="619"/>
    </row>
    <row r="1590" s="550" customFormat="1" ht="31" customHeight="1" spans="1:113">
      <c r="A1590" s="608">
        <v>46153</v>
      </c>
      <c r="B1590" s="609" t="s">
        <v>143</v>
      </c>
      <c r="C1590" s="610" t="s">
        <v>98</v>
      </c>
      <c r="D1590" s="727">
        <v>4500206382</v>
      </c>
      <c r="E1590" s="613">
        <v>999666976</v>
      </c>
      <c r="F1590" s="554" t="s">
        <v>9899</v>
      </c>
      <c r="G1590" s="610" t="s">
        <v>6063</v>
      </c>
      <c r="H1590" s="610" t="s">
        <v>6064</v>
      </c>
      <c r="I1590" s="715">
        <v>18240</v>
      </c>
      <c r="J1590" s="610">
        <v>0</v>
      </c>
      <c r="K1590" s="610">
        <v>16</v>
      </c>
      <c r="L1590" s="611">
        <f t="shared" si="626"/>
        <v>1140</v>
      </c>
      <c r="M1590" s="612">
        <v>46202</v>
      </c>
      <c r="N1590" s="612">
        <v>46198</v>
      </c>
      <c r="O1590" s="737" t="s">
        <v>3368</v>
      </c>
      <c r="P1590" s="610" t="s">
        <v>113</v>
      </c>
      <c r="Q1590" s="614" t="s">
        <v>4443</v>
      </c>
      <c r="R1590" s="614" t="s">
        <v>9889</v>
      </c>
      <c r="S1590" s="614" t="s">
        <v>70</v>
      </c>
      <c r="T1590" s="614" t="s">
        <v>9890</v>
      </c>
      <c r="U1590" s="614"/>
      <c r="V1590" s="614"/>
      <c r="W1590" s="573"/>
      <c r="X1590" s="609" t="s">
        <v>9891</v>
      </c>
      <c r="Y1590" s="616" t="s">
        <v>106</v>
      </c>
      <c r="Z1590" s="609">
        <v>0.599</v>
      </c>
      <c r="AA1590" s="616">
        <f t="shared" si="627"/>
        <v>10925.76</v>
      </c>
      <c r="AB1590" s="573"/>
      <c r="AC1590" s="678" t="s">
        <v>9900</v>
      </c>
      <c r="AD1590" s="610" t="s">
        <v>6063</v>
      </c>
      <c r="AE1590" s="610" t="s">
        <v>82</v>
      </c>
      <c r="AF1590" s="610"/>
      <c r="AG1590" s="610"/>
      <c r="AH1590" s="609"/>
      <c r="AI1590" s="609">
        <f>4608+13632</f>
        <v>18240</v>
      </c>
      <c r="AJ1590" s="610">
        <f t="shared" si="623"/>
        <v>0</v>
      </c>
      <c r="AK1590" s="613"/>
      <c r="AL1590" s="610" t="s">
        <v>2368</v>
      </c>
      <c r="AM1590" s="610"/>
      <c r="AN1590" s="554">
        <f t="shared" si="628"/>
        <v>18240</v>
      </c>
      <c r="AO1590" s="554"/>
      <c r="AP1590" s="554">
        <f t="shared" si="629"/>
        <v>18240</v>
      </c>
      <c r="AQ1590" s="554"/>
      <c r="AR1590" s="619"/>
      <c r="AS1590" s="554"/>
      <c r="AT1590" s="554"/>
      <c r="AU1590" s="554">
        <f t="shared" si="630"/>
        <v>18240</v>
      </c>
      <c r="AV1590" s="554"/>
      <c r="AW1590" s="554"/>
      <c r="AX1590" s="714"/>
      <c r="AY1590" s="554"/>
      <c r="AZ1590" s="554"/>
      <c r="BA1590" s="554"/>
      <c r="BB1590" s="620">
        <f t="shared" si="631"/>
        <v>760</v>
      </c>
      <c r="BC1590" s="554"/>
      <c r="BD1590" s="554"/>
      <c r="BE1590" s="554"/>
      <c r="BF1590" s="554"/>
      <c r="BG1590" s="550"/>
      <c r="BH1590" s="554"/>
      <c r="BI1590" s="554"/>
      <c r="BJ1590" s="554"/>
      <c r="BK1590" s="554"/>
      <c r="BL1590" s="554"/>
      <c r="BM1590" s="554"/>
      <c r="BN1590" s="554"/>
      <c r="BO1590" s="554"/>
      <c r="BP1590" s="554"/>
      <c r="BQ1590" s="554">
        <f t="shared" si="632"/>
        <v>1140</v>
      </c>
      <c r="BR1590" s="554"/>
      <c r="BS1590" s="554"/>
      <c r="BT1590" s="554"/>
      <c r="BU1590" s="554"/>
      <c r="BV1590" s="554"/>
      <c r="BW1590" s="554"/>
      <c r="BX1590" s="554"/>
      <c r="BY1590" s="554"/>
      <c r="BZ1590" s="554"/>
      <c r="CA1590" s="720"/>
      <c r="CB1590" s="555"/>
      <c r="CC1590" s="721"/>
      <c r="CD1590" s="554"/>
      <c r="CE1590" s="554"/>
      <c r="CF1590" s="554"/>
      <c r="CG1590" s="554"/>
      <c r="CH1590" s="550"/>
      <c r="CI1590" s="554"/>
      <c r="CJ1590" s="554"/>
      <c r="CK1590" s="554"/>
      <c r="CL1590" s="554"/>
      <c r="CM1590" s="554"/>
      <c r="CN1590" s="554"/>
      <c r="CO1590" s="554"/>
      <c r="CP1590" s="619"/>
      <c r="CQ1590" s="619"/>
      <c r="CR1590" s="554"/>
      <c r="CS1590" s="554"/>
      <c r="CT1590" s="554"/>
      <c r="CU1590" s="554">
        <f t="shared" si="625"/>
        <v>1140</v>
      </c>
      <c r="CV1590" s="554">
        <f t="shared" si="633"/>
        <v>0</v>
      </c>
      <c r="CW1590" s="554">
        <f t="shared" si="634"/>
        <v>0</v>
      </c>
      <c r="CX1590" s="619"/>
      <c r="CY1590" s="619"/>
      <c r="CZ1590" s="619"/>
      <c r="DA1590" s="619"/>
      <c r="DB1590" s="619"/>
      <c r="DC1590" s="619"/>
      <c r="DD1590" s="619"/>
      <c r="DE1590" s="619"/>
      <c r="DF1590" s="619"/>
      <c r="DG1590" s="619"/>
      <c r="DH1590" s="619"/>
    </row>
    <row r="1591" s="550" customFormat="1" ht="31" customHeight="1" spans="1:113">
      <c r="A1591" s="608">
        <v>46153</v>
      </c>
      <c r="B1591" s="609" t="s">
        <v>143</v>
      </c>
      <c r="C1591" s="610" t="s">
        <v>98</v>
      </c>
      <c r="D1591" s="727">
        <v>4500206382</v>
      </c>
      <c r="E1591" s="613">
        <v>999667019</v>
      </c>
      <c r="F1591" s="554" t="s">
        <v>9901</v>
      </c>
      <c r="G1591" s="610" t="s">
        <v>6063</v>
      </c>
      <c r="H1591" s="610" t="s">
        <v>6064</v>
      </c>
      <c r="I1591" s="715">
        <v>13440</v>
      </c>
      <c r="J1591" s="610">
        <v>0</v>
      </c>
      <c r="K1591" s="610">
        <v>16</v>
      </c>
      <c r="L1591" s="611">
        <f t="shared" si="626"/>
        <v>840</v>
      </c>
      <c r="M1591" s="612">
        <v>46202</v>
      </c>
      <c r="N1591" s="612">
        <v>46198</v>
      </c>
      <c r="O1591" s="737" t="s">
        <v>3368</v>
      </c>
      <c r="P1591" s="610" t="s">
        <v>113</v>
      </c>
      <c r="Q1591" s="614" t="s">
        <v>4443</v>
      </c>
      <c r="R1591" s="614" t="s">
        <v>9889</v>
      </c>
      <c r="S1591" s="614" t="s">
        <v>70</v>
      </c>
      <c r="T1591" s="614" t="s">
        <v>9890</v>
      </c>
      <c r="U1591" s="614"/>
      <c r="V1591" s="614"/>
      <c r="W1591" s="573"/>
      <c r="X1591" s="609" t="s">
        <v>9891</v>
      </c>
      <c r="Y1591" s="616" t="s">
        <v>106</v>
      </c>
      <c r="Z1591" s="609">
        <v>0.599</v>
      </c>
      <c r="AA1591" s="616">
        <f t="shared" si="627"/>
        <v>8050.56</v>
      </c>
      <c r="AB1591" s="573"/>
      <c r="AC1591" s="637" t="s">
        <v>9894</v>
      </c>
      <c r="AD1591" s="610" t="s">
        <v>6063</v>
      </c>
      <c r="AE1591" s="610" t="s">
        <v>82</v>
      </c>
      <c r="AF1591" s="610"/>
      <c r="AG1591" s="610"/>
      <c r="AH1591" s="609"/>
      <c r="AI1591" s="609">
        <v>13440</v>
      </c>
      <c r="AJ1591" s="610">
        <f t="shared" si="623"/>
        <v>0</v>
      </c>
      <c r="AK1591" s="613"/>
      <c r="AL1591" s="610" t="s">
        <v>2368</v>
      </c>
      <c r="AM1591" s="610"/>
      <c r="AN1591" s="554">
        <f t="shared" si="628"/>
        <v>13440</v>
      </c>
      <c r="AO1591" s="554"/>
      <c r="AP1591" s="554">
        <f t="shared" si="629"/>
        <v>13440</v>
      </c>
      <c r="AQ1591" s="554"/>
      <c r="AR1591" s="619"/>
      <c r="AS1591" s="554"/>
      <c r="AT1591" s="554"/>
      <c r="AU1591" s="554">
        <f t="shared" si="630"/>
        <v>13440</v>
      </c>
      <c r="AV1591" s="554"/>
      <c r="AW1591" s="554"/>
      <c r="AX1591" s="714"/>
      <c r="AY1591" s="554"/>
      <c r="AZ1591" s="554"/>
      <c r="BA1591" s="554"/>
      <c r="BB1591" s="620">
        <f t="shared" si="631"/>
        <v>560</v>
      </c>
      <c r="BC1591" s="554"/>
      <c r="BD1591" s="554"/>
      <c r="BE1591" s="554"/>
      <c r="BF1591" s="554"/>
      <c r="BG1591" s="550"/>
      <c r="BH1591" s="554"/>
      <c r="BI1591" s="554"/>
      <c r="BJ1591" s="554"/>
      <c r="BK1591" s="554"/>
      <c r="BL1591" s="554"/>
      <c r="BM1591" s="554"/>
      <c r="BN1591" s="554"/>
      <c r="BO1591" s="554"/>
      <c r="BP1591" s="554"/>
      <c r="BQ1591" s="554">
        <f t="shared" si="632"/>
        <v>840</v>
      </c>
      <c r="BR1591" s="554"/>
      <c r="BS1591" s="554"/>
      <c r="BT1591" s="554"/>
      <c r="BU1591" s="554"/>
      <c r="BV1591" s="554"/>
      <c r="BW1591" s="554"/>
      <c r="BX1591" s="554"/>
      <c r="BY1591" s="554"/>
      <c r="BZ1591" s="554"/>
      <c r="CA1591" s="720"/>
      <c r="CB1591" s="555"/>
      <c r="CC1591" s="721"/>
      <c r="CD1591" s="554"/>
      <c r="CE1591" s="554"/>
      <c r="CF1591" s="554"/>
      <c r="CG1591" s="554"/>
      <c r="CH1591" s="550"/>
      <c r="CI1591" s="554"/>
      <c r="CJ1591" s="554"/>
      <c r="CK1591" s="554"/>
      <c r="CL1591" s="554"/>
      <c r="CM1591" s="554"/>
      <c r="CN1591" s="554"/>
      <c r="CO1591" s="554"/>
      <c r="CP1591" s="619"/>
      <c r="CQ1591" s="619"/>
      <c r="CR1591" s="554"/>
      <c r="CS1591" s="554"/>
      <c r="CT1591" s="554"/>
      <c r="CU1591" s="554">
        <f t="shared" si="625"/>
        <v>840</v>
      </c>
      <c r="CV1591" s="554">
        <f t="shared" si="633"/>
        <v>0</v>
      </c>
      <c r="CW1591" s="554">
        <f t="shared" si="634"/>
        <v>0</v>
      </c>
      <c r="CX1591" s="619"/>
      <c r="CY1591" s="619"/>
      <c r="CZ1591" s="619"/>
      <c r="DA1591" s="619"/>
      <c r="DB1591" s="619"/>
      <c r="DC1591" s="619"/>
      <c r="DD1591" s="619"/>
      <c r="DE1591" s="619"/>
      <c r="DF1591" s="619"/>
      <c r="DG1591" s="619"/>
      <c r="DH1591" s="619"/>
    </row>
    <row r="1592" s="550" customFormat="1" ht="31" customHeight="1" spans="1:113">
      <c r="A1592" s="608">
        <v>46168</v>
      </c>
      <c r="B1592" s="609" t="s">
        <v>984</v>
      </c>
      <c r="C1592" s="610" t="s">
        <v>399</v>
      </c>
      <c r="D1592" s="727">
        <v>4500209087</v>
      </c>
      <c r="E1592" s="610" t="s">
        <v>3846</v>
      </c>
      <c r="F1592" s="554" t="s">
        <v>9902</v>
      </c>
      <c r="G1592" s="610" t="s">
        <v>6043</v>
      </c>
      <c r="H1592" s="610" t="s">
        <v>6110</v>
      </c>
      <c r="I1592" s="715">
        <v>3500</v>
      </c>
      <c r="J1592" s="610">
        <v>0</v>
      </c>
      <c r="K1592" s="610">
        <v>50</v>
      </c>
      <c r="L1592" s="611">
        <f t="shared" si="626"/>
        <v>70</v>
      </c>
      <c r="M1592" s="612">
        <v>46203</v>
      </c>
      <c r="N1592" s="612">
        <v>46199</v>
      </c>
      <c r="O1592" s="613"/>
      <c r="P1592" s="610" t="s">
        <v>113</v>
      </c>
      <c r="Q1592" s="614">
        <v>46240</v>
      </c>
      <c r="R1592" s="614">
        <v>46168</v>
      </c>
      <c r="S1592" s="614" t="s">
        <v>70</v>
      </c>
      <c r="T1592" s="614" t="s">
        <v>9903</v>
      </c>
      <c r="U1592" s="614"/>
      <c r="V1592" s="614"/>
      <c r="W1592" s="573"/>
      <c r="X1592" s="609" t="s">
        <v>9904</v>
      </c>
      <c r="Y1592" s="616" t="s">
        <v>445</v>
      </c>
      <c r="Z1592" s="609">
        <v>0.9998</v>
      </c>
      <c r="AA1592" s="616">
        <f t="shared" si="627"/>
        <v>3499.3</v>
      </c>
      <c r="AB1592" s="573"/>
      <c r="AC1592" s="697"/>
      <c r="AD1592" s="610" t="s">
        <v>6043</v>
      </c>
      <c r="AE1592" s="610" t="s">
        <v>82</v>
      </c>
      <c r="AF1592" s="610"/>
      <c r="AG1592" s="610"/>
      <c r="AH1592" s="609"/>
      <c r="AI1592" s="609">
        <v>3500</v>
      </c>
      <c r="AJ1592" s="610">
        <f t="shared" si="623"/>
        <v>0</v>
      </c>
      <c r="AK1592" s="613"/>
      <c r="AL1592" s="610" t="s">
        <v>2368</v>
      </c>
      <c r="AM1592" s="610"/>
      <c r="AN1592" s="554"/>
      <c r="AO1592" s="554">
        <f>I1592</f>
        <v>3500</v>
      </c>
      <c r="AP1592" s="554"/>
      <c r="AQ1592" s="554"/>
      <c r="AR1592" s="619"/>
      <c r="AS1592" s="554"/>
      <c r="AT1592" s="554">
        <f>I1592</f>
        <v>3500</v>
      </c>
      <c r="AU1592" s="554"/>
      <c r="AV1592" s="554">
        <f>I1592</f>
        <v>3500</v>
      </c>
      <c r="AW1592" s="554"/>
      <c r="AX1592" s="714"/>
      <c r="AY1592" s="554"/>
      <c r="AZ1592" s="554"/>
      <c r="BA1592" s="554"/>
      <c r="BB1592" s="620">
        <f t="shared" si="631"/>
        <v>145.833333333333</v>
      </c>
      <c r="BC1592" s="554"/>
      <c r="BD1592" s="554"/>
      <c r="BE1592" s="554"/>
      <c r="BF1592" s="554"/>
      <c r="BG1592" s="550"/>
      <c r="BH1592" s="554"/>
      <c r="BI1592" s="554"/>
      <c r="BJ1592" s="554"/>
      <c r="BK1592" s="554"/>
      <c r="BL1592" s="554"/>
      <c r="BM1592" s="554"/>
      <c r="BN1592" s="554"/>
      <c r="BO1592" s="554"/>
      <c r="BP1592" s="554">
        <f>I1592/25</f>
        <v>140</v>
      </c>
      <c r="BQ1592" s="554"/>
      <c r="BR1592" s="554"/>
      <c r="BS1592" s="554"/>
      <c r="BT1592" s="554"/>
      <c r="BU1592" s="554"/>
      <c r="BV1592" s="554"/>
      <c r="BW1592" s="554"/>
      <c r="BX1592" s="554"/>
      <c r="BY1592" s="554"/>
      <c r="BZ1592" s="554"/>
      <c r="CA1592" s="720"/>
      <c r="CB1592" s="555"/>
      <c r="CC1592" s="721"/>
      <c r="CD1592" s="554"/>
      <c r="CE1592" s="554"/>
      <c r="CF1592" s="554"/>
      <c r="CG1592" s="554"/>
      <c r="CH1592" s="550"/>
      <c r="CI1592" s="554"/>
      <c r="CJ1592" s="554"/>
      <c r="CK1592" s="554"/>
      <c r="CL1592" s="554"/>
      <c r="CM1592" s="554"/>
      <c r="CN1592" s="554"/>
      <c r="CO1592" s="554"/>
      <c r="CP1592" s="619"/>
      <c r="CQ1592" s="619"/>
      <c r="CR1592" s="554"/>
      <c r="CS1592" s="554"/>
      <c r="CT1592" s="554"/>
      <c r="CU1592" s="554">
        <f t="shared" si="625"/>
        <v>140</v>
      </c>
      <c r="CV1592" s="554">
        <f t="shared" si="633"/>
        <v>0</v>
      </c>
      <c r="CW1592" s="554">
        <f t="shared" si="634"/>
        <v>0</v>
      </c>
      <c r="CX1592" s="619"/>
      <c r="CY1592" s="619"/>
      <c r="CZ1592" s="619"/>
      <c r="DA1592" s="619"/>
      <c r="DB1592" s="619"/>
      <c r="DC1592" s="619"/>
      <c r="DD1592" s="619"/>
      <c r="DE1592" s="619"/>
      <c r="DF1592" s="619"/>
      <c r="DG1592" s="619"/>
      <c r="DH1592" s="619"/>
    </row>
    <row r="1593" s="550" customFormat="1" ht="31" customHeight="1" spans="1:113">
      <c r="A1593" s="608">
        <v>46158</v>
      </c>
      <c r="B1593" s="609" t="s">
        <v>4623</v>
      </c>
      <c r="C1593" s="610" t="s">
        <v>847</v>
      </c>
      <c r="D1593" s="727">
        <v>4500207588</v>
      </c>
      <c r="E1593" s="610" t="s">
        <v>3846</v>
      </c>
      <c r="F1593" s="554" t="s">
        <v>9905</v>
      </c>
      <c r="G1593" s="610" t="s">
        <v>6047</v>
      </c>
      <c r="H1593" s="610" t="s">
        <v>6069</v>
      </c>
      <c r="I1593" s="715">
        <v>2000</v>
      </c>
      <c r="J1593" s="610">
        <v>0</v>
      </c>
      <c r="K1593" s="610">
        <v>25</v>
      </c>
      <c r="L1593" s="611">
        <f t="shared" si="626"/>
        <v>80</v>
      </c>
      <c r="M1593" s="612">
        <v>46203</v>
      </c>
      <c r="N1593" s="612">
        <v>46199</v>
      </c>
      <c r="O1593" s="613"/>
      <c r="P1593" s="610" t="s">
        <v>113</v>
      </c>
      <c r="Q1593" s="614"/>
      <c r="R1593" s="614">
        <v>46169</v>
      </c>
      <c r="S1593" s="614" t="s">
        <v>70</v>
      </c>
      <c r="T1593" s="614" t="s">
        <v>4626</v>
      </c>
      <c r="U1593" s="614"/>
      <c r="V1593" s="614"/>
      <c r="W1593" s="573"/>
      <c r="X1593" s="738" t="s">
        <v>9906</v>
      </c>
      <c r="Y1593" s="616" t="s">
        <v>665</v>
      </c>
      <c r="Z1593" s="609">
        <v>0.9756</v>
      </c>
      <c r="AA1593" s="616">
        <f t="shared" si="627"/>
        <v>1951.2</v>
      </c>
      <c r="AB1593" s="573"/>
      <c r="AC1593" s="697"/>
      <c r="AD1593" s="610" t="s">
        <v>6047</v>
      </c>
      <c r="AE1593" s="610" t="s">
        <v>82</v>
      </c>
      <c r="AF1593" s="610"/>
      <c r="AG1593" s="610"/>
      <c r="AH1593" s="609"/>
      <c r="AI1593" s="609">
        <f>1975+25</f>
        <v>2000</v>
      </c>
      <c r="AJ1593" s="610">
        <f t="shared" si="623"/>
        <v>0</v>
      </c>
      <c r="AK1593" s="613"/>
      <c r="AL1593" s="610" t="s">
        <v>2368</v>
      </c>
      <c r="AM1593" s="610"/>
      <c r="AN1593" s="554"/>
      <c r="AO1593" s="554">
        <f>I1593</f>
        <v>2000</v>
      </c>
      <c r="AP1593" s="554"/>
      <c r="AQ1593" s="554"/>
      <c r="AR1593" s="619"/>
      <c r="AS1593" s="554"/>
      <c r="AT1593" s="554">
        <f>I1593</f>
        <v>2000</v>
      </c>
      <c r="AU1593" s="554"/>
      <c r="AV1593" s="554">
        <f>I1593</f>
        <v>2000</v>
      </c>
      <c r="AW1593" s="554"/>
      <c r="AX1593" s="714"/>
      <c r="AY1593" s="554"/>
      <c r="AZ1593" s="554"/>
      <c r="BA1593" s="554"/>
      <c r="BB1593" s="620">
        <f t="shared" si="631"/>
        <v>83.3333333333333</v>
      </c>
      <c r="BC1593" s="554"/>
      <c r="BD1593" s="554"/>
      <c r="BE1593" s="554"/>
      <c r="BF1593" s="554"/>
      <c r="BG1593" s="550"/>
      <c r="BH1593" s="554"/>
      <c r="BI1593" s="554"/>
      <c r="BJ1593" s="554"/>
      <c r="BK1593" s="554"/>
      <c r="BL1593" s="554"/>
      <c r="BM1593" s="554"/>
      <c r="BN1593" s="554"/>
      <c r="BO1593" s="554"/>
      <c r="BP1593" s="554">
        <f>I1593/25</f>
        <v>80</v>
      </c>
      <c r="BQ1593" s="554"/>
      <c r="BR1593" s="554"/>
      <c r="BS1593" s="554"/>
      <c r="BT1593" s="554"/>
      <c r="BU1593" s="554"/>
      <c r="BV1593" s="554"/>
      <c r="BW1593" s="554"/>
      <c r="BX1593" s="554"/>
      <c r="BY1593" s="554"/>
      <c r="BZ1593" s="554"/>
      <c r="CA1593" s="720"/>
      <c r="CB1593" s="555"/>
      <c r="CC1593" s="721"/>
      <c r="CD1593" s="554"/>
      <c r="CE1593" s="554"/>
      <c r="CF1593" s="554"/>
      <c r="CG1593" s="554"/>
      <c r="CH1593" s="550"/>
      <c r="CI1593" s="554"/>
      <c r="CJ1593" s="554"/>
      <c r="CK1593" s="554"/>
      <c r="CL1593" s="554"/>
      <c r="CM1593" s="554"/>
      <c r="CN1593" s="554"/>
      <c r="CO1593" s="554"/>
      <c r="CP1593" s="619"/>
      <c r="CQ1593" s="619"/>
      <c r="CR1593" s="554"/>
      <c r="CS1593" s="554"/>
      <c r="CT1593" s="554"/>
      <c r="CU1593" s="554">
        <f t="shared" si="625"/>
        <v>80</v>
      </c>
      <c r="CV1593" s="554">
        <f t="shared" si="633"/>
        <v>0</v>
      </c>
      <c r="CW1593" s="554">
        <f t="shared" si="634"/>
        <v>0</v>
      </c>
      <c r="CX1593" s="717"/>
      <c r="CY1593" s="717"/>
      <c r="CZ1593" s="717"/>
      <c r="DA1593" s="717"/>
      <c r="DB1593" s="717"/>
      <c r="DC1593" s="717"/>
      <c r="DD1593" s="717"/>
      <c r="DE1593" s="717"/>
      <c r="DF1593" s="717"/>
      <c r="DG1593" s="717"/>
      <c r="DH1593" s="717"/>
    </row>
    <row r="1594" s="550" customFormat="1" ht="31" customHeight="1" spans="1:113">
      <c r="A1594" s="608">
        <v>46160</v>
      </c>
      <c r="B1594" s="609" t="s">
        <v>4673</v>
      </c>
      <c r="C1594" s="610" t="s">
        <v>98</v>
      </c>
      <c r="D1594" s="727">
        <v>4500207784</v>
      </c>
      <c r="E1594" s="613">
        <v>1900808</v>
      </c>
      <c r="F1594" s="554" t="s">
        <v>9907</v>
      </c>
      <c r="G1594" s="610" t="s">
        <v>6787</v>
      </c>
      <c r="H1594" s="610" t="s">
        <v>6126</v>
      </c>
      <c r="I1594" s="715">
        <v>120</v>
      </c>
      <c r="J1594" s="610">
        <v>0</v>
      </c>
      <c r="K1594" s="610">
        <v>12</v>
      </c>
      <c r="L1594" s="611">
        <f t="shared" si="626"/>
        <v>10</v>
      </c>
      <c r="M1594" s="612">
        <v>46203</v>
      </c>
      <c r="N1594" s="612">
        <v>46199</v>
      </c>
      <c r="O1594" s="613"/>
      <c r="P1594" s="610" t="s">
        <v>113</v>
      </c>
      <c r="Q1594" s="614">
        <v>46215</v>
      </c>
      <c r="R1594" s="614">
        <v>46170</v>
      </c>
      <c r="S1594" s="614" t="s">
        <v>70</v>
      </c>
      <c r="T1594" s="614" t="s">
        <v>4677</v>
      </c>
      <c r="U1594" s="614"/>
      <c r="V1594" s="614"/>
      <c r="W1594" s="573"/>
      <c r="X1594" s="609" t="s">
        <v>4678</v>
      </c>
      <c r="Y1594" s="616" t="s">
        <v>1723</v>
      </c>
      <c r="Z1594" s="609">
        <v>1.3546</v>
      </c>
      <c r="AA1594" s="616">
        <f t="shared" si="627"/>
        <v>162.552</v>
      </c>
      <c r="AB1594" s="573"/>
      <c r="AC1594" s="678" t="s">
        <v>4682</v>
      </c>
      <c r="AD1594" s="610" t="s">
        <v>8545</v>
      </c>
      <c r="AE1594" s="610" t="s">
        <v>82</v>
      </c>
      <c r="AF1594" s="610"/>
      <c r="AG1594" s="610"/>
      <c r="AH1594" s="609"/>
      <c r="AI1594" s="609">
        <v>120</v>
      </c>
      <c r="AJ1594" s="610">
        <f t="shared" si="623"/>
        <v>0</v>
      </c>
      <c r="AK1594" s="613"/>
      <c r="AL1594" s="610" t="s">
        <v>2368</v>
      </c>
      <c r="AM1594" s="610"/>
      <c r="AN1594" s="610">
        <f>I1594*2</f>
        <v>240</v>
      </c>
      <c r="AO1594" s="554"/>
      <c r="AP1594" s="554">
        <f>I1594*2</f>
        <v>240</v>
      </c>
      <c r="AQ1594" s="554"/>
      <c r="AR1594" s="619"/>
      <c r="AS1594" s="554"/>
      <c r="AT1594" s="554"/>
      <c r="AU1594" s="554">
        <f>I1594*2</f>
        <v>240</v>
      </c>
      <c r="AV1594" s="554"/>
      <c r="AW1594" s="554"/>
      <c r="AX1594" s="714"/>
      <c r="AY1594" s="554"/>
      <c r="AZ1594" s="554"/>
      <c r="BA1594" s="554"/>
      <c r="BB1594" s="620">
        <f t="shared" ref="BB1594:BB1599" si="635">I1594/24*2</f>
        <v>10</v>
      </c>
      <c r="BC1594" s="554"/>
      <c r="BD1594" s="554"/>
      <c r="BE1594" s="554"/>
      <c r="BF1594" s="554"/>
      <c r="BG1594" s="550"/>
      <c r="BH1594" s="554"/>
      <c r="BI1594" s="554"/>
      <c r="BJ1594" s="554"/>
      <c r="BK1594" s="554"/>
      <c r="BL1594" s="554"/>
      <c r="BM1594" s="554"/>
      <c r="BN1594" s="554"/>
      <c r="BO1594" s="554"/>
      <c r="BP1594" s="554"/>
      <c r="BQ1594" s="554"/>
      <c r="BR1594" s="554"/>
      <c r="BS1594" s="554"/>
      <c r="BT1594" s="554"/>
      <c r="BU1594" s="554"/>
      <c r="BV1594" s="554"/>
      <c r="BW1594" s="554"/>
      <c r="BX1594" s="554"/>
      <c r="BY1594" s="554"/>
      <c r="BZ1594" s="554"/>
      <c r="CA1594" s="720"/>
      <c r="CB1594" s="555"/>
      <c r="CC1594" s="721"/>
      <c r="CD1594" s="554"/>
      <c r="CE1594" s="554"/>
      <c r="CF1594" s="554"/>
      <c r="CG1594" s="554"/>
      <c r="CH1594" s="550"/>
      <c r="CI1594" s="554"/>
      <c r="CJ1594" s="554"/>
      <c r="CK1594" s="554"/>
      <c r="CL1594" s="554"/>
      <c r="CM1594" s="554"/>
      <c r="CN1594" s="554"/>
      <c r="CO1594" s="554"/>
      <c r="CP1594" s="619"/>
      <c r="CQ1594" s="619"/>
      <c r="CR1594" s="554">
        <f>I1594</f>
        <v>120</v>
      </c>
      <c r="CS1594" s="554">
        <f>I1594</f>
        <v>120</v>
      </c>
      <c r="CT1594" s="554">
        <f>I1594</f>
        <v>120</v>
      </c>
      <c r="CU1594" s="554">
        <f t="shared" si="625"/>
        <v>0</v>
      </c>
      <c r="CV1594" s="554">
        <f t="shared" si="633"/>
        <v>0</v>
      </c>
      <c r="CW1594" s="554">
        <f t="shared" si="634"/>
        <v>0</v>
      </c>
      <c r="CX1594" s="717"/>
      <c r="CY1594" s="717"/>
      <c r="CZ1594" s="717"/>
      <c r="DA1594" s="717"/>
      <c r="DB1594" s="717"/>
      <c r="DC1594" s="717"/>
      <c r="DD1594" s="717"/>
      <c r="DE1594" s="717"/>
      <c r="DF1594" s="717"/>
      <c r="DG1594" s="717"/>
      <c r="DH1594" s="717"/>
    </row>
    <row r="1595" s="550" customFormat="1" ht="31" customHeight="1" spans="1:113">
      <c r="A1595" s="608">
        <v>46160</v>
      </c>
      <c r="B1595" s="609" t="s">
        <v>4673</v>
      </c>
      <c r="C1595" s="610" t="s">
        <v>98</v>
      </c>
      <c r="D1595" s="727">
        <v>4500207784</v>
      </c>
      <c r="E1595" s="613">
        <v>1901117</v>
      </c>
      <c r="F1595" s="554" t="s">
        <v>9908</v>
      </c>
      <c r="G1595" s="610" t="s">
        <v>6787</v>
      </c>
      <c r="H1595" s="610" t="s">
        <v>6126</v>
      </c>
      <c r="I1595" s="715">
        <v>1536</v>
      </c>
      <c r="J1595" s="610">
        <v>0</v>
      </c>
      <c r="K1595" s="610">
        <v>12</v>
      </c>
      <c r="L1595" s="611">
        <f t="shared" si="626"/>
        <v>128</v>
      </c>
      <c r="M1595" s="612">
        <v>46203</v>
      </c>
      <c r="N1595" s="612">
        <v>46199</v>
      </c>
      <c r="O1595" s="613"/>
      <c r="P1595" s="610" t="s">
        <v>113</v>
      </c>
      <c r="Q1595" s="614">
        <v>46215</v>
      </c>
      <c r="R1595" s="614">
        <v>46170</v>
      </c>
      <c r="S1595" s="614" t="s">
        <v>70</v>
      </c>
      <c r="T1595" s="614" t="s">
        <v>4677</v>
      </c>
      <c r="U1595" s="614"/>
      <c r="V1595" s="614"/>
      <c r="W1595" s="573"/>
      <c r="X1595" s="609" t="s">
        <v>4678</v>
      </c>
      <c r="Y1595" s="616" t="s">
        <v>1723</v>
      </c>
      <c r="Z1595" s="609">
        <v>1.3318</v>
      </c>
      <c r="AA1595" s="616">
        <f t="shared" si="627"/>
        <v>2045.6448</v>
      </c>
      <c r="AB1595" s="573"/>
      <c r="AC1595" s="678" t="s">
        <v>4682</v>
      </c>
      <c r="AD1595" s="610" t="s">
        <v>8545</v>
      </c>
      <c r="AE1595" s="610" t="s">
        <v>82</v>
      </c>
      <c r="AF1595" s="610"/>
      <c r="AG1595" s="610"/>
      <c r="AH1595" s="609"/>
      <c r="AI1595" s="609">
        <v>1536</v>
      </c>
      <c r="AJ1595" s="610">
        <f t="shared" si="623"/>
        <v>0</v>
      </c>
      <c r="AK1595" s="613"/>
      <c r="AL1595" s="610" t="s">
        <v>2368</v>
      </c>
      <c r="AM1595" s="610"/>
      <c r="AN1595" s="610">
        <f>I1595*2</f>
        <v>3072</v>
      </c>
      <c r="AO1595" s="554"/>
      <c r="AP1595" s="554">
        <f>I1595*2</f>
        <v>3072</v>
      </c>
      <c r="AQ1595" s="554"/>
      <c r="AR1595" s="619"/>
      <c r="AS1595" s="554"/>
      <c r="AT1595" s="554"/>
      <c r="AU1595" s="554">
        <f>I1595*2</f>
        <v>3072</v>
      </c>
      <c r="AV1595" s="554"/>
      <c r="AW1595" s="554"/>
      <c r="AX1595" s="714"/>
      <c r="AY1595" s="554"/>
      <c r="AZ1595" s="554"/>
      <c r="BA1595" s="554"/>
      <c r="BB1595" s="620">
        <f t="shared" si="635"/>
        <v>128</v>
      </c>
      <c r="BC1595" s="554"/>
      <c r="BD1595" s="554"/>
      <c r="BE1595" s="554"/>
      <c r="BF1595" s="554"/>
      <c r="BG1595" s="550"/>
      <c r="BH1595" s="554"/>
      <c r="BI1595" s="554"/>
      <c r="BJ1595" s="554"/>
      <c r="BK1595" s="554"/>
      <c r="BL1595" s="554"/>
      <c r="BM1595" s="554"/>
      <c r="BN1595" s="554"/>
      <c r="BO1595" s="554"/>
      <c r="BP1595" s="554"/>
      <c r="BQ1595" s="554"/>
      <c r="BR1595" s="554"/>
      <c r="BS1595" s="554"/>
      <c r="BT1595" s="554"/>
      <c r="BU1595" s="554"/>
      <c r="BV1595" s="554"/>
      <c r="BW1595" s="554"/>
      <c r="BX1595" s="554"/>
      <c r="BY1595" s="554"/>
      <c r="BZ1595" s="554"/>
      <c r="CA1595" s="720"/>
      <c r="CB1595" s="555"/>
      <c r="CC1595" s="721"/>
      <c r="CD1595" s="554"/>
      <c r="CE1595" s="554"/>
      <c r="CF1595" s="554"/>
      <c r="CG1595" s="554"/>
      <c r="CH1595" s="550"/>
      <c r="CI1595" s="554"/>
      <c r="CJ1595" s="554"/>
      <c r="CK1595" s="554"/>
      <c r="CL1595" s="554"/>
      <c r="CM1595" s="554"/>
      <c r="CN1595" s="554"/>
      <c r="CO1595" s="554"/>
      <c r="CP1595" s="619"/>
      <c r="CQ1595" s="619"/>
      <c r="CR1595" s="554">
        <f>I1595</f>
        <v>1536</v>
      </c>
      <c r="CS1595" s="554">
        <f>I1595</f>
        <v>1536</v>
      </c>
      <c r="CT1595" s="554">
        <f>I1595</f>
        <v>1536</v>
      </c>
      <c r="CU1595" s="554">
        <f t="shared" si="625"/>
        <v>0</v>
      </c>
      <c r="CV1595" s="554">
        <f t="shared" si="633"/>
        <v>0</v>
      </c>
      <c r="CW1595" s="554">
        <f t="shared" si="634"/>
        <v>0</v>
      </c>
      <c r="CX1595" s="717"/>
      <c r="CY1595" s="717"/>
      <c r="CZ1595" s="717"/>
      <c r="DA1595" s="717"/>
      <c r="DB1595" s="717"/>
      <c r="DC1595" s="717"/>
      <c r="DD1595" s="717"/>
      <c r="DE1595" s="717"/>
      <c r="DF1595" s="717"/>
      <c r="DG1595" s="717"/>
      <c r="DH1595" s="717"/>
    </row>
    <row r="1596" s="550" customFormat="1" ht="31" customHeight="1" spans="1:113">
      <c r="A1596" s="608">
        <v>46160</v>
      </c>
      <c r="B1596" s="609" t="s">
        <v>4673</v>
      </c>
      <c r="C1596" s="610" t="s">
        <v>98</v>
      </c>
      <c r="D1596" s="727">
        <v>4500207784</v>
      </c>
      <c r="E1596" s="613">
        <v>1901118</v>
      </c>
      <c r="F1596" s="554" t="s">
        <v>9909</v>
      </c>
      <c r="G1596" s="610" t="s">
        <v>6787</v>
      </c>
      <c r="H1596" s="610" t="s">
        <v>6126</v>
      </c>
      <c r="I1596" s="715">
        <v>744</v>
      </c>
      <c r="J1596" s="610">
        <v>0</v>
      </c>
      <c r="K1596" s="610">
        <v>12</v>
      </c>
      <c r="L1596" s="611">
        <f t="shared" si="626"/>
        <v>62</v>
      </c>
      <c r="M1596" s="612">
        <v>46203</v>
      </c>
      <c r="N1596" s="612">
        <v>46199</v>
      </c>
      <c r="O1596" s="613"/>
      <c r="P1596" s="610" t="s">
        <v>113</v>
      </c>
      <c r="Q1596" s="614">
        <v>46215</v>
      </c>
      <c r="R1596" s="614">
        <v>46170</v>
      </c>
      <c r="S1596" s="614" t="s">
        <v>70</v>
      </c>
      <c r="T1596" s="614" t="s">
        <v>4677</v>
      </c>
      <c r="U1596" s="614"/>
      <c r="V1596" s="614"/>
      <c r="W1596" s="573"/>
      <c r="X1596" s="609" t="s">
        <v>4678</v>
      </c>
      <c r="Y1596" s="616" t="s">
        <v>1723</v>
      </c>
      <c r="Z1596" s="609">
        <v>1.3318</v>
      </c>
      <c r="AA1596" s="616">
        <f t="shared" si="627"/>
        <v>990.8592</v>
      </c>
      <c r="AB1596" s="573"/>
      <c r="AC1596" s="678" t="s">
        <v>4685</v>
      </c>
      <c r="AD1596" s="610" t="s">
        <v>8545</v>
      </c>
      <c r="AE1596" s="610" t="s">
        <v>82</v>
      </c>
      <c r="AF1596" s="610"/>
      <c r="AG1596" s="610"/>
      <c r="AH1596" s="609"/>
      <c r="AI1596" s="609">
        <v>744</v>
      </c>
      <c r="AJ1596" s="610">
        <f t="shared" si="623"/>
        <v>0</v>
      </c>
      <c r="AK1596" s="613"/>
      <c r="AL1596" s="610" t="s">
        <v>2368</v>
      </c>
      <c r="AM1596" s="610"/>
      <c r="AN1596" s="610">
        <f>I1596*2</f>
        <v>1488</v>
      </c>
      <c r="AO1596" s="554"/>
      <c r="AP1596" s="554">
        <f>I1596*2</f>
        <v>1488</v>
      </c>
      <c r="AQ1596" s="554"/>
      <c r="AR1596" s="619"/>
      <c r="AS1596" s="554"/>
      <c r="AT1596" s="554"/>
      <c r="AU1596" s="554">
        <f>I1596*2</f>
        <v>1488</v>
      </c>
      <c r="AV1596" s="554"/>
      <c r="AW1596" s="554"/>
      <c r="AX1596" s="714"/>
      <c r="AY1596" s="554"/>
      <c r="AZ1596" s="554"/>
      <c r="BA1596" s="554"/>
      <c r="BB1596" s="620">
        <f t="shared" si="635"/>
        <v>62</v>
      </c>
      <c r="BC1596" s="554"/>
      <c r="BD1596" s="554"/>
      <c r="BE1596" s="554"/>
      <c r="BF1596" s="554"/>
      <c r="BG1596" s="550"/>
      <c r="BH1596" s="554"/>
      <c r="BI1596" s="554"/>
      <c r="BJ1596" s="554"/>
      <c r="BK1596" s="554"/>
      <c r="BL1596" s="554"/>
      <c r="BM1596" s="554"/>
      <c r="BN1596" s="554"/>
      <c r="BO1596" s="554"/>
      <c r="BP1596" s="554"/>
      <c r="BQ1596" s="554"/>
      <c r="BR1596" s="554"/>
      <c r="BS1596" s="554"/>
      <c r="BT1596" s="554"/>
      <c r="BU1596" s="554"/>
      <c r="BV1596" s="554"/>
      <c r="BW1596" s="554"/>
      <c r="BX1596" s="554"/>
      <c r="BY1596" s="554"/>
      <c r="BZ1596" s="554"/>
      <c r="CA1596" s="720"/>
      <c r="CB1596" s="555"/>
      <c r="CC1596" s="721"/>
      <c r="CD1596" s="554"/>
      <c r="CE1596" s="554"/>
      <c r="CF1596" s="554"/>
      <c r="CG1596" s="554"/>
      <c r="CH1596" s="550"/>
      <c r="CI1596" s="554"/>
      <c r="CJ1596" s="554"/>
      <c r="CK1596" s="554"/>
      <c r="CL1596" s="554"/>
      <c r="CM1596" s="554"/>
      <c r="CN1596" s="554"/>
      <c r="CO1596" s="554"/>
      <c r="CP1596" s="619"/>
      <c r="CQ1596" s="619"/>
      <c r="CR1596" s="554">
        <f>I1596</f>
        <v>744</v>
      </c>
      <c r="CS1596" s="554">
        <f>I1596</f>
        <v>744</v>
      </c>
      <c r="CT1596" s="554">
        <f>I1596</f>
        <v>744</v>
      </c>
      <c r="CU1596" s="554">
        <f t="shared" si="625"/>
        <v>0</v>
      </c>
      <c r="CV1596" s="554">
        <f t="shared" si="633"/>
        <v>0</v>
      </c>
      <c r="CW1596" s="554">
        <f t="shared" si="634"/>
        <v>0</v>
      </c>
      <c r="CX1596" s="717"/>
      <c r="CY1596" s="717"/>
      <c r="CZ1596" s="717"/>
      <c r="DA1596" s="717"/>
      <c r="DB1596" s="717"/>
      <c r="DC1596" s="717"/>
      <c r="DD1596" s="717"/>
      <c r="DE1596" s="717"/>
      <c r="DF1596" s="717"/>
      <c r="DG1596" s="717"/>
      <c r="DH1596" s="717"/>
    </row>
    <row r="1597" s="549" customFormat="1" ht="31" customHeight="1" spans="1:113">
      <c r="A1597" s="641">
        <v>46155</v>
      </c>
      <c r="B1597" s="642" t="s">
        <v>4080</v>
      </c>
      <c r="C1597" s="246" t="s">
        <v>411</v>
      </c>
      <c r="D1597" s="748">
        <v>4500202542</v>
      </c>
      <c r="E1597" s="246" t="s">
        <v>3846</v>
      </c>
      <c r="F1597" s="551" t="s">
        <v>4617</v>
      </c>
      <c r="G1597" s="246" t="s">
        <v>6337</v>
      </c>
      <c r="H1597" s="246" t="s">
        <v>477</v>
      </c>
      <c r="I1597" s="706">
        <v>1680</v>
      </c>
      <c r="J1597" s="246">
        <v>0</v>
      </c>
      <c r="K1597" s="246">
        <v>6</v>
      </c>
      <c r="L1597" s="644">
        <f t="shared" si="626"/>
        <v>280</v>
      </c>
      <c r="M1597" s="645">
        <v>46203</v>
      </c>
      <c r="N1597" s="645">
        <v>46199</v>
      </c>
      <c r="O1597" s="643" t="s">
        <v>5424</v>
      </c>
      <c r="P1597" s="246" t="s">
        <v>113</v>
      </c>
      <c r="Q1597" s="646"/>
      <c r="R1597" s="646">
        <v>46169</v>
      </c>
      <c r="S1597" s="646" t="s">
        <v>70</v>
      </c>
      <c r="T1597" s="646" t="s">
        <v>4619</v>
      </c>
      <c r="U1597" s="646"/>
      <c r="V1597" s="646"/>
      <c r="W1597" s="646" t="s">
        <v>9910</v>
      </c>
      <c r="X1597" s="642" t="s">
        <v>9911</v>
      </c>
      <c r="Y1597" s="647" t="s">
        <v>415</v>
      </c>
      <c r="Z1597" s="642">
        <v>7.0192</v>
      </c>
      <c r="AA1597" s="647">
        <f t="shared" si="627"/>
        <v>11792.256</v>
      </c>
      <c r="AB1597" s="642" t="s">
        <v>9912</v>
      </c>
      <c r="AC1597" s="751"/>
      <c r="AD1597" s="246" t="s">
        <v>480</v>
      </c>
      <c r="AE1597" s="246" t="s">
        <v>82</v>
      </c>
      <c r="AF1597" s="246"/>
      <c r="AG1597" s="246"/>
      <c r="AH1597" s="642"/>
      <c r="AI1597" s="642">
        <f>1644+36</f>
        <v>1680</v>
      </c>
      <c r="AJ1597" s="246">
        <f t="shared" si="623"/>
        <v>0</v>
      </c>
      <c r="AK1597" s="643"/>
      <c r="AL1597" s="246" t="s">
        <v>454</v>
      </c>
      <c r="AM1597" s="246"/>
      <c r="AN1597" s="551"/>
      <c r="AO1597" s="551">
        <f>I1597*2</f>
        <v>3360</v>
      </c>
      <c r="AP1597" s="551"/>
      <c r="AQ1597" s="551"/>
      <c r="AR1597" s="650"/>
      <c r="AS1597" s="551"/>
      <c r="AT1597" s="551">
        <f>I1597*2</f>
        <v>3360</v>
      </c>
      <c r="AU1597" s="551"/>
      <c r="AV1597" s="551">
        <f>I1597*2</f>
        <v>3360</v>
      </c>
      <c r="AW1597" s="551"/>
      <c r="AX1597" s="651"/>
      <c r="AY1597" s="551"/>
      <c r="AZ1597" s="551"/>
      <c r="BA1597" s="551"/>
      <c r="BB1597" s="249">
        <f t="shared" si="635"/>
        <v>140</v>
      </c>
      <c r="BC1597" s="551"/>
      <c r="BD1597" s="551"/>
      <c r="BE1597" s="551"/>
      <c r="BF1597" s="551"/>
      <c r="BG1597" s="549"/>
      <c r="BH1597" s="551"/>
      <c r="BI1597" s="551"/>
      <c r="BJ1597" s="551"/>
      <c r="BK1597" s="551"/>
      <c r="BL1597" s="551"/>
      <c r="BM1597" s="551"/>
      <c r="BN1597" s="551"/>
      <c r="BO1597" s="551"/>
      <c r="BP1597" s="551"/>
      <c r="BQ1597" s="551"/>
      <c r="BR1597" s="551"/>
      <c r="BS1597" s="551"/>
      <c r="BT1597" s="551"/>
      <c r="BU1597" s="551"/>
      <c r="BV1597" s="551"/>
      <c r="BW1597" s="551"/>
      <c r="BX1597" s="551"/>
      <c r="BY1597" s="551"/>
      <c r="BZ1597" s="551"/>
      <c r="CA1597" s="752"/>
      <c r="CB1597" s="747"/>
      <c r="CC1597" s="753"/>
      <c r="CD1597" s="650">
        <f>I1597</f>
        <v>1680</v>
      </c>
      <c r="CE1597" s="551"/>
      <c r="CF1597" s="551"/>
      <c r="CG1597" s="551"/>
      <c r="CH1597" s="549"/>
      <c r="CI1597" s="551"/>
      <c r="CJ1597" s="551"/>
      <c r="CK1597" s="551"/>
      <c r="CL1597" s="551"/>
      <c r="CM1597" s="551"/>
      <c r="CN1597" s="551"/>
      <c r="CO1597" s="551"/>
      <c r="CP1597" s="650"/>
      <c r="CQ1597" s="650"/>
      <c r="CR1597" s="551"/>
      <c r="CS1597" s="551"/>
      <c r="CT1597" s="551"/>
      <c r="CU1597" s="551">
        <f t="shared" si="625"/>
        <v>0</v>
      </c>
      <c r="CV1597" s="551">
        <v>0</v>
      </c>
      <c r="CW1597" s="551">
        <v>0</v>
      </c>
      <c r="CX1597" s="650"/>
      <c r="CY1597" s="650"/>
      <c r="CZ1597" s="650"/>
      <c r="DA1597" s="650"/>
      <c r="DB1597" s="650"/>
      <c r="DC1597" s="650"/>
      <c r="DD1597" s="650"/>
      <c r="DE1597" s="650"/>
      <c r="DF1597" s="650"/>
      <c r="DG1597" s="650"/>
      <c r="DH1597" s="650"/>
      <c r="DI1597" s="551"/>
    </row>
    <row r="1598" s="549" customFormat="1" ht="30" customHeight="1" spans="1:113">
      <c r="A1598" s="641">
        <v>46121</v>
      </c>
      <c r="B1598" s="642" t="s">
        <v>2594</v>
      </c>
      <c r="C1598" s="246" t="s">
        <v>2595</v>
      </c>
      <c r="D1598" s="748">
        <v>4500200614</v>
      </c>
      <c r="E1598" s="246" t="s">
        <v>3846</v>
      </c>
      <c r="F1598" s="551" t="s">
        <v>4594</v>
      </c>
      <c r="G1598" s="246" t="s">
        <v>9489</v>
      </c>
      <c r="H1598" s="246" t="s">
        <v>4095</v>
      </c>
      <c r="I1598" s="246">
        <v>240</v>
      </c>
      <c r="J1598" s="246">
        <v>0</v>
      </c>
      <c r="K1598" s="246">
        <v>6</v>
      </c>
      <c r="L1598" s="644">
        <f t="shared" si="626"/>
        <v>40</v>
      </c>
      <c r="M1598" s="645">
        <v>46195</v>
      </c>
      <c r="N1598" s="645">
        <f>M1598-4</f>
        <v>46191</v>
      </c>
      <c r="O1598" s="643"/>
      <c r="P1598" s="643" t="s">
        <v>113</v>
      </c>
      <c r="Q1598" s="654">
        <v>46223</v>
      </c>
      <c r="R1598" s="646">
        <v>46154</v>
      </c>
      <c r="S1598" s="646" t="s">
        <v>70</v>
      </c>
      <c r="T1598" s="646" t="s">
        <v>9796</v>
      </c>
      <c r="U1598" s="646"/>
      <c r="V1598" s="646" t="s">
        <v>4097</v>
      </c>
      <c r="W1598" s="744"/>
      <c r="X1598" s="749" t="s">
        <v>4596</v>
      </c>
      <c r="Y1598" s="642" t="s">
        <v>529</v>
      </c>
      <c r="Z1598" s="745">
        <v>7.3574</v>
      </c>
      <c r="AA1598" s="647">
        <f t="shared" si="627"/>
        <v>1765.776</v>
      </c>
      <c r="AB1598" s="744"/>
      <c r="AC1598" s="648"/>
      <c r="AD1598" s="246" t="s">
        <v>480</v>
      </c>
      <c r="AE1598" s="246" t="s">
        <v>82</v>
      </c>
      <c r="AF1598" s="246"/>
      <c r="AG1598" s="246"/>
      <c r="AH1598" s="246"/>
      <c r="AI1598" s="642">
        <v>240</v>
      </c>
      <c r="AJ1598" s="246">
        <f t="shared" si="623"/>
        <v>0</v>
      </c>
      <c r="AK1598" s="246"/>
      <c r="AL1598" s="246" t="s">
        <v>2368</v>
      </c>
      <c r="AM1598" s="246"/>
      <c r="AN1598" s="246"/>
      <c r="AO1598" s="551">
        <f>I1598*2</f>
        <v>480</v>
      </c>
      <c r="AP1598" s="551"/>
      <c r="AQ1598" s="551"/>
      <c r="AR1598" s="650"/>
      <c r="AS1598" s="551"/>
      <c r="AT1598" s="551"/>
      <c r="AU1598" s="551"/>
      <c r="AV1598" s="551"/>
      <c r="AW1598" s="650"/>
      <c r="AX1598" s="551"/>
      <c r="AY1598" s="551"/>
      <c r="AZ1598" s="551"/>
      <c r="BA1598" s="551"/>
      <c r="BB1598" s="249">
        <f t="shared" si="635"/>
        <v>20</v>
      </c>
      <c r="BC1598" s="651"/>
      <c r="BD1598" s="551"/>
      <c r="BE1598" s="551"/>
      <c r="BF1598" s="551"/>
      <c r="BG1598" s="549"/>
      <c r="BH1598" s="551"/>
      <c r="BI1598" s="551"/>
      <c r="BJ1598" s="551"/>
      <c r="BK1598" s="551"/>
      <c r="BL1598" s="551"/>
      <c r="BM1598" s="551"/>
      <c r="BN1598" s="551"/>
      <c r="BO1598" s="551"/>
      <c r="BP1598" s="551"/>
      <c r="BQ1598" s="551"/>
      <c r="BR1598" s="551"/>
      <c r="BS1598" s="551"/>
      <c r="BT1598" s="551"/>
      <c r="BU1598" s="551"/>
      <c r="BV1598" s="551">
        <f>I1598*2</f>
        <v>480</v>
      </c>
      <c r="BW1598" s="551">
        <f>I1598*2</f>
        <v>480</v>
      </c>
      <c r="BX1598" s="551"/>
      <c r="BY1598" s="650"/>
      <c r="BZ1598" s="551"/>
      <c r="CA1598" s="652"/>
      <c r="CB1598" s="747"/>
      <c r="CC1598" s="653"/>
      <c r="CD1598" s="650">
        <f>I1598</f>
        <v>240</v>
      </c>
      <c r="CE1598" s="650"/>
      <c r="CF1598" s="551"/>
      <c r="CG1598" s="551"/>
      <c r="CH1598" s="549"/>
      <c r="CI1598" s="551"/>
      <c r="CJ1598" s="551"/>
      <c r="CK1598" s="551"/>
      <c r="CL1598" s="551"/>
      <c r="CM1598" s="551"/>
      <c r="CN1598" s="551"/>
      <c r="CO1598" s="551"/>
      <c r="CP1598" s="551"/>
      <c r="CQ1598" s="551"/>
      <c r="CR1598" s="551"/>
      <c r="CS1598" s="551"/>
      <c r="CT1598" s="551"/>
      <c r="CU1598" s="551">
        <f t="shared" si="625"/>
        <v>0</v>
      </c>
      <c r="CV1598" s="551">
        <v>0</v>
      </c>
      <c r="CW1598" s="551">
        <v>0</v>
      </c>
      <c r="CX1598" s="650"/>
      <c r="CY1598" s="650"/>
      <c r="CZ1598" s="650"/>
      <c r="DA1598" s="551"/>
      <c r="DB1598" s="551"/>
      <c r="DC1598" s="551"/>
      <c r="DD1598" s="650"/>
      <c r="DE1598" s="650"/>
      <c r="DF1598" s="650"/>
      <c r="DG1598" s="650"/>
      <c r="DH1598" s="650"/>
    </row>
    <row r="1599" s="549" customFormat="1" ht="31" customHeight="1" spans="1:113">
      <c r="A1599" s="641">
        <v>46168</v>
      </c>
      <c r="B1599" s="642" t="s">
        <v>984</v>
      </c>
      <c r="C1599" s="246" t="s">
        <v>399</v>
      </c>
      <c r="D1599" s="748">
        <v>4500209087</v>
      </c>
      <c r="E1599" s="246" t="s">
        <v>3846</v>
      </c>
      <c r="F1599" s="551" t="s">
        <v>4628</v>
      </c>
      <c r="G1599" s="246" t="s">
        <v>6337</v>
      </c>
      <c r="H1599" s="246" t="s">
        <v>477</v>
      </c>
      <c r="I1599" s="706">
        <v>300</v>
      </c>
      <c r="J1599" s="246">
        <v>0</v>
      </c>
      <c r="K1599" s="246">
        <v>6</v>
      </c>
      <c r="L1599" s="644">
        <f t="shared" si="626"/>
        <v>50</v>
      </c>
      <c r="M1599" s="645">
        <v>46203</v>
      </c>
      <c r="N1599" s="645">
        <v>46199</v>
      </c>
      <c r="O1599" s="643"/>
      <c r="P1599" s="246" t="s">
        <v>113</v>
      </c>
      <c r="Q1599" s="614">
        <v>46240</v>
      </c>
      <c r="R1599" s="646">
        <v>46168</v>
      </c>
      <c r="S1599" s="646" t="s">
        <v>70</v>
      </c>
      <c r="T1599" s="646" t="s">
        <v>9913</v>
      </c>
      <c r="U1599" s="646"/>
      <c r="V1599" s="646"/>
      <c r="W1599" s="744"/>
      <c r="X1599" s="642" t="s">
        <v>9914</v>
      </c>
      <c r="Y1599" s="647" t="s">
        <v>445</v>
      </c>
      <c r="Z1599" s="642">
        <v>7.3574</v>
      </c>
      <c r="AA1599" s="647">
        <f t="shared" si="627"/>
        <v>2207.22</v>
      </c>
      <c r="AB1599" s="744"/>
      <c r="AC1599" s="751"/>
      <c r="AD1599" s="246" t="s">
        <v>480</v>
      </c>
      <c r="AE1599" s="246" t="s">
        <v>82</v>
      </c>
      <c r="AF1599" s="246"/>
      <c r="AG1599" s="246"/>
      <c r="AH1599" s="642"/>
      <c r="AI1599" s="642">
        <v>300</v>
      </c>
      <c r="AJ1599" s="246">
        <f t="shared" si="623"/>
        <v>0</v>
      </c>
      <c r="AK1599" s="643"/>
      <c r="AL1599" s="246" t="s">
        <v>2368</v>
      </c>
      <c r="AM1599" s="246"/>
      <c r="AN1599" s="551"/>
      <c r="AO1599" s="551">
        <f>I1599*2</f>
        <v>600</v>
      </c>
      <c r="AP1599" s="551"/>
      <c r="AQ1599" s="551"/>
      <c r="AR1599" s="650"/>
      <c r="AS1599" s="551"/>
      <c r="AT1599" s="551">
        <f>I1599*2</f>
        <v>600</v>
      </c>
      <c r="AU1599" s="551"/>
      <c r="AV1599" s="551">
        <f>I1599*2</f>
        <v>600</v>
      </c>
      <c r="AW1599" s="551"/>
      <c r="AX1599" s="651"/>
      <c r="AY1599" s="551"/>
      <c r="AZ1599" s="551"/>
      <c r="BA1599" s="551"/>
      <c r="BB1599" s="249">
        <f t="shared" si="635"/>
        <v>25</v>
      </c>
      <c r="BC1599" s="551"/>
      <c r="BD1599" s="551"/>
      <c r="BE1599" s="551"/>
      <c r="BF1599" s="551"/>
      <c r="BG1599" s="549"/>
      <c r="BH1599" s="551"/>
      <c r="BI1599" s="551"/>
      <c r="BJ1599" s="551"/>
      <c r="BK1599" s="551"/>
      <c r="BL1599" s="551"/>
      <c r="BM1599" s="551"/>
      <c r="BN1599" s="551"/>
      <c r="BO1599" s="551"/>
      <c r="BP1599" s="551"/>
      <c r="BQ1599" s="551"/>
      <c r="BR1599" s="551"/>
      <c r="BS1599" s="551"/>
      <c r="BT1599" s="551"/>
      <c r="BU1599" s="551"/>
      <c r="BV1599" s="551"/>
      <c r="BW1599" s="551"/>
      <c r="BX1599" s="551"/>
      <c r="BY1599" s="551"/>
      <c r="BZ1599" s="551">
        <f>I1599</f>
        <v>300</v>
      </c>
      <c r="CA1599" s="752"/>
      <c r="CB1599" s="747"/>
      <c r="CC1599" s="753"/>
      <c r="CD1599" s="551"/>
      <c r="CE1599" s="551"/>
      <c r="CF1599" s="551"/>
      <c r="CG1599" s="551"/>
      <c r="CH1599" s="549"/>
      <c r="CI1599" s="551"/>
      <c r="CJ1599" s="551"/>
      <c r="CK1599" s="551"/>
      <c r="CL1599" s="551"/>
      <c r="CM1599" s="551"/>
      <c r="CN1599" s="551"/>
      <c r="CO1599" s="551"/>
      <c r="CP1599" s="650"/>
      <c r="CQ1599" s="650"/>
      <c r="CR1599" s="551"/>
      <c r="CS1599" s="551"/>
      <c r="CT1599" s="551"/>
      <c r="CU1599" s="551">
        <f t="shared" si="625"/>
        <v>0</v>
      </c>
      <c r="CV1599" s="551">
        <f>CK1599+CL1599+CM1599+CN1599+CO1599+CQ1599+CP1599</f>
        <v>0</v>
      </c>
      <c r="CW1599" s="551">
        <f>CI1599+CJ1599</f>
        <v>0</v>
      </c>
      <c r="CX1599" s="650"/>
      <c r="CY1599" s="650"/>
      <c r="CZ1599" s="650"/>
      <c r="DA1599" s="650"/>
      <c r="DB1599" s="650"/>
      <c r="DC1599" s="650"/>
      <c r="DD1599" s="650"/>
      <c r="DE1599" s="650"/>
      <c r="DF1599" s="650"/>
      <c r="DG1599" s="650"/>
      <c r="DH1599" s="650"/>
      <c r="DI1599" s="551"/>
    </row>
    <row r="1600" s="549" customFormat="1" ht="31" customHeight="1" spans="1:113">
      <c r="A1600" s="641">
        <v>46160</v>
      </c>
      <c r="B1600" s="642" t="s">
        <v>2651</v>
      </c>
      <c r="C1600" s="246" t="s">
        <v>302</v>
      </c>
      <c r="D1600" s="748">
        <v>4500207743</v>
      </c>
      <c r="E1600" s="643">
        <v>5200009655</v>
      </c>
      <c r="F1600" s="551" t="s">
        <v>9915</v>
      </c>
      <c r="G1600" s="246" t="s">
        <v>6120</v>
      </c>
      <c r="H1600" s="246" t="s">
        <v>6094</v>
      </c>
      <c r="I1600" s="706">
        <v>5005</v>
      </c>
      <c r="J1600" s="246">
        <v>0</v>
      </c>
      <c r="K1600" s="246">
        <v>13</v>
      </c>
      <c r="L1600" s="644">
        <f t="shared" si="626"/>
        <v>385</v>
      </c>
      <c r="M1600" s="645">
        <v>46203</v>
      </c>
      <c r="N1600" s="645">
        <v>46199</v>
      </c>
      <c r="O1600" s="643"/>
      <c r="P1600" s="246" t="s">
        <v>113</v>
      </c>
      <c r="Q1600" s="646">
        <v>46206</v>
      </c>
      <c r="R1600" s="646">
        <v>46164</v>
      </c>
      <c r="S1600" s="646" t="s">
        <v>70</v>
      </c>
      <c r="T1600" s="646" t="s">
        <v>9916</v>
      </c>
      <c r="U1600" s="646"/>
      <c r="V1600" s="646"/>
      <c r="W1600" s="744"/>
      <c r="X1600" s="642" t="s">
        <v>9917</v>
      </c>
      <c r="Y1600" s="647" t="s">
        <v>2037</v>
      </c>
      <c r="Z1600" s="642">
        <v>0.9395</v>
      </c>
      <c r="AA1600" s="647">
        <f t="shared" si="627"/>
        <v>4702.1975</v>
      </c>
      <c r="AB1600" s="744"/>
      <c r="AC1600" s="751"/>
      <c r="AD1600" s="246" t="s">
        <v>6093</v>
      </c>
      <c r="AE1600" s="246" t="s">
        <v>82</v>
      </c>
      <c r="AF1600" s="246"/>
      <c r="AG1600" s="246"/>
      <c r="AH1600" s="642"/>
      <c r="AI1600" s="642">
        <v>5005</v>
      </c>
      <c r="AJ1600" s="246">
        <f t="shared" si="623"/>
        <v>0</v>
      </c>
      <c r="AK1600" s="643"/>
      <c r="AL1600" s="246" t="s">
        <v>2368</v>
      </c>
      <c r="AM1600" s="246"/>
      <c r="AN1600" s="551"/>
      <c r="AO1600" s="551">
        <f>I1600</f>
        <v>5005</v>
      </c>
      <c r="AP1600" s="551"/>
      <c r="AQ1600" s="551"/>
      <c r="AR1600" s="650"/>
      <c r="AS1600" s="551"/>
      <c r="AT1600" s="551">
        <f>I1600</f>
        <v>5005</v>
      </c>
      <c r="AU1600" s="551"/>
      <c r="AV1600" s="551">
        <f>I1600</f>
        <v>5005</v>
      </c>
      <c r="AW1600" s="551"/>
      <c r="AX1600" s="651"/>
      <c r="AY1600" s="551"/>
      <c r="AZ1600" s="551"/>
      <c r="BA1600" s="551"/>
      <c r="BB1600" s="249">
        <f>I1600/24</f>
        <v>208.541666666667</v>
      </c>
      <c r="BC1600" s="551"/>
      <c r="BD1600" s="551"/>
      <c r="BE1600" s="551"/>
      <c r="BF1600" s="551"/>
      <c r="BG1600" s="549"/>
      <c r="BH1600" s="551"/>
      <c r="BI1600" s="551"/>
      <c r="BJ1600" s="551"/>
      <c r="BK1600" s="551"/>
      <c r="BL1600" s="551"/>
      <c r="BM1600" s="551">
        <f>I1600/13</f>
        <v>385</v>
      </c>
      <c r="BN1600" s="551"/>
      <c r="BO1600" s="551"/>
      <c r="BP1600" s="551"/>
      <c r="BQ1600" s="551"/>
      <c r="BR1600" s="551"/>
      <c r="BS1600" s="551"/>
      <c r="BT1600" s="551"/>
      <c r="BU1600" s="551"/>
      <c r="BV1600" s="551"/>
      <c r="BW1600" s="551"/>
      <c r="BX1600" s="551"/>
      <c r="BY1600" s="551"/>
      <c r="BZ1600" s="551"/>
      <c r="CA1600" s="752"/>
      <c r="CB1600" s="747"/>
      <c r="CC1600" s="753"/>
      <c r="CD1600" s="551"/>
      <c r="CE1600" s="551"/>
      <c r="CF1600" s="551"/>
      <c r="CG1600" s="551"/>
      <c r="CH1600" s="549"/>
      <c r="CI1600" s="551"/>
      <c r="CJ1600" s="551"/>
      <c r="CK1600" s="551"/>
      <c r="CL1600" s="551"/>
      <c r="CM1600" s="551"/>
      <c r="CN1600" s="551"/>
      <c r="CO1600" s="551"/>
      <c r="CP1600" s="650"/>
      <c r="CQ1600" s="650"/>
      <c r="CR1600" s="551"/>
      <c r="CS1600" s="551"/>
      <c r="CT1600" s="551"/>
      <c r="CU1600" s="551">
        <f t="shared" si="625"/>
        <v>0</v>
      </c>
      <c r="CV1600" s="551">
        <f>CK1600+CL1600+CM1600+CN1600+CO1600+CQ1600+CP1600</f>
        <v>0</v>
      </c>
      <c r="CW1600" s="551">
        <f>CI1600+CJ1600</f>
        <v>0</v>
      </c>
      <c r="CX1600" s="707"/>
      <c r="CY1600" s="707"/>
      <c r="CZ1600" s="707"/>
      <c r="DA1600" s="707"/>
      <c r="DB1600" s="707"/>
      <c r="DC1600" s="707"/>
      <c r="DD1600" s="707"/>
      <c r="DE1600" s="707"/>
      <c r="DF1600" s="707"/>
      <c r="DG1600" s="707"/>
      <c r="DH1600" s="707"/>
    </row>
    <row r="1601" s="549" customFormat="1" ht="31" customHeight="1" spans="1:113">
      <c r="A1601" s="641">
        <v>46150</v>
      </c>
      <c r="B1601" s="642" t="s">
        <v>139</v>
      </c>
      <c r="C1601" s="246" t="s">
        <v>76</v>
      </c>
      <c r="D1601" s="551">
        <v>4500198161</v>
      </c>
      <c r="E1601" s="246">
        <v>21528179</v>
      </c>
      <c r="F1601" s="551" t="s">
        <v>4636</v>
      </c>
      <c r="G1601" s="246" t="s">
        <v>6337</v>
      </c>
      <c r="H1601" s="246" t="s">
        <v>477</v>
      </c>
      <c r="I1601" s="706">
        <v>138</v>
      </c>
      <c r="J1601" s="246">
        <v>0</v>
      </c>
      <c r="K1601" s="246">
        <v>6</v>
      </c>
      <c r="L1601" s="644">
        <f t="shared" si="626"/>
        <v>23</v>
      </c>
      <c r="M1601" s="742">
        <v>46202</v>
      </c>
      <c r="N1601" s="742">
        <v>46200</v>
      </c>
      <c r="O1601" s="643"/>
      <c r="P1601" s="246" t="s">
        <v>113</v>
      </c>
      <c r="Q1601" s="646"/>
      <c r="R1601" s="646">
        <v>46169</v>
      </c>
      <c r="S1601" s="646" t="s">
        <v>104</v>
      </c>
      <c r="T1601" s="646" t="s">
        <v>4637</v>
      </c>
      <c r="U1601" s="646"/>
      <c r="V1601" s="646"/>
      <c r="W1601" s="744"/>
      <c r="X1601" s="749" t="s">
        <v>4638</v>
      </c>
      <c r="Y1601" s="647" t="s">
        <v>3206</v>
      </c>
      <c r="Z1601" s="642">
        <v>7.6122</v>
      </c>
      <c r="AA1601" s="647">
        <f t="shared" si="627"/>
        <v>1050.4836</v>
      </c>
      <c r="AB1601" s="744"/>
      <c r="AC1601" s="751"/>
      <c r="AD1601" s="246" t="s">
        <v>1306</v>
      </c>
      <c r="AE1601" s="246" t="s">
        <v>82</v>
      </c>
      <c r="AF1601" s="246"/>
      <c r="AG1601" s="246"/>
      <c r="AH1601" s="642"/>
      <c r="AI1601" s="642">
        <v>138</v>
      </c>
      <c r="AJ1601" s="246">
        <f t="shared" si="623"/>
        <v>0</v>
      </c>
      <c r="AK1601" s="643"/>
      <c r="AL1601" s="246" t="s">
        <v>2368</v>
      </c>
      <c r="AM1601" s="246"/>
      <c r="AN1601" s="551"/>
      <c r="AO1601" s="551">
        <f>I1601*2</f>
        <v>276</v>
      </c>
      <c r="AP1601" s="551"/>
      <c r="AQ1601" s="551"/>
      <c r="AR1601" s="650"/>
      <c r="AS1601" s="551"/>
      <c r="AT1601" s="551">
        <f>I1601*2</f>
        <v>276</v>
      </c>
      <c r="AU1601" s="551"/>
      <c r="AV1601" s="551">
        <f>I1601*2</f>
        <v>276</v>
      </c>
      <c r="AW1601" s="551"/>
      <c r="AX1601" s="651"/>
      <c r="AY1601" s="551"/>
      <c r="AZ1601" s="551"/>
      <c r="BA1601" s="551"/>
      <c r="BB1601" s="249">
        <f>I1601/24*2</f>
        <v>11.5</v>
      </c>
      <c r="BC1601" s="551"/>
      <c r="BD1601" s="551"/>
      <c r="BE1601" s="551"/>
      <c r="BF1601" s="551"/>
      <c r="BG1601" s="549"/>
      <c r="BH1601" s="551"/>
      <c r="BI1601" s="551"/>
      <c r="BJ1601" s="551"/>
      <c r="BK1601" s="551"/>
      <c r="BL1601" s="551"/>
      <c r="BM1601" s="551"/>
      <c r="BN1601" s="551"/>
      <c r="BO1601" s="551"/>
      <c r="BP1601" s="551"/>
      <c r="BQ1601" s="551"/>
      <c r="BR1601" s="551"/>
      <c r="BS1601" s="551"/>
      <c r="BT1601" s="551"/>
      <c r="BU1601" s="551"/>
      <c r="BV1601" s="551"/>
      <c r="BW1601" s="551"/>
      <c r="BX1601" s="551"/>
      <c r="BY1601" s="551"/>
      <c r="BZ1601" s="551">
        <f>I1601</f>
        <v>138</v>
      </c>
      <c r="CA1601" s="752"/>
      <c r="CB1601" s="747"/>
      <c r="CC1601" s="753"/>
      <c r="CD1601" s="551"/>
      <c r="CE1601" s="551"/>
      <c r="CF1601" s="551"/>
      <c r="CG1601" s="551"/>
      <c r="CH1601" s="549"/>
      <c r="CI1601" s="551"/>
      <c r="CJ1601" s="551"/>
      <c r="CK1601" s="551"/>
      <c r="CL1601" s="551"/>
      <c r="CM1601" s="551"/>
      <c r="CN1601" s="551"/>
      <c r="CO1601" s="551"/>
      <c r="CP1601" s="650"/>
      <c r="CQ1601" s="650"/>
      <c r="CR1601" s="551"/>
      <c r="CS1601" s="551"/>
      <c r="CT1601" s="551"/>
      <c r="CU1601" s="551">
        <f t="shared" si="625"/>
        <v>0</v>
      </c>
      <c r="CV1601" s="551">
        <f>CK1601+CL1601+CM1601+CN1601+CO1601+CQ1601+CP1601</f>
        <v>0</v>
      </c>
      <c r="CW1601" s="551">
        <f>CI1601+CJ1601</f>
        <v>0</v>
      </c>
      <c r="CX1601" s="650"/>
      <c r="CY1601" s="650"/>
      <c r="CZ1601" s="650"/>
      <c r="DA1601" s="650"/>
      <c r="DB1601" s="650"/>
      <c r="DC1601" s="650"/>
      <c r="DD1601" s="650"/>
      <c r="DE1601" s="650"/>
      <c r="DF1601" s="650"/>
      <c r="DG1601" s="650"/>
      <c r="DH1601" s="650"/>
    </row>
    <row r="1602" s="549" customFormat="1" ht="31" customHeight="1" spans="1:113">
      <c r="A1602" s="641">
        <v>46149</v>
      </c>
      <c r="B1602" s="642" t="s">
        <v>135</v>
      </c>
      <c r="C1602" s="246" t="s">
        <v>128</v>
      </c>
      <c r="D1602" s="748">
        <v>4500189480</v>
      </c>
      <c r="E1602" s="643">
        <v>21528176</v>
      </c>
      <c r="F1602" s="551" t="s">
        <v>4633</v>
      </c>
      <c r="G1602" s="246" t="s">
        <v>6337</v>
      </c>
      <c r="H1602" s="246" t="s">
        <v>477</v>
      </c>
      <c r="I1602" s="706">
        <v>1362</v>
      </c>
      <c r="J1602" s="246">
        <v>0</v>
      </c>
      <c r="K1602" s="246">
        <v>6</v>
      </c>
      <c r="L1602" s="644">
        <f t="shared" si="626"/>
        <v>227</v>
      </c>
      <c r="M1602" s="742">
        <v>46202</v>
      </c>
      <c r="N1602" s="742">
        <v>46200</v>
      </c>
      <c r="O1602" s="643"/>
      <c r="P1602" s="246" t="s">
        <v>113</v>
      </c>
      <c r="Q1602" s="646">
        <v>46204</v>
      </c>
      <c r="R1602" s="646">
        <v>46169</v>
      </c>
      <c r="S1602" s="646" t="s">
        <v>104</v>
      </c>
      <c r="T1602" s="646" t="s">
        <v>4637</v>
      </c>
      <c r="U1602" s="646"/>
      <c r="V1602" s="646"/>
      <c r="W1602" s="744"/>
      <c r="X1602" s="749" t="s">
        <v>4635</v>
      </c>
      <c r="Y1602" s="647" t="s">
        <v>3206</v>
      </c>
      <c r="Z1602" s="642">
        <v>7.2741</v>
      </c>
      <c r="AA1602" s="647">
        <f t="shared" si="627"/>
        <v>9907.3242</v>
      </c>
      <c r="AB1602" s="744"/>
      <c r="AC1602" s="751"/>
      <c r="AD1602" s="246" t="s">
        <v>1306</v>
      </c>
      <c r="AE1602" s="246" t="s">
        <v>82</v>
      </c>
      <c r="AF1602" s="246"/>
      <c r="AG1602" s="246"/>
      <c r="AH1602" s="642"/>
      <c r="AI1602" s="642">
        <v>1362</v>
      </c>
      <c r="AJ1602" s="246">
        <f t="shared" si="623"/>
        <v>0</v>
      </c>
      <c r="AK1602" s="643"/>
      <c r="AL1602" s="246" t="s">
        <v>9918</v>
      </c>
      <c r="AM1602" s="246"/>
      <c r="AN1602" s="551"/>
      <c r="AO1602" s="551">
        <f>I1602*2</f>
        <v>2724</v>
      </c>
      <c r="AP1602" s="551"/>
      <c r="AQ1602" s="551"/>
      <c r="AR1602" s="619">
        <f>I1602*2</f>
        <v>2724</v>
      </c>
      <c r="AS1602" s="551"/>
      <c r="AT1602" s="551"/>
      <c r="AU1602" s="551"/>
      <c r="AV1602" s="551">
        <f>I1602*2</f>
        <v>2724</v>
      </c>
      <c r="AW1602" s="551"/>
      <c r="AX1602" s="651"/>
      <c r="AY1602" s="551"/>
      <c r="AZ1602" s="551"/>
      <c r="BA1602" s="551"/>
      <c r="BB1602" s="249">
        <f>I1602/24*2</f>
        <v>113.5</v>
      </c>
      <c r="BC1602" s="551"/>
      <c r="BD1602" s="551"/>
      <c r="BE1602" s="551"/>
      <c r="BF1602" s="551"/>
      <c r="BG1602" s="549"/>
      <c r="BH1602" s="551"/>
      <c r="BI1602" s="551"/>
      <c r="BJ1602" s="551"/>
      <c r="BK1602" s="551"/>
      <c r="BL1602" s="551"/>
      <c r="BM1602" s="551"/>
      <c r="BN1602" s="551"/>
      <c r="BO1602" s="551"/>
      <c r="BP1602" s="551"/>
      <c r="BQ1602" s="551"/>
      <c r="BR1602" s="551"/>
      <c r="BS1602" s="551"/>
      <c r="BT1602" s="551"/>
      <c r="BU1602" s="551"/>
      <c r="BV1602" s="551"/>
      <c r="BW1602" s="551"/>
      <c r="BX1602" s="551"/>
      <c r="BY1602" s="551"/>
      <c r="BZ1602" s="551">
        <f>I1602</f>
        <v>1362</v>
      </c>
      <c r="CA1602" s="752"/>
      <c r="CB1602" s="747"/>
      <c r="CC1602" s="753"/>
      <c r="CD1602" s="551"/>
      <c r="CE1602" s="551"/>
      <c r="CF1602" s="551"/>
      <c r="CG1602" s="551"/>
      <c r="CH1602" s="549"/>
      <c r="CI1602" s="551"/>
      <c r="CJ1602" s="551"/>
      <c r="CK1602" s="551"/>
      <c r="CL1602" s="551"/>
      <c r="CM1602" s="551"/>
      <c r="CN1602" s="551"/>
      <c r="CO1602" s="551"/>
      <c r="CP1602" s="650"/>
      <c r="CQ1602" s="650"/>
      <c r="CR1602" s="551"/>
      <c r="CS1602" s="551"/>
      <c r="CT1602" s="551"/>
      <c r="CU1602" s="551">
        <f t="shared" si="625"/>
        <v>0</v>
      </c>
      <c r="CV1602" s="551">
        <v>0</v>
      </c>
      <c r="CW1602" s="551">
        <v>0</v>
      </c>
      <c r="CX1602" s="650"/>
      <c r="CY1602" s="650"/>
      <c r="CZ1602" s="650"/>
      <c r="DA1602" s="650"/>
      <c r="DB1602" s="650"/>
      <c r="DC1602" s="650"/>
      <c r="DD1602" s="650"/>
      <c r="DE1602" s="650"/>
      <c r="DF1602" s="650"/>
      <c r="DG1602" s="650"/>
      <c r="DH1602" s="650"/>
      <c r="DI1602" s="551"/>
    </row>
    <row r="1603" s="549" customFormat="1" ht="31" customHeight="1" spans="1:113">
      <c r="A1603" s="641">
        <v>46168</v>
      </c>
      <c r="B1603" s="642" t="s">
        <v>448</v>
      </c>
      <c r="C1603" s="246" t="s">
        <v>399</v>
      </c>
      <c r="D1603" s="748">
        <v>4500209231</v>
      </c>
      <c r="E1603" s="246" t="s">
        <v>3846</v>
      </c>
      <c r="F1603" s="551" t="s">
        <v>9919</v>
      </c>
      <c r="G1603" s="246" t="s">
        <v>6093</v>
      </c>
      <c r="H1603" s="246" t="s">
        <v>6094</v>
      </c>
      <c r="I1603" s="706">
        <v>9009</v>
      </c>
      <c r="J1603" s="246">
        <v>0</v>
      </c>
      <c r="K1603" s="246">
        <v>13</v>
      </c>
      <c r="L1603" s="644">
        <f t="shared" si="626"/>
        <v>693</v>
      </c>
      <c r="M1603" s="645">
        <v>46203</v>
      </c>
      <c r="N1603" s="742">
        <v>46200</v>
      </c>
      <c r="O1603" s="643"/>
      <c r="P1603" s="246" t="s">
        <v>113</v>
      </c>
      <c r="Q1603" s="646">
        <v>46205</v>
      </c>
      <c r="R1603" s="646">
        <v>46175</v>
      </c>
      <c r="S1603" s="646" t="s">
        <v>70</v>
      </c>
      <c r="T1603" s="646" t="s">
        <v>9920</v>
      </c>
      <c r="U1603" s="646"/>
      <c r="V1603" s="646" t="s">
        <v>9921</v>
      </c>
      <c r="W1603" s="642" t="s">
        <v>5013</v>
      </c>
      <c r="X1603" s="642" t="s">
        <v>9922</v>
      </c>
      <c r="Y1603" s="647" t="s">
        <v>445</v>
      </c>
      <c r="Z1603" s="642">
        <v>0.9395</v>
      </c>
      <c r="AA1603" s="647">
        <f t="shared" si="627"/>
        <v>8463.9555</v>
      </c>
      <c r="AB1603" s="744"/>
      <c r="AC1603" s="751"/>
      <c r="AD1603" s="246" t="s">
        <v>6093</v>
      </c>
      <c r="AE1603" s="246" t="s">
        <v>82</v>
      </c>
      <c r="AF1603" s="246"/>
      <c r="AG1603" s="246"/>
      <c r="AH1603" s="642"/>
      <c r="AI1603" s="642">
        <v>9009</v>
      </c>
      <c r="AJ1603" s="246">
        <f t="shared" si="623"/>
        <v>0</v>
      </c>
      <c r="AK1603" s="643"/>
      <c r="AL1603" s="246" t="s">
        <v>2368</v>
      </c>
      <c r="AM1603" s="246"/>
      <c r="AN1603" s="551"/>
      <c r="AO1603" s="551">
        <f>I1603</f>
        <v>9009</v>
      </c>
      <c r="AP1603" s="551"/>
      <c r="AQ1603" s="551"/>
      <c r="AR1603" s="650"/>
      <c r="AS1603" s="551"/>
      <c r="AT1603" s="551">
        <f>I1603</f>
        <v>9009</v>
      </c>
      <c r="AU1603" s="551"/>
      <c r="AV1603" s="551">
        <f>I1603</f>
        <v>9009</v>
      </c>
      <c r="AW1603" s="551"/>
      <c r="AX1603" s="651"/>
      <c r="AY1603" s="551"/>
      <c r="AZ1603" s="551"/>
      <c r="BA1603" s="551"/>
      <c r="BB1603" s="249">
        <f>I1603/24</f>
        <v>375.375</v>
      </c>
      <c r="BC1603" s="551"/>
      <c r="BD1603" s="551"/>
      <c r="BE1603" s="551"/>
      <c r="BF1603" s="551"/>
      <c r="BG1603" s="549"/>
      <c r="BH1603" s="551"/>
      <c r="BI1603" s="551"/>
      <c r="BJ1603" s="551"/>
      <c r="BK1603" s="551"/>
      <c r="BL1603" s="551"/>
      <c r="BM1603" s="551">
        <f>I1603/13</f>
        <v>693</v>
      </c>
      <c r="BN1603" s="551"/>
      <c r="BO1603" s="551"/>
      <c r="BP1603" s="551"/>
      <c r="BQ1603" s="551"/>
      <c r="BR1603" s="551"/>
      <c r="BS1603" s="551"/>
      <c r="BT1603" s="551"/>
      <c r="BU1603" s="551"/>
      <c r="BV1603" s="551"/>
      <c r="BW1603" s="551"/>
      <c r="BX1603" s="551"/>
      <c r="BY1603" s="551"/>
      <c r="BZ1603" s="551"/>
      <c r="CA1603" s="752"/>
      <c r="CB1603" s="747"/>
      <c r="CC1603" s="753"/>
      <c r="CD1603" s="551"/>
      <c r="CE1603" s="551"/>
      <c r="CF1603" s="551"/>
      <c r="CG1603" s="551"/>
      <c r="CH1603" s="549"/>
      <c r="CI1603" s="551"/>
      <c r="CJ1603" s="551"/>
      <c r="CK1603" s="551"/>
      <c r="CL1603" s="551"/>
      <c r="CM1603" s="551"/>
      <c r="CN1603" s="551"/>
      <c r="CO1603" s="551"/>
      <c r="CP1603" s="650"/>
      <c r="CQ1603" s="650"/>
      <c r="CR1603" s="551"/>
      <c r="CS1603" s="551"/>
      <c r="CT1603" s="551"/>
      <c r="CU1603" s="551">
        <f t="shared" si="625"/>
        <v>0</v>
      </c>
      <c r="CV1603" s="551">
        <f>CK1603+CL1603+CM1603+CN1603+CO1603+CQ1603+CP1603</f>
        <v>0</v>
      </c>
      <c r="CW1603" s="551">
        <f>CI1603+CJ1603</f>
        <v>0</v>
      </c>
      <c r="CX1603" s="650"/>
      <c r="CY1603" s="650"/>
      <c r="CZ1603" s="650"/>
      <c r="DA1603" s="650"/>
      <c r="DB1603" s="650"/>
      <c r="DC1603" s="650"/>
      <c r="DD1603" s="650"/>
      <c r="DE1603" s="650"/>
      <c r="DF1603" s="650"/>
      <c r="DG1603" s="650"/>
      <c r="DH1603" s="650"/>
    </row>
    <row r="1604" s="549" customFormat="1" ht="31" customHeight="1" spans="1:113">
      <c r="A1604" s="641">
        <v>46168</v>
      </c>
      <c r="B1604" s="642" t="s">
        <v>448</v>
      </c>
      <c r="C1604" s="246" t="s">
        <v>399</v>
      </c>
      <c r="D1604" s="748">
        <v>4500209231</v>
      </c>
      <c r="E1604" s="246" t="s">
        <v>3846</v>
      </c>
      <c r="F1604" s="551" t="s">
        <v>9923</v>
      </c>
      <c r="G1604" s="246" t="s">
        <v>6223</v>
      </c>
      <c r="H1604" s="246" t="s">
        <v>6080</v>
      </c>
      <c r="I1604" s="706">
        <v>6000</v>
      </c>
      <c r="J1604" s="246">
        <v>0</v>
      </c>
      <c r="K1604" s="246">
        <v>30</v>
      </c>
      <c r="L1604" s="644">
        <f t="shared" si="626"/>
        <v>200</v>
      </c>
      <c r="M1604" s="645">
        <v>46203</v>
      </c>
      <c r="N1604" s="742">
        <v>46200</v>
      </c>
      <c r="O1604" s="643"/>
      <c r="P1604" s="246" t="s">
        <v>113</v>
      </c>
      <c r="Q1604" s="646">
        <v>46205</v>
      </c>
      <c r="R1604" s="646">
        <v>46175</v>
      </c>
      <c r="S1604" s="646" t="s">
        <v>70</v>
      </c>
      <c r="T1604" s="646" t="s">
        <v>9920</v>
      </c>
      <c r="U1604" s="646"/>
      <c r="V1604" s="646" t="s">
        <v>9921</v>
      </c>
      <c r="W1604" s="642" t="s">
        <v>5013</v>
      </c>
      <c r="X1604" s="642" t="s">
        <v>9924</v>
      </c>
      <c r="Y1604" s="647" t="s">
        <v>445</v>
      </c>
      <c r="Z1604" s="642">
        <v>38.1712</v>
      </c>
      <c r="AA1604" s="647">
        <f>Z1604*L1604</f>
        <v>7634.24</v>
      </c>
      <c r="AB1604" s="744"/>
      <c r="AC1604" s="751"/>
      <c r="AD1604" s="246" t="s">
        <v>6223</v>
      </c>
      <c r="AE1604" s="246" t="s">
        <v>82</v>
      </c>
      <c r="AF1604" s="246"/>
      <c r="AG1604" s="246"/>
      <c r="AH1604" s="642"/>
      <c r="AI1604" s="642">
        <v>6000</v>
      </c>
      <c r="AJ1604" s="246">
        <f t="shared" si="623"/>
        <v>0</v>
      </c>
      <c r="AK1604" s="643"/>
      <c r="AL1604" s="246" t="s">
        <v>2368</v>
      </c>
      <c r="AM1604" s="246"/>
      <c r="AN1604" s="551"/>
      <c r="AO1604" s="551">
        <f>I1604</f>
        <v>6000</v>
      </c>
      <c r="AP1604" s="551"/>
      <c r="AQ1604" s="551"/>
      <c r="AR1604" s="650"/>
      <c r="AS1604" s="551"/>
      <c r="AT1604" s="551">
        <f>I1604</f>
        <v>6000</v>
      </c>
      <c r="AU1604" s="551"/>
      <c r="AV1604" s="551">
        <f>I1604</f>
        <v>6000</v>
      </c>
      <c r="AW1604" s="551"/>
      <c r="AX1604" s="651"/>
      <c r="AY1604" s="551"/>
      <c r="AZ1604" s="551"/>
      <c r="BA1604" s="551"/>
      <c r="BB1604" s="249">
        <f>I1604/24</f>
        <v>250</v>
      </c>
      <c r="BC1604" s="551"/>
      <c r="BD1604" s="551"/>
      <c r="BE1604" s="551"/>
      <c r="BF1604" s="551"/>
      <c r="BG1604" s="549"/>
      <c r="BH1604" s="551"/>
      <c r="BI1604" s="551"/>
      <c r="BJ1604" s="551"/>
      <c r="BK1604" s="551"/>
      <c r="BL1604" s="551"/>
      <c r="BM1604" s="551"/>
      <c r="BN1604" s="551"/>
      <c r="BO1604" s="551"/>
      <c r="BP1604" s="551"/>
      <c r="BQ1604" s="551"/>
      <c r="BR1604" s="551"/>
      <c r="BS1604" s="551"/>
      <c r="BT1604" s="551"/>
      <c r="BU1604" s="551"/>
      <c r="BV1604" s="551"/>
      <c r="BW1604" s="551"/>
      <c r="BX1604" s="551"/>
      <c r="BY1604" s="551"/>
      <c r="BZ1604" s="551"/>
      <c r="CA1604" s="752"/>
      <c r="CB1604" s="747"/>
      <c r="CC1604" s="753"/>
      <c r="CD1604" s="551"/>
      <c r="CE1604" s="551"/>
      <c r="CF1604" s="551"/>
      <c r="CG1604" s="551"/>
      <c r="CH1604" s="549"/>
      <c r="CI1604" s="551"/>
      <c r="CJ1604" s="551"/>
      <c r="CK1604" s="551"/>
      <c r="CL1604" s="551"/>
      <c r="CM1604" s="551"/>
      <c r="CN1604" s="551"/>
      <c r="CO1604" s="551"/>
      <c r="CP1604" s="551">
        <f>I1604/30</f>
        <v>200</v>
      </c>
      <c r="CQ1604" s="650"/>
      <c r="CR1604" s="551"/>
      <c r="CS1604" s="551"/>
      <c r="CT1604" s="551"/>
      <c r="CU1604" s="551">
        <f t="shared" si="625"/>
        <v>0</v>
      </c>
      <c r="CV1604" s="551">
        <f>CK1604+CL1604+CM1604+CN1604+CO1604+CQ1604+CP1604</f>
        <v>200</v>
      </c>
      <c r="CW1604" s="551">
        <f>CI1604+CJ1604</f>
        <v>0</v>
      </c>
      <c r="CX1604" s="650"/>
      <c r="CY1604" s="650"/>
      <c r="CZ1604" s="650"/>
      <c r="DA1604" s="650"/>
      <c r="DB1604" s="650"/>
      <c r="DC1604" s="650"/>
      <c r="DD1604" s="650"/>
      <c r="DE1604" s="650"/>
      <c r="DF1604" s="650"/>
      <c r="DG1604" s="650"/>
      <c r="DH1604" s="650"/>
    </row>
    <row r="1605" s="549" customFormat="1" ht="31" customHeight="1" spans="1:113">
      <c r="A1605" s="641">
        <v>46126</v>
      </c>
      <c r="B1605" s="642" t="s">
        <v>3340</v>
      </c>
      <c r="C1605" s="246" t="s">
        <v>98</v>
      </c>
      <c r="D1605" s="551">
        <v>4500201746</v>
      </c>
      <c r="E1605" s="246">
        <v>127320</v>
      </c>
      <c r="F1605" s="551" t="s">
        <v>9925</v>
      </c>
      <c r="G1605" s="246" t="s">
        <v>6787</v>
      </c>
      <c r="H1605" s="610" t="s">
        <v>6126</v>
      </c>
      <c r="I1605" s="706">
        <v>2004</v>
      </c>
      <c r="J1605" s="246">
        <v>0</v>
      </c>
      <c r="K1605" s="246">
        <v>12</v>
      </c>
      <c r="L1605" s="644">
        <f t="shared" si="626"/>
        <v>167</v>
      </c>
      <c r="M1605" s="645">
        <v>46205</v>
      </c>
      <c r="N1605" s="645">
        <v>46202</v>
      </c>
      <c r="O1605" s="643"/>
      <c r="P1605" s="246" t="s">
        <v>113</v>
      </c>
      <c r="Q1605" s="646" t="s">
        <v>4577</v>
      </c>
      <c r="R1605" s="646">
        <v>46126</v>
      </c>
      <c r="S1605" s="646" t="s">
        <v>70</v>
      </c>
      <c r="T1605" s="646" t="s">
        <v>4581</v>
      </c>
      <c r="U1605" s="646"/>
      <c r="V1605" s="646"/>
      <c r="W1605" s="744"/>
      <c r="X1605" s="642" t="s">
        <v>9926</v>
      </c>
      <c r="Y1605" s="647" t="s">
        <v>3864</v>
      </c>
      <c r="Z1605" s="642">
        <v>1.3546</v>
      </c>
      <c r="AA1605" s="647">
        <v>2714.6184</v>
      </c>
      <c r="AB1605" s="744"/>
      <c r="AC1605" s="763" t="s">
        <v>4579</v>
      </c>
      <c r="AD1605" s="642" t="s">
        <v>8079</v>
      </c>
      <c r="AE1605" s="246" t="s">
        <v>82</v>
      </c>
      <c r="AF1605" s="246"/>
      <c r="AG1605" s="246"/>
      <c r="AH1605" s="642"/>
      <c r="AI1605" s="642">
        <v>2004</v>
      </c>
      <c r="AJ1605" s="246">
        <f t="shared" si="623"/>
        <v>0</v>
      </c>
      <c r="AK1605" s="643"/>
      <c r="AL1605" s="246" t="s">
        <v>2368</v>
      </c>
      <c r="AM1605" s="246"/>
      <c r="AN1605" s="246">
        <f>I1605*2</f>
        <v>4008</v>
      </c>
      <c r="AO1605" s="551"/>
      <c r="AP1605" s="551"/>
      <c r="AQ1605" s="551">
        <f>I1605*2</f>
        <v>4008</v>
      </c>
      <c r="AR1605" s="650"/>
      <c r="AS1605" s="551"/>
      <c r="AT1605" s="551"/>
      <c r="AU1605" s="551">
        <f>I1605*2</f>
        <v>4008</v>
      </c>
      <c r="AV1605" s="551"/>
      <c r="AW1605" s="551"/>
      <c r="AX1605" s="651"/>
      <c r="AY1605" s="551"/>
      <c r="AZ1605" s="551"/>
      <c r="BA1605" s="551"/>
      <c r="BB1605" s="249">
        <f>I1605/24*2</f>
        <v>167</v>
      </c>
      <c r="BC1605" s="551"/>
      <c r="BD1605" s="551"/>
      <c r="BE1605" s="551"/>
      <c r="BF1605" s="551"/>
      <c r="BG1605" s="549"/>
      <c r="BH1605" s="551"/>
      <c r="BI1605" s="551"/>
      <c r="BJ1605" s="551"/>
      <c r="BK1605" s="551"/>
      <c r="BL1605" s="551"/>
      <c r="BM1605" s="551"/>
      <c r="BN1605" s="551"/>
      <c r="BO1605" s="551"/>
      <c r="BP1605" s="551"/>
      <c r="BQ1605" s="551"/>
      <c r="BR1605" s="551"/>
      <c r="BS1605" s="551"/>
      <c r="BT1605" s="551"/>
      <c r="BU1605" s="551"/>
      <c r="BV1605" s="551"/>
      <c r="BW1605" s="551"/>
      <c r="BX1605" s="551"/>
      <c r="BY1605" s="551"/>
      <c r="BZ1605" s="551"/>
      <c r="CA1605" s="752"/>
      <c r="CB1605" s="747"/>
      <c r="CC1605" s="753"/>
      <c r="CD1605" s="551"/>
      <c r="CE1605" s="551"/>
      <c r="CF1605" s="551"/>
      <c r="CG1605" s="551"/>
      <c r="CH1605" s="549"/>
      <c r="CI1605" s="551"/>
      <c r="CJ1605" s="551"/>
      <c r="CK1605" s="551"/>
      <c r="CL1605" s="551"/>
      <c r="CM1605" s="551"/>
      <c r="CN1605" s="551"/>
      <c r="CO1605" s="551"/>
      <c r="CP1605" s="650"/>
      <c r="CQ1605" s="650"/>
      <c r="CR1605" s="551">
        <f>I1605</f>
        <v>2004</v>
      </c>
      <c r="CS1605" s="551">
        <f>I1605</f>
        <v>2004</v>
      </c>
      <c r="CT1605" s="551">
        <f>I1605</f>
        <v>2004</v>
      </c>
      <c r="CU1605" s="551">
        <f t="shared" si="625"/>
        <v>0</v>
      </c>
      <c r="CV1605" s="551">
        <v>0</v>
      </c>
      <c r="CW1605" s="551">
        <v>0</v>
      </c>
      <c r="CX1605" s="650"/>
      <c r="CY1605" s="650"/>
      <c r="CZ1605" s="650"/>
      <c r="DA1605" s="650"/>
      <c r="DB1605" s="650"/>
      <c r="DC1605" s="650"/>
      <c r="DD1605" s="650"/>
      <c r="DE1605" s="650"/>
      <c r="DF1605" s="650"/>
      <c r="DG1605" s="650"/>
      <c r="DH1605" s="650"/>
    </row>
    <row r="1606" s="549" customFormat="1" ht="31" customHeight="1" spans="1:113">
      <c r="A1606" s="641">
        <v>46136</v>
      </c>
      <c r="B1606" s="642" t="s">
        <v>4584</v>
      </c>
      <c r="C1606" s="246" t="s">
        <v>399</v>
      </c>
      <c r="D1606" s="748">
        <v>4500203810</v>
      </c>
      <c r="E1606" s="246" t="s">
        <v>9927</v>
      </c>
      <c r="F1606" s="551" t="s">
        <v>9928</v>
      </c>
      <c r="G1606" s="246" t="s">
        <v>6047</v>
      </c>
      <c r="H1606" s="246" t="s">
        <v>6069</v>
      </c>
      <c r="I1606" s="706">
        <v>1425</v>
      </c>
      <c r="J1606" s="246">
        <v>0</v>
      </c>
      <c r="K1606" s="246">
        <v>25</v>
      </c>
      <c r="L1606" s="644">
        <f t="shared" si="626"/>
        <v>57</v>
      </c>
      <c r="M1606" s="645">
        <v>46205</v>
      </c>
      <c r="N1606" s="645">
        <v>46202</v>
      </c>
      <c r="O1606" s="643"/>
      <c r="P1606" s="246" t="s">
        <v>113</v>
      </c>
      <c r="Q1606" s="646"/>
      <c r="R1606" s="646" t="s">
        <v>4587</v>
      </c>
      <c r="S1606" s="646" t="s">
        <v>70</v>
      </c>
      <c r="T1606" s="646" t="s">
        <v>9929</v>
      </c>
      <c r="U1606" s="646"/>
      <c r="V1606" s="642"/>
      <c r="W1606" s="642" t="s">
        <v>9930</v>
      </c>
      <c r="X1606" s="642" t="s">
        <v>9931</v>
      </c>
      <c r="Y1606" s="647" t="s">
        <v>4065</v>
      </c>
      <c r="Z1606" s="642">
        <v>0.9756</v>
      </c>
      <c r="AA1606" s="647">
        <f>Z1606*I1606</f>
        <v>1390.23</v>
      </c>
      <c r="AB1606" s="744"/>
      <c r="AC1606" s="751"/>
      <c r="AD1606" s="246" t="s">
        <v>6047</v>
      </c>
      <c r="AE1606" s="246" t="s">
        <v>82</v>
      </c>
      <c r="AF1606" s="246"/>
      <c r="AG1606" s="246"/>
      <c r="AH1606" s="642"/>
      <c r="AI1606" s="642">
        <v>1425</v>
      </c>
      <c r="AJ1606" s="246">
        <f t="shared" si="623"/>
        <v>0</v>
      </c>
      <c r="AK1606" s="643"/>
      <c r="AL1606" s="246" t="s">
        <v>454</v>
      </c>
      <c r="AM1606" s="246"/>
      <c r="AN1606" s="551"/>
      <c r="AO1606" s="551">
        <f>I1606</f>
        <v>1425</v>
      </c>
      <c r="AP1606" s="551"/>
      <c r="AQ1606" s="551"/>
      <c r="AR1606" s="650"/>
      <c r="AS1606" s="551"/>
      <c r="AT1606" s="551">
        <f>I1606</f>
        <v>1425</v>
      </c>
      <c r="AU1606" s="551"/>
      <c r="AV1606" s="551">
        <f>I1606</f>
        <v>1425</v>
      </c>
      <c r="AW1606" s="551"/>
      <c r="AX1606" s="651"/>
      <c r="AY1606" s="551"/>
      <c r="AZ1606" s="551"/>
      <c r="BA1606" s="551"/>
      <c r="BB1606" s="249">
        <f>I1606/24</f>
        <v>59.375</v>
      </c>
      <c r="BC1606" s="551"/>
      <c r="BD1606" s="551"/>
      <c r="BE1606" s="551"/>
      <c r="BF1606" s="551"/>
      <c r="BG1606" s="549"/>
      <c r="BH1606" s="551"/>
      <c r="BI1606" s="551"/>
      <c r="BJ1606" s="551"/>
      <c r="BK1606" s="551"/>
      <c r="BL1606" s="551"/>
      <c r="BM1606" s="551"/>
      <c r="BN1606" s="551"/>
      <c r="BO1606" s="551"/>
      <c r="BP1606" s="551">
        <f>I1606/25</f>
        <v>57</v>
      </c>
      <c r="BQ1606" s="551"/>
      <c r="BR1606" s="551"/>
      <c r="BS1606" s="551"/>
      <c r="BT1606" s="551"/>
      <c r="BU1606" s="551"/>
      <c r="BV1606" s="551"/>
      <c r="BW1606" s="551"/>
      <c r="BX1606" s="551"/>
      <c r="BY1606" s="551"/>
      <c r="BZ1606" s="551"/>
      <c r="CA1606" s="752"/>
      <c r="CB1606" s="747"/>
      <c r="CC1606" s="753"/>
      <c r="CD1606" s="551"/>
      <c r="CE1606" s="551"/>
      <c r="CF1606" s="551"/>
      <c r="CG1606" s="551"/>
      <c r="CH1606" s="549"/>
      <c r="CI1606" s="551"/>
      <c r="CJ1606" s="551"/>
      <c r="CK1606" s="551"/>
      <c r="CL1606" s="551"/>
      <c r="CM1606" s="551"/>
      <c r="CN1606" s="551"/>
      <c r="CO1606" s="551"/>
      <c r="CP1606" s="650"/>
      <c r="CQ1606" s="650"/>
      <c r="CR1606" s="551"/>
      <c r="CS1606" s="551"/>
      <c r="CT1606" s="551"/>
      <c r="CU1606" s="551">
        <f t="shared" si="625"/>
        <v>57</v>
      </c>
      <c r="CV1606" s="551">
        <f>CK1606+CL1606+CM1606+CN1606+CO1606+CQ1606+CP1606</f>
        <v>0</v>
      </c>
      <c r="CW1606" s="551">
        <f>CI1606+CJ1606</f>
        <v>0</v>
      </c>
      <c r="CX1606" s="650"/>
      <c r="CY1606" s="650"/>
      <c r="CZ1606" s="650"/>
      <c r="DA1606" s="650"/>
      <c r="DB1606" s="650"/>
      <c r="DC1606" s="650"/>
      <c r="DD1606" s="650"/>
      <c r="DE1606" s="650"/>
      <c r="DF1606" s="650"/>
      <c r="DG1606" s="650"/>
      <c r="DH1606" s="650"/>
    </row>
    <row r="1607" s="549" customFormat="1" ht="31" customHeight="1" spans="1:113">
      <c r="A1607" s="641">
        <v>46136</v>
      </c>
      <c r="B1607" s="642" t="s">
        <v>4584</v>
      </c>
      <c r="C1607" s="246" t="s">
        <v>399</v>
      </c>
      <c r="D1607" s="748">
        <v>4500203860</v>
      </c>
      <c r="E1607" s="246" t="s">
        <v>9932</v>
      </c>
      <c r="F1607" s="551" t="s">
        <v>9933</v>
      </c>
      <c r="G1607" s="246" t="s">
        <v>6047</v>
      </c>
      <c r="H1607" s="246" t="s">
        <v>6069</v>
      </c>
      <c r="I1607" s="706">
        <v>1375</v>
      </c>
      <c r="J1607" s="246">
        <v>0</v>
      </c>
      <c r="K1607" s="246">
        <v>25</v>
      </c>
      <c r="L1607" s="644">
        <f t="shared" si="626"/>
        <v>55</v>
      </c>
      <c r="M1607" s="645">
        <v>46205</v>
      </c>
      <c r="N1607" s="645">
        <v>46202</v>
      </c>
      <c r="O1607" s="643"/>
      <c r="P1607" s="246" t="s">
        <v>113</v>
      </c>
      <c r="Q1607" s="646">
        <v>46220</v>
      </c>
      <c r="R1607" s="646" t="s">
        <v>4587</v>
      </c>
      <c r="S1607" s="646" t="s">
        <v>70</v>
      </c>
      <c r="T1607" s="646" t="s">
        <v>9929</v>
      </c>
      <c r="U1607" s="646"/>
      <c r="V1607" s="642"/>
      <c r="W1607" s="642" t="s">
        <v>9930</v>
      </c>
      <c r="X1607" s="642" t="s">
        <v>9934</v>
      </c>
      <c r="Y1607" s="647" t="s">
        <v>4065</v>
      </c>
      <c r="Z1607" s="642">
        <v>0.9756</v>
      </c>
      <c r="AA1607" s="647">
        <f>Z1607*I1607</f>
        <v>1341.45</v>
      </c>
      <c r="AB1607" s="744"/>
      <c r="AC1607" s="751"/>
      <c r="AD1607" s="246" t="s">
        <v>6047</v>
      </c>
      <c r="AE1607" s="246" t="s">
        <v>82</v>
      </c>
      <c r="AF1607" s="246"/>
      <c r="AG1607" s="246"/>
      <c r="AH1607" s="642"/>
      <c r="AI1607" s="642">
        <v>1375</v>
      </c>
      <c r="AJ1607" s="246">
        <f t="shared" si="623"/>
        <v>0</v>
      </c>
      <c r="AK1607" s="643"/>
      <c r="AL1607" s="246" t="s">
        <v>454</v>
      </c>
      <c r="AM1607" s="246"/>
      <c r="AN1607" s="551"/>
      <c r="AO1607" s="551">
        <f>I1607</f>
        <v>1375</v>
      </c>
      <c r="AP1607" s="551"/>
      <c r="AQ1607" s="551"/>
      <c r="AR1607" s="650"/>
      <c r="AS1607" s="551"/>
      <c r="AT1607" s="551">
        <f>I1607</f>
        <v>1375</v>
      </c>
      <c r="AU1607" s="551"/>
      <c r="AV1607" s="551">
        <f>I1607</f>
        <v>1375</v>
      </c>
      <c r="AW1607" s="551"/>
      <c r="AX1607" s="651"/>
      <c r="AY1607" s="551"/>
      <c r="AZ1607" s="551"/>
      <c r="BA1607" s="551"/>
      <c r="BB1607" s="249">
        <f>I1607/24</f>
        <v>57.2916666666667</v>
      </c>
      <c r="BC1607" s="551"/>
      <c r="BD1607" s="551"/>
      <c r="BE1607" s="551"/>
      <c r="BF1607" s="551"/>
      <c r="BG1607" s="549"/>
      <c r="BH1607" s="551"/>
      <c r="BI1607" s="551"/>
      <c r="BJ1607" s="551"/>
      <c r="BK1607" s="551"/>
      <c r="BL1607" s="551"/>
      <c r="BM1607" s="551"/>
      <c r="BN1607" s="551"/>
      <c r="BO1607" s="551"/>
      <c r="BP1607" s="551">
        <f>I1607/25</f>
        <v>55</v>
      </c>
      <c r="BQ1607" s="551"/>
      <c r="BR1607" s="551"/>
      <c r="BS1607" s="551"/>
      <c r="BT1607" s="551"/>
      <c r="BU1607" s="551"/>
      <c r="BV1607" s="551"/>
      <c r="BW1607" s="551"/>
      <c r="BX1607" s="551"/>
      <c r="BY1607" s="551"/>
      <c r="BZ1607" s="551"/>
      <c r="CA1607" s="752"/>
      <c r="CB1607" s="747"/>
      <c r="CC1607" s="753"/>
      <c r="CD1607" s="551"/>
      <c r="CE1607" s="551"/>
      <c r="CF1607" s="551"/>
      <c r="CG1607" s="551"/>
      <c r="CH1607" s="549"/>
      <c r="CI1607" s="551"/>
      <c r="CJ1607" s="551"/>
      <c r="CK1607" s="551"/>
      <c r="CL1607" s="551"/>
      <c r="CM1607" s="551"/>
      <c r="CN1607" s="551"/>
      <c r="CO1607" s="551"/>
      <c r="CP1607" s="650"/>
      <c r="CQ1607" s="650"/>
      <c r="CR1607" s="551"/>
      <c r="CS1607" s="551"/>
      <c r="CT1607" s="551"/>
      <c r="CU1607" s="551">
        <f t="shared" si="625"/>
        <v>55</v>
      </c>
      <c r="CV1607" s="551">
        <f>CK1607+CL1607+CM1607+CN1607+CO1607+CQ1607+CP1607</f>
        <v>0</v>
      </c>
      <c r="CW1607" s="551">
        <f>CI1607+CJ1607</f>
        <v>0</v>
      </c>
      <c r="CX1607" s="650"/>
      <c r="CY1607" s="650"/>
      <c r="CZ1607" s="650"/>
      <c r="DA1607" s="650"/>
      <c r="DB1607" s="650"/>
      <c r="DC1607" s="650"/>
      <c r="DD1607" s="650"/>
      <c r="DE1607" s="650"/>
      <c r="DF1607" s="650"/>
      <c r="DG1607" s="650"/>
      <c r="DH1607" s="650"/>
    </row>
    <row r="1608" s="549" customFormat="1" ht="31" customHeight="1" spans="1:113">
      <c r="A1608" s="641">
        <v>46136</v>
      </c>
      <c r="B1608" s="642" t="s">
        <v>4584</v>
      </c>
      <c r="C1608" s="246" t="s">
        <v>399</v>
      </c>
      <c r="D1608" s="748">
        <v>4500203898</v>
      </c>
      <c r="E1608" s="246" t="s">
        <v>9935</v>
      </c>
      <c r="F1608" s="551" t="s">
        <v>9936</v>
      </c>
      <c r="G1608" s="246" t="s">
        <v>6047</v>
      </c>
      <c r="H1608" s="246" t="s">
        <v>6069</v>
      </c>
      <c r="I1608" s="706">
        <v>2675</v>
      </c>
      <c r="J1608" s="246">
        <v>0</v>
      </c>
      <c r="K1608" s="246">
        <v>25</v>
      </c>
      <c r="L1608" s="644">
        <f t="shared" si="626"/>
        <v>107</v>
      </c>
      <c r="M1608" s="645">
        <v>46205</v>
      </c>
      <c r="N1608" s="645">
        <v>46202</v>
      </c>
      <c r="O1608" s="643"/>
      <c r="P1608" s="246" t="s">
        <v>113</v>
      </c>
      <c r="Q1608" s="646"/>
      <c r="R1608" s="646" t="s">
        <v>4587</v>
      </c>
      <c r="S1608" s="646" t="s">
        <v>70</v>
      </c>
      <c r="T1608" s="646" t="s">
        <v>9929</v>
      </c>
      <c r="U1608" s="646"/>
      <c r="V1608" s="642"/>
      <c r="W1608" s="642" t="s">
        <v>9930</v>
      </c>
      <c r="X1608" s="642" t="s">
        <v>9937</v>
      </c>
      <c r="Y1608" s="647" t="s">
        <v>4065</v>
      </c>
      <c r="Z1608" s="642">
        <v>0.9756</v>
      </c>
      <c r="AA1608" s="647">
        <f>Z1608*I1608</f>
        <v>2609.73</v>
      </c>
      <c r="AB1608" s="744"/>
      <c r="AC1608" s="751"/>
      <c r="AD1608" s="246" t="s">
        <v>6047</v>
      </c>
      <c r="AE1608" s="246" t="s">
        <v>82</v>
      </c>
      <c r="AF1608" s="246"/>
      <c r="AG1608" s="246"/>
      <c r="AH1608" s="642"/>
      <c r="AI1608" s="642">
        <v>2675</v>
      </c>
      <c r="AJ1608" s="246">
        <f t="shared" si="623"/>
        <v>0</v>
      </c>
      <c r="AK1608" s="643"/>
      <c r="AL1608" s="246" t="s">
        <v>454</v>
      </c>
      <c r="AM1608" s="246"/>
      <c r="AN1608" s="551"/>
      <c r="AO1608" s="551">
        <f>I1608</f>
        <v>2675</v>
      </c>
      <c r="AP1608" s="551"/>
      <c r="AQ1608" s="551"/>
      <c r="AR1608" s="650"/>
      <c r="AS1608" s="551"/>
      <c r="AT1608" s="551">
        <f>I1608</f>
        <v>2675</v>
      </c>
      <c r="AU1608" s="551"/>
      <c r="AV1608" s="551">
        <f>I1608</f>
        <v>2675</v>
      </c>
      <c r="AW1608" s="551"/>
      <c r="AX1608" s="651"/>
      <c r="AY1608" s="551"/>
      <c r="AZ1608" s="551"/>
      <c r="BA1608" s="551"/>
      <c r="BB1608" s="249">
        <f>I1608/24</f>
        <v>111.458333333333</v>
      </c>
      <c r="BC1608" s="551"/>
      <c r="BD1608" s="551"/>
      <c r="BE1608" s="551"/>
      <c r="BF1608" s="551"/>
      <c r="BG1608" s="549"/>
      <c r="BH1608" s="551"/>
      <c r="BI1608" s="551"/>
      <c r="BJ1608" s="551"/>
      <c r="BK1608" s="551"/>
      <c r="BL1608" s="551"/>
      <c r="BM1608" s="551"/>
      <c r="BN1608" s="551"/>
      <c r="BO1608" s="551"/>
      <c r="BP1608" s="551">
        <f>I1608/25</f>
        <v>107</v>
      </c>
      <c r="BQ1608" s="551"/>
      <c r="BR1608" s="551"/>
      <c r="BS1608" s="551"/>
      <c r="BT1608" s="551"/>
      <c r="BU1608" s="551"/>
      <c r="BV1608" s="551"/>
      <c r="BW1608" s="551"/>
      <c r="BX1608" s="551"/>
      <c r="BY1608" s="551"/>
      <c r="BZ1608" s="551"/>
      <c r="CA1608" s="752"/>
      <c r="CB1608" s="747"/>
      <c r="CC1608" s="753"/>
      <c r="CD1608" s="551"/>
      <c r="CE1608" s="551"/>
      <c r="CF1608" s="551"/>
      <c r="CG1608" s="551"/>
      <c r="CH1608" s="549"/>
      <c r="CI1608" s="551"/>
      <c r="CJ1608" s="551"/>
      <c r="CK1608" s="551"/>
      <c r="CL1608" s="551"/>
      <c r="CM1608" s="551"/>
      <c r="CN1608" s="551"/>
      <c r="CO1608" s="551"/>
      <c r="CP1608" s="650"/>
      <c r="CQ1608" s="650"/>
      <c r="CR1608" s="551"/>
      <c r="CS1608" s="551"/>
      <c r="CT1608" s="551"/>
      <c r="CU1608" s="551">
        <f t="shared" si="625"/>
        <v>107</v>
      </c>
      <c r="CV1608" s="551">
        <f>CK1608+CL1608+CM1608+CN1608+CO1608+CQ1608+CP1608</f>
        <v>0</v>
      </c>
      <c r="CW1608" s="551">
        <f>CI1608+CJ1608</f>
        <v>0</v>
      </c>
      <c r="CX1608" s="650"/>
      <c r="CY1608" s="650"/>
      <c r="CZ1608" s="650"/>
      <c r="DA1608" s="650"/>
      <c r="DB1608" s="650"/>
      <c r="DC1608" s="650"/>
      <c r="DD1608" s="650"/>
      <c r="DE1608" s="650"/>
      <c r="DF1608" s="650"/>
      <c r="DG1608" s="650"/>
      <c r="DH1608" s="650"/>
    </row>
    <row r="1609" s="549" customFormat="1" ht="31" customHeight="1" spans="1:113">
      <c r="A1609" s="641">
        <v>46136</v>
      </c>
      <c r="B1609" s="642" t="s">
        <v>4584</v>
      </c>
      <c r="C1609" s="246" t="s">
        <v>399</v>
      </c>
      <c r="D1609" s="748">
        <v>4500203934</v>
      </c>
      <c r="E1609" s="246" t="s">
        <v>9938</v>
      </c>
      <c r="F1609" s="551" t="s">
        <v>9939</v>
      </c>
      <c r="G1609" s="246" t="s">
        <v>6047</v>
      </c>
      <c r="H1609" s="246" t="s">
        <v>6069</v>
      </c>
      <c r="I1609" s="706">
        <v>1000</v>
      </c>
      <c r="J1609" s="246">
        <v>0</v>
      </c>
      <c r="K1609" s="246">
        <v>25</v>
      </c>
      <c r="L1609" s="644">
        <f t="shared" si="626"/>
        <v>40</v>
      </c>
      <c r="M1609" s="645">
        <v>46205</v>
      </c>
      <c r="N1609" s="645">
        <v>46202</v>
      </c>
      <c r="O1609" s="643"/>
      <c r="P1609" s="246" t="s">
        <v>113</v>
      </c>
      <c r="Q1609" s="646"/>
      <c r="R1609" s="646" t="s">
        <v>4587</v>
      </c>
      <c r="S1609" s="646" t="s">
        <v>70</v>
      </c>
      <c r="T1609" s="646" t="s">
        <v>9929</v>
      </c>
      <c r="U1609" s="646"/>
      <c r="V1609" s="642"/>
      <c r="W1609" s="642" t="s">
        <v>9930</v>
      </c>
      <c r="X1609" s="642" t="s">
        <v>9940</v>
      </c>
      <c r="Y1609" s="647" t="s">
        <v>4065</v>
      </c>
      <c r="Z1609" s="642">
        <v>0.9756</v>
      </c>
      <c r="AA1609" s="647">
        <f>Z1609*I1609</f>
        <v>975.6</v>
      </c>
      <c r="AB1609" s="744"/>
      <c r="AC1609" s="751"/>
      <c r="AD1609" s="246" t="s">
        <v>6047</v>
      </c>
      <c r="AE1609" s="246" t="s">
        <v>82</v>
      </c>
      <c r="AF1609" s="246"/>
      <c r="AG1609" s="246"/>
      <c r="AH1609" s="642"/>
      <c r="AI1609" s="642">
        <v>1000</v>
      </c>
      <c r="AJ1609" s="246">
        <f t="shared" si="623"/>
        <v>0</v>
      </c>
      <c r="AK1609" s="643"/>
      <c r="AL1609" s="246" t="s">
        <v>454</v>
      </c>
      <c r="AM1609" s="246"/>
      <c r="AN1609" s="551"/>
      <c r="AO1609" s="551">
        <f>I1609</f>
        <v>1000</v>
      </c>
      <c r="AP1609" s="551"/>
      <c r="AQ1609" s="551"/>
      <c r="AR1609" s="650"/>
      <c r="AS1609" s="551"/>
      <c r="AT1609" s="551">
        <f>I1609</f>
        <v>1000</v>
      </c>
      <c r="AU1609" s="551"/>
      <c r="AV1609" s="551">
        <f>I1609</f>
        <v>1000</v>
      </c>
      <c r="AW1609" s="551"/>
      <c r="AX1609" s="651"/>
      <c r="AY1609" s="551"/>
      <c r="AZ1609" s="551"/>
      <c r="BA1609" s="551"/>
      <c r="BB1609" s="249">
        <f>I1609/24</f>
        <v>41.6666666666667</v>
      </c>
      <c r="BC1609" s="551"/>
      <c r="BD1609" s="551"/>
      <c r="BE1609" s="551"/>
      <c r="BF1609" s="551"/>
      <c r="BG1609" s="549"/>
      <c r="BH1609" s="551"/>
      <c r="BI1609" s="551"/>
      <c r="BJ1609" s="551"/>
      <c r="BK1609" s="551"/>
      <c r="BL1609" s="551"/>
      <c r="BM1609" s="551"/>
      <c r="BN1609" s="551"/>
      <c r="BO1609" s="551"/>
      <c r="BP1609" s="551">
        <f>I1609/25</f>
        <v>40</v>
      </c>
      <c r="BQ1609" s="551"/>
      <c r="BR1609" s="551"/>
      <c r="BS1609" s="551"/>
      <c r="BT1609" s="551"/>
      <c r="BU1609" s="551"/>
      <c r="BV1609" s="551"/>
      <c r="BW1609" s="551"/>
      <c r="BX1609" s="551"/>
      <c r="BY1609" s="551"/>
      <c r="BZ1609" s="551"/>
      <c r="CA1609" s="752"/>
      <c r="CB1609" s="747"/>
      <c r="CC1609" s="753"/>
      <c r="CD1609" s="551"/>
      <c r="CE1609" s="551"/>
      <c r="CF1609" s="551"/>
      <c r="CG1609" s="551"/>
      <c r="CH1609" s="549"/>
      <c r="CI1609" s="551"/>
      <c r="CJ1609" s="551"/>
      <c r="CK1609" s="551"/>
      <c r="CL1609" s="551"/>
      <c r="CM1609" s="551"/>
      <c r="CN1609" s="551"/>
      <c r="CO1609" s="551"/>
      <c r="CP1609" s="650"/>
      <c r="CQ1609" s="650"/>
      <c r="CR1609" s="551"/>
      <c r="CS1609" s="551"/>
      <c r="CT1609" s="551"/>
      <c r="CU1609" s="551">
        <f t="shared" si="625"/>
        <v>40</v>
      </c>
      <c r="CV1609" s="551">
        <f>CK1609+CL1609+CM1609+CN1609+CO1609+CQ1609+CP1609</f>
        <v>0</v>
      </c>
      <c r="CW1609" s="551">
        <f>CI1609+CJ1609</f>
        <v>0</v>
      </c>
      <c r="CX1609" s="650"/>
      <c r="CY1609" s="650"/>
      <c r="CZ1609" s="650"/>
      <c r="DA1609" s="650"/>
      <c r="DB1609" s="650"/>
      <c r="DC1609" s="650"/>
      <c r="DD1609" s="650"/>
      <c r="DE1609" s="650"/>
      <c r="DF1609" s="650"/>
      <c r="DG1609" s="650"/>
      <c r="DH1609" s="650"/>
    </row>
    <row r="1610" s="549" customFormat="1" ht="31" customHeight="1" spans="1:113">
      <c r="A1610" s="641">
        <v>46126</v>
      </c>
      <c r="B1610" s="642" t="s">
        <v>3340</v>
      </c>
      <c r="C1610" s="246" t="s">
        <v>98</v>
      </c>
      <c r="D1610" s="551">
        <v>4500201747</v>
      </c>
      <c r="E1610" s="246">
        <v>127333</v>
      </c>
      <c r="F1610" s="551" t="s">
        <v>9941</v>
      </c>
      <c r="G1610" s="246" t="s">
        <v>6787</v>
      </c>
      <c r="H1610" s="610" t="s">
        <v>6126</v>
      </c>
      <c r="I1610" s="706">
        <v>2196</v>
      </c>
      <c r="J1610" s="246">
        <v>0</v>
      </c>
      <c r="K1610" s="246">
        <v>12</v>
      </c>
      <c r="L1610" s="644">
        <f t="shared" si="626"/>
        <v>183</v>
      </c>
      <c r="M1610" s="645">
        <v>46205</v>
      </c>
      <c r="N1610" s="645">
        <v>46202</v>
      </c>
      <c r="O1610" s="643"/>
      <c r="P1610" s="246" t="s">
        <v>113</v>
      </c>
      <c r="Q1610" s="646" t="s">
        <v>4577</v>
      </c>
      <c r="R1610" s="646">
        <v>46126</v>
      </c>
      <c r="S1610" s="646" t="s">
        <v>70</v>
      </c>
      <c r="T1610" s="646" t="s">
        <v>9942</v>
      </c>
      <c r="U1610" s="646"/>
      <c r="V1610" s="646"/>
      <c r="W1610" s="744"/>
      <c r="X1610" s="642" t="s">
        <v>9943</v>
      </c>
      <c r="Y1610" s="647" t="s">
        <v>3864</v>
      </c>
      <c r="Z1610" s="642">
        <v>1.3546</v>
      </c>
      <c r="AA1610" s="647">
        <v>2974.7016</v>
      </c>
      <c r="AB1610" s="744"/>
      <c r="AC1610" s="763" t="s">
        <v>4583</v>
      </c>
      <c r="AD1610" s="642" t="s">
        <v>8079</v>
      </c>
      <c r="AE1610" s="246" t="s">
        <v>82</v>
      </c>
      <c r="AF1610" s="246"/>
      <c r="AG1610" s="246"/>
      <c r="AH1610" s="642"/>
      <c r="AI1610" s="642">
        <v>2196</v>
      </c>
      <c r="AJ1610" s="246">
        <f t="shared" si="623"/>
        <v>0</v>
      </c>
      <c r="AK1610" s="643"/>
      <c r="AL1610" s="246" t="s">
        <v>2368</v>
      </c>
      <c r="AM1610" s="246"/>
      <c r="AN1610" s="246">
        <f>I1610*2</f>
        <v>4392</v>
      </c>
      <c r="AO1610" s="551"/>
      <c r="AP1610" s="551"/>
      <c r="AQ1610" s="551">
        <f>I1610*2</f>
        <v>4392</v>
      </c>
      <c r="AR1610" s="650"/>
      <c r="AS1610" s="551"/>
      <c r="AT1610" s="551"/>
      <c r="AU1610" s="551">
        <f>I1610*2</f>
        <v>4392</v>
      </c>
      <c r="AV1610" s="551"/>
      <c r="AW1610" s="551"/>
      <c r="AX1610" s="651"/>
      <c r="AY1610" s="551"/>
      <c r="AZ1610" s="551"/>
      <c r="BA1610" s="551"/>
      <c r="BB1610" s="249">
        <f>I1610/24*2</f>
        <v>183</v>
      </c>
      <c r="BC1610" s="551"/>
      <c r="BD1610" s="551"/>
      <c r="BE1610" s="551"/>
      <c r="BF1610" s="551"/>
      <c r="BG1610" s="549"/>
      <c r="BH1610" s="551"/>
      <c r="BI1610" s="551"/>
      <c r="BJ1610" s="551"/>
      <c r="BK1610" s="551"/>
      <c r="BL1610" s="551"/>
      <c r="BM1610" s="551"/>
      <c r="BN1610" s="551"/>
      <c r="BO1610" s="551"/>
      <c r="BP1610" s="551"/>
      <c r="BQ1610" s="551"/>
      <c r="BR1610" s="551"/>
      <c r="BS1610" s="551"/>
      <c r="BT1610" s="551"/>
      <c r="BU1610" s="551"/>
      <c r="BV1610" s="551"/>
      <c r="BW1610" s="551"/>
      <c r="BX1610" s="551"/>
      <c r="BY1610" s="551"/>
      <c r="BZ1610" s="551"/>
      <c r="CA1610" s="752"/>
      <c r="CB1610" s="747"/>
      <c r="CC1610" s="753"/>
      <c r="CD1610" s="551"/>
      <c r="CE1610" s="551"/>
      <c r="CF1610" s="551"/>
      <c r="CG1610" s="551"/>
      <c r="CH1610" s="549"/>
      <c r="CI1610" s="551"/>
      <c r="CJ1610" s="551"/>
      <c r="CK1610" s="551"/>
      <c r="CL1610" s="551"/>
      <c r="CM1610" s="551"/>
      <c r="CN1610" s="551"/>
      <c r="CO1610" s="551"/>
      <c r="CP1610" s="650"/>
      <c r="CQ1610" s="650"/>
      <c r="CR1610" s="551">
        <f>I1610</f>
        <v>2196</v>
      </c>
      <c r="CS1610" s="551">
        <f>I1610</f>
        <v>2196</v>
      </c>
      <c r="CT1610" s="551">
        <f>I1610</f>
        <v>2196</v>
      </c>
      <c r="CU1610" s="551">
        <f t="shared" si="625"/>
        <v>0</v>
      </c>
      <c r="CV1610" s="551">
        <v>0</v>
      </c>
      <c r="CW1610" s="551">
        <v>0</v>
      </c>
      <c r="CX1610" s="650"/>
      <c r="CY1610" s="650"/>
      <c r="CZ1610" s="650"/>
      <c r="DA1610" s="650"/>
      <c r="DB1610" s="650"/>
      <c r="DC1610" s="650"/>
      <c r="DD1610" s="650"/>
      <c r="DE1610" s="650"/>
      <c r="DF1610" s="650"/>
      <c r="DG1610" s="650"/>
      <c r="DH1610" s="650"/>
    </row>
    <row r="1611" s="549" customFormat="1" ht="31" customHeight="1" spans="1:113">
      <c r="A1611" s="641">
        <v>46156</v>
      </c>
      <c r="B1611" s="642" t="s">
        <v>1673</v>
      </c>
      <c r="C1611" s="246" t="s">
        <v>98</v>
      </c>
      <c r="D1611" s="748">
        <v>4500207083</v>
      </c>
      <c r="E1611" s="643">
        <v>2198968</v>
      </c>
      <c r="F1611" s="551" t="s">
        <v>9944</v>
      </c>
      <c r="G1611" s="246" t="s">
        <v>6787</v>
      </c>
      <c r="H1611" s="610" t="s">
        <v>6126</v>
      </c>
      <c r="I1611" s="706">
        <v>2544</v>
      </c>
      <c r="J1611" s="246">
        <v>0</v>
      </c>
      <c r="K1611" s="246">
        <v>12</v>
      </c>
      <c r="L1611" s="644">
        <f t="shared" si="626"/>
        <v>212</v>
      </c>
      <c r="M1611" s="645">
        <v>46205</v>
      </c>
      <c r="N1611" s="645">
        <v>46202</v>
      </c>
      <c r="O1611" s="643"/>
      <c r="P1611" s="246" t="s">
        <v>113</v>
      </c>
      <c r="Q1611" s="646" t="s">
        <v>4649</v>
      </c>
      <c r="R1611" s="646">
        <v>46156</v>
      </c>
      <c r="S1611" s="646" t="s">
        <v>104</v>
      </c>
      <c r="T1611" s="646" t="s">
        <v>9945</v>
      </c>
      <c r="U1611" s="646"/>
      <c r="V1611" s="646"/>
      <c r="W1611" s="642"/>
      <c r="X1611" s="642" t="s">
        <v>9946</v>
      </c>
      <c r="Y1611" s="647" t="s">
        <v>882</v>
      </c>
      <c r="Z1611" s="642">
        <v>1.3546</v>
      </c>
      <c r="AA1611" s="647">
        <f t="shared" ref="AA1611:AA1618" si="636">Z1611*I1611</f>
        <v>3446.1024</v>
      </c>
      <c r="AB1611" s="744"/>
      <c r="AC1611" s="763" t="s">
        <v>4652</v>
      </c>
      <c r="AD1611" s="246" t="s">
        <v>8545</v>
      </c>
      <c r="AE1611" s="246" t="s">
        <v>82</v>
      </c>
      <c r="AF1611" s="246"/>
      <c r="AG1611" s="246"/>
      <c r="AH1611" s="642"/>
      <c r="AI1611" s="642">
        <v>2544</v>
      </c>
      <c r="AJ1611" s="246">
        <f t="shared" si="623"/>
        <v>0</v>
      </c>
      <c r="AK1611" s="643"/>
      <c r="AL1611" s="246" t="s">
        <v>2368</v>
      </c>
      <c r="AM1611" s="246"/>
      <c r="AN1611" s="246">
        <f>I1611*2</f>
        <v>5088</v>
      </c>
      <c r="AO1611" s="551"/>
      <c r="AP1611" s="551">
        <f>I1611*2</f>
        <v>5088</v>
      </c>
      <c r="AQ1611" s="551"/>
      <c r="AR1611" s="650"/>
      <c r="AS1611" s="551"/>
      <c r="AT1611" s="551"/>
      <c r="AU1611" s="551">
        <f>I1611*2</f>
        <v>5088</v>
      </c>
      <c r="AV1611" s="551"/>
      <c r="AW1611" s="551"/>
      <c r="AX1611" s="651"/>
      <c r="AY1611" s="551"/>
      <c r="AZ1611" s="551"/>
      <c r="BA1611" s="551"/>
      <c r="BB1611" s="249">
        <f>I1611/24*2</f>
        <v>212</v>
      </c>
      <c r="BC1611" s="551"/>
      <c r="BD1611" s="551"/>
      <c r="BE1611" s="551"/>
      <c r="BF1611" s="551"/>
      <c r="BG1611" s="549"/>
      <c r="BH1611" s="551"/>
      <c r="BI1611" s="551"/>
      <c r="BJ1611" s="551"/>
      <c r="BK1611" s="551"/>
      <c r="BL1611" s="551"/>
      <c r="BM1611" s="551"/>
      <c r="BN1611" s="551"/>
      <c r="BO1611" s="551"/>
      <c r="BP1611" s="551"/>
      <c r="BQ1611" s="551"/>
      <c r="BR1611" s="551"/>
      <c r="BS1611" s="551"/>
      <c r="BT1611" s="551"/>
      <c r="BU1611" s="551"/>
      <c r="BV1611" s="551"/>
      <c r="BW1611" s="551"/>
      <c r="BX1611" s="551"/>
      <c r="BY1611" s="551"/>
      <c r="BZ1611" s="551"/>
      <c r="CA1611" s="752"/>
      <c r="CB1611" s="747"/>
      <c r="CC1611" s="753"/>
      <c r="CD1611" s="551"/>
      <c r="CE1611" s="551"/>
      <c r="CF1611" s="551"/>
      <c r="CG1611" s="551"/>
      <c r="CH1611" s="549"/>
      <c r="CI1611" s="551"/>
      <c r="CJ1611" s="551"/>
      <c r="CK1611" s="551"/>
      <c r="CL1611" s="551"/>
      <c r="CM1611" s="551"/>
      <c r="CN1611" s="551"/>
      <c r="CO1611" s="551"/>
      <c r="CP1611" s="650"/>
      <c r="CQ1611" s="650"/>
      <c r="CR1611" s="551">
        <f>I1611</f>
        <v>2544</v>
      </c>
      <c r="CS1611" s="551">
        <f>I1611</f>
        <v>2544</v>
      </c>
      <c r="CT1611" s="551">
        <f>I1611</f>
        <v>2544</v>
      </c>
      <c r="CU1611" s="551">
        <f t="shared" si="625"/>
        <v>0</v>
      </c>
      <c r="CV1611" s="551">
        <v>0</v>
      </c>
      <c r="CW1611" s="551">
        <v>0</v>
      </c>
      <c r="CX1611" s="650"/>
      <c r="CY1611" s="650"/>
      <c r="CZ1611" s="650"/>
      <c r="DA1611" s="650"/>
      <c r="DB1611" s="650"/>
      <c r="DC1611" s="650"/>
      <c r="DD1611" s="650"/>
      <c r="DE1611" s="650"/>
      <c r="DF1611" s="650"/>
      <c r="DG1611" s="650"/>
      <c r="DH1611" s="650"/>
    </row>
    <row r="1612" s="549" customFormat="1" ht="31" customHeight="1" spans="1:113">
      <c r="A1612" s="641">
        <v>46156</v>
      </c>
      <c r="B1612" s="642" t="s">
        <v>1673</v>
      </c>
      <c r="C1612" s="246" t="s">
        <v>98</v>
      </c>
      <c r="D1612" s="748">
        <v>4500207083</v>
      </c>
      <c r="E1612" s="643">
        <v>2198969</v>
      </c>
      <c r="F1612" s="551" t="s">
        <v>9947</v>
      </c>
      <c r="G1612" s="246" t="s">
        <v>6787</v>
      </c>
      <c r="H1612" s="610" t="s">
        <v>6126</v>
      </c>
      <c r="I1612" s="706">
        <v>1092</v>
      </c>
      <c r="J1612" s="246">
        <v>0</v>
      </c>
      <c r="K1612" s="246">
        <v>12</v>
      </c>
      <c r="L1612" s="644">
        <f t="shared" si="626"/>
        <v>91</v>
      </c>
      <c r="M1612" s="645">
        <v>46205</v>
      </c>
      <c r="N1612" s="645">
        <v>46202</v>
      </c>
      <c r="O1612" s="643"/>
      <c r="P1612" s="246" t="s">
        <v>113</v>
      </c>
      <c r="Q1612" s="646" t="s">
        <v>4649</v>
      </c>
      <c r="R1612" s="646">
        <v>46156</v>
      </c>
      <c r="S1612" s="646" t="s">
        <v>104</v>
      </c>
      <c r="T1612" s="646" t="s">
        <v>9945</v>
      </c>
      <c r="U1612" s="646"/>
      <c r="V1612" s="646"/>
      <c r="W1612" s="642"/>
      <c r="X1612" s="642" t="s">
        <v>9946</v>
      </c>
      <c r="Y1612" s="647" t="s">
        <v>882</v>
      </c>
      <c r="Z1612" s="642">
        <v>1.3546</v>
      </c>
      <c r="AA1612" s="647">
        <f t="shared" si="636"/>
        <v>1479.2232</v>
      </c>
      <c r="AB1612" s="744"/>
      <c r="AC1612" s="763" t="s">
        <v>4655</v>
      </c>
      <c r="AD1612" s="246" t="s">
        <v>8545</v>
      </c>
      <c r="AE1612" s="246" t="s">
        <v>82</v>
      </c>
      <c r="AF1612" s="246"/>
      <c r="AG1612" s="246"/>
      <c r="AH1612" s="642"/>
      <c r="AI1612" s="642">
        <v>1092</v>
      </c>
      <c r="AJ1612" s="246">
        <f t="shared" si="623"/>
        <v>0</v>
      </c>
      <c r="AK1612" s="643"/>
      <c r="AL1612" s="246" t="s">
        <v>2368</v>
      </c>
      <c r="AM1612" s="246"/>
      <c r="AN1612" s="246">
        <f>I1612*2</f>
        <v>2184</v>
      </c>
      <c r="AO1612" s="551"/>
      <c r="AP1612" s="551">
        <f>I1612*2</f>
        <v>2184</v>
      </c>
      <c r="AQ1612" s="551"/>
      <c r="AR1612" s="650"/>
      <c r="AS1612" s="551"/>
      <c r="AT1612" s="551"/>
      <c r="AU1612" s="551">
        <f>I1612*2</f>
        <v>2184</v>
      </c>
      <c r="AV1612" s="551"/>
      <c r="AW1612" s="551"/>
      <c r="AX1612" s="651"/>
      <c r="AY1612" s="551"/>
      <c r="AZ1612" s="551"/>
      <c r="BA1612" s="551"/>
      <c r="BB1612" s="249">
        <f>I1612/24*2</f>
        <v>91</v>
      </c>
      <c r="BC1612" s="551"/>
      <c r="BD1612" s="551"/>
      <c r="BE1612" s="551"/>
      <c r="BF1612" s="551"/>
      <c r="BG1612" s="549"/>
      <c r="BH1612" s="551"/>
      <c r="BI1612" s="551"/>
      <c r="BJ1612" s="551"/>
      <c r="BK1612" s="551"/>
      <c r="BL1612" s="551"/>
      <c r="BM1612" s="551"/>
      <c r="BN1612" s="551"/>
      <c r="BO1612" s="551"/>
      <c r="BP1612" s="551"/>
      <c r="BQ1612" s="551"/>
      <c r="BR1612" s="551"/>
      <c r="BS1612" s="551"/>
      <c r="BT1612" s="551"/>
      <c r="BU1612" s="551"/>
      <c r="BV1612" s="551"/>
      <c r="BW1612" s="551"/>
      <c r="BX1612" s="551"/>
      <c r="BY1612" s="551"/>
      <c r="BZ1612" s="551"/>
      <c r="CA1612" s="752"/>
      <c r="CB1612" s="747"/>
      <c r="CC1612" s="753"/>
      <c r="CD1612" s="551"/>
      <c r="CE1612" s="551"/>
      <c r="CF1612" s="551"/>
      <c r="CG1612" s="551"/>
      <c r="CH1612" s="549"/>
      <c r="CI1612" s="551"/>
      <c r="CJ1612" s="551"/>
      <c r="CK1612" s="551"/>
      <c r="CL1612" s="551"/>
      <c r="CM1612" s="551"/>
      <c r="CN1612" s="551"/>
      <c r="CO1612" s="551"/>
      <c r="CP1612" s="650"/>
      <c r="CQ1612" s="650"/>
      <c r="CR1612" s="551">
        <f>I1612</f>
        <v>1092</v>
      </c>
      <c r="CS1612" s="551">
        <f>I1612</f>
        <v>1092</v>
      </c>
      <c r="CT1612" s="551">
        <f>I1612</f>
        <v>1092</v>
      </c>
      <c r="CU1612" s="551">
        <f t="shared" si="625"/>
        <v>0</v>
      </c>
      <c r="CV1612" s="551">
        <v>0</v>
      </c>
      <c r="CW1612" s="551">
        <v>0</v>
      </c>
      <c r="CX1612" s="650"/>
      <c r="CY1612" s="650"/>
      <c r="CZ1612" s="650"/>
      <c r="DA1612" s="650"/>
      <c r="DB1612" s="650"/>
      <c r="DC1612" s="650"/>
      <c r="DD1612" s="650"/>
      <c r="DE1612" s="650"/>
      <c r="DF1612" s="650"/>
      <c r="DG1612" s="650"/>
      <c r="DH1612" s="650"/>
    </row>
    <row r="1613" s="549" customFormat="1" ht="31" customHeight="1" spans="1:113">
      <c r="A1613" s="641">
        <v>46163</v>
      </c>
      <c r="B1613" s="642" t="s">
        <v>5157</v>
      </c>
      <c r="C1613" s="246" t="s">
        <v>128</v>
      </c>
      <c r="D1613" s="748">
        <v>4500198158</v>
      </c>
      <c r="E1613" s="246">
        <v>21798776</v>
      </c>
      <c r="F1613" s="551" t="s">
        <v>9948</v>
      </c>
      <c r="G1613" s="246" t="s">
        <v>6093</v>
      </c>
      <c r="H1613" s="246" t="s">
        <v>6094</v>
      </c>
      <c r="I1613" s="706">
        <v>9087</v>
      </c>
      <c r="J1613" s="246">
        <v>0</v>
      </c>
      <c r="K1613" s="246">
        <v>13</v>
      </c>
      <c r="L1613" s="644">
        <f t="shared" si="626"/>
        <v>699</v>
      </c>
      <c r="M1613" s="645">
        <v>46205</v>
      </c>
      <c r="N1613" s="645">
        <v>46202</v>
      </c>
      <c r="O1613" s="643"/>
      <c r="P1613" s="246" t="s">
        <v>113</v>
      </c>
      <c r="Q1613" s="646"/>
      <c r="R1613" s="646">
        <v>46169</v>
      </c>
      <c r="S1613" s="646" t="s">
        <v>104</v>
      </c>
      <c r="T1613" s="646" t="s">
        <v>9949</v>
      </c>
      <c r="U1613" s="646"/>
      <c r="V1613" s="646"/>
      <c r="W1613" s="744"/>
      <c r="X1613" s="642" t="s">
        <v>9950</v>
      </c>
      <c r="Y1613" s="647" t="s">
        <v>5163</v>
      </c>
      <c r="Z1613" s="642">
        <v>0.9685</v>
      </c>
      <c r="AA1613" s="647">
        <f t="shared" si="636"/>
        <v>8800.7595</v>
      </c>
      <c r="AB1613" s="744"/>
      <c r="AC1613" s="751"/>
      <c r="AD1613" s="246" t="s">
        <v>6093</v>
      </c>
      <c r="AE1613" s="246" t="s">
        <v>82</v>
      </c>
      <c r="AF1613" s="246"/>
      <c r="AG1613" s="246"/>
      <c r="AH1613" s="642"/>
      <c r="AI1613" s="642">
        <v>9087</v>
      </c>
      <c r="AJ1613" s="246">
        <f t="shared" si="623"/>
        <v>0</v>
      </c>
      <c r="AK1613" s="643"/>
      <c r="AL1613" s="246" t="s">
        <v>2368</v>
      </c>
      <c r="AM1613" s="246"/>
      <c r="AN1613" s="551"/>
      <c r="AO1613" s="551">
        <f t="shared" ref="AO1613:AO1618" si="637">I1613</f>
        <v>9087</v>
      </c>
      <c r="AP1613" s="551"/>
      <c r="AQ1613" s="551"/>
      <c r="AR1613" s="650"/>
      <c r="AS1613" s="551"/>
      <c r="AT1613" s="551">
        <f t="shared" ref="AT1613:AT1618" si="638">I1613</f>
        <v>9087</v>
      </c>
      <c r="AU1613" s="551"/>
      <c r="AV1613" s="551">
        <f t="shared" ref="AV1613:AV1618" si="639">I1613</f>
        <v>9087</v>
      </c>
      <c r="AW1613" s="551"/>
      <c r="AX1613" s="651"/>
      <c r="AY1613" s="551"/>
      <c r="AZ1613" s="551"/>
      <c r="BA1613" s="551"/>
      <c r="BB1613" s="249">
        <f t="shared" ref="BB1613:BB1618" si="640">I1613/24</f>
        <v>378.625</v>
      </c>
      <c r="BC1613" s="551"/>
      <c r="BD1613" s="551"/>
      <c r="BE1613" s="551"/>
      <c r="BF1613" s="551"/>
      <c r="BG1613" s="549"/>
      <c r="BH1613" s="551"/>
      <c r="BI1613" s="551"/>
      <c r="BJ1613" s="551"/>
      <c r="BK1613" s="551"/>
      <c r="BL1613" s="551"/>
      <c r="BM1613" s="551">
        <f>I1613/13</f>
        <v>699</v>
      </c>
      <c r="BN1613" s="551"/>
      <c r="BO1613" s="551"/>
      <c r="BP1613" s="551"/>
      <c r="BQ1613" s="551"/>
      <c r="BR1613" s="551"/>
      <c r="BS1613" s="551"/>
      <c r="BT1613" s="551"/>
      <c r="BU1613" s="551"/>
      <c r="BV1613" s="551"/>
      <c r="BW1613" s="551"/>
      <c r="BX1613" s="551"/>
      <c r="BY1613" s="551"/>
      <c r="BZ1613" s="551"/>
      <c r="CA1613" s="752"/>
      <c r="CB1613" s="747"/>
      <c r="CC1613" s="753"/>
      <c r="CD1613" s="551"/>
      <c r="CE1613" s="551"/>
      <c r="CF1613" s="551"/>
      <c r="CG1613" s="551"/>
      <c r="CH1613" s="549"/>
      <c r="CI1613" s="551"/>
      <c r="CJ1613" s="551"/>
      <c r="CK1613" s="551"/>
      <c r="CL1613" s="551"/>
      <c r="CM1613" s="551"/>
      <c r="CN1613" s="551"/>
      <c r="CO1613" s="551"/>
      <c r="CP1613" s="650"/>
      <c r="CQ1613" s="650"/>
      <c r="CR1613" s="551"/>
      <c r="CS1613" s="551"/>
      <c r="CT1613" s="551"/>
      <c r="CU1613" s="551">
        <f t="shared" si="625"/>
        <v>0</v>
      </c>
      <c r="CV1613" s="551">
        <f t="shared" ref="CV1613:CV1621" si="641">CK1613+CL1613+CM1613+CN1613+CO1613+CQ1613+CP1613</f>
        <v>0</v>
      </c>
      <c r="CW1613" s="551">
        <f t="shared" ref="CW1613:CW1621" si="642">CI1613+CJ1613</f>
        <v>0</v>
      </c>
      <c r="CX1613" s="707"/>
      <c r="CY1613" s="707"/>
      <c r="CZ1613" s="707"/>
      <c r="DA1613" s="707"/>
      <c r="DB1613" s="707"/>
      <c r="DC1613" s="707"/>
      <c r="DD1613" s="707"/>
      <c r="DE1613" s="707"/>
      <c r="DF1613" s="707"/>
      <c r="DG1613" s="707"/>
      <c r="DH1613" s="707"/>
    </row>
    <row r="1614" s="549" customFormat="1" ht="31" customHeight="1" spans="1:113">
      <c r="A1614" s="641">
        <v>46163</v>
      </c>
      <c r="B1614" s="642" t="s">
        <v>5157</v>
      </c>
      <c r="C1614" s="246" t="s">
        <v>128</v>
      </c>
      <c r="D1614" s="748">
        <v>4500198158</v>
      </c>
      <c r="E1614" s="643">
        <v>21798801</v>
      </c>
      <c r="F1614" s="551" t="s">
        <v>9951</v>
      </c>
      <c r="G1614" s="246" t="s">
        <v>6093</v>
      </c>
      <c r="H1614" s="246" t="s">
        <v>6094</v>
      </c>
      <c r="I1614" s="706">
        <v>9295</v>
      </c>
      <c r="J1614" s="246">
        <v>0</v>
      </c>
      <c r="K1614" s="246">
        <v>13</v>
      </c>
      <c r="L1614" s="644">
        <f t="shared" si="626"/>
        <v>715</v>
      </c>
      <c r="M1614" s="645">
        <v>46205</v>
      </c>
      <c r="N1614" s="645">
        <v>46202</v>
      </c>
      <c r="O1614" s="643"/>
      <c r="P1614" s="246" t="s">
        <v>113</v>
      </c>
      <c r="Q1614" s="646"/>
      <c r="R1614" s="646">
        <v>46169</v>
      </c>
      <c r="S1614" s="646" t="s">
        <v>104</v>
      </c>
      <c r="T1614" s="646" t="s">
        <v>9949</v>
      </c>
      <c r="U1614" s="646"/>
      <c r="V1614" s="646"/>
      <c r="W1614" s="744"/>
      <c r="X1614" s="642" t="s">
        <v>9950</v>
      </c>
      <c r="Y1614" s="647" t="s">
        <v>5163</v>
      </c>
      <c r="Z1614" s="642">
        <v>0.9762</v>
      </c>
      <c r="AA1614" s="647">
        <f t="shared" si="636"/>
        <v>9073.779</v>
      </c>
      <c r="AB1614" s="744"/>
      <c r="AC1614" s="751"/>
      <c r="AD1614" s="246" t="s">
        <v>6093</v>
      </c>
      <c r="AE1614" s="246" t="s">
        <v>82</v>
      </c>
      <c r="AF1614" s="246"/>
      <c r="AG1614" s="246"/>
      <c r="AH1614" s="642"/>
      <c r="AI1614" s="642">
        <v>9295</v>
      </c>
      <c r="AJ1614" s="246">
        <f t="shared" si="623"/>
        <v>0</v>
      </c>
      <c r="AK1614" s="643"/>
      <c r="AL1614" s="246" t="s">
        <v>2368</v>
      </c>
      <c r="AM1614" s="246"/>
      <c r="AN1614" s="551"/>
      <c r="AO1614" s="551">
        <f t="shared" si="637"/>
        <v>9295</v>
      </c>
      <c r="AP1614" s="551"/>
      <c r="AQ1614" s="551"/>
      <c r="AR1614" s="650"/>
      <c r="AS1614" s="551"/>
      <c r="AT1614" s="551">
        <f t="shared" si="638"/>
        <v>9295</v>
      </c>
      <c r="AU1614" s="551"/>
      <c r="AV1614" s="551">
        <f t="shared" si="639"/>
        <v>9295</v>
      </c>
      <c r="AW1614" s="551"/>
      <c r="AX1614" s="651"/>
      <c r="AY1614" s="551"/>
      <c r="AZ1614" s="551"/>
      <c r="BA1614" s="551"/>
      <c r="BB1614" s="249">
        <f t="shared" si="640"/>
        <v>387.291666666667</v>
      </c>
      <c r="BC1614" s="551"/>
      <c r="BD1614" s="551"/>
      <c r="BE1614" s="551"/>
      <c r="BF1614" s="551"/>
      <c r="BG1614" s="549"/>
      <c r="BH1614" s="551"/>
      <c r="BI1614" s="551"/>
      <c r="BJ1614" s="551"/>
      <c r="BK1614" s="551"/>
      <c r="BL1614" s="551"/>
      <c r="BM1614" s="551">
        <f>I1614/13</f>
        <v>715</v>
      </c>
      <c r="BN1614" s="551"/>
      <c r="BO1614" s="551"/>
      <c r="BP1614" s="551"/>
      <c r="BQ1614" s="551"/>
      <c r="BR1614" s="551"/>
      <c r="BS1614" s="551"/>
      <c r="BT1614" s="551"/>
      <c r="BU1614" s="551"/>
      <c r="BV1614" s="551"/>
      <c r="BW1614" s="551"/>
      <c r="BX1614" s="551"/>
      <c r="BY1614" s="551"/>
      <c r="BZ1614" s="551"/>
      <c r="CA1614" s="752"/>
      <c r="CB1614" s="747"/>
      <c r="CC1614" s="753"/>
      <c r="CD1614" s="551"/>
      <c r="CE1614" s="551"/>
      <c r="CF1614" s="551"/>
      <c r="CG1614" s="551"/>
      <c r="CH1614" s="549"/>
      <c r="CI1614" s="551"/>
      <c r="CJ1614" s="551"/>
      <c r="CK1614" s="551"/>
      <c r="CL1614" s="551"/>
      <c r="CM1614" s="551"/>
      <c r="CN1614" s="551"/>
      <c r="CO1614" s="551"/>
      <c r="CP1614" s="650"/>
      <c r="CQ1614" s="650"/>
      <c r="CR1614" s="551"/>
      <c r="CS1614" s="551"/>
      <c r="CT1614" s="551"/>
      <c r="CU1614" s="551">
        <f t="shared" si="625"/>
        <v>0</v>
      </c>
      <c r="CV1614" s="551">
        <f t="shared" si="641"/>
        <v>0</v>
      </c>
      <c r="CW1614" s="551">
        <f t="shared" si="642"/>
        <v>0</v>
      </c>
      <c r="CX1614" s="707"/>
      <c r="CY1614" s="707"/>
      <c r="CZ1614" s="707"/>
      <c r="DA1614" s="707"/>
      <c r="DB1614" s="707"/>
      <c r="DC1614" s="707"/>
      <c r="DD1614" s="707"/>
      <c r="DE1614" s="707"/>
      <c r="DF1614" s="707"/>
      <c r="DG1614" s="707"/>
      <c r="DH1614" s="707"/>
    </row>
    <row r="1615" s="549" customFormat="1" ht="31" customHeight="1" spans="1:113">
      <c r="A1615" s="641">
        <v>46163</v>
      </c>
      <c r="B1615" s="642" t="s">
        <v>5164</v>
      </c>
      <c r="C1615" s="246" t="s">
        <v>76</v>
      </c>
      <c r="D1615" s="748">
        <v>4500198161</v>
      </c>
      <c r="E1615" s="643">
        <v>21798808</v>
      </c>
      <c r="F1615" s="551" t="s">
        <v>9952</v>
      </c>
      <c r="G1615" s="246" t="s">
        <v>6093</v>
      </c>
      <c r="H1615" s="246" t="s">
        <v>6094</v>
      </c>
      <c r="I1615" s="706">
        <v>689</v>
      </c>
      <c r="J1615" s="246">
        <v>0</v>
      </c>
      <c r="K1615" s="246">
        <v>13</v>
      </c>
      <c r="L1615" s="644">
        <f t="shared" si="626"/>
        <v>53</v>
      </c>
      <c r="M1615" s="645">
        <v>46205</v>
      </c>
      <c r="N1615" s="645">
        <v>46202</v>
      </c>
      <c r="O1615" s="643"/>
      <c r="P1615" s="246" t="s">
        <v>113</v>
      </c>
      <c r="Q1615" s="646"/>
      <c r="R1615" s="646">
        <v>46169</v>
      </c>
      <c r="S1615" s="646" t="s">
        <v>104</v>
      </c>
      <c r="T1615" s="646" t="s">
        <v>9949</v>
      </c>
      <c r="U1615" s="646"/>
      <c r="V1615" s="646"/>
      <c r="W1615" s="744"/>
      <c r="X1615" s="642" t="s">
        <v>9953</v>
      </c>
      <c r="Y1615" s="647" t="s">
        <v>5163</v>
      </c>
      <c r="Z1615" s="642">
        <v>0.9868</v>
      </c>
      <c r="AA1615" s="647">
        <f t="shared" si="636"/>
        <v>679.9052</v>
      </c>
      <c r="AB1615" s="744"/>
      <c r="AC1615" s="751"/>
      <c r="AD1615" s="246" t="s">
        <v>6093</v>
      </c>
      <c r="AE1615" s="246" t="s">
        <v>82</v>
      </c>
      <c r="AF1615" s="246"/>
      <c r="AG1615" s="246"/>
      <c r="AH1615" s="642"/>
      <c r="AI1615" s="642">
        <v>689</v>
      </c>
      <c r="AJ1615" s="246">
        <f t="shared" si="623"/>
        <v>0</v>
      </c>
      <c r="AK1615" s="643"/>
      <c r="AL1615" s="246" t="s">
        <v>2368</v>
      </c>
      <c r="AM1615" s="246"/>
      <c r="AN1615" s="551"/>
      <c r="AO1615" s="551">
        <f t="shared" si="637"/>
        <v>689</v>
      </c>
      <c r="AP1615" s="551"/>
      <c r="AQ1615" s="551"/>
      <c r="AR1615" s="650"/>
      <c r="AS1615" s="551"/>
      <c r="AT1615" s="551">
        <f t="shared" si="638"/>
        <v>689</v>
      </c>
      <c r="AU1615" s="551"/>
      <c r="AV1615" s="551">
        <f t="shared" si="639"/>
        <v>689</v>
      </c>
      <c r="AW1615" s="551"/>
      <c r="AX1615" s="651"/>
      <c r="AY1615" s="551"/>
      <c r="AZ1615" s="551"/>
      <c r="BA1615" s="551"/>
      <c r="BB1615" s="249">
        <f t="shared" si="640"/>
        <v>28.7083333333333</v>
      </c>
      <c r="BC1615" s="551"/>
      <c r="BD1615" s="551"/>
      <c r="BE1615" s="551"/>
      <c r="BF1615" s="551"/>
      <c r="BG1615" s="549"/>
      <c r="BH1615" s="551"/>
      <c r="BI1615" s="551"/>
      <c r="BJ1615" s="551"/>
      <c r="BK1615" s="551"/>
      <c r="BL1615" s="551"/>
      <c r="BM1615" s="551">
        <f>I1615/13</f>
        <v>53</v>
      </c>
      <c r="BN1615" s="551"/>
      <c r="BO1615" s="551"/>
      <c r="BP1615" s="551"/>
      <c r="BQ1615" s="551"/>
      <c r="BR1615" s="551"/>
      <c r="BS1615" s="551"/>
      <c r="BT1615" s="551"/>
      <c r="BU1615" s="551"/>
      <c r="BV1615" s="551"/>
      <c r="BW1615" s="551"/>
      <c r="BX1615" s="551"/>
      <c r="BY1615" s="551"/>
      <c r="BZ1615" s="551"/>
      <c r="CA1615" s="752"/>
      <c r="CB1615" s="747"/>
      <c r="CC1615" s="753"/>
      <c r="CD1615" s="551"/>
      <c r="CE1615" s="551"/>
      <c r="CF1615" s="551"/>
      <c r="CG1615" s="551"/>
      <c r="CH1615" s="549"/>
      <c r="CI1615" s="551"/>
      <c r="CJ1615" s="551"/>
      <c r="CK1615" s="551"/>
      <c r="CL1615" s="551"/>
      <c r="CM1615" s="551"/>
      <c r="CN1615" s="551"/>
      <c r="CO1615" s="551"/>
      <c r="CP1615" s="650"/>
      <c r="CQ1615" s="650"/>
      <c r="CR1615" s="551"/>
      <c r="CS1615" s="551"/>
      <c r="CT1615" s="551"/>
      <c r="CU1615" s="551">
        <f t="shared" si="625"/>
        <v>0</v>
      </c>
      <c r="CV1615" s="551">
        <f t="shared" si="641"/>
        <v>0</v>
      </c>
      <c r="CW1615" s="551">
        <f t="shared" si="642"/>
        <v>0</v>
      </c>
      <c r="CX1615" s="707"/>
      <c r="CY1615" s="707"/>
      <c r="CZ1615" s="707"/>
      <c r="DA1615" s="707"/>
      <c r="DB1615" s="707"/>
      <c r="DC1615" s="707"/>
      <c r="DD1615" s="707"/>
      <c r="DE1615" s="707"/>
      <c r="DF1615" s="707"/>
      <c r="DG1615" s="707"/>
      <c r="DH1615" s="707"/>
    </row>
    <row r="1616" s="549" customFormat="1" ht="30" customHeight="1" spans="1:113">
      <c r="A1616" s="641">
        <v>46091</v>
      </c>
      <c r="B1616" s="642" t="s">
        <v>729</v>
      </c>
      <c r="C1616" s="693" t="s">
        <v>278</v>
      </c>
      <c r="D1616" s="551">
        <v>4500195606</v>
      </c>
      <c r="E1616" s="246" t="s">
        <v>9954</v>
      </c>
      <c r="F1616" s="551" t="s">
        <v>9955</v>
      </c>
      <c r="G1616" s="246" t="s">
        <v>6047</v>
      </c>
      <c r="H1616" s="246" t="s">
        <v>6069</v>
      </c>
      <c r="I1616" s="706">
        <v>15000</v>
      </c>
      <c r="J1616" s="246">
        <v>0</v>
      </c>
      <c r="K1616" s="246">
        <v>25</v>
      </c>
      <c r="L1616" s="644">
        <f t="shared" si="626"/>
        <v>600</v>
      </c>
      <c r="M1616" s="645">
        <v>46206</v>
      </c>
      <c r="N1616" s="645">
        <v>46202</v>
      </c>
      <c r="O1616" s="643"/>
      <c r="P1616" s="643" t="s">
        <v>113</v>
      </c>
      <c r="Q1616" s="654">
        <v>46218</v>
      </c>
      <c r="R1616" s="646">
        <v>46091</v>
      </c>
      <c r="S1616" s="646" t="s">
        <v>70</v>
      </c>
      <c r="T1616" s="646" t="s">
        <v>9079</v>
      </c>
      <c r="U1616" s="646"/>
      <c r="V1616" s="646"/>
      <c r="W1616" s="744"/>
      <c r="X1616" s="642" t="s">
        <v>9367</v>
      </c>
      <c r="Y1616" s="647" t="s">
        <v>3785</v>
      </c>
      <c r="Z1616" s="642">
        <v>0.9313</v>
      </c>
      <c r="AA1616" s="647">
        <f t="shared" si="636"/>
        <v>13969.5</v>
      </c>
      <c r="AB1616" s="744"/>
      <c r="AC1616" s="648"/>
      <c r="AD1616" s="246" t="s">
        <v>6047</v>
      </c>
      <c r="AE1616" s="246" t="s">
        <v>82</v>
      </c>
      <c r="AF1616" s="246"/>
      <c r="AG1616" s="642"/>
      <c r="AH1616" s="642"/>
      <c r="AI1616" s="642">
        <v>15000</v>
      </c>
      <c r="AJ1616" s="246">
        <f t="shared" si="623"/>
        <v>0</v>
      </c>
      <c r="AK1616" s="246"/>
      <c r="AL1616" s="246" t="s">
        <v>2368</v>
      </c>
      <c r="AM1616" s="246"/>
      <c r="AN1616" s="246"/>
      <c r="AO1616" s="551">
        <f t="shared" si="637"/>
        <v>15000</v>
      </c>
      <c r="AP1616" s="551"/>
      <c r="AQ1616" s="551"/>
      <c r="AR1616" s="650"/>
      <c r="AS1616" s="551"/>
      <c r="AT1616" s="551">
        <f t="shared" si="638"/>
        <v>15000</v>
      </c>
      <c r="AU1616" s="551"/>
      <c r="AV1616" s="551">
        <f t="shared" si="639"/>
        <v>15000</v>
      </c>
      <c r="AW1616" s="650"/>
      <c r="AX1616" s="551"/>
      <c r="AY1616" s="551"/>
      <c r="AZ1616" s="551"/>
      <c r="BA1616" s="551"/>
      <c r="BB1616" s="249">
        <f t="shared" si="640"/>
        <v>625</v>
      </c>
      <c r="BC1616" s="651"/>
      <c r="BD1616" s="551"/>
      <c r="BE1616" s="551"/>
      <c r="BF1616" s="551"/>
      <c r="BG1616" s="549"/>
      <c r="BH1616" s="551"/>
      <c r="BI1616" s="551"/>
      <c r="BJ1616" s="551"/>
      <c r="BK1616" s="551"/>
      <c r="BL1616" s="551"/>
      <c r="BM1616" s="551"/>
      <c r="BN1616" s="551"/>
      <c r="BO1616" s="551"/>
      <c r="BP1616" s="551">
        <f>I1616/25</f>
        <v>600</v>
      </c>
      <c r="BQ1616" s="551"/>
      <c r="BR1616" s="551"/>
      <c r="BS1616" s="551"/>
      <c r="BT1616" s="551"/>
      <c r="BU1616" s="551"/>
      <c r="BV1616" s="551"/>
      <c r="BW1616" s="551"/>
      <c r="BX1616" s="551"/>
      <c r="BY1616" s="650"/>
      <c r="BZ1616" s="551"/>
      <c r="CA1616" s="652"/>
      <c r="CB1616" s="747"/>
      <c r="CC1616" s="653"/>
      <c r="CD1616" s="650"/>
      <c r="CE1616" s="650"/>
      <c r="CF1616" s="551"/>
      <c r="CG1616" s="551"/>
      <c r="CH1616" s="549"/>
      <c r="CI1616" s="551"/>
      <c r="CJ1616" s="551"/>
      <c r="CK1616" s="551"/>
      <c r="CL1616" s="551"/>
      <c r="CM1616" s="551"/>
      <c r="CN1616" s="551"/>
      <c r="CO1616" s="551"/>
      <c r="CP1616" s="551"/>
      <c r="CQ1616" s="551"/>
      <c r="CR1616" s="551"/>
      <c r="CS1616" s="551"/>
      <c r="CT1616" s="551"/>
      <c r="CU1616" s="551">
        <f t="shared" si="625"/>
        <v>600</v>
      </c>
      <c r="CV1616" s="551">
        <f t="shared" si="641"/>
        <v>0</v>
      </c>
      <c r="CW1616" s="551">
        <f t="shared" si="642"/>
        <v>0</v>
      </c>
      <c r="CX1616" s="650"/>
      <c r="CY1616" s="650"/>
      <c r="CZ1616" s="650"/>
      <c r="DA1616" s="551"/>
      <c r="DB1616" s="551"/>
      <c r="DC1616" s="551"/>
      <c r="DD1616" s="650"/>
      <c r="DE1616" s="650"/>
      <c r="DF1616" s="650"/>
      <c r="DG1616" s="650"/>
      <c r="DH1616" s="650"/>
    </row>
    <row r="1617" s="549" customFormat="1" ht="31" customHeight="1" spans="1:113">
      <c r="A1617" s="641">
        <v>46111</v>
      </c>
      <c r="B1617" s="642" t="s">
        <v>7688</v>
      </c>
      <c r="C1617" s="246" t="s">
        <v>278</v>
      </c>
      <c r="D1617" s="748">
        <v>4500199242</v>
      </c>
      <c r="E1617" s="643">
        <v>89015140</v>
      </c>
      <c r="F1617" s="551" t="s">
        <v>9956</v>
      </c>
      <c r="G1617" s="246" t="s">
        <v>6136</v>
      </c>
      <c r="H1617" s="246" t="s">
        <v>9259</v>
      </c>
      <c r="I1617" s="706">
        <v>3848</v>
      </c>
      <c r="J1617" s="246">
        <v>13</v>
      </c>
      <c r="K1617" s="246">
        <v>104</v>
      </c>
      <c r="L1617" s="644">
        <f t="shared" si="626"/>
        <v>37</v>
      </c>
      <c r="M1617" s="645">
        <v>46206</v>
      </c>
      <c r="N1617" s="645">
        <v>46202</v>
      </c>
      <c r="O1617" s="643"/>
      <c r="P1617" s="246" t="s">
        <v>113</v>
      </c>
      <c r="Q1617" s="646"/>
      <c r="R1617" s="646">
        <v>46129</v>
      </c>
      <c r="S1617" s="646" t="s">
        <v>70</v>
      </c>
      <c r="T1617" s="646" t="s">
        <v>70</v>
      </c>
      <c r="U1617" s="646"/>
      <c r="V1617" s="646" t="s">
        <v>9260</v>
      </c>
      <c r="W1617" s="744"/>
      <c r="X1617" s="642" t="s">
        <v>9957</v>
      </c>
      <c r="Y1617" s="647" t="s">
        <v>1549</v>
      </c>
      <c r="Z1617" s="642">
        <v>0.9268</v>
      </c>
      <c r="AA1617" s="647">
        <f t="shared" si="636"/>
        <v>3566.3264</v>
      </c>
      <c r="AB1617" s="744"/>
      <c r="AC1617" s="751"/>
      <c r="AD1617" s="246" t="s">
        <v>6136</v>
      </c>
      <c r="AE1617" s="246" t="s">
        <v>82</v>
      </c>
      <c r="AF1617" s="246"/>
      <c r="AG1617" s="246"/>
      <c r="AH1617" s="642"/>
      <c r="AI1617" s="642">
        <v>3848</v>
      </c>
      <c r="AJ1617" s="246">
        <f t="shared" si="623"/>
        <v>0</v>
      </c>
      <c r="AK1617" s="643"/>
      <c r="AL1617" s="246"/>
      <c r="AM1617" s="246"/>
      <c r="AN1617" s="551"/>
      <c r="AO1617" s="551">
        <f t="shared" si="637"/>
        <v>3848</v>
      </c>
      <c r="AP1617" s="551"/>
      <c r="AQ1617" s="551"/>
      <c r="AR1617" s="551"/>
      <c r="AS1617" s="551"/>
      <c r="AT1617" s="551">
        <f t="shared" si="638"/>
        <v>3848</v>
      </c>
      <c r="AU1617" s="551"/>
      <c r="AV1617" s="551">
        <f t="shared" si="639"/>
        <v>3848</v>
      </c>
      <c r="AW1617" s="551"/>
      <c r="AX1617" s="651"/>
      <c r="AY1617" s="551"/>
      <c r="AZ1617" s="551"/>
      <c r="BA1617" s="551"/>
      <c r="BB1617" s="249">
        <f t="shared" si="640"/>
        <v>160.333333333333</v>
      </c>
      <c r="BC1617" s="551"/>
      <c r="BD1617" s="551"/>
      <c r="BE1617" s="551"/>
      <c r="BF1617" s="551"/>
      <c r="BG1617" s="549"/>
      <c r="BH1617" s="551"/>
      <c r="BI1617" s="551"/>
      <c r="BJ1617" s="551"/>
      <c r="BK1617" s="551"/>
      <c r="BL1617" s="551"/>
      <c r="BM1617" s="551">
        <f>I1617/13</f>
        <v>296</v>
      </c>
      <c r="BN1617" s="551"/>
      <c r="BO1617" s="551"/>
      <c r="BP1617" s="551"/>
      <c r="BQ1617" s="551"/>
      <c r="BR1617" s="551"/>
      <c r="BS1617" s="551"/>
      <c r="BT1617" s="551"/>
      <c r="BU1617" s="551"/>
      <c r="BV1617" s="551"/>
      <c r="BW1617" s="551"/>
      <c r="BX1617" s="551"/>
      <c r="BY1617" s="551"/>
      <c r="BZ1617" s="551"/>
      <c r="CA1617" s="752"/>
      <c r="CB1617" s="747"/>
      <c r="CC1617" s="753"/>
      <c r="CD1617" s="551"/>
      <c r="CE1617" s="551"/>
      <c r="CF1617" s="551"/>
      <c r="CG1617" s="551"/>
      <c r="CH1617" s="549"/>
      <c r="CI1617" s="551"/>
      <c r="CJ1617" s="551"/>
      <c r="CK1617" s="551"/>
      <c r="CL1617" s="551"/>
      <c r="CM1617" s="551"/>
      <c r="CN1617" s="551"/>
      <c r="CO1617" s="551"/>
      <c r="CP1617" s="650"/>
      <c r="CQ1617" s="650"/>
      <c r="CR1617" s="650"/>
      <c r="CS1617" s="650"/>
      <c r="CT1617" s="650"/>
      <c r="CU1617" s="551">
        <f t="shared" si="625"/>
        <v>0</v>
      </c>
      <c r="CV1617" s="551">
        <f t="shared" si="641"/>
        <v>0</v>
      </c>
      <c r="CW1617" s="551">
        <f t="shared" si="642"/>
        <v>0</v>
      </c>
      <c r="CX1617" s="650"/>
      <c r="CY1617" s="650"/>
      <c r="CZ1617" s="650"/>
      <c r="DA1617" s="650"/>
      <c r="DB1617" s="650"/>
      <c r="DC1617" s="650"/>
      <c r="DD1617" s="650"/>
      <c r="DE1617" s="650"/>
      <c r="DF1617" s="650"/>
      <c r="DG1617" s="650"/>
      <c r="DH1617" s="650"/>
    </row>
    <row r="1618" s="549" customFormat="1" ht="31" customHeight="1" spans="1:113">
      <c r="A1618" s="641">
        <v>46164</v>
      </c>
      <c r="B1618" s="642" t="s">
        <v>3355</v>
      </c>
      <c r="C1618" s="246" t="s">
        <v>278</v>
      </c>
      <c r="D1618" s="748">
        <v>4500208771</v>
      </c>
      <c r="E1618" s="246" t="s">
        <v>9958</v>
      </c>
      <c r="F1618" s="551" t="s">
        <v>9959</v>
      </c>
      <c r="G1618" s="246" t="s">
        <v>6043</v>
      </c>
      <c r="H1618" s="246" t="s">
        <v>6110</v>
      </c>
      <c r="I1618" s="706">
        <v>3750</v>
      </c>
      <c r="J1618" s="246">
        <v>0</v>
      </c>
      <c r="K1618" s="246">
        <v>50</v>
      </c>
      <c r="L1618" s="644">
        <f t="shared" si="626"/>
        <v>75</v>
      </c>
      <c r="M1618" s="645">
        <v>46206</v>
      </c>
      <c r="N1618" s="645">
        <v>46202</v>
      </c>
      <c r="O1618" s="643"/>
      <c r="P1618" s="246" t="s">
        <v>113</v>
      </c>
      <c r="Q1618" s="646">
        <v>46217</v>
      </c>
      <c r="R1618" s="646">
        <v>46170</v>
      </c>
      <c r="S1618" s="646" t="s">
        <v>70</v>
      </c>
      <c r="T1618" s="646" t="s">
        <v>9960</v>
      </c>
      <c r="U1618" s="646"/>
      <c r="V1618" s="646"/>
      <c r="W1618" s="744"/>
      <c r="X1618" s="642" t="s">
        <v>9961</v>
      </c>
      <c r="Y1618" s="647" t="s">
        <v>299</v>
      </c>
      <c r="Z1618" s="642">
        <v>0.9819</v>
      </c>
      <c r="AA1618" s="647">
        <f t="shared" si="636"/>
        <v>3682.125</v>
      </c>
      <c r="AB1618" s="744"/>
      <c r="AC1618" s="751"/>
      <c r="AD1618" s="246" t="s">
        <v>6043</v>
      </c>
      <c r="AE1618" s="246" t="s">
        <v>82</v>
      </c>
      <c r="AF1618" s="246"/>
      <c r="AG1618" s="246"/>
      <c r="AH1618" s="642"/>
      <c r="AI1618" s="642">
        <v>3750</v>
      </c>
      <c r="AJ1618" s="246">
        <f t="shared" si="623"/>
        <v>0</v>
      </c>
      <c r="AK1618" s="643"/>
      <c r="AL1618" s="246" t="s">
        <v>2368</v>
      </c>
      <c r="AM1618" s="246"/>
      <c r="AN1618" s="551"/>
      <c r="AO1618" s="551">
        <f t="shared" si="637"/>
        <v>3750</v>
      </c>
      <c r="AP1618" s="551"/>
      <c r="AQ1618" s="551"/>
      <c r="AR1618" s="650"/>
      <c r="AS1618" s="551"/>
      <c r="AT1618" s="551">
        <f t="shared" si="638"/>
        <v>3750</v>
      </c>
      <c r="AU1618" s="551"/>
      <c r="AV1618" s="551">
        <f t="shared" si="639"/>
        <v>3750</v>
      </c>
      <c r="AW1618" s="551"/>
      <c r="AX1618" s="651"/>
      <c r="AY1618" s="551"/>
      <c r="AZ1618" s="551"/>
      <c r="BA1618" s="551"/>
      <c r="BB1618" s="249">
        <f t="shared" si="640"/>
        <v>156.25</v>
      </c>
      <c r="BC1618" s="551"/>
      <c r="BD1618" s="551"/>
      <c r="BE1618" s="551"/>
      <c r="BF1618" s="551"/>
      <c r="BG1618" s="549"/>
      <c r="BH1618" s="551"/>
      <c r="BI1618" s="551"/>
      <c r="BJ1618" s="551"/>
      <c r="BK1618" s="551"/>
      <c r="BL1618" s="551"/>
      <c r="BM1618" s="551"/>
      <c r="BN1618" s="551"/>
      <c r="BO1618" s="551"/>
      <c r="BP1618" s="551">
        <f>I1618/25</f>
        <v>150</v>
      </c>
      <c r="BQ1618" s="551"/>
      <c r="BR1618" s="551"/>
      <c r="BS1618" s="551"/>
      <c r="BT1618" s="551"/>
      <c r="BU1618" s="551"/>
      <c r="BV1618" s="551"/>
      <c r="BW1618" s="551"/>
      <c r="BX1618" s="551"/>
      <c r="BY1618" s="551"/>
      <c r="BZ1618" s="551"/>
      <c r="CA1618" s="752"/>
      <c r="CB1618" s="747"/>
      <c r="CC1618" s="753"/>
      <c r="CD1618" s="551"/>
      <c r="CE1618" s="551"/>
      <c r="CF1618" s="551"/>
      <c r="CG1618" s="551"/>
      <c r="CH1618" s="549"/>
      <c r="CI1618" s="551"/>
      <c r="CJ1618" s="551"/>
      <c r="CK1618" s="551"/>
      <c r="CL1618" s="551"/>
      <c r="CM1618" s="551"/>
      <c r="CN1618" s="551"/>
      <c r="CO1618" s="551"/>
      <c r="CP1618" s="650"/>
      <c r="CQ1618" s="650"/>
      <c r="CR1618" s="551"/>
      <c r="CS1618" s="551"/>
      <c r="CT1618" s="551"/>
      <c r="CU1618" s="551">
        <f t="shared" si="625"/>
        <v>150</v>
      </c>
      <c r="CV1618" s="551">
        <f t="shared" si="641"/>
        <v>0</v>
      </c>
      <c r="CW1618" s="551">
        <f t="shared" si="642"/>
        <v>0</v>
      </c>
      <c r="CX1618" s="650"/>
      <c r="CY1618" s="650"/>
      <c r="CZ1618" s="650"/>
      <c r="DA1618" s="650"/>
      <c r="DB1618" s="650"/>
      <c r="DC1618" s="650"/>
      <c r="DD1618" s="650"/>
      <c r="DE1618" s="650"/>
      <c r="DF1618" s="650"/>
      <c r="DG1618" s="650"/>
      <c r="DH1618" s="650"/>
    </row>
    <row r="1619" s="549" customFormat="1" ht="31" customHeight="1" spans="1:113">
      <c r="A1619" s="641">
        <v>46136</v>
      </c>
      <c r="B1619" s="642" t="s">
        <v>2734</v>
      </c>
      <c r="C1619" s="246" t="s">
        <v>98</v>
      </c>
      <c r="D1619" s="748">
        <v>4500202168</v>
      </c>
      <c r="E1619" s="643">
        <v>60295833</v>
      </c>
      <c r="F1619" s="551" t="s">
        <v>9962</v>
      </c>
      <c r="G1619" s="246" t="s">
        <v>6787</v>
      </c>
      <c r="H1619" s="610" t="s">
        <v>6126</v>
      </c>
      <c r="I1619" s="706">
        <v>5004</v>
      </c>
      <c r="J1619" s="246">
        <v>0</v>
      </c>
      <c r="K1619" s="246">
        <v>12</v>
      </c>
      <c r="L1619" s="644">
        <f t="shared" si="626"/>
        <v>417</v>
      </c>
      <c r="M1619" s="645">
        <v>46209</v>
      </c>
      <c r="N1619" s="645">
        <v>46205</v>
      </c>
      <c r="O1619" s="643"/>
      <c r="P1619" s="246" t="s">
        <v>113</v>
      </c>
      <c r="Q1619" s="646">
        <v>46220</v>
      </c>
      <c r="R1619" s="646">
        <v>46176</v>
      </c>
      <c r="S1619" s="646" t="s">
        <v>70</v>
      </c>
      <c r="T1619" s="646" t="s">
        <v>9963</v>
      </c>
      <c r="U1619" s="646"/>
      <c r="V1619" s="646"/>
      <c r="W1619" s="744"/>
      <c r="X1619" s="642" t="s">
        <v>9964</v>
      </c>
      <c r="Y1619" s="647" t="s">
        <v>2814</v>
      </c>
      <c r="Z1619" s="642">
        <v>1.3418</v>
      </c>
      <c r="AA1619" s="647">
        <v>2974.7016</v>
      </c>
      <c r="AB1619" s="744"/>
      <c r="AC1619" s="763" t="s">
        <v>9965</v>
      </c>
      <c r="AD1619" s="246" t="s">
        <v>8545</v>
      </c>
      <c r="AE1619" s="246" t="s">
        <v>82</v>
      </c>
      <c r="AF1619" s="246"/>
      <c r="AG1619" s="246"/>
      <c r="AH1619" s="642"/>
      <c r="AI1619" s="642">
        <v>5004</v>
      </c>
      <c r="AJ1619" s="246">
        <f t="shared" si="623"/>
        <v>0</v>
      </c>
      <c r="AK1619" s="643"/>
      <c r="AL1619" s="246" t="s">
        <v>2368</v>
      </c>
      <c r="AM1619" s="246"/>
      <c r="AN1619" s="246">
        <f>I1619*2</f>
        <v>10008</v>
      </c>
      <c r="AO1619" s="551"/>
      <c r="AP1619" s="551">
        <f>I1619*2</f>
        <v>10008</v>
      </c>
      <c r="AQ1619" s="551"/>
      <c r="AR1619" s="650"/>
      <c r="AS1619" s="551"/>
      <c r="AT1619" s="551"/>
      <c r="AU1619" s="551">
        <f>I1619*2</f>
        <v>10008</v>
      </c>
      <c r="AV1619" s="551"/>
      <c r="AW1619" s="551"/>
      <c r="AX1619" s="651"/>
      <c r="AY1619" s="551"/>
      <c r="AZ1619" s="551"/>
      <c r="BA1619" s="551"/>
      <c r="BB1619" s="249">
        <f>I1619/24*2</f>
        <v>417</v>
      </c>
      <c r="BC1619" s="551"/>
      <c r="BD1619" s="551"/>
      <c r="BE1619" s="551"/>
      <c r="BF1619" s="551"/>
      <c r="BG1619" s="549"/>
      <c r="BH1619" s="551"/>
      <c r="BI1619" s="551"/>
      <c r="BJ1619" s="551"/>
      <c r="BK1619" s="551"/>
      <c r="BL1619" s="551"/>
      <c r="BM1619" s="551"/>
      <c r="BN1619" s="551"/>
      <c r="BO1619" s="551"/>
      <c r="BP1619" s="551"/>
      <c r="BQ1619" s="551"/>
      <c r="BR1619" s="551"/>
      <c r="BS1619" s="551"/>
      <c r="BT1619" s="551"/>
      <c r="BU1619" s="551"/>
      <c r="BV1619" s="551"/>
      <c r="BW1619" s="551"/>
      <c r="BX1619" s="551"/>
      <c r="BY1619" s="551"/>
      <c r="BZ1619" s="551"/>
      <c r="CA1619" s="752"/>
      <c r="CB1619" s="747"/>
      <c r="CC1619" s="753"/>
      <c r="CD1619" s="551"/>
      <c r="CE1619" s="551"/>
      <c r="CF1619" s="551"/>
      <c r="CG1619" s="551"/>
      <c r="CH1619" s="549"/>
      <c r="CI1619" s="551"/>
      <c r="CJ1619" s="551"/>
      <c r="CK1619" s="551"/>
      <c r="CL1619" s="551"/>
      <c r="CM1619" s="551"/>
      <c r="CN1619" s="551"/>
      <c r="CO1619" s="551"/>
      <c r="CP1619" s="650"/>
      <c r="CQ1619" s="650"/>
      <c r="CR1619" s="551">
        <f>I1619</f>
        <v>5004</v>
      </c>
      <c r="CS1619" s="551">
        <f>I1619</f>
        <v>5004</v>
      </c>
      <c r="CT1619" s="551">
        <f>I1619</f>
        <v>5004</v>
      </c>
      <c r="CU1619" s="551">
        <f t="shared" si="625"/>
        <v>0</v>
      </c>
      <c r="CV1619" s="551">
        <f t="shared" si="641"/>
        <v>0</v>
      </c>
      <c r="CW1619" s="551">
        <f t="shared" si="642"/>
        <v>0</v>
      </c>
      <c r="CX1619" s="650"/>
      <c r="CY1619" s="650"/>
      <c r="CZ1619" s="650"/>
      <c r="DA1619" s="650"/>
      <c r="DB1619" s="650"/>
      <c r="DC1619" s="650"/>
      <c r="DD1619" s="650"/>
      <c r="DE1619" s="650"/>
      <c r="DF1619" s="650"/>
      <c r="DG1619" s="650"/>
      <c r="DH1619" s="650"/>
    </row>
    <row r="1620" s="549" customFormat="1" ht="31" customHeight="1" spans="1:113">
      <c r="A1620" s="641">
        <v>46167</v>
      </c>
      <c r="B1620" s="642" t="s">
        <v>3008</v>
      </c>
      <c r="C1620" s="246" t="s">
        <v>98</v>
      </c>
      <c r="D1620" s="748">
        <v>4500208849</v>
      </c>
      <c r="E1620" s="246" t="s">
        <v>4704</v>
      </c>
      <c r="F1620" s="551" t="s">
        <v>9966</v>
      </c>
      <c r="G1620" s="246" t="s">
        <v>6032</v>
      </c>
      <c r="H1620" s="246" t="s">
        <v>6033</v>
      </c>
      <c r="I1620" s="246">
        <v>35360</v>
      </c>
      <c r="J1620" s="246">
        <v>0</v>
      </c>
      <c r="K1620" s="246">
        <v>52</v>
      </c>
      <c r="L1620" s="246">
        <f t="shared" si="626"/>
        <v>680</v>
      </c>
      <c r="M1620" s="645">
        <v>46211</v>
      </c>
      <c r="N1620" s="645">
        <v>46207</v>
      </c>
      <c r="O1620" s="643"/>
      <c r="P1620" s="643" t="s">
        <v>113</v>
      </c>
      <c r="Q1620" s="654">
        <v>46218</v>
      </c>
      <c r="R1620" s="646">
        <v>46170</v>
      </c>
      <c r="S1620" s="646" t="s">
        <v>104</v>
      </c>
      <c r="T1620" s="646" t="s">
        <v>4706</v>
      </c>
      <c r="U1620" s="646"/>
      <c r="V1620" s="646"/>
      <c r="W1620" s="744"/>
      <c r="X1620" s="642" t="s">
        <v>4707</v>
      </c>
      <c r="Y1620" s="647" t="s">
        <v>4708</v>
      </c>
      <c r="Z1620" s="655">
        <v>0.5744</v>
      </c>
      <c r="AA1620" s="647">
        <f t="shared" ref="AA1620:AA1625" si="643">Z1620*I1620</f>
        <v>20310.784</v>
      </c>
      <c r="AB1620" s="744"/>
      <c r="AC1620" s="658" t="s">
        <v>4709</v>
      </c>
      <c r="AD1620" s="246" t="s">
        <v>6032</v>
      </c>
      <c r="AE1620" s="246" t="s">
        <v>82</v>
      </c>
      <c r="AF1620" s="246"/>
      <c r="AG1620" s="642"/>
      <c r="AH1620" s="642"/>
      <c r="AI1620" s="642">
        <f>16380+18980</f>
        <v>35360</v>
      </c>
      <c r="AJ1620" s="246">
        <f t="shared" si="623"/>
        <v>0</v>
      </c>
      <c r="AK1620" s="246"/>
      <c r="AL1620" s="246" t="s">
        <v>2368</v>
      </c>
      <c r="AM1620" s="246"/>
      <c r="AN1620" s="246">
        <f>I1620</f>
        <v>35360</v>
      </c>
      <c r="AO1620" s="551"/>
      <c r="AP1620" s="551">
        <f>I1620</f>
        <v>35360</v>
      </c>
      <c r="AQ1620" s="551"/>
      <c r="AR1620" s="650"/>
      <c r="AS1620" s="551"/>
      <c r="AT1620" s="551"/>
      <c r="AU1620" s="551">
        <f>I1620</f>
        <v>35360</v>
      </c>
      <c r="AV1620" s="551"/>
      <c r="AW1620" s="650"/>
      <c r="AX1620" s="551"/>
      <c r="AY1620" s="551"/>
      <c r="AZ1620" s="551"/>
      <c r="BA1620" s="551"/>
      <c r="BB1620" s="249">
        <f>I1620/24</f>
        <v>1473.33333333333</v>
      </c>
      <c r="BC1620" s="651"/>
      <c r="BD1620" s="551"/>
      <c r="BE1620" s="551"/>
      <c r="BF1620" s="551"/>
      <c r="BG1620" s="549"/>
      <c r="BH1620" s="551"/>
      <c r="BI1620" s="551"/>
      <c r="BJ1620" s="551"/>
      <c r="BK1620" s="551">
        <f>I1620/13</f>
        <v>2720</v>
      </c>
      <c r="BL1620" s="551"/>
      <c r="BM1620" s="551"/>
      <c r="BN1620" s="551"/>
      <c r="BO1620" s="551"/>
      <c r="BP1620" s="551"/>
      <c r="BQ1620" s="551"/>
      <c r="BR1620" s="551"/>
      <c r="BS1620" s="551"/>
      <c r="BT1620" s="551"/>
      <c r="BU1620" s="551"/>
      <c r="BV1620" s="551"/>
      <c r="BW1620" s="551"/>
      <c r="BX1620" s="551"/>
      <c r="BY1620" s="650"/>
      <c r="BZ1620" s="551"/>
      <c r="CA1620" s="652"/>
      <c r="CB1620" s="747"/>
      <c r="CC1620" s="653"/>
      <c r="CD1620" s="650"/>
      <c r="CE1620" s="650"/>
      <c r="CF1620" s="551"/>
      <c r="CG1620" s="551"/>
      <c r="CH1620" s="549"/>
      <c r="CI1620" s="551"/>
      <c r="CJ1620" s="551"/>
      <c r="CK1620" s="551"/>
      <c r="CL1620" s="551"/>
      <c r="CM1620" s="551"/>
      <c r="CN1620" s="551"/>
      <c r="CO1620" s="551"/>
      <c r="CP1620" s="551"/>
      <c r="CQ1620" s="551"/>
      <c r="CR1620" s="551"/>
      <c r="CS1620" s="551"/>
      <c r="CT1620" s="551"/>
      <c r="CU1620" s="551">
        <f t="shared" si="625"/>
        <v>0</v>
      </c>
      <c r="CV1620" s="551">
        <f t="shared" si="641"/>
        <v>0</v>
      </c>
      <c r="CW1620" s="551">
        <f t="shared" si="642"/>
        <v>0</v>
      </c>
      <c r="CX1620" s="650"/>
      <c r="CY1620" s="650"/>
      <c r="CZ1620" s="650"/>
      <c r="DA1620" s="551"/>
      <c r="DB1620" s="551"/>
      <c r="DC1620" s="551"/>
      <c r="DD1620" s="650"/>
      <c r="DE1620" s="650"/>
      <c r="DF1620" s="650"/>
      <c r="DG1620" s="650"/>
      <c r="DH1620" s="650"/>
    </row>
    <row r="1621" s="553" customFormat="1" ht="31" customHeight="1" spans="1:113">
      <c r="A1621" s="821">
        <v>46146</v>
      </c>
      <c r="B1621" s="822" t="s">
        <v>2765</v>
      </c>
      <c r="C1621" s="633" t="s">
        <v>170</v>
      </c>
      <c r="D1621" s="823">
        <v>4500205055</v>
      </c>
      <c r="E1621" s="824">
        <v>680746</v>
      </c>
      <c r="F1621" s="825" t="s">
        <v>9967</v>
      </c>
      <c r="G1621" s="633" t="s">
        <v>6166</v>
      </c>
      <c r="H1621" s="633" t="s">
        <v>6094</v>
      </c>
      <c r="I1621" s="826">
        <v>520</v>
      </c>
      <c r="J1621" s="633">
        <v>0</v>
      </c>
      <c r="K1621" s="633">
        <v>13</v>
      </c>
      <c r="L1621" s="827">
        <f t="shared" si="626"/>
        <v>40</v>
      </c>
      <c r="M1621" s="828">
        <v>46200</v>
      </c>
      <c r="N1621" s="828">
        <v>46196</v>
      </c>
      <c r="O1621" s="824"/>
      <c r="P1621" s="633" t="s">
        <v>113</v>
      </c>
      <c r="Q1621" s="829"/>
      <c r="R1621" s="829">
        <v>46148</v>
      </c>
      <c r="S1621" s="829" t="s">
        <v>70</v>
      </c>
      <c r="T1621" s="829" t="s">
        <v>70</v>
      </c>
      <c r="U1621" s="829"/>
      <c r="V1621" s="829"/>
      <c r="W1621" s="830"/>
      <c r="X1621" s="822" t="s">
        <v>9968</v>
      </c>
      <c r="Y1621" s="831" t="s">
        <v>3481</v>
      </c>
      <c r="Z1621" s="822">
        <v>0.9602</v>
      </c>
      <c r="AA1621" s="831">
        <f t="shared" si="643"/>
        <v>499.304</v>
      </c>
      <c r="AB1621" s="830"/>
      <c r="AC1621" s="832"/>
      <c r="AD1621" s="633" t="s">
        <v>6166</v>
      </c>
      <c r="AE1621" s="633" t="s">
        <v>82</v>
      </c>
      <c r="AF1621" s="633"/>
      <c r="AG1621" s="633"/>
      <c r="AH1621" s="822"/>
      <c r="AI1621" s="822">
        <v>520</v>
      </c>
      <c r="AJ1621" s="633">
        <f t="shared" si="623"/>
        <v>0</v>
      </c>
      <c r="AK1621" s="824"/>
      <c r="AL1621" s="633"/>
      <c r="AM1621" s="633"/>
      <c r="AN1621" s="633">
        <f>I1621</f>
        <v>520</v>
      </c>
      <c r="AO1621" s="825"/>
      <c r="AP1621" s="825"/>
      <c r="AQ1621" s="825"/>
      <c r="AR1621" s="833"/>
      <c r="AS1621" s="825">
        <f>I1621</f>
        <v>520</v>
      </c>
      <c r="AT1621" s="825"/>
      <c r="AU1621" s="825">
        <f>I1621</f>
        <v>520</v>
      </c>
      <c r="AV1621" s="825"/>
      <c r="AW1621" s="825"/>
      <c r="AX1621" s="834"/>
      <c r="AY1621" s="825"/>
      <c r="AZ1621" s="825"/>
      <c r="BA1621" s="825"/>
      <c r="BB1621" s="835">
        <f>I1621/24</f>
        <v>21.6666666666667</v>
      </c>
      <c r="BC1621" s="825"/>
      <c r="BD1621" s="825"/>
      <c r="BE1621" s="825"/>
      <c r="BF1621" s="825"/>
      <c r="BG1621" s="553"/>
      <c r="BH1621" s="825"/>
      <c r="BI1621" s="825"/>
      <c r="BJ1621" s="825"/>
      <c r="BK1621" s="825"/>
      <c r="BL1621" s="825">
        <f>I1621/13</f>
        <v>40</v>
      </c>
      <c r="BM1621" s="825"/>
      <c r="BN1621" s="825"/>
      <c r="BO1621" s="825"/>
      <c r="BP1621" s="825"/>
      <c r="BQ1621" s="825"/>
      <c r="BR1621" s="825"/>
      <c r="BS1621" s="825"/>
      <c r="BT1621" s="825"/>
      <c r="BU1621" s="825"/>
      <c r="BV1621" s="825"/>
      <c r="BW1621" s="825"/>
      <c r="BX1621" s="825"/>
      <c r="BY1621" s="825"/>
      <c r="BZ1621" s="825"/>
      <c r="CA1621" s="836"/>
      <c r="CB1621" s="837"/>
      <c r="CC1621" s="838"/>
      <c r="CD1621" s="825"/>
      <c r="CE1621" s="825"/>
      <c r="CF1621" s="825"/>
      <c r="CG1621" s="825"/>
      <c r="CH1621" s="553"/>
      <c r="CI1621" s="825"/>
      <c r="CJ1621" s="825"/>
      <c r="CK1621" s="825"/>
      <c r="CL1621" s="825"/>
      <c r="CM1621" s="825"/>
      <c r="CN1621" s="825"/>
      <c r="CO1621" s="825"/>
      <c r="CP1621" s="833"/>
      <c r="CQ1621" s="833"/>
      <c r="CR1621" s="825"/>
      <c r="CS1621" s="825"/>
      <c r="CT1621" s="825"/>
      <c r="CU1621" s="825">
        <f t="shared" si="625"/>
        <v>0</v>
      </c>
      <c r="CV1621" s="825">
        <f t="shared" si="641"/>
        <v>0</v>
      </c>
      <c r="CW1621" s="825">
        <f t="shared" si="642"/>
        <v>0</v>
      </c>
      <c r="CX1621" s="833"/>
      <c r="CY1621" s="833"/>
      <c r="CZ1621" s="833"/>
      <c r="DA1621" s="833"/>
      <c r="DB1621" s="833"/>
      <c r="DC1621" s="833"/>
      <c r="DD1621" s="833"/>
      <c r="DE1621" s="833"/>
      <c r="DF1621" s="833"/>
      <c r="DG1621" s="833"/>
      <c r="DH1621" s="833"/>
    </row>
    <row r="1622" s="553" customFormat="1" ht="31" customHeight="1" spans="1:113">
      <c r="A1622" s="821">
        <v>46160</v>
      </c>
      <c r="B1622" s="822" t="s">
        <v>4673</v>
      </c>
      <c r="C1622" s="633" t="s">
        <v>98</v>
      </c>
      <c r="D1622" s="823">
        <v>4500207784</v>
      </c>
      <c r="E1622" s="824">
        <v>1900759</v>
      </c>
      <c r="F1622" s="825" t="s">
        <v>4676</v>
      </c>
      <c r="G1622" s="633" t="s">
        <v>8520</v>
      </c>
      <c r="H1622" s="633" t="s">
        <v>8521</v>
      </c>
      <c r="I1622" s="826">
        <v>120</v>
      </c>
      <c r="J1622" s="633">
        <v>0</v>
      </c>
      <c r="K1622" s="633">
        <v>8</v>
      </c>
      <c r="L1622" s="827">
        <f t="shared" si="626"/>
        <v>15</v>
      </c>
      <c r="M1622" s="828">
        <v>46203</v>
      </c>
      <c r="N1622" s="828">
        <v>46199</v>
      </c>
      <c r="O1622" s="824"/>
      <c r="P1622" s="610" t="s">
        <v>113</v>
      </c>
      <c r="Q1622" s="614">
        <v>46215</v>
      </c>
      <c r="R1622" s="829">
        <v>46170</v>
      </c>
      <c r="S1622" s="829" t="s">
        <v>70</v>
      </c>
      <c r="T1622" s="829" t="s">
        <v>4677</v>
      </c>
      <c r="U1622" s="829"/>
      <c r="V1622" s="829"/>
      <c r="W1622" s="830"/>
      <c r="X1622" s="822" t="s">
        <v>4678</v>
      </c>
      <c r="Y1622" s="831" t="s">
        <v>1723</v>
      </c>
      <c r="Z1622" s="822">
        <v>4.3989</v>
      </c>
      <c r="AA1622" s="831">
        <f t="shared" si="643"/>
        <v>527.868</v>
      </c>
      <c r="AB1622" s="830"/>
      <c r="AC1622" s="839" t="s">
        <v>4679</v>
      </c>
      <c r="AD1622" s="633" t="s">
        <v>2741</v>
      </c>
      <c r="AE1622" s="633" t="s">
        <v>82</v>
      </c>
      <c r="AF1622" s="633"/>
      <c r="AG1622" s="633"/>
      <c r="AH1622" s="822"/>
      <c r="AI1622" s="822">
        <v>120</v>
      </c>
      <c r="AJ1622" s="633">
        <f t="shared" si="623"/>
        <v>0</v>
      </c>
      <c r="AK1622" s="824"/>
      <c r="AL1622" s="633" t="s">
        <v>2368</v>
      </c>
      <c r="AM1622" s="633"/>
      <c r="AN1622" s="633">
        <f>I1622*2</f>
        <v>240</v>
      </c>
      <c r="AO1622" s="825"/>
      <c r="AP1622" s="825">
        <f>I1622*2</f>
        <v>240</v>
      </c>
      <c r="AQ1622" s="825"/>
      <c r="AR1622" s="833"/>
      <c r="AS1622" s="825"/>
      <c r="AT1622" s="825"/>
      <c r="AU1622" s="825">
        <f>I1622*2</f>
        <v>240</v>
      </c>
      <c r="AV1622" s="825"/>
      <c r="AW1622" s="825"/>
      <c r="AX1622" s="834"/>
      <c r="AY1622" s="825"/>
      <c r="AZ1622" s="825"/>
      <c r="BA1622" s="825"/>
      <c r="BB1622" s="835">
        <f>I1622/24*2</f>
        <v>10</v>
      </c>
      <c r="BC1622" s="825"/>
      <c r="BD1622" s="825"/>
      <c r="BE1622" s="825"/>
      <c r="BF1622" s="825"/>
      <c r="BG1622" s="553"/>
      <c r="BH1622" s="825"/>
      <c r="BI1622" s="825"/>
      <c r="BJ1622" s="825"/>
      <c r="BK1622" s="825"/>
      <c r="BL1622" s="825"/>
      <c r="BM1622" s="825"/>
      <c r="BN1622" s="825"/>
      <c r="BO1622" s="825"/>
      <c r="BP1622" s="825"/>
      <c r="BQ1622" s="825"/>
      <c r="BR1622" s="825"/>
      <c r="BS1622" s="825"/>
      <c r="BT1622" s="825"/>
      <c r="BU1622" s="825"/>
      <c r="BV1622" s="825"/>
      <c r="BW1622" s="825"/>
      <c r="BX1622" s="825"/>
      <c r="BY1622" s="825">
        <f>I1622</f>
        <v>120</v>
      </c>
      <c r="BZ1622" s="825"/>
      <c r="CA1622" s="840"/>
      <c r="CB1622" s="837"/>
      <c r="CC1622" s="841"/>
      <c r="CD1622" s="833"/>
      <c r="CE1622" s="833"/>
      <c r="CF1622" s="825"/>
      <c r="CG1622" s="825"/>
      <c r="CH1622" s="553"/>
      <c r="CI1622" s="825"/>
      <c r="CJ1622" s="825"/>
      <c r="CK1622" s="825"/>
      <c r="CL1622" s="825"/>
      <c r="CM1622" s="825"/>
      <c r="CN1622" s="825"/>
      <c r="CO1622" s="825"/>
      <c r="CP1622" s="833"/>
      <c r="CQ1622" s="833"/>
      <c r="CR1622" s="825"/>
      <c r="CS1622" s="825"/>
      <c r="CT1622" s="825"/>
      <c r="CU1622" s="825">
        <f t="shared" si="625"/>
        <v>0</v>
      </c>
      <c r="CV1622" s="825">
        <v>0</v>
      </c>
      <c r="CW1622" s="825">
        <v>0</v>
      </c>
      <c r="CX1622" s="842"/>
      <c r="CY1622" s="842"/>
      <c r="CZ1622" s="842"/>
      <c r="DA1622" s="842"/>
      <c r="DB1622" s="842"/>
      <c r="DC1622" s="842"/>
      <c r="DD1622" s="842"/>
      <c r="DE1622" s="842"/>
      <c r="DF1622" s="842"/>
      <c r="DG1622" s="842"/>
      <c r="DH1622" s="842"/>
      <c r="DI1622" s="825"/>
    </row>
    <row r="1623" s="553" customFormat="1" ht="30" customHeight="1" spans="1:113">
      <c r="A1623" s="821">
        <v>46160</v>
      </c>
      <c r="B1623" s="822" t="s">
        <v>4673</v>
      </c>
      <c r="C1623" s="633" t="s">
        <v>98</v>
      </c>
      <c r="D1623" s="823">
        <v>4500207784</v>
      </c>
      <c r="E1623" s="824">
        <v>1901115</v>
      </c>
      <c r="F1623" s="825" t="s">
        <v>4681</v>
      </c>
      <c r="G1623" s="633" t="s">
        <v>8520</v>
      </c>
      <c r="H1623" s="633" t="s">
        <v>8521</v>
      </c>
      <c r="I1623" s="826">
        <v>1544</v>
      </c>
      <c r="J1623" s="633">
        <v>0</v>
      </c>
      <c r="K1623" s="633">
        <v>8</v>
      </c>
      <c r="L1623" s="827">
        <f t="shared" si="626"/>
        <v>193</v>
      </c>
      <c r="M1623" s="828">
        <v>46203</v>
      </c>
      <c r="N1623" s="828">
        <v>46199</v>
      </c>
      <c r="O1623" s="824"/>
      <c r="P1623" s="610" t="s">
        <v>113</v>
      </c>
      <c r="Q1623" s="614">
        <v>46215</v>
      </c>
      <c r="R1623" s="829">
        <v>46170</v>
      </c>
      <c r="S1623" s="829" t="s">
        <v>70</v>
      </c>
      <c r="T1623" s="829" t="s">
        <v>4677</v>
      </c>
      <c r="U1623" s="829"/>
      <c r="V1623" s="829"/>
      <c r="W1623" s="830"/>
      <c r="X1623" s="822" t="s">
        <v>4678</v>
      </c>
      <c r="Y1623" s="831" t="s">
        <v>1723</v>
      </c>
      <c r="Z1623" s="822">
        <v>4.1272</v>
      </c>
      <c r="AA1623" s="831">
        <f t="shared" si="643"/>
        <v>6372.3968</v>
      </c>
      <c r="AB1623" s="830"/>
      <c r="AC1623" s="839" t="s">
        <v>4682</v>
      </c>
      <c r="AD1623" s="633" t="s">
        <v>2741</v>
      </c>
      <c r="AE1623" s="633" t="s">
        <v>82</v>
      </c>
      <c r="AF1623" s="633"/>
      <c r="AG1623" s="633"/>
      <c r="AH1623" s="822"/>
      <c r="AI1623" s="822">
        <v>1544</v>
      </c>
      <c r="AJ1623" s="633">
        <f t="shared" si="623"/>
        <v>0</v>
      </c>
      <c r="AK1623" s="824"/>
      <c r="AL1623" s="633" t="s">
        <v>2368</v>
      </c>
      <c r="AM1623" s="633"/>
      <c r="AN1623" s="633">
        <f>I1623*2</f>
        <v>3088</v>
      </c>
      <c r="AO1623" s="825"/>
      <c r="AP1623" s="825">
        <f>I1623*2</f>
        <v>3088</v>
      </c>
      <c r="AQ1623" s="825"/>
      <c r="AR1623" s="833"/>
      <c r="AS1623" s="825"/>
      <c r="AT1623" s="825"/>
      <c r="AU1623" s="825">
        <f>I1623*2</f>
        <v>3088</v>
      </c>
      <c r="AV1623" s="825"/>
      <c r="AW1623" s="825"/>
      <c r="AX1623" s="834"/>
      <c r="AY1623" s="825"/>
      <c r="AZ1623" s="825"/>
      <c r="BA1623" s="825"/>
      <c r="BB1623" s="835">
        <f>I1623/24*2</f>
        <v>128.666666666667</v>
      </c>
      <c r="BC1623" s="825"/>
      <c r="BD1623" s="825"/>
      <c r="BE1623" s="825"/>
      <c r="BF1623" s="825"/>
      <c r="BG1623" s="553"/>
      <c r="BH1623" s="825"/>
      <c r="BI1623" s="825"/>
      <c r="BJ1623" s="825"/>
      <c r="BK1623" s="825"/>
      <c r="BL1623" s="825"/>
      <c r="BM1623" s="825"/>
      <c r="BN1623" s="825"/>
      <c r="BO1623" s="825"/>
      <c r="BP1623" s="825"/>
      <c r="BQ1623" s="825"/>
      <c r="BR1623" s="825"/>
      <c r="BS1623" s="825"/>
      <c r="BT1623" s="825"/>
      <c r="BU1623" s="825"/>
      <c r="BV1623" s="825"/>
      <c r="BW1623" s="825"/>
      <c r="BX1623" s="825"/>
      <c r="BY1623" s="825">
        <f>I1623</f>
        <v>1544</v>
      </c>
      <c r="BZ1623" s="825"/>
      <c r="CA1623" s="840"/>
      <c r="CB1623" s="837"/>
      <c r="CC1623" s="841"/>
      <c r="CD1623" s="833"/>
      <c r="CE1623" s="833"/>
      <c r="CF1623" s="825"/>
      <c r="CG1623" s="825"/>
      <c r="CH1623" s="553"/>
      <c r="CI1623" s="825"/>
      <c r="CJ1623" s="825"/>
      <c r="CK1623" s="825"/>
      <c r="CL1623" s="825"/>
      <c r="CM1623" s="825"/>
      <c r="CN1623" s="825"/>
      <c r="CO1623" s="825"/>
      <c r="CP1623" s="833"/>
      <c r="CQ1623" s="833"/>
      <c r="CR1623" s="825"/>
      <c r="CS1623" s="825"/>
      <c r="CT1623" s="825"/>
      <c r="CU1623" s="825">
        <f t="shared" si="625"/>
        <v>0</v>
      </c>
      <c r="CV1623" s="825">
        <v>0</v>
      </c>
      <c r="CW1623" s="825">
        <v>0</v>
      </c>
      <c r="CX1623" s="842"/>
      <c r="CY1623" s="842"/>
      <c r="CZ1623" s="842"/>
      <c r="DA1623" s="842"/>
      <c r="DB1623" s="842"/>
      <c r="DC1623" s="842"/>
      <c r="DD1623" s="842"/>
      <c r="DE1623" s="842"/>
      <c r="DF1623" s="842"/>
      <c r="DG1623" s="842"/>
      <c r="DH1623" s="842"/>
      <c r="DI1623" s="825"/>
    </row>
    <row r="1624" s="553" customFormat="1" ht="31" customHeight="1" spans="1:113">
      <c r="A1624" s="821">
        <v>46160</v>
      </c>
      <c r="B1624" s="822" t="s">
        <v>4673</v>
      </c>
      <c r="C1624" s="633" t="s">
        <v>98</v>
      </c>
      <c r="D1624" s="823">
        <v>4500207784</v>
      </c>
      <c r="E1624" s="824">
        <v>1901116</v>
      </c>
      <c r="F1624" s="825" t="s">
        <v>4684</v>
      </c>
      <c r="G1624" s="633" t="s">
        <v>8520</v>
      </c>
      <c r="H1624" s="633" t="s">
        <v>8521</v>
      </c>
      <c r="I1624" s="826">
        <v>736</v>
      </c>
      <c r="J1624" s="633">
        <v>0</v>
      </c>
      <c r="K1624" s="633">
        <v>8</v>
      </c>
      <c r="L1624" s="827">
        <f t="shared" si="626"/>
        <v>92</v>
      </c>
      <c r="M1624" s="828">
        <v>46203</v>
      </c>
      <c r="N1624" s="828">
        <v>46199</v>
      </c>
      <c r="O1624" s="824"/>
      <c r="P1624" s="610" t="s">
        <v>113</v>
      </c>
      <c r="Q1624" s="614">
        <v>46215</v>
      </c>
      <c r="R1624" s="829">
        <v>46170</v>
      </c>
      <c r="S1624" s="829" t="s">
        <v>70</v>
      </c>
      <c r="T1624" s="829" t="s">
        <v>4677</v>
      </c>
      <c r="U1624" s="829"/>
      <c r="V1624" s="829"/>
      <c r="W1624" s="830"/>
      <c r="X1624" s="822" t="s">
        <v>4678</v>
      </c>
      <c r="Y1624" s="831" t="s">
        <v>1723</v>
      </c>
      <c r="Z1624" s="822">
        <v>4.33</v>
      </c>
      <c r="AA1624" s="831">
        <f t="shared" si="643"/>
        <v>3186.88</v>
      </c>
      <c r="AB1624" s="830"/>
      <c r="AC1624" s="839" t="s">
        <v>4685</v>
      </c>
      <c r="AD1624" s="633" t="s">
        <v>2741</v>
      </c>
      <c r="AE1624" s="633" t="s">
        <v>82</v>
      </c>
      <c r="AF1624" s="633"/>
      <c r="AG1624" s="633"/>
      <c r="AH1624" s="822"/>
      <c r="AI1624" s="822">
        <f>720+16</f>
        <v>736</v>
      </c>
      <c r="AJ1624" s="633">
        <f t="shared" si="623"/>
        <v>0</v>
      </c>
      <c r="AK1624" s="824"/>
      <c r="AL1624" s="633" t="s">
        <v>2368</v>
      </c>
      <c r="AM1624" s="633"/>
      <c r="AN1624" s="633">
        <f>I1624*2</f>
        <v>1472</v>
      </c>
      <c r="AO1624" s="825"/>
      <c r="AP1624" s="825">
        <f>I1624*2</f>
        <v>1472</v>
      </c>
      <c r="AQ1624" s="825"/>
      <c r="AR1624" s="833"/>
      <c r="AS1624" s="825"/>
      <c r="AT1624" s="825"/>
      <c r="AU1624" s="825">
        <f>I1624*2</f>
        <v>1472</v>
      </c>
      <c r="AV1624" s="825"/>
      <c r="AW1624" s="825"/>
      <c r="AX1624" s="834"/>
      <c r="AY1624" s="825"/>
      <c r="AZ1624" s="825"/>
      <c r="BA1624" s="825"/>
      <c r="BB1624" s="835">
        <f>I1624/24*2</f>
        <v>61.3333333333333</v>
      </c>
      <c r="BC1624" s="825"/>
      <c r="BD1624" s="825"/>
      <c r="BE1624" s="825"/>
      <c r="BF1624" s="825"/>
      <c r="BG1624" s="553"/>
      <c r="BH1624" s="825"/>
      <c r="BI1624" s="825"/>
      <c r="BJ1624" s="825"/>
      <c r="BK1624" s="825"/>
      <c r="BL1624" s="825"/>
      <c r="BM1624" s="825"/>
      <c r="BN1624" s="825"/>
      <c r="BO1624" s="825"/>
      <c r="BP1624" s="825"/>
      <c r="BQ1624" s="825"/>
      <c r="BR1624" s="825"/>
      <c r="BS1624" s="825"/>
      <c r="BT1624" s="825"/>
      <c r="BU1624" s="825"/>
      <c r="BV1624" s="825"/>
      <c r="BW1624" s="825"/>
      <c r="BX1624" s="825"/>
      <c r="BY1624" s="825">
        <f>I1624</f>
        <v>736</v>
      </c>
      <c r="BZ1624" s="825"/>
      <c r="CA1624" s="840"/>
      <c r="CB1624" s="837"/>
      <c r="CC1624" s="841"/>
      <c r="CD1624" s="833"/>
      <c r="CE1624" s="833"/>
      <c r="CF1624" s="825"/>
      <c r="CG1624" s="825"/>
      <c r="CH1624" s="553"/>
      <c r="CI1624" s="825"/>
      <c r="CJ1624" s="825"/>
      <c r="CK1624" s="825"/>
      <c r="CL1624" s="825"/>
      <c r="CM1624" s="825"/>
      <c r="CN1624" s="825"/>
      <c r="CO1624" s="825"/>
      <c r="CP1624" s="833"/>
      <c r="CQ1624" s="833"/>
      <c r="CR1624" s="825"/>
      <c r="CS1624" s="825"/>
      <c r="CT1624" s="825"/>
      <c r="CU1624" s="825">
        <f t="shared" si="625"/>
        <v>0</v>
      </c>
      <c r="CV1624" s="825">
        <v>0</v>
      </c>
      <c r="CW1624" s="825">
        <v>0</v>
      </c>
      <c r="CX1624" s="842"/>
      <c r="CY1624" s="842"/>
      <c r="CZ1624" s="842"/>
      <c r="DA1624" s="842"/>
      <c r="DB1624" s="842"/>
      <c r="DC1624" s="842"/>
      <c r="DD1624" s="842"/>
      <c r="DE1624" s="842"/>
      <c r="DF1624" s="842"/>
      <c r="DG1624" s="842"/>
      <c r="DH1624" s="842"/>
      <c r="DI1624" s="825"/>
    </row>
    <row r="1625" s="553" customFormat="1" ht="31" customHeight="1" spans="1:113">
      <c r="A1625" s="821">
        <v>46162</v>
      </c>
      <c r="B1625" s="822" t="s">
        <v>211</v>
      </c>
      <c r="C1625" s="633" t="s">
        <v>212</v>
      </c>
      <c r="D1625" s="823">
        <v>4500208061</v>
      </c>
      <c r="E1625" s="633" t="s">
        <v>9969</v>
      </c>
      <c r="F1625" s="825" t="s">
        <v>9970</v>
      </c>
      <c r="G1625" s="633" t="s">
        <v>6040</v>
      </c>
      <c r="H1625" s="633" t="s">
        <v>6041</v>
      </c>
      <c r="I1625" s="826">
        <v>1560</v>
      </c>
      <c r="J1625" s="633">
        <v>0</v>
      </c>
      <c r="K1625" s="633">
        <v>52</v>
      </c>
      <c r="L1625" s="827">
        <f t="shared" si="626"/>
        <v>30</v>
      </c>
      <c r="M1625" s="828">
        <v>46205</v>
      </c>
      <c r="N1625" s="828">
        <v>46202</v>
      </c>
      <c r="O1625" s="824"/>
      <c r="P1625" s="633" t="s">
        <v>113</v>
      </c>
      <c r="Q1625" s="829"/>
      <c r="R1625" s="829">
        <v>46162</v>
      </c>
      <c r="S1625" s="829" t="s">
        <v>70</v>
      </c>
      <c r="T1625" s="829" t="s">
        <v>9971</v>
      </c>
      <c r="U1625" s="829"/>
      <c r="V1625" s="829" t="s">
        <v>9972</v>
      </c>
      <c r="W1625" s="830"/>
      <c r="X1625" s="822" t="s">
        <v>9973</v>
      </c>
      <c r="Y1625" s="831" t="s">
        <v>1793</v>
      </c>
      <c r="Z1625" s="822">
        <v>0.9279</v>
      </c>
      <c r="AA1625" s="831">
        <f t="shared" si="643"/>
        <v>1447.524</v>
      </c>
      <c r="AB1625" s="830"/>
      <c r="AC1625" s="832"/>
      <c r="AD1625" s="633" t="s">
        <v>6040</v>
      </c>
      <c r="AE1625" s="633" t="s">
        <v>82</v>
      </c>
      <c r="AF1625" s="633"/>
      <c r="AG1625" s="633"/>
      <c r="AH1625" s="822"/>
      <c r="AI1625" s="822">
        <v>1560</v>
      </c>
      <c r="AJ1625" s="633">
        <f t="shared" si="623"/>
        <v>0</v>
      </c>
      <c r="AK1625" s="824"/>
      <c r="AL1625" s="633" t="s">
        <v>454</v>
      </c>
      <c r="AM1625" s="633"/>
      <c r="AN1625" s="825"/>
      <c r="AO1625" s="825">
        <f>I1625</f>
        <v>1560</v>
      </c>
      <c r="AP1625" s="825"/>
      <c r="AQ1625" s="825"/>
      <c r="AR1625" s="833"/>
      <c r="AS1625" s="825"/>
      <c r="AT1625" s="825">
        <f>I1625</f>
        <v>1560</v>
      </c>
      <c r="AU1625" s="825"/>
      <c r="AV1625" s="825">
        <f>I1625</f>
        <v>1560</v>
      </c>
      <c r="AW1625" s="825"/>
      <c r="AX1625" s="834"/>
      <c r="AY1625" s="825"/>
      <c r="AZ1625" s="825"/>
      <c r="BA1625" s="825"/>
      <c r="BB1625" s="835">
        <f t="shared" ref="BB1625:BB1632" si="644">I1625/24</f>
        <v>65</v>
      </c>
      <c r="BC1625" s="825"/>
      <c r="BD1625" s="825"/>
      <c r="BE1625" s="825"/>
      <c r="BF1625" s="825"/>
      <c r="BG1625" s="553"/>
      <c r="BH1625" s="825"/>
      <c r="BI1625" s="825"/>
      <c r="BJ1625" s="825"/>
      <c r="BK1625" s="825"/>
      <c r="BL1625" s="825"/>
      <c r="BM1625" s="825">
        <f>I1625/13</f>
        <v>120</v>
      </c>
      <c r="BN1625" s="825"/>
      <c r="BO1625" s="825"/>
      <c r="BP1625" s="825"/>
      <c r="BQ1625" s="825"/>
      <c r="BR1625" s="825"/>
      <c r="BS1625" s="825"/>
      <c r="BT1625" s="825"/>
      <c r="BU1625" s="825"/>
      <c r="BV1625" s="825"/>
      <c r="BW1625" s="825"/>
      <c r="BX1625" s="825"/>
      <c r="BY1625" s="825"/>
      <c r="BZ1625" s="825"/>
      <c r="CA1625" s="836"/>
      <c r="CB1625" s="837"/>
      <c r="CC1625" s="838"/>
      <c r="CD1625" s="825"/>
      <c r="CE1625" s="825"/>
      <c r="CF1625" s="825"/>
      <c r="CG1625" s="825"/>
      <c r="CH1625" s="553"/>
      <c r="CI1625" s="825"/>
      <c r="CJ1625" s="825"/>
      <c r="CK1625" s="825"/>
      <c r="CL1625" s="825"/>
      <c r="CM1625" s="825"/>
      <c r="CN1625" s="825"/>
      <c r="CO1625" s="825"/>
      <c r="CP1625" s="833"/>
      <c r="CQ1625" s="833"/>
      <c r="CR1625" s="825"/>
      <c r="CS1625" s="825"/>
      <c r="CT1625" s="825"/>
      <c r="CU1625" s="825">
        <f t="shared" si="625"/>
        <v>0</v>
      </c>
      <c r="CV1625" s="825">
        <v>0</v>
      </c>
      <c r="CW1625" s="825">
        <v>0</v>
      </c>
      <c r="CX1625" s="842"/>
      <c r="CY1625" s="842"/>
      <c r="CZ1625" s="842"/>
      <c r="DA1625" s="842"/>
      <c r="DB1625" s="842"/>
      <c r="DC1625" s="842"/>
      <c r="DD1625" s="842"/>
      <c r="DE1625" s="842"/>
      <c r="DF1625" s="842"/>
      <c r="DG1625" s="842"/>
      <c r="DH1625" s="842"/>
    </row>
    <row r="1626" s="550" customFormat="1" ht="31" customHeight="1" spans="1:113">
      <c r="A1626" s="608">
        <v>46153</v>
      </c>
      <c r="B1626" s="609" t="s">
        <v>1337</v>
      </c>
      <c r="C1626" s="610" t="s">
        <v>931</v>
      </c>
      <c r="D1626" s="727">
        <v>4500206390</v>
      </c>
      <c r="E1626" s="610" t="s">
        <v>9974</v>
      </c>
      <c r="F1626" s="554" t="s">
        <v>9975</v>
      </c>
      <c r="G1626" s="610" t="s">
        <v>6276</v>
      </c>
      <c r="H1626" s="610" t="s">
        <v>6277</v>
      </c>
      <c r="I1626" s="715">
        <v>200</v>
      </c>
      <c r="J1626" s="610">
        <v>0</v>
      </c>
      <c r="K1626" s="610">
        <v>50</v>
      </c>
      <c r="L1626" s="611">
        <f t="shared" si="626"/>
        <v>4</v>
      </c>
      <c r="M1626" s="612">
        <v>46206</v>
      </c>
      <c r="N1626" s="612">
        <v>46202</v>
      </c>
      <c r="O1626" s="613"/>
      <c r="P1626" s="610" t="s">
        <v>113</v>
      </c>
      <c r="Q1626" s="614"/>
      <c r="R1626" s="614">
        <v>46177</v>
      </c>
      <c r="S1626" s="614" t="s">
        <v>70</v>
      </c>
      <c r="T1626" s="614" t="s">
        <v>70</v>
      </c>
      <c r="U1626" s="614"/>
      <c r="V1626" s="614"/>
      <c r="W1626" s="609"/>
      <c r="X1626" s="609" t="s">
        <v>9976</v>
      </c>
      <c r="Y1626" s="616" t="s">
        <v>943</v>
      </c>
      <c r="Z1626" s="609">
        <v>0.9402</v>
      </c>
      <c r="AA1626" s="616">
        <v>188.04</v>
      </c>
      <c r="AB1626" s="573"/>
      <c r="AC1626" s="697"/>
      <c r="AD1626" s="610" t="s">
        <v>6276</v>
      </c>
      <c r="AE1626" s="610" t="s">
        <v>82</v>
      </c>
      <c r="AF1626" s="610"/>
      <c r="AG1626" s="610"/>
      <c r="AH1626" s="609"/>
      <c r="AI1626" s="609">
        <v>200</v>
      </c>
      <c r="AJ1626" s="610">
        <f t="shared" si="623"/>
        <v>0</v>
      </c>
      <c r="AK1626" s="613"/>
      <c r="AL1626" s="610"/>
      <c r="AM1626" s="610"/>
      <c r="AN1626" s="554"/>
      <c r="AO1626" s="554">
        <f>I1626</f>
        <v>200</v>
      </c>
      <c r="AP1626" s="554"/>
      <c r="AQ1626" s="554"/>
      <c r="AR1626" s="619"/>
      <c r="AS1626" s="554"/>
      <c r="AT1626" s="554"/>
      <c r="AU1626" s="554"/>
      <c r="AV1626" s="554"/>
      <c r="AW1626" s="554"/>
      <c r="AX1626" s="714"/>
      <c r="AY1626" s="554"/>
      <c r="AZ1626" s="554"/>
      <c r="BA1626" s="554"/>
      <c r="BB1626" s="620">
        <f t="shared" si="644"/>
        <v>8.33333333333333</v>
      </c>
      <c r="BC1626" s="554"/>
      <c r="BD1626" s="554"/>
      <c r="BE1626" s="554"/>
      <c r="BF1626" s="554"/>
      <c r="BG1626" s="550"/>
      <c r="BH1626" s="554"/>
      <c r="BI1626" s="554"/>
      <c r="BJ1626" s="554"/>
      <c r="BK1626" s="554"/>
      <c r="BL1626" s="554"/>
      <c r="BM1626" s="554"/>
      <c r="BN1626" s="554"/>
      <c r="BO1626" s="554"/>
      <c r="BP1626" s="554"/>
      <c r="BQ1626" s="554"/>
      <c r="BR1626" s="554"/>
      <c r="BS1626" s="554"/>
      <c r="BT1626" s="554"/>
      <c r="BU1626" s="554"/>
      <c r="BV1626" s="554">
        <f>I1626</f>
        <v>200</v>
      </c>
      <c r="BW1626" s="554">
        <f>I1626</f>
        <v>200</v>
      </c>
      <c r="BX1626" s="554">
        <f>I1626/25</f>
        <v>8</v>
      </c>
      <c r="BY1626" s="554"/>
      <c r="BZ1626" s="554"/>
      <c r="CA1626" s="720"/>
      <c r="CB1626" s="555"/>
      <c r="CC1626" s="721"/>
      <c r="CD1626" s="554"/>
      <c r="CE1626" s="554"/>
      <c r="CF1626" s="554"/>
      <c r="CG1626" s="554"/>
      <c r="CH1626" s="550"/>
      <c r="CI1626" s="554"/>
      <c r="CJ1626" s="554"/>
      <c r="CK1626" s="554"/>
      <c r="CL1626" s="554"/>
      <c r="CM1626" s="554"/>
      <c r="CN1626" s="554"/>
      <c r="CO1626" s="554"/>
      <c r="CP1626" s="619"/>
      <c r="CQ1626" s="619"/>
      <c r="CR1626" s="554"/>
      <c r="CS1626" s="554"/>
      <c r="CT1626" s="554"/>
      <c r="CU1626" s="554">
        <f t="shared" si="625"/>
        <v>8</v>
      </c>
      <c r="CV1626" s="554">
        <f t="shared" ref="CV1626:CV1632" si="645">CK1626+CL1626+CM1626+CN1626+CO1626+CQ1626+CP1626</f>
        <v>0</v>
      </c>
      <c r="CW1626" s="554">
        <f t="shared" ref="CW1626:CW1632" si="646">CI1626+CJ1626</f>
        <v>0</v>
      </c>
      <c r="CX1626" s="619"/>
      <c r="CY1626" s="619"/>
      <c r="CZ1626" s="619"/>
      <c r="DA1626" s="619"/>
      <c r="DB1626" s="619"/>
      <c r="DC1626" s="619"/>
      <c r="DD1626" s="619"/>
      <c r="DE1626" s="619"/>
      <c r="DF1626" s="619"/>
      <c r="DG1626" s="619"/>
      <c r="DH1626" s="619"/>
    </row>
    <row r="1627" s="550" customFormat="1" ht="31" customHeight="1" spans="1:113">
      <c r="A1627" s="608">
        <v>46155</v>
      </c>
      <c r="B1627" s="609" t="s">
        <v>1928</v>
      </c>
      <c r="C1627" s="610" t="s">
        <v>424</v>
      </c>
      <c r="D1627" s="727">
        <v>4500206706</v>
      </c>
      <c r="E1627" s="613">
        <v>160887</v>
      </c>
      <c r="F1627" s="554" t="s">
        <v>9977</v>
      </c>
      <c r="G1627" s="610" t="s">
        <v>6047</v>
      </c>
      <c r="H1627" s="610" t="s">
        <v>6069</v>
      </c>
      <c r="I1627" s="715">
        <v>1500</v>
      </c>
      <c r="J1627" s="610">
        <v>0</v>
      </c>
      <c r="K1627" s="610">
        <v>25</v>
      </c>
      <c r="L1627" s="611">
        <f t="shared" si="626"/>
        <v>60</v>
      </c>
      <c r="M1627" s="612">
        <v>46209</v>
      </c>
      <c r="N1627" s="612">
        <v>46205</v>
      </c>
      <c r="O1627" s="613"/>
      <c r="P1627" s="610" t="s">
        <v>113</v>
      </c>
      <c r="Q1627" s="614">
        <v>46215</v>
      </c>
      <c r="R1627" s="614">
        <v>46167</v>
      </c>
      <c r="S1627" s="614" t="s">
        <v>70</v>
      </c>
      <c r="T1627" s="614" t="s">
        <v>9978</v>
      </c>
      <c r="U1627" s="614"/>
      <c r="V1627" s="614"/>
      <c r="W1627" s="609"/>
      <c r="X1627" s="609" t="s">
        <v>9979</v>
      </c>
      <c r="Y1627" s="616" t="s">
        <v>696</v>
      </c>
      <c r="Z1627" s="609">
        <v>0.9756</v>
      </c>
      <c r="AA1627" s="616">
        <f t="shared" ref="AA1627:AA1632" si="647">Z1627*I1627</f>
        <v>1463.4</v>
      </c>
      <c r="AB1627" s="573"/>
      <c r="AC1627" s="697"/>
      <c r="AD1627" s="610" t="s">
        <v>6047</v>
      </c>
      <c r="AE1627" s="610" t="s">
        <v>82</v>
      </c>
      <c r="AF1627" s="610"/>
      <c r="AG1627" s="610"/>
      <c r="AH1627" s="609"/>
      <c r="AI1627" s="609">
        <v>1500</v>
      </c>
      <c r="AJ1627" s="610">
        <f t="shared" si="623"/>
        <v>0</v>
      </c>
      <c r="AK1627" s="613"/>
      <c r="AL1627" s="610"/>
      <c r="AM1627" s="610"/>
      <c r="AN1627" s="554"/>
      <c r="AO1627" s="554">
        <f>I1627</f>
        <v>1500</v>
      </c>
      <c r="AP1627" s="554"/>
      <c r="AQ1627" s="554"/>
      <c r="AR1627" s="619"/>
      <c r="AS1627" s="554"/>
      <c r="AT1627" s="554">
        <f>I1627</f>
        <v>1500</v>
      </c>
      <c r="AU1627" s="554"/>
      <c r="AV1627" s="554">
        <f>I1627</f>
        <v>1500</v>
      </c>
      <c r="AW1627" s="554"/>
      <c r="AX1627" s="714"/>
      <c r="AY1627" s="554"/>
      <c r="AZ1627" s="554"/>
      <c r="BA1627" s="554"/>
      <c r="BB1627" s="620">
        <f t="shared" si="644"/>
        <v>62.5</v>
      </c>
      <c r="BC1627" s="554"/>
      <c r="BD1627" s="554"/>
      <c r="BE1627" s="554"/>
      <c r="BF1627" s="554"/>
      <c r="BG1627" s="550"/>
      <c r="BH1627" s="554"/>
      <c r="BI1627" s="554"/>
      <c r="BJ1627" s="554"/>
      <c r="BK1627" s="554"/>
      <c r="BL1627" s="554"/>
      <c r="BM1627" s="554"/>
      <c r="BN1627" s="554"/>
      <c r="BO1627" s="554"/>
      <c r="BP1627" s="554">
        <f>I1627/25</f>
        <v>60</v>
      </c>
      <c r="BQ1627" s="554"/>
      <c r="BR1627" s="554"/>
      <c r="BS1627" s="554"/>
      <c r="BT1627" s="554"/>
      <c r="BU1627" s="554"/>
      <c r="BV1627" s="554"/>
      <c r="BW1627" s="554"/>
      <c r="BX1627" s="554"/>
      <c r="BY1627" s="554"/>
      <c r="BZ1627" s="554"/>
      <c r="CA1627" s="720"/>
      <c r="CB1627" s="555"/>
      <c r="CC1627" s="721"/>
      <c r="CD1627" s="554"/>
      <c r="CE1627" s="554"/>
      <c r="CF1627" s="554"/>
      <c r="CG1627" s="554"/>
      <c r="CH1627" s="550"/>
      <c r="CI1627" s="554"/>
      <c r="CJ1627" s="554"/>
      <c r="CK1627" s="554"/>
      <c r="CL1627" s="554"/>
      <c r="CM1627" s="554"/>
      <c r="CN1627" s="554"/>
      <c r="CO1627" s="554"/>
      <c r="CP1627" s="619"/>
      <c r="CQ1627" s="619"/>
      <c r="CR1627" s="554"/>
      <c r="CS1627" s="554"/>
      <c r="CT1627" s="554"/>
      <c r="CU1627" s="554">
        <f t="shared" si="625"/>
        <v>60</v>
      </c>
      <c r="CV1627" s="554">
        <f t="shared" si="645"/>
        <v>0</v>
      </c>
      <c r="CW1627" s="554">
        <f t="shared" si="646"/>
        <v>0</v>
      </c>
      <c r="CX1627" s="619"/>
      <c r="CY1627" s="619"/>
      <c r="CZ1627" s="619"/>
      <c r="DA1627" s="619"/>
      <c r="DB1627" s="619"/>
      <c r="DC1627" s="619"/>
      <c r="DD1627" s="619"/>
      <c r="DE1627" s="619"/>
      <c r="DF1627" s="619"/>
      <c r="DG1627" s="619"/>
      <c r="DH1627" s="619"/>
    </row>
    <row r="1628" s="550" customFormat="1" ht="31" customHeight="1" spans="1:113">
      <c r="A1628" s="608">
        <v>46155</v>
      </c>
      <c r="B1628" s="609" t="s">
        <v>1928</v>
      </c>
      <c r="C1628" s="610" t="s">
        <v>424</v>
      </c>
      <c r="D1628" s="727">
        <v>4500206706</v>
      </c>
      <c r="E1628" s="613">
        <v>160887</v>
      </c>
      <c r="F1628" s="554" t="s">
        <v>9980</v>
      </c>
      <c r="G1628" s="610" t="s">
        <v>6223</v>
      </c>
      <c r="H1628" s="610" t="s">
        <v>6080</v>
      </c>
      <c r="I1628" s="715">
        <v>510</v>
      </c>
      <c r="J1628" s="610">
        <v>0</v>
      </c>
      <c r="K1628" s="610">
        <v>30</v>
      </c>
      <c r="L1628" s="611">
        <f t="shared" si="626"/>
        <v>17</v>
      </c>
      <c r="M1628" s="612">
        <v>46209</v>
      </c>
      <c r="N1628" s="612">
        <v>46205</v>
      </c>
      <c r="O1628" s="613"/>
      <c r="P1628" s="610" t="s">
        <v>113</v>
      </c>
      <c r="Q1628" s="614">
        <v>46215</v>
      </c>
      <c r="R1628" s="614">
        <v>46167</v>
      </c>
      <c r="S1628" s="614" t="s">
        <v>70</v>
      </c>
      <c r="T1628" s="614" t="s">
        <v>9981</v>
      </c>
      <c r="U1628" s="614"/>
      <c r="V1628" s="614"/>
      <c r="W1628" s="609"/>
      <c r="X1628" s="609" t="s">
        <v>9982</v>
      </c>
      <c r="Y1628" s="616" t="s">
        <v>696</v>
      </c>
      <c r="Z1628" s="609">
        <v>42.9745</v>
      </c>
      <c r="AA1628" s="616">
        <f t="shared" si="647"/>
        <v>21916.995</v>
      </c>
      <c r="AB1628" s="573"/>
      <c r="AC1628" s="697"/>
      <c r="AD1628" s="610" t="s">
        <v>6223</v>
      </c>
      <c r="AE1628" s="610" t="s">
        <v>82</v>
      </c>
      <c r="AF1628" s="610"/>
      <c r="AG1628" s="610"/>
      <c r="AH1628" s="609"/>
      <c r="AI1628" s="609">
        <v>510</v>
      </c>
      <c r="AJ1628" s="610">
        <f t="shared" si="623"/>
        <v>0</v>
      </c>
      <c r="AK1628" s="613"/>
      <c r="AL1628" s="610"/>
      <c r="AM1628" s="610"/>
      <c r="AN1628" s="554"/>
      <c r="AO1628" s="554">
        <f>I1628</f>
        <v>510</v>
      </c>
      <c r="AP1628" s="554"/>
      <c r="AQ1628" s="554"/>
      <c r="AR1628" s="619"/>
      <c r="AS1628" s="554"/>
      <c r="AT1628" s="554">
        <f>I1628</f>
        <v>510</v>
      </c>
      <c r="AU1628" s="554"/>
      <c r="AV1628" s="554">
        <f>I1628</f>
        <v>510</v>
      </c>
      <c r="AW1628" s="554"/>
      <c r="AX1628" s="714"/>
      <c r="AY1628" s="554"/>
      <c r="AZ1628" s="554"/>
      <c r="BA1628" s="554"/>
      <c r="BB1628" s="620">
        <f t="shared" si="644"/>
        <v>21.25</v>
      </c>
      <c r="BC1628" s="554"/>
      <c r="BD1628" s="554"/>
      <c r="BE1628" s="554"/>
      <c r="BF1628" s="554"/>
      <c r="BG1628" s="550"/>
      <c r="BH1628" s="554"/>
      <c r="BI1628" s="554"/>
      <c r="BJ1628" s="554"/>
      <c r="BK1628" s="554"/>
      <c r="BL1628" s="554"/>
      <c r="BM1628" s="554"/>
      <c r="BN1628" s="554"/>
      <c r="BO1628" s="554"/>
      <c r="BP1628" s="554"/>
      <c r="BQ1628" s="554"/>
      <c r="BR1628" s="554"/>
      <c r="BS1628" s="554"/>
      <c r="BT1628" s="554"/>
      <c r="BU1628" s="554"/>
      <c r="BV1628" s="554"/>
      <c r="BW1628" s="554"/>
      <c r="BX1628" s="554"/>
      <c r="BY1628" s="554"/>
      <c r="BZ1628" s="554"/>
      <c r="CA1628" s="720"/>
      <c r="CB1628" s="555"/>
      <c r="CC1628" s="721"/>
      <c r="CD1628" s="554"/>
      <c r="CE1628" s="554"/>
      <c r="CF1628" s="554"/>
      <c r="CG1628" s="554"/>
      <c r="CH1628" s="550"/>
      <c r="CI1628" s="554"/>
      <c r="CJ1628" s="554"/>
      <c r="CK1628" s="554"/>
      <c r="CL1628" s="554"/>
      <c r="CM1628" s="554"/>
      <c r="CN1628" s="554"/>
      <c r="CO1628" s="554"/>
      <c r="CP1628" s="554">
        <f>I1628/30</f>
        <v>17</v>
      </c>
      <c r="CQ1628" s="619"/>
      <c r="CR1628" s="554"/>
      <c r="CS1628" s="554"/>
      <c r="CT1628" s="554"/>
      <c r="CU1628" s="554">
        <f t="shared" si="625"/>
        <v>0</v>
      </c>
      <c r="CV1628" s="554">
        <f t="shared" si="645"/>
        <v>17</v>
      </c>
      <c r="CW1628" s="554">
        <f t="shared" si="646"/>
        <v>0</v>
      </c>
      <c r="CX1628" s="619"/>
      <c r="CY1628" s="619"/>
      <c r="CZ1628" s="619"/>
      <c r="DA1628" s="619"/>
      <c r="DB1628" s="619"/>
      <c r="DC1628" s="619"/>
      <c r="DD1628" s="619"/>
      <c r="DE1628" s="619"/>
      <c r="DF1628" s="619"/>
      <c r="DG1628" s="619"/>
      <c r="DH1628" s="619"/>
    </row>
    <row r="1629" s="550" customFormat="1" ht="31" customHeight="1" spans="1:113">
      <c r="A1629" s="608">
        <v>46153</v>
      </c>
      <c r="B1629" s="609" t="s">
        <v>8048</v>
      </c>
      <c r="C1629" s="610" t="s">
        <v>98</v>
      </c>
      <c r="D1629" s="727">
        <v>4500206244</v>
      </c>
      <c r="E1629" s="613">
        <v>59891545</v>
      </c>
      <c r="F1629" s="554" t="s">
        <v>9983</v>
      </c>
      <c r="G1629" s="610" t="s">
        <v>8051</v>
      </c>
      <c r="H1629" s="610" t="s">
        <v>6102</v>
      </c>
      <c r="I1629" s="715">
        <v>7848</v>
      </c>
      <c r="J1629" s="610">
        <v>0</v>
      </c>
      <c r="K1629" s="610">
        <v>6</v>
      </c>
      <c r="L1629" s="611">
        <f t="shared" si="626"/>
        <v>1308</v>
      </c>
      <c r="M1629" s="612">
        <v>46209</v>
      </c>
      <c r="N1629" s="612">
        <v>46205</v>
      </c>
      <c r="O1629" s="613"/>
      <c r="P1629" s="610" t="s">
        <v>113</v>
      </c>
      <c r="Q1629" s="614">
        <v>46223</v>
      </c>
      <c r="R1629" s="614">
        <v>46153</v>
      </c>
      <c r="S1629" s="614" t="s">
        <v>104</v>
      </c>
      <c r="T1629" s="614" t="s">
        <v>9984</v>
      </c>
      <c r="U1629" s="614"/>
      <c r="V1629" s="730" t="s">
        <v>9985</v>
      </c>
      <c r="W1629" s="609" t="s">
        <v>9986</v>
      </c>
      <c r="X1629" s="609" t="s">
        <v>9987</v>
      </c>
      <c r="Y1629" s="616" t="s">
        <v>8055</v>
      </c>
      <c r="Z1629" s="609">
        <v>0.6031</v>
      </c>
      <c r="AA1629" s="616">
        <f t="shared" si="647"/>
        <v>4733.1288</v>
      </c>
      <c r="AB1629" s="573"/>
      <c r="AC1629" s="637" t="s">
        <v>9988</v>
      </c>
      <c r="AD1629" s="610" t="s">
        <v>8051</v>
      </c>
      <c r="AE1629" s="610" t="s">
        <v>82</v>
      </c>
      <c r="AF1629" s="610"/>
      <c r="AG1629" s="610"/>
      <c r="AH1629" s="609"/>
      <c r="AI1629" s="609">
        <v>7848</v>
      </c>
      <c r="AJ1629" s="610">
        <f t="shared" si="623"/>
        <v>0</v>
      </c>
      <c r="AK1629" s="613"/>
      <c r="AL1629" s="610" t="s">
        <v>2368</v>
      </c>
      <c r="AM1629" s="610"/>
      <c r="AN1629" s="554">
        <f>I1629</f>
        <v>7848</v>
      </c>
      <c r="AO1629" s="554"/>
      <c r="AP1629" s="554">
        <f>I1629</f>
        <v>7848</v>
      </c>
      <c r="AQ1629" s="554"/>
      <c r="AR1629" s="619"/>
      <c r="AS1629" s="554"/>
      <c r="AT1629" s="554"/>
      <c r="AU1629" s="554">
        <f>I1629</f>
        <v>7848</v>
      </c>
      <c r="AV1629" s="554"/>
      <c r="AW1629" s="554"/>
      <c r="AX1629" s="714"/>
      <c r="AY1629" s="554"/>
      <c r="AZ1629" s="554"/>
      <c r="BA1629" s="554"/>
      <c r="BB1629" s="620">
        <f t="shared" si="644"/>
        <v>327</v>
      </c>
      <c r="BC1629" s="554"/>
      <c r="BD1629" s="554"/>
      <c r="BE1629" s="554"/>
      <c r="BF1629" s="554"/>
      <c r="BG1629" s="550"/>
      <c r="BH1629" s="554"/>
      <c r="BI1629" s="554"/>
      <c r="BJ1629" s="554"/>
      <c r="BK1629" s="554"/>
      <c r="BL1629" s="554"/>
      <c r="BM1629" s="554"/>
      <c r="BN1629" s="554"/>
      <c r="BO1629" s="554"/>
      <c r="BP1629" s="554"/>
      <c r="BQ1629" s="554"/>
      <c r="BR1629" s="554"/>
      <c r="BS1629" s="554"/>
      <c r="BT1629" s="554">
        <f>L1629</f>
        <v>1308</v>
      </c>
      <c r="BU1629" s="554"/>
      <c r="BV1629" s="554"/>
      <c r="BW1629" s="554"/>
      <c r="BX1629" s="554"/>
      <c r="BY1629" s="554"/>
      <c r="BZ1629" s="554"/>
      <c r="CA1629" s="720"/>
      <c r="CB1629" s="555"/>
      <c r="CC1629" s="721"/>
      <c r="CD1629" s="554"/>
      <c r="CE1629" s="554"/>
      <c r="CF1629" s="554"/>
      <c r="CG1629" s="554"/>
      <c r="CH1629" s="550"/>
      <c r="CI1629" s="554"/>
      <c r="CJ1629" s="554"/>
      <c r="CK1629" s="554"/>
      <c r="CL1629" s="554"/>
      <c r="CM1629" s="554"/>
      <c r="CN1629" s="554"/>
      <c r="CO1629" s="554"/>
      <c r="CP1629" s="619"/>
      <c r="CQ1629" s="619"/>
      <c r="CR1629" s="554"/>
      <c r="CS1629" s="554"/>
      <c r="CT1629" s="554"/>
      <c r="CU1629" s="554">
        <f t="shared" si="625"/>
        <v>0</v>
      </c>
      <c r="CV1629" s="554">
        <f t="shared" si="645"/>
        <v>0</v>
      </c>
      <c r="CW1629" s="554">
        <f t="shared" si="646"/>
        <v>0</v>
      </c>
      <c r="CX1629" s="619"/>
      <c r="CY1629" s="619"/>
      <c r="CZ1629" s="619"/>
      <c r="DA1629" s="619"/>
      <c r="DB1629" s="619"/>
      <c r="DC1629" s="619"/>
      <c r="DD1629" s="619"/>
      <c r="DE1629" s="619"/>
      <c r="DF1629" s="619"/>
      <c r="DG1629" s="619"/>
      <c r="DH1629" s="619"/>
    </row>
    <row r="1630" s="550" customFormat="1" ht="31" customHeight="1" spans="1:113">
      <c r="A1630" s="608">
        <v>46171</v>
      </c>
      <c r="B1630" s="609" t="s">
        <v>4691</v>
      </c>
      <c r="C1630" s="610" t="s">
        <v>154</v>
      </c>
      <c r="D1630" s="554">
        <v>4500209339</v>
      </c>
      <c r="E1630" s="610"/>
      <c r="F1630" s="554" t="s">
        <v>9989</v>
      </c>
      <c r="G1630" s="610" t="s">
        <v>6040</v>
      </c>
      <c r="H1630" s="610" t="s">
        <v>6041</v>
      </c>
      <c r="I1630" s="715">
        <v>728</v>
      </c>
      <c r="J1630" s="610">
        <v>0</v>
      </c>
      <c r="K1630" s="843">
        <v>52</v>
      </c>
      <c r="L1630" s="844">
        <f t="shared" si="626"/>
        <v>14</v>
      </c>
      <c r="M1630" s="845">
        <v>46209</v>
      </c>
      <c r="N1630" s="612">
        <v>46205</v>
      </c>
      <c r="O1630" s="613"/>
      <c r="P1630" s="610" t="s">
        <v>113</v>
      </c>
      <c r="Q1630" s="614"/>
      <c r="R1630" s="614">
        <v>46172</v>
      </c>
      <c r="S1630" s="614" t="s">
        <v>70</v>
      </c>
      <c r="T1630" s="614" t="s">
        <v>8852</v>
      </c>
      <c r="U1630" s="614"/>
      <c r="V1630" s="614"/>
      <c r="W1630" s="573" t="s">
        <v>9990</v>
      </c>
      <c r="X1630" s="609" t="s">
        <v>9991</v>
      </c>
      <c r="Y1630" s="616" t="s">
        <v>4696</v>
      </c>
      <c r="Z1630" s="609">
        <v>0.9762</v>
      </c>
      <c r="AA1630" s="616">
        <f t="shared" si="647"/>
        <v>710.6736</v>
      </c>
      <c r="AB1630" s="573"/>
      <c r="AC1630" s="697"/>
      <c r="AD1630" s="610" t="s">
        <v>6040</v>
      </c>
      <c r="AE1630" s="610" t="s">
        <v>82</v>
      </c>
      <c r="AF1630" s="610"/>
      <c r="AG1630" s="610"/>
      <c r="AH1630" s="609"/>
      <c r="AI1630" s="609">
        <v>728</v>
      </c>
      <c r="AJ1630" s="610">
        <f t="shared" si="623"/>
        <v>0</v>
      </c>
      <c r="AK1630" s="613"/>
      <c r="AL1630" s="610" t="s">
        <v>2368</v>
      </c>
      <c r="AM1630" s="610"/>
      <c r="AN1630" s="610"/>
      <c r="AO1630" s="554">
        <f>I1630</f>
        <v>728</v>
      </c>
      <c r="AP1630" s="554"/>
      <c r="AQ1630" s="554"/>
      <c r="AR1630" s="619"/>
      <c r="AS1630" s="554"/>
      <c r="AT1630" s="554">
        <f>I1630</f>
        <v>728</v>
      </c>
      <c r="AU1630" s="554"/>
      <c r="AV1630" s="554">
        <f>I1630</f>
        <v>728</v>
      </c>
      <c r="AW1630" s="554"/>
      <c r="AX1630" s="714"/>
      <c r="AY1630" s="554"/>
      <c r="AZ1630" s="554"/>
      <c r="BA1630" s="554"/>
      <c r="BB1630" s="620">
        <f t="shared" si="644"/>
        <v>30.3333333333333</v>
      </c>
      <c r="BC1630" s="554"/>
      <c r="BD1630" s="554"/>
      <c r="BE1630" s="554"/>
      <c r="BF1630" s="554"/>
      <c r="BG1630" s="550"/>
      <c r="BH1630" s="554"/>
      <c r="BI1630" s="554"/>
      <c r="BJ1630" s="554"/>
      <c r="BK1630" s="554"/>
      <c r="BL1630" s="554"/>
      <c r="BM1630" s="554">
        <f>I1630/13</f>
        <v>56</v>
      </c>
      <c r="BN1630" s="554"/>
      <c r="BO1630" s="554"/>
      <c r="BP1630" s="554"/>
      <c r="BQ1630" s="554"/>
      <c r="BR1630" s="554"/>
      <c r="BS1630" s="554"/>
      <c r="BT1630" s="554"/>
      <c r="BU1630" s="554"/>
      <c r="BV1630" s="554"/>
      <c r="BW1630" s="554"/>
      <c r="BX1630" s="554"/>
      <c r="BY1630" s="554"/>
      <c r="BZ1630" s="554"/>
      <c r="CA1630" s="720"/>
      <c r="CB1630" s="555"/>
      <c r="CC1630" s="721"/>
      <c r="CD1630" s="554"/>
      <c r="CE1630" s="554"/>
      <c r="CF1630" s="554"/>
      <c r="CG1630" s="554"/>
      <c r="CH1630" s="550"/>
      <c r="CI1630" s="554"/>
      <c r="CJ1630" s="554"/>
      <c r="CK1630" s="554"/>
      <c r="CL1630" s="554"/>
      <c r="CM1630" s="554"/>
      <c r="CN1630" s="554"/>
      <c r="CO1630" s="554"/>
      <c r="CP1630" s="619"/>
      <c r="CQ1630" s="619"/>
      <c r="CR1630" s="554"/>
      <c r="CS1630" s="554"/>
      <c r="CT1630" s="554"/>
      <c r="CU1630" s="554">
        <f t="shared" si="625"/>
        <v>0</v>
      </c>
      <c r="CV1630" s="554">
        <f t="shared" si="645"/>
        <v>0</v>
      </c>
      <c r="CW1630" s="554">
        <f t="shared" si="646"/>
        <v>0</v>
      </c>
      <c r="CX1630" s="619"/>
      <c r="CY1630" s="619"/>
      <c r="CZ1630" s="619"/>
      <c r="DA1630" s="619"/>
      <c r="DB1630" s="619"/>
      <c r="DC1630" s="619"/>
      <c r="DD1630" s="619"/>
      <c r="DE1630" s="619"/>
      <c r="DF1630" s="619"/>
      <c r="DG1630" s="619"/>
      <c r="DH1630" s="619"/>
    </row>
    <row r="1631" s="550" customFormat="1" ht="31" customHeight="1" spans="1:113">
      <c r="A1631" s="608">
        <v>46167</v>
      </c>
      <c r="B1631" s="609" t="s">
        <v>9401</v>
      </c>
      <c r="C1631" s="610" t="s">
        <v>241</v>
      </c>
      <c r="D1631" s="727">
        <v>4500208767</v>
      </c>
      <c r="E1631" s="613">
        <v>32827022</v>
      </c>
      <c r="F1631" s="554" t="s">
        <v>9992</v>
      </c>
      <c r="G1631" s="610" t="s">
        <v>6047</v>
      </c>
      <c r="H1631" s="610" t="s">
        <v>6069</v>
      </c>
      <c r="I1631" s="715">
        <v>2000</v>
      </c>
      <c r="J1631" s="610">
        <v>0</v>
      </c>
      <c r="K1631" s="610">
        <v>25</v>
      </c>
      <c r="L1631" s="611">
        <f t="shared" si="626"/>
        <v>80</v>
      </c>
      <c r="M1631" s="612">
        <v>46209</v>
      </c>
      <c r="N1631" s="612">
        <v>46205</v>
      </c>
      <c r="O1631" s="613" t="s">
        <v>9993</v>
      </c>
      <c r="P1631" s="610" t="s">
        <v>113</v>
      </c>
      <c r="Q1631" s="614"/>
      <c r="R1631" s="614">
        <v>46170</v>
      </c>
      <c r="S1631" s="614" t="s">
        <v>70</v>
      </c>
      <c r="T1631" s="614" t="s">
        <v>7714</v>
      </c>
      <c r="U1631" s="614"/>
      <c r="V1631" s="614"/>
      <c r="W1631" s="609" t="s">
        <v>9994</v>
      </c>
      <c r="X1631" s="609" t="s">
        <v>9995</v>
      </c>
      <c r="Y1631" s="616" t="s">
        <v>299</v>
      </c>
      <c r="Z1631" s="609">
        <v>0.9756</v>
      </c>
      <c r="AA1631" s="616">
        <f t="shared" si="647"/>
        <v>1951.2</v>
      </c>
      <c r="AB1631" s="573"/>
      <c r="AC1631" s="697"/>
      <c r="AD1631" s="610" t="s">
        <v>6047</v>
      </c>
      <c r="AE1631" s="610" t="s">
        <v>82</v>
      </c>
      <c r="AF1631" s="610"/>
      <c r="AG1631" s="610"/>
      <c r="AH1631" s="609"/>
      <c r="AI1631" s="609">
        <v>2000</v>
      </c>
      <c r="AJ1631" s="610">
        <f t="shared" si="623"/>
        <v>0</v>
      </c>
      <c r="AK1631" s="613"/>
      <c r="AL1631" s="610" t="s">
        <v>2368</v>
      </c>
      <c r="AM1631" s="610"/>
      <c r="AN1631" s="554"/>
      <c r="AO1631" s="554">
        <f>I1631</f>
        <v>2000</v>
      </c>
      <c r="AP1631" s="554"/>
      <c r="AQ1631" s="554"/>
      <c r="AR1631" s="619"/>
      <c r="AS1631" s="554"/>
      <c r="AT1631" s="554">
        <f>I1631</f>
        <v>2000</v>
      </c>
      <c r="AU1631" s="554"/>
      <c r="AV1631" s="554">
        <f>I1631</f>
        <v>2000</v>
      </c>
      <c r="AW1631" s="554"/>
      <c r="AX1631" s="714"/>
      <c r="AY1631" s="554"/>
      <c r="AZ1631" s="554"/>
      <c r="BA1631" s="554"/>
      <c r="BB1631" s="620">
        <f t="shared" si="644"/>
        <v>83.3333333333333</v>
      </c>
      <c r="BC1631" s="554"/>
      <c r="BD1631" s="554"/>
      <c r="BE1631" s="554"/>
      <c r="BF1631" s="554"/>
      <c r="BG1631" s="550"/>
      <c r="BH1631" s="554"/>
      <c r="BI1631" s="554"/>
      <c r="BJ1631" s="554"/>
      <c r="BK1631" s="554"/>
      <c r="BL1631" s="554"/>
      <c r="BM1631" s="554"/>
      <c r="BN1631" s="554"/>
      <c r="BO1631" s="554"/>
      <c r="BP1631" s="554">
        <f>I1631/25</f>
        <v>80</v>
      </c>
      <c r="BQ1631" s="554"/>
      <c r="BR1631" s="554"/>
      <c r="BS1631" s="554"/>
      <c r="BT1631" s="554"/>
      <c r="BU1631" s="554"/>
      <c r="BV1631" s="554"/>
      <c r="BW1631" s="554"/>
      <c r="BX1631" s="554"/>
      <c r="BY1631" s="554"/>
      <c r="BZ1631" s="554"/>
      <c r="CA1631" s="720"/>
      <c r="CB1631" s="555"/>
      <c r="CC1631" s="721"/>
      <c r="CD1631" s="554"/>
      <c r="CE1631" s="554"/>
      <c r="CF1631" s="554"/>
      <c r="CG1631" s="554"/>
      <c r="CH1631" s="550"/>
      <c r="CI1631" s="554"/>
      <c r="CJ1631" s="554"/>
      <c r="CK1631" s="554"/>
      <c r="CL1631" s="554"/>
      <c r="CM1631" s="554"/>
      <c r="CN1631" s="554"/>
      <c r="CO1631" s="554"/>
      <c r="CP1631" s="619"/>
      <c r="CQ1631" s="619"/>
      <c r="CR1631" s="554"/>
      <c r="CS1631" s="554"/>
      <c r="CT1631" s="554"/>
      <c r="CU1631" s="554">
        <f t="shared" si="625"/>
        <v>80</v>
      </c>
      <c r="CV1631" s="554">
        <f t="shared" si="645"/>
        <v>0</v>
      </c>
      <c r="CW1631" s="554">
        <f t="shared" si="646"/>
        <v>0</v>
      </c>
      <c r="CX1631" s="619"/>
      <c r="CY1631" s="619"/>
      <c r="CZ1631" s="619"/>
      <c r="DA1631" s="619"/>
      <c r="DB1631" s="619"/>
      <c r="DC1631" s="619"/>
      <c r="DD1631" s="619"/>
      <c r="DE1631" s="619"/>
      <c r="DF1631" s="619"/>
      <c r="DG1631" s="619"/>
      <c r="DH1631" s="619"/>
    </row>
    <row r="1632" s="550" customFormat="1" ht="31" customHeight="1" spans="1:113">
      <c r="A1632" s="608">
        <v>46173</v>
      </c>
      <c r="B1632" s="609" t="s">
        <v>1146</v>
      </c>
      <c r="C1632" s="610" t="s">
        <v>170</v>
      </c>
      <c r="D1632" s="554">
        <v>4500210024</v>
      </c>
      <c r="E1632" s="731" t="s">
        <v>9996</v>
      </c>
      <c r="F1632" s="729" t="s">
        <v>9997</v>
      </c>
      <c r="G1632" s="610" t="s">
        <v>6166</v>
      </c>
      <c r="H1632" s="610" t="s">
        <v>6094</v>
      </c>
      <c r="I1632" s="715">
        <v>143</v>
      </c>
      <c r="J1632" s="610">
        <v>0</v>
      </c>
      <c r="K1632" s="843">
        <v>13</v>
      </c>
      <c r="L1632" s="844">
        <f t="shared" si="626"/>
        <v>11</v>
      </c>
      <c r="M1632" s="845">
        <v>46211</v>
      </c>
      <c r="N1632" s="612">
        <v>46207</v>
      </c>
      <c r="O1632" s="613"/>
      <c r="P1632" s="610" t="s">
        <v>113</v>
      </c>
      <c r="Q1632" s="614">
        <v>46211</v>
      </c>
      <c r="R1632" s="614">
        <v>46184</v>
      </c>
      <c r="S1632" s="614" t="s">
        <v>70</v>
      </c>
      <c r="T1632" s="614" t="s">
        <v>9998</v>
      </c>
      <c r="U1632" s="614"/>
      <c r="V1632" s="614"/>
      <c r="W1632" s="573"/>
      <c r="X1632" s="609" t="s">
        <v>9999</v>
      </c>
      <c r="Y1632" s="616" t="s">
        <v>1150</v>
      </c>
      <c r="Z1632" s="609">
        <v>0.9429</v>
      </c>
      <c r="AA1632" s="616">
        <f t="shared" si="647"/>
        <v>134.8347</v>
      </c>
      <c r="AB1632" s="573"/>
      <c r="AC1632" s="697"/>
      <c r="AD1632" s="610" t="s">
        <v>6166</v>
      </c>
      <c r="AE1632" s="610" t="s">
        <v>82</v>
      </c>
      <c r="AF1632" s="610"/>
      <c r="AG1632" s="610"/>
      <c r="AH1632" s="609"/>
      <c r="AI1632" s="610">
        <v>143</v>
      </c>
      <c r="AJ1632" s="610">
        <f t="shared" si="623"/>
        <v>0</v>
      </c>
      <c r="AK1632" s="613"/>
      <c r="AL1632" s="610" t="s">
        <v>2368</v>
      </c>
      <c r="AM1632" s="610"/>
      <c r="AN1632" s="610">
        <f>I1632</f>
        <v>143</v>
      </c>
      <c r="AO1632" s="554"/>
      <c r="AP1632" s="554"/>
      <c r="AQ1632" s="554"/>
      <c r="AR1632" s="619"/>
      <c r="AS1632" s="554">
        <f>I1632</f>
        <v>143</v>
      </c>
      <c r="AT1632" s="554"/>
      <c r="AU1632" s="554">
        <f>I1632</f>
        <v>143</v>
      </c>
      <c r="AV1632" s="554"/>
      <c r="AW1632" s="554"/>
      <c r="AX1632" s="714"/>
      <c r="AY1632" s="554"/>
      <c r="AZ1632" s="554"/>
      <c r="BA1632" s="554"/>
      <c r="BB1632" s="620">
        <f t="shared" si="644"/>
        <v>5.95833333333333</v>
      </c>
      <c r="BC1632" s="554"/>
      <c r="BD1632" s="554"/>
      <c r="BE1632" s="554"/>
      <c r="BF1632" s="554"/>
      <c r="BG1632" s="550"/>
      <c r="BH1632" s="554"/>
      <c r="BI1632" s="554"/>
      <c r="BJ1632" s="554"/>
      <c r="BK1632" s="554"/>
      <c r="BL1632" s="554">
        <f>I1632/13</f>
        <v>11</v>
      </c>
      <c r="BM1632" s="554"/>
      <c r="BN1632" s="554"/>
      <c r="BO1632" s="554"/>
      <c r="BP1632" s="554"/>
      <c r="BQ1632" s="554"/>
      <c r="BR1632" s="554"/>
      <c r="BS1632" s="554"/>
      <c r="BT1632" s="554"/>
      <c r="BU1632" s="554"/>
      <c r="BV1632" s="554"/>
      <c r="BW1632" s="554"/>
      <c r="BX1632" s="554"/>
      <c r="BY1632" s="554"/>
      <c r="BZ1632" s="554"/>
      <c r="CA1632" s="720"/>
      <c r="CB1632" s="555"/>
      <c r="CC1632" s="721"/>
      <c r="CD1632" s="554"/>
      <c r="CE1632" s="554"/>
      <c r="CF1632" s="554"/>
      <c r="CG1632" s="554"/>
      <c r="CH1632" s="550"/>
      <c r="CI1632" s="554"/>
      <c r="CJ1632" s="554"/>
      <c r="CK1632" s="554"/>
      <c r="CL1632" s="554"/>
      <c r="CM1632" s="554"/>
      <c r="CN1632" s="554"/>
      <c r="CO1632" s="554"/>
      <c r="CP1632" s="619"/>
      <c r="CQ1632" s="619"/>
      <c r="CR1632" s="554"/>
      <c r="CS1632" s="554"/>
      <c r="CT1632" s="554"/>
      <c r="CU1632" s="554">
        <f t="shared" si="625"/>
        <v>0</v>
      </c>
      <c r="CV1632" s="554">
        <f t="shared" si="645"/>
        <v>0</v>
      </c>
      <c r="CW1632" s="554">
        <f t="shared" si="646"/>
        <v>0</v>
      </c>
      <c r="CX1632" s="619"/>
      <c r="CY1632" s="619"/>
      <c r="CZ1632" s="619"/>
      <c r="DA1632" s="619"/>
      <c r="DB1632" s="619"/>
      <c r="DC1632" s="619"/>
      <c r="DD1632" s="619"/>
      <c r="DE1632" s="619"/>
      <c r="DF1632" s="619"/>
      <c r="DG1632" s="619"/>
      <c r="DH1632" s="619"/>
    </row>
    <row r="1633" s="550" customFormat="1" ht="31" customHeight="1" spans="1:112">
      <c r="A1633" s="608">
        <v>46153</v>
      </c>
      <c r="B1633" s="609" t="s">
        <v>8152</v>
      </c>
      <c r="C1633" s="610" t="s">
        <v>98</v>
      </c>
      <c r="D1633" s="727">
        <v>4500206168</v>
      </c>
      <c r="E1633" s="613">
        <v>4564995863</v>
      </c>
      <c r="F1633" s="554" t="s">
        <v>10000</v>
      </c>
      <c r="G1633" s="610" t="s">
        <v>8051</v>
      </c>
      <c r="H1633" s="610" t="s">
        <v>6102</v>
      </c>
      <c r="I1633" s="715">
        <v>144</v>
      </c>
      <c r="J1633" s="610">
        <v>0</v>
      </c>
      <c r="K1633" s="610">
        <v>6</v>
      </c>
      <c r="L1633" s="611">
        <f t="shared" si="626"/>
        <v>24</v>
      </c>
      <c r="M1633" s="612">
        <v>46211</v>
      </c>
      <c r="N1633" s="612">
        <v>46207</v>
      </c>
      <c r="O1633" s="613"/>
      <c r="P1633" s="610" t="s">
        <v>113</v>
      </c>
      <c r="Q1633" s="614"/>
      <c r="R1633" s="614">
        <v>46153</v>
      </c>
      <c r="S1633" s="614" t="s">
        <v>70</v>
      </c>
      <c r="T1633" s="614" t="s">
        <v>9311</v>
      </c>
      <c r="U1633" s="614"/>
      <c r="V1633" s="614" t="s">
        <v>10001</v>
      </c>
      <c r="W1633" s="609"/>
      <c r="X1633" s="609" t="s">
        <v>10002</v>
      </c>
      <c r="Y1633" s="616" t="s">
        <v>819</v>
      </c>
      <c r="Z1633" s="609">
        <v>0.583</v>
      </c>
      <c r="AA1633" s="616">
        <f t="shared" ref="AA1633:AA1642" si="648">Z1633*I1633</f>
        <v>83.952</v>
      </c>
      <c r="AB1633" s="554"/>
      <c r="AC1633" s="678" t="s">
        <v>10003</v>
      </c>
      <c r="AD1633" s="610" t="s">
        <v>8051</v>
      </c>
      <c r="AE1633" s="610" t="s">
        <v>82</v>
      </c>
      <c r="AF1633" s="610"/>
      <c r="AG1633" s="610"/>
      <c r="AH1633" s="609"/>
      <c r="AI1633" s="610">
        <v>144</v>
      </c>
      <c r="AJ1633" s="610">
        <f t="shared" si="623"/>
        <v>0</v>
      </c>
      <c r="AK1633" s="613"/>
      <c r="AL1633" s="610" t="s">
        <v>2368</v>
      </c>
      <c r="AM1633" s="610"/>
      <c r="AN1633" s="554">
        <f t="shared" ref="AN1633:AN1640" si="649">I1633</f>
        <v>144</v>
      </c>
      <c r="AO1633" s="554"/>
      <c r="AP1633" s="554">
        <f t="shared" ref="AP1633:AP1640" si="650">I1633</f>
        <v>144</v>
      </c>
      <c r="AQ1633" s="554"/>
      <c r="AR1633" s="619"/>
      <c r="AS1633" s="554"/>
      <c r="AT1633" s="554"/>
      <c r="AU1633" s="554">
        <f t="shared" ref="AU1633:AU1640" si="651">I1633</f>
        <v>144</v>
      </c>
      <c r="AV1633" s="554"/>
      <c r="AW1633" s="554"/>
      <c r="AX1633" s="714"/>
      <c r="AY1633" s="554"/>
      <c r="AZ1633" s="554"/>
      <c r="BA1633" s="554"/>
      <c r="BB1633" s="620">
        <f t="shared" ref="BB1633:BB1642" si="652">I1633/24</f>
        <v>6</v>
      </c>
      <c r="BC1633" s="554"/>
      <c r="BD1633" s="554"/>
      <c r="BE1633" s="554"/>
      <c r="BF1633" s="554"/>
      <c r="BG1633" s="554"/>
      <c r="BH1633" s="554"/>
      <c r="BI1633" s="554"/>
      <c r="BJ1633" s="554"/>
      <c r="BK1633" s="554"/>
      <c r="BL1633" s="554"/>
      <c r="BM1633" s="554"/>
      <c r="BN1633" s="554"/>
      <c r="BO1633" s="554"/>
      <c r="BP1633" s="554"/>
      <c r="BQ1633" s="554"/>
      <c r="BR1633" s="554"/>
      <c r="BS1633" s="554"/>
      <c r="BT1633" s="554">
        <f t="shared" ref="BT1633:BT1640" si="653">L1633</f>
        <v>24</v>
      </c>
      <c r="BU1633" s="554"/>
      <c r="BV1633" s="554"/>
      <c r="BW1633" s="554"/>
      <c r="BX1633" s="554"/>
      <c r="BY1633" s="554"/>
      <c r="BZ1633" s="554"/>
      <c r="CA1633" s="720"/>
      <c r="CB1633" s="555"/>
      <c r="CC1633" s="721"/>
      <c r="CD1633" s="554"/>
      <c r="CE1633" s="554"/>
      <c r="CF1633" s="554"/>
      <c r="CG1633" s="554"/>
      <c r="CH1633" s="554"/>
      <c r="CI1633" s="554"/>
      <c r="CJ1633" s="554"/>
      <c r="CK1633" s="554"/>
      <c r="CL1633" s="554"/>
      <c r="CM1633" s="554"/>
      <c r="CN1633" s="554"/>
      <c r="CO1633" s="554"/>
      <c r="CP1633" s="619"/>
      <c r="CQ1633" s="619"/>
      <c r="CR1633" s="554"/>
      <c r="CS1633" s="554"/>
      <c r="CT1633" s="554"/>
      <c r="CU1633" s="554">
        <f t="shared" si="625"/>
        <v>0</v>
      </c>
      <c r="CV1633" s="554">
        <f t="shared" ref="CV1633:CV1642" si="654">CK1633+CL1633+CM1633+CN1633+CO1633+CQ1633+CP1633</f>
        <v>0</v>
      </c>
      <c r="CW1633" s="554">
        <f t="shared" ref="CW1633:CW1642" si="655">CI1633+CJ1633</f>
        <v>0</v>
      </c>
      <c r="CX1633" s="619"/>
      <c r="CY1633" s="619"/>
      <c r="CZ1633" s="619"/>
      <c r="DA1633" s="619"/>
      <c r="DB1633" s="619"/>
      <c r="DC1633" s="619"/>
      <c r="DD1633" s="619"/>
      <c r="DE1633" s="619"/>
      <c r="DF1633" s="619"/>
      <c r="DG1633" s="619"/>
      <c r="DH1633" s="619"/>
    </row>
    <row r="1634" s="550" customFormat="1" ht="31" customHeight="1" spans="1:112">
      <c r="A1634" s="608">
        <v>46153</v>
      </c>
      <c r="B1634" s="609" t="s">
        <v>8152</v>
      </c>
      <c r="C1634" s="610" t="s">
        <v>98</v>
      </c>
      <c r="D1634" s="727">
        <v>4500206168</v>
      </c>
      <c r="E1634" s="613">
        <v>4564995814</v>
      </c>
      <c r="F1634" s="554" t="s">
        <v>10004</v>
      </c>
      <c r="G1634" s="610" t="s">
        <v>8051</v>
      </c>
      <c r="H1634" s="610" t="s">
        <v>6102</v>
      </c>
      <c r="I1634" s="715">
        <v>210</v>
      </c>
      <c r="J1634" s="610">
        <v>0</v>
      </c>
      <c r="K1634" s="610">
        <v>6</v>
      </c>
      <c r="L1634" s="611">
        <f t="shared" si="626"/>
        <v>35</v>
      </c>
      <c r="M1634" s="612">
        <v>46211</v>
      </c>
      <c r="N1634" s="612">
        <v>46207</v>
      </c>
      <c r="O1634" s="613"/>
      <c r="P1634" s="610" t="s">
        <v>113</v>
      </c>
      <c r="Q1634" s="614"/>
      <c r="R1634" s="614">
        <v>46153</v>
      </c>
      <c r="S1634" s="614" t="s">
        <v>70</v>
      </c>
      <c r="T1634" s="614" t="s">
        <v>9311</v>
      </c>
      <c r="U1634" s="614"/>
      <c r="V1634" s="614" t="s">
        <v>10001</v>
      </c>
      <c r="W1634" s="609"/>
      <c r="X1634" s="609" t="s">
        <v>10002</v>
      </c>
      <c r="Y1634" s="616" t="s">
        <v>819</v>
      </c>
      <c r="Z1634" s="609">
        <v>0.5707</v>
      </c>
      <c r="AA1634" s="616">
        <f t="shared" si="648"/>
        <v>119.847</v>
      </c>
      <c r="AB1634" s="554"/>
      <c r="AC1634" s="678" t="s">
        <v>10003</v>
      </c>
      <c r="AD1634" s="610" t="s">
        <v>8051</v>
      </c>
      <c r="AE1634" s="610" t="s">
        <v>82</v>
      </c>
      <c r="AF1634" s="610"/>
      <c r="AG1634" s="610"/>
      <c r="AH1634" s="609"/>
      <c r="AI1634" s="610">
        <v>210</v>
      </c>
      <c r="AJ1634" s="610">
        <f t="shared" si="623"/>
        <v>0</v>
      </c>
      <c r="AK1634" s="613"/>
      <c r="AL1634" s="610" t="s">
        <v>2368</v>
      </c>
      <c r="AM1634" s="610"/>
      <c r="AN1634" s="554">
        <f t="shared" si="649"/>
        <v>210</v>
      </c>
      <c r="AO1634" s="554"/>
      <c r="AP1634" s="554">
        <f t="shared" si="650"/>
        <v>210</v>
      </c>
      <c r="AQ1634" s="554"/>
      <c r="AR1634" s="619"/>
      <c r="AS1634" s="554"/>
      <c r="AT1634" s="554"/>
      <c r="AU1634" s="554">
        <f t="shared" si="651"/>
        <v>210</v>
      </c>
      <c r="AV1634" s="554"/>
      <c r="AW1634" s="554"/>
      <c r="AX1634" s="714"/>
      <c r="AY1634" s="554"/>
      <c r="AZ1634" s="554"/>
      <c r="BA1634" s="554"/>
      <c r="BB1634" s="620">
        <f t="shared" si="652"/>
        <v>8.75</v>
      </c>
      <c r="BC1634" s="554"/>
      <c r="BD1634" s="554"/>
      <c r="BE1634" s="554"/>
      <c r="BF1634" s="554"/>
      <c r="BG1634" s="554"/>
      <c r="BH1634" s="554"/>
      <c r="BI1634" s="554"/>
      <c r="BJ1634" s="554"/>
      <c r="BK1634" s="554"/>
      <c r="BL1634" s="554"/>
      <c r="BM1634" s="554"/>
      <c r="BN1634" s="554"/>
      <c r="BO1634" s="554"/>
      <c r="BP1634" s="554"/>
      <c r="BQ1634" s="554"/>
      <c r="BR1634" s="554"/>
      <c r="BS1634" s="554"/>
      <c r="BT1634" s="554">
        <f t="shared" si="653"/>
        <v>35</v>
      </c>
      <c r="BU1634" s="554"/>
      <c r="BV1634" s="554"/>
      <c r="BW1634" s="554"/>
      <c r="BX1634" s="554"/>
      <c r="BY1634" s="554"/>
      <c r="BZ1634" s="554"/>
      <c r="CA1634" s="720"/>
      <c r="CB1634" s="555"/>
      <c r="CC1634" s="721"/>
      <c r="CD1634" s="554"/>
      <c r="CE1634" s="554"/>
      <c r="CF1634" s="554"/>
      <c r="CG1634" s="554"/>
      <c r="CH1634" s="554"/>
      <c r="CI1634" s="554"/>
      <c r="CJ1634" s="554"/>
      <c r="CK1634" s="554"/>
      <c r="CL1634" s="554"/>
      <c r="CM1634" s="554"/>
      <c r="CN1634" s="554"/>
      <c r="CO1634" s="554"/>
      <c r="CP1634" s="619"/>
      <c r="CQ1634" s="619"/>
      <c r="CR1634" s="554"/>
      <c r="CS1634" s="554"/>
      <c r="CT1634" s="554"/>
      <c r="CU1634" s="554">
        <f t="shared" si="625"/>
        <v>0</v>
      </c>
      <c r="CV1634" s="554">
        <f t="shared" si="654"/>
        <v>0</v>
      </c>
      <c r="CW1634" s="554">
        <f t="shared" si="655"/>
        <v>0</v>
      </c>
      <c r="CX1634" s="619"/>
      <c r="CY1634" s="619"/>
      <c r="CZ1634" s="619"/>
      <c r="DA1634" s="619"/>
      <c r="DB1634" s="619"/>
      <c r="DC1634" s="619"/>
      <c r="DD1634" s="619"/>
      <c r="DE1634" s="619"/>
      <c r="DF1634" s="619"/>
      <c r="DG1634" s="619"/>
      <c r="DH1634" s="619"/>
    </row>
    <row r="1635" s="550" customFormat="1" ht="31" customHeight="1" spans="1:112">
      <c r="A1635" s="608">
        <v>46153</v>
      </c>
      <c r="B1635" s="609" t="s">
        <v>8152</v>
      </c>
      <c r="C1635" s="610" t="s">
        <v>98</v>
      </c>
      <c r="D1635" s="727">
        <v>4500206168</v>
      </c>
      <c r="E1635" s="613">
        <v>4564995838</v>
      </c>
      <c r="F1635" s="554" t="s">
        <v>10005</v>
      </c>
      <c r="G1635" s="610" t="s">
        <v>8051</v>
      </c>
      <c r="H1635" s="610" t="s">
        <v>6102</v>
      </c>
      <c r="I1635" s="715">
        <v>240</v>
      </c>
      <c r="J1635" s="610">
        <v>0</v>
      </c>
      <c r="K1635" s="610">
        <v>6</v>
      </c>
      <c r="L1635" s="611">
        <f t="shared" si="626"/>
        <v>40</v>
      </c>
      <c r="M1635" s="612">
        <v>46211</v>
      </c>
      <c r="N1635" s="612">
        <v>46207</v>
      </c>
      <c r="O1635" s="613"/>
      <c r="P1635" s="610" t="s">
        <v>113</v>
      </c>
      <c r="Q1635" s="614"/>
      <c r="R1635" s="614">
        <v>46153</v>
      </c>
      <c r="S1635" s="614" t="s">
        <v>70</v>
      </c>
      <c r="T1635" s="614" t="s">
        <v>9311</v>
      </c>
      <c r="U1635" s="614"/>
      <c r="V1635" s="614" t="s">
        <v>10001</v>
      </c>
      <c r="W1635" s="609"/>
      <c r="X1635" s="609" t="s">
        <v>10002</v>
      </c>
      <c r="Y1635" s="616" t="s">
        <v>819</v>
      </c>
      <c r="Z1635" s="609">
        <v>0.5707</v>
      </c>
      <c r="AA1635" s="616">
        <f t="shared" si="648"/>
        <v>136.968</v>
      </c>
      <c r="AB1635" s="554"/>
      <c r="AC1635" s="678" t="s">
        <v>10003</v>
      </c>
      <c r="AD1635" s="610" t="s">
        <v>8051</v>
      </c>
      <c r="AE1635" s="610" t="s">
        <v>82</v>
      </c>
      <c r="AF1635" s="610"/>
      <c r="AG1635" s="610"/>
      <c r="AH1635" s="609"/>
      <c r="AI1635" s="610">
        <v>240</v>
      </c>
      <c r="AJ1635" s="610">
        <f t="shared" si="623"/>
        <v>0</v>
      </c>
      <c r="AK1635" s="613"/>
      <c r="AL1635" s="610" t="s">
        <v>2368</v>
      </c>
      <c r="AM1635" s="610"/>
      <c r="AN1635" s="554">
        <f t="shared" si="649"/>
        <v>240</v>
      </c>
      <c r="AO1635" s="554"/>
      <c r="AP1635" s="554">
        <f t="shared" si="650"/>
        <v>240</v>
      </c>
      <c r="AQ1635" s="554"/>
      <c r="AR1635" s="619"/>
      <c r="AS1635" s="554"/>
      <c r="AT1635" s="554"/>
      <c r="AU1635" s="554">
        <f t="shared" si="651"/>
        <v>240</v>
      </c>
      <c r="AV1635" s="554"/>
      <c r="AW1635" s="554"/>
      <c r="AX1635" s="714"/>
      <c r="AY1635" s="554"/>
      <c r="AZ1635" s="554"/>
      <c r="BA1635" s="554"/>
      <c r="BB1635" s="620">
        <f t="shared" si="652"/>
        <v>10</v>
      </c>
      <c r="BC1635" s="554"/>
      <c r="BD1635" s="554"/>
      <c r="BE1635" s="554"/>
      <c r="BF1635" s="554"/>
      <c r="BG1635" s="554"/>
      <c r="BH1635" s="554"/>
      <c r="BI1635" s="554"/>
      <c r="BJ1635" s="554"/>
      <c r="BK1635" s="554"/>
      <c r="BL1635" s="554"/>
      <c r="BM1635" s="554"/>
      <c r="BN1635" s="554"/>
      <c r="BO1635" s="554"/>
      <c r="BP1635" s="554"/>
      <c r="BQ1635" s="554"/>
      <c r="BR1635" s="554"/>
      <c r="BS1635" s="554"/>
      <c r="BT1635" s="554">
        <f t="shared" si="653"/>
        <v>40</v>
      </c>
      <c r="BU1635" s="554"/>
      <c r="BV1635" s="554"/>
      <c r="BW1635" s="554"/>
      <c r="BX1635" s="554"/>
      <c r="BY1635" s="554"/>
      <c r="BZ1635" s="554"/>
      <c r="CA1635" s="720"/>
      <c r="CB1635" s="555"/>
      <c r="CC1635" s="721"/>
      <c r="CD1635" s="554"/>
      <c r="CE1635" s="554"/>
      <c r="CF1635" s="554"/>
      <c r="CG1635" s="554"/>
      <c r="CH1635" s="554"/>
      <c r="CI1635" s="554"/>
      <c r="CJ1635" s="554"/>
      <c r="CK1635" s="554"/>
      <c r="CL1635" s="554"/>
      <c r="CM1635" s="554"/>
      <c r="CN1635" s="554"/>
      <c r="CO1635" s="554"/>
      <c r="CP1635" s="619"/>
      <c r="CQ1635" s="619"/>
      <c r="CR1635" s="554"/>
      <c r="CS1635" s="554"/>
      <c r="CT1635" s="554"/>
      <c r="CU1635" s="554">
        <f t="shared" si="625"/>
        <v>0</v>
      </c>
      <c r="CV1635" s="554">
        <f t="shared" si="654"/>
        <v>0</v>
      </c>
      <c r="CW1635" s="554">
        <f t="shared" si="655"/>
        <v>0</v>
      </c>
      <c r="CX1635" s="619"/>
      <c r="CY1635" s="619"/>
      <c r="CZ1635" s="619"/>
      <c r="DA1635" s="619"/>
      <c r="DB1635" s="619"/>
      <c r="DC1635" s="619"/>
      <c r="DD1635" s="619"/>
      <c r="DE1635" s="619"/>
      <c r="DF1635" s="619"/>
      <c r="DG1635" s="619"/>
      <c r="DH1635" s="619"/>
    </row>
    <row r="1636" s="550" customFormat="1" ht="31" customHeight="1" spans="1:112">
      <c r="A1636" s="608">
        <v>46153</v>
      </c>
      <c r="B1636" s="609" t="s">
        <v>8152</v>
      </c>
      <c r="C1636" s="610" t="s">
        <v>98</v>
      </c>
      <c r="D1636" s="727">
        <v>4500206168</v>
      </c>
      <c r="E1636" s="613">
        <v>4564995888</v>
      </c>
      <c r="F1636" s="554" t="s">
        <v>10006</v>
      </c>
      <c r="G1636" s="610" t="s">
        <v>8051</v>
      </c>
      <c r="H1636" s="610" t="s">
        <v>6102</v>
      </c>
      <c r="I1636" s="715">
        <v>540</v>
      </c>
      <c r="J1636" s="610">
        <v>0</v>
      </c>
      <c r="K1636" s="610">
        <v>6</v>
      </c>
      <c r="L1636" s="611">
        <f t="shared" si="626"/>
        <v>90</v>
      </c>
      <c r="M1636" s="612">
        <v>46211</v>
      </c>
      <c r="N1636" s="612">
        <v>46207</v>
      </c>
      <c r="O1636" s="613"/>
      <c r="P1636" s="610" t="s">
        <v>113</v>
      </c>
      <c r="Q1636" s="614"/>
      <c r="R1636" s="614">
        <v>46153</v>
      </c>
      <c r="S1636" s="614" t="s">
        <v>70</v>
      </c>
      <c r="T1636" s="614" t="s">
        <v>9311</v>
      </c>
      <c r="U1636" s="614"/>
      <c r="V1636" s="614" t="s">
        <v>10001</v>
      </c>
      <c r="W1636" s="609"/>
      <c r="X1636" s="609" t="s">
        <v>10002</v>
      </c>
      <c r="Y1636" s="616" t="s">
        <v>819</v>
      </c>
      <c r="Z1636" s="609">
        <v>0.5706</v>
      </c>
      <c r="AA1636" s="616">
        <f t="shared" si="648"/>
        <v>308.124</v>
      </c>
      <c r="AB1636" s="554"/>
      <c r="AC1636" s="678" t="s">
        <v>10003</v>
      </c>
      <c r="AD1636" s="610" t="s">
        <v>8051</v>
      </c>
      <c r="AE1636" s="610" t="s">
        <v>82</v>
      </c>
      <c r="AF1636" s="610"/>
      <c r="AG1636" s="610"/>
      <c r="AH1636" s="609"/>
      <c r="AI1636" s="610">
        <v>540</v>
      </c>
      <c r="AJ1636" s="610">
        <f t="shared" si="623"/>
        <v>0</v>
      </c>
      <c r="AK1636" s="613"/>
      <c r="AL1636" s="610" t="s">
        <v>2368</v>
      </c>
      <c r="AM1636" s="610"/>
      <c r="AN1636" s="554">
        <f t="shared" si="649"/>
        <v>540</v>
      </c>
      <c r="AO1636" s="554"/>
      <c r="AP1636" s="554">
        <f t="shared" si="650"/>
        <v>540</v>
      </c>
      <c r="AQ1636" s="554"/>
      <c r="AR1636" s="619"/>
      <c r="AS1636" s="554"/>
      <c r="AT1636" s="554"/>
      <c r="AU1636" s="554">
        <f t="shared" si="651"/>
        <v>540</v>
      </c>
      <c r="AV1636" s="554"/>
      <c r="AW1636" s="554"/>
      <c r="AX1636" s="714"/>
      <c r="AY1636" s="554"/>
      <c r="AZ1636" s="554"/>
      <c r="BA1636" s="554"/>
      <c r="BB1636" s="620">
        <f t="shared" si="652"/>
        <v>22.5</v>
      </c>
      <c r="BC1636" s="554"/>
      <c r="BD1636" s="554"/>
      <c r="BE1636" s="554"/>
      <c r="BF1636" s="554"/>
      <c r="BG1636" s="554"/>
      <c r="BH1636" s="554"/>
      <c r="BI1636" s="554"/>
      <c r="BJ1636" s="554"/>
      <c r="BK1636" s="554"/>
      <c r="BL1636" s="554"/>
      <c r="BM1636" s="554"/>
      <c r="BN1636" s="554"/>
      <c r="BO1636" s="554"/>
      <c r="BP1636" s="554"/>
      <c r="BQ1636" s="554"/>
      <c r="BR1636" s="554"/>
      <c r="BS1636" s="554"/>
      <c r="BT1636" s="554">
        <f t="shared" si="653"/>
        <v>90</v>
      </c>
      <c r="BU1636" s="554"/>
      <c r="BV1636" s="554"/>
      <c r="BW1636" s="554"/>
      <c r="BX1636" s="554"/>
      <c r="BY1636" s="554"/>
      <c r="BZ1636" s="554"/>
      <c r="CA1636" s="720"/>
      <c r="CB1636" s="555"/>
      <c r="CC1636" s="721"/>
      <c r="CD1636" s="554"/>
      <c r="CE1636" s="554"/>
      <c r="CF1636" s="554"/>
      <c r="CG1636" s="554"/>
      <c r="CH1636" s="554"/>
      <c r="CI1636" s="554"/>
      <c r="CJ1636" s="554"/>
      <c r="CK1636" s="554"/>
      <c r="CL1636" s="554"/>
      <c r="CM1636" s="554"/>
      <c r="CN1636" s="554"/>
      <c r="CO1636" s="554"/>
      <c r="CP1636" s="619"/>
      <c r="CQ1636" s="619"/>
      <c r="CR1636" s="554"/>
      <c r="CS1636" s="554"/>
      <c r="CT1636" s="554"/>
      <c r="CU1636" s="554">
        <f t="shared" si="625"/>
        <v>0</v>
      </c>
      <c r="CV1636" s="554">
        <f t="shared" si="654"/>
        <v>0</v>
      </c>
      <c r="CW1636" s="554">
        <f t="shared" si="655"/>
        <v>0</v>
      </c>
      <c r="CX1636" s="619"/>
      <c r="CY1636" s="619"/>
      <c r="CZ1636" s="619"/>
      <c r="DA1636" s="619"/>
      <c r="DB1636" s="619"/>
      <c r="DC1636" s="619"/>
      <c r="DD1636" s="619"/>
      <c r="DE1636" s="619"/>
      <c r="DF1636" s="619"/>
      <c r="DG1636" s="619"/>
      <c r="DH1636" s="619"/>
    </row>
    <row r="1637" s="550" customFormat="1" ht="31" customHeight="1" spans="1:112">
      <c r="A1637" s="608">
        <v>46153</v>
      </c>
      <c r="B1637" s="609" t="s">
        <v>8152</v>
      </c>
      <c r="C1637" s="610" t="s">
        <v>98</v>
      </c>
      <c r="D1637" s="727">
        <v>4500206168</v>
      </c>
      <c r="E1637" s="613">
        <v>4564995640</v>
      </c>
      <c r="F1637" s="554" t="s">
        <v>10007</v>
      </c>
      <c r="G1637" s="610" t="s">
        <v>8051</v>
      </c>
      <c r="H1637" s="610" t="s">
        <v>6102</v>
      </c>
      <c r="I1637" s="715">
        <v>18</v>
      </c>
      <c r="J1637" s="610">
        <v>0</v>
      </c>
      <c r="K1637" s="610">
        <v>6</v>
      </c>
      <c r="L1637" s="611">
        <f t="shared" si="626"/>
        <v>3</v>
      </c>
      <c r="M1637" s="612">
        <v>46211</v>
      </c>
      <c r="N1637" s="612">
        <v>46207</v>
      </c>
      <c r="O1637" s="613"/>
      <c r="P1637" s="610" t="s">
        <v>113</v>
      </c>
      <c r="Q1637" s="614"/>
      <c r="R1637" s="614">
        <v>46153</v>
      </c>
      <c r="S1637" s="614" t="s">
        <v>70</v>
      </c>
      <c r="T1637" s="614" t="s">
        <v>9311</v>
      </c>
      <c r="U1637" s="614"/>
      <c r="V1637" s="614" t="s">
        <v>10001</v>
      </c>
      <c r="W1637" s="609"/>
      <c r="X1637" s="609" t="s">
        <v>10002</v>
      </c>
      <c r="Y1637" s="616" t="s">
        <v>819</v>
      </c>
      <c r="Z1637" s="609">
        <v>0.5706</v>
      </c>
      <c r="AA1637" s="616">
        <f t="shared" si="648"/>
        <v>10.2708</v>
      </c>
      <c r="AB1637" s="554"/>
      <c r="AC1637" s="678" t="s">
        <v>10003</v>
      </c>
      <c r="AD1637" s="610" t="s">
        <v>8051</v>
      </c>
      <c r="AE1637" s="610" t="s">
        <v>82</v>
      </c>
      <c r="AF1637" s="610"/>
      <c r="AG1637" s="610"/>
      <c r="AH1637" s="609"/>
      <c r="AI1637" s="610">
        <v>18</v>
      </c>
      <c r="AJ1637" s="610">
        <f t="shared" si="623"/>
        <v>0</v>
      </c>
      <c r="AK1637" s="613"/>
      <c r="AL1637" s="610" t="s">
        <v>2368</v>
      </c>
      <c r="AM1637" s="610"/>
      <c r="AN1637" s="554">
        <f t="shared" si="649"/>
        <v>18</v>
      </c>
      <c r="AO1637" s="554"/>
      <c r="AP1637" s="554">
        <f t="shared" si="650"/>
        <v>18</v>
      </c>
      <c r="AQ1637" s="554"/>
      <c r="AR1637" s="619"/>
      <c r="AS1637" s="554"/>
      <c r="AT1637" s="554"/>
      <c r="AU1637" s="554">
        <f t="shared" si="651"/>
        <v>18</v>
      </c>
      <c r="AV1637" s="554"/>
      <c r="AW1637" s="554"/>
      <c r="AX1637" s="714"/>
      <c r="AY1637" s="554"/>
      <c r="AZ1637" s="554"/>
      <c r="BA1637" s="554"/>
      <c r="BB1637" s="620">
        <f t="shared" si="652"/>
        <v>0.75</v>
      </c>
      <c r="BC1637" s="554"/>
      <c r="BD1637" s="554"/>
      <c r="BE1637" s="554"/>
      <c r="BF1637" s="554"/>
      <c r="BG1637" s="554"/>
      <c r="BH1637" s="554"/>
      <c r="BI1637" s="554"/>
      <c r="BJ1637" s="554"/>
      <c r="BK1637" s="554"/>
      <c r="BL1637" s="554"/>
      <c r="BM1637" s="554"/>
      <c r="BN1637" s="554"/>
      <c r="BO1637" s="554"/>
      <c r="BP1637" s="554"/>
      <c r="BQ1637" s="554"/>
      <c r="BR1637" s="554"/>
      <c r="BS1637" s="554"/>
      <c r="BT1637" s="554">
        <f t="shared" si="653"/>
        <v>3</v>
      </c>
      <c r="BU1637" s="554"/>
      <c r="BV1637" s="554"/>
      <c r="BW1637" s="554"/>
      <c r="BX1637" s="554"/>
      <c r="BY1637" s="554"/>
      <c r="BZ1637" s="554"/>
      <c r="CA1637" s="720"/>
      <c r="CB1637" s="555"/>
      <c r="CC1637" s="721"/>
      <c r="CD1637" s="554"/>
      <c r="CE1637" s="554"/>
      <c r="CF1637" s="554"/>
      <c r="CG1637" s="554"/>
      <c r="CH1637" s="554"/>
      <c r="CI1637" s="554"/>
      <c r="CJ1637" s="554"/>
      <c r="CK1637" s="554"/>
      <c r="CL1637" s="554"/>
      <c r="CM1637" s="554"/>
      <c r="CN1637" s="554"/>
      <c r="CO1637" s="554"/>
      <c r="CP1637" s="619"/>
      <c r="CQ1637" s="619"/>
      <c r="CR1637" s="554"/>
      <c r="CS1637" s="554"/>
      <c r="CT1637" s="554"/>
      <c r="CU1637" s="554">
        <f t="shared" si="625"/>
        <v>0</v>
      </c>
      <c r="CV1637" s="554">
        <f t="shared" si="654"/>
        <v>0</v>
      </c>
      <c r="CW1637" s="554">
        <f t="shared" si="655"/>
        <v>0</v>
      </c>
      <c r="CX1637" s="619"/>
      <c r="CY1637" s="619"/>
      <c r="CZ1637" s="619"/>
      <c r="DA1637" s="619"/>
      <c r="DB1637" s="619"/>
      <c r="DC1637" s="619"/>
      <c r="DD1637" s="619"/>
      <c r="DE1637" s="619"/>
      <c r="DF1637" s="619"/>
      <c r="DG1637" s="619"/>
      <c r="DH1637" s="619"/>
    </row>
    <row r="1638" s="550" customFormat="1" ht="31" customHeight="1" spans="1:112">
      <c r="A1638" s="608">
        <v>46153</v>
      </c>
      <c r="B1638" s="609" t="s">
        <v>8152</v>
      </c>
      <c r="C1638" s="610" t="s">
        <v>98</v>
      </c>
      <c r="D1638" s="727">
        <v>4500206168</v>
      </c>
      <c r="E1638" s="613">
        <v>4564995784</v>
      </c>
      <c r="F1638" s="554" t="s">
        <v>10008</v>
      </c>
      <c r="G1638" s="610" t="s">
        <v>8051</v>
      </c>
      <c r="H1638" s="610" t="s">
        <v>6102</v>
      </c>
      <c r="I1638" s="715">
        <v>408</v>
      </c>
      <c r="J1638" s="610">
        <v>0</v>
      </c>
      <c r="K1638" s="610">
        <v>6</v>
      </c>
      <c r="L1638" s="611">
        <f t="shared" si="626"/>
        <v>68</v>
      </c>
      <c r="M1638" s="612">
        <v>46211</v>
      </c>
      <c r="N1638" s="612">
        <v>46207</v>
      </c>
      <c r="O1638" s="613"/>
      <c r="P1638" s="610" t="s">
        <v>113</v>
      </c>
      <c r="Q1638" s="614"/>
      <c r="R1638" s="614">
        <v>46153</v>
      </c>
      <c r="S1638" s="614" t="s">
        <v>70</v>
      </c>
      <c r="T1638" s="614" t="s">
        <v>9311</v>
      </c>
      <c r="U1638" s="614"/>
      <c r="V1638" s="614" t="s">
        <v>10001</v>
      </c>
      <c r="W1638" s="609"/>
      <c r="X1638" s="609" t="s">
        <v>10002</v>
      </c>
      <c r="Y1638" s="616" t="s">
        <v>819</v>
      </c>
      <c r="Z1638" s="609">
        <v>0.5707</v>
      </c>
      <c r="AA1638" s="616">
        <f t="shared" si="648"/>
        <v>232.8456</v>
      </c>
      <c r="AB1638" s="554"/>
      <c r="AC1638" s="678" t="s">
        <v>10003</v>
      </c>
      <c r="AD1638" s="610" t="s">
        <v>8051</v>
      </c>
      <c r="AE1638" s="610" t="s">
        <v>82</v>
      </c>
      <c r="AF1638" s="610"/>
      <c r="AG1638" s="610"/>
      <c r="AH1638" s="609"/>
      <c r="AI1638" s="610">
        <v>408</v>
      </c>
      <c r="AJ1638" s="610">
        <f t="shared" si="623"/>
        <v>0</v>
      </c>
      <c r="AK1638" s="613"/>
      <c r="AL1638" s="610" t="s">
        <v>2368</v>
      </c>
      <c r="AM1638" s="610"/>
      <c r="AN1638" s="554">
        <f t="shared" si="649"/>
        <v>408</v>
      </c>
      <c r="AO1638" s="554"/>
      <c r="AP1638" s="554">
        <f t="shared" si="650"/>
        <v>408</v>
      </c>
      <c r="AQ1638" s="554"/>
      <c r="AR1638" s="619"/>
      <c r="AS1638" s="554"/>
      <c r="AT1638" s="554"/>
      <c r="AU1638" s="554">
        <f t="shared" si="651"/>
        <v>408</v>
      </c>
      <c r="AV1638" s="554"/>
      <c r="AW1638" s="554"/>
      <c r="AX1638" s="714"/>
      <c r="AY1638" s="554"/>
      <c r="AZ1638" s="554"/>
      <c r="BA1638" s="554"/>
      <c r="BB1638" s="620">
        <f t="shared" si="652"/>
        <v>17</v>
      </c>
      <c r="BC1638" s="554"/>
      <c r="BD1638" s="554"/>
      <c r="BE1638" s="554"/>
      <c r="BF1638" s="554"/>
      <c r="BG1638" s="554"/>
      <c r="BH1638" s="554"/>
      <c r="BI1638" s="554"/>
      <c r="BJ1638" s="554"/>
      <c r="BK1638" s="554"/>
      <c r="BL1638" s="554"/>
      <c r="BM1638" s="554"/>
      <c r="BN1638" s="554"/>
      <c r="BO1638" s="554"/>
      <c r="BP1638" s="554"/>
      <c r="BQ1638" s="554"/>
      <c r="BR1638" s="554"/>
      <c r="BS1638" s="554"/>
      <c r="BT1638" s="554">
        <f t="shared" si="653"/>
        <v>68</v>
      </c>
      <c r="BU1638" s="554"/>
      <c r="BV1638" s="554"/>
      <c r="BW1638" s="554"/>
      <c r="BX1638" s="554"/>
      <c r="BY1638" s="554"/>
      <c r="BZ1638" s="554"/>
      <c r="CA1638" s="720"/>
      <c r="CB1638" s="555"/>
      <c r="CC1638" s="721"/>
      <c r="CD1638" s="554"/>
      <c r="CE1638" s="554"/>
      <c r="CF1638" s="554"/>
      <c r="CG1638" s="554"/>
      <c r="CH1638" s="554"/>
      <c r="CI1638" s="554"/>
      <c r="CJ1638" s="554"/>
      <c r="CK1638" s="554"/>
      <c r="CL1638" s="554"/>
      <c r="CM1638" s="554"/>
      <c r="CN1638" s="554"/>
      <c r="CO1638" s="554"/>
      <c r="CP1638" s="619"/>
      <c r="CQ1638" s="619"/>
      <c r="CR1638" s="554"/>
      <c r="CS1638" s="554"/>
      <c r="CT1638" s="554"/>
      <c r="CU1638" s="554">
        <f t="shared" si="625"/>
        <v>0</v>
      </c>
      <c r="CV1638" s="554">
        <f t="shared" si="654"/>
        <v>0</v>
      </c>
      <c r="CW1638" s="554">
        <f t="shared" si="655"/>
        <v>0</v>
      </c>
      <c r="CX1638" s="619"/>
      <c r="CY1638" s="619"/>
      <c r="CZ1638" s="619"/>
      <c r="DA1638" s="619"/>
      <c r="DB1638" s="619"/>
      <c r="DC1638" s="619"/>
      <c r="DD1638" s="619"/>
      <c r="DE1638" s="619"/>
      <c r="DF1638" s="619"/>
      <c r="DG1638" s="619"/>
      <c r="DH1638" s="619"/>
    </row>
    <row r="1639" s="550" customFormat="1" ht="31" customHeight="1" spans="1:112">
      <c r="A1639" s="608">
        <v>46153</v>
      </c>
      <c r="B1639" s="609" t="s">
        <v>8152</v>
      </c>
      <c r="C1639" s="610" t="s">
        <v>98</v>
      </c>
      <c r="D1639" s="727">
        <v>4500206168</v>
      </c>
      <c r="E1639" s="613">
        <v>4564995865</v>
      </c>
      <c r="F1639" s="554" t="s">
        <v>10009</v>
      </c>
      <c r="G1639" s="610" t="s">
        <v>8051</v>
      </c>
      <c r="H1639" s="610" t="s">
        <v>6102</v>
      </c>
      <c r="I1639" s="715">
        <v>348</v>
      </c>
      <c r="J1639" s="610">
        <v>0</v>
      </c>
      <c r="K1639" s="610">
        <v>6</v>
      </c>
      <c r="L1639" s="611">
        <f t="shared" si="626"/>
        <v>58</v>
      </c>
      <c r="M1639" s="612">
        <v>46211</v>
      </c>
      <c r="N1639" s="612">
        <v>46207</v>
      </c>
      <c r="O1639" s="613"/>
      <c r="P1639" s="610" t="s">
        <v>113</v>
      </c>
      <c r="Q1639" s="614"/>
      <c r="R1639" s="614">
        <v>46153</v>
      </c>
      <c r="S1639" s="614" t="s">
        <v>70</v>
      </c>
      <c r="T1639" s="614" t="s">
        <v>9311</v>
      </c>
      <c r="U1639" s="614"/>
      <c r="V1639" s="614" t="s">
        <v>10001</v>
      </c>
      <c r="W1639" s="609"/>
      <c r="X1639" s="609" t="s">
        <v>10002</v>
      </c>
      <c r="Y1639" s="616" t="s">
        <v>819</v>
      </c>
      <c r="Z1639" s="609">
        <v>0.5707</v>
      </c>
      <c r="AA1639" s="616">
        <f t="shared" si="648"/>
        <v>198.6036</v>
      </c>
      <c r="AB1639" s="554"/>
      <c r="AC1639" s="678" t="s">
        <v>10003</v>
      </c>
      <c r="AD1639" s="610" t="s">
        <v>8051</v>
      </c>
      <c r="AE1639" s="610" t="s">
        <v>82</v>
      </c>
      <c r="AF1639" s="610"/>
      <c r="AG1639" s="610"/>
      <c r="AH1639" s="609"/>
      <c r="AI1639" s="610">
        <v>348</v>
      </c>
      <c r="AJ1639" s="610">
        <f t="shared" si="623"/>
        <v>0</v>
      </c>
      <c r="AK1639" s="613"/>
      <c r="AL1639" s="610" t="s">
        <v>2368</v>
      </c>
      <c r="AM1639" s="610"/>
      <c r="AN1639" s="554">
        <f t="shared" si="649"/>
        <v>348</v>
      </c>
      <c r="AO1639" s="554"/>
      <c r="AP1639" s="554">
        <f t="shared" si="650"/>
        <v>348</v>
      </c>
      <c r="AQ1639" s="554"/>
      <c r="AR1639" s="619"/>
      <c r="AS1639" s="554"/>
      <c r="AT1639" s="554"/>
      <c r="AU1639" s="554">
        <f t="shared" si="651"/>
        <v>348</v>
      </c>
      <c r="AV1639" s="554"/>
      <c r="AW1639" s="554"/>
      <c r="AX1639" s="714"/>
      <c r="AY1639" s="554"/>
      <c r="AZ1639" s="554"/>
      <c r="BA1639" s="554"/>
      <c r="BB1639" s="620">
        <f t="shared" si="652"/>
        <v>14.5</v>
      </c>
      <c r="BC1639" s="554"/>
      <c r="BD1639" s="554"/>
      <c r="BE1639" s="554"/>
      <c r="BF1639" s="554"/>
      <c r="BG1639" s="554"/>
      <c r="BH1639" s="554"/>
      <c r="BI1639" s="554"/>
      <c r="BJ1639" s="554"/>
      <c r="BK1639" s="554"/>
      <c r="BL1639" s="554"/>
      <c r="BM1639" s="554"/>
      <c r="BN1639" s="554"/>
      <c r="BO1639" s="554"/>
      <c r="BP1639" s="554"/>
      <c r="BQ1639" s="554"/>
      <c r="BR1639" s="554"/>
      <c r="BS1639" s="554"/>
      <c r="BT1639" s="554">
        <f t="shared" si="653"/>
        <v>58</v>
      </c>
      <c r="BU1639" s="554"/>
      <c r="BV1639" s="554"/>
      <c r="BW1639" s="554"/>
      <c r="BX1639" s="554"/>
      <c r="BY1639" s="554"/>
      <c r="BZ1639" s="554"/>
      <c r="CA1639" s="720"/>
      <c r="CB1639" s="555"/>
      <c r="CC1639" s="721"/>
      <c r="CD1639" s="554"/>
      <c r="CE1639" s="554"/>
      <c r="CF1639" s="554"/>
      <c r="CG1639" s="554"/>
      <c r="CH1639" s="554"/>
      <c r="CI1639" s="554"/>
      <c r="CJ1639" s="554"/>
      <c r="CK1639" s="554"/>
      <c r="CL1639" s="554"/>
      <c r="CM1639" s="554"/>
      <c r="CN1639" s="554"/>
      <c r="CO1639" s="554"/>
      <c r="CP1639" s="619"/>
      <c r="CQ1639" s="619"/>
      <c r="CR1639" s="554"/>
      <c r="CS1639" s="554"/>
      <c r="CT1639" s="554"/>
      <c r="CU1639" s="554">
        <f t="shared" si="625"/>
        <v>0</v>
      </c>
      <c r="CV1639" s="554">
        <f t="shared" si="654"/>
        <v>0</v>
      </c>
      <c r="CW1639" s="554">
        <f t="shared" si="655"/>
        <v>0</v>
      </c>
      <c r="CX1639" s="619"/>
      <c r="CY1639" s="619"/>
      <c r="CZ1639" s="619"/>
      <c r="DA1639" s="619"/>
      <c r="DB1639" s="619"/>
      <c r="DC1639" s="619"/>
      <c r="DD1639" s="619"/>
      <c r="DE1639" s="619"/>
      <c r="DF1639" s="619"/>
      <c r="DG1639" s="619"/>
      <c r="DH1639" s="619"/>
    </row>
    <row r="1640" s="550" customFormat="1" ht="31" customHeight="1" spans="1:112">
      <c r="A1640" s="608">
        <v>46153</v>
      </c>
      <c r="B1640" s="609" t="s">
        <v>8152</v>
      </c>
      <c r="C1640" s="610" t="s">
        <v>98</v>
      </c>
      <c r="D1640" s="727">
        <v>4500206168</v>
      </c>
      <c r="E1640" s="613">
        <v>4564995815</v>
      </c>
      <c r="F1640" s="554" t="s">
        <v>10010</v>
      </c>
      <c r="G1640" s="610" t="s">
        <v>8051</v>
      </c>
      <c r="H1640" s="610" t="s">
        <v>6102</v>
      </c>
      <c r="I1640" s="715">
        <v>126</v>
      </c>
      <c r="J1640" s="610">
        <v>0</v>
      </c>
      <c r="K1640" s="610">
        <v>6</v>
      </c>
      <c r="L1640" s="611">
        <f t="shared" si="626"/>
        <v>21</v>
      </c>
      <c r="M1640" s="612">
        <v>46211</v>
      </c>
      <c r="N1640" s="612">
        <v>46207</v>
      </c>
      <c r="O1640" s="613"/>
      <c r="P1640" s="610" t="s">
        <v>113</v>
      </c>
      <c r="Q1640" s="614"/>
      <c r="R1640" s="614">
        <v>46153</v>
      </c>
      <c r="S1640" s="614" t="s">
        <v>70</v>
      </c>
      <c r="T1640" s="614" t="s">
        <v>9311</v>
      </c>
      <c r="U1640" s="614"/>
      <c r="V1640" s="614" t="s">
        <v>10001</v>
      </c>
      <c r="W1640" s="609"/>
      <c r="X1640" s="609" t="s">
        <v>10002</v>
      </c>
      <c r="Y1640" s="616" t="s">
        <v>819</v>
      </c>
      <c r="Z1640" s="609">
        <v>0.583</v>
      </c>
      <c r="AA1640" s="616">
        <f t="shared" si="648"/>
        <v>73.458</v>
      </c>
      <c r="AB1640" s="554"/>
      <c r="AC1640" s="678" t="s">
        <v>10003</v>
      </c>
      <c r="AD1640" s="610" t="s">
        <v>8051</v>
      </c>
      <c r="AE1640" s="610" t="s">
        <v>82</v>
      </c>
      <c r="AF1640" s="610"/>
      <c r="AG1640" s="610"/>
      <c r="AH1640" s="609"/>
      <c r="AI1640" s="610">
        <v>126</v>
      </c>
      <c r="AJ1640" s="610">
        <f t="shared" ref="AJ1640:AJ1655" si="656">AI1640-I1640</f>
        <v>0</v>
      </c>
      <c r="AK1640" s="613"/>
      <c r="AL1640" s="610" t="s">
        <v>2368</v>
      </c>
      <c r="AM1640" s="610"/>
      <c r="AN1640" s="554">
        <f t="shared" si="649"/>
        <v>126</v>
      </c>
      <c r="AO1640" s="554"/>
      <c r="AP1640" s="554">
        <f t="shared" si="650"/>
        <v>126</v>
      </c>
      <c r="AQ1640" s="554"/>
      <c r="AR1640" s="619"/>
      <c r="AS1640" s="554"/>
      <c r="AT1640" s="554"/>
      <c r="AU1640" s="554">
        <f t="shared" si="651"/>
        <v>126</v>
      </c>
      <c r="AV1640" s="554"/>
      <c r="AW1640" s="554"/>
      <c r="AX1640" s="714"/>
      <c r="AY1640" s="554"/>
      <c r="AZ1640" s="554"/>
      <c r="BA1640" s="554"/>
      <c r="BB1640" s="620">
        <f t="shared" si="652"/>
        <v>5.25</v>
      </c>
      <c r="BC1640" s="554"/>
      <c r="BD1640" s="554"/>
      <c r="BE1640" s="554"/>
      <c r="BF1640" s="554"/>
      <c r="BG1640" s="554"/>
      <c r="BH1640" s="554"/>
      <c r="BI1640" s="554"/>
      <c r="BJ1640" s="554"/>
      <c r="BK1640" s="554"/>
      <c r="BL1640" s="554"/>
      <c r="BM1640" s="554"/>
      <c r="BN1640" s="554"/>
      <c r="BO1640" s="554"/>
      <c r="BP1640" s="554"/>
      <c r="BQ1640" s="554"/>
      <c r="BR1640" s="554"/>
      <c r="BS1640" s="554"/>
      <c r="BT1640" s="554">
        <f t="shared" si="653"/>
        <v>21</v>
      </c>
      <c r="BU1640" s="554"/>
      <c r="BV1640" s="554"/>
      <c r="BW1640" s="554"/>
      <c r="BX1640" s="554"/>
      <c r="BY1640" s="554"/>
      <c r="BZ1640" s="554"/>
      <c r="CA1640" s="720"/>
      <c r="CB1640" s="555"/>
      <c r="CC1640" s="721"/>
      <c r="CD1640" s="554"/>
      <c r="CE1640" s="554"/>
      <c r="CF1640" s="554"/>
      <c r="CG1640" s="554"/>
      <c r="CH1640" s="554"/>
      <c r="CI1640" s="554"/>
      <c r="CJ1640" s="554"/>
      <c r="CK1640" s="554"/>
      <c r="CL1640" s="554"/>
      <c r="CM1640" s="554"/>
      <c r="CN1640" s="554"/>
      <c r="CO1640" s="554"/>
      <c r="CP1640" s="619"/>
      <c r="CQ1640" s="619"/>
      <c r="CR1640" s="554"/>
      <c r="CS1640" s="554"/>
      <c r="CT1640" s="554"/>
      <c r="CU1640" s="554">
        <f t="shared" si="625"/>
        <v>0</v>
      </c>
      <c r="CV1640" s="554">
        <f t="shared" si="654"/>
        <v>0</v>
      </c>
      <c r="CW1640" s="554">
        <f t="shared" si="655"/>
        <v>0</v>
      </c>
      <c r="CX1640" s="619"/>
      <c r="CY1640" s="619"/>
      <c r="CZ1640" s="619"/>
      <c r="DA1640" s="619"/>
      <c r="DB1640" s="619"/>
      <c r="DC1640" s="619"/>
      <c r="DD1640" s="619"/>
      <c r="DE1640" s="619"/>
      <c r="DF1640" s="619"/>
      <c r="DG1640" s="619"/>
      <c r="DH1640" s="619"/>
    </row>
    <row r="1641" s="550" customFormat="1" ht="31" customHeight="1" spans="1:112">
      <c r="A1641" s="608">
        <v>46148</v>
      </c>
      <c r="B1641" s="609" t="s">
        <v>2362</v>
      </c>
      <c r="C1641" s="610" t="s">
        <v>524</v>
      </c>
      <c r="D1641" s="727">
        <v>4500205041</v>
      </c>
      <c r="E1641" s="613">
        <v>62110212</v>
      </c>
      <c r="F1641" s="554" t="s">
        <v>10011</v>
      </c>
      <c r="G1641" s="610" t="s">
        <v>6043</v>
      </c>
      <c r="H1641" s="610" t="s">
        <v>6110</v>
      </c>
      <c r="I1641" s="715">
        <v>2500</v>
      </c>
      <c r="J1641" s="610">
        <v>0</v>
      </c>
      <c r="K1641" s="610">
        <v>50</v>
      </c>
      <c r="L1641" s="611">
        <f t="shared" si="626"/>
        <v>50</v>
      </c>
      <c r="M1641" s="612">
        <v>46195</v>
      </c>
      <c r="N1641" s="724">
        <v>46209</v>
      </c>
      <c r="O1641" s="613"/>
      <c r="P1641" s="610" t="s">
        <v>113</v>
      </c>
      <c r="Q1641" s="614">
        <v>46226</v>
      </c>
      <c r="R1641" s="614">
        <v>46171</v>
      </c>
      <c r="S1641" s="614" t="s">
        <v>70</v>
      </c>
      <c r="T1641" s="614" t="s">
        <v>10012</v>
      </c>
      <c r="U1641" s="614"/>
      <c r="V1641" s="614"/>
      <c r="W1641" s="609"/>
      <c r="X1641" s="609" t="s">
        <v>10013</v>
      </c>
      <c r="Y1641" s="616" t="s">
        <v>529</v>
      </c>
      <c r="Z1641" s="609">
        <v>0.9749</v>
      </c>
      <c r="AA1641" s="616">
        <f t="shared" si="648"/>
        <v>2437.25</v>
      </c>
      <c r="AB1641" s="573"/>
      <c r="AC1641" s="697"/>
      <c r="AD1641" s="610" t="s">
        <v>6043</v>
      </c>
      <c r="AE1641" s="610" t="s">
        <v>82</v>
      </c>
      <c r="AF1641" s="610"/>
      <c r="AG1641" s="610"/>
      <c r="AH1641" s="609"/>
      <c r="AI1641" s="609">
        <v>2500</v>
      </c>
      <c r="AJ1641" s="610">
        <f t="shared" si="656"/>
        <v>0</v>
      </c>
      <c r="AK1641" s="613"/>
      <c r="AL1641" s="610" t="s">
        <v>2368</v>
      </c>
      <c r="AM1641" s="610"/>
      <c r="AN1641" s="554"/>
      <c r="AO1641" s="554">
        <f>I1641</f>
        <v>2500</v>
      </c>
      <c r="AP1641" s="554"/>
      <c r="AQ1641" s="554"/>
      <c r="AR1641" s="619"/>
      <c r="AS1641" s="554"/>
      <c r="AT1641" s="554">
        <f>I1641</f>
        <v>2500</v>
      </c>
      <c r="AU1641" s="554"/>
      <c r="AV1641" s="554">
        <f>I1641</f>
        <v>2500</v>
      </c>
      <c r="AW1641" s="554"/>
      <c r="AX1641" s="714"/>
      <c r="AY1641" s="554"/>
      <c r="AZ1641" s="554"/>
      <c r="BA1641" s="554"/>
      <c r="BB1641" s="620">
        <f t="shared" si="652"/>
        <v>104.166666666667</v>
      </c>
      <c r="BC1641" s="554"/>
      <c r="BD1641" s="554"/>
      <c r="BE1641" s="554"/>
      <c r="BF1641" s="554"/>
      <c r="BG1641" s="550"/>
      <c r="BH1641" s="554"/>
      <c r="BI1641" s="554"/>
      <c r="BJ1641" s="554"/>
      <c r="BK1641" s="554"/>
      <c r="BL1641" s="554"/>
      <c r="BM1641" s="554"/>
      <c r="BN1641" s="554"/>
      <c r="BO1641" s="554"/>
      <c r="BP1641" s="554">
        <f>I1641/25</f>
        <v>100</v>
      </c>
      <c r="BQ1641" s="554"/>
      <c r="BR1641" s="554"/>
      <c r="BS1641" s="554"/>
      <c r="BT1641" s="554"/>
      <c r="BU1641" s="554"/>
      <c r="BV1641" s="554"/>
      <c r="BW1641" s="554"/>
      <c r="BX1641" s="554"/>
      <c r="BY1641" s="554"/>
      <c r="BZ1641" s="554"/>
      <c r="CA1641" s="720"/>
      <c r="CB1641" s="555"/>
      <c r="CC1641" s="721"/>
      <c r="CD1641" s="554"/>
      <c r="CE1641" s="554"/>
      <c r="CF1641" s="554"/>
      <c r="CG1641" s="554"/>
      <c r="CH1641" s="550"/>
      <c r="CI1641" s="554"/>
      <c r="CJ1641" s="554"/>
      <c r="CK1641" s="554"/>
      <c r="CL1641" s="554"/>
      <c r="CM1641" s="554"/>
      <c r="CN1641" s="554"/>
      <c r="CO1641" s="554"/>
      <c r="CP1641" s="619"/>
      <c r="CQ1641" s="619"/>
      <c r="CR1641" s="554"/>
      <c r="CS1641" s="554"/>
      <c r="CT1641" s="554"/>
      <c r="CU1641" s="554">
        <f t="shared" si="625"/>
        <v>100</v>
      </c>
      <c r="CV1641" s="554">
        <f t="shared" si="654"/>
        <v>0</v>
      </c>
      <c r="CW1641" s="554">
        <f t="shared" si="655"/>
        <v>0</v>
      </c>
      <c r="CX1641" s="619"/>
      <c r="CY1641" s="619"/>
      <c r="CZ1641" s="619"/>
      <c r="DA1641" s="619"/>
      <c r="DB1641" s="619"/>
      <c r="DC1641" s="619"/>
      <c r="DD1641" s="619"/>
      <c r="DE1641" s="619"/>
      <c r="DF1641" s="619"/>
      <c r="DG1641" s="619"/>
      <c r="DH1641" s="619"/>
    </row>
    <row r="1642" s="550" customFormat="1" ht="31" customHeight="1" spans="1:112">
      <c r="A1642" s="608">
        <v>46132</v>
      </c>
      <c r="B1642" s="609" t="s">
        <v>2362</v>
      </c>
      <c r="C1642" s="610" t="s">
        <v>524</v>
      </c>
      <c r="D1642" s="727">
        <v>4500202901</v>
      </c>
      <c r="E1642" s="610" t="s">
        <v>3846</v>
      </c>
      <c r="F1642" s="554" t="s">
        <v>10014</v>
      </c>
      <c r="G1642" s="623" t="s">
        <v>6043</v>
      </c>
      <c r="H1642" s="610" t="s">
        <v>6110</v>
      </c>
      <c r="I1642" s="715">
        <v>2000</v>
      </c>
      <c r="J1642" s="610">
        <v>0</v>
      </c>
      <c r="K1642" s="610">
        <v>50</v>
      </c>
      <c r="L1642" s="611">
        <f t="shared" si="626"/>
        <v>40</v>
      </c>
      <c r="M1642" s="612">
        <v>46191</v>
      </c>
      <c r="N1642" s="724">
        <v>46211</v>
      </c>
      <c r="O1642" s="613"/>
      <c r="P1642" s="610" t="s">
        <v>113</v>
      </c>
      <c r="Q1642" s="614">
        <v>46236</v>
      </c>
      <c r="R1642" s="614">
        <v>46162</v>
      </c>
      <c r="S1642" s="614" t="s">
        <v>70</v>
      </c>
      <c r="T1642" s="614" t="s">
        <v>10015</v>
      </c>
      <c r="U1642" s="614"/>
      <c r="V1642" s="614"/>
      <c r="W1642" s="609"/>
      <c r="X1642" s="609" t="s">
        <v>10016</v>
      </c>
      <c r="Y1642" s="612" t="s">
        <v>529</v>
      </c>
      <c r="Z1642" s="554">
        <v>0.9749</v>
      </c>
      <c r="AA1642" s="616">
        <f t="shared" si="648"/>
        <v>1949.8</v>
      </c>
      <c r="AB1642" s="573"/>
      <c r="AC1642" s="697"/>
      <c r="AD1642" s="610" t="s">
        <v>6043</v>
      </c>
      <c r="AE1642" s="610" t="s">
        <v>82</v>
      </c>
      <c r="AF1642" s="610"/>
      <c r="AG1642" s="610"/>
      <c r="AH1642" s="609"/>
      <c r="AI1642" s="609">
        <v>2000</v>
      </c>
      <c r="AJ1642" s="610">
        <f t="shared" si="656"/>
        <v>0</v>
      </c>
      <c r="AK1642" s="613"/>
      <c r="AL1642" s="610" t="s">
        <v>2368</v>
      </c>
      <c r="AM1642" s="610"/>
      <c r="AN1642" s="554"/>
      <c r="AO1642" s="554">
        <f>I1642</f>
        <v>2000</v>
      </c>
      <c r="AP1642" s="554"/>
      <c r="AQ1642" s="554"/>
      <c r="AR1642" s="554"/>
      <c r="AS1642" s="554"/>
      <c r="AT1642" s="554">
        <f>I1642</f>
        <v>2000</v>
      </c>
      <c r="AU1642" s="554"/>
      <c r="AV1642" s="554">
        <f>I1642</f>
        <v>2000</v>
      </c>
      <c r="AW1642" s="554"/>
      <c r="AX1642" s="714"/>
      <c r="AY1642" s="554"/>
      <c r="AZ1642" s="554"/>
      <c r="BA1642" s="554"/>
      <c r="BB1642" s="620">
        <f t="shared" si="652"/>
        <v>83.3333333333333</v>
      </c>
      <c r="BC1642" s="554"/>
      <c r="BD1642" s="554"/>
      <c r="BE1642" s="554"/>
      <c r="BF1642" s="554"/>
      <c r="BG1642" s="550"/>
      <c r="BH1642" s="554"/>
      <c r="BI1642" s="554"/>
      <c r="BJ1642" s="554"/>
      <c r="BK1642" s="554"/>
      <c r="BL1642" s="554"/>
      <c r="BM1642" s="554"/>
      <c r="BN1642" s="554"/>
      <c r="BO1642" s="554"/>
      <c r="BP1642" s="554">
        <f>I1642/25</f>
        <v>80</v>
      </c>
      <c r="BQ1642" s="554"/>
      <c r="BR1642" s="554"/>
      <c r="BS1642" s="554"/>
      <c r="BT1642" s="554"/>
      <c r="BU1642" s="554"/>
      <c r="BV1642" s="554"/>
      <c r="BW1642" s="554"/>
      <c r="BX1642" s="554"/>
      <c r="BY1642" s="554"/>
      <c r="BZ1642" s="554"/>
      <c r="CA1642" s="720"/>
      <c r="CB1642" s="555"/>
      <c r="CC1642" s="721"/>
      <c r="CD1642" s="554"/>
      <c r="CE1642" s="554"/>
      <c r="CF1642" s="554"/>
      <c r="CG1642" s="554"/>
      <c r="CH1642" s="550"/>
      <c r="CI1642" s="554"/>
      <c r="CJ1642" s="554"/>
      <c r="CK1642" s="554"/>
      <c r="CL1642" s="554"/>
      <c r="CM1642" s="554"/>
      <c r="CN1642" s="554"/>
      <c r="CO1642" s="554"/>
      <c r="CP1642" s="619"/>
      <c r="CQ1642" s="619"/>
      <c r="CR1642" s="619"/>
      <c r="CS1642" s="619"/>
      <c r="CT1642" s="619"/>
      <c r="CU1642" s="554">
        <f t="shared" si="625"/>
        <v>80</v>
      </c>
      <c r="CV1642" s="554">
        <f t="shared" si="654"/>
        <v>0</v>
      </c>
      <c r="CW1642" s="554">
        <f t="shared" si="655"/>
        <v>0</v>
      </c>
      <c r="CX1642" s="619"/>
      <c r="CY1642" s="619"/>
      <c r="CZ1642" s="619"/>
      <c r="DA1642" s="619"/>
      <c r="DB1642" s="619"/>
      <c r="DC1642" s="619"/>
      <c r="DD1642" s="619"/>
      <c r="DE1642" s="619"/>
      <c r="DF1642" s="619"/>
      <c r="DG1642" s="619"/>
      <c r="DH1642" s="619"/>
    </row>
    <row r="1643" s="550" customFormat="1" ht="31" customHeight="1" spans="1:112">
      <c r="A1643" s="608">
        <v>46169</v>
      </c>
      <c r="B1643" s="609" t="s">
        <v>143</v>
      </c>
      <c r="C1643" s="610" t="s">
        <v>98</v>
      </c>
      <c r="D1643" s="727">
        <v>4500208737</v>
      </c>
      <c r="E1643" s="613">
        <v>999666845</v>
      </c>
      <c r="F1643" s="554" t="s">
        <v>10017</v>
      </c>
      <c r="G1643" s="610" t="s">
        <v>6063</v>
      </c>
      <c r="H1643" s="610" t="s">
        <v>6064</v>
      </c>
      <c r="I1643" s="715">
        <v>12480</v>
      </c>
      <c r="J1643" s="610">
        <v>0</v>
      </c>
      <c r="K1643" s="610">
        <v>16</v>
      </c>
      <c r="L1643" s="611">
        <f t="shared" si="626"/>
        <v>780</v>
      </c>
      <c r="M1643" s="612">
        <v>46216</v>
      </c>
      <c r="N1643" s="612">
        <v>46212</v>
      </c>
      <c r="O1643" s="737" t="s">
        <v>10018</v>
      </c>
      <c r="P1643" s="610" t="s">
        <v>113</v>
      </c>
      <c r="Q1643" s="614">
        <v>46237</v>
      </c>
      <c r="R1643" s="614" t="s">
        <v>9889</v>
      </c>
      <c r="S1643" s="614" t="s">
        <v>70</v>
      </c>
      <c r="T1643" s="614" t="s">
        <v>10019</v>
      </c>
      <c r="U1643" s="614"/>
      <c r="V1643" s="614"/>
      <c r="W1643" s="609"/>
      <c r="X1643" s="609" t="s">
        <v>10020</v>
      </c>
      <c r="Y1643" s="616" t="s">
        <v>4871</v>
      </c>
      <c r="Z1643" s="609">
        <v>0.6151</v>
      </c>
      <c r="AA1643" s="616">
        <f t="shared" ref="AA1643:AA1654" si="657">Z1643*I1643</f>
        <v>7676.448</v>
      </c>
      <c r="AB1643" s="573"/>
      <c r="AC1643" s="678" t="s">
        <v>10021</v>
      </c>
      <c r="AD1643" s="610" t="s">
        <v>6063</v>
      </c>
      <c r="AE1643" s="610" t="s">
        <v>82</v>
      </c>
      <c r="AF1643" s="610"/>
      <c r="AG1643" s="610"/>
      <c r="AH1643" s="609"/>
      <c r="AI1643" s="610">
        <v>12480</v>
      </c>
      <c r="AJ1643" s="610">
        <f t="shared" si="656"/>
        <v>0</v>
      </c>
      <c r="AK1643" s="613"/>
      <c r="AL1643" s="610" t="s">
        <v>2368</v>
      </c>
      <c r="AM1643" s="610"/>
      <c r="AN1643" s="554">
        <f t="shared" ref="AN1643:AN1649" si="658">I1643</f>
        <v>12480</v>
      </c>
      <c r="AO1643" s="554"/>
      <c r="AP1643" s="554">
        <f t="shared" ref="AP1643:AP1649" si="659">I1643</f>
        <v>12480</v>
      </c>
      <c r="AQ1643" s="554"/>
      <c r="AR1643" s="619"/>
      <c r="AS1643" s="554"/>
      <c r="AT1643" s="554"/>
      <c r="AU1643" s="554">
        <f t="shared" ref="AU1643:AU1649" si="660">I1643</f>
        <v>12480</v>
      </c>
      <c r="AV1643" s="554"/>
      <c r="AW1643" s="554"/>
      <c r="AX1643" s="714"/>
      <c r="AY1643" s="554"/>
      <c r="AZ1643" s="554"/>
      <c r="BA1643" s="554"/>
      <c r="BB1643" s="620">
        <f t="shared" ref="BB1643:BB1649" si="661">I1643/24</f>
        <v>520</v>
      </c>
      <c r="BC1643" s="554"/>
      <c r="BD1643" s="554"/>
      <c r="BE1643" s="554"/>
      <c r="BF1643" s="554"/>
      <c r="BG1643" s="550"/>
      <c r="BH1643" s="554"/>
      <c r="BI1643" s="554"/>
      <c r="BJ1643" s="554"/>
      <c r="BK1643" s="554"/>
      <c r="BL1643" s="554"/>
      <c r="BM1643" s="554"/>
      <c r="BN1643" s="554"/>
      <c r="BO1643" s="554"/>
      <c r="BP1643" s="554"/>
      <c r="BQ1643" s="554">
        <f t="shared" ref="BQ1643:BQ1649" si="662">I1643/16</f>
        <v>780</v>
      </c>
      <c r="BR1643" s="554"/>
      <c r="BS1643" s="554"/>
      <c r="BT1643" s="554"/>
      <c r="BU1643" s="554"/>
      <c r="BV1643" s="554"/>
      <c r="BW1643" s="554"/>
      <c r="BX1643" s="554"/>
      <c r="BY1643" s="554"/>
      <c r="BZ1643" s="554"/>
      <c r="CA1643" s="720"/>
      <c r="CB1643" s="555"/>
      <c r="CC1643" s="721"/>
      <c r="CD1643" s="554"/>
      <c r="CE1643" s="554"/>
      <c r="CF1643" s="554"/>
      <c r="CG1643" s="554"/>
      <c r="CH1643" s="550"/>
      <c r="CI1643" s="554"/>
      <c r="CJ1643" s="554"/>
      <c r="CK1643" s="554"/>
      <c r="CL1643" s="554"/>
      <c r="CM1643" s="554"/>
      <c r="CN1643" s="554"/>
      <c r="CO1643" s="554"/>
      <c r="CP1643" s="619"/>
      <c r="CQ1643" s="619"/>
      <c r="CR1643" s="554"/>
      <c r="CS1643" s="554"/>
      <c r="CT1643" s="554"/>
      <c r="CU1643" s="554">
        <f t="shared" si="625"/>
        <v>780</v>
      </c>
      <c r="CV1643" s="554">
        <f t="shared" ref="CV1643:CV1651" si="663">CK1643+CL1643+CM1643+CN1643+CO1643+CQ1643+CP1643</f>
        <v>0</v>
      </c>
      <c r="CW1643" s="554">
        <f t="shared" ref="CW1643:CW1651" si="664">CI1643+CJ1643</f>
        <v>0</v>
      </c>
      <c r="CX1643" s="619"/>
      <c r="CY1643" s="619"/>
      <c r="CZ1643" s="619"/>
      <c r="DA1643" s="619"/>
      <c r="DB1643" s="619"/>
      <c r="DC1643" s="619"/>
      <c r="DD1643" s="619"/>
      <c r="DE1643" s="619"/>
      <c r="DF1643" s="619"/>
      <c r="DG1643" s="619"/>
      <c r="DH1643" s="619"/>
    </row>
    <row r="1644" s="550" customFormat="1" ht="31" customHeight="1" spans="1:112">
      <c r="A1644" s="608">
        <v>46169</v>
      </c>
      <c r="B1644" s="609" t="s">
        <v>143</v>
      </c>
      <c r="C1644" s="610" t="s">
        <v>98</v>
      </c>
      <c r="D1644" s="727">
        <v>4500208737</v>
      </c>
      <c r="E1644" s="613">
        <v>999666854</v>
      </c>
      <c r="F1644" s="554" t="s">
        <v>10022</v>
      </c>
      <c r="G1644" s="610" t="s">
        <v>6063</v>
      </c>
      <c r="H1644" s="610" t="s">
        <v>6064</v>
      </c>
      <c r="I1644" s="715">
        <v>6720</v>
      </c>
      <c r="J1644" s="610">
        <v>0</v>
      </c>
      <c r="K1644" s="610">
        <v>16</v>
      </c>
      <c r="L1644" s="611">
        <f t="shared" si="626"/>
        <v>420</v>
      </c>
      <c r="M1644" s="612">
        <v>46216</v>
      </c>
      <c r="N1644" s="612">
        <v>46212</v>
      </c>
      <c r="O1644" s="737" t="s">
        <v>10018</v>
      </c>
      <c r="P1644" s="610" t="s">
        <v>113</v>
      </c>
      <c r="Q1644" s="614"/>
      <c r="R1644" s="614" t="s">
        <v>9889</v>
      </c>
      <c r="S1644" s="614" t="s">
        <v>70</v>
      </c>
      <c r="T1644" s="614" t="s">
        <v>10019</v>
      </c>
      <c r="U1644" s="614"/>
      <c r="V1644" s="614"/>
      <c r="W1644" s="609"/>
      <c r="X1644" s="609" t="s">
        <v>10020</v>
      </c>
      <c r="Y1644" s="616" t="s">
        <v>4871</v>
      </c>
      <c r="Z1644" s="609">
        <v>0.6184</v>
      </c>
      <c r="AA1644" s="616">
        <f t="shared" si="657"/>
        <v>4155.648</v>
      </c>
      <c r="AB1644" s="573"/>
      <c r="AC1644" s="637" t="s">
        <v>10023</v>
      </c>
      <c r="AD1644" s="610" t="s">
        <v>6063</v>
      </c>
      <c r="AE1644" s="610" t="s">
        <v>82</v>
      </c>
      <c r="AF1644" s="610"/>
      <c r="AG1644" s="610"/>
      <c r="AH1644" s="609"/>
      <c r="AI1644" s="610">
        <v>6720</v>
      </c>
      <c r="AJ1644" s="610">
        <f t="shared" si="656"/>
        <v>0</v>
      </c>
      <c r="AK1644" s="613"/>
      <c r="AL1644" s="610" t="s">
        <v>2368</v>
      </c>
      <c r="AM1644" s="610"/>
      <c r="AN1644" s="554">
        <f t="shared" si="658"/>
        <v>6720</v>
      </c>
      <c r="AO1644" s="554"/>
      <c r="AP1644" s="554">
        <f t="shared" si="659"/>
        <v>6720</v>
      </c>
      <c r="AQ1644" s="554"/>
      <c r="AR1644" s="619"/>
      <c r="AS1644" s="554"/>
      <c r="AT1644" s="554"/>
      <c r="AU1644" s="554">
        <f t="shared" si="660"/>
        <v>6720</v>
      </c>
      <c r="AV1644" s="554"/>
      <c r="AW1644" s="554"/>
      <c r="AX1644" s="714"/>
      <c r="AY1644" s="554"/>
      <c r="AZ1644" s="554"/>
      <c r="BA1644" s="554"/>
      <c r="BB1644" s="620">
        <f t="shared" si="661"/>
        <v>280</v>
      </c>
      <c r="BC1644" s="554"/>
      <c r="BD1644" s="554"/>
      <c r="BE1644" s="554"/>
      <c r="BF1644" s="554"/>
      <c r="BG1644" s="550"/>
      <c r="BH1644" s="554"/>
      <c r="BI1644" s="554"/>
      <c r="BJ1644" s="554"/>
      <c r="BK1644" s="554"/>
      <c r="BL1644" s="554"/>
      <c r="BM1644" s="554"/>
      <c r="BN1644" s="554"/>
      <c r="BO1644" s="554"/>
      <c r="BP1644" s="554"/>
      <c r="BQ1644" s="554">
        <f t="shared" si="662"/>
        <v>420</v>
      </c>
      <c r="BR1644" s="554"/>
      <c r="BS1644" s="554"/>
      <c r="BT1644" s="554"/>
      <c r="BU1644" s="554"/>
      <c r="BV1644" s="554"/>
      <c r="BW1644" s="554"/>
      <c r="BX1644" s="554"/>
      <c r="BY1644" s="554"/>
      <c r="BZ1644" s="554"/>
      <c r="CA1644" s="720"/>
      <c r="CB1644" s="555"/>
      <c r="CC1644" s="721"/>
      <c r="CD1644" s="554"/>
      <c r="CE1644" s="554"/>
      <c r="CF1644" s="554"/>
      <c r="CG1644" s="554"/>
      <c r="CH1644" s="550"/>
      <c r="CI1644" s="554"/>
      <c r="CJ1644" s="554"/>
      <c r="CK1644" s="554"/>
      <c r="CL1644" s="554"/>
      <c r="CM1644" s="554"/>
      <c r="CN1644" s="554"/>
      <c r="CO1644" s="554"/>
      <c r="CP1644" s="619"/>
      <c r="CQ1644" s="619"/>
      <c r="CR1644" s="554"/>
      <c r="CS1644" s="554"/>
      <c r="CT1644" s="554"/>
      <c r="CU1644" s="554">
        <f t="shared" ref="CU1644:CU1655" si="665">BQ1644+BP1644+BO1644+BN1644+BX1644+BR1644</f>
        <v>420</v>
      </c>
      <c r="CV1644" s="554">
        <f t="shared" si="663"/>
        <v>0</v>
      </c>
      <c r="CW1644" s="554">
        <f t="shared" si="664"/>
        <v>0</v>
      </c>
      <c r="CX1644" s="619"/>
      <c r="CY1644" s="619"/>
      <c r="CZ1644" s="619"/>
      <c r="DA1644" s="619"/>
      <c r="DB1644" s="619"/>
      <c r="DC1644" s="619"/>
      <c r="DD1644" s="619"/>
      <c r="DE1644" s="619"/>
      <c r="DF1644" s="619"/>
      <c r="DG1644" s="619"/>
      <c r="DH1644" s="619"/>
    </row>
    <row r="1645" s="550" customFormat="1" ht="31" customHeight="1" spans="1:112">
      <c r="A1645" s="608">
        <v>46169</v>
      </c>
      <c r="B1645" s="609" t="s">
        <v>143</v>
      </c>
      <c r="C1645" s="610" t="s">
        <v>98</v>
      </c>
      <c r="D1645" s="727">
        <v>4500208737</v>
      </c>
      <c r="E1645" s="613">
        <v>999666858</v>
      </c>
      <c r="F1645" s="554" t="s">
        <v>10024</v>
      </c>
      <c r="G1645" s="610" t="s">
        <v>6063</v>
      </c>
      <c r="H1645" s="610" t="s">
        <v>6064</v>
      </c>
      <c r="I1645" s="715">
        <v>6720</v>
      </c>
      <c r="J1645" s="610">
        <v>0</v>
      </c>
      <c r="K1645" s="610">
        <v>16</v>
      </c>
      <c r="L1645" s="611">
        <f t="shared" si="626"/>
        <v>420</v>
      </c>
      <c r="M1645" s="612">
        <v>46216</v>
      </c>
      <c r="N1645" s="612">
        <v>46212</v>
      </c>
      <c r="O1645" s="737" t="s">
        <v>10018</v>
      </c>
      <c r="P1645" s="610" t="s">
        <v>113</v>
      </c>
      <c r="Q1645" s="614"/>
      <c r="R1645" s="614" t="s">
        <v>9889</v>
      </c>
      <c r="S1645" s="614" t="s">
        <v>70</v>
      </c>
      <c r="T1645" s="614" t="s">
        <v>10019</v>
      </c>
      <c r="U1645" s="614"/>
      <c r="V1645" s="614"/>
      <c r="W1645" s="609"/>
      <c r="X1645" s="609" t="s">
        <v>10020</v>
      </c>
      <c r="Y1645" s="616" t="s">
        <v>4871</v>
      </c>
      <c r="Z1645" s="609">
        <v>0.6184</v>
      </c>
      <c r="AA1645" s="616">
        <f t="shared" si="657"/>
        <v>4155.648</v>
      </c>
      <c r="AB1645" s="573"/>
      <c r="AC1645" s="637" t="s">
        <v>10023</v>
      </c>
      <c r="AD1645" s="610" t="s">
        <v>6063</v>
      </c>
      <c r="AE1645" s="610" t="s">
        <v>82</v>
      </c>
      <c r="AF1645" s="610"/>
      <c r="AG1645" s="610"/>
      <c r="AH1645" s="609"/>
      <c r="AI1645" s="610">
        <v>6720</v>
      </c>
      <c r="AJ1645" s="610">
        <f t="shared" si="656"/>
        <v>0</v>
      </c>
      <c r="AK1645" s="613"/>
      <c r="AL1645" s="610" t="s">
        <v>2368</v>
      </c>
      <c r="AM1645" s="610"/>
      <c r="AN1645" s="554">
        <f t="shared" si="658"/>
        <v>6720</v>
      </c>
      <c r="AO1645" s="554"/>
      <c r="AP1645" s="554">
        <f t="shared" si="659"/>
        <v>6720</v>
      </c>
      <c r="AQ1645" s="554"/>
      <c r="AR1645" s="619"/>
      <c r="AS1645" s="554"/>
      <c r="AT1645" s="554"/>
      <c r="AU1645" s="554">
        <f t="shared" si="660"/>
        <v>6720</v>
      </c>
      <c r="AV1645" s="554"/>
      <c r="AW1645" s="554"/>
      <c r="AX1645" s="714"/>
      <c r="AY1645" s="554"/>
      <c r="AZ1645" s="554"/>
      <c r="BA1645" s="554"/>
      <c r="BB1645" s="620">
        <f t="shared" si="661"/>
        <v>280</v>
      </c>
      <c r="BC1645" s="554"/>
      <c r="BD1645" s="554"/>
      <c r="BE1645" s="554"/>
      <c r="BF1645" s="554"/>
      <c r="BG1645" s="550"/>
      <c r="BH1645" s="554"/>
      <c r="BI1645" s="554"/>
      <c r="BJ1645" s="554"/>
      <c r="BK1645" s="554"/>
      <c r="BL1645" s="554"/>
      <c r="BM1645" s="554"/>
      <c r="BN1645" s="554"/>
      <c r="BO1645" s="554"/>
      <c r="BP1645" s="554"/>
      <c r="BQ1645" s="554">
        <f t="shared" si="662"/>
        <v>420</v>
      </c>
      <c r="BR1645" s="554"/>
      <c r="BS1645" s="554"/>
      <c r="BT1645" s="554"/>
      <c r="BU1645" s="554"/>
      <c r="BV1645" s="554"/>
      <c r="BW1645" s="554"/>
      <c r="BX1645" s="554"/>
      <c r="BY1645" s="554"/>
      <c r="BZ1645" s="554"/>
      <c r="CA1645" s="720"/>
      <c r="CB1645" s="555"/>
      <c r="CC1645" s="721"/>
      <c r="CD1645" s="554"/>
      <c r="CE1645" s="554"/>
      <c r="CF1645" s="554"/>
      <c r="CG1645" s="554"/>
      <c r="CH1645" s="550"/>
      <c r="CI1645" s="554"/>
      <c r="CJ1645" s="554"/>
      <c r="CK1645" s="554"/>
      <c r="CL1645" s="554"/>
      <c r="CM1645" s="554"/>
      <c r="CN1645" s="554"/>
      <c r="CO1645" s="554"/>
      <c r="CP1645" s="619"/>
      <c r="CQ1645" s="619"/>
      <c r="CR1645" s="554"/>
      <c r="CS1645" s="554"/>
      <c r="CT1645" s="554"/>
      <c r="CU1645" s="554">
        <f t="shared" si="665"/>
        <v>420</v>
      </c>
      <c r="CV1645" s="554">
        <f t="shared" si="663"/>
        <v>0</v>
      </c>
      <c r="CW1645" s="554">
        <f t="shared" si="664"/>
        <v>0</v>
      </c>
      <c r="CX1645" s="619"/>
      <c r="CY1645" s="619"/>
      <c r="CZ1645" s="619"/>
      <c r="DA1645" s="619"/>
      <c r="DB1645" s="619"/>
      <c r="DC1645" s="619"/>
      <c r="DD1645" s="619"/>
      <c r="DE1645" s="619"/>
      <c r="DF1645" s="619"/>
      <c r="DG1645" s="619"/>
      <c r="DH1645" s="619"/>
    </row>
    <row r="1646" s="550" customFormat="1" ht="31" customHeight="1" spans="1:112">
      <c r="A1646" s="608">
        <v>46169</v>
      </c>
      <c r="B1646" s="609" t="s">
        <v>143</v>
      </c>
      <c r="C1646" s="610" t="s">
        <v>98</v>
      </c>
      <c r="D1646" s="727">
        <v>4500208737</v>
      </c>
      <c r="E1646" s="613">
        <v>999666958</v>
      </c>
      <c r="F1646" s="554" t="s">
        <v>10025</v>
      </c>
      <c r="G1646" s="610" t="s">
        <v>6063</v>
      </c>
      <c r="H1646" s="610" t="s">
        <v>6064</v>
      </c>
      <c r="I1646" s="715">
        <v>8640</v>
      </c>
      <c r="J1646" s="610">
        <v>0</v>
      </c>
      <c r="K1646" s="610">
        <v>16</v>
      </c>
      <c r="L1646" s="611">
        <f t="shared" si="626"/>
        <v>540</v>
      </c>
      <c r="M1646" s="612">
        <v>46216</v>
      </c>
      <c r="N1646" s="612">
        <v>46212</v>
      </c>
      <c r="O1646" s="737" t="s">
        <v>10018</v>
      </c>
      <c r="P1646" s="610" t="s">
        <v>113</v>
      </c>
      <c r="Q1646" s="614"/>
      <c r="R1646" s="614" t="s">
        <v>9889</v>
      </c>
      <c r="S1646" s="614" t="s">
        <v>70</v>
      </c>
      <c r="T1646" s="614" t="s">
        <v>10019</v>
      </c>
      <c r="U1646" s="614"/>
      <c r="V1646" s="614"/>
      <c r="W1646" s="609"/>
      <c r="X1646" s="609" t="s">
        <v>10020</v>
      </c>
      <c r="Y1646" s="616" t="s">
        <v>4871</v>
      </c>
      <c r="Z1646" s="609">
        <v>0.6184</v>
      </c>
      <c r="AA1646" s="616">
        <f t="shared" si="657"/>
        <v>5342.976</v>
      </c>
      <c r="AB1646" s="573"/>
      <c r="AC1646" s="678" t="s">
        <v>10026</v>
      </c>
      <c r="AD1646" s="610" t="s">
        <v>6063</v>
      </c>
      <c r="AE1646" s="610" t="s">
        <v>82</v>
      </c>
      <c r="AF1646" s="610"/>
      <c r="AG1646" s="610"/>
      <c r="AH1646" s="609"/>
      <c r="AI1646" s="610">
        <v>8640</v>
      </c>
      <c r="AJ1646" s="610">
        <f t="shared" si="656"/>
        <v>0</v>
      </c>
      <c r="AK1646" s="613"/>
      <c r="AL1646" s="610" t="s">
        <v>2368</v>
      </c>
      <c r="AM1646" s="610"/>
      <c r="AN1646" s="554">
        <f t="shared" si="658"/>
        <v>8640</v>
      </c>
      <c r="AO1646" s="554"/>
      <c r="AP1646" s="554">
        <f t="shared" si="659"/>
        <v>8640</v>
      </c>
      <c r="AQ1646" s="554"/>
      <c r="AR1646" s="619"/>
      <c r="AS1646" s="554"/>
      <c r="AT1646" s="554"/>
      <c r="AU1646" s="554">
        <f t="shared" si="660"/>
        <v>8640</v>
      </c>
      <c r="AV1646" s="554"/>
      <c r="AW1646" s="554"/>
      <c r="AX1646" s="714"/>
      <c r="AY1646" s="554"/>
      <c r="AZ1646" s="554"/>
      <c r="BA1646" s="554"/>
      <c r="BB1646" s="620">
        <f t="shared" si="661"/>
        <v>360</v>
      </c>
      <c r="BC1646" s="554"/>
      <c r="BD1646" s="554"/>
      <c r="BE1646" s="554"/>
      <c r="BF1646" s="554"/>
      <c r="BG1646" s="550"/>
      <c r="BH1646" s="554"/>
      <c r="BI1646" s="554"/>
      <c r="BJ1646" s="554"/>
      <c r="BK1646" s="554"/>
      <c r="BL1646" s="554"/>
      <c r="BM1646" s="554"/>
      <c r="BN1646" s="554"/>
      <c r="BO1646" s="554"/>
      <c r="BP1646" s="554"/>
      <c r="BQ1646" s="554">
        <f t="shared" si="662"/>
        <v>540</v>
      </c>
      <c r="BR1646" s="554"/>
      <c r="BS1646" s="554"/>
      <c r="BT1646" s="554"/>
      <c r="BU1646" s="554"/>
      <c r="BV1646" s="554"/>
      <c r="BW1646" s="554"/>
      <c r="BX1646" s="554"/>
      <c r="BY1646" s="554"/>
      <c r="BZ1646" s="554"/>
      <c r="CA1646" s="720"/>
      <c r="CB1646" s="555"/>
      <c r="CC1646" s="721"/>
      <c r="CD1646" s="554"/>
      <c r="CE1646" s="554"/>
      <c r="CF1646" s="554"/>
      <c r="CG1646" s="554"/>
      <c r="CH1646" s="550"/>
      <c r="CI1646" s="554"/>
      <c r="CJ1646" s="554"/>
      <c r="CK1646" s="554"/>
      <c r="CL1646" s="554"/>
      <c r="CM1646" s="554"/>
      <c r="CN1646" s="554"/>
      <c r="CO1646" s="554"/>
      <c r="CP1646" s="619"/>
      <c r="CQ1646" s="619"/>
      <c r="CR1646" s="554"/>
      <c r="CS1646" s="554"/>
      <c r="CT1646" s="554"/>
      <c r="CU1646" s="554">
        <f t="shared" si="665"/>
        <v>540</v>
      </c>
      <c r="CV1646" s="554">
        <f t="shared" si="663"/>
        <v>0</v>
      </c>
      <c r="CW1646" s="554">
        <f t="shared" si="664"/>
        <v>0</v>
      </c>
      <c r="CX1646" s="619"/>
      <c r="CY1646" s="619"/>
      <c r="CZ1646" s="619"/>
      <c r="DA1646" s="619"/>
      <c r="DB1646" s="619"/>
      <c r="DC1646" s="619"/>
      <c r="DD1646" s="619"/>
      <c r="DE1646" s="619"/>
      <c r="DF1646" s="619"/>
      <c r="DG1646" s="619"/>
      <c r="DH1646" s="619"/>
    </row>
    <row r="1647" s="550" customFormat="1" ht="31" customHeight="1" spans="1:112">
      <c r="A1647" s="608">
        <v>46169</v>
      </c>
      <c r="B1647" s="609" t="s">
        <v>143</v>
      </c>
      <c r="C1647" s="610" t="s">
        <v>98</v>
      </c>
      <c r="D1647" s="727">
        <v>4500208737</v>
      </c>
      <c r="E1647" s="613">
        <v>999666959</v>
      </c>
      <c r="F1647" s="554" t="s">
        <v>10027</v>
      </c>
      <c r="G1647" s="610" t="s">
        <v>6063</v>
      </c>
      <c r="H1647" s="610" t="s">
        <v>6064</v>
      </c>
      <c r="I1647" s="715">
        <v>6720</v>
      </c>
      <c r="J1647" s="610">
        <v>0</v>
      </c>
      <c r="K1647" s="610">
        <v>16</v>
      </c>
      <c r="L1647" s="611">
        <f t="shared" si="626"/>
        <v>420</v>
      </c>
      <c r="M1647" s="612">
        <v>46216</v>
      </c>
      <c r="N1647" s="612">
        <v>46212</v>
      </c>
      <c r="O1647" s="737" t="s">
        <v>10018</v>
      </c>
      <c r="P1647" s="610" t="s">
        <v>113</v>
      </c>
      <c r="Q1647" s="614"/>
      <c r="R1647" s="614" t="s">
        <v>9889</v>
      </c>
      <c r="S1647" s="614" t="s">
        <v>70</v>
      </c>
      <c r="T1647" s="614" t="s">
        <v>10019</v>
      </c>
      <c r="U1647" s="614"/>
      <c r="V1647" s="614"/>
      <c r="W1647" s="609"/>
      <c r="X1647" s="609" t="s">
        <v>10020</v>
      </c>
      <c r="Y1647" s="616" t="s">
        <v>4871</v>
      </c>
      <c r="Z1647" s="609">
        <v>0.6184</v>
      </c>
      <c r="AA1647" s="616">
        <f t="shared" si="657"/>
        <v>4155.648</v>
      </c>
      <c r="AB1647" s="573"/>
      <c r="AC1647" s="637" t="s">
        <v>10023</v>
      </c>
      <c r="AD1647" s="610" t="s">
        <v>6063</v>
      </c>
      <c r="AE1647" s="610" t="s">
        <v>82</v>
      </c>
      <c r="AF1647" s="610"/>
      <c r="AG1647" s="610"/>
      <c r="AH1647" s="609"/>
      <c r="AI1647" s="610">
        <v>6720</v>
      </c>
      <c r="AJ1647" s="610">
        <f t="shared" si="656"/>
        <v>0</v>
      </c>
      <c r="AK1647" s="613"/>
      <c r="AL1647" s="610" t="s">
        <v>2368</v>
      </c>
      <c r="AM1647" s="610"/>
      <c r="AN1647" s="554">
        <f t="shared" si="658"/>
        <v>6720</v>
      </c>
      <c r="AO1647" s="554"/>
      <c r="AP1647" s="554">
        <f t="shared" si="659"/>
        <v>6720</v>
      </c>
      <c r="AQ1647" s="554"/>
      <c r="AR1647" s="619"/>
      <c r="AS1647" s="554"/>
      <c r="AT1647" s="554"/>
      <c r="AU1647" s="554">
        <f t="shared" si="660"/>
        <v>6720</v>
      </c>
      <c r="AV1647" s="554"/>
      <c r="AW1647" s="554"/>
      <c r="AX1647" s="714"/>
      <c r="AY1647" s="554"/>
      <c r="AZ1647" s="554"/>
      <c r="BA1647" s="554"/>
      <c r="BB1647" s="620">
        <f t="shared" si="661"/>
        <v>280</v>
      </c>
      <c r="BC1647" s="554"/>
      <c r="BD1647" s="554"/>
      <c r="BE1647" s="554"/>
      <c r="BF1647" s="554"/>
      <c r="BG1647" s="550"/>
      <c r="BH1647" s="554"/>
      <c r="BI1647" s="554"/>
      <c r="BJ1647" s="554"/>
      <c r="BK1647" s="554"/>
      <c r="BL1647" s="554"/>
      <c r="BM1647" s="554"/>
      <c r="BN1647" s="554"/>
      <c r="BO1647" s="554"/>
      <c r="BP1647" s="554"/>
      <c r="BQ1647" s="554">
        <f t="shared" si="662"/>
        <v>420</v>
      </c>
      <c r="BR1647" s="554"/>
      <c r="BS1647" s="554"/>
      <c r="BT1647" s="554"/>
      <c r="BU1647" s="554"/>
      <c r="BV1647" s="554"/>
      <c r="BW1647" s="554"/>
      <c r="BX1647" s="554"/>
      <c r="BY1647" s="554"/>
      <c r="BZ1647" s="554"/>
      <c r="CA1647" s="720"/>
      <c r="CB1647" s="555"/>
      <c r="CC1647" s="721"/>
      <c r="CD1647" s="554"/>
      <c r="CE1647" s="554"/>
      <c r="CF1647" s="554"/>
      <c r="CG1647" s="554"/>
      <c r="CH1647" s="550"/>
      <c r="CI1647" s="554"/>
      <c r="CJ1647" s="554"/>
      <c r="CK1647" s="554"/>
      <c r="CL1647" s="554"/>
      <c r="CM1647" s="554"/>
      <c r="CN1647" s="554"/>
      <c r="CO1647" s="554"/>
      <c r="CP1647" s="619"/>
      <c r="CQ1647" s="619"/>
      <c r="CR1647" s="554"/>
      <c r="CS1647" s="554"/>
      <c r="CT1647" s="554"/>
      <c r="CU1647" s="554">
        <f t="shared" si="665"/>
        <v>420</v>
      </c>
      <c r="CV1647" s="554">
        <f t="shared" si="663"/>
        <v>0</v>
      </c>
      <c r="CW1647" s="554">
        <f t="shared" si="664"/>
        <v>0</v>
      </c>
      <c r="CX1647" s="619"/>
      <c r="CY1647" s="619"/>
      <c r="CZ1647" s="619"/>
      <c r="DA1647" s="619"/>
      <c r="DB1647" s="619"/>
      <c r="DC1647" s="619"/>
      <c r="DD1647" s="619"/>
      <c r="DE1647" s="619"/>
      <c r="DF1647" s="619"/>
      <c r="DG1647" s="619"/>
      <c r="DH1647" s="619"/>
    </row>
    <row r="1648" s="550" customFormat="1" ht="31" customHeight="1" spans="1:112">
      <c r="A1648" s="608">
        <v>46169</v>
      </c>
      <c r="B1648" s="609" t="s">
        <v>143</v>
      </c>
      <c r="C1648" s="610" t="s">
        <v>98</v>
      </c>
      <c r="D1648" s="727">
        <v>4500208737</v>
      </c>
      <c r="E1648" s="613">
        <v>999666975</v>
      </c>
      <c r="F1648" s="554" t="s">
        <v>10028</v>
      </c>
      <c r="G1648" s="610" t="s">
        <v>6063</v>
      </c>
      <c r="H1648" s="610" t="s">
        <v>6064</v>
      </c>
      <c r="I1648" s="715">
        <v>6720</v>
      </c>
      <c r="J1648" s="610">
        <v>0</v>
      </c>
      <c r="K1648" s="610">
        <v>16</v>
      </c>
      <c r="L1648" s="611">
        <f t="shared" si="626"/>
        <v>420</v>
      </c>
      <c r="M1648" s="612">
        <v>46216</v>
      </c>
      <c r="N1648" s="612">
        <v>46212</v>
      </c>
      <c r="O1648" s="737" t="s">
        <v>10018</v>
      </c>
      <c r="P1648" s="610" t="s">
        <v>113</v>
      </c>
      <c r="Q1648" s="614"/>
      <c r="R1648" s="614" t="s">
        <v>9889</v>
      </c>
      <c r="S1648" s="614" t="s">
        <v>70</v>
      </c>
      <c r="T1648" s="614" t="s">
        <v>10019</v>
      </c>
      <c r="U1648" s="614"/>
      <c r="V1648" s="614"/>
      <c r="W1648" s="609"/>
      <c r="X1648" s="609" t="s">
        <v>10020</v>
      </c>
      <c r="Y1648" s="616" t="s">
        <v>4871</v>
      </c>
      <c r="Z1648" s="609">
        <v>0.6301</v>
      </c>
      <c r="AA1648" s="616">
        <f t="shared" si="657"/>
        <v>4234.272</v>
      </c>
      <c r="AB1648" s="573"/>
      <c r="AC1648" s="637" t="s">
        <v>10023</v>
      </c>
      <c r="AD1648" s="610" t="s">
        <v>6063</v>
      </c>
      <c r="AE1648" s="610" t="s">
        <v>82</v>
      </c>
      <c r="AF1648" s="610"/>
      <c r="AG1648" s="610"/>
      <c r="AH1648" s="609"/>
      <c r="AI1648" s="610">
        <v>6720</v>
      </c>
      <c r="AJ1648" s="610">
        <f t="shared" si="656"/>
        <v>0</v>
      </c>
      <c r="AK1648" s="613"/>
      <c r="AL1648" s="610" t="s">
        <v>2368</v>
      </c>
      <c r="AM1648" s="610"/>
      <c r="AN1648" s="554">
        <f t="shared" si="658"/>
        <v>6720</v>
      </c>
      <c r="AO1648" s="554"/>
      <c r="AP1648" s="554">
        <f t="shared" si="659"/>
        <v>6720</v>
      </c>
      <c r="AQ1648" s="554"/>
      <c r="AR1648" s="619"/>
      <c r="AS1648" s="554"/>
      <c r="AT1648" s="554"/>
      <c r="AU1648" s="554">
        <f t="shared" si="660"/>
        <v>6720</v>
      </c>
      <c r="AV1648" s="554"/>
      <c r="AW1648" s="554"/>
      <c r="AX1648" s="714"/>
      <c r="AY1648" s="554"/>
      <c r="AZ1648" s="554"/>
      <c r="BA1648" s="554"/>
      <c r="BB1648" s="620">
        <f t="shared" si="661"/>
        <v>280</v>
      </c>
      <c r="BC1648" s="554"/>
      <c r="BD1648" s="554"/>
      <c r="BE1648" s="554"/>
      <c r="BF1648" s="554"/>
      <c r="BG1648" s="550"/>
      <c r="BH1648" s="554"/>
      <c r="BI1648" s="554"/>
      <c r="BJ1648" s="554"/>
      <c r="BK1648" s="554"/>
      <c r="BL1648" s="554"/>
      <c r="BM1648" s="554"/>
      <c r="BN1648" s="554"/>
      <c r="BO1648" s="554"/>
      <c r="BP1648" s="554"/>
      <c r="BQ1648" s="554">
        <f t="shared" si="662"/>
        <v>420</v>
      </c>
      <c r="BR1648" s="554"/>
      <c r="BS1648" s="554"/>
      <c r="BT1648" s="554"/>
      <c r="BU1648" s="554"/>
      <c r="BV1648" s="554"/>
      <c r="BW1648" s="554"/>
      <c r="BX1648" s="554"/>
      <c r="BY1648" s="554"/>
      <c r="BZ1648" s="554"/>
      <c r="CA1648" s="720"/>
      <c r="CB1648" s="555"/>
      <c r="CC1648" s="721"/>
      <c r="CD1648" s="554"/>
      <c r="CE1648" s="554"/>
      <c r="CF1648" s="554"/>
      <c r="CG1648" s="554"/>
      <c r="CH1648" s="550"/>
      <c r="CI1648" s="554"/>
      <c r="CJ1648" s="554"/>
      <c r="CK1648" s="554"/>
      <c r="CL1648" s="554"/>
      <c r="CM1648" s="554"/>
      <c r="CN1648" s="554"/>
      <c r="CO1648" s="554"/>
      <c r="CP1648" s="619"/>
      <c r="CQ1648" s="619"/>
      <c r="CR1648" s="554"/>
      <c r="CS1648" s="554"/>
      <c r="CT1648" s="554"/>
      <c r="CU1648" s="554">
        <f t="shared" si="665"/>
        <v>420</v>
      </c>
      <c r="CV1648" s="554">
        <f t="shared" si="663"/>
        <v>0</v>
      </c>
      <c r="CW1648" s="554">
        <f t="shared" si="664"/>
        <v>0</v>
      </c>
      <c r="CX1648" s="619"/>
      <c r="CY1648" s="619"/>
      <c r="CZ1648" s="619"/>
      <c r="DA1648" s="619"/>
      <c r="DB1648" s="619"/>
      <c r="DC1648" s="619"/>
      <c r="DD1648" s="619"/>
      <c r="DE1648" s="619"/>
      <c r="DF1648" s="619"/>
      <c r="DG1648" s="619"/>
      <c r="DH1648" s="619"/>
    </row>
    <row r="1649" s="550" customFormat="1" ht="31" customHeight="1" spans="1:113">
      <c r="A1649" s="608">
        <v>46169</v>
      </c>
      <c r="B1649" s="609" t="s">
        <v>143</v>
      </c>
      <c r="C1649" s="610" t="s">
        <v>98</v>
      </c>
      <c r="D1649" s="727">
        <v>4500208737</v>
      </c>
      <c r="E1649" s="613">
        <v>999666982</v>
      </c>
      <c r="F1649" s="554" t="s">
        <v>10029</v>
      </c>
      <c r="G1649" s="610" t="s">
        <v>6063</v>
      </c>
      <c r="H1649" s="610" t="s">
        <v>6064</v>
      </c>
      <c r="I1649" s="715">
        <v>5760</v>
      </c>
      <c r="J1649" s="610">
        <v>0</v>
      </c>
      <c r="K1649" s="610">
        <v>16</v>
      </c>
      <c r="L1649" s="611">
        <f t="shared" ref="L1649:L1655" si="666">I1649/K1649</f>
        <v>360</v>
      </c>
      <c r="M1649" s="612">
        <v>46216</v>
      </c>
      <c r="N1649" s="612">
        <v>46212</v>
      </c>
      <c r="O1649" s="737" t="s">
        <v>10018</v>
      </c>
      <c r="P1649" s="610" t="s">
        <v>113</v>
      </c>
      <c r="Q1649" s="614">
        <v>46234</v>
      </c>
      <c r="R1649" s="614" t="s">
        <v>9889</v>
      </c>
      <c r="S1649" s="614" t="s">
        <v>70</v>
      </c>
      <c r="T1649" s="614" t="s">
        <v>10019</v>
      </c>
      <c r="U1649" s="614"/>
      <c r="V1649" s="614"/>
      <c r="W1649" s="609"/>
      <c r="X1649" s="609" t="s">
        <v>10020</v>
      </c>
      <c r="Y1649" s="616" t="s">
        <v>4871</v>
      </c>
      <c r="Z1649" s="609">
        <v>0.6184</v>
      </c>
      <c r="AA1649" s="616">
        <f t="shared" si="657"/>
        <v>3561.984</v>
      </c>
      <c r="AB1649" s="573"/>
      <c r="AC1649" s="678" t="s">
        <v>10030</v>
      </c>
      <c r="AD1649" s="610" t="s">
        <v>6063</v>
      </c>
      <c r="AE1649" s="610" t="s">
        <v>82</v>
      </c>
      <c r="AF1649" s="610"/>
      <c r="AG1649" s="610"/>
      <c r="AH1649" s="609"/>
      <c r="AI1649" s="610">
        <v>5760</v>
      </c>
      <c r="AJ1649" s="610">
        <f t="shared" si="656"/>
        <v>0</v>
      </c>
      <c r="AK1649" s="613"/>
      <c r="AL1649" s="610" t="s">
        <v>2368</v>
      </c>
      <c r="AM1649" s="610"/>
      <c r="AN1649" s="554">
        <f t="shared" si="658"/>
        <v>5760</v>
      </c>
      <c r="AO1649" s="554"/>
      <c r="AP1649" s="554">
        <f t="shared" si="659"/>
        <v>5760</v>
      </c>
      <c r="AQ1649" s="554"/>
      <c r="AR1649" s="619"/>
      <c r="AS1649" s="554"/>
      <c r="AT1649" s="554"/>
      <c r="AU1649" s="554">
        <f t="shared" si="660"/>
        <v>5760</v>
      </c>
      <c r="AV1649" s="554"/>
      <c r="AW1649" s="554"/>
      <c r="AX1649" s="714"/>
      <c r="AY1649" s="554"/>
      <c r="AZ1649" s="554"/>
      <c r="BA1649" s="554"/>
      <c r="BB1649" s="620">
        <f t="shared" si="661"/>
        <v>240</v>
      </c>
      <c r="BC1649" s="554"/>
      <c r="BD1649" s="554"/>
      <c r="BE1649" s="554"/>
      <c r="BF1649" s="554"/>
      <c r="BG1649" s="550"/>
      <c r="BH1649" s="554"/>
      <c r="BI1649" s="554"/>
      <c r="BJ1649" s="554"/>
      <c r="BK1649" s="554"/>
      <c r="BL1649" s="554"/>
      <c r="BM1649" s="554"/>
      <c r="BN1649" s="554"/>
      <c r="BO1649" s="554"/>
      <c r="BP1649" s="554"/>
      <c r="BQ1649" s="554">
        <f t="shared" si="662"/>
        <v>360</v>
      </c>
      <c r="BR1649" s="554"/>
      <c r="BS1649" s="554"/>
      <c r="BT1649" s="554"/>
      <c r="BU1649" s="554"/>
      <c r="BV1649" s="554"/>
      <c r="BW1649" s="554"/>
      <c r="BX1649" s="554"/>
      <c r="BY1649" s="554"/>
      <c r="BZ1649" s="554"/>
      <c r="CA1649" s="720"/>
      <c r="CB1649" s="555"/>
      <c r="CC1649" s="721"/>
      <c r="CD1649" s="554"/>
      <c r="CE1649" s="554"/>
      <c r="CF1649" s="554"/>
      <c r="CG1649" s="554"/>
      <c r="CH1649" s="550"/>
      <c r="CI1649" s="554"/>
      <c r="CJ1649" s="554"/>
      <c r="CK1649" s="554"/>
      <c r="CL1649" s="554"/>
      <c r="CM1649" s="554"/>
      <c r="CN1649" s="554"/>
      <c r="CO1649" s="554"/>
      <c r="CP1649" s="619"/>
      <c r="CQ1649" s="619"/>
      <c r="CR1649" s="554"/>
      <c r="CS1649" s="554"/>
      <c r="CT1649" s="554"/>
      <c r="CU1649" s="554">
        <f t="shared" si="665"/>
        <v>360</v>
      </c>
      <c r="CV1649" s="554">
        <f t="shared" si="663"/>
        <v>0</v>
      </c>
      <c r="CW1649" s="554">
        <f t="shared" si="664"/>
        <v>0</v>
      </c>
      <c r="CX1649" s="619"/>
      <c r="CY1649" s="619"/>
      <c r="CZ1649" s="619"/>
      <c r="DA1649" s="619"/>
      <c r="DB1649" s="619"/>
      <c r="DC1649" s="619"/>
      <c r="DD1649" s="619"/>
      <c r="DE1649" s="619"/>
      <c r="DF1649" s="619"/>
      <c r="DG1649" s="619"/>
      <c r="DH1649" s="619"/>
    </row>
    <row r="1650" s="550" customFormat="1" ht="31" customHeight="1" spans="1:113">
      <c r="A1650" s="608">
        <v>46134</v>
      </c>
      <c r="B1650" s="609" t="s">
        <v>5837</v>
      </c>
      <c r="C1650" s="610" t="s">
        <v>524</v>
      </c>
      <c r="D1650" s="727">
        <v>4500200487</v>
      </c>
      <c r="E1650" s="613">
        <v>88792394</v>
      </c>
      <c r="F1650" s="554" t="s">
        <v>10031</v>
      </c>
      <c r="G1650" s="610" t="s">
        <v>6365</v>
      </c>
      <c r="H1650" s="610" t="s">
        <v>6126</v>
      </c>
      <c r="I1650" s="610">
        <v>1476</v>
      </c>
      <c r="J1650" s="610">
        <v>0</v>
      </c>
      <c r="K1650" s="610">
        <v>12</v>
      </c>
      <c r="L1650" s="611">
        <f t="shared" si="666"/>
        <v>123</v>
      </c>
      <c r="M1650" s="724">
        <v>46218</v>
      </c>
      <c r="N1650" s="724">
        <f>M1650-4</f>
        <v>46214</v>
      </c>
      <c r="O1650" s="613"/>
      <c r="P1650" s="613" t="s">
        <v>113</v>
      </c>
      <c r="Q1650" s="640">
        <v>46233</v>
      </c>
      <c r="R1650" s="614">
        <v>46163</v>
      </c>
      <c r="S1650" s="614" t="s">
        <v>70</v>
      </c>
      <c r="T1650" s="730" t="s">
        <v>10032</v>
      </c>
      <c r="U1650" s="730"/>
      <c r="V1650" s="614"/>
      <c r="W1650" s="609"/>
      <c r="X1650" s="738" t="s">
        <v>10033</v>
      </c>
      <c r="Y1650" s="609" t="s">
        <v>5841</v>
      </c>
      <c r="Z1650" s="722">
        <v>2.1629</v>
      </c>
      <c r="AA1650" s="616">
        <f t="shared" si="657"/>
        <v>3192.4404</v>
      </c>
      <c r="AB1650" s="573"/>
      <c r="AC1650" s="617"/>
      <c r="AD1650" s="610" t="s">
        <v>6368</v>
      </c>
      <c r="AE1650" s="610" t="s">
        <v>82</v>
      </c>
      <c r="AF1650" s="610"/>
      <c r="AG1650" s="610"/>
      <c r="AH1650" s="610"/>
      <c r="AI1650" s="609">
        <v>1476</v>
      </c>
      <c r="AJ1650" s="610">
        <f t="shared" si="656"/>
        <v>0</v>
      </c>
      <c r="AK1650" s="610"/>
      <c r="AL1650" s="610" t="s">
        <v>2368</v>
      </c>
      <c r="AM1650" s="610"/>
      <c r="AN1650" s="610"/>
      <c r="AO1650" s="554">
        <f>I1650*2</f>
        <v>2952</v>
      </c>
      <c r="AP1650" s="554"/>
      <c r="AQ1650" s="554"/>
      <c r="AR1650" s="619"/>
      <c r="AS1650" s="554"/>
      <c r="AT1650" s="554">
        <f>I1650*2</f>
        <v>2952</v>
      </c>
      <c r="AU1650" s="554"/>
      <c r="AV1650" s="554">
        <f>I1650*2</f>
        <v>2952</v>
      </c>
      <c r="AW1650" s="619"/>
      <c r="AX1650" s="554"/>
      <c r="AY1650" s="554"/>
      <c r="AZ1650" s="554"/>
      <c r="BA1650" s="554"/>
      <c r="BB1650" s="620">
        <f>I1650/24*2</f>
        <v>123</v>
      </c>
      <c r="BC1650" s="714"/>
      <c r="BD1650" s="554"/>
      <c r="BE1650" s="554"/>
      <c r="BF1650" s="554"/>
      <c r="BG1650" s="550"/>
      <c r="BH1650" s="554"/>
      <c r="BI1650" s="554"/>
      <c r="BJ1650" s="554"/>
      <c r="BK1650" s="554"/>
      <c r="BL1650" s="554"/>
      <c r="BM1650" s="554"/>
      <c r="BN1650" s="554"/>
      <c r="BO1650" s="554"/>
      <c r="BP1650" s="554"/>
      <c r="BQ1650" s="554"/>
      <c r="BR1650" s="554"/>
      <c r="BS1650" s="554"/>
      <c r="BT1650" s="554"/>
      <c r="BU1650" s="554"/>
      <c r="BV1650" s="554"/>
      <c r="BW1650" s="554"/>
      <c r="BX1650" s="554"/>
      <c r="BY1650" s="619"/>
      <c r="BZ1650" s="554"/>
      <c r="CA1650" s="621"/>
      <c r="CB1650" s="555"/>
      <c r="CC1650" s="622"/>
      <c r="CD1650" s="619"/>
      <c r="CE1650" s="619"/>
      <c r="CF1650" s="554"/>
      <c r="CG1650" s="554"/>
      <c r="CH1650" s="550"/>
      <c r="CI1650" s="554"/>
      <c r="CJ1650" s="554"/>
      <c r="CK1650" s="554"/>
      <c r="CL1650" s="554"/>
      <c r="CM1650" s="554"/>
      <c r="CN1650" s="554"/>
      <c r="CO1650" s="554"/>
      <c r="CP1650" s="554"/>
      <c r="CQ1650" s="554"/>
      <c r="CR1650" s="554">
        <f>I1650</f>
        <v>1476</v>
      </c>
      <c r="CS1650" s="554">
        <f>I1650</f>
        <v>1476</v>
      </c>
      <c r="CT1650" s="554">
        <f>I1650</f>
        <v>1476</v>
      </c>
      <c r="CU1650" s="554">
        <f t="shared" si="665"/>
        <v>0</v>
      </c>
      <c r="CV1650" s="554">
        <f t="shared" si="663"/>
        <v>0</v>
      </c>
      <c r="CW1650" s="554">
        <f t="shared" si="664"/>
        <v>0</v>
      </c>
      <c r="CX1650" s="619"/>
      <c r="CY1650" s="619"/>
      <c r="CZ1650" s="619"/>
      <c r="DA1650" s="554"/>
      <c r="DB1650" s="554"/>
      <c r="DC1650" s="554"/>
      <c r="DD1650" s="619"/>
      <c r="DE1650" s="619"/>
      <c r="DF1650" s="619"/>
      <c r="DG1650" s="619"/>
      <c r="DH1650" s="619"/>
    </row>
    <row r="1651" s="550" customFormat="1" ht="31" customHeight="1" spans="1:113">
      <c r="A1651" s="608">
        <v>46134</v>
      </c>
      <c r="B1651" s="609" t="s">
        <v>5837</v>
      </c>
      <c r="C1651" s="610" t="s">
        <v>524</v>
      </c>
      <c r="D1651" s="727">
        <v>4500200487</v>
      </c>
      <c r="E1651" s="613">
        <v>88792395</v>
      </c>
      <c r="F1651" s="554" t="s">
        <v>10034</v>
      </c>
      <c r="G1651" s="610" t="s">
        <v>6365</v>
      </c>
      <c r="H1651" s="610" t="s">
        <v>6126</v>
      </c>
      <c r="I1651" s="610">
        <v>420</v>
      </c>
      <c r="J1651" s="610">
        <v>0</v>
      </c>
      <c r="K1651" s="610">
        <v>12</v>
      </c>
      <c r="L1651" s="611">
        <f t="shared" si="666"/>
        <v>35</v>
      </c>
      <c r="M1651" s="724">
        <v>46218</v>
      </c>
      <c r="N1651" s="724">
        <f>M1651-4</f>
        <v>46214</v>
      </c>
      <c r="O1651" s="613"/>
      <c r="P1651" s="613" t="s">
        <v>113</v>
      </c>
      <c r="Q1651" s="640">
        <v>46234</v>
      </c>
      <c r="R1651" s="614">
        <v>46163</v>
      </c>
      <c r="S1651" s="614" t="s">
        <v>70</v>
      </c>
      <c r="T1651" s="730" t="s">
        <v>10032</v>
      </c>
      <c r="U1651" s="730"/>
      <c r="V1651" s="614"/>
      <c r="W1651" s="609"/>
      <c r="X1651" s="738" t="s">
        <v>10033</v>
      </c>
      <c r="Y1651" s="609" t="s">
        <v>5841</v>
      </c>
      <c r="Z1651" s="722">
        <v>2.1629</v>
      </c>
      <c r="AA1651" s="616">
        <f t="shared" si="657"/>
        <v>908.418</v>
      </c>
      <c r="AB1651" s="573"/>
      <c r="AC1651" s="617"/>
      <c r="AD1651" s="610" t="s">
        <v>6368</v>
      </c>
      <c r="AE1651" s="610" t="s">
        <v>82</v>
      </c>
      <c r="AF1651" s="610"/>
      <c r="AG1651" s="610"/>
      <c r="AH1651" s="610"/>
      <c r="AI1651" s="609">
        <v>420</v>
      </c>
      <c r="AJ1651" s="610">
        <f t="shared" si="656"/>
        <v>0</v>
      </c>
      <c r="AK1651" s="610"/>
      <c r="AL1651" s="610" t="s">
        <v>2368</v>
      </c>
      <c r="AM1651" s="610"/>
      <c r="AN1651" s="610"/>
      <c r="AO1651" s="554">
        <f>I1651*2</f>
        <v>840</v>
      </c>
      <c r="AP1651" s="554"/>
      <c r="AQ1651" s="554"/>
      <c r="AR1651" s="619"/>
      <c r="AS1651" s="554"/>
      <c r="AT1651" s="554">
        <f>I1651*2</f>
        <v>840</v>
      </c>
      <c r="AU1651" s="554"/>
      <c r="AV1651" s="554">
        <f>I1651*2</f>
        <v>840</v>
      </c>
      <c r="AW1651" s="619"/>
      <c r="AX1651" s="554"/>
      <c r="AY1651" s="554"/>
      <c r="AZ1651" s="554"/>
      <c r="BA1651" s="554"/>
      <c r="BB1651" s="620">
        <f>I1651/24*2</f>
        <v>35</v>
      </c>
      <c r="BC1651" s="714"/>
      <c r="BD1651" s="554"/>
      <c r="BE1651" s="554"/>
      <c r="BF1651" s="554"/>
      <c r="BG1651" s="550"/>
      <c r="BH1651" s="554"/>
      <c r="BI1651" s="554"/>
      <c r="BJ1651" s="554"/>
      <c r="BK1651" s="554"/>
      <c r="BL1651" s="554"/>
      <c r="BM1651" s="554"/>
      <c r="BN1651" s="554"/>
      <c r="BO1651" s="554"/>
      <c r="BP1651" s="554"/>
      <c r="BQ1651" s="554"/>
      <c r="BR1651" s="554"/>
      <c r="BS1651" s="554"/>
      <c r="BT1651" s="554"/>
      <c r="BU1651" s="554"/>
      <c r="BV1651" s="554"/>
      <c r="BW1651" s="554"/>
      <c r="BX1651" s="554"/>
      <c r="BY1651" s="619"/>
      <c r="BZ1651" s="554"/>
      <c r="CA1651" s="621"/>
      <c r="CB1651" s="555"/>
      <c r="CC1651" s="622"/>
      <c r="CD1651" s="619"/>
      <c r="CE1651" s="619"/>
      <c r="CF1651" s="554"/>
      <c r="CG1651" s="554"/>
      <c r="CH1651" s="550"/>
      <c r="CI1651" s="554"/>
      <c r="CJ1651" s="554"/>
      <c r="CK1651" s="554"/>
      <c r="CL1651" s="554"/>
      <c r="CM1651" s="554"/>
      <c r="CN1651" s="554"/>
      <c r="CO1651" s="554"/>
      <c r="CP1651" s="554"/>
      <c r="CQ1651" s="554"/>
      <c r="CR1651" s="554">
        <f>I1651</f>
        <v>420</v>
      </c>
      <c r="CS1651" s="554">
        <f>I1651</f>
        <v>420</v>
      </c>
      <c r="CT1651" s="554">
        <f>I1651</f>
        <v>420</v>
      </c>
      <c r="CU1651" s="554">
        <f t="shared" si="665"/>
        <v>0</v>
      </c>
      <c r="CV1651" s="554">
        <f t="shared" si="663"/>
        <v>0</v>
      </c>
      <c r="CW1651" s="554">
        <f t="shared" si="664"/>
        <v>0</v>
      </c>
      <c r="CX1651" s="619"/>
      <c r="CY1651" s="619"/>
      <c r="CZ1651" s="619"/>
      <c r="DA1651" s="554"/>
      <c r="DB1651" s="554"/>
      <c r="DC1651" s="554"/>
      <c r="DD1651" s="619"/>
      <c r="DE1651" s="619"/>
      <c r="DF1651" s="619"/>
      <c r="DG1651" s="619"/>
      <c r="DH1651" s="619"/>
    </row>
    <row r="1652" s="550" customFormat="1" ht="31" customHeight="1" spans="1:113">
      <c r="A1652" s="608">
        <v>46167</v>
      </c>
      <c r="B1652" s="609" t="s">
        <v>1800</v>
      </c>
      <c r="C1652" s="610" t="s">
        <v>744</v>
      </c>
      <c r="D1652" s="846">
        <v>4500204920</v>
      </c>
      <c r="E1652" s="610">
        <v>5000002195</v>
      </c>
      <c r="F1652" s="554" t="s">
        <v>10035</v>
      </c>
      <c r="G1652" s="610" t="s">
        <v>6093</v>
      </c>
      <c r="H1652" s="610" t="s">
        <v>7359</v>
      </c>
      <c r="I1652" s="715">
        <v>27040</v>
      </c>
      <c r="J1652" s="610">
        <v>0</v>
      </c>
      <c r="K1652" s="610">
        <v>13</v>
      </c>
      <c r="L1652" s="611">
        <f t="shared" si="666"/>
        <v>2080</v>
      </c>
      <c r="M1652" s="612">
        <v>46209</v>
      </c>
      <c r="N1652" s="612">
        <v>46205</v>
      </c>
      <c r="O1652" s="613"/>
      <c r="P1652" s="246" t="s">
        <v>113</v>
      </c>
      <c r="Q1652" s="614"/>
      <c r="R1652" s="614" t="s">
        <v>9676</v>
      </c>
      <c r="S1652" s="614" t="s">
        <v>104</v>
      </c>
      <c r="T1652" s="614" t="s">
        <v>8723</v>
      </c>
      <c r="U1652" s="614"/>
      <c r="V1652" s="614"/>
      <c r="W1652" s="609"/>
      <c r="X1652" s="609" t="s">
        <v>9544</v>
      </c>
      <c r="Y1652" s="616" t="s">
        <v>1805</v>
      </c>
      <c r="Z1652" s="609">
        <v>0.8998</v>
      </c>
      <c r="AA1652" s="616">
        <f t="shared" si="657"/>
        <v>24330.592</v>
      </c>
      <c r="AB1652" s="573"/>
      <c r="AC1652" s="697"/>
      <c r="AD1652" s="610" t="s">
        <v>8338</v>
      </c>
      <c r="AE1652" s="610" t="s">
        <v>82</v>
      </c>
      <c r="AF1652" s="610"/>
      <c r="AG1652" s="610"/>
      <c r="AH1652" s="609"/>
      <c r="AI1652" s="609">
        <v>27040</v>
      </c>
      <c r="AJ1652" s="610">
        <f t="shared" si="656"/>
        <v>0</v>
      </c>
      <c r="AK1652" s="613"/>
      <c r="AL1652" s="610" t="s">
        <v>2368</v>
      </c>
      <c r="AM1652" s="610"/>
      <c r="AN1652" s="554"/>
      <c r="AO1652" s="554">
        <f>I1652</f>
        <v>27040</v>
      </c>
      <c r="AP1652" s="554"/>
      <c r="AQ1652" s="554"/>
      <c r="AR1652" s="619"/>
      <c r="AS1652" s="554"/>
      <c r="AT1652" s="554"/>
      <c r="AU1652" s="554"/>
      <c r="AV1652" s="554"/>
      <c r="AW1652" s="619">
        <f>I1652</f>
        <v>27040</v>
      </c>
      <c r="AX1652" s="554">
        <f>I1652</f>
        <v>27040</v>
      </c>
      <c r="AY1652" s="554"/>
      <c r="AZ1652" s="554"/>
      <c r="BA1652" s="714">
        <f>I1652/24</f>
        <v>1126.66666666667</v>
      </c>
      <c r="BB1652" s="620"/>
      <c r="BC1652" s="554"/>
      <c r="BD1652" s="554"/>
      <c r="BE1652" s="554"/>
      <c r="BF1652" s="554"/>
      <c r="BG1652" s="550"/>
      <c r="BH1652" s="554"/>
      <c r="BI1652" s="554"/>
      <c r="BJ1652" s="554"/>
      <c r="BK1652" s="554"/>
      <c r="BL1652" s="554"/>
      <c r="BM1652" s="554">
        <f>I1652/13</f>
        <v>2080</v>
      </c>
      <c r="BN1652" s="554"/>
      <c r="BO1652" s="554"/>
      <c r="BP1652" s="554"/>
      <c r="BQ1652" s="554"/>
      <c r="BR1652" s="554"/>
      <c r="BS1652" s="554"/>
      <c r="BT1652" s="554"/>
      <c r="BU1652" s="554"/>
      <c r="BV1652" s="554"/>
      <c r="BW1652" s="554"/>
      <c r="BX1652" s="554"/>
      <c r="BY1652" s="554"/>
      <c r="BZ1652" s="554"/>
      <c r="CA1652" s="720"/>
      <c r="CB1652" s="555"/>
      <c r="CC1652" s="721"/>
      <c r="CD1652" s="554"/>
      <c r="CE1652" s="554"/>
      <c r="CF1652" s="554"/>
      <c r="CG1652" s="554"/>
      <c r="CH1652" s="550"/>
      <c r="CI1652" s="554"/>
      <c r="CJ1652" s="554"/>
      <c r="CK1652" s="554"/>
      <c r="CL1652" s="554"/>
      <c r="CM1652" s="554"/>
      <c r="CN1652" s="554"/>
      <c r="CO1652" s="554"/>
      <c r="CP1652" s="619"/>
      <c r="CQ1652" s="619"/>
      <c r="CR1652" s="554"/>
      <c r="CS1652" s="554"/>
      <c r="CT1652" s="554"/>
      <c r="CU1652" s="554">
        <f t="shared" si="665"/>
        <v>0</v>
      </c>
      <c r="CV1652" s="554">
        <v>0</v>
      </c>
      <c r="CW1652" s="554">
        <v>0</v>
      </c>
      <c r="CX1652" s="619"/>
      <c r="CY1652" s="619"/>
      <c r="CZ1652" s="619"/>
      <c r="DA1652" s="619"/>
      <c r="DB1652" s="619"/>
      <c r="DC1652" s="619"/>
      <c r="DD1652" s="619"/>
      <c r="DE1652" s="619"/>
      <c r="DF1652" s="619"/>
      <c r="DG1652" s="619"/>
      <c r="DH1652" s="619"/>
    </row>
    <row r="1653" s="550" customFormat="1" ht="31" customHeight="1" spans="1:113">
      <c r="A1653" s="608">
        <v>46169</v>
      </c>
      <c r="B1653" s="609" t="s">
        <v>1800</v>
      </c>
      <c r="C1653" s="610" t="s">
        <v>744</v>
      </c>
      <c r="D1653" s="847">
        <v>4500204920</v>
      </c>
      <c r="E1653" s="613">
        <v>5000002195</v>
      </c>
      <c r="F1653" s="554" t="s">
        <v>4770</v>
      </c>
      <c r="G1653" s="610" t="s">
        <v>6337</v>
      </c>
      <c r="H1653" s="610" t="s">
        <v>477</v>
      </c>
      <c r="I1653" s="715">
        <v>1200</v>
      </c>
      <c r="J1653" s="610">
        <v>0</v>
      </c>
      <c r="K1653" s="610">
        <v>6</v>
      </c>
      <c r="L1653" s="611">
        <f t="shared" si="666"/>
        <v>200</v>
      </c>
      <c r="M1653" s="612">
        <v>46212</v>
      </c>
      <c r="N1653" s="612">
        <v>46209</v>
      </c>
      <c r="O1653" s="613"/>
      <c r="P1653" s="246" t="s">
        <v>113</v>
      </c>
      <c r="Q1653" s="614"/>
      <c r="R1653" s="614" t="s">
        <v>9676</v>
      </c>
      <c r="S1653" s="614" t="s">
        <v>104</v>
      </c>
      <c r="T1653" s="614" t="s">
        <v>2239</v>
      </c>
      <c r="U1653" s="614"/>
      <c r="V1653" s="614"/>
      <c r="W1653" s="573"/>
      <c r="X1653" s="609" t="s">
        <v>4288</v>
      </c>
      <c r="Y1653" s="616" t="s">
        <v>1805</v>
      </c>
      <c r="Z1653" s="609">
        <v>1.8933</v>
      </c>
      <c r="AA1653" s="616">
        <f t="shared" si="657"/>
        <v>2271.96</v>
      </c>
      <c r="AB1653" s="573"/>
      <c r="AC1653" s="697"/>
      <c r="AD1653" s="610" t="s">
        <v>2241</v>
      </c>
      <c r="AE1653" s="610" t="s">
        <v>82</v>
      </c>
      <c r="AF1653" s="610"/>
      <c r="AG1653" s="610"/>
      <c r="AH1653" s="609"/>
      <c r="AI1653" s="609">
        <v>1200</v>
      </c>
      <c r="AJ1653" s="610">
        <f t="shared" si="656"/>
        <v>0</v>
      </c>
      <c r="AK1653" s="613"/>
      <c r="AL1653" s="610" t="s">
        <v>2368</v>
      </c>
      <c r="AM1653" s="610"/>
      <c r="AN1653" s="554"/>
      <c r="AO1653" s="554">
        <f>I1653*2</f>
        <v>2400</v>
      </c>
      <c r="AP1653" s="554"/>
      <c r="AQ1653" s="554"/>
      <c r="AR1653" s="619"/>
      <c r="AS1653" s="554"/>
      <c r="AT1653" s="554">
        <f>I1653*2</f>
        <v>2400</v>
      </c>
      <c r="AU1653" s="554"/>
      <c r="AV1653" s="554"/>
      <c r="AW1653" s="554"/>
      <c r="AX1653" s="554">
        <f>I1653*2</f>
        <v>2400</v>
      </c>
      <c r="AY1653" s="554"/>
      <c r="AZ1653" s="554"/>
      <c r="BA1653" s="714">
        <f>I1653/24*2</f>
        <v>100</v>
      </c>
      <c r="BB1653" s="620"/>
      <c r="BC1653" s="554"/>
      <c r="BD1653" s="554"/>
      <c r="BE1653" s="554"/>
      <c r="BF1653" s="554"/>
      <c r="BG1653" s="550"/>
      <c r="BH1653" s="554"/>
      <c r="BI1653" s="554"/>
      <c r="BJ1653" s="554"/>
      <c r="BK1653" s="554"/>
      <c r="BL1653" s="554"/>
      <c r="BM1653" s="554"/>
      <c r="BN1653" s="554"/>
      <c r="BO1653" s="554"/>
      <c r="BP1653" s="554"/>
      <c r="BQ1653" s="554"/>
      <c r="BR1653" s="554"/>
      <c r="BS1653" s="554"/>
      <c r="BT1653" s="554"/>
      <c r="BU1653" s="554"/>
      <c r="BV1653" s="554"/>
      <c r="BW1653" s="554"/>
      <c r="BX1653" s="554"/>
      <c r="BY1653" s="554"/>
      <c r="BZ1653" s="554">
        <f>I1653</f>
        <v>1200</v>
      </c>
      <c r="CA1653" s="720"/>
      <c r="CB1653" s="555"/>
      <c r="CC1653" s="721"/>
      <c r="CD1653" s="554"/>
      <c r="CE1653" s="554"/>
      <c r="CF1653" s="554"/>
      <c r="CG1653" s="554"/>
      <c r="CH1653" s="550"/>
      <c r="CI1653" s="554"/>
      <c r="CJ1653" s="554"/>
      <c r="CK1653" s="554"/>
      <c r="CL1653" s="554"/>
      <c r="CM1653" s="554"/>
      <c r="CN1653" s="554"/>
      <c r="CO1653" s="554"/>
      <c r="CP1653" s="619"/>
      <c r="CQ1653" s="619"/>
      <c r="CR1653" s="554"/>
      <c r="CS1653" s="554"/>
      <c r="CT1653" s="554"/>
      <c r="CU1653" s="554">
        <f t="shared" si="665"/>
        <v>0</v>
      </c>
      <c r="CV1653" s="554">
        <v>0</v>
      </c>
      <c r="CW1653" s="554">
        <v>0</v>
      </c>
      <c r="CX1653" s="619"/>
      <c r="CY1653" s="619"/>
      <c r="CZ1653" s="619"/>
      <c r="DA1653" s="619"/>
      <c r="DB1653" s="619"/>
      <c r="DC1653" s="619"/>
      <c r="DD1653" s="619"/>
      <c r="DE1653" s="619"/>
      <c r="DF1653" s="619"/>
      <c r="DG1653" s="619"/>
      <c r="DH1653" s="619"/>
      <c r="DI1653" s="554"/>
    </row>
    <row r="1654" s="550" customFormat="1" ht="31" customHeight="1" spans="1:113">
      <c r="A1654" s="608">
        <v>46136</v>
      </c>
      <c r="B1654" s="609" t="s">
        <v>4584</v>
      </c>
      <c r="C1654" s="610" t="s">
        <v>399</v>
      </c>
      <c r="D1654" s="727">
        <v>4500203798</v>
      </c>
      <c r="E1654" s="610" t="s">
        <v>10036</v>
      </c>
      <c r="F1654" s="554" t="s">
        <v>10037</v>
      </c>
      <c r="G1654" s="610" t="s">
        <v>6047</v>
      </c>
      <c r="H1654" s="610" t="s">
        <v>6069</v>
      </c>
      <c r="I1654" s="715">
        <v>1275</v>
      </c>
      <c r="J1654" s="610">
        <v>0</v>
      </c>
      <c r="K1654" s="610">
        <v>25</v>
      </c>
      <c r="L1654" s="611">
        <f t="shared" si="666"/>
        <v>51</v>
      </c>
      <c r="M1654" s="612">
        <v>46213</v>
      </c>
      <c r="N1654" s="612">
        <v>46209</v>
      </c>
      <c r="O1654" s="613"/>
      <c r="P1654" s="610" t="s">
        <v>113</v>
      </c>
      <c r="Q1654" s="614" t="s">
        <v>4713</v>
      </c>
      <c r="R1654" s="614" t="s">
        <v>4587</v>
      </c>
      <c r="S1654" s="614" t="s">
        <v>70</v>
      </c>
      <c r="T1654" s="614" t="s">
        <v>10038</v>
      </c>
      <c r="U1654" s="614"/>
      <c r="V1654" s="609"/>
      <c r="W1654" s="609" t="s">
        <v>8853</v>
      </c>
      <c r="X1654" s="609" t="s">
        <v>10039</v>
      </c>
      <c r="Y1654" s="616" t="s">
        <v>4065</v>
      </c>
      <c r="Z1654" s="609">
        <v>0.958</v>
      </c>
      <c r="AA1654" s="616">
        <f t="shared" si="657"/>
        <v>1221.45</v>
      </c>
      <c r="AB1654" s="573"/>
      <c r="AC1654" s="697"/>
      <c r="AD1654" s="610" t="s">
        <v>6047</v>
      </c>
      <c r="AE1654" s="610" t="s">
        <v>82</v>
      </c>
      <c r="AF1654" s="610"/>
      <c r="AG1654" s="610"/>
      <c r="AH1654" s="609"/>
      <c r="AI1654" s="609">
        <v>1275</v>
      </c>
      <c r="AJ1654" s="610">
        <f t="shared" si="656"/>
        <v>0</v>
      </c>
      <c r="AK1654" s="613"/>
      <c r="AL1654" s="610" t="s">
        <v>454</v>
      </c>
      <c r="AM1654" s="610"/>
      <c r="AN1654" s="554"/>
      <c r="AO1654" s="554">
        <f>I1654</f>
        <v>1275</v>
      </c>
      <c r="AP1654" s="554"/>
      <c r="AQ1654" s="554"/>
      <c r="AR1654" s="619"/>
      <c r="AS1654" s="554"/>
      <c r="AT1654" s="554">
        <f>I1654</f>
        <v>1275</v>
      </c>
      <c r="AU1654" s="554"/>
      <c r="AV1654" s="554">
        <f>I1654</f>
        <v>1275</v>
      </c>
      <c r="AW1654" s="554"/>
      <c r="AX1654" s="714"/>
      <c r="AY1654" s="554"/>
      <c r="AZ1654" s="554"/>
      <c r="BA1654" s="554"/>
      <c r="BB1654" s="620">
        <f>I1654/24</f>
        <v>53.125</v>
      </c>
      <c r="BC1654" s="554"/>
      <c r="BD1654" s="554"/>
      <c r="BE1654" s="554"/>
      <c r="BF1654" s="554"/>
      <c r="BG1654" s="550"/>
      <c r="BH1654" s="554"/>
      <c r="BI1654" s="554"/>
      <c r="BJ1654" s="554"/>
      <c r="BK1654" s="554"/>
      <c r="BL1654" s="554"/>
      <c r="BM1654" s="554"/>
      <c r="BN1654" s="554"/>
      <c r="BO1654" s="554"/>
      <c r="BP1654" s="554">
        <f>I1654/25</f>
        <v>51</v>
      </c>
      <c r="BQ1654" s="554"/>
      <c r="BR1654" s="554"/>
      <c r="BS1654" s="554"/>
      <c r="BT1654" s="554"/>
      <c r="BU1654" s="554"/>
      <c r="BV1654" s="554"/>
      <c r="BW1654" s="554"/>
      <c r="BX1654" s="554"/>
      <c r="BY1654" s="554"/>
      <c r="BZ1654" s="554"/>
      <c r="CA1654" s="720"/>
      <c r="CB1654" s="555"/>
      <c r="CC1654" s="721"/>
      <c r="CD1654" s="554"/>
      <c r="CE1654" s="554"/>
      <c r="CF1654" s="554"/>
      <c r="CG1654" s="554"/>
      <c r="CH1654" s="550"/>
      <c r="CI1654" s="554"/>
      <c r="CJ1654" s="554"/>
      <c r="CK1654" s="554"/>
      <c r="CL1654" s="554"/>
      <c r="CM1654" s="554"/>
      <c r="CN1654" s="554"/>
      <c r="CO1654" s="554"/>
      <c r="CP1654" s="619"/>
      <c r="CQ1654" s="619"/>
      <c r="CR1654" s="554"/>
      <c r="CS1654" s="554"/>
      <c r="CT1654" s="554"/>
      <c r="CU1654" s="554">
        <f t="shared" si="665"/>
        <v>51</v>
      </c>
      <c r="CV1654" s="554">
        <f>CK1654+CL1654+CM1654+CN1654+CO1654+CQ1654+CP1654</f>
        <v>0</v>
      </c>
      <c r="CW1654" s="554">
        <f>CI1654+CJ1654</f>
        <v>0</v>
      </c>
      <c r="CX1654" s="619"/>
      <c r="CY1654" s="619"/>
      <c r="CZ1654" s="619"/>
      <c r="DA1654" s="619"/>
      <c r="DB1654" s="619"/>
      <c r="DC1654" s="619"/>
      <c r="DD1654" s="619"/>
      <c r="DE1654" s="619"/>
      <c r="DF1654" s="619"/>
      <c r="DG1654" s="619"/>
      <c r="DH1654" s="619"/>
    </row>
    <row r="1655" s="550" customFormat="1" ht="31" customHeight="1" spans="1:113">
      <c r="A1655" s="608">
        <v>46153</v>
      </c>
      <c r="B1655" s="609" t="s">
        <v>1337</v>
      </c>
      <c r="C1655" s="610" t="s">
        <v>931</v>
      </c>
      <c r="D1655" s="727">
        <v>4500206023</v>
      </c>
      <c r="E1655" s="610" t="s">
        <v>4798</v>
      </c>
      <c r="F1655" s="554" t="s">
        <v>10040</v>
      </c>
      <c r="G1655" s="610" t="s">
        <v>6276</v>
      </c>
      <c r="H1655" s="610" t="s">
        <v>6277</v>
      </c>
      <c r="I1655" s="715">
        <v>500</v>
      </c>
      <c r="J1655" s="610">
        <v>0</v>
      </c>
      <c r="K1655" s="610">
        <v>50</v>
      </c>
      <c r="L1655" s="611">
        <f t="shared" si="666"/>
        <v>10</v>
      </c>
      <c r="M1655" s="612">
        <v>46205</v>
      </c>
      <c r="N1655" s="724">
        <v>46214</v>
      </c>
      <c r="O1655" s="613"/>
      <c r="P1655" s="610" t="s">
        <v>113</v>
      </c>
      <c r="Q1655" s="614"/>
      <c r="R1655" s="614">
        <v>46170</v>
      </c>
      <c r="S1655" s="614" t="s">
        <v>70</v>
      </c>
      <c r="T1655" s="614" t="s">
        <v>5196</v>
      </c>
      <c r="U1655" s="614"/>
      <c r="V1655" s="614"/>
      <c r="W1655" s="609"/>
      <c r="X1655" s="609" t="s">
        <v>10041</v>
      </c>
      <c r="Y1655" s="616" t="s">
        <v>943</v>
      </c>
      <c r="Z1655" s="609">
        <v>0.9402</v>
      </c>
      <c r="AA1655" s="616">
        <v>470.1</v>
      </c>
      <c r="AB1655" s="573"/>
      <c r="AC1655" s="697"/>
      <c r="AD1655" s="610" t="s">
        <v>6276</v>
      </c>
      <c r="AE1655" s="610" t="s">
        <v>82</v>
      </c>
      <c r="AF1655" s="610"/>
      <c r="AG1655" s="610"/>
      <c r="AH1655" s="609"/>
      <c r="AI1655" s="609">
        <v>500</v>
      </c>
      <c r="AJ1655" s="610">
        <f t="shared" si="656"/>
        <v>0</v>
      </c>
      <c r="AK1655" s="613"/>
      <c r="AL1655" s="610" t="s">
        <v>2368</v>
      </c>
      <c r="AM1655" s="610"/>
      <c r="AN1655" s="554"/>
      <c r="AO1655" s="554">
        <f>I1655</f>
        <v>500</v>
      </c>
      <c r="AP1655" s="554"/>
      <c r="AQ1655" s="554"/>
      <c r="AR1655" s="619"/>
      <c r="AS1655" s="554"/>
      <c r="AT1655" s="554"/>
      <c r="AU1655" s="554"/>
      <c r="AV1655" s="554"/>
      <c r="AW1655" s="554"/>
      <c r="AX1655" s="714"/>
      <c r="AY1655" s="554"/>
      <c r="AZ1655" s="554"/>
      <c r="BA1655" s="554"/>
      <c r="BB1655" s="620">
        <f>I1655/24</f>
        <v>20.8333333333333</v>
      </c>
      <c r="BC1655" s="554"/>
      <c r="BD1655" s="554"/>
      <c r="BE1655" s="554"/>
      <c r="BF1655" s="554"/>
      <c r="BG1655" s="550"/>
      <c r="BH1655" s="554"/>
      <c r="BI1655" s="554"/>
      <c r="BJ1655" s="554"/>
      <c r="BK1655" s="554"/>
      <c r="BL1655" s="554"/>
      <c r="BM1655" s="554"/>
      <c r="BN1655" s="554"/>
      <c r="BO1655" s="554"/>
      <c r="BP1655" s="554"/>
      <c r="BQ1655" s="554"/>
      <c r="BR1655" s="554"/>
      <c r="BS1655" s="554"/>
      <c r="BT1655" s="554"/>
      <c r="BU1655" s="554"/>
      <c r="BV1655" s="554">
        <f>I1655</f>
        <v>500</v>
      </c>
      <c r="BW1655" s="554">
        <f>I1655</f>
        <v>500</v>
      </c>
      <c r="BX1655" s="554">
        <f>I1655/25</f>
        <v>20</v>
      </c>
      <c r="BY1655" s="554"/>
      <c r="BZ1655" s="554"/>
      <c r="CA1655" s="720"/>
      <c r="CB1655" s="555"/>
      <c r="CC1655" s="721"/>
      <c r="CD1655" s="554"/>
      <c r="CE1655" s="554"/>
      <c r="CF1655" s="554"/>
      <c r="CG1655" s="554"/>
      <c r="CH1655" s="550"/>
      <c r="CI1655" s="554"/>
      <c r="CJ1655" s="554"/>
      <c r="CK1655" s="554"/>
      <c r="CL1655" s="554"/>
      <c r="CM1655" s="554"/>
      <c r="CN1655" s="554"/>
      <c r="CO1655" s="554"/>
      <c r="CP1655" s="619"/>
      <c r="CQ1655" s="619"/>
      <c r="CR1655" s="554"/>
      <c r="CS1655" s="554"/>
      <c r="CT1655" s="554"/>
      <c r="CU1655" s="554">
        <f t="shared" si="665"/>
        <v>20</v>
      </c>
      <c r="CV1655" s="554">
        <f>CK1655+CL1655+CM1655+CN1655+CO1655+CQ1655+CP1655</f>
        <v>0</v>
      </c>
      <c r="CW1655" s="554">
        <f>CI1655+CJ1655</f>
        <v>0</v>
      </c>
      <c r="CX1655" s="619"/>
      <c r="CY1655" s="619"/>
      <c r="CZ1655" s="619"/>
      <c r="DA1655" s="619"/>
      <c r="DB1655" s="619"/>
      <c r="DC1655" s="619"/>
      <c r="DD1655" s="619"/>
      <c r="DE1655" s="619"/>
      <c r="DF1655" s="619"/>
      <c r="DG1655" s="619"/>
      <c r="DH1655" s="619"/>
    </row>
    <row r="1656" s="550" customFormat="1" ht="31" customHeight="1" spans="1:113">
      <c r="A1656" s="608">
        <v>46154</v>
      </c>
      <c r="B1656" s="609" t="s">
        <v>3407</v>
      </c>
      <c r="C1656" s="610" t="s">
        <v>170</v>
      </c>
      <c r="D1656" s="727">
        <v>4500206305</v>
      </c>
      <c r="E1656" s="610" t="s">
        <v>10042</v>
      </c>
      <c r="F1656" s="554" t="s">
        <v>10043</v>
      </c>
      <c r="G1656" s="610" t="s">
        <v>6787</v>
      </c>
      <c r="H1656" s="610" t="s">
        <v>6126</v>
      </c>
      <c r="I1656" s="715">
        <v>120</v>
      </c>
      <c r="J1656" s="610">
        <v>0</v>
      </c>
      <c r="K1656" s="610">
        <v>12</v>
      </c>
      <c r="L1656" s="611">
        <f t="shared" ref="L1656:L1712" si="667">I1656/K1656</f>
        <v>10</v>
      </c>
      <c r="M1656" s="612">
        <v>46204</v>
      </c>
      <c r="N1656" s="724">
        <v>46203</v>
      </c>
      <c r="O1656" s="613"/>
      <c r="P1656" s="610" t="s">
        <v>113</v>
      </c>
      <c r="Q1656" s="614">
        <v>46213</v>
      </c>
      <c r="R1656" s="614">
        <v>46154</v>
      </c>
      <c r="S1656" s="614" t="s">
        <v>104</v>
      </c>
      <c r="T1656" s="614" t="s">
        <v>4742</v>
      </c>
      <c r="U1656" s="614"/>
      <c r="V1656" s="614"/>
      <c r="W1656" s="609"/>
      <c r="X1656" s="609" t="s">
        <v>10044</v>
      </c>
      <c r="Y1656" s="616" t="s">
        <v>1507</v>
      </c>
      <c r="Z1656" s="609">
        <v>2.2576</v>
      </c>
      <c r="AA1656" s="616">
        <f t="shared" ref="AA1656:AA1671" si="668">Z1656*I1656</f>
        <v>270.912</v>
      </c>
      <c r="AB1656" s="573"/>
      <c r="AC1656" s="697"/>
      <c r="AD1656" s="610" t="s">
        <v>8079</v>
      </c>
      <c r="AE1656" s="610" t="s">
        <v>82</v>
      </c>
      <c r="AF1656" s="610"/>
      <c r="AG1656" s="610"/>
      <c r="AH1656" s="609"/>
      <c r="AI1656" s="609">
        <v>120</v>
      </c>
      <c r="AJ1656" s="610">
        <f t="shared" ref="AJ1656:AJ1712" si="669">AI1656-I1656</f>
        <v>0</v>
      </c>
      <c r="AK1656" s="613"/>
      <c r="AL1656" s="610" t="s">
        <v>2368</v>
      </c>
      <c r="AM1656" s="610"/>
      <c r="AN1656" s="610">
        <f t="shared" ref="AN1656:AN1666" si="670">I1656*2</f>
        <v>240</v>
      </c>
      <c r="AO1656" s="554"/>
      <c r="AP1656" s="554"/>
      <c r="AQ1656" s="554">
        <f t="shared" ref="AQ1656:AQ1666" si="671">I1656*2</f>
        <v>240</v>
      </c>
      <c r="AR1656" s="619"/>
      <c r="AS1656" s="554"/>
      <c r="AT1656" s="554"/>
      <c r="AU1656" s="554">
        <f t="shared" ref="AU1656:AU1666" si="672">I1656*2</f>
        <v>240</v>
      </c>
      <c r="AV1656" s="554"/>
      <c r="AW1656" s="554"/>
      <c r="AX1656" s="714"/>
      <c r="AY1656" s="554"/>
      <c r="AZ1656" s="554"/>
      <c r="BA1656" s="554"/>
      <c r="BB1656" s="620">
        <f t="shared" ref="BB1656:BB1669" si="673">I1656/24*2</f>
        <v>10</v>
      </c>
      <c r="BC1656" s="554"/>
      <c r="BD1656" s="554"/>
      <c r="BE1656" s="554"/>
      <c r="BF1656" s="554"/>
      <c r="BG1656" s="550"/>
      <c r="BH1656" s="554"/>
      <c r="BI1656" s="554"/>
      <c r="BJ1656" s="554"/>
      <c r="BK1656" s="554"/>
      <c r="BL1656" s="554"/>
      <c r="BM1656" s="554"/>
      <c r="BN1656" s="554"/>
      <c r="BO1656" s="554"/>
      <c r="BP1656" s="554"/>
      <c r="BQ1656" s="554"/>
      <c r="BR1656" s="554"/>
      <c r="BS1656" s="554"/>
      <c r="BT1656" s="554"/>
      <c r="BU1656" s="554"/>
      <c r="BV1656" s="554"/>
      <c r="BW1656" s="554"/>
      <c r="BX1656" s="554"/>
      <c r="BY1656" s="554"/>
      <c r="BZ1656" s="554"/>
      <c r="CA1656" s="720"/>
      <c r="CB1656" s="555"/>
      <c r="CC1656" s="721"/>
      <c r="CD1656" s="554"/>
      <c r="CE1656" s="554"/>
      <c r="CF1656" s="554"/>
      <c r="CG1656" s="554"/>
      <c r="CH1656" s="550"/>
      <c r="CI1656" s="554"/>
      <c r="CJ1656" s="554"/>
      <c r="CK1656" s="554"/>
      <c r="CL1656" s="554"/>
      <c r="CM1656" s="554"/>
      <c r="CN1656" s="554"/>
      <c r="CO1656" s="554"/>
      <c r="CP1656" s="619"/>
      <c r="CQ1656" s="619"/>
      <c r="CR1656" s="554">
        <f t="shared" ref="CR1656:CR1668" si="674">I1656</f>
        <v>120</v>
      </c>
      <c r="CS1656" s="554">
        <f t="shared" ref="CS1656:CS1668" si="675">I1656</f>
        <v>120</v>
      </c>
      <c r="CT1656" s="554">
        <f t="shared" ref="CT1656:CT1668" si="676">I1656</f>
        <v>120</v>
      </c>
      <c r="CU1656" s="554">
        <f t="shared" ref="CU1656:CU1719" si="677">BQ1656+BP1656+BO1656+BN1656+BX1656+BR1656</f>
        <v>0</v>
      </c>
      <c r="CV1656" s="554">
        <f t="shared" ref="CV1656:CV1668" si="678">CK1656+CL1656+CM1656+CN1656+CO1656+CQ1656+CP1656</f>
        <v>0</v>
      </c>
      <c r="CW1656" s="554">
        <f t="shared" ref="CW1656:CW1668" si="679">CI1656+CJ1656</f>
        <v>0</v>
      </c>
      <c r="CX1656" s="619"/>
      <c r="CY1656" s="619"/>
      <c r="CZ1656" s="619"/>
      <c r="DA1656" s="619"/>
      <c r="DB1656" s="619"/>
      <c r="DC1656" s="619"/>
      <c r="DD1656" s="619"/>
      <c r="DE1656" s="619"/>
      <c r="DF1656" s="619"/>
      <c r="DG1656" s="619"/>
      <c r="DH1656" s="619"/>
    </row>
    <row r="1657" s="550" customFormat="1" ht="31" customHeight="1" spans="1:113">
      <c r="A1657" s="608">
        <v>46154</v>
      </c>
      <c r="B1657" s="609" t="s">
        <v>3407</v>
      </c>
      <c r="C1657" s="610" t="s">
        <v>170</v>
      </c>
      <c r="D1657" s="727">
        <v>4500206305</v>
      </c>
      <c r="E1657" s="610" t="s">
        <v>10045</v>
      </c>
      <c r="F1657" s="554" t="s">
        <v>10046</v>
      </c>
      <c r="G1657" s="610" t="s">
        <v>6787</v>
      </c>
      <c r="H1657" s="610" t="s">
        <v>6126</v>
      </c>
      <c r="I1657" s="715">
        <v>312</v>
      </c>
      <c r="J1657" s="610">
        <v>0</v>
      </c>
      <c r="K1657" s="610">
        <v>12</v>
      </c>
      <c r="L1657" s="611">
        <f t="shared" si="667"/>
        <v>26</v>
      </c>
      <c r="M1657" s="612">
        <v>46204</v>
      </c>
      <c r="N1657" s="724">
        <v>46203</v>
      </c>
      <c r="O1657" s="613"/>
      <c r="P1657" s="610" t="s">
        <v>113</v>
      </c>
      <c r="Q1657" s="614">
        <v>46213</v>
      </c>
      <c r="R1657" s="614">
        <v>46154</v>
      </c>
      <c r="S1657" s="614" t="s">
        <v>104</v>
      </c>
      <c r="T1657" s="614" t="s">
        <v>4742</v>
      </c>
      <c r="U1657" s="614"/>
      <c r="V1657" s="614"/>
      <c r="W1657" s="609"/>
      <c r="X1657" s="609" t="s">
        <v>10044</v>
      </c>
      <c r="Y1657" s="616" t="s">
        <v>1507</v>
      </c>
      <c r="Z1657" s="609">
        <v>2.2576</v>
      </c>
      <c r="AA1657" s="616">
        <f t="shared" si="668"/>
        <v>704.3712</v>
      </c>
      <c r="AB1657" s="573"/>
      <c r="AC1657" s="697"/>
      <c r="AD1657" s="610" t="s">
        <v>8079</v>
      </c>
      <c r="AE1657" s="610" t="s">
        <v>82</v>
      </c>
      <c r="AF1657" s="610"/>
      <c r="AG1657" s="610"/>
      <c r="AH1657" s="609"/>
      <c r="AI1657" s="609">
        <v>312</v>
      </c>
      <c r="AJ1657" s="610">
        <f t="shared" si="669"/>
        <v>0</v>
      </c>
      <c r="AK1657" s="613"/>
      <c r="AL1657" s="610" t="s">
        <v>2368</v>
      </c>
      <c r="AM1657" s="610"/>
      <c r="AN1657" s="610">
        <f t="shared" si="670"/>
        <v>624</v>
      </c>
      <c r="AO1657" s="554"/>
      <c r="AP1657" s="554"/>
      <c r="AQ1657" s="554">
        <f t="shared" si="671"/>
        <v>624</v>
      </c>
      <c r="AR1657" s="619"/>
      <c r="AS1657" s="554"/>
      <c r="AT1657" s="554"/>
      <c r="AU1657" s="554">
        <f t="shared" si="672"/>
        <v>624</v>
      </c>
      <c r="AV1657" s="554"/>
      <c r="AW1657" s="554"/>
      <c r="AX1657" s="714"/>
      <c r="AY1657" s="554"/>
      <c r="AZ1657" s="554"/>
      <c r="BA1657" s="554"/>
      <c r="BB1657" s="620">
        <f t="shared" si="673"/>
        <v>26</v>
      </c>
      <c r="BC1657" s="554"/>
      <c r="BD1657" s="554"/>
      <c r="BE1657" s="554"/>
      <c r="BF1657" s="554"/>
      <c r="BG1657" s="550"/>
      <c r="BH1657" s="554"/>
      <c r="BI1657" s="554"/>
      <c r="BJ1657" s="554"/>
      <c r="BK1657" s="554"/>
      <c r="BL1657" s="554"/>
      <c r="BM1657" s="554"/>
      <c r="BN1657" s="554"/>
      <c r="BO1657" s="554"/>
      <c r="BP1657" s="554"/>
      <c r="BQ1657" s="554"/>
      <c r="BR1657" s="554"/>
      <c r="BS1657" s="554"/>
      <c r="BT1657" s="554"/>
      <c r="BU1657" s="554"/>
      <c r="BV1657" s="554"/>
      <c r="BW1657" s="554"/>
      <c r="BX1657" s="554"/>
      <c r="BY1657" s="554"/>
      <c r="BZ1657" s="554"/>
      <c r="CA1657" s="720"/>
      <c r="CB1657" s="555"/>
      <c r="CC1657" s="721"/>
      <c r="CD1657" s="554"/>
      <c r="CE1657" s="554"/>
      <c r="CF1657" s="554"/>
      <c r="CG1657" s="554"/>
      <c r="CH1657" s="550"/>
      <c r="CI1657" s="554"/>
      <c r="CJ1657" s="554"/>
      <c r="CK1657" s="554"/>
      <c r="CL1657" s="554"/>
      <c r="CM1657" s="554"/>
      <c r="CN1657" s="554"/>
      <c r="CO1657" s="554"/>
      <c r="CP1657" s="619"/>
      <c r="CQ1657" s="619"/>
      <c r="CR1657" s="554">
        <f t="shared" si="674"/>
        <v>312</v>
      </c>
      <c r="CS1657" s="554">
        <f t="shared" si="675"/>
        <v>312</v>
      </c>
      <c r="CT1657" s="554">
        <f t="shared" si="676"/>
        <v>312</v>
      </c>
      <c r="CU1657" s="554">
        <f t="shared" si="677"/>
        <v>0</v>
      </c>
      <c r="CV1657" s="554">
        <f t="shared" si="678"/>
        <v>0</v>
      </c>
      <c r="CW1657" s="554">
        <f t="shared" si="679"/>
        <v>0</v>
      </c>
      <c r="CX1657" s="619"/>
      <c r="CY1657" s="619"/>
      <c r="CZ1657" s="619"/>
      <c r="DA1657" s="619"/>
      <c r="DB1657" s="619"/>
      <c r="DC1657" s="619"/>
      <c r="DD1657" s="619"/>
      <c r="DE1657" s="619"/>
      <c r="DF1657" s="619"/>
      <c r="DG1657" s="619"/>
      <c r="DH1657" s="619"/>
    </row>
    <row r="1658" s="550" customFormat="1" ht="31" customHeight="1" spans="1:113">
      <c r="A1658" s="608">
        <v>46154</v>
      </c>
      <c r="B1658" s="609" t="s">
        <v>3407</v>
      </c>
      <c r="C1658" s="610" t="s">
        <v>170</v>
      </c>
      <c r="D1658" s="727">
        <v>4500206305</v>
      </c>
      <c r="E1658" s="610" t="s">
        <v>10047</v>
      </c>
      <c r="F1658" s="554" t="s">
        <v>10048</v>
      </c>
      <c r="G1658" s="610" t="s">
        <v>6787</v>
      </c>
      <c r="H1658" s="610" t="s">
        <v>6126</v>
      </c>
      <c r="I1658" s="715">
        <v>648</v>
      </c>
      <c r="J1658" s="610">
        <v>0</v>
      </c>
      <c r="K1658" s="610">
        <v>12</v>
      </c>
      <c r="L1658" s="611">
        <f t="shared" si="667"/>
        <v>54</v>
      </c>
      <c r="M1658" s="612">
        <v>46204</v>
      </c>
      <c r="N1658" s="724">
        <v>46203</v>
      </c>
      <c r="O1658" s="613"/>
      <c r="P1658" s="610" t="s">
        <v>113</v>
      </c>
      <c r="Q1658" s="614">
        <v>46213</v>
      </c>
      <c r="R1658" s="614">
        <v>46154</v>
      </c>
      <c r="S1658" s="614" t="s">
        <v>104</v>
      </c>
      <c r="T1658" s="614" t="s">
        <v>4742</v>
      </c>
      <c r="U1658" s="614"/>
      <c r="V1658" s="614"/>
      <c r="W1658" s="609"/>
      <c r="X1658" s="609" t="s">
        <v>10044</v>
      </c>
      <c r="Y1658" s="616" t="s">
        <v>1507</v>
      </c>
      <c r="Z1658" s="609">
        <v>2.2576</v>
      </c>
      <c r="AA1658" s="616">
        <f t="shared" si="668"/>
        <v>1462.9248</v>
      </c>
      <c r="AB1658" s="573"/>
      <c r="AC1658" s="697"/>
      <c r="AD1658" s="610" t="s">
        <v>8079</v>
      </c>
      <c r="AE1658" s="610" t="s">
        <v>82</v>
      </c>
      <c r="AF1658" s="610"/>
      <c r="AG1658" s="610"/>
      <c r="AH1658" s="609"/>
      <c r="AI1658" s="609">
        <v>648</v>
      </c>
      <c r="AJ1658" s="610">
        <f t="shared" si="669"/>
        <v>0</v>
      </c>
      <c r="AK1658" s="613"/>
      <c r="AL1658" s="610" t="s">
        <v>2368</v>
      </c>
      <c r="AM1658" s="610"/>
      <c r="AN1658" s="610">
        <f t="shared" si="670"/>
        <v>1296</v>
      </c>
      <c r="AO1658" s="554"/>
      <c r="AP1658" s="554"/>
      <c r="AQ1658" s="554">
        <f t="shared" si="671"/>
        <v>1296</v>
      </c>
      <c r="AR1658" s="619"/>
      <c r="AS1658" s="554"/>
      <c r="AT1658" s="554"/>
      <c r="AU1658" s="554">
        <f t="shared" si="672"/>
        <v>1296</v>
      </c>
      <c r="AV1658" s="554"/>
      <c r="AW1658" s="554"/>
      <c r="AX1658" s="714"/>
      <c r="AY1658" s="554"/>
      <c r="AZ1658" s="554"/>
      <c r="BA1658" s="554"/>
      <c r="BB1658" s="620">
        <f t="shared" si="673"/>
        <v>54</v>
      </c>
      <c r="BC1658" s="554"/>
      <c r="BD1658" s="554"/>
      <c r="BE1658" s="554"/>
      <c r="BF1658" s="554"/>
      <c r="BG1658" s="550"/>
      <c r="BH1658" s="554"/>
      <c r="BI1658" s="554"/>
      <c r="BJ1658" s="554"/>
      <c r="BK1658" s="554"/>
      <c r="BL1658" s="554"/>
      <c r="BM1658" s="554"/>
      <c r="BN1658" s="554"/>
      <c r="BO1658" s="554"/>
      <c r="BP1658" s="554"/>
      <c r="BQ1658" s="554"/>
      <c r="BR1658" s="554"/>
      <c r="BS1658" s="554"/>
      <c r="BT1658" s="554"/>
      <c r="BU1658" s="554"/>
      <c r="BV1658" s="554"/>
      <c r="BW1658" s="554"/>
      <c r="BX1658" s="554"/>
      <c r="BY1658" s="554"/>
      <c r="BZ1658" s="554"/>
      <c r="CA1658" s="720"/>
      <c r="CB1658" s="555"/>
      <c r="CC1658" s="721"/>
      <c r="CD1658" s="554"/>
      <c r="CE1658" s="554"/>
      <c r="CF1658" s="554"/>
      <c r="CG1658" s="554"/>
      <c r="CH1658" s="550"/>
      <c r="CI1658" s="554"/>
      <c r="CJ1658" s="554"/>
      <c r="CK1658" s="554"/>
      <c r="CL1658" s="554"/>
      <c r="CM1658" s="554"/>
      <c r="CN1658" s="554"/>
      <c r="CO1658" s="554"/>
      <c r="CP1658" s="619"/>
      <c r="CQ1658" s="619"/>
      <c r="CR1658" s="554">
        <f t="shared" si="674"/>
        <v>648</v>
      </c>
      <c r="CS1658" s="554">
        <f t="shared" si="675"/>
        <v>648</v>
      </c>
      <c r="CT1658" s="554">
        <f t="shared" si="676"/>
        <v>648</v>
      </c>
      <c r="CU1658" s="554">
        <f t="shared" si="677"/>
        <v>0</v>
      </c>
      <c r="CV1658" s="554">
        <f t="shared" si="678"/>
        <v>0</v>
      </c>
      <c r="CW1658" s="554">
        <f t="shared" si="679"/>
        <v>0</v>
      </c>
      <c r="CX1658" s="619"/>
      <c r="CY1658" s="619"/>
      <c r="CZ1658" s="619"/>
      <c r="DA1658" s="619"/>
      <c r="DB1658" s="619"/>
      <c r="DC1658" s="619"/>
      <c r="DD1658" s="619"/>
      <c r="DE1658" s="619"/>
      <c r="DF1658" s="619"/>
      <c r="DG1658" s="619"/>
      <c r="DH1658" s="619"/>
    </row>
    <row r="1659" s="550" customFormat="1" ht="31" customHeight="1" spans="1:113">
      <c r="A1659" s="608">
        <v>46154</v>
      </c>
      <c r="B1659" s="609" t="s">
        <v>3407</v>
      </c>
      <c r="C1659" s="610" t="s">
        <v>170</v>
      </c>
      <c r="D1659" s="727">
        <v>4500206308</v>
      </c>
      <c r="E1659" s="610" t="s">
        <v>10049</v>
      </c>
      <c r="F1659" s="554" t="s">
        <v>10050</v>
      </c>
      <c r="G1659" s="610" t="s">
        <v>6787</v>
      </c>
      <c r="H1659" s="610" t="s">
        <v>6126</v>
      </c>
      <c r="I1659" s="715">
        <v>168</v>
      </c>
      <c r="J1659" s="610">
        <v>0</v>
      </c>
      <c r="K1659" s="610">
        <v>12</v>
      </c>
      <c r="L1659" s="611">
        <f t="shared" si="667"/>
        <v>14</v>
      </c>
      <c r="M1659" s="612">
        <v>46204</v>
      </c>
      <c r="N1659" s="724">
        <v>46203</v>
      </c>
      <c r="O1659" s="613"/>
      <c r="P1659" s="610" t="s">
        <v>113</v>
      </c>
      <c r="Q1659" s="614">
        <v>46213</v>
      </c>
      <c r="R1659" s="614">
        <v>46154</v>
      </c>
      <c r="S1659" s="614" t="s">
        <v>104</v>
      </c>
      <c r="T1659" s="614" t="s">
        <v>4742</v>
      </c>
      <c r="U1659" s="614"/>
      <c r="V1659" s="614"/>
      <c r="W1659" s="609"/>
      <c r="X1659" s="609" t="s">
        <v>10051</v>
      </c>
      <c r="Y1659" s="616" t="s">
        <v>1507</v>
      </c>
      <c r="Z1659" s="609">
        <v>2.2196</v>
      </c>
      <c r="AA1659" s="616">
        <f t="shared" si="668"/>
        <v>372.8928</v>
      </c>
      <c r="AB1659" s="573"/>
      <c r="AC1659" s="697"/>
      <c r="AD1659" s="610" t="s">
        <v>8079</v>
      </c>
      <c r="AE1659" s="610" t="s">
        <v>82</v>
      </c>
      <c r="AF1659" s="610"/>
      <c r="AG1659" s="610"/>
      <c r="AH1659" s="609"/>
      <c r="AI1659" s="609">
        <v>168</v>
      </c>
      <c r="AJ1659" s="610">
        <f t="shared" si="669"/>
        <v>0</v>
      </c>
      <c r="AK1659" s="613"/>
      <c r="AL1659" s="610" t="s">
        <v>2368</v>
      </c>
      <c r="AM1659" s="610"/>
      <c r="AN1659" s="610">
        <f t="shared" si="670"/>
        <v>336</v>
      </c>
      <c r="AO1659" s="554"/>
      <c r="AP1659" s="554"/>
      <c r="AQ1659" s="554">
        <f t="shared" si="671"/>
        <v>336</v>
      </c>
      <c r="AR1659" s="619"/>
      <c r="AS1659" s="554"/>
      <c r="AT1659" s="554"/>
      <c r="AU1659" s="554">
        <f t="shared" si="672"/>
        <v>336</v>
      </c>
      <c r="AV1659" s="554"/>
      <c r="AW1659" s="554"/>
      <c r="AX1659" s="714"/>
      <c r="AY1659" s="554"/>
      <c r="AZ1659" s="554"/>
      <c r="BA1659" s="554"/>
      <c r="BB1659" s="620">
        <f t="shared" si="673"/>
        <v>14</v>
      </c>
      <c r="BC1659" s="554"/>
      <c r="BD1659" s="554"/>
      <c r="BE1659" s="554"/>
      <c r="BF1659" s="554"/>
      <c r="BG1659" s="550"/>
      <c r="BH1659" s="554"/>
      <c r="BI1659" s="554"/>
      <c r="BJ1659" s="554"/>
      <c r="BK1659" s="554"/>
      <c r="BL1659" s="554"/>
      <c r="BM1659" s="554"/>
      <c r="BN1659" s="554"/>
      <c r="BO1659" s="554"/>
      <c r="BP1659" s="554"/>
      <c r="BQ1659" s="554"/>
      <c r="BR1659" s="554"/>
      <c r="BS1659" s="554"/>
      <c r="BT1659" s="554"/>
      <c r="BU1659" s="554"/>
      <c r="BV1659" s="554"/>
      <c r="BW1659" s="554"/>
      <c r="BX1659" s="554"/>
      <c r="BY1659" s="554"/>
      <c r="BZ1659" s="554"/>
      <c r="CA1659" s="720"/>
      <c r="CB1659" s="555"/>
      <c r="CC1659" s="721"/>
      <c r="CD1659" s="554"/>
      <c r="CE1659" s="554"/>
      <c r="CF1659" s="554"/>
      <c r="CG1659" s="554"/>
      <c r="CH1659" s="550"/>
      <c r="CI1659" s="554"/>
      <c r="CJ1659" s="554"/>
      <c r="CK1659" s="554"/>
      <c r="CL1659" s="554"/>
      <c r="CM1659" s="554"/>
      <c r="CN1659" s="554"/>
      <c r="CO1659" s="554"/>
      <c r="CP1659" s="619"/>
      <c r="CQ1659" s="619"/>
      <c r="CR1659" s="554">
        <f t="shared" si="674"/>
        <v>168</v>
      </c>
      <c r="CS1659" s="554">
        <f t="shared" si="675"/>
        <v>168</v>
      </c>
      <c r="CT1659" s="554">
        <f t="shared" si="676"/>
        <v>168</v>
      </c>
      <c r="CU1659" s="554">
        <f t="shared" si="677"/>
        <v>0</v>
      </c>
      <c r="CV1659" s="554">
        <f t="shared" si="678"/>
        <v>0</v>
      </c>
      <c r="CW1659" s="554">
        <f t="shared" si="679"/>
        <v>0</v>
      </c>
      <c r="CX1659" s="619"/>
      <c r="CY1659" s="619"/>
      <c r="CZ1659" s="619"/>
      <c r="DA1659" s="619"/>
      <c r="DB1659" s="619"/>
      <c r="DC1659" s="619"/>
      <c r="DD1659" s="619"/>
      <c r="DE1659" s="619"/>
      <c r="DF1659" s="619"/>
      <c r="DG1659" s="619"/>
      <c r="DH1659" s="619"/>
    </row>
    <row r="1660" s="550" customFormat="1" ht="31" customHeight="1" spans="1:113">
      <c r="A1660" s="608">
        <v>46154</v>
      </c>
      <c r="B1660" s="609" t="s">
        <v>3407</v>
      </c>
      <c r="C1660" s="610" t="s">
        <v>170</v>
      </c>
      <c r="D1660" s="727">
        <v>4500206308</v>
      </c>
      <c r="E1660" s="610" t="s">
        <v>10052</v>
      </c>
      <c r="F1660" s="554" t="s">
        <v>10053</v>
      </c>
      <c r="G1660" s="610" t="s">
        <v>6787</v>
      </c>
      <c r="H1660" s="610" t="s">
        <v>6126</v>
      </c>
      <c r="I1660" s="715">
        <v>264</v>
      </c>
      <c r="J1660" s="610">
        <v>0</v>
      </c>
      <c r="K1660" s="610">
        <v>12</v>
      </c>
      <c r="L1660" s="611">
        <f t="shared" si="667"/>
        <v>22</v>
      </c>
      <c r="M1660" s="612">
        <v>46204</v>
      </c>
      <c r="N1660" s="724">
        <v>46203</v>
      </c>
      <c r="O1660" s="613"/>
      <c r="P1660" s="610" t="s">
        <v>113</v>
      </c>
      <c r="Q1660" s="614">
        <v>46213</v>
      </c>
      <c r="R1660" s="614">
        <v>46154</v>
      </c>
      <c r="S1660" s="614" t="s">
        <v>104</v>
      </c>
      <c r="T1660" s="614" t="s">
        <v>4742</v>
      </c>
      <c r="U1660" s="614"/>
      <c r="V1660" s="614"/>
      <c r="W1660" s="609"/>
      <c r="X1660" s="609" t="s">
        <v>10051</v>
      </c>
      <c r="Y1660" s="616" t="s">
        <v>1507</v>
      </c>
      <c r="Z1660" s="609">
        <v>2.2576</v>
      </c>
      <c r="AA1660" s="616">
        <f t="shared" si="668"/>
        <v>596.0064</v>
      </c>
      <c r="AB1660" s="573"/>
      <c r="AC1660" s="697"/>
      <c r="AD1660" s="610" t="s">
        <v>8079</v>
      </c>
      <c r="AE1660" s="610" t="s">
        <v>82</v>
      </c>
      <c r="AF1660" s="610"/>
      <c r="AG1660" s="610"/>
      <c r="AH1660" s="609"/>
      <c r="AI1660" s="609">
        <v>264</v>
      </c>
      <c r="AJ1660" s="610">
        <f t="shared" si="669"/>
        <v>0</v>
      </c>
      <c r="AK1660" s="613"/>
      <c r="AL1660" s="610" t="s">
        <v>2368</v>
      </c>
      <c r="AM1660" s="610"/>
      <c r="AN1660" s="610">
        <f t="shared" si="670"/>
        <v>528</v>
      </c>
      <c r="AO1660" s="554"/>
      <c r="AP1660" s="554"/>
      <c r="AQ1660" s="554">
        <f t="shared" si="671"/>
        <v>528</v>
      </c>
      <c r="AR1660" s="619"/>
      <c r="AS1660" s="554"/>
      <c r="AT1660" s="554"/>
      <c r="AU1660" s="554">
        <f t="shared" si="672"/>
        <v>528</v>
      </c>
      <c r="AV1660" s="554"/>
      <c r="AW1660" s="554"/>
      <c r="AX1660" s="714"/>
      <c r="AY1660" s="554"/>
      <c r="AZ1660" s="554"/>
      <c r="BA1660" s="554"/>
      <c r="BB1660" s="620">
        <f t="shared" si="673"/>
        <v>22</v>
      </c>
      <c r="BC1660" s="554"/>
      <c r="BD1660" s="554"/>
      <c r="BE1660" s="554"/>
      <c r="BF1660" s="554"/>
      <c r="BG1660" s="550"/>
      <c r="BH1660" s="554"/>
      <c r="BI1660" s="554"/>
      <c r="BJ1660" s="554"/>
      <c r="BK1660" s="554"/>
      <c r="BL1660" s="554"/>
      <c r="BM1660" s="554"/>
      <c r="BN1660" s="554"/>
      <c r="BO1660" s="554"/>
      <c r="BP1660" s="554"/>
      <c r="BQ1660" s="554"/>
      <c r="BR1660" s="554"/>
      <c r="BS1660" s="554"/>
      <c r="BT1660" s="554"/>
      <c r="BU1660" s="554"/>
      <c r="BV1660" s="554"/>
      <c r="BW1660" s="554"/>
      <c r="BX1660" s="554"/>
      <c r="BY1660" s="554"/>
      <c r="BZ1660" s="554"/>
      <c r="CA1660" s="720"/>
      <c r="CB1660" s="555"/>
      <c r="CC1660" s="721"/>
      <c r="CD1660" s="554"/>
      <c r="CE1660" s="554"/>
      <c r="CF1660" s="554"/>
      <c r="CG1660" s="554"/>
      <c r="CH1660" s="550"/>
      <c r="CI1660" s="554"/>
      <c r="CJ1660" s="554"/>
      <c r="CK1660" s="554"/>
      <c r="CL1660" s="554"/>
      <c r="CM1660" s="554"/>
      <c r="CN1660" s="554"/>
      <c r="CO1660" s="554"/>
      <c r="CP1660" s="619"/>
      <c r="CQ1660" s="619"/>
      <c r="CR1660" s="554">
        <f t="shared" si="674"/>
        <v>264</v>
      </c>
      <c r="CS1660" s="554">
        <f t="shared" si="675"/>
        <v>264</v>
      </c>
      <c r="CT1660" s="554">
        <f t="shared" si="676"/>
        <v>264</v>
      </c>
      <c r="CU1660" s="554">
        <f t="shared" si="677"/>
        <v>0</v>
      </c>
      <c r="CV1660" s="554">
        <f t="shared" si="678"/>
        <v>0</v>
      </c>
      <c r="CW1660" s="554">
        <f t="shared" si="679"/>
        <v>0</v>
      </c>
      <c r="CX1660" s="619"/>
      <c r="CY1660" s="619"/>
      <c r="CZ1660" s="619"/>
      <c r="DA1660" s="619"/>
      <c r="DB1660" s="619"/>
      <c r="DC1660" s="619"/>
      <c r="DD1660" s="619"/>
      <c r="DE1660" s="619"/>
      <c r="DF1660" s="619"/>
      <c r="DG1660" s="619"/>
      <c r="DH1660" s="619"/>
    </row>
    <row r="1661" s="550" customFormat="1" ht="31" customHeight="1" spans="1:113">
      <c r="A1661" s="608">
        <v>46154</v>
      </c>
      <c r="B1661" s="609" t="s">
        <v>3407</v>
      </c>
      <c r="C1661" s="610" t="s">
        <v>170</v>
      </c>
      <c r="D1661" s="727">
        <v>4500206329</v>
      </c>
      <c r="E1661" s="610" t="s">
        <v>10054</v>
      </c>
      <c r="F1661" s="554" t="s">
        <v>10055</v>
      </c>
      <c r="G1661" s="610" t="s">
        <v>6787</v>
      </c>
      <c r="H1661" s="610" t="s">
        <v>6126</v>
      </c>
      <c r="I1661" s="715">
        <v>204</v>
      </c>
      <c r="J1661" s="610">
        <v>0</v>
      </c>
      <c r="K1661" s="610">
        <v>12</v>
      </c>
      <c r="L1661" s="611">
        <f t="shared" si="667"/>
        <v>17</v>
      </c>
      <c r="M1661" s="612">
        <v>46204</v>
      </c>
      <c r="N1661" s="724">
        <v>46203</v>
      </c>
      <c r="O1661" s="613"/>
      <c r="P1661" s="610" t="s">
        <v>113</v>
      </c>
      <c r="Q1661" s="614">
        <v>46213</v>
      </c>
      <c r="R1661" s="614">
        <v>46154</v>
      </c>
      <c r="S1661" s="614" t="s">
        <v>104</v>
      </c>
      <c r="T1661" s="614" t="s">
        <v>4742</v>
      </c>
      <c r="U1661" s="614"/>
      <c r="V1661" s="614"/>
      <c r="W1661" s="609"/>
      <c r="X1661" s="609" t="s">
        <v>10056</v>
      </c>
      <c r="Y1661" s="616" t="s">
        <v>1507</v>
      </c>
      <c r="Z1661" s="609">
        <v>2.2576</v>
      </c>
      <c r="AA1661" s="616">
        <f t="shared" si="668"/>
        <v>460.5504</v>
      </c>
      <c r="AB1661" s="573"/>
      <c r="AC1661" s="697"/>
      <c r="AD1661" s="610" t="s">
        <v>8079</v>
      </c>
      <c r="AE1661" s="610" t="s">
        <v>82</v>
      </c>
      <c r="AF1661" s="610"/>
      <c r="AG1661" s="610"/>
      <c r="AH1661" s="609"/>
      <c r="AI1661" s="609">
        <v>204</v>
      </c>
      <c r="AJ1661" s="610">
        <f t="shared" si="669"/>
        <v>0</v>
      </c>
      <c r="AK1661" s="613"/>
      <c r="AL1661" s="610" t="s">
        <v>2368</v>
      </c>
      <c r="AM1661" s="610"/>
      <c r="AN1661" s="610">
        <f t="shared" si="670"/>
        <v>408</v>
      </c>
      <c r="AO1661" s="554"/>
      <c r="AP1661" s="554"/>
      <c r="AQ1661" s="554">
        <f t="shared" si="671"/>
        <v>408</v>
      </c>
      <c r="AR1661" s="619"/>
      <c r="AS1661" s="554"/>
      <c r="AT1661" s="554"/>
      <c r="AU1661" s="554">
        <f t="shared" si="672"/>
        <v>408</v>
      </c>
      <c r="AV1661" s="554"/>
      <c r="AW1661" s="554"/>
      <c r="AX1661" s="714"/>
      <c r="AY1661" s="554"/>
      <c r="AZ1661" s="554"/>
      <c r="BA1661" s="554"/>
      <c r="BB1661" s="620">
        <f t="shared" si="673"/>
        <v>17</v>
      </c>
      <c r="BC1661" s="554"/>
      <c r="BD1661" s="554"/>
      <c r="BE1661" s="554"/>
      <c r="BF1661" s="554"/>
      <c r="BG1661" s="550"/>
      <c r="BH1661" s="554"/>
      <c r="BI1661" s="554"/>
      <c r="BJ1661" s="554"/>
      <c r="BK1661" s="554"/>
      <c r="BL1661" s="554"/>
      <c r="BM1661" s="554"/>
      <c r="BN1661" s="554"/>
      <c r="BO1661" s="554"/>
      <c r="BP1661" s="554"/>
      <c r="BQ1661" s="554"/>
      <c r="BR1661" s="554"/>
      <c r="BS1661" s="554"/>
      <c r="BT1661" s="554"/>
      <c r="BU1661" s="554"/>
      <c r="BV1661" s="554"/>
      <c r="BW1661" s="554"/>
      <c r="BX1661" s="554"/>
      <c r="BY1661" s="554"/>
      <c r="BZ1661" s="554"/>
      <c r="CA1661" s="720"/>
      <c r="CB1661" s="555"/>
      <c r="CC1661" s="721"/>
      <c r="CD1661" s="554"/>
      <c r="CE1661" s="554"/>
      <c r="CF1661" s="554"/>
      <c r="CG1661" s="554"/>
      <c r="CH1661" s="550"/>
      <c r="CI1661" s="554"/>
      <c r="CJ1661" s="554"/>
      <c r="CK1661" s="554"/>
      <c r="CL1661" s="554"/>
      <c r="CM1661" s="554"/>
      <c r="CN1661" s="554"/>
      <c r="CO1661" s="554"/>
      <c r="CP1661" s="619"/>
      <c r="CQ1661" s="619"/>
      <c r="CR1661" s="554">
        <f t="shared" si="674"/>
        <v>204</v>
      </c>
      <c r="CS1661" s="554">
        <f t="shared" si="675"/>
        <v>204</v>
      </c>
      <c r="CT1661" s="554">
        <f t="shared" si="676"/>
        <v>204</v>
      </c>
      <c r="CU1661" s="554">
        <f t="shared" si="677"/>
        <v>0</v>
      </c>
      <c r="CV1661" s="554">
        <f t="shared" si="678"/>
        <v>0</v>
      </c>
      <c r="CW1661" s="554">
        <f t="shared" si="679"/>
        <v>0</v>
      </c>
      <c r="CX1661" s="619"/>
      <c r="CY1661" s="619"/>
      <c r="CZ1661" s="619"/>
      <c r="DA1661" s="619"/>
      <c r="DB1661" s="619"/>
      <c r="DC1661" s="619"/>
      <c r="DD1661" s="619"/>
      <c r="DE1661" s="619"/>
      <c r="DF1661" s="619"/>
      <c r="DG1661" s="619"/>
      <c r="DH1661" s="619"/>
    </row>
    <row r="1662" s="550" customFormat="1" ht="31" customHeight="1" spans="1:113">
      <c r="A1662" s="608">
        <v>46154</v>
      </c>
      <c r="B1662" s="609" t="s">
        <v>3407</v>
      </c>
      <c r="C1662" s="610" t="s">
        <v>170</v>
      </c>
      <c r="D1662" s="727">
        <v>4500206329</v>
      </c>
      <c r="E1662" s="610" t="s">
        <v>10057</v>
      </c>
      <c r="F1662" s="554" t="s">
        <v>10058</v>
      </c>
      <c r="G1662" s="610" t="s">
        <v>6787</v>
      </c>
      <c r="H1662" s="610" t="s">
        <v>6126</v>
      </c>
      <c r="I1662" s="715">
        <v>228</v>
      </c>
      <c r="J1662" s="610">
        <v>0</v>
      </c>
      <c r="K1662" s="610">
        <v>12</v>
      </c>
      <c r="L1662" s="611">
        <f t="shared" si="667"/>
        <v>19</v>
      </c>
      <c r="M1662" s="612">
        <v>46204</v>
      </c>
      <c r="N1662" s="724">
        <v>46203</v>
      </c>
      <c r="O1662" s="613"/>
      <c r="P1662" s="610" t="s">
        <v>113</v>
      </c>
      <c r="Q1662" s="614">
        <v>46213</v>
      </c>
      <c r="R1662" s="614">
        <v>46154</v>
      </c>
      <c r="S1662" s="614" t="s">
        <v>104</v>
      </c>
      <c r="T1662" s="614" t="s">
        <v>4742</v>
      </c>
      <c r="U1662" s="614"/>
      <c r="V1662" s="614"/>
      <c r="W1662" s="609"/>
      <c r="X1662" s="609" t="s">
        <v>10056</v>
      </c>
      <c r="Y1662" s="616" t="s">
        <v>1507</v>
      </c>
      <c r="Z1662" s="609">
        <v>2.2576</v>
      </c>
      <c r="AA1662" s="616">
        <f t="shared" si="668"/>
        <v>514.7328</v>
      </c>
      <c r="AB1662" s="573"/>
      <c r="AC1662" s="697"/>
      <c r="AD1662" s="610" t="s">
        <v>8079</v>
      </c>
      <c r="AE1662" s="610" t="s">
        <v>82</v>
      </c>
      <c r="AF1662" s="610"/>
      <c r="AG1662" s="610"/>
      <c r="AH1662" s="609"/>
      <c r="AI1662" s="609">
        <v>228</v>
      </c>
      <c r="AJ1662" s="610">
        <f t="shared" si="669"/>
        <v>0</v>
      </c>
      <c r="AK1662" s="613"/>
      <c r="AL1662" s="610" t="s">
        <v>2368</v>
      </c>
      <c r="AM1662" s="610"/>
      <c r="AN1662" s="610">
        <f t="shared" si="670"/>
        <v>456</v>
      </c>
      <c r="AO1662" s="554"/>
      <c r="AP1662" s="554"/>
      <c r="AQ1662" s="554">
        <f t="shared" si="671"/>
        <v>456</v>
      </c>
      <c r="AR1662" s="619"/>
      <c r="AS1662" s="554"/>
      <c r="AT1662" s="554"/>
      <c r="AU1662" s="554">
        <f t="shared" si="672"/>
        <v>456</v>
      </c>
      <c r="AV1662" s="554"/>
      <c r="AW1662" s="554"/>
      <c r="AX1662" s="714"/>
      <c r="AY1662" s="554"/>
      <c r="AZ1662" s="554"/>
      <c r="BA1662" s="554"/>
      <c r="BB1662" s="620">
        <f t="shared" si="673"/>
        <v>19</v>
      </c>
      <c r="BC1662" s="554"/>
      <c r="BD1662" s="554"/>
      <c r="BE1662" s="554"/>
      <c r="BF1662" s="554"/>
      <c r="BG1662" s="550"/>
      <c r="BH1662" s="554"/>
      <c r="BI1662" s="554"/>
      <c r="BJ1662" s="554"/>
      <c r="BK1662" s="554"/>
      <c r="BL1662" s="554"/>
      <c r="BM1662" s="554"/>
      <c r="BN1662" s="554"/>
      <c r="BO1662" s="554"/>
      <c r="BP1662" s="554"/>
      <c r="BQ1662" s="554"/>
      <c r="BR1662" s="554"/>
      <c r="BS1662" s="554"/>
      <c r="BT1662" s="554"/>
      <c r="BU1662" s="554"/>
      <c r="BV1662" s="554"/>
      <c r="BW1662" s="554"/>
      <c r="BX1662" s="554"/>
      <c r="BY1662" s="554"/>
      <c r="BZ1662" s="554"/>
      <c r="CA1662" s="720"/>
      <c r="CB1662" s="555"/>
      <c r="CC1662" s="721"/>
      <c r="CD1662" s="554"/>
      <c r="CE1662" s="554"/>
      <c r="CF1662" s="554"/>
      <c r="CG1662" s="554"/>
      <c r="CH1662" s="550"/>
      <c r="CI1662" s="554"/>
      <c r="CJ1662" s="554"/>
      <c r="CK1662" s="554"/>
      <c r="CL1662" s="554"/>
      <c r="CM1662" s="554"/>
      <c r="CN1662" s="554"/>
      <c r="CO1662" s="554"/>
      <c r="CP1662" s="619"/>
      <c r="CQ1662" s="619"/>
      <c r="CR1662" s="554">
        <f t="shared" si="674"/>
        <v>228</v>
      </c>
      <c r="CS1662" s="554">
        <f t="shared" si="675"/>
        <v>228</v>
      </c>
      <c r="CT1662" s="554">
        <f t="shared" si="676"/>
        <v>228</v>
      </c>
      <c r="CU1662" s="554">
        <f t="shared" si="677"/>
        <v>0</v>
      </c>
      <c r="CV1662" s="554">
        <f t="shared" si="678"/>
        <v>0</v>
      </c>
      <c r="CW1662" s="554">
        <f t="shared" si="679"/>
        <v>0</v>
      </c>
      <c r="CX1662" s="619"/>
      <c r="CY1662" s="619"/>
      <c r="CZ1662" s="619"/>
      <c r="DA1662" s="619"/>
      <c r="DB1662" s="619"/>
      <c r="DC1662" s="619"/>
      <c r="DD1662" s="619"/>
      <c r="DE1662" s="619"/>
      <c r="DF1662" s="619"/>
      <c r="DG1662" s="619"/>
      <c r="DH1662" s="619"/>
    </row>
    <row r="1663" s="550" customFormat="1" ht="31" customHeight="1" spans="1:113">
      <c r="A1663" s="608">
        <v>46154</v>
      </c>
      <c r="B1663" s="609" t="s">
        <v>3407</v>
      </c>
      <c r="C1663" s="610" t="s">
        <v>170</v>
      </c>
      <c r="D1663" s="727">
        <v>4500206329</v>
      </c>
      <c r="E1663" s="610" t="s">
        <v>10059</v>
      </c>
      <c r="F1663" s="554" t="s">
        <v>10060</v>
      </c>
      <c r="G1663" s="610" t="s">
        <v>6787</v>
      </c>
      <c r="H1663" s="610" t="s">
        <v>6126</v>
      </c>
      <c r="I1663" s="715">
        <v>108</v>
      </c>
      <c r="J1663" s="610">
        <v>0</v>
      </c>
      <c r="K1663" s="610">
        <v>12</v>
      </c>
      <c r="L1663" s="611">
        <f t="shared" si="667"/>
        <v>9</v>
      </c>
      <c r="M1663" s="612">
        <v>46204</v>
      </c>
      <c r="N1663" s="724">
        <v>46203</v>
      </c>
      <c r="O1663" s="613"/>
      <c r="P1663" s="610" t="s">
        <v>113</v>
      </c>
      <c r="Q1663" s="614">
        <v>46213</v>
      </c>
      <c r="R1663" s="614">
        <v>46154</v>
      </c>
      <c r="S1663" s="614" t="s">
        <v>104</v>
      </c>
      <c r="T1663" s="614" t="s">
        <v>4742</v>
      </c>
      <c r="U1663" s="614"/>
      <c r="V1663" s="614"/>
      <c r="W1663" s="609"/>
      <c r="X1663" s="609" t="s">
        <v>10056</v>
      </c>
      <c r="Y1663" s="616" t="s">
        <v>1507</v>
      </c>
      <c r="Z1663" s="609">
        <v>2.2576</v>
      </c>
      <c r="AA1663" s="616">
        <f t="shared" si="668"/>
        <v>243.8208</v>
      </c>
      <c r="AB1663" s="573"/>
      <c r="AC1663" s="697"/>
      <c r="AD1663" s="610" t="s">
        <v>8079</v>
      </c>
      <c r="AE1663" s="610" t="s">
        <v>82</v>
      </c>
      <c r="AF1663" s="610"/>
      <c r="AG1663" s="610"/>
      <c r="AH1663" s="609"/>
      <c r="AI1663" s="609">
        <v>108</v>
      </c>
      <c r="AJ1663" s="610">
        <f t="shared" si="669"/>
        <v>0</v>
      </c>
      <c r="AK1663" s="613"/>
      <c r="AL1663" s="610" t="s">
        <v>2368</v>
      </c>
      <c r="AM1663" s="610"/>
      <c r="AN1663" s="610">
        <f t="shared" si="670"/>
        <v>216</v>
      </c>
      <c r="AO1663" s="554"/>
      <c r="AP1663" s="554"/>
      <c r="AQ1663" s="554">
        <f t="shared" si="671"/>
        <v>216</v>
      </c>
      <c r="AR1663" s="619"/>
      <c r="AS1663" s="554"/>
      <c r="AT1663" s="554"/>
      <c r="AU1663" s="554">
        <f t="shared" si="672"/>
        <v>216</v>
      </c>
      <c r="AV1663" s="554"/>
      <c r="AW1663" s="554"/>
      <c r="AX1663" s="714"/>
      <c r="AY1663" s="554"/>
      <c r="AZ1663" s="554"/>
      <c r="BA1663" s="554"/>
      <c r="BB1663" s="620">
        <f t="shared" si="673"/>
        <v>9</v>
      </c>
      <c r="BC1663" s="554"/>
      <c r="BD1663" s="554"/>
      <c r="BE1663" s="554"/>
      <c r="BF1663" s="554"/>
      <c r="BG1663" s="550"/>
      <c r="BH1663" s="554"/>
      <c r="BI1663" s="554"/>
      <c r="BJ1663" s="554"/>
      <c r="BK1663" s="554"/>
      <c r="BL1663" s="554"/>
      <c r="BM1663" s="554"/>
      <c r="BN1663" s="554"/>
      <c r="BO1663" s="554"/>
      <c r="BP1663" s="554"/>
      <c r="BQ1663" s="554"/>
      <c r="BR1663" s="554"/>
      <c r="BS1663" s="554"/>
      <c r="BT1663" s="554"/>
      <c r="BU1663" s="554"/>
      <c r="BV1663" s="554"/>
      <c r="BW1663" s="554"/>
      <c r="BX1663" s="554"/>
      <c r="BY1663" s="554"/>
      <c r="BZ1663" s="554"/>
      <c r="CA1663" s="720"/>
      <c r="CB1663" s="555"/>
      <c r="CC1663" s="721"/>
      <c r="CD1663" s="554"/>
      <c r="CE1663" s="554"/>
      <c r="CF1663" s="554"/>
      <c r="CG1663" s="554"/>
      <c r="CH1663" s="550"/>
      <c r="CI1663" s="554"/>
      <c r="CJ1663" s="554"/>
      <c r="CK1663" s="554"/>
      <c r="CL1663" s="554"/>
      <c r="CM1663" s="554"/>
      <c r="CN1663" s="554"/>
      <c r="CO1663" s="554"/>
      <c r="CP1663" s="619"/>
      <c r="CQ1663" s="619"/>
      <c r="CR1663" s="554">
        <f t="shared" si="674"/>
        <v>108</v>
      </c>
      <c r="CS1663" s="554">
        <f t="shared" si="675"/>
        <v>108</v>
      </c>
      <c r="CT1663" s="554">
        <f t="shared" si="676"/>
        <v>108</v>
      </c>
      <c r="CU1663" s="554">
        <f t="shared" si="677"/>
        <v>0</v>
      </c>
      <c r="CV1663" s="554">
        <f t="shared" si="678"/>
        <v>0</v>
      </c>
      <c r="CW1663" s="554">
        <f t="shared" si="679"/>
        <v>0</v>
      </c>
      <c r="CX1663" s="619"/>
      <c r="CY1663" s="619"/>
      <c r="CZ1663" s="619"/>
      <c r="DA1663" s="619"/>
      <c r="DB1663" s="619"/>
      <c r="DC1663" s="619"/>
      <c r="DD1663" s="619"/>
      <c r="DE1663" s="619"/>
      <c r="DF1663" s="619"/>
      <c r="DG1663" s="619"/>
      <c r="DH1663" s="619"/>
    </row>
    <row r="1664" s="550" customFormat="1" ht="31" customHeight="1" spans="1:113">
      <c r="A1664" s="608">
        <v>46154</v>
      </c>
      <c r="B1664" s="609" t="s">
        <v>3407</v>
      </c>
      <c r="C1664" s="610" t="s">
        <v>170</v>
      </c>
      <c r="D1664" s="727">
        <v>4500206329</v>
      </c>
      <c r="E1664" s="610" t="s">
        <v>10061</v>
      </c>
      <c r="F1664" s="554" t="s">
        <v>10062</v>
      </c>
      <c r="G1664" s="610" t="s">
        <v>6787</v>
      </c>
      <c r="H1664" s="610" t="s">
        <v>6126</v>
      </c>
      <c r="I1664" s="715">
        <v>312</v>
      </c>
      <c r="J1664" s="610">
        <v>0</v>
      </c>
      <c r="K1664" s="610">
        <v>12</v>
      </c>
      <c r="L1664" s="611">
        <f t="shared" si="667"/>
        <v>26</v>
      </c>
      <c r="M1664" s="612">
        <v>46204</v>
      </c>
      <c r="N1664" s="724">
        <v>46203</v>
      </c>
      <c r="O1664" s="613"/>
      <c r="P1664" s="610" t="s">
        <v>113</v>
      </c>
      <c r="Q1664" s="614">
        <v>46213</v>
      </c>
      <c r="R1664" s="614">
        <v>46154</v>
      </c>
      <c r="S1664" s="614" t="s">
        <v>104</v>
      </c>
      <c r="T1664" s="614" t="s">
        <v>4742</v>
      </c>
      <c r="U1664" s="614"/>
      <c r="V1664" s="614"/>
      <c r="W1664" s="609"/>
      <c r="X1664" s="609" t="s">
        <v>10056</v>
      </c>
      <c r="Y1664" s="616" t="s">
        <v>1507</v>
      </c>
      <c r="Z1664" s="609">
        <v>2.2576</v>
      </c>
      <c r="AA1664" s="616">
        <f t="shared" si="668"/>
        <v>704.3712</v>
      </c>
      <c r="AB1664" s="573"/>
      <c r="AC1664" s="697"/>
      <c r="AD1664" s="610" t="s">
        <v>8079</v>
      </c>
      <c r="AE1664" s="610" t="s">
        <v>82</v>
      </c>
      <c r="AF1664" s="610"/>
      <c r="AG1664" s="610"/>
      <c r="AH1664" s="609"/>
      <c r="AI1664" s="609">
        <v>312</v>
      </c>
      <c r="AJ1664" s="610">
        <f t="shared" si="669"/>
        <v>0</v>
      </c>
      <c r="AK1664" s="613"/>
      <c r="AL1664" s="610" t="s">
        <v>2368</v>
      </c>
      <c r="AM1664" s="610"/>
      <c r="AN1664" s="610">
        <f t="shared" si="670"/>
        <v>624</v>
      </c>
      <c r="AO1664" s="554"/>
      <c r="AP1664" s="554"/>
      <c r="AQ1664" s="554">
        <f t="shared" si="671"/>
        <v>624</v>
      </c>
      <c r="AR1664" s="619"/>
      <c r="AS1664" s="554"/>
      <c r="AT1664" s="554"/>
      <c r="AU1664" s="554">
        <f t="shared" si="672"/>
        <v>624</v>
      </c>
      <c r="AV1664" s="554"/>
      <c r="AW1664" s="554"/>
      <c r="AX1664" s="714"/>
      <c r="AY1664" s="554"/>
      <c r="AZ1664" s="554"/>
      <c r="BA1664" s="554"/>
      <c r="BB1664" s="620">
        <f t="shared" si="673"/>
        <v>26</v>
      </c>
      <c r="BC1664" s="554"/>
      <c r="BD1664" s="554"/>
      <c r="BE1664" s="554"/>
      <c r="BF1664" s="554"/>
      <c r="BG1664" s="550"/>
      <c r="BH1664" s="554"/>
      <c r="BI1664" s="554"/>
      <c r="BJ1664" s="554"/>
      <c r="BK1664" s="554"/>
      <c r="BL1664" s="554"/>
      <c r="BM1664" s="554"/>
      <c r="BN1664" s="554"/>
      <c r="BO1664" s="554"/>
      <c r="BP1664" s="554"/>
      <c r="BQ1664" s="554"/>
      <c r="BR1664" s="554"/>
      <c r="BS1664" s="554"/>
      <c r="BT1664" s="554"/>
      <c r="BU1664" s="554"/>
      <c r="BV1664" s="554"/>
      <c r="BW1664" s="554"/>
      <c r="BX1664" s="554"/>
      <c r="BY1664" s="554"/>
      <c r="BZ1664" s="554"/>
      <c r="CA1664" s="720"/>
      <c r="CB1664" s="555"/>
      <c r="CC1664" s="721"/>
      <c r="CD1664" s="554"/>
      <c r="CE1664" s="554"/>
      <c r="CF1664" s="554"/>
      <c r="CG1664" s="554"/>
      <c r="CH1664" s="550"/>
      <c r="CI1664" s="554"/>
      <c r="CJ1664" s="554"/>
      <c r="CK1664" s="554"/>
      <c r="CL1664" s="554"/>
      <c r="CM1664" s="554"/>
      <c r="CN1664" s="554"/>
      <c r="CO1664" s="554"/>
      <c r="CP1664" s="619"/>
      <c r="CQ1664" s="619"/>
      <c r="CR1664" s="554">
        <f t="shared" si="674"/>
        <v>312</v>
      </c>
      <c r="CS1664" s="554">
        <f t="shared" si="675"/>
        <v>312</v>
      </c>
      <c r="CT1664" s="554">
        <f t="shared" si="676"/>
        <v>312</v>
      </c>
      <c r="CU1664" s="554">
        <f t="shared" si="677"/>
        <v>0</v>
      </c>
      <c r="CV1664" s="554">
        <f t="shared" si="678"/>
        <v>0</v>
      </c>
      <c r="CW1664" s="554">
        <f t="shared" si="679"/>
        <v>0</v>
      </c>
      <c r="CX1664" s="619"/>
      <c r="CY1664" s="619"/>
      <c r="CZ1664" s="619"/>
      <c r="DA1664" s="619"/>
      <c r="DB1664" s="619"/>
      <c r="DC1664" s="619"/>
      <c r="DD1664" s="619"/>
      <c r="DE1664" s="619"/>
      <c r="DF1664" s="619"/>
      <c r="DG1664" s="619"/>
      <c r="DH1664" s="619"/>
    </row>
    <row r="1665" s="550" customFormat="1" ht="31" customHeight="1" spans="1:113">
      <c r="A1665" s="608">
        <v>46154</v>
      </c>
      <c r="B1665" s="609" t="s">
        <v>3407</v>
      </c>
      <c r="C1665" s="610" t="s">
        <v>170</v>
      </c>
      <c r="D1665" s="727">
        <v>4500206329</v>
      </c>
      <c r="E1665" s="610" t="s">
        <v>10063</v>
      </c>
      <c r="F1665" s="554" t="s">
        <v>10064</v>
      </c>
      <c r="G1665" s="610" t="s">
        <v>6787</v>
      </c>
      <c r="H1665" s="610" t="s">
        <v>6126</v>
      </c>
      <c r="I1665" s="715">
        <v>84</v>
      </c>
      <c r="J1665" s="610">
        <v>0</v>
      </c>
      <c r="K1665" s="610">
        <v>12</v>
      </c>
      <c r="L1665" s="611">
        <f t="shared" si="667"/>
        <v>7</v>
      </c>
      <c r="M1665" s="612">
        <v>46204</v>
      </c>
      <c r="N1665" s="724">
        <v>46203</v>
      </c>
      <c r="O1665" s="613"/>
      <c r="P1665" s="610" t="s">
        <v>113</v>
      </c>
      <c r="Q1665" s="614">
        <v>46213</v>
      </c>
      <c r="R1665" s="614">
        <v>46154</v>
      </c>
      <c r="S1665" s="614" t="s">
        <v>104</v>
      </c>
      <c r="T1665" s="614" t="s">
        <v>4742</v>
      </c>
      <c r="U1665" s="614"/>
      <c r="V1665" s="614"/>
      <c r="W1665" s="609"/>
      <c r="X1665" s="609" t="s">
        <v>10056</v>
      </c>
      <c r="Y1665" s="616" t="s">
        <v>1507</v>
      </c>
      <c r="Z1665" s="609">
        <v>2.2576</v>
      </c>
      <c r="AA1665" s="616">
        <f t="shared" si="668"/>
        <v>189.6384</v>
      </c>
      <c r="AB1665" s="573"/>
      <c r="AC1665" s="697"/>
      <c r="AD1665" s="610" t="s">
        <v>8079</v>
      </c>
      <c r="AE1665" s="610" t="s">
        <v>82</v>
      </c>
      <c r="AF1665" s="610"/>
      <c r="AG1665" s="610"/>
      <c r="AH1665" s="609"/>
      <c r="AI1665" s="609">
        <v>84</v>
      </c>
      <c r="AJ1665" s="610">
        <f t="shared" si="669"/>
        <v>0</v>
      </c>
      <c r="AK1665" s="613"/>
      <c r="AL1665" s="610" t="s">
        <v>2368</v>
      </c>
      <c r="AM1665" s="610"/>
      <c r="AN1665" s="610">
        <f t="shared" si="670"/>
        <v>168</v>
      </c>
      <c r="AO1665" s="554"/>
      <c r="AP1665" s="554"/>
      <c r="AQ1665" s="554">
        <f t="shared" si="671"/>
        <v>168</v>
      </c>
      <c r="AR1665" s="619"/>
      <c r="AS1665" s="554"/>
      <c r="AT1665" s="554"/>
      <c r="AU1665" s="554">
        <f t="shared" si="672"/>
        <v>168</v>
      </c>
      <c r="AV1665" s="554"/>
      <c r="AW1665" s="554"/>
      <c r="AX1665" s="714"/>
      <c r="AY1665" s="554"/>
      <c r="AZ1665" s="554"/>
      <c r="BA1665" s="554"/>
      <c r="BB1665" s="620">
        <f t="shared" si="673"/>
        <v>7</v>
      </c>
      <c r="BC1665" s="554"/>
      <c r="BD1665" s="554"/>
      <c r="BE1665" s="554"/>
      <c r="BF1665" s="554"/>
      <c r="BG1665" s="550"/>
      <c r="BH1665" s="554"/>
      <c r="BI1665" s="554"/>
      <c r="BJ1665" s="554"/>
      <c r="BK1665" s="554"/>
      <c r="BL1665" s="554"/>
      <c r="BM1665" s="554"/>
      <c r="BN1665" s="554"/>
      <c r="BO1665" s="554"/>
      <c r="BP1665" s="554"/>
      <c r="BQ1665" s="554"/>
      <c r="BR1665" s="554"/>
      <c r="BS1665" s="554"/>
      <c r="BT1665" s="554"/>
      <c r="BU1665" s="554"/>
      <c r="BV1665" s="554"/>
      <c r="BW1665" s="554"/>
      <c r="BX1665" s="554"/>
      <c r="BY1665" s="554"/>
      <c r="BZ1665" s="554"/>
      <c r="CA1665" s="720"/>
      <c r="CB1665" s="555"/>
      <c r="CC1665" s="721"/>
      <c r="CD1665" s="554"/>
      <c r="CE1665" s="554"/>
      <c r="CF1665" s="554"/>
      <c r="CG1665" s="554"/>
      <c r="CH1665" s="550"/>
      <c r="CI1665" s="554"/>
      <c r="CJ1665" s="554"/>
      <c r="CK1665" s="554"/>
      <c r="CL1665" s="554"/>
      <c r="CM1665" s="554"/>
      <c r="CN1665" s="554"/>
      <c r="CO1665" s="554"/>
      <c r="CP1665" s="619"/>
      <c r="CQ1665" s="619"/>
      <c r="CR1665" s="554">
        <f t="shared" si="674"/>
        <v>84</v>
      </c>
      <c r="CS1665" s="554">
        <f t="shared" si="675"/>
        <v>84</v>
      </c>
      <c r="CT1665" s="554">
        <f t="shared" si="676"/>
        <v>84</v>
      </c>
      <c r="CU1665" s="554">
        <f t="shared" si="677"/>
        <v>0</v>
      </c>
      <c r="CV1665" s="554">
        <f t="shared" si="678"/>
        <v>0</v>
      </c>
      <c r="CW1665" s="554">
        <f t="shared" si="679"/>
        <v>0</v>
      </c>
      <c r="CX1665" s="619"/>
      <c r="CY1665" s="619"/>
      <c r="CZ1665" s="619"/>
      <c r="DA1665" s="619"/>
      <c r="DB1665" s="619"/>
      <c r="DC1665" s="619"/>
      <c r="DD1665" s="619"/>
      <c r="DE1665" s="619"/>
      <c r="DF1665" s="619"/>
      <c r="DG1665" s="619"/>
      <c r="DH1665" s="619"/>
    </row>
    <row r="1666" s="550" customFormat="1" ht="31" customHeight="1" spans="1:113">
      <c r="A1666" s="608">
        <v>46154</v>
      </c>
      <c r="B1666" s="609" t="s">
        <v>3407</v>
      </c>
      <c r="C1666" s="610" t="s">
        <v>170</v>
      </c>
      <c r="D1666" s="727">
        <v>4500206339</v>
      </c>
      <c r="E1666" s="610" t="s">
        <v>10065</v>
      </c>
      <c r="F1666" s="554" t="s">
        <v>10066</v>
      </c>
      <c r="G1666" s="610" t="s">
        <v>6787</v>
      </c>
      <c r="H1666" s="610" t="s">
        <v>6126</v>
      </c>
      <c r="I1666" s="715">
        <v>12</v>
      </c>
      <c r="J1666" s="610">
        <v>0</v>
      </c>
      <c r="K1666" s="610">
        <v>12</v>
      </c>
      <c r="L1666" s="611">
        <f t="shared" si="667"/>
        <v>1</v>
      </c>
      <c r="M1666" s="612">
        <v>46204</v>
      </c>
      <c r="N1666" s="724">
        <v>46203</v>
      </c>
      <c r="O1666" s="613"/>
      <c r="P1666" s="610" t="s">
        <v>113</v>
      </c>
      <c r="Q1666" s="614"/>
      <c r="R1666" s="614">
        <v>46154</v>
      </c>
      <c r="S1666" s="614" t="s">
        <v>104</v>
      </c>
      <c r="T1666" s="614" t="s">
        <v>4742</v>
      </c>
      <c r="U1666" s="614"/>
      <c r="V1666" s="614"/>
      <c r="W1666" s="609"/>
      <c r="X1666" s="609" t="s">
        <v>10056</v>
      </c>
      <c r="Y1666" s="616" t="s">
        <v>1507</v>
      </c>
      <c r="Z1666" s="609">
        <v>2.2576</v>
      </c>
      <c r="AA1666" s="616">
        <f t="shared" si="668"/>
        <v>27.0912</v>
      </c>
      <c r="AB1666" s="573"/>
      <c r="AC1666" s="697"/>
      <c r="AD1666" s="610" t="s">
        <v>8079</v>
      </c>
      <c r="AE1666" s="610" t="s">
        <v>82</v>
      </c>
      <c r="AF1666" s="610"/>
      <c r="AG1666" s="610"/>
      <c r="AH1666" s="609"/>
      <c r="AI1666" s="609">
        <v>12</v>
      </c>
      <c r="AJ1666" s="610">
        <f t="shared" si="669"/>
        <v>0</v>
      </c>
      <c r="AK1666" s="613"/>
      <c r="AL1666" s="610"/>
      <c r="AM1666" s="610"/>
      <c r="AN1666" s="610">
        <f t="shared" si="670"/>
        <v>24</v>
      </c>
      <c r="AO1666" s="554"/>
      <c r="AP1666" s="554"/>
      <c r="AQ1666" s="554">
        <f t="shared" si="671"/>
        <v>24</v>
      </c>
      <c r="AR1666" s="619"/>
      <c r="AS1666" s="554"/>
      <c r="AT1666" s="554"/>
      <c r="AU1666" s="554">
        <f t="shared" si="672"/>
        <v>24</v>
      </c>
      <c r="AV1666" s="554"/>
      <c r="AW1666" s="554"/>
      <c r="AX1666" s="714"/>
      <c r="AY1666" s="554"/>
      <c r="AZ1666" s="554"/>
      <c r="BA1666" s="554"/>
      <c r="BB1666" s="620">
        <f t="shared" si="673"/>
        <v>1</v>
      </c>
      <c r="BC1666" s="554"/>
      <c r="BD1666" s="554"/>
      <c r="BE1666" s="554"/>
      <c r="BF1666" s="554"/>
      <c r="BG1666" s="550"/>
      <c r="BH1666" s="554"/>
      <c r="BI1666" s="554"/>
      <c r="BJ1666" s="554"/>
      <c r="BK1666" s="554"/>
      <c r="BL1666" s="554"/>
      <c r="BM1666" s="554"/>
      <c r="BN1666" s="554"/>
      <c r="BO1666" s="554"/>
      <c r="BP1666" s="554"/>
      <c r="BQ1666" s="554"/>
      <c r="BR1666" s="554"/>
      <c r="BS1666" s="554"/>
      <c r="BT1666" s="554"/>
      <c r="BU1666" s="554"/>
      <c r="BV1666" s="554"/>
      <c r="BW1666" s="554"/>
      <c r="BX1666" s="554"/>
      <c r="BY1666" s="554"/>
      <c r="BZ1666" s="554"/>
      <c r="CA1666" s="720"/>
      <c r="CB1666" s="555"/>
      <c r="CC1666" s="721"/>
      <c r="CD1666" s="554"/>
      <c r="CE1666" s="554"/>
      <c r="CF1666" s="554"/>
      <c r="CG1666" s="554"/>
      <c r="CH1666" s="550"/>
      <c r="CI1666" s="554"/>
      <c r="CJ1666" s="554"/>
      <c r="CK1666" s="554"/>
      <c r="CL1666" s="554"/>
      <c r="CM1666" s="554"/>
      <c r="CN1666" s="554"/>
      <c r="CO1666" s="554"/>
      <c r="CP1666" s="619"/>
      <c r="CQ1666" s="619"/>
      <c r="CR1666" s="554">
        <f t="shared" si="674"/>
        <v>12</v>
      </c>
      <c r="CS1666" s="554">
        <f t="shared" si="675"/>
        <v>12</v>
      </c>
      <c r="CT1666" s="554">
        <f t="shared" si="676"/>
        <v>12</v>
      </c>
      <c r="CU1666" s="554">
        <f t="shared" si="677"/>
        <v>0</v>
      </c>
      <c r="CV1666" s="554">
        <f t="shared" si="678"/>
        <v>0</v>
      </c>
      <c r="CW1666" s="554">
        <f t="shared" si="679"/>
        <v>0</v>
      </c>
      <c r="CX1666" s="619"/>
      <c r="CY1666" s="619"/>
      <c r="CZ1666" s="619"/>
      <c r="DA1666" s="619"/>
      <c r="DB1666" s="619"/>
      <c r="DC1666" s="619"/>
      <c r="DD1666" s="619"/>
      <c r="DE1666" s="619"/>
      <c r="DF1666" s="619"/>
      <c r="DG1666" s="619"/>
      <c r="DH1666" s="619"/>
    </row>
    <row r="1667" s="550" customFormat="1" ht="31" customHeight="1" spans="1:113">
      <c r="A1667" s="608">
        <v>46167</v>
      </c>
      <c r="B1667" s="609" t="s">
        <v>580</v>
      </c>
      <c r="C1667" s="610" t="s">
        <v>302</v>
      </c>
      <c r="D1667" s="727">
        <v>4500204061</v>
      </c>
      <c r="E1667" s="613">
        <v>2000010351</v>
      </c>
      <c r="F1667" s="554" t="s">
        <v>4773</v>
      </c>
      <c r="G1667" s="610" t="s">
        <v>6337</v>
      </c>
      <c r="H1667" s="610" t="s">
        <v>477</v>
      </c>
      <c r="I1667" s="715">
        <v>3600</v>
      </c>
      <c r="J1667" s="610">
        <v>0</v>
      </c>
      <c r="K1667" s="610">
        <v>6</v>
      </c>
      <c r="L1667" s="611">
        <f t="shared" si="667"/>
        <v>600</v>
      </c>
      <c r="M1667" s="612">
        <v>46209</v>
      </c>
      <c r="N1667" s="612">
        <v>46205</v>
      </c>
      <c r="O1667" s="737" t="s">
        <v>3368</v>
      </c>
      <c r="P1667" s="610" t="s">
        <v>113</v>
      </c>
      <c r="Q1667" s="614">
        <v>46232</v>
      </c>
      <c r="R1667" s="614">
        <v>46169</v>
      </c>
      <c r="S1667" s="614" t="s">
        <v>70</v>
      </c>
      <c r="T1667" s="614" t="s">
        <v>4775</v>
      </c>
      <c r="U1667" s="614"/>
      <c r="V1667" s="730" t="s">
        <v>10067</v>
      </c>
      <c r="W1667" s="614" t="s">
        <v>10068</v>
      </c>
      <c r="X1667" s="609" t="s">
        <v>4778</v>
      </c>
      <c r="Y1667" s="616" t="s">
        <v>415</v>
      </c>
      <c r="Z1667" s="609">
        <v>6.8196</v>
      </c>
      <c r="AA1667" s="616">
        <f t="shared" si="668"/>
        <v>24550.56</v>
      </c>
      <c r="AB1667" s="573"/>
      <c r="AC1667" s="697"/>
      <c r="AD1667" s="609" t="s">
        <v>480</v>
      </c>
      <c r="AE1667" s="610" t="s">
        <v>82</v>
      </c>
      <c r="AF1667" s="610"/>
      <c r="AG1667" s="610"/>
      <c r="AH1667" s="609"/>
      <c r="AI1667" s="609">
        <f>3294+306</f>
        <v>3600</v>
      </c>
      <c r="AJ1667" s="610">
        <f t="shared" si="669"/>
        <v>0</v>
      </c>
      <c r="AK1667" s="613"/>
      <c r="AL1667" s="610" t="s">
        <v>2368</v>
      </c>
      <c r="AM1667" s="610"/>
      <c r="AN1667" s="554"/>
      <c r="AO1667" s="554">
        <f>I1667*2</f>
        <v>7200</v>
      </c>
      <c r="AP1667" s="554"/>
      <c r="AQ1667" s="554"/>
      <c r="AR1667" s="619"/>
      <c r="AS1667" s="554"/>
      <c r="AT1667" s="554">
        <f>I1667*2</f>
        <v>7200</v>
      </c>
      <c r="AU1667" s="554"/>
      <c r="AV1667" s="554">
        <f>I1667*2</f>
        <v>7200</v>
      </c>
      <c r="AW1667" s="554"/>
      <c r="AX1667" s="714"/>
      <c r="AY1667" s="554"/>
      <c r="AZ1667" s="554"/>
      <c r="BA1667" s="554"/>
      <c r="BB1667" s="620">
        <f t="shared" si="673"/>
        <v>300</v>
      </c>
      <c r="BC1667" s="554"/>
      <c r="BD1667" s="554"/>
      <c r="BE1667" s="554"/>
      <c r="BF1667" s="554"/>
      <c r="BG1667" s="550"/>
      <c r="BH1667" s="554"/>
      <c r="BI1667" s="554"/>
      <c r="BJ1667" s="554"/>
      <c r="BK1667" s="554"/>
      <c r="BL1667" s="554"/>
      <c r="BM1667" s="554"/>
      <c r="BN1667" s="554"/>
      <c r="BO1667" s="554"/>
      <c r="BP1667" s="554"/>
      <c r="BQ1667" s="554"/>
      <c r="BR1667" s="554"/>
      <c r="BS1667" s="554"/>
      <c r="BT1667" s="554"/>
      <c r="BU1667" s="554"/>
      <c r="BV1667" s="554"/>
      <c r="BW1667" s="554"/>
      <c r="BX1667" s="554"/>
      <c r="BY1667" s="554"/>
      <c r="BZ1667" s="554"/>
      <c r="CA1667" s="720"/>
      <c r="CB1667" s="555"/>
      <c r="CC1667" s="721"/>
      <c r="CD1667" s="619">
        <f>I1667</f>
        <v>3600</v>
      </c>
      <c r="CE1667" s="554"/>
      <c r="CF1667" s="554"/>
      <c r="CG1667" s="554"/>
      <c r="CH1667" s="550"/>
      <c r="CI1667" s="554"/>
      <c r="CJ1667" s="554"/>
      <c r="CK1667" s="554"/>
      <c r="CL1667" s="554"/>
      <c r="CM1667" s="554"/>
      <c r="CN1667" s="554"/>
      <c r="CO1667" s="554"/>
      <c r="CP1667" s="619"/>
      <c r="CQ1667" s="619"/>
      <c r="CR1667" s="554"/>
      <c r="CS1667" s="554"/>
      <c r="CT1667" s="554"/>
      <c r="CU1667" s="554">
        <f t="shared" si="677"/>
        <v>0</v>
      </c>
      <c r="CV1667" s="554">
        <v>0</v>
      </c>
      <c r="CW1667" s="554">
        <v>0</v>
      </c>
      <c r="CX1667" s="619"/>
      <c r="CY1667" s="619"/>
      <c r="CZ1667" s="619"/>
      <c r="DA1667" s="619"/>
      <c r="DB1667" s="619"/>
      <c r="DC1667" s="619"/>
      <c r="DD1667" s="619"/>
      <c r="DE1667" s="619"/>
      <c r="DF1667" s="619"/>
      <c r="DG1667" s="619"/>
      <c r="DH1667" s="619"/>
      <c r="DI1667" s="554"/>
    </row>
    <row r="1668" s="550" customFormat="1" ht="31" customHeight="1" spans="1:113">
      <c r="A1668" s="608">
        <v>46163</v>
      </c>
      <c r="B1668" s="609" t="s">
        <v>246</v>
      </c>
      <c r="C1668" s="610" t="s">
        <v>98</v>
      </c>
      <c r="D1668" s="727">
        <v>4500208412</v>
      </c>
      <c r="E1668" s="610" t="s">
        <v>10069</v>
      </c>
      <c r="F1668" s="554" t="s">
        <v>10070</v>
      </c>
      <c r="G1668" s="610" t="s">
        <v>6084</v>
      </c>
      <c r="H1668" s="610" t="s">
        <v>6069</v>
      </c>
      <c r="I1668" s="715">
        <v>6550</v>
      </c>
      <c r="J1668" s="610">
        <v>0</v>
      </c>
      <c r="K1668" s="610">
        <v>25</v>
      </c>
      <c r="L1668" s="611">
        <f t="shared" si="667"/>
        <v>262</v>
      </c>
      <c r="M1668" s="612">
        <v>46213</v>
      </c>
      <c r="N1668" s="724">
        <v>46211</v>
      </c>
      <c r="O1668" s="613"/>
      <c r="P1668" s="610" t="s">
        <v>113</v>
      </c>
      <c r="Q1668" s="614">
        <v>46228</v>
      </c>
      <c r="R1668" s="614">
        <v>46183</v>
      </c>
      <c r="S1668" s="614" t="s">
        <v>104</v>
      </c>
      <c r="T1668" s="614" t="s">
        <v>10071</v>
      </c>
      <c r="U1668" s="614"/>
      <c r="V1668" s="614"/>
      <c r="W1668" s="609"/>
      <c r="X1668" s="609" t="s">
        <v>10072</v>
      </c>
      <c r="Y1668" s="616" t="s">
        <v>3691</v>
      </c>
      <c r="Z1668" s="609">
        <v>0.5923</v>
      </c>
      <c r="AA1668" s="616">
        <f t="shared" si="668"/>
        <v>3879.565</v>
      </c>
      <c r="AB1668" s="573"/>
      <c r="AC1668" s="678" t="s">
        <v>10073</v>
      </c>
      <c r="AD1668" s="610" t="s">
        <v>6084</v>
      </c>
      <c r="AE1668" s="610" t="s">
        <v>82</v>
      </c>
      <c r="AF1668" s="610"/>
      <c r="AG1668" s="610"/>
      <c r="AH1668" s="609"/>
      <c r="AI1668" s="610">
        <f>5425+1125</f>
        <v>6550</v>
      </c>
      <c r="AJ1668" s="610">
        <f t="shared" si="669"/>
        <v>0</v>
      </c>
      <c r="AK1668" s="613"/>
      <c r="AL1668" s="610" t="s">
        <v>2368</v>
      </c>
      <c r="AM1668" s="610"/>
      <c r="AN1668" s="554">
        <f>I1668</f>
        <v>6550</v>
      </c>
      <c r="AO1668" s="554"/>
      <c r="AP1668" s="554">
        <f>I1668</f>
        <v>6550</v>
      </c>
      <c r="AQ1668" s="554"/>
      <c r="AR1668" s="619"/>
      <c r="AS1668" s="554"/>
      <c r="AT1668" s="554"/>
      <c r="AU1668" s="554">
        <f>I1668</f>
        <v>6550</v>
      </c>
      <c r="AV1668" s="554"/>
      <c r="AW1668" s="554"/>
      <c r="AX1668" s="714"/>
      <c r="AY1668" s="554"/>
      <c r="AZ1668" s="554"/>
      <c r="BA1668" s="554"/>
      <c r="BB1668" s="620">
        <f>I1668/48</f>
        <v>136.458333333333</v>
      </c>
      <c r="BC1668" s="554"/>
      <c r="BD1668" s="554"/>
      <c r="BE1668" s="554"/>
      <c r="BF1668" s="554"/>
      <c r="BG1668" s="550"/>
      <c r="BH1668" s="554"/>
      <c r="BI1668" s="554"/>
      <c r="BJ1668" s="554"/>
      <c r="BK1668" s="554"/>
      <c r="BL1668" s="554"/>
      <c r="BM1668" s="554"/>
      <c r="BN1668" s="554">
        <f>I1668/25</f>
        <v>262</v>
      </c>
      <c r="BO1668" s="554"/>
      <c r="BP1668" s="554"/>
      <c r="BQ1668" s="554"/>
      <c r="BR1668" s="554"/>
      <c r="BS1668" s="554"/>
      <c r="BT1668" s="554"/>
      <c r="BU1668" s="554"/>
      <c r="BV1668" s="554"/>
      <c r="BW1668" s="554"/>
      <c r="BX1668" s="554"/>
      <c r="BY1668" s="554"/>
      <c r="BZ1668" s="554"/>
      <c r="CA1668" s="720"/>
      <c r="CB1668" s="555"/>
      <c r="CC1668" s="721"/>
      <c r="CD1668" s="554"/>
      <c r="CE1668" s="554"/>
      <c r="CF1668" s="554"/>
      <c r="CG1668" s="554"/>
      <c r="CH1668" s="550"/>
      <c r="CI1668" s="554"/>
      <c r="CJ1668" s="554"/>
      <c r="CK1668" s="554"/>
      <c r="CL1668" s="554"/>
      <c r="CM1668" s="554"/>
      <c r="CN1668" s="554"/>
      <c r="CO1668" s="554"/>
      <c r="CP1668" s="619"/>
      <c r="CQ1668" s="619"/>
      <c r="CR1668" s="554"/>
      <c r="CS1668" s="554"/>
      <c r="CT1668" s="554"/>
      <c r="CU1668" s="554">
        <f t="shared" si="677"/>
        <v>262</v>
      </c>
      <c r="CV1668" s="554">
        <f>CK1668+CL1668+CM1668+CN1668+CO1668+CQ1668+CP1668</f>
        <v>0</v>
      </c>
      <c r="CW1668" s="554">
        <f>CI1668+CJ1668</f>
        <v>0</v>
      </c>
      <c r="CX1668" s="717"/>
      <c r="CY1668" s="717"/>
      <c r="CZ1668" s="717"/>
      <c r="DA1668" s="717"/>
      <c r="DB1668" s="717"/>
      <c r="DC1668" s="717"/>
      <c r="DD1668" s="717"/>
      <c r="DE1668" s="717"/>
      <c r="DF1668" s="717"/>
      <c r="DG1668" s="717"/>
      <c r="DH1668" s="717"/>
    </row>
    <row r="1669" s="550" customFormat="1" ht="31" customHeight="1" spans="1:113">
      <c r="A1669" s="608">
        <v>46177</v>
      </c>
      <c r="B1669" s="609" t="s">
        <v>10074</v>
      </c>
      <c r="C1669" s="610" t="s">
        <v>212</v>
      </c>
      <c r="D1669" s="727">
        <v>4500210768</v>
      </c>
      <c r="E1669" s="731" t="s">
        <v>4725</v>
      </c>
      <c r="F1669" s="729" t="s">
        <v>4779</v>
      </c>
      <c r="G1669" s="610" t="s">
        <v>6337</v>
      </c>
      <c r="H1669" s="610" t="s">
        <v>477</v>
      </c>
      <c r="I1669" s="715">
        <v>360</v>
      </c>
      <c r="J1669" s="610">
        <v>0</v>
      </c>
      <c r="K1669" s="610">
        <v>6</v>
      </c>
      <c r="L1669" s="611">
        <f t="shared" si="667"/>
        <v>60</v>
      </c>
      <c r="M1669" s="612">
        <v>46216</v>
      </c>
      <c r="N1669" s="612">
        <v>46212</v>
      </c>
      <c r="O1669" s="613"/>
      <c r="P1669" s="610" t="s">
        <v>113</v>
      </c>
      <c r="Q1669" s="614"/>
      <c r="R1669" s="614">
        <v>46178</v>
      </c>
      <c r="S1669" s="614" t="s">
        <v>70</v>
      </c>
      <c r="T1669" s="614" t="s">
        <v>10075</v>
      </c>
      <c r="U1669" s="818"/>
      <c r="V1669" s="818"/>
      <c r="W1669" s="819"/>
      <c r="X1669" s="820" t="s">
        <v>3308</v>
      </c>
      <c r="Y1669" s="616" t="s">
        <v>3527</v>
      </c>
      <c r="Z1669" s="609">
        <v>7.2373</v>
      </c>
      <c r="AA1669" s="616">
        <f t="shared" si="668"/>
        <v>2605.428</v>
      </c>
      <c r="AB1669" s="573"/>
      <c r="AC1669" s="697"/>
      <c r="AD1669" s="610" t="s">
        <v>480</v>
      </c>
      <c r="AE1669" s="610" t="s">
        <v>82</v>
      </c>
      <c r="AF1669" s="610"/>
      <c r="AG1669" s="610"/>
      <c r="AH1669" s="609"/>
      <c r="AI1669" s="610">
        <f>354+6</f>
        <v>360</v>
      </c>
      <c r="AJ1669" s="610">
        <f t="shared" si="669"/>
        <v>0</v>
      </c>
      <c r="AK1669" s="613"/>
      <c r="AL1669" s="610" t="s">
        <v>2368</v>
      </c>
      <c r="AM1669" s="610"/>
      <c r="AN1669" s="554"/>
      <c r="AO1669" s="554">
        <f>I1669*2</f>
        <v>720</v>
      </c>
      <c r="AP1669" s="554"/>
      <c r="AQ1669" s="554"/>
      <c r="AR1669" s="619"/>
      <c r="AS1669" s="554"/>
      <c r="AT1669" s="554">
        <f>I1669*2</f>
        <v>720</v>
      </c>
      <c r="AU1669" s="554"/>
      <c r="AV1669" s="554">
        <f>I1669*2</f>
        <v>720</v>
      </c>
      <c r="AW1669" s="554"/>
      <c r="AX1669" s="714"/>
      <c r="AY1669" s="554"/>
      <c r="AZ1669" s="554"/>
      <c r="BA1669" s="554"/>
      <c r="BB1669" s="620">
        <f>I1669/24*2</f>
        <v>30</v>
      </c>
      <c r="BC1669" s="554"/>
      <c r="BD1669" s="554"/>
      <c r="BE1669" s="554"/>
      <c r="BF1669" s="554"/>
      <c r="BG1669" s="554"/>
      <c r="BH1669" s="554"/>
      <c r="BI1669" s="554"/>
      <c r="BJ1669" s="554"/>
      <c r="BK1669" s="554"/>
      <c r="BL1669" s="554"/>
      <c r="BM1669" s="554"/>
      <c r="BN1669" s="554"/>
      <c r="BO1669" s="554"/>
      <c r="BP1669" s="554"/>
      <c r="BQ1669" s="554"/>
      <c r="BR1669" s="554"/>
      <c r="BS1669" s="554"/>
      <c r="BT1669" s="554"/>
      <c r="BU1669" s="554"/>
      <c r="BV1669" s="554"/>
      <c r="BW1669" s="554"/>
      <c r="BX1669" s="554"/>
      <c r="BY1669" s="554"/>
      <c r="BZ1669" s="554">
        <f>I1669</f>
        <v>360</v>
      </c>
      <c r="CA1669" s="720"/>
      <c r="CB1669" s="555"/>
      <c r="CC1669" s="721"/>
      <c r="CD1669" s="554"/>
      <c r="CE1669" s="554"/>
      <c r="CF1669" s="554"/>
      <c r="CG1669" s="554"/>
      <c r="CH1669" s="554"/>
      <c r="CI1669" s="554"/>
      <c r="CJ1669" s="554"/>
      <c r="CK1669" s="554"/>
      <c r="CL1669" s="554"/>
      <c r="CM1669" s="554"/>
      <c r="CN1669" s="554"/>
      <c r="CO1669" s="554"/>
      <c r="CP1669" s="619"/>
      <c r="CQ1669" s="619"/>
      <c r="CR1669" s="554"/>
      <c r="CS1669" s="554"/>
      <c r="CT1669" s="554"/>
      <c r="CU1669" s="554">
        <f t="shared" si="677"/>
        <v>0</v>
      </c>
      <c r="CV1669" s="554">
        <v>0</v>
      </c>
      <c r="CW1669" s="554">
        <v>0</v>
      </c>
      <c r="CX1669" s="619"/>
      <c r="CY1669" s="619"/>
      <c r="CZ1669" s="619"/>
      <c r="DA1669" s="619"/>
      <c r="DB1669" s="619"/>
      <c r="DC1669" s="619"/>
      <c r="DD1669" s="619"/>
      <c r="DE1669" s="619"/>
      <c r="DF1669" s="619"/>
      <c r="DG1669" s="619"/>
      <c r="DH1669" s="619"/>
      <c r="DI1669" s="554"/>
    </row>
    <row r="1670" s="550" customFormat="1" ht="31" customHeight="1" spans="1:113">
      <c r="A1670" s="608">
        <v>46127</v>
      </c>
      <c r="B1670" s="609" t="s">
        <v>4321</v>
      </c>
      <c r="C1670" s="610" t="s">
        <v>154</v>
      </c>
      <c r="D1670" s="554">
        <v>4500202230</v>
      </c>
      <c r="E1670" s="613">
        <v>22010000274052</v>
      </c>
      <c r="F1670" s="554" t="s">
        <v>10076</v>
      </c>
      <c r="G1670" s="610" t="s">
        <v>6025</v>
      </c>
      <c r="H1670" s="610" t="s">
        <v>6026</v>
      </c>
      <c r="I1670" s="715">
        <v>504</v>
      </c>
      <c r="J1670" s="610">
        <v>0</v>
      </c>
      <c r="K1670" s="610">
        <v>24</v>
      </c>
      <c r="L1670" s="611">
        <f t="shared" si="667"/>
        <v>21</v>
      </c>
      <c r="M1670" s="612">
        <v>46210</v>
      </c>
      <c r="N1670" s="612">
        <v>46206</v>
      </c>
      <c r="O1670" s="613"/>
      <c r="P1670" s="610" t="s">
        <v>113</v>
      </c>
      <c r="Q1670" s="614">
        <v>46212</v>
      </c>
      <c r="R1670" s="614">
        <v>46172</v>
      </c>
      <c r="S1670" s="614" t="s">
        <v>70</v>
      </c>
      <c r="T1670" s="614" t="s">
        <v>9721</v>
      </c>
      <c r="U1670" s="614"/>
      <c r="V1670" s="614"/>
      <c r="W1670" s="609" t="s">
        <v>5013</v>
      </c>
      <c r="X1670" s="609" t="s">
        <v>10077</v>
      </c>
      <c r="Y1670" s="616" t="s">
        <v>167</v>
      </c>
      <c r="Z1670" s="609">
        <v>0.9029</v>
      </c>
      <c r="AA1670" s="616">
        <f>I1670*Z1670</f>
        <v>455.0616</v>
      </c>
      <c r="AB1670" s="573"/>
      <c r="AC1670" s="697"/>
      <c r="AD1670" s="610" t="s">
        <v>6025</v>
      </c>
      <c r="AE1670" s="610" t="s">
        <v>82</v>
      </c>
      <c r="AF1670" s="610"/>
      <c r="AG1670" s="610"/>
      <c r="AH1670" s="609"/>
      <c r="AI1670" s="609">
        <v>504</v>
      </c>
      <c r="AJ1670" s="610">
        <f t="shared" si="669"/>
        <v>0</v>
      </c>
      <c r="AK1670" s="613"/>
      <c r="AL1670" s="610" t="s">
        <v>2368</v>
      </c>
      <c r="AM1670" s="610"/>
      <c r="AN1670" s="554"/>
      <c r="AO1670" s="714">
        <f>I1670</f>
        <v>504</v>
      </c>
      <c r="AP1670" s="554"/>
      <c r="AQ1670" s="554"/>
      <c r="AR1670" s="554"/>
      <c r="AS1670" s="554"/>
      <c r="AT1670" s="554">
        <f>I1670</f>
        <v>504</v>
      </c>
      <c r="AU1670" s="554"/>
      <c r="AV1670" s="554">
        <f>I1670</f>
        <v>504</v>
      </c>
      <c r="AW1670" s="554"/>
      <c r="AX1670" s="714"/>
      <c r="AY1670" s="554"/>
      <c r="AZ1670" s="554"/>
      <c r="BA1670" s="554"/>
      <c r="BB1670" s="620">
        <f>I1670/24</f>
        <v>21</v>
      </c>
      <c r="BC1670" s="554"/>
      <c r="BD1670" s="554"/>
      <c r="BE1670" s="554"/>
      <c r="BF1670" s="554"/>
      <c r="BG1670" s="550"/>
      <c r="BH1670" s="554"/>
      <c r="BI1670" s="554"/>
      <c r="BJ1670" s="554"/>
      <c r="BK1670" s="554"/>
      <c r="BL1670" s="554"/>
      <c r="BM1670" s="554"/>
      <c r="BN1670" s="554"/>
      <c r="BO1670" s="554"/>
      <c r="BP1670" s="554"/>
      <c r="BQ1670" s="554"/>
      <c r="BR1670" s="554"/>
      <c r="BS1670" s="554"/>
      <c r="BT1670" s="554"/>
      <c r="BU1670" s="554"/>
      <c r="BV1670" s="554"/>
      <c r="BW1670" s="554"/>
      <c r="BX1670" s="554"/>
      <c r="BY1670" s="554"/>
      <c r="BZ1670" s="554"/>
      <c r="CA1670" s="720"/>
      <c r="CB1670" s="555"/>
      <c r="CC1670" s="721"/>
      <c r="CD1670" s="554"/>
      <c r="CE1670" s="554"/>
      <c r="CF1670" s="554"/>
      <c r="CG1670" s="554"/>
      <c r="CH1670" s="550"/>
      <c r="CI1670" s="554"/>
      <c r="CJ1670" s="554"/>
      <c r="CK1670" s="554"/>
      <c r="CL1670" s="554"/>
      <c r="CM1670" s="554"/>
      <c r="CN1670" s="554"/>
      <c r="CO1670" s="554"/>
      <c r="CP1670" s="619"/>
      <c r="CQ1670" s="619"/>
      <c r="CR1670" s="619"/>
      <c r="CS1670" s="619"/>
      <c r="CT1670" s="619"/>
      <c r="CU1670" s="554">
        <f t="shared" si="677"/>
        <v>0</v>
      </c>
      <c r="CV1670" s="554">
        <f>CK1670+CL1670+CM1670+CN1670+CO1670+CQ1670+CP1670</f>
        <v>0</v>
      </c>
      <c r="CW1670" s="554">
        <f>CI1670+CJ1670</f>
        <v>0</v>
      </c>
      <c r="CX1670" s="619"/>
      <c r="CY1670" s="619"/>
      <c r="CZ1670" s="619"/>
      <c r="DA1670" s="619"/>
      <c r="DB1670" s="619"/>
      <c r="DC1670" s="619"/>
      <c r="DD1670" s="619"/>
      <c r="DE1670" s="619"/>
      <c r="DF1670" s="619"/>
      <c r="DG1670" s="619"/>
      <c r="DH1670" s="619"/>
    </row>
    <row r="1671" s="550" customFormat="1" ht="31" customHeight="1" spans="1:113">
      <c r="A1671" s="608">
        <v>46164</v>
      </c>
      <c r="B1671" s="609" t="s">
        <v>4697</v>
      </c>
      <c r="C1671" s="610" t="s">
        <v>2944</v>
      </c>
      <c r="D1671" s="727">
        <v>4500208596</v>
      </c>
      <c r="E1671" s="610" t="s">
        <v>3846</v>
      </c>
      <c r="F1671" s="554" t="s">
        <v>10078</v>
      </c>
      <c r="G1671" s="610" t="s">
        <v>6043</v>
      </c>
      <c r="H1671" s="610" t="s">
        <v>6110</v>
      </c>
      <c r="I1671" s="715">
        <v>2100</v>
      </c>
      <c r="J1671" s="610">
        <v>0</v>
      </c>
      <c r="K1671" s="610">
        <v>50</v>
      </c>
      <c r="L1671" s="611">
        <f t="shared" si="667"/>
        <v>42</v>
      </c>
      <c r="M1671" s="612">
        <v>46210</v>
      </c>
      <c r="N1671" s="612">
        <v>46206</v>
      </c>
      <c r="O1671" s="613"/>
      <c r="P1671" s="610" t="s">
        <v>113</v>
      </c>
      <c r="Q1671" s="614">
        <v>46218</v>
      </c>
      <c r="R1671" s="614">
        <v>46171</v>
      </c>
      <c r="S1671" s="614" t="s">
        <v>70</v>
      </c>
      <c r="T1671" s="614" t="s">
        <v>4700</v>
      </c>
      <c r="U1671" s="614"/>
      <c r="V1671" s="614"/>
      <c r="W1671" s="609"/>
      <c r="X1671" s="609" t="s">
        <v>10079</v>
      </c>
      <c r="Y1671" s="616" t="s">
        <v>4702</v>
      </c>
      <c r="Z1671" s="609">
        <v>0.9819</v>
      </c>
      <c r="AA1671" s="616">
        <f>Z1671*I1671</f>
        <v>2061.99</v>
      </c>
      <c r="AB1671" s="573"/>
      <c r="AC1671" s="697"/>
      <c r="AD1671" s="609" t="s">
        <v>6043</v>
      </c>
      <c r="AE1671" s="610" t="s">
        <v>82</v>
      </c>
      <c r="AF1671" s="610"/>
      <c r="AG1671" s="610"/>
      <c r="AH1671" s="609"/>
      <c r="AI1671" s="609">
        <v>2100</v>
      </c>
      <c r="AJ1671" s="610">
        <f t="shared" si="669"/>
        <v>0</v>
      </c>
      <c r="AK1671" s="613"/>
      <c r="AL1671" s="610" t="s">
        <v>2368</v>
      </c>
      <c r="AM1671" s="610"/>
      <c r="AN1671" s="554"/>
      <c r="AO1671" s="554">
        <f>I1671</f>
        <v>2100</v>
      </c>
      <c r="AP1671" s="554"/>
      <c r="AQ1671" s="554"/>
      <c r="AR1671" s="619"/>
      <c r="AS1671" s="554"/>
      <c r="AT1671" s="554">
        <f>I1671</f>
        <v>2100</v>
      </c>
      <c r="AU1671" s="554"/>
      <c r="AV1671" s="554">
        <f>I1671</f>
        <v>2100</v>
      </c>
      <c r="AW1671" s="554"/>
      <c r="AX1671" s="714"/>
      <c r="AY1671" s="554"/>
      <c r="AZ1671" s="554"/>
      <c r="BA1671" s="554"/>
      <c r="BB1671" s="620">
        <f>I1671/24</f>
        <v>87.5</v>
      </c>
      <c r="BC1671" s="554"/>
      <c r="BD1671" s="554"/>
      <c r="BE1671" s="554"/>
      <c r="BF1671" s="554"/>
      <c r="BG1671" s="550"/>
      <c r="BH1671" s="554"/>
      <c r="BI1671" s="554"/>
      <c r="BJ1671" s="554"/>
      <c r="BK1671" s="554"/>
      <c r="BL1671" s="554"/>
      <c r="BM1671" s="554"/>
      <c r="BN1671" s="554"/>
      <c r="BO1671" s="554"/>
      <c r="BP1671" s="554">
        <f>I1671/25</f>
        <v>84</v>
      </c>
      <c r="BQ1671" s="554"/>
      <c r="BR1671" s="554"/>
      <c r="BS1671" s="554"/>
      <c r="BT1671" s="554"/>
      <c r="BU1671" s="554"/>
      <c r="BV1671" s="554"/>
      <c r="BW1671" s="554"/>
      <c r="BX1671" s="554"/>
      <c r="BY1671" s="554"/>
      <c r="BZ1671" s="554"/>
      <c r="CA1671" s="621"/>
      <c r="CB1671" s="555"/>
      <c r="CC1671" s="622"/>
      <c r="CD1671" s="619"/>
      <c r="CE1671" s="619"/>
      <c r="CF1671" s="554"/>
      <c r="CG1671" s="554"/>
      <c r="CH1671" s="550"/>
      <c r="CI1671" s="554"/>
      <c r="CJ1671" s="554"/>
      <c r="CK1671" s="554"/>
      <c r="CL1671" s="554"/>
      <c r="CM1671" s="554"/>
      <c r="CN1671" s="554"/>
      <c r="CO1671" s="554"/>
      <c r="CP1671" s="619"/>
      <c r="CQ1671" s="619"/>
      <c r="CR1671" s="554"/>
      <c r="CS1671" s="554"/>
      <c r="CT1671" s="554"/>
      <c r="CU1671" s="554">
        <f t="shared" si="677"/>
        <v>84</v>
      </c>
      <c r="CV1671" s="554">
        <f>CK1671+CL1671+CM1671+CN1671+CO1671+CQ1671+CP1671</f>
        <v>0</v>
      </c>
      <c r="CW1671" s="554">
        <f>CI1671+CJ1671</f>
        <v>0</v>
      </c>
      <c r="CX1671" s="717"/>
      <c r="CY1671" s="717"/>
      <c r="CZ1671" s="717"/>
      <c r="DA1671" s="717"/>
      <c r="DB1671" s="717"/>
      <c r="DC1671" s="717"/>
      <c r="DD1671" s="717"/>
      <c r="DE1671" s="717"/>
      <c r="DF1671" s="717"/>
      <c r="DG1671" s="717"/>
      <c r="DH1671" s="717"/>
    </row>
    <row r="1672" s="550" customFormat="1" ht="31" customHeight="1" spans="1:113">
      <c r="A1672" s="608">
        <v>46126</v>
      </c>
      <c r="B1672" s="609" t="s">
        <v>3340</v>
      </c>
      <c r="C1672" s="610" t="s">
        <v>98</v>
      </c>
      <c r="D1672" s="554">
        <v>4500201748</v>
      </c>
      <c r="E1672" s="610">
        <v>127321</v>
      </c>
      <c r="F1672" s="554" t="s">
        <v>10080</v>
      </c>
      <c r="G1672" s="610" t="s">
        <v>6787</v>
      </c>
      <c r="H1672" s="610" t="s">
        <v>6126</v>
      </c>
      <c r="I1672" s="715">
        <v>1404</v>
      </c>
      <c r="J1672" s="610">
        <v>0</v>
      </c>
      <c r="K1672" s="610">
        <v>12</v>
      </c>
      <c r="L1672" s="611">
        <f t="shared" si="667"/>
        <v>117</v>
      </c>
      <c r="M1672" s="612">
        <v>46212</v>
      </c>
      <c r="N1672" s="612">
        <v>46209</v>
      </c>
      <c r="O1672" s="613"/>
      <c r="P1672" s="610" t="s">
        <v>113</v>
      </c>
      <c r="Q1672" s="614">
        <v>46213</v>
      </c>
      <c r="R1672" s="614">
        <v>46126</v>
      </c>
      <c r="S1672" s="614" t="s">
        <v>70</v>
      </c>
      <c r="T1672" s="614" t="s">
        <v>4147</v>
      </c>
      <c r="U1672" s="614"/>
      <c r="V1672" s="614"/>
      <c r="W1672" s="609"/>
      <c r="X1672" s="609" t="s">
        <v>10081</v>
      </c>
      <c r="Y1672" s="616" t="s">
        <v>3864</v>
      </c>
      <c r="Z1672" s="609">
        <v>1.3318</v>
      </c>
      <c r="AA1672" s="616">
        <f>I1672*Z1672</f>
        <v>1869.8472</v>
      </c>
      <c r="AB1672" s="573"/>
      <c r="AC1672" s="678" t="s">
        <v>10082</v>
      </c>
      <c r="AD1672" s="609" t="s">
        <v>8079</v>
      </c>
      <c r="AE1672" s="610" t="s">
        <v>82</v>
      </c>
      <c r="AF1672" s="610"/>
      <c r="AG1672" s="610"/>
      <c r="AH1672" s="609"/>
      <c r="AI1672" s="610">
        <v>1404</v>
      </c>
      <c r="AJ1672" s="610">
        <f t="shared" si="669"/>
        <v>0</v>
      </c>
      <c r="AK1672" s="613"/>
      <c r="AL1672" s="610" t="s">
        <v>2368</v>
      </c>
      <c r="AM1672" s="610"/>
      <c r="AN1672" s="610">
        <f>I1672*2</f>
        <v>2808</v>
      </c>
      <c r="AO1672" s="554"/>
      <c r="AP1672" s="554"/>
      <c r="AQ1672" s="554">
        <f>I1672*2</f>
        <v>2808</v>
      </c>
      <c r="AR1672" s="619"/>
      <c r="AS1672" s="554"/>
      <c r="AT1672" s="554"/>
      <c r="AU1672" s="554">
        <f>I1672*2</f>
        <v>2808</v>
      </c>
      <c r="AV1672" s="554"/>
      <c r="AW1672" s="554"/>
      <c r="AX1672" s="714"/>
      <c r="AY1672" s="554"/>
      <c r="AZ1672" s="554"/>
      <c r="BA1672" s="554"/>
      <c r="BB1672" s="620">
        <f>I1672/24*2</f>
        <v>117</v>
      </c>
      <c r="BC1672" s="554"/>
      <c r="BD1672" s="554"/>
      <c r="BE1672" s="554"/>
      <c r="BF1672" s="554"/>
      <c r="BG1672" s="550"/>
      <c r="BH1672" s="554"/>
      <c r="BI1672" s="554"/>
      <c r="BJ1672" s="554"/>
      <c r="BK1672" s="554"/>
      <c r="BL1672" s="554"/>
      <c r="BM1672" s="554"/>
      <c r="BN1672" s="554"/>
      <c r="BO1672" s="554"/>
      <c r="BP1672" s="554"/>
      <c r="BQ1672" s="554"/>
      <c r="BR1672" s="554"/>
      <c r="BS1672" s="554"/>
      <c r="BT1672" s="554"/>
      <c r="BU1672" s="554"/>
      <c r="BV1672" s="554"/>
      <c r="BW1672" s="554"/>
      <c r="BX1672" s="554"/>
      <c r="BY1672" s="554"/>
      <c r="BZ1672" s="554"/>
      <c r="CA1672" s="720"/>
      <c r="CB1672" s="555"/>
      <c r="CC1672" s="721"/>
      <c r="CD1672" s="554"/>
      <c r="CE1672" s="554"/>
      <c r="CF1672" s="554"/>
      <c r="CG1672" s="554"/>
      <c r="CH1672" s="550"/>
      <c r="CI1672" s="554"/>
      <c r="CJ1672" s="554"/>
      <c r="CK1672" s="554"/>
      <c r="CL1672" s="554"/>
      <c r="CM1672" s="554"/>
      <c r="CN1672" s="554"/>
      <c r="CO1672" s="554"/>
      <c r="CP1672" s="619"/>
      <c r="CQ1672" s="619"/>
      <c r="CR1672" s="554">
        <f>I1672</f>
        <v>1404</v>
      </c>
      <c r="CS1672" s="554">
        <f>I1672</f>
        <v>1404</v>
      </c>
      <c r="CT1672" s="554">
        <f>I1672</f>
        <v>1404</v>
      </c>
      <c r="CU1672" s="554">
        <f t="shared" si="677"/>
        <v>0</v>
      </c>
      <c r="CV1672" s="554">
        <v>0</v>
      </c>
      <c r="CW1672" s="554">
        <v>0</v>
      </c>
      <c r="CX1672" s="619"/>
      <c r="CY1672" s="619"/>
      <c r="CZ1672" s="619"/>
      <c r="DA1672" s="619"/>
      <c r="DB1672" s="619"/>
      <c r="DC1672" s="619"/>
      <c r="DD1672" s="619"/>
      <c r="DE1672" s="619"/>
      <c r="DF1672" s="619"/>
      <c r="DG1672" s="619"/>
      <c r="DH1672" s="619"/>
    </row>
    <row r="1673" s="550" customFormat="1" ht="31" customHeight="1" spans="1:113">
      <c r="A1673" s="608">
        <v>46126</v>
      </c>
      <c r="B1673" s="609" t="s">
        <v>3340</v>
      </c>
      <c r="C1673" s="610" t="s">
        <v>98</v>
      </c>
      <c r="D1673" s="554">
        <v>4500201749</v>
      </c>
      <c r="E1673" s="610">
        <v>127334</v>
      </c>
      <c r="F1673" s="554" t="s">
        <v>10083</v>
      </c>
      <c r="G1673" s="610" t="s">
        <v>6787</v>
      </c>
      <c r="H1673" s="610" t="s">
        <v>6126</v>
      </c>
      <c r="I1673" s="715">
        <v>1596</v>
      </c>
      <c r="J1673" s="610">
        <v>0</v>
      </c>
      <c r="K1673" s="610">
        <v>12</v>
      </c>
      <c r="L1673" s="611">
        <f t="shared" si="667"/>
        <v>133</v>
      </c>
      <c r="M1673" s="612">
        <v>46212</v>
      </c>
      <c r="N1673" s="612">
        <v>46209</v>
      </c>
      <c r="O1673" s="613"/>
      <c r="P1673" s="610" t="s">
        <v>113</v>
      </c>
      <c r="Q1673" s="614">
        <v>46213</v>
      </c>
      <c r="R1673" s="614">
        <v>46126</v>
      </c>
      <c r="S1673" s="614" t="s">
        <v>70</v>
      </c>
      <c r="T1673" s="614" t="s">
        <v>4147</v>
      </c>
      <c r="U1673" s="614"/>
      <c r="V1673" s="614"/>
      <c r="W1673" s="609"/>
      <c r="X1673" s="609" t="s">
        <v>10084</v>
      </c>
      <c r="Y1673" s="616" t="s">
        <v>3864</v>
      </c>
      <c r="Z1673" s="609">
        <v>1.3318</v>
      </c>
      <c r="AA1673" s="616">
        <f>I1673*Z1673</f>
        <v>2125.5528</v>
      </c>
      <c r="AB1673" s="573"/>
      <c r="AC1673" s="678" t="s">
        <v>10085</v>
      </c>
      <c r="AD1673" s="609" t="s">
        <v>8079</v>
      </c>
      <c r="AE1673" s="610" t="s">
        <v>82</v>
      </c>
      <c r="AF1673" s="610"/>
      <c r="AG1673" s="610"/>
      <c r="AH1673" s="609"/>
      <c r="AI1673" s="609">
        <v>1596</v>
      </c>
      <c r="AJ1673" s="610">
        <f t="shared" si="669"/>
        <v>0</v>
      </c>
      <c r="AK1673" s="613"/>
      <c r="AL1673" s="610" t="s">
        <v>2368</v>
      </c>
      <c r="AM1673" s="610"/>
      <c r="AN1673" s="610">
        <f>I1673*2</f>
        <v>3192</v>
      </c>
      <c r="AO1673" s="554"/>
      <c r="AP1673" s="554"/>
      <c r="AQ1673" s="554">
        <f>I1673*2</f>
        <v>3192</v>
      </c>
      <c r="AR1673" s="619"/>
      <c r="AS1673" s="554"/>
      <c r="AT1673" s="554"/>
      <c r="AU1673" s="554">
        <f>I1673*2</f>
        <v>3192</v>
      </c>
      <c r="AV1673" s="554"/>
      <c r="AW1673" s="554"/>
      <c r="AX1673" s="714"/>
      <c r="AY1673" s="554"/>
      <c r="AZ1673" s="554"/>
      <c r="BA1673" s="554"/>
      <c r="BB1673" s="620">
        <f>I1673/24*2</f>
        <v>133</v>
      </c>
      <c r="BC1673" s="554"/>
      <c r="BD1673" s="554"/>
      <c r="BE1673" s="554"/>
      <c r="BF1673" s="554"/>
      <c r="BG1673" s="550"/>
      <c r="BH1673" s="554"/>
      <c r="BI1673" s="554"/>
      <c r="BJ1673" s="554"/>
      <c r="BK1673" s="554"/>
      <c r="BL1673" s="554"/>
      <c r="BM1673" s="554"/>
      <c r="BN1673" s="554"/>
      <c r="BO1673" s="554"/>
      <c r="BP1673" s="554"/>
      <c r="BQ1673" s="554"/>
      <c r="BR1673" s="554"/>
      <c r="BS1673" s="554"/>
      <c r="BT1673" s="554"/>
      <c r="BU1673" s="554"/>
      <c r="BV1673" s="554"/>
      <c r="BW1673" s="554"/>
      <c r="BX1673" s="554"/>
      <c r="BY1673" s="554"/>
      <c r="BZ1673" s="554"/>
      <c r="CA1673" s="720"/>
      <c r="CB1673" s="555"/>
      <c r="CC1673" s="721"/>
      <c r="CD1673" s="554"/>
      <c r="CE1673" s="554"/>
      <c r="CF1673" s="554"/>
      <c r="CG1673" s="554"/>
      <c r="CH1673" s="550"/>
      <c r="CI1673" s="554"/>
      <c r="CJ1673" s="554"/>
      <c r="CK1673" s="554"/>
      <c r="CL1673" s="554"/>
      <c r="CM1673" s="554"/>
      <c r="CN1673" s="554"/>
      <c r="CO1673" s="554"/>
      <c r="CP1673" s="619"/>
      <c r="CQ1673" s="619"/>
      <c r="CR1673" s="554">
        <f>I1673</f>
        <v>1596</v>
      </c>
      <c r="CS1673" s="554">
        <f>I1673</f>
        <v>1596</v>
      </c>
      <c r="CT1673" s="554">
        <f>I1673</f>
        <v>1596</v>
      </c>
      <c r="CU1673" s="554">
        <f t="shared" si="677"/>
        <v>0</v>
      </c>
      <c r="CV1673" s="554">
        <v>0</v>
      </c>
      <c r="CW1673" s="554">
        <v>0</v>
      </c>
      <c r="CX1673" s="619"/>
      <c r="CY1673" s="619"/>
      <c r="CZ1673" s="619"/>
      <c r="DA1673" s="619"/>
      <c r="DB1673" s="619"/>
      <c r="DC1673" s="619"/>
      <c r="DD1673" s="619"/>
      <c r="DE1673" s="619"/>
      <c r="DF1673" s="619"/>
      <c r="DG1673" s="619"/>
      <c r="DH1673" s="619"/>
    </row>
    <row r="1674" s="550" customFormat="1" ht="31" customHeight="1" spans="1:113">
      <c r="A1674" s="608">
        <v>46174</v>
      </c>
      <c r="B1674" s="609" t="s">
        <v>3996</v>
      </c>
      <c r="C1674" s="610" t="s">
        <v>278</v>
      </c>
      <c r="D1674" s="554">
        <v>4500210008</v>
      </c>
      <c r="E1674" s="731">
        <v>50795693</v>
      </c>
      <c r="F1674" s="729" t="s">
        <v>4791</v>
      </c>
      <c r="G1674" s="610" t="s">
        <v>6337</v>
      </c>
      <c r="H1674" s="610" t="s">
        <v>477</v>
      </c>
      <c r="I1674" s="715">
        <v>2004</v>
      </c>
      <c r="J1674" s="610">
        <v>0</v>
      </c>
      <c r="K1674" s="843">
        <v>6</v>
      </c>
      <c r="L1674" s="844">
        <f t="shared" si="667"/>
        <v>334</v>
      </c>
      <c r="M1674" s="845">
        <v>46218</v>
      </c>
      <c r="N1674" s="612">
        <v>46214</v>
      </c>
      <c r="O1674" s="613"/>
      <c r="P1674" s="610" t="s">
        <v>113</v>
      </c>
      <c r="Q1674" s="614">
        <v>46224</v>
      </c>
      <c r="R1674" s="614">
        <v>46174</v>
      </c>
      <c r="S1674" s="614" t="s">
        <v>70</v>
      </c>
      <c r="T1674" s="614" t="s">
        <v>4792</v>
      </c>
      <c r="U1674" s="818"/>
      <c r="V1674" s="818"/>
      <c r="W1674" s="819"/>
      <c r="X1674" s="820" t="s">
        <v>4793</v>
      </c>
      <c r="Y1674" s="616" t="s">
        <v>1894</v>
      </c>
      <c r="Z1674" s="609">
        <v>7.0149</v>
      </c>
      <c r="AA1674" s="616">
        <f>Z1674*I1674</f>
        <v>14057.8596</v>
      </c>
      <c r="AB1674" s="573"/>
      <c r="AC1674" s="697"/>
      <c r="AD1674" s="610" t="s">
        <v>480</v>
      </c>
      <c r="AE1674" s="610" t="s">
        <v>82</v>
      </c>
      <c r="AF1674" s="610"/>
      <c r="AG1674" s="610"/>
      <c r="AI1674" s="609">
        <v>2004</v>
      </c>
      <c r="AJ1674" s="610">
        <f>I1674-AI1674</f>
        <v>0</v>
      </c>
      <c r="AK1674" s="613"/>
      <c r="AL1674" s="610" t="s">
        <v>2368</v>
      </c>
      <c r="AM1674" s="610"/>
      <c r="AN1674" s="610"/>
      <c r="AO1674" s="554">
        <f>I1674*2</f>
        <v>4008</v>
      </c>
      <c r="AP1674" s="554"/>
      <c r="AQ1674" s="554"/>
      <c r="AR1674" s="619"/>
      <c r="AS1674" s="554"/>
      <c r="AT1674" s="554">
        <f>I1674*2</f>
        <v>4008</v>
      </c>
      <c r="AU1674" s="554"/>
      <c r="AV1674" s="554">
        <f>I1674</f>
        <v>2004</v>
      </c>
      <c r="AW1674" s="554"/>
      <c r="AX1674" s="714"/>
      <c r="AY1674" s="554"/>
      <c r="AZ1674" s="554"/>
      <c r="BA1674" s="554"/>
      <c r="BB1674" s="620">
        <f>I1674/24*2</f>
        <v>167</v>
      </c>
      <c r="BC1674" s="554"/>
      <c r="BD1674" s="554"/>
      <c r="BE1674" s="554"/>
      <c r="BF1674" s="554"/>
      <c r="BG1674" s="550"/>
      <c r="BH1674" s="554"/>
      <c r="BI1674" s="554"/>
      <c r="BJ1674" s="554"/>
      <c r="BK1674" s="554"/>
      <c r="BL1674" s="554"/>
      <c r="BM1674" s="554"/>
      <c r="BN1674" s="554"/>
      <c r="BO1674" s="554"/>
      <c r="BP1674" s="554"/>
      <c r="BQ1674" s="554"/>
      <c r="BR1674" s="554"/>
      <c r="BS1674" s="554"/>
      <c r="BT1674" s="554"/>
      <c r="BU1674" s="554"/>
      <c r="BV1674" s="554"/>
      <c r="BW1674" s="554"/>
      <c r="BX1674" s="554"/>
      <c r="BY1674" s="554"/>
      <c r="BZ1674" s="554">
        <f>I1674</f>
        <v>2004</v>
      </c>
      <c r="CA1674" s="720"/>
      <c r="CB1674" s="555"/>
      <c r="CC1674" s="721"/>
      <c r="CD1674" s="554"/>
      <c r="CE1674" s="554"/>
      <c r="CF1674" s="554"/>
      <c r="CG1674" s="554"/>
      <c r="CH1674" s="550"/>
      <c r="CI1674" s="554"/>
      <c r="CJ1674" s="554"/>
      <c r="CK1674" s="554"/>
      <c r="CL1674" s="554"/>
      <c r="CM1674" s="554"/>
      <c r="CN1674" s="554"/>
      <c r="CO1674" s="554"/>
      <c r="CP1674" s="619"/>
      <c r="CQ1674" s="619"/>
      <c r="CR1674" s="554"/>
      <c r="CS1674" s="554"/>
      <c r="CT1674" s="554"/>
      <c r="CU1674" s="554">
        <f t="shared" si="677"/>
        <v>0</v>
      </c>
      <c r="CV1674" s="554">
        <v>0</v>
      </c>
      <c r="CW1674" s="554">
        <v>0</v>
      </c>
      <c r="CX1674" s="619"/>
      <c r="CY1674" s="619"/>
      <c r="CZ1674" s="619"/>
      <c r="DA1674" s="619"/>
      <c r="DB1674" s="619"/>
      <c r="DC1674" s="619"/>
      <c r="DD1674" s="619"/>
      <c r="DE1674" s="619"/>
      <c r="DF1674" s="619"/>
      <c r="DG1674" s="619"/>
      <c r="DH1674" s="619"/>
    </row>
    <row r="1675" s="550" customFormat="1" ht="31" customHeight="1" spans="1:113">
      <c r="A1675" s="608">
        <v>46174</v>
      </c>
      <c r="B1675" s="609" t="s">
        <v>3996</v>
      </c>
      <c r="C1675" s="610" t="s">
        <v>278</v>
      </c>
      <c r="D1675" s="554">
        <v>4500210008</v>
      </c>
      <c r="E1675" s="731">
        <v>50795698</v>
      </c>
      <c r="F1675" s="729" t="s">
        <v>4795</v>
      </c>
      <c r="G1675" s="610" t="s">
        <v>6337</v>
      </c>
      <c r="H1675" s="610" t="s">
        <v>477</v>
      </c>
      <c r="I1675" s="715">
        <v>2004</v>
      </c>
      <c r="J1675" s="610">
        <v>0</v>
      </c>
      <c r="K1675" s="843">
        <v>6</v>
      </c>
      <c r="L1675" s="844">
        <f t="shared" si="667"/>
        <v>334</v>
      </c>
      <c r="M1675" s="845">
        <v>46218</v>
      </c>
      <c r="N1675" s="612">
        <v>46214</v>
      </c>
      <c r="O1675" s="613"/>
      <c r="P1675" s="610" t="s">
        <v>113</v>
      </c>
      <c r="Q1675" s="614">
        <v>46224</v>
      </c>
      <c r="R1675" s="614">
        <v>46174</v>
      </c>
      <c r="S1675" s="614" t="s">
        <v>70</v>
      </c>
      <c r="T1675" s="614" t="s">
        <v>4792</v>
      </c>
      <c r="U1675" s="818"/>
      <c r="V1675" s="818"/>
      <c r="W1675" s="819"/>
      <c r="X1675" s="820" t="s">
        <v>10086</v>
      </c>
      <c r="Y1675" s="616" t="s">
        <v>1894</v>
      </c>
      <c r="Z1675" s="609">
        <v>7.0149</v>
      </c>
      <c r="AA1675" s="616">
        <f>Z1675*I1675</f>
        <v>14057.8596</v>
      </c>
      <c r="AB1675" s="573"/>
      <c r="AC1675" s="697"/>
      <c r="AD1675" s="610" t="s">
        <v>480</v>
      </c>
      <c r="AE1675" s="610" t="s">
        <v>82</v>
      </c>
      <c r="AF1675" s="610"/>
      <c r="AG1675" s="610"/>
      <c r="AI1675" s="609">
        <v>2004</v>
      </c>
      <c r="AJ1675" s="610">
        <f>I1675-AI1675</f>
        <v>0</v>
      </c>
      <c r="AK1675" s="613"/>
      <c r="AL1675" s="610" t="s">
        <v>2368</v>
      </c>
      <c r="AM1675" s="610"/>
      <c r="AN1675" s="610"/>
      <c r="AO1675" s="554">
        <f>I1675*2</f>
        <v>4008</v>
      </c>
      <c r="AP1675" s="554"/>
      <c r="AQ1675" s="554"/>
      <c r="AR1675" s="619"/>
      <c r="AS1675" s="554"/>
      <c r="AT1675" s="554">
        <f>I1675*2</f>
        <v>4008</v>
      </c>
      <c r="AU1675" s="554"/>
      <c r="AV1675" s="554">
        <f>I1675</f>
        <v>2004</v>
      </c>
      <c r="AW1675" s="554"/>
      <c r="AX1675" s="714"/>
      <c r="AY1675" s="554"/>
      <c r="AZ1675" s="554"/>
      <c r="BA1675" s="554"/>
      <c r="BB1675" s="620">
        <f>I1675/24*2</f>
        <v>167</v>
      </c>
      <c r="BC1675" s="554"/>
      <c r="BD1675" s="554"/>
      <c r="BE1675" s="554"/>
      <c r="BF1675" s="554"/>
      <c r="BG1675" s="550"/>
      <c r="BH1675" s="554"/>
      <c r="BI1675" s="554"/>
      <c r="BJ1675" s="554"/>
      <c r="BK1675" s="554"/>
      <c r="BL1675" s="554"/>
      <c r="BM1675" s="554"/>
      <c r="BN1675" s="554"/>
      <c r="BO1675" s="554"/>
      <c r="BP1675" s="554"/>
      <c r="BQ1675" s="554"/>
      <c r="BR1675" s="554"/>
      <c r="BS1675" s="554"/>
      <c r="BT1675" s="554"/>
      <c r="BU1675" s="554"/>
      <c r="BV1675" s="554"/>
      <c r="BW1675" s="554"/>
      <c r="BX1675" s="554"/>
      <c r="BY1675" s="554"/>
      <c r="BZ1675" s="554">
        <f>I1675</f>
        <v>2004</v>
      </c>
      <c r="CA1675" s="720"/>
      <c r="CB1675" s="555"/>
      <c r="CC1675" s="721"/>
      <c r="CD1675" s="554"/>
      <c r="CE1675" s="554"/>
      <c r="CF1675" s="554"/>
      <c r="CG1675" s="554"/>
      <c r="CH1675" s="550"/>
      <c r="CI1675" s="554"/>
      <c r="CJ1675" s="554"/>
      <c r="CK1675" s="554"/>
      <c r="CL1675" s="554"/>
      <c r="CM1675" s="554"/>
      <c r="CN1675" s="554"/>
      <c r="CO1675" s="554"/>
      <c r="CP1675" s="619"/>
      <c r="CQ1675" s="619"/>
      <c r="CR1675" s="554"/>
      <c r="CS1675" s="554"/>
      <c r="CT1675" s="554"/>
      <c r="CU1675" s="554">
        <f t="shared" si="677"/>
        <v>0</v>
      </c>
      <c r="CV1675" s="554">
        <v>0</v>
      </c>
      <c r="CW1675" s="554">
        <v>0</v>
      </c>
      <c r="CX1675" s="619"/>
      <c r="CY1675" s="619"/>
      <c r="CZ1675" s="619"/>
      <c r="DA1675" s="619"/>
      <c r="DB1675" s="619"/>
      <c r="DC1675" s="619"/>
      <c r="DD1675" s="619"/>
      <c r="DE1675" s="619"/>
      <c r="DF1675" s="619"/>
      <c r="DG1675" s="619"/>
      <c r="DH1675" s="619"/>
    </row>
    <row r="1676" s="550" customFormat="1" ht="31" customHeight="1" spans="1:113">
      <c r="A1676" s="608">
        <v>46108</v>
      </c>
      <c r="B1676" s="609" t="s">
        <v>650</v>
      </c>
      <c r="C1676" s="610" t="s">
        <v>424</v>
      </c>
      <c r="D1676" s="554">
        <v>4500198940</v>
      </c>
      <c r="E1676" s="610">
        <v>300609419</v>
      </c>
      <c r="F1676" s="554" t="s">
        <v>10087</v>
      </c>
      <c r="G1676" s="610" t="s">
        <v>6025</v>
      </c>
      <c r="H1676" s="610" t="s">
        <v>6026</v>
      </c>
      <c r="I1676" s="610">
        <v>600</v>
      </c>
      <c r="J1676" s="610">
        <v>0</v>
      </c>
      <c r="K1676" s="610">
        <v>24</v>
      </c>
      <c r="L1676" s="611">
        <f t="shared" si="667"/>
        <v>25</v>
      </c>
      <c r="M1676" s="612">
        <v>46218</v>
      </c>
      <c r="N1676" s="612">
        <v>46214</v>
      </c>
      <c r="O1676" s="613"/>
      <c r="P1676" s="613" t="s">
        <v>113</v>
      </c>
      <c r="Q1676" s="640">
        <v>46222</v>
      </c>
      <c r="R1676" s="614">
        <v>46171</v>
      </c>
      <c r="S1676" s="614" t="s">
        <v>70</v>
      </c>
      <c r="T1676" s="614" t="s">
        <v>10088</v>
      </c>
      <c r="U1676" s="614"/>
      <c r="V1676" s="614"/>
      <c r="W1676" s="848"/>
      <c r="X1676" s="609" t="s">
        <v>10089</v>
      </c>
      <c r="Y1676" s="609" t="s">
        <v>4365</v>
      </c>
      <c r="Z1676" s="722">
        <v>0.9029</v>
      </c>
      <c r="AA1676" s="616">
        <f>I1676*Z1676</f>
        <v>541.74</v>
      </c>
      <c r="AB1676" s="573"/>
      <c r="AC1676" s="617"/>
      <c r="AD1676" s="610" t="s">
        <v>6025</v>
      </c>
      <c r="AE1676" s="610" t="s">
        <v>82</v>
      </c>
      <c r="AF1676" s="610"/>
      <c r="AG1676" s="610"/>
      <c r="AH1676" s="610"/>
      <c r="AI1676" s="609">
        <v>600</v>
      </c>
      <c r="AJ1676" s="610">
        <f t="shared" si="669"/>
        <v>0</v>
      </c>
      <c r="AK1676" s="610"/>
      <c r="AL1676" s="610" t="s">
        <v>2368</v>
      </c>
      <c r="AM1676" s="610"/>
      <c r="AN1676" s="614"/>
      <c r="AO1676" s="714">
        <f>I1676</f>
        <v>600</v>
      </c>
      <c r="AP1676" s="554"/>
      <c r="AQ1676" s="554"/>
      <c r="AR1676" s="619"/>
      <c r="AS1676" s="554"/>
      <c r="AT1676" s="554">
        <f>I1676</f>
        <v>600</v>
      </c>
      <c r="AU1676" s="554"/>
      <c r="AV1676" s="554">
        <f>I1676</f>
        <v>600</v>
      </c>
      <c r="AW1676" s="619"/>
      <c r="AX1676" s="554"/>
      <c r="AY1676" s="554"/>
      <c r="AZ1676" s="554"/>
      <c r="BA1676" s="554"/>
      <c r="BB1676" s="620">
        <f>I1676/24</f>
        <v>25</v>
      </c>
      <c r="BC1676" s="554"/>
      <c r="BD1676" s="554"/>
      <c r="BE1676" s="554"/>
      <c r="BF1676" s="554"/>
      <c r="BG1676" s="550"/>
      <c r="BH1676" s="554"/>
      <c r="BI1676" s="554"/>
      <c r="BJ1676" s="554"/>
      <c r="BK1676" s="554"/>
      <c r="BL1676" s="554"/>
      <c r="BM1676" s="554"/>
      <c r="BN1676" s="554"/>
      <c r="BO1676" s="554"/>
      <c r="BP1676" s="554"/>
      <c r="BQ1676" s="554"/>
      <c r="BR1676" s="554"/>
      <c r="BS1676" s="554"/>
      <c r="BT1676" s="554"/>
      <c r="BU1676" s="554"/>
      <c r="BV1676" s="554"/>
      <c r="BW1676" s="554"/>
      <c r="BX1676" s="554"/>
      <c r="BY1676" s="554"/>
      <c r="BZ1676" s="554"/>
      <c r="CA1676" s="720"/>
      <c r="CB1676" s="555"/>
      <c r="CC1676" s="721"/>
      <c r="CD1676" s="554"/>
      <c r="CE1676" s="554"/>
      <c r="CF1676" s="554"/>
      <c r="CG1676" s="554"/>
      <c r="CH1676" s="550"/>
      <c r="CI1676" s="554"/>
      <c r="CJ1676" s="554"/>
      <c r="CK1676" s="554"/>
      <c r="CL1676" s="554"/>
      <c r="CM1676" s="554"/>
      <c r="CN1676" s="554"/>
      <c r="CO1676" s="554"/>
      <c r="CP1676" s="619"/>
      <c r="CQ1676" s="619"/>
      <c r="CR1676" s="619"/>
      <c r="CS1676" s="619"/>
      <c r="CT1676" s="619"/>
      <c r="CU1676" s="554">
        <f t="shared" si="677"/>
        <v>0</v>
      </c>
      <c r="CV1676" s="554">
        <f t="shared" ref="CV1676:CV1693" si="680">CK1676+CL1676+CM1676+CN1676+CO1676+CQ1676+CP1676</f>
        <v>0</v>
      </c>
      <c r="CW1676" s="554">
        <f t="shared" ref="CW1676:CW1693" si="681">CI1676+CJ1676</f>
        <v>0</v>
      </c>
      <c r="CX1676" s="619"/>
      <c r="CY1676" s="619"/>
      <c r="CZ1676" s="619"/>
      <c r="DA1676" s="619"/>
      <c r="DB1676" s="619"/>
      <c r="DC1676" s="619"/>
      <c r="DD1676" s="619"/>
      <c r="DE1676" s="619"/>
      <c r="DF1676" s="619"/>
      <c r="DG1676" s="619"/>
      <c r="DH1676" s="619"/>
    </row>
    <row r="1677" s="550" customFormat="1" ht="31" customHeight="1" spans="1:113">
      <c r="A1677" s="608">
        <v>46142</v>
      </c>
      <c r="B1677" s="609" t="s">
        <v>4584</v>
      </c>
      <c r="C1677" s="610" t="s">
        <v>399</v>
      </c>
      <c r="D1677" s="849">
        <v>4500204176</v>
      </c>
      <c r="E1677" s="610" t="s">
        <v>10090</v>
      </c>
      <c r="F1677" s="554" t="s">
        <v>10091</v>
      </c>
      <c r="G1677" s="610" t="s">
        <v>6047</v>
      </c>
      <c r="H1677" s="610" t="s">
        <v>6069</v>
      </c>
      <c r="I1677" s="715">
        <v>650</v>
      </c>
      <c r="J1677" s="610">
        <v>0</v>
      </c>
      <c r="K1677" s="610">
        <v>25</v>
      </c>
      <c r="L1677" s="611">
        <f t="shared" si="667"/>
        <v>26</v>
      </c>
      <c r="M1677" s="612">
        <v>46219</v>
      </c>
      <c r="N1677" s="612">
        <v>46216</v>
      </c>
      <c r="O1677" s="613"/>
      <c r="P1677" s="610" t="s">
        <v>113</v>
      </c>
      <c r="Q1677" s="614"/>
      <c r="R1677" s="614" t="s">
        <v>4587</v>
      </c>
      <c r="S1677" s="614" t="s">
        <v>70</v>
      </c>
      <c r="T1677" s="614" t="s">
        <v>9929</v>
      </c>
      <c r="U1677" s="614"/>
      <c r="V1677" s="609"/>
      <c r="W1677" s="609" t="s">
        <v>8853</v>
      </c>
      <c r="X1677" s="609" t="s">
        <v>10092</v>
      </c>
      <c r="Y1677" s="616" t="s">
        <v>4065</v>
      </c>
      <c r="Z1677" s="609">
        <v>0.9809</v>
      </c>
      <c r="AA1677" s="616">
        <f t="shared" ref="AA1677:AA1689" si="682">Z1677*I1677</f>
        <v>637.585</v>
      </c>
      <c r="AB1677" s="573"/>
      <c r="AC1677" s="697"/>
      <c r="AD1677" s="610" t="s">
        <v>6047</v>
      </c>
      <c r="AE1677" s="610" t="s">
        <v>82</v>
      </c>
      <c r="AF1677" s="610"/>
      <c r="AG1677" s="610"/>
      <c r="AH1677" s="609"/>
      <c r="AI1677" s="609">
        <v>650</v>
      </c>
      <c r="AJ1677" s="610">
        <f t="shared" si="669"/>
        <v>0</v>
      </c>
      <c r="AK1677" s="613"/>
      <c r="AL1677" s="610" t="s">
        <v>2368</v>
      </c>
      <c r="AM1677" s="610"/>
      <c r="AN1677" s="554"/>
      <c r="AO1677" s="554">
        <f>I1677</f>
        <v>650</v>
      </c>
      <c r="AP1677" s="554"/>
      <c r="AQ1677" s="554"/>
      <c r="AR1677" s="619"/>
      <c r="AS1677" s="554"/>
      <c r="AT1677" s="554">
        <f>I1677</f>
        <v>650</v>
      </c>
      <c r="AU1677" s="554"/>
      <c r="AV1677" s="554">
        <f>I1677</f>
        <v>650</v>
      </c>
      <c r="AW1677" s="554"/>
      <c r="AX1677" s="714"/>
      <c r="AY1677" s="554"/>
      <c r="AZ1677" s="554"/>
      <c r="BA1677" s="554"/>
      <c r="BB1677" s="620">
        <f>I1677/24</f>
        <v>27.0833333333333</v>
      </c>
      <c r="BC1677" s="554"/>
      <c r="BD1677" s="554"/>
      <c r="BE1677" s="554"/>
      <c r="BF1677" s="554"/>
      <c r="BG1677" s="550"/>
      <c r="BH1677" s="554"/>
      <c r="BI1677" s="554"/>
      <c r="BJ1677" s="554"/>
      <c r="BK1677" s="554"/>
      <c r="BL1677" s="554"/>
      <c r="BM1677" s="554"/>
      <c r="BN1677" s="554"/>
      <c r="BO1677" s="554"/>
      <c r="BP1677" s="554">
        <f>I1677/25</f>
        <v>26</v>
      </c>
      <c r="BQ1677" s="554"/>
      <c r="BR1677" s="554"/>
      <c r="BS1677" s="554"/>
      <c r="BT1677" s="554"/>
      <c r="BU1677" s="554"/>
      <c r="BV1677" s="554"/>
      <c r="BW1677" s="554"/>
      <c r="BX1677" s="554"/>
      <c r="BY1677" s="554"/>
      <c r="BZ1677" s="554"/>
      <c r="CA1677" s="720"/>
      <c r="CB1677" s="555"/>
      <c r="CC1677" s="721"/>
      <c r="CD1677" s="554"/>
      <c r="CE1677" s="554"/>
      <c r="CF1677" s="554"/>
      <c r="CG1677" s="554"/>
      <c r="CH1677" s="550"/>
      <c r="CI1677" s="554"/>
      <c r="CJ1677" s="554"/>
      <c r="CK1677" s="554"/>
      <c r="CL1677" s="554"/>
      <c r="CM1677" s="554"/>
      <c r="CN1677" s="554"/>
      <c r="CO1677" s="554"/>
      <c r="CP1677" s="619"/>
      <c r="CQ1677" s="619"/>
      <c r="CR1677" s="554"/>
      <c r="CS1677" s="554"/>
      <c r="CT1677" s="554"/>
      <c r="CU1677" s="554">
        <f t="shared" si="677"/>
        <v>26</v>
      </c>
      <c r="CV1677" s="554">
        <f t="shared" si="680"/>
        <v>0</v>
      </c>
      <c r="CW1677" s="554">
        <f t="shared" si="681"/>
        <v>0</v>
      </c>
      <c r="CX1677" s="619"/>
      <c r="CY1677" s="619"/>
      <c r="CZ1677" s="619"/>
      <c r="DA1677" s="619"/>
      <c r="DB1677" s="619"/>
      <c r="DC1677" s="619"/>
      <c r="DD1677" s="619"/>
      <c r="DE1677" s="619"/>
      <c r="DF1677" s="619"/>
      <c r="DG1677" s="619"/>
      <c r="DH1677" s="619"/>
    </row>
    <row r="1678" s="550" customFormat="1" ht="31" customHeight="1" spans="1:113">
      <c r="A1678" s="608">
        <v>46142</v>
      </c>
      <c r="B1678" s="609" t="s">
        <v>4584</v>
      </c>
      <c r="C1678" s="610" t="s">
        <v>399</v>
      </c>
      <c r="D1678" s="727">
        <v>4500204166</v>
      </c>
      <c r="E1678" s="610" t="s">
        <v>4730</v>
      </c>
      <c r="F1678" s="554" t="s">
        <v>10093</v>
      </c>
      <c r="G1678" s="610" t="s">
        <v>6047</v>
      </c>
      <c r="H1678" s="610" t="s">
        <v>6069</v>
      </c>
      <c r="I1678" s="715">
        <v>950</v>
      </c>
      <c r="J1678" s="610">
        <v>0</v>
      </c>
      <c r="K1678" s="610">
        <v>25</v>
      </c>
      <c r="L1678" s="611">
        <f t="shared" si="667"/>
        <v>38</v>
      </c>
      <c r="M1678" s="612">
        <v>46219</v>
      </c>
      <c r="N1678" s="612">
        <v>46216</v>
      </c>
      <c r="O1678" s="613"/>
      <c r="P1678" s="610" t="s">
        <v>113</v>
      </c>
      <c r="Q1678" s="614"/>
      <c r="R1678" s="614" t="s">
        <v>4587</v>
      </c>
      <c r="S1678" s="614" t="s">
        <v>70</v>
      </c>
      <c r="T1678" s="614" t="s">
        <v>9929</v>
      </c>
      <c r="U1678" s="614"/>
      <c r="V1678" s="609"/>
      <c r="W1678" s="609" t="s">
        <v>8853</v>
      </c>
      <c r="X1678" s="609" t="s">
        <v>9937</v>
      </c>
      <c r="Y1678" s="616" t="s">
        <v>4065</v>
      </c>
      <c r="Z1678" s="609">
        <v>0.9809</v>
      </c>
      <c r="AA1678" s="616">
        <f t="shared" si="682"/>
        <v>931.855</v>
      </c>
      <c r="AB1678" s="573"/>
      <c r="AC1678" s="697"/>
      <c r="AD1678" s="610" t="s">
        <v>6047</v>
      </c>
      <c r="AE1678" s="610" t="s">
        <v>82</v>
      </c>
      <c r="AF1678" s="610"/>
      <c r="AG1678" s="610"/>
      <c r="AH1678" s="609"/>
      <c r="AI1678" s="609">
        <v>950</v>
      </c>
      <c r="AJ1678" s="610">
        <f t="shared" si="669"/>
        <v>0</v>
      </c>
      <c r="AK1678" s="613"/>
      <c r="AL1678" s="610" t="s">
        <v>2368</v>
      </c>
      <c r="AM1678" s="610"/>
      <c r="AN1678" s="554"/>
      <c r="AO1678" s="554">
        <f>I1678</f>
        <v>950</v>
      </c>
      <c r="AP1678" s="554"/>
      <c r="AQ1678" s="554"/>
      <c r="AR1678" s="619"/>
      <c r="AS1678" s="554"/>
      <c r="AT1678" s="554">
        <f>I1678</f>
        <v>950</v>
      </c>
      <c r="AU1678" s="554"/>
      <c r="AV1678" s="554">
        <f>I1678</f>
        <v>950</v>
      </c>
      <c r="AW1678" s="554"/>
      <c r="AX1678" s="714"/>
      <c r="AY1678" s="554"/>
      <c r="AZ1678" s="554"/>
      <c r="BA1678" s="554"/>
      <c r="BB1678" s="620">
        <f>I1678/24</f>
        <v>39.5833333333333</v>
      </c>
      <c r="BC1678" s="554"/>
      <c r="BD1678" s="554"/>
      <c r="BE1678" s="554"/>
      <c r="BF1678" s="554"/>
      <c r="BG1678" s="550"/>
      <c r="BH1678" s="554"/>
      <c r="BI1678" s="554"/>
      <c r="BJ1678" s="554"/>
      <c r="BK1678" s="554"/>
      <c r="BL1678" s="554"/>
      <c r="BM1678" s="554"/>
      <c r="BN1678" s="554"/>
      <c r="BO1678" s="554"/>
      <c r="BP1678" s="554">
        <f>I1678/25</f>
        <v>38</v>
      </c>
      <c r="BQ1678" s="554"/>
      <c r="BR1678" s="554"/>
      <c r="BS1678" s="554"/>
      <c r="BT1678" s="554"/>
      <c r="BU1678" s="554"/>
      <c r="BV1678" s="554"/>
      <c r="BW1678" s="554"/>
      <c r="BX1678" s="554"/>
      <c r="BY1678" s="554"/>
      <c r="BZ1678" s="554"/>
      <c r="CA1678" s="720"/>
      <c r="CB1678" s="555"/>
      <c r="CC1678" s="721"/>
      <c r="CD1678" s="554"/>
      <c r="CE1678" s="554"/>
      <c r="CF1678" s="554"/>
      <c r="CG1678" s="554"/>
      <c r="CH1678" s="550"/>
      <c r="CI1678" s="554"/>
      <c r="CJ1678" s="554"/>
      <c r="CK1678" s="554"/>
      <c r="CL1678" s="554"/>
      <c r="CM1678" s="554"/>
      <c r="CN1678" s="554"/>
      <c r="CO1678" s="554"/>
      <c r="CP1678" s="619"/>
      <c r="CQ1678" s="619"/>
      <c r="CR1678" s="554"/>
      <c r="CS1678" s="554"/>
      <c r="CT1678" s="554"/>
      <c r="CU1678" s="554">
        <f t="shared" si="677"/>
        <v>38</v>
      </c>
      <c r="CV1678" s="554">
        <f t="shared" si="680"/>
        <v>0</v>
      </c>
      <c r="CW1678" s="554">
        <f t="shared" si="681"/>
        <v>0</v>
      </c>
      <c r="CX1678" s="619"/>
      <c r="CY1678" s="619"/>
      <c r="CZ1678" s="619"/>
      <c r="DA1678" s="619"/>
      <c r="DB1678" s="619"/>
      <c r="DC1678" s="619"/>
      <c r="DD1678" s="619"/>
      <c r="DE1678" s="619"/>
      <c r="DF1678" s="619"/>
      <c r="DG1678" s="619"/>
      <c r="DH1678" s="619"/>
    </row>
    <row r="1679" s="550" customFormat="1" ht="31" customHeight="1" spans="1:113">
      <c r="A1679" s="608">
        <v>46175</v>
      </c>
      <c r="B1679" s="609" t="s">
        <v>143</v>
      </c>
      <c r="C1679" s="610" t="s">
        <v>98</v>
      </c>
      <c r="D1679" s="554">
        <v>4500210346</v>
      </c>
      <c r="E1679" s="723">
        <v>999666936</v>
      </c>
      <c r="F1679" s="729" t="s">
        <v>10094</v>
      </c>
      <c r="G1679" s="610" t="s">
        <v>6063</v>
      </c>
      <c r="H1679" s="610" t="s">
        <v>6064</v>
      </c>
      <c r="I1679" s="715">
        <v>7680</v>
      </c>
      <c r="J1679" s="610">
        <v>0</v>
      </c>
      <c r="K1679" s="610">
        <v>16</v>
      </c>
      <c r="L1679" s="611">
        <f t="shared" si="667"/>
        <v>480</v>
      </c>
      <c r="M1679" s="612">
        <v>46223</v>
      </c>
      <c r="N1679" s="612">
        <v>46219</v>
      </c>
      <c r="O1679" s="737" t="s">
        <v>3368</v>
      </c>
      <c r="P1679" s="610" t="s">
        <v>113</v>
      </c>
      <c r="Q1679" s="614"/>
      <c r="R1679" s="614" t="s">
        <v>147</v>
      </c>
      <c r="S1679" s="614" t="s">
        <v>70</v>
      </c>
      <c r="T1679" s="614" t="s">
        <v>10019</v>
      </c>
      <c r="U1679" s="614"/>
      <c r="V1679" s="614"/>
      <c r="W1679" s="573"/>
      <c r="X1679" s="609" t="s">
        <v>10095</v>
      </c>
      <c r="Y1679" s="616" t="s">
        <v>4871</v>
      </c>
      <c r="Z1679" s="609">
        <v>0.6301</v>
      </c>
      <c r="AA1679" s="616">
        <f t="shared" si="682"/>
        <v>4839.168</v>
      </c>
      <c r="AB1679" s="573"/>
      <c r="AC1679" s="637" t="s">
        <v>10096</v>
      </c>
      <c r="AD1679" s="610" t="s">
        <v>6063</v>
      </c>
      <c r="AE1679" s="610" t="s">
        <v>82</v>
      </c>
      <c r="AF1679" s="610"/>
      <c r="AG1679" s="610"/>
      <c r="AH1679" s="609"/>
      <c r="AI1679" s="610">
        <v>7680</v>
      </c>
      <c r="AJ1679" s="610">
        <f t="shared" si="669"/>
        <v>0</v>
      </c>
      <c r="AK1679" s="613"/>
      <c r="AL1679" s="610" t="s">
        <v>2368</v>
      </c>
      <c r="AM1679" s="610"/>
      <c r="AN1679" s="554">
        <f t="shared" ref="AN1679:AN1685" si="683">I1679</f>
        <v>7680</v>
      </c>
      <c r="AO1679" s="554"/>
      <c r="AP1679" s="554">
        <f t="shared" ref="AP1679:AP1685" si="684">I1679</f>
        <v>7680</v>
      </c>
      <c r="AQ1679" s="554"/>
      <c r="AR1679" s="619"/>
      <c r="AS1679" s="554"/>
      <c r="AT1679" s="554"/>
      <c r="AU1679" s="554">
        <f t="shared" ref="AU1679:AU1685" si="685">I1679</f>
        <v>7680</v>
      </c>
      <c r="AV1679" s="554"/>
      <c r="AW1679" s="554"/>
      <c r="AX1679" s="714"/>
      <c r="AY1679" s="554"/>
      <c r="AZ1679" s="554"/>
      <c r="BA1679" s="554"/>
      <c r="BB1679" s="620">
        <f t="shared" ref="BB1679:BB1685" si="686">I1679/24</f>
        <v>320</v>
      </c>
      <c r="BC1679" s="554"/>
      <c r="BD1679" s="554"/>
      <c r="BE1679" s="554"/>
      <c r="BF1679" s="554"/>
      <c r="BG1679" s="550"/>
      <c r="BH1679" s="554"/>
      <c r="BI1679" s="554"/>
      <c r="BJ1679" s="554"/>
      <c r="BK1679" s="554"/>
      <c r="BL1679" s="554"/>
      <c r="BM1679" s="554"/>
      <c r="BN1679" s="554"/>
      <c r="BO1679" s="554"/>
      <c r="BP1679" s="554"/>
      <c r="BQ1679" s="554">
        <f t="shared" ref="BQ1679:BQ1685" si="687">I1679/16</f>
        <v>480</v>
      </c>
      <c r="BR1679" s="554"/>
      <c r="BS1679" s="554"/>
      <c r="BT1679" s="554"/>
      <c r="BU1679" s="554"/>
      <c r="BV1679" s="554"/>
      <c r="BW1679" s="554"/>
      <c r="BX1679" s="554"/>
      <c r="BY1679" s="554"/>
      <c r="BZ1679" s="554"/>
      <c r="CA1679" s="720"/>
      <c r="CB1679" s="555"/>
      <c r="CC1679" s="721"/>
      <c r="CD1679" s="554"/>
      <c r="CE1679" s="554"/>
      <c r="CF1679" s="554"/>
      <c r="CG1679" s="554"/>
      <c r="CH1679" s="550"/>
      <c r="CI1679" s="554"/>
      <c r="CJ1679" s="554"/>
      <c r="CK1679" s="554"/>
      <c r="CL1679" s="554"/>
      <c r="CM1679" s="554"/>
      <c r="CN1679" s="554"/>
      <c r="CO1679" s="554"/>
      <c r="CP1679" s="619"/>
      <c r="CQ1679" s="619"/>
      <c r="CR1679" s="554"/>
      <c r="CS1679" s="554"/>
      <c r="CT1679" s="554"/>
      <c r="CU1679" s="554">
        <f t="shared" si="677"/>
        <v>480</v>
      </c>
      <c r="CV1679" s="554">
        <f t="shared" si="680"/>
        <v>0</v>
      </c>
      <c r="CW1679" s="554">
        <f t="shared" si="681"/>
        <v>0</v>
      </c>
      <c r="CX1679" s="619"/>
      <c r="CY1679" s="619"/>
      <c r="CZ1679" s="619"/>
      <c r="DA1679" s="619"/>
      <c r="DB1679" s="619"/>
      <c r="DC1679" s="619"/>
      <c r="DD1679" s="619"/>
      <c r="DE1679" s="619"/>
      <c r="DF1679" s="619"/>
      <c r="DG1679" s="619"/>
      <c r="DH1679" s="619"/>
    </row>
    <row r="1680" s="550" customFormat="1" ht="31" customHeight="1" spans="1:113">
      <c r="A1680" s="608">
        <v>46175</v>
      </c>
      <c r="B1680" s="609" t="s">
        <v>143</v>
      </c>
      <c r="C1680" s="610" t="s">
        <v>98</v>
      </c>
      <c r="D1680" s="554">
        <v>4500210346</v>
      </c>
      <c r="E1680" s="723">
        <v>999666937</v>
      </c>
      <c r="F1680" s="729" t="s">
        <v>10097</v>
      </c>
      <c r="G1680" s="610" t="s">
        <v>6063</v>
      </c>
      <c r="H1680" s="610" t="s">
        <v>6064</v>
      </c>
      <c r="I1680" s="715">
        <v>5760</v>
      </c>
      <c r="J1680" s="610">
        <v>0</v>
      </c>
      <c r="K1680" s="610">
        <v>16</v>
      </c>
      <c r="L1680" s="611">
        <f t="shared" si="667"/>
        <v>360</v>
      </c>
      <c r="M1680" s="612">
        <v>46223</v>
      </c>
      <c r="N1680" s="612">
        <v>46219</v>
      </c>
      <c r="O1680" s="737" t="s">
        <v>3368</v>
      </c>
      <c r="P1680" s="610" t="s">
        <v>113</v>
      </c>
      <c r="Q1680" s="614"/>
      <c r="R1680" s="614" t="s">
        <v>147</v>
      </c>
      <c r="S1680" s="614" t="s">
        <v>70</v>
      </c>
      <c r="T1680" s="614" t="s">
        <v>10019</v>
      </c>
      <c r="U1680" s="614"/>
      <c r="V1680" s="614"/>
      <c r="W1680" s="573"/>
      <c r="X1680" s="609" t="s">
        <v>10095</v>
      </c>
      <c r="Y1680" s="616" t="s">
        <v>4871</v>
      </c>
      <c r="Z1680" s="609">
        <v>0.6301</v>
      </c>
      <c r="AA1680" s="616">
        <f t="shared" si="682"/>
        <v>3629.376</v>
      </c>
      <c r="AB1680" s="573"/>
      <c r="AC1680" s="637" t="s">
        <v>10096</v>
      </c>
      <c r="AD1680" s="610" t="s">
        <v>6063</v>
      </c>
      <c r="AE1680" s="610" t="s">
        <v>82</v>
      </c>
      <c r="AF1680" s="610"/>
      <c r="AG1680" s="610"/>
      <c r="AH1680" s="609"/>
      <c r="AI1680" s="610">
        <v>5760</v>
      </c>
      <c r="AJ1680" s="610">
        <f t="shared" si="669"/>
        <v>0</v>
      </c>
      <c r="AK1680" s="613"/>
      <c r="AL1680" s="610" t="s">
        <v>2368</v>
      </c>
      <c r="AM1680" s="610"/>
      <c r="AN1680" s="554">
        <f t="shared" si="683"/>
        <v>5760</v>
      </c>
      <c r="AO1680" s="554"/>
      <c r="AP1680" s="554">
        <f t="shared" si="684"/>
        <v>5760</v>
      </c>
      <c r="AQ1680" s="554"/>
      <c r="AR1680" s="619"/>
      <c r="AS1680" s="554"/>
      <c r="AT1680" s="554"/>
      <c r="AU1680" s="554">
        <f t="shared" si="685"/>
        <v>5760</v>
      </c>
      <c r="AV1680" s="554"/>
      <c r="AW1680" s="554"/>
      <c r="AX1680" s="714"/>
      <c r="AY1680" s="554"/>
      <c r="AZ1680" s="554"/>
      <c r="BA1680" s="554"/>
      <c r="BB1680" s="620">
        <f t="shared" si="686"/>
        <v>240</v>
      </c>
      <c r="BC1680" s="554"/>
      <c r="BD1680" s="554"/>
      <c r="BE1680" s="554"/>
      <c r="BF1680" s="554"/>
      <c r="BG1680" s="550"/>
      <c r="BH1680" s="554"/>
      <c r="BI1680" s="554"/>
      <c r="BJ1680" s="554"/>
      <c r="BK1680" s="554"/>
      <c r="BL1680" s="554"/>
      <c r="BM1680" s="554"/>
      <c r="BN1680" s="554"/>
      <c r="BO1680" s="554"/>
      <c r="BP1680" s="554"/>
      <c r="BQ1680" s="554">
        <f t="shared" si="687"/>
        <v>360</v>
      </c>
      <c r="BR1680" s="554"/>
      <c r="BS1680" s="554"/>
      <c r="BT1680" s="554"/>
      <c r="BU1680" s="554"/>
      <c r="BV1680" s="554"/>
      <c r="BW1680" s="554"/>
      <c r="BX1680" s="554"/>
      <c r="BY1680" s="554"/>
      <c r="BZ1680" s="554"/>
      <c r="CA1680" s="720"/>
      <c r="CB1680" s="555"/>
      <c r="CC1680" s="721"/>
      <c r="CD1680" s="554"/>
      <c r="CE1680" s="554"/>
      <c r="CF1680" s="554"/>
      <c r="CG1680" s="554"/>
      <c r="CH1680" s="550"/>
      <c r="CI1680" s="554"/>
      <c r="CJ1680" s="554"/>
      <c r="CK1680" s="554"/>
      <c r="CL1680" s="554"/>
      <c r="CM1680" s="554"/>
      <c r="CN1680" s="554"/>
      <c r="CO1680" s="554"/>
      <c r="CP1680" s="619"/>
      <c r="CQ1680" s="619"/>
      <c r="CR1680" s="554"/>
      <c r="CS1680" s="554"/>
      <c r="CT1680" s="554"/>
      <c r="CU1680" s="554">
        <f t="shared" si="677"/>
        <v>360</v>
      </c>
      <c r="CV1680" s="554">
        <f t="shared" si="680"/>
        <v>0</v>
      </c>
      <c r="CW1680" s="554">
        <f t="shared" si="681"/>
        <v>0</v>
      </c>
      <c r="CX1680" s="619"/>
      <c r="CY1680" s="619"/>
      <c r="CZ1680" s="619"/>
      <c r="DA1680" s="619"/>
      <c r="DB1680" s="619"/>
      <c r="DC1680" s="619"/>
      <c r="DD1680" s="619"/>
      <c r="DE1680" s="619"/>
      <c r="DF1680" s="619"/>
      <c r="DG1680" s="619"/>
      <c r="DH1680" s="619"/>
    </row>
    <row r="1681" s="550" customFormat="1" ht="31" customHeight="1" spans="1:112">
      <c r="A1681" s="608">
        <v>46175</v>
      </c>
      <c r="B1681" s="609" t="s">
        <v>143</v>
      </c>
      <c r="C1681" s="610" t="s">
        <v>98</v>
      </c>
      <c r="D1681" s="554">
        <v>4500210346</v>
      </c>
      <c r="E1681" s="723">
        <v>999666939</v>
      </c>
      <c r="F1681" s="729" t="s">
        <v>10098</v>
      </c>
      <c r="G1681" s="610" t="s">
        <v>6063</v>
      </c>
      <c r="H1681" s="610" t="s">
        <v>6064</v>
      </c>
      <c r="I1681" s="715">
        <v>2880</v>
      </c>
      <c r="J1681" s="610">
        <v>0</v>
      </c>
      <c r="K1681" s="610">
        <v>16</v>
      </c>
      <c r="L1681" s="611">
        <f t="shared" si="667"/>
        <v>180</v>
      </c>
      <c r="M1681" s="612">
        <v>46223</v>
      </c>
      <c r="N1681" s="612">
        <v>46219</v>
      </c>
      <c r="O1681" s="737" t="s">
        <v>3368</v>
      </c>
      <c r="P1681" s="610" t="s">
        <v>113</v>
      </c>
      <c r="Q1681" s="614"/>
      <c r="R1681" s="614" t="s">
        <v>147</v>
      </c>
      <c r="S1681" s="614" t="s">
        <v>70</v>
      </c>
      <c r="T1681" s="614" t="s">
        <v>10019</v>
      </c>
      <c r="U1681" s="614"/>
      <c r="V1681" s="614"/>
      <c r="W1681" s="573"/>
      <c r="X1681" s="609" t="s">
        <v>10095</v>
      </c>
      <c r="Y1681" s="616" t="s">
        <v>4871</v>
      </c>
      <c r="Z1681" s="609">
        <v>0.6334</v>
      </c>
      <c r="AA1681" s="616">
        <f t="shared" si="682"/>
        <v>1824.192</v>
      </c>
      <c r="AB1681" s="573"/>
      <c r="AC1681" s="678" t="s">
        <v>10099</v>
      </c>
      <c r="AD1681" s="610" t="s">
        <v>6063</v>
      </c>
      <c r="AE1681" s="610" t="s">
        <v>82</v>
      </c>
      <c r="AF1681" s="610"/>
      <c r="AG1681" s="610"/>
      <c r="AH1681" s="609"/>
      <c r="AI1681" s="610">
        <v>2880</v>
      </c>
      <c r="AJ1681" s="610">
        <f t="shared" si="669"/>
        <v>0</v>
      </c>
      <c r="AK1681" s="613"/>
      <c r="AL1681" s="610" t="s">
        <v>2368</v>
      </c>
      <c r="AM1681" s="610"/>
      <c r="AN1681" s="554">
        <f t="shared" si="683"/>
        <v>2880</v>
      </c>
      <c r="AO1681" s="554"/>
      <c r="AP1681" s="554">
        <f t="shared" si="684"/>
        <v>2880</v>
      </c>
      <c r="AQ1681" s="554"/>
      <c r="AR1681" s="619"/>
      <c r="AS1681" s="554"/>
      <c r="AT1681" s="554"/>
      <c r="AU1681" s="554">
        <f t="shared" si="685"/>
        <v>2880</v>
      </c>
      <c r="AV1681" s="554"/>
      <c r="AW1681" s="554"/>
      <c r="AX1681" s="714"/>
      <c r="AY1681" s="554"/>
      <c r="AZ1681" s="554"/>
      <c r="BA1681" s="554"/>
      <c r="BB1681" s="620">
        <f t="shared" si="686"/>
        <v>120</v>
      </c>
      <c r="BC1681" s="554"/>
      <c r="BD1681" s="554"/>
      <c r="BE1681" s="554"/>
      <c r="BF1681" s="554"/>
      <c r="BG1681" s="550"/>
      <c r="BH1681" s="554"/>
      <c r="BI1681" s="554"/>
      <c r="BJ1681" s="554"/>
      <c r="BK1681" s="554"/>
      <c r="BL1681" s="554"/>
      <c r="BM1681" s="554"/>
      <c r="BN1681" s="554"/>
      <c r="BO1681" s="554"/>
      <c r="BP1681" s="554"/>
      <c r="BQ1681" s="554">
        <f t="shared" si="687"/>
        <v>180</v>
      </c>
      <c r="BR1681" s="554"/>
      <c r="BS1681" s="554"/>
      <c r="BT1681" s="554"/>
      <c r="BU1681" s="554"/>
      <c r="BV1681" s="554"/>
      <c r="BW1681" s="554"/>
      <c r="BX1681" s="554"/>
      <c r="BY1681" s="554"/>
      <c r="BZ1681" s="554"/>
      <c r="CA1681" s="720"/>
      <c r="CB1681" s="555"/>
      <c r="CC1681" s="721"/>
      <c r="CD1681" s="554"/>
      <c r="CE1681" s="554"/>
      <c r="CF1681" s="554"/>
      <c r="CG1681" s="554"/>
      <c r="CH1681" s="550"/>
      <c r="CI1681" s="554"/>
      <c r="CJ1681" s="554"/>
      <c r="CK1681" s="554"/>
      <c r="CL1681" s="554"/>
      <c r="CM1681" s="554"/>
      <c r="CN1681" s="554"/>
      <c r="CO1681" s="554"/>
      <c r="CP1681" s="619"/>
      <c r="CQ1681" s="619"/>
      <c r="CR1681" s="554"/>
      <c r="CS1681" s="554"/>
      <c r="CT1681" s="554"/>
      <c r="CU1681" s="554">
        <f t="shared" si="677"/>
        <v>180</v>
      </c>
      <c r="CV1681" s="554">
        <f t="shared" si="680"/>
        <v>0</v>
      </c>
      <c r="CW1681" s="554">
        <f t="shared" si="681"/>
        <v>0</v>
      </c>
      <c r="CX1681" s="619"/>
      <c r="CY1681" s="619"/>
      <c r="CZ1681" s="619"/>
      <c r="DA1681" s="619"/>
      <c r="DB1681" s="619"/>
      <c r="DC1681" s="619"/>
      <c r="DD1681" s="619"/>
      <c r="DE1681" s="619"/>
      <c r="DF1681" s="619"/>
      <c r="DG1681" s="619"/>
      <c r="DH1681" s="619"/>
    </row>
    <row r="1682" s="550" customFormat="1" ht="31" customHeight="1" spans="1:112">
      <c r="A1682" s="608">
        <v>46175</v>
      </c>
      <c r="B1682" s="609" t="s">
        <v>143</v>
      </c>
      <c r="C1682" s="610" t="s">
        <v>98</v>
      </c>
      <c r="D1682" s="554">
        <v>4500210346</v>
      </c>
      <c r="E1682" s="723">
        <v>999666947</v>
      </c>
      <c r="F1682" s="729" t="s">
        <v>10100</v>
      </c>
      <c r="G1682" s="610" t="s">
        <v>6063</v>
      </c>
      <c r="H1682" s="610" t="s">
        <v>6064</v>
      </c>
      <c r="I1682" s="715">
        <v>5760</v>
      </c>
      <c r="J1682" s="610">
        <v>0</v>
      </c>
      <c r="K1682" s="610">
        <v>16</v>
      </c>
      <c r="L1682" s="611">
        <f t="shared" si="667"/>
        <v>360</v>
      </c>
      <c r="M1682" s="612">
        <v>46223</v>
      </c>
      <c r="N1682" s="612">
        <v>46219</v>
      </c>
      <c r="O1682" s="737" t="s">
        <v>3368</v>
      </c>
      <c r="P1682" s="610" t="s">
        <v>113</v>
      </c>
      <c r="Q1682" s="614"/>
      <c r="R1682" s="614" t="s">
        <v>147</v>
      </c>
      <c r="S1682" s="614" t="s">
        <v>70</v>
      </c>
      <c r="T1682" s="614" t="s">
        <v>10019</v>
      </c>
      <c r="U1682" s="614"/>
      <c r="V1682" s="614"/>
      <c r="W1682" s="573"/>
      <c r="X1682" s="609" t="s">
        <v>10095</v>
      </c>
      <c r="Y1682" s="616" t="s">
        <v>4871</v>
      </c>
      <c r="Z1682" s="609">
        <v>0.6301</v>
      </c>
      <c r="AA1682" s="616">
        <f t="shared" si="682"/>
        <v>3629.376</v>
      </c>
      <c r="AB1682" s="573"/>
      <c r="AC1682" s="637" t="s">
        <v>10096</v>
      </c>
      <c r="AD1682" s="610" t="s">
        <v>6063</v>
      </c>
      <c r="AE1682" s="610" t="s">
        <v>82</v>
      </c>
      <c r="AF1682" s="610"/>
      <c r="AG1682" s="610"/>
      <c r="AH1682" s="609"/>
      <c r="AI1682" s="610">
        <v>5760</v>
      </c>
      <c r="AJ1682" s="610">
        <f t="shared" si="669"/>
        <v>0</v>
      </c>
      <c r="AK1682" s="613"/>
      <c r="AL1682" s="610" t="s">
        <v>2368</v>
      </c>
      <c r="AM1682" s="610"/>
      <c r="AN1682" s="554">
        <f t="shared" si="683"/>
        <v>5760</v>
      </c>
      <c r="AO1682" s="554"/>
      <c r="AP1682" s="554">
        <f t="shared" si="684"/>
        <v>5760</v>
      </c>
      <c r="AQ1682" s="554"/>
      <c r="AR1682" s="619"/>
      <c r="AS1682" s="554"/>
      <c r="AT1682" s="554"/>
      <c r="AU1682" s="554">
        <f t="shared" si="685"/>
        <v>5760</v>
      </c>
      <c r="AV1682" s="554"/>
      <c r="AW1682" s="554"/>
      <c r="AX1682" s="714"/>
      <c r="AY1682" s="554"/>
      <c r="AZ1682" s="554"/>
      <c r="BA1682" s="554"/>
      <c r="BB1682" s="620">
        <f t="shared" si="686"/>
        <v>240</v>
      </c>
      <c r="BC1682" s="554"/>
      <c r="BD1682" s="554"/>
      <c r="BE1682" s="554"/>
      <c r="BF1682" s="554"/>
      <c r="BG1682" s="550"/>
      <c r="BH1682" s="554"/>
      <c r="BI1682" s="554"/>
      <c r="BJ1682" s="554"/>
      <c r="BK1682" s="554"/>
      <c r="BL1682" s="554"/>
      <c r="BM1682" s="554"/>
      <c r="BN1682" s="554"/>
      <c r="BO1682" s="554"/>
      <c r="BP1682" s="554"/>
      <c r="BQ1682" s="554">
        <f t="shared" si="687"/>
        <v>360</v>
      </c>
      <c r="BR1682" s="554"/>
      <c r="BS1682" s="554"/>
      <c r="BT1682" s="554"/>
      <c r="BU1682" s="554"/>
      <c r="BV1682" s="554"/>
      <c r="BW1682" s="554"/>
      <c r="BX1682" s="554"/>
      <c r="BY1682" s="554"/>
      <c r="BZ1682" s="554"/>
      <c r="CA1682" s="720"/>
      <c r="CB1682" s="555"/>
      <c r="CC1682" s="721"/>
      <c r="CD1682" s="554"/>
      <c r="CE1682" s="554"/>
      <c r="CF1682" s="554"/>
      <c r="CG1682" s="554"/>
      <c r="CH1682" s="550"/>
      <c r="CI1682" s="554"/>
      <c r="CJ1682" s="554"/>
      <c r="CK1682" s="554"/>
      <c r="CL1682" s="554"/>
      <c r="CM1682" s="554"/>
      <c r="CN1682" s="554"/>
      <c r="CO1682" s="554"/>
      <c r="CP1682" s="619"/>
      <c r="CQ1682" s="619"/>
      <c r="CR1682" s="554"/>
      <c r="CS1682" s="554"/>
      <c r="CT1682" s="554"/>
      <c r="CU1682" s="554">
        <f t="shared" si="677"/>
        <v>360</v>
      </c>
      <c r="CV1682" s="554">
        <f t="shared" si="680"/>
        <v>0</v>
      </c>
      <c r="CW1682" s="554">
        <f t="shared" si="681"/>
        <v>0</v>
      </c>
      <c r="CX1682" s="619"/>
      <c r="CY1682" s="619"/>
      <c r="CZ1682" s="619"/>
      <c r="DA1682" s="619"/>
      <c r="DB1682" s="619"/>
      <c r="DC1682" s="619"/>
      <c r="DD1682" s="619"/>
      <c r="DE1682" s="619"/>
      <c r="DF1682" s="619"/>
      <c r="DG1682" s="619"/>
      <c r="DH1682" s="619"/>
    </row>
    <row r="1683" s="550" customFormat="1" ht="31" customHeight="1" spans="1:112">
      <c r="A1683" s="608">
        <v>46175</v>
      </c>
      <c r="B1683" s="609" t="s">
        <v>143</v>
      </c>
      <c r="C1683" s="610" t="s">
        <v>98</v>
      </c>
      <c r="D1683" s="554">
        <v>4500210346</v>
      </c>
      <c r="E1683" s="723">
        <v>999666978</v>
      </c>
      <c r="F1683" s="729" t="s">
        <v>10101</v>
      </c>
      <c r="G1683" s="610" t="s">
        <v>6063</v>
      </c>
      <c r="H1683" s="610" t="s">
        <v>6064</v>
      </c>
      <c r="I1683" s="715">
        <v>7680</v>
      </c>
      <c r="J1683" s="610">
        <v>0</v>
      </c>
      <c r="K1683" s="610">
        <v>16</v>
      </c>
      <c r="L1683" s="611">
        <f t="shared" si="667"/>
        <v>480</v>
      </c>
      <c r="M1683" s="612">
        <v>46223</v>
      </c>
      <c r="N1683" s="612">
        <v>46219</v>
      </c>
      <c r="O1683" s="737" t="s">
        <v>3368</v>
      </c>
      <c r="P1683" s="610" t="s">
        <v>113</v>
      </c>
      <c r="Q1683" s="614"/>
      <c r="R1683" s="614" t="s">
        <v>147</v>
      </c>
      <c r="S1683" s="614" t="s">
        <v>70</v>
      </c>
      <c r="T1683" s="614" t="s">
        <v>10019</v>
      </c>
      <c r="U1683" s="614"/>
      <c r="V1683" s="614"/>
      <c r="W1683" s="573"/>
      <c r="X1683" s="609" t="s">
        <v>10095</v>
      </c>
      <c r="Y1683" s="616" t="s">
        <v>4871</v>
      </c>
      <c r="Z1683" s="609">
        <v>0.6301</v>
      </c>
      <c r="AA1683" s="616">
        <f t="shared" si="682"/>
        <v>4839.168</v>
      </c>
      <c r="AB1683" s="573"/>
      <c r="AC1683" s="637" t="s">
        <v>10096</v>
      </c>
      <c r="AD1683" s="610" t="s">
        <v>6063</v>
      </c>
      <c r="AE1683" s="610" t="s">
        <v>82</v>
      </c>
      <c r="AF1683" s="610"/>
      <c r="AG1683" s="610"/>
      <c r="AH1683" s="609"/>
      <c r="AI1683" s="610">
        <f>5120+2560</f>
        <v>7680</v>
      </c>
      <c r="AJ1683" s="610">
        <f t="shared" si="669"/>
        <v>0</v>
      </c>
      <c r="AK1683" s="613"/>
      <c r="AL1683" s="610" t="s">
        <v>2368</v>
      </c>
      <c r="AM1683" s="610"/>
      <c r="AN1683" s="554">
        <f t="shared" si="683"/>
        <v>7680</v>
      </c>
      <c r="AO1683" s="554"/>
      <c r="AP1683" s="554">
        <f t="shared" si="684"/>
        <v>7680</v>
      </c>
      <c r="AQ1683" s="554"/>
      <c r="AR1683" s="619"/>
      <c r="AS1683" s="554"/>
      <c r="AT1683" s="554"/>
      <c r="AU1683" s="554">
        <f t="shared" si="685"/>
        <v>7680</v>
      </c>
      <c r="AV1683" s="554"/>
      <c r="AW1683" s="554"/>
      <c r="AX1683" s="714"/>
      <c r="AY1683" s="554"/>
      <c r="AZ1683" s="554"/>
      <c r="BA1683" s="554"/>
      <c r="BB1683" s="620">
        <f t="shared" si="686"/>
        <v>320</v>
      </c>
      <c r="BC1683" s="554"/>
      <c r="BD1683" s="554"/>
      <c r="BE1683" s="554"/>
      <c r="BF1683" s="554"/>
      <c r="BG1683" s="550"/>
      <c r="BH1683" s="554"/>
      <c r="BI1683" s="554"/>
      <c r="BJ1683" s="554"/>
      <c r="BK1683" s="554"/>
      <c r="BL1683" s="554"/>
      <c r="BM1683" s="554"/>
      <c r="BN1683" s="554"/>
      <c r="BO1683" s="554"/>
      <c r="BP1683" s="554"/>
      <c r="BQ1683" s="554">
        <f t="shared" si="687"/>
        <v>480</v>
      </c>
      <c r="BR1683" s="554"/>
      <c r="BS1683" s="554"/>
      <c r="BT1683" s="554"/>
      <c r="BU1683" s="554"/>
      <c r="BV1683" s="554"/>
      <c r="BW1683" s="554"/>
      <c r="BX1683" s="554"/>
      <c r="BY1683" s="554"/>
      <c r="BZ1683" s="554"/>
      <c r="CA1683" s="720"/>
      <c r="CB1683" s="555"/>
      <c r="CC1683" s="721"/>
      <c r="CD1683" s="554"/>
      <c r="CE1683" s="554"/>
      <c r="CF1683" s="554"/>
      <c r="CG1683" s="554"/>
      <c r="CH1683" s="550"/>
      <c r="CI1683" s="554"/>
      <c r="CJ1683" s="554"/>
      <c r="CK1683" s="554"/>
      <c r="CL1683" s="554"/>
      <c r="CM1683" s="554"/>
      <c r="CN1683" s="554"/>
      <c r="CO1683" s="554"/>
      <c r="CP1683" s="619"/>
      <c r="CQ1683" s="619"/>
      <c r="CR1683" s="554"/>
      <c r="CS1683" s="554"/>
      <c r="CT1683" s="554"/>
      <c r="CU1683" s="554">
        <f t="shared" si="677"/>
        <v>480</v>
      </c>
      <c r="CV1683" s="554">
        <f t="shared" si="680"/>
        <v>0</v>
      </c>
      <c r="CW1683" s="554">
        <f t="shared" si="681"/>
        <v>0</v>
      </c>
      <c r="CX1683" s="619"/>
      <c r="CY1683" s="619"/>
      <c r="CZ1683" s="619"/>
      <c r="DA1683" s="619"/>
      <c r="DB1683" s="619"/>
      <c r="DC1683" s="619"/>
      <c r="DD1683" s="619"/>
      <c r="DE1683" s="619"/>
      <c r="DF1683" s="619"/>
      <c r="DG1683" s="619"/>
      <c r="DH1683" s="619"/>
    </row>
    <row r="1684" s="550" customFormat="1" ht="31" customHeight="1" spans="1:112">
      <c r="A1684" s="608">
        <v>46175</v>
      </c>
      <c r="B1684" s="609" t="s">
        <v>143</v>
      </c>
      <c r="C1684" s="610" t="s">
        <v>98</v>
      </c>
      <c r="D1684" s="554">
        <v>4500210346</v>
      </c>
      <c r="E1684" s="723">
        <v>999667007</v>
      </c>
      <c r="F1684" s="729" t="s">
        <v>10102</v>
      </c>
      <c r="G1684" s="610" t="s">
        <v>6063</v>
      </c>
      <c r="H1684" s="610" t="s">
        <v>6064</v>
      </c>
      <c r="I1684" s="715">
        <v>10560</v>
      </c>
      <c r="J1684" s="610">
        <v>0</v>
      </c>
      <c r="K1684" s="610">
        <v>16</v>
      </c>
      <c r="L1684" s="611">
        <f t="shared" si="667"/>
        <v>660</v>
      </c>
      <c r="M1684" s="612">
        <v>46223</v>
      </c>
      <c r="N1684" s="612">
        <v>46219</v>
      </c>
      <c r="O1684" s="737" t="s">
        <v>3368</v>
      </c>
      <c r="P1684" s="610" t="s">
        <v>113</v>
      </c>
      <c r="Q1684" s="614"/>
      <c r="R1684" s="614" t="s">
        <v>147</v>
      </c>
      <c r="S1684" s="614" t="s">
        <v>70</v>
      </c>
      <c r="T1684" s="614" t="s">
        <v>10019</v>
      </c>
      <c r="U1684" s="614"/>
      <c r="V1684" s="614"/>
      <c r="W1684" s="573"/>
      <c r="X1684" s="609" t="s">
        <v>10095</v>
      </c>
      <c r="Y1684" s="616" t="s">
        <v>4871</v>
      </c>
      <c r="Z1684" s="609">
        <v>0.6268</v>
      </c>
      <c r="AA1684" s="616">
        <f t="shared" si="682"/>
        <v>6619.008</v>
      </c>
      <c r="AB1684" s="573"/>
      <c r="AC1684" s="678" t="s">
        <v>10103</v>
      </c>
      <c r="AD1684" s="610" t="s">
        <v>6063</v>
      </c>
      <c r="AE1684" s="610" t="s">
        <v>82</v>
      </c>
      <c r="AF1684" s="610"/>
      <c r="AG1684" s="610"/>
      <c r="AH1684" s="609"/>
      <c r="AI1684" s="610">
        <f>10560</f>
        <v>10560</v>
      </c>
      <c r="AJ1684" s="610">
        <f t="shared" si="669"/>
        <v>0</v>
      </c>
      <c r="AK1684" s="613"/>
      <c r="AL1684" s="610" t="s">
        <v>2368</v>
      </c>
      <c r="AM1684" s="610"/>
      <c r="AN1684" s="554">
        <f t="shared" si="683"/>
        <v>10560</v>
      </c>
      <c r="AO1684" s="554"/>
      <c r="AP1684" s="554">
        <f t="shared" si="684"/>
        <v>10560</v>
      </c>
      <c r="AQ1684" s="554"/>
      <c r="AR1684" s="619"/>
      <c r="AS1684" s="554"/>
      <c r="AT1684" s="554"/>
      <c r="AU1684" s="554">
        <f t="shared" si="685"/>
        <v>10560</v>
      </c>
      <c r="AV1684" s="554"/>
      <c r="AW1684" s="554"/>
      <c r="AX1684" s="714"/>
      <c r="AY1684" s="554"/>
      <c r="AZ1684" s="554"/>
      <c r="BA1684" s="554"/>
      <c r="BB1684" s="620">
        <f t="shared" si="686"/>
        <v>440</v>
      </c>
      <c r="BC1684" s="554"/>
      <c r="BD1684" s="554"/>
      <c r="BE1684" s="554"/>
      <c r="BF1684" s="554"/>
      <c r="BG1684" s="550"/>
      <c r="BH1684" s="554"/>
      <c r="BI1684" s="554"/>
      <c r="BJ1684" s="554"/>
      <c r="BK1684" s="554"/>
      <c r="BL1684" s="554"/>
      <c r="BM1684" s="554"/>
      <c r="BN1684" s="554"/>
      <c r="BO1684" s="554"/>
      <c r="BP1684" s="554"/>
      <c r="BQ1684" s="554">
        <f t="shared" si="687"/>
        <v>660</v>
      </c>
      <c r="BR1684" s="554"/>
      <c r="BS1684" s="554"/>
      <c r="BT1684" s="554"/>
      <c r="BU1684" s="554"/>
      <c r="BV1684" s="554"/>
      <c r="BW1684" s="554"/>
      <c r="BX1684" s="554"/>
      <c r="BY1684" s="554"/>
      <c r="BZ1684" s="554"/>
      <c r="CA1684" s="720"/>
      <c r="CB1684" s="555"/>
      <c r="CC1684" s="721"/>
      <c r="CD1684" s="554"/>
      <c r="CE1684" s="554"/>
      <c r="CF1684" s="554"/>
      <c r="CG1684" s="554"/>
      <c r="CH1684" s="550"/>
      <c r="CI1684" s="554"/>
      <c r="CJ1684" s="554"/>
      <c r="CK1684" s="554"/>
      <c r="CL1684" s="554"/>
      <c r="CM1684" s="554"/>
      <c r="CN1684" s="554"/>
      <c r="CO1684" s="554"/>
      <c r="CP1684" s="619"/>
      <c r="CQ1684" s="619"/>
      <c r="CR1684" s="554"/>
      <c r="CS1684" s="554"/>
      <c r="CT1684" s="554"/>
      <c r="CU1684" s="554">
        <f t="shared" si="677"/>
        <v>660</v>
      </c>
      <c r="CV1684" s="554">
        <f t="shared" si="680"/>
        <v>0</v>
      </c>
      <c r="CW1684" s="554">
        <f t="shared" si="681"/>
        <v>0</v>
      </c>
      <c r="CX1684" s="619"/>
      <c r="CY1684" s="619"/>
      <c r="CZ1684" s="619"/>
      <c r="DA1684" s="619"/>
      <c r="DB1684" s="619"/>
      <c r="DC1684" s="619"/>
      <c r="DD1684" s="619"/>
      <c r="DE1684" s="619"/>
      <c r="DF1684" s="619"/>
      <c r="DG1684" s="619"/>
      <c r="DH1684" s="619"/>
    </row>
    <row r="1685" s="550" customFormat="1" ht="31" customHeight="1" spans="1:112">
      <c r="A1685" s="608">
        <v>46175</v>
      </c>
      <c r="B1685" s="609" t="s">
        <v>143</v>
      </c>
      <c r="C1685" s="610" t="s">
        <v>98</v>
      </c>
      <c r="D1685" s="554">
        <v>4500210346</v>
      </c>
      <c r="E1685" s="723">
        <v>999667008</v>
      </c>
      <c r="F1685" s="729" t="s">
        <v>10104</v>
      </c>
      <c r="G1685" s="610" t="s">
        <v>6063</v>
      </c>
      <c r="H1685" s="610" t="s">
        <v>6064</v>
      </c>
      <c r="I1685" s="715">
        <v>5760</v>
      </c>
      <c r="J1685" s="610">
        <v>0</v>
      </c>
      <c r="K1685" s="610">
        <v>16</v>
      </c>
      <c r="L1685" s="611">
        <f t="shared" si="667"/>
        <v>360</v>
      </c>
      <c r="M1685" s="612">
        <v>46223</v>
      </c>
      <c r="N1685" s="612">
        <v>46219</v>
      </c>
      <c r="O1685" s="737" t="s">
        <v>3368</v>
      </c>
      <c r="P1685" s="610" t="s">
        <v>113</v>
      </c>
      <c r="Q1685" s="614"/>
      <c r="R1685" s="614" t="s">
        <v>147</v>
      </c>
      <c r="S1685" s="614" t="s">
        <v>70</v>
      </c>
      <c r="T1685" s="614" t="s">
        <v>10019</v>
      </c>
      <c r="U1685" s="614"/>
      <c r="V1685" s="614"/>
      <c r="W1685" s="573"/>
      <c r="X1685" s="609" t="s">
        <v>10095</v>
      </c>
      <c r="Y1685" s="616" t="s">
        <v>4871</v>
      </c>
      <c r="Z1685" s="609">
        <v>0.6301</v>
      </c>
      <c r="AA1685" s="616">
        <f t="shared" si="682"/>
        <v>3629.376</v>
      </c>
      <c r="AB1685" s="573"/>
      <c r="AC1685" s="637" t="s">
        <v>10096</v>
      </c>
      <c r="AD1685" s="610" t="s">
        <v>6063</v>
      </c>
      <c r="AE1685" s="610" t="s">
        <v>82</v>
      </c>
      <c r="AF1685" s="610"/>
      <c r="AG1685" s="610"/>
      <c r="AH1685" s="609"/>
      <c r="AI1685" s="610">
        <v>5760</v>
      </c>
      <c r="AJ1685" s="610">
        <f t="shared" si="669"/>
        <v>0</v>
      </c>
      <c r="AK1685" s="613"/>
      <c r="AL1685" s="610" t="s">
        <v>2368</v>
      </c>
      <c r="AM1685" s="610"/>
      <c r="AN1685" s="554">
        <f t="shared" si="683"/>
        <v>5760</v>
      </c>
      <c r="AO1685" s="554"/>
      <c r="AP1685" s="554">
        <f t="shared" si="684"/>
        <v>5760</v>
      </c>
      <c r="AQ1685" s="554"/>
      <c r="AR1685" s="619"/>
      <c r="AS1685" s="554"/>
      <c r="AT1685" s="554"/>
      <c r="AU1685" s="554">
        <f t="shared" si="685"/>
        <v>5760</v>
      </c>
      <c r="AV1685" s="554"/>
      <c r="AW1685" s="554"/>
      <c r="AX1685" s="714"/>
      <c r="AY1685" s="554"/>
      <c r="AZ1685" s="554"/>
      <c r="BA1685" s="554"/>
      <c r="BB1685" s="620">
        <f t="shared" si="686"/>
        <v>240</v>
      </c>
      <c r="BC1685" s="554"/>
      <c r="BD1685" s="554"/>
      <c r="BE1685" s="554"/>
      <c r="BF1685" s="554"/>
      <c r="BG1685" s="550"/>
      <c r="BH1685" s="554"/>
      <c r="BI1685" s="554"/>
      <c r="BJ1685" s="554"/>
      <c r="BK1685" s="554"/>
      <c r="BL1685" s="554"/>
      <c r="BM1685" s="554"/>
      <c r="BN1685" s="554"/>
      <c r="BO1685" s="554"/>
      <c r="BP1685" s="554"/>
      <c r="BQ1685" s="554">
        <f t="shared" si="687"/>
        <v>360</v>
      </c>
      <c r="BR1685" s="554"/>
      <c r="BS1685" s="554"/>
      <c r="BT1685" s="554"/>
      <c r="BU1685" s="554"/>
      <c r="BV1685" s="554"/>
      <c r="BW1685" s="554"/>
      <c r="BX1685" s="554"/>
      <c r="BY1685" s="554"/>
      <c r="BZ1685" s="554"/>
      <c r="CA1685" s="720"/>
      <c r="CB1685" s="555"/>
      <c r="CC1685" s="721"/>
      <c r="CD1685" s="554"/>
      <c r="CE1685" s="554"/>
      <c r="CF1685" s="554"/>
      <c r="CG1685" s="554"/>
      <c r="CH1685" s="550"/>
      <c r="CI1685" s="554"/>
      <c r="CJ1685" s="554"/>
      <c r="CK1685" s="554"/>
      <c r="CL1685" s="554"/>
      <c r="CM1685" s="554"/>
      <c r="CN1685" s="554"/>
      <c r="CO1685" s="554"/>
      <c r="CP1685" s="619"/>
      <c r="CQ1685" s="619"/>
      <c r="CR1685" s="554"/>
      <c r="CS1685" s="554"/>
      <c r="CT1685" s="554"/>
      <c r="CU1685" s="554">
        <f t="shared" si="677"/>
        <v>360</v>
      </c>
      <c r="CV1685" s="554">
        <f t="shared" si="680"/>
        <v>0</v>
      </c>
      <c r="CW1685" s="554">
        <f t="shared" si="681"/>
        <v>0</v>
      </c>
      <c r="CX1685" s="619"/>
      <c r="CY1685" s="619"/>
      <c r="CZ1685" s="619"/>
      <c r="DA1685" s="619"/>
      <c r="DB1685" s="619"/>
      <c r="DC1685" s="619"/>
      <c r="DD1685" s="619"/>
      <c r="DE1685" s="619"/>
      <c r="DF1685" s="619"/>
      <c r="DG1685" s="619"/>
      <c r="DH1685" s="619"/>
    </row>
    <row r="1686" s="554" customFormat="1" ht="31" customHeight="1" spans="1:112">
      <c r="A1686" s="608">
        <v>46157</v>
      </c>
      <c r="B1686" s="609" t="s">
        <v>10105</v>
      </c>
      <c r="C1686" s="610" t="s">
        <v>524</v>
      </c>
      <c r="D1686" s="727">
        <v>4500207304</v>
      </c>
      <c r="E1686" s="731" t="s">
        <v>10106</v>
      </c>
      <c r="F1686" s="554" t="s">
        <v>10107</v>
      </c>
      <c r="G1686" s="610" t="s">
        <v>6365</v>
      </c>
      <c r="H1686" s="610" t="s">
        <v>9564</v>
      </c>
      <c r="I1686" s="715">
        <v>1260</v>
      </c>
      <c r="J1686" s="610">
        <v>0</v>
      </c>
      <c r="K1686" s="610">
        <v>12</v>
      </c>
      <c r="L1686" s="611">
        <f t="shared" si="667"/>
        <v>105</v>
      </c>
      <c r="M1686" s="612">
        <v>46204</v>
      </c>
      <c r="N1686" s="724">
        <v>46203</v>
      </c>
      <c r="O1686" s="613"/>
      <c r="P1686" s="610" t="s">
        <v>113</v>
      </c>
      <c r="Q1686" s="614"/>
      <c r="R1686" s="614" t="s">
        <v>8648</v>
      </c>
      <c r="S1686" s="614" t="s">
        <v>104</v>
      </c>
      <c r="T1686" s="614" t="s">
        <v>10108</v>
      </c>
      <c r="U1686" s="614"/>
      <c r="V1686" s="614" t="s">
        <v>10109</v>
      </c>
      <c r="W1686" s="738" t="s">
        <v>10110</v>
      </c>
      <c r="X1686" s="738" t="s">
        <v>10111</v>
      </c>
      <c r="Y1686" s="616" t="s">
        <v>10112</v>
      </c>
      <c r="Z1686" s="609">
        <v>2.2268</v>
      </c>
      <c r="AA1686" s="616">
        <f t="shared" si="682"/>
        <v>2805.768</v>
      </c>
      <c r="AC1686" s="697"/>
      <c r="AD1686" s="610" t="s">
        <v>6368</v>
      </c>
      <c r="AE1686" s="610" t="s">
        <v>82</v>
      </c>
      <c r="AF1686" s="610"/>
      <c r="AG1686" s="610"/>
      <c r="AH1686" s="609"/>
      <c r="AI1686" s="609">
        <v>1260</v>
      </c>
      <c r="AJ1686" s="610">
        <f t="shared" si="669"/>
        <v>0</v>
      </c>
      <c r="AK1686" s="613"/>
      <c r="AL1686" s="610" t="s">
        <v>2368</v>
      </c>
      <c r="AM1686" s="610"/>
      <c r="AN1686" s="554"/>
      <c r="AO1686" s="554">
        <f>I1686*2</f>
        <v>2520</v>
      </c>
      <c r="AR1686" s="619"/>
      <c r="AS1686" s="554"/>
      <c r="AT1686" s="554">
        <f>I1686*2</f>
        <v>2520</v>
      </c>
      <c r="AV1686" s="554">
        <f>I1686*2</f>
        <v>2520</v>
      </c>
      <c r="AX1686" s="714"/>
      <c r="AY1686" s="554"/>
      <c r="AZ1686" s="554"/>
      <c r="BA1686" s="554"/>
      <c r="BB1686" s="620">
        <f>I1686/24*2</f>
        <v>105</v>
      </c>
      <c r="CA1686" s="720"/>
      <c r="CB1686" s="555"/>
      <c r="CC1686" s="721"/>
      <c r="CD1686" s="554"/>
      <c r="CE1686" s="554"/>
      <c r="CF1686" s="554"/>
      <c r="CG1686" s="554"/>
      <c r="CP1686" s="619"/>
      <c r="CQ1686" s="619"/>
      <c r="CR1686" s="554">
        <f>I1686</f>
        <v>1260</v>
      </c>
      <c r="CS1686" s="554">
        <f>I1686</f>
        <v>1260</v>
      </c>
      <c r="CT1686" s="554">
        <f>I1686</f>
        <v>1260</v>
      </c>
      <c r="CU1686" s="554">
        <f t="shared" si="677"/>
        <v>0</v>
      </c>
      <c r="CV1686" s="554">
        <f t="shared" si="680"/>
        <v>0</v>
      </c>
      <c r="CW1686" s="554">
        <f t="shared" si="681"/>
        <v>0</v>
      </c>
      <c r="CX1686" s="619"/>
      <c r="CY1686" s="619"/>
      <c r="CZ1686" s="619"/>
      <c r="DA1686" s="619"/>
      <c r="DB1686" s="619"/>
      <c r="DC1686" s="619"/>
      <c r="DD1686" s="619"/>
      <c r="DE1686" s="619"/>
      <c r="DF1686" s="619"/>
      <c r="DG1686" s="619"/>
      <c r="DH1686" s="619"/>
    </row>
    <row r="1687" s="554" customFormat="1" ht="31" customHeight="1" spans="1:112">
      <c r="A1687" s="608">
        <v>46157</v>
      </c>
      <c r="B1687" s="609" t="s">
        <v>10105</v>
      </c>
      <c r="C1687" s="610" t="s">
        <v>524</v>
      </c>
      <c r="D1687" s="727">
        <v>4500207304</v>
      </c>
      <c r="E1687" s="731" t="s">
        <v>10113</v>
      </c>
      <c r="F1687" s="554" t="s">
        <v>10114</v>
      </c>
      <c r="G1687" s="610" t="s">
        <v>6365</v>
      </c>
      <c r="H1687" s="610" t="s">
        <v>9564</v>
      </c>
      <c r="I1687" s="715">
        <v>1956</v>
      </c>
      <c r="J1687" s="610">
        <v>0</v>
      </c>
      <c r="K1687" s="610">
        <v>12</v>
      </c>
      <c r="L1687" s="611">
        <f t="shared" si="667"/>
        <v>163</v>
      </c>
      <c r="M1687" s="612">
        <v>46204</v>
      </c>
      <c r="N1687" s="724">
        <v>46203</v>
      </c>
      <c r="O1687" s="613"/>
      <c r="P1687" s="610" t="s">
        <v>113</v>
      </c>
      <c r="Q1687" s="614"/>
      <c r="R1687" s="614" t="s">
        <v>8648</v>
      </c>
      <c r="S1687" s="614" t="s">
        <v>104</v>
      </c>
      <c r="T1687" s="614" t="s">
        <v>10108</v>
      </c>
      <c r="U1687" s="614"/>
      <c r="V1687" s="614" t="s">
        <v>10109</v>
      </c>
      <c r="W1687" s="609"/>
      <c r="X1687" s="738" t="s">
        <v>10111</v>
      </c>
      <c r="Y1687" s="616" t="s">
        <v>10112</v>
      </c>
      <c r="Z1687" s="609">
        <v>2.1887</v>
      </c>
      <c r="AA1687" s="616">
        <f t="shared" si="682"/>
        <v>4281.0972</v>
      </c>
      <c r="AC1687" s="697"/>
      <c r="AD1687" s="610" t="s">
        <v>6368</v>
      </c>
      <c r="AE1687" s="610" t="s">
        <v>82</v>
      </c>
      <c r="AF1687" s="610"/>
      <c r="AG1687" s="610"/>
      <c r="AH1687" s="609"/>
      <c r="AI1687" s="609">
        <v>1956</v>
      </c>
      <c r="AJ1687" s="610">
        <f t="shared" si="669"/>
        <v>0</v>
      </c>
      <c r="AK1687" s="613"/>
      <c r="AL1687" s="610" t="s">
        <v>2368</v>
      </c>
      <c r="AM1687" s="610"/>
      <c r="AN1687" s="554"/>
      <c r="AO1687" s="554">
        <f>I1687*2</f>
        <v>3912</v>
      </c>
      <c r="AR1687" s="619"/>
      <c r="AS1687" s="554"/>
      <c r="AT1687" s="554">
        <f>I1687*2</f>
        <v>3912</v>
      </c>
      <c r="AV1687" s="554">
        <f>I1687*2</f>
        <v>3912</v>
      </c>
      <c r="AX1687" s="714"/>
      <c r="AY1687" s="554"/>
      <c r="AZ1687" s="554"/>
      <c r="BA1687" s="554"/>
      <c r="BB1687" s="620">
        <f>I1687/24*2</f>
        <v>163</v>
      </c>
      <c r="CA1687" s="720"/>
      <c r="CB1687" s="555"/>
      <c r="CC1687" s="721"/>
      <c r="CD1687" s="554"/>
      <c r="CE1687" s="554"/>
      <c r="CF1687" s="554"/>
      <c r="CG1687" s="554"/>
      <c r="CP1687" s="619"/>
      <c r="CQ1687" s="619"/>
      <c r="CR1687" s="554">
        <f>I1687</f>
        <v>1956</v>
      </c>
      <c r="CS1687" s="554">
        <f>I1687</f>
        <v>1956</v>
      </c>
      <c r="CT1687" s="554">
        <f>I1687</f>
        <v>1956</v>
      </c>
      <c r="CU1687" s="554">
        <f t="shared" si="677"/>
        <v>0</v>
      </c>
      <c r="CV1687" s="554">
        <f t="shared" si="680"/>
        <v>0</v>
      </c>
      <c r="CW1687" s="554">
        <f t="shared" si="681"/>
        <v>0</v>
      </c>
      <c r="CX1687" s="619"/>
      <c r="CY1687" s="619"/>
      <c r="CZ1687" s="619"/>
      <c r="DA1687" s="619"/>
      <c r="DB1687" s="619"/>
      <c r="DC1687" s="619"/>
      <c r="DD1687" s="619"/>
      <c r="DE1687" s="619"/>
      <c r="DF1687" s="619"/>
      <c r="DG1687" s="619"/>
      <c r="DH1687" s="619"/>
    </row>
    <row r="1688" s="550" customFormat="1" ht="31" customHeight="1" spans="1:112">
      <c r="A1688" s="608">
        <v>46176</v>
      </c>
      <c r="B1688" s="609" t="s">
        <v>325</v>
      </c>
      <c r="C1688" s="610" t="s">
        <v>98</v>
      </c>
      <c r="D1688" s="554">
        <v>4500210470</v>
      </c>
      <c r="E1688" s="731" t="s">
        <v>10115</v>
      </c>
      <c r="F1688" s="729" t="s">
        <v>10116</v>
      </c>
      <c r="G1688" s="610" t="s">
        <v>6084</v>
      </c>
      <c r="H1688" s="610" t="s">
        <v>6069</v>
      </c>
      <c r="I1688" s="715">
        <v>90000</v>
      </c>
      <c r="J1688" s="610">
        <v>0</v>
      </c>
      <c r="K1688" s="843">
        <v>25</v>
      </c>
      <c r="L1688" s="844">
        <f t="shared" si="667"/>
        <v>3600</v>
      </c>
      <c r="M1688" s="845">
        <v>46213</v>
      </c>
      <c r="N1688" s="850">
        <v>46213</v>
      </c>
      <c r="O1688" s="613"/>
      <c r="P1688" s="610" t="s">
        <v>113</v>
      </c>
      <c r="Q1688" s="614">
        <v>46223</v>
      </c>
      <c r="R1688" s="614">
        <v>46184</v>
      </c>
      <c r="S1688" s="614" t="s">
        <v>104</v>
      </c>
      <c r="T1688" s="614" t="s">
        <v>10117</v>
      </c>
      <c r="U1688" s="614"/>
      <c r="V1688" s="614"/>
      <c r="W1688" s="573"/>
      <c r="X1688" s="609" t="s">
        <v>9233</v>
      </c>
      <c r="Y1688" s="616" t="s">
        <v>252</v>
      </c>
      <c r="Z1688" s="609">
        <v>0.5798</v>
      </c>
      <c r="AA1688" s="616">
        <f t="shared" si="682"/>
        <v>52182</v>
      </c>
      <c r="AC1688" s="678" t="s">
        <v>10118</v>
      </c>
      <c r="AD1688" s="610" t="s">
        <v>6084</v>
      </c>
      <c r="AE1688" s="610" t="s">
        <v>82</v>
      </c>
      <c r="AF1688" s="610"/>
      <c r="AG1688" s="610"/>
      <c r="AH1688" s="609"/>
      <c r="AI1688" s="610">
        <f>29925+60075</f>
        <v>90000</v>
      </c>
      <c r="AJ1688" s="610">
        <f t="shared" si="669"/>
        <v>0</v>
      </c>
      <c r="AK1688" s="613"/>
      <c r="AL1688" s="610" t="s">
        <v>2368</v>
      </c>
      <c r="AM1688" s="610"/>
      <c r="AN1688" s="610">
        <f>I1688</f>
        <v>90000</v>
      </c>
      <c r="AO1688" s="554"/>
      <c r="AP1688" s="554">
        <f>I1688</f>
        <v>90000</v>
      </c>
      <c r="AQ1688" s="554"/>
      <c r="AR1688" s="619"/>
      <c r="AS1688" s="554"/>
      <c r="AT1688" s="554"/>
      <c r="AU1688" s="554">
        <f>I1688</f>
        <v>90000</v>
      </c>
      <c r="AV1688" s="554"/>
      <c r="AW1688" s="554"/>
      <c r="AX1688" s="714"/>
      <c r="AY1688" s="554"/>
      <c r="AZ1688" s="554"/>
      <c r="BA1688" s="554"/>
      <c r="BB1688" s="620">
        <f>I1688/48</f>
        <v>1875</v>
      </c>
      <c r="BC1688" s="554"/>
      <c r="BD1688" s="554"/>
      <c r="BE1688" s="554"/>
      <c r="BF1688" s="720"/>
      <c r="BG1688" s="555"/>
      <c r="BH1688" s="721"/>
      <c r="BI1688" s="554"/>
      <c r="BJ1688" s="554"/>
      <c r="BK1688" s="554"/>
      <c r="BL1688" s="554"/>
      <c r="BM1688" s="554"/>
      <c r="BN1688" s="554">
        <f>I1688/25</f>
        <v>3600</v>
      </c>
      <c r="BO1688" s="554"/>
      <c r="BP1688" s="554"/>
      <c r="BQ1688" s="554"/>
      <c r="BR1688" s="554"/>
      <c r="BS1688" s="554"/>
      <c r="BT1688" s="554"/>
      <c r="BU1688" s="554"/>
      <c r="BV1688" s="554"/>
      <c r="BW1688" s="554"/>
      <c r="BX1688" s="554"/>
      <c r="BY1688" s="554"/>
      <c r="BZ1688" s="554"/>
      <c r="CA1688" s="720"/>
      <c r="CB1688" s="555"/>
      <c r="CC1688" s="721"/>
      <c r="CD1688" s="554"/>
      <c r="CE1688" s="554"/>
      <c r="CF1688" s="554"/>
      <c r="CG1688" s="720"/>
      <c r="CH1688" s="555"/>
      <c r="CI1688" s="721"/>
      <c r="CJ1688" s="554"/>
      <c r="CK1688" s="554"/>
      <c r="CL1688" s="554"/>
      <c r="CM1688" s="554"/>
      <c r="CN1688" s="554"/>
      <c r="CO1688" s="554"/>
      <c r="CP1688" s="619"/>
      <c r="CQ1688" s="619"/>
      <c r="CR1688" s="554"/>
      <c r="CS1688" s="554"/>
      <c r="CT1688" s="554"/>
      <c r="CU1688" s="554">
        <f t="shared" si="677"/>
        <v>3600</v>
      </c>
      <c r="CV1688" s="554">
        <f t="shared" si="680"/>
        <v>0</v>
      </c>
      <c r="CW1688" s="554">
        <f t="shared" si="681"/>
        <v>0</v>
      </c>
      <c r="CX1688" s="619"/>
      <c r="CY1688" s="619"/>
      <c r="CZ1688" s="619"/>
      <c r="DA1688" s="619"/>
      <c r="DB1688" s="619"/>
      <c r="DC1688" s="619"/>
      <c r="DD1688" s="619"/>
      <c r="DE1688" s="619"/>
      <c r="DF1688" s="619"/>
      <c r="DG1688" s="619"/>
      <c r="DH1688" s="619"/>
    </row>
    <row r="1689" s="554" customFormat="1" ht="31" customHeight="1" spans="1:112">
      <c r="A1689" s="608">
        <v>46154</v>
      </c>
      <c r="B1689" s="609" t="s">
        <v>8048</v>
      </c>
      <c r="C1689" s="610" t="s">
        <v>98</v>
      </c>
      <c r="D1689" s="727">
        <v>4500206695</v>
      </c>
      <c r="E1689" s="613">
        <v>60248282</v>
      </c>
      <c r="F1689" s="554" t="s">
        <v>10119</v>
      </c>
      <c r="G1689" s="610" t="s">
        <v>8051</v>
      </c>
      <c r="H1689" s="610" t="s">
        <v>6102</v>
      </c>
      <c r="I1689" s="715">
        <v>6480</v>
      </c>
      <c r="J1689" s="610">
        <v>0</v>
      </c>
      <c r="K1689" s="610">
        <v>6</v>
      </c>
      <c r="L1689" s="611">
        <f t="shared" si="667"/>
        <v>1080</v>
      </c>
      <c r="M1689" s="612">
        <v>46217</v>
      </c>
      <c r="N1689" s="612">
        <v>46213</v>
      </c>
      <c r="O1689" s="613"/>
      <c r="P1689" s="610" t="s">
        <v>113</v>
      </c>
      <c r="Q1689" s="614">
        <v>46232</v>
      </c>
      <c r="R1689" s="614">
        <v>46153</v>
      </c>
      <c r="S1689" s="614" t="s">
        <v>104</v>
      </c>
      <c r="T1689" s="614" t="s">
        <v>10120</v>
      </c>
      <c r="U1689" s="614"/>
      <c r="V1689" s="614"/>
      <c r="W1689" s="848"/>
      <c r="X1689" s="609" t="s">
        <v>10121</v>
      </c>
      <c r="Y1689" s="616" t="s">
        <v>8055</v>
      </c>
      <c r="Z1689" s="609">
        <v>0.6407</v>
      </c>
      <c r="AA1689" s="616">
        <f t="shared" si="682"/>
        <v>4151.736</v>
      </c>
      <c r="AC1689" s="851" t="s">
        <v>10122</v>
      </c>
      <c r="AD1689" s="610" t="s">
        <v>8051</v>
      </c>
      <c r="AE1689" s="610" t="s">
        <v>82</v>
      </c>
      <c r="AF1689" s="610"/>
      <c r="AG1689" s="610"/>
      <c r="AH1689" s="609"/>
      <c r="AI1689" s="609">
        <v>6480</v>
      </c>
      <c r="AJ1689" s="610">
        <f t="shared" si="669"/>
        <v>0</v>
      </c>
      <c r="AK1689" s="613"/>
      <c r="AL1689" s="610" t="s">
        <v>2368</v>
      </c>
      <c r="AM1689" s="610"/>
      <c r="AN1689" s="554">
        <f>I1689</f>
        <v>6480</v>
      </c>
      <c r="AP1689" s="554">
        <f>I1689</f>
        <v>6480</v>
      </c>
      <c r="AR1689" s="619"/>
      <c r="AS1689" s="554"/>
      <c r="AT1689" s="554"/>
      <c r="AU1689" s="554">
        <f>I1689</f>
        <v>6480</v>
      </c>
      <c r="AX1689" s="714"/>
      <c r="AY1689" s="554"/>
      <c r="AZ1689" s="554"/>
      <c r="BA1689" s="554"/>
      <c r="BB1689" s="620">
        <f>I1689/24</f>
        <v>270</v>
      </c>
      <c r="BG1689" s="557"/>
      <c r="BH1689" s="554"/>
      <c r="BI1689" s="554"/>
      <c r="BJ1689" s="554"/>
      <c r="BK1689" s="554"/>
      <c r="BL1689" s="554"/>
      <c r="BM1689" s="554"/>
      <c r="BN1689" s="554"/>
      <c r="BO1689" s="554"/>
      <c r="BP1689" s="554"/>
      <c r="BQ1689" s="554"/>
      <c r="BR1689" s="554"/>
      <c r="BS1689" s="554"/>
      <c r="BT1689" s="554">
        <f>L1689</f>
        <v>1080</v>
      </c>
      <c r="CA1689" s="720"/>
      <c r="CB1689" s="555"/>
      <c r="CC1689" s="721"/>
      <c r="CD1689" s="554"/>
      <c r="CE1689" s="554"/>
      <c r="CF1689" s="554"/>
      <c r="CG1689" s="554"/>
      <c r="CH1689" s="557"/>
      <c r="CI1689" s="554"/>
      <c r="CJ1689" s="554"/>
      <c r="CK1689" s="554"/>
      <c r="CL1689" s="554"/>
      <c r="CM1689" s="554"/>
      <c r="CN1689" s="554"/>
      <c r="CO1689" s="554"/>
      <c r="CP1689" s="619"/>
      <c r="CQ1689" s="619"/>
      <c r="CR1689" s="554"/>
      <c r="CS1689" s="554"/>
      <c r="CT1689" s="554"/>
      <c r="CU1689" s="554">
        <f t="shared" si="677"/>
        <v>0</v>
      </c>
      <c r="CV1689" s="554">
        <f t="shared" si="680"/>
        <v>0</v>
      </c>
      <c r="CW1689" s="554">
        <f t="shared" si="681"/>
        <v>0</v>
      </c>
      <c r="CX1689" s="619"/>
      <c r="CY1689" s="619"/>
      <c r="CZ1689" s="619"/>
      <c r="DA1689" s="619"/>
      <c r="DB1689" s="619"/>
      <c r="DC1689" s="619"/>
      <c r="DD1689" s="619"/>
      <c r="DE1689" s="619"/>
      <c r="DF1689" s="619"/>
      <c r="DG1689" s="619"/>
      <c r="DH1689" s="619"/>
    </row>
    <row r="1690" s="554" customFormat="1" ht="31" customHeight="1" spans="1:112">
      <c r="A1690" s="608">
        <v>46170</v>
      </c>
      <c r="B1690" s="609" t="s">
        <v>6431</v>
      </c>
      <c r="C1690" s="610" t="s">
        <v>98</v>
      </c>
      <c r="D1690" s="727">
        <v>4500209509</v>
      </c>
      <c r="E1690" s="610" t="s">
        <v>10123</v>
      </c>
      <c r="F1690" s="554" t="s">
        <v>10124</v>
      </c>
      <c r="G1690" s="610" t="s">
        <v>6423</v>
      </c>
      <c r="H1690" s="610" t="s">
        <v>6424</v>
      </c>
      <c r="I1690" s="715">
        <v>20016</v>
      </c>
      <c r="J1690" s="610">
        <v>8</v>
      </c>
      <c r="K1690" s="610">
        <v>48</v>
      </c>
      <c r="L1690" s="611">
        <f t="shared" si="667"/>
        <v>417</v>
      </c>
      <c r="M1690" s="612">
        <v>46218</v>
      </c>
      <c r="N1690" s="612">
        <v>46214</v>
      </c>
      <c r="O1690" s="737" t="s">
        <v>10125</v>
      </c>
      <c r="P1690" s="610" t="s">
        <v>113</v>
      </c>
      <c r="Q1690" s="614"/>
      <c r="R1690" s="614" t="s">
        <v>10126</v>
      </c>
      <c r="S1690" s="614" t="s">
        <v>70</v>
      </c>
      <c r="T1690" s="614" t="s">
        <v>70</v>
      </c>
      <c r="U1690" s="614"/>
      <c r="V1690" s="614"/>
      <c r="W1690" s="609"/>
      <c r="X1690" s="609" t="s">
        <v>10127</v>
      </c>
      <c r="Y1690" s="616" t="s">
        <v>1723</v>
      </c>
      <c r="Z1690" s="609">
        <v>0.5804</v>
      </c>
      <c r="AA1690" s="616">
        <f>I1690*Z1690</f>
        <v>11617.2864</v>
      </c>
      <c r="AB1690" s="609" t="s">
        <v>2271</v>
      </c>
      <c r="AC1690" s="678" t="s">
        <v>10128</v>
      </c>
      <c r="AD1690" s="609" t="s">
        <v>6423</v>
      </c>
      <c r="AE1690" s="610" t="s">
        <v>82</v>
      </c>
      <c r="AF1690" s="610"/>
      <c r="AG1690" s="610"/>
      <c r="AH1690" s="609"/>
      <c r="AI1690" s="609">
        <v>20016</v>
      </c>
      <c r="AJ1690" s="610">
        <f t="shared" si="669"/>
        <v>0</v>
      </c>
      <c r="AK1690" s="613"/>
      <c r="AL1690" s="610"/>
      <c r="AM1690" s="610"/>
      <c r="AN1690" s="554">
        <f>I1690</f>
        <v>20016</v>
      </c>
      <c r="AR1690" s="619"/>
      <c r="AS1690" s="554"/>
      <c r="AT1690" s="554"/>
      <c r="AU1690" s="554">
        <f>I1690</f>
        <v>20016</v>
      </c>
      <c r="AX1690" s="714"/>
      <c r="AY1690" s="554"/>
      <c r="AZ1690" s="554"/>
      <c r="BA1690" s="554"/>
      <c r="BB1690" s="620">
        <f>I1690/24</f>
        <v>834</v>
      </c>
      <c r="BC1690" s="714">
        <f>I1690</f>
        <v>20016</v>
      </c>
      <c r="BS1690" s="554">
        <f>I1690/8</f>
        <v>2502</v>
      </c>
      <c r="CA1690" s="720"/>
      <c r="CB1690" s="555"/>
      <c r="CC1690" s="721"/>
      <c r="CD1690" s="554"/>
      <c r="CE1690" s="554"/>
      <c r="CF1690" s="554"/>
      <c r="CG1690" s="554"/>
      <c r="CP1690" s="619"/>
      <c r="CQ1690" s="619"/>
      <c r="CR1690" s="554"/>
      <c r="CS1690" s="554"/>
      <c r="CT1690" s="554"/>
      <c r="CU1690" s="554">
        <f t="shared" si="677"/>
        <v>0</v>
      </c>
      <c r="CV1690" s="554">
        <f t="shared" si="680"/>
        <v>0</v>
      </c>
      <c r="CW1690" s="554">
        <f t="shared" si="681"/>
        <v>0</v>
      </c>
      <c r="CX1690" s="619"/>
      <c r="CY1690" s="619"/>
      <c r="CZ1690" s="619"/>
      <c r="DA1690" s="619"/>
      <c r="DB1690" s="619"/>
      <c r="DC1690" s="619"/>
      <c r="DD1690" s="619"/>
      <c r="DE1690" s="619"/>
      <c r="DF1690" s="619"/>
      <c r="DG1690" s="619"/>
      <c r="DH1690" s="619"/>
    </row>
    <row r="1691" s="554" customFormat="1" ht="31" customHeight="1" spans="1:112">
      <c r="A1691" s="608">
        <v>46170</v>
      </c>
      <c r="B1691" s="609" t="s">
        <v>6431</v>
      </c>
      <c r="C1691" s="610" t="s">
        <v>98</v>
      </c>
      <c r="D1691" s="727">
        <v>4500209509</v>
      </c>
      <c r="E1691" s="610" t="s">
        <v>10129</v>
      </c>
      <c r="F1691" s="554" t="s">
        <v>10130</v>
      </c>
      <c r="G1691" s="610" t="s">
        <v>6423</v>
      </c>
      <c r="H1691" s="610" t="s">
        <v>6424</v>
      </c>
      <c r="I1691" s="715">
        <v>20016</v>
      </c>
      <c r="J1691" s="610">
        <v>8</v>
      </c>
      <c r="K1691" s="610">
        <v>48</v>
      </c>
      <c r="L1691" s="611">
        <f t="shared" si="667"/>
        <v>417</v>
      </c>
      <c r="M1691" s="612">
        <v>46218</v>
      </c>
      <c r="N1691" s="612">
        <v>46214</v>
      </c>
      <c r="O1691" s="737" t="s">
        <v>10125</v>
      </c>
      <c r="P1691" s="610" t="s">
        <v>113</v>
      </c>
      <c r="Q1691" s="614"/>
      <c r="R1691" s="614" t="s">
        <v>10126</v>
      </c>
      <c r="S1691" s="614" t="s">
        <v>70</v>
      </c>
      <c r="T1691" s="614" t="s">
        <v>70</v>
      </c>
      <c r="U1691" s="614"/>
      <c r="V1691" s="614"/>
      <c r="W1691" s="609"/>
      <c r="X1691" s="609" t="s">
        <v>10127</v>
      </c>
      <c r="Y1691" s="616" t="s">
        <v>1723</v>
      </c>
      <c r="Z1691" s="609">
        <v>0.5804</v>
      </c>
      <c r="AA1691" s="616">
        <f>I1691*Z1691</f>
        <v>11617.2864</v>
      </c>
      <c r="AB1691" s="609" t="s">
        <v>2271</v>
      </c>
      <c r="AC1691" s="678" t="s">
        <v>10128</v>
      </c>
      <c r="AD1691" s="609" t="s">
        <v>6423</v>
      </c>
      <c r="AE1691" s="610" t="s">
        <v>82</v>
      </c>
      <c r="AF1691" s="610"/>
      <c r="AG1691" s="610"/>
      <c r="AH1691" s="609"/>
      <c r="AI1691" s="609">
        <f>6384+13632</f>
        <v>20016</v>
      </c>
      <c r="AJ1691" s="610">
        <f t="shared" si="669"/>
        <v>0</v>
      </c>
      <c r="AK1691" s="613"/>
      <c r="AL1691" s="610"/>
      <c r="AM1691" s="610"/>
      <c r="AN1691" s="554">
        <f>I1691</f>
        <v>20016</v>
      </c>
      <c r="AR1691" s="619"/>
      <c r="AS1691" s="554"/>
      <c r="AT1691" s="554"/>
      <c r="AU1691" s="554">
        <f>I1691</f>
        <v>20016</v>
      </c>
      <c r="AX1691" s="714"/>
      <c r="AY1691" s="554"/>
      <c r="AZ1691" s="554"/>
      <c r="BA1691" s="554"/>
      <c r="BB1691" s="620">
        <f>I1691/24</f>
        <v>834</v>
      </c>
      <c r="BC1691" s="714">
        <f>I1691</f>
        <v>20016</v>
      </c>
      <c r="BS1691" s="554">
        <f>I1691/8</f>
        <v>2502</v>
      </c>
      <c r="CA1691" s="720"/>
      <c r="CB1691" s="555"/>
      <c r="CC1691" s="721"/>
      <c r="CD1691" s="554"/>
      <c r="CE1691" s="554"/>
      <c r="CF1691" s="554"/>
      <c r="CG1691" s="554"/>
      <c r="CP1691" s="619"/>
      <c r="CQ1691" s="619"/>
      <c r="CR1691" s="554"/>
      <c r="CS1691" s="554"/>
      <c r="CT1691" s="554"/>
      <c r="CU1691" s="554">
        <f t="shared" si="677"/>
        <v>0</v>
      </c>
      <c r="CV1691" s="554">
        <f t="shared" si="680"/>
        <v>0</v>
      </c>
      <c r="CW1691" s="554">
        <f t="shared" si="681"/>
        <v>0</v>
      </c>
      <c r="CX1691" s="619"/>
      <c r="CY1691" s="619"/>
      <c r="CZ1691" s="619"/>
      <c r="DA1691" s="619"/>
      <c r="DB1691" s="619"/>
      <c r="DC1691" s="619"/>
      <c r="DD1691" s="619"/>
      <c r="DE1691" s="619"/>
      <c r="DF1691" s="619"/>
      <c r="DG1691" s="619"/>
      <c r="DH1691" s="619"/>
    </row>
    <row r="1692" s="554" customFormat="1" ht="31" customHeight="1" spans="1:112">
      <c r="A1692" s="608">
        <v>46134</v>
      </c>
      <c r="B1692" s="609" t="s">
        <v>5837</v>
      </c>
      <c r="C1692" s="610" t="s">
        <v>524</v>
      </c>
      <c r="D1692" s="727">
        <v>4500200493</v>
      </c>
      <c r="E1692" s="613">
        <v>88792594</v>
      </c>
      <c r="F1692" s="554" t="s">
        <v>10131</v>
      </c>
      <c r="G1692" s="610" t="s">
        <v>6365</v>
      </c>
      <c r="H1692" s="610" t="s">
        <v>6126</v>
      </c>
      <c r="I1692" s="610">
        <v>4848</v>
      </c>
      <c r="J1692" s="610">
        <v>0</v>
      </c>
      <c r="K1692" s="610">
        <v>12</v>
      </c>
      <c r="L1692" s="611">
        <f t="shared" si="667"/>
        <v>404</v>
      </c>
      <c r="M1692" s="612">
        <v>46218</v>
      </c>
      <c r="N1692" s="612">
        <v>46214</v>
      </c>
      <c r="O1692" s="613"/>
      <c r="P1692" s="613" t="s">
        <v>113</v>
      </c>
      <c r="Q1692" s="640">
        <v>46240</v>
      </c>
      <c r="R1692" s="614">
        <v>46188</v>
      </c>
      <c r="S1692" s="614" t="s">
        <v>70</v>
      </c>
      <c r="T1692" s="730" t="s">
        <v>10132</v>
      </c>
      <c r="U1692" s="730"/>
      <c r="V1692" s="614"/>
      <c r="W1692" s="609"/>
      <c r="X1692" s="738" t="s">
        <v>10033</v>
      </c>
      <c r="Y1692" s="609" t="s">
        <v>5841</v>
      </c>
      <c r="Z1692" s="722">
        <v>2.1422</v>
      </c>
      <c r="AA1692" s="616">
        <f t="shared" ref="AA1692:AA1703" si="688">Z1692*I1692</f>
        <v>10385.3856</v>
      </c>
      <c r="AC1692" s="617"/>
      <c r="AD1692" s="610" t="s">
        <v>6368</v>
      </c>
      <c r="AE1692" s="610" t="s">
        <v>82</v>
      </c>
      <c r="AF1692" s="610"/>
      <c r="AG1692" s="610"/>
      <c r="AH1692" s="610"/>
      <c r="AI1692" s="609">
        <v>4848</v>
      </c>
      <c r="AJ1692" s="610">
        <f t="shared" si="669"/>
        <v>0</v>
      </c>
      <c r="AK1692" s="610"/>
      <c r="AL1692" s="610" t="s">
        <v>454</v>
      </c>
      <c r="AM1692" s="610"/>
      <c r="AN1692" s="610"/>
      <c r="AO1692" s="554">
        <f>I1692*2</f>
        <v>9696</v>
      </c>
      <c r="AR1692" s="619"/>
      <c r="AS1692" s="554"/>
      <c r="AT1692" s="554">
        <f>I1692*2</f>
        <v>9696</v>
      </c>
      <c r="AV1692" s="554">
        <f>I1692*2</f>
        <v>9696</v>
      </c>
      <c r="AW1692" s="619"/>
      <c r="AX1692" s="554"/>
      <c r="AY1692" s="554"/>
      <c r="AZ1692" s="554"/>
      <c r="BA1692" s="554"/>
      <c r="BB1692" s="620">
        <f>I1692/24*2</f>
        <v>404</v>
      </c>
      <c r="BC1692" s="714"/>
      <c r="BD1692" s="554"/>
      <c r="BE1692" s="554"/>
      <c r="BF1692" s="554"/>
      <c r="BY1692" s="619"/>
      <c r="BZ1692" s="554"/>
      <c r="CA1692" s="621"/>
      <c r="CB1692" s="555"/>
      <c r="CC1692" s="622"/>
      <c r="CD1692" s="619"/>
      <c r="CE1692" s="619"/>
      <c r="CF1692" s="554"/>
      <c r="CG1692" s="554"/>
      <c r="CR1692" s="554">
        <f>I1692</f>
        <v>4848</v>
      </c>
      <c r="CS1692" s="554">
        <f>I1692</f>
        <v>4848</v>
      </c>
      <c r="CT1692" s="554">
        <f>I1692</f>
        <v>4848</v>
      </c>
      <c r="CU1692" s="554">
        <f t="shared" si="677"/>
        <v>0</v>
      </c>
      <c r="CV1692" s="554">
        <f t="shared" si="680"/>
        <v>0</v>
      </c>
      <c r="CW1692" s="554">
        <f t="shared" si="681"/>
        <v>0</v>
      </c>
      <c r="CX1692" s="619"/>
      <c r="CY1692" s="619"/>
      <c r="CZ1692" s="619"/>
      <c r="DA1692" s="554"/>
      <c r="DB1692" s="554"/>
      <c r="DC1692" s="554"/>
      <c r="DD1692" s="619"/>
      <c r="DE1692" s="619"/>
      <c r="DF1692" s="619"/>
      <c r="DG1692" s="619"/>
      <c r="DH1692" s="619"/>
    </row>
    <row r="1693" s="554" customFormat="1" ht="31" customHeight="1" spans="1:112">
      <c r="A1693" s="608">
        <v>46134</v>
      </c>
      <c r="B1693" s="609" t="s">
        <v>5837</v>
      </c>
      <c r="C1693" s="610" t="s">
        <v>524</v>
      </c>
      <c r="D1693" s="727">
        <v>4500200493</v>
      </c>
      <c r="E1693" s="613">
        <v>88792595</v>
      </c>
      <c r="F1693" s="554" t="s">
        <v>10133</v>
      </c>
      <c r="G1693" s="610" t="s">
        <v>6365</v>
      </c>
      <c r="H1693" s="610" t="s">
        <v>6126</v>
      </c>
      <c r="I1693" s="610">
        <v>1272</v>
      </c>
      <c r="J1693" s="610">
        <v>0</v>
      </c>
      <c r="K1693" s="610">
        <v>12</v>
      </c>
      <c r="L1693" s="611">
        <f t="shared" si="667"/>
        <v>106</v>
      </c>
      <c r="M1693" s="612">
        <v>46218</v>
      </c>
      <c r="N1693" s="612">
        <v>46214</v>
      </c>
      <c r="O1693" s="613"/>
      <c r="P1693" s="613" t="s">
        <v>113</v>
      </c>
      <c r="Q1693" s="640" t="s">
        <v>10134</v>
      </c>
      <c r="R1693" s="614">
        <v>46188</v>
      </c>
      <c r="S1693" s="614" t="s">
        <v>70</v>
      </c>
      <c r="T1693" s="730" t="s">
        <v>10132</v>
      </c>
      <c r="U1693" s="730"/>
      <c r="V1693" s="614"/>
      <c r="W1693" s="609"/>
      <c r="X1693" s="738" t="s">
        <v>10033</v>
      </c>
      <c r="Y1693" s="609" t="s">
        <v>5841</v>
      </c>
      <c r="Z1693" s="722">
        <v>2.1422</v>
      </c>
      <c r="AA1693" s="616">
        <f t="shared" si="688"/>
        <v>2724.8784</v>
      </c>
      <c r="AC1693" s="617"/>
      <c r="AD1693" s="610" t="s">
        <v>6368</v>
      </c>
      <c r="AE1693" s="610" t="s">
        <v>82</v>
      </c>
      <c r="AF1693" s="610"/>
      <c r="AG1693" s="610"/>
      <c r="AH1693" s="610"/>
      <c r="AI1693" s="609">
        <v>1272</v>
      </c>
      <c r="AJ1693" s="610">
        <f t="shared" si="669"/>
        <v>0</v>
      </c>
      <c r="AK1693" s="610"/>
      <c r="AL1693" s="610" t="s">
        <v>454</v>
      </c>
      <c r="AM1693" s="610"/>
      <c r="AN1693" s="610"/>
      <c r="AO1693" s="554">
        <f>I1693*2</f>
        <v>2544</v>
      </c>
      <c r="AR1693" s="619"/>
      <c r="AS1693" s="554"/>
      <c r="AT1693" s="554">
        <f>I1693*2</f>
        <v>2544</v>
      </c>
      <c r="AV1693" s="554">
        <f>I1693*2</f>
        <v>2544</v>
      </c>
      <c r="AW1693" s="619"/>
      <c r="AX1693" s="554"/>
      <c r="AY1693" s="554"/>
      <c r="AZ1693" s="554"/>
      <c r="BA1693" s="554"/>
      <c r="BB1693" s="620">
        <f>I1693/24*2</f>
        <v>106</v>
      </c>
      <c r="BC1693" s="714"/>
      <c r="BD1693" s="554"/>
      <c r="BE1693" s="554"/>
      <c r="BF1693" s="554"/>
      <c r="BY1693" s="619"/>
      <c r="BZ1693" s="554"/>
      <c r="CA1693" s="621"/>
      <c r="CB1693" s="555"/>
      <c r="CC1693" s="622"/>
      <c r="CD1693" s="619"/>
      <c r="CE1693" s="619"/>
      <c r="CF1693" s="554"/>
      <c r="CG1693" s="554"/>
      <c r="CR1693" s="554">
        <f>I1693</f>
        <v>1272</v>
      </c>
      <c r="CS1693" s="554">
        <f>I1693</f>
        <v>1272</v>
      </c>
      <c r="CT1693" s="554">
        <f>I1693</f>
        <v>1272</v>
      </c>
      <c r="CU1693" s="554">
        <f t="shared" si="677"/>
        <v>0</v>
      </c>
      <c r="CV1693" s="554">
        <f t="shared" si="680"/>
        <v>0</v>
      </c>
      <c r="CW1693" s="554">
        <f t="shared" si="681"/>
        <v>0</v>
      </c>
      <c r="CX1693" s="619"/>
      <c r="CY1693" s="619"/>
      <c r="CZ1693" s="619"/>
      <c r="DA1693" s="554"/>
      <c r="DB1693" s="554"/>
      <c r="DC1693" s="554"/>
      <c r="DD1693" s="619"/>
      <c r="DE1693" s="619"/>
      <c r="DF1693" s="619"/>
      <c r="DG1693" s="619"/>
      <c r="DH1693" s="619"/>
    </row>
    <row r="1694" s="550" customFormat="1" ht="31" customHeight="1" spans="1:112">
      <c r="A1694" s="608">
        <v>46181</v>
      </c>
      <c r="B1694" s="609" t="s">
        <v>6645</v>
      </c>
      <c r="C1694" s="610" t="s">
        <v>170</v>
      </c>
      <c r="D1694" s="727">
        <v>4500211201</v>
      </c>
      <c r="E1694" s="613">
        <v>1828982</v>
      </c>
      <c r="F1694" s="554" t="s">
        <v>10135</v>
      </c>
      <c r="G1694" s="610" t="s">
        <v>6166</v>
      </c>
      <c r="H1694" s="610" t="s">
        <v>6094</v>
      </c>
      <c r="I1694" s="715">
        <v>2015</v>
      </c>
      <c r="J1694" s="610">
        <v>0</v>
      </c>
      <c r="K1694" s="843">
        <v>13</v>
      </c>
      <c r="L1694" s="844">
        <f t="shared" si="667"/>
        <v>155</v>
      </c>
      <c r="M1694" s="845">
        <v>46218</v>
      </c>
      <c r="N1694" s="612">
        <v>46214</v>
      </c>
      <c r="O1694" s="613"/>
      <c r="P1694" s="610" t="s">
        <v>113</v>
      </c>
      <c r="Q1694" s="614" t="s">
        <v>10136</v>
      </c>
      <c r="R1694" s="614">
        <v>46189</v>
      </c>
      <c r="S1694" s="614" t="s">
        <v>70</v>
      </c>
      <c r="T1694" s="614" t="s">
        <v>70</v>
      </c>
      <c r="U1694" s="614"/>
      <c r="V1694" s="614"/>
      <c r="W1694" s="573"/>
      <c r="X1694" s="609" t="s">
        <v>9251</v>
      </c>
      <c r="Y1694" s="616" t="s">
        <v>1150</v>
      </c>
      <c r="Z1694" s="609">
        <v>0.9549</v>
      </c>
      <c r="AA1694" s="616">
        <f t="shared" si="688"/>
        <v>1924.1235</v>
      </c>
      <c r="AC1694" s="697"/>
      <c r="AD1694" s="610" t="s">
        <v>6166</v>
      </c>
      <c r="AE1694" s="610" t="s">
        <v>82</v>
      </c>
      <c r="AF1694" s="610"/>
      <c r="AG1694" s="610"/>
      <c r="AH1694" s="609"/>
      <c r="AI1694" s="609">
        <v>2015</v>
      </c>
      <c r="AJ1694" s="610">
        <f t="shared" si="669"/>
        <v>0</v>
      </c>
      <c r="AK1694" s="613"/>
      <c r="AL1694" s="610"/>
      <c r="AM1694" s="610"/>
      <c r="AN1694" s="610">
        <f>I1694</f>
        <v>2015</v>
      </c>
      <c r="AO1694" s="554"/>
      <c r="AP1694" s="554"/>
      <c r="AQ1694" s="554"/>
      <c r="AR1694" s="619"/>
      <c r="AS1694" s="554">
        <f>I1694</f>
        <v>2015</v>
      </c>
      <c r="AT1694" s="554"/>
      <c r="AU1694" s="554">
        <f>I1694</f>
        <v>2015</v>
      </c>
      <c r="AV1694" s="554"/>
      <c r="AW1694" s="554"/>
      <c r="AX1694" s="714"/>
      <c r="AY1694" s="554"/>
      <c r="AZ1694" s="554"/>
      <c r="BA1694" s="554"/>
      <c r="BB1694" s="620">
        <f>I1694/24</f>
        <v>83.9583333333333</v>
      </c>
      <c r="BC1694" s="554"/>
      <c r="BD1694" s="554"/>
      <c r="BE1694" s="554"/>
      <c r="BF1694" s="720"/>
      <c r="BG1694" s="555"/>
      <c r="BH1694" s="721"/>
      <c r="BI1694" s="554"/>
      <c r="BJ1694" s="554"/>
      <c r="BK1694" s="554"/>
      <c r="BL1694" s="554">
        <f>I1694/13</f>
        <v>155</v>
      </c>
      <c r="BM1694" s="554"/>
      <c r="BN1694" s="554"/>
      <c r="BO1694" s="554"/>
      <c r="BP1694" s="554"/>
      <c r="BQ1694" s="554"/>
      <c r="BR1694" s="554"/>
      <c r="BS1694" s="554"/>
      <c r="BT1694" s="554"/>
      <c r="BU1694" s="554"/>
      <c r="BV1694" s="554"/>
      <c r="BW1694" s="554"/>
      <c r="BX1694" s="554"/>
      <c r="BY1694" s="554"/>
      <c r="BZ1694" s="554"/>
      <c r="CA1694" s="720"/>
      <c r="CB1694" s="555"/>
      <c r="CC1694" s="721"/>
      <c r="CD1694" s="554"/>
      <c r="CE1694" s="554"/>
      <c r="CF1694" s="554"/>
      <c r="CG1694" s="720"/>
      <c r="CH1694" s="555"/>
      <c r="CI1694" s="721"/>
      <c r="CJ1694" s="554"/>
      <c r="CK1694" s="554"/>
      <c r="CL1694" s="554"/>
      <c r="CM1694" s="554"/>
      <c r="CN1694" s="554"/>
      <c r="CO1694" s="554"/>
      <c r="CP1694" s="619"/>
      <c r="CQ1694" s="619"/>
      <c r="CR1694" s="554"/>
      <c r="CS1694" s="554"/>
      <c r="CT1694" s="554"/>
      <c r="CU1694" s="554">
        <f t="shared" si="677"/>
        <v>0</v>
      </c>
      <c r="CV1694" s="554">
        <v>0</v>
      </c>
      <c r="CW1694" s="554">
        <v>0</v>
      </c>
      <c r="CX1694" s="619"/>
      <c r="CY1694" s="619"/>
      <c r="CZ1694" s="619"/>
      <c r="DA1694" s="619"/>
      <c r="DB1694" s="619"/>
      <c r="DC1694" s="619"/>
      <c r="DD1694" s="619"/>
      <c r="DE1694" s="619"/>
      <c r="DF1694" s="619"/>
      <c r="DG1694" s="619"/>
      <c r="DH1694" s="619"/>
    </row>
    <row r="1695" s="551" customFormat="1" ht="31" customHeight="1" spans="1:112">
      <c r="A1695" s="641">
        <v>46168</v>
      </c>
      <c r="B1695" s="642" t="s">
        <v>1337</v>
      </c>
      <c r="C1695" s="246" t="s">
        <v>931</v>
      </c>
      <c r="D1695" s="748">
        <v>4500203225</v>
      </c>
      <c r="E1695" s="246" t="s">
        <v>3846</v>
      </c>
      <c r="F1695" s="551" t="s">
        <v>10137</v>
      </c>
      <c r="G1695" s="246" t="s">
        <v>6276</v>
      </c>
      <c r="H1695" s="246" t="s">
        <v>6277</v>
      </c>
      <c r="I1695" s="706">
        <v>8350</v>
      </c>
      <c r="J1695" s="246">
        <v>0</v>
      </c>
      <c r="K1695" s="246">
        <v>50</v>
      </c>
      <c r="L1695" s="644">
        <f t="shared" si="667"/>
        <v>167</v>
      </c>
      <c r="M1695" s="645">
        <v>46212</v>
      </c>
      <c r="N1695" s="645">
        <v>46209</v>
      </c>
      <c r="O1695" s="643"/>
      <c r="P1695" s="246" t="s">
        <v>113</v>
      </c>
      <c r="Q1695" s="646"/>
      <c r="R1695" s="646">
        <v>46178</v>
      </c>
      <c r="S1695" s="646" t="s">
        <v>70</v>
      </c>
      <c r="T1695" s="646" t="s">
        <v>70</v>
      </c>
      <c r="U1695" s="646"/>
      <c r="V1695" s="646"/>
      <c r="W1695" s="642"/>
      <c r="X1695" s="642" t="s">
        <v>10138</v>
      </c>
      <c r="Y1695" s="647" t="s">
        <v>943</v>
      </c>
      <c r="Z1695" s="642">
        <v>0.9469</v>
      </c>
      <c r="AA1695" s="647">
        <f t="shared" si="688"/>
        <v>7906.615</v>
      </c>
      <c r="AC1695" s="751"/>
      <c r="AD1695" s="246" t="s">
        <v>6276</v>
      </c>
      <c r="AE1695" s="246" t="s">
        <v>82</v>
      </c>
      <c r="AF1695" s="246"/>
      <c r="AG1695" s="246"/>
      <c r="AH1695" s="642"/>
      <c r="AI1695" s="642">
        <v>8350</v>
      </c>
      <c r="AJ1695" s="246">
        <f t="shared" si="669"/>
        <v>0</v>
      </c>
      <c r="AK1695" s="643"/>
      <c r="AL1695" s="246"/>
      <c r="AM1695" s="246"/>
      <c r="AN1695" s="551"/>
      <c r="AO1695" s="551">
        <f>I1695</f>
        <v>8350</v>
      </c>
      <c r="AR1695" s="650"/>
      <c r="AS1695" s="551"/>
      <c r="AT1695" s="551"/>
      <c r="AU1695" s="551"/>
      <c r="AV1695" s="551"/>
      <c r="AW1695" s="551"/>
      <c r="AX1695" s="651"/>
      <c r="AY1695" s="551"/>
      <c r="AZ1695" s="551"/>
      <c r="BA1695" s="551"/>
      <c r="BB1695" s="249">
        <f>I1695/24</f>
        <v>347.916666666667</v>
      </c>
      <c r="BV1695" s="551">
        <f>I1695</f>
        <v>8350</v>
      </c>
      <c r="BW1695" s="551">
        <f>I1695</f>
        <v>8350</v>
      </c>
      <c r="BX1695" s="551">
        <f>I1695/25</f>
        <v>334</v>
      </c>
      <c r="CA1695" s="752"/>
      <c r="CB1695" s="747"/>
      <c r="CC1695" s="753"/>
      <c r="CD1695" s="551"/>
      <c r="CE1695" s="551"/>
      <c r="CF1695" s="551"/>
      <c r="CG1695" s="551"/>
      <c r="CP1695" s="650"/>
      <c r="CQ1695" s="650"/>
      <c r="CR1695" s="551"/>
      <c r="CS1695" s="551"/>
      <c r="CT1695" s="551"/>
      <c r="CU1695" s="551">
        <f t="shared" si="677"/>
        <v>334</v>
      </c>
      <c r="CV1695" s="551">
        <f>CK1695+CL1695+CM1695+CN1695+CO1695+CQ1695+CP1695</f>
        <v>0</v>
      </c>
      <c r="CW1695" s="551">
        <f>CI1695+CJ1695</f>
        <v>0</v>
      </c>
      <c r="CX1695" s="650"/>
      <c r="CY1695" s="650"/>
      <c r="CZ1695" s="650"/>
      <c r="DA1695" s="650"/>
      <c r="DB1695" s="650"/>
      <c r="DC1695" s="650"/>
      <c r="DD1695" s="650"/>
      <c r="DE1695" s="650"/>
      <c r="DF1695" s="650"/>
      <c r="DG1695" s="650"/>
      <c r="DH1695" s="650"/>
    </row>
    <row r="1696" s="551" customFormat="1" ht="31" customHeight="1" spans="1:112">
      <c r="A1696" s="641">
        <v>46136</v>
      </c>
      <c r="B1696" s="642" t="s">
        <v>3225</v>
      </c>
      <c r="C1696" s="246" t="s">
        <v>348</v>
      </c>
      <c r="D1696" s="748">
        <v>4500203841</v>
      </c>
      <c r="E1696" s="246" t="s">
        <v>3846</v>
      </c>
      <c r="F1696" s="551" t="s">
        <v>10139</v>
      </c>
      <c r="G1696" s="246" t="s">
        <v>6276</v>
      </c>
      <c r="H1696" s="246" t="s">
        <v>6277</v>
      </c>
      <c r="I1696" s="706">
        <v>1200</v>
      </c>
      <c r="J1696" s="246">
        <v>0</v>
      </c>
      <c r="K1696" s="246">
        <v>50</v>
      </c>
      <c r="L1696" s="644">
        <f t="shared" si="667"/>
        <v>24</v>
      </c>
      <c r="M1696" s="645">
        <v>46213</v>
      </c>
      <c r="N1696" s="645">
        <v>46209</v>
      </c>
      <c r="O1696" s="643"/>
      <c r="P1696" s="246" t="s">
        <v>113</v>
      </c>
      <c r="Q1696" s="646">
        <v>46229</v>
      </c>
      <c r="R1696" s="646">
        <v>46178</v>
      </c>
      <c r="S1696" s="646" t="s">
        <v>70</v>
      </c>
      <c r="T1696" s="646" t="s">
        <v>10140</v>
      </c>
      <c r="U1696" s="646"/>
      <c r="V1696" s="646" t="s">
        <v>10141</v>
      </c>
      <c r="W1696" s="642"/>
      <c r="X1696" s="749" t="s">
        <v>10142</v>
      </c>
      <c r="Y1696" s="852" t="s">
        <v>529</v>
      </c>
      <c r="Z1696" s="642">
        <v>0.9521</v>
      </c>
      <c r="AA1696" s="647">
        <f t="shared" si="688"/>
        <v>1142.52</v>
      </c>
      <c r="AB1696" s="749" t="s">
        <v>10143</v>
      </c>
      <c r="AC1696" s="751"/>
      <c r="AD1696" s="246" t="s">
        <v>6276</v>
      </c>
      <c r="AE1696" s="246" t="s">
        <v>82</v>
      </c>
      <c r="AF1696" s="246"/>
      <c r="AG1696" s="246"/>
      <c r="AH1696" s="642"/>
      <c r="AI1696" s="642">
        <v>1200</v>
      </c>
      <c r="AJ1696" s="246">
        <f t="shared" si="669"/>
        <v>0</v>
      </c>
      <c r="AK1696" s="643"/>
      <c r="AL1696" s="246" t="s">
        <v>2368</v>
      </c>
      <c r="AM1696" s="246"/>
      <c r="AN1696" s="551"/>
      <c r="AO1696" s="551">
        <f>I1696</f>
        <v>1200</v>
      </c>
      <c r="AR1696" s="650"/>
      <c r="AS1696" s="551"/>
      <c r="AT1696" s="551"/>
      <c r="AU1696" s="551"/>
      <c r="AV1696" s="551"/>
      <c r="AW1696" s="551"/>
      <c r="AX1696" s="651"/>
      <c r="AY1696" s="551"/>
      <c r="AZ1696" s="551"/>
      <c r="BA1696" s="551"/>
      <c r="BB1696" s="249">
        <f>I1696/24</f>
        <v>50</v>
      </c>
      <c r="BV1696" s="551">
        <f>I1696</f>
        <v>1200</v>
      </c>
      <c r="BW1696" s="551">
        <f>I1696</f>
        <v>1200</v>
      </c>
      <c r="BX1696" s="551">
        <f>I1696/25</f>
        <v>48</v>
      </c>
      <c r="CA1696" s="752"/>
      <c r="CB1696" s="747"/>
      <c r="CC1696" s="753"/>
      <c r="CD1696" s="551"/>
      <c r="CE1696" s="551"/>
      <c r="CF1696" s="551"/>
      <c r="CG1696" s="551"/>
      <c r="CP1696" s="650"/>
      <c r="CQ1696" s="650"/>
      <c r="CR1696" s="551"/>
      <c r="CS1696" s="551"/>
      <c r="CT1696" s="551"/>
      <c r="CU1696" s="551">
        <f t="shared" si="677"/>
        <v>48</v>
      </c>
      <c r="CV1696" s="551">
        <f>CK1696+CL1696+CM1696+CN1696+CO1696+CQ1696+CP1696</f>
        <v>0</v>
      </c>
      <c r="CW1696" s="551">
        <f>CI1696+CJ1696</f>
        <v>0</v>
      </c>
      <c r="CX1696" s="650"/>
      <c r="CY1696" s="650"/>
      <c r="CZ1696" s="650"/>
      <c r="DA1696" s="650"/>
      <c r="DB1696" s="650"/>
      <c r="DC1696" s="650"/>
      <c r="DD1696" s="650"/>
      <c r="DE1696" s="650"/>
      <c r="DF1696" s="650"/>
      <c r="DG1696" s="650"/>
      <c r="DH1696" s="650"/>
    </row>
    <row r="1697" s="551" customFormat="1" ht="31" customHeight="1" spans="1:112">
      <c r="A1697" s="641">
        <v>46164</v>
      </c>
      <c r="B1697" s="642" t="s">
        <v>4035</v>
      </c>
      <c r="C1697" s="246" t="s">
        <v>241</v>
      </c>
      <c r="D1697" s="551">
        <v>4500208747</v>
      </c>
      <c r="E1697" s="246">
        <v>20176</v>
      </c>
      <c r="F1697" s="551" t="s">
        <v>10144</v>
      </c>
      <c r="G1697" s="246" t="s">
        <v>6047</v>
      </c>
      <c r="H1697" s="246" t="s">
        <v>6069</v>
      </c>
      <c r="I1697" s="706">
        <v>750</v>
      </c>
      <c r="J1697" s="246">
        <v>0</v>
      </c>
      <c r="K1697" s="246">
        <v>25</v>
      </c>
      <c r="L1697" s="644">
        <f t="shared" si="667"/>
        <v>30</v>
      </c>
      <c r="M1697" s="645">
        <v>46213</v>
      </c>
      <c r="N1697" s="645">
        <v>46209</v>
      </c>
      <c r="O1697" s="643"/>
      <c r="P1697" s="246" t="s">
        <v>113</v>
      </c>
      <c r="Q1697" s="646">
        <v>46228</v>
      </c>
      <c r="R1697" s="646">
        <v>46170</v>
      </c>
      <c r="S1697" s="646" t="s">
        <v>70</v>
      </c>
      <c r="T1697" s="646" t="s">
        <v>10145</v>
      </c>
      <c r="U1697" s="646"/>
      <c r="V1697" s="646"/>
      <c r="W1697" s="642"/>
      <c r="X1697" s="642" t="s">
        <v>10146</v>
      </c>
      <c r="Y1697" s="647" t="s">
        <v>299</v>
      </c>
      <c r="Z1697" s="642">
        <v>0.9809</v>
      </c>
      <c r="AA1697" s="647">
        <f t="shared" si="688"/>
        <v>735.675</v>
      </c>
      <c r="AC1697" s="751"/>
      <c r="AD1697" s="246" t="s">
        <v>6047</v>
      </c>
      <c r="AE1697" s="246" t="s">
        <v>82</v>
      </c>
      <c r="AF1697" s="246"/>
      <c r="AG1697" s="246"/>
      <c r="AH1697" s="642"/>
      <c r="AI1697" s="642">
        <f>725+25</f>
        <v>750</v>
      </c>
      <c r="AJ1697" s="246">
        <f t="shared" si="669"/>
        <v>0</v>
      </c>
      <c r="AK1697" s="643"/>
      <c r="AL1697" s="246" t="s">
        <v>2368</v>
      </c>
      <c r="AM1697" s="246"/>
      <c r="AN1697" s="551"/>
      <c r="AO1697" s="551">
        <f>I1697</f>
        <v>750</v>
      </c>
      <c r="AR1697" s="650"/>
      <c r="AS1697" s="551"/>
      <c r="AT1697" s="551">
        <f>I1697</f>
        <v>750</v>
      </c>
      <c r="AV1697" s="551">
        <f>I1697</f>
        <v>750</v>
      </c>
      <c r="AX1697" s="651"/>
      <c r="AY1697" s="551"/>
      <c r="AZ1697" s="551"/>
      <c r="BA1697" s="551"/>
      <c r="BB1697" s="249">
        <f>I1697/24</f>
        <v>31.25</v>
      </c>
      <c r="BP1697" s="551">
        <f>I1697/25</f>
        <v>30</v>
      </c>
      <c r="CA1697" s="752"/>
      <c r="CB1697" s="747"/>
      <c r="CC1697" s="753"/>
      <c r="CD1697" s="551"/>
      <c r="CE1697" s="551"/>
      <c r="CF1697" s="551"/>
      <c r="CG1697" s="551"/>
      <c r="CP1697" s="650"/>
      <c r="CQ1697" s="650"/>
      <c r="CR1697" s="551"/>
      <c r="CS1697" s="551"/>
      <c r="CT1697" s="551"/>
      <c r="CU1697" s="551">
        <f t="shared" si="677"/>
        <v>30</v>
      </c>
      <c r="CV1697" s="551">
        <f>CK1697+CL1697+CM1697+CN1697+CO1697+CQ1697+CP1697</f>
        <v>0</v>
      </c>
      <c r="CW1697" s="551">
        <f>CI1697+CJ1697</f>
        <v>0</v>
      </c>
      <c r="CX1697" s="650"/>
      <c r="CY1697" s="650"/>
      <c r="CZ1697" s="650"/>
      <c r="DA1697" s="650"/>
      <c r="DB1697" s="650"/>
      <c r="DC1697" s="650"/>
      <c r="DD1697" s="650"/>
      <c r="DE1697" s="650"/>
      <c r="DF1697" s="650"/>
      <c r="DG1697" s="650"/>
      <c r="DH1697" s="650"/>
    </row>
    <row r="1698" s="551" customFormat="1" ht="31" customHeight="1" spans="1:112">
      <c r="A1698" s="641">
        <v>46164</v>
      </c>
      <c r="B1698" s="642" t="s">
        <v>549</v>
      </c>
      <c r="C1698" s="246" t="s">
        <v>399</v>
      </c>
      <c r="D1698" s="551">
        <v>4500208520</v>
      </c>
      <c r="E1698" s="246" t="s">
        <v>10147</v>
      </c>
      <c r="F1698" s="551" t="s">
        <v>10148</v>
      </c>
      <c r="G1698" s="246" t="s">
        <v>6365</v>
      </c>
      <c r="H1698" s="246" t="s">
        <v>9564</v>
      </c>
      <c r="I1698" s="706">
        <v>2256</v>
      </c>
      <c r="J1698" s="246">
        <v>0</v>
      </c>
      <c r="K1698" s="246">
        <v>12</v>
      </c>
      <c r="L1698" s="644">
        <f t="shared" si="667"/>
        <v>188</v>
      </c>
      <c r="M1698" s="645">
        <v>46216</v>
      </c>
      <c r="N1698" s="645">
        <v>46212</v>
      </c>
      <c r="O1698" s="643"/>
      <c r="P1698" s="246" t="s">
        <v>113</v>
      </c>
      <c r="Q1698" s="646" t="s">
        <v>10149</v>
      </c>
      <c r="R1698" s="646" t="s">
        <v>463</v>
      </c>
      <c r="S1698" s="646" t="s">
        <v>104</v>
      </c>
      <c r="T1698" s="646" t="s">
        <v>10150</v>
      </c>
      <c r="U1698" s="646"/>
      <c r="V1698" s="213"/>
      <c r="W1698" s="853"/>
      <c r="X1698" s="642" t="s">
        <v>10151</v>
      </c>
      <c r="Y1698" s="647" t="s">
        <v>428</v>
      </c>
      <c r="Z1698" s="642">
        <v>2.2374</v>
      </c>
      <c r="AA1698" s="647">
        <f t="shared" si="688"/>
        <v>5047.5744</v>
      </c>
      <c r="AC1698" s="751"/>
      <c r="AD1698" s="246" t="s">
        <v>6368</v>
      </c>
      <c r="AE1698" s="246" t="s">
        <v>82</v>
      </c>
      <c r="AF1698" s="246"/>
      <c r="AG1698" s="246"/>
      <c r="AH1698" s="642"/>
      <c r="AI1698" s="642">
        <v>2256</v>
      </c>
      <c r="AJ1698" s="246">
        <f t="shared" si="669"/>
        <v>0</v>
      </c>
      <c r="AK1698" s="643"/>
      <c r="AL1698" s="246" t="s">
        <v>2368</v>
      </c>
      <c r="AM1698" s="246"/>
      <c r="AN1698" s="551"/>
      <c r="AO1698" s="551">
        <f>I1698*2</f>
        <v>4512</v>
      </c>
      <c r="AR1698" s="650"/>
      <c r="AS1698" s="551"/>
      <c r="AT1698" s="551">
        <f>I1698*2</f>
        <v>4512</v>
      </c>
      <c r="AV1698" s="551">
        <f>I1698*2</f>
        <v>4512</v>
      </c>
      <c r="AX1698" s="651"/>
      <c r="AY1698" s="551"/>
      <c r="AZ1698" s="551"/>
      <c r="BA1698" s="551"/>
      <c r="BB1698" s="249">
        <f>I1698/24*2</f>
        <v>188</v>
      </c>
      <c r="CA1698" s="752"/>
      <c r="CB1698" s="747"/>
      <c r="CC1698" s="753"/>
      <c r="CD1698" s="551"/>
      <c r="CE1698" s="551"/>
      <c r="CF1698" s="551"/>
      <c r="CG1698" s="551"/>
      <c r="CP1698" s="650"/>
      <c r="CQ1698" s="650"/>
      <c r="CR1698" s="551">
        <f>I1698</f>
        <v>2256</v>
      </c>
      <c r="CS1698" s="551">
        <f>I1698</f>
        <v>2256</v>
      </c>
      <c r="CT1698" s="551">
        <f>I1698</f>
        <v>2256</v>
      </c>
      <c r="CU1698" s="551">
        <f t="shared" si="677"/>
        <v>0</v>
      </c>
      <c r="CV1698" s="551">
        <v>0</v>
      </c>
      <c r="CW1698" s="551">
        <v>0</v>
      </c>
      <c r="CX1698" s="650"/>
      <c r="CY1698" s="650"/>
      <c r="CZ1698" s="650"/>
      <c r="DA1698" s="650"/>
      <c r="DB1698" s="650"/>
      <c r="DC1698" s="650"/>
      <c r="DD1698" s="650"/>
      <c r="DE1698" s="650"/>
      <c r="DF1698" s="650"/>
      <c r="DG1698" s="650"/>
      <c r="DH1698" s="650"/>
    </row>
    <row r="1699" s="551" customFormat="1" ht="31" customHeight="1" spans="1:112">
      <c r="A1699" s="641">
        <v>46164</v>
      </c>
      <c r="B1699" s="642" t="s">
        <v>549</v>
      </c>
      <c r="C1699" s="246" t="s">
        <v>302</v>
      </c>
      <c r="D1699" s="551">
        <v>4500208520</v>
      </c>
      <c r="E1699" s="246" t="s">
        <v>10152</v>
      </c>
      <c r="F1699" s="551" t="s">
        <v>10153</v>
      </c>
      <c r="G1699" s="246" t="s">
        <v>6365</v>
      </c>
      <c r="H1699" s="246" t="s">
        <v>9564</v>
      </c>
      <c r="I1699" s="706">
        <v>984</v>
      </c>
      <c r="J1699" s="246">
        <v>0</v>
      </c>
      <c r="K1699" s="246">
        <v>12</v>
      </c>
      <c r="L1699" s="644">
        <f t="shared" si="667"/>
        <v>82</v>
      </c>
      <c r="M1699" s="645">
        <v>46216</v>
      </c>
      <c r="N1699" s="645">
        <v>46212</v>
      </c>
      <c r="O1699" s="643"/>
      <c r="P1699" s="246" t="s">
        <v>113</v>
      </c>
      <c r="Q1699" s="646" t="s">
        <v>10149</v>
      </c>
      <c r="R1699" s="646" t="s">
        <v>463</v>
      </c>
      <c r="S1699" s="646" t="s">
        <v>104</v>
      </c>
      <c r="T1699" s="646" t="s">
        <v>10150</v>
      </c>
      <c r="U1699" s="646"/>
      <c r="V1699" s="213"/>
      <c r="W1699" s="642"/>
      <c r="X1699" s="642" t="s">
        <v>10151</v>
      </c>
      <c r="Y1699" s="647" t="s">
        <v>428</v>
      </c>
      <c r="Z1699" s="642">
        <v>2.2374</v>
      </c>
      <c r="AA1699" s="647">
        <f t="shared" si="688"/>
        <v>2201.6016</v>
      </c>
      <c r="AC1699" s="751"/>
      <c r="AD1699" s="246" t="s">
        <v>6368</v>
      </c>
      <c r="AE1699" s="246" t="s">
        <v>82</v>
      </c>
      <c r="AF1699" s="246"/>
      <c r="AG1699" s="246"/>
      <c r="AH1699" s="642"/>
      <c r="AI1699" s="642">
        <v>984</v>
      </c>
      <c r="AJ1699" s="246">
        <f t="shared" si="669"/>
        <v>0</v>
      </c>
      <c r="AK1699" s="643"/>
      <c r="AL1699" s="246" t="s">
        <v>2368</v>
      </c>
      <c r="AM1699" s="246"/>
      <c r="AN1699" s="551"/>
      <c r="AO1699" s="551">
        <f>I1699*2</f>
        <v>1968</v>
      </c>
      <c r="AR1699" s="650"/>
      <c r="AS1699" s="551"/>
      <c r="AT1699" s="551">
        <f>I1699*2</f>
        <v>1968</v>
      </c>
      <c r="AV1699" s="551">
        <f>I1699*2</f>
        <v>1968</v>
      </c>
      <c r="AX1699" s="651"/>
      <c r="AY1699" s="551"/>
      <c r="AZ1699" s="551"/>
      <c r="BA1699" s="551"/>
      <c r="BB1699" s="249">
        <f>I1699/24*2</f>
        <v>82</v>
      </c>
      <c r="CA1699" s="752"/>
      <c r="CB1699" s="747"/>
      <c r="CC1699" s="753"/>
      <c r="CD1699" s="551"/>
      <c r="CE1699" s="551"/>
      <c r="CF1699" s="551"/>
      <c r="CG1699" s="551"/>
      <c r="CP1699" s="650"/>
      <c r="CQ1699" s="650"/>
      <c r="CR1699" s="551">
        <f>I1699</f>
        <v>984</v>
      </c>
      <c r="CS1699" s="551">
        <f>I1699</f>
        <v>984</v>
      </c>
      <c r="CT1699" s="551">
        <f>I1699</f>
        <v>984</v>
      </c>
      <c r="CU1699" s="551">
        <f t="shared" si="677"/>
        <v>0</v>
      </c>
      <c r="CV1699" s="551">
        <v>0</v>
      </c>
      <c r="CW1699" s="551">
        <v>0</v>
      </c>
      <c r="CX1699" s="650"/>
      <c r="CY1699" s="650"/>
      <c r="CZ1699" s="650"/>
      <c r="DA1699" s="650"/>
      <c r="DB1699" s="650"/>
      <c r="DC1699" s="650"/>
      <c r="DD1699" s="650"/>
      <c r="DE1699" s="650"/>
      <c r="DF1699" s="650"/>
      <c r="DG1699" s="650"/>
      <c r="DH1699" s="650"/>
    </row>
    <row r="1700" s="549" customFormat="1" ht="31" customHeight="1" spans="1:112">
      <c r="A1700" s="641">
        <v>46172</v>
      </c>
      <c r="B1700" s="642" t="s">
        <v>3989</v>
      </c>
      <c r="C1700" s="246" t="s">
        <v>154</v>
      </c>
      <c r="D1700" s="551">
        <v>4500209995</v>
      </c>
      <c r="E1700" s="246">
        <v>55817968</v>
      </c>
      <c r="F1700" s="551" t="s">
        <v>10154</v>
      </c>
      <c r="G1700" s="246" t="s">
        <v>6040</v>
      </c>
      <c r="H1700" s="246" t="s">
        <v>6041</v>
      </c>
      <c r="I1700" s="706">
        <v>624</v>
      </c>
      <c r="J1700" s="246">
        <v>0</v>
      </c>
      <c r="K1700" s="854">
        <v>52</v>
      </c>
      <c r="L1700" s="855">
        <f t="shared" si="667"/>
        <v>12</v>
      </c>
      <c r="M1700" s="856">
        <v>46218</v>
      </c>
      <c r="N1700" s="645">
        <v>46214</v>
      </c>
      <c r="O1700" s="643"/>
      <c r="P1700" s="246" t="s">
        <v>113</v>
      </c>
      <c r="Q1700" s="646">
        <v>46218</v>
      </c>
      <c r="R1700" s="646">
        <v>46172</v>
      </c>
      <c r="S1700" s="646" t="s">
        <v>70</v>
      </c>
      <c r="T1700" s="646" t="s">
        <v>10155</v>
      </c>
      <c r="U1700" s="646"/>
      <c r="V1700" s="646"/>
      <c r="W1700" s="744"/>
      <c r="X1700" s="642" t="s">
        <v>10156</v>
      </c>
      <c r="Y1700" s="647" t="s">
        <v>2199</v>
      </c>
      <c r="Z1700" s="642">
        <v>0.9762</v>
      </c>
      <c r="AA1700" s="647">
        <f t="shared" si="688"/>
        <v>609.1488</v>
      </c>
      <c r="AC1700" s="751"/>
      <c r="AD1700" s="246" t="s">
        <v>6040</v>
      </c>
      <c r="AE1700" s="246" t="s">
        <v>82</v>
      </c>
      <c r="AF1700" s="246"/>
      <c r="AG1700" s="246"/>
      <c r="AH1700" s="642"/>
      <c r="AI1700" s="642">
        <v>624</v>
      </c>
      <c r="AJ1700" s="246">
        <f t="shared" si="669"/>
        <v>0</v>
      </c>
      <c r="AK1700" s="643"/>
      <c r="AL1700" s="246" t="s">
        <v>2368</v>
      </c>
      <c r="AM1700" s="246"/>
      <c r="AN1700" s="246"/>
      <c r="AO1700" s="551">
        <f>I1700</f>
        <v>624</v>
      </c>
      <c r="AP1700" s="551"/>
      <c r="AQ1700" s="551"/>
      <c r="AR1700" s="650"/>
      <c r="AS1700" s="551"/>
      <c r="AT1700" s="551">
        <f>I1700</f>
        <v>624</v>
      </c>
      <c r="AU1700" s="551"/>
      <c r="AV1700" s="551">
        <f>I1700</f>
        <v>624</v>
      </c>
      <c r="AW1700" s="551"/>
      <c r="AX1700" s="651"/>
      <c r="AY1700" s="551"/>
      <c r="AZ1700" s="551"/>
      <c r="BA1700" s="551"/>
      <c r="BB1700" s="249">
        <f>I1700/24</f>
        <v>26</v>
      </c>
      <c r="BC1700" s="551"/>
      <c r="BD1700" s="551"/>
      <c r="BE1700" s="551"/>
      <c r="BF1700" s="551"/>
      <c r="BG1700" s="549"/>
      <c r="BH1700" s="551"/>
      <c r="BI1700" s="551"/>
      <c r="BJ1700" s="551"/>
      <c r="BK1700" s="551"/>
      <c r="BL1700" s="551"/>
      <c r="BM1700" s="551">
        <f>I1700/13</f>
        <v>48</v>
      </c>
      <c r="BN1700" s="551"/>
      <c r="BO1700" s="551"/>
      <c r="BP1700" s="551"/>
      <c r="BQ1700" s="551"/>
      <c r="BR1700" s="551"/>
      <c r="BS1700" s="551"/>
      <c r="BT1700" s="551"/>
      <c r="BU1700" s="551"/>
      <c r="BV1700" s="551"/>
      <c r="BW1700" s="551"/>
      <c r="BX1700" s="551"/>
      <c r="BY1700" s="551"/>
      <c r="BZ1700" s="551"/>
      <c r="CA1700" s="752"/>
      <c r="CB1700" s="747"/>
      <c r="CC1700" s="753"/>
      <c r="CD1700" s="551"/>
      <c r="CE1700" s="551"/>
      <c r="CF1700" s="551"/>
      <c r="CG1700" s="551"/>
      <c r="CH1700" s="549"/>
      <c r="CI1700" s="551"/>
      <c r="CJ1700" s="551"/>
      <c r="CK1700" s="551"/>
      <c r="CL1700" s="551"/>
      <c r="CM1700" s="551"/>
      <c r="CN1700" s="551"/>
      <c r="CO1700" s="551"/>
      <c r="CP1700" s="650"/>
      <c r="CQ1700" s="650"/>
      <c r="CR1700" s="551"/>
      <c r="CS1700" s="551"/>
      <c r="CT1700" s="551"/>
      <c r="CU1700" s="551">
        <f t="shared" si="677"/>
        <v>0</v>
      </c>
      <c r="CV1700" s="551">
        <v>0</v>
      </c>
      <c r="CW1700" s="551">
        <v>0</v>
      </c>
      <c r="CX1700" s="650"/>
      <c r="CY1700" s="650"/>
      <c r="CZ1700" s="650"/>
      <c r="DA1700" s="650"/>
      <c r="DB1700" s="650"/>
      <c r="DC1700" s="650"/>
      <c r="DD1700" s="650"/>
      <c r="DE1700" s="650"/>
      <c r="DF1700" s="650"/>
      <c r="DG1700" s="650"/>
      <c r="DH1700" s="650"/>
    </row>
    <row r="1701" s="549" customFormat="1" ht="31" customHeight="1" spans="1:112">
      <c r="A1701" s="641">
        <v>46177</v>
      </c>
      <c r="B1701" s="642" t="s">
        <v>5078</v>
      </c>
      <c r="C1701" s="246" t="s">
        <v>170</v>
      </c>
      <c r="D1701" s="551">
        <v>4500210758</v>
      </c>
      <c r="E1701" s="656" t="s">
        <v>10157</v>
      </c>
      <c r="F1701" s="708" t="s">
        <v>10158</v>
      </c>
      <c r="G1701" s="246" t="s">
        <v>6787</v>
      </c>
      <c r="H1701" s="610" t="s">
        <v>6126</v>
      </c>
      <c r="I1701" s="706">
        <v>24</v>
      </c>
      <c r="J1701" s="246">
        <v>0</v>
      </c>
      <c r="K1701" s="246">
        <v>12</v>
      </c>
      <c r="L1701" s="644">
        <f t="shared" si="667"/>
        <v>2</v>
      </c>
      <c r="M1701" s="645">
        <v>46220</v>
      </c>
      <c r="N1701" s="645">
        <v>46216</v>
      </c>
      <c r="O1701" s="643"/>
      <c r="P1701" s="246" t="s">
        <v>113</v>
      </c>
      <c r="Q1701" s="646">
        <v>46223</v>
      </c>
      <c r="R1701" s="646">
        <v>46177</v>
      </c>
      <c r="S1701" s="646" t="s">
        <v>104</v>
      </c>
      <c r="T1701" s="646" t="s">
        <v>10159</v>
      </c>
      <c r="U1701" s="646"/>
      <c r="V1701" s="646"/>
      <c r="W1701" s="744"/>
      <c r="X1701" s="642" t="s">
        <v>10160</v>
      </c>
      <c r="Y1701" s="647" t="s">
        <v>3820</v>
      </c>
      <c r="Z1701" s="642">
        <v>2.2576</v>
      </c>
      <c r="AA1701" s="647">
        <f t="shared" si="688"/>
        <v>54.1824</v>
      </c>
      <c r="AC1701" s="751"/>
      <c r="AD1701" s="246" t="s">
        <v>8079</v>
      </c>
      <c r="AE1701" s="246" t="s">
        <v>82</v>
      </c>
      <c r="AF1701" s="246"/>
      <c r="AG1701" s="246"/>
      <c r="AH1701" s="642"/>
      <c r="AI1701" s="642">
        <v>24</v>
      </c>
      <c r="AJ1701" s="246">
        <f t="shared" si="669"/>
        <v>0</v>
      </c>
      <c r="AK1701" s="643"/>
      <c r="AL1701" s="246" t="s">
        <v>2368</v>
      </c>
      <c r="AM1701" s="246"/>
      <c r="AN1701" s="246">
        <f>I1701*2</f>
        <v>48</v>
      </c>
      <c r="AO1701" s="551"/>
      <c r="AP1701" s="551"/>
      <c r="AQ1701" s="551">
        <f>I1701*2</f>
        <v>48</v>
      </c>
      <c r="AR1701" s="650"/>
      <c r="AS1701" s="551"/>
      <c r="AT1701" s="551"/>
      <c r="AU1701" s="551">
        <f>I1701*2</f>
        <v>48</v>
      </c>
      <c r="AV1701" s="551"/>
      <c r="AW1701" s="551"/>
      <c r="AX1701" s="651"/>
      <c r="AY1701" s="551"/>
      <c r="AZ1701" s="551"/>
      <c r="BA1701" s="551"/>
      <c r="BB1701" s="249">
        <f>I1701/24*2</f>
        <v>2</v>
      </c>
      <c r="BC1701" s="551"/>
      <c r="BD1701" s="551"/>
      <c r="BE1701" s="551"/>
      <c r="BF1701" s="551"/>
      <c r="BG1701" s="549"/>
      <c r="BH1701" s="551"/>
      <c r="BI1701" s="551"/>
      <c r="BJ1701" s="551"/>
      <c r="BK1701" s="551"/>
      <c r="BL1701" s="551"/>
      <c r="BM1701" s="551"/>
      <c r="BN1701" s="551"/>
      <c r="BO1701" s="551"/>
      <c r="BP1701" s="551"/>
      <c r="BQ1701" s="551"/>
      <c r="BR1701" s="551"/>
      <c r="BS1701" s="551"/>
      <c r="BT1701" s="551"/>
      <c r="BU1701" s="551"/>
      <c r="BV1701" s="551"/>
      <c r="BW1701" s="551"/>
      <c r="BX1701" s="551"/>
      <c r="BY1701" s="551"/>
      <c r="BZ1701" s="551"/>
      <c r="CA1701" s="752"/>
      <c r="CB1701" s="747"/>
      <c r="CC1701" s="753"/>
      <c r="CD1701" s="551"/>
      <c r="CE1701" s="551"/>
      <c r="CF1701" s="551"/>
      <c r="CG1701" s="551"/>
      <c r="CH1701" s="549"/>
      <c r="CI1701" s="551"/>
      <c r="CJ1701" s="551"/>
      <c r="CK1701" s="551"/>
      <c r="CL1701" s="551"/>
      <c r="CM1701" s="551"/>
      <c r="CN1701" s="551"/>
      <c r="CO1701" s="551"/>
      <c r="CP1701" s="650"/>
      <c r="CQ1701" s="650"/>
      <c r="CR1701" s="551">
        <f>I1701</f>
        <v>24</v>
      </c>
      <c r="CS1701" s="551">
        <f>I1701</f>
        <v>24</v>
      </c>
      <c r="CT1701" s="551">
        <f>I1701</f>
        <v>24</v>
      </c>
      <c r="CU1701" s="551">
        <f t="shared" si="677"/>
        <v>0</v>
      </c>
      <c r="CV1701" s="551">
        <f>CK1701+CL1701+CM1701+CN1701+CO1701+CQ1701+CP1701</f>
        <v>0</v>
      </c>
      <c r="CW1701" s="551">
        <f>CI1701+CJ1701</f>
        <v>0</v>
      </c>
      <c r="CX1701" s="650"/>
      <c r="CY1701" s="650"/>
      <c r="CZ1701" s="650"/>
      <c r="DA1701" s="650"/>
      <c r="DB1701" s="650"/>
      <c r="DC1701" s="650"/>
      <c r="DD1701" s="650"/>
      <c r="DE1701" s="650"/>
      <c r="DF1701" s="650"/>
      <c r="DG1701" s="650"/>
      <c r="DH1701" s="650"/>
    </row>
    <row r="1702" s="551" customFormat="1" ht="31" customHeight="1" spans="1:112">
      <c r="A1702" s="641">
        <v>46154</v>
      </c>
      <c r="B1702" s="642" t="s">
        <v>1337</v>
      </c>
      <c r="C1702" s="246" t="s">
        <v>931</v>
      </c>
      <c r="D1702" s="748">
        <v>4500203219</v>
      </c>
      <c r="E1702" s="246" t="s">
        <v>4803</v>
      </c>
      <c r="F1702" s="551" t="s">
        <v>10161</v>
      </c>
      <c r="G1702" s="246" t="s">
        <v>6276</v>
      </c>
      <c r="H1702" s="246" t="s">
        <v>6277</v>
      </c>
      <c r="I1702" s="706">
        <v>1150</v>
      </c>
      <c r="J1702" s="246">
        <v>0</v>
      </c>
      <c r="K1702" s="246">
        <v>50</v>
      </c>
      <c r="L1702" s="644">
        <f t="shared" si="667"/>
        <v>23</v>
      </c>
      <c r="M1702" s="645">
        <v>46223</v>
      </c>
      <c r="N1702" s="645">
        <v>46219</v>
      </c>
      <c r="O1702" s="643"/>
      <c r="P1702" s="246" t="s">
        <v>113</v>
      </c>
      <c r="Q1702" s="646"/>
      <c r="R1702" s="646">
        <v>46189</v>
      </c>
      <c r="S1702" s="646" t="s">
        <v>70</v>
      </c>
      <c r="T1702" s="646" t="s">
        <v>70</v>
      </c>
      <c r="U1702" s="646"/>
      <c r="V1702" s="646"/>
      <c r="W1702" s="642"/>
      <c r="X1702" s="642" t="s">
        <v>10162</v>
      </c>
      <c r="Y1702" s="647" t="s">
        <v>943</v>
      </c>
      <c r="Z1702" s="642">
        <v>0.9521</v>
      </c>
      <c r="AA1702" s="647">
        <f t="shared" si="688"/>
        <v>1094.915</v>
      </c>
      <c r="AC1702" s="751"/>
      <c r="AD1702" s="246" t="s">
        <v>6276</v>
      </c>
      <c r="AE1702" s="246" t="s">
        <v>82</v>
      </c>
      <c r="AF1702" s="246"/>
      <c r="AG1702" s="246"/>
      <c r="AH1702" s="642"/>
      <c r="AI1702" s="642">
        <v>1150</v>
      </c>
      <c r="AJ1702" s="246">
        <f t="shared" si="669"/>
        <v>0</v>
      </c>
      <c r="AK1702" s="643"/>
      <c r="AL1702" s="246"/>
      <c r="AM1702" s="246"/>
      <c r="AN1702" s="551"/>
      <c r="AO1702" s="551">
        <f>I1702</f>
        <v>1150</v>
      </c>
      <c r="AR1702" s="650"/>
      <c r="AS1702" s="551"/>
      <c r="AT1702" s="551"/>
      <c r="AU1702" s="551"/>
      <c r="AV1702" s="551"/>
      <c r="AW1702" s="551"/>
      <c r="AX1702" s="651"/>
      <c r="AY1702" s="551"/>
      <c r="AZ1702" s="551"/>
      <c r="BA1702" s="551"/>
      <c r="BB1702" s="249">
        <f>I1702/24</f>
        <v>47.9166666666667</v>
      </c>
      <c r="BV1702" s="551">
        <f>I1702</f>
        <v>1150</v>
      </c>
      <c r="BW1702" s="551">
        <f>I1702</f>
        <v>1150</v>
      </c>
      <c r="BX1702" s="551">
        <f>I1702/25</f>
        <v>46</v>
      </c>
      <c r="CA1702" s="752"/>
      <c r="CB1702" s="747"/>
      <c r="CC1702" s="753"/>
      <c r="CD1702" s="551"/>
      <c r="CE1702" s="551"/>
      <c r="CF1702" s="551"/>
      <c r="CG1702" s="551"/>
      <c r="CP1702" s="650"/>
      <c r="CQ1702" s="650"/>
      <c r="CR1702" s="551"/>
      <c r="CS1702" s="551"/>
      <c r="CT1702" s="551"/>
      <c r="CU1702" s="551">
        <f t="shared" si="677"/>
        <v>46</v>
      </c>
      <c r="CV1702" s="551">
        <f>CK1702+CL1702+CM1702+CN1702+CO1702+CQ1702+CP1702</f>
        <v>0</v>
      </c>
      <c r="CW1702" s="551">
        <f>CI1702+CJ1702</f>
        <v>0</v>
      </c>
      <c r="CX1702" s="650"/>
      <c r="CY1702" s="650"/>
      <c r="CZ1702" s="650"/>
      <c r="DA1702" s="650"/>
      <c r="DB1702" s="650"/>
      <c r="DC1702" s="650"/>
      <c r="DD1702" s="650"/>
      <c r="DE1702" s="650"/>
      <c r="DF1702" s="650"/>
      <c r="DG1702" s="650"/>
      <c r="DH1702" s="650"/>
    </row>
    <row r="1703" s="551" customFormat="1" ht="31" customHeight="1" spans="1:112">
      <c r="A1703" s="641">
        <v>46160</v>
      </c>
      <c r="B1703" s="642" t="s">
        <v>1337</v>
      </c>
      <c r="C1703" s="246" t="s">
        <v>931</v>
      </c>
      <c r="D1703" s="748">
        <v>4500203222</v>
      </c>
      <c r="E1703" s="246" t="s">
        <v>4917</v>
      </c>
      <c r="F1703" s="551" t="s">
        <v>10163</v>
      </c>
      <c r="G1703" s="246" t="s">
        <v>6276</v>
      </c>
      <c r="H1703" s="246" t="s">
        <v>6277</v>
      </c>
      <c r="I1703" s="706">
        <v>1400</v>
      </c>
      <c r="J1703" s="246">
        <v>0</v>
      </c>
      <c r="K1703" s="246">
        <v>50</v>
      </c>
      <c r="L1703" s="644">
        <f t="shared" si="667"/>
        <v>28</v>
      </c>
      <c r="M1703" s="645">
        <v>46223</v>
      </c>
      <c r="N1703" s="645">
        <v>46219</v>
      </c>
      <c r="O1703" s="643"/>
      <c r="P1703" s="246" t="s">
        <v>113</v>
      </c>
      <c r="Q1703" s="646">
        <v>46241</v>
      </c>
      <c r="R1703" s="646">
        <v>46189</v>
      </c>
      <c r="S1703" s="646" t="s">
        <v>70</v>
      </c>
      <c r="T1703" s="646" t="s">
        <v>10164</v>
      </c>
      <c r="U1703" s="646"/>
      <c r="V1703" s="646"/>
      <c r="W1703" s="642"/>
      <c r="X1703" s="642" t="s">
        <v>10165</v>
      </c>
      <c r="Y1703" s="647" t="s">
        <v>943</v>
      </c>
      <c r="Z1703" s="642">
        <v>0.9521</v>
      </c>
      <c r="AA1703" s="647">
        <f t="shared" si="688"/>
        <v>1332.94</v>
      </c>
      <c r="AC1703" s="751"/>
      <c r="AD1703" s="246" t="s">
        <v>6276</v>
      </c>
      <c r="AE1703" s="246" t="s">
        <v>82</v>
      </c>
      <c r="AF1703" s="246"/>
      <c r="AG1703" s="246"/>
      <c r="AH1703" s="642"/>
      <c r="AI1703" s="642">
        <v>1400</v>
      </c>
      <c r="AJ1703" s="246">
        <f t="shared" si="669"/>
        <v>0</v>
      </c>
      <c r="AK1703" s="643"/>
      <c r="AL1703" s="246"/>
      <c r="AM1703" s="246"/>
      <c r="AN1703" s="551"/>
      <c r="AO1703" s="551">
        <f>I1703</f>
        <v>1400</v>
      </c>
      <c r="AR1703" s="650"/>
      <c r="AS1703" s="551"/>
      <c r="AT1703" s="551"/>
      <c r="AU1703" s="551"/>
      <c r="AV1703" s="551"/>
      <c r="AW1703" s="551"/>
      <c r="AX1703" s="651"/>
      <c r="AY1703" s="551"/>
      <c r="AZ1703" s="551"/>
      <c r="BA1703" s="551"/>
      <c r="BB1703" s="249">
        <f>I1703/24</f>
        <v>58.3333333333333</v>
      </c>
      <c r="BV1703" s="551">
        <f>I1703</f>
        <v>1400</v>
      </c>
      <c r="BW1703" s="551">
        <f>I1703</f>
        <v>1400</v>
      </c>
      <c r="BX1703" s="551">
        <f>I1703/25</f>
        <v>56</v>
      </c>
      <c r="CA1703" s="752"/>
      <c r="CB1703" s="747"/>
      <c r="CC1703" s="753"/>
      <c r="CD1703" s="551"/>
      <c r="CE1703" s="551"/>
      <c r="CF1703" s="551"/>
      <c r="CG1703" s="551"/>
      <c r="CP1703" s="650"/>
      <c r="CQ1703" s="650"/>
      <c r="CR1703" s="551"/>
      <c r="CS1703" s="551"/>
      <c r="CT1703" s="551"/>
      <c r="CU1703" s="551">
        <f t="shared" si="677"/>
        <v>56</v>
      </c>
      <c r="CV1703" s="551">
        <f>CK1703+CL1703+CM1703+CN1703+CO1703+CQ1703+CP1703</f>
        <v>0</v>
      </c>
      <c r="CW1703" s="551">
        <f>CI1703+CJ1703</f>
        <v>0</v>
      </c>
      <c r="CX1703" s="707"/>
      <c r="CY1703" s="707"/>
      <c r="CZ1703" s="707"/>
      <c r="DA1703" s="707"/>
      <c r="DB1703" s="707"/>
      <c r="DC1703" s="707"/>
      <c r="DD1703" s="707"/>
      <c r="DE1703" s="707"/>
      <c r="DF1703" s="707"/>
      <c r="DG1703" s="707"/>
      <c r="DH1703" s="707"/>
    </row>
    <row r="1704" s="16" customFormat="1" ht="31" customHeight="1" spans="1:112">
      <c r="A1704" s="157">
        <v>46169</v>
      </c>
      <c r="B1704" s="208" t="s">
        <v>4873</v>
      </c>
      <c r="C1704" s="209" t="s">
        <v>1343</v>
      </c>
      <c r="D1704" s="857">
        <v>4500209374</v>
      </c>
      <c r="E1704" s="209" t="s">
        <v>3846</v>
      </c>
      <c r="F1704" s="210" t="s">
        <v>4875</v>
      </c>
      <c r="G1704" s="209" t="s">
        <v>10166</v>
      </c>
      <c r="H1704" s="236" t="s">
        <v>830</v>
      </c>
      <c r="I1704" s="230">
        <v>10800</v>
      </c>
      <c r="J1704" s="209">
        <v>0</v>
      </c>
      <c r="K1704" s="209">
        <v>75</v>
      </c>
      <c r="L1704" s="224">
        <f t="shared" si="667"/>
        <v>144</v>
      </c>
      <c r="M1704" s="211">
        <v>46220</v>
      </c>
      <c r="N1704" s="225" t="s">
        <v>4877</v>
      </c>
      <c r="O1704" s="212" t="s">
        <v>10167</v>
      </c>
      <c r="P1704" s="209"/>
      <c r="Q1704" s="213"/>
      <c r="R1704" s="213" t="s">
        <v>4879</v>
      </c>
      <c r="S1704" s="213" t="s">
        <v>70</v>
      </c>
      <c r="T1704" s="213" t="s">
        <v>4880</v>
      </c>
      <c r="U1704" s="213"/>
      <c r="V1704" s="213"/>
      <c r="W1704" s="588"/>
      <c r="X1704" s="208" t="s">
        <v>10168</v>
      </c>
      <c r="Y1704" s="214" t="s">
        <v>4882</v>
      </c>
      <c r="Z1704" s="208">
        <v>611.8049</v>
      </c>
      <c r="AA1704" s="214">
        <f>Z1704*K1704</f>
        <v>45885.3675</v>
      </c>
      <c r="AB1704" s="588"/>
      <c r="AC1704" s="858"/>
      <c r="AD1704" s="238" t="s">
        <v>4883</v>
      </c>
      <c r="AE1704" s="209" t="s">
        <v>82</v>
      </c>
      <c r="AF1704" s="209"/>
      <c r="AG1704" s="209"/>
      <c r="AH1704" s="208"/>
      <c r="AI1704" s="609"/>
      <c r="AJ1704" s="209">
        <f t="shared" si="669"/>
        <v>-10800</v>
      </c>
      <c r="AK1704" s="212"/>
      <c r="AL1704" s="209"/>
      <c r="AM1704" s="209"/>
      <c r="AN1704" s="209"/>
      <c r="AO1704" s="210"/>
      <c r="AP1704" s="210"/>
      <c r="AQ1704" s="210"/>
      <c r="AR1704" s="220"/>
      <c r="AS1704" s="210"/>
      <c r="AT1704" s="210"/>
      <c r="AU1704" s="210"/>
      <c r="AV1704" s="210"/>
      <c r="AW1704" s="210"/>
      <c r="AX1704" s="217"/>
      <c r="AY1704" s="210"/>
      <c r="AZ1704" s="210"/>
      <c r="BA1704" s="210"/>
      <c r="BB1704" s="221">
        <f>I1704/24*3</f>
        <v>1350</v>
      </c>
      <c r="BC1704" s="210"/>
      <c r="BD1704" s="210"/>
      <c r="BE1704" s="210"/>
      <c r="BF1704" s="210">
        <f>I1704*3</f>
        <v>32400</v>
      </c>
      <c r="BH1704" s="210">
        <f>I1704*3</f>
        <v>32400</v>
      </c>
      <c r="BI1704" s="210">
        <f>I1704</f>
        <v>10800</v>
      </c>
      <c r="BJ1704" s="210">
        <f>I1704/5</f>
        <v>2160</v>
      </c>
      <c r="BK1704" s="210"/>
      <c r="BL1704" s="210"/>
      <c r="BM1704" s="210"/>
      <c r="BN1704" s="210"/>
      <c r="BO1704" s="210"/>
      <c r="BP1704" s="210"/>
      <c r="BQ1704" s="210"/>
      <c r="BR1704" s="210"/>
      <c r="BS1704" s="210"/>
      <c r="BT1704" s="210"/>
      <c r="BU1704" s="210"/>
      <c r="BV1704" s="210"/>
      <c r="BW1704" s="210"/>
      <c r="BX1704" s="210"/>
      <c r="BY1704" s="210"/>
      <c r="BZ1704" s="210"/>
      <c r="CA1704" s="859"/>
      <c r="CB1704" s="238"/>
      <c r="CC1704" s="860"/>
      <c r="CD1704" s="210"/>
      <c r="CE1704" s="210"/>
      <c r="CF1704" s="210"/>
      <c r="CG1704" s="210"/>
      <c r="CH1704" s="16"/>
      <c r="CI1704" s="210"/>
      <c r="CJ1704" s="210"/>
      <c r="CK1704" s="210"/>
      <c r="CL1704" s="210"/>
      <c r="CM1704" s="210"/>
      <c r="CN1704" s="210"/>
      <c r="CO1704" s="210"/>
      <c r="CP1704" s="220"/>
      <c r="CQ1704" s="220"/>
      <c r="CR1704" s="210"/>
      <c r="CS1704" s="210"/>
      <c r="CT1704" s="210"/>
      <c r="CU1704" s="210">
        <f t="shared" si="677"/>
        <v>0</v>
      </c>
      <c r="CV1704" s="210">
        <f>CK1704+CL1704+CM1704+CN1704+CO1704+CQ1704+CP1704</f>
        <v>0</v>
      </c>
      <c r="CW1704" s="210">
        <f>CI1704+CJ1704</f>
        <v>0</v>
      </c>
      <c r="CX1704" s="220"/>
      <c r="CY1704" s="220"/>
      <c r="CZ1704" s="220"/>
      <c r="DA1704" s="220"/>
      <c r="DB1704" s="220"/>
      <c r="DC1704" s="220"/>
      <c r="DD1704" s="220"/>
      <c r="DE1704" s="220"/>
      <c r="DF1704" s="220"/>
      <c r="DG1704" s="220"/>
      <c r="DH1704" s="220"/>
    </row>
    <row r="1705" s="554" customFormat="1" ht="31" customHeight="1" spans="1:112">
      <c r="A1705" s="608">
        <v>46169</v>
      </c>
      <c r="B1705" s="609" t="s">
        <v>2219</v>
      </c>
      <c r="C1705" s="610" t="s">
        <v>2220</v>
      </c>
      <c r="D1705" s="727">
        <v>4500209354</v>
      </c>
      <c r="E1705" s="610" t="s">
        <v>4960</v>
      </c>
      <c r="F1705" s="554" t="s">
        <v>10169</v>
      </c>
      <c r="G1705" s="610" t="s">
        <v>6040</v>
      </c>
      <c r="H1705" s="610" t="s">
        <v>6041</v>
      </c>
      <c r="I1705" s="715">
        <v>15028</v>
      </c>
      <c r="J1705" s="610">
        <v>0</v>
      </c>
      <c r="K1705" s="610">
        <v>52</v>
      </c>
      <c r="L1705" s="611">
        <f t="shared" si="667"/>
        <v>289</v>
      </c>
      <c r="M1705" s="612">
        <v>46216</v>
      </c>
      <c r="N1705" s="612">
        <v>46212</v>
      </c>
      <c r="O1705" s="613"/>
      <c r="P1705" s="610" t="s">
        <v>113</v>
      </c>
      <c r="Q1705" s="614">
        <v>46220</v>
      </c>
      <c r="R1705" s="614">
        <v>46183</v>
      </c>
      <c r="S1705" s="614" t="s">
        <v>70</v>
      </c>
      <c r="T1705" s="614" t="s">
        <v>4962</v>
      </c>
      <c r="U1705" s="614"/>
      <c r="V1705" s="614"/>
      <c r="W1705" s="609"/>
      <c r="X1705" s="609" t="s">
        <v>10170</v>
      </c>
      <c r="Y1705" s="616" t="s">
        <v>943</v>
      </c>
      <c r="Z1705" s="609">
        <v>0.9387</v>
      </c>
      <c r="AA1705" s="616">
        <f>Z1705*I1705</f>
        <v>14106.7836</v>
      </c>
      <c r="AC1705" s="697"/>
      <c r="AD1705" s="610" t="s">
        <v>6040</v>
      </c>
      <c r="AE1705" s="610" t="s">
        <v>82</v>
      </c>
      <c r="AF1705" s="610"/>
      <c r="AG1705" s="610"/>
      <c r="AH1705" s="609"/>
      <c r="AI1705" s="609">
        <v>15028</v>
      </c>
      <c r="AJ1705" s="610">
        <f t="shared" si="669"/>
        <v>0</v>
      </c>
      <c r="AK1705" s="613"/>
      <c r="AL1705" s="610" t="s">
        <v>2368</v>
      </c>
      <c r="AM1705" s="610"/>
      <c r="AN1705" s="554"/>
      <c r="AO1705" s="554">
        <f>I1705</f>
        <v>15028</v>
      </c>
      <c r="AR1705" s="619"/>
      <c r="AS1705" s="554"/>
      <c r="AT1705" s="554">
        <f>I1705</f>
        <v>15028</v>
      </c>
      <c r="AV1705" s="554">
        <f>I1705</f>
        <v>15028</v>
      </c>
      <c r="AX1705" s="714"/>
      <c r="AY1705" s="554"/>
      <c r="AZ1705" s="554"/>
      <c r="BA1705" s="554"/>
      <c r="BB1705" s="620">
        <f>I1705/24</f>
        <v>626.166666666667</v>
      </c>
      <c r="BM1705" s="554">
        <f>I1705/13</f>
        <v>1156</v>
      </c>
      <c r="CA1705" s="720"/>
      <c r="CB1705" s="555"/>
      <c r="CC1705" s="721"/>
      <c r="CD1705" s="554"/>
      <c r="CE1705" s="554"/>
      <c r="CF1705" s="554"/>
      <c r="CG1705" s="554"/>
      <c r="CP1705" s="619"/>
      <c r="CQ1705" s="619"/>
      <c r="CR1705" s="554"/>
      <c r="CS1705" s="554"/>
      <c r="CT1705" s="554"/>
      <c r="CU1705" s="554">
        <f t="shared" si="677"/>
        <v>0</v>
      </c>
      <c r="CV1705" s="554">
        <v>0</v>
      </c>
      <c r="CW1705" s="554">
        <v>0</v>
      </c>
      <c r="CX1705" s="619"/>
      <c r="CY1705" s="619"/>
      <c r="CZ1705" s="619"/>
      <c r="DA1705" s="619"/>
      <c r="DB1705" s="619"/>
      <c r="DC1705" s="619"/>
      <c r="DD1705" s="619"/>
      <c r="DE1705" s="619"/>
      <c r="DF1705" s="619"/>
      <c r="DG1705" s="619"/>
      <c r="DH1705" s="619"/>
    </row>
    <row r="1706" s="554" customFormat="1" ht="31" customHeight="1" spans="1:112">
      <c r="A1706" s="608">
        <v>46156</v>
      </c>
      <c r="B1706" s="609" t="s">
        <v>1728</v>
      </c>
      <c r="C1706" s="610" t="s">
        <v>154</v>
      </c>
      <c r="D1706" s="727">
        <v>4500207216</v>
      </c>
      <c r="E1706" s="613">
        <v>4400564350</v>
      </c>
      <c r="F1706" s="554" t="s">
        <v>10171</v>
      </c>
      <c r="G1706" s="610" t="s">
        <v>6047</v>
      </c>
      <c r="H1706" s="610" t="s">
        <v>6069</v>
      </c>
      <c r="I1706" s="715">
        <v>5000</v>
      </c>
      <c r="J1706" s="610">
        <v>0</v>
      </c>
      <c r="K1706" s="610">
        <v>25</v>
      </c>
      <c r="L1706" s="611">
        <f t="shared" si="667"/>
        <v>200</v>
      </c>
      <c r="M1706" s="612">
        <v>46216</v>
      </c>
      <c r="N1706" s="612">
        <v>46212</v>
      </c>
      <c r="O1706" s="613"/>
      <c r="P1706" s="610" t="s">
        <v>113</v>
      </c>
      <c r="Q1706" s="614">
        <v>46227</v>
      </c>
      <c r="R1706" s="614">
        <v>46160</v>
      </c>
      <c r="S1706" s="614" t="s">
        <v>70</v>
      </c>
      <c r="T1706" s="614" t="s">
        <v>10172</v>
      </c>
      <c r="U1706" s="614"/>
      <c r="V1706" s="614"/>
      <c r="W1706" s="605"/>
      <c r="X1706" s="609" t="s">
        <v>10173</v>
      </c>
      <c r="Y1706" s="616" t="s">
        <v>1549</v>
      </c>
      <c r="Z1706" s="609">
        <v>0.9703</v>
      </c>
      <c r="AA1706" s="616">
        <f>Z1706*I1706</f>
        <v>4851.5</v>
      </c>
      <c r="AC1706" s="697"/>
      <c r="AD1706" s="610" t="s">
        <v>6073</v>
      </c>
      <c r="AE1706" s="610" t="s">
        <v>82</v>
      </c>
      <c r="AF1706" s="610"/>
      <c r="AG1706" s="610"/>
      <c r="AH1706" s="609"/>
      <c r="AI1706" s="609">
        <v>5000</v>
      </c>
      <c r="AJ1706" s="610">
        <f t="shared" si="669"/>
        <v>0</v>
      </c>
      <c r="AK1706" s="613"/>
      <c r="AL1706" s="610" t="s">
        <v>2368</v>
      </c>
      <c r="AM1706" s="610"/>
      <c r="AN1706" s="554"/>
      <c r="AO1706" s="554">
        <f>I1706</f>
        <v>5000</v>
      </c>
      <c r="AR1706" s="619"/>
      <c r="AS1706" s="554"/>
      <c r="AT1706" s="554"/>
      <c r="AU1706" s="554"/>
      <c r="AV1706" s="554">
        <f>I1706</f>
        <v>5000</v>
      </c>
      <c r="AX1706" s="714"/>
      <c r="AY1706" s="554"/>
      <c r="AZ1706" s="554"/>
      <c r="BA1706" s="554"/>
      <c r="BB1706" s="620">
        <f>I1706/24*2</f>
        <v>416.666666666667</v>
      </c>
      <c r="BE1706" s="554">
        <f>I1706</f>
        <v>5000</v>
      </c>
      <c r="BP1706" s="554">
        <f>I1706/25</f>
        <v>200</v>
      </c>
      <c r="CA1706" s="720"/>
      <c r="CB1706" s="555"/>
      <c r="CC1706" s="721"/>
      <c r="CD1706" s="554"/>
      <c r="CE1706" s="554"/>
      <c r="CF1706" s="554"/>
      <c r="CG1706" s="554"/>
      <c r="CP1706" s="619"/>
      <c r="CQ1706" s="619"/>
      <c r="CR1706" s="554"/>
      <c r="CS1706" s="554"/>
      <c r="CT1706" s="554"/>
      <c r="CU1706" s="554">
        <f t="shared" si="677"/>
        <v>200</v>
      </c>
      <c r="CV1706" s="554">
        <f>CK1706+CL1706+CM1706+CN1706+CO1706+CQ1706+CP1706</f>
        <v>0</v>
      </c>
      <c r="CW1706" s="554">
        <f>CI1706+CJ1706</f>
        <v>0</v>
      </c>
      <c r="CX1706" s="717"/>
      <c r="CY1706" s="717"/>
      <c r="CZ1706" s="717"/>
      <c r="DA1706" s="717"/>
      <c r="DB1706" s="717"/>
      <c r="DC1706" s="717"/>
      <c r="DD1706" s="717"/>
      <c r="DE1706" s="717"/>
      <c r="DF1706" s="717"/>
      <c r="DG1706" s="717"/>
      <c r="DH1706" s="717"/>
    </row>
    <row r="1707" s="550" customFormat="1" ht="31" customHeight="1" spans="1:112">
      <c r="A1707" s="608">
        <v>46178</v>
      </c>
      <c r="B1707" s="609" t="s">
        <v>10174</v>
      </c>
      <c r="C1707" s="610" t="s">
        <v>3386</v>
      </c>
      <c r="D1707" s="727">
        <v>4500210869</v>
      </c>
      <c r="E1707" s="731" t="s">
        <v>10175</v>
      </c>
      <c r="F1707" s="729" t="s">
        <v>10176</v>
      </c>
      <c r="G1707" s="610" t="s">
        <v>6043</v>
      </c>
      <c r="H1707" s="610" t="s">
        <v>6110</v>
      </c>
      <c r="I1707" s="715">
        <v>59000</v>
      </c>
      <c r="J1707" s="610">
        <v>0</v>
      </c>
      <c r="K1707" s="843">
        <v>50</v>
      </c>
      <c r="L1707" s="844">
        <f t="shared" si="667"/>
        <v>1180</v>
      </c>
      <c r="M1707" s="845">
        <v>46218</v>
      </c>
      <c r="N1707" s="612">
        <v>46214</v>
      </c>
      <c r="O1707" s="613"/>
      <c r="P1707" s="610" t="s">
        <v>113</v>
      </c>
      <c r="Q1707" s="614">
        <v>46234</v>
      </c>
      <c r="R1707" s="614">
        <v>46178</v>
      </c>
      <c r="S1707" s="614" t="s">
        <v>70</v>
      </c>
      <c r="T1707" s="614" t="s">
        <v>9373</v>
      </c>
      <c r="U1707" s="614"/>
      <c r="V1707" s="614"/>
      <c r="W1707" s="573"/>
      <c r="X1707" s="609" t="s">
        <v>10177</v>
      </c>
      <c r="Y1707" s="616" t="s">
        <v>3754</v>
      </c>
      <c r="Z1707" s="609">
        <v>0.9734</v>
      </c>
      <c r="AA1707" s="616">
        <f>Z1707*I1707</f>
        <v>57430.6</v>
      </c>
      <c r="AC1707" s="697"/>
      <c r="AD1707" s="609" t="s">
        <v>6043</v>
      </c>
      <c r="AE1707" s="610" t="s">
        <v>82</v>
      </c>
      <c r="AF1707" s="610"/>
      <c r="AG1707" s="610"/>
      <c r="AH1707" s="609"/>
      <c r="AI1707" s="609">
        <v>59000</v>
      </c>
      <c r="AJ1707" s="610">
        <f t="shared" si="669"/>
        <v>0</v>
      </c>
      <c r="AK1707" s="613"/>
      <c r="AL1707" s="610" t="s">
        <v>2368</v>
      </c>
      <c r="AM1707" s="610"/>
      <c r="AN1707" s="610"/>
      <c r="AO1707" s="554">
        <f>I1707</f>
        <v>59000</v>
      </c>
      <c r="AP1707" s="554"/>
      <c r="AQ1707" s="554"/>
      <c r="AR1707" s="619"/>
      <c r="AS1707" s="554"/>
      <c r="AT1707" s="554">
        <f>I1707</f>
        <v>59000</v>
      </c>
      <c r="AU1707" s="554"/>
      <c r="AV1707" s="554">
        <f>I1707</f>
        <v>59000</v>
      </c>
      <c r="AW1707" s="554"/>
      <c r="AX1707" s="714"/>
      <c r="AY1707" s="554"/>
      <c r="AZ1707" s="554"/>
      <c r="BA1707" s="554"/>
      <c r="BB1707" s="620">
        <f>I1707/24</f>
        <v>2458.33333333333</v>
      </c>
      <c r="BC1707" s="554"/>
      <c r="BD1707" s="554"/>
      <c r="BE1707" s="554"/>
      <c r="BF1707" s="554"/>
      <c r="BG1707" s="550"/>
      <c r="BH1707" s="554"/>
      <c r="BI1707" s="554"/>
      <c r="BJ1707" s="554"/>
      <c r="BK1707" s="554"/>
      <c r="BL1707" s="554"/>
      <c r="BM1707" s="554"/>
      <c r="BN1707" s="554"/>
      <c r="BO1707" s="554"/>
      <c r="BP1707" s="554">
        <f>I1707/25</f>
        <v>2360</v>
      </c>
      <c r="BQ1707" s="554"/>
      <c r="BR1707" s="554"/>
      <c r="BS1707" s="554"/>
      <c r="BT1707" s="554"/>
      <c r="BU1707" s="554"/>
      <c r="BV1707" s="554"/>
      <c r="BW1707" s="554"/>
      <c r="BX1707" s="554"/>
      <c r="BY1707" s="554"/>
      <c r="BZ1707" s="554"/>
      <c r="CA1707" s="720"/>
      <c r="CB1707" s="555"/>
      <c r="CC1707" s="721"/>
      <c r="CD1707" s="554"/>
      <c r="CE1707" s="554"/>
      <c r="CF1707" s="554"/>
      <c r="CG1707" s="554"/>
      <c r="CH1707" s="550"/>
      <c r="CI1707" s="554"/>
      <c r="CJ1707" s="554"/>
      <c r="CK1707" s="554"/>
      <c r="CL1707" s="554"/>
      <c r="CM1707" s="554"/>
      <c r="CN1707" s="554"/>
      <c r="CO1707" s="554"/>
      <c r="CP1707" s="619"/>
      <c r="CQ1707" s="619"/>
      <c r="CR1707" s="554"/>
      <c r="CS1707" s="554"/>
      <c r="CT1707" s="554"/>
      <c r="CU1707" s="554">
        <f t="shared" si="677"/>
        <v>2360</v>
      </c>
      <c r="CV1707" s="554">
        <f>CK1707+CL1707+CM1707+CN1707+CO1707+CQ1707+CP1707</f>
        <v>0</v>
      </c>
      <c r="CW1707" s="554">
        <f>CI1707+CJ1707</f>
        <v>0</v>
      </c>
      <c r="CX1707" s="619"/>
      <c r="CY1707" s="619"/>
      <c r="CZ1707" s="619"/>
      <c r="DA1707" s="619"/>
      <c r="DB1707" s="619"/>
      <c r="DC1707" s="619"/>
      <c r="DD1707" s="619"/>
      <c r="DE1707" s="619"/>
      <c r="DF1707" s="619"/>
      <c r="DG1707" s="619"/>
      <c r="DH1707" s="619"/>
    </row>
    <row r="1708" s="554" customFormat="1" ht="31" customHeight="1" spans="1:112">
      <c r="A1708" s="608">
        <v>46156</v>
      </c>
      <c r="B1708" s="609" t="s">
        <v>523</v>
      </c>
      <c r="C1708" s="610" t="s">
        <v>524</v>
      </c>
      <c r="D1708" s="727">
        <v>4500207090</v>
      </c>
      <c r="E1708" s="613">
        <v>50212602021</v>
      </c>
      <c r="F1708" s="554" t="s">
        <v>10178</v>
      </c>
      <c r="G1708" s="610" t="s">
        <v>6047</v>
      </c>
      <c r="H1708" s="610" t="s">
        <v>6069</v>
      </c>
      <c r="I1708" s="715">
        <v>6000</v>
      </c>
      <c r="J1708" s="610">
        <v>0</v>
      </c>
      <c r="K1708" s="610">
        <v>25</v>
      </c>
      <c r="L1708" s="611">
        <f t="shared" ref="L1708:L1716" si="689">I1708/K1708</f>
        <v>240</v>
      </c>
      <c r="M1708" s="612">
        <v>46218</v>
      </c>
      <c r="N1708" s="612">
        <v>46214</v>
      </c>
      <c r="O1708" s="737" t="s">
        <v>6376</v>
      </c>
      <c r="P1708" s="610" t="s">
        <v>113</v>
      </c>
      <c r="Q1708" s="614"/>
      <c r="R1708" s="614">
        <v>46178</v>
      </c>
      <c r="S1708" s="614" t="s">
        <v>70</v>
      </c>
      <c r="T1708" s="614" t="s">
        <v>10179</v>
      </c>
      <c r="U1708" s="614"/>
      <c r="V1708" s="614"/>
      <c r="W1708" s="609"/>
      <c r="X1708" s="738" t="s">
        <v>10180</v>
      </c>
      <c r="Y1708" s="616" t="s">
        <v>529</v>
      </c>
      <c r="Z1708" s="609">
        <v>0.9703</v>
      </c>
      <c r="AA1708" s="616">
        <f>Z1708*I1708</f>
        <v>5821.8</v>
      </c>
      <c r="AC1708" s="697"/>
      <c r="AD1708" s="610" t="s">
        <v>6047</v>
      </c>
      <c r="AE1708" s="610" t="s">
        <v>82</v>
      </c>
      <c r="AF1708" s="610"/>
      <c r="AG1708" s="610"/>
      <c r="AH1708" s="609"/>
      <c r="AI1708" s="609">
        <f>2700+3300</f>
        <v>6000</v>
      </c>
      <c r="AJ1708" s="610">
        <f t="shared" ref="AJ1708:AJ1716" si="690">AI1708-I1708</f>
        <v>0</v>
      </c>
      <c r="AK1708" s="613"/>
      <c r="AL1708" s="610" t="s">
        <v>2368</v>
      </c>
      <c r="AM1708" s="610"/>
      <c r="AN1708" s="554"/>
      <c r="AO1708" s="554">
        <f>I1708</f>
        <v>6000</v>
      </c>
      <c r="AR1708" s="619"/>
      <c r="AS1708" s="554"/>
      <c r="AT1708" s="554">
        <f>I1708</f>
        <v>6000</v>
      </c>
      <c r="AV1708" s="554">
        <f>I1708</f>
        <v>6000</v>
      </c>
      <c r="AX1708" s="714"/>
      <c r="AY1708" s="554"/>
      <c r="AZ1708" s="554"/>
      <c r="BA1708" s="554"/>
      <c r="BB1708" s="620">
        <f>I1708/24</f>
        <v>250</v>
      </c>
      <c r="BP1708" s="554">
        <f>I1708/25</f>
        <v>240</v>
      </c>
      <c r="CA1708" s="720"/>
      <c r="CB1708" s="555"/>
      <c r="CC1708" s="721"/>
      <c r="CD1708" s="554"/>
      <c r="CE1708" s="554"/>
      <c r="CF1708" s="554"/>
      <c r="CG1708" s="554"/>
      <c r="CP1708" s="619"/>
      <c r="CQ1708" s="619"/>
      <c r="CR1708" s="554"/>
      <c r="CS1708" s="554"/>
      <c r="CT1708" s="554"/>
      <c r="CU1708" s="554">
        <f t="shared" si="677"/>
        <v>240</v>
      </c>
      <c r="CV1708" s="554">
        <v>0</v>
      </c>
      <c r="CW1708" s="554">
        <v>0</v>
      </c>
      <c r="CX1708" s="619"/>
      <c r="CY1708" s="619"/>
      <c r="CZ1708" s="619"/>
      <c r="DA1708" s="619"/>
      <c r="DB1708" s="619"/>
      <c r="DC1708" s="619"/>
      <c r="DD1708" s="619"/>
      <c r="DE1708" s="619"/>
      <c r="DF1708" s="619"/>
      <c r="DG1708" s="619"/>
      <c r="DH1708" s="619"/>
    </row>
    <row r="1709" s="550" customFormat="1" ht="31" customHeight="1" spans="1:112">
      <c r="A1709" s="608">
        <v>46171</v>
      </c>
      <c r="B1709" s="609" t="s">
        <v>5078</v>
      </c>
      <c r="C1709" s="610" t="s">
        <v>170</v>
      </c>
      <c r="D1709" s="554">
        <v>4500209611</v>
      </c>
      <c r="E1709" s="610" t="s">
        <v>10181</v>
      </c>
      <c r="F1709" s="554" t="s">
        <v>10182</v>
      </c>
      <c r="G1709" s="610" t="s">
        <v>6787</v>
      </c>
      <c r="H1709" s="610" t="s">
        <v>6126</v>
      </c>
      <c r="I1709" s="715">
        <v>36</v>
      </c>
      <c r="J1709" s="610">
        <v>0</v>
      </c>
      <c r="K1709" s="843">
        <v>12</v>
      </c>
      <c r="L1709" s="844">
        <f t="shared" si="689"/>
        <v>3</v>
      </c>
      <c r="M1709" s="845">
        <v>46218</v>
      </c>
      <c r="N1709" s="724">
        <v>46216</v>
      </c>
      <c r="O1709" s="613"/>
      <c r="P1709" s="610" t="s">
        <v>113</v>
      </c>
      <c r="Q1709" s="614">
        <v>46223</v>
      </c>
      <c r="R1709" s="614">
        <v>46171</v>
      </c>
      <c r="S1709" s="614" t="s">
        <v>104</v>
      </c>
      <c r="T1709" s="614" t="s">
        <v>10159</v>
      </c>
      <c r="U1709" s="614"/>
      <c r="V1709" s="614" t="s">
        <v>10183</v>
      </c>
      <c r="W1709" s="573"/>
      <c r="X1709" s="738" t="s">
        <v>10184</v>
      </c>
      <c r="Y1709" s="616" t="s">
        <v>3820</v>
      </c>
      <c r="Z1709" s="609">
        <v>2.2576</v>
      </c>
      <c r="AA1709" s="616">
        <f>Z1709*I1709</f>
        <v>81.2736</v>
      </c>
      <c r="AC1709" s="697"/>
      <c r="AD1709" s="610" t="s">
        <v>8079</v>
      </c>
      <c r="AE1709" s="610" t="s">
        <v>82</v>
      </c>
      <c r="AF1709" s="610"/>
      <c r="AG1709" s="610"/>
      <c r="AH1709" s="609"/>
      <c r="AI1709" s="610">
        <v>36</v>
      </c>
      <c r="AJ1709" s="610">
        <f t="shared" si="690"/>
        <v>0</v>
      </c>
      <c r="AK1709" s="613"/>
      <c r="AL1709" s="610" t="s">
        <v>2368</v>
      </c>
      <c r="AM1709" s="610"/>
      <c r="AN1709" s="610">
        <f>I1709*2</f>
        <v>72</v>
      </c>
      <c r="AO1709" s="554"/>
      <c r="AP1709" s="554"/>
      <c r="AQ1709" s="554">
        <f>I1709*2</f>
        <v>72</v>
      </c>
      <c r="AR1709" s="619"/>
      <c r="AS1709" s="554"/>
      <c r="AT1709" s="554"/>
      <c r="AU1709" s="554">
        <f>I1709*2</f>
        <v>72</v>
      </c>
      <c r="AV1709" s="554"/>
      <c r="AW1709" s="554"/>
      <c r="AX1709" s="714"/>
      <c r="AY1709" s="554"/>
      <c r="AZ1709" s="554"/>
      <c r="BA1709" s="554"/>
      <c r="BB1709" s="620">
        <f>I1709/24*2</f>
        <v>3</v>
      </c>
      <c r="BC1709" s="554"/>
      <c r="BD1709" s="554"/>
      <c r="BE1709" s="554"/>
      <c r="BF1709" s="554"/>
      <c r="BH1709" s="554"/>
      <c r="BI1709" s="554"/>
      <c r="BJ1709" s="554"/>
      <c r="BK1709" s="554"/>
      <c r="BL1709" s="554"/>
      <c r="BM1709" s="554"/>
      <c r="BN1709" s="554"/>
      <c r="BO1709" s="554"/>
      <c r="BP1709" s="554"/>
      <c r="BQ1709" s="554"/>
      <c r="BR1709" s="554"/>
      <c r="BS1709" s="554"/>
      <c r="BT1709" s="554"/>
      <c r="BU1709" s="554"/>
      <c r="BV1709" s="554"/>
      <c r="BW1709" s="554"/>
      <c r="BX1709" s="554"/>
      <c r="BY1709" s="554"/>
      <c r="BZ1709" s="554"/>
      <c r="CA1709" s="720"/>
      <c r="CB1709" s="555"/>
      <c r="CC1709" s="721"/>
      <c r="CD1709" s="554"/>
      <c r="CE1709" s="554"/>
      <c r="CF1709" s="554"/>
      <c r="CG1709" s="554"/>
      <c r="CI1709" s="554"/>
      <c r="CJ1709" s="554"/>
      <c r="CK1709" s="554"/>
      <c r="CL1709" s="554"/>
      <c r="CM1709" s="554"/>
      <c r="CN1709" s="554"/>
      <c r="CO1709" s="554"/>
      <c r="CP1709" s="619"/>
      <c r="CQ1709" s="619"/>
      <c r="CR1709" s="554">
        <f>I1709</f>
        <v>36</v>
      </c>
      <c r="CS1709" s="554">
        <f>I1709</f>
        <v>36</v>
      </c>
      <c r="CT1709" s="554">
        <f>I1709</f>
        <v>36</v>
      </c>
      <c r="CU1709" s="554">
        <f t="shared" si="677"/>
        <v>0</v>
      </c>
      <c r="CV1709" s="554">
        <f>CK1709+CL1709+CM1709+CN1709+CO1709+CQ1709+CP1709</f>
        <v>0</v>
      </c>
      <c r="CW1709" s="554">
        <f>CI1709+CJ1709</f>
        <v>0</v>
      </c>
      <c r="CX1709" s="619"/>
      <c r="CY1709" s="619"/>
      <c r="CZ1709" s="619"/>
      <c r="DA1709" s="619"/>
      <c r="DB1709" s="619"/>
      <c r="DC1709" s="619"/>
      <c r="DD1709" s="619"/>
      <c r="DE1709" s="619"/>
      <c r="DF1709" s="619"/>
      <c r="DG1709" s="619"/>
      <c r="DH1709" s="619"/>
    </row>
    <row r="1710" s="550" customFormat="1" ht="31" customHeight="1" spans="1:112">
      <c r="A1710" s="608">
        <v>46171</v>
      </c>
      <c r="B1710" s="609" t="s">
        <v>5078</v>
      </c>
      <c r="C1710" s="610" t="s">
        <v>170</v>
      </c>
      <c r="D1710" s="554">
        <v>4500209611</v>
      </c>
      <c r="E1710" s="610" t="s">
        <v>10185</v>
      </c>
      <c r="F1710" s="554" t="s">
        <v>10186</v>
      </c>
      <c r="G1710" s="610" t="s">
        <v>6787</v>
      </c>
      <c r="H1710" s="610" t="s">
        <v>6126</v>
      </c>
      <c r="I1710" s="715">
        <v>24</v>
      </c>
      <c r="J1710" s="610">
        <v>0</v>
      </c>
      <c r="K1710" s="843">
        <v>12</v>
      </c>
      <c r="L1710" s="844">
        <f t="shared" si="689"/>
        <v>2</v>
      </c>
      <c r="M1710" s="845">
        <v>46218</v>
      </c>
      <c r="N1710" s="724">
        <v>46216</v>
      </c>
      <c r="O1710" s="613"/>
      <c r="P1710" s="610" t="s">
        <v>113</v>
      </c>
      <c r="Q1710" s="614">
        <v>46223</v>
      </c>
      <c r="R1710" s="614">
        <v>46171</v>
      </c>
      <c r="S1710" s="614" t="s">
        <v>104</v>
      </c>
      <c r="T1710" s="614" t="s">
        <v>10159</v>
      </c>
      <c r="U1710" s="614"/>
      <c r="V1710" s="614" t="s">
        <v>10183</v>
      </c>
      <c r="W1710" s="573"/>
      <c r="X1710" s="738" t="s">
        <v>10184</v>
      </c>
      <c r="Y1710" s="616" t="s">
        <v>3820</v>
      </c>
      <c r="Z1710" s="609">
        <v>2.2576</v>
      </c>
      <c r="AA1710" s="616">
        <f t="shared" ref="AA1710:AA1734" si="691">Z1710*I1710</f>
        <v>54.1824</v>
      </c>
      <c r="AC1710" s="697"/>
      <c r="AD1710" s="610" t="s">
        <v>8079</v>
      </c>
      <c r="AE1710" s="610" t="s">
        <v>82</v>
      </c>
      <c r="AF1710" s="610"/>
      <c r="AG1710" s="610"/>
      <c r="AH1710" s="609"/>
      <c r="AI1710" s="610">
        <v>24</v>
      </c>
      <c r="AJ1710" s="610">
        <f t="shared" si="690"/>
        <v>0</v>
      </c>
      <c r="AK1710" s="613"/>
      <c r="AL1710" s="610" t="s">
        <v>2368</v>
      </c>
      <c r="AM1710" s="610"/>
      <c r="AN1710" s="610">
        <f t="shared" ref="AN1710:AN1718" si="692">I1710*2</f>
        <v>48</v>
      </c>
      <c r="AO1710" s="554"/>
      <c r="AP1710" s="554"/>
      <c r="AQ1710" s="554">
        <f t="shared" ref="AQ1710:AQ1718" si="693">I1710*2</f>
        <v>48</v>
      </c>
      <c r="AR1710" s="619"/>
      <c r="AS1710" s="554"/>
      <c r="AT1710" s="554"/>
      <c r="AU1710" s="554">
        <f t="shared" ref="AU1710:AU1718" si="694">I1710*2</f>
        <v>48</v>
      </c>
      <c r="AV1710" s="554"/>
      <c r="AW1710" s="554"/>
      <c r="AX1710" s="714"/>
      <c r="AY1710" s="554"/>
      <c r="AZ1710" s="554"/>
      <c r="BA1710" s="554"/>
      <c r="BB1710" s="620">
        <f t="shared" ref="BB1710:BB1718" si="695">I1710/24*2</f>
        <v>2</v>
      </c>
      <c r="BC1710" s="554"/>
      <c r="BD1710" s="554"/>
      <c r="BE1710" s="554"/>
      <c r="BF1710" s="554"/>
      <c r="BH1710" s="554"/>
      <c r="BI1710" s="554"/>
      <c r="BJ1710" s="554"/>
      <c r="BK1710" s="554"/>
      <c r="BL1710" s="554"/>
      <c r="BM1710" s="554"/>
      <c r="BN1710" s="554"/>
      <c r="BO1710" s="554"/>
      <c r="BP1710" s="554"/>
      <c r="BQ1710" s="554"/>
      <c r="BR1710" s="554"/>
      <c r="BS1710" s="554"/>
      <c r="BT1710" s="554"/>
      <c r="BU1710" s="554"/>
      <c r="BV1710" s="554"/>
      <c r="BW1710" s="554"/>
      <c r="BX1710" s="554"/>
      <c r="BY1710" s="554"/>
      <c r="BZ1710" s="554"/>
      <c r="CA1710" s="720"/>
      <c r="CB1710" s="555"/>
      <c r="CC1710" s="721"/>
      <c r="CD1710" s="554"/>
      <c r="CE1710" s="554"/>
      <c r="CF1710" s="554"/>
      <c r="CG1710" s="554"/>
      <c r="CI1710" s="554"/>
      <c r="CJ1710" s="554"/>
      <c r="CK1710" s="554"/>
      <c r="CL1710" s="554"/>
      <c r="CM1710" s="554"/>
      <c r="CN1710" s="554"/>
      <c r="CO1710" s="554"/>
      <c r="CP1710" s="619"/>
      <c r="CQ1710" s="619"/>
      <c r="CR1710" s="554">
        <f t="shared" ref="CR1710:CR1718" si="696">I1710</f>
        <v>24</v>
      </c>
      <c r="CS1710" s="554">
        <f t="shared" ref="CS1710:CS1718" si="697">I1710</f>
        <v>24</v>
      </c>
      <c r="CT1710" s="554">
        <f t="shared" ref="CT1710:CT1718" si="698">I1710</f>
        <v>24</v>
      </c>
      <c r="CU1710" s="554">
        <f t="shared" si="677"/>
        <v>0</v>
      </c>
      <c r="CV1710" s="554">
        <f t="shared" ref="CV1710:CV1732" si="699">CK1710+CL1710+CM1710+CN1710+CO1710+CQ1710+CP1710</f>
        <v>0</v>
      </c>
      <c r="CW1710" s="554">
        <f t="shared" ref="CW1710:CW1732" si="700">CI1710+CJ1710</f>
        <v>0</v>
      </c>
      <c r="CX1710" s="619"/>
      <c r="CY1710" s="619"/>
      <c r="CZ1710" s="619"/>
      <c r="DA1710" s="619"/>
      <c r="DB1710" s="619"/>
      <c r="DC1710" s="619"/>
      <c r="DD1710" s="619"/>
      <c r="DE1710" s="619"/>
      <c r="DF1710" s="619"/>
      <c r="DG1710" s="619"/>
      <c r="DH1710" s="619"/>
    </row>
    <row r="1711" s="550" customFormat="1" ht="31" customHeight="1" spans="1:112">
      <c r="A1711" s="608">
        <v>46171</v>
      </c>
      <c r="B1711" s="609" t="s">
        <v>5078</v>
      </c>
      <c r="C1711" s="610" t="s">
        <v>170</v>
      </c>
      <c r="D1711" s="554">
        <v>4500209611</v>
      </c>
      <c r="E1711" s="610" t="s">
        <v>10187</v>
      </c>
      <c r="F1711" s="554" t="s">
        <v>10188</v>
      </c>
      <c r="G1711" s="610" t="s">
        <v>6787</v>
      </c>
      <c r="H1711" s="610" t="s">
        <v>6126</v>
      </c>
      <c r="I1711" s="715">
        <v>12</v>
      </c>
      <c r="J1711" s="610">
        <v>0</v>
      </c>
      <c r="K1711" s="843">
        <v>12</v>
      </c>
      <c r="L1711" s="844">
        <f t="shared" si="689"/>
        <v>1</v>
      </c>
      <c r="M1711" s="845">
        <v>46218</v>
      </c>
      <c r="N1711" s="724">
        <v>46216</v>
      </c>
      <c r="O1711" s="613"/>
      <c r="P1711" s="610" t="s">
        <v>113</v>
      </c>
      <c r="Q1711" s="614">
        <v>46223</v>
      </c>
      <c r="R1711" s="614">
        <v>46171</v>
      </c>
      <c r="S1711" s="614" t="s">
        <v>104</v>
      </c>
      <c r="T1711" s="614" t="s">
        <v>10159</v>
      </c>
      <c r="U1711" s="614"/>
      <c r="V1711" s="614" t="s">
        <v>10183</v>
      </c>
      <c r="W1711" s="573"/>
      <c r="X1711" s="738" t="s">
        <v>10184</v>
      </c>
      <c r="Y1711" s="616" t="s">
        <v>3820</v>
      </c>
      <c r="Z1711" s="609">
        <v>2.2576</v>
      </c>
      <c r="AA1711" s="616">
        <f t="shared" si="691"/>
        <v>27.0912</v>
      </c>
      <c r="AC1711" s="697"/>
      <c r="AD1711" s="610" t="s">
        <v>8079</v>
      </c>
      <c r="AE1711" s="610" t="s">
        <v>82</v>
      </c>
      <c r="AF1711" s="610"/>
      <c r="AG1711" s="610"/>
      <c r="AH1711" s="609"/>
      <c r="AI1711" s="610">
        <v>12</v>
      </c>
      <c r="AJ1711" s="610">
        <f t="shared" si="690"/>
        <v>0</v>
      </c>
      <c r="AK1711" s="613"/>
      <c r="AL1711" s="610" t="s">
        <v>2368</v>
      </c>
      <c r="AM1711" s="610"/>
      <c r="AN1711" s="610">
        <f t="shared" si="692"/>
        <v>24</v>
      </c>
      <c r="AO1711" s="554"/>
      <c r="AP1711" s="554"/>
      <c r="AQ1711" s="554">
        <f t="shared" si="693"/>
        <v>24</v>
      </c>
      <c r="AR1711" s="619"/>
      <c r="AS1711" s="554"/>
      <c r="AT1711" s="554"/>
      <c r="AU1711" s="554">
        <f t="shared" si="694"/>
        <v>24</v>
      </c>
      <c r="AV1711" s="554"/>
      <c r="AW1711" s="554"/>
      <c r="AX1711" s="714"/>
      <c r="AY1711" s="554"/>
      <c r="AZ1711" s="554"/>
      <c r="BA1711" s="554"/>
      <c r="BB1711" s="620">
        <f t="shared" si="695"/>
        <v>1</v>
      </c>
      <c r="BC1711" s="554"/>
      <c r="BD1711" s="554"/>
      <c r="BE1711" s="554"/>
      <c r="BF1711" s="554"/>
      <c r="BH1711" s="554"/>
      <c r="BI1711" s="554"/>
      <c r="BJ1711" s="554"/>
      <c r="BK1711" s="554"/>
      <c r="BL1711" s="554"/>
      <c r="BM1711" s="554"/>
      <c r="BN1711" s="554"/>
      <c r="BO1711" s="554"/>
      <c r="BP1711" s="554"/>
      <c r="BQ1711" s="554"/>
      <c r="BR1711" s="554"/>
      <c r="BS1711" s="554"/>
      <c r="BT1711" s="554"/>
      <c r="BU1711" s="554"/>
      <c r="BV1711" s="554"/>
      <c r="BW1711" s="554"/>
      <c r="BX1711" s="554"/>
      <c r="BY1711" s="554"/>
      <c r="BZ1711" s="554"/>
      <c r="CA1711" s="720"/>
      <c r="CB1711" s="555"/>
      <c r="CC1711" s="721"/>
      <c r="CD1711" s="554"/>
      <c r="CE1711" s="554"/>
      <c r="CF1711" s="554"/>
      <c r="CG1711" s="554"/>
      <c r="CI1711" s="554"/>
      <c r="CJ1711" s="554"/>
      <c r="CK1711" s="554"/>
      <c r="CL1711" s="554"/>
      <c r="CM1711" s="554"/>
      <c r="CN1711" s="554"/>
      <c r="CO1711" s="554"/>
      <c r="CP1711" s="619"/>
      <c r="CQ1711" s="619"/>
      <c r="CR1711" s="554">
        <f t="shared" si="696"/>
        <v>12</v>
      </c>
      <c r="CS1711" s="554">
        <f t="shared" si="697"/>
        <v>12</v>
      </c>
      <c r="CT1711" s="554">
        <f t="shared" si="698"/>
        <v>12</v>
      </c>
      <c r="CU1711" s="554">
        <f t="shared" si="677"/>
        <v>0</v>
      </c>
      <c r="CV1711" s="554">
        <f t="shared" si="699"/>
        <v>0</v>
      </c>
      <c r="CW1711" s="554">
        <f t="shared" si="700"/>
        <v>0</v>
      </c>
      <c r="CX1711" s="619"/>
      <c r="CY1711" s="619"/>
      <c r="CZ1711" s="619"/>
      <c r="DA1711" s="619"/>
      <c r="DB1711" s="619"/>
      <c r="DC1711" s="619"/>
      <c r="DD1711" s="619"/>
      <c r="DE1711" s="619"/>
      <c r="DF1711" s="619"/>
      <c r="DG1711" s="619"/>
      <c r="DH1711" s="619"/>
    </row>
    <row r="1712" s="550" customFormat="1" ht="31" customHeight="1" spans="1:112">
      <c r="A1712" s="608">
        <v>46171</v>
      </c>
      <c r="B1712" s="609" t="s">
        <v>5078</v>
      </c>
      <c r="C1712" s="610" t="s">
        <v>170</v>
      </c>
      <c r="D1712" s="554">
        <v>4500209611</v>
      </c>
      <c r="E1712" s="610" t="s">
        <v>10189</v>
      </c>
      <c r="F1712" s="554" t="s">
        <v>10190</v>
      </c>
      <c r="G1712" s="610" t="s">
        <v>6787</v>
      </c>
      <c r="H1712" s="610" t="s">
        <v>6126</v>
      </c>
      <c r="I1712" s="715">
        <v>36</v>
      </c>
      <c r="J1712" s="610">
        <v>0</v>
      </c>
      <c r="K1712" s="843">
        <v>12</v>
      </c>
      <c r="L1712" s="844">
        <f t="shared" si="689"/>
        <v>3</v>
      </c>
      <c r="M1712" s="845">
        <v>46218</v>
      </c>
      <c r="N1712" s="724">
        <v>46216</v>
      </c>
      <c r="O1712" s="613"/>
      <c r="P1712" s="610" t="s">
        <v>113</v>
      </c>
      <c r="Q1712" s="614">
        <v>46223</v>
      </c>
      <c r="R1712" s="614">
        <v>46171</v>
      </c>
      <c r="S1712" s="614" t="s">
        <v>104</v>
      </c>
      <c r="T1712" s="614" t="s">
        <v>10159</v>
      </c>
      <c r="U1712" s="614"/>
      <c r="V1712" s="614" t="s">
        <v>10183</v>
      </c>
      <c r="W1712" s="573"/>
      <c r="X1712" s="738" t="s">
        <v>10184</v>
      </c>
      <c r="Y1712" s="616" t="s">
        <v>3820</v>
      </c>
      <c r="Z1712" s="609">
        <v>2.2576</v>
      </c>
      <c r="AA1712" s="616">
        <f t="shared" si="691"/>
        <v>81.2736</v>
      </c>
      <c r="AC1712" s="697"/>
      <c r="AD1712" s="610" t="s">
        <v>8079</v>
      </c>
      <c r="AE1712" s="610" t="s">
        <v>82</v>
      </c>
      <c r="AF1712" s="610"/>
      <c r="AG1712" s="610"/>
      <c r="AH1712" s="609"/>
      <c r="AI1712" s="610">
        <v>36</v>
      </c>
      <c r="AJ1712" s="610">
        <f t="shared" si="690"/>
        <v>0</v>
      </c>
      <c r="AK1712" s="613"/>
      <c r="AL1712" s="610" t="s">
        <v>2368</v>
      </c>
      <c r="AM1712" s="610"/>
      <c r="AN1712" s="610">
        <f t="shared" si="692"/>
        <v>72</v>
      </c>
      <c r="AO1712" s="554"/>
      <c r="AP1712" s="554"/>
      <c r="AQ1712" s="554">
        <f t="shared" si="693"/>
        <v>72</v>
      </c>
      <c r="AR1712" s="619"/>
      <c r="AS1712" s="554"/>
      <c r="AT1712" s="554"/>
      <c r="AU1712" s="554">
        <f t="shared" si="694"/>
        <v>72</v>
      </c>
      <c r="AV1712" s="554"/>
      <c r="AW1712" s="554"/>
      <c r="AX1712" s="714"/>
      <c r="AY1712" s="554"/>
      <c r="AZ1712" s="554"/>
      <c r="BA1712" s="554"/>
      <c r="BB1712" s="620">
        <f t="shared" si="695"/>
        <v>3</v>
      </c>
      <c r="BC1712" s="554"/>
      <c r="BD1712" s="554"/>
      <c r="BE1712" s="554"/>
      <c r="BF1712" s="554"/>
      <c r="BH1712" s="554"/>
      <c r="BI1712" s="554"/>
      <c r="BJ1712" s="554"/>
      <c r="BK1712" s="554"/>
      <c r="BL1712" s="554"/>
      <c r="BM1712" s="554"/>
      <c r="BN1712" s="554"/>
      <c r="BO1712" s="554"/>
      <c r="BP1712" s="554"/>
      <c r="BQ1712" s="554"/>
      <c r="BR1712" s="554"/>
      <c r="BS1712" s="554"/>
      <c r="BT1712" s="554"/>
      <c r="BU1712" s="554"/>
      <c r="BV1712" s="554"/>
      <c r="BW1712" s="554"/>
      <c r="BX1712" s="554"/>
      <c r="BY1712" s="554"/>
      <c r="BZ1712" s="554"/>
      <c r="CA1712" s="720"/>
      <c r="CB1712" s="555"/>
      <c r="CC1712" s="721"/>
      <c r="CD1712" s="554"/>
      <c r="CE1712" s="554"/>
      <c r="CF1712" s="554"/>
      <c r="CG1712" s="554"/>
      <c r="CI1712" s="554"/>
      <c r="CJ1712" s="554"/>
      <c r="CK1712" s="554"/>
      <c r="CL1712" s="554"/>
      <c r="CM1712" s="554"/>
      <c r="CN1712" s="554"/>
      <c r="CO1712" s="554"/>
      <c r="CP1712" s="619"/>
      <c r="CQ1712" s="619"/>
      <c r="CR1712" s="554">
        <f t="shared" si="696"/>
        <v>36</v>
      </c>
      <c r="CS1712" s="554">
        <f t="shared" si="697"/>
        <v>36</v>
      </c>
      <c r="CT1712" s="554">
        <f t="shared" si="698"/>
        <v>36</v>
      </c>
      <c r="CU1712" s="554">
        <f t="shared" si="677"/>
        <v>0</v>
      </c>
      <c r="CV1712" s="554">
        <f t="shared" si="699"/>
        <v>0</v>
      </c>
      <c r="CW1712" s="554">
        <f t="shared" si="700"/>
        <v>0</v>
      </c>
      <c r="CX1712" s="619"/>
      <c r="CY1712" s="619"/>
      <c r="CZ1712" s="619"/>
      <c r="DA1712" s="619"/>
      <c r="DB1712" s="619"/>
      <c r="DC1712" s="619"/>
      <c r="DD1712" s="619"/>
      <c r="DE1712" s="619"/>
      <c r="DF1712" s="619"/>
      <c r="DG1712" s="619"/>
      <c r="DH1712" s="619"/>
    </row>
    <row r="1713" s="550" customFormat="1" ht="31" customHeight="1" spans="1:112">
      <c r="A1713" s="608">
        <v>46171</v>
      </c>
      <c r="B1713" s="609" t="s">
        <v>5078</v>
      </c>
      <c r="C1713" s="610" t="s">
        <v>170</v>
      </c>
      <c r="D1713" s="554">
        <v>4500209611</v>
      </c>
      <c r="E1713" s="610" t="s">
        <v>10191</v>
      </c>
      <c r="F1713" s="554" t="s">
        <v>10192</v>
      </c>
      <c r="G1713" s="610" t="s">
        <v>6787</v>
      </c>
      <c r="H1713" s="610" t="s">
        <v>6126</v>
      </c>
      <c r="I1713" s="715">
        <v>12</v>
      </c>
      <c r="J1713" s="610">
        <v>0</v>
      </c>
      <c r="K1713" s="843">
        <v>12</v>
      </c>
      <c r="L1713" s="844">
        <f t="shared" si="689"/>
        <v>1</v>
      </c>
      <c r="M1713" s="845">
        <v>46218</v>
      </c>
      <c r="N1713" s="724">
        <v>46216</v>
      </c>
      <c r="O1713" s="613"/>
      <c r="P1713" s="610" t="s">
        <v>113</v>
      </c>
      <c r="Q1713" s="614">
        <v>46223</v>
      </c>
      <c r="R1713" s="614">
        <v>46171</v>
      </c>
      <c r="S1713" s="614" t="s">
        <v>104</v>
      </c>
      <c r="T1713" s="614" t="s">
        <v>10159</v>
      </c>
      <c r="U1713" s="614"/>
      <c r="V1713" s="614" t="s">
        <v>10183</v>
      </c>
      <c r="W1713" s="573"/>
      <c r="X1713" s="738" t="s">
        <v>10184</v>
      </c>
      <c r="Y1713" s="616" t="s">
        <v>3820</v>
      </c>
      <c r="Z1713" s="609">
        <v>2.2576</v>
      </c>
      <c r="AA1713" s="616">
        <f t="shared" si="691"/>
        <v>27.0912</v>
      </c>
      <c r="AC1713" s="697"/>
      <c r="AD1713" s="610" t="s">
        <v>8079</v>
      </c>
      <c r="AE1713" s="610" t="s">
        <v>82</v>
      </c>
      <c r="AF1713" s="610"/>
      <c r="AG1713" s="610"/>
      <c r="AH1713" s="609"/>
      <c r="AI1713" s="610">
        <v>12</v>
      </c>
      <c r="AJ1713" s="610">
        <f t="shared" si="690"/>
        <v>0</v>
      </c>
      <c r="AK1713" s="613"/>
      <c r="AL1713" s="610" t="s">
        <v>2368</v>
      </c>
      <c r="AM1713" s="610"/>
      <c r="AN1713" s="610">
        <f t="shared" si="692"/>
        <v>24</v>
      </c>
      <c r="AO1713" s="554"/>
      <c r="AP1713" s="554"/>
      <c r="AQ1713" s="554">
        <f t="shared" si="693"/>
        <v>24</v>
      </c>
      <c r="AR1713" s="619"/>
      <c r="AS1713" s="554"/>
      <c r="AT1713" s="554"/>
      <c r="AU1713" s="554">
        <f t="shared" si="694"/>
        <v>24</v>
      </c>
      <c r="AV1713" s="554"/>
      <c r="AW1713" s="554"/>
      <c r="AX1713" s="714"/>
      <c r="AY1713" s="554"/>
      <c r="AZ1713" s="554"/>
      <c r="BA1713" s="554"/>
      <c r="BB1713" s="620">
        <f t="shared" si="695"/>
        <v>1</v>
      </c>
      <c r="BC1713" s="554"/>
      <c r="BD1713" s="554"/>
      <c r="BE1713" s="554"/>
      <c r="BF1713" s="554"/>
      <c r="BH1713" s="554"/>
      <c r="BI1713" s="554"/>
      <c r="BJ1713" s="554"/>
      <c r="BK1713" s="554"/>
      <c r="BL1713" s="554"/>
      <c r="BM1713" s="554"/>
      <c r="BN1713" s="554"/>
      <c r="BO1713" s="554"/>
      <c r="BP1713" s="554"/>
      <c r="BQ1713" s="554"/>
      <c r="BR1713" s="554"/>
      <c r="BS1713" s="554"/>
      <c r="BT1713" s="554"/>
      <c r="BU1713" s="554"/>
      <c r="BV1713" s="554"/>
      <c r="BW1713" s="554"/>
      <c r="BX1713" s="554"/>
      <c r="BY1713" s="554"/>
      <c r="BZ1713" s="554"/>
      <c r="CA1713" s="720"/>
      <c r="CB1713" s="555"/>
      <c r="CC1713" s="721"/>
      <c r="CD1713" s="554"/>
      <c r="CE1713" s="554"/>
      <c r="CF1713" s="554"/>
      <c r="CG1713" s="554"/>
      <c r="CI1713" s="554"/>
      <c r="CJ1713" s="554"/>
      <c r="CK1713" s="554"/>
      <c r="CL1713" s="554"/>
      <c r="CM1713" s="554"/>
      <c r="CN1713" s="554"/>
      <c r="CO1713" s="554"/>
      <c r="CP1713" s="619"/>
      <c r="CQ1713" s="619"/>
      <c r="CR1713" s="554">
        <f t="shared" si="696"/>
        <v>12</v>
      </c>
      <c r="CS1713" s="554">
        <f t="shared" si="697"/>
        <v>12</v>
      </c>
      <c r="CT1713" s="554">
        <f t="shared" si="698"/>
        <v>12</v>
      </c>
      <c r="CU1713" s="554">
        <f t="shared" si="677"/>
        <v>0</v>
      </c>
      <c r="CV1713" s="554">
        <f t="shared" si="699"/>
        <v>0</v>
      </c>
      <c r="CW1713" s="554">
        <f t="shared" si="700"/>
        <v>0</v>
      </c>
      <c r="CX1713" s="619"/>
      <c r="CY1713" s="619"/>
      <c r="CZ1713" s="619"/>
      <c r="DA1713" s="619"/>
      <c r="DB1713" s="619"/>
      <c r="DC1713" s="619"/>
      <c r="DD1713" s="619"/>
      <c r="DE1713" s="619"/>
      <c r="DF1713" s="619"/>
      <c r="DG1713" s="619"/>
      <c r="DH1713" s="619"/>
    </row>
    <row r="1714" s="550" customFormat="1" ht="31" customHeight="1" spans="1:112">
      <c r="A1714" s="608">
        <v>46171</v>
      </c>
      <c r="B1714" s="609" t="s">
        <v>5078</v>
      </c>
      <c r="C1714" s="610" t="s">
        <v>170</v>
      </c>
      <c r="D1714" s="554">
        <v>4500209611</v>
      </c>
      <c r="E1714" s="610" t="s">
        <v>10193</v>
      </c>
      <c r="F1714" s="554" t="s">
        <v>10194</v>
      </c>
      <c r="G1714" s="610" t="s">
        <v>6787</v>
      </c>
      <c r="H1714" s="610" t="s">
        <v>6126</v>
      </c>
      <c r="I1714" s="715">
        <v>48</v>
      </c>
      <c r="J1714" s="610">
        <v>0</v>
      </c>
      <c r="K1714" s="843">
        <v>12</v>
      </c>
      <c r="L1714" s="844">
        <f t="shared" si="689"/>
        <v>4</v>
      </c>
      <c r="M1714" s="845">
        <v>46218</v>
      </c>
      <c r="N1714" s="724">
        <v>46216</v>
      </c>
      <c r="O1714" s="613"/>
      <c r="P1714" s="610" t="s">
        <v>113</v>
      </c>
      <c r="Q1714" s="614">
        <v>46223</v>
      </c>
      <c r="R1714" s="614">
        <v>46171</v>
      </c>
      <c r="S1714" s="614" t="s">
        <v>104</v>
      </c>
      <c r="T1714" s="614" t="s">
        <v>10159</v>
      </c>
      <c r="U1714" s="614"/>
      <c r="V1714" s="614" t="s">
        <v>10183</v>
      </c>
      <c r="W1714" s="573"/>
      <c r="X1714" s="738" t="s">
        <v>10184</v>
      </c>
      <c r="Y1714" s="616" t="s">
        <v>3820</v>
      </c>
      <c r="Z1714" s="609">
        <v>2.2576</v>
      </c>
      <c r="AA1714" s="616">
        <f t="shared" si="691"/>
        <v>108.3648</v>
      </c>
      <c r="AC1714" s="697"/>
      <c r="AD1714" s="610" t="s">
        <v>8079</v>
      </c>
      <c r="AE1714" s="610" t="s">
        <v>82</v>
      </c>
      <c r="AF1714" s="610"/>
      <c r="AG1714" s="610"/>
      <c r="AH1714" s="609"/>
      <c r="AI1714" s="610">
        <v>48</v>
      </c>
      <c r="AJ1714" s="610">
        <f t="shared" si="690"/>
        <v>0</v>
      </c>
      <c r="AK1714" s="613"/>
      <c r="AL1714" s="610" t="s">
        <v>2368</v>
      </c>
      <c r="AM1714" s="610"/>
      <c r="AN1714" s="610">
        <f t="shared" si="692"/>
        <v>96</v>
      </c>
      <c r="AO1714" s="554"/>
      <c r="AP1714" s="554"/>
      <c r="AQ1714" s="554">
        <f t="shared" si="693"/>
        <v>96</v>
      </c>
      <c r="AR1714" s="619"/>
      <c r="AS1714" s="554"/>
      <c r="AT1714" s="554"/>
      <c r="AU1714" s="554">
        <f t="shared" si="694"/>
        <v>96</v>
      </c>
      <c r="AV1714" s="554"/>
      <c r="AW1714" s="554"/>
      <c r="AX1714" s="714"/>
      <c r="AY1714" s="554"/>
      <c r="AZ1714" s="554"/>
      <c r="BA1714" s="554"/>
      <c r="BB1714" s="620">
        <f t="shared" si="695"/>
        <v>4</v>
      </c>
      <c r="BC1714" s="554"/>
      <c r="BD1714" s="554"/>
      <c r="BE1714" s="554"/>
      <c r="BF1714" s="554"/>
      <c r="BH1714" s="554"/>
      <c r="BI1714" s="554"/>
      <c r="BJ1714" s="554"/>
      <c r="BK1714" s="554"/>
      <c r="BL1714" s="554"/>
      <c r="BM1714" s="554"/>
      <c r="BN1714" s="554"/>
      <c r="BO1714" s="554"/>
      <c r="BP1714" s="554"/>
      <c r="BQ1714" s="554"/>
      <c r="BR1714" s="554"/>
      <c r="BS1714" s="554"/>
      <c r="BT1714" s="554"/>
      <c r="BU1714" s="554"/>
      <c r="BV1714" s="554"/>
      <c r="BW1714" s="554"/>
      <c r="BX1714" s="554"/>
      <c r="BY1714" s="554"/>
      <c r="BZ1714" s="554"/>
      <c r="CA1714" s="720"/>
      <c r="CB1714" s="555"/>
      <c r="CC1714" s="721"/>
      <c r="CD1714" s="554"/>
      <c r="CE1714" s="554"/>
      <c r="CF1714" s="554"/>
      <c r="CG1714" s="554"/>
      <c r="CI1714" s="554"/>
      <c r="CJ1714" s="554"/>
      <c r="CK1714" s="554"/>
      <c r="CL1714" s="554"/>
      <c r="CM1714" s="554"/>
      <c r="CN1714" s="554"/>
      <c r="CO1714" s="554"/>
      <c r="CP1714" s="619"/>
      <c r="CQ1714" s="619"/>
      <c r="CR1714" s="554">
        <f t="shared" si="696"/>
        <v>48</v>
      </c>
      <c r="CS1714" s="554">
        <f t="shared" si="697"/>
        <v>48</v>
      </c>
      <c r="CT1714" s="554">
        <f t="shared" si="698"/>
        <v>48</v>
      </c>
      <c r="CU1714" s="554">
        <f t="shared" si="677"/>
        <v>0</v>
      </c>
      <c r="CV1714" s="554">
        <f t="shared" si="699"/>
        <v>0</v>
      </c>
      <c r="CW1714" s="554">
        <f t="shared" si="700"/>
        <v>0</v>
      </c>
      <c r="CX1714" s="619"/>
      <c r="CY1714" s="619"/>
      <c r="CZ1714" s="619"/>
      <c r="DA1714" s="619"/>
      <c r="DB1714" s="619"/>
      <c r="DC1714" s="619"/>
      <c r="DD1714" s="619"/>
      <c r="DE1714" s="619"/>
      <c r="DF1714" s="619"/>
      <c r="DG1714" s="619"/>
      <c r="DH1714" s="619"/>
    </row>
    <row r="1715" s="550" customFormat="1" ht="31" customHeight="1" spans="1:112">
      <c r="A1715" s="608">
        <v>46171</v>
      </c>
      <c r="B1715" s="609" t="s">
        <v>5078</v>
      </c>
      <c r="C1715" s="610" t="s">
        <v>170</v>
      </c>
      <c r="D1715" s="554">
        <v>4500209611</v>
      </c>
      <c r="E1715" s="610" t="s">
        <v>10195</v>
      </c>
      <c r="F1715" s="554" t="s">
        <v>10196</v>
      </c>
      <c r="G1715" s="610" t="s">
        <v>6787</v>
      </c>
      <c r="H1715" s="610" t="s">
        <v>6126</v>
      </c>
      <c r="I1715" s="715">
        <v>12</v>
      </c>
      <c r="J1715" s="610">
        <v>0</v>
      </c>
      <c r="K1715" s="843">
        <v>12</v>
      </c>
      <c r="L1715" s="844">
        <f t="shared" si="689"/>
        <v>1</v>
      </c>
      <c r="M1715" s="845">
        <v>46218</v>
      </c>
      <c r="N1715" s="724">
        <v>46216</v>
      </c>
      <c r="O1715" s="613"/>
      <c r="P1715" s="610" t="s">
        <v>113</v>
      </c>
      <c r="Q1715" s="614">
        <v>46223</v>
      </c>
      <c r="R1715" s="614">
        <v>46171</v>
      </c>
      <c r="S1715" s="614" t="s">
        <v>104</v>
      </c>
      <c r="T1715" s="614" t="s">
        <v>10159</v>
      </c>
      <c r="U1715" s="614"/>
      <c r="V1715" s="614" t="s">
        <v>10183</v>
      </c>
      <c r="W1715" s="573"/>
      <c r="X1715" s="738" t="s">
        <v>10184</v>
      </c>
      <c r="Y1715" s="616" t="s">
        <v>3820</v>
      </c>
      <c r="Z1715" s="609">
        <v>2.2576</v>
      </c>
      <c r="AA1715" s="616">
        <f t="shared" si="691"/>
        <v>27.0912</v>
      </c>
      <c r="AC1715" s="697"/>
      <c r="AD1715" s="610" t="s">
        <v>8079</v>
      </c>
      <c r="AE1715" s="610" t="s">
        <v>82</v>
      </c>
      <c r="AF1715" s="610"/>
      <c r="AG1715" s="610"/>
      <c r="AH1715" s="609"/>
      <c r="AI1715" s="610">
        <v>12</v>
      </c>
      <c r="AJ1715" s="610">
        <f t="shared" si="690"/>
        <v>0</v>
      </c>
      <c r="AK1715" s="613"/>
      <c r="AL1715" s="610" t="s">
        <v>2368</v>
      </c>
      <c r="AM1715" s="610"/>
      <c r="AN1715" s="610">
        <f t="shared" si="692"/>
        <v>24</v>
      </c>
      <c r="AO1715" s="554"/>
      <c r="AP1715" s="554"/>
      <c r="AQ1715" s="554">
        <f t="shared" si="693"/>
        <v>24</v>
      </c>
      <c r="AR1715" s="619"/>
      <c r="AS1715" s="554"/>
      <c r="AT1715" s="554"/>
      <c r="AU1715" s="554">
        <f t="shared" si="694"/>
        <v>24</v>
      </c>
      <c r="AV1715" s="554"/>
      <c r="AW1715" s="554"/>
      <c r="AX1715" s="714"/>
      <c r="AY1715" s="554"/>
      <c r="AZ1715" s="554"/>
      <c r="BA1715" s="554"/>
      <c r="BB1715" s="620">
        <f t="shared" si="695"/>
        <v>1</v>
      </c>
      <c r="BC1715" s="554"/>
      <c r="BD1715" s="554"/>
      <c r="BE1715" s="554"/>
      <c r="BF1715" s="554"/>
      <c r="BH1715" s="554"/>
      <c r="BI1715" s="554"/>
      <c r="BJ1715" s="554"/>
      <c r="BK1715" s="554"/>
      <c r="BL1715" s="554"/>
      <c r="BM1715" s="554"/>
      <c r="BN1715" s="554"/>
      <c r="BO1715" s="554"/>
      <c r="BP1715" s="554"/>
      <c r="BQ1715" s="554"/>
      <c r="BR1715" s="554"/>
      <c r="BS1715" s="554"/>
      <c r="BT1715" s="554"/>
      <c r="BU1715" s="554"/>
      <c r="BV1715" s="554"/>
      <c r="BW1715" s="554"/>
      <c r="BX1715" s="554"/>
      <c r="BY1715" s="554"/>
      <c r="BZ1715" s="554"/>
      <c r="CA1715" s="720"/>
      <c r="CB1715" s="555"/>
      <c r="CC1715" s="721"/>
      <c r="CD1715" s="554"/>
      <c r="CE1715" s="554"/>
      <c r="CF1715" s="554"/>
      <c r="CG1715" s="554"/>
      <c r="CI1715" s="554"/>
      <c r="CJ1715" s="554"/>
      <c r="CK1715" s="554"/>
      <c r="CL1715" s="554"/>
      <c r="CM1715" s="554"/>
      <c r="CN1715" s="554"/>
      <c r="CO1715" s="554"/>
      <c r="CP1715" s="619"/>
      <c r="CQ1715" s="619"/>
      <c r="CR1715" s="554">
        <f t="shared" si="696"/>
        <v>12</v>
      </c>
      <c r="CS1715" s="554">
        <f t="shared" si="697"/>
        <v>12</v>
      </c>
      <c r="CT1715" s="554">
        <f t="shared" si="698"/>
        <v>12</v>
      </c>
      <c r="CU1715" s="554">
        <f t="shared" si="677"/>
        <v>0</v>
      </c>
      <c r="CV1715" s="554">
        <f t="shared" si="699"/>
        <v>0</v>
      </c>
      <c r="CW1715" s="554">
        <f t="shared" si="700"/>
        <v>0</v>
      </c>
      <c r="CX1715" s="619"/>
      <c r="CY1715" s="619"/>
      <c r="CZ1715" s="619"/>
      <c r="DA1715" s="619"/>
      <c r="DB1715" s="619"/>
      <c r="DC1715" s="619"/>
      <c r="DD1715" s="619"/>
      <c r="DE1715" s="619"/>
      <c r="DF1715" s="619"/>
      <c r="DG1715" s="619"/>
      <c r="DH1715" s="619"/>
    </row>
    <row r="1716" s="550" customFormat="1" ht="31" customHeight="1" spans="1:112">
      <c r="A1716" s="608">
        <v>46171</v>
      </c>
      <c r="B1716" s="609" t="s">
        <v>5078</v>
      </c>
      <c r="C1716" s="610" t="s">
        <v>170</v>
      </c>
      <c r="D1716" s="554">
        <v>4500209611</v>
      </c>
      <c r="E1716" s="610" t="s">
        <v>10197</v>
      </c>
      <c r="F1716" s="554" t="s">
        <v>10198</v>
      </c>
      <c r="G1716" s="610" t="s">
        <v>6787</v>
      </c>
      <c r="H1716" s="610" t="s">
        <v>6126</v>
      </c>
      <c r="I1716" s="715">
        <v>216</v>
      </c>
      <c r="J1716" s="610">
        <v>0</v>
      </c>
      <c r="K1716" s="843">
        <v>12</v>
      </c>
      <c r="L1716" s="844">
        <f t="shared" si="689"/>
        <v>18</v>
      </c>
      <c r="M1716" s="845">
        <v>46218</v>
      </c>
      <c r="N1716" s="724">
        <v>46216</v>
      </c>
      <c r="O1716" s="613"/>
      <c r="P1716" s="610" t="s">
        <v>113</v>
      </c>
      <c r="Q1716" s="614">
        <v>46223</v>
      </c>
      <c r="R1716" s="614">
        <v>46171</v>
      </c>
      <c r="S1716" s="614" t="s">
        <v>104</v>
      </c>
      <c r="T1716" s="614" t="s">
        <v>10159</v>
      </c>
      <c r="U1716" s="614"/>
      <c r="V1716" s="614" t="s">
        <v>10183</v>
      </c>
      <c r="W1716" s="573"/>
      <c r="X1716" s="738" t="s">
        <v>10184</v>
      </c>
      <c r="Y1716" s="616" t="s">
        <v>3820</v>
      </c>
      <c r="Z1716" s="609">
        <v>2.2576</v>
      </c>
      <c r="AA1716" s="616">
        <f t="shared" si="691"/>
        <v>487.6416</v>
      </c>
      <c r="AC1716" s="697"/>
      <c r="AD1716" s="610" t="s">
        <v>8079</v>
      </c>
      <c r="AE1716" s="610" t="s">
        <v>82</v>
      </c>
      <c r="AF1716" s="610"/>
      <c r="AG1716" s="610"/>
      <c r="AH1716" s="609"/>
      <c r="AI1716" s="610">
        <v>216</v>
      </c>
      <c r="AJ1716" s="610">
        <f t="shared" si="690"/>
        <v>0</v>
      </c>
      <c r="AK1716" s="613"/>
      <c r="AL1716" s="610" t="s">
        <v>2368</v>
      </c>
      <c r="AM1716" s="610"/>
      <c r="AN1716" s="610">
        <f t="shared" si="692"/>
        <v>432</v>
      </c>
      <c r="AO1716" s="554"/>
      <c r="AP1716" s="554"/>
      <c r="AQ1716" s="554">
        <f t="shared" si="693"/>
        <v>432</v>
      </c>
      <c r="AR1716" s="619"/>
      <c r="AS1716" s="554"/>
      <c r="AT1716" s="554"/>
      <c r="AU1716" s="554">
        <f t="shared" si="694"/>
        <v>432</v>
      </c>
      <c r="AV1716" s="554"/>
      <c r="AW1716" s="554"/>
      <c r="AX1716" s="714"/>
      <c r="AY1716" s="554"/>
      <c r="AZ1716" s="554"/>
      <c r="BA1716" s="554"/>
      <c r="BB1716" s="620">
        <f t="shared" si="695"/>
        <v>18</v>
      </c>
      <c r="BC1716" s="554"/>
      <c r="BD1716" s="554"/>
      <c r="BE1716" s="554"/>
      <c r="BF1716" s="554"/>
      <c r="BH1716" s="554"/>
      <c r="BI1716" s="554"/>
      <c r="BJ1716" s="554"/>
      <c r="BK1716" s="554"/>
      <c r="BL1716" s="554"/>
      <c r="BM1716" s="554"/>
      <c r="BN1716" s="554"/>
      <c r="BO1716" s="554"/>
      <c r="BP1716" s="554"/>
      <c r="BQ1716" s="554"/>
      <c r="BR1716" s="554"/>
      <c r="BS1716" s="554"/>
      <c r="BT1716" s="554"/>
      <c r="BU1716" s="554"/>
      <c r="BV1716" s="554"/>
      <c r="BW1716" s="554"/>
      <c r="BX1716" s="554"/>
      <c r="BY1716" s="554"/>
      <c r="BZ1716" s="554"/>
      <c r="CA1716" s="720"/>
      <c r="CB1716" s="555"/>
      <c r="CC1716" s="721"/>
      <c r="CD1716" s="554"/>
      <c r="CE1716" s="554"/>
      <c r="CF1716" s="554"/>
      <c r="CG1716" s="554"/>
      <c r="CI1716" s="554"/>
      <c r="CJ1716" s="554"/>
      <c r="CK1716" s="554"/>
      <c r="CL1716" s="554"/>
      <c r="CM1716" s="554"/>
      <c r="CN1716" s="554"/>
      <c r="CO1716" s="554"/>
      <c r="CP1716" s="619"/>
      <c r="CQ1716" s="619"/>
      <c r="CR1716" s="554">
        <f t="shared" si="696"/>
        <v>216</v>
      </c>
      <c r="CS1716" s="554">
        <f t="shared" si="697"/>
        <v>216</v>
      </c>
      <c r="CT1716" s="554">
        <f t="shared" si="698"/>
        <v>216</v>
      </c>
      <c r="CU1716" s="554">
        <f t="shared" si="677"/>
        <v>0</v>
      </c>
      <c r="CV1716" s="554">
        <f t="shared" si="699"/>
        <v>0</v>
      </c>
      <c r="CW1716" s="554">
        <f t="shared" si="700"/>
        <v>0</v>
      </c>
      <c r="CX1716" s="619"/>
      <c r="CY1716" s="619"/>
      <c r="CZ1716" s="619"/>
      <c r="DA1716" s="619"/>
      <c r="DB1716" s="619"/>
      <c r="DC1716" s="619"/>
      <c r="DD1716" s="619"/>
      <c r="DE1716" s="619"/>
      <c r="DF1716" s="619"/>
      <c r="DG1716" s="619"/>
      <c r="DH1716" s="619"/>
    </row>
    <row r="1717" s="554" customFormat="1" ht="31" customHeight="1" spans="1:112">
      <c r="A1717" s="608">
        <v>46150</v>
      </c>
      <c r="B1717" s="609" t="s">
        <v>3815</v>
      </c>
      <c r="C1717" s="610" t="s">
        <v>98</v>
      </c>
      <c r="D1717" s="727">
        <v>4500205292</v>
      </c>
      <c r="E1717" s="610" t="s">
        <v>10199</v>
      </c>
      <c r="F1717" s="554" t="s">
        <v>10200</v>
      </c>
      <c r="G1717" s="610" t="s">
        <v>6787</v>
      </c>
      <c r="H1717" s="610" t="s">
        <v>6126</v>
      </c>
      <c r="I1717" s="715">
        <v>1248</v>
      </c>
      <c r="J1717" s="610">
        <v>0</v>
      </c>
      <c r="K1717" s="610">
        <v>12</v>
      </c>
      <c r="L1717" s="611">
        <f t="shared" ref="L1710:L1780" si="701">I1717/K1717</f>
        <v>104</v>
      </c>
      <c r="M1717" s="612">
        <v>46219</v>
      </c>
      <c r="N1717" s="612">
        <v>46216</v>
      </c>
      <c r="O1717" s="613"/>
      <c r="P1717" s="610" t="s">
        <v>113</v>
      </c>
      <c r="Q1717" s="614"/>
      <c r="R1717" s="614">
        <v>46151</v>
      </c>
      <c r="S1717" s="614" t="s">
        <v>104</v>
      </c>
      <c r="T1717" s="614" t="s">
        <v>10159</v>
      </c>
      <c r="U1717" s="614"/>
      <c r="V1717" s="614"/>
      <c r="W1717" s="609"/>
      <c r="X1717" s="609" t="s">
        <v>10201</v>
      </c>
      <c r="Y1717" s="616" t="s">
        <v>10202</v>
      </c>
      <c r="Z1717" s="609">
        <v>1.3546</v>
      </c>
      <c r="AA1717" s="616">
        <f t="shared" si="691"/>
        <v>1690.5408</v>
      </c>
      <c r="AC1717" s="861" t="s">
        <v>10203</v>
      </c>
      <c r="AD1717" s="610" t="s">
        <v>8079</v>
      </c>
      <c r="AE1717" s="610" t="s">
        <v>82</v>
      </c>
      <c r="AF1717" s="610"/>
      <c r="AG1717" s="610"/>
      <c r="AH1717" s="609"/>
      <c r="AI1717" s="610">
        <v>1248</v>
      </c>
      <c r="AJ1717" s="610">
        <f t="shared" ref="AJ1708:AJ1780" si="702">AI1717-I1717</f>
        <v>0</v>
      </c>
      <c r="AK1717" s="613"/>
      <c r="AL1717" s="610" t="s">
        <v>2368</v>
      </c>
      <c r="AM1717" s="610"/>
      <c r="AN1717" s="610">
        <f t="shared" si="692"/>
        <v>2496</v>
      </c>
      <c r="AQ1717" s="554">
        <f t="shared" si="693"/>
        <v>2496</v>
      </c>
      <c r="AR1717" s="619"/>
      <c r="AS1717" s="554"/>
      <c r="AT1717" s="554"/>
      <c r="AU1717" s="554">
        <f t="shared" si="694"/>
        <v>2496</v>
      </c>
      <c r="AX1717" s="714"/>
      <c r="AY1717" s="554"/>
      <c r="AZ1717" s="554"/>
      <c r="BA1717" s="554"/>
      <c r="BB1717" s="620">
        <f t="shared" si="695"/>
        <v>104</v>
      </c>
      <c r="CA1717" s="720"/>
      <c r="CB1717" s="555"/>
      <c r="CC1717" s="721"/>
      <c r="CD1717" s="554"/>
      <c r="CE1717" s="554"/>
      <c r="CF1717" s="554"/>
      <c r="CG1717" s="554"/>
      <c r="CP1717" s="619"/>
      <c r="CQ1717" s="619"/>
      <c r="CR1717" s="554">
        <f t="shared" si="696"/>
        <v>1248</v>
      </c>
      <c r="CS1717" s="554">
        <f t="shared" si="697"/>
        <v>1248</v>
      </c>
      <c r="CT1717" s="554">
        <f t="shared" si="698"/>
        <v>1248</v>
      </c>
      <c r="CU1717" s="554">
        <f t="shared" si="677"/>
        <v>0</v>
      </c>
      <c r="CV1717" s="554">
        <f t="shared" si="699"/>
        <v>0</v>
      </c>
      <c r="CW1717" s="554">
        <f t="shared" si="700"/>
        <v>0</v>
      </c>
      <c r="CX1717" s="619"/>
      <c r="CY1717" s="619"/>
      <c r="CZ1717" s="619"/>
      <c r="DA1717" s="619"/>
      <c r="DB1717" s="619"/>
      <c r="DC1717" s="619"/>
      <c r="DD1717" s="619"/>
      <c r="DE1717" s="619"/>
      <c r="DF1717" s="619"/>
      <c r="DG1717" s="619"/>
      <c r="DH1717" s="619"/>
    </row>
    <row r="1718" s="554" customFormat="1" ht="31" customHeight="1" spans="1:112">
      <c r="A1718" s="608">
        <v>46150</v>
      </c>
      <c r="B1718" s="609" t="s">
        <v>3815</v>
      </c>
      <c r="C1718" s="610" t="s">
        <v>98</v>
      </c>
      <c r="D1718" s="727">
        <v>4500205703</v>
      </c>
      <c r="E1718" s="610" t="s">
        <v>10204</v>
      </c>
      <c r="F1718" s="554" t="s">
        <v>10205</v>
      </c>
      <c r="G1718" s="610" t="s">
        <v>6787</v>
      </c>
      <c r="H1718" s="610" t="s">
        <v>6126</v>
      </c>
      <c r="I1718" s="715">
        <v>504</v>
      </c>
      <c r="J1718" s="610">
        <v>0</v>
      </c>
      <c r="K1718" s="610">
        <v>12</v>
      </c>
      <c r="L1718" s="611">
        <f t="shared" si="701"/>
        <v>42</v>
      </c>
      <c r="M1718" s="612">
        <v>46219</v>
      </c>
      <c r="N1718" s="612">
        <v>46216</v>
      </c>
      <c r="O1718" s="613"/>
      <c r="P1718" s="610" t="s">
        <v>113</v>
      </c>
      <c r="Q1718" s="614"/>
      <c r="R1718" s="614">
        <v>46151</v>
      </c>
      <c r="S1718" s="614" t="s">
        <v>104</v>
      </c>
      <c r="T1718" s="614" t="s">
        <v>10159</v>
      </c>
      <c r="U1718" s="614"/>
      <c r="V1718" s="614"/>
      <c r="W1718" s="609"/>
      <c r="X1718" s="609" t="s">
        <v>10201</v>
      </c>
      <c r="Y1718" s="616" t="s">
        <v>10202</v>
      </c>
      <c r="Z1718" s="609">
        <v>1.3546</v>
      </c>
      <c r="AA1718" s="616">
        <f t="shared" si="691"/>
        <v>682.7184</v>
      </c>
      <c r="AC1718" s="861" t="s">
        <v>10206</v>
      </c>
      <c r="AD1718" s="610" t="s">
        <v>8079</v>
      </c>
      <c r="AE1718" s="610" t="s">
        <v>82</v>
      </c>
      <c r="AF1718" s="610"/>
      <c r="AG1718" s="610"/>
      <c r="AH1718" s="609"/>
      <c r="AI1718" s="610">
        <v>504</v>
      </c>
      <c r="AJ1718" s="610">
        <f t="shared" si="702"/>
        <v>0</v>
      </c>
      <c r="AK1718" s="613"/>
      <c r="AL1718" s="610" t="s">
        <v>2368</v>
      </c>
      <c r="AM1718" s="610"/>
      <c r="AN1718" s="610">
        <f t="shared" si="692"/>
        <v>1008</v>
      </c>
      <c r="AQ1718" s="554">
        <f t="shared" si="693"/>
        <v>1008</v>
      </c>
      <c r="AR1718" s="619"/>
      <c r="AS1718" s="554"/>
      <c r="AT1718" s="554"/>
      <c r="AU1718" s="554">
        <f t="shared" si="694"/>
        <v>1008</v>
      </c>
      <c r="AX1718" s="714"/>
      <c r="AY1718" s="554"/>
      <c r="AZ1718" s="554"/>
      <c r="BA1718" s="554"/>
      <c r="BB1718" s="620">
        <f t="shared" si="695"/>
        <v>42</v>
      </c>
      <c r="CA1718" s="720"/>
      <c r="CB1718" s="555"/>
      <c r="CC1718" s="721"/>
      <c r="CD1718" s="554"/>
      <c r="CE1718" s="554"/>
      <c r="CF1718" s="554"/>
      <c r="CG1718" s="554"/>
      <c r="CP1718" s="619"/>
      <c r="CQ1718" s="619"/>
      <c r="CR1718" s="554">
        <f t="shared" si="696"/>
        <v>504</v>
      </c>
      <c r="CS1718" s="554">
        <f t="shared" si="697"/>
        <v>504</v>
      </c>
      <c r="CT1718" s="554">
        <f t="shared" si="698"/>
        <v>504</v>
      </c>
      <c r="CU1718" s="554">
        <f t="shared" si="677"/>
        <v>0</v>
      </c>
      <c r="CV1718" s="554">
        <f t="shared" si="699"/>
        <v>0</v>
      </c>
      <c r="CW1718" s="554">
        <f t="shared" si="700"/>
        <v>0</v>
      </c>
      <c r="CX1718" s="619"/>
      <c r="CY1718" s="619"/>
      <c r="CZ1718" s="619"/>
      <c r="DA1718" s="619"/>
      <c r="DB1718" s="619"/>
      <c r="DC1718" s="619"/>
      <c r="DD1718" s="619"/>
      <c r="DE1718" s="619"/>
      <c r="DF1718" s="619"/>
      <c r="DG1718" s="619"/>
      <c r="DH1718" s="619"/>
    </row>
    <row r="1719" s="554" customFormat="1" ht="31" customHeight="1" spans="1:112">
      <c r="A1719" s="608">
        <v>46091</v>
      </c>
      <c r="B1719" s="609" t="s">
        <v>729</v>
      </c>
      <c r="C1719" s="610" t="s">
        <v>278</v>
      </c>
      <c r="D1719" s="554">
        <v>4500195632</v>
      </c>
      <c r="E1719" s="610" t="s">
        <v>10207</v>
      </c>
      <c r="F1719" s="554" t="s">
        <v>10208</v>
      </c>
      <c r="G1719" s="610" t="s">
        <v>6047</v>
      </c>
      <c r="H1719" s="610" t="s">
        <v>6069</v>
      </c>
      <c r="I1719" s="715">
        <v>12200</v>
      </c>
      <c r="J1719" s="610">
        <v>0</v>
      </c>
      <c r="K1719" s="610">
        <v>25</v>
      </c>
      <c r="L1719" s="611">
        <f t="shared" si="701"/>
        <v>488</v>
      </c>
      <c r="M1719" s="612">
        <v>46223</v>
      </c>
      <c r="N1719" s="612">
        <v>46219</v>
      </c>
      <c r="O1719" s="613"/>
      <c r="P1719" s="610" t="s">
        <v>113</v>
      </c>
      <c r="Q1719" s="614">
        <v>46239</v>
      </c>
      <c r="R1719" s="614">
        <v>46091</v>
      </c>
      <c r="S1719" s="614" t="s">
        <v>70</v>
      </c>
      <c r="T1719" s="614" t="s">
        <v>9079</v>
      </c>
      <c r="U1719" s="614"/>
      <c r="V1719" s="614"/>
      <c r="W1719" s="605"/>
      <c r="X1719" s="609" t="s">
        <v>10209</v>
      </c>
      <c r="Y1719" s="616" t="s">
        <v>3785</v>
      </c>
      <c r="Z1719" s="609">
        <v>0.9313</v>
      </c>
      <c r="AA1719" s="616">
        <f t="shared" si="691"/>
        <v>11361.86</v>
      </c>
      <c r="AC1719" s="697"/>
      <c r="AD1719" s="610" t="s">
        <v>6047</v>
      </c>
      <c r="AE1719" s="610" t="s">
        <v>82</v>
      </c>
      <c r="AF1719" s="610"/>
      <c r="AG1719" s="610"/>
      <c r="AH1719" s="609"/>
      <c r="AI1719" s="609">
        <v>12200</v>
      </c>
      <c r="AJ1719" s="610">
        <f t="shared" si="702"/>
        <v>0</v>
      </c>
      <c r="AK1719" s="613"/>
      <c r="AL1719" s="610" t="s">
        <v>2368</v>
      </c>
      <c r="AM1719" s="610"/>
      <c r="AN1719" s="554"/>
      <c r="AO1719" s="554">
        <f>I1719</f>
        <v>12200</v>
      </c>
      <c r="AT1719" s="554">
        <f>I1719</f>
        <v>12200</v>
      </c>
      <c r="AV1719" s="554">
        <f>I1719</f>
        <v>12200</v>
      </c>
      <c r="AX1719" s="714"/>
      <c r="AY1719" s="554"/>
      <c r="AZ1719" s="554"/>
      <c r="BA1719" s="554"/>
      <c r="BB1719" s="620">
        <f t="shared" ref="BB1719:BB1728" si="703">I1719/24</f>
        <v>508.333333333333</v>
      </c>
      <c r="BP1719" s="554">
        <f>I1719/25</f>
        <v>488</v>
      </c>
      <c r="CA1719" s="720"/>
      <c r="CB1719" s="555"/>
      <c r="CC1719" s="721"/>
      <c r="CD1719" s="554"/>
      <c r="CE1719" s="554"/>
      <c r="CF1719" s="554"/>
      <c r="CG1719" s="554"/>
      <c r="CP1719" s="619"/>
      <c r="CQ1719" s="619"/>
      <c r="CR1719" s="619"/>
      <c r="CS1719" s="619"/>
      <c r="CT1719" s="619"/>
      <c r="CU1719" s="554">
        <f t="shared" si="677"/>
        <v>488</v>
      </c>
      <c r="CV1719" s="554">
        <f t="shared" si="699"/>
        <v>0</v>
      </c>
      <c r="CW1719" s="554">
        <f t="shared" si="700"/>
        <v>0</v>
      </c>
      <c r="CX1719" s="619"/>
      <c r="CY1719" s="619"/>
      <c r="CZ1719" s="619"/>
      <c r="DA1719" s="619"/>
      <c r="DB1719" s="619"/>
      <c r="DC1719" s="619"/>
      <c r="DD1719" s="619"/>
      <c r="DE1719" s="619"/>
      <c r="DF1719" s="619"/>
      <c r="DG1719" s="619"/>
      <c r="DH1719" s="619"/>
    </row>
    <row r="1720" s="554" customFormat="1" ht="31" customHeight="1" spans="1:112">
      <c r="A1720" s="608">
        <v>46091</v>
      </c>
      <c r="B1720" s="609" t="s">
        <v>729</v>
      </c>
      <c r="C1720" s="610" t="s">
        <v>278</v>
      </c>
      <c r="D1720" s="554">
        <v>4500195632</v>
      </c>
      <c r="E1720" s="610" t="s">
        <v>10210</v>
      </c>
      <c r="F1720" s="554" t="s">
        <v>10211</v>
      </c>
      <c r="G1720" s="610" t="s">
        <v>6047</v>
      </c>
      <c r="H1720" s="610" t="s">
        <v>6069</v>
      </c>
      <c r="I1720" s="715">
        <v>12200</v>
      </c>
      <c r="J1720" s="610">
        <v>0</v>
      </c>
      <c r="K1720" s="610">
        <v>25</v>
      </c>
      <c r="L1720" s="611">
        <f t="shared" si="701"/>
        <v>488</v>
      </c>
      <c r="M1720" s="612">
        <v>46223</v>
      </c>
      <c r="N1720" s="612">
        <v>46219</v>
      </c>
      <c r="O1720" s="613"/>
      <c r="P1720" s="610" t="s">
        <v>113</v>
      </c>
      <c r="Q1720" s="614"/>
      <c r="R1720" s="614">
        <v>46091</v>
      </c>
      <c r="S1720" s="614" t="s">
        <v>70</v>
      </c>
      <c r="T1720" s="614" t="s">
        <v>9079</v>
      </c>
      <c r="U1720" s="614"/>
      <c r="V1720" s="614"/>
      <c r="W1720" s="848"/>
      <c r="X1720" s="609" t="s">
        <v>10209</v>
      </c>
      <c r="Y1720" s="616" t="s">
        <v>3785</v>
      </c>
      <c r="Z1720" s="609">
        <v>0.9313</v>
      </c>
      <c r="AA1720" s="616">
        <f t="shared" si="691"/>
        <v>11361.86</v>
      </c>
      <c r="AC1720" s="697"/>
      <c r="AD1720" s="610" t="s">
        <v>6047</v>
      </c>
      <c r="AE1720" s="610" t="s">
        <v>82</v>
      </c>
      <c r="AF1720" s="610"/>
      <c r="AG1720" s="610"/>
      <c r="AH1720" s="609"/>
      <c r="AI1720" s="609">
        <v>12200</v>
      </c>
      <c r="AJ1720" s="610">
        <f t="shared" si="702"/>
        <v>0</v>
      </c>
      <c r="AK1720" s="613"/>
      <c r="AL1720" s="610" t="s">
        <v>2368</v>
      </c>
      <c r="AM1720" s="610"/>
      <c r="AN1720" s="554"/>
      <c r="AO1720" s="554">
        <f>I1720</f>
        <v>12200</v>
      </c>
      <c r="AT1720" s="554">
        <f>I1720</f>
        <v>12200</v>
      </c>
      <c r="AV1720" s="554">
        <f>I1720</f>
        <v>12200</v>
      </c>
      <c r="AX1720" s="714"/>
      <c r="AY1720" s="554"/>
      <c r="AZ1720" s="554"/>
      <c r="BA1720" s="554"/>
      <c r="BB1720" s="620">
        <f t="shared" si="703"/>
        <v>508.333333333333</v>
      </c>
      <c r="BP1720" s="554">
        <f>I1720/25</f>
        <v>488</v>
      </c>
      <c r="CA1720" s="720"/>
      <c r="CB1720" s="555"/>
      <c r="CC1720" s="721"/>
      <c r="CD1720" s="554"/>
      <c r="CE1720" s="554"/>
      <c r="CF1720" s="554"/>
      <c r="CG1720" s="554"/>
      <c r="CP1720" s="619"/>
      <c r="CQ1720" s="619"/>
      <c r="CR1720" s="619"/>
      <c r="CS1720" s="619"/>
      <c r="CT1720" s="619"/>
      <c r="CU1720" s="554">
        <f t="shared" ref="CU1720:CU1783" si="704">BQ1720+BP1720+BO1720+BN1720+BX1720+BR1720</f>
        <v>488</v>
      </c>
      <c r="CV1720" s="554">
        <f t="shared" si="699"/>
        <v>0</v>
      </c>
      <c r="CW1720" s="554">
        <f t="shared" si="700"/>
        <v>0</v>
      </c>
      <c r="CX1720" s="619"/>
      <c r="CY1720" s="619"/>
      <c r="CZ1720" s="619"/>
      <c r="DA1720" s="619"/>
      <c r="DB1720" s="619"/>
      <c r="DC1720" s="619"/>
      <c r="DD1720" s="619"/>
      <c r="DE1720" s="619"/>
      <c r="DF1720" s="619"/>
      <c r="DG1720" s="619"/>
      <c r="DH1720" s="619"/>
    </row>
    <row r="1721" s="554" customFormat="1" ht="31" customHeight="1" spans="1:112">
      <c r="A1721" s="608">
        <v>46153</v>
      </c>
      <c r="B1721" s="609" t="s">
        <v>398</v>
      </c>
      <c r="C1721" s="610" t="s">
        <v>399</v>
      </c>
      <c r="D1721" s="727">
        <v>4500206343</v>
      </c>
      <c r="E1721" s="610" t="s">
        <v>3846</v>
      </c>
      <c r="F1721" s="554" t="s">
        <v>10212</v>
      </c>
      <c r="G1721" s="610" t="s">
        <v>6043</v>
      </c>
      <c r="H1721" s="610" t="s">
        <v>6110</v>
      </c>
      <c r="I1721" s="715">
        <v>6000</v>
      </c>
      <c r="J1721" s="610">
        <v>0</v>
      </c>
      <c r="K1721" s="610">
        <v>50</v>
      </c>
      <c r="L1721" s="611">
        <f t="shared" si="701"/>
        <v>120</v>
      </c>
      <c r="M1721" s="612">
        <v>46223</v>
      </c>
      <c r="N1721" s="612">
        <v>46219</v>
      </c>
      <c r="O1721" s="613"/>
      <c r="P1721" s="610" t="s">
        <v>113</v>
      </c>
      <c r="Q1721" s="614"/>
      <c r="R1721" s="614">
        <v>46175</v>
      </c>
      <c r="S1721" s="614" t="s">
        <v>70</v>
      </c>
      <c r="T1721" s="614" t="s">
        <v>10213</v>
      </c>
      <c r="U1721" s="614"/>
      <c r="V1721" s="614"/>
      <c r="W1721" s="614" t="s">
        <v>10214</v>
      </c>
      <c r="X1721" s="609" t="s">
        <v>10215</v>
      </c>
      <c r="Y1721" s="616" t="s">
        <v>445</v>
      </c>
      <c r="Z1721" s="609">
        <v>0.9696</v>
      </c>
      <c r="AA1721" s="616">
        <f t="shared" si="691"/>
        <v>5817.6</v>
      </c>
      <c r="AC1721" s="697"/>
      <c r="AD1721" s="609" t="s">
        <v>6043</v>
      </c>
      <c r="AE1721" s="610" t="s">
        <v>82</v>
      </c>
      <c r="AF1721" s="610"/>
      <c r="AG1721" s="610"/>
      <c r="AH1721" s="609"/>
      <c r="AI1721" s="609">
        <v>6000</v>
      </c>
      <c r="AJ1721" s="610">
        <f t="shared" si="702"/>
        <v>0</v>
      </c>
      <c r="AK1721" s="613"/>
      <c r="AL1721" s="610" t="s">
        <v>2368</v>
      </c>
      <c r="AM1721" s="610"/>
      <c r="AN1721" s="554"/>
      <c r="AO1721" s="554">
        <f>I1721</f>
        <v>6000</v>
      </c>
      <c r="AR1721" s="619"/>
      <c r="AS1721" s="554"/>
      <c r="AT1721" s="554">
        <f>I1721</f>
        <v>6000</v>
      </c>
      <c r="AV1721" s="554">
        <f>I1721</f>
        <v>6000</v>
      </c>
      <c r="AX1721" s="714"/>
      <c r="AY1721" s="554"/>
      <c r="AZ1721" s="554"/>
      <c r="BA1721" s="554"/>
      <c r="BB1721" s="620">
        <f t="shared" si="703"/>
        <v>250</v>
      </c>
      <c r="BP1721" s="554">
        <f>I1721/25</f>
        <v>240</v>
      </c>
      <c r="CA1721" s="720"/>
      <c r="CB1721" s="555"/>
      <c r="CC1721" s="721"/>
      <c r="CD1721" s="554"/>
      <c r="CE1721" s="554"/>
      <c r="CF1721" s="554"/>
      <c r="CG1721" s="554"/>
      <c r="CP1721" s="619"/>
      <c r="CQ1721" s="619"/>
      <c r="CR1721" s="554"/>
      <c r="CS1721" s="554"/>
      <c r="CT1721" s="554"/>
      <c r="CU1721" s="554">
        <f t="shared" si="704"/>
        <v>240</v>
      </c>
      <c r="CV1721" s="554">
        <f t="shared" si="699"/>
        <v>0</v>
      </c>
      <c r="CW1721" s="554">
        <f t="shared" si="700"/>
        <v>0</v>
      </c>
      <c r="CX1721" s="619"/>
      <c r="CY1721" s="619"/>
      <c r="CZ1721" s="619"/>
      <c r="DA1721" s="619"/>
      <c r="DB1721" s="619"/>
      <c r="DC1721" s="619"/>
      <c r="DD1721" s="619"/>
      <c r="DE1721" s="619"/>
      <c r="DF1721" s="619"/>
      <c r="DG1721" s="619"/>
      <c r="DH1721" s="619"/>
    </row>
    <row r="1722" s="554" customFormat="1" ht="31" customHeight="1" spans="1:112">
      <c r="A1722" s="608">
        <v>46139</v>
      </c>
      <c r="B1722" s="609" t="s">
        <v>4807</v>
      </c>
      <c r="C1722" s="610" t="s">
        <v>302</v>
      </c>
      <c r="D1722" s="727">
        <v>4500203754</v>
      </c>
      <c r="E1722" s="613">
        <v>200260287</v>
      </c>
      <c r="F1722" s="554" t="s">
        <v>10216</v>
      </c>
      <c r="G1722" s="610" t="s">
        <v>6043</v>
      </c>
      <c r="H1722" s="610" t="s">
        <v>6110</v>
      </c>
      <c r="I1722" s="715">
        <v>200</v>
      </c>
      <c r="J1722" s="610">
        <v>0</v>
      </c>
      <c r="K1722" s="610">
        <v>50</v>
      </c>
      <c r="L1722" s="611">
        <f t="shared" si="701"/>
        <v>4</v>
      </c>
      <c r="M1722" s="612">
        <v>46223</v>
      </c>
      <c r="N1722" s="612">
        <v>46219</v>
      </c>
      <c r="O1722" s="613"/>
      <c r="P1722" s="610" t="s">
        <v>113</v>
      </c>
      <c r="Q1722" s="614">
        <v>46231</v>
      </c>
      <c r="R1722" s="614">
        <v>46142</v>
      </c>
      <c r="S1722" s="614" t="s">
        <v>70</v>
      </c>
      <c r="T1722" s="614" t="s">
        <v>10217</v>
      </c>
      <c r="U1722" s="614"/>
      <c r="V1722" s="614"/>
      <c r="W1722" s="605"/>
      <c r="X1722" s="609" t="s">
        <v>10218</v>
      </c>
      <c r="Y1722" s="616" t="s">
        <v>261</v>
      </c>
      <c r="Z1722" s="609">
        <v>0.9628</v>
      </c>
      <c r="AA1722" s="616">
        <f t="shared" si="691"/>
        <v>192.56</v>
      </c>
      <c r="AC1722" s="697"/>
      <c r="AD1722" s="610" t="s">
        <v>6043</v>
      </c>
      <c r="AE1722" s="610" t="s">
        <v>82</v>
      </c>
      <c r="AF1722" s="610"/>
      <c r="AG1722" s="610"/>
      <c r="AH1722" s="609"/>
      <c r="AI1722" s="609">
        <v>200</v>
      </c>
      <c r="AJ1722" s="610">
        <f t="shared" si="702"/>
        <v>0</v>
      </c>
      <c r="AK1722" s="613"/>
      <c r="AL1722" s="610" t="s">
        <v>2368</v>
      </c>
      <c r="AM1722" s="610"/>
      <c r="AN1722" s="554"/>
      <c r="AO1722" s="554">
        <f>I1722</f>
        <v>200</v>
      </c>
      <c r="AR1722" s="619"/>
      <c r="AS1722" s="554"/>
      <c r="AT1722" s="554">
        <f>I1722</f>
        <v>200</v>
      </c>
      <c r="AV1722" s="554">
        <f>I1722</f>
        <v>200</v>
      </c>
      <c r="AX1722" s="714"/>
      <c r="AY1722" s="554"/>
      <c r="AZ1722" s="554"/>
      <c r="BA1722" s="554"/>
      <c r="BB1722" s="620">
        <f t="shared" si="703"/>
        <v>8.33333333333333</v>
      </c>
      <c r="BP1722" s="554">
        <f>I1722/25</f>
        <v>8</v>
      </c>
      <c r="CA1722" s="720"/>
      <c r="CB1722" s="555"/>
      <c r="CC1722" s="721"/>
      <c r="CD1722" s="554"/>
      <c r="CE1722" s="554"/>
      <c r="CF1722" s="554"/>
      <c r="CG1722" s="554"/>
      <c r="CP1722" s="619"/>
      <c r="CQ1722" s="619"/>
      <c r="CR1722" s="554"/>
      <c r="CS1722" s="554"/>
      <c r="CT1722" s="554"/>
      <c r="CU1722" s="554">
        <f t="shared" si="704"/>
        <v>8</v>
      </c>
      <c r="CV1722" s="554">
        <f t="shared" si="699"/>
        <v>0</v>
      </c>
      <c r="CW1722" s="554">
        <f t="shared" si="700"/>
        <v>0</v>
      </c>
      <c r="CX1722" s="619"/>
      <c r="CY1722" s="619"/>
      <c r="CZ1722" s="619"/>
      <c r="DA1722" s="619"/>
      <c r="DB1722" s="619"/>
      <c r="DC1722" s="619"/>
      <c r="DD1722" s="619"/>
      <c r="DE1722" s="619"/>
      <c r="DF1722" s="619"/>
      <c r="DG1722" s="619"/>
      <c r="DH1722" s="619"/>
    </row>
    <row r="1723" s="550" customFormat="1" ht="31" customHeight="1" spans="1:112">
      <c r="A1723" s="608">
        <v>46174</v>
      </c>
      <c r="B1723" s="609" t="s">
        <v>1031</v>
      </c>
      <c r="C1723" s="610" t="s">
        <v>399</v>
      </c>
      <c r="D1723" s="554">
        <v>4500209512</v>
      </c>
      <c r="E1723" s="731"/>
      <c r="F1723" s="729" t="s">
        <v>10219</v>
      </c>
      <c r="G1723" s="610" t="s">
        <v>6223</v>
      </c>
      <c r="H1723" s="610" t="s">
        <v>6080</v>
      </c>
      <c r="I1723" s="715">
        <v>720</v>
      </c>
      <c r="J1723" s="610">
        <v>0</v>
      </c>
      <c r="K1723" s="843">
        <v>30</v>
      </c>
      <c r="L1723" s="844">
        <f t="shared" si="701"/>
        <v>24</v>
      </c>
      <c r="M1723" s="845">
        <v>46223</v>
      </c>
      <c r="N1723" s="612">
        <v>46219</v>
      </c>
      <c r="O1723" s="613"/>
      <c r="P1723" s="610" t="s">
        <v>113</v>
      </c>
      <c r="Q1723" s="614"/>
      <c r="R1723" s="614">
        <v>46190</v>
      </c>
      <c r="S1723" s="614" t="s">
        <v>70</v>
      </c>
      <c r="T1723" s="614" t="s">
        <v>10220</v>
      </c>
      <c r="U1723" s="614"/>
      <c r="V1723" s="614"/>
      <c r="W1723" s="573"/>
      <c r="X1723" s="609" t="s">
        <v>10221</v>
      </c>
      <c r="Y1723" s="616" t="s">
        <v>445</v>
      </c>
      <c r="Z1723" s="609">
        <v>44.0608</v>
      </c>
      <c r="AA1723" s="616">
        <f t="shared" si="691"/>
        <v>31723.776</v>
      </c>
      <c r="AC1723" s="697"/>
      <c r="AD1723" s="610" t="s">
        <v>6223</v>
      </c>
      <c r="AE1723" s="610" t="s">
        <v>82</v>
      </c>
      <c r="AF1723" s="610"/>
      <c r="AG1723" s="610"/>
      <c r="AH1723" s="609"/>
      <c r="AI1723" s="609">
        <v>720</v>
      </c>
      <c r="AJ1723" s="610">
        <f t="shared" si="702"/>
        <v>0</v>
      </c>
      <c r="AK1723" s="613"/>
      <c r="AL1723" s="610"/>
      <c r="AM1723" s="610"/>
      <c r="AN1723" s="610"/>
      <c r="AO1723" s="554">
        <f>I1723</f>
        <v>720</v>
      </c>
      <c r="AP1723" s="554"/>
      <c r="AQ1723" s="554"/>
      <c r="AR1723" s="619"/>
      <c r="AS1723" s="554"/>
      <c r="AT1723" s="554">
        <f>I1723</f>
        <v>720</v>
      </c>
      <c r="AU1723" s="554"/>
      <c r="AV1723" s="554">
        <f>I1723</f>
        <v>720</v>
      </c>
      <c r="AW1723" s="554"/>
      <c r="AX1723" s="714"/>
      <c r="AY1723" s="554"/>
      <c r="AZ1723" s="554"/>
      <c r="BA1723" s="554"/>
      <c r="BB1723" s="620">
        <f t="shared" si="703"/>
        <v>30</v>
      </c>
      <c r="BC1723" s="554"/>
      <c r="BD1723" s="554"/>
      <c r="BE1723" s="554"/>
      <c r="BF1723" s="554"/>
      <c r="BG1723" s="550"/>
      <c r="BH1723" s="554"/>
      <c r="BI1723" s="554"/>
      <c r="BJ1723" s="554"/>
      <c r="BK1723" s="554"/>
      <c r="BL1723" s="554"/>
      <c r="BM1723" s="554"/>
      <c r="BN1723" s="554"/>
      <c r="BO1723" s="554"/>
      <c r="BP1723" s="554"/>
      <c r="BQ1723" s="554"/>
      <c r="BR1723" s="554"/>
      <c r="BS1723" s="554"/>
      <c r="BT1723" s="554"/>
      <c r="BU1723" s="554"/>
      <c r="BV1723" s="554"/>
      <c r="BW1723" s="554"/>
      <c r="BX1723" s="554"/>
      <c r="BY1723" s="554"/>
      <c r="BZ1723" s="554"/>
      <c r="CA1723" s="720"/>
      <c r="CB1723" s="555"/>
      <c r="CC1723" s="721"/>
      <c r="CD1723" s="554"/>
      <c r="CE1723" s="554"/>
      <c r="CF1723" s="554"/>
      <c r="CG1723" s="554"/>
      <c r="CH1723" s="550"/>
      <c r="CI1723" s="554"/>
      <c r="CJ1723" s="554"/>
      <c r="CK1723" s="554"/>
      <c r="CL1723" s="554"/>
      <c r="CM1723" s="554"/>
      <c r="CN1723" s="554"/>
      <c r="CO1723" s="554"/>
      <c r="CP1723" s="554">
        <f>I1723/30</f>
        <v>24</v>
      </c>
      <c r="CQ1723" s="619"/>
      <c r="CR1723" s="554"/>
      <c r="CS1723" s="554"/>
      <c r="CT1723" s="554"/>
      <c r="CU1723" s="554">
        <f t="shared" si="704"/>
        <v>0</v>
      </c>
      <c r="CV1723" s="554">
        <f t="shared" si="699"/>
        <v>24</v>
      </c>
      <c r="CW1723" s="554">
        <f t="shared" si="700"/>
        <v>0</v>
      </c>
      <c r="CX1723" s="619"/>
      <c r="CY1723" s="619"/>
      <c r="CZ1723" s="619"/>
      <c r="DA1723" s="619"/>
      <c r="DB1723" s="619"/>
      <c r="DC1723" s="619"/>
      <c r="DD1723" s="619"/>
      <c r="DE1723" s="619"/>
      <c r="DF1723" s="619"/>
      <c r="DG1723" s="619"/>
      <c r="DH1723" s="619"/>
    </row>
    <row r="1724" s="550" customFormat="1" ht="31" customHeight="1" spans="1:112">
      <c r="A1724" s="608">
        <v>46176</v>
      </c>
      <c r="B1724" s="609" t="s">
        <v>871</v>
      </c>
      <c r="C1724" s="610" t="s">
        <v>98</v>
      </c>
      <c r="D1724" s="727">
        <v>4500210450</v>
      </c>
      <c r="E1724" s="723">
        <v>45162778</v>
      </c>
      <c r="F1724" s="729" t="s">
        <v>10222</v>
      </c>
      <c r="G1724" s="610" t="s">
        <v>6084</v>
      </c>
      <c r="H1724" s="610" t="s">
        <v>6069</v>
      </c>
      <c r="I1724" s="715">
        <v>3200</v>
      </c>
      <c r="J1724" s="610">
        <v>0</v>
      </c>
      <c r="K1724" s="843">
        <v>25</v>
      </c>
      <c r="L1724" s="844">
        <f t="shared" si="701"/>
        <v>128</v>
      </c>
      <c r="M1724" s="845">
        <v>46223</v>
      </c>
      <c r="N1724" s="612">
        <v>46219</v>
      </c>
      <c r="O1724" s="613"/>
      <c r="P1724" s="610" t="s">
        <v>113</v>
      </c>
      <c r="Q1724" s="614">
        <v>46227</v>
      </c>
      <c r="R1724" s="614">
        <v>46176</v>
      </c>
      <c r="S1724" s="614" t="s">
        <v>70</v>
      </c>
      <c r="T1724" s="614" t="s">
        <v>70</v>
      </c>
      <c r="U1724" s="614"/>
      <c r="V1724" s="614" t="s">
        <v>10223</v>
      </c>
      <c r="W1724" s="573"/>
      <c r="X1724" s="609" t="s">
        <v>4671</v>
      </c>
      <c r="Y1724" s="616" t="s">
        <v>355</v>
      </c>
      <c r="Z1724" s="609">
        <v>0.6064</v>
      </c>
      <c r="AA1724" s="616">
        <f t="shared" si="691"/>
        <v>1940.48</v>
      </c>
      <c r="AC1724" s="678" t="s">
        <v>10224</v>
      </c>
      <c r="AD1724" s="610" t="s">
        <v>6084</v>
      </c>
      <c r="AE1724" s="610" t="s">
        <v>82</v>
      </c>
      <c r="AF1724" s="610"/>
      <c r="AG1724" s="610"/>
      <c r="AH1724" s="609"/>
      <c r="AI1724" s="609">
        <v>3200</v>
      </c>
      <c r="AJ1724" s="610">
        <f t="shared" si="702"/>
        <v>0</v>
      </c>
      <c r="AK1724" s="613"/>
      <c r="AL1724" s="610"/>
      <c r="AM1724" s="610"/>
      <c r="AN1724" s="610">
        <f>I1724</f>
        <v>3200</v>
      </c>
      <c r="AO1724" s="554"/>
      <c r="AP1724" s="554">
        <f>I1724</f>
        <v>3200</v>
      </c>
      <c r="AQ1724" s="554"/>
      <c r="AR1724" s="619"/>
      <c r="AS1724" s="554"/>
      <c r="AT1724" s="554"/>
      <c r="AU1724" s="554">
        <f>I1724</f>
        <v>3200</v>
      </c>
      <c r="AV1724" s="554"/>
      <c r="AW1724" s="554"/>
      <c r="AX1724" s="714"/>
      <c r="AY1724" s="554"/>
      <c r="AZ1724" s="554"/>
      <c r="BA1724" s="554"/>
      <c r="BB1724" s="620">
        <f t="shared" si="703"/>
        <v>133.333333333333</v>
      </c>
      <c r="BC1724" s="554"/>
      <c r="BD1724" s="554"/>
      <c r="BE1724" s="554"/>
      <c r="BF1724" s="720"/>
      <c r="BG1724" s="555"/>
      <c r="BH1724" s="721"/>
      <c r="BI1724" s="554"/>
      <c r="BJ1724" s="554"/>
      <c r="BK1724" s="554"/>
      <c r="BL1724" s="554"/>
      <c r="BM1724" s="554"/>
      <c r="BN1724" s="554">
        <f>I1724/25</f>
        <v>128</v>
      </c>
      <c r="BO1724" s="554"/>
      <c r="BP1724" s="554"/>
      <c r="BQ1724" s="554"/>
      <c r="BR1724" s="554"/>
      <c r="BS1724" s="554"/>
      <c r="BT1724" s="554"/>
      <c r="BU1724" s="554"/>
      <c r="BV1724" s="554"/>
      <c r="BW1724" s="554"/>
      <c r="BX1724" s="554"/>
      <c r="BY1724" s="554"/>
      <c r="BZ1724" s="554"/>
      <c r="CA1724" s="720"/>
      <c r="CB1724" s="555"/>
      <c r="CC1724" s="721"/>
      <c r="CD1724" s="554"/>
      <c r="CE1724" s="554"/>
      <c r="CF1724" s="554"/>
      <c r="CG1724" s="720"/>
      <c r="CH1724" s="555"/>
      <c r="CI1724" s="721"/>
      <c r="CJ1724" s="554"/>
      <c r="CK1724" s="554"/>
      <c r="CL1724" s="554"/>
      <c r="CM1724" s="554"/>
      <c r="CN1724" s="554"/>
      <c r="CO1724" s="554"/>
      <c r="CP1724" s="619"/>
      <c r="CQ1724" s="619"/>
      <c r="CR1724" s="554"/>
      <c r="CS1724" s="554"/>
      <c r="CT1724" s="554"/>
      <c r="CU1724" s="554">
        <f t="shared" si="704"/>
        <v>128</v>
      </c>
      <c r="CV1724" s="554">
        <f t="shared" si="699"/>
        <v>0</v>
      </c>
      <c r="CW1724" s="554">
        <f t="shared" si="700"/>
        <v>0</v>
      </c>
      <c r="CX1724" s="619"/>
      <c r="CY1724" s="619"/>
      <c r="CZ1724" s="619"/>
      <c r="DA1724" s="619"/>
      <c r="DB1724" s="619"/>
      <c r="DC1724" s="619"/>
      <c r="DD1724" s="619"/>
      <c r="DE1724" s="619"/>
      <c r="DF1724" s="619"/>
      <c r="DG1724" s="619"/>
      <c r="DH1724" s="619"/>
    </row>
    <row r="1725" s="550" customFormat="1" ht="31" customHeight="1" spans="1:112">
      <c r="A1725" s="608">
        <v>46181</v>
      </c>
      <c r="B1725" s="609" t="s">
        <v>205</v>
      </c>
      <c r="C1725" s="610" t="s">
        <v>98</v>
      </c>
      <c r="D1725" s="727">
        <v>4500211139</v>
      </c>
      <c r="E1725" s="613">
        <v>219372954</v>
      </c>
      <c r="F1725" s="554" t="s">
        <v>10225</v>
      </c>
      <c r="G1725" s="610" t="s">
        <v>6166</v>
      </c>
      <c r="H1725" s="610" t="s">
        <v>6094</v>
      </c>
      <c r="I1725" s="715">
        <v>9750</v>
      </c>
      <c r="J1725" s="610">
        <v>0</v>
      </c>
      <c r="K1725" s="843">
        <v>13</v>
      </c>
      <c r="L1725" s="844">
        <f t="shared" si="701"/>
        <v>750</v>
      </c>
      <c r="M1725" s="845">
        <v>46223</v>
      </c>
      <c r="N1725" s="612">
        <v>46219</v>
      </c>
      <c r="O1725" s="613"/>
      <c r="P1725" s="610" t="s">
        <v>113</v>
      </c>
      <c r="Q1725" s="614">
        <v>46227</v>
      </c>
      <c r="R1725" s="614">
        <v>46184</v>
      </c>
      <c r="S1725" s="614" t="s">
        <v>70</v>
      </c>
      <c r="T1725" s="614" t="s">
        <v>70</v>
      </c>
      <c r="U1725" s="614"/>
      <c r="V1725" s="614"/>
      <c r="W1725" s="573"/>
      <c r="X1725" s="609" t="s">
        <v>4885</v>
      </c>
      <c r="Y1725" s="616" t="s">
        <v>2003</v>
      </c>
      <c r="Z1725" s="609">
        <v>0.5594</v>
      </c>
      <c r="AA1725" s="616">
        <f t="shared" si="691"/>
        <v>5454.15</v>
      </c>
      <c r="AC1725" s="678" t="s">
        <v>4886</v>
      </c>
      <c r="AD1725" s="610" t="s">
        <v>6257</v>
      </c>
      <c r="AE1725" s="610" t="s">
        <v>82</v>
      </c>
      <c r="AF1725" s="610"/>
      <c r="AG1725" s="610"/>
      <c r="AH1725" s="609"/>
      <c r="AI1725" s="609">
        <v>9750</v>
      </c>
      <c r="AJ1725" s="610">
        <f t="shared" si="702"/>
        <v>0</v>
      </c>
      <c r="AK1725" s="613"/>
      <c r="AL1725" s="610"/>
      <c r="AM1725" s="610"/>
      <c r="AN1725" s="610">
        <f>I1725</f>
        <v>9750</v>
      </c>
      <c r="AO1725" s="554"/>
      <c r="AP1725" s="554">
        <f>I1725</f>
        <v>9750</v>
      </c>
      <c r="AQ1725" s="554"/>
      <c r="AR1725" s="619"/>
      <c r="AS1725" s="554"/>
      <c r="AT1725" s="554"/>
      <c r="AU1725" s="554">
        <f>I1725</f>
        <v>9750</v>
      </c>
      <c r="AV1725" s="554"/>
      <c r="AW1725" s="554"/>
      <c r="AX1725" s="714"/>
      <c r="AY1725" s="554"/>
      <c r="AZ1725" s="554"/>
      <c r="BA1725" s="554"/>
      <c r="BB1725" s="620">
        <f t="shared" si="703"/>
        <v>406.25</v>
      </c>
      <c r="BC1725" s="554"/>
      <c r="BD1725" s="554"/>
      <c r="BE1725" s="554"/>
      <c r="BF1725" s="720"/>
      <c r="BG1725" s="555"/>
      <c r="BH1725" s="721"/>
      <c r="BI1725" s="554"/>
      <c r="BJ1725" s="554"/>
      <c r="BK1725" s="554">
        <f>I1725/13</f>
        <v>750</v>
      </c>
      <c r="BL1725" s="554"/>
      <c r="BM1725" s="554"/>
      <c r="BN1725" s="554"/>
      <c r="BO1725" s="554"/>
      <c r="BP1725" s="554"/>
      <c r="BQ1725" s="554"/>
      <c r="BR1725" s="554"/>
      <c r="BS1725" s="554"/>
      <c r="BT1725" s="554"/>
      <c r="BU1725" s="554"/>
      <c r="BV1725" s="554"/>
      <c r="BW1725" s="554"/>
      <c r="BX1725" s="554"/>
      <c r="BY1725" s="554"/>
      <c r="BZ1725" s="554"/>
      <c r="CA1725" s="720"/>
      <c r="CB1725" s="555"/>
      <c r="CC1725" s="721"/>
      <c r="CD1725" s="554"/>
      <c r="CE1725" s="554"/>
      <c r="CF1725" s="554"/>
      <c r="CG1725" s="720"/>
      <c r="CH1725" s="555"/>
      <c r="CI1725" s="721"/>
      <c r="CJ1725" s="554"/>
      <c r="CK1725" s="554"/>
      <c r="CL1725" s="554"/>
      <c r="CM1725" s="554"/>
      <c r="CN1725" s="554"/>
      <c r="CO1725" s="554"/>
      <c r="CP1725" s="619"/>
      <c r="CQ1725" s="619"/>
      <c r="CR1725" s="554"/>
      <c r="CS1725" s="554"/>
      <c r="CT1725" s="554"/>
      <c r="CU1725" s="554">
        <f t="shared" si="704"/>
        <v>0</v>
      </c>
      <c r="CV1725" s="554">
        <f t="shared" si="699"/>
        <v>0</v>
      </c>
      <c r="CW1725" s="554">
        <f t="shared" si="700"/>
        <v>0</v>
      </c>
      <c r="CX1725" s="619"/>
      <c r="CY1725" s="619"/>
      <c r="CZ1725" s="619"/>
      <c r="DA1725" s="619"/>
      <c r="DB1725" s="619"/>
      <c r="DC1725" s="619"/>
      <c r="DD1725" s="619"/>
      <c r="DE1725" s="619"/>
      <c r="DF1725" s="619"/>
      <c r="DG1725" s="619"/>
      <c r="DH1725" s="619"/>
    </row>
    <row r="1726" s="550" customFormat="1" ht="31" customHeight="1" spans="1:112">
      <c r="A1726" s="608">
        <v>46181</v>
      </c>
      <c r="B1726" s="609" t="s">
        <v>205</v>
      </c>
      <c r="C1726" s="610" t="s">
        <v>98</v>
      </c>
      <c r="D1726" s="727">
        <v>4500211139</v>
      </c>
      <c r="E1726" s="613">
        <v>219372955</v>
      </c>
      <c r="F1726" s="554" t="s">
        <v>10226</v>
      </c>
      <c r="G1726" s="610" t="s">
        <v>6166</v>
      </c>
      <c r="H1726" s="610" t="s">
        <v>6094</v>
      </c>
      <c r="I1726" s="715">
        <v>5252</v>
      </c>
      <c r="J1726" s="610">
        <v>0</v>
      </c>
      <c r="K1726" s="843">
        <v>13</v>
      </c>
      <c r="L1726" s="844">
        <f t="shared" si="701"/>
        <v>404</v>
      </c>
      <c r="M1726" s="845">
        <v>46223</v>
      </c>
      <c r="N1726" s="612">
        <v>46219</v>
      </c>
      <c r="O1726" s="613"/>
      <c r="P1726" s="610" t="s">
        <v>113</v>
      </c>
      <c r="Q1726" s="614">
        <v>46227</v>
      </c>
      <c r="R1726" s="614">
        <v>46184</v>
      </c>
      <c r="S1726" s="614" t="s">
        <v>70</v>
      </c>
      <c r="T1726" s="614" t="s">
        <v>70</v>
      </c>
      <c r="U1726" s="614"/>
      <c r="V1726" s="614"/>
      <c r="W1726" s="573"/>
      <c r="X1726" s="609" t="s">
        <v>4885</v>
      </c>
      <c r="Y1726" s="616" t="s">
        <v>2003</v>
      </c>
      <c r="Z1726" s="609">
        <v>0.5698</v>
      </c>
      <c r="AA1726" s="616">
        <f t="shared" si="691"/>
        <v>2992.5896</v>
      </c>
      <c r="AC1726" s="678" t="s">
        <v>4888</v>
      </c>
      <c r="AD1726" s="610" t="s">
        <v>6257</v>
      </c>
      <c r="AE1726" s="610" t="s">
        <v>82</v>
      </c>
      <c r="AF1726" s="610"/>
      <c r="AG1726" s="610"/>
      <c r="AH1726" s="609"/>
      <c r="AI1726" s="609">
        <v>5252</v>
      </c>
      <c r="AJ1726" s="610">
        <f t="shared" si="702"/>
        <v>0</v>
      </c>
      <c r="AK1726" s="613"/>
      <c r="AL1726" s="610"/>
      <c r="AM1726" s="610"/>
      <c r="AN1726" s="610">
        <f>I1726</f>
        <v>5252</v>
      </c>
      <c r="AO1726" s="554"/>
      <c r="AP1726" s="554">
        <f>I1726</f>
        <v>5252</v>
      </c>
      <c r="AQ1726" s="554"/>
      <c r="AR1726" s="619"/>
      <c r="AS1726" s="554"/>
      <c r="AT1726" s="554"/>
      <c r="AU1726" s="554">
        <f>I1726</f>
        <v>5252</v>
      </c>
      <c r="AV1726" s="554"/>
      <c r="AW1726" s="554"/>
      <c r="AX1726" s="714"/>
      <c r="AY1726" s="554"/>
      <c r="AZ1726" s="554"/>
      <c r="BA1726" s="554"/>
      <c r="BB1726" s="620">
        <f t="shared" si="703"/>
        <v>218.833333333333</v>
      </c>
      <c r="BC1726" s="554"/>
      <c r="BD1726" s="554"/>
      <c r="BE1726" s="554"/>
      <c r="BF1726" s="720"/>
      <c r="BG1726" s="555"/>
      <c r="BH1726" s="721"/>
      <c r="BI1726" s="554"/>
      <c r="BJ1726" s="554"/>
      <c r="BK1726" s="554">
        <f>I1726/13</f>
        <v>404</v>
      </c>
      <c r="BL1726" s="554"/>
      <c r="BM1726" s="554"/>
      <c r="BN1726" s="554"/>
      <c r="BO1726" s="554"/>
      <c r="BP1726" s="554"/>
      <c r="BQ1726" s="554"/>
      <c r="BR1726" s="554"/>
      <c r="BS1726" s="554"/>
      <c r="BT1726" s="554"/>
      <c r="BU1726" s="554"/>
      <c r="BV1726" s="554"/>
      <c r="BW1726" s="554"/>
      <c r="BX1726" s="554"/>
      <c r="BY1726" s="554"/>
      <c r="BZ1726" s="554"/>
      <c r="CA1726" s="720"/>
      <c r="CB1726" s="555"/>
      <c r="CC1726" s="721"/>
      <c r="CD1726" s="554"/>
      <c r="CE1726" s="554"/>
      <c r="CF1726" s="554"/>
      <c r="CG1726" s="720"/>
      <c r="CH1726" s="555"/>
      <c r="CI1726" s="721"/>
      <c r="CJ1726" s="554"/>
      <c r="CK1726" s="554"/>
      <c r="CL1726" s="554"/>
      <c r="CM1726" s="554"/>
      <c r="CN1726" s="554"/>
      <c r="CO1726" s="554"/>
      <c r="CP1726" s="619"/>
      <c r="CQ1726" s="619"/>
      <c r="CR1726" s="554"/>
      <c r="CS1726" s="554"/>
      <c r="CT1726" s="554"/>
      <c r="CU1726" s="554">
        <f t="shared" si="704"/>
        <v>0</v>
      </c>
      <c r="CV1726" s="554">
        <f t="shared" si="699"/>
        <v>0</v>
      </c>
      <c r="CW1726" s="554">
        <f t="shared" si="700"/>
        <v>0</v>
      </c>
      <c r="CX1726" s="619"/>
      <c r="CY1726" s="619"/>
      <c r="CZ1726" s="619"/>
      <c r="DA1726" s="619"/>
      <c r="DB1726" s="619"/>
      <c r="DC1726" s="619"/>
      <c r="DD1726" s="619"/>
      <c r="DE1726" s="619"/>
      <c r="DF1726" s="619"/>
      <c r="DG1726" s="619"/>
      <c r="DH1726" s="619"/>
    </row>
    <row r="1727" s="550" customFormat="1" ht="31" customHeight="1" spans="1:112">
      <c r="A1727" s="608">
        <v>46175</v>
      </c>
      <c r="B1727" s="609" t="s">
        <v>786</v>
      </c>
      <c r="C1727" s="610" t="s">
        <v>411</v>
      </c>
      <c r="D1727" s="554">
        <v>4500210361</v>
      </c>
      <c r="E1727" s="731"/>
      <c r="F1727" s="729" t="s">
        <v>10227</v>
      </c>
      <c r="G1727" s="610" t="s">
        <v>6043</v>
      </c>
      <c r="H1727" s="610" t="s">
        <v>6110</v>
      </c>
      <c r="I1727" s="715">
        <v>2400</v>
      </c>
      <c r="J1727" s="610">
        <v>0</v>
      </c>
      <c r="K1727" s="843">
        <v>50</v>
      </c>
      <c r="L1727" s="844">
        <f t="shared" si="701"/>
        <v>48</v>
      </c>
      <c r="M1727" s="845">
        <v>46224</v>
      </c>
      <c r="N1727" s="612">
        <v>46220</v>
      </c>
      <c r="O1727" s="613"/>
      <c r="P1727" s="610" t="s">
        <v>113</v>
      </c>
      <c r="Q1727" s="614"/>
      <c r="R1727" s="614">
        <v>46190</v>
      </c>
      <c r="S1727" s="614" t="s">
        <v>70</v>
      </c>
      <c r="T1727" s="614" t="s">
        <v>4928</v>
      </c>
      <c r="U1727" s="614"/>
      <c r="V1727" s="614"/>
      <c r="W1727" s="573"/>
      <c r="X1727" s="609" t="s">
        <v>10228</v>
      </c>
      <c r="Y1727" s="616" t="s">
        <v>305</v>
      </c>
      <c r="Z1727" s="609">
        <v>0.9998</v>
      </c>
      <c r="AA1727" s="616">
        <f t="shared" si="691"/>
        <v>2399.52</v>
      </c>
      <c r="AC1727" s="697"/>
      <c r="AD1727" s="610" t="s">
        <v>6043</v>
      </c>
      <c r="AE1727" s="610" t="s">
        <v>82</v>
      </c>
      <c r="AF1727" s="610"/>
      <c r="AG1727" s="610"/>
      <c r="AH1727" s="609"/>
      <c r="AI1727" s="609">
        <v>2400</v>
      </c>
      <c r="AJ1727" s="610">
        <f t="shared" si="702"/>
        <v>0</v>
      </c>
      <c r="AK1727" s="613"/>
      <c r="AL1727" s="610" t="s">
        <v>2368</v>
      </c>
      <c r="AM1727" s="610"/>
      <c r="AN1727" s="610"/>
      <c r="AO1727" s="554">
        <f>I1727</f>
        <v>2400</v>
      </c>
      <c r="AP1727" s="554"/>
      <c r="AQ1727" s="554"/>
      <c r="AR1727" s="619"/>
      <c r="AS1727" s="554"/>
      <c r="AT1727" s="554">
        <f>I1727</f>
        <v>2400</v>
      </c>
      <c r="AU1727" s="554"/>
      <c r="AV1727" s="554">
        <f>I1727</f>
        <v>2400</v>
      </c>
      <c r="AW1727" s="554"/>
      <c r="AX1727" s="714"/>
      <c r="AY1727" s="554"/>
      <c r="AZ1727" s="554"/>
      <c r="BA1727" s="554"/>
      <c r="BB1727" s="620">
        <f t="shared" si="703"/>
        <v>100</v>
      </c>
      <c r="BC1727" s="554"/>
      <c r="BD1727" s="554"/>
      <c r="BE1727" s="554"/>
      <c r="BF1727" s="554"/>
      <c r="BG1727" s="550"/>
      <c r="BH1727" s="554"/>
      <c r="BI1727" s="554"/>
      <c r="BJ1727" s="554"/>
      <c r="BK1727" s="554"/>
      <c r="BL1727" s="554"/>
      <c r="BM1727" s="554"/>
      <c r="BN1727" s="554"/>
      <c r="BO1727" s="554"/>
      <c r="BP1727" s="554">
        <f>I1727/25</f>
        <v>96</v>
      </c>
      <c r="BQ1727" s="554"/>
      <c r="BR1727" s="554"/>
      <c r="BS1727" s="554"/>
      <c r="BT1727" s="554"/>
      <c r="BU1727" s="554"/>
      <c r="BV1727" s="554"/>
      <c r="BW1727" s="554"/>
      <c r="BX1727" s="554"/>
      <c r="BY1727" s="554"/>
      <c r="BZ1727" s="554"/>
      <c r="CA1727" s="720"/>
      <c r="CB1727" s="555"/>
      <c r="CC1727" s="721"/>
      <c r="CD1727" s="554"/>
      <c r="CE1727" s="554"/>
      <c r="CF1727" s="554"/>
      <c r="CG1727" s="554"/>
      <c r="CH1727" s="550"/>
      <c r="CI1727" s="554"/>
      <c r="CJ1727" s="554"/>
      <c r="CK1727" s="554"/>
      <c r="CL1727" s="554"/>
      <c r="CM1727" s="554"/>
      <c r="CN1727" s="554"/>
      <c r="CO1727" s="554"/>
      <c r="CP1727" s="619"/>
      <c r="CQ1727" s="619"/>
      <c r="CR1727" s="554"/>
      <c r="CS1727" s="554"/>
      <c r="CT1727" s="554"/>
      <c r="CU1727" s="554">
        <f t="shared" si="704"/>
        <v>96</v>
      </c>
      <c r="CV1727" s="554">
        <f t="shared" si="699"/>
        <v>0</v>
      </c>
      <c r="CW1727" s="554">
        <f t="shared" si="700"/>
        <v>0</v>
      </c>
      <c r="CX1727" s="619"/>
      <c r="CY1727" s="619"/>
      <c r="CZ1727" s="619"/>
      <c r="DA1727" s="619"/>
      <c r="DB1727" s="619"/>
      <c r="DC1727" s="619"/>
      <c r="DD1727" s="619"/>
      <c r="DE1727" s="619"/>
      <c r="DF1727" s="619"/>
      <c r="DG1727" s="619"/>
      <c r="DH1727" s="619"/>
    </row>
    <row r="1728" s="550" customFormat="1" ht="31" customHeight="1" spans="1:112">
      <c r="A1728" s="608">
        <v>46173</v>
      </c>
      <c r="B1728" s="609" t="s">
        <v>1642</v>
      </c>
      <c r="C1728" s="610" t="s">
        <v>723</v>
      </c>
      <c r="D1728" s="554">
        <v>4500209212</v>
      </c>
      <c r="E1728" s="610" t="s">
        <v>4821</v>
      </c>
      <c r="F1728" s="554" t="s">
        <v>10229</v>
      </c>
      <c r="G1728" s="610" t="s">
        <v>6040</v>
      </c>
      <c r="H1728" s="610" t="s">
        <v>6041</v>
      </c>
      <c r="I1728" s="715">
        <v>520</v>
      </c>
      <c r="J1728" s="610">
        <v>0</v>
      </c>
      <c r="K1728" s="843">
        <v>52</v>
      </c>
      <c r="L1728" s="844">
        <f t="shared" si="701"/>
        <v>10</v>
      </c>
      <c r="M1728" s="850">
        <v>46225</v>
      </c>
      <c r="N1728" s="724">
        <f>M1728-4</f>
        <v>46221</v>
      </c>
      <c r="O1728" s="613"/>
      <c r="P1728" s="610" t="s">
        <v>113</v>
      </c>
      <c r="Q1728" s="614">
        <v>46224</v>
      </c>
      <c r="R1728" s="614">
        <v>46174</v>
      </c>
      <c r="S1728" s="614" t="s">
        <v>70</v>
      </c>
      <c r="T1728" s="614" t="s">
        <v>10230</v>
      </c>
      <c r="U1728" s="614"/>
      <c r="V1728" s="614"/>
      <c r="W1728" s="573"/>
      <c r="X1728" s="609" t="s">
        <v>10231</v>
      </c>
      <c r="Y1728" s="616" t="s">
        <v>1793</v>
      </c>
      <c r="Z1728" s="609">
        <v>0.9575</v>
      </c>
      <c r="AA1728" s="616">
        <f t="shared" si="691"/>
        <v>497.9</v>
      </c>
      <c r="AC1728" s="697"/>
      <c r="AD1728" s="610" t="s">
        <v>6040</v>
      </c>
      <c r="AE1728" s="610" t="s">
        <v>82</v>
      </c>
      <c r="AF1728" s="610"/>
      <c r="AG1728" s="610"/>
      <c r="AH1728" s="609"/>
      <c r="AI1728" s="609">
        <v>520</v>
      </c>
      <c r="AJ1728" s="610">
        <f t="shared" si="702"/>
        <v>0</v>
      </c>
      <c r="AK1728" s="613"/>
      <c r="AL1728" s="610" t="s">
        <v>2368</v>
      </c>
      <c r="AM1728" s="610"/>
      <c r="AN1728" s="610"/>
      <c r="AO1728" s="554">
        <f>I1728</f>
        <v>520</v>
      </c>
      <c r="AP1728" s="554"/>
      <c r="AQ1728" s="554"/>
      <c r="AR1728" s="619"/>
      <c r="AS1728" s="554"/>
      <c r="AT1728" s="554">
        <f>I1728</f>
        <v>520</v>
      </c>
      <c r="AU1728" s="554"/>
      <c r="AV1728" s="554">
        <f>I1728</f>
        <v>520</v>
      </c>
      <c r="AW1728" s="554"/>
      <c r="AX1728" s="714"/>
      <c r="AY1728" s="554"/>
      <c r="AZ1728" s="554"/>
      <c r="BA1728" s="554"/>
      <c r="BB1728" s="620">
        <f t="shared" si="703"/>
        <v>21.6666666666667</v>
      </c>
      <c r="BC1728" s="554"/>
      <c r="BD1728" s="554"/>
      <c r="BE1728" s="554"/>
      <c r="BF1728" s="554"/>
      <c r="BG1728" s="550"/>
      <c r="BH1728" s="554"/>
      <c r="BI1728" s="554"/>
      <c r="BJ1728" s="554"/>
      <c r="BK1728" s="554"/>
      <c r="BL1728" s="554"/>
      <c r="BM1728" s="554">
        <f>I1728/13</f>
        <v>40</v>
      </c>
      <c r="BN1728" s="554"/>
      <c r="BO1728" s="554"/>
      <c r="BP1728" s="554"/>
      <c r="BQ1728" s="554"/>
      <c r="BR1728" s="554"/>
      <c r="BS1728" s="554"/>
      <c r="BT1728" s="554"/>
      <c r="BU1728" s="554"/>
      <c r="BV1728" s="554"/>
      <c r="BW1728" s="554"/>
      <c r="BX1728" s="554"/>
      <c r="BY1728" s="554"/>
      <c r="BZ1728" s="554"/>
      <c r="CA1728" s="720"/>
      <c r="CB1728" s="555"/>
      <c r="CC1728" s="721"/>
      <c r="CD1728" s="554"/>
      <c r="CE1728" s="554"/>
      <c r="CF1728" s="554"/>
      <c r="CG1728" s="554"/>
      <c r="CH1728" s="550"/>
      <c r="CI1728" s="554"/>
      <c r="CJ1728" s="554"/>
      <c r="CK1728" s="554"/>
      <c r="CL1728" s="554"/>
      <c r="CM1728" s="554"/>
      <c r="CN1728" s="554"/>
      <c r="CO1728" s="554"/>
      <c r="CP1728" s="619"/>
      <c r="CQ1728" s="619"/>
      <c r="CR1728" s="554"/>
      <c r="CS1728" s="554"/>
      <c r="CT1728" s="554"/>
      <c r="CU1728" s="554">
        <f t="shared" si="704"/>
        <v>0</v>
      </c>
      <c r="CV1728" s="554">
        <f t="shared" si="699"/>
        <v>0</v>
      </c>
      <c r="CW1728" s="554">
        <f t="shared" si="700"/>
        <v>0</v>
      </c>
      <c r="CX1728" s="619"/>
      <c r="CY1728" s="619"/>
      <c r="CZ1728" s="619"/>
      <c r="DA1728" s="619"/>
      <c r="DB1728" s="619"/>
      <c r="DC1728" s="619"/>
      <c r="DD1728" s="619"/>
      <c r="DE1728" s="619"/>
      <c r="DF1728" s="619"/>
      <c r="DG1728" s="619"/>
      <c r="DH1728" s="619"/>
    </row>
    <row r="1729" s="550" customFormat="1" ht="31" customHeight="1" spans="1:112">
      <c r="A1729" s="608">
        <v>46178</v>
      </c>
      <c r="B1729" s="609" t="s">
        <v>4825</v>
      </c>
      <c r="C1729" s="610" t="s">
        <v>98</v>
      </c>
      <c r="D1729" s="727">
        <v>4500210826</v>
      </c>
      <c r="E1729" s="731" t="s">
        <v>4826</v>
      </c>
      <c r="F1729" s="729" t="s">
        <v>10232</v>
      </c>
      <c r="G1729" s="610" t="s">
        <v>6084</v>
      </c>
      <c r="H1729" s="610" t="s">
        <v>6069</v>
      </c>
      <c r="I1729" s="715">
        <v>4575</v>
      </c>
      <c r="J1729" s="610">
        <v>0</v>
      </c>
      <c r="K1729" s="843">
        <v>25</v>
      </c>
      <c r="L1729" s="844">
        <f t="shared" si="701"/>
        <v>183</v>
      </c>
      <c r="M1729" s="845">
        <v>46225</v>
      </c>
      <c r="N1729" s="612">
        <v>46221</v>
      </c>
      <c r="O1729" s="613"/>
      <c r="P1729" s="610" t="s">
        <v>113</v>
      </c>
      <c r="Q1729" s="614">
        <v>46241</v>
      </c>
      <c r="R1729" s="614">
        <v>46178</v>
      </c>
      <c r="S1729" s="614" t="s">
        <v>70</v>
      </c>
      <c r="T1729" s="818" t="s">
        <v>70</v>
      </c>
      <c r="U1729" s="818"/>
      <c r="V1729" s="862"/>
      <c r="W1729" s="819"/>
      <c r="X1729" s="820" t="s">
        <v>4828</v>
      </c>
      <c r="Y1729" s="616" t="s">
        <v>4829</v>
      </c>
      <c r="Z1729" s="609">
        <v>0.6064</v>
      </c>
      <c r="AA1729" s="616">
        <f t="shared" si="691"/>
        <v>2774.28</v>
      </c>
      <c r="AC1729" s="678" t="s">
        <v>4830</v>
      </c>
      <c r="AD1729" s="610" t="s">
        <v>6084</v>
      </c>
      <c r="AE1729" s="610" t="s">
        <v>82</v>
      </c>
      <c r="AF1729" s="610"/>
      <c r="AG1729" s="610"/>
      <c r="AH1729" s="609"/>
      <c r="AI1729" s="609">
        <v>4575</v>
      </c>
      <c r="AJ1729" s="610">
        <f t="shared" si="702"/>
        <v>0</v>
      </c>
      <c r="AK1729" s="613"/>
      <c r="AL1729" s="610"/>
      <c r="AM1729" s="610"/>
      <c r="AN1729" s="610">
        <f>I1729</f>
        <v>4575</v>
      </c>
      <c r="AO1729" s="554"/>
      <c r="AP1729" s="554">
        <f>I1729</f>
        <v>4575</v>
      </c>
      <c r="AQ1729" s="554"/>
      <c r="AR1729" s="619"/>
      <c r="AS1729" s="554"/>
      <c r="AT1729" s="554"/>
      <c r="AU1729" s="554">
        <f>I1729</f>
        <v>4575</v>
      </c>
      <c r="AV1729" s="554"/>
      <c r="AW1729" s="554"/>
      <c r="AX1729" s="714"/>
      <c r="AY1729" s="554"/>
      <c r="AZ1729" s="554"/>
      <c r="BA1729" s="554"/>
      <c r="BB1729" s="620">
        <f>I1729/48</f>
        <v>95.3125</v>
      </c>
      <c r="BC1729" s="554"/>
      <c r="BD1729" s="554"/>
      <c r="BE1729" s="554"/>
      <c r="BF1729" s="720"/>
      <c r="BG1729" s="555"/>
      <c r="BH1729" s="721"/>
      <c r="BI1729" s="554"/>
      <c r="BJ1729" s="554"/>
      <c r="BK1729" s="554"/>
      <c r="BL1729" s="554"/>
      <c r="BM1729" s="554"/>
      <c r="BN1729" s="554">
        <f>I1729/25</f>
        <v>183</v>
      </c>
      <c r="BO1729" s="554"/>
      <c r="BP1729" s="554"/>
      <c r="BQ1729" s="554"/>
      <c r="BR1729" s="554"/>
      <c r="BS1729" s="554"/>
      <c r="BT1729" s="554"/>
      <c r="BU1729" s="554"/>
      <c r="BV1729" s="554"/>
      <c r="BW1729" s="554"/>
      <c r="BX1729" s="554"/>
      <c r="BY1729" s="554"/>
      <c r="BZ1729" s="554"/>
      <c r="CA1729" s="720"/>
      <c r="CB1729" s="555"/>
      <c r="CC1729" s="721"/>
      <c r="CD1729" s="554"/>
      <c r="CE1729" s="554"/>
      <c r="CF1729" s="554"/>
      <c r="CG1729" s="720"/>
      <c r="CH1729" s="555"/>
      <c r="CI1729" s="721"/>
      <c r="CJ1729" s="554"/>
      <c r="CK1729" s="554"/>
      <c r="CL1729" s="554"/>
      <c r="CM1729" s="554"/>
      <c r="CN1729" s="554"/>
      <c r="CO1729" s="554"/>
      <c r="CP1729" s="619"/>
      <c r="CQ1729" s="619"/>
      <c r="CR1729" s="554"/>
      <c r="CS1729" s="554"/>
      <c r="CT1729" s="554"/>
      <c r="CU1729" s="554">
        <f t="shared" si="704"/>
        <v>183</v>
      </c>
      <c r="CV1729" s="554">
        <f t="shared" si="699"/>
        <v>0</v>
      </c>
      <c r="CW1729" s="554">
        <f t="shared" si="700"/>
        <v>0</v>
      </c>
      <c r="CX1729" s="619"/>
      <c r="CY1729" s="619"/>
      <c r="CZ1729" s="619"/>
      <c r="DA1729" s="619"/>
      <c r="DB1729" s="619"/>
      <c r="DC1729" s="619"/>
      <c r="DD1729" s="619"/>
      <c r="DE1729" s="619"/>
      <c r="DF1729" s="619"/>
      <c r="DG1729" s="619"/>
      <c r="DH1729" s="619"/>
    </row>
    <row r="1730" s="550" customFormat="1" ht="31" customHeight="1" spans="1:112">
      <c r="A1730" s="608">
        <v>46178</v>
      </c>
      <c r="B1730" s="609" t="s">
        <v>4825</v>
      </c>
      <c r="C1730" s="610" t="s">
        <v>98</v>
      </c>
      <c r="D1730" s="727">
        <v>4500210826</v>
      </c>
      <c r="E1730" s="731" t="s">
        <v>4831</v>
      </c>
      <c r="F1730" s="729" t="s">
        <v>10233</v>
      </c>
      <c r="G1730" s="610" t="s">
        <v>6084</v>
      </c>
      <c r="H1730" s="610" t="s">
        <v>6069</v>
      </c>
      <c r="I1730" s="715">
        <v>2475</v>
      </c>
      <c r="J1730" s="610">
        <v>0</v>
      </c>
      <c r="K1730" s="843">
        <v>25</v>
      </c>
      <c r="L1730" s="844">
        <f t="shared" si="701"/>
        <v>99</v>
      </c>
      <c r="M1730" s="845">
        <v>46225</v>
      </c>
      <c r="N1730" s="612">
        <v>46221</v>
      </c>
      <c r="O1730" s="613"/>
      <c r="P1730" s="610" t="s">
        <v>113</v>
      </c>
      <c r="Q1730" s="614">
        <v>46241</v>
      </c>
      <c r="R1730" s="614">
        <v>46178</v>
      </c>
      <c r="S1730" s="614" t="s">
        <v>70</v>
      </c>
      <c r="T1730" s="818" t="s">
        <v>70</v>
      </c>
      <c r="U1730" s="818"/>
      <c r="V1730" s="862"/>
      <c r="W1730" s="819"/>
      <c r="X1730" s="820" t="s">
        <v>4828</v>
      </c>
      <c r="Y1730" s="616" t="s">
        <v>4829</v>
      </c>
      <c r="Z1730" s="609">
        <v>0.6064</v>
      </c>
      <c r="AA1730" s="616">
        <f t="shared" si="691"/>
        <v>1500.84</v>
      </c>
      <c r="AC1730" s="678" t="s">
        <v>4830</v>
      </c>
      <c r="AD1730" s="610" t="s">
        <v>6084</v>
      </c>
      <c r="AE1730" s="610" t="s">
        <v>82</v>
      </c>
      <c r="AF1730" s="610"/>
      <c r="AG1730" s="610"/>
      <c r="AH1730" s="609"/>
      <c r="AI1730" s="609">
        <v>2475</v>
      </c>
      <c r="AJ1730" s="610">
        <f t="shared" si="702"/>
        <v>0</v>
      </c>
      <c r="AK1730" s="613"/>
      <c r="AL1730" s="610"/>
      <c r="AM1730" s="610"/>
      <c r="AN1730" s="610">
        <f>I1730</f>
        <v>2475</v>
      </c>
      <c r="AO1730" s="554"/>
      <c r="AP1730" s="554">
        <f>I1730</f>
        <v>2475</v>
      </c>
      <c r="AQ1730" s="554"/>
      <c r="AR1730" s="619"/>
      <c r="AS1730" s="554"/>
      <c r="AT1730" s="554"/>
      <c r="AU1730" s="554">
        <f>I1730</f>
        <v>2475</v>
      </c>
      <c r="AV1730" s="554"/>
      <c r="AW1730" s="554"/>
      <c r="AX1730" s="714"/>
      <c r="AY1730" s="554"/>
      <c r="AZ1730" s="554"/>
      <c r="BA1730" s="554"/>
      <c r="BB1730" s="620">
        <f>I1730/48</f>
        <v>51.5625</v>
      </c>
      <c r="BC1730" s="554"/>
      <c r="BD1730" s="554"/>
      <c r="BE1730" s="554"/>
      <c r="BF1730" s="720"/>
      <c r="BG1730" s="555"/>
      <c r="BH1730" s="721"/>
      <c r="BI1730" s="554"/>
      <c r="BJ1730" s="554"/>
      <c r="BK1730" s="554"/>
      <c r="BL1730" s="554"/>
      <c r="BM1730" s="554"/>
      <c r="BN1730" s="554">
        <f>I1730/25</f>
        <v>99</v>
      </c>
      <c r="BO1730" s="554"/>
      <c r="BP1730" s="554"/>
      <c r="BQ1730" s="554"/>
      <c r="BR1730" s="554"/>
      <c r="BS1730" s="554"/>
      <c r="BT1730" s="554"/>
      <c r="BU1730" s="554"/>
      <c r="BV1730" s="554"/>
      <c r="BW1730" s="554"/>
      <c r="BX1730" s="554"/>
      <c r="BY1730" s="554"/>
      <c r="BZ1730" s="554"/>
      <c r="CA1730" s="720"/>
      <c r="CB1730" s="555"/>
      <c r="CC1730" s="721"/>
      <c r="CD1730" s="554"/>
      <c r="CE1730" s="554"/>
      <c r="CF1730" s="554"/>
      <c r="CG1730" s="720"/>
      <c r="CH1730" s="555"/>
      <c r="CI1730" s="721"/>
      <c r="CJ1730" s="554"/>
      <c r="CK1730" s="554"/>
      <c r="CL1730" s="554"/>
      <c r="CM1730" s="554"/>
      <c r="CN1730" s="554"/>
      <c r="CO1730" s="554"/>
      <c r="CP1730" s="619"/>
      <c r="CQ1730" s="619"/>
      <c r="CR1730" s="554"/>
      <c r="CS1730" s="554"/>
      <c r="CT1730" s="554"/>
      <c r="CU1730" s="554">
        <f t="shared" si="704"/>
        <v>99</v>
      </c>
      <c r="CV1730" s="554">
        <f t="shared" si="699"/>
        <v>0</v>
      </c>
      <c r="CW1730" s="554">
        <f t="shared" si="700"/>
        <v>0</v>
      </c>
      <c r="CX1730" s="619"/>
      <c r="CY1730" s="619"/>
      <c r="CZ1730" s="619"/>
      <c r="DA1730" s="619"/>
      <c r="DB1730" s="619"/>
      <c r="DC1730" s="619"/>
      <c r="DD1730" s="619"/>
      <c r="DE1730" s="619"/>
      <c r="DF1730" s="619"/>
      <c r="DG1730" s="619"/>
      <c r="DH1730" s="619"/>
    </row>
    <row r="1731" s="550" customFormat="1" ht="31" customHeight="1" spans="1:112">
      <c r="A1731" s="608">
        <v>46178</v>
      </c>
      <c r="B1731" s="609" t="s">
        <v>4825</v>
      </c>
      <c r="C1731" s="610" t="s">
        <v>98</v>
      </c>
      <c r="D1731" s="727">
        <v>4500210826</v>
      </c>
      <c r="E1731" s="731" t="s">
        <v>4833</v>
      </c>
      <c r="F1731" s="729" t="s">
        <v>10234</v>
      </c>
      <c r="G1731" s="610" t="s">
        <v>6084</v>
      </c>
      <c r="H1731" s="610" t="s">
        <v>6069</v>
      </c>
      <c r="I1731" s="715">
        <v>2475</v>
      </c>
      <c r="J1731" s="610">
        <v>0</v>
      </c>
      <c r="K1731" s="843">
        <v>25</v>
      </c>
      <c r="L1731" s="844">
        <f t="shared" si="701"/>
        <v>99</v>
      </c>
      <c r="M1731" s="845">
        <v>46225</v>
      </c>
      <c r="N1731" s="612">
        <v>46221</v>
      </c>
      <c r="O1731" s="613"/>
      <c r="P1731" s="610" t="s">
        <v>113</v>
      </c>
      <c r="Q1731" s="614">
        <v>46241</v>
      </c>
      <c r="R1731" s="614">
        <v>46178</v>
      </c>
      <c r="S1731" s="614" t="s">
        <v>70</v>
      </c>
      <c r="T1731" s="818" t="s">
        <v>70</v>
      </c>
      <c r="U1731" s="818"/>
      <c r="V1731" s="862"/>
      <c r="W1731" s="819"/>
      <c r="X1731" s="820" t="s">
        <v>4828</v>
      </c>
      <c r="Y1731" s="616" t="s">
        <v>4829</v>
      </c>
      <c r="Z1731" s="609">
        <v>0.6064</v>
      </c>
      <c r="AA1731" s="616">
        <f t="shared" si="691"/>
        <v>1500.84</v>
      </c>
      <c r="AC1731" s="678" t="s">
        <v>4835</v>
      </c>
      <c r="AD1731" s="610" t="s">
        <v>6084</v>
      </c>
      <c r="AE1731" s="610" t="s">
        <v>82</v>
      </c>
      <c r="AF1731" s="610"/>
      <c r="AG1731" s="610"/>
      <c r="AH1731" s="609"/>
      <c r="AI1731" s="609">
        <v>2475</v>
      </c>
      <c r="AJ1731" s="610">
        <f t="shared" si="702"/>
        <v>0</v>
      </c>
      <c r="AK1731" s="613"/>
      <c r="AL1731" s="610"/>
      <c r="AM1731" s="610"/>
      <c r="AN1731" s="610">
        <f>I1731</f>
        <v>2475</v>
      </c>
      <c r="AO1731" s="554"/>
      <c r="AP1731" s="554">
        <f>I1731</f>
        <v>2475</v>
      </c>
      <c r="AQ1731" s="554"/>
      <c r="AR1731" s="619"/>
      <c r="AS1731" s="554"/>
      <c r="AT1731" s="554"/>
      <c r="AU1731" s="554">
        <f>I1731</f>
        <v>2475</v>
      </c>
      <c r="AV1731" s="554"/>
      <c r="AW1731" s="554"/>
      <c r="AX1731" s="714"/>
      <c r="AY1731" s="554"/>
      <c r="AZ1731" s="554"/>
      <c r="BA1731" s="554"/>
      <c r="BB1731" s="620">
        <f>I1731/48</f>
        <v>51.5625</v>
      </c>
      <c r="BC1731" s="554"/>
      <c r="BD1731" s="554"/>
      <c r="BE1731" s="554"/>
      <c r="BF1731" s="720"/>
      <c r="BG1731" s="555"/>
      <c r="BH1731" s="721"/>
      <c r="BI1731" s="554"/>
      <c r="BJ1731" s="554"/>
      <c r="BK1731" s="554"/>
      <c r="BL1731" s="554"/>
      <c r="BM1731" s="554"/>
      <c r="BN1731" s="554">
        <f>I1731/25</f>
        <v>99</v>
      </c>
      <c r="BO1731" s="554"/>
      <c r="BP1731" s="554"/>
      <c r="BQ1731" s="554"/>
      <c r="BR1731" s="554"/>
      <c r="BS1731" s="554"/>
      <c r="BT1731" s="554"/>
      <c r="BU1731" s="554"/>
      <c r="BV1731" s="554"/>
      <c r="BW1731" s="554"/>
      <c r="BX1731" s="554"/>
      <c r="BY1731" s="554"/>
      <c r="BZ1731" s="554"/>
      <c r="CA1731" s="720"/>
      <c r="CB1731" s="555"/>
      <c r="CC1731" s="721"/>
      <c r="CD1731" s="554"/>
      <c r="CE1731" s="554"/>
      <c r="CF1731" s="554"/>
      <c r="CG1731" s="720"/>
      <c r="CH1731" s="555"/>
      <c r="CI1731" s="721"/>
      <c r="CJ1731" s="554"/>
      <c r="CK1731" s="554"/>
      <c r="CL1731" s="554"/>
      <c r="CM1731" s="554"/>
      <c r="CN1731" s="554"/>
      <c r="CO1731" s="554"/>
      <c r="CP1731" s="619"/>
      <c r="CQ1731" s="619"/>
      <c r="CR1731" s="554"/>
      <c r="CS1731" s="554"/>
      <c r="CT1731" s="554"/>
      <c r="CU1731" s="554">
        <f t="shared" si="704"/>
        <v>99</v>
      </c>
      <c r="CV1731" s="554">
        <f t="shared" si="699"/>
        <v>0</v>
      </c>
      <c r="CW1731" s="554">
        <f t="shared" si="700"/>
        <v>0</v>
      </c>
      <c r="CX1731" s="619"/>
      <c r="CY1731" s="619"/>
      <c r="CZ1731" s="619"/>
      <c r="DA1731" s="619"/>
      <c r="DB1731" s="619"/>
      <c r="DC1731" s="619"/>
      <c r="DD1731" s="619"/>
      <c r="DE1731" s="619"/>
      <c r="DF1731" s="619"/>
      <c r="DG1731" s="619"/>
      <c r="DH1731" s="619"/>
    </row>
    <row r="1732" s="550" customFormat="1" ht="31" customHeight="1" spans="1:112">
      <c r="A1732" s="608">
        <v>46178</v>
      </c>
      <c r="B1732" s="609" t="s">
        <v>4825</v>
      </c>
      <c r="C1732" s="610" t="s">
        <v>98</v>
      </c>
      <c r="D1732" s="727">
        <v>4500210826</v>
      </c>
      <c r="E1732" s="731" t="s">
        <v>4836</v>
      </c>
      <c r="F1732" s="729" t="s">
        <v>10235</v>
      </c>
      <c r="G1732" s="610" t="s">
        <v>6084</v>
      </c>
      <c r="H1732" s="610" t="s">
        <v>6069</v>
      </c>
      <c r="I1732" s="715">
        <v>1325</v>
      </c>
      <c r="J1732" s="610">
        <v>0</v>
      </c>
      <c r="K1732" s="843">
        <v>25</v>
      </c>
      <c r="L1732" s="844">
        <f t="shared" si="701"/>
        <v>53</v>
      </c>
      <c r="M1732" s="845">
        <v>46225</v>
      </c>
      <c r="N1732" s="612">
        <v>46221</v>
      </c>
      <c r="O1732" s="613"/>
      <c r="P1732" s="610" t="s">
        <v>113</v>
      </c>
      <c r="Q1732" s="614">
        <v>46241</v>
      </c>
      <c r="R1732" s="614">
        <v>46178</v>
      </c>
      <c r="S1732" s="614" t="s">
        <v>70</v>
      </c>
      <c r="T1732" s="818" t="s">
        <v>70</v>
      </c>
      <c r="U1732" s="818"/>
      <c r="V1732" s="862"/>
      <c r="W1732" s="819"/>
      <c r="X1732" s="820" t="s">
        <v>4828</v>
      </c>
      <c r="Y1732" s="616" t="s">
        <v>4829</v>
      </c>
      <c r="Z1732" s="609">
        <v>0.6064</v>
      </c>
      <c r="AA1732" s="616">
        <f t="shared" si="691"/>
        <v>803.48</v>
      </c>
      <c r="AC1732" s="678" t="s">
        <v>4835</v>
      </c>
      <c r="AD1732" s="610" t="s">
        <v>6084</v>
      </c>
      <c r="AE1732" s="610" t="s">
        <v>82</v>
      </c>
      <c r="AF1732" s="610"/>
      <c r="AG1732" s="610"/>
      <c r="AH1732" s="609"/>
      <c r="AI1732" s="609">
        <v>1325</v>
      </c>
      <c r="AJ1732" s="610">
        <f t="shared" si="702"/>
        <v>0</v>
      </c>
      <c r="AK1732" s="613"/>
      <c r="AL1732" s="610"/>
      <c r="AM1732" s="610"/>
      <c r="AN1732" s="610">
        <f>I1732</f>
        <v>1325</v>
      </c>
      <c r="AO1732" s="554"/>
      <c r="AP1732" s="554">
        <f>I1732</f>
        <v>1325</v>
      </c>
      <c r="AQ1732" s="554"/>
      <c r="AR1732" s="619"/>
      <c r="AS1732" s="554"/>
      <c r="AT1732" s="554"/>
      <c r="AU1732" s="554">
        <f>I1732</f>
        <v>1325</v>
      </c>
      <c r="AV1732" s="554"/>
      <c r="AW1732" s="554"/>
      <c r="AX1732" s="714"/>
      <c r="AY1732" s="554"/>
      <c r="AZ1732" s="554"/>
      <c r="BA1732" s="554"/>
      <c r="BB1732" s="620">
        <f>I1732/48</f>
        <v>27.6041666666667</v>
      </c>
      <c r="BC1732" s="554"/>
      <c r="BD1732" s="554"/>
      <c r="BE1732" s="554"/>
      <c r="BF1732" s="720"/>
      <c r="BG1732" s="555"/>
      <c r="BH1732" s="721"/>
      <c r="BI1732" s="554"/>
      <c r="BJ1732" s="554"/>
      <c r="BK1732" s="554"/>
      <c r="BL1732" s="554"/>
      <c r="BM1732" s="554"/>
      <c r="BN1732" s="554">
        <f>I1732/25</f>
        <v>53</v>
      </c>
      <c r="BO1732" s="554"/>
      <c r="BP1732" s="554"/>
      <c r="BQ1732" s="554"/>
      <c r="BR1732" s="554"/>
      <c r="BS1732" s="554"/>
      <c r="BT1732" s="554"/>
      <c r="BU1732" s="554"/>
      <c r="BV1732" s="554"/>
      <c r="BW1732" s="554"/>
      <c r="BX1732" s="554"/>
      <c r="BY1732" s="554"/>
      <c r="BZ1732" s="554"/>
      <c r="CA1732" s="720"/>
      <c r="CB1732" s="555"/>
      <c r="CC1732" s="721"/>
      <c r="CD1732" s="554"/>
      <c r="CE1732" s="554"/>
      <c r="CF1732" s="554"/>
      <c r="CG1732" s="720"/>
      <c r="CH1732" s="555"/>
      <c r="CI1732" s="721"/>
      <c r="CJ1732" s="554"/>
      <c r="CK1732" s="554"/>
      <c r="CL1732" s="554"/>
      <c r="CM1732" s="554"/>
      <c r="CN1732" s="554"/>
      <c r="CO1732" s="554"/>
      <c r="CP1732" s="619"/>
      <c r="CQ1732" s="619"/>
      <c r="CR1732" s="554"/>
      <c r="CS1732" s="554"/>
      <c r="CT1732" s="554"/>
      <c r="CU1732" s="554">
        <f t="shared" si="704"/>
        <v>53</v>
      </c>
      <c r="CV1732" s="554">
        <f t="shared" si="699"/>
        <v>0</v>
      </c>
      <c r="CW1732" s="554">
        <f t="shared" si="700"/>
        <v>0</v>
      </c>
      <c r="CX1732" s="619"/>
      <c r="CY1732" s="619"/>
      <c r="CZ1732" s="619"/>
      <c r="DA1732" s="619"/>
      <c r="DB1732" s="619"/>
      <c r="DC1732" s="619"/>
      <c r="DD1732" s="619"/>
      <c r="DE1732" s="619"/>
      <c r="DF1732" s="619"/>
      <c r="DG1732" s="619"/>
      <c r="DH1732" s="619"/>
    </row>
    <row r="1733" s="554" customFormat="1" ht="31" customHeight="1" spans="1:112">
      <c r="A1733" s="608">
        <v>46132</v>
      </c>
      <c r="B1733" s="609" t="s">
        <v>1004</v>
      </c>
      <c r="C1733" s="610" t="s">
        <v>98</v>
      </c>
      <c r="D1733" s="727">
        <v>4500202935</v>
      </c>
      <c r="E1733" s="610" t="s">
        <v>4990</v>
      </c>
      <c r="F1733" s="554" t="s">
        <v>10236</v>
      </c>
      <c r="G1733" s="610" t="s">
        <v>6166</v>
      </c>
      <c r="H1733" s="610" t="s">
        <v>6094</v>
      </c>
      <c r="I1733" s="715">
        <v>910</v>
      </c>
      <c r="J1733" s="610">
        <v>0</v>
      </c>
      <c r="K1733" s="610">
        <v>13</v>
      </c>
      <c r="L1733" s="611">
        <f t="shared" si="701"/>
        <v>70</v>
      </c>
      <c r="M1733" s="612">
        <v>46227</v>
      </c>
      <c r="N1733" s="612">
        <v>46223</v>
      </c>
      <c r="O1733" s="613"/>
      <c r="P1733" s="610" t="s">
        <v>113</v>
      </c>
      <c r="Q1733" s="614"/>
      <c r="R1733" s="614">
        <v>46160</v>
      </c>
      <c r="S1733" s="614" t="s">
        <v>70</v>
      </c>
      <c r="T1733" s="614" t="s">
        <v>70</v>
      </c>
      <c r="U1733" s="863"/>
      <c r="V1733" s="863"/>
      <c r="W1733" s="848"/>
      <c r="X1733" s="609" t="s">
        <v>10237</v>
      </c>
      <c r="Y1733" s="616" t="s">
        <v>311</v>
      </c>
      <c r="Z1733" s="609">
        <v>0.5761</v>
      </c>
      <c r="AA1733" s="616">
        <f t="shared" si="691"/>
        <v>524.251</v>
      </c>
      <c r="AC1733" s="861" t="s">
        <v>4993</v>
      </c>
      <c r="AD1733" s="610" t="s">
        <v>6257</v>
      </c>
      <c r="AE1733" s="610" t="s">
        <v>82</v>
      </c>
      <c r="AF1733" s="610"/>
      <c r="AG1733" s="610"/>
      <c r="AH1733" s="609"/>
      <c r="AI1733" s="609">
        <v>910</v>
      </c>
      <c r="AJ1733" s="610">
        <f t="shared" si="702"/>
        <v>0</v>
      </c>
      <c r="AK1733" s="613"/>
      <c r="AL1733" s="610"/>
      <c r="AM1733" s="610"/>
      <c r="AN1733" s="554">
        <f>I1733</f>
        <v>910</v>
      </c>
      <c r="AP1733" s="554">
        <f>I1733</f>
        <v>910</v>
      </c>
      <c r="AU1733" s="554">
        <f>I1733</f>
        <v>910</v>
      </c>
      <c r="AX1733" s="714"/>
      <c r="AY1733" s="554"/>
      <c r="AZ1733" s="554"/>
      <c r="BA1733" s="554"/>
      <c r="BB1733" s="620">
        <f>I1733/24</f>
        <v>37.9166666666667</v>
      </c>
      <c r="BK1733" s="554">
        <f>I1733/13</f>
        <v>70</v>
      </c>
      <c r="CA1733" s="720"/>
      <c r="CB1733" s="555"/>
      <c r="CC1733" s="721"/>
      <c r="CD1733" s="554"/>
      <c r="CE1733" s="554"/>
      <c r="CF1733" s="554"/>
      <c r="CG1733" s="554"/>
      <c r="CP1733" s="619"/>
      <c r="CQ1733" s="619"/>
      <c r="CR1733" s="619"/>
      <c r="CS1733" s="619"/>
      <c r="CT1733" s="619"/>
      <c r="CU1733" s="554">
        <f t="shared" si="704"/>
        <v>0</v>
      </c>
      <c r="CV1733" s="554">
        <v>0</v>
      </c>
      <c r="CW1733" s="554">
        <v>0</v>
      </c>
      <c r="CX1733" s="619"/>
      <c r="CY1733" s="619"/>
      <c r="CZ1733" s="619"/>
      <c r="DA1733" s="619"/>
      <c r="DB1733" s="619"/>
      <c r="DC1733" s="619"/>
      <c r="DD1733" s="619"/>
      <c r="DE1733" s="619"/>
      <c r="DF1733" s="619"/>
      <c r="DG1733" s="619"/>
      <c r="DH1733" s="619"/>
    </row>
    <row r="1734" s="554" customFormat="1" ht="31" customHeight="1" spans="1:112">
      <c r="A1734" s="608">
        <v>46162</v>
      </c>
      <c r="B1734" s="609" t="s">
        <v>2952</v>
      </c>
      <c r="C1734" s="610" t="s">
        <v>1227</v>
      </c>
      <c r="D1734" s="727">
        <v>4500208189</v>
      </c>
      <c r="E1734" s="610" t="s">
        <v>3846</v>
      </c>
      <c r="F1734" s="554" t="s">
        <v>10238</v>
      </c>
      <c r="G1734" s="610" t="s">
        <v>6276</v>
      </c>
      <c r="H1734" s="610" t="s">
        <v>6277</v>
      </c>
      <c r="I1734" s="715">
        <v>2100</v>
      </c>
      <c r="J1734" s="610">
        <v>0</v>
      </c>
      <c r="K1734" s="610">
        <v>50</v>
      </c>
      <c r="L1734" s="611">
        <f t="shared" si="701"/>
        <v>42</v>
      </c>
      <c r="M1734" s="612">
        <v>46217</v>
      </c>
      <c r="N1734" s="612">
        <v>46213</v>
      </c>
      <c r="O1734" s="737" t="s">
        <v>4966</v>
      </c>
      <c r="P1734" s="610" t="s">
        <v>113</v>
      </c>
      <c r="Q1734" s="614"/>
      <c r="R1734" s="614">
        <v>46189</v>
      </c>
      <c r="S1734" s="614" t="s">
        <v>70</v>
      </c>
      <c r="T1734" s="614" t="s">
        <v>4967</v>
      </c>
      <c r="U1734" s="614"/>
      <c r="V1734" s="614" t="s">
        <v>10239</v>
      </c>
      <c r="W1734" s="609"/>
      <c r="X1734" s="609" t="s">
        <v>10240</v>
      </c>
      <c r="Y1734" s="616" t="s">
        <v>529</v>
      </c>
      <c r="Z1734" s="609">
        <v>0.9521</v>
      </c>
      <c r="AA1734" s="616">
        <f t="shared" si="691"/>
        <v>1999.41</v>
      </c>
      <c r="AC1734" s="697"/>
      <c r="AD1734" s="610" t="s">
        <v>6276</v>
      </c>
      <c r="AE1734" s="610" t="s">
        <v>82</v>
      </c>
      <c r="AF1734" s="610"/>
      <c r="AG1734" s="610"/>
      <c r="AH1734" s="609"/>
      <c r="AI1734" s="609">
        <v>2100</v>
      </c>
      <c r="AJ1734" s="610">
        <f t="shared" si="702"/>
        <v>0</v>
      </c>
      <c r="AK1734" s="613"/>
      <c r="AL1734" s="610" t="s">
        <v>2368</v>
      </c>
      <c r="AM1734" s="610"/>
      <c r="AN1734" s="554"/>
      <c r="AO1734" s="554">
        <f>I1734</f>
        <v>2100</v>
      </c>
      <c r="AR1734" s="619"/>
      <c r="AS1734" s="554"/>
      <c r="AT1734" s="554"/>
      <c r="AU1734" s="554"/>
      <c r="AV1734" s="554"/>
      <c r="AW1734" s="554"/>
      <c r="AX1734" s="714"/>
      <c r="AY1734" s="554"/>
      <c r="AZ1734" s="554"/>
      <c r="BA1734" s="554"/>
      <c r="BB1734" s="620">
        <f>I1734/24</f>
        <v>87.5</v>
      </c>
      <c r="BG1734" s="556"/>
      <c r="BH1734" s="554"/>
      <c r="BI1734" s="554"/>
      <c r="BJ1734" s="554"/>
      <c r="BK1734" s="554"/>
      <c r="BL1734" s="554"/>
      <c r="BM1734" s="554"/>
      <c r="BN1734" s="554"/>
      <c r="BO1734" s="554"/>
      <c r="BP1734" s="554"/>
      <c r="BQ1734" s="554"/>
      <c r="BR1734" s="554"/>
      <c r="BS1734" s="554"/>
      <c r="BT1734" s="554"/>
      <c r="BU1734" s="554"/>
      <c r="BV1734" s="554">
        <f>I1734</f>
        <v>2100</v>
      </c>
      <c r="BW1734" s="554">
        <f>I1734</f>
        <v>2100</v>
      </c>
      <c r="BX1734" s="554">
        <f>I1734/25</f>
        <v>84</v>
      </c>
      <c r="CA1734" s="720"/>
      <c r="CB1734" s="555"/>
      <c r="CC1734" s="721"/>
      <c r="CD1734" s="554"/>
      <c r="CE1734" s="554"/>
      <c r="CF1734" s="554"/>
      <c r="CG1734" s="554"/>
      <c r="CH1734" s="556"/>
      <c r="CI1734" s="554"/>
      <c r="CJ1734" s="554"/>
      <c r="CK1734" s="554"/>
      <c r="CL1734" s="554"/>
      <c r="CM1734" s="554"/>
      <c r="CN1734" s="554"/>
      <c r="CO1734" s="554"/>
      <c r="CP1734" s="619"/>
      <c r="CQ1734" s="619"/>
      <c r="CR1734" s="554"/>
      <c r="CS1734" s="554"/>
      <c r="CT1734" s="554"/>
      <c r="CU1734" s="554">
        <f t="shared" si="704"/>
        <v>84</v>
      </c>
      <c r="CV1734" s="554">
        <f t="shared" ref="CV1734:CV1748" si="705">CK1734+CL1734+CM1734+CN1734+CO1734+CQ1734+CP1734</f>
        <v>0</v>
      </c>
      <c r="CW1734" s="554">
        <f t="shared" ref="CW1734:CW1748" si="706">CI1734+CJ1734</f>
        <v>0</v>
      </c>
      <c r="CX1734" s="717"/>
      <c r="CY1734" s="717"/>
      <c r="CZ1734" s="717"/>
      <c r="DA1734" s="717"/>
      <c r="DB1734" s="717"/>
      <c r="DC1734" s="717"/>
      <c r="DD1734" s="717"/>
      <c r="DE1734" s="717"/>
      <c r="DF1734" s="717"/>
      <c r="DG1734" s="717"/>
      <c r="DH1734" s="717"/>
    </row>
    <row r="1735" s="550" customFormat="1" ht="31" customHeight="1" spans="1:112">
      <c r="A1735" s="608">
        <v>46171</v>
      </c>
      <c r="B1735" s="609" t="s">
        <v>4909</v>
      </c>
      <c r="C1735" s="610" t="s">
        <v>98</v>
      </c>
      <c r="D1735" s="554">
        <v>4500209889</v>
      </c>
      <c r="E1735" s="731">
        <v>385090506</v>
      </c>
      <c r="F1735" s="729" t="s">
        <v>4911</v>
      </c>
      <c r="G1735" s="610" t="s">
        <v>8520</v>
      </c>
      <c r="H1735" s="610" t="s">
        <v>8521</v>
      </c>
      <c r="I1735" s="715">
        <v>3000</v>
      </c>
      <c r="J1735" s="610">
        <v>0</v>
      </c>
      <c r="K1735" s="843">
        <v>8</v>
      </c>
      <c r="L1735" s="844">
        <f t="shared" si="701"/>
        <v>375</v>
      </c>
      <c r="M1735" s="845">
        <v>46218</v>
      </c>
      <c r="N1735" s="612">
        <v>46214</v>
      </c>
      <c r="O1735" s="613"/>
      <c r="P1735" s="610" t="s">
        <v>113</v>
      </c>
      <c r="Q1735" s="614" t="s">
        <v>10241</v>
      </c>
      <c r="R1735" s="614">
        <v>46188</v>
      </c>
      <c r="S1735" s="614" t="s">
        <v>104</v>
      </c>
      <c r="T1735" s="614" t="s">
        <v>10242</v>
      </c>
      <c r="U1735" s="614"/>
      <c r="V1735" s="614"/>
      <c r="W1735" s="573"/>
      <c r="X1735" s="609" t="s">
        <v>4913</v>
      </c>
      <c r="Y1735" s="616" t="s">
        <v>4914</v>
      </c>
      <c r="Z1735" s="609">
        <v>4.1825</v>
      </c>
      <c r="AA1735" s="616">
        <v>12547.5</v>
      </c>
      <c r="AB1735" s="550"/>
      <c r="AC1735" s="678" t="s">
        <v>4915</v>
      </c>
      <c r="AD1735" s="610" t="s">
        <v>2741</v>
      </c>
      <c r="AE1735" s="610" t="s">
        <v>82</v>
      </c>
      <c r="AF1735" s="610"/>
      <c r="AG1735" s="610"/>
      <c r="AH1735" s="609"/>
      <c r="AI1735" s="609">
        <v>3000</v>
      </c>
      <c r="AJ1735" s="610">
        <f t="shared" si="702"/>
        <v>0</v>
      </c>
      <c r="AK1735" s="613"/>
      <c r="AL1735" s="610" t="s">
        <v>2368</v>
      </c>
      <c r="AM1735" s="610"/>
      <c r="AN1735" s="610">
        <f>I1735*2</f>
        <v>6000</v>
      </c>
      <c r="AO1735" s="554"/>
      <c r="AP1735" s="554">
        <f>I1735*2</f>
        <v>6000</v>
      </c>
      <c r="AQ1735" s="554"/>
      <c r="AR1735" s="619"/>
      <c r="AS1735" s="554"/>
      <c r="AT1735" s="554"/>
      <c r="AU1735" s="554">
        <f>I1735*2</f>
        <v>6000</v>
      </c>
      <c r="AV1735" s="554"/>
      <c r="AW1735" s="554"/>
      <c r="AX1735" s="714"/>
      <c r="AY1735" s="554"/>
      <c r="AZ1735" s="554"/>
      <c r="BA1735" s="554"/>
      <c r="BB1735" s="620">
        <f>I1735/24*2</f>
        <v>250</v>
      </c>
      <c r="BC1735" s="554"/>
      <c r="BD1735" s="554"/>
      <c r="BE1735" s="554"/>
      <c r="BF1735" s="554"/>
      <c r="BG1735" s="550"/>
      <c r="BH1735" s="554"/>
      <c r="BI1735" s="554"/>
      <c r="BJ1735" s="554"/>
      <c r="BK1735" s="554"/>
      <c r="BL1735" s="554"/>
      <c r="BM1735" s="554"/>
      <c r="BN1735" s="554"/>
      <c r="BO1735" s="554"/>
      <c r="BP1735" s="554"/>
      <c r="BQ1735" s="554"/>
      <c r="BR1735" s="554"/>
      <c r="BS1735" s="554"/>
      <c r="BT1735" s="554"/>
      <c r="BU1735" s="554"/>
      <c r="BV1735" s="554"/>
      <c r="BW1735" s="554"/>
      <c r="BX1735" s="554"/>
      <c r="BY1735" s="554">
        <f>I1735</f>
        <v>3000</v>
      </c>
      <c r="BZ1735" s="554"/>
      <c r="CA1735" s="720"/>
      <c r="CB1735" s="555"/>
      <c r="CC1735" s="721"/>
      <c r="CD1735" s="554"/>
      <c r="CE1735" s="554"/>
      <c r="CF1735" s="554"/>
      <c r="CG1735" s="554"/>
      <c r="CH1735" s="550"/>
      <c r="CI1735" s="554"/>
      <c r="CJ1735" s="554"/>
      <c r="CK1735" s="554"/>
      <c r="CL1735" s="554"/>
      <c r="CM1735" s="554"/>
      <c r="CN1735" s="554"/>
      <c r="CO1735" s="554"/>
      <c r="CP1735" s="619"/>
      <c r="CQ1735" s="619"/>
      <c r="CR1735" s="554"/>
      <c r="CS1735" s="554"/>
      <c r="CT1735" s="554"/>
      <c r="CU1735" s="554">
        <f t="shared" si="704"/>
        <v>0</v>
      </c>
      <c r="CV1735" s="554">
        <f t="shared" si="705"/>
        <v>0</v>
      </c>
      <c r="CW1735" s="554">
        <f t="shared" si="706"/>
        <v>0</v>
      </c>
      <c r="CX1735" s="619"/>
      <c r="CY1735" s="619"/>
      <c r="CZ1735" s="619"/>
      <c r="DA1735" s="619"/>
      <c r="DB1735" s="619"/>
      <c r="DC1735" s="619"/>
      <c r="DD1735" s="619"/>
      <c r="DE1735" s="619"/>
      <c r="DF1735" s="619"/>
      <c r="DG1735" s="619"/>
      <c r="DH1735" s="619"/>
    </row>
    <row r="1736" s="554" customFormat="1" ht="31" customHeight="1" spans="1:112">
      <c r="A1736" s="608">
        <v>46164</v>
      </c>
      <c r="B1736" s="609" t="s">
        <v>4969</v>
      </c>
      <c r="C1736" s="610" t="s">
        <v>524</v>
      </c>
      <c r="D1736" s="727">
        <v>4500208353</v>
      </c>
      <c r="E1736" s="731">
        <v>6050019</v>
      </c>
      <c r="F1736" s="554" t="s">
        <v>10243</v>
      </c>
      <c r="G1736" s="610" t="s">
        <v>6043</v>
      </c>
      <c r="H1736" s="610" t="s">
        <v>6110</v>
      </c>
      <c r="I1736" s="715">
        <v>1500</v>
      </c>
      <c r="J1736" s="610">
        <v>0</v>
      </c>
      <c r="K1736" s="610">
        <v>50</v>
      </c>
      <c r="L1736" s="611">
        <f t="shared" si="701"/>
        <v>30</v>
      </c>
      <c r="M1736" s="612">
        <v>46220</v>
      </c>
      <c r="N1736" s="612">
        <v>46216</v>
      </c>
      <c r="O1736" s="737" t="s">
        <v>4972</v>
      </c>
      <c r="P1736" s="610" t="s">
        <v>113</v>
      </c>
      <c r="Q1736" s="614">
        <v>46234</v>
      </c>
      <c r="R1736" s="614">
        <v>46184</v>
      </c>
      <c r="S1736" s="614" t="s">
        <v>70</v>
      </c>
      <c r="T1736" s="614" t="s">
        <v>10244</v>
      </c>
      <c r="U1736" s="614"/>
      <c r="V1736" s="614"/>
      <c r="W1736" s="609"/>
      <c r="X1736" s="609" t="s">
        <v>10245</v>
      </c>
      <c r="Y1736" s="616" t="s">
        <v>3975</v>
      </c>
      <c r="Z1736" s="609">
        <v>0.9749</v>
      </c>
      <c r="AA1736" s="616">
        <f>Z1736*I1736</f>
        <v>1462.35</v>
      </c>
      <c r="AC1736" s="697"/>
      <c r="AD1736" s="610" t="s">
        <v>6043</v>
      </c>
      <c r="AE1736" s="610" t="s">
        <v>82</v>
      </c>
      <c r="AF1736" s="610"/>
      <c r="AG1736" s="610"/>
      <c r="AH1736" s="609"/>
      <c r="AI1736" s="609">
        <v>1500</v>
      </c>
      <c r="AJ1736" s="610">
        <f t="shared" si="702"/>
        <v>0</v>
      </c>
      <c r="AK1736" s="613"/>
      <c r="AL1736" s="610" t="s">
        <v>2368</v>
      </c>
      <c r="AM1736" s="610"/>
      <c r="AN1736" s="554"/>
      <c r="AO1736" s="554">
        <f>I1736</f>
        <v>1500</v>
      </c>
      <c r="AR1736" s="619"/>
      <c r="AS1736" s="554"/>
      <c r="AT1736" s="554">
        <f>I1736</f>
        <v>1500</v>
      </c>
      <c r="AV1736" s="554">
        <f>I1736</f>
        <v>1500</v>
      </c>
      <c r="AX1736" s="714"/>
      <c r="AY1736" s="554"/>
      <c r="AZ1736" s="554"/>
      <c r="BA1736" s="554"/>
      <c r="BB1736" s="620">
        <f t="shared" ref="BB1736:BB1743" si="707">I1736/24</f>
        <v>62.5</v>
      </c>
      <c r="BP1736" s="554">
        <f>I1736/25</f>
        <v>60</v>
      </c>
      <c r="CA1736" s="720"/>
      <c r="CB1736" s="555"/>
      <c r="CC1736" s="721"/>
      <c r="CD1736" s="554"/>
      <c r="CE1736" s="554"/>
      <c r="CF1736" s="554"/>
      <c r="CG1736" s="554"/>
      <c r="CP1736" s="619"/>
      <c r="CQ1736" s="619"/>
      <c r="CR1736" s="554"/>
      <c r="CS1736" s="554"/>
      <c r="CT1736" s="554"/>
      <c r="CU1736" s="554">
        <f t="shared" si="704"/>
        <v>60</v>
      </c>
      <c r="CV1736" s="554">
        <f t="shared" si="705"/>
        <v>0</v>
      </c>
      <c r="CW1736" s="554">
        <f t="shared" si="706"/>
        <v>0</v>
      </c>
      <c r="CX1736" s="717"/>
      <c r="CY1736" s="717"/>
      <c r="CZ1736" s="717"/>
      <c r="DA1736" s="717"/>
      <c r="DB1736" s="717"/>
      <c r="DC1736" s="717"/>
      <c r="DD1736" s="717"/>
      <c r="DE1736" s="717"/>
      <c r="DF1736" s="717"/>
      <c r="DG1736" s="717"/>
      <c r="DH1736" s="717"/>
    </row>
    <row r="1737" s="550" customFormat="1" ht="31" customHeight="1" spans="1:112">
      <c r="A1737" s="608">
        <v>46175</v>
      </c>
      <c r="B1737" s="609" t="s">
        <v>4051</v>
      </c>
      <c r="C1737" s="610" t="s">
        <v>4052</v>
      </c>
      <c r="D1737" s="554">
        <v>4500210388</v>
      </c>
      <c r="E1737" s="731" t="s">
        <v>4921</v>
      </c>
      <c r="F1737" s="729" t="s">
        <v>10246</v>
      </c>
      <c r="G1737" s="610" t="s">
        <v>6047</v>
      </c>
      <c r="H1737" s="610" t="s">
        <v>6069</v>
      </c>
      <c r="I1737" s="715">
        <v>4000</v>
      </c>
      <c r="J1737" s="610">
        <v>0</v>
      </c>
      <c r="K1737" s="610">
        <v>25</v>
      </c>
      <c r="L1737" s="611">
        <f t="shared" si="701"/>
        <v>160</v>
      </c>
      <c r="M1737" s="612">
        <v>46223</v>
      </c>
      <c r="N1737" s="612">
        <v>46219</v>
      </c>
      <c r="O1737" s="613" t="s">
        <v>4923</v>
      </c>
      <c r="P1737" s="610" t="s">
        <v>113</v>
      </c>
      <c r="Q1737" s="614">
        <v>46226</v>
      </c>
      <c r="R1737" s="614">
        <v>46177</v>
      </c>
      <c r="S1737" s="614" t="s">
        <v>70</v>
      </c>
      <c r="T1737" s="614" t="s">
        <v>10247</v>
      </c>
      <c r="U1737" s="614"/>
      <c r="V1737" s="614"/>
      <c r="W1737" s="573"/>
      <c r="X1737" s="738" t="s">
        <v>10248</v>
      </c>
      <c r="Y1737" s="616" t="s">
        <v>445</v>
      </c>
      <c r="Z1737" s="609">
        <v>0.958</v>
      </c>
      <c r="AA1737" s="616">
        <f>Z1737*I1737</f>
        <v>3832</v>
      </c>
      <c r="AC1737" s="697"/>
      <c r="AD1737" s="610" t="s">
        <v>6047</v>
      </c>
      <c r="AE1737" s="610" t="s">
        <v>82</v>
      </c>
      <c r="AF1737" s="610"/>
      <c r="AG1737" s="610"/>
      <c r="AH1737" s="609"/>
      <c r="AI1737" s="609">
        <v>4000</v>
      </c>
      <c r="AJ1737" s="610">
        <f t="shared" si="702"/>
        <v>0</v>
      </c>
      <c r="AK1737" s="613"/>
      <c r="AL1737" s="610" t="s">
        <v>2368</v>
      </c>
      <c r="AM1737" s="610"/>
      <c r="AN1737" s="554"/>
      <c r="AO1737" s="554">
        <f>I1737</f>
        <v>4000</v>
      </c>
      <c r="AP1737" s="554"/>
      <c r="AQ1737" s="554"/>
      <c r="AR1737" s="554"/>
      <c r="AS1737" s="554"/>
      <c r="AT1737" s="554">
        <f>I1737</f>
        <v>4000</v>
      </c>
      <c r="AU1737" s="554"/>
      <c r="AV1737" s="554">
        <f>I1737</f>
        <v>4000</v>
      </c>
      <c r="AW1737" s="554"/>
      <c r="AX1737" s="714"/>
      <c r="AY1737" s="554"/>
      <c r="AZ1737" s="554"/>
      <c r="BA1737" s="554"/>
      <c r="BB1737" s="620">
        <f t="shared" si="707"/>
        <v>166.666666666667</v>
      </c>
      <c r="BC1737" s="554"/>
      <c r="BD1737" s="554"/>
      <c r="BE1737" s="554"/>
      <c r="BF1737" s="554"/>
      <c r="BG1737" s="550"/>
      <c r="BH1737" s="554"/>
      <c r="BI1737" s="554"/>
      <c r="BJ1737" s="554"/>
      <c r="BK1737" s="554"/>
      <c r="BL1737" s="554"/>
      <c r="BM1737" s="554"/>
      <c r="BN1737" s="554"/>
      <c r="BO1737" s="554"/>
      <c r="BP1737" s="554">
        <f>I1737/25</f>
        <v>160</v>
      </c>
      <c r="BQ1737" s="554"/>
      <c r="BR1737" s="554"/>
      <c r="BS1737" s="554"/>
      <c r="BT1737" s="554"/>
      <c r="BU1737" s="554"/>
      <c r="BV1737" s="554"/>
      <c r="BW1737" s="554"/>
      <c r="BX1737" s="554"/>
      <c r="BY1737" s="554"/>
      <c r="BZ1737" s="554"/>
      <c r="CA1737" s="720"/>
      <c r="CB1737" s="555"/>
      <c r="CC1737" s="721"/>
      <c r="CD1737" s="554"/>
      <c r="CE1737" s="554"/>
      <c r="CF1737" s="554"/>
      <c r="CG1737" s="554"/>
      <c r="CH1737" s="550"/>
      <c r="CI1737" s="554"/>
      <c r="CJ1737" s="554"/>
      <c r="CK1737" s="554"/>
      <c r="CL1737" s="554"/>
      <c r="CM1737" s="554"/>
      <c r="CN1737" s="554"/>
      <c r="CO1737" s="554"/>
      <c r="CP1737" s="619"/>
      <c r="CQ1737" s="619"/>
      <c r="CR1737" s="619"/>
      <c r="CS1737" s="619"/>
      <c r="CT1737" s="619"/>
      <c r="CU1737" s="554">
        <f t="shared" si="704"/>
        <v>160</v>
      </c>
      <c r="CV1737" s="554">
        <f t="shared" si="705"/>
        <v>0</v>
      </c>
      <c r="CW1737" s="554">
        <f t="shared" si="706"/>
        <v>0</v>
      </c>
      <c r="CX1737" s="619"/>
      <c r="CY1737" s="619"/>
      <c r="CZ1737" s="619"/>
      <c r="DA1737" s="619"/>
      <c r="DB1737" s="619"/>
      <c r="DC1737" s="619"/>
      <c r="DD1737" s="619"/>
      <c r="DE1737" s="619"/>
      <c r="DF1737" s="619"/>
      <c r="DG1737" s="619"/>
      <c r="DH1737" s="619"/>
    </row>
    <row r="1738" s="554" customFormat="1" ht="31" customHeight="1" spans="1:112">
      <c r="A1738" s="608">
        <v>46178</v>
      </c>
      <c r="B1738" s="609" t="s">
        <v>10249</v>
      </c>
      <c r="C1738" s="610" t="s">
        <v>98</v>
      </c>
      <c r="D1738" s="727">
        <v>4500210878</v>
      </c>
      <c r="E1738" s="723">
        <v>805158</v>
      </c>
      <c r="F1738" s="729" t="s">
        <v>10250</v>
      </c>
      <c r="G1738" s="610" t="s">
        <v>6166</v>
      </c>
      <c r="H1738" s="610" t="s">
        <v>6094</v>
      </c>
      <c r="I1738" s="715">
        <v>4277</v>
      </c>
      <c r="J1738" s="610">
        <v>0</v>
      </c>
      <c r="K1738" s="610">
        <v>13</v>
      </c>
      <c r="L1738" s="611">
        <f t="shared" si="701"/>
        <v>329</v>
      </c>
      <c r="M1738" s="612">
        <v>46224</v>
      </c>
      <c r="N1738" s="612">
        <v>46220</v>
      </c>
      <c r="O1738" s="613"/>
      <c r="P1738" s="610" t="s">
        <v>113</v>
      </c>
      <c r="Q1738" s="614">
        <v>46225</v>
      </c>
      <c r="R1738" s="614">
        <v>46178</v>
      </c>
      <c r="S1738" s="614" t="s">
        <v>70</v>
      </c>
      <c r="T1738" s="614" t="s">
        <v>4814</v>
      </c>
      <c r="U1738" s="818"/>
      <c r="V1738" s="818"/>
      <c r="W1738" s="819" t="s">
        <v>10251</v>
      </c>
      <c r="X1738" s="820" t="s">
        <v>10252</v>
      </c>
      <c r="Y1738" s="616" t="s">
        <v>4818</v>
      </c>
      <c r="Z1738" s="609">
        <v>0.5729</v>
      </c>
      <c r="AA1738" s="616">
        <f>Z1738*I1738</f>
        <v>2450.2933</v>
      </c>
      <c r="AC1738" s="861" t="s">
        <v>10253</v>
      </c>
      <c r="AD1738" s="610" t="s">
        <v>6166</v>
      </c>
      <c r="AE1738" s="610" t="s">
        <v>82</v>
      </c>
      <c r="AF1738" s="610"/>
      <c r="AG1738" s="610"/>
      <c r="AH1738" s="609"/>
      <c r="AI1738" s="609">
        <v>4277</v>
      </c>
      <c r="AJ1738" s="610">
        <f t="shared" si="702"/>
        <v>0</v>
      </c>
      <c r="AK1738" s="613"/>
      <c r="AL1738" s="610" t="s">
        <v>454</v>
      </c>
      <c r="AM1738" s="610"/>
      <c r="AN1738" s="610">
        <f>I1738</f>
        <v>4277</v>
      </c>
      <c r="AR1738" s="619"/>
      <c r="AS1738" s="554">
        <f>I1738</f>
        <v>4277</v>
      </c>
      <c r="AU1738" s="554">
        <f>I1738</f>
        <v>4277</v>
      </c>
      <c r="AX1738" s="714"/>
      <c r="AY1738" s="554"/>
      <c r="AZ1738" s="554"/>
      <c r="BA1738" s="554"/>
      <c r="BB1738" s="620">
        <f t="shared" si="707"/>
        <v>178.208333333333</v>
      </c>
      <c r="BL1738" s="554">
        <f>I1738/13</f>
        <v>329</v>
      </c>
      <c r="CA1738" s="720"/>
      <c r="CB1738" s="555"/>
      <c r="CC1738" s="721"/>
      <c r="CD1738" s="554"/>
      <c r="CE1738" s="554"/>
      <c r="CF1738" s="554"/>
      <c r="CG1738" s="554"/>
      <c r="CH1738" s="554"/>
      <c r="CI1738" s="554"/>
      <c r="CJ1738" s="554"/>
      <c r="CK1738" s="554"/>
      <c r="CL1738" s="554"/>
      <c r="CM1738" s="554"/>
      <c r="CN1738" s="554"/>
      <c r="CO1738" s="554"/>
      <c r="CP1738" s="619"/>
      <c r="CQ1738" s="619"/>
      <c r="CR1738" s="554"/>
      <c r="CS1738" s="554"/>
      <c r="CT1738" s="554"/>
      <c r="CU1738" s="554">
        <f t="shared" si="704"/>
        <v>0</v>
      </c>
      <c r="CV1738" s="554">
        <f t="shared" si="705"/>
        <v>0</v>
      </c>
      <c r="CW1738" s="554">
        <f t="shared" si="706"/>
        <v>0</v>
      </c>
      <c r="CX1738" s="619"/>
      <c r="CY1738" s="619"/>
      <c r="CZ1738" s="619"/>
      <c r="DA1738" s="619"/>
      <c r="DB1738" s="619"/>
      <c r="DC1738" s="619"/>
      <c r="DD1738" s="619"/>
      <c r="DE1738" s="619"/>
      <c r="DF1738" s="619"/>
      <c r="DG1738" s="619"/>
      <c r="DH1738" s="619"/>
    </row>
    <row r="1739" s="554" customFormat="1" ht="31" customHeight="1" spans="1:112">
      <c r="A1739" s="608">
        <v>46168</v>
      </c>
      <c r="B1739" s="609" t="s">
        <v>5037</v>
      </c>
      <c r="C1739" s="610" t="s">
        <v>98</v>
      </c>
      <c r="D1739" s="727">
        <v>4500209005</v>
      </c>
      <c r="E1739" s="613">
        <v>725922</v>
      </c>
      <c r="F1739" s="554" t="s">
        <v>10254</v>
      </c>
      <c r="G1739" s="610" t="s">
        <v>6036</v>
      </c>
      <c r="H1739" s="610" t="s">
        <v>6033</v>
      </c>
      <c r="I1739" s="731">
        <v>1300</v>
      </c>
      <c r="J1739" s="610">
        <v>0</v>
      </c>
      <c r="K1739" s="610">
        <v>50</v>
      </c>
      <c r="L1739" s="611">
        <f t="shared" si="701"/>
        <v>26</v>
      </c>
      <c r="M1739" s="724">
        <v>46225</v>
      </c>
      <c r="N1739" s="724">
        <v>46221</v>
      </c>
      <c r="O1739" s="613"/>
      <c r="P1739" s="613" t="s">
        <v>113</v>
      </c>
      <c r="Q1739" s="610"/>
      <c r="R1739" s="614">
        <v>46168</v>
      </c>
      <c r="S1739" s="614" t="s">
        <v>104</v>
      </c>
      <c r="T1739" s="614" t="s">
        <v>10255</v>
      </c>
      <c r="U1739" s="614"/>
      <c r="V1739" s="614"/>
      <c r="W1739" s="609"/>
      <c r="X1739" s="609" t="s">
        <v>10256</v>
      </c>
      <c r="Y1739" s="609" t="s">
        <v>1318</v>
      </c>
      <c r="Z1739" s="722">
        <v>0.5952</v>
      </c>
      <c r="AA1739" s="616">
        <f>Z1739*I1739</f>
        <v>773.76</v>
      </c>
      <c r="AC1739" s="629" t="s">
        <v>5043</v>
      </c>
      <c r="AD1739" s="610" t="s">
        <v>6036</v>
      </c>
      <c r="AE1739" s="610" t="s">
        <v>82</v>
      </c>
      <c r="AF1739" s="610"/>
      <c r="AG1739" s="610"/>
      <c r="AH1739" s="610"/>
      <c r="AI1739" s="609">
        <v>1300</v>
      </c>
      <c r="AJ1739" s="610">
        <f t="shared" si="702"/>
        <v>0</v>
      </c>
      <c r="AK1739" s="610"/>
      <c r="AL1739" s="610" t="s">
        <v>454</v>
      </c>
      <c r="AM1739" s="610"/>
      <c r="AN1739" s="610">
        <f>I1739</f>
        <v>1300</v>
      </c>
      <c r="AP1739" s="554">
        <f>I1739</f>
        <v>1300</v>
      </c>
      <c r="AR1739" s="619"/>
      <c r="AS1739" s="554"/>
      <c r="AT1739" s="554"/>
      <c r="AU1739" s="554">
        <f>I1739</f>
        <v>1300</v>
      </c>
      <c r="AW1739" s="619"/>
      <c r="AX1739" s="554"/>
      <c r="AY1739" s="554"/>
      <c r="AZ1739" s="554"/>
      <c r="BA1739" s="554"/>
      <c r="BB1739" s="620">
        <f t="shared" si="707"/>
        <v>54.1666666666667</v>
      </c>
      <c r="BC1739" s="714"/>
      <c r="BD1739" s="554"/>
      <c r="BE1739" s="554"/>
      <c r="BF1739" s="554"/>
      <c r="BN1739" s="554">
        <f>I1739/25</f>
        <v>52</v>
      </c>
      <c r="BY1739" s="619"/>
      <c r="BZ1739" s="554"/>
      <c r="CA1739" s="621"/>
      <c r="CB1739" s="555"/>
      <c r="CC1739" s="622"/>
      <c r="CD1739" s="619"/>
      <c r="CE1739" s="619"/>
      <c r="CF1739" s="554"/>
      <c r="CG1739" s="554"/>
      <c r="CU1739" s="554">
        <f t="shared" si="704"/>
        <v>52</v>
      </c>
      <c r="CV1739" s="554">
        <f t="shared" si="705"/>
        <v>0</v>
      </c>
      <c r="CW1739" s="554">
        <f t="shared" si="706"/>
        <v>0</v>
      </c>
      <c r="CX1739" s="619"/>
      <c r="CY1739" s="619"/>
      <c r="CZ1739" s="619"/>
      <c r="DA1739" s="554"/>
      <c r="DB1739" s="554"/>
      <c r="DC1739" s="554"/>
      <c r="DD1739" s="619"/>
      <c r="DE1739" s="619"/>
      <c r="DF1739" s="619"/>
      <c r="DG1739" s="619"/>
      <c r="DH1739" s="619"/>
    </row>
    <row r="1740" s="550" customFormat="1" ht="31" customHeight="1" spans="1:112">
      <c r="A1740" s="608">
        <v>46178</v>
      </c>
      <c r="B1740" s="609" t="s">
        <v>10257</v>
      </c>
      <c r="C1740" s="610" t="s">
        <v>847</v>
      </c>
      <c r="D1740" s="727">
        <v>4500207334</v>
      </c>
      <c r="E1740" s="731" t="s">
        <v>4932</v>
      </c>
      <c r="F1740" s="729" t="s">
        <v>10258</v>
      </c>
      <c r="G1740" s="610" t="s">
        <v>6047</v>
      </c>
      <c r="H1740" s="610" t="s">
        <v>6069</v>
      </c>
      <c r="I1740" s="715">
        <v>1300</v>
      </c>
      <c r="J1740" s="610">
        <v>0</v>
      </c>
      <c r="K1740" s="610">
        <v>25</v>
      </c>
      <c r="L1740" s="611">
        <f t="shared" si="701"/>
        <v>52</v>
      </c>
      <c r="M1740" s="612">
        <v>46225</v>
      </c>
      <c r="N1740" s="612">
        <v>46221</v>
      </c>
      <c r="O1740" s="613"/>
      <c r="P1740" s="610" t="s">
        <v>113</v>
      </c>
      <c r="Q1740" s="614"/>
      <c r="R1740" s="614">
        <v>46183</v>
      </c>
      <c r="S1740" s="614" t="s">
        <v>70</v>
      </c>
      <c r="T1740" s="614" t="s">
        <v>10259</v>
      </c>
      <c r="U1740" s="818"/>
      <c r="V1740" s="818"/>
      <c r="W1740" s="819" t="s">
        <v>10260</v>
      </c>
      <c r="X1740" s="820" t="s">
        <v>10261</v>
      </c>
      <c r="Y1740" s="616" t="s">
        <v>4937</v>
      </c>
      <c r="Z1740" s="609">
        <v>0.958</v>
      </c>
      <c r="AA1740" s="616">
        <f>Z1740*I1740</f>
        <v>1245.4</v>
      </c>
      <c r="AC1740" s="697"/>
      <c r="AD1740" s="610" t="s">
        <v>6047</v>
      </c>
      <c r="AE1740" s="610" t="s">
        <v>82</v>
      </c>
      <c r="AF1740" s="610"/>
      <c r="AG1740" s="610"/>
      <c r="AH1740" s="609"/>
      <c r="AI1740" s="609">
        <v>1300</v>
      </c>
      <c r="AJ1740" s="610">
        <f t="shared" si="702"/>
        <v>0</v>
      </c>
      <c r="AK1740" s="613"/>
      <c r="AL1740" s="610" t="s">
        <v>2368</v>
      </c>
      <c r="AM1740" s="610"/>
      <c r="AN1740" s="554"/>
      <c r="AO1740" s="554">
        <f>I1740</f>
        <v>1300</v>
      </c>
      <c r="AP1740" s="554"/>
      <c r="AQ1740" s="554"/>
      <c r="AR1740" s="554"/>
      <c r="AS1740" s="554"/>
      <c r="AT1740" s="554">
        <f>I1740</f>
        <v>1300</v>
      </c>
      <c r="AU1740" s="554"/>
      <c r="AV1740" s="554">
        <f>I1740</f>
        <v>1300</v>
      </c>
      <c r="AW1740" s="554"/>
      <c r="AX1740" s="714"/>
      <c r="AY1740" s="554"/>
      <c r="AZ1740" s="554"/>
      <c r="BA1740" s="554"/>
      <c r="BB1740" s="620">
        <f t="shared" si="707"/>
        <v>54.1666666666667</v>
      </c>
      <c r="BC1740" s="554"/>
      <c r="BD1740" s="554"/>
      <c r="BE1740" s="554"/>
      <c r="BF1740" s="554"/>
      <c r="BG1740" s="550"/>
      <c r="BH1740" s="554"/>
      <c r="BI1740" s="554"/>
      <c r="BJ1740" s="554"/>
      <c r="BK1740" s="554"/>
      <c r="BL1740" s="554"/>
      <c r="BM1740" s="554"/>
      <c r="BN1740" s="554"/>
      <c r="BO1740" s="554"/>
      <c r="BP1740" s="554">
        <f>I1740/25</f>
        <v>52</v>
      </c>
      <c r="BQ1740" s="554"/>
      <c r="BR1740" s="554"/>
      <c r="BS1740" s="554"/>
      <c r="BT1740" s="554"/>
      <c r="BU1740" s="554"/>
      <c r="BV1740" s="554"/>
      <c r="BW1740" s="554"/>
      <c r="BX1740" s="554"/>
      <c r="BY1740" s="554"/>
      <c r="BZ1740" s="554"/>
      <c r="CA1740" s="720"/>
      <c r="CB1740" s="555"/>
      <c r="CC1740" s="721"/>
      <c r="CD1740" s="554"/>
      <c r="CE1740" s="554"/>
      <c r="CF1740" s="554"/>
      <c r="CG1740" s="554"/>
      <c r="CH1740" s="550"/>
      <c r="CI1740" s="554"/>
      <c r="CJ1740" s="554"/>
      <c r="CK1740" s="554"/>
      <c r="CL1740" s="554"/>
      <c r="CM1740" s="554"/>
      <c r="CN1740" s="554"/>
      <c r="CO1740" s="554"/>
      <c r="CP1740" s="619"/>
      <c r="CQ1740" s="619"/>
      <c r="CR1740" s="619"/>
      <c r="CS1740" s="619"/>
      <c r="CT1740" s="619"/>
      <c r="CU1740" s="554">
        <f t="shared" si="704"/>
        <v>52</v>
      </c>
      <c r="CV1740" s="554">
        <f t="shared" si="705"/>
        <v>0</v>
      </c>
      <c r="CW1740" s="554">
        <f t="shared" si="706"/>
        <v>0</v>
      </c>
      <c r="CX1740" s="619"/>
      <c r="CY1740" s="619"/>
      <c r="CZ1740" s="619"/>
      <c r="DA1740" s="619"/>
      <c r="DB1740" s="619"/>
      <c r="DC1740" s="619"/>
      <c r="DD1740" s="619"/>
      <c r="DE1740" s="619"/>
      <c r="DF1740" s="619"/>
      <c r="DG1740" s="619"/>
      <c r="DH1740" s="619"/>
    </row>
    <row r="1741" s="550" customFormat="1" ht="31" customHeight="1" spans="1:112">
      <c r="A1741" s="608">
        <v>46178</v>
      </c>
      <c r="B1741" s="609" t="s">
        <v>10257</v>
      </c>
      <c r="C1741" s="610" t="s">
        <v>847</v>
      </c>
      <c r="D1741" s="727">
        <v>4500207334</v>
      </c>
      <c r="E1741" s="731" t="s">
        <v>4932</v>
      </c>
      <c r="F1741" s="729" t="s">
        <v>10262</v>
      </c>
      <c r="G1741" s="610" t="s">
        <v>6223</v>
      </c>
      <c r="H1741" s="610" t="s">
        <v>6080</v>
      </c>
      <c r="I1741" s="715">
        <v>2400</v>
      </c>
      <c r="J1741" s="610">
        <v>0</v>
      </c>
      <c r="K1741" s="843">
        <v>30</v>
      </c>
      <c r="L1741" s="844">
        <f t="shared" si="701"/>
        <v>80</v>
      </c>
      <c r="M1741" s="845">
        <v>46225</v>
      </c>
      <c r="N1741" s="612">
        <v>46221</v>
      </c>
      <c r="O1741" s="613"/>
      <c r="P1741" s="610" t="s">
        <v>113</v>
      </c>
      <c r="Q1741" s="614"/>
      <c r="R1741" s="614">
        <v>46183</v>
      </c>
      <c r="S1741" s="614" t="s">
        <v>70</v>
      </c>
      <c r="T1741" s="614" t="s">
        <v>10259</v>
      </c>
      <c r="U1741" s="818"/>
      <c r="V1741" s="818"/>
      <c r="W1741" s="819" t="s">
        <v>10260</v>
      </c>
      <c r="X1741" s="820" t="s">
        <v>10263</v>
      </c>
      <c r="Y1741" s="616" t="s">
        <v>4937</v>
      </c>
      <c r="Z1741" s="609">
        <v>41.9924</v>
      </c>
      <c r="AA1741" s="616">
        <f>Z1741*L1741</f>
        <v>3359.392</v>
      </c>
      <c r="AC1741" s="697"/>
      <c r="AD1741" s="610" t="s">
        <v>6223</v>
      </c>
      <c r="AE1741" s="610" t="s">
        <v>82</v>
      </c>
      <c r="AF1741" s="610"/>
      <c r="AG1741" s="610"/>
      <c r="AH1741" s="609"/>
      <c r="AI1741" s="609">
        <v>2400</v>
      </c>
      <c r="AJ1741" s="610">
        <f t="shared" si="702"/>
        <v>0</v>
      </c>
      <c r="AK1741" s="613"/>
      <c r="AL1741" s="610" t="s">
        <v>2368</v>
      </c>
      <c r="AM1741" s="610"/>
      <c r="AN1741" s="610"/>
      <c r="AO1741" s="554">
        <f>I1741</f>
        <v>2400</v>
      </c>
      <c r="AP1741" s="554"/>
      <c r="AQ1741" s="554"/>
      <c r="AR1741" s="619"/>
      <c r="AS1741" s="554"/>
      <c r="AT1741" s="554">
        <f>I1741</f>
        <v>2400</v>
      </c>
      <c r="AU1741" s="554"/>
      <c r="AV1741" s="554">
        <f>I1741</f>
        <v>2400</v>
      </c>
      <c r="AW1741" s="554"/>
      <c r="AX1741" s="714"/>
      <c r="AY1741" s="554"/>
      <c r="AZ1741" s="554"/>
      <c r="BA1741" s="554"/>
      <c r="BB1741" s="620">
        <f t="shared" si="707"/>
        <v>100</v>
      </c>
      <c r="BC1741" s="554"/>
      <c r="BD1741" s="554"/>
      <c r="BE1741" s="554"/>
      <c r="BF1741" s="554"/>
      <c r="BG1741" s="550"/>
      <c r="BH1741" s="554"/>
      <c r="BI1741" s="554"/>
      <c r="BJ1741" s="554"/>
      <c r="BK1741" s="554"/>
      <c r="BL1741" s="554"/>
      <c r="BM1741" s="554"/>
      <c r="BN1741" s="554"/>
      <c r="BO1741" s="554"/>
      <c r="BP1741" s="554"/>
      <c r="BQ1741" s="554"/>
      <c r="BR1741" s="554"/>
      <c r="BS1741" s="554"/>
      <c r="BT1741" s="554"/>
      <c r="BU1741" s="554"/>
      <c r="BV1741" s="554"/>
      <c r="BW1741" s="554"/>
      <c r="BX1741" s="554"/>
      <c r="BY1741" s="554"/>
      <c r="BZ1741" s="554"/>
      <c r="CA1741" s="720"/>
      <c r="CB1741" s="555"/>
      <c r="CC1741" s="721"/>
      <c r="CD1741" s="554"/>
      <c r="CE1741" s="554"/>
      <c r="CF1741" s="554"/>
      <c r="CG1741" s="554"/>
      <c r="CH1741" s="550"/>
      <c r="CI1741" s="554"/>
      <c r="CJ1741" s="554"/>
      <c r="CK1741" s="554"/>
      <c r="CL1741" s="554"/>
      <c r="CM1741" s="554"/>
      <c r="CN1741" s="554"/>
      <c r="CO1741" s="554">
        <f>I1741/30</f>
        <v>80</v>
      </c>
      <c r="CP1741" s="554"/>
      <c r="CQ1741" s="619"/>
      <c r="CR1741" s="554"/>
      <c r="CS1741" s="554"/>
      <c r="CT1741" s="554"/>
      <c r="CU1741" s="554">
        <f t="shared" si="704"/>
        <v>0</v>
      </c>
      <c r="CV1741" s="554">
        <f t="shared" si="705"/>
        <v>80</v>
      </c>
      <c r="CW1741" s="554">
        <f t="shared" si="706"/>
        <v>0</v>
      </c>
      <c r="CX1741" s="619"/>
      <c r="CY1741" s="619"/>
      <c r="CZ1741" s="619"/>
      <c r="DA1741" s="619"/>
      <c r="DB1741" s="619"/>
      <c r="DC1741" s="619"/>
      <c r="DD1741" s="619"/>
      <c r="DE1741" s="619"/>
      <c r="DF1741" s="619"/>
      <c r="DG1741" s="619"/>
      <c r="DH1741" s="619"/>
    </row>
    <row r="1742" s="554" customFormat="1" ht="31" customHeight="1" spans="1:112">
      <c r="A1742" s="608">
        <v>46168</v>
      </c>
      <c r="B1742" s="609" t="s">
        <v>5030</v>
      </c>
      <c r="C1742" s="610" t="s">
        <v>524</v>
      </c>
      <c r="D1742" s="727">
        <v>4500208984</v>
      </c>
      <c r="E1742" s="613">
        <v>17395445</v>
      </c>
      <c r="F1742" s="554" t="s">
        <v>10264</v>
      </c>
      <c r="G1742" s="610" t="s">
        <v>6079</v>
      </c>
      <c r="H1742" s="610" t="s">
        <v>6080</v>
      </c>
      <c r="I1742" s="715">
        <v>1200</v>
      </c>
      <c r="J1742" s="610">
        <v>0</v>
      </c>
      <c r="K1742" s="610">
        <v>60</v>
      </c>
      <c r="L1742" s="611">
        <f t="shared" si="701"/>
        <v>20</v>
      </c>
      <c r="M1742" s="612">
        <v>46220</v>
      </c>
      <c r="N1742" s="724">
        <v>46223</v>
      </c>
      <c r="O1742" s="737" t="s">
        <v>5034</v>
      </c>
      <c r="P1742" s="610" t="s">
        <v>113</v>
      </c>
      <c r="Q1742" s="614">
        <v>46233</v>
      </c>
      <c r="R1742" s="614">
        <v>46184</v>
      </c>
      <c r="S1742" s="614" t="s">
        <v>70</v>
      </c>
      <c r="T1742" s="818" t="s">
        <v>10265</v>
      </c>
      <c r="U1742" s="818"/>
      <c r="V1742" s="862"/>
      <c r="W1742" s="819"/>
      <c r="X1742" s="820" t="s">
        <v>10266</v>
      </c>
      <c r="Y1742" s="616" t="s">
        <v>340</v>
      </c>
      <c r="Z1742" s="609">
        <v>72.1585</v>
      </c>
      <c r="AA1742" s="616">
        <f>Z1742*L1742</f>
        <v>1443.17</v>
      </c>
      <c r="AC1742" s="697"/>
      <c r="AD1742" s="610" t="s">
        <v>6079</v>
      </c>
      <c r="AE1742" s="610" t="s">
        <v>82</v>
      </c>
      <c r="AF1742" s="610"/>
      <c r="AG1742" s="610"/>
      <c r="AH1742" s="609"/>
      <c r="AI1742" s="609">
        <v>1200</v>
      </c>
      <c r="AJ1742" s="610">
        <f t="shared" si="702"/>
        <v>0</v>
      </c>
      <c r="AK1742" s="613"/>
      <c r="AL1742" s="610" t="s">
        <v>2368</v>
      </c>
      <c r="AM1742" s="610"/>
      <c r="AN1742" s="554"/>
      <c r="AO1742" s="554">
        <f>I1742</f>
        <v>1200</v>
      </c>
      <c r="AR1742" s="619"/>
      <c r="AS1742" s="554"/>
      <c r="AT1742" s="554">
        <f>I1742</f>
        <v>1200</v>
      </c>
      <c r="AV1742" s="554">
        <f>I1742</f>
        <v>1200</v>
      </c>
      <c r="AX1742" s="714"/>
      <c r="AY1742" s="554"/>
      <c r="AZ1742" s="554"/>
      <c r="BA1742" s="554"/>
      <c r="BB1742" s="620">
        <f t="shared" si="707"/>
        <v>50</v>
      </c>
      <c r="CA1742" s="720"/>
      <c r="CB1742" s="555"/>
      <c r="CC1742" s="721"/>
      <c r="CD1742" s="554"/>
      <c r="CE1742" s="554"/>
      <c r="CF1742" s="554"/>
      <c r="CG1742" s="554"/>
      <c r="CL1742" s="554">
        <f>L1742</f>
        <v>20</v>
      </c>
      <c r="CQ1742" s="619"/>
      <c r="CR1742" s="554"/>
      <c r="CS1742" s="554"/>
      <c r="CT1742" s="554"/>
      <c r="CU1742" s="554">
        <f t="shared" si="704"/>
        <v>0</v>
      </c>
      <c r="CV1742" s="554">
        <f t="shared" si="705"/>
        <v>20</v>
      </c>
      <c r="CW1742" s="554">
        <f t="shared" si="706"/>
        <v>0</v>
      </c>
      <c r="CX1742" s="619"/>
      <c r="CY1742" s="619"/>
      <c r="CZ1742" s="619"/>
      <c r="DA1742" s="619"/>
      <c r="DB1742" s="619"/>
      <c r="DC1742" s="619"/>
      <c r="DD1742" s="619"/>
      <c r="DE1742" s="619"/>
      <c r="DF1742" s="619"/>
      <c r="DG1742" s="619"/>
      <c r="DH1742" s="619"/>
    </row>
    <row r="1743" s="550" customFormat="1" ht="31" customHeight="1" spans="1:112">
      <c r="A1743" s="608">
        <v>46168</v>
      </c>
      <c r="B1743" s="609" t="s">
        <v>8048</v>
      </c>
      <c r="C1743" s="610" t="s">
        <v>98</v>
      </c>
      <c r="D1743" s="554">
        <v>4500208957</v>
      </c>
      <c r="E1743" s="731">
        <v>60999267</v>
      </c>
      <c r="F1743" s="729" t="s">
        <v>10267</v>
      </c>
      <c r="G1743" s="610" t="s">
        <v>8051</v>
      </c>
      <c r="H1743" s="610" t="s">
        <v>6102</v>
      </c>
      <c r="I1743" s="715">
        <v>44160</v>
      </c>
      <c r="J1743" s="610">
        <v>0</v>
      </c>
      <c r="K1743" s="843">
        <v>6</v>
      </c>
      <c r="L1743" s="844">
        <f t="shared" si="701"/>
        <v>7360</v>
      </c>
      <c r="M1743" s="845">
        <v>46226</v>
      </c>
      <c r="N1743" s="612">
        <v>46223</v>
      </c>
      <c r="O1743" s="613" t="s">
        <v>10268</v>
      </c>
      <c r="P1743" s="610" t="s">
        <v>113</v>
      </c>
      <c r="Q1743" s="614">
        <v>46249</v>
      </c>
      <c r="R1743" s="614">
        <v>46174</v>
      </c>
      <c r="S1743" s="614" t="s">
        <v>104</v>
      </c>
      <c r="T1743" s="818" t="s">
        <v>10269</v>
      </c>
      <c r="U1743" s="818"/>
      <c r="V1743" s="862" t="s">
        <v>10270</v>
      </c>
      <c r="W1743" s="819"/>
      <c r="X1743" s="820" t="s">
        <v>10271</v>
      </c>
      <c r="Y1743" s="616" t="s">
        <v>8055</v>
      </c>
      <c r="Z1743" s="609">
        <v>0.6215</v>
      </c>
      <c r="AA1743" s="616">
        <f>Z1743*I1743</f>
        <v>27445.44</v>
      </c>
      <c r="AC1743" s="637" t="s">
        <v>10272</v>
      </c>
      <c r="AD1743" s="610" t="s">
        <v>8051</v>
      </c>
      <c r="AE1743" s="610" t="s">
        <v>82</v>
      </c>
      <c r="AF1743" s="610"/>
      <c r="AG1743" s="610"/>
      <c r="AH1743" s="609"/>
      <c r="AI1743" s="609">
        <f>17280+26880</f>
        <v>44160</v>
      </c>
      <c r="AJ1743" s="610">
        <f t="shared" si="702"/>
        <v>0</v>
      </c>
      <c r="AK1743" s="613"/>
      <c r="AL1743" s="610" t="s">
        <v>2368</v>
      </c>
      <c r="AM1743" s="610"/>
      <c r="AN1743" s="610">
        <f>I1743</f>
        <v>44160</v>
      </c>
      <c r="AO1743" s="554"/>
      <c r="AP1743" s="554">
        <f>I1743</f>
        <v>44160</v>
      </c>
      <c r="AQ1743" s="554"/>
      <c r="AR1743" s="619"/>
      <c r="AS1743" s="554"/>
      <c r="AT1743" s="554"/>
      <c r="AU1743" s="554">
        <f>I1743</f>
        <v>44160</v>
      </c>
      <c r="AV1743" s="554"/>
      <c r="AW1743" s="554"/>
      <c r="AX1743" s="714"/>
      <c r="AY1743" s="554"/>
      <c r="AZ1743" s="554"/>
      <c r="BA1743" s="554"/>
      <c r="BB1743" s="620">
        <f t="shared" si="707"/>
        <v>1840</v>
      </c>
      <c r="BC1743" s="554"/>
      <c r="BD1743" s="554"/>
      <c r="BE1743" s="554"/>
      <c r="BF1743" s="554"/>
      <c r="BG1743" s="550"/>
      <c r="BH1743" s="554"/>
      <c r="BI1743" s="554"/>
      <c r="BJ1743" s="554"/>
      <c r="BK1743" s="554"/>
      <c r="BL1743" s="554"/>
      <c r="BM1743" s="554"/>
      <c r="BN1743" s="554"/>
      <c r="BO1743" s="554"/>
      <c r="BP1743" s="554"/>
      <c r="BQ1743" s="554"/>
      <c r="BR1743" s="554"/>
      <c r="BS1743" s="554"/>
      <c r="BT1743" s="554">
        <f>L1743</f>
        <v>7360</v>
      </c>
      <c r="BU1743" s="554"/>
      <c r="BV1743" s="554"/>
      <c r="BW1743" s="554"/>
      <c r="BX1743" s="554"/>
      <c r="BY1743" s="554"/>
      <c r="BZ1743" s="554"/>
      <c r="CA1743" s="720"/>
      <c r="CB1743" s="555"/>
      <c r="CC1743" s="721"/>
      <c r="CD1743" s="554"/>
      <c r="CE1743" s="554"/>
      <c r="CF1743" s="554"/>
      <c r="CG1743" s="554"/>
      <c r="CH1743" s="550"/>
      <c r="CI1743" s="554"/>
      <c r="CJ1743" s="554"/>
      <c r="CK1743" s="554"/>
      <c r="CL1743" s="554"/>
      <c r="CM1743" s="554"/>
      <c r="CN1743" s="554"/>
      <c r="CO1743" s="554"/>
      <c r="CP1743" s="619"/>
      <c r="CQ1743" s="619"/>
      <c r="CR1743" s="554"/>
      <c r="CS1743" s="554"/>
      <c r="CT1743" s="554"/>
      <c r="CU1743" s="554">
        <f t="shared" si="704"/>
        <v>0</v>
      </c>
      <c r="CV1743" s="554">
        <f t="shared" si="705"/>
        <v>0</v>
      </c>
      <c r="CW1743" s="554">
        <f t="shared" si="706"/>
        <v>0</v>
      </c>
      <c r="CX1743" s="619"/>
      <c r="CY1743" s="619"/>
      <c r="CZ1743" s="619"/>
      <c r="DA1743" s="619"/>
      <c r="DB1743" s="619"/>
      <c r="DC1743" s="619"/>
      <c r="DD1743" s="619"/>
      <c r="DE1743" s="619"/>
      <c r="DF1743" s="619"/>
      <c r="DG1743" s="619"/>
      <c r="DH1743" s="619"/>
    </row>
    <row r="1744" s="550" customFormat="1" ht="31" customHeight="1" spans="1:112">
      <c r="A1744" s="608">
        <v>46171</v>
      </c>
      <c r="B1744" s="609" t="s">
        <v>4371</v>
      </c>
      <c r="C1744" s="610" t="s">
        <v>98</v>
      </c>
      <c r="D1744" s="554">
        <v>4500209899</v>
      </c>
      <c r="E1744" s="610">
        <v>7137241924</v>
      </c>
      <c r="F1744" s="554" t="s">
        <v>5001</v>
      </c>
      <c r="G1744" s="610" t="s">
        <v>10273</v>
      </c>
      <c r="H1744" s="610" t="s">
        <v>5003</v>
      </c>
      <c r="I1744" s="715">
        <v>432</v>
      </c>
      <c r="J1744" s="610">
        <v>0</v>
      </c>
      <c r="K1744" s="843">
        <v>24</v>
      </c>
      <c r="L1744" s="844">
        <f t="shared" si="701"/>
        <v>18</v>
      </c>
      <c r="M1744" s="845">
        <v>46217</v>
      </c>
      <c r="N1744" s="612">
        <v>46213</v>
      </c>
      <c r="O1744" s="737" t="s">
        <v>10274</v>
      </c>
      <c r="P1744" s="610" t="s">
        <v>113</v>
      </c>
      <c r="Q1744" s="614"/>
      <c r="R1744" s="614">
        <v>46162</v>
      </c>
      <c r="S1744" s="614" t="s">
        <v>104</v>
      </c>
      <c r="T1744" s="614" t="s">
        <v>10275</v>
      </c>
      <c r="U1744" s="614"/>
      <c r="V1744" s="614" t="s">
        <v>10276</v>
      </c>
      <c r="W1744" s="573" t="s">
        <v>5006</v>
      </c>
      <c r="X1744" s="609" t="s">
        <v>5007</v>
      </c>
      <c r="Y1744" s="616" t="s">
        <v>4378</v>
      </c>
      <c r="Z1744" s="609">
        <v>120.6056</v>
      </c>
      <c r="AA1744" s="616">
        <f>Z1744*L1744</f>
        <v>2170.9008</v>
      </c>
      <c r="AC1744" s="697"/>
      <c r="AD1744" s="555" t="s">
        <v>5008</v>
      </c>
      <c r="AE1744" s="610" t="s">
        <v>82</v>
      </c>
      <c r="AF1744" s="610"/>
      <c r="AG1744" s="610"/>
      <c r="AH1744" s="609"/>
      <c r="AI1744" s="609">
        <v>432</v>
      </c>
      <c r="AJ1744" s="610">
        <f t="shared" si="702"/>
        <v>0</v>
      </c>
      <c r="AK1744" s="613"/>
      <c r="AL1744" s="610" t="s">
        <v>2368</v>
      </c>
      <c r="AM1744" s="610"/>
      <c r="AN1744" s="610">
        <f>I1744*2</f>
        <v>864</v>
      </c>
      <c r="AO1744" s="554"/>
      <c r="AP1744" s="554"/>
      <c r="AQ1744" s="554"/>
      <c r="AR1744" s="619"/>
      <c r="AS1744" s="554"/>
      <c r="AT1744" s="554"/>
      <c r="AU1744" s="554">
        <f>I1744*2</f>
        <v>864</v>
      </c>
      <c r="AV1744" s="554"/>
      <c r="AW1744" s="554"/>
      <c r="AX1744" s="714"/>
      <c r="AY1744" s="554"/>
      <c r="AZ1744" s="554"/>
      <c r="BA1744" s="554"/>
      <c r="BB1744" s="620">
        <f>I1744/24*2</f>
        <v>36</v>
      </c>
      <c r="BC1744" s="554"/>
      <c r="BD1744" s="554"/>
      <c r="BE1744" s="554"/>
      <c r="BF1744" s="720"/>
      <c r="BG1744" s="555">
        <f>AN1744</f>
        <v>864</v>
      </c>
      <c r="BH1744" s="721"/>
      <c r="BI1744" s="554"/>
      <c r="BJ1744" s="554"/>
      <c r="BK1744" s="554"/>
      <c r="BL1744" s="554"/>
      <c r="BM1744" s="554"/>
      <c r="BN1744" s="554"/>
      <c r="BO1744" s="554"/>
      <c r="BP1744" s="554"/>
      <c r="BQ1744" s="554"/>
      <c r="BR1744" s="554"/>
      <c r="BS1744" s="554"/>
      <c r="BT1744" s="554"/>
      <c r="BU1744" s="554"/>
      <c r="BV1744" s="554"/>
      <c r="BW1744" s="554"/>
      <c r="BX1744" s="554"/>
      <c r="BY1744" s="554">
        <f>I1744</f>
        <v>432</v>
      </c>
      <c r="BZ1744" s="554"/>
      <c r="CA1744" s="720"/>
      <c r="CB1744" s="555"/>
      <c r="CC1744" s="721"/>
      <c r="CD1744" s="554"/>
      <c r="CE1744" s="554"/>
      <c r="CF1744" s="554"/>
      <c r="CG1744" s="720"/>
      <c r="CH1744" s="555">
        <f>L1744</f>
        <v>18</v>
      </c>
      <c r="CI1744" s="721"/>
      <c r="CJ1744" s="554"/>
      <c r="CK1744" s="554"/>
      <c r="CL1744" s="554"/>
      <c r="CM1744" s="554"/>
      <c r="CN1744" s="554"/>
      <c r="CO1744" s="554"/>
      <c r="CP1744" s="619"/>
      <c r="CQ1744" s="619"/>
      <c r="CR1744" s="554"/>
      <c r="CS1744" s="554"/>
      <c r="CT1744" s="554"/>
      <c r="CU1744" s="554">
        <f t="shared" si="704"/>
        <v>0</v>
      </c>
      <c r="CV1744" s="554">
        <f t="shared" si="705"/>
        <v>0</v>
      </c>
      <c r="CW1744" s="554">
        <f t="shared" si="706"/>
        <v>0</v>
      </c>
      <c r="CX1744" s="619"/>
      <c r="CY1744" s="619"/>
      <c r="CZ1744" s="619"/>
      <c r="DA1744" s="619"/>
      <c r="DB1744" s="619"/>
      <c r="DC1744" s="619"/>
      <c r="DD1744" s="619"/>
      <c r="DE1744" s="619"/>
      <c r="DF1744" s="619"/>
      <c r="DG1744" s="619"/>
      <c r="DH1744" s="619"/>
    </row>
    <row r="1745" s="550" customFormat="1" ht="31" customHeight="1" spans="1:113">
      <c r="A1745" s="608">
        <v>46153</v>
      </c>
      <c r="B1745" s="609" t="s">
        <v>398</v>
      </c>
      <c r="C1745" s="610" t="s">
        <v>399</v>
      </c>
      <c r="D1745" s="727">
        <v>4500206343</v>
      </c>
      <c r="E1745" s="610" t="s">
        <v>3846</v>
      </c>
      <c r="F1745" s="554" t="s">
        <v>4976</v>
      </c>
      <c r="G1745" s="610" t="s">
        <v>6337</v>
      </c>
      <c r="H1745" s="610" t="s">
        <v>477</v>
      </c>
      <c r="I1745" s="715">
        <v>1500</v>
      </c>
      <c r="J1745" s="610">
        <v>0</v>
      </c>
      <c r="K1745" s="610">
        <v>6</v>
      </c>
      <c r="L1745" s="611">
        <f t="shared" si="701"/>
        <v>250</v>
      </c>
      <c r="M1745" s="612">
        <v>46223</v>
      </c>
      <c r="N1745" s="612">
        <v>46219</v>
      </c>
      <c r="O1745" s="613"/>
      <c r="P1745" s="610" t="s">
        <v>113</v>
      </c>
      <c r="Q1745" s="614"/>
      <c r="R1745" s="614">
        <v>46175</v>
      </c>
      <c r="S1745" s="614" t="s">
        <v>70</v>
      </c>
      <c r="T1745" s="614" t="s">
        <v>10277</v>
      </c>
      <c r="U1745" s="818"/>
      <c r="V1745" s="818"/>
      <c r="W1745" s="862" t="s">
        <v>10214</v>
      </c>
      <c r="X1745" s="820" t="s">
        <v>4978</v>
      </c>
      <c r="Y1745" s="616" t="s">
        <v>445</v>
      </c>
      <c r="Z1745" s="609">
        <v>7.0192</v>
      </c>
      <c r="AA1745" s="616">
        <f t="shared" ref="AA1745:AA1752" si="708">Z1745*I1745</f>
        <v>10528.8</v>
      </c>
      <c r="AC1745" s="697"/>
      <c r="AD1745" s="610" t="s">
        <v>480</v>
      </c>
      <c r="AE1745" s="610" t="s">
        <v>82</v>
      </c>
      <c r="AF1745" s="610"/>
      <c r="AG1745" s="610"/>
      <c r="AH1745" s="609"/>
      <c r="AI1745" s="609">
        <f>1464+36</f>
        <v>1500</v>
      </c>
      <c r="AJ1745" s="610">
        <f t="shared" si="702"/>
        <v>0</v>
      </c>
      <c r="AK1745" s="613"/>
      <c r="AL1745" s="610" t="s">
        <v>2368</v>
      </c>
      <c r="AM1745" s="610"/>
      <c r="AN1745" s="554"/>
      <c r="AO1745" s="554">
        <f>I1745*2</f>
        <v>3000</v>
      </c>
      <c r="AP1745" s="554"/>
      <c r="AQ1745" s="554"/>
      <c r="AR1745" s="619"/>
      <c r="AS1745" s="554"/>
      <c r="AT1745" s="554">
        <f>I1745*2</f>
        <v>3000</v>
      </c>
      <c r="AU1745" s="554"/>
      <c r="AV1745" s="554">
        <f>I1745*2</f>
        <v>3000</v>
      </c>
      <c r="AW1745" s="554"/>
      <c r="AX1745" s="714"/>
      <c r="AY1745" s="554"/>
      <c r="AZ1745" s="554"/>
      <c r="BA1745" s="554"/>
      <c r="BB1745" s="620">
        <f>I1745/24*2</f>
        <v>125</v>
      </c>
      <c r="BC1745" s="554"/>
      <c r="BD1745" s="554"/>
      <c r="BE1745" s="554"/>
      <c r="BF1745" s="554"/>
      <c r="BG1745" s="550"/>
      <c r="BH1745" s="554"/>
      <c r="BI1745" s="554"/>
      <c r="BJ1745" s="554"/>
      <c r="BK1745" s="554"/>
      <c r="BL1745" s="554"/>
      <c r="BM1745" s="554"/>
      <c r="BN1745" s="554"/>
      <c r="BO1745" s="554"/>
      <c r="BP1745" s="554"/>
      <c r="BQ1745" s="554"/>
      <c r="BR1745" s="554"/>
      <c r="BS1745" s="554"/>
      <c r="BT1745" s="554"/>
      <c r="BU1745" s="554"/>
      <c r="BV1745" s="554"/>
      <c r="BW1745" s="554"/>
      <c r="BX1745" s="554"/>
      <c r="BY1745" s="554"/>
      <c r="BZ1745" s="554">
        <f>I1745</f>
        <v>1500</v>
      </c>
      <c r="CA1745" s="720"/>
      <c r="CB1745" s="555"/>
      <c r="CC1745" s="721"/>
      <c r="CD1745" s="554"/>
      <c r="CE1745" s="554"/>
      <c r="CF1745" s="554"/>
      <c r="CG1745" s="554"/>
      <c r="CH1745" s="550"/>
      <c r="CI1745" s="554"/>
      <c r="CJ1745" s="554"/>
      <c r="CK1745" s="554"/>
      <c r="CL1745" s="554"/>
      <c r="CM1745" s="554"/>
      <c r="CN1745" s="554"/>
      <c r="CO1745" s="554"/>
      <c r="CP1745" s="619"/>
      <c r="CQ1745" s="619"/>
      <c r="CR1745" s="554"/>
      <c r="CS1745" s="554"/>
      <c r="CT1745" s="554"/>
      <c r="CU1745" s="554">
        <f t="shared" si="704"/>
        <v>0</v>
      </c>
      <c r="CV1745" s="554">
        <f t="shared" si="705"/>
        <v>0</v>
      </c>
      <c r="CW1745" s="554">
        <f t="shared" si="706"/>
        <v>0</v>
      </c>
      <c r="CX1745" s="619"/>
      <c r="CY1745" s="619"/>
      <c r="CZ1745" s="619"/>
      <c r="DA1745" s="619"/>
      <c r="DB1745" s="619"/>
      <c r="DC1745" s="619"/>
      <c r="DD1745" s="619"/>
      <c r="DE1745" s="619"/>
      <c r="DF1745" s="619"/>
      <c r="DG1745" s="619"/>
      <c r="DH1745" s="619"/>
      <c r="DI1745" s="554"/>
    </row>
    <row r="1746" s="550" customFormat="1" ht="31" customHeight="1" spans="1:113">
      <c r="A1746" s="608">
        <v>46170</v>
      </c>
      <c r="B1746" s="609" t="s">
        <v>1031</v>
      </c>
      <c r="C1746" s="610" t="s">
        <v>399</v>
      </c>
      <c r="D1746" s="727">
        <v>4500209512</v>
      </c>
      <c r="E1746" s="610" t="s">
        <v>3846</v>
      </c>
      <c r="F1746" s="554" t="s">
        <v>4986</v>
      </c>
      <c r="G1746" s="610" t="s">
        <v>6337</v>
      </c>
      <c r="H1746" s="610" t="s">
        <v>477</v>
      </c>
      <c r="I1746" s="715">
        <v>216</v>
      </c>
      <c r="J1746" s="610">
        <v>0</v>
      </c>
      <c r="K1746" s="610">
        <v>6</v>
      </c>
      <c r="L1746" s="611">
        <f t="shared" si="701"/>
        <v>36</v>
      </c>
      <c r="M1746" s="612">
        <v>46223</v>
      </c>
      <c r="N1746" s="612">
        <v>46219</v>
      </c>
      <c r="O1746" s="613"/>
      <c r="P1746" s="610" t="s">
        <v>113</v>
      </c>
      <c r="Q1746" s="614"/>
      <c r="R1746" s="614">
        <v>46190</v>
      </c>
      <c r="S1746" s="614" t="s">
        <v>70</v>
      </c>
      <c r="T1746" s="614" t="s">
        <v>10278</v>
      </c>
      <c r="U1746" s="614"/>
      <c r="V1746" s="614"/>
      <c r="W1746" s="573"/>
      <c r="X1746" s="738" t="s">
        <v>10279</v>
      </c>
      <c r="Y1746" s="616" t="s">
        <v>445</v>
      </c>
      <c r="Z1746" s="609">
        <v>7.3574</v>
      </c>
      <c r="AA1746" s="616">
        <f t="shared" si="708"/>
        <v>1589.1984</v>
      </c>
      <c r="AC1746" s="697"/>
      <c r="AD1746" s="610" t="s">
        <v>480</v>
      </c>
      <c r="AE1746" s="610" t="s">
        <v>82</v>
      </c>
      <c r="AF1746" s="610"/>
      <c r="AG1746" s="610"/>
      <c r="AH1746" s="609"/>
      <c r="AI1746" s="609">
        <f>186+30</f>
        <v>216</v>
      </c>
      <c r="AJ1746" s="610">
        <f t="shared" si="702"/>
        <v>0</v>
      </c>
      <c r="AK1746" s="613"/>
      <c r="AL1746" s="610" t="s">
        <v>2368</v>
      </c>
      <c r="AM1746" s="610"/>
      <c r="AN1746" s="554"/>
      <c r="AO1746" s="554">
        <f>I1746*2</f>
        <v>432</v>
      </c>
      <c r="AP1746" s="554"/>
      <c r="AQ1746" s="554"/>
      <c r="AR1746" s="619"/>
      <c r="AS1746" s="554"/>
      <c r="AT1746" s="554">
        <f>I1746*2</f>
        <v>432</v>
      </c>
      <c r="AV1746" s="554">
        <f>I1746*2</f>
        <v>432</v>
      </c>
      <c r="AW1746" s="554"/>
      <c r="AX1746" s="714"/>
      <c r="AY1746" s="554"/>
      <c r="AZ1746" s="554"/>
      <c r="BA1746" s="554"/>
      <c r="BB1746" s="620">
        <f>I1746/24*2</f>
        <v>18</v>
      </c>
      <c r="BC1746" s="554"/>
      <c r="BD1746" s="554"/>
      <c r="BE1746" s="554"/>
      <c r="BF1746" s="554"/>
      <c r="BG1746" s="550"/>
      <c r="BH1746" s="554"/>
      <c r="BI1746" s="554"/>
      <c r="BJ1746" s="554"/>
      <c r="BK1746" s="554"/>
      <c r="BL1746" s="554"/>
      <c r="BM1746" s="554"/>
      <c r="BN1746" s="554"/>
      <c r="BO1746" s="554"/>
      <c r="BP1746" s="554"/>
      <c r="BQ1746" s="554"/>
      <c r="BR1746" s="554"/>
      <c r="BS1746" s="554"/>
      <c r="BT1746" s="554"/>
      <c r="BU1746" s="554"/>
      <c r="BV1746" s="554"/>
      <c r="BW1746" s="554"/>
      <c r="BX1746" s="554"/>
      <c r="BY1746" s="554"/>
      <c r="BZ1746" s="554">
        <f>I1746</f>
        <v>216</v>
      </c>
      <c r="CA1746" s="720"/>
      <c r="CB1746" s="555"/>
      <c r="CC1746" s="721"/>
      <c r="CD1746" s="554"/>
      <c r="CE1746" s="554"/>
      <c r="CF1746" s="554"/>
      <c r="CG1746" s="554"/>
      <c r="CH1746" s="550"/>
      <c r="CI1746" s="554"/>
      <c r="CJ1746" s="554"/>
      <c r="CK1746" s="554"/>
      <c r="CL1746" s="554"/>
      <c r="CM1746" s="554"/>
      <c r="CN1746" s="554"/>
      <c r="CO1746" s="554"/>
      <c r="CP1746" s="619"/>
      <c r="CQ1746" s="619"/>
      <c r="CR1746" s="554"/>
      <c r="CS1746" s="554"/>
      <c r="CT1746" s="554"/>
      <c r="CU1746" s="554">
        <f t="shared" si="704"/>
        <v>0</v>
      </c>
      <c r="CV1746" s="554">
        <f t="shared" si="705"/>
        <v>0</v>
      </c>
      <c r="CW1746" s="554">
        <f t="shared" si="706"/>
        <v>0</v>
      </c>
      <c r="CX1746" s="619"/>
      <c r="CY1746" s="619"/>
      <c r="CZ1746" s="619"/>
      <c r="DA1746" s="619"/>
      <c r="DB1746" s="619"/>
      <c r="DC1746" s="619"/>
      <c r="DD1746" s="619"/>
      <c r="DE1746" s="619"/>
      <c r="DF1746" s="619"/>
      <c r="DG1746" s="619"/>
      <c r="DH1746" s="619"/>
      <c r="DI1746" s="554"/>
    </row>
    <row r="1747" s="554" customFormat="1" ht="31" customHeight="1" spans="1:113">
      <c r="A1747" s="608">
        <v>46167</v>
      </c>
      <c r="B1747" s="609" t="s">
        <v>2707</v>
      </c>
      <c r="C1747" s="610" t="s">
        <v>170</v>
      </c>
      <c r="D1747" s="727">
        <v>4500208821</v>
      </c>
      <c r="E1747" s="613">
        <v>45204518</v>
      </c>
      <c r="F1747" s="554" t="s">
        <v>10280</v>
      </c>
      <c r="G1747" s="610" t="s">
        <v>6787</v>
      </c>
      <c r="H1747" s="610" t="s">
        <v>6126</v>
      </c>
      <c r="I1747" s="715">
        <v>204</v>
      </c>
      <c r="J1747" s="610">
        <v>0</v>
      </c>
      <c r="K1747" s="610">
        <v>12</v>
      </c>
      <c r="L1747" s="611">
        <f t="shared" si="701"/>
        <v>17</v>
      </c>
      <c r="M1747" s="612">
        <v>46225</v>
      </c>
      <c r="N1747" s="612">
        <v>46221</v>
      </c>
      <c r="O1747" s="613"/>
      <c r="P1747" s="610" t="s">
        <v>113</v>
      </c>
      <c r="Q1747" s="614">
        <v>46233</v>
      </c>
      <c r="R1747" s="614">
        <v>46174</v>
      </c>
      <c r="S1747" s="614" t="s">
        <v>70</v>
      </c>
      <c r="T1747" s="614" t="s">
        <v>10281</v>
      </c>
      <c r="U1747" s="614"/>
      <c r="V1747" s="614"/>
      <c r="W1747" s="609"/>
      <c r="X1747" s="609" t="s">
        <v>10282</v>
      </c>
      <c r="Y1747" s="616" t="s">
        <v>5071</v>
      </c>
      <c r="Z1747" s="609">
        <v>2.2576</v>
      </c>
      <c r="AA1747" s="616">
        <f t="shared" si="708"/>
        <v>460.5504</v>
      </c>
      <c r="AC1747" s="697"/>
      <c r="AD1747" s="610" t="s">
        <v>8079</v>
      </c>
      <c r="AE1747" s="610" t="s">
        <v>82</v>
      </c>
      <c r="AF1747" s="610"/>
      <c r="AG1747" s="610"/>
      <c r="AH1747" s="609"/>
      <c r="AI1747" s="609">
        <v>204</v>
      </c>
      <c r="AJ1747" s="610">
        <f t="shared" si="702"/>
        <v>0</v>
      </c>
      <c r="AK1747" s="613"/>
      <c r="AL1747" s="610" t="s">
        <v>454</v>
      </c>
      <c r="AM1747" s="610"/>
      <c r="AN1747" s="610">
        <f>I1747*2</f>
        <v>408</v>
      </c>
      <c r="AR1747" s="619"/>
      <c r="AS1747" s="554">
        <f>I1747*2</f>
        <v>408</v>
      </c>
      <c r="AU1747" s="554">
        <f>I1747*2</f>
        <v>408</v>
      </c>
      <c r="AX1747" s="714"/>
      <c r="AY1747" s="554"/>
      <c r="AZ1747" s="554"/>
      <c r="BA1747" s="554"/>
      <c r="BB1747" s="620">
        <f>I1747/24*2</f>
        <v>17</v>
      </c>
      <c r="CA1747" s="720"/>
      <c r="CB1747" s="555"/>
      <c r="CC1747" s="721"/>
      <c r="CD1747" s="554"/>
      <c r="CE1747" s="554"/>
      <c r="CF1747" s="554"/>
      <c r="CG1747" s="554"/>
      <c r="CP1747" s="619"/>
      <c r="CQ1747" s="619"/>
      <c r="CR1747" s="554">
        <f>I1747</f>
        <v>204</v>
      </c>
      <c r="CS1747" s="554">
        <f>I1747</f>
        <v>204</v>
      </c>
      <c r="CT1747" s="554">
        <f>I1747</f>
        <v>204</v>
      </c>
      <c r="CU1747" s="554">
        <f t="shared" si="704"/>
        <v>0</v>
      </c>
      <c r="CV1747" s="554">
        <f t="shared" si="705"/>
        <v>0</v>
      </c>
      <c r="CW1747" s="554">
        <f t="shared" si="706"/>
        <v>0</v>
      </c>
      <c r="CX1747" s="619"/>
      <c r="CY1747" s="619"/>
      <c r="CZ1747" s="619"/>
      <c r="DA1747" s="619"/>
      <c r="DB1747" s="619"/>
      <c r="DC1747" s="619"/>
      <c r="DD1747" s="619"/>
      <c r="DE1747" s="619"/>
      <c r="DF1747" s="619"/>
      <c r="DG1747" s="619"/>
      <c r="DH1747" s="619"/>
    </row>
    <row r="1748" s="554" customFormat="1" ht="31" customHeight="1" spans="1:113">
      <c r="A1748" s="608">
        <v>46167</v>
      </c>
      <c r="B1748" s="609" t="s">
        <v>2707</v>
      </c>
      <c r="C1748" s="610" t="s">
        <v>170</v>
      </c>
      <c r="D1748" s="727">
        <v>4500208840</v>
      </c>
      <c r="E1748" s="613">
        <v>40060976</v>
      </c>
      <c r="F1748" s="554" t="s">
        <v>10283</v>
      </c>
      <c r="G1748" s="610" t="s">
        <v>6787</v>
      </c>
      <c r="H1748" s="610" t="s">
        <v>6126</v>
      </c>
      <c r="I1748" s="715">
        <v>1404</v>
      </c>
      <c r="J1748" s="610">
        <v>0</v>
      </c>
      <c r="K1748" s="610">
        <v>12</v>
      </c>
      <c r="L1748" s="611">
        <f t="shared" si="701"/>
        <v>117</v>
      </c>
      <c r="M1748" s="612">
        <v>46225</v>
      </c>
      <c r="N1748" s="612">
        <v>46221</v>
      </c>
      <c r="O1748" s="613"/>
      <c r="P1748" s="610" t="s">
        <v>113</v>
      </c>
      <c r="Q1748" s="614">
        <v>46233</v>
      </c>
      <c r="R1748" s="614">
        <v>46174</v>
      </c>
      <c r="S1748" s="614" t="s">
        <v>70</v>
      </c>
      <c r="T1748" s="614" t="s">
        <v>5074</v>
      </c>
      <c r="U1748" s="614"/>
      <c r="V1748" s="614"/>
      <c r="W1748" s="609"/>
      <c r="X1748" s="609" t="s">
        <v>10284</v>
      </c>
      <c r="Y1748" s="616" t="s">
        <v>5071</v>
      </c>
      <c r="Z1748" s="609">
        <v>2.2576</v>
      </c>
      <c r="AA1748" s="616">
        <f t="shared" si="708"/>
        <v>3169.6704</v>
      </c>
      <c r="AC1748" s="697"/>
      <c r="AD1748" s="610" t="s">
        <v>8079</v>
      </c>
      <c r="AE1748" s="610" t="s">
        <v>82</v>
      </c>
      <c r="AF1748" s="610"/>
      <c r="AG1748" s="610"/>
      <c r="AH1748" s="609"/>
      <c r="AI1748" s="609">
        <v>1404</v>
      </c>
      <c r="AJ1748" s="610">
        <f t="shared" si="702"/>
        <v>0</v>
      </c>
      <c r="AK1748" s="613"/>
      <c r="AL1748" s="610" t="s">
        <v>2368</v>
      </c>
      <c r="AM1748" s="610"/>
      <c r="AN1748" s="610">
        <f>I1748*2</f>
        <v>2808</v>
      </c>
      <c r="AR1748" s="619"/>
      <c r="AS1748" s="554">
        <f>I1748*2</f>
        <v>2808</v>
      </c>
      <c r="AU1748" s="554">
        <f>I1748*2</f>
        <v>2808</v>
      </c>
      <c r="AX1748" s="714"/>
      <c r="AY1748" s="554"/>
      <c r="AZ1748" s="554"/>
      <c r="BA1748" s="554"/>
      <c r="BB1748" s="620">
        <f>I1748/24*2</f>
        <v>117</v>
      </c>
      <c r="CA1748" s="720"/>
      <c r="CB1748" s="555"/>
      <c r="CC1748" s="721"/>
      <c r="CD1748" s="554"/>
      <c r="CE1748" s="554"/>
      <c r="CF1748" s="554"/>
      <c r="CG1748" s="554"/>
      <c r="CP1748" s="619"/>
      <c r="CQ1748" s="619"/>
      <c r="CR1748" s="554">
        <f>I1748</f>
        <v>1404</v>
      </c>
      <c r="CS1748" s="554">
        <f>I1748</f>
        <v>1404</v>
      </c>
      <c r="CT1748" s="554">
        <f>I1748</f>
        <v>1404</v>
      </c>
      <c r="CU1748" s="554">
        <f t="shared" si="704"/>
        <v>0</v>
      </c>
      <c r="CV1748" s="554">
        <f t="shared" si="705"/>
        <v>0</v>
      </c>
      <c r="CW1748" s="554">
        <f t="shared" si="706"/>
        <v>0</v>
      </c>
      <c r="CX1748" s="619"/>
      <c r="CY1748" s="619"/>
      <c r="CZ1748" s="619"/>
      <c r="DA1748" s="619"/>
      <c r="DB1748" s="619"/>
      <c r="DC1748" s="619"/>
      <c r="DD1748" s="619"/>
      <c r="DE1748" s="619"/>
      <c r="DF1748" s="619"/>
      <c r="DG1748" s="619"/>
      <c r="DH1748" s="619"/>
    </row>
    <row r="1749" s="550" customFormat="1" ht="31" customHeight="1" spans="1:113">
      <c r="A1749" s="608">
        <v>46177</v>
      </c>
      <c r="B1749" s="609" t="s">
        <v>4477</v>
      </c>
      <c r="C1749" s="610" t="s">
        <v>744</v>
      </c>
      <c r="D1749" s="554">
        <v>4500204920</v>
      </c>
      <c r="E1749" s="731">
        <v>5000002195</v>
      </c>
      <c r="F1749" s="729" t="s">
        <v>10285</v>
      </c>
      <c r="G1749" s="610" t="s">
        <v>6093</v>
      </c>
      <c r="H1749" s="610" t="s">
        <v>7359</v>
      </c>
      <c r="I1749" s="715">
        <v>7800</v>
      </c>
      <c r="J1749" s="610">
        <v>0</v>
      </c>
      <c r="K1749" s="610">
        <v>13</v>
      </c>
      <c r="L1749" s="611">
        <f t="shared" si="701"/>
        <v>600</v>
      </c>
      <c r="M1749" s="612">
        <v>46225</v>
      </c>
      <c r="N1749" s="612">
        <v>46221</v>
      </c>
      <c r="O1749" s="613"/>
      <c r="P1749" s="246" t="s">
        <v>113</v>
      </c>
      <c r="Q1749" s="614"/>
      <c r="R1749" s="614" t="s">
        <v>9676</v>
      </c>
      <c r="S1749" s="614" t="s">
        <v>104</v>
      </c>
      <c r="T1749" s="818" t="s">
        <v>2239</v>
      </c>
      <c r="U1749" s="818"/>
      <c r="V1749" s="862"/>
      <c r="W1749" s="819"/>
      <c r="X1749" s="820" t="s">
        <v>10286</v>
      </c>
      <c r="Y1749" s="616" t="s">
        <v>4480</v>
      </c>
      <c r="Z1749" s="609">
        <v>0.8998</v>
      </c>
      <c r="AA1749" s="616">
        <f t="shared" si="708"/>
        <v>7018.44</v>
      </c>
      <c r="AC1749" s="697"/>
      <c r="AD1749" s="610" t="s">
        <v>8338</v>
      </c>
      <c r="AE1749" s="610" t="s">
        <v>82</v>
      </c>
      <c r="AF1749" s="610"/>
      <c r="AG1749" s="610"/>
      <c r="AH1749" s="609"/>
      <c r="AI1749" s="609">
        <v>7800</v>
      </c>
      <c r="AJ1749" s="610">
        <f t="shared" si="702"/>
        <v>0</v>
      </c>
      <c r="AK1749" s="613"/>
      <c r="AL1749" s="610" t="s">
        <v>2368</v>
      </c>
      <c r="AM1749" s="610"/>
      <c r="AN1749" s="554"/>
      <c r="AO1749" s="554">
        <f>I1749</f>
        <v>7800</v>
      </c>
      <c r="AP1749" s="554"/>
      <c r="AQ1749" s="554"/>
      <c r="AR1749" s="619"/>
      <c r="AS1749" s="554"/>
      <c r="AT1749" s="554"/>
      <c r="AU1749" s="554"/>
      <c r="AV1749" s="554"/>
      <c r="AW1749" s="619">
        <f>I1749</f>
        <v>7800</v>
      </c>
      <c r="AX1749" s="554">
        <f>I1749</f>
        <v>7800</v>
      </c>
      <c r="AY1749" s="554"/>
      <c r="AZ1749" s="554"/>
      <c r="BA1749" s="714">
        <f>I1749/24</f>
        <v>325</v>
      </c>
      <c r="BB1749" s="620"/>
      <c r="BC1749" s="554"/>
      <c r="BD1749" s="554"/>
      <c r="BE1749" s="554"/>
      <c r="BF1749" s="554"/>
      <c r="BG1749" s="550"/>
      <c r="BH1749" s="554"/>
      <c r="BI1749" s="554"/>
      <c r="BJ1749" s="554"/>
      <c r="BK1749" s="554"/>
      <c r="BL1749" s="554"/>
      <c r="BM1749" s="554">
        <f>I1749/13</f>
        <v>600</v>
      </c>
      <c r="BN1749" s="554"/>
      <c r="BO1749" s="554"/>
      <c r="BP1749" s="554"/>
      <c r="BQ1749" s="554"/>
      <c r="BR1749" s="554"/>
      <c r="BS1749" s="554"/>
      <c r="BT1749" s="554"/>
      <c r="BU1749" s="554"/>
      <c r="BV1749" s="554"/>
      <c r="BW1749" s="554"/>
      <c r="BX1749" s="554"/>
      <c r="BY1749" s="554"/>
      <c r="BZ1749" s="554"/>
      <c r="CA1749" s="720"/>
      <c r="CB1749" s="555"/>
      <c r="CC1749" s="721"/>
      <c r="CD1749" s="554"/>
      <c r="CE1749" s="554"/>
      <c r="CF1749" s="554"/>
      <c r="CG1749" s="554"/>
      <c r="CH1749" s="550"/>
      <c r="CI1749" s="554"/>
      <c r="CJ1749" s="554"/>
      <c r="CK1749" s="554"/>
      <c r="CL1749" s="554"/>
      <c r="CM1749" s="554"/>
      <c r="CN1749" s="554"/>
      <c r="CO1749" s="554"/>
      <c r="CP1749" s="619"/>
      <c r="CQ1749" s="619"/>
      <c r="CR1749" s="554"/>
      <c r="CS1749" s="554"/>
      <c r="CT1749" s="554"/>
      <c r="CU1749" s="554">
        <f t="shared" si="704"/>
        <v>0</v>
      </c>
      <c r="CV1749" s="554">
        <v>0</v>
      </c>
      <c r="CW1749" s="554">
        <v>0</v>
      </c>
      <c r="CX1749" s="619"/>
      <c r="CY1749" s="619"/>
      <c r="CZ1749" s="619"/>
      <c r="DA1749" s="619"/>
      <c r="DB1749" s="619"/>
      <c r="DC1749" s="619"/>
      <c r="DD1749" s="619"/>
      <c r="DE1749" s="619"/>
      <c r="DF1749" s="619"/>
      <c r="DG1749" s="619"/>
      <c r="DH1749" s="619"/>
    </row>
    <row r="1750" s="550" customFormat="1" ht="31" customHeight="1" spans="1:113">
      <c r="A1750" s="608">
        <v>46182</v>
      </c>
      <c r="B1750" s="609" t="s">
        <v>841</v>
      </c>
      <c r="C1750" s="610" t="s">
        <v>399</v>
      </c>
      <c r="D1750" s="554">
        <v>4500211344</v>
      </c>
      <c r="E1750" s="731" t="s">
        <v>5010</v>
      </c>
      <c r="F1750" s="554" t="s">
        <v>5011</v>
      </c>
      <c r="G1750" s="610" t="s">
        <v>6337</v>
      </c>
      <c r="H1750" s="610" t="s">
        <v>477</v>
      </c>
      <c r="I1750" s="715">
        <v>6522</v>
      </c>
      <c r="J1750" s="610">
        <v>0</v>
      </c>
      <c r="K1750" s="843">
        <v>6</v>
      </c>
      <c r="L1750" s="844">
        <f t="shared" si="701"/>
        <v>1087</v>
      </c>
      <c r="M1750" s="845">
        <v>46223</v>
      </c>
      <c r="N1750" s="724">
        <v>46230</v>
      </c>
      <c r="O1750" s="613"/>
      <c r="P1750" s="610" t="s">
        <v>113</v>
      </c>
      <c r="Q1750" s="614">
        <v>46238</v>
      </c>
      <c r="R1750" s="614">
        <v>46204</v>
      </c>
      <c r="S1750" s="614" t="s">
        <v>70</v>
      </c>
      <c r="T1750" s="614" t="s">
        <v>5012</v>
      </c>
      <c r="U1750" s="614"/>
      <c r="V1750" s="614"/>
      <c r="W1750" s="609" t="s">
        <v>5013</v>
      </c>
      <c r="X1750" s="738" t="s">
        <v>10287</v>
      </c>
      <c r="Y1750" s="616" t="s">
        <v>445</v>
      </c>
      <c r="Z1750" s="609">
        <v>6.9324</v>
      </c>
      <c r="AA1750" s="616">
        <f t="shared" si="708"/>
        <v>45213.1128</v>
      </c>
      <c r="AC1750" s="697"/>
      <c r="AD1750" s="610" t="s">
        <v>480</v>
      </c>
      <c r="AE1750" s="610" t="s">
        <v>82</v>
      </c>
      <c r="AF1750" s="610"/>
      <c r="AG1750" s="610"/>
      <c r="AH1750" s="609"/>
      <c r="AI1750" s="609">
        <f>378+6144</f>
        <v>6522</v>
      </c>
      <c r="AJ1750" s="610">
        <f t="shared" si="702"/>
        <v>0</v>
      </c>
      <c r="AK1750" s="613"/>
      <c r="AL1750" s="610" t="s">
        <v>2368</v>
      </c>
      <c r="AM1750" s="610"/>
      <c r="AN1750" s="610"/>
      <c r="AO1750" s="554">
        <f>I1750*2</f>
        <v>13044</v>
      </c>
      <c r="AP1750" s="554"/>
      <c r="AQ1750" s="554"/>
      <c r="AR1750" s="619"/>
      <c r="AS1750" s="554"/>
      <c r="AT1750" s="554">
        <f>I1750*2</f>
        <v>13044</v>
      </c>
      <c r="AU1750" s="554"/>
      <c r="AV1750" s="554">
        <f>I1750*2</f>
        <v>13044</v>
      </c>
      <c r="AW1750" s="554"/>
      <c r="AX1750" s="714"/>
      <c r="AY1750" s="554"/>
      <c r="AZ1750" s="554"/>
      <c r="BA1750" s="554"/>
      <c r="BB1750" s="620">
        <f>I1750/24*2</f>
        <v>543.5</v>
      </c>
      <c r="BC1750" s="554"/>
      <c r="BD1750" s="554"/>
      <c r="BE1750" s="554"/>
      <c r="BF1750" s="720"/>
      <c r="BG1750" s="555"/>
      <c r="BH1750" s="721"/>
      <c r="BI1750" s="554"/>
      <c r="BJ1750" s="554"/>
      <c r="BK1750" s="554"/>
      <c r="BL1750" s="554"/>
      <c r="BM1750" s="554"/>
      <c r="BN1750" s="554"/>
      <c r="BO1750" s="554"/>
      <c r="BP1750" s="554"/>
      <c r="BQ1750" s="554"/>
      <c r="BR1750" s="554"/>
      <c r="BS1750" s="554"/>
      <c r="BT1750" s="554"/>
      <c r="BU1750" s="554"/>
      <c r="BV1750" s="554"/>
      <c r="BW1750" s="554"/>
      <c r="BX1750" s="554"/>
      <c r="BY1750" s="554"/>
      <c r="BZ1750" s="554">
        <f>I1750</f>
        <v>6522</v>
      </c>
      <c r="CA1750" s="720"/>
      <c r="CB1750" s="555"/>
      <c r="CC1750" s="721"/>
      <c r="CD1750" s="554"/>
      <c r="CE1750" s="554"/>
      <c r="CF1750" s="554"/>
      <c r="CG1750" s="720"/>
      <c r="CH1750" s="555"/>
      <c r="CI1750" s="721"/>
      <c r="CJ1750" s="554"/>
      <c r="CK1750" s="554"/>
      <c r="CL1750" s="554"/>
      <c r="CM1750" s="554"/>
      <c r="CN1750" s="554"/>
      <c r="CO1750" s="554"/>
      <c r="CP1750" s="619"/>
      <c r="CQ1750" s="619"/>
      <c r="CR1750" s="554"/>
      <c r="CS1750" s="554"/>
      <c r="CT1750" s="554"/>
      <c r="CU1750" s="554">
        <f t="shared" si="704"/>
        <v>0</v>
      </c>
      <c r="CV1750" s="554">
        <f>CK1750+CL1750+CM1750+CN1750+CO1750+CQ1750+CP1750</f>
        <v>0</v>
      </c>
      <c r="CW1750" s="554">
        <f>CI1750+CJ1750</f>
        <v>0</v>
      </c>
      <c r="CX1750" s="619"/>
      <c r="CY1750" s="619"/>
      <c r="CZ1750" s="619"/>
      <c r="DA1750" s="619"/>
      <c r="DB1750" s="619"/>
      <c r="DC1750" s="619"/>
      <c r="DD1750" s="619"/>
      <c r="DE1750" s="619"/>
      <c r="DF1750" s="619"/>
      <c r="DG1750" s="619"/>
      <c r="DH1750" s="619"/>
    </row>
    <row r="1751" s="550" customFormat="1" ht="31" customHeight="1" spans="1:113">
      <c r="A1751" s="608">
        <v>46174</v>
      </c>
      <c r="B1751" s="609" t="s">
        <v>580</v>
      </c>
      <c r="C1751" s="610" t="s">
        <v>302</v>
      </c>
      <c r="D1751" s="554">
        <v>4500201010</v>
      </c>
      <c r="E1751" s="731">
        <v>2000009904</v>
      </c>
      <c r="F1751" s="729" t="s">
        <v>5017</v>
      </c>
      <c r="G1751" s="610" t="s">
        <v>6337</v>
      </c>
      <c r="H1751" s="610" t="s">
        <v>477</v>
      </c>
      <c r="I1751" s="715">
        <v>1938</v>
      </c>
      <c r="J1751" s="610">
        <v>0</v>
      </c>
      <c r="K1751" s="843">
        <v>6</v>
      </c>
      <c r="L1751" s="844">
        <f t="shared" si="701"/>
        <v>323</v>
      </c>
      <c r="M1751" s="845">
        <v>46218</v>
      </c>
      <c r="N1751" s="612">
        <v>46214</v>
      </c>
      <c r="O1751" s="613"/>
      <c r="P1751" s="610" t="s">
        <v>113</v>
      </c>
      <c r="Q1751" s="614"/>
      <c r="R1751" s="614">
        <v>46174</v>
      </c>
      <c r="S1751" s="614" t="s">
        <v>70</v>
      </c>
      <c r="T1751" s="614" t="s">
        <v>4775</v>
      </c>
      <c r="U1751" s="818"/>
      <c r="V1751" s="818" t="s">
        <v>10288</v>
      </c>
      <c r="W1751" s="862" t="s">
        <v>5018</v>
      </c>
      <c r="X1751" s="820" t="s">
        <v>5019</v>
      </c>
      <c r="Y1751" s="616" t="s">
        <v>415</v>
      </c>
      <c r="Z1751" s="609">
        <v>7.0192</v>
      </c>
      <c r="AA1751" s="616">
        <f t="shared" si="708"/>
        <v>13603.2096</v>
      </c>
      <c r="AC1751" s="697"/>
      <c r="AD1751" s="609" t="s">
        <v>480</v>
      </c>
      <c r="AE1751" s="610" t="s">
        <v>82</v>
      </c>
      <c r="AF1751" s="610"/>
      <c r="AG1751" s="610"/>
      <c r="AH1751" s="609"/>
      <c r="AI1751" s="609">
        <v>1938</v>
      </c>
      <c r="AJ1751" s="610">
        <f t="shared" si="702"/>
        <v>0</v>
      </c>
      <c r="AK1751" s="613"/>
      <c r="AL1751" s="610" t="s">
        <v>2368</v>
      </c>
      <c r="AM1751" s="610"/>
      <c r="AN1751" s="610"/>
      <c r="AO1751" s="554">
        <f>I1751*2</f>
        <v>3876</v>
      </c>
      <c r="AP1751" s="554"/>
      <c r="AQ1751" s="554"/>
      <c r="AR1751" s="619"/>
      <c r="AS1751" s="554"/>
      <c r="AT1751" s="554">
        <f>I1751*2</f>
        <v>3876</v>
      </c>
      <c r="AU1751" s="554"/>
      <c r="AV1751" s="554">
        <f>I1751*2</f>
        <v>3876</v>
      </c>
      <c r="AW1751" s="554"/>
      <c r="AX1751" s="714"/>
      <c r="AY1751" s="554"/>
      <c r="AZ1751" s="554"/>
      <c r="BA1751" s="554"/>
      <c r="BB1751" s="620">
        <f>I1751/24*2</f>
        <v>161.5</v>
      </c>
      <c r="BC1751" s="554"/>
      <c r="BD1751" s="554"/>
      <c r="BE1751" s="554"/>
      <c r="BF1751" s="554"/>
      <c r="BG1751" s="550"/>
      <c r="BH1751" s="554"/>
      <c r="BI1751" s="554"/>
      <c r="BJ1751" s="554"/>
      <c r="BK1751" s="554"/>
      <c r="BL1751" s="554"/>
      <c r="BM1751" s="554"/>
      <c r="BN1751" s="554"/>
      <c r="BO1751" s="554"/>
      <c r="BP1751" s="554"/>
      <c r="BQ1751" s="554"/>
      <c r="BR1751" s="554"/>
      <c r="BS1751" s="554"/>
      <c r="BT1751" s="554"/>
      <c r="BU1751" s="554"/>
      <c r="BV1751" s="554"/>
      <c r="BW1751" s="554"/>
      <c r="BX1751" s="554"/>
      <c r="BY1751" s="554"/>
      <c r="BZ1751" s="554"/>
      <c r="CA1751" s="720"/>
      <c r="CB1751" s="555"/>
      <c r="CC1751" s="721"/>
      <c r="CD1751" s="619">
        <f>I1751</f>
        <v>1938</v>
      </c>
      <c r="CE1751" s="554"/>
      <c r="CF1751" s="554"/>
      <c r="CG1751" s="554"/>
      <c r="CH1751" s="550"/>
      <c r="CI1751" s="554"/>
      <c r="CJ1751" s="554"/>
      <c r="CK1751" s="554"/>
      <c r="CL1751" s="554"/>
      <c r="CM1751" s="554"/>
      <c r="CN1751" s="554"/>
      <c r="CO1751" s="554"/>
      <c r="CP1751" s="619"/>
      <c r="CQ1751" s="619"/>
      <c r="CR1751" s="554"/>
      <c r="CS1751" s="554"/>
      <c r="CT1751" s="554"/>
      <c r="CU1751" s="554">
        <f t="shared" si="704"/>
        <v>0</v>
      </c>
      <c r="CV1751" s="554">
        <v>0</v>
      </c>
      <c r="CW1751" s="554">
        <v>0</v>
      </c>
      <c r="CX1751" s="619"/>
      <c r="CY1751" s="619"/>
      <c r="CZ1751" s="619"/>
      <c r="DA1751" s="619"/>
      <c r="DB1751" s="619"/>
      <c r="DC1751" s="619"/>
      <c r="DD1751" s="619"/>
      <c r="DE1751" s="619"/>
      <c r="DF1751" s="619"/>
      <c r="DG1751" s="619"/>
      <c r="DH1751" s="619"/>
    </row>
    <row r="1752" s="550" customFormat="1" ht="31" customHeight="1" spans="1:113">
      <c r="A1752" s="608">
        <v>46182</v>
      </c>
      <c r="B1752" s="609" t="s">
        <v>841</v>
      </c>
      <c r="C1752" s="610" t="s">
        <v>399</v>
      </c>
      <c r="D1752" s="554">
        <v>4500211344</v>
      </c>
      <c r="E1752" s="731" t="s">
        <v>5010</v>
      </c>
      <c r="F1752" s="554" t="s">
        <v>10289</v>
      </c>
      <c r="G1752" s="610" t="s">
        <v>6043</v>
      </c>
      <c r="H1752" s="610" t="s">
        <v>6110</v>
      </c>
      <c r="I1752" s="715">
        <v>19400</v>
      </c>
      <c r="J1752" s="610">
        <v>0</v>
      </c>
      <c r="K1752" s="843">
        <v>50</v>
      </c>
      <c r="L1752" s="844">
        <f t="shared" si="701"/>
        <v>388</v>
      </c>
      <c r="M1752" s="845">
        <v>46223</v>
      </c>
      <c r="N1752" s="724">
        <v>46230</v>
      </c>
      <c r="O1752" s="613"/>
      <c r="P1752" s="610" t="s">
        <v>113</v>
      </c>
      <c r="Q1752" s="614">
        <v>46238</v>
      </c>
      <c r="R1752" s="614">
        <v>46204</v>
      </c>
      <c r="S1752" s="614" t="s">
        <v>70</v>
      </c>
      <c r="T1752" s="614" t="s">
        <v>10290</v>
      </c>
      <c r="U1752" s="614"/>
      <c r="V1752" s="614"/>
      <c r="W1752" s="609" t="s">
        <v>5013</v>
      </c>
      <c r="X1752" s="738" t="s">
        <v>10291</v>
      </c>
      <c r="Y1752" s="616" t="s">
        <v>445</v>
      </c>
      <c r="Z1752" s="609">
        <v>0.9889</v>
      </c>
      <c r="AA1752" s="616">
        <f t="shared" si="708"/>
        <v>19184.66</v>
      </c>
      <c r="AC1752" s="697"/>
      <c r="AD1752" s="610" t="s">
        <v>6043</v>
      </c>
      <c r="AE1752" s="610" t="s">
        <v>82</v>
      </c>
      <c r="AF1752" s="610"/>
      <c r="AG1752" s="610"/>
      <c r="AH1752" s="609"/>
      <c r="AI1752" s="609">
        <v>19400</v>
      </c>
      <c r="AJ1752" s="610">
        <f t="shared" si="702"/>
        <v>0</v>
      </c>
      <c r="AK1752" s="613"/>
      <c r="AL1752" s="610" t="s">
        <v>2368</v>
      </c>
      <c r="AM1752" s="610"/>
      <c r="AN1752" s="610"/>
      <c r="AO1752" s="554">
        <f>I1752</f>
        <v>19400</v>
      </c>
      <c r="AP1752" s="554"/>
      <c r="AQ1752" s="554"/>
      <c r="AR1752" s="619"/>
      <c r="AS1752" s="554"/>
      <c r="AT1752" s="554">
        <f>I1752</f>
        <v>19400</v>
      </c>
      <c r="AU1752" s="554"/>
      <c r="AV1752" s="554">
        <f>I1752</f>
        <v>19400</v>
      </c>
      <c r="AW1752" s="554"/>
      <c r="AX1752" s="714"/>
      <c r="AY1752" s="554"/>
      <c r="AZ1752" s="554"/>
      <c r="BA1752" s="554"/>
      <c r="BB1752" s="620">
        <f>I1752/24*2</f>
        <v>1616.66666666667</v>
      </c>
      <c r="BC1752" s="554"/>
      <c r="BD1752" s="554"/>
      <c r="BE1752" s="554"/>
      <c r="BF1752" s="720"/>
      <c r="BG1752" s="555"/>
      <c r="BH1752" s="721"/>
      <c r="BI1752" s="554"/>
      <c r="BJ1752" s="554"/>
      <c r="BK1752" s="554"/>
      <c r="BL1752" s="554"/>
      <c r="BM1752" s="554"/>
      <c r="BN1752" s="554"/>
      <c r="BO1752" s="554"/>
      <c r="BP1752" s="554">
        <f>I1752/25</f>
        <v>776</v>
      </c>
      <c r="BQ1752" s="864"/>
      <c r="BR1752" s="554"/>
      <c r="BS1752" s="554"/>
      <c r="BT1752" s="554"/>
      <c r="BU1752" s="554"/>
      <c r="BV1752" s="554"/>
      <c r="BW1752" s="554"/>
      <c r="BX1752" s="554"/>
      <c r="BY1752" s="554"/>
      <c r="BZ1752" s="554"/>
      <c r="CA1752" s="720"/>
      <c r="CB1752" s="555"/>
      <c r="CC1752" s="721"/>
      <c r="CD1752" s="554"/>
      <c r="CE1752" s="554"/>
      <c r="CF1752" s="554"/>
      <c r="CG1752" s="720"/>
      <c r="CH1752" s="555"/>
      <c r="CI1752" s="721"/>
      <c r="CJ1752" s="554"/>
      <c r="CK1752" s="554"/>
      <c r="CL1752" s="554"/>
      <c r="CM1752" s="554"/>
      <c r="CN1752" s="554"/>
      <c r="CO1752" s="554"/>
      <c r="CP1752" s="619"/>
      <c r="CQ1752" s="619"/>
      <c r="CR1752" s="554"/>
      <c r="CS1752" s="554"/>
      <c r="CT1752" s="554"/>
      <c r="CU1752" s="554">
        <f t="shared" si="704"/>
        <v>776</v>
      </c>
      <c r="CV1752" s="554">
        <f>CK1752+CL1752+CM1752+CN1752+CO1752+CQ1752+CP1752</f>
        <v>0</v>
      </c>
      <c r="CW1752" s="554">
        <f>CI1752+CJ1752</f>
        <v>0</v>
      </c>
      <c r="CX1752" s="619"/>
      <c r="CY1752" s="619"/>
      <c r="CZ1752" s="619"/>
      <c r="DA1752" s="619"/>
      <c r="DB1752" s="619"/>
      <c r="DC1752" s="619"/>
      <c r="DD1752" s="619"/>
      <c r="DE1752" s="619"/>
      <c r="DF1752" s="619"/>
      <c r="DG1752" s="619"/>
      <c r="DH1752" s="619"/>
    </row>
    <row r="1753" s="550" customFormat="1" ht="31" customHeight="1" spans="1:113">
      <c r="A1753" s="608">
        <v>46171</v>
      </c>
      <c r="B1753" s="609" t="s">
        <v>5078</v>
      </c>
      <c r="C1753" s="610" t="s">
        <v>170</v>
      </c>
      <c r="D1753" s="554">
        <v>4500209056</v>
      </c>
      <c r="E1753" s="610" t="s">
        <v>10292</v>
      </c>
      <c r="F1753" s="554" t="s">
        <v>10293</v>
      </c>
      <c r="G1753" s="610" t="s">
        <v>6787</v>
      </c>
      <c r="H1753" s="610" t="s">
        <v>6126</v>
      </c>
      <c r="I1753" s="715">
        <v>72</v>
      </c>
      <c r="J1753" s="610">
        <v>0</v>
      </c>
      <c r="K1753" s="843">
        <v>12</v>
      </c>
      <c r="L1753" s="844">
        <f t="shared" si="701"/>
        <v>6</v>
      </c>
      <c r="M1753" s="845">
        <v>46225</v>
      </c>
      <c r="N1753" s="850">
        <v>46225</v>
      </c>
      <c r="O1753" s="613"/>
      <c r="P1753" s="610" t="s">
        <v>113</v>
      </c>
      <c r="Q1753" s="614">
        <v>46228</v>
      </c>
      <c r="R1753" s="614">
        <v>46171</v>
      </c>
      <c r="S1753" s="614" t="s">
        <v>104</v>
      </c>
      <c r="T1753" s="818" t="s">
        <v>10294</v>
      </c>
      <c r="U1753" s="818"/>
      <c r="V1753" s="862"/>
      <c r="W1753" s="819"/>
      <c r="X1753" s="820" t="s">
        <v>10295</v>
      </c>
      <c r="Y1753" s="616" t="s">
        <v>3820</v>
      </c>
      <c r="Z1753" s="609">
        <v>2.2576</v>
      </c>
      <c r="AA1753" s="616">
        <f t="shared" ref="AA1753:AA1764" si="709">Z1753*I1753</f>
        <v>162.5472</v>
      </c>
      <c r="AC1753" s="697"/>
      <c r="AD1753" s="610" t="s">
        <v>8079</v>
      </c>
      <c r="AE1753" s="610" t="s">
        <v>82</v>
      </c>
      <c r="AF1753" s="610"/>
      <c r="AG1753" s="610"/>
      <c r="AH1753" s="609"/>
      <c r="AI1753" s="609">
        <v>72</v>
      </c>
      <c r="AJ1753" s="610">
        <f t="shared" si="702"/>
        <v>0</v>
      </c>
      <c r="AK1753" s="613"/>
      <c r="AL1753" s="610"/>
      <c r="AM1753" s="610"/>
      <c r="AN1753" s="610">
        <f t="shared" ref="AN1753:AN1762" si="710">I1753*2</f>
        <v>144</v>
      </c>
      <c r="AO1753" s="554"/>
      <c r="AP1753" s="554"/>
      <c r="AQ1753" s="554">
        <f t="shared" ref="AQ1753:AQ1762" si="711">I1753*2</f>
        <v>144</v>
      </c>
      <c r="AR1753" s="619"/>
      <c r="AS1753" s="554"/>
      <c r="AT1753" s="554"/>
      <c r="AU1753" s="554">
        <f>I1753*2</f>
        <v>144</v>
      </c>
      <c r="AV1753" s="554"/>
      <c r="AW1753" s="554"/>
      <c r="AX1753" s="714"/>
      <c r="AY1753" s="554"/>
      <c r="AZ1753" s="554"/>
      <c r="BA1753" s="554"/>
      <c r="BB1753" s="620">
        <f t="shared" ref="BB1753:BB1762" si="712">I1753/24*2</f>
        <v>6</v>
      </c>
      <c r="BC1753" s="554"/>
      <c r="BD1753" s="554"/>
      <c r="BE1753" s="554"/>
      <c r="BF1753" s="554"/>
      <c r="BH1753" s="554"/>
      <c r="BI1753" s="554"/>
      <c r="BJ1753" s="554"/>
      <c r="BK1753" s="554"/>
      <c r="BL1753" s="554"/>
      <c r="BM1753" s="554"/>
      <c r="BN1753" s="554"/>
      <c r="BO1753" s="554"/>
      <c r="BP1753" s="554"/>
      <c r="BQ1753" s="554"/>
      <c r="BR1753" s="554"/>
      <c r="BS1753" s="554"/>
      <c r="BT1753" s="554"/>
      <c r="BU1753" s="554"/>
      <c r="BV1753" s="554"/>
      <c r="BW1753" s="554"/>
      <c r="BX1753" s="554"/>
      <c r="BY1753" s="554"/>
      <c r="BZ1753" s="554"/>
      <c r="CA1753" s="720"/>
      <c r="CB1753" s="555"/>
      <c r="CC1753" s="721"/>
      <c r="CD1753" s="554"/>
      <c r="CE1753" s="554"/>
      <c r="CF1753" s="554"/>
      <c r="CG1753" s="554"/>
      <c r="CI1753" s="554"/>
      <c r="CJ1753" s="554"/>
      <c r="CK1753" s="554"/>
      <c r="CL1753" s="554"/>
      <c r="CM1753" s="554"/>
      <c r="CN1753" s="554"/>
      <c r="CO1753" s="554"/>
      <c r="CP1753" s="619"/>
      <c r="CQ1753" s="619"/>
      <c r="CR1753" s="554">
        <f t="shared" ref="CR1753:CR1762" si="713">I1753</f>
        <v>72</v>
      </c>
      <c r="CS1753" s="554">
        <f t="shared" ref="CS1753:CS1762" si="714">I1753</f>
        <v>72</v>
      </c>
      <c r="CT1753" s="554">
        <f t="shared" ref="CT1753:CT1762" si="715">I1753</f>
        <v>72</v>
      </c>
      <c r="CU1753" s="554">
        <f t="shared" si="704"/>
        <v>0</v>
      </c>
      <c r="CV1753" s="554">
        <f t="shared" ref="CV1753:CV1764" si="716">CK1753+CL1753+CM1753+CN1753+CO1753+CQ1753+CP1753</f>
        <v>0</v>
      </c>
      <c r="CW1753" s="554">
        <f t="shared" ref="CW1753:CW1764" si="717">CI1753+CJ1753</f>
        <v>0</v>
      </c>
      <c r="CX1753" s="619"/>
      <c r="CY1753" s="619"/>
      <c r="CZ1753" s="619"/>
      <c r="DA1753" s="619"/>
      <c r="DB1753" s="619"/>
      <c r="DC1753" s="619"/>
      <c r="DD1753" s="619"/>
      <c r="DE1753" s="619"/>
      <c r="DF1753" s="619"/>
      <c r="DG1753" s="619"/>
      <c r="DH1753" s="619"/>
    </row>
    <row r="1754" s="550" customFormat="1" ht="31" customHeight="1" spans="1:113">
      <c r="A1754" s="608">
        <v>46171</v>
      </c>
      <c r="B1754" s="609" t="s">
        <v>5078</v>
      </c>
      <c r="C1754" s="610" t="s">
        <v>170</v>
      </c>
      <c r="D1754" s="554">
        <v>4500209056</v>
      </c>
      <c r="E1754" s="610" t="s">
        <v>10296</v>
      </c>
      <c r="F1754" s="554" t="s">
        <v>10297</v>
      </c>
      <c r="G1754" s="610" t="s">
        <v>6787</v>
      </c>
      <c r="H1754" s="610" t="s">
        <v>6126</v>
      </c>
      <c r="I1754" s="715">
        <v>144</v>
      </c>
      <c r="J1754" s="610">
        <v>0</v>
      </c>
      <c r="K1754" s="843">
        <v>12</v>
      </c>
      <c r="L1754" s="844">
        <f t="shared" si="701"/>
        <v>12</v>
      </c>
      <c r="M1754" s="845">
        <v>46225</v>
      </c>
      <c r="N1754" s="850">
        <v>46225</v>
      </c>
      <c r="O1754" s="613"/>
      <c r="P1754" s="610" t="s">
        <v>113</v>
      </c>
      <c r="Q1754" s="614">
        <v>46228</v>
      </c>
      <c r="R1754" s="614">
        <v>46171</v>
      </c>
      <c r="S1754" s="614" t="s">
        <v>104</v>
      </c>
      <c r="T1754" s="818" t="s">
        <v>10294</v>
      </c>
      <c r="U1754" s="818"/>
      <c r="V1754" s="862"/>
      <c r="W1754" s="819"/>
      <c r="X1754" s="820" t="s">
        <v>10295</v>
      </c>
      <c r="Y1754" s="616" t="s">
        <v>3820</v>
      </c>
      <c r="Z1754" s="609">
        <v>2.2576</v>
      </c>
      <c r="AA1754" s="616">
        <f t="shared" si="709"/>
        <v>325.0944</v>
      </c>
      <c r="AC1754" s="697"/>
      <c r="AD1754" s="610" t="s">
        <v>8079</v>
      </c>
      <c r="AE1754" s="610" t="s">
        <v>82</v>
      </c>
      <c r="AF1754" s="610"/>
      <c r="AG1754" s="610"/>
      <c r="AH1754" s="609"/>
      <c r="AI1754" s="609">
        <v>144</v>
      </c>
      <c r="AJ1754" s="610">
        <f t="shared" si="702"/>
        <v>0</v>
      </c>
      <c r="AK1754" s="613"/>
      <c r="AL1754" s="610"/>
      <c r="AM1754" s="610"/>
      <c r="AN1754" s="610">
        <f t="shared" si="710"/>
        <v>288</v>
      </c>
      <c r="AO1754" s="554"/>
      <c r="AP1754" s="554"/>
      <c r="AQ1754" s="554">
        <f t="shared" si="711"/>
        <v>288</v>
      </c>
      <c r="AR1754" s="619"/>
      <c r="AS1754" s="554"/>
      <c r="AT1754" s="554"/>
      <c r="AU1754" s="554">
        <f t="shared" ref="AU1753:AU1762" si="718">I1754*2</f>
        <v>288</v>
      </c>
      <c r="AV1754" s="554"/>
      <c r="AW1754" s="554"/>
      <c r="AX1754" s="714"/>
      <c r="AY1754" s="554"/>
      <c r="AZ1754" s="554"/>
      <c r="BA1754" s="554"/>
      <c r="BB1754" s="620">
        <f t="shared" si="712"/>
        <v>12</v>
      </c>
      <c r="BC1754" s="554"/>
      <c r="BD1754" s="554"/>
      <c r="BE1754" s="554"/>
      <c r="BF1754" s="554"/>
      <c r="BH1754" s="554"/>
      <c r="BI1754" s="554"/>
      <c r="BJ1754" s="554"/>
      <c r="BK1754" s="554"/>
      <c r="BL1754" s="554"/>
      <c r="BM1754" s="554"/>
      <c r="BN1754" s="554"/>
      <c r="BO1754" s="554"/>
      <c r="BP1754" s="554"/>
      <c r="BQ1754" s="554"/>
      <c r="BR1754" s="554"/>
      <c r="BS1754" s="554"/>
      <c r="BT1754" s="554"/>
      <c r="BU1754" s="554"/>
      <c r="BV1754" s="554"/>
      <c r="BW1754" s="554"/>
      <c r="BX1754" s="554"/>
      <c r="BY1754" s="554"/>
      <c r="BZ1754" s="554"/>
      <c r="CA1754" s="720"/>
      <c r="CB1754" s="555"/>
      <c r="CC1754" s="721"/>
      <c r="CD1754" s="554"/>
      <c r="CE1754" s="554"/>
      <c r="CF1754" s="554"/>
      <c r="CG1754" s="554"/>
      <c r="CI1754" s="554"/>
      <c r="CJ1754" s="554"/>
      <c r="CK1754" s="554"/>
      <c r="CL1754" s="554"/>
      <c r="CM1754" s="554"/>
      <c r="CN1754" s="554"/>
      <c r="CO1754" s="554"/>
      <c r="CP1754" s="619"/>
      <c r="CQ1754" s="619"/>
      <c r="CR1754" s="554">
        <f t="shared" si="713"/>
        <v>144</v>
      </c>
      <c r="CS1754" s="554">
        <f t="shared" si="714"/>
        <v>144</v>
      </c>
      <c r="CT1754" s="554">
        <f t="shared" si="715"/>
        <v>144</v>
      </c>
      <c r="CU1754" s="554">
        <f t="shared" si="704"/>
        <v>0</v>
      </c>
      <c r="CV1754" s="554">
        <f t="shared" si="716"/>
        <v>0</v>
      </c>
      <c r="CW1754" s="554">
        <f t="shared" si="717"/>
        <v>0</v>
      </c>
      <c r="CX1754" s="619"/>
      <c r="CY1754" s="619"/>
      <c r="CZ1754" s="619"/>
      <c r="DA1754" s="619"/>
      <c r="DB1754" s="619"/>
      <c r="DC1754" s="619"/>
      <c r="DD1754" s="619"/>
      <c r="DE1754" s="619"/>
      <c r="DF1754" s="619"/>
      <c r="DG1754" s="619"/>
      <c r="DH1754" s="619"/>
    </row>
    <row r="1755" s="550" customFormat="1" ht="31" customHeight="1" spans="1:113">
      <c r="A1755" s="608">
        <v>46171</v>
      </c>
      <c r="B1755" s="609" t="s">
        <v>5078</v>
      </c>
      <c r="C1755" s="610" t="s">
        <v>170</v>
      </c>
      <c r="D1755" s="554">
        <v>4500209056</v>
      </c>
      <c r="E1755" s="610" t="s">
        <v>10298</v>
      </c>
      <c r="F1755" s="554" t="s">
        <v>10299</v>
      </c>
      <c r="G1755" s="610" t="s">
        <v>6787</v>
      </c>
      <c r="H1755" s="610" t="s">
        <v>6126</v>
      </c>
      <c r="I1755" s="715">
        <v>528</v>
      </c>
      <c r="J1755" s="610">
        <v>0</v>
      </c>
      <c r="K1755" s="843">
        <v>12</v>
      </c>
      <c r="L1755" s="844">
        <f t="shared" si="701"/>
        <v>44</v>
      </c>
      <c r="M1755" s="845">
        <v>46225</v>
      </c>
      <c r="N1755" s="850">
        <v>46225</v>
      </c>
      <c r="O1755" s="613"/>
      <c r="P1755" s="610" t="s">
        <v>113</v>
      </c>
      <c r="Q1755" s="614">
        <v>46228</v>
      </c>
      <c r="R1755" s="614">
        <v>46171</v>
      </c>
      <c r="S1755" s="614" t="s">
        <v>104</v>
      </c>
      <c r="T1755" s="818" t="s">
        <v>10294</v>
      </c>
      <c r="U1755" s="818"/>
      <c r="V1755" s="862"/>
      <c r="W1755" s="819"/>
      <c r="X1755" s="820" t="s">
        <v>10295</v>
      </c>
      <c r="Y1755" s="616" t="s">
        <v>3820</v>
      </c>
      <c r="Z1755" s="609">
        <v>2.2576</v>
      </c>
      <c r="AA1755" s="616">
        <f t="shared" si="709"/>
        <v>1192.0128</v>
      </c>
      <c r="AC1755" s="697"/>
      <c r="AD1755" s="610" t="s">
        <v>8079</v>
      </c>
      <c r="AE1755" s="610" t="s">
        <v>82</v>
      </c>
      <c r="AF1755" s="610"/>
      <c r="AG1755" s="610"/>
      <c r="AH1755" s="609"/>
      <c r="AI1755" s="609">
        <v>528</v>
      </c>
      <c r="AJ1755" s="610">
        <f t="shared" si="702"/>
        <v>0</v>
      </c>
      <c r="AK1755" s="613"/>
      <c r="AL1755" s="610"/>
      <c r="AM1755" s="610"/>
      <c r="AN1755" s="610">
        <f t="shared" si="710"/>
        <v>1056</v>
      </c>
      <c r="AO1755" s="554"/>
      <c r="AP1755" s="554"/>
      <c r="AQ1755" s="554">
        <f t="shared" si="711"/>
        <v>1056</v>
      </c>
      <c r="AR1755" s="619"/>
      <c r="AS1755" s="554"/>
      <c r="AT1755" s="554"/>
      <c r="AU1755" s="554">
        <f t="shared" si="718"/>
        <v>1056</v>
      </c>
      <c r="AV1755" s="554"/>
      <c r="AW1755" s="554"/>
      <c r="AX1755" s="714"/>
      <c r="AY1755" s="554"/>
      <c r="AZ1755" s="554"/>
      <c r="BA1755" s="554"/>
      <c r="BB1755" s="620">
        <f t="shared" si="712"/>
        <v>44</v>
      </c>
      <c r="BC1755" s="554"/>
      <c r="BD1755" s="554"/>
      <c r="BE1755" s="554"/>
      <c r="BF1755" s="554"/>
      <c r="BH1755" s="554"/>
      <c r="BI1755" s="554"/>
      <c r="BJ1755" s="554"/>
      <c r="BK1755" s="554"/>
      <c r="BL1755" s="554"/>
      <c r="BM1755" s="554"/>
      <c r="BN1755" s="554"/>
      <c r="BO1755" s="554"/>
      <c r="BP1755" s="554"/>
      <c r="BQ1755" s="554"/>
      <c r="BR1755" s="554"/>
      <c r="BS1755" s="554"/>
      <c r="BT1755" s="554"/>
      <c r="BU1755" s="554"/>
      <c r="BV1755" s="554"/>
      <c r="BW1755" s="554"/>
      <c r="BX1755" s="554"/>
      <c r="BY1755" s="554"/>
      <c r="BZ1755" s="554"/>
      <c r="CA1755" s="720"/>
      <c r="CB1755" s="555"/>
      <c r="CC1755" s="721"/>
      <c r="CD1755" s="554"/>
      <c r="CE1755" s="554"/>
      <c r="CF1755" s="554"/>
      <c r="CG1755" s="554"/>
      <c r="CI1755" s="554"/>
      <c r="CJ1755" s="554"/>
      <c r="CK1755" s="554"/>
      <c r="CL1755" s="554"/>
      <c r="CM1755" s="554"/>
      <c r="CN1755" s="554"/>
      <c r="CO1755" s="554"/>
      <c r="CP1755" s="619"/>
      <c r="CQ1755" s="619"/>
      <c r="CR1755" s="554">
        <f t="shared" si="713"/>
        <v>528</v>
      </c>
      <c r="CS1755" s="554">
        <f t="shared" si="714"/>
        <v>528</v>
      </c>
      <c r="CT1755" s="554">
        <f t="shared" si="715"/>
        <v>528</v>
      </c>
      <c r="CU1755" s="554">
        <f t="shared" si="704"/>
        <v>0</v>
      </c>
      <c r="CV1755" s="554">
        <f t="shared" si="716"/>
        <v>0</v>
      </c>
      <c r="CW1755" s="554">
        <f t="shared" si="717"/>
        <v>0</v>
      </c>
      <c r="CX1755" s="619"/>
      <c r="CY1755" s="619"/>
      <c r="CZ1755" s="619"/>
      <c r="DA1755" s="619"/>
      <c r="DB1755" s="619"/>
      <c r="DC1755" s="619"/>
      <c r="DD1755" s="619"/>
      <c r="DE1755" s="619"/>
      <c r="DF1755" s="619"/>
      <c r="DG1755" s="619"/>
      <c r="DH1755" s="619"/>
    </row>
    <row r="1756" s="550" customFormat="1" ht="31" customHeight="1" spans="1:113">
      <c r="A1756" s="608">
        <v>46171</v>
      </c>
      <c r="B1756" s="609" t="s">
        <v>5078</v>
      </c>
      <c r="C1756" s="610" t="s">
        <v>170</v>
      </c>
      <c r="D1756" s="554">
        <v>4500209056</v>
      </c>
      <c r="E1756" s="610" t="s">
        <v>10300</v>
      </c>
      <c r="F1756" s="554" t="s">
        <v>10301</v>
      </c>
      <c r="G1756" s="610" t="s">
        <v>6787</v>
      </c>
      <c r="H1756" s="610" t="s">
        <v>6126</v>
      </c>
      <c r="I1756" s="715">
        <v>96</v>
      </c>
      <c r="J1756" s="610">
        <v>0</v>
      </c>
      <c r="K1756" s="843">
        <v>12</v>
      </c>
      <c r="L1756" s="844">
        <f t="shared" si="701"/>
        <v>8</v>
      </c>
      <c r="M1756" s="845">
        <v>46225</v>
      </c>
      <c r="N1756" s="850">
        <v>46225</v>
      </c>
      <c r="O1756" s="613"/>
      <c r="P1756" s="610" t="s">
        <v>113</v>
      </c>
      <c r="Q1756" s="614">
        <v>46228</v>
      </c>
      <c r="R1756" s="614">
        <v>46171</v>
      </c>
      <c r="S1756" s="614" t="s">
        <v>104</v>
      </c>
      <c r="T1756" s="818" t="s">
        <v>10294</v>
      </c>
      <c r="U1756" s="818"/>
      <c r="V1756" s="862"/>
      <c r="W1756" s="819"/>
      <c r="X1756" s="820" t="s">
        <v>10295</v>
      </c>
      <c r="Y1756" s="616" t="s">
        <v>3820</v>
      </c>
      <c r="Z1756" s="609">
        <v>2.2576</v>
      </c>
      <c r="AA1756" s="616">
        <f t="shared" si="709"/>
        <v>216.7296</v>
      </c>
      <c r="AC1756" s="697"/>
      <c r="AD1756" s="610" t="s">
        <v>8079</v>
      </c>
      <c r="AE1756" s="610" t="s">
        <v>82</v>
      </c>
      <c r="AF1756" s="610"/>
      <c r="AG1756" s="610"/>
      <c r="AH1756" s="609"/>
      <c r="AI1756" s="609">
        <v>96</v>
      </c>
      <c r="AJ1756" s="610">
        <f t="shared" si="702"/>
        <v>0</v>
      </c>
      <c r="AK1756" s="613"/>
      <c r="AL1756" s="610"/>
      <c r="AM1756" s="610"/>
      <c r="AN1756" s="610">
        <f t="shared" si="710"/>
        <v>192</v>
      </c>
      <c r="AO1756" s="554"/>
      <c r="AP1756" s="554"/>
      <c r="AQ1756" s="554">
        <f t="shared" si="711"/>
        <v>192</v>
      </c>
      <c r="AR1756" s="619"/>
      <c r="AS1756" s="554"/>
      <c r="AT1756" s="554"/>
      <c r="AU1756" s="554">
        <f t="shared" si="718"/>
        <v>192</v>
      </c>
      <c r="AV1756" s="554"/>
      <c r="AW1756" s="554"/>
      <c r="AX1756" s="714"/>
      <c r="AY1756" s="554"/>
      <c r="AZ1756" s="554"/>
      <c r="BA1756" s="554"/>
      <c r="BB1756" s="620">
        <f t="shared" si="712"/>
        <v>8</v>
      </c>
      <c r="BC1756" s="554"/>
      <c r="BD1756" s="554"/>
      <c r="BE1756" s="554"/>
      <c r="BF1756" s="554"/>
      <c r="BH1756" s="554"/>
      <c r="BI1756" s="554"/>
      <c r="BJ1756" s="554"/>
      <c r="BK1756" s="554"/>
      <c r="BL1756" s="554"/>
      <c r="BM1756" s="554"/>
      <c r="BN1756" s="554"/>
      <c r="BO1756" s="554"/>
      <c r="BP1756" s="554"/>
      <c r="BQ1756" s="554"/>
      <c r="BR1756" s="554"/>
      <c r="BS1756" s="554"/>
      <c r="BT1756" s="554"/>
      <c r="BU1756" s="554"/>
      <c r="BV1756" s="554"/>
      <c r="BW1756" s="554"/>
      <c r="BX1756" s="554"/>
      <c r="BY1756" s="554"/>
      <c r="BZ1756" s="554"/>
      <c r="CA1756" s="720"/>
      <c r="CB1756" s="555"/>
      <c r="CC1756" s="721"/>
      <c r="CD1756" s="554"/>
      <c r="CE1756" s="554"/>
      <c r="CF1756" s="554"/>
      <c r="CG1756" s="554"/>
      <c r="CI1756" s="554"/>
      <c r="CJ1756" s="554"/>
      <c r="CK1756" s="554"/>
      <c r="CL1756" s="554"/>
      <c r="CM1756" s="554"/>
      <c r="CN1756" s="554"/>
      <c r="CO1756" s="554"/>
      <c r="CP1756" s="619"/>
      <c r="CQ1756" s="619"/>
      <c r="CR1756" s="554">
        <f t="shared" si="713"/>
        <v>96</v>
      </c>
      <c r="CS1756" s="554">
        <f t="shared" si="714"/>
        <v>96</v>
      </c>
      <c r="CT1756" s="554">
        <f t="shared" si="715"/>
        <v>96</v>
      </c>
      <c r="CU1756" s="554">
        <f t="shared" si="704"/>
        <v>0</v>
      </c>
      <c r="CV1756" s="554">
        <f t="shared" si="716"/>
        <v>0</v>
      </c>
      <c r="CW1756" s="554">
        <f t="shared" si="717"/>
        <v>0</v>
      </c>
      <c r="CX1756" s="619"/>
      <c r="CY1756" s="619"/>
      <c r="CZ1756" s="619"/>
      <c r="DA1756" s="619"/>
      <c r="DB1756" s="619"/>
      <c r="DC1756" s="619"/>
      <c r="DD1756" s="619"/>
      <c r="DE1756" s="619"/>
      <c r="DF1756" s="619"/>
      <c r="DG1756" s="619"/>
      <c r="DH1756" s="619"/>
    </row>
    <row r="1757" s="550" customFormat="1" ht="31" customHeight="1" spans="1:113">
      <c r="A1757" s="608">
        <v>46171</v>
      </c>
      <c r="B1757" s="609" t="s">
        <v>5078</v>
      </c>
      <c r="C1757" s="610" t="s">
        <v>170</v>
      </c>
      <c r="D1757" s="554">
        <v>4500209056</v>
      </c>
      <c r="E1757" s="610" t="s">
        <v>10302</v>
      </c>
      <c r="F1757" s="554" t="s">
        <v>10303</v>
      </c>
      <c r="G1757" s="610" t="s">
        <v>6787</v>
      </c>
      <c r="H1757" s="610" t="s">
        <v>6126</v>
      </c>
      <c r="I1757" s="715">
        <v>168</v>
      </c>
      <c r="J1757" s="610">
        <v>0</v>
      </c>
      <c r="K1757" s="843">
        <v>12</v>
      </c>
      <c r="L1757" s="844">
        <f t="shared" si="701"/>
        <v>14</v>
      </c>
      <c r="M1757" s="845">
        <v>46225</v>
      </c>
      <c r="N1757" s="850">
        <v>46225</v>
      </c>
      <c r="O1757" s="613"/>
      <c r="P1757" s="610" t="s">
        <v>113</v>
      </c>
      <c r="Q1757" s="614">
        <v>46228</v>
      </c>
      <c r="R1757" s="614">
        <v>46171</v>
      </c>
      <c r="S1757" s="614" t="s">
        <v>104</v>
      </c>
      <c r="T1757" s="818" t="s">
        <v>10294</v>
      </c>
      <c r="U1757" s="818"/>
      <c r="V1757" s="862"/>
      <c r="W1757" s="819"/>
      <c r="X1757" s="820" t="s">
        <v>10295</v>
      </c>
      <c r="Y1757" s="616" t="s">
        <v>3820</v>
      </c>
      <c r="Z1757" s="609">
        <v>2.2576</v>
      </c>
      <c r="AA1757" s="616">
        <f t="shared" si="709"/>
        <v>379.2768</v>
      </c>
      <c r="AC1757" s="697"/>
      <c r="AD1757" s="610" t="s">
        <v>8079</v>
      </c>
      <c r="AE1757" s="610" t="s">
        <v>82</v>
      </c>
      <c r="AF1757" s="610"/>
      <c r="AG1757" s="610"/>
      <c r="AH1757" s="609"/>
      <c r="AI1757" s="609">
        <v>168</v>
      </c>
      <c r="AJ1757" s="610">
        <f t="shared" si="702"/>
        <v>0</v>
      </c>
      <c r="AK1757" s="613"/>
      <c r="AL1757" s="610"/>
      <c r="AM1757" s="610"/>
      <c r="AN1757" s="610">
        <f t="shared" si="710"/>
        <v>336</v>
      </c>
      <c r="AO1757" s="554"/>
      <c r="AP1757" s="554"/>
      <c r="AQ1757" s="554">
        <f t="shared" si="711"/>
        <v>336</v>
      </c>
      <c r="AR1757" s="619"/>
      <c r="AS1757" s="554"/>
      <c r="AT1757" s="554"/>
      <c r="AU1757" s="554">
        <f t="shared" si="718"/>
        <v>336</v>
      </c>
      <c r="AV1757" s="554"/>
      <c r="AW1757" s="554"/>
      <c r="AX1757" s="714"/>
      <c r="AY1757" s="554"/>
      <c r="AZ1757" s="554"/>
      <c r="BA1757" s="554"/>
      <c r="BB1757" s="620">
        <f t="shared" si="712"/>
        <v>14</v>
      </c>
      <c r="BC1757" s="554"/>
      <c r="BD1757" s="554"/>
      <c r="BE1757" s="554"/>
      <c r="BF1757" s="554"/>
      <c r="BH1757" s="554"/>
      <c r="BI1757" s="554"/>
      <c r="BJ1757" s="554"/>
      <c r="BK1757" s="554"/>
      <c r="BL1757" s="554"/>
      <c r="BM1757" s="554"/>
      <c r="BN1757" s="554"/>
      <c r="BO1757" s="554"/>
      <c r="BP1757" s="554"/>
      <c r="BQ1757" s="554"/>
      <c r="BR1757" s="554"/>
      <c r="BS1757" s="554"/>
      <c r="BT1757" s="554"/>
      <c r="BU1757" s="554"/>
      <c r="BV1757" s="554"/>
      <c r="BW1757" s="554"/>
      <c r="BX1757" s="554"/>
      <c r="BY1757" s="554"/>
      <c r="BZ1757" s="554"/>
      <c r="CA1757" s="720"/>
      <c r="CB1757" s="555"/>
      <c r="CC1757" s="721"/>
      <c r="CD1757" s="554"/>
      <c r="CE1757" s="554"/>
      <c r="CF1757" s="554"/>
      <c r="CG1757" s="554"/>
      <c r="CI1757" s="554"/>
      <c r="CJ1757" s="554"/>
      <c r="CK1757" s="554"/>
      <c r="CL1757" s="554"/>
      <c r="CM1757" s="554"/>
      <c r="CN1757" s="554"/>
      <c r="CO1757" s="554"/>
      <c r="CP1757" s="619"/>
      <c r="CQ1757" s="619"/>
      <c r="CR1757" s="554">
        <f t="shared" si="713"/>
        <v>168</v>
      </c>
      <c r="CS1757" s="554">
        <f t="shared" si="714"/>
        <v>168</v>
      </c>
      <c r="CT1757" s="554">
        <f t="shared" si="715"/>
        <v>168</v>
      </c>
      <c r="CU1757" s="554">
        <f t="shared" si="704"/>
        <v>0</v>
      </c>
      <c r="CV1757" s="554">
        <f t="shared" si="716"/>
        <v>0</v>
      </c>
      <c r="CW1757" s="554">
        <f t="shared" si="717"/>
        <v>0</v>
      </c>
      <c r="CX1757" s="619"/>
      <c r="CY1757" s="619"/>
      <c r="CZ1757" s="619"/>
      <c r="DA1757" s="619"/>
      <c r="DB1757" s="619"/>
      <c r="DC1757" s="619"/>
      <c r="DD1757" s="619"/>
      <c r="DE1757" s="619"/>
      <c r="DF1757" s="619"/>
      <c r="DG1757" s="619"/>
      <c r="DH1757" s="619"/>
    </row>
    <row r="1758" s="550" customFormat="1" ht="31" customHeight="1" spans="1:113">
      <c r="A1758" s="608">
        <v>46171</v>
      </c>
      <c r="B1758" s="609" t="s">
        <v>5078</v>
      </c>
      <c r="C1758" s="610" t="s">
        <v>170</v>
      </c>
      <c r="D1758" s="554">
        <v>4500209115</v>
      </c>
      <c r="E1758" s="610" t="s">
        <v>10304</v>
      </c>
      <c r="F1758" s="554" t="s">
        <v>10305</v>
      </c>
      <c r="G1758" s="610" t="s">
        <v>6787</v>
      </c>
      <c r="H1758" s="610" t="s">
        <v>6126</v>
      </c>
      <c r="I1758" s="715">
        <v>48</v>
      </c>
      <c r="J1758" s="610">
        <v>0</v>
      </c>
      <c r="K1758" s="843">
        <v>12</v>
      </c>
      <c r="L1758" s="844">
        <f t="shared" si="701"/>
        <v>4</v>
      </c>
      <c r="M1758" s="845">
        <v>46225</v>
      </c>
      <c r="N1758" s="850">
        <v>46225</v>
      </c>
      <c r="O1758" s="613"/>
      <c r="P1758" s="610" t="s">
        <v>113</v>
      </c>
      <c r="Q1758" s="614">
        <v>46247</v>
      </c>
      <c r="R1758" s="614">
        <v>46171</v>
      </c>
      <c r="S1758" s="614" t="s">
        <v>104</v>
      </c>
      <c r="T1758" s="818" t="s">
        <v>10294</v>
      </c>
      <c r="U1758" s="818"/>
      <c r="V1758" s="862"/>
      <c r="W1758" s="819"/>
      <c r="X1758" s="820" t="s">
        <v>10306</v>
      </c>
      <c r="Y1758" s="616" t="s">
        <v>3820</v>
      </c>
      <c r="Z1758" s="609">
        <v>2.2576</v>
      </c>
      <c r="AA1758" s="616">
        <f t="shared" si="709"/>
        <v>108.3648</v>
      </c>
      <c r="AC1758" s="697"/>
      <c r="AD1758" s="610" t="s">
        <v>8079</v>
      </c>
      <c r="AE1758" s="610" t="s">
        <v>82</v>
      </c>
      <c r="AF1758" s="610"/>
      <c r="AG1758" s="610"/>
      <c r="AH1758" s="609"/>
      <c r="AI1758" s="609">
        <v>48</v>
      </c>
      <c r="AJ1758" s="610">
        <f t="shared" si="702"/>
        <v>0</v>
      </c>
      <c r="AK1758" s="613"/>
      <c r="AL1758" s="610"/>
      <c r="AM1758" s="610"/>
      <c r="AN1758" s="610">
        <f t="shared" si="710"/>
        <v>96</v>
      </c>
      <c r="AO1758" s="554"/>
      <c r="AP1758" s="554"/>
      <c r="AQ1758" s="554">
        <f t="shared" si="711"/>
        <v>96</v>
      </c>
      <c r="AR1758" s="619"/>
      <c r="AS1758" s="554"/>
      <c r="AT1758" s="554"/>
      <c r="AU1758" s="554">
        <f t="shared" si="718"/>
        <v>96</v>
      </c>
      <c r="AV1758" s="554"/>
      <c r="AW1758" s="554"/>
      <c r="AX1758" s="714"/>
      <c r="AY1758" s="554"/>
      <c r="AZ1758" s="554"/>
      <c r="BA1758" s="554"/>
      <c r="BB1758" s="620">
        <f t="shared" si="712"/>
        <v>4</v>
      </c>
      <c r="BC1758" s="554"/>
      <c r="BD1758" s="554"/>
      <c r="BE1758" s="554"/>
      <c r="BF1758" s="554"/>
      <c r="BH1758" s="554"/>
      <c r="BI1758" s="554"/>
      <c r="BJ1758" s="554"/>
      <c r="BK1758" s="554"/>
      <c r="BL1758" s="554"/>
      <c r="BM1758" s="554"/>
      <c r="BN1758" s="554"/>
      <c r="BO1758" s="554"/>
      <c r="BP1758" s="554"/>
      <c r="BQ1758" s="554"/>
      <c r="BR1758" s="554"/>
      <c r="BS1758" s="554"/>
      <c r="BT1758" s="554"/>
      <c r="BU1758" s="554"/>
      <c r="BV1758" s="554"/>
      <c r="BW1758" s="554"/>
      <c r="BX1758" s="554"/>
      <c r="BY1758" s="554"/>
      <c r="BZ1758" s="554"/>
      <c r="CA1758" s="720"/>
      <c r="CB1758" s="555"/>
      <c r="CC1758" s="721"/>
      <c r="CD1758" s="554"/>
      <c r="CE1758" s="554"/>
      <c r="CF1758" s="554"/>
      <c r="CG1758" s="554"/>
      <c r="CI1758" s="554"/>
      <c r="CJ1758" s="554"/>
      <c r="CK1758" s="554"/>
      <c r="CL1758" s="554"/>
      <c r="CM1758" s="554"/>
      <c r="CN1758" s="554"/>
      <c r="CO1758" s="554"/>
      <c r="CP1758" s="619"/>
      <c r="CQ1758" s="619"/>
      <c r="CR1758" s="554">
        <f t="shared" si="713"/>
        <v>48</v>
      </c>
      <c r="CS1758" s="554">
        <f t="shared" si="714"/>
        <v>48</v>
      </c>
      <c r="CT1758" s="554">
        <f t="shared" si="715"/>
        <v>48</v>
      </c>
      <c r="CU1758" s="554">
        <f t="shared" si="704"/>
        <v>0</v>
      </c>
      <c r="CV1758" s="554">
        <f t="shared" si="716"/>
        <v>0</v>
      </c>
      <c r="CW1758" s="554">
        <f t="shared" si="717"/>
        <v>0</v>
      </c>
      <c r="CX1758" s="619"/>
      <c r="CY1758" s="619"/>
      <c r="CZ1758" s="619"/>
      <c r="DA1758" s="619"/>
      <c r="DB1758" s="619"/>
      <c r="DC1758" s="619"/>
      <c r="DD1758" s="619"/>
      <c r="DE1758" s="619"/>
      <c r="DF1758" s="619"/>
      <c r="DG1758" s="619"/>
      <c r="DH1758" s="619"/>
    </row>
    <row r="1759" s="550" customFormat="1" ht="31" customHeight="1" spans="1:113">
      <c r="A1759" s="608">
        <v>46171</v>
      </c>
      <c r="B1759" s="609" t="s">
        <v>5078</v>
      </c>
      <c r="C1759" s="610" t="s">
        <v>170</v>
      </c>
      <c r="D1759" s="554">
        <v>4500209115</v>
      </c>
      <c r="E1759" s="610" t="s">
        <v>10307</v>
      </c>
      <c r="F1759" s="554" t="s">
        <v>10308</v>
      </c>
      <c r="G1759" s="610" t="s">
        <v>6787</v>
      </c>
      <c r="H1759" s="610" t="s">
        <v>6126</v>
      </c>
      <c r="I1759" s="715">
        <v>60</v>
      </c>
      <c r="J1759" s="610">
        <v>0</v>
      </c>
      <c r="K1759" s="843">
        <v>12</v>
      </c>
      <c r="L1759" s="844">
        <f t="shared" si="701"/>
        <v>5</v>
      </c>
      <c r="M1759" s="845">
        <v>46225</v>
      </c>
      <c r="N1759" s="850">
        <v>46225</v>
      </c>
      <c r="O1759" s="613"/>
      <c r="P1759" s="610" t="s">
        <v>113</v>
      </c>
      <c r="Q1759" s="614">
        <v>46247</v>
      </c>
      <c r="R1759" s="614">
        <v>46171</v>
      </c>
      <c r="S1759" s="614" t="s">
        <v>104</v>
      </c>
      <c r="T1759" s="818" t="s">
        <v>10294</v>
      </c>
      <c r="U1759" s="818"/>
      <c r="V1759" s="862"/>
      <c r="W1759" s="819"/>
      <c r="X1759" s="820" t="s">
        <v>10306</v>
      </c>
      <c r="Y1759" s="616" t="s">
        <v>3820</v>
      </c>
      <c r="Z1759" s="609">
        <v>2.2576</v>
      </c>
      <c r="AA1759" s="616">
        <f t="shared" si="709"/>
        <v>135.456</v>
      </c>
      <c r="AC1759" s="697"/>
      <c r="AD1759" s="610" t="s">
        <v>8079</v>
      </c>
      <c r="AE1759" s="610" t="s">
        <v>82</v>
      </c>
      <c r="AF1759" s="610"/>
      <c r="AG1759" s="610"/>
      <c r="AH1759" s="609"/>
      <c r="AI1759" s="609">
        <v>60</v>
      </c>
      <c r="AJ1759" s="610">
        <f t="shared" si="702"/>
        <v>0</v>
      </c>
      <c r="AK1759" s="613"/>
      <c r="AL1759" s="610"/>
      <c r="AM1759" s="610"/>
      <c r="AN1759" s="610">
        <f t="shared" si="710"/>
        <v>120</v>
      </c>
      <c r="AO1759" s="554"/>
      <c r="AP1759" s="554"/>
      <c r="AQ1759" s="554">
        <f t="shared" si="711"/>
        <v>120</v>
      </c>
      <c r="AR1759" s="619"/>
      <c r="AS1759" s="554"/>
      <c r="AT1759" s="554"/>
      <c r="AU1759" s="554">
        <f t="shared" si="718"/>
        <v>120</v>
      </c>
      <c r="AV1759" s="554"/>
      <c r="AW1759" s="554"/>
      <c r="AX1759" s="714"/>
      <c r="AY1759" s="554"/>
      <c r="AZ1759" s="554"/>
      <c r="BA1759" s="554"/>
      <c r="BB1759" s="620">
        <f t="shared" si="712"/>
        <v>5</v>
      </c>
      <c r="BC1759" s="554"/>
      <c r="BD1759" s="554"/>
      <c r="BE1759" s="554"/>
      <c r="BF1759" s="554"/>
      <c r="BH1759" s="554"/>
      <c r="BI1759" s="554"/>
      <c r="BJ1759" s="554"/>
      <c r="BK1759" s="554"/>
      <c r="BL1759" s="554"/>
      <c r="BM1759" s="554"/>
      <c r="BN1759" s="554"/>
      <c r="BO1759" s="554"/>
      <c r="BP1759" s="554"/>
      <c r="BQ1759" s="554"/>
      <c r="BR1759" s="554"/>
      <c r="BS1759" s="554"/>
      <c r="BT1759" s="554"/>
      <c r="BU1759" s="554"/>
      <c r="BV1759" s="554"/>
      <c r="BW1759" s="554"/>
      <c r="BX1759" s="554"/>
      <c r="BY1759" s="554"/>
      <c r="BZ1759" s="554"/>
      <c r="CA1759" s="720"/>
      <c r="CB1759" s="555"/>
      <c r="CC1759" s="721"/>
      <c r="CD1759" s="554"/>
      <c r="CE1759" s="554"/>
      <c r="CF1759" s="554"/>
      <c r="CG1759" s="554"/>
      <c r="CI1759" s="554"/>
      <c r="CJ1759" s="554"/>
      <c r="CK1759" s="554"/>
      <c r="CL1759" s="554"/>
      <c r="CM1759" s="554"/>
      <c r="CN1759" s="554"/>
      <c r="CO1759" s="554"/>
      <c r="CP1759" s="619"/>
      <c r="CQ1759" s="619"/>
      <c r="CR1759" s="554">
        <f t="shared" si="713"/>
        <v>60</v>
      </c>
      <c r="CS1759" s="554">
        <f t="shared" si="714"/>
        <v>60</v>
      </c>
      <c r="CT1759" s="554">
        <f t="shared" si="715"/>
        <v>60</v>
      </c>
      <c r="CU1759" s="554">
        <f t="shared" si="704"/>
        <v>0</v>
      </c>
      <c r="CV1759" s="554">
        <f t="shared" si="716"/>
        <v>0</v>
      </c>
      <c r="CW1759" s="554">
        <f t="shared" si="717"/>
        <v>0</v>
      </c>
      <c r="CX1759" s="619"/>
      <c r="CY1759" s="619"/>
      <c r="CZ1759" s="619"/>
      <c r="DA1759" s="619"/>
      <c r="DB1759" s="619"/>
      <c r="DC1759" s="619"/>
      <c r="DD1759" s="619"/>
      <c r="DE1759" s="619"/>
      <c r="DF1759" s="619"/>
      <c r="DG1759" s="619"/>
      <c r="DH1759" s="619"/>
    </row>
    <row r="1760" s="550" customFormat="1" ht="31" customHeight="1" spans="1:113">
      <c r="A1760" s="608">
        <v>46171</v>
      </c>
      <c r="B1760" s="609" t="s">
        <v>5078</v>
      </c>
      <c r="C1760" s="610" t="s">
        <v>170</v>
      </c>
      <c r="D1760" s="554">
        <v>4500209115</v>
      </c>
      <c r="E1760" s="610" t="s">
        <v>10309</v>
      </c>
      <c r="F1760" s="554" t="s">
        <v>10310</v>
      </c>
      <c r="G1760" s="610" t="s">
        <v>6787</v>
      </c>
      <c r="H1760" s="610" t="s">
        <v>6126</v>
      </c>
      <c r="I1760" s="715">
        <v>36</v>
      </c>
      <c r="J1760" s="610">
        <v>0</v>
      </c>
      <c r="K1760" s="843">
        <v>12</v>
      </c>
      <c r="L1760" s="844">
        <f t="shared" si="701"/>
        <v>3</v>
      </c>
      <c r="M1760" s="845">
        <v>46225</v>
      </c>
      <c r="N1760" s="850">
        <v>46225</v>
      </c>
      <c r="O1760" s="613"/>
      <c r="P1760" s="610" t="s">
        <v>113</v>
      </c>
      <c r="Q1760" s="614">
        <v>46247</v>
      </c>
      <c r="R1760" s="614">
        <v>46171</v>
      </c>
      <c r="S1760" s="614" t="s">
        <v>104</v>
      </c>
      <c r="T1760" s="818" t="s">
        <v>10294</v>
      </c>
      <c r="U1760" s="818"/>
      <c r="V1760" s="862"/>
      <c r="W1760" s="819"/>
      <c r="X1760" s="820" t="s">
        <v>10306</v>
      </c>
      <c r="Y1760" s="616" t="s">
        <v>3820</v>
      </c>
      <c r="Z1760" s="609">
        <v>2.2576</v>
      </c>
      <c r="AA1760" s="616">
        <f t="shared" si="709"/>
        <v>81.2736</v>
      </c>
      <c r="AC1760" s="697"/>
      <c r="AD1760" s="610" t="s">
        <v>8079</v>
      </c>
      <c r="AE1760" s="610" t="s">
        <v>82</v>
      </c>
      <c r="AF1760" s="610"/>
      <c r="AG1760" s="610"/>
      <c r="AH1760" s="609"/>
      <c r="AI1760" s="609">
        <v>36</v>
      </c>
      <c r="AJ1760" s="610">
        <f t="shared" si="702"/>
        <v>0</v>
      </c>
      <c r="AK1760" s="613"/>
      <c r="AL1760" s="610"/>
      <c r="AM1760" s="610"/>
      <c r="AN1760" s="610">
        <f t="shared" si="710"/>
        <v>72</v>
      </c>
      <c r="AO1760" s="554"/>
      <c r="AP1760" s="554"/>
      <c r="AQ1760" s="554">
        <f t="shared" si="711"/>
        <v>72</v>
      </c>
      <c r="AR1760" s="619"/>
      <c r="AS1760" s="554"/>
      <c r="AT1760" s="554"/>
      <c r="AU1760" s="554">
        <f t="shared" si="718"/>
        <v>72</v>
      </c>
      <c r="AV1760" s="554"/>
      <c r="AW1760" s="554"/>
      <c r="AX1760" s="714"/>
      <c r="AY1760" s="554"/>
      <c r="AZ1760" s="554"/>
      <c r="BA1760" s="554"/>
      <c r="BB1760" s="620">
        <f t="shared" si="712"/>
        <v>3</v>
      </c>
      <c r="BC1760" s="554"/>
      <c r="BD1760" s="554"/>
      <c r="BE1760" s="554"/>
      <c r="BF1760" s="554"/>
      <c r="BH1760" s="554"/>
      <c r="BI1760" s="554"/>
      <c r="BJ1760" s="554"/>
      <c r="BK1760" s="554"/>
      <c r="BL1760" s="554"/>
      <c r="BM1760" s="554"/>
      <c r="BN1760" s="554"/>
      <c r="BO1760" s="554"/>
      <c r="BP1760" s="554"/>
      <c r="BQ1760" s="554"/>
      <c r="BR1760" s="554"/>
      <c r="BS1760" s="554"/>
      <c r="BT1760" s="554"/>
      <c r="BU1760" s="554"/>
      <c r="BV1760" s="554"/>
      <c r="BW1760" s="554"/>
      <c r="BX1760" s="554"/>
      <c r="BY1760" s="554"/>
      <c r="BZ1760" s="554"/>
      <c r="CA1760" s="720"/>
      <c r="CB1760" s="555"/>
      <c r="CC1760" s="721"/>
      <c r="CD1760" s="554"/>
      <c r="CE1760" s="554"/>
      <c r="CF1760" s="554"/>
      <c r="CG1760" s="554"/>
      <c r="CI1760" s="554"/>
      <c r="CJ1760" s="554"/>
      <c r="CK1760" s="554"/>
      <c r="CL1760" s="554"/>
      <c r="CM1760" s="554"/>
      <c r="CN1760" s="554"/>
      <c r="CO1760" s="554"/>
      <c r="CP1760" s="619"/>
      <c r="CQ1760" s="619"/>
      <c r="CR1760" s="554">
        <f t="shared" si="713"/>
        <v>36</v>
      </c>
      <c r="CS1760" s="554">
        <f t="shared" si="714"/>
        <v>36</v>
      </c>
      <c r="CT1760" s="554">
        <f t="shared" si="715"/>
        <v>36</v>
      </c>
      <c r="CU1760" s="554">
        <f t="shared" si="704"/>
        <v>0</v>
      </c>
      <c r="CV1760" s="554">
        <f t="shared" si="716"/>
        <v>0</v>
      </c>
      <c r="CW1760" s="554">
        <f t="shared" si="717"/>
        <v>0</v>
      </c>
      <c r="CX1760" s="619"/>
      <c r="CY1760" s="619"/>
      <c r="CZ1760" s="619"/>
      <c r="DA1760" s="619"/>
      <c r="DB1760" s="619"/>
      <c r="DC1760" s="619"/>
      <c r="DD1760" s="619"/>
      <c r="DE1760" s="619"/>
      <c r="DF1760" s="619"/>
      <c r="DG1760" s="619"/>
      <c r="DH1760" s="619"/>
    </row>
    <row r="1761" s="550" customFormat="1" ht="31" customHeight="1" spans="1:112">
      <c r="A1761" s="608">
        <v>46171</v>
      </c>
      <c r="B1761" s="609" t="s">
        <v>5078</v>
      </c>
      <c r="C1761" s="610" t="s">
        <v>170</v>
      </c>
      <c r="D1761" s="554">
        <v>4500209115</v>
      </c>
      <c r="E1761" s="610" t="s">
        <v>10311</v>
      </c>
      <c r="F1761" s="554" t="s">
        <v>10312</v>
      </c>
      <c r="G1761" s="610" t="s">
        <v>6787</v>
      </c>
      <c r="H1761" s="610" t="s">
        <v>6126</v>
      </c>
      <c r="I1761" s="715">
        <v>60</v>
      </c>
      <c r="J1761" s="610">
        <v>0</v>
      </c>
      <c r="K1761" s="843">
        <v>12</v>
      </c>
      <c r="L1761" s="844">
        <f t="shared" si="701"/>
        <v>5</v>
      </c>
      <c r="M1761" s="845">
        <v>46225</v>
      </c>
      <c r="N1761" s="850">
        <v>46225</v>
      </c>
      <c r="O1761" s="613"/>
      <c r="P1761" s="610" t="s">
        <v>113</v>
      </c>
      <c r="Q1761" s="614">
        <v>46247</v>
      </c>
      <c r="R1761" s="614">
        <v>46171</v>
      </c>
      <c r="S1761" s="614" t="s">
        <v>104</v>
      </c>
      <c r="T1761" s="818" t="s">
        <v>10294</v>
      </c>
      <c r="U1761" s="818"/>
      <c r="V1761" s="862"/>
      <c r="W1761" s="819"/>
      <c r="X1761" s="820" t="s">
        <v>10306</v>
      </c>
      <c r="Y1761" s="616" t="s">
        <v>3820</v>
      </c>
      <c r="Z1761" s="609">
        <v>2.2576</v>
      </c>
      <c r="AA1761" s="616">
        <f t="shared" si="709"/>
        <v>135.456</v>
      </c>
      <c r="AC1761" s="697"/>
      <c r="AD1761" s="610" t="s">
        <v>8079</v>
      </c>
      <c r="AE1761" s="610" t="s">
        <v>82</v>
      </c>
      <c r="AF1761" s="610"/>
      <c r="AG1761" s="610"/>
      <c r="AH1761" s="609"/>
      <c r="AI1761" s="609">
        <v>60</v>
      </c>
      <c r="AJ1761" s="610">
        <f t="shared" si="702"/>
        <v>0</v>
      </c>
      <c r="AK1761" s="613"/>
      <c r="AL1761" s="610"/>
      <c r="AM1761" s="610"/>
      <c r="AN1761" s="610">
        <f t="shared" si="710"/>
        <v>120</v>
      </c>
      <c r="AO1761" s="554"/>
      <c r="AP1761" s="554"/>
      <c r="AQ1761" s="554">
        <f t="shared" si="711"/>
        <v>120</v>
      </c>
      <c r="AR1761" s="619"/>
      <c r="AS1761" s="554"/>
      <c r="AT1761" s="554"/>
      <c r="AU1761" s="554">
        <f t="shared" si="718"/>
        <v>120</v>
      </c>
      <c r="AV1761" s="554"/>
      <c r="AW1761" s="554"/>
      <c r="AX1761" s="714"/>
      <c r="AY1761" s="554"/>
      <c r="AZ1761" s="554"/>
      <c r="BA1761" s="554"/>
      <c r="BB1761" s="620">
        <f t="shared" si="712"/>
        <v>5</v>
      </c>
      <c r="BC1761" s="554"/>
      <c r="BD1761" s="554"/>
      <c r="BE1761" s="554"/>
      <c r="BF1761" s="554"/>
      <c r="BH1761" s="554"/>
      <c r="BI1761" s="554"/>
      <c r="BJ1761" s="554"/>
      <c r="BK1761" s="554"/>
      <c r="BL1761" s="554"/>
      <c r="BM1761" s="554"/>
      <c r="BN1761" s="554"/>
      <c r="BO1761" s="554"/>
      <c r="BP1761" s="554"/>
      <c r="BQ1761" s="554"/>
      <c r="BR1761" s="554"/>
      <c r="BS1761" s="554"/>
      <c r="BT1761" s="554"/>
      <c r="BU1761" s="554"/>
      <c r="BV1761" s="554"/>
      <c r="BW1761" s="554"/>
      <c r="BX1761" s="554"/>
      <c r="BY1761" s="554"/>
      <c r="BZ1761" s="554"/>
      <c r="CA1761" s="720"/>
      <c r="CB1761" s="555"/>
      <c r="CC1761" s="721"/>
      <c r="CD1761" s="554"/>
      <c r="CE1761" s="554"/>
      <c r="CF1761" s="554"/>
      <c r="CG1761" s="554"/>
      <c r="CI1761" s="554"/>
      <c r="CJ1761" s="554"/>
      <c r="CK1761" s="554"/>
      <c r="CL1761" s="554"/>
      <c r="CM1761" s="554"/>
      <c r="CN1761" s="554"/>
      <c r="CO1761" s="554"/>
      <c r="CP1761" s="619"/>
      <c r="CQ1761" s="619"/>
      <c r="CR1761" s="554">
        <f t="shared" si="713"/>
        <v>60</v>
      </c>
      <c r="CS1761" s="554">
        <f t="shared" si="714"/>
        <v>60</v>
      </c>
      <c r="CT1761" s="554">
        <f t="shared" si="715"/>
        <v>60</v>
      </c>
      <c r="CU1761" s="554">
        <f t="shared" si="704"/>
        <v>0</v>
      </c>
      <c r="CV1761" s="554">
        <f t="shared" si="716"/>
        <v>0</v>
      </c>
      <c r="CW1761" s="554">
        <f t="shared" si="717"/>
        <v>0</v>
      </c>
      <c r="CX1761" s="619"/>
      <c r="CY1761" s="619"/>
      <c r="CZ1761" s="619"/>
      <c r="DA1761" s="619"/>
      <c r="DB1761" s="619"/>
      <c r="DC1761" s="619"/>
      <c r="DD1761" s="619"/>
      <c r="DE1761" s="619"/>
      <c r="DF1761" s="619"/>
      <c r="DG1761" s="619"/>
      <c r="DH1761" s="619"/>
    </row>
    <row r="1762" s="550" customFormat="1" ht="31" customHeight="1" spans="1:112">
      <c r="A1762" s="608">
        <v>46171</v>
      </c>
      <c r="B1762" s="609" t="s">
        <v>5078</v>
      </c>
      <c r="C1762" s="610" t="s">
        <v>170</v>
      </c>
      <c r="D1762" s="554">
        <v>4500209115</v>
      </c>
      <c r="E1762" s="610" t="s">
        <v>10313</v>
      </c>
      <c r="F1762" s="554" t="s">
        <v>10314</v>
      </c>
      <c r="G1762" s="610" t="s">
        <v>6787</v>
      </c>
      <c r="H1762" s="610" t="s">
        <v>6126</v>
      </c>
      <c r="I1762" s="715">
        <v>408</v>
      </c>
      <c r="J1762" s="610">
        <v>0</v>
      </c>
      <c r="K1762" s="843">
        <v>12</v>
      </c>
      <c r="L1762" s="844">
        <f t="shared" si="701"/>
        <v>34</v>
      </c>
      <c r="M1762" s="845">
        <v>46225</v>
      </c>
      <c r="N1762" s="850">
        <v>46225</v>
      </c>
      <c r="O1762" s="613"/>
      <c r="P1762" s="610" t="s">
        <v>113</v>
      </c>
      <c r="Q1762" s="614">
        <v>46247</v>
      </c>
      <c r="R1762" s="614">
        <v>46171</v>
      </c>
      <c r="S1762" s="614" t="s">
        <v>104</v>
      </c>
      <c r="T1762" s="818" t="s">
        <v>10294</v>
      </c>
      <c r="U1762" s="818"/>
      <c r="V1762" s="862"/>
      <c r="W1762" s="819"/>
      <c r="X1762" s="820" t="s">
        <v>10306</v>
      </c>
      <c r="Y1762" s="616" t="s">
        <v>3820</v>
      </c>
      <c r="Z1762" s="609">
        <v>2.2576</v>
      </c>
      <c r="AA1762" s="616">
        <f t="shared" si="709"/>
        <v>921.1008</v>
      </c>
      <c r="AC1762" s="697"/>
      <c r="AD1762" s="610" t="s">
        <v>8079</v>
      </c>
      <c r="AE1762" s="610" t="s">
        <v>82</v>
      </c>
      <c r="AF1762" s="610"/>
      <c r="AG1762" s="610"/>
      <c r="AH1762" s="609"/>
      <c r="AI1762" s="609">
        <v>408</v>
      </c>
      <c r="AJ1762" s="610">
        <f t="shared" si="702"/>
        <v>0</v>
      </c>
      <c r="AK1762" s="613"/>
      <c r="AL1762" s="610"/>
      <c r="AM1762" s="610"/>
      <c r="AN1762" s="610">
        <f t="shared" si="710"/>
        <v>816</v>
      </c>
      <c r="AO1762" s="554"/>
      <c r="AP1762" s="554"/>
      <c r="AQ1762" s="554">
        <f t="shared" si="711"/>
        <v>816</v>
      </c>
      <c r="AR1762" s="619"/>
      <c r="AS1762" s="554"/>
      <c r="AT1762" s="554"/>
      <c r="AU1762" s="554">
        <f t="shared" si="718"/>
        <v>816</v>
      </c>
      <c r="AV1762" s="729"/>
      <c r="AW1762" s="554"/>
      <c r="AX1762" s="714"/>
      <c r="AY1762" s="554"/>
      <c r="AZ1762" s="554"/>
      <c r="BA1762" s="554"/>
      <c r="BB1762" s="620">
        <f t="shared" si="712"/>
        <v>34</v>
      </c>
      <c r="BC1762" s="554"/>
      <c r="BD1762" s="554"/>
      <c r="BE1762" s="554"/>
      <c r="BF1762" s="554"/>
      <c r="BH1762" s="554"/>
      <c r="BI1762" s="554"/>
      <c r="BJ1762" s="554"/>
      <c r="BK1762" s="554"/>
      <c r="BL1762" s="554"/>
      <c r="BM1762" s="554"/>
      <c r="BN1762" s="554"/>
      <c r="BO1762" s="554"/>
      <c r="BP1762" s="554"/>
      <c r="BQ1762" s="554"/>
      <c r="BR1762" s="554"/>
      <c r="BS1762" s="554"/>
      <c r="BT1762" s="554"/>
      <c r="BU1762" s="554"/>
      <c r="BV1762" s="554"/>
      <c r="BW1762" s="554"/>
      <c r="BX1762" s="554"/>
      <c r="BY1762" s="554"/>
      <c r="BZ1762" s="554"/>
      <c r="CA1762" s="720"/>
      <c r="CB1762" s="555"/>
      <c r="CC1762" s="721"/>
      <c r="CD1762" s="554"/>
      <c r="CE1762" s="554"/>
      <c r="CF1762" s="554"/>
      <c r="CG1762" s="554"/>
      <c r="CI1762" s="554"/>
      <c r="CJ1762" s="554"/>
      <c r="CK1762" s="554"/>
      <c r="CL1762" s="554"/>
      <c r="CM1762" s="554"/>
      <c r="CN1762" s="554"/>
      <c r="CO1762" s="554"/>
      <c r="CP1762" s="619"/>
      <c r="CQ1762" s="619"/>
      <c r="CR1762" s="554">
        <f t="shared" si="713"/>
        <v>408</v>
      </c>
      <c r="CS1762" s="554">
        <f t="shared" si="714"/>
        <v>408</v>
      </c>
      <c r="CT1762" s="554">
        <f t="shared" si="715"/>
        <v>408</v>
      </c>
      <c r="CU1762" s="554">
        <f t="shared" si="704"/>
        <v>0</v>
      </c>
      <c r="CV1762" s="554">
        <f t="shared" si="716"/>
        <v>0</v>
      </c>
      <c r="CW1762" s="554">
        <f t="shared" si="717"/>
        <v>0</v>
      </c>
      <c r="CX1762" s="619"/>
      <c r="CY1762" s="619"/>
      <c r="CZ1762" s="619"/>
      <c r="DA1762" s="619"/>
      <c r="DB1762" s="619"/>
      <c r="DC1762" s="619"/>
      <c r="DD1762" s="619"/>
      <c r="DE1762" s="619"/>
      <c r="DF1762" s="619"/>
      <c r="DG1762" s="619"/>
      <c r="DH1762" s="619"/>
    </row>
    <row r="1763" s="550" customFormat="1" ht="31" customHeight="1" spans="1:112">
      <c r="A1763" s="608">
        <v>46183</v>
      </c>
      <c r="B1763" s="609" t="s">
        <v>4942</v>
      </c>
      <c r="C1763" s="610" t="s">
        <v>836</v>
      </c>
      <c r="D1763" s="847">
        <v>4500211429</v>
      </c>
      <c r="E1763" s="610"/>
      <c r="F1763" s="554" t="s">
        <v>10315</v>
      </c>
      <c r="G1763" s="610" t="s">
        <v>6040</v>
      </c>
      <c r="H1763" s="610" t="s">
        <v>6041</v>
      </c>
      <c r="I1763" s="715">
        <v>1508</v>
      </c>
      <c r="J1763" s="610">
        <v>0</v>
      </c>
      <c r="K1763" s="843">
        <v>52</v>
      </c>
      <c r="L1763" s="844">
        <f t="shared" si="701"/>
        <v>29</v>
      </c>
      <c r="M1763" s="845">
        <v>46225</v>
      </c>
      <c r="N1763" s="724">
        <v>46224</v>
      </c>
      <c r="O1763" s="613"/>
      <c r="P1763" s="613" t="s">
        <v>113</v>
      </c>
      <c r="Q1763" s="614">
        <v>46230</v>
      </c>
      <c r="R1763" s="614">
        <v>46190</v>
      </c>
      <c r="S1763" s="818" t="s">
        <v>70</v>
      </c>
      <c r="T1763" s="862" t="s">
        <v>70</v>
      </c>
      <c r="U1763" s="862"/>
      <c r="V1763" s="862"/>
      <c r="W1763" s="819" t="s">
        <v>4945</v>
      </c>
      <c r="X1763" s="865" t="s">
        <v>10316</v>
      </c>
      <c r="Y1763" s="616" t="s">
        <v>472</v>
      </c>
      <c r="Z1763" s="609">
        <v>1.0106</v>
      </c>
      <c r="AA1763" s="616">
        <f t="shared" si="709"/>
        <v>1523.9848</v>
      </c>
      <c r="AC1763" s="697"/>
      <c r="AD1763" s="610" t="s">
        <v>6040</v>
      </c>
      <c r="AE1763" s="610" t="s">
        <v>82</v>
      </c>
      <c r="AF1763" s="610"/>
      <c r="AG1763" s="610"/>
      <c r="AH1763" s="609"/>
      <c r="AI1763" s="609">
        <v>1508</v>
      </c>
      <c r="AJ1763" s="610">
        <f t="shared" si="702"/>
        <v>0</v>
      </c>
      <c r="AK1763" s="613"/>
      <c r="AL1763" s="610"/>
      <c r="AM1763" s="610"/>
      <c r="AN1763" s="610"/>
      <c r="AO1763" s="554">
        <f t="shared" ref="AO1763:AO1771" si="719">I1763</f>
        <v>1508</v>
      </c>
      <c r="AP1763" s="554"/>
      <c r="AQ1763" s="554"/>
      <c r="AR1763" s="619"/>
      <c r="AS1763" s="554"/>
      <c r="AT1763" s="554">
        <f>I1763</f>
        <v>1508</v>
      </c>
      <c r="AU1763" s="554"/>
      <c r="AV1763" s="554">
        <f>I1763</f>
        <v>1508</v>
      </c>
      <c r="AW1763" s="554"/>
      <c r="AX1763" s="714"/>
      <c r="AY1763" s="554"/>
      <c r="AZ1763" s="554"/>
      <c r="BA1763" s="554"/>
      <c r="BB1763" s="620">
        <f t="shared" ref="BB1763:BB1771" si="720">I1763/24</f>
        <v>62.8333333333333</v>
      </c>
      <c r="BC1763" s="554"/>
      <c r="BD1763" s="554"/>
      <c r="BE1763" s="554"/>
      <c r="BF1763" s="720"/>
      <c r="BG1763" s="555"/>
      <c r="BH1763" s="721"/>
      <c r="BI1763" s="554"/>
      <c r="BJ1763" s="554"/>
      <c r="BK1763" s="554"/>
      <c r="BL1763" s="554"/>
      <c r="BM1763" s="554">
        <f>I1763/13</f>
        <v>116</v>
      </c>
      <c r="BN1763" s="554"/>
      <c r="BO1763" s="554"/>
      <c r="BP1763" s="554"/>
      <c r="BQ1763" s="554"/>
      <c r="BR1763" s="554"/>
      <c r="BS1763" s="554"/>
      <c r="BT1763" s="554"/>
      <c r="BU1763" s="554"/>
      <c r="BV1763" s="554"/>
      <c r="BW1763" s="554"/>
      <c r="BX1763" s="554"/>
      <c r="BY1763" s="554"/>
      <c r="BZ1763" s="554"/>
      <c r="CA1763" s="720"/>
      <c r="CB1763" s="555"/>
      <c r="CC1763" s="721"/>
      <c r="CD1763" s="554"/>
      <c r="CE1763" s="554"/>
      <c r="CF1763" s="554"/>
      <c r="CG1763" s="720"/>
      <c r="CH1763" s="555"/>
      <c r="CI1763" s="721"/>
      <c r="CJ1763" s="554"/>
      <c r="CK1763" s="554"/>
      <c r="CL1763" s="554"/>
      <c r="CM1763" s="554"/>
      <c r="CN1763" s="554"/>
      <c r="CO1763" s="554"/>
      <c r="CP1763" s="619"/>
      <c r="CQ1763" s="619"/>
      <c r="CR1763" s="554"/>
      <c r="CS1763" s="554"/>
      <c r="CT1763" s="554"/>
      <c r="CU1763" s="554">
        <f t="shared" si="704"/>
        <v>0</v>
      </c>
      <c r="CV1763" s="554">
        <v>0</v>
      </c>
      <c r="CW1763" s="554">
        <v>0</v>
      </c>
      <c r="CX1763" s="619"/>
      <c r="CY1763" s="619"/>
      <c r="CZ1763" s="619"/>
      <c r="DA1763" s="619"/>
      <c r="DB1763" s="619"/>
      <c r="DC1763" s="619"/>
      <c r="DD1763" s="619"/>
      <c r="DE1763" s="619"/>
      <c r="DF1763" s="619"/>
      <c r="DG1763" s="619"/>
      <c r="DH1763" s="619"/>
    </row>
    <row r="1764" s="550" customFormat="1" ht="31" customHeight="1" spans="1:112">
      <c r="A1764" s="608">
        <v>46171</v>
      </c>
      <c r="B1764" s="609" t="s">
        <v>4948</v>
      </c>
      <c r="C1764" s="610" t="s">
        <v>524</v>
      </c>
      <c r="D1764" s="554">
        <v>4500209903</v>
      </c>
      <c r="E1764" s="610"/>
      <c r="F1764" s="554" t="s">
        <v>10317</v>
      </c>
      <c r="G1764" s="610" t="s">
        <v>6043</v>
      </c>
      <c r="H1764" s="610" t="s">
        <v>6110</v>
      </c>
      <c r="I1764" s="715">
        <v>1250</v>
      </c>
      <c r="J1764" s="610">
        <v>0</v>
      </c>
      <c r="K1764" s="843">
        <v>50</v>
      </c>
      <c r="L1764" s="844">
        <f t="shared" si="701"/>
        <v>25</v>
      </c>
      <c r="M1764" s="845">
        <v>46226</v>
      </c>
      <c r="N1764" s="724">
        <v>46224</v>
      </c>
      <c r="O1764" s="737" t="s">
        <v>1329</v>
      </c>
      <c r="P1764" s="613" t="s">
        <v>113</v>
      </c>
      <c r="Q1764" s="614"/>
      <c r="R1764" s="614">
        <v>46178</v>
      </c>
      <c r="S1764" s="818" t="s">
        <v>70</v>
      </c>
      <c r="T1764" s="862" t="s">
        <v>10318</v>
      </c>
      <c r="U1764" s="862"/>
      <c r="V1764" s="862"/>
      <c r="W1764" s="819"/>
      <c r="X1764" s="820" t="s">
        <v>10319</v>
      </c>
      <c r="Y1764" s="616" t="s">
        <v>3975</v>
      </c>
      <c r="Z1764" s="609">
        <v>0.9998</v>
      </c>
      <c r="AA1764" s="616">
        <v>1249.75</v>
      </c>
      <c r="AC1764" s="697"/>
      <c r="AD1764" s="609" t="s">
        <v>6043</v>
      </c>
      <c r="AE1764" s="610" t="s">
        <v>82</v>
      </c>
      <c r="AF1764" s="610"/>
      <c r="AG1764" s="610"/>
      <c r="AH1764" s="609"/>
      <c r="AI1764" s="609">
        <v>1250</v>
      </c>
      <c r="AJ1764" s="610">
        <f t="shared" si="702"/>
        <v>0</v>
      </c>
      <c r="AK1764" s="613"/>
      <c r="AL1764" s="610" t="s">
        <v>2368</v>
      </c>
      <c r="AM1764" s="610"/>
      <c r="AN1764" s="610"/>
      <c r="AO1764" s="554">
        <f t="shared" si="719"/>
        <v>1250</v>
      </c>
      <c r="AP1764" s="554"/>
      <c r="AQ1764" s="554"/>
      <c r="AR1764" s="619"/>
      <c r="AS1764" s="554"/>
      <c r="AT1764" s="554">
        <f>I1764</f>
        <v>1250</v>
      </c>
      <c r="AU1764" s="554"/>
      <c r="AV1764" s="554">
        <f>I1764</f>
        <v>1250</v>
      </c>
      <c r="AW1764" s="554"/>
      <c r="AX1764" s="714"/>
      <c r="AY1764" s="554"/>
      <c r="AZ1764" s="554"/>
      <c r="BA1764" s="554"/>
      <c r="BB1764" s="620">
        <f t="shared" si="720"/>
        <v>52.0833333333333</v>
      </c>
      <c r="BC1764" s="554"/>
      <c r="BD1764" s="554"/>
      <c r="BE1764" s="554"/>
      <c r="BF1764" s="554"/>
      <c r="BH1764" s="554"/>
      <c r="BI1764" s="554"/>
      <c r="BJ1764" s="554"/>
      <c r="BK1764" s="554"/>
      <c r="BL1764" s="554"/>
      <c r="BM1764" s="554"/>
      <c r="BN1764" s="554"/>
      <c r="BO1764" s="554"/>
      <c r="BP1764" s="554">
        <f>I1764/25</f>
        <v>50</v>
      </c>
      <c r="BQ1764" s="554"/>
      <c r="BR1764" s="554"/>
      <c r="BS1764" s="554"/>
      <c r="BT1764" s="554"/>
      <c r="BU1764" s="554"/>
      <c r="BV1764" s="554"/>
      <c r="BW1764" s="554"/>
      <c r="BX1764" s="554"/>
      <c r="BY1764" s="554"/>
      <c r="BZ1764" s="554"/>
      <c r="CA1764" s="720"/>
      <c r="CB1764" s="555"/>
      <c r="CC1764" s="721"/>
      <c r="CD1764" s="554"/>
      <c r="CE1764" s="554"/>
      <c r="CF1764" s="554"/>
      <c r="CG1764" s="554"/>
      <c r="CI1764" s="554"/>
      <c r="CJ1764" s="554"/>
      <c r="CK1764" s="554"/>
      <c r="CL1764" s="554"/>
      <c r="CM1764" s="554"/>
      <c r="CN1764" s="554"/>
      <c r="CO1764" s="554"/>
      <c r="CP1764" s="619"/>
      <c r="CQ1764" s="619"/>
      <c r="CR1764" s="554"/>
      <c r="CS1764" s="554"/>
      <c r="CT1764" s="554"/>
      <c r="CU1764" s="554">
        <f t="shared" si="704"/>
        <v>50</v>
      </c>
      <c r="CV1764" s="554">
        <f t="shared" ref="CV1764:CV1771" si="721">CK1764+CL1764+CM1764+CN1764+CO1764+CQ1764+CP1764</f>
        <v>0</v>
      </c>
      <c r="CW1764" s="554">
        <f t="shared" ref="CW1764:CW1771" si="722">CI1764+CJ1764</f>
        <v>0</v>
      </c>
      <c r="CX1764" s="619"/>
      <c r="CY1764" s="619"/>
      <c r="CZ1764" s="619"/>
      <c r="DA1764" s="619"/>
      <c r="DB1764" s="619"/>
      <c r="DC1764" s="619"/>
      <c r="DD1764" s="619"/>
      <c r="DE1764" s="619"/>
      <c r="DF1764" s="619"/>
      <c r="DG1764" s="619"/>
      <c r="DH1764" s="619"/>
    </row>
    <row r="1765" s="554" customFormat="1" ht="31" customHeight="1" spans="1:112">
      <c r="A1765" s="608">
        <v>46161</v>
      </c>
      <c r="B1765" s="609" t="s">
        <v>1214</v>
      </c>
      <c r="C1765" s="610" t="s">
        <v>524</v>
      </c>
      <c r="D1765" s="727">
        <v>4500207643</v>
      </c>
      <c r="E1765" s="613">
        <v>6040006</v>
      </c>
      <c r="F1765" s="554" t="s">
        <v>10320</v>
      </c>
      <c r="G1765" s="610" t="s">
        <v>6043</v>
      </c>
      <c r="H1765" s="610" t="s">
        <v>6110</v>
      </c>
      <c r="I1765" s="715">
        <v>3500</v>
      </c>
      <c r="J1765" s="610">
        <v>0</v>
      </c>
      <c r="K1765" s="610">
        <v>50</v>
      </c>
      <c r="L1765" s="611">
        <f t="shared" si="701"/>
        <v>70</v>
      </c>
      <c r="M1765" s="724">
        <v>46226</v>
      </c>
      <c r="N1765" s="724">
        <v>46223</v>
      </c>
      <c r="O1765" s="737" t="s">
        <v>4972</v>
      </c>
      <c r="P1765" s="613" t="s">
        <v>113</v>
      </c>
      <c r="Q1765" s="614">
        <v>46234</v>
      </c>
      <c r="R1765" s="614">
        <v>46184</v>
      </c>
      <c r="S1765" s="818" t="s">
        <v>70</v>
      </c>
      <c r="T1765" s="862" t="s">
        <v>10321</v>
      </c>
      <c r="U1765" s="862"/>
      <c r="V1765" s="862"/>
      <c r="W1765" s="819"/>
      <c r="X1765" s="820" t="s">
        <v>10322</v>
      </c>
      <c r="Y1765" s="616" t="s">
        <v>340</v>
      </c>
      <c r="Z1765" s="609">
        <v>0.9749</v>
      </c>
      <c r="AA1765" s="616">
        <f t="shared" ref="AA1765:AA1770" si="723">Z1765*I1765</f>
        <v>3412.15</v>
      </c>
      <c r="AC1765" s="697"/>
      <c r="AD1765" s="610" t="s">
        <v>6043</v>
      </c>
      <c r="AE1765" s="610" t="s">
        <v>82</v>
      </c>
      <c r="AF1765" s="610"/>
      <c r="AG1765" s="610"/>
      <c r="AH1765" s="609"/>
      <c r="AI1765" s="609">
        <v>3500</v>
      </c>
      <c r="AJ1765" s="610">
        <f t="shared" si="702"/>
        <v>0</v>
      </c>
      <c r="AK1765" s="613"/>
      <c r="AL1765" s="610" t="s">
        <v>2368</v>
      </c>
      <c r="AM1765" s="610"/>
      <c r="AN1765" s="554"/>
      <c r="AO1765" s="554">
        <f t="shared" si="719"/>
        <v>3500</v>
      </c>
      <c r="AR1765" s="619"/>
      <c r="AS1765" s="554"/>
      <c r="AT1765" s="554">
        <f>I1765</f>
        <v>3500</v>
      </c>
      <c r="AV1765" s="554">
        <f>I1765</f>
        <v>3500</v>
      </c>
      <c r="AX1765" s="714"/>
      <c r="AY1765" s="554"/>
      <c r="AZ1765" s="554"/>
      <c r="BA1765" s="554"/>
      <c r="BB1765" s="620">
        <f t="shared" si="720"/>
        <v>145.833333333333</v>
      </c>
      <c r="BP1765" s="554">
        <f>I1765/25</f>
        <v>140</v>
      </c>
      <c r="CA1765" s="720"/>
      <c r="CB1765" s="555"/>
      <c r="CC1765" s="721"/>
      <c r="CD1765" s="554"/>
      <c r="CE1765" s="554"/>
      <c r="CF1765" s="554"/>
      <c r="CG1765" s="554"/>
      <c r="CP1765" s="619"/>
      <c r="CQ1765" s="619"/>
      <c r="CR1765" s="554"/>
      <c r="CS1765" s="554"/>
      <c r="CT1765" s="554"/>
      <c r="CU1765" s="554">
        <f t="shared" si="704"/>
        <v>140</v>
      </c>
      <c r="CV1765" s="554">
        <f t="shared" si="721"/>
        <v>0</v>
      </c>
      <c r="CW1765" s="554">
        <f t="shared" si="722"/>
        <v>0</v>
      </c>
      <c r="CX1765" s="717"/>
      <c r="CY1765" s="717"/>
      <c r="CZ1765" s="717"/>
      <c r="DA1765" s="717"/>
      <c r="DB1765" s="717"/>
      <c r="DC1765" s="717"/>
      <c r="DD1765" s="717"/>
      <c r="DE1765" s="717"/>
      <c r="DF1765" s="717"/>
      <c r="DG1765" s="717"/>
      <c r="DH1765" s="717"/>
    </row>
    <row r="1766" s="554" customFormat="1" ht="31" customHeight="1" spans="1:112">
      <c r="A1766" s="608">
        <v>46160</v>
      </c>
      <c r="B1766" s="609" t="s">
        <v>1337</v>
      </c>
      <c r="C1766" s="610" t="s">
        <v>931</v>
      </c>
      <c r="D1766" s="727">
        <v>4500203233</v>
      </c>
      <c r="E1766" s="610" t="s">
        <v>4939</v>
      </c>
      <c r="F1766" s="554" t="s">
        <v>10323</v>
      </c>
      <c r="G1766" s="610" t="s">
        <v>6276</v>
      </c>
      <c r="H1766" s="610" t="s">
        <v>6277</v>
      </c>
      <c r="I1766" s="715">
        <v>400</v>
      </c>
      <c r="J1766" s="610">
        <v>0</v>
      </c>
      <c r="K1766" s="610">
        <v>50</v>
      </c>
      <c r="L1766" s="611">
        <f t="shared" si="701"/>
        <v>8</v>
      </c>
      <c r="M1766" s="612">
        <v>46227</v>
      </c>
      <c r="N1766" s="612">
        <v>46223</v>
      </c>
      <c r="O1766" s="613"/>
      <c r="P1766" s="610" t="s">
        <v>113</v>
      </c>
      <c r="Q1766" s="614"/>
      <c r="R1766" s="614">
        <v>46189</v>
      </c>
      <c r="S1766" s="614" t="s">
        <v>70</v>
      </c>
      <c r="T1766" s="614" t="s">
        <v>70</v>
      </c>
      <c r="U1766" s="614"/>
      <c r="V1766" s="614"/>
      <c r="W1766" s="609"/>
      <c r="X1766" s="609" t="s">
        <v>10324</v>
      </c>
      <c r="Y1766" s="616" t="s">
        <v>943</v>
      </c>
      <c r="Z1766" s="609">
        <v>0.9572</v>
      </c>
      <c r="AA1766" s="616">
        <f t="shared" si="723"/>
        <v>382.88</v>
      </c>
      <c r="AC1766" s="697"/>
      <c r="AD1766" s="610" t="s">
        <v>6276</v>
      </c>
      <c r="AE1766" s="610" t="s">
        <v>82</v>
      </c>
      <c r="AF1766" s="610"/>
      <c r="AG1766" s="610"/>
      <c r="AH1766" s="609"/>
      <c r="AI1766" s="609">
        <v>400</v>
      </c>
      <c r="AJ1766" s="610">
        <f t="shared" si="702"/>
        <v>0</v>
      </c>
      <c r="AK1766" s="613"/>
      <c r="AL1766" s="610"/>
      <c r="AM1766" s="610"/>
      <c r="AN1766" s="554"/>
      <c r="AO1766" s="554">
        <f t="shared" si="719"/>
        <v>400</v>
      </c>
      <c r="AR1766" s="619"/>
      <c r="AS1766" s="554"/>
      <c r="AT1766" s="554"/>
      <c r="AU1766" s="554"/>
      <c r="AV1766" s="554"/>
      <c r="AW1766" s="554"/>
      <c r="AX1766" s="714"/>
      <c r="AY1766" s="554"/>
      <c r="AZ1766" s="554"/>
      <c r="BA1766" s="554"/>
      <c r="BB1766" s="620">
        <f t="shared" si="720"/>
        <v>16.6666666666667</v>
      </c>
      <c r="BV1766" s="554">
        <f>I1766</f>
        <v>400</v>
      </c>
      <c r="BW1766" s="554">
        <f>I1766</f>
        <v>400</v>
      </c>
      <c r="BX1766" s="554">
        <f>I1766/25</f>
        <v>16</v>
      </c>
      <c r="CA1766" s="720"/>
      <c r="CB1766" s="555"/>
      <c r="CC1766" s="721"/>
      <c r="CD1766" s="554"/>
      <c r="CE1766" s="554"/>
      <c r="CF1766" s="554"/>
      <c r="CG1766" s="554"/>
      <c r="CP1766" s="619"/>
      <c r="CQ1766" s="619"/>
      <c r="CR1766" s="554"/>
      <c r="CS1766" s="554"/>
      <c r="CT1766" s="554"/>
      <c r="CU1766" s="554">
        <f t="shared" si="704"/>
        <v>16</v>
      </c>
      <c r="CV1766" s="554">
        <f t="shared" si="721"/>
        <v>0</v>
      </c>
      <c r="CW1766" s="554">
        <f t="shared" si="722"/>
        <v>0</v>
      </c>
      <c r="CX1766" s="717"/>
      <c r="CY1766" s="717"/>
      <c r="CZ1766" s="717"/>
      <c r="DA1766" s="717"/>
      <c r="DB1766" s="717"/>
      <c r="DC1766" s="717"/>
      <c r="DD1766" s="717"/>
      <c r="DE1766" s="717"/>
      <c r="DF1766" s="717"/>
      <c r="DG1766" s="717"/>
      <c r="DH1766" s="717"/>
    </row>
    <row r="1767" s="554" customFormat="1" ht="31" customHeight="1" spans="1:112">
      <c r="A1767" s="608">
        <v>46148</v>
      </c>
      <c r="B1767" s="609" t="s">
        <v>2594</v>
      </c>
      <c r="C1767" s="610" t="s">
        <v>2595</v>
      </c>
      <c r="D1767" s="866">
        <v>4500204906</v>
      </c>
      <c r="E1767" s="610" t="s">
        <v>3846</v>
      </c>
      <c r="F1767" s="554" t="s">
        <v>10325</v>
      </c>
      <c r="G1767" s="610" t="s">
        <v>6276</v>
      </c>
      <c r="H1767" s="610" t="s">
        <v>10326</v>
      </c>
      <c r="I1767" s="715">
        <v>3000</v>
      </c>
      <c r="J1767" s="610">
        <v>0</v>
      </c>
      <c r="K1767" s="610">
        <v>50</v>
      </c>
      <c r="L1767" s="611">
        <f t="shared" si="701"/>
        <v>60</v>
      </c>
      <c r="M1767" s="612">
        <v>46227</v>
      </c>
      <c r="N1767" s="724">
        <v>46230</v>
      </c>
      <c r="O1767" s="613"/>
      <c r="P1767" s="613" t="s">
        <v>113</v>
      </c>
      <c r="Q1767" s="614">
        <v>46245</v>
      </c>
      <c r="R1767" s="614">
        <v>46198</v>
      </c>
      <c r="S1767" s="614" t="s">
        <v>70</v>
      </c>
      <c r="T1767" s="614" t="s">
        <v>10327</v>
      </c>
      <c r="U1767" s="863"/>
      <c r="V1767" s="863" t="s">
        <v>10328</v>
      </c>
      <c r="W1767" s="863" t="s">
        <v>10329</v>
      </c>
      <c r="X1767" s="738" t="s">
        <v>10330</v>
      </c>
      <c r="Y1767" s="616" t="s">
        <v>529</v>
      </c>
      <c r="Z1767" s="609">
        <v>0.9521</v>
      </c>
      <c r="AA1767" s="616">
        <f t="shared" si="723"/>
        <v>2856.3</v>
      </c>
      <c r="AC1767" s="697"/>
      <c r="AD1767" s="610" t="s">
        <v>6276</v>
      </c>
      <c r="AE1767" s="610" t="s">
        <v>82</v>
      </c>
      <c r="AF1767" s="610"/>
      <c r="AG1767" s="610"/>
      <c r="AH1767" s="609"/>
      <c r="AI1767" s="609">
        <v>3000</v>
      </c>
      <c r="AJ1767" s="610">
        <f t="shared" si="702"/>
        <v>0</v>
      </c>
      <c r="AK1767" s="613"/>
      <c r="AL1767" s="610" t="s">
        <v>2368</v>
      </c>
      <c r="AM1767" s="610"/>
      <c r="AN1767" s="554"/>
      <c r="AO1767" s="554">
        <f t="shared" si="719"/>
        <v>3000</v>
      </c>
      <c r="AR1767" s="619"/>
      <c r="AS1767" s="554"/>
      <c r="AT1767" s="554"/>
      <c r="AU1767" s="554"/>
      <c r="AV1767" s="554"/>
      <c r="AW1767" s="554"/>
      <c r="AX1767" s="714"/>
      <c r="AY1767" s="554"/>
      <c r="AZ1767" s="554"/>
      <c r="BA1767" s="554"/>
      <c r="BB1767" s="620">
        <f t="shared" si="720"/>
        <v>125</v>
      </c>
      <c r="BV1767" s="554">
        <f>I1767</f>
        <v>3000</v>
      </c>
      <c r="BW1767" s="554">
        <f>I1767</f>
        <v>3000</v>
      </c>
      <c r="BX1767" s="554">
        <f>I1767/25</f>
        <v>120</v>
      </c>
      <c r="CA1767" s="720"/>
      <c r="CB1767" s="555"/>
      <c r="CC1767" s="721"/>
      <c r="CD1767" s="554"/>
      <c r="CE1767" s="554"/>
      <c r="CF1767" s="554"/>
      <c r="CG1767" s="554"/>
      <c r="CP1767" s="619"/>
      <c r="CQ1767" s="619"/>
      <c r="CR1767" s="554"/>
      <c r="CS1767" s="554"/>
      <c r="CT1767" s="554"/>
      <c r="CU1767" s="554">
        <f t="shared" si="704"/>
        <v>120</v>
      </c>
      <c r="CV1767" s="554">
        <f t="shared" si="721"/>
        <v>0</v>
      </c>
      <c r="CW1767" s="554">
        <f t="shared" si="722"/>
        <v>0</v>
      </c>
      <c r="CX1767" s="619"/>
      <c r="CY1767" s="619"/>
      <c r="CZ1767" s="619"/>
      <c r="DA1767" s="619"/>
      <c r="DB1767" s="619"/>
      <c r="DC1767" s="619"/>
      <c r="DD1767" s="619"/>
      <c r="DE1767" s="619"/>
      <c r="DF1767" s="619"/>
      <c r="DG1767" s="619"/>
      <c r="DH1767" s="619"/>
    </row>
    <row r="1768" s="550" customFormat="1" ht="31" customHeight="1" spans="1:112">
      <c r="A1768" s="867">
        <v>46185</v>
      </c>
      <c r="B1768" s="605" t="s">
        <v>4994</v>
      </c>
      <c r="C1768" s="589" t="s">
        <v>302</v>
      </c>
      <c r="D1768" s="557">
        <v>4500210632</v>
      </c>
      <c r="E1768" s="589"/>
      <c r="F1768" s="557" t="s">
        <v>10331</v>
      </c>
      <c r="G1768" s="589" t="s">
        <v>6040</v>
      </c>
      <c r="H1768" s="589" t="s">
        <v>6041</v>
      </c>
      <c r="I1768" s="868">
        <v>468</v>
      </c>
      <c r="J1768" s="589">
        <v>0</v>
      </c>
      <c r="K1768" s="869">
        <v>52</v>
      </c>
      <c r="L1768" s="870">
        <f t="shared" si="701"/>
        <v>9</v>
      </c>
      <c r="M1768" s="871">
        <v>46228</v>
      </c>
      <c r="N1768" s="872">
        <v>46224</v>
      </c>
      <c r="O1768" s="873"/>
      <c r="P1768" s="589" t="s">
        <v>113</v>
      </c>
      <c r="Q1768" s="874"/>
      <c r="R1768" s="874">
        <v>46185</v>
      </c>
      <c r="S1768" s="874" t="s">
        <v>70</v>
      </c>
      <c r="T1768" s="874" t="s">
        <v>10332</v>
      </c>
      <c r="U1768" s="874"/>
      <c r="V1768" s="875" t="s">
        <v>10333</v>
      </c>
      <c r="W1768" s="573" t="s">
        <v>10334</v>
      </c>
      <c r="X1768" s="605" t="s">
        <v>10335</v>
      </c>
      <c r="Y1768" s="876" t="s">
        <v>4937</v>
      </c>
      <c r="Z1768" s="605">
        <v>0.9762</v>
      </c>
      <c r="AA1768" s="876">
        <f t="shared" si="723"/>
        <v>456.8616</v>
      </c>
      <c r="AC1768" s="877"/>
      <c r="AD1768" s="610" t="s">
        <v>6040</v>
      </c>
      <c r="AE1768" s="610" t="s">
        <v>82</v>
      </c>
      <c r="AF1768" s="589"/>
      <c r="AG1768" s="589"/>
      <c r="AH1768" s="605"/>
      <c r="AI1768" s="609">
        <v>468</v>
      </c>
      <c r="AJ1768" s="610">
        <f t="shared" si="702"/>
        <v>0</v>
      </c>
      <c r="AK1768" s="873"/>
      <c r="AL1768" s="589" t="s">
        <v>2368</v>
      </c>
      <c r="AM1768" s="589"/>
      <c r="AN1768" s="589"/>
      <c r="AO1768" s="557">
        <f t="shared" si="719"/>
        <v>468</v>
      </c>
      <c r="AP1768" s="557"/>
      <c r="AQ1768" s="557"/>
      <c r="AR1768" s="878"/>
      <c r="AS1768" s="557"/>
      <c r="AT1768" s="554">
        <f>I1768</f>
        <v>468</v>
      </c>
      <c r="AU1768" s="554"/>
      <c r="AV1768" s="554">
        <f>I1768</f>
        <v>468</v>
      </c>
      <c r="AW1768" s="557"/>
      <c r="AX1768" s="879"/>
      <c r="AY1768" s="557"/>
      <c r="AZ1768" s="557"/>
      <c r="BA1768" s="557"/>
      <c r="BB1768" s="620">
        <f t="shared" si="720"/>
        <v>19.5</v>
      </c>
      <c r="BC1768" s="557"/>
      <c r="BD1768" s="557"/>
      <c r="BE1768" s="557"/>
      <c r="BF1768" s="880"/>
      <c r="BG1768" s="881"/>
      <c r="BH1768" s="882"/>
      <c r="BI1768" s="557"/>
      <c r="BJ1768" s="557"/>
      <c r="BK1768" s="557"/>
      <c r="BL1768" s="557"/>
      <c r="BM1768" s="554">
        <f>I1768/13</f>
        <v>36</v>
      </c>
      <c r="BN1768" s="557"/>
      <c r="BO1768" s="557"/>
      <c r="BP1768" s="557"/>
      <c r="BQ1768" s="557"/>
      <c r="BR1768" s="557"/>
      <c r="BS1768" s="557"/>
      <c r="BT1768" s="557"/>
      <c r="BU1768" s="557"/>
      <c r="BV1768" s="557"/>
      <c r="BW1768" s="557"/>
      <c r="BX1768" s="557"/>
      <c r="BY1768" s="557"/>
      <c r="BZ1768" s="557"/>
      <c r="CA1768" s="883"/>
      <c r="CB1768" s="555"/>
      <c r="CC1768" s="882"/>
      <c r="CD1768" s="557"/>
      <c r="CE1768" s="557"/>
      <c r="CF1768" s="557"/>
      <c r="CG1768" s="880"/>
      <c r="CH1768" s="881"/>
      <c r="CI1768" s="882"/>
      <c r="CJ1768" s="557"/>
      <c r="CK1768" s="557"/>
      <c r="CL1768" s="557"/>
      <c r="CM1768" s="557"/>
      <c r="CN1768" s="557"/>
      <c r="CO1768" s="557"/>
      <c r="CP1768" s="878"/>
      <c r="CQ1768" s="878"/>
      <c r="CR1768" s="557"/>
      <c r="CS1768" s="557"/>
      <c r="CT1768" s="557"/>
      <c r="CU1768" s="554">
        <f t="shared" si="704"/>
        <v>0</v>
      </c>
      <c r="CV1768" s="554">
        <f t="shared" si="721"/>
        <v>0</v>
      </c>
      <c r="CW1768" s="554">
        <f t="shared" si="722"/>
        <v>0</v>
      </c>
      <c r="CX1768" s="878"/>
      <c r="CY1768" s="878"/>
      <c r="CZ1768" s="878"/>
      <c r="DA1768" s="878"/>
      <c r="DB1768" s="878"/>
      <c r="DC1768" s="878"/>
      <c r="DD1768" s="878"/>
      <c r="DE1768" s="878"/>
      <c r="DF1768" s="878"/>
      <c r="DG1768" s="878"/>
      <c r="DH1768" s="878"/>
    </row>
    <row r="1769" s="550" customFormat="1" ht="31" customHeight="1" spans="1:112">
      <c r="A1769" s="608">
        <v>46184</v>
      </c>
      <c r="B1769" s="609" t="s">
        <v>2594</v>
      </c>
      <c r="C1769" s="610" t="s">
        <v>2595</v>
      </c>
      <c r="D1769" s="884">
        <v>4500211792</v>
      </c>
      <c r="E1769" s="610"/>
      <c r="F1769" s="554" t="s">
        <v>10336</v>
      </c>
      <c r="G1769" s="610" t="s">
        <v>6276</v>
      </c>
      <c r="H1769" s="610" t="s">
        <v>6277</v>
      </c>
      <c r="I1769" s="715">
        <v>2000</v>
      </c>
      <c r="J1769" s="610">
        <v>0</v>
      </c>
      <c r="K1769" s="610">
        <v>50</v>
      </c>
      <c r="L1769" s="611">
        <f t="shared" si="701"/>
        <v>40</v>
      </c>
      <c r="M1769" s="612">
        <v>46230</v>
      </c>
      <c r="N1769" s="724">
        <v>46230</v>
      </c>
      <c r="O1769" s="613"/>
      <c r="P1769" s="613" t="s">
        <v>113</v>
      </c>
      <c r="Q1769" s="614">
        <v>46245</v>
      </c>
      <c r="R1769" s="614">
        <v>46198</v>
      </c>
      <c r="S1769" s="614" t="s">
        <v>70</v>
      </c>
      <c r="T1769" s="614" t="s">
        <v>10337</v>
      </c>
      <c r="U1769" s="614"/>
      <c r="V1769" s="614" t="s">
        <v>10338</v>
      </c>
      <c r="W1769" s="573"/>
      <c r="X1769" s="738" t="s">
        <v>10339</v>
      </c>
      <c r="Y1769" s="616" t="s">
        <v>529</v>
      </c>
      <c r="Z1769" s="609">
        <v>0.9521</v>
      </c>
      <c r="AA1769" s="616">
        <f t="shared" si="723"/>
        <v>1904.2</v>
      </c>
      <c r="AB1769" s="573" t="s">
        <v>10340</v>
      </c>
      <c r="AC1769" s="697"/>
      <c r="AD1769" s="610" t="s">
        <v>6276</v>
      </c>
      <c r="AE1769" s="610" t="s">
        <v>82</v>
      </c>
      <c r="AF1769" s="610"/>
      <c r="AG1769" s="610"/>
      <c r="AH1769" s="609"/>
      <c r="AI1769" s="609">
        <v>2000</v>
      </c>
      <c r="AJ1769" s="610">
        <f t="shared" si="702"/>
        <v>0</v>
      </c>
      <c r="AK1769" s="613"/>
      <c r="AL1769" s="610" t="s">
        <v>2368</v>
      </c>
      <c r="AM1769" s="610"/>
      <c r="AN1769" s="554"/>
      <c r="AO1769" s="554">
        <f t="shared" si="719"/>
        <v>2000</v>
      </c>
      <c r="AP1769" s="554"/>
      <c r="AQ1769" s="554"/>
      <c r="AR1769" s="619"/>
      <c r="AS1769" s="554"/>
      <c r="AT1769" s="554"/>
      <c r="AU1769" s="554"/>
      <c r="AV1769" s="554"/>
      <c r="AW1769" s="554"/>
      <c r="AX1769" s="714"/>
      <c r="AY1769" s="554"/>
      <c r="AZ1769" s="554"/>
      <c r="BA1769" s="554"/>
      <c r="BB1769" s="620">
        <f t="shared" si="720"/>
        <v>83.3333333333333</v>
      </c>
      <c r="BC1769" s="554"/>
      <c r="BD1769" s="554"/>
      <c r="BE1769" s="554"/>
      <c r="BF1769" s="554"/>
      <c r="BG1769" s="554"/>
      <c r="BH1769" s="554"/>
      <c r="BI1769" s="554"/>
      <c r="BJ1769" s="554"/>
      <c r="BK1769" s="554"/>
      <c r="BL1769" s="554"/>
      <c r="BM1769" s="554"/>
      <c r="BN1769" s="554"/>
      <c r="BO1769" s="554"/>
      <c r="BP1769" s="554"/>
      <c r="BQ1769" s="554"/>
      <c r="BR1769" s="554"/>
      <c r="BS1769" s="554"/>
      <c r="BT1769" s="554"/>
      <c r="BU1769" s="554"/>
      <c r="BV1769" s="554">
        <f>I1769</f>
        <v>2000</v>
      </c>
      <c r="BW1769" s="554">
        <f>I1769</f>
        <v>2000</v>
      </c>
      <c r="BX1769" s="554">
        <f>I1769/25</f>
        <v>80</v>
      </c>
      <c r="BY1769" s="554"/>
      <c r="BZ1769" s="554"/>
      <c r="CA1769" s="720"/>
      <c r="CB1769" s="555"/>
      <c r="CC1769" s="721"/>
      <c r="CD1769" s="554"/>
      <c r="CE1769" s="554"/>
      <c r="CF1769" s="554"/>
      <c r="CG1769" s="554"/>
      <c r="CH1769" s="554"/>
      <c r="CI1769" s="554"/>
      <c r="CJ1769" s="554"/>
      <c r="CK1769" s="554"/>
      <c r="CL1769" s="554"/>
      <c r="CM1769" s="554"/>
      <c r="CN1769" s="554"/>
      <c r="CO1769" s="554"/>
      <c r="CP1769" s="619"/>
      <c r="CQ1769" s="619"/>
      <c r="CR1769" s="554"/>
      <c r="CS1769" s="554"/>
      <c r="CT1769" s="554"/>
      <c r="CU1769" s="554">
        <f t="shared" si="704"/>
        <v>80</v>
      </c>
      <c r="CV1769" s="554">
        <f t="shared" si="721"/>
        <v>0</v>
      </c>
      <c r="CW1769" s="554">
        <f t="shared" si="722"/>
        <v>0</v>
      </c>
      <c r="CX1769" s="619"/>
      <c r="CY1769" s="619"/>
      <c r="CZ1769" s="619"/>
      <c r="DA1769" s="619"/>
      <c r="DB1769" s="619"/>
      <c r="DC1769" s="619"/>
      <c r="DD1769" s="619"/>
      <c r="DE1769" s="619"/>
      <c r="DF1769" s="619"/>
      <c r="DG1769" s="619"/>
      <c r="DH1769" s="619"/>
    </row>
    <row r="1770" s="554" customFormat="1" ht="31" customHeight="1" spans="1:112">
      <c r="A1770" s="608">
        <v>46142</v>
      </c>
      <c r="B1770" s="609" t="s">
        <v>3110</v>
      </c>
      <c r="C1770" s="610" t="s">
        <v>524</v>
      </c>
      <c r="D1770" s="727">
        <v>4500204956</v>
      </c>
      <c r="E1770" s="613">
        <v>6000072151</v>
      </c>
      <c r="F1770" s="554" t="s">
        <v>10341</v>
      </c>
      <c r="G1770" s="610" t="s">
        <v>6043</v>
      </c>
      <c r="H1770" s="610" t="s">
        <v>6110</v>
      </c>
      <c r="I1770" s="715">
        <v>2000</v>
      </c>
      <c r="J1770" s="610">
        <v>0</v>
      </c>
      <c r="K1770" s="610">
        <v>50</v>
      </c>
      <c r="L1770" s="611">
        <f t="shared" si="701"/>
        <v>40</v>
      </c>
      <c r="M1770" s="612">
        <v>46195</v>
      </c>
      <c r="N1770" s="724">
        <v>46224</v>
      </c>
      <c r="O1770" s="613"/>
      <c r="P1770" s="613" t="s">
        <v>113</v>
      </c>
      <c r="Q1770" s="614">
        <v>46228</v>
      </c>
      <c r="R1770" s="614" t="s">
        <v>5064</v>
      </c>
      <c r="S1770" s="818" t="s">
        <v>104</v>
      </c>
      <c r="T1770" s="862" t="s">
        <v>10342</v>
      </c>
      <c r="U1770" s="862"/>
      <c r="V1770" s="862"/>
      <c r="W1770" s="819"/>
      <c r="X1770" s="820" t="s">
        <v>10343</v>
      </c>
      <c r="Y1770" s="616" t="s">
        <v>943</v>
      </c>
      <c r="Z1770" s="609">
        <v>0.9749</v>
      </c>
      <c r="AA1770" s="616">
        <f t="shared" si="723"/>
        <v>1949.8</v>
      </c>
      <c r="AC1770" s="697"/>
      <c r="AD1770" s="610" t="s">
        <v>6043</v>
      </c>
      <c r="AE1770" s="610" t="s">
        <v>82</v>
      </c>
      <c r="AF1770" s="610"/>
      <c r="AG1770" s="610"/>
      <c r="AH1770" s="609"/>
      <c r="AI1770" s="609">
        <v>2000</v>
      </c>
      <c r="AJ1770" s="610">
        <f t="shared" si="702"/>
        <v>0</v>
      </c>
      <c r="AK1770" s="613"/>
      <c r="AL1770" s="610" t="s">
        <v>2368</v>
      </c>
      <c r="AM1770" s="610"/>
      <c r="AN1770" s="554"/>
      <c r="AO1770" s="554">
        <f t="shared" si="719"/>
        <v>2000</v>
      </c>
      <c r="AR1770" s="619"/>
      <c r="AS1770" s="554"/>
      <c r="AT1770" s="554">
        <f>I1770</f>
        <v>2000</v>
      </c>
      <c r="AV1770" s="554">
        <f>I1770</f>
        <v>2000</v>
      </c>
      <c r="AX1770" s="714"/>
      <c r="AY1770" s="554"/>
      <c r="AZ1770" s="554"/>
      <c r="BA1770" s="554"/>
      <c r="BB1770" s="620">
        <f t="shared" si="720"/>
        <v>83.3333333333333</v>
      </c>
      <c r="BP1770" s="554">
        <f>I1770/25</f>
        <v>80</v>
      </c>
      <c r="CA1770" s="720"/>
      <c r="CB1770" s="555"/>
      <c r="CC1770" s="721"/>
      <c r="CD1770" s="554"/>
      <c r="CE1770" s="554"/>
      <c r="CF1770" s="554"/>
      <c r="CG1770" s="554"/>
      <c r="CP1770" s="619"/>
      <c r="CQ1770" s="619"/>
      <c r="CR1770" s="554"/>
      <c r="CS1770" s="554"/>
      <c r="CT1770" s="554"/>
      <c r="CU1770" s="554">
        <f t="shared" si="704"/>
        <v>80</v>
      </c>
      <c r="CV1770" s="554">
        <f t="shared" si="721"/>
        <v>0</v>
      </c>
      <c r="CW1770" s="554">
        <f t="shared" si="722"/>
        <v>0</v>
      </c>
      <c r="CX1770" s="619"/>
      <c r="CY1770" s="619"/>
      <c r="CZ1770" s="619"/>
      <c r="DA1770" s="619"/>
      <c r="DB1770" s="619"/>
      <c r="DC1770" s="619"/>
      <c r="DD1770" s="619"/>
      <c r="DE1770" s="619"/>
      <c r="DF1770" s="619"/>
      <c r="DG1770" s="619"/>
      <c r="DH1770" s="619"/>
    </row>
    <row r="1771" s="550" customFormat="1" ht="31" customHeight="1" spans="1:112">
      <c r="A1771" s="608">
        <v>46182</v>
      </c>
      <c r="B1771" s="609" t="s">
        <v>841</v>
      </c>
      <c r="C1771" s="610" t="s">
        <v>399</v>
      </c>
      <c r="D1771" s="554">
        <v>4500211344</v>
      </c>
      <c r="E1771" s="731" t="s">
        <v>5010</v>
      </c>
      <c r="F1771" s="554" t="s">
        <v>10344</v>
      </c>
      <c r="G1771" s="610" t="s">
        <v>6223</v>
      </c>
      <c r="H1771" s="610" t="s">
        <v>6080</v>
      </c>
      <c r="I1771" s="715">
        <v>810</v>
      </c>
      <c r="J1771" s="610">
        <v>0</v>
      </c>
      <c r="K1771" s="843">
        <v>30</v>
      </c>
      <c r="L1771" s="844">
        <f t="shared" si="701"/>
        <v>27</v>
      </c>
      <c r="M1771" s="845">
        <v>46223</v>
      </c>
      <c r="N1771" s="724">
        <v>46230</v>
      </c>
      <c r="O1771" s="613"/>
      <c r="P1771" s="610" t="s">
        <v>113</v>
      </c>
      <c r="Q1771" s="614">
        <v>46238</v>
      </c>
      <c r="R1771" s="614">
        <v>46204</v>
      </c>
      <c r="S1771" s="614" t="s">
        <v>70</v>
      </c>
      <c r="T1771" s="614" t="s">
        <v>10290</v>
      </c>
      <c r="U1771" s="614"/>
      <c r="V1771" s="614"/>
      <c r="W1771" s="609" t="s">
        <v>5013</v>
      </c>
      <c r="X1771" s="738" t="s">
        <v>10345</v>
      </c>
      <c r="Y1771" s="616" t="s">
        <v>445</v>
      </c>
      <c r="Z1771" s="609">
        <v>44.0608</v>
      </c>
      <c r="AA1771" s="616">
        <f>Z1771*L1771</f>
        <v>1189.6416</v>
      </c>
      <c r="AC1771" s="697"/>
      <c r="AD1771" s="610" t="s">
        <v>6223</v>
      </c>
      <c r="AE1771" s="610" t="s">
        <v>82</v>
      </c>
      <c r="AF1771" s="610"/>
      <c r="AG1771" s="610"/>
      <c r="AH1771" s="609"/>
      <c r="AI1771" s="609">
        <v>810</v>
      </c>
      <c r="AJ1771" s="610">
        <f t="shared" si="702"/>
        <v>0</v>
      </c>
      <c r="AK1771" s="613"/>
      <c r="AL1771" s="610" t="s">
        <v>2368</v>
      </c>
      <c r="AM1771" s="610"/>
      <c r="AN1771" s="610"/>
      <c r="AO1771" s="554">
        <f t="shared" si="719"/>
        <v>810</v>
      </c>
      <c r="AP1771" s="554"/>
      <c r="AQ1771" s="554"/>
      <c r="AR1771" s="619"/>
      <c r="AS1771" s="554"/>
      <c r="AT1771" s="554">
        <f>I1771</f>
        <v>810</v>
      </c>
      <c r="AU1771" s="554"/>
      <c r="AV1771" s="554">
        <f>I1771</f>
        <v>810</v>
      </c>
      <c r="AW1771" s="554"/>
      <c r="AX1771" s="714"/>
      <c r="AY1771" s="554"/>
      <c r="AZ1771" s="554"/>
      <c r="BA1771" s="554"/>
      <c r="BB1771" s="620">
        <f>I1771/24*2</f>
        <v>67.5</v>
      </c>
      <c r="BC1771" s="554"/>
      <c r="BD1771" s="554"/>
      <c r="BE1771" s="554"/>
      <c r="BF1771" s="720"/>
      <c r="BG1771" s="555"/>
      <c r="BH1771" s="721"/>
      <c r="BI1771" s="554"/>
      <c r="BJ1771" s="554"/>
      <c r="BK1771" s="554"/>
      <c r="BL1771" s="554"/>
      <c r="BM1771" s="554"/>
      <c r="BN1771" s="554"/>
      <c r="BO1771" s="554"/>
      <c r="BP1771" s="554"/>
      <c r="BQ1771" s="554"/>
      <c r="BR1771" s="554"/>
      <c r="BS1771" s="554"/>
      <c r="BT1771" s="554"/>
      <c r="BU1771" s="554"/>
      <c r="BV1771" s="554"/>
      <c r="BW1771" s="554"/>
      <c r="BX1771" s="554"/>
      <c r="BY1771" s="554"/>
      <c r="BZ1771" s="554"/>
      <c r="CA1771" s="720"/>
      <c r="CB1771" s="555"/>
      <c r="CC1771" s="721"/>
      <c r="CD1771" s="554"/>
      <c r="CE1771" s="554"/>
      <c r="CF1771" s="554"/>
      <c r="CG1771" s="720"/>
      <c r="CH1771" s="555"/>
      <c r="CI1771" s="721"/>
      <c r="CJ1771" s="554"/>
      <c r="CK1771" s="554"/>
      <c r="CL1771" s="554"/>
      <c r="CM1771" s="554"/>
      <c r="CN1771" s="554"/>
      <c r="CO1771" s="554"/>
      <c r="CP1771" s="554">
        <f>I1771/30</f>
        <v>27</v>
      </c>
      <c r="CQ1771" s="619"/>
      <c r="CR1771" s="554"/>
      <c r="CS1771" s="554"/>
      <c r="CT1771" s="554"/>
      <c r="CU1771" s="554">
        <f t="shared" si="704"/>
        <v>0</v>
      </c>
      <c r="CV1771" s="554">
        <f t="shared" si="721"/>
        <v>27</v>
      </c>
      <c r="CW1771" s="554">
        <f t="shared" si="722"/>
        <v>0</v>
      </c>
      <c r="CX1771" s="619"/>
      <c r="CY1771" s="619"/>
      <c r="CZ1771" s="619"/>
      <c r="DA1771" s="619"/>
      <c r="DB1771" s="619"/>
      <c r="DC1771" s="619"/>
      <c r="DD1771" s="619"/>
      <c r="DE1771" s="619"/>
      <c r="DF1771" s="619"/>
      <c r="DG1771" s="619"/>
      <c r="DH1771" s="619"/>
    </row>
    <row r="1772" s="550" customFormat="1" ht="31" customHeight="1" spans="1:112">
      <c r="A1772" s="608">
        <v>46184</v>
      </c>
      <c r="B1772" s="609" t="s">
        <v>325</v>
      </c>
      <c r="C1772" s="610" t="s">
        <v>98</v>
      </c>
      <c r="D1772" s="554">
        <v>4500211704</v>
      </c>
      <c r="E1772" s="610" t="s">
        <v>10346</v>
      </c>
      <c r="F1772" s="554" t="s">
        <v>10347</v>
      </c>
      <c r="G1772" s="610" t="s">
        <v>6084</v>
      </c>
      <c r="H1772" s="610" t="s">
        <v>6069</v>
      </c>
      <c r="I1772" s="715">
        <v>61000</v>
      </c>
      <c r="J1772" s="610">
        <v>0</v>
      </c>
      <c r="K1772" s="843">
        <v>25</v>
      </c>
      <c r="L1772" s="844">
        <f t="shared" si="701"/>
        <v>2440</v>
      </c>
      <c r="M1772" s="845">
        <v>46227</v>
      </c>
      <c r="N1772" s="724">
        <v>46224</v>
      </c>
      <c r="O1772" s="613"/>
      <c r="P1772" s="610" t="s">
        <v>113</v>
      </c>
      <c r="Q1772" s="614">
        <v>46244</v>
      </c>
      <c r="R1772" s="614">
        <v>46196</v>
      </c>
      <c r="S1772" s="614" t="s">
        <v>104</v>
      </c>
      <c r="T1772" s="614" t="s">
        <v>10348</v>
      </c>
      <c r="U1772" s="614"/>
      <c r="V1772" s="614"/>
      <c r="W1772" s="573"/>
      <c r="X1772" s="609" t="s">
        <v>10349</v>
      </c>
      <c r="Y1772" s="616" t="s">
        <v>252</v>
      </c>
      <c r="Z1772" s="609">
        <v>0.5798</v>
      </c>
      <c r="AA1772" s="616">
        <f t="shared" ref="AA1772:AA1791" si="724">Z1772*I1772</f>
        <v>35367.8</v>
      </c>
      <c r="AC1772" s="697"/>
      <c r="AD1772" s="610" t="s">
        <v>6084</v>
      </c>
      <c r="AE1772" s="610" t="s">
        <v>82</v>
      </c>
      <c r="AF1772" s="610"/>
      <c r="AG1772" s="610"/>
      <c r="AH1772" s="609"/>
      <c r="AI1772" s="609">
        <f>46725+14275</f>
        <v>61000</v>
      </c>
      <c r="AJ1772" s="610">
        <f t="shared" si="702"/>
        <v>0</v>
      </c>
      <c r="AK1772" s="613"/>
      <c r="AL1772" s="610" t="s">
        <v>2368</v>
      </c>
      <c r="AM1772" s="610"/>
      <c r="AN1772" s="610">
        <f>I1772</f>
        <v>61000</v>
      </c>
      <c r="AO1772" s="554"/>
      <c r="AP1772" s="554">
        <f>I1772</f>
        <v>61000</v>
      </c>
      <c r="AQ1772" s="554"/>
      <c r="AR1772" s="619"/>
      <c r="AS1772" s="554"/>
      <c r="AT1772" s="554"/>
      <c r="AU1772" s="554">
        <f>I1772</f>
        <v>61000</v>
      </c>
      <c r="AV1772" s="554"/>
      <c r="AW1772" s="554"/>
      <c r="AX1772" s="714"/>
      <c r="AY1772" s="554"/>
      <c r="AZ1772" s="554"/>
      <c r="BA1772" s="554"/>
      <c r="BB1772" s="620">
        <f>I1772/48</f>
        <v>1270.83333333333</v>
      </c>
      <c r="BC1772" s="554"/>
      <c r="BD1772" s="554"/>
      <c r="BE1772" s="554"/>
      <c r="BF1772" s="720"/>
      <c r="BG1772" s="555"/>
      <c r="BH1772" s="721"/>
      <c r="BI1772" s="554"/>
      <c r="BJ1772" s="554"/>
      <c r="BK1772" s="554"/>
      <c r="BL1772" s="554"/>
      <c r="BM1772" s="554"/>
      <c r="BN1772" s="554">
        <f>I1772/25</f>
        <v>2440</v>
      </c>
      <c r="BO1772" s="554"/>
      <c r="BP1772" s="554"/>
      <c r="BQ1772" s="554"/>
      <c r="BR1772" s="554"/>
      <c r="BS1772" s="554"/>
      <c r="BT1772" s="554"/>
      <c r="BU1772" s="554"/>
      <c r="BV1772" s="554"/>
      <c r="BW1772" s="554"/>
      <c r="BX1772" s="554"/>
      <c r="BY1772" s="554"/>
      <c r="BZ1772" s="554"/>
      <c r="CA1772" s="720"/>
      <c r="CB1772" s="555"/>
      <c r="CC1772" s="721"/>
      <c r="CD1772" s="554"/>
      <c r="CE1772" s="554"/>
      <c r="CF1772" s="554"/>
      <c r="CG1772" s="720"/>
      <c r="CH1772" s="555"/>
      <c r="CI1772" s="721"/>
      <c r="CJ1772" s="554"/>
      <c r="CK1772" s="554"/>
      <c r="CL1772" s="554"/>
      <c r="CM1772" s="554"/>
      <c r="CN1772" s="554"/>
      <c r="CO1772" s="554"/>
      <c r="CP1772" s="619"/>
      <c r="CQ1772" s="619"/>
      <c r="CR1772" s="554"/>
      <c r="CS1772" s="554"/>
      <c r="CT1772" s="554"/>
      <c r="CU1772" s="554">
        <f t="shared" si="704"/>
        <v>2440</v>
      </c>
      <c r="CV1772" s="554">
        <f t="shared" ref="CV1772:CV1783" si="725">CK1772+CL1772+CM1772+CN1772+CO1772+CQ1772+CP1772</f>
        <v>0</v>
      </c>
      <c r="CW1772" s="554">
        <f t="shared" ref="CW1772:CW1783" si="726">CI1772+CJ1772</f>
        <v>0</v>
      </c>
      <c r="CX1772" s="619"/>
      <c r="CY1772" s="619"/>
      <c r="CZ1772" s="619"/>
      <c r="DA1772" s="619"/>
      <c r="DB1772" s="619"/>
      <c r="DC1772" s="619"/>
      <c r="DD1772" s="619"/>
      <c r="DE1772" s="619"/>
      <c r="DF1772" s="619"/>
      <c r="DG1772" s="619"/>
      <c r="DH1772" s="619"/>
    </row>
    <row r="1773" s="554" customFormat="1" ht="31" customHeight="1" spans="1:112">
      <c r="A1773" s="608">
        <v>46170</v>
      </c>
      <c r="B1773" s="609" t="s">
        <v>325</v>
      </c>
      <c r="C1773" s="610" t="s">
        <v>98</v>
      </c>
      <c r="D1773" s="727">
        <v>4500209506</v>
      </c>
      <c r="E1773" s="610" t="s">
        <v>10350</v>
      </c>
      <c r="F1773" s="554" t="s">
        <v>10351</v>
      </c>
      <c r="G1773" s="610" t="s">
        <v>6084</v>
      </c>
      <c r="H1773" s="610" t="s">
        <v>6069</v>
      </c>
      <c r="I1773" s="715">
        <v>6550</v>
      </c>
      <c r="J1773" s="610">
        <v>0</v>
      </c>
      <c r="K1773" s="610">
        <v>25</v>
      </c>
      <c r="L1773" s="611">
        <f t="shared" si="701"/>
        <v>262</v>
      </c>
      <c r="M1773" s="724">
        <v>46227</v>
      </c>
      <c r="N1773" s="724">
        <v>46224</v>
      </c>
      <c r="O1773" s="613"/>
      <c r="P1773" s="613" t="s">
        <v>113</v>
      </c>
      <c r="Q1773" s="614">
        <v>46240</v>
      </c>
      <c r="R1773" s="614">
        <v>46190</v>
      </c>
      <c r="S1773" s="614" t="s">
        <v>104</v>
      </c>
      <c r="T1773" s="614" t="s">
        <v>10352</v>
      </c>
      <c r="U1773" s="614"/>
      <c r="V1773" s="614"/>
      <c r="W1773" s="609"/>
      <c r="X1773" s="609" t="s">
        <v>9635</v>
      </c>
      <c r="Y1773" s="616" t="s">
        <v>252</v>
      </c>
      <c r="Z1773" s="609">
        <v>0.5923</v>
      </c>
      <c r="AA1773" s="616">
        <f t="shared" si="724"/>
        <v>3879.565</v>
      </c>
      <c r="AC1773" s="697"/>
      <c r="AD1773" s="610" t="s">
        <v>6084</v>
      </c>
      <c r="AE1773" s="610" t="s">
        <v>82</v>
      </c>
      <c r="AF1773" s="610"/>
      <c r="AG1773" s="610"/>
      <c r="AH1773" s="609"/>
      <c r="AI1773" s="609">
        <v>6550</v>
      </c>
      <c r="AJ1773" s="610">
        <f t="shared" si="702"/>
        <v>0</v>
      </c>
      <c r="AK1773" s="613"/>
      <c r="AL1773" s="610" t="s">
        <v>2368</v>
      </c>
      <c r="AM1773" s="610"/>
      <c r="AN1773" s="554">
        <f>I1773</f>
        <v>6550</v>
      </c>
      <c r="AP1773" s="554">
        <f>I1773</f>
        <v>6550</v>
      </c>
      <c r="AR1773" s="619"/>
      <c r="AS1773" s="554"/>
      <c r="AT1773" s="554"/>
      <c r="AU1773" s="554">
        <f>I1773</f>
        <v>6550</v>
      </c>
      <c r="AX1773" s="714"/>
      <c r="AY1773" s="554"/>
      <c r="AZ1773" s="554"/>
      <c r="BA1773" s="554"/>
      <c r="BB1773" s="620">
        <f>I1773/48</f>
        <v>136.458333333333</v>
      </c>
      <c r="BN1773" s="554">
        <f>I1773/25</f>
        <v>262</v>
      </c>
      <c r="CA1773" s="720"/>
      <c r="CB1773" s="555"/>
      <c r="CC1773" s="721"/>
      <c r="CD1773" s="554"/>
      <c r="CE1773" s="554"/>
      <c r="CF1773" s="554"/>
      <c r="CG1773" s="554"/>
      <c r="CP1773" s="619"/>
      <c r="CQ1773" s="619"/>
      <c r="CR1773" s="554"/>
      <c r="CS1773" s="554"/>
      <c r="CT1773" s="554"/>
      <c r="CU1773" s="554">
        <f t="shared" si="704"/>
        <v>262</v>
      </c>
      <c r="CV1773" s="554">
        <f t="shared" si="725"/>
        <v>0</v>
      </c>
      <c r="CW1773" s="554">
        <f t="shared" si="726"/>
        <v>0</v>
      </c>
      <c r="CX1773" s="619"/>
      <c r="CY1773" s="619"/>
      <c r="CZ1773" s="619"/>
      <c r="DA1773" s="619"/>
      <c r="DB1773" s="619"/>
      <c r="DC1773" s="619"/>
      <c r="DD1773" s="619"/>
      <c r="DE1773" s="619"/>
      <c r="DF1773" s="619"/>
      <c r="DG1773" s="619"/>
      <c r="DH1773" s="619"/>
    </row>
    <row r="1774" s="554" customFormat="1" ht="31" customHeight="1" spans="1:112">
      <c r="A1774" s="608">
        <v>46170</v>
      </c>
      <c r="B1774" s="609" t="s">
        <v>325</v>
      </c>
      <c r="C1774" s="610" t="s">
        <v>98</v>
      </c>
      <c r="D1774" s="727">
        <v>4500209508</v>
      </c>
      <c r="E1774" s="610" t="s">
        <v>10353</v>
      </c>
      <c r="F1774" s="554" t="s">
        <v>10354</v>
      </c>
      <c r="G1774" s="610" t="s">
        <v>6084</v>
      </c>
      <c r="H1774" s="610" t="s">
        <v>6069</v>
      </c>
      <c r="I1774" s="715">
        <v>100000</v>
      </c>
      <c r="J1774" s="610">
        <v>0</v>
      </c>
      <c r="K1774" s="610">
        <v>25</v>
      </c>
      <c r="L1774" s="611">
        <f t="shared" si="701"/>
        <v>4000</v>
      </c>
      <c r="M1774" s="724">
        <v>46227</v>
      </c>
      <c r="N1774" s="724">
        <v>46224</v>
      </c>
      <c r="O1774" s="613"/>
      <c r="P1774" s="613" t="s">
        <v>113</v>
      </c>
      <c r="Q1774" s="614">
        <v>46240</v>
      </c>
      <c r="R1774" s="614">
        <v>46196</v>
      </c>
      <c r="S1774" s="614" t="s">
        <v>104</v>
      </c>
      <c r="T1774" s="874" t="s">
        <v>10352</v>
      </c>
      <c r="U1774" s="874"/>
      <c r="V1774" s="874"/>
      <c r="W1774" s="605"/>
      <c r="X1774" s="609" t="s">
        <v>10349</v>
      </c>
      <c r="Y1774" s="616" t="s">
        <v>252</v>
      </c>
      <c r="Z1774" s="609">
        <v>0.5798</v>
      </c>
      <c r="AA1774" s="616">
        <f t="shared" si="724"/>
        <v>57980</v>
      </c>
      <c r="AC1774" s="851" t="s">
        <v>10355</v>
      </c>
      <c r="AD1774" s="610" t="s">
        <v>6084</v>
      </c>
      <c r="AE1774" s="610" t="s">
        <v>82</v>
      </c>
      <c r="AF1774" s="610"/>
      <c r="AG1774" s="610"/>
      <c r="AH1774" s="609"/>
      <c r="AI1774" s="609">
        <f>31500+57600+10900</f>
        <v>100000</v>
      </c>
      <c r="AJ1774" s="610">
        <f t="shared" si="702"/>
        <v>0</v>
      </c>
      <c r="AK1774" s="613"/>
      <c r="AL1774" s="610" t="s">
        <v>2368</v>
      </c>
      <c r="AM1774" s="610"/>
      <c r="AN1774" s="554">
        <f>I1774</f>
        <v>100000</v>
      </c>
      <c r="AP1774" s="554">
        <f>I1774</f>
        <v>100000</v>
      </c>
      <c r="AR1774" s="619"/>
      <c r="AS1774" s="554"/>
      <c r="AT1774" s="554"/>
      <c r="AU1774" s="554">
        <f>I1774</f>
        <v>100000</v>
      </c>
      <c r="AX1774" s="714"/>
      <c r="AY1774" s="554"/>
      <c r="AZ1774" s="554"/>
      <c r="BA1774" s="554"/>
      <c r="BB1774" s="620">
        <f>I1774/48</f>
        <v>2083.33333333333</v>
      </c>
      <c r="BN1774" s="554">
        <f>I1774/25</f>
        <v>4000</v>
      </c>
      <c r="CA1774" s="720"/>
      <c r="CB1774" s="555"/>
      <c r="CC1774" s="721"/>
      <c r="CD1774" s="554"/>
      <c r="CE1774" s="554"/>
      <c r="CF1774" s="554"/>
      <c r="CG1774" s="554"/>
      <c r="CP1774" s="619"/>
      <c r="CQ1774" s="619"/>
      <c r="CR1774" s="554"/>
      <c r="CS1774" s="554"/>
      <c r="CT1774" s="554"/>
      <c r="CU1774" s="554">
        <f t="shared" si="704"/>
        <v>4000</v>
      </c>
      <c r="CV1774" s="554">
        <f t="shared" si="725"/>
        <v>0</v>
      </c>
      <c r="CW1774" s="554">
        <f t="shared" si="726"/>
        <v>0</v>
      </c>
      <c r="CX1774" s="619"/>
      <c r="CY1774" s="619"/>
      <c r="CZ1774" s="619"/>
      <c r="DA1774" s="619"/>
      <c r="DB1774" s="619"/>
      <c r="DC1774" s="619"/>
      <c r="DD1774" s="619"/>
      <c r="DE1774" s="619"/>
      <c r="DF1774" s="619"/>
      <c r="DG1774" s="619"/>
      <c r="DH1774" s="619"/>
    </row>
    <row r="1775" s="554" customFormat="1" ht="31" customHeight="1" spans="1:112">
      <c r="A1775" s="608">
        <v>46149</v>
      </c>
      <c r="B1775" s="609" t="s">
        <v>10356</v>
      </c>
      <c r="C1775" s="610" t="s">
        <v>524</v>
      </c>
      <c r="D1775" s="847">
        <v>4500205363</v>
      </c>
      <c r="E1775" s="610" t="s">
        <v>3846</v>
      </c>
      <c r="F1775" s="554" t="s">
        <v>10357</v>
      </c>
      <c r="G1775" s="610" t="s">
        <v>6047</v>
      </c>
      <c r="H1775" s="610" t="s">
        <v>6069</v>
      </c>
      <c r="I1775" s="715">
        <v>925</v>
      </c>
      <c r="J1775" s="610">
        <v>0</v>
      </c>
      <c r="K1775" s="610">
        <v>25</v>
      </c>
      <c r="L1775" s="611">
        <f t="shared" si="701"/>
        <v>37</v>
      </c>
      <c r="M1775" s="724">
        <v>46227</v>
      </c>
      <c r="N1775" s="724">
        <v>46225</v>
      </c>
      <c r="O1775" s="613"/>
      <c r="P1775" s="610" t="s">
        <v>113</v>
      </c>
      <c r="Q1775" s="614">
        <v>46251</v>
      </c>
      <c r="R1775" s="614">
        <v>46197</v>
      </c>
      <c r="S1775" s="614" t="s">
        <v>70</v>
      </c>
      <c r="T1775" s="614" t="s">
        <v>10358</v>
      </c>
      <c r="U1775" s="614"/>
      <c r="V1775" s="614"/>
      <c r="W1775" s="609"/>
      <c r="X1775" s="609" t="s">
        <v>10359</v>
      </c>
      <c r="Y1775" s="616" t="s">
        <v>3975</v>
      </c>
      <c r="Z1775" s="609">
        <v>0.9756</v>
      </c>
      <c r="AA1775" s="616">
        <f t="shared" si="724"/>
        <v>902.43</v>
      </c>
      <c r="AC1775" s="697"/>
      <c r="AD1775" s="610" t="s">
        <v>6047</v>
      </c>
      <c r="AE1775" s="610" t="s">
        <v>82</v>
      </c>
      <c r="AF1775" s="610"/>
      <c r="AG1775" s="610"/>
      <c r="AH1775" s="609"/>
      <c r="AI1775" s="609">
        <v>925</v>
      </c>
      <c r="AJ1775" s="610">
        <f t="shared" si="702"/>
        <v>0</v>
      </c>
      <c r="AK1775" s="613"/>
      <c r="AL1775" s="610" t="s">
        <v>2368</v>
      </c>
      <c r="AM1775" s="610"/>
      <c r="AN1775" s="554"/>
      <c r="AO1775" s="554">
        <f>I1775</f>
        <v>925</v>
      </c>
      <c r="AR1775" s="619"/>
      <c r="AS1775" s="554"/>
      <c r="AT1775" s="554">
        <f>I1775</f>
        <v>925</v>
      </c>
      <c r="AV1775" s="554">
        <f>I1775</f>
        <v>925</v>
      </c>
      <c r="AX1775" s="714"/>
      <c r="AY1775" s="554"/>
      <c r="AZ1775" s="554"/>
      <c r="BA1775" s="554"/>
      <c r="BB1775" s="620">
        <f>I1775/24</f>
        <v>38.5416666666667</v>
      </c>
      <c r="BP1775" s="554">
        <f>I1775/25</f>
        <v>37</v>
      </c>
      <c r="CA1775" s="720"/>
      <c r="CB1775" s="555"/>
      <c r="CC1775" s="721"/>
      <c r="CD1775" s="554"/>
      <c r="CE1775" s="554"/>
      <c r="CF1775" s="554"/>
      <c r="CG1775" s="554"/>
      <c r="CP1775" s="619"/>
      <c r="CQ1775" s="619"/>
      <c r="CR1775" s="554"/>
      <c r="CS1775" s="554"/>
      <c r="CT1775" s="554"/>
      <c r="CU1775" s="554">
        <f t="shared" si="704"/>
        <v>37</v>
      </c>
      <c r="CV1775" s="554">
        <f t="shared" si="725"/>
        <v>0</v>
      </c>
      <c r="CW1775" s="554">
        <f t="shared" si="726"/>
        <v>0</v>
      </c>
      <c r="CX1775" s="619"/>
      <c r="CY1775" s="619"/>
      <c r="CZ1775" s="619"/>
      <c r="DA1775" s="619"/>
      <c r="DB1775" s="619"/>
      <c r="DC1775" s="619"/>
      <c r="DD1775" s="619"/>
      <c r="DE1775" s="619"/>
      <c r="DF1775" s="619"/>
      <c r="DG1775" s="619"/>
      <c r="DH1775" s="619"/>
    </row>
    <row r="1776" s="554" customFormat="1" ht="31" customHeight="1" spans="1:112">
      <c r="A1776" s="608">
        <v>46149</v>
      </c>
      <c r="B1776" s="609" t="s">
        <v>10356</v>
      </c>
      <c r="C1776" s="610" t="s">
        <v>524</v>
      </c>
      <c r="D1776" s="847">
        <v>4500205363</v>
      </c>
      <c r="E1776" s="610" t="s">
        <v>3846</v>
      </c>
      <c r="F1776" s="554" t="s">
        <v>10360</v>
      </c>
      <c r="G1776" s="610" t="s">
        <v>6047</v>
      </c>
      <c r="H1776" s="610" t="s">
        <v>6069</v>
      </c>
      <c r="I1776" s="715">
        <v>875</v>
      </c>
      <c r="J1776" s="610">
        <v>0</v>
      </c>
      <c r="K1776" s="610">
        <v>25</v>
      </c>
      <c r="L1776" s="611">
        <f t="shared" si="701"/>
        <v>35</v>
      </c>
      <c r="M1776" s="724">
        <v>46227</v>
      </c>
      <c r="N1776" s="724">
        <v>46225</v>
      </c>
      <c r="O1776" s="613"/>
      <c r="P1776" s="610" t="s">
        <v>113</v>
      </c>
      <c r="Q1776" s="614">
        <v>46261</v>
      </c>
      <c r="R1776" s="614">
        <v>46197</v>
      </c>
      <c r="S1776" s="614" t="s">
        <v>70</v>
      </c>
      <c r="T1776" s="614" t="s">
        <v>10358</v>
      </c>
      <c r="U1776" s="614"/>
      <c r="V1776" s="614"/>
      <c r="W1776" s="609"/>
      <c r="X1776" s="609" t="s">
        <v>10361</v>
      </c>
      <c r="Y1776" s="616" t="s">
        <v>3975</v>
      </c>
      <c r="Z1776" s="609">
        <v>0.9756</v>
      </c>
      <c r="AA1776" s="616">
        <f t="shared" si="724"/>
        <v>853.65</v>
      </c>
      <c r="AC1776" s="697"/>
      <c r="AD1776" s="610" t="s">
        <v>6047</v>
      </c>
      <c r="AE1776" s="610" t="s">
        <v>82</v>
      </c>
      <c r="AF1776" s="610"/>
      <c r="AG1776" s="610"/>
      <c r="AH1776" s="609"/>
      <c r="AI1776" s="609">
        <v>875</v>
      </c>
      <c r="AJ1776" s="610">
        <f t="shared" si="702"/>
        <v>0</v>
      </c>
      <c r="AK1776" s="613"/>
      <c r="AL1776" s="610" t="s">
        <v>2368</v>
      </c>
      <c r="AM1776" s="610"/>
      <c r="AN1776" s="554"/>
      <c r="AO1776" s="554">
        <f>I1776</f>
        <v>875</v>
      </c>
      <c r="AR1776" s="619"/>
      <c r="AS1776" s="554"/>
      <c r="AT1776" s="554">
        <f>I1776</f>
        <v>875</v>
      </c>
      <c r="AV1776" s="554">
        <f>I1776</f>
        <v>875</v>
      </c>
      <c r="AX1776" s="714"/>
      <c r="AY1776" s="554"/>
      <c r="AZ1776" s="554"/>
      <c r="BA1776" s="554"/>
      <c r="BB1776" s="620">
        <f>I1776/24</f>
        <v>36.4583333333333</v>
      </c>
      <c r="BP1776" s="554">
        <f>I1776/25</f>
        <v>35</v>
      </c>
      <c r="CA1776" s="720"/>
      <c r="CB1776" s="555"/>
      <c r="CC1776" s="721"/>
      <c r="CD1776" s="554"/>
      <c r="CE1776" s="554"/>
      <c r="CF1776" s="554"/>
      <c r="CG1776" s="554"/>
      <c r="CP1776" s="619"/>
      <c r="CQ1776" s="619"/>
      <c r="CR1776" s="554"/>
      <c r="CS1776" s="554"/>
      <c r="CT1776" s="554"/>
      <c r="CU1776" s="554">
        <f t="shared" si="704"/>
        <v>35</v>
      </c>
      <c r="CV1776" s="554">
        <f t="shared" si="725"/>
        <v>0</v>
      </c>
      <c r="CW1776" s="554">
        <f t="shared" si="726"/>
        <v>0</v>
      </c>
      <c r="CX1776" s="619"/>
      <c r="CY1776" s="619"/>
      <c r="CZ1776" s="619"/>
      <c r="DA1776" s="619"/>
      <c r="DB1776" s="619"/>
      <c r="DC1776" s="619"/>
      <c r="DD1776" s="619"/>
      <c r="DE1776" s="619"/>
      <c r="DF1776" s="619"/>
      <c r="DG1776" s="619"/>
      <c r="DH1776" s="619"/>
    </row>
    <row r="1777" s="554" customFormat="1" ht="31" customHeight="1" spans="1:113">
      <c r="A1777" s="608">
        <v>46149</v>
      </c>
      <c r="B1777" s="609" t="s">
        <v>10356</v>
      </c>
      <c r="C1777" s="610" t="s">
        <v>524</v>
      </c>
      <c r="D1777" s="847">
        <v>4500205363</v>
      </c>
      <c r="E1777" s="610" t="s">
        <v>3846</v>
      </c>
      <c r="F1777" s="554" t="s">
        <v>10362</v>
      </c>
      <c r="G1777" s="610" t="s">
        <v>6047</v>
      </c>
      <c r="H1777" s="610" t="s">
        <v>6069</v>
      </c>
      <c r="I1777" s="715">
        <v>625</v>
      </c>
      <c r="J1777" s="610">
        <v>0</v>
      </c>
      <c r="K1777" s="610">
        <v>25</v>
      </c>
      <c r="L1777" s="611">
        <f t="shared" si="701"/>
        <v>25</v>
      </c>
      <c r="M1777" s="724">
        <v>46227</v>
      </c>
      <c r="N1777" s="724">
        <v>46225</v>
      </c>
      <c r="O1777" s="613"/>
      <c r="P1777" s="610" t="s">
        <v>113</v>
      </c>
      <c r="Q1777" s="614">
        <v>46253</v>
      </c>
      <c r="R1777" s="614">
        <v>46197</v>
      </c>
      <c r="S1777" s="614" t="s">
        <v>70</v>
      </c>
      <c r="T1777" s="614" t="s">
        <v>10358</v>
      </c>
      <c r="U1777" s="614"/>
      <c r="V1777" s="614"/>
      <c r="W1777" s="609"/>
      <c r="X1777" s="609" t="s">
        <v>10361</v>
      </c>
      <c r="Y1777" s="616" t="s">
        <v>3975</v>
      </c>
      <c r="Z1777" s="609">
        <v>0.9756</v>
      </c>
      <c r="AA1777" s="616">
        <f t="shared" si="724"/>
        <v>609.75</v>
      </c>
      <c r="AC1777" s="697"/>
      <c r="AD1777" s="610" t="s">
        <v>6047</v>
      </c>
      <c r="AE1777" s="610" t="s">
        <v>82</v>
      </c>
      <c r="AF1777" s="610"/>
      <c r="AG1777" s="610"/>
      <c r="AH1777" s="609"/>
      <c r="AI1777" s="609">
        <v>625</v>
      </c>
      <c r="AJ1777" s="610">
        <f t="shared" si="702"/>
        <v>0</v>
      </c>
      <c r="AK1777" s="613"/>
      <c r="AL1777" s="610">
        <f>+B2202</f>
        <v>0</v>
      </c>
      <c r="AM1777" s="610"/>
      <c r="AN1777" s="554"/>
      <c r="AO1777" s="554">
        <f>I1777</f>
        <v>625</v>
      </c>
      <c r="AR1777" s="619"/>
      <c r="AS1777" s="554"/>
      <c r="AT1777" s="554">
        <f>I1777</f>
        <v>625</v>
      </c>
      <c r="AV1777" s="554">
        <f>I1777</f>
        <v>625</v>
      </c>
      <c r="AX1777" s="714"/>
      <c r="AY1777" s="554"/>
      <c r="AZ1777" s="554"/>
      <c r="BA1777" s="554"/>
      <c r="BB1777" s="620">
        <f>I1777/24</f>
        <v>26.0416666666667</v>
      </c>
      <c r="BP1777" s="554">
        <f>I1777/25</f>
        <v>25</v>
      </c>
      <c r="CA1777" s="720"/>
      <c r="CB1777" s="555"/>
      <c r="CC1777" s="721"/>
      <c r="CD1777" s="554"/>
      <c r="CE1777" s="554"/>
      <c r="CF1777" s="554"/>
      <c r="CG1777" s="554"/>
      <c r="CP1777" s="619"/>
      <c r="CQ1777" s="619"/>
      <c r="CR1777" s="554"/>
      <c r="CS1777" s="554"/>
      <c r="CT1777" s="554"/>
      <c r="CU1777" s="554">
        <f t="shared" si="704"/>
        <v>25</v>
      </c>
      <c r="CV1777" s="554">
        <f t="shared" si="725"/>
        <v>0</v>
      </c>
      <c r="CW1777" s="554">
        <f t="shared" si="726"/>
        <v>0</v>
      </c>
      <c r="CX1777" s="619"/>
      <c r="CY1777" s="619"/>
      <c r="CZ1777" s="619"/>
      <c r="DA1777" s="619"/>
      <c r="DB1777" s="619"/>
      <c r="DC1777" s="619"/>
      <c r="DD1777" s="619"/>
      <c r="DE1777" s="619"/>
      <c r="DF1777" s="619"/>
      <c r="DG1777" s="619"/>
      <c r="DH1777" s="619"/>
    </row>
    <row r="1778" s="550" customFormat="1" ht="31" customHeight="1" spans="1:113">
      <c r="A1778" s="608">
        <v>46185</v>
      </c>
      <c r="B1778" s="609" t="s">
        <v>5207</v>
      </c>
      <c r="C1778" s="610" t="s">
        <v>1227</v>
      </c>
      <c r="D1778" s="727">
        <v>4500212151</v>
      </c>
      <c r="E1778" s="610"/>
      <c r="F1778" s="554" t="s">
        <v>10363</v>
      </c>
      <c r="G1778" s="610" t="s">
        <v>6276</v>
      </c>
      <c r="H1778" s="610" t="s">
        <v>6277</v>
      </c>
      <c r="I1778" s="715">
        <v>1200</v>
      </c>
      <c r="J1778" s="610">
        <v>0</v>
      </c>
      <c r="K1778" s="843">
        <v>50</v>
      </c>
      <c r="L1778" s="844">
        <f t="shared" si="701"/>
        <v>24</v>
      </c>
      <c r="M1778" s="845">
        <v>46233</v>
      </c>
      <c r="N1778" s="612">
        <v>46230</v>
      </c>
      <c r="O1778" s="613"/>
      <c r="P1778" s="610" t="s">
        <v>113</v>
      </c>
      <c r="Q1778" s="614"/>
      <c r="R1778" s="614">
        <v>46198</v>
      </c>
      <c r="S1778" s="614" t="s">
        <v>70</v>
      </c>
      <c r="T1778" s="614" t="s">
        <v>70</v>
      </c>
      <c r="U1778" s="614"/>
      <c r="V1778" s="614" t="s">
        <v>10338</v>
      </c>
      <c r="W1778" s="573"/>
      <c r="X1778" s="609" t="s">
        <v>10364</v>
      </c>
      <c r="Y1778" s="616" t="s">
        <v>3754</v>
      </c>
      <c r="Z1778" s="609">
        <v>0.9521</v>
      </c>
      <c r="AA1778" s="616">
        <f t="shared" si="724"/>
        <v>1142.52</v>
      </c>
      <c r="AB1778" s="573" t="s">
        <v>10365</v>
      </c>
      <c r="AC1778" s="697"/>
      <c r="AD1778" s="610" t="s">
        <v>6276</v>
      </c>
      <c r="AE1778" s="610" t="s">
        <v>82</v>
      </c>
      <c r="AF1778" s="610"/>
      <c r="AG1778" s="610"/>
      <c r="AH1778" s="609"/>
      <c r="AI1778" s="609">
        <v>1200</v>
      </c>
      <c r="AJ1778" s="610">
        <f t="shared" si="702"/>
        <v>0</v>
      </c>
      <c r="AK1778" s="613"/>
      <c r="AL1778" s="610"/>
      <c r="AM1778" s="610"/>
      <c r="AN1778" s="610"/>
      <c r="AO1778" s="554">
        <f>I1778</f>
        <v>1200</v>
      </c>
      <c r="AP1778" s="554"/>
      <c r="AQ1778" s="554"/>
      <c r="AR1778" s="619"/>
      <c r="AS1778" s="554"/>
      <c r="AT1778" s="554"/>
      <c r="AU1778" s="554"/>
      <c r="AV1778" s="554"/>
      <c r="AW1778" s="554"/>
      <c r="AX1778" s="714"/>
      <c r="AY1778" s="554"/>
      <c r="AZ1778" s="554"/>
      <c r="BA1778" s="554"/>
      <c r="BB1778" s="620">
        <f>I1778/24*2</f>
        <v>100</v>
      </c>
      <c r="BC1778" s="554"/>
      <c r="BD1778" s="554"/>
      <c r="BE1778" s="554"/>
      <c r="BF1778" s="720"/>
      <c r="BG1778" s="555"/>
      <c r="BH1778" s="721"/>
      <c r="BI1778" s="554"/>
      <c r="BJ1778" s="554"/>
      <c r="BK1778" s="554"/>
      <c r="BL1778" s="554"/>
      <c r="BM1778" s="554"/>
      <c r="BN1778" s="554"/>
      <c r="BO1778" s="554"/>
      <c r="BP1778" s="554"/>
      <c r="BQ1778" s="554"/>
      <c r="BR1778" s="554"/>
      <c r="BS1778" s="554"/>
      <c r="BT1778" s="554"/>
      <c r="BU1778" s="554"/>
      <c r="BV1778" s="554">
        <f>I1778</f>
        <v>1200</v>
      </c>
      <c r="BW1778" s="554">
        <f>I1778</f>
        <v>1200</v>
      </c>
      <c r="BX1778" s="554">
        <f>I1778/25</f>
        <v>48</v>
      </c>
      <c r="BY1778" s="554"/>
      <c r="BZ1778" s="554"/>
      <c r="CA1778" s="720"/>
      <c r="CB1778" s="555"/>
      <c r="CC1778" s="721"/>
      <c r="CD1778" s="554"/>
      <c r="CE1778" s="554"/>
      <c r="CF1778" s="554"/>
      <c r="CG1778" s="720"/>
      <c r="CH1778" s="555"/>
      <c r="CI1778" s="721"/>
      <c r="CJ1778" s="554"/>
      <c r="CK1778" s="554"/>
      <c r="CL1778" s="554"/>
      <c r="CM1778" s="554"/>
      <c r="CN1778" s="554"/>
      <c r="CO1778" s="554"/>
      <c r="CP1778" s="619"/>
      <c r="CQ1778" s="619"/>
      <c r="CR1778" s="554"/>
      <c r="CS1778" s="554"/>
      <c r="CT1778" s="554"/>
      <c r="CU1778" s="554">
        <f t="shared" si="704"/>
        <v>48</v>
      </c>
      <c r="CV1778" s="554">
        <f t="shared" si="725"/>
        <v>0</v>
      </c>
      <c r="CW1778" s="554">
        <f t="shared" si="726"/>
        <v>0</v>
      </c>
      <c r="CX1778" s="619"/>
      <c r="CY1778" s="619"/>
      <c r="CZ1778" s="619"/>
      <c r="DA1778" s="619"/>
      <c r="DB1778" s="619"/>
      <c r="DC1778" s="619"/>
      <c r="DD1778" s="619"/>
      <c r="DE1778" s="619"/>
      <c r="DF1778" s="619"/>
      <c r="DG1778" s="619"/>
      <c r="DH1778" s="619"/>
    </row>
    <row r="1779" s="554" customFormat="1" ht="31" customHeight="1" spans="1:113">
      <c r="A1779" s="608">
        <v>46127</v>
      </c>
      <c r="B1779" s="609" t="s">
        <v>5414</v>
      </c>
      <c r="C1779" s="610" t="s">
        <v>524</v>
      </c>
      <c r="D1779" s="846">
        <v>4500201970</v>
      </c>
      <c r="E1779" s="610" t="s">
        <v>5415</v>
      </c>
      <c r="F1779" s="554" t="s">
        <v>10366</v>
      </c>
      <c r="G1779" s="623" t="s">
        <v>6043</v>
      </c>
      <c r="H1779" s="610" t="s">
        <v>6110</v>
      </c>
      <c r="I1779" s="715">
        <v>1400</v>
      </c>
      <c r="J1779" s="610">
        <v>0</v>
      </c>
      <c r="K1779" s="610">
        <v>50</v>
      </c>
      <c r="L1779" s="611">
        <f t="shared" si="701"/>
        <v>28</v>
      </c>
      <c r="M1779" s="612">
        <v>46191</v>
      </c>
      <c r="N1779" s="724">
        <v>46223</v>
      </c>
      <c r="O1779" s="613"/>
      <c r="P1779" s="613" t="s">
        <v>113</v>
      </c>
      <c r="Q1779" s="614"/>
      <c r="R1779" s="614">
        <v>46164</v>
      </c>
      <c r="S1779" s="614" t="s">
        <v>70</v>
      </c>
      <c r="T1779" s="614" t="s">
        <v>10367</v>
      </c>
      <c r="U1779" s="614"/>
      <c r="V1779" s="614"/>
      <c r="W1779" s="609"/>
      <c r="X1779" s="609" t="s">
        <v>10368</v>
      </c>
      <c r="Y1779" s="612" t="s">
        <v>943</v>
      </c>
      <c r="Z1779" s="554">
        <v>0.9749</v>
      </c>
      <c r="AA1779" s="616">
        <f t="shared" si="724"/>
        <v>1364.86</v>
      </c>
      <c r="AC1779" s="697"/>
      <c r="AD1779" s="610" t="s">
        <v>6043</v>
      </c>
      <c r="AE1779" s="610" t="s">
        <v>82</v>
      </c>
      <c r="AF1779" s="610"/>
      <c r="AG1779" s="610"/>
      <c r="AH1779" s="609"/>
      <c r="AI1779" s="609">
        <v>1400</v>
      </c>
      <c r="AJ1779" s="610">
        <f t="shared" si="702"/>
        <v>0</v>
      </c>
      <c r="AK1779" s="613"/>
      <c r="AL1779" s="610" t="s">
        <v>2368</v>
      </c>
      <c r="AM1779" s="610"/>
      <c r="AN1779" s="554"/>
      <c r="AO1779" s="554">
        <f>I1779</f>
        <v>1400</v>
      </c>
      <c r="AT1779" s="554">
        <f>I1779</f>
        <v>1400</v>
      </c>
      <c r="AV1779" s="554">
        <f>I1779</f>
        <v>1400</v>
      </c>
      <c r="AX1779" s="714"/>
      <c r="AY1779" s="554"/>
      <c r="AZ1779" s="554"/>
      <c r="BA1779" s="554"/>
      <c r="BB1779" s="620">
        <f>I1779/24</f>
        <v>58.3333333333333</v>
      </c>
      <c r="BP1779" s="554">
        <f>I1779/25</f>
        <v>56</v>
      </c>
      <c r="CA1779" s="720"/>
      <c r="CB1779" s="555"/>
      <c r="CC1779" s="721"/>
      <c r="CD1779" s="554"/>
      <c r="CE1779" s="554"/>
      <c r="CF1779" s="554"/>
      <c r="CG1779" s="554"/>
      <c r="CP1779" s="619"/>
      <c r="CQ1779" s="619"/>
      <c r="CR1779" s="619"/>
      <c r="CS1779" s="619"/>
      <c r="CT1779" s="619"/>
      <c r="CU1779" s="554">
        <f t="shared" si="704"/>
        <v>56</v>
      </c>
      <c r="CV1779" s="554">
        <f t="shared" si="725"/>
        <v>0</v>
      </c>
      <c r="CW1779" s="554">
        <f t="shared" si="726"/>
        <v>0</v>
      </c>
      <c r="CX1779" s="619"/>
      <c r="CY1779" s="619"/>
      <c r="CZ1779" s="619"/>
      <c r="DA1779" s="619"/>
      <c r="DB1779" s="619"/>
      <c r="DC1779" s="619"/>
      <c r="DD1779" s="619"/>
      <c r="DE1779" s="619"/>
      <c r="DF1779" s="619"/>
      <c r="DG1779" s="619"/>
      <c r="DH1779" s="619"/>
    </row>
    <row r="1780" s="550" customFormat="1" ht="31" customHeight="1" spans="1:113">
      <c r="A1780" s="608">
        <v>46167</v>
      </c>
      <c r="B1780" s="609" t="s">
        <v>2707</v>
      </c>
      <c r="C1780" s="610" t="s">
        <v>170</v>
      </c>
      <c r="D1780" s="727">
        <v>4500208840</v>
      </c>
      <c r="E1780" s="613">
        <v>40060798</v>
      </c>
      <c r="F1780" s="554" t="s">
        <v>5073</v>
      </c>
      <c r="G1780" s="610" t="s">
        <v>8498</v>
      </c>
      <c r="H1780" s="610" t="s">
        <v>2703</v>
      </c>
      <c r="I1780" s="610">
        <v>1200</v>
      </c>
      <c r="J1780" s="610">
        <v>0</v>
      </c>
      <c r="K1780" s="610">
        <v>6</v>
      </c>
      <c r="L1780" s="611">
        <f t="shared" si="701"/>
        <v>200</v>
      </c>
      <c r="M1780" s="612">
        <v>46225</v>
      </c>
      <c r="N1780" s="612">
        <v>46221</v>
      </c>
      <c r="O1780" s="610"/>
      <c r="P1780" s="610" t="s">
        <v>113</v>
      </c>
      <c r="Q1780" s="614">
        <v>46233</v>
      </c>
      <c r="R1780" s="614">
        <v>46174</v>
      </c>
      <c r="S1780" s="614" t="s">
        <v>70</v>
      </c>
      <c r="T1780" s="614" t="s">
        <v>5074</v>
      </c>
      <c r="U1780" s="614"/>
      <c r="V1780" s="614"/>
      <c r="W1780" s="848"/>
      <c r="X1780" s="609" t="s">
        <v>5075</v>
      </c>
      <c r="Y1780" s="609" t="s">
        <v>5071</v>
      </c>
      <c r="Z1780" s="718">
        <v>6.852</v>
      </c>
      <c r="AA1780" s="616">
        <f t="shared" si="724"/>
        <v>8222.4</v>
      </c>
      <c r="AC1780" s="617"/>
      <c r="AD1780" s="610" t="s">
        <v>2705</v>
      </c>
      <c r="AE1780" s="610" t="s">
        <v>82</v>
      </c>
      <c r="AF1780" s="610"/>
      <c r="AG1780" s="609"/>
      <c r="AH1780" s="609"/>
      <c r="AI1780" s="609">
        <v>1200</v>
      </c>
      <c r="AJ1780" s="610">
        <f t="shared" si="702"/>
        <v>0</v>
      </c>
      <c r="AK1780" s="610"/>
      <c r="AL1780" s="610" t="s">
        <v>2368</v>
      </c>
      <c r="AM1780" s="610"/>
      <c r="AN1780" s="610">
        <f>I1780*2</f>
        <v>2400</v>
      </c>
      <c r="AO1780" s="554"/>
      <c r="AP1780" s="554"/>
      <c r="AQ1780" s="554"/>
      <c r="AR1780" s="619"/>
      <c r="AS1780" s="554">
        <f>I1780*2</f>
        <v>2400</v>
      </c>
      <c r="AT1780" s="554"/>
      <c r="AU1780" s="554">
        <f>I1780*2</f>
        <v>2400</v>
      </c>
      <c r="AV1780" s="554"/>
      <c r="AW1780" s="619"/>
      <c r="AX1780" s="554"/>
      <c r="AY1780" s="554"/>
      <c r="AZ1780" s="554"/>
      <c r="BA1780" s="554"/>
      <c r="BB1780" s="620">
        <f>I1780/24*2</f>
        <v>100</v>
      </c>
      <c r="BC1780" s="714"/>
      <c r="BD1780" s="554"/>
      <c r="BE1780" s="554"/>
      <c r="BF1780" s="554"/>
      <c r="BG1780" s="550"/>
      <c r="BH1780" s="554"/>
      <c r="BI1780" s="554"/>
      <c r="BJ1780" s="554"/>
      <c r="BK1780" s="554"/>
      <c r="BL1780" s="554"/>
      <c r="BM1780" s="554"/>
      <c r="BN1780" s="554"/>
      <c r="BO1780" s="554"/>
      <c r="BP1780" s="554"/>
      <c r="BQ1780" s="554"/>
      <c r="BR1780" s="554"/>
      <c r="BS1780" s="554"/>
      <c r="BT1780" s="554"/>
      <c r="BU1780" s="554"/>
      <c r="BV1780" s="554"/>
      <c r="BW1780" s="554"/>
      <c r="BX1780" s="554"/>
      <c r="BY1780" s="619"/>
      <c r="BZ1780" s="554"/>
      <c r="CA1780" s="621">
        <f>I1780</f>
        <v>1200</v>
      </c>
      <c r="CB1780" s="555"/>
      <c r="CC1780" s="622"/>
      <c r="CD1780" s="619"/>
      <c r="CE1780" s="619"/>
      <c r="CF1780" s="554"/>
      <c r="CG1780" s="554"/>
      <c r="CH1780" s="550"/>
      <c r="CI1780" s="554"/>
      <c r="CJ1780" s="554"/>
      <c r="CK1780" s="554"/>
      <c r="CL1780" s="554"/>
      <c r="CM1780" s="554"/>
      <c r="CN1780" s="554"/>
      <c r="CO1780" s="554"/>
      <c r="CP1780" s="554"/>
      <c r="CQ1780" s="554"/>
      <c r="CR1780" s="554"/>
      <c r="CS1780" s="554"/>
      <c r="CT1780" s="554"/>
      <c r="CU1780" s="554">
        <f t="shared" si="704"/>
        <v>0</v>
      </c>
      <c r="CV1780" s="554">
        <f t="shared" si="725"/>
        <v>0</v>
      </c>
      <c r="CW1780" s="554">
        <f t="shared" si="726"/>
        <v>0</v>
      </c>
      <c r="CX1780" s="619"/>
      <c r="CY1780" s="619"/>
      <c r="CZ1780" s="619"/>
      <c r="DA1780" s="554"/>
      <c r="DB1780" s="554"/>
      <c r="DC1780" s="554"/>
      <c r="DD1780" s="619"/>
      <c r="DE1780" s="619"/>
      <c r="DF1780" s="619"/>
      <c r="DG1780" s="619"/>
      <c r="DH1780" s="619"/>
      <c r="DI1780" s="554"/>
    </row>
    <row r="1781" s="550" customFormat="1" ht="31" customHeight="1" spans="1:113">
      <c r="A1781" s="608">
        <v>46167</v>
      </c>
      <c r="B1781" s="609" t="s">
        <v>2707</v>
      </c>
      <c r="C1781" s="610" t="s">
        <v>170</v>
      </c>
      <c r="D1781" s="727">
        <v>4500208840</v>
      </c>
      <c r="E1781" s="613">
        <v>40061986</v>
      </c>
      <c r="F1781" s="554" t="s">
        <v>5076</v>
      </c>
      <c r="G1781" s="610" t="s">
        <v>8498</v>
      </c>
      <c r="H1781" s="610" t="s">
        <v>2703</v>
      </c>
      <c r="I1781" s="610">
        <v>300</v>
      </c>
      <c r="J1781" s="610">
        <v>0</v>
      </c>
      <c r="K1781" s="610">
        <v>6</v>
      </c>
      <c r="L1781" s="611">
        <f t="shared" ref="L1781:L1844" si="727">I1781/K1781</f>
        <v>50</v>
      </c>
      <c r="M1781" s="612">
        <v>46225</v>
      </c>
      <c r="N1781" s="612">
        <v>46221</v>
      </c>
      <c r="O1781" s="610"/>
      <c r="P1781" s="610" t="s">
        <v>113</v>
      </c>
      <c r="Q1781" s="614">
        <v>46233</v>
      </c>
      <c r="R1781" s="614">
        <v>46174</v>
      </c>
      <c r="S1781" s="614" t="s">
        <v>70</v>
      </c>
      <c r="T1781" s="614" t="s">
        <v>5074</v>
      </c>
      <c r="U1781" s="614"/>
      <c r="V1781" s="614"/>
      <c r="W1781" s="573"/>
      <c r="X1781" s="609" t="s">
        <v>5077</v>
      </c>
      <c r="Y1781" s="609" t="s">
        <v>5071</v>
      </c>
      <c r="Z1781" s="718">
        <v>7.1822</v>
      </c>
      <c r="AA1781" s="616">
        <f t="shared" si="724"/>
        <v>2154.66</v>
      </c>
      <c r="AC1781" s="617"/>
      <c r="AD1781" s="610" t="s">
        <v>2705</v>
      </c>
      <c r="AE1781" s="610" t="s">
        <v>82</v>
      </c>
      <c r="AF1781" s="610"/>
      <c r="AG1781" s="609"/>
      <c r="AH1781" s="609"/>
      <c r="AI1781" s="609">
        <v>300</v>
      </c>
      <c r="AJ1781" s="610">
        <f t="shared" ref="AJ1781:AJ1839" si="728">AI1781-I1781</f>
        <v>0</v>
      </c>
      <c r="AK1781" s="610"/>
      <c r="AL1781" s="610" t="s">
        <v>2368</v>
      </c>
      <c r="AM1781" s="610"/>
      <c r="AN1781" s="610">
        <f>I1781*2</f>
        <v>600</v>
      </c>
      <c r="AO1781" s="554"/>
      <c r="AP1781" s="554"/>
      <c r="AQ1781" s="554"/>
      <c r="AR1781" s="619"/>
      <c r="AS1781" s="554">
        <f>I1781*2</f>
        <v>600</v>
      </c>
      <c r="AT1781" s="554"/>
      <c r="AU1781" s="554">
        <f>I1781*2</f>
        <v>600</v>
      </c>
      <c r="AV1781" s="554"/>
      <c r="AW1781" s="619"/>
      <c r="AX1781" s="554"/>
      <c r="AY1781" s="554"/>
      <c r="AZ1781" s="554"/>
      <c r="BA1781" s="554"/>
      <c r="BB1781" s="620">
        <f>I1781/24*2</f>
        <v>25</v>
      </c>
      <c r="BC1781" s="714"/>
      <c r="BD1781" s="554"/>
      <c r="BE1781" s="554"/>
      <c r="BF1781" s="554"/>
      <c r="BG1781" s="550"/>
      <c r="BH1781" s="554"/>
      <c r="BI1781" s="554"/>
      <c r="BJ1781" s="554"/>
      <c r="BK1781" s="554"/>
      <c r="BL1781" s="554"/>
      <c r="BM1781" s="554"/>
      <c r="BN1781" s="554"/>
      <c r="BO1781" s="554"/>
      <c r="BP1781" s="554"/>
      <c r="BQ1781" s="554"/>
      <c r="BR1781" s="554"/>
      <c r="BS1781" s="554"/>
      <c r="BT1781" s="554"/>
      <c r="BU1781" s="554"/>
      <c r="BV1781" s="554"/>
      <c r="BW1781" s="554"/>
      <c r="BX1781" s="554"/>
      <c r="BY1781" s="619"/>
      <c r="BZ1781" s="554"/>
      <c r="CA1781" s="621">
        <f>I1781</f>
        <v>300</v>
      </c>
      <c r="CB1781" s="555"/>
      <c r="CC1781" s="622"/>
      <c r="CD1781" s="619"/>
      <c r="CE1781" s="619"/>
      <c r="CF1781" s="554"/>
      <c r="CG1781" s="554"/>
      <c r="CH1781" s="550"/>
      <c r="CI1781" s="554"/>
      <c r="CJ1781" s="554"/>
      <c r="CK1781" s="554"/>
      <c r="CL1781" s="554"/>
      <c r="CM1781" s="554"/>
      <c r="CN1781" s="554"/>
      <c r="CO1781" s="554"/>
      <c r="CP1781" s="554"/>
      <c r="CQ1781" s="554"/>
      <c r="CR1781" s="554"/>
      <c r="CS1781" s="554"/>
      <c r="CT1781" s="554"/>
      <c r="CU1781" s="554">
        <f t="shared" si="704"/>
        <v>0</v>
      </c>
      <c r="CV1781" s="554">
        <f t="shared" si="725"/>
        <v>0</v>
      </c>
      <c r="CW1781" s="554">
        <f t="shared" si="726"/>
        <v>0</v>
      </c>
      <c r="CX1781" s="619"/>
      <c r="CY1781" s="619"/>
      <c r="CZ1781" s="619"/>
      <c r="DA1781" s="554"/>
      <c r="DB1781" s="554"/>
      <c r="DC1781" s="554"/>
      <c r="DD1781" s="619"/>
      <c r="DE1781" s="619"/>
      <c r="DF1781" s="619"/>
      <c r="DG1781" s="619"/>
      <c r="DH1781" s="619"/>
      <c r="DI1781" s="554"/>
    </row>
    <row r="1782" s="550" customFormat="1" ht="31" customHeight="1" spans="1:113">
      <c r="A1782" s="608">
        <v>46167</v>
      </c>
      <c r="B1782" s="609" t="s">
        <v>2707</v>
      </c>
      <c r="C1782" s="610" t="s">
        <v>170</v>
      </c>
      <c r="D1782" s="727">
        <v>4500208821</v>
      </c>
      <c r="E1782" s="613">
        <v>45204518</v>
      </c>
      <c r="F1782" s="554" t="s">
        <v>5068</v>
      </c>
      <c r="G1782" s="610" t="s">
        <v>8498</v>
      </c>
      <c r="H1782" s="610" t="s">
        <v>2703</v>
      </c>
      <c r="I1782" s="610">
        <v>204</v>
      </c>
      <c r="J1782" s="610">
        <v>0</v>
      </c>
      <c r="K1782" s="610">
        <v>6</v>
      </c>
      <c r="L1782" s="611">
        <f t="shared" si="727"/>
        <v>34</v>
      </c>
      <c r="M1782" s="612">
        <v>46225</v>
      </c>
      <c r="N1782" s="612">
        <v>46221</v>
      </c>
      <c r="O1782" s="610"/>
      <c r="P1782" s="610" t="s">
        <v>113</v>
      </c>
      <c r="Q1782" s="614">
        <v>46233</v>
      </c>
      <c r="R1782" s="614">
        <v>46174</v>
      </c>
      <c r="S1782" s="614" t="s">
        <v>70</v>
      </c>
      <c r="T1782" s="614" t="s">
        <v>5069</v>
      </c>
      <c r="U1782" s="614"/>
      <c r="V1782" s="614"/>
      <c r="W1782" s="573"/>
      <c r="X1782" s="609" t="s">
        <v>5273</v>
      </c>
      <c r="Y1782" s="609" t="s">
        <v>5071</v>
      </c>
      <c r="Z1782" s="718">
        <v>7.1822</v>
      </c>
      <c r="AA1782" s="616">
        <f t="shared" si="724"/>
        <v>1465.1688</v>
      </c>
      <c r="AC1782" s="617"/>
      <c r="AD1782" s="610" t="s">
        <v>2705</v>
      </c>
      <c r="AE1782" s="610" t="s">
        <v>82</v>
      </c>
      <c r="AF1782" s="610"/>
      <c r="AG1782" s="609"/>
      <c r="AH1782" s="609"/>
      <c r="AI1782" s="609"/>
      <c r="AJ1782" s="610">
        <f t="shared" si="728"/>
        <v>-204</v>
      </c>
      <c r="AK1782" s="610"/>
      <c r="AL1782" s="610" t="s">
        <v>2368</v>
      </c>
      <c r="AM1782" s="610"/>
      <c r="AN1782" s="610">
        <f>I1782*2</f>
        <v>408</v>
      </c>
      <c r="AO1782" s="554"/>
      <c r="AP1782" s="554"/>
      <c r="AQ1782" s="554"/>
      <c r="AR1782" s="619"/>
      <c r="AS1782" s="554">
        <f>I1782*2</f>
        <v>408</v>
      </c>
      <c r="AT1782" s="554"/>
      <c r="AU1782" s="554">
        <f>I1782*2</f>
        <v>408</v>
      </c>
      <c r="AV1782" s="554"/>
      <c r="AW1782" s="619"/>
      <c r="AX1782" s="554"/>
      <c r="AY1782" s="554"/>
      <c r="AZ1782" s="554"/>
      <c r="BA1782" s="554"/>
      <c r="BB1782" s="620">
        <f>I1782/24*2</f>
        <v>17</v>
      </c>
      <c r="BC1782" s="714"/>
      <c r="BD1782" s="554"/>
      <c r="BE1782" s="554"/>
      <c r="BF1782" s="554"/>
      <c r="BG1782" s="550"/>
      <c r="BH1782" s="554"/>
      <c r="BI1782" s="554"/>
      <c r="BJ1782" s="554"/>
      <c r="BK1782" s="554"/>
      <c r="BL1782" s="554"/>
      <c r="BM1782" s="554"/>
      <c r="BN1782" s="554"/>
      <c r="BO1782" s="554"/>
      <c r="BP1782" s="554"/>
      <c r="BQ1782" s="554"/>
      <c r="BR1782" s="554"/>
      <c r="BS1782" s="554"/>
      <c r="BT1782" s="554"/>
      <c r="BU1782" s="554"/>
      <c r="BV1782" s="554"/>
      <c r="BW1782" s="554"/>
      <c r="BX1782" s="554"/>
      <c r="BY1782" s="619"/>
      <c r="BZ1782" s="554"/>
      <c r="CA1782" s="621">
        <f>I1782</f>
        <v>204</v>
      </c>
      <c r="CB1782" s="555"/>
      <c r="CC1782" s="622"/>
      <c r="CD1782" s="619"/>
      <c r="CE1782" s="619"/>
      <c r="CF1782" s="554"/>
      <c r="CG1782" s="554"/>
      <c r="CH1782" s="550"/>
      <c r="CI1782" s="554"/>
      <c r="CJ1782" s="554"/>
      <c r="CK1782" s="554"/>
      <c r="CL1782" s="554"/>
      <c r="CM1782" s="554"/>
      <c r="CN1782" s="554"/>
      <c r="CO1782" s="554"/>
      <c r="CP1782" s="554"/>
      <c r="CQ1782" s="554"/>
      <c r="CR1782" s="554"/>
      <c r="CS1782" s="554"/>
      <c r="CT1782" s="554"/>
      <c r="CU1782" s="554">
        <f t="shared" si="704"/>
        <v>0</v>
      </c>
      <c r="CV1782" s="554">
        <f t="shared" si="725"/>
        <v>0</v>
      </c>
      <c r="CW1782" s="554">
        <f t="shared" si="726"/>
        <v>0</v>
      </c>
      <c r="CX1782" s="619"/>
      <c r="CY1782" s="619"/>
      <c r="CZ1782" s="619"/>
      <c r="DA1782" s="554"/>
      <c r="DB1782" s="554"/>
      <c r="DC1782" s="554"/>
      <c r="DD1782" s="619"/>
      <c r="DE1782" s="619"/>
      <c r="DF1782" s="619"/>
      <c r="DG1782" s="619"/>
      <c r="DH1782" s="619"/>
      <c r="DI1782" s="554"/>
    </row>
    <row r="1783" s="554" customFormat="1" ht="31" customHeight="1" spans="1:113">
      <c r="A1783" s="608">
        <v>46167</v>
      </c>
      <c r="B1783" s="609" t="s">
        <v>2707</v>
      </c>
      <c r="C1783" s="610" t="s">
        <v>170</v>
      </c>
      <c r="D1783" s="727">
        <v>4500208841</v>
      </c>
      <c r="E1783" s="613">
        <v>40062234</v>
      </c>
      <c r="F1783" s="554" t="s">
        <v>10369</v>
      </c>
      <c r="G1783" s="610" t="s">
        <v>6787</v>
      </c>
      <c r="H1783" s="610" t="s">
        <v>6126</v>
      </c>
      <c r="I1783" s="715">
        <v>336</v>
      </c>
      <c r="J1783" s="610">
        <v>0</v>
      </c>
      <c r="K1783" s="610">
        <v>12</v>
      </c>
      <c r="L1783" s="611">
        <f t="shared" si="727"/>
        <v>28</v>
      </c>
      <c r="M1783" s="612">
        <v>46225</v>
      </c>
      <c r="N1783" s="612">
        <v>46221</v>
      </c>
      <c r="O1783" s="613"/>
      <c r="P1783" s="610" t="s">
        <v>113</v>
      </c>
      <c r="Q1783" s="614">
        <v>46233</v>
      </c>
      <c r="R1783" s="614">
        <v>46174</v>
      </c>
      <c r="S1783" s="614" t="s">
        <v>70</v>
      </c>
      <c r="T1783" s="614" t="s">
        <v>10370</v>
      </c>
      <c r="U1783" s="874"/>
      <c r="V1783" s="874"/>
      <c r="W1783" s="605"/>
      <c r="X1783" s="609" t="s">
        <v>10284</v>
      </c>
      <c r="Y1783" s="616" t="s">
        <v>5071</v>
      </c>
      <c r="Z1783" s="609">
        <v>2.2576</v>
      </c>
      <c r="AA1783" s="616">
        <f t="shared" si="724"/>
        <v>758.5536</v>
      </c>
      <c r="AC1783" s="697"/>
      <c r="AD1783" s="610" t="s">
        <v>8079</v>
      </c>
      <c r="AE1783" s="610" t="s">
        <v>82</v>
      </c>
      <c r="AF1783" s="610"/>
      <c r="AG1783" s="610"/>
      <c r="AH1783" s="609"/>
      <c r="AI1783" s="609">
        <v>336</v>
      </c>
      <c r="AJ1783" s="610">
        <f t="shared" si="728"/>
        <v>0</v>
      </c>
      <c r="AK1783" s="613"/>
      <c r="AL1783" s="610" t="s">
        <v>2368</v>
      </c>
      <c r="AM1783" s="610"/>
      <c r="AN1783" s="610">
        <f>I1783*2</f>
        <v>672</v>
      </c>
      <c r="AR1783" s="619"/>
      <c r="AS1783" s="554">
        <f>I1783*2</f>
        <v>672</v>
      </c>
      <c r="AU1783" s="554">
        <f>I1783*2</f>
        <v>672</v>
      </c>
      <c r="AX1783" s="714"/>
      <c r="AY1783" s="554"/>
      <c r="AZ1783" s="554"/>
      <c r="BA1783" s="554"/>
      <c r="BB1783" s="620">
        <f>I1783/24*2</f>
        <v>28</v>
      </c>
      <c r="CA1783" s="720"/>
      <c r="CB1783" s="555"/>
      <c r="CC1783" s="721"/>
      <c r="CD1783" s="554"/>
      <c r="CE1783" s="554"/>
      <c r="CF1783" s="554"/>
      <c r="CG1783" s="554"/>
      <c r="CP1783" s="619"/>
      <c r="CQ1783" s="619"/>
      <c r="CR1783" s="554">
        <f>I1783</f>
        <v>336</v>
      </c>
      <c r="CS1783" s="554">
        <f>I1783</f>
        <v>336</v>
      </c>
      <c r="CT1783" s="554">
        <f>I1783</f>
        <v>336</v>
      </c>
      <c r="CU1783" s="554">
        <f t="shared" si="704"/>
        <v>0</v>
      </c>
      <c r="CV1783" s="554">
        <f t="shared" si="725"/>
        <v>0</v>
      </c>
      <c r="CW1783" s="554">
        <f t="shared" si="726"/>
        <v>0</v>
      </c>
      <c r="CX1783" s="619"/>
      <c r="CY1783" s="619"/>
      <c r="CZ1783" s="619"/>
      <c r="DA1783" s="619"/>
      <c r="DB1783" s="619"/>
      <c r="DC1783" s="619"/>
      <c r="DD1783" s="619"/>
      <c r="DE1783" s="619"/>
      <c r="DF1783" s="619"/>
      <c r="DG1783" s="619"/>
      <c r="DH1783" s="619"/>
    </row>
    <row r="1784" s="554" customFormat="1" ht="31" customHeight="1" spans="1:113">
      <c r="A1784" s="608">
        <v>46150</v>
      </c>
      <c r="B1784" s="609" t="s">
        <v>3815</v>
      </c>
      <c r="C1784" s="610" t="s">
        <v>98</v>
      </c>
      <c r="D1784" s="727">
        <v>4500205576</v>
      </c>
      <c r="E1784" s="610" t="s">
        <v>10371</v>
      </c>
      <c r="F1784" s="554" t="s">
        <v>10372</v>
      </c>
      <c r="G1784" s="610" t="s">
        <v>6787</v>
      </c>
      <c r="H1784" s="610" t="s">
        <v>6126</v>
      </c>
      <c r="I1784" s="715">
        <v>1476</v>
      </c>
      <c r="J1784" s="610">
        <v>0</v>
      </c>
      <c r="K1784" s="610">
        <v>12</v>
      </c>
      <c r="L1784" s="611">
        <f t="shared" si="727"/>
        <v>123</v>
      </c>
      <c r="M1784" s="612">
        <v>46226</v>
      </c>
      <c r="N1784" s="724">
        <v>46226</v>
      </c>
      <c r="O1784" s="613"/>
      <c r="P1784" s="610" t="s">
        <v>113</v>
      </c>
      <c r="Q1784" s="614">
        <v>46229</v>
      </c>
      <c r="R1784" s="614">
        <v>46151</v>
      </c>
      <c r="S1784" s="818" t="s">
        <v>104</v>
      </c>
      <c r="T1784" s="862" t="s">
        <v>5359</v>
      </c>
      <c r="U1784" s="862"/>
      <c r="V1784" s="862"/>
      <c r="W1784" s="819"/>
      <c r="X1784" s="820" t="s">
        <v>10373</v>
      </c>
      <c r="Y1784" s="616" t="s">
        <v>10202</v>
      </c>
      <c r="Z1784" s="609">
        <v>1.3546</v>
      </c>
      <c r="AA1784" s="616">
        <f t="shared" si="724"/>
        <v>1999.3896</v>
      </c>
      <c r="AC1784" s="861" t="s">
        <v>10374</v>
      </c>
      <c r="AD1784" s="610" t="s">
        <v>8079</v>
      </c>
      <c r="AE1784" s="610" t="s">
        <v>82</v>
      </c>
      <c r="AF1784" s="610"/>
      <c r="AG1784" s="610"/>
      <c r="AH1784" s="609"/>
      <c r="AI1784" s="609">
        <v>1476</v>
      </c>
      <c r="AJ1784" s="610">
        <f t="shared" si="728"/>
        <v>0</v>
      </c>
      <c r="AK1784" s="613"/>
      <c r="AL1784" s="610" t="s">
        <v>2368</v>
      </c>
      <c r="AM1784" s="610"/>
      <c r="AN1784" s="610">
        <f>I1784*2</f>
        <v>2952</v>
      </c>
      <c r="AQ1784" s="554">
        <f>I1784*2</f>
        <v>2952</v>
      </c>
      <c r="AR1784" s="619"/>
      <c r="AS1784" s="554"/>
      <c r="AT1784" s="554"/>
      <c r="AU1784" s="554">
        <f>I1784*2</f>
        <v>2952</v>
      </c>
      <c r="AX1784" s="714"/>
      <c r="AY1784" s="554"/>
      <c r="AZ1784" s="554"/>
      <c r="BA1784" s="554"/>
      <c r="BB1784" s="620">
        <f>I1784/24*2</f>
        <v>123</v>
      </c>
      <c r="CA1784" s="720"/>
      <c r="CB1784" s="555"/>
      <c r="CC1784" s="721"/>
      <c r="CD1784" s="554"/>
      <c r="CE1784" s="554"/>
      <c r="CF1784" s="554"/>
      <c r="CG1784" s="554"/>
      <c r="CP1784" s="619"/>
      <c r="CQ1784" s="619"/>
      <c r="CR1784" s="554">
        <f>I1784</f>
        <v>1476</v>
      </c>
      <c r="CS1784" s="554">
        <f>I1784</f>
        <v>1476</v>
      </c>
      <c r="CT1784" s="554">
        <f>I1784</f>
        <v>1476</v>
      </c>
      <c r="CU1784" s="554">
        <f t="shared" ref="CU1784:CU1791" si="729">BQ1784+BP1784+BO1784+BN1784+BX1784+BR1784</f>
        <v>0</v>
      </c>
      <c r="CV1784" s="554">
        <v>0</v>
      </c>
      <c r="CW1784" s="554">
        <v>0</v>
      </c>
      <c r="CX1784" s="619"/>
      <c r="CY1784" s="619"/>
      <c r="CZ1784" s="619"/>
      <c r="DA1784" s="619"/>
      <c r="DB1784" s="619"/>
      <c r="DC1784" s="619"/>
      <c r="DD1784" s="619"/>
      <c r="DE1784" s="619"/>
      <c r="DF1784" s="619"/>
      <c r="DG1784" s="619"/>
      <c r="DH1784" s="619"/>
    </row>
    <row r="1785" s="550" customFormat="1" ht="31" customHeight="1" spans="1:113">
      <c r="A1785" s="867">
        <v>46185</v>
      </c>
      <c r="B1785" s="605" t="s">
        <v>5157</v>
      </c>
      <c r="C1785" s="589" t="s">
        <v>128</v>
      </c>
      <c r="D1785" s="557">
        <v>4500202802</v>
      </c>
      <c r="E1785" s="589">
        <v>21798802</v>
      </c>
      <c r="F1785" s="557" t="s">
        <v>10375</v>
      </c>
      <c r="G1785" s="589" t="s">
        <v>6093</v>
      </c>
      <c r="H1785" s="589" t="s">
        <v>6094</v>
      </c>
      <c r="I1785" s="868">
        <v>9295</v>
      </c>
      <c r="J1785" s="589">
        <v>0</v>
      </c>
      <c r="K1785" s="869">
        <v>13</v>
      </c>
      <c r="L1785" s="870">
        <f t="shared" si="727"/>
        <v>715</v>
      </c>
      <c r="M1785" s="871">
        <v>46230</v>
      </c>
      <c r="N1785" s="885">
        <v>46230</v>
      </c>
      <c r="O1785" s="873"/>
      <c r="P1785" s="613" t="s">
        <v>113</v>
      </c>
      <c r="Q1785" s="874"/>
      <c r="R1785" s="874">
        <v>46195</v>
      </c>
      <c r="S1785" s="614" t="s">
        <v>104</v>
      </c>
      <c r="T1785" s="874" t="s">
        <v>10376</v>
      </c>
      <c r="U1785" s="874"/>
      <c r="V1785" s="874"/>
      <c r="W1785" s="573"/>
      <c r="X1785" s="605" t="s">
        <v>10377</v>
      </c>
      <c r="Y1785" s="876" t="s">
        <v>5163</v>
      </c>
      <c r="Z1785" s="605">
        <v>0.9762</v>
      </c>
      <c r="AA1785" s="876">
        <f t="shared" si="724"/>
        <v>9073.779</v>
      </c>
      <c r="AC1785" s="877"/>
      <c r="AD1785" s="610" t="s">
        <v>6093</v>
      </c>
      <c r="AE1785" s="589" t="s">
        <v>82</v>
      </c>
      <c r="AF1785" s="589"/>
      <c r="AG1785" s="589"/>
      <c r="AH1785" s="605"/>
      <c r="AI1785" s="609">
        <v>9295</v>
      </c>
      <c r="AJ1785" s="610">
        <f t="shared" si="728"/>
        <v>0</v>
      </c>
      <c r="AK1785" s="873"/>
      <c r="AL1785" s="589" t="s">
        <v>454</v>
      </c>
      <c r="AM1785" s="589"/>
      <c r="AN1785" s="589"/>
      <c r="AO1785" s="557">
        <f>I1785</f>
        <v>9295</v>
      </c>
      <c r="AP1785" s="557"/>
      <c r="AQ1785" s="557"/>
      <c r="AR1785" s="878"/>
      <c r="AS1785" s="557"/>
      <c r="AT1785" s="554">
        <f>I1785</f>
        <v>9295</v>
      </c>
      <c r="AU1785" s="554"/>
      <c r="AV1785" s="554">
        <f>I1785</f>
        <v>9295</v>
      </c>
      <c r="AW1785" s="557"/>
      <c r="AX1785" s="879"/>
      <c r="AY1785" s="557"/>
      <c r="AZ1785" s="557"/>
      <c r="BA1785" s="557"/>
      <c r="BB1785" s="620">
        <f t="shared" ref="BB1785:BB1791" si="730">I1785/24</f>
        <v>387.291666666667</v>
      </c>
      <c r="BC1785" s="557"/>
      <c r="BD1785" s="557"/>
      <c r="BE1785" s="557"/>
      <c r="BF1785" s="880"/>
      <c r="BG1785" s="881"/>
      <c r="BH1785" s="882"/>
      <c r="BI1785" s="557"/>
      <c r="BJ1785" s="557"/>
      <c r="BK1785" s="557"/>
      <c r="BL1785" s="557"/>
      <c r="BM1785" s="554">
        <f>I1785/13</f>
        <v>715</v>
      </c>
      <c r="BN1785" s="557"/>
      <c r="BO1785" s="557"/>
      <c r="BP1785" s="557"/>
      <c r="BQ1785" s="557"/>
      <c r="BR1785" s="557"/>
      <c r="BS1785" s="557"/>
      <c r="BT1785" s="557"/>
      <c r="BU1785" s="557"/>
      <c r="BV1785" s="557"/>
      <c r="BW1785" s="557"/>
      <c r="BX1785" s="557"/>
      <c r="BY1785" s="557"/>
      <c r="BZ1785" s="557"/>
      <c r="CA1785" s="883"/>
      <c r="CB1785" s="555"/>
      <c r="CC1785" s="882"/>
      <c r="CD1785" s="557"/>
      <c r="CE1785" s="557"/>
      <c r="CF1785" s="557"/>
      <c r="CG1785" s="880"/>
      <c r="CH1785" s="881"/>
      <c r="CI1785" s="882"/>
      <c r="CJ1785" s="557"/>
      <c r="CK1785" s="557"/>
      <c r="CL1785" s="557"/>
      <c r="CM1785" s="557"/>
      <c r="CN1785" s="557"/>
      <c r="CO1785" s="557"/>
      <c r="CP1785" s="878"/>
      <c r="CQ1785" s="878"/>
      <c r="CR1785" s="557"/>
      <c r="CS1785" s="557"/>
      <c r="CT1785" s="557"/>
      <c r="CU1785" s="554">
        <f t="shared" si="729"/>
        <v>0</v>
      </c>
      <c r="CV1785" s="554">
        <f t="shared" ref="CV1785:CV1791" si="731">CK1785+CL1785+CM1785+CN1785+CO1785+CQ1785+CP1785</f>
        <v>0</v>
      </c>
      <c r="CW1785" s="554">
        <f t="shared" ref="CW1785:CW1791" si="732">CI1785+CJ1785</f>
        <v>0</v>
      </c>
      <c r="CX1785" s="878"/>
      <c r="CY1785" s="878"/>
      <c r="CZ1785" s="878"/>
      <c r="DA1785" s="878"/>
      <c r="DB1785" s="878"/>
      <c r="DC1785" s="878"/>
      <c r="DD1785" s="878"/>
      <c r="DE1785" s="878"/>
      <c r="DF1785" s="878"/>
      <c r="DG1785" s="878"/>
      <c r="DH1785" s="878"/>
    </row>
    <row r="1786" s="550" customFormat="1" ht="31" customHeight="1" spans="1:113">
      <c r="A1786" s="867">
        <v>46185</v>
      </c>
      <c r="B1786" s="605" t="s">
        <v>5164</v>
      </c>
      <c r="C1786" s="589" t="s">
        <v>76</v>
      </c>
      <c r="D1786" s="557">
        <v>4500202803</v>
      </c>
      <c r="E1786" s="589">
        <v>21798809</v>
      </c>
      <c r="F1786" s="557" t="s">
        <v>10378</v>
      </c>
      <c r="G1786" s="589" t="s">
        <v>6093</v>
      </c>
      <c r="H1786" s="589" t="s">
        <v>6094</v>
      </c>
      <c r="I1786" s="868">
        <v>689</v>
      </c>
      <c r="J1786" s="589">
        <v>0</v>
      </c>
      <c r="K1786" s="869">
        <v>13</v>
      </c>
      <c r="L1786" s="870">
        <f t="shared" si="727"/>
        <v>53</v>
      </c>
      <c r="M1786" s="871">
        <v>46230</v>
      </c>
      <c r="N1786" s="885">
        <v>46230</v>
      </c>
      <c r="O1786" s="873"/>
      <c r="P1786" s="613" t="s">
        <v>113</v>
      </c>
      <c r="Q1786" s="874"/>
      <c r="R1786" s="874">
        <v>46195</v>
      </c>
      <c r="S1786" s="614" t="s">
        <v>104</v>
      </c>
      <c r="T1786" s="874" t="s">
        <v>10379</v>
      </c>
      <c r="U1786" s="874"/>
      <c r="V1786" s="874"/>
      <c r="W1786" s="573"/>
      <c r="X1786" s="605" t="s">
        <v>10380</v>
      </c>
      <c r="Y1786" s="876" t="s">
        <v>5163</v>
      </c>
      <c r="Z1786" s="605">
        <v>0.9868</v>
      </c>
      <c r="AA1786" s="876">
        <f t="shared" si="724"/>
        <v>679.9052</v>
      </c>
      <c r="AC1786" s="877"/>
      <c r="AD1786" s="610" t="s">
        <v>6093</v>
      </c>
      <c r="AE1786" s="589" t="s">
        <v>82</v>
      </c>
      <c r="AF1786" s="589"/>
      <c r="AG1786" s="589"/>
      <c r="AH1786" s="605"/>
      <c r="AI1786" s="609">
        <v>689</v>
      </c>
      <c r="AJ1786" s="610">
        <f t="shared" si="728"/>
        <v>0</v>
      </c>
      <c r="AK1786" s="873"/>
      <c r="AL1786" s="589" t="s">
        <v>454</v>
      </c>
      <c r="AM1786" s="589"/>
      <c r="AN1786" s="589"/>
      <c r="AO1786" s="557">
        <f>I1786</f>
        <v>689</v>
      </c>
      <c r="AP1786" s="557"/>
      <c r="AQ1786" s="557"/>
      <c r="AR1786" s="878"/>
      <c r="AS1786" s="557"/>
      <c r="AT1786" s="554">
        <f>I1786</f>
        <v>689</v>
      </c>
      <c r="AU1786" s="554"/>
      <c r="AV1786" s="554">
        <f>I1786</f>
        <v>689</v>
      </c>
      <c r="AW1786" s="557"/>
      <c r="AX1786" s="879"/>
      <c r="AY1786" s="557"/>
      <c r="AZ1786" s="557"/>
      <c r="BA1786" s="557"/>
      <c r="BB1786" s="620">
        <f t="shared" si="730"/>
        <v>28.7083333333333</v>
      </c>
      <c r="BC1786" s="557"/>
      <c r="BD1786" s="557"/>
      <c r="BE1786" s="557"/>
      <c r="BF1786" s="880"/>
      <c r="BG1786" s="881"/>
      <c r="BH1786" s="882"/>
      <c r="BI1786" s="557"/>
      <c r="BJ1786" s="557"/>
      <c r="BK1786" s="557"/>
      <c r="BL1786" s="557"/>
      <c r="BM1786" s="554">
        <f>I1786/13</f>
        <v>53</v>
      </c>
      <c r="BN1786" s="557"/>
      <c r="BO1786" s="557"/>
      <c r="BP1786" s="557"/>
      <c r="BQ1786" s="557"/>
      <c r="BR1786" s="557"/>
      <c r="BS1786" s="557"/>
      <c r="BT1786" s="557"/>
      <c r="BU1786" s="557"/>
      <c r="BV1786" s="557"/>
      <c r="BW1786" s="557"/>
      <c r="BX1786" s="557"/>
      <c r="BY1786" s="557"/>
      <c r="BZ1786" s="557"/>
      <c r="CA1786" s="883"/>
      <c r="CB1786" s="555"/>
      <c r="CC1786" s="882"/>
      <c r="CD1786" s="557"/>
      <c r="CE1786" s="557"/>
      <c r="CF1786" s="557"/>
      <c r="CG1786" s="880"/>
      <c r="CH1786" s="881"/>
      <c r="CI1786" s="882"/>
      <c r="CJ1786" s="557"/>
      <c r="CK1786" s="557"/>
      <c r="CL1786" s="557"/>
      <c r="CM1786" s="557"/>
      <c r="CN1786" s="557"/>
      <c r="CO1786" s="557"/>
      <c r="CP1786" s="878"/>
      <c r="CQ1786" s="878"/>
      <c r="CR1786" s="557"/>
      <c r="CS1786" s="557"/>
      <c r="CT1786" s="557"/>
      <c r="CU1786" s="554">
        <f t="shared" si="729"/>
        <v>0</v>
      </c>
      <c r="CV1786" s="554">
        <f t="shared" si="731"/>
        <v>0</v>
      </c>
      <c r="CW1786" s="554">
        <f t="shared" si="732"/>
        <v>0</v>
      </c>
      <c r="CX1786" s="878"/>
      <c r="CY1786" s="878"/>
      <c r="CZ1786" s="878"/>
      <c r="DA1786" s="878"/>
      <c r="DB1786" s="878"/>
      <c r="DC1786" s="878"/>
      <c r="DD1786" s="878"/>
      <c r="DE1786" s="878"/>
      <c r="DF1786" s="878"/>
      <c r="DG1786" s="878"/>
      <c r="DH1786" s="878"/>
    </row>
    <row r="1787" s="550" customFormat="1" ht="31" customHeight="1" spans="1:113">
      <c r="A1787" s="608">
        <v>46183</v>
      </c>
      <c r="B1787" s="609" t="s">
        <v>143</v>
      </c>
      <c r="C1787" s="610" t="s">
        <v>98</v>
      </c>
      <c r="D1787" s="727">
        <v>4500211431</v>
      </c>
      <c r="E1787" s="613">
        <v>1003602855</v>
      </c>
      <c r="F1787" s="554" t="s">
        <v>10381</v>
      </c>
      <c r="G1787" s="610" t="s">
        <v>6063</v>
      </c>
      <c r="H1787" s="610" t="s">
        <v>6064</v>
      </c>
      <c r="I1787" s="715">
        <v>4800</v>
      </c>
      <c r="J1787" s="610">
        <v>0</v>
      </c>
      <c r="K1787" s="843">
        <v>16</v>
      </c>
      <c r="L1787" s="844">
        <f t="shared" si="727"/>
        <v>300</v>
      </c>
      <c r="M1787" s="845">
        <v>46231</v>
      </c>
      <c r="N1787" s="612">
        <v>46227</v>
      </c>
      <c r="O1787" s="737" t="s">
        <v>3368</v>
      </c>
      <c r="P1787" s="610" t="s">
        <v>113</v>
      </c>
      <c r="Q1787" s="614">
        <v>46234</v>
      </c>
      <c r="R1787" s="614" t="s">
        <v>9889</v>
      </c>
      <c r="S1787" s="614" t="s">
        <v>70</v>
      </c>
      <c r="T1787" s="614" t="s">
        <v>4869</v>
      </c>
      <c r="U1787" s="614"/>
      <c r="V1787" s="614"/>
      <c r="W1787" s="573"/>
      <c r="X1787" s="609" t="s">
        <v>10382</v>
      </c>
      <c r="Y1787" s="616" t="s">
        <v>106</v>
      </c>
      <c r="Z1787" s="609">
        <v>0.6268</v>
      </c>
      <c r="AA1787" s="616">
        <f t="shared" si="724"/>
        <v>3008.64</v>
      </c>
      <c r="AC1787" s="637" t="s">
        <v>10383</v>
      </c>
      <c r="AD1787" s="610" t="s">
        <v>6063</v>
      </c>
      <c r="AE1787" s="610" t="s">
        <v>82</v>
      </c>
      <c r="AF1787" s="610"/>
      <c r="AG1787" s="610"/>
      <c r="AH1787" s="609"/>
      <c r="AI1787" s="609">
        <v>4800</v>
      </c>
      <c r="AJ1787" s="610">
        <f t="shared" si="728"/>
        <v>0</v>
      </c>
      <c r="AK1787" s="613"/>
      <c r="AL1787" s="610" t="s">
        <v>2368</v>
      </c>
      <c r="AM1787" s="610"/>
      <c r="AN1787" s="610">
        <f>I1787</f>
        <v>4800</v>
      </c>
      <c r="AO1787" s="554"/>
      <c r="AP1787" s="554">
        <f>I1787</f>
        <v>4800</v>
      </c>
      <c r="AQ1787" s="554"/>
      <c r="AR1787" s="619"/>
      <c r="AS1787" s="554"/>
      <c r="AT1787" s="554"/>
      <c r="AU1787" s="554">
        <f>I1787</f>
        <v>4800</v>
      </c>
      <c r="AV1787" s="554"/>
      <c r="AW1787" s="554"/>
      <c r="AX1787" s="714"/>
      <c r="AY1787" s="554"/>
      <c r="AZ1787" s="554"/>
      <c r="BA1787" s="554"/>
      <c r="BB1787" s="620">
        <f t="shared" si="730"/>
        <v>200</v>
      </c>
      <c r="BC1787" s="554"/>
      <c r="BD1787" s="554"/>
      <c r="BE1787" s="554"/>
      <c r="BF1787" s="720"/>
      <c r="BG1787" s="555"/>
      <c r="BH1787" s="721"/>
      <c r="BI1787" s="554"/>
      <c r="BJ1787" s="554"/>
      <c r="BK1787" s="554"/>
      <c r="BL1787" s="554"/>
      <c r="BM1787" s="554"/>
      <c r="BN1787" s="554"/>
      <c r="BO1787" s="554"/>
      <c r="BP1787" s="554"/>
      <c r="BQ1787" s="554">
        <f>I1787/16</f>
        <v>300</v>
      </c>
      <c r="BR1787" s="554"/>
      <c r="BS1787" s="554"/>
      <c r="BT1787" s="554"/>
      <c r="BU1787" s="554"/>
      <c r="BV1787" s="554"/>
      <c r="BW1787" s="554"/>
      <c r="BX1787" s="554"/>
      <c r="BY1787" s="554"/>
      <c r="BZ1787" s="554"/>
      <c r="CA1787" s="720"/>
      <c r="CB1787" s="555"/>
      <c r="CC1787" s="721"/>
      <c r="CD1787" s="554"/>
      <c r="CE1787" s="554"/>
      <c r="CF1787" s="554"/>
      <c r="CG1787" s="720"/>
      <c r="CH1787" s="555"/>
      <c r="CI1787" s="721"/>
      <c r="CJ1787" s="554"/>
      <c r="CK1787" s="554"/>
      <c r="CL1787" s="554"/>
      <c r="CM1787" s="554"/>
      <c r="CN1787" s="554"/>
      <c r="CO1787" s="554"/>
      <c r="CP1787" s="619"/>
      <c r="CQ1787" s="619"/>
      <c r="CR1787" s="554"/>
      <c r="CS1787" s="554"/>
      <c r="CT1787" s="554"/>
      <c r="CU1787" s="554">
        <f t="shared" si="729"/>
        <v>300</v>
      </c>
      <c r="CV1787" s="554">
        <f t="shared" si="731"/>
        <v>0</v>
      </c>
      <c r="CW1787" s="554">
        <f t="shared" si="732"/>
        <v>0</v>
      </c>
      <c r="CX1787" s="619"/>
      <c r="CY1787" s="619"/>
      <c r="CZ1787" s="619"/>
      <c r="DA1787" s="619"/>
      <c r="DB1787" s="619"/>
      <c r="DC1787" s="619"/>
      <c r="DD1787" s="619"/>
      <c r="DE1787" s="619"/>
      <c r="DF1787" s="619"/>
      <c r="DG1787" s="619"/>
      <c r="DH1787" s="619"/>
    </row>
    <row r="1788" s="550" customFormat="1" ht="31" customHeight="1" spans="1:113">
      <c r="A1788" s="608">
        <v>46183</v>
      </c>
      <c r="B1788" s="609" t="s">
        <v>143</v>
      </c>
      <c r="C1788" s="610" t="s">
        <v>98</v>
      </c>
      <c r="D1788" s="727">
        <v>4500211431</v>
      </c>
      <c r="E1788" s="613">
        <v>1003602865</v>
      </c>
      <c r="F1788" s="554" t="s">
        <v>10384</v>
      </c>
      <c r="G1788" s="610" t="s">
        <v>6063</v>
      </c>
      <c r="H1788" s="610" t="s">
        <v>6064</v>
      </c>
      <c r="I1788" s="715">
        <v>4800</v>
      </c>
      <c r="J1788" s="610">
        <v>0</v>
      </c>
      <c r="K1788" s="843">
        <v>16</v>
      </c>
      <c r="L1788" s="844">
        <f t="shared" si="727"/>
        <v>300</v>
      </c>
      <c r="M1788" s="845">
        <v>46231</v>
      </c>
      <c r="N1788" s="612">
        <v>46227</v>
      </c>
      <c r="O1788" s="737" t="s">
        <v>3368</v>
      </c>
      <c r="P1788" s="610" t="s">
        <v>113</v>
      </c>
      <c r="Q1788" s="614">
        <v>46234</v>
      </c>
      <c r="R1788" s="614" t="s">
        <v>9889</v>
      </c>
      <c r="S1788" s="614" t="s">
        <v>70</v>
      </c>
      <c r="T1788" s="614" t="s">
        <v>4869</v>
      </c>
      <c r="U1788" s="614"/>
      <c r="V1788" s="614"/>
      <c r="W1788" s="573"/>
      <c r="X1788" s="609" t="s">
        <v>10382</v>
      </c>
      <c r="Y1788" s="616" t="s">
        <v>106</v>
      </c>
      <c r="Z1788" s="609">
        <v>0.6268</v>
      </c>
      <c r="AA1788" s="616">
        <f t="shared" si="724"/>
        <v>3008.64</v>
      </c>
      <c r="AC1788" s="678" t="s">
        <v>10385</v>
      </c>
      <c r="AD1788" s="610" t="s">
        <v>6063</v>
      </c>
      <c r="AE1788" s="610" t="s">
        <v>82</v>
      </c>
      <c r="AF1788" s="610"/>
      <c r="AG1788" s="610"/>
      <c r="AH1788" s="609"/>
      <c r="AI1788" s="609">
        <v>4800</v>
      </c>
      <c r="AJ1788" s="610">
        <f t="shared" si="728"/>
        <v>0</v>
      </c>
      <c r="AK1788" s="613"/>
      <c r="AL1788" s="610" t="s">
        <v>2368</v>
      </c>
      <c r="AM1788" s="610"/>
      <c r="AN1788" s="610">
        <f>I1788</f>
        <v>4800</v>
      </c>
      <c r="AO1788" s="554"/>
      <c r="AP1788" s="554">
        <f>I1788</f>
        <v>4800</v>
      </c>
      <c r="AQ1788" s="554"/>
      <c r="AR1788" s="619"/>
      <c r="AS1788" s="554"/>
      <c r="AT1788" s="554"/>
      <c r="AU1788" s="554">
        <f>I1788</f>
        <v>4800</v>
      </c>
      <c r="AV1788" s="554"/>
      <c r="AW1788" s="554"/>
      <c r="AX1788" s="714"/>
      <c r="AY1788" s="554"/>
      <c r="AZ1788" s="554"/>
      <c r="BA1788" s="554"/>
      <c r="BB1788" s="620">
        <f t="shared" si="730"/>
        <v>200</v>
      </c>
      <c r="BC1788" s="554"/>
      <c r="BD1788" s="554"/>
      <c r="BE1788" s="554"/>
      <c r="BF1788" s="720"/>
      <c r="BG1788" s="555"/>
      <c r="BH1788" s="721"/>
      <c r="BI1788" s="554"/>
      <c r="BJ1788" s="554"/>
      <c r="BK1788" s="554"/>
      <c r="BL1788" s="554"/>
      <c r="BM1788" s="554"/>
      <c r="BN1788" s="554"/>
      <c r="BO1788" s="554"/>
      <c r="BP1788" s="554"/>
      <c r="BQ1788" s="554">
        <f>I1788/16</f>
        <v>300</v>
      </c>
      <c r="BR1788" s="554"/>
      <c r="BS1788" s="554"/>
      <c r="BT1788" s="554"/>
      <c r="BU1788" s="554"/>
      <c r="BV1788" s="554"/>
      <c r="BW1788" s="554"/>
      <c r="BX1788" s="554"/>
      <c r="BY1788" s="554"/>
      <c r="BZ1788" s="554"/>
      <c r="CA1788" s="720"/>
      <c r="CB1788" s="555"/>
      <c r="CC1788" s="721"/>
      <c r="CD1788" s="554"/>
      <c r="CE1788" s="554"/>
      <c r="CF1788" s="554"/>
      <c r="CG1788" s="720"/>
      <c r="CH1788" s="555"/>
      <c r="CI1788" s="721"/>
      <c r="CJ1788" s="554"/>
      <c r="CK1788" s="554"/>
      <c r="CL1788" s="554"/>
      <c r="CM1788" s="554"/>
      <c r="CN1788" s="554"/>
      <c r="CO1788" s="554"/>
      <c r="CP1788" s="619"/>
      <c r="CQ1788" s="619"/>
      <c r="CR1788" s="554"/>
      <c r="CS1788" s="554"/>
      <c r="CT1788" s="554"/>
      <c r="CU1788" s="554">
        <f t="shared" si="729"/>
        <v>300</v>
      </c>
      <c r="CV1788" s="554">
        <f t="shared" si="731"/>
        <v>0</v>
      </c>
      <c r="CW1788" s="554">
        <f t="shared" si="732"/>
        <v>0</v>
      </c>
      <c r="CX1788" s="619"/>
      <c r="CY1788" s="619"/>
      <c r="CZ1788" s="619"/>
      <c r="DA1788" s="619"/>
      <c r="DB1788" s="619"/>
      <c r="DC1788" s="619"/>
      <c r="DD1788" s="619"/>
      <c r="DE1788" s="619"/>
      <c r="DF1788" s="619"/>
      <c r="DG1788" s="619"/>
      <c r="DH1788" s="619"/>
    </row>
    <row r="1789" s="550" customFormat="1" ht="31" customHeight="1" spans="1:113">
      <c r="A1789" s="608">
        <v>46183</v>
      </c>
      <c r="B1789" s="609" t="s">
        <v>143</v>
      </c>
      <c r="C1789" s="610" t="s">
        <v>98</v>
      </c>
      <c r="D1789" s="727">
        <v>4500211431</v>
      </c>
      <c r="E1789" s="613">
        <v>1003602873</v>
      </c>
      <c r="F1789" s="554" t="s">
        <v>10386</v>
      </c>
      <c r="G1789" s="610" t="s">
        <v>6063</v>
      </c>
      <c r="H1789" s="610" t="s">
        <v>6064</v>
      </c>
      <c r="I1789" s="715">
        <v>4800</v>
      </c>
      <c r="J1789" s="610">
        <v>0</v>
      </c>
      <c r="K1789" s="843">
        <v>16</v>
      </c>
      <c r="L1789" s="844">
        <f t="shared" si="727"/>
        <v>300</v>
      </c>
      <c r="M1789" s="845">
        <v>46231</v>
      </c>
      <c r="N1789" s="612">
        <v>46227</v>
      </c>
      <c r="O1789" s="737" t="s">
        <v>3368</v>
      </c>
      <c r="P1789" s="610" t="s">
        <v>113</v>
      </c>
      <c r="Q1789" s="614">
        <v>46234</v>
      </c>
      <c r="R1789" s="614" t="s">
        <v>9889</v>
      </c>
      <c r="S1789" s="614" t="s">
        <v>70</v>
      </c>
      <c r="T1789" s="614" t="s">
        <v>4869</v>
      </c>
      <c r="U1789" s="614"/>
      <c r="V1789" s="614"/>
      <c r="W1789" s="573"/>
      <c r="X1789" s="609" t="s">
        <v>10382</v>
      </c>
      <c r="Y1789" s="616" t="s">
        <v>106</v>
      </c>
      <c r="Z1789" s="609">
        <v>0.6268</v>
      </c>
      <c r="AA1789" s="616">
        <f t="shared" si="724"/>
        <v>3008.64</v>
      </c>
      <c r="AC1789" s="678" t="s">
        <v>10387</v>
      </c>
      <c r="AD1789" s="610" t="s">
        <v>6063</v>
      </c>
      <c r="AE1789" s="610" t="s">
        <v>82</v>
      </c>
      <c r="AF1789" s="610"/>
      <c r="AG1789" s="610"/>
      <c r="AH1789" s="609"/>
      <c r="AI1789" s="609">
        <v>4800</v>
      </c>
      <c r="AJ1789" s="610">
        <f t="shared" si="728"/>
        <v>0</v>
      </c>
      <c r="AK1789" s="613"/>
      <c r="AL1789" s="610" t="s">
        <v>2368</v>
      </c>
      <c r="AM1789" s="610"/>
      <c r="AN1789" s="610">
        <f>I1789</f>
        <v>4800</v>
      </c>
      <c r="AO1789" s="554"/>
      <c r="AP1789" s="554">
        <f>I1789</f>
        <v>4800</v>
      </c>
      <c r="AQ1789" s="554"/>
      <c r="AR1789" s="619"/>
      <c r="AS1789" s="554"/>
      <c r="AT1789" s="554"/>
      <c r="AU1789" s="554">
        <f>I1789</f>
        <v>4800</v>
      </c>
      <c r="AV1789" s="554"/>
      <c r="AW1789" s="554"/>
      <c r="AX1789" s="714"/>
      <c r="AY1789" s="554"/>
      <c r="AZ1789" s="554"/>
      <c r="BA1789" s="554"/>
      <c r="BB1789" s="620">
        <f t="shared" si="730"/>
        <v>200</v>
      </c>
      <c r="BC1789" s="554"/>
      <c r="BD1789" s="554"/>
      <c r="BE1789" s="554"/>
      <c r="BF1789" s="720"/>
      <c r="BG1789" s="555"/>
      <c r="BH1789" s="721"/>
      <c r="BI1789" s="554"/>
      <c r="BJ1789" s="554"/>
      <c r="BK1789" s="554"/>
      <c r="BL1789" s="554"/>
      <c r="BM1789" s="554"/>
      <c r="BN1789" s="554"/>
      <c r="BO1789" s="554"/>
      <c r="BP1789" s="554"/>
      <c r="BQ1789" s="554">
        <f>I1789/16</f>
        <v>300</v>
      </c>
      <c r="BR1789" s="554"/>
      <c r="BS1789" s="554"/>
      <c r="BT1789" s="554"/>
      <c r="BU1789" s="554"/>
      <c r="BV1789" s="554"/>
      <c r="BW1789" s="554"/>
      <c r="BX1789" s="554"/>
      <c r="BY1789" s="554"/>
      <c r="BZ1789" s="554"/>
      <c r="CA1789" s="720"/>
      <c r="CB1789" s="555"/>
      <c r="CC1789" s="721"/>
      <c r="CD1789" s="554"/>
      <c r="CE1789" s="554"/>
      <c r="CF1789" s="554"/>
      <c r="CG1789" s="720"/>
      <c r="CH1789" s="555"/>
      <c r="CI1789" s="721"/>
      <c r="CJ1789" s="554"/>
      <c r="CK1789" s="554"/>
      <c r="CL1789" s="554"/>
      <c r="CM1789" s="554"/>
      <c r="CN1789" s="554"/>
      <c r="CO1789" s="554"/>
      <c r="CP1789" s="619"/>
      <c r="CQ1789" s="619"/>
      <c r="CR1789" s="554"/>
      <c r="CS1789" s="554"/>
      <c r="CT1789" s="554"/>
      <c r="CU1789" s="554">
        <f t="shared" si="729"/>
        <v>300</v>
      </c>
      <c r="CV1789" s="554">
        <f t="shared" si="731"/>
        <v>0</v>
      </c>
      <c r="CW1789" s="554">
        <f t="shared" si="732"/>
        <v>0</v>
      </c>
      <c r="CX1789" s="619"/>
      <c r="CY1789" s="619"/>
      <c r="CZ1789" s="619"/>
      <c r="DA1789" s="619"/>
      <c r="DB1789" s="619"/>
      <c r="DC1789" s="619"/>
      <c r="DD1789" s="619"/>
      <c r="DE1789" s="619"/>
      <c r="DF1789" s="619"/>
      <c r="DG1789" s="619"/>
      <c r="DH1789" s="619"/>
    </row>
    <row r="1790" s="550" customFormat="1" ht="31" customHeight="1" spans="1:113">
      <c r="A1790" s="608">
        <v>46183</v>
      </c>
      <c r="B1790" s="609" t="s">
        <v>143</v>
      </c>
      <c r="C1790" s="610" t="s">
        <v>98</v>
      </c>
      <c r="D1790" s="727">
        <v>4500211431</v>
      </c>
      <c r="E1790" s="613">
        <v>1003602826</v>
      </c>
      <c r="F1790" s="554" t="s">
        <v>10388</v>
      </c>
      <c r="G1790" s="610" t="s">
        <v>6063</v>
      </c>
      <c r="H1790" s="610" t="s">
        <v>6064</v>
      </c>
      <c r="I1790" s="715">
        <v>960</v>
      </c>
      <c r="J1790" s="610">
        <v>0</v>
      </c>
      <c r="K1790" s="843">
        <v>16</v>
      </c>
      <c r="L1790" s="844">
        <f t="shared" si="727"/>
        <v>60</v>
      </c>
      <c r="M1790" s="845">
        <v>46231</v>
      </c>
      <c r="N1790" s="612">
        <v>46227</v>
      </c>
      <c r="O1790" s="737" t="s">
        <v>3368</v>
      </c>
      <c r="P1790" s="610" t="s">
        <v>113</v>
      </c>
      <c r="Q1790" s="614">
        <v>46234</v>
      </c>
      <c r="R1790" s="614" t="s">
        <v>9889</v>
      </c>
      <c r="S1790" s="614" t="s">
        <v>70</v>
      </c>
      <c r="T1790" s="614" t="s">
        <v>4869</v>
      </c>
      <c r="U1790" s="614"/>
      <c r="V1790" s="614"/>
      <c r="W1790" s="573"/>
      <c r="X1790" s="609" t="s">
        <v>10382</v>
      </c>
      <c r="Y1790" s="616" t="s">
        <v>106</v>
      </c>
      <c r="Z1790" s="609">
        <v>0.6268</v>
      </c>
      <c r="AA1790" s="616">
        <f t="shared" si="724"/>
        <v>601.728</v>
      </c>
      <c r="AC1790" s="678" t="s">
        <v>10389</v>
      </c>
      <c r="AD1790" s="610" t="s">
        <v>6063</v>
      </c>
      <c r="AE1790" s="610" t="s">
        <v>82</v>
      </c>
      <c r="AF1790" s="610"/>
      <c r="AG1790" s="610"/>
      <c r="AH1790" s="609"/>
      <c r="AI1790" s="609">
        <v>960</v>
      </c>
      <c r="AJ1790" s="610">
        <f t="shared" si="728"/>
        <v>0</v>
      </c>
      <c r="AK1790" s="613"/>
      <c r="AL1790" s="610" t="s">
        <v>2368</v>
      </c>
      <c r="AM1790" s="610"/>
      <c r="AN1790" s="610">
        <f>I1790</f>
        <v>960</v>
      </c>
      <c r="AO1790" s="554"/>
      <c r="AP1790" s="554">
        <f>I1790</f>
        <v>960</v>
      </c>
      <c r="AQ1790" s="554"/>
      <c r="AR1790" s="619"/>
      <c r="AS1790" s="554"/>
      <c r="AT1790" s="554"/>
      <c r="AU1790" s="554">
        <f>I1790</f>
        <v>960</v>
      </c>
      <c r="AV1790" s="554"/>
      <c r="AW1790" s="554"/>
      <c r="AX1790" s="714"/>
      <c r="AY1790" s="554"/>
      <c r="AZ1790" s="554"/>
      <c r="BA1790" s="554"/>
      <c r="BB1790" s="620">
        <f t="shared" si="730"/>
        <v>40</v>
      </c>
      <c r="BC1790" s="554"/>
      <c r="BD1790" s="554"/>
      <c r="BE1790" s="554"/>
      <c r="BF1790" s="720"/>
      <c r="BG1790" s="555"/>
      <c r="BH1790" s="721"/>
      <c r="BI1790" s="554"/>
      <c r="BJ1790" s="554"/>
      <c r="BK1790" s="554"/>
      <c r="BL1790" s="554"/>
      <c r="BM1790" s="554"/>
      <c r="BN1790" s="554"/>
      <c r="BO1790" s="554"/>
      <c r="BP1790" s="554"/>
      <c r="BQ1790" s="554">
        <f>I1790/16</f>
        <v>60</v>
      </c>
      <c r="BR1790" s="554"/>
      <c r="BS1790" s="554"/>
      <c r="BT1790" s="554"/>
      <c r="BU1790" s="554"/>
      <c r="BV1790" s="554"/>
      <c r="BW1790" s="554"/>
      <c r="BX1790" s="554"/>
      <c r="BY1790" s="554"/>
      <c r="BZ1790" s="554"/>
      <c r="CA1790" s="720"/>
      <c r="CB1790" s="555"/>
      <c r="CC1790" s="721"/>
      <c r="CD1790" s="554"/>
      <c r="CE1790" s="554"/>
      <c r="CF1790" s="554"/>
      <c r="CG1790" s="720"/>
      <c r="CH1790" s="555"/>
      <c r="CI1790" s="721"/>
      <c r="CJ1790" s="554"/>
      <c r="CK1790" s="554"/>
      <c r="CL1790" s="554"/>
      <c r="CM1790" s="554"/>
      <c r="CN1790" s="554"/>
      <c r="CO1790" s="554"/>
      <c r="CP1790" s="619"/>
      <c r="CQ1790" s="619"/>
      <c r="CR1790" s="554"/>
      <c r="CS1790" s="554"/>
      <c r="CT1790" s="554"/>
      <c r="CU1790" s="554">
        <f t="shared" si="729"/>
        <v>60</v>
      </c>
      <c r="CV1790" s="554">
        <f t="shared" si="731"/>
        <v>0</v>
      </c>
      <c r="CW1790" s="554">
        <f t="shared" si="732"/>
        <v>0</v>
      </c>
      <c r="CX1790" s="619"/>
      <c r="CY1790" s="619"/>
      <c r="CZ1790" s="619"/>
      <c r="DA1790" s="619"/>
      <c r="DB1790" s="619"/>
      <c r="DC1790" s="619"/>
      <c r="DD1790" s="619"/>
      <c r="DE1790" s="619"/>
      <c r="DF1790" s="619"/>
      <c r="DG1790" s="619"/>
      <c r="DH1790" s="619"/>
    </row>
    <row r="1791" s="550" customFormat="1" ht="31" customHeight="1" spans="1:113">
      <c r="A1791" s="608">
        <v>46183</v>
      </c>
      <c r="B1791" s="609" t="s">
        <v>143</v>
      </c>
      <c r="C1791" s="610" t="s">
        <v>98</v>
      </c>
      <c r="D1791" s="727">
        <v>4500211432</v>
      </c>
      <c r="E1791" s="613">
        <v>1003609345</v>
      </c>
      <c r="F1791" s="554" t="s">
        <v>10390</v>
      </c>
      <c r="G1791" s="610" t="s">
        <v>6063</v>
      </c>
      <c r="H1791" s="610" t="s">
        <v>6064</v>
      </c>
      <c r="I1791" s="715">
        <v>4800</v>
      </c>
      <c r="J1791" s="610">
        <v>0</v>
      </c>
      <c r="K1791" s="843">
        <v>16</v>
      </c>
      <c r="L1791" s="844">
        <f t="shared" si="727"/>
        <v>300</v>
      </c>
      <c r="M1791" s="845">
        <v>46233</v>
      </c>
      <c r="N1791" s="612">
        <v>46230</v>
      </c>
      <c r="O1791" s="737" t="s">
        <v>3368</v>
      </c>
      <c r="P1791" s="610" t="s">
        <v>113</v>
      </c>
      <c r="Q1791" s="614">
        <v>46241</v>
      </c>
      <c r="R1791" s="614" t="s">
        <v>9889</v>
      </c>
      <c r="S1791" s="614" t="s">
        <v>70</v>
      </c>
      <c r="T1791" s="614" t="s">
        <v>10391</v>
      </c>
      <c r="U1791" s="614"/>
      <c r="V1791" s="614"/>
      <c r="W1791" s="573"/>
      <c r="X1791" s="609" t="s">
        <v>10392</v>
      </c>
      <c r="Y1791" s="616" t="s">
        <v>106</v>
      </c>
      <c r="Z1791" s="609">
        <v>0.6334</v>
      </c>
      <c r="AA1791" s="616">
        <f t="shared" si="724"/>
        <v>3040.32</v>
      </c>
      <c r="AC1791" s="678" t="s">
        <v>10393</v>
      </c>
      <c r="AD1791" s="610" t="s">
        <v>6063</v>
      </c>
      <c r="AE1791" s="610" t="s">
        <v>82</v>
      </c>
      <c r="AF1791" s="610"/>
      <c r="AG1791" s="610"/>
      <c r="AH1791" s="609"/>
      <c r="AI1791" s="609">
        <v>4800</v>
      </c>
      <c r="AJ1791" s="610">
        <f t="shared" si="728"/>
        <v>0</v>
      </c>
      <c r="AK1791" s="613"/>
      <c r="AL1791" s="610"/>
      <c r="AM1791" s="610"/>
      <c r="AN1791" s="610">
        <f>I1791</f>
        <v>4800</v>
      </c>
      <c r="AO1791" s="554"/>
      <c r="AP1791" s="554">
        <f>I1791</f>
        <v>4800</v>
      </c>
      <c r="AQ1791" s="554"/>
      <c r="AR1791" s="619"/>
      <c r="AS1791" s="554"/>
      <c r="AT1791" s="554"/>
      <c r="AU1791" s="554">
        <f>I1791</f>
        <v>4800</v>
      </c>
      <c r="AV1791" s="554"/>
      <c r="AW1791" s="554"/>
      <c r="AX1791" s="714"/>
      <c r="AY1791" s="554"/>
      <c r="AZ1791" s="554"/>
      <c r="BA1791" s="554"/>
      <c r="BB1791" s="620">
        <f t="shared" si="730"/>
        <v>200</v>
      </c>
      <c r="BC1791" s="554"/>
      <c r="BD1791" s="554"/>
      <c r="BE1791" s="554"/>
      <c r="BF1791" s="720"/>
      <c r="BG1791" s="555"/>
      <c r="BH1791" s="721"/>
      <c r="BI1791" s="554"/>
      <c r="BJ1791" s="554"/>
      <c r="BK1791" s="554"/>
      <c r="BL1791" s="554"/>
      <c r="BM1791" s="554"/>
      <c r="BN1791" s="554"/>
      <c r="BO1791" s="554"/>
      <c r="BP1791" s="554"/>
      <c r="BQ1791" s="554">
        <f>I1791/16</f>
        <v>300</v>
      </c>
      <c r="BR1791" s="554"/>
      <c r="BS1791" s="554"/>
      <c r="BT1791" s="554"/>
      <c r="BU1791" s="554"/>
      <c r="BV1791" s="554"/>
      <c r="BW1791" s="554"/>
      <c r="BX1791" s="554"/>
      <c r="BY1791" s="554"/>
      <c r="BZ1791" s="554"/>
      <c r="CA1791" s="720"/>
      <c r="CB1791" s="555"/>
      <c r="CC1791" s="721"/>
      <c r="CD1791" s="554"/>
      <c r="CE1791" s="554"/>
      <c r="CF1791" s="554"/>
      <c r="CG1791" s="720"/>
      <c r="CH1791" s="555"/>
      <c r="CI1791" s="721"/>
      <c r="CJ1791" s="554"/>
      <c r="CK1791" s="554"/>
      <c r="CL1791" s="554"/>
      <c r="CM1791" s="554"/>
      <c r="CN1791" s="554"/>
      <c r="CO1791" s="554"/>
      <c r="CP1791" s="619"/>
      <c r="CQ1791" s="619"/>
      <c r="CR1791" s="554"/>
      <c r="CS1791" s="554"/>
      <c r="CT1791" s="554"/>
      <c r="CU1791" s="554">
        <f t="shared" si="729"/>
        <v>300</v>
      </c>
      <c r="CV1791" s="554">
        <f t="shared" si="731"/>
        <v>0</v>
      </c>
      <c r="CW1791" s="554">
        <f t="shared" si="732"/>
        <v>0</v>
      </c>
      <c r="CX1791" s="619"/>
      <c r="CY1791" s="619"/>
      <c r="CZ1791" s="619"/>
      <c r="DA1791" s="619"/>
      <c r="DB1791" s="619"/>
      <c r="DC1791" s="619"/>
      <c r="DD1791" s="619"/>
      <c r="DE1791" s="619"/>
      <c r="DF1791" s="619"/>
      <c r="DG1791" s="619"/>
      <c r="DH1791" s="619"/>
    </row>
    <row r="1792" s="550" customFormat="1" ht="31" customHeight="1" spans="1:113">
      <c r="A1792" s="867">
        <v>46191</v>
      </c>
      <c r="B1792" s="605" t="s">
        <v>4371</v>
      </c>
      <c r="C1792" s="589" t="s">
        <v>98</v>
      </c>
      <c r="D1792" s="886">
        <v>4500213085</v>
      </c>
      <c r="E1792" s="873">
        <v>1003603136</v>
      </c>
      <c r="F1792" s="557" t="s">
        <v>10394</v>
      </c>
      <c r="G1792" s="589" t="s">
        <v>6063</v>
      </c>
      <c r="H1792" s="589" t="s">
        <v>6064</v>
      </c>
      <c r="I1792" s="868">
        <v>5760</v>
      </c>
      <c r="J1792" s="589">
        <v>0</v>
      </c>
      <c r="K1792" s="869">
        <v>16</v>
      </c>
      <c r="L1792" s="870">
        <f t="shared" si="727"/>
        <v>360</v>
      </c>
      <c r="M1792" s="871">
        <v>46239</v>
      </c>
      <c r="N1792" s="887">
        <v>46234</v>
      </c>
      <c r="O1792" s="873" t="s">
        <v>5130</v>
      </c>
      <c r="P1792" s="589" t="s">
        <v>113</v>
      </c>
      <c r="Q1792" s="874">
        <v>46252</v>
      </c>
      <c r="R1792" s="874" t="s">
        <v>9889</v>
      </c>
      <c r="S1792" s="874" t="s">
        <v>70</v>
      </c>
      <c r="T1792" s="874" t="s">
        <v>10395</v>
      </c>
      <c r="U1792" s="874"/>
      <c r="V1792" s="874"/>
      <c r="W1792" s="573"/>
      <c r="X1792" s="605" t="s">
        <v>10396</v>
      </c>
      <c r="Y1792" s="876" t="s">
        <v>5133</v>
      </c>
      <c r="Z1792" s="605">
        <v>0.6301</v>
      </c>
      <c r="AA1792" s="876">
        <f t="shared" ref="AA1792:AA1851" si="733">Z1792*I1792</f>
        <v>3629.376</v>
      </c>
      <c r="AC1792" s="877"/>
      <c r="AD1792" s="610" t="s">
        <v>6063</v>
      </c>
      <c r="AE1792" s="589" t="s">
        <v>82</v>
      </c>
      <c r="AF1792" s="589"/>
      <c r="AG1792" s="589"/>
      <c r="AH1792" s="605"/>
      <c r="AI1792" s="609">
        <v>5760</v>
      </c>
      <c r="AJ1792" s="610">
        <f t="shared" si="728"/>
        <v>0</v>
      </c>
      <c r="AK1792" s="873"/>
      <c r="AL1792" s="589" t="s">
        <v>2368</v>
      </c>
      <c r="AM1792" s="589"/>
      <c r="AN1792" s="589">
        <f t="shared" ref="AN1792:AN1800" si="734">I1792</f>
        <v>5760</v>
      </c>
      <c r="AO1792" s="557"/>
      <c r="AP1792" s="554">
        <f t="shared" ref="AP1792:AP1800" si="735">I1792</f>
        <v>5760</v>
      </c>
      <c r="AQ1792" s="557"/>
      <c r="AR1792" s="878"/>
      <c r="AS1792" s="557"/>
      <c r="AT1792" s="557"/>
      <c r="AU1792" s="554">
        <f t="shared" ref="AU1792:AU1800" si="736">I1792</f>
        <v>5760</v>
      </c>
      <c r="AV1792" s="557"/>
      <c r="AW1792" s="557"/>
      <c r="AX1792" s="879"/>
      <c r="AY1792" s="557"/>
      <c r="AZ1792" s="557"/>
      <c r="BA1792" s="557"/>
      <c r="BB1792" s="620">
        <f t="shared" ref="BB1792:BB1801" si="737">I1792/24</f>
        <v>240</v>
      </c>
      <c r="BC1792" s="557"/>
      <c r="BD1792" s="557"/>
      <c r="BE1792" s="557"/>
      <c r="BF1792" s="880"/>
      <c r="BG1792" s="881"/>
      <c r="BH1792" s="882"/>
      <c r="BI1792" s="557"/>
      <c r="BJ1792" s="557"/>
      <c r="BK1792" s="557"/>
      <c r="BL1792" s="557"/>
      <c r="BM1792" s="557"/>
      <c r="BN1792" s="557"/>
      <c r="BO1792" s="557"/>
      <c r="BP1792" s="557"/>
      <c r="BQ1792" s="554">
        <f t="shared" ref="BQ1792:BQ1800" si="738">I1792/16</f>
        <v>360</v>
      </c>
      <c r="BR1792" s="557"/>
      <c r="BS1792" s="557"/>
      <c r="BT1792" s="557"/>
      <c r="BU1792" s="557"/>
      <c r="BV1792" s="557"/>
      <c r="BW1792" s="557"/>
      <c r="BX1792" s="557"/>
      <c r="BY1792" s="557"/>
      <c r="BZ1792" s="557"/>
      <c r="CA1792" s="883"/>
      <c r="CB1792" s="555"/>
      <c r="CC1792" s="882"/>
      <c r="CD1792" s="557"/>
      <c r="CE1792" s="557"/>
      <c r="CF1792" s="557"/>
      <c r="CG1792" s="880"/>
      <c r="CH1792" s="881"/>
      <c r="CI1792" s="882"/>
      <c r="CJ1792" s="557"/>
      <c r="CK1792" s="557"/>
      <c r="CL1792" s="557"/>
      <c r="CM1792" s="557"/>
      <c r="CN1792" s="557"/>
      <c r="CO1792" s="557"/>
      <c r="CP1792" s="878"/>
      <c r="CQ1792" s="878"/>
      <c r="CR1792" s="557"/>
      <c r="CS1792" s="557"/>
      <c r="CT1792" s="557"/>
      <c r="CU1792" s="554">
        <f t="shared" ref="CU1792:CU1851" si="739">BQ1792+BP1792+BO1792+BN1792+BX1792+BR1792</f>
        <v>360</v>
      </c>
      <c r="CV1792" s="554">
        <f t="shared" ref="CV1792:CV1801" si="740">CK1792+CL1792+CM1792+CN1792+CO1792+CQ1792+CP1792</f>
        <v>0</v>
      </c>
      <c r="CW1792" s="554">
        <f t="shared" ref="CW1792:CW1801" si="741">CI1792+CJ1792</f>
        <v>0</v>
      </c>
      <c r="CX1792" s="878"/>
      <c r="CY1792" s="878"/>
      <c r="CZ1792" s="878"/>
      <c r="DA1792" s="878"/>
      <c r="DB1792" s="878"/>
      <c r="DC1792" s="878"/>
      <c r="DD1792" s="878"/>
      <c r="DE1792" s="878"/>
      <c r="DF1792" s="878"/>
      <c r="DG1792" s="878"/>
      <c r="DH1792" s="878"/>
    </row>
    <row r="1793" s="550" customFormat="1" ht="31" customHeight="1" spans="1:113">
      <c r="A1793" s="867">
        <v>46191</v>
      </c>
      <c r="B1793" s="605" t="s">
        <v>4371</v>
      </c>
      <c r="C1793" s="589" t="s">
        <v>98</v>
      </c>
      <c r="D1793" s="886">
        <v>4500213085</v>
      </c>
      <c r="E1793" s="873">
        <v>1003603147</v>
      </c>
      <c r="F1793" s="557" t="s">
        <v>10397</v>
      </c>
      <c r="G1793" s="589" t="s">
        <v>6063</v>
      </c>
      <c r="H1793" s="589" t="s">
        <v>6064</v>
      </c>
      <c r="I1793" s="868">
        <v>4800</v>
      </c>
      <c r="J1793" s="589">
        <v>0</v>
      </c>
      <c r="K1793" s="869">
        <v>16</v>
      </c>
      <c r="L1793" s="870">
        <f t="shared" si="727"/>
        <v>300</v>
      </c>
      <c r="M1793" s="871">
        <v>46239</v>
      </c>
      <c r="N1793" s="887">
        <v>46234</v>
      </c>
      <c r="O1793" s="873" t="s">
        <v>5130</v>
      </c>
      <c r="P1793" s="589" t="s">
        <v>113</v>
      </c>
      <c r="Q1793" s="874"/>
      <c r="R1793" s="874" t="s">
        <v>9889</v>
      </c>
      <c r="S1793" s="874" t="s">
        <v>70</v>
      </c>
      <c r="T1793" s="874" t="s">
        <v>10395</v>
      </c>
      <c r="U1793" s="874"/>
      <c r="V1793" s="874"/>
      <c r="W1793" s="573"/>
      <c r="X1793" s="605" t="s">
        <v>10396</v>
      </c>
      <c r="Y1793" s="876" t="s">
        <v>5133</v>
      </c>
      <c r="Z1793" s="605">
        <v>0.6334</v>
      </c>
      <c r="AA1793" s="876">
        <f t="shared" si="733"/>
        <v>3040.32</v>
      </c>
      <c r="AC1793" s="877"/>
      <c r="AD1793" s="610" t="s">
        <v>6063</v>
      </c>
      <c r="AE1793" s="589" t="s">
        <v>82</v>
      </c>
      <c r="AF1793" s="589"/>
      <c r="AG1793" s="589"/>
      <c r="AH1793" s="605"/>
      <c r="AI1793" s="609">
        <v>4800</v>
      </c>
      <c r="AJ1793" s="610">
        <f t="shared" si="728"/>
        <v>0</v>
      </c>
      <c r="AK1793" s="873"/>
      <c r="AL1793" s="589" t="s">
        <v>2368</v>
      </c>
      <c r="AM1793" s="589"/>
      <c r="AN1793" s="589">
        <f t="shared" si="734"/>
        <v>4800</v>
      </c>
      <c r="AO1793" s="557"/>
      <c r="AP1793" s="554">
        <f t="shared" si="735"/>
        <v>4800</v>
      </c>
      <c r="AQ1793" s="557"/>
      <c r="AR1793" s="878"/>
      <c r="AS1793" s="557"/>
      <c r="AT1793" s="557"/>
      <c r="AU1793" s="554">
        <f t="shared" si="736"/>
        <v>4800</v>
      </c>
      <c r="AV1793" s="557"/>
      <c r="AW1793" s="557"/>
      <c r="AX1793" s="879"/>
      <c r="AY1793" s="557"/>
      <c r="AZ1793" s="557"/>
      <c r="BA1793" s="557"/>
      <c r="BB1793" s="620">
        <f t="shared" si="737"/>
        <v>200</v>
      </c>
      <c r="BC1793" s="557"/>
      <c r="BD1793" s="557"/>
      <c r="BE1793" s="557"/>
      <c r="BF1793" s="880"/>
      <c r="BG1793" s="881"/>
      <c r="BH1793" s="882"/>
      <c r="BI1793" s="557"/>
      <c r="BJ1793" s="557"/>
      <c r="BK1793" s="557"/>
      <c r="BL1793" s="557"/>
      <c r="BM1793" s="557"/>
      <c r="BN1793" s="557"/>
      <c r="BO1793" s="557"/>
      <c r="BP1793" s="557"/>
      <c r="BQ1793" s="554">
        <f t="shared" si="738"/>
        <v>300</v>
      </c>
      <c r="BR1793" s="557"/>
      <c r="BS1793" s="557"/>
      <c r="BT1793" s="557"/>
      <c r="BU1793" s="557"/>
      <c r="BV1793" s="557"/>
      <c r="BW1793" s="557"/>
      <c r="BX1793" s="557"/>
      <c r="BY1793" s="557"/>
      <c r="BZ1793" s="557"/>
      <c r="CA1793" s="883"/>
      <c r="CB1793" s="555"/>
      <c r="CC1793" s="882"/>
      <c r="CD1793" s="557"/>
      <c r="CE1793" s="557"/>
      <c r="CF1793" s="557"/>
      <c r="CG1793" s="880"/>
      <c r="CH1793" s="881"/>
      <c r="CI1793" s="882"/>
      <c r="CJ1793" s="557"/>
      <c r="CK1793" s="557"/>
      <c r="CL1793" s="557"/>
      <c r="CM1793" s="557"/>
      <c r="CN1793" s="557"/>
      <c r="CO1793" s="557"/>
      <c r="CP1793" s="878"/>
      <c r="CQ1793" s="878"/>
      <c r="CR1793" s="557"/>
      <c r="CS1793" s="557"/>
      <c r="CT1793" s="557"/>
      <c r="CU1793" s="554">
        <f t="shared" si="739"/>
        <v>300</v>
      </c>
      <c r="CV1793" s="554">
        <f t="shared" si="740"/>
        <v>0</v>
      </c>
      <c r="CW1793" s="554">
        <f t="shared" si="741"/>
        <v>0</v>
      </c>
      <c r="CX1793" s="878"/>
      <c r="CY1793" s="878"/>
      <c r="CZ1793" s="878"/>
      <c r="DA1793" s="878"/>
      <c r="DB1793" s="878"/>
      <c r="DC1793" s="878"/>
      <c r="DD1793" s="878"/>
      <c r="DE1793" s="878"/>
      <c r="DF1793" s="878"/>
      <c r="DG1793" s="878"/>
      <c r="DH1793" s="878"/>
    </row>
    <row r="1794" s="550" customFormat="1" ht="31" customHeight="1" spans="1:113">
      <c r="A1794" s="867">
        <v>46191</v>
      </c>
      <c r="B1794" s="605" t="s">
        <v>4371</v>
      </c>
      <c r="C1794" s="589" t="s">
        <v>98</v>
      </c>
      <c r="D1794" s="886">
        <v>4500213085</v>
      </c>
      <c r="E1794" s="873">
        <v>1003603198</v>
      </c>
      <c r="F1794" s="557" t="s">
        <v>10398</v>
      </c>
      <c r="G1794" s="589" t="s">
        <v>6063</v>
      </c>
      <c r="H1794" s="589" t="s">
        <v>6064</v>
      </c>
      <c r="I1794" s="868">
        <v>7680</v>
      </c>
      <c r="J1794" s="589">
        <v>0</v>
      </c>
      <c r="K1794" s="869">
        <v>16</v>
      </c>
      <c r="L1794" s="870">
        <f t="shared" si="727"/>
        <v>480</v>
      </c>
      <c r="M1794" s="871">
        <v>46239</v>
      </c>
      <c r="N1794" s="887">
        <v>46234</v>
      </c>
      <c r="O1794" s="873" t="s">
        <v>5130</v>
      </c>
      <c r="P1794" s="589" t="s">
        <v>113</v>
      </c>
      <c r="Q1794" s="874">
        <v>46253</v>
      </c>
      <c r="R1794" s="874" t="s">
        <v>9889</v>
      </c>
      <c r="S1794" s="874" t="s">
        <v>70</v>
      </c>
      <c r="T1794" s="874" t="s">
        <v>10395</v>
      </c>
      <c r="U1794" s="874"/>
      <c r="V1794" s="874"/>
      <c r="W1794" s="573"/>
      <c r="X1794" s="605" t="s">
        <v>10396</v>
      </c>
      <c r="Y1794" s="876" t="s">
        <v>5133</v>
      </c>
      <c r="Z1794" s="605">
        <v>0.6301</v>
      </c>
      <c r="AA1794" s="876">
        <f t="shared" si="733"/>
        <v>4839.168</v>
      </c>
      <c r="AC1794" s="877"/>
      <c r="AD1794" s="610" t="s">
        <v>6063</v>
      </c>
      <c r="AE1794" s="589" t="s">
        <v>82</v>
      </c>
      <c r="AF1794" s="589"/>
      <c r="AG1794" s="589"/>
      <c r="AH1794" s="605"/>
      <c r="AI1794" s="609">
        <f>1344+6336</f>
        <v>7680</v>
      </c>
      <c r="AJ1794" s="610">
        <f t="shared" si="728"/>
        <v>0</v>
      </c>
      <c r="AK1794" s="873"/>
      <c r="AL1794" s="589" t="s">
        <v>2368</v>
      </c>
      <c r="AM1794" s="589"/>
      <c r="AN1794" s="589">
        <f t="shared" si="734"/>
        <v>7680</v>
      </c>
      <c r="AO1794" s="557"/>
      <c r="AP1794" s="554">
        <f t="shared" si="735"/>
        <v>7680</v>
      </c>
      <c r="AQ1794" s="557"/>
      <c r="AR1794" s="878"/>
      <c r="AS1794" s="557"/>
      <c r="AT1794" s="557"/>
      <c r="AU1794" s="554">
        <f t="shared" si="736"/>
        <v>7680</v>
      </c>
      <c r="AV1794" s="557"/>
      <c r="AW1794" s="557"/>
      <c r="AX1794" s="879"/>
      <c r="AY1794" s="557"/>
      <c r="AZ1794" s="557"/>
      <c r="BA1794" s="557"/>
      <c r="BB1794" s="620">
        <f t="shared" si="737"/>
        <v>320</v>
      </c>
      <c r="BC1794" s="557"/>
      <c r="BD1794" s="557"/>
      <c r="BE1794" s="557"/>
      <c r="BF1794" s="880"/>
      <c r="BG1794" s="881"/>
      <c r="BH1794" s="882"/>
      <c r="BI1794" s="557"/>
      <c r="BJ1794" s="557"/>
      <c r="BK1794" s="557"/>
      <c r="BL1794" s="557"/>
      <c r="BM1794" s="557"/>
      <c r="BN1794" s="557"/>
      <c r="BO1794" s="557"/>
      <c r="BP1794" s="557"/>
      <c r="BQ1794" s="554">
        <f t="shared" si="738"/>
        <v>480</v>
      </c>
      <c r="BR1794" s="557"/>
      <c r="BS1794" s="557"/>
      <c r="BT1794" s="557"/>
      <c r="BU1794" s="557"/>
      <c r="BV1794" s="557"/>
      <c r="BW1794" s="557"/>
      <c r="BX1794" s="557"/>
      <c r="BY1794" s="557"/>
      <c r="BZ1794" s="557"/>
      <c r="CA1794" s="883"/>
      <c r="CB1794" s="555"/>
      <c r="CC1794" s="882"/>
      <c r="CD1794" s="557"/>
      <c r="CE1794" s="557"/>
      <c r="CF1794" s="557"/>
      <c r="CG1794" s="880"/>
      <c r="CH1794" s="881"/>
      <c r="CI1794" s="882"/>
      <c r="CJ1794" s="557"/>
      <c r="CK1794" s="557"/>
      <c r="CL1794" s="557"/>
      <c r="CM1794" s="557"/>
      <c r="CN1794" s="557"/>
      <c r="CO1794" s="557"/>
      <c r="CP1794" s="878"/>
      <c r="CQ1794" s="878"/>
      <c r="CR1794" s="557"/>
      <c r="CS1794" s="557"/>
      <c r="CT1794" s="557"/>
      <c r="CU1794" s="554">
        <f t="shared" si="739"/>
        <v>480</v>
      </c>
      <c r="CV1794" s="554">
        <f t="shared" si="740"/>
        <v>0</v>
      </c>
      <c r="CW1794" s="554">
        <f t="shared" si="741"/>
        <v>0</v>
      </c>
      <c r="CX1794" s="878"/>
      <c r="CY1794" s="878"/>
      <c r="CZ1794" s="878"/>
      <c r="DA1794" s="878"/>
      <c r="DB1794" s="878"/>
      <c r="DC1794" s="878"/>
      <c r="DD1794" s="878"/>
      <c r="DE1794" s="878"/>
      <c r="DF1794" s="878"/>
      <c r="DG1794" s="878"/>
      <c r="DH1794" s="878"/>
    </row>
    <row r="1795" s="550" customFormat="1" ht="31" customHeight="1" spans="1:113">
      <c r="A1795" s="867">
        <v>46191</v>
      </c>
      <c r="B1795" s="605" t="s">
        <v>4371</v>
      </c>
      <c r="C1795" s="589" t="s">
        <v>98</v>
      </c>
      <c r="D1795" s="886">
        <v>4500213085</v>
      </c>
      <c r="E1795" s="873">
        <v>1003603210</v>
      </c>
      <c r="F1795" s="557" t="s">
        <v>10399</v>
      </c>
      <c r="G1795" s="589" t="s">
        <v>6063</v>
      </c>
      <c r="H1795" s="589" t="s">
        <v>6064</v>
      </c>
      <c r="I1795" s="868">
        <v>4800</v>
      </c>
      <c r="J1795" s="589">
        <v>0</v>
      </c>
      <c r="K1795" s="869">
        <v>16</v>
      </c>
      <c r="L1795" s="870">
        <f t="shared" si="727"/>
        <v>300</v>
      </c>
      <c r="M1795" s="871">
        <v>46239</v>
      </c>
      <c r="N1795" s="887">
        <v>46234</v>
      </c>
      <c r="O1795" s="873" t="s">
        <v>5130</v>
      </c>
      <c r="P1795" s="589" t="s">
        <v>113</v>
      </c>
      <c r="Q1795" s="874"/>
      <c r="R1795" s="874" t="s">
        <v>9889</v>
      </c>
      <c r="S1795" s="874" t="s">
        <v>70</v>
      </c>
      <c r="T1795" s="874" t="s">
        <v>10395</v>
      </c>
      <c r="U1795" s="874"/>
      <c r="V1795" s="874"/>
      <c r="W1795" s="573"/>
      <c r="X1795" s="605" t="s">
        <v>10400</v>
      </c>
      <c r="Y1795" s="876" t="s">
        <v>5133</v>
      </c>
      <c r="Z1795" s="605">
        <v>0.6334</v>
      </c>
      <c r="AA1795" s="876">
        <f t="shared" si="733"/>
        <v>3040.32</v>
      </c>
      <c r="AC1795" s="877"/>
      <c r="AD1795" s="610" t="s">
        <v>6063</v>
      </c>
      <c r="AE1795" s="589" t="s">
        <v>82</v>
      </c>
      <c r="AF1795" s="589"/>
      <c r="AG1795" s="589"/>
      <c r="AH1795" s="605"/>
      <c r="AI1795" s="609">
        <v>4800</v>
      </c>
      <c r="AJ1795" s="610">
        <f t="shared" si="728"/>
        <v>0</v>
      </c>
      <c r="AK1795" s="873"/>
      <c r="AL1795" s="589" t="s">
        <v>2368</v>
      </c>
      <c r="AM1795" s="589"/>
      <c r="AN1795" s="589">
        <f t="shared" si="734"/>
        <v>4800</v>
      </c>
      <c r="AO1795" s="557"/>
      <c r="AP1795" s="554">
        <f t="shared" si="735"/>
        <v>4800</v>
      </c>
      <c r="AQ1795" s="557"/>
      <c r="AR1795" s="878"/>
      <c r="AS1795" s="557"/>
      <c r="AT1795" s="557"/>
      <c r="AU1795" s="554">
        <f t="shared" si="736"/>
        <v>4800</v>
      </c>
      <c r="AV1795" s="557"/>
      <c r="AW1795" s="557"/>
      <c r="AX1795" s="879"/>
      <c r="AY1795" s="557"/>
      <c r="AZ1795" s="557"/>
      <c r="BA1795" s="557"/>
      <c r="BB1795" s="620">
        <f t="shared" si="737"/>
        <v>200</v>
      </c>
      <c r="BC1795" s="557"/>
      <c r="BD1795" s="557"/>
      <c r="BE1795" s="557"/>
      <c r="BF1795" s="880"/>
      <c r="BG1795" s="881"/>
      <c r="BH1795" s="882"/>
      <c r="BI1795" s="557"/>
      <c r="BJ1795" s="557"/>
      <c r="BK1795" s="557"/>
      <c r="BL1795" s="557"/>
      <c r="BM1795" s="557"/>
      <c r="BN1795" s="557"/>
      <c r="BO1795" s="557"/>
      <c r="BP1795" s="557"/>
      <c r="BQ1795" s="554">
        <f t="shared" si="738"/>
        <v>300</v>
      </c>
      <c r="BR1795" s="557"/>
      <c r="BS1795" s="557"/>
      <c r="BT1795" s="557"/>
      <c r="BU1795" s="557"/>
      <c r="BV1795" s="557"/>
      <c r="BW1795" s="557"/>
      <c r="BX1795" s="557"/>
      <c r="BY1795" s="557"/>
      <c r="BZ1795" s="557"/>
      <c r="CA1795" s="883"/>
      <c r="CB1795" s="555"/>
      <c r="CC1795" s="882"/>
      <c r="CD1795" s="557"/>
      <c r="CE1795" s="557"/>
      <c r="CF1795" s="557"/>
      <c r="CG1795" s="880"/>
      <c r="CH1795" s="881"/>
      <c r="CI1795" s="882"/>
      <c r="CJ1795" s="557"/>
      <c r="CK1795" s="557"/>
      <c r="CL1795" s="557"/>
      <c r="CM1795" s="557"/>
      <c r="CN1795" s="557"/>
      <c r="CO1795" s="557"/>
      <c r="CP1795" s="878"/>
      <c r="CQ1795" s="878"/>
      <c r="CR1795" s="557"/>
      <c r="CS1795" s="557"/>
      <c r="CT1795" s="557"/>
      <c r="CU1795" s="554">
        <f t="shared" si="739"/>
        <v>300</v>
      </c>
      <c r="CV1795" s="554">
        <f t="shared" si="740"/>
        <v>0</v>
      </c>
      <c r="CW1795" s="554">
        <f t="shared" si="741"/>
        <v>0</v>
      </c>
      <c r="CX1795" s="878"/>
      <c r="CY1795" s="878"/>
      <c r="CZ1795" s="878"/>
      <c r="DA1795" s="878"/>
      <c r="DB1795" s="878"/>
      <c r="DC1795" s="878"/>
      <c r="DD1795" s="878"/>
      <c r="DE1795" s="878"/>
      <c r="DF1795" s="878"/>
      <c r="DG1795" s="878"/>
      <c r="DH1795" s="878"/>
    </row>
    <row r="1796" s="550" customFormat="1" ht="31" customHeight="1" spans="1:113">
      <c r="A1796" s="867">
        <v>46191</v>
      </c>
      <c r="B1796" s="605" t="s">
        <v>4371</v>
      </c>
      <c r="C1796" s="589" t="s">
        <v>98</v>
      </c>
      <c r="D1796" s="886">
        <v>4500213085</v>
      </c>
      <c r="E1796" s="873">
        <v>1003603231</v>
      </c>
      <c r="F1796" s="557" t="s">
        <v>10401</v>
      </c>
      <c r="G1796" s="589" t="s">
        <v>6063</v>
      </c>
      <c r="H1796" s="589" t="s">
        <v>6064</v>
      </c>
      <c r="I1796" s="868">
        <v>1440</v>
      </c>
      <c r="J1796" s="589">
        <v>0</v>
      </c>
      <c r="K1796" s="869">
        <v>16</v>
      </c>
      <c r="L1796" s="870">
        <f t="shared" si="727"/>
        <v>90</v>
      </c>
      <c r="M1796" s="871">
        <v>46239</v>
      </c>
      <c r="N1796" s="887">
        <v>46234</v>
      </c>
      <c r="O1796" s="873" t="s">
        <v>5130</v>
      </c>
      <c r="P1796" s="589" t="s">
        <v>113</v>
      </c>
      <c r="Q1796" s="874"/>
      <c r="R1796" s="874" t="s">
        <v>9889</v>
      </c>
      <c r="S1796" s="874" t="s">
        <v>70</v>
      </c>
      <c r="T1796" s="874" t="s">
        <v>10395</v>
      </c>
      <c r="U1796" s="874"/>
      <c r="V1796" s="874"/>
      <c r="W1796" s="573"/>
      <c r="X1796" s="605" t="s">
        <v>10400</v>
      </c>
      <c r="Y1796" s="876" t="s">
        <v>5133</v>
      </c>
      <c r="Z1796" s="605">
        <v>0.6334</v>
      </c>
      <c r="AA1796" s="876">
        <f t="shared" si="733"/>
        <v>912.096</v>
      </c>
      <c r="AC1796" s="877"/>
      <c r="AD1796" s="610" t="s">
        <v>6063</v>
      </c>
      <c r="AE1796" s="589" t="s">
        <v>82</v>
      </c>
      <c r="AF1796" s="589"/>
      <c r="AG1796" s="589"/>
      <c r="AH1796" s="605"/>
      <c r="AI1796" s="609">
        <v>1440</v>
      </c>
      <c r="AJ1796" s="610">
        <f t="shared" si="728"/>
        <v>0</v>
      </c>
      <c r="AK1796" s="873"/>
      <c r="AL1796" s="589" t="s">
        <v>2368</v>
      </c>
      <c r="AM1796" s="589"/>
      <c r="AN1796" s="589">
        <f t="shared" si="734"/>
        <v>1440</v>
      </c>
      <c r="AO1796" s="557"/>
      <c r="AP1796" s="554">
        <f t="shared" si="735"/>
        <v>1440</v>
      </c>
      <c r="AQ1796" s="557"/>
      <c r="AR1796" s="878"/>
      <c r="AS1796" s="557"/>
      <c r="AT1796" s="557"/>
      <c r="AU1796" s="554">
        <f t="shared" si="736"/>
        <v>1440</v>
      </c>
      <c r="AV1796" s="557"/>
      <c r="AW1796" s="557"/>
      <c r="AX1796" s="879"/>
      <c r="AY1796" s="557"/>
      <c r="AZ1796" s="557"/>
      <c r="BA1796" s="557"/>
      <c r="BB1796" s="620">
        <f t="shared" si="737"/>
        <v>60</v>
      </c>
      <c r="BC1796" s="557"/>
      <c r="BD1796" s="557"/>
      <c r="BE1796" s="557"/>
      <c r="BF1796" s="880"/>
      <c r="BG1796" s="881"/>
      <c r="BH1796" s="882"/>
      <c r="BI1796" s="557"/>
      <c r="BJ1796" s="557"/>
      <c r="BK1796" s="557"/>
      <c r="BL1796" s="557"/>
      <c r="BM1796" s="557"/>
      <c r="BN1796" s="557"/>
      <c r="BO1796" s="557"/>
      <c r="BP1796" s="557"/>
      <c r="BQ1796" s="554">
        <f t="shared" si="738"/>
        <v>90</v>
      </c>
      <c r="BR1796" s="557"/>
      <c r="BS1796" s="557"/>
      <c r="BT1796" s="557"/>
      <c r="BU1796" s="557"/>
      <c r="BV1796" s="557"/>
      <c r="BW1796" s="557"/>
      <c r="BX1796" s="557"/>
      <c r="BY1796" s="557"/>
      <c r="BZ1796" s="557"/>
      <c r="CA1796" s="883"/>
      <c r="CB1796" s="555"/>
      <c r="CC1796" s="882"/>
      <c r="CD1796" s="557"/>
      <c r="CE1796" s="557"/>
      <c r="CF1796" s="557"/>
      <c r="CG1796" s="880"/>
      <c r="CH1796" s="881"/>
      <c r="CI1796" s="882"/>
      <c r="CJ1796" s="557"/>
      <c r="CK1796" s="557"/>
      <c r="CL1796" s="557"/>
      <c r="CM1796" s="557"/>
      <c r="CN1796" s="557"/>
      <c r="CO1796" s="557"/>
      <c r="CP1796" s="878"/>
      <c r="CQ1796" s="878"/>
      <c r="CR1796" s="557"/>
      <c r="CS1796" s="557"/>
      <c r="CT1796" s="557"/>
      <c r="CU1796" s="554">
        <f t="shared" si="739"/>
        <v>90</v>
      </c>
      <c r="CV1796" s="554">
        <f t="shared" si="740"/>
        <v>0</v>
      </c>
      <c r="CW1796" s="554">
        <f t="shared" si="741"/>
        <v>0</v>
      </c>
      <c r="CX1796" s="878"/>
      <c r="CY1796" s="878"/>
      <c r="CZ1796" s="878"/>
      <c r="DA1796" s="878"/>
      <c r="DB1796" s="878"/>
      <c r="DC1796" s="878"/>
      <c r="DD1796" s="878"/>
      <c r="DE1796" s="878"/>
      <c r="DF1796" s="878"/>
      <c r="DG1796" s="878"/>
      <c r="DH1796" s="878"/>
    </row>
    <row r="1797" s="550" customFormat="1" ht="31" customHeight="1" spans="1:113">
      <c r="A1797" s="867">
        <v>46191</v>
      </c>
      <c r="B1797" s="605" t="s">
        <v>4371</v>
      </c>
      <c r="C1797" s="589" t="s">
        <v>98</v>
      </c>
      <c r="D1797" s="886">
        <v>4500213085</v>
      </c>
      <c r="E1797" s="873">
        <v>1003603232</v>
      </c>
      <c r="F1797" s="557" t="s">
        <v>10402</v>
      </c>
      <c r="G1797" s="589" t="s">
        <v>6063</v>
      </c>
      <c r="H1797" s="589" t="s">
        <v>6064</v>
      </c>
      <c r="I1797" s="868">
        <v>7200</v>
      </c>
      <c r="J1797" s="589">
        <v>0</v>
      </c>
      <c r="K1797" s="869">
        <v>16</v>
      </c>
      <c r="L1797" s="870">
        <f t="shared" si="727"/>
        <v>450</v>
      </c>
      <c r="M1797" s="871">
        <v>46239</v>
      </c>
      <c r="N1797" s="887">
        <v>46234</v>
      </c>
      <c r="O1797" s="873" t="s">
        <v>5130</v>
      </c>
      <c r="P1797" s="589" t="s">
        <v>113</v>
      </c>
      <c r="Q1797" s="874">
        <v>46244</v>
      </c>
      <c r="R1797" s="874" t="s">
        <v>9889</v>
      </c>
      <c r="S1797" s="874" t="s">
        <v>70</v>
      </c>
      <c r="T1797" s="874" t="s">
        <v>10395</v>
      </c>
      <c r="U1797" s="874"/>
      <c r="V1797" s="874"/>
      <c r="W1797" s="573"/>
      <c r="X1797" s="605" t="s">
        <v>10400</v>
      </c>
      <c r="Y1797" s="876" t="s">
        <v>5133</v>
      </c>
      <c r="Z1797" s="605">
        <v>0.6301</v>
      </c>
      <c r="AA1797" s="876">
        <f t="shared" si="733"/>
        <v>4536.72</v>
      </c>
      <c r="AC1797" s="877"/>
      <c r="AD1797" s="610" t="s">
        <v>6063</v>
      </c>
      <c r="AE1797" s="589" t="s">
        <v>82</v>
      </c>
      <c r="AF1797" s="589"/>
      <c r="AG1797" s="589"/>
      <c r="AH1797" s="605"/>
      <c r="AI1797" s="609">
        <v>7200</v>
      </c>
      <c r="AJ1797" s="610">
        <f t="shared" si="728"/>
        <v>0</v>
      </c>
      <c r="AK1797" s="873"/>
      <c r="AL1797" s="589" t="s">
        <v>2368</v>
      </c>
      <c r="AM1797" s="589"/>
      <c r="AN1797" s="589">
        <f t="shared" si="734"/>
        <v>7200</v>
      </c>
      <c r="AO1797" s="557"/>
      <c r="AP1797" s="554">
        <f t="shared" si="735"/>
        <v>7200</v>
      </c>
      <c r="AQ1797" s="557"/>
      <c r="AR1797" s="878"/>
      <c r="AS1797" s="557"/>
      <c r="AT1797" s="557"/>
      <c r="AU1797" s="554">
        <f t="shared" si="736"/>
        <v>7200</v>
      </c>
      <c r="AV1797" s="557"/>
      <c r="AW1797" s="557"/>
      <c r="AX1797" s="879"/>
      <c r="AY1797" s="557"/>
      <c r="AZ1797" s="557"/>
      <c r="BA1797" s="557"/>
      <c r="BB1797" s="620">
        <f t="shared" si="737"/>
        <v>300</v>
      </c>
      <c r="BC1797" s="557"/>
      <c r="BD1797" s="557"/>
      <c r="BE1797" s="557"/>
      <c r="BF1797" s="880"/>
      <c r="BG1797" s="881"/>
      <c r="BH1797" s="882"/>
      <c r="BI1797" s="557"/>
      <c r="BJ1797" s="557"/>
      <c r="BK1797" s="557"/>
      <c r="BL1797" s="557"/>
      <c r="BM1797" s="557"/>
      <c r="BN1797" s="557"/>
      <c r="BO1797" s="557"/>
      <c r="BP1797" s="557"/>
      <c r="BQ1797" s="554">
        <f t="shared" si="738"/>
        <v>450</v>
      </c>
      <c r="BR1797" s="557"/>
      <c r="BS1797" s="557"/>
      <c r="BT1797" s="557"/>
      <c r="BU1797" s="557"/>
      <c r="BV1797" s="557"/>
      <c r="BW1797" s="557"/>
      <c r="BX1797" s="557"/>
      <c r="BY1797" s="557"/>
      <c r="BZ1797" s="557"/>
      <c r="CA1797" s="883"/>
      <c r="CB1797" s="555"/>
      <c r="CC1797" s="882"/>
      <c r="CD1797" s="557"/>
      <c r="CE1797" s="557"/>
      <c r="CF1797" s="557"/>
      <c r="CG1797" s="880"/>
      <c r="CH1797" s="881"/>
      <c r="CI1797" s="882"/>
      <c r="CJ1797" s="557"/>
      <c r="CK1797" s="557"/>
      <c r="CL1797" s="557"/>
      <c r="CM1797" s="557"/>
      <c r="CN1797" s="557"/>
      <c r="CO1797" s="557"/>
      <c r="CP1797" s="878"/>
      <c r="CQ1797" s="878"/>
      <c r="CR1797" s="557"/>
      <c r="CS1797" s="557"/>
      <c r="CT1797" s="557"/>
      <c r="CU1797" s="554">
        <f t="shared" si="739"/>
        <v>450</v>
      </c>
      <c r="CV1797" s="554">
        <f t="shared" si="740"/>
        <v>0</v>
      </c>
      <c r="CW1797" s="554">
        <f t="shared" si="741"/>
        <v>0</v>
      </c>
      <c r="CX1797" s="878"/>
      <c r="CY1797" s="878"/>
      <c r="CZ1797" s="878"/>
      <c r="DA1797" s="878"/>
      <c r="DB1797" s="878"/>
      <c r="DC1797" s="878"/>
      <c r="DD1797" s="878"/>
      <c r="DE1797" s="878"/>
      <c r="DF1797" s="878"/>
      <c r="DG1797" s="878"/>
      <c r="DH1797" s="878"/>
    </row>
    <row r="1798" s="550" customFormat="1" ht="31" customHeight="1" spans="1:113">
      <c r="A1798" s="867">
        <v>46191</v>
      </c>
      <c r="B1798" s="605" t="s">
        <v>4371</v>
      </c>
      <c r="C1798" s="589" t="s">
        <v>98</v>
      </c>
      <c r="D1798" s="886">
        <v>4500213085</v>
      </c>
      <c r="E1798" s="589">
        <v>1003608917</v>
      </c>
      <c r="F1798" s="557" t="s">
        <v>10403</v>
      </c>
      <c r="G1798" s="589" t="s">
        <v>6063</v>
      </c>
      <c r="H1798" s="589" t="s">
        <v>6064</v>
      </c>
      <c r="I1798" s="868">
        <v>4320</v>
      </c>
      <c r="J1798" s="589">
        <v>0</v>
      </c>
      <c r="K1798" s="869">
        <v>16</v>
      </c>
      <c r="L1798" s="870">
        <f t="shared" si="727"/>
        <v>270</v>
      </c>
      <c r="M1798" s="871">
        <v>46239</v>
      </c>
      <c r="N1798" s="887">
        <v>46234</v>
      </c>
      <c r="O1798" s="873" t="s">
        <v>5130</v>
      </c>
      <c r="P1798" s="589" t="s">
        <v>113</v>
      </c>
      <c r="Q1798" s="874"/>
      <c r="R1798" s="874" t="s">
        <v>9889</v>
      </c>
      <c r="S1798" s="874" t="s">
        <v>70</v>
      </c>
      <c r="T1798" s="874" t="s">
        <v>10395</v>
      </c>
      <c r="U1798" s="874"/>
      <c r="V1798" s="874"/>
      <c r="W1798" s="573"/>
      <c r="X1798" s="605" t="s">
        <v>10400</v>
      </c>
      <c r="Y1798" s="876" t="s">
        <v>5133</v>
      </c>
      <c r="Z1798" s="605">
        <v>0.6334</v>
      </c>
      <c r="AA1798" s="876">
        <f t="shared" si="733"/>
        <v>2736.288</v>
      </c>
      <c r="AC1798" s="877"/>
      <c r="AD1798" s="610" t="s">
        <v>6063</v>
      </c>
      <c r="AE1798" s="589" t="s">
        <v>82</v>
      </c>
      <c r="AF1798" s="589"/>
      <c r="AG1798" s="589"/>
      <c r="AH1798" s="605"/>
      <c r="AI1798" s="609">
        <v>4320</v>
      </c>
      <c r="AJ1798" s="610">
        <f t="shared" si="728"/>
        <v>0</v>
      </c>
      <c r="AK1798" s="873"/>
      <c r="AL1798" s="589" t="s">
        <v>2368</v>
      </c>
      <c r="AM1798" s="589"/>
      <c r="AN1798" s="589">
        <f t="shared" si="734"/>
        <v>4320</v>
      </c>
      <c r="AO1798" s="557"/>
      <c r="AP1798" s="554">
        <f t="shared" si="735"/>
        <v>4320</v>
      </c>
      <c r="AQ1798" s="557"/>
      <c r="AR1798" s="878"/>
      <c r="AS1798" s="557"/>
      <c r="AT1798" s="557"/>
      <c r="AU1798" s="554">
        <f t="shared" si="736"/>
        <v>4320</v>
      </c>
      <c r="AV1798" s="557"/>
      <c r="AW1798" s="557"/>
      <c r="AX1798" s="879"/>
      <c r="AY1798" s="557"/>
      <c r="AZ1798" s="557"/>
      <c r="BA1798" s="557"/>
      <c r="BB1798" s="620">
        <f t="shared" si="737"/>
        <v>180</v>
      </c>
      <c r="BC1798" s="557"/>
      <c r="BD1798" s="557"/>
      <c r="BE1798" s="557"/>
      <c r="BF1798" s="880"/>
      <c r="BG1798" s="881"/>
      <c r="BH1798" s="882"/>
      <c r="BI1798" s="557"/>
      <c r="BJ1798" s="557"/>
      <c r="BK1798" s="557"/>
      <c r="BL1798" s="557"/>
      <c r="BM1798" s="557"/>
      <c r="BN1798" s="557"/>
      <c r="BO1798" s="557"/>
      <c r="BP1798" s="557"/>
      <c r="BQ1798" s="554">
        <f t="shared" si="738"/>
        <v>270</v>
      </c>
      <c r="BR1798" s="557"/>
      <c r="BS1798" s="557"/>
      <c r="BT1798" s="557"/>
      <c r="BU1798" s="557"/>
      <c r="BV1798" s="557"/>
      <c r="BW1798" s="557"/>
      <c r="BX1798" s="557"/>
      <c r="BY1798" s="557"/>
      <c r="BZ1798" s="557"/>
      <c r="CA1798" s="883"/>
      <c r="CB1798" s="555"/>
      <c r="CC1798" s="882"/>
      <c r="CD1798" s="557"/>
      <c r="CE1798" s="557"/>
      <c r="CF1798" s="557"/>
      <c r="CG1798" s="880"/>
      <c r="CH1798" s="881"/>
      <c r="CI1798" s="882"/>
      <c r="CJ1798" s="557"/>
      <c r="CK1798" s="557"/>
      <c r="CL1798" s="557"/>
      <c r="CM1798" s="557"/>
      <c r="CN1798" s="557"/>
      <c r="CO1798" s="557"/>
      <c r="CP1798" s="878"/>
      <c r="CQ1798" s="878"/>
      <c r="CR1798" s="557"/>
      <c r="CS1798" s="557"/>
      <c r="CT1798" s="557"/>
      <c r="CU1798" s="554">
        <f t="shared" si="739"/>
        <v>270</v>
      </c>
      <c r="CV1798" s="554">
        <f t="shared" si="740"/>
        <v>0</v>
      </c>
      <c r="CW1798" s="554">
        <f t="shared" si="741"/>
        <v>0</v>
      </c>
      <c r="CX1798" s="878"/>
      <c r="CY1798" s="878"/>
      <c r="CZ1798" s="878"/>
      <c r="DA1798" s="878"/>
      <c r="DB1798" s="878"/>
      <c r="DC1798" s="878"/>
      <c r="DD1798" s="878"/>
      <c r="DE1798" s="878"/>
      <c r="DF1798" s="878"/>
      <c r="DG1798" s="878"/>
      <c r="DH1798" s="878"/>
    </row>
    <row r="1799" s="550" customFormat="1" ht="31" customHeight="1" spans="1:113">
      <c r="A1799" s="867">
        <v>46191</v>
      </c>
      <c r="B1799" s="605" t="s">
        <v>4371</v>
      </c>
      <c r="C1799" s="589" t="s">
        <v>98</v>
      </c>
      <c r="D1799" s="886">
        <v>4500213085</v>
      </c>
      <c r="E1799" s="873">
        <v>1003609368</v>
      </c>
      <c r="F1799" s="557" t="s">
        <v>10404</v>
      </c>
      <c r="G1799" s="589" t="s">
        <v>6063</v>
      </c>
      <c r="H1799" s="589" t="s">
        <v>6064</v>
      </c>
      <c r="I1799" s="868">
        <v>8400</v>
      </c>
      <c r="J1799" s="589">
        <v>0</v>
      </c>
      <c r="K1799" s="869">
        <v>16</v>
      </c>
      <c r="L1799" s="870">
        <f t="shared" si="727"/>
        <v>525</v>
      </c>
      <c r="M1799" s="871">
        <v>46239</v>
      </c>
      <c r="N1799" s="887">
        <v>46234</v>
      </c>
      <c r="O1799" s="873" t="s">
        <v>5130</v>
      </c>
      <c r="P1799" s="589" t="s">
        <v>113</v>
      </c>
      <c r="Q1799" s="874"/>
      <c r="R1799" s="874" t="s">
        <v>9889</v>
      </c>
      <c r="S1799" s="874" t="s">
        <v>70</v>
      </c>
      <c r="T1799" s="874" t="s">
        <v>10395</v>
      </c>
      <c r="U1799" s="874"/>
      <c r="V1799" s="874"/>
      <c r="W1799" s="573"/>
      <c r="X1799" s="605" t="s">
        <v>10400</v>
      </c>
      <c r="Y1799" s="876" t="s">
        <v>5133</v>
      </c>
      <c r="Z1799" s="605">
        <v>0.6301</v>
      </c>
      <c r="AA1799" s="876">
        <f t="shared" si="733"/>
        <v>5292.84</v>
      </c>
      <c r="AC1799" s="877"/>
      <c r="AD1799" s="589" t="s">
        <v>6063</v>
      </c>
      <c r="AE1799" s="589" t="s">
        <v>82</v>
      </c>
      <c r="AF1799" s="589"/>
      <c r="AG1799" s="589"/>
      <c r="AH1799" s="605"/>
      <c r="AI1799" s="609">
        <f>8384+16</f>
        <v>8400</v>
      </c>
      <c r="AJ1799" s="589">
        <f t="shared" si="728"/>
        <v>0</v>
      </c>
      <c r="AK1799" s="873"/>
      <c r="AL1799" s="589" t="s">
        <v>2368</v>
      </c>
      <c r="AM1799" s="589"/>
      <c r="AN1799" s="589">
        <f t="shared" si="734"/>
        <v>8400</v>
      </c>
      <c r="AO1799" s="557"/>
      <c r="AP1799" s="557">
        <f t="shared" si="735"/>
        <v>8400</v>
      </c>
      <c r="AQ1799" s="557"/>
      <c r="AR1799" s="878"/>
      <c r="AS1799" s="557"/>
      <c r="AT1799" s="557"/>
      <c r="AU1799" s="557">
        <f t="shared" si="736"/>
        <v>8400</v>
      </c>
      <c r="AV1799" s="557"/>
      <c r="AW1799" s="557"/>
      <c r="AX1799" s="879"/>
      <c r="AY1799" s="557"/>
      <c r="AZ1799" s="557"/>
      <c r="BA1799" s="557"/>
      <c r="BB1799" s="888">
        <f t="shared" si="737"/>
        <v>350</v>
      </c>
      <c r="BC1799" s="557"/>
      <c r="BD1799" s="557"/>
      <c r="BE1799" s="557"/>
      <c r="BF1799" s="880"/>
      <c r="BG1799" s="881"/>
      <c r="BH1799" s="882"/>
      <c r="BI1799" s="557"/>
      <c r="BJ1799" s="557"/>
      <c r="BK1799" s="557"/>
      <c r="BL1799" s="557"/>
      <c r="BM1799" s="557"/>
      <c r="BN1799" s="557"/>
      <c r="BO1799" s="557"/>
      <c r="BP1799" s="557"/>
      <c r="BQ1799" s="557">
        <f t="shared" si="738"/>
        <v>525</v>
      </c>
      <c r="BR1799" s="557"/>
      <c r="BS1799" s="557"/>
      <c r="BT1799" s="557"/>
      <c r="BU1799" s="557"/>
      <c r="BV1799" s="557"/>
      <c r="BW1799" s="557"/>
      <c r="BX1799" s="557"/>
      <c r="BY1799" s="557"/>
      <c r="BZ1799" s="557"/>
      <c r="CA1799" s="883"/>
      <c r="CB1799" s="881"/>
      <c r="CC1799" s="882"/>
      <c r="CD1799" s="557"/>
      <c r="CE1799" s="557"/>
      <c r="CF1799" s="557"/>
      <c r="CG1799" s="880"/>
      <c r="CH1799" s="881"/>
      <c r="CI1799" s="882"/>
      <c r="CJ1799" s="557"/>
      <c r="CK1799" s="557"/>
      <c r="CL1799" s="557"/>
      <c r="CM1799" s="557"/>
      <c r="CN1799" s="557"/>
      <c r="CO1799" s="557"/>
      <c r="CP1799" s="878"/>
      <c r="CQ1799" s="878"/>
      <c r="CR1799" s="557"/>
      <c r="CS1799" s="557"/>
      <c r="CT1799" s="557"/>
      <c r="CU1799" s="557">
        <f t="shared" si="739"/>
        <v>525</v>
      </c>
      <c r="CV1799" s="557">
        <f t="shared" si="740"/>
        <v>0</v>
      </c>
      <c r="CW1799" s="557">
        <f t="shared" si="741"/>
        <v>0</v>
      </c>
      <c r="CX1799" s="878"/>
      <c r="CY1799" s="878"/>
      <c r="CZ1799" s="878"/>
      <c r="DA1799" s="878"/>
      <c r="DB1799" s="878"/>
      <c r="DC1799" s="878"/>
      <c r="DD1799" s="878"/>
      <c r="DE1799" s="878"/>
      <c r="DF1799" s="878"/>
      <c r="DG1799" s="878"/>
      <c r="DH1799" s="878"/>
    </row>
    <row r="1800" s="555" customFormat="1" ht="31" customHeight="1" spans="1:113">
      <c r="A1800" s="889">
        <v>46191</v>
      </c>
      <c r="B1800" s="819" t="s">
        <v>4371</v>
      </c>
      <c r="C1800" s="890" t="s">
        <v>98</v>
      </c>
      <c r="D1800" s="891">
        <v>4500213085</v>
      </c>
      <c r="E1800" s="892">
        <v>1007882560</v>
      </c>
      <c r="F1800" s="555" t="s">
        <v>10405</v>
      </c>
      <c r="G1800" s="890" t="s">
        <v>6063</v>
      </c>
      <c r="H1800" s="890" t="s">
        <v>6064</v>
      </c>
      <c r="I1800" s="893">
        <v>9600</v>
      </c>
      <c r="J1800" s="890">
        <v>0</v>
      </c>
      <c r="K1800" s="890">
        <v>16</v>
      </c>
      <c r="L1800" s="844">
        <f t="shared" si="727"/>
        <v>600</v>
      </c>
      <c r="M1800" s="887">
        <v>46239</v>
      </c>
      <c r="N1800" s="887">
        <v>46234</v>
      </c>
      <c r="O1800" s="873" t="s">
        <v>5130</v>
      </c>
      <c r="P1800" s="589" t="s">
        <v>113</v>
      </c>
      <c r="Q1800" s="862"/>
      <c r="R1800" s="862" t="s">
        <v>9889</v>
      </c>
      <c r="S1800" s="862" t="s">
        <v>70</v>
      </c>
      <c r="T1800" s="874" t="s">
        <v>10395</v>
      </c>
      <c r="U1800" s="862"/>
      <c r="V1800" s="862"/>
      <c r="W1800" s="819"/>
      <c r="X1800" s="819" t="s">
        <v>10406</v>
      </c>
      <c r="Y1800" s="894" t="s">
        <v>5133</v>
      </c>
      <c r="Z1800" s="819">
        <v>0.6301</v>
      </c>
      <c r="AA1800" s="894">
        <f t="shared" si="733"/>
        <v>6048.96</v>
      </c>
      <c r="AB1800" s="819"/>
      <c r="AC1800" s="697"/>
      <c r="AD1800" s="890" t="s">
        <v>6063</v>
      </c>
      <c r="AE1800" s="890" t="s">
        <v>82</v>
      </c>
      <c r="AF1800" s="890"/>
      <c r="AG1800" s="890"/>
      <c r="AH1800" s="601"/>
      <c r="AI1800" s="609">
        <v>9600</v>
      </c>
      <c r="AJ1800" s="890">
        <f t="shared" si="728"/>
        <v>0</v>
      </c>
      <c r="AK1800" s="892"/>
      <c r="AL1800" s="589" t="s">
        <v>2368</v>
      </c>
      <c r="AM1800" s="890"/>
      <c r="AN1800" s="890">
        <f t="shared" si="734"/>
        <v>9600</v>
      </c>
      <c r="AP1800" s="555">
        <f t="shared" si="735"/>
        <v>9600</v>
      </c>
      <c r="AR1800" s="895"/>
      <c r="AS1800" s="555"/>
      <c r="AT1800" s="555"/>
      <c r="AU1800" s="555">
        <f t="shared" si="736"/>
        <v>9600</v>
      </c>
      <c r="AX1800" s="896"/>
      <c r="AY1800" s="555"/>
      <c r="AZ1800" s="555"/>
      <c r="BA1800" s="555"/>
      <c r="BB1800" s="897">
        <f t="shared" si="737"/>
        <v>400</v>
      </c>
      <c r="BQ1800" s="555">
        <f t="shared" si="738"/>
        <v>600</v>
      </c>
      <c r="CA1800" s="895"/>
      <c r="CB1800" s="555"/>
      <c r="CC1800" s="555"/>
      <c r="CD1800" s="555"/>
      <c r="CE1800" s="555"/>
      <c r="CF1800" s="555"/>
      <c r="CG1800" s="555"/>
      <c r="CH1800" s="555"/>
      <c r="CI1800" s="555"/>
      <c r="CJ1800" s="555"/>
      <c r="CK1800" s="555"/>
      <c r="CL1800" s="555"/>
      <c r="CM1800" s="555"/>
      <c r="CN1800" s="555"/>
      <c r="CO1800" s="555"/>
      <c r="CP1800" s="895"/>
      <c r="CQ1800" s="895"/>
      <c r="CR1800" s="555"/>
      <c r="CS1800" s="555"/>
      <c r="CT1800" s="555"/>
      <c r="CU1800" s="555">
        <f t="shared" si="739"/>
        <v>600</v>
      </c>
      <c r="CV1800" s="555">
        <f t="shared" si="740"/>
        <v>0</v>
      </c>
      <c r="CW1800" s="555">
        <f t="shared" si="741"/>
        <v>0</v>
      </c>
      <c r="CX1800" s="895"/>
      <c r="CY1800" s="895"/>
      <c r="CZ1800" s="895"/>
      <c r="DA1800" s="895"/>
      <c r="DB1800" s="895"/>
      <c r="DC1800" s="895"/>
      <c r="DD1800" s="895"/>
      <c r="DE1800" s="895"/>
      <c r="DF1800" s="895"/>
      <c r="DG1800" s="895"/>
      <c r="DH1800" s="895"/>
    </row>
    <row r="1801" s="550" customFormat="1" ht="31" customHeight="1" spans="1:113">
      <c r="A1801" s="867">
        <v>46189</v>
      </c>
      <c r="B1801" s="605" t="s">
        <v>5188</v>
      </c>
      <c r="C1801" s="589" t="s">
        <v>4052</v>
      </c>
      <c r="D1801" s="898">
        <v>4500212465</v>
      </c>
      <c r="E1801" s="899">
        <v>1590590</v>
      </c>
      <c r="F1801" s="557" t="s">
        <v>10407</v>
      </c>
      <c r="G1801" s="589" t="s">
        <v>6047</v>
      </c>
      <c r="H1801" s="589" t="s">
        <v>6069</v>
      </c>
      <c r="I1801" s="868">
        <v>1300</v>
      </c>
      <c r="J1801" s="589">
        <v>0</v>
      </c>
      <c r="K1801" s="869">
        <v>25</v>
      </c>
      <c r="L1801" s="870">
        <f t="shared" si="727"/>
        <v>52</v>
      </c>
      <c r="M1801" s="871">
        <v>46227</v>
      </c>
      <c r="N1801" s="724">
        <v>46230</v>
      </c>
      <c r="O1801" s="873" t="s">
        <v>5191</v>
      </c>
      <c r="P1801" s="613" t="s">
        <v>113</v>
      </c>
      <c r="Q1801" s="874">
        <v>46239</v>
      </c>
      <c r="R1801" s="874">
        <v>46197</v>
      </c>
      <c r="S1801" s="874" t="s">
        <v>70</v>
      </c>
      <c r="T1801" s="874" t="s">
        <v>10408</v>
      </c>
      <c r="U1801" s="874"/>
      <c r="V1801" s="874"/>
      <c r="W1801" s="573"/>
      <c r="X1801" s="605" t="s">
        <v>10409</v>
      </c>
      <c r="Y1801" s="876" t="s">
        <v>445</v>
      </c>
      <c r="Z1801" s="605">
        <v>0.9756</v>
      </c>
      <c r="AA1801" s="876">
        <f t="shared" si="733"/>
        <v>1268.28</v>
      </c>
      <c r="AC1801" s="877"/>
      <c r="AD1801" s="610" t="s">
        <v>6047</v>
      </c>
      <c r="AE1801" s="589" t="s">
        <v>82</v>
      </c>
      <c r="AF1801" s="589"/>
      <c r="AG1801" s="589"/>
      <c r="AH1801" s="605"/>
      <c r="AI1801" s="609">
        <v>1300</v>
      </c>
      <c r="AJ1801" s="610">
        <f t="shared" si="728"/>
        <v>0</v>
      </c>
      <c r="AK1801" s="873"/>
      <c r="AL1801" s="589" t="s">
        <v>2368</v>
      </c>
      <c r="AM1801" s="589"/>
      <c r="AN1801" s="589"/>
      <c r="AO1801" s="557">
        <f>I1801</f>
        <v>1300</v>
      </c>
      <c r="AP1801" s="557"/>
      <c r="AQ1801" s="557"/>
      <c r="AR1801" s="878"/>
      <c r="AS1801" s="557"/>
      <c r="AT1801" s="554">
        <f>I1801</f>
        <v>1300</v>
      </c>
      <c r="AU1801" s="557"/>
      <c r="AV1801" s="554">
        <f>I1801</f>
        <v>1300</v>
      </c>
      <c r="AW1801" s="557"/>
      <c r="AX1801" s="879"/>
      <c r="AY1801" s="557"/>
      <c r="AZ1801" s="557"/>
      <c r="BA1801" s="557"/>
      <c r="BB1801" s="620">
        <f t="shared" si="737"/>
        <v>54.1666666666667</v>
      </c>
      <c r="BC1801" s="557"/>
      <c r="BD1801" s="557"/>
      <c r="BE1801" s="557"/>
      <c r="BF1801" s="880"/>
      <c r="BG1801" s="881"/>
      <c r="BH1801" s="882"/>
      <c r="BI1801" s="557"/>
      <c r="BJ1801" s="557"/>
      <c r="BK1801" s="557"/>
      <c r="BL1801" s="557"/>
      <c r="BM1801" s="557"/>
      <c r="BN1801" s="557"/>
      <c r="BO1801" s="557"/>
      <c r="BP1801" s="554">
        <f>I1801/25</f>
        <v>52</v>
      </c>
      <c r="BQ1801" s="557"/>
      <c r="BR1801" s="557"/>
      <c r="BS1801" s="557"/>
      <c r="BT1801" s="557"/>
      <c r="BU1801" s="557"/>
      <c r="BV1801" s="557"/>
      <c r="BW1801" s="557"/>
      <c r="BX1801" s="557"/>
      <c r="BY1801" s="557"/>
      <c r="BZ1801" s="557"/>
      <c r="CA1801" s="883"/>
      <c r="CB1801" s="555"/>
      <c r="CC1801" s="882"/>
      <c r="CD1801" s="557"/>
      <c r="CE1801" s="557"/>
      <c r="CF1801" s="557"/>
      <c r="CG1801" s="880"/>
      <c r="CH1801" s="881"/>
      <c r="CI1801" s="882"/>
      <c r="CJ1801" s="557"/>
      <c r="CK1801" s="557"/>
      <c r="CL1801" s="557"/>
      <c r="CM1801" s="557"/>
      <c r="CN1801" s="557"/>
      <c r="CO1801" s="557"/>
      <c r="CP1801" s="878"/>
      <c r="CQ1801" s="878"/>
      <c r="CR1801" s="557"/>
      <c r="CS1801" s="557"/>
      <c r="CT1801" s="557"/>
      <c r="CU1801" s="554">
        <f t="shared" si="739"/>
        <v>52</v>
      </c>
      <c r="CV1801" s="554">
        <f t="shared" si="740"/>
        <v>0</v>
      </c>
      <c r="CW1801" s="554">
        <f t="shared" si="741"/>
        <v>0</v>
      </c>
      <c r="CX1801" s="878"/>
      <c r="CY1801" s="878"/>
      <c r="CZ1801" s="878"/>
      <c r="DA1801" s="878"/>
      <c r="DB1801" s="878"/>
      <c r="DC1801" s="878"/>
      <c r="DD1801" s="878"/>
      <c r="DE1801" s="878"/>
      <c r="DF1801" s="878"/>
      <c r="DG1801" s="878"/>
      <c r="DH1801" s="878"/>
    </row>
    <row r="1802" s="554" customFormat="1" ht="31" customHeight="1" spans="1:113">
      <c r="A1802" s="608">
        <v>46148</v>
      </c>
      <c r="B1802" s="609" t="s">
        <v>2594</v>
      </c>
      <c r="C1802" s="610" t="s">
        <v>2595</v>
      </c>
      <c r="D1802" s="866">
        <v>4500204906</v>
      </c>
      <c r="E1802" s="610" t="s">
        <v>3846</v>
      </c>
      <c r="F1802" s="554" t="s">
        <v>5151</v>
      </c>
      <c r="G1802" s="610" t="s">
        <v>9489</v>
      </c>
      <c r="H1802" s="610" t="s">
        <v>4095</v>
      </c>
      <c r="I1802" s="715">
        <v>600</v>
      </c>
      <c r="J1802" s="610">
        <v>0</v>
      </c>
      <c r="K1802" s="610">
        <v>6</v>
      </c>
      <c r="L1802" s="611">
        <f t="shared" si="727"/>
        <v>100</v>
      </c>
      <c r="M1802" s="612">
        <v>46227</v>
      </c>
      <c r="N1802" s="724">
        <v>46230</v>
      </c>
      <c r="O1802" s="613" t="s">
        <v>10410</v>
      </c>
      <c r="P1802" s="613" t="s">
        <v>113</v>
      </c>
      <c r="Q1802" s="614" t="s">
        <v>10411</v>
      </c>
      <c r="R1802" s="614">
        <v>46198</v>
      </c>
      <c r="S1802" s="614" t="s">
        <v>70</v>
      </c>
      <c r="T1802" s="863" t="s">
        <v>10412</v>
      </c>
      <c r="U1802" s="863"/>
      <c r="V1802" s="863" t="s">
        <v>10328</v>
      </c>
      <c r="W1802" s="848" t="s">
        <v>10413</v>
      </c>
      <c r="X1802" s="738" t="s">
        <v>5155</v>
      </c>
      <c r="Y1802" s="616" t="s">
        <v>529</v>
      </c>
      <c r="Z1802" s="609">
        <v>7.3574</v>
      </c>
      <c r="AA1802" s="616">
        <f t="shared" si="733"/>
        <v>4414.44</v>
      </c>
      <c r="AC1802" s="697"/>
      <c r="AD1802" s="900" t="s">
        <v>5156</v>
      </c>
      <c r="AE1802" s="610" t="s">
        <v>82</v>
      </c>
      <c r="AF1802" s="610"/>
      <c r="AG1802" s="610"/>
      <c r="AH1802" s="609"/>
      <c r="AI1802" s="609">
        <v>600</v>
      </c>
      <c r="AJ1802" s="610">
        <f t="shared" si="728"/>
        <v>0</v>
      </c>
      <c r="AK1802" s="613"/>
      <c r="AL1802" s="610" t="s">
        <v>2368</v>
      </c>
      <c r="AM1802" s="610"/>
      <c r="AN1802" s="554"/>
      <c r="AO1802" s="554">
        <f>I1802*2</f>
        <v>1200</v>
      </c>
      <c r="AR1802" s="619"/>
      <c r="AS1802" s="554"/>
      <c r="AT1802" s="554"/>
      <c r="AU1802" s="554"/>
      <c r="AV1802" s="554"/>
      <c r="AW1802" s="554"/>
      <c r="AX1802" s="714"/>
      <c r="AY1802" s="554"/>
      <c r="AZ1802" s="554"/>
      <c r="BA1802" s="554"/>
      <c r="BB1802" s="620">
        <f>I1802/24*2</f>
        <v>50</v>
      </c>
      <c r="BV1802" s="554">
        <f>I1802*2</f>
        <v>1200</v>
      </c>
      <c r="BW1802" s="554">
        <f>I1802*2</f>
        <v>1200</v>
      </c>
      <c r="CA1802" s="720"/>
      <c r="CB1802" s="555"/>
      <c r="CC1802" s="721"/>
      <c r="CD1802" s="619">
        <f>I1802</f>
        <v>600</v>
      </c>
      <c r="CP1802" s="619"/>
      <c r="CQ1802" s="619"/>
      <c r="CR1802" s="554"/>
      <c r="CS1802" s="554"/>
      <c r="CT1802" s="554"/>
      <c r="CU1802" s="554">
        <f t="shared" si="739"/>
        <v>0</v>
      </c>
      <c r="CV1802" s="554">
        <v>0</v>
      </c>
      <c r="CW1802" s="554">
        <v>0</v>
      </c>
      <c r="CX1802" s="619"/>
      <c r="CY1802" s="619"/>
      <c r="CZ1802" s="619"/>
      <c r="DA1802" s="619"/>
      <c r="DB1802" s="619"/>
      <c r="DC1802" s="619"/>
      <c r="DD1802" s="619"/>
      <c r="DE1802" s="619"/>
      <c r="DF1802" s="619"/>
      <c r="DG1802" s="619"/>
      <c r="DH1802" s="619"/>
    </row>
    <row r="1803" s="550" customFormat="1" ht="31" customHeight="1" spans="1:113">
      <c r="A1803" s="608">
        <v>46169</v>
      </c>
      <c r="B1803" s="609" t="s">
        <v>4155</v>
      </c>
      <c r="C1803" s="610" t="s">
        <v>198</v>
      </c>
      <c r="D1803" s="727">
        <v>4500208416</v>
      </c>
      <c r="E1803" s="613">
        <v>4045728997</v>
      </c>
      <c r="F1803" s="554" t="s">
        <v>10414</v>
      </c>
      <c r="G1803" s="610" t="s">
        <v>6093</v>
      </c>
      <c r="H1803" s="610" t="s">
        <v>6094</v>
      </c>
      <c r="I1803" s="715">
        <v>2509</v>
      </c>
      <c r="J1803" s="610">
        <v>0</v>
      </c>
      <c r="K1803" s="610">
        <v>13</v>
      </c>
      <c r="L1803" s="611">
        <f t="shared" si="727"/>
        <v>193</v>
      </c>
      <c r="M1803" s="612">
        <v>46230</v>
      </c>
      <c r="N1803" s="612">
        <v>46226</v>
      </c>
      <c r="O1803" s="613"/>
      <c r="P1803" s="610" t="s">
        <v>113</v>
      </c>
      <c r="Q1803" s="614">
        <v>46237</v>
      </c>
      <c r="R1803" s="614">
        <v>46184</v>
      </c>
      <c r="S1803" s="614" t="s">
        <v>70</v>
      </c>
      <c r="T1803" s="614" t="s">
        <v>10415</v>
      </c>
      <c r="U1803" s="863"/>
      <c r="V1803" s="863" t="s">
        <v>5118</v>
      </c>
      <c r="W1803" s="573"/>
      <c r="X1803" s="609" t="s">
        <v>10416</v>
      </c>
      <c r="Y1803" s="616" t="s">
        <v>244</v>
      </c>
      <c r="Z1803" s="609">
        <v>0.9448</v>
      </c>
      <c r="AA1803" s="616">
        <f t="shared" si="733"/>
        <v>2370.5032</v>
      </c>
      <c r="AC1803" s="697"/>
      <c r="AD1803" s="610" t="s">
        <v>6093</v>
      </c>
      <c r="AE1803" s="610" t="s">
        <v>82</v>
      </c>
      <c r="AF1803" s="610"/>
      <c r="AG1803" s="610"/>
      <c r="AH1803" s="609"/>
      <c r="AI1803" s="609">
        <v>2509</v>
      </c>
      <c r="AJ1803" s="610">
        <f t="shared" si="728"/>
        <v>0</v>
      </c>
      <c r="AK1803" s="613"/>
      <c r="AL1803" s="610" t="s">
        <v>2368</v>
      </c>
      <c r="AM1803" s="610"/>
      <c r="AN1803" s="554"/>
      <c r="AO1803" s="554">
        <f>I1803</f>
        <v>2509</v>
      </c>
      <c r="AP1803" s="554"/>
      <c r="AQ1803" s="554"/>
      <c r="AR1803" s="619"/>
      <c r="AS1803" s="554"/>
      <c r="AT1803" s="554">
        <f>I1803</f>
        <v>2509</v>
      </c>
      <c r="AU1803" s="554"/>
      <c r="AV1803" s="554">
        <f>I1803</f>
        <v>2509</v>
      </c>
      <c r="AW1803" s="554"/>
      <c r="AX1803" s="714"/>
      <c r="AY1803" s="554"/>
      <c r="AZ1803" s="554"/>
      <c r="BA1803" s="554"/>
      <c r="BB1803" s="620">
        <f>I1803/24</f>
        <v>104.541666666667</v>
      </c>
      <c r="BC1803" s="554"/>
      <c r="BD1803" s="554"/>
      <c r="BE1803" s="554"/>
      <c r="BF1803" s="554"/>
      <c r="BG1803" s="550"/>
      <c r="BH1803" s="554"/>
      <c r="BI1803" s="554"/>
      <c r="BJ1803" s="554"/>
      <c r="BK1803" s="554"/>
      <c r="BL1803" s="554"/>
      <c r="BM1803" s="554">
        <f>I1803/13</f>
        <v>193</v>
      </c>
      <c r="BN1803" s="554"/>
      <c r="BO1803" s="554"/>
      <c r="BP1803" s="554"/>
      <c r="BQ1803" s="554"/>
      <c r="BR1803" s="554"/>
      <c r="BS1803" s="554"/>
      <c r="BT1803" s="554"/>
      <c r="BU1803" s="554"/>
      <c r="BV1803" s="554"/>
      <c r="BW1803" s="554"/>
      <c r="BX1803" s="554"/>
      <c r="BY1803" s="554"/>
      <c r="BZ1803" s="554"/>
      <c r="CA1803" s="720"/>
      <c r="CB1803" s="555"/>
      <c r="CC1803" s="721"/>
      <c r="CD1803" s="554"/>
      <c r="CE1803" s="554"/>
      <c r="CF1803" s="554"/>
      <c r="CG1803" s="554"/>
      <c r="CH1803" s="550"/>
      <c r="CI1803" s="554"/>
      <c r="CJ1803" s="554"/>
      <c r="CK1803" s="554"/>
      <c r="CL1803" s="554"/>
      <c r="CM1803" s="554"/>
      <c r="CN1803" s="554"/>
      <c r="CO1803" s="554"/>
      <c r="CP1803" s="619"/>
      <c r="CQ1803" s="619"/>
      <c r="CR1803" s="554"/>
      <c r="CS1803" s="554"/>
      <c r="CT1803" s="554"/>
      <c r="CU1803" s="554">
        <f t="shared" si="739"/>
        <v>0</v>
      </c>
      <c r="CV1803" s="554">
        <f>CK1803+CL1803+CM1803+CN1803+CO1803+CQ1803+CP1803</f>
        <v>0</v>
      </c>
      <c r="CW1803" s="554">
        <f>CI1803+CJ1803</f>
        <v>0</v>
      </c>
      <c r="CX1803" s="619"/>
      <c r="CY1803" s="619"/>
      <c r="CZ1803" s="619"/>
      <c r="DA1803" s="619"/>
      <c r="DB1803" s="619"/>
      <c r="DC1803" s="619"/>
      <c r="DD1803" s="619"/>
      <c r="DE1803" s="619"/>
      <c r="DF1803" s="619"/>
      <c r="DG1803" s="619"/>
      <c r="DH1803" s="619"/>
      <c r="DI1803" s="554"/>
    </row>
    <row r="1804" s="550" customFormat="1" ht="31" customHeight="1" spans="1:113">
      <c r="A1804" s="608">
        <v>46157</v>
      </c>
      <c r="B1804" s="609" t="s">
        <v>5170</v>
      </c>
      <c r="C1804" s="610" t="s">
        <v>98</v>
      </c>
      <c r="D1804" s="727">
        <v>4500205816</v>
      </c>
      <c r="E1804" s="613">
        <v>84006913</v>
      </c>
      <c r="F1804" s="554" t="s">
        <v>5173</v>
      </c>
      <c r="G1804" s="610" t="s">
        <v>8520</v>
      </c>
      <c r="H1804" s="610" t="s">
        <v>8521</v>
      </c>
      <c r="I1804" s="715">
        <v>800</v>
      </c>
      <c r="J1804" s="610">
        <v>0</v>
      </c>
      <c r="K1804" s="610">
        <v>8</v>
      </c>
      <c r="L1804" s="611">
        <f t="shared" si="727"/>
        <v>100</v>
      </c>
      <c r="M1804" s="612">
        <v>46230</v>
      </c>
      <c r="N1804" s="612">
        <v>46226</v>
      </c>
      <c r="O1804" s="613"/>
      <c r="P1804" s="610" t="s">
        <v>113</v>
      </c>
      <c r="Q1804" s="614">
        <v>46233</v>
      </c>
      <c r="R1804" s="614">
        <v>46189</v>
      </c>
      <c r="S1804" s="614" t="s">
        <v>104</v>
      </c>
      <c r="T1804" s="614" t="s">
        <v>5174</v>
      </c>
      <c r="U1804" s="614"/>
      <c r="V1804" s="614"/>
      <c r="W1804" s="573"/>
      <c r="X1804" s="609" t="s">
        <v>5175</v>
      </c>
      <c r="Y1804" s="616" t="s">
        <v>4914</v>
      </c>
      <c r="Z1804" s="609">
        <v>4.3989</v>
      </c>
      <c r="AA1804" s="616">
        <f t="shared" si="733"/>
        <v>3519.12</v>
      </c>
      <c r="AC1804" s="678" t="s">
        <v>5176</v>
      </c>
      <c r="AD1804" s="610" t="s">
        <v>2741</v>
      </c>
      <c r="AE1804" s="610" t="s">
        <v>82</v>
      </c>
      <c r="AF1804" s="610"/>
      <c r="AG1804" s="610"/>
      <c r="AH1804" s="609"/>
      <c r="AI1804" s="609">
        <v>800</v>
      </c>
      <c r="AJ1804" s="610">
        <f t="shared" si="728"/>
        <v>0</v>
      </c>
      <c r="AK1804" s="613"/>
      <c r="AL1804" s="610" t="s">
        <v>5055</v>
      </c>
      <c r="AM1804" s="610"/>
      <c r="AN1804" s="610">
        <f>I1804*2</f>
        <v>1600</v>
      </c>
      <c r="AO1804" s="554"/>
      <c r="AP1804" s="554">
        <f>I1804*2</f>
        <v>1600</v>
      </c>
      <c r="AQ1804" s="554"/>
      <c r="AR1804" s="619"/>
      <c r="AS1804" s="554"/>
      <c r="AT1804" s="554"/>
      <c r="AU1804" s="554">
        <f>I1804*2</f>
        <v>1600</v>
      </c>
      <c r="AV1804" s="554"/>
      <c r="AW1804" s="554"/>
      <c r="AX1804" s="714"/>
      <c r="AY1804" s="554"/>
      <c r="AZ1804" s="554"/>
      <c r="BA1804" s="554"/>
      <c r="BB1804" s="620">
        <f>I1804/24*2</f>
        <v>66.6666666666667</v>
      </c>
      <c r="BC1804" s="554"/>
      <c r="BD1804" s="554"/>
      <c r="BE1804" s="554"/>
      <c r="BF1804" s="554"/>
      <c r="BG1804" s="550"/>
      <c r="BH1804" s="554"/>
      <c r="BI1804" s="554"/>
      <c r="BJ1804" s="554"/>
      <c r="BK1804" s="554"/>
      <c r="BL1804" s="554"/>
      <c r="BM1804" s="554"/>
      <c r="BN1804" s="554"/>
      <c r="BO1804" s="554"/>
      <c r="BP1804" s="554"/>
      <c r="BQ1804" s="554"/>
      <c r="BR1804" s="554"/>
      <c r="BS1804" s="554"/>
      <c r="BT1804" s="554"/>
      <c r="BU1804" s="554"/>
      <c r="BV1804" s="554"/>
      <c r="BW1804" s="554"/>
      <c r="BX1804" s="554"/>
      <c r="BY1804" s="729">
        <f>I1804</f>
        <v>800</v>
      </c>
      <c r="BZ1804" s="554"/>
      <c r="CA1804" s="621"/>
      <c r="CB1804" s="555"/>
      <c r="CC1804" s="622"/>
      <c r="CD1804" s="619"/>
      <c r="CE1804" s="619"/>
      <c r="CF1804" s="554"/>
      <c r="CG1804" s="554"/>
      <c r="CH1804" s="550"/>
      <c r="CI1804" s="554"/>
      <c r="CJ1804" s="554"/>
      <c r="CK1804" s="554"/>
      <c r="CL1804" s="554"/>
      <c r="CM1804" s="554"/>
      <c r="CN1804" s="554"/>
      <c r="CO1804" s="554"/>
      <c r="CP1804" s="619"/>
      <c r="CQ1804" s="619"/>
      <c r="CR1804" s="554"/>
      <c r="CS1804" s="554"/>
      <c r="CT1804" s="554"/>
      <c r="CU1804" s="554">
        <f t="shared" si="739"/>
        <v>0</v>
      </c>
      <c r="CV1804" s="554">
        <f>CK1804+CL1804+CM1804+CN1804+CO1804+CQ1804+CP1804</f>
        <v>0</v>
      </c>
      <c r="CW1804" s="554">
        <f>CI1804+CJ1804</f>
        <v>0</v>
      </c>
      <c r="CX1804" s="619"/>
      <c r="CY1804" s="619"/>
      <c r="CZ1804" s="619"/>
      <c r="DA1804" s="619"/>
      <c r="DB1804" s="619"/>
      <c r="DC1804" s="619"/>
      <c r="DD1804" s="619"/>
      <c r="DE1804" s="619"/>
      <c r="DF1804" s="619"/>
      <c r="DG1804" s="619"/>
      <c r="DH1804" s="619"/>
      <c r="DI1804" s="554"/>
    </row>
    <row r="1805" s="554" customFormat="1" ht="31" customHeight="1" spans="1:113">
      <c r="A1805" s="608">
        <v>46156</v>
      </c>
      <c r="B1805" s="609" t="s">
        <v>442</v>
      </c>
      <c r="C1805" s="610" t="s">
        <v>411</v>
      </c>
      <c r="D1805" s="727">
        <v>4500207257</v>
      </c>
      <c r="E1805" s="610" t="s">
        <v>3846</v>
      </c>
      <c r="F1805" s="554" t="s">
        <v>10417</v>
      </c>
      <c r="G1805" s="610" t="s">
        <v>6043</v>
      </c>
      <c r="H1805" s="610" t="s">
        <v>6110</v>
      </c>
      <c r="I1805" s="715">
        <v>2500</v>
      </c>
      <c r="J1805" s="610">
        <v>0</v>
      </c>
      <c r="K1805" s="610">
        <v>50</v>
      </c>
      <c r="L1805" s="611">
        <f t="shared" si="727"/>
        <v>50</v>
      </c>
      <c r="M1805" s="612">
        <v>46230</v>
      </c>
      <c r="N1805" s="612">
        <v>46226</v>
      </c>
      <c r="O1805" s="613"/>
      <c r="P1805" s="610" t="s">
        <v>113</v>
      </c>
      <c r="Q1805" s="614">
        <v>46237</v>
      </c>
      <c r="R1805" s="614">
        <v>46197</v>
      </c>
      <c r="S1805" s="614" t="s">
        <v>70</v>
      </c>
      <c r="T1805" s="614" t="s">
        <v>10418</v>
      </c>
      <c r="U1805" s="614"/>
      <c r="V1805" s="614"/>
      <c r="W1805" s="609"/>
      <c r="X1805" s="609" t="s">
        <v>10419</v>
      </c>
      <c r="Y1805" s="616" t="s">
        <v>305</v>
      </c>
      <c r="Z1805" s="609">
        <v>0.9749</v>
      </c>
      <c r="AA1805" s="616">
        <f t="shared" si="733"/>
        <v>2437.25</v>
      </c>
      <c r="AC1805" s="697"/>
      <c r="AD1805" s="609" t="s">
        <v>6043</v>
      </c>
      <c r="AE1805" s="610" t="s">
        <v>82</v>
      </c>
      <c r="AF1805" s="610"/>
      <c r="AG1805" s="610"/>
      <c r="AH1805" s="609"/>
      <c r="AI1805" s="609">
        <v>2500</v>
      </c>
      <c r="AJ1805" s="610">
        <f t="shared" si="728"/>
        <v>0</v>
      </c>
      <c r="AK1805" s="613"/>
      <c r="AL1805" s="610" t="s">
        <v>2368</v>
      </c>
      <c r="AM1805" s="610"/>
      <c r="AN1805" s="554"/>
      <c r="AO1805" s="554">
        <f>I1805</f>
        <v>2500</v>
      </c>
      <c r="AR1805" s="619"/>
      <c r="AS1805" s="554"/>
      <c r="AT1805" s="554">
        <f>I1805</f>
        <v>2500</v>
      </c>
      <c r="AV1805" s="554">
        <f>I1805</f>
        <v>2500</v>
      </c>
      <c r="AX1805" s="714"/>
      <c r="AY1805" s="554"/>
      <c r="AZ1805" s="554"/>
      <c r="BA1805" s="554"/>
      <c r="BB1805" s="620">
        <f>I1805/24</f>
        <v>104.166666666667</v>
      </c>
      <c r="BP1805" s="554">
        <f>I1805/25</f>
        <v>100</v>
      </c>
      <c r="CA1805" s="720"/>
      <c r="CB1805" s="555"/>
      <c r="CC1805" s="721"/>
      <c r="CD1805" s="554"/>
      <c r="CE1805" s="554"/>
      <c r="CF1805" s="554"/>
      <c r="CG1805" s="554"/>
      <c r="CP1805" s="619"/>
      <c r="CQ1805" s="619"/>
      <c r="CR1805" s="554"/>
      <c r="CS1805" s="554"/>
      <c r="CT1805" s="554"/>
      <c r="CU1805" s="554">
        <f t="shared" si="739"/>
        <v>100</v>
      </c>
      <c r="CV1805" s="554">
        <f>CK1805+CL1805+CM1805+CN1805+CO1805+CQ1805+CP1805</f>
        <v>0</v>
      </c>
      <c r="CW1805" s="554">
        <f>CI1805+CJ1805</f>
        <v>0</v>
      </c>
      <c r="CX1805" s="619"/>
      <c r="CY1805" s="619"/>
      <c r="CZ1805" s="619"/>
      <c r="DA1805" s="619"/>
      <c r="DB1805" s="619"/>
      <c r="DC1805" s="619"/>
      <c r="DD1805" s="619"/>
      <c r="DE1805" s="619"/>
      <c r="DF1805" s="619"/>
      <c r="DG1805" s="619"/>
      <c r="DH1805" s="619"/>
    </row>
    <row r="1806" s="550" customFormat="1" ht="31" customHeight="1" spans="1:113">
      <c r="A1806" s="867">
        <v>46188</v>
      </c>
      <c r="B1806" s="605" t="s">
        <v>4035</v>
      </c>
      <c r="C1806" s="589" t="s">
        <v>241</v>
      </c>
      <c r="D1806" s="557">
        <v>4500211180</v>
      </c>
      <c r="E1806" s="589">
        <v>20181</v>
      </c>
      <c r="F1806" s="557" t="s">
        <v>10420</v>
      </c>
      <c r="G1806" s="589" t="s">
        <v>6047</v>
      </c>
      <c r="H1806" s="589" t="s">
        <v>6069</v>
      </c>
      <c r="I1806" s="868">
        <v>1000</v>
      </c>
      <c r="J1806" s="589">
        <v>0</v>
      </c>
      <c r="K1806" s="589">
        <v>25</v>
      </c>
      <c r="L1806" s="901">
        <f t="shared" si="727"/>
        <v>40</v>
      </c>
      <c r="M1806" s="872">
        <v>46231</v>
      </c>
      <c r="N1806" s="872">
        <v>46227</v>
      </c>
      <c r="O1806" s="873"/>
      <c r="P1806" s="589" t="s">
        <v>113</v>
      </c>
      <c r="Q1806" s="874">
        <v>46238</v>
      </c>
      <c r="R1806" s="874">
        <v>46188</v>
      </c>
      <c r="S1806" s="874" t="s">
        <v>70</v>
      </c>
      <c r="T1806" s="874" t="s">
        <v>10421</v>
      </c>
      <c r="U1806" s="902"/>
      <c r="V1806" s="902"/>
      <c r="W1806" s="903"/>
      <c r="X1806" s="904" t="s">
        <v>10422</v>
      </c>
      <c r="Y1806" s="876" t="s">
        <v>299</v>
      </c>
      <c r="Z1806" s="605">
        <v>0.9756</v>
      </c>
      <c r="AA1806" s="876">
        <f t="shared" si="733"/>
        <v>975.6</v>
      </c>
      <c r="AC1806" s="877"/>
      <c r="AD1806" s="610" t="s">
        <v>6047</v>
      </c>
      <c r="AE1806" s="589" t="s">
        <v>82</v>
      </c>
      <c r="AF1806" s="589"/>
      <c r="AG1806" s="589"/>
      <c r="AH1806" s="605"/>
      <c r="AI1806" s="609">
        <v>1000</v>
      </c>
      <c r="AJ1806" s="610">
        <f t="shared" si="728"/>
        <v>0</v>
      </c>
      <c r="AK1806" s="873"/>
      <c r="AL1806" s="589" t="s">
        <v>2368</v>
      </c>
      <c r="AM1806" s="589"/>
      <c r="AN1806" s="557"/>
      <c r="AO1806" s="557">
        <f>I1806</f>
        <v>1000</v>
      </c>
      <c r="AP1806" s="557"/>
      <c r="AQ1806" s="557"/>
      <c r="AR1806" s="557"/>
      <c r="AS1806" s="557"/>
      <c r="AT1806" s="554">
        <f>I1806</f>
        <v>1000</v>
      </c>
      <c r="AU1806" s="557"/>
      <c r="AV1806" s="554">
        <f>I1806</f>
        <v>1000</v>
      </c>
      <c r="AW1806" s="557"/>
      <c r="AX1806" s="879"/>
      <c r="AY1806" s="557"/>
      <c r="AZ1806" s="557"/>
      <c r="BA1806" s="557"/>
      <c r="BB1806" s="620">
        <f>I1806/24</f>
        <v>41.6666666666667</v>
      </c>
      <c r="BC1806" s="557"/>
      <c r="BD1806" s="557"/>
      <c r="BE1806" s="557"/>
      <c r="BF1806" s="557"/>
      <c r="BG1806" s="550"/>
      <c r="BH1806" s="557"/>
      <c r="BI1806" s="557"/>
      <c r="BJ1806" s="557"/>
      <c r="BK1806" s="557"/>
      <c r="BL1806" s="557"/>
      <c r="BM1806" s="557"/>
      <c r="BN1806" s="557"/>
      <c r="BO1806" s="557"/>
      <c r="BP1806" s="554">
        <f>I1806/25</f>
        <v>40</v>
      </c>
      <c r="BQ1806" s="557"/>
      <c r="BR1806" s="557"/>
      <c r="BS1806" s="557"/>
      <c r="BT1806" s="557"/>
      <c r="BU1806" s="557"/>
      <c r="BV1806" s="557"/>
      <c r="BW1806" s="557"/>
      <c r="BX1806" s="557"/>
      <c r="BY1806" s="557"/>
      <c r="BZ1806" s="557"/>
      <c r="CA1806" s="880"/>
      <c r="CB1806" s="555"/>
      <c r="CC1806" s="882"/>
      <c r="CD1806" s="557"/>
      <c r="CE1806" s="557"/>
      <c r="CF1806" s="557"/>
      <c r="CG1806" s="557"/>
      <c r="CH1806" s="550"/>
      <c r="CI1806" s="557"/>
      <c r="CJ1806" s="557"/>
      <c r="CK1806" s="557"/>
      <c r="CL1806" s="557"/>
      <c r="CM1806" s="557"/>
      <c r="CN1806" s="557"/>
      <c r="CO1806" s="557"/>
      <c r="CP1806" s="878"/>
      <c r="CQ1806" s="878"/>
      <c r="CR1806" s="878"/>
      <c r="CS1806" s="878"/>
      <c r="CT1806" s="878"/>
      <c r="CU1806" s="554">
        <f t="shared" si="739"/>
        <v>40</v>
      </c>
      <c r="CV1806" s="554">
        <f>CK1806+CL1806+CM1806+CN1806+CO1806+CQ1806+CP1806</f>
        <v>0</v>
      </c>
      <c r="CW1806" s="554">
        <f>CI1806+CJ1806</f>
        <v>0</v>
      </c>
      <c r="CX1806" s="878"/>
      <c r="CY1806" s="878"/>
      <c r="CZ1806" s="878"/>
      <c r="DA1806" s="878"/>
      <c r="DB1806" s="878"/>
      <c r="DC1806" s="878"/>
      <c r="DD1806" s="878"/>
      <c r="DE1806" s="878"/>
      <c r="DF1806" s="878"/>
      <c r="DG1806" s="878"/>
      <c r="DH1806" s="878"/>
    </row>
    <row r="1807" s="555" customFormat="1" ht="31" customHeight="1" spans="1:113">
      <c r="A1807" s="889">
        <v>46188</v>
      </c>
      <c r="B1807" s="819" t="s">
        <v>3340</v>
      </c>
      <c r="C1807" s="890" t="s">
        <v>98</v>
      </c>
      <c r="D1807" s="905">
        <v>4500212370</v>
      </c>
      <c r="E1807" s="892">
        <v>115818</v>
      </c>
      <c r="F1807" s="555" t="s">
        <v>10423</v>
      </c>
      <c r="G1807" s="890" t="s">
        <v>6787</v>
      </c>
      <c r="H1807" s="610" t="s">
        <v>6126</v>
      </c>
      <c r="I1807" s="893">
        <v>6000</v>
      </c>
      <c r="J1807" s="890">
        <v>0</v>
      </c>
      <c r="K1807" s="890">
        <v>12</v>
      </c>
      <c r="L1807" s="844">
        <f t="shared" si="727"/>
        <v>500</v>
      </c>
      <c r="M1807" s="887">
        <v>46232</v>
      </c>
      <c r="N1807" s="724">
        <v>46230</v>
      </c>
      <c r="O1807" s="892"/>
      <c r="P1807" s="613" t="s">
        <v>113</v>
      </c>
      <c r="Q1807" s="862">
        <v>46234</v>
      </c>
      <c r="R1807" s="862">
        <v>46199</v>
      </c>
      <c r="S1807" s="862" t="s">
        <v>70</v>
      </c>
      <c r="T1807" s="862" t="s">
        <v>10424</v>
      </c>
      <c r="U1807" s="862"/>
      <c r="V1807" s="862"/>
      <c r="W1807" s="819"/>
      <c r="X1807" s="819" t="s">
        <v>10425</v>
      </c>
      <c r="Y1807" s="894" t="s">
        <v>3864</v>
      </c>
      <c r="Z1807" s="819">
        <v>1.3418</v>
      </c>
      <c r="AA1807" s="894">
        <f t="shared" si="733"/>
        <v>8050.8</v>
      </c>
      <c r="AC1807" s="861" t="s">
        <v>10426</v>
      </c>
      <c r="AD1807" s="819" t="s">
        <v>8079</v>
      </c>
      <c r="AE1807" s="890" t="s">
        <v>82</v>
      </c>
      <c r="AF1807" s="890"/>
      <c r="AG1807" s="890"/>
      <c r="AH1807" s="819"/>
      <c r="AI1807" s="609">
        <v>6000</v>
      </c>
      <c r="AJ1807" s="890">
        <f t="shared" si="728"/>
        <v>0</v>
      </c>
      <c r="AK1807" s="892"/>
      <c r="AL1807" s="890" t="s">
        <v>2368</v>
      </c>
      <c r="AM1807" s="890"/>
      <c r="AN1807" s="890">
        <f>I1807*2</f>
        <v>12000</v>
      </c>
      <c r="AQ1807" s="555">
        <f>I1807*2</f>
        <v>12000</v>
      </c>
      <c r="AR1807" s="895"/>
      <c r="AS1807" s="555"/>
      <c r="AT1807" s="555"/>
      <c r="AU1807" s="555">
        <f>I1807*2</f>
        <v>12000</v>
      </c>
      <c r="AX1807" s="896"/>
      <c r="AY1807" s="555"/>
      <c r="AZ1807" s="555"/>
      <c r="BA1807" s="555"/>
      <c r="BB1807" s="897">
        <f>I1807/24*2</f>
        <v>500</v>
      </c>
      <c r="CA1807" s="906"/>
      <c r="CC1807" s="907"/>
      <c r="CD1807" s="555"/>
      <c r="CE1807" s="555"/>
      <c r="CF1807" s="555"/>
      <c r="CG1807" s="555"/>
      <c r="CH1807" s="555"/>
      <c r="CI1807" s="555"/>
      <c r="CJ1807" s="555"/>
      <c r="CK1807" s="555"/>
      <c r="CL1807" s="555"/>
      <c r="CM1807" s="555"/>
      <c r="CN1807" s="555"/>
      <c r="CO1807" s="555"/>
      <c r="CP1807" s="895"/>
      <c r="CQ1807" s="895"/>
      <c r="CR1807" s="555">
        <f>I1807</f>
        <v>6000</v>
      </c>
      <c r="CS1807" s="555">
        <f>I1807</f>
        <v>6000</v>
      </c>
      <c r="CT1807" s="555">
        <f>I1807</f>
        <v>6000</v>
      </c>
      <c r="CU1807" s="555">
        <f t="shared" si="739"/>
        <v>0</v>
      </c>
      <c r="CV1807" s="555">
        <v>0</v>
      </c>
      <c r="CW1807" s="555">
        <v>0</v>
      </c>
      <c r="CX1807" s="895"/>
      <c r="CY1807" s="895"/>
      <c r="CZ1807" s="895"/>
      <c r="DA1807" s="895"/>
      <c r="DB1807" s="895"/>
      <c r="DC1807" s="895"/>
      <c r="DD1807" s="895"/>
      <c r="DE1807" s="895"/>
      <c r="DF1807" s="895"/>
      <c r="DG1807" s="895"/>
      <c r="DH1807" s="895"/>
    </row>
    <row r="1808" s="555" customFormat="1" ht="31" customHeight="1" spans="1:113">
      <c r="A1808" s="889">
        <v>46188</v>
      </c>
      <c r="B1808" s="819" t="s">
        <v>3340</v>
      </c>
      <c r="C1808" s="890" t="s">
        <v>98</v>
      </c>
      <c r="D1808" s="905">
        <v>4500212372</v>
      </c>
      <c r="E1808" s="892">
        <v>115824</v>
      </c>
      <c r="F1808" s="555" t="s">
        <v>10427</v>
      </c>
      <c r="G1808" s="890" t="s">
        <v>6787</v>
      </c>
      <c r="H1808" s="610" t="s">
        <v>6126</v>
      </c>
      <c r="I1808" s="893">
        <v>6000</v>
      </c>
      <c r="J1808" s="890">
        <v>0</v>
      </c>
      <c r="K1808" s="890">
        <v>12</v>
      </c>
      <c r="L1808" s="844">
        <f t="shared" si="727"/>
        <v>500</v>
      </c>
      <c r="M1808" s="887">
        <v>46232</v>
      </c>
      <c r="N1808" s="724">
        <v>46230</v>
      </c>
      <c r="O1808" s="892"/>
      <c r="P1808" s="613" t="s">
        <v>113</v>
      </c>
      <c r="Q1808" s="862">
        <v>46233</v>
      </c>
      <c r="R1808" s="862">
        <v>46199</v>
      </c>
      <c r="S1808" s="862" t="s">
        <v>70</v>
      </c>
      <c r="T1808" s="862" t="s">
        <v>10424</v>
      </c>
      <c r="U1808" s="862"/>
      <c r="V1808" s="862"/>
      <c r="W1808" s="819"/>
      <c r="X1808" s="819" t="s">
        <v>10428</v>
      </c>
      <c r="Y1808" s="894" t="s">
        <v>3864</v>
      </c>
      <c r="Z1808" s="819">
        <v>1.3418</v>
      </c>
      <c r="AA1808" s="894">
        <f t="shared" si="733"/>
        <v>8050.8</v>
      </c>
      <c r="AC1808" s="861" t="s">
        <v>10429</v>
      </c>
      <c r="AD1808" s="819" t="s">
        <v>8079</v>
      </c>
      <c r="AE1808" s="890" t="s">
        <v>82</v>
      </c>
      <c r="AF1808" s="890"/>
      <c r="AG1808" s="890"/>
      <c r="AH1808" s="819"/>
      <c r="AI1808" s="609">
        <v>6000</v>
      </c>
      <c r="AJ1808" s="890">
        <f t="shared" si="728"/>
        <v>0</v>
      </c>
      <c r="AK1808" s="892"/>
      <c r="AL1808" s="890" t="s">
        <v>2368</v>
      </c>
      <c r="AM1808" s="890"/>
      <c r="AN1808" s="890">
        <f>I1808*2</f>
        <v>12000</v>
      </c>
      <c r="AQ1808" s="555">
        <f>I1808*2</f>
        <v>12000</v>
      </c>
      <c r="AR1808" s="895"/>
      <c r="AS1808" s="555"/>
      <c r="AT1808" s="555"/>
      <c r="AU1808" s="555">
        <f>I1808*2</f>
        <v>12000</v>
      </c>
      <c r="AX1808" s="896"/>
      <c r="AY1808" s="555"/>
      <c r="AZ1808" s="555"/>
      <c r="BA1808" s="555"/>
      <c r="BB1808" s="897">
        <f>I1808/24*2</f>
        <v>500</v>
      </c>
      <c r="CA1808" s="906"/>
      <c r="CC1808" s="907"/>
      <c r="CD1808" s="555"/>
      <c r="CE1808" s="555"/>
      <c r="CF1808" s="555"/>
      <c r="CG1808" s="555"/>
      <c r="CH1808" s="555"/>
      <c r="CI1808" s="555"/>
      <c r="CJ1808" s="555"/>
      <c r="CK1808" s="555"/>
      <c r="CL1808" s="555"/>
      <c r="CM1808" s="555"/>
      <c r="CN1808" s="555"/>
      <c r="CO1808" s="555"/>
      <c r="CP1808" s="895"/>
      <c r="CQ1808" s="895"/>
      <c r="CR1808" s="555">
        <f>I1808</f>
        <v>6000</v>
      </c>
      <c r="CS1808" s="555">
        <f>I1808</f>
        <v>6000</v>
      </c>
      <c r="CT1808" s="555">
        <f>I1808</f>
        <v>6000</v>
      </c>
      <c r="CU1808" s="555">
        <f t="shared" si="739"/>
        <v>0</v>
      </c>
      <c r="CV1808" s="555">
        <v>0</v>
      </c>
      <c r="CW1808" s="555">
        <v>0</v>
      </c>
      <c r="CX1808" s="895"/>
      <c r="CY1808" s="895"/>
      <c r="CZ1808" s="895"/>
      <c r="DA1808" s="895"/>
      <c r="DB1808" s="895"/>
      <c r="DC1808" s="895"/>
      <c r="DD1808" s="895"/>
      <c r="DE1808" s="895"/>
      <c r="DF1808" s="895"/>
      <c r="DG1808" s="895"/>
      <c r="DH1808" s="895"/>
    </row>
    <row r="1809" s="554" customFormat="1" ht="31" customHeight="1" spans="1:112">
      <c r="A1809" s="608">
        <v>46157</v>
      </c>
      <c r="B1809" s="609" t="s">
        <v>1728</v>
      </c>
      <c r="C1809" s="610" t="s">
        <v>154</v>
      </c>
      <c r="D1809" s="727">
        <v>4500207585</v>
      </c>
      <c r="E1809" s="613">
        <v>4400564352</v>
      </c>
      <c r="F1809" s="554" t="s">
        <v>10430</v>
      </c>
      <c r="G1809" s="610" t="s">
        <v>6047</v>
      </c>
      <c r="H1809" s="610" t="s">
        <v>6069</v>
      </c>
      <c r="I1809" s="715">
        <v>4000</v>
      </c>
      <c r="J1809" s="610">
        <v>0</v>
      </c>
      <c r="K1809" s="610">
        <v>25</v>
      </c>
      <c r="L1809" s="611">
        <f t="shared" si="727"/>
        <v>160</v>
      </c>
      <c r="M1809" s="612">
        <v>46234</v>
      </c>
      <c r="N1809" s="612">
        <v>46230</v>
      </c>
      <c r="O1809" s="613"/>
      <c r="P1809" s="610" t="s">
        <v>113</v>
      </c>
      <c r="Q1809" s="614">
        <v>46237</v>
      </c>
      <c r="R1809" s="614">
        <v>46160</v>
      </c>
      <c r="S1809" s="614" t="s">
        <v>70</v>
      </c>
      <c r="T1809" s="614" t="s">
        <v>10172</v>
      </c>
      <c r="U1809" s="614"/>
      <c r="V1809" s="614"/>
      <c r="W1809" s="609"/>
      <c r="X1809" s="738" t="s">
        <v>10431</v>
      </c>
      <c r="Y1809" s="616" t="s">
        <v>1549</v>
      </c>
      <c r="Z1809" s="609">
        <v>0.9756</v>
      </c>
      <c r="AA1809" s="616">
        <f t="shared" si="733"/>
        <v>3902.4</v>
      </c>
      <c r="AC1809" s="697"/>
      <c r="AD1809" s="610" t="s">
        <v>6073</v>
      </c>
      <c r="AE1809" s="610" t="s">
        <v>82</v>
      </c>
      <c r="AF1809" s="610"/>
      <c r="AG1809" s="610"/>
      <c r="AH1809" s="609"/>
      <c r="AI1809" s="609">
        <v>4000</v>
      </c>
      <c r="AJ1809" s="610">
        <f t="shared" si="728"/>
        <v>0</v>
      </c>
      <c r="AK1809" s="613"/>
      <c r="AL1809" s="610" t="s">
        <v>2368</v>
      </c>
      <c r="AM1809" s="610"/>
      <c r="AN1809" s="554"/>
      <c r="AO1809" s="554">
        <f>I1809</f>
        <v>4000</v>
      </c>
      <c r="AR1809" s="619"/>
      <c r="AS1809" s="554"/>
      <c r="AT1809" s="554"/>
      <c r="AU1809" s="554"/>
      <c r="AV1809" s="554">
        <f>I1809</f>
        <v>4000</v>
      </c>
      <c r="AX1809" s="714"/>
      <c r="AY1809" s="554"/>
      <c r="AZ1809" s="554"/>
      <c r="BA1809" s="554"/>
      <c r="BB1809" s="620">
        <f>I1809/24*2</f>
        <v>333.333333333333</v>
      </c>
      <c r="BE1809" s="554">
        <f>I1809</f>
        <v>4000</v>
      </c>
      <c r="BP1809" s="554">
        <f>I1809/25</f>
        <v>160</v>
      </c>
      <c r="CA1809" s="720"/>
      <c r="CB1809" s="555"/>
      <c r="CC1809" s="721"/>
      <c r="CD1809" s="554"/>
      <c r="CE1809" s="554"/>
      <c r="CF1809" s="554"/>
      <c r="CG1809" s="554"/>
      <c r="CP1809" s="619"/>
      <c r="CQ1809" s="619"/>
      <c r="CR1809" s="554"/>
      <c r="CS1809" s="554"/>
      <c r="CT1809" s="554"/>
      <c r="CU1809" s="554">
        <f t="shared" si="739"/>
        <v>160</v>
      </c>
      <c r="CV1809" s="554">
        <f>CK1809+CL1809+CM1809+CN1809+CO1809+CQ1809+CP1809</f>
        <v>0</v>
      </c>
      <c r="CW1809" s="554">
        <f>CI1809+CJ1809</f>
        <v>0</v>
      </c>
      <c r="CX1809" s="717"/>
      <c r="CY1809" s="717"/>
      <c r="CZ1809" s="717"/>
      <c r="DA1809" s="717"/>
      <c r="DB1809" s="717"/>
      <c r="DC1809" s="717"/>
      <c r="DD1809" s="717"/>
      <c r="DE1809" s="717"/>
      <c r="DF1809" s="717"/>
      <c r="DG1809" s="717"/>
      <c r="DH1809" s="717"/>
    </row>
    <row r="1810" s="550" customFormat="1" ht="31" customHeight="1" spans="1:112">
      <c r="A1810" s="608">
        <v>46183</v>
      </c>
      <c r="B1810" s="609" t="s">
        <v>5224</v>
      </c>
      <c r="C1810" s="610" t="s">
        <v>98</v>
      </c>
      <c r="D1810" s="727">
        <v>4500211411</v>
      </c>
      <c r="E1810" s="613">
        <v>350903</v>
      </c>
      <c r="F1810" s="554" t="s">
        <v>10432</v>
      </c>
      <c r="G1810" s="610" t="s">
        <v>6166</v>
      </c>
      <c r="H1810" s="610" t="s">
        <v>6094</v>
      </c>
      <c r="I1810" s="715">
        <v>975</v>
      </c>
      <c r="J1810" s="610">
        <v>0</v>
      </c>
      <c r="K1810" s="843">
        <v>13</v>
      </c>
      <c r="L1810" s="844">
        <f t="shared" si="727"/>
        <v>75</v>
      </c>
      <c r="M1810" s="845">
        <v>46237</v>
      </c>
      <c r="N1810" s="612">
        <v>46233</v>
      </c>
      <c r="O1810" s="613"/>
      <c r="P1810" s="610" t="s">
        <v>113</v>
      </c>
      <c r="Q1810" s="614"/>
      <c r="R1810" s="614">
        <v>46206</v>
      </c>
      <c r="S1810" s="614" t="s">
        <v>70</v>
      </c>
      <c r="T1810" s="614" t="s">
        <v>70</v>
      </c>
      <c r="U1810" s="614"/>
      <c r="V1810" s="614"/>
      <c r="W1810" s="573"/>
      <c r="X1810" s="609" t="s">
        <v>10433</v>
      </c>
      <c r="Y1810" s="616" t="s">
        <v>1278</v>
      </c>
      <c r="Z1810" s="609">
        <v>0.5761</v>
      </c>
      <c r="AA1810" s="616">
        <f t="shared" si="733"/>
        <v>561.6975</v>
      </c>
      <c r="AC1810" s="697"/>
      <c r="AD1810" s="610" t="s">
        <v>6257</v>
      </c>
      <c r="AE1810" s="610" t="s">
        <v>82</v>
      </c>
      <c r="AF1810" s="610"/>
      <c r="AG1810" s="610"/>
      <c r="AH1810" s="609"/>
      <c r="AI1810" s="609">
        <v>975</v>
      </c>
      <c r="AJ1810" s="610">
        <f t="shared" si="728"/>
        <v>0</v>
      </c>
      <c r="AK1810" s="613"/>
      <c r="AL1810" s="610"/>
      <c r="AM1810" s="610"/>
      <c r="AN1810" s="610">
        <f>I1810</f>
        <v>975</v>
      </c>
      <c r="AO1810" s="554"/>
      <c r="AP1810" s="554">
        <f>I1810</f>
        <v>975</v>
      </c>
      <c r="AQ1810" s="554"/>
      <c r="AR1810" s="619"/>
      <c r="AS1810" s="554"/>
      <c r="AT1810" s="554"/>
      <c r="AU1810" s="554">
        <f>I1810</f>
        <v>975</v>
      </c>
      <c r="AV1810" s="554"/>
      <c r="AW1810" s="554"/>
      <c r="AX1810" s="714"/>
      <c r="AY1810" s="554"/>
      <c r="AZ1810" s="554"/>
      <c r="BA1810" s="554"/>
      <c r="BB1810" s="620">
        <f>I1810/24</f>
        <v>40.625</v>
      </c>
      <c r="BC1810" s="554"/>
      <c r="BD1810" s="554"/>
      <c r="BE1810" s="554"/>
      <c r="BF1810" s="720"/>
      <c r="BG1810" s="555"/>
      <c r="BH1810" s="721"/>
      <c r="BI1810" s="554"/>
      <c r="BJ1810" s="554"/>
      <c r="BK1810" s="554">
        <f>I1810/13</f>
        <v>75</v>
      </c>
      <c r="BL1810" s="554"/>
      <c r="BM1810" s="554"/>
      <c r="BN1810" s="554"/>
      <c r="BO1810" s="554"/>
      <c r="BP1810" s="554"/>
      <c r="BQ1810" s="554"/>
      <c r="BR1810" s="554"/>
      <c r="BS1810" s="554"/>
      <c r="BT1810" s="554"/>
      <c r="BU1810" s="554"/>
      <c r="BV1810" s="554"/>
      <c r="BW1810" s="554"/>
      <c r="BX1810" s="554"/>
      <c r="BY1810" s="554"/>
      <c r="BZ1810" s="554"/>
      <c r="CA1810" s="720"/>
      <c r="CB1810" s="555"/>
      <c r="CC1810" s="721"/>
      <c r="CD1810" s="554"/>
      <c r="CE1810" s="554"/>
      <c r="CF1810" s="554"/>
      <c r="CG1810" s="720"/>
      <c r="CH1810" s="555"/>
      <c r="CI1810" s="721"/>
      <c r="CJ1810" s="554"/>
      <c r="CK1810" s="554"/>
      <c r="CL1810" s="554"/>
      <c r="CM1810" s="554"/>
      <c r="CN1810" s="554"/>
      <c r="CO1810" s="554"/>
      <c r="CP1810" s="619"/>
      <c r="CQ1810" s="619"/>
      <c r="CR1810" s="554"/>
      <c r="CS1810" s="554"/>
      <c r="CT1810" s="554"/>
      <c r="CU1810" s="554">
        <f t="shared" si="739"/>
        <v>0</v>
      </c>
      <c r="CV1810" s="554">
        <f>CK1810+CL1810+CM1810+CN1810+CO1810+CQ1810+CP1810</f>
        <v>0</v>
      </c>
      <c r="CW1810" s="554">
        <f>CI1810+CJ1810</f>
        <v>0</v>
      </c>
      <c r="CX1810" s="619"/>
      <c r="CY1810" s="619"/>
      <c r="CZ1810" s="619"/>
      <c r="DA1810" s="619"/>
      <c r="DB1810" s="619"/>
      <c r="DC1810" s="619"/>
      <c r="DD1810" s="619"/>
      <c r="DE1810" s="619"/>
      <c r="DF1810" s="619"/>
      <c r="DG1810" s="619"/>
      <c r="DH1810" s="619"/>
    </row>
    <row r="1811" s="550" customFormat="1" ht="31" customHeight="1" spans="1:112">
      <c r="A1811" s="867">
        <v>46189</v>
      </c>
      <c r="B1811" s="605" t="s">
        <v>5188</v>
      </c>
      <c r="C1811" s="589" t="s">
        <v>4052</v>
      </c>
      <c r="D1811" s="898">
        <v>4500212465</v>
      </c>
      <c r="E1811" s="899">
        <v>1590590</v>
      </c>
      <c r="F1811" s="557" t="s">
        <v>5190</v>
      </c>
      <c r="G1811" s="589" t="s">
        <v>6337</v>
      </c>
      <c r="H1811" s="589" t="s">
        <v>477</v>
      </c>
      <c r="I1811" s="868">
        <v>1200</v>
      </c>
      <c r="J1811" s="589">
        <v>0</v>
      </c>
      <c r="K1811" s="869">
        <v>6</v>
      </c>
      <c r="L1811" s="870">
        <f t="shared" si="727"/>
        <v>200</v>
      </c>
      <c r="M1811" s="871">
        <v>46227</v>
      </c>
      <c r="N1811" s="724">
        <v>46230</v>
      </c>
      <c r="O1811" s="873" t="s">
        <v>5191</v>
      </c>
      <c r="P1811" s="613" t="s">
        <v>113</v>
      </c>
      <c r="Q1811" s="874">
        <v>46239</v>
      </c>
      <c r="R1811" s="874">
        <v>46197</v>
      </c>
      <c r="S1811" s="874" t="s">
        <v>70</v>
      </c>
      <c r="T1811" s="874" t="s">
        <v>10434</v>
      </c>
      <c r="U1811" s="874"/>
      <c r="V1811" s="874"/>
      <c r="W1811" s="573"/>
      <c r="X1811" s="605" t="s">
        <v>5193</v>
      </c>
      <c r="Y1811" s="876" t="s">
        <v>445</v>
      </c>
      <c r="Z1811" s="605">
        <v>7.2023</v>
      </c>
      <c r="AA1811" s="616">
        <f t="shared" si="733"/>
        <v>8642.76</v>
      </c>
      <c r="AC1811" s="877"/>
      <c r="AD1811" s="610" t="s">
        <v>480</v>
      </c>
      <c r="AE1811" s="589" t="s">
        <v>82</v>
      </c>
      <c r="AF1811" s="589"/>
      <c r="AG1811" s="589"/>
      <c r="AH1811" s="605"/>
      <c r="AI1811" s="609">
        <f>378+822</f>
        <v>1200</v>
      </c>
      <c r="AJ1811" s="610">
        <f t="shared" si="728"/>
        <v>0</v>
      </c>
      <c r="AK1811" s="873"/>
      <c r="AL1811" s="589" t="s">
        <v>2368</v>
      </c>
      <c r="AM1811" s="589"/>
      <c r="AN1811" s="589"/>
      <c r="AO1811" s="557">
        <f>I1811*2</f>
        <v>2400</v>
      </c>
      <c r="AP1811" s="557"/>
      <c r="AQ1811" s="557"/>
      <c r="AR1811" s="878"/>
      <c r="AS1811" s="557"/>
      <c r="AT1811" s="557">
        <f>I1811*2</f>
        <v>2400</v>
      </c>
      <c r="AU1811" s="557"/>
      <c r="AV1811" s="554">
        <f>I1811*2</f>
        <v>2400</v>
      </c>
      <c r="AW1811" s="557"/>
      <c r="AX1811" s="879"/>
      <c r="AY1811" s="557"/>
      <c r="AZ1811" s="557"/>
      <c r="BA1811" s="557"/>
      <c r="BB1811" s="620">
        <f>I1811/24*2</f>
        <v>100</v>
      </c>
      <c r="BC1811" s="557"/>
      <c r="BD1811" s="557"/>
      <c r="BE1811" s="557"/>
      <c r="BF1811" s="880"/>
      <c r="BG1811" s="881"/>
      <c r="BH1811" s="882"/>
      <c r="BI1811" s="557"/>
      <c r="BJ1811" s="557"/>
      <c r="BK1811" s="557"/>
      <c r="BL1811" s="557"/>
      <c r="BM1811" s="557"/>
      <c r="BN1811" s="557"/>
      <c r="BO1811" s="557"/>
      <c r="BP1811" s="557"/>
      <c r="BQ1811" s="557"/>
      <c r="BR1811" s="557"/>
      <c r="BS1811" s="557"/>
      <c r="BT1811" s="557"/>
      <c r="BU1811" s="557"/>
      <c r="BV1811" s="557"/>
      <c r="BW1811" s="557"/>
      <c r="BX1811" s="557"/>
      <c r="BY1811" s="557"/>
      <c r="BZ1811" s="554">
        <f>I1811</f>
        <v>1200</v>
      </c>
      <c r="CA1811" s="883"/>
      <c r="CB1811" s="555"/>
      <c r="CC1811" s="882"/>
      <c r="CD1811" s="557"/>
      <c r="CE1811" s="557"/>
      <c r="CF1811" s="557"/>
      <c r="CG1811" s="880"/>
      <c r="CH1811" s="881"/>
      <c r="CI1811" s="882"/>
      <c r="CJ1811" s="557"/>
      <c r="CK1811" s="557"/>
      <c r="CL1811" s="557"/>
      <c r="CM1811" s="557"/>
      <c r="CN1811" s="557"/>
      <c r="CO1811" s="557"/>
      <c r="CP1811" s="878"/>
      <c r="CQ1811" s="878"/>
      <c r="CR1811" s="557"/>
      <c r="CS1811" s="557"/>
      <c r="CT1811" s="557"/>
      <c r="CU1811" s="554">
        <f t="shared" si="739"/>
        <v>0</v>
      </c>
      <c r="CV1811" s="554">
        <f>CK1811+CL1811+CM1811+CN1811+CO1811+CQ1811+CP1811</f>
        <v>0</v>
      </c>
      <c r="CW1811" s="554">
        <f>CI1811+CJ1811</f>
        <v>0</v>
      </c>
      <c r="CX1811" s="878"/>
      <c r="CY1811" s="878"/>
      <c r="CZ1811" s="878"/>
      <c r="DA1811" s="878"/>
      <c r="DB1811" s="878"/>
      <c r="DC1811" s="878"/>
      <c r="DD1811" s="878"/>
      <c r="DE1811" s="878"/>
      <c r="DF1811" s="878"/>
      <c r="DG1811" s="878"/>
      <c r="DH1811" s="878"/>
    </row>
    <row r="1812" s="550" customFormat="1" ht="31" customHeight="1" spans="1:112">
      <c r="A1812" s="867">
        <v>46189</v>
      </c>
      <c r="B1812" s="605" t="s">
        <v>1800</v>
      </c>
      <c r="C1812" s="589" t="s">
        <v>744</v>
      </c>
      <c r="D1812" s="886">
        <v>4500212517</v>
      </c>
      <c r="E1812" s="873">
        <v>5000002278</v>
      </c>
      <c r="F1812" s="557" t="s">
        <v>10435</v>
      </c>
      <c r="G1812" s="589" t="s">
        <v>6093</v>
      </c>
      <c r="H1812" s="589" t="s">
        <v>6094</v>
      </c>
      <c r="I1812" s="868">
        <v>7800</v>
      </c>
      <c r="J1812" s="589">
        <v>0</v>
      </c>
      <c r="K1812" s="869">
        <v>13</v>
      </c>
      <c r="L1812" s="870">
        <f t="shared" si="727"/>
        <v>600</v>
      </c>
      <c r="M1812" s="871">
        <v>46238</v>
      </c>
      <c r="N1812" s="908">
        <v>46232</v>
      </c>
      <c r="O1812" s="873"/>
      <c r="P1812" s="589" t="s">
        <v>113</v>
      </c>
      <c r="Q1812" s="874">
        <v>46234</v>
      </c>
      <c r="R1812" s="614" t="s">
        <v>5180</v>
      </c>
      <c r="S1812" s="614" t="s">
        <v>104</v>
      </c>
      <c r="T1812" s="614" t="s">
        <v>8723</v>
      </c>
      <c r="U1812" s="874"/>
      <c r="V1812" s="874"/>
      <c r="W1812" s="573"/>
      <c r="X1812" s="605" t="s">
        <v>10436</v>
      </c>
      <c r="Y1812" s="876" t="s">
        <v>1805</v>
      </c>
      <c r="Z1812" s="605">
        <v>0.9043</v>
      </c>
      <c r="AA1812" s="876">
        <f t="shared" si="733"/>
        <v>7053.54</v>
      </c>
      <c r="AC1812" s="877"/>
      <c r="AD1812" s="610" t="s">
        <v>8338</v>
      </c>
      <c r="AE1812" s="589" t="s">
        <v>82</v>
      </c>
      <c r="AF1812" s="589"/>
      <c r="AG1812" s="589"/>
      <c r="AH1812" s="605"/>
      <c r="AI1812" s="609">
        <v>7800</v>
      </c>
      <c r="AJ1812" s="610">
        <f t="shared" si="728"/>
        <v>0</v>
      </c>
      <c r="AK1812" s="873"/>
      <c r="AL1812" s="589" t="s">
        <v>454</v>
      </c>
      <c r="AM1812" s="589"/>
      <c r="AN1812" s="589"/>
      <c r="AO1812" s="557">
        <f>I1812</f>
        <v>7800</v>
      </c>
      <c r="AP1812" s="557"/>
      <c r="AQ1812" s="557"/>
      <c r="AR1812" s="878"/>
      <c r="AS1812" s="557"/>
      <c r="AT1812" s="557"/>
      <c r="AU1812" s="557"/>
      <c r="AV1812" s="557"/>
      <c r="AW1812" s="619">
        <f>I1812</f>
        <v>7800</v>
      </c>
      <c r="AX1812" s="554">
        <f>I1812</f>
        <v>7800</v>
      </c>
      <c r="AY1812" s="557"/>
      <c r="AZ1812" s="557"/>
      <c r="BA1812" s="714">
        <f>I1812/24</f>
        <v>325</v>
      </c>
      <c r="BB1812" s="888"/>
      <c r="BC1812" s="557"/>
      <c r="BD1812" s="557"/>
      <c r="BE1812" s="557"/>
      <c r="BF1812" s="880"/>
      <c r="BG1812" s="881"/>
      <c r="BH1812" s="882"/>
      <c r="BI1812" s="557"/>
      <c r="BJ1812" s="557"/>
      <c r="BK1812" s="557"/>
      <c r="BL1812" s="557"/>
      <c r="BM1812" s="554">
        <f>I1812/13</f>
        <v>600</v>
      </c>
      <c r="BN1812" s="557"/>
      <c r="BO1812" s="557"/>
      <c r="BP1812" s="557"/>
      <c r="BQ1812" s="557"/>
      <c r="BR1812" s="557"/>
      <c r="BS1812" s="557"/>
      <c r="BT1812" s="557"/>
      <c r="BU1812" s="557"/>
      <c r="BV1812" s="557"/>
      <c r="BW1812" s="557"/>
      <c r="BX1812" s="557"/>
      <c r="BY1812" s="557"/>
      <c r="BZ1812" s="557"/>
      <c r="CA1812" s="883"/>
      <c r="CB1812" s="555"/>
      <c r="CC1812" s="882"/>
      <c r="CD1812" s="557"/>
      <c r="CE1812" s="557"/>
      <c r="CF1812" s="557"/>
      <c r="CG1812" s="880"/>
      <c r="CH1812" s="881"/>
      <c r="CI1812" s="882"/>
      <c r="CJ1812" s="557"/>
      <c r="CK1812" s="557"/>
      <c r="CL1812" s="557"/>
      <c r="CM1812" s="557"/>
      <c r="CN1812" s="557"/>
      <c r="CO1812" s="557"/>
      <c r="CP1812" s="878"/>
      <c r="CQ1812" s="878"/>
      <c r="CR1812" s="557"/>
      <c r="CS1812" s="557"/>
      <c r="CT1812" s="557"/>
      <c r="CU1812" s="554">
        <f t="shared" si="739"/>
        <v>0</v>
      </c>
      <c r="CV1812" s="554">
        <v>0</v>
      </c>
      <c r="CW1812" s="554">
        <v>0</v>
      </c>
      <c r="CX1812" s="878"/>
      <c r="CY1812" s="878"/>
      <c r="CZ1812" s="878"/>
      <c r="DA1812" s="878"/>
      <c r="DB1812" s="878"/>
      <c r="DC1812" s="878"/>
      <c r="DD1812" s="878"/>
      <c r="DE1812" s="878"/>
      <c r="DF1812" s="878"/>
      <c r="DG1812" s="878"/>
      <c r="DH1812" s="878"/>
    </row>
    <row r="1813" s="550" customFormat="1" ht="31" customHeight="1" spans="1:112">
      <c r="A1813" s="867">
        <v>46189</v>
      </c>
      <c r="B1813" s="605" t="s">
        <v>1800</v>
      </c>
      <c r="C1813" s="589" t="s">
        <v>744</v>
      </c>
      <c r="D1813" s="886">
        <v>4500212517</v>
      </c>
      <c r="E1813" s="873">
        <v>5000002278</v>
      </c>
      <c r="F1813" s="557" t="s">
        <v>10437</v>
      </c>
      <c r="G1813" s="589" t="s">
        <v>6093</v>
      </c>
      <c r="H1813" s="589" t="s">
        <v>6094</v>
      </c>
      <c r="I1813" s="868">
        <v>2600</v>
      </c>
      <c r="J1813" s="589">
        <v>0</v>
      </c>
      <c r="K1813" s="869">
        <v>13</v>
      </c>
      <c r="L1813" s="870">
        <f t="shared" si="727"/>
        <v>200</v>
      </c>
      <c r="M1813" s="871">
        <v>46238</v>
      </c>
      <c r="N1813" s="908">
        <v>46232</v>
      </c>
      <c r="O1813" s="873"/>
      <c r="P1813" s="589" t="s">
        <v>113</v>
      </c>
      <c r="Q1813" s="874">
        <v>46234</v>
      </c>
      <c r="R1813" s="614" t="s">
        <v>5180</v>
      </c>
      <c r="S1813" s="614" t="s">
        <v>104</v>
      </c>
      <c r="T1813" s="614" t="s">
        <v>8723</v>
      </c>
      <c r="U1813" s="874"/>
      <c r="V1813" s="874"/>
      <c r="W1813" s="573"/>
      <c r="X1813" s="605" t="s">
        <v>10436</v>
      </c>
      <c r="Y1813" s="876" t="s">
        <v>1805</v>
      </c>
      <c r="Z1813" s="605">
        <v>0.9043</v>
      </c>
      <c r="AA1813" s="876">
        <f t="shared" si="733"/>
        <v>2351.18</v>
      </c>
      <c r="AC1813" s="877"/>
      <c r="AD1813" s="610" t="s">
        <v>8338</v>
      </c>
      <c r="AE1813" s="589" t="s">
        <v>82</v>
      </c>
      <c r="AF1813" s="589"/>
      <c r="AG1813" s="589"/>
      <c r="AH1813" s="605"/>
      <c r="AI1813" s="609">
        <v>2600</v>
      </c>
      <c r="AJ1813" s="610">
        <f t="shared" si="728"/>
        <v>0</v>
      </c>
      <c r="AK1813" s="873"/>
      <c r="AL1813" s="589" t="s">
        <v>454</v>
      </c>
      <c r="AM1813" s="589"/>
      <c r="AN1813" s="589"/>
      <c r="AO1813" s="557">
        <f>I1813</f>
        <v>2600</v>
      </c>
      <c r="AP1813" s="557"/>
      <c r="AQ1813" s="557"/>
      <c r="AR1813" s="878"/>
      <c r="AS1813" s="557"/>
      <c r="AT1813" s="557"/>
      <c r="AU1813" s="557"/>
      <c r="AV1813" s="557"/>
      <c r="AW1813" s="619">
        <f>I1813</f>
        <v>2600</v>
      </c>
      <c r="AX1813" s="554">
        <f>I1813</f>
        <v>2600</v>
      </c>
      <c r="AY1813" s="557"/>
      <c r="AZ1813" s="557"/>
      <c r="BA1813" s="714">
        <f>I1813/24</f>
        <v>108.333333333333</v>
      </c>
      <c r="BB1813" s="888"/>
      <c r="BC1813" s="557"/>
      <c r="BD1813" s="557"/>
      <c r="BE1813" s="557"/>
      <c r="BF1813" s="880"/>
      <c r="BG1813" s="881"/>
      <c r="BH1813" s="882"/>
      <c r="BI1813" s="557"/>
      <c r="BJ1813" s="557"/>
      <c r="BK1813" s="557"/>
      <c r="BL1813" s="557"/>
      <c r="BM1813" s="554">
        <f>I1813/13</f>
        <v>200</v>
      </c>
      <c r="BN1813" s="557"/>
      <c r="BO1813" s="557"/>
      <c r="BP1813" s="557"/>
      <c r="BQ1813" s="557"/>
      <c r="BR1813" s="557"/>
      <c r="BS1813" s="557"/>
      <c r="BT1813" s="557"/>
      <c r="BU1813" s="557"/>
      <c r="BV1813" s="557"/>
      <c r="BW1813" s="557"/>
      <c r="BX1813" s="557"/>
      <c r="BY1813" s="557"/>
      <c r="BZ1813" s="557"/>
      <c r="CA1813" s="883"/>
      <c r="CB1813" s="555"/>
      <c r="CC1813" s="882"/>
      <c r="CD1813" s="557"/>
      <c r="CE1813" s="557"/>
      <c r="CF1813" s="557"/>
      <c r="CG1813" s="880"/>
      <c r="CH1813" s="881"/>
      <c r="CI1813" s="882"/>
      <c r="CJ1813" s="557"/>
      <c r="CK1813" s="557"/>
      <c r="CL1813" s="557"/>
      <c r="CM1813" s="557"/>
      <c r="CN1813" s="557"/>
      <c r="CO1813" s="557"/>
      <c r="CP1813" s="878"/>
      <c r="CQ1813" s="878"/>
      <c r="CR1813" s="557"/>
      <c r="CS1813" s="557"/>
      <c r="CT1813" s="557"/>
      <c r="CU1813" s="554">
        <f t="shared" si="739"/>
        <v>0</v>
      </c>
      <c r="CV1813" s="554">
        <v>0</v>
      </c>
      <c r="CW1813" s="554">
        <v>0</v>
      </c>
      <c r="CX1813" s="878"/>
      <c r="CY1813" s="878"/>
      <c r="CZ1813" s="878"/>
      <c r="DA1813" s="878"/>
      <c r="DB1813" s="878"/>
      <c r="DC1813" s="878"/>
      <c r="DD1813" s="878"/>
      <c r="DE1813" s="878"/>
      <c r="DF1813" s="878"/>
      <c r="DG1813" s="878"/>
      <c r="DH1813" s="878"/>
    </row>
    <row r="1814" s="550" customFormat="1" ht="31" customHeight="1" spans="1:112">
      <c r="A1814" s="867">
        <v>46189</v>
      </c>
      <c r="B1814" s="605" t="s">
        <v>1800</v>
      </c>
      <c r="C1814" s="589" t="s">
        <v>744</v>
      </c>
      <c r="D1814" s="886">
        <v>4500212517</v>
      </c>
      <c r="E1814" s="873">
        <v>5000002278</v>
      </c>
      <c r="F1814" s="557" t="s">
        <v>10438</v>
      </c>
      <c r="G1814" s="589" t="s">
        <v>6093</v>
      </c>
      <c r="H1814" s="589" t="s">
        <v>6094</v>
      </c>
      <c r="I1814" s="868">
        <v>5200</v>
      </c>
      <c r="J1814" s="589">
        <v>0</v>
      </c>
      <c r="K1814" s="869">
        <v>13</v>
      </c>
      <c r="L1814" s="870">
        <f t="shared" si="727"/>
        <v>400</v>
      </c>
      <c r="M1814" s="871">
        <v>46238</v>
      </c>
      <c r="N1814" s="908">
        <v>46232</v>
      </c>
      <c r="O1814" s="873"/>
      <c r="P1814" s="589" t="s">
        <v>113</v>
      </c>
      <c r="Q1814" s="874">
        <v>46234</v>
      </c>
      <c r="R1814" s="614" t="s">
        <v>5180</v>
      </c>
      <c r="S1814" s="614" t="s">
        <v>104</v>
      </c>
      <c r="T1814" s="614" t="s">
        <v>8723</v>
      </c>
      <c r="U1814" s="874"/>
      <c r="V1814" s="874"/>
      <c r="W1814" s="573"/>
      <c r="X1814" s="605" t="s">
        <v>10436</v>
      </c>
      <c r="Y1814" s="876" t="s">
        <v>1805</v>
      </c>
      <c r="Z1814" s="605">
        <v>0.9043</v>
      </c>
      <c r="AA1814" s="876">
        <f t="shared" si="733"/>
        <v>4702.36</v>
      </c>
      <c r="AC1814" s="877"/>
      <c r="AD1814" s="610" t="s">
        <v>8338</v>
      </c>
      <c r="AE1814" s="589" t="s">
        <v>82</v>
      </c>
      <c r="AF1814" s="589"/>
      <c r="AG1814" s="589"/>
      <c r="AH1814" s="605"/>
      <c r="AI1814" s="609">
        <v>5200</v>
      </c>
      <c r="AJ1814" s="610">
        <f t="shared" si="728"/>
        <v>0</v>
      </c>
      <c r="AK1814" s="873"/>
      <c r="AL1814" s="589" t="s">
        <v>454</v>
      </c>
      <c r="AM1814" s="589"/>
      <c r="AN1814" s="589"/>
      <c r="AO1814" s="557">
        <f>I1814</f>
        <v>5200</v>
      </c>
      <c r="AP1814" s="557"/>
      <c r="AQ1814" s="557"/>
      <c r="AR1814" s="878"/>
      <c r="AS1814" s="557"/>
      <c r="AT1814" s="557"/>
      <c r="AU1814" s="557"/>
      <c r="AV1814" s="557"/>
      <c r="AW1814" s="619">
        <f>I1814</f>
        <v>5200</v>
      </c>
      <c r="AX1814" s="554">
        <f>I1814</f>
        <v>5200</v>
      </c>
      <c r="AY1814" s="557"/>
      <c r="AZ1814" s="557"/>
      <c r="BA1814" s="714">
        <f>I1814/24</f>
        <v>216.666666666667</v>
      </c>
      <c r="BB1814" s="888"/>
      <c r="BC1814" s="557"/>
      <c r="BD1814" s="557"/>
      <c r="BE1814" s="557"/>
      <c r="BF1814" s="880"/>
      <c r="BG1814" s="881"/>
      <c r="BH1814" s="882"/>
      <c r="BI1814" s="557"/>
      <c r="BJ1814" s="557"/>
      <c r="BK1814" s="557"/>
      <c r="BL1814" s="557"/>
      <c r="BM1814" s="554">
        <f>I1814/13</f>
        <v>400</v>
      </c>
      <c r="BN1814" s="557"/>
      <c r="BO1814" s="557"/>
      <c r="BP1814" s="557"/>
      <c r="BQ1814" s="557"/>
      <c r="BR1814" s="557"/>
      <c r="BS1814" s="557"/>
      <c r="BT1814" s="557"/>
      <c r="BU1814" s="557"/>
      <c r="BV1814" s="557"/>
      <c r="BW1814" s="557"/>
      <c r="BX1814" s="557"/>
      <c r="BY1814" s="557"/>
      <c r="BZ1814" s="557"/>
      <c r="CA1814" s="883"/>
      <c r="CB1814" s="555"/>
      <c r="CC1814" s="882"/>
      <c r="CD1814" s="557"/>
      <c r="CE1814" s="557"/>
      <c r="CF1814" s="557"/>
      <c r="CG1814" s="880"/>
      <c r="CH1814" s="881"/>
      <c r="CI1814" s="882"/>
      <c r="CJ1814" s="557"/>
      <c r="CK1814" s="557"/>
      <c r="CL1814" s="557"/>
      <c r="CM1814" s="557"/>
      <c r="CN1814" s="557"/>
      <c r="CO1814" s="557"/>
      <c r="CP1814" s="878"/>
      <c r="CQ1814" s="878"/>
      <c r="CR1814" s="557"/>
      <c r="CS1814" s="557"/>
      <c r="CT1814" s="557"/>
      <c r="CU1814" s="554">
        <f t="shared" si="739"/>
        <v>0</v>
      </c>
      <c r="CV1814" s="554">
        <v>0</v>
      </c>
      <c r="CW1814" s="554">
        <v>0</v>
      </c>
      <c r="CX1814" s="878"/>
      <c r="CY1814" s="878"/>
      <c r="CZ1814" s="878"/>
      <c r="DA1814" s="878"/>
      <c r="DB1814" s="878"/>
      <c r="DC1814" s="878"/>
      <c r="DD1814" s="878"/>
      <c r="DE1814" s="878"/>
      <c r="DF1814" s="878"/>
      <c r="DG1814" s="878"/>
      <c r="DH1814" s="878"/>
    </row>
    <row r="1815" s="550" customFormat="1" ht="31" customHeight="1" spans="1:112">
      <c r="A1815" s="867">
        <v>46191</v>
      </c>
      <c r="B1815" s="605" t="s">
        <v>1800</v>
      </c>
      <c r="C1815" s="589" t="s">
        <v>744</v>
      </c>
      <c r="D1815" s="557">
        <v>4500212517</v>
      </c>
      <c r="E1815" s="589">
        <v>5000002278</v>
      </c>
      <c r="F1815" s="557" t="s">
        <v>10439</v>
      </c>
      <c r="G1815" s="589" t="s">
        <v>6093</v>
      </c>
      <c r="H1815" s="589" t="s">
        <v>6094</v>
      </c>
      <c r="I1815" s="868">
        <v>26000</v>
      </c>
      <c r="J1815" s="589">
        <v>0</v>
      </c>
      <c r="K1815" s="869">
        <v>13</v>
      </c>
      <c r="L1815" s="870">
        <f t="shared" si="727"/>
        <v>2000</v>
      </c>
      <c r="M1815" s="871">
        <v>46244</v>
      </c>
      <c r="N1815" s="908">
        <v>46232</v>
      </c>
      <c r="O1815" s="873"/>
      <c r="P1815" s="589" t="s">
        <v>113</v>
      </c>
      <c r="Q1815" s="874">
        <v>46234</v>
      </c>
      <c r="R1815" s="874" t="s">
        <v>5180</v>
      </c>
      <c r="S1815" s="874" t="s">
        <v>104</v>
      </c>
      <c r="T1815" s="874" t="s">
        <v>8723</v>
      </c>
      <c r="U1815" s="874"/>
      <c r="V1815" s="874"/>
      <c r="W1815" s="573"/>
      <c r="X1815" s="605" t="s">
        <v>10440</v>
      </c>
      <c r="Y1815" s="876" t="s">
        <v>1805</v>
      </c>
      <c r="Z1815" s="605">
        <v>0.8998</v>
      </c>
      <c r="AA1815" s="876">
        <f t="shared" si="733"/>
        <v>23394.8</v>
      </c>
      <c r="AC1815" s="877"/>
      <c r="AD1815" s="589" t="s">
        <v>8338</v>
      </c>
      <c r="AE1815" s="589" t="s">
        <v>82</v>
      </c>
      <c r="AF1815" s="589"/>
      <c r="AG1815" s="589"/>
      <c r="AH1815" s="605"/>
      <c r="AI1815" s="605">
        <v>26000</v>
      </c>
      <c r="AJ1815" s="589">
        <f t="shared" si="728"/>
        <v>0</v>
      </c>
      <c r="AK1815" s="873"/>
      <c r="AL1815" s="589" t="s">
        <v>454</v>
      </c>
      <c r="AM1815" s="589"/>
      <c r="AN1815" s="589"/>
      <c r="AO1815" s="557">
        <f>I1815</f>
        <v>26000</v>
      </c>
      <c r="AP1815" s="557"/>
      <c r="AQ1815" s="557"/>
      <c r="AR1815" s="878"/>
      <c r="AS1815" s="557"/>
      <c r="AT1815" s="557"/>
      <c r="AU1815" s="557"/>
      <c r="AV1815" s="557"/>
      <c r="AW1815" s="878">
        <f>I1815</f>
        <v>26000</v>
      </c>
      <c r="AX1815" s="557">
        <f>I1815</f>
        <v>26000</v>
      </c>
      <c r="AY1815" s="557"/>
      <c r="AZ1815" s="557"/>
      <c r="BA1815" s="879">
        <f>I1815/24</f>
        <v>1083.33333333333</v>
      </c>
      <c r="BB1815" s="888"/>
      <c r="BC1815" s="557"/>
      <c r="BD1815" s="557"/>
      <c r="BE1815" s="557"/>
      <c r="BF1815" s="880"/>
      <c r="BG1815" s="881"/>
      <c r="BH1815" s="882"/>
      <c r="BI1815" s="557"/>
      <c r="BJ1815" s="557"/>
      <c r="BK1815" s="557"/>
      <c r="BL1815" s="557"/>
      <c r="BM1815" s="557">
        <f>I1815/13</f>
        <v>2000</v>
      </c>
      <c r="BN1815" s="557"/>
      <c r="BO1815" s="557"/>
      <c r="BP1815" s="557"/>
      <c r="BQ1815" s="557"/>
      <c r="BR1815" s="557"/>
      <c r="BS1815" s="557"/>
      <c r="BT1815" s="557"/>
      <c r="BU1815" s="557"/>
      <c r="BV1815" s="557"/>
      <c r="BW1815" s="557"/>
      <c r="BX1815" s="557"/>
      <c r="BY1815" s="557"/>
      <c r="BZ1815" s="557"/>
      <c r="CA1815" s="883"/>
      <c r="CB1815" s="881"/>
      <c r="CC1815" s="882"/>
      <c r="CD1815" s="557"/>
      <c r="CE1815" s="557"/>
      <c r="CF1815" s="557"/>
      <c r="CG1815" s="880"/>
      <c r="CH1815" s="881"/>
      <c r="CI1815" s="882"/>
      <c r="CJ1815" s="557"/>
      <c r="CK1815" s="557"/>
      <c r="CL1815" s="557"/>
      <c r="CM1815" s="557"/>
      <c r="CN1815" s="557"/>
      <c r="CO1815" s="557"/>
      <c r="CP1815" s="878"/>
      <c r="CQ1815" s="878"/>
      <c r="CR1815" s="557"/>
      <c r="CS1815" s="557"/>
      <c r="CT1815" s="557"/>
      <c r="CU1815" s="557">
        <f t="shared" si="739"/>
        <v>0</v>
      </c>
      <c r="CV1815" s="557">
        <f t="shared" ref="CV1815:CV1825" si="742">CK1815+CL1815+CM1815+CN1815+CO1815+CQ1815+CP1815</f>
        <v>0</v>
      </c>
      <c r="CW1815" s="557">
        <f t="shared" ref="CW1815:CW1825" si="743">CI1815+CJ1815</f>
        <v>0</v>
      </c>
      <c r="CX1815" s="878"/>
      <c r="CY1815" s="878"/>
      <c r="CZ1815" s="878"/>
      <c r="DA1815" s="878"/>
      <c r="DB1815" s="878"/>
      <c r="DC1815" s="878"/>
      <c r="DD1815" s="878"/>
      <c r="DE1815" s="878"/>
      <c r="DF1815" s="878"/>
      <c r="DG1815" s="878"/>
      <c r="DH1815" s="878"/>
    </row>
    <row r="1816" s="555" customFormat="1" ht="31" customHeight="1" spans="1:112">
      <c r="A1816" s="889">
        <v>46191</v>
      </c>
      <c r="B1816" s="819" t="s">
        <v>1800</v>
      </c>
      <c r="C1816" s="890" t="s">
        <v>744</v>
      </c>
      <c r="D1816" s="555">
        <v>4500212517</v>
      </c>
      <c r="E1816" s="890">
        <v>5000002278</v>
      </c>
      <c r="F1816" s="555" t="s">
        <v>5198</v>
      </c>
      <c r="G1816" s="890" t="s">
        <v>6337</v>
      </c>
      <c r="H1816" s="890" t="s">
        <v>477</v>
      </c>
      <c r="I1816" s="893">
        <v>6600</v>
      </c>
      <c r="J1816" s="890">
        <v>0</v>
      </c>
      <c r="K1816" s="890">
        <v>6</v>
      </c>
      <c r="L1816" s="844">
        <f t="shared" si="727"/>
        <v>1100</v>
      </c>
      <c r="M1816" s="887">
        <v>46244</v>
      </c>
      <c r="N1816" s="909">
        <v>46232</v>
      </c>
      <c r="O1816" s="892"/>
      <c r="P1816" s="890" t="s">
        <v>113</v>
      </c>
      <c r="Q1816" s="862">
        <v>46234</v>
      </c>
      <c r="R1816" s="862" t="s">
        <v>5180</v>
      </c>
      <c r="S1816" s="862" t="s">
        <v>104</v>
      </c>
      <c r="T1816" s="862" t="s">
        <v>2239</v>
      </c>
      <c r="U1816" s="862"/>
      <c r="V1816" s="862"/>
      <c r="W1816" s="819"/>
      <c r="X1816" s="819" t="s">
        <v>5199</v>
      </c>
      <c r="Y1816" s="894" t="s">
        <v>1805</v>
      </c>
      <c r="Z1816" s="819">
        <v>6.8093</v>
      </c>
      <c r="AA1816" s="894">
        <f t="shared" si="733"/>
        <v>44941.38</v>
      </c>
      <c r="AC1816" s="697"/>
      <c r="AD1816" s="890" t="s">
        <v>2241</v>
      </c>
      <c r="AE1816" s="890" t="s">
        <v>82</v>
      </c>
      <c r="AF1816" s="890"/>
      <c r="AG1816" s="890"/>
      <c r="AH1816" s="819"/>
      <c r="AI1816" s="819">
        <v>6600</v>
      </c>
      <c r="AJ1816" s="890">
        <f t="shared" si="728"/>
        <v>0</v>
      </c>
      <c r="AK1816" s="892"/>
      <c r="AL1816" s="890" t="s">
        <v>2368</v>
      </c>
      <c r="AM1816" s="890"/>
      <c r="AN1816" s="890"/>
      <c r="AO1816" s="555">
        <f>I1816*2</f>
        <v>13200</v>
      </c>
      <c r="AR1816" s="895"/>
      <c r="AS1816" s="555"/>
      <c r="AT1816" s="555">
        <f>I1816*2</f>
        <v>13200</v>
      </c>
      <c r="AX1816" s="555">
        <f>I1816*2</f>
        <v>13200</v>
      </c>
      <c r="BA1816" s="896">
        <f>I1816/24*2</f>
        <v>550</v>
      </c>
      <c r="BB1816" s="897"/>
      <c r="BC1816" s="555"/>
      <c r="BD1816" s="555"/>
      <c r="BE1816" s="555"/>
      <c r="BF1816" s="555"/>
      <c r="BG1816" s="555"/>
      <c r="BH1816" s="555"/>
      <c r="BI1816" s="555"/>
      <c r="BJ1816" s="555"/>
      <c r="BK1816" s="555"/>
      <c r="BL1816" s="555"/>
      <c r="BM1816" s="555"/>
      <c r="BN1816" s="555"/>
      <c r="BO1816" s="555"/>
      <c r="BP1816" s="555"/>
      <c r="BQ1816" s="555"/>
      <c r="BR1816" s="555"/>
      <c r="BS1816" s="555"/>
      <c r="BT1816" s="555"/>
      <c r="BU1816" s="555"/>
      <c r="BV1816" s="555"/>
      <c r="BW1816" s="555"/>
      <c r="BX1816" s="555"/>
      <c r="BY1816" s="555"/>
      <c r="BZ1816" s="555">
        <f>I1816</f>
        <v>6600</v>
      </c>
      <c r="CA1816" s="895"/>
      <c r="CB1816" s="555"/>
      <c r="CC1816" s="555"/>
      <c r="CD1816" s="555"/>
      <c r="CE1816" s="555"/>
      <c r="CF1816" s="555"/>
      <c r="CG1816" s="555"/>
      <c r="CH1816" s="555"/>
      <c r="CI1816" s="555"/>
      <c r="CJ1816" s="555"/>
      <c r="CK1816" s="555"/>
      <c r="CL1816" s="555"/>
      <c r="CM1816" s="555"/>
      <c r="CN1816" s="555"/>
      <c r="CO1816" s="555"/>
      <c r="CP1816" s="895"/>
      <c r="CQ1816" s="895"/>
      <c r="CR1816" s="555"/>
      <c r="CS1816" s="555"/>
      <c r="CT1816" s="555"/>
      <c r="CU1816" s="555">
        <f t="shared" si="739"/>
        <v>0</v>
      </c>
      <c r="CV1816" s="555">
        <f t="shared" si="742"/>
        <v>0</v>
      </c>
      <c r="CW1816" s="555">
        <f t="shared" si="743"/>
        <v>0</v>
      </c>
      <c r="CX1816" s="895"/>
      <c r="CY1816" s="895"/>
      <c r="CZ1816" s="895"/>
      <c r="DA1816" s="895"/>
      <c r="DB1816" s="895"/>
      <c r="DC1816" s="895"/>
      <c r="DD1816" s="895"/>
      <c r="DE1816" s="895"/>
      <c r="DF1816" s="895"/>
      <c r="DG1816" s="895"/>
      <c r="DH1816" s="895"/>
    </row>
    <row r="1817" s="555" customFormat="1" ht="31" customHeight="1" spans="1:112">
      <c r="A1817" s="889">
        <v>46175</v>
      </c>
      <c r="B1817" s="819" t="s">
        <v>5200</v>
      </c>
      <c r="C1817" s="890" t="s">
        <v>399</v>
      </c>
      <c r="D1817" s="910">
        <v>4500210379</v>
      </c>
      <c r="E1817" s="911"/>
      <c r="F1817" s="912" t="s">
        <v>10441</v>
      </c>
      <c r="G1817" s="890" t="s">
        <v>6043</v>
      </c>
      <c r="H1817" s="890" t="s">
        <v>6110</v>
      </c>
      <c r="I1817" s="893">
        <v>900</v>
      </c>
      <c r="J1817" s="890">
        <v>0</v>
      </c>
      <c r="K1817" s="890">
        <v>50</v>
      </c>
      <c r="L1817" s="844">
        <f t="shared" si="727"/>
        <v>18</v>
      </c>
      <c r="M1817" s="887">
        <v>46232</v>
      </c>
      <c r="N1817" s="909">
        <v>46230</v>
      </c>
      <c r="O1817" s="892"/>
      <c r="P1817" s="892" t="s">
        <v>113</v>
      </c>
      <c r="Q1817" s="862"/>
      <c r="R1817" s="862">
        <v>46195</v>
      </c>
      <c r="S1817" s="862" t="s">
        <v>70</v>
      </c>
      <c r="T1817" s="862" t="s">
        <v>10442</v>
      </c>
      <c r="U1817" s="862"/>
      <c r="V1817" s="862" t="s">
        <v>10443</v>
      </c>
      <c r="W1817" s="819" t="s">
        <v>5205</v>
      </c>
      <c r="X1817" s="819" t="s">
        <v>10444</v>
      </c>
      <c r="Y1817" s="894" t="s">
        <v>402</v>
      </c>
      <c r="Z1817" s="819">
        <v>1.0052</v>
      </c>
      <c r="AA1817" s="894">
        <f t="shared" si="733"/>
        <v>904.68</v>
      </c>
      <c r="AC1817" s="697"/>
      <c r="AD1817" s="819" t="s">
        <v>6043</v>
      </c>
      <c r="AE1817" s="890" t="s">
        <v>82</v>
      </c>
      <c r="AF1817" s="890"/>
      <c r="AG1817" s="890"/>
      <c r="AH1817" s="819"/>
      <c r="AI1817" s="819">
        <v>900</v>
      </c>
      <c r="AJ1817" s="890">
        <f t="shared" si="728"/>
        <v>0</v>
      </c>
      <c r="AK1817" s="892"/>
      <c r="AL1817" s="890" t="s">
        <v>2368</v>
      </c>
      <c r="AM1817" s="890"/>
      <c r="AN1817" s="890"/>
      <c r="AO1817" s="555">
        <f>I1817</f>
        <v>900</v>
      </c>
      <c r="AR1817" s="895"/>
      <c r="AS1817" s="555"/>
      <c r="AT1817" s="555">
        <f>I1817</f>
        <v>900</v>
      </c>
      <c r="AV1817" s="555">
        <f>I1817</f>
        <v>900</v>
      </c>
      <c r="AX1817" s="896"/>
      <c r="AY1817" s="555"/>
      <c r="AZ1817" s="555"/>
      <c r="BA1817" s="555"/>
      <c r="BB1817" s="897">
        <f>I1817/24</f>
        <v>37.5</v>
      </c>
      <c r="BP1817" s="555">
        <f>I1817/25</f>
        <v>36</v>
      </c>
      <c r="CP1817" s="895"/>
      <c r="CQ1817" s="895"/>
      <c r="CR1817" s="555"/>
      <c r="CS1817" s="555"/>
      <c r="CT1817" s="555"/>
      <c r="CU1817" s="555">
        <f t="shared" si="739"/>
        <v>36</v>
      </c>
      <c r="CV1817" s="555">
        <f t="shared" si="742"/>
        <v>0</v>
      </c>
      <c r="CW1817" s="555">
        <f t="shared" si="743"/>
        <v>0</v>
      </c>
      <c r="CX1817" s="895"/>
      <c r="CY1817" s="895"/>
      <c r="CZ1817" s="895"/>
      <c r="DA1817" s="895"/>
      <c r="DB1817" s="895"/>
      <c r="DC1817" s="895"/>
      <c r="DD1817" s="895"/>
      <c r="DE1817" s="895"/>
      <c r="DF1817" s="895"/>
      <c r="DG1817" s="895"/>
      <c r="DH1817" s="895"/>
    </row>
    <row r="1818" s="556" customFormat="1" ht="31" customHeight="1" spans="1:112">
      <c r="A1818" s="913">
        <v>46156</v>
      </c>
      <c r="B1818" s="848" t="s">
        <v>1146</v>
      </c>
      <c r="C1818" s="914" t="s">
        <v>170</v>
      </c>
      <c r="D1818" s="915">
        <v>4500207265</v>
      </c>
      <c r="E1818" s="914" t="s">
        <v>10445</v>
      </c>
      <c r="F1818" s="556" t="s">
        <v>10446</v>
      </c>
      <c r="G1818" s="914" t="s">
        <v>6166</v>
      </c>
      <c r="H1818" s="914" t="s">
        <v>6094</v>
      </c>
      <c r="I1818" s="916">
        <v>455</v>
      </c>
      <c r="J1818" s="914">
        <v>0</v>
      </c>
      <c r="K1818" s="914">
        <v>13</v>
      </c>
      <c r="L1818" s="917">
        <f t="shared" si="727"/>
        <v>35</v>
      </c>
      <c r="M1818" s="918">
        <v>46233</v>
      </c>
      <c r="N1818" s="918">
        <v>46230</v>
      </c>
      <c r="O1818" s="919"/>
      <c r="P1818" s="919" t="s">
        <v>113</v>
      </c>
      <c r="Q1818" s="863">
        <v>46238</v>
      </c>
      <c r="R1818" s="863">
        <v>46202</v>
      </c>
      <c r="S1818" s="863" t="s">
        <v>70</v>
      </c>
      <c r="T1818" s="863" t="s">
        <v>10447</v>
      </c>
      <c r="U1818" s="863"/>
      <c r="V1818" s="863"/>
      <c r="W1818" s="848"/>
      <c r="X1818" s="848" t="s">
        <v>10448</v>
      </c>
      <c r="Y1818" s="920" t="s">
        <v>1150</v>
      </c>
      <c r="Z1818" s="848">
        <v>0.9429</v>
      </c>
      <c r="AA1818" s="920">
        <f t="shared" si="733"/>
        <v>429.0195</v>
      </c>
      <c r="AC1818" s="921"/>
      <c r="AD1818" s="914" t="s">
        <v>6166</v>
      </c>
      <c r="AE1818" s="914" t="s">
        <v>82</v>
      </c>
      <c r="AF1818" s="914"/>
      <c r="AG1818" s="914"/>
      <c r="AH1818" s="848"/>
      <c r="AI1818" s="848">
        <v>455</v>
      </c>
      <c r="AJ1818" s="914">
        <f t="shared" si="728"/>
        <v>0</v>
      </c>
      <c r="AK1818" s="919"/>
      <c r="AL1818" s="914" t="s">
        <v>2368</v>
      </c>
      <c r="AM1818" s="914"/>
      <c r="AN1818" s="556">
        <f>I1818</f>
        <v>455</v>
      </c>
      <c r="AR1818" s="922"/>
      <c r="AS1818" s="556">
        <f>I1818</f>
        <v>455</v>
      </c>
      <c r="AU1818" s="556">
        <f>I1818</f>
        <v>455</v>
      </c>
      <c r="AX1818" s="923"/>
      <c r="AY1818" s="556"/>
      <c r="AZ1818" s="556"/>
      <c r="BA1818" s="556"/>
      <c r="BB1818" s="924">
        <f>I1818/24</f>
        <v>18.9583333333333</v>
      </c>
      <c r="BL1818" s="556">
        <f>I1818/13</f>
        <v>35</v>
      </c>
      <c r="CA1818" s="925"/>
      <c r="CB1818" s="926"/>
      <c r="CC1818" s="927"/>
      <c r="CD1818" s="556"/>
      <c r="CE1818" s="556"/>
      <c r="CF1818" s="556"/>
      <c r="CG1818" s="556"/>
      <c r="CP1818" s="922"/>
      <c r="CQ1818" s="922"/>
      <c r="CR1818" s="556"/>
      <c r="CS1818" s="556"/>
      <c r="CT1818" s="556"/>
      <c r="CU1818" s="556">
        <f t="shared" si="739"/>
        <v>0</v>
      </c>
      <c r="CV1818" s="556">
        <f t="shared" si="742"/>
        <v>0</v>
      </c>
      <c r="CW1818" s="556">
        <f t="shared" si="743"/>
        <v>0</v>
      </c>
      <c r="CX1818" s="922"/>
      <c r="CY1818" s="922"/>
      <c r="CZ1818" s="922"/>
      <c r="DA1818" s="922"/>
      <c r="DB1818" s="922"/>
      <c r="DC1818" s="922"/>
      <c r="DD1818" s="922"/>
      <c r="DE1818" s="922"/>
      <c r="DF1818" s="922"/>
      <c r="DG1818" s="922"/>
      <c r="DH1818" s="922"/>
    </row>
    <row r="1819" s="554" customFormat="1" ht="31" customHeight="1" spans="1:112">
      <c r="A1819" s="608">
        <v>46155</v>
      </c>
      <c r="B1819" s="609" t="s">
        <v>2734</v>
      </c>
      <c r="C1819" s="610" t="s">
        <v>98</v>
      </c>
      <c r="D1819" s="727">
        <v>4500206411</v>
      </c>
      <c r="E1819" s="613">
        <v>60302375</v>
      </c>
      <c r="F1819" s="554" t="s">
        <v>10449</v>
      </c>
      <c r="G1819" s="610" t="s">
        <v>6787</v>
      </c>
      <c r="H1819" s="610" t="s">
        <v>6126</v>
      </c>
      <c r="I1819" s="715">
        <v>5004</v>
      </c>
      <c r="J1819" s="610">
        <v>0</v>
      </c>
      <c r="K1819" s="610">
        <v>12</v>
      </c>
      <c r="L1819" s="611">
        <f t="shared" si="727"/>
        <v>417</v>
      </c>
      <c r="M1819" s="612">
        <v>46233</v>
      </c>
      <c r="N1819" s="612">
        <v>46230</v>
      </c>
      <c r="O1819" s="613"/>
      <c r="P1819" s="610" t="s">
        <v>113</v>
      </c>
      <c r="Q1819" s="614">
        <v>46241</v>
      </c>
      <c r="R1819" s="614">
        <v>46175</v>
      </c>
      <c r="S1819" s="614" t="s">
        <v>70</v>
      </c>
      <c r="T1819" s="614" t="s">
        <v>9963</v>
      </c>
      <c r="U1819" s="614"/>
      <c r="V1819" s="614"/>
      <c r="W1819" s="609"/>
      <c r="X1819" s="609" t="s">
        <v>10450</v>
      </c>
      <c r="Y1819" s="616" t="s">
        <v>1318</v>
      </c>
      <c r="Z1819" s="609">
        <v>1.319</v>
      </c>
      <c r="AA1819" s="616">
        <f t="shared" si="733"/>
        <v>6600.276</v>
      </c>
      <c r="AC1819" s="861" t="s">
        <v>5223</v>
      </c>
      <c r="AD1819" s="610" t="s">
        <v>8545</v>
      </c>
      <c r="AE1819" s="610" t="s">
        <v>82</v>
      </c>
      <c r="AF1819" s="610"/>
      <c r="AG1819" s="610"/>
      <c r="AH1819" s="609"/>
      <c r="AI1819" s="609">
        <v>5004</v>
      </c>
      <c r="AJ1819" s="610">
        <f t="shared" si="728"/>
        <v>0</v>
      </c>
      <c r="AK1819" s="613"/>
      <c r="AL1819" s="610" t="s">
        <v>2368</v>
      </c>
      <c r="AM1819" s="610"/>
      <c r="AN1819" s="610">
        <f>I1819*2</f>
        <v>10008</v>
      </c>
      <c r="AP1819" s="554">
        <f>I1819*2</f>
        <v>10008</v>
      </c>
      <c r="AR1819" s="619"/>
      <c r="AS1819" s="554"/>
      <c r="AT1819" s="554"/>
      <c r="AU1819" s="554">
        <f>I1819*2</f>
        <v>10008</v>
      </c>
      <c r="AX1819" s="714"/>
      <c r="AY1819" s="554"/>
      <c r="AZ1819" s="554"/>
      <c r="BA1819" s="554"/>
      <c r="BB1819" s="620">
        <f>I1819/24*2</f>
        <v>417</v>
      </c>
      <c r="CA1819" s="720"/>
      <c r="CB1819" s="555"/>
      <c r="CC1819" s="721"/>
      <c r="CD1819" s="554"/>
      <c r="CE1819" s="554"/>
      <c r="CF1819" s="554"/>
      <c r="CG1819" s="554"/>
      <c r="CP1819" s="619"/>
      <c r="CQ1819" s="619"/>
      <c r="CR1819" s="554">
        <f>I1819</f>
        <v>5004</v>
      </c>
      <c r="CS1819" s="554">
        <f>I1819</f>
        <v>5004</v>
      </c>
      <c r="CT1819" s="554">
        <f>I1819</f>
        <v>5004</v>
      </c>
      <c r="CU1819" s="554">
        <f t="shared" si="739"/>
        <v>0</v>
      </c>
      <c r="CV1819" s="554">
        <f t="shared" si="742"/>
        <v>0</v>
      </c>
      <c r="CW1819" s="554">
        <f t="shared" si="743"/>
        <v>0</v>
      </c>
      <c r="CX1819" s="619"/>
      <c r="CY1819" s="619"/>
      <c r="CZ1819" s="619"/>
      <c r="DA1819" s="619"/>
      <c r="DB1819" s="619"/>
      <c r="DC1819" s="619"/>
      <c r="DD1819" s="619"/>
      <c r="DE1819" s="619"/>
      <c r="DF1819" s="619"/>
      <c r="DG1819" s="619"/>
      <c r="DH1819" s="619"/>
    </row>
    <row r="1820" s="550" customFormat="1" ht="31" customHeight="1" spans="1:112">
      <c r="A1820" s="608">
        <v>46188</v>
      </c>
      <c r="B1820" s="609" t="s">
        <v>1429</v>
      </c>
      <c r="C1820" s="610" t="s">
        <v>411</v>
      </c>
      <c r="D1820" s="554">
        <v>4500204601</v>
      </c>
      <c r="E1820" s="610">
        <v>5200009417</v>
      </c>
      <c r="F1820" s="554" t="s">
        <v>10451</v>
      </c>
      <c r="G1820" s="610" t="s">
        <v>6120</v>
      </c>
      <c r="H1820" s="610" t="s">
        <v>6094</v>
      </c>
      <c r="I1820" s="715">
        <v>3900</v>
      </c>
      <c r="J1820" s="610">
        <v>0</v>
      </c>
      <c r="K1820" s="610">
        <v>13</v>
      </c>
      <c r="L1820" s="611">
        <f t="shared" si="727"/>
        <v>300</v>
      </c>
      <c r="M1820" s="612">
        <v>46234</v>
      </c>
      <c r="N1820" s="612">
        <v>46230</v>
      </c>
      <c r="O1820" s="613"/>
      <c r="P1820" s="610" t="s">
        <v>113</v>
      </c>
      <c r="Q1820" s="614">
        <v>46250</v>
      </c>
      <c r="R1820" s="614">
        <v>46188</v>
      </c>
      <c r="S1820" s="874" t="s">
        <v>70</v>
      </c>
      <c r="T1820" s="614" t="s">
        <v>10452</v>
      </c>
      <c r="U1820" s="614"/>
      <c r="V1820" s="614"/>
      <c r="W1820" s="609"/>
      <c r="X1820" s="609" t="s">
        <v>10453</v>
      </c>
      <c r="Y1820" s="616" t="s">
        <v>415</v>
      </c>
      <c r="Z1820" s="609">
        <v>0.9448</v>
      </c>
      <c r="AA1820" s="616">
        <f t="shared" si="733"/>
        <v>3684.72</v>
      </c>
      <c r="AC1820" s="697"/>
      <c r="AD1820" s="610" t="s">
        <v>6093</v>
      </c>
      <c r="AE1820" s="610" t="s">
        <v>82</v>
      </c>
      <c r="AF1820" s="610"/>
      <c r="AG1820" s="610"/>
      <c r="AH1820" s="609"/>
      <c r="AI1820" s="609">
        <f>3887+13</f>
        <v>3900</v>
      </c>
      <c r="AJ1820" s="610">
        <f t="shared" si="728"/>
        <v>0</v>
      </c>
      <c r="AK1820" s="613"/>
      <c r="AL1820" s="610" t="s">
        <v>2368</v>
      </c>
      <c r="AM1820" s="610"/>
      <c r="AN1820" s="554"/>
      <c r="AO1820" s="554">
        <f>I1820</f>
        <v>3900</v>
      </c>
      <c r="AP1820" s="554"/>
      <c r="AQ1820" s="554"/>
      <c r="AR1820" s="619"/>
      <c r="AS1820" s="554"/>
      <c r="AT1820" s="554">
        <f>I1820</f>
        <v>3900</v>
      </c>
      <c r="AU1820" s="554"/>
      <c r="AV1820" s="554">
        <f>I1820</f>
        <v>3900</v>
      </c>
      <c r="AW1820" s="554"/>
      <c r="AX1820" s="714"/>
      <c r="AY1820" s="554"/>
      <c r="AZ1820" s="554"/>
      <c r="BA1820" s="554"/>
      <c r="BB1820" s="620">
        <f>I1820/24</f>
        <v>162.5</v>
      </c>
      <c r="BC1820" s="554"/>
      <c r="BD1820" s="554"/>
      <c r="BE1820" s="554"/>
      <c r="BF1820" s="554"/>
      <c r="BG1820" s="554"/>
      <c r="BH1820" s="554"/>
      <c r="BI1820" s="554"/>
      <c r="BJ1820" s="554"/>
      <c r="BK1820" s="554"/>
      <c r="BL1820" s="554"/>
      <c r="BM1820" s="554">
        <f>I1820/13</f>
        <v>300</v>
      </c>
      <c r="BN1820" s="554"/>
      <c r="BO1820" s="554"/>
      <c r="BP1820" s="554"/>
      <c r="BQ1820" s="554"/>
      <c r="BR1820" s="554"/>
      <c r="BS1820" s="554"/>
      <c r="BT1820" s="554"/>
      <c r="BU1820" s="554"/>
      <c r="BV1820" s="554"/>
      <c r="BW1820" s="554"/>
      <c r="BX1820" s="554"/>
      <c r="BY1820" s="554"/>
      <c r="BZ1820" s="554"/>
      <c r="CA1820" s="720"/>
      <c r="CB1820" s="555"/>
      <c r="CC1820" s="721"/>
      <c r="CD1820" s="554"/>
      <c r="CE1820" s="554"/>
      <c r="CF1820" s="554"/>
      <c r="CG1820" s="554"/>
      <c r="CH1820" s="554"/>
      <c r="CI1820" s="554"/>
      <c r="CJ1820" s="554"/>
      <c r="CK1820" s="554"/>
      <c r="CL1820" s="554"/>
      <c r="CM1820" s="554"/>
      <c r="CN1820" s="554"/>
      <c r="CO1820" s="554"/>
      <c r="CP1820" s="619"/>
      <c r="CQ1820" s="619"/>
      <c r="CR1820" s="554"/>
      <c r="CS1820" s="554"/>
      <c r="CT1820" s="554"/>
      <c r="CU1820" s="554">
        <f t="shared" si="739"/>
        <v>0</v>
      </c>
      <c r="CV1820" s="554">
        <f t="shared" si="742"/>
        <v>0</v>
      </c>
      <c r="CW1820" s="554">
        <f t="shared" si="743"/>
        <v>0</v>
      </c>
      <c r="CX1820" s="619"/>
      <c r="CY1820" s="619"/>
      <c r="CZ1820" s="619"/>
      <c r="DA1820" s="619"/>
      <c r="DB1820" s="619"/>
      <c r="DC1820" s="619"/>
      <c r="DD1820" s="619"/>
      <c r="DE1820" s="619"/>
      <c r="DF1820" s="619"/>
      <c r="DG1820" s="619"/>
      <c r="DH1820" s="619"/>
    </row>
    <row r="1821" s="550" customFormat="1" ht="31" customHeight="1" spans="1:112">
      <c r="A1821" s="913">
        <v>46195</v>
      </c>
      <c r="B1821" s="848" t="s">
        <v>430</v>
      </c>
      <c r="C1821" s="914" t="s">
        <v>76</v>
      </c>
      <c r="D1821" s="928">
        <v>4500213229</v>
      </c>
      <c r="E1821" s="914">
        <v>3116</v>
      </c>
      <c r="F1821" s="556" t="s">
        <v>10454</v>
      </c>
      <c r="G1821" s="914" t="s">
        <v>6047</v>
      </c>
      <c r="H1821" s="914" t="s">
        <v>6069</v>
      </c>
      <c r="I1821" s="916">
        <v>1800</v>
      </c>
      <c r="J1821" s="914">
        <v>0</v>
      </c>
      <c r="K1821" s="929">
        <v>25</v>
      </c>
      <c r="L1821" s="930">
        <f t="shared" si="727"/>
        <v>72</v>
      </c>
      <c r="M1821" s="931">
        <v>46237</v>
      </c>
      <c r="N1821" s="931">
        <v>46232</v>
      </c>
      <c r="O1821" s="919"/>
      <c r="P1821" s="613" t="s">
        <v>113</v>
      </c>
      <c r="Q1821" s="863">
        <v>46237</v>
      </c>
      <c r="R1821" s="614">
        <v>46209</v>
      </c>
      <c r="S1821" s="614" t="s">
        <v>70</v>
      </c>
      <c r="T1821" s="932" t="s">
        <v>10455</v>
      </c>
      <c r="U1821" s="932"/>
      <c r="V1821" s="862"/>
      <c r="W1821" s="862"/>
      <c r="X1821" s="933" t="s">
        <v>10456</v>
      </c>
      <c r="Y1821" s="920" t="s">
        <v>1735</v>
      </c>
      <c r="Z1821" s="848">
        <v>0.9756</v>
      </c>
      <c r="AA1821" s="920">
        <f t="shared" si="733"/>
        <v>1756.08</v>
      </c>
      <c r="AB1821" s="573"/>
      <c r="AC1821" s="921"/>
      <c r="AD1821" s="610" t="s">
        <v>6047</v>
      </c>
      <c r="AE1821" s="914" t="s">
        <v>82</v>
      </c>
      <c r="AF1821" s="914"/>
      <c r="AG1821" s="914"/>
      <c r="AH1821" s="848"/>
      <c r="AI1821" s="609">
        <v>1800</v>
      </c>
      <c r="AJ1821" s="610">
        <f t="shared" si="728"/>
        <v>0</v>
      </c>
      <c r="AK1821" s="919"/>
      <c r="AL1821" s="914"/>
      <c r="AM1821" s="914"/>
      <c r="AN1821" s="556"/>
      <c r="AO1821" s="554">
        <f>I1821</f>
        <v>1800</v>
      </c>
      <c r="AP1821" s="556"/>
      <c r="AQ1821" s="556"/>
      <c r="AR1821" s="922"/>
      <c r="AS1821" s="556"/>
      <c r="AT1821" s="554">
        <f>I1821</f>
        <v>1800</v>
      </c>
      <c r="AU1821" s="556"/>
      <c r="AV1821" s="554">
        <f>I1821</f>
        <v>1800</v>
      </c>
      <c r="AW1821" s="556"/>
      <c r="AX1821" s="923"/>
      <c r="AY1821" s="556"/>
      <c r="AZ1821" s="556"/>
      <c r="BA1821" s="556"/>
      <c r="BB1821" s="620">
        <f>I1821/24</f>
        <v>75</v>
      </c>
      <c r="BC1821" s="556"/>
      <c r="BD1821" s="556"/>
      <c r="BE1821" s="556"/>
      <c r="BF1821" s="556"/>
      <c r="BG1821" s="556"/>
      <c r="BH1821" s="556"/>
      <c r="BI1821" s="556"/>
      <c r="BJ1821" s="556"/>
      <c r="BK1821" s="556"/>
      <c r="BL1821" s="556"/>
      <c r="BM1821" s="556"/>
      <c r="BN1821" s="556"/>
      <c r="BO1821" s="556"/>
      <c r="BP1821" s="554">
        <f>I1821/25</f>
        <v>72</v>
      </c>
      <c r="BQ1821" s="556"/>
      <c r="BR1821" s="556"/>
      <c r="BS1821" s="556"/>
      <c r="BT1821" s="556"/>
      <c r="BU1821" s="556"/>
      <c r="BV1821" s="556"/>
      <c r="BW1821" s="556"/>
      <c r="BX1821" s="556"/>
      <c r="BY1821" s="556"/>
      <c r="BZ1821" s="556"/>
      <c r="CA1821" s="925"/>
      <c r="CB1821" s="555"/>
      <c r="CC1821" s="927"/>
      <c r="CD1821" s="556"/>
      <c r="CE1821" s="556"/>
      <c r="CF1821" s="556"/>
      <c r="CG1821" s="556"/>
      <c r="CH1821" s="556"/>
      <c r="CI1821" s="556"/>
      <c r="CJ1821" s="556"/>
      <c r="CK1821" s="556"/>
      <c r="CL1821" s="556"/>
      <c r="CM1821" s="556"/>
      <c r="CN1821" s="556"/>
      <c r="CO1821" s="556"/>
      <c r="CP1821" s="922"/>
      <c r="CQ1821" s="922"/>
      <c r="CR1821" s="556"/>
      <c r="CS1821" s="556"/>
      <c r="CT1821" s="556"/>
      <c r="CU1821" s="554">
        <f t="shared" si="739"/>
        <v>72</v>
      </c>
      <c r="CV1821" s="554">
        <f t="shared" si="742"/>
        <v>0</v>
      </c>
      <c r="CW1821" s="554">
        <f t="shared" si="743"/>
        <v>0</v>
      </c>
      <c r="CX1821" s="922"/>
      <c r="CY1821" s="922"/>
      <c r="CZ1821" s="922"/>
      <c r="DA1821" s="922"/>
      <c r="DB1821" s="922"/>
      <c r="DC1821" s="922"/>
      <c r="DD1821" s="922"/>
      <c r="DE1821" s="922"/>
      <c r="DF1821" s="922"/>
      <c r="DG1821" s="922"/>
      <c r="DH1821" s="922"/>
    </row>
    <row r="1822" s="550" customFormat="1" ht="31" customHeight="1" spans="1:112">
      <c r="A1822" s="867">
        <v>46191</v>
      </c>
      <c r="B1822" s="605" t="s">
        <v>135</v>
      </c>
      <c r="C1822" s="589" t="s">
        <v>128</v>
      </c>
      <c r="D1822" s="557">
        <v>4500209728</v>
      </c>
      <c r="E1822" s="589">
        <v>21781411</v>
      </c>
      <c r="F1822" s="557" t="s">
        <v>10457</v>
      </c>
      <c r="G1822" s="589" t="s">
        <v>6093</v>
      </c>
      <c r="H1822" s="589" t="s">
        <v>6094</v>
      </c>
      <c r="I1822" s="868">
        <v>3367</v>
      </c>
      <c r="J1822" s="589">
        <v>0</v>
      </c>
      <c r="K1822" s="869">
        <v>13</v>
      </c>
      <c r="L1822" s="870">
        <f t="shared" si="727"/>
        <v>259</v>
      </c>
      <c r="M1822" s="871">
        <v>46237</v>
      </c>
      <c r="N1822" s="885">
        <v>46237</v>
      </c>
      <c r="O1822" s="873"/>
      <c r="P1822" s="589" t="s">
        <v>113</v>
      </c>
      <c r="Q1822" s="874"/>
      <c r="R1822" s="874">
        <v>46204</v>
      </c>
      <c r="S1822" s="614" t="s">
        <v>104</v>
      </c>
      <c r="T1822" s="874" t="s">
        <v>10458</v>
      </c>
      <c r="U1822" s="874"/>
      <c r="V1822" s="874"/>
      <c r="W1822" s="573"/>
      <c r="X1822" s="605" t="s">
        <v>10459</v>
      </c>
      <c r="Y1822" s="876" t="s">
        <v>3206</v>
      </c>
      <c r="Z1822" s="605">
        <v>0.9685</v>
      </c>
      <c r="AA1822" s="876">
        <f t="shared" si="733"/>
        <v>3260.9395</v>
      </c>
      <c r="AC1822" s="877"/>
      <c r="AD1822" s="610" t="s">
        <v>6093</v>
      </c>
      <c r="AE1822" s="610" t="s">
        <v>82</v>
      </c>
      <c r="AF1822" s="589"/>
      <c r="AG1822" s="589"/>
      <c r="AH1822" s="605"/>
      <c r="AI1822" s="609">
        <v>3367</v>
      </c>
      <c r="AJ1822" s="610">
        <f t="shared" si="728"/>
        <v>0</v>
      </c>
      <c r="AK1822" s="873"/>
      <c r="AL1822" s="589" t="s">
        <v>2368</v>
      </c>
      <c r="AM1822" s="589"/>
      <c r="AN1822" s="589"/>
      <c r="AO1822" s="557">
        <f>I1822</f>
        <v>3367</v>
      </c>
      <c r="AP1822" s="557"/>
      <c r="AQ1822" s="557"/>
      <c r="AR1822" s="878"/>
      <c r="AS1822" s="557"/>
      <c r="AT1822" s="554">
        <f>I1822</f>
        <v>3367</v>
      </c>
      <c r="AU1822" s="554"/>
      <c r="AV1822" s="554">
        <f>I1822</f>
        <v>3367</v>
      </c>
      <c r="AW1822" s="934"/>
      <c r="AX1822" s="879"/>
      <c r="AY1822" s="557"/>
      <c r="AZ1822" s="557"/>
      <c r="BA1822" s="557"/>
      <c r="BB1822" s="620">
        <f>I1822/24</f>
        <v>140.291666666667</v>
      </c>
      <c r="BC1822" s="557"/>
      <c r="BD1822" s="557"/>
      <c r="BE1822" s="557"/>
      <c r="BF1822" s="880"/>
      <c r="BG1822" s="881"/>
      <c r="BH1822" s="882"/>
      <c r="BI1822" s="557"/>
      <c r="BJ1822" s="557"/>
      <c r="BK1822" s="557"/>
      <c r="BL1822" s="557"/>
      <c r="BM1822" s="554">
        <f>I1822/13</f>
        <v>259</v>
      </c>
      <c r="BN1822" s="557"/>
      <c r="BO1822" s="557"/>
      <c r="BP1822" s="557"/>
      <c r="BQ1822" s="557"/>
      <c r="BR1822" s="557"/>
      <c r="BS1822" s="557"/>
      <c r="BT1822" s="557"/>
      <c r="BU1822" s="557"/>
      <c r="BV1822" s="557"/>
      <c r="BW1822" s="557"/>
      <c r="BX1822" s="557"/>
      <c r="BY1822" s="557"/>
      <c r="BZ1822" s="557"/>
      <c r="CA1822" s="883"/>
      <c r="CB1822" s="555"/>
      <c r="CC1822" s="882"/>
      <c r="CD1822" s="557"/>
      <c r="CE1822" s="557"/>
      <c r="CF1822" s="557"/>
      <c r="CG1822" s="880"/>
      <c r="CH1822" s="881"/>
      <c r="CI1822" s="882"/>
      <c r="CJ1822" s="557"/>
      <c r="CK1822" s="557"/>
      <c r="CL1822" s="557"/>
      <c r="CM1822" s="557"/>
      <c r="CN1822" s="557"/>
      <c r="CO1822" s="557"/>
      <c r="CP1822" s="878"/>
      <c r="CQ1822" s="878"/>
      <c r="CR1822" s="557"/>
      <c r="CS1822" s="557"/>
      <c r="CT1822" s="557"/>
      <c r="CU1822" s="554">
        <f t="shared" si="739"/>
        <v>0</v>
      </c>
      <c r="CV1822" s="554">
        <f t="shared" si="742"/>
        <v>0</v>
      </c>
      <c r="CW1822" s="554">
        <f t="shared" si="743"/>
        <v>0</v>
      </c>
      <c r="CX1822" s="878"/>
      <c r="CY1822" s="878"/>
      <c r="CZ1822" s="878"/>
      <c r="DA1822" s="878"/>
      <c r="DB1822" s="878"/>
      <c r="DC1822" s="878"/>
      <c r="DD1822" s="878"/>
      <c r="DE1822" s="878"/>
      <c r="DF1822" s="878"/>
      <c r="DG1822" s="878"/>
      <c r="DH1822" s="878"/>
    </row>
    <row r="1823" s="550" customFormat="1" ht="31" customHeight="1" spans="1:112">
      <c r="A1823" s="608">
        <v>46182</v>
      </c>
      <c r="B1823" s="609" t="s">
        <v>1544</v>
      </c>
      <c r="C1823" s="610" t="s">
        <v>257</v>
      </c>
      <c r="D1823" s="554">
        <v>4500211227</v>
      </c>
      <c r="E1823" s="610">
        <v>4400575074</v>
      </c>
      <c r="F1823" s="554" t="s">
        <v>10460</v>
      </c>
      <c r="G1823" s="610" t="s">
        <v>6047</v>
      </c>
      <c r="H1823" s="610" t="s">
        <v>6069</v>
      </c>
      <c r="I1823" s="715">
        <v>7150</v>
      </c>
      <c r="J1823" s="610">
        <v>0</v>
      </c>
      <c r="K1823" s="843">
        <v>25</v>
      </c>
      <c r="L1823" s="844">
        <f t="shared" si="727"/>
        <v>286</v>
      </c>
      <c r="M1823" s="845">
        <v>46237</v>
      </c>
      <c r="N1823" s="612">
        <v>46233</v>
      </c>
      <c r="O1823" s="613"/>
      <c r="P1823" s="610" t="s">
        <v>113</v>
      </c>
      <c r="Q1823" s="614"/>
      <c r="R1823" s="614">
        <v>46182</v>
      </c>
      <c r="S1823" s="614" t="s">
        <v>70</v>
      </c>
      <c r="T1823" s="614" t="s">
        <v>8294</v>
      </c>
      <c r="U1823" s="614"/>
      <c r="V1823" s="614"/>
      <c r="W1823" s="573"/>
      <c r="X1823" s="609" t="s">
        <v>10461</v>
      </c>
      <c r="Y1823" s="616" t="s">
        <v>5054</v>
      </c>
      <c r="Z1823" s="609">
        <v>0.9703</v>
      </c>
      <c r="AA1823" s="616">
        <f t="shared" si="733"/>
        <v>6937.645</v>
      </c>
      <c r="AC1823" s="697"/>
      <c r="AD1823" s="610" t="s">
        <v>6047</v>
      </c>
      <c r="AE1823" s="610" t="s">
        <v>82</v>
      </c>
      <c r="AF1823" s="610"/>
      <c r="AG1823" s="610"/>
      <c r="AH1823" s="609"/>
      <c r="AI1823" s="609">
        <v>7150</v>
      </c>
      <c r="AJ1823" s="610">
        <f t="shared" si="728"/>
        <v>0</v>
      </c>
      <c r="AK1823" s="613"/>
      <c r="AL1823" s="610" t="s">
        <v>2368</v>
      </c>
      <c r="AM1823" s="610"/>
      <c r="AN1823" s="610"/>
      <c r="AO1823" s="554">
        <f>I1823</f>
        <v>7150</v>
      </c>
      <c r="AP1823" s="554"/>
      <c r="AQ1823" s="554"/>
      <c r="AR1823" s="619"/>
      <c r="AS1823" s="554"/>
      <c r="AT1823" s="554">
        <f>I1823</f>
        <v>7150</v>
      </c>
      <c r="AU1823" s="554"/>
      <c r="AV1823" s="554">
        <f>I1823</f>
        <v>7150</v>
      </c>
      <c r="AW1823" s="554"/>
      <c r="AX1823" s="714"/>
      <c r="AY1823" s="554"/>
      <c r="AZ1823" s="554"/>
      <c r="BA1823" s="554"/>
      <c r="BB1823" s="620">
        <f>I1823/24*2</f>
        <v>595.833333333333</v>
      </c>
      <c r="BC1823" s="554"/>
      <c r="BD1823" s="554"/>
      <c r="BE1823" s="554"/>
      <c r="BF1823" s="720"/>
      <c r="BG1823" s="555"/>
      <c r="BH1823" s="721"/>
      <c r="BI1823" s="554"/>
      <c r="BJ1823" s="554"/>
      <c r="BK1823" s="554"/>
      <c r="BL1823" s="554"/>
      <c r="BM1823" s="554"/>
      <c r="BN1823" s="554"/>
      <c r="BO1823" s="554"/>
      <c r="BP1823" s="554">
        <f>I1823/25</f>
        <v>286</v>
      </c>
      <c r="BQ1823" s="554"/>
      <c r="BR1823" s="554"/>
      <c r="BS1823" s="554"/>
      <c r="BT1823" s="554"/>
      <c r="BU1823" s="554"/>
      <c r="BV1823" s="554"/>
      <c r="BW1823" s="554"/>
      <c r="BX1823" s="554"/>
      <c r="BY1823" s="554"/>
      <c r="BZ1823" s="554"/>
      <c r="CA1823" s="720"/>
      <c r="CB1823" s="555"/>
      <c r="CC1823" s="721"/>
      <c r="CD1823" s="554"/>
      <c r="CE1823" s="554"/>
      <c r="CF1823" s="554"/>
      <c r="CG1823" s="720"/>
      <c r="CH1823" s="555"/>
      <c r="CI1823" s="721"/>
      <c r="CJ1823" s="554"/>
      <c r="CK1823" s="554"/>
      <c r="CL1823" s="554"/>
      <c r="CM1823" s="554"/>
      <c r="CN1823" s="554"/>
      <c r="CO1823" s="554"/>
      <c r="CP1823" s="619"/>
      <c r="CQ1823" s="619"/>
      <c r="CR1823" s="554"/>
      <c r="CS1823" s="554"/>
      <c r="CT1823" s="554"/>
      <c r="CU1823" s="554">
        <f t="shared" si="739"/>
        <v>286</v>
      </c>
      <c r="CV1823" s="554">
        <f t="shared" si="742"/>
        <v>0</v>
      </c>
      <c r="CW1823" s="554">
        <f t="shared" si="743"/>
        <v>0</v>
      </c>
      <c r="CX1823" s="619"/>
      <c r="CY1823" s="619"/>
      <c r="CZ1823" s="619"/>
      <c r="DA1823" s="619"/>
      <c r="DB1823" s="619"/>
      <c r="DC1823" s="619"/>
      <c r="DD1823" s="619"/>
      <c r="DE1823" s="619"/>
      <c r="DF1823" s="619"/>
      <c r="DG1823" s="619"/>
      <c r="DH1823" s="619"/>
    </row>
    <row r="1824" s="556" customFormat="1" ht="31" customHeight="1" spans="1:112">
      <c r="A1824" s="913">
        <v>46112</v>
      </c>
      <c r="B1824" s="848" t="s">
        <v>7688</v>
      </c>
      <c r="C1824" s="914" t="s">
        <v>278</v>
      </c>
      <c r="D1824" s="935">
        <v>4500199243</v>
      </c>
      <c r="E1824" s="919">
        <v>89015144</v>
      </c>
      <c r="F1824" s="556" t="s">
        <v>10462</v>
      </c>
      <c r="G1824" s="914" t="s">
        <v>6136</v>
      </c>
      <c r="H1824" s="914" t="s">
        <v>9259</v>
      </c>
      <c r="I1824" s="916">
        <v>2600</v>
      </c>
      <c r="J1824" s="914">
        <v>13</v>
      </c>
      <c r="K1824" s="914">
        <v>104</v>
      </c>
      <c r="L1824" s="917">
        <f t="shared" si="727"/>
        <v>25</v>
      </c>
      <c r="M1824" s="918">
        <v>46238</v>
      </c>
      <c r="N1824" s="918">
        <v>46234</v>
      </c>
      <c r="O1824" s="919"/>
      <c r="P1824" s="914" t="s">
        <v>113</v>
      </c>
      <c r="Q1824" s="863"/>
      <c r="R1824" s="863">
        <v>46129</v>
      </c>
      <c r="S1824" s="863" t="s">
        <v>70</v>
      </c>
      <c r="T1824" s="863" t="s">
        <v>70</v>
      </c>
      <c r="U1824" s="863"/>
      <c r="V1824" s="863" t="s">
        <v>9260</v>
      </c>
      <c r="W1824" s="848"/>
      <c r="X1824" s="848" t="s">
        <v>10463</v>
      </c>
      <c r="Y1824" s="920" t="s">
        <v>1549</v>
      </c>
      <c r="Z1824" s="848">
        <v>0.9268</v>
      </c>
      <c r="AA1824" s="920">
        <f t="shared" si="733"/>
        <v>2409.68</v>
      </c>
      <c r="AC1824" s="921"/>
      <c r="AD1824" s="914" t="s">
        <v>6136</v>
      </c>
      <c r="AE1824" s="914" t="s">
        <v>82</v>
      </c>
      <c r="AF1824" s="914"/>
      <c r="AG1824" s="914"/>
      <c r="AH1824" s="848"/>
      <c r="AI1824" s="848">
        <v>2600</v>
      </c>
      <c r="AJ1824" s="914">
        <f t="shared" si="728"/>
        <v>0</v>
      </c>
      <c r="AK1824" s="919"/>
      <c r="AL1824" s="914"/>
      <c r="AM1824" s="914"/>
      <c r="AN1824" s="556"/>
      <c r="AO1824" s="556">
        <f>I1824</f>
        <v>2600</v>
      </c>
      <c r="AT1824" s="556">
        <f>I1824</f>
        <v>2600</v>
      </c>
      <c r="AV1824" s="556">
        <f>I1824</f>
        <v>2600</v>
      </c>
      <c r="AX1824" s="923"/>
      <c r="AY1824" s="556"/>
      <c r="AZ1824" s="556"/>
      <c r="BA1824" s="556"/>
      <c r="BB1824" s="924">
        <f>I1824/24</f>
        <v>108.333333333333</v>
      </c>
      <c r="BM1824" s="556">
        <f>I1824/13</f>
        <v>200</v>
      </c>
      <c r="CA1824" s="925"/>
      <c r="CB1824" s="926"/>
      <c r="CC1824" s="927"/>
      <c r="CD1824" s="556"/>
      <c r="CE1824" s="556"/>
      <c r="CF1824" s="556"/>
      <c r="CG1824" s="556"/>
      <c r="CP1824" s="922"/>
      <c r="CQ1824" s="922"/>
      <c r="CR1824" s="922"/>
      <c r="CS1824" s="922"/>
      <c r="CT1824" s="922"/>
      <c r="CU1824" s="556">
        <f t="shared" si="739"/>
        <v>0</v>
      </c>
      <c r="CV1824" s="556">
        <f t="shared" si="742"/>
        <v>0</v>
      </c>
      <c r="CW1824" s="556">
        <f t="shared" si="743"/>
        <v>0</v>
      </c>
      <c r="CX1824" s="922"/>
      <c r="CY1824" s="922"/>
      <c r="CZ1824" s="922"/>
      <c r="DA1824" s="922"/>
      <c r="DB1824" s="922"/>
      <c r="DC1824" s="922"/>
      <c r="DD1824" s="922"/>
      <c r="DE1824" s="922"/>
      <c r="DF1824" s="922"/>
      <c r="DG1824" s="922"/>
      <c r="DH1824" s="922"/>
    </row>
    <row r="1825" s="557" customFormat="1" ht="31" customHeight="1" spans="1:113">
      <c r="A1825" s="867">
        <v>46169</v>
      </c>
      <c r="B1825" s="605" t="s">
        <v>2811</v>
      </c>
      <c r="C1825" s="589" t="s">
        <v>98</v>
      </c>
      <c r="D1825" s="886">
        <v>4500208302</v>
      </c>
      <c r="E1825" s="873">
        <v>70089477</v>
      </c>
      <c r="F1825" s="557" t="s">
        <v>10464</v>
      </c>
      <c r="G1825" s="589" t="s">
        <v>6787</v>
      </c>
      <c r="H1825" s="610" t="s">
        <v>6126</v>
      </c>
      <c r="I1825" s="868">
        <v>2700</v>
      </c>
      <c r="J1825" s="589">
        <v>0</v>
      </c>
      <c r="K1825" s="589">
        <v>12</v>
      </c>
      <c r="L1825" s="901">
        <f t="shared" si="727"/>
        <v>225</v>
      </c>
      <c r="M1825" s="872">
        <v>46238</v>
      </c>
      <c r="N1825" s="872">
        <v>46234</v>
      </c>
      <c r="O1825" s="873"/>
      <c r="P1825" s="589" t="s">
        <v>113</v>
      </c>
      <c r="Q1825" s="874">
        <v>46246</v>
      </c>
      <c r="R1825" s="874">
        <v>46169</v>
      </c>
      <c r="S1825" s="874" t="s">
        <v>70</v>
      </c>
      <c r="T1825" s="614" t="s">
        <v>10465</v>
      </c>
      <c r="U1825" s="874"/>
      <c r="V1825" s="874"/>
      <c r="W1825" s="605"/>
      <c r="X1825" s="605" t="s">
        <v>10466</v>
      </c>
      <c r="Y1825" s="876" t="s">
        <v>1318</v>
      </c>
      <c r="Z1825" s="605">
        <v>1.3318</v>
      </c>
      <c r="AA1825" s="876">
        <f t="shared" si="733"/>
        <v>3595.86</v>
      </c>
      <c r="AC1825" s="877"/>
      <c r="AD1825" s="589" t="s">
        <v>8545</v>
      </c>
      <c r="AE1825" s="589" t="s">
        <v>82</v>
      </c>
      <c r="AF1825" s="589"/>
      <c r="AG1825" s="589"/>
      <c r="AH1825" s="605"/>
      <c r="AI1825" s="609">
        <v>2700</v>
      </c>
      <c r="AJ1825" s="589">
        <f t="shared" si="728"/>
        <v>0</v>
      </c>
      <c r="AK1825" s="873"/>
      <c r="AL1825" s="589"/>
      <c r="AM1825" s="589"/>
      <c r="AN1825" s="589">
        <f>I1825*2</f>
        <v>5400</v>
      </c>
      <c r="AP1825" s="557">
        <f>I1825*2</f>
        <v>5400</v>
      </c>
      <c r="AR1825" s="878"/>
      <c r="AS1825" s="557"/>
      <c r="AT1825" s="557"/>
      <c r="AU1825" s="557">
        <f>I1825*2</f>
        <v>5400</v>
      </c>
      <c r="AX1825" s="879"/>
      <c r="AY1825" s="557"/>
      <c r="AZ1825" s="557"/>
      <c r="BA1825" s="557"/>
      <c r="BB1825" s="888">
        <f>I1825/24*2</f>
        <v>225</v>
      </c>
      <c r="CA1825" s="880"/>
      <c r="CB1825" s="555"/>
      <c r="CC1825" s="882"/>
      <c r="CD1825" s="557"/>
      <c r="CE1825" s="557"/>
      <c r="CF1825" s="557"/>
      <c r="CG1825" s="557"/>
      <c r="CP1825" s="878"/>
      <c r="CQ1825" s="878"/>
      <c r="CR1825" s="557">
        <f>I1825</f>
        <v>2700</v>
      </c>
      <c r="CS1825" s="557">
        <f>I1825</f>
        <v>2700</v>
      </c>
      <c r="CT1825" s="557">
        <f>I1825</f>
        <v>2700</v>
      </c>
      <c r="CU1825" s="557">
        <f t="shared" si="739"/>
        <v>0</v>
      </c>
      <c r="CV1825" s="557">
        <f t="shared" si="742"/>
        <v>0</v>
      </c>
      <c r="CW1825" s="557">
        <f t="shared" si="743"/>
        <v>0</v>
      </c>
      <c r="CX1825" s="878"/>
      <c r="CY1825" s="878"/>
      <c r="CZ1825" s="878"/>
      <c r="DA1825" s="878"/>
      <c r="DB1825" s="878"/>
      <c r="DC1825" s="878"/>
      <c r="DD1825" s="878"/>
      <c r="DE1825" s="878"/>
      <c r="DF1825" s="878"/>
      <c r="DG1825" s="878"/>
      <c r="DH1825" s="878"/>
    </row>
    <row r="1826" s="550" customFormat="1" ht="31" customHeight="1" spans="1:113">
      <c r="A1826" s="608">
        <v>46177</v>
      </c>
      <c r="B1826" s="609" t="s">
        <v>10074</v>
      </c>
      <c r="C1826" s="610" t="s">
        <v>212</v>
      </c>
      <c r="D1826" s="727">
        <v>4500210772</v>
      </c>
      <c r="E1826" s="610" t="s">
        <v>10467</v>
      </c>
      <c r="F1826" s="554" t="s">
        <v>10468</v>
      </c>
      <c r="G1826" s="610" t="s">
        <v>6040</v>
      </c>
      <c r="H1826" s="610" t="s">
        <v>6041</v>
      </c>
      <c r="I1826" s="715">
        <v>1248</v>
      </c>
      <c r="J1826" s="610">
        <v>0</v>
      </c>
      <c r="K1826" s="843">
        <v>52</v>
      </c>
      <c r="L1826" s="844">
        <f t="shared" si="727"/>
        <v>24</v>
      </c>
      <c r="M1826" s="845">
        <v>46233</v>
      </c>
      <c r="N1826" s="612">
        <v>46230</v>
      </c>
      <c r="O1826" s="613"/>
      <c r="P1826" s="610" t="s">
        <v>113</v>
      </c>
      <c r="Q1826" s="614">
        <v>46239</v>
      </c>
      <c r="R1826" s="614">
        <v>46178</v>
      </c>
      <c r="S1826" s="614" t="s">
        <v>70</v>
      </c>
      <c r="T1826" s="614" t="s">
        <v>10469</v>
      </c>
      <c r="U1826" s="863"/>
      <c r="V1826" s="863"/>
      <c r="W1826" s="573"/>
      <c r="X1826" s="609" t="s">
        <v>7983</v>
      </c>
      <c r="Y1826" s="616" t="s">
        <v>3527</v>
      </c>
      <c r="Z1826" s="609">
        <v>0.9521</v>
      </c>
      <c r="AA1826" s="616">
        <f t="shared" si="733"/>
        <v>1188.2208</v>
      </c>
      <c r="AC1826" s="697"/>
      <c r="AD1826" s="610" t="s">
        <v>6040</v>
      </c>
      <c r="AE1826" s="610" t="s">
        <v>82</v>
      </c>
      <c r="AF1826" s="610"/>
      <c r="AG1826" s="610"/>
      <c r="AH1826" s="609"/>
      <c r="AI1826" s="609">
        <v>1248</v>
      </c>
      <c r="AJ1826" s="610">
        <f t="shared" si="728"/>
        <v>0</v>
      </c>
      <c r="AK1826" s="613"/>
      <c r="AL1826" s="610" t="s">
        <v>2368</v>
      </c>
      <c r="AM1826" s="610"/>
      <c r="AN1826" s="610"/>
      <c r="AO1826" s="554">
        <f>I1826</f>
        <v>1248</v>
      </c>
      <c r="AP1826" s="554"/>
      <c r="AQ1826" s="554"/>
      <c r="AR1826" s="619"/>
      <c r="AS1826" s="554"/>
      <c r="AT1826" s="554">
        <f>I1826</f>
        <v>1248</v>
      </c>
      <c r="AU1826" s="554"/>
      <c r="AV1826" s="554">
        <f>I1826</f>
        <v>1248</v>
      </c>
      <c r="AW1826" s="554"/>
      <c r="AX1826" s="714"/>
      <c r="AY1826" s="554"/>
      <c r="AZ1826" s="554"/>
      <c r="BA1826" s="554"/>
      <c r="BB1826" s="620">
        <f>I1826/24</f>
        <v>52</v>
      </c>
      <c r="BC1826" s="554"/>
      <c r="BD1826" s="554"/>
      <c r="BE1826" s="554"/>
      <c r="BF1826" s="554"/>
      <c r="BG1826" s="550"/>
      <c r="BH1826" s="554"/>
      <c r="BI1826" s="554"/>
      <c r="BJ1826" s="554"/>
      <c r="BK1826" s="554"/>
      <c r="BL1826" s="554"/>
      <c r="BM1826" s="554">
        <f>I1826/13</f>
        <v>96</v>
      </c>
      <c r="BN1826" s="554"/>
      <c r="BO1826" s="554"/>
      <c r="BP1826" s="554"/>
      <c r="BQ1826" s="554"/>
      <c r="BR1826" s="554"/>
      <c r="BS1826" s="554"/>
      <c r="BT1826" s="554"/>
      <c r="BU1826" s="554"/>
      <c r="BV1826" s="554"/>
      <c r="BW1826" s="554"/>
      <c r="BX1826" s="554"/>
      <c r="BY1826" s="554"/>
      <c r="BZ1826" s="554"/>
      <c r="CA1826" s="720"/>
      <c r="CB1826" s="555"/>
      <c r="CC1826" s="721"/>
      <c r="CD1826" s="554"/>
      <c r="CE1826" s="554"/>
      <c r="CF1826" s="554"/>
      <c r="CG1826" s="554"/>
      <c r="CH1826" s="550"/>
      <c r="CI1826" s="554"/>
      <c r="CJ1826" s="554"/>
      <c r="CK1826" s="554"/>
      <c r="CL1826" s="554"/>
      <c r="CM1826" s="554"/>
      <c r="CN1826" s="554"/>
      <c r="CO1826" s="554"/>
      <c r="CP1826" s="619"/>
      <c r="CQ1826" s="619"/>
      <c r="CR1826" s="554"/>
      <c r="CS1826" s="554"/>
      <c r="CT1826" s="554"/>
      <c r="CU1826" s="554">
        <f t="shared" si="739"/>
        <v>0</v>
      </c>
      <c r="CV1826" s="554">
        <v>0</v>
      </c>
      <c r="CW1826" s="554">
        <v>0</v>
      </c>
      <c r="CX1826" s="619"/>
      <c r="CY1826" s="619"/>
      <c r="CZ1826" s="619"/>
      <c r="DA1826" s="619"/>
      <c r="DB1826" s="619"/>
      <c r="DC1826" s="619"/>
      <c r="DD1826" s="619"/>
      <c r="DE1826" s="619"/>
      <c r="DF1826" s="619"/>
      <c r="DG1826" s="619"/>
      <c r="DH1826" s="619"/>
    </row>
    <row r="1827" s="550" customFormat="1" ht="31" customHeight="1" spans="1:113">
      <c r="A1827" s="608">
        <v>46155</v>
      </c>
      <c r="B1827" s="609" t="s">
        <v>2734</v>
      </c>
      <c r="C1827" s="610" t="s">
        <v>98</v>
      </c>
      <c r="D1827" s="727">
        <v>4500206411</v>
      </c>
      <c r="E1827" s="613">
        <v>60302375</v>
      </c>
      <c r="F1827" s="554" t="s">
        <v>5220</v>
      </c>
      <c r="G1827" s="610" t="s">
        <v>8520</v>
      </c>
      <c r="H1827" s="610" t="s">
        <v>8521</v>
      </c>
      <c r="I1827" s="715">
        <v>5400</v>
      </c>
      <c r="J1827" s="610">
        <v>0</v>
      </c>
      <c r="K1827" s="610">
        <v>8</v>
      </c>
      <c r="L1827" s="611">
        <f t="shared" si="727"/>
        <v>675</v>
      </c>
      <c r="M1827" s="612">
        <v>46233</v>
      </c>
      <c r="N1827" s="612">
        <v>46230</v>
      </c>
      <c r="O1827" s="613"/>
      <c r="P1827" s="610" t="s">
        <v>113</v>
      </c>
      <c r="Q1827" s="614">
        <v>46241</v>
      </c>
      <c r="R1827" s="614">
        <v>46175</v>
      </c>
      <c r="S1827" s="614" t="s">
        <v>70</v>
      </c>
      <c r="T1827" s="614" t="s">
        <v>9963</v>
      </c>
      <c r="U1827" s="614"/>
      <c r="V1827" s="614"/>
      <c r="W1827" s="573"/>
      <c r="X1827" s="609" t="s">
        <v>5222</v>
      </c>
      <c r="Y1827" s="616" t="s">
        <v>1318</v>
      </c>
      <c r="Z1827" s="609">
        <v>4.0382</v>
      </c>
      <c r="AA1827" s="616">
        <f t="shared" si="733"/>
        <v>21806.28</v>
      </c>
      <c r="AC1827" s="678" t="s">
        <v>5223</v>
      </c>
      <c r="AD1827" s="610" t="s">
        <v>2741</v>
      </c>
      <c r="AE1827" s="610" t="s">
        <v>82</v>
      </c>
      <c r="AF1827" s="610"/>
      <c r="AG1827" s="610"/>
      <c r="AH1827" s="609"/>
      <c r="AI1827" s="609">
        <f>4032+1368</f>
        <v>5400</v>
      </c>
      <c r="AJ1827" s="610">
        <f t="shared" si="728"/>
        <v>0</v>
      </c>
      <c r="AK1827" s="613"/>
      <c r="AL1827" s="610" t="s">
        <v>2368</v>
      </c>
      <c r="AM1827" s="610"/>
      <c r="AN1827" s="610">
        <f>I1827*2</f>
        <v>10800</v>
      </c>
      <c r="AO1827" s="554"/>
      <c r="AP1827" s="554">
        <f>I1827*2</f>
        <v>10800</v>
      </c>
      <c r="AQ1827" s="554"/>
      <c r="AR1827" s="619"/>
      <c r="AS1827" s="554"/>
      <c r="AT1827" s="554"/>
      <c r="AU1827" s="554">
        <f>I1827*2</f>
        <v>10800</v>
      </c>
      <c r="AV1827" s="554"/>
      <c r="AW1827" s="554"/>
      <c r="AX1827" s="714"/>
      <c r="AY1827" s="554"/>
      <c r="AZ1827" s="554"/>
      <c r="BA1827" s="554"/>
      <c r="BB1827" s="620">
        <f>I1827/24*2</f>
        <v>450</v>
      </c>
      <c r="BC1827" s="554"/>
      <c r="BD1827" s="554"/>
      <c r="BE1827" s="554"/>
      <c r="BF1827" s="554"/>
      <c r="BG1827" s="550"/>
      <c r="BH1827" s="554"/>
      <c r="BI1827" s="554"/>
      <c r="BJ1827" s="554"/>
      <c r="BK1827" s="554"/>
      <c r="BL1827" s="554"/>
      <c r="BM1827" s="554"/>
      <c r="BN1827" s="554"/>
      <c r="BO1827" s="554"/>
      <c r="BP1827" s="554"/>
      <c r="BQ1827" s="554"/>
      <c r="BR1827" s="554"/>
      <c r="BS1827" s="554"/>
      <c r="BT1827" s="554"/>
      <c r="BU1827" s="554"/>
      <c r="BV1827" s="554"/>
      <c r="BW1827" s="554"/>
      <c r="BX1827" s="554"/>
      <c r="BY1827" s="554"/>
      <c r="BZ1827" s="554"/>
      <c r="CA1827" s="621">
        <f>I1827</f>
        <v>5400</v>
      </c>
      <c r="CB1827" s="555"/>
      <c r="CC1827" s="622"/>
      <c r="CD1827" s="619"/>
      <c r="CE1827" s="619"/>
      <c r="CF1827" s="554"/>
      <c r="CG1827" s="554"/>
      <c r="CH1827" s="550"/>
      <c r="CI1827" s="554"/>
      <c r="CJ1827" s="554"/>
      <c r="CK1827" s="554"/>
      <c r="CL1827" s="554"/>
      <c r="CM1827" s="554"/>
      <c r="CN1827" s="554"/>
      <c r="CO1827" s="554"/>
      <c r="CP1827" s="619"/>
      <c r="CQ1827" s="619"/>
      <c r="CR1827" s="554"/>
      <c r="CS1827" s="554"/>
      <c r="CT1827" s="554"/>
      <c r="CU1827" s="554">
        <f t="shared" si="739"/>
        <v>0</v>
      </c>
      <c r="CV1827" s="554">
        <f>CK1827+CL1827+CM1827+CN1827+CO1827+CQ1827+CP1827</f>
        <v>0</v>
      </c>
      <c r="CW1827" s="554">
        <f>CI1827+CJ1827</f>
        <v>0</v>
      </c>
      <c r="CX1827" s="619"/>
      <c r="CY1827" s="619"/>
      <c r="CZ1827" s="619"/>
      <c r="DA1827" s="619"/>
      <c r="DB1827" s="619"/>
      <c r="DC1827" s="619"/>
      <c r="DD1827" s="619"/>
      <c r="DE1827" s="619"/>
      <c r="DF1827" s="619"/>
      <c r="DG1827" s="619"/>
      <c r="DH1827" s="619"/>
      <c r="DI1827" s="554"/>
    </row>
    <row r="1828" s="550" customFormat="1" ht="31" customHeight="1" spans="1:113">
      <c r="A1828" s="608">
        <v>46185</v>
      </c>
      <c r="B1828" s="609" t="s">
        <v>1642</v>
      </c>
      <c r="C1828" s="610" t="s">
        <v>723</v>
      </c>
      <c r="D1828" s="727">
        <v>4500211850</v>
      </c>
      <c r="E1828" s="610" t="s">
        <v>5057</v>
      </c>
      <c r="F1828" s="554" t="s">
        <v>10470</v>
      </c>
      <c r="G1828" s="610" t="s">
        <v>6040</v>
      </c>
      <c r="H1828" s="610" t="s">
        <v>6041</v>
      </c>
      <c r="I1828" s="715">
        <v>624</v>
      </c>
      <c r="J1828" s="610">
        <v>0</v>
      </c>
      <c r="K1828" s="843">
        <v>52</v>
      </c>
      <c r="L1828" s="844">
        <f t="shared" si="727"/>
        <v>12</v>
      </c>
      <c r="M1828" s="845">
        <v>46234</v>
      </c>
      <c r="N1828" s="612">
        <v>46230</v>
      </c>
      <c r="O1828" s="613"/>
      <c r="P1828" s="610" t="s">
        <v>113</v>
      </c>
      <c r="Q1828" s="614">
        <v>46240</v>
      </c>
      <c r="R1828" s="614">
        <v>46185</v>
      </c>
      <c r="S1828" s="614" t="s">
        <v>70</v>
      </c>
      <c r="T1828" s="614" t="s">
        <v>10471</v>
      </c>
      <c r="U1828" s="614"/>
      <c r="V1828" s="614"/>
      <c r="W1828" s="573"/>
      <c r="X1828" s="609" t="s">
        <v>10472</v>
      </c>
      <c r="Y1828" s="616" t="s">
        <v>1793</v>
      </c>
      <c r="Z1828" s="609">
        <v>0.9575</v>
      </c>
      <c r="AA1828" s="616">
        <f t="shared" si="733"/>
        <v>597.48</v>
      </c>
      <c r="AC1828" s="697"/>
      <c r="AD1828" s="610" t="s">
        <v>6040</v>
      </c>
      <c r="AE1828" s="610" t="s">
        <v>82</v>
      </c>
      <c r="AF1828" s="610"/>
      <c r="AG1828" s="610"/>
      <c r="AH1828" s="609"/>
      <c r="AI1828" s="609">
        <v>624</v>
      </c>
      <c r="AJ1828" s="610">
        <f t="shared" si="728"/>
        <v>0</v>
      </c>
      <c r="AK1828" s="613"/>
      <c r="AL1828" s="610" t="s">
        <v>2368</v>
      </c>
      <c r="AM1828" s="610"/>
      <c r="AN1828" s="610"/>
      <c r="AO1828" s="554">
        <f>I1828</f>
        <v>624</v>
      </c>
      <c r="AP1828" s="554"/>
      <c r="AQ1828" s="554"/>
      <c r="AR1828" s="619"/>
      <c r="AS1828" s="554"/>
      <c r="AT1828" s="554">
        <f>I1828</f>
        <v>624</v>
      </c>
      <c r="AU1828" s="554"/>
      <c r="AV1828" s="554">
        <f>I1828</f>
        <v>624</v>
      </c>
      <c r="AW1828" s="554"/>
      <c r="AX1828" s="714"/>
      <c r="AY1828" s="554"/>
      <c r="AZ1828" s="554"/>
      <c r="BA1828" s="554"/>
      <c r="BB1828" s="620">
        <f>I1828/24</f>
        <v>26</v>
      </c>
      <c r="BC1828" s="554"/>
      <c r="BD1828" s="554"/>
      <c r="BE1828" s="554"/>
      <c r="BF1828" s="720"/>
      <c r="BG1828" s="555"/>
      <c r="BH1828" s="721"/>
      <c r="BI1828" s="554"/>
      <c r="BJ1828" s="554"/>
      <c r="BK1828" s="554"/>
      <c r="BL1828" s="554"/>
      <c r="BM1828" s="554">
        <f>I1828/13</f>
        <v>48</v>
      </c>
      <c r="BN1828" s="554"/>
      <c r="BO1828" s="554"/>
      <c r="BP1828" s="554"/>
      <c r="BQ1828" s="554"/>
      <c r="BR1828" s="554"/>
      <c r="BS1828" s="554"/>
      <c r="BT1828" s="554"/>
      <c r="BU1828" s="554"/>
      <c r="BV1828" s="554"/>
      <c r="BW1828" s="554"/>
      <c r="BX1828" s="554"/>
      <c r="BY1828" s="554"/>
      <c r="BZ1828" s="554"/>
      <c r="CA1828" s="720"/>
      <c r="CB1828" s="555"/>
      <c r="CC1828" s="721"/>
      <c r="CD1828" s="554"/>
      <c r="CE1828" s="554"/>
      <c r="CF1828" s="554"/>
      <c r="CG1828" s="720"/>
      <c r="CH1828" s="555"/>
      <c r="CI1828" s="721"/>
      <c r="CJ1828" s="554"/>
      <c r="CK1828" s="554"/>
      <c r="CL1828" s="554"/>
      <c r="CM1828" s="554"/>
      <c r="CN1828" s="554"/>
      <c r="CO1828" s="554"/>
      <c r="CP1828" s="619"/>
      <c r="CQ1828" s="619"/>
      <c r="CR1828" s="554"/>
      <c r="CS1828" s="554"/>
      <c r="CT1828" s="554"/>
      <c r="CU1828" s="554">
        <f t="shared" si="739"/>
        <v>0</v>
      </c>
      <c r="CV1828" s="554">
        <f>CK1828+CL1828+CM1828+CN1828+CO1828+CQ1828+CP1828</f>
        <v>0</v>
      </c>
      <c r="CW1828" s="554">
        <f>CI1828+CJ1828</f>
        <v>0</v>
      </c>
      <c r="CX1828" s="619"/>
      <c r="CY1828" s="619"/>
      <c r="CZ1828" s="619"/>
      <c r="DA1828" s="619"/>
      <c r="DB1828" s="619"/>
      <c r="DC1828" s="619"/>
      <c r="DD1828" s="619"/>
      <c r="DE1828" s="619"/>
      <c r="DF1828" s="619"/>
      <c r="DG1828" s="619"/>
      <c r="DH1828" s="619"/>
    </row>
    <row r="1829" s="550" customFormat="1" ht="31" customHeight="1" spans="1:113">
      <c r="A1829" s="608">
        <v>46169</v>
      </c>
      <c r="B1829" s="609" t="s">
        <v>2811</v>
      </c>
      <c r="C1829" s="610" t="s">
        <v>98</v>
      </c>
      <c r="D1829" s="727">
        <v>4500208302</v>
      </c>
      <c r="E1829" s="613">
        <v>70089477</v>
      </c>
      <c r="F1829" s="554" t="s">
        <v>5229</v>
      </c>
      <c r="G1829" s="610" t="s">
        <v>8520</v>
      </c>
      <c r="H1829" s="610" t="s">
        <v>8521</v>
      </c>
      <c r="I1829" s="715">
        <v>2704</v>
      </c>
      <c r="J1829" s="610">
        <v>0</v>
      </c>
      <c r="K1829" s="610">
        <v>8</v>
      </c>
      <c r="L1829" s="611">
        <f t="shared" si="727"/>
        <v>338</v>
      </c>
      <c r="M1829" s="612">
        <v>46238</v>
      </c>
      <c r="N1829" s="612">
        <v>46234</v>
      </c>
      <c r="O1829" s="613"/>
      <c r="P1829" s="589" t="s">
        <v>113</v>
      </c>
      <c r="Q1829" s="874">
        <v>46246</v>
      </c>
      <c r="R1829" s="614">
        <v>46169</v>
      </c>
      <c r="S1829" s="614" t="s">
        <v>70</v>
      </c>
      <c r="T1829" s="614" t="s">
        <v>10465</v>
      </c>
      <c r="U1829" s="614"/>
      <c r="V1829" s="614" t="s">
        <v>5231</v>
      </c>
      <c r="W1829" s="573"/>
      <c r="X1829" s="609" t="s">
        <v>10473</v>
      </c>
      <c r="Y1829" s="616" t="s">
        <v>1318</v>
      </c>
      <c r="Z1829" s="609">
        <v>4.1935</v>
      </c>
      <c r="AA1829" s="616">
        <f t="shared" si="733"/>
        <v>11339.224</v>
      </c>
      <c r="AC1829" s="697"/>
      <c r="AD1829" s="610" t="s">
        <v>2741</v>
      </c>
      <c r="AE1829" s="610" t="s">
        <v>82</v>
      </c>
      <c r="AF1829" s="610"/>
      <c r="AG1829" s="610"/>
      <c r="AH1829" s="609"/>
      <c r="AI1829" s="609">
        <v>2704</v>
      </c>
      <c r="AJ1829" s="610">
        <f t="shared" si="728"/>
        <v>0</v>
      </c>
      <c r="AK1829" s="613"/>
      <c r="AL1829" s="610" t="s">
        <v>2368</v>
      </c>
      <c r="AM1829" s="610"/>
      <c r="AN1829" s="610">
        <f>I1829*2</f>
        <v>5408</v>
      </c>
      <c r="AO1829" s="554"/>
      <c r="AP1829" s="554">
        <f>I1829*2</f>
        <v>5408</v>
      </c>
      <c r="AQ1829" s="554"/>
      <c r="AR1829" s="619"/>
      <c r="AS1829" s="554"/>
      <c r="AT1829" s="554"/>
      <c r="AU1829" s="554">
        <f>I1829*2</f>
        <v>5408</v>
      </c>
      <c r="AV1829" s="554"/>
      <c r="AW1829" s="554"/>
      <c r="AX1829" s="714"/>
      <c r="AY1829" s="554"/>
      <c r="AZ1829" s="554"/>
      <c r="BA1829" s="554"/>
      <c r="BB1829" s="620">
        <f t="shared" ref="BB1829:BB1842" si="744">I1829/24*2</f>
        <v>225.333333333333</v>
      </c>
      <c r="BC1829" s="554"/>
      <c r="BD1829" s="554"/>
      <c r="BE1829" s="554"/>
      <c r="BF1829" s="554"/>
      <c r="BG1829" s="550"/>
      <c r="BH1829" s="554"/>
      <c r="BI1829" s="554"/>
      <c r="BJ1829" s="554"/>
      <c r="BK1829" s="554"/>
      <c r="BL1829" s="554"/>
      <c r="BM1829" s="554"/>
      <c r="BN1829" s="554"/>
      <c r="BO1829" s="554"/>
      <c r="BP1829" s="554"/>
      <c r="BQ1829" s="554"/>
      <c r="BR1829" s="554"/>
      <c r="BS1829" s="554"/>
      <c r="BT1829" s="554"/>
      <c r="BU1829" s="554"/>
      <c r="BV1829" s="554"/>
      <c r="BW1829" s="554"/>
      <c r="BX1829" s="554"/>
      <c r="BY1829" s="554"/>
      <c r="BZ1829" s="554"/>
      <c r="CA1829" s="621">
        <f>I1829</f>
        <v>2704</v>
      </c>
      <c r="CB1829" s="555"/>
      <c r="CC1829" s="622"/>
      <c r="CD1829" s="619"/>
      <c r="CE1829" s="619"/>
      <c r="CF1829" s="554"/>
      <c r="CG1829" s="554"/>
      <c r="CH1829" s="550"/>
      <c r="CI1829" s="554"/>
      <c r="CJ1829" s="554"/>
      <c r="CK1829" s="554"/>
      <c r="CL1829" s="554"/>
      <c r="CM1829" s="554"/>
      <c r="CN1829" s="554"/>
      <c r="CO1829" s="554"/>
      <c r="CP1829" s="619"/>
      <c r="CQ1829" s="619"/>
      <c r="CR1829" s="554"/>
      <c r="CS1829" s="554"/>
      <c r="CT1829" s="554"/>
      <c r="CU1829" s="554">
        <f t="shared" si="739"/>
        <v>0</v>
      </c>
      <c r="CV1829" s="554">
        <v>0</v>
      </c>
      <c r="CW1829" s="554">
        <v>0</v>
      </c>
      <c r="CX1829" s="619"/>
      <c r="CY1829" s="619"/>
      <c r="CZ1829" s="619"/>
      <c r="DA1829" s="619"/>
      <c r="DB1829" s="619"/>
      <c r="DC1829" s="619"/>
      <c r="DD1829" s="619"/>
      <c r="DE1829" s="619"/>
      <c r="DF1829" s="619"/>
      <c r="DG1829" s="619"/>
      <c r="DH1829" s="619"/>
      <c r="DI1829" s="554"/>
    </row>
    <row r="1830" s="555" customFormat="1" ht="31" customHeight="1" spans="1:113">
      <c r="A1830" s="889">
        <v>46188</v>
      </c>
      <c r="B1830" s="819" t="s">
        <v>3340</v>
      </c>
      <c r="C1830" s="890" t="s">
        <v>98</v>
      </c>
      <c r="D1830" s="891">
        <v>4500212378</v>
      </c>
      <c r="E1830" s="892">
        <v>115819</v>
      </c>
      <c r="F1830" s="555" t="s">
        <v>10474</v>
      </c>
      <c r="G1830" s="890" t="s">
        <v>6787</v>
      </c>
      <c r="H1830" s="610" t="s">
        <v>6126</v>
      </c>
      <c r="I1830" s="893">
        <v>3996</v>
      </c>
      <c r="J1830" s="890">
        <v>0</v>
      </c>
      <c r="K1830" s="890">
        <v>12</v>
      </c>
      <c r="L1830" s="844">
        <f t="shared" si="727"/>
        <v>333</v>
      </c>
      <c r="M1830" s="887">
        <v>46239</v>
      </c>
      <c r="N1830" s="887">
        <v>46234</v>
      </c>
      <c r="O1830" s="892"/>
      <c r="P1830" s="890" t="s">
        <v>113</v>
      </c>
      <c r="Q1830" s="862">
        <v>46250</v>
      </c>
      <c r="R1830" s="862">
        <v>46199</v>
      </c>
      <c r="S1830" s="862" t="s">
        <v>70</v>
      </c>
      <c r="T1830" s="862" t="s">
        <v>10424</v>
      </c>
      <c r="U1830" s="862"/>
      <c r="V1830" s="862"/>
      <c r="W1830" s="819"/>
      <c r="X1830" s="819" t="s">
        <v>10475</v>
      </c>
      <c r="Y1830" s="894" t="s">
        <v>3864</v>
      </c>
      <c r="Z1830" s="819">
        <v>1.3482</v>
      </c>
      <c r="AA1830" s="894">
        <f t="shared" si="733"/>
        <v>5387.4072</v>
      </c>
      <c r="AC1830" s="697"/>
      <c r="AD1830" s="819" t="s">
        <v>8079</v>
      </c>
      <c r="AE1830" s="890" t="s">
        <v>82</v>
      </c>
      <c r="AF1830" s="890"/>
      <c r="AG1830" s="890"/>
      <c r="AH1830" s="819"/>
      <c r="AI1830" s="609">
        <v>3996</v>
      </c>
      <c r="AJ1830" s="890">
        <f t="shared" si="728"/>
        <v>0</v>
      </c>
      <c r="AK1830" s="892"/>
      <c r="AL1830" s="890" t="s">
        <v>2368</v>
      </c>
      <c r="AM1830" s="890"/>
      <c r="AN1830" s="890">
        <f>I1830*2</f>
        <v>7992</v>
      </c>
      <c r="AQ1830" s="555">
        <f>I1830*2</f>
        <v>7992</v>
      </c>
      <c r="AR1830" s="895"/>
      <c r="AS1830" s="555"/>
      <c r="AT1830" s="555"/>
      <c r="AU1830" s="555">
        <f>I1830*2</f>
        <v>7992</v>
      </c>
      <c r="AX1830" s="896"/>
      <c r="AY1830" s="555"/>
      <c r="AZ1830" s="555"/>
      <c r="BA1830" s="555"/>
      <c r="BB1830" s="897">
        <f t="shared" si="744"/>
        <v>333</v>
      </c>
      <c r="CA1830" s="906"/>
      <c r="CC1830" s="907"/>
      <c r="CD1830" s="555"/>
      <c r="CE1830" s="555"/>
      <c r="CF1830" s="555"/>
      <c r="CG1830" s="555"/>
      <c r="CH1830" s="555"/>
      <c r="CI1830" s="555"/>
      <c r="CJ1830" s="555"/>
      <c r="CK1830" s="555"/>
      <c r="CL1830" s="555"/>
      <c r="CM1830" s="555"/>
      <c r="CN1830" s="555"/>
      <c r="CO1830" s="555"/>
      <c r="CP1830" s="895"/>
      <c r="CQ1830" s="895"/>
      <c r="CR1830" s="555">
        <f>I1830</f>
        <v>3996</v>
      </c>
      <c r="CS1830" s="555">
        <f>I1830</f>
        <v>3996</v>
      </c>
      <c r="CT1830" s="555">
        <f>I1830</f>
        <v>3996</v>
      </c>
      <c r="CU1830" s="555">
        <f t="shared" si="739"/>
        <v>0</v>
      </c>
      <c r="CV1830" s="555">
        <v>0</v>
      </c>
      <c r="CW1830" s="555">
        <v>0</v>
      </c>
      <c r="CX1830" s="895"/>
      <c r="CY1830" s="895"/>
      <c r="CZ1830" s="895"/>
      <c r="DA1830" s="895"/>
      <c r="DB1830" s="895"/>
      <c r="DC1830" s="895"/>
      <c r="DD1830" s="895"/>
      <c r="DE1830" s="895"/>
      <c r="DF1830" s="895"/>
      <c r="DG1830" s="895"/>
      <c r="DH1830" s="895"/>
    </row>
    <row r="1831" s="555" customFormat="1" ht="31" customHeight="1" spans="1:113">
      <c r="A1831" s="889">
        <v>46188</v>
      </c>
      <c r="B1831" s="819" t="s">
        <v>3340</v>
      </c>
      <c r="C1831" s="890" t="s">
        <v>98</v>
      </c>
      <c r="D1831" s="891">
        <v>4500212379</v>
      </c>
      <c r="E1831" s="892">
        <v>115820</v>
      </c>
      <c r="F1831" s="555" t="s">
        <v>10476</v>
      </c>
      <c r="G1831" s="890" t="s">
        <v>6787</v>
      </c>
      <c r="H1831" s="610" t="s">
        <v>6126</v>
      </c>
      <c r="I1831" s="893">
        <v>3996</v>
      </c>
      <c r="J1831" s="890">
        <v>0</v>
      </c>
      <c r="K1831" s="890">
        <v>12</v>
      </c>
      <c r="L1831" s="844">
        <f t="shared" si="727"/>
        <v>333</v>
      </c>
      <c r="M1831" s="887">
        <v>46239</v>
      </c>
      <c r="N1831" s="887">
        <v>46234</v>
      </c>
      <c r="O1831" s="892"/>
      <c r="P1831" s="890" t="s">
        <v>113</v>
      </c>
      <c r="Q1831" s="862">
        <v>46250</v>
      </c>
      <c r="R1831" s="862">
        <v>46199</v>
      </c>
      <c r="S1831" s="862" t="s">
        <v>70</v>
      </c>
      <c r="T1831" s="862" t="s">
        <v>10424</v>
      </c>
      <c r="U1831" s="862"/>
      <c r="V1831" s="862"/>
      <c r="W1831" s="819"/>
      <c r="X1831" s="819" t="s">
        <v>10477</v>
      </c>
      <c r="Y1831" s="894" t="s">
        <v>3864</v>
      </c>
      <c r="Z1831" s="819">
        <v>1.3482</v>
      </c>
      <c r="AA1831" s="894">
        <f t="shared" si="733"/>
        <v>5387.4072</v>
      </c>
      <c r="AC1831" s="697"/>
      <c r="AD1831" s="819" t="s">
        <v>8079</v>
      </c>
      <c r="AE1831" s="890" t="s">
        <v>82</v>
      </c>
      <c r="AF1831" s="890"/>
      <c r="AG1831" s="890"/>
      <c r="AH1831" s="819"/>
      <c r="AI1831" s="609">
        <v>3996</v>
      </c>
      <c r="AJ1831" s="890">
        <f t="shared" si="728"/>
        <v>0</v>
      </c>
      <c r="AK1831" s="892"/>
      <c r="AL1831" s="890" t="s">
        <v>2368</v>
      </c>
      <c r="AM1831" s="890"/>
      <c r="AN1831" s="890">
        <f>I1831*2</f>
        <v>7992</v>
      </c>
      <c r="AQ1831" s="555">
        <f>I1831*2</f>
        <v>7992</v>
      </c>
      <c r="AR1831" s="895"/>
      <c r="AS1831" s="555"/>
      <c r="AT1831" s="555"/>
      <c r="AU1831" s="555">
        <f>I1831*2</f>
        <v>7992</v>
      </c>
      <c r="AX1831" s="896"/>
      <c r="AY1831" s="555"/>
      <c r="AZ1831" s="555"/>
      <c r="BA1831" s="555"/>
      <c r="BB1831" s="897">
        <f t="shared" si="744"/>
        <v>333</v>
      </c>
      <c r="CA1831" s="906"/>
      <c r="CC1831" s="907"/>
      <c r="CD1831" s="555"/>
      <c r="CE1831" s="555"/>
      <c r="CF1831" s="555"/>
      <c r="CG1831" s="555"/>
      <c r="CH1831" s="555"/>
      <c r="CI1831" s="555"/>
      <c r="CJ1831" s="555"/>
      <c r="CK1831" s="555"/>
      <c r="CL1831" s="555"/>
      <c r="CM1831" s="555"/>
      <c r="CN1831" s="555"/>
      <c r="CO1831" s="555"/>
      <c r="CP1831" s="895"/>
      <c r="CQ1831" s="895"/>
      <c r="CR1831" s="555">
        <f>I1831</f>
        <v>3996</v>
      </c>
      <c r="CS1831" s="555">
        <f>I1831</f>
        <v>3996</v>
      </c>
      <c r="CT1831" s="555">
        <f>I1831</f>
        <v>3996</v>
      </c>
      <c r="CU1831" s="555">
        <f t="shared" si="739"/>
        <v>0</v>
      </c>
      <c r="CV1831" s="555">
        <v>0</v>
      </c>
      <c r="CW1831" s="555">
        <v>0</v>
      </c>
      <c r="CX1831" s="895"/>
      <c r="CY1831" s="895"/>
      <c r="CZ1831" s="895"/>
      <c r="DA1831" s="895"/>
      <c r="DB1831" s="895"/>
      <c r="DC1831" s="895"/>
      <c r="DD1831" s="895"/>
      <c r="DE1831" s="895"/>
      <c r="DF1831" s="895"/>
      <c r="DG1831" s="895"/>
      <c r="DH1831" s="895"/>
    </row>
    <row r="1832" s="555" customFormat="1" ht="31" customHeight="1" spans="1:113">
      <c r="A1832" s="889">
        <v>46188</v>
      </c>
      <c r="B1832" s="819" t="s">
        <v>3340</v>
      </c>
      <c r="C1832" s="890" t="s">
        <v>98</v>
      </c>
      <c r="D1832" s="891">
        <v>4500212384</v>
      </c>
      <c r="E1832" s="892">
        <v>115826</v>
      </c>
      <c r="F1832" s="555" t="s">
        <v>10478</v>
      </c>
      <c r="G1832" s="890" t="s">
        <v>6787</v>
      </c>
      <c r="H1832" s="610" t="s">
        <v>6126</v>
      </c>
      <c r="I1832" s="893">
        <v>4008</v>
      </c>
      <c r="J1832" s="890">
        <v>0</v>
      </c>
      <c r="K1832" s="890">
        <v>12</v>
      </c>
      <c r="L1832" s="844">
        <f t="shared" si="727"/>
        <v>334</v>
      </c>
      <c r="M1832" s="887">
        <v>46239</v>
      </c>
      <c r="N1832" s="887">
        <v>46234</v>
      </c>
      <c r="O1832" s="892"/>
      <c r="P1832" s="890" t="s">
        <v>113</v>
      </c>
      <c r="Q1832" s="862">
        <v>46241</v>
      </c>
      <c r="R1832" s="862">
        <v>46199</v>
      </c>
      <c r="S1832" s="862" t="s">
        <v>70</v>
      </c>
      <c r="T1832" s="862" t="s">
        <v>10424</v>
      </c>
      <c r="U1832" s="862"/>
      <c r="V1832" s="862"/>
      <c r="W1832" s="819"/>
      <c r="X1832" s="819" t="s">
        <v>10479</v>
      </c>
      <c r="Y1832" s="894" t="s">
        <v>3864</v>
      </c>
      <c r="Z1832" s="819">
        <v>1.3482</v>
      </c>
      <c r="AA1832" s="894">
        <f t="shared" si="733"/>
        <v>5403.5856</v>
      </c>
      <c r="AC1832" s="861" t="s">
        <v>10480</v>
      </c>
      <c r="AD1832" s="819" t="s">
        <v>8079</v>
      </c>
      <c r="AE1832" s="890" t="s">
        <v>82</v>
      </c>
      <c r="AF1832" s="890"/>
      <c r="AG1832" s="890"/>
      <c r="AH1832" s="819"/>
      <c r="AI1832" s="609">
        <v>4008</v>
      </c>
      <c r="AJ1832" s="890">
        <f t="shared" si="728"/>
        <v>0</v>
      </c>
      <c r="AK1832" s="892"/>
      <c r="AL1832" s="890" t="s">
        <v>2368</v>
      </c>
      <c r="AM1832" s="890"/>
      <c r="AN1832" s="890">
        <f>I1832*2</f>
        <v>8016</v>
      </c>
      <c r="AQ1832" s="555">
        <f>I1832*2</f>
        <v>8016</v>
      </c>
      <c r="AR1832" s="895"/>
      <c r="AS1832" s="555"/>
      <c r="AT1832" s="555"/>
      <c r="AU1832" s="555">
        <f>I1832*2</f>
        <v>8016</v>
      </c>
      <c r="AX1832" s="896"/>
      <c r="AY1832" s="555"/>
      <c r="AZ1832" s="555"/>
      <c r="BA1832" s="555"/>
      <c r="BB1832" s="897">
        <f t="shared" si="744"/>
        <v>334</v>
      </c>
      <c r="CA1832" s="906"/>
      <c r="CC1832" s="907"/>
      <c r="CD1832" s="555"/>
      <c r="CE1832" s="555"/>
      <c r="CF1832" s="555"/>
      <c r="CG1832" s="555"/>
      <c r="CH1832" s="555"/>
      <c r="CI1832" s="555"/>
      <c r="CJ1832" s="555"/>
      <c r="CK1832" s="555"/>
      <c r="CL1832" s="555"/>
      <c r="CM1832" s="555"/>
      <c r="CN1832" s="555"/>
      <c r="CO1832" s="555"/>
      <c r="CP1832" s="895"/>
      <c r="CQ1832" s="895"/>
      <c r="CR1832" s="555">
        <f>I1832</f>
        <v>4008</v>
      </c>
      <c r="CS1832" s="555">
        <f>I1832</f>
        <v>4008</v>
      </c>
      <c r="CT1832" s="555">
        <f>I1832</f>
        <v>4008</v>
      </c>
      <c r="CU1832" s="555">
        <f t="shared" si="739"/>
        <v>0</v>
      </c>
      <c r="CV1832" s="555">
        <v>0</v>
      </c>
      <c r="CW1832" s="555">
        <v>0</v>
      </c>
      <c r="CX1832" s="895"/>
      <c r="CY1832" s="895"/>
      <c r="CZ1832" s="895"/>
      <c r="DA1832" s="895"/>
      <c r="DB1832" s="895"/>
      <c r="DC1832" s="895"/>
      <c r="DD1832" s="895"/>
      <c r="DE1832" s="895"/>
      <c r="DF1832" s="895"/>
      <c r="DG1832" s="895"/>
      <c r="DH1832" s="895"/>
    </row>
    <row r="1833" s="555" customFormat="1" ht="31" customHeight="1" spans="1:113">
      <c r="A1833" s="889">
        <v>46188</v>
      </c>
      <c r="B1833" s="819" t="s">
        <v>3340</v>
      </c>
      <c r="C1833" s="890" t="s">
        <v>98</v>
      </c>
      <c r="D1833" s="891">
        <v>4500212386</v>
      </c>
      <c r="E1833" s="892">
        <v>115827</v>
      </c>
      <c r="F1833" s="555" t="s">
        <v>10481</v>
      </c>
      <c r="G1833" s="890" t="s">
        <v>6787</v>
      </c>
      <c r="H1833" s="610" t="s">
        <v>6126</v>
      </c>
      <c r="I1833" s="893">
        <v>4008</v>
      </c>
      <c r="J1833" s="890">
        <v>0</v>
      </c>
      <c r="K1833" s="890">
        <v>12</v>
      </c>
      <c r="L1833" s="844">
        <f t="shared" si="727"/>
        <v>334</v>
      </c>
      <c r="M1833" s="887">
        <v>46239</v>
      </c>
      <c r="N1833" s="887">
        <v>46234</v>
      </c>
      <c r="O1833" s="892"/>
      <c r="P1833" s="890" t="s">
        <v>113</v>
      </c>
      <c r="Q1833" s="862">
        <v>46241</v>
      </c>
      <c r="R1833" s="862">
        <v>46199</v>
      </c>
      <c r="S1833" s="862" t="s">
        <v>70</v>
      </c>
      <c r="T1833" s="862" t="s">
        <v>10424</v>
      </c>
      <c r="U1833" s="862"/>
      <c r="V1833" s="862"/>
      <c r="W1833" s="819"/>
      <c r="X1833" s="819" t="s">
        <v>10482</v>
      </c>
      <c r="Y1833" s="894" t="s">
        <v>3864</v>
      </c>
      <c r="Z1833" s="819">
        <v>1.3482</v>
      </c>
      <c r="AA1833" s="894">
        <f t="shared" si="733"/>
        <v>5403.5856</v>
      </c>
      <c r="AC1833" s="861" t="s">
        <v>10483</v>
      </c>
      <c r="AD1833" s="819" t="s">
        <v>8079</v>
      </c>
      <c r="AE1833" s="890" t="s">
        <v>82</v>
      </c>
      <c r="AF1833" s="890"/>
      <c r="AG1833" s="890"/>
      <c r="AH1833" s="819"/>
      <c r="AI1833" s="609">
        <v>4008</v>
      </c>
      <c r="AJ1833" s="890">
        <f t="shared" si="728"/>
        <v>0</v>
      </c>
      <c r="AK1833" s="892"/>
      <c r="AL1833" s="890" t="s">
        <v>2368</v>
      </c>
      <c r="AM1833" s="890"/>
      <c r="AN1833" s="890">
        <f>I1833*2</f>
        <v>8016</v>
      </c>
      <c r="AQ1833" s="555">
        <f>I1833*2</f>
        <v>8016</v>
      </c>
      <c r="AR1833" s="895"/>
      <c r="AS1833" s="555"/>
      <c r="AT1833" s="555"/>
      <c r="AU1833" s="555">
        <f>I1833*2</f>
        <v>8016</v>
      </c>
      <c r="AV1833" s="936"/>
      <c r="AW1833" s="555"/>
      <c r="AX1833" s="896"/>
      <c r="AY1833" s="555"/>
      <c r="AZ1833" s="555"/>
      <c r="BA1833" s="555"/>
      <c r="BB1833" s="897">
        <f t="shared" si="744"/>
        <v>334</v>
      </c>
      <c r="CA1833" s="906"/>
      <c r="CC1833" s="907"/>
      <c r="CD1833" s="555"/>
      <c r="CE1833" s="555"/>
      <c r="CF1833" s="555"/>
      <c r="CG1833" s="555"/>
      <c r="CH1833" s="555"/>
      <c r="CI1833" s="555"/>
      <c r="CJ1833" s="555"/>
      <c r="CK1833" s="555"/>
      <c r="CL1833" s="555"/>
      <c r="CM1833" s="555"/>
      <c r="CN1833" s="555"/>
      <c r="CO1833" s="555"/>
      <c r="CP1833" s="895"/>
      <c r="CQ1833" s="895"/>
      <c r="CR1833" s="555">
        <f>I1833</f>
        <v>4008</v>
      </c>
      <c r="CS1833" s="555">
        <f>I1833</f>
        <v>4008</v>
      </c>
      <c r="CT1833" s="555">
        <f>I1833</f>
        <v>4008</v>
      </c>
      <c r="CU1833" s="555">
        <f t="shared" si="739"/>
        <v>0</v>
      </c>
      <c r="CV1833" s="555">
        <v>0</v>
      </c>
      <c r="CW1833" s="555">
        <v>0</v>
      </c>
      <c r="CX1833" s="895"/>
      <c r="CY1833" s="895"/>
      <c r="CZ1833" s="895"/>
      <c r="DA1833" s="895"/>
      <c r="DB1833" s="895"/>
      <c r="DC1833" s="895"/>
      <c r="DD1833" s="895"/>
      <c r="DE1833" s="895"/>
      <c r="DF1833" s="895"/>
      <c r="DG1833" s="895"/>
      <c r="DH1833" s="895"/>
    </row>
    <row r="1834" s="555" customFormat="1" ht="31" customHeight="1" spans="1:113">
      <c r="A1834" s="889">
        <v>46170</v>
      </c>
      <c r="B1834" s="819" t="s">
        <v>5212</v>
      </c>
      <c r="C1834" s="890" t="s">
        <v>847</v>
      </c>
      <c r="D1834" s="891">
        <v>4500209410</v>
      </c>
      <c r="E1834" s="890" t="s">
        <v>3846</v>
      </c>
      <c r="F1834" s="555" t="s">
        <v>10484</v>
      </c>
      <c r="G1834" s="890" t="s">
        <v>6047</v>
      </c>
      <c r="H1834" s="890" t="s">
        <v>6069</v>
      </c>
      <c r="I1834" s="893">
        <v>600</v>
      </c>
      <c r="J1834" s="890">
        <v>0</v>
      </c>
      <c r="K1834" s="890">
        <v>25</v>
      </c>
      <c r="L1834" s="844">
        <f t="shared" si="727"/>
        <v>24</v>
      </c>
      <c r="M1834" s="887">
        <v>46239</v>
      </c>
      <c r="N1834" s="887">
        <v>46234</v>
      </c>
      <c r="O1834" s="892"/>
      <c r="P1834" s="890" t="s">
        <v>113</v>
      </c>
      <c r="Q1834" s="862">
        <v>46246</v>
      </c>
      <c r="R1834" s="862">
        <v>46185</v>
      </c>
      <c r="S1834" s="862" t="s">
        <v>70</v>
      </c>
      <c r="T1834" s="862" t="s">
        <v>10485</v>
      </c>
      <c r="U1834" s="862"/>
      <c r="V1834" s="862"/>
      <c r="W1834" s="862" t="s">
        <v>5216</v>
      </c>
      <c r="X1834" s="937" t="s">
        <v>10486</v>
      </c>
      <c r="Y1834" s="938" t="s">
        <v>4937</v>
      </c>
      <c r="Z1834" s="819">
        <v>0.9809</v>
      </c>
      <c r="AA1834" s="894">
        <f t="shared" si="733"/>
        <v>588.54</v>
      </c>
      <c r="AC1834" s="697"/>
      <c r="AD1834" s="890" t="s">
        <v>6047</v>
      </c>
      <c r="AE1834" s="890" t="s">
        <v>82</v>
      </c>
      <c r="AF1834" s="890"/>
      <c r="AG1834" s="890"/>
      <c r="AH1834" s="819"/>
      <c r="AI1834" s="609">
        <v>600</v>
      </c>
      <c r="AJ1834" s="890">
        <f t="shared" si="728"/>
        <v>0</v>
      </c>
      <c r="AK1834" s="892"/>
      <c r="AL1834" s="890" t="s">
        <v>2368</v>
      </c>
      <c r="AM1834" s="890"/>
      <c r="AN1834" s="555"/>
      <c r="AO1834" s="555">
        <f>I1834</f>
        <v>600</v>
      </c>
      <c r="AR1834" s="895"/>
      <c r="AS1834" s="555"/>
      <c r="AT1834" s="555">
        <f>I1834</f>
        <v>600</v>
      </c>
      <c r="AV1834" s="555">
        <f>I1834</f>
        <v>600</v>
      </c>
      <c r="AX1834" s="896"/>
      <c r="AY1834" s="555"/>
      <c r="AZ1834" s="555"/>
      <c r="BA1834" s="555"/>
      <c r="BB1834" s="897">
        <f t="shared" si="744"/>
        <v>50</v>
      </c>
      <c r="BP1834" s="555">
        <f>I1834/25</f>
        <v>24</v>
      </c>
      <c r="CP1834" s="895"/>
      <c r="CQ1834" s="895"/>
      <c r="CR1834" s="555"/>
      <c r="CS1834" s="555"/>
      <c r="CT1834" s="555"/>
      <c r="CU1834" s="555">
        <f t="shared" si="739"/>
        <v>24</v>
      </c>
      <c r="CV1834" s="555">
        <f>CK1834+CL1834+CM1834+CN1834+CO1834+CQ1834+CP1834</f>
        <v>0</v>
      </c>
      <c r="CW1834" s="555">
        <f>CI1834+CJ1834</f>
        <v>0</v>
      </c>
      <c r="CX1834" s="895"/>
      <c r="CY1834" s="895"/>
      <c r="CZ1834" s="895"/>
      <c r="DA1834" s="895"/>
      <c r="DB1834" s="895"/>
      <c r="DC1834" s="895"/>
      <c r="DD1834" s="895"/>
      <c r="DE1834" s="895"/>
      <c r="DF1834" s="895"/>
      <c r="DG1834" s="895"/>
      <c r="DH1834" s="895"/>
    </row>
    <row r="1835" s="554" customFormat="1" ht="31" customHeight="1" spans="1:113">
      <c r="A1835" s="608">
        <v>46126</v>
      </c>
      <c r="B1835" s="609" t="s">
        <v>3340</v>
      </c>
      <c r="C1835" s="610" t="s">
        <v>98</v>
      </c>
      <c r="D1835" s="554">
        <v>4500201751</v>
      </c>
      <c r="E1835" s="610">
        <v>127325</v>
      </c>
      <c r="F1835" s="554" t="s">
        <v>10487</v>
      </c>
      <c r="G1835" s="610" t="s">
        <v>6787</v>
      </c>
      <c r="H1835" s="610" t="s">
        <v>6126</v>
      </c>
      <c r="I1835" s="715">
        <v>1404</v>
      </c>
      <c r="J1835" s="610">
        <v>0</v>
      </c>
      <c r="K1835" s="610">
        <v>12</v>
      </c>
      <c r="L1835" s="917">
        <f t="shared" si="727"/>
        <v>117</v>
      </c>
      <c r="M1835" s="612">
        <v>46240</v>
      </c>
      <c r="N1835" s="612">
        <v>46237</v>
      </c>
      <c r="O1835" s="613"/>
      <c r="P1835" s="610" t="s">
        <v>113</v>
      </c>
      <c r="Q1835" s="614">
        <v>46248</v>
      </c>
      <c r="R1835" s="614">
        <v>46126</v>
      </c>
      <c r="S1835" s="614" t="s">
        <v>70</v>
      </c>
      <c r="T1835" s="614" t="s">
        <v>5643</v>
      </c>
      <c r="U1835" s="863"/>
      <c r="V1835" s="863"/>
      <c r="W1835" s="848"/>
      <c r="X1835" s="609" t="s">
        <v>10488</v>
      </c>
      <c r="Y1835" s="616" t="s">
        <v>3864</v>
      </c>
      <c r="Z1835" s="609">
        <v>1.3318</v>
      </c>
      <c r="AA1835" s="616">
        <f t="shared" si="733"/>
        <v>1869.8472</v>
      </c>
      <c r="AB1835" s="556"/>
      <c r="AC1835" s="697"/>
      <c r="AD1835" s="609" t="s">
        <v>8079</v>
      </c>
      <c r="AE1835" s="610" t="s">
        <v>82</v>
      </c>
      <c r="AF1835" s="610"/>
      <c r="AG1835" s="610"/>
      <c r="AH1835" s="609"/>
      <c r="AI1835" s="609">
        <v>1404</v>
      </c>
      <c r="AJ1835" s="610">
        <f t="shared" si="728"/>
        <v>0</v>
      </c>
      <c r="AK1835" s="613"/>
      <c r="AL1835" s="610" t="s">
        <v>2368</v>
      </c>
      <c r="AM1835" s="610"/>
      <c r="AN1835" s="610">
        <f>I1835*2</f>
        <v>2808</v>
      </c>
      <c r="AQ1835" s="554">
        <f>I1835*2</f>
        <v>2808</v>
      </c>
      <c r="AR1835" s="619"/>
      <c r="AS1835" s="554"/>
      <c r="AT1835" s="554"/>
      <c r="AU1835" s="554">
        <f>I1835*2</f>
        <v>2808</v>
      </c>
      <c r="AX1835" s="714"/>
      <c r="AY1835" s="554"/>
      <c r="AZ1835" s="554"/>
      <c r="BA1835" s="554"/>
      <c r="BB1835" s="620">
        <f t="shared" si="744"/>
        <v>117</v>
      </c>
      <c r="CA1835" s="720"/>
      <c r="CB1835" s="555"/>
      <c r="CC1835" s="721"/>
      <c r="CD1835" s="554"/>
      <c r="CE1835" s="554"/>
      <c r="CF1835" s="554"/>
      <c r="CG1835" s="554"/>
      <c r="CP1835" s="619"/>
      <c r="CQ1835" s="619"/>
      <c r="CR1835" s="554">
        <f>I1835</f>
        <v>1404</v>
      </c>
      <c r="CS1835" s="554">
        <f>I1835</f>
        <v>1404</v>
      </c>
      <c r="CT1835" s="554">
        <f>I1835</f>
        <v>1404</v>
      </c>
      <c r="CU1835" s="554">
        <f t="shared" si="739"/>
        <v>0</v>
      </c>
      <c r="CV1835" s="554">
        <v>0</v>
      </c>
      <c r="CW1835" s="554">
        <v>0</v>
      </c>
      <c r="CX1835" s="619"/>
      <c r="CY1835" s="619"/>
      <c r="CZ1835" s="619"/>
      <c r="DA1835" s="619"/>
      <c r="DB1835" s="619"/>
      <c r="DC1835" s="619"/>
      <c r="DD1835" s="619"/>
      <c r="DE1835" s="619"/>
      <c r="DF1835" s="619"/>
      <c r="DG1835" s="619"/>
      <c r="DH1835" s="619"/>
    </row>
    <row r="1836" s="554" customFormat="1" ht="31" customHeight="1" spans="1:113">
      <c r="A1836" s="608">
        <v>46126</v>
      </c>
      <c r="B1836" s="609" t="s">
        <v>3340</v>
      </c>
      <c r="C1836" s="610" t="s">
        <v>98</v>
      </c>
      <c r="D1836" s="554">
        <v>4500201753</v>
      </c>
      <c r="E1836" s="610">
        <v>127338</v>
      </c>
      <c r="F1836" s="554" t="s">
        <v>10489</v>
      </c>
      <c r="G1836" s="610" t="s">
        <v>6787</v>
      </c>
      <c r="H1836" s="610" t="s">
        <v>6126</v>
      </c>
      <c r="I1836" s="715">
        <v>1596</v>
      </c>
      <c r="J1836" s="610">
        <v>0</v>
      </c>
      <c r="K1836" s="610">
        <v>12</v>
      </c>
      <c r="L1836" s="611">
        <f t="shared" si="727"/>
        <v>133</v>
      </c>
      <c r="M1836" s="612">
        <v>46240</v>
      </c>
      <c r="N1836" s="612">
        <v>46237</v>
      </c>
      <c r="O1836" s="613"/>
      <c r="P1836" s="610" t="s">
        <v>113</v>
      </c>
      <c r="Q1836" s="614">
        <v>46241</v>
      </c>
      <c r="R1836" s="614">
        <v>46126</v>
      </c>
      <c r="S1836" s="614" t="s">
        <v>70</v>
      </c>
      <c r="T1836" s="614" t="s">
        <v>5643</v>
      </c>
      <c r="U1836" s="614"/>
      <c r="V1836" s="614"/>
      <c r="W1836" s="609"/>
      <c r="X1836" s="609" t="s">
        <v>10490</v>
      </c>
      <c r="Y1836" s="616" t="s">
        <v>3864</v>
      </c>
      <c r="Z1836" s="609">
        <v>1.3318</v>
      </c>
      <c r="AA1836" s="616">
        <f t="shared" si="733"/>
        <v>2125.5528</v>
      </c>
      <c r="AC1836" s="861" t="s">
        <v>10491</v>
      </c>
      <c r="AD1836" s="609" t="s">
        <v>8079</v>
      </c>
      <c r="AE1836" s="610" t="s">
        <v>82</v>
      </c>
      <c r="AF1836" s="610"/>
      <c r="AG1836" s="610"/>
      <c r="AH1836" s="609"/>
      <c r="AI1836" s="609">
        <v>1596</v>
      </c>
      <c r="AJ1836" s="610">
        <f t="shared" si="728"/>
        <v>0</v>
      </c>
      <c r="AK1836" s="613"/>
      <c r="AL1836" s="610" t="s">
        <v>2368</v>
      </c>
      <c r="AM1836" s="610"/>
      <c r="AN1836" s="610">
        <f>I1836*2</f>
        <v>3192</v>
      </c>
      <c r="AQ1836" s="554">
        <f>I1836*2</f>
        <v>3192</v>
      </c>
      <c r="AR1836" s="619"/>
      <c r="AS1836" s="554"/>
      <c r="AT1836" s="554"/>
      <c r="AU1836" s="554">
        <f>I1836*2</f>
        <v>3192</v>
      </c>
      <c r="AX1836" s="714"/>
      <c r="AY1836" s="554"/>
      <c r="AZ1836" s="554"/>
      <c r="BA1836" s="554"/>
      <c r="BB1836" s="620">
        <f t="shared" si="744"/>
        <v>133</v>
      </c>
      <c r="CA1836" s="720"/>
      <c r="CB1836" s="555"/>
      <c r="CC1836" s="721"/>
      <c r="CD1836" s="554"/>
      <c r="CE1836" s="554"/>
      <c r="CF1836" s="554"/>
      <c r="CG1836" s="554"/>
      <c r="CP1836" s="619"/>
      <c r="CQ1836" s="619"/>
      <c r="CR1836" s="554">
        <f>I1836</f>
        <v>1596</v>
      </c>
      <c r="CS1836" s="554">
        <f>I1836</f>
        <v>1596</v>
      </c>
      <c r="CT1836" s="554">
        <f>I1836</f>
        <v>1596</v>
      </c>
      <c r="CU1836" s="554">
        <f t="shared" si="739"/>
        <v>0</v>
      </c>
      <c r="CV1836" s="554">
        <v>0</v>
      </c>
      <c r="CW1836" s="554">
        <v>0</v>
      </c>
      <c r="CX1836" s="619"/>
      <c r="CY1836" s="619"/>
      <c r="CZ1836" s="619"/>
      <c r="DA1836" s="619"/>
      <c r="DB1836" s="619"/>
      <c r="DC1836" s="619"/>
      <c r="DD1836" s="619"/>
      <c r="DE1836" s="619"/>
      <c r="DF1836" s="619"/>
      <c r="DG1836" s="619"/>
      <c r="DH1836" s="619"/>
    </row>
    <row r="1837" s="554" customFormat="1" ht="31" customHeight="1" spans="1:113">
      <c r="A1837" s="608">
        <v>46167</v>
      </c>
      <c r="B1837" s="609" t="s">
        <v>2707</v>
      </c>
      <c r="C1837" s="610" t="s">
        <v>170</v>
      </c>
      <c r="D1837" s="727">
        <v>4500208821</v>
      </c>
      <c r="E1837" s="613">
        <v>45204276</v>
      </c>
      <c r="F1837" s="554" t="s">
        <v>10492</v>
      </c>
      <c r="G1837" s="610" t="s">
        <v>6787</v>
      </c>
      <c r="H1837" s="610" t="s">
        <v>6126</v>
      </c>
      <c r="I1837" s="715">
        <v>240</v>
      </c>
      <c r="J1837" s="610">
        <v>0</v>
      </c>
      <c r="K1837" s="610">
        <v>12</v>
      </c>
      <c r="L1837" s="611">
        <f t="shared" si="727"/>
        <v>20</v>
      </c>
      <c r="M1837" s="612">
        <v>46240</v>
      </c>
      <c r="N1837" s="612">
        <v>46237</v>
      </c>
      <c r="O1837" s="613"/>
      <c r="P1837" s="610" t="s">
        <v>113</v>
      </c>
      <c r="Q1837" s="614">
        <v>46248</v>
      </c>
      <c r="R1837" s="614">
        <v>46174</v>
      </c>
      <c r="S1837" s="614" t="s">
        <v>70</v>
      </c>
      <c r="T1837" s="614" t="s">
        <v>10281</v>
      </c>
      <c r="U1837" s="614"/>
      <c r="V1837" s="614"/>
      <c r="W1837" s="609"/>
      <c r="X1837" s="609" t="s">
        <v>10282</v>
      </c>
      <c r="Y1837" s="616" t="s">
        <v>5071</v>
      </c>
      <c r="Z1837" s="609">
        <v>2.2576</v>
      </c>
      <c r="AA1837" s="616">
        <f t="shared" si="733"/>
        <v>541.824</v>
      </c>
      <c r="AC1837" s="697"/>
      <c r="AD1837" s="610" t="s">
        <v>8079</v>
      </c>
      <c r="AE1837" s="610" t="s">
        <v>82</v>
      </c>
      <c r="AF1837" s="610"/>
      <c r="AG1837" s="610"/>
      <c r="AH1837" s="609"/>
      <c r="AI1837" s="609">
        <v>240</v>
      </c>
      <c r="AJ1837" s="610">
        <f t="shared" si="728"/>
        <v>0</v>
      </c>
      <c r="AK1837" s="613"/>
      <c r="AL1837" s="610" t="s">
        <v>2368</v>
      </c>
      <c r="AM1837" s="610"/>
      <c r="AN1837" s="610">
        <f t="shared" ref="AN1837:AN1842" si="745">I1837*2</f>
        <v>480</v>
      </c>
      <c r="AR1837" s="619"/>
      <c r="AS1837" s="554">
        <f t="shared" ref="AS1837:AS1842" si="746">I1837*2</f>
        <v>480</v>
      </c>
      <c r="AU1837" s="554">
        <f t="shared" ref="AU1837:AU1842" si="747">I1837*2</f>
        <v>480</v>
      </c>
      <c r="AX1837" s="714"/>
      <c r="AY1837" s="554"/>
      <c r="AZ1837" s="554"/>
      <c r="BA1837" s="554"/>
      <c r="BB1837" s="620">
        <f t="shared" si="744"/>
        <v>20</v>
      </c>
      <c r="CA1837" s="720"/>
      <c r="CB1837" s="555"/>
      <c r="CC1837" s="721"/>
      <c r="CD1837" s="554"/>
      <c r="CE1837" s="554"/>
      <c r="CF1837" s="554"/>
      <c r="CG1837" s="554"/>
      <c r="CP1837" s="619"/>
      <c r="CQ1837" s="619"/>
      <c r="CR1837" s="554">
        <f t="shared" ref="CR1837:CR1842" si="748">I1837</f>
        <v>240</v>
      </c>
      <c r="CS1837" s="554">
        <f t="shared" ref="CS1837:CS1842" si="749">I1837</f>
        <v>240</v>
      </c>
      <c r="CT1837" s="554">
        <f t="shared" ref="CT1837:CT1842" si="750">I1837</f>
        <v>240</v>
      </c>
      <c r="CU1837" s="554">
        <f t="shared" si="739"/>
        <v>0</v>
      </c>
      <c r="CV1837" s="554">
        <f t="shared" ref="CV1837:CV1851" si="751">CK1837+CL1837+CM1837+CN1837+CO1837+CQ1837+CP1837</f>
        <v>0</v>
      </c>
      <c r="CW1837" s="554">
        <f t="shared" ref="CW1837:CW1851" si="752">CI1837+CJ1837</f>
        <v>0</v>
      </c>
      <c r="CX1837" s="619"/>
      <c r="CY1837" s="619"/>
      <c r="CZ1837" s="619"/>
      <c r="DA1837" s="619"/>
      <c r="DB1837" s="619"/>
      <c r="DC1837" s="619"/>
      <c r="DD1837" s="619"/>
      <c r="DE1837" s="619"/>
      <c r="DF1837" s="619"/>
      <c r="DG1837" s="619"/>
      <c r="DH1837" s="619"/>
    </row>
    <row r="1838" s="554" customFormat="1" ht="31" customHeight="1" spans="1:113">
      <c r="A1838" s="608">
        <v>46167</v>
      </c>
      <c r="B1838" s="609" t="s">
        <v>2707</v>
      </c>
      <c r="C1838" s="610" t="s">
        <v>170</v>
      </c>
      <c r="D1838" s="727">
        <v>4500208821</v>
      </c>
      <c r="E1838" s="613">
        <v>45204297</v>
      </c>
      <c r="F1838" s="554" t="s">
        <v>10493</v>
      </c>
      <c r="G1838" s="610" t="s">
        <v>6787</v>
      </c>
      <c r="H1838" s="610" t="s">
        <v>6126</v>
      </c>
      <c r="I1838" s="715">
        <v>204</v>
      </c>
      <c r="J1838" s="610">
        <v>0</v>
      </c>
      <c r="K1838" s="610">
        <v>12</v>
      </c>
      <c r="L1838" s="611">
        <f t="shared" si="727"/>
        <v>17</v>
      </c>
      <c r="M1838" s="612">
        <v>46240</v>
      </c>
      <c r="N1838" s="612">
        <v>46237</v>
      </c>
      <c r="O1838" s="613"/>
      <c r="P1838" s="610" t="s">
        <v>113</v>
      </c>
      <c r="Q1838" s="614">
        <v>46248</v>
      </c>
      <c r="R1838" s="614">
        <v>46174</v>
      </c>
      <c r="S1838" s="614" t="s">
        <v>70</v>
      </c>
      <c r="T1838" s="614" t="s">
        <v>10281</v>
      </c>
      <c r="U1838" s="614"/>
      <c r="V1838" s="614"/>
      <c r="W1838" s="609"/>
      <c r="X1838" s="609" t="s">
        <v>10282</v>
      </c>
      <c r="Y1838" s="616" t="s">
        <v>5071</v>
      </c>
      <c r="Z1838" s="609">
        <v>2.2576</v>
      </c>
      <c r="AA1838" s="616">
        <f t="shared" si="733"/>
        <v>460.5504</v>
      </c>
      <c r="AC1838" s="697"/>
      <c r="AD1838" s="610" t="s">
        <v>8079</v>
      </c>
      <c r="AE1838" s="610" t="s">
        <v>82</v>
      </c>
      <c r="AF1838" s="610"/>
      <c r="AG1838" s="610"/>
      <c r="AH1838" s="609"/>
      <c r="AI1838" s="609">
        <v>204</v>
      </c>
      <c r="AJ1838" s="610">
        <f t="shared" si="728"/>
        <v>0</v>
      </c>
      <c r="AK1838" s="613"/>
      <c r="AL1838" s="610" t="s">
        <v>2368</v>
      </c>
      <c r="AM1838" s="610"/>
      <c r="AN1838" s="610">
        <f t="shared" si="745"/>
        <v>408</v>
      </c>
      <c r="AR1838" s="619"/>
      <c r="AS1838" s="554">
        <f t="shared" si="746"/>
        <v>408</v>
      </c>
      <c r="AU1838" s="554">
        <f t="shared" si="747"/>
        <v>408</v>
      </c>
      <c r="AX1838" s="714"/>
      <c r="AY1838" s="554"/>
      <c r="AZ1838" s="554"/>
      <c r="BA1838" s="554"/>
      <c r="BB1838" s="620">
        <f t="shared" si="744"/>
        <v>17</v>
      </c>
      <c r="CA1838" s="720"/>
      <c r="CB1838" s="555"/>
      <c r="CC1838" s="721"/>
      <c r="CD1838" s="554"/>
      <c r="CE1838" s="554"/>
      <c r="CF1838" s="554"/>
      <c r="CG1838" s="554"/>
      <c r="CP1838" s="619"/>
      <c r="CQ1838" s="619"/>
      <c r="CR1838" s="554">
        <f t="shared" si="748"/>
        <v>204</v>
      </c>
      <c r="CS1838" s="554">
        <f t="shared" si="749"/>
        <v>204</v>
      </c>
      <c r="CT1838" s="554">
        <f t="shared" si="750"/>
        <v>204</v>
      </c>
      <c r="CU1838" s="554">
        <f t="shared" si="739"/>
        <v>0</v>
      </c>
      <c r="CV1838" s="554">
        <f t="shared" si="751"/>
        <v>0</v>
      </c>
      <c r="CW1838" s="554">
        <f t="shared" si="752"/>
        <v>0</v>
      </c>
      <c r="CX1838" s="619"/>
      <c r="CY1838" s="619"/>
      <c r="CZ1838" s="619"/>
      <c r="DA1838" s="619"/>
      <c r="DB1838" s="619"/>
      <c r="DC1838" s="619"/>
      <c r="DD1838" s="619"/>
      <c r="DE1838" s="619"/>
      <c r="DF1838" s="619"/>
      <c r="DG1838" s="619"/>
      <c r="DH1838" s="619"/>
    </row>
    <row r="1839" s="554" customFormat="1" ht="31" customHeight="1" spans="1:113">
      <c r="A1839" s="608">
        <v>46167</v>
      </c>
      <c r="B1839" s="609" t="s">
        <v>2707</v>
      </c>
      <c r="C1839" s="610" t="s">
        <v>170</v>
      </c>
      <c r="D1839" s="727">
        <v>4500208841</v>
      </c>
      <c r="E1839" s="613">
        <v>40121047</v>
      </c>
      <c r="F1839" s="554" t="s">
        <v>10494</v>
      </c>
      <c r="G1839" s="610" t="s">
        <v>6787</v>
      </c>
      <c r="H1839" s="610" t="s">
        <v>6126</v>
      </c>
      <c r="I1839" s="715">
        <v>1404</v>
      </c>
      <c r="J1839" s="610">
        <v>0</v>
      </c>
      <c r="K1839" s="610">
        <v>12</v>
      </c>
      <c r="L1839" s="611">
        <f t="shared" si="727"/>
        <v>117</v>
      </c>
      <c r="M1839" s="612">
        <v>46240</v>
      </c>
      <c r="N1839" s="612">
        <v>46237</v>
      </c>
      <c r="O1839" s="613"/>
      <c r="P1839" s="610" t="s">
        <v>113</v>
      </c>
      <c r="Q1839" s="614">
        <v>46248</v>
      </c>
      <c r="R1839" s="614">
        <v>46174</v>
      </c>
      <c r="S1839" s="614" t="s">
        <v>70</v>
      </c>
      <c r="T1839" s="614" t="s">
        <v>10495</v>
      </c>
      <c r="U1839" s="614"/>
      <c r="V1839" s="614"/>
      <c r="W1839" s="609"/>
      <c r="X1839" s="609" t="s">
        <v>10284</v>
      </c>
      <c r="Y1839" s="616" t="s">
        <v>5071</v>
      </c>
      <c r="Z1839" s="609">
        <v>2.247</v>
      </c>
      <c r="AA1839" s="616">
        <f t="shared" si="733"/>
        <v>3154.788</v>
      </c>
      <c r="AC1839" s="697"/>
      <c r="AD1839" s="610" t="s">
        <v>8079</v>
      </c>
      <c r="AE1839" s="610" t="s">
        <v>82</v>
      </c>
      <c r="AF1839" s="610"/>
      <c r="AG1839" s="610"/>
      <c r="AH1839" s="609"/>
      <c r="AI1839" s="554">
        <v>1404</v>
      </c>
      <c r="AJ1839" s="939">
        <f t="shared" si="728"/>
        <v>0</v>
      </c>
      <c r="AK1839" s="613"/>
      <c r="AL1839" s="610" t="s">
        <v>2368</v>
      </c>
      <c r="AM1839" s="610"/>
      <c r="AN1839" s="610">
        <f t="shared" si="745"/>
        <v>2808</v>
      </c>
      <c r="AR1839" s="619"/>
      <c r="AS1839" s="554">
        <f t="shared" si="746"/>
        <v>2808</v>
      </c>
      <c r="AU1839" s="554">
        <f t="shared" si="747"/>
        <v>2808</v>
      </c>
      <c r="AX1839" s="714"/>
      <c r="AY1839" s="554"/>
      <c r="AZ1839" s="554"/>
      <c r="BA1839" s="554"/>
      <c r="BB1839" s="620">
        <f t="shared" si="744"/>
        <v>117</v>
      </c>
      <c r="CA1839" s="720"/>
      <c r="CB1839" s="555"/>
      <c r="CC1839" s="721"/>
      <c r="CD1839" s="554"/>
      <c r="CE1839" s="554"/>
      <c r="CF1839" s="554"/>
      <c r="CG1839" s="554"/>
      <c r="CP1839" s="619"/>
      <c r="CQ1839" s="619"/>
      <c r="CR1839" s="554">
        <f t="shared" si="748"/>
        <v>1404</v>
      </c>
      <c r="CS1839" s="554">
        <f t="shared" si="749"/>
        <v>1404</v>
      </c>
      <c r="CT1839" s="554">
        <f t="shared" si="750"/>
        <v>1404</v>
      </c>
      <c r="CU1839" s="554">
        <f t="shared" si="739"/>
        <v>0</v>
      </c>
      <c r="CV1839" s="554">
        <f t="shared" si="751"/>
        <v>0</v>
      </c>
      <c r="CW1839" s="554">
        <f t="shared" si="752"/>
        <v>0</v>
      </c>
      <c r="CX1839" s="619"/>
      <c r="CY1839" s="619"/>
      <c r="CZ1839" s="619"/>
      <c r="DA1839" s="619"/>
      <c r="DB1839" s="619"/>
      <c r="DC1839" s="619"/>
      <c r="DD1839" s="619"/>
      <c r="DE1839" s="619"/>
      <c r="DF1839" s="619"/>
      <c r="DG1839" s="619"/>
      <c r="DH1839" s="619"/>
    </row>
    <row r="1840" s="554" customFormat="1" ht="31" customHeight="1" spans="1:113">
      <c r="A1840" s="608">
        <v>46167</v>
      </c>
      <c r="B1840" s="609" t="s">
        <v>2707</v>
      </c>
      <c r="C1840" s="610" t="s">
        <v>170</v>
      </c>
      <c r="D1840" s="727">
        <v>4500208841</v>
      </c>
      <c r="E1840" s="613">
        <v>40121088</v>
      </c>
      <c r="F1840" s="554" t="s">
        <v>10496</v>
      </c>
      <c r="G1840" s="610" t="s">
        <v>6787</v>
      </c>
      <c r="H1840" s="610" t="s">
        <v>6126</v>
      </c>
      <c r="I1840" s="715">
        <v>336</v>
      </c>
      <c r="J1840" s="610">
        <v>0</v>
      </c>
      <c r="K1840" s="610">
        <v>12</v>
      </c>
      <c r="L1840" s="611">
        <f t="shared" si="727"/>
        <v>28</v>
      </c>
      <c r="M1840" s="612">
        <v>46240</v>
      </c>
      <c r="N1840" s="612">
        <v>46237</v>
      </c>
      <c r="O1840" s="613"/>
      <c r="P1840" s="610" t="s">
        <v>113</v>
      </c>
      <c r="Q1840" s="614">
        <v>46248</v>
      </c>
      <c r="R1840" s="614">
        <v>46174</v>
      </c>
      <c r="S1840" s="614" t="s">
        <v>70</v>
      </c>
      <c r="T1840" s="614" t="s">
        <v>10495</v>
      </c>
      <c r="U1840" s="614"/>
      <c r="V1840" s="614"/>
      <c r="W1840" s="609"/>
      <c r="X1840" s="609" t="s">
        <v>10284</v>
      </c>
      <c r="Y1840" s="616" t="s">
        <v>5071</v>
      </c>
      <c r="Z1840" s="609">
        <v>2.247</v>
      </c>
      <c r="AA1840" s="616">
        <f t="shared" si="733"/>
        <v>754.992</v>
      </c>
      <c r="AC1840" s="697"/>
      <c r="AD1840" s="610" t="s">
        <v>8079</v>
      </c>
      <c r="AE1840" s="610" t="s">
        <v>82</v>
      </c>
      <c r="AF1840" s="610"/>
      <c r="AG1840" s="610"/>
      <c r="AH1840" s="609"/>
      <c r="AI1840" s="609">
        <v>336</v>
      </c>
      <c r="AJ1840" s="610">
        <f>I1840-AI1840</f>
        <v>0</v>
      </c>
      <c r="AK1840" s="613"/>
      <c r="AL1840" s="610" t="s">
        <v>2368</v>
      </c>
      <c r="AM1840" s="610"/>
      <c r="AN1840" s="610">
        <f t="shared" si="745"/>
        <v>672</v>
      </c>
      <c r="AR1840" s="619"/>
      <c r="AS1840" s="554">
        <f t="shared" si="746"/>
        <v>672</v>
      </c>
      <c r="AU1840" s="554">
        <f t="shared" si="747"/>
        <v>672</v>
      </c>
      <c r="AX1840" s="714"/>
      <c r="AY1840" s="554"/>
      <c r="AZ1840" s="554"/>
      <c r="BA1840" s="554"/>
      <c r="BB1840" s="620">
        <f t="shared" si="744"/>
        <v>28</v>
      </c>
      <c r="CA1840" s="720"/>
      <c r="CB1840" s="555"/>
      <c r="CC1840" s="721"/>
      <c r="CD1840" s="554"/>
      <c r="CE1840" s="554"/>
      <c r="CF1840" s="554"/>
      <c r="CG1840" s="554"/>
      <c r="CP1840" s="619"/>
      <c r="CQ1840" s="619"/>
      <c r="CR1840" s="554">
        <f t="shared" si="748"/>
        <v>336</v>
      </c>
      <c r="CS1840" s="554">
        <f t="shared" si="749"/>
        <v>336</v>
      </c>
      <c r="CT1840" s="554">
        <f t="shared" si="750"/>
        <v>336</v>
      </c>
      <c r="CU1840" s="554">
        <f t="shared" si="739"/>
        <v>0</v>
      </c>
      <c r="CV1840" s="554">
        <f t="shared" si="751"/>
        <v>0</v>
      </c>
      <c r="CW1840" s="554">
        <f t="shared" si="752"/>
        <v>0</v>
      </c>
      <c r="CX1840" s="619"/>
      <c r="CY1840" s="619"/>
      <c r="CZ1840" s="619"/>
      <c r="DA1840" s="619"/>
      <c r="DB1840" s="619"/>
      <c r="DC1840" s="619"/>
      <c r="DD1840" s="619"/>
      <c r="DE1840" s="619"/>
      <c r="DF1840" s="619"/>
      <c r="DG1840" s="619"/>
      <c r="DH1840" s="619"/>
    </row>
    <row r="1841" s="554" customFormat="1" ht="31" customHeight="1" spans="1:112">
      <c r="A1841" s="608">
        <v>46167</v>
      </c>
      <c r="B1841" s="609" t="s">
        <v>2707</v>
      </c>
      <c r="C1841" s="610" t="s">
        <v>170</v>
      </c>
      <c r="D1841" s="727">
        <v>4500208841</v>
      </c>
      <c r="E1841" s="613">
        <v>40121212</v>
      </c>
      <c r="F1841" s="554" t="s">
        <v>10497</v>
      </c>
      <c r="G1841" s="610" t="s">
        <v>6787</v>
      </c>
      <c r="H1841" s="610" t="s">
        <v>6126</v>
      </c>
      <c r="I1841" s="715">
        <v>396</v>
      </c>
      <c r="J1841" s="610">
        <v>0</v>
      </c>
      <c r="K1841" s="610">
        <v>12</v>
      </c>
      <c r="L1841" s="611">
        <f t="shared" si="727"/>
        <v>33</v>
      </c>
      <c r="M1841" s="612">
        <v>46240</v>
      </c>
      <c r="N1841" s="612">
        <v>46237</v>
      </c>
      <c r="O1841" s="613"/>
      <c r="P1841" s="610" t="s">
        <v>113</v>
      </c>
      <c r="Q1841" s="614">
        <v>46248</v>
      </c>
      <c r="R1841" s="614">
        <v>46174</v>
      </c>
      <c r="S1841" s="614" t="s">
        <v>70</v>
      </c>
      <c r="T1841" s="614" t="s">
        <v>10495</v>
      </c>
      <c r="U1841" s="614"/>
      <c r="V1841" s="614"/>
      <c r="W1841" s="609"/>
      <c r="X1841" s="609" t="s">
        <v>10284</v>
      </c>
      <c r="Y1841" s="616" t="s">
        <v>5071</v>
      </c>
      <c r="Z1841" s="609">
        <v>2.247</v>
      </c>
      <c r="AA1841" s="616">
        <f t="shared" si="733"/>
        <v>889.812</v>
      </c>
      <c r="AC1841" s="697"/>
      <c r="AD1841" s="610" t="s">
        <v>8079</v>
      </c>
      <c r="AE1841" s="610" t="s">
        <v>82</v>
      </c>
      <c r="AF1841" s="610"/>
      <c r="AG1841" s="610"/>
      <c r="AH1841" s="609"/>
      <c r="AI1841" s="609">
        <v>396</v>
      </c>
      <c r="AJ1841" s="610">
        <f>AI1841-I1841</f>
        <v>0</v>
      </c>
      <c r="AK1841" s="613"/>
      <c r="AL1841" s="610" t="s">
        <v>2368</v>
      </c>
      <c r="AM1841" s="610"/>
      <c r="AN1841" s="610">
        <f t="shared" si="745"/>
        <v>792</v>
      </c>
      <c r="AR1841" s="619"/>
      <c r="AS1841" s="554">
        <f t="shared" si="746"/>
        <v>792</v>
      </c>
      <c r="AU1841" s="554">
        <f t="shared" si="747"/>
        <v>792</v>
      </c>
      <c r="AX1841" s="714"/>
      <c r="AY1841" s="554"/>
      <c r="AZ1841" s="554"/>
      <c r="BA1841" s="554"/>
      <c r="BB1841" s="620">
        <f t="shared" si="744"/>
        <v>33</v>
      </c>
      <c r="CA1841" s="720"/>
      <c r="CB1841" s="555"/>
      <c r="CC1841" s="721"/>
      <c r="CD1841" s="554"/>
      <c r="CE1841" s="554"/>
      <c r="CF1841" s="554"/>
      <c r="CG1841" s="554"/>
      <c r="CP1841" s="619"/>
      <c r="CQ1841" s="619"/>
      <c r="CR1841" s="554">
        <f t="shared" si="748"/>
        <v>396</v>
      </c>
      <c r="CS1841" s="554">
        <f t="shared" si="749"/>
        <v>396</v>
      </c>
      <c r="CT1841" s="554">
        <f t="shared" si="750"/>
        <v>396</v>
      </c>
      <c r="CU1841" s="554">
        <f t="shared" si="739"/>
        <v>0</v>
      </c>
      <c r="CV1841" s="554">
        <f t="shared" si="751"/>
        <v>0</v>
      </c>
      <c r="CW1841" s="554">
        <f t="shared" si="752"/>
        <v>0</v>
      </c>
      <c r="CX1841" s="619"/>
      <c r="CY1841" s="619"/>
      <c r="CZ1841" s="619"/>
      <c r="DA1841" s="619"/>
      <c r="DB1841" s="619"/>
      <c r="DC1841" s="619"/>
      <c r="DD1841" s="619"/>
      <c r="DE1841" s="619"/>
      <c r="DF1841" s="619"/>
      <c r="DG1841" s="619"/>
      <c r="DH1841" s="619"/>
    </row>
    <row r="1842" s="554" customFormat="1" ht="31" customHeight="1" spans="1:112">
      <c r="A1842" s="608">
        <v>46167</v>
      </c>
      <c r="B1842" s="609" t="s">
        <v>2707</v>
      </c>
      <c r="C1842" s="610" t="s">
        <v>170</v>
      </c>
      <c r="D1842" s="727">
        <v>4500208841</v>
      </c>
      <c r="E1842" s="613">
        <v>40121249</v>
      </c>
      <c r="F1842" s="554" t="s">
        <v>10498</v>
      </c>
      <c r="G1842" s="610" t="s">
        <v>6787</v>
      </c>
      <c r="H1842" s="610" t="s">
        <v>6126</v>
      </c>
      <c r="I1842" s="715">
        <v>1596</v>
      </c>
      <c r="J1842" s="610">
        <v>0</v>
      </c>
      <c r="K1842" s="610">
        <v>12</v>
      </c>
      <c r="L1842" s="611">
        <f t="shared" si="727"/>
        <v>133</v>
      </c>
      <c r="M1842" s="612">
        <v>46240</v>
      </c>
      <c r="N1842" s="612">
        <v>46237</v>
      </c>
      <c r="O1842" s="613"/>
      <c r="P1842" s="610" t="s">
        <v>113</v>
      </c>
      <c r="Q1842" s="614">
        <v>46248</v>
      </c>
      <c r="R1842" s="614">
        <v>46174</v>
      </c>
      <c r="S1842" s="614" t="s">
        <v>70</v>
      </c>
      <c r="T1842" s="614" t="s">
        <v>10495</v>
      </c>
      <c r="U1842" s="614"/>
      <c r="V1842" s="614"/>
      <c r="W1842" s="609"/>
      <c r="X1842" s="609" t="s">
        <v>10284</v>
      </c>
      <c r="Y1842" s="616" t="s">
        <v>5071</v>
      </c>
      <c r="Z1842" s="609">
        <v>2.247</v>
      </c>
      <c r="AA1842" s="616">
        <f t="shared" si="733"/>
        <v>3586.212</v>
      </c>
      <c r="AC1842" s="697"/>
      <c r="AD1842" s="610" t="s">
        <v>8079</v>
      </c>
      <c r="AE1842" s="610" t="s">
        <v>82</v>
      </c>
      <c r="AF1842" s="610"/>
      <c r="AG1842" s="610"/>
      <c r="AH1842" s="609"/>
      <c r="AI1842" s="609">
        <v>1596</v>
      </c>
      <c r="AJ1842" s="610">
        <f>AI1842-I1842</f>
        <v>0</v>
      </c>
      <c r="AK1842" s="613"/>
      <c r="AL1842" s="610" t="s">
        <v>2368</v>
      </c>
      <c r="AM1842" s="610"/>
      <c r="AN1842" s="610">
        <f t="shared" si="745"/>
        <v>3192</v>
      </c>
      <c r="AR1842" s="619"/>
      <c r="AS1842" s="554">
        <f t="shared" si="746"/>
        <v>3192</v>
      </c>
      <c r="AU1842" s="554">
        <f t="shared" si="747"/>
        <v>3192</v>
      </c>
      <c r="AX1842" s="714"/>
      <c r="AY1842" s="554"/>
      <c r="AZ1842" s="554"/>
      <c r="BA1842" s="554"/>
      <c r="BB1842" s="620">
        <f t="shared" si="744"/>
        <v>133</v>
      </c>
      <c r="CA1842" s="720"/>
      <c r="CB1842" s="555"/>
      <c r="CC1842" s="721"/>
      <c r="CD1842" s="554"/>
      <c r="CE1842" s="554"/>
      <c r="CF1842" s="554"/>
      <c r="CG1842" s="554"/>
      <c r="CP1842" s="619"/>
      <c r="CQ1842" s="619"/>
      <c r="CR1842" s="554">
        <f t="shared" si="748"/>
        <v>1596</v>
      </c>
      <c r="CS1842" s="554">
        <f t="shared" si="749"/>
        <v>1596</v>
      </c>
      <c r="CT1842" s="554">
        <f t="shared" si="750"/>
        <v>1596</v>
      </c>
      <c r="CU1842" s="554">
        <f t="shared" si="739"/>
        <v>0</v>
      </c>
      <c r="CV1842" s="554">
        <f t="shared" si="751"/>
        <v>0</v>
      </c>
      <c r="CW1842" s="554">
        <f t="shared" si="752"/>
        <v>0</v>
      </c>
      <c r="CX1842" s="619"/>
      <c r="CY1842" s="619"/>
      <c r="CZ1842" s="619"/>
      <c r="DA1842" s="619"/>
      <c r="DB1842" s="619"/>
      <c r="DC1842" s="619"/>
      <c r="DD1842" s="619"/>
      <c r="DE1842" s="619"/>
      <c r="DF1842" s="619"/>
      <c r="DG1842" s="619"/>
      <c r="DH1842" s="619"/>
    </row>
    <row r="1843" s="550" customFormat="1" ht="31" customHeight="1" spans="1:112">
      <c r="A1843" s="867">
        <v>46195</v>
      </c>
      <c r="B1843" s="605" t="s">
        <v>325</v>
      </c>
      <c r="C1843" s="589" t="s">
        <v>98</v>
      </c>
      <c r="D1843" s="557">
        <v>4500213443</v>
      </c>
      <c r="E1843" s="589" t="s">
        <v>10499</v>
      </c>
      <c r="F1843" s="557" t="s">
        <v>10500</v>
      </c>
      <c r="G1843" s="589" t="s">
        <v>6084</v>
      </c>
      <c r="H1843" s="610" t="s">
        <v>6069</v>
      </c>
      <c r="I1843" s="940">
        <v>6550</v>
      </c>
      <c r="J1843" s="610">
        <v>0</v>
      </c>
      <c r="K1843" s="843">
        <v>25</v>
      </c>
      <c r="L1843" s="844">
        <f t="shared" si="727"/>
        <v>262</v>
      </c>
      <c r="M1843" s="871">
        <v>46241</v>
      </c>
      <c r="N1843" s="908">
        <v>46239</v>
      </c>
      <c r="O1843" s="873"/>
      <c r="P1843" s="589" t="s">
        <v>113</v>
      </c>
      <c r="Q1843" s="874">
        <v>46254</v>
      </c>
      <c r="R1843" s="874">
        <v>46196</v>
      </c>
      <c r="S1843" s="614" t="s">
        <v>104</v>
      </c>
      <c r="T1843" s="818" t="s">
        <v>10501</v>
      </c>
      <c r="U1843" s="818"/>
      <c r="V1843" s="862"/>
      <c r="W1843" s="819"/>
      <c r="X1843" s="904" t="s">
        <v>10502</v>
      </c>
      <c r="Y1843" s="876" t="s">
        <v>252</v>
      </c>
      <c r="Z1843" s="609">
        <v>0.5798</v>
      </c>
      <c r="AA1843" s="616">
        <f t="shared" si="733"/>
        <v>3797.69</v>
      </c>
      <c r="AC1843" s="877"/>
      <c r="AD1843" s="610" t="s">
        <v>6084</v>
      </c>
      <c r="AE1843" s="610" t="s">
        <v>82</v>
      </c>
      <c r="AF1843" s="589"/>
      <c r="AG1843" s="589"/>
      <c r="AH1843" s="605"/>
      <c r="AI1843" s="609">
        <v>6550</v>
      </c>
      <c r="AJ1843" s="610">
        <f>I1843-AI1843</f>
        <v>0</v>
      </c>
      <c r="AK1843" s="873"/>
      <c r="AL1843" s="589" t="s">
        <v>2368</v>
      </c>
      <c r="AM1843" s="589"/>
      <c r="AN1843" s="610">
        <f>I1843</f>
        <v>6550</v>
      </c>
      <c r="AO1843" s="554"/>
      <c r="AP1843" s="554">
        <f>I1843</f>
        <v>6550</v>
      </c>
      <c r="AQ1843" s="557"/>
      <c r="AR1843" s="878"/>
      <c r="AS1843" s="557"/>
      <c r="AT1843" s="554"/>
      <c r="AU1843" s="554">
        <f>I1843</f>
        <v>6550</v>
      </c>
      <c r="AV1843" s="554"/>
      <c r="AW1843" s="557"/>
      <c r="AX1843" s="879"/>
      <c r="AY1843" s="557"/>
      <c r="AZ1843" s="557"/>
      <c r="BA1843" s="557"/>
      <c r="BB1843" s="620">
        <f>I1843/48</f>
        <v>136.458333333333</v>
      </c>
      <c r="BC1843" s="557"/>
      <c r="BD1843" s="557"/>
      <c r="BE1843" s="557"/>
      <c r="BF1843" s="880"/>
      <c r="BG1843" s="550"/>
      <c r="BH1843" s="882"/>
      <c r="BI1843" s="557"/>
      <c r="BJ1843" s="557"/>
      <c r="BK1843" s="557"/>
      <c r="BL1843" s="557"/>
      <c r="BM1843" s="554"/>
      <c r="BN1843" s="554">
        <f>I1843/25</f>
        <v>262</v>
      </c>
      <c r="BO1843" s="557"/>
      <c r="BP1843" s="557"/>
      <c r="BQ1843" s="557"/>
      <c r="BR1843" s="557"/>
      <c r="BS1843" s="557"/>
      <c r="BT1843" s="557"/>
      <c r="BU1843" s="557"/>
      <c r="BV1843" s="557"/>
      <c r="BW1843" s="557"/>
      <c r="BX1843" s="557"/>
      <c r="BY1843" s="557"/>
      <c r="BZ1843" s="557"/>
      <c r="CA1843" s="883"/>
      <c r="CB1843" s="555"/>
      <c r="CC1843" s="882"/>
      <c r="CD1843" s="557"/>
      <c r="CE1843" s="557"/>
      <c r="CF1843" s="557"/>
      <c r="CG1843" s="880"/>
      <c r="CH1843" s="550"/>
      <c r="CI1843" s="882"/>
      <c r="CJ1843" s="557"/>
      <c r="CK1843" s="557"/>
      <c r="CL1843" s="557"/>
      <c r="CM1843" s="557"/>
      <c r="CN1843" s="557"/>
      <c r="CO1843" s="557"/>
      <c r="CP1843" s="878"/>
      <c r="CQ1843" s="878"/>
      <c r="CR1843" s="557"/>
      <c r="CS1843" s="557"/>
      <c r="CT1843" s="557"/>
      <c r="CU1843" s="554">
        <f t="shared" si="739"/>
        <v>262</v>
      </c>
      <c r="CV1843" s="554">
        <f t="shared" si="751"/>
        <v>0</v>
      </c>
      <c r="CW1843" s="554">
        <f t="shared" si="752"/>
        <v>0</v>
      </c>
      <c r="CX1843" s="878"/>
      <c r="CY1843" s="878"/>
      <c r="CZ1843" s="878"/>
      <c r="DA1843" s="878"/>
      <c r="DB1843" s="878"/>
      <c r="DC1843" s="878"/>
      <c r="DD1843" s="878"/>
      <c r="DE1843" s="878"/>
      <c r="DF1843" s="878"/>
      <c r="DG1843" s="878"/>
      <c r="DH1843" s="878"/>
    </row>
    <row r="1844" s="550" customFormat="1" ht="31" customHeight="1" spans="1:112">
      <c r="A1844" s="867">
        <v>46185</v>
      </c>
      <c r="B1844" s="605" t="s">
        <v>3489</v>
      </c>
      <c r="C1844" s="589" t="s">
        <v>836</v>
      </c>
      <c r="D1844" s="886">
        <v>4500211896</v>
      </c>
      <c r="E1844" s="873">
        <v>21216524</v>
      </c>
      <c r="F1844" s="557" t="s">
        <v>10503</v>
      </c>
      <c r="G1844" s="589" t="s">
        <v>6093</v>
      </c>
      <c r="H1844" s="589" t="s">
        <v>6094</v>
      </c>
      <c r="I1844" s="868">
        <v>507</v>
      </c>
      <c r="J1844" s="589">
        <v>0</v>
      </c>
      <c r="K1844" s="869">
        <v>13</v>
      </c>
      <c r="L1844" s="870">
        <f t="shared" si="727"/>
        <v>39</v>
      </c>
      <c r="M1844" s="871">
        <v>46237</v>
      </c>
      <c r="N1844" s="885">
        <v>46235</v>
      </c>
      <c r="O1844" s="873"/>
      <c r="P1844" s="589" t="s">
        <v>113</v>
      </c>
      <c r="Q1844" s="874">
        <v>46238</v>
      </c>
      <c r="R1844" s="874">
        <v>46196</v>
      </c>
      <c r="S1844" s="874" t="s">
        <v>70</v>
      </c>
      <c r="T1844" s="874" t="s">
        <v>9033</v>
      </c>
      <c r="U1844" s="874"/>
      <c r="V1844" s="874" t="s">
        <v>10504</v>
      </c>
      <c r="W1844" s="573" t="s">
        <v>10505</v>
      </c>
      <c r="X1844" s="605" t="s">
        <v>10506</v>
      </c>
      <c r="Y1844" s="876" t="s">
        <v>2492</v>
      </c>
      <c r="Z1844" s="605">
        <v>0.9501</v>
      </c>
      <c r="AA1844" s="876">
        <f t="shared" si="733"/>
        <v>481.7007</v>
      </c>
      <c r="AC1844" s="877"/>
      <c r="AD1844" s="589" t="s">
        <v>6093</v>
      </c>
      <c r="AE1844" s="589" t="s">
        <v>82</v>
      </c>
      <c r="AF1844" s="589"/>
      <c r="AG1844" s="589"/>
      <c r="AH1844" s="605"/>
      <c r="AI1844" s="605">
        <f>494+13</f>
        <v>507</v>
      </c>
      <c r="AJ1844" s="589">
        <f t="shared" ref="AJ1844:AJ1907" si="753">AI1844-I1844</f>
        <v>0</v>
      </c>
      <c r="AK1844" s="873"/>
      <c r="AL1844" s="589" t="s">
        <v>454</v>
      </c>
      <c r="AM1844" s="589"/>
      <c r="AN1844" s="589"/>
      <c r="AO1844" s="557">
        <f t="shared" ref="AO1844:AO1851" si="754">I1844</f>
        <v>507</v>
      </c>
      <c r="AP1844" s="557"/>
      <c r="AQ1844" s="557"/>
      <c r="AR1844" s="878"/>
      <c r="AS1844" s="557"/>
      <c r="AT1844" s="557">
        <f>I1844</f>
        <v>507</v>
      </c>
      <c r="AU1844" s="557"/>
      <c r="AV1844" s="557">
        <f t="shared" ref="AV1844:AV1851" si="755">I1844</f>
        <v>507</v>
      </c>
      <c r="AW1844" s="557"/>
      <c r="AX1844" s="879"/>
      <c r="AY1844" s="557"/>
      <c r="AZ1844" s="557"/>
      <c r="BA1844" s="557"/>
      <c r="BB1844" s="888">
        <f>I1844/24</f>
        <v>21.125</v>
      </c>
      <c r="BC1844" s="557"/>
      <c r="BD1844" s="557"/>
      <c r="BE1844" s="557"/>
      <c r="BF1844" s="880"/>
      <c r="BG1844" s="881"/>
      <c r="BH1844" s="882"/>
      <c r="BI1844" s="557"/>
      <c r="BJ1844" s="557"/>
      <c r="BK1844" s="557"/>
      <c r="BL1844" s="557"/>
      <c r="BM1844" s="557">
        <f>I1844/13</f>
        <v>39</v>
      </c>
      <c r="BN1844" s="557"/>
      <c r="BO1844" s="557"/>
      <c r="BP1844" s="557"/>
      <c r="BQ1844" s="557"/>
      <c r="BR1844" s="557"/>
      <c r="BS1844" s="557"/>
      <c r="BT1844" s="557"/>
      <c r="BU1844" s="557"/>
      <c r="BV1844" s="557"/>
      <c r="BW1844" s="557"/>
      <c r="BX1844" s="557"/>
      <c r="BY1844" s="557"/>
      <c r="BZ1844" s="557"/>
      <c r="CA1844" s="883"/>
      <c r="CB1844" s="881"/>
      <c r="CC1844" s="882"/>
      <c r="CD1844" s="557"/>
      <c r="CE1844" s="557"/>
      <c r="CF1844" s="557"/>
      <c r="CG1844" s="880"/>
      <c r="CH1844" s="881"/>
      <c r="CI1844" s="882"/>
      <c r="CJ1844" s="557"/>
      <c r="CK1844" s="557"/>
      <c r="CL1844" s="557"/>
      <c r="CM1844" s="557"/>
      <c r="CN1844" s="557"/>
      <c r="CO1844" s="557"/>
      <c r="CP1844" s="878"/>
      <c r="CQ1844" s="878"/>
      <c r="CR1844" s="557"/>
      <c r="CS1844" s="557"/>
      <c r="CT1844" s="557"/>
      <c r="CU1844" s="557">
        <f t="shared" si="739"/>
        <v>0</v>
      </c>
      <c r="CV1844" s="557">
        <f t="shared" si="751"/>
        <v>0</v>
      </c>
      <c r="CW1844" s="557">
        <f t="shared" si="752"/>
        <v>0</v>
      </c>
      <c r="CX1844" s="878"/>
      <c r="CY1844" s="878"/>
      <c r="CZ1844" s="878"/>
      <c r="DA1844" s="878"/>
      <c r="DB1844" s="878"/>
      <c r="DC1844" s="878"/>
      <c r="DD1844" s="878"/>
      <c r="DE1844" s="878"/>
      <c r="DF1844" s="878"/>
      <c r="DG1844" s="878"/>
      <c r="DH1844" s="878"/>
    </row>
    <row r="1845" s="555" customFormat="1" ht="31" customHeight="1" spans="1:112">
      <c r="A1845" s="889">
        <v>46210</v>
      </c>
      <c r="B1845" s="819" t="s">
        <v>10507</v>
      </c>
      <c r="C1845" s="890" t="s">
        <v>399</v>
      </c>
      <c r="D1845" s="891">
        <v>4500215205</v>
      </c>
      <c r="E1845" s="890"/>
      <c r="F1845" s="555" t="s">
        <v>10508</v>
      </c>
      <c r="G1845" s="890" t="s">
        <v>6043</v>
      </c>
      <c r="H1845" s="890" t="s">
        <v>6110</v>
      </c>
      <c r="I1845" s="893">
        <v>9600</v>
      </c>
      <c r="J1845" s="890">
        <v>0</v>
      </c>
      <c r="K1845" s="890">
        <v>50</v>
      </c>
      <c r="L1845" s="844">
        <f t="shared" ref="L1845:L1908" si="756">I1845/K1845</f>
        <v>192</v>
      </c>
      <c r="M1845" s="887">
        <v>46237</v>
      </c>
      <c r="N1845" s="887">
        <v>46233</v>
      </c>
      <c r="O1845" s="892"/>
      <c r="P1845" s="892" t="s">
        <v>113</v>
      </c>
      <c r="Q1845" s="862">
        <v>46247</v>
      </c>
      <c r="R1845" s="862">
        <v>46211</v>
      </c>
      <c r="S1845" s="862" t="s">
        <v>70</v>
      </c>
      <c r="T1845" s="862" t="s">
        <v>10509</v>
      </c>
      <c r="U1845" s="862"/>
      <c r="V1845" s="862"/>
      <c r="W1845" s="819"/>
      <c r="X1845" s="819" t="s">
        <v>10510</v>
      </c>
      <c r="Y1845" s="894" t="s">
        <v>5498</v>
      </c>
      <c r="Z1845" s="819">
        <v>0.9943</v>
      </c>
      <c r="AA1845" s="894">
        <f t="shared" si="733"/>
        <v>9545.28</v>
      </c>
      <c r="AB1845" s="819"/>
      <c r="AC1845" s="697"/>
      <c r="AD1845" s="609" t="s">
        <v>6043</v>
      </c>
      <c r="AE1845" s="890" t="s">
        <v>82</v>
      </c>
      <c r="AF1845" s="890"/>
      <c r="AG1845" s="890"/>
      <c r="AH1845" s="819"/>
      <c r="AI1845" s="819">
        <v>9600</v>
      </c>
      <c r="AJ1845" s="610">
        <f t="shared" si="753"/>
        <v>0</v>
      </c>
      <c r="AK1845" s="892"/>
      <c r="AL1845" s="890" t="s">
        <v>2368</v>
      </c>
      <c r="AM1845" s="890"/>
      <c r="AN1845" s="890"/>
      <c r="AO1845" s="555">
        <f t="shared" si="754"/>
        <v>9600</v>
      </c>
      <c r="AR1845" s="895"/>
      <c r="AS1845" s="555"/>
      <c r="AT1845" s="555">
        <f>I1845</f>
        <v>9600</v>
      </c>
      <c r="AV1845" s="554">
        <f t="shared" si="755"/>
        <v>9600</v>
      </c>
      <c r="AX1845" s="896"/>
      <c r="AY1845" s="555"/>
      <c r="AZ1845" s="555"/>
      <c r="BA1845" s="555"/>
      <c r="BB1845" s="620">
        <f>I1845/24</f>
        <v>400</v>
      </c>
      <c r="BP1845" s="554">
        <f>I1845/25</f>
        <v>384</v>
      </c>
      <c r="CP1845" s="895"/>
      <c r="CQ1845" s="895"/>
      <c r="CR1845" s="555"/>
      <c r="CS1845" s="555"/>
      <c r="CT1845" s="555"/>
      <c r="CU1845" s="554">
        <f t="shared" si="739"/>
        <v>384</v>
      </c>
      <c r="CV1845" s="554">
        <f t="shared" si="751"/>
        <v>0</v>
      </c>
      <c r="CW1845" s="554">
        <f t="shared" si="752"/>
        <v>0</v>
      </c>
      <c r="CX1845" s="895"/>
      <c r="CY1845" s="895"/>
      <c r="CZ1845" s="895"/>
      <c r="DA1845" s="895"/>
      <c r="DB1845" s="895"/>
      <c r="DC1845" s="895"/>
      <c r="DD1845" s="895"/>
      <c r="DE1845" s="895"/>
      <c r="DF1845" s="895"/>
      <c r="DG1845" s="895"/>
      <c r="DH1845" s="895"/>
    </row>
    <row r="1846" s="550" customFormat="1" ht="31" customHeight="1" spans="1:112">
      <c r="A1846" s="608">
        <v>46182</v>
      </c>
      <c r="B1846" s="609" t="s">
        <v>5301</v>
      </c>
      <c r="C1846" s="610" t="s">
        <v>411</v>
      </c>
      <c r="D1846" s="554">
        <v>4500211395</v>
      </c>
      <c r="E1846" s="610"/>
      <c r="F1846" s="554" t="s">
        <v>10511</v>
      </c>
      <c r="G1846" s="610" t="s">
        <v>6093</v>
      </c>
      <c r="H1846" s="610" t="s">
        <v>6094</v>
      </c>
      <c r="I1846" s="941">
        <v>2769</v>
      </c>
      <c r="J1846" s="610">
        <v>0</v>
      </c>
      <c r="K1846" s="843">
        <v>13</v>
      </c>
      <c r="L1846" s="844">
        <f t="shared" si="756"/>
        <v>213</v>
      </c>
      <c r="M1846" s="845">
        <v>46241</v>
      </c>
      <c r="N1846" s="612">
        <v>46237</v>
      </c>
      <c r="O1846" s="613"/>
      <c r="P1846" s="610" t="s">
        <v>113</v>
      </c>
      <c r="Q1846" s="614"/>
      <c r="R1846" s="614">
        <v>46182</v>
      </c>
      <c r="S1846" s="614" t="s">
        <v>70</v>
      </c>
      <c r="T1846" s="614" t="s">
        <v>10512</v>
      </c>
      <c r="U1846" s="874"/>
      <c r="V1846" s="730" t="s">
        <v>5305</v>
      </c>
      <c r="W1846" s="573"/>
      <c r="X1846" s="609" t="s">
        <v>10513</v>
      </c>
      <c r="Y1846" s="616" t="s">
        <v>415</v>
      </c>
      <c r="Z1846" s="609">
        <v>0.9448</v>
      </c>
      <c r="AA1846" s="616">
        <f t="shared" si="733"/>
        <v>2616.1512</v>
      </c>
      <c r="AC1846" s="697"/>
      <c r="AD1846" s="610" t="s">
        <v>6093</v>
      </c>
      <c r="AE1846" s="589" t="s">
        <v>82</v>
      </c>
      <c r="AF1846" s="610"/>
      <c r="AG1846" s="610"/>
      <c r="AH1846" s="609"/>
      <c r="AI1846" s="609">
        <v>2769</v>
      </c>
      <c r="AJ1846" s="610">
        <f t="shared" si="753"/>
        <v>0</v>
      </c>
      <c r="AK1846" s="613"/>
      <c r="AL1846" s="610" t="s">
        <v>2368</v>
      </c>
      <c r="AM1846" s="610"/>
      <c r="AN1846" s="610"/>
      <c r="AO1846" s="554">
        <f t="shared" si="754"/>
        <v>2769</v>
      </c>
      <c r="AP1846" s="554"/>
      <c r="AQ1846" s="554"/>
      <c r="AR1846" s="619"/>
      <c r="AS1846" s="554"/>
      <c r="AT1846" s="554">
        <f>I1846</f>
        <v>2769</v>
      </c>
      <c r="AU1846" s="554"/>
      <c r="AV1846" s="554">
        <f t="shared" si="755"/>
        <v>2769</v>
      </c>
      <c r="AW1846" s="554"/>
      <c r="AX1846" s="714"/>
      <c r="AY1846" s="554"/>
      <c r="AZ1846" s="554"/>
      <c r="BA1846" s="554"/>
      <c r="BB1846" s="620">
        <f>I1846/24</f>
        <v>115.375</v>
      </c>
      <c r="BC1846" s="554"/>
      <c r="BD1846" s="554"/>
      <c r="BE1846" s="554"/>
      <c r="BF1846" s="720"/>
      <c r="BG1846" s="555"/>
      <c r="BH1846" s="721"/>
      <c r="BI1846" s="554"/>
      <c r="BJ1846" s="554"/>
      <c r="BK1846" s="554"/>
      <c r="BL1846" s="554"/>
      <c r="BM1846" s="554">
        <f>I1846/13</f>
        <v>213</v>
      </c>
      <c r="BN1846" s="554"/>
      <c r="BO1846" s="554"/>
      <c r="BP1846" s="554"/>
      <c r="BQ1846" s="554"/>
      <c r="BR1846" s="554"/>
      <c r="BS1846" s="554"/>
      <c r="BT1846" s="554"/>
      <c r="BU1846" s="554"/>
      <c r="BV1846" s="554"/>
      <c r="BW1846" s="554"/>
      <c r="BX1846" s="554"/>
      <c r="BY1846" s="554"/>
      <c r="BZ1846" s="554"/>
      <c r="CA1846" s="720"/>
      <c r="CB1846" s="555"/>
      <c r="CC1846" s="721"/>
      <c r="CD1846" s="554"/>
      <c r="CE1846" s="554"/>
      <c r="CF1846" s="554"/>
      <c r="CG1846" s="720"/>
      <c r="CH1846" s="555"/>
      <c r="CI1846" s="721"/>
      <c r="CJ1846" s="554"/>
      <c r="CK1846" s="554"/>
      <c r="CL1846" s="554"/>
      <c r="CM1846" s="554"/>
      <c r="CN1846" s="554"/>
      <c r="CO1846" s="554"/>
      <c r="CP1846" s="619"/>
      <c r="CQ1846" s="619"/>
      <c r="CR1846" s="554"/>
      <c r="CS1846" s="554"/>
      <c r="CT1846" s="554"/>
      <c r="CU1846" s="554">
        <f t="shared" si="739"/>
        <v>0</v>
      </c>
      <c r="CV1846" s="554">
        <f t="shared" si="751"/>
        <v>0</v>
      </c>
      <c r="CW1846" s="554">
        <f t="shared" si="752"/>
        <v>0</v>
      </c>
      <c r="CX1846" s="619"/>
      <c r="CY1846" s="619"/>
      <c r="CZ1846" s="619"/>
      <c r="DA1846" s="619"/>
      <c r="DB1846" s="619"/>
      <c r="DC1846" s="619"/>
      <c r="DD1846" s="619"/>
      <c r="DE1846" s="619"/>
      <c r="DF1846" s="619"/>
      <c r="DG1846" s="619"/>
      <c r="DH1846" s="619"/>
    </row>
    <row r="1847" s="554" customFormat="1" ht="31" customHeight="1" spans="1:112">
      <c r="A1847" s="608">
        <v>46160</v>
      </c>
      <c r="B1847" s="609" t="s">
        <v>10514</v>
      </c>
      <c r="C1847" s="610" t="s">
        <v>154</v>
      </c>
      <c r="D1847" s="727">
        <v>4500207603</v>
      </c>
      <c r="E1847" s="610" t="s">
        <v>10515</v>
      </c>
      <c r="F1847" s="554" t="s">
        <v>10516</v>
      </c>
      <c r="G1847" s="610" t="s">
        <v>10517</v>
      </c>
      <c r="H1847" s="610" t="s">
        <v>10518</v>
      </c>
      <c r="I1847" s="941">
        <v>47970</v>
      </c>
      <c r="J1847" s="610">
        <v>0</v>
      </c>
      <c r="K1847" s="610">
        <v>30</v>
      </c>
      <c r="L1847" s="611">
        <f t="shared" si="756"/>
        <v>1599</v>
      </c>
      <c r="M1847" s="612">
        <v>46241</v>
      </c>
      <c r="N1847" s="612">
        <v>46237</v>
      </c>
      <c r="O1847" s="613"/>
      <c r="P1847" s="610" t="s">
        <v>113</v>
      </c>
      <c r="Q1847" s="614"/>
      <c r="R1847" s="614">
        <v>46191</v>
      </c>
      <c r="S1847" s="614" t="s">
        <v>70</v>
      </c>
      <c r="T1847" s="614" t="s">
        <v>10519</v>
      </c>
      <c r="U1847" s="614"/>
      <c r="V1847" s="614" t="s">
        <v>4737</v>
      </c>
      <c r="W1847" s="614" t="s">
        <v>10520</v>
      </c>
      <c r="X1847" s="738" t="s">
        <v>10521</v>
      </c>
      <c r="Y1847" s="616" t="s">
        <v>167</v>
      </c>
      <c r="Z1847" s="609">
        <v>0.8789</v>
      </c>
      <c r="AA1847" s="616">
        <f t="shared" si="733"/>
        <v>42160.833</v>
      </c>
      <c r="AB1847" s="609" t="s">
        <v>10522</v>
      </c>
      <c r="AC1847" s="697"/>
      <c r="AD1847" s="890" t="s">
        <v>10517</v>
      </c>
      <c r="AE1847" s="610" t="s">
        <v>82</v>
      </c>
      <c r="AF1847" s="610"/>
      <c r="AG1847" s="610"/>
      <c r="AH1847" s="609"/>
      <c r="AI1847" s="609">
        <v>47970</v>
      </c>
      <c r="AJ1847" s="610">
        <f t="shared" si="753"/>
        <v>0</v>
      </c>
      <c r="AK1847" s="613"/>
      <c r="AL1847" s="610" t="s">
        <v>2368</v>
      </c>
      <c r="AM1847" s="610"/>
      <c r="AN1847" s="554"/>
      <c r="AO1847" s="554">
        <f t="shared" si="754"/>
        <v>47970</v>
      </c>
      <c r="AR1847" s="619"/>
      <c r="AS1847" s="554"/>
      <c r="AT1847" s="554"/>
      <c r="AU1847" s="554"/>
      <c r="AV1847" s="554">
        <f t="shared" si="755"/>
        <v>47970</v>
      </c>
      <c r="AX1847" s="714"/>
      <c r="AY1847" s="554"/>
      <c r="AZ1847" s="554"/>
      <c r="BA1847" s="554"/>
      <c r="BB1847" s="620">
        <f>I1847/24*2</f>
        <v>3997.5</v>
      </c>
      <c r="BC1847" s="554">
        <f>I1847</f>
        <v>47970</v>
      </c>
      <c r="CA1847" s="720"/>
      <c r="CB1847" s="555"/>
      <c r="CC1847" s="721"/>
      <c r="CD1847" s="554"/>
      <c r="CE1847" s="554"/>
      <c r="CF1847" s="554"/>
      <c r="CG1847" s="554"/>
      <c r="CP1847" s="619"/>
      <c r="CQ1847" s="619"/>
      <c r="CR1847" s="554"/>
      <c r="CS1847" s="554"/>
      <c r="CT1847" s="554"/>
      <c r="CU1847" s="554">
        <f t="shared" si="739"/>
        <v>0</v>
      </c>
      <c r="CV1847" s="554">
        <f t="shared" si="751"/>
        <v>0</v>
      </c>
      <c r="CW1847" s="554">
        <f t="shared" si="752"/>
        <v>0</v>
      </c>
      <c r="CX1847" s="717"/>
      <c r="CY1847" s="717"/>
      <c r="CZ1847" s="717"/>
      <c r="DA1847" s="717"/>
      <c r="DB1847" s="717"/>
      <c r="DC1847" s="717"/>
      <c r="DD1847" s="717"/>
      <c r="DE1847" s="717"/>
      <c r="DF1847" s="717"/>
      <c r="DG1847" s="717"/>
      <c r="DH1847" s="717"/>
    </row>
    <row r="1848" s="554" customFormat="1" ht="31" customHeight="1" spans="1:112">
      <c r="A1848" s="608">
        <v>46160</v>
      </c>
      <c r="B1848" s="609" t="s">
        <v>10514</v>
      </c>
      <c r="C1848" s="610" t="s">
        <v>154</v>
      </c>
      <c r="D1848" s="727">
        <v>4500207603</v>
      </c>
      <c r="E1848" s="610" t="s">
        <v>10523</v>
      </c>
      <c r="F1848" s="554" t="s">
        <v>10524</v>
      </c>
      <c r="G1848" s="610" t="s">
        <v>10517</v>
      </c>
      <c r="H1848" s="610" t="s">
        <v>10518</v>
      </c>
      <c r="I1848" s="941">
        <v>23220</v>
      </c>
      <c r="J1848" s="610">
        <v>0</v>
      </c>
      <c r="K1848" s="610">
        <v>30</v>
      </c>
      <c r="L1848" s="611">
        <f t="shared" si="756"/>
        <v>774</v>
      </c>
      <c r="M1848" s="612">
        <v>46241</v>
      </c>
      <c r="N1848" s="612">
        <v>46237</v>
      </c>
      <c r="O1848" s="613"/>
      <c r="P1848" s="610" t="s">
        <v>113</v>
      </c>
      <c r="Q1848" s="614">
        <v>46244</v>
      </c>
      <c r="R1848" s="614">
        <v>46191</v>
      </c>
      <c r="S1848" s="614" t="s">
        <v>70</v>
      </c>
      <c r="T1848" s="614" t="s">
        <v>10519</v>
      </c>
      <c r="U1848" s="614"/>
      <c r="V1848" s="614" t="s">
        <v>4737</v>
      </c>
      <c r="W1848" s="609"/>
      <c r="X1848" s="738" t="s">
        <v>10521</v>
      </c>
      <c r="Y1848" s="616" t="s">
        <v>167</v>
      </c>
      <c r="Z1848" s="609">
        <v>0.8904</v>
      </c>
      <c r="AA1848" s="616">
        <f t="shared" si="733"/>
        <v>20675.088</v>
      </c>
      <c r="AC1848" s="697"/>
      <c r="AD1848" s="890" t="s">
        <v>10517</v>
      </c>
      <c r="AE1848" s="610" t="s">
        <v>82</v>
      </c>
      <c r="AF1848" s="610"/>
      <c r="AG1848" s="610"/>
      <c r="AH1848" s="609"/>
      <c r="AI1848" s="609">
        <v>23220</v>
      </c>
      <c r="AJ1848" s="610">
        <f t="shared" si="753"/>
        <v>0</v>
      </c>
      <c r="AK1848" s="613"/>
      <c r="AL1848" s="610" t="s">
        <v>2368</v>
      </c>
      <c r="AM1848" s="610"/>
      <c r="AN1848" s="554"/>
      <c r="AO1848" s="554">
        <f t="shared" si="754"/>
        <v>23220</v>
      </c>
      <c r="AR1848" s="619"/>
      <c r="AS1848" s="554"/>
      <c r="AT1848" s="554"/>
      <c r="AU1848" s="554"/>
      <c r="AV1848" s="554">
        <f t="shared" si="755"/>
        <v>23220</v>
      </c>
      <c r="AX1848" s="714"/>
      <c r="AY1848" s="554"/>
      <c r="AZ1848" s="554"/>
      <c r="BA1848" s="554"/>
      <c r="BB1848" s="620">
        <f>I1848/24*2</f>
        <v>1935</v>
      </c>
      <c r="BC1848" s="554">
        <f>I1848</f>
        <v>23220</v>
      </c>
      <c r="CA1848" s="720"/>
      <c r="CB1848" s="555"/>
      <c r="CC1848" s="721"/>
      <c r="CD1848" s="554"/>
      <c r="CE1848" s="554"/>
      <c r="CF1848" s="554"/>
      <c r="CG1848" s="554"/>
      <c r="CP1848" s="619"/>
      <c r="CQ1848" s="619"/>
      <c r="CR1848" s="554"/>
      <c r="CS1848" s="554"/>
      <c r="CT1848" s="554"/>
      <c r="CU1848" s="554">
        <f t="shared" si="739"/>
        <v>0</v>
      </c>
      <c r="CV1848" s="554">
        <f t="shared" si="751"/>
        <v>0</v>
      </c>
      <c r="CW1848" s="554">
        <f t="shared" si="752"/>
        <v>0</v>
      </c>
      <c r="CX1848" s="717"/>
      <c r="CY1848" s="717"/>
      <c r="CZ1848" s="717"/>
      <c r="DA1848" s="717"/>
      <c r="DB1848" s="717"/>
      <c r="DC1848" s="717"/>
      <c r="DD1848" s="717"/>
      <c r="DE1848" s="717"/>
      <c r="DF1848" s="717"/>
      <c r="DG1848" s="717"/>
      <c r="DH1848" s="717"/>
    </row>
    <row r="1849" s="550" customFormat="1" ht="31" customHeight="1" spans="1:112">
      <c r="A1849" s="608">
        <v>46183</v>
      </c>
      <c r="B1849" s="609" t="s">
        <v>4080</v>
      </c>
      <c r="C1849" s="610" t="s">
        <v>411</v>
      </c>
      <c r="D1849" s="727">
        <v>4500211400</v>
      </c>
      <c r="E1849" s="610"/>
      <c r="F1849" s="554" t="s">
        <v>10525</v>
      </c>
      <c r="G1849" s="610" t="s">
        <v>6043</v>
      </c>
      <c r="H1849" s="610" t="s">
        <v>6110</v>
      </c>
      <c r="I1849" s="941">
        <v>1700</v>
      </c>
      <c r="J1849" s="610">
        <v>0</v>
      </c>
      <c r="K1849" s="843">
        <v>50</v>
      </c>
      <c r="L1849" s="844">
        <f t="shared" si="756"/>
        <v>34</v>
      </c>
      <c r="M1849" s="845">
        <v>46241</v>
      </c>
      <c r="N1849" s="612">
        <v>46237</v>
      </c>
      <c r="O1849" s="613" t="s">
        <v>1322</v>
      </c>
      <c r="P1849" s="610" t="s">
        <v>113</v>
      </c>
      <c r="Q1849" s="614"/>
      <c r="R1849" s="614">
        <v>46183</v>
      </c>
      <c r="S1849" s="614" t="s">
        <v>70</v>
      </c>
      <c r="T1849" s="614" t="s">
        <v>10526</v>
      </c>
      <c r="U1849" s="614"/>
      <c r="V1849" s="614" t="s">
        <v>10527</v>
      </c>
      <c r="W1849" s="573" t="s">
        <v>5428</v>
      </c>
      <c r="X1849" s="609" t="s">
        <v>10528</v>
      </c>
      <c r="Y1849" s="616" t="s">
        <v>415</v>
      </c>
      <c r="Z1849" s="609">
        <v>0.9819</v>
      </c>
      <c r="AA1849" s="616">
        <f t="shared" si="733"/>
        <v>1669.23</v>
      </c>
      <c r="AC1849" s="697"/>
      <c r="AD1849" s="609" t="s">
        <v>6043</v>
      </c>
      <c r="AE1849" s="610" t="s">
        <v>82</v>
      </c>
      <c r="AF1849" s="610"/>
      <c r="AG1849" s="610"/>
      <c r="AH1849" s="609"/>
      <c r="AI1849" s="609">
        <v>1700</v>
      </c>
      <c r="AJ1849" s="610">
        <f t="shared" si="753"/>
        <v>0</v>
      </c>
      <c r="AK1849" s="613"/>
      <c r="AL1849" s="610" t="s">
        <v>2368</v>
      </c>
      <c r="AM1849" s="610"/>
      <c r="AN1849" s="610"/>
      <c r="AO1849" s="554">
        <f t="shared" si="754"/>
        <v>1700</v>
      </c>
      <c r="AP1849" s="554"/>
      <c r="AQ1849" s="554"/>
      <c r="AR1849" s="619"/>
      <c r="AS1849" s="554"/>
      <c r="AT1849" s="554">
        <f>I1849</f>
        <v>1700</v>
      </c>
      <c r="AU1849" s="554"/>
      <c r="AV1849" s="554">
        <f t="shared" si="755"/>
        <v>1700</v>
      </c>
      <c r="AW1849" s="554"/>
      <c r="AX1849" s="714"/>
      <c r="AY1849" s="554"/>
      <c r="AZ1849" s="554"/>
      <c r="BA1849" s="554"/>
      <c r="BB1849" s="620">
        <f>I1849/24</f>
        <v>70.8333333333333</v>
      </c>
      <c r="BC1849" s="554"/>
      <c r="BD1849" s="554"/>
      <c r="BE1849" s="554"/>
      <c r="BF1849" s="720"/>
      <c r="BG1849" s="555"/>
      <c r="BH1849" s="721"/>
      <c r="BI1849" s="554"/>
      <c r="BJ1849" s="554"/>
      <c r="BK1849" s="554"/>
      <c r="BL1849" s="554"/>
      <c r="BM1849" s="554"/>
      <c r="BN1849" s="554"/>
      <c r="BO1849" s="554"/>
      <c r="BP1849" s="554">
        <f>I1849/25</f>
        <v>68</v>
      </c>
      <c r="BQ1849" s="554"/>
      <c r="BR1849" s="554"/>
      <c r="BS1849" s="554"/>
      <c r="BT1849" s="554"/>
      <c r="BU1849" s="554"/>
      <c r="BV1849" s="554"/>
      <c r="BW1849" s="554"/>
      <c r="BX1849" s="554"/>
      <c r="BY1849" s="554"/>
      <c r="BZ1849" s="554"/>
      <c r="CA1849" s="720"/>
      <c r="CB1849" s="555"/>
      <c r="CC1849" s="721"/>
      <c r="CD1849" s="554"/>
      <c r="CE1849" s="554"/>
      <c r="CF1849" s="554"/>
      <c r="CG1849" s="720"/>
      <c r="CH1849" s="555"/>
      <c r="CI1849" s="721"/>
      <c r="CJ1849" s="554"/>
      <c r="CK1849" s="554"/>
      <c r="CL1849" s="554"/>
      <c r="CM1849" s="554"/>
      <c r="CN1849" s="554"/>
      <c r="CO1849" s="554"/>
      <c r="CP1849" s="619"/>
      <c r="CQ1849" s="619"/>
      <c r="CR1849" s="554"/>
      <c r="CS1849" s="554"/>
      <c r="CT1849" s="554"/>
      <c r="CU1849" s="554">
        <f t="shared" si="739"/>
        <v>68</v>
      </c>
      <c r="CV1849" s="554">
        <f t="shared" si="751"/>
        <v>0</v>
      </c>
      <c r="CW1849" s="554">
        <f t="shared" si="752"/>
        <v>0</v>
      </c>
      <c r="CX1849" s="619"/>
      <c r="CY1849" s="619"/>
      <c r="CZ1849" s="619"/>
      <c r="DA1849" s="619"/>
      <c r="DB1849" s="619"/>
      <c r="DC1849" s="619"/>
      <c r="DD1849" s="619"/>
      <c r="DE1849" s="619"/>
      <c r="DF1849" s="619"/>
      <c r="DG1849" s="619"/>
      <c r="DH1849" s="619"/>
    </row>
    <row r="1850" s="554" customFormat="1" ht="31" customHeight="1" spans="1:112">
      <c r="A1850" s="608">
        <v>46160</v>
      </c>
      <c r="B1850" s="609" t="s">
        <v>10514</v>
      </c>
      <c r="C1850" s="610" t="s">
        <v>154</v>
      </c>
      <c r="D1850" s="727">
        <v>4500207603</v>
      </c>
      <c r="E1850" s="610" t="s">
        <v>10529</v>
      </c>
      <c r="F1850" s="554" t="s">
        <v>10530</v>
      </c>
      <c r="G1850" s="610" t="s">
        <v>10517</v>
      </c>
      <c r="H1850" s="610" t="s">
        <v>10518</v>
      </c>
      <c r="I1850" s="941">
        <v>8790</v>
      </c>
      <c r="J1850" s="610">
        <v>0</v>
      </c>
      <c r="K1850" s="610">
        <v>30</v>
      </c>
      <c r="L1850" s="611">
        <f t="shared" si="756"/>
        <v>293</v>
      </c>
      <c r="M1850" s="612">
        <v>46241</v>
      </c>
      <c r="N1850" s="612">
        <v>46237</v>
      </c>
      <c r="O1850" s="613"/>
      <c r="P1850" s="610" t="s">
        <v>113</v>
      </c>
      <c r="Q1850" s="614"/>
      <c r="R1850" s="614">
        <v>46191</v>
      </c>
      <c r="S1850" s="614" t="s">
        <v>70</v>
      </c>
      <c r="T1850" s="614" t="s">
        <v>10519</v>
      </c>
      <c r="U1850" s="614"/>
      <c r="V1850" s="614" t="s">
        <v>4737</v>
      </c>
      <c r="W1850" s="609"/>
      <c r="X1850" s="738" t="s">
        <v>10521</v>
      </c>
      <c r="Y1850" s="616" t="s">
        <v>167</v>
      </c>
      <c r="Z1850" s="609">
        <v>0.9099</v>
      </c>
      <c r="AA1850" s="616">
        <f t="shared" si="733"/>
        <v>7998.021</v>
      </c>
      <c r="AC1850" s="697"/>
      <c r="AD1850" s="890" t="s">
        <v>10517</v>
      </c>
      <c r="AE1850" s="610" t="s">
        <v>82</v>
      </c>
      <c r="AF1850" s="610"/>
      <c r="AG1850" s="610"/>
      <c r="AH1850" s="609"/>
      <c r="AI1850" s="609">
        <f>8730+60</f>
        <v>8790</v>
      </c>
      <c r="AJ1850" s="610">
        <f t="shared" si="753"/>
        <v>0</v>
      </c>
      <c r="AK1850" s="613"/>
      <c r="AL1850" s="610" t="s">
        <v>2368</v>
      </c>
      <c r="AM1850" s="610"/>
      <c r="AN1850" s="554"/>
      <c r="AO1850" s="554">
        <f t="shared" si="754"/>
        <v>8790</v>
      </c>
      <c r="AR1850" s="619"/>
      <c r="AS1850" s="554"/>
      <c r="AT1850" s="554"/>
      <c r="AU1850" s="554"/>
      <c r="AV1850" s="554">
        <f t="shared" si="755"/>
        <v>8790</v>
      </c>
      <c r="AX1850" s="714"/>
      <c r="AY1850" s="554"/>
      <c r="AZ1850" s="554"/>
      <c r="BA1850" s="554"/>
      <c r="BB1850" s="620">
        <f>I1850/24*2</f>
        <v>732.5</v>
      </c>
      <c r="BC1850" s="554">
        <f>I1850</f>
        <v>8790</v>
      </c>
      <c r="BG1850" s="557"/>
      <c r="BH1850" s="554"/>
      <c r="BI1850" s="554"/>
      <c r="BJ1850" s="554"/>
      <c r="BK1850" s="554"/>
      <c r="BL1850" s="554"/>
      <c r="BM1850" s="554"/>
      <c r="BN1850" s="554"/>
      <c r="BO1850" s="554"/>
      <c r="BP1850" s="554"/>
      <c r="BQ1850" s="554"/>
      <c r="BR1850" s="554"/>
      <c r="BS1850" s="554"/>
      <c r="BT1850" s="554"/>
      <c r="BU1850" s="554"/>
      <c r="BV1850" s="554"/>
      <c r="BW1850" s="554"/>
      <c r="BX1850" s="554"/>
      <c r="BY1850" s="554"/>
      <c r="BZ1850" s="554"/>
      <c r="CA1850" s="720"/>
      <c r="CB1850" s="555"/>
      <c r="CC1850" s="721"/>
      <c r="CD1850" s="554"/>
      <c r="CE1850" s="554"/>
      <c r="CF1850" s="554"/>
      <c r="CG1850" s="554"/>
      <c r="CH1850" s="557"/>
      <c r="CI1850" s="554"/>
      <c r="CJ1850" s="554"/>
      <c r="CK1850" s="554"/>
      <c r="CL1850" s="554"/>
      <c r="CM1850" s="554"/>
      <c r="CN1850" s="554"/>
      <c r="CO1850" s="554"/>
      <c r="CP1850" s="619"/>
      <c r="CQ1850" s="619"/>
      <c r="CR1850" s="554"/>
      <c r="CS1850" s="554"/>
      <c r="CT1850" s="554"/>
      <c r="CU1850" s="554">
        <f t="shared" si="739"/>
        <v>0</v>
      </c>
      <c r="CV1850" s="554">
        <f t="shared" si="751"/>
        <v>0</v>
      </c>
      <c r="CW1850" s="554">
        <f t="shared" si="752"/>
        <v>0</v>
      </c>
      <c r="CX1850" s="717"/>
      <c r="CY1850" s="717"/>
      <c r="CZ1850" s="717"/>
      <c r="DA1850" s="717"/>
      <c r="DB1850" s="717"/>
      <c r="DC1850" s="717"/>
      <c r="DD1850" s="717"/>
      <c r="DE1850" s="717"/>
      <c r="DF1850" s="717"/>
      <c r="DG1850" s="717"/>
      <c r="DH1850" s="717"/>
    </row>
    <row r="1851" s="550" customFormat="1" ht="31" customHeight="1" spans="1:112">
      <c r="A1851" s="867">
        <v>46205</v>
      </c>
      <c r="B1851" s="605" t="s">
        <v>5430</v>
      </c>
      <c r="C1851" s="589" t="s">
        <v>723</v>
      </c>
      <c r="D1851" s="886">
        <v>4500214659</v>
      </c>
      <c r="E1851" s="589" t="s">
        <v>5432</v>
      </c>
      <c r="F1851" s="557" t="s">
        <v>10531</v>
      </c>
      <c r="G1851" s="589" t="s">
        <v>6040</v>
      </c>
      <c r="H1851" s="589" t="s">
        <v>6041</v>
      </c>
      <c r="I1851" s="868">
        <v>780</v>
      </c>
      <c r="J1851" s="589">
        <v>0</v>
      </c>
      <c r="K1851" s="869">
        <v>52</v>
      </c>
      <c r="L1851" s="870">
        <f t="shared" si="756"/>
        <v>15</v>
      </c>
      <c r="M1851" s="871">
        <v>46241</v>
      </c>
      <c r="N1851" s="872">
        <v>46237</v>
      </c>
      <c r="O1851" s="613"/>
      <c r="P1851" s="589" t="s">
        <v>113</v>
      </c>
      <c r="Q1851" s="874">
        <v>46256</v>
      </c>
      <c r="R1851" s="874">
        <v>46205</v>
      </c>
      <c r="S1851" s="614" t="s">
        <v>70</v>
      </c>
      <c r="T1851" s="874" t="s">
        <v>10532</v>
      </c>
      <c r="U1851" s="874"/>
      <c r="V1851" s="874"/>
      <c r="W1851" s="573"/>
      <c r="X1851" s="605" t="s">
        <v>10533</v>
      </c>
      <c r="Y1851" s="876" t="s">
        <v>3527</v>
      </c>
      <c r="Z1851" s="605">
        <v>0.9575</v>
      </c>
      <c r="AA1851" s="876">
        <f t="shared" si="733"/>
        <v>746.85</v>
      </c>
      <c r="AB1851" s="573"/>
      <c r="AC1851" s="877"/>
      <c r="AD1851" s="610" t="s">
        <v>6040</v>
      </c>
      <c r="AE1851" s="589" t="s">
        <v>82</v>
      </c>
      <c r="AF1851" s="589"/>
      <c r="AG1851" s="589"/>
      <c r="AH1851" s="605"/>
      <c r="AI1851" s="609">
        <v>780</v>
      </c>
      <c r="AJ1851" s="610">
        <f t="shared" si="753"/>
        <v>0</v>
      </c>
      <c r="AK1851" s="873"/>
      <c r="AL1851" s="589" t="s">
        <v>2368</v>
      </c>
      <c r="AM1851" s="589"/>
      <c r="AN1851" s="589"/>
      <c r="AO1851" s="557">
        <f t="shared" si="754"/>
        <v>780</v>
      </c>
      <c r="AP1851" s="557"/>
      <c r="AQ1851" s="557"/>
      <c r="AR1851" s="878"/>
      <c r="AS1851" s="557"/>
      <c r="AT1851" s="554">
        <f>I1851</f>
        <v>780</v>
      </c>
      <c r="AU1851" s="554"/>
      <c r="AV1851" s="554">
        <f t="shared" si="755"/>
        <v>780</v>
      </c>
      <c r="AW1851" s="557"/>
      <c r="AX1851" s="879"/>
      <c r="AY1851" s="557"/>
      <c r="AZ1851" s="557"/>
      <c r="BA1851" s="557"/>
      <c r="BB1851" s="620">
        <f>I1851/24</f>
        <v>32.5</v>
      </c>
      <c r="BC1851" s="557"/>
      <c r="BD1851" s="557"/>
      <c r="BE1851" s="557"/>
      <c r="BF1851" s="880"/>
      <c r="BG1851" s="881"/>
      <c r="BH1851" s="882"/>
      <c r="BI1851" s="557"/>
      <c r="BJ1851" s="557"/>
      <c r="BK1851" s="557"/>
      <c r="BL1851" s="557"/>
      <c r="BM1851" s="554">
        <f>I1851/13</f>
        <v>60</v>
      </c>
      <c r="BN1851" s="557"/>
      <c r="BO1851" s="557"/>
      <c r="BP1851" s="557"/>
      <c r="BQ1851" s="557"/>
      <c r="BR1851" s="557"/>
      <c r="BS1851" s="557"/>
      <c r="BT1851" s="557"/>
      <c r="BU1851" s="557"/>
      <c r="BV1851" s="557"/>
      <c r="BW1851" s="557"/>
      <c r="BX1851" s="557"/>
      <c r="BY1851" s="557"/>
      <c r="BZ1851" s="557"/>
      <c r="CA1851" s="883"/>
      <c r="CB1851" s="555"/>
      <c r="CC1851" s="882"/>
      <c r="CD1851" s="557"/>
      <c r="CE1851" s="557"/>
      <c r="CF1851" s="557"/>
      <c r="CG1851" s="880"/>
      <c r="CH1851" s="881"/>
      <c r="CI1851" s="882"/>
      <c r="CJ1851" s="557"/>
      <c r="CK1851" s="557"/>
      <c r="CL1851" s="557"/>
      <c r="CM1851" s="557"/>
      <c r="CN1851" s="557"/>
      <c r="CO1851" s="557"/>
      <c r="CP1851" s="878"/>
      <c r="CQ1851" s="878"/>
      <c r="CR1851" s="557"/>
      <c r="CS1851" s="557"/>
      <c r="CT1851" s="557"/>
      <c r="CU1851" s="554">
        <f t="shared" si="739"/>
        <v>0</v>
      </c>
      <c r="CV1851" s="554">
        <f t="shared" si="751"/>
        <v>0</v>
      </c>
      <c r="CW1851" s="554">
        <f t="shared" si="752"/>
        <v>0</v>
      </c>
      <c r="CX1851" s="878"/>
      <c r="CY1851" s="878"/>
      <c r="CZ1851" s="878"/>
      <c r="DA1851" s="878"/>
      <c r="DB1851" s="878"/>
      <c r="DC1851" s="878"/>
      <c r="DD1851" s="878"/>
      <c r="DE1851" s="878"/>
      <c r="DF1851" s="878"/>
      <c r="DG1851" s="878"/>
      <c r="DH1851" s="878"/>
    </row>
    <row r="1852" s="550" customFormat="1" ht="31" customHeight="1" spans="1:112">
      <c r="A1852" s="867">
        <v>46196</v>
      </c>
      <c r="B1852" s="605" t="s">
        <v>143</v>
      </c>
      <c r="C1852" s="589" t="s">
        <v>98</v>
      </c>
      <c r="D1852" s="557">
        <v>4500213433</v>
      </c>
      <c r="E1852" s="589">
        <v>1003609468</v>
      </c>
      <c r="F1852" s="557" t="s">
        <v>10534</v>
      </c>
      <c r="G1852" s="589" t="s">
        <v>6063</v>
      </c>
      <c r="H1852" s="589" t="s">
        <v>6064</v>
      </c>
      <c r="I1852" s="868">
        <v>9120</v>
      </c>
      <c r="J1852" s="589">
        <v>0</v>
      </c>
      <c r="K1852" s="869">
        <v>16</v>
      </c>
      <c r="L1852" s="870">
        <f t="shared" si="756"/>
        <v>570</v>
      </c>
      <c r="M1852" s="871">
        <v>46244</v>
      </c>
      <c r="N1852" s="872">
        <v>46240</v>
      </c>
      <c r="O1852" s="873" t="s">
        <v>5255</v>
      </c>
      <c r="P1852" s="589" t="s">
        <v>113</v>
      </c>
      <c r="Q1852" s="874">
        <v>46255</v>
      </c>
      <c r="R1852" s="874" t="s">
        <v>147</v>
      </c>
      <c r="S1852" s="614" t="s">
        <v>70</v>
      </c>
      <c r="T1852" s="902" t="s">
        <v>5256</v>
      </c>
      <c r="U1852" s="902"/>
      <c r="V1852" s="862"/>
      <c r="W1852" s="819"/>
      <c r="X1852" s="904" t="s">
        <v>10535</v>
      </c>
      <c r="Y1852" s="876" t="s">
        <v>4871</v>
      </c>
      <c r="Z1852" s="605">
        <v>0.6184</v>
      </c>
      <c r="AA1852" s="942">
        <f t="shared" ref="AA1852:AA1900" si="757">Z1852*I1852</f>
        <v>5639.808</v>
      </c>
      <c r="AB1852" s="819"/>
      <c r="AC1852" s="943"/>
      <c r="AD1852" s="610" t="s">
        <v>6063</v>
      </c>
      <c r="AE1852" s="589" t="s">
        <v>82</v>
      </c>
      <c r="AF1852" s="589"/>
      <c r="AG1852" s="589"/>
      <c r="AH1852" s="605"/>
      <c r="AI1852" s="609">
        <v>9120</v>
      </c>
      <c r="AJ1852" s="610">
        <f t="shared" si="753"/>
        <v>0</v>
      </c>
      <c r="AK1852" s="873"/>
      <c r="AL1852" s="589" t="s">
        <v>2368</v>
      </c>
      <c r="AM1852" s="589"/>
      <c r="AN1852" s="589">
        <f t="shared" ref="AN1852:AN1860" si="758">I1852</f>
        <v>9120</v>
      </c>
      <c r="AO1852" s="557"/>
      <c r="AP1852" s="556">
        <f t="shared" ref="AP1852:AP1860" si="759">I1852</f>
        <v>9120</v>
      </c>
      <c r="AQ1852" s="557"/>
      <c r="AR1852" s="878"/>
      <c r="AS1852" s="557"/>
      <c r="AT1852" s="557"/>
      <c r="AU1852" s="554">
        <f t="shared" ref="AU1852:AU1860" si="760">I1852</f>
        <v>9120</v>
      </c>
      <c r="AV1852" s="557"/>
      <c r="AW1852" s="557"/>
      <c r="AX1852" s="879"/>
      <c r="AY1852" s="557"/>
      <c r="AZ1852" s="557"/>
      <c r="BA1852" s="557"/>
      <c r="BB1852" s="620">
        <f t="shared" ref="BB1852:BB1857" si="761">I1852/24</f>
        <v>380</v>
      </c>
      <c r="BC1852" s="557"/>
      <c r="BD1852" s="557"/>
      <c r="BE1852" s="557"/>
      <c r="BF1852" s="880"/>
      <c r="BG1852" s="881"/>
      <c r="BH1852" s="882"/>
      <c r="BI1852" s="557"/>
      <c r="BJ1852" s="557"/>
      <c r="BK1852" s="557"/>
      <c r="BL1852" s="557"/>
      <c r="BM1852" s="557"/>
      <c r="BN1852" s="557"/>
      <c r="BO1852" s="557"/>
      <c r="BP1852" s="557"/>
      <c r="BQ1852" s="554">
        <f t="shared" ref="BQ1852:BQ1857" si="762">I1852/16</f>
        <v>570</v>
      </c>
      <c r="BR1852" s="557"/>
      <c r="BS1852" s="557"/>
      <c r="BT1852" s="557"/>
      <c r="BU1852" s="557"/>
      <c r="BV1852" s="557"/>
      <c r="BW1852" s="557"/>
      <c r="BX1852" s="557"/>
      <c r="BY1852" s="557"/>
      <c r="BZ1852" s="557"/>
      <c r="CA1852" s="883"/>
      <c r="CB1852" s="555"/>
      <c r="CC1852" s="882"/>
      <c r="CD1852" s="557"/>
      <c r="CE1852" s="557"/>
      <c r="CF1852" s="557"/>
      <c r="CG1852" s="880"/>
      <c r="CH1852" s="881"/>
      <c r="CI1852" s="882"/>
      <c r="CJ1852" s="557"/>
      <c r="CK1852" s="557"/>
      <c r="CL1852" s="557"/>
      <c r="CM1852" s="557"/>
      <c r="CN1852" s="557"/>
      <c r="CO1852" s="557"/>
      <c r="CP1852" s="878"/>
      <c r="CQ1852" s="878"/>
      <c r="CR1852" s="557"/>
      <c r="CS1852" s="557"/>
      <c r="CT1852" s="557"/>
      <c r="CU1852" s="554">
        <f t="shared" ref="CU1852:CU1875" si="763">BQ1852+BP1852+BO1852+BN1852+BX1852+BR1852</f>
        <v>570</v>
      </c>
      <c r="CV1852" s="554">
        <f t="shared" ref="CV1852:CV1869" si="764">CK1852+CL1852+CM1852+CN1852+CO1852+CQ1852+CP1852</f>
        <v>0</v>
      </c>
      <c r="CW1852" s="554">
        <f t="shared" ref="CW1852:CW1869" si="765">CI1852+CJ1852</f>
        <v>0</v>
      </c>
      <c r="CX1852" s="878"/>
      <c r="CY1852" s="878"/>
      <c r="CZ1852" s="878"/>
      <c r="DA1852" s="878"/>
      <c r="DB1852" s="878"/>
      <c r="DC1852" s="878"/>
      <c r="DD1852" s="878"/>
      <c r="DE1852" s="878"/>
      <c r="DF1852" s="878"/>
      <c r="DG1852" s="878"/>
      <c r="DH1852" s="878"/>
    </row>
    <row r="1853" s="550" customFormat="1" ht="31" customHeight="1" spans="1:112">
      <c r="A1853" s="867">
        <v>46196</v>
      </c>
      <c r="B1853" s="605" t="s">
        <v>143</v>
      </c>
      <c r="C1853" s="589" t="s">
        <v>98</v>
      </c>
      <c r="D1853" s="557">
        <v>4500213433</v>
      </c>
      <c r="E1853" s="589">
        <v>1003602743</v>
      </c>
      <c r="F1853" s="557" t="s">
        <v>10536</v>
      </c>
      <c r="G1853" s="589" t="s">
        <v>6063</v>
      </c>
      <c r="H1853" s="589" t="s">
        <v>6064</v>
      </c>
      <c r="I1853" s="868">
        <v>5760</v>
      </c>
      <c r="J1853" s="589">
        <v>0</v>
      </c>
      <c r="K1853" s="869">
        <v>16</v>
      </c>
      <c r="L1853" s="870">
        <f t="shared" si="756"/>
        <v>360</v>
      </c>
      <c r="M1853" s="871">
        <v>46244</v>
      </c>
      <c r="N1853" s="872">
        <v>46240</v>
      </c>
      <c r="O1853" s="873" t="s">
        <v>5259</v>
      </c>
      <c r="P1853" s="589" t="s">
        <v>113</v>
      </c>
      <c r="Q1853" s="874"/>
      <c r="R1853" s="874" t="s">
        <v>147</v>
      </c>
      <c r="S1853" s="614" t="s">
        <v>70</v>
      </c>
      <c r="T1853" s="902" t="s">
        <v>5256</v>
      </c>
      <c r="U1853" s="902"/>
      <c r="V1853" s="862"/>
      <c r="W1853" s="819"/>
      <c r="X1853" s="904" t="s">
        <v>10537</v>
      </c>
      <c r="Y1853" s="876" t="s">
        <v>4871</v>
      </c>
      <c r="Z1853" s="605">
        <v>0.6079</v>
      </c>
      <c r="AA1853" s="942">
        <f t="shared" si="757"/>
        <v>3501.504</v>
      </c>
      <c r="AB1853" s="819"/>
      <c r="AC1853" s="943"/>
      <c r="AD1853" s="610" t="s">
        <v>6063</v>
      </c>
      <c r="AE1853" s="589" t="s">
        <v>82</v>
      </c>
      <c r="AF1853" s="589"/>
      <c r="AG1853" s="589"/>
      <c r="AH1853" s="605"/>
      <c r="AI1853" s="609">
        <v>5760</v>
      </c>
      <c r="AJ1853" s="610">
        <f t="shared" si="753"/>
        <v>0</v>
      </c>
      <c r="AK1853" s="873"/>
      <c r="AL1853" s="589" t="s">
        <v>2368</v>
      </c>
      <c r="AM1853" s="589"/>
      <c r="AN1853" s="589">
        <f t="shared" si="758"/>
        <v>5760</v>
      </c>
      <c r="AO1853" s="557"/>
      <c r="AP1853" s="556">
        <f t="shared" si="759"/>
        <v>5760</v>
      </c>
      <c r="AQ1853" s="557"/>
      <c r="AR1853" s="878"/>
      <c r="AS1853" s="557"/>
      <c r="AT1853" s="557"/>
      <c r="AU1853" s="554">
        <f t="shared" si="760"/>
        <v>5760</v>
      </c>
      <c r="AV1853" s="557"/>
      <c r="AW1853" s="557"/>
      <c r="AX1853" s="879"/>
      <c r="AY1853" s="557"/>
      <c r="AZ1853" s="557"/>
      <c r="BA1853" s="557"/>
      <c r="BB1853" s="620">
        <f t="shared" si="761"/>
        <v>240</v>
      </c>
      <c r="BC1853" s="557"/>
      <c r="BD1853" s="557"/>
      <c r="BE1853" s="557"/>
      <c r="BF1853" s="880"/>
      <c r="BG1853" s="881"/>
      <c r="BH1853" s="882"/>
      <c r="BI1853" s="557"/>
      <c r="BJ1853" s="557"/>
      <c r="BK1853" s="557"/>
      <c r="BL1853" s="557"/>
      <c r="BM1853" s="557"/>
      <c r="BN1853" s="557"/>
      <c r="BO1853" s="557"/>
      <c r="BP1853" s="557"/>
      <c r="BQ1853" s="554">
        <f t="shared" si="762"/>
        <v>360</v>
      </c>
      <c r="BR1853" s="557"/>
      <c r="BS1853" s="557"/>
      <c r="BT1853" s="557"/>
      <c r="BU1853" s="557"/>
      <c r="BV1853" s="557"/>
      <c r="BW1853" s="557"/>
      <c r="BX1853" s="557"/>
      <c r="BY1853" s="557"/>
      <c r="BZ1853" s="557"/>
      <c r="CA1853" s="883"/>
      <c r="CB1853" s="555"/>
      <c r="CC1853" s="882"/>
      <c r="CD1853" s="557"/>
      <c r="CE1853" s="557"/>
      <c r="CF1853" s="557"/>
      <c r="CG1853" s="880"/>
      <c r="CH1853" s="881"/>
      <c r="CI1853" s="882"/>
      <c r="CJ1853" s="557"/>
      <c r="CK1853" s="557"/>
      <c r="CL1853" s="557"/>
      <c r="CM1853" s="557"/>
      <c r="CN1853" s="557"/>
      <c r="CO1853" s="557"/>
      <c r="CP1853" s="878"/>
      <c r="CQ1853" s="878"/>
      <c r="CR1853" s="557"/>
      <c r="CS1853" s="557"/>
      <c r="CT1853" s="557"/>
      <c r="CU1853" s="554">
        <f t="shared" si="763"/>
        <v>360</v>
      </c>
      <c r="CV1853" s="554">
        <f t="shared" si="764"/>
        <v>0</v>
      </c>
      <c r="CW1853" s="554">
        <f t="shared" si="765"/>
        <v>0</v>
      </c>
      <c r="CX1853" s="878"/>
      <c r="CY1853" s="878"/>
      <c r="CZ1853" s="878"/>
      <c r="DA1853" s="878"/>
      <c r="DB1853" s="878"/>
      <c r="DC1853" s="878"/>
      <c r="DD1853" s="878"/>
      <c r="DE1853" s="878"/>
      <c r="DF1853" s="878"/>
      <c r="DG1853" s="878"/>
      <c r="DH1853" s="878"/>
    </row>
    <row r="1854" s="550" customFormat="1" ht="31" customHeight="1" spans="1:112">
      <c r="A1854" s="867">
        <v>46196</v>
      </c>
      <c r="B1854" s="605" t="s">
        <v>143</v>
      </c>
      <c r="C1854" s="589" t="s">
        <v>98</v>
      </c>
      <c r="D1854" s="557">
        <v>4500213433</v>
      </c>
      <c r="E1854" s="589">
        <v>1003602745</v>
      </c>
      <c r="F1854" s="557" t="s">
        <v>10538</v>
      </c>
      <c r="G1854" s="589" t="s">
        <v>6063</v>
      </c>
      <c r="H1854" s="589" t="s">
        <v>6064</v>
      </c>
      <c r="I1854" s="868">
        <v>12000</v>
      </c>
      <c r="J1854" s="589">
        <v>0</v>
      </c>
      <c r="K1854" s="869">
        <v>16</v>
      </c>
      <c r="L1854" s="870">
        <f t="shared" si="756"/>
        <v>750</v>
      </c>
      <c r="M1854" s="871">
        <v>46244</v>
      </c>
      <c r="N1854" s="872">
        <v>46240</v>
      </c>
      <c r="O1854" s="873" t="s">
        <v>5259</v>
      </c>
      <c r="P1854" s="589" t="s">
        <v>113</v>
      </c>
      <c r="Q1854" s="874">
        <v>46253</v>
      </c>
      <c r="R1854" s="874" t="s">
        <v>147</v>
      </c>
      <c r="S1854" s="614" t="s">
        <v>70</v>
      </c>
      <c r="T1854" s="902" t="s">
        <v>5256</v>
      </c>
      <c r="U1854" s="902"/>
      <c r="V1854" s="862"/>
      <c r="W1854" s="819"/>
      <c r="X1854" s="904" t="s">
        <v>10537</v>
      </c>
      <c r="Y1854" s="876" t="s">
        <v>4871</v>
      </c>
      <c r="Z1854" s="605">
        <v>0.6079</v>
      </c>
      <c r="AA1854" s="942">
        <f t="shared" si="757"/>
        <v>7294.8</v>
      </c>
      <c r="AB1854" s="819"/>
      <c r="AC1854" s="943"/>
      <c r="AD1854" s="610" t="s">
        <v>6063</v>
      </c>
      <c r="AE1854" s="589" t="s">
        <v>82</v>
      </c>
      <c r="AF1854" s="589"/>
      <c r="AG1854" s="589"/>
      <c r="AH1854" s="605"/>
      <c r="AI1854" s="609">
        <f>3840+8160</f>
        <v>12000</v>
      </c>
      <c r="AJ1854" s="610">
        <f t="shared" si="753"/>
        <v>0</v>
      </c>
      <c r="AK1854" s="873"/>
      <c r="AL1854" s="589" t="s">
        <v>2368</v>
      </c>
      <c r="AM1854" s="589"/>
      <c r="AN1854" s="589">
        <f t="shared" si="758"/>
        <v>12000</v>
      </c>
      <c r="AO1854" s="557"/>
      <c r="AP1854" s="556">
        <f t="shared" si="759"/>
        <v>12000</v>
      </c>
      <c r="AQ1854" s="557"/>
      <c r="AR1854" s="878"/>
      <c r="AS1854" s="557"/>
      <c r="AT1854" s="557"/>
      <c r="AU1854" s="554">
        <f t="shared" si="760"/>
        <v>12000</v>
      </c>
      <c r="AV1854" s="557"/>
      <c r="AW1854" s="557"/>
      <c r="AX1854" s="879"/>
      <c r="AY1854" s="557"/>
      <c r="AZ1854" s="557"/>
      <c r="BA1854" s="557"/>
      <c r="BB1854" s="620">
        <f t="shared" si="761"/>
        <v>500</v>
      </c>
      <c r="BC1854" s="557"/>
      <c r="BD1854" s="557"/>
      <c r="BE1854" s="557"/>
      <c r="BF1854" s="880"/>
      <c r="BG1854" s="881"/>
      <c r="BH1854" s="882"/>
      <c r="BI1854" s="557"/>
      <c r="BJ1854" s="557"/>
      <c r="BK1854" s="557"/>
      <c r="BL1854" s="557"/>
      <c r="BM1854" s="557"/>
      <c r="BN1854" s="557"/>
      <c r="BO1854" s="557"/>
      <c r="BP1854" s="557"/>
      <c r="BQ1854" s="554">
        <f t="shared" si="762"/>
        <v>750</v>
      </c>
      <c r="BR1854" s="557"/>
      <c r="BS1854" s="557"/>
      <c r="BT1854" s="557"/>
      <c r="BU1854" s="557"/>
      <c r="BV1854" s="557"/>
      <c r="BW1854" s="557"/>
      <c r="BX1854" s="557"/>
      <c r="BY1854" s="557"/>
      <c r="BZ1854" s="557"/>
      <c r="CA1854" s="883"/>
      <c r="CB1854" s="555"/>
      <c r="CC1854" s="882"/>
      <c r="CD1854" s="557"/>
      <c r="CE1854" s="557"/>
      <c r="CF1854" s="557"/>
      <c r="CG1854" s="880"/>
      <c r="CH1854" s="881"/>
      <c r="CI1854" s="882"/>
      <c r="CJ1854" s="557"/>
      <c r="CK1854" s="557"/>
      <c r="CL1854" s="557"/>
      <c r="CM1854" s="557"/>
      <c r="CN1854" s="557"/>
      <c r="CO1854" s="557"/>
      <c r="CP1854" s="878"/>
      <c r="CQ1854" s="878"/>
      <c r="CR1854" s="557"/>
      <c r="CS1854" s="557"/>
      <c r="CT1854" s="557"/>
      <c r="CU1854" s="554">
        <f t="shared" si="763"/>
        <v>750</v>
      </c>
      <c r="CV1854" s="554">
        <f t="shared" si="764"/>
        <v>0</v>
      </c>
      <c r="CW1854" s="554">
        <f t="shared" si="765"/>
        <v>0</v>
      </c>
      <c r="CX1854" s="878"/>
      <c r="CY1854" s="878"/>
      <c r="CZ1854" s="878"/>
      <c r="DA1854" s="878"/>
      <c r="DB1854" s="878"/>
      <c r="DC1854" s="878"/>
      <c r="DD1854" s="878"/>
      <c r="DE1854" s="878"/>
      <c r="DF1854" s="878"/>
      <c r="DG1854" s="878"/>
      <c r="DH1854" s="878"/>
    </row>
    <row r="1855" s="550" customFormat="1" ht="31" customHeight="1" spans="1:112">
      <c r="A1855" s="867">
        <v>46196</v>
      </c>
      <c r="B1855" s="605" t="s">
        <v>143</v>
      </c>
      <c r="C1855" s="589" t="s">
        <v>98</v>
      </c>
      <c r="D1855" s="557">
        <v>4500213433</v>
      </c>
      <c r="E1855" s="589">
        <v>1003602846</v>
      </c>
      <c r="F1855" s="557" t="s">
        <v>10539</v>
      </c>
      <c r="G1855" s="589" t="s">
        <v>6063</v>
      </c>
      <c r="H1855" s="589" t="s">
        <v>6064</v>
      </c>
      <c r="I1855" s="868">
        <v>4800</v>
      </c>
      <c r="J1855" s="589">
        <v>0</v>
      </c>
      <c r="K1855" s="869">
        <v>16</v>
      </c>
      <c r="L1855" s="870">
        <f t="shared" si="756"/>
        <v>300</v>
      </c>
      <c r="M1855" s="871">
        <v>46244</v>
      </c>
      <c r="N1855" s="872">
        <v>46240</v>
      </c>
      <c r="O1855" s="873" t="s">
        <v>5259</v>
      </c>
      <c r="P1855" s="589" t="s">
        <v>113</v>
      </c>
      <c r="Q1855" s="874">
        <v>46252</v>
      </c>
      <c r="R1855" s="874" t="s">
        <v>147</v>
      </c>
      <c r="S1855" s="614" t="s">
        <v>70</v>
      </c>
      <c r="T1855" s="902" t="s">
        <v>5256</v>
      </c>
      <c r="U1855" s="902"/>
      <c r="V1855" s="862"/>
      <c r="W1855" s="819"/>
      <c r="X1855" s="904" t="s">
        <v>10537</v>
      </c>
      <c r="Y1855" s="876" t="s">
        <v>4871</v>
      </c>
      <c r="Z1855" s="605">
        <v>0.6079</v>
      </c>
      <c r="AA1855" s="942">
        <f t="shared" si="757"/>
        <v>2917.92</v>
      </c>
      <c r="AB1855" s="819"/>
      <c r="AC1855" s="943"/>
      <c r="AD1855" s="610" t="s">
        <v>6063</v>
      </c>
      <c r="AE1855" s="589" t="s">
        <v>82</v>
      </c>
      <c r="AF1855" s="589"/>
      <c r="AG1855" s="589"/>
      <c r="AH1855" s="605"/>
      <c r="AI1855" s="609">
        <v>4800</v>
      </c>
      <c r="AJ1855" s="610">
        <f t="shared" si="753"/>
        <v>0</v>
      </c>
      <c r="AK1855" s="873"/>
      <c r="AL1855" s="589" t="s">
        <v>2368</v>
      </c>
      <c r="AM1855" s="589"/>
      <c r="AN1855" s="589">
        <f t="shared" si="758"/>
        <v>4800</v>
      </c>
      <c r="AO1855" s="557"/>
      <c r="AP1855" s="556">
        <f t="shared" si="759"/>
        <v>4800</v>
      </c>
      <c r="AQ1855" s="557"/>
      <c r="AR1855" s="878"/>
      <c r="AS1855" s="557"/>
      <c r="AT1855" s="557"/>
      <c r="AU1855" s="554">
        <f t="shared" si="760"/>
        <v>4800</v>
      </c>
      <c r="AV1855" s="557"/>
      <c r="AW1855" s="557"/>
      <c r="AX1855" s="879"/>
      <c r="AY1855" s="557"/>
      <c r="AZ1855" s="557"/>
      <c r="BA1855" s="557"/>
      <c r="BB1855" s="620">
        <f t="shared" si="761"/>
        <v>200</v>
      </c>
      <c r="BC1855" s="557"/>
      <c r="BD1855" s="557"/>
      <c r="BE1855" s="557"/>
      <c r="BF1855" s="880"/>
      <c r="BG1855" s="881"/>
      <c r="BH1855" s="882"/>
      <c r="BI1855" s="557"/>
      <c r="BJ1855" s="557"/>
      <c r="BK1855" s="557"/>
      <c r="BL1855" s="557"/>
      <c r="BM1855" s="557"/>
      <c r="BN1855" s="557"/>
      <c r="BO1855" s="557"/>
      <c r="BP1855" s="557"/>
      <c r="BQ1855" s="554">
        <f t="shared" si="762"/>
        <v>300</v>
      </c>
      <c r="BR1855" s="557"/>
      <c r="BS1855" s="557"/>
      <c r="BT1855" s="557"/>
      <c r="BU1855" s="557"/>
      <c r="BV1855" s="557"/>
      <c r="BW1855" s="557"/>
      <c r="BX1855" s="557"/>
      <c r="BY1855" s="557"/>
      <c r="BZ1855" s="557"/>
      <c r="CA1855" s="883"/>
      <c r="CB1855" s="555"/>
      <c r="CC1855" s="882"/>
      <c r="CD1855" s="557"/>
      <c r="CE1855" s="557"/>
      <c r="CF1855" s="557"/>
      <c r="CG1855" s="880"/>
      <c r="CH1855" s="881"/>
      <c r="CI1855" s="882"/>
      <c r="CJ1855" s="557"/>
      <c r="CK1855" s="557"/>
      <c r="CL1855" s="557"/>
      <c r="CM1855" s="557"/>
      <c r="CN1855" s="557"/>
      <c r="CO1855" s="557"/>
      <c r="CP1855" s="878"/>
      <c r="CQ1855" s="878"/>
      <c r="CR1855" s="557"/>
      <c r="CS1855" s="557"/>
      <c r="CT1855" s="557"/>
      <c r="CU1855" s="554">
        <f t="shared" si="763"/>
        <v>300</v>
      </c>
      <c r="CV1855" s="554">
        <f t="shared" si="764"/>
        <v>0</v>
      </c>
      <c r="CW1855" s="554">
        <f t="shared" si="765"/>
        <v>0</v>
      </c>
      <c r="CX1855" s="878"/>
      <c r="CY1855" s="878"/>
      <c r="CZ1855" s="878"/>
      <c r="DA1855" s="878"/>
      <c r="DB1855" s="878"/>
      <c r="DC1855" s="878"/>
      <c r="DD1855" s="878"/>
      <c r="DE1855" s="878"/>
      <c r="DF1855" s="878"/>
      <c r="DG1855" s="878"/>
      <c r="DH1855" s="878"/>
    </row>
    <row r="1856" s="550" customFormat="1" ht="31" customHeight="1" spans="1:112">
      <c r="A1856" s="867">
        <v>46196</v>
      </c>
      <c r="B1856" s="605" t="s">
        <v>143</v>
      </c>
      <c r="C1856" s="589" t="s">
        <v>98</v>
      </c>
      <c r="D1856" s="557">
        <v>4500213433</v>
      </c>
      <c r="E1856" s="589">
        <v>1003608916</v>
      </c>
      <c r="F1856" s="557" t="s">
        <v>10540</v>
      </c>
      <c r="G1856" s="589" t="s">
        <v>6063</v>
      </c>
      <c r="H1856" s="589" t="s">
        <v>6064</v>
      </c>
      <c r="I1856" s="868">
        <v>12960</v>
      </c>
      <c r="J1856" s="589">
        <v>0</v>
      </c>
      <c r="K1856" s="869">
        <v>16</v>
      </c>
      <c r="L1856" s="870">
        <f t="shared" si="756"/>
        <v>810</v>
      </c>
      <c r="M1856" s="871">
        <v>46244</v>
      </c>
      <c r="N1856" s="872">
        <v>46240</v>
      </c>
      <c r="O1856" s="873" t="s">
        <v>5263</v>
      </c>
      <c r="P1856" s="589" t="s">
        <v>113</v>
      </c>
      <c r="Q1856" s="874"/>
      <c r="R1856" s="874" t="s">
        <v>147</v>
      </c>
      <c r="S1856" s="614" t="s">
        <v>70</v>
      </c>
      <c r="T1856" s="902" t="s">
        <v>5256</v>
      </c>
      <c r="U1856" s="902"/>
      <c r="V1856" s="862"/>
      <c r="W1856" s="819"/>
      <c r="X1856" s="904" t="s">
        <v>10537</v>
      </c>
      <c r="Y1856" s="876" t="s">
        <v>4871</v>
      </c>
      <c r="Z1856" s="605">
        <v>0.6079</v>
      </c>
      <c r="AA1856" s="942">
        <f t="shared" si="757"/>
        <v>7878.384</v>
      </c>
      <c r="AB1856" s="819"/>
      <c r="AC1856" s="943"/>
      <c r="AD1856" s="610" t="s">
        <v>6063</v>
      </c>
      <c r="AE1856" s="589" t="s">
        <v>82</v>
      </c>
      <c r="AF1856" s="589"/>
      <c r="AG1856" s="589"/>
      <c r="AH1856" s="605"/>
      <c r="AI1856" s="609">
        <v>12960</v>
      </c>
      <c r="AJ1856" s="610">
        <f t="shared" si="753"/>
        <v>0</v>
      </c>
      <c r="AK1856" s="873"/>
      <c r="AL1856" s="589" t="s">
        <v>2368</v>
      </c>
      <c r="AM1856" s="589"/>
      <c r="AN1856" s="589">
        <f t="shared" si="758"/>
        <v>12960</v>
      </c>
      <c r="AO1856" s="557"/>
      <c r="AP1856" s="556">
        <f t="shared" si="759"/>
        <v>12960</v>
      </c>
      <c r="AQ1856" s="557"/>
      <c r="AR1856" s="878"/>
      <c r="AS1856" s="557"/>
      <c r="AT1856" s="557"/>
      <c r="AU1856" s="554">
        <f t="shared" si="760"/>
        <v>12960</v>
      </c>
      <c r="AV1856" s="557"/>
      <c r="AW1856" s="557"/>
      <c r="AX1856" s="879"/>
      <c r="AY1856" s="557"/>
      <c r="AZ1856" s="557"/>
      <c r="BA1856" s="557"/>
      <c r="BB1856" s="620">
        <f t="shared" si="761"/>
        <v>540</v>
      </c>
      <c r="BC1856" s="557"/>
      <c r="BD1856" s="557"/>
      <c r="BE1856" s="557"/>
      <c r="BF1856" s="880"/>
      <c r="BG1856" s="881"/>
      <c r="BH1856" s="882"/>
      <c r="BI1856" s="557"/>
      <c r="BJ1856" s="557"/>
      <c r="BK1856" s="557"/>
      <c r="BL1856" s="557"/>
      <c r="BM1856" s="557"/>
      <c r="BN1856" s="557"/>
      <c r="BO1856" s="557"/>
      <c r="BP1856" s="557"/>
      <c r="BQ1856" s="554">
        <f t="shared" si="762"/>
        <v>810</v>
      </c>
      <c r="BR1856" s="557"/>
      <c r="BS1856" s="557"/>
      <c r="BT1856" s="557"/>
      <c r="BU1856" s="557"/>
      <c r="BV1856" s="557"/>
      <c r="BW1856" s="557"/>
      <c r="BX1856" s="557"/>
      <c r="BY1856" s="557"/>
      <c r="BZ1856" s="557"/>
      <c r="CA1856" s="883"/>
      <c r="CB1856" s="555"/>
      <c r="CC1856" s="882"/>
      <c r="CD1856" s="557"/>
      <c r="CE1856" s="557"/>
      <c r="CF1856" s="557"/>
      <c r="CG1856" s="880"/>
      <c r="CH1856" s="881"/>
      <c r="CI1856" s="882"/>
      <c r="CJ1856" s="557"/>
      <c r="CK1856" s="557"/>
      <c r="CL1856" s="557"/>
      <c r="CM1856" s="557"/>
      <c r="CN1856" s="557"/>
      <c r="CO1856" s="557"/>
      <c r="CP1856" s="878"/>
      <c r="CQ1856" s="878"/>
      <c r="CR1856" s="557"/>
      <c r="CS1856" s="557"/>
      <c r="CT1856" s="557"/>
      <c r="CU1856" s="554">
        <f t="shared" si="763"/>
        <v>810</v>
      </c>
      <c r="CV1856" s="554">
        <f t="shared" si="764"/>
        <v>0</v>
      </c>
      <c r="CW1856" s="554">
        <f t="shared" si="765"/>
        <v>0</v>
      </c>
      <c r="CX1856" s="878"/>
      <c r="CY1856" s="878"/>
      <c r="CZ1856" s="878"/>
      <c r="DA1856" s="878"/>
      <c r="DB1856" s="878"/>
      <c r="DC1856" s="878"/>
      <c r="DD1856" s="878"/>
      <c r="DE1856" s="878"/>
      <c r="DF1856" s="878"/>
      <c r="DG1856" s="878"/>
      <c r="DH1856" s="878"/>
    </row>
    <row r="1857" s="550" customFormat="1" ht="31" customHeight="1" spans="1:113">
      <c r="A1857" s="867">
        <v>46196</v>
      </c>
      <c r="B1857" s="605" t="s">
        <v>143</v>
      </c>
      <c r="C1857" s="589" t="s">
        <v>98</v>
      </c>
      <c r="D1857" s="557">
        <v>4500213433</v>
      </c>
      <c r="E1857" s="589">
        <v>1003609369</v>
      </c>
      <c r="F1857" s="557" t="s">
        <v>10541</v>
      </c>
      <c r="G1857" s="589" t="s">
        <v>6063</v>
      </c>
      <c r="H1857" s="589" t="s">
        <v>6064</v>
      </c>
      <c r="I1857" s="868">
        <v>13200</v>
      </c>
      <c r="J1857" s="589">
        <v>0</v>
      </c>
      <c r="K1857" s="869">
        <v>16</v>
      </c>
      <c r="L1857" s="870">
        <f t="shared" si="756"/>
        <v>825</v>
      </c>
      <c r="M1857" s="871">
        <v>46244</v>
      </c>
      <c r="N1857" s="872">
        <v>46240</v>
      </c>
      <c r="O1857" s="873" t="s">
        <v>5263</v>
      </c>
      <c r="P1857" s="589" t="s">
        <v>113</v>
      </c>
      <c r="Q1857" s="874"/>
      <c r="R1857" s="874" t="s">
        <v>147</v>
      </c>
      <c r="S1857" s="614" t="s">
        <v>70</v>
      </c>
      <c r="T1857" s="902" t="s">
        <v>5256</v>
      </c>
      <c r="U1857" s="902"/>
      <c r="V1857" s="862"/>
      <c r="W1857" s="819"/>
      <c r="X1857" s="904" t="s">
        <v>10537</v>
      </c>
      <c r="Y1857" s="876" t="s">
        <v>4871</v>
      </c>
      <c r="Z1857" s="605">
        <v>0.6196</v>
      </c>
      <c r="AA1857" s="942">
        <f t="shared" si="757"/>
        <v>8178.72</v>
      </c>
      <c r="AB1857" s="819"/>
      <c r="AC1857" s="943"/>
      <c r="AD1857" s="610" t="s">
        <v>6063</v>
      </c>
      <c r="AE1857" s="589" t="s">
        <v>82</v>
      </c>
      <c r="AF1857" s="589"/>
      <c r="AG1857" s="589"/>
      <c r="AH1857" s="605"/>
      <c r="AI1857" s="609">
        <v>13200</v>
      </c>
      <c r="AJ1857" s="610">
        <f t="shared" si="753"/>
        <v>0</v>
      </c>
      <c r="AK1857" s="873"/>
      <c r="AL1857" s="589" t="s">
        <v>2368</v>
      </c>
      <c r="AM1857" s="589"/>
      <c r="AN1857" s="589">
        <f t="shared" si="758"/>
        <v>13200</v>
      </c>
      <c r="AO1857" s="557"/>
      <c r="AP1857" s="556">
        <f t="shared" si="759"/>
        <v>13200</v>
      </c>
      <c r="AQ1857" s="557"/>
      <c r="AR1857" s="878"/>
      <c r="AS1857" s="557"/>
      <c r="AT1857" s="557"/>
      <c r="AU1857" s="554">
        <f t="shared" si="760"/>
        <v>13200</v>
      </c>
      <c r="AV1857" s="557"/>
      <c r="AW1857" s="557"/>
      <c r="AX1857" s="879"/>
      <c r="AY1857" s="557"/>
      <c r="AZ1857" s="557"/>
      <c r="BA1857" s="557"/>
      <c r="BB1857" s="620">
        <f t="shared" si="761"/>
        <v>550</v>
      </c>
      <c r="BC1857" s="557"/>
      <c r="BD1857" s="557"/>
      <c r="BE1857" s="557"/>
      <c r="BF1857" s="880"/>
      <c r="BG1857" s="881"/>
      <c r="BH1857" s="882"/>
      <c r="BI1857" s="557"/>
      <c r="BJ1857" s="557"/>
      <c r="BK1857" s="557"/>
      <c r="BL1857" s="557"/>
      <c r="BM1857" s="557"/>
      <c r="BN1857" s="557"/>
      <c r="BO1857" s="557"/>
      <c r="BP1857" s="557"/>
      <c r="BQ1857" s="554">
        <f t="shared" si="762"/>
        <v>825</v>
      </c>
      <c r="BR1857" s="557"/>
      <c r="BS1857" s="557"/>
      <c r="BT1857" s="557"/>
      <c r="BU1857" s="557"/>
      <c r="BV1857" s="557"/>
      <c r="BW1857" s="557"/>
      <c r="BX1857" s="557"/>
      <c r="BY1857" s="557"/>
      <c r="BZ1857" s="557"/>
      <c r="CA1857" s="883"/>
      <c r="CB1857" s="555"/>
      <c r="CC1857" s="882"/>
      <c r="CD1857" s="557"/>
      <c r="CE1857" s="557"/>
      <c r="CF1857" s="557"/>
      <c r="CG1857" s="880"/>
      <c r="CH1857" s="881"/>
      <c r="CI1857" s="882"/>
      <c r="CJ1857" s="557"/>
      <c r="CK1857" s="557"/>
      <c r="CL1857" s="557"/>
      <c r="CM1857" s="557"/>
      <c r="CN1857" s="557"/>
      <c r="CO1857" s="557"/>
      <c r="CP1857" s="878"/>
      <c r="CQ1857" s="878"/>
      <c r="CR1857" s="557"/>
      <c r="CS1857" s="557"/>
      <c r="CT1857" s="557"/>
      <c r="CU1857" s="554">
        <f t="shared" si="763"/>
        <v>825</v>
      </c>
      <c r="CV1857" s="554">
        <f t="shared" si="764"/>
        <v>0</v>
      </c>
      <c r="CW1857" s="554">
        <f t="shared" si="765"/>
        <v>0</v>
      </c>
      <c r="CX1857" s="878"/>
      <c r="CY1857" s="878"/>
      <c r="CZ1857" s="878"/>
      <c r="DA1857" s="878"/>
      <c r="DB1857" s="878"/>
      <c r="DC1857" s="878"/>
      <c r="DD1857" s="878"/>
      <c r="DE1857" s="878"/>
      <c r="DF1857" s="878"/>
      <c r="DG1857" s="878"/>
      <c r="DH1857" s="878"/>
    </row>
    <row r="1858" s="550" customFormat="1" ht="31" customHeight="1" spans="1:113">
      <c r="A1858" s="608">
        <v>46177</v>
      </c>
      <c r="B1858" s="609" t="s">
        <v>5580</v>
      </c>
      <c r="C1858" s="610" t="s">
        <v>98</v>
      </c>
      <c r="D1858" s="554">
        <v>4500210751</v>
      </c>
      <c r="E1858" s="731">
        <v>306247</v>
      </c>
      <c r="F1858" s="729" t="s">
        <v>10542</v>
      </c>
      <c r="G1858" s="610" t="s">
        <v>8481</v>
      </c>
      <c r="H1858" s="610" t="s">
        <v>8482</v>
      </c>
      <c r="I1858" s="610">
        <v>5016</v>
      </c>
      <c r="J1858" s="610">
        <v>0</v>
      </c>
      <c r="K1858" s="610">
        <v>24</v>
      </c>
      <c r="L1858" s="611">
        <f t="shared" si="756"/>
        <v>209</v>
      </c>
      <c r="M1858" s="724">
        <v>46244</v>
      </c>
      <c r="N1858" s="724">
        <f>M1858-4</f>
        <v>46240</v>
      </c>
      <c r="O1858" s="610"/>
      <c r="P1858" s="613" t="s">
        <v>113</v>
      </c>
      <c r="Q1858" s="610" t="s">
        <v>10543</v>
      </c>
      <c r="R1858" s="614">
        <v>46177</v>
      </c>
      <c r="S1858" s="614" t="s">
        <v>104</v>
      </c>
      <c r="T1858" s="614" t="s">
        <v>10544</v>
      </c>
      <c r="U1858" s="875" t="s">
        <v>10545</v>
      </c>
      <c r="V1858" s="874" t="s">
        <v>10546</v>
      </c>
      <c r="W1858" s="573"/>
      <c r="X1858" s="609" t="s">
        <v>10547</v>
      </c>
      <c r="Y1858" s="609" t="s">
        <v>5586</v>
      </c>
      <c r="Z1858" s="718">
        <v>0.5786</v>
      </c>
      <c r="AA1858" s="616">
        <f t="shared" si="757"/>
        <v>2902.2576</v>
      </c>
      <c r="AB1858" s="573" t="s">
        <v>10548</v>
      </c>
      <c r="AC1858" s="617"/>
      <c r="AD1858" s="610" t="s">
        <v>8481</v>
      </c>
      <c r="AE1858" s="610" t="s">
        <v>82</v>
      </c>
      <c r="AF1858" s="610"/>
      <c r="AG1858" s="609"/>
      <c r="AH1858" s="609"/>
      <c r="AI1858" s="609">
        <v>5016</v>
      </c>
      <c r="AJ1858" s="610">
        <f t="shared" si="753"/>
        <v>0</v>
      </c>
      <c r="AK1858" s="610"/>
      <c r="AL1858" s="610" t="s">
        <v>2368</v>
      </c>
      <c r="AM1858" s="610"/>
      <c r="AN1858" s="610">
        <f t="shared" si="758"/>
        <v>5016</v>
      </c>
      <c r="AO1858" s="554"/>
      <c r="AP1858" s="554">
        <f t="shared" si="759"/>
        <v>5016</v>
      </c>
      <c r="AQ1858" s="554"/>
      <c r="AR1858" s="619"/>
      <c r="AS1858" s="554"/>
      <c r="AT1858" s="554"/>
      <c r="AU1858" s="554">
        <f t="shared" si="760"/>
        <v>5016</v>
      </c>
      <c r="AV1858" s="554"/>
      <c r="AW1858" s="619"/>
      <c r="AX1858" s="554"/>
      <c r="AY1858" s="554"/>
      <c r="AZ1858" s="554"/>
      <c r="BA1858" s="554"/>
      <c r="BB1858" s="620">
        <f>I1858</f>
        <v>5016</v>
      </c>
      <c r="BC1858" s="714"/>
      <c r="BD1858" s="554"/>
      <c r="BE1858" s="554"/>
      <c r="BF1858" s="554"/>
      <c r="BG1858" s="550"/>
      <c r="BH1858" s="554"/>
      <c r="BI1858" s="554"/>
      <c r="BJ1858" s="554"/>
      <c r="BK1858" s="554"/>
      <c r="BL1858" s="554"/>
      <c r="BM1858" s="554"/>
      <c r="BN1858" s="554"/>
      <c r="BO1858" s="554"/>
      <c r="BP1858" s="554"/>
      <c r="BQ1858" s="554"/>
      <c r="BR1858" s="554"/>
      <c r="BS1858" s="554"/>
      <c r="BT1858" s="554"/>
      <c r="BU1858" s="554"/>
      <c r="BV1858" s="554"/>
      <c r="BW1858" s="554"/>
      <c r="BX1858" s="554"/>
      <c r="BY1858" s="619"/>
      <c r="BZ1858" s="554"/>
      <c r="CA1858" s="621"/>
      <c r="CB1858" s="555"/>
      <c r="CC1858" s="622"/>
      <c r="CD1858" s="619"/>
      <c r="CE1858" s="619"/>
      <c r="CF1858" s="554"/>
      <c r="CG1858" s="554"/>
      <c r="CH1858" s="550"/>
      <c r="CI1858" s="554"/>
      <c r="CJ1858" s="554"/>
      <c r="CK1858" s="554"/>
      <c r="CL1858" s="554"/>
      <c r="CM1858" s="554"/>
      <c r="CN1858" s="554"/>
      <c r="CO1858" s="554"/>
      <c r="CP1858" s="554"/>
      <c r="CQ1858" s="554"/>
      <c r="CR1858" s="554"/>
      <c r="CS1858" s="554"/>
      <c r="CT1858" s="554"/>
      <c r="CU1858" s="554">
        <f t="shared" si="763"/>
        <v>0</v>
      </c>
      <c r="CV1858" s="554">
        <f t="shared" si="764"/>
        <v>0</v>
      </c>
      <c r="CW1858" s="554">
        <f t="shared" si="765"/>
        <v>0</v>
      </c>
      <c r="CX1858" s="619"/>
      <c r="CY1858" s="619"/>
      <c r="CZ1858" s="619"/>
      <c r="DA1858" s="554"/>
      <c r="DB1858" s="554"/>
      <c r="DC1858" s="554"/>
      <c r="DD1858" s="619"/>
      <c r="DE1858" s="619"/>
      <c r="DF1858" s="619"/>
      <c r="DG1858" s="619"/>
      <c r="DH1858" s="619"/>
    </row>
    <row r="1859" s="550" customFormat="1" ht="31" customHeight="1" spans="1:113">
      <c r="A1859" s="867">
        <v>46199</v>
      </c>
      <c r="B1859" s="605" t="s">
        <v>205</v>
      </c>
      <c r="C1859" s="589" t="s">
        <v>98</v>
      </c>
      <c r="D1859" s="886">
        <v>4500213890</v>
      </c>
      <c r="E1859" s="873">
        <v>219372917</v>
      </c>
      <c r="F1859" s="557" t="s">
        <v>10549</v>
      </c>
      <c r="G1859" s="589" t="s">
        <v>6166</v>
      </c>
      <c r="H1859" s="589" t="s">
        <v>6094</v>
      </c>
      <c r="I1859" s="868">
        <v>9750</v>
      </c>
      <c r="J1859" s="589">
        <v>0</v>
      </c>
      <c r="K1859" s="869">
        <v>13</v>
      </c>
      <c r="L1859" s="870">
        <f t="shared" si="756"/>
        <v>750</v>
      </c>
      <c r="M1859" s="871">
        <v>46245</v>
      </c>
      <c r="N1859" s="872">
        <v>46241</v>
      </c>
      <c r="O1859" s="873"/>
      <c r="P1859" s="589" t="s">
        <v>113</v>
      </c>
      <c r="Q1859" s="874"/>
      <c r="R1859" s="874">
        <v>46199</v>
      </c>
      <c r="S1859" s="614" t="s">
        <v>70</v>
      </c>
      <c r="T1859" s="614" t="s">
        <v>70</v>
      </c>
      <c r="U1859" s="944"/>
      <c r="V1859" s="944"/>
      <c r="W1859" s="573"/>
      <c r="X1859" s="605" t="s">
        <v>5466</v>
      </c>
      <c r="Y1859" s="876" t="s">
        <v>2003</v>
      </c>
      <c r="Z1859" s="605">
        <v>0.5594</v>
      </c>
      <c r="AA1859" s="876">
        <f t="shared" si="757"/>
        <v>5454.15</v>
      </c>
      <c r="AB1859" s="573"/>
      <c r="AC1859" s="877"/>
      <c r="AD1859" s="610" t="s">
        <v>6257</v>
      </c>
      <c r="AE1859" s="589" t="s">
        <v>82</v>
      </c>
      <c r="AF1859" s="589"/>
      <c r="AG1859" s="589"/>
      <c r="AH1859" s="605"/>
      <c r="AI1859" s="609">
        <v>9750</v>
      </c>
      <c r="AJ1859" s="610">
        <f t="shared" si="753"/>
        <v>0</v>
      </c>
      <c r="AK1859" s="873"/>
      <c r="AL1859" s="589"/>
      <c r="AM1859" s="589"/>
      <c r="AN1859" s="589">
        <f t="shared" si="758"/>
        <v>9750</v>
      </c>
      <c r="AO1859" s="557"/>
      <c r="AP1859" s="554">
        <f t="shared" si="759"/>
        <v>9750</v>
      </c>
      <c r="AQ1859" s="557"/>
      <c r="AR1859" s="878"/>
      <c r="AS1859" s="557"/>
      <c r="AT1859" s="557"/>
      <c r="AU1859" s="554">
        <f t="shared" si="760"/>
        <v>9750</v>
      </c>
      <c r="AV1859" s="557"/>
      <c r="AW1859" s="557"/>
      <c r="AX1859" s="879"/>
      <c r="AY1859" s="557"/>
      <c r="AZ1859" s="557"/>
      <c r="BA1859" s="557"/>
      <c r="BB1859" s="620">
        <f>I1859/24</f>
        <v>406.25</v>
      </c>
      <c r="BC1859" s="557"/>
      <c r="BD1859" s="557"/>
      <c r="BE1859" s="557"/>
      <c r="BF1859" s="880"/>
      <c r="BG1859" s="881"/>
      <c r="BH1859" s="882"/>
      <c r="BI1859" s="557"/>
      <c r="BJ1859" s="557"/>
      <c r="BK1859" s="554">
        <f>I1859/13</f>
        <v>750</v>
      </c>
      <c r="BL1859" s="557"/>
      <c r="BM1859" s="557"/>
      <c r="BN1859" s="557"/>
      <c r="BO1859" s="557"/>
      <c r="BP1859" s="557"/>
      <c r="BQ1859" s="557"/>
      <c r="BR1859" s="557"/>
      <c r="BS1859" s="557"/>
      <c r="BT1859" s="557"/>
      <c r="BU1859" s="557"/>
      <c r="BV1859" s="557"/>
      <c r="BW1859" s="557"/>
      <c r="BX1859" s="557"/>
      <c r="BY1859" s="557"/>
      <c r="BZ1859" s="557"/>
      <c r="CA1859" s="883"/>
      <c r="CB1859" s="555"/>
      <c r="CC1859" s="882"/>
      <c r="CD1859" s="557"/>
      <c r="CE1859" s="557"/>
      <c r="CF1859" s="557"/>
      <c r="CG1859" s="880"/>
      <c r="CH1859" s="881"/>
      <c r="CI1859" s="882"/>
      <c r="CJ1859" s="557"/>
      <c r="CK1859" s="557"/>
      <c r="CL1859" s="557"/>
      <c r="CM1859" s="557"/>
      <c r="CN1859" s="557"/>
      <c r="CO1859" s="557"/>
      <c r="CP1859" s="878"/>
      <c r="CQ1859" s="878"/>
      <c r="CR1859" s="557"/>
      <c r="CS1859" s="557"/>
      <c r="CT1859" s="557"/>
      <c r="CU1859" s="554">
        <f t="shared" si="763"/>
        <v>0</v>
      </c>
      <c r="CV1859" s="554">
        <f t="shared" si="764"/>
        <v>0</v>
      </c>
      <c r="CW1859" s="554">
        <f t="shared" si="765"/>
        <v>0</v>
      </c>
      <c r="CX1859" s="878"/>
      <c r="CY1859" s="878"/>
      <c r="CZ1859" s="878"/>
      <c r="DA1859" s="878"/>
      <c r="DB1859" s="878"/>
      <c r="DC1859" s="878"/>
      <c r="DD1859" s="878"/>
      <c r="DE1859" s="878"/>
      <c r="DF1859" s="878"/>
      <c r="DG1859" s="878"/>
      <c r="DH1859" s="878"/>
    </row>
    <row r="1860" s="550" customFormat="1" ht="31" customHeight="1" spans="1:113">
      <c r="A1860" s="867">
        <v>46199</v>
      </c>
      <c r="B1860" s="605" t="s">
        <v>205</v>
      </c>
      <c r="C1860" s="589" t="s">
        <v>98</v>
      </c>
      <c r="D1860" s="886">
        <v>4500213890</v>
      </c>
      <c r="E1860" s="873">
        <v>219372925</v>
      </c>
      <c r="F1860" s="557" t="s">
        <v>10550</v>
      </c>
      <c r="G1860" s="589" t="s">
        <v>6166</v>
      </c>
      <c r="H1860" s="589" t="s">
        <v>6094</v>
      </c>
      <c r="I1860" s="868">
        <v>5252</v>
      </c>
      <c r="J1860" s="589">
        <v>0</v>
      </c>
      <c r="K1860" s="869">
        <v>13</v>
      </c>
      <c r="L1860" s="870">
        <f t="shared" si="756"/>
        <v>404</v>
      </c>
      <c r="M1860" s="871">
        <v>46245</v>
      </c>
      <c r="N1860" s="872">
        <v>46241</v>
      </c>
      <c r="O1860" s="873"/>
      <c r="P1860" s="589" t="s">
        <v>113</v>
      </c>
      <c r="Q1860" s="874"/>
      <c r="R1860" s="874">
        <v>46199</v>
      </c>
      <c r="S1860" s="614" t="s">
        <v>70</v>
      </c>
      <c r="T1860" s="614" t="s">
        <v>70</v>
      </c>
      <c r="U1860" s="874"/>
      <c r="V1860" s="874"/>
      <c r="W1860" s="573"/>
      <c r="X1860" s="605" t="s">
        <v>5466</v>
      </c>
      <c r="Y1860" s="876" t="s">
        <v>2003</v>
      </c>
      <c r="Z1860" s="605">
        <v>0.5698</v>
      </c>
      <c r="AA1860" s="876">
        <f t="shared" si="757"/>
        <v>2992.5896</v>
      </c>
      <c r="AB1860" s="573"/>
      <c r="AC1860" s="877"/>
      <c r="AD1860" s="610" t="s">
        <v>6257</v>
      </c>
      <c r="AE1860" s="589" t="s">
        <v>82</v>
      </c>
      <c r="AF1860" s="589"/>
      <c r="AG1860" s="589"/>
      <c r="AH1860" s="605"/>
      <c r="AI1860" s="609">
        <f>2912+2340</f>
        <v>5252</v>
      </c>
      <c r="AJ1860" s="610">
        <f t="shared" si="753"/>
        <v>0</v>
      </c>
      <c r="AK1860" s="873"/>
      <c r="AL1860" s="589"/>
      <c r="AM1860" s="589"/>
      <c r="AN1860" s="589">
        <f t="shared" si="758"/>
        <v>5252</v>
      </c>
      <c r="AO1860" s="557"/>
      <c r="AP1860" s="554">
        <f t="shared" si="759"/>
        <v>5252</v>
      </c>
      <c r="AQ1860" s="557"/>
      <c r="AR1860" s="878"/>
      <c r="AS1860" s="557"/>
      <c r="AT1860" s="557"/>
      <c r="AU1860" s="554">
        <f t="shared" si="760"/>
        <v>5252</v>
      </c>
      <c r="AV1860" s="557"/>
      <c r="AW1860" s="557"/>
      <c r="AX1860" s="879"/>
      <c r="AY1860" s="557"/>
      <c r="AZ1860" s="557"/>
      <c r="BA1860" s="557"/>
      <c r="BB1860" s="620">
        <f>I1860/24</f>
        <v>218.833333333333</v>
      </c>
      <c r="BC1860" s="557"/>
      <c r="BD1860" s="557"/>
      <c r="BE1860" s="557"/>
      <c r="BF1860" s="880"/>
      <c r="BG1860" s="881"/>
      <c r="BH1860" s="882"/>
      <c r="BI1860" s="557"/>
      <c r="BJ1860" s="557"/>
      <c r="BK1860" s="554">
        <f>I1860/13</f>
        <v>404</v>
      </c>
      <c r="BL1860" s="557"/>
      <c r="BM1860" s="557"/>
      <c r="BN1860" s="557"/>
      <c r="BO1860" s="557"/>
      <c r="BP1860" s="557"/>
      <c r="BQ1860" s="557"/>
      <c r="BR1860" s="557"/>
      <c r="BS1860" s="557"/>
      <c r="BT1860" s="557"/>
      <c r="BU1860" s="557"/>
      <c r="BV1860" s="557"/>
      <c r="BW1860" s="557"/>
      <c r="BX1860" s="557"/>
      <c r="BY1860" s="557"/>
      <c r="BZ1860" s="557"/>
      <c r="CA1860" s="883"/>
      <c r="CB1860" s="555"/>
      <c r="CC1860" s="882"/>
      <c r="CD1860" s="557"/>
      <c r="CE1860" s="557"/>
      <c r="CF1860" s="557"/>
      <c r="CG1860" s="880"/>
      <c r="CH1860" s="881"/>
      <c r="CI1860" s="882"/>
      <c r="CJ1860" s="557"/>
      <c r="CK1860" s="557"/>
      <c r="CL1860" s="557"/>
      <c r="CM1860" s="557"/>
      <c r="CN1860" s="557"/>
      <c r="CO1860" s="557"/>
      <c r="CP1860" s="878"/>
      <c r="CQ1860" s="878"/>
      <c r="CR1860" s="557"/>
      <c r="CS1860" s="557"/>
      <c r="CT1860" s="557"/>
      <c r="CU1860" s="554">
        <f t="shared" si="763"/>
        <v>0</v>
      </c>
      <c r="CV1860" s="554">
        <f t="shared" si="764"/>
        <v>0</v>
      </c>
      <c r="CW1860" s="554">
        <f t="shared" si="765"/>
        <v>0</v>
      </c>
      <c r="CX1860" s="878"/>
      <c r="CY1860" s="878"/>
      <c r="CZ1860" s="878"/>
      <c r="DA1860" s="878"/>
      <c r="DB1860" s="878"/>
      <c r="DC1860" s="878"/>
      <c r="DD1860" s="878"/>
      <c r="DE1860" s="878"/>
      <c r="DF1860" s="878"/>
      <c r="DG1860" s="878"/>
      <c r="DH1860" s="878"/>
    </row>
    <row r="1861" s="550" customFormat="1" ht="31" customHeight="1" spans="1:113">
      <c r="A1861" s="608">
        <v>46167</v>
      </c>
      <c r="B1861" s="609" t="s">
        <v>2707</v>
      </c>
      <c r="C1861" s="610" t="s">
        <v>170</v>
      </c>
      <c r="D1861" s="727">
        <v>4500208821</v>
      </c>
      <c r="E1861" s="613">
        <v>45204276</v>
      </c>
      <c r="F1861" s="554" t="s">
        <v>5272</v>
      </c>
      <c r="G1861" s="610" t="s">
        <v>8498</v>
      </c>
      <c r="H1861" s="610" t="s">
        <v>2703</v>
      </c>
      <c r="I1861" s="610">
        <v>240</v>
      </c>
      <c r="J1861" s="610">
        <v>0</v>
      </c>
      <c r="K1861" s="610">
        <v>6</v>
      </c>
      <c r="L1861" s="611">
        <f t="shared" si="756"/>
        <v>40</v>
      </c>
      <c r="M1861" s="612">
        <v>46240</v>
      </c>
      <c r="N1861" s="612">
        <v>46237</v>
      </c>
      <c r="O1861" s="610"/>
      <c r="P1861" s="610" t="s">
        <v>113</v>
      </c>
      <c r="Q1861" s="614">
        <v>46248</v>
      </c>
      <c r="R1861" s="614">
        <v>46174</v>
      </c>
      <c r="S1861" s="614" t="s">
        <v>70</v>
      </c>
      <c r="T1861" s="614" t="s">
        <v>5069</v>
      </c>
      <c r="U1861" s="614"/>
      <c r="V1861" s="614"/>
      <c r="W1861" s="573"/>
      <c r="X1861" s="609" t="s">
        <v>5273</v>
      </c>
      <c r="Y1861" s="609" t="s">
        <v>5071</v>
      </c>
      <c r="Z1861" s="718">
        <v>7.1822</v>
      </c>
      <c r="AA1861" s="616">
        <f t="shared" si="757"/>
        <v>1723.728</v>
      </c>
      <c r="AC1861" s="617"/>
      <c r="AD1861" s="610" t="s">
        <v>2705</v>
      </c>
      <c r="AE1861" s="610" t="s">
        <v>82</v>
      </c>
      <c r="AF1861" s="610"/>
      <c r="AG1861" s="609"/>
      <c r="AH1861" s="609"/>
      <c r="AI1861" s="609">
        <v>240</v>
      </c>
      <c r="AJ1861" s="610">
        <f t="shared" si="753"/>
        <v>0</v>
      </c>
      <c r="AK1861" s="610"/>
      <c r="AL1861" s="610" t="s">
        <v>2368</v>
      </c>
      <c r="AM1861" s="610"/>
      <c r="AN1861" s="610">
        <f>I1861*2</f>
        <v>480</v>
      </c>
      <c r="AO1861" s="554"/>
      <c r="AP1861" s="554"/>
      <c r="AQ1861" s="554"/>
      <c r="AR1861" s="619"/>
      <c r="AS1861" s="554">
        <f>I1861*2</f>
        <v>480</v>
      </c>
      <c r="AT1861" s="554"/>
      <c r="AU1861" s="554">
        <f>I1861*2</f>
        <v>480</v>
      </c>
      <c r="AV1861" s="554"/>
      <c r="AW1861" s="619"/>
      <c r="AX1861" s="554"/>
      <c r="AY1861" s="554"/>
      <c r="AZ1861" s="554"/>
      <c r="BA1861" s="554"/>
      <c r="BB1861" s="620">
        <f>I1861/24*2</f>
        <v>20</v>
      </c>
      <c r="BC1861" s="714"/>
      <c r="BD1861" s="554"/>
      <c r="BE1861" s="554"/>
      <c r="BF1861" s="554"/>
      <c r="BG1861" s="550"/>
      <c r="BH1861" s="554"/>
      <c r="BI1861" s="554"/>
      <c r="BJ1861" s="554"/>
      <c r="BK1861" s="554"/>
      <c r="BL1861" s="554"/>
      <c r="BM1861" s="554"/>
      <c r="BN1861" s="554"/>
      <c r="BO1861" s="554"/>
      <c r="BP1861" s="554"/>
      <c r="BQ1861" s="554"/>
      <c r="BR1861" s="554"/>
      <c r="BS1861" s="554"/>
      <c r="BT1861" s="554"/>
      <c r="BU1861" s="554"/>
      <c r="BV1861" s="554"/>
      <c r="BW1861" s="554"/>
      <c r="BX1861" s="554"/>
      <c r="BY1861" s="619"/>
      <c r="BZ1861" s="554"/>
      <c r="CA1861" s="621">
        <f>I1861</f>
        <v>240</v>
      </c>
      <c r="CB1861" s="555"/>
      <c r="CC1861" s="622"/>
      <c r="CD1861" s="619"/>
      <c r="CE1861" s="619"/>
      <c r="CF1861" s="554"/>
      <c r="CG1861" s="554"/>
      <c r="CH1861" s="550"/>
      <c r="CI1861" s="554"/>
      <c r="CJ1861" s="554"/>
      <c r="CK1861" s="554"/>
      <c r="CL1861" s="554"/>
      <c r="CM1861" s="554"/>
      <c r="CN1861" s="554"/>
      <c r="CO1861" s="554"/>
      <c r="CP1861" s="554"/>
      <c r="CQ1861" s="554"/>
      <c r="CR1861" s="554"/>
      <c r="CS1861" s="554"/>
      <c r="CT1861" s="554"/>
      <c r="CU1861" s="554">
        <f t="shared" si="763"/>
        <v>0</v>
      </c>
      <c r="CV1861" s="554">
        <f t="shared" si="764"/>
        <v>0</v>
      </c>
      <c r="CW1861" s="554">
        <f t="shared" si="765"/>
        <v>0</v>
      </c>
      <c r="CX1861" s="619"/>
      <c r="CY1861" s="619"/>
      <c r="CZ1861" s="619"/>
      <c r="DA1861" s="554"/>
      <c r="DB1861" s="554"/>
      <c r="DC1861" s="554"/>
      <c r="DD1861" s="619"/>
      <c r="DE1861" s="619"/>
      <c r="DF1861" s="619"/>
      <c r="DG1861" s="619"/>
      <c r="DH1861" s="619"/>
      <c r="DI1861" s="554"/>
    </row>
    <row r="1862" s="550" customFormat="1" ht="31" customHeight="1" spans="1:113">
      <c r="A1862" s="608">
        <v>46167</v>
      </c>
      <c r="B1862" s="609" t="s">
        <v>2707</v>
      </c>
      <c r="C1862" s="610" t="s">
        <v>170</v>
      </c>
      <c r="D1862" s="727">
        <v>4500208841</v>
      </c>
      <c r="E1862" s="613">
        <v>40121475</v>
      </c>
      <c r="F1862" s="554" t="s">
        <v>5276</v>
      </c>
      <c r="G1862" s="610" t="s">
        <v>8498</v>
      </c>
      <c r="H1862" s="610" t="s">
        <v>2703</v>
      </c>
      <c r="I1862" s="610">
        <v>1500</v>
      </c>
      <c r="J1862" s="610">
        <v>0</v>
      </c>
      <c r="K1862" s="610">
        <v>6</v>
      </c>
      <c r="L1862" s="611">
        <f t="shared" si="756"/>
        <v>250</v>
      </c>
      <c r="M1862" s="612">
        <v>46240</v>
      </c>
      <c r="N1862" s="612">
        <v>46237</v>
      </c>
      <c r="O1862" s="610"/>
      <c r="P1862" s="610" t="s">
        <v>113</v>
      </c>
      <c r="Q1862" s="614">
        <v>46248</v>
      </c>
      <c r="R1862" s="614">
        <v>46174</v>
      </c>
      <c r="S1862" s="614" t="s">
        <v>70</v>
      </c>
      <c r="T1862" s="614" t="s">
        <v>10551</v>
      </c>
      <c r="U1862" s="614"/>
      <c r="V1862" s="614"/>
      <c r="W1862" s="573"/>
      <c r="X1862" s="609" t="s">
        <v>5075</v>
      </c>
      <c r="Y1862" s="609" t="s">
        <v>5071</v>
      </c>
      <c r="Z1862" s="718">
        <v>6.852</v>
      </c>
      <c r="AA1862" s="616">
        <f t="shared" si="757"/>
        <v>10278</v>
      </c>
      <c r="AC1862" s="617"/>
      <c r="AD1862" s="610" t="s">
        <v>2705</v>
      </c>
      <c r="AE1862" s="610" t="s">
        <v>82</v>
      </c>
      <c r="AF1862" s="610"/>
      <c r="AG1862" s="609"/>
      <c r="AH1862" s="609"/>
      <c r="AI1862" s="609">
        <v>1500</v>
      </c>
      <c r="AJ1862" s="610">
        <f t="shared" si="753"/>
        <v>0</v>
      </c>
      <c r="AK1862" s="610"/>
      <c r="AL1862" s="610" t="s">
        <v>2368</v>
      </c>
      <c r="AM1862" s="610"/>
      <c r="AN1862" s="610">
        <f>I1862*2</f>
        <v>3000</v>
      </c>
      <c r="AO1862" s="554"/>
      <c r="AP1862" s="554"/>
      <c r="AQ1862" s="554"/>
      <c r="AR1862" s="619"/>
      <c r="AS1862" s="554">
        <f>I1862*2</f>
        <v>3000</v>
      </c>
      <c r="AT1862" s="554"/>
      <c r="AU1862" s="554">
        <f>I1862*2</f>
        <v>3000</v>
      </c>
      <c r="AV1862" s="554"/>
      <c r="AW1862" s="619"/>
      <c r="AX1862" s="554"/>
      <c r="AY1862" s="554"/>
      <c r="AZ1862" s="554"/>
      <c r="BA1862" s="554"/>
      <c r="BB1862" s="620">
        <f>I1862/24*2</f>
        <v>125</v>
      </c>
      <c r="BC1862" s="714"/>
      <c r="BD1862" s="554"/>
      <c r="BE1862" s="554"/>
      <c r="BF1862" s="554"/>
      <c r="BG1862" s="550"/>
      <c r="BH1862" s="554"/>
      <c r="BI1862" s="554"/>
      <c r="BJ1862" s="554"/>
      <c r="BK1862" s="554"/>
      <c r="BL1862" s="554"/>
      <c r="BM1862" s="554"/>
      <c r="BN1862" s="554"/>
      <c r="BO1862" s="554"/>
      <c r="BP1862" s="554"/>
      <c r="BQ1862" s="554"/>
      <c r="BR1862" s="554"/>
      <c r="BS1862" s="554"/>
      <c r="BT1862" s="554"/>
      <c r="BU1862" s="554"/>
      <c r="BV1862" s="554"/>
      <c r="BW1862" s="554"/>
      <c r="BX1862" s="554"/>
      <c r="BY1862" s="619"/>
      <c r="BZ1862" s="554"/>
      <c r="CA1862" s="621">
        <f>I1862</f>
        <v>1500</v>
      </c>
      <c r="CB1862" s="555"/>
      <c r="CC1862" s="622"/>
      <c r="CD1862" s="619"/>
      <c r="CE1862" s="619"/>
      <c r="CF1862" s="554"/>
      <c r="CG1862" s="554"/>
      <c r="CH1862" s="550"/>
      <c r="CI1862" s="554"/>
      <c r="CJ1862" s="554"/>
      <c r="CK1862" s="554"/>
      <c r="CL1862" s="554"/>
      <c r="CM1862" s="554"/>
      <c r="CN1862" s="554"/>
      <c r="CO1862" s="554"/>
      <c r="CP1862" s="554"/>
      <c r="CQ1862" s="554"/>
      <c r="CR1862" s="554"/>
      <c r="CS1862" s="554"/>
      <c r="CT1862" s="554"/>
      <c r="CU1862" s="554">
        <f t="shared" si="763"/>
        <v>0</v>
      </c>
      <c r="CV1862" s="554">
        <f t="shared" si="764"/>
        <v>0</v>
      </c>
      <c r="CW1862" s="554">
        <f t="shared" si="765"/>
        <v>0</v>
      </c>
      <c r="CX1862" s="619"/>
      <c r="CY1862" s="619"/>
      <c r="CZ1862" s="619"/>
      <c r="DA1862" s="554"/>
      <c r="DB1862" s="554"/>
      <c r="DC1862" s="554"/>
      <c r="DD1862" s="619"/>
      <c r="DE1862" s="619"/>
      <c r="DF1862" s="619"/>
      <c r="DG1862" s="619"/>
      <c r="DH1862" s="619"/>
      <c r="DI1862" s="554"/>
    </row>
    <row r="1863" s="550" customFormat="1" ht="31" customHeight="1" spans="1:113">
      <c r="A1863" s="608">
        <v>46167</v>
      </c>
      <c r="B1863" s="609" t="s">
        <v>2707</v>
      </c>
      <c r="C1863" s="610" t="s">
        <v>170</v>
      </c>
      <c r="D1863" s="727">
        <v>4500208841</v>
      </c>
      <c r="E1863" s="613">
        <v>40121634</v>
      </c>
      <c r="F1863" s="554" t="s">
        <v>5279</v>
      </c>
      <c r="G1863" s="610" t="s">
        <v>8498</v>
      </c>
      <c r="H1863" s="610" t="s">
        <v>2703</v>
      </c>
      <c r="I1863" s="610">
        <v>342</v>
      </c>
      <c r="J1863" s="610">
        <v>0</v>
      </c>
      <c r="K1863" s="610">
        <v>6</v>
      </c>
      <c r="L1863" s="611">
        <f t="shared" si="756"/>
        <v>57</v>
      </c>
      <c r="M1863" s="612">
        <v>46240</v>
      </c>
      <c r="N1863" s="612">
        <v>46237</v>
      </c>
      <c r="O1863" s="610"/>
      <c r="P1863" s="610" t="s">
        <v>113</v>
      </c>
      <c r="Q1863" s="614">
        <v>46248</v>
      </c>
      <c r="R1863" s="614">
        <v>46174</v>
      </c>
      <c r="S1863" s="614" t="s">
        <v>70</v>
      </c>
      <c r="T1863" s="614" t="s">
        <v>5277</v>
      </c>
      <c r="U1863" s="614"/>
      <c r="V1863" s="614"/>
      <c r="W1863" s="573"/>
      <c r="X1863" s="609" t="s">
        <v>5077</v>
      </c>
      <c r="Y1863" s="609" t="s">
        <v>5071</v>
      </c>
      <c r="Z1863" s="718">
        <v>7.1822</v>
      </c>
      <c r="AA1863" s="616">
        <f t="shared" si="757"/>
        <v>2456.3124</v>
      </c>
      <c r="AC1863" s="617"/>
      <c r="AD1863" s="610" t="s">
        <v>2705</v>
      </c>
      <c r="AE1863" s="610" t="s">
        <v>82</v>
      </c>
      <c r="AF1863" s="610"/>
      <c r="AG1863" s="609"/>
      <c r="AH1863" s="609"/>
      <c r="AI1863" s="609">
        <v>342</v>
      </c>
      <c r="AJ1863" s="610">
        <f t="shared" si="753"/>
        <v>0</v>
      </c>
      <c r="AK1863" s="610"/>
      <c r="AL1863" s="610" t="s">
        <v>2368</v>
      </c>
      <c r="AM1863" s="610"/>
      <c r="AN1863" s="610">
        <f>I1863*2</f>
        <v>684</v>
      </c>
      <c r="AO1863" s="554"/>
      <c r="AP1863" s="554"/>
      <c r="AQ1863" s="554"/>
      <c r="AR1863" s="619"/>
      <c r="AS1863" s="554">
        <f>I1863*2</f>
        <v>684</v>
      </c>
      <c r="AT1863" s="554"/>
      <c r="AU1863" s="554">
        <f>I1863*2</f>
        <v>684</v>
      </c>
      <c r="AV1863" s="554"/>
      <c r="AW1863" s="619"/>
      <c r="AX1863" s="554"/>
      <c r="AY1863" s="554"/>
      <c r="AZ1863" s="554"/>
      <c r="BA1863" s="554"/>
      <c r="BB1863" s="620">
        <f>I1863/24*2</f>
        <v>28.5</v>
      </c>
      <c r="BC1863" s="714"/>
      <c r="BD1863" s="554"/>
      <c r="BE1863" s="554"/>
      <c r="BF1863" s="554"/>
      <c r="BG1863" s="550"/>
      <c r="BH1863" s="554"/>
      <c r="BI1863" s="554"/>
      <c r="BJ1863" s="554"/>
      <c r="BK1863" s="554"/>
      <c r="BL1863" s="554"/>
      <c r="BM1863" s="554"/>
      <c r="BN1863" s="554"/>
      <c r="BO1863" s="554"/>
      <c r="BP1863" s="554"/>
      <c r="BQ1863" s="554"/>
      <c r="BR1863" s="554"/>
      <c r="BS1863" s="554"/>
      <c r="BT1863" s="554"/>
      <c r="BU1863" s="554"/>
      <c r="BV1863" s="554"/>
      <c r="BW1863" s="554"/>
      <c r="BX1863" s="554"/>
      <c r="BY1863" s="619"/>
      <c r="BZ1863" s="554"/>
      <c r="CA1863" s="621">
        <f>I1863</f>
        <v>342</v>
      </c>
      <c r="CB1863" s="555"/>
      <c r="CC1863" s="622"/>
      <c r="CD1863" s="619"/>
      <c r="CE1863" s="619"/>
      <c r="CF1863" s="554"/>
      <c r="CG1863" s="554"/>
      <c r="CH1863" s="550"/>
      <c r="CI1863" s="554"/>
      <c r="CJ1863" s="554"/>
      <c r="CK1863" s="554"/>
      <c r="CL1863" s="554"/>
      <c r="CM1863" s="554"/>
      <c r="CN1863" s="554"/>
      <c r="CO1863" s="554"/>
      <c r="CP1863" s="554"/>
      <c r="CQ1863" s="554"/>
      <c r="CR1863" s="554"/>
      <c r="CS1863" s="554"/>
      <c r="CT1863" s="554"/>
      <c r="CU1863" s="554">
        <f t="shared" si="763"/>
        <v>0</v>
      </c>
      <c r="CV1863" s="554">
        <f t="shared" si="764"/>
        <v>0</v>
      </c>
      <c r="CW1863" s="554">
        <f t="shared" si="765"/>
        <v>0</v>
      </c>
      <c r="CX1863" s="619"/>
      <c r="CY1863" s="619"/>
      <c r="CZ1863" s="619"/>
      <c r="DA1863" s="554"/>
      <c r="DB1863" s="554"/>
      <c r="DC1863" s="554"/>
      <c r="DD1863" s="619"/>
      <c r="DE1863" s="619"/>
      <c r="DF1863" s="619"/>
      <c r="DG1863" s="619"/>
      <c r="DH1863" s="619"/>
      <c r="DI1863" s="554"/>
    </row>
    <row r="1864" s="550" customFormat="1" ht="31" customHeight="1" spans="1:113">
      <c r="A1864" s="608">
        <v>46196</v>
      </c>
      <c r="B1864" s="609" t="s">
        <v>1534</v>
      </c>
      <c r="C1864" s="610" t="s">
        <v>524</v>
      </c>
      <c r="D1864" s="554">
        <v>4500213351</v>
      </c>
      <c r="E1864" s="610">
        <v>26243</v>
      </c>
      <c r="F1864" s="554" t="s">
        <v>10552</v>
      </c>
      <c r="G1864" s="610" t="s">
        <v>6043</v>
      </c>
      <c r="H1864" s="610" t="s">
        <v>6110</v>
      </c>
      <c r="I1864" s="715">
        <v>6000</v>
      </c>
      <c r="J1864" s="610">
        <v>0</v>
      </c>
      <c r="K1864" s="843">
        <v>50</v>
      </c>
      <c r="L1864" s="844">
        <f t="shared" si="756"/>
        <v>120</v>
      </c>
      <c r="M1864" s="850">
        <v>46242</v>
      </c>
      <c r="N1864" s="724">
        <v>46239</v>
      </c>
      <c r="O1864" s="613"/>
      <c r="P1864" s="610" t="s">
        <v>113</v>
      </c>
      <c r="Q1864" s="614"/>
      <c r="R1864" s="614">
        <v>46213</v>
      </c>
      <c r="S1864" s="614" t="s">
        <v>70</v>
      </c>
      <c r="T1864" s="818" t="s">
        <v>10553</v>
      </c>
      <c r="U1864" s="818"/>
      <c r="V1864" s="862" t="s">
        <v>5440</v>
      </c>
      <c r="W1864" s="819"/>
      <c r="X1864" s="820" t="s">
        <v>10554</v>
      </c>
      <c r="Y1864" s="616" t="s">
        <v>943</v>
      </c>
      <c r="Z1864" s="609">
        <v>0.9764</v>
      </c>
      <c r="AA1864" s="945">
        <f t="shared" si="757"/>
        <v>5858.4</v>
      </c>
      <c r="AB1864" s="819" t="s">
        <v>50</v>
      </c>
      <c r="AC1864" s="946"/>
      <c r="AD1864" s="610" t="s">
        <v>6043</v>
      </c>
      <c r="AE1864" s="610" t="s">
        <v>82</v>
      </c>
      <c r="AF1864" s="610"/>
      <c r="AG1864" s="610"/>
      <c r="AH1864" s="609"/>
      <c r="AI1864" s="609">
        <v>6000</v>
      </c>
      <c r="AJ1864" s="610">
        <f t="shared" si="753"/>
        <v>0</v>
      </c>
      <c r="AK1864" s="613"/>
      <c r="AL1864" s="610" t="s">
        <v>2368</v>
      </c>
      <c r="AM1864" s="610"/>
      <c r="AN1864" s="610"/>
      <c r="AO1864" s="554">
        <f>I1864</f>
        <v>6000</v>
      </c>
      <c r="AP1864" s="554"/>
      <c r="AQ1864" s="554"/>
      <c r="AR1864" s="619"/>
      <c r="AS1864" s="554"/>
      <c r="AT1864" s="554">
        <f>I1864</f>
        <v>6000</v>
      </c>
      <c r="AU1864" s="554"/>
      <c r="AV1864" s="554">
        <f>I1864</f>
        <v>6000</v>
      </c>
      <c r="AW1864" s="554"/>
      <c r="AX1864" s="714"/>
      <c r="AY1864" s="554"/>
      <c r="AZ1864" s="554"/>
      <c r="BA1864" s="554"/>
      <c r="BB1864" s="620">
        <f t="shared" ref="BB1864:BB1869" si="766">I1864/24</f>
        <v>250</v>
      </c>
      <c r="BC1864" s="554"/>
      <c r="BD1864" s="554"/>
      <c r="BE1864" s="554"/>
      <c r="BF1864" s="720"/>
      <c r="BG1864" s="555"/>
      <c r="BH1864" s="721"/>
      <c r="BI1864" s="554"/>
      <c r="BJ1864" s="554"/>
      <c r="BK1864" s="554"/>
      <c r="BL1864" s="554"/>
      <c r="BM1864" s="554"/>
      <c r="BN1864" s="554"/>
      <c r="BO1864" s="554"/>
      <c r="BP1864" s="554">
        <f>I1864/25</f>
        <v>240</v>
      </c>
      <c r="BQ1864" s="554"/>
      <c r="BR1864" s="554"/>
      <c r="BS1864" s="554"/>
      <c r="BT1864" s="554"/>
      <c r="BU1864" s="554"/>
      <c r="BV1864" s="554"/>
      <c r="BW1864" s="554"/>
      <c r="BX1864" s="554"/>
      <c r="BY1864" s="554"/>
      <c r="BZ1864" s="554"/>
      <c r="CA1864" s="720"/>
      <c r="CB1864" s="555"/>
      <c r="CC1864" s="721"/>
      <c r="CD1864" s="554"/>
      <c r="CE1864" s="554"/>
      <c r="CF1864" s="554"/>
      <c r="CG1864" s="720"/>
      <c r="CH1864" s="555"/>
      <c r="CI1864" s="721"/>
      <c r="CJ1864" s="554"/>
      <c r="CK1864" s="554"/>
      <c r="CL1864" s="554"/>
      <c r="CM1864" s="554"/>
      <c r="CN1864" s="554"/>
      <c r="CO1864" s="554"/>
      <c r="CP1864" s="619"/>
      <c r="CQ1864" s="619"/>
      <c r="CR1864" s="554"/>
      <c r="CS1864" s="554"/>
      <c r="CT1864" s="554"/>
      <c r="CU1864" s="554">
        <f t="shared" si="763"/>
        <v>240</v>
      </c>
      <c r="CV1864" s="554">
        <f t="shared" si="764"/>
        <v>0</v>
      </c>
      <c r="CW1864" s="554">
        <f t="shared" si="765"/>
        <v>0</v>
      </c>
      <c r="CX1864" s="619"/>
      <c r="CY1864" s="619"/>
      <c r="CZ1864" s="619"/>
      <c r="DA1864" s="619"/>
      <c r="DB1864" s="619"/>
      <c r="DC1864" s="619"/>
      <c r="DD1864" s="619"/>
      <c r="DE1864" s="619"/>
      <c r="DF1864" s="619"/>
      <c r="DG1864" s="619"/>
      <c r="DH1864" s="619"/>
    </row>
    <row r="1865" s="550" customFormat="1" ht="31" customHeight="1" spans="1:113">
      <c r="A1865" s="608">
        <v>46197</v>
      </c>
      <c r="B1865" s="609" t="s">
        <v>10555</v>
      </c>
      <c r="C1865" s="610" t="s">
        <v>98</v>
      </c>
      <c r="D1865" s="727">
        <v>4500213583</v>
      </c>
      <c r="E1865" s="613">
        <v>4566070973</v>
      </c>
      <c r="F1865" s="554" t="s">
        <v>10556</v>
      </c>
      <c r="G1865" s="610" t="s">
        <v>8051</v>
      </c>
      <c r="H1865" s="610" t="s">
        <v>6102</v>
      </c>
      <c r="I1865" s="715">
        <v>684</v>
      </c>
      <c r="J1865" s="610">
        <v>0</v>
      </c>
      <c r="K1865" s="843">
        <v>6</v>
      </c>
      <c r="L1865" s="844">
        <f t="shared" si="756"/>
        <v>114</v>
      </c>
      <c r="M1865" s="845">
        <v>46246</v>
      </c>
      <c r="N1865" s="612">
        <v>46242</v>
      </c>
      <c r="O1865" s="613"/>
      <c r="P1865" s="610" t="s">
        <v>113</v>
      </c>
      <c r="Q1865" s="614"/>
      <c r="R1865" s="614">
        <v>46197</v>
      </c>
      <c r="S1865" s="614" t="s">
        <v>70</v>
      </c>
      <c r="T1865" s="818" t="s">
        <v>10557</v>
      </c>
      <c r="U1865" s="818"/>
      <c r="V1865" s="614" t="s">
        <v>10001</v>
      </c>
      <c r="W1865" s="819"/>
      <c r="X1865" s="820" t="s">
        <v>10558</v>
      </c>
      <c r="Y1865" s="616" t="s">
        <v>10559</v>
      </c>
      <c r="Z1865" s="609">
        <v>0.6197</v>
      </c>
      <c r="AA1865" s="945">
        <f t="shared" si="757"/>
        <v>423.8748</v>
      </c>
      <c r="AB1865" s="819"/>
      <c r="AC1865" s="946"/>
      <c r="AD1865" s="610" t="s">
        <v>8051</v>
      </c>
      <c r="AE1865" s="610" t="s">
        <v>82</v>
      </c>
      <c r="AF1865" s="610"/>
      <c r="AG1865" s="610"/>
      <c r="AH1865" s="609"/>
      <c r="AI1865" s="609">
        <v>684</v>
      </c>
      <c r="AJ1865" s="610">
        <f t="shared" si="753"/>
        <v>0</v>
      </c>
      <c r="AK1865" s="613"/>
      <c r="AL1865" s="610" t="s">
        <v>2368</v>
      </c>
      <c r="AM1865" s="610"/>
      <c r="AN1865" s="610">
        <f>I1865</f>
        <v>684</v>
      </c>
      <c r="AO1865" s="554"/>
      <c r="AP1865" s="556">
        <f>I1865</f>
        <v>684</v>
      </c>
      <c r="AQ1865" s="554"/>
      <c r="AR1865" s="619"/>
      <c r="AS1865" s="554"/>
      <c r="AT1865" s="554"/>
      <c r="AU1865" s="554">
        <f>I1865</f>
        <v>684</v>
      </c>
      <c r="AV1865" s="554"/>
      <c r="AW1865" s="554"/>
      <c r="AX1865" s="714"/>
      <c r="AY1865" s="554"/>
      <c r="AZ1865" s="554"/>
      <c r="BA1865" s="554"/>
      <c r="BB1865" s="620">
        <f t="shared" si="766"/>
        <v>28.5</v>
      </c>
      <c r="BC1865" s="554"/>
      <c r="BD1865" s="554"/>
      <c r="BE1865" s="554"/>
      <c r="BF1865" s="554"/>
      <c r="BG1865" s="550"/>
      <c r="BH1865" s="554"/>
      <c r="BI1865" s="554"/>
      <c r="BJ1865" s="554"/>
      <c r="BK1865" s="554"/>
      <c r="BL1865" s="554"/>
      <c r="BM1865" s="554"/>
      <c r="BN1865" s="554"/>
      <c r="BO1865" s="554"/>
      <c r="BP1865" s="554"/>
      <c r="BQ1865" s="554"/>
      <c r="BR1865" s="554"/>
      <c r="BS1865" s="554"/>
      <c r="BT1865" s="554">
        <f>L1865</f>
        <v>114</v>
      </c>
      <c r="BU1865" s="554"/>
      <c r="BV1865" s="554"/>
      <c r="BW1865" s="554"/>
      <c r="BX1865" s="554"/>
      <c r="BY1865" s="554"/>
      <c r="BZ1865" s="554"/>
      <c r="CA1865" s="720"/>
      <c r="CB1865" s="555"/>
      <c r="CC1865" s="721"/>
      <c r="CD1865" s="554"/>
      <c r="CE1865" s="554"/>
      <c r="CF1865" s="554"/>
      <c r="CG1865" s="554"/>
      <c r="CH1865" s="550"/>
      <c r="CI1865" s="554"/>
      <c r="CJ1865" s="554"/>
      <c r="CK1865" s="554"/>
      <c r="CL1865" s="554"/>
      <c r="CM1865" s="554"/>
      <c r="CN1865" s="554"/>
      <c r="CO1865" s="554"/>
      <c r="CP1865" s="619"/>
      <c r="CQ1865" s="619"/>
      <c r="CR1865" s="554"/>
      <c r="CS1865" s="554"/>
      <c r="CT1865" s="554"/>
      <c r="CU1865" s="554">
        <f t="shared" si="763"/>
        <v>0</v>
      </c>
      <c r="CV1865" s="554">
        <f t="shared" si="764"/>
        <v>0</v>
      </c>
      <c r="CW1865" s="554">
        <f t="shared" si="765"/>
        <v>0</v>
      </c>
      <c r="CX1865" s="619"/>
      <c r="CY1865" s="619"/>
      <c r="CZ1865" s="619"/>
      <c r="DA1865" s="619"/>
      <c r="DB1865" s="619"/>
      <c r="DC1865" s="619"/>
      <c r="DD1865" s="619"/>
      <c r="DE1865" s="619"/>
      <c r="DF1865" s="619"/>
      <c r="DG1865" s="619"/>
      <c r="DH1865" s="619"/>
    </row>
    <row r="1866" s="550" customFormat="1" ht="31" customHeight="1" spans="1:113">
      <c r="A1866" s="608">
        <v>46197</v>
      </c>
      <c r="B1866" s="609" t="s">
        <v>10555</v>
      </c>
      <c r="C1866" s="610" t="s">
        <v>98</v>
      </c>
      <c r="D1866" s="727">
        <v>4500213583</v>
      </c>
      <c r="E1866" s="613">
        <v>4566070958</v>
      </c>
      <c r="F1866" s="554" t="s">
        <v>10560</v>
      </c>
      <c r="G1866" s="610" t="s">
        <v>8051</v>
      </c>
      <c r="H1866" s="610" t="s">
        <v>6102</v>
      </c>
      <c r="I1866" s="715">
        <v>312</v>
      </c>
      <c r="J1866" s="610">
        <v>0</v>
      </c>
      <c r="K1866" s="843">
        <v>6</v>
      </c>
      <c r="L1866" s="844">
        <f t="shared" si="756"/>
        <v>52</v>
      </c>
      <c r="M1866" s="845">
        <v>46246</v>
      </c>
      <c r="N1866" s="612">
        <v>46242</v>
      </c>
      <c r="O1866" s="613"/>
      <c r="P1866" s="610" t="s">
        <v>113</v>
      </c>
      <c r="Q1866" s="614"/>
      <c r="R1866" s="614">
        <v>46197</v>
      </c>
      <c r="S1866" s="614" t="s">
        <v>70</v>
      </c>
      <c r="T1866" s="818" t="s">
        <v>10557</v>
      </c>
      <c r="U1866" s="818"/>
      <c r="V1866" s="614" t="s">
        <v>10001</v>
      </c>
      <c r="W1866" s="819"/>
      <c r="X1866" s="820" t="s">
        <v>10558</v>
      </c>
      <c r="Y1866" s="616" t="s">
        <v>10559</v>
      </c>
      <c r="Z1866" s="609">
        <v>0.6067</v>
      </c>
      <c r="AA1866" s="945">
        <f t="shared" si="757"/>
        <v>189.2904</v>
      </c>
      <c r="AB1866" s="819"/>
      <c r="AC1866" s="946"/>
      <c r="AD1866" s="610" t="s">
        <v>8051</v>
      </c>
      <c r="AE1866" s="610" t="s">
        <v>82</v>
      </c>
      <c r="AF1866" s="610"/>
      <c r="AG1866" s="610"/>
      <c r="AH1866" s="609"/>
      <c r="AI1866" s="609">
        <v>312</v>
      </c>
      <c r="AJ1866" s="610">
        <f t="shared" si="753"/>
        <v>0</v>
      </c>
      <c r="AK1866" s="613"/>
      <c r="AL1866" s="610" t="s">
        <v>2368</v>
      </c>
      <c r="AM1866" s="610"/>
      <c r="AN1866" s="610">
        <f>I1866</f>
        <v>312</v>
      </c>
      <c r="AO1866" s="554"/>
      <c r="AP1866" s="556">
        <f>I1866</f>
        <v>312</v>
      </c>
      <c r="AQ1866" s="554"/>
      <c r="AR1866" s="619"/>
      <c r="AS1866" s="554"/>
      <c r="AT1866" s="554"/>
      <c r="AU1866" s="554">
        <f>I1866</f>
        <v>312</v>
      </c>
      <c r="AV1866" s="554"/>
      <c r="AW1866" s="554"/>
      <c r="AX1866" s="714"/>
      <c r="AY1866" s="554"/>
      <c r="AZ1866" s="554"/>
      <c r="BA1866" s="554"/>
      <c r="BB1866" s="620">
        <f t="shared" si="766"/>
        <v>13</v>
      </c>
      <c r="BC1866" s="554"/>
      <c r="BD1866" s="554"/>
      <c r="BE1866" s="554"/>
      <c r="BF1866" s="554"/>
      <c r="BG1866" s="550"/>
      <c r="BH1866" s="554"/>
      <c r="BI1866" s="554"/>
      <c r="BJ1866" s="554"/>
      <c r="BK1866" s="554"/>
      <c r="BL1866" s="554"/>
      <c r="BM1866" s="554"/>
      <c r="BN1866" s="554"/>
      <c r="BO1866" s="554"/>
      <c r="BP1866" s="554"/>
      <c r="BQ1866" s="554"/>
      <c r="BR1866" s="554"/>
      <c r="BS1866" s="554"/>
      <c r="BT1866" s="554">
        <f>L1866</f>
        <v>52</v>
      </c>
      <c r="BU1866" s="554"/>
      <c r="BV1866" s="554"/>
      <c r="BW1866" s="554"/>
      <c r="BX1866" s="554"/>
      <c r="BY1866" s="554"/>
      <c r="BZ1866" s="554"/>
      <c r="CA1866" s="720"/>
      <c r="CB1866" s="555"/>
      <c r="CC1866" s="721"/>
      <c r="CD1866" s="554"/>
      <c r="CE1866" s="554"/>
      <c r="CF1866" s="554"/>
      <c r="CG1866" s="554"/>
      <c r="CH1866" s="550"/>
      <c r="CI1866" s="554"/>
      <c r="CJ1866" s="554"/>
      <c r="CK1866" s="554"/>
      <c r="CL1866" s="554"/>
      <c r="CM1866" s="554"/>
      <c r="CN1866" s="554"/>
      <c r="CO1866" s="554"/>
      <c r="CP1866" s="619"/>
      <c r="CQ1866" s="619"/>
      <c r="CR1866" s="554"/>
      <c r="CS1866" s="554"/>
      <c r="CT1866" s="554"/>
      <c r="CU1866" s="554">
        <f t="shared" si="763"/>
        <v>0</v>
      </c>
      <c r="CV1866" s="554">
        <f t="shared" si="764"/>
        <v>0</v>
      </c>
      <c r="CW1866" s="554">
        <f t="shared" si="765"/>
        <v>0</v>
      </c>
      <c r="CX1866" s="619"/>
      <c r="CY1866" s="619"/>
      <c r="CZ1866" s="619"/>
      <c r="DA1866" s="619"/>
      <c r="DB1866" s="619"/>
      <c r="DC1866" s="619"/>
      <c r="DD1866" s="619"/>
      <c r="DE1866" s="619"/>
      <c r="DF1866" s="619"/>
      <c r="DG1866" s="619"/>
      <c r="DH1866" s="619"/>
    </row>
    <row r="1867" s="550" customFormat="1" ht="31" customHeight="1" spans="1:113">
      <c r="A1867" s="608">
        <v>46197</v>
      </c>
      <c r="B1867" s="609" t="s">
        <v>10555</v>
      </c>
      <c r="C1867" s="610" t="s">
        <v>98</v>
      </c>
      <c r="D1867" s="727">
        <v>4500213583</v>
      </c>
      <c r="E1867" s="613">
        <v>4566070996</v>
      </c>
      <c r="F1867" s="554" t="s">
        <v>10561</v>
      </c>
      <c r="G1867" s="610" t="s">
        <v>8051</v>
      </c>
      <c r="H1867" s="610" t="s">
        <v>6102</v>
      </c>
      <c r="I1867" s="715">
        <v>654</v>
      </c>
      <c r="J1867" s="610">
        <v>0</v>
      </c>
      <c r="K1867" s="843">
        <v>6</v>
      </c>
      <c r="L1867" s="844">
        <f t="shared" si="756"/>
        <v>109</v>
      </c>
      <c r="M1867" s="845">
        <v>46246</v>
      </c>
      <c r="N1867" s="612">
        <v>46242</v>
      </c>
      <c r="O1867" s="613"/>
      <c r="P1867" s="610" t="s">
        <v>113</v>
      </c>
      <c r="Q1867" s="614"/>
      <c r="R1867" s="614">
        <v>46197</v>
      </c>
      <c r="S1867" s="614" t="s">
        <v>70</v>
      </c>
      <c r="T1867" s="818" t="s">
        <v>10557</v>
      </c>
      <c r="U1867" s="818"/>
      <c r="V1867" s="614" t="s">
        <v>10001</v>
      </c>
      <c r="W1867" s="819"/>
      <c r="X1867" s="820" t="s">
        <v>10558</v>
      </c>
      <c r="Y1867" s="616" t="s">
        <v>10559</v>
      </c>
      <c r="Z1867" s="609">
        <v>0.6067</v>
      </c>
      <c r="AA1867" s="945">
        <f t="shared" si="757"/>
        <v>396.7818</v>
      </c>
      <c r="AB1867" s="819"/>
      <c r="AC1867" s="946"/>
      <c r="AD1867" s="610" t="s">
        <v>8051</v>
      </c>
      <c r="AE1867" s="610" t="s">
        <v>82</v>
      </c>
      <c r="AF1867" s="610"/>
      <c r="AG1867" s="610"/>
      <c r="AH1867" s="609"/>
      <c r="AI1867" s="609">
        <v>654</v>
      </c>
      <c r="AJ1867" s="610">
        <f t="shared" si="753"/>
        <v>0</v>
      </c>
      <c r="AK1867" s="613"/>
      <c r="AL1867" s="610" t="s">
        <v>2368</v>
      </c>
      <c r="AM1867" s="610"/>
      <c r="AN1867" s="610">
        <f>I1867</f>
        <v>654</v>
      </c>
      <c r="AO1867" s="554"/>
      <c r="AP1867" s="556">
        <f>I1867</f>
        <v>654</v>
      </c>
      <c r="AQ1867" s="554"/>
      <c r="AR1867" s="619"/>
      <c r="AS1867" s="554"/>
      <c r="AT1867" s="554"/>
      <c r="AU1867" s="554">
        <f>I1867</f>
        <v>654</v>
      </c>
      <c r="AV1867" s="554"/>
      <c r="AW1867" s="554"/>
      <c r="AX1867" s="714"/>
      <c r="AY1867" s="554"/>
      <c r="AZ1867" s="554"/>
      <c r="BA1867" s="554"/>
      <c r="BB1867" s="620">
        <f t="shared" si="766"/>
        <v>27.25</v>
      </c>
      <c r="BC1867" s="554"/>
      <c r="BD1867" s="554"/>
      <c r="BE1867" s="554"/>
      <c r="BF1867" s="554"/>
      <c r="BG1867" s="550"/>
      <c r="BH1867" s="554"/>
      <c r="BI1867" s="554"/>
      <c r="BJ1867" s="554"/>
      <c r="BK1867" s="554"/>
      <c r="BL1867" s="554"/>
      <c r="BM1867" s="554"/>
      <c r="BN1867" s="554"/>
      <c r="BO1867" s="554"/>
      <c r="BP1867" s="554"/>
      <c r="BQ1867" s="554"/>
      <c r="BR1867" s="554"/>
      <c r="BS1867" s="554"/>
      <c r="BT1867" s="554">
        <f>L1867</f>
        <v>109</v>
      </c>
      <c r="BU1867" s="554"/>
      <c r="BV1867" s="554"/>
      <c r="BW1867" s="554"/>
      <c r="BX1867" s="554"/>
      <c r="BY1867" s="554"/>
      <c r="BZ1867" s="554"/>
      <c r="CA1867" s="720"/>
      <c r="CB1867" s="555"/>
      <c r="CC1867" s="721"/>
      <c r="CD1867" s="554"/>
      <c r="CE1867" s="554"/>
      <c r="CF1867" s="554"/>
      <c r="CG1867" s="554"/>
      <c r="CH1867" s="550"/>
      <c r="CI1867" s="554"/>
      <c r="CJ1867" s="554"/>
      <c r="CK1867" s="554"/>
      <c r="CL1867" s="554"/>
      <c r="CM1867" s="554"/>
      <c r="CN1867" s="554"/>
      <c r="CO1867" s="554"/>
      <c r="CP1867" s="619"/>
      <c r="CQ1867" s="619"/>
      <c r="CR1867" s="554"/>
      <c r="CS1867" s="554"/>
      <c r="CT1867" s="554"/>
      <c r="CU1867" s="554">
        <f t="shared" si="763"/>
        <v>0</v>
      </c>
      <c r="CV1867" s="554">
        <f t="shared" si="764"/>
        <v>0</v>
      </c>
      <c r="CW1867" s="554">
        <f t="shared" si="765"/>
        <v>0</v>
      </c>
      <c r="CX1867" s="619"/>
      <c r="CY1867" s="619"/>
      <c r="CZ1867" s="619"/>
      <c r="DA1867" s="619"/>
      <c r="DB1867" s="619"/>
      <c r="DC1867" s="619"/>
      <c r="DD1867" s="619"/>
      <c r="DE1867" s="619"/>
      <c r="DF1867" s="619"/>
      <c r="DG1867" s="619"/>
      <c r="DH1867" s="619"/>
    </row>
    <row r="1868" s="550" customFormat="1" ht="31" customHeight="1" spans="1:113">
      <c r="A1868" s="608">
        <v>46197</v>
      </c>
      <c r="B1868" s="609" t="s">
        <v>10555</v>
      </c>
      <c r="C1868" s="610" t="s">
        <v>98</v>
      </c>
      <c r="D1868" s="727">
        <v>4500213583</v>
      </c>
      <c r="E1868" s="613">
        <v>4566071043</v>
      </c>
      <c r="F1868" s="554" t="s">
        <v>10562</v>
      </c>
      <c r="G1868" s="610" t="s">
        <v>8051</v>
      </c>
      <c r="H1868" s="610" t="s">
        <v>6102</v>
      </c>
      <c r="I1868" s="715">
        <v>342</v>
      </c>
      <c r="J1868" s="610">
        <v>0</v>
      </c>
      <c r="K1868" s="843">
        <v>6</v>
      </c>
      <c r="L1868" s="844">
        <f t="shared" si="756"/>
        <v>57</v>
      </c>
      <c r="M1868" s="845">
        <v>46246</v>
      </c>
      <c r="N1868" s="612">
        <v>46242</v>
      </c>
      <c r="O1868" s="613"/>
      <c r="P1868" s="610" t="s">
        <v>113</v>
      </c>
      <c r="Q1868" s="614"/>
      <c r="R1868" s="614">
        <v>46197</v>
      </c>
      <c r="S1868" s="614" t="s">
        <v>70</v>
      </c>
      <c r="T1868" s="818" t="s">
        <v>10557</v>
      </c>
      <c r="U1868" s="818"/>
      <c r="V1868" s="614" t="s">
        <v>10001</v>
      </c>
      <c r="W1868" s="819"/>
      <c r="X1868" s="820" t="s">
        <v>10558</v>
      </c>
      <c r="Y1868" s="616" t="s">
        <v>10559</v>
      </c>
      <c r="Z1868" s="609">
        <v>0.6067</v>
      </c>
      <c r="AA1868" s="945">
        <f t="shared" si="757"/>
        <v>207.4914</v>
      </c>
      <c r="AB1868" s="819"/>
      <c r="AC1868" s="946"/>
      <c r="AD1868" s="610" t="s">
        <v>8051</v>
      </c>
      <c r="AE1868" s="610" t="s">
        <v>82</v>
      </c>
      <c r="AF1868" s="610"/>
      <c r="AG1868" s="610"/>
      <c r="AH1868" s="609"/>
      <c r="AI1868" s="609">
        <v>342</v>
      </c>
      <c r="AJ1868" s="610">
        <f t="shared" si="753"/>
        <v>0</v>
      </c>
      <c r="AK1868" s="613"/>
      <c r="AL1868" s="610" t="s">
        <v>2368</v>
      </c>
      <c r="AM1868" s="610"/>
      <c r="AN1868" s="610">
        <f>I1868</f>
        <v>342</v>
      </c>
      <c r="AO1868" s="554"/>
      <c r="AP1868" s="556">
        <f>I1868</f>
        <v>342</v>
      </c>
      <c r="AQ1868" s="554"/>
      <c r="AR1868" s="619"/>
      <c r="AS1868" s="554"/>
      <c r="AT1868" s="554"/>
      <c r="AU1868" s="554">
        <f>I1868</f>
        <v>342</v>
      </c>
      <c r="AV1868" s="554"/>
      <c r="AW1868" s="554"/>
      <c r="AX1868" s="714"/>
      <c r="AY1868" s="554"/>
      <c r="AZ1868" s="554"/>
      <c r="BA1868" s="554"/>
      <c r="BB1868" s="620">
        <f t="shared" si="766"/>
        <v>14.25</v>
      </c>
      <c r="BC1868" s="554"/>
      <c r="BD1868" s="554"/>
      <c r="BE1868" s="554"/>
      <c r="BF1868" s="554"/>
      <c r="BG1868" s="550"/>
      <c r="BH1868" s="554"/>
      <c r="BI1868" s="554"/>
      <c r="BJ1868" s="554"/>
      <c r="BK1868" s="554"/>
      <c r="BL1868" s="554"/>
      <c r="BM1868" s="554"/>
      <c r="BN1868" s="554"/>
      <c r="BO1868" s="554"/>
      <c r="BP1868" s="554"/>
      <c r="BQ1868" s="554"/>
      <c r="BR1868" s="554"/>
      <c r="BS1868" s="554"/>
      <c r="BT1868" s="554">
        <f>L1868</f>
        <v>57</v>
      </c>
      <c r="BU1868" s="554"/>
      <c r="BV1868" s="554"/>
      <c r="BW1868" s="554"/>
      <c r="BX1868" s="554"/>
      <c r="BY1868" s="554"/>
      <c r="BZ1868" s="554"/>
      <c r="CA1868" s="720"/>
      <c r="CB1868" s="555"/>
      <c r="CC1868" s="721"/>
      <c r="CD1868" s="554"/>
      <c r="CE1868" s="554"/>
      <c r="CF1868" s="554"/>
      <c r="CG1868" s="554"/>
      <c r="CH1868" s="550"/>
      <c r="CI1868" s="554"/>
      <c r="CJ1868" s="554"/>
      <c r="CK1868" s="554"/>
      <c r="CL1868" s="554"/>
      <c r="CM1868" s="554"/>
      <c r="CN1868" s="554"/>
      <c r="CO1868" s="554"/>
      <c r="CP1868" s="619"/>
      <c r="CQ1868" s="619"/>
      <c r="CR1868" s="554"/>
      <c r="CS1868" s="554"/>
      <c r="CT1868" s="554"/>
      <c r="CU1868" s="554">
        <f t="shared" si="763"/>
        <v>0</v>
      </c>
      <c r="CV1868" s="554">
        <f t="shared" si="764"/>
        <v>0</v>
      </c>
      <c r="CW1868" s="554">
        <f t="shared" si="765"/>
        <v>0</v>
      </c>
      <c r="CX1868" s="619"/>
      <c r="CY1868" s="619"/>
      <c r="CZ1868" s="619"/>
      <c r="DA1868" s="619"/>
      <c r="DB1868" s="619"/>
      <c r="DC1868" s="619"/>
      <c r="DD1868" s="619"/>
      <c r="DE1868" s="619"/>
      <c r="DF1868" s="619"/>
      <c r="DG1868" s="619"/>
      <c r="DH1868" s="619"/>
    </row>
    <row r="1869" s="550" customFormat="1" ht="31" customHeight="1" spans="1:113">
      <c r="A1869" s="608">
        <v>46197</v>
      </c>
      <c r="B1869" s="609" t="s">
        <v>10555</v>
      </c>
      <c r="C1869" s="610" t="s">
        <v>98</v>
      </c>
      <c r="D1869" s="727">
        <v>4500213583</v>
      </c>
      <c r="E1869" s="613">
        <v>4566071013</v>
      </c>
      <c r="F1869" s="554" t="s">
        <v>10563</v>
      </c>
      <c r="G1869" s="610" t="s">
        <v>8051</v>
      </c>
      <c r="H1869" s="610" t="s">
        <v>6102</v>
      </c>
      <c r="I1869" s="715">
        <v>1998</v>
      </c>
      <c r="J1869" s="610">
        <v>0</v>
      </c>
      <c r="K1869" s="843">
        <v>6</v>
      </c>
      <c r="L1869" s="844">
        <f t="shared" si="756"/>
        <v>333</v>
      </c>
      <c r="M1869" s="845">
        <v>46246</v>
      </c>
      <c r="N1869" s="612">
        <v>46242</v>
      </c>
      <c r="O1869" s="613"/>
      <c r="P1869" s="610" t="s">
        <v>113</v>
      </c>
      <c r="Q1869" s="614"/>
      <c r="R1869" s="614">
        <v>46197</v>
      </c>
      <c r="S1869" s="614" t="s">
        <v>70</v>
      </c>
      <c r="T1869" s="818" t="s">
        <v>10557</v>
      </c>
      <c r="U1869" s="818"/>
      <c r="V1869" s="614" t="s">
        <v>10001</v>
      </c>
      <c r="W1869" s="819"/>
      <c r="X1869" s="820" t="s">
        <v>10558</v>
      </c>
      <c r="Y1869" s="616" t="s">
        <v>10559</v>
      </c>
      <c r="Z1869" s="609">
        <v>0.6034</v>
      </c>
      <c r="AA1869" s="945">
        <f t="shared" si="757"/>
        <v>1205.5932</v>
      </c>
      <c r="AB1869" s="819"/>
      <c r="AC1869" s="946"/>
      <c r="AD1869" s="610" t="s">
        <v>8051</v>
      </c>
      <c r="AE1869" s="610" t="s">
        <v>82</v>
      </c>
      <c r="AF1869" s="610"/>
      <c r="AG1869" s="610"/>
      <c r="AH1869" s="609"/>
      <c r="AI1869" s="609">
        <v>1998</v>
      </c>
      <c r="AJ1869" s="610">
        <f t="shared" si="753"/>
        <v>0</v>
      </c>
      <c r="AK1869" s="613"/>
      <c r="AL1869" s="610" t="s">
        <v>2368</v>
      </c>
      <c r="AM1869" s="610"/>
      <c r="AN1869" s="610">
        <f>I1869</f>
        <v>1998</v>
      </c>
      <c r="AO1869" s="554"/>
      <c r="AP1869" s="556">
        <f>I1869</f>
        <v>1998</v>
      </c>
      <c r="AQ1869" s="554"/>
      <c r="AR1869" s="619"/>
      <c r="AS1869" s="554"/>
      <c r="AT1869" s="554"/>
      <c r="AU1869" s="554">
        <f>I1869</f>
        <v>1998</v>
      </c>
      <c r="AV1869" s="554"/>
      <c r="AW1869" s="554"/>
      <c r="AX1869" s="714"/>
      <c r="AY1869" s="554"/>
      <c r="AZ1869" s="554"/>
      <c r="BA1869" s="554"/>
      <c r="BB1869" s="620">
        <f t="shared" si="766"/>
        <v>83.25</v>
      </c>
      <c r="BC1869" s="554"/>
      <c r="BD1869" s="554"/>
      <c r="BE1869" s="554"/>
      <c r="BF1869" s="554"/>
      <c r="BG1869" s="550"/>
      <c r="BH1869" s="554"/>
      <c r="BI1869" s="554"/>
      <c r="BJ1869" s="554"/>
      <c r="BK1869" s="554"/>
      <c r="BL1869" s="554"/>
      <c r="BM1869" s="554"/>
      <c r="BN1869" s="554"/>
      <c r="BO1869" s="554"/>
      <c r="BP1869" s="554"/>
      <c r="BQ1869" s="554"/>
      <c r="BR1869" s="554"/>
      <c r="BS1869" s="554"/>
      <c r="BT1869" s="554">
        <f>L1869</f>
        <v>333</v>
      </c>
      <c r="BU1869" s="554"/>
      <c r="BV1869" s="554"/>
      <c r="BW1869" s="554"/>
      <c r="BX1869" s="554"/>
      <c r="BY1869" s="554"/>
      <c r="BZ1869" s="554"/>
      <c r="CA1869" s="720"/>
      <c r="CB1869" s="555"/>
      <c r="CC1869" s="721"/>
      <c r="CD1869" s="554"/>
      <c r="CE1869" s="554"/>
      <c r="CF1869" s="554"/>
      <c r="CG1869" s="554"/>
      <c r="CH1869" s="550"/>
      <c r="CI1869" s="554"/>
      <c r="CJ1869" s="554"/>
      <c r="CK1869" s="554"/>
      <c r="CL1869" s="554"/>
      <c r="CM1869" s="554"/>
      <c r="CN1869" s="554"/>
      <c r="CO1869" s="554"/>
      <c r="CP1869" s="619"/>
      <c r="CQ1869" s="619"/>
      <c r="CR1869" s="554"/>
      <c r="CS1869" s="554"/>
      <c r="CT1869" s="554"/>
      <c r="CU1869" s="554">
        <f t="shared" si="763"/>
        <v>0</v>
      </c>
      <c r="CV1869" s="554">
        <f t="shared" si="764"/>
        <v>0</v>
      </c>
      <c r="CW1869" s="554">
        <f t="shared" si="765"/>
        <v>0</v>
      </c>
      <c r="CX1869" s="619"/>
      <c r="CY1869" s="619"/>
      <c r="CZ1869" s="619"/>
      <c r="DA1869" s="619"/>
      <c r="DB1869" s="619"/>
      <c r="DC1869" s="619"/>
      <c r="DD1869" s="619"/>
      <c r="DE1869" s="619"/>
      <c r="DF1869" s="619"/>
      <c r="DG1869" s="619"/>
      <c r="DH1869" s="619"/>
    </row>
    <row r="1870" s="550" customFormat="1" ht="31" customHeight="1" spans="1:113">
      <c r="A1870" s="867">
        <v>46148</v>
      </c>
      <c r="B1870" s="605" t="s">
        <v>2362</v>
      </c>
      <c r="C1870" s="589" t="s">
        <v>524</v>
      </c>
      <c r="D1870" s="886">
        <v>4500205047</v>
      </c>
      <c r="E1870" s="873">
        <v>62109803</v>
      </c>
      <c r="F1870" s="557" t="s">
        <v>5287</v>
      </c>
      <c r="G1870" s="589" t="s">
        <v>6337</v>
      </c>
      <c r="H1870" s="589" t="s">
        <v>477</v>
      </c>
      <c r="I1870" s="868">
        <v>3000</v>
      </c>
      <c r="J1870" s="589">
        <v>0</v>
      </c>
      <c r="K1870" s="589">
        <v>6</v>
      </c>
      <c r="L1870" s="901">
        <f t="shared" si="756"/>
        <v>500</v>
      </c>
      <c r="M1870" s="872">
        <v>46223</v>
      </c>
      <c r="N1870" s="908">
        <v>46240</v>
      </c>
      <c r="O1870" s="873"/>
      <c r="P1870" s="947" t="s">
        <v>113</v>
      </c>
      <c r="Q1870" s="874">
        <v>46242</v>
      </c>
      <c r="R1870" s="874">
        <v>46198</v>
      </c>
      <c r="S1870" s="902" t="s">
        <v>70</v>
      </c>
      <c r="T1870" s="948" t="s">
        <v>10564</v>
      </c>
      <c r="U1870" s="948" t="s">
        <v>5289</v>
      </c>
      <c r="V1870" s="948"/>
      <c r="W1870" s="903"/>
      <c r="X1870" s="904" t="s">
        <v>5290</v>
      </c>
      <c r="Y1870" s="876" t="s">
        <v>529</v>
      </c>
      <c r="Z1870" s="605">
        <v>6.6995</v>
      </c>
      <c r="AA1870" s="876">
        <f t="shared" si="757"/>
        <v>20098.5</v>
      </c>
      <c r="AC1870" s="877"/>
      <c r="AD1870" s="589" t="s">
        <v>480</v>
      </c>
      <c r="AE1870" s="589" t="s">
        <v>82</v>
      </c>
      <c r="AF1870" s="589"/>
      <c r="AG1870" s="589"/>
      <c r="AH1870" s="605"/>
      <c r="AI1870" s="605">
        <v>3000</v>
      </c>
      <c r="AJ1870" s="589">
        <f t="shared" si="753"/>
        <v>0</v>
      </c>
      <c r="AK1870" s="873"/>
      <c r="AL1870" s="589" t="s">
        <v>454</v>
      </c>
      <c r="AM1870" s="589"/>
      <c r="AN1870" s="557"/>
      <c r="AO1870" s="557">
        <f>I1870*2</f>
        <v>6000</v>
      </c>
      <c r="AP1870" s="557"/>
      <c r="AQ1870" s="557"/>
      <c r="AR1870" s="878"/>
      <c r="AS1870" s="557"/>
      <c r="AT1870" s="557">
        <f>I1870*2</f>
        <v>6000</v>
      </c>
      <c r="AU1870" s="557"/>
      <c r="AV1870" s="557">
        <f>I1870*2</f>
        <v>6000</v>
      </c>
      <c r="AW1870" s="557"/>
      <c r="AX1870" s="879"/>
      <c r="AY1870" s="557"/>
      <c r="AZ1870" s="557"/>
      <c r="BA1870" s="557"/>
      <c r="BB1870" s="888">
        <f>I1870/24*2</f>
        <v>250</v>
      </c>
      <c r="BC1870" s="557"/>
      <c r="BD1870" s="557"/>
      <c r="BE1870" s="557"/>
      <c r="BF1870" s="557"/>
      <c r="BG1870" s="550"/>
      <c r="BH1870" s="557"/>
      <c r="BI1870" s="557"/>
      <c r="BJ1870" s="557"/>
      <c r="BK1870" s="557"/>
      <c r="BL1870" s="557"/>
      <c r="BM1870" s="557"/>
      <c r="BN1870" s="557"/>
      <c r="BO1870" s="557"/>
      <c r="BP1870" s="557"/>
      <c r="BQ1870" s="557"/>
      <c r="BR1870" s="557"/>
      <c r="BS1870" s="557"/>
      <c r="BT1870" s="557"/>
      <c r="BU1870" s="557"/>
      <c r="BV1870" s="557"/>
      <c r="BW1870" s="557"/>
      <c r="BX1870" s="557"/>
      <c r="BY1870" s="557"/>
      <c r="BZ1870" s="557"/>
      <c r="CA1870" s="880"/>
      <c r="CB1870" s="881"/>
      <c r="CC1870" s="882"/>
      <c r="CD1870" s="878">
        <f>I1870</f>
        <v>3000</v>
      </c>
      <c r="CE1870" s="557"/>
      <c r="CF1870" s="557"/>
      <c r="CG1870" s="557"/>
      <c r="CH1870" s="550"/>
      <c r="CI1870" s="557"/>
      <c r="CJ1870" s="557"/>
      <c r="CK1870" s="557"/>
      <c r="CL1870" s="557"/>
      <c r="CM1870" s="557"/>
      <c r="CN1870" s="557"/>
      <c r="CO1870" s="557"/>
      <c r="CP1870" s="878"/>
      <c r="CQ1870" s="878"/>
      <c r="CR1870" s="557"/>
      <c r="CS1870" s="557"/>
      <c r="CT1870" s="557"/>
      <c r="CU1870" s="557">
        <f t="shared" si="763"/>
        <v>0</v>
      </c>
      <c r="CV1870" s="557">
        <v>0</v>
      </c>
      <c r="CW1870" s="557">
        <v>0</v>
      </c>
      <c r="CX1870" s="878"/>
      <c r="CY1870" s="878"/>
      <c r="CZ1870" s="878"/>
      <c r="DA1870" s="878"/>
      <c r="DB1870" s="878"/>
      <c r="DC1870" s="878"/>
      <c r="DD1870" s="878"/>
      <c r="DE1870" s="878"/>
      <c r="DF1870" s="878"/>
      <c r="DG1870" s="878"/>
      <c r="DH1870" s="878"/>
      <c r="DI1870" s="557"/>
    </row>
    <row r="1871" s="555" customFormat="1" ht="31" customHeight="1" spans="1:113">
      <c r="A1871" s="889">
        <v>46189</v>
      </c>
      <c r="B1871" s="819" t="s">
        <v>169</v>
      </c>
      <c r="C1871" s="890" t="s">
        <v>170</v>
      </c>
      <c r="D1871" s="891">
        <v>4500212396</v>
      </c>
      <c r="E1871" s="892">
        <v>7000995956</v>
      </c>
      <c r="F1871" s="555" t="s">
        <v>5293</v>
      </c>
      <c r="G1871" s="890" t="s">
        <v>10565</v>
      </c>
      <c r="H1871" s="890" t="s">
        <v>477</v>
      </c>
      <c r="I1871" s="893">
        <v>2700</v>
      </c>
      <c r="J1871" s="890">
        <v>0</v>
      </c>
      <c r="K1871" s="890">
        <v>2</v>
      </c>
      <c r="L1871" s="844">
        <f t="shared" si="756"/>
        <v>1350</v>
      </c>
      <c r="M1871" s="887">
        <v>46239</v>
      </c>
      <c r="N1871" s="887">
        <v>46234</v>
      </c>
      <c r="O1871" s="949" t="s">
        <v>5295</v>
      </c>
      <c r="P1871" s="890" t="s">
        <v>113</v>
      </c>
      <c r="Q1871" s="862"/>
      <c r="R1871" s="862">
        <v>46209</v>
      </c>
      <c r="S1871" s="862" t="s">
        <v>70</v>
      </c>
      <c r="T1871" s="862" t="s">
        <v>70</v>
      </c>
      <c r="U1871" s="862"/>
      <c r="V1871" s="862"/>
      <c r="W1871" s="819" t="s">
        <v>10566</v>
      </c>
      <c r="X1871" s="937" t="s">
        <v>10567</v>
      </c>
      <c r="Y1871" s="894" t="s">
        <v>2071</v>
      </c>
      <c r="Z1871" s="819">
        <v>6.27</v>
      </c>
      <c r="AA1871" s="894">
        <f t="shared" si="757"/>
        <v>16929</v>
      </c>
      <c r="AB1871" s="626" t="s">
        <v>5611</v>
      </c>
      <c r="AC1871" s="697"/>
      <c r="AD1871" s="890" t="s">
        <v>5300</v>
      </c>
      <c r="AE1871" s="890" t="s">
        <v>82</v>
      </c>
      <c r="AF1871" s="890"/>
      <c r="AG1871" s="890"/>
      <c r="AH1871" s="819"/>
      <c r="AI1871" s="819">
        <f>586+2114</f>
        <v>2700</v>
      </c>
      <c r="AJ1871" s="890">
        <f t="shared" si="753"/>
        <v>0</v>
      </c>
      <c r="AK1871" s="892"/>
      <c r="AL1871" s="890"/>
      <c r="AM1871" s="890"/>
      <c r="AN1871" s="890">
        <f>I1871*2</f>
        <v>5400</v>
      </c>
      <c r="AQ1871" s="555">
        <f>I1871*2</f>
        <v>5400</v>
      </c>
      <c r="AR1871" s="895"/>
      <c r="AS1871" s="555"/>
      <c r="AT1871" s="555"/>
      <c r="AU1871" s="555">
        <f>I1871*2</f>
        <v>5400</v>
      </c>
      <c r="AX1871" s="896"/>
      <c r="AY1871" s="555"/>
      <c r="AZ1871" s="555"/>
      <c r="BA1871" s="555"/>
      <c r="BB1871" s="897">
        <f>I1871/24*2</f>
        <v>225</v>
      </c>
      <c r="CA1871" s="895"/>
      <c r="CB1871" s="819">
        <f>I1871</f>
        <v>2700</v>
      </c>
      <c r="CP1871" s="895"/>
      <c r="CQ1871" s="895"/>
      <c r="CR1871" s="555"/>
      <c r="CS1871" s="555"/>
      <c r="CT1871" s="555"/>
      <c r="CU1871" s="555">
        <f t="shared" si="763"/>
        <v>0</v>
      </c>
      <c r="CV1871" s="555">
        <f>CK1871+CL1871+CM1871+CN1871+CO1871+CQ1871+CP1871</f>
        <v>0</v>
      </c>
      <c r="CW1871" s="555">
        <f>CI1871+CJ1871</f>
        <v>0</v>
      </c>
      <c r="CX1871" s="895"/>
      <c r="CY1871" s="895"/>
      <c r="CZ1871" s="895"/>
      <c r="DA1871" s="895"/>
      <c r="DB1871" s="895"/>
      <c r="DC1871" s="895"/>
      <c r="DD1871" s="895"/>
      <c r="DE1871" s="895"/>
      <c r="DF1871" s="895"/>
      <c r="DG1871" s="895"/>
      <c r="DH1871" s="895"/>
    </row>
    <row r="1872" s="550" customFormat="1" ht="31" customHeight="1" spans="1:113">
      <c r="A1872" s="608">
        <v>46169</v>
      </c>
      <c r="B1872" s="609" t="s">
        <v>2734</v>
      </c>
      <c r="C1872" s="610" t="s">
        <v>98</v>
      </c>
      <c r="D1872" s="727">
        <v>4500208312</v>
      </c>
      <c r="E1872" s="613">
        <v>60302385</v>
      </c>
      <c r="F1872" s="554" t="s">
        <v>5318</v>
      </c>
      <c r="G1872" s="610" t="s">
        <v>8520</v>
      </c>
      <c r="H1872" s="610" t="s">
        <v>8521</v>
      </c>
      <c r="I1872" s="715">
        <v>5400</v>
      </c>
      <c r="J1872" s="610">
        <v>0</v>
      </c>
      <c r="K1872" s="610">
        <v>8</v>
      </c>
      <c r="L1872" s="611">
        <f t="shared" si="756"/>
        <v>675</v>
      </c>
      <c r="M1872" s="612">
        <v>46241</v>
      </c>
      <c r="N1872" s="612">
        <v>46237</v>
      </c>
      <c r="O1872" s="613"/>
      <c r="P1872" s="610" t="s">
        <v>113</v>
      </c>
      <c r="Q1872" s="614"/>
      <c r="R1872" s="614">
        <v>46169</v>
      </c>
      <c r="S1872" s="614" t="s">
        <v>70</v>
      </c>
      <c r="T1872" s="614" t="s">
        <v>5650</v>
      </c>
      <c r="U1872" s="614"/>
      <c r="V1872" s="614"/>
      <c r="W1872" s="573"/>
      <c r="X1872" s="609" t="s">
        <v>5319</v>
      </c>
      <c r="Y1872" s="616" t="s">
        <v>1318</v>
      </c>
      <c r="Z1872" s="609">
        <v>4.0382</v>
      </c>
      <c r="AA1872" s="616">
        <f t="shared" si="757"/>
        <v>21806.28</v>
      </c>
      <c r="AC1872" s="697"/>
      <c r="AD1872" s="610" t="s">
        <v>2741</v>
      </c>
      <c r="AE1872" s="610" t="s">
        <v>82</v>
      </c>
      <c r="AF1872" s="610"/>
      <c r="AG1872" s="610"/>
      <c r="AH1872" s="609"/>
      <c r="AI1872" s="609">
        <f>864+4536</f>
        <v>5400</v>
      </c>
      <c r="AJ1872" s="610">
        <f t="shared" si="753"/>
        <v>0</v>
      </c>
      <c r="AK1872" s="613"/>
      <c r="AL1872" s="610" t="s">
        <v>2368</v>
      </c>
      <c r="AM1872" s="610"/>
      <c r="AN1872" s="610">
        <f>I1872*2</f>
        <v>10800</v>
      </c>
      <c r="AO1872" s="554"/>
      <c r="AP1872" s="554">
        <f>I1872*2</f>
        <v>10800</v>
      </c>
      <c r="AQ1872" s="554"/>
      <c r="AR1872" s="619"/>
      <c r="AS1872" s="554"/>
      <c r="AT1872" s="554"/>
      <c r="AU1872" s="554">
        <f>I1872*2</f>
        <v>10800</v>
      </c>
      <c r="AV1872" s="554"/>
      <c r="AW1872" s="554"/>
      <c r="AX1872" s="714"/>
      <c r="AY1872" s="554"/>
      <c r="AZ1872" s="554"/>
      <c r="BA1872" s="554"/>
      <c r="BB1872" s="620">
        <f>I1872/24*2</f>
        <v>450</v>
      </c>
      <c r="BC1872" s="554"/>
      <c r="BD1872" s="554"/>
      <c r="BE1872" s="554"/>
      <c r="BF1872" s="554"/>
      <c r="BG1872" s="550"/>
      <c r="BH1872" s="554"/>
      <c r="BI1872" s="554"/>
      <c r="BJ1872" s="554"/>
      <c r="BK1872" s="554"/>
      <c r="BL1872" s="554"/>
      <c r="BM1872" s="554"/>
      <c r="BN1872" s="554"/>
      <c r="BO1872" s="554"/>
      <c r="BP1872" s="554"/>
      <c r="BQ1872" s="554"/>
      <c r="BR1872" s="554"/>
      <c r="BS1872" s="554"/>
      <c r="BT1872" s="554"/>
      <c r="BU1872" s="554"/>
      <c r="BV1872" s="554"/>
      <c r="BW1872" s="554"/>
      <c r="BX1872" s="554"/>
      <c r="BY1872" s="554"/>
      <c r="BZ1872" s="554"/>
      <c r="CA1872" s="621">
        <f>I1872</f>
        <v>5400</v>
      </c>
      <c r="CB1872" s="555"/>
      <c r="CC1872" s="622"/>
      <c r="CD1872" s="619"/>
      <c r="CE1872" s="619"/>
      <c r="CF1872" s="554"/>
      <c r="CG1872" s="554"/>
      <c r="CH1872" s="550"/>
      <c r="CI1872" s="554"/>
      <c r="CJ1872" s="554"/>
      <c r="CK1872" s="554"/>
      <c r="CL1872" s="554"/>
      <c r="CM1872" s="554"/>
      <c r="CN1872" s="554"/>
      <c r="CO1872" s="554"/>
      <c r="CP1872" s="619"/>
      <c r="CQ1872" s="619"/>
      <c r="CR1872" s="554"/>
      <c r="CS1872" s="554"/>
      <c r="CT1872" s="554"/>
      <c r="CU1872" s="554">
        <f t="shared" si="763"/>
        <v>0</v>
      </c>
      <c r="CV1872" s="554">
        <f>CK1872+CL1872+CM1872+CN1872+CO1872+CQ1872+CP1872</f>
        <v>0</v>
      </c>
      <c r="CW1872" s="554">
        <f>CI1872+CJ1872</f>
        <v>0</v>
      </c>
      <c r="CX1872" s="619"/>
      <c r="CY1872" s="619"/>
      <c r="CZ1872" s="619"/>
      <c r="DA1872" s="619"/>
      <c r="DB1872" s="619"/>
      <c r="DC1872" s="619"/>
      <c r="DD1872" s="619"/>
      <c r="DE1872" s="619"/>
      <c r="DF1872" s="619"/>
      <c r="DG1872" s="619"/>
      <c r="DH1872" s="619"/>
      <c r="DI1872" s="554"/>
    </row>
    <row r="1873" s="550" customFormat="1" ht="31" customHeight="1" spans="1:112">
      <c r="A1873" s="867">
        <v>46203</v>
      </c>
      <c r="B1873" s="605" t="s">
        <v>3996</v>
      </c>
      <c r="C1873" s="589" t="s">
        <v>278</v>
      </c>
      <c r="D1873" s="886">
        <v>4500214424</v>
      </c>
      <c r="E1873" s="873">
        <v>50817993</v>
      </c>
      <c r="F1873" s="557" t="s">
        <v>5310</v>
      </c>
      <c r="G1873" s="589" t="s">
        <v>6337</v>
      </c>
      <c r="H1873" s="589" t="s">
        <v>477</v>
      </c>
      <c r="I1873" s="868">
        <v>6000</v>
      </c>
      <c r="J1873" s="589">
        <v>0</v>
      </c>
      <c r="K1873" s="869">
        <v>6</v>
      </c>
      <c r="L1873" s="870">
        <f t="shared" si="756"/>
        <v>1000</v>
      </c>
      <c r="M1873" s="871">
        <v>46241</v>
      </c>
      <c r="N1873" s="872">
        <v>46237</v>
      </c>
      <c r="O1873" s="873"/>
      <c r="P1873" s="589" t="s">
        <v>10568</v>
      </c>
      <c r="Q1873" s="874"/>
      <c r="R1873" s="874">
        <v>46203</v>
      </c>
      <c r="S1873" s="614" t="s">
        <v>70</v>
      </c>
      <c r="T1873" s="874" t="s">
        <v>10569</v>
      </c>
      <c r="U1873" s="874"/>
      <c r="V1873" s="874"/>
      <c r="W1873" s="573"/>
      <c r="X1873" s="605" t="s">
        <v>10570</v>
      </c>
      <c r="Y1873" s="876" t="s">
        <v>2199</v>
      </c>
      <c r="Z1873" s="605">
        <v>6.9324</v>
      </c>
      <c r="AA1873" s="876">
        <f t="shared" si="757"/>
        <v>41594.4</v>
      </c>
      <c r="AB1873" s="573"/>
      <c r="AC1873" s="877"/>
      <c r="AD1873" s="610" t="s">
        <v>480</v>
      </c>
      <c r="AE1873" s="589" t="s">
        <v>82</v>
      </c>
      <c r="AF1873" s="589"/>
      <c r="AG1873" s="589"/>
      <c r="AH1873" s="605"/>
      <c r="AI1873" s="609">
        <v>6000</v>
      </c>
      <c r="AJ1873" s="610">
        <f t="shared" si="753"/>
        <v>0</v>
      </c>
      <c r="AK1873" s="873"/>
      <c r="AL1873" s="589" t="s">
        <v>2368</v>
      </c>
      <c r="AM1873" s="589"/>
      <c r="AN1873" s="589"/>
      <c r="AO1873" s="557">
        <f>I1873*2</f>
        <v>12000</v>
      </c>
      <c r="AP1873" s="557"/>
      <c r="AQ1873" s="557"/>
      <c r="AR1873" s="878"/>
      <c r="AS1873" s="557"/>
      <c r="AT1873" s="554">
        <f>I1873*2</f>
        <v>12000</v>
      </c>
      <c r="AU1873" s="554"/>
      <c r="AV1873" s="554">
        <f>I1873</f>
        <v>6000</v>
      </c>
      <c r="AW1873" s="557"/>
      <c r="AX1873" s="879"/>
      <c r="AY1873" s="557"/>
      <c r="AZ1873" s="557"/>
      <c r="BA1873" s="557"/>
      <c r="BB1873" s="620">
        <f>I1873/24*2</f>
        <v>500</v>
      </c>
      <c r="BC1873" s="557"/>
      <c r="BD1873" s="557"/>
      <c r="BE1873" s="557"/>
      <c r="BF1873" s="880"/>
      <c r="BG1873" s="881"/>
      <c r="BH1873" s="882"/>
      <c r="BI1873" s="557"/>
      <c r="BJ1873" s="557"/>
      <c r="BK1873" s="557"/>
      <c r="BL1873" s="557"/>
      <c r="BM1873" s="557"/>
      <c r="BN1873" s="557"/>
      <c r="BO1873" s="557"/>
      <c r="BP1873" s="557"/>
      <c r="BQ1873" s="557"/>
      <c r="BR1873" s="557"/>
      <c r="BS1873" s="557"/>
      <c r="BT1873" s="557"/>
      <c r="BU1873" s="557"/>
      <c r="BV1873" s="557"/>
      <c r="BW1873" s="557"/>
      <c r="BX1873" s="557"/>
      <c r="BY1873" s="557"/>
      <c r="BZ1873" s="554">
        <f>I1873</f>
        <v>6000</v>
      </c>
      <c r="CA1873" s="883"/>
      <c r="CB1873" s="555"/>
      <c r="CC1873" s="882"/>
      <c r="CD1873" s="557"/>
      <c r="CE1873" s="557"/>
      <c r="CF1873" s="557"/>
      <c r="CG1873" s="880"/>
      <c r="CH1873" s="881"/>
      <c r="CI1873" s="882"/>
      <c r="CJ1873" s="557"/>
      <c r="CK1873" s="557"/>
      <c r="CL1873" s="557"/>
      <c r="CM1873" s="557"/>
      <c r="CN1873" s="557"/>
      <c r="CO1873" s="557"/>
      <c r="CP1873" s="878"/>
      <c r="CQ1873" s="878"/>
      <c r="CR1873" s="557"/>
      <c r="CS1873" s="557"/>
      <c r="CT1873" s="557"/>
      <c r="CU1873" s="554">
        <f t="shared" si="763"/>
        <v>0</v>
      </c>
      <c r="CV1873" s="554">
        <v>0</v>
      </c>
      <c r="CW1873" s="554">
        <v>0</v>
      </c>
      <c r="CX1873" s="878"/>
      <c r="CY1873" s="878"/>
      <c r="CZ1873" s="878"/>
      <c r="DA1873" s="878"/>
      <c r="DB1873" s="878"/>
      <c r="DC1873" s="878"/>
      <c r="DD1873" s="878"/>
      <c r="DE1873" s="878"/>
      <c r="DF1873" s="878"/>
      <c r="DG1873" s="878"/>
      <c r="DH1873" s="878"/>
    </row>
    <row r="1874" s="550" customFormat="1" ht="31" customHeight="1" spans="1:112">
      <c r="A1874" s="867">
        <v>46203</v>
      </c>
      <c r="B1874" s="605" t="s">
        <v>5157</v>
      </c>
      <c r="C1874" s="589" t="s">
        <v>128</v>
      </c>
      <c r="D1874" s="557">
        <v>4500206916</v>
      </c>
      <c r="E1874" s="589">
        <v>21796482</v>
      </c>
      <c r="F1874" s="557" t="s">
        <v>10571</v>
      </c>
      <c r="G1874" s="589" t="s">
        <v>6093</v>
      </c>
      <c r="H1874" s="589" t="s">
        <v>6094</v>
      </c>
      <c r="I1874" s="868">
        <v>1313</v>
      </c>
      <c r="J1874" s="589">
        <v>0</v>
      </c>
      <c r="K1874" s="869">
        <v>13</v>
      </c>
      <c r="L1874" s="870">
        <f t="shared" si="756"/>
        <v>101</v>
      </c>
      <c r="M1874" s="871">
        <v>46244</v>
      </c>
      <c r="N1874" s="885">
        <v>46242</v>
      </c>
      <c r="O1874" s="873"/>
      <c r="P1874" s="589" t="s">
        <v>113</v>
      </c>
      <c r="Q1874" s="874"/>
      <c r="R1874" s="874">
        <v>46210</v>
      </c>
      <c r="S1874" s="614" t="s">
        <v>104</v>
      </c>
      <c r="T1874" s="614" t="s">
        <v>10572</v>
      </c>
      <c r="U1874" s="902"/>
      <c r="V1874" s="902"/>
      <c r="W1874" s="819"/>
      <c r="X1874" s="904" t="s">
        <v>10573</v>
      </c>
      <c r="Y1874" s="876" t="s">
        <v>5163</v>
      </c>
      <c r="Z1874" s="605">
        <v>0.9815</v>
      </c>
      <c r="AA1874" s="876">
        <f t="shared" si="757"/>
        <v>1288.7095</v>
      </c>
      <c r="AB1874" s="573"/>
      <c r="AC1874" s="877"/>
      <c r="AD1874" s="610" t="s">
        <v>6093</v>
      </c>
      <c r="AE1874" s="589" t="s">
        <v>82</v>
      </c>
      <c r="AF1874" s="589"/>
      <c r="AG1874" s="589"/>
      <c r="AH1874" s="605"/>
      <c r="AI1874" s="609">
        <v>1313</v>
      </c>
      <c r="AJ1874" s="610">
        <f t="shared" si="753"/>
        <v>0</v>
      </c>
      <c r="AK1874" s="873"/>
      <c r="AL1874" s="589" t="s">
        <v>2368</v>
      </c>
      <c r="AM1874" s="589"/>
      <c r="AN1874" s="589"/>
      <c r="AO1874" s="557">
        <f>I1874</f>
        <v>1313</v>
      </c>
      <c r="AP1874" s="557"/>
      <c r="AQ1874" s="557"/>
      <c r="AR1874" s="878"/>
      <c r="AS1874" s="557"/>
      <c r="AT1874" s="554">
        <f>I1874</f>
        <v>1313</v>
      </c>
      <c r="AU1874" s="554"/>
      <c r="AV1874" s="554">
        <f>I1874</f>
        <v>1313</v>
      </c>
      <c r="AW1874" s="619"/>
      <c r="AX1874" s="554"/>
      <c r="AY1874" s="557"/>
      <c r="AZ1874" s="557"/>
      <c r="BA1874" s="714"/>
      <c r="BB1874" s="620">
        <f t="shared" ref="BB1874:BB1879" si="767">I1874/24</f>
        <v>54.7083333333333</v>
      </c>
      <c r="BC1874" s="557"/>
      <c r="BD1874" s="557"/>
      <c r="BE1874" s="557"/>
      <c r="BF1874" s="880"/>
      <c r="BG1874" s="881"/>
      <c r="BH1874" s="882"/>
      <c r="BI1874" s="557"/>
      <c r="BJ1874" s="557"/>
      <c r="BK1874" s="557"/>
      <c r="BL1874" s="557"/>
      <c r="BM1874" s="554">
        <f>I1874/13</f>
        <v>101</v>
      </c>
      <c r="BN1874" s="557"/>
      <c r="BO1874" s="557"/>
      <c r="BP1874" s="557"/>
      <c r="BQ1874" s="557"/>
      <c r="BR1874" s="557"/>
      <c r="BS1874" s="557"/>
      <c r="BT1874" s="557"/>
      <c r="BU1874" s="557"/>
      <c r="BV1874" s="557"/>
      <c r="BW1874" s="557"/>
      <c r="BX1874" s="557"/>
      <c r="BY1874" s="557"/>
      <c r="BZ1874" s="557"/>
      <c r="CA1874" s="883"/>
      <c r="CB1874" s="555"/>
      <c r="CC1874" s="882"/>
      <c r="CD1874" s="557"/>
      <c r="CE1874" s="557"/>
      <c r="CF1874" s="557"/>
      <c r="CG1874" s="880"/>
      <c r="CH1874" s="881"/>
      <c r="CI1874" s="882"/>
      <c r="CJ1874" s="557"/>
      <c r="CK1874" s="557"/>
      <c r="CL1874" s="557"/>
      <c r="CM1874" s="557"/>
      <c r="CN1874" s="557"/>
      <c r="CO1874" s="557"/>
      <c r="CP1874" s="878"/>
      <c r="CQ1874" s="878"/>
      <c r="CR1874" s="557"/>
      <c r="CS1874" s="557"/>
      <c r="CT1874" s="557"/>
      <c r="CU1874" s="554">
        <f t="shared" si="763"/>
        <v>0</v>
      </c>
      <c r="CV1874" s="554">
        <f>CK1874+CL1874+CM1874+CN1874+CO1874+CQ1874+CP1874</f>
        <v>0</v>
      </c>
      <c r="CW1874" s="554">
        <f>CI1874+CJ1874</f>
        <v>0</v>
      </c>
      <c r="CX1874" s="878"/>
      <c r="CY1874" s="878"/>
      <c r="CZ1874" s="878"/>
      <c r="DA1874" s="878"/>
      <c r="DB1874" s="878"/>
      <c r="DC1874" s="878"/>
      <c r="DD1874" s="878"/>
      <c r="DE1874" s="878"/>
      <c r="DF1874" s="878"/>
      <c r="DG1874" s="878"/>
      <c r="DH1874" s="878"/>
    </row>
    <row r="1875" s="550" customFormat="1" ht="31" customHeight="1" spans="1:112">
      <c r="A1875" s="867">
        <v>46203</v>
      </c>
      <c r="B1875" s="605" t="s">
        <v>5164</v>
      </c>
      <c r="C1875" s="589" t="s">
        <v>76</v>
      </c>
      <c r="D1875" s="557">
        <v>4500206917</v>
      </c>
      <c r="E1875" s="589">
        <v>21796483</v>
      </c>
      <c r="F1875" s="557" t="s">
        <v>10574</v>
      </c>
      <c r="G1875" s="589" t="s">
        <v>6093</v>
      </c>
      <c r="H1875" s="589" t="s">
        <v>6094</v>
      </c>
      <c r="I1875" s="868">
        <v>377</v>
      </c>
      <c r="J1875" s="589">
        <v>0</v>
      </c>
      <c r="K1875" s="869">
        <v>13</v>
      </c>
      <c r="L1875" s="870">
        <f t="shared" si="756"/>
        <v>29</v>
      </c>
      <c r="M1875" s="871">
        <v>46244</v>
      </c>
      <c r="N1875" s="885">
        <v>46242</v>
      </c>
      <c r="O1875" s="873"/>
      <c r="P1875" s="589" t="s">
        <v>113</v>
      </c>
      <c r="Q1875" s="874"/>
      <c r="R1875" s="874">
        <v>46210</v>
      </c>
      <c r="S1875" s="614" t="s">
        <v>104</v>
      </c>
      <c r="T1875" s="614" t="s">
        <v>10575</v>
      </c>
      <c r="U1875" s="902"/>
      <c r="V1875" s="902"/>
      <c r="W1875" s="819"/>
      <c r="X1875" s="904" t="s">
        <v>10576</v>
      </c>
      <c r="Y1875" s="876" t="s">
        <v>5163</v>
      </c>
      <c r="Z1875" s="605">
        <v>0.9868</v>
      </c>
      <c r="AA1875" s="876">
        <f t="shared" si="757"/>
        <v>372.0236</v>
      </c>
      <c r="AB1875" s="573"/>
      <c r="AC1875" s="877"/>
      <c r="AD1875" s="610" t="s">
        <v>6093</v>
      </c>
      <c r="AE1875" s="589" t="s">
        <v>82</v>
      </c>
      <c r="AF1875" s="589"/>
      <c r="AG1875" s="589"/>
      <c r="AH1875" s="605"/>
      <c r="AI1875" s="609">
        <v>377</v>
      </c>
      <c r="AJ1875" s="610">
        <f t="shared" si="753"/>
        <v>0</v>
      </c>
      <c r="AK1875" s="873"/>
      <c r="AL1875" s="589" t="s">
        <v>2368</v>
      </c>
      <c r="AM1875" s="589"/>
      <c r="AN1875" s="589"/>
      <c r="AO1875" s="557">
        <f>I1875</f>
        <v>377</v>
      </c>
      <c r="AP1875" s="557"/>
      <c r="AQ1875" s="557"/>
      <c r="AR1875" s="878"/>
      <c r="AS1875" s="557"/>
      <c r="AT1875" s="554">
        <f>I1875</f>
        <v>377</v>
      </c>
      <c r="AU1875" s="554"/>
      <c r="AV1875" s="554">
        <f>I1875</f>
        <v>377</v>
      </c>
      <c r="AW1875" s="619"/>
      <c r="AX1875" s="554"/>
      <c r="AY1875" s="557"/>
      <c r="AZ1875" s="557"/>
      <c r="BA1875" s="714"/>
      <c r="BB1875" s="620">
        <f t="shared" si="767"/>
        <v>15.7083333333333</v>
      </c>
      <c r="BC1875" s="557"/>
      <c r="BD1875" s="557"/>
      <c r="BE1875" s="557"/>
      <c r="BF1875" s="880"/>
      <c r="BG1875" s="881"/>
      <c r="BH1875" s="882"/>
      <c r="BI1875" s="557"/>
      <c r="BJ1875" s="557"/>
      <c r="BK1875" s="557"/>
      <c r="BL1875" s="557"/>
      <c r="BM1875" s="554">
        <f>I1875/13</f>
        <v>29</v>
      </c>
      <c r="BN1875" s="557"/>
      <c r="BO1875" s="557"/>
      <c r="BP1875" s="557"/>
      <c r="BQ1875" s="557"/>
      <c r="BR1875" s="557"/>
      <c r="BS1875" s="557"/>
      <c r="BT1875" s="557"/>
      <c r="BU1875" s="557"/>
      <c r="BV1875" s="557"/>
      <c r="BW1875" s="557"/>
      <c r="BX1875" s="557"/>
      <c r="BY1875" s="557"/>
      <c r="BZ1875" s="557"/>
      <c r="CA1875" s="883"/>
      <c r="CB1875" s="555"/>
      <c r="CC1875" s="882"/>
      <c r="CD1875" s="557"/>
      <c r="CE1875" s="557"/>
      <c r="CF1875" s="557"/>
      <c r="CG1875" s="880"/>
      <c r="CH1875" s="881"/>
      <c r="CI1875" s="882"/>
      <c r="CJ1875" s="557"/>
      <c r="CK1875" s="557"/>
      <c r="CL1875" s="557"/>
      <c r="CM1875" s="557"/>
      <c r="CN1875" s="557"/>
      <c r="CO1875" s="557"/>
      <c r="CP1875" s="878"/>
      <c r="CQ1875" s="878"/>
      <c r="CR1875" s="557"/>
      <c r="CS1875" s="557"/>
      <c r="CT1875" s="557"/>
      <c r="CU1875" s="554">
        <f t="shared" si="763"/>
        <v>0</v>
      </c>
      <c r="CV1875" s="554">
        <f>CK1875+CL1875+CM1875+CN1875+CO1875+CQ1875+CP1875</f>
        <v>0</v>
      </c>
      <c r="CW1875" s="554">
        <f>CI1875+CJ1875</f>
        <v>0</v>
      </c>
      <c r="CX1875" s="878"/>
      <c r="CY1875" s="878"/>
      <c r="CZ1875" s="878"/>
      <c r="DA1875" s="878"/>
      <c r="DB1875" s="878"/>
      <c r="DC1875" s="878"/>
      <c r="DD1875" s="878"/>
      <c r="DE1875" s="878"/>
      <c r="DF1875" s="878"/>
      <c r="DG1875" s="878"/>
      <c r="DH1875" s="878"/>
    </row>
    <row r="1876" s="550" customFormat="1" ht="31" customHeight="1" spans="1:112">
      <c r="A1876" s="867">
        <v>46198</v>
      </c>
      <c r="B1876" s="605" t="s">
        <v>6645</v>
      </c>
      <c r="C1876" s="589" t="s">
        <v>170</v>
      </c>
      <c r="D1876" s="886">
        <v>4500213839</v>
      </c>
      <c r="E1876" s="873">
        <v>1941019</v>
      </c>
      <c r="F1876" s="557" t="s">
        <v>10577</v>
      </c>
      <c r="G1876" s="589" t="s">
        <v>6166</v>
      </c>
      <c r="H1876" s="589" t="s">
        <v>6094</v>
      </c>
      <c r="I1876" s="868">
        <v>3757</v>
      </c>
      <c r="J1876" s="589">
        <v>0</v>
      </c>
      <c r="K1876" s="869">
        <v>13</v>
      </c>
      <c r="L1876" s="870">
        <f t="shared" si="756"/>
        <v>289</v>
      </c>
      <c r="M1876" s="871">
        <v>46244</v>
      </c>
      <c r="N1876" s="872">
        <v>46240</v>
      </c>
      <c r="O1876" s="873"/>
      <c r="P1876" s="589" t="s">
        <v>113</v>
      </c>
      <c r="Q1876" s="874" t="s">
        <v>10578</v>
      </c>
      <c r="R1876" s="874">
        <v>46206</v>
      </c>
      <c r="S1876" s="614" t="s">
        <v>70</v>
      </c>
      <c r="T1876" s="614" t="s">
        <v>70</v>
      </c>
      <c r="U1876" s="874"/>
      <c r="V1876" s="874"/>
      <c r="W1876" s="573"/>
      <c r="X1876" s="605" t="s">
        <v>10579</v>
      </c>
      <c r="Y1876" s="876" t="s">
        <v>1150</v>
      </c>
      <c r="Z1876" s="605">
        <v>0.9376</v>
      </c>
      <c r="AA1876" s="876">
        <f t="shared" si="757"/>
        <v>3522.5632</v>
      </c>
      <c r="AB1876" s="573"/>
      <c r="AC1876" s="877"/>
      <c r="AD1876" s="610" t="s">
        <v>6166</v>
      </c>
      <c r="AE1876" s="589" t="s">
        <v>82</v>
      </c>
      <c r="AF1876" s="589"/>
      <c r="AG1876" s="589"/>
      <c r="AH1876" s="605"/>
      <c r="AI1876" s="609">
        <v>3757</v>
      </c>
      <c r="AJ1876" s="610">
        <f t="shared" si="753"/>
        <v>0</v>
      </c>
      <c r="AK1876" s="873"/>
      <c r="AL1876" s="589"/>
      <c r="AM1876" s="589"/>
      <c r="AN1876" s="589">
        <f>I1876</f>
        <v>3757</v>
      </c>
      <c r="AO1876" s="557"/>
      <c r="AP1876" s="557"/>
      <c r="AQ1876" s="557"/>
      <c r="AR1876" s="878"/>
      <c r="AS1876" s="554">
        <f>I1876</f>
        <v>3757</v>
      </c>
      <c r="AT1876" s="554"/>
      <c r="AU1876" s="554">
        <f>I1876</f>
        <v>3757</v>
      </c>
      <c r="AV1876" s="557"/>
      <c r="AW1876" s="557"/>
      <c r="AX1876" s="879"/>
      <c r="AY1876" s="557"/>
      <c r="AZ1876" s="557"/>
      <c r="BA1876" s="557"/>
      <c r="BB1876" s="620">
        <f t="shared" si="767"/>
        <v>156.541666666667</v>
      </c>
      <c r="BC1876" s="557"/>
      <c r="BD1876" s="557"/>
      <c r="BE1876" s="557"/>
      <c r="BF1876" s="880"/>
      <c r="BG1876" s="881"/>
      <c r="BH1876" s="882"/>
      <c r="BI1876" s="557"/>
      <c r="BJ1876" s="557"/>
      <c r="BK1876" s="557"/>
      <c r="BL1876" s="554">
        <f>I1876/13</f>
        <v>289</v>
      </c>
      <c r="BM1876" s="557"/>
      <c r="BN1876" s="557"/>
      <c r="BO1876" s="557"/>
      <c r="BP1876" s="557"/>
      <c r="BQ1876" s="557"/>
      <c r="BR1876" s="557"/>
      <c r="BS1876" s="557"/>
      <c r="BT1876" s="557"/>
      <c r="BU1876" s="557"/>
      <c r="BV1876" s="557"/>
      <c r="BW1876" s="557"/>
      <c r="BX1876" s="557"/>
      <c r="BY1876" s="557"/>
      <c r="BZ1876" s="557"/>
      <c r="CA1876" s="883"/>
      <c r="CB1876" s="555"/>
      <c r="CC1876" s="882"/>
      <c r="CD1876" s="557"/>
      <c r="CE1876" s="557"/>
      <c r="CF1876" s="557"/>
      <c r="CG1876" s="880"/>
      <c r="CH1876" s="881"/>
      <c r="CI1876" s="882"/>
      <c r="CJ1876" s="557"/>
      <c r="CK1876" s="557"/>
      <c r="CL1876" s="557"/>
      <c r="CM1876" s="557"/>
      <c r="CN1876" s="557"/>
      <c r="CO1876" s="557"/>
      <c r="CP1876" s="878"/>
      <c r="CQ1876" s="878"/>
      <c r="CR1876" s="557"/>
      <c r="CS1876" s="557"/>
      <c r="CT1876" s="557"/>
      <c r="CU1876" s="557"/>
      <c r="CV1876" s="557"/>
      <c r="CW1876" s="557"/>
      <c r="CX1876" s="878"/>
      <c r="CY1876" s="878"/>
      <c r="CZ1876" s="878"/>
      <c r="DA1876" s="878"/>
      <c r="DB1876" s="878"/>
      <c r="DC1876" s="878"/>
      <c r="DD1876" s="878"/>
      <c r="DE1876" s="878"/>
      <c r="DF1876" s="878"/>
      <c r="DG1876" s="878"/>
      <c r="DH1876" s="878"/>
    </row>
    <row r="1877" s="550" customFormat="1" ht="31" customHeight="1" spans="1:112">
      <c r="A1877" s="608">
        <v>46210</v>
      </c>
      <c r="B1877" s="609" t="s">
        <v>10580</v>
      </c>
      <c r="C1877" s="610" t="s">
        <v>302</v>
      </c>
      <c r="D1877" s="727">
        <v>4500215186</v>
      </c>
      <c r="E1877" s="613">
        <v>4400575848</v>
      </c>
      <c r="F1877" s="554" t="s">
        <v>10581</v>
      </c>
      <c r="G1877" s="610" t="s">
        <v>6047</v>
      </c>
      <c r="H1877" s="610" t="s">
        <v>6069</v>
      </c>
      <c r="I1877" s="715">
        <v>2000</v>
      </c>
      <c r="J1877" s="610">
        <v>0</v>
      </c>
      <c r="K1877" s="843">
        <v>25</v>
      </c>
      <c r="L1877" s="844">
        <f t="shared" si="756"/>
        <v>80</v>
      </c>
      <c r="M1877" s="845">
        <v>46245</v>
      </c>
      <c r="N1877" s="612">
        <v>46241</v>
      </c>
      <c r="O1877" s="613"/>
      <c r="P1877" s="610" t="s">
        <v>113</v>
      </c>
      <c r="Q1877" s="614"/>
      <c r="R1877" s="614">
        <v>46210</v>
      </c>
      <c r="S1877" s="614" t="s">
        <v>70</v>
      </c>
      <c r="T1877" s="818" t="s">
        <v>8294</v>
      </c>
      <c r="U1877" s="818"/>
      <c r="V1877" s="862" t="s">
        <v>5396</v>
      </c>
      <c r="W1877" s="819"/>
      <c r="X1877" s="820" t="s">
        <v>10582</v>
      </c>
      <c r="Y1877" s="616" t="s">
        <v>5462</v>
      </c>
      <c r="Z1877" s="609">
        <v>0.958</v>
      </c>
      <c r="AA1877" s="945">
        <f t="shared" si="757"/>
        <v>1916</v>
      </c>
      <c r="AB1877" s="819"/>
      <c r="AC1877" s="946"/>
      <c r="AD1877" s="610" t="s">
        <v>6047</v>
      </c>
      <c r="AE1877" s="610" t="s">
        <v>82</v>
      </c>
      <c r="AF1877" s="610"/>
      <c r="AG1877" s="610"/>
      <c r="AH1877" s="609"/>
      <c r="AI1877" s="609">
        <v>2000</v>
      </c>
      <c r="AJ1877" s="610">
        <f t="shared" si="753"/>
        <v>0</v>
      </c>
      <c r="AK1877" s="613"/>
      <c r="AL1877" s="610" t="s">
        <v>2368</v>
      </c>
      <c r="AM1877" s="610"/>
      <c r="AN1877" s="610"/>
      <c r="AO1877" s="554">
        <f>I1877</f>
        <v>2000</v>
      </c>
      <c r="AP1877" s="554"/>
      <c r="AQ1877" s="554"/>
      <c r="AR1877" s="619"/>
      <c r="AS1877" s="554"/>
      <c r="AT1877" s="556">
        <f>I1877</f>
        <v>2000</v>
      </c>
      <c r="AU1877" s="554"/>
      <c r="AV1877" s="554">
        <f>I1877</f>
        <v>2000</v>
      </c>
      <c r="AW1877" s="554"/>
      <c r="AX1877" s="714"/>
      <c r="AY1877" s="554"/>
      <c r="AZ1877" s="554"/>
      <c r="BA1877" s="554"/>
      <c r="BB1877" s="620">
        <f t="shared" si="767"/>
        <v>83.3333333333333</v>
      </c>
      <c r="BC1877" s="554"/>
      <c r="BD1877" s="554"/>
      <c r="BE1877" s="554"/>
      <c r="BF1877" s="720"/>
      <c r="BG1877" s="555"/>
      <c r="BH1877" s="721"/>
      <c r="BI1877" s="554"/>
      <c r="BJ1877" s="554"/>
      <c r="BK1877" s="554"/>
      <c r="BL1877" s="554"/>
      <c r="BM1877" s="554"/>
      <c r="BN1877" s="554"/>
      <c r="BO1877" s="554"/>
      <c r="BP1877" s="554">
        <f>I1877/25</f>
        <v>80</v>
      </c>
      <c r="BQ1877" s="554"/>
      <c r="BR1877" s="554"/>
      <c r="BS1877" s="554"/>
      <c r="BT1877" s="554"/>
      <c r="BU1877" s="554"/>
      <c r="BV1877" s="554"/>
      <c r="BW1877" s="554"/>
      <c r="BX1877" s="554"/>
      <c r="BY1877" s="554"/>
      <c r="BZ1877" s="554"/>
      <c r="CA1877" s="720"/>
      <c r="CB1877" s="555"/>
      <c r="CC1877" s="721"/>
      <c r="CD1877" s="554"/>
      <c r="CE1877" s="554"/>
      <c r="CF1877" s="554"/>
      <c r="CG1877" s="720"/>
      <c r="CH1877" s="555"/>
      <c r="CI1877" s="721"/>
      <c r="CJ1877" s="554"/>
      <c r="CK1877" s="554"/>
      <c r="CL1877" s="554"/>
      <c r="CM1877" s="554"/>
      <c r="CN1877" s="554"/>
      <c r="CO1877" s="554"/>
      <c r="CP1877" s="619"/>
      <c r="CQ1877" s="619"/>
      <c r="CR1877" s="554"/>
      <c r="CS1877" s="554"/>
      <c r="CT1877" s="554"/>
      <c r="CU1877" s="554">
        <f t="shared" ref="CU1877:CU1900" si="768">BQ1877+BP1877+BO1877+BN1877+BX1877+BR1877</f>
        <v>80</v>
      </c>
      <c r="CV1877" s="554">
        <f>CK1877+CL1877+CM1877+CN1877+CO1877+CQ1877+CP1877</f>
        <v>0</v>
      </c>
      <c r="CW1877" s="554">
        <f>CI1877+CJ1877</f>
        <v>0</v>
      </c>
      <c r="CX1877" s="619"/>
      <c r="CY1877" s="619"/>
      <c r="CZ1877" s="619"/>
      <c r="DA1877" s="619"/>
      <c r="DB1877" s="619"/>
      <c r="DC1877" s="619"/>
      <c r="DD1877" s="619"/>
      <c r="DE1877" s="619"/>
      <c r="DF1877" s="619"/>
      <c r="DG1877" s="619"/>
      <c r="DH1877" s="619"/>
    </row>
    <row r="1878" s="550" customFormat="1" ht="31" customHeight="1" spans="1:112">
      <c r="A1878" s="867">
        <v>46177</v>
      </c>
      <c r="B1878" s="605" t="s">
        <v>3652</v>
      </c>
      <c r="C1878" s="589" t="s">
        <v>399</v>
      </c>
      <c r="D1878" s="557">
        <v>4500210497</v>
      </c>
      <c r="E1878" s="899">
        <v>5200009895</v>
      </c>
      <c r="F1878" s="950" t="s">
        <v>10583</v>
      </c>
      <c r="G1878" s="589" t="s">
        <v>6120</v>
      </c>
      <c r="H1878" s="589" t="s">
        <v>6094</v>
      </c>
      <c r="I1878" s="868">
        <v>1209</v>
      </c>
      <c r="J1878" s="589">
        <v>0</v>
      </c>
      <c r="K1878" s="589">
        <v>13</v>
      </c>
      <c r="L1878" s="901">
        <f t="shared" si="756"/>
        <v>93</v>
      </c>
      <c r="M1878" s="872">
        <v>46245</v>
      </c>
      <c r="N1878" s="872">
        <v>46241</v>
      </c>
      <c r="O1878" s="873"/>
      <c r="P1878" s="589" t="s">
        <v>113</v>
      </c>
      <c r="Q1878" s="874">
        <v>46251</v>
      </c>
      <c r="R1878" s="874">
        <v>46212</v>
      </c>
      <c r="S1878" s="874" t="s">
        <v>70</v>
      </c>
      <c r="T1878" s="874" t="s">
        <v>9283</v>
      </c>
      <c r="U1878" s="944"/>
      <c r="V1878" s="944"/>
      <c r="W1878" s="573"/>
      <c r="X1878" s="605" t="s">
        <v>10584</v>
      </c>
      <c r="Y1878" s="876" t="s">
        <v>305</v>
      </c>
      <c r="Z1878" s="605">
        <v>0.9448</v>
      </c>
      <c r="AA1878" s="876">
        <f t="shared" si="757"/>
        <v>1142.2632</v>
      </c>
      <c r="AC1878" s="877"/>
      <c r="AD1878" s="589" t="s">
        <v>6093</v>
      </c>
      <c r="AE1878" s="589" t="s">
        <v>82</v>
      </c>
      <c r="AF1878" s="589"/>
      <c r="AG1878" s="589"/>
      <c r="AH1878" s="605"/>
      <c r="AI1878" s="609">
        <v>1209</v>
      </c>
      <c r="AJ1878" s="589">
        <f t="shared" si="753"/>
        <v>0</v>
      </c>
      <c r="AK1878" s="873"/>
      <c r="AL1878" s="589" t="s">
        <v>2368</v>
      </c>
      <c r="AM1878" s="589"/>
      <c r="AN1878" s="557"/>
      <c r="AO1878" s="557">
        <f>I1878</f>
        <v>1209</v>
      </c>
      <c r="AP1878" s="557"/>
      <c r="AQ1878" s="557"/>
      <c r="AR1878" s="878"/>
      <c r="AS1878" s="557"/>
      <c r="AT1878" s="557">
        <f>I1878</f>
        <v>1209</v>
      </c>
      <c r="AU1878" s="557"/>
      <c r="AV1878" s="554">
        <f>I1878</f>
        <v>1209</v>
      </c>
      <c r="AW1878" s="557"/>
      <c r="AX1878" s="879"/>
      <c r="AY1878" s="557"/>
      <c r="AZ1878" s="557"/>
      <c r="BA1878" s="557"/>
      <c r="BB1878" s="888">
        <f t="shared" si="767"/>
        <v>50.375</v>
      </c>
      <c r="BC1878" s="557"/>
      <c r="BD1878" s="557"/>
      <c r="BE1878" s="557"/>
      <c r="BF1878" s="557"/>
      <c r="BG1878" s="550"/>
      <c r="BH1878" s="557"/>
      <c r="BI1878" s="557"/>
      <c r="BJ1878" s="557"/>
      <c r="BK1878" s="557"/>
      <c r="BL1878" s="557"/>
      <c r="BM1878" s="557">
        <f>I1878/13</f>
        <v>93</v>
      </c>
      <c r="BN1878" s="557"/>
      <c r="BO1878" s="557"/>
      <c r="BP1878" s="557"/>
      <c r="BQ1878" s="557"/>
      <c r="BR1878" s="557"/>
      <c r="BS1878" s="557"/>
      <c r="BT1878" s="557"/>
      <c r="BU1878" s="557"/>
      <c r="BV1878" s="557"/>
      <c r="BW1878" s="557"/>
      <c r="BX1878" s="557"/>
      <c r="BY1878" s="557"/>
      <c r="BZ1878" s="557"/>
      <c r="CA1878" s="880"/>
      <c r="CB1878" s="555"/>
      <c r="CC1878" s="882"/>
      <c r="CD1878" s="557"/>
      <c r="CE1878" s="557"/>
      <c r="CF1878" s="557"/>
      <c r="CG1878" s="557"/>
      <c r="CH1878" s="550"/>
      <c r="CI1878" s="557"/>
      <c r="CJ1878" s="557"/>
      <c r="CK1878" s="557"/>
      <c r="CL1878" s="557"/>
      <c r="CM1878" s="557"/>
      <c r="CN1878" s="557"/>
      <c r="CO1878" s="557"/>
      <c r="CP1878" s="878"/>
      <c r="CQ1878" s="878"/>
      <c r="CR1878" s="557"/>
      <c r="CS1878" s="557"/>
      <c r="CT1878" s="557"/>
      <c r="CU1878" s="557">
        <f t="shared" si="768"/>
        <v>0</v>
      </c>
      <c r="CV1878" s="557">
        <f>CK1878+CL1878+CM1878+CN1878+CO1878+CQ1878+CP1878</f>
        <v>0</v>
      </c>
      <c r="CW1878" s="557">
        <f>CI1878+CJ1878</f>
        <v>0</v>
      </c>
      <c r="CX1878" s="878"/>
      <c r="CY1878" s="878"/>
      <c r="CZ1878" s="878"/>
      <c r="DA1878" s="878"/>
      <c r="DB1878" s="878"/>
      <c r="DC1878" s="878"/>
      <c r="DD1878" s="878"/>
      <c r="DE1878" s="878"/>
      <c r="DF1878" s="878"/>
      <c r="DG1878" s="878"/>
      <c r="DH1878" s="878"/>
    </row>
    <row r="1879" s="550" customFormat="1" ht="31" customHeight="1" spans="1:112">
      <c r="A1879" s="867">
        <v>46191</v>
      </c>
      <c r="B1879" s="605" t="s">
        <v>4371</v>
      </c>
      <c r="C1879" s="589" t="s">
        <v>98</v>
      </c>
      <c r="D1879" s="886">
        <v>4500213087</v>
      </c>
      <c r="E1879" s="873">
        <v>1007882539</v>
      </c>
      <c r="F1879" s="557" t="s">
        <v>10585</v>
      </c>
      <c r="G1879" s="589" t="s">
        <v>6063</v>
      </c>
      <c r="H1879" s="589" t="s">
        <v>6064</v>
      </c>
      <c r="I1879" s="868">
        <v>4800</v>
      </c>
      <c r="J1879" s="589">
        <v>0</v>
      </c>
      <c r="K1879" s="869">
        <v>16</v>
      </c>
      <c r="L1879" s="870">
        <f t="shared" si="756"/>
        <v>300</v>
      </c>
      <c r="M1879" s="871">
        <v>46246</v>
      </c>
      <c r="N1879" s="872">
        <v>46242</v>
      </c>
      <c r="O1879" s="873" t="s">
        <v>5263</v>
      </c>
      <c r="P1879" s="589" t="s">
        <v>113</v>
      </c>
      <c r="Q1879" s="874"/>
      <c r="R1879" s="874" t="s">
        <v>9889</v>
      </c>
      <c r="S1879" s="874" t="s">
        <v>70</v>
      </c>
      <c r="T1879" s="874" t="s">
        <v>10586</v>
      </c>
      <c r="U1879" s="944"/>
      <c r="V1879" s="944"/>
      <c r="W1879" s="573"/>
      <c r="X1879" s="605" t="s">
        <v>10587</v>
      </c>
      <c r="Y1879" s="876" t="s">
        <v>5133</v>
      </c>
      <c r="Z1879" s="605">
        <v>0.6334</v>
      </c>
      <c r="AA1879" s="876">
        <f t="shared" si="757"/>
        <v>3040.32</v>
      </c>
      <c r="AC1879" s="877"/>
      <c r="AD1879" s="610" t="s">
        <v>6063</v>
      </c>
      <c r="AE1879" s="589" t="s">
        <v>82</v>
      </c>
      <c r="AF1879" s="589"/>
      <c r="AG1879" s="589"/>
      <c r="AH1879" s="605"/>
      <c r="AI1879" s="609">
        <v>4800</v>
      </c>
      <c r="AJ1879" s="610">
        <f t="shared" si="753"/>
        <v>0</v>
      </c>
      <c r="AK1879" s="873"/>
      <c r="AL1879" s="589" t="s">
        <v>2368</v>
      </c>
      <c r="AM1879" s="589"/>
      <c r="AN1879" s="589">
        <f>I1879</f>
        <v>4800</v>
      </c>
      <c r="AO1879" s="557"/>
      <c r="AP1879" s="554">
        <f>I1879</f>
        <v>4800</v>
      </c>
      <c r="AQ1879" s="557"/>
      <c r="AR1879" s="878"/>
      <c r="AS1879" s="557"/>
      <c r="AT1879" s="557"/>
      <c r="AU1879" s="554">
        <f>I1879</f>
        <v>4800</v>
      </c>
      <c r="AV1879" s="557"/>
      <c r="AW1879" s="557"/>
      <c r="AX1879" s="879"/>
      <c r="AY1879" s="557"/>
      <c r="AZ1879" s="557"/>
      <c r="BA1879" s="557"/>
      <c r="BB1879" s="620">
        <f t="shared" si="767"/>
        <v>200</v>
      </c>
      <c r="BC1879" s="557"/>
      <c r="BD1879" s="557"/>
      <c r="BE1879" s="557"/>
      <c r="BF1879" s="880"/>
      <c r="BG1879" s="881"/>
      <c r="BH1879" s="882"/>
      <c r="BI1879" s="557"/>
      <c r="BJ1879" s="557"/>
      <c r="BK1879" s="557"/>
      <c r="BL1879" s="557"/>
      <c r="BM1879" s="557"/>
      <c r="BN1879" s="557"/>
      <c r="BO1879" s="557"/>
      <c r="BP1879" s="557"/>
      <c r="BQ1879" s="554">
        <f>I1879/16</f>
        <v>300</v>
      </c>
      <c r="BR1879" s="557"/>
      <c r="BS1879" s="557"/>
      <c r="BT1879" s="557"/>
      <c r="BU1879" s="557"/>
      <c r="BV1879" s="557"/>
      <c r="BW1879" s="557"/>
      <c r="BX1879" s="557"/>
      <c r="BY1879" s="557"/>
      <c r="BZ1879" s="557"/>
      <c r="CA1879" s="883"/>
      <c r="CB1879" s="555"/>
      <c r="CC1879" s="882"/>
      <c r="CD1879" s="557"/>
      <c r="CE1879" s="557"/>
      <c r="CF1879" s="557"/>
      <c r="CG1879" s="880"/>
      <c r="CH1879" s="881"/>
      <c r="CI1879" s="882"/>
      <c r="CJ1879" s="557"/>
      <c r="CK1879" s="557"/>
      <c r="CL1879" s="557"/>
      <c r="CM1879" s="557"/>
      <c r="CN1879" s="557"/>
      <c r="CO1879" s="557"/>
      <c r="CP1879" s="878"/>
      <c r="CQ1879" s="878"/>
      <c r="CR1879" s="557"/>
      <c r="CS1879" s="557"/>
      <c r="CT1879" s="557"/>
      <c r="CU1879" s="554">
        <f t="shared" si="768"/>
        <v>300</v>
      </c>
      <c r="CV1879" s="554">
        <f>CK1879+CL1879+CM1879+CN1879+CO1879+CQ1879+CP1879</f>
        <v>0</v>
      </c>
      <c r="CW1879" s="554">
        <f>CI1879+CJ1879</f>
        <v>0</v>
      </c>
      <c r="CX1879" s="878"/>
      <c r="CY1879" s="878"/>
      <c r="CZ1879" s="878"/>
      <c r="DA1879" s="878"/>
      <c r="DB1879" s="878"/>
      <c r="DC1879" s="878"/>
      <c r="DD1879" s="878"/>
      <c r="DE1879" s="878"/>
      <c r="DF1879" s="878"/>
      <c r="DG1879" s="878"/>
      <c r="DH1879" s="878"/>
    </row>
    <row r="1880" s="555" customFormat="1" ht="31" customHeight="1" spans="1:112">
      <c r="A1880" s="889">
        <v>46188</v>
      </c>
      <c r="B1880" s="819" t="s">
        <v>3340</v>
      </c>
      <c r="C1880" s="890" t="s">
        <v>98</v>
      </c>
      <c r="D1880" s="891">
        <v>4500212389</v>
      </c>
      <c r="E1880" s="892">
        <v>115821</v>
      </c>
      <c r="F1880" s="555" t="s">
        <v>10588</v>
      </c>
      <c r="G1880" s="890" t="s">
        <v>6787</v>
      </c>
      <c r="H1880" s="610" t="s">
        <v>6126</v>
      </c>
      <c r="I1880" s="893">
        <v>3996</v>
      </c>
      <c r="J1880" s="890">
        <v>0</v>
      </c>
      <c r="K1880" s="890">
        <v>12</v>
      </c>
      <c r="L1880" s="844">
        <f t="shared" si="756"/>
        <v>333</v>
      </c>
      <c r="M1880" s="887">
        <v>46246</v>
      </c>
      <c r="N1880" s="887">
        <v>46242</v>
      </c>
      <c r="O1880" s="892"/>
      <c r="P1880" s="890" t="s">
        <v>113</v>
      </c>
      <c r="Q1880" s="862"/>
      <c r="R1880" s="862">
        <v>46199</v>
      </c>
      <c r="S1880" s="862" t="s">
        <v>70</v>
      </c>
      <c r="T1880" s="862" t="s">
        <v>10589</v>
      </c>
      <c r="U1880" s="862"/>
      <c r="V1880" s="862"/>
      <c r="W1880" s="819"/>
      <c r="X1880" s="819" t="s">
        <v>10590</v>
      </c>
      <c r="Y1880" s="894" t="s">
        <v>3864</v>
      </c>
      <c r="Z1880" s="819">
        <v>1.3482</v>
      </c>
      <c r="AA1880" s="894">
        <f t="shared" si="757"/>
        <v>5387.4072</v>
      </c>
      <c r="AC1880" s="697"/>
      <c r="AD1880" s="819" t="s">
        <v>8079</v>
      </c>
      <c r="AE1880" s="890" t="s">
        <v>82</v>
      </c>
      <c r="AF1880" s="890"/>
      <c r="AG1880" s="890"/>
      <c r="AH1880" s="819"/>
      <c r="AI1880" s="609">
        <v>3996</v>
      </c>
      <c r="AJ1880" s="890">
        <f t="shared" si="753"/>
        <v>0</v>
      </c>
      <c r="AK1880" s="892"/>
      <c r="AL1880" s="890" t="s">
        <v>2368</v>
      </c>
      <c r="AM1880" s="890"/>
      <c r="AN1880" s="890">
        <f>I1880*2</f>
        <v>7992</v>
      </c>
      <c r="AQ1880" s="555">
        <f>I1880*2</f>
        <v>7992</v>
      </c>
      <c r="AR1880" s="895"/>
      <c r="AS1880" s="555"/>
      <c r="AT1880" s="555"/>
      <c r="AU1880" s="555">
        <f>I1880*2</f>
        <v>7992</v>
      </c>
      <c r="AX1880" s="896"/>
      <c r="AY1880" s="555"/>
      <c r="AZ1880" s="555"/>
      <c r="BA1880" s="555"/>
      <c r="BB1880" s="897">
        <f>I1880/24*2</f>
        <v>333</v>
      </c>
      <c r="CA1880" s="906"/>
      <c r="CC1880" s="907"/>
      <c r="CD1880" s="555"/>
      <c r="CE1880" s="555"/>
      <c r="CF1880" s="555"/>
      <c r="CG1880" s="555"/>
      <c r="CH1880" s="555"/>
      <c r="CI1880" s="555"/>
      <c r="CJ1880" s="555"/>
      <c r="CK1880" s="555"/>
      <c r="CL1880" s="555"/>
      <c r="CM1880" s="555"/>
      <c r="CN1880" s="555"/>
      <c r="CO1880" s="555"/>
      <c r="CP1880" s="895"/>
      <c r="CQ1880" s="895"/>
      <c r="CR1880" s="555">
        <f>I1880</f>
        <v>3996</v>
      </c>
      <c r="CS1880" s="555">
        <f>I1880</f>
        <v>3996</v>
      </c>
      <c r="CT1880" s="555">
        <f>I1880</f>
        <v>3996</v>
      </c>
      <c r="CU1880" s="555">
        <f t="shared" si="768"/>
        <v>0</v>
      </c>
      <c r="CV1880" s="555">
        <v>0</v>
      </c>
      <c r="CW1880" s="555">
        <v>0</v>
      </c>
      <c r="CX1880" s="895"/>
      <c r="CY1880" s="895"/>
      <c r="CZ1880" s="895"/>
      <c r="DA1880" s="895"/>
      <c r="DB1880" s="895"/>
      <c r="DC1880" s="895"/>
      <c r="DD1880" s="895"/>
      <c r="DE1880" s="895"/>
      <c r="DF1880" s="895"/>
      <c r="DG1880" s="895"/>
      <c r="DH1880" s="895"/>
    </row>
    <row r="1881" s="555" customFormat="1" ht="31" customHeight="1" spans="1:112">
      <c r="A1881" s="889">
        <v>46188</v>
      </c>
      <c r="B1881" s="819" t="s">
        <v>3340</v>
      </c>
      <c r="C1881" s="890" t="s">
        <v>98</v>
      </c>
      <c r="D1881" s="891">
        <v>4500212394</v>
      </c>
      <c r="E1881" s="892">
        <v>115828</v>
      </c>
      <c r="F1881" s="555" t="s">
        <v>10591</v>
      </c>
      <c r="G1881" s="890" t="s">
        <v>6787</v>
      </c>
      <c r="H1881" s="610" t="s">
        <v>6126</v>
      </c>
      <c r="I1881" s="893">
        <v>4008</v>
      </c>
      <c r="J1881" s="890">
        <v>0</v>
      </c>
      <c r="K1881" s="890">
        <v>12</v>
      </c>
      <c r="L1881" s="844">
        <f t="shared" si="756"/>
        <v>334</v>
      </c>
      <c r="M1881" s="887">
        <v>46246</v>
      </c>
      <c r="N1881" s="887">
        <v>46242</v>
      </c>
      <c r="O1881" s="892"/>
      <c r="P1881" s="890" t="s">
        <v>113</v>
      </c>
      <c r="Q1881" s="862" t="s">
        <v>10592</v>
      </c>
      <c r="R1881" s="862">
        <v>46199</v>
      </c>
      <c r="S1881" s="862" t="s">
        <v>70</v>
      </c>
      <c r="T1881" s="862" t="s">
        <v>10589</v>
      </c>
      <c r="U1881" s="862"/>
      <c r="V1881" s="862"/>
      <c r="W1881" s="819"/>
      <c r="X1881" s="819" t="s">
        <v>10593</v>
      </c>
      <c r="Y1881" s="894" t="s">
        <v>3864</v>
      </c>
      <c r="Z1881" s="819">
        <v>1.3482</v>
      </c>
      <c r="AA1881" s="894">
        <f t="shared" si="757"/>
        <v>5403.5856</v>
      </c>
      <c r="AC1881" s="697"/>
      <c r="AD1881" s="819" t="s">
        <v>8079</v>
      </c>
      <c r="AE1881" s="890" t="s">
        <v>82</v>
      </c>
      <c r="AF1881" s="890"/>
      <c r="AG1881" s="890"/>
      <c r="AH1881" s="819"/>
      <c r="AI1881" s="609">
        <f>3996+12</f>
        <v>4008</v>
      </c>
      <c r="AJ1881" s="890">
        <f t="shared" si="753"/>
        <v>0</v>
      </c>
      <c r="AK1881" s="892"/>
      <c r="AL1881" s="890" t="s">
        <v>2368</v>
      </c>
      <c r="AM1881" s="890"/>
      <c r="AN1881" s="890">
        <f>I1881*2</f>
        <v>8016</v>
      </c>
      <c r="AQ1881" s="555">
        <f>I1881*2</f>
        <v>8016</v>
      </c>
      <c r="AR1881" s="895"/>
      <c r="AS1881" s="555"/>
      <c r="AT1881" s="555"/>
      <c r="AU1881" s="555">
        <f>I1881*2</f>
        <v>8016</v>
      </c>
      <c r="AX1881" s="896"/>
      <c r="AY1881" s="555"/>
      <c r="AZ1881" s="555"/>
      <c r="BA1881" s="555"/>
      <c r="BB1881" s="897">
        <f>I1881/24*2</f>
        <v>334</v>
      </c>
      <c r="CA1881" s="906"/>
      <c r="CC1881" s="907"/>
      <c r="CD1881" s="555"/>
      <c r="CE1881" s="555"/>
      <c r="CF1881" s="555"/>
      <c r="CG1881" s="555"/>
      <c r="CH1881" s="555"/>
      <c r="CI1881" s="555"/>
      <c r="CJ1881" s="555"/>
      <c r="CK1881" s="555"/>
      <c r="CL1881" s="555"/>
      <c r="CM1881" s="555"/>
      <c r="CN1881" s="555"/>
      <c r="CO1881" s="555"/>
      <c r="CP1881" s="895"/>
      <c r="CQ1881" s="895"/>
      <c r="CR1881" s="555">
        <f>I1881</f>
        <v>4008</v>
      </c>
      <c r="CS1881" s="555">
        <f>I1881</f>
        <v>4008</v>
      </c>
      <c r="CT1881" s="555">
        <f>I1881</f>
        <v>4008</v>
      </c>
      <c r="CU1881" s="555">
        <f t="shared" si="768"/>
        <v>0</v>
      </c>
      <c r="CV1881" s="555">
        <v>0</v>
      </c>
      <c r="CW1881" s="555">
        <v>0</v>
      </c>
      <c r="CX1881" s="895"/>
      <c r="CY1881" s="895"/>
      <c r="CZ1881" s="895"/>
      <c r="DA1881" s="895"/>
      <c r="DB1881" s="895"/>
      <c r="DC1881" s="895"/>
      <c r="DD1881" s="895"/>
      <c r="DE1881" s="895"/>
      <c r="DF1881" s="895"/>
      <c r="DG1881" s="895"/>
      <c r="DH1881" s="895"/>
    </row>
    <row r="1882" s="550" customFormat="1" ht="31" customHeight="1" spans="1:112">
      <c r="A1882" s="608">
        <v>46203</v>
      </c>
      <c r="B1882" s="609" t="s">
        <v>5492</v>
      </c>
      <c r="C1882" s="610" t="s">
        <v>399</v>
      </c>
      <c r="D1882" s="554">
        <v>4500214241</v>
      </c>
      <c r="E1882" s="610"/>
      <c r="F1882" s="554" t="s">
        <v>10594</v>
      </c>
      <c r="G1882" s="610" t="s">
        <v>6043</v>
      </c>
      <c r="H1882" s="610" t="s">
        <v>6110</v>
      </c>
      <c r="I1882" s="715">
        <v>3000</v>
      </c>
      <c r="J1882" s="610">
        <v>0</v>
      </c>
      <c r="K1882" s="843">
        <v>50</v>
      </c>
      <c r="L1882" s="844">
        <f t="shared" si="756"/>
        <v>60</v>
      </c>
      <c r="M1882" s="845">
        <v>46246</v>
      </c>
      <c r="N1882" s="850">
        <v>46245</v>
      </c>
      <c r="O1882" s="613"/>
      <c r="P1882" s="610" t="s">
        <v>113</v>
      </c>
      <c r="Q1882" s="614"/>
      <c r="R1882" s="614">
        <v>46217</v>
      </c>
      <c r="S1882" s="614" t="s">
        <v>70</v>
      </c>
      <c r="T1882" s="818" t="s">
        <v>10595</v>
      </c>
      <c r="U1882" s="818"/>
      <c r="V1882" s="862" t="s">
        <v>10596</v>
      </c>
      <c r="W1882" s="819"/>
      <c r="X1882" s="820" t="s">
        <v>10597</v>
      </c>
      <c r="Y1882" s="616" t="s">
        <v>5498</v>
      </c>
      <c r="Z1882" s="609">
        <v>0.9998</v>
      </c>
      <c r="AA1882" s="945">
        <f t="shared" si="757"/>
        <v>2999.4</v>
      </c>
      <c r="AB1882" s="819"/>
      <c r="AC1882" s="946"/>
      <c r="AD1882" s="610" t="s">
        <v>6043</v>
      </c>
      <c r="AE1882" s="610" t="s">
        <v>82</v>
      </c>
      <c r="AF1882" s="610"/>
      <c r="AG1882" s="610"/>
      <c r="AH1882" s="609"/>
      <c r="AI1882" s="609">
        <v>3000</v>
      </c>
      <c r="AJ1882" s="610">
        <f t="shared" si="753"/>
        <v>0</v>
      </c>
      <c r="AK1882" s="613"/>
      <c r="AL1882" s="610" t="s">
        <v>2368</v>
      </c>
      <c r="AM1882" s="610"/>
      <c r="AN1882" s="610"/>
      <c r="AO1882" s="554">
        <f>I1882</f>
        <v>3000</v>
      </c>
      <c r="AP1882" s="554"/>
      <c r="AQ1882" s="554"/>
      <c r="AR1882" s="619"/>
      <c r="AS1882" s="554"/>
      <c r="AT1882" s="554">
        <f>I1882</f>
        <v>3000</v>
      </c>
      <c r="AU1882" s="554"/>
      <c r="AV1882" s="554">
        <f>I1882</f>
        <v>3000</v>
      </c>
      <c r="AW1882" s="554"/>
      <c r="AX1882" s="714"/>
      <c r="AY1882" s="554"/>
      <c r="AZ1882" s="554"/>
      <c r="BA1882" s="554"/>
      <c r="BB1882" s="620">
        <f>I1882/24</f>
        <v>125</v>
      </c>
      <c r="BC1882" s="554"/>
      <c r="BD1882" s="554"/>
      <c r="BE1882" s="554"/>
      <c r="BF1882" s="720"/>
      <c r="BG1882" s="555"/>
      <c r="BH1882" s="721"/>
      <c r="BI1882" s="554"/>
      <c r="BJ1882" s="554"/>
      <c r="BK1882" s="554"/>
      <c r="BL1882" s="554"/>
      <c r="BM1882" s="554"/>
      <c r="BN1882" s="554"/>
      <c r="BO1882" s="554"/>
      <c r="BP1882" s="554">
        <f>I1882/25</f>
        <v>120</v>
      </c>
      <c r="BQ1882" s="554"/>
      <c r="BR1882" s="554"/>
      <c r="BS1882" s="554"/>
      <c r="BT1882" s="554"/>
      <c r="BU1882" s="554"/>
      <c r="BV1882" s="554"/>
      <c r="BW1882" s="554"/>
      <c r="BX1882" s="554"/>
      <c r="BY1882" s="554"/>
      <c r="BZ1882" s="554"/>
      <c r="CA1882" s="720"/>
      <c r="CB1882" s="555"/>
      <c r="CC1882" s="721"/>
      <c r="CD1882" s="554"/>
      <c r="CE1882" s="554"/>
      <c r="CF1882" s="554"/>
      <c r="CG1882" s="720"/>
      <c r="CH1882" s="555"/>
      <c r="CI1882" s="721"/>
      <c r="CJ1882" s="554"/>
      <c r="CK1882" s="554"/>
      <c r="CL1882" s="554"/>
      <c r="CM1882" s="554"/>
      <c r="CN1882" s="554"/>
      <c r="CO1882" s="554"/>
      <c r="CP1882" s="619"/>
      <c r="CQ1882" s="619"/>
      <c r="CR1882" s="554"/>
      <c r="CS1882" s="554"/>
      <c r="CT1882" s="554"/>
      <c r="CU1882" s="554">
        <f t="shared" si="768"/>
        <v>120</v>
      </c>
      <c r="CV1882" s="554">
        <f>CK1882+CL1882+CM1882+CN1882+CO1882+CQ1882+CP1882</f>
        <v>0</v>
      </c>
      <c r="CW1882" s="554">
        <f>CI1882+CJ1882</f>
        <v>0</v>
      </c>
      <c r="CX1882" s="619"/>
      <c r="CY1882" s="619"/>
      <c r="CZ1882" s="619"/>
      <c r="DA1882" s="619"/>
      <c r="DB1882" s="619"/>
      <c r="DC1882" s="619"/>
      <c r="DD1882" s="619"/>
      <c r="DE1882" s="619"/>
      <c r="DF1882" s="619"/>
      <c r="DG1882" s="619"/>
      <c r="DH1882" s="619"/>
    </row>
    <row r="1883" s="556" customFormat="1" ht="31" customHeight="1" spans="1:112">
      <c r="A1883" s="913">
        <v>46126</v>
      </c>
      <c r="B1883" s="848" t="s">
        <v>3340</v>
      </c>
      <c r="C1883" s="914" t="s">
        <v>98</v>
      </c>
      <c r="D1883" s="556">
        <v>4500201755</v>
      </c>
      <c r="E1883" s="914">
        <v>127326</v>
      </c>
      <c r="F1883" s="556" t="s">
        <v>10598</v>
      </c>
      <c r="G1883" s="914" t="s">
        <v>6787</v>
      </c>
      <c r="H1883" s="610" t="s">
        <v>6126</v>
      </c>
      <c r="I1883" s="916">
        <v>2004</v>
      </c>
      <c r="J1883" s="914">
        <v>0</v>
      </c>
      <c r="K1883" s="914">
        <v>12</v>
      </c>
      <c r="L1883" s="917">
        <f t="shared" si="756"/>
        <v>167</v>
      </c>
      <c r="M1883" s="918">
        <v>46247</v>
      </c>
      <c r="N1883" s="918">
        <v>46244</v>
      </c>
      <c r="O1883" s="892"/>
      <c r="P1883" s="914" t="s">
        <v>113</v>
      </c>
      <c r="Q1883" s="863"/>
      <c r="R1883" s="863">
        <v>46126</v>
      </c>
      <c r="S1883" s="863" t="s">
        <v>70</v>
      </c>
      <c r="T1883" s="863" t="s">
        <v>10599</v>
      </c>
      <c r="U1883" s="863"/>
      <c r="V1883" s="863"/>
      <c r="W1883" s="848"/>
      <c r="X1883" s="848" t="s">
        <v>10600</v>
      </c>
      <c r="Y1883" s="920" t="s">
        <v>3864</v>
      </c>
      <c r="Z1883" s="848">
        <v>1.3318</v>
      </c>
      <c r="AA1883" s="920">
        <f t="shared" si="757"/>
        <v>2668.9272</v>
      </c>
      <c r="AC1883" s="921"/>
      <c r="AD1883" s="848" t="s">
        <v>8079</v>
      </c>
      <c r="AE1883" s="914" t="s">
        <v>82</v>
      </c>
      <c r="AF1883" s="914"/>
      <c r="AG1883" s="914"/>
      <c r="AH1883" s="848"/>
      <c r="AI1883" s="609">
        <v>2004</v>
      </c>
      <c r="AJ1883" s="914">
        <f t="shared" si="753"/>
        <v>0</v>
      </c>
      <c r="AK1883" s="919"/>
      <c r="AL1883" s="914" t="s">
        <v>2368</v>
      </c>
      <c r="AM1883" s="914"/>
      <c r="AN1883" s="914">
        <f>I1883*2</f>
        <v>4008</v>
      </c>
      <c r="AQ1883" s="556">
        <f>I1883*2</f>
        <v>4008</v>
      </c>
      <c r="AR1883" s="922"/>
      <c r="AS1883" s="556"/>
      <c r="AT1883" s="556"/>
      <c r="AU1883" s="556">
        <f>I1883*2</f>
        <v>4008</v>
      </c>
      <c r="AX1883" s="923"/>
      <c r="AY1883" s="556"/>
      <c r="AZ1883" s="556"/>
      <c r="BA1883" s="556"/>
      <c r="BB1883" s="924">
        <f>I1883/24*2</f>
        <v>167</v>
      </c>
      <c r="CA1883" s="925"/>
      <c r="CB1883" s="555"/>
      <c r="CC1883" s="927"/>
      <c r="CD1883" s="556"/>
      <c r="CE1883" s="556"/>
      <c r="CF1883" s="556"/>
      <c r="CG1883" s="556"/>
      <c r="CP1883" s="922"/>
      <c r="CQ1883" s="922"/>
      <c r="CR1883" s="556">
        <f>I1883</f>
        <v>2004</v>
      </c>
      <c r="CS1883" s="556">
        <f>I1883</f>
        <v>2004</v>
      </c>
      <c r="CT1883" s="556">
        <f>I1883</f>
        <v>2004</v>
      </c>
      <c r="CU1883" s="556">
        <f t="shared" si="768"/>
        <v>0</v>
      </c>
      <c r="CV1883" s="556">
        <v>0</v>
      </c>
      <c r="CW1883" s="556">
        <v>0</v>
      </c>
      <c r="CX1883" s="922"/>
      <c r="CY1883" s="922"/>
      <c r="CZ1883" s="922"/>
      <c r="DA1883" s="922"/>
      <c r="DB1883" s="922"/>
      <c r="DC1883" s="922"/>
      <c r="DD1883" s="922"/>
      <c r="DE1883" s="922"/>
      <c r="DF1883" s="922"/>
      <c r="DG1883" s="922"/>
      <c r="DH1883" s="922"/>
    </row>
    <row r="1884" s="550" customFormat="1" ht="31" customHeight="1" spans="1:112">
      <c r="A1884" s="867">
        <v>46189</v>
      </c>
      <c r="B1884" s="605" t="s">
        <v>1800</v>
      </c>
      <c r="C1884" s="589" t="s">
        <v>744</v>
      </c>
      <c r="D1884" s="886">
        <v>4500212517</v>
      </c>
      <c r="E1884" s="873">
        <v>5000002278</v>
      </c>
      <c r="F1884" s="557" t="s">
        <v>10601</v>
      </c>
      <c r="G1884" s="589" t="s">
        <v>6093</v>
      </c>
      <c r="H1884" s="589" t="s">
        <v>6094</v>
      </c>
      <c r="I1884" s="868">
        <v>2600</v>
      </c>
      <c r="J1884" s="589">
        <v>0</v>
      </c>
      <c r="K1884" s="869">
        <v>13</v>
      </c>
      <c r="L1884" s="870">
        <f t="shared" si="756"/>
        <v>200</v>
      </c>
      <c r="M1884" s="871">
        <v>46247</v>
      </c>
      <c r="N1884" s="872">
        <v>46244</v>
      </c>
      <c r="O1884" s="873"/>
      <c r="P1884" s="890" t="s">
        <v>113</v>
      </c>
      <c r="Q1884" s="874"/>
      <c r="R1884" s="614" t="s">
        <v>5180</v>
      </c>
      <c r="S1884" s="614" t="s">
        <v>104</v>
      </c>
      <c r="T1884" s="614" t="s">
        <v>8723</v>
      </c>
      <c r="U1884" s="874"/>
      <c r="V1884" s="874"/>
      <c r="W1884" s="573"/>
      <c r="X1884" s="605" t="s">
        <v>10436</v>
      </c>
      <c r="Y1884" s="876" t="s">
        <v>1805</v>
      </c>
      <c r="Z1884" s="605">
        <v>0.9043</v>
      </c>
      <c r="AA1884" s="876">
        <f t="shared" si="757"/>
        <v>2351.18</v>
      </c>
      <c r="AC1884" s="877"/>
      <c r="AD1884" s="610" t="s">
        <v>8338</v>
      </c>
      <c r="AE1884" s="589" t="s">
        <v>82</v>
      </c>
      <c r="AF1884" s="589"/>
      <c r="AG1884" s="589"/>
      <c r="AH1884" s="605"/>
      <c r="AI1884" s="609">
        <v>2600</v>
      </c>
      <c r="AJ1884" s="610">
        <f t="shared" si="753"/>
        <v>0</v>
      </c>
      <c r="AK1884" s="873"/>
      <c r="AL1884" s="589" t="s">
        <v>454</v>
      </c>
      <c r="AM1884" s="589"/>
      <c r="AN1884" s="589"/>
      <c r="AO1884" s="557">
        <f>I1884</f>
        <v>2600</v>
      </c>
      <c r="AP1884" s="557"/>
      <c r="AQ1884" s="557"/>
      <c r="AR1884" s="878"/>
      <c r="AS1884" s="557"/>
      <c r="AT1884" s="557"/>
      <c r="AU1884" s="557"/>
      <c r="AV1884" s="557"/>
      <c r="AW1884" s="619">
        <f>I1884</f>
        <v>2600</v>
      </c>
      <c r="AX1884" s="554">
        <f>I1884</f>
        <v>2600</v>
      </c>
      <c r="AY1884" s="557"/>
      <c r="AZ1884" s="557"/>
      <c r="BA1884" s="714">
        <f>I1884/24</f>
        <v>108.333333333333</v>
      </c>
      <c r="BB1884" s="888"/>
      <c r="BC1884" s="557"/>
      <c r="BD1884" s="557"/>
      <c r="BE1884" s="557"/>
      <c r="BF1884" s="880"/>
      <c r="BG1884" s="881"/>
      <c r="BH1884" s="882"/>
      <c r="BI1884" s="557"/>
      <c r="BJ1884" s="557"/>
      <c r="BK1884" s="557"/>
      <c r="BL1884" s="557"/>
      <c r="BM1884" s="554">
        <f>I1884/13</f>
        <v>200</v>
      </c>
      <c r="BN1884" s="557"/>
      <c r="BO1884" s="557"/>
      <c r="BP1884" s="557"/>
      <c r="BQ1884" s="557"/>
      <c r="BR1884" s="557"/>
      <c r="BS1884" s="557"/>
      <c r="BT1884" s="557"/>
      <c r="BU1884" s="557"/>
      <c r="BV1884" s="557"/>
      <c r="BW1884" s="557"/>
      <c r="BX1884" s="557"/>
      <c r="BY1884" s="557"/>
      <c r="BZ1884" s="557"/>
      <c r="CA1884" s="883"/>
      <c r="CB1884" s="555"/>
      <c r="CC1884" s="882"/>
      <c r="CD1884" s="557"/>
      <c r="CE1884" s="557"/>
      <c r="CF1884" s="557"/>
      <c r="CG1884" s="880"/>
      <c r="CH1884" s="881"/>
      <c r="CI1884" s="882"/>
      <c r="CJ1884" s="557"/>
      <c r="CK1884" s="557"/>
      <c r="CL1884" s="557"/>
      <c r="CM1884" s="557"/>
      <c r="CN1884" s="557"/>
      <c r="CO1884" s="557"/>
      <c r="CP1884" s="878"/>
      <c r="CQ1884" s="878"/>
      <c r="CR1884" s="557"/>
      <c r="CS1884" s="557"/>
      <c r="CT1884" s="557"/>
      <c r="CU1884" s="554">
        <f t="shared" si="768"/>
        <v>0</v>
      </c>
      <c r="CV1884" s="554">
        <v>0</v>
      </c>
      <c r="CW1884" s="554">
        <v>0</v>
      </c>
      <c r="CX1884" s="878"/>
      <c r="CY1884" s="878"/>
      <c r="CZ1884" s="878"/>
      <c r="DA1884" s="878"/>
      <c r="DB1884" s="878"/>
      <c r="DC1884" s="878"/>
      <c r="DD1884" s="878"/>
      <c r="DE1884" s="878"/>
      <c r="DF1884" s="878"/>
      <c r="DG1884" s="878"/>
      <c r="DH1884" s="878"/>
    </row>
    <row r="1885" s="550" customFormat="1" ht="31" customHeight="1" spans="1:112">
      <c r="A1885" s="867">
        <v>46189</v>
      </c>
      <c r="B1885" s="605" t="s">
        <v>1800</v>
      </c>
      <c r="C1885" s="589" t="s">
        <v>744</v>
      </c>
      <c r="D1885" s="886">
        <v>4500212517</v>
      </c>
      <c r="E1885" s="873">
        <v>5000002278</v>
      </c>
      <c r="F1885" s="557" t="s">
        <v>10602</v>
      </c>
      <c r="G1885" s="589" t="s">
        <v>6093</v>
      </c>
      <c r="H1885" s="589" t="s">
        <v>6094</v>
      </c>
      <c r="I1885" s="868">
        <v>12428</v>
      </c>
      <c r="J1885" s="589">
        <v>0</v>
      </c>
      <c r="K1885" s="869">
        <v>13</v>
      </c>
      <c r="L1885" s="870">
        <f t="shared" si="756"/>
        <v>956</v>
      </c>
      <c r="M1885" s="871">
        <v>46247</v>
      </c>
      <c r="N1885" s="872">
        <v>46244</v>
      </c>
      <c r="O1885" s="873"/>
      <c r="P1885" s="890" t="s">
        <v>113</v>
      </c>
      <c r="Q1885" s="874"/>
      <c r="R1885" s="614" t="s">
        <v>5180</v>
      </c>
      <c r="S1885" s="614" t="s">
        <v>104</v>
      </c>
      <c r="T1885" s="614" t="s">
        <v>8723</v>
      </c>
      <c r="U1885" s="902"/>
      <c r="V1885" s="902"/>
      <c r="W1885" s="819"/>
      <c r="X1885" s="904" t="s">
        <v>10436</v>
      </c>
      <c r="Y1885" s="876" t="s">
        <v>1805</v>
      </c>
      <c r="Z1885" s="605">
        <v>0.9043</v>
      </c>
      <c r="AA1885" s="876">
        <f t="shared" si="757"/>
        <v>11238.6404</v>
      </c>
      <c r="AC1885" s="877"/>
      <c r="AD1885" s="610" t="s">
        <v>8338</v>
      </c>
      <c r="AE1885" s="589" t="s">
        <v>82</v>
      </c>
      <c r="AF1885" s="589"/>
      <c r="AG1885" s="589"/>
      <c r="AH1885" s="605"/>
      <c r="AI1885" s="609">
        <f>13+12415</f>
        <v>12428</v>
      </c>
      <c r="AJ1885" s="610">
        <f t="shared" si="753"/>
        <v>0</v>
      </c>
      <c r="AK1885" s="873"/>
      <c r="AL1885" s="589" t="s">
        <v>454</v>
      </c>
      <c r="AM1885" s="589"/>
      <c r="AN1885" s="589"/>
      <c r="AO1885" s="557">
        <f>I1885</f>
        <v>12428</v>
      </c>
      <c r="AP1885" s="557"/>
      <c r="AQ1885" s="557"/>
      <c r="AR1885" s="878"/>
      <c r="AS1885" s="557"/>
      <c r="AT1885" s="557"/>
      <c r="AU1885" s="557"/>
      <c r="AV1885" s="557"/>
      <c r="AW1885" s="619">
        <f>I1885</f>
        <v>12428</v>
      </c>
      <c r="AX1885" s="554">
        <f>I1885</f>
        <v>12428</v>
      </c>
      <c r="AY1885" s="557"/>
      <c r="AZ1885" s="557"/>
      <c r="BA1885" s="714">
        <f>I1885/24</f>
        <v>517.833333333333</v>
      </c>
      <c r="BB1885" s="888"/>
      <c r="BC1885" s="557"/>
      <c r="BD1885" s="557"/>
      <c r="BE1885" s="557"/>
      <c r="BF1885" s="880"/>
      <c r="BG1885" s="881"/>
      <c r="BH1885" s="882"/>
      <c r="BI1885" s="557"/>
      <c r="BJ1885" s="557"/>
      <c r="BK1885" s="557"/>
      <c r="BL1885" s="557"/>
      <c r="BM1885" s="554">
        <f>I1885/13</f>
        <v>956</v>
      </c>
      <c r="BN1885" s="557"/>
      <c r="BO1885" s="557"/>
      <c r="BP1885" s="557"/>
      <c r="BQ1885" s="557"/>
      <c r="BR1885" s="557"/>
      <c r="BS1885" s="557"/>
      <c r="BT1885" s="557"/>
      <c r="BU1885" s="557"/>
      <c r="BV1885" s="557"/>
      <c r="BW1885" s="557"/>
      <c r="BX1885" s="557"/>
      <c r="BY1885" s="557"/>
      <c r="BZ1885" s="557"/>
      <c r="CA1885" s="883"/>
      <c r="CB1885" s="555"/>
      <c r="CC1885" s="882"/>
      <c r="CD1885" s="557"/>
      <c r="CE1885" s="557"/>
      <c r="CF1885" s="557"/>
      <c r="CG1885" s="880"/>
      <c r="CH1885" s="881"/>
      <c r="CI1885" s="882"/>
      <c r="CJ1885" s="557"/>
      <c r="CK1885" s="557"/>
      <c r="CL1885" s="557"/>
      <c r="CM1885" s="557"/>
      <c r="CN1885" s="557"/>
      <c r="CO1885" s="557"/>
      <c r="CP1885" s="878"/>
      <c r="CQ1885" s="878"/>
      <c r="CR1885" s="557"/>
      <c r="CS1885" s="557"/>
      <c r="CT1885" s="557"/>
      <c r="CU1885" s="554">
        <f t="shared" si="768"/>
        <v>0</v>
      </c>
      <c r="CV1885" s="554">
        <v>0</v>
      </c>
      <c r="CW1885" s="554">
        <v>0</v>
      </c>
      <c r="CX1885" s="878"/>
      <c r="CY1885" s="878"/>
      <c r="CZ1885" s="878"/>
      <c r="DA1885" s="878"/>
      <c r="DB1885" s="878"/>
      <c r="DC1885" s="878"/>
      <c r="DD1885" s="878"/>
      <c r="DE1885" s="878"/>
      <c r="DF1885" s="878"/>
      <c r="DG1885" s="878"/>
      <c r="DH1885" s="878"/>
    </row>
    <row r="1886" s="554" customFormat="1" ht="31" customHeight="1" spans="1:112">
      <c r="A1886" s="608">
        <v>46126</v>
      </c>
      <c r="B1886" s="609" t="s">
        <v>3340</v>
      </c>
      <c r="C1886" s="610" t="s">
        <v>98</v>
      </c>
      <c r="D1886" s="554">
        <v>4500201756</v>
      </c>
      <c r="E1886" s="610">
        <v>127339</v>
      </c>
      <c r="F1886" s="554" t="s">
        <v>10603</v>
      </c>
      <c r="G1886" s="610" t="s">
        <v>6787</v>
      </c>
      <c r="H1886" s="610" t="s">
        <v>6126</v>
      </c>
      <c r="I1886" s="715">
        <v>2196</v>
      </c>
      <c r="J1886" s="610">
        <v>0</v>
      </c>
      <c r="K1886" s="610">
        <v>12</v>
      </c>
      <c r="L1886" s="611">
        <f t="shared" si="756"/>
        <v>183</v>
      </c>
      <c r="M1886" s="612">
        <v>46247</v>
      </c>
      <c r="N1886" s="612">
        <v>46244</v>
      </c>
      <c r="O1886" s="892"/>
      <c r="P1886" s="610" t="s">
        <v>113</v>
      </c>
      <c r="Q1886" s="614" t="s">
        <v>10592</v>
      </c>
      <c r="R1886" s="614">
        <v>46126</v>
      </c>
      <c r="S1886" s="614" t="s">
        <v>70</v>
      </c>
      <c r="T1886" s="614" t="s">
        <v>10599</v>
      </c>
      <c r="U1886" s="818"/>
      <c r="V1886" s="818"/>
      <c r="W1886" s="819"/>
      <c r="X1886" s="820" t="s">
        <v>10604</v>
      </c>
      <c r="Y1886" s="616" t="s">
        <v>3864</v>
      </c>
      <c r="Z1886" s="609">
        <v>1.3318</v>
      </c>
      <c r="AA1886" s="616">
        <f t="shared" si="757"/>
        <v>2924.6328</v>
      </c>
      <c r="AC1886" s="697"/>
      <c r="AD1886" s="609" t="s">
        <v>8079</v>
      </c>
      <c r="AE1886" s="610" t="s">
        <v>82</v>
      </c>
      <c r="AF1886" s="610"/>
      <c r="AG1886" s="610"/>
      <c r="AH1886" s="609"/>
      <c r="AI1886" s="609">
        <v>2196</v>
      </c>
      <c r="AJ1886" s="610">
        <f t="shared" si="753"/>
        <v>0</v>
      </c>
      <c r="AK1886" s="613"/>
      <c r="AL1886" s="610" t="s">
        <v>2368</v>
      </c>
      <c r="AM1886" s="610"/>
      <c r="AN1886" s="610">
        <f>I1886*2</f>
        <v>4392</v>
      </c>
      <c r="AQ1886" s="554">
        <f>I1886*2</f>
        <v>4392</v>
      </c>
      <c r="AR1886" s="619"/>
      <c r="AS1886" s="554"/>
      <c r="AT1886" s="554"/>
      <c r="AU1886" s="554">
        <f>I1886*2</f>
        <v>4392</v>
      </c>
      <c r="AX1886" s="714"/>
      <c r="AY1886" s="554"/>
      <c r="AZ1886" s="554"/>
      <c r="BA1886" s="554"/>
      <c r="BB1886" s="620">
        <f>I1886/24*2</f>
        <v>183</v>
      </c>
      <c r="CA1886" s="720"/>
      <c r="CB1886" s="555"/>
      <c r="CC1886" s="721"/>
      <c r="CD1886" s="554"/>
      <c r="CE1886" s="554"/>
      <c r="CF1886" s="554"/>
      <c r="CG1886" s="554"/>
      <c r="CP1886" s="619"/>
      <c r="CQ1886" s="619"/>
      <c r="CR1886" s="554">
        <f>I1886</f>
        <v>2196</v>
      </c>
      <c r="CS1886" s="554">
        <f>I1886</f>
        <v>2196</v>
      </c>
      <c r="CT1886" s="554">
        <f>I1886</f>
        <v>2196</v>
      </c>
      <c r="CU1886" s="554">
        <f t="shared" si="768"/>
        <v>0</v>
      </c>
      <c r="CV1886" s="554">
        <v>0</v>
      </c>
      <c r="CW1886" s="554">
        <v>0</v>
      </c>
      <c r="CX1886" s="619"/>
      <c r="CY1886" s="619"/>
      <c r="CZ1886" s="619"/>
      <c r="DA1886" s="619"/>
      <c r="DB1886" s="619"/>
      <c r="DC1886" s="619"/>
      <c r="DD1886" s="619"/>
      <c r="DE1886" s="619"/>
      <c r="DF1886" s="619"/>
      <c r="DG1886" s="619"/>
      <c r="DH1886" s="619"/>
    </row>
    <row r="1887" s="550" customFormat="1" ht="31" customHeight="1" spans="1:112">
      <c r="A1887" s="608">
        <v>46182</v>
      </c>
      <c r="B1887" s="609" t="s">
        <v>1620</v>
      </c>
      <c r="C1887" s="610" t="s">
        <v>278</v>
      </c>
      <c r="D1887" s="554">
        <v>4500211354</v>
      </c>
      <c r="E1887" s="610">
        <v>4400575075</v>
      </c>
      <c r="F1887" s="554" t="s">
        <v>10605</v>
      </c>
      <c r="G1887" s="610" t="s">
        <v>6047</v>
      </c>
      <c r="H1887" s="610" t="s">
        <v>6069</v>
      </c>
      <c r="I1887" s="715">
        <v>10000</v>
      </c>
      <c r="J1887" s="610">
        <v>0</v>
      </c>
      <c r="K1887" s="843">
        <v>25</v>
      </c>
      <c r="L1887" s="844">
        <f t="shared" si="756"/>
        <v>400</v>
      </c>
      <c r="M1887" s="845">
        <v>46247</v>
      </c>
      <c r="N1887" s="612">
        <v>46244</v>
      </c>
      <c r="O1887" s="613"/>
      <c r="P1887" s="610" t="s">
        <v>113</v>
      </c>
      <c r="Q1887" s="614"/>
      <c r="R1887" s="614">
        <v>46182</v>
      </c>
      <c r="S1887" s="614" t="s">
        <v>70</v>
      </c>
      <c r="T1887" s="614" t="s">
        <v>8294</v>
      </c>
      <c r="V1887" s="862" t="s">
        <v>5396</v>
      </c>
      <c r="W1887" s="818" t="s">
        <v>5052</v>
      </c>
      <c r="X1887" s="820" t="s">
        <v>10461</v>
      </c>
      <c r="Y1887" s="616" t="s">
        <v>1549</v>
      </c>
      <c r="Z1887" s="609">
        <v>0.9649</v>
      </c>
      <c r="AA1887" s="616">
        <f t="shared" si="757"/>
        <v>9649</v>
      </c>
      <c r="AC1887" s="697"/>
      <c r="AD1887" s="610" t="s">
        <v>6047</v>
      </c>
      <c r="AE1887" s="610" t="s">
        <v>82</v>
      </c>
      <c r="AF1887" s="610"/>
      <c r="AG1887" s="610"/>
      <c r="AH1887" s="609"/>
      <c r="AI1887" s="609">
        <v>10000</v>
      </c>
      <c r="AJ1887" s="610">
        <f t="shared" si="753"/>
        <v>0</v>
      </c>
      <c r="AK1887" s="613"/>
      <c r="AL1887" s="610" t="s">
        <v>2368</v>
      </c>
      <c r="AM1887" s="610"/>
      <c r="AN1887" s="610"/>
      <c r="AO1887" s="554">
        <f>I1887</f>
        <v>10000</v>
      </c>
      <c r="AP1887" s="554"/>
      <c r="AQ1887" s="554"/>
      <c r="AR1887" s="619"/>
      <c r="AS1887" s="554"/>
      <c r="AT1887" s="554">
        <f>I1887</f>
        <v>10000</v>
      </c>
      <c r="AU1887" s="554"/>
      <c r="AV1887" s="554">
        <f>I1887</f>
        <v>10000</v>
      </c>
      <c r="AW1887" s="864"/>
      <c r="AX1887" s="714"/>
      <c r="AY1887" s="554"/>
      <c r="AZ1887" s="554"/>
      <c r="BA1887" s="554"/>
      <c r="BB1887" s="620">
        <f>I1887/24*2</f>
        <v>833.333333333333</v>
      </c>
      <c r="BC1887" s="554"/>
      <c r="BD1887" s="554"/>
      <c r="BE1887" s="554"/>
      <c r="BF1887" s="720"/>
      <c r="BG1887" s="555"/>
      <c r="BH1887" s="721"/>
      <c r="BI1887" s="554"/>
      <c r="BJ1887" s="554"/>
      <c r="BK1887" s="554"/>
      <c r="BL1887" s="554"/>
      <c r="BM1887" s="554"/>
      <c r="BN1887" s="554"/>
      <c r="BO1887" s="554"/>
      <c r="BP1887" s="554">
        <f>I1887/25</f>
        <v>400</v>
      </c>
      <c r="BQ1887" s="554"/>
      <c r="BR1887" s="554"/>
      <c r="BS1887" s="554"/>
      <c r="BT1887" s="554"/>
      <c r="BU1887" s="554"/>
      <c r="BV1887" s="554"/>
      <c r="BW1887" s="554"/>
      <c r="BX1887" s="554"/>
      <c r="BY1887" s="554"/>
      <c r="BZ1887" s="554"/>
      <c r="CA1887" s="720"/>
      <c r="CB1887" s="555"/>
      <c r="CC1887" s="721"/>
      <c r="CD1887" s="554"/>
      <c r="CE1887" s="554"/>
      <c r="CF1887" s="554"/>
      <c r="CG1887" s="720"/>
      <c r="CH1887" s="555"/>
      <c r="CI1887" s="721"/>
      <c r="CJ1887" s="554"/>
      <c r="CK1887" s="554"/>
      <c r="CL1887" s="554"/>
      <c r="CM1887" s="554"/>
      <c r="CN1887" s="554"/>
      <c r="CO1887" s="554"/>
      <c r="CP1887" s="619"/>
      <c r="CQ1887" s="619"/>
      <c r="CR1887" s="554"/>
      <c r="CS1887" s="554"/>
      <c r="CT1887" s="554"/>
      <c r="CU1887" s="554">
        <f t="shared" si="768"/>
        <v>400</v>
      </c>
      <c r="CV1887" s="554">
        <f t="shared" ref="CV1887:CV1900" si="769">CK1887+CL1887+CM1887+CN1887+CO1887+CQ1887+CP1887</f>
        <v>0</v>
      </c>
      <c r="CW1887" s="554">
        <f t="shared" ref="CW1887:CW1900" si="770">CI1887+CJ1887</f>
        <v>0</v>
      </c>
      <c r="CX1887" s="619"/>
      <c r="CY1887" s="619"/>
      <c r="CZ1887" s="619"/>
      <c r="DA1887" s="619"/>
      <c r="DB1887" s="619"/>
      <c r="DC1887" s="619"/>
      <c r="DD1887" s="619"/>
      <c r="DE1887" s="619"/>
      <c r="DF1887" s="619"/>
      <c r="DG1887" s="619"/>
      <c r="DH1887" s="619"/>
    </row>
    <row r="1888" s="550" customFormat="1" ht="31" customHeight="1" spans="1:112">
      <c r="A1888" s="608">
        <v>46185</v>
      </c>
      <c r="B1888" s="609" t="s">
        <v>1544</v>
      </c>
      <c r="C1888" s="610" t="s">
        <v>257</v>
      </c>
      <c r="D1888" s="727">
        <v>4500211915</v>
      </c>
      <c r="E1888" s="613">
        <v>4400577325</v>
      </c>
      <c r="F1888" s="554" t="s">
        <v>10606</v>
      </c>
      <c r="G1888" s="610" t="s">
        <v>6047</v>
      </c>
      <c r="H1888" s="610" t="s">
        <v>6069</v>
      </c>
      <c r="I1888" s="715">
        <v>9000</v>
      </c>
      <c r="J1888" s="610">
        <v>0</v>
      </c>
      <c r="K1888" s="843">
        <v>25</v>
      </c>
      <c r="L1888" s="844">
        <f t="shared" si="756"/>
        <v>360</v>
      </c>
      <c r="M1888" s="845">
        <v>46248</v>
      </c>
      <c r="N1888" s="612">
        <v>46244</v>
      </c>
      <c r="O1888" s="613"/>
      <c r="P1888" s="610" t="s">
        <v>113</v>
      </c>
      <c r="Q1888" s="614">
        <v>46258</v>
      </c>
      <c r="R1888" s="614">
        <v>46185</v>
      </c>
      <c r="S1888" s="614" t="s">
        <v>70</v>
      </c>
      <c r="T1888" s="614" t="s">
        <v>8294</v>
      </c>
      <c r="U1888" s="818"/>
      <c r="V1888" s="862" t="s">
        <v>5396</v>
      </c>
      <c r="W1888" s="819"/>
      <c r="X1888" s="820" t="s">
        <v>10607</v>
      </c>
      <c r="Y1888" s="616" t="s">
        <v>5054</v>
      </c>
      <c r="Z1888" s="609">
        <v>0.9703</v>
      </c>
      <c r="AA1888" s="616">
        <f t="shared" si="757"/>
        <v>8732.7</v>
      </c>
      <c r="AC1888" s="697"/>
      <c r="AD1888" s="610" t="s">
        <v>6047</v>
      </c>
      <c r="AE1888" s="610" t="s">
        <v>82</v>
      </c>
      <c r="AF1888" s="610"/>
      <c r="AG1888" s="610"/>
      <c r="AH1888" s="609"/>
      <c r="AI1888" s="609">
        <v>9000</v>
      </c>
      <c r="AJ1888" s="610">
        <f t="shared" si="753"/>
        <v>0</v>
      </c>
      <c r="AK1888" s="613"/>
      <c r="AL1888" s="610" t="s">
        <v>2368</v>
      </c>
      <c r="AM1888" s="610"/>
      <c r="AN1888" s="610"/>
      <c r="AO1888" s="554">
        <f>I1888</f>
        <v>9000</v>
      </c>
      <c r="AP1888" s="554"/>
      <c r="AQ1888" s="554"/>
      <c r="AR1888" s="619"/>
      <c r="AS1888" s="554"/>
      <c r="AT1888" s="554">
        <f>I1888</f>
        <v>9000</v>
      </c>
      <c r="AU1888" s="554"/>
      <c r="AV1888" s="554">
        <f>I1888</f>
        <v>9000</v>
      </c>
      <c r="AW1888" s="554"/>
      <c r="AX1888" s="714"/>
      <c r="AY1888" s="554"/>
      <c r="AZ1888" s="554"/>
      <c r="BA1888" s="554"/>
      <c r="BB1888" s="620">
        <f>I1888/24*2</f>
        <v>750</v>
      </c>
      <c r="BC1888" s="554"/>
      <c r="BD1888" s="554"/>
      <c r="BE1888" s="554"/>
      <c r="BF1888" s="720"/>
      <c r="BG1888" s="555"/>
      <c r="BH1888" s="721"/>
      <c r="BI1888" s="554"/>
      <c r="BJ1888" s="554"/>
      <c r="BK1888" s="554"/>
      <c r="BL1888" s="554"/>
      <c r="BM1888" s="554"/>
      <c r="BN1888" s="554"/>
      <c r="BO1888" s="554"/>
      <c r="BP1888" s="554">
        <f>I1888/25</f>
        <v>360</v>
      </c>
      <c r="BQ1888" s="554"/>
      <c r="BR1888" s="554"/>
      <c r="BS1888" s="554"/>
      <c r="BT1888" s="554"/>
      <c r="BU1888" s="554"/>
      <c r="BV1888" s="554"/>
      <c r="BW1888" s="554"/>
      <c r="BX1888" s="554"/>
      <c r="BY1888" s="554"/>
      <c r="BZ1888" s="554"/>
      <c r="CA1888" s="720"/>
      <c r="CB1888" s="555"/>
      <c r="CC1888" s="721"/>
      <c r="CD1888" s="554"/>
      <c r="CE1888" s="554"/>
      <c r="CF1888" s="554"/>
      <c r="CG1888" s="720"/>
      <c r="CH1888" s="555"/>
      <c r="CI1888" s="721"/>
      <c r="CJ1888" s="554"/>
      <c r="CK1888" s="554"/>
      <c r="CL1888" s="554"/>
      <c r="CM1888" s="554"/>
      <c r="CN1888" s="554"/>
      <c r="CO1888" s="554"/>
      <c r="CP1888" s="619"/>
      <c r="CQ1888" s="619"/>
      <c r="CR1888" s="554"/>
      <c r="CS1888" s="554"/>
      <c r="CT1888" s="554"/>
      <c r="CU1888" s="554">
        <f t="shared" si="768"/>
        <v>360</v>
      </c>
      <c r="CV1888" s="554">
        <f t="shared" si="769"/>
        <v>0</v>
      </c>
      <c r="CW1888" s="554">
        <f t="shared" si="770"/>
        <v>0</v>
      </c>
      <c r="CX1888" s="619"/>
      <c r="CY1888" s="619"/>
      <c r="CZ1888" s="619"/>
      <c r="DA1888" s="619"/>
      <c r="DB1888" s="619"/>
      <c r="DC1888" s="619"/>
      <c r="DD1888" s="619"/>
      <c r="DE1888" s="619"/>
      <c r="DF1888" s="619"/>
      <c r="DG1888" s="619"/>
      <c r="DH1888" s="619"/>
    </row>
    <row r="1889" s="550" customFormat="1" ht="31" customHeight="1" spans="1:112">
      <c r="A1889" s="867">
        <v>46185</v>
      </c>
      <c r="B1889" s="605" t="s">
        <v>5022</v>
      </c>
      <c r="C1889" s="589" t="s">
        <v>98</v>
      </c>
      <c r="D1889" s="557">
        <v>4500212038</v>
      </c>
      <c r="E1889" s="589" t="s">
        <v>5024</v>
      </c>
      <c r="F1889" s="557" t="s">
        <v>10608</v>
      </c>
      <c r="G1889" s="589" t="s">
        <v>6032</v>
      </c>
      <c r="H1889" s="589" t="s">
        <v>6033</v>
      </c>
      <c r="I1889" s="868">
        <v>60424</v>
      </c>
      <c r="J1889" s="589">
        <v>0</v>
      </c>
      <c r="K1889" s="869">
        <v>52</v>
      </c>
      <c r="L1889" s="870">
        <f t="shared" si="756"/>
        <v>1162</v>
      </c>
      <c r="M1889" s="871">
        <v>46248</v>
      </c>
      <c r="N1889" s="887">
        <v>46245</v>
      </c>
      <c r="O1889" s="873"/>
      <c r="P1889" s="589" t="s">
        <v>113</v>
      </c>
      <c r="Q1889" s="874"/>
      <c r="R1889" s="614">
        <v>46196</v>
      </c>
      <c r="S1889" s="614" t="s">
        <v>104</v>
      </c>
      <c r="T1889" s="614" t="s">
        <v>5026</v>
      </c>
      <c r="U1889" s="902"/>
      <c r="V1889" s="902"/>
      <c r="W1889" s="819"/>
      <c r="X1889" s="904" t="s">
        <v>5027</v>
      </c>
      <c r="Y1889" s="876" t="s">
        <v>5028</v>
      </c>
      <c r="Z1889" s="605">
        <v>0.5717</v>
      </c>
      <c r="AA1889" s="876">
        <f t="shared" si="757"/>
        <v>34544.4008</v>
      </c>
      <c r="AC1889" s="951" t="s">
        <v>10609</v>
      </c>
      <c r="AD1889" s="610" t="s">
        <v>6032</v>
      </c>
      <c r="AE1889" s="589" t="s">
        <v>82</v>
      </c>
      <c r="AF1889" s="589"/>
      <c r="AG1889" s="589"/>
      <c r="AH1889" s="605"/>
      <c r="AI1889" s="609">
        <f>32188+28236</f>
        <v>60424</v>
      </c>
      <c r="AJ1889" s="610">
        <f t="shared" si="753"/>
        <v>0</v>
      </c>
      <c r="AK1889" s="873"/>
      <c r="AL1889" s="589" t="s">
        <v>2368</v>
      </c>
      <c r="AM1889" s="589"/>
      <c r="AN1889" s="589">
        <f>I1889</f>
        <v>60424</v>
      </c>
      <c r="AO1889" s="557"/>
      <c r="AP1889" s="554">
        <f>I1889</f>
        <v>60424</v>
      </c>
      <c r="AQ1889" s="557"/>
      <c r="AR1889" s="878"/>
      <c r="AS1889" s="557"/>
      <c r="AT1889" s="557"/>
      <c r="AU1889" s="554">
        <f>I1889</f>
        <v>60424</v>
      </c>
      <c r="AV1889" s="557"/>
      <c r="AW1889" s="557"/>
      <c r="AX1889" s="879"/>
      <c r="AY1889" s="557"/>
      <c r="AZ1889" s="557"/>
      <c r="BA1889" s="557"/>
      <c r="BB1889" s="620">
        <f t="shared" ref="BB1889:BB1898" si="771">I1889/24</f>
        <v>2517.66666666667</v>
      </c>
      <c r="BC1889" s="557"/>
      <c r="BD1889" s="557"/>
      <c r="BE1889" s="557"/>
      <c r="BF1889" s="880"/>
      <c r="BG1889" s="881"/>
      <c r="BH1889" s="882"/>
      <c r="BI1889" s="557"/>
      <c r="BJ1889" s="557"/>
      <c r="BK1889" s="554">
        <f>I1889/13</f>
        <v>4648</v>
      </c>
      <c r="BL1889" s="557"/>
      <c r="BM1889" s="557"/>
      <c r="BN1889" s="557"/>
      <c r="BO1889" s="557"/>
      <c r="BP1889" s="557"/>
      <c r="BQ1889" s="557"/>
      <c r="BR1889" s="557"/>
      <c r="BS1889" s="557"/>
      <c r="BT1889" s="557"/>
      <c r="BU1889" s="557"/>
      <c r="BV1889" s="557"/>
      <c r="BW1889" s="557"/>
      <c r="BX1889" s="557"/>
      <c r="BY1889" s="557"/>
      <c r="BZ1889" s="557"/>
      <c r="CA1889" s="883"/>
      <c r="CB1889" s="555"/>
      <c r="CC1889" s="882"/>
      <c r="CD1889" s="557"/>
      <c r="CE1889" s="557"/>
      <c r="CF1889" s="557"/>
      <c r="CG1889" s="880"/>
      <c r="CH1889" s="881"/>
      <c r="CI1889" s="882"/>
      <c r="CJ1889" s="557"/>
      <c r="CK1889" s="557"/>
      <c r="CL1889" s="557"/>
      <c r="CM1889" s="557"/>
      <c r="CN1889" s="557"/>
      <c r="CO1889" s="557"/>
      <c r="CP1889" s="878"/>
      <c r="CQ1889" s="878"/>
      <c r="CR1889" s="557"/>
      <c r="CS1889" s="557"/>
      <c r="CT1889" s="557"/>
      <c r="CU1889" s="554">
        <f t="shared" si="768"/>
        <v>0</v>
      </c>
      <c r="CV1889" s="554">
        <f t="shared" si="769"/>
        <v>0</v>
      </c>
      <c r="CW1889" s="554">
        <f t="shared" si="770"/>
        <v>0</v>
      </c>
      <c r="CX1889" s="878"/>
      <c r="CY1889" s="878"/>
      <c r="CZ1889" s="878"/>
      <c r="DA1889" s="878"/>
      <c r="DB1889" s="878"/>
      <c r="DC1889" s="878"/>
      <c r="DD1889" s="878"/>
      <c r="DE1889" s="878"/>
      <c r="DF1889" s="878"/>
      <c r="DG1889" s="878"/>
      <c r="DH1889" s="878"/>
    </row>
    <row r="1890" s="550" customFormat="1" ht="31" customHeight="1" spans="1:112">
      <c r="A1890" s="889">
        <v>46203</v>
      </c>
      <c r="B1890" s="819" t="s">
        <v>4371</v>
      </c>
      <c r="C1890" s="890" t="s">
        <v>98</v>
      </c>
      <c r="D1890" s="555">
        <v>4500214197</v>
      </c>
      <c r="E1890" s="890">
        <v>1003602764</v>
      </c>
      <c r="F1890" s="555" t="s">
        <v>10610</v>
      </c>
      <c r="G1890" s="890" t="s">
        <v>6063</v>
      </c>
      <c r="H1890" s="890" t="s">
        <v>6064</v>
      </c>
      <c r="I1890" s="893">
        <v>3840</v>
      </c>
      <c r="J1890" s="890">
        <v>0</v>
      </c>
      <c r="K1890" s="890">
        <v>16</v>
      </c>
      <c r="L1890" s="844">
        <f t="shared" si="756"/>
        <v>240</v>
      </c>
      <c r="M1890" s="887">
        <v>46251</v>
      </c>
      <c r="N1890" s="887">
        <v>46246</v>
      </c>
      <c r="O1890" s="892" t="s">
        <v>5399</v>
      </c>
      <c r="P1890" s="890" t="s">
        <v>113</v>
      </c>
      <c r="Q1890" s="862">
        <v>46258</v>
      </c>
      <c r="R1890" s="862" t="s">
        <v>9889</v>
      </c>
      <c r="S1890" s="862" t="s">
        <v>70</v>
      </c>
      <c r="T1890" s="862" t="s">
        <v>10611</v>
      </c>
      <c r="U1890" s="862"/>
      <c r="V1890" s="862"/>
      <c r="W1890" s="819"/>
      <c r="X1890" s="819" t="s">
        <v>10396</v>
      </c>
      <c r="Y1890" s="894" t="s">
        <v>4378</v>
      </c>
      <c r="Z1890" s="819">
        <v>0.6268</v>
      </c>
      <c r="AA1890" s="894">
        <f t="shared" si="757"/>
        <v>2406.912</v>
      </c>
      <c r="AB1890" s="819"/>
      <c r="AC1890" s="697"/>
      <c r="AD1890" s="890" t="s">
        <v>6063</v>
      </c>
      <c r="AE1890" s="890" t="s">
        <v>82</v>
      </c>
      <c r="AF1890" s="890"/>
      <c r="AG1890" s="890"/>
      <c r="AH1890" s="819"/>
      <c r="AI1890" s="609">
        <v>3840</v>
      </c>
      <c r="AJ1890" s="890">
        <f t="shared" si="753"/>
        <v>0</v>
      </c>
      <c r="AK1890" s="892"/>
      <c r="AL1890" s="890" t="s">
        <v>2368</v>
      </c>
      <c r="AM1890" s="890"/>
      <c r="AN1890" s="890">
        <f>I1890</f>
        <v>3840</v>
      </c>
      <c r="AO1890" s="555"/>
      <c r="AP1890" s="555">
        <f>I1890</f>
        <v>3840</v>
      </c>
      <c r="AQ1890" s="555"/>
      <c r="AR1890" s="895"/>
      <c r="AS1890" s="555"/>
      <c r="AT1890" s="555"/>
      <c r="AU1890" s="555">
        <f>I1890</f>
        <v>3840</v>
      </c>
      <c r="AV1890" s="555"/>
      <c r="AW1890" s="555"/>
      <c r="AX1890" s="896"/>
      <c r="AY1890" s="555"/>
      <c r="AZ1890" s="555"/>
      <c r="BA1890" s="555"/>
      <c r="BB1890" s="897">
        <f t="shared" si="771"/>
        <v>160</v>
      </c>
      <c r="BC1890" s="555"/>
      <c r="BD1890" s="555"/>
      <c r="BE1890" s="555"/>
      <c r="BF1890" s="555"/>
      <c r="BG1890" s="555"/>
      <c r="BH1890" s="555"/>
      <c r="BI1890" s="555"/>
      <c r="BJ1890" s="555"/>
      <c r="BK1890" s="555"/>
      <c r="BL1890" s="555"/>
      <c r="BM1890" s="555"/>
      <c r="BN1890" s="555"/>
      <c r="BO1890" s="555"/>
      <c r="BP1890" s="555"/>
      <c r="BQ1890" s="555">
        <f>I1890/16</f>
        <v>240</v>
      </c>
      <c r="BR1890" s="555"/>
      <c r="BS1890" s="555"/>
      <c r="BT1890" s="555"/>
      <c r="BU1890" s="555"/>
      <c r="BV1890" s="555"/>
      <c r="BW1890" s="555"/>
      <c r="BX1890" s="555"/>
      <c r="BY1890" s="555"/>
      <c r="BZ1890" s="555"/>
      <c r="CA1890" s="952"/>
      <c r="CB1890" s="555"/>
      <c r="CC1890" s="907"/>
      <c r="CD1890" s="555"/>
      <c r="CE1890" s="555"/>
      <c r="CF1890" s="555"/>
      <c r="CG1890" s="555"/>
      <c r="CH1890" s="555"/>
      <c r="CI1890" s="555"/>
      <c r="CJ1890" s="555"/>
      <c r="CK1890" s="555"/>
      <c r="CL1890" s="555"/>
      <c r="CM1890" s="555"/>
      <c r="CN1890" s="555"/>
      <c r="CO1890" s="555"/>
      <c r="CP1890" s="895"/>
      <c r="CQ1890" s="895"/>
      <c r="CR1890" s="555"/>
      <c r="CS1890" s="555"/>
      <c r="CT1890" s="555"/>
      <c r="CU1890" s="555">
        <f t="shared" si="768"/>
        <v>240</v>
      </c>
      <c r="CV1890" s="555">
        <f t="shared" si="769"/>
        <v>0</v>
      </c>
      <c r="CW1890" s="555">
        <f t="shared" si="770"/>
        <v>0</v>
      </c>
      <c r="CX1890" s="895"/>
      <c r="CY1890" s="895"/>
      <c r="CZ1890" s="895"/>
      <c r="DA1890" s="895"/>
      <c r="DB1890" s="895"/>
      <c r="DC1890" s="895"/>
      <c r="DD1890" s="895"/>
      <c r="DE1890" s="895"/>
      <c r="DF1890" s="895"/>
      <c r="DG1890" s="895"/>
      <c r="DH1890" s="895"/>
    </row>
    <row r="1891" s="550" customFormat="1" ht="31" customHeight="1" spans="1:112">
      <c r="A1891" s="889">
        <v>46203</v>
      </c>
      <c r="B1891" s="819" t="s">
        <v>4371</v>
      </c>
      <c r="C1891" s="890" t="s">
        <v>98</v>
      </c>
      <c r="D1891" s="555">
        <v>4500214197</v>
      </c>
      <c r="E1891" s="890">
        <v>1003607693</v>
      </c>
      <c r="F1891" s="555" t="s">
        <v>10612</v>
      </c>
      <c r="G1891" s="890" t="s">
        <v>6063</v>
      </c>
      <c r="H1891" s="890" t="s">
        <v>6064</v>
      </c>
      <c r="I1891" s="893">
        <v>7440</v>
      </c>
      <c r="J1891" s="890">
        <v>0</v>
      </c>
      <c r="K1891" s="890">
        <v>16</v>
      </c>
      <c r="L1891" s="844">
        <f t="shared" si="756"/>
        <v>465</v>
      </c>
      <c r="M1891" s="887">
        <v>46251</v>
      </c>
      <c r="N1891" s="887">
        <v>46246</v>
      </c>
      <c r="O1891" s="892" t="s">
        <v>5389</v>
      </c>
      <c r="P1891" s="890" t="s">
        <v>113</v>
      </c>
      <c r="Q1891" s="862">
        <v>46258</v>
      </c>
      <c r="R1891" s="862" t="s">
        <v>9889</v>
      </c>
      <c r="S1891" s="862" t="s">
        <v>70</v>
      </c>
      <c r="T1891" s="862" t="s">
        <v>10611</v>
      </c>
      <c r="U1891" s="862"/>
      <c r="V1891" s="862"/>
      <c r="W1891" s="819"/>
      <c r="X1891" s="819" t="s">
        <v>10396</v>
      </c>
      <c r="Y1891" s="894" t="s">
        <v>4378</v>
      </c>
      <c r="Z1891" s="819">
        <v>0.6301</v>
      </c>
      <c r="AA1891" s="894">
        <f t="shared" si="757"/>
        <v>4687.944</v>
      </c>
      <c r="AB1891" s="819"/>
      <c r="AC1891" s="697"/>
      <c r="AD1891" s="890" t="s">
        <v>6063</v>
      </c>
      <c r="AE1891" s="890" t="s">
        <v>82</v>
      </c>
      <c r="AF1891" s="890"/>
      <c r="AG1891" s="890"/>
      <c r="AH1891" s="819"/>
      <c r="AI1891" s="892">
        <v>7440</v>
      </c>
      <c r="AJ1891" s="890">
        <f t="shared" si="753"/>
        <v>0</v>
      </c>
      <c r="AK1891" s="892"/>
      <c r="AL1891" s="890" t="s">
        <v>2368</v>
      </c>
      <c r="AM1891" s="890"/>
      <c r="AN1891" s="890">
        <f>I1891</f>
        <v>7440</v>
      </c>
      <c r="AO1891" s="555"/>
      <c r="AP1891" s="555">
        <f>I1891</f>
        <v>7440</v>
      </c>
      <c r="AQ1891" s="555"/>
      <c r="AR1891" s="895"/>
      <c r="AS1891" s="555"/>
      <c r="AT1891" s="555"/>
      <c r="AU1891" s="555">
        <f>I1891</f>
        <v>7440</v>
      </c>
      <c r="AV1891" s="555"/>
      <c r="AW1891" s="555"/>
      <c r="AX1891" s="896"/>
      <c r="AY1891" s="555"/>
      <c r="AZ1891" s="555"/>
      <c r="BA1891" s="555"/>
      <c r="BB1891" s="897">
        <f t="shared" si="771"/>
        <v>310</v>
      </c>
      <c r="BC1891" s="555"/>
      <c r="BD1891" s="555"/>
      <c r="BE1891" s="555"/>
      <c r="BF1891" s="555"/>
      <c r="BG1891" s="555"/>
      <c r="BH1891" s="555"/>
      <c r="BI1891" s="555"/>
      <c r="BJ1891" s="555"/>
      <c r="BK1891" s="555"/>
      <c r="BL1891" s="555"/>
      <c r="BM1891" s="555"/>
      <c r="BN1891" s="555"/>
      <c r="BO1891" s="555"/>
      <c r="BP1891" s="555"/>
      <c r="BQ1891" s="555">
        <f>I1891/16</f>
        <v>465</v>
      </c>
      <c r="BR1891" s="555"/>
      <c r="BS1891" s="555"/>
      <c r="BT1891" s="555"/>
      <c r="BU1891" s="555"/>
      <c r="BV1891" s="555"/>
      <c r="BW1891" s="555"/>
      <c r="BX1891" s="555"/>
      <c r="BY1891" s="555"/>
      <c r="BZ1891" s="555"/>
      <c r="CA1891" s="952"/>
      <c r="CB1891" s="555"/>
      <c r="CC1891" s="907"/>
      <c r="CD1891" s="555"/>
      <c r="CE1891" s="555"/>
      <c r="CF1891" s="555"/>
      <c r="CG1891" s="555"/>
      <c r="CH1891" s="555"/>
      <c r="CI1891" s="555"/>
      <c r="CJ1891" s="555"/>
      <c r="CK1891" s="555"/>
      <c r="CL1891" s="555"/>
      <c r="CM1891" s="555"/>
      <c r="CN1891" s="555"/>
      <c r="CO1891" s="555"/>
      <c r="CP1891" s="895"/>
      <c r="CQ1891" s="895"/>
      <c r="CR1891" s="555"/>
      <c r="CS1891" s="555"/>
      <c r="CT1891" s="555"/>
      <c r="CU1891" s="555">
        <f t="shared" si="768"/>
        <v>465</v>
      </c>
      <c r="CV1891" s="555">
        <f t="shared" si="769"/>
        <v>0</v>
      </c>
      <c r="CW1891" s="555">
        <f t="shared" si="770"/>
        <v>0</v>
      </c>
      <c r="CX1891" s="895"/>
      <c r="CY1891" s="895"/>
      <c r="CZ1891" s="895"/>
      <c r="DA1891" s="895"/>
      <c r="DB1891" s="895"/>
      <c r="DC1891" s="895"/>
      <c r="DD1891" s="895"/>
      <c r="DE1891" s="895"/>
      <c r="DF1891" s="895"/>
      <c r="DG1891" s="895"/>
      <c r="DH1891" s="895"/>
    </row>
    <row r="1892" s="550" customFormat="1" ht="31" customHeight="1" spans="1:112">
      <c r="A1892" s="889">
        <v>46205</v>
      </c>
      <c r="B1892" s="819" t="s">
        <v>143</v>
      </c>
      <c r="C1892" s="890" t="s">
        <v>98</v>
      </c>
      <c r="D1892" s="891">
        <v>4500214816</v>
      </c>
      <c r="E1892" s="892">
        <v>1007882550</v>
      </c>
      <c r="F1892" s="555" t="s">
        <v>10613</v>
      </c>
      <c r="G1892" s="890" t="s">
        <v>6063</v>
      </c>
      <c r="H1892" s="890" t="s">
        <v>6064</v>
      </c>
      <c r="I1892" s="893">
        <v>9360</v>
      </c>
      <c r="J1892" s="890">
        <v>0</v>
      </c>
      <c r="K1892" s="890">
        <v>16</v>
      </c>
      <c r="L1892" s="844">
        <f t="shared" si="756"/>
        <v>585</v>
      </c>
      <c r="M1892" s="887">
        <v>46251</v>
      </c>
      <c r="N1892" s="887">
        <v>46246</v>
      </c>
      <c r="O1892" s="892" t="s">
        <v>5342</v>
      </c>
      <c r="P1892" s="890" t="s">
        <v>113</v>
      </c>
      <c r="Q1892" s="862"/>
      <c r="R1892" s="862" t="s">
        <v>9889</v>
      </c>
      <c r="S1892" s="862" t="s">
        <v>70</v>
      </c>
      <c r="T1892" s="862" t="s">
        <v>10611</v>
      </c>
      <c r="U1892" s="862"/>
      <c r="V1892" s="862"/>
      <c r="W1892" s="819"/>
      <c r="X1892" s="819" t="s">
        <v>10020</v>
      </c>
      <c r="Y1892" s="894" t="s">
        <v>4871</v>
      </c>
      <c r="Z1892" s="819">
        <v>0.6184</v>
      </c>
      <c r="AA1892" s="894">
        <f t="shared" si="757"/>
        <v>5788.224</v>
      </c>
      <c r="AB1892" s="819"/>
      <c r="AC1892" s="697"/>
      <c r="AD1892" s="890" t="s">
        <v>6063</v>
      </c>
      <c r="AE1892" s="890" t="s">
        <v>82</v>
      </c>
      <c r="AF1892" s="890"/>
      <c r="AG1892" s="890"/>
      <c r="AH1892" s="819"/>
      <c r="AI1892" s="609">
        <v>9360</v>
      </c>
      <c r="AJ1892" s="890">
        <f t="shared" si="753"/>
        <v>0</v>
      </c>
      <c r="AK1892" s="892"/>
      <c r="AL1892" s="890" t="s">
        <v>2368</v>
      </c>
      <c r="AM1892" s="890"/>
      <c r="AN1892" s="890">
        <f>I1892</f>
        <v>9360</v>
      </c>
      <c r="AO1892" s="555"/>
      <c r="AP1892" s="555">
        <f>I1892</f>
        <v>9360</v>
      </c>
      <c r="AQ1892" s="555"/>
      <c r="AR1892" s="895"/>
      <c r="AS1892" s="555"/>
      <c r="AT1892" s="555"/>
      <c r="AU1892" s="555">
        <f>I1892</f>
        <v>9360</v>
      </c>
      <c r="AV1892" s="555"/>
      <c r="AW1892" s="555"/>
      <c r="AX1892" s="896"/>
      <c r="AY1892" s="555"/>
      <c r="AZ1892" s="555"/>
      <c r="BA1892" s="555"/>
      <c r="BB1892" s="897">
        <f t="shared" si="771"/>
        <v>390</v>
      </c>
      <c r="BC1892" s="555"/>
      <c r="BD1892" s="555"/>
      <c r="BE1892" s="555"/>
      <c r="BF1892" s="555"/>
      <c r="BG1892" s="555"/>
      <c r="BH1892" s="555"/>
      <c r="BI1892" s="555"/>
      <c r="BJ1892" s="555"/>
      <c r="BK1892" s="555"/>
      <c r="BL1892" s="555"/>
      <c r="BM1892" s="555"/>
      <c r="BN1892" s="555"/>
      <c r="BO1892" s="555"/>
      <c r="BP1892" s="555"/>
      <c r="BQ1892" s="555">
        <f>I1892/16</f>
        <v>585</v>
      </c>
      <c r="BR1892" s="555"/>
      <c r="BS1892" s="555"/>
      <c r="BT1892" s="555"/>
      <c r="BU1892" s="555"/>
      <c r="BV1892" s="555"/>
      <c r="BW1892" s="555"/>
      <c r="BX1892" s="555"/>
      <c r="BY1892" s="555"/>
      <c r="BZ1892" s="555"/>
      <c r="CA1892" s="952"/>
      <c r="CB1892" s="555"/>
      <c r="CC1892" s="907"/>
      <c r="CD1892" s="555"/>
      <c r="CE1892" s="555"/>
      <c r="CF1892" s="555"/>
      <c r="CG1892" s="555"/>
      <c r="CH1892" s="555"/>
      <c r="CI1892" s="555"/>
      <c r="CJ1892" s="555"/>
      <c r="CK1892" s="555"/>
      <c r="CL1892" s="555"/>
      <c r="CM1892" s="555"/>
      <c r="CN1892" s="555"/>
      <c r="CO1892" s="555"/>
      <c r="CP1892" s="895"/>
      <c r="CQ1892" s="895"/>
      <c r="CR1892" s="555"/>
      <c r="CS1892" s="555"/>
      <c r="CT1892" s="555"/>
      <c r="CU1892" s="555">
        <f t="shared" si="768"/>
        <v>585</v>
      </c>
      <c r="CV1892" s="555">
        <f t="shared" si="769"/>
        <v>0</v>
      </c>
      <c r="CW1892" s="555">
        <f t="shared" si="770"/>
        <v>0</v>
      </c>
      <c r="CX1892" s="895"/>
      <c r="CY1892" s="895"/>
      <c r="CZ1892" s="895"/>
      <c r="DA1892" s="895"/>
      <c r="DB1892" s="895"/>
      <c r="DC1892" s="895"/>
      <c r="DD1892" s="895"/>
      <c r="DE1892" s="895"/>
      <c r="DF1892" s="895"/>
      <c r="DG1892" s="895"/>
      <c r="DH1892" s="895"/>
    </row>
    <row r="1893" s="550" customFormat="1" ht="31" customHeight="1" spans="1:112">
      <c r="A1893" s="889">
        <v>46205</v>
      </c>
      <c r="B1893" s="819" t="s">
        <v>143</v>
      </c>
      <c r="C1893" s="890" t="s">
        <v>98</v>
      </c>
      <c r="D1893" s="891">
        <v>4500214816</v>
      </c>
      <c r="E1893" s="892">
        <v>1007882551</v>
      </c>
      <c r="F1893" s="555" t="s">
        <v>10614</v>
      </c>
      <c r="G1893" s="890" t="s">
        <v>6063</v>
      </c>
      <c r="H1893" s="890" t="s">
        <v>6064</v>
      </c>
      <c r="I1893" s="893">
        <v>9600</v>
      </c>
      <c r="J1893" s="890">
        <v>0</v>
      </c>
      <c r="K1893" s="890">
        <v>16</v>
      </c>
      <c r="L1893" s="844">
        <f t="shared" si="756"/>
        <v>600</v>
      </c>
      <c r="M1893" s="887">
        <v>46251</v>
      </c>
      <c r="N1893" s="887">
        <v>46246</v>
      </c>
      <c r="O1893" s="892" t="s">
        <v>5342</v>
      </c>
      <c r="P1893" s="890" t="s">
        <v>113</v>
      </c>
      <c r="Q1893" s="862"/>
      <c r="R1893" s="862" t="s">
        <v>9889</v>
      </c>
      <c r="S1893" s="862" t="s">
        <v>70</v>
      </c>
      <c r="T1893" s="862" t="s">
        <v>10611</v>
      </c>
      <c r="U1893" s="862"/>
      <c r="V1893" s="862"/>
      <c r="W1893" s="819"/>
      <c r="X1893" s="819" t="s">
        <v>10020</v>
      </c>
      <c r="Y1893" s="894" t="s">
        <v>4871</v>
      </c>
      <c r="Z1893" s="819">
        <v>0.6301</v>
      </c>
      <c r="AA1893" s="894">
        <f t="shared" si="757"/>
        <v>6048.96</v>
      </c>
      <c r="AB1893" s="819"/>
      <c r="AC1893" s="697"/>
      <c r="AD1893" s="890" t="s">
        <v>6063</v>
      </c>
      <c r="AE1893" s="890" t="s">
        <v>82</v>
      </c>
      <c r="AF1893" s="890"/>
      <c r="AG1893" s="890"/>
      <c r="AH1893" s="819"/>
      <c r="AI1893" s="609">
        <v>9600</v>
      </c>
      <c r="AJ1893" s="890">
        <f t="shared" si="753"/>
        <v>0</v>
      </c>
      <c r="AK1893" s="892"/>
      <c r="AL1893" s="890" t="s">
        <v>2368</v>
      </c>
      <c r="AM1893" s="890"/>
      <c r="AN1893" s="890">
        <f>I1893</f>
        <v>9600</v>
      </c>
      <c r="AO1893" s="555"/>
      <c r="AP1893" s="555">
        <f>I1893</f>
        <v>9600</v>
      </c>
      <c r="AQ1893" s="555"/>
      <c r="AR1893" s="895"/>
      <c r="AS1893" s="555"/>
      <c r="AT1893" s="555"/>
      <c r="AU1893" s="555">
        <f>I1893</f>
        <v>9600</v>
      </c>
      <c r="AV1893" s="555"/>
      <c r="AW1893" s="555"/>
      <c r="AX1893" s="896"/>
      <c r="AY1893" s="555"/>
      <c r="AZ1893" s="555"/>
      <c r="BA1893" s="555"/>
      <c r="BB1893" s="897">
        <f t="shared" si="771"/>
        <v>400</v>
      </c>
      <c r="BC1893" s="555"/>
      <c r="BD1893" s="555"/>
      <c r="BE1893" s="555"/>
      <c r="BF1893" s="555"/>
      <c r="BG1893" s="555"/>
      <c r="BH1893" s="555"/>
      <c r="BI1893" s="555"/>
      <c r="BJ1893" s="555"/>
      <c r="BK1893" s="555"/>
      <c r="BL1893" s="555"/>
      <c r="BM1893" s="555"/>
      <c r="BN1893" s="555"/>
      <c r="BO1893" s="555"/>
      <c r="BP1893" s="555"/>
      <c r="BQ1893" s="555">
        <f>I1893/16</f>
        <v>600</v>
      </c>
      <c r="BR1893" s="555"/>
      <c r="BS1893" s="555"/>
      <c r="BT1893" s="555"/>
      <c r="BU1893" s="555"/>
      <c r="BV1893" s="555"/>
      <c r="BW1893" s="555"/>
      <c r="BX1893" s="555"/>
      <c r="BY1893" s="555"/>
      <c r="BZ1893" s="555"/>
      <c r="CA1893" s="952"/>
      <c r="CB1893" s="555"/>
      <c r="CC1893" s="907"/>
      <c r="CD1893" s="555"/>
      <c r="CE1893" s="555"/>
      <c r="CF1893" s="555"/>
      <c r="CG1893" s="555"/>
      <c r="CH1893" s="555"/>
      <c r="CI1893" s="555"/>
      <c r="CJ1893" s="555"/>
      <c r="CK1893" s="555"/>
      <c r="CL1893" s="555"/>
      <c r="CM1893" s="555"/>
      <c r="CN1893" s="555"/>
      <c r="CO1893" s="555"/>
      <c r="CP1893" s="895"/>
      <c r="CQ1893" s="895"/>
      <c r="CR1893" s="555"/>
      <c r="CS1893" s="555"/>
      <c r="CT1893" s="555"/>
      <c r="CU1893" s="555">
        <f t="shared" si="768"/>
        <v>600</v>
      </c>
      <c r="CV1893" s="555">
        <f t="shared" si="769"/>
        <v>0</v>
      </c>
      <c r="CW1893" s="555">
        <f t="shared" si="770"/>
        <v>0</v>
      </c>
      <c r="CX1893" s="895"/>
      <c r="CY1893" s="895"/>
      <c r="CZ1893" s="895"/>
      <c r="DA1893" s="895"/>
      <c r="DB1893" s="895"/>
      <c r="DC1893" s="895"/>
      <c r="DD1893" s="895"/>
      <c r="DE1893" s="895"/>
      <c r="DF1893" s="895"/>
      <c r="DG1893" s="895"/>
      <c r="DH1893" s="895"/>
    </row>
    <row r="1894" s="550" customFormat="1" ht="31" customHeight="1" spans="1:112">
      <c r="A1894" s="608">
        <v>46174</v>
      </c>
      <c r="B1894" s="609" t="s">
        <v>1409</v>
      </c>
      <c r="C1894" s="610" t="s">
        <v>524</v>
      </c>
      <c r="D1894" s="554">
        <v>4500210229</v>
      </c>
      <c r="E1894" s="610"/>
      <c r="F1894" s="554" t="s">
        <v>10615</v>
      </c>
      <c r="G1894" s="610" t="s">
        <v>6025</v>
      </c>
      <c r="H1894" s="610" t="s">
        <v>6026</v>
      </c>
      <c r="I1894" s="715">
        <v>1200</v>
      </c>
      <c r="J1894" s="610">
        <v>0</v>
      </c>
      <c r="K1894" s="843">
        <v>24</v>
      </c>
      <c r="L1894" s="844">
        <f t="shared" si="756"/>
        <v>50</v>
      </c>
      <c r="M1894" s="845">
        <v>46251</v>
      </c>
      <c r="N1894" s="887">
        <v>46246</v>
      </c>
      <c r="O1894" s="613"/>
      <c r="P1894" s="610" t="s">
        <v>113</v>
      </c>
      <c r="Q1894" s="614"/>
      <c r="R1894" s="614">
        <v>46220</v>
      </c>
      <c r="S1894" s="614" t="s">
        <v>70</v>
      </c>
      <c r="T1894" s="614" t="s">
        <v>10616</v>
      </c>
      <c r="U1894" s="818"/>
      <c r="V1894" s="818"/>
      <c r="W1894" s="819"/>
      <c r="X1894" s="820" t="s">
        <v>10617</v>
      </c>
      <c r="Y1894" s="616" t="s">
        <v>340</v>
      </c>
      <c r="Z1894" s="609">
        <v>0.9061</v>
      </c>
      <c r="AA1894" s="616">
        <f t="shared" si="757"/>
        <v>1087.32</v>
      </c>
      <c r="AC1894" s="697"/>
      <c r="AD1894" s="610" t="s">
        <v>6025</v>
      </c>
      <c r="AE1894" s="610" t="s">
        <v>82</v>
      </c>
      <c r="AF1894" s="610"/>
      <c r="AG1894" s="610"/>
      <c r="AH1894" s="609"/>
      <c r="AI1894" s="609">
        <v>1200</v>
      </c>
      <c r="AJ1894" s="610">
        <f t="shared" si="753"/>
        <v>0</v>
      </c>
      <c r="AK1894" s="613"/>
      <c r="AL1894" s="610" t="s">
        <v>2368</v>
      </c>
      <c r="AM1894" s="610"/>
      <c r="AN1894" s="610"/>
      <c r="AO1894" s="714">
        <f>I1894</f>
        <v>1200</v>
      </c>
      <c r="AP1894" s="554"/>
      <c r="AQ1894" s="554"/>
      <c r="AR1894" s="619"/>
      <c r="AS1894" s="554"/>
      <c r="AT1894" s="554">
        <f>I1894</f>
        <v>1200</v>
      </c>
      <c r="AU1894" s="554"/>
      <c r="AV1894" s="554">
        <f>I1894</f>
        <v>1200</v>
      </c>
      <c r="AW1894" s="554"/>
      <c r="AX1894" s="714"/>
      <c r="AY1894" s="554"/>
      <c r="AZ1894" s="554"/>
      <c r="BA1894" s="554"/>
      <c r="BB1894" s="620">
        <f t="shared" si="771"/>
        <v>50</v>
      </c>
      <c r="BC1894" s="554"/>
      <c r="BD1894" s="554"/>
      <c r="BE1894" s="554"/>
      <c r="BF1894" s="554"/>
      <c r="BG1894" s="550"/>
      <c r="BH1894" s="554"/>
      <c r="BI1894" s="554"/>
      <c r="BJ1894" s="554"/>
      <c r="BK1894" s="554"/>
      <c r="BL1894" s="554"/>
      <c r="BM1894" s="554"/>
      <c r="BN1894" s="554"/>
      <c r="BO1894" s="554"/>
      <c r="BP1894" s="554"/>
      <c r="BQ1894" s="554"/>
      <c r="BR1894" s="554"/>
      <c r="BS1894" s="554"/>
      <c r="BT1894" s="554"/>
      <c r="BU1894" s="554"/>
      <c r="BV1894" s="554"/>
      <c r="BW1894" s="554"/>
      <c r="BX1894" s="554"/>
      <c r="BY1894" s="554"/>
      <c r="BZ1894" s="554"/>
      <c r="CA1894" s="720"/>
      <c r="CB1894" s="555"/>
      <c r="CC1894" s="721"/>
      <c r="CD1894" s="554"/>
      <c r="CE1894" s="554"/>
      <c r="CF1894" s="554"/>
      <c r="CG1894" s="554"/>
      <c r="CH1894" s="550"/>
      <c r="CI1894" s="554"/>
      <c r="CJ1894" s="554"/>
      <c r="CK1894" s="554"/>
      <c r="CL1894" s="554"/>
      <c r="CM1894" s="554"/>
      <c r="CN1894" s="554"/>
      <c r="CO1894" s="554"/>
      <c r="CP1894" s="619"/>
      <c r="CQ1894" s="619"/>
      <c r="CR1894" s="554"/>
      <c r="CS1894" s="554"/>
      <c r="CT1894" s="554"/>
      <c r="CU1894" s="554">
        <f t="shared" si="768"/>
        <v>0</v>
      </c>
      <c r="CV1894" s="554">
        <f t="shared" si="769"/>
        <v>0</v>
      </c>
      <c r="CW1894" s="554">
        <f t="shared" si="770"/>
        <v>0</v>
      </c>
      <c r="CX1894" s="619"/>
      <c r="CY1894" s="619"/>
      <c r="CZ1894" s="619"/>
      <c r="DA1894" s="619"/>
      <c r="DB1894" s="619"/>
      <c r="DC1894" s="619"/>
      <c r="DD1894" s="619"/>
      <c r="DE1894" s="619"/>
      <c r="DF1894" s="619"/>
      <c r="DG1894" s="619"/>
      <c r="DH1894" s="619"/>
    </row>
    <row r="1895" s="550" customFormat="1" ht="31" customHeight="1" spans="1:112">
      <c r="A1895" s="867">
        <v>46206</v>
      </c>
      <c r="B1895" s="605" t="s">
        <v>10618</v>
      </c>
      <c r="C1895" s="589" t="s">
        <v>98</v>
      </c>
      <c r="D1895" s="557">
        <v>4500214992</v>
      </c>
      <c r="E1895" s="589">
        <v>219456108</v>
      </c>
      <c r="F1895" s="557" t="s">
        <v>10619</v>
      </c>
      <c r="G1895" s="589" t="s">
        <v>6166</v>
      </c>
      <c r="H1895" s="589" t="s">
        <v>6094</v>
      </c>
      <c r="I1895" s="868">
        <v>6708</v>
      </c>
      <c r="J1895" s="589">
        <v>0</v>
      </c>
      <c r="K1895" s="869">
        <v>13</v>
      </c>
      <c r="L1895" s="870">
        <f t="shared" si="756"/>
        <v>516</v>
      </c>
      <c r="M1895" s="871">
        <v>46252</v>
      </c>
      <c r="N1895" s="612">
        <v>46247</v>
      </c>
      <c r="O1895" s="873"/>
      <c r="P1895" s="589" t="s">
        <v>113</v>
      </c>
      <c r="Q1895" s="874"/>
      <c r="R1895" s="874">
        <v>46210</v>
      </c>
      <c r="S1895" s="614" t="s">
        <v>70</v>
      </c>
      <c r="T1895" s="818" t="s">
        <v>70</v>
      </c>
      <c r="U1895" s="818"/>
      <c r="V1895" s="862"/>
      <c r="W1895" s="819"/>
      <c r="X1895" s="904" t="s">
        <v>10620</v>
      </c>
      <c r="Y1895" s="876" t="s">
        <v>4818</v>
      </c>
      <c r="Z1895" s="605">
        <v>0.5594</v>
      </c>
      <c r="AA1895" s="942">
        <f t="shared" si="757"/>
        <v>3752.4552</v>
      </c>
      <c r="AB1895" s="819"/>
      <c r="AC1895" s="943"/>
      <c r="AD1895" s="610" t="s">
        <v>6257</v>
      </c>
      <c r="AE1895" s="589" t="s">
        <v>82</v>
      </c>
      <c r="AF1895" s="589"/>
      <c r="AG1895" s="589"/>
      <c r="AH1895" s="605"/>
      <c r="AI1895" s="609">
        <v>6708</v>
      </c>
      <c r="AJ1895" s="610">
        <f t="shared" si="753"/>
        <v>0</v>
      </c>
      <c r="AK1895" s="873"/>
      <c r="AL1895" s="589"/>
      <c r="AM1895" s="589"/>
      <c r="AN1895" s="589">
        <f>I1895</f>
        <v>6708</v>
      </c>
      <c r="AO1895" s="557"/>
      <c r="AP1895" s="554">
        <f>I1895</f>
        <v>6708</v>
      </c>
      <c r="AQ1895" s="557"/>
      <c r="AR1895" s="878"/>
      <c r="AS1895" s="557"/>
      <c r="AT1895" s="556"/>
      <c r="AU1895" s="554">
        <f>I1895</f>
        <v>6708</v>
      </c>
      <c r="AV1895" s="557"/>
      <c r="AW1895" s="557"/>
      <c r="AX1895" s="879"/>
      <c r="AY1895" s="557"/>
      <c r="AZ1895" s="557"/>
      <c r="BA1895" s="557"/>
      <c r="BB1895" s="620">
        <f t="shared" si="771"/>
        <v>279.5</v>
      </c>
      <c r="BC1895" s="557"/>
      <c r="BD1895" s="557"/>
      <c r="BE1895" s="557"/>
      <c r="BF1895" s="880"/>
      <c r="BG1895" s="881"/>
      <c r="BH1895" s="882"/>
      <c r="BI1895" s="557"/>
      <c r="BJ1895" s="557"/>
      <c r="BK1895" s="554">
        <f>I1895/13</f>
        <v>516</v>
      </c>
      <c r="BL1895" s="557"/>
      <c r="BM1895" s="557"/>
      <c r="BN1895" s="557"/>
      <c r="BO1895" s="557"/>
      <c r="BP1895" s="557"/>
      <c r="BQ1895" s="557"/>
      <c r="BR1895" s="557"/>
      <c r="BS1895" s="557"/>
      <c r="BT1895" s="557"/>
      <c r="BU1895" s="557"/>
      <c r="BV1895" s="557"/>
      <c r="BW1895" s="557"/>
      <c r="BX1895" s="557"/>
      <c r="BY1895" s="557"/>
      <c r="BZ1895" s="557"/>
      <c r="CA1895" s="883"/>
      <c r="CB1895" s="555"/>
      <c r="CC1895" s="882"/>
      <c r="CD1895" s="557"/>
      <c r="CE1895" s="557"/>
      <c r="CF1895" s="557"/>
      <c r="CG1895" s="880"/>
      <c r="CH1895" s="881"/>
      <c r="CI1895" s="882"/>
      <c r="CJ1895" s="557"/>
      <c r="CK1895" s="557"/>
      <c r="CL1895" s="557"/>
      <c r="CM1895" s="557"/>
      <c r="CN1895" s="557"/>
      <c r="CO1895" s="557"/>
      <c r="CP1895" s="878"/>
      <c r="CQ1895" s="878"/>
      <c r="CR1895" s="557"/>
      <c r="CS1895" s="557"/>
      <c r="CT1895" s="557"/>
      <c r="CU1895" s="554">
        <f t="shared" si="768"/>
        <v>0</v>
      </c>
      <c r="CV1895" s="554">
        <f t="shared" si="769"/>
        <v>0</v>
      </c>
      <c r="CW1895" s="554">
        <f t="shared" si="770"/>
        <v>0</v>
      </c>
      <c r="CX1895" s="878"/>
      <c r="CY1895" s="878"/>
      <c r="CZ1895" s="878"/>
      <c r="DA1895" s="878"/>
      <c r="DB1895" s="878"/>
      <c r="DC1895" s="878"/>
      <c r="DD1895" s="878"/>
      <c r="DE1895" s="878"/>
      <c r="DF1895" s="878"/>
      <c r="DG1895" s="878"/>
      <c r="DH1895" s="878"/>
    </row>
    <row r="1896" s="550" customFormat="1" ht="31" customHeight="1" spans="1:112">
      <c r="A1896" s="867">
        <v>46206</v>
      </c>
      <c r="B1896" s="605" t="s">
        <v>10618</v>
      </c>
      <c r="C1896" s="589" t="s">
        <v>98</v>
      </c>
      <c r="D1896" s="557">
        <v>4500214992</v>
      </c>
      <c r="E1896" s="589">
        <v>219456109</v>
      </c>
      <c r="F1896" s="557" t="s">
        <v>10621</v>
      </c>
      <c r="G1896" s="589" t="s">
        <v>6166</v>
      </c>
      <c r="H1896" s="589" t="s">
        <v>6094</v>
      </c>
      <c r="I1896" s="868">
        <v>3302</v>
      </c>
      <c r="J1896" s="589">
        <v>0</v>
      </c>
      <c r="K1896" s="869">
        <v>13</v>
      </c>
      <c r="L1896" s="870">
        <f t="shared" si="756"/>
        <v>254</v>
      </c>
      <c r="M1896" s="871">
        <v>46252</v>
      </c>
      <c r="N1896" s="612">
        <v>46247</v>
      </c>
      <c r="O1896" s="873"/>
      <c r="P1896" s="589" t="s">
        <v>113</v>
      </c>
      <c r="Q1896" s="874"/>
      <c r="R1896" s="874">
        <v>46210</v>
      </c>
      <c r="S1896" s="614" t="s">
        <v>70</v>
      </c>
      <c r="T1896" s="818" t="s">
        <v>70</v>
      </c>
      <c r="U1896" s="818"/>
      <c r="V1896" s="862"/>
      <c r="W1896" s="819"/>
      <c r="X1896" s="904" t="s">
        <v>10620</v>
      </c>
      <c r="Y1896" s="876" t="s">
        <v>4818</v>
      </c>
      <c r="Z1896" s="605">
        <v>0.5729</v>
      </c>
      <c r="AA1896" s="942">
        <f t="shared" si="757"/>
        <v>1891.7158</v>
      </c>
      <c r="AB1896" s="819"/>
      <c r="AC1896" s="943"/>
      <c r="AD1896" s="610" t="s">
        <v>6257</v>
      </c>
      <c r="AE1896" s="589" t="s">
        <v>82</v>
      </c>
      <c r="AF1896" s="589"/>
      <c r="AG1896" s="589"/>
      <c r="AH1896" s="605"/>
      <c r="AI1896" s="609">
        <v>3302</v>
      </c>
      <c r="AJ1896" s="610">
        <f t="shared" si="753"/>
        <v>0</v>
      </c>
      <c r="AK1896" s="873"/>
      <c r="AL1896" s="589"/>
      <c r="AM1896" s="589"/>
      <c r="AN1896" s="589">
        <f>I1896</f>
        <v>3302</v>
      </c>
      <c r="AO1896" s="557"/>
      <c r="AP1896" s="554">
        <f>I1896</f>
        <v>3302</v>
      </c>
      <c r="AQ1896" s="557"/>
      <c r="AR1896" s="878"/>
      <c r="AS1896" s="557"/>
      <c r="AT1896" s="556"/>
      <c r="AU1896" s="554">
        <f>I1896</f>
        <v>3302</v>
      </c>
      <c r="AV1896" s="557"/>
      <c r="AW1896" s="557"/>
      <c r="AX1896" s="879"/>
      <c r="AY1896" s="557"/>
      <c r="AZ1896" s="557"/>
      <c r="BA1896" s="557"/>
      <c r="BB1896" s="620">
        <f t="shared" si="771"/>
        <v>137.583333333333</v>
      </c>
      <c r="BC1896" s="557"/>
      <c r="BD1896" s="557"/>
      <c r="BE1896" s="557"/>
      <c r="BF1896" s="880"/>
      <c r="BG1896" s="881"/>
      <c r="BH1896" s="882"/>
      <c r="BI1896" s="557"/>
      <c r="BJ1896" s="557"/>
      <c r="BK1896" s="554">
        <f>I1896/13</f>
        <v>254</v>
      </c>
      <c r="BL1896" s="557"/>
      <c r="BM1896" s="557"/>
      <c r="BN1896" s="557"/>
      <c r="BO1896" s="557"/>
      <c r="BP1896" s="557"/>
      <c r="BQ1896" s="557"/>
      <c r="BR1896" s="557"/>
      <c r="BS1896" s="557"/>
      <c r="BT1896" s="557"/>
      <c r="BU1896" s="557"/>
      <c r="BV1896" s="557"/>
      <c r="BW1896" s="557"/>
      <c r="BX1896" s="557"/>
      <c r="BY1896" s="557"/>
      <c r="BZ1896" s="557"/>
      <c r="CA1896" s="883"/>
      <c r="CB1896" s="555"/>
      <c r="CC1896" s="882"/>
      <c r="CD1896" s="557"/>
      <c r="CE1896" s="557"/>
      <c r="CF1896" s="557"/>
      <c r="CG1896" s="880"/>
      <c r="CH1896" s="881"/>
      <c r="CI1896" s="882"/>
      <c r="CJ1896" s="557"/>
      <c r="CK1896" s="557"/>
      <c r="CL1896" s="557"/>
      <c r="CM1896" s="557"/>
      <c r="CN1896" s="557"/>
      <c r="CO1896" s="557"/>
      <c r="CP1896" s="878"/>
      <c r="CQ1896" s="878"/>
      <c r="CR1896" s="557"/>
      <c r="CS1896" s="557"/>
      <c r="CT1896" s="557"/>
      <c r="CU1896" s="554">
        <f t="shared" si="768"/>
        <v>0</v>
      </c>
      <c r="CV1896" s="554">
        <f t="shared" si="769"/>
        <v>0</v>
      </c>
      <c r="CW1896" s="554">
        <f t="shared" si="770"/>
        <v>0</v>
      </c>
      <c r="CX1896" s="878"/>
      <c r="CY1896" s="878"/>
      <c r="CZ1896" s="878"/>
      <c r="DA1896" s="878"/>
      <c r="DB1896" s="878"/>
      <c r="DC1896" s="878"/>
      <c r="DD1896" s="878"/>
      <c r="DE1896" s="878"/>
      <c r="DF1896" s="878"/>
      <c r="DG1896" s="878"/>
      <c r="DH1896" s="878"/>
    </row>
    <row r="1897" s="554" customFormat="1" ht="31" customHeight="1" spans="1:112">
      <c r="A1897" s="608">
        <v>46212</v>
      </c>
      <c r="B1897" s="609" t="s">
        <v>379</v>
      </c>
      <c r="C1897" s="610" t="s">
        <v>98</v>
      </c>
      <c r="D1897" s="727">
        <v>4500215872</v>
      </c>
      <c r="E1897" s="613">
        <v>37053</v>
      </c>
      <c r="F1897" s="554" t="s">
        <v>10622</v>
      </c>
      <c r="G1897" s="610" t="s">
        <v>6036</v>
      </c>
      <c r="H1897" s="610" t="s">
        <v>6033</v>
      </c>
      <c r="I1897" s="610">
        <v>5750</v>
      </c>
      <c r="J1897" s="610">
        <v>0</v>
      </c>
      <c r="K1897" s="610">
        <v>50</v>
      </c>
      <c r="L1897" s="611">
        <f t="shared" si="756"/>
        <v>115</v>
      </c>
      <c r="M1897" s="612">
        <v>46254</v>
      </c>
      <c r="N1897" s="612">
        <v>46248</v>
      </c>
      <c r="O1897" s="613"/>
      <c r="P1897" s="613" t="s">
        <v>113</v>
      </c>
      <c r="Q1897" s="640">
        <v>46261</v>
      </c>
      <c r="R1897" s="614">
        <v>46220</v>
      </c>
      <c r="S1897" s="614" t="s">
        <v>70</v>
      </c>
      <c r="T1897" s="614" t="s">
        <v>70</v>
      </c>
      <c r="U1897" s="614"/>
      <c r="V1897" s="614"/>
      <c r="W1897" s="609"/>
      <c r="X1897" s="609" t="s">
        <v>5588</v>
      </c>
      <c r="Y1897" s="609" t="s">
        <v>1781</v>
      </c>
      <c r="Z1897" s="722">
        <v>0.6027</v>
      </c>
      <c r="AA1897" s="616">
        <f t="shared" si="757"/>
        <v>3465.525</v>
      </c>
      <c r="AC1897" s="617"/>
      <c r="AD1897" s="610" t="s">
        <v>6036</v>
      </c>
      <c r="AE1897" s="610" t="s">
        <v>82</v>
      </c>
      <c r="AF1897" s="610"/>
      <c r="AG1897" s="610"/>
      <c r="AH1897" s="610"/>
      <c r="AI1897" s="609">
        <v>5750</v>
      </c>
      <c r="AJ1897" s="610">
        <f t="shared" si="753"/>
        <v>0</v>
      </c>
      <c r="AK1897" s="610"/>
      <c r="AL1897" s="610"/>
      <c r="AM1897" s="610"/>
      <c r="AN1897" s="610">
        <f>I1897</f>
        <v>5750</v>
      </c>
      <c r="AP1897" s="554">
        <f>I1897</f>
        <v>5750</v>
      </c>
      <c r="AR1897" s="619"/>
      <c r="AS1897" s="554"/>
      <c r="AT1897" s="554"/>
      <c r="AU1897" s="554">
        <f>I1897</f>
        <v>5750</v>
      </c>
      <c r="AW1897" s="619"/>
      <c r="AX1897" s="554"/>
      <c r="AY1897" s="554"/>
      <c r="AZ1897" s="554"/>
      <c r="BA1897" s="554"/>
      <c r="BB1897" s="620">
        <f t="shared" si="771"/>
        <v>239.583333333333</v>
      </c>
      <c r="BC1897" s="714"/>
      <c r="BD1897" s="554"/>
      <c r="BE1897" s="554"/>
      <c r="BF1897" s="554"/>
      <c r="BG1897" s="554"/>
      <c r="BH1897" s="554"/>
      <c r="BI1897" s="554"/>
      <c r="BJ1897" s="554"/>
      <c r="BK1897" s="554"/>
      <c r="BL1897" s="554"/>
      <c r="BM1897" s="554"/>
      <c r="BN1897" s="554">
        <f>I1897/25</f>
        <v>230</v>
      </c>
      <c r="BY1897" s="619"/>
      <c r="BZ1897" s="554"/>
      <c r="CA1897" s="621"/>
      <c r="CB1897" s="555"/>
      <c r="CC1897" s="622"/>
      <c r="CD1897" s="619"/>
      <c r="CE1897" s="619"/>
      <c r="CF1897" s="554"/>
      <c r="CG1897" s="554"/>
      <c r="CH1897" s="554"/>
      <c r="CI1897" s="554"/>
      <c r="CJ1897" s="554"/>
      <c r="CK1897" s="554"/>
      <c r="CL1897" s="554"/>
      <c r="CM1897" s="554"/>
      <c r="CN1897" s="554"/>
      <c r="CO1897" s="554"/>
      <c r="CP1897" s="554"/>
      <c r="CQ1897" s="554"/>
      <c r="CR1897" s="554"/>
      <c r="CS1897" s="554"/>
      <c r="CT1897" s="554"/>
      <c r="CU1897" s="554">
        <f t="shared" si="768"/>
        <v>230</v>
      </c>
      <c r="CV1897" s="554">
        <f t="shared" si="769"/>
        <v>0</v>
      </c>
      <c r="CW1897" s="554">
        <f t="shared" si="770"/>
        <v>0</v>
      </c>
      <c r="CX1897" s="619"/>
      <c r="CY1897" s="619"/>
      <c r="CZ1897" s="619"/>
      <c r="DA1897" s="554"/>
      <c r="DB1897" s="554"/>
      <c r="DC1897" s="554"/>
      <c r="DD1897" s="619"/>
      <c r="DE1897" s="619"/>
      <c r="DF1897" s="619"/>
      <c r="DG1897" s="619"/>
      <c r="DH1897" s="619"/>
    </row>
    <row r="1898" s="550" customFormat="1" ht="31" customHeight="1" spans="1:112">
      <c r="A1898" s="608">
        <v>46213</v>
      </c>
      <c r="B1898" s="609" t="s">
        <v>5576</v>
      </c>
      <c r="C1898" s="610" t="s">
        <v>399</v>
      </c>
      <c r="D1898" s="554">
        <v>4500216056</v>
      </c>
      <c r="E1898" s="610"/>
      <c r="F1898" s="554" t="s">
        <v>10623</v>
      </c>
      <c r="G1898" s="610" t="s">
        <v>6043</v>
      </c>
      <c r="H1898" s="610" t="s">
        <v>6110</v>
      </c>
      <c r="I1898" s="715">
        <v>1250</v>
      </c>
      <c r="J1898" s="610">
        <v>0</v>
      </c>
      <c r="K1898" s="843">
        <v>50</v>
      </c>
      <c r="L1898" s="844">
        <f t="shared" si="756"/>
        <v>25</v>
      </c>
      <c r="M1898" s="845">
        <v>46254</v>
      </c>
      <c r="N1898" s="612">
        <v>46249</v>
      </c>
      <c r="O1898" s="613"/>
      <c r="P1898" s="610" t="s">
        <v>113</v>
      </c>
      <c r="Q1898" s="614">
        <v>46255</v>
      </c>
      <c r="R1898" s="614">
        <v>46223</v>
      </c>
      <c r="S1898" s="614" t="s">
        <v>70</v>
      </c>
      <c r="T1898" s="614" t="s">
        <v>10624</v>
      </c>
      <c r="U1898" s="614"/>
      <c r="V1898" s="614"/>
      <c r="W1898" s="819"/>
      <c r="X1898" s="820" t="s">
        <v>10625</v>
      </c>
      <c r="Y1898" s="616" t="s">
        <v>5498</v>
      </c>
      <c r="Z1898" s="609">
        <v>0.9998</v>
      </c>
      <c r="AA1898" s="945">
        <f t="shared" si="757"/>
        <v>1249.75</v>
      </c>
      <c r="AB1898" s="555"/>
      <c r="AC1898" s="946"/>
      <c r="AD1898" s="610" t="s">
        <v>6043</v>
      </c>
      <c r="AE1898" s="890" t="s">
        <v>82</v>
      </c>
      <c r="AF1898" s="610"/>
      <c r="AG1898" s="610"/>
      <c r="AH1898" s="609"/>
      <c r="AI1898" s="609">
        <v>1250</v>
      </c>
      <c r="AJ1898" s="610">
        <f t="shared" si="753"/>
        <v>0</v>
      </c>
      <c r="AK1898" s="613"/>
      <c r="AL1898" s="610" t="s">
        <v>2368</v>
      </c>
      <c r="AM1898" s="610"/>
      <c r="AN1898" s="610"/>
      <c r="AO1898" s="554">
        <f>I1898</f>
        <v>1250</v>
      </c>
      <c r="AP1898" s="554"/>
      <c r="AQ1898" s="554"/>
      <c r="AR1898" s="619"/>
      <c r="AS1898" s="554"/>
      <c r="AT1898" s="554">
        <f>I1898</f>
        <v>1250</v>
      </c>
      <c r="AU1898" s="554"/>
      <c r="AV1898" s="554">
        <f>I1898</f>
        <v>1250</v>
      </c>
      <c r="AW1898" s="554"/>
      <c r="AX1898" s="714"/>
      <c r="AY1898" s="554"/>
      <c r="AZ1898" s="554"/>
      <c r="BA1898" s="554"/>
      <c r="BB1898" s="620">
        <f t="shared" si="771"/>
        <v>52.0833333333333</v>
      </c>
      <c r="BC1898" s="554"/>
      <c r="BD1898" s="554"/>
      <c r="BE1898" s="554"/>
      <c r="BF1898" s="554"/>
      <c r="BG1898" s="550"/>
      <c r="BH1898" s="554"/>
      <c r="BI1898" s="554"/>
      <c r="BJ1898" s="554"/>
      <c r="BK1898" s="554"/>
      <c r="BL1898" s="554"/>
      <c r="BM1898" s="554"/>
      <c r="BN1898" s="554"/>
      <c r="BO1898" s="554"/>
      <c r="BP1898" s="554">
        <f>I1898/25</f>
        <v>50</v>
      </c>
      <c r="BQ1898" s="554"/>
      <c r="BR1898" s="554"/>
      <c r="BS1898" s="554"/>
      <c r="BT1898" s="554"/>
      <c r="BU1898" s="554"/>
      <c r="BV1898" s="554"/>
      <c r="BW1898" s="554"/>
      <c r="BX1898" s="554"/>
      <c r="BY1898" s="554"/>
      <c r="BZ1898" s="554"/>
      <c r="CA1898" s="720"/>
      <c r="CB1898" s="555"/>
      <c r="CC1898" s="721"/>
      <c r="CD1898" s="554"/>
      <c r="CE1898" s="554"/>
      <c r="CF1898" s="554"/>
      <c r="CG1898" s="554"/>
      <c r="CH1898" s="550"/>
      <c r="CI1898" s="554"/>
      <c r="CJ1898" s="554"/>
      <c r="CK1898" s="554"/>
      <c r="CL1898" s="554"/>
      <c r="CM1898" s="554"/>
      <c r="CN1898" s="554"/>
      <c r="CO1898" s="554"/>
      <c r="CP1898" s="619"/>
      <c r="CQ1898" s="619"/>
      <c r="CR1898" s="554"/>
      <c r="CS1898" s="554"/>
      <c r="CT1898" s="554"/>
      <c r="CU1898" s="554">
        <f t="shared" si="768"/>
        <v>50</v>
      </c>
      <c r="CV1898" s="554">
        <f t="shared" si="769"/>
        <v>0</v>
      </c>
      <c r="CW1898" s="554">
        <f t="shared" si="770"/>
        <v>0</v>
      </c>
      <c r="CX1898" s="619"/>
      <c r="CY1898" s="619"/>
      <c r="CZ1898" s="619"/>
      <c r="DA1898" s="619"/>
      <c r="DB1898" s="619"/>
      <c r="DC1898" s="619"/>
      <c r="DD1898" s="619"/>
      <c r="DE1898" s="619"/>
      <c r="DF1898" s="619"/>
      <c r="DG1898" s="619"/>
      <c r="DH1898" s="619"/>
    </row>
    <row r="1899" s="550" customFormat="1" ht="31" customHeight="1" spans="1:112">
      <c r="A1899" s="867">
        <v>46191</v>
      </c>
      <c r="B1899" s="605" t="s">
        <v>5580</v>
      </c>
      <c r="C1899" s="589" t="s">
        <v>98</v>
      </c>
      <c r="D1899" s="886">
        <v>4500213036</v>
      </c>
      <c r="E1899" s="873">
        <v>308469</v>
      </c>
      <c r="F1899" s="557" t="s">
        <v>10626</v>
      </c>
      <c r="G1899" s="589" t="s">
        <v>8481</v>
      </c>
      <c r="H1899" s="589" t="s">
        <v>8482</v>
      </c>
      <c r="I1899" s="868">
        <v>4992</v>
      </c>
      <c r="J1899" s="589">
        <v>0</v>
      </c>
      <c r="K1899" s="869">
        <v>24</v>
      </c>
      <c r="L1899" s="870">
        <f t="shared" si="756"/>
        <v>208</v>
      </c>
      <c r="M1899" s="885">
        <v>46254</v>
      </c>
      <c r="N1899" s="908">
        <f>M1899-3</f>
        <v>46251</v>
      </c>
      <c r="O1899" s="873"/>
      <c r="P1899" s="589" t="s">
        <v>113</v>
      </c>
      <c r="Q1899" s="874"/>
      <c r="R1899" s="874">
        <v>46191</v>
      </c>
      <c r="S1899" s="874" t="s">
        <v>104</v>
      </c>
      <c r="T1899" s="874" t="s">
        <v>10627</v>
      </c>
      <c r="U1899" s="875" t="s">
        <v>10545</v>
      </c>
      <c r="V1899" s="874"/>
      <c r="W1899" s="573"/>
      <c r="X1899" s="605" t="s">
        <v>5585</v>
      </c>
      <c r="Y1899" s="876" t="s">
        <v>5586</v>
      </c>
      <c r="Z1899" s="605">
        <v>0.5536</v>
      </c>
      <c r="AA1899" s="876">
        <f t="shared" si="757"/>
        <v>2763.5712</v>
      </c>
      <c r="AB1899" s="573" t="s">
        <v>10548</v>
      </c>
      <c r="AC1899" s="877"/>
      <c r="AD1899" s="610" t="s">
        <v>8481</v>
      </c>
      <c r="AE1899" s="589" t="s">
        <v>82</v>
      </c>
      <c r="AF1899" s="589"/>
      <c r="AG1899" s="589"/>
      <c r="AH1899" s="605"/>
      <c r="AI1899" s="609">
        <v>4992</v>
      </c>
      <c r="AJ1899" s="610">
        <f t="shared" si="753"/>
        <v>0</v>
      </c>
      <c r="AK1899" s="873"/>
      <c r="AL1899" s="589" t="s">
        <v>2368</v>
      </c>
      <c r="AM1899" s="589"/>
      <c r="AN1899" s="589">
        <f>I1899</f>
        <v>4992</v>
      </c>
      <c r="AO1899" s="557"/>
      <c r="AP1899" s="554">
        <f>I1899</f>
        <v>4992</v>
      </c>
      <c r="AQ1899" s="557"/>
      <c r="AR1899" s="878"/>
      <c r="AS1899" s="557"/>
      <c r="AT1899" s="557"/>
      <c r="AU1899" s="554">
        <f>I1899</f>
        <v>4992</v>
      </c>
      <c r="AV1899" s="557"/>
      <c r="AW1899" s="557"/>
      <c r="AX1899" s="879"/>
      <c r="AY1899" s="557"/>
      <c r="AZ1899" s="557"/>
      <c r="BA1899" s="557"/>
      <c r="BB1899" s="620">
        <f>I1899</f>
        <v>4992</v>
      </c>
      <c r="BC1899" s="557"/>
      <c r="BD1899" s="557"/>
      <c r="BE1899" s="557"/>
      <c r="BF1899" s="880"/>
      <c r="BG1899" s="881"/>
      <c r="BH1899" s="882"/>
      <c r="BI1899" s="557"/>
      <c r="BJ1899" s="557"/>
      <c r="BK1899" s="557"/>
      <c r="BL1899" s="557"/>
      <c r="BM1899" s="557"/>
      <c r="BN1899" s="557"/>
      <c r="BO1899" s="557"/>
      <c r="BP1899" s="557"/>
      <c r="BQ1899" s="557"/>
      <c r="BR1899" s="557"/>
      <c r="BS1899" s="557"/>
      <c r="BT1899" s="557"/>
      <c r="BU1899" s="557"/>
      <c r="BV1899" s="557"/>
      <c r="BW1899" s="557"/>
      <c r="BX1899" s="557"/>
      <c r="BY1899" s="557"/>
      <c r="BZ1899" s="557"/>
      <c r="CA1899" s="883"/>
      <c r="CB1899" s="555"/>
      <c r="CC1899" s="882"/>
      <c r="CD1899" s="557"/>
      <c r="CE1899" s="557"/>
      <c r="CF1899" s="557"/>
      <c r="CG1899" s="880"/>
      <c r="CH1899" s="881"/>
      <c r="CI1899" s="882"/>
      <c r="CJ1899" s="557"/>
      <c r="CK1899" s="557"/>
      <c r="CL1899" s="557"/>
      <c r="CM1899" s="557"/>
      <c r="CN1899" s="557"/>
      <c r="CO1899" s="557"/>
      <c r="CP1899" s="878"/>
      <c r="CQ1899" s="878"/>
      <c r="CR1899" s="557"/>
      <c r="CS1899" s="557"/>
      <c r="CT1899" s="557"/>
      <c r="CU1899" s="554">
        <f t="shared" si="768"/>
        <v>0</v>
      </c>
      <c r="CV1899" s="554">
        <f t="shared" si="769"/>
        <v>0</v>
      </c>
      <c r="CW1899" s="554">
        <f t="shared" si="770"/>
        <v>0</v>
      </c>
      <c r="CX1899" s="878"/>
      <c r="CY1899" s="878"/>
      <c r="CZ1899" s="878"/>
      <c r="DA1899" s="878"/>
      <c r="DB1899" s="878"/>
      <c r="DC1899" s="878"/>
      <c r="DD1899" s="878"/>
      <c r="DE1899" s="878"/>
      <c r="DF1899" s="878"/>
      <c r="DG1899" s="878"/>
      <c r="DH1899" s="878"/>
    </row>
    <row r="1900" s="550" customFormat="1" ht="31" customHeight="1" spans="1:112">
      <c r="A1900" s="867">
        <v>46205</v>
      </c>
      <c r="B1900" s="605" t="s">
        <v>325</v>
      </c>
      <c r="C1900" s="589" t="s">
        <v>98</v>
      </c>
      <c r="D1900" s="886">
        <v>4500214721</v>
      </c>
      <c r="E1900" s="589" t="s">
        <v>10628</v>
      </c>
      <c r="F1900" s="557" t="s">
        <v>10629</v>
      </c>
      <c r="G1900" s="589" t="s">
        <v>6084</v>
      </c>
      <c r="H1900" s="589" t="s">
        <v>6069</v>
      </c>
      <c r="I1900" s="868">
        <v>6550</v>
      </c>
      <c r="J1900" s="589">
        <v>0</v>
      </c>
      <c r="K1900" s="869">
        <v>25</v>
      </c>
      <c r="L1900" s="870">
        <f t="shared" si="756"/>
        <v>262</v>
      </c>
      <c r="M1900" s="871">
        <v>46255</v>
      </c>
      <c r="N1900" s="872">
        <v>46251</v>
      </c>
      <c r="O1900" s="873"/>
      <c r="P1900" s="589" t="s">
        <v>113</v>
      </c>
      <c r="Q1900" s="874"/>
      <c r="R1900" s="874">
        <v>46223</v>
      </c>
      <c r="S1900" s="614" t="s">
        <v>104</v>
      </c>
      <c r="T1900" s="818" t="s">
        <v>10630</v>
      </c>
      <c r="U1900" s="902"/>
      <c r="V1900" s="902"/>
      <c r="W1900" s="819"/>
      <c r="X1900" s="904" t="s">
        <v>10349</v>
      </c>
      <c r="Y1900" s="876" t="s">
        <v>252</v>
      </c>
      <c r="Z1900" s="605">
        <v>0.5923</v>
      </c>
      <c r="AA1900" s="876">
        <f t="shared" si="757"/>
        <v>3879.565</v>
      </c>
      <c r="AB1900" s="573"/>
      <c r="AC1900" s="877"/>
      <c r="AD1900" s="610" t="s">
        <v>6084</v>
      </c>
      <c r="AE1900" s="589" t="s">
        <v>82</v>
      </c>
      <c r="AF1900" s="589"/>
      <c r="AG1900" s="589"/>
      <c r="AH1900" s="605"/>
      <c r="AI1900" s="609">
        <v>6550</v>
      </c>
      <c r="AJ1900" s="610">
        <f t="shared" si="753"/>
        <v>0</v>
      </c>
      <c r="AK1900" s="873"/>
      <c r="AL1900" s="589" t="s">
        <v>2368</v>
      </c>
      <c r="AM1900" s="589"/>
      <c r="AN1900" s="589">
        <f>I1900</f>
        <v>6550</v>
      </c>
      <c r="AO1900" s="557"/>
      <c r="AP1900" s="554">
        <f>I1900</f>
        <v>6550</v>
      </c>
      <c r="AQ1900" s="557"/>
      <c r="AR1900" s="878"/>
      <c r="AS1900" s="557"/>
      <c r="AT1900" s="557"/>
      <c r="AU1900" s="554">
        <f>I1900</f>
        <v>6550</v>
      </c>
      <c r="AV1900" s="557"/>
      <c r="AW1900" s="557"/>
      <c r="AX1900" s="879"/>
      <c r="AY1900" s="557"/>
      <c r="AZ1900" s="557"/>
      <c r="BA1900" s="557"/>
      <c r="BB1900" s="620">
        <f>I1900/48</f>
        <v>136.458333333333</v>
      </c>
      <c r="BC1900" s="557"/>
      <c r="BD1900" s="557"/>
      <c r="BE1900" s="557"/>
      <c r="BF1900" s="880"/>
      <c r="BG1900" s="881"/>
      <c r="BH1900" s="882"/>
      <c r="BI1900" s="557"/>
      <c r="BJ1900" s="557"/>
      <c r="BK1900" s="557"/>
      <c r="BL1900" s="557"/>
      <c r="BM1900" s="557"/>
      <c r="BN1900" s="554">
        <f>I1900/25</f>
        <v>262</v>
      </c>
      <c r="BO1900" s="557"/>
      <c r="BP1900" s="557"/>
      <c r="BQ1900" s="557"/>
      <c r="BR1900" s="557"/>
      <c r="BS1900" s="557"/>
      <c r="BT1900" s="557"/>
      <c r="BU1900" s="557"/>
      <c r="BV1900" s="557"/>
      <c r="BW1900" s="557"/>
      <c r="BX1900" s="557"/>
      <c r="BY1900" s="557"/>
      <c r="BZ1900" s="557"/>
      <c r="CA1900" s="883"/>
      <c r="CB1900" s="555"/>
      <c r="CC1900" s="882"/>
      <c r="CD1900" s="557"/>
      <c r="CE1900" s="557"/>
      <c r="CF1900" s="557"/>
      <c r="CG1900" s="880"/>
      <c r="CH1900" s="881"/>
      <c r="CI1900" s="882"/>
      <c r="CJ1900" s="557"/>
      <c r="CK1900" s="557"/>
      <c r="CL1900" s="557"/>
      <c r="CM1900" s="557"/>
      <c r="CN1900" s="557"/>
      <c r="CO1900" s="557"/>
      <c r="CP1900" s="878"/>
      <c r="CQ1900" s="878"/>
      <c r="CR1900" s="557"/>
      <c r="CS1900" s="557"/>
      <c r="CT1900" s="557"/>
      <c r="CU1900" s="554">
        <f t="shared" si="768"/>
        <v>262</v>
      </c>
      <c r="CV1900" s="554">
        <f t="shared" si="769"/>
        <v>0</v>
      </c>
      <c r="CW1900" s="554">
        <f t="shared" si="770"/>
        <v>0</v>
      </c>
      <c r="CX1900" s="878"/>
      <c r="CY1900" s="878"/>
      <c r="CZ1900" s="878"/>
      <c r="DA1900" s="878"/>
      <c r="DB1900" s="878"/>
      <c r="DC1900" s="878"/>
      <c r="DD1900" s="878"/>
      <c r="DE1900" s="878"/>
      <c r="DF1900" s="878"/>
      <c r="DG1900" s="878"/>
      <c r="DH1900" s="878"/>
    </row>
    <row r="1901" s="550" customFormat="1" ht="31" customHeight="1" spans="1:112">
      <c r="A1901" s="608">
        <v>46206</v>
      </c>
      <c r="B1901" s="609"/>
      <c r="C1901" s="610" t="s">
        <v>4137</v>
      </c>
      <c r="D1901" s="554" t="s">
        <v>5347</v>
      </c>
      <c r="E1901" s="610"/>
      <c r="F1901" s="554" t="s">
        <v>5348</v>
      </c>
      <c r="G1901" s="610" t="s">
        <v>9867</v>
      </c>
      <c r="H1901" s="610" t="s">
        <v>2537</v>
      </c>
      <c r="I1901" s="715">
        <v>40</v>
      </c>
      <c r="J1901" s="610">
        <v>0</v>
      </c>
      <c r="K1901" s="610">
        <v>1</v>
      </c>
      <c r="L1901" s="611">
        <f t="shared" si="756"/>
        <v>40</v>
      </c>
      <c r="M1901" s="612">
        <v>46217</v>
      </c>
      <c r="N1901" s="612">
        <v>46213</v>
      </c>
      <c r="O1901" s="613"/>
      <c r="P1901" s="589" t="s">
        <v>113</v>
      </c>
      <c r="Q1901" s="614"/>
      <c r="R1901" s="614">
        <v>46206</v>
      </c>
      <c r="S1901" s="614" t="s">
        <v>70</v>
      </c>
      <c r="T1901" s="614" t="s">
        <v>70</v>
      </c>
      <c r="U1901" s="614"/>
      <c r="V1901" s="614"/>
      <c r="W1901" s="609"/>
      <c r="X1901" s="609" t="s">
        <v>5349</v>
      </c>
      <c r="Y1901" s="616" t="s">
        <v>85</v>
      </c>
      <c r="Z1901" s="609"/>
      <c r="AA1901" s="616"/>
      <c r="AB1901" s="573"/>
      <c r="AC1901" s="697"/>
      <c r="AD1901" s="610" t="s">
        <v>73</v>
      </c>
      <c r="AE1901" s="610" t="s">
        <v>4133</v>
      </c>
      <c r="AF1901" s="610"/>
      <c r="AG1901" s="610"/>
      <c r="AH1901" s="609"/>
      <c r="AI1901" s="609"/>
      <c r="AJ1901" s="610">
        <f t="shared" si="753"/>
        <v>-40</v>
      </c>
      <c r="AK1901" s="613"/>
      <c r="AL1901" s="610"/>
      <c r="AM1901" s="610"/>
      <c r="AN1901" s="554"/>
      <c r="AO1901" s="554"/>
      <c r="AP1901" s="554"/>
      <c r="AQ1901" s="554"/>
      <c r="AR1901" s="619"/>
      <c r="AS1901" s="554"/>
      <c r="AT1901" s="554"/>
      <c r="AU1901" s="554"/>
      <c r="AV1901" s="554"/>
      <c r="AW1901" s="554"/>
      <c r="AX1901" s="714"/>
      <c r="AY1901" s="554"/>
      <c r="AZ1901" s="554"/>
      <c r="BA1901" s="554"/>
      <c r="BB1901" s="620"/>
      <c r="BC1901" s="554"/>
      <c r="BD1901" s="554"/>
      <c r="BE1901" s="554"/>
      <c r="BF1901" s="554"/>
      <c r="BG1901" s="556"/>
      <c r="BH1901" s="554"/>
      <c r="BI1901" s="554"/>
      <c r="BJ1901" s="554"/>
      <c r="BK1901" s="554"/>
      <c r="BL1901" s="554"/>
      <c r="BM1901" s="554"/>
      <c r="BN1901" s="554"/>
      <c r="BO1901" s="554"/>
      <c r="BP1901" s="554"/>
      <c r="BQ1901" s="554"/>
      <c r="BR1901" s="554"/>
      <c r="BS1901" s="554"/>
      <c r="BT1901" s="554"/>
      <c r="BU1901" s="554"/>
      <c r="BV1901" s="554"/>
      <c r="BW1901" s="554"/>
      <c r="BX1901" s="554"/>
      <c r="BY1901" s="554"/>
      <c r="BZ1901" s="554"/>
      <c r="CA1901" s="720"/>
      <c r="CB1901" s="555"/>
      <c r="CC1901" s="721"/>
      <c r="CD1901" s="554"/>
      <c r="CE1901" s="554"/>
      <c r="CF1901" s="554"/>
      <c r="CG1901" s="554"/>
      <c r="CH1901" s="556"/>
      <c r="CI1901" s="554"/>
      <c r="CJ1901" s="554">
        <f>I1901</f>
        <v>40</v>
      </c>
      <c r="CK1901" s="554"/>
      <c r="CL1901" s="554"/>
      <c r="CM1901" s="554"/>
      <c r="CN1901" s="554"/>
      <c r="CO1901" s="554"/>
      <c r="CP1901" s="619"/>
      <c r="CQ1901" s="619"/>
      <c r="CR1901" s="554"/>
      <c r="CS1901" s="554"/>
      <c r="CT1901" s="554"/>
      <c r="CU1901" s="554"/>
      <c r="CV1901" s="554"/>
      <c r="CW1901" s="554"/>
      <c r="CX1901" s="619"/>
      <c r="CY1901" s="619"/>
      <c r="CZ1901" s="619"/>
      <c r="DA1901" s="619"/>
      <c r="DB1901" s="619"/>
      <c r="DC1901" s="619"/>
      <c r="DD1901" s="619"/>
      <c r="DE1901" s="619"/>
      <c r="DF1901" s="619"/>
      <c r="DG1901" s="619"/>
      <c r="DH1901" s="619"/>
    </row>
    <row r="1902" s="550" customFormat="1" ht="31" customHeight="1" spans="1:112">
      <c r="A1902" s="913">
        <v>46195</v>
      </c>
      <c r="B1902" s="848" t="s">
        <v>549</v>
      </c>
      <c r="C1902" s="914" t="s">
        <v>302</v>
      </c>
      <c r="D1902" s="556">
        <v>4500213094</v>
      </c>
      <c r="E1902" s="914" t="s">
        <v>10631</v>
      </c>
      <c r="F1902" s="556" t="s">
        <v>10632</v>
      </c>
      <c r="G1902" s="914" t="s">
        <v>6365</v>
      </c>
      <c r="H1902" s="914" t="s">
        <v>6126</v>
      </c>
      <c r="I1902" s="914">
        <v>768</v>
      </c>
      <c r="J1902" s="914">
        <v>0</v>
      </c>
      <c r="K1902" s="914">
        <v>12</v>
      </c>
      <c r="L1902" s="917">
        <f t="shared" si="756"/>
        <v>64</v>
      </c>
      <c r="M1902" s="918">
        <v>46240</v>
      </c>
      <c r="N1902" s="953">
        <v>46239</v>
      </c>
      <c r="O1902" s="919"/>
      <c r="P1902" s="589" t="s">
        <v>113</v>
      </c>
      <c r="Q1902" s="914"/>
      <c r="R1902" s="863" t="s">
        <v>463</v>
      </c>
      <c r="S1902" s="863" t="s">
        <v>104</v>
      </c>
      <c r="T1902" s="932" t="s">
        <v>10633</v>
      </c>
      <c r="U1902" s="932"/>
      <c r="V1902" s="863"/>
      <c r="W1902" s="954"/>
      <c r="X1902" s="955" t="s">
        <v>10634</v>
      </c>
      <c r="Y1902" s="848" t="s">
        <v>5473</v>
      </c>
      <c r="Z1902" s="956">
        <v>2.2374</v>
      </c>
      <c r="AA1902" s="957">
        <f t="shared" ref="AA1902:AA1910" si="772">Z1902*I1902</f>
        <v>1718.3232</v>
      </c>
      <c r="AB1902" s="954"/>
      <c r="AC1902" s="958"/>
      <c r="AD1902" s="914" t="s">
        <v>6368</v>
      </c>
      <c r="AE1902" s="914" t="s">
        <v>82</v>
      </c>
      <c r="AF1902" s="914"/>
      <c r="AG1902" s="914"/>
      <c r="AH1902" s="914"/>
      <c r="AI1902" s="848">
        <v>768</v>
      </c>
      <c r="AJ1902" s="914">
        <f t="shared" si="753"/>
        <v>0</v>
      </c>
      <c r="AK1902" s="914"/>
      <c r="AL1902" s="914" t="s">
        <v>2368</v>
      </c>
      <c r="AM1902" s="914"/>
      <c r="AN1902" s="914"/>
      <c r="AO1902" s="556">
        <f>I1902*2</f>
        <v>1536</v>
      </c>
      <c r="AP1902" s="556"/>
      <c r="AQ1902" s="556"/>
      <c r="AR1902" s="922"/>
      <c r="AS1902" s="556"/>
      <c r="AT1902" s="556">
        <f>I1902*2</f>
        <v>1536</v>
      </c>
      <c r="AU1902" s="556"/>
      <c r="AV1902" s="556">
        <f>I1902*2</f>
        <v>1536</v>
      </c>
      <c r="AW1902" s="922"/>
      <c r="AX1902" s="556"/>
      <c r="AY1902" s="556"/>
      <c r="AZ1902" s="556"/>
      <c r="BA1902" s="556"/>
      <c r="BB1902" s="924">
        <f>I1902/24*2</f>
        <v>64</v>
      </c>
      <c r="BC1902" s="923"/>
      <c r="BD1902" s="556"/>
      <c r="BE1902" s="556"/>
      <c r="BF1902" s="556"/>
      <c r="BG1902" s="550"/>
      <c r="BH1902" s="556"/>
      <c r="BI1902" s="556"/>
      <c r="BJ1902" s="556"/>
      <c r="BK1902" s="556"/>
      <c r="BL1902" s="556"/>
      <c r="BM1902" s="556"/>
      <c r="BN1902" s="556"/>
      <c r="BO1902" s="556"/>
      <c r="BP1902" s="556"/>
      <c r="BQ1902" s="556"/>
      <c r="BR1902" s="556"/>
      <c r="BS1902" s="556"/>
      <c r="BT1902" s="556"/>
      <c r="BU1902" s="556"/>
      <c r="BV1902" s="556"/>
      <c r="BW1902" s="556"/>
      <c r="BX1902" s="556"/>
      <c r="BY1902" s="922"/>
      <c r="BZ1902" s="556"/>
      <c r="CA1902" s="959"/>
      <c r="CB1902" s="926"/>
      <c r="CC1902" s="960"/>
      <c r="CD1902" s="922"/>
      <c r="CE1902" s="922"/>
      <c r="CF1902" s="556"/>
      <c r="CG1902" s="556"/>
      <c r="CH1902" s="550"/>
      <c r="CI1902" s="556"/>
      <c r="CJ1902" s="556"/>
      <c r="CK1902" s="556"/>
      <c r="CL1902" s="556"/>
      <c r="CM1902" s="556"/>
      <c r="CN1902" s="556"/>
      <c r="CO1902" s="556"/>
      <c r="CP1902" s="556"/>
      <c r="CQ1902" s="556"/>
      <c r="CR1902" s="556">
        <f>I1902</f>
        <v>768</v>
      </c>
      <c r="CS1902" s="556">
        <f>I1902</f>
        <v>768</v>
      </c>
      <c r="CT1902" s="556">
        <f>I1902</f>
        <v>768</v>
      </c>
      <c r="CU1902" s="556">
        <f t="shared" ref="CU1902:CU1946" si="773">BQ1902+BP1902+BO1902+BN1902+BX1902+BR1902</f>
        <v>0</v>
      </c>
      <c r="CV1902" s="556">
        <v>0</v>
      </c>
      <c r="CW1902" s="556">
        <v>0</v>
      </c>
      <c r="CX1902" s="922"/>
      <c r="CY1902" s="922"/>
      <c r="CZ1902" s="922"/>
      <c r="DA1902" s="556"/>
      <c r="DB1902" s="556"/>
      <c r="DC1902" s="556"/>
      <c r="DD1902" s="922"/>
      <c r="DE1902" s="922"/>
      <c r="DF1902" s="922"/>
      <c r="DG1902" s="922"/>
      <c r="DH1902" s="922"/>
    </row>
    <row r="1903" s="550" customFormat="1" ht="31" customHeight="1" spans="1:112">
      <c r="A1903" s="608">
        <v>46195</v>
      </c>
      <c r="B1903" s="609" t="s">
        <v>549</v>
      </c>
      <c r="C1903" s="610" t="s">
        <v>302</v>
      </c>
      <c r="D1903" s="554">
        <v>4500213094</v>
      </c>
      <c r="E1903" s="610" t="s">
        <v>10635</v>
      </c>
      <c r="F1903" s="554" t="s">
        <v>10636</v>
      </c>
      <c r="G1903" s="610" t="s">
        <v>6365</v>
      </c>
      <c r="H1903" s="610" t="s">
        <v>6126</v>
      </c>
      <c r="I1903" s="610">
        <v>756</v>
      </c>
      <c r="J1903" s="610">
        <v>0</v>
      </c>
      <c r="K1903" s="610">
        <v>12</v>
      </c>
      <c r="L1903" s="611">
        <f t="shared" si="756"/>
        <v>63</v>
      </c>
      <c r="M1903" s="612">
        <v>46240</v>
      </c>
      <c r="N1903" s="953">
        <v>46239</v>
      </c>
      <c r="O1903" s="613"/>
      <c r="P1903" s="589" t="s">
        <v>113</v>
      </c>
      <c r="Q1903" s="610"/>
      <c r="R1903" s="614" t="s">
        <v>463</v>
      </c>
      <c r="S1903" s="614" t="s">
        <v>104</v>
      </c>
      <c r="T1903" s="818" t="s">
        <v>10637</v>
      </c>
      <c r="U1903" s="818"/>
      <c r="V1903" s="614"/>
      <c r="W1903" s="819"/>
      <c r="X1903" s="820" t="s">
        <v>10634</v>
      </c>
      <c r="Y1903" s="609" t="s">
        <v>5473</v>
      </c>
      <c r="Z1903" s="722">
        <v>2.2374</v>
      </c>
      <c r="AA1903" s="945">
        <f t="shared" si="772"/>
        <v>1691.4744</v>
      </c>
      <c r="AB1903" s="819"/>
      <c r="AC1903" s="961"/>
      <c r="AD1903" s="610" t="s">
        <v>6368</v>
      </c>
      <c r="AE1903" s="610" t="s">
        <v>82</v>
      </c>
      <c r="AF1903" s="610"/>
      <c r="AG1903" s="610"/>
      <c r="AH1903" s="610"/>
      <c r="AI1903" s="609">
        <v>756</v>
      </c>
      <c r="AJ1903" s="610">
        <f t="shared" si="753"/>
        <v>0</v>
      </c>
      <c r="AK1903" s="610"/>
      <c r="AL1903" s="610" t="s">
        <v>2368</v>
      </c>
      <c r="AM1903" s="610"/>
      <c r="AN1903" s="610"/>
      <c r="AO1903" s="554">
        <f>I1903*2</f>
        <v>1512</v>
      </c>
      <c r="AP1903" s="554"/>
      <c r="AQ1903" s="554"/>
      <c r="AR1903" s="619"/>
      <c r="AS1903" s="554"/>
      <c r="AT1903" s="554">
        <f>I1903*2</f>
        <v>1512</v>
      </c>
      <c r="AU1903" s="554"/>
      <c r="AV1903" s="554">
        <f>I1903*2</f>
        <v>1512</v>
      </c>
      <c r="AW1903" s="619"/>
      <c r="AX1903" s="554"/>
      <c r="AY1903" s="554"/>
      <c r="AZ1903" s="554"/>
      <c r="BA1903" s="554"/>
      <c r="BB1903" s="620">
        <f>I1903/24*2</f>
        <v>63</v>
      </c>
      <c r="BC1903" s="714"/>
      <c r="BD1903" s="554"/>
      <c r="BE1903" s="554"/>
      <c r="BF1903" s="554"/>
      <c r="BG1903" s="550"/>
      <c r="BH1903" s="554"/>
      <c r="BI1903" s="554"/>
      <c r="BJ1903" s="554"/>
      <c r="BK1903" s="554"/>
      <c r="BL1903" s="554"/>
      <c r="BM1903" s="554"/>
      <c r="BN1903" s="554"/>
      <c r="BO1903" s="554"/>
      <c r="BP1903" s="554"/>
      <c r="BQ1903" s="554"/>
      <c r="BR1903" s="554"/>
      <c r="BS1903" s="554"/>
      <c r="BT1903" s="554"/>
      <c r="BU1903" s="554"/>
      <c r="BV1903" s="554"/>
      <c r="BW1903" s="554"/>
      <c r="BX1903" s="554"/>
      <c r="BY1903" s="619"/>
      <c r="BZ1903" s="554"/>
      <c r="CA1903" s="621"/>
      <c r="CB1903" s="555"/>
      <c r="CC1903" s="622"/>
      <c r="CD1903" s="619"/>
      <c r="CE1903" s="619"/>
      <c r="CF1903" s="554"/>
      <c r="CG1903" s="554"/>
      <c r="CH1903" s="550"/>
      <c r="CI1903" s="554"/>
      <c r="CJ1903" s="554"/>
      <c r="CK1903" s="554"/>
      <c r="CL1903" s="554"/>
      <c r="CM1903" s="554"/>
      <c r="CN1903" s="554"/>
      <c r="CO1903" s="554"/>
      <c r="CP1903" s="554"/>
      <c r="CQ1903" s="554"/>
      <c r="CR1903" s="554">
        <f>I1903</f>
        <v>756</v>
      </c>
      <c r="CS1903" s="554">
        <f>I1903</f>
        <v>756</v>
      </c>
      <c r="CT1903" s="554">
        <f>I1903</f>
        <v>756</v>
      </c>
      <c r="CU1903" s="554">
        <f t="shared" si="773"/>
        <v>0</v>
      </c>
      <c r="CV1903" s="554">
        <v>0</v>
      </c>
      <c r="CW1903" s="554">
        <v>0</v>
      </c>
      <c r="CX1903" s="619"/>
      <c r="CY1903" s="619"/>
      <c r="CZ1903" s="619"/>
      <c r="DA1903" s="554"/>
      <c r="DB1903" s="554"/>
      <c r="DC1903" s="554"/>
      <c r="DD1903" s="619"/>
      <c r="DE1903" s="619"/>
      <c r="DF1903" s="619"/>
      <c r="DG1903" s="619"/>
      <c r="DH1903" s="619"/>
    </row>
    <row r="1904" s="550" customFormat="1" ht="31" customHeight="1" spans="1:112">
      <c r="A1904" s="867">
        <v>46203</v>
      </c>
      <c r="B1904" s="605" t="s">
        <v>3989</v>
      </c>
      <c r="C1904" s="589" t="s">
        <v>154</v>
      </c>
      <c r="D1904" s="886">
        <v>4500214437</v>
      </c>
      <c r="E1904" s="873">
        <v>55818085</v>
      </c>
      <c r="F1904" s="557" t="s">
        <v>5368</v>
      </c>
      <c r="G1904" s="589" t="s">
        <v>6337</v>
      </c>
      <c r="H1904" s="589" t="s">
        <v>477</v>
      </c>
      <c r="I1904" s="868">
        <v>1998</v>
      </c>
      <c r="J1904" s="589">
        <v>0</v>
      </c>
      <c r="K1904" s="869">
        <v>6</v>
      </c>
      <c r="L1904" s="870">
        <f t="shared" si="756"/>
        <v>333</v>
      </c>
      <c r="M1904" s="871">
        <v>46241</v>
      </c>
      <c r="N1904" s="872">
        <v>46237</v>
      </c>
      <c r="O1904" s="873"/>
      <c r="P1904" s="589" t="s">
        <v>113</v>
      </c>
      <c r="Q1904" s="874">
        <v>46246</v>
      </c>
      <c r="R1904" s="874">
        <v>46203</v>
      </c>
      <c r="S1904" s="614" t="s">
        <v>70</v>
      </c>
      <c r="T1904" s="730" t="s">
        <v>10638</v>
      </c>
      <c r="U1904" s="874"/>
      <c r="V1904" s="874"/>
      <c r="W1904" s="573"/>
      <c r="X1904" s="962" t="s">
        <v>10639</v>
      </c>
      <c r="Y1904" s="876" t="s">
        <v>2199</v>
      </c>
      <c r="Z1904" s="605">
        <v>7.2023</v>
      </c>
      <c r="AA1904" s="876">
        <f t="shared" si="772"/>
        <v>14390.1954</v>
      </c>
      <c r="AB1904" s="573"/>
      <c r="AC1904" s="877"/>
      <c r="AD1904" s="610" t="s">
        <v>480</v>
      </c>
      <c r="AE1904" s="589" t="s">
        <v>82</v>
      </c>
      <c r="AF1904" s="589"/>
      <c r="AG1904" s="589"/>
      <c r="AH1904" s="605"/>
      <c r="AI1904" s="609">
        <v>1998</v>
      </c>
      <c r="AJ1904" s="610">
        <f t="shared" si="753"/>
        <v>0</v>
      </c>
      <c r="AK1904" s="873"/>
      <c r="AL1904" s="589" t="s">
        <v>2368</v>
      </c>
      <c r="AM1904" s="589"/>
      <c r="AN1904" s="589"/>
      <c r="AO1904" s="557">
        <f>I1904*2</f>
        <v>3996</v>
      </c>
      <c r="AP1904" s="557"/>
      <c r="AQ1904" s="557"/>
      <c r="AR1904" s="878"/>
      <c r="AS1904" s="557"/>
      <c r="AT1904" s="554">
        <f>I1904*2</f>
        <v>3996</v>
      </c>
      <c r="AU1904" s="554"/>
      <c r="AV1904" s="554">
        <f>I1904</f>
        <v>1998</v>
      </c>
      <c r="AW1904" s="557"/>
      <c r="AX1904" s="879"/>
      <c r="AY1904" s="557"/>
      <c r="AZ1904" s="557"/>
      <c r="BA1904" s="557"/>
      <c r="BB1904" s="620">
        <f>I1904/24*2</f>
        <v>166.5</v>
      </c>
      <c r="BC1904" s="557"/>
      <c r="BD1904" s="557"/>
      <c r="BE1904" s="557"/>
      <c r="BF1904" s="880"/>
      <c r="BG1904" s="881"/>
      <c r="BH1904" s="882"/>
      <c r="BI1904" s="557"/>
      <c r="BJ1904" s="557"/>
      <c r="BK1904" s="557"/>
      <c r="BL1904" s="557"/>
      <c r="BM1904" s="557"/>
      <c r="BN1904" s="557"/>
      <c r="BO1904" s="557"/>
      <c r="BP1904" s="557"/>
      <c r="BQ1904" s="557"/>
      <c r="BR1904" s="557"/>
      <c r="BS1904" s="557"/>
      <c r="BT1904" s="557"/>
      <c r="BU1904" s="557"/>
      <c r="BV1904" s="557"/>
      <c r="BW1904" s="557"/>
      <c r="BX1904" s="557"/>
      <c r="BY1904" s="557"/>
      <c r="BZ1904" s="554">
        <f>I1904</f>
        <v>1998</v>
      </c>
      <c r="CA1904" s="883"/>
      <c r="CB1904" s="555"/>
      <c r="CC1904" s="882"/>
      <c r="CD1904" s="557"/>
      <c r="CE1904" s="557"/>
      <c r="CF1904" s="557"/>
      <c r="CG1904" s="880"/>
      <c r="CH1904" s="881"/>
      <c r="CI1904" s="882"/>
      <c r="CJ1904" s="557"/>
      <c r="CK1904" s="557"/>
      <c r="CL1904" s="557"/>
      <c r="CM1904" s="557"/>
      <c r="CN1904" s="557"/>
      <c r="CO1904" s="557"/>
      <c r="CP1904" s="878"/>
      <c r="CQ1904" s="878"/>
      <c r="CR1904" s="557"/>
      <c r="CS1904" s="557"/>
      <c r="CT1904" s="557"/>
      <c r="CU1904" s="554">
        <f t="shared" si="773"/>
        <v>0</v>
      </c>
      <c r="CV1904" s="554">
        <v>0</v>
      </c>
      <c r="CW1904" s="554">
        <v>0</v>
      </c>
      <c r="CX1904" s="878"/>
      <c r="CY1904" s="878"/>
      <c r="CZ1904" s="878"/>
      <c r="DA1904" s="878"/>
      <c r="DB1904" s="878"/>
      <c r="DC1904" s="878"/>
      <c r="DD1904" s="878"/>
      <c r="DE1904" s="878"/>
      <c r="DF1904" s="878"/>
      <c r="DG1904" s="878"/>
      <c r="DH1904" s="878"/>
    </row>
    <row r="1905" s="554" customFormat="1" ht="31" customHeight="1" spans="1:113">
      <c r="A1905" s="608">
        <v>46142</v>
      </c>
      <c r="B1905" s="609" t="s">
        <v>884</v>
      </c>
      <c r="C1905" s="610" t="s">
        <v>5482</v>
      </c>
      <c r="D1905" s="727">
        <v>4500204716</v>
      </c>
      <c r="E1905" s="610" t="s">
        <v>3846</v>
      </c>
      <c r="F1905" s="554" t="s">
        <v>10640</v>
      </c>
      <c r="G1905" s="610" t="s">
        <v>6448</v>
      </c>
      <c r="H1905" s="610" t="s">
        <v>6449</v>
      </c>
      <c r="I1905" s="715">
        <v>2400</v>
      </c>
      <c r="J1905" s="610">
        <v>0</v>
      </c>
      <c r="K1905" s="610">
        <v>50</v>
      </c>
      <c r="L1905" s="611">
        <f t="shared" si="756"/>
        <v>48</v>
      </c>
      <c r="M1905" s="724">
        <v>46246</v>
      </c>
      <c r="N1905" s="724">
        <v>46242</v>
      </c>
      <c r="O1905" s="613"/>
      <c r="P1905" s="610" t="s">
        <v>113</v>
      </c>
      <c r="Q1905" s="614"/>
      <c r="R1905" s="614">
        <v>46171</v>
      </c>
      <c r="S1905" s="614" t="s">
        <v>70</v>
      </c>
      <c r="T1905" s="730" t="s">
        <v>10641</v>
      </c>
      <c r="U1905" s="614"/>
      <c r="V1905" s="614" t="s">
        <v>10642</v>
      </c>
      <c r="W1905" s="609"/>
      <c r="X1905" s="738" t="s">
        <v>10643</v>
      </c>
      <c r="Y1905" s="616" t="s">
        <v>217</v>
      </c>
      <c r="Z1905" s="609">
        <v>0.91</v>
      </c>
      <c r="AA1905" s="616">
        <f t="shared" si="772"/>
        <v>2184</v>
      </c>
      <c r="AB1905" s="609" t="s">
        <v>10644</v>
      </c>
      <c r="AC1905" s="697"/>
      <c r="AD1905" s="610" t="s">
        <v>7959</v>
      </c>
      <c r="AE1905" s="610" t="s">
        <v>82</v>
      </c>
      <c r="AF1905" s="610"/>
      <c r="AG1905" s="610"/>
      <c r="AH1905" s="609"/>
      <c r="AI1905" s="609">
        <v>2400</v>
      </c>
      <c r="AJ1905" s="610">
        <f t="shared" si="753"/>
        <v>0</v>
      </c>
      <c r="AK1905" s="613"/>
      <c r="AL1905" s="610" t="s">
        <v>2368</v>
      </c>
      <c r="AM1905" s="610"/>
      <c r="AN1905" s="554"/>
      <c r="AO1905" s="554">
        <f>I1905</f>
        <v>2400</v>
      </c>
      <c r="AP1905" s="554">
        <f>I1905</f>
        <v>2400</v>
      </c>
      <c r="AR1905" s="619"/>
      <c r="AS1905" s="554"/>
      <c r="AT1905" s="554"/>
      <c r="AU1905" s="554"/>
      <c r="AV1905" s="554"/>
      <c r="AW1905" s="554"/>
      <c r="AX1905" s="714"/>
      <c r="AY1905" s="554"/>
      <c r="AZ1905" s="554">
        <f>I1905</f>
        <v>2400</v>
      </c>
      <c r="BB1905" s="620">
        <f>I1905/24</f>
        <v>100</v>
      </c>
      <c r="BX1905" s="554">
        <f>I1905/25</f>
        <v>96</v>
      </c>
      <c r="CA1905" s="720"/>
      <c r="CB1905" s="555"/>
      <c r="CC1905" s="721"/>
      <c r="CD1905" s="554"/>
      <c r="CE1905" s="554"/>
      <c r="CF1905" s="554"/>
      <c r="CG1905" s="554"/>
      <c r="CP1905" s="619"/>
      <c r="CQ1905" s="619"/>
      <c r="CR1905" s="554"/>
      <c r="CS1905" s="554"/>
      <c r="CT1905" s="554"/>
      <c r="CU1905" s="554">
        <f t="shared" si="773"/>
        <v>96</v>
      </c>
      <c r="CV1905" s="554">
        <f t="shared" ref="CV1905:CV1911" si="774">CK1905+CL1905+CM1905+CN1905+CO1905+CQ1905+CP1905</f>
        <v>0</v>
      </c>
      <c r="CW1905" s="554">
        <f t="shared" ref="CW1905:CW1911" si="775">CI1905+CJ1905</f>
        <v>0</v>
      </c>
      <c r="CX1905" s="619"/>
      <c r="CY1905" s="619"/>
      <c r="CZ1905" s="619"/>
      <c r="DA1905" s="619"/>
      <c r="DB1905" s="619"/>
      <c r="DC1905" s="619"/>
      <c r="DD1905" s="619"/>
      <c r="DE1905" s="619"/>
      <c r="DF1905" s="619"/>
      <c r="DG1905" s="619"/>
      <c r="DH1905" s="619"/>
    </row>
    <row r="1906" s="554" customFormat="1" ht="31" customHeight="1" spans="1:113">
      <c r="A1906" s="608">
        <v>46142</v>
      </c>
      <c r="B1906" s="609" t="s">
        <v>499</v>
      </c>
      <c r="C1906" s="610" t="s">
        <v>890</v>
      </c>
      <c r="D1906" s="727">
        <v>4500204719</v>
      </c>
      <c r="E1906" s="610" t="s">
        <v>3846</v>
      </c>
      <c r="F1906" s="554" t="s">
        <v>10645</v>
      </c>
      <c r="G1906" s="610" t="s">
        <v>6448</v>
      </c>
      <c r="H1906" s="610" t="s">
        <v>6449</v>
      </c>
      <c r="I1906" s="715">
        <v>1000</v>
      </c>
      <c r="J1906" s="610">
        <v>0</v>
      </c>
      <c r="K1906" s="610">
        <v>50</v>
      </c>
      <c r="L1906" s="611">
        <f t="shared" si="756"/>
        <v>20</v>
      </c>
      <c r="M1906" s="724">
        <v>46246</v>
      </c>
      <c r="N1906" s="724">
        <f>M1906-4</f>
        <v>46242</v>
      </c>
      <c r="O1906" s="613"/>
      <c r="P1906" s="610" t="s">
        <v>113</v>
      </c>
      <c r="Q1906" s="614"/>
      <c r="R1906" s="614">
        <v>46171</v>
      </c>
      <c r="S1906" s="614" t="s">
        <v>70</v>
      </c>
      <c r="T1906" s="730" t="s">
        <v>10646</v>
      </c>
      <c r="U1906" s="614"/>
      <c r="V1906" s="614" t="s">
        <v>10642</v>
      </c>
      <c r="W1906" s="609"/>
      <c r="X1906" s="738" t="s">
        <v>10647</v>
      </c>
      <c r="Y1906" s="616" t="s">
        <v>217</v>
      </c>
      <c r="Z1906" s="609">
        <v>0.91</v>
      </c>
      <c r="AA1906" s="616">
        <f t="shared" si="772"/>
        <v>910</v>
      </c>
      <c r="AB1906" s="609" t="s">
        <v>10644</v>
      </c>
      <c r="AC1906" s="697"/>
      <c r="AD1906" s="610" t="s">
        <v>7959</v>
      </c>
      <c r="AE1906" s="610" t="s">
        <v>82</v>
      </c>
      <c r="AF1906" s="610"/>
      <c r="AG1906" s="610"/>
      <c r="AH1906" s="609"/>
      <c r="AI1906" s="609">
        <v>1000</v>
      </c>
      <c r="AJ1906" s="610">
        <f t="shared" si="753"/>
        <v>0</v>
      </c>
      <c r="AK1906" s="613"/>
      <c r="AL1906" s="610" t="s">
        <v>2368</v>
      </c>
      <c r="AM1906" s="610"/>
      <c r="AN1906" s="554"/>
      <c r="AO1906" s="554">
        <f>I1906</f>
        <v>1000</v>
      </c>
      <c r="AP1906" s="554">
        <f>I1906</f>
        <v>1000</v>
      </c>
      <c r="AR1906" s="619"/>
      <c r="AS1906" s="554"/>
      <c r="AT1906" s="554"/>
      <c r="AU1906" s="554"/>
      <c r="AV1906" s="554"/>
      <c r="AW1906" s="554"/>
      <c r="AX1906" s="714"/>
      <c r="AY1906" s="554"/>
      <c r="AZ1906" s="554">
        <f>I1906</f>
        <v>1000</v>
      </c>
      <c r="BB1906" s="620">
        <f>I1906/24</f>
        <v>41.6666666666667</v>
      </c>
      <c r="BX1906" s="554">
        <f>I1906/25</f>
        <v>40</v>
      </c>
      <c r="CA1906" s="720"/>
      <c r="CB1906" s="555"/>
      <c r="CC1906" s="721"/>
      <c r="CD1906" s="554"/>
      <c r="CE1906" s="554"/>
      <c r="CF1906" s="554"/>
      <c r="CG1906" s="554"/>
      <c r="CP1906" s="619"/>
      <c r="CQ1906" s="619"/>
      <c r="CR1906" s="554"/>
      <c r="CS1906" s="554"/>
      <c r="CT1906" s="554"/>
      <c r="CU1906" s="554">
        <f t="shared" si="773"/>
        <v>40</v>
      </c>
      <c r="CV1906" s="554">
        <f t="shared" si="774"/>
        <v>0</v>
      </c>
      <c r="CW1906" s="554">
        <f t="shared" si="775"/>
        <v>0</v>
      </c>
      <c r="CX1906" s="619"/>
      <c r="CY1906" s="619"/>
      <c r="CZ1906" s="619"/>
      <c r="DA1906" s="619"/>
      <c r="DB1906" s="619"/>
      <c r="DC1906" s="619"/>
      <c r="DD1906" s="619"/>
      <c r="DE1906" s="619"/>
      <c r="DF1906" s="619"/>
      <c r="DG1906" s="619"/>
      <c r="DH1906" s="619"/>
    </row>
    <row r="1907" s="554" customFormat="1" ht="31" customHeight="1" spans="1:113">
      <c r="A1907" s="608">
        <v>46142</v>
      </c>
      <c r="B1907" s="609" t="s">
        <v>499</v>
      </c>
      <c r="C1907" s="610" t="s">
        <v>890</v>
      </c>
      <c r="D1907" s="727">
        <v>4500204719</v>
      </c>
      <c r="E1907" s="610" t="s">
        <v>3846</v>
      </c>
      <c r="F1907" s="554" t="s">
        <v>10648</v>
      </c>
      <c r="G1907" s="610" t="s">
        <v>6708</v>
      </c>
      <c r="H1907" s="610" t="s">
        <v>6709</v>
      </c>
      <c r="I1907" s="715">
        <v>720</v>
      </c>
      <c r="J1907" s="610">
        <v>0</v>
      </c>
      <c r="K1907" s="610">
        <v>30</v>
      </c>
      <c r="L1907" s="611">
        <f t="shared" si="756"/>
        <v>24</v>
      </c>
      <c r="M1907" s="724">
        <v>46246</v>
      </c>
      <c r="N1907" s="724">
        <f>M1907-4</f>
        <v>46242</v>
      </c>
      <c r="O1907" s="613"/>
      <c r="P1907" s="610" t="s">
        <v>113</v>
      </c>
      <c r="Q1907" s="614"/>
      <c r="R1907" s="614">
        <v>46171</v>
      </c>
      <c r="S1907" s="614" t="s">
        <v>70</v>
      </c>
      <c r="T1907" s="730" t="s">
        <v>10646</v>
      </c>
      <c r="U1907" s="614"/>
      <c r="V1907" s="614"/>
      <c r="W1907" s="609"/>
      <c r="X1907" s="738" t="s">
        <v>10647</v>
      </c>
      <c r="Y1907" s="616" t="s">
        <v>217</v>
      </c>
      <c r="Z1907" s="609">
        <v>41.6114</v>
      </c>
      <c r="AA1907" s="616">
        <f t="shared" si="772"/>
        <v>29960.208</v>
      </c>
      <c r="AB1907" s="609" t="s">
        <v>10644</v>
      </c>
      <c r="AC1907" s="697"/>
      <c r="AD1907" s="610" t="s">
        <v>6708</v>
      </c>
      <c r="AE1907" s="610" t="s">
        <v>82</v>
      </c>
      <c r="AF1907" s="610"/>
      <c r="AG1907" s="610"/>
      <c r="AH1907" s="609"/>
      <c r="AI1907" s="609">
        <v>720</v>
      </c>
      <c r="AJ1907" s="610">
        <f t="shared" si="753"/>
        <v>0</v>
      </c>
      <c r="AK1907" s="613"/>
      <c r="AL1907" s="610" t="s">
        <v>2368</v>
      </c>
      <c r="AM1907" s="610"/>
      <c r="AN1907" s="554"/>
      <c r="AO1907" s="554">
        <f>I1907</f>
        <v>720</v>
      </c>
      <c r="AP1907" s="554">
        <f>I1907</f>
        <v>720</v>
      </c>
      <c r="AR1907" s="619"/>
      <c r="AS1907" s="554"/>
      <c r="AT1907" s="554"/>
      <c r="AU1907" s="554"/>
      <c r="AV1907" s="554"/>
      <c r="AW1907" s="554"/>
      <c r="AX1907" s="714"/>
      <c r="AY1907" s="554"/>
      <c r="AZ1907" s="554">
        <f>I1907</f>
        <v>720</v>
      </c>
      <c r="BB1907" s="620">
        <f>I1907/24</f>
        <v>30</v>
      </c>
      <c r="CA1907" s="720"/>
      <c r="CB1907" s="555"/>
      <c r="CC1907" s="721"/>
      <c r="CD1907" s="554"/>
      <c r="CE1907" s="554"/>
      <c r="CF1907" s="554"/>
      <c r="CG1907" s="554"/>
      <c r="CP1907" s="619"/>
      <c r="CQ1907" s="554">
        <f>I1907/30</f>
        <v>24</v>
      </c>
      <c r="CU1907" s="554">
        <f t="shared" si="773"/>
        <v>0</v>
      </c>
      <c r="CV1907" s="554">
        <f t="shared" si="774"/>
        <v>24</v>
      </c>
      <c r="CW1907" s="554">
        <f t="shared" si="775"/>
        <v>0</v>
      </c>
      <c r="CX1907" s="619"/>
      <c r="CY1907" s="619"/>
      <c r="CZ1907" s="619"/>
      <c r="DA1907" s="619"/>
      <c r="DB1907" s="619"/>
      <c r="DC1907" s="619"/>
      <c r="DD1907" s="619"/>
      <c r="DE1907" s="619"/>
      <c r="DF1907" s="619"/>
      <c r="DG1907" s="619"/>
      <c r="DH1907" s="619"/>
    </row>
    <row r="1908" s="554" customFormat="1" ht="31" customHeight="1" spans="1:113">
      <c r="A1908" s="608">
        <v>46142</v>
      </c>
      <c r="B1908" s="609" t="s">
        <v>499</v>
      </c>
      <c r="C1908" s="610" t="s">
        <v>4124</v>
      </c>
      <c r="D1908" s="727">
        <v>4500204723</v>
      </c>
      <c r="E1908" s="610" t="s">
        <v>3846</v>
      </c>
      <c r="F1908" s="554" t="s">
        <v>10649</v>
      </c>
      <c r="G1908" s="610" t="s">
        <v>6448</v>
      </c>
      <c r="H1908" s="610" t="s">
        <v>6449</v>
      </c>
      <c r="I1908" s="715">
        <v>1850</v>
      </c>
      <c r="J1908" s="610">
        <v>0</v>
      </c>
      <c r="K1908" s="610">
        <v>50</v>
      </c>
      <c r="L1908" s="611">
        <f t="shared" si="756"/>
        <v>37</v>
      </c>
      <c r="M1908" s="724">
        <v>46246</v>
      </c>
      <c r="N1908" s="724">
        <f>M1908-4</f>
        <v>46242</v>
      </c>
      <c r="O1908" s="613"/>
      <c r="P1908" s="610" t="s">
        <v>113</v>
      </c>
      <c r="Q1908" s="614"/>
      <c r="R1908" s="614">
        <v>46171</v>
      </c>
      <c r="S1908" s="614" t="s">
        <v>70</v>
      </c>
      <c r="T1908" s="730" t="s">
        <v>10646</v>
      </c>
      <c r="U1908" s="614"/>
      <c r="V1908" s="614" t="s">
        <v>10642</v>
      </c>
      <c r="W1908" s="609"/>
      <c r="X1908" s="738" t="s">
        <v>10650</v>
      </c>
      <c r="Y1908" s="616" t="s">
        <v>217</v>
      </c>
      <c r="Z1908" s="609">
        <v>0.9274</v>
      </c>
      <c r="AA1908" s="616">
        <f t="shared" si="772"/>
        <v>1715.69</v>
      </c>
      <c r="AB1908" s="609" t="s">
        <v>10644</v>
      </c>
      <c r="AC1908" s="697"/>
      <c r="AD1908" s="610" t="s">
        <v>7959</v>
      </c>
      <c r="AE1908" s="610" t="s">
        <v>82</v>
      </c>
      <c r="AF1908" s="610"/>
      <c r="AG1908" s="610"/>
      <c r="AH1908" s="609"/>
      <c r="AI1908" s="609">
        <v>1850</v>
      </c>
      <c r="AJ1908" s="610">
        <f t="shared" ref="AJ1908:AJ1946" si="776">AI1908-I1908</f>
        <v>0</v>
      </c>
      <c r="AK1908" s="613"/>
      <c r="AL1908" s="610" t="s">
        <v>2368</v>
      </c>
      <c r="AM1908" s="610"/>
      <c r="AN1908" s="554"/>
      <c r="AO1908" s="554">
        <f>I1908</f>
        <v>1850</v>
      </c>
      <c r="AP1908" s="554">
        <f>I1908</f>
        <v>1850</v>
      </c>
      <c r="AR1908" s="619"/>
      <c r="AS1908" s="554"/>
      <c r="AT1908" s="554"/>
      <c r="AU1908" s="554"/>
      <c r="AV1908" s="554"/>
      <c r="AW1908" s="554"/>
      <c r="AX1908" s="714"/>
      <c r="AY1908" s="554"/>
      <c r="AZ1908" s="554">
        <f>I1908</f>
        <v>1850</v>
      </c>
      <c r="BB1908" s="620">
        <f>I1908/24</f>
        <v>77.0833333333333</v>
      </c>
      <c r="BX1908" s="554">
        <f>I1908/25</f>
        <v>74</v>
      </c>
      <c r="CA1908" s="720"/>
      <c r="CB1908" s="555"/>
      <c r="CC1908" s="721"/>
      <c r="CD1908" s="554"/>
      <c r="CE1908" s="554"/>
      <c r="CF1908" s="554"/>
      <c r="CG1908" s="554"/>
      <c r="CP1908" s="619"/>
      <c r="CQ1908" s="619"/>
      <c r="CR1908" s="554"/>
      <c r="CS1908" s="554"/>
      <c r="CT1908" s="554"/>
      <c r="CU1908" s="554">
        <f t="shared" si="773"/>
        <v>74</v>
      </c>
      <c r="CV1908" s="554">
        <f t="shared" si="774"/>
        <v>0</v>
      </c>
      <c r="CW1908" s="554">
        <f t="shared" si="775"/>
        <v>0</v>
      </c>
      <c r="CX1908" s="619"/>
      <c r="CY1908" s="619"/>
      <c r="CZ1908" s="619"/>
      <c r="DA1908" s="619"/>
      <c r="DB1908" s="619"/>
      <c r="DC1908" s="619"/>
      <c r="DD1908" s="619"/>
      <c r="DE1908" s="619"/>
      <c r="DF1908" s="619"/>
      <c r="DG1908" s="619"/>
      <c r="DH1908" s="619"/>
    </row>
    <row r="1909" s="554" customFormat="1" ht="31" customHeight="1" spans="1:113">
      <c r="A1909" s="608">
        <v>46142</v>
      </c>
      <c r="B1909" s="609" t="s">
        <v>499</v>
      </c>
      <c r="C1909" s="610" t="s">
        <v>4124</v>
      </c>
      <c r="D1909" s="727">
        <v>4500204723</v>
      </c>
      <c r="E1909" s="610" t="s">
        <v>3846</v>
      </c>
      <c r="F1909" s="554" t="s">
        <v>10651</v>
      </c>
      <c r="G1909" s="610" t="s">
        <v>6708</v>
      </c>
      <c r="H1909" s="610" t="s">
        <v>6709</v>
      </c>
      <c r="I1909" s="715">
        <v>1050</v>
      </c>
      <c r="J1909" s="610">
        <v>0</v>
      </c>
      <c r="K1909" s="610">
        <v>30</v>
      </c>
      <c r="L1909" s="611">
        <f t="shared" ref="L1909:L1935" si="777">I1909/K1909</f>
        <v>35</v>
      </c>
      <c r="M1909" s="724">
        <v>46246</v>
      </c>
      <c r="N1909" s="724">
        <f>M1909-4</f>
        <v>46242</v>
      </c>
      <c r="O1909" s="613"/>
      <c r="P1909" s="610" t="s">
        <v>113</v>
      </c>
      <c r="Q1909" s="614"/>
      <c r="R1909" s="614">
        <v>46171</v>
      </c>
      <c r="S1909" s="614" t="s">
        <v>70</v>
      </c>
      <c r="T1909" s="730" t="s">
        <v>10646</v>
      </c>
      <c r="U1909" s="614"/>
      <c r="V1909" s="614"/>
      <c r="W1909" s="609"/>
      <c r="X1909" s="738" t="s">
        <v>10650</v>
      </c>
      <c r="Y1909" s="616" t="s">
        <v>217</v>
      </c>
      <c r="Z1909" s="609">
        <v>42.2785</v>
      </c>
      <c r="AA1909" s="616">
        <f t="shared" si="772"/>
        <v>44392.425</v>
      </c>
      <c r="AB1909" s="609" t="s">
        <v>10644</v>
      </c>
      <c r="AC1909" s="697"/>
      <c r="AD1909" s="610" t="s">
        <v>6708</v>
      </c>
      <c r="AE1909" s="610" t="s">
        <v>82</v>
      </c>
      <c r="AF1909" s="610"/>
      <c r="AG1909" s="610"/>
      <c r="AH1909" s="609"/>
      <c r="AI1909" s="609">
        <v>1050</v>
      </c>
      <c r="AJ1909" s="610">
        <f t="shared" si="776"/>
        <v>0</v>
      </c>
      <c r="AK1909" s="613"/>
      <c r="AL1909" s="610" t="s">
        <v>2368</v>
      </c>
      <c r="AM1909" s="610"/>
      <c r="AN1909" s="554"/>
      <c r="AO1909" s="554">
        <f>I1909</f>
        <v>1050</v>
      </c>
      <c r="AP1909" s="554">
        <f>I1909</f>
        <v>1050</v>
      </c>
      <c r="AR1909" s="619"/>
      <c r="AS1909" s="554"/>
      <c r="AT1909" s="554"/>
      <c r="AU1909" s="554"/>
      <c r="AV1909" s="554"/>
      <c r="AW1909" s="554"/>
      <c r="AX1909" s="714"/>
      <c r="AY1909" s="554"/>
      <c r="AZ1909" s="554">
        <f>I1909</f>
        <v>1050</v>
      </c>
      <c r="BB1909" s="620">
        <f>I1909/24</f>
        <v>43.75</v>
      </c>
      <c r="CA1909" s="720"/>
      <c r="CB1909" s="555"/>
      <c r="CC1909" s="721"/>
      <c r="CD1909" s="554"/>
      <c r="CE1909" s="554"/>
      <c r="CF1909" s="554"/>
      <c r="CG1909" s="554"/>
      <c r="CP1909" s="619"/>
      <c r="CQ1909" s="554">
        <f>I1909/30</f>
        <v>35</v>
      </c>
      <c r="CU1909" s="554">
        <f t="shared" si="773"/>
        <v>0</v>
      </c>
      <c r="CV1909" s="554">
        <f t="shared" si="774"/>
        <v>35</v>
      </c>
      <c r="CW1909" s="554">
        <f t="shared" si="775"/>
        <v>0</v>
      </c>
      <c r="CX1909" s="619"/>
      <c r="CY1909" s="619"/>
      <c r="CZ1909" s="619"/>
      <c r="DA1909" s="619"/>
      <c r="DB1909" s="619"/>
      <c r="DC1909" s="619"/>
      <c r="DD1909" s="619"/>
      <c r="DE1909" s="619"/>
      <c r="DF1909" s="619"/>
      <c r="DG1909" s="619"/>
      <c r="DH1909" s="619"/>
    </row>
    <row r="1910" s="550" customFormat="1" ht="31" customHeight="1" spans="1:113">
      <c r="A1910" s="963">
        <v>46162</v>
      </c>
      <c r="B1910" s="964" t="s">
        <v>5385</v>
      </c>
      <c r="C1910" s="965" t="s">
        <v>98</v>
      </c>
      <c r="D1910" s="966">
        <v>4500208119</v>
      </c>
      <c r="E1910" s="967">
        <v>1002450715</v>
      </c>
      <c r="F1910" s="968" t="s">
        <v>5388</v>
      </c>
      <c r="G1910" s="965" t="s">
        <v>8520</v>
      </c>
      <c r="H1910" s="965" t="s">
        <v>8521</v>
      </c>
      <c r="I1910" s="969">
        <v>2824</v>
      </c>
      <c r="J1910" s="965">
        <v>0</v>
      </c>
      <c r="K1910" s="965">
        <v>8</v>
      </c>
      <c r="L1910" s="970">
        <f t="shared" si="777"/>
        <v>353</v>
      </c>
      <c r="M1910" s="971">
        <v>46246</v>
      </c>
      <c r="N1910" s="971">
        <v>46242</v>
      </c>
      <c r="O1910" s="972" t="s">
        <v>5389</v>
      </c>
      <c r="P1910" s="965" t="s">
        <v>113</v>
      </c>
      <c r="Q1910" s="944"/>
      <c r="R1910" s="944">
        <v>46162</v>
      </c>
      <c r="S1910" s="944" t="s">
        <v>70</v>
      </c>
      <c r="T1910" s="944" t="s">
        <v>5390</v>
      </c>
      <c r="U1910" s="944"/>
      <c r="V1910" s="944"/>
      <c r="W1910" s="573"/>
      <c r="X1910" s="964" t="s">
        <v>5391</v>
      </c>
      <c r="Y1910" s="973" t="s">
        <v>106</v>
      </c>
      <c r="Z1910" s="964">
        <v>4.1935</v>
      </c>
      <c r="AA1910" s="973">
        <f t="shared" si="772"/>
        <v>11842.444</v>
      </c>
      <c r="AC1910" s="974"/>
      <c r="AD1910" s="965" t="s">
        <v>2741</v>
      </c>
      <c r="AE1910" s="965" t="s">
        <v>82</v>
      </c>
      <c r="AF1910" s="965"/>
      <c r="AG1910" s="965"/>
      <c r="AH1910" s="964"/>
      <c r="AI1910" s="609">
        <v>2824</v>
      </c>
      <c r="AJ1910" s="589">
        <f t="shared" si="776"/>
        <v>0</v>
      </c>
      <c r="AK1910" s="967"/>
      <c r="AL1910" s="965" t="s">
        <v>2368</v>
      </c>
      <c r="AM1910" s="965"/>
      <c r="AN1910" s="965">
        <f>I1910*2</f>
        <v>5648</v>
      </c>
      <c r="AO1910" s="968"/>
      <c r="AP1910" s="968"/>
      <c r="AQ1910" s="968"/>
      <c r="AR1910" s="975"/>
      <c r="AS1910" s="968"/>
      <c r="AT1910" s="968"/>
      <c r="AU1910" s="968">
        <f>I1910*2</f>
        <v>5648</v>
      </c>
      <c r="AV1910" s="968"/>
      <c r="AW1910" s="968"/>
      <c r="AX1910" s="976"/>
      <c r="AY1910" s="968"/>
      <c r="AZ1910" s="968"/>
      <c r="BA1910" s="968"/>
      <c r="BB1910" s="888">
        <f>I1910/24*2</f>
        <v>235.333333333333</v>
      </c>
      <c r="BC1910" s="968"/>
      <c r="BD1910" s="968"/>
      <c r="BE1910" s="968"/>
      <c r="BF1910" s="968"/>
      <c r="BG1910" s="968">
        <f>I1910*2</f>
        <v>5648</v>
      </c>
      <c r="BH1910" s="968"/>
      <c r="BI1910" s="968"/>
      <c r="BJ1910" s="968"/>
      <c r="BK1910" s="968"/>
      <c r="BL1910" s="968"/>
      <c r="BM1910" s="968"/>
      <c r="BN1910" s="968"/>
      <c r="BO1910" s="968"/>
      <c r="BP1910" s="968"/>
      <c r="BQ1910" s="968"/>
      <c r="BR1910" s="968"/>
      <c r="BS1910" s="968"/>
      <c r="BT1910" s="968"/>
      <c r="BU1910" s="968"/>
      <c r="BV1910" s="968"/>
      <c r="BW1910" s="968"/>
      <c r="BX1910" s="968"/>
      <c r="BY1910" s="968">
        <f>I1910</f>
        <v>2824</v>
      </c>
      <c r="BZ1910" s="968"/>
      <c r="CA1910" s="977"/>
      <c r="CB1910" s="555"/>
      <c r="CC1910" s="978"/>
      <c r="CD1910" s="975"/>
      <c r="CE1910" s="975"/>
      <c r="CF1910" s="968"/>
      <c r="CG1910" s="968"/>
      <c r="CH1910" s="968"/>
      <c r="CI1910" s="968"/>
      <c r="CJ1910" s="968"/>
      <c r="CK1910" s="968"/>
      <c r="CL1910" s="968"/>
      <c r="CM1910" s="968"/>
      <c r="CN1910" s="968"/>
      <c r="CO1910" s="968"/>
      <c r="CP1910" s="975"/>
      <c r="CQ1910" s="975"/>
      <c r="CR1910" s="968"/>
      <c r="CS1910" s="968"/>
      <c r="CT1910" s="968"/>
      <c r="CU1910" s="968">
        <f t="shared" si="773"/>
        <v>0</v>
      </c>
      <c r="CV1910" s="968">
        <f t="shared" si="774"/>
        <v>0</v>
      </c>
      <c r="CW1910" s="968">
        <f t="shared" si="775"/>
        <v>0</v>
      </c>
      <c r="CX1910" s="979"/>
      <c r="CY1910" s="979"/>
      <c r="CZ1910" s="979"/>
      <c r="DA1910" s="979"/>
      <c r="DB1910" s="979"/>
      <c r="DC1910" s="979"/>
      <c r="DD1910" s="979"/>
      <c r="DE1910" s="979"/>
      <c r="DF1910" s="979"/>
      <c r="DG1910" s="979"/>
      <c r="DH1910" s="979"/>
      <c r="DI1910" s="968"/>
    </row>
    <row r="1911" s="550" customFormat="1" ht="31" customHeight="1" spans="1:113">
      <c r="A1911" s="608">
        <v>46178</v>
      </c>
      <c r="B1911" s="609" t="s">
        <v>5030</v>
      </c>
      <c r="C1911" s="610" t="s">
        <v>524</v>
      </c>
      <c r="D1911" s="727">
        <v>4500210803</v>
      </c>
      <c r="E1911" s="731">
        <v>17409536</v>
      </c>
      <c r="F1911" s="729" t="s">
        <v>10652</v>
      </c>
      <c r="G1911" s="610" t="s">
        <v>6079</v>
      </c>
      <c r="H1911" s="610" t="s">
        <v>6080</v>
      </c>
      <c r="I1911" s="715">
        <v>1200</v>
      </c>
      <c r="J1911" s="610">
        <v>0</v>
      </c>
      <c r="K1911" s="843">
        <v>60</v>
      </c>
      <c r="L1911" s="844">
        <f t="shared" si="777"/>
        <v>20</v>
      </c>
      <c r="M1911" s="845">
        <v>46248</v>
      </c>
      <c r="N1911" s="887">
        <v>46245</v>
      </c>
      <c r="O1911" s="737" t="s">
        <v>5034</v>
      </c>
      <c r="P1911" s="610" t="s">
        <v>113</v>
      </c>
      <c r="Q1911" s="614"/>
      <c r="R1911" s="614">
        <v>46217</v>
      </c>
      <c r="S1911" s="614" t="s">
        <v>70</v>
      </c>
      <c r="T1911" s="614" t="s">
        <v>10653</v>
      </c>
      <c r="U1911" s="818"/>
      <c r="V1911" s="818"/>
      <c r="W1911" s="819"/>
      <c r="X1911" s="865" t="s">
        <v>10654</v>
      </c>
      <c r="Y1911" s="616" t="s">
        <v>340</v>
      </c>
      <c r="Z1911" s="609">
        <v>72.1585</v>
      </c>
      <c r="AA1911" s="616">
        <f>Z1911*L1911</f>
        <v>1443.17</v>
      </c>
      <c r="AC1911" s="697"/>
      <c r="AD1911" s="610" t="s">
        <v>6079</v>
      </c>
      <c r="AE1911" s="610" t="s">
        <v>82</v>
      </c>
      <c r="AF1911" s="610"/>
      <c r="AG1911" s="610"/>
      <c r="AH1911" s="609"/>
      <c r="AI1911" s="609">
        <v>1200</v>
      </c>
      <c r="AJ1911" s="610">
        <f t="shared" si="776"/>
        <v>0</v>
      </c>
      <c r="AK1911" s="613"/>
      <c r="AL1911" s="610" t="s">
        <v>454</v>
      </c>
      <c r="AM1911" s="610"/>
      <c r="AN1911" s="610"/>
      <c r="AO1911" s="554">
        <f>I1911</f>
        <v>1200</v>
      </c>
      <c r="AP1911" s="554"/>
      <c r="AQ1911" s="554"/>
      <c r="AR1911" s="619"/>
      <c r="AS1911" s="554"/>
      <c r="AT1911" s="554">
        <f>I1911</f>
        <v>1200</v>
      </c>
      <c r="AU1911" s="554"/>
      <c r="AV1911" s="554">
        <f>I1911</f>
        <v>1200</v>
      </c>
      <c r="AW1911" s="554"/>
      <c r="AX1911" s="714"/>
      <c r="AY1911" s="554"/>
      <c r="AZ1911" s="554"/>
      <c r="BA1911" s="554"/>
      <c r="BB1911" s="620">
        <f t="shared" ref="BB1911:BB1917" si="778">I1911/24</f>
        <v>50</v>
      </c>
      <c r="BC1911" s="554"/>
      <c r="BD1911" s="554"/>
      <c r="BE1911" s="554"/>
      <c r="BF1911" s="720"/>
      <c r="BG1911" s="555"/>
      <c r="BH1911" s="721"/>
      <c r="BI1911" s="554"/>
      <c r="BJ1911" s="554"/>
      <c r="BK1911" s="554"/>
      <c r="BL1911" s="554"/>
      <c r="BM1911" s="554"/>
      <c r="BN1911" s="554"/>
      <c r="BO1911" s="554"/>
      <c r="BP1911" s="554"/>
      <c r="BQ1911" s="554"/>
      <c r="BR1911" s="554"/>
      <c r="BS1911" s="554"/>
      <c r="BT1911" s="554"/>
      <c r="BU1911" s="554"/>
      <c r="BV1911" s="554"/>
      <c r="BW1911" s="554"/>
      <c r="BX1911" s="554"/>
      <c r="BY1911" s="554"/>
      <c r="BZ1911" s="554"/>
      <c r="CA1911" s="720"/>
      <c r="CB1911" s="555"/>
      <c r="CC1911" s="721"/>
      <c r="CD1911" s="554"/>
      <c r="CE1911" s="554"/>
      <c r="CF1911" s="554"/>
      <c r="CG1911" s="720"/>
      <c r="CH1911" s="555"/>
      <c r="CI1911" s="721"/>
      <c r="CJ1911" s="554"/>
      <c r="CK1911" s="554"/>
      <c r="CL1911" s="554">
        <f>L1911</f>
        <v>20</v>
      </c>
      <c r="CM1911" s="554"/>
      <c r="CN1911" s="554"/>
      <c r="CO1911" s="554"/>
      <c r="CP1911" s="619"/>
      <c r="CQ1911" s="619"/>
      <c r="CR1911" s="554"/>
      <c r="CS1911" s="554"/>
      <c r="CT1911" s="554"/>
      <c r="CU1911" s="554">
        <f t="shared" si="773"/>
        <v>0</v>
      </c>
      <c r="CV1911" s="554">
        <f t="shared" si="774"/>
        <v>20</v>
      </c>
      <c r="CW1911" s="554">
        <f t="shared" si="775"/>
        <v>0</v>
      </c>
      <c r="CX1911" s="619"/>
      <c r="CY1911" s="619"/>
      <c r="CZ1911" s="619"/>
      <c r="DA1911" s="619"/>
      <c r="DB1911" s="619"/>
      <c r="DC1911" s="619"/>
      <c r="DD1911" s="619"/>
      <c r="DE1911" s="619"/>
      <c r="DF1911" s="619"/>
      <c r="DG1911" s="619"/>
      <c r="DH1911" s="619"/>
    </row>
    <row r="1912" s="550" customFormat="1" ht="31" customHeight="1" spans="1:113">
      <c r="A1912" s="867">
        <v>46203</v>
      </c>
      <c r="B1912" s="605" t="s">
        <v>3989</v>
      </c>
      <c r="C1912" s="589" t="s">
        <v>154</v>
      </c>
      <c r="D1912" s="886">
        <v>4500214437</v>
      </c>
      <c r="E1912" s="873">
        <v>55818075</v>
      </c>
      <c r="F1912" s="557" t="s">
        <v>10655</v>
      </c>
      <c r="G1912" s="589" t="s">
        <v>6040</v>
      </c>
      <c r="H1912" s="589" t="s">
        <v>6041</v>
      </c>
      <c r="I1912" s="868">
        <v>2028</v>
      </c>
      <c r="J1912" s="589">
        <v>0</v>
      </c>
      <c r="K1912" s="869">
        <v>52</v>
      </c>
      <c r="L1912" s="870">
        <f t="shared" si="777"/>
        <v>39</v>
      </c>
      <c r="M1912" s="871">
        <v>46248</v>
      </c>
      <c r="N1912" s="887">
        <v>46245</v>
      </c>
      <c r="O1912" s="873"/>
      <c r="P1912" s="589" t="s">
        <v>113</v>
      </c>
      <c r="Q1912" s="874">
        <v>46259</v>
      </c>
      <c r="R1912" s="874">
        <v>46203</v>
      </c>
      <c r="S1912" s="614" t="s">
        <v>70</v>
      </c>
      <c r="T1912" s="875" t="s">
        <v>10656</v>
      </c>
      <c r="U1912" s="874"/>
      <c r="V1912" s="874"/>
      <c r="W1912" s="573"/>
      <c r="X1912" s="962" t="s">
        <v>10657</v>
      </c>
      <c r="Y1912" s="876" t="s">
        <v>2199</v>
      </c>
      <c r="Z1912" s="605">
        <v>0.9708</v>
      </c>
      <c r="AA1912" s="876">
        <f>Z1912*I1912</f>
        <v>1968.7824</v>
      </c>
      <c r="AB1912" s="573"/>
      <c r="AC1912" s="877"/>
      <c r="AD1912" s="610" t="s">
        <v>6040</v>
      </c>
      <c r="AE1912" s="589" t="s">
        <v>82</v>
      </c>
      <c r="AF1912" s="589"/>
      <c r="AG1912" s="589"/>
      <c r="AH1912" s="605"/>
      <c r="AI1912" s="609">
        <v>2028</v>
      </c>
      <c r="AJ1912" s="610">
        <f t="shared" si="776"/>
        <v>0</v>
      </c>
      <c r="AK1912" s="873"/>
      <c r="AL1912" s="589" t="s">
        <v>2368</v>
      </c>
      <c r="AM1912" s="589"/>
      <c r="AN1912" s="589"/>
      <c r="AO1912" s="557">
        <f>I1912</f>
        <v>2028</v>
      </c>
      <c r="AP1912" s="557"/>
      <c r="AQ1912" s="557"/>
      <c r="AR1912" s="878"/>
      <c r="AS1912" s="557"/>
      <c r="AT1912" s="554">
        <f>I1912</f>
        <v>2028</v>
      </c>
      <c r="AU1912" s="554"/>
      <c r="AV1912" s="554">
        <f>I1912</f>
        <v>2028</v>
      </c>
      <c r="AW1912" s="557"/>
      <c r="AX1912" s="879"/>
      <c r="AY1912" s="557"/>
      <c r="AZ1912" s="557"/>
      <c r="BA1912" s="557"/>
      <c r="BB1912" s="620">
        <f t="shared" si="778"/>
        <v>84.5</v>
      </c>
      <c r="BC1912" s="557"/>
      <c r="BD1912" s="557"/>
      <c r="BE1912" s="557"/>
      <c r="BF1912" s="880"/>
      <c r="BG1912" s="881"/>
      <c r="BH1912" s="882"/>
      <c r="BI1912" s="557"/>
      <c r="BJ1912" s="557"/>
      <c r="BK1912" s="557"/>
      <c r="BL1912" s="557"/>
      <c r="BM1912" s="554">
        <f>I1912/13</f>
        <v>156</v>
      </c>
      <c r="BN1912" s="557"/>
      <c r="BO1912" s="557"/>
      <c r="BP1912" s="557"/>
      <c r="BQ1912" s="557"/>
      <c r="BR1912" s="557"/>
      <c r="BS1912" s="557"/>
      <c r="BT1912" s="557"/>
      <c r="BU1912" s="557"/>
      <c r="BV1912" s="557"/>
      <c r="BW1912" s="557"/>
      <c r="BX1912" s="557"/>
      <c r="BY1912" s="557"/>
      <c r="BZ1912" s="557"/>
      <c r="CA1912" s="883"/>
      <c r="CB1912" s="555"/>
      <c r="CC1912" s="882"/>
      <c r="CD1912" s="557"/>
      <c r="CE1912" s="557"/>
      <c r="CF1912" s="557"/>
      <c r="CG1912" s="880"/>
      <c r="CH1912" s="881"/>
      <c r="CI1912" s="882"/>
      <c r="CJ1912" s="557"/>
      <c r="CK1912" s="557"/>
      <c r="CL1912" s="557"/>
      <c r="CM1912" s="557"/>
      <c r="CN1912" s="557"/>
      <c r="CO1912" s="557"/>
      <c r="CP1912" s="878"/>
      <c r="CQ1912" s="878"/>
      <c r="CR1912" s="557"/>
      <c r="CS1912" s="557"/>
      <c r="CT1912" s="557"/>
      <c r="CU1912" s="554">
        <f t="shared" si="773"/>
        <v>0</v>
      </c>
      <c r="CV1912" s="554">
        <v>0</v>
      </c>
      <c r="CW1912" s="554">
        <v>0</v>
      </c>
      <c r="CX1912" s="878"/>
      <c r="CY1912" s="878"/>
      <c r="CZ1912" s="878"/>
      <c r="DA1912" s="878"/>
      <c r="DB1912" s="878"/>
      <c r="DC1912" s="878"/>
      <c r="DD1912" s="878"/>
      <c r="DE1912" s="878"/>
      <c r="DF1912" s="878"/>
      <c r="DG1912" s="878"/>
      <c r="DH1912" s="878"/>
    </row>
    <row r="1913" s="550" customFormat="1" ht="31" customHeight="1" spans="1:113">
      <c r="A1913" s="867">
        <v>46203</v>
      </c>
      <c r="B1913" s="605" t="s">
        <v>3996</v>
      </c>
      <c r="C1913" s="589" t="s">
        <v>278</v>
      </c>
      <c r="D1913" s="886">
        <v>4500214424</v>
      </c>
      <c r="E1913" s="589">
        <v>50817979</v>
      </c>
      <c r="F1913" s="557" t="s">
        <v>10658</v>
      </c>
      <c r="G1913" s="589" t="s">
        <v>6040</v>
      </c>
      <c r="H1913" s="589" t="s">
        <v>6041</v>
      </c>
      <c r="I1913" s="868">
        <v>2236</v>
      </c>
      <c r="J1913" s="589">
        <v>0</v>
      </c>
      <c r="K1913" s="869">
        <v>52</v>
      </c>
      <c r="L1913" s="870">
        <f t="shared" si="777"/>
        <v>43</v>
      </c>
      <c r="M1913" s="871">
        <v>46248</v>
      </c>
      <c r="N1913" s="887">
        <v>46245</v>
      </c>
      <c r="O1913" s="873"/>
      <c r="P1913" s="589" t="s">
        <v>113</v>
      </c>
      <c r="Q1913" s="874"/>
      <c r="R1913" s="874">
        <v>46203</v>
      </c>
      <c r="S1913" s="874" t="s">
        <v>70</v>
      </c>
      <c r="T1913" s="875" t="s">
        <v>10659</v>
      </c>
      <c r="U1913" s="874"/>
      <c r="V1913" s="874"/>
      <c r="W1913" s="573"/>
      <c r="X1913" s="962" t="s">
        <v>10660</v>
      </c>
      <c r="Y1913" s="876" t="s">
        <v>2199</v>
      </c>
      <c r="Z1913" s="605">
        <v>0.9708</v>
      </c>
      <c r="AA1913" s="876">
        <f>Z1913*I1913</f>
        <v>2170.7088</v>
      </c>
      <c r="AB1913" s="573"/>
      <c r="AC1913" s="877"/>
      <c r="AD1913" s="589" t="s">
        <v>6040</v>
      </c>
      <c r="AE1913" s="589" t="s">
        <v>82</v>
      </c>
      <c r="AF1913" s="589"/>
      <c r="AG1913" s="589"/>
      <c r="AH1913" s="605"/>
      <c r="AI1913" s="609"/>
      <c r="AJ1913" s="589">
        <f t="shared" si="776"/>
        <v>-2236</v>
      </c>
      <c r="AK1913" s="873"/>
      <c r="AL1913" s="589" t="s">
        <v>2368</v>
      </c>
      <c r="AM1913" s="589"/>
      <c r="AN1913" s="589"/>
      <c r="AO1913" s="557">
        <f>I1913</f>
        <v>2236</v>
      </c>
      <c r="AP1913" s="557"/>
      <c r="AQ1913" s="557"/>
      <c r="AR1913" s="878"/>
      <c r="AS1913" s="557"/>
      <c r="AT1913" s="557">
        <f>I1913</f>
        <v>2236</v>
      </c>
      <c r="AU1913" s="557"/>
      <c r="AV1913" s="557">
        <f>I1913</f>
        <v>2236</v>
      </c>
      <c r="AW1913" s="557"/>
      <c r="AX1913" s="879"/>
      <c r="AY1913" s="557"/>
      <c r="AZ1913" s="557"/>
      <c r="BA1913" s="557"/>
      <c r="BB1913" s="888">
        <f t="shared" si="778"/>
        <v>93.1666666666667</v>
      </c>
      <c r="BC1913" s="557"/>
      <c r="BD1913" s="557"/>
      <c r="BE1913" s="557"/>
      <c r="BF1913" s="880"/>
      <c r="BG1913" s="881"/>
      <c r="BH1913" s="882"/>
      <c r="BI1913" s="557"/>
      <c r="BJ1913" s="557"/>
      <c r="BK1913" s="557"/>
      <c r="BL1913" s="557"/>
      <c r="BM1913" s="557">
        <f>I1913/13</f>
        <v>172</v>
      </c>
      <c r="BN1913" s="557"/>
      <c r="BO1913" s="557"/>
      <c r="BP1913" s="557"/>
      <c r="BQ1913" s="557"/>
      <c r="BR1913" s="557"/>
      <c r="BS1913" s="557"/>
      <c r="BT1913" s="557"/>
      <c r="BU1913" s="557"/>
      <c r="BV1913" s="557"/>
      <c r="BW1913" s="557"/>
      <c r="BX1913" s="557"/>
      <c r="BY1913" s="557"/>
      <c r="BZ1913" s="557"/>
      <c r="CA1913" s="883"/>
      <c r="CB1913" s="555"/>
      <c r="CC1913" s="882"/>
      <c r="CD1913" s="557"/>
      <c r="CE1913" s="557"/>
      <c r="CF1913" s="557"/>
      <c r="CG1913" s="880"/>
      <c r="CH1913" s="881"/>
      <c r="CI1913" s="882"/>
      <c r="CJ1913" s="557"/>
      <c r="CK1913" s="557"/>
      <c r="CL1913" s="557"/>
      <c r="CM1913" s="557"/>
      <c r="CN1913" s="557"/>
      <c r="CO1913" s="557"/>
      <c r="CP1913" s="878"/>
      <c r="CQ1913" s="878"/>
      <c r="CR1913" s="557"/>
      <c r="CS1913" s="557"/>
      <c r="CT1913" s="557"/>
      <c r="CU1913" s="557">
        <f t="shared" si="773"/>
        <v>0</v>
      </c>
      <c r="CV1913" s="557">
        <v>0</v>
      </c>
      <c r="CW1913" s="557">
        <v>0</v>
      </c>
      <c r="CX1913" s="878"/>
      <c r="CY1913" s="878"/>
      <c r="CZ1913" s="878"/>
      <c r="DA1913" s="878"/>
      <c r="DB1913" s="878"/>
      <c r="DC1913" s="878"/>
      <c r="DD1913" s="878"/>
      <c r="DE1913" s="878"/>
      <c r="DF1913" s="878"/>
      <c r="DG1913" s="878"/>
      <c r="DH1913" s="878"/>
    </row>
    <row r="1914" s="550" customFormat="1" ht="31" customHeight="1" spans="1:113">
      <c r="A1914" s="963">
        <v>46199</v>
      </c>
      <c r="B1914" s="964" t="s">
        <v>2430</v>
      </c>
      <c r="C1914" s="965" t="s">
        <v>170</v>
      </c>
      <c r="D1914" s="966">
        <v>4500213921</v>
      </c>
      <c r="E1914" s="965" t="s">
        <v>5524</v>
      </c>
      <c r="F1914" s="968" t="s">
        <v>10661</v>
      </c>
      <c r="G1914" s="965" t="s">
        <v>7034</v>
      </c>
      <c r="H1914" s="965" t="s">
        <v>6080</v>
      </c>
      <c r="I1914" s="969">
        <v>3000</v>
      </c>
      <c r="J1914" s="965">
        <v>0</v>
      </c>
      <c r="K1914" s="980">
        <v>30</v>
      </c>
      <c r="L1914" s="981">
        <f t="shared" si="777"/>
        <v>100</v>
      </c>
      <c r="M1914" s="982">
        <v>46251</v>
      </c>
      <c r="N1914" s="887">
        <v>46246</v>
      </c>
      <c r="O1914" s="967"/>
      <c r="P1914" s="965" t="s">
        <v>113</v>
      </c>
      <c r="Q1914" s="944"/>
      <c r="R1914" s="944">
        <v>46199</v>
      </c>
      <c r="S1914" s="863" t="s">
        <v>70</v>
      </c>
      <c r="T1914" s="863" t="s">
        <v>70</v>
      </c>
      <c r="U1914" s="983"/>
      <c r="V1914" s="983"/>
      <c r="W1914" s="954"/>
      <c r="X1914" s="984" t="s">
        <v>10662</v>
      </c>
      <c r="Y1914" s="973" t="s">
        <v>1150</v>
      </c>
      <c r="Z1914" s="964">
        <v>44.2108</v>
      </c>
      <c r="AA1914" s="973">
        <f>Z1914*L1914</f>
        <v>4421.08</v>
      </c>
      <c r="AB1914" s="573"/>
      <c r="AC1914" s="974"/>
      <c r="AD1914" s="914" t="s">
        <v>7034</v>
      </c>
      <c r="AE1914" s="965" t="s">
        <v>82</v>
      </c>
      <c r="AF1914" s="965"/>
      <c r="AG1914" s="965"/>
      <c r="AH1914" s="964"/>
      <c r="AI1914" s="609">
        <v>3000</v>
      </c>
      <c r="AJ1914" s="914">
        <f t="shared" si="776"/>
        <v>0</v>
      </c>
      <c r="AK1914" s="967"/>
      <c r="AL1914" s="965"/>
      <c r="AM1914" s="965"/>
      <c r="AN1914" s="965">
        <f>I1914</f>
        <v>3000</v>
      </c>
      <c r="AO1914" s="968"/>
      <c r="AP1914" s="968"/>
      <c r="AQ1914" s="968"/>
      <c r="AR1914" s="975"/>
      <c r="AS1914" s="556">
        <f>I1914</f>
        <v>3000</v>
      </c>
      <c r="AT1914" s="556"/>
      <c r="AU1914" s="556">
        <f>I1914</f>
        <v>3000</v>
      </c>
      <c r="AV1914" s="968"/>
      <c r="AW1914" s="968"/>
      <c r="AX1914" s="976"/>
      <c r="AY1914" s="968"/>
      <c r="AZ1914" s="968"/>
      <c r="BA1914" s="968"/>
      <c r="BB1914" s="924">
        <f t="shared" si="778"/>
        <v>125</v>
      </c>
      <c r="BC1914" s="968"/>
      <c r="BD1914" s="968"/>
      <c r="BE1914" s="968"/>
      <c r="BF1914" s="985"/>
      <c r="BG1914" s="986"/>
      <c r="BH1914" s="987"/>
      <c r="BI1914" s="968"/>
      <c r="BJ1914" s="968"/>
      <c r="BK1914" s="968"/>
      <c r="BL1914" s="968"/>
      <c r="BM1914" s="968"/>
      <c r="BN1914" s="968"/>
      <c r="BO1914" s="968"/>
      <c r="BP1914" s="968"/>
      <c r="BQ1914" s="968"/>
      <c r="BR1914" s="968"/>
      <c r="BS1914" s="968"/>
      <c r="BT1914" s="968"/>
      <c r="BU1914" s="968"/>
      <c r="BV1914" s="968"/>
      <c r="BW1914" s="968"/>
      <c r="BX1914" s="968"/>
      <c r="BY1914" s="968"/>
      <c r="BZ1914" s="968"/>
      <c r="CA1914" s="977"/>
      <c r="CB1914" s="555"/>
      <c r="CC1914" s="987"/>
      <c r="CD1914" s="968"/>
      <c r="CE1914" s="968"/>
      <c r="CF1914" s="968"/>
      <c r="CG1914" s="985"/>
      <c r="CH1914" s="986"/>
      <c r="CI1914" s="987"/>
      <c r="CJ1914" s="968"/>
      <c r="CK1914" s="968"/>
      <c r="CL1914" s="968"/>
      <c r="CM1914" s="968"/>
      <c r="CN1914" s="968"/>
      <c r="CO1914" s="556">
        <f>I1914/30</f>
        <v>100</v>
      </c>
      <c r="CP1914" s="556"/>
      <c r="CQ1914" s="556"/>
      <c r="CR1914" s="968"/>
      <c r="CS1914" s="968"/>
      <c r="CT1914" s="968"/>
      <c r="CU1914" s="556">
        <f t="shared" si="773"/>
        <v>0</v>
      </c>
      <c r="CV1914" s="556">
        <f t="shared" ref="CV1911:CV1930" si="779">CK1914+CL1914+CM1914+CN1914+CO1914+CQ1914+CP1914</f>
        <v>100</v>
      </c>
      <c r="CW1914" s="556">
        <f t="shared" ref="CW1911:CW1930" si="780">CI1914+CJ1914</f>
        <v>0</v>
      </c>
      <c r="CX1914" s="975"/>
      <c r="CY1914" s="975"/>
      <c r="CZ1914" s="975"/>
      <c r="DA1914" s="975"/>
      <c r="DB1914" s="975"/>
      <c r="DC1914" s="975"/>
      <c r="DD1914" s="975"/>
      <c r="DE1914" s="975"/>
      <c r="DF1914" s="975"/>
      <c r="DG1914" s="975"/>
      <c r="DH1914" s="975"/>
    </row>
    <row r="1915" s="550" customFormat="1" ht="31" customHeight="1" spans="1:113">
      <c r="A1915" s="608">
        <v>46174</v>
      </c>
      <c r="B1915" s="609" t="s">
        <v>1409</v>
      </c>
      <c r="C1915" s="610" t="s">
        <v>524</v>
      </c>
      <c r="D1915" s="554">
        <v>4500210225</v>
      </c>
      <c r="E1915" s="610"/>
      <c r="F1915" s="554" t="s">
        <v>10663</v>
      </c>
      <c r="G1915" s="610" t="s">
        <v>6043</v>
      </c>
      <c r="H1915" s="610" t="s">
        <v>6110</v>
      </c>
      <c r="I1915" s="715">
        <v>1500</v>
      </c>
      <c r="J1915" s="610">
        <v>0</v>
      </c>
      <c r="K1915" s="843">
        <v>50</v>
      </c>
      <c r="L1915" s="844">
        <f t="shared" si="777"/>
        <v>30</v>
      </c>
      <c r="M1915" s="845">
        <v>46251</v>
      </c>
      <c r="N1915" s="887">
        <v>46246</v>
      </c>
      <c r="O1915" s="613"/>
      <c r="P1915" s="610" t="s">
        <v>113</v>
      </c>
      <c r="Q1915" s="614"/>
      <c r="R1915" s="614">
        <v>46220</v>
      </c>
      <c r="S1915" s="614" t="s">
        <v>70</v>
      </c>
      <c r="T1915" s="614" t="s">
        <v>10616</v>
      </c>
      <c r="U1915" s="818"/>
      <c r="V1915" s="818"/>
      <c r="W1915" s="819"/>
      <c r="X1915" s="820" t="s">
        <v>10664</v>
      </c>
      <c r="Y1915" s="616" t="s">
        <v>340</v>
      </c>
      <c r="Z1915" s="609">
        <v>0.9819</v>
      </c>
      <c r="AA1915" s="616">
        <f t="shared" ref="AA1915:AA1933" si="781">Z1915*I1915</f>
        <v>1472.85</v>
      </c>
      <c r="AC1915" s="697"/>
      <c r="AD1915" s="610" t="s">
        <v>6043</v>
      </c>
      <c r="AE1915" s="610" t="s">
        <v>82</v>
      </c>
      <c r="AF1915" s="610"/>
      <c r="AG1915" s="610"/>
      <c r="AH1915" s="609"/>
      <c r="AI1915" s="609">
        <v>1500</v>
      </c>
      <c r="AJ1915" s="610">
        <f t="shared" si="776"/>
        <v>0</v>
      </c>
      <c r="AK1915" s="613"/>
      <c r="AL1915" s="610" t="s">
        <v>2368</v>
      </c>
      <c r="AM1915" s="610"/>
      <c r="AN1915" s="610"/>
      <c r="AO1915" s="554">
        <f>I1915</f>
        <v>1500</v>
      </c>
      <c r="AP1915" s="554"/>
      <c r="AQ1915" s="554"/>
      <c r="AR1915" s="619"/>
      <c r="AS1915" s="554"/>
      <c r="AT1915" s="554">
        <f>I1915</f>
        <v>1500</v>
      </c>
      <c r="AU1915" s="554"/>
      <c r="AV1915" s="554">
        <f>I1915</f>
        <v>1500</v>
      </c>
      <c r="AW1915" s="554"/>
      <c r="AX1915" s="714"/>
      <c r="AY1915" s="554"/>
      <c r="AZ1915" s="554"/>
      <c r="BA1915" s="554"/>
      <c r="BB1915" s="620">
        <f t="shared" si="778"/>
        <v>62.5</v>
      </c>
      <c r="BC1915" s="554"/>
      <c r="BD1915" s="554"/>
      <c r="BE1915" s="554"/>
      <c r="BF1915" s="554"/>
      <c r="BG1915" s="550"/>
      <c r="BH1915" s="554"/>
      <c r="BI1915" s="554"/>
      <c r="BJ1915" s="554"/>
      <c r="BK1915" s="554"/>
      <c r="BL1915" s="554"/>
      <c r="BM1915" s="554"/>
      <c r="BN1915" s="554"/>
      <c r="BO1915" s="554"/>
      <c r="BP1915" s="554">
        <f>I1915/25</f>
        <v>60</v>
      </c>
      <c r="BQ1915" s="554"/>
      <c r="BR1915" s="554"/>
      <c r="BS1915" s="554"/>
      <c r="BT1915" s="554"/>
      <c r="BU1915" s="554"/>
      <c r="BV1915" s="554"/>
      <c r="BW1915" s="554"/>
      <c r="BX1915" s="554"/>
      <c r="BY1915" s="554"/>
      <c r="BZ1915" s="554"/>
      <c r="CA1915" s="720"/>
      <c r="CB1915" s="555"/>
      <c r="CC1915" s="721"/>
      <c r="CD1915" s="554"/>
      <c r="CE1915" s="554"/>
      <c r="CF1915" s="554"/>
      <c r="CG1915" s="554"/>
      <c r="CH1915" s="550"/>
      <c r="CI1915" s="554"/>
      <c r="CJ1915" s="554"/>
      <c r="CK1915" s="554"/>
      <c r="CL1915" s="554"/>
      <c r="CM1915" s="554"/>
      <c r="CN1915" s="554"/>
      <c r="CO1915" s="554"/>
      <c r="CP1915" s="619"/>
      <c r="CQ1915" s="619"/>
      <c r="CR1915" s="554"/>
      <c r="CS1915" s="554"/>
      <c r="CT1915" s="554"/>
      <c r="CU1915" s="554">
        <f t="shared" si="773"/>
        <v>60</v>
      </c>
      <c r="CV1915" s="554">
        <f t="shared" si="779"/>
        <v>0</v>
      </c>
      <c r="CW1915" s="554">
        <f t="shared" si="780"/>
        <v>0</v>
      </c>
      <c r="CX1915" s="619"/>
      <c r="CY1915" s="619"/>
      <c r="CZ1915" s="619"/>
      <c r="DA1915" s="619"/>
      <c r="DB1915" s="619"/>
      <c r="DC1915" s="619"/>
      <c r="DD1915" s="619"/>
      <c r="DE1915" s="619"/>
      <c r="DF1915" s="619"/>
      <c r="DG1915" s="619"/>
      <c r="DH1915" s="619"/>
    </row>
    <row r="1916" s="550" customFormat="1" ht="31" customHeight="1" spans="1:113">
      <c r="A1916" s="608">
        <v>46174</v>
      </c>
      <c r="B1916" s="609" t="s">
        <v>1409</v>
      </c>
      <c r="C1916" s="610" t="s">
        <v>524</v>
      </c>
      <c r="D1916" s="554">
        <v>4500210228</v>
      </c>
      <c r="E1916" s="610"/>
      <c r="F1916" s="554" t="s">
        <v>10665</v>
      </c>
      <c r="G1916" s="610" t="s">
        <v>6043</v>
      </c>
      <c r="H1916" s="610" t="s">
        <v>6110</v>
      </c>
      <c r="I1916" s="715">
        <v>3250</v>
      </c>
      <c r="J1916" s="610">
        <v>0</v>
      </c>
      <c r="K1916" s="843">
        <v>50</v>
      </c>
      <c r="L1916" s="844">
        <f t="shared" si="777"/>
        <v>65</v>
      </c>
      <c r="M1916" s="845">
        <v>46251</v>
      </c>
      <c r="N1916" s="887">
        <v>46246</v>
      </c>
      <c r="O1916" s="613"/>
      <c r="P1916" s="610" t="s">
        <v>113</v>
      </c>
      <c r="Q1916" s="614"/>
      <c r="R1916" s="614">
        <v>46220</v>
      </c>
      <c r="S1916" s="614" t="s">
        <v>70</v>
      </c>
      <c r="T1916" s="614" t="s">
        <v>10666</v>
      </c>
      <c r="U1916" s="818"/>
      <c r="V1916" s="818"/>
      <c r="W1916" s="819"/>
      <c r="X1916" s="865" t="s">
        <v>10667</v>
      </c>
      <c r="Y1916" s="616" t="s">
        <v>340</v>
      </c>
      <c r="Z1916" s="609">
        <v>0.9819</v>
      </c>
      <c r="AA1916" s="616">
        <f t="shared" si="781"/>
        <v>3191.175</v>
      </c>
      <c r="AC1916" s="697"/>
      <c r="AD1916" s="610" t="s">
        <v>6043</v>
      </c>
      <c r="AE1916" s="610" t="s">
        <v>82</v>
      </c>
      <c r="AF1916" s="610"/>
      <c r="AG1916" s="610"/>
      <c r="AH1916" s="609"/>
      <c r="AI1916" s="609">
        <v>3250</v>
      </c>
      <c r="AJ1916" s="610">
        <f t="shared" si="776"/>
        <v>0</v>
      </c>
      <c r="AK1916" s="613"/>
      <c r="AL1916" s="610" t="s">
        <v>2368</v>
      </c>
      <c r="AM1916" s="610"/>
      <c r="AN1916" s="610"/>
      <c r="AO1916" s="554">
        <f>I1916</f>
        <v>3250</v>
      </c>
      <c r="AP1916" s="554"/>
      <c r="AQ1916" s="554"/>
      <c r="AR1916" s="619"/>
      <c r="AS1916" s="554"/>
      <c r="AT1916" s="554">
        <f>I1916</f>
        <v>3250</v>
      </c>
      <c r="AU1916" s="554"/>
      <c r="AV1916" s="554">
        <f>I1916</f>
        <v>3250</v>
      </c>
      <c r="AW1916" s="554"/>
      <c r="AX1916" s="714"/>
      <c r="AY1916" s="554"/>
      <c r="AZ1916" s="554"/>
      <c r="BA1916" s="554"/>
      <c r="BB1916" s="620">
        <f t="shared" si="778"/>
        <v>135.416666666667</v>
      </c>
      <c r="BC1916" s="554"/>
      <c r="BD1916" s="554"/>
      <c r="BE1916" s="554"/>
      <c r="BF1916" s="554"/>
      <c r="BG1916" s="550"/>
      <c r="BH1916" s="554"/>
      <c r="BI1916" s="554"/>
      <c r="BJ1916" s="554"/>
      <c r="BK1916" s="554"/>
      <c r="BL1916" s="554"/>
      <c r="BM1916" s="554"/>
      <c r="BN1916" s="554"/>
      <c r="BO1916" s="554"/>
      <c r="BP1916" s="554">
        <f>I1916/25</f>
        <v>130</v>
      </c>
      <c r="BQ1916" s="554"/>
      <c r="BR1916" s="554"/>
      <c r="BS1916" s="554"/>
      <c r="BT1916" s="554"/>
      <c r="BU1916" s="554"/>
      <c r="BV1916" s="554"/>
      <c r="BW1916" s="554"/>
      <c r="BX1916" s="554"/>
      <c r="BY1916" s="554"/>
      <c r="BZ1916" s="554"/>
      <c r="CA1916" s="720"/>
      <c r="CB1916" s="555"/>
      <c r="CC1916" s="721"/>
      <c r="CD1916" s="554"/>
      <c r="CE1916" s="554"/>
      <c r="CF1916" s="554"/>
      <c r="CG1916" s="554"/>
      <c r="CH1916" s="550"/>
      <c r="CI1916" s="554"/>
      <c r="CJ1916" s="554"/>
      <c r="CK1916" s="554"/>
      <c r="CL1916" s="554"/>
      <c r="CM1916" s="554"/>
      <c r="CN1916" s="554"/>
      <c r="CO1916" s="554"/>
      <c r="CP1916" s="619"/>
      <c r="CQ1916" s="619"/>
      <c r="CR1916" s="554"/>
      <c r="CS1916" s="554"/>
      <c r="CT1916" s="554"/>
      <c r="CU1916" s="554">
        <f t="shared" si="773"/>
        <v>130</v>
      </c>
      <c r="CV1916" s="554">
        <f t="shared" si="779"/>
        <v>0</v>
      </c>
      <c r="CW1916" s="554">
        <f t="shared" si="780"/>
        <v>0</v>
      </c>
      <c r="CX1916" s="619"/>
      <c r="CY1916" s="619"/>
      <c r="CZ1916" s="619"/>
      <c r="DA1916" s="619"/>
      <c r="DB1916" s="619"/>
      <c r="DC1916" s="619"/>
      <c r="DD1916" s="619"/>
      <c r="DE1916" s="619"/>
      <c r="DF1916" s="619"/>
      <c r="DG1916" s="619"/>
      <c r="DH1916" s="619"/>
    </row>
    <row r="1917" s="550" customFormat="1" ht="31" customHeight="1" spans="1:113">
      <c r="A1917" s="608">
        <v>46174</v>
      </c>
      <c r="B1917" s="609" t="s">
        <v>1409</v>
      </c>
      <c r="C1917" s="610" t="s">
        <v>524</v>
      </c>
      <c r="D1917" s="554">
        <v>4500210231</v>
      </c>
      <c r="E1917" s="610"/>
      <c r="F1917" s="554" t="s">
        <v>10668</v>
      </c>
      <c r="G1917" s="610" t="s">
        <v>6043</v>
      </c>
      <c r="H1917" s="610" t="s">
        <v>6110</v>
      </c>
      <c r="I1917" s="715">
        <v>3000</v>
      </c>
      <c r="J1917" s="610">
        <v>0</v>
      </c>
      <c r="K1917" s="843">
        <v>50</v>
      </c>
      <c r="L1917" s="844">
        <f t="shared" si="777"/>
        <v>60</v>
      </c>
      <c r="M1917" s="845">
        <v>46251</v>
      </c>
      <c r="N1917" s="887">
        <v>46246</v>
      </c>
      <c r="O1917" s="613"/>
      <c r="P1917" s="610" t="s">
        <v>113</v>
      </c>
      <c r="Q1917" s="614"/>
      <c r="R1917" s="614">
        <v>46220</v>
      </c>
      <c r="S1917" s="614" t="s">
        <v>70</v>
      </c>
      <c r="T1917" s="614" t="s">
        <v>10669</v>
      </c>
      <c r="U1917" s="818"/>
      <c r="V1917" s="818"/>
      <c r="W1917" s="819"/>
      <c r="X1917" s="865" t="s">
        <v>10670</v>
      </c>
      <c r="Y1917" s="616" t="s">
        <v>340</v>
      </c>
      <c r="Z1917" s="609">
        <v>0.9998</v>
      </c>
      <c r="AA1917" s="616">
        <f t="shared" si="781"/>
        <v>2999.4</v>
      </c>
      <c r="AC1917" s="697"/>
      <c r="AD1917" s="610" t="s">
        <v>6043</v>
      </c>
      <c r="AE1917" s="610" t="s">
        <v>82</v>
      </c>
      <c r="AF1917" s="610"/>
      <c r="AG1917" s="610"/>
      <c r="AH1917" s="609"/>
      <c r="AI1917" s="609">
        <v>3000</v>
      </c>
      <c r="AJ1917" s="610">
        <f t="shared" si="776"/>
        <v>0</v>
      </c>
      <c r="AK1917" s="613"/>
      <c r="AL1917" s="610" t="s">
        <v>2368</v>
      </c>
      <c r="AM1917" s="610"/>
      <c r="AN1917" s="610"/>
      <c r="AO1917" s="554">
        <f>I1917</f>
        <v>3000</v>
      </c>
      <c r="AP1917" s="554"/>
      <c r="AQ1917" s="554"/>
      <c r="AR1917" s="619"/>
      <c r="AS1917" s="554"/>
      <c r="AT1917" s="554">
        <f>I1917</f>
        <v>3000</v>
      </c>
      <c r="AU1917" s="554"/>
      <c r="AV1917" s="554">
        <f>I1917</f>
        <v>3000</v>
      </c>
      <c r="AW1917" s="554"/>
      <c r="AX1917" s="714"/>
      <c r="AY1917" s="554"/>
      <c r="AZ1917" s="554"/>
      <c r="BA1917" s="554"/>
      <c r="BB1917" s="620">
        <f t="shared" si="778"/>
        <v>125</v>
      </c>
      <c r="BC1917" s="554"/>
      <c r="BD1917" s="554"/>
      <c r="BE1917" s="554"/>
      <c r="BF1917" s="554"/>
      <c r="BG1917" s="550"/>
      <c r="BH1917" s="554"/>
      <c r="BI1917" s="554"/>
      <c r="BJ1917" s="554"/>
      <c r="BK1917" s="554"/>
      <c r="BL1917" s="554"/>
      <c r="BM1917" s="554"/>
      <c r="BN1917" s="554"/>
      <c r="BO1917" s="554"/>
      <c r="BP1917" s="554">
        <f>I1917/25</f>
        <v>120</v>
      </c>
      <c r="BQ1917" s="554"/>
      <c r="BR1917" s="554"/>
      <c r="BS1917" s="554"/>
      <c r="BT1917" s="554"/>
      <c r="BU1917" s="554"/>
      <c r="BV1917" s="554"/>
      <c r="BW1917" s="554"/>
      <c r="BX1917" s="554"/>
      <c r="BY1917" s="554"/>
      <c r="BZ1917" s="554"/>
      <c r="CA1917" s="720"/>
      <c r="CB1917" s="555"/>
      <c r="CC1917" s="721"/>
      <c r="CD1917" s="554"/>
      <c r="CE1917" s="554"/>
      <c r="CF1917" s="554"/>
      <c r="CG1917" s="554"/>
      <c r="CH1917" s="550"/>
      <c r="CI1917" s="554"/>
      <c r="CJ1917" s="554"/>
      <c r="CK1917" s="554"/>
      <c r="CL1917" s="554"/>
      <c r="CM1917" s="554"/>
      <c r="CN1917" s="554"/>
      <c r="CO1917" s="554"/>
      <c r="CP1917" s="619"/>
      <c r="CQ1917" s="619"/>
      <c r="CR1917" s="554"/>
      <c r="CS1917" s="554"/>
      <c r="CT1917" s="554"/>
      <c r="CU1917" s="554">
        <f t="shared" si="773"/>
        <v>120</v>
      </c>
      <c r="CV1917" s="554">
        <f t="shared" si="779"/>
        <v>0</v>
      </c>
      <c r="CW1917" s="554">
        <f t="shared" si="780"/>
        <v>0</v>
      </c>
      <c r="CX1917" s="619"/>
      <c r="CY1917" s="619"/>
      <c r="CZ1917" s="619"/>
      <c r="DA1917" s="619"/>
      <c r="DB1917" s="619"/>
      <c r="DC1917" s="619"/>
      <c r="DD1917" s="619"/>
      <c r="DE1917" s="619"/>
      <c r="DF1917" s="619"/>
      <c r="DG1917" s="619"/>
      <c r="DH1917" s="619"/>
    </row>
    <row r="1918" s="554" customFormat="1" ht="31" customHeight="1" spans="1:113">
      <c r="A1918" s="608">
        <v>46212</v>
      </c>
      <c r="B1918" s="609"/>
      <c r="C1918" s="610" t="s">
        <v>98</v>
      </c>
      <c r="D1918" s="554" t="s">
        <v>5528</v>
      </c>
      <c r="E1918" s="610" t="s">
        <v>5529</v>
      </c>
      <c r="F1918" s="554" t="s">
        <v>10671</v>
      </c>
      <c r="G1918" s="610" t="s">
        <v>6036</v>
      </c>
      <c r="H1918" s="610" t="s">
        <v>6033</v>
      </c>
      <c r="I1918" s="731">
        <v>4600</v>
      </c>
      <c r="J1918" s="610">
        <v>0</v>
      </c>
      <c r="K1918" s="610">
        <v>25</v>
      </c>
      <c r="L1918" s="611">
        <f t="shared" si="777"/>
        <v>184</v>
      </c>
      <c r="M1918" s="612">
        <v>46251</v>
      </c>
      <c r="N1918" s="887">
        <v>46246</v>
      </c>
      <c r="O1918" s="613"/>
      <c r="P1918" s="613" t="s">
        <v>113</v>
      </c>
      <c r="Q1918" s="610"/>
      <c r="R1918" s="614" t="s">
        <v>3639</v>
      </c>
      <c r="S1918" s="614" t="s">
        <v>70</v>
      </c>
      <c r="T1918" s="614" t="s">
        <v>70</v>
      </c>
      <c r="U1918" s="614"/>
      <c r="V1918" s="614"/>
      <c r="W1918" s="609"/>
      <c r="X1918" s="609" t="s">
        <v>5531</v>
      </c>
      <c r="Y1918" s="609" t="s">
        <v>5532</v>
      </c>
      <c r="Z1918" s="722">
        <v>0.58416</v>
      </c>
      <c r="AA1918" s="616">
        <f t="shared" si="781"/>
        <v>2687.136</v>
      </c>
      <c r="AC1918" s="617"/>
      <c r="AD1918" s="610" t="s">
        <v>6036</v>
      </c>
      <c r="AE1918" s="610" t="s">
        <v>82</v>
      </c>
      <c r="AF1918" s="610"/>
      <c r="AG1918" s="610"/>
      <c r="AH1918" s="610"/>
      <c r="AI1918" s="609">
        <v>4600</v>
      </c>
      <c r="AJ1918" s="610">
        <f t="shared" si="776"/>
        <v>0</v>
      </c>
      <c r="AK1918" s="610"/>
      <c r="AL1918" s="610"/>
      <c r="AM1918" s="610"/>
      <c r="AN1918" s="610">
        <f>I1918</f>
        <v>4600</v>
      </c>
      <c r="AP1918" s="554">
        <f>I1918</f>
        <v>4600</v>
      </c>
      <c r="AR1918" s="619"/>
      <c r="AS1918" s="554"/>
      <c r="AT1918" s="554"/>
      <c r="AU1918" s="554">
        <f>I1918</f>
        <v>4600</v>
      </c>
      <c r="AW1918" s="619"/>
      <c r="AX1918" s="554"/>
      <c r="AY1918" s="554"/>
      <c r="AZ1918" s="554"/>
      <c r="BA1918" s="554"/>
      <c r="BB1918" s="620">
        <f>I1918/48</f>
        <v>95.8333333333333</v>
      </c>
      <c r="BC1918" s="714"/>
      <c r="BD1918" s="554"/>
      <c r="BE1918" s="554"/>
      <c r="BF1918" s="554"/>
      <c r="BG1918" s="554"/>
      <c r="BH1918" s="554"/>
      <c r="BI1918" s="554"/>
      <c r="BJ1918" s="554"/>
      <c r="BK1918" s="554"/>
      <c r="BL1918" s="554"/>
      <c r="BM1918" s="554"/>
      <c r="BN1918" s="554">
        <f>I1918/25</f>
        <v>184</v>
      </c>
      <c r="BY1918" s="619"/>
      <c r="BZ1918" s="554"/>
      <c r="CA1918" s="621"/>
      <c r="CB1918" s="555"/>
      <c r="CC1918" s="622"/>
      <c r="CD1918" s="619"/>
      <c r="CE1918" s="619"/>
      <c r="CF1918" s="554"/>
      <c r="CG1918" s="554"/>
      <c r="CH1918" s="554"/>
      <c r="CI1918" s="554"/>
      <c r="CJ1918" s="554"/>
      <c r="CK1918" s="554"/>
      <c r="CL1918" s="554"/>
      <c r="CM1918" s="554"/>
      <c r="CN1918" s="554"/>
      <c r="CO1918" s="554"/>
      <c r="CP1918" s="554"/>
      <c r="CQ1918" s="554"/>
      <c r="CR1918" s="554"/>
      <c r="CS1918" s="554"/>
      <c r="CT1918" s="554"/>
      <c r="CU1918" s="554">
        <f t="shared" si="773"/>
        <v>184</v>
      </c>
      <c r="CV1918" s="554">
        <f t="shared" si="779"/>
        <v>0</v>
      </c>
      <c r="CW1918" s="554">
        <f t="shared" si="780"/>
        <v>0</v>
      </c>
      <c r="CX1918" s="619"/>
      <c r="CY1918" s="619"/>
      <c r="CZ1918" s="619"/>
      <c r="DA1918" s="554"/>
      <c r="DB1918" s="554"/>
      <c r="DC1918" s="554"/>
      <c r="DD1918" s="619"/>
      <c r="DE1918" s="619"/>
      <c r="DF1918" s="619"/>
      <c r="DG1918" s="619"/>
      <c r="DH1918" s="619"/>
    </row>
    <row r="1919" s="550" customFormat="1" ht="31" customHeight="1" spans="1:113">
      <c r="A1919" s="608">
        <v>46240</v>
      </c>
      <c r="B1919" s="609"/>
      <c r="C1919" s="610" t="s">
        <v>98</v>
      </c>
      <c r="D1919" s="554" t="s">
        <v>5528</v>
      </c>
      <c r="E1919" s="610" t="s">
        <v>5533</v>
      </c>
      <c r="F1919" s="554" t="s">
        <v>10672</v>
      </c>
      <c r="G1919" s="610" t="s">
        <v>6036</v>
      </c>
      <c r="H1919" s="610" t="s">
        <v>6033</v>
      </c>
      <c r="I1919" s="715">
        <v>400</v>
      </c>
      <c r="J1919" s="610">
        <v>0</v>
      </c>
      <c r="K1919" s="610">
        <v>25</v>
      </c>
      <c r="L1919" s="611">
        <f t="shared" si="777"/>
        <v>16</v>
      </c>
      <c r="M1919" s="845">
        <v>46251</v>
      </c>
      <c r="N1919" s="612">
        <v>46247</v>
      </c>
      <c r="O1919" s="737" t="s">
        <v>5535</v>
      </c>
      <c r="P1919" s="613" t="s">
        <v>113</v>
      </c>
      <c r="Q1919" s="614"/>
      <c r="R1919" s="614" t="s">
        <v>3639</v>
      </c>
      <c r="S1919" s="614" t="s">
        <v>70</v>
      </c>
      <c r="T1919" s="614" t="s">
        <v>70</v>
      </c>
      <c r="U1919" s="874"/>
      <c r="V1919" s="614"/>
      <c r="W1919" s="573"/>
      <c r="X1919" s="609" t="s">
        <v>10673</v>
      </c>
      <c r="Y1919" s="616" t="s">
        <v>5532</v>
      </c>
      <c r="Z1919" s="609">
        <v>0.58416</v>
      </c>
      <c r="AA1919" s="616">
        <f t="shared" si="781"/>
        <v>233.664</v>
      </c>
      <c r="AB1919" s="573"/>
      <c r="AC1919" s="697"/>
      <c r="AD1919" s="610" t="s">
        <v>6036</v>
      </c>
      <c r="AE1919" s="610" t="s">
        <v>82</v>
      </c>
      <c r="AF1919" s="610"/>
      <c r="AG1919" s="610"/>
      <c r="AH1919" s="609"/>
      <c r="AI1919" s="609">
        <f>350+50</f>
        <v>400</v>
      </c>
      <c r="AJ1919" s="610">
        <f t="shared" si="776"/>
        <v>0</v>
      </c>
      <c r="AK1919" s="613"/>
      <c r="AL1919" s="610"/>
      <c r="AM1919" s="610"/>
      <c r="AN1919" s="610">
        <f>I1919</f>
        <v>400</v>
      </c>
      <c r="AO1919" s="554"/>
      <c r="AP1919" s="554">
        <f>I1919</f>
        <v>400</v>
      </c>
      <c r="AQ1919" s="554"/>
      <c r="AR1919" s="619"/>
      <c r="AS1919" s="554"/>
      <c r="AT1919" s="554"/>
      <c r="AU1919" s="554">
        <f>I1919</f>
        <v>400</v>
      </c>
      <c r="AV1919" s="554"/>
      <c r="AW1919" s="554"/>
      <c r="AX1919" s="714"/>
      <c r="AY1919" s="554"/>
      <c r="AZ1919" s="554"/>
      <c r="BA1919" s="554"/>
      <c r="BB1919" s="620">
        <f>I1919/48</f>
        <v>8.33333333333333</v>
      </c>
      <c r="BC1919" s="554"/>
      <c r="BD1919" s="554"/>
      <c r="BE1919" s="554"/>
      <c r="BF1919" s="720"/>
      <c r="BG1919" s="555"/>
      <c r="BH1919" s="721"/>
      <c r="BI1919" s="554"/>
      <c r="BJ1919" s="554"/>
      <c r="BK1919" s="554"/>
      <c r="BL1919" s="554"/>
      <c r="BM1919" s="554"/>
      <c r="BN1919" s="554">
        <f>I1919/25</f>
        <v>16</v>
      </c>
      <c r="BO1919" s="554"/>
      <c r="BP1919" s="554"/>
      <c r="BQ1919" s="554"/>
      <c r="BR1919" s="554"/>
      <c r="BS1919" s="554"/>
      <c r="BT1919" s="554"/>
      <c r="BU1919" s="554"/>
      <c r="BV1919" s="554"/>
      <c r="BW1919" s="554"/>
      <c r="BX1919" s="554"/>
      <c r="BY1919" s="554"/>
      <c r="BZ1919" s="554"/>
      <c r="CA1919" s="720"/>
      <c r="CB1919" s="555"/>
      <c r="CC1919" s="721"/>
      <c r="CD1919" s="554"/>
      <c r="CE1919" s="554"/>
      <c r="CF1919" s="554"/>
      <c r="CG1919" s="720"/>
      <c r="CH1919" s="555"/>
      <c r="CI1919" s="721"/>
      <c r="CJ1919" s="554"/>
      <c r="CK1919" s="554"/>
      <c r="CL1919" s="554"/>
      <c r="CM1919" s="554"/>
      <c r="CN1919" s="554"/>
      <c r="CO1919" s="554"/>
      <c r="CP1919" s="619"/>
      <c r="CQ1919" s="619"/>
      <c r="CR1919" s="554"/>
      <c r="CS1919" s="554"/>
      <c r="CT1919" s="554"/>
      <c r="CU1919" s="554">
        <f t="shared" si="773"/>
        <v>16</v>
      </c>
      <c r="CV1919" s="554">
        <f t="shared" si="779"/>
        <v>0</v>
      </c>
      <c r="CW1919" s="554">
        <f t="shared" si="780"/>
        <v>0</v>
      </c>
      <c r="CX1919" s="619"/>
      <c r="CY1919" s="619"/>
      <c r="CZ1919" s="619"/>
      <c r="DA1919" s="619"/>
      <c r="DB1919" s="619"/>
      <c r="DC1919" s="619"/>
      <c r="DD1919" s="619"/>
      <c r="DE1919" s="619"/>
      <c r="DF1919" s="619"/>
      <c r="DG1919" s="619"/>
      <c r="DH1919" s="619"/>
    </row>
    <row r="1920" s="550" customFormat="1" ht="31" customHeight="1" spans="1:113">
      <c r="A1920" s="608">
        <v>46210</v>
      </c>
      <c r="B1920" s="609" t="s">
        <v>5544</v>
      </c>
      <c r="C1920" s="610" t="s">
        <v>590</v>
      </c>
      <c r="D1920" s="554">
        <v>4500215347</v>
      </c>
      <c r="E1920" s="610"/>
      <c r="F1920" s="554" t="s">
        <v>10674</v>
      </c>
      <c r="G1920" s="610" t="s">
        <v>6448</v>
      </c>
      <c r="H1920" s="610" t="s">
        <v>6449</v>
      </c>
      <c r="I1920" s="715">
        <v>4000</v>
      </c>
      <c r="J1920" s="610">
        <v>0</v>
      </c>
      <c r="K1920" s="610">
        <v>50</v>
      </c>
      <c r="L1920" s="611">
        <f t="shared" si="777"/>
        <v>80</v>
      </c>
      <c r="M1920" s="612">
        <v>46252</v>
      </c>
      <c r="N1920" s="612">
        <v>46247</v>
      </c>
      <c r="O1920" s="613"/>
      <c r="P1920" s="610" t="s">
        <v>113</v>
      </c>
      <c r="Q1920" s="614"/>
      <c r="R1920" s="614">
        <v>46210</v>
      </c>
      <c r="S1920" s="614" t="s">
        <v>70</v>
      </c>
      <c r="T1920" s="818" t="s">
        <v>10675</v>
      </c>
      <c r="U1920" s="818"/>
      <c r="V1920" s="862" t="s">
        <v>10676</v>
      </c>
      <c r="W1920" s="819"/>
      <c r="X1920" s="865" t="s">
        <v>10677</v>
      </c>
      <c r="Y1920" s="616" t="s">
        <v>5548</v>
      </c>
      <c r="Z1920" s="609">
        <v>0.9411</v>
      </c>
      <c r="AA1920" s="945">
        <f t="shared" si="781"/>
        <v>3764.4</v>
      </c>
      <c r="AB1920" s="609" t="s">
        <v>10678</v>
      </c>
      <c r="AC1920" s="946"/>
      <c r="AD1920" s="610" t="s">
        <v>6448</v>
      </c>
      <c r="AE1920" s="610" t="s">
        <v>82</v>
      </c>
      <c r="AF1920" s="610"/>
      <c r="AG1920" s="610"/>
      <c r="AH1920" s="609"/>
      <c r="AI1920" s="609">
        <v>4000</v>
      </c>
      <c r="AJ1920" s="610">
        <f t="shared" si="776"/>
        <v>0</v>
      </c>
      <c r="AK1920" s="613"/>
      <c r="AL1920" s="610" t="s">
        <v>2368</v>
      </c>
      <c r="AM1920" s="610"/>
      <c r="AN1920" s="554"/>
      <c r="AO1920" s="554">
        <f>I1920</f>
        <v>4000</v>
      </c>
      <c r="AP1920" s="554"/>
      <c r="AQ1920" s="554"/>
      <c r="AR1920" s="619"/>
      <c r="AS1920" s="554"/>
      <c r="AT1920" s="554">
        <f>I1920</f>
        <v>4000</v>
      </c>
      <c r="AU1920" s="554"/>
      <c r="AV1920" s="554"/>
      <c r="AW1920" s="554"/>
      <c r="AX1920" s="714"/>
      <c r="AY1920" s="554"/>
      <c r="AZ1920" s="554">
        <f>I1920</f>
        <v>4000</v>
      </c>
      <c r="BA1920" s="554"/>
      <c r="BB1920" s="620">
        <f t="shared" ref="BB1920:BB1930" si="782">I1920/24</f>
        <v>166.666666666667</v>
      </c>
      <c r="BC1920" s="554"/>
      <c r="BD1920" s="554"/>
      <c r="BE1920" s="554"/>
      <c r="BF1920" s="554"/>
      <c r="BG1920" s="550"/>
      <c r="BH1920" s="554"/>
      <c r="BI1920" s="554"/>
      <c r="BJ1920" s="554"/>
      <c r="BK1920" s="554"/>
      <c r="BL1920" s="554"/>
      <c r="BM1920" s="554"/>
      <c r="BN1920" s="554"/>
      <c r="BO1920" s="554"/>
      <c r="BP1920" s="554"/>
      <c r="BQ1920" s="554"/>
      <c r="BR1920" s="554"/>
      <c r="BS1920" s="554"/>
      <c r="BT1920" s="554"/>
      <c r="BU1920" s="554"/>
      <c r="BV1920" s="554"/>
      <c r="BW1920" s="554"/>
      <c r="BX1920" s="554">
        <f>I1920/25</f>
        <v>160</v>
      </c>
      <c r="BY1920" s="554"/>
      <c r="BZ1920" s="554"/>
      <c r="CA1920" s="720"/>
      <c r="CB1920" s="555"/>
      <c r="CC1920" s="721"/>
      <c r="CD1920" s="554"/>
      <c r="CE1920" s="554"/>
      <c r="CF1920" s="554"/>
      <c r="CG1920" s="554"/>
      <c r="CH1920" s="550"/>
      <c r="CI1920" s="554"/>
      <c r="CJ1920" s="554"/>
      <c r="CK1920" s="554"/>
      <c r="CL1920" s="554"/>
      <c r="CM1920" s="554"/>
      <c r="CN1920" s="554"/>
      <c r="CO1920" s="554"/>
      <c r="CP1920" s="619"/>
      <c r="CQ1920" s="619"/>
      <c r="CR1920" s="554"/>
      <c r="CS1920" s="554"/>
      <c r="CT1920" s="554"/>
      <c r="CU1920" s="554">
        <f t="shared" si="773"/>
        <v>160</v>
      </c>
      <c r="CV1920" s="554">
        <f t="shared" si="779"/>
        <v>0</v>
      </c>
      <c r="CW1920" s="554">
        <f t="shared" si="780"/>
        <v>0</v>
      </c>
      <c r="CX1920" s="619"/>
      <c r="CY1920" s="619"/>
      <c r="CZ1920" s="619"/>
      <c r="DA1920" s="619"/>
      <c r="DB1920" s="619"/>
      <c r="DC1920" s="619"/>
      <c r="DD1920" s="619"/>
      <c r="DE1920" s="619"/>
      <c r="DF1920" s="619"/>
      <c r="DG1920" s="619"/>
      <c r="DH1920" s="619"/>
    </row>
    <row r="1921" s="550" customFormat="1" ht="31" customHeight="1" spans="1:113">
      <c r="A1921" s="608">
        <v>46206</v>
      </c>
      <c r="B1921" s="609" t="s">
        <v>4371</v>
      </c>
      <c r="C1921" s="610" t="s">
        <v>98</v>
      </c>
      <c r="D1921" s="727">
        <v>4500215017</v>
      </c>
      <c r="E1921" s="613">
        <v>1007021903</v>
      </c>
      <c r="F1921" s="554" t="s">
        <v>10679</v>
      </c>
      <c r="G1921" s="610" t="s">
        <v>6063</v>
      </c>
      <c r="H1921" s="610" t="s">
        <v>6064</v>
      </c>
      <c r="I1921" s="715">
        <v>13440</v>
      </c>
      <c r="J1921" s="610">
        <v>0</v>
      </c>
      <c r="K1921" s="610">
        <v>16</v>
      </c>
      <c r="L1921" s="611">
        <f t="shared" si="777"/>
        <v>840</v>
      </c>
      <c r="M1921" s="612">
        <v>46253</v>
      </c>
      <c r="N1921" s="612">
        <v>46247</v>
      </c>
      <c r="O1921" s="737" t="s">
        <v>5342</v>
      </c>
      <c r="P1921" s="610" t="s">
        <v>113</v>
      </c>
      <c r="Q1921" s="614"/>
      <c r="R1921" s="614" t="s">
        <v>9889</v>
      </c>
      <c r="S1921" s="862" t="s">
        <v>70</v>
      </c>
      <c r="T1921" s="862" t="s">
        <v>10611</v>
      </c>
      <c r="U1921" s="818"/>
      <c r="V1921" s="818"/>
      <c r="W1921" s="819"/>
      <c r="X1921" s="820" t="s">
        <v>10680</v>
      </c>
      <c r="Y1921" s="616" t="s">
        <v>5133</v>
      </c>
      <c r="Z1921" s="609">
        <v>0.6151</v>
      </c>
      <c r="AA1921" s="894">
        <f t="shared" si="781"/>
        <v>8266.944</v>
      </c>
      <c r="AB1921" s="573"/>
      <c r="AC1921" s="697"/>
      <c r="AD1921" s="890" t="s">
        <v>6063</v>
      </c>
      <c r="AE1921" s="890" t="s">
        <v>82</v>
      </c>
      <c r="AF1921" s="610"/>
      <c r="AG1921" s="610"/>
      <c r="AH1921" s="609"/>
      <c r="AI1921" s="609">
        <v>13440</v>
      </c>
      <c r="AJ1921" s="890">
        <f t="shared" si="776"/>
        <v>0</v>
      </c>
      <c r="AK1921" s="613"/>
      <c r="AL1921" s="610" t="s">
        <v>2368</v>
      </c>
      <c r="AM1921" s="610"/>
      <c r="AN1921" s="610">
        <f t="shared" ref="AN1921:AN1930" si="783">I1921</f>
        <v>13440</v>
      </c>
      <c r="AO1921" s="554"/>
      <c r="AP1921" s="555">
        <f t="shared" ref="AP1921:AP1930" si="784">I1921</f>
        <v>13440</v>
      </c>
      <c r="AQ1921" s="554"/>
      <c r="AR1921" s="619"/>
      <c r="AS1921" s="554"/>
      <c r="AT1921" s="554"/>
      <c r="AU1921" s="555">
        <f t="shared" ref="AU1921:AU1930" si="785">I1921</f>
        <v>13440</v>
      </c>
      <c r="AV1921" s="554"/>
      <c r="AW1921" s="554"/>
      <c r="AX1921" s="714"/>
      <c r="AY1921" s="554"/>
      <c r="AZ1921" s="554"/>
      <c r="BA1921" s="554"/>
      <c r="BB1921" s="897">
        <f t="shared" si="782"/>
        <v>560</v>
      </c>
      <c r="BC1921" s="554"/>
      <c r="BD1921" s="554"/>
      <c r="BE1921" s="554"/>
      <c r="BF1921" s="720"/>
      <c r="BG1921" s="555"/>
      <c r="BH1921" s="721"/>
      <c r="BI1921" s="554"/>
      <c r="BJ1921" s="554"/>
      <c r="BK1921" s="554"/>
      <c r="BL1921" s="554"/>
      <c r="BM1921" s="554"/>
      <c r="BN1921" s="554"/>
      <c r="BO1921" s="554"/>
      <c r="BP1921" s="554"/>
      <c r="BQ1921" s="555">
        <f t="shared" ref="BQ1921:BQ1930" si="786">I1921/16</f>
        <v>840</v>
      </c>
      <c r="BR1921" s="554"/>
      <c r="BS1921" s="554"/>
      <c r="BT1921" s="554"/>
      <c r="BU1921" s="554"/>
      <c r="BV1921" s="554"/>
      <c r="BW1921" s="554"/>
      <c r="BX1921" s="554"/>
      <c r="BY1921" s="554"/>
      <c r="BZ1921" s="554"/>
      <c r="CA1921" s="621"/>
      <c r="CB1921" s="555"/>
      <c r="CC1921" s="622"/>
      <c r="CD1921" s="619"/>
      <c r="CE1921" s="619"/>
      <c r="CF1921" s="554"/>
      <c r="CG1921" s="554"/>
      <c r="CH1921" s="550"/>
      <c r="CI1921" s="554"/>
      <c r="CJ1921" s="554"/>
      <c r="CK1921" s="554"/>
      <c r="CL1921" s="554"/>
      <c r="CM1921" s="554"/>
      <c r="CN1921" s="554"/>
      <c r="CO1921" s="554"/>
      <c r="CP1921" s="619"/>
      <c r="CQ1921" s="619"/>
      <c r="CR1921" s="554"/>
      <c r="CS1921" s="554"/>
      <c r="CT1921" s="554"/>
      <c r="CU1921" s="555">
        <f t="shared" si="773"/>
        <v>840</v>
      </c>
      <c r="CV1921" s="555">
        <f t="shared" si="779"/>
        <v>0</v>
      </c>
      <c r="CW1921" s="555">
        <f t="shared" si="780"/>
        <v>0</v>
      </c>
      <c r="CX1921" s="619"/>
      <c r="CY1921" s="619"/>
      <c r="CZ1921" s="619"/>
      <c r="DA1921" s="619"/>
      <c r="DB1921" s="619"/>
      <c r="DC1921" s="619"/>
      <c r="DD1921" s="619"/>
      <c r="DE1921" s="619"/>
      <c r="DF1921" s="619"/>
      <c r="DG1921" s="619"/>
      <c r="DH1921" s="619"/>
      <c r="DI1921" s="554"/>
    </row>
    <row r="1922" s="550" customFormat="1" ht="31" customHeight="1" spans="1:113">
      <c r="A1922" s="608">
        <v>46206</v>
      </c>
      <c r="B1922" s="609" t="s">
        <v>4371</v>
      </c>
      <c r="C1922" s="610" t="s">
        <v>98</v>
      </c>
      <c r="D1922" s="727">
        <v>4500215017</v>
      </c>
      <c r="E1922" s="613">
        <v>1007021922</v>
      </c>
      <c r="F1922" s="554" t="s">
        <v>10681</v>
      </c>
      <c r="G1922" s="610" t="s">
        <v>6063</v>
      </c>
      <c r="H1922" s="610" t="s">
        <v>6064</v>
      </c>
      <c r="I1922" s="715">
        <v>12000</v>
      </c>
      <c r="J1922" s="610">
        <v>0</v>
      </c>
      <c r="K1922" s="610">
        <v>16</v>
      </c>
      <c r="L1922" s="611">
        <f t="shared" si="777"/>
        <v>750</v>
      </c>
      <c r="M1922" s="612">
        <v>46253</v>
      </c>
      <c r="N1922" s="612">
        <v>46248</v>
      </c>
      <c r="O1922" s="737" t="s">
        <v>5342</v>
      </c>
      <c r="P1922" s="610" t="s">
        <v>113</v>
      </c>
      <c r="Q1922" s="614"/>
      <c r="R1922" s="614" t="s">
        <v>9889</v>
      </c>
      <c r="S1922" s="862" t="s">
        <v>70</v>
      </c>
      <c r="T1922" s="862" t="s">
        <v>10611</v>
      </c>
      <c r="U1922" s="818"/>
      <c r="V1922" s="818"/>
      <c r="W1922" s="819"/>
      <c r="X1922" s="820" t="s">
        <v>10680</v>
      </c>
      <c r="Y1922" s="616" t="s">
        <v>5133</v>
      </c>
      <c r="Z1922" s="609">
        <v>0.6151</v>
      </c>
      <c r="AA1922" s="894">
        <f t="shared" si="781"/>
        <v>7381.2</v>
      </c>
      <c r="AB1922" s="573"/>
      <c r="AC1922" s="697"/>
      <c r="AD1922" s="890" t="s">
        <v>6063</v>
      </c>
      <c r="AE1922" s="890" t="s">
        <v>82</v>
      </c>
      <c r="AF1922" s="610"/>
      <c r="AG1922" s="610"/>
      <c r="AH1922" s="609"/>
      <c r="AI1922" s="609">
        <v>12000</v>
      </c>
      <c r="AJ1922" s="890">
        <f t="shared" si="776"/>
        <v>0</v>
      </c>
      <c r="AK1922" s="613"/>
      <c r="AL1922" s="610" t="s">
        <v>2368</v>
      </c>
      <c r="AM1922" s="610"/>
      <c r="AN1922" s="610">
        <f t="shared" si="783"/>
        <v>12000</v>
      </c>
      <c r="AO1922" s="554"/>
      <c r="AP1922" s="555">
        <f t="shared" si="784"/>
        <v>12000</v>
      </c>
      <c r="AQ1922" s="554"/>
      <c r="AR1922" s="619"/>
      <c r="AS1922" s="554"/>
      <c r="AT1922" s="554"/>
      <c r="AU1922" s="555">
        <f t="shared" si="785"/>
        <v>12000</v>
      </c>
      <c r="AV1922" s="554"/>
      <c r="AW1922" s="554"/>
      <c r="AX1922" s="714"/>
      <c r="AY1922" s="554"/>
      <c r="AZ1922" s="554"/>
      <c r="BA1922" s="554"/>
      <c r="BB1922" s="897">
        <f t="shared" si="782"/>
        <v>500</v>
      </c>
      <c r="BC1922" s="554"/>
      <c r="BD1922" s="554"/>
      <c r="BE1922" s="554"/>
      <c r="BF1922" s="720"/>
      <c r="BG1922" s="555"/>
      <c r="BH1922" s="721"/>
      <c r="BI1922" s="554"/>
      <c r="BJ1922" s="554"/>
      <c r="BK1922" s="554"/>
      <c r="BL1922" s="554"/>
      <c r="BM1922" s="554"/>
      <c r="BN1922" s="554"/>
      <c r="BO1922" s="554"/>
      <c r="BP1922" s="554"/>
      <c r="BQ1922" s="555">
        <f t="shared" si="786"/>
        <v>750</v>
      </c>
      <c r="BR1922" s="554"/>
      <c r="BS1922" s="554"/>
      <c r="BT1922" s="554"/>
      <c r="BU1922" s="554"/>
      <c r="BV1922" s="554"/>
      <c r="BW1922" s="554"/>
      <c r="BX1922" s="554"/>
      <c r="BY1922" s="554"/>
      <c r="BZ1922" s="554"/>
      <c r="CA1922" s="621"/>
      <c r="CB1922" s="555"/>
      <c r="CC1922" s="622"/>
      <c r="CD1922" s="619"/>
      <c r="CE1922" s="619"/>
      <c r="CF1922" s="554"/>
      <c r="CG1922" s="554"/>
      <c r="CH1922" s="550"/>
      <c r="CI1922" s="554"/>
      <c r="CJ1922" s="554"/>
      <c r="CK1922" s="554"/>
      <c r="CL1922" s="554"/>
      <c r="CM1922" s="554"/>
      <c r="CN1922" s="554"/>
      <c r="CO1922" s="554"/>
      <c r="CP1922" s="619"/>
      <c r="CQ1922" s="619"/>
      <c r="CR1922" s="554"/>
      <c r="CS1922" s="554"/>
      <c r="CT1922" s="554"/>
      <c r="CU1922" s="555">
        <f t="shared" si="773"/>
        <v>750</v>
      </c>
      <c r="CV1922" s="555">
        <f t="shared" si="779"/>
        <v>0</v>
      </c>
      <c r="CW1922" s="555">
        <f t="shared" si="780"/>
        <v>0</v>
      </c>
      <c r="CX1922" s="619"/>
      <c r="CY1922" s="619"/>
      <c r="CZ1922" s="619"/>
      <c r="DA1922" s="619"/>
      <c r="DB1922" s="619"/>
      <c r="DC1922" s="619"/>
      <c r="DD1922" s="619"/>
      <c r="DE1922" s="619"/>
      <c r="DF1922" s="619"/>
      <c r="DG1922" s="619"/>
      <c r="DH1922" s="619"/>
      <c r="DI1922" s="554"/>
    </row>
    <row r="1923" s="550" customFormat="1" ht="31" customHeight="1" spans="1:113">
      <c r="A1923" s="608">
        <v>46206</v>
      </c>
      <c r="B1923" s="609" t="s">
        <v>4371</v>
      </c>
      <c r="C1923" s="610" t="s">
        <v>98</v>
      </c>
      <c r="D1923" s="727">
        <v>4500215017</v>
      </c>
      <c r="E1923" s="613">
        <v>1007021952</v>
      </c>
      <c r="F1923" s="554" t="s">
        <v>10682</v>
      </c>
      <c r="G1923" s="610" t="s">
        <v>6063</v>
      </c>
      <c r="H1923" s="610" t="s">
        <v>6064</v>
      </c>
      <c r="I1923" s="715">
        <v>9600</v>
      </c>
      <c r="J1923" s="610">
        <v>0</v>
      </c>
      <c r="K1923" s="610">
        <v>16</v>
      </c>
      <c r="L1923" s="611">
        <f t="shared" si="777"/>
        <v>600</v>
      </c>
      <c r="M1923" s="612">
        <v>46253</v>
      </c>
      <c r="N1923" s="612">
        <v>46248</v>
      </c>
      <c r="O1923" s="737" t="s">
        <v>5342</v>
      </c>
      <c r="P1923" s="610" t="s">
        <v>113</v>
      </c>
      <c r="Q1923" s="614"/>
      <c r="R1923" s="614" t="s">
        <v>9889</v>
      </c>
      <c r="S1923" s="862" t="s">
        <v>70</v>
      </c>
      <c r="T1923" s="862" t="s">
        <v>10611</v>
      </c>
      <c r="U1923" s="818"/>
      <c r="V1923" s="818"/>
      <c r="W1923" s="819"/>
      <c r="X1923" s="820" t="s">
        <v>10680</v>
      </c>
      <c r="Y1923" s="616" t="s">
        <v>5133</v>
      </c>
      <c r="Z1923" s="609">
        <v>0.6184</v>
      </c>
      <c r="AA1923" s="894">
        <f t="shared" si="781"/>
        <v>5936.64</v>
      </c>
      <c r="AB1923" s="573"/>
      <c r="AC1923" s="697"/>
      <c r="AD1923" s="890" t="s">
        <v>6063</v>
      </c>
      <c r="AE1923" s="890" t="s">
        <v>82</v>
      </c>
      <c r="AF1923" s="610"/>
      <c r="AG1923" s="610"/>
      <c r="AH1923" s="609"/>
      <c r="AI1923" s="609">
        <v>9600</v>
      </c>
      <c r="AJ1923" s="890">
        <f t="shared" si="776"/>
        <v>0</v>
      </c>
      <c r="AK1923" s="613"/>
      <c r="AL1923" s="610" t="s">
        <v>2368</v>
      </c>
      <c r="AM1923" s="610"/>
      <c r="AN1923" s="610">
        <f t="shared" si="783"/>
        <v>9600</v>
      </c>
      <c r="AO1923" s="554"/>
      <c r="AP1923" s="555">
        <f t="shared" si="784"/>
        <v>9600</v>
      </c>
      <c r="AQ1923" s="554"/>
      <c r="AR1923" s="619"/>
      <c r="AS1923" s="554"/>
      <c r="AT1923" s="554"/>
      <c r="AU1923" s="555">
        <f t="shared" si="785"/>
        <v>9600</v>
      </c>
      <c r="AV1923" s="554"/>
      <c r="AW1923" s="554"/>
      <c r="AX1923" s="714"/>
      <c r="AY1923" s="554"/>
      <c r="AZ1923" s="554"/>
      <c r="BA1923" s="554"/>
      <c r="BB1923" s="897">
        <f t="shared" si="782"/>
        <v>400</v>
      </c>
      <c r="BC1923" s="554"/>
      <c r="BD1923" s="554"/>
      <c r="BE1923" s="554"/>
      <c r="BF1923" s="720"/>
      <c r="BG1923" s="555"/>
      <c r="BH1923" s="721"/>
      <c r="BI1923" s="554"/>
      <c r="BJ1923" s="554"/>
      <c r="BK1923" s="554"/>
      <c r="BL1923" s="554"/>
      <c r="BM1923" s="554"/>
      <c r="BN1923" s="554"/>
      <c r="BO1923" s="554"/>
      <c r="BP1923" s="554"/>
      <c r="BQ1923" s="555">
        <f t="shared" si="786"/>
        <v>600</v>
      </c>
      <c r="BR1923" s="554"/>
      <c r="BS1923" s="554"/>
      <c r="BT1923" s="554"/>
      <c r="BU1923" s="554"/>
      <c r="BV1923" s="554"/>
      <c r="BW1923" s="554"/>
      <c r="BX1923" s="554"/>
      <c r="BY1923" s="554"/>
      <c r="BZ1923" s="554"/>
      <c r="CA1923" s="621"/>
      <c r="CB1923" s="555"/>
      <c r="CC1923" s="622"/>
      <c r="CD1923" s="619"/>
      <c r="CE1923" s="619"/>
      <c r="CF1923" s="554"/>
      <c r="CG1923" s="554"/>
      <c r="CH1923" s="550"/>
      <c r="CI1923" s="554"/>
      <c r="CJ1923" s="554"/>
      <c r="CK1923" s="554"/>
      <c r="CL1923" s="554"/>
      <c r="CM1923" s="554"/>
      <c r="CN1923" s="554"/>
      <c r="CO1923" s="554"/>
      <c r="CP1923" s="619"/>
      <c r="CQ1923" s="619"/>
      <c r="CR1923" s="554"/>
      <c r="CS1923" s="554"/>
      <c r="CT1923" s="554"/>
      <c r="CU1923" s="555">
        <f t="shared" si="773"/>
        <v>600</v>
      </c>
      <c r="CV1923" s="555">
        <f t="shared" si="779"/>
        <v>0</v>
      </c>
      <c r="CW1923" s="555">
        <f t="shared" si="780"/>
        <v>0</v>
      </c>
      <c r="CX1923" s="619"/>
      <c r="CY1923" s="619"/>
      <c r="CZ1923" s="619"/>
      <c r="DA1923" s="619"/>
      <c r="DB1923" s="619"/>
      <c r="DC1923" s="619"/>
      <c r="DD1923" s="619"/>
      <c r="DE1923" s="619"/>
      <c r="DF1923" s="619"/>
      <c r="DG1923" s="619"/>
      <c r="DH1923" s="619"/>
      <c r="DI1923" s="554"/>
    </row>
    <row r="1924" s="550" customFormat="1" ht="31" customHeight="1" spans="1:113">
      <c r="A1924" s="608">
        <v>46206</v>
      </c>
      <c r="B1924" s="609" t="s">
        <v>4371</v>
      </c>
      <c r="C1924" s="610" t="s">
        <v>98</v>
      </c>
      <c r="D1924" s="727">
        <v>4500215017</v>
      </c>
      <c r="E1924" s="613">
        <v>1007021974</v>
      </c>
      <c r="F1924" s="554" t="s">
        <v>10683</v>
      </c>
      <c r="G1924" s="610" t="s">
        <v>6063</v>
      </c>
      <c r="H1924" s="610" t="s">
        <v>6064</v>
      </c>
      <c r="I1924" s="715">
        <v>5280</v>
      </c>
      <c r="J1924" s="610">
        <v>0</v>
      </c>
      <c r="K1924" s="610">
        <v>16</v>
      </c>
      <c r="L1924" s="611">
        <f t="shared" si="777"/>
        <v>330</v>
      </c>
      <c r="M1924" s="612">
        <v>46253</v>
      </c>
      <c r="N1924" s="612">
        <v>46248</v>
      </c>
      <c r="O1924" s="737" t="s">
        <v>5342</v>
      </c>
      <c r="P1924" s="610" t="s">
        <v>113</v>
      </c>
      <c r="Q1924" s="614">
        <v>46261</v>
      </c>
      <c r="R1924" s="614" t="s">
        <v>9889</v>
      </c>
      <c r="S1924" s="862" t="s">
        <v>70</v>
      </c>
      <c r="T1924" s="862" t="s">
        <v>10611</v>
      </c>
      <c r="U1924" s="818"/>
      <c r="V1924" s="818"/>
      <c r="W1924" s="819"/>
      <c r="X1924" s="820" t="s">
        <v>10680</v>
      </c>
      <c r="Y1924" s="616" t="s">
        <v>5133</v>
      </c>
      <c r="Z1924" s="609">
        <v>0.6184</v>
      </c>
      <c r="AA1924" s="894">
        <f t="shared" si="781"/>
        <v>3265.152</v>
      </c>
      <c r="AB1924" s="573"/>
      <c r="AC1924" s="697"/>
      <c r="AD1924" s="890" t="s">
        <v>6063</v>
      </c>
      <c r="AE1924" s="890" t="s">
        <v>82</v>
      </c>
      <c r="AF1924" s="610"/>
      <c r="AG1924" s="610"/>
      <c r="AH1924" s="609"/>
      <c r="AI1924" s="609">
        <v>5280</v>
      </c>
      <c r="AJ1924" s="890">
        <f t="shared" si="776"/>
        <v>0</v>
      </c>
      <c r="AK1924" s="613"/>
      <c r="AL1924" s="610" t="s">
        <v>2368</v>
      </c>
      <c r="AM1924" s="610"/>
      <c r="AN1924" s="610">
        <f t="shared" si="783"/>
        <v>5280</v>
      </c>
      <c r="AO1924" s="554"/>
      <c r="AP1924" s="555">
        <f t="shared" si="784"/>
        <v>5280</v>
      </c>
      <c r="AQ1924" s="554"/>
      <c r="AR1924" s="619"/>
      <c r="AS1924" s="554"/>
      <c r="AT1924" s="554"/>
      <c r="AU1924" s="555">
        <f t="shared" si="785"/>
        <v>5280</v>
      </c>
      <c r="AV1924" s="554"/>
      <c r="AW1924" s="554"/>
      <c r="AX1924" s="714"/>
      <c r="AY1924" s="554"/>
      <c r="AZ1924" s="554"/>
      <c r="BA1924" s="554"/>
      <c r="BB1924" s="897">
        <f t="shared" si="782"/>
        <v>220</v>
      </c>
      <c r="BC1924" s="554"/>
      <c r="BD1924" s="554"/>
      <c r="BE1924" s="554"/>
      <c r="BF1924" s="720"/>
      <c r="BG1924" s="555"/>
      <c r="BH1924" s="721"/>
      <c r="BI1924" s="554"/>
      <c r="BJ1924" s="554"/>
      <c r="BK1924" s="554"/>
      <c r="BL1924" s="554"/>
      <c r="BM1924" s="554"/>
      <c r="BN1924" s="554"/>
      <c r="BO1924" s="554"/>
      <c r="BP1924" s="554"/>
      <c r="BQ1924" s="555">
        <f t="shared" si="786"/>
        <v>330</v>
      </c>
      <c r="BR1924" s="554"/>
      <c r="BS1924" s="554"/>
      <c r="BT1924" s="554"/>
      <c r="BU1924" s="554"/>
      <c r="BV1924" s="554"/>
      <c r="BW1924" s="554"/>
      <c r="BX1924" s="554"/>
      <c r="BY1924" s="554"/>
      <c r="BZ1924" s="554"/>
      <c r="CA1924" s="621"/>
      <c r="CB1924" s="555"/>
      <c r="CC1924" s="622"/>
      <c r="CD1924" s="619"/>
      <c r="CE1924" s="619"/>
      <c r="CF1924" s="554"/>
      <c r="CG1924" s="554"/>
      <c r="CH1924" s="550"/>
      <c r="CI1924" s="554"/>
      <c r="CJ1924" s="554"/>
      <c r="CK1924" s="554"/>
      <c r="CL1924" s="554"/>
      <c r="CM1924" s="554"/>
      <c r="CN1924" s="554"/>
      <c r="CO1924" s="554"/>
      <c r="CP1924" s="619"/>
      <c r="CQ1924" s="619"/>
      <c r="CR1924" s="554"/>
      <c r="CS1924" s="554"/>
      <c r="CT1924" s="554"/>
      <c r="CU1924" s="555">
        <f t="shared" si="773"/>
        <v>330</v>
      </c>
      <c r="CV1924" s="555">
        <f t="shared" si="779"/>
        <v>0</v>
      </c>
      <c r="CW1924" s="555">
        <f t="shared" si="780"/>
        <v>0</v>
      </c>
      <c r="CX1924" s="619"/>
      <c r="CY1924" s="619"/>
      <c r="CZ1924" s="619"/>
      <c r="DA1924" s="619"/>
      <c r="DB1924" s="619"/>
      <c r="DC1924" s="619"/>
      <c r="DD1924" s="619"/>
      <c r="DE1924" s="619"/>
      <c r="DF1924" s="619"/>
      <c r="DG1924" s="619"/>
      <c r="DH1924" s="619"/>
      <c r="DI1924" s="554"/>
    </row>
    <row r="1925" s="550" customFormat="1" ht="31" customHeight="1" spans="1:113">
      <c r="A1925" s="867">
        <v>46191</v>
      </c>
      <c r="B1925" s="605" t="s">
        <v>4371</v>
      </c>
      <c r="C1925" s="589" t="s">
        <v>98</v>
      </c>
      <c r="D1925" s="886">
        <v>4500213085</v>
      </c>
      <c r="E1925" s="873">
        <v>1003603237</v>
      </c>
      <c r="F1925" s="557" t="s">
        <v>10684</v>
      </c>
      <c r="G1925" s="589" t="s">
        <v>6063</v>
      </c>
      <c r="H1925" s="589" t="s">
        <v>6064</v>
      </c>
      <c r="I1925" s="868">
        <v>8160</v>
      </c>
      <c r="J1925" s="589">
        <v>0</v>
      </c>
      <c r="K1925" s="869">
        <v>16</v>
      </c>
      <c r="L1925" s="870">
        <f t="shared" si="777"/>
        <v>510</v>
      </c>
      <c r="M1925" s="885">
        <v>46255</v>
      </c>
      <c r="N1925" s="908">
        <f>M1925-4</f>
        <v>46251</v>
      </c>
      <c r="O1925" s="873"/>
      <c r="P1925" s="589" t="s">
        <v>113</v>
      </c>
      <c r="Q1925" s="874">
        <v>46259</v>
      </c>
      <c r="R1925" s="874" t="s">
        <v>9889</v>
      </c>
      <c r="S1925" s="874" t="s">
        <v>70</v>
      </c>
      <c r="T1925" s="874" t="s">
        <v>10395</v>
      </c>
      <c r="U1925" s="874"/>
      <c r="V1925" s="874"/>
      <c r="W1925" s="573"/>
      <c r="X1925" s="605" t="s">
        <v>10400</v>
      </c>
      <c r="Y1925" s="876" t="s">
        <v>5133</v>
      </c>
      <c r="Z1925" s="605">
        <v>0.6301</v>
      </c>
      <c r="AA1925" s="876">
        <f t="shared" si="781"/>
        <v>5141.616</v>
      </c>
      <c r="AC1925" s="877"/>
      <c r="AD1925" s="610" t="s">
        <v>6063</v>
      </c>
      <c r="AE1925" s="589" t="s">
        <v>82</v>
      </c>
      <c r="AF1925" s="589"/>
      <c r="AG1925" s="589"/>
      <c r="AI1925" s="609">
        <v>8160</v>
      </c>
      <c r="AJ1925" s="610">
        <f t="shared" si="776"/>
        <v>0</v>
      </c>
      <c r="AK1925" s="873"/>
      <c r="AL1925" s="589" t="s">
        <v>2368</v>
      </c>
      <c r="AM1925" s="589"/>
      <c r="AN1925" s="589">
        <f t="shared" si="783"/>
        <v>8160</v>
      </c>
      <c r="AO1925" s="557"/>
      <c r="AP1925" s="554">
        <f t="shared" si="784"/>
        <v>8160</v>
      </c>
      <c r="AQ1925" s="557"/>
      <c r="AR1925" s="878"/>
      <c r="AS1925" s="557"/>
      <c r="AT1925" s="557"/>
      <c r="AU1925" s="554">
        <f t="shared" si="785"/>
        <v>8160</v>
      </c>
      <c r="AV1925" s="557"/>
      <c r="AW1925" s="557"/>
      <c r="AX1925" s="879"/>
      <c r="AY1925" s="557"/>
      <c r="AZ1925" s="557"/>
      <c r="BA1925" s="557"/>
      <c r="BB1925" s="620">
        <f t="shared" si="782"/>
        <v>340</v>
      </c>
      <c r="BC1925" s="557"/>
      <c r="BD1925" s="557"/>
      <c r="BE1925" s="557"/>
      <c r="BF1925" s="880"/>
      <c r="BG1925" s="881"/>
      <c r="BH1925" s="882"/>
      <c r="BI1925" s="557"/>
      <c r="BJ1925" s="557"/>
      <c r="BK1925" s="557"/>
      <c r="BL1925" s="557"/>
      <c r="BM1925" s="557"/>
      <c r="BN1925" s="557"/>
      <c r="BO1925" s="557"/>
      <c r="BP1925" s="557"/>
      <c r="BQ1925" s="554">
        <f t="shared" si="786"/>
        <v>510</v>
      </c>
      <c r="BR1925" s="557"/>
      <c r="BS1925" s="557"/>
      <c r="BT1925" s="557"/>
      <c r="BU1925" s="557"/>
      <c r="BV1925" s="557"/>
      <c r="BW1925" s="557"/>
      <c r="BX1925" s="557"/>
      <c r="BY1925" s="557"/>
      <c r="BZ1925" s="557"/>
      <c r="CA1925" s="883"/>
      <c r="CB1925" s="555"/>
      <c r="CC1925" s="882"/>
      <c r="CD1925" s="557"/>
      <c r="CE1925" s="557"/>
      <c r="CF1925" s="557"/>
      <c r="CG1925" s="880"/>
      <c r="CH1925" s="881"/>
      <c r="CI1925" s="882"/>
      <c r="CJ1925" s="557"/>
      <c r="CK1925" s="557"/>
      <c r="CL1925" s="557"/>
      <c r="CM1925" s="557"/>
      <c r="CN1925" s="557"/>
      <c r="CO1925" s="557"/>
      <c r="CP1925" s="878"/>
      <c r="CQ1925" s="878"/>
      <c r="CR1925" s="557"/>
      <c r="CS1925" s="557"/>
      <c r="CT1925" s="557"/>
      <c r="CU1925" s="554">
        <f t="shared" si="773"/>
        <v>510</v>
      </c>
      <c r="CV1925" s="554">
        <f t="shared" si="779"/>
        <v>0</v>
      </c>
      <c r="CW1925" s="554">
        <f t="shared" si="780"/>
        <v>0</v>
      </c>
      <c r="CX1925" s="878"/>
      <c r="CY1925" s="878"/>
      <c r="CZ1925" s="878"/>
      <c r="DA1925" s="878"/>
      <c r="DB1925" s="878"/>
      <c r="DC1925" s="878"/>
      <c r="DD1925" s="878"/>
      <c r="DE1925" s="878"/>
      <c r="DF1925" s="878"/>
      <c r="DG1925" s="878"/>
      <c r="DH1925" s="878"/>
    </row>
    <row r="1926" s="550" customFormat="1" ht="31" customHeight="1" spans="1:113">
      <c r="A1926" s="608">
        <v>46206</v>
      </c>
      <c r="B1926" s="609" t="s">
        <v>4371</v>
      </c>
      <c r="C1926" s="610" t="s">
        <v>98</v>
      </c>
      <c r="D1926" s="727">
        <v>4500215019</v>
      </c>
      <c r="E1926" s="613">
        <v>1003609364</v>
      </c>
      <c r="F1926" s="554" t="s">
        <v>10685</v>
      </c>
      <c r="G1926" s="610" t="s">
        <v>6063</v>
      </c>
      <c r="H1926" s="610" t="s">
        <v>6064</v>
      </c>
      <c r="I1926" s="715">
        <v>5280</v>
      </c>
      <c r="J1926" s="610">
        <v>0</v>
      </c>
      <c r="K1926" s="610">
        <v>16</v>
      </c>
      <c r="L1926" s="611">
        <f t="shared" si="777"/>
        <v>330</v>
      </c>
      <c r="M1926" s="612">
        <v>46255</v>
      </c>
      <c r="N1926" s="612">
        <v>46249</v>
      </c>
      <c r="O1926" s="737" t="s">
        <v>10686</v>
      </c>
      <c r="P1926" s="610" t="s">
        <v>113</v>
      </c>
      <c r="Q1926" s="614"/>
      <c r="R1926" s="614" t="s">
        <v>9889</v>
      </c>
      <c r="S1926" s="862" t="s">
        <v>70</v>
      </c>
      <c r="T1926" s="862" t="s">
        <v>10687</v>
      </c>
      <c r="U1926" s="818"/>
      <c r="V1926" s="818"/>
      <c r="W1926" s="819"/>
      <c r="X1926" s="820" t="s">
        <v>10688</v>
      </c>
      <c r="Y1926" s="616" t="s">
        <v>5133</v>
      </c>
      <c r="Z1926" s="609">
        <v>0.6301</v>
      </c>
      <c r="AA1926" s="894">
        <f t="shared" si="781"/>
        <v>3326.928</v>
      </c>
      <c r="AB1926" s="573"/>
      <c r="AC1926" s="697"/>
      <c r="AD1926" s="890" t="s">
        <v>6063</v>
      </c>
      <c r="AE1926" s="890" t="s">
        <v>82</v>
      </c>
      <c r="AF1926" s="610"/>
      <c r="AG1926" s="610"/>
      <c r="AH1926" s="609"/>
      <c r="AI1926" s="609">
        <v>5280</v>
      </c>
      <c r="AJ1926" s="890">
        <f t="shared" si="776"/>
        <v>0</v>
      </c>
      <c r="AK1926" s="613"/>
      <c r="AL1926" s="610" t="s">
        <v>2368</v>
      </c>
      <c r="AM1926" s="610"/>
      <c r="AN1926" s="610">
        <f t="shared" si="783"/>
        <v>5280</v>
      </c>
      <c r="AO1926" s="554"/>
      <c r="AP1926" s="555">
        <f t="shared" si="784"/>
        <v>5280</v>
      </c>
      <c r="AQ1926" s="554"/>
      <c r="AR1926" s="619"/>
      <c r="AS1926" s="554"/>
      <c r="AT1926" s="554"/>
      <c r="AU1926" s="555">
        <f t="shared" si="785"/>
        <v>5280</v>
      </c>
      <c r="AV1926" s="554"/>
      <c r="AW1926" s="554"/>
      <c r="AX1926" s="714"/>
      <c r="AY1926" s="554"/>
      <c r="AZ1926" s="554"/>
      <c r="BA1926" s="554"/>
      <c r="BB1926" s="897">
        <f t="shared" si="782"/>
        <v>220</v>
      </c>
      <c r="BC1926" s="554"/>
      <c r="BD1926" s="554"/>
      <c r="BE1926" s="554"/>
      <c r="BF1926" s="720"/>
      <c r="BG1926" s="555"/>
      <c r="BH1926" s="721"/>
      <c r="BI1926" s="554"/>
      <c r="BJ1926" s="554"/>
      <c r="BK1926" s="554"/>
      <c r="BL1926" s="554"/>
      <c r="BM1926" s="554"/>
      <c r="BN1926" s="554"/>
      <c r="BO1926" s="554"/>
      <c r="BP1926" s="554"/>
      <c r="BQ1926" s="555">
        <f t="shared" si="786"/>
        <v>330</v>
      </c>
      <c r="BR1926" s="554"/>
      <c r="BS1926" s="554"/>
      <c r="BT1926" s="554"/>
      <c r="BU1926" s="554"/>
      <c r="BV1926" s="554"/>
      <c r="BW1926" s="554"/>
      <c r="BX1926" s="554"/>
      <c r="BY1926" s="554"/>
      <c r="BZ1926" s="554"/>
      <c r="CA1926" s="621"/>
      <c r="CB1926" s="555"/>
      <c r="CC1926" s="622"/>
      <c r="CD1926" s="619"/>
      <c r="CE1926" s="619"/>
      <c r="CF1926" s="554"/>
      <c r="CG1926" s="554"/>
      <c r="CH1926" s="550"/>
      <c r="CI1926" s="554"/>
      <c r="CJ1926" s="554"/>
      <c r="CK1926" s="554"/>
      <c r="CL1926" s="554"/>
      <c r="CM1926" s="554"/>
      <c r="CN1926" s="554"/>
      <c r="CO1926" s="554"/>
      <c r="CP1926" s="619"/>
      <c r="CQ1926" s="619"/>
      <c r="CR1926" s="554"/>
      <c r="CS1926" s="554"/>
      <c r="CT1926" s="554"/>
      <c r="CU1926" s="555">
        <f t="shared" si="773"/>
        <v>330</v>
      </c>
      <c r="CV1926" s="555">
        <f t="shared" si="779"/>
        <v>0</v>
      </c>
      <c r="CW1926" s="555">
        <f t="shared" si="780"/>
        <v>0</v>
      </c>
      <c r="CX1926" s="619"/>
      <c r="CY1926" s="619"/>
      <c r="CZ1926" s="619"/>
      <c r="DA1926" s="619"/>
      <c r="DB1926" s="619"/>
      <c r="DC1926" s="619"/>
      <c r="DD1926" s="619"/>
      <c r="DE1926" s="619"/>
      <c r="DF1926" s="619"/>
      <c r="DG1926" s="619"/>
      <c r="DH1926" s="619"/>
      <c r="DI1926" s="554"/>
    </row>
    <row r="1927" s="550" customFormat="1" ht="31" customHeight="1" spans="1:113">
      <c r="A1927" s="608">
        <v>46213</v>
      </c>
      <c r="B1927" s="609" t="s">
        <v>4371</v>
      </c>
      <c r="C1927" s="610" t="s">
        <v>98</v>
      </c>
      <c r="D1927" s="727">
        <v>4500216020</v>
      </c>
      <c r="E1927" s="613">
        <v>1007021933</v>
      </c>
      <c r="F1927" s="554" t="s">
        <v>10689</v>
      </c>
      <c r="G1927" s="610" t="s">
        <v>6063</v>
      </c>
      <c r="H1927" s="610" t="s">
        <v>6064</v>
      </c>
      <c r="I1927" s="715">
        <v>8160</v>
      </c>
      <c r="J1927" s="610">
        <v>0</v>
      </c>
      <c r="K1927" s="843">
        <v>16</v>
      </c>
      <c r="L1927" s="844">
        <f t="shared" si="777"/>
        <v>510</v>
      </c>
      <c r="M1927" s="845">
        <v>46258</v>
      </c>
      <c r="N1927" s="872">
        <v>46251</v>
      </c>
      <c r="O1927" s="737" t="s">
        <v>10690</v>
      </c>
      <c r="P1927" s="610" t="s">
        <v>113</v>
      </c>
      <c r="Q1927" s="614"/>
      <c r="R1927" s="614" t="s">
        <v>9889</v>
      </c>
      <c r="S1927" s="948" t="s">
        <v>70</v>
      </c>
      <c r="T1927" s="862" t="s">
        <v>10687</v>
      </c>
      <c r="U1927" s="874"/>
      <c r="V1927" s="902"/>
      <c r="W1927" s="819"/>
      <c r="X1927" s="820" t="s">
        <v>10691</v>
      </c>
      <c r="Y1927" s="616" t="s">
        <v>4378</v>
      </c>
      <c r="Z1927" s="609">
        <v>0.6184</v>
      </c>
      <c r="AA1927" s="616">
        <f t="shared" si="781"/>
        <v>5046.144</v>
      </c>
      <c r="AC1927" s="697"/>
      <c r="AD1927" s="890" t="s">
        <v>6063</v>
      </c>
      <c r="AE1927" s="610" t="s">
        <v>82</v>
      </c>
      <c r="AF1927" s="610"/>
      <c r="AG1927" s="610"/>
      <c r="AH1927" s="609"/>
      <c r="AI1927" s="609">
        <v>8160</v>
      </c>
      <c r="AJ1927" s="890">
        <f t="shared" si="776"/>
        <v>0</v>
      </c>
      <c r="AK1927" s="613"/>
      <c r="AL1927" s="610" t="s">
        <v>2368</v>
      </c>
      <c r="AM1927" s="610"/>
      <c r="AN1927" s="610">
        <f t="shared" si="783"/>
        <v>8160</v>
      </c>
      <c r="AO1927" s="554"/>
      <c r="AP1927" s="555">
        <f t="shared" si="784"/>
        <v>8160</v>
      </c>
      <c r="AQ1927" s="554"/>
      <c r="AR1927" s="619"/>
      <c r="AS1927" s="554"/>
      <c r="AT1927" s="554"/>
      <c r="AU1927" s="555">
        <f t="shared" si="785"/>
        <v>8160</v>
      </c>
      <c r="AV1927" s="554"/>
      <c r="AW1927" s="554"/>
      <c r="AX1927" s="714"/>
      <c r="AY1927" s="554"/>
      <c r="AZ1927" s="554"/>
      <c r="BA1927" s="554"/>
      <c r="BB1927" s="897">
        <f t="shared" si="782"/>
        <v>340</v>
      </c>
      <c r="BC1927" s="554"/>
      <c r="BD1927" s="554"/>
      <c r="BE1927" s="554"/>
      <c r="BF1927" s="720"/>
      <c r="BG1927" s="555"/>
      <c r="BH1927" s="721"/>
      <c r="BI1927" s="554"/>
      <c r="BJ1927" s="554"/>
      <c r="BK1927" s="554"/>
      <c r="BL1927" s="554"/>
      <c r="BM1927" s="554"/>
      <c r="BN1927" s="554"/>
      <c r="BO1927" s="554"/>
      <c r="BP1927" s="554"/>
      <c r="BQ1927" s="555">
        <f t="shared" si="786"/>
        <v>510</v>
      </c>
      <c r="BR1927" s="554"/>
      <c r="BS1927" s="554"/>
      <c r="BT1927" s="554"/>
      <c r="BU1927" s="554"/>
      <c r="BV1927" s="554"/>
      <c r="BW1927" s="554"/>
      <c r="BX1927" s="554"/>
      <c r="BY1927" s="554"/>
      <c r="BZ1927" s="554"/>
      <c r="CA1927" s="720"/>
      <c r="CB1927" s="555"/>
      <c r="CC1927" s="721"/>
      <c r="CD1927" s="554"/>
      <c r="CE1927" s="554"/>
      <c r="CF1927" s="554"/>
      <c r="CG1927" s="720"/>
      <c r="CH1927" s="555"/>
      <c r="CI1927" s="721"/>
      <c r="CJ1927" s="554"/>
      <c r="CK1927" s="554"/>
      <c r="CL1927" s="554"/>
      <c r="CM1927" s="554"/>
      <c r="CN1927" s="554"/>
      <c r="CO1927" s="554"/>
      <c r="CP1927" s="619"/>
      <c r="CQ1927" s="619"/>
      <c r="CR1927" s="554"/>
      <c r="CS1927" s="554"/>
      <c r="CT1927" s="554"/>
      <c r="CU1927" s="555">
        <f t="shared" si="773"/>
        <v>510</v>
      </c>
      <c r="CV1927" s="555">
        <f t="shared" si="779"/>
        <v>0</v>
      </c>
      <c r="CW1927" s="555">
        <f t="shared" si="780"/>
        <v>0</v>
      </c>
      <c r="CX1927" s="619"/>
      <c r="CY1927" s="619"/>
      <c r="CZ1927" s="619"/>
      <c r="DA1927" s="619"/>
      <c r="DB1927" s="619"/>
      <c r="DC1927" s="619"/>
      <c r="DD1927" s="619"/>
      <c r="DE1927" s="619"/>
      <c r="DF1927" s="619"/>
      <c r="DG1927" s="619"/>
      <c r="DH1927" s="619"/>
    </row>
    <row r="1928" s="550" customFormat="1" ht="31" customHeight="1" spans="1:113">
      <c r="A1928" s="608">
        <v>46213</v>
      </c>
      <c r="B1928" s="609" t="s">
        <v>4371</v>
      </c>
      <c r="C1928" s="610" t="s">
        <v>98</v>
      </c>
      <c r="D1928" s="727">
        <v>4500216020</v>
      </c>
      <c r="E1928" s="613">
        <v>1007021975</v>
      </c>
      <c r="F1928" s="554" t="s">
        <v>10692</v>
      </c>
      <c r="G1928" s="610" t="s">
        <v>6063</v>
      </c>
      <c r="H1928" s="610" t="s">
        <v>6064</v>
      </c>
      <c r="I1928" s="715">
        <v>3840</v>
      </c>
      <c r="J1928" s="610">
        <v>0</v>
      </c>
      <c r="K1928" s="843">
        <v>16</v>
      </c>
      <c r="L1928" s="844">
        <f t="shared" si="777"/>
        <v>240</v>
      </c>
      <c r="M1928" s="845">
        <v>46258</v>
      </c>
      <c r="N1928" s="872">
        <v>46251</v>
      </c>
      <c r="O1928" s="737" t="s">
        <v>10693</v>
      </c>
      <c r="P1928" s="610" t="s">
        <v>113</v>
      </c>
      <c r="Q1928" s="614"/>
      <c r="R1928" s="818" t="s">
        <v>9889</v>
      </c>
      <c r="S1928" s="862" t="s">
        <v>70</v>
      </c>
      <c r="T1928" s="862" t="s">
        <v>10687</v>
      </c>
      <c r="U1928" s="862"/>
      <c r="V1928" s="988"/>
      <c r="W1928" s="819"/>
      <c r="X1928" s="820" t="s">
        <v>10691</v>
      </c>
      <c r="Y1928" s="616" t="s">
        <v>4378</v>
      </c>
      <c r="Z1928" s="609">
        <v>0.6217</v>
      </c>
      <c r="AA1928" s="616">
        <f t="shared" si="781"/>
        <v>2387.328</v>
      </c>
      <c r="AC1928" s="697"/>
      <c r="AD1928" s="890" t="s">
        <v>6063</v>
      </c>
      <c r="AE1928" s="610" t="s">
        <v>82</v>
      </c>
      <c r="AF1928" s="610"/>
      <c r="AG1928" s="610"/>
      <c r="AH1928" s="609"/>
      <c r="AI1928" s="609">
        <v>3840</v>
      </c>
      <c r="AJ1928" s="890">
        <f t="shared" si="776"/>
        <v>0</v>
      </c>
      <c r="AK1928" s="613"/>
      <c r="AL1928" s="610" t="s">
        <v>2368</v>
      </c>
      <c r="AM1928" s="610"/>
      <c r="AN1928" s="610">
        <f t="shared" si="783"/>
        <v>3840</v>
      </c>
      <c r="AO1928" s="554"/>
      <c r="AP1928" s="555">
        <f t="shared" si="784"/>
        <v>3840</v>
      </c>
      <c r="AQ1928" s="554"/>
      <c r="AR1928" s="619"/>
      <c r="AS1928" s="554"/>
      <c r="AT1928" s="554"/>
      <c r="AU1928" s="555">
        <f t="shared" si="785"/>
        <v>3840</v>
      </c>
      <c r="AV1928" s="554"/>
      <c r="AW1928" s="554"/>
      <c r="AX1928" s="714"/>
      <c r="AY1928" s="554"/>
      <c r="AZ1928" s="554"/>
      <c r="BA1928" s="554"/>
      <c r="BB1928" s="897">
        <f t="shared" si="782"/>
        <v>160</v>
      </c>
      <c r="BC1928" s="554"/>
      <c r="BD1928" s="554"/>
      <c r="BE1928" s="554"/>
      <c r="BF1928" s="720"/>
      <c r="BG1928" s="555"/>
      <c r="BH1928" s="721"/>
      <c r="BI1928" s="554"/>
      <c r="BJ1928" s="554"/>
      <c r="BK1928" s="554"/>
      <c r="BL1928" s="554"/>
      <c r="BM1928" s="554"/>
      <c r="BN1928" s="554"/>
      <c r="BO1928" s="554"/>
      <c r="BP1928" s="554"/>
      <c r="BQ1928" s="555">
        <f t="shared" si="786"/>
        <v>240</v>
      </c>
      <c r="BR1928" s="554"/>
      <c r="BS1928" s="554"/>
      <c r="BT1928" s="554"/>
      <c r="BU1928" s="554"/>
      <c r="BV1928" s="554"/>
      <c r="BW1928" s="554"/>
      <c r="BX1928" s="554"/>
      <c r="BY1928" s="554"/>
      <c r="BZ1928" s="554"/>
      <c r="CA1928" s="720"/>
      <c r="CB1928" s="555"/>
      <c r="CC1928" s="721"/>
      <c r="CD1928" s="554"/>
      <c r="CE1928" s="554"/>
      <c r="CF1928" s="554"/>
      <c r="CG1928" s="720"/>
      <c r="CH1928" s="555"/>
      <c r="CI1928" s="721"/>
      <c r="CJ1928" s="554"/>
      <c r="CK1928" s="554"/>
      <c r="CL1928" s="554"/>
      <c r="CM1928" s="554"/>
      <c r="CN1928" s="554"/>
      <c r="CO1928" s="554"/>
      <c r="CP1928" s="619"/>
      <c r="CQ1928" s="619"/>
      <c r="CR1928" s="554"/>
      <c r="CS1928" s="554"/>
      <c r="CT1928" s="554"/>
      <c r="CU1928" s="555">
        <f t="shared" si="773"/>
        <v>240</v>
      </c>
      <c r="CV1928" s="555">
        <f t="shared" si="779"/>
        <v>0</v>
      </c>
      <c r="CW1928" s="555">
        <f t="shared" si="780"/>
        <v>0</v>
      </c>
      <c r="CX1928" s="619"/>
      <c r="CY1928" s="619"/>
      <c r="CZ1928" s="619"/>
      <c r="DA1928" s="619"/>
      <c r="DB1928" s="619"/>
      <c r="DC1928" s="619"/>
      <c r="DD1928" s="619"/>
      <c r="DE1928" s="619"/>
      <c r="DF1928" s="619"/>
      <c r="DG1928" s="619"/>
      <c r="DH1928" s="619"/>
    </row>
    <row r="1929" s="550" customFormat="1" ht="31" customHeight="1" spans="1:113">
      <c r="A1929" s="608">
        <v>46213</v>
      </c>
      <c r="B1929" s="609" t="s">
        <v>4371</v>
      </c>
      <c r="C1929" s="610" t="s">
        <v>98</v>
      </c>
      <c r="D1929" s="727">
        <v>4500216020</v>
      </c>
      <c r="E1929" s="613">
        <v>1007021977</v>
      </c>
      <c r="F1929" s="554" t="s">
        <v>10694</v>
      </c>
      <c r="G1929" s="610" t="s">
        <v>6063</v>
      </c>
      <c r="H1929" s="610" t="s">
        <v>6064</v>
      </c>
      <c r="I1929" s="715">
        <v>1440</v>
      </c>
      <c r="J1929" s="610">
        <v>0</v>
      </c>
      <c r="K1929" s="843">
        <v>16</v>
      </c>
      <c r="L1929" s="844">
        <f t="shared" si="777"/>
        <v>90</v>
      </c>
      <c r="M1929" s="845">
        <v>46258</v>
      </c>
      <c r="N1929" s="872">
        <v>46251</v>
      </c>
      <c r="O1929" s="737" t="s">
        <v>10693</v>
      </c>
      <c r="P1929" s="610" t="s">
        <v>113</v>
      </c>
      <c r="Q1929" s="614"/>
      <c r="R1929" s="818" t="s">
        <v>9889</v>
      </c>
      <c r="S1929" s="862" t="s">
        <v>70</v>
      </c>
      <c r="T1929" s="862" t="s">
        <v>10687</v>
      </c>
      <c r="U1929" s="862"/>
      <c r="V1929" s="988"/>
      <c r="W1929" s="819"/>
      <c r="X1929" s="820" t="s">
        <v>10691</v>
      </c>
      <c r="Y1929" s="616" t="s">
        <v>4378</v>
      </c>
      <c r="Z1929" s="609">
        <v>0.6334</v>
      </c>
      <c r="AA1929" s="616">
        <f t="shared" si="781"/>
        <v>912.096</v>
      </c>
      <c r="AC1929" s="697"/>
      <c r="AD1929" s="890" t="s">
        <v>6063</v>
      </c>
      <c r="AE1929" s="610" t="s">
        <v>82</v>
      </c>
      <c r="AF1929" s="610"/>
      <c r="AG1929" s="610"/>
      <c r="AH1929" s="609"/>
      <c r="AI1929" s="609">
        <v>1440</v>
      </c>
      <c r="AJ1929" s="890">
        <f t="shared" si="776"/>
        <v>0</v>
      </c>
      <c r="AK1929" s="613"/>
      <c r="AL1929" s="610" t="s">
        <v>2368</v>
      </c>
      <c r="AM1929" s="610"/>
      <c r="AN1929" s="610">
        <f t="shared" si="783"/>
        <v>1440</v>
      </c>
      <c r="AO1929" s="554"/>
      <c r="AP1929" s="555">
        <f t="shared" si="784"/>
        <v>1440</v>
      </c>
      <c r="AQ1929" s="554"/>
      <c r="AR1929" s="619"/>
      <c r="AS1929" s="554"/>
      <c r="AT1929" s="554"/>
      <c r="AU1929" s="555">
        <f t="shared" si="785"/>
        <v>1440</v>
      </c>
      <c r="AV1929" s="554"/>
      <c r="AW1929" s="554"/>
      <c r="AX1929" s="714"/>
      <c r="AY1929" s="554"/>
      <c r="AZ1929" s="554"/>
      <c r="BA1929" s="554"/>
      <c r="BB1929" s="897">
        <f t="shared" si="782"/>
        <v>60</v>
      </c>
      <c r="BC1929" s="554"/>
      <c r="BD1929" s="554"/>
      <c r="BE1929" s="554"/>
      <c r="BF1929" s="720"/>
      <c r="BG1929" s="555"/>
      <c r="BH1929" s="721"/>
      <c r="BI1929" s="554"/>
      <c r="BJ1929" s="554"/>
      <c r="BK1929" s="554"/>
      <c r="BL1929" s="554"/>
      <c r="BM1929" s="554"/>
      <c r="BN1929" s="554"/>
      <c r="BO1929" s="554"/>
      <c r="BP1929" s="554"/>
      <c r="BQ1929" s="555">
        <f t="shared" si="786"/>
        <v>90</v>
      </c>
      <c r="BR1929" s="554"/>
      <c r="BS1929" s="554"/>
      <c r="BT1929" s="554"/>
      <c r="BU1929" s="554"/>
      <c r="BV1929" s="554"/>
      <c r="BW1929" s="554"/>
      <c r="BX1929" s="554"/>
      <c r="BY1929" s="554"/>
      <c r="BZ1929" s="554"/>
      <c r="CA1929" s="720"/>
      <c r="CB1929" s="555"/>
      <c r="CC1929" s="721"/>
      <c r="CD1929" s="554"/>
      <c r="CE1929" s="554"/>
      <c r="CF1929" s="554"/>
      <c r="CG1929" s="720"/>
      <c r="CH1929" s="555"/>
      <c r="CI1929" s="721"/>
      <c r="CJ1929" s="554"/>
      <c r="CK1929" s="554"/>
      <c r="CL1929" s="554"/>
      <c r="CM1929" s="554"/>
      <c r="CN1929" s="554"/>
      <c r="CO1929" s="554"/>
      <c r="CP1929" s="619"/>
      <c r="CQ1929" s="619"/>
      <c r="CR1929" s="554"/>
      <c r="CS1929" s="554"/>
      <c r="CT1929" s="554"/>
      <c r="CU1929" s="555">
        <f t="shared" si="773"/>
        <v>90</v>
      </c>
      <c r="CV1929" s="555">
        <f t="shared" si="779"/>
        <v>0</v>
      </c>
      <c r="CW1929" s="555">
        <f t="shared" si="780"/>
        <v>0</v>
      </c>
      <c r="CX1929" s="619"/>
      <c r="CY1929" s="619"/>
      <c r="CZ1929" s="619"/>
      <c r="DA1929" s="619"/>
      <c r="DB1929" s="619"/>
      <c r="DC1929" s="619"/>
      <c r="DD1929" s="619"/>
      <c r="DE1929" s="619"/>
      <c r="DF1929" s="619"/>
      <c r="DG1929" s="619"/>
      <c r="DH1929" s="619"/>
    </row>
    <row r="1930" s="550" customFormat="1" ht="31" customHeight="1" spans="1:113">
      <c r="A1930" s="889">
        <v>46205</v>
      </c>
      <c r="B1930" s="819" t="s">
        <v>143</v>
      </c>
      <c r="C1930" s="890" t="s">
        <v>98</v>
      </c>
      <c r="D1930" s="891">
        <v>4500214819</v>
      </c>
      <c r="E1930" s="892">
        <v>1007882564</v>
      </c>
      <c r="F1930" s="555" t="s">
        <v>10695</v>
      </c>
      <c r="G1930" s="890" t="s">
        <v>6063</v>
      </c>
      <c r="H1930" s="890" t="s">
        <v>6064</v>
      </c>
      <c r="I1930" s="893">
        <v>5760</v>
      </c>
      <c r="J1930" s="890">
        <v>0</v>
      </c>
      <c r="K1930" s="890">
        <v>16</v>
      </c>
      <c r="L1930" s="844">
        <f t="shared" si="777"/>
        <v>360</v>
      </c>
      <c r="M1930" s="887">
        <v>46258</v>
      </c>
      <c r="N1930" s="872">
        <v>46251</v>
      </c>
      <c r="O1930" s="989" t="s">
        <v>10696</v>
      </c>
      <c r="P1930" s="890" t="s">
        <v>113</v>
      </c>
      <c r="Q1930" s="862"/>
      <c r="R1930" s="988" t="s">
        <v>9889</v>
      </c>
      <c r="S1930" s="862" t="s">
        <v>70</v>
      </c>
      <c r="T1930" s="862" t="s">
        <v>10687</v>
      </c>
      <c r="U1930" s="862"/>
      <c r="V1930" s="862"/>
      <c r="W1930" s="990"/>
      <c r="X1930" s="819" t="s">
        <v>10697</v>
      </c>
      <c r="Y1930" s="894" t="s">
        <v>4871</v>
      </c>
      <c r="Z1930" s="819">
        <v>0.6301</v>
      </c>
      <c r="AA1930" s="894">
        <f t="shared" si="781"/>
        <v>3629.376</v>
      </c>
      <c r="AB1930" s="819"/>
      <c r="AC1930" s="697"/>
      <c r="AD1930" s="890" t="s">
        <v>6063</v>
      </c>
      <c r="AE1930" s="890" t="s">
        <v>82</v>
      </c>
      <c r="AF1930" s="890"/>
      <c r="AG1930" s="890"/>
      <c r="AH1930" s="819"/>
      <c r="AI1930" s="609">
        <v>5760</v>
      </c>
      <c r="AJ1930" s="890">
        <f t="shared" si="776"/>
        <v>0</v>
      </c>
      <c r="AK1930" s="892"/>
      <c r="AL1930" s="890" t="s">
        <v>2368</v>
      </c>
      <c r="AM1930" s="890"/>
      <c r="AN1930" s="890">
        <f t="shared" si="783"/>
        <v>5760</v>
      </c>
      <c r="AO1930" s="555"/>
      <c r="AP1930" s="555">
        <f t="shared" si="784"/>
        <v>5760</v>
      </c>
      <c r="AQ1930" s="555"/>
      <c r="AR1930" s="895"/>
      <c r="AS1930" s="555"/>
      <c r="AT1930" s="555"/>
      <c r="AU1930" s="555">
        <f t="shared" si="785"/>
        <v>5760</v>
      </c>
      <c r="AV1930" s="555"/>
      <c r="AW1930" s="555"/>
      <c r="AX1930" s="896"/>
      <c r="AY1930" s="555"/>
      <c r="AZ1930" s="555"/>
      <c r="BA1930" s="555"/>
      <c r="BB1930" s="897">
        <f t="shared" si="782"/>
        <v>240</v>
      </c>
      <c r="BC1930" s="555"/>
      <c r="BD1930" s="555"/>
      <c r="BE1930" s="555"/>
      <c r="BF1930" s="555"/>
      <c r="BG1930" s="555"/>
      <c r="BH1930" s="555"/>
      <c r="BI1930" s="555"/>
      <c r="BJ1930" s="555"/>
      <c r="BK1930" s="555"/>
      <c r="BL1930" s="555"/>
      <c r="BM1930" s="555"/>
      <c r="BN1930" s="555"/>
      <c r="BO1930" s="555"/>
      <c r="BP1930" s="555"/>
      <c r="BQ1930" s="555">
        <f t="shared" si="786"/>
        <v>360</v>
      </c>
      <c r="BR1930" s="555"/>
      <c r="BS1930" s="555"/>
      <c r="BT1930" s="555"/>
      <c r="BU1930" s="555"/>
      <c r="BV1930" s="555"/>
      <c r="BW1930" s="555"/>
      <c r="BX1930" s="555"/>
      <c r="BY1930" s="555"/>
      <c r="BZ1930" s="555"/>
      <c r="CA1930" s="952"/>
      <c r="CB1930" s="555"/>
      <c r="CC1930" s="907"/>
      <c r="CD1930" s="555"/>
      <c r="CE1930" s="555"/>
      <c r="CF1930" s="555"/>
      <c r="CG1930" s="555"/>
      <c r="CH1930" s="555"/>
      <c r="CI1930" s="555"/>
      <c r="CJ1930" s="555"/>
      <c r="CK1930" s="555"/>
      <c r="CL1930" s="555"/>
      <c r="CM1930" s="555"/>
      <c r="CN1930" s="555"/>
      <c r="CO1930" s="555"/>
      <c r="CP1930" s="895"/>
      <c r="CQ1930" s="895"/>
      <c r="CR1930" s="555"/>
      <c r="CS1930" s="555"/>
      <c r="CT1930" s="555"/>
      <c r="CU1930" s="555">
        <f t="shared" si="773"/>
        <v>360</v>
      </c>
      <c r="CV1930" s="555">
        <f t="shared" si="779"/>
        <v>0</v>
      </c>
      <c r="CW1930" s="555">
        <f t="shared" si="780"/>
        <v>0</v>
      </c>
      <c r="CX1930" s="895"/>
      <c r="CY1930" s="895"/>
      <c r="CZ1930" s="895"/>
      <c r="DA1930" s="895"/>
      <c r="DB1930" s="895"/>
      <c r="DC1930" s="895"/>
      <c r="DD1930" s="895"/>
      <c r="DE1930" s="895"/>
      <c r="DF1930" s="895"/>
      <c r="DG1930" s="895"/>
      <c r="DH1930" s="895"/>
    </row>
    <row r="1931" s="547" customFormat="1" ht="31" customHeight="1" spans="1:113">
      <c r="A1931" s="991">
        <v>46189</v>
      </c>
      <c r="B1931" s="601" t="s">
        <v>1800</v>
      </c>
      <c r="C1931" s="992" t="s">
        <v>744</v>
      </c>
      <c r="D1931" s="993">
        <v>4500212517</v>
      </c>
      <c r="E1931" s="994">
        <v>5000002278</v>
      </c>
      <c r="F1931" s="586" t="s">
        <v>5499</v>
      </c>
      <c r="G1931" s="992" t="s">
        <v>6337</v>
      </c>
      <c r="H1931" s="992" t="s">
        <v>477</v>
      </c>
      <c r="I1931" s="995">
        <v>1200</v>
      </c>
      <c r="J1931" s="992">
        <v>0</v>
      </c>
      <c r="K1931" s="996">
        <v>6</v>
      </c>
      <c r="L1931" s="997">
        <f t="shared" si="777"/>
        <v>200</v>
      </c>
      <c r="M1931" s="998">
        <v>46247</v>
      </c>
      <c r="N1931" s="225" t="s">
        <v>5500</v>
      </c>
      <c r="O1931" s="994"/>
      <c r="P1931" s="992"/>
      <c r="Q1931" s="584"/>
      <c r="R1931" s="999" t="s">
        <v>5180</v>
      </c>
      <c r="S1931" s="999" t="s">
        <v>104</v>
      </c>
      <c r="T1931" s="999" t="s">
        <v>2239</v>
      </c>
      <c r="U1931" s="583"/>
      <c r="V1931" s="584"/>
      <c r="W1931" s="585"/>
      <c r="X1931" s="601" t="s">
        <v>5199</v>
      </c>
      <c r="Y1931" s="1000" t="s">
        <v>1805</v>
      </c>
      <c r="Z1931" s="601">
        <v>6.8743</v>
      </c>
      <c r="AA1931" s="1001">
        <f t="shared" si="781"/>
        <v>8249.16</v>
      </c>
      <c r="AC1931" s="1002"/>
      <c r="AD1931" s="939" t="s">
        <v>2241</v>
      </c>
      <c r="AE1931" s="992" t="s">
        <v>82</v>
      </c>
      <c r="AF1931" s="992"/>
      <c r="AG1931" s="992"/>
      <c r="AH1931" s="601"/>
      <c r="AI1931" s="609"/>
      <c r="AJ1931" s="939">
        <f t="shared" si="776"/>
        <v>-1200</v>
      </c>
      <c r="AK1931" s="994"/>
      <c r="AL1931" s="992" t="s">
        <v>2368</v>
      </c>
      <c r="AM1931" s="992"/>
      <c r="AN1931" s="992"/>
      <c r="AO1931" s="563">
        <f>I1931*2</f>
        <v>2400</v>
      </c>
      <c r="AP1931" s="557"/>
      <c r="AQ1931" s="586"/>
      <c r="AR1931" s="1003"/>
      <c r="AS1931" s="586"/>
      <c r="AT1931" s="554">
        <f>I1931*2</f>
        <v>2400</v>
      </c>
      <c r="AU1931" s="586"/>
      <c r="AV1931" s="586"/>
      <c r="AW1931" s="586"/>
      <c r="AX1931" s="563">
        <f>I1931*2</f>
        <v>2400</v>
      </c>
      <c r="AY1931" s="586"/>
      <c r="AZ1931" s="586"/>
      <c r="BA1931" s="1004">
        <f>I1931/24*2</f>
        <v>100</v>
      </c>
      <c r="BB1931" s="620">
        <f t="shared" ref="BB1931:BB1941" si="787">I1931/24*2</f>
        <v>100</v>
      </c>
      <c r="BC1931" s="586"/>
      <c r="BD1931" s="586"/>
      <c r="BE1931" s="586"/>
      <c r="BF1931" s="1005"/>
      <c r="BG1931" s="561"/>
      <c r="BH1931" s="1006"/>
      <c r="BI1931" s="586"/>
      <c r="BJ1931" s="586"/>
      <c r="BK1931" s="586"/>
      <c r="BL1931" s="586"/>
      <c r="BM1931" s="586"/>
      <c r="BN1931" s="586"/>
      <c r="BO1931" s="586"/>
      <c r="BP1931" s="586"/>
      <c r="BQ1931" s="586"/>
      <c r="BR1931" s="586"/>
      <c r="BS1931" s="586"/>
      <c r="BT1931" s="586"/>
      <c r="BU1931" s="586"/>
      <c r="BV1931" s="586"/>
      <c r="BW1931" s="586"/>
      <c r="BX1931" s="586"/>
      <c r="BY1931" s="586"/>
      <c r="BZ1931" s="563">
        <f>I1931</f>
        <v>1200</v>
      </c>
      <c r="CA1931" s="1007"/>
      <c r="CB1931" s="567"/>
      <c r="CC1931" s="1006"/>
      <c r="CD1931" s="586"/>
      <c r="CE1931" s="586"/>
      <c r="CF1931" s="586"/>
      <c r="CG1931" s="1005"/>
      <c r="CH1931" s="561"/>
      <c r="CI1931" s="1006"/>
      <c r="CJ1931" s="586"/>
      <c r="CK1931" s="586"/>
      <c r="CL1931" s="586"/>
      <c r="CM1931" s="586"/>
      <c r="CN1931" s="586"/>
      <c r="CO1931" s="586"/>
      <c r="CP1931" s="1003"/>
      <c r="CQ1931" s="1003"/>
      <c r="CR1931" s="586"/>
      <c r="CS1931" s="586"/>
      <c r="CT1931" s="586"/>
      <c r="CU1931" s="563">
        <f t="shared" si="773"/>
        <v>0</v>
      </c>
      <c r="CV1931" s="563">
        <v>0</v>
      </c>
      <c r="CW1931" s="563">
        <v>0</v>
      </c>
      <c r="CX1931" s="1003"/>
      <c r="CY1931" s="1003"/>
      <c r="CZ1931" s="1003"/>
      <c r="DA1931" s="1003"/>
      <c r="DB1931" s="1003"/>
      <c r="DC1931" s="1003"/>
      <c r="DD1931" s="1003"/>
      <c r="DE1931" s="1003"/>
      <c r="DF1931" s="1003"/>
      <c r="DG1931" s="1003"/>
      <c r="DH1931" s="1003"/>
    </row>
    <row r="1932" s="547" customFormat="1" ht="31" customHeight="1" spans="1:113">
      <c r="A1932" s="991">
        <v>46189</v>
      </c>
      <c r="B1932" s="601" t="s">
        <v>1800</v>
      </c>
      <c r="C1932" s="992" t="s">
        <v>744</v>
      </c>
      <c r="D1932" s="993">
        <v>4500212517</v>
      </c>
      <c r="E1932" s="994">
        <v>5000002278</v>
      </c>
      <c r="F1932" s="586" t="s">
        <v>5501</v>
      </c>
      <c r="G1932" s="992" t="s">
        <v>6337</v>
      </c>
      <c r="H1932" s="992" t="s">
        <v>477</v>
      </c>
      <c r="I1932" s="995">
        <v>2004</v>
      </c>
      <c r="J1932" s="992">
        <v>0</v>
      </c>
      <c r="K1932" s="996">
        <v>6</v>
      </c>
      <c r="L1932" s="997">
        <f t="shared" si="777"/>
        <v>334</v>
      </c>
      <c r="M1932" s="998">
        <v>46247</v>
      </c>
      <c r="N1932" s="225" t="s">
        <v>5500</v>
      </c>
      <c r="O1932" s="994"/>
      <c r="P1932" s="992"/>
      <c r="Q1932" s="584"/>
      <c r="R1932" s="999" t="s">
        <v>5180</v>
      </c>
      <c r="S1932" s="999" t="s">
        <v>104</v>
      </c>
      <c r="T1932" s="999" t="s">
        <v>2239</v>
      </c>
      <c r="U1932" s="583"/>
      <c r="V1932" s="584"/>
      <c r="W1932" s="585"/>
      <c r="X1932" s="601" t="s">
        <v>5199</v>
      </c>
      <c r="Y1932" s="1000" t="s">
        <v>1805</v>
      </c>
      <c r="Z1932" s="601">
        <v>6.8743</v>
      </c>
      <c r="AA1932" s="1001">
        <f t="shared" si="781"/>
        <v>13776.0972</v>
      </c>
      <c r="AC1932" s="1002"/>
      <c r="AD1932" s="939" t="s">
        <v>2241</v>
      </c>
      <c r="AE1932" s="992" t="s">
        <v>82</v>
      </c>
      <c r="AF1932" s="992"/>
      <c r="AG1932" s="992"/>
      <c r="AH1932" s="601"/>
      <c r="AI1932" s="609"/>
      <c r="AJ1932" s="939">
        <f t="shared" si="776"/>
        <v>-2004</v>
      </c>
      <c r="AK1932" s="994"/>
      <c r="AL1932" s="992" t="s">
        <v>2368</v>
      </c>
      <c r="AM1932" s="992"/>
      <c r="AN1932" s="992"/>
      <c r="AO1932" s="563">
        <f>I1932*2</f>
        <v>4008</v>
      </c>
      <c r="AP1932" s="557"/>
      <c r="AQ1932" s="586"/>
      <c r="AR1932" s="1003"/>
      <c r="AS1932" s="586"/>
      <c r="AT1932" s="554">
        <f>I1932*2</f>
        <v>4008</v>
      </c>
      <c r="AU1932" s="586"/>
      <c r="AV1932" s="586"/>
      <c r="AW1932" s="586"/>
      <c r="AX1932" s="563">
        <f>I1932*2</f>
        <v>4008</v>
      </c>
      <c r="AY1932" s="586"/>
      <c r="AZ1932" s="586"/>
      <c r="BA1932" s="1004">
        <f>I1932/24*2</f>
        <v>167</v>
      </c>
      <c r="BB1932" s="620">
        <f t="shared" si="787"/>
        <v>167</v>
      </c>
      <c r="BC1932" s="586"/>
      <c r="BD1932" s="586"/>
      <c r="BE1932" s="586"/>
      <c r="BF1932" s="1005"/>
      <c r="BG1932" s="561"/>
      <c r="BH1932" s="1006"/>
      <c r="BI1932" s="586"/>
      <c r="BJ1932" s="586"/>
      <c r="BK1932" s="586"/>
      <c r="BL1932" s="586"/>
      <c r="BM1932" s="586"/>
      <c r="BN1932" s="586"/>
      <c r="BO1932" s="586"/>
      <c r="BP1932" s="586"/>
      <c r="BQ1932" s="586"/>
      <c r="BR1932" s="586"/>
      <c r="BS1932" s="586"/>
      <c r="BT1932" s="586"/>
      <c r="BU1932" s="586"/>
      <c r="BV1932" s="586"/>
      <c r="BW1932" s="586"/>
      <c r="BX1932" s="586"/>
      <c r="BY1932" s="586"/>
      <c r="BZ1932" s="563">
        <f>I1932</f>
        <v>2004</v>
      </c>
      <c r="CA1932" s="1007"/>
      <c r="CB1932" s="567"/>
      <c r="CC1932" s="1006"/>
      <c r="CD1932" s="586"/>
      <c r="CE1932" s="586"/>
      <c r="CF1932" s="586"/>
      <c r="CG1932" s="1005"/>
      <c r="CH1932" s="561"/>
      <c r="CI1932" s="1006"/>
      <c r="CJ1932" s="586"/>
      <c r="CK1932" s="586"/>
      <c r="CL1932" s="586"/>
      <c r="CM1932" s="586"/>
      <c r="CN1932" s="586"/>
      <c r="CO1932" s="586"/>
      <c r="CP1932" s="1003"/>
      <c r="CQ1932" s="1003"/>
      <c r="CR1932" s="586"/>
      <c r="CS1932" s="586"/>
      <c r="CT1932" s="586"/>
      <c r="CU1932" s="563">
        <f t="shared" si="773"/>
        <v>0</v>
      </c>
      <c r="CV1932" s="563">
        <v>0</v>
      </c>
      <c r="CW1932" s="563">
        <v>0</v>
      </c>
      <c r="CX1932" s="1003"/>
      <c r="CY1932" s="1003"/>
      <c r="CZ1932" s="1003"/>
      <c r="DA1932" s="1003"/>
      <c r="DB1932" s="1003"/>
      <c r="DC1932" s="1003"/>
      <c r="DD1932" s="1003"/>
      <c r="DE1932" s="1003"/>
      <c r="DF1932" s="1003"/>
      <c r="DG1932" s="1003"/>
      <c r="DH1932" s="1003"/>
    </row>
    <row r="1933" s="548" customFormat="1" ht="31" customHeight="1" spans="1:113">
      <c r="A1933" s="1008">
        <v>46160</v>
      </c>
      <c r="B1933" s="628" t="s">
        <v>1922</v>
      </c>
      <c r="C1933" s="618" t="s">
        <v>278</v>
      </c>
      <c r="D1933" s="1009">
        <v>4500207783</v>
      </c>
      <c r="E1933" s="618" t="s">
        <v>5361</v>
      </c>
      <c r="F1933" s="687" t="s">
        <v>10698</v>
      </c>
      <c r="G1933" s="618" t="s">
        <v>6365</v>
      </c>
      <c r="H1933" s="618" t="s">
        <v>6126</v>
      </c>
      <c r="I1933" s="1010">
        <v>564</v>
      </c>
      <c r="J1933" s="618">
        <v>0</v>
      </c>
      <c r="K1933" s="618">
        <v>12</v>
      </c>
      <c r="L1933" s="1011">
        <f t="shared" si="777"/>
        <v>47</v>
      </c>
      <c r="M1933" s="1012">
        <v>46240</v>
      </c>
      <c r="N1933" s="1012">
        <v>46237</v>
      </c>
      <c r="O1933" s="773"/>
      <c r="P1933" s="618"/>
      <c r="Q1933" s="774"/>
      <c r="R1933" s="999" t="s">
        <v>463</v>
      </c>
      <c r="S1933" s="999" t="s">
        <v>104</v>
      </c>
      <c r="T1933" s="1013" t="s">
        <v>10699</v>
      </c>
      <c r="U1933" s="999"/>
      <c r="V1933" s="213"/>
      <c r="W1933" s="615"/>
      <c r="X1933" s="628" t="s">
        <v>10700</v>
      </c>
      <c r="Y1933" s="1014" t="s">
        <v>466</v>
      </c>
      <c r="Z1933" s="628">
        <v>2.2161</v>
      </c>
      <c r="AA1933" s="1014">
        <f t="shared" si="781"/>
        <v>1249.8804</v>
      </c>
      <c r="AC1933" s="697"/>
      <c r="AD1933" s="618" t="s">
        <v>6368</v>
      </c>
      <c r="AE1933" s="618" t="s">
        <v>82</v>
      </c>
      <c r="AF1933" s="618"/>
      <c r="AG1933" s="618"/>
      <c r="AH1933" s="628"/>
      <c r="AI1933" s="609">
        <v>564</v>
      </c>
      <c r="AJ1933" s="610">
        <f t="shared" si="776"/>
        <v>0</v>
      </c>
      <c r="AK1933" s="773"/>
      <c r="AL1933" s="939" t="s">
        <v>2368</v>
      </c>
      <c r="AM1933" s="618"/>
      <c r="AN1933" s="687"/>
      <c r="AO1933" s="554">
        <f>I1933*2</f>
        <v>1128</v>
      </c>
      <c r="AP1933" s="687"/>
      <c r="AQ1933" s="563"/>
      <c r="AR1933" s="1015"/>
      <c r="AS1933" s="563"/>
      <c r="AT1933" s="554">
        <f>I1933*2</f>
        <v>1128</v>
      </c>
      <c r="AU1933" s="554"/>
      <c r="AV1933" s="554">
        <f>I1933*2</f>
        <v>1128</v>
      </c>
      <c r="AW1933" s="687"/>
      <c r="AX1933" s="1016"/>
      <c r="AY1933" s="687"/>
      <c r="AZ1933" s="687"/>
      <c r="BA1933" s="687"/>
      <c r="BB1933" s="1017">
        <f t="shared" si="787"/>
        <v>47</v>
      </c>
      <c r="BC1933" s="687"/>
      <c r="BD1933" s="687"/>
      <c r="BE1933" s="687"/>
      <c r="BF1933" s="687"/>
      <c r="BH1933" s="687"/>
      <c r="BI1933" s="687"/>
      <c r="BJ1933" s="687"/>
      <c r="BK1933" s="687"/>
      <c r="BL1933" s="687"/>
      <c r="BM1933" s="551"/>
      <c r="BN1933" s="687"/>
      <c r="BO1933" s="687"/>
      <c r="BP1933" s="687"/>
      <c r="BQ1933" s="687"/>
      <c r="BR1933" s="687"/>
      <c r="BS1933" s="687"/>
      <c r="BT1933" s="687"/>
      <c r="BU1933" s="687"/>
      <c r="BV1933" s="687"/>
      <c r="BW1933" s="687"/>
      <c r="BX1933" s="687"/>
      <c r="BY1933" s="687"/>
      <c r="BZ1933" s="687"/>
      <c r="CA1933" s="1018"/>
      <c r="CB1933" s="567"/>
      <c r="CC1933" s="1019"/>
      <c r="CD1933" s="687"/>
      <c r="CE1933" s="687"/>
      <c r="CF1933" s="687"/>
      <c r="CG1933" s="687"/>
      <c r="CI1933" s="687"/>
      <c r="CJ1933" s="687"/>
      <c r="CK1933" s="687"/>
      <c r="CL1933" s="687"/>
      <c r="CM1933" s="687"/>
      <c r="CN1933" s="687"/>
      <c r="CO1933" s="687"/>
      <c r="CP1933" s="1020"/>
      <c r="CQ1933" s="1020"/>
      <c r="CR1933" s="554">
        <f>I1933</f>
        <v>564</v>
      </c>
      <c r="CS1933" s="554">
        <f>I1933</f>
        <v>564</v>
      </c>
      <c r="CT1933" s="554">
        <f>I1933</f>
        <v>564</v>
      </c>
      <c r="CU1933" s="554">
        <f t="shared" si="773"/>
        <v>0</v>
      </c>
      <c r="CV1933" s="554">
        <f>CK1933+CL1933+CM1933+CN1933+CO1933+CQ1933+CP1933</f>
        <v>0</v>
      </c>
      <c r="CW1933" s="554">
        <f>CI1933+CJ1933</f>
        <v>0</v>
      </c>
      <c r="CX1933" s="1021"/>
      <c r="CY1933" s="1021"/>
      <c r="CZ1933" s="1021"/>
      <c r="DA1933" s="1021"/>
      <c r="DB1933" s="1021"/>
      <c r="DC1933" s="1021"/>
      <c r="DD1933" s="1021"/>
      <c r="DE1933" s="1021"/>
      <c r="DF1933" s="1021"/>
      <c r="DG1933" s="1021"/>
      <c r="DH1933" s="1021"/>
    </row>
    <row r="1934" s="558" customFormat="1" ht="31" customHeight="1" spans="1:113">
      <c r="A1934" s="1022">
        <v>46171</v>
      </c>
      <c r="B1934" s="626" t="s">
        <v>4371</v>
      </c>
      <c r="C1934" s="939" t="s">
        <v>98</v>
      </c>
      <c r="D1934" s="563">
        <v>4500209901</v>
      </c>
      <c r="E1934" s="939">
        <v>7137241922</v>
      </c>
      <c r="F1934" s="563" t="s">
        <v>5451</v>
      </c>
      <c r="G1934" s="939" t="s">
        <v>10273</v>
      </c>
      <c r="H1934" s="939" t="s">
        <v>5003</v>
      </c>
      <c r="I1934" s="1023">
        <v>192</v>
      </c>
      <c r="J1934" s="939">
        <v>0</v>
      </c>
      <c r="K1934" s="1024">
        <v>24</v>
      </c>
      <c r="L1934" s="1025">
        <f t="shared" si="777"/>
        <v>8</v>
      </c>
      <c r="M1934" s="1026">
        <v>46244</v>
      </c>
      <c r="N1934" s="1027">
        <v>46240</v>
      </c>
      <c r="O1934" s="1028" t="s">
        <v>5452</v>
      </c>
      <c r="P1934" s="939"/>
      <c r="Q1934" s="999"/>
      <c r="R1934" s="999">
        <v>46162</v>
      </c>
      <c r="S1934" s="999" t="s">
        <v>104</v>
      </c>
      <c r="T1934" s="999" t="s">
        <v>10701</v>
      </c>
      <c r="U1934" s="1029"/>
      <c r="V1934" s="1029" t="s">
        <v>10276</v>
      </c>
      <c r="W1934" s="585"/>
      <c r="X1934" s="626" t="s">
        <v>10702</v>
      </c>
      <c r="Y1934" s="1001" t="s">
        <v>4378</v>
      </c>
      <c r="Z1934" s="626">
        <v>120.6063</v>
      </c>
      <c r="AA1934" s="1001">
        <f>Z1934*L1934</f>
        <v>964.8504</v>
      </c>
      <c r="AC1934" s="1030"/>
      <c r="AD1934" s="560" t="s">
        <v>5008</v>
      </c>
      <c r="AE1934" s="939" t="s">
        <v>82</v>
      </c>
      <c r="AF1934" s="939"/>
      <c r="AG1934" s="939"/>
      <c r="AH1934" s="626"/>
      <c r="AI1934" s="609">
        <v>192</v>
      </c>
      <c r="AJ1934" s="939">
        <f t="shared" si="776"/>
        <v>0</v>
      </c>
      <c r="AK1934" s="1031"/>
      <c r="AL1934" s="939" t="s">
        <v>2368</v>
      </c>
      <c r="AM1934" s="939"/>
      <c r="AN1934" s="939">
        <f>I1934*2</f>
        <v>384</v>
      </c>
      <c r="AO1934" s="563"/>
      <c r="AP1934" s="563"/>
      <c r="AQ1934" s="563"/>
      <c r="AR1934" s="1015"/>
      <c r="AS1934" s="563"/>
      <c r="AT1934" s="563"/>
      <c r="AU1934" s="563">
        <f>I1934*2</f>
        <v>384</v>
      </c>
      <c r="AV1934" s="563"/>
      <c r="AW1934" s="563"/>
      <c r="AX1934" s="1004"/>
      <c r="AY1934" s="563"/>
      <c r="AZ1934" s="563"/>
      <c r="BA1934" s="563"/>
      <c r="BB1934" s="1017">
        <f t="shared" si="787"/>
        <v>16</v>
      </c>
      <c r="BC1934" s="563"/>
      <c r="BD1934" s="563"/>
      <c r="BE1934" s="563"/>
      <c r="BF1934" s="1032"/>
      <c r="BG1934" s="560">
        <f>AN1934</f>
        <v>384</v>
      </c>
      <c r="BH1934" s="1033"/>
      <c r="BI1934" s="563"/>
      <c r="BJ1934" s="563"/>
      <c r="BK1934" s="563"/>
      <c r="BL1934" s="563"/>
      <c r="BM1934" s="563"/>
      <c r="BN1934" s="563"/>
      <c r="BO1934" s="563"/>
      <c r="BP1934" s="563"/>
      <c r="BQ1934" s="563"/>
      <c r="BR1934" s="563"/>
      <c r="BS1934" s="563"/>
      <c r="BT1934" s="563"/>
      <c r="BU1934" s="563"/>
      <c r="BV1934" s="563"/>
      <c r="BW1934" s="563"/>
      <c r="BX1934" s="563"/>
      <c r="BY1934" s="563">
        <f>I1934</f>
        <v>192</v>
      </c>
      <c r="BZ1934" s="563"/>
      <c r="CA1934" s="1032"/>
      <c r="CB1934" s="560"/>
      <c r="CC1934" s="1033"/>
      <c r="CD1934" s="563"/>
      <c r="CE1934" s="563"/>
      <c r="CF1934" s="563"/>
      <c r="CG1934" s="1032"/>
      <c r="CH1934" s="560">
        <f>L1934</f>
        <v>8</v>
      </c>
      <c r="CI1934" s="1033"/>
      <c r="CJ1934" s="563"/>
      <c r="CK1934" s="563"/>
      <c r="CL1934" s="563"/>
      <c r="CM1934" s="563"/>
      <c r="CN1934" s="563"/>
      <c r="CO1934" s="563"/>
      <c r="CP1934" s="1015"/>
      <c r="CQ1934" s="1015"/>
      <c r="CR1934" s="563"/>
      <c r="CS1934" s="563"/>
      <c r="CT1934" s="563"/>
      <c r="CU1934" s="563">
        <f t="shared" si="773"/>
        <v>0</v>
      </c>
      <c r="CV1934" s="563">
        <f>CK1934+CL1934+CM1934+CN1934+CO1934+CQ1934+CP1934</f>
        <v>0</v>
      </c>
      <c r="CW1934" s="563">
        <f>CI1934+CJ1934</f>
        <v>0</v>
      </c>
      <c r="CX1934" s="1015"/>
      <c r="CY1934" s="1015"/>
      <c r="CZ1934" s="1015"/>
      <c r="DA1934" s="1015"/>
      <c r="DB1934" s="1015"/>
      <c r="DC1934" s="1015"/>
      <c r="DD1934" s="1015"/>
      <c r="DE1934" s="1015"/>
      <c r="DF1934" s="1015"/>
      <c r="DG1934" s="1015"/>
      <c r="DH1934" s="1015"/>
    </row>
    <row r="1935" s="558" customFormat="1" ht="31" customHeight="1" spans="1:113">
      <c r="A1935" s="1022">
        <v>46171</v>
      </c>
      <c r="B1935" s="626" t="s">
        <v>4371</v>
      </c>
      <c r="C1935" s="939" t="s">
        <v>98</v>
      </c>
      <c r="D1935" s="563">
        <v>4500209901</v>
      </c>
      <c r="E1935" s="939">
        <v>7137241923</v>
      </c>
      <c r="F1935" s="563" t="s">
        <v>5457</v>
      </c>
      <c r="G1935" s="939" t="s">
        <v>10273</v>
      </c>
      <c r="H1935" s="939" t="s">
        <v>5003</v>
      </c>
      <c r="I1935" s="1023">
        <v>216</v>
      </c>
      <c r="J1935" s="939">
        <v>0</v>
      </c>
      <c r="K1935" s="1024">
        <v>24</v>
      </c>
      <c r="L1935" s="1025">
        <f t="shared" si="777"/>
        <v>9</v>
      </c>
      <c r="M1935" s="1026">
        <v>46244</v>
      </c>
      <c r="N1935" s="1027">
        <v>46240</v>
      </c>
      <c r="O1935" s="1028" t="s">
        <v>5452</v>
      </c>
      <c r="P1935" s="939"/>
      <c r="Q1935" s="999"/>
      <c r="R1935" s="999">
        <v>46162</v>
      </c>
      <c r="S1935" s="999" t="s">
        <v>104</v>
      </c>
      <c r="T1935" s="999" t="s">
        <v>10701</v>
      </c>
      <c r="U1935" s="999"/>
      <c r="V1935" s="999" t="s">
        <v>10276</v>
      </c>
      <c r="W1935" s="585"/>
      <c r="X1935" s="626" t="s">
        <v>10702</v>
      </c>
      <c r="Y1935" s="1001" t="s">
        <v>4378</v>
      </c>
      <c r="Z1935" s="626">
        <v>120.6056</v>
      </c>
      <c r="AA1935" s="1001">
        <f>Z1935*L1935</f>
        <v>1085.4504</v>
      </c>
      <c r="AC1935" s="1030"/>
      <c r="AD1935" s="560" t="s">
        <v>5008</v>
      </c>
      <c r="AE1935" s="939" t="s">
        <v>82</v>
      </c>
      <c r="AF1935" s="939"/>
      <c r="AG1935" s="939"/>
      <c r="AH1935" s="626"/>
      <c r="AI1935" s="609">
        <v>216</v>
      </c>
      <c r="AJ1935" s="939">
        <f t="shared" si="776"/>
        <v>0</v>
      </c>
      <c r="AK1935" s="1031"/>
      <c r="AL1935" s="939" t="s">
        <v>2368</v>
      </c>
      <c r="AM1935" s="939"/>
      <c r="AN1935" s="939">
        <f>I1935*2</f>
        <v>432</v>
      </c>
      <c r="AO1935" s="563"/>
      <c r="AP1935" s="563"/>
      <c r="AQ1935" s="563"/>
      <c r="AR1935" s="1015"/>
      <c r="AS1935" s="563"/>
      <c r="AT1935" s="563"/>
      <c r="AU1935" s="563">
        <f>I1935*2</f>
        <v>432</v>
      </c>
      <c r="AV1935" s="563"/>
      <c r="AW1935" s="563"/>
      <c r="AX1935" s="1004"/>
      <c r="AY1935" s="563"/>
      <c r="AZ1935" s="563"/>
      <c r="BA1935" s="563"/>
      <c r="BB1935" s="1017">
        <f t="shared" si="787"/>
        <v>18</v>
      </c>
      <c r="BC1935" s="563"/>
      <c r="BD1935" s="563"/>
      <c r="BE1935" s="563"/>
      <c r="BF1935" s="1032"/>
      <c r="BG1935" s="560">
        <f>AN1935</f>
        <v>432</v>
      </c>
      <c r="BH1935" s="1033"/>
      <c r="BI1935" s="563"/>
      <c r="BJ1935" s="563"/>
      <c r="BK1935" s="563"/>
      <c r="BL1935" s="563"/>
      <c r="BM1935" s="563"/>
      <c r="BN1935" s="563"/>
      <c r="BO1935" s="563"/>
      <c r="BP1935" s="563"/>
      <c r="BQ1935" s="563"/>
      <c r="BR1935" s="563"/>
      <c r="BS1935" s="563"/>
      <c r="BT1935" s="563"/>
      <c r="BU1935" s="563"/>
      <c r="BV1935" s="563"/>
      <c r="BW1935" s="563"/>
      <c r="BX1935" s="563"/>
      <c r="BY1935" s="563">
        <f>I1935</f>
        <v>216</v>
      </c>
      <c r="BZ1935" s="563"/>
      <c r="CA1935" s="1032"/>
      <c r="CB1935" s="560"/>
      <c r="CC1935" s="1033"/>
      <c r="CD1935" s="563"/>
      <c r="CE1935" s="563"/>
      <c r="CF1935" s="563"/>
      <c r="CG1935" s="1032"/>
      <c r="CH1935" s="560">
        <f>L1935</f>
        <v>9</v>
      </c>
      <c r="CI1935" s="1033"/>
      <c r="CJ1935" s="563"/>
      <c r="CK1935" s="563"/>
      <c r="CL1935" s="563"/>
      <c r="CM1935" s="563"/>
      <c r="CN1935" s="563"/>
      <c r="CO1935" s="563"/>
      <c r="CP1935" s="1015"/>
      <c r="CQ1935" s="1015"/>
      <c r="CR1935" s="563"/>
      <c r="CS1935" s="563"/>
      <c r="CT1935" s="563"/>
      <c r="CU1935" s="563">
        <f t="shared" si="773"/>
        <v>0</v>
      </c>
      <c r="CV1935" s="563">
        <f>CK1935+CL1935+CM1935+CN1935+CO1935+CQ1935+CP1935</f>
        <v>0</v>
      </c>
      <c r="CW1935" s="563">
        <f>CI1935+CJ1935</f>
        <v>0</v>
      </c>
      <c r="CX1935" s="1015"/>
      <c r="CY1935" s="1015"/>
      <c r="CZ1935" s="1015"/>
      <c r="DA1935" s="1015"/>
      <c r="DB1935" s="1015"/>
      <c r="DC1935" s="1015"/>
      <c r="DD1935" s="1015"/>
      <c r="DE1935" s="1015"/>
      <c r="DF1935" s="1015"/>
      <c r="DG1935" s="1015"/>
      <c r="DH1935" s="1015"/>
    </row>
    <row r="1936" s="558" customFormat="1" ht="31" customHeight="1" spans="1:113">
      <c r="A1936" s="1034">
        <v>46195</v>
      </c>
      <c r="B1936" s="603" t="s">
        <v>4025</v>
      </c>
      <c r="C1936" s="1035" t="s">
        <v>399</v>
      </c>
      <c r="D1936" s="560">
        <v>4500213119</v>
      </c>
      <c r="E1936" s="1035" t="s">
        <v>5469</v>
      </c>
      <c r="F1936" s="560" t="s">
        <v>5470</v>
      </c>
      <c r="G1936" s="1035" t="s">
        <v>6337</v>
      </c>
      <c r="H1936" s="1035" t="s">
        <v>477</v>
      </c>
      <c r="I1936" s="1036">
        <v>2034</v>
      </c>
      <c r="J1936" s="1035">
        <v>0</v>
      </c>
      <c r="K1936" s="1035">
        <v>6</v>
      </c>
      <c r="L1936" s="1025">
        <f t="shared" ref="L1933:L1946" si="788">I1936/K1936</f>
        <v>339</v>
      </c>
      <c r="M1936" s="1037">
        <v>46246</v>
      </c>
      <c r="N1936" s="1037">
        <v>46242</v>
      </c>
      <c r="O1936" s="1038"/>
      <c r="P1936" s="1035" t="s">
        <v>10703</v>
      </c>
      <c r="Q1936" s="1039">
        <v>46254</v>
      </c>
      <c r="R1936" s="1039" t="s">
        <v>10704</v>
      </c>
      <c r="S1936" s="999" t="s">
        <v>104</v>
      </c>
      <c r="T1936" s="1040" t="s">
        <v>10705</v>
      </c>
      <c r="U1936" s="1040"/>
      <c r="V1936" s="213"/>
      <c r="W1936" s="603"/>
      <c r="X1936" s="1041" t="s">
        <v>10706</v>
      </c>
      <c r="Y1936" s="1042" t="s">
        <v>5473</v>
      </c>
      <c r="Z1936" s="603">
        <v>7.1979</v>
      </c>
      <c r="AA1936" s="1042">
        <f t="shared" ref="AA1933:AA1946" si="789">Z1936*I1936</f>
        <v>14640.5286</v>
      </c>
      <c r="AB1936" s="603"/>
      <c r="AC1936" s="1030"/>
      <c r="AD1936" s="939" t="s">
        <v>480</v>
      </c>
      <c r="AE1936" s="1035" t="s">
        <v>82</v>
      </c>
      <c r="AF1936" s="1035"/>
      <c r="AG1936" s="1035"/>
      <c r="AH1936" s="603"/>
      <c r="AI1936" s="609">
        <f>1998+36</f>
        <v>2034</v>
      </c>
      <c r="AJ1936" s="939">
        <f t="shared" si="776"/>
        <v>0</v>
      </c>
      <c r="AK1936" s="1043"/>
      <c r="AL1936" s="1035" t="s">
        <v>2368</v>
      </c>
      <c r="AM1936" s="1035"/>
      <c r="AN1936" s="1035"/>
      <c r="AO1936" s="560">
        <f>I1936*2</f>
        <v>4068</v>
      </c>
      <c r="AP1936" s="560"/>
      <c r="AQ1936" s="560"/>
      <c r="AR1936" s="1044"/>
      <c r="AS1936" s="560"/>
      <c r="AT1936" s="560">
        <f>I1936*2</f>
        <v>4068</v>
      </c>
      <c r="AU1936" s="560"/>
      <c r="AV1936" s="563">
        <f>I1936*2</f>
        <v>4068</v>
      </c>
      <c r="AW1936" s="560"/>
      <c r="AX1936" s="560"/>
      <c r="AY1936" s="560"/>
      <c r="AZ1936" s="560"/>
      <c r="BA1936" s="1045"/>
      <c r="BB1936" s="1017">
        <f t="shared" si="787"/>
        <v>169.5</v>
      </c>
      <c r="BC1936" s="560"/>
      <c r="BD1936" s="560"/>
      <c r="BE1936" s="560"/>
      <c r="BF1936" s="560"/>
      <c r="BG1936" s="560"/>
      <c r="BH1936" s="560"/>
      <c r="BI1936" s="560"/>
      <c r="BJ1936" s="560"/>
      <c r="BK1936" s="560"/>
      <c r="BL1936" s="560"/>
      <c r="BM1936" s="560"/>
      <c r="BN1936" s="560"/>
      <c r="BO1936" s="560"/>
      <c r="BP1936" s="560"/>
      <c r="BQ1936" s="560"/>
      <c r="BR1936" s="560"/>
      <c r="BS1936" s="560"/>
      <c r="BT1936" s="560"/>
      <c r="BU1936" s="560"/>
      <c r="BV1936" s="560"/>
      <c r="BW1936" s="560"/>
      <c r="BX1936" s="560"/>
      <c r="BY1936" s="560"/>
      <c r="BZ1936" s="560"/>
      <c r="CA1936" s="1046"/>
      <c r="CB1936" s="560"/>
      <c r="CC1936" s="1047"/>
      <c r="CD1936" s="560">
        <f>I1936</f>
        <v>2034</v>
      </c>
      <c r="CE1936" s="560"/>
      <c r="CF1936" s="560"/>
      <c r="CG1936" s="560"/>
      <c r="CH1936" s="560"/>
      <c r="CI1936" s="560"/>
      <c r="CJ1936" s="560"/>
      <c r="CK1936" s="560"/>
      <c r="CL1936" s="560"/>
      <c r="CM1936" s="560"/>
      <c r="CN1936" s="560"/>
      <c r="CO1936" s="560"/>
      <c r="CP1936" s="1044"/>
      <c r="CQ1936" s="1044"/>
      <c r="CR1936" s="560"/>
      <c r="CS1936" s="560"/>
      <c r="CT1936" s="560"/>
      <c r="CU1936" s="563">
        <f t="shared" si="773"/>
        <v>0</v>
      </c>
      <c r="CV1936" s="563">
        <v>0</v>
      </c>
      <c r="CW1936" s="563">
        <v>0</v>
      </c>
      <c r="CX1936" s="1044"/>
      <c r="CY1936" s="1044"/>
      <c r="CZ1936" s="1044"/>
      <c r="DA1936" s="1044"/>
      <c r="DB1936" s="1044"/>
      <c r="DC1936" s="1044"/>
      <c r="DD1936" s="1044"/>
      <c r="DE1936" s="1044"/>
      <c r="DF1936" s="1044"/>
      <c r="DG1936" s="1044"/>
      <c r="DH1936" s="1044"/>
    </row>
    <row r="1937" s="558" customFormat="1" ht="31" customHeight="1" spans="1:113">
      <c r="A1937" s="1034">
        <v>46195</v>
      </c>
      <c r="B1937" s="603" t="s">
        <v>4025</v>
      </c>
      <c r="C1937" s="1035" t="s">
        <v>278</v>
      </c>
      <c r="D1937" s="560">
        <v>4500213119</v>
      </c>
      <c r="E1937" s="1035" t="s">
        <v>5474</v>
      </c>
      <c r="F1937" s="560" t="s">
        <v>5475</v>
      </c>
      <c r="G1937" s="1035" t="s">
        <v>6337</v>
      </c>
      <c r="H1937" s="1035" t="s">
        <v>477</v>
      </c>
      <c r="I1937" s="1036">
        <v>1020</v>
      </c>
      <c r="J1937" s="1035">
        <v>0</v>
      </c>
      <c r="K1937" s="1035">
        <v>6</v>
      </c>
      <c r="L1937" s="1025">
        <f t="shared" si="788"/>
        <v>170</v>
      </c>
      <c r="M1937" s="1037">
        <v>46246</v>
      </c>
      <c r="N1937" s="1037">
        <v>46242</v>
      </c>
      <c r="O1937" s="1043"/>
      <c r="P1937" s="1035"/>
      <c r="Q1937" s="1039">
        <v>46253</v>
      </c>
      <c r="R1937" s="1039" t="s">
        <v>10704</v>
      </c>
      <c r="S1937" s="999" t="s">
        <v>104</v>
      </c>
      <c r="T1937" s="1040" t="s">
        <v>10705</v>
      </c>
      <c r="U1937" s="999"/>
      <c r="V1937" s="213"/>
      <c r="W1937" s="603"/>
      <c r="X1937" s="1041" t="s">
        <v>10706</v>
      </c>
      <c r="Y1937" s="1042" t="s">
        <v>5473</v>
      </c>
      <c r="Z1937" s="603">
        <v>7.2023</v>
      </c>
      <c r="AA1937" s="1042">
        <f t="shared" si="789"/>
        <v>7346.346</v>
      </c>
      <c r="AB1937" s="603"/>
      <c r="AC1937" s="1030"/>
      <c r="AD1937" s="939" t="s">
        <v>480</v>
      </c>
      <c r="AE1937" s="1035" t="s">
        <v>82</v>
      </c>
      <c r="AF1937" s="1035"/>
      <c r="AG1937" s="1035"/>
      <c r="AH1937" s="603"/>
      <c r="AI1937" s="609">
        <v>1020</v>
      </c>
      <c r="AJ1937" s="939">
        <f t="shared" si="776"/>
        <v>0</v>
      </c>
      <c r="AK1937" s="1043"/>
      <c r="AL1937" s="1035" t="s">
        <v>2368</v>
      </c>
      <c r="AM1937" s="1035"/>
      <c r="AN1937" s="1035"/>
      <c r="AO1937" s="560">
        <f>I1937*2</f>
        <v>2040</v>
      </c>
      <c r="AP1937" s="560"/>
      <c r="AQ1937" s="560"/>
      <c r="AR1937" s="1044"/>
      <c r="AS1937" s="560"/>
      <c r="AT1937" s="560">
        <f>I1937*2</f>
        <v>2040</v>
      </c>
      <c r="AU1937" s="560"/>
      <c r="AV1937" s="563">
        <f>I1937*2</f>
        <v>2040</v>
      </c>
      <c r="AW1937" s="560"/>
      <c r="AX1937" s="560"/>
      <c r="AY1937" s="560"/>
      <c r="AZ1937" s="560"/>
      <c r="BA1937" s="1045"/>
      <c r="BB1937" s="1017">
        <f t="shared" si="787"/>
        <v>85</v>
      </c>
      <c r="BC1937" s="560"/>
      <c r="BD1937" s="560"/>
      <c r="BE1937" s="560"/>
      <c r="BF1937" s="560"/>
      <c r="BG1937" s="560"/>
      <c r="BH1937" s="560"/>
      <c r="BI1937" s="560"/>
      <c r="BJ1937" s="560"/>
      <c r="BK1937" s="560"/>
      <c r="BL1937" s="560"/>
      <c r="BM1937" s="560"/>
      <c r="BN1937" s="560"/>
      <c r="BO1937" s="560"/>
      <c r="BP1937" s="560"/>
      <c r="BQ1937" s="560"/>
      <c r="BR1937" s="560"/>
      <c r="BS1937" s="560"/>
      <c r="BT1937" s="560"/>
      <c r="BU1937" s="560"/>
      <c r="BV1937" s="560"/>
      <c r="BW1937" s="560"/>
      <c r="BX1937" s="560"/>
      <c r="BY1937" s="560"/>
      <c r="BZ1937" s="560"/>
      <c r="CA1937" s="1046"/>
      <c r="CB1937" s="560"/>
      <c r="CC1937" s="1047"/>
      <c r="CD1937" s="560">
        <f>I1937</f>
        <v>1020</v>
      </c>
      <c r="CE1937" s="560"/>
      <c r="CF1937" s="560"/>
      <c r="CG1937" s="560"/>
      <c r="CH1937" s="560"/>
      <c r="CI1937" s="560"/>
      <c r="CJ1937" s="560"/>
      <c r="CK1937" s="560"/>
      <c r="CL1937" s="560"/>
      <c r="CM1937" s="560"/>
      <c r="CN1937" s="560"/>
      <c r="CO1937" s="560"/>
      <c r="CP1937" s="1044"/>
      <c r="CQ1937" s="1044"/>
      <c r="CR1937" s="560"/>
      <c r="CS1937" s="560"/>
      <c r="CT1937" s="560"/>
      <c r="CU1937" s="563">
        <f t="shared" si="773"/>
        <v>0</v>
      </c>
      <c r="CV1937" s="563">
        <v>0</v>
      </c>
      <c r="CW1937" s="563">
        <v>0</v>
      </c>
      <c r="CX1937" s="1044"/>
      <c r="CY1937" s="1044"/>
      <c r="CZ1937" s="1044"/>
      <c r="DA1937" s="1044"/>
      <c r="DB1937" s="1044"/>
      <c r="DC1937" s="1044"/>
      <c r="DD1937" s="1044"/>
      <c r="DE1937" s="1044"/>
      <c r="DF1937" s="1044"/>
      <c r="DG1937" s="1044"/>
      <c r="DH1937" s="1044"/>
    </row>
    <row r="1938" s="558" customFormat="1" ht="31" customHeight="1" spans="1:113">
      <c r="A1938" s="1034">
        <v>46195</v>
      </c>
      <c r="B1938" s="603" t="s">
        <v>4025</v>
      </c>
      <c r="C1938" s="1035" t="s">
        <v>411</v>
      </c>
      <c r="D1938" s="560">
        <v>4500213119</v>
      </c>
      <c r="E1938" s="1035" t="s">
        <v>5476</v>
      </c>
      <c r="F1938" s="560" t="s">
        <v>5477</v>
      </c>
      <c r="G1938" s="1035" t="s">
        <v>6337</v>
      </c>
      <c r="H1938" s="1035" t="s">
        <v>477</v>
      </c>
      <c r="I1938" s="1036">
        <v>504</v>
      </c>
      <c r="J1938" s="1035">
        <v>0</v>
      </c>
      <c r="K1938" s="1035">
        <v>6</v>
      </c>
      <c r="L1938" s="1025">
        <f t="shared" si="788"/>
        <v>84</v>
      </c>
      <c r="M1938" s="1037">
        <v>46246</v>
      </c>
      <c r="N1938" s="1037">
        <v>46242</v>
      </c>
      <c r="P1938" s="1035"/>
      <c r="Q1938" s="1039"/>
      <c r="R1938" s="1039" t="s">
        <v>10704</v>
      </c>
      <c r="S1938" s="999" t="s">
        <v>104</v>
      </c>
      <c r="T1938" s="1040" t="s">
        <v>10705</v>
      </c>
      <c r="U1938" s="999"/>
      <c r="V1938" s="213"/>
      <c r="W1938" s="603"/>
      <c r="X1938" s="1041" t="s">
        <v>10706</v>
      </c>
      <c r="Y1938" s="1042" t="s">
        <v>5473</v>
      </c>
      <c r="Z1938" s="603">
        <v>7.5493</v>
      </c>
      <c r="AA1938" s="1042">
        <f t="shared" si="789"/>
        <v>3804.8472</v>
      </c>
      <c r="AB1938" s="603"/>
      <c r="AC1938" s="1030"/>
      <c r="AD1938" s="939" t="s">
        <v>480</v>
      </c>
      <c r="AE1938" s="1035" t="s">
        <v>82</v>
      </c>
      <c r="AF1938" s="1035"/>
      <c r="AG1938" s="1035"/>
      <c r="AH1938" s="603"/>
      <c r="AI1938" s="609">
        <v>504</v>
      </c>
      <c r="AJ1938" s="939">
        <f t="shared" si="776"/>
        <v>0</v>
      </c>
      <c r="AK1938" s="1043"/>
      <c r="AL1938" s="1035" t="s">
        <v>2368</v>
      </c>
      <c r="AM1938" s="1035"/>
      <c r="AN1938" s="1035"/>
      <c r="AO1938" s="560">
        <f>I1938*2</f>
        <v>1008</v>
      </c>
      <c r="AP1938" s="560"/>
      <c r="AQ1938" s="560"/>
      <c r="AR1938" s="1044"/>
      <c r="AS1938" s="560"/>
      <c r="AT1938" s="560">
        <f>I1938*2</f>
        <v>1008</v>
      </c>
      <c r="AU1938" s="560"/>
      <c r="AV1938" s="563">
        <f>I1938*2</f>
        <v>1008</v>
      </c>
      <c r="AW1938" s="560"/>
      <c r="AX1938" s="560"/>
      <c r="AY1938" s="560"/>
      <c r="AZ1938" s="560"/>
      <c r="BA1938" s="1045"/>
      <c r="BB1938" s="1017">
        <f t="shared" si="787"/>
        <v>42</v>
      </c>
      <c r="BC1938" s="560"/>
      <c r="BD1938" s="560"/>
      <c r="BE1938" s="560"/>
      <c r="BF1938" s="560"/>
      <c r="BG1938" s="560"/>
      <c r="BH1938" s="560"/>
      <c r="BI1938" s="560"/>
      <c r="BJ1938" s="560"/>
      <c r="BK1938" s="560"/>
      <c r="BL1938" s="560"/>
      <c r="BM1938" s="560"/>
      <c r="BN1938" s="560"/>
      <c r="BO1938" s="560"/>
      <c r="BP1938" s="560"/>
      <c r="BQ1938" s="560"/>
      <c r="BR1938" s="560"/>
      <c r="BS1938" s="560"/>
      <c r="BT1938" s="560"/>
      <c r="BU1938" s="560"/>
      <c r="BV1938" s="560"/>
      <c r="BW1938" s="560"/>
      <c r="BX1938" s="560"/>
      <c r="BY1938" s="560"/>
      <c r="BZ1938" s="560"/>
      <c r="CA1938" s="1046"/>
      <c r="CB1938" s="560"/>
      <c r="CC1938" s="1047"/>
      <c r="CD1938" s="560">
        <f>I1938</f>
        <v>504</v>
      </c>
      <c r="CE1938" s="560"/>
      <c r="CF1938" s="560"/>
      <c r="CG1938" s="560"/>
      <c r="CH1938" s="560"/>
      <c r="CI1938" s="560"/>
      <c r="CJ1938" s="560"/>
      <c r="CK1938" s="560"/>
      <c r="CL1938" s="560"/>
      <c r="CM1938" s="560"/>
      <c r="CN1938" s="560"/>
      <c r="CO1938" s="560"/>
      <c r="CP1938" s="1044"/>
      <c r="CQ1938" s="1044"/>
      <c r="CR1938" s="560"/>
      <c r="CS1938" s="560"/>
      <c r="CT1938" s="560"/>
      <c r="CU1938" s="563">
        <f t="shared" si="773"/>
        <v>0</v>
      </c>
      <c r="CV1938" s="563">
        <v>0</v>
      </c>
      <c r="CW1938" s="563">
        <v>0</v>
      </c>
      <c r="CX1938" s="1044"/>
      <c r="CY1938" s="1044"/>
      <c r="CZ1938" s="1044"/>
      <c r="DA1938" s="1044"/>
      <c r="DB1938" s="1044"/>
      <c r="DC1938" s="1044"/>
      <c r="DD1938" s="1044"/>
      <c r="DE1938" s="1044"/>
      <c r="DF1938" s="1044"/>
      <c r="DG1938" s="1044"/>
      <c r="DH1938" s="1044"/>
    </row>
    <row r="1939" s="558" customFormat="1" ht="31" customHeight="1" spans="1:113">
      <c r="A1939" s="991">
        <v>46198</v>
      </c>
      <c r="B1939" s="601" t="s">
        <v>1503</v>
      </c>
      <c r="C1939" s="992" t="s">
        <v>98</v>
      </c>
      <c r="D1939" s="993">
        <v>4500213825</v>
      </c>
      <c r="E1939" s="992" t="s">
        <v>10707</v>
      </c>
      <c r="F1939" s="586" t="s">
        <v>10708</v>
      </c>
      <c r="G1939" s="992" t="s">
        <v>6787</v>
      </c>
      <c r="H1939" s="939" t="s">
        <v>6126</v>
      </c>
      <c r="I1939" s="995">
        <v>732</v>
      </c>
      <c r="J1939" s="992">
        <v>0</v>
      </c>
      <c r="K1939" s="996">
        <v>12</v>
      </c>
      <c r="L1939" s="997">
        <f t="shared" si="788"/>
        <v>61</v>
      </c>
      <c r="M1939" s="998">
        <v>46247</v>
      </c>
      <c r="N1939" s="1048">
        <v>46247</v>
      </c>
      <c r="O1939" s="994"/>
      <c r="P1939" s="992"/>
      <c r="Q1939" s="584"/>
      <c r="R1939" s="584">
        <v>46198</v>
      </c>
      <c r="S1939" s="999" t="s">
        <v>104</v>
      </c>
      <c r="T1939" s="584" t="s">
        <v>10709</v>
      </c>
      <c r="U1939" s="584"/>
      <c r="V1939" s="584"/>
      <c r="W1939" s="585"/>
      <c r="X1939" s="601" t="s">
        <v>10710</v>
      </c>
      <c r="Y1939" s="1000" t="s">
        <v>125</v>
      </c>
      <c r="Z1939" s="601">
        <v>1.3899</v>
      </c>
      <c r="AA1939" s="1000">
        <f t="shared" si="789"/>
        <v>1017.4068</v>
      </c>
      <c r="AC1939" s="1002"/>
      <c r="AD1939" s="939" t="s">
        <v>8079</v>
      </c>
      <c r="AE1939" s="992" t="s">
        <v>82</v>
      </c>
      <c r="AF1939" s="992"/>
      <c r="AG1939" s="992"/>
      <c r="AH1939" s="601"/>
      <c r="AI1939" s="609">
        <v>732</v>
      </c>
      <c r="AJ1939" s="939">
        <f t="shared" si="776"/>
        <v>0</v>
      </c>
      <c r="AK1939" s="994"/>
      <c r="AL1939" s="992"/>
      <c r="AM1939" s="992"/>
      <c r="AN1939" s="992">
        <f>I1939*2</f>
        <v>1464</v>
      </c>
      <c r="AO1939" s="586"/>
      <c r="AP1939" s="586"/>
      <c r="AQ1939" s="563">
        <f>I1939*2</f>
        <v>1464</v>
      </c>
      <c r="AR1939" s="1003"/>
      <c r="AS1939" s="586"/>
      <c r="AT1939" s="586"/>
      <c r="AU1939" s="563">
        <f>I1939*2</f>
        <v>1464</v>
      </c>
      <c r="AV1939" s="586"/>
      <c r="AW1939" s="586"/>
      <c r="AX1939" s="1049"/>
      <c r="AY1939" s="586"/>
      <c r="AZ1939" s="586"/>
      <c r="BA1939" s="586"/>
      <c r="BB1939" s="1017">
        <f t="shared" si="787"/>
        <v>61</v>
      </c>
      <c r="BC1939" s="586"/>
      <c r="BD1939" s="586"/>
      <c r="BE1939" s="586"/>
      <c r="BF1939" s="1005"/>
      <c r="BG1939" s="561"/>
      <c r="BH1939" s="1006"/>
      <c r="BI1939" s="586"/>
      <c r="BJ1939" s="586"/>
      <c r="BK1939" s="586"/>
      <c r="BL1939" s="586"/>
      <c r="BM1939" s="586"/>
      <c r="BN1939" s="586"/>
      <c r="BO1939" s="586"/>
      <c r="BP1939" s="586"/>
      <c r="BQ1939" s="586"/>
      <c r="BR1939" s="586"/>
      <c r="BS1939" s="586"/>
      <c r="BT1939" s="586"/>
      <c r="BU1939" s="586"/>
      <c r="BV1939" s="586"/>
      <c r="BW1939" s="586"/>
      <c r="BX1939" s="586"/>
      <c r="BY1939" s="586"/>
      <c r="BZ1939" s="586"/>
      <c r="CA1939" s="1007"/>
      <c r="CB1939" s="560"/>
      <c r="CC1939" s="1006"/>
      <c r="CD1939" s="586"/>
      <c r="CE1939" s="586"/>
      <c r="CF1939" s="586"/>
      <c r="CG1939" s="1005"/>
      <c r="CH1939" s="561"/>
      <c r="CI1939" s="1006"/>
      <c r="CJ1939" s="586"/>
      <c r="CK1939" s="586"/>
      <c r="CL1939" s="586"/>
      <c r="CM1939" s="586"/>
      <c r="CN1939" s="586"/>
      <c r="CO1939" s="586"/>
      <c r="CP1939" s="1003"/>
      <c r="CQ1939" s="1003"/>
      <c r="CR1939" s="563">
        <f>I1939</f>
        <v>732</v>
      </c>
      <c r="CS1939" s="563">
        <f>I1939</f>
        <v>732</v>
      </c>
      <c r="CT1939" s="563">
        <f>I1939</f>
        <v>732</v>
      </c>
      <c r="CU1939" s="563">
        <f t="shared" si="773"/>
        <v>0</v>
      </c>
      <c r="CV1939" s="563">
        <v>0</v>
      </c>
      <c r="CW1939" s="563">
        <v>0</v>
      </c>
      <c r="CX1939" s="1003"/>
      <c r="CY1939" s="1003"/>
      <c r="CZ1939" s="1003"/>
      <c r="DA1939" s="1003"/>
      <c r="DB1939" s="1003"/>
      <c r="DC1939" s="1003"/>
      <c r="DD1939" s="1003"/>
      <c r="DE1939" s="1003"/>
      <c r="DF1939" s="1003"/>
      <c r="DG1939" s="1003"/>
      <c r="DH1939" s="1003"/>
    </row>
    <row r="1940" s="558" customFormat="1" ht="31" customHeight="1" spans="1:113">
      <c r="A1940" s="991">
        <v>46198</v>
      </c>
      <c r="B1940" s="601" t="s">
        <v>1503</v>
      </c>
      <c r="C1940" s="992" t="s">
        <v>98</v>
      </c>
      <c r="D1940" s="993">
        <v>4500213723</v>
      </c>
      <c r="E1940" s="992" t="s">
        <v>10711</v>
      </c>
      <c r="F1940" s="586" t="s">
        <v>10712</v>
      </c>
      <c r="G1940" s="992" t="s">
        <v>6787</v>
      </c>
      <c r="H1940" s="939" t="s">
        <v>6126</v>
      </c>
      <c r="I1940" s="995">
        <v>1176</v>
      </c>
      <c r="J1940" s="992">
        <v>0</v>
      </c>
      <c r="K1940" s="996">
        <v>12</v>
      </c>
      <c r="L1940" s="997">
        <f t="shared" si="788"/>
        <v>98</v>
      </c>
      <c r="M1940" s="998">
        <v>46247</v>
      </c>
      <c r="N1940" s="1048">
        <v>46247</v>
      </c>
      <c r="O1940" s="994"/>
      <c r="P1940" s="992"/>
      <c r="Q1940" s="584"/>
      <c r="R1940" s="584">
        <v>46198</v>
      </c>
      <c r="S1940" s="999" t="s">
        <v>104</v>
      </c>
      <c r="T1940" s="584" t="s">
        <v>10709</v>
      </c>
      <c r="U1940" s="1050"/>
      <c r="V1940" s="1050"/>
      <c r="W1940" s="603"/>
      <c r="X1940" s="604" t="s">
        <v>10713</v>
      </c>
      <c r="Y1940" s="1000" t="s">
        <v>125</v>
      </c>
      <c r="Z1940" s="601">
        <v>1.3899</v>
      </c>
      <c r="AA1940" s="1000">
        <f t="shared" si="789"/>
        <v>1634.5224</v>
      </c>
      <c r="AC1940" s="1002"/>
      <c r="AD1940" s="939" t="s">
        <v>8079</v>
      </c>
      <c r="AE1940" s="992" t="s">
        <v>82</v>
      </c>
      <c r="AF1940" s="992"/>
      <c r="AG1940" s="992"/>
      <c r="AH1940" s="601"/>
      <c r="AI1940" s="609">
        <v>1176</v>
      </c>
      <c r="AJ1940" s="939">
        <f t="shared" si="776"/>
        <v>0</v>
      </c>
      <c r="AK1940" s="994"/>
      <c r="AL1940" s="992"/>
      <c r="AM1940" s="992"/>
      <c r="AN1940" s="992">
        <f>I1940*2</f>
        <v>2352</v>
      </c>
      <c r="AO1940" s="586"/>
      <c r="AP1940" s="586"/>
      <c r="AQ1940" s="563">
        <f>I1940*2</f>
        <v>2352</v>
      </c>
      <c r="AR1940" s="1003"/>
      <c r="AS1940" s="586"/>
      <c r="AT1940" s="586"/>
      <c r="AU1940" s="563">
        <f>I1940*2</f>
        <v>2352</v>
      </c>
      <c r="AV1940" s="586"/>
      <c r="AW1940" s="586"/>
      <c r="AX1940" s="1049"/>
      <c r="AY1940" s="586"/>
      <c r="AZ1940" s="586"/>
      <c r="BA1940" s="586"/>
      <c r="BB1940" s="1017">
        <f t="shared" si="787"/>
        <v>98</v>
      </c>
      <c r="BC1940" s="586"/>
      <c r="BD1940" s="586"/>
      <c r="BE1940" s="586"/>
      <c r="BF1940" s="1005"/>
      <c r="BG1940" s="561"/>
      <c r="BH1940" s="1006"/>
      <c r="BI1940" s="586"/>
      <c r="BJ1940" s="586"/>
      <c r="BK1940" s="586"/>
      <c r="BL1940" s="586"/>
      <c r="BM1940" s="586"/>
      <c r="BN1940" s="586"/>
      <c r="BO1940" s="586"/>
      <c r="BP1940" s="586"/>
      <c r="BQ1940" s="586"/>
      <c r="BR1940" s="586"/>
      <c r="BS1940" s="586"/>
      <c r="BT1940" s="586"/>
      <c r="BU1940" s="586"/>
      <c r="BV1940" s="586"/>
      <c r="BW1940" s="586"/>
      <c r="BX1940" s="586"/>
      <c r="BY1940" s="586"/>
      <c r="BZ1940" s="586"/>
      <c r="CA1940" s="1007"/>
      <c r="CB1940" s="560"/>
      <c r="CC1940" s="1006"/>
      <c r="CD1940" s="586"/>
      <c r="CE1940" s="586"/>
      <c r="CF1940" s="586"/>
      <c r="CG1940" s="1005"/>
      <c r="CH1940" s="561"/>
      <c r="CI1940" s="1006"/>
      <c r="CJ1940" s="586"/>
      <c r="CK1940" s="586"/>
      <c r="CL1940" s="586"/>
      <c r="CM1940" s="586"/>
      <c r="CN1940" s="586"/>
      <c r="CO1940" s="586"/>
      <c r="CP1940" s="1003"/>
      <c r="CQ1940" s="1003"/>
      <c r="CR1940" s="563">
        <f>I1940</f>
        <v>1176</v>
      </c>
      <c r="CS1940" s="563">
        <f>I1940</f>
        <v>1176</v>
      </c>
      <c r="CT1940" s="563">
        <f>I1940</f>
        <v>1176</v>
      </c>
      <c r="CU1940" s="563">
        <f t="shared" si="773"/>
        <v>0</v>
      </c>
      <c r="CV1940" s="563">
        <v>0</v>
      </c>
      <c r="CW1940" s="563">
        <v>0</v>
      </c>
      <c r="CX1940" s="1003"/>
      <c r="CY1940" s="1003"/>
      <c r="CZ1940" s="1003"/>
      <c r="DA1940" s="1003"/>
      <c r="DB1940" s="1003"/>
      <c r="DC1940" s="1003"/>
      <c r="DD1940" s="1003"/>
      <c r="DE1940" s="1003"/>
      <c r="DF1940" s="1003"/>
      <c r="DG1940" s="1003"/>
      <c r="DH1940" s="1003"/>
    </row>
    <row r="1941" s="547" customFormat="1" ht="31" customHeight="1" spans="1:113">
      <c r="A1941" s="1022">
        <v>46185</v>
      </c>
      <c r="B1941" s="626" t="s">
        <v>10714</v>
      </c>
      <c r="C1941" s="939" t="s">
        <v>10715</v>
      </c>
      <c r="D1941" s="563">
        <v>4500211998</v>
      </c>
      <c r="E1941" s="1051" t="s">
        <v>10716</v>
      </c>
      <c r="F1941" s="563" t="s">
        <v>10717</v>
      </c>
      <c r="G1941" s="939" t="s">
        <v>6047</v>
      </c>
      <c r="H1941" s="939" t="s">
        <v>6069</v>
      </c>
      <c r="I1941" s="1023">
        <v>350</v>
      </c>
      <c r="J1941" s="939">
        <v>0</v>
      </c>
      <c r="K1941" s="1024">
        <v>25</v>
      </c>
      <c r="L1941" s="1025">
        <f t="shared" si="788"/>
        <v>14</v>
      </c>
      <c r="M1941" s="1026">
        <v>46248</v>
      </c>
      <c r="N1941" s="1027">
        <v>46244</v>
      </c>
      <c r="O1941" s="1031"/>
      <c r="P1941" s="939"/>
      <c r="Q1941" s="999"/>
      <c r="R1941" s="999" t="s">
        <v>10718</v>
      </c>
      <c r="S1941" s="999" t="s">
        <v>70</v>
      </c>
      <c r="T1941" s="999" t="s">
        <v>10719</v>
      </c>
      <c r="U1941" s="1052"/>
      <c r="V1941" s="1053" t="s">
        <v>10720</v>
      </c>
      <c r="W1941" s="603" t="s">
        <v>10721</v>
      </c>
      <c r="X1941" s="1054" t="s">
        <v>10722</v>
      </c>
      <c r="Y1941" s="1001" t="s">
        <v>10723</v>
      </c>
      <c r="Z1941" s="626">
        <v>1.0181</v>
      </c>
      <c r="AA1941" s="1001">
        <f t="shared" si="789"/>
        <v>356.335</v>
      </c>
      <c r="AC1941" s="1030"/>
      <c r="AD1941" s="618" t="s">
        <v>6047</v>
      </c>
      <c r="AE1941" s="939" t="s">
        <v>82</v>
      </c>
      <c r="AF1941" s="939"/>
      <c r="AG1941" s="939"/>
      <c r="AH1941" s="626"/>
      <c r="AI1941" s="609">
        <v>350</v>
      </c>
      <c r="AJ1941" s="618">
        <f t="shared" si="776"/>
        <v>0</v>
      </c>
      <c r="AK1941" s="1031"/>
      <c r="AL1941" s="939" t="s">
        <v>2368</v>
      </c>
      <c r="AM1941" s="939"/>
      <c r="AN1941" s="939"/>
      <c r="AO1941" s="563">
        <f>I1941</f>
        <v>350</v>
      </c>
      <c r="AP1941" s="563"/>
      <c r="AQ1941" s="563"/>
      <c r="AR1941" s="1015"/>
      <c r="AS1941" s="563"/>
      <c r="AT1941" s="563">
        <f>I1941</f>
        <v>350</v>
      </c>
      <c r="AU1941" s="563"/>
      <c r="AV1941" s="563">
        <f>I1941</f>
        <v>350</v>
      </c>
      <c r="AW1941" s="563"/>
      <c r="AX1941" s="1004"/>
      <c r="AY1941" s="563"/>
      <c r="AZ1941" s="563"/>
      <c r="BA1941" s="563"/>
      <c r="BB1941" s="249">
        <f t="shared" si="787"/>
        <v>29.1666666666667</v>
      </c>
      <c r="BC1941" s="563"/>
      <c r="BD1941" s="563"/>
      <c r="BE1941" s="563"/>
      <c r="BF1941" s="1032"/>
      <c r="BG1941" s="560"/>
      <c r="BH1941" s="1033"/>
      <c r="BI1941" s="563"/>
      <c r="BJ1941" s="563"/>
      <c r="BK1941" s="563"/>
      <c r="BL1941" s="563"/>
      <c r="BM1941" s="563"/>
      <c r="BN1941" s="563"/>
      <c r="BO1941" s="563"/>
      <c r="BP1941" s="551">
        <f>I1941/25</f>
        <v>14</v>
      </c>
      <c r="BQ1941" s="563"/>
      <c r="BR1941" s="563"/>
      <c r="BS1941" s="563"/>
      <c r="BT1941" s="563"/>
      <c r="BU1941" s="563"/>
      <c r="BV1941" s="563"/>
      <c r="BW1941" s="563"/>
      <c r="BX1941" s="563"/>
      <c r="BY1941" s="563"/>
      <c r="BZ1941" s="563"/>
      <c r="CA1941" s="1032"/>
      <c r="CB1941" s="567"/>
      <c r="CC1941" s="1033"/>
      <c r="CD1941" s="563"/>
      <c r="CE1941" s="563"/>
      <c r="CF1941" s="563"/>
      <c r="CG1941" s="1032"/>
      <c r="CH1941" s="560"/>
      <c r="CI1941" s="1033"/>
      <c r="CJ1941" s="563"/>
      <c r="CK1941" s="563"/>
      <c r="CL1941" s="563"/>
      <c r="CM1941" s="563"/>
      <c r="CN1941" s="563"/>
      <c r="CO1941" s="563"/>
      <c r="CP1941" s="1015"/>
      <c r="CQ1941" s="1015"/>
      <c r="CR1941" s="563"/>
      <c r="CS1941" s="563"/>
      <c r="CT1941" s="563"/>
      <c r="CU1941" s="551">
        <f t="shared" si="773"/>
        <v>14</v>
      </c>
      <c r="CV1941" s="551">
        <f>CK1941+CL1941+CM1941+CN1941+CO1941+CQ1941+CP1941</f>
        <v>0</v>
      </c>
      <c r="CW1941" s="551">
        <f>CI1941+CJ1941</f>
        <v>0</v>
      </c>
      <c r="CX1941" s="1015"/>
      <c r="CY1941" s="1015"/>
      <c r="CZ1941" s="1015"/>
      <c r="DA1941" s="1015"/>
      <c r="DB1941" s="1015"/>
      <c r="DC1941" s="1015"/>
      <c r="DD1941" s="1015"/>
      <c r="DE1941" s="1015"/>
      <c r="DF1941" s="1015"/>
      <c r="DG1941" s="1015"/>
      <c r="DH1941" s="1015"/>
    </row>
    <row r="1942" s="558" customFormat="1" ht="31" customHeight="1" spans="1:113">
      <c r="A1942" s="991">
        <v>46198</v>
      </c>
      <c r="B1942" s="601" t="s">
        <v>169</v>
      </c>
      <c r="C1942" s="992" t="s">
        <v>170</v>
      </c>
      <c r="D1942" s="993">
        <v>4500213743</v>
      </c>
      <c r="E1942" s="994">
        <v>3004075</v>
      </c>
      <c r="F1942" s="586" t="s">
        <v>10724</v>
      </c>
      <c r="G1942" s="992" t="s">
        <v>6063</v>
      </c>
      <c r="H1942" s="992" t="s">
        <v>6064</v>
      </c>
      <c r="I1942" s="995">
        <v>2000</v>
      </c>
      <c r="J1942" s="992">
        <v>0</v>
      </c>
      <c r="K1942" s="996">
        <v>16</v>
      </c>
      <c r="L1942" s="997">
        <f t="shared" si="788"/>
        <v>125</v>
      </c>
      <c r="M1942" s="998">
        <v>46252</v>
      </c>
      <c r="N1942" s="1027">
        <v>46247</v>
      </c>
      <c r="O1942" s="1055" t="s">
        <v>10725</v>
      </c>
      <c r="P1942" s="992"/>
      <c r="Q1942" s="584">
        <v>46262</v>
      </c>
      <c r="R1942" s="999">
        <v>46209</v>
      </c>
      <c r="S1942" s="999" t="s">
        <v>70</v>
      </c>
      <c r="T1942" s="999" t="s">
        <v>70</v>
      </c>
      <c r="U1942" s="1050"/>
      <c r="V1942" s="1050"/>
      <c r="W1942" s="1056" t="s">
        <v>10726</v>
      </c>
      <c r="X1942" s="604" t="s">
        <v>10727</v>
      </c>
      <c r="Y1942" s="1000" t="s">
        <v>2071</v>
      </c>
      <c r="Z1942" s="601">
        <v>1.0556</v>
      </c>
      <c r="AA1942" s="1000">
        <f t="shared" si="789"/>
        <v>2111.2</v>
      </c>
      <c r="AB1942" s="585"/>
      <c r="AC1942" s="1002"/>
      <c r="AD1942" s="939" t="s">
        <v>8348</v>
      </c>
      <c r="AE1942" s="992" t="s">
        <v>82</v>
      </c>
      <c r="AF1942" s="992"/>
      <c r="AG1942" s="992"/>
      <c r="AH1942" s="601"/>
      <c r="AI1942" s="609">
        <v>2000</v>
      </c>
      <c r="AJ1942" s="939">
        <f t="shared" si="776"/>
        <v>0</v>
      </c>
      <c r="AK1942" s="994"/>
      <c r="AL1942" s="992"/>
      <c r="AM1942" s="992"/>
      <c r="AN1942" s="992">
        <f>I1942</f>
        <v>2000</v>
      </c>
      <c r="AO1942" s="586"/>
      <c r="AP1942" s="586"/>
      <c r="AQ1942" s="586"/>
      <c r="AR1942" s="1003"/>
      <c r="AS1942" s="563">
        <f>I1942</f>
        <v>2000</v>
      </c>
      <c r="AT1942" s="1057"/>
      <c r="AU1942" s="563">
        <f>I1942</f>
        <v>2000</v>
      </c>
      <c r="AV1942" s="586"/>
      <c r="AW1942" s="586"/>
      <c r="AX1942" s="1049"/>
      <c r="AY1942" s="586"/>
      <c r="AZ1942" s="586"/>
      <c r="BA1942" s="586"/>
      <c r="BB1942" s="1017">
        <f>I1942/24</f>
        <v>83.3333333333333</v>
      </c>
      <c r="BC1942" s="586"/>
      <c r="BD1942" s="586"/>
      <c r="BE1942" s="586"/>
      <c r="BF1942" s="1005"/>
      <c r="BG1942" s="561"/>
      <c r="BH1942" s="1006"/>
      <c r="BI1942" s="586"/>
      <c r="BJ1942" s="586"/>
      <c r="BK1942" s="586"/>
      <c r="BL1942" s="586"/>
      <c r="BM1942" s="586"/>
      <c r="BN1942" s="586"/>
      <c r="BO1942" s="586"/>
      <c r="BP1942" s="586"/>
      <c r="BQ1942" s="586"/>
      <c r="BR1942" s="563">
        <f>L1942</f>
        <v>125</v>
      </c>
      <c r="BS1942" s="586"/>
      <c r="BT1942" s="586"/>
      <c r="BU1942" s="586"/>
      <c r="BV1942" s="586"/>
      <c r="BW1942" s="586"/>
      <c r="BX1942" s="586"/>
      <c r="BY1942" s="586"/>
      <c r="BZ1942" s="586"/>
      <c r="CA1942" s="1007"/>
      <c r="CB1942" s="560"/>
      <c r="CC1942" s="1006"/>
      <c r="CD1942" s="586"/>
      <c r="CE1942" s="586"/>
      <c r="CF1942" s="586"/>
      <c r="CG1942" s="1005"/>
      <c r="CH1942" s="561"/>
      <c r="CI1942" s="1006"/>
      <c r="CJ1942" s="586"/>
      <c r="CK1942" s="586"/>
      <c r="CL1942" s="586"/>
      <c r="CM1942" s="586"/>
      <c r="CN1942" s="586"/>
      <c r="CO1942" s="586"/>
      <c r="CP1942" s="1003"/>
      <c r="CQ1942" s="1003"/>
      <c r="CR1942" s="586"/>
      <c r="CS1942" s="586"/>
      <c r="CT1942" s="586"/>
      <c r="CU1942" s="563">
        <f t="shared" si="773"/>
        <v>125</v>
      </c>
      <c r="CV1942" s="563">
        <f>CK1942+CL1942+CM1942+CN1942+CO1942+CQ1942+CP1942</f>
        <v>0</v>
      </c>
      <c r="CW1942" s="563">
        <f>CI1942+CJ1942</f>
        <v>0</v>
      </c>
      <c r="CX1942" s="1003"/>
      <c r="CY1942" s="1003"/>
      <c r="CZ1942" s="1003"/>
      <c r="DA1942" s="1003"/>
      <c r="DB1942" s="1003"/>
      <c r="DC1942" s="1003"/>
      <c r="DD1942" s="1003"/>
      <c r="DE1942" s="1003"/>
      <c r="DF1942" s="1003"/>
      <c r="DG1942" s="1003"/>
      <c r="DH1942" s="1003"/>
    </row>
    <row r="1943" s="558" customFormat="1" ht="31" customHeight="1" spans="1:113">
      <c r="A1943" s="1022">
        <v>46209</v>
      </c>
      <c r="B1943" s="626" t="s">
        <v>5549</v>
      </c>
      <c r="C1943" s="939" t="s">
        <v>399</v>
      </c>
      <c r="D1943" s="563">
        <v>4500214935</v>
      </c>
      <c r="E1943" s="939">
        <v>93038601</v>
      </c>
      <c r="F1943" s="563" t="s">
        <v>10728</v>
      </c>
      <c r="G1943" s="939" t="s">
        <v>6043</v>
      </c>
      <c r="H1943" s="939" t="s">
        <v>6110</v>
      </c>
      <c r="I1943" s="1023">
        <v>4550</v>
      </c>
      <c r="J1943" s="939">
        <v>0</v>
      </c>
      <c r="K1943" s="1024">
        <v>50</v>
      </c>
      <c r="L1943" s="1025">
        <f t="shared" si="788"/>
        <v>91</v>
      </c>
      <c r="M1943" s="1026">
        <v>46252</v>
      </c>
      <c r="N1943" s="1058">
        <v>46251</v>
      </c>
      <c r="O1943" s="1028" t="s">
        <v>10729</v>
      </c>
      <c r="P1943" s="939"/>
      <c r="Q1943" s="999"/>
      <c r="R1943" s="999">
        <v>46223</v>
      </c>
      <c r="S1943" s="999" t="s">
        <v>70</v>
      </c>
      <c r="T1943" s="999" t="s">
        <v>10730</v>
      </c>
      <c r="U1943" s="1029"/>
      <c r="V1943" s="1029" t="s">
        <v>5553</v>
      </c>
      <c r="W1943" s="1059" t="s">
        <v>10731</v>
      </c>
      <c r="X1943" s="1054" t="s">
        <v>10732</v>
      </c>
      <c r="Y1943" s="1001" t="s">
        <v>5498</v>
      </c>
      <c r="Z1943" s="626">
        <v>0.9943</v>
      </c>
      <c r="AA1943" s="1060">
        <f t="shared" si="789"/>
        <v>4524.065</v>
      </c>
      <c r="AB1943" s="560"/>
      <c r="AC1943" s="1061"/>
      <c r="AD1943" s="939" t="s">
        <v>6043</v>
      </c>
      <c r="AE1943" s="1035" t="s">
        <v>82</v>
      </c>
      <c r="AF1943" s="939"/>
      <c r="AG1943" s="939"/>
      <c r="AH1943" s="626"/>
      <c r="AI1943" s="626"/>
      <c r="AJ1943" s="939">
        <f t="shared" si="776"/>
        <v>-4550</v>
      </c>
      <c r="AK1943" s="1031"/>
      <c r="AL1943" s="939" t="s">
        <v>2368</v>
      </c>
      <c r="AM1943" s="939"/>
      <c r="AN1943" s="939"/>
      <c r="AO1943" s="563">
        <f>I1943</f>
        <v>4550</v>
      </c>
      <c r="AP1943" s="563"/>
      <c r="AQ1943" s="563"/>
      <c r="AR1943" s="1015"/>
      <c r="AS1943" s="563"/>
      <c r="AT1943" s="562">
        <f>I1943</f>
        <v>4550</v>
      </c>
      <c r="AU1943" s="563"/>
      <c r="AV1943" s="563">
        <f>I1943</f>
        <v>4550</v>
      </c>
      <c r="AW1943" s="563"/>
      <c r="AX1943" s="1004"/>
      <c r="AY1943" s="563"/>
      <c r="AZ1943" s="563"/>
      <c r="BA1943" s="563"/>
      <c r="BB1943" s="1017">
        <f>I1943/24</f>
        <v>189.583333333333</v>
      </c>
      <c r="BC1943" s="563"/>
      <c r="BD1943" s="563"/>
      <c r="BE1943" s="563"/>
      <c r="BF1943" s="563"/>
      <c r="BG1943" s="558"/>
      <c r="BH1943" s="563"/>
      <c r="BI1943" s="563"/>
      <c r="BJ1943" s="563"/>
      <c r="BK1943" s="563"/>
      <c r="BL1943" s="563"/>
      <c r="BM1943" s="563"/>
      <c r="BN1943" s="563"/>
      <c r="BO1943" s="563"/>
      <c r="BP1943" s="563">
        <f>I1943/25</f>
        <v>182</v>
      </c>
      <c r="BQ1943" s="563"/>
      <c r="BR1943" s="563"/>
      <c r="BS1943" s="563"/>
      <c r="BT1943" s="563"/>
      <c r="BU1943" s="563"/>
      <c r="BV1943" s="563"/>
      <c r="BW1943" s="563"/>
      <c r="BX1943" s="563"/>
      <c r="BY1943" s="563"/>
      <c r="BZ1943" s="563"/>
      <c r="CA1943" s="1032"/>
      <c r="CB1943" s="560"/>
      <c r="CC1943" s="1033"/>
      <c r="CD1943" s="563"/>
      <c r="CE1943" s="563"/>
      <c r="CF1943" s="563"/>
      <c r="CG1943" s="563"/>
      <c r="CH1943" s="558"/>
      <c r="CI1943" s="563"/>
      <c r="CJ1943" s="563"/>
      <c r="CK1943" s="563"/>
      <c r="CL1943" s="563"/>
      <c r="CM1943" s="563"/>
      <c r="CN1943" s="563"/>
      <c r="CO1943" s="563"/>
      <c r="CP1943" s="1015"/>
      <c r="CQ1943" s="1015"/>
      <c r="CR1943" s="563"/>
      <c r="CS1943" s="563"/>
      <c r="CT1943" s="563"/>
      <c r="CU1943" s="563">
        <f t="shared" si="773"/>
        <v>182</v>
      </c>
      <c r="CV1943" s="563">
        <f>CK1943+CL1943+CM1943+CN1943+CO1943+CQ1943+CP1943</f>
        <v>0</v>
      </c>
      <c r="CW1943" s="563">
        <f>CI1943+CJ1943</f>
        <v>0</v>
      </c>
      <c r="CX1943" s="1015"/>
      <c r="CY1943" s="1015"/>
      <c r="CZ1943" s="1015"/>
      <c r="DA1943" s="1015"/>
      <c r="DB1943" s="1015"/>
      <c r="DC1943" s="1015"/>
      <c r="DD1943" s="1015"/>
      <c r="DE1943" s="1015"/>
      <c r="DF1943" s="1015"/>
      <c r="DG1943" s="1015"/>
      <c r="DH1943" s="1015"/>
    </row>
    <row r="1944" s="547" customFormat="1" ht="31" customHeight="1" spans="1:113">
      <c r="A1944" s="991">
        <v>46209</v>
      </c>
      <c r="B1944" s="601" t="s">
        <v>5549</v>
      </c>
      <c r="C1944" s="992" t="s">
        <v>399</v>
      </c>
      <c r="D1944" s="586">
        <v>4500214935</v>
      </c>
      <c r="E1944" s="992">
        <v>93038601</v>
      </c>
      <c r="F1944" s="586" t="s">
        <v>5550</v>
      </c>
      <c r="G1944" s="992" t="s">
        <v>6337</v>
      </c>
      <c r="H1944" s="992" t="s">
        <v>477</v>
      </c>
      <c r="I1944" s="995">
        <v>2250</v>
      </c>
      <c r="J1944" s="992">
        <v>0</v>
      </c>
      <c r="K1944" s="996">
        <v>6</v>
      </c>
      <c r="L1944" s="997">
        <f t="shared" si="788"/>
        <v>375</v>
      </c>
      <c r="M1944" s="998">
        <v>46252</v>
      </c>
      <c r="N1944" s="1058">
        <v>46251</v>
      </c>
      <c r="O1944" s="1028" t="s">
        <v>10729</v>
      </c>
      <c r="P1944" s="992"/>
      <c r="Q1944" s="584"/>
      <c r="R1944" s="999">
        <v>46223</v>
      </c>
      <c r="S1944" s="999" t="s">
        <v>70</v>
      </c>
      <c r="T1944" s="585" t="s">
        <v>5551</v>
      </c>
      <c r="U1944" s="585"/>
      <c r="V1944" s="999" t="s">
        <v>5553</v>
      </c>
      <c r="W1944" s="1059" t="s">
        <v>10731</v>
      </c>
      <c r="X1944" s="601" t="s">
        <v>5555</v>
      </c>
      <c r="Y1944" s="1000" t="s">
        <v>5498</v>
      </c>
      <c r="Z1944" s="601">
        <v>6.9975</v>
      </c>
      <c r="AA1944" s="1060">
        <f t="shared" si="789"/>
        <v>15744.375</v>
      </c>
      <c r="AB1944" s="560"/>
      <c r="AC1944" s="1062"/>
      <c r="AD1944" s="939" t="s">
        <v>480</v>
      </c>
      <c r="AE1944" s="992" t="s">
        <v>82</v>
      </c>
      <c r="AF1944" s="992"/>
      <c r="AG1944" s="992"/>
      <c r="AH1944" s="601"/>
      <c r="AI1944" s="609"/>
      <c r="AJ1944" s="939">
        <f t="shared" si="776"/>
        <v>-2250</v>
      </c>
      <c r="AK1944" s="994"/>
      <c r="AL1944" s="939" t="s">
        <v>2368</v>
      </c>
      <c r="AM1944" s="992"/>
      <c r="AN1944" s="992"/>
      <c r="AO1944" s="563">
        <f>I1944*2</f>
        <v>4500</v>
      </c>
      <c r="AP1944" s="586"/>
      <c r="AQ1944" s="586"/>
      <c r="AR1944" s="1003">
        <f>I1944*2</f>
        <v>4500</v>
      </c>
      <c r="AS1944" s="586"/>
      <c r="AT1944" s="563"/>
      <c r="AU1944" s="586"/>
      <c r="AV1944" s="563">
        <f>I1944*2</f>
        <v>4500</v>
      </c>
      <c r="AW1944" s="586"/>
      <c r="AX1944" s="563"/>
      <c r="AY1944" s="586"/>
      <c r="AZ1944" s="586"/>
      <c r="BA1944" s="1004"/>
      <c r="BB1944" s="620">
        <f>I1944/24*2</f>
        <v>187.5</v>
      </c>
      <c r="BC1944" s="586"/>
      <c r="BD1944" s="586"/>
      <c r="BE1944" s="586"/>
      <c r="BF1944" s="1005"/>
      <c r="BG1944" s="561"/>
      <c r="BH1944" s="1006"/>
      <c r="BI1944" s="586"/>
      <c r="BJ1944" s="586"/>
      <c r="BK1944" s="586"/>
      <c r="BL1944" s="586"/>
      <c r="BM1944" s="586"/>
      <c r="BN1944" s="586"/>
      <c r="BO1944" s="586"/>
      <c r="BP1944" s="586"/>
      <c r="BQ1944" s="586"/>
      <c r="BR1944" s="586"/>
      <c r="BS1944" s="586"/>
      <c r="BT1944" s="586"/>
      <c r="BU1944" s="586"/>
      <c r="BV1944" s="586"/>
      <c r="BW1944" s="586"/>
      <c r="BX1944" s="586"/>
      <c r="BY1944" s="586"/>
      <c r="BZ1944" s="563">
        <f>I1944</f>
        <v>2250</v>
      </c>
      <c r="CA1944" s="1007"/>
      <c r="CB1944" s="560"/>
      <c r="CC1944" s="1006"/>
      <c r="CD1944" s="586"/>
      <c r="CE1944" s="586"/>
      <c r="CF1944" s="586"/>
      <c r="CG1944" s="1005"/>
      <c r="CH1944" s="561"/>
      <c r="CI1944" s="1006"/>
      <c r="CJ1944" s="586"/>
      <c r="CK1944" s="586"/>
      <c r="CL1944" s="586"/>
      <c r="CM1944" s="586"/>
      <c r="CN1944" s="586"/>
      <c r="CO1944" s="586"/>
      <c r="CP1944" s="1003"/>
      <c r="CQ1944" s="1003"/>
      <c r="CR1944" s="586"/>
      <c r="CS1944" s="586"/>
      <c r="CT1944" s="586"/>
      <c r="CU1944" s="563">
        <f t="shared" si="773"/>
        <v>0</v>
      </c>
      <c r="CV1944" s="563">
        <v>0</v>
      </c>
      <c r="CW1944" s="563">
        <v>0</v>
      </c>
      <c r="CX1944" s="1003"/>
      <c r="CY1944" s="1003"/>
      <c r="CZ1944" s="1003"/>
      <c r="DA1944" s="1003"/>
      <c r="DB1944" s="1003"/>
      <c r="DC1944" s="1003"/>
      <c r="DD1944" s="1003"/>
      <c r="DE1944" s="1003"/>
      <c r="DF1944" s="1003"/>
      <c r="DG1944" s="1003"/>
      <c r="DH1944" s="1003"/>
    </row>
    <row r="1945" s="558" customFormat="1" ht="31" customHeight="1" spans="1:113">
      <c r="A1945" s="1022">
        <v>46209</v>
      </c>
      <c r="B1945" s="626" t="s">
        <v>5549</v>
      </c>
      <c r="C1945" s="939" t="s">
        <v>399</v>
      </c>
      <c r="D1945" s="563">
        <v>4500214935</v>
      </c>
      <c r="E1945" s="939">
        <v>93038602</v>
      </c>
      <c r="F1945" s="563" t="s">
        <v>10733</v>
      </c>
      <c r="G1945" s="939" t="s">
        <v>6043</v>
      </c>
      <c r="H1945" s="939" t="s">
        <v>6110</v>
      </c>
      <c r="I1945" s="1023">
        <v>1500</v>
      </c>
      <c r="J1945" s="939">
        <v>0</v>
      </c>
      <c r="K1945" s="1024">
        <v>50</v>
      </c>
      <c r="L1945" s="1025">
        <f t="shared" si="788"/>
        <v>30</v>
      </c>
      <c r="M1945" s="1026">
        <v>46252</v>
      </c>
      <c r="N1945" s="1058">
        <v>46251</v>
      </c>
      <c r="O1945" s="1028" t="s">
        <v>10729</v>
      </c>
      <c r="P1945" s="939"/>
      <c r="Q1945" s="999"/>
      <c r="R1945" s="999">
        <v>46223</v>
      </c>
      <c r="S1945" s="999" t="s">
        <v>70</v>
      </c>
      <c r="T1945" s="999" t="s">
        <v>10730</v>
      </c>
      <c r="U1945" s="999"/>
      <c r="V1945" s="999" t="s">
        <v>5553</v>
      </c>
      <c r="W1945" s="1059" t="s">
        <v>10731</v>
      </c>
      <c r="X1945" s="1054" t="s">
        <v>10732</v>
      </c>
      <c r="Y1945" s="1001" t="s">
        <v>5498</v>
      </c>
      <c r="Z1945" s="626">
        <v>0.9943</v>
      </c>
      <c r="AA1945" s="1060">
        <f t="shared" si="789"/>
        <v>1491.45</v>
      </c>
      <c r="AB1945" s="560"/>
      <c r="AC1945" s="1061"/>
      <c r="AD1945" s="939" t="s">
        <v>6043</v>
      </c>
      <c r="AE1945" s="1035" t="s">
        <v>82</v>
      </c>
      <c r="AF1945" s="939"/>
      <c r="AG1945" s="939"/>
      <c r="AH1945" s="626"/>
      <c r="AI1945" s="626"/>
      <c r="AJ1945" s="939">
        <f t="shared" si="776"/>
        <v>-1500</v>
      </c>
      <c r="AK1945" s="1031"/>
      <c r="AL1945" s="939" t="s">
        <v>2368</v>
      </c>
      <c r="AM1945" s="939"/>
      <c r="AN1945" s="939"/>
      <c r="AO1945" s="563">
        <f>I1945</f>
        <v>1500</v>
      </c>
      <c r="AP1945" s="563"/>
      <c r="AQ1945" s="563"/>
      <c r="AR1945" s="1015"/>
      <c r="AS1945" s="563"/>
      <c r="AT1945" s="562">
        <f>I1945</f>
        <v>1500</v>
      </c>
      <c r="AU1945" s="563"/>
      <c r="AV1945" s="563">
        <f>I1945</f>
        <v>1500</v>
      </c>
      <c r="AW1945" s="563"/>
      <c r="AX1945" s="1004"/>
      <c r="AY1945" s="563"/>
      <c r="AZ1945" s="563"/>
      <c r="BA1945" s="563"/>
      <c r="BB1945" s="1017">
        <f>I1945/24</f>
        <v>62.5</v>
      </c>
      <c r="BC1945" s="563"/>
      <c r="BD1945" s="563"/>
      <c r="BE1945" s="563"/>
      <c r="BF1945" s="563"/>
      <c r="BG1945" s="558"/>
      <c r="BH1945" s="563"/>
      <c r="BI1945" s="563"/>
      <c r="BJ1945" s="563"/>
      <c r="BK1945" s="563"/>
      <c r="BL1945" s="563"/>
      <c r="BM1945" s="563"/>
      <c r="BN1945" s="563"/>
      <c r="BO1945" s="563"/>
      <c r="BP1945" s="563">
        <f>I1945/25</f>
        <v>60</v>
      </c>
      <c r="BQ1945" s="563"/>
      <c r="BR1945" s="563"/>
      <c r="BS1945" s="563"/>
      <c r="BT1945" s="563"/>
      <c r="BU1945" s="563"/>
      <c r="BV1945" s="563"/>
      <c r="BW1945" s="563"/>
      <c r="BX1945" s="563"/>
      <c r="BY1945" s="563"/>
      <c r="BZ1945" s="563"/>
      <c r="CA1945" s="1032"/>
      <c r="CB1945" s="560"/>
      <c r="CC1945" s="1033"/>
      <c r="CD1945" s="563"/>
      <c r="CE1945" s="563"/>
      <c r="CF1945" s="563"/>
      <c r="CG1945" s="563"/>
      <c r="CH1945" s="558"/>
      <c r="CI1945" s="563"/>
      <c r="CJ1945" s="563"/>
      <c r="CK1945" s="563"/>
      <c r="CL1945" s="563"/>
      <c r="CM1945" s="563"/>
      <c r="CN1945" s="563"/>
      <c r="CO1945" s="563"/>
      <c r="CP1945" s="1015"/>
      <c r="CQ1945" s="1015"/>
      <c r="CR1945" s="563"/>
      <c r="CS1945" s="563"/>
      <c r="CT1945" s="563"/>
      <c r="CU1945" s="563">
        <f t="shared" si="773"/>
        <v>60</v>
      </c>
      <c r="CV1945" s="563">
        <f>CK1945+CL1945+CM1945+CN1945+CO1945+CQ1945+CP1945</f>
        <v>0</v>
      </c>
      <c r="CW1945" s="563">
        <f>CI1945+CJ1945</f>
        <v>0</v>
      </c>
      <c r="CX1945" s="1015"/>
      <c r="CY1945" s="1015"/>
      <c r="CZ1945" s="1015"/>
      <c r="DA1945" s="1015"/>
      <c r="DB1945" s="1015"/>
      <c r="DC1945" s="1015"/>
      <c r="DD1945" s="1015"/>
      <c r="DE1945" s="1015"/>
      <c r="DF1945" s="1015"/>
      <c r="DG1945" s="1015"/>
      <c r="DH1945" s="1015"/>
    </row>
    <row r="1946" s="547" customFormat="1" ht="31" customHeight="1" spans="1:113">
      <c r="A1946" s="991">
        <v>46209</v>
      </c>
      <c r="B1946" s="601" t="s">
        <v>5549</v>
      </c>
      <c r="C1946" s="992" t="s">
        <v>399</v>
      </c>
      <c r="D1946" s="586">
        <v>4500214935</v>
      </c>
      <c r="E1946" s="992">
        <v>93038602</v>
      </c>
      <c r="F1946" s="586" t="s">
        <v>5556</v>
      </c>
      <c r="G1946" s="992" t="s">
        <v>6337</v>
      </c>
      <c r="H1946" s="992" t="s">
        <v>477</v>
      </c>
      <c r="I1946" s="995">
        <v>750</v>
      </c>
      <c r="J1946" s="992">
        <v>0</v>
      </c>
      <c r="K1946" s="996">
        <v>6</v>
      </c>
      <c r="L1946" s="997">
        <f t="shared" si="788"/>
        <v>125</v>
      </c>
      <c r="M1946" s="998">
        <v>46252</v>
      </c>
      <c r="N1946" s="1058">
        <v>46251</v>
      </c>
      <c r="O1946" s="1028" t="s">
        <v>10729</v>
      </c>
      <c r="P1946" s="992"/>
      <c r="Q1946" s="584"/>
      <c r="R1946" s="999">
        <v>46223</v>
      </c>
      <c r="S1946" s="999" t="s">
        <v>70</v>
      </c>
      <c r="T1946" s="585" t="s">
        <v>5551</v>
      </c>
      <c r="U1946" s="585"/>
      <c r="V1946" s="584" t="s">
        <v>5553</v>
      </c>
      <c r="W1946" s="1059" t="s">
        <v>10731</v>
      </c>
      <c r="X1946" s="601" t="s">
        <v>5555</v>
      </c>
      <c r="Y1946" s="1000" t="s">
        <v>5498</v>
      </c>
      <c r="Z1946" s="601">
        <v>6.9975</v>
      </c>
      <c r="AA1946" s="1060">
        <f t="shared" si="789"/>
        <v>5248.125</v>
      </c>
      <c r="AB1946" s="560"/>
      <c r="AC1946" s="1062"/>
      <c r="AD1946" s="939" t="s">
        <v>480</v>
      </c>
      <c r="AE1946" s="992" t="s">
        <v>82</v>
      </c>
      <c r="AF1946" s="992"/>
      <c r="AG1946" s="992"/>
      <c r="AH1946" s="601"/>
      <c r="AI1946" s="609"/>
      <c r="AJ1946" s="939">
        <f t="shared" si="776"/>
        <v>-750</v>
      </c>
      <c r="AK1946" s="994"/>
      <c r="AL1946" s="939" t="s">
        <v>2368</v>
      </c>
      <c r="AM1946" s="992"/>
      <c r="AN1946" s="992"/>
      <c r="AO1946" s="563">
        <f>I1946*2</f>
        <v>1500</v>
      </c>
      <c r="AP1946" s="586"/>
      <c r="AQ1946" s="586"/>
      <c r="AR1946" s="1003">
        <f>I1946*2</f>
        <v>1500</v>
      </c>
      <c r="AS1946" s="586"/>
      <c r="AT1946" s="563"/>
      <c r="AU1946" s="586"/>
      <c r="AV1946" s="563">
        <f>I1946*2</f>
        <v>1500</v>
      </c>
      <c r="AW1946" s="586"/>
      <c r="AX1946" s="563"/>
      <c r="AY1946" s="586"/>
      <c r="AZ1946" s="586"/>
      <c r="BA1946" s="1004"/>
      <c r="BB1946" s="620">
        <f>I1946/24*2</f>
        <v>62.5</v>
      </c>
      <c r="BC1946" s="586"/>
      <c r="BD1946" s="586"/>
      <c r="BE1946" s="586"/>
      <c r="BF1946" s="1005"/>
      <c r="BG1946" s="561"/>
      <c r="BH1946" s="1006"/>
      <c r="BI1946" s="586"/>
      <c r="BJ1946" s="586"/>
      <c r="BK1946" s="586"/>
      <c r="BL1946" s="586"/>
      <c r="BM1946" s="586"/>
      <c r="BN1946" s="586"/>
      <c r="BO1946" s="586"/>
      <c r="BP1946" s="586"/>
      <c r="BQ1946" s="586"/>
      <c r="BR1946" s="586"/>
      <c r="BS1946" s="586"/>
      <c r="BT1946" s="586"/>
      <c r="BU1946" s="586"/>
      <c r="BV1946" s="586"/>
      <c r="BW1946" s="586"/>
      <c r="BX1946" s="586"/>
      <c r="BY1946" s="586"/>
      <c r="BZ1946" s="563">
        <f>I1946</f>
        <v>750</v>
      </c>
      <c r="CA1946" s="1007"/>
      <c r="CB1946" s="560"/>
      <c r="CC1946" s="1006"/>
      <c r="CD1946" s="586"/>
      <c r="CE1946" s="586"/>
      <c r="CF1946" s="586"/>
      <c r="CG1946" s="1005"/>
      <c r="CH1946" s="561"/>
      <c r="CI1946" s="1006"/>
      <c r="CJ1946" s="586"/>
      <c r="CK1946" s="586"/>
      <c r="CL1946" s="586"/>
      <c r="CM1946" s="586"/>
      <c r="CN1946" s="586"/>
      <c r="CO1946" s="586"/>
      <c r="CP1946" s="1003"/>
      <c r="CQ1946" s="1003"/>
      <c r="CR1946" s="586"/>
      <c r="CS1946" s="586"/>
      <c r="CT1946" s="586"/>
      <c r="CU1946" s="563">
        <f t="shared" si="773"/>
        <v>0</v>
      </c>
      <c r="CV1946" s="563">
        <v>0</v>
      </c>
      <c r="CW1946" s="563">
        <v>0</v>
      </c>
      <c r="CX1946" s="1003"/>
      <c r="CY1946" s="1003"/>
      <c r="CZ1946" s="1003"/>
      <c r="DA1946" s="1003"/>
      <c r="DB1946" s="1003"/>
      <c r="DC1946" s="1003"/>
      <c r="DD1946" s="1003"/>
      <c r="DE1946" s="1003"/>
      <c r="DF1946" s="1003"/>
      <c r="DG1946" s="1003"/>
      <c r="DH1946" s="1003"/>
    </row>
    <row r="1947" s="558" customFormat="1" ht="31" customHeight="1" spans="1:113">
      <c r="A1947" s="1022">
        <v>46162</v>
      </c>
      <c r="B1947" s="626" t="s">
        <v>5385</v>
      </c>
      <c r="C1947" s="939" t="s">
        <v>98</v>
      </c>
      <c r="D1947" s="1063">
        <v>4500208121</v>
      </c>
      <c r="E1947" s="1031">
        <v>1002450752</v>
      </c>
      <c r="F1947" s="563" t="s">
        <v>5574</v>
      </c>
      <c r="G1947" s="939" t="s">
        <v>8520</v>
      </c>
      <c r="H1947" s="939" t="s">
        <v>8521</v>
      </c>
      <c r="I1947" s="1023">
        <v>840</v>
      </c>
      <c r="J1947" s="939">
        <v>0</v>
      </c>
      <c r="K1947" s="939">
        <v>8</v>
      </c>
      <c r="L1947" s="1064">
        <f t="shared" ref="L1939:L1952" si="790">I1947/K1947</f>
        <v>105</v>
      </c>
      <c r="M1947" s="1027">
        <v>46253</v>
      </c>
      <c r="N1947" s="1027">
        <v>46247</v>
      </c>
      <c r="O1947" s="1028" t="s">
        <v>5342</v>
      </c>
      <c r="P1947" s="939"/>
      <c r="Q1947" s="999"/>
      <c r="R1947" s="999">
        <v>46162</v>
      </c>
      <c r="S1947" s="999" t="s">
        <v>70</v>
      </c>
      <c r="T1947" s="999" t="s">
        <v>5269</v>
      </c>
      <c r="U1947" s="1065"/>
      <c r="V1947" s="1065"/>
      <c r="W1947" s="1059"/>
      <c r="X1947" s="1054" t="s">
        <v>5659</v>
      </c>
      <c r="Y1947" s="1001" t="s">
        <v>106</v>
      </c>
      <c r="Z1947" s="626">
        <v>4.3989</v>
      </c>
      <c r="AA1947" s="1001">
        <f t="shared" ref="AA1939:AA1951" si="791">Z1947*I1947</f>
        <v>3695.076</v>
      </c>
      <c r="AC1947" s="1030"/>
      <c r="AD1947" s="939" t="s">
        <v>2741</v>
      </c>
      <c r="AE1947" s="939" t="s">
        <v>82</v>
      </c>
      <c r="AF1947" s="939"/>
      <c r="AG1947" s="939"/>
      <c r="AH1947" s="626"/>
      <c r="AI1947" s="609">
        <v>840</v>
      </c>
      <c r="AJ1947" s="939">
        <f t="shared" ref="AJ1939:AJ1952" si="792">AI1947-I1947</f>
        <v>0</v>
      </c>
      <c r="AK1947" s="1031"/>
      <c r="AL1947" s="939" t="s">
        <v>2368</v>
      </c>
      <c r="AM1947" s="939"/>
      <c r="AN1947" s="939">
        <f>I1947*2</f>
        <v>1680</v>
      </c>
      <c r="AO1947" s="563"/>
      <c r="AP1947" s="563"/>
      <c r="AQ1947" s="563"/>
      <c r="AR1947" s="1015"/>
      <c r="AS1947" s="563"/>
      <c r="AT1947" s="563"/>
      <c r="AU1947" s="563">
        <f>I1947*2</f>
        <v>1680</v>
      </c>
      <c r="AV1947" s="563"/>
      <c r="AW1947" s="563"/>
      <c r="AX1947" s="1004"/>
      <c r="AY1947" s="563"/>
      <c r="AZ1947" s="563"/>
      <c r="BA1947" s="563"/>
      <c r="BB1947" s="1017">
        <f>I1947/24*2</f>
        <v>70</v>
      </c>
      <c r="BC1947" s="563"/>
      <c r="BD1947" s="563"/>
      <c r="BE1947" s="563"/>
      <c r="BF1947" s="563"/>
      <c r="BG1947" s="558">
        <f>I1947*2</f>
        <v>1680</v>
      </c>
      <c r="BH1947" s="563"/>
      <c r="BI1947" s="563"/>
      <c r="BJ1947" s="563"/>
      <c r="BK1947" s="563"/>
      <c r="BL1947" s="563"/>
      <c r="BM1947" s="563"/>
      <c r="BN1947" s="563"/>
      <c r="BO1947" s="563"/>
      <c r="BP1947" s="563"/>
      <c r="BQ1947" s="563"/>
      <c r="BR1947" s="563"/>
      <c r="BS1947" s="563"/>
      <c r="BT1947" s="563"/>
      <c r="BU1947" s="563"/>
      <c r="BV1947" s="563"/>
      <c r="BW1947" s="563"/>
      <c r="BX1947" s="563"/>
      <c r="BY1947" s="563">
        <f>I1947</f>
        <v>840</v>
      </c>
      <c r="BZ1947" s="563"/>
      <c r="CA1947" s="1066"/>
      <c r="CB1947" s="560"/>
      <c r="CC1947" s="1067"/>
      <c r="CD1947" s="1015"/>
      <c r="CE1947" s="1015"/>
      <c r="CF1947" s="563"/>
      <c r="CG1947" s="563"/>
      <c r="CH1947" s="558"/>
      <c r="CI1947" s="563"/>
      <c r="CJ1947" s="563"/>
      <c r="CK1947" s="563"/>
      <c r="CL1947" s="563"/>
      <c r="CM1947" s="563"/>
      <c r="CN1947" s="563"/>
      <c r="CO1947" s="563"/>
      <c r="CP1947" s="1015"/>
      <c r="CQ1947" s="1015"/>
      <c r="CR1947" s="563"/>
      <c r="CS1947" s="563"/>
      <c r="CT1947" s="563"/>
      <c r="CU1947" s="563">
        <f t="shared" ref="CU1939:CU1951" si="793">BQ1947+BP1947+BO1947+BN1947+BX1947+BR1947</f>
        <v>0</v>
      </c>
      <c r="CV1947" s="563">
        <f>CK1947+CL1947+CM1947+CN1947+CO1947+CQ1947+CP1947</f>
        <v>0</v>
      </c>
      <c r="CW1947" s="563">
        <f>CI1947+CJ1947</f>
        <v>0</v>
      </c>
      <c r="CX1947" s="1068"/>
      <c r="CY1947" s="1068"/>
      <c r="CZ1947" s="1068"/>
      <c r="DA1947" s="1068"/>
      <c r="DB1947" s="1068"/>
      <c r="DC1947" s="1068"/>
      <c r="DD1947" s="1068"/>
      <c r="DE1947" s="1068"/>
      <c r="DF1947" s="1068"/>
      <c r="DG1947" s="1068"/>
      <c r="DH1947" s="1068"/>
      <c r="DI1947" s="563"/>
    </row>
    <row r="1948" s="548" customFormat="1" ht="31" customHeight="1" spans="1:113">
      <c r="A1948" s="1008">
        <v>46126</v>
      </c>
      <c r="B1948" s="628" t="s">
        <v>3340</v>
      </c>
      <c r="C1948" s="618" t="s">
        <v>98</v>
      </c>
      <c r="D1948" s="687">
        <v>4500201757</v>
      </c>
      <c r="E1948" s="618">
        <v>127327</v>
      </c>
      <c r="F1948" s="687" t="s">
        <v>10734</v>
      </c>
      <c r="G1948" s="618" t="s">
        <v>6787</v>
      </c>
      <c r="H1948" s="939" t="s">
        <v>6126</v>
      </c>
      <c r="I1948" s="1069">
        <v>996</v>
      </c>
      <c r="J1948" s="618">
        <v>0</v>
      </c>
      <c r="K1948" s="618">
        <v>12</v>
      </c>
      <c r="L1948" s="1011">
        <f t="shared" si="790"/>
        <v>83</v>
      </c>
      <c r="M1948" s="1012">
        <v>46254</v>
      </c>
      <c r="N1948" s="1027">
        <v>46249</v>
      </c>
      <c r="O1948" s="1043"/>
      <c r="P1948" s="618"/>
      <c r="Q1948" s="774"/>
      <c r="R1948" s="774">
        <v>46126</v>
      </c>
      <c r="S1948" s="999" t="s">
        <v>70</v>
      </c>
      <c r="T1948" s="999" t="s">
        <v>5643</v>
      </c>
      <c r="U1948" s="1052"/>
      <c r="V1948" s="1070"/>
      <c r="W1948" s="1071"/>
      <c r="X1948" s="1072" t="s">
        <v>10735</v>
      </c>
      <c r="Y1948" s="1014" t="s">
        <v>3864</v>
      </c>
      <c r="Z1948" s="628">
        <v>1.3318</v>
      </c>
      <c r="AA1948" s="1014">
        <f t="shared" si="791"/>
        <v>1326.4728</v>
      </c>
      <c r="AC1948" s="697"/>
      <c r="AD1948" s="628" t="s">
        <v>8079</v>
      </c>
      <c r="AE1948" s="618" t="s">
        <v>82</v>
      </c>
      <c r="AF1948" s="618"/>
      <c r="AG1948" s="618"/>
      <c r="AH1948" s="628"/>
      <c r="AI1948" s="609">
        <v>996</v>
      </c>
      <c r="AJ1948" s="618">
        <f t="shared" si="792"/>
        <v>0</v>
      </c>
      <c r="AK1948" s="773"/>
      <c r="AL1948" s="939" t="s">
        <v>2368</v>
      </c>
      <c r="AM1948" s="618"/>
      <c r="AN1948" s="610">
        <f>I1948*2</f>
        <v>1992</v>
      </c>
      <c r="AO1948" s="551"/>
      <c r="AP1948" s="687"/>
      <c r="AQ1948" s="554">
        <f>I1948*2</f>
        <v>1992</v>
      </c>
      <c r="AR1948" s="1015"/>
      <c r="AS1948" s="563"/>
      <c r="AT1948" s="563"/>
      <c r="AU1948" s="554">
        <f>I1948*2</f>
        <v>1992</v>
      </c>
      <c r="AV1948" s="551"/>
      <c r="AW1948" s="687"/>
      <c r="AX1948" s="1016"/>
      <c r="AY1948" s="687"/>
      <c r="AZ1948" s="687"/>
      <c r="BA1948" s="687"/>
      <c r="BB1948" s="1017">
        <f>I1948/24*2</f>
        <v>83</v>
      </c>
      <c r="BC1948" s="687"/>
      <c r="BD1948" s="687"/>
      <c r="BE1948" s="687"/>
      <c r="BF1948" s="687"/>
      <c r="BG1948" s="1073"/>
      <c r="BH1948" s="687"/>
      <c r="BI1948" s="687"/>
      <c r="BJ1948" s="687"/>
      <c r="BK1948" s="687"/>
      <c r="BL1948" s="687"/>
      <c r="BM1948" s="551"/>
      <c r="BN1948" s="687"/>
      <c r="BO1948" s="687"/>
      <c r="BP1948" s="687"/>
      <c r="BQ1948" s="687"/>
      <c r="BR1948" s="687"/>
      <c r="BS1948" s="687"/>
      <c r="BT1948" s="687"/>
      <c r="BU1948" s="687"/>
      <c r="BV1948" s="687"/>
      <c r="BW1948" s="687"/>
      <c r="BX1948" s="687"/>
      <c r="BY1948" s="687"/>
      <c r="BZ1948" s="687"/>
      <c r="CA1948" s="1018"/>
      <c r="CB1948" s="567"/>
      <c r="CC1948" s="1019"/>
      <c r="CD1948" s="687"/>
      <c r="CE1948" s="687"/>
      <c r="CF1948" s="687"/>
      <c r="CG1948" s="687"/>
      <c r="CI1948" s="687"/>
      <c r="CJ1948" s="687"/>
      <c r="CK1948" s="687"/>
      <c r="CL1948" s="687"/>
      <c r="CM1948" s="687"/>
      <c r="CN1948" s="687"/>
      <c r="CO1948" s="687"/>
      <c r="CP1948" s="1020"/>
      <c r="CQ1948" s="1020"/>
      <c r="CR1948" s="554">
        <f>I1948</f>
        <v>996</v>
      </c>
      <c r="CS1948" s="554">
        <f>I1948</f>
        <v>996</v>
      </c>
      <c r="CT1948" s="554">
        <f>I1948</f>
        <v>996</v>
      </c>
      <c r="CU1948" s="687">
        <f t="shared" si="793"/>
        <v>0</v>
      </c>
      <c r="CV1948" s="563">
        <v>0</v>
      </c>
      <c r="CW1948" s="563">
        <v>0</v>
      </c>
      <c r="CX1948" s="1020"/>
      <c r="CY1948" s="1020"/>
      <c r="CZ1948" s="1020"/>
      <c r="DA1948" s="1020"/>
      <c r="DB1948" s="1020"/>
      <c r="DC1948" s="1020"/>
      <c r="DD1948" s="1020"/>
      <c r="DE1948" s="1020"/>
      <c r="DF1948" s="1020"/>
      <c r="DG1948" s="1020"/>
      <c r="DH1948" s="1020"/>
    </row>
    <row r="1949" s="548" customFormat="1" ht="31" customHeight="1" spans="1:113">
      <c r="A1949" s="1008">
        <v>46126</v>
      </c>
      <c r="B1949" s="628" t="s">
        <v>3340</v>
      </c>
      <c r="C1949" s="618" t="s">
        <v>98</v>
      </c>
      <c r="D1949" s="687">
        <v>4500201758</v>
      </c>
      <c r="E1949" s="618">
        <v>127340</v>
      </c>
      <c r="F1949" s="687" t="s">
        <v>10736</v>
      </c>
      <c r="G1949" s="618" t="s">
        <v>6787</v>
      </c>
      <c r="H1949" s="939" t="s">
        <v>6126</v>
      </c>
      <c r="I1949" s="1069">
        <v>1200</v>
      </c>
      <c r="J1949" s="618">
        <v>0</v>
      </c>
      <c r="K1949" s="618">
        <v>12</v>
      </c>
      <c r="L1949" s="1011">
        <f t="shared" si="790"/>
        <v>100</v>
      </c>
      <c r="M1949" s="1012">
        <v>46254</v>
      </c>
      <c r="N1949" s="1027">
        <v>46249</v>
      </c>
      <c r="O1949" s="1043"/>
      <c r="P1949" s="618"/>
      <c r="Q1949" s="774"/>
      <c r="R1949" s="774">
        <v>46126</v>
      </c>
      <c r="S1949" s="999" t="s">
        <v>70</v>
      </c>
      <c r="T1949" s="999" t="s">
        <v>5643</v>
      </c>
      <c r="U1949" s="1052"/>
      <c r="V1949" s="1070"/>
      <c r="W1949" s="1071"/>
      <c r="X1949" s="1072" t="s">
        <v>10737</v>
      </c>
      <c r="Y1949" s="1014" t="s">
        <v>3864</v>
      </c>
      <c r="Z1949" s="628">
        <v>1.3318</v>
      </c>
      <c r="AA1949" s="1014">
        <f t="shared" si="791"/>
        <v>1598.16</v>
      </c>
      <c r="AC1949" s="697"/>
      <c r="AD1949" s="628" t="s">
        <v>8079</v>
      </c>
      <c r="AE1949" s="618" t="s">
        <v>82</v>
      </c>
      <c r="AF1949" s="618"/>
      <c r="AG1949" s="618"/>
      <c r="AH1949" s="628"/>
      <c r="AI1949" s="609">
        <v>1200</v>
      </c>
      <c r="AJ1949" s="618">
        <f t="shared" si="792"/>
        <v>0</v>
      </c>
      <c r="AK1949" s="773"/>
      <c r="AL1949" s="939" t="s">
        <v>2368</v>
      </c>
      <c r="AM1949" s="618"/>
      <c r="AN1949" s="610">
        <f>I1949*2</f>
        <v>2400</v>
      </c>
      <c r="AO1949" s="551"/>
      <c r="AP1949" s="687"/>
      <c r="AQ1949" s="554">
        <f>I1949*2</f>
        <v>2400</v>
      </c>
      <c r="AR1949" s="1015"/>
      <c r="AS1949" s="563"/>
      <c r="AT1949" s="563"/>
      <c r="AU1949" s="554">
        <f>I1949*2</f>
        <v>2400</v>
      </c>
      <c r="AV1949" s="551"/>
      <c r="AW1949" s="687"/>
      <c r="AX1949" s="1016"/>
      <c r="AY1949" s="687"/>
      <c r="AZ1949" s="687"/>
      <c r="BA1949" s="687"/>
      <c r="BB1949" s="1017">
        <f>I1949/24*2</f>
        <v>100</v>
      </c>
      <c r="BC1949" s="687"/>
      <c r="BD1949" s="687"/>
      <c r="BE1949" s="687"/>
      <c r="BF1949" s="687"/>
      <c r="BH1949" s="687"/>
      <c r="BI1949" s="687"/>
      <c r="BJ1949" s="687"/>
      <c r="BK1949" s="687"/>
      <c r="BL1949" s="687"/>
      <c r="BM1949" s="551"/>
      <c r="BN1949" s="687"/>
      <c r="BO1949" s="687"/>
      <c r="BP1949" s="687"/>
      <c r="BQ1949" s="687"/>
      <c r="BR1949" s="687"/>
      <c r="BS1949" s="687"/>
      <c r="BT1949" s="687"/>
      <c r="BU1949" s="687"/>
      <c r="BV1949" s="687"/>
      <c r="BW1949" s="687"/>
      <c r="BX1949" s="687"/>
      <c r="BY1949" s="687"/>
      <c r="BZ1949" s="687"/>
      <c r="CA1949" s="1018"/>
      <c r="CB1949" s="567"/>
      <c r="CC1949" s="1019"/>
      <c r="CD1949" s="687"/>
      <c r="CE1949" s="687"/>
      <c r="CF1949" s="687"/>
      <c r="CG1949" s="687"/>
      <c r="CI1949" s="687"/>
      <c r="CJ1949" s="687"/>
      <c r="CK1949" s="687"/>
      <c r="CL1949" s="687"/>
      <c r="CM1949" s="687"/>
      <c r="CN1949" s="687"/>
      <c r="CO1949" s="687"/>
      <c r="CP1949" s="1020"/>
      <c r="CQ1949" s="1020"/>
      <c r="CR1949" s="554">
        <f>I1949</f>
        <v>1200</v>
      </c>
      <c r="CS1949" s="554">
        <f>I1949</f>
        <v>1200</v>
      </c>
      <c r="CT1949" s="554">
        <f>I1949</f>
        <v>1200</v>
      </c>
      <c r="CU1949" s="687">
        <f t="shared" si="793"/>
        <v>0</v>
      </c>
      <c r="CV1949" s="563">
        <v>0</v>
      </c>
      <c r="CW1949" s="563">
        <v>0</v>
      </c>
      <c r="CX1949" s="1020"/>
      <c r="CY1949" s="1020"/>
      <c r="CZ1949" s="1020"/>
      <c r="DA1949" s="1020"/>
      <c r="DB1949" s="1020"/>
      <c r="DC1949" s="1020"/>
      <c r="DD1949" s="1020"/>
      <c r="DE1949" s="1020"/>
      <c r="DF1949" s="1020"/>
      <c r="DG1949" s="1020"/>
      <c r="DH1949" s="1020"/>
    </row>
    <row r="1950" s="548" customFormat="1" ht="31" customHeight="1" spans="1:113">
      <c r="A1950" s="1008">
        <v>46156</v>
      </c>
      <c r="B1950" s="628" t="s">
        <v>1146</v>
      </c>
      <c r="C1950" s="618" t="s">
        <v>170</v>
      </c>
      <c r="D1950" s="1009">
        <v>4500207214</v>
      </c>
      <c r="E1950" s="618" t="s">
        <v>10738</v>
      </c>
      <c r="F1950" s="687" t="s">
        <v>10739</v>
      </c>
      <c r="G1950" s="939" t="s">
        <v>6166</v>
      </c>
      <c r="H1950" s="939" t="s">
        <v>6094</v>
      </c>
      <c r="I1950" s="1023">
        <v>455</v>
      </c>
      <c r="J1950" s="939">
        <v>0</v>
      </c>
      <c r="K1950" s="939">
        <v>13</v>
      </c>
      <c r="L1950" s="1064">
        <f t="shared" si="790"/>
        <v>35</v>
      </c>
      <c r="M1950" s="1027">
        <v>46254</v>
      </c>
      <c r="N1950" s="1027">
        <v>46249</v>
      </c>
      <c r="O1950" s="773"/>
      <c r="P1950" s="618"/>
      <c r="Q1950" s="774"/>
      <c r="R1950" s="774">
        <v>46216</v>
      </c>
      <c r="S1950" s="999" t="s">
        <v>70</v>
      </c>
      <c r="T1950" s="999" t="s">
        <v>10740</v>
      </c>
      <c r="U1950" s="646"/>
      <c r="V1950" s="774"/>
      <c r="W1950" s="1074"/>
      <c r="X1950" s="1075" t="s">
        <v>10741</v>
      </c>
      <c r="Y1950" s="1014" t="s">
        <v>1150</v>
      </c>
      <c r="Z1950" s="628">
        <v>0.9429</v>
      </c>
      <c r="AA1950" s="1014">
        <f t="shared" si="791"/>
        <v>429.0195</v>
      </c>
      <c r="AC1950" s="697"/>
      <c r="AD1950" s="618" t="s">
        <v>6166</v>
      </c>
      <c r="AE1950" s="618" t="s">
        <v>82</v>
      </c>
      <c r="AF1950" s="618"/>
      <c r="AG1950" s="618"/>
      <c r="AH1950" s="628"/>
      <c r="AI1950" s="609"/>
      <c r="AJ1950" s="618">
        <f t="shared" si="792"/>
        <v>-455</v>
      </c>
      <c r="AK1950" s="773"/>
      <c r="AL1950" s="939" t="s">
        <v>2368</v>
      </c>
      <c r="AM1950" s="618"/>
      <c r="AN1950" s="687">
        <f>I1950</f>
        <v>455</v>
      </c>
      <c r="AO1950" s="551"/>
      <c r="AP1950" s="687"/>
      <c r="AQ1950" s="563"/>
      <c r="AR1950" s="1015"/>
      <c r="AS1950" s="554">
        <f>I1950</f>
        <v>455</v>
      </c>
      <c r="AT1950" s="551"/>
      <c r="AU1950" s="554">
        <f>I1950</f>
        <v>455</v>
      </c>
      <c r="AV1950" s="551"/>
      <c r="AW1950" s="687"/>
      <c r="AX1950" s="1016"/>
      <c r="AY1950" s="687"/>
      <c r="AZ1950" s="687"/>
      <c r="BA1950" s="687"/>
      <c r="BB1950" s="249">
        <f>I1950/24</f>
        <v>18.9583333333333</v>
      </c>
      <c r="BC1950" s="687"/>
      <c r="BD1950" s="687"/>
      <c r="BE1950" s="687"/>
      <c r="BF1950" s="687"/>
      <c r="BH1950" s="687"/>
      <c r="BI1950" s="687"/>
      <c r="BJ1950" s="687"/>
      <c r="BK1950" s="687"/>
      <c r="BL1950" s="551">
        <f>I1950/13</f>
        <v>35</v>
      </c>
      <c r="BM1950" s="551"/>
      <c r="BN1950" s="687"/>
      <c r="BO1950" s="687"/>
      <c r="BP1950" s="687"/>
      <c r="BQ1950" s="687"/>
      <c r="BR1950" s="687"/>
      <c r="BS1950" s="687"/>
      <c r="BT1950" s="687"/>
      <c r="BU1950" s="687"/>
      <c r="BV1950" s="687"/>
      <c r="BW1950" s="687"/>
      <c r="BX1950" s="687"/>
      <c r="BY1950" s="687"/>
      <c r="BZ1950" s="687"/>
      <c r="CA1950" s="1018"/>
      <c r="CB1950" s="567"/>
      <c r="CC1950" s="1019"/>
      <c r="CD1950" s="687"/>
      <c r="CE1950" s="687"/>
      <c r="CF1950" s="687"/>
      <c r="CG1950" s="687"/>
      <c r="CI1950" s="687"/>
      <c r="CJ1950" s="687"/>
      <c r="CK1950" s="687"/>
      <c r="CL1950" s="687"/>
      <c r="CM1950" s="687"/>
      <c r="CN1950" s="687"/>
      <c r="CO1950" s="687"/>
      <c r="CP1950" s="1020"/>
      <c r="CQ1950" s="1020"/>
      <c r="CR1950" s="687"/>
      <c r="CS1950" s="687"/>
      <c r="CT1950" s="687"/>
      <c r="CU1950" s="554">
        <f t="shared" si="793"/>
        <v>0</v>
      </c>
      <c r="CV1950" s="551">
        <f>CK1950+CL1950+CM1950+CN1950+CO1950+CQ1950+CP1950</f>
        <v>0</v>
      </c>
      <c r="CW1950" s="551">
        <f>CI1950+CJ1950</f>
        <v>0</v>
      </c>
      <c r="CX1950" s="1020"/>
      <c r="CY1950" s="1020"/>
      <c r="CZ1950" s="1020"/>
      <c r="DA1950" s="1020"/>
      <c r="DB1950" s="1020"/>
      <c r="DC1950" s="1020"/>
      <c r="DD1950" s="1020"/>
      <c r="DE1950" s="1020"/>
      <c r="DF1950" s="1020"/>
      <c r="DG1950" s="1020"/>
      <c r="DH1950" s="1020"/>
    </row>
    <row r="1951" s="558" customFormat="1" ht="31" customHeight="1" spans="1:113">
      <c r="A1951" s="991">
        <v>46198</v>
      </c>
      <c r="B1951" s="601" t="s">
        <v>1503</v>
      </c>
      <c r="C1951" s="992" t="s">
        <v>98</v>
      </c>
      <c r="D1951" s="993">
        <v>4500213775</v>
      </c>
      <c r="E1951" s="992" t="s">
        <v>10742</v>
      </c>
      <c r="F1951" s="586" t="s">
        <v>10743</v>
      </c>
      <c r="G1951" s="992" t="s">
        <v>6787</v>
      </c>
      <c r="H1951" s="939" t="s">
        <v>6126</v>
      </c>
      <c r="I1951" s="995">
        <v>1320</v>
      </c>
      <c r="J1951" s="992">
        <v>0</v>
      </c>
      <c r="K1951" s="996">
        <v>12</v>
      </c>
      <c r="L1951" s="997">
        <f t="shared" si="790"/>
        <v>110</v>
      </c>
      <c r="M1951" s="998">
        <v>46254</v>
      </c>
      <c r="N1951" s="1027">
        <v>46249</v>
      </c>
      <c r="O1951" s="994"/>
      <c r="P1951" s="992"/>
      <c r="Q1951" s="584"/>
      <c r="R1951" s="584">
        <v>46198</v>
      </c>
      <c r="S1951" s="999" t="s">
        <v>104</v>
      </c>
      <c r="T1951" s="584" t="s">
        <v>10709</v>
      </c>
      <c r="U1951" s="584"/>
      <c r="V1951" s="584"/>
      <c r="W1951" s="585"/>
      <c r="X1951" s="601" t="s">
        <v>9303</v>
      </c>
      <c r="Y1951" s="1000" t="s">
        <v>125</v>
      </c>
      <c r="Z1951" s="601">
        <v>1.3899</v>
      </c>
      <c r="AA1951" s="1000">
        <f t="shared" si="791"/>
        <v>1834.668</v>
      </c>
      <c r="AC1951" s="1002"/>
      <c r="AD1951" s="939" t="s">
        <v>8079</v>
      </c>
      <c r="AE1951" s="992" t="s">
        <v>82</v>
      </c>
      <c r="AF1951" s="992"/>
      <c r="AG1951" s="992"/>
      <c r="AH1951" s="601"/>
      <c r="AI1951" s="609">
        <v>1320</v>
      </c>
      <c r="AJ1951" s="939">
        <f t="shared" si="792"/>
        <v>0</v>
      </c>
      <c r="AK1951" s="994"/>
      <c r="AL1951" s="992"/>
      <c r="AM1951" s="992"/>
      <c r="AN1951" s="992">
        <f>I1951*2</f>
        <v>2640</v>
      </c>
      <c r="AO1951" s="586"/>
      <c r="AP1951" s="586"/>
      <c r="AQ1951" s="563">
        <f>I1951*2</f>
        <v>2640</v>
      </c>
      <c r="AR1951" s="1003"/>
      <c r="AS1951" s="586"/>
      <c r="AT1951" s="586"/>
      <c r="AU1951" s="563">
        <f>I1951*2</f>
        <v>2640</v>
      </c>
      <c r="AV1951" s="586"/>
      <c r="AW1951" s="586"/>
      <c r="AX1951" s="1049"/>
      <c r="AY1951" s="586"/>
      <c r="AZ1951" s="586"/>
      <c r="BA1951" s="586"/>
      <c r="BB1951" s="1017">
        <f>I1951/24*2</f>
        <v>110</v>
      </c>
      <c r="BC1951" s="586"/>
      <c r="BD1951" s="586"/>
      <c r="BE1951" s="586"/>
      <c r="BF1951" s="1005"/>
      <c r="BG1951" s="561"/>
      <c r="BH1951" s="1006"/>
      <c r="BI1951" s="586"/>
      <c r="BJ1951" s="586"/>
      <c r="BK1951" s="586"/>
      <c r="BL1951" s="586"/>
      <c r="BM1951" s="586"/>
      <c r="BN1951" s="586"/>
      <c r="BO1951" s="586"/>
      <c r="BP1951" s="586"/>
      <c r="BQ1951" s="586"/>
      <c r="BR1951" s="586"/>
      <c r="BS1951" s="586"/>
      <c r="BT1951" s="586"/>
      <c r="BU1951" s="586"/>
      <c r="BV1951" s="586"/>
      <c r="BW1951" s="586"/>
      <c r="BX1951" s="586"/>
      <c r="BY1951" s="586"/>
      <c r="BZ1951" s="586"/>
      <c r="CA1951" s="1007"/>
      <c r="CB1951" s="560"/>
      <c r="CC1951" s="1006"/>
      <c r="CD1951" s="586"/>
      <c r="CE1951" s="586"/>
      <c r="CF1951" s="586"/>
      <c r="CG1951" s="1005"/>
      <c r="CH1951" s="561"/>
      <c r="CI1951" s="1006"/>
      <c r="CJ1951" s="586"/>
      <c r="CK1951" s="586"/>
      <c r="CL1951" s="586"/>
      <c r="CM1951" s="586"/>
      <c r="CN1951" s="586"/>
      <c r="CO1951" s="586"/>
      <c r="CP1951" s="1003"/>
      <c r="CQ1951" s="1003"/>
      <c r="CR1951" s="563">
        <f>I1951</f>
        <v>1320</v>
      </c>
      <c r="CS1951" s="563">
        <f>I1951</f>
        <v>1320</v>
      </c>
      <c r="CT1951" s="563">
        <f>I1951</f>
        <v>1320</v>
      </c>
      <c r="CU1951" s="563">
        <f t="shared" si="793"/>
        <v>0</v>
      </c>
      <c r="CV1951" s="563">
        <v>0</v>
      </c>
      <c r="CW1951" s="563">
        <v>0</v>
      </c>
      <c r="CX1951" s="1003"/>
      <c r="CY1951" s="1003"/>
      <c r="CZ1951" s="1003"/>
      <c r="DA1951" s="1003"/>
      <c r="DB1951" s="1003"/>
      <c r="DC1951" s="1003"/>
      <c r="DD1951" s="1003"/>
      <c r="DE1951" s="1003"/>
      <c r="DF1951" s="1003"/>
      <c r="DG1951" s="1003"/>
      <c r="DH1951" s="1003"/>
    </row>
    <row r="1952" s="559" customFormat="1" ht="31" customHeight="1" spans="1:113">
      <c r="A1952" s="1022">
        <v>46234</v>
      </c>
      <c r="B1952" s="626"/>
      <c r="C1952" s="939" t="s">
        <v>4137</v>
      </c>
      <c r="D1952" s="563" t="s">
        <v>5589</v>
      </c>
      <c r="E1952" s="939"/>
      <c r="F1952" s="563" t="s">
        <v>5590</v>
      </c>
      <c r="G1952" s="939" t="s">
        <v>6360</v>
      </c>
      <c r="H1952" s="939" t="s">
        <v>477</v>
      </c>
      <c r="I1952" s="1023">
        <v>120</v>
      </c>
      <c r="J1952" s="939">
        <v>0</v>
      </c>
      <c r="K1952" s="939">
        <v>6</v>
      </c>
      <c r="L1952" s="1064">
        <f t="shared" si="790"/>
        <v>20</v>
      </c>
      <c r="M1952" s="1027">
        <v>46254</v>
      </c>
      <c r="N1952" s="1027">
        <v>46251</v>
      </c>
      <c r="O1952" s="1031"/>
      <c r="P1952" s="939"/>
      <c r="Q1952" s="999"/>
      <c r="R1952" s="999"/>
      <c r="S1952" s="999"/>
      <c r="T1952" s="999"/>
      <c r="U1952" s="999"/>
      <c r="V1952" s="999"/>
      <c r="W1952" s="626"/>
      <c r="X1952" s="626" t="s">
        <v>4142</v>
      </c>
      <c r="Y1952" s="1001" t="s">
        <v>85</v>
      </c>
      <c r="Z1952" s="1076"/>
      <c r="AA1952" s="1001"/>
      <c r="AB1952" s="563"/>
      <c r="AC1952" s="1077"/>
      <c r="AD1952" s="246" t="s">
        <v>480</v>
      </c>
      <c r="AE1952" s="939" t="s">
        <v>82</v>
      </c>
      <c r="AF1952" s="939"/>
      <c r="AG1952" s="939"/>
      <c r="AH1952" s="939"/>
      <c r="AI1952" s="626"/>
      <c r="AJ1952" s="246">
        <f t="shared" si="792"/>
        <v>-120</v>
      </c>
      <c r="AK1952" s="939"/>
      <c r="AL1952" s="939"/>
      <c r="AM1952" s="563"/>
      <c r="AN1952" s="563"/>
      <c r="AO1952" s="551">
        <f>I1952*2</f>
        <v>240</v>
      </c>
      <c r="AP1952" s="563"/>
      <c r="AQ1952" s="563"/>
      <c r="AR1952" s="563"/>
      <c r="AS1952" s="563"/>
      <c r="AT1952" s="551">
        <f>I1952*2</f>
        <v>240</v>
      </c>
      <c r="AU1952" s="551"/>
      <c r="AV1952" s="551">
        <f>I1952*2</f>
        <v>240</v>
      </c>
      <c r="AW1952" s="563"/>
      <c r="AX1952" s="1004"/>
      <c r="AY1952" s="563"/>
      <c r="AZ1952" s="563"/>
      <c r="BA1952" s="563"/>
      <c r="BB1952" s="620">
        <f>I1952/24*2</f>
        <v>10</v>
      </c>
      <c r="BC1952" s="563"/>
      <c r="BD1952" s="563"/>
      <c r="BE1952" s="563"/>
      <c r="BF1952" s="563"/>
      <c r="BG1952" s="563"/>
      <c r="BH1952" s="563"/>
      <c r="BI1952" s="563"/>
      <c r="BJ1952" s="563"/>
      <c r="BK1952" s="563"/>
      <c r="BL1952" s="563"/>
      <c r="BM1952" s="563"/>
      <c r="BN1952" s="563"/>
      <c r="BO1952" s="563"/>
      <c r="BP1952" s="563"/>
      <c r="BQ1952" s="563"/>
      <c r="BR1952" s="563"/>
      <c r="BS1952" s="563"/>
      <c r="BT1952" s="563"/>
      <c r="BU1952" s="563"/>
      <c r="BV1952" s="563"/>
      <c r="BW1952" s="563"/>
      <c r="BX1952" s="563"/>
      <c r="BY1952" s="563"/>
      <c r="BZ1952" s="563"/>
      <c r="CA1952" s="563"/>
      <c r="CB1952" s="563"/>
      <c r="CC1952" s="563"/>
      <c r="CD1952" s="563">
        <f>I1952</f>
        <v>120</v>
      </c>
      <c r="CE1952" s="563"/>
      <c r="CF1952" s="563"/>
      <c r="CG1952" s="563"/>
      <c r="CH1952" s="1015"/>
      <c r="CI1952" s="1015"/>
      <c r="CJ1952" s="1015"/>
      <c r="CK1952" s="1015"/>
      <c r="CL1952" s="1015"/>
      <c r="CM1952" s="563"/>
      <c r="CN1952" s="563"/>
      <c r="CO1952" s="563"/>
      <c r="CP1952" s="1015"/>
      <c r="CQ1952" s="1015"/>
      <c r="CR1952" s="1015"/>
      <c r="CS1952" s="1015"/>
      <c r="CT1952" s="1015"/>
      <c r="CU1952" s="1015"/>
    </row>
    <row r="1953" s="559" customFormat="1" ht="31" customHeight="1" spans="1:113">
      <c r="A1953" s="1022">
        <v>46234</v>
      </c>
      <c r="B1953" s="626"/>
      <c r="C1953" s="939" t="s">
        <v>4137</v>
      </c>
      <c r="D1953" s="563" t="s">
        <v>10744</v>
      </c>
      <c r="E1953" s="939"/>
      <c r="F1953" s="563" t="s">
        <v>10745</v>
      </c>
      <c r="G1953" s="939" t="s">
        <v>6020</v>
      </c>
      <c r="H1953" s="939" t="s">
        <v>10746</v>
      </c>
      <c r="I1953" s="1023" t="s">
        <v>95</v>
      </c>
      <c r="J1953" s="939"/>
      <c r="K1953" s="939"/>
      <c r="L1953" s="1064"/>
      <c r="M1953" s="1027">
        <v>46254</v>
      </c>
      <c r="N1953" s="1027">
        <v>46251</v>
      </c>
      <c r="O1953" s="1031"/>
      <c r="P1953" s="939"/>
      <c r="Q1953" s="999"/>
      <c r="R1953" s="999"/>
      <c r="S1953" s="999"/>
      <c r="T1953" s="999"/>
      <c r="U1953" s="999"/>
      <c r="V1953" s="999"/>
      <c r="W1953" s="626"/>
      <c r="X1953" s="626" t="s">
        <v>10747</v>
      </c>
      <c r="Y1953" s="1001" t="s">
        <v>85</v>
      </c>
      <c r="Z1953" s="1076"/>
      <c r="AA1953" s="1001"/>
      <c r="AB1953" s="563"/>
      <c r="AC1953" s="1077"/>
      <c r="AD1953" s="662" t="s">
        <v>73</v>
      </c>
      <c r="AE1953" s="939" t="s">
        <v>4133</v>
      </c>
      <c r="AF1953" s="939"/>
      <c r="AG1953" s="939"/>
      <c r="AH1953" s="939"/>
      <c r="AI1953" s="626"/>
      <c r="AJ1953" s="246"/>
      <c r="AK1953" s="939"/>
      <c r="AL1953" s="939"/>
      <c r="AM1953" s="563"/>
      <c r="AN1953" s="563"/>
      <c r="AO1953" s="563"/>
      <c r="AP1953" s="563"/>
      <c r="AQ1953" s="563"/>
      <c r="AR1953" s="563"/>
      <c r="AS1953" s="563"/>
      <c r="AT1953" s="563"/>
      <c r="AU1953" s="563"/>
      <c r="AV1953" s="563"/>
      <c r="AW1953" s="563"/>
      <c r="AX1953" s="1004"/>
      <c r="AY1953" s="563"/>
      <c r="AZ1953" s="563"/>
      <c r="BA1953" s="563"/>
      <c r="BB1953" s="563"/>
      <c r="BC1953" s="563"/>
      <c r="BD1953" s="563"/>
      <c r="BE1953" s="563"/>
      <c r="BF1953" s="563"/>
      <c r="BG1953" s="563"/>
      <c r="BH1953" s="563"/>
      <c r="BI1953" s="563"/>
      <c r="BJ1953" s="563"/>
      <c r="BK1953" s="563"/>
      <c r="BL1953" s="563"/>
      <c r="BM1953" s="563"/>
      <c r="BN1953" s="563"/>
      <c r="BO1953" s="563"/>
      <c r="BP1953" s="563"/>
      <c r="BQ1953" s="563"/>
      <c r="BR1953" s="563"/>
      <c r="BS1953" s="563"/>
      <c r="BT1953" s="563"/>
      <c r="BU1953" s="563"/>
      <c r="BV1953" s="563"/>
      <c r="BW1953" s="563"/>
      <c r="BX1953" s="563"/>
      <c r="BY1953" s="563"/>
      <c r="BZ1953" s="563"/>
      <c r="CA1953" s="563"/>
      <c r="CB1953" s="563"/>
      <c r="CC1953" s="563"/>
      <c r="CD1953" s="563"/>
      <c r="CE1953" s="563"/>
      <c r="CF1953" s="563"/>
      <c r="CG1953" s="563"/>
      <c r="CH1953" s="1015"/>
      <c r="CI1953" s="1015"/>
      <c r="CJ1953" s="1015"/>
      <c r="CK1953" s="1015"/>
      <c r="CL1953" s="1015"/>
      <c r="CM1953" s="563"/>
      <c r="CN1953" s="563"/>
      <c r="CO1953" s="563"/>
      <c r="CP1953" s="1015"/>
      <c r="CQ1953" s="1015"/>
      <c r="CR1953" s="1015"/>
      <c r="CS1953" s="1015"/>
      <c r="CT1953" s="1015"/>
      <c r="CU1953" s="554">
        <f>BQ1953+BP1953+BO1953+BN1953+BX1953+BR1953</f>
        <v>0</v>
      </c>
      <c r="CV1953" s="663">
        <f>CK1953+CL1953+CM1953+CN1953+CO1953+CQ1953+CP1953</f>
        <v>0</v>
      </c>
      <c r="CW1953" s="663">
        <f>CI1953+CJ1953</f>
        <v>0</v>
      </c>
    </row>
    <row r="1954" s="558" customFormat="1" ht="31" customHeight="1" spans="1:113">
      <c r="A1954" s="1022">
        <v>46239</v>
      </c>
      <c r="B1954" s="626"/>
      <c r="C1954" s="939" t="s">
        <v>4137</v>
      </c>
      <c r="D1954" s="563" t="s">
        <v>10748</v>
      </c>
      <c r="E1954" s="939"/>
      <c r="F1954" s="563" t="s">
        <v>10749</v>
      </c>
      <c r="G1954" s="939" t="s">
        <v>6020</v>
      </c>
      <c r="H1954" s="939" t="s">
        <v>6021</v>
      </c>
      <c r="I1954" s="1023">
        <v>2400</v>
      </c>
      <c r="J1954" s="939">
        <v>0</v>
      </c>
      <c r="K1954" s="939">
        <v>24</v>
      </c>
      <c r="L1954" s="1064">
        <f>I1954/K1954</f>
        <v>100</v>
      </c>
      <c r="M1954" s="1026">
        <v>46254</v>
      </c>
      <c r="N1954" s="1027">
        <v>46252</v>
      </c>
      <c r="O1954" s="1031"/>
      <c r="P1954" s="939"/>
      <c r="Q1954" s="999"/>
      <c r="R1954" s="999">
        <v>46239</v>
      </c>
      <c r="S1954" s="999" t="s">
        <v>70</v>
      </c>
      <c r="T1954" s="999" t="s">
        <v>70</v>
      </c>
      <c r="U1954" s="584"/>
      <c r="V1954" s="999"/>
      <c r="W1954" s="585"/>
      <c r="X1954" s="626" t="s">
        <v>10750</v>
      </c>
      <c r="Y1954" s="1001" t="s">
        <v>92</v>
      </c>
      <c r="Z1954" s="626"/>
      <c r="AA1954" s="1001"/>
      <c r="AB1954" s="585"/>
      <c r="AC1954" s="1030"/>
      <c r="AD1954" s="939" t="s">
        <v>6020</v>
      </c>
      <c r="AE1954" s="939" t="s">
        <v>82</v>
      </c>
      <c r="AF1954" s="939"/>
      <c r="AG1954" s="939"/>
      <c r="AH1954" s="626"/>
      <c r="AI1954" s="626"/>
      <c r="AJ1954" s="246">
        <f>AI1954-I1954</f>
        <v>-2400</v>
      </c>
      <c r="AK1954" s="1031"/>
      <c r="AL1954" s="939"/>
      <c r="AM1954" s="939"/>
      <c r="AN1954" s="939">
        <f>I1954</f>
        <v>2400</v>
      </c>
      <c r="AO1954" s="563"/>
      <c r="AP1954" s="563">
        <f>I1954</f>
        <v>2400</v>
      </c>
      <c r="AQ1954" s="563"/>
      <c r="AR1954" s="1015"/>
      <c r="AS1954" s="563"/>
      <c r="AT1954" s="563"/>
      <c r="AU1954" s="563">
        <f>I1954</f>
        <v>2400</v>
      </c>
      <c r="AV1954" s="563"/>
      <c r="AW1954" s="563"/>
      <c r="AX1954" s="1004"/>
      <c r="AY1954" s="563"/>
      <c r="AZ1954" s="563"/>
      <c r="BA1954" s="563"/>
      <c r="BB1954" s="1017">
        <f>I1954/24*2</f>
        <v>200</v>
      </c>
      <c r="BC1954" s="563"/>
      <c r="BD1954" s="563"/>
      <c r="BE1954" s="563"/>
      <c r="BF1954" s="1032"/>
      <c r="BG1954" s="560"/>
      <c r="BH1954" s="1033"/>
      <c r="BI1954" s="563"/>
      <c r="BJ1954" s="563"/>
      <c r="BK1954" s="563"/>
      <c r="BL1954" s="563"/>
      <c r="BM1954" s="563"/>
      <c r="BN1954" s="563"/>
      <c r="BO1954" s="563"/>
      <c r="BP1954" s="563"/>
      <c r="BQ1954" s="563"/>
      <c r="BR1954" s="563"/>
      <c r="BS1954" s="563"/>
      <c r="BT1954" s="563"/>
      <c r="BU1954" s="563"/>
      <c r="BV1954" s="563"/>
      <c r="BW1954" s="563"/>
      <c r="BX1954" s="563"/>
      <c r="BY1954" s="563"/>
      <c r="BZ1954" s="563"/>
      <c r="CA1954" s="1032"/>
      <c r="CB1954" s="560"/>
      <c r="CC1954" s="1033"/>
      <c r="CD1954" s="563"/>
      <c r="CE1954" s="563"/>
      <c r="CF1954" s="563"/>
      <c r="CG1954" s="1032"/>
      <c r="CH1954" s="560"/>
      <c r="CI1954" s="1033"/>
      <c r="CJ1954" s="563"/>
      <c r="CK1954" s="563"/>
      <c r="CL1954" s="563"/>
      <c r="CM1954" s="563"/>
      <c r="CN1954" s="563"/>
      <c r="CO1954" s="563"/>
      <c r="CP1954" s="1015"/>
      <c r="CQ1954" s="1015"/>
      <c r="CR1954" s="563"/>
      <c r="CS1954" s="563"/>
      <c r="CT1954" s="563"/>
      <c r="CU1954" s="563">
        <f>BQ1954+BP1954+BO1954+BN1954+BX1954+BR1954</f>
        <v>0</v>
      </c>
      <c r="CV1954" s="563">
        <f>CK1954+CL1954+CM1954+CN1954+CO1954+CQ1954+CP1954</f>
        <v>0</v>
      </c>
      <c r="CW1954" s="563">
        <f>CI1954+CJ1954</f>
        <v>0</v>
      </c>
      <c r="CX1954" s="1015"/>
      <c r="CY1954" s="1015"/>
      <c r="CZ1954" s="1015"/>
      <c r="DA1954" s="1015"/>
      <c r="DB1954" s="1015"/>
      <c r="DC1954" s="1015"/>
      <c r="DD1954" s="1015"/>
      <c r="DE1954" s="1015"/>
      <c r="DF1954" s="1015"/>
      <c r="DG1954" s="1015"/>
      <c r="DH1954" s="1015"/>
    </row>
    <row r="1955" s="558" customFormat="1" ht="31" customHeight="1" spans="1:113">
      <c r="A1955" s="1022">
        <v>46240</v>
      </c>
      <c r="B1955" s="626"/>
      <c r="C1955" s="939" t="s">
        <v>4137</v>
      </c>
      <c r="D1955" s="563" t="s">
        <v>10751</v>
      </c>
      <c r="E1955" s="939"/>
      <c r="F1955" s="563" t="s">
        <v>10752</v>
      </c>
      <c r="G1955" s="939" t="s">
        <v>6020</v>
      </c>
      <c r="H1955" s="939" t="s">
        <v>6021</v>
      </c>
      <c r="I1955" s="1023" t="s">
        <v>10753</v>
      </c>
      <c r="J1955" s="939"/>
      <c r="K1955" s="1024"/>
      <c r="L1955" s="1025"/>
      <c r="M1955" s="1026">
        <v>46254</v>
      </c>
      <c r="N1955" s="1027">
        <v>46251</v>
      </c>
      <c r="O1955" s="1031"/>
      <c r="P1955" s="939"/>
      <c r="Q1955" s="999"/>
      <c r="R1955" s="999"/>
      <c r="S1955" s="584"/>
      <c r="T1955" s="584"/>
      <c r="U1955" s="584"/>
      <c r="V1955" s="999"/>
      <c r="W1955" s="585"/>
      <c r="X1955" s="626" t="s">
        <v>10754</v>
      </c>
      <c r="Y1955" s="1001" t="s">
        <v>10755</v>
      </c>
      <c r="Z1955" s="626"/>
      <c r="AA1955" s="1001"/>
      <c r="AB1955" s="585"/>
      <c r="AC1955" s="1030"/>
      <c r="AD1955" s="662" t="s">
        <v>73</v>
      </c>
      <c r="AE1955" s="939" t="s">
        <v>4133</v>
      </c>
      <c r="AF1955" s="939"/>
      <c r="AG1955" s="939"/>
      <c r="AH1955" s="626"/>
      <c r="AI1955" s="609"/>
      <c r="AJ1955" s="246"/>
      <c r="AK1955" s="1031"/>
      <c r="AL1955" s="939"/>
      <c r="AM1955" s="939"/>
      <c r="AN1955" s="939"/>
      <c r="AO1955" s="563"/>
      <c r="AP1955" s="586"/>
      <c r="AQ1955" s="563"/>
      <c r="AR1955" s="1015"/>
      <c r="AS1955" s="563"/>
      <c r="AT1955" s="563"/>
      <c r="AU1955" s="586"/>
      <c r="AV1955" s="563"/>
      <c r="AW1955" s="563"/>
      <c r="AX1955" s="1004"/>
      <c r="AY1955" s="563"/>
      <c r="AZ1955" s="563"/>
      <c r="BA1955" s="563"/>
      <c r="BB1955" s="1078"/>
      <c r="BC1955" s="563"/>
      <c r="BD1955" s="563"/>
      <c r="BE1955" s="563"/>
      <c r="BF1955" s="1032"/>
      <c r="BG1955" s="560"/>
      <c r="BH1955" s="1033"/>
      <c r="BI1955" s="563"/>
      <c r="BJ1955" s="563"/>
      <c r="BK1955" s="563"/>
      <c r="BL1955" s="563"/>
      <c r="BM1955" s="563"/>
      <c r="BN1955" s="563"/>
      <c r="BO1955" s="563"/>
      <c r="BP1955" s="563"/>
      <c r="BQ1955" s="563"/>
      <c r="BR1955" s="563"/>
      <c r="BS1955" s="563"/>
      <c r="BT1955" s="563"/>
      <c r="BU1955" s="563"/>
      <c r="BV1955" s="563"/>
      <c r="BW1955" s="563"/>
      <c r="BX1955" s="563"/>
      <c r="BY1955" s="563"/>
      <c r="BZ1955" s="563"/>
      <c r="CA1955" s="1032"/>
      <c r="CB1955" s="560"/>
      <c r="CC1955" s="1033"/>
      <c r="CD1955" s="563"/>
      <c r="CE1955" s="563"/>
      <c r="CF1955" s="563"/>
      <c r="CG1955" s="1032"/>
      <c r="CH1955" s="560"/>
      <c r="CI1955" s="1033"/>
      <c r="CJ1955" s="563"/>
      <c r="CK1955" s="563"/>
      <c r="CL1955" s="563"/>
      <c r="CM1955" s="563"/>
      <c r="CN1955" s="563"/>
      <c r="CO1955" s="563"/>
      <c r="CP1955" s="1015"/>
      <c r="CQ1955" s="1015"/>
      <c r="CR1955" s="563"/>
      <c r="CS1955" s="563"/>
      <c r="CT1955" s="563"/>
      <c r="CU1955" s="563"/>
      <c r="CV1955" s="563"/>
      <c r="CW1955" s="563"/>
      <c r="CX1955" s="1015"/>
      <c r="CY1955" s="1015"/>
      <c r="CZ1955" s="1015"/>
      <c r="DA1955" s="1015"/>
      <c r="DB1955" s="1015"/>
      <c r="DC1955" s="1015"/>
      <c r="DD1955" s="1015"/>
      <c r="DE1955" s="1015"/>
      <c r="DF1955" s="1015"/>
      <c r="DG1955" s="1015"/>
      <c r="DH1955" s="1015"/>
    </row>
    <row r="1956" s="558" customFormat="1" ht="31" customHeight="1" spans="1:113">
      <c r="A1956" s="1022">
        <v>46206</v>
      </c>
      <c r="B1956" s="626" t="s">
        <v>448</v>
      </c>
      <c r="C1956" s="939" t="s">
        <v>399</v>
      </c>
      <c r="D1956" s="563">
        <v>4500214939</v>
      </c>
      <c r="E1956" s="939"/>
      <c r="F1956" s="563" t="s">
        <v>10756</v>
      </c>
      <c r="G1956" s="939" t="s">
        <v>6223</v>
      </c>
      <c r="H1956" s="939" t="s">
        <v>6080</v>
      </c>
      <c r="I1956" s="1023">
        <v>2100</v>
      </c>
      <c r="J1956" s="939">
        <v>0</v>
      </c>
      <c r="K1956" s="939">
        <v>30</v>
      </c>
      <c r="L1956" s="1064">
        <f t="shared" ref="L1954:L1960" si="794">I1956/K1956</f>
        <v>70</v>
      </c>
      <c r="M1956" s="1027">
        <v>46255</v>
      </c>
      <c r="N1956" s="1027">
        <v>46249</v>
      </c>
      <c r="O1956" s="1031"/>
      <c r="P1956" s="939"/>
      <c r="Q1956" s="999"/>
      <c r="R1956" s="999">
        <v>46206</v>
      </c>
      <c r="S1956" s="999" t="s">
        <v>70</v>
      </c>
      <c r="T1956" s="999" t="s">
        <v>10757</v>
      </c>
      <c r="U1956" s="1040"/>
      <c r="V1956" s="1040" t="s">
        <v>10758</v>
      </c>
      <c r="W1956" s="603"/>
      <c r="X1956" s="1054" t="s">
        <v>10759</v>
      </c>
      <c r="Y1956" s="1001" t="s">
        <v>445</v>
      </c>
      <c r="Z1956" s="626">
        <v>43.0542</v>
      </c>
      <c r="AA1956" s="1001">
        <f>Z1956*L1956</f>
        <v>3013.794</v>
      </c>
      <c r="AB1956" s="585"/>
      <c r="AC1956" s="1030"/>
      <c r="AD1956" s="939" t="s">
        <v>6223</v>
      </c>
      <c r="AE1956" s="939" t="s">
        <v>82</v>
      </c>
      <c r="AF1956" s="939"/>
      <c r="AG1956" s="939"/>
      <c r="AH1956" s="626"/>
      <c r="AI1956" s="609">
        <v>2100</v>
      </c>
      <c r="AJ1956" s="939">
        <f t="shared" ref="AJ1954:AJ1960" si="795">AI1956-I1956</f>
        <v>0</v>
      </c>
      <c r="AK1956" s="1031"/>
      <c r="AL1956" s="939" t="s">
        <v>2368</v>
      </c>
      <c r="AM1956" s="939"/>
      <c r="AN1956" s="939"/>
      <c r="AO1956" s="563">
        <f t="shared" ref="AO1956:AO1962" si="796">I1956</f>
        <v>2100</v>
      </c>
      <c r="AP1956" s="563"/>
      <c r="AQ1956" s="563"/>
      <c r="AR1956" s="1015"/>
      <c r="AS1956" s="563"/>
      <c r="AT1956" s="563">
        <f>I1956</f>
        <v>2100</v>
      </c>
      <c r="AU1956" s="563"/>
      <c r="AV1956" s="563">
        <f t="shared" ref="AV1956:AV1962" si="797">I1956</f>
        <v>2100</v>
      </c>
      <c r="AW1956" s="563"/>
      <c r="AX1956" s="1004"/>
      <c r="AY1956" s="563"/>
      <c r="AZ1956" s="563"/>
      <c r="BA1956" s="563"/>
      <c r="BB1956" s="1017">
        <f t="shared" ref="BB1956:BB1962" si="798">I1956/24</f>
        <v>87.5</v>
      </c>
      <c r="BC1956" s="563"/>
      <c r="BD1956" s="563"/>
      <c r="BE1956" s="563"/>
      <c r="BF1956" s="563"/>
      <c r="BG1956" s="558"/>
      <c r="BH1956" s="563"/>
      <c r="BI1956" s="563"/>
      <c r="BJ1956" s="563"/>
      <c r="BK1956" s="563"/>
      <c r="BL1956" s="563"/>
      <c r="BM1956" s="563"/>
      <c r="BN1956" s="563"/>
      <c r="BO1956" s="563"/>
      <c r="BP1956" s="563"/>
      <c r="BQ1956" s="563"/>
      <c r="BR1956" s="563"/>
      <c r="BS1956" s="563"/>
      <c r="BT1956" s="563"/>
      <c r="BU1956" s="563"/>
      <c r="BV1956" s="563"/>
      <c r="BW1956" s="563"/>
      <c r="BX1956" s="563"/>
      <c r="BY1956" s="563"/>
      <c r="BZ1956" s="563"/>
      <c r="CA1956" s="1066"/>
      <c r="CB1956" s="560"/>
      <c r="CC1956" s="1067"/>
      <c r="CD1956" s="1015"/>
      <c r="CE1956" s="1015"/>
      <c r="CF1956" s="563"/>
      <c r="CG1956" s="563"/>
      <c r="CH1956" s="558"/>
      <c r="CI1956" s="563"/>
      <c r="CJ1956" s="563"/>
      <c r="CK1956" s="563"/>
      <c r="CL1956" s="563"/>
      <c r="CM1956" s="563"/>
      <c r="CN1956" s="563"/>
      <c r="CO1956" s="1073">
        <f>I1956/30</f>
        <v>70</v>
      </c>
      <c r="CP1956" s="563"/>
      <c r="CQ1956" s="1015"/>
      <c r="CR1956" s="563"/>
      <c r="CS1956" s="563"/>
      <c r="CT1956" s="563"/>
      <c r="CU1956" s="563">
        <f t="shared" ref="CU1954:CU1960" si="799">BQ1956+BP1956+BO1956+BN1956+BX1956+BR1956</f>
        <v>0</v>
      </c>
      <c r="CV1956" s="563">
        <f t="shared" ref="CV1954:CV1960" si="800">CK1956+CL1956+CM1956+CN1956+CO1956+CQ1956+CP1956</f>
        <v>70</v>
      </c>
      <c r="CW1956" s="563">
        <f t="shared" ref="CW1954:CW1960" si="801">CI1956+CJ1956</f>
        <v>0</v>
      </c>
      <c r="CX1956" s="1015"/>
      <c r="CY1956" s="1015"/>
      <c r="CZ1956" s="1015"/>
      <c r="DA1956" s="1015"/>
      <c r="DB1956" s="1015"/>
      <c r="DC1956" s="1015"/>
      <c r="DD1956" s="1015"/>
      <c r="DE1956" s="1015"/>
      <c r="DF1956" s="1015"/>
      <c r="DG1956" s="1015"/>
      <c r="DH1956" s="1015"/>
      <c r="DI1956" s="563"/>
    </row>
    <row r="1957" s="558" customFormat="1" ht="31" customHeight="1" spans="1:113">
      <c r="A1957" s="1022">
        <v>46206</v>
      </c>
      <c r="B1957" s="626" t="s">
        <v>448</v>
      </c>
      <c r="C1957" s="939" t="s">
        <v>399</v>
      </c>
      <c r="D1957" s="563">
        <v>4500214939</v>
      </c>
      <c r="E1957" s="939"/>
      <c r="F1957" s="563" t="s">
        <v>10760</v>
      </c>
      <c r="G1957" s="939" t="s">
        <v>6093</v>
      </c>
      <c r="H1957" s="939" t="s">
        <v>6094</v>
      </c>
      <c r="I1957" s="1023">
        <v>5200</v>
      </c>
      <c r="J1957" s="939">
        <v>0</v>
      </c>
      <c r="K1957" s="939">
        <v>13</v>
      </c>
      <c r="L1957" s="1064">
        <f t="shared" si="794"/>
        <v>400</v>
      </c>
      <c r="M1957" s="1027">
        <v>46255</v>
      </c>
      <c r="N1957" s="1027">
        <v>46251</v>
      </c>
      <c r="O1957" s="1031"/>
      <c r="P1957" s="939"/>
      <c r="Q1957" s="999"/>
      <c r="R1957" s="999">
        <v>46206</v>
      </c>
      <c r="S1957" s="999" t="s">
        <v>70</v>
      </c>
      <c r="T1957" s="999" t="s">
        <v>10761</v>
      </c>
      <c r="U1957" s="1040"/>
      <c r="V1957" s="1040" t="s">
        <v>10758</v>
      </c>
      <c r="W1957" s="603"/>
      <c r="X1957" s="1054" t="s">
        <v>10762</v>
      </c>
      <c r="Y1957" s="1001" t="s">
        <v>445</v>
      </c>
      <c r="Z1957" s="626">
        <v>0.9222</v>
      </c>
      <c r="AA1957" s="1001">
        <f>Z1957*I1957</f>
        <v>4795.44</v>
      </c>
      <c r="AB1957" s="585"/>
      <c r="AC1957" s="1030"/>
      <c r="AD1957" s="939" t="s">
        <v>6093</v>
      </c>
      <c r="AE1957" s="992" t="s">
        <v>82</v>
      </c>
      <c r="AF1957" s="939"/>
      <c r="AG1957" s="939"/>
      <c r="AH1957" s="626"/>
      <c r="AI1957" s="609">
        <v>5200</v>
      </c>
      <c r="AJ1957" s="939">
        <f t="shared" si="795"/>
        <v>0</v>
      </c>
      <c r="AK1957" s="1031"/>
      <c r="AL1957" s="939" t="s">
        <v>2368</v>
      </c>
      <c r="AM1957" s="939"/>
      <c r="AN1957" s="939"/>
      <c r="AO1957" s="563">
        <f t="shared" si="796"/>
        <v>5200</v>
      </c>
      <c r="AP1957" s="563"/>
      <c r="AQ1957" s="563"/>
      <c r="AR1957" s="1015"/>
      <c r="AS1957" s="563"/>
      <c r="AT1957" s="563">
        <f>I1957</f>
        <v>5200</v>
      </c>
      <c r="AU1957" s="563"/>
      <c r="AV1957" s="563">
        <f t="shared" si="797"/>
        <v>5200</v>
      </c>
      <c r="AW1957" s="563"/>
      <c r="AX1957" s="1004"/>
      <c r="AY1957" s="563"/>
      <c r="AZ1957" s="563"/>
      <c r="BA1957" s="563"/>
      <c r="BB1957" s="1017">
        <f t="shared" si="798"/>
        <v>216.666666666667</v>
      </c>
      <c r="BC1957" s="563"/>
      <c r="BD1957" s="563"/>
      <c r="BE1957" s="563"/>
      <c r="BF1957" s="563"/>
      <c r="BG1957" s="558"/>
      <c r="BH1957" s="563"/>
      <c r="BI1957" s="563"/>
      <c r="BJ1957" s="563"/>
      <c r="BK1957" s="563"/>
      <c r="BL1957" s="563"/>
      <c r="BM1957" s="563">
        <f>I1957/13</f>
        <v>400</v>
      </c>
      <c r="BN1957" s="563"/>
      <c r="BO1957" s="563"/>
      <c r="BP1957" s="563"/>
      <c r="BQ1957" s="563"/>
      <c r="BR1957" s="563"/>
      <c r="BS1957" s="563"/>
      <c r="BT1957" s="563"/>
      <c r="BU1957" s="563"/>
      <c r="BV1957" s="563"/>
      <c r="BW1957" s="563"/>
      <c r="BX1957" s="563"/>
      <c r="BY1957" s="563"/>
      <c r="BZ1957" s="563"/>
      <c r="CA1957" s="1066"/>
      <c r="CB1957" s="560"/>
      <c r="CC1957" s="1067"/>
      <c r="CD1957" s="1015"/>
      <c r="CE1957" s="1015"/>
      <c r="CF1957" s="563"/>
      <c r="CG1957" s="563"/>
      <c r="CH1957" s="558"/>
      <c r="CI1957" s="563"/>
      <c r="CJ1957" s="563"/>
      <c r="CK1957" s="563"/>
      <c r="CL1957" s="563"/>
      <c r="CM1957" s="563"/>
      <c r="CN1957" s="563"/>
      <c r="CO1957" s="563"/>
      <c r="CP1957" s="1015"/>
      <c r="CQ1957" s="1015"/>
      <c r="CR1957" s="563"/>
      <c r="CS1957" s="563"/>
      <c r="CT1957" s="563"/>
      <c r="CU1957" s="563">
        <f t="shared" si="799"/>
        <v>0</v>
      </c>
      <c r="CV1957" s="563">
        <f t="shared" si="800"/>
        <v>0</v>
      </c>
      <c r="CW1957" s="563">
        <f t="shared" si="801"/>
        <v>0</v>
      </c>
      <c r="CX1957" s="1015"/>
      <c r="CY1957" s="1015"/>
      <c r="CZ1957" s="1015"/>
      <c r="DA1957" s="1015"/>
      <c r="DB1957" s="1015"/>
      <c r="DC1957" s="1015"/>
      <c r="DD1957" s="1015"/>
      <c r="DE1957" s="1015"/>
      <c r="DF1957" s="1015"/>
      <c r="DG1957" s="1015"/>
      <c r="DH1957" s="1015"/>
      <c r="DI1957" s="563"/>
    </row>
    <row r="1958" s="558" customFormat="1" ht="31" customHeight="1" spans="1:113">
      <c r="A1958" s="1022">
        <v>46206</v>
      </c>
      <c r="B1958" s="626" t="s">
        <v>10763</v>
      </c>
      <c r="C1958" s="939" t="s">
        <v>8593</v>
      </c>
      <c r="D1958" s="1063">
        <v>4500214916</v>
      </c>
      <c r="E1958" s="939" t="s">
        <v>10764</v>
      </c>
      <c r="F1958" s="563" t="s">
        <v>10765</v>
      </c>
      <c r="G1958" s="939" t="s">
        <v>6093</v>
      </c>
      <c r="H1958" s="939" t="s">
        <v>6094</v>
      </c>
      <c r="I1958" s="1023">
        <v>10010</v>
      </c>
      <c r="J1958" s="939">
        <v>0</v>
      </c>
      <c r="K1958" s="939">
        <v>13</v>
      </c>
      <c r="L1958" s="1064">
        <f t="shared" si="794"/>
        <v>770</v>
      </c>
      <c r="M1958" s="1027">
        <v>46255</v>
      </c>
      <c r="N1958" s="1027">
        <v>46251</v>
      </c>
      <c r="O1958" s="1031"/>
      <c r="P1958" s="939"/>
      <c r="Q1958" s="999"/>
      <c r="R1958" s="999" t="s">
        <v>8942</v>
      </c>
      <c r="S1958" s="999" t="s">
        <v>70</v>
      </c>
      <c r="T1958" s="999" t="s">
        <v>10766</v>
      </c>
      <c r="U1958" s="1040"/>
      <c r="V1958" s="1040" t="s">
        <v>10767</v>
      </c>
      <c r="W1958" s="603"/>
      <c r="X1958" s="1054" t="s">
        <v>10768</v>
      </c>
      <c r="Y1958" s="1001" t="s">
        <v>3527</v>
      </c>
      <c r="Z1958" s="626">
        <v>0.9145</v>
      </c>
      <c r="AA1958" s="1001">
        <f>Z1958*I1958</f>
        <v>9154.145</v>
      </c>
      <c r="AB1958" s="585"/>
      <c r="AC1958" s="1030"/>
      <c r="AD1958" s="939" t="s">
        <v>6093</v>
      </c>
      <c r="AE1958" s="992" t="s">
        <v>82</v>
      </c>
      <c r="AF1958" s="939"/>
      <c r="AG1958" s="939"/>
      <c r="AH1958" s="626"/>
      <c r="AI1958" s="609">
        <f>4628+5382</f>
        <v>10010</v>
      </c>
      <c r="AJ1958" s="939">
        <f t="shared" si="795"/>
        <v>0</v>
      </c>
      <c r="AK1958" s="1031"/>
      <c r="AL1958" s="939" t="s">
        <v>2368</v>
      </c>
      <c r="AM1958" s="939"/>
      <c r="AN1958" s="939"/>
      <c r="AO1958" s="563">
        <f t="shared" si="796"/>
        <v>10010</v>
      </c>
      <c r="AP1958" s="563"/>
      <c r="AQ1958" s="563"/>
      <c r="AR1958" s="1015"/>
      <c r="AS1958" s="563"/>
      <c r="AT1958" s="563">
        <f>I1958</f>
        <v>10010</v>
      </c>
      <c r="AU1958" s="563"/>
      <c r="AV1958" s="563">
        <f t="shared" si="797"/>
        <v>10010</v>
      </c>
      <c r="AW1958" s="563"/>
      <c r="AX1958" s="1004"/>
      <c r="AY1958" s="563"/>
      <c r="AZ1958" s="563"/>
      <c r="BA1958" s="563"/>
      <c r="BB1958" s="1017">
        <f t="shared" si="798"/>
        <v>417.083333333333</v>
      </c>
      <c r="BC1958" s="563"/>
      <c r="BD1958" s="563"/>
      <c r="BE1958" s="563"/>
      <c r="BF1958" s="563"/>
      <c r="BG1958" s="558"/>
      <c r="BH1958" s="563"/>
      <c r="BI1958" s="563"/>
      <c r="BJ1958" s="563"/>
      <c r="BK1958" s="563"/>
      <c r="BL1958" s="563"/>
      <c r="BM1958" s="563">
        <f>I1958/13</f>
        <v>770</v>
      </c>
      <c r="BN1958" s="563"/>
      <c r="BO1958" s="563"/>
      <c r="BP1958" s="563"/>
      <c r="BQ1958" s="563"/>
      <c r="BR1958" s="563"/>
      <c r="BS1958" s="563"/>
      <c r="BT1958" s="563"/>
      <c r="BU1958" s="563"/>
      <c r="BV1958" s="563"/>
      <c r="BW1958" s="563"/>
      <c r="BX1958" s="563"/>
      <c r="BY1958" s="563"/>
      <c r="BZ1958" s="563"/>
      <c r="CA1958" s="1066"/>
      <c r="CB1958" s="560"/>
      <c r="CC1958" s="1067"/>
      <c r="CD1958" s="1015"/>
      <c r="CE1958" s="1015"/>
      <c r="CF1958" s="563"/>
      <c r="CG1958" s="563"/>
      <c r="CH1958" s="558"/>
      <c r="CI1958" s="563"/>
      <c r="CJ1958" s="563"/>
      <c r="CK1958" s="563"/>
      <c r="CL1958" s="563"/>
      <c r="CM1958" s="563"/>
      <c r="CN1958" s="563"/>
      <c r="CO1958" s="563"/>
      <c r="CP1958" s="1015"/>
      <c r="CQ1958" s="1015"/>
      <c r="CR1958" s="563"/>
      <c r="CS1958" s="563"/>
      <c r="CT1958" s="563"/>
      <c r="CU1958" s="563">
        <f t="shared" si="799"/>
        <v>0</v>
      </c>
      <c r="CV1958" s="563">
        <f t="shared" si="800"/>
        <v>0</v>
      </c>
      <c r="CW1958" s="563">
        <f t="shared" si="801"/>
        <v>0</v>
      </c>
      <c r="CX1958" s="1015"/>
      <c r="CY1958" s="1015"/>
      <c r="CZ1958" s="1015"/>
      <c r="DA1958" s="1015"/>
      <c r="DB1958" s="1015"/>
      <c r="DC1958" s="1015"/>
      <c r="DD1958" s="1015"/>
      <c r="DE1958" s="1015"/>
      <c r="DF1958" s="1015"/>
      <c r="DG1958" s="1015"/>
      <c r="DH1958" s="1015"/>
      <c r="DI1958" s="563"/>
    </row>
    <row r="1959" s="558" customFormat="1" ht="31" customHeight="1" spans="1:113">
      <c r="A1959" s="991">
        <v>46219</v>
      </c>
      <c r="B1959" s="601" t="s">
        <v>5595</v>
      </c>
      <c r="C1959" s="992" t="s">
        <v>5596</v>
      </c>
      <c r="D1959" s="993">
        <v>4500216476</v>
      </c>
      <c r="E1959" s="994">
        <v>57154</v>
      </c>
      <c r="F1959" s="586" t="s">
        <v>10769</v>
      </c>
      <c r="G1959" s="992" t="s">
        <v>6043</v>
      </c>
      <c r="H1959" s="992" t="s">
        <v>6110</v>
      </c>
      <c r="I1959" s="995">
        <v>1500</v>
      </c>
      <c r="J1959" s="992">
        <v>0</v>
      </c>
      <c r="K1959" s="996">
        <v>50</v>
      </c>
      <c r="L1959" s="997">
        <f t="shared" si="794"/>
        <v>30</v>
      </c>
      <c r="M1959" s="998">
        <v>46255</v>
      </c>
      <c r="N1959" s="1079">
        <v>46251</v>
      </c>
      <c r="O1959" s="994"/>
      <c r="P1959" s="992"/>
      <c r="Q1959" s="584"/>
      <c r="R1959" s="584">
        <v>46219</v>
      </c>
      <c r="S1959" s="999" t="s">
        <v>70</v>
      </c>
      <c r="T1959" s="584" t="s">
        <v>10770</v>
      </c>
      <c r="U1959" s="584"/>
      <c r="V1959" s="1050"/>
      <c r="W1959" s="603"/>
      <c r="X1959" s="604" t="s">
        <v>10771</v>
      </c>
      <c r="Y1959" s="1000" t="s">
        <v>217</v>
      </c>
      <c r="Z1959" s="601">
        <v>0.9998</v>
      </c>
      <c r="AA1959" s="1000">
        <f>Z1959*I1959</f>
        <v>1499.7</v>
      </c>
      <c r="AB1959" s="585"/>
      <c r="AC1959" s="1002"/>
      <c r="AD1959" s="939" t="s">
        <v>6043</v>
      </c>
      <c r="AE1959" s="992" t="s">
        <v>82</v>
      </c>
      <c r="AF1959" s="992"/>
      <c r="AG1959" s="992"/>
      <c r="AH1959" s="601"/>
      <c r="AI1959" s="609">
        <v>1500</v>
      </c>
      <c r="AJ1959" s="939">
        <f t="shared" si="795"/>
        <v>0</v>
      </c>
      <c r="AK1959" s="994"/>
      <c r="AL1959" s="992" t="s">
        <v>2368</v>
      </c>
      <c r="AM1959" s="992"/>
      <c r="AN1959" s="992"/>
      <c r="AO1959" s="586">
        <f t="shared" si="796"/>
        <v>1500</v>
      </c>
      <c r="AP1959" s="586"/>
      <c r="AQ1959" s="586"/>
      <c r="AR1959" s="1003"/>
      <c r="AS1959" s="586"/>
      <c r="AT1959" s="563">
        <f>I1959</f>
        <v>1500</v>
      </c>
      <c r="AU1959" s="563"/>
      <c r="AV1959" s="563">
        <f t="shared" si="797"/>
        <v>1500</v>
      </c>
      <c r="AW1959" s="586"/>
      <c r="AX1959" s="1049"/>
      <c r="AY1959" s="586"/>
      <c r="AZ1959" s="586"/>
      <c r="BA1959" s="586"/>
      <c r="BB1959" s="1017">
        <f t="shared" si="798"/>
        <v>62.5</v>
      </c>
      <c r="BC1959" s="586"/>
      <c r="BD1959" s="586"/>
      <c r="BE1959" s="586"/>
      <c r="BF1959" s="1005"/>
      <c r="BG1959" s="561"/>
      <c r="BH1959" s="1006"/>
      <c r="BI1959" s="586"/>
      <c r="BJ1959" s="586"/>
      <c r="BK1959" s="586"/>
      <c r="BL1959" s="586"/>
      <c r="BM1959" s="586"/>
      <c r="BN1959" s="586"/>
      <c r="BO1959" s="586"/>
      <c r="BP1959" s="563">
        <f>I1959/25</f>
        <v>60</v>
      </c>
      <c r="BQ1959" s="586"/>
      <c r="BR1959" s="586"/>
      <c r="BS1959" s="586"/>
      <c r="BT1959" s="586"/>
      <c r="BU1959" s="586"/>
      <c r="BV1959" s="586"/>
      <c r="BW1959" s="586"/>
      <c r="BX1959" s="586"/>
      <c r="BY1959" s="586"/>
      <c r="BZ1959" s="586"/>
      <c r="CA1959" s="1007"/>
      <c r="CB1959" s="560"/>
      <c r="CC1959" s="1006"/>
      <c r="CD1959" s="586"/>
      <c r="CE1959" s="586"/>
      <c r="CF1959" s="586"/>
      <c r="CG1959" s="1005"/>
      <c r="CH1959" s="561"/>
      <c r="CI1959" s="1006"/>
      <c r="CJ1959" s="586"/>
      <c r="CK1959" s="586"/>
      <c r="CL1959" s="586"/>
      <c r="CM1959" s="586"/>
      <c r="CN1959" s="586"/>
      <c r="CO1959" s="586"/>
      <c r="CP1959" s="1003"/>
      <c r="CQ1959" s="1003"/>
      <c r="CR1959" s="586"/>
      <c r="CS1959" s="586"/>
      <c r="CT1959" s="586"/>
      <c r="CU1959" s="563">
        <f t="shared" si="799"/>
        <v>60</v>
      </c>
      <c r="CV1959" s="563">
        <f t="shared" si="800"/>
        <v>0</v>
      </c>
      <c r="CW1959" s="563">
        <f t="shared" si="801"/>
        <v>0</v>
      </c>
      <c r="CX1959" s="1003"/>
      <c r="CY1959" s="1003"/>
      <c r="CZ1959" s="1003"/>
      <c r="DA1959" s="1003"/>
      <c r="DB1959" s="1003"/>
      <c r="DC1959" s="1003"/>
      <c r="DD1959" s="1003"/>
      <c r="DE1959" s="1003"/>
      <c r="DF1959" s="1003"/>
      <c r="DG1959" s="1003"/>
      <c r="DH1959" s="1003"/>
    </row>
    <row r="1960" s="558" customFormat="1" ht="31" customHeight="1" spans="1:113">
      <c r="A1960" s="1022">
        <v>46210</v>
      </c>
      <c r="B1960" s="626" t="s">
        <v>10772</v>
      </c>
      <c r="C1960" s="939" t="s">
        <v>241</v>
      </c>
      <c r="D1960" s="1063">
        <v>4500215221</v>
      </c>
      <c r="E1960" s="1031">
        <v>32904751</v>
      </c>
      <c r="F1960" s="563" t="s">
        <v>10773</v>
      </c>
      <c r="G1960" s="939" t="s">
        <v>6047</v>
      </c>
      <c r="H1960" s="939" t="s">
        <v>6069</v>
      </c>
      <c r="I1960" s="1023">
        <v>4500</v>
      </c>
      <c r="J1960" s="939">
        <v>0</v>
      </c>
      <c r="K1960" s="1024">
        <v>25</v>
      </c>
      <c r="L1960" s="1025">
        <f t="shared" si="794"/>
        <v>180</v>
      </c>
      <c r="M1960" s="1026">
        <v>46258</v>
      </c>
      <c r="N1960" s="1079">
        <v>46251</v>
      </c>
      <c r="O1960" s="1031" t="s">
        <v>10774</v>
      </c>
      <c r="P1960" s="939"/>
      <c r="Q1960" s="999" t="s">
        <v>10775</v>
      </c>
      <c r="R1960" s="999">
        <v>46213</v>
      </c>
      <c r="S1960" s="999" t="s">
        <v>70</v>
      </c>
      <c r="T1960" s="1080" t="s">
        <v>10776</v>
      </c>
      <c r="U1960" s="1040"/>
      <c r="V1960" s="1039"/>
      <c r="W1960" s="603" t="s">
        <v>10777</v>
      </c>
      <c r="X1960" s="1081" t="s">
        <v>10778</v>
      </c>
      <c r="Y1960" s="1001" t="s">
        <v>10779</v>
      </c>
      <c r="Z1960" s="626">
        <v>0.9893</v>
      </c>
      <c r="AA1960" s="1060">
        <f>Z1960*I1960</f>
        <v>4451.85</v>
      </c>
      <c r="AB1960" s="603"/>
      <c r="AC1960" s="1061"/>
      <c r="AD1960" s="939" t="s">
        <v>6047</v>
      </c>
      <c r="AE1960" s="939" t="s">
        <v>82</v>
      </c>
      <c r="AF1960" s="939"/>
      <c r="AG1960" s="939"/>
      <c r="AH1960" s="626"/>
      <c r="AI1960" s="626">
        <v>4500</v>
      </c>
      <c r="AJ1960" s="939">
        <f t="shared" si="795"/>
        <v>0</v>
      </c>
      <c r="AK1960" s="1031"/>
      <c r="AL1960" s="939" t="s">
        <v>2368</v>
      </c>
      <c r="AM1960" s="939"/>
      <c r="AN1960" s="939"/>
      <c r="AO1960" s="563">
        <f t="shared" si="796"/>
        <v>4500</v>
      </c>
      <c r="AP1960" s="563"/>
      <c r="AQ1960" s="563"/>
      <c r="AR1960" s="1015"/>
      <c r="AS1960" s="563"/>
      <c r="AT1960" s="562">
        <f>I1960</f>
        <v>4500</v>
      </c>
      <c r="AU1960" s="563"/>
      <c r="AV1960" s="563">
        <f t="shared" si="797"/>
        <v>4500</v>
      </c>
      <c r="AW1960" s="563"/>
      <c r="AX1960" s="1004"/>
      <c r="AY1960" s="563"/>
      <c r="AZ1960" s="563"/>
      <c r="BA1960" s="563"/>
      <c r="BB1960" s="1017">
        <f t="shared" si="798"/>
        <v>187.5</v>
      </c>
      <c r="BC1960" s="563"/>
      <c r="BD1960" s="563"/>
      <c r="BE1960" s="563"/>
      <c r="BF1960" s="1032"/>
      <c r="BG1960" s="560"/>
      <c r="BH1960" s="1033"/>
      <c r="BI1960" s="563"/>
      <c r="BJ1960" s="563"/>
      <c r="BK1960" s="563"/>
      <c r="BL1960" s="563"/>
      <c r="BM1960" s="563"/>
      <c r="BN1960" s="563"/>
      <c r="BO1960" s="563"/>
      <c r="BP1960" s="563">
        <f>I1960/25</f>
        <v>180</v>
      </c>
      <c r="BQ1960" s="563"/>
      <c r="BR1960" s="563"/>
      <c r="BS1960" s="563"/>
      <c r="BT1960" s="563"/>
      <c r="BU1960" s="563"/>
      <c r="BV1960" s="563"/>
      <c r="BW1960" s="563"/>
      <c r="BX1960" s="563"/>
      <c r="BY1960" s="563"/>
      <c r="BZ1960" s="563"/>
      <c r="CA1960" s="1032"/>
      <c r="CB1960" s="560"/>
      <c r="CC1960" s="1033"/>
      <c r="CD1960" s="563"/>
      <c r="CE1960" s="563"/>
      <c r="CF1960" s="563"/>
      <c r="CG1960" s="1032"/>
      <c r="CH1960" s="560"/>
      <c r="CI1960" s="1033"/>
      <c r="CJ1960" s="563"/>
      <c r="CK1960" s="563"/>
      <c r="CL1960" s="563"/>
      <c r="CM1960" s="563"/>
      <c r="CN1960" s="563"/>
      <c r="CO1960" s="563"/>
      <c r="CP1960" s="1015"/>
      <c r="CQ1960" s="1015"/>
      <c r="CR1960" s="563"/>
      <c r="CS1960" s="563"/>
      <c r="CT1960" s="563"/>
      <c r="CU1960" s="563">
        <f t="shared" si="799"/>
        <v>180</v>
      </c>
      <c r="CV1960" s="563">
        <f t="shared" si="800"/>
        <v>0</v>
      </c>
      <c r="CW1960" s="563">
        <f t="shared" si="801"/>
        <v>0</v>
      </c>
      <c r="CX1960" s="1015"/>
      <c r="CY1960" s="1015"/>
      <c r="CZ1960" s="1015"/>
      <c r="DA1960" s="1015"/>
      <c r="DB1960" s="1015"/>
      <c r="DC1960" s="1015"/>
      <c r="DD1960" s="1015"/>
      <c r="DE1960" s="1015"/>
      <c r="DF1960" s="1015"/>
      <c r="DG1960" s="1015"/>
      <c r="DH1960" s="1015"/>
    </row>
    <row r="1961" s="558" customFormat="1" ht="31" customHeight="1" spans="1:113">
      <c r="A1961" s="1082">
        <v>46205</v>
      </c>
      <c r="B1961" s="1083" t="s">
        <v>10780</v>
      </c>
      <c r="C1961" s="1084" t="s">
        <v>128</v>
      </c>
      <c r="D1961" s="1085">
        <v>4500214393</v>
      </c>
      <c r="E1961" s="1086">
        <v>1082772</v>
      </c>
      <c r="F1961" s="1087" t="s">
        <v>10781</v>
      </c>
      <c r="G1961" s="1084" t="s">
        <v>6040</v>
      </c>
      <c r="H1961" s="1084" t="s">
        <v>6041</v>
      </c>
      <c r="I1961" s="1088">
        <v>832</v>
      </c>
      <c r="J1961" s="1084">
        <v>0</v>
      </c>
      <c r="K1961" s="1089">
        <v>52</v>
      </c>
      <c r="L1961" s="1090">
        <f t="shared" ref="L1960:L2024" si="802">I1961/K1961</f>
        <v>16</v>
      </c>
      <c r="M1961" s="1091">
        <v>46258</v>
      </c>
      <c r="N1961" s="1092">
        <v>46254</v>
      </c>
      <c r="O1961" s="1086"/>
      <c r="P1961" s="1084"/>
      <c r="Q1961" s="1093"/>
      <c r="R1961" s="1094">
        <v>46205</v>
      </c>
      <c r="S1961" s="1039" t="s">
        <v>70</v>
      </c>
      <c r="T1961" s="1039" t="s">
        <v>10782</v>
      </c>
      <c r="U1961" s="1039"/>
      <c r="V1961" s="1039"/>
      <c r="W1961" s="1095"/>
      <c r="X1961" s="1096" t="s">
        <v>10783</v>
      </c>
      <c r="Y1961" s="1097" t="s">
        <v>10784</v>
      </c>
      <c r="Z1961" s="1083">
        <v>0.9521</v>
      </c>
      <c r="AA1961" s="1098">
        <f t="shared" ref="AA1960:AA1986" si="803">Z1961*I1961</f>
        <v>792.1472</v>
      </c>
      <c r="AB1961" s="603"/>
      <c r="AC1961" s="1099"/>
      <c r="AD1961" s="939" t="s">
        <v>6255</v>
      </c>
      <c r="AE1961" s="1084" t="s">
        <v>82</v>
      </c>
      <c r="AF1961" s="1084"/>
      <c r="AG1961" s="1084"/>
      <c r="AH1961" s="1083"/>
      <c r="AI1961" s="609"/>
      <c r="AJ1961" s="939">
        <f t="shared" ref="AJ1960:AJ1974" si="804">AI1961-I1961</f>
        <v>-832</v>
      </c>
      <c r="AK1961" s="1086"/>
      <c r="AL1961" s="1084" t="s">
        <v>2368</v>
      </c>
      <c r="AM1961" s="1084"/>
      <c r="AN1961" s="1084"/>
      <c r="AO1961" s="1087">
        <f t="shared" si="796"/>
        <v>832</v>
      </c>
      <c r="AP1961" s="563">
        <f>I1961</f>
        <v>832</v>
      </c>
      <c r="AQ1961" s="1087"/>
      <c r="AR1961" s="1100"/>
      <c r="AS1961" s="1087"/>
      <c r="AT1961" s="1087"/>
      <c r="AU1961" s="1087"/>
      <c r="AV1961" s="563">
        <f t="shared" si="797"/>
        <v>832</v>
      </c>
      <c r="AW1961" s="1087"/>
      <c r="AX1961" s="1101"/>
      <c r="AY1961" s="1087"/>
      <c r="AZ1961" s="1087"/>
      <c r="BA1961" s="1087"/>
      <c r="BB1961" s="1017">
        <f t="shared" si="798"/>
        <v>34.6666666666667</v>
      </c>
      <c r="BC1961" s="1087"/>
      <c r="BD1961" s="1087"/>
      <c r="BE1961" s="1087"/>
      <c r="BF1961" s="1102"/>
      <c r="BG1961" s="1103"/>
      <c r="BH1961" s="1104"/>
      <c r="BI1961" s="1087"/>
      <c r="BJ1961" s="1087"/>
      <c r="BK1961" s="1087"/>
      <c r="BL1961" s="1087"/>
      <c r="BM1961" s="563">
        <f>I1961/13</f>
        <v>64</v>
      </c>
      <c r="BN1961" s="1087"/>
      <c r="BO1961" s="1087"/>
      <c r="BP1961" s="1087"/>
      <c r="BQ1961" s="1087"/>
      <c r="BR1961" s="1087"/>
      <c r="BS1961" s="1087"/>
      <c r="BT1961" s="1087"/>
      <c r="BU1961" s="1087"/>
      <c r="BV1961" s="1087"/>
      <c r="BW1961" s="1087"/>
      <c r="BX1961" s="1087"/>
      <c r="BY1961" s="1087"/>
      <c r="BZ1961" s="1087"/>
      <c r="CA1961" s="1105"/>
      <c r="CB1961" s="560"/>
      <c r="CC1961" s="1104"/>
      <c r="CD1961" s="1087"/>
      <c r="CE1961" s="1087"/>
      <c r="CF1961" s="1087"/>
      <c r="CG1961" s="1102"/>
      <c r="CH1961" s="560"/>
      <c r="CI1961" s="1104"/>
      <c r="CJ1961" s="1087"/>
      <c r="CK1961" s="1087"/>
      <c r="CL1961" s="1087"/>
      <c r="CM1961" s="1087"/>
      <c r="CN1961" s="1087"/>
      <c r="CO1961" s="1087"/>
      <c r="CP1961" s="1100"/>
      <c r="CQ1961" s="1100"/>
      <c r="CR1961" s="1087"/>
      <c r="CS1961" s="1087"/>
      <c r="CT1961" s="1087"/>
      <c r="CU1961" s="563">
        <f t="shared" ref="CU1960:CU1974" si="805">BQ1961+BP1961+BO1961+BN1961+BX1961+BR1961</f>
        <v>0</v>
      </c>
      <c r="CV1961" s="563">
        <f t="shared" ref="CV1960:CV1967" si="806">CK1961+CL1961+CM1961+CN1961+CO1961+CQ1961+CP1961</f>
        <v>0</v>
      </c>
      <c r="CW1961" s="563">
        <f t="shared" ref="CW1960:CW1967" si="807">CI1961+CJ1961</f>
        <v>0</v>
      </c>
      <c r="CX1961" s="1100"/>
      <c r="CY1961" s="1100"/>
      <c r="CZ1961" s="1100"/>
      <c r="DA1961" s="1100"/>
      <c r="DB1961" s="1100"/>
      <c r="DC1961" s="1100"/>
      <c r="DD1961" s="1100"/>
      <c r="DE1961" s="1100"/>
      <c r="DF1961" s="1100"/>
      <c r="DG1961" s="1100"/>
      <c r="DH1961" s="1100"/>
    </row>
    <row r="1962" s="558" customFormat="1" ht="31" customHeight="1" spans="1:113">
      <c r="A1962" s="991">
        <v>46205</v>
      </c>
      <c r="B1962" s="601" t="s">
        <v>10780</v>
      </c>
      <c r="C1962" s="992" t="s">
        <v>128</v>
      </c>
      <c r="D1962" s="993">
        <v>4500214393</v>
      </c>
      <c r="E1962" s="994">
        <v>1082779</v>
      </c>
      <c r="F1962" s="586" t="s">
        <v>10785</v>
      </c>
      <c r="G1962" s="992" t="s">
        <v>6040</v>
      </c>
      <c r="H1962" s="992" t="s">
        <v>6041</v>
      </c>
      <c r="I1962" s="995">
        <v>572</v>
      </c>
      <c r="J1962" s="992">
        <v>0</v>
      </c>
      <c r="K1962" s="996">
        <v>52</v>
      </c>
      <c r="L1962" s="997">
        <f t="shared" si="802"/>
        <v>11</v>
      </c>
      <c r="M1962" s="998">
        <v>46258</v>
      </c>
      <c r="N1962" s="1079">
        <v>46254</v>
      </c>
      <c r="O1962" s="994"/>
      <c r="P1962" s="992"/>
      <c r="Q1962" s="1050"/>
      <c r="R1962" s="1094">
        <v>46205</v>
      </c>
      <c r="S1962" s="1039" t="s">
        <v>70</v>
      </c>
      <c r="T1962" s="1039" t="s">
        <v>10782</v>
      </c>
      <c r="U1962" s="1039"/>
      <c r="V1962" s="1039"/>
      <c r="W1962" s="1095"/>
      <c r="X1962" s="604" t="s">
        <v>10783</v>
      </c>
      <c r="Y1962" s="1000" t="s">
        <v>10784</v>
      </c>
      <c r="Z1962" s="601">
        <v>1.0106</v>
      </c>
      <c r="AA1962" s="1106">
        <f t="shared" si="803"/>
        <v>578.0632</v>
      </c>
      <c r="AB1962" s="603"/>
      <c r="AC1962" s="1062"/>
      <c r="AD1962" s="939" t="s">
        <v>6255</v>
      </c>
      <c r="AE1962" s="1084" t="s">
        <v>82</v>
      </c>
      <c r="AF1962" s="992"/>
      <c r="AG1962" s="992"/>
      <c r="AH1962" s="601"/>
      <c r="AI1962" s="609"/>
      <c r="AJ1962" s="939">
        <f t="shared" si="804"/>
        <v>-572</v>
      </c>
      <c r="AK1962" s="994"/>
      <c r="AL1962" s="992" t="s">
        <v>2368</v>
      </c>
      <c r="AM1962" s="992"/>
      <c r="AN1962" s="992"/>
      <c r="AO1962" s="586">
        <f t="shared" si="796"/>
        <v>572</v>
      </c>
      <c r="AP1962" s="563">
        <f>I1962</f>
        <v>572</v>
      </c>
      <c r="AQ1962" s="586"/>
      <c r="AR1962" s="1003"/>
      <c r="AS1962" s="586"/>
      <c r="AT1962" s="586"/>
      <c r="AU1962" s="586"/>
      <c r="AV1962" s="563">
        <f t="shared" si="797"/>
        <v>572</v>
      </c>
      <c r="AW1962" s="586"/>
      <c r="AX1962" s="1049"/>
      <c r="AY1962" s="586"/>
      <c r="AZ1962" s="586"/>
      <c r="BA1962" s="586"/>
      <c r="BB1962" s="1017">
        <f t="shared" si="798"/>
        <v>23.8333333333333</v>
      </c>
      <c r="BC1962" s="586"/>
      <c r="BD1962" s="586"/>
      <c r="BE1962" s="586"/>
      <c r="BF1962" s="1005"/>
      <c r="BG1962" s="561"/>
      <c r="BH1962" s="1006"/>
      <c r="BI1962" s="586"/>
      <c r="BJ1962" s="586"/>
      <c r="BK1962" s="586"/>
      <c r="BL1962" s="586"/>
      <c r="BM1962" s="563">
        <f>I1962/13</f>
        <v>44</v>
      </c>
      <c r="BN1962" s="586"/>
      <c r="BO1962" s="586"/>
      <c r="BP1962" s="586"/>
      <c r="BQ1962" s="586"/>
      <c r="BR1962" s="586"/>
      <c r="BS1962" s="586"/>
      <c r="BT1962" s="586"/>
      <c r="BU1962" s="586"/>
      <c r="BV1962" s="586"/>
      <c r="BW1962" s="586"/>
      <c r="BX1962" s="586"/>
      <c r="BY1962" s="586"/>
      <c r="BZ1962" s="586"/>
      <c r="CA1962" s="1007"/>
      <c r="CB1962" s="560"/>
      <c r="CC1962" s="1006"/>
      <c r="CD1962" s="586"/>
      <c r="CE1962" s="586"/>
      <c r="CF1962" s="586"/>
      <c r="CG1962" s="1005"/>
      <c r="CH1962" s="561"/>
      <c r="CI1962" s="1006"/>
      <c r="CJ1962" s="586"/>
      <c r="CK1962" s="586"/>
      <c r="CL1962" s="586"/>
      <c r="CM1962" s="586"/>
      <c r="CN1962" s="586"/>
      <c r="CO1962" s="586"/>
      <c r="CP1962" s="1003"/>
      <c r="CQ1962" s="1003"/>
      <c r="CR1962" s="586"/>
      <c r="CS1962" s="586"/>
      <c r="CT1962" s="586"/>
      <c r="CU1962" s="563">
        <f t="shared" si="805"/>
        <v>0</v>
      </c>
      <c r="CV1962" s="563">
        <f t="shared" si="806"/>
        <v>0</v>
      </c>
      <c r="CW1962" s="563">
        <f t="shared" si="807"/>
        <v>0</v>
      </c>
      <c r="CX1962" s="1003"/>
      <c r="CY1962" s="1003"/>
      <c r="CZ1962" s="1003"/>
      <c r="DA1962" s="1003"/>
      <c r="DB1962" s="1003"/>
      <c r="DC1962" s="1003"/>
      <c r="DD1962" s="1003"/>
      <c r="DE1962" s="1003"/>
      <c r="DF1962" s="1003"/>
      <c r="DG1962" s="1003"/>
      <c r="DH1962" s="1003"/>
    </row>
    <row r="1963" s="547" customFormat="1" ht="31" customHeight="1" spans="1:113">
      <c r="A1963" s="991">
        <v>46189</v>
      </c>
      <c r="B1963" s="601" t="s">
        <v>169</v>
      </c>
      <c r="C1963" s="992" t="s">
        <v>170</v>
      </c>
      <c r="D1963" s="993">
        <v>4500212526</v>
      </c>
      <c r="E1963" s="994">
        <v>7000995954</v>
      </c>
      <c r="F1963" s="586" t="s">
        <v>5606</v>
      </c>
      <c r="G1963" s="992" t="s">
        <v>10565</v>
      </c>
      <c r="H1963" s="939" t="s">
        <v>477</v>
      </c>
      <c r="I1963" s="995">
        <v>462</v>
      </c>
      <c r="J1963" s="992">
        <v>0</v>
      </c>
      <c r="K1963" s="996">
        <v>2</v>
      </c>
      <c r="L1963" s="997">
        <f t="shared" si="802"/>
        <v>231</v>
      </c>
      <c r="M1963" s="998">
        <v>46258</v>
      </c>
      <c r="N1963" s="1079">
        <v>46254</v>
      </c>
      <c r="O1963" s="1055" t="s">
        <v>5607</v>
      </c>
      <c r="P1963" s="992"/>
      <c r="Q1963" s="584"/>
      <c r="R1963" s="1065">
        <v>46209</v>
      </c>
      <c r="S1963" s="1107" t="s">
        <v>70</v>
      </c>
      <c r="T1963" s="1039" t="s">
        <v>5608</v>
      </c>
      <c r="U1963" s="1039"/>
      <c r="V1963" s="1039"/>
      <c r="W1963" s="1096" t="s">
        <v>5609</v>
      </c>
      <c r="X1963" s="1075" t="s">
        <v>10786</v>
      </c>
      <c r="Y1963" s="1000" t="s">
        <v>2071</v>
      </c>
      <c r="Z1963" s="601">
        <v>6.27</v>
      </c>
      <c r="AA1963" s="1000">
        <f t="shared" si="803"/>
        <v>2896.74</v>
      </c>
      <c r="AB1963" s="626" t="s">
        <v>5611</v>
      </c>
      <c r="AC1963" s="1002"/>
      <c r="AD1963" s="939" t="s">
        <v>5300</v>
      </c>
      <c r="AE1963" s="992" t="s">
        <v>82</v>
      </c>
      <c r="AF1963" s="992"/>
      <c r="AG1963" s="992"/>
      <c r="AH1963" s="601"/>
      <c r="AI1963" s="609"/>
      <c r="AJ1963" s="939">
        <f t="shared" si="804"/>
        <v>-462</v>
      </c>
      <c r="AK1963" s="994"/>
      <c r="AL1963" s="992"/>
      <c r="AM1963" s="992"/>
      <c r="AN1963" s="992">
        <f>I1963*2</f>
        <v>924</v>
      </c>
      <c r="AO1963" s="586"/>
      <c r="AP1963" s="557"/>
      <c r="AQ1963" s="586">
        <f>I1963*2</f>
        <v>924</v>
      </c>
      <c r="AR1963" s="1003"/>
      <c r="AS1963" s="586"/>
      <c r="AT1963" s="586"/>
      <c r="AU1963" s="563">
        <f>I1963*2</f>
        <v>924</v>
      </c>
      <c r="AV1963" s="586"/>
      <c r="AW1963" s="586"/>
      <c r="AX1963" s="1049"/>
      <c r="AY1963" s="586"/>
      <c r="AZ1963" s="586"/>
      <c r="BA1963" s="586"/>
      <c r="BB1963" s="1017">
        <f>I1963/24*2</f>
        <v>38.5</v>
      </c>
      <c r="BC1963" s="586"/>
      <c r="BD1963" s="586"/>
      <c r="BE1963" s="586"/>
      <c r="BF1963" s="1005"/>
      <c r="BG1963" s="561"/>
      <c r="BH1963" s="1006"/>
      <c r="BI1963" s="586"/>
      <c r="BJ1963" s="586"/>
      <c r="BK1963" s="586"/>
      <c r="BL1963" s="586"/>
      <c r="BM1963" s="586"/>
      <c r="BN1963" s="586"/>
      <c r="BO1963" s="586"/>
      <c r="BP1963" s="586"/>
      <c r="BQ1963" s="586"/>
      <c r="BR1963" s="586"/>
      <c r="BS1963" s="586"/>
      <c r="BT1963" s="586"/>
      <c r="BU1963" s="586"/>
      <c r="BV1963" s="586"/>
      <c r="BW1963" s="586"/>
      <c r="BX1963" s="586"/>
      <c r="BY1963" s="586"/>
      <c r="BZ1963" s="586"/>
      <c r="CA1963" s="1066"/>
      <c r="CB1963" s="1071">
        <f>I1963</f>
        <v>462</v>
      </c>
      <c r="CC1963" s="1006"/>
      <c r="CD1963" s="586"/>
      <c r="CE1963" s="586"/>
      <c r="CF1963" s="586"/>
      <c r="CG1963" s="1005"/>
      <c r="CH1963" s="561"/>
      <c r="CI1963" s="1006"/>
      <c r="CJ1963" s="586"/>
      <c r="CK1963" s="586"/>
      <c r="CL1963" s="586"/>
      <c r="CM1963" s="586"/>
      <c r="CN1963" s="586"/>
      <c r="CO1963" s="586"/>
      <c r="CP1963" s="1003"/>
      <c r="CQ1963" s="1003"/>
      <c r="CR1963" s="586"/>
      <c r="CS1963" s="586"/>
      <c r="CT1963" s="586"/>
      <c r="CU1963" s="551">
        <f t="shared" si="805"/>
        <v>0</v>
      </c>
      <c r="CV1963" s="551">
        <f t="shared" si="806"/>
        <v>0</v>
      </c>
      <c r="CW1963" s="551">
        <f t="shared" si="807"/>
        <v>0</v>
      </c>
      <c r="CX1963" s="1003"/>
      <c r="CY1963" s="1003"/>
      <c r="CZ1963" s="1003"/>
      <c r="DA1963" s="1003"/>
      <c r="DB1963" s="1003"/>
      <c r="DC1963" s="1003"/>
      <c r="DD1963" s="1003"/>
      <c r="DE1963" s="1003"/>
      <c r="DF1963" s="1003"/>
      <c r="DG1963" s="1003"/>
      <c r="DH1963" s="1003"/>
    </row>
    <row r="1964" s="558" customFormat="1" ht="31" customHeight="1" spans="1:113">
      <c r="A1964" s="1022">
        <v>46185</v>
      </c>
      <c r="B1964" s="626" t="s">
        <v>1620</v>
      </c>
      <c r="C1964" s="939" t="s">
        <v>278</v>
      </c>
      <c r="D1964" s="1063">
        <v>4500211904</v>
      </c>
      <c r="E1964" s="1031">
        <v>4400577344</v>
      </c>
      <c r="F1964" s="563" t="s">
        <v>10787</v>
      </c>
      <c r="G1964" s="939" t="s">
        <v>6047</v>
      </c>
      <c r="H1964" s="939" t="s">
        <v>6069</v>
      </c>
      <c r="I1964" s="1023">
        <v>14000</v>
      </c>
      <c r="J1964" s="939">
        <v>0</v>
      </c>
      <c r="K1964" s="1024">
        <v>25</v>
      </c>
      <c r="L1964" s="1025">
        <f t="shared" si="802"/>
        <v>560</v>
      </c>
      <c r="M1964" s="1026">
        <v>46258</v>
      </c>
      <c r="N1964" s="1027">
        <v>46254</v>
      </c>
      <c r="O1964" s="1031"/>
      <c r="P1964" s="939"/>
      <c r="Q1964" s="999"/>
      <c r="R1964" s="1040">
        <v>46185</v>
      </c>
      <c r="S1964" s="1039" t="s">
        <v>70</v>
      </c>
      <c r="T1964" s="1039" t="s">
        <v>8294</v>
      </c>
      <c r="U1964" s="1039"/>
      <c r="V1964" s="1108" t="s">
        <v>5396</v>
      </c>
      <c r="W1964" s="603"/>
      <c r="X1964" s="1054" t="s">
        <v>10788</v>
      </c>
      <c r="Y1964" s="1001" t="s">
        <v>5054</v>
      </c>
      <c r="Z1964" s="626">
        <v>0.9649</v>
      </c>
      <c r="AA1964" s="1001">
        <f t="shared" si="803"/>
        <v>13508.6</v>
      </c>
      <c r="AC1964" s="1030"/>
      <c r="AD1964" s="939" t="s">
        <v>6047</v>
      </c>
      <c r="AE1964" s="939" t="s">
        <v>82</v>
      </c>
      <c r="AF1964" s="939"/>
      <c r="AG1964" s="939"/>
      <c r="AH1964" s="626"/>
      <c r="AI1964" s="609"/>
      <c r="AJ1964" s="618">
        <f t="shared" si="804"/>
        <v>-14000</v>
      </c>
      <c r="AK1964" s="1031"/>
      <c r="AL1964" s="939" t="s">
        <v>454</v>
      </c>
      <c r="AM1964" s="939"/>
      <c r="AN1964" s="939"/>
      <c r="AO1964" s="563">
        <f>I1964</f>
        <v>14000</v>
      </c>
      <c r="AP1964" s="563"/>
      <c r="AQ1964" s="563"/>
      <c r="AR1964" s="1015"/>
      <c r="AS1964" s="563"/>
      <c r="AT1964" s="563">
        <f>I1964</f>
        <v>14000</v>
      </c>
      <c r="AU1964" s="563"/>
      <c r="AV1964" s="563">
        <f>I1964</f>
        <v>14000</v>
      </c>
      <c r="AW1964" s="563"/>
      <c r="AX1964" s="1004"/>
      <c r="AY1964" s="563"/>
      <c r="AZ1964" s="563"/>
      <c r="BA1964" s="563"/>
      <c r="BB1964" s="1017">
        <f>I1964/24*2</f>
        <v>1166.66666666667</v>
      </c>
      <c r="BC1964" s="563"/>
      <c r="BD1964" s="563"/>
      <c r="BE1964" s="563"/>
      <c r="BF1964" s="1032"/>
      <c r="BG1964" s="560"/>
      <c r="BH1964" s="1033"/>
      <c r="BI1964" s="563"/>
      <c r="BJ1964" s="563"/>
      <c r="BK1964" s="563"/>
      <c r="BL1964" s="563"/>
      <c r="BM1964" s="563"/>
      <c r="BN1964" s="563"/>
      <c r="BO1964" s="563"/>
      <c r="BP1964" s="563">
        <f>I1964/25</f>
        <v>560</v>
      </c>
      <c r="BQ1964" s="563"/>
      <c r="BR1964" s="563"/>
      <c r="BS1964" s="563"/>
      <c r="BT1964" s="563"/>
      <c r="BU1964" s="563"/>
      <c r="BV1964" s="563"/>
      <c r="BW1964" s="563"/>
      <c r="BX1964" s="563"/>
      <c r="BY1964" s="563"/>
      <c r="BZ1964" s="563"/>
      <c r="CA1964" s="1032"/>
      <c r="CB1964" s="560"/>
      <c r="CC1964" s="1033"/>
      <c r="CD1964" s="563"/>
      <c r="CE1964" s="563"/>
      <c r="CF1964" s="563"/>
      <c r="CG1964" s="1032"/>
      <c r="CH1964" s="560"/>
      <c r="CI1964" s="1033"/>
      <c r="CJ1964" s="563"/>
      <c r="CK1964" s="563"/>
      <c r="CL1964" s="563"/>
      <c r="CM1964" s="563"/>
      <c r="CN1964" s="563"/>
      <c r="CO1964" s="563"/>
      <c r="CP1964" s="1015"/>
      <c r="CQ1964" s="1015"/>
      <c r="CR1964" s="563"/>
      <c r="CS1964" s="563"/>
      <c r="CT1964" s="563"/>
      <c r="CU1964" s="563">
        <f t="shared" si="805"/>
        <v>560</v>
      </c>
      <c r="CV1964" s="563">
        <f t="shared" si="806"/>
        <v>0</v>
      </c>
      <c r="CW1964" s="563">
        <f t="shared" si="807"/>
        <v>0</v>
      </c>
      <c r="CX1964" s="1015"/>
      <c r="CY1964" s="1015"/>
      <c r="CZ1964" s="1015"/>
      <c r="DA1964" s="1015"/>
      <c r="DB1964" s="1015"/>
      <c r="DC1964" s="1015"/>
      <c r="DD1964" s="1015"/>
      <c r="DE1964" s="1015"/>
      <c r="DF1964" s="1015"/>
      <c r="DG1964" s="1015"/>
      <c r="DH1964" s="1015"/>
    </row>
    <row r="1965" s="547" customFormat="1" ht="31" customHeight="1" spans="1:113">
      <c r="A1965" s="1022">
        <v>46184</v>
      </c>
      <c r="B1965" s="626" t="s">
        <v>1024</v>
      </c>
      <c r="C1965" s="939" t="s">
        <v>399</v>
      </c>
      <c r="D1965" s="563">
        <v>4500211485</v>
      </c>
      <c r="E1965" s="939"/>
      <c r="F1965" s="563" t="s">
        <v>10789</v>
      </c>
      <c r="G1965" s="939" t="s">
        <v>6043</v>
      </c>
      <c r="H1965" s="939" t="s">
        <v>6110</v>
      </c>
      <c r="I1965" s="1023">
        <v>3000</v>
      </c>
      <c r="J1965" s="939">
        <v>0</v>
      </c>
      <c r="K1965" s="1024">
        <v>50</v>
      </c>
      <c r="L1965" s="1025">
        <f t="shared" si="802"/>
        <v>60</v>
      </c>
      <c r="M1965" s="1026">
        <v>46259</v>
      </c>
      <c r="N1965" s="1027">
        <v>46254</v>
      </c>
      <c r="O1965" s="1031"/>
      <c r="P1965" s="939"/>
      <c r="Q1965" s="999"/>
      <c r="R1965" s="1040">
        <v>46191</v>
      </c>
      <c r="S1965" s="1039" t="s">
        <v>70</v>
      </c>
      <c r="T1965" s="1039" t="s">
        <v>10790</v>
      </c>
      <c r="U1965" s="1039"/>
      <c r="V1965" s="1094"/>
      <c r="W1965" s="603" t="s">
        <v>5620</v>
      </c>
      <c r="X1965" s="1054" t="s">
        <v>10791</v>
      </c>
      <c r="Y1965" s="1001" t="s">
        <v>445</v>
      </c>
      <c r="Z1965" s="626">
        <v>0.9819</v>
      </c>
      <c r="AA1965" s="1001">
        <f t="shared" si="803"/>
        <v>2945.7</v>
      </c>
      <c r="AC1965" s="1030"/>
      <c r="AD1965" s="939" t="s">
        <v>6043</v>
      </c>
      <c r="AE1965" s="939" t="s">
        <v>82</v>
      </c>
      <c r="AF1965" s="939"/>
      <c r="AG1965" s="939"/>
      <c r="AH1965" s="626"/>
      <c r="AI1965" s="609"/>
      <c r="AJ1965" s="939">
        <f t="shared" si="804"/>
        <v>-3000</v>
      </c>
      <c r="AK1965" s="1031"/>
      <c r="AL1965" s="939" t="s">
        <v>2368</v>
      </c>
      <c r="AM1965" s="939"/>
      <c r="AN1965" s="939"/>
      <c r="AO1965" s="563">
        <f>I1965</f>
        <v>3000</v>
      </c>
      <c r="AP1965" s="563"/>
      <c r="AQ1965" s="563"/>
      <c r="AR1965" s="1015"/>
      <c r="AS1965" s="563"/>
      <c r="AT1965" s="563">
        <f>I1965</f>
        <v>3000</v>
      </c>
      <c r="AU1965" s="563"/>
      <c r="AV1965" s="563">
        <f>I1965</f>
        <v>3000</v>
      </c>
      <c r="AW1965" s="563"/>
      <c r="AX1965" s="1004"/>
      <c r="AY1965" s="563"/>
      <c r="AZ1965" s="563"/>
      <c r="BA1965" s="563"/>
      <c r="BB1965" s="620">
        <f>I1965/24</f>
        <v>125</v>
      </c>
      <c r="BC1965" s="563"/>
      <c r="BD1965" s="563"/>
      <c r="BE1965" s="563"/>
      <c r="BF1965" s="1032"/>
      <c r="BG1965" s="560"/>
      <c r="BH1965" s="1033"/>
      <c r="BI1965" s="563"/>
      <c r="BJ1965" s="563"/>
      <c r="BK1965" s="563"/>
      <c r="BL1965" s="563"/>
      <c r="BM1965" s="563"/>
      <c r="BN1965" s="563"/>
      <c r="BO1965" s="563"/>
      <c r="BP1965" s="563">
        <f>I1965/25</f>
        <v>120</v>
      </c>
      <c r="BQ1965" s="563"/>
      <c r="BR1965" s="563"/>
      <c r="BS1965" s="563"/>
      <c r="BT1965" s="563"/>
      <c r="BU1965" s="563"/>
      <c r="BV1965" s="563"/>
      <c r="BW1965" s="563"/>
      <c r="BX1965" s="563"/>
      <c r="BY1965" s="563"/>
      <c r="BZ1965" s="563"/>
      <c r="CA1965" s="1032"/>
      <c r="CB1965" s="567"/>
      <c r="CC1965" s="1033"/>
      <c r="CD1965" s="563"/>
      <c r="CE1965" s="563"/>
      <c r="CF1965" s="563"/>
      <c r="CG1965" s="1032"/>
      <c r="CH1965" s="560"/>
      <c r="CI1965" s="1033"/>
      <c r="CJ1965" s="563"/>
      <c r="CK1965" s="563"/>
      <c r="CL1965" s="563"/>
      <c r="CM1965" s="563"/>
      <c r="CN1965" s="563"/>
      <c r="CO1965" s="563"/>
      <c r="CP1965" s="1015"/>
      <c r="CQ1965" s="1015"/>
      <c r="CR1965" s="563"/>
      <c r="CS1965" s="563"/>
      <c r="CT1965" s="563"/>
      <c r="CU1965" s="563">
        <f t="shared" si="805"/>
        <v>120</v>
      </c>
      <c r="CV1965" s="563">
        <f t="shared" si="806"/>
        <v>0</v>
      </c>
      <c r="CW1965" s="563">
        <f t="shared" si="807"/>
        <v>0</v>
      </c>
      <c r="CX1965" s="1015"/>
      <c r="CY1965" s="1015"/>
      <c r="CZ1965" s="1015"/>
      <c r="DA1965" s="1015"/>
      <c r="DB1965" s="1015"/>
      <c r="DC1965" s="1015"/>
      <c r="DD1965" s="1015"/>
      <c r="DE1965" s="1015"/>
      <c r="DF1965" s="1015"/>
      <c r="DG1965" s="1015"/>
      <c r="DH1965" s="1015"/>
    </row>
    <row r="1966" s="558" customFormat="1" ht="31" customHeight="1" spans="1:113">
      <c r="A1966" s="991">
        <v>46205</v>
      </c>
      <c r="B1966" s="601" t="s">
        <v>5430</v>
      </c>
      <c r="C1966" s="992" t="s">
        <v>723</v>
      </c>
      <c r="D1966" s="993">
        <v>4500214715</v>
      </c>
      <c r="E1966" s="992" t="s">
        <v>5625</v>
      </c>
      <c r="F1966" s="586" t="s">
        <v>10792</v>
      </c>
      <c r="G1966" s="992" t="s">
        <v>6040</v>
      </c>
      <c r="H1966" s="992" t="s">
        <v>6041</v>
      </c>
      <c r="I1966" s="995">
        <v>884</v>
      </c>
      <c r="J1966" s="992">
        <v>0</v>
      </c>
      <c r="K1966" s="996">
        <v>52</v>
      </c>
      <c r="L1966" s="997">
        <f t="shared" si="802"/>
        <v>17</v>
      </c>
      <c r="M1966" s="998">
        <v>46259</v>
      </c>
      <c r="N1966" s="1027">
        <v>46254</v>
      </c>
      <c r="O1966" s="994"/>
      <c r="P1966" s="992"/>
      <c r="Q1966" s="584"/>
      <c r="R1966" s="584">
        <v>46205</v>
      </c>
      <c r="S1966" s="1029" t="s">
        <v>70</v>
      </c>
      <c r="T1966" s="1109" t="s">
        <v>10532</v>
      </c>
      <c r="U1966" s="1109"/>
      <c r="V1966" s="1093"/>
      <c r="W1966" s="603"/>
      <c r="X1966" s="604" t="s">
        <v>10793</v>
      </c>
      <c r="Y1966" s="1000" t="s">
        <v>3527</v>
      </c>
      <c r="Z1966" s="601">
        <v>0.9575</v>
      </c>
      <c r="AA1966" s="1000">
        <f t="shared" si="803"/>
        <v>846.43</v>
      </c>
      <c r="AB1966" s="585"/>
      <c r="AC1966" s="1002"/>
      <c r="AD1966" s="939" t="s">
        <v>6040</v>
      </c>
      <c r="AE1966" s="992" t="s">
        <v>82</v>
      </c>
      <c r="AF1966" s="992"/>
      <c r="AG1966" s="992"/>
      <c r="AH1966" s="601"/>
      <c r="AI1966" s="609"/>
      <c r="AJ1966" s="939">
        <f t="shared" si="804"/>
        <v>-884</v>
      </c>
      <c r="AK1966" s="994"/>
      <c r="AL1966" s="992" t="s">
        <v>2368</v>
      </c>
      <c r="AM1966" s="992"/>
      <c r="AN1966" s="992"/>
      <c r="AO1966" s="586">
        <f>I1966</f>
        <v>884</v>
      </c>
      <c r="AP1966" s="586"/>
      <c r="AQ1966" s="586"/>
      <c r="AR1966" s="1003"/>
      <c r="AS1966" s="586"/>
      <c r="AT1966" s="563">
        <f>I1966</f>
        <v>884</v>
      </c>
      <c r="AU1966" s="563"/>
      <c r="AV1966" s="563">
        <f>I1966</f>
        <v>884</v>
      </c>
      <c r="AW1966" s="586"/>
      <c r="AX1966" s="1049"/>
      <c r="AY1966" s="586"/>
      <c r="AZ1966" s="586"/>
      <c r="BA1966" s="586"/>
      <c r="BB1966" s="1017">
        <f>I1966/24</f>
        <v>36.8333333333333</v>
      </c>
      <c r="BC1966" s="586"/>
      <c r="BD1966" s="586"/>
      <c r="BE1966" s="586"/>
      <c r="BF1966" s="1005"/>
      <c r="BG1966" s="561"/>
      <c r="BH1966" s="1006"/>
      <c r="BI1966" s="586"/>
      <c r="BJ1966" s="586"/>
      <c r="BK1966" s="586"/>
      <c r="BL1966" s="586"/>
      <c r="BM1966" s="563">
        <f>I1966/13</f>
        <v>68</v>
      </c>
      <c r="BN1966" s="586"/>
      <c r="BO1966" s="586"/>
      <c r="BP1966" s="586"/>
      <c r="BQ1966" s="586"/>
      <c r="BR1966" s="586"/>
      <c r="BS1966" s="586"/>
      <c r="BT1966" s="586"/>
      <c r="BU1966" s="586"/>
      <c r="BV1966" s="586"/>
      <c r="BW1966" s="586"/>
      <c r="BX1966" s="586"/>
      <c r="BY1966" s="586"/>
      <c r="BZ1966" s="586"/>
      <c r="CA1966" s="1007"/>
      <c r="CB1966" s="560"/>
      <c r="CC1966" s="1006"/>
      <c r="CD1966" s="586"/>
      <c r="CE1966" s="586"/>
      <c r="CF1966" s="586"/>
      <c r="CG1966" s="1005"/>
      <c r="CH1966" s="561"/>
      <c r="CI1966" s="1006"/>
      <c r="CJ1966" s="586"/>
      <c r="CK1966" s="586"/>
      <c r="CL1966" s="586"/>
      <c r="CM1966" s="586"/>
      <c r="CN1966" s="586"/>
      <c r="CO1966" s="586"/>
      <c r="CP1966" s="1003"/>
      <c r="CQ1966" s="1003"/>
      <c r="CR1966" s="586"/>
      <c r="CS1966" s="586"/>
      <c r="CT1966" s="586"/>
      <c r="CU1966" s="563">
        <f t="shared" si="805"/>
        <v>0</v>
      </c>
      <c r="CV1966" s="563">
        <f t="shared" si="806"/>
        <v>0</v>
      </c>
      <c r="CW1966" s="563">
        <f t="shared" si="807"/>
        <v>0</v>
      </c>
      <c r="CX1966" s="1003"/>
      <c r="CY1966" s="1003"/>
      <c r="CZ1966" s="1003"/>
      <c r="DA1966" s="1003"/>
      <c r="DB1966" s="1003"/>
      <c r="DC1966" s="1003"/>
      <c r="DD1966" s="1003"/>
      <c r="DE1966" s="1003"/>
      <c r="DF1966" s="1003"/>
      <c r="DG1966" s="1003"/>
      <c r="DH1966" s="1003"/>
    </row>
    <row r="1967" s="558" customFormat="1" ht="31" customHeight="1" spans="1:113">
      <c r="A1967" s="991">
        <v>46203</v>
      </c>
      <c r="B1967" s="601" t="s">
        <v>5628</v>
      </c>
      <c r="C1967" s="992" t="s">
        <v>847</v>
      </c>
      <c r="D1967" s="993">
        <v>4500214321</v>
      </c>
      <c r="E1967" s="992" t="s">
        <v>3846</v>
      </c>
      <c r="F1967" s="586" t="s">
        <v>10794</v>
      </c>
      <c r="G1967" s="992" t="s">
        <v>6047</v>
      </c>
      <c r="H1967" s="992" t="s">
        <v>6069</v>
      </c>
      <c r="I1967" s="995">
        <v>500</v>
      </c>
      <c r="J1967" s="992">
        <v>0</v>
      </c>
      <c r="K1967" s="996">
        <v>25</v>
      </c>
      <c r="L1967" s="997">
        <f t="shared" si="802"/>
        <v>20</v>
      </c>
      <c r="M1967" s="998">
        <v>46259</v>
      </c>
      <c r="N1967" s="1027">
        <v>46254</v>
      </c>
      <c r="O1967" s="994"/>
      <c r="P1967" s="992"/>
      <c r="Q1967" s="584"/>
      <c r="R1967" s="584">
        <v>46203</v>
      </c>
      <c r="S1967" s="999" t="s">
        <v>70</v>
      </c>
      <c r="T1967" s="1110" t="s">
        <v>10795</v>
      </c>
      <c r="U1967" s="584"/>
      <c r="V1967" s="1050"/>
      <c r="W1967" s="603" t="s">
        <v>5632</v>
      </c>
      <c r="X1967" s="1111" t="s">
        <v>10796</v>
      </c>
      <c r="Y1967" s="1000" t="s">
        <v>261</v>
      </c>
      <c r="Z1967" s="601">
        <v>0.9946</v>
      </c>
      <c r="AA1967" s="1000">
        <f t="shared" si="803"/>
        <v>497.3</v>
      </c>
      <c r="AB1967" s="585"/>
      <c r="AC1967" s="1002"/>
      <c r="AD1967" s="939" t="s">
        <v>6047</v>
      </c>
      <c r="AE1967" s="992" t="s">
        <v>82</v>
      </c>
      <c r="AF1967" s="992"/>
      <c r="AG1967" s="992"/>
      <c r="AH1967" s="601"/>
      <c r="AI1967" s="609"/>
      <c r="AJ1967" s="939">
        <f t="shared" si="804"/>
        <v>-500</v>
      </c>
      <c r="AK1967" s="994"/>
      <c r="AL1967" s="992" t="s">
        <v>2368</v>
      </c>
      <c r="AM1967" s="992"/>
      <c r="AN1967" s="992"/>
      <c r="AO1967" s="586">
        <f>I1967</f>
        <v>500</v>
      </c>
      <c r="AP1967" s="586"/>
      <c r="AQ1967" s="586"/>
      <c r="AR1967" s="1003"/>
      <c r="AS1967" s="586"/>
      <c r="AT1967" s="563">
        <f>I1967</f>
        <v>500</v>
      </c>
      <c r="AU1967" s="563"/>
      <c r="AV1967" s="563">
        <f>I1967</f>
        <v>500</v>
      </c>
      <c r="AW1967" s="586"/>
      <c r="AX1967" s="1049"/>
      <c r="AY1967" s="586"/>
      <c r="AZ1967" s="586"/>
      <c r="BA1967" s="586"/>
      <c r="BB1967" s="1017">
        <f>I1967/24*2</f>
        <v>41.6666666666667</v>
      </c>
      <c r="BC1967" s="586"/>
      <c r="BD1967" s="586"/>
      <c r="BE1967" s="586"/>
      <c r="BF1967" s="1005"/>
      <c r="BG1967" s="561"/>
      <c r="BH1967" s="1006"/>
      <c r="BI1967" s="586"/>
      <c r="BJ1967" s="586"/>
      <c r="BK1967" s="586"/>
      <c r="BL1967" s="586"/>
      <c r="BM1967" s="586"/>
      <c r="BN1967" s="586"/>
      <c r="BO1967" s="586"/>
      <c r="BP1967" s="563">
        <f>I1967/25</f>
        <v>20</v>
      </c>
      <c r="BQ1967" s="586"/>
      <c r="BR1967" s="586"/>
      <c r="BS1967" s="586"/>
      <c r="BT1967" s="586"/>
      <c r="BU1967" s="586"/>
      <c r="BV1967" s="586"/>
      <c r="BW1967" s="586"/>
      <c r="BX1967" s="586"/>
      <c r="BY1967" s="586"/>
      <c r="BZ1967" s="586"/>
      <c r="CA1967" s="1007"/>
      <c r="CB1967" s="560"/>
      <c r="CC1967" s="1006"/>
      <c r="CD1967" s="586"/>
      <c r="CE1967" s="586"/>
      <c r="CF1967" s="586"/>
      <c r="CG1967" s="1005"/>
      <c r="CH1967" s="561"/>
      <c r="CI1967" s="1006"/>
      <c r="CJ1967" s="586"/>
      <c r="CK1967" s="586"/>
      <c r="CL1967" s="586"/>
      <c r="CM1967" s="586"/>
      <c r="CN1967" s="586"/>
      <c r="CO1967" s="586"/>
      <c r="CP1967" s="1003"/>
      <c r="CQ1967" s="1003"/>
      <c r="CR1967" s="586"/>
      <c r="CS1967" s="586"/>
      <c r="CT1967" s="586"/>
      <c r="CU1967" s="563">
        <f t="shared" si="805"/>
        <v>20</v>
      </c>
      <c r="CV1967" s="563">
        <f t="shared" si="806"/>
        <v>0</v>
      </c>
      <c r="CW1967" s="563">
        <f t="shared" si="807"/>
        <v>0</v>
      </c>
      <c r="CX1967" s="1003"/>
      <c r="CY1967" s="1003"/>
      <c r="CZ1967" s="1003"/>
      <c r="DA1967" s="1003"/>
      <c r="DB1967" s="1003"/>
      <c r="DC1967" s="1003"/>
      <c r="DD1967" s="1003"/>
      <c r="DE1967" s="1003"/>
      <c r="DF1967" s="1003"/>
      <c r="DG1967" s="1003"/>
      <c r="DH1967" s="1003"/>
    </row>
    <row r="1968" s="547" customFormat="1" ht="31" customHeight="1" spans="1:113">
      <c r="A1968" s="1022">
        <v>46184</v>
      </c>
      <c r="B1968" s="626" t="s">
        <v>1024</v>
      </c>
      <c r="C1968" s="939" t="s">
        <v>399</v>
      </c>
      <c r="D1968" s="563">
        <v>4500211485</v>
      </c>
      <c r="E1968" s="992"/>
      <c r="F1968" s="563" t="s">
        <v>5622</v>
      </c>
      <c r="G1968" s="939" t="s">
        <v>6337</v>
      </c>
      <c r="H1968" s="939" t="s">
        <v>477</v>
      </c>
      <c r="I1968" s="1023">
        <v>1500</v>
      </c>
      <c r="J1968" s="939">
        <v>0</v>
      </c>
      <c r="K1968" s="1024">
        <v>6</v>
      </c>
      <c r="L1968" s="1025">
        <f t="shared" si="802"/>
        <v>250</v>
      </c>
      <c r="M1968" s="1026">
        <v>46259</v>
      </c>
      <c r="N1968" s="1027">
        <v>46254</v>
      </c>
      <c r="O1968" s="1031"/>
      <c r="P1968" s="939"/>
      <c r="Q1968" s="999"/>
      <c r="R1968" s="999">
        <v>46191</v>
      </c>
      <c r="S1968" s="999" t="s">
        <v>70</v>
      </c>
      <c r="T1968" s="999" t="s">
        <v>5623</v>
      </c>
      <c r="U1968" s="999"/>
      <c r="V1968" s="999"/>
      <c r="W1968" s="585" t="s">
        <v>5620</v>
      </c>
      <c r="X1968" s="626" t="s">
        <v>10797</v>
      </c>
      <c r="Y1968" s="1001" t="s">
        <v>445</v>
      </c>
      <c r="Z1968" s="626">
        <v>7.0792</v>
      </c>
      <c r="AA1968" s="1001">
        <f t="shared" si="803"/>
        <v>10618.8</v>
      </c>
      <c r="AC1968" s="1030"/>
      <c r="AD1968" s="939" t="s">
        <v>480</v>
      </c>
      <c r="AE1968" s="939" t="s">
        <v>82</v>
      </c>
      <c r="AF1968" s="939"/>
      <c r="AG1968" s="939"/>
      <c r="AH1968" s="626"/>
      <c r="AI1968" s="609"/>
      <c r="AJ1968" s="939">
        <f t="shared" si="804"/>
        <v>-1500</v>
      </c>
      <c r="AK1968" s="1031"/>
      <c r="AL1968" s="939" t="s">
        <v>2368</v>
      </c>
      <c r="AM1968" s="939"/>
      <c r="AN1968" s="939"/>
      <c r="AO1968" s="563">
        <f>I1968*2</f>
        <v>3000</v>
      </c>
      <c r="AP1968" s="563"/>
      <c r="AQ1968" s="563"/>
      <c r="AR1968" s="1003"/>
      <c r="AS1968" s="563"/>
      <c r="AT1968" s="554">
        <f>I1968*2</f>
        <v>3000</v>
      </c>
      <c r="AU1968" s="563"/>
      <c r="AV1968" s="563">
        <f>I1968*2</f>
        <v>3000</v>
      </c>
      <c r="AW1968" s="563"/>
      <c r="AX1968" s="1004"/>
      <c r="AY1968" s="563"/>
      <c r="AZ1968" s="563"/>
      <c r="BA1968" s="563"/>
      <c r="BB1968" s="1017">
        <f>I1968/24*2</f>
        <v>125</v>
      </c>
      <c r="BC1968" s="563"/>
      <c r="BD1968" s="563"/>
      <c r="BE1968" s="563"/>
      <c r="BF1968" s="1032"/>
      <c r="BG1968" s="560"/>
      <c r="BH1968" s="1033"/>
      <c r="BI1968" s="563"/>
      <c r="BJ1968" s="563"/>
      <c r="BK1968" s="563"/>
      <c r="BL1968" s="563"/>
      <c r="BM1968" s="563"/>
      <c r="BN1968" s="563"/>
      <c r="BO1968" s="563"/>
      <c r="BP1968" s="563"/>
      <c r="BQ1968" s="563"/>
      <c r="BR1968" s="563"/>
      <c r="BS1968" s="563"/>
      <c r="BT1968" s="563"/>
      <c r="BU1968" s="563"/>
      <c r="BV1968" s="563"/>
      <c r="BW1968" s="563"/>
      <c r="BX1968" s="563"/>
      <c r="BY1968" s="563"/>
      <c r="BZ1968" s="551">
        <f>I1968</f>
        <v>1500</v>
      </c>
      <c r="CA1968" s="1032"/>
      <c r="CB1968" s="567"/>
      <c r="CC1968" s="1033"/>
      <c r="CD1968" s="563"/>
      <c r="CE1968" s="563"/>
      <c r="CF1968" s="563"/>
      <c r="CG1968" s="1032"/>
      <c r="CH1968" s="560"/>
      <c r="CI1968" s="1033"/>
      <c r="CJ1968" s="563"/>
      <c r="CK1968" s="563"/>
      <c r="CL1968" s="563"/>
      <c r="CM1968" s="563"/>
      <c r="CN1968" s="563"/>
      <c r="CO1968" s="563"/>
      <c r="CP1968" s="1015"/>
      <c r="CQ1968" s="1015"/>
      <c r="CR1968" s="563"/>
      <c r="CS1968" s="563"/>
      <c r="CT1968" s="563"/>
      <c r="CU1968" s="563">
        <f t="shared" si="805"/>
        <v>0</v>
      </c>
      <c r="CV1968" s="563">
        <v>0</v>
      </c>
      <c r="CW1968" s="563">
        <v>0</v>
      </c>
      <c r="CX1968" s="1015"/>
      <c r="CY1968" s="1015"/>
      <c r="CZ1968" s="1015"/>
      <c r="DA1968" s="1015"/>
      <c r="DB1968" s="1015"/>
      <c r="DC1968" s="1015"/>
      <c r="DD1968" s="1015"/>
      <c r="DE1968" s="1015"/>
      <c r="DF1968" s="1015"/>
      <c r="DG1968" s="1015"/>
      <c r="DH1968" s="1015"/>
    </row>
    <row r="1969" s="560" customFormat="1" ht="31" customHeight="1" spans="1:113">
      <c r="A1969" s="1034">
        <v>46217</v>
      </c>
      <c r="B1969" s="603" t="s">
        <v>2206</v>
      </c>
      <c r="C1969" s="1035" t="s">
        <v>1343</v>
      </c>
      <c r="D1969" s="1112">
        <v>4500216411</v>
      </c>
      <c r="E1969" s="1035" t="s">
        <v>10798</v>
      </c>
      <c r="F1969" s="560" t="s">
        <v>10799</v>
      </c>
      <c r="G1969" s="1035" t="s">
        <v>6276</v>
      </c>
      <c r="H1969" s="1035" t="s">
        <v>6277</v>
      </c>
      <c r="I1969" s="1036">
        <v>1500</v>
      </c>
      <c r="J1969" s="1035">
        <v>0</v>
      </c>
      <c r="K1969" s="1035">
        <v>50</v>
      </c>
      <c r="L1969" s="1025">
        <f t="shared" si="802"/>
        <v>30</v>
      </c>
      <c r="M1969" s="1037">
        <v>46259</v>
      </c>
      <c r="N1969" s="1027">
        <v>46254</v>
      </c>
      <c r="O1969" s="1043"/>
      <c r="P1969" s="1035"/>
      <c r="Q1969" s="1039"/>
      <c r="R1969" s="1039">
        <v>46217</v>
      </c>
      <c r="S1969" s="1039" t="s">
        <v>70</v>
      </c>
      <c r="T1969" s="1113" t="s">
        <v>10800</v>
      </c>
      <c r="U1969" s="1039"/>
      <c r="V1969" s="1039" t="s">
        <v>10801</v>
      </c>
      <c r="W1969" s="603"/>
      <c r="X1969" s="1041" t="s">
        <v>10802</v>
      </c>
      <c r="Y1969" s="1042" t="s">
        <v>230</v>
      </c>
      <c r="Z1969" s="603">
        <v>0.9882</v>
      </c>
      <c r="AA1969" s="1042">
        <f t="shared" si="803"/>
        <v>1482.3</v>
      </c>
      <c r="AB1969" s="603"/>
      <c r="AC1969" s="1030"/>
      <c r="AD1969" s="939" t="s">
        <v>9017</v>
      </c>
      <c r="AE1969" s="1035" t="s">
        <v>82</v>
      </c>
      <c r="AF1969" s="1035"/>
      <c r="AG1969" s="1035"/>
      <c r="AH1969" s="603"/>
      <c r="AI1969" s="626"/>
      <c r="AJ1969" s="939">
        <f t="shared" si="804"/>
        <v>-1500</v>
      </c>
      <c r="AK1969" s="1043"/>
      <c r="AL1969" s="1035" t="s">
        <v>2368</v>
      </c>
      <c r="AM1969" s="1035"/>
      <c r="AN1969" s="1035"/>
      <c r="AO1969" s="560">
        <f>I1969</f>
        <v>1500</v>
      </c>
      <c r="AR1969" s="1044"/>
      <c r="AS1969" s="560"/>
      <c r="AT1969" s="554">
        <f>I1969</f>
        <v>1500</v>
      </c>
      <c r="AX1969" s="1045"/>
      <c r="AY1969" s="560"/>
      <c r="AZ1969" s="560"/>
      <c r="BA1969" s="560"/>
      <c r="BB1969" s="1017">
        <f>I1969/24*2</f>
        <v>125</v>
      </c>
      <c r="BV1969" s="563"/>
      <c r="BW1969" s="563">
        <f>I1969</f>
        <v>1500</v>
      </c>
      <c r="BX1969" s="563">
        <f>I1969/25</f>
        <v>60</v>
      </c>
      <c r="CA1969" s="1044"/>
      <c r="CP1969" s="1044"/>
      <c r="CQ1969" s="1044"/>
      <c r="CR1969" s="560"/>
      <c r="CS1969" s="560"/>
      <c r="CT1969" s="560"/>
      <c r="CU1969" s="563">
        <f t="shared" si="805"/>
        <v>60</v>
      </c>
      <c r="CV1969" s="563">
        <f t="shared" ref="CV1969:CV1974" si="808">CK1969+CL1969+CM1969+CN1969+CO1969+CQ1969+CP1969</f>
        <v>0</v>
      </c>
      <c r="CW1969" s="563">
        <f t="shared" ref="CW1969:CW1974" si="809">CI1969+CJ1969</f>
        <v>0</v>
      </c>
      <c r="CX1969" s="1044"/>
      <c r="CY1969" s="1044"/>
      <c r="CZ1969" s="1044"/>
      <c r="DA1969" s="1044"/>
      <c r="DB1969" s="1044"/>
      <c r="DC1969" s="1044"/>
      <c r="DD1969" s="1044"/>
      <c r="DE1969" s="1044"/>
      <c r="DF1969" s="1044"/>
      <c r="DG1969" s="1044"/>
      <c r="DH1969" s="1044"/>
    </row>
    <row r="1970" s="560" customFormat="1" ht="31" customHeight="1" spans="1:113">
      <c r="A1970" s="1034">
        <v>46217</v>
      </c>
      <c r="B1970" s="603" t="s">
        <v>8152</v>
      </c>
      <c r="C1970" s="1035" t="s">
        <v>98</v>
      </c>
      <c r="D1970" s="1112">
        <v>4500216465</v>
      </c>
      <c r="E1970" s="1043">
        <v>4566491383</v>
      </c>
      <c r="F1970" s="560" t="s">
        <v>10803</v>
      </c>
      <c r="G1970" s="1035" t="s">
        <v>8051</v>
      </c>
      <c r="H1970" s="1035" t="s">
        <v>6102</v>
      </c>
      <c r="I1970" s="1036">
        <v>468</v>
      </c>
      <c r="J1970" s="1035">
        <v>0</v>
      </c>
      <c r="K1970" s="1035">
        <v>6</v>
      </c>
      <c r="L1970" s="1025">
        <f t="shared" si="802"/>
        <v>78</v>
      </c>
      <c r="M1970" s="1037">
        <v>46260</v>
      </c>
      <c r="N1970" s="1027">
        <v>46254</v>
      </c>
      <c r="O1970" s="1043"/>
      <c r="P1970" s="1035"/>
      <c r="Q1970" s="1039"/>
      <c r="R1970" s="1039">
        <v>46217</v>
      </c>
      <c r="S1970" s="999" t="s">
        <v>70</v>
      </c>
      <c r="T1970" s="1039" t="s">
        <v>9311</v>
      </c>
      <c r="U1970" s="1039"/>
      <c r="V1970" s="999" t="s">
        <v>10001</v>
      </c>
      <c r="W1970" s="603"/>
      <c r="X1970" s="603" t="s">
        <v>10804</v>
      </c>
      <c r="Y1970" s="1042" t="s">
        <v>819</v>
      </c>
      <c r="Z1970" s="603">
        <v>0.6197</v>
      </c>
      <c r="AA1970" s="1042">
        <f t="shared" si="803"/>
        <v>290.0196</v>
      </c>
      <c r="AB1970" s="603"/>
      <c r="AC1970" s="1030"/>
      <c r="AD1970" s="939" t="s">
        <v>8051</v>
      </c>
      <c r="AE1970" s="1035" t="s">
        <v>82</v>
      </c>
      <c r="AF1970" s="1035"/>
      <c r="AG1970" s="1035"/>
      <c r="AH1970" s="603"/>
      <c r="AI1970" s="626"/>
      <c r="AJ1970" s="939">
        <f t="shared" si="804"/>
        <v>-468</v>
      </c>
      <c r="AK1970" s="1043"/>
      <c r="AL1970" s="1035" t="s">
        <v>2368</v>
      </c>
      <c r="AM1970" s="1035"/>
      <c r="AN1970" s="1035">
        <f>I1970</f>
        <v>468</v>
      </c>
      <c r="AP1970" s="562">
        <f>I1970</f>
        <v>468</v>
      </c>
      <c r="AR1970" s="1044"/>
      <c r="AS1970" s="560"/>
      <c r="AT1970" s="560"/>
      <c r="AU1970" s="563">
        <f>I1970</f>
        <v>468</v>
      </c>
      <c r="AX1970" s="1045"/>
      <c r="AY1970" s="560"/>
      <c r="AZ1970" s="560"/>
      <c r="BA1970" s="560"/>
      <c r="BB1970" s="1017">
        <f>I1970/24</f>
        <v>19.5</v>
      </c>
      <c r="BT1970" s="563">
        <f>L1970</f>
        <v>78</v>
      </c>
      <c r="CA1970" s="1044"/>
      <c r="CP1970" s="1044"/>
      <c r="CQ1970" s="1044"/>
      <c r="CR1970" s="560"/>
      <c r="CS1970" s="560"/>
      <c r="CT1970" s="560"/>
      <c r="CU1970" s="563">
        <f t="shared" si="805"/>
        <v>0</v>
      </c>
      <c r="CV1970" s="563">
        <f t="shared" si="808"/>
        <v>0</v>
      </c>
      <c r="CW1970" s="563">
        <f t="shared" si="809"/>
        <v>0</v>
      </c>
      <c r="CX1970" s="1044"/>
      <c r="CY1970" s="1044"/>
      <c r="CZ1970" s="1044"/>
      <c r="DA1970" s="1044"/>
      <c r="DB1970" s="1044"/>
      <c r="DC1970" s="1044"/>
      <c r="DD1970" s="1044"/>
      <c r="DE1970" s="1044"/>
      <c r="DF1970" s="1044"/>
      <c r="DG1970" s="1044"/>
      <c r="DH1970" s="1044"/>
    </row>
    <row r="1971" s="560" customFormat="1" ht="31" customHeight="1" spans="1:113">
      <c r="A1971" s="1034">
        <v>46217</v>
      </c>
      <c r="B1971" s="603" t="s">
        <v>8152</v>
      </c>
      <c r="C1971" s="1035" t="s">
        <v>98</v>
      </c>
      <c r="D1971" s="1112">
        <v>4500216465</v>
      </c>
      <c r="E1971" s="1043">
        <v>4566491377</v>
      </c>
      <c r="F1971" s="560" t="s">
        <v>10805</v>
      </c>
      <c r="G1971" s="1035" t="s">
        <v>8051</v>
      </c>
      <c r="H1971" s="1035" t="s">
        <v>6102</v>
      </c>
      <c r="I1971" s="1036">
        <v>744</v>
      </c>
      <c r="J1971" s="1035">
        <v>0</v>
      </c>
      <c r="K1971" s="1035">
        <v>6</v>
      </c>
      <c r="L1971" s="1025">
        <f t="shared" si="802"/>
        <v>124</v>
      </c>
      <c r="M1971" s="1037">
        <v>46260</v>
      </c>
      <c r="N1971" s="1027">
        <v>46254</v>
      </c>
      <c r="O1971" s="1043"/>
      <c r="P1971" s="1035"/>
      <c r="Q1971" s="1039"/>
      <c r="R1971" s="1039">
        <v>46217</v>
      </c>
      <c r="S1971" s="999" t="s">
        <v>70</v>
      </c>
      <c r="T1971" s="1039" t="s">
        <v>9311</v>
      </c>
      <c r="U1971" s="1039"/>
      <c r="V1971" s="999" t="s">
        <v>10001</v>
      </c>
      <c r="W1971" s="603"/>
      <c r="X1971" s="603" t="s">
        <v>10804</v>
      </c>
      <c r="Y1971" s="1042" t="s">
        <v>819</v>
      </c>
      <c r="Z1971" s="603">
        <v>0.6197</v>
      </c>
      <c r="AA1971" s="1042">
        <f t="shared" si="803"/>
        <v>461.0568</v>
      </c>
      <c r="AB1971" s="603"/>
      <c r="AC1971" s="1030"/>
      <c r="AD1971" s="939" t="s">
        <v>8051</v>
      </c>
      <c r="AE1971" s="1035" t="s">
        <v>82</v>
      </c>
      <c r="AF1971" s="1035"/>
      <c r="AG1971" s="1035"/>
      <c r="AH1971" s="603"/>
      <c r="AI1971" s="626"/>
      <c r="AJ1971" s="939">
        <f t="shared" si="804"/>
        <v>-744</v>
      </c>
      <c r="AK1971" s="1043"/>
      <c r="AL1971" s="1035" t="s">
        <v>2368</v>
      </c>
      <c r="AM1971" s="1035"/>
      <c r="AN1971" s="1035">
        <f>I1971</f>
        <v>744</v>
      </c>
      <c r="AP1971" s="562">
        <f>I1971</f>
        <v>744</v>
      </c>
      <c r="AR1971" s="1044"/>
      <c r="AS1971" s="560"/>
      <c r="AT1971" s="560"/>
      <c r="AU1971" s="563">
        <f>I1971</f>
        <v>744</v>
      </c>
      <c r="AX1971" s="1045"/>
      <c r="AY1971" s="560"/>
      <c r="AZ1971" s="560"/>
      <c r="BA1971" s="560"/>
      <c r="BB1971" s="1017">
        <f>I1971/24</f>
        <v>31</v>
      </c>
      <c r="BT1971" s="563">
        <f>L1971</f>
        <v>124</v>
      </c>
      <c r="CA1971" s="1044"/>
      <c r="CP1971" s="1044"/>
      <c r="CQ1971" s="1044"/>
      <c r="CR1971" s="560"/>
      <c r="CS1971" s="560"/>
      <c r="CT1971" s="560"/>
      <c r="CU1971" s="563">
        <f t="shared" si="805"/>
        <v>0</v>
      </c>
      <c r="CV1971" s="563">
        <f t="shared" si="808"/>
        <v>0</v>
      </c>
      <c r="CW1971" s="563">
        <f t="shared" si="809"/>
        <v>0</v>
      </c>
      <c r="CX1971" s="1044"/>
      <c r="CY1971" s="1044"/>
      <c r="CZ1971" s="1044"/>
      <c r="DA1971" s="1044"/>
      <c r="DB1971" s="1044"/>
      <c r="DC1971" s="1044"/>
      <c r="DD1971" s="1044"/>
      <c r="DE1971" s="1044"/>
      <c r="DF1971" s="1044"/>
      <c r="DG1971" s="1044"/>
      <c r="DH1971" s="1044"/>
    </row>
    <row r="1972" s="560" customFormat="1" ht="31" customHeight="1" spans="1:113">
      <c r="A1972" s="1034">
        <v>46217</v>
      </c>
      <c r="B1972" s="603" t="s">
        <v>8152</v>
      </c>
      <c r="C1972" s="1035" t="s">
        <v>98</v>
      </c>
      <c r="D1972" s="1112">
        <v>4500216465</v>
      </c>
      <c r="E1972" s="1043">
        <v>4566491381</v>
      </c>
      <c r="F1972" s="560" t="s">
        <v>10806</v>
      </c>
      <c r="G1972" s="1035" t="s">
        <v>8051</v>
      </c>
      <c r="H1972" s="1035" t="s">
        <v>6102</v>
      </c>
      <c r="I1972" s="1036">
        <v>336</v>
      </c>
      <c r="J1972" s="1035">
        <v>0</v>
      </c>
      <c r="K1972" s="1035">
        <v>6</v>
      </c>
      <c r="L1972" s="1025">
        <f t="shared" si="802"/>
        <v>56</v>
      </c>
      <c r="M1972" s="1037">
        <v>46260</v>
      </c>
      <c r="N1972" s="1027">
        <v>46254</v>
      </c>
      <c r="O1972" s="1043"/>
      <c r="P1972" s="1035"/>
      <c r="Q1972" s="1039"/>
      <c r="R1972" s="1039">
        <v>46217</v>
      </c>
      <c r="S1972" s="999" t="s">
        <v>70</v>
      </c>
      <c r="T1972" s="1039" t="s">
        <v>9311</v>
      </c>
      <c r="U1972" s="1039"/>
      <c r="V1972" s="999" t="s">
        <v>10001</v>
      </c>
      <c r="W1972" s="603"/>
      <c r="X1972" s="603" t="s">
        <v>10804</v>
      </c>
      <c r="Y1972" s="1042" t="s">
        <v>819</v>
      </c>
      <c r="Z1972" s="603">
        <v>0.6197</v>
      </c>
      <c r="AA1972" s="1042">
        <f t="shared" si="803"/>
        <v>208.2192</v>
      </c>
      <c r="AB1972" s="603"/>
      <c r="AC1972" s="1030"/>
      <c r="AD1972" s="939" t="s">
        <v>8051</v>
      </c>
      <c r="AE1972" s="1035" t="s">
        <v>82</v>
      </c>
      <c r="AF1972" s="1035"/>
      <c r="AG1972" s="1035"/>
      <c r="AH1972" s="603"/>
      <c r="AI1972" s="626"/>
      <c r="AJ1972" s="939">
        <f t="shared" si="804"/>
        <v>-336</v>
      </c>
      <c r="AK1972" s="1043"/>
      <c r="AL1972" s="1035" t="s">
        <v>2368</v>
      </c>
      <c r="AM1972" s="1035"/>
      <c r="AN1972" s="1035">
        <f>I1972</f>
        <v>336</v>
      </c>
      <c r="AP1972" s="562">
        <f>I1972</f>
        <v>336</v>
      </c>
      <c r="AR1972" s="1044"/>
      <c r="AS1972" s="560"/>
      <c r="AT1972" s="560"/>
      <c r="AU1972" s="563">
        <f>I1972</f>
        <v>336</v>
      </c>
      <c r="AX1972" s="1045"/>
      <c r="AY1972" s="560"/>
      <c r="AZ1972" s="560"/>
      <c r="BA1972" s="560"/>
      <c r="BB1972" s="1017">
        <f>I1972/24</f>
        <v>14</v>
      </c>
      <c r="BT1972" s="563">
        <f>L1972</f>
        <v>56</v>
      </c>
      <c r="CA1972" s="1044"/>
      <c r="CP1972" s="1044"/>
      <c r="CQ1972" s="1044"/>
      <c r="CR1972" s="560"/>
      <c r="CS1972" s="560"/>
      <c r="CT1972" s="560"/>
      <c r="CU1972" s="563">
        <f t="shared" si="805"/>
        <v>0</v>
      </c>
      <c r="CV1972" s="563">
        <f t="shared" si="808"/>
        <v>0</v>
      </c>
      <c r="CW1972" s="563">
        <f t="shared" si="809"/>
        <v>0</v>
      </c>
      <c r="CX1972" s="1044"/>
      <c r="CY1972" s="1044"/>
      <c r="CZ1972" s="1044"/>
      <c r="DA1972" s="1044"/>
      <c r="DB1972" s="1044"/>
      <c r="DC1972" s="1044"/>
      <c r="DD1972" s="1044"/>
      <c r="DE1972" s="1044"/>
      <c r="DF1972" s="1044"/>
      <c r="DG1972" s="1044"/>
      <c r="DH1972" s="1044"/>
    </row>
    <row r="1973" s="560" customFormat="1" ht="31" customHeight="1" spans="1:113">
      <c r="A1973" s="1034">
        <v>46217</v>
      </c>
      <c r="B1973" s="603" t="s">
        <v>8152</v>
      </c>
      <c r="C1973" s="1035" t="s">
        <v>98</v>
      </c>
      <c r="D1973" s="1112">
        <v>4500216465</v>
      </c>
      <c r="E1973" s="1043">
        <v>4566491462</v>
      </c>
      <c r="F1973" s="560" t="s">
        <v>10807</v>
      </c>
      <c r="G1973" s="1035" t="s">
        <v>8051</v>
      </c>
      <c r="H1973" s="1035" t="s">
        <v>6102</v>
      </c>
      <c r="I1973" s="1036">
        <v>72</v>
      </c>
      <c r="J1973" s="1035">
        <v>0</v>
      </c>
      <c r="K1973" s="1035">
        <v>6</v>
      </c>
      <c r="L1973" s="1025">
        <f t="shared" si="802"/>
        <v>12</v>
      </c>
      <c r="M1973" s="1037">
        <v>46260</v>
      </c>
      <c r="N1973" s="1027">
        <v>46254</v>
      </c>
      <c r="O1973" s="1043"/>
      <c r="P1973" s="1035"/>
      <c r="Q1973" s="1039"/>
      <c r="R1973" s="1039">
        <v>46217</v>
      </c>
      <c r="S1973" s="999" t="s">
        <v>70</v>
      </c>
      <c r="T1973" s="1039" t="s">
        <v>9311</v>
      </c>
      <c r="U1973" s="1039"/>
      <c r="V1973" s="999" t="s">
        <v>10001</v>
      </c>
      <c r="W1973" s="603"/>
      <c r="X1973" s="603" t="s">
        <v>10804</v>
      </c>
      <c r="Y1973" s="1042" t="s">
        <v>819</v>
      </c>
      <c r="Z1973" s="603">
        <v>0.6197</v>
      </c>
      <c r="AA1973" s="1042">
        <f t="shared" si="803"/>
        <v>44.6184</v>
      </c>
      <c r="AB1973" s="603"/>
      <c r="AC1973" s="1030"/>
      <c r="AD1973" s="939" t="s">
        <v>8051</v>
      </c>
      <c r="AE1973" s="1035" t="s">
        <v>82</v>
      </c>
      <c r="AF1973" s="1035"/>
      <c r="AG1973" s="1035"/>
      <c r="AH1973" s="603"/>
      <c r="AI1973" s="626"/>
      <c r="AJ1973" s="939">
        <f t="shared" si="804"/>
        <v>-72</v>
      </c>
      <c r="AK1973" s="1043"/>
      <c r="AL1973" s="1035" t="s">
        <v>2368</v>
      </c>
      <c r="AM1973" s="1035"/>
      <c r="AN1973" s="1035">
        <f>I1973</f>
        <v>72</v>
      </c>
      <c r="AP1973" s="562">
        <f>I1973</f>
        <v>72</v>
      </c>
      <c r="AR1973" s="1044"/>
      <c r="AS1973" s="560"/>
      <c r="AT1973" s="560"/>
      <c r="AU1973" s="563">
        <f>I1973</f>
        <v>72</v>
      </c>
      <c r="AX1973" s="1045"/>
      <c r="AY1973" s="560"/>
      <c r="AZ1973" s="560"/>
      <c r="BA1973" s="560"/>
      <c r="BB1973" s="1017">
        <f>I1973/24</f>
        <v>3</v>
      </c>
      <c r="BT1973" s="563">
        <f>L1973</f>
        <v>12</v>
      </c>
      <c r="CA1973" s="1044"/>
      <c r="CP1973" s="1044"/>
      <c r="CQ1973" s="1044"/>
      <c r="CR1973" s="560"/>
      <c r="CS1973" s="560"/>
      <c r="CT1973" s="560"/>
      <c r="CU1973" s="563">
        <f t="shared" si="805"/>
        <v>0</v>
      </c>
      <c r="CV1973" s="563">
        <f t="shared" si="808"/>
        <v>0</v>
      </c>
      <c r="CW1973" s="563">
        <f t="shared" si="809"/>
        <v>0</v>
      </c>
      <c r="CX1973" s="1044"/>
      <c r="CY1973" s="1044"/>
      <c r="CZ1973" s="1044"/>
      <c r="DA1973" s="1044"/>
      <c r="DB1973" s="1044"/>
      <c r="DC1973" s="1044"/>
      <c r="DD1973" s="1044"/>
      <c r="DE1973" s="1044"/>
      <c r="DF1973" s="1044"/>
      <c r="DG1973" s="1044"/>
      <c r="DH1973" s="1044"/>
    </row>
    <row r="1974" s="560" customFormat="1" ht="31" customHeight="1" spans="1:113">
      <c r="A1974" s="1034">
        <v>46217</v>
      </c>
      <c r="B1974" s="603" t="s">
        <v>8152</v>
      </c>
      <c r="C1974" s="1035" t="s">
        <v>98</v>
      </c>
      <c r="D1974" s="1112">
        <v>4500216465</v>
      </c>
      <c r="E1974" s="1043">
        <v>4566491220</v>
      </c>
      <c r="F1974" s="560" t="s">
        <v>10808</v>
      </c>
      <c r="G1974" s="1035" t="s">
        <v>8051</v>
      </c>
      <c r="H1974" s="1035" t="s">
        <v>6102</v>
      </c>
      <c r="I1974" s="1036">
        <v>438</v>
      </c>
      <c r="J1974" s="1035">
        <v>0</v>
      </c>
      <c r="K1974" s="1035">
        <v>6</v>
      </c>
      <c r="L1974" s="1025">
        <f t="shared" si="802"/>
        <v>73</v>
      </c>
      <c r="M1974" s="1037">
        <v>46260</v>
      </c>
      <c r="N1974" s="1027">
        <v>46254</v>
      </c>
      <c r="O1974" s="1043"/>
      <c r="P1974" s="1035"/>
      <c r="Q1974" s="1039"/>
      <c r="R1974" s="1039">
        <v>46217</v>
      </c>
      <c r="S1974" s="999" t="s">
        <v>70</v>
      </c>
      <c r="T1974" s="1039" t="s">
        <v>9311</v>
      </c>
      <c r="U1974" s="1039"/>
      <c r="V1974" s="999" t="s">
        <v>10001</v>
      </c>
      <c r="W1974" s="603"/>
      <c r="X1974" s="603" t="s">
        <v>10804</v>
      </c>
      <c r="Y1974" s="1042" t="s">
        <v>819</v>
      </c>
      <c r="Z1974" s="603">
        <v>0.6197</v>
      </c>
      <c r="AA1974" s="1042">
        <f t="shared" si="803"/>
        <v>271.4286</v>
      </c>
      <c r="AB1974" s="603"/>
      <c r="AC1974" s="1030"/>
      <c r="AD1974" s="939" t="s">
        <v>8051</v>
      </c>
      <c r="AE1974" s="1035" t="s">
        <v>82</v>
      </c>
      <c r="AF1974" s="1035"/>
      <c r="AG1974" s="1035"/>
      <c r="AH1974" s="603"/>
      <c r="AI1974" s="626"/>
      <c r="AJ1974" s="939">
        <f t="shared" si="804"/>
        <v>-438</v>
      </c>
      <c r="AK1974" s="1043"/>
      <c r="AL1974" s="1035" t="s">
        <v>2368</v>
      </c>
      <c r="AM1974" s="1035"/>
      <c r="AN1974" s="1035">
        <f>I1974</f>
        <v>438</v>
      </c>
      <c r="AP1974" s="562">
        <f>I1974</f>
        <v>438</v>
      </c>
      <c r="AR1974" s="1044"/>
      <c r="AS1974" s="560"/>
      <c r="AT1974" s="560"/>
      <c r="AU1974" s="563">
        <f>I1974</f>
        <v>438</v>
      </c>
      <c r="AX1974" s="1045"/>
      <c r="AY1974" s="560"/>
      <c r="AZ1974" s="560"/>
      <c r="BA1974" s="560"/>
      <c r="BB1974" s="1017">
        <f>I1974/24</f>
        <v>18.25</v>
      </c>
      <c r="BT1974" s="563">
        <f>L1974</f>
        <v>73</v>
      </c>
      <c r="CA1974" s="1044"/>
      <c r="CP1974" s="1044"/>
      <c r="CQ1974" s="1044"/>
      <c r="CR1974" s="560"/>
      <c r="CS1974" s="560"/>
      <c r="CT1974" s="560"/>
      <c r="CU1974" s="563">
        <f t="shared" si="805"/>
        <v>0</v>
      </c>
      <c r="CV1974" s="563">
        <f t="shared" si="808"/>
        <v>0</v>
      </c>
      <c r="CW1974" s="563">
        <f t="shared" si="809"/>
        <v>0</v>
      </c>
      <c r="CX1974" s="1044"/>
      <c r="CY1974" s="1044"/>
      <c r="CZ1974" s="1044"/>
      <c r="DA1974" s="1044"/>
      <c r="DB1974" s="1044"/>
      <c r="DC1974" s="1044"/>
      <c r="DD1974" s="1044"/>
      <c r="DE1974" s="1044"/>
      <c r="DF1974" s="1044"/>
      <c r="DG1974" s="1044"/>
      <c r="DH1974" s="1044"/>
    </row>
    <row r="1975" s="548" customFormat="1" ht="31" customHeight="1" spans="1:113">
      <c r="A1975" s="1008">
        <v>46126</v>
      </c>
      <c r="B1975" s="628" t="s">
        <v>3340</v>
      </c>
      <c r="C1975" s="618" t="s">
        <v>98</v>
      </c>
      <c r="D1975" s="687">
        <v>4500201760</v>
      </c>
      <c r="E1975" s="618">
        <v>127328</v>
      </c>
      <c r="F1975" s="687" t="s">
        <v>10809</v>
      </c>
      <c r="G1975" s="618" t="s">
        <v>6787</v>
      </c>
      <c r="H1975" s="939" t="s">
        <v>6126</v>
      </c>
      <c r="I1975" s="1069">
        <v>2004</v>
      </c>
      <c r="J1975" s="618">
        <v>0</v>
      </c>
      <c r="K1975" s="618">
        <v>12</v>
      </c>
      <c r="L1975" s="1011">
        <f t="shared" si="802"/>
        <v>167</v>
      </c>
      <c r="M1975" s="1012">
        <v>46261</v>
      </c>
      <c r="N1975" s="1027">
        <v>46254</v>
      </c>
      <c r="O1975" s="1043"/>
      <c r="P1975" s="618"/>
      <c r="Q1975" s="774"/>
      <c r="R1975" s="999">
        <v>46126</v>
      </c>
      <c r="S1975" s="999" t="s">
        <v>70</v>
      </c>
      <c r="T1975" s="999" t="s">
        <v>10810</v>
      </c>
      <c r="U1975" s="999"/>
      <c r="V1975" s="774"/>
      <c r="W1975" s="615"/>
      <c r="X1975" s="628" t="s">
        <v>10811</v>
      </c>
      <c r="Y1975" s="1014" t="s">
        <v>3864</v>
      </c>
      <c r="Z1975" s="628">
        <v>1.3546</v>
      </c>
      <c r="AA1975" s="1014">
        <f t="shared" si="803"/>
        <v>2714.6184</v>
      </c>
      <c r="AC1975" s="697"/>
      <c r="AD1975" s="628" t="s">
        <v>8079</v>
      </c>
      <c r="AE1975" s="618" t="s">
        <v>82</v>
      </c>
      <c r="AF1975" s="618"/>
      <c r="AG1975" s="618"/>
      <c r="AH1975" s="628"/>
      <c r="AI1975" s="609"/>
      <c r="AJ1975" s="618">
        <f t="shared" ref="AJ1975:AJ1982" si="810">AI1975-I1975</f>
        <v>-2004</v>
      </c>
      <c r="AK1975" s="773"/>
      <c r="AL1975" s="939" t="s">
        <v>2368</v>
      </c>
      <c r="AM1975" s="618"/>
      <c r="AN1975" s="610">
        <f>I1975*2</f>
        <v>4008</v>
      </c>
      <c r="AO1975" s="551"/>
      <c r="AP1975" s="687"/>
      <c r="AQ1975" s="554">
        <f>I1975*2</f>
        <v>4008</v>
      </c>
      <c r="AR1975" s="1015"/>
      <c r="AS1975" s="563"/>
      <c r="AT1975" s="563"/>
      <c r="AU1975" s="554">
        <f>I1975*2</f>
        <v>4008</v>
      </c>
      <c r="AV1975" s="551"/>
      <c r="AW1975" s="687"/>
      <c r="AX1975" s="1016"/>
      <c r="AY1975" s="687"/>
      <c r="AZ1975" s="687"/>
      <c r="BA1975" s="687"/>
      <c r="BB1975" s="1017">
        <f>I1975/24*2</f>
        <v>167</v>
      </c>
      <c r="BC1975" s="687"/>
      <c r="BD1975" s="687"/>
      <c r="BE1975" s="687"/>
      <c r="BF1975" s="687"/>
      <c r="BH1975" s="687"/>
      <c r="BI1975" s="687"/>
      <c r="BJ1975" s="687"/>
      <c r="BK1975" s="687"/>
      <c r="BL1975" s="687"/>
      <c r="BM1975" s="551"/>
      <c r="BN1975" s="687"/>
      <c r="BO1975" s="687"/>
      <c r="BP1975" s="687"/>
      <c r="BQ1975" s="687"/>
      <c r="BR1975" s="687"/>
      <c r="BS1975" s="687"/>
      <c r="BT1975" s="687"/>
      <c r="BU1975" s="687"/>
      <c r="BV1975" s="687"/>
      <c r="BW1975" s="687"/>
      <c r="BX1975" s="687"/>
      <c r="BY1975" s="687"/>
      <c r="BZ1975" s="687"/>
      <c r="CA1975" s="1018"/>
      <c r="CB1975" s="567"/>
      <c r="CC1975" s="1019"/>
      <c r="CD1975" s="687"/>
      <c r="CE1975" s="687"/>
      <c r="CF1975" s="687"/>
      <c r="CG1975" s="687"/>
      <c r="CI1975" s="687"/>
      <c r="CJ1975" s="687"/>
      <c r="CK1975" s="687"/>
      <c r="CL1975" s="687"/>
      <c r="CM1975" s="687"/>
      <c r="CN1975" s="687"/>
      <c r="CO1975" s="687"/>
      <c r="CP1975" s="1020"/>
      <c r="CQ1975" s="1020"/>
      <c r="CR1975" s="554">
        <f>I1975</f>
        <v>2004</v>
      </c>
      <c r="CS1975" s="554">
        <f>I1975</f>
        <v>2004</v>
      </c>
      <c r="CT1975" s="554">
        <f>I1975</f>
        <v>2004</v>
      </c>
      <c r="CU1975" s="687">
        <f t="shared" ref="CU1975:CU1982" si="811">BQ1975+BP1975+BO1975+BN1975+BX1975+BR1975</f>
        <v>0</v>
      </c>
      <c r="CV1975" s="563">
        <v>0</v>
      </c>
      <c r="CW1975" s="563">
        <v>0</v>
      </c>
      <c r="CX1975" s="1020"/>
      <c r="CY1975" s="1020"/>
      <c r="CZ1975" s="1020"/>
      <c r="DA1975" s="1020"/>
      <c r="DB1975" s="1020"/>
      <c r="DC1975" s="1020"/>
      <c r="DD1975" s="1020"/>
      <c r="DE1975" s="1020"/>
      <c r="DF1975" s="1020"/>
      <c r="DG1975" s="1020"/>
      <c r="DH1975" s="1020"/>
    </row>
    <row r="1976" s="548" customFormat="1" ht="31" customHeight="1" spans="1:113">
      <c r="A1976" s="1008">
        <v>46126</v>
      </c>
      <c r="B1976" s="628" t="s">
        <v>3340</v>
      </c>
      <c r="C1976" s="618" t="s">
        <v>98</v>
      </c>
      <c r="D1976" s="687">
        <v>4500201762</v>
      </c>
      <c r="E1976" s="618">
        <v>127341</v>
      </c>
      <c r="F1976" s="687" t="s">
        <v>10812</v>
      </c>
      <c r="G1976" s="618" t="s">
        <v>6787</v>
      </c>
      <c r="H1976" s="939" t="s">
        <v>6126</v>
      </c>
      <c r="I1976" s="1069">
        <v>2196</v>
      </c>
      <c r="J1976" s="618">
        <v>0</v>
      </c>
      <c r="K1976" s="618">
        <v>12</v>
      </c>
      <c r="L1976" s="1011">
        <f t="shared" si="802"/>
        <v>183</v>
      </c>
      <c r="M1976" s="1012">
        <v>46261</v>
      </c>
      <c r="N1976" s="1027">
        <v>46254</v>
      </c>
      <c r="O1976" s="773"/>
      <c r="P1976" s="618"/>
      <c r="Q1976" s="774"/>
      <c r="R1976" s="999">
        <v>46126</v>
      </c>
      <c r="S1976" s="999" t="s">
        <v>70</v>
      </c>
      <c r="T1976" s="999" t="s">
        <v>10813</v>
      </c>
      <c r="U1976" s="999"/>
      <c r="V1976" s="774"/>
      <c r="W1976" s="615"/>
      <c r="X1976" s="628" t="s">
        <v>10814</v>
      </c>
      <c r="Y1976" s="1014" t="s">
        <v>3864</v>
      </c>
      <c r="Z1976" s="628">
        <v>1.3546</v>
      </c>
      <c r="AA1976" s="1014">
        <f t="shared" si="803"/>
        <v>2974.7016</v>
      </c>
      <c r="AC1976" s="697"/>
      <c r="AD1976" s="628" t="s">
        <v>8079</v>
      </c>
      <c r="AE1976" s="618" t="s">
        <v>82</v>
      </c>
      <c r="AF1976" s="618"/>
      <c r="AG1976" s="618"/>
      <c r="AH1976" s="628"/>
      <c r="AI1976" s="609"/>
      <c r="AJ1976" s="618">
        <f t="shared" si="810"/>
        <v>-2196</v>
      </c>
      <c r="AK1976" s="773"/>
      <c r="AL1976" s="939" t="s">
        <v>2368</v>
      </c>
      <c r="AM1976" s="618"/>
      <c r="AN1976" s="610">
        <f>I1976*2</f>
        <v>4392</v>
      </c>
      <c r="AO1976" s="551"/>
      <c r="AP1976" s="687"/>
      <c r="AQ1976" s="554">
        <f>I1976*2</f>
        <v>4392</v>
      </c>
      <c r="AR1976" s="1015"/>
      <c r="AS1976" s="563"/>
      <c r="AT1976" s="563"/>
      <c r="AU1976" s="554">
        <f>I1976*2</f>
        <v>4392</v>
      </c>
      <c r="AV1976" s="551"/>
      <c r="AW1976" s="687"/>
      <c r="AX1976" s="1016"/>
      <c r="AY1976" s="687"/>
      <c r="AZ1976" s="687"/>
      <c r="BA1976" s="687"/>
      <c r="BB1976" s="1017">
        <f>I1976/24*2</f>
        <v>183</v>
      </c>
      <c r="BC1976" s="687"/>
      <c r="BD1976" s="687"/>
      <c r="BE1976" s="687"/>
      <c r="BF1976" s="687"/>
      <c r="BH1976" s="687"/>
      <c r="BI1976" s="687"/>
      <c r="BJ1976" s="687"/>
      <c r="BK1976" s="687"/>
      <c r="BL1976" s="687"/>
      <c r="BM1976" s="551"/>
      <c r="BN1976" s="687"/>
      <c r="BO1976" s="687"/>
      <c r="BP1976" s="687"/>
      <c r="BQ1976" s="687"/>
      <c r="BR1976" s="687"/>
      <c r="BS1976" s="687"/>
      <c r="BT1976" s="687"/>
      <c r="BU1976" s="687"/>
      <c r="BV1976" s="687"/>
      <c r="BW1976" s="687"/>
      <c r="BX1976" s="687"/>
      <c r="BY1976" s="687"/>
      <c r="BZ1976" s="687"/>
      <c r="CA1976" s="1018"/>
      <c r="CB1976" s="567"/>
      <c r="CC1976" s="1019"/>
      <c r="CD1976" s="687"/>
      <c r="CE1976" s="687"/>
      <c r="CF1976" s="687"/>
      <c r="CG1976" s="687"/>
      <c r="CI1976" s="687"/>
      <c r="CJ1976" s="687"/>
      <c r="CK1976" s="687"/>
      <c r="CL1976" s="687"/>
      <c r="CM1976" s="687"/>
      <c r="CN1976" s="687"/>
      <c r="CO1976" s="687"/>
      <c r="CP1976" s="1020"/>
      <c r="CQ1976" s="1020"/>
      <c r="CR1976" s="554">
        <f>I1976</f>
        <v>2196</v>
      </c>
      <c r="CS1976" s="554">
        <f>I1976</f>
        <v>2196</v>
      </c>
      <c r="CT1976" s="554">
        <f>I1976</f>
        <v>2196</v>
      </c>
      <c r="CU1976" s="687">
        <f t="shared" si="811"/>
        <v>0</v>
      </c>
      <c r="CV1976" s="563">
        <v>0</v>
      </c>
      <c r="CW1976" s="563">
        <v>0</v>
      </c>
      <c r="CX1976" s="1020"/>
      <c r="CY1976" s="1020"/>
      <c r="CZ1976" s="1020"/>
      <c r="DA1976" s="1020"/>
      <c r="DB1976" s="1020"/>
      <c r="DC1976" s="1020"/>
      <c r="DD1976" s="1020"/>
      <c r="DE1976" s="1020"/>
      <c r="DF1976" s="1020"/>
      <c r="DG1976" s="1020"/>
      <c r="DH1976" s="1020"/>
    </row>
    <row r="1977" s="558" customFormat="1" ht="31" customHeight="1" spans="1:113">
      <c r="A1977" s="1022">
        <v>46169</v>
      </c>
      <c r="B1977" s="626" t="s">
        <v>2734</v>
      </c>
      <c r="C1977" s="939" t="s">
        <v>98</v>
      </c>
      <c r="D1977" s="1063">
        <v>4500209173</v>
      </c>
      <c r="E1977" s="1031">
        <v>60302391</v>
      </c>
      <c r="F1977" s="563" t="s">
        <v>5649</v>
      </c>
      <c r="G1977" s="939" t="s">
        <v>8520</v>
      </c>
      <c r="H1977" s="939" t="s">
        <v>8521</v>
      </c>
      <c r="I1977" s="1023">
        <v>5400</v>
      </c>
      <c r="J1977" s="939">
        <v>0</v>
      </c>
      <c r="K1977" s="939">
        <v>8</v>
      </c>
      <c r="L1977" s="1064">
        <f t="shared" si="802"/>
        <v>675</v>
      </c>
      <c r="M1977" s="1027">
        <v>46261</v>
      </c>
      <c r="N1977" s="1027">
        <v>46254</v>
      </c>
      <c r="O1977" s="1031"/>
      <c r="P1977" s="939"/>
      <c r="Q1977" s="999"/>
      <c r="R1977" s="999">
        <v>46169</v>
      </c>
      <c r="S1977" s="999" t="s">
        <v>70</v>
      </c>
      <c r="T1977" s="999" t="s">
        <v>5650</v>
      </c>
      <c r="U1977" s="999"/>
      <c r="V1977" s="999"/>
      <c r="W1977" s="585"/>
      <c r="X1977" s="626" t="s">
        <v>5651</v>
      </c>
      <c r="Y1977" s="1001" t="s">
        <v>2814</v>
      </c>
      <c r="Z1977" s="626">
        <v>4.0382</v>
      </c>
      <c r="AA1977" s="1001">
        <f t="shared" si="803"/>
        <v>21806.28</v>
      </c>
      <c r="AC1977" s="1030"/>
      <c r="AD1977" s="939" t="s">
        <v>2741</v>
      </c>
      <c r="AE1977" s="939" t="s">
        <v>82</v>
      </c>
      <c r="AF1977" s="939"/>
      <c r="AG1977" s="939"/>
      <c r="AH1977" s="626"/>
      <c r="AI1977" s="609"/>
      <c r="AJ1977" s="939">
        <f t="shared" si="810"/>
        <v>-5400</v>
      </c>
      <c r="AK1977" s="1031"/>
      <c r="AL1977" s="939" t="s">
        <v>2368</v>
      </c>
      <c r="AM1977" s="939"/>
      <c r="AN1977" s="939">
        <f>I1977*2</f>
        <v>10800</v>
      </c>
      <c r="AO1977" s="563"/>
      <c r="AP1977" s="563">
        <f>I1977*2</f>
        <v>10800</v>
      </c>
      <c r="AQ1977" s="563"/>
      <c r="AR1977" s="1015"/>
      <c r="AS1977" s="563"/>
      <c r="AT1977" s="563"/>
      <c r="AU1977" s="563">
        <f>I1977*2</f>
        <v>10800</v>
      </c>
      <c r="AV1977" s="563"/>
      <c r="AW1977" s="563"/>
      <c r="AX1977" s="1004"/>
      <c r="AY1977" s="563"/>
      <c r="AZ1977" s="563"/>
      <c r="BA1977" s="563"/>
      <c r="BB1977" s="1017">
        <f>I1977/24*2</f>
        <v>450</v>
      </c>
      <c r="BC1977" s="563"/>
      <c r="BD1977" s="563"/>
      <c r="BE1977" s="563"/>
      <c r="BF1977" s="563"/>
      <c r="BG1977" s="558"/>
      <c r="BH1977" s="563"/>
      <c r="BI1977" s="563"/>
      <c r="BJ1977" s="563"/>
      <c r="BK1977" s="563"/>
      <c r="BL1977" s="563"/>
      <c r="BM1977" s="563"/>
      <c r="BN1977" s="563"/>
      <c r="BO1977" s="563"/>
      <c r="BP1977" s="563"/>
      <c r="BQ1977" s="563"/>
      <c r="BR1977" s="563"/>
      <c r="BS1977" s="563"/>
      <c r="BT1977" s="563"/>
      <c r="BU1977" s="563"/>
      <c r="BV1977" s="563"/>
      <c r="BW1977" s="563"/>
      <c r="BX1977" s="563"/>
      <c r="BY1977" s="563"/>
      <c r="BZ1977" s="563"/>
      <c r="CA1977" s="1066">
        <f>I1977</f>
        <v>5400</v>
      </c>
      <c r="CB1977" s="560"/>
      <c r="CC1977" s="1067"/>
      <c r="CD1977" s="1015"/>
      <c r="CE1977" s="1015"/>
      <c r="CF1977" s="563"/>
      <c r="CG1977" s="563"/>
      <c r="CH1977" s="558"/>
      <c r="CI1977" s="563"/>
      <c r="CJ1977" s="563"/>
      <c r="CK1977" s="563"/>
      <c r="CL1977" s="563"/>
      <c r="CM1977" s="563"/>
      <c r="CN1977" s="563"/>
      <c r="CO1977" s="563"/>
      <c r="CP1977" s="1015"/>
      <c r="CQ1977" s="1015"/>
      <c r="CR1977" s="563"/>
      <c r="CS1977" s="563"/>
      <c r="CT1977" s="563"/>
      <c r="CU1977" s="563">
        <f t="shared" si="811"/>
        <v>0</v>
      </c>
      <c r="CV1977" s="563">
        <f t="shared" ref="CV1977:CV1982" si="812">CK1977+CL1977+CM1977+CN1977+CO1977+CQ1977+CP1977</f>
        <v>0</v>
      </c>
      <c r="CW1977" s="563">
        <f t="shared" ref="CW1977:CW1982" si="813">CI1977+CJ1977</f>
        <v>0</v>
      </c>
      <c r="CX1977" s="1015"/>
      <c r="CY1977" s="1015"/>
      <c r="CZ1977" s="1015"/>
      <c r="DA1977" s="1015"/>
      <c r="DB1977" s="1015"/>
      <c r="DC1977" s="1015"/>
      <c r="DD1977" s="1015"/>
      <c r="DE1977" s="1015"/>
      <c r="DF1977" s="1015"/>
      <c r="DG1977" s="1015"/>
      <c r="DH1977" s="1015"/>
      <c r="DI1977" s="563"/>
    </row>
    <row r="1978" s="548" customFormat="1" ht="31" customHeight="1" spans="1:113">
      <c r="A1978" s="1008">
        <v>46169</v>
      </c>
      <c r="B1978" s="628" t="s">
        <v>2734</v>
      </c>
      <c r="C1978" s="618" t="s">
        <v>98</v>
      </c>
      <c r="D1978" s="1009">
        <v>4500209173</v>
      </c>
      <c r="E1978" s="773">
        <v>60302391</v>
      </c>
      <c r="F1978" s="687" t="s">
        <v>10815</v>
      </c>
      <c r="G1978" s="618" t="s">
        <v>6787</v>
      </c>
      <c r="H1978" s="939" t="s">
        <v>6126</v>
      </c>
      <c r="I1978" s="1069">
        <v>5004</v>
      </c>
      <c r="J1978" s="618">
        <v>0</v>
      </c>
      <c r="K1978" s="618">
        <v>12</v>
      </c>
      <c r="L1978" s="1011">
        <f t="shared" si="802"/>
        <v>417</v>
      </c>
      <c r="M1978" s="1012">
        <v>46261</v>
      </c>
      <c r="N1978" s="1037">
        <v>46255</v>
      </c>
      <c r="O1978" s="773"/>
      <c r="P1978" s="618"/>
      <c r="Q1978" s="774"/>
      <c r="R1978" s="999">
        <v>46169</v>
      </c>
      <c r="S1978" s="999" t="s">
        <v>70</v>
      </c>
      <c r="T1978" s="999" t="s">
        <v>5650</v>
      </c>
      <c r="U1978" s="999"/>
      <c r="V1978" s="774"/>
      <c r="W1978" s="615"/>
      <c r="X1978" s="628" t="s">
        <v>10816</v>
      </c>
      <c r="Y1978" s="1014" t="s">
        <v>2814</v>
      </c>
      <c r="Z1978" s="628">
        <v>1.319</v>
      </c>
      <c r="AA1978" s="1014">
        <f t="shared" si="803"/>
        <v>6600.276</v>
      </c>
      <c r="AC1978" s="1030"/>
      <c r="AD1978" s="610" t="s">
        <v>8545</v>
      </c>
      <c r="AE1978" s="939" t="s">
        <v>82</v>
      </c>
      <c r="AF1978" s="618"/>
      <c r="AG1978" s="618"/>
      <c r="AH1978" s="628"/>
      <c r="AI1978" s="609"/>
      <c r="AJ1978" s="618">
        <f t="shared" si="810"/>
        <v>-5004</v>
      </c>
      <c r="AK1978" s="773"/>
      <c r="AL1978" s="939" t="s">
        <v>2368</v>
      </c>
      <c r="AM1978" s="618"/>
      <c r="AN1978" s="618">
        <f>I1978*2</f>
        <v>10008</v>
      </c>
      <c r="AO1978" s="687"/>
      <c r="AP1978" s="554">
        <f>I1978*2</f>
        <v>10008</v>
      </c>
      <c r="AQ1978" s="687"/>
      <c r="AR1978" s="1020"/>
      <c r="AS1978" s="687"/>
      <c r="AT1978" s="687"/>
      <c r="AU1978" s="563">
        <f>I1978*2</f>
        <v>10008</v>
      </c>
      <c r="AV1978" s="687"/>
      <c r="AW1978" s="687"/>
      <c r="AX1978" s="1016"/>
      <c r="AY1978" s="687"/>
      <c r="AZ1978" s="687"/>
      <c r="BA1978" s="687"/>
      <c r="BB1978" s="1017">
        <f>I1978/24*2</f>
        <v>417</v>
      </c>
      <c r="BC1978" s="687"/>
      <c r="BD1978" s="687"/>
      <c r="BE1978" s="687"/>
      <c r="BF1978" s="687"/>
      <c r="BH1978" s="687"/>
      <c r="BI1978" s="687"/>
      <c r="BJ1978" s="687"/>
      <c r="BK1978" s="687"/>
      <c r="BL1978" s="687"/>
      <c r="BM1978" s="687"/>
      <c r="BN1978" s="687"/>
      <c r="BO1978" s="687"/>
      <c r="BP1978" s="687"/>
      <c r="BQ1978" s="687"/>
      <c r="BR1978" s="687"/>
      <c r="BS1978" s="687"/>
      <c r="BT1978" s="687"/>
      <c r="BU1978" s="687"/>
      <c r="BV1978" s="687"/>
      <c r="BW1978" s="687"/>
      <c r="BX1978" s="687"/>
      <c r="BY1978" s="687"/>
      <c r="BZ1978" s="687"/>
      <c r="CA1978" s="1018"/>
      <c r="CB1978" s="567"/>
      <c r="CC1978" s="1019"/>
      <c r="CD1978" s="687"/>
      <c r="CE1978" s="687"/>
      <c r="CF1978" s="687"/>
      <c r="CG1978" s="687"/>
      <c r="CH1978" s="1114"/>
      <c r="CI1978" s="687"/>
      <c r="CJ1978" s="687"/>
      <c r="CK1978" s="687"/>
      <c r="CL1978" s="687"/>
      <c r="CM1978" s="687"/>
      <c r="CN1978" s="687"/>
      <c r="CO1978" s="687"/>
      <c r="CP1978" s="1020"/>
      <c r="CQ1978" s="1020"/>
      <c r="CR1978" s="554">
        <f>I1978</f>
        <v>5004</v>
      </c>
      <c r="CS1978" s="554">
        <f>I1978</f>
        <v>5004</v>
      </c>
      <c r="CT1978" s="554">
        <f>I1978</f>
        <v>5004</v>
      </c>
      <c r="CU1978" s="687">
        <f t="shared" si="811"/>
        <v>0</v>
      </c>
      <c r="CV1978" s="687">
        <f t="shared" si="812"/>
        <v>0</v>
      </c>
      <c r="CW1978" s="687">
        <f t="shared" si="813"/>
        <v>0</v>
      </c>
      <c r="CX1978" s="1020"/>
      <c r="CY1978" s="1020"/>
      <c r="CZ1978" s="1020"/>
      <c r="DA1978" s="1020"/>
      <c r="DB1978" s="1020"/>
      <c r="DC1978" s="1020"/>
      <c r="DD1978" s="1020"/>
      <c r="DE1978" s="1020"/>
      <c r="DF1978" s="1020"/>
      <c r="DG1978" s="1020"/>
      <c r="DH1978" s="1020"/>
    </row>
    <row r="1979" s="560" customFormat="1" ht="31" customHeight="1" spans="1:113">
      <c r="A1979" s="1034">
        <v>46216</v>
      </c>
      <c r="B1979" s="603" t="s">
        <v>4371</v>
      </c>
      <c r="C1979" s="1035" t="s">
        <v>98</v>
      </c>
      <c r="D1979" s="1112">
        <v>4500216252</v>
      </c>
      <c r="E1979" s="1043">
        <v>1007021907</v>
      </c>
      <c r="F1979" s="560" t="s">
        <v>10817</v>
      </c>
      <c r="G1979" s="1035" t="s">
        <v>6063</v>
      </c>
      <c r="H1979" s="1035" t="s">
        <v>6064</v>
      </c>
      <c r="I1979" s="1036">
        <v>9600</v>
      </c>
      <c r="J1979" s="1035">
        <v>0</v>
      </c>
      <c r="K1979" s="1035">
        <v>16</v>
      </c>
      <c r="L1979" s="1025">
        <f t="shared" si="802"/>
        <v>600</v>
      </c>
      <c r="M1979" s="1037">
        <v>46261</v>
      </c>
      <c r="N1979" s="1037">
        <v>46255</v>
      </c>
      <c r="O1979" s="1115" t="s">
        <v>5639</v>
      </c>
      <c r="P1979" s="1035"/>
      <c r="Q1979" s="1039"/>
      <c r="R1979" s="1039" t="s">
        <v>9889</v>
      </c>
      <c r="S1979" s="1039" t="s">
        <v>70</v>
      </c>
      <c r="T1979" s="1039" t="s">
        <v>10687</v>
      </c>
      <c r="U1979" s="1039"/>
      <c r="V1979" s="1039"/>
      <c r="W1979" s="603"/>
      <c r="X1979" s="603" t="s">
        <v>10691</v>
      </c>
      <c r="Y1979" s="1042" t="s">
        <v>4378</v>
      </c>
      <c r="Z1979" s="603">
        <v>0.6184</v>
      </c>
      <c r="AA1979" s="1042">
        <f t="shared" si="803"/>
        <v>5936.64</v>
      </c>
      <c r="AB1979" s="603"/>
      <c r="AC1979" s="1030"/>
      <c r="AD1979" s="1035" t="s">
        <v>6063</v>
      </c>
      <c r="AE1979" s="1035" t="s">
        <v>82</v>
      </c>
      <c r="AF1979" s="1035"/>
      <c r="AG1979" s="1035"/>
      <c r="AH1979" s="603"/>
      <c r="AI1979" s="609"/>
      <c r="AJ1979" s="1035">
        <f t="shared" si="810"/>
        <v>-9600</v>
      </c>
      <c r="AK1979" s="1043"/>
      <c r="AL1979" s="1035" t="s">
        <v>2368</v>
      </c>
      <c r="AM1979" s="1035"/>
      <c r="AN1979" s="1035">
        <f t="shared" ref="AN1979:AN1984" si="814">I1979</f>
        <v>9600</v>
      </c>
      <c r="AP1979" s="560">
        <f t="shared" ref="AP1979:AP1984" si="815">I1979</f>
        <v>9600</v>
      </c>
      <c r="AR1979" s="1044"/>
      <c r="AS1979" s="560"/>
      <c r="AT1979" s="560"/>
      <c r="AU1979" s="560">
        <f t="shared" ref="AU1979:AU1984" si="816">I1979</f>
        <v>9600</v>
      </c>
      <c r="AX1979" s="1045"/>
      <c r="AY1979" s="560"/>
      <c r="AZ1979" s="560"/>
      <c r="BA1979" s="560"/>
      <c r="BB1979" s="1116">
        <f t="shared" ref="BB1979:BB1985" si="817">I1979/24</f>
        <v>400</v>
      </c>
      <c r="BQ1979" s="560">
        <f>I1979/16</f>
        <v>600</v>
      </c>
      <c r="CA1979" s="1044"/>
      <c r="CP1979" s="1044"/>
      <c r="CQ1979" s="1044"/>
      <c r="CR1979" s="560"/>
      <c r="CS1979" s="560"/>
      <c r="CT1979" s="560"/>
      <c r="CU1979" s="560">
        <f t="shared" si="811"/>
        <v>600</v>
      </c>
      <c r="CV1979" s="560">
        <f t="shared" si="812"/>
        <v>0</v>
      </c>
      <c r="CW1979" s="560">
        <f t="shared" si="813"/>
        <v>0</v>
      </c>
      <c r="CX1979" s="1044"/>
      <c r="CY1979" s="1044"/>
      <c r="CZ1979" s="1044"/>
      <c r="DA1979" s="1044"/>
      <c r="DB1979" s="1044"/>
      <c r="DC1979" s="1044"/>
      <c r="DD1979" s="1044"/>
      <c r="DE1979" s="1044"/>
      <c r="DF1979" s="1044"/>
      <c r="DG1979" s="1044"/>
      <c r="DH1979" s="1044"/>
    </row>
    <row r="1980" s="560" customFormat="1" ht="31" customHeight="1" spans="1:113">
      <c r="A1980" s="1034">
        <v>46216</v>
      </c>
      <c r="B1980" s="603" t="s">
        <v>4371</v>
      </c>
      <c r="C1980" s="1035" t="s">
        <v>98</v>
      </c>
      <c r="D1980" s="1112">
        <v>4500216252</v>
      </c>
      <c r="E1980" s="1043">
        <v>1007021920</v>
      </c>
      <c r="F1980" s="560" t="s">
        <v>10818</v>
      </c>
      <c r="G1980" s="1035" t="s">
        <v>6063</v>
      </c>
      <c r="H1980" s="1035" t="s">
        <v>6064</v>
      </c>
      <c r="I1980" s="1036">
        <v>7680</v>
      </c>
      <c r="J1980" s="1035">
        <v>0</v>
      </c>
      <c r="K1980" s="1035">
        <v>16</v>
      </c>
      <c r="L1980" s="1025">
        <f t="shared" si="802"/>
        <v>480</v>
      </c>
      <c r="M1980" s="1037">
        <v>46261</v>
      </c>
      <c r="N1980" s="1037">
        <v>46255</v>
      </c>
      <c r="O1980" s="1115" t="s">
        <v>5639</v>
      </c>
      <c r="P1980" s="1035"/>
      <c r="Q1980" s="1039"/>
      <c r="R1980" s="1039" t="s">
        <v>9889</v>
      </c>
      <c r="S1980" s="1039" t="s">
        <v>70</v>
      </c>
      <c r="T1980" s="1039" t="s">
        <v>10687</v>
      </c>
      <c r="U1980" s="1039"/>
      <c r="V1980" s="1039"/>
      <c r="W1980" s="603"/>
      <c r="X1980" s="603" t="s">
        <v>10691</v>
      </c>
      <c r="Y1980" s="1042" t="s">
        <v>4378</v>
      </c>
      <c r="Z1980" s="603">
        <v>0.6184</v>
      </c>
      <c r="AA1980" s="1042">
        <f t="shared" si="803"/>
        <v>4749.312</v>
      </c>
      <c r="AB1980" s="603"/>
      <c r="AC1980" s="1030"/>
      <c r="AD1980" s="1035" t="s">
        <v>6063</v>
      </c>
      <c r="AE1980" s="1035" t="s">
        <v>82</v>
      </c>
      <c r="AF1980" s="1035"/>
      <c r="AG1980" s="1035"/>
      <c r="AH1980" s="603"/>
      <c r="AI1980" s="609"/>
      <c r="AJ1980" s="1035">
        <f t="shared" si="810"/>
        <v>-7680</v>
      </c>
      <c r="AK1980" s="1043"/>
      <c r="AL1980" s="1035" t="s">
        <v>2368</v>
      </c>
      <c r="AM1980" s="1035"/>
      <c r="AN1980" s="1035">
        <f t="shared" si="814"/>
        <v>7680</v>
      </c>
      <c r="AP1980" s="560">
        <f t="shared" si="815"/>
        <v>7680</v>
      </c>
      <c r="AR1980" s="1044"/>
      <c r="AS1980" s="560"/>
      <c r="AT1980" s="560"/>
      <c r="AU1980" s="560">
        <f t="shared" si="816"/>
        <v>7680</v>
      </c>
      <c r="AX1980" s="1045"/>
      <c r="AY1980" s="560"/>
      <c r="AZ1980" s="560"/>
      <c r="BA1980" s="560"/>
      <c r="BB1980" s="1116">
        <f t="shared" si="817"/>
        <v>320</v>
      </c>
      <c r="BQ1980" s="560">
        <f>I1980/16</f>
        <v>480</v>
      </c>
      <c r="CA1980" s="1044"/>
      <c r="CP1980" s="1044"/>
      <c r="CQ1980" s="1044"/>
      <c r="CR1980" s="560"/>
      <c r="CS1980" s="560"/>
      <c r="CT1980" s="560"/>
      <c r="CU1980" s="560">
        <f t="shared" si="811"/>
        <v>480</v>
      </c>
      <c r="CV1980" s="560">
        <f t="shared" si="812"/>
        <v>0</v>
      </c>
      <c r="CW1980" s="560">
        <f t="shared" si="813"/>
        <v>0</v>
      </c>
      <c r="CX1980" s="1044"/>
      <c r="CY1980" s="1044"/>
      <c r="CZ1980" s="1044"/>
      <c r="DA1980" s="1044"/>
      <c r="DB1980" s="1044"/>
      <c r="DC1980" s="1044"/>
      <c r="DD1980" s="1044"/>
      <c r="DE1980" s="1044"/>
      <c r="DF1980" s="1044"/>
      <c r="DG1980" s="1044"/>
      <c r="DH1980" s="1044"/>
    </row>
    <row r="1981" s="560" customFormat="1" ht="31" customHeight="1" spans="1:113">
      <c r="A1981" s="1034">
        <v>46216</v>
      </c>
      <c r="B1981" s="603" t="s">
        <v>4371</v>
      </c>
      <c r="C1981" s="1035" t="s">
        <v>98</v>
      </c>
      <c r="D1981" s="1112">
        <v>4500216252</v>
      </c>
      <c r="E1981" s="1043">
        <v>1007021937</v>
      </c>
      <c r="F1981" s="560" t="s">
        <v>10819</v>
      </c>
      <c r="G1981" s="1035" t="s">
        <v>6063</v>
      </c>
      <c r="H1981" s="1035" t="s">
        <v>6064</v>
      </c>
      <c r="I1981" s="1036">
        <v>12000</v>
      </c>
      <c r="J1981" s="1035">
        <v>0</v>
      </c>
      <c r="K1981" s="1035">
        <v>16</v>
      </c>
      <c r="L1981" s="1025">
        <f t="shared" si="802"/>
        <v>750</v>
      </c>
      <c r="M1981" s="1037">
        <v>46261</v>
      </c>
      <c r="N1981" s="1037">
        <v>46255</v>
      </c>
      <c r="O1981" s="1115" t="s">
        <v>5639</v>
      </c>
      <c r="P1981" s="1035"/>
      <c r="Q1981" s="1039"/>
      <c r="R1981" s="1039" t="s">
        <v>9889</v>
      </c>
      <c r="S1981" s="1039" t="s">
        <v>70</v>
      </c>
      <c r="T1981" s="1039" t="s">
        <v>10687</v>
      </c>
      <c r="U1981" s="1039"/>
      <c r="V1981" s="1039"/>
      <c r="W1981" s="603"/>
      <c r="X1981" s="603" t="s">
        <v>10691</v>
      </c>
      <c r="Y1981" s="1042" t="s">
        <v>4378</v>
      </c>
      <c r="Z1981" s="603">
        <v>0.6151</v>
      </c>
      <c r="AA1981" s="1042">
        <f t="shared" si="803"/>
        <v>7381.2</v>
      </c>
      <c r="AB1981" s="603"/>
      <c r="AC1981" s="1030"/>
      <c r="AD1981" s="1035" t="s">
        <v>6063</v>
      </c>
      <c r="AE1981" s="1035" t="s">
        <v>82</v>
      </c>
      <c r="AF1981" s="1035"/>
      <c r="AG1981" s="1035"/>
      <c r="AH1981" s="603"/>
      <c r="AI1981" s="609"/>
      <c r="AJ1981" s="1035">
        <f t="shared" si="810"/>
        <v>-12000</v>
      </c>
      <c r="AK1981" s="1043"/>
      <c r="AL1981" s="1035" t="s">
        <v>2368</v>
      </c>
      <c r="AM1981" s="1035"/>
      <c r="AN1981" s="1035">
        <f t="shared" si="814"/>
        <v>12000</v>
      </c>
      <c r="AP1981" s="560">
        <f t="shared" si="815"/>
        <v>12000</v>
      </c>
      <c r="AR1981" s="1044"/>
      <c r="AS1981" s="560"/>
      <c r="AT1981" s="560"/>
      <c r="AU1981" s="560">
        <f t="shared" si="816"/>
        <v>12000</v>
      </c>
      <c r="AX1981" s="1045"/>
      <c r="AY1981" s="560"/>
      <c r="AZ1981" s="560"/>
      <c r="BA1981" s="560"/>
      <c r="BB1981" s="1116">
        <f t="shared" si="817"/>
        <v>500</v>
      </c>
      <c r="BQ1981" s="560">
        <f>I1981/16</f>
        <v>750</v>
      </c>
      <c r="CA1981" s="1044"/>
      <c r="CP1981" s="1044"/>
      <c r="CQ1981" s="1044"/>
      <c r="CR1981" s="560"/>
      <c r="CS1981" s="560"/>
      <c r="CT1981" s="560"/>
      <c r="CU1981" s="560">
        <f t="shared" si="811"/>
        <v>750</v>
      </c>
      <c r="CV1981" s="560">
        <f t="shared" si="812"/>
        <v>0</v>
      </c>
      <c r="CW1981" s="560">
        <f t="shared" si="813"/>
        <v>0</v>
      </c>
      <c r="CX1981" s="1044"/>
      <c r="CY1981" s="1044"/>
      <c r="CZ1981" s="1044"/>
      <c r="DA1981" s="1044"/>
      <c r="DB1981" s="1044"/>
      <c r="DC1981" s="1044"/>
      <c r="DD1981" s="1044"/>
      <c r="DE1981" s="1044"/>
      <c r="DF1981" s="1044"/>
      <c r="DG1981" s="1044"/>
      <c r="DH1981" s="1044"/>
    </row>
    <row r="1982" s="560" customFormat="1" ht="31" customHeight="1" spans="1:113">
      <c r="A1982" s="1034">
        <v>46216</v>
      </c>
      <c r="B1982" s="603" t="s">
        <v>4371</v>
      </c>
      <c r="C1982" s="1035" t="s">
        <v>98</v>
      </c>
      <c r="D1982" s="1112">
        <v>4500216252</v>
      </c>
      <c r="E1982" s="1043">
        <v>1007021951</v>
      </c>
      <c r="F1982" s="560" t="s">
        <v>10820</v>
      </c>
      <c r="G1982" s="1035" t="s">
        <v>6063</v>
      </c>
      <c r="H1982" s="1035" t="s">
        <v>6064</v>
      </c>
      <c r="I1982" s="1036">
        <v>9120</v>
      </c>
      <c r="J1982" s="1035">
        <v>0</v>
      </c>
      <c r="K1982" s="1035">
        <v>16</v>
      </c>
      <c r="L1982" s="1025">
        <f t="shared" si="802"/>
        <v>570</v>
      </c>
      <c r="M1982" s="1037">
        <v>46261</v>
      </c>
      <c r="N1982" s="1037">
        <v>46255</v>
      </c>
      <c r="O1982" s="1115" t="s">
        <v>10821</v>
      </c>
      <c r="P1982" s="1035"/>
      <c r="Q1982" s="1039"/>
      <c r="R1982" s="1039" t="s">
        <v>9889</v>
      </c>
      <c r="S1982" s="1039" t="s">
        <v>70</v>
      </c>
      <c r="T1982" s="1039" t="s">
        <v>10687</v>
      </c>
      <c r="U1982" s="1039"/>
      <c r="V1982" s="1039"/>
      <c r="W1982" s="603"/>
      <c r="X1982" s="603" t="s">
        <v>10691</v>
      </c>
      <c r="Y1982" s="1042" t="s">
        <v>4378</v>
      </c>
      <c r="Z1982" s="603">
        <v>0.6184</v>
      </c>
      <c r="AA1982" s="1042">
        <f t="shared" si="803"/>
        <v>5639.808</v>
      </c>
      <c r="AB1982" s="603"/>
      <c r="AC1982" s="1030"/>
      <c r="AD1982" s="1035" t="s">
        <v>6063</v>
      </c>
      <c r="AE1982" s="1035" t="s">
        <v>82</v>
      </c>
      <c r="AF1982" s="1035"/>
      <c r="AG1982" s="1035"/>
      <c r="AH1982" s="603"/>
      <c r="AI1982" s="609"/>
      <c r="AJ1982" s="1035">
        <f t="shared" si="810"/>
        <v>-9120</v>
      </c>
      <c r="AK1982" s="1043"/>
      <c r="AL1982" s="1035" t="s">
        <v>2368</v>
      </c>
      <c r="AM1982" s="1035"/>
      <c r="AN1982" s="1035">
        <f t="shared" si="814"/>
        <v>9120</v>
      </c>
      <c r="AP1982" s="560">
        <f t="shared" si="815"/>
        <v>9120</v>
      </c>
      <c r="AR1982" s="1044"/>
      <c r="AS1982" s="560"/>
      <c r="AT1982" s="560"/>
      <c r="AU1982" s="560">
        <f t="shared" si="816"/>
        <v>9120</v>
      </c>
      <c r="AX1982" s="1045"/>
      <c r="AY1982" s="560"/>
      <c r="AZ1982" s="560"/>
      <c r="BA1982" s="560"/>
      <c r="BB1982" s="1116">
        <f t="shared" si="817"/>
        <v>380</v>
      </c>
      <c r="BQ1982" s="560">
        <f>I1982/16</f>
        <v>570</v>
      </c>
      <c r="CA1982" s="1044"/>
      <c r="CP1982" s="1044"/>
      <c r="CQ1982" s="1044"/>
      <c r="CR1982" s="560"/>
      <c r="CS1982" s="560"/>
      <c r="CT1982" s="560"/>
      <c r="CU1982" s="560">
        <f t="shared" si="811"/>
        <v>570</v>
      </c>
      <c r="CV1982" s="560">
        <f t="shared" si="812"/>
        <v>0</v>
      </c>
      <c r="CW1982" s="560">
        <f t="shared" si="813"/>
        <v>0</v>
      </c>
      <c r="CX1982" s="1044"/>
      <c r="CY1982" s="1044"/>
      <c r="CZ1982" s="1044"/>
      <c r="DA1982" s="1044"/>
      <c r="DB1982" s="1044"/>
      <c r="DC1982" s="1044"/>
      <c r="DD1982" s="1044"/>
      <c r="DE1982" s="1044"/>
      <c r="DF1982" s="1044"/>
      <c r="DG1982" s="1044"/>
      <c r="DH1982" s="1044"/>
    </row>
    <row r="1983" s="560" customFormat="1" ht="31" customHeight="1" spans="1:113">
      <c r="A1983" s="1034">
        <v>46216</v>
      </c>
      <c r="B1983" s="603" t="s">
        <v>4371</v>
      </c>
      <c r="C1983" s="1035" t="s">
        <v>98</v>
      </c>
      <c r="D1983" s="1112">
        <v>4500216252</v>
      </c>
      <c r="E1983" s="1043">
        <v>1007021994</v>
      </c>
      <c r="F1983" s="560" t="s">
        <v>10822</v>
      </c>
      <c r="G1983" s="1035" t="s">
        <v>6063</v>
      </c>
      <c r="H1983" s="1035" t="s">
        <v>6064</v>
      </c>
      <c r="I1983" s="1036">
        <v>6240</v>
      </c>
      <c r="J1983" s="1035">
        <v>0</v>
      </c>
      <c r="K1983" s="1035">
        <v>16</v>
      </c>
      <c r="L1983" s="1025">
        <f t="shared" si="802"/>
        <v>390</v>
      </c>
      <c r="M1983" s="1037">
        <v>46261</v>
      </c>
      <c r="N1983" s="1037">
        <v>46256</v>
      </c>
      <c r="O1983" s="1115" t="s">
        <v>5639</v>
      </c>
      <c r="P1983" s="1035"/>
      <c r="Q1983" s="1039"/>
      <c r="R1983" s="1039" t="s">
        <v>9889</v>
      </c>
      <c r="S1983" s="1039" t="s">
        <v>70</v>
      </c>
      <c r="T1983" s="1039" t="s">
        <v>10687</v>
      </c>
      <c r="U1983" s="1039"/>
      <c r="V1983" s="1039"/>
      <c r="W1983" s="603"/>
      <c r="X1983" s="603" t="s">
        <v>10691</v>
      </c>
      <c r="Y1983" s="1042" t="s">
        <v>4378</v>
      </c>
      <c r="Z1983" s="603">
        <v>0.6301</v>
      </c>
      <c r="AA1983" s="1042">
        <f t="shared" si="803"/>
        <v>3931.824</v>
      </c>
      <c r="AB1983" s="603"/>
      <c r="AC1983" s="1030"/>
      <c r="AD1983" s="1035" t="s">
        <v>6063</v>
      </c>
      <c r="AE1983" s="1035" t="s">
        <v>82</v>
      </c>
      <c r="AF1983" s="1035"/>
      <c r="AG1983" s="1035"/>
      <c r="AH1983" s="603"/>
      <c r="AI1983" s="609"/>
      <c r="AJ1983" s="1035">
        <f t="shared" ref="AJ1983:AJ2054" si="818">AI1983-I1983</f>
        <v>-6240</v>
      </c>
      <c r="AK1983" s="1043"/>
      <c r="AL1983" s="1035" t="s">
        <v>2368</v>
      </c>
      <c r="AM1983" s="1035"/>
      <c r="AN1983" s="1035">
        <f t="shared" si="814"/>
        <v>6240</v>
      </c>
      <c r="AP1983" s="560">
        <f t="shared" si="815"/>
        <v>6240</v>
      </c>
      <c r="AR1983" s="1044"/>
      <c r="AS1983" s="560"/>
      <c r="AT1983" s="560"/>
      <c r="AU1983" s="560">
        <f t="shared" si="816"/>
        <v>6240</v>
      </c>
      <c r="AX1983" s="1045"/>
      <c r="AY1983" s="560"/>
      <c r="AZ1983" s="560"/>
      <c r="BA1983" s="560"/>
      <c r="BB1983" s="1116">
        <f t="shared" si="817"/>
        <v>260</v>
      </c>
      <c r="BQ1983" s="560">
        <f>I1983/16</f>
        <v>390</v>
      </c>
      <c r="CA1983" s="1044"/>
      <c r="CP1983" s="1044"/>
      <c r="CQ1983" s="1044"/>
      <c r="CR1983" s="560"/>
      <c r="CS1983" s="560"/>
      <c r="CT1983" s="560"/>
      <c r="CU1983" s="560">
        <f t="shared" ref="CU1983:CU2002" si="819">BQ1983+BP1983+BO1983+BN1983+BX1983+BR1983</f>
        <v>390</v>
      </c>
      <c r="CV1983" s="560">
        <f t="shared" ref="CV1983:CV1993" si="820">CK1983+CL1983+CM1983+CN1983+CO1983+CQ1983+CP1983</f>
        <v>0</v>
      </c>
      <c r="CW1983" s="560">
        <f t="shared" ref="CW1983:CW1993" si="821">CI1983+CJ1983</f>
        <v>0</v>
      </c>
      <c r="CX1983" s="1044"/>
      <c r="CY1983" s="1044"/>
      <c r="CZ1983" s="1044"/>
      <c r="DA1983" s="1044"/>
      <c r="DB1983" s="1044"/>
      <c r="DC1983" s="1044"/>
      <c r="DD1983" s="1044"/>
      <c r="DE1983" s="1044"/>
      <c r="DF1983" s="1044"/>
      <c r="DG1983" s="1044"/>
      <c r="DH1983" s="1044"/>
    </row>
    <row r="1984" s="561" customFormat="1" ht="31" customHeight="1" spans="1:113">
      <c r="A1984" s="1117">
        <v>46217</v>
      </c>
      <c r="B1984" s="1056" t="s">
        <v>3008</v>
      </c>
      <c r="C1984" s="1118" t="s">
        <v>98</v>
      </c>
      <c r="D1984" s="1119">
        <v>4500216488</v>
      </c>
      <c r="E1984" s="1118" t="s">
        <v>5652</v>
      </c>
      <c r="F1984" s="561" t="s">
        <v>10823</v>
      </c>
      <c r="G1984" s="1118" t="s">
        <v>6032</v>
      </c>
      <c r="H1984" s="1118" t="s">
        <v>6033</v>
      </c>
      <c r="I1984" s="1120">
        <v>45500</v>
      </c>
      <c r="J1984" s="1118">
        <v>0</v>
      </c>
      <c r="K1984" s="1118">
        <v>52</v>
      </c>
      <c r="L1984" s="997">
        <f t="shared" si="802"/>
        <v>875</v>
      </c>
      <c r="M1984" s="1121">
        <v>46262</v>
      </c>
      <c r="N1984" s="1037">
        <v>46256</v>
      </c>
      <c r="O1984" s="1122"/>
      <c r="P1984" s="1118"/>
      <c r="Q1984" s="1123"/>
      <c r="R1984" s="1123">
        <v>46230</v>
      </c>
      <c r="S1984" s="584" t="s">
        <v>104</v>
      </c>
      <c r="T1984" s="1123" t="s">
        <v>10824</v>
      </c>
      <c r="U1984" s="1123"/>
      <c r="V1984" s="1123"/>
      <c r="W1984" s="1056"/>
      <c r="X1984" s="1056" t="s">
        <v>4707</v>
      </c>
      <c r="Y1984" s="1124" t="s">
        <v>4708</v>
      </c>
      <c r="Z1984" s="1056">
        <v>0.5744</v>
      </c>
      <c r="AA1984" s="1124">
        <f t="shared" si="803"/>
        <v>26135.2</v>
      </c>
      <c r="AB1984" s="1056"/>
      <c r="AC1984" s="1002"/>
      <c r="AD1984" s="992" t="s">
        <v>6032</v>
      </c>
      <c r="AE1984" s="1118" t="s">
        <v>82</v>
      </c>
      <c r="AF1984" s="1118"/>
      <c r="AG1984" s="1118"/>
      <c r="AH1984" s="1056"/>
      <c r="AI1984" s="601"/>
      <c r="AJ1984" s="992">
        <f t="shared" si="818"/>
        <v>-45500</v>
      </c>
      <c r="AK1984" s="1122"/>
      <c r="AL1984" s="1118" t="s">
        <v>2368</v>
      </c>
      <c r="AM1984" s="1118"/>
      <c r="AN1984" s="1118">
        <f t="shared" si="814"/>
        <v>45500</v>
      </c>
      <c r="AP1984" s="586">
        <f t="shared" si="815"/>
        <v>45500</v>
      </c>
      <c r="AR1984" s="1125"/>
      <c r="AS1984" s="561"/>
      <c r="AT1984" s="561"/>
      <c r="AU1984" s="586">
        <f t="shared" si="816"/>
        <v>45500</v>
      </c>
      <c r="AX1984" s="1126"/>
      <c r="AY1984" s="561"/>
      <c r="AZ1984" s="561"/>
      <c r="BA1984" s="561"/>
      <c r="BB1984" s="1078">
        <f t="shared" si="817"/>
        <v>1895.83333333333</v>
      </c>
      <c r="BK1984" s="586">
        <f>I1984/13</f>
        <v>3500</v>
      </c>
      <c r="CA1984" s="1125"/>
      <c r="CP1984" s="1125"/>
      <c r="CQ1984" s="1125"/>
      <c r="CR1984" s="561"/>
      <c r="CS1984" s="561"/>
      <c r="CT1984" s="561"/>
      <c r="CU1984" s="586">
        <f t="shared" si="819"/>
        <v>0</v>
      </c>
      <c r="CV1984" s="586">
        <f t="shared" si="820"/>
        <v>0</v>
      </c>
      <c r="CW1984" s="586">
        <f t="shared" si="821"/>
        <v>0</v>
      </c>
      <c r="CX1984" s="1125"/>
      <c r="CY1984" s="1125"/>
      <c r="CZ1984" s="1125"/>
      <c r="DA1984" s="1125"/>
      <c r="DB1984" s="1125"/>
      <c r="DC1984" s="1125"/>
      <c r="DD1984" s="1125"/>
      <c r="DE1984" s="1125"/>
      <c r="DF1984" s="1125"/>
      <c r="DG1984" s="1125"/>
      <c r="DH1984" s="1125"/>
    </row>
    <row r="1985" s="560" customFormat="1" ht="31" customHeight="1" spans="1:113">
      <c r="A1985" s="1034">
        <v>46218</v>
      </c>
      <c r="B1985" s="603" t="s">
        <v>1337</v>
      </c>
      <c r="C1985" s="1035" t="s">
        <v>931</v>
      </c>
      <c r="D1985" s="1112">
        <v>4500216583</v>
      </c>
      <c r="E1985" s="1035" t="s">
        <v>5670</v>
      </c>
      <c r="F1985" s="560" t="s">
        <v>10825</v>
      </c>
      <c r="G1985" s="1035" t="s">
        <v>6276</v>
      </c>
      <c r="H1985" s="1035" t="s">
        <v>6277</v>
      </c>
      <c r="I1985" s="1036">
        <v>5700</v>
      </c>
      <c r="J1985" s="1035">
        <v>0</v>
      </c>
      <c r="K1985" s="1035">
        <v>50</v>
      </c>
      <c r="L1985" s="1025">
        <f t="shared" si="802"/>
        <v>114</v>
      </c>
      <c r="M1985" s="1037">
        <v>46262</v>
      </c>
      <c r="N1985" s="1037">
        <v>46256</v>
      </c>
      <c r="O1985" s="1043"/>
      <c r="P1985" s="1035"/>
      <c r="Q1985" s="1039"/>
      <c r="R1985" s="1039">
        <v>46231</v>
      </c>
      <c r="S1985" s="1039" t="s">
        <v>70</v>
      </c>
      <c r="T1985" s="1039" t="s">
        <v>70</v>
      </c>
      <c r="U1985" s="1039"/>
      <c r="V1985" s="1039"/>
      <c r="W1985" s="603"/>
      <c r="X1985" s="603" t="s">
        <v>10826</v>
      </c>
      <c r="Y1985" s="1042" t="s">
        <v>943</v>
      </c>
      <c r="Z1985" s="603">
        <v>0.9299</v>
      </c>
      <c r="AA1985" s="1042">
        <f t="shared" si="803"/>
        <v>5300.43</v>
      </c>
      <c r="AB1985" s="603"/>
      <c r="AC1985" s="1030"/>
      <c r="AD1985" s="1035" t="s">
        <v>6276</v>
      </c>
      <c r="AE1985" s="1035" t="s">
        <v>82</v>
      </c>
      <c r="AF1985" s="1035"/>
      <c r="AG1985" s="1035"/>
      <c r="AH1985" s="603"/>
      <c r="AI1985" s="603"/>
      <c r="AJ1985" s="1035">
        <f t="shared" si="818"/>
        <v>-5700</v>
      </c>
      <c r="AK1985" s="1043"/>
      <c r="AL1985" s="1035"/>
      <c r="AM1985" s="1035"/>
      <c r="AN1985" s="1035"/>
      <c r="AO1985" s="560">
        <f>I1985</f>
        <v>5700</v>
      </c>
      <c r="AR1985" s="1044"/>
      <c r="AS1985" s="560"/>
      <c r="AT1985" s="560"/>
      <c r="AU1985" s="560"/>
      <c r="AV1985" s="560"/>
      <c r="AW1985" s="560"/>
      <c r="AX1985" s="1045"/>
      <c r="AY1985" s="560"/>
      <c r="AZ1985" s="560"/>
      <c r="BA1985" s="560"/>
      <c r="BB1985" s="1116">
        <f t="shared" si="817"/>
        <v>237.5</v>
      </c>
      <c r="BV1985" s="560">
        <f>I1985</f>
        <v>5700</v>
      </c>
      <c r="BW1985" s="560">
        <f>I1985</f>
        <v>5700</v>
      </c>
      <c r="BX1985" s="560">
        <f>I1985/25</f>
        <v>228</v>
      </c>
      <c r="CA1985" s="1044"/>
      <c r="CB1985" s="560"/>
      <c r="CC1985" s="560"/>
      <c r="CD1985" s="560"/>
      <c r="CE1985" s="560"/>
      <c r="CF1985" s="560"/>
      <c r="CG1985" s="560"/>
      <c r="CH1985" s="560"/>
      <c r="CI1985" s="560"/>
      <c r="CJ1985" s="560"/>
      <c r="CK1985" s="560"/>
      <c r="CL1985" s="560"/>
      <c r="CM1985" s="560"/>
      <c r="CN1985" s="560"/>
      <c r="CO1985" s="560"/>
      <c r="CP1985" s="1044"/>
      <c r="CQ1985" s="1044"/>
      <c r="CR1985" s="560"/>
      <c r="CS1985" s="560"/>
      <c r="CT1985" s="560"/>
      <c r="CU1985" s="560">
        <f t="shared" si="819"/>
        <v>228</v>
      </c>
      <c r="CV1985" s="560">
        <f t="shared" si="820"/>
        <v>0</v>
      </c>
      <c r="CW1985" s="560">
        <f t="shared" si="821"/>
        <v>0</v>
      </c>
      <c r="CX1985" s="1044"/>
      <c r="CY1985" s="1044"/>
      <c r="CZ1985" s="1044"/>
      <c r="DA1985" s="1044"/>
      <c r="DB1985" s="1044"/>
      <c r="DC1985" s="1044"/>
      <c r="DD1985" s="1044"/>
      <c r="DE1985" s="1044"/>
      <c r="DF1985" s="1044"/>
      <c r="DG1985" s="1044"/>
      <c r="DH1985" s="1044"/>
    </row>
    <row r="1986" s="558" customFormat="1" ht="31" customHeight="1" spans="1:113">
      <c r="A1986" s="1127">
        <v>46162</v>
      </c>
      <c r="B1986" s="1128" t="s">
        <v>5385</v>
      </c>
      <c r="C1986" s="1129" t="s">
        <v>98</v>
      </c>
      <c r="D1986" s="1130">
        <v>4500208125</v>
      </c>
      <c r="E1986" s="1131">
        <v>1002450635</v>
      </c>
      <c r="F1986" s="562" t="s">
        <v>5657</v>
      </c>
      <c r="G1986" s="1129" t="s">
        <v>8520</v>
      </c>
      <c r="H1986" s="1129" t="s">
        <v>8521</v>
      </c>
      <c r="I1986" s="1132">
        <v>1440</v>
      </c>
      <c r="J1986" s="1129">
        <v>0</v>
      </c>
      <c r="K1986" s="1129">
        <v>8</v>
      </c>
      <c r="L1986" s="1133">
        <f t="shared" si="802"/>
        <v>180</v>
      </c>
      <c r="M1986" s="1134">
        <v>46262</v>
      </c>
      <c r="N1986" s="1134">
        <v>46258</v>
      </c>
      <c r="O1986" s="1135" t="s">
        <v>5639</v>
      </c>
      <c r="P1986" s="1129"/>
      <c r="Q1986" s="1029"/>
      <c r="R1986" s="1029">
        <v>46162</v>
      </c>
      <c r="S1986" s="1029" t="s">
        <v>70</v>
      </c>
      <c r="T1986" s="1029" t="s">
        <v>5658</v>
      </c>
      <c r="U1986" s="1029"/>
      <c r="V1986" s="1029"/>
      <c r="W1986" s="585"/>
      <c r="X1986" s="1128" t="s">
        <v>10827</v>
      </c>
      <c r="Y1986" s="1136" t="s">
        <v>106</v>
      </c>
      <c r="Z1986" s="1128">
        <v>4.196</v>
      </c>
      <c r="AA1986" s="1136">
        <f t="shared" si="803"/>
        <v>6042.24</v>
      </c>
      <c r="AC1986" s="1137"/>
      <c r="AD1986" s="1129" t="s">
        <v>2741</v>
      </c>
      <c r="AE1986" s="1129" t="s">
        <v>82</v>
      </c>
      <c r="AF1986" s="1129"/>
      <c r="AG1986" s="1129"/>
      <c r="AH1986" s="1128"/>
      <c r="AI1986" s="848">
        <v>1440</v>
      </c>
      <c r="AJ1986" s="1129">
        <f t="shared" si="818"/>
        <v>0</v>
      </c>
      <c r="AK1986" s="1131"/>
      <c r="AL1986" s="1129" t="s">
        <v>2368</v>
      </c>
      <c r="AM1986" s="1129"/>
      <c r="AN1986" s="1129">
        <f>I1986*2</f>
        <v>2880</v>
      </c>
      <c r="AO1986" s="562"/>
      <c r="AP1986" s="562"/>
      <c r="AQ1986" s="562"/>
      <c r="AR1986" s="1138"/>
      <c r="AS1986" s="562"/>
      <c r="AT1986" s="562"/>
      <c r="AU1986" s="562">
        <f>I1986*2</f>
        <v>2880</v>
      </c>
      <c r="AV1986" s="1139"/>
      <c r="AW1986" s="562"/>
      <c r="AX1986" s="1140"/>
      <c r="AY1986" s="562"/>
      <c r="AZ1986" s="562"/>
      <c r="BA1986" s="562"/>
      <c r="BB1986" s="1141">
        <f>I1986/24*2</f>
        <v>120</v>
      </c>
      <c r="BC1986" s="562"/>
      <c r="BD1986" s="562"/>
      <c r="BE1986" s="562"/>
      <c r="BF1986" s="562"/>
      <c r="BG1986" s="1087">
        <f>I1986*2</f>
        <v>2880</v>
      </c>
      <c r="BH1986" s="562"/>
      <c r="BI1986" s="562"/>
      <c r="BJ1986" s="562"/>
      <c r="BK1986" s="562"/>
      <c r="BL1986" s="562"/>
      <c r="BM1986" s="562"/>
      <c r="BN1986" s="562"/>
      <c r="BO1986" s="562"/>
      <c r="BP1986" s="562"/>
      <c r="BQ1986" s="562"/>
      <c r="BR1986" s="562"/>
      <c r="BS1986" s="562"/>
      <c r="BT1986" s="562"/>
      <c r="BU1986" s="562"/>
      <c r="BV1986" s="562"/>
      <c r="BW1986" s="562"/>
      <c r="BX1986" s="562"/>
      <c r="BY1986" s="562">
        <f>I1986</f>
        <v>1440</v>
      </c>
      <c r="BZ1986" s="562"/>
      <c r="CA1986" s="1142"/>
      <c r="CB1986" s="566"/>
      <c r="CC1986" s="1143"/>
      <c r="CD1986" s="1138"/>
      <c r="CE1986" s="1138"/>
      <c r="CF1986" s="562"/>
      <c r="CG1986" s="1144"/>
      <c r="CH1986" s="566"/>
      <c r="CI1986" s="1145"/>
      <c r="CJ1986" s="562"/>
      <c r="CK1986" s="562"/>
      <c r="CL1986" s="562"/>
      <c r="CM1986" s="562"/>
      <c r="CN1986" s="562"/>
      <c r="CO1986" s="562"/>
      <c r="CP1986" s="1138"/>
      <c r="CQ1986" s="1138"/>
      <c r="CR1986" s="562"/>
      <c r="CS1986" s="562"/>
      <c r="CT1986" s="562"/>
      <c r="CU1986" s="562">
        <f t="shared" si="819"/>
        <v>0</v>
      </c>
      <c r="CV1986" s="562">
        <f t="shared" si="820"/>
        <v>0</v>
      </c>
      <c r="CW1986" s="562">
        <f t="shared" si="821"/>
        <v>0</v>
      </c>
      <c r="CX1986" s="1146"/>
      <c r="CY1986" s="1146"/>
      <c r="CZ1986" s="1146"/>
      <c r="DA1986" s="1146"/>
      <c r="DB1986" s="1146"/>
      <c r="DC1986" s="1146"/>
      <c r="DD1986" s="1146"/>
      <c r="DE1986" s="1146"/>
      <c r="DF1986" s="1146"/>
      <c r="DG1986" s="1146"/>
      <c r="DH1986" s="1146"/>
      <c r="DI1986" s="562"/>
    </row>
    <row r="1987" s="558" customFormat="1" ht="31" customHeight="1" spans="1:113">
      <c r="A1987" s="1022">
        <v>46171</v>
      </c>
      <c r="B1987" s="626" t="s">
        <v>4371</v>
      </c>
      <c r="C1987" s="939" t="s">
        <v>98</v>
      </c>
      <c r="D1987" s="563">
        <v>4500209904</v>
      </c>
      <c r="E1987" s="1051">
        <v>7137243629</v>
      </c>
      <c r="F1987" s="1147" t="s">
        <v>5662</v>
      </c>
      <c r="G1987" s="939" t="s">
        <v>10273</v>
      </c>
      <c r="H1987" s="939" t="s">
        <v>5003</v>
      </c>
      <c r="I1987" s="1023">
        <v>11832</v>
      </c>
      <c r="J1987" s="939">
        <v>0</v>
      </c>
      <c r="K1987" s="1024">
        <v>24</v>
      </c>
      <c r="L1987" s="1025">
        <f t="shared" si="802"/>
        <v>493</v>
      </c>
      <c r="M1987" s="1026">
        <v>46262</v>
      </c>
      <c r="N1987" s="1027">
        <v>46258</v>
      </c>
      <c r="O1987" s="1028" t="s">
        <v>5663</v>
      </c>
      <c r="P1987" s="939"/>
      <c r="Q1987" s="999"/>
      <c r="R1987" s="999">
        <v>46162</v>
      </c>
      <c r="S1987" s="999" t="s">
        <v>104</v>
      </c>
      <c r="T1987" s="999" t="s">
        <v>10701</v>
      </c>
      <c r="U1987" s="999"/>
      <c r="V1987" s="999" t="s">
        <v>10276</v>
      </c>
      <c r="W1987" s="585"/>
      <c r="X1987" s="626" t="s">
        <v>10828</v>
      </c>
      <c r="Y1987" s="1001" t="s">
        <v>4378</v>
      </c>
      <c r="Z1987" s="626">
        <v>110.7734</v>
      </c>
      <c r="AA1987" s="1001">
        <f>Z1987*L1987</f>
        <v>54611.2862</v>
      </c>
      <c r="AC1987" s="1030"/>
      <c r="AD1987" s="560" t="s">
        <v>5008</v>
      </c>
      <c r="AE1987" s="939" t="s">
        <v>82</v>
      </c>
      <c r="AF1987" s="939"/>
      <c r="AG1987" s="939"/>
      <c r="AH1987" s="626"/>
      <c r="AI1987" s="609"/>
      <c r="AJ1987" s="939">
        <f t="shared" si="818"/>
        <v>-11832</v>
      </c>
      <c r="AK1987" s="1031"/>
      <c r="AL1987" s="939" t="s">
        <v>2368</v>
      </c>
      <c r="AM1987" s="939"/>
      <c r="AN1987" s="939">
        <f>I1987*2</f>
        <v>23664</v>
      </c>
      <c r="AO1987" s="563"/>
      <c r="AP1987" s="563"/>
      <c r="AQ1987" s="563"/>
      <c r="AR1987" s="1015"/>
      <c r="AS1987" s="563"/>
      <c r="AT1987" s="563"/>
      <c r="AU1987" s="563">
        <f>I1987*2</f>
        <v>23664</v>
      </c>
      <c r="AV1987" s="563"/>
      <c r="AW1987" s="563"/>
      <c r="AX1987" s="1004"/>
      <c r="AY1987" s="563"/>
      <c r="AZ1987" s="563"/>
      <c r="BA1987" s="563"/>
      <c r="BB1987" s="1017">
        <f>I1987/24*2</f>
        <v>986</v>
      </c>
      <c r="BC1987" s="563"/>
      <c r="BD1987" s="563"/>
      <c r="BE1987" s="563"/>
      <c r="BF1987" s="1032"/>
      <c r="BG1987" s="560">
        <f>AN1987</f>
        <v>23664</v>
      </c>
      <c r="BH1987" s="1033"/>
      <c r="BI1987" s="563"/>
      <c r="BJ1987" s="563"/>
      <c r="BK1987" s="563"/>
      <c r="BL1987" s="563"/>
      <c r="BM1987" s="563"/>
      <c r="BN1987" s="563"/>
      <c r="BO1987" s="563"/>
      <c r="BP1987" s="563"/>
      <c r="BQ1987" s="563"/>
      <c r="BR1987" s="563"/>
      <c r="BS1987" s="563"/>
      <c r="BT1987" s="563"/>
      <c r="BU1987" s="563"/>
      <c r="BV1987" s="563"/>
      <c r="BW1987" s="563"/>
      <c r="BX1987" s="563"/>
      <c r="BY1987" s="563">
        <f>I1987</f>
        <v>11832</v>
      </c>
      <c r="BZ1987" s="563"/>
      <c r="CA1987" s="1032"/>
      <c r="CB1987" s="560"/>
      <c r="CC1987" s="1033"/>
      <c r="CD1987" s="563"/>
      <c r="CE1987" s="563"/>
      <c r="CF1987" s="563"/>
      <c r="CG1987" s="1032"/>
      <c r="CH1987" s="560">
        <f>L1987</f>
        <v>493</v>
      </c>
      <c r="CI1987" s="1033"/>
      <c r="CJ1987" s="563"/>
      <c r="CK1987" s="563"/>
      <c r="CL1987" s="563"/>
      <c r="CM1987" s="563"/>
      <c r="CN1987" s="563"/>
      <c r="CO1987" s="563"/>
      <c r="CP1987" s="1015"/>
      <c r="CQ1987" s="1015"/>
      <c r="CR1987" s="563"/>
      <c r="CS1987" s="563"/>
      <c r="CT1987" s="563"/>
      <c r="CU1987" s="563">
        <f t="shared" si="819"/>
        <v>0</v>
      </c>
      <c r="CV1987" s="563">
        <f t="shared" si="820"/>
        <v>0</v>
      </c>
      <c r="CW1987" s="563">
        <f t="shared" si="821"/>
        <v>0</v>
      </c>
      <c r="CX1987" s="1015"/>
      <c r="CY1987" s="1015"/>
      <c r="CZ1987" s="1015"/>
      <c r="DA1987" s="1015"/>
      <c r="DB1987" s="1015"/>
      <c r="DC1987" s="1015"/>
      <c r="DD1987" s="1015"/>
      <c r="DE1987" s="1015"/>
      <c r="DF1987" s="1015"/>
      <c r="DG1987" s="1015"/>
      <c r="DH1987" s="1015"/>
    </row>
    <row r="1988" s="558" customFormat="1" ht="31" customHeight="1" spans="1:113">
      <c r="A1988" s="1022">
        <v>46171</v>
      </c>
      <c r="B1988" s="626" t="s">
        <v>4371</v>
      </c>
      <c r="C1988" s="939" t="s">
        <v>98</v>
      </c>
      <c r="D1988" s="563">
        <v>4500209904</v>
      </c>
      <c r="E1988" s="939">
        <v>7137243633</v>
      </c>
      <c r="F1988" s="563" t="s">
        <v>5666</v>
      </c>
      <c r="G1988" s="939" t="s">
        <v>10273</v>
      </c>
      <c r="H1988" s="939" t="s">
        <v>5003</v>
      </c>
      <c r="I1988" s="1023">
        <v>10296</v>
      </c>
      <c r="J1988" s="939">
        <v>0</v>
      </c>
      <c r="K1988" s="1024">
        <v>24</v>
      </c>
      <c r="L1988" s="1025">
        <f t="shared" si="802"/>
        <v>429</v>
      </c>
      <c r="M1988" s="1026">
        <v>46262</v>
      </c>
      <c r="N1988" s="1027">
        <v>46258</v>
      </c>
      <c r="O1988" s="1028" t="s">
        <v>5663</v>
      </c>
      <c r="P1988" s="939"/>
      <c r="Q1988" s="999"/>
      <c r="R1988" s="999">
        <v>46162</v>
      </c>
      <c r="S1988" s="999" t="s">
        <v>104</v>
      </c>
      <c r="T1988" s="999" t="s">
        <v>10701</v>
      </c>
      <c r="U1988" s="999"/>
      <c r="V1988" s="999" t="s">
        <v>10276</v>
      </c>
      <c r="W1988" s="585"/>
      <c r="X1988" s="626" t="s">
        <v>10828</v>
      </c>
      <c r="Y1988" s="1001" t="s">
        <v>4378</v>
      </c>
      <c r="Z1988" s="626">
        <v>110.7734</v>
      </c>
      <c r="AA1988" s="1001">
        <f>Z1988*L1988</f>
        <v>47521.7886</v>
      </c>
      <c r="AC1988" s="1030"/>
      <c r="AD1988" s="560" t="s">
        <v>5008</v>
      </c>
      <c r="AE1988" s="939" t="s">
        <v>82</v>
      </c>
      <c r="AF1988" s="939"/>
      <c r="AG1988" s="939"/>
      <c r="AH1988" s="626"/>
      <c r="AI1988" s="609">
        <f>320+2880+1280+960+4856</f>
        <v>10296</v>
      </c>
      <c r="AJ1988" s="939">
        <f t="shared" si="818"/>
        <v>0</v>
      </c>
      <c r="AK1988" s="1031"/>
      <c r="AL1988" s="939" t="s">
        <v>2368</v>
      </c>
      <c r="AM1988" s="939"/>
      <c r="AN1988" s="939">
        <f>I1988*2</f>
        <v>20592</v>
      </c>
      <c r="AO1988" s="563"/>
      <c r="AP1988" s="563"/>
      <c r="AQ1988" s="563"/>
      <c r="AR1988" s="1015"/>
      <c r="AS1988" s="563"/>
      <c r="AT1988" s="563"/>
      <c r="AU1988" s="563">
        <f>I1988*2</f>
        <v>20592</v>
      </c>
      <c r="AV1988" s="563"/>
      <c r="AW1988" s="563"/>
      <c r="AX1988" s="1004"/>
      <c r="AY1988" s="563"/>
      <c r="AZ1988" s="563"/>
      <c r="BA1988" s="563"/>
      <c r="BB1988" s="1017">
        <f>I1988/24*2</f>
        <v>858</v>
      </c>
      <c r="BC1988" s="563"/>
      <c r="BD1988" s="563"/>
      <c r="BE1988" s="563"/>
      <c r="BF1988" s="1032"/>
      <c r="BG1988" s="560">
        <f>AN1988</f>
        <v>20592</v>
      </c>
      <c r="BH1988" s="1033"/>
      <c r="BI1988" s="563"/>
      <c r="BJ1988" s="563"/>
      <c r="BK1988" s="563"/>
      <c r="BL1988" s="563"/>
      <c r="BM1988" s="563"/>
      <c r="BN1988" s="563"/>
      <c r="BO1988" s="563"/>
      <c r="BP1988" s="563"/>
      <c r="BQ1988" s="563"/>
      <c r="BR1988" s="563"/>
      <c r="BS1988" s="563"/>
      <c r="BT1988" s="563"/>
      <c r="BU1988" s="563"/>
      <c r="BV1988" s="563"/>
      <c r="BW1988" s="563"/>
      <c r="BX1988" s="563"/>
      <c r="BY1988" s="563">
        <f>I1988</f>
        <v>10296</v>
      </c>
      <c r="BZ1988" s="563"/>
      <c r="CA1988" s="1032"/>
      <c r="CB1988" s="560"/>
      <c r="CC1988" s="1033"/>
      <c r="CD1988" s="563"/>
      <c r="CE1988" s="563"/>
      <c r="CF1988" s="563"/>
      <c r="CG1988" s="1032"/>
      <c r="CH1988" s="560">
        <f>L1988</f>
        <v>429</v>
      </c>
      <c r="CI1988" s="1033"/>
      <c r="CJ1988" s="563"/>
      <c r="CK1988" s="563"/>
      <c r="CL1988" s="563"/>
      <c r="CM1988" s="563"/>
      <c r="CN1988" s="563"/>
      <c r="CO1988" s="563"/>
      <c r="CP1988" s="1015"/>
      <c r="CQ1988" s="1015"/>
      <c r="CR1988" s="563"/>
      <c r="CS1988" s="563"/>
      <c r="CT1988" s="563"/>
      <c r="CU1988" s="563">
        <f t="shared" si="819"/>
        <v>0</v>
      </c>
      <c r="CV1988" s="563">
        <f t="shared" si="820"/>
        <v>0</v>
      </c>
      <c r="CW1988" s="563">
        <f t="shared" si="821"/>
        <v>0</v>
      </c>
      <c r="CX1988" s="1015"/>
      <c r="CY1988" s="1015"/>
      <c r="CZ1988" s="1015"/>
      <c r="DA1988" s="1015"/>
      <c r="DB1988" s="1015"/>
      <c r="DC1988" s="1015"/>
      <c r="DD1988" s="1015"/>
      <c r="DE1988" s="1015"/>
      <c r="DF1988" s="1015"/>
      <c r="DG1988" s="1015"/>
      <c r="DH1988" s="1015"/>
    </row>
    <row r="1989" s="558" customFormat="1" ht="31" customHeight="1" spans="1:113">
      <c r="A1989" s="1022">
        <v>46218</v>
      </c>
      <c r="B1989" s="626" t="s">
        <v>1800</v>
      </c>
      <c r="C1989" s="939" t="s">
        <v>744</v>
      </c>
      <c r="D1989" s="1063">
        <v>4500216641</v>
      </c>
      <c r="E1989" s="1031">
        <v>5000002327</v>
      </c>
      <c r="F1989" s="563" t="s">
        <v>10829</v>
      </c>
      <c r="G1989" s="939" t="s">
        <v>6093</v>
      </c>
      <c r="H1989" s="939" t="s">
        <v>6094</v>
      </c>
      <c r="I1989" s="1023">
        <v>5200</v>
      </c>
      <c r="J1989" s="939">
        <v>0</v>
      </c>
      <c r="K1989" s="939">
        <v>13</v>
      </c>
      <c r="L1989" s="1064">
        <f t="shared" si="802"/>
        <v>400</v>
      </c>
      <c r="M1989" s="1027">
        <v>46262</v>
      </c>
      <c r="N1989" s="1027">
        <v>46258</v>
      </c>
      <c r="O1989" s="1031"/>
      <c r="P1989" s="939"/>
      <c r="Q1989" s="999"/>
      <c r="R1989" s="999" t="s">
        <v>5675</v>
      </c>
      <c r="S1989" s="999" t="s">
        <v>104</v>
      </c>
      <c r="T1989" s="1040" t="s">
        <v>8723</v>
      </c>
      <c r="U1989" s="1039"/>
      <c r="V1989" s="1039"/>
      <c r="W1989" s="603"/>
      <c r="X1989" s="1054" t="s">
        <v>10830</v>
      </c>
      <c r="Y1989" s="1001" t="s">
        <v>1805</v>
      </c>
      <c r="Z1989" s="626">
        <v>0.9145</v>
      </c>
      <c r="AA1989" s="1060">
        <f t="shared" ref="AA1989:AA1996" si="822">Z1989*I1989</f>
        <v>4755.4</v>
      </c>
      <c r="AB1989" s="603"/>
      <c r="AC1989" s="1061"/>
      <c r="AD1989" s="939" t="s">
        <v>8338</v>
      </c>
      <c r="AE1989" s="992" t="s">
        <v>82</v>
      </c>
      <c r="AF1989" s="939"/>
      <c r="AG1989" s="939"/>
      <c r="AH1989" s="626"/>
      <c r="AI1989" s="626"/>
      <c r="AJ1989" s="939">
        <f t="shared" si="818"/>
        <v>-5200</v>
      </c>
      <c r="AK1989" s="1031"/>
      <c r="AL1989" s="939" t="s">
        <v>454</v>
      </c>
      <c r="AM1989" s="939"/>
      <c r="AN1989" s="939"/>
      <c r="AO1989" s="563">
        <f>I1989</f>
        <v>5200</v>
      </c>
      <c r="AP1989" s="563"/>
      <c r="AQ1989" s="563"/>
      <c r="AR1989" s="1015"/>
      <c r="AS1989" s="563"/>
      <c r="AT1989" s="563"/>
      <c r="AU1989" s="563"/>
      <c r="AV1989" s="563"/>
      <c r="AW1989" s="1015">
        <f>I1989</f>
        <v>5200</v>
      </c>
      <c r="AX1989" s="563">
        <f>I1989</f>
        <v>5200</v>
      </c>
      <c r="AY1989" s="563"/>
      <c r="AZ1989" s="563"/>
      <c r="BA1989" s="1004">
        <f>I1989/24</f>
        <v>216.666666666667</v>
      </c>
      <c r="BB1989" s="1017"/>
      <c r="BC1989" s="563"/>
      <c r="BD1989" s="563"/>
      <c r="BE1989" s="563"/>
      <c r="BF1989" s="563"/>
      <c r="BH1989" s="563"/>
      <c r="BI1989" s="563"/>
      <c r="BJ1989" s="563"/>
      <c r="BK1989" s="563"/>
      <c r="BL1989" s="563"/>
      <c r="BM1989" s="563">
        <f>I1989/13</f>
        <v>400</v>
      </c>
      <c r="BN1989" s="563"/>
      <c r="BO1989" s="563"/>
      <c r="BP1989" s="563"/>
      <c r="BQ1989" s="563"/>
      <c r="BR1989" s="563"/>
      <c r="BS1989" s="563"/>
      <c r="BT1989" s="563"/>
      <c r="BU1989" s="563"/>
      <c r="BV1989" s="563"/>
      <c r="BW1989" s="563"/>
      <c r="BX1989" s="563"/>
      <c r="BY1989" s="563"/>
      <c r="BZ1989" s="563"/>
      <c r="CA1989" s="1066"/>
      <c r="CB1989" s="560"/>
      <c r="CC1989" s="1067"/>
      <c r="CD1989" s="1015"/>
      <c r="CE1989" s="1015"/>
      <c r="CF1989" s="563"/>
      <c r="CG1989" s="563"/>
      <c r="CI1989" s="563"/>
      <c r="CJ1989" s="563"/>
      <c r="CK1989" s="563"/>
      <c r="CL1989" s="563"/>
      <c r="CM1989" s="563"/>
      <c r="CN1989" s="563"/>
      <c r="CO1989" s="563"/>
      <c r="CP1989" s="1015"/>
      <c r="CQ1989" s="1015"/>
      <c r="CR1989" s="563"/>
      <c r="CS1989" s="563"/>
      <c r="CT1989" s="563"/>
      <c r="CU1989" s="687">
        <f t="shared" si="819"/>
        <v>0</v>
      </c>
      <c r="CV1989" s="563">
        <v>0</v>
      </c>
      <c r="CW1989" s="563">
        <v>0</v>
      </c>
      <c r="CX1989" s="1015"/>
      <c r="CY1989" s="1015"/>
      <c r="CZ1989" s="1015"/>
      <c r="DA1989" s="1015"/>
      <c r="DB1989" s="1015"/>
      <c r="DC1989" s="1015"/>
      <c r="DD1989" s="1015"/>
      <c r="DE1989" s="1015"/>
      <c r="DF1989" s="1015"/>
      <c r="DG1989" s="1015"/>
      <c r="DH1989" s="1015"/>
      <c r="DI1989" s="563"/>
    </row>
    <row r="1990" s="558" customFormat="1" ht="31" customHeight="1" spans="1:113">
      <c r="A1990" s="1022">
        <v>46218</v>
      </c>
      <c r="B1990" s="626" t="s">
        <v>1800</v>
      </c>
      <c r="C1990" s="939" t="s">
        <v>744</v>
      </c>
      <c r="D1990" s="1063">
        <v>4500216641</v>
      </c>
      <c r="E1990" s="1031">
        <v>5000002327</v>
      </c>
      <c r="F1990" s="563" t="s">
        <v>10831</v>
      </c>
      <c r="G1990" s="939" t="s">
        <v>6093</v>
      </c>
      <c r="H1990" s="939" t="s">
        <v>6094</v>
      </c>
      <c r="I1990" s="1023">
        <v>13000</v>
      </c>
      <c r="J1990" s="939">
        <v>0</v>
      </c>
      <c r="K1990" s="939">
        <v>13</v>
      </c>
      <c r="L1990" s="1064">
        <f t="shared" si="802"/>
        <v>1000</v>
      </c>
      <c r="M1990" s="1027">
        <v>46262</v>
      </c>
      <c r="N1990" s="1027">
        <v>46258</v>
      </c>
      <c r="O1990" s="1031"/>
      <c r="P1990" s="939"/>
      <c r="Q1990" s="999"/>
      <c r="R1990" s="999" t="s">
        <v>5675</v>
      </c>
      <c r="S1990" s="999" t="s">
        <v>104</v>
      </c>
      <c r="T1990" s="1040" t="s">
        <v>8723</v>
      </c>
      <c r="U1990" s="1039"/>
      <c r="V1990" s="1039"/>
      <c r="W1990" s="603"/>
      <c r="X1990" s="1054" t="s">
        <v>10830</v>
      </c>
      <c r="Y1990" s="1001" t="s">
        <v>1805</v>
      </c>
      <c r="Z1990" s="626">
        <v>0.9145</v>
      </c>
      <c r="AA1990" s="1060">
        <f t="shared" si="822"/>
        <v>11888.5</v>
      </c>
      <c r="AB1990" s="603"/>
      <c r="AC1990" s="1061"/>
      <c r="AD1990" s="939" t="s">
        <v>8338</v>
      </c>
      <c r="AE1990" s="992" t="s">
        <v>82</v>
      </c>
      <c r="AF1990" s="939"/>
      <c r="AG1990" s="939"/>
      <c r="AH1990" s="626"/>
      <c r="AI1990" s="626"/>
      <c r="AJ1990" s="939">
        <f t="shared" si="818"/>
        <v>-13000</v>
      </c>
      <c r="AK1990" s="1031"/>
      <c r="AL1990" s="939" t="s">
        <v>454</v>
      </c>
      <c r="AM1990" s="939"/>
      <c r="AN1990" s="939"/>
      <c r="AO1990" s="563">
        <f>I1990</f>
        <v>13000</v>
      </c>
      <c r="AP1990" s="563"/>
      <c r="AQ1990" s="563"/>
      <c r="AR1990" s="1015"/>
      <c r="AS1990" s="563"/>
      <c r="AT1990" s="563"/>
      <c r="AU1990" s="563"/>
      <c r="AV1990" s="563"/>
      <c r="AW1990" s="1015">
        <f>I1990</f>
        <v>13000</v>
      </c>
      <c r="AX1990" s="563">
        <f>I1990</f>
        <v>13000</v>
      </c>
      <c r="AY1990" s="563"/>
      <c r="AZ1990" s="563"/>
      <c r="BA1990" s="1004">
        <f>I1990/24</f>
        <v>541.666666666667</v>
      </c>
      <c r="BB1990" s="1017"/>
      <c r="BC1990" s="563"/>
      <c r="BD1990" s="563"/>
      <c r="BE1990" s="563"/>
      <c r="BF1990" s="563"/>
      <c r="BH1990" s="563"/>
      <c r="BI1990" s="563"/>
      <c r="BJ1990" s="563"/>
      <c r="BK1990" s="563"/>
      <c r="BL1990" s="563"/>
      <c r="BM1990" s="563">
        <f>I1990/13</f>
        <v>1000</v>
      </c>
      <c r="BN1990" s="563"/>
      <c r="BO1990" s="563"/>
      <c r="BP1990" s="563"/>
      <c r="BQ1990" s="563"/>
      <c r="BR1990" s="563"/>
      <c r="BS1990" s="563"/>
      <c r="BT1990" s="563"/>
      <c r="BU1990" s="563"/>
      <c r="BV1990" s="563"/>
      <c r="BW1990" s="563"/>
      <c r="BX1990" s="563"/>
      <c r="BY1990" s="563"/>
      <c r="BZ1990" s="563"/>
      <c r="CA1990" s="1066"/>
      <c r="CB1990" s="560"/>
      <c r="CC1990" s="1067"/>
      <c r="CD1990" s="1015"/>
      <c r="CE1990" s="1015"/>
      <c r="CF1990" s="563"/>
      <c r="CG1990" s="563"/>
      <c r="CI1990" s="563"/>
      <c r="CJ1990" s="563"/>
      <c r="CK1990" s="563"/>
      <c r="CL1990" s="563"/>
      <c r="CM1990" s="563"/>
      <c r="CN1990" s="563"/>
      <c r="CO1990" s="563"/>
      <c r="CP1990" s="1015"/>
      <c r="CQ1990" s="1015"/>
      <c r="CR1990" s="563"/>
      <c r="CS1990" s="563"/>
      <c r="CT1990" s="563"/>
      <c r="CU1990" s="687">
        <f t="shared" si="819"/>
        <v>0</v>
      </c>
      <c r="CV1990" s="563">
        <v>0</v>
      </c>
      <c r="CW1990" s="563">
        <v>0</v>
      </c>
      <c r="CX1990" s="1015"/>
      <c r="CY1990" s="1015"/>
      <c r="CZ1990" s="1015"/>
      <c r="DA1990" s="1015"/>
      <c r="DB1990" s="1015"/>
      <c r="DC1990" s="1015"/>
      <c r="DD1990" s="1015"/>
      <c r="DE1990" s="1015"/>
      <c r="DF1990" s="1015"/>
      <c r="DG1990" s="1015"/>
      <c r="DH1990" s="1015"/>
      <c r="DI1990" s="563"/>
    </row>
    <row r="1991" s="558" customFormat="1" ht="31" customHeight="1" spans="1:113">
      <c r="A1991" s="991">
        <v>46218</v>
      </c>
      <c r="B1991" s="601" t="s">
        <v>3321</v>
      </c>
      <c r="C1991" s="992" t="s">
        <v>302</v>
      </c>
      <c r="D1991" s="993">
        <v>4500216548</v>
      </c>
      <c r="E1991" s="994">
        <v>4400584669</v>
      </c>
      <c r="F1991" s="586" t="s">
        <v>10832</v>
      </c>
      <c r="G1991" s="992" t="s">
        <v>6047</v>
      </c>
      <c r="H1991" s="992" t="s">
        <v>6069</v>
      </c>
      <c r="I1991" s="995">
        <v>2800</v>
      </c>
      <c r="J1991" s="992">
        <v>0</v>
      </c>
      <c r="K1991" s="996">
        <v>25</v>
      </c>
      <c r="L1991" s="997">
        <f t="shared" si="802"/>
        <v>112</v>
      </c>
      <c r="M1991" s="998">
        <v>46262</v>
      </c>
      <c r="N1991" s="1079">
        <v>46258</v>
      </c>
      <c r="O1991" s="994"/>
      <c r="P1991" s="992"/>
      <c r="Q1991" s="584"/>
      <c r="R1991" s="584">
        <v>46218</v>
      </c>
      <c r="S1991" s="999" t="s">
        <v>70</v>
      </c>
      <c r="T1991" s="584" t="s">
        <v>8219</v>
      </c>
      <c r="U1991" s="1109"/>
      <c r="V1991" s="243" t="s">
        <v>5396</v>
      </c>
      <c r="W1991" s="585"/>
      <c r="X1991" s="601" t="s">
        <v>10833</v>
      </c>
      <c r="Y1991" s="1000" t="s">
        <v>5054</v>
      </c>
      <c r="Z1991" s="601">
        <v>0.958</v>
      </c>
      <c r="AA1991" s="1000">
        <f t="shared" si="822"/>
        <v>2682.4</v>
      </c>
      <c r="AB1991" s="585"/>
      <c r="AC1991" s="1002"/>
      <c r="AD1991" s="939" t="s">
        <v>6047</v>
      </c>
      <c r="AE1991" s="992" t="s">
        <v>82</v>
      </c>
      <c r="AF1991" s="992"/>
      <c r="AG1991" s="992"/>
      <c r="AH1991" s="601"/>
      <c r="AI1991" s="626"/>
      <c r="AJ1991" s="939">
        <f t="shared" si="818"/>
        <v>-2800</v>
      </c>
      <c r="AK1991" s="994"/>
      <c r="AL1991" s="992" t="s">
        <v>2368</v>
      </c>
      <c r="AM1991" s="992"/>
      <c r="AN1991" s="992"/>
      <c r="AO1991" s="586">
        <f>I1991</f>
        <v>2800</v>
      </c>
      <c r="AP1991" s="586"/>
      <c r="AQ1991" s="586"/>
      <c r="AR1991" s="1003"/>
      <c r="AS1991" s="586"/>
      <c r="AT1991" s="562">
        <f>I1991</f>
        <v>2800</v>
      </c>
      <c r="AU1991" s="563"/>
      <c r="AV1991" s="563">
        <f>I1991</f>
        <v>2800</v>
      </c>
      <c r="AW1991" s="586"/>
      <c r="AX1991" s="1049"/>
      <c r="AY1991" s="586"/>
      <c r="AZ1991" s="586"/>
      <c r="BA1991" s="586"/>
      <c r="BB1991" s="1017">
        <f>I1991/24</f>
        <v>116.666666666667</v>
      </c>
      <c r="BC1991" s="586"/>
      <c r="BD1991" s="586"/>
      <c r="BE1991" s="586"/>
      <c r="BF1991" s="1005"/>
      <c r="BG1991" s="561"/>
      <c r="BH1991" s="1006"/>
      <c r="BI1991" s="586"/>
      <c r="BJ1991" s="586"/>
      <c r="BK1991" s="586"/>
      <c r="BL1991" s="586"/>
      <c r="BM1991" s="586"/>
      <c r="BN1991" s="586"/>
      <c r="BO1991" s="586"/>
      <c r="BP1991" s="563">
        <f>I1991/25</f>
        <v>112</v>
      </c>
      <c r="BQ1991" s="586"/>
      <c r="BR1991" s="586"/>
      <c r="BS1991" s="586"/>
      <c r="BT1991" s="586"/>
      <c r="BU1991" s="586"/>
      <c r="BV1991" s="586"/>
      <c r="BW1991" s="586"/>
      <c r="BX1991" s="586"/>
      <c r="BY1991" s="586"/>
      <c r="BZ1991" s="586"/>
      <c r="CA1991" s="1007"/>
      <c r="CB1991" s="560"/>
      <c r="CC1991" s="1006"/>
      <c r="CD1991" s="586"/>
      <c r="CE1991" s="586"/>
      <c r="CF1991" s="586"/>
      <c r="CG1991" s="1005"/>
      <c r="CH1991" s="561"/>
      <c r="CI1991" s="1006"/>
      <c r="CJ1991" s="586"/>
      <c r="CK1991" s="586"/>
      <c r="CL1991" s="586"/>
      <c r="CM1991" s="586"/>
      <c r="CN1991" s="586"/>
      <c r="CO1991" s="586"/>
      <c r="CP1991" s="1003"/>
      <c r="CQ1991" s="1003"/>
      <c r="CR1991" s="586"/>
      <c r="CS1991" s="586"/>
      <c r="CT1991" s="586"/>
      <c r="CU1991" s="563">
        <f t="shared" si="819"/>
        <v>112</v>
      </c>
      <c r="CV1991" s="563">
        <f>CK1991+CL1991+CM1991+CN1991+CO1991+CQ1991+CP1991</f>
        <v>0</v>
      </c>
      <c r="CW1991" s="563">
        <f>CI1991+CJ1991</f>
        <v>0</v>
      </c>
      <c r="CX1991" s="1003"/>
      <c r="CY1991" s="1003"/>
      <c r="CZ1991" s="1003"/>
      <c r="DA1991" s="1003"/>
      <c r="DB1991" s="1003"/>
      <c r="DC1991" s="1003"/>
      <c r="DD1991" s="1003"/>
      <c r="DE1991" s="1003"/>
      <c r="DF1991" s="1003"/>
      <c r="DG1991" s="1003"/>
      <c r="DH1991" s="1003"/>
    </row>
    <row r="1992" s="558" customFormat="1" ht="31" customHeight="1" spans="1:113">
      <c r="A1992" s="991">
        <v>46218</v>
      </c>
      <c r="B1992" s="601" t="s">
        <v>3321</v>
      </c>
      <c r="C1992" s="992" t="s">
        <v>302</v>
      </c>
      <c r="D1992" s="993">
        <v>4500216548</v>
      </c>
      <c r="E1992" s="994">
        <v>4400584670</v>
      </c>
      <c r="F1992" s="586" t="s">
        <v>10834</v>
      </c>
      <c r="G1992" s="992" t="s">
        <v>6047</v>
      </c>
      <c r="H1992" s="992" t="s">
        <v>6069</v>
      </c>
      <c r="I1992" s="995">
        <v>1200</v>
      </c>
      <c r="J1992" s="992">
        <v>0</v>
      </c>
      <c r="K1992" s="996">
        <v>25</v>
      </c>
      <c r="L1992" s="997">
        <f t="shared" si="802"/>
        <v>48</v>
      </c>
      <c r="M1992" s="998">
        <v>46262</v>
      </c>
      <c r="N1992" s="1079">
        <v>46258</v>
      </c>
      <c r="O1992" s="994"/>
      <c r="P1992" s="992"/>
      <c r="Q1992" s="584"/>
      <c r="R1992" s="584">
        <v>46218</v>
      </c>
      <c r="S1992" s="999" t="s">
        <v>70</v>
      </c>
      <c r="T1992" s="584" t="s">
        <v>8219</v>
      </c>
      <c r="U1992" s="584"/>
      <c r="V1992" s="243" t="s">
        <v>5396</v>
      </c>
      <c r="W1992" s="585"/>
      <c r="X1992" s="601" t="s">
        <v>10833</v>
      </c>
      <c r="Y1992" s="1000" t="s">
        <v>5054</v>
      </c>
      <c r="Z1992" s="601">
        <v>0.958</v>
      </c>
      <c r="AA1992" s="1000">
        <f t="shared" si="822"/>
        <v>1149.6</v>
      </c>
      <c r="AB1992" s="585"/>
      <c r="AC1992" s="1002"/>
      <c r="AD1992" s="939" t="s">
        <v>6047</v>
      </c>
      <c r="AE1992" s="992" t="s">
        <v>82</v>
      </c>
      <c r="AF1992" s="992"/>
      <c r="AG1992" s="992"/>
      <c r="AH1992" s="601"/>
      <c r="AI1992" s="626"/>
      <c r="AJ1992" s="939">
        <f t="shared" si="818"/>
        <v>-1200</v>
      </c>
      <c r="AK1992" s="994"/>
      <c r="AL1992" s="992" t="s">
        <v>2368</v>
      </c>
      <c r="AM1992" s="992"/>
      <c r="AN1992" s="992"/>
      <c r="AO1992" s="586">
        <f>I1992</f>
        <v>1200</v>
      </c>
      <c r="AP1992" s="586"/>
      <c r="AQ1992" s="586"/>
      <c r="AR1992" s="1003"/>
      <c r="AS1992" s="586"/>
      <c r="AT1992" s="562">
        <f>I1992</f>
        <v>1200</v>
      </c>
      <c r="AU1992" s="563"/>
      <c r="AV1992" s="563">
        <f>I1992</f>
        <v>1200</v>
      </c>
      <c r="AW1992" s="586"/>
      <c r="AX1992" s="1049"/>
      <c r="AY1992" s="586"/>
      <c r="AZ1992" s="586"/>
      <c r="BA1992" s="586"/>
      <c r="BB1992" s="1017">
        <f>I1992/24</f>
        <v>50</v>
      </c>
      <c r="BC1992" s="586"/>
      <c r="BD1992" s="586"/>
      <c r="BE1992" s="586"/>
      <c r="BF1992" s="1005"/>
      <c r="BG1992" s="561"/>
      <c r="BH1992" s="1006"/>
      <c r="BI1992" s="586"/>
      <c r="BJ1992" s="586"/>
      <c r="BK1992" s="586"/>
      <c r="BL1992" s="586"/>
      <c r="BM1992" s="586"/>
      <c r="BN1992" s="586"/>
      <c r="BO1992" s="586"/>
      <c r="BP1992" s="563">
        <f>I1992/25</f>
        <v>48</v>
      </c>
      <c r="BQ1992" s="586"/>
      <c r="BR1992" s="586"/>
      <c r="BS1992" s="586"/>
      <c r="BT1992" s="586"/>
      <c r="BU1992" s="586"/>
      <c r="BV1992" s="586"/>
      <c r="BW1992" s="586"/>
      <c r="BX1992" s="586"/>
      <c r="BY1992" s="586"/>
      <c r="BZ1992" s="586"/>
      <c r="CA1992" s="1007"/>
      <c r="CB1992" s="560"/>
      <c r="CC1992" s="1006"/>
      <c r="CD1992" s="586"/>
      <c r="CE1992" s="586"/>
      <c r="CF1992" s="586"/>
      <c r="CG1992" s="1005"/>
      <c r="CH1992" s="561"/>
      <c r="CI1992" s="1006"/>
      <c r="CJ1992" s="586"/>
      <c r="CK1992" s="586"/>
      <c r="CL1992" s="586"/>
      <c r="CM1992" s="586"/>
      <c r="CN1992" s="586"/>
      <c r="CO1992" s="586"/>
      <c r="CP1992" s="1003"/>
      <c r="CQ1992" s="1003"/>
      <c r="CR1992" s="586"/>
      <c r="CS1992" s="586"/>
      <c r="CT1992" s="586"/>
      <c r="CU1992" s="563">
        <f t="shared" si="819"/>
        <v>48</v>
      </c>
      <c r="CV1992" s="563">
        <f>CK1992+CL1992+CM1992+CN1992+CO1992+CQ1992+CP1992</f>
        <v>0</v>
      </c>
      <c r="CW1992" s="563">
        <f>CI1992+CJ1992</f>
        <v>0</v>
      </c>
      <c r="CX1992" s="1003"/>
      <c r="CY1992" s="1003"/>
      <c r="CZ1992" s="1003"/>
      <c r="DA1992" s="1003"/>
      <c r="DB1992" s="1003"/>
      <c r="DC1992" s="1003"/>
      <c r="DD1992" s="1003"/>
      <c r="DE1992" s="1003"/>
      <c r="DF1992" s="1003"/>
      <c r="DG1992" s="1003"/>
      <c r="DH1992" s="1003"/>
    </row>
    <row r="1993" s="558" customFormat="1" ht="31" customHeight="1" spans="1:113">
      <c r="A1993" s="991">
        <v>46218</v>
      </c>
      <c r="B1993" s="601" t="s">
        <v>1800</v>
      </c>
      <c r="C1993" s="992" t="s">
        <v>744</v>
      </c>
      <c r="D1993" s="993">
        <v>4500216641</v>
      </c>
      <c r="E1993" s="994">
        <v>5000002327</v>
      </c>
      <c r="F1993" s="586" t="s">
        <v>5674</v>
      </c>
      <c r="G1993" s="992" t="s">
        <v>6337</v>
      </c>
      <c r="H1993" s="992" t="s">
        <v>477</v>
      </c>
      <c r="I1993" s="995">
        <v>1800</v>
      </c>
      <c r="J1993" s="992">
        <v>0</v>
      </c>
      <c r="K1993" s="996">
        <v>6</v>
      </c>
      <c r="L1993" s="997">
        <f t="shared" si="802"/>
        <v>300</v>
      </c>
      <c r="M1993" s="998">
        <v>46262</v>
      </c>
      <c r="N1993" s="225" t="s">
        <v>5500</v>
      </c>
      <c r="O1993" s="994"/>
      <c r="P1993" s="992"/>
      <c r="Q1993" s="584"/>
      <c r="R1993" s="999" t="s">
        <v>5675</v>
      </c>
      <c r="S1993" s="999" t="s">
        <v>104</v>
      </c>
      <c r="T1993" s="1040" t="s">
        <v>2239</v>
      </c>
      <c r="U1993" s="1039"/>
      <c r="V1993" s="1039"/>
      <c r="W1993" s="603"/>
      <c r="X1993" s="604" t="s">
        <v>5676</v>
      </c>
      <c r="Y1993" s="1000" t="s">
        <v>1805</v>
      </c>
      <c r="Z1993" s="601">
        <v>7.0792</v>
      </c>
      <c r="AA1993" s="1060">
        <f t="shared" si="822"/>
        <v>12742.56</v>
      </c>
      <c r="AB1993" s="560"/>
      <c r="AC1993" s="1062"/>
      <c r="AD1993" s="939" t="s">
        <v>2241</v>
      </c>
      <c r="AE1993" s="992" t="s">
        <v>82</v>
      </c>
      <c r="AF1993" s="992"/>
      <c r="AG1993" s="992"/>
      <c r="AH1993" s="601"/>
      <c r="AI1993" s="626"/>
      <c r="AJ1993" s="939">
        <f t="shared" si="818"/>
        <v>-1800</v>
      </c>
      <c r="AK1993" s="994"/>
      <c r="AL1993" s="992"/>
      <c r="AM1993" s="992"/>
      <c r="AN1993" s="992"/>
      <c r="AO1993" s="563">
        <f>I1993*2</f>
        <v>3600</v>
      </c>
      <c r="AP1993" s="586"/>
      <c r="AQ1993" s="586"/>
      <c r="AR1993" s="1003"/>
      <c r="AS1993" s="586"/>
      <c r="AT1993" s="563">
        <f>I1993*2</f>
        <v>3600</v>
      </c>
      <c r="AU1993" s="586"/>
      <c r="AV1993" s="563"/>
      <c r="AW1993" s="586"/>
      <c r="AX1993" s="563">
        <f>I1993*2</f>
        <v>3600</v>
      </c>
      <c r="AY1993" s="586"/>
      <c r="AZ1993" s="586"/>
      <c r="BA1993" s="1004">
        <f>I1993/24*2</f>
        <v>150</v>
      </c>
      <c r="BB1993" s="1017">
        <f>I1993/24*2</f>
        <v>150</v>
      </c>
      <c r="BC1993" s="586"/>
      <c r="BD1993" s="586"/>
      <c r="BE1993" s="586"/>
      <c r="BF1993" s="1005"/>
      <c r="BG1993" s="561"/>
      <c r="BH1993" s="1006"/>
      <c r="BI1993" s="586"/>
      <c r="BJ1993" s="586"/>
      <c r="BK1993" s="586"/>
      <c r="BL1993" s="586"/>
      <c r="BM1993" s="586"/>
      <c r="BN1993" s="586"/>
      <c r="BO1993" s="586"/>
      <c r="BP1993" s="586"/>
      <c r="BQ1993" s="586"/>
      <c r="BR1993" s="586"/>
      <c r="BS1993" s="586"/>
      <c r="BT1993" s="586"/>
      <c r="BU1993" s="586"/>
      <c r="BV1993" s="586"/>
      <c r="BW1993" s="586"/>
      <c r="BX1993" s="586"/>
      <c r="BY1993" s="586"/>
      <c r="BZ1993" s="563">
        <f>I1993</f>
        <v>1800</v>
      </c>
      <c r="CA1993" s="1007"/>
      <c r="CB1993" s="560"/>
      <c r="CC1993" s="1006"/>
      <c r="CD1993" s="586"/>
      <c r="CE1993" s="586"/>
      <c r="CF1993" s="586"/>
      <c r="CG1993" s="1005"/>
      <c r="CH1993" s="561"/>
      <c r="CI1993" s="1006"/>
      <c r="CJ1993" s="586"/>
      <c r="CK1993" s="586"/>
      <c r="CL1993" s="586"/>
      <c r="CM1993" s="586"/>
      <c r="CN1993" s="586"/>
      <c r="CO1993" s="586"/>
      <c r="CP1993" s="1003"/>
      <c r="CQ1993" s="1003"/>
      <c r="CR1993" s="586"/>
      <c r="CS1993" s="586"/>
      <c r="CT1993" s="586"/>
      <c r="CU1993" s="687">
        <f t="shared" si="819"/>
        <v>0</v>
      </c>
      <c r="CV1993" s="563">
        <v>0</v>
      </c>
      <c r="CW1993" s="563">
        <v>0</v>
      </c>
      <c r="CX1993" s="1003"/>
      <c r="CY1993" s="1003"/>
      <c r="CZ1993" s="1003"/>
      <c r="DA1993" s="1003"/>
      <c r="DB1993" s="1003"/>
      <c r="DC1993" s="1003"/>
      <c r="DD1993" s="1003"/>
      <c r="DE1993" s="1003"/>
      <c r="DF1993" s="1003"/>
      <c r="DG1993" s="1003"/>
      <c r="DH1993" s="1003"/>
    </row>
    <row r="1994" s="547" customFormat="1" ht="31" customHeight="1" spans="1:113">
      <c r="A1994" s="1022">
        <v>46206</v>
      </c>
      <c r="B1994" s="626" t="s">
        <v>4371</v>
      </c>
      <c r="C1994" s="939" t="s">
        <v>98</v>
      </c>
      <c r="D1994" s="1063">
        <v>4500215020</v>
      </c>
      <c r="E1994" s="1031">
        <v>1003607742</v>
      </c>
      <c r="F1994" s="563" t="s">
        <v>10835</v>
      </c>
      <c r="G1994" s="939" t="s">
        <v>6063</v>
      </c>
      <c r="H1994" s="939" t="s">
        <v>6064</v>
      </c>
      <c r="I1994" s="1023">
        <v>6960</v>
      </c>
      <c r="J1994" s="939">
        <v>0</v>
      </c>
      <c r="K1994" s="939">
        <v>16</v>
      </c>
      <c r="L1994" s="1064">
        <f t="shared" si="802"/>
        <v>435</v>
      </c>
      <c r="M1994" s="1027">
        <v>46263</v>
      </c>
      <c r="N1994" s="1027">
        <v>46259</v>
      </c>
      <c r="O1994" s="1028" t="s">
        <v>5639</v>
      </c>
      <c r="P1994" s="939"/>
      <c r="Q1994" s="999"/>
      <c r="R1994" s="1039" t="s">
        <v>9889</v>
      </c>
      <c r="S1994" s="1039" t="s">
        <v>70</v>
      </c>
      <c r="T1994" s="1039" t="s">
        <v>10687</v>
      </c>
      <c r="U1994" s="1040"/>
      <c r="V1994" s="1040"/>
      <c r="W1994" s="603"/>
      <c r="X1994" s="1054" t="s">
        <v>10688</v>
      </c>
      <c r="Y1994" s="1001" t="s">
        <v>5133</v>
      </c>
      <c r="Z1994" s="626">
        <v>0.6301</v>
      </c>
      <c r="AA1994" s="1042">
        <f t="shared" si="822"/>
        <v>4385.496</v>
      </c>
      <c r="AB1994" s="570"/>
      <c r="AC1994" s="1030"/>
      <c r="AD1994" s="1035" t="s">
        <v>6063</v>
      </c>
      <c r="AE1994" s="1035" t="s">
        <v>82</v>
      </c>
      <c r="AF1994" s="939"/>
      <c r="AG1994" s="939"/>
      <c r="AH1994" s="626"/>
      <c r="AI1994" s="609"/>
      <c r="AJ1994" s="939">
        <f t="shared" si="818"/>
        <v>-6960</v>
      </c>
      <c r="AK1994" s="1031"/>
      <c r="AL1994" s="939" t="s">
        <v>2368</v>
      </c>
      <c r="AM1994" s="939"/>
      <c r="AN1994" s="939">
        <f>I1994</f>
        <v>6960</v>
      </c>
      <c r="AO1994" s="563"/>
      <c r="AP1994" s="560">
        <f>I1994</f>
        <v>6960</v>
      </c>
      <c r="AQ1994" s="563"/>
      <c r="AR1994" s="1015"/>
      <c r="AS1994" s="563"/>
      <c r="AT1994" s="563"/>
      <c r="AU1994" s="560">
        <f>I1994</f>
        <v>6960</v>
      </c>
      <c r="AV1994" s="563"/>
      <c r="AW1994" s="563"/>
      <c r="AX1994" s="1004"/>
      <c r="AY1994" s="563"/>
      <c r="AZ1994" s="563"/>
      <c r="BA1994" s="563"/>
      <c r="BB1994" s="1116">
        <f>I1994/24</f>
        <v>290</v>
      </c>
      <c r="BC1994" s="563"/>
      <c r="BD1994" s="563"/>
      <c r="BE1994" s="563"/>
      <c r="BF1994" s="563"/>
      <c r="BG1994" s="547"/>
      <c r="BH1994" s="563"/>
      <c r="BI1994" s="563"/>
      <c r="BJ1994" s="563"/>
      <c r="BK1994" s="563"/>
      <c r="BL1994" s="563"/>
      <c r="BM1994" s="563"/>
      <c r="BN1994" s="563"/>
      <c r="BO1994" s="563"/>
      <c r="BP1994" s="563"/>
      <c r="BQ1994" s="560">
        <f>I1994/16</f>
        <v>435</v>
      </c>
      <c r="BR1994" s="563"/>
      <c r="BS1994" s="563"/>
      <c r="BT1994" s="563"/>
      <c r="BU1994" s="563"/>
      <c r="BV1994" s="563"/>
      <c r="BW1994" s="563"/>
      <c r="BX1994" s="563"/>
      <c r="BY1994" s="563"/>
      <c r="BZ1994" s="563"/>
      <c r="CA1994" s="1066"/>
      <c r="CB1994" s="560"/>
      <c r="CC1994" s="1067"/>
      <c r="CD1994" s="1015"/>
      <c r="CE1994" s="1015"/>
      <c r="CF1994" s="563"/>
      <c r="CG1994" s="563"/>
      <c r="CH1994" s="547"/>
      <c r="CI1994" s="563"/>
      <c r="CJ1994" s="563"/>
      <c r="CK1994" s="563"/>
      <c r="CL1994" s="563"/>
      <c r="CM1994" s="563"/>
      <c r="CN1994" s="563"/>
      <c r="CO1994" s="563"/>
      <c r="CP1994" s="1015"/>
      <c r="CQ1994" s="1015"/>
      <c r="CR1994" s="563"/>
      <c r="CS1994" s="563"/>
      <c r="CT1994" s="563"/>
      <c r="CU1994" s="563">
        <f t="shared" si="819"/>
        <v>435</v>
      </c>
      <c r="CV1994" s="563">
        <f t="shared" ref="CV1994:CV2010" si="823">CK1994+CL1994+CM1994+CN1994+CO1994+CQ1994+CP1994</f>
        <v>0</v>
      </c>
      <c r="CW1994" s="563">
        <f t="shared" ref="CW1994:CW2010" si="824">CI1994+CJ1994</f>
        <v>0</v>
      </c>
      <c r="CX1994" s="1015"/>
      <c r="CY1994" s="1015"/>
      <c r="CZ1994" s="1015"/>
      <c r="DA1994" s="1015"/>
      <c r="DB1994" s="1015"/>
      <c r="DC1994" s="1015"/>
      <c r="DD1994" s="1015"/>
      <c r="DE1994" s="1015"/>
      <c r="DF1994" s="1015"/>
      <c r="DG1994" s="1015"/>
      <c r="DH1994" s="1015"/>
      <c r="DI1994" s="563"/>
    </row>
    <row r="1995" s="560" customFormat="1" ht="31" customHeight="1" spans="1:113">
      <c r="A1995" s="1034">
        <v>46216</v>
      </c>
      <c r="B1995" s="603" t="s">
        <v>4371</v>
      </c>
      <c r="C1995" s="1035" t="s">
        <v>98</v>
      </c>
      <c r="D1995" s="1112">
        <v>4500216256</v>
      </c>
      <c r="E1995" s="1043">
        <v>1007021921</v>
      </c>
      <c r="F1995" s="560" t="s">
        <v>10836</v>
      </c>
      <c r="G1995" s="1035" t="s">
        <v>6063</v>
      </c>
      <c r="H1995" s="1035" t="s">
        <v>6064</v>
      </c>
      <c r="I1995" s="1036">
        <v>4320</v>
      </c>
      <c r="J1995" s="1035">
        <v>0</v>
      </c>
      <c r="K1995" s="1035">
        <v>16</v>
      </c>
      <c r="L1995" s="1025">
        <f t="shared" si="802"/>
        <v>270</v>
      </c>
      <c r="M1995" s="1037">
        <v>46265</v>
      </c>
      <c r="N1995" s="1027">
        <v>46259</v>
      </c>
      <c r="O1995" s="1115" t="s">
        <v>10837</v>
      </c>
      <c r="P1995" s="1035"/>
      <c r="Q1995" s="1039"/>
      <c r="R1995" s="1039" t="s">
        <v>9889</v>
      </c>
      <c r="S1995" s="1039" t="s">
        <v>70</v>
      </c>
      <c r="T1995" s="1039" t="s">
        <v>10687</v>
      </c>
      <c r="U1995" s="1039"/>
      <c r="V1995" s="1039"/>
      <c r="W1995" s="603"/>
      <c r="X1995" s="603" t="s">
        <v>10838</v>
      </c>
      <c r="Y1995" s="1042" t="s">
        <v>4378</v>
      </c>
      <c r="Z1995" s="603">
        <v>0.6217</v>
      </c>
      <c r="AA1995" s="1042">
        <f t="shared" si="822"/>
        <v>2685.744</v>
      </c>
      <c r="AB1995" s="603"/>
      <c r="AC1995" s="1030"/>
      <c r="AD1995" s="1035" t="s">
        <v>6063</v>
      </c>
      <c r="AE1995" s="1035" t="s">
        <v>82</v>
      </c>
      <c r="AF1995" s="1035"/>
      <c r="AG1995" s="1035"/>
      <c r="AH1995" s="603"/>
      <c r="AI1995" s="609"/>
      <c r="AJ1995" s="939">
        <f t="shared" si="818"/>
        <v>-4320</v>
      </c>
      <c r="AK1995" s="1043"/>
      <c r="AL1995" s="1035" t="s">
        <v>2368</v>
      </c>
      <c r="AM1995" s="1035"/>
      <c r="AN1995" s="1035">
        <f>I1995</f>
        <v>4320</v>
      </c>
      <c r="AP1995" s="560">
        <f>I1995</f>
        <v>4320</v>
      </c>
      <c r="AR1995" s="1044"/>
      <c r="AS1995" s="560"/>
      <c r="AT1995" s="560"/>
      <c r="AU1995" s="560">
        <f>I1995</f>
        <v>4320</v>
      </c>
      <c r="AV1995" s="1148"/>
      <c r="AW1995" s="560"/>
      <c r="AX1995" s="1045"/>
      <c r="AY1995" s="560"/>
      <c r="AZ1995" s="560"/>
      <c r="BA1995" s="560"/>
      <c r="BB1995" s="1116">
        <f>I1995/24</f>
        <v>180</v>
      </c>
      <c r="BQ1995" s="560">
        <f>I1995/16</f>
        <v>270</v>
      </c>
      <c r="CA1995" s="1044"/>
      <c r="CP1995" s="1044"/>
      <c r="CQ1995" s="1044"/>
      <c r="CR1995" s="560"/>
      <c r="CS1995" s="560"/>
      <c r="CT1995" s="560"/>
      <c r="CU1995" s="563">
        <f t="shared" si="819"/>
        <v>270</v>
      </c>
      <c r="CV1995" s="563">
        <f t="shared" si="823"/>
        <v>0</v>
      </c>
      <c r="CW1995" s="563">
        <f t="shared" si="824"/>
        <v>0</v>
      </c>
      <c r="CX1995" s="1044"/>
      <c r="CY1995" s="1044"/>
      <c r="CZ1995" s="1044"/>
      <c r="DA1995" s="1044"/>
      <c r="DB1995" s="1044"/>
      <c r="DC1995" s="1044"/>
      <c r="DD1995" s="1044"/>
      <c r="DE1995" s="1044"/>
      <c r="DF1995" s="1044"/>
      <c r="DG1995" s="1044"/>
      <c r="DH1995" s="1044"/>
    </row>
    <row r="1996" s="547" customFormat="1" ht="31" customHeight="1" spans="1:113">
      <c r="A1996" s="991">
        <v>46189</v>
      </c>
      <c r="B1996" s="601" t="s">
        <v>169</v>
      </c>
      <c r="C1996" s="992" t="s">
        <v>170</v>
      </c>
      <c r="D1996" s="993">
        <v>4500212527</v>
      </c>
      <c r="E1996" s="994">
        <v>7000995953</v>
      </c>
      <c r="F1996" s="586" t="s">
        <v>5684</v>
      </c>
      <c r="G1996" s="992" t="s">
        <v>10565</v>
      </c>
      <c r="H1996" s="939" t="s">
        <v>477</v>
      </c>
      <c r="I1996" s="995">
        <v>16838</v>
      </c>
      <c r="J1996" s="992">
        <v>0</v>
      </c>
      <c r="K1996" s="996">
        <v>2</v>
      </c>
      <c r="L1996" s="997">
        <f t="shared" si="802"/>
        <v>8419</v>
      </c>
      <c r="M1996" s="998">
        <v>46265</v>
      </c>
      <c r="N1996" s="1027">
        <v>46259</v>
      </c>
      <c r="O1996" s="1055" t="s">
        <v>5685</v>
      </c>
      <c r="P1996" s="992"/>
      <c r="Q1996" s="584"/>
      <c r="R1996" s="999">
        <v>46209</v>
      </c>
      <c r="S1996" s="999" t="s">
        <v>70</v>
      </c>
      <c r="T1996" s="999" t="s">
        <v>5608</v>
      </c>
      <c r="U1996" s="584"/>
      <c r="V1996" s="584"/>
      <c r="W1996" s="626" t="s">
        <v>10839</v>
      </c>
      <c r="X1996" s="1075" t="s">
        <v>10840</v>
      </c>
      <c r="Y1996" s="1000" t="s">
        <v>2071</v>
      </c>
      <c r="Z1996" s="601">
        <v>6.27</v>
      </c>
      <c r="AA1996" s="1000">
        <f t="shared" si="822"/>
        <v>105574.26</v>
      </c>
      <c r="AB1996" s="626" t="s">
        <v>5611</v>
      </c>
      <c r="AC1996" s="1002"/>
      <c r="AD1996" s="939" t="s">
        <v>5300</v>
      </c>
      <c r="AE1996" s="992" t="s">
        <v>82</v>
      </c>
      <c r="AF1996" s="992"/>
      <c r="AG1996" s="992"/>
      <c r="AH1996" s="601"/>
      <c r="AI1996" s="609"/>
      <c r="AJ1996" s="939">
        <f t="shared" si="818"/>
        <v>-16838</v>
      </c>
      <c r="AK1996" s="994"/>
      <c r="AL1996" s="992"/>
      <c r="AM1996" s="992"/>
      <c r="AN1996" s="992">
        <f>I1996*2</f>
        <v>33676</v>
      </c>
      <c r="AO1996" s="586"/>
      <c r="AP1996" s="557"/>
      <c r="AQ1996" s="586">
        <f>I1996*2</f>
        <v>33676</v>
      </c>
      <c r="AR1996" s="1003"/>
      <c r="AS1996" s="586"/>
      <c r="AT1996" s="586"/>
      <c r="AU1996" s="563">
        <f>I1996*2</f>
        <v>33676</v>
      </c>
      <c r="AV1996" s="586"/>
      <c r="AW1996" s="586"/>
      <c r="AX1996" s="1049"/>
      <c r="AY1996" s="586"/>
      <c r="AZ1996" s="586"/>
      <c r="BA1996" s="586"/>
      <c r="BB1996" s="1017">
        <f>I1996/24*2</f>
        <v>1403.16666666667</v>
      </c>
      <c r="BC1996" s="586"/>
      <c r="BD1996" s="586"/>
      <c r="BE1996" s="586"/>
      <c r="BF1996" s="1005"/>
      <c r="BG1996" s="561"/>
      <c r="BH1996" s="1006"/>
      <c r="BI1996" s="586"/>
      <c r="BJ1996" s="586"/>
      <c r="BK1996" s="586"/>
      <c r="BL1996" s="586"/>
      <c r="BM1996" s="586"/>
      <c r="BN1996" s="586"/>
      <c r="BO1996" s="586"/>
      <c r="BP1996" s="586"/>
      <c r="BQ1996" s="586"/>
      <c r="BR1996" s="586"/>
      <c r="BS1996" s="586"/>
      <c r="BT1996" s="586"/>
      <c r="BU1996" s="586"/>
      <c r="BV1996" s="586"/>
      <c r="BW1996" s="586"/>
      <c r="BX1996" s="586"/>
      <c r="BY1996" s="586"/>
      <c r="BZ1996" s="586"/>
      <c r="CA1996" s="1066"/>
      <c r="CB1996" s="1071">
        <f>I1996</f>
        <v>16838</v>
      </c>
      <c r="CC1996" s="1006"/>
      <c r="CD1996" s="586"/>
      <c r="CE1996" s="586"/>
      <c r="CF1996" s="586"/>
      <c r="CG1996" s="1005"/>
      <c r="CH1996" s="561"/>
      <c r="CI1996" s="1006"/>
      <c r="CJ1996" s="586"/>
      <c r="CK1996" s="586"/>
      <c r="CL1996" s="586"/>
      <c r="CM1996" s="586"/>
      <c r="CN1996" s="586"/>
      <c r="CO1996" s="586"/>
      <c r="CP1996" s="1003"/>
      <c r="CQ1996" s="1003"/>
      <c r="CR1996" s="586"/>
      <c r="CS1996" s="586"/>
      <c r="CT1996" s="586"/>
      <c r="CU1996" s="551">
        <f t="shared" si="819"/>
        <v>0</v>
      </c>
      <c r="CV1996" s="551">
        <f t="shared" si="823"/>
        <v>0</v>
      </c>
      <c r="CW1996" s="551">
        <f t="shared" si="824"/>
        <v>0</v>
      </c>
      <c r="CX1996" s="1003"/>
      <c r="CY1996" s="1003"/>
      <c r="CZ1996" s="1003"/>
      <c r="DA1996" s="1003"/>
      <c r="DB1996" s="1003"/>
      <c r="DC1996" s="1003"/>
      <c r="DD1996" s="1003"/>
      <c r="DE1996" s="1003"/>
      <c r="DF1996" s="1003"/>
      <c r="DG1996" s="1003"/>
      <c r="DH1996" s="1003"/>
    </row>
    <row r="1997" s="558" customFormat="1" ht="31" customHeight="1" spans="1:113">
      <c r="A1997" s="1022">
        <v>46171</v>
      </c>
      <c r="B1997" s="626" t="s">
        <v>4371</v>
      </c>
      <c r="C1997" s="939" t="s">
        <v>98</v>
      </c>
      <c r="D1997" s="563">
        <v>4500209946</v>
      </c>
      <c r="E1997" s="939">
        <v>7137243628</v>
      </c>
      <c r="F1997" s="563" t="s">
        <v>5689</v>
      </c>
      <c r="G1997" s="939" t="s">
        <v>10273</v>
      </c>
      <c r="H1997" s="939" t="s">
        <v>5003</v>
      </c>
      <c r="I1997" s="1023">
        <v>6816</v>
      </c>
      <c r="J1997" s="939">
        <v>0</v>
      </c>
      <c r="K1997" s="1024">
        <v>24</v>
      </c>
      <c r="L1997" s="1025">
        <f t="shared" si="802"/>
        <v>284</v>
      </c>
      <c r="M1997" s="1026">
        <v>46265</v>
      </c>
      <c r="N1997" s="1027">
        <v>46260</v>
      </c>
      <c r="O1997" s="1028" t="s">
        <v>5663</v>
      </c>
      <c r="P1997" s="939"/>
      <c r="Q1997" s="999"/>
      <c r="R1997" s="999">
        <v>46162</v>
      </c>
      <c r="S1997" s="999" t="s">
        <v>104</v>
      </c>
      <c r="T1997" s="999" t="s">
        <v>10701</v>
      </c>
      <c r="U1997" s="999"/>
      <c r="V1997" s="999" t="s">
        <v>10276</v>
      </c>
      <c r="W1997" s="585"/>
      <c r="X1997" s="626" t="s">
        <v>10828</v>
      </c>
      <c r="Y1997" s="1001" t="s">
        <v>4378</v>
      </c>
      <c r="Z1997" s="626">
        <v>111.9485</v>
      </c>
      <c r="AA1997" s="1001">
        <f>Z1997*L1997</f>
        <v>31793.374</v>
      </c>
      <c r="AC1997" s="1030"/>
      <c r="AD1997" s="560" t="s">
        <v>5008</v>
      </c>
      <c r="AE1997" s="939" t="s">
        <v>82</v>
      </c>
      <c r="AF1997" s="939"/>
      <c r="AG1997" s="939"/>
      <c r="AH1997" s="626"/>
      <c r="AI1997" s="609"/>
      <c r="AJ1997" s="939">
        <f t="shared" si="818"/>
        <v>-6816</v>
      </c>
      <c r="AK1997" s="1031"/>
      <c r="AL1997" s="939" t="s">
        <v>2368</v>
      </c>
      <c r="AM1997" s="939"/>
      <c r="AN1997" s="939">
        <f>I1997*2</f>
        <v>13632</v>
      </c>
      <c r="AO1997" s="563"/>
      <c r="AP1997" s="563"/>
      <c r="AQ1997" s="563"/>
      <c r="AR1997" s="1015"/>
      <c r="AS1997" s="563"/>
      <c r="AT1997" s="563"/>
      <c r="AU1997" s="563">
        <f>I1997*2</f>
        <v>13632</v>
      </c>
      <c r="AV1997" s="563"/>
      <c r="AW1997" s="563"/>
      <c r="AX1997" s="1004"/>
      <c r="AY1997" s="563"/>
      <c r="AZ1997" s="563"/>
      <c r="BA1997" s="563"/>
      <c r="BB1997" s="1017">
        <f>I1997/24*2</f>
        <v>568</v>
      </c>
      <c r="BC1997" s="563"/>
      <c r="BD1997" s="563"/>
      <c r="BE1997" s="563"/>
      <c r="BF1997" s="1032"/>
      <c r="BG1997" s="560">
        <f>AN1997</f>
        <v>13632</v>
      </c>
      <c r="BH1997" s="1033"/>
      <c r="BI1997" s="563"/>
      <c r="BJ1997" s="563"/>
      <c r="BK1997" s="563"/>
      <c r="BL1997" s="563"/>
      <c r="BM1997" s="563"/>
      <c r="BN1997" s="563"/>
      <c r="BO1997" s="563"/>
      <c r="BP1997" s="563"/>
      <c r="BQ1997" s="563"/>
      <c r="BR1997" s="563"/>
      <c r="BS1997" s="563"/>
      <c r="BT1997" s="563"/>
      <c r="BU1997" s="563"/>
      <c r="BV1997" s="563"/>
      <c r="BW1997" s="563"/>
      <c r="BX1997" s="563"/>
      <c r="BY1997" s="563">
        <f>I1997</f>
        <v>6816</v>
      </c>
      <c r="BZ1997" s="563"/>
      <c r="CA1997" s="1032"/>
      <c r="CB1997" s="560"/>
      <c r="CC1997" s="1033"/>
      <c r="CD1997" s="563"/>
      <c r="CE1997" s="563"/>
      <c r="CF1997" s="563"/>
      <c r="CG1997" s="1032"/>
      <c r="CH1997" s="560">
        <f>L1997</f>
        <v>284</v>
      </c>
      <c r="CI1997" s="1033"/>
      <c r="CJ1997" s="563"/>
      <c r="CK1997" s="563"/>
      <c r="CL1997" s="563"/>
      <c r="CM1997" s="563"/>
      <c r="CN1997" s="563"/>
      <c r="CO1997" s="563"/>
      <c r="CP1997" s="1015"/>
      <c r="CQ1997" s="1015"/>
      <c r="CR1997" s="563"/>
      <c r="CS1997" s="563"/>
      <c r="CT1997" s="563"/>
      <c r="CU1997" s="563">
        <f t="shared" si="819"/>
        <v>0</v>
      </c>
      <c r="CV1997" s="563">
        <f t="shared" si="823"/>
        <v>0</v>
      </c>
      <c r="CW1997" s="563">
        <f t="shared" si="824"/>
        <v>0</v>
      </c>
      <c r="CX1997" s="1015"/>
      <c r="CY1997" s="1015"/>
      <c r="CZ1997" s="1015"/>
      <c r="DA1997" s="1015"/>
      <c r="DB1997" s="1015"/>
      <c r="DC1997" s="1015"/>
      <c r="DD1997" s="1015"/>
      <c r="DE1997" s="1015"/>
      <c r="DF1997" s="1015"/>
      <c r="DG1997" s="1015"/>
      <c r="DH1997" s="1015"/>
    </row>
    <row r="1998" s="558" customFormat="1" ht="31" customHeight="1" spans="1:113">
      <c r="A1998" s="1022">
        <v>46162</v>
      </c>
      <c r="B1998" s="626" t="s">
        <v>5385</v>
      </c>
      <c r="C1998" s="939" t="s">
        <v>98</v>
      </c>
      <c r="D1998" s="1063">
        <v>4500208127</v>
      </c>
      <c r="E1998" s="1031">
        <v>1002450705</v>
      </c>
      <c r="F1998" s="563" t="s">
        <v>5691</v>
      </c>
      <c r="G1998" s="939" t="s">
        <v>8520</v>
      </c>
      <c r="H1998" s="939" t="s">
        <v>8521</v>
      </c>
      <c r="I1998" s="1023">
        <v>904</v>
      </c>
      <c r="J1998" s="939">
        <v>0</v>
      </c>
      <c r="K1998" s="939">
        <v>8</v>
      </c>
      <c r="L1998" s="1064">
        <f t="shared" si="802"/>
        <v>113</v>
      </c>
      <c r="M1998" s="1027">
        <v>46265</v>
      </c>
      <c r="N1998" s="1027">
        <v>46260</v>
      </c>
      <c r="O1998" s="1028" t="s">
        <v>5692</v>
      </c>
      <c r="P1998" s="939"/>
      <c r="Q1998" s="999"/>
      <c r="R1998" s="999">
        <v>46162</v>
      </c>
      <c r="S1998" s="999" t="s">
        <v>70</v>
      </c>
      <c r="T1998" s="999" t="s">
        <v>10841</v>
      </c>
      <c r="U1998" s="999"/>
      <c r="V1998" s="999"/>
      <c r="W1998" s="585"/>
      <c r="X1998" s="626" t="s">
        <v>10827</v>
      </c>
      <c r="Y1998" s="1001" t="s">
        <v>106</v>
      </c>
      <c r="Z1998" s="626">
        <v>4.3989</v>
      </c>
      <c r="AA1998" s="1001">
        <f>Z1998*I1998</f>
        <v>3976.6056</v>
      </c>
      <c r="AC1998" s="1030"/>
      <c r="AD1998" s="939" t="s">
        <v>2741</v>
      </c>
      <c r="AE1998" s="939" t="s">
        <v>82</v>
      </c>
      <c r="AF1998" s="939"/>
      <c r="AG1998" s="939"/>
      <c r="AH1998" s="626"/>
      <c r="AI1998" s="609"/>
      <c r="AJ1998" s="939">
        <f t="shared" si="818"/>
        <v>-904</v>
      </c>
      <c r="AK1998" s="1031"/>
      <c r="AL1998" s="939" t="s">
        <v>2368</v>
      </c>
      <c r="AM1998" s="939"/>
      <c r="AN1998" s="939">
        <f>I1998*2</f>
        <v>1808</v>
      </c>
      <c r="AO1998" s="563"/>
      <c r="AP1998" s="563"/>
      <c r="AQ1998" s="563"/>
      <c r="AR1998" s="1015"/>
      <c r="AS1998" s="563"/>
      <c r="AT1998" s="563"/>
      <c r="AU1998" s="563">
        <f>I1998*2</f>
        <v>1808</v>
      </c>
      <c r="AV1998" s="563"/>
      <c r="AW1998" s="563"/>
      <c r="AX1998" s="1004"/>
      <c r="AY1998" s="563"/>
      <c r="AZ1998" s="563"/>
      <c r="BA1998" s="563"/>
      <c r="BB1998" s="1017">
        <f>I1998/24*2</f>
        <v>75.3333333333333</v>
      </c>
      <c r="BC1998" s="563"/>
      <c r="BD1998" s="563"/>
      <c r="BE1998" s="563"/>
      <c r="BF1998" s="1032"/>
      <c r="BG1998" s="560">
        <f>I1998*2</f>
        <v>1808</v>
      </c>
      <c r="BH1998" s="1033"/>
      <c r="BI1998" s="563"/>
      <c r="BJ1998" s="563"/>
      <c r="BK1998" s="563"/>
      <c r="BL1998" s="563"/>
      <c r="BM1998" s="563"/>
      <c r="BN1998" s="563"/>
      <c r="BO1998" s="563"/>
      <c r="BP1998" s="563"/>
      <c r="BQ1998" s="563"/>
      <c r="BR1998" s="563"/>
      <c r="BS1998" s="563"/>
      <c r="BT1998" s="563"/>
      <c r="BU1998" s="563"/>
      <c r="BV1998" s="563"/>
      <c r="BW1998" s="563"/>
      <c r="BX1998" s="563"/>
      <c r="BY1998" s="563">
        <f>I1998</f>
        <v>904</v>
      </c>
      <c r="BZ1998" s="563"/>
      <c r="CA1998" s="1066"/>
      <c r="CB1998" s="560"/>
      <c r="CC1998" s="1067"/>
      <c r="CD1998" s="1015"/>
      <c r="CE1998" s="1015"/>
      <c r="CF1998" s="563"/>
      <c r="CG1998" s="1032"/>
      <c r="CH1998" s="560"/>
      <c r="CI1998" s="1033"/>
      <c r="CJ1998" s="563"/>
      <c r="CK1998" s="563"/>
      <c r="CL1998" s="563"/>
      <c r="CM1998" s="563"/>
      <c r="CN1998" s="563"/>
      <c r="CO1998" s="563"/>
      <c r="CP1998" s="1015"/>
      <c r="CQ1998" s="1015"/>
      <c r="CR1998" s="563"/>
      <c r="CS1998" s="563"/>
      <c r="CT1998" s="563"/>
      <c r="CU1998" s="563">
        <f t="shared" si="819"/>
        <v>0</v>
      </c>
      <c r="CV1998" s="563">
        <f t="shared" si="823"/>
        <v>0</v>
      </c>
      <c r="CW1998" s="563">
        <f t="shared" si="824"/>
        <v>0</v>
      </c>
      <c r="CX1998" s="1068"/>
      <c r="CY1998" s="1068"/>
      <c r="CZ1998" s="1068"/>
      <c r="DA1998" s="1068"/>
      <c r="DB1998" s="1068"/>
      <c r="DC1998" s="1068"/>
      <c r="DD1998" s="1068"/>
      <c r="DE1998" s="1068"/>
      <c r="DF1998" s="1068"/>
      <c r="DG1998" s="1068"/>
      <c r="DH1998" s="1068"/>
      <c r="DI1998" s="563"/>
    </row>
    <row r="1999" s="560" customFormat="1" ht="31" customHeight="1" spans="1:113">
      <c r="A1999" s="1034">
        <v>46218</v>
      </c>
      <c r="B1999" s="603" t="s">
        <v>2540</v>
      </c>
      <c r="C1999" s="1035" t="s">
        <v>98</v>
      </c>
      <c r="D1999" s="1112">
        <v>4500216631</v>
      </c>
      <c r="E1999" s="1043">
        <v>5549</v>
      </c>
      <c r="F1999" s="560" t="s">
        <v>10842</v>
      </c>
      <c r="G1999" s="1035" t="s">
        <v>6032</v>
      </c>
      <c r="H1999" s="1035" t="s">
        <v>6033</v>
      </c>
      <c r="I1999" s="1149">
        <v>1456</v>
      </c>
      <c r="J1999" s="1035">
        <v>0</v>
      </c>
      <c r="K1999" s="1035">
        <v>52</v>
      </c>
      <c r="L1999" s="1150">
        <f t="shared" si="802"/>
        <v>28</v>
      </c>
      <c r="M1999" s="1037">
        <v>46266</v>
      </c>
      <c r="N1999" s="1027">
        <v>46260</v>
      </c>
      <c r="O1999" s="1043"/>
      <c r="P1999" s="1035"/>
      <c r="Q1999" s="1039"/>
      <c r="R1999" s="1039">
        <v>46232</v>
      </c>
      <c r="S1999" s="999" t="s">
        <v>70</v>
      </c>
      <c r="T1999" s="999" t="s">
        <v>70</v>
      </c>
      <c r="U1999" s="1039"/>
      <c r="V1999" s="1039"/>
      <c r="W1999" s="603"/>
      <c r="X1999" s="603" t="s">
        <v>10843</v>
      </c>
      <c r="Y1999" s="1042" t="s">
        <v>2543</v>
      </c>
      <c r="Z1999" s="603">
        <v>0.5887</v>
      </c>
      <c r="AA1999" s="1042">
        <f>Z1999*I1999</f>
        <v>857.1472</v>
      </c>
      <c r="AB1999" s="603"/>
      <c r="AC1999" s="1030"/>
      <c r="AD1999" s="939" t="s">
        <v>6032</v>
      </c>
      <c r="AE1999" s="1118" t="s">
        <v>82</v>
      </c>
      <c r="AF1999" s="1035"/>
      <c r="AG1999" s="1035"/>
      <c r="AH1999" s="603"/>
      <c r="AI1999" s="626"/>
      <c r="AJ1999" s="939">
        <f t="shared" si="818"/>
        <v>-1456</v>
      </c>
      <c r="AK1999" s="1043"/>
      <c r="AL1999" s="1035"/>
      <c r="AM1999" s="1035"/>
      <c r="AN1999" s="1035">
        <f>I1999</f>
        <v>1456</v>
      </c>
      <c r="AP1999" s="563">
        <f>I1999</f>
        <v>1456</v>
      </c>
      <c r="AR1999" s="1044"/>
      <c r="AS1999" s="560"/>
      <c r="AT1999" s="560"/>
      <c r="AU1999" s="563">
        <f>I1999</f>
        <v>1456</v>
      </c>
      <c r="AX1999" s="1045"/>
      <c r="AY1999" s="560"/>
      <c r="AZ1999" s="560"/>
      <c r="BA1999" s="560"/>
      <c r="BB1999" s="1017">
        <f>I1999/24</f>
        <v>60.6666666666667</v>
      </c>
      <c r="BK1999" s="563">
        <f>I1999/13</f>
        <v>112</v>
      </c>
      <c r="BN1999" s="563"/>
      <c r="BO1999" s="560"/>
      <c r="BP1999" s="560"/>
      <c r="BQ1999" s="560"/>
      <c r="BR1999" s="560"/>
      <c r="BS1999" s="560"/>
      <c r="BT1999" s="560"/>
      <c r="BU1999" s="560"/>
      <c r="BV1999" s="560"/>
      <c r="BW1999" s="560"/>
      <c r="BX1999" s="560"/>
      <c r="BY1999" s="560"/>
      <c r="BZ1999" s="560"/>
      <c r="CA1999" s="1044"/>
      <c r="CP1999" s="1044"/>
      <c r="CQ1999" s="1044"/>
      <c r="CR1999" s="560"/>
      <c r="CS1999" s="560"/>
      <c r="CT1999" s="560"/>
      <c r="CU1999" s="563">
        <f t="shared" si="819"/>
        <v>0</v>
      </c>
      <c r="CV1999" s="563">
        <f t="shared" si="823"/>
        <v>0</v>
      </c>
      <c r="CW1999" s="563">
        <f t="shared" si="824"/>
        <v>0</v>
      </c>
      <c r="CX1999" s="1044"/>
      <c r="CY1999" s="1044"/>
      <c r="CZ1999" s="1044"/>
      <c r="DA1999" s="1044"/>
      <c r="DB1999" s="1044"/>
      <c r="DC1999" s="1044"/>
      <c r="DD1999" s="1044"/>
      <c r="DE1999" s="1044"/>
      <c r="DF1999" s="1044"/>
      <c r="DG1999" s="1044"/>
      <c r="DH1999" s="1044"/>
    </row>
    <row r="2000" s="558" customFormat="1" ht="31" customHeight="1" spans="1:113">
      <c r="A2000" s="1022">
        <v>46204</v>
      </c>
      <c r="B2000" s="626" t="s">
        <v>10844</v>
      </c>
      <c r="C2000" s="939" t="s">
        <v>836</v>
      </c>
      <c r="D2000" s="1063">
        <v>4500214248</v>
      </c>
      <c r="E2000" s="939" t="s">
        <v>3846</v>
      </c>
      <c r="F2000" s="563" t="s">
        <v>10845</v>
      </c>
      <c r="G2000" s="939" t="s">
        <v>6040</v>
      </c>
      <c r="H2000" s="939" t="s">
        <v>6041</v>
      </c>
      <c r="I2000" s="1023">
        <v>520</v>
      </c>
      <c r="J2000" s="939">
        <v>0</v>
      </c>
      <c r="K2000" s="939">
        <v>52</v>
      </c>
      <c r="L2000" s="1064">
        <f t="shared" si="802"/>
        <v>10</v>
      </c>
      <c r="M2000" s="1027">
        <v>46266</v>
      </c>
      <c r="N2000" s="1027">
        <v>46260</v>
      </c>
      <c r="O2000" s="1031"/>
      <c r="P2000" s="939"/>
      <c r="Q2000" s="999"/>
      <c r="R2000" s="999">
        <v>46232</v>
      </c>
      <c r="S2000" s="999" t="s">
        <v>70</v>
      </c>
      <c r="T2000" s="999" t="s">
        <v>10846</v>
      </c>
      <c r="U2000" s="999"/>
      <c r="V2000" s="999"/>
      <c r="W2000" s="585"/>
      <c r="X2000" s="1075" t="s">
        <v>10847</v>
      </c>
      <c r="Y2000" s="1001" t="s">
        <v>10848</v>
      </c>
      <c r="Z2000" s="626">
        <v>0.991</v>
      </c>
      <c r="AA2000" s="1001">
        <f>Z2000*I2000</f>
        <v>515.32</v>
      </c>
      <c r="AB2000" s="585"/>
      <c r="AC2000" s="1030"/>
      <c r="AD2000" s="939" t="s">
        <v>6040</v>
      </c>
      <c r="AE2000" s="992" t="s">
        <v>82</v>
      </c>
      <c r="AF2000" s="939"/>
      <c r="AG2000" s="939"/>
      <c r="AH2000" s="626"/>
      <c r="AI2000" s="609"/>
      <c r="AJ2000" s="939">
        <f t="shared" si="818"/>
        <v>-520</v>
      </c>
      <c r="AK2000" s="1031"/>
      <c r="AL2000" s="939" t="s">
        <v>454</v>
      </c>
      <c r="AM2000" s="939"/>
      <c r="AN2000" s="939"/>
      <c r="AO2000" s="563">
        <f>I2000</f>
        <v>520</v>
      </c>
      <c r="AP2000" s="563"/>
      <c r="AQ2000" s="563"/>
      <c r="AR2000" s="1015"/>
      <c r="AS2000" s="563"/>
      <c r="AT2000" s="563">
        <f>I2000</f>
        <v>520</v>
      </c>
      <c r="AU2000" s="563"/>
      <c r="AV2000" s="563">
        <f>I2000</f>
        <v>520</v>
      </c>
      <c r="AW2000" s="563"/>
      <c r="AX2000" s="1004"/>
      <c r="AY2000" s="563"/>
      <c r="AZ2000" s="563"/>
      <c r="BA2000" s="563"/>
      <c r="BB2000" s="1017">
        <f>I2000/24</f>
        <v>21.6666666666667</v>
      </c>
      <c r="BC2000" s="563"/>
      <c r="BD2000" s="563"/>
      <c r="BE2000" s="563"/>
      <c r="BF2000" s="1032"/>
      <c r="BG2000" s="560"/>
      <c r="BH2000" s="1033"/>
      <c r="BI2000" s="563"/>
      <c r="BJ2000" s="563"/>
      <c r="BK2000" s="563"/>
      <c r="BL2000" s="563"/>
      <c r="BM2000" s="563">
        <f>I2000/13</f>
        <v>40</v>
      </c>
      <c r="BN2000" s="563"/>
      <c r="BO2000" s="563"/>
      <c r="BP2000" s="563"/>
      <c r="BQ2000" s="563"/>
      <c r="BR2000" s="563"/>
      <c r="BS2000" s="563"/>
      <c r="BT2000" s="563"/>
      <c r="BU2000" s="563"/>
      <c r="BV2000" s="563"/>
      <c r="BW2000" s="563"/>
      <c r="BX2000" s="563"/>
      <c r="BY2000" s="563"/>
      <c r="BZ2000" s="563"/>
      <c r="CA2000" s="1066"/>
      <c r="CB2000" s="560"/>
      <c r="CC2000" s="1067"/>
      <c r="CD2000" s="1015"/>
      <c r="CE2000" s="1015"/>
      <c r="CF2000" s="563"/>
      <c r="CG2000" s="1032"/>
      <c r="CH2000" s="560"/>
      <c r="CI2000" s="1033"/>
      <c r="CJ2000" s="563"/>
      <c r="CK2000" s="563"/>
      <c r="CL2000" s="563"/>
      <c r="CM2000" s="563"/>
      <c r="CN2000" s="563"/>
      <c r="CO2000" s="563"/>
      <c r="CP2000" s="1015"/>
      <c r="CQ2000" s="1015"/>
      <c r="CR2000" s="563"/>
      <c r="CS2000" s="563"/>
      <c r="CT2000" s="563"/>
      <c r="CU2000" s="563">
        <f t="shared" si="819"/>
        <v>0</v>
      </c>
      <c r="CV2000" s="563">
        <f t="shared" si="823"/>
        <v>0</v>
      </c>
      <c r="CW2000" s="563">
        <f t="shared" si="824"/>
        <v>0</v>
      </c>
      <c r="CX2000" s="1015"/>
      <c r="CY2000" s="1015"/>
      <c r="CZ2000" s="1015"/>
      <c r="DA2000" s="1015"/>
      <c r="DB2000" s="1015"/>
      <c r="DC2000" s="1015"/>
      <c r="DD2000" s="1015"/>
      <c r="DE2000" s="1015"/>
      <c r="DF2000" s="1015"/>
      <c r="DG2000" s="1015"/>
      <c r="DH2000" s="1015"/>
      <c r="DI2000" s="563"/>
    </row>
    <row r="2001" s="558" customFormat="1" ht="31" customHeight="1" spans="1:113">
      <c r="A2001" s="991">
        <v>46171</v>
      </c>
      <c r="B2001" s="601" t="s">
        <v>4371</v>
      </c>
      <c r="C2001" s="992" t="s">
        <v>98</v>
      </c>
      <c r="D2001" s="586">
        <v>4500209947</v>
      </c>
      <c r="E2001" s="992">
        <v>7137243631</v>
      </c>
      <c r="F2001" s="586" t="s">
        <v>5697</v>
      </c>
      <c r="G2001" s="992" t="s">
        <v>10273</v>
      </c>
      <c r="H2001" s="992" t="s">
        <v>5003</v>
      </c>
      <c r="I2001" s="995">
        <v>10920</v>
      </c>
      <c r="J2001" s="992">
        <v>0</v>
      </c>
      <c r="K2001" s="996">
        <v>24</v>
      </c>
      <c r="L2001" s="997">
        <f t="shared" si="802"/>
        <v>455</v>
      </c>
      <c r="M2001" s="998">
        <v>46266</v>
      </c>
      <c r="N2001" s="1079">
        <v>46260</v>
      </c>
      <c r="O2001" s="1055" t="s">
        <v>5698</v>
      </c>
      <c r="P2001" s="992"/>
      <c r="Q2001" s="584"/>
      <c r="R2001" s="584">
        <v>46162</v>
      </c>
      <c r="S2001" s="584" t="s">
        <v>104</v>
      </c>
      <c r="T2001" s="584" t="s">
        <v>10701</v>
      </c>
      <c r="U2001" s="584"/>
      <c r="V2001" s="584" t="s">
        <v>10276</v>
      </c>
      <c r="W2001" s="585"/>
      <c r="X2001" s="601" t="s">
        <v>10702</v>
      </c>
      <c r="Y2001" s="1000" t="s">
        <v>4378</v>
      </c>
      <c r="Z2001" s="601">
        <v>111.1651</v>
      </c>
      <c r="AA2001" s="1000">
        <f>Z2001*L2001</f>
        <v>50580.1205</v>
      </c>
      <c r="AC2001" s="1002"/>
      <c r="AD2001" s="561" t="s">
        <v>5008</v>
      </c>
      <c r="AE2001" s="992" t="s">
        <v>82</v>
      </c>
      <c r="AF2001" s="992"/>
      <c r="AG2001" s="992"/>
      <c r="AH2001" s="601"/>
      <c r="AI2001" s="605"/>
      <c r="AJ2001" s="992">
        <f t="shared" si="818"/>
        <v>-10920</v>
      </c>
      <c r="AK2001" s="994"/>
      <c r="AL2001" s="992" t="s">
        <v>2368</v>
      </c>
      <c r="AM2001" s="992"/>
      <c r="AN2001" s="992">
        <f>I2001*2</f>
        <v>21840</v>
      </c>
      <c r="AO2001" s="586"/>
      <c r="AP2001" s="586"/>
      <c r="AQ2001" s="586"/>
      <c r="AR2001" s="1003"/>
      <c r="AS2001" s="586"/>
      <c r="AT2001" s="586"/>
      <c r="AU2001" s="586">
        <f>I2001*2</f>
        <v>21840</v>
      </c>
      <c r="AV2001" s="586"/>
      <c r="AW2001" s="586"/>
      <c r="AX2001" s="1049"/>
      <c r="AY2001" s="586"/>
      <c r="AZ2001" s="586"/>
      <c r="BA2001" s="586"/>
      <c r="BB2001" s="1078">
        <f>I2001/24*2</f>
        <v>910</v>
      </c>
      <c r="BC2001" s="586"/>
      <c r="BD2001" s="586"/>
      <c r="BE2001" s="586"/>
      <c r="BF2001" s="1005"/>
      <c r="BG2001" s="561">
        <f>AN2001</f>
        <v>21840</v>
      </c>
      <c r="BH2001" s="1006"/>
      <c r="BI2001" s="586"/>
      <c r="BJ2001" s="586"/>
      <c r="BK2001" s="586"/>
      <c r="BL2001" s="586"/>
      <c r="BM2001" s="586"/>
      <c r="BN2001" s="586"/>
      <c r="BO2001" s="586"/>
      <c r="BP2001" s="586"/>
      <c r="BQ2001" s="586"/>
      <c r="BR2001" s="586"/>
      <c r="BS2001" s="586"/>
      <c r="BT2001" s="586"/>
      <c r="BU2001" s="586"/>
      <c r="BV2001" s="586"/>
      <c r="BW2001" s="586"/>
      <c r="BX2001" s="586"/>
      <c r="BY2001" s="586">
        <f>I2001</f>
        <v>10920</v>
      </c>
      <c r="BZ2001" s="586"/>
      <c r="CA2001" s="1005"/>
      <c r="CB2001" s="561"/>
      <c r="CC2001" s="1006"/>
      <c r="CD2001" s="586"/>
      <c r="CE2001" s="586"/>
      <c r="CF2001" s="586"/>
      <c r="CG2001" s="1005"/>
      <c r="CH2001" s="561">
        <f>L2001</f>
        <v>455</v>
      </c>
      <c r="CI2001" s="1006"/>
      <c r="CJ2001" s="586"/>
      <c r="CK2001" s="586"/>
      <c r="CL2001" s="586"/>
      <c r="CM2001" s="586"/>
      <c r="CN2001" s="586"/>
      <c r="CO2001" s="586"/>
      <c r="CP2001" s="1003"/>
      <c r="CQ2001" s="1003"/>
      <c r="CR2001" s="586"/>
      <c r="CS2001" s="586"/>
      <c r="CT2001" s="586"/>
      <c r="CU2001" s="586">
        <f t="shared" si="819"/>
        <v>0</v>
      </c>
      <c r="CV2001" s="586">
        <f t="shared" si="823"/>
        <v>0</v>
      </c>
      <c r="CW2001" s="586">
        <f t="shared" si="824"/>
        <v>0</v>
      </c>
      <c r="CX2001" s="1003"/>
      <c r="CY2001" s="1003"/>
      <c r="CZ2001" s="1003"/>
      <c r="DA2001" s="1003"/>
      <c r="DB2001" s="1003"/>
      <c r="DC2001" s="1003"/>
      <c r="DD2001" s="1003"/>
      <c r="DE2001" s="1003"/>
      <c r="DF2001" s="1003"/>
      <c r="DG2001" s="1003"/>
      <c r="DH2001" s="1003"/>
    </row>
    <row r="2002" s="560" customFormat="1" ht="31" customHeight="1" spans="1:113">
      <c r="A2002" s="1034">
        <v>46227</v>
      </c>
      <c r="B2002" s="603" t="s">
        <v>4656</v>
      </c>
      <c r="C2002" s="1035" t="s">
        <v>154</v>
      </c>
      <c r="D2002" s="1112">
        <v>4500217222</v>
      </c>
      <c r="E2002" s="1043">
        <v>4500194549</v>
      </c>
      <c r="F2002" s="560" t="s">
        <v>10849</v>
      </c>
      <c r="G2002" s="1035" t="s">
        <v>6040</v>
      </c>
      <c r="H2002" s="939" t="s">
        <v>6041</v>
      </c>
      <c r="I2002" s="1036">
        <v>520</v>
      </c>
      <c r="J2002" s="1035">
        <v>0</v>
      </c>
      <c r="K2002" s="1035">
        <v>52</v>
      </c>
      <c r="L2002" s="1064">
        <f t="shared" si="802"/>
        <v>10</v>
      </c>
      <c r="M2002" s="1037">
        <v>46266</v>
      </c>
      <c r="N2002" s="1037">
        <v>46262</v>
      </c>
      <c r="O2002" s="1043"/>
      <c r="P2002" s="1035"/>
      <c r="Q2002" s="1039"/>
      <c r="R2002" s="584">
        <v>46230</v>
      </c>
      <c r="S2002" s="999" t="s">
        <v>70</v>
      </c>
      <c r="T2002" s="1039" t="s">
        <v>10850</v>
      </c>
      <c r="U2002" s="1039" t="s">
        <v>10851</v>
      </c>
      <c r="V2002" s="1039"/>
      <c r="W2002" s="603" t="s">
        <v>5704</v>
      </c>
      <c r="X2002" s="1041" t="s">
        <v>10852</v>
      </c>
      <c r="Y2002" s="1042" t="s">
        <v>4696</v>
      </c>
      <c r="Z2002" s="603">
        <v>0.9762</v>
      </c>
      <c r="AA2002" s="1001">
        <f>Z2002*I2002</f>
        <v>507.624</v>
      </c>
      <c r="AB2002" s="603"/>
      <c r="AC2002" s="1030"/>
      <c r="AD2002" s="939" t="s">
        <v>6040</v>
      </c>
      <c r="AE2002" s="1035" t="s">
        <v>82</v>
      </c>
      <c r="AF2002" s="1035"/>
      <c r="AG2002" s="1035"/>
      <c r="AH2002" s="603"/>
      <c r="AI2002" s="626"/>
      <c r="AJ2002" s="939">
        <f t="shared" si="818"/>
        <v>-520</v>
      </c>
      <c r="AK2002" s="1043"/>
      <c r="AL2002" s="1035" t="s">
        <v>2368</v>
      </c>
      <c r="AM2002" s="1035"/>
      <c r="AN2002" s="1035"/>
      <c r="AO2002" s="563">
        <f>I2002</f>
        <v>520</v>
      </c>
      <c r="AR2002" s="1044"/>
      <c r="AS2002" s="560"/>
      <c r="AT2002" s="563">
        <f>I2002</f>
        <v>520</v>
      </c>
      <c r="AU2002" s="563"/>
      <c r="AV2002" s="563">
        <f>I2002</f>
        <v>520</v>
      </c>
      <c r="AX2002" s="1045"/>
      <c r="AY2002" s="560"/>
      <c r="AZ2002" s="560"/>
      <c r="BA2002" s="560"/>
      <c r="BB2002" s="1017">
        <f t="shared" ref="BB2002:BB2007" si="825">I2002/24</f>
        <v>21.6666666666667</v>
      </c>
      <c r="BM2002" s="563">
        <f>I2002/13</f>
        <v>40</v>
      </c>
      <c r="CA2002" s="1044"/>
      <c r="CP2002" s="1044"/>
      <c r="CQ2002" s="1044"/>
      <c r="CR2002" s="560"/>
      <c r="CS2002" s="560"/>
      <c r="CT2002" s="560"/>
      <c r="CU2002" s="563">
        <f t="shared" si="819"/>
        <v>0</v>
      </c>
      <c r="CV2002" s="563">
        <f t="shared" si="823"/>
        <v>0</v>
      </c>
      <c r="CW2002" s="563">
        <f t="shared" si="824"/>
        <v>0</v>
      </c>
      <c r="CX2002" s="1044"/>
      <c r="CY2002" s="1044"/>
      <c r="CZ2002" s="1044"/>
      <c r="DA2002" s="1044"/>
      <c r="DB2002" s="1044"/>
      <c r="DC2002" s="1044"/>
      <c r="DD2002" s="1044"/>
      <c r="DE2002" s="1044"/>
      <c r="DF2002" s="1044"/>
      <c r="DG2002" s="1044"/>
      <c r="DH2002" s="1044"/>
    </row>
    <row r="2003" s="560" customFormat="1" ht="31" customHeight="1" spans="1:113">
      <c r="A2003" s="1034">
        <v>46223</v>
      </c>
      <c r="B2003" s="603" t="s">
        <v>143</v>
      </c>
      <c r="C2003" s="1035" t="s">
        <v>98</v>
      </c>
      <c r="D2003" s="560">
        <v>4500217079</v>
      </c>
      <c r="E2003" s="1427" t="s">
        <v>10853</v>
      </c>
      <c r="F2003" s="560" t="s">
        <v>10854</v>
      </c>
      <c r="G2003" s="1035" t="s">
        <v>6063</v>
      </c>
      <c r="H2003" s="1035" t="s">
        <v>6064</v>
      </c>
      <c r="I2003" s="1036">
        <v>27360</v>
      </c>
      <c r="J2003" s="1035">
        <v>0</v>
      </c>
      <c r="K2003" s="1035">
        <v>16</v>
      </c>
      <c r="L2003" s="1025">
        <f t="shared" si="802"/>
        <v>1710</v>
      </c>
      <c r="M2003" s="1037">
        <v>46267</v>
      </c>
      <c r="N2003" s="1037">
        <v>46261</v>
      </c>
      <c r="O2003" s="1043"/>
      <c r="P2003" s="1035"/>
      <c r="Q2003" s="1039"/>
      <c r="R2003" s="1039" t="s">
        <v>9889</v>
      </c>
      <c r="S2003" s="1039" t="s">
        <v>70</v>
      </c>
      <c r="T2003" s="1039" t="s">
        <v>10687</v>
      </c>
      <c r="U2003" s="1039"/>
      <c r="V2003" s="1039"/>
      <c r="W2003" s="603"/>
      <c r="X2003" s="603" t="s">
        <v>10855</v>
      </c>
      <c r="Y2003" s="1042" t="s">
        <v>106</v>
      </c>
      <c r="Z2003" s="603">
        <v>0.6196</v>
      </c>
      <c r="AA2003" s="1042">
        <f t="shared" ref="AA2003:AA2017" si="826">Z2003*I2003</f>
        <v>16952.256</v>
      </c>
      <c r="AB2003" s="603"/>
      <c r="AC2003" s="1030"/>
      <c r="AD2003" s="1035" t="s">
        <v>6063</v>
      </c>
      <c r="AE2003" s="1035" t="s">
        <v>82</v>
      </c>
      <c r="AF2003" s="1035"/>
      <c r="AG2003" s="1035"/>
      <c r="AH2003" s="603"/>
      <c r="AI2003" s="603"/>
      <c r="AJ2003" s="1035">
        <f t="shared" si="818"/>
        <v>-27360</v>
      </c>
      <c r="AK2003" s="1043"/>
      <c r="AL2003" s="1035" t="s">
        <v>2368</v>
      </c>
      <c r="AM2003" s="1035"/>
      <c r="AN2003" s="1035">
        <f>I2003</f>
        <v>27360</v>
      </c>
      <c r="AP2003" s="560">
        <f>I2003</f>
        <v>27360</v>
      </c>
      <c r="AR2003" s="1044"/>
      <c r="AS2003" s="560"/>
      <c r="AT2003" s="560"/>
      <c r="AU2003" s="560">
        <f>I2003</f>
        <v>27360</v>
      </c>
      <c r="AX2003" s="1045"/>
      <c r="AY2003" s="560"/>
      <c r="AZ2003" s="560"/>
      <c r="BA2003" s="560"/>
      <c r="BB2003" s="1116">
        <f t="shared" si="825"/>
        <v>1140</v>
      </c>
      <c r="BQ2003" s="560">
        <f>I2003/16</f>
        <v>1710</v>
      </c>
      <c r="CA2003" s="1044"/>
      <c r="CB2003" s="560"/>
      <c r="CC2003" s="560"/>
      <c r="CD2003" s="560"/>
      <c r="CE2003" s="560"/>
      <c r="CF2003" s="560"/>
      <c r="CG2003" s="560"/>
      <c r="CH2003" s="560"/>
      <c r="CI2003" s="560"/>
      <c r="CJ2003" s="560"/>
      <c r="CK2003" s="560"/>
      <c r="CL2003" s="560"/>
      <c r="CM2003" s="560"/>
      <c r="CN2003" s="560"/>
      <c r="CO2003" s="560"/>
      <c r="CP2003" s="1044"/>
      <c r="CQ2003" s="1044"/>
      <c r="CR2003" s="560"/>
      <c r="CS2003" s="560"/>
      <c r="CT2003" s="560"/>
      <c r="CU2003" s="560">
        <f t="shared" ref="CU2003:CU2022" si="827">BQ2003+BP2003+BO2003+BN2003+BX2003+BR2003</f>
        <v>1710</v>
      </c>
      <c r="CV2003" s="560">
        <f t="shared" si="823"/>
        <v>0</v>
      </c>
      <c r="CW2003" s="560">
        <f t="shared" si="824"/>
        <v>0</v>
      </c>
      <c r="CX2003" s="1044"/>
      <c r="CY2003" s="1044"/>
      <c r="CZ2003" s="1044"/>
      <c r="DA2003" s="1044"/>
      <c r="DB2003" s="1044"/>
      <c r="DC2003" s="1044"/>
      <c r="DD2003" s="1044"/>
      <c r="DE2003" s="1044"/>
      <c r="DF2003" s="1044"/>
      <c r="DG2003" s="1044"/>
      <c r="DH2003" s="1044"/>
    </row>
    <row r="2004" s="560" customFormat="1" ht="31" customHeight="1" spans="1:113">
      <c r="A2004" s="1034">
        <v>46223</v>
      </c>
      <c r="B2004" s="603" t="s">
        <v>143</v>
      </c>
      <c r="C2004" s="1035" t="s">
        <v>98</v>
      </c>
      <c r="D2004" s="560">
        <v>4500217079</v>
      </c>
      <c r="E2004" s="1427" t="s">
        <v>10856</v>
      </c>
      <c r="F2004" s="560" t="s">
        <v>10857</v>
      </c>
      <c r="G2004" s="1035" t="s">
        <v>6063</v>
      </c>
      <c r="H2004" s="1035" t="s">
        <v>6064</v>
      </c>
      <c r="I2004" s="1036">
        <v>9600</v>
      </c>
      <c r="J2004" s="1035">
        <v>0</v>
      </c>
      <c r="K2004" s="1035">
        <v>16</v>
      </c>
      <c r="L2004" s="1025">
        <f t="shared" si="802"/>
        <v>600</v>
      </c>
      <c r="M2004" s="1037">
        <v>46267</v>
      </c>
      <c r="N2004" s="1152">
        <v>46270</v>
      </c>
      <c r="O2004" s="1043"/>
      <c r="P2004" s="1035"/>
      <c r="Q2004" s="1039"/>
      <c r="R2004" s="1039" t="s">
        <v>9889</v>
      </c>
      <c r="S2004" s="1039" t="s">
        <v>70</v>
      </c>
      <c r="T2004" s="1039" t="s">
        <v>10687</v>
      </c>
      <c r="U2004" s="1039"/>
      <c r="V2004" s="1039"/>
      <c r="W2004" s="603"/>
      <c r="X2004" s="603" t="s">
        <v>10855</v>
      </c>
      <c r="Y2004" s="1042" t="s">
        <v>106</v>
      </c>
      <c r="Z2004" s="603">
        <v>0.6301</v>
      </c>
      <c r="AA2004" s="1042">
        <f t="shared" si="826"/>
        <v>6048.96</v>
      </c>
      <c r="AB2004" s="603"/>
      <c r="AC2004" s="1030"/>
      <c r="AD2004" s="1035" t="s">
        <v>6063</v>
      </c>
      <c r="AE2004" s="1035" t="s">
        <v>82</v>
      </c>
      <c r="AF2004" s="1035"/>
      <c r="AG2004" s="1035"/>
      <c r="AH2004" s="603"/>
      <c r="AI2004" s="603"/>
      <c r="AJ2004" s="1035">
        <f t="shared" si="818"/>
        <v>-9600</v>
      </c>
      <c r="AK2004" s="1043"/>
      <c r="AL2004" s="1035" t="s">
        <v>2368</v>
      </c>
      <c r="AM2004" s="1035"/>
      <c r="AN2004" s="1035">
        <f>I2004</f>
        <v>9600</v>
      </c>
      <c r="AP2004" s="560">
        <f>I2004</f>
        <v>9600</v>
      </c>
      <c r="AR2004" s="1044"/>
      <c r="AS2004" s="560"/>
      <c r="AT2004" s="560"/>
      <c r="AU2004" s="560">
        <f>I2004</f>
        <v>9600</v>
      </c>
      <c r="AX2004" s="1045"/>
      <c r="AY2004" s="560"/>
      <c r="AZ2004" s="560"/>
      <c r="BA2004" s="560"/>
      <c r="BB2004" s="1116">
        <f t="shared" si="825"/>
        <v>400</v>
      </c>
      <c r="BQ2004" s="560">
        <f>I2004/16</f>
        <v>600</v>
      </c>
      <c r="CA2004" s="1044"/>
      <c r="CB2004" s="560"/>
      <c r="CC2004" s="560"/>
      <c r="CD2004" s="560"/>
      <c r="CE2004" s="560"/>
      <c r="CF2004" s="560"/>
      <c r="CG2004" s="560"/>
      <c r="CH2004" s="560"/>
      <c r="CI2004" s="560"/>
      <c r="CJ2004" s="560"/>
      <c r="CK2004" s="560"/>
      <c r="CL2004" s="560"/>
      <c r="CM2004" s="560"/>
      <c r="CN2004" s="560"/>
      <c r="CO2004" s="560"/>
      <c r="CP2004" s="1044"/>
      <c r="CQ2004" s="1044"/>
      <c r="CR2004" s="560"/>
      <c r="CS2004" s="560"/>
      <c r="CT2004" s="560"/>
      <c r="CU2004" s="560">
        <f t="shared" si="827"/>
        <v>600</v>
      </c>
      <c r="CV2004" s="560">
        <f t="shared" si="823"/>
        <v>0</v>
      </c>
      <c r="CW2004" s="560">
        <f t="shared" si="824"/>
        <v>0</v>
      </c>
      <c r="CX2004" s="1044"/>
      <c r="CY2004" s="1044"/>
      <c r="CZ2004" s="1044"/>
      <c r="DA2004" s="1044"/>
      <c r="DB2004" s="1044"/>
      <c r="DC2004" s="1044"/>
      <c r="DD2004" s="1044"/>
      <c r="DE2004" s="1044"/>
      <c r="DF2004" s="1044"/>
      <c r="DG2004" s="1044"/>
      <c r="DH2004" s="1044"/>
    </row>
    <row r="2005" s="560" customFormat="1" ht="31" customHeight="1" spans="1:113">
      <c r="A2005" s="1034">
        <v>46223</v>
      </c>
      <c r="B2005" s="603" t="s">
        <v>143</v>
      </c>
      <c r="C2005" s="1035" t="s">
        <v>98</v>
      </c>
      <c r="D2005" s="560">
        <v>4500217079</v>
      </c>
      <c r="E2005" s="1427" t="s">
        <v>10858</v>
      </c>
      <c r="F2005" s="560" t="s">
        <v>10859</v>
      </c>
      <c r="G2005" s="1035" t="s">
        <v>6063</v>
      </c>
      <c r="H2005" s="1035" t="s">
        <v>6064</v>
      </c>
      <c r="I2005" s="1036">
        <v>21600</v>
      </c>
      <c r="J2005" s="1035">
        <v>0</v>
      </c>
      <c r="K2005" s="1035">
        <v>16</v>
      </c>
      <c r="L2005" s="1025">
        <f t="shared" si="802"/>
        <v>1350</v>
      </c>
      <c r="M2005" s="1037">
        <v>46267</v>
      </c>
      <c r="N2005" s="1152">
        <v>46270</v>
      </c>
      <c r="O2005" s="1043"/>
      <c r="P2005" s="1035"/>
      <c r="Q2005" s="1039"/>
      <c r="R2005" s="1039" t="s">
        <v>9889</v>
      </c>
      <c r="S2005" s="1039" t="s">
        <v>70</v>
      </c>
      <c r="T2005" s="1039" t="s">
        <v>10860</v>
      </c>
      <c r="U2005" s="1039"/>
      <c r="V2005" s="1039"/>
      <c r="W2005" s="603"/>
      <c r="X2005" s="603" t="s">
        <v>10855</v>
      </c>
      <c r="Y2005" s="1042" t="s">
        <v>106</v>
      </c>
      <c r="Z2005" s="603">
        <v>0.6196</v>
      </c>
      <c r="AA2005" s="1042">
        <f t="shared" si="826"/>
        <v>13383.36</v>
      </c>
      <c r="AB2005" s="603"/>
      <c r="AC2005" s="1030"/>
      <c r="AD2005" s="1035" t="s">
        <v>6063</v>
      </c>
      <c r="AE2005" s="1035" t="s">
        <v>82</v>
      </c>
      <c r="AF2005" s="1035"/>
      <c r="AG2005" s="1035"/>
      <c r="AH2005" s="603"/>
      <c r="AI2005" s="603"/>
      <c r="AJ2005" s="1035">
        <f t="shared" si="818"/>
        <v>-21600</v>
      </c>
      <c r="AK2005" s="1043"/>
      <c r="AL2005" s="1035" t="s">
        <v>2368</v>
      </c>
      <c r="AM2005" s="1035"/>
      <c r="AN2005" s="1035">
        <f>I2005</f>
        <v>21600</v>
      </c>
      <c r="AP2005" s="560">
        <f>I2005</f>
        <v>21600</v>
      </c>
      <c r="AR2005" s="1044"/>
      <c r="AS2005" s="560"/>
      <c r="AT2005" s="560"/>
      <c r="AU2005" s="560">
        <f>I2005</f>
        <v>21600</v>
      </c>
      <c r="AX2005" s="1045"/>
      <c r="AY2005" s="560"/>
      <c r="AZ2005" s="560"/>
      <c r="BA2005" s="560"/>
      <c r="BB2005" s="1116">
        <f t="shared" si="825"/>
        <v>900</v>
      </c>
      <c r="BQ2005" s="560">
        <f>I2005/16</f>
        <v>1350</v>
      </c>
      <c r="CA2005" s="1044"/>
      <c r="CB2005" s="560"/>
      <c r="CC2005" s="560"/>
      <c r="CD2005" s="560"/>
      <c r="CE2005" s="560"/>
      <c r="CF2005" s="560"/>
      <c r="CG2005" s="560"/>
      <c r="CH2005" s="560"/>
      <c r="CI2005" s="560"/>
      <c r="CJ2005" s="560"/>
      <c r="CK2005" s="560"/>
      <c r="CL2005" s="560"/>
      <c r="CM2005" s="560"/>
      <c r="CN2005" s="560"/>
      <c r="CO2005" s="560"/>
      <c r="CP2005" s="1044"/>
      <c r="CQ2005" s="1044"/>
      <c r="CR2005" s="560"/>
      <c r="CS2005" s="560"/>
      <c r="CT2005" s="560"/>
      <c r="CU2005" s="560">
        <f t="shared" si="827"/>
        <v>1350</v>
      </c>
      <c r="CV2005" s="560">
        <f t="shared" si="823"/>
        <v>0</v>
      </c>
      <c r="CW2005" s="560">
        <f t="shared" si="824"/>
        <v>0</v>
      </c>
      <c r="CX2005" s="1044"/>
      <c r="CY2005" s="1044"/>
      <c r="CZ2005" s="1044"/>
      <c r="DA2005" s="1044"/>
      <c r="DB2005" s="1044"/>
      <c r="DC2005" s="1044"/>
      <c r="DD2005" s="1044"/>
      <c r="DE2005" s="1044"/>
      <c r="DF2005" s="1044"/>
      <c r="DG2005" s="1044"/>
      <c r="DH2005" s="1044"/>
    </row>
    <row r="2006" s="560" customFormat="1" ht="31" customHeight="1" spans="1:113">
      <c r="A2006" s="1034">
        <v>46223</v>
      </c>
      <c r="B2006" s="603" t="s">
        <v>143</v>
      </c>
      <c r="C2006" s="1035" t="s">
        <v>98</v>
      </c>
      <c r="D2006" s="560">
        <v>4500217079</v>
      </c>
      <c r="E2006" s="1427" t="s">
        <v>10861</v>
      </c>
      <c r="F2006" s="560" t="s">
        <v>10862</v>
      </c>
      <c r="G2006" s="1035" t="s">
        <v>6063</v>
      </c>
      <c r="H2006" s="1035" t="s">
        <v>6064</v>
      </c>
      <c r="I2006" s="1036">
        <v>36000</v>
      </c>
      <c r="J2006" s="1035">
        <v>0</v>
      </c>
      <c r="K2006" s="1035">
        <v>16</v>
      </c>
      <c r="L2006" s="1025">
        <f t="shared" si="802"/>
        <v>2250</v>
      </c>
      <c r="M2006" s="1037">
        <v>46267</v>
      </c>
      <c r="N2006" s="1152">
        <v>46272</v>
      </c>
      <c r="O2006" s="1043"/>
      <c r="P2006" s="1035"/>
      <c r="Q2006" s="1039"/>
      <c r="R2006" s="1039" t="s">
        <v>9889</v>
      </c>
      <c r="S2006" s="1039" t="s">
        <v>70</v>
      </c>
      <c r="T2006" s="1039" t="s">
        <v>10860</v>
      </c>
      <c r="U2006" s="1039"/>
      <c r="V2006" s="1039"/>
      <c r="W2006" s="603"/>
      <c r="X2006" s="603" t="s">
        <v>10855</v>
      </c>
      <c r="Y2006" s="1042" t="s">
        <v>106</v>
      </c>
      <c r="Z2006" s="603">
        <v>0.6196</v>
      </c>
      <c r="AA2006" s="1042">
        <f t="shared" si="826"/>
        <v>22305.6</v>
      </c>
      <c r="AB2006" s="603"/>
      <c r="AC2006" s="1030"/>
      <c r="AD2006" s="1035" t="s">
        <v>6063</v>
      </c>
      <c r="AE2006" s="1035" t="s">
        <v>82</v>
      </c>
      <c r="AF2006" s="1035"/>
      <c r="AG2006" s="1035"/>
      <c r="AH2006" s="603"/>
      <c r="AI2006" s="603"/>
      <c r="AJ2006" s="1035">
        <f t="shared" si="818"/>
        <v>-36000</v>
      </c>
      <c r="AK2006" s="1043"/>
      <c r="AL2006" s="1035" t="s">
        <v>2368</v>
      </c>
      <c r="AM2006" s="1035"/>
      <c r="AN2006" s="1035">
        <f>I2006</f>
        <v>36000</v>
      </c>
      <c r="AP2006" s="560">
        <f>I2006</f>
        <v>36000</v>
      </c>
      <c r="AR2006" s="1044"/>
      <c r="AS2006" s="560"/>
      <c r="AT2006" s="560"/>
      <c r="AU2006" s="560">
        <f>I2006</f>
        <v>36000</v>
      </c>
      <c r="AX2006" s="1045"/>
      <c r="AY2006" s="560"/>
      <c r="AZ2006" s="560"/>
      <c r="BA2006" s="560"/>
      <c r="BB2006" s="1116">
        <f t="shared" si="825"/>
        <v>1500</v>
      </c>
      <c r="BQ2006" s="560">
        <f>I2006/16</f>
        <v>2250</v>
      </c>
      <c r="CA2006" s="1044"/>
      <c r="CB2006" s="560"/>
      <c r="CC2006" s="560"/>
      <c r="CD2006" s="560"/>
      <c r="CE2006" s="560"/>
      <c r="CF2006" s="560"/>
      <c r="CG2006" s="560"/>
      <c r="CH2006" s="560"/>
      <c r="CI2006" s="560"/>
      <c r="CJ2006" s="560"/>
      <c r="CK2006" s="560"/>
      <c r="CL2006" s="560"/>
      <c r="CM2006" s="560"/>
      <c r="CN2006" s="560"/>
      <c r="CO2006" s="560"/>
      <c r="CP2006" s="1044"/>
      <c r="CQ2006" s="1044"/>
      <c r="CR2006" s="560"/>
      <c r="CS2006" s="560"/>
      <c r="CT2006" s="560"/>
      <c r="CU2006" s="560">
        <f t="shared" si="827"/>
        <v>2250</v>
      </c>
      <c r="CV2006" s="560">
        <f t="shared" si="823"/>
        <v>0</v>
      </c>
      <c r="CW2006" s="560">
        <f t="shared" si="824"/>
        <v>0</v>
      </c>
      <c r="CX2006" s="1044"/>
      <c r="CY2006" s="1044"/>
      <c r="CZ2006" s="1044"/>
      <c r="DA2006" s="1044"/>
      <c r="DB2006" s="1044"/>
      <c r="DC2006" s="1044"/>
      <c r="DD2006" s="1044"/>
      <c r="DE2006" s="1044"/>
      <c r="DF2006" s="1044"/>
      <c r="DG2006" s="1044"/>
      <c r="DH2006" s="1044"/>
    </row>
    <row r="2007" s="560" customFormat="1" ht="31" customHeight="1" spans="1:113">
      <c r="A2007" s="1034">
        <v>46223</v>
      </c>
      <c r="B2007" s="603" t="s">
        <v>143</v>
      </c>
      <c r="C2007" s="1035" t="s">
        <v>98</v>
      </c>
      <c r="D2007" s="560">
        <v>4500217079</v>
      </c>
      <c r="E2007" s="1427" t="s">
        <v>10863</v>
      </c>
      <c r="F2007" s="560" t="s">
        <v>10864</v>
      </c>
      <c r="G2007" s="1035" t="s">
        <v>6063</v>
      </c>
      <c r="H2007" s="1035" t="s">
        <v>6064</v>
      </c>
      <c r="I2007" s="1036">
        <v>23040</v>
      </c>
      <c r="J2007" s="1035">
        <v>0</v>
      </c>
      <c r="K2007" s="1035">
        <v>16</v>
      </c>
      <c r="L2007" s="1025">
        <f t="shared" si="802"/>
        <v>1440</v>
      </c>
      <c r="M2007" s="1037">
        <v>46267</v>
      </c>
      <c r="N2007" s="1152">
        <v>46272</v>
      </c>
      <c r="O2007" s="1043"/>
      <c r="P2007" s="1035"/>
      <c r="Q2007" s="1039"/>
      <c r="R2007" s="1039" t="s">
        <v>9889</v>
      </c>
      <c r="S2007" s="1039" t="s">
        <v>70</v>
      </c>
      <c r="T2007" s="1039" t="s">
        <v>10860</v>
      </c>
      <c r="U2007" s="1039"/>
      <c r="V2007" s="1039"/>
      <c r="W2007" s="603"/>
      <c r="X2007" s="603" t="s">
        <v>10855</v>
      </c>
      <c r="Y2007" s="1042" t="s">
        <v>106</v>
      </c>
      <c r="Z2007" s="603">
        <v>0.6196</v>
      </c>
      <c r="AA2007" s="1042">
        <f t="shared" si="826"/>
        <v>14275.584</v>
      </c>
      <c r="AB2007" s="603"/>
      <c r="AC2007" s="1030"/>
      <c r="AD2007" s="1035" t="s">
        <v>6063</v>
      </c>
      <c r="AE2007" s="1035" t="s">
        <v>82</v>
      </c>
      <c r="AF2007" s="1035"/>
      <c r="AG2007" s="1035"/>
      <c r="AH2007" s="603"/>
      <c r="AI2007" s="603"/>
      <c r="AJ2007" s="1035">
        <f t="shared" si="818"/>
        <v>-23040</v>
      </c>
      <c r="AK2007" s="1043"/>
      <c r="AL2007" s="1035" t="s">
        <v>2368</v>
      </c>
      <c r="AM2007" s="1035"/>
      <c r="AN2007" s="1035">
        <f>I2007</f>
        <v>23040</v>
      </c>
      <c r="AP2007" s="560">
        <f>I2007</f>
        <v>23040</v>
      </c>
      <c r="AR2007" s="1044"/>
      <c r="AS2007" s="560"/>
      <c r="AT2007" s="560"/>
      <c r="AU2007" s="560">
        <f>I2007</f>
        <v>23040</v>
      </c>
      <c r="AX2007" s="1045"/>
      <c r="AY2007" s="560"/>
      <c r="AZ2007" s="560"/>
      <c r="BA2007" s="560"/>
      <c r="BB2007" s="1116">
        <f t="shared" si="825"/>
        <v>960</v>
      </c>
      <c r="BQ2007" s="560">
        <f>I2007/16</f>
        <v>1440</v>
      </c>
      <c r="CA2007" s="1044"/>
      <c r="CB2007" s="560"/>
      <c r="CC2007" s="560"/>
      <c r="CD2007" s="560"/>
      <c r="CE2007" s="560"/>
      <c r="CF2007" s="560"/>
      <c r="CG2007" s="560"/>
      <c r="CH2007" s="560"/>
      <c r="CI2007" s="560"/>
      <c r="CJ2007" s="560"/>
      <c r="CK2007" s="560"/>
      <c r="CL2007" s="560"/>
      <c r="CM2007" s="560"/>
      <c r="CN2007" s="560"/>
      <c r="CO2007" s="560"/>
      <c r="CP2007" s="1044"/>
      <c r="CQ2007" s="1044"/>
      <c r="CR2007" s="560"/>
      <c r="CS2007" s="560"/>
      <c r="CT2007" s="560"/>
      <c r="CU2007" s="560">
        <f t="shared" si="827"/>
        <v>1440</v>
      </c>
      <c r="CV2007" s="560">
        <f t="shared" si="823"/>
        <v>0</v>
      </c>
      <c r="CW2007" s="560">
        <f t="shared" si="824"/>
        <v>0</v>
      </c>
      <c r="CX2007" s="1044"/>
      <c r="CY2007" s="1044"/>
      <c r="CZ2007" s="1044"/>
      <c r="DA2007" s="1044"/>
      <c r="DB2007" s="1044"/>
      <c r="DC2007" s="1044"/>
      <c r="DD2007" s="1044"/>
      <c r="DE2007" s="1044"/>
      <c r="DF2007" s="1044"/>
      <c r="DG2007" s="1044"/>
      <c r="DH2007" s="1044"/>
    </row>
    <row r="2008" s="547" customFormat="1" ht="31" customHeight="1" spans="1:113">
      <c r="A2008" s="1127">
        <v>46185</v>
      </c>
      <c r="B2008" s="1128" t="s">
        <v>2811</v>
      </c>
      <c r="C2008" s="1129" t="s">
        <v>98</v>
      </c>
      <c r="D2008" s="1130">
        <v>4500211446</v>
      </c>
      <c r="E2008" s="1131">
        <v>70089478</v>
      </c>
      <c r="F2008" s="562" t="s">
        <v>10865</v>
      </c>
      <c r="G2008" s="1129" t="s">
        <v>6787</v>
      </c>
      <c r="H2008" s="939" t="s">
        <v>6126</v>
      </c>
      <c r="I2008" s="1132">
        <v>2700</v>
      </c>
      <c r="J2008" s="1129">
        <v>0</v>
      </c>
      <c r="K2008" s="1153">
        <v>12</v>
      </c>
      <c r="L2008" s="1154">
        <f t="shared" si="802"/>
        <v>225</v>
      </c>
      <c r="M2008" s="1155">
        <v>46268</v>
      </c>
      <c r="N2008" s="1134">
        <v>46263</v>
      </c>
      <c r="O2008" s="1131"/>
      <c r="P2008" s="1129"/>
      <c r="Q2008" s="1029"/>
      <c r="R2008" s="1029">
        <v>46185</v>
      </c>
      <c r="S2008" s="1029" t="s">
        <v>70</v>
      </c>
      <c r="T2008" s="1029" t="s">
        <v>5723</v>
      </c>
      <c r="U2008" s="1156"/>
      <c r="V2008" s="1029"/>
      <c r="W2008" s="585"/>
      <c r="X2008" s="1128" t="s">
        <v>10866</v>
      </c>
      <c r="Y2008" s="1136" t="s">
        <v>3061</v>
      </c>
      <c r="Z2008" s="1128">
        <v>1.3318</v>
      </c>
      <c r="AA2008" s="1136">
        <f t="shared" si="826"/>
        <v>3595.86</v>
      </c>
      <c r="AC2008" s="1137"/>
      <c r="AD2008" s="1129" t="s">
        <v>8545</v>
      </c>
      <c r="AE2008" s="1129" t="s">
        <v>82</v>
      </c>
      <c r="AF2008" s="1129"/>
      <c r="AG2008" s="1129"/>
      <c r="AH2008" s="1128"/>
      <c r="AI2008" s="848"/>
      <c r="AJ2008" s="1157">
        <f t="shared" si="818"/>
        <v>-2700</v>
      </c>
      <c r="AK2008" s="1131"/>
      <c r="AL2008" s="1129" t="s">
        <v>2368</v>
      </c>
      <c r="AM2008" s="1129"/>
      <c r="AN2008" s="1129">
        <f>I2008*2</f>
        <v>5400</v>
      </c>
      <c r="AO2008" s="562"/>
      <c r="AP2008" s="556">
        <f>I2008*2</f>
        <v>5400</v>
      </c>
      <c r="AQ2008" s="562"/>
      <c r="AR2008" s="1138"/>
      <c r="AS2008" s="562"/>
      <c r="AT2008" s="562"/>
      <c r="AU2008" s="556">
        <f>I2008*2</f>
        <v>5400</v>
      </c>
      <c r="AV2008" s="562"/>
      <c r="AW2008" s="562"/>
      <c r="AX2008" s="1140"/>
      <c r="AY2008" s="562"/>
      <c r="AZ2008" s="562"/>
      <c r="BA2008" s="562"/>
      <c r="BB2008" s="1141">
        <f>I2008/24*2</f>
        <v>225</v>
      </c>
      <c r="BC2008" s="562"/>
      <c r="BD2008" s="562"/>
      <c r="BE2008" s="562"/>
      <c r="BF2008" s="1144"/>
      <c r="BG2008" s="566"/>
      <c r="BH2008" s="1145"/>
      <c r="BI2008" s="562"/>
      <c r="BJ2008" s="562"/>
      <c r="BK2008" s="562"/>
      <c r="BL2008" s="562"/>
      <c r="BM2008" s="562"/>
      <c r="BN2008" s="562"/>
      <c r="BO2008" s="562"/>
      <c r="BP2008" s="562"/>
      <c r="BQ2008" s="562"/>
      <c r="BR2008" s="562"/>
      <c r="BS2008" s="562"/>
      <c r="BT2008" s="562"/>
      <c r="BU2008" s="562"/>
      <c r="BV2008" s="562"/>
      <c r="BW2008" s="562"/>
      <c r="BX2008" s="562"/>
      <c r="BY2008" s="562"/>
      <c r="BZ2008" s="562"/>
      <c r="CA2008" s="1144"/>
      <c r="CB2008" s="1158"/>
      <c r="CC2008" s="1145"/>
      <c r="CD2008" s="562"/>
      <c r="CE2008" s="562"/>
      <c r="CF2008" s="562"/>
      <c r="CG2008" s="1144"/>
      <c r="CH2008" s="566"/>
      <c r="CI2008" s="1145"/>
      <c r="CJ2008" s="562"/>
      <c r="CK2008" s="562"/>
      <c r="CL2008" s="562"/>
      <c r="CM2008" s="562"/>
      <c r="CN2008" s="562"/>
      <c r="CO2008" s="562"/>
      <c r="CP2008" s="1138"/>
      <c r="CQ2008" s="1138"/>
      <c r="CR2008" s="556">
        <f>I2008</f>
        <v>2700</v>
      </c>
      <c r="CS2008" s="556">
        <f>I2008</f>
        <v>2700</v>
      </c>
      <c r="CT2008" s="556">
        <f>I2008</f>
        <v>2700</v>
      </c>
      <c r="CU2008" s="1159">
        <f t="shared" si="827"/>
        <v>0</v>
      </c>
      <c r="CV2008" s="1159">
        <f t="shared" si="823"/>
        <v>0</v>
      </c>
      <c r="CW2008" s="1159">
        <f t="shared" si="824"/>
        <v>0</v>
      </c>
      <c r="CX2008" s="1138"/>
      <c r="CY2008" s="1138"/>
      <c r="CZ2008" s="1138"/>
      <c r="DA2008" s="1138"/>
      <c r="DB2008" s="1138"/>
      <c r="DC2008" s="1138"/>
      <c r="DD2008" s="1138"/>
      <c r="DE2008" s="1138"/>
      <c r="DF2008" s="1138"/>
      <c r="DG2008" s="1138"/>
      <c r="DH2008" s="1138"/>
    </row>
    <row r="2009" s="547" customFormat="1" ht="31" customHeight="1" spans="1:113">
      <c r="A2009" s="1022">
        <v>46185</v>
      </c>
      <c r="B2009" s="626" t="s">
        <v>2811</v>
      </c>
      <c r="C2009" s="939" t="s">
        <v>98</v>
      </c>
      <c r="D2009" s="1063">
        <v>4500211446</v>
      </c>
      <c r="E2009" s="1031">
        <v>70089478</v>
      </c>
      <c r="F2009" s="563" t="s">
        <v>5722</v>
      </c>
      <c r="G2009" s="939" t="s">
        <v>8520</v>
      </c>
      <c r="H2009" s="939" t="s">
        <v>8521</v>
      </c>
      <c r="I2009" s="1023">
        <v>2704</v>
      </c>
      <c r="J2009" s="939">
        <v>0</v>
      </c>
      <c r="K2009" s="1024">
        <v>8</v>
      </c>
      <c r="L2009" s="1025">
        <f t="shared" si="802"/>
        <v>338</v>
      </c>
      <c r="M2009" s="1026">
        <v>46268</v>
      </c>
      <c r="N2009" s="1027">
        <v>46263</v>
      </c>
      <c r="O2009" s="1031"/>
      <c r="P2009" s="939"/>
      <c r="Q2009" s="999"/>
      <c r="R2009" s="999">
        <v>46185</v>
      </c>
      <c r="S2009" s="999" t="s">
        <v>70</v>
      </c>
      <c r="T2009" s="1029" t="s">
        <v>5723</v>
      </c>
      <c r="U2009" s="583"/>
      <c r="V2009" s="584"/>
      <c r="W2009" s="585"/>
      <c r="X2009" s="626" t="s">
        <v>10867</v>
      </c>
      <c r="Y2009" s="1001" t="s">
        <v>3061</v>
      </c>
      <c r="Z2009" s="626">
        <v>4.3028</v>
      </c>
      <c r="AA2009" s="1001">
        <f t="shared" si="826"/>
        <v>11634.7712</v>
      </c>
      <c r="AC2009" s="1030"/>
      <c r="AD2009" s="939" t="s">
        <v>2741</v>
      </c>
      <c r="AE2009" s="939" t="s">
        <v>82</v>
      </c>
      <c r="AF2009" s="939"/>
      <c r="AG2009" s="939"/>
      <c r="AH2009" s="626"/>
      <c r="AI2009" s="609"/>
      <c r="AJ2009" s="618">
        <f t="shared" si="818"/>
        <v>-2704</v>
      </c>
      <c r="AK2009" s="1031"/>
      <c r="AL2009" s="939" t="s">
        <v>2368</v>
      </c>
      <c r="AM2009" s="939"/>
      <c r="AN2009" s="939">
        <f>I2009*2</f>
        <v>5408</v>
      </c>
      <c r="AO2009" s="563"/>
      <c r="AP2009" s="554">
        <f>I2009*2</f>
        <v>5408</v>
      </c>
      <c r="AQ2009" s="563"/>
      <c r="AR2009" s="1015"/>
      <c r="AS2009" s="563"/>
      <c r="AT2009" s="563"/>
      <c r="AU2009" s="554">
        <f>I2009*2</f>
        <v>5408</v>
      </c>
      <c r="AV2009" s="563"/>
      <c r="AW2009" s="563"/>
      <c r="AX2009" s="1004"/>
      <c r="AY2009" s="563"/>
      <c r="AZ2009" s="563"/>
      <c r="BA2009" s="563"/>
      <c r="BB2009" s="1017">
        <f>I2009/24*2</f>
        <v>225.333333333333</v>
      </c>
      <c r="BC2009" s="563"/>
      <c r="BD2009" s="563"/>
      <c r="BE2009" s="563"/>
      <c r="BF2009" s="1032"/>
      <c r="BG2009" s="560"/>
      <c r="BH2009" s="1033"/>
      <c r="BI2009" s="563"/>
      <c r="BJ2009" s="563"/>
      <c r="BK2009" s="563"/>
      <c r="BL2009" s="563"/>
      <c r="BM2009" s="563"/>
      <c r="BN2009" s="563"/>
      <c r="BO2009" s="563"/>
      <c r="BP2009" s="563"/>
      <c r="BQ2009" s="563"/>
      <c r="BR2009" s="563"/>
      <c r="BS2009" s="563"/>
      <c r="BT2009" s="563"/>
      <c r="BU2009" s="563"/>
      <c r="BV2009" s="563"/>
      <c r="BW2009" s="563"/>
      <c r="BX2009" s="563"/>
      <c r="BY2009" s="563"/>
      <c r="BZ2009" s="563"/>
      <c r="CA2009" s="1066"/>
      <c r="CB2009" s="567"/>
      <c r="CC2009" s="1033"/>
      <c r="CD2009" s="563">
        <f>I2009</f>
        <v>2704</v>
      </c>
      <c r="CE2009" s="563"/>
      <c r="CF2009" s="563"/>
      <c r="CG2009" s="1032"/>
      <c r="CH2009" s="560"/>
      <c r="CI2009" s="1033"/>
      <c r="CJ2009" s="563"/>
      <c r="CK2009" s="563"/>
      <c r="CL2009" s="563"/>
      <c r="CM2009" s="563"/>
      <c r="CN2009" s="563"/>
      <c r="CO2009" s="563"/>
      <c r="CP2009" s="1015"/>
      <c r="CQ2009" s="1015"/>
      <c r="CR2009" s="563"/>
      <c r="CS2009" s="563"/>
      <c r="CT2009" s="563"/>
      <c r="CU2009" s="687">
        <f t="shared" si="827"/>
        <v>0</v>
      </c>
      <c r="CV2009" s="687">
        <f t="shared" si="823"/>
        <v>0</v>
      </c>
      <c r="CW2009" s="687">
        <f t="shared" si="824"/>
        <v>0</v>
      </c>
      <c r="CX2009" s="1015"/>
      <c r="CY2009" s="1015"/>
      <c r="CZ2009" s="1015"/>
      <c r="DA2009" s="1015"/>
      <c r="DB2009" s="1015"/>
      <c r="DC2009" s="1015"/>
      <c r="DD2009" s="1015"/>
      <c r="DE2009" s="1015"/>
      <c r="DF2009" s="1015"/>
      <c r="DG2009" s="1015"/>
      <c r="DH2009" s="1015"/>
    </row>
    <row r="2010" s="558" customFormat="1" ht="31" customHeight="1" spans="1:113">
      <c r="A2010" s="1022">
        <v>46211</v>
      </c>
      <c r="B2010" s="626" t="s">
        <v>5726</v>
      </c>
      <c r="C2010" s="939" t="s">
        <v>154</v>
      </c>
      <c r="D2010" s="1063">
        <v>4500215662</v>
      </c>
      <c r="E2010" s="1031">
        <v>55073610</v>
      </c>
      <c r="F2010" s="563" t="s">
        <v>10868</v>
      </c>
      <c r="G2010" s="939" t="s">
        <v>6093</v>
      </c>
      <c r="H2010" s="939" t="s">
        <v>6094</v>
      </c>
      <c r="I2010" s="1023">
        <v>2340</v>
      </c>
      <c r="J2010" s="939">
        <v>0</v>
      </c>
      <c r="K2010" s="939">
        <v>13</v>
      </c>
      <c r="L2010" s="1064">
        <f t="shared" si="802"/>
        <v>180</v>
      </c>
      <c r="M2010" s="1027">
        <v>46268</v>
      </c>
      <c r="N2010" s="1027">
        <v>46263</v>
      </c>
      <c r="O2010" s="1031"/>
      <c r="P2010" s="939"/>
      <c r="Q2010" s="999"/>
      <c r="R2010" s="999">
        <v>46216</v>
      </c>
      <c r="S2010" s="999" t="s">
        <v>70</v>
      </c>
      <c r="T2010" s="1040" t="s">
        <v>10869</v>
      </c>
      <c r="U2010" s="1040"/>
      <c r="V2010" s="1039"/>
      <c r="W2010" s="603"/>
      <c r="X2010" s="1081" t="s">
        <v>10870</v>
      </c>
      <c r="Y2010" s="1001" t="s">
        <v>5730</v>
      </c>
      <c r="Z2010" s="626">
        <v>0.9448</v>
      </c>
      <c r="AA2010" s="1060">
        <f t="shared" si="826"/>
        <v>2210.832</v>
      </c>
      <c r="AB2010" s="603"/>
      <c r="AC2010" s="1061"/>
      <c r="AD2010" s="939" t="s">
        <v>6093</v>
      </c>
      <c r="AE2010" s="992" t="s">
        <v>82</v>
      </c>
      <c r="AF2010" s="939"/>
      <c r="AG2010" s="939"/>
      <c r="AH2010" s="626"/>
      <c r="AI2010" s="626"/>
      <c r="AJ2010" s="939">
        <f t="shared" si="818"/>
        <v>-2340</v>
      </c>
      <c r="AK2010" s="1031"/>
      <c r="AL2010" s="939" t="s">
        <v>454</v>
      </c>
      <c r="AM2010" s="939"/>
      <c r="AN2010" s="939"/>
      <c r="AO2010" s="563">
        <f>I2010</f>
        <v>2340</v>
      </c>
      <c r="AP2010" s="563"/>
      <c r="AQ2010" s="563"/>
      <c r="AR2010" s="1015"/>
      <c r="AS2010" s="563"/>
      <c r="AT2010" s="562">
        <f>I2010</f>
        <v>2340</v>
      </c>
      <c r="AU2010" s="563"/>
      <c r="AV2010" s="563">
        <f>I2010</f>
        <v>2340</v>
      </c>
      <c r="AW2010" s="563"/>
      <c r="AX2010" s="1004"/>
      <c r="AY2010" s="563"/>
      <c r="AZ2010" s="563"/>
      <c r="BA2010" s="563"/>
      <c r="BB2010" s="1017">
        <f>I2010/24</f>
        <v>97.5</v>
      </c>
      <c r="BC2010" s="563"/>
      <c r="BD2010" s="563"/>
      <c r="BE2010" s="563"/>
      <c r="BF2010" s="563"/>
      <c r="BG2010" s="558"/>
      <c r="BH2010" s="563"/>
      <c r="BI2010" s="563"/>
      <c r="BJ2010" s="563"/>
      <c r="BK2010" s="563"/>
      <c r="BL2010" s="563"/>
      <c r="BM2010" s="563">
        <f>I2010/13</f>
        <v>180</v>
      </c>
      <c r="BN2010" s="563"/>
      <c r="BO2010" s="563"/>
      <c r="BP2010" s="563"/>
      <c r="BQ2010" s="563"/>
      <c r="BR2010" s="563"/>
      <c r="BS2010" s="563"/>
      <c r="BT2010" s="563"/>
      <c r="BU2010" s="563"/>
      <c r="BV2010" s="563"/>
      <c r="BW2010" s="563"/>
      <c r="BX2010" s="563"/>
      <c r="BY2010" s="563"/>
      <c r="BZ2010" s="563"/>
      <c r="CA2010" s="1066"/>
      <c r="CB2010" s="560"/>
      <c r="CC2010" s="1067"/>
      <c r="CD2010" s="1015"/>
      <c r="CE2010" s="1015"/>
      <c r="CF2010" s="563"/>
      <c r="CG2010" s="563"/>
      <c r="CH2010" s="558"/>
      <c r="CI2010" s="563"/>
      <c r="CJ2010" s="563"/>
      <c r="CK2010" s="563"/>
      <c r="CL2010" s="563"/>
      <c r="CM2010" s="563"/>
      <c r="CN2010" s="563"/>
      <c r="CO2010" s="563"/>
      <c r="CP2010" s="1015"/>
      <c r="CQ2010" s="1015"/>
      <c r="CR2010" s="563"/>
      <c r="CS2010" s="563"/>
      <c r="CT2010" s="563"/>
      <c r="CU2010" s="563">
        <f t="shared" si="827"/>
        <v>0</v>
      </c>
      <c r="CV2010" s="563">
        <f t="shared" si="823"/>
        <v>0</v>
      </c>
      <c r="CW2010" s="563">
        <f t="shared" si="824"/>
        <v>0</v>
      </c>
      <c r="CX2010" s="1015"/>
      <c r="CY2010" s="1015"/>
      <c r="CZ2010" s="1015"/>
      <c r="DA2010" s="1015"/>
      <c r="DB2010" s="1015"/>
      <c r="DC2010" s="1015"/>
      <c r="DD2010" s="1015"/>
      <c r="DE2010" s="1015"/>
      <c r="DF2010" s="1015"/>
      <c r="DG2010" s="1015"/>
      <c r="DH2010" s="1015"/>
      <c r="DI2010" s="563"/>
    </row>
    <row r="2011" s="547" customFormat="1" ht="31" customHeight="1" spans="1:113">
      <c r="A2011" s="991">
        <v>46211</v>
      </c>
      <c r="B2011" s="601" t="s">
        <v>5726</v>
      </c>
      <c r="C2011" s="992" t="s">
        <v>154</v>
      </c>
      <c r="D2011" s="993">
        <v>4500215662</v>
      </c>
      <c r="E2011" s="994">
        <v>55073620</v>
      </c>
      <c r="F2011" s="586" t="s">
        <v>5727</v>
      </c>
      <c r="G2011" s="992" t="s">
        <v>6337</v>
      </c>
      <c r="H2011" s="992" t="s">
        <v>477</v>
      </c>
      <c r="I2011" s="995">
        <v>3420</v>
      </c>
      <c r="J2011" s="992">
        <v>0</v>
      </c>
      <c r="K2011" s="996">
        <v>6</v>
      </c>
      <c r="L2011" s="997">
        <f t="shared" si="802"/>
        <v>570</v>
      </c>
      <c r="M2011" s="998">
        <v>46268</v>
      </c>
      <c r="N2011" s="1027">
        <v>46263</v>
      </c>
      <c r="O2011" s="994"/>
      <c r="P2011" s="992"/>
      <c r="Q2011" s="584"/>
      <c r="R2011" s="999">
        <v>46216</v>
      </c>
      <c r="S2011" s="999" t="s">
        <v>70</v>
      </c>
      <c r="T2011" s="1013" t="s">
        <v>10871</v>
      </c>
      <c r="U2011" s="1109"/>
      <c r="V2011" s="1109"/>
      <c r="W2011" s="1160" t="s">
        <v>10872</v>
      </c>
      <c r="X2011" s="1075" t="s">
        <v>5729</v>
      </c>
      <c r="Y2011" s="1000" t="s">
        <v>5730</v>
      </c>
      <c r="Z2011" s="601">
        <v>6.9975</v>
      </c>
      <c r="AA2011" s="1060">
        <f t="shared" si="826"/>
        <v>23931.45</v>
      </c>
      <c r="AB2011" s="560"/>
      <c r="AC2011" s="1062"/>
      <c r="AD2011" s="939" t="s">
        <v>480</v>
      </c>
      <c r="AE2011" s="992" t="s">
        <v>82</v>
      </c>
      <c r="AF2011" s="992"/>
      <c r="AG2011" s="992"/>
      <c r="AH2011" s="601"/>
      <c r="AI2011" s="609"/>
      <c r="AJ2011" s="939">
        <f t="shared" si="818"/>
        <v>-3420</v>
      </c>
      <c r="AK2011" s="994"/>
      <c r="AL2011" s="992" t="s">
        <v>2368</v>
      </c>
      <c r="AM2011" s="992"/>
      <c r="AN2011" s="992"/>
      <c r="AO2011" s="563">
        <f>I2011*2</f>
        <v>6840</v>
      </c>
      <c r="AP2011" s="586"/>
      <c r="AQ2011" s="586"/>
      <c r="AR2011" s="1003"/>
      <c r="AS2011" s="586"/>
      <c r="AT2011" s="562">
        <f>I2011</f>
        <v>3420</v>
      </c>
      <c r="AU2011" s="586"/>
      <c r="AV2011" s="563">
        <f>I2011</f>
        <v>3420</v>
      </c>
      <c r="AW2011" s="586"/>
      <c r="AX2011" s="563"/>
      <c r="AY2011" s="586"/>
      <c r="AZ2011" s="586"/>
      <c r="BA2011" s="1004"/>
      <c r="BB2011" s="1017">
        <f>I2011/24*2</f>
        <v>285</v>
      </c>
      <c r="BC2011" s="586"/>
      <c r="BD2011" s="586"/>
      <c r="BE2011" s="586"/>
      <c r="BF2011" s="1005"/>
      <c r="BG2011" s="561"/>
      <c r="BH2011" s="1006"/>
      <c r="BI2011" s="586"/>
      <c r="BJ2011" s="586"/>
      <c r="BK2011" s="586"/>
      <c r="BL2011" s="586"/>
      <c r="BM2011" s="586"/>
      <c r="BN2011" s="586"/>
      <c r="BO2011" s="586"/>
      <c r="BP2011" s="586"/>
      <c r="BQ2011" s="586"/>
      <c r="BR2011" s="586"/>
      <c r="BS2011" s="586"/>
      <c r="BT2011" s="586"/>
      <c r="BU2011" s="586"/>
      <c r="BV2011" s="586"/>
      <c r="BW2011" s="586"/>
      <c r="BX2011" s="586"/>
      <c r="BY2011" s="586"/>
      <c r="BZ2011" s="563">
        <f>I2011</f>
        <v>3420</v>
      </c>
      <c r="CA2011" s="1007"/>
      <c r="CB2011" s="560"/>
      <c r="CC2011" s="1006"/>
      <c r="CD2011" s="586"/>
      <c r="CE2011" s="586"/>
      <c r="CF2011" s="586"/>
      <c r="CG2011" s="1005"/>
      <c r="CH2011" s="561"/>
      <c r="CI2011" s="1006"/>
      <c r="CJ2011" s="586"/>
      <c r="CK2011" s="586"/>
      <c r="CL2011" s="586"/>
      <c r="CM2011" s="586"/>
      <c r="CN2011" s="586"/>
      <c r="CO2011" s="586"/>
      <c r="CP2011" s="1003"/>
      <c r="CQ2011" s="1003"/>
      <c r="CR2011" s="586"/>
      <c r="CS2011" s="586"/>
      <c r="CT2011" s="586"/>
      <c r="CU2011" s="563">
        <f t="shared" si="827"/>
        <v>0</v>
      </c>
      <c r="CV2011" s="563">
        <v>0</v>
      </c>
      <c r="CW2011" s="563">
        <v>0</v>
      </c>
      <c r="CX2011" s="1003"/>
      <c r="CY2011" s="1003"/>
      <c r="CZ2011" s="1003"/>
      <c r="DA2011" s="1003"/>
      <c r="DB2011" s="1003"/>
      <c r="DC2011" s="1003"/>
      <c r="DD2011" s="1003"/>
      <c r="DE2011" s="1003"/>
      <c r="DF2011" s="1003"/>
      <c r="DG2011" s="1003"/>
      <c r="DH2011" s="1003"/>
    </row>
    <row r="2012" s="558" customFormat="1" ht="31" customHeight="1" spans="1:113">
      <c r="A2012" s="991">
        <v>46211</v>
      </c>
      <c r="B2012" s="601" t="s">
        <v>3996</v>
      </c>
      <c r="C2012" s="992" t="s">
        <v>278</v>
      </c>
      <c r="D2012" s="993">
        <v>4500215680</v>
      </c>
      <c r="E2012" s="994">
        <v>50073590</v>
      </c>
      <c r="F2012" s="586" t="s">
        <v>10873</v>
      </c>
      <c r="G2012" s="992" t="s">
        <v>6093</v>
      </c>
      <c r="H2012" s="992" t="s">
        <v>6094</v>
      </c>
      <c r="I2012" s="995">
        <v>2028</v>
      </c>
      <c r="J2012" s="992">
        <v>0</v>
      </c>
      <c r="K2012" s="992">
        <v>13</v>
      </c>
      <c r="L2012" s="1161">
        <f t="shared" si="802"/>
        <v>156</v>
      </c>
      <c r="M2012" s="1079">
        <v>46268</v>
      </c>
      <c r="N2012" s="1079">
        <v>46263</v>
      </c>
      <c r="O2012" s="994"/>
      <c r="P2012" s="992"/>
      <c r="Q2012" s="584"/>
      <c r="R2012" s="584">
        <v>46216</v>
      </c>
      <c r="S2012" s="584" t="s">
        <v>70</v>
      </c>
      <c r="T2012" s="1050" t="s">
        <v>10874</v>
      </c>
      <c r="U2012" s="1050"/>
      <c r="V2012" s="1123"/>
      <c r="W2012" s="1056"/>
      <c r="X2012" s="1111" t="s">
        <v>10875</v>
      </c>
      <c r="Y2012" s="1000" t="s">
        <v>2199</v>
      </c>
      <c r="Z2012" s="601">
        <v>0.9448</v>
      </c>
      <c r="AA2012" s="1106">
        <f t="shared" si="826"/>
        <v>1916.0544</v>
      </c>
      <c r="AB2012" s="1056"/>
      <c r="AC2012" s="1062"/>
      <c r="AD2012" s="992" t="s">
        <v>6093</v>
      </c>
      <c r="AE2012" s="992" t="s">
        <v>82</v>
      </c>
      <c r="AF2012" s="992"/>
      <c r="AG2012" s="992"/>
      <c r="AH2012" s="601"/>
      <c r="AI2012" s="601"/>
      <c r="AJ2012" s="992">
        <f t="shared" si="818"/>
        <v>-2028</v>
      </c>
      <c r="AK2012" s="994"/>
      <c r="AL2012" s="992" t="s">
        <v>2368</v>
      </c>
      <c r="AM2012" s="992"/>
      <c r="AN2012" s="992"/>
      <c r="AO2012" s="586">
        <f>I2012</f>
        <v>2028</v>
      </c>
      <c r="AP2012" s="586"/>
      <c r="AQ2012" s="586"/>
      <c r="AR2012" s="1003"/>
      <c r="AS2012" s="586"/>
      <c r="AT2012" s="1087">
        <f>I2012</f>
        <v>2028</v>
      </c>
      <c r="AU2012" s="586"/>
      <c r="AV2012" s="586">
        <f>I2012</f>
        <v>2028</v>
      </c>
      <c r="AW2012" s="586"/>
      <c r="AX2012" s="1049"/>
      <c r="AY2012" s="586"/>
      <c r="AZ2012" s="586"/>
      <c r="BA2012" s="586"/>
      <c r="BB2012" s="1078">
        <f>I2012/24</f>
        <v>84.5</v>
      </c>
      <c r="BC2012" s="586"/>
      <c r="BD2012" s="586"/>
      <c r="BE2012" s="586"/>
      <c r="BF2012" s="586"/>
      <c r="BG2012" s="558"/>
      <c r="BH2012" s="586"/>
      <c r="BI2012" s="586"/>
      <c r="BJ2012" s="586"/>
      <c r="BK2012" s="586"/>
      <c r="BL2012" s="586"/>
      <c r="BM2012" s="586">
        <f>I2012/13</f>
        <v>156</v>
      </c>
      <c r="BN2012" s="586"/>
      <c r="BO2012" s="586"/>
      <c r="BP2012" s="586"/>
      <c r="BQ2012" s="586"/>
      <c r="BR2012" s="586"/>
      <c r="BS2012" s="586"/>
      <c r="BT2012" s="586"/>
      <c r="BU2012" s="586"/>
      <c r="BV2012" s="586"/>
      <c r="BW2012" s="586"/>
      <c r="BX2012" s="586"/>
      <c r="BY2012" s="586"/>
      <c r="BZ2012" s="586"/>
      <c r="CA2012" s="1007"/>
      <c r="CB2012" s="561"/>
      <c r="CC2012" s="1162"/>
      <c r="CD2012" s="1003"/>
      <c r="CE2012" s="1003"/>
      <c r="CF2012" s="586"/>
      <c r="CG2012" s="586"/>
      <c r="CH2012" s="558"/>
      <c r="CI2012" s="586"/>
      <c r="CJ2012" s="586"/>
      <c r="CK2012" s="586"/>
      <c r="CL2012" s="586"/>
      <c r="CM2012" s="586"/>
      <c r="CN2012" s="586"/>
      <c r="CO2012" s="586"/>
      <c r="CP2012" s="1003"/>
      <c r="CQ2012" s="1003"/>
      <c r="CR2012" s="586"/>
      <c r="CS2012" s="586"/>
      <c r="CT2012" s="586"/>
      <c r="CU2012" s="586">
        <f t="shared" si="827"/>
        <v>0</v>
      </c>
      <c r="CV2012" s="586">
        <f t="shared" ref="CV2012:CV2022" si="828">CK2012+CL2012+CM2012+CN2012+CO2012+CQ2012+CP2012</f>
        <v>0</v>
      </c>
      <c r="CW2012" s="586">
        <f t="shared" ref="CW2012:CW2022" si="829">CI2012+CJ2012</f>
        <v>0</v>
      </c>
      <c r="CX2012" s="1003"/>
      <c r="CY2012" s="1003"/>
      <c r="CZ2012" s="1003"/>
      <c r="DA2012" s="1003"/>
      <c r="DB2012" s="1003"/>
      <c r="DC2012" s="1003"/>
      <c r="DD2012" s="1003"/>
      <c r="DE2012" s="1003"/>
      <c r="DF2012" s="1003"/>
      <c r="DG2012" s="1003"/>
      <c r="DH2012" s="1003"/>
      <c r="DI2012" s="586"/>
    </row>
    <row r="2013" s="558" customFormat="1" ht="31" customHeight="1" spans="1:113">
      <c r="A2013" s="1022">
        <v>46226</v>
      </c>
      <c r="B2013" s="626" t="s">
        <v>5738</v>
      </c>
      <c r="C2013" s="939" t="s">
        <v>524</v>
      </c>
      <c r="D2013" s="563">
        <v>4500217509</v>
      </c>
      <c r="E2013" s="939"/>
      <c r="F2013" s="563" t="s">
        <v>10876</v>
      </c>
      <c r="G2013" s="939" t="s">
        <v>6043</v>
      </c>
      <c r="H2013" s="939" t="s">
        <v>6110</v>
      </c>
      <c r="I2013" s="1023">
        <v>2100</v>
      </c>
      <c r="J2013" s="939">
        <v>0</v>
      </c>
      <c r="K2013" s="1024">
        <v>50</v>
      </c>
      <c r="L2013" s="1025">
        <f t="shared" si="802"/>
        <v>42</v>
      </c>
      <c r="M2013" s="1026">
        <v>46269</v>
      </c>
      <c r="N2013" s="1027">
        <v>46265</v>
      </c>
      <c r="O2013" s="1028" t="s">
        <v>5740</v>
      </c>
      <c r="P2013" s="939"/>
      <c r="Q2013" s="999"/>
      <c r="R2013" s="1040">
        <v>46233</v>
      </c>
      <c r="S2013" s="1039" t="s">
        <v>70</v>
      </c>
      <c r="T2013" s="1039" t="s">
        <v>10877</v>
      </c>
      <c r="U2013" s="1039"/>
      <c r="V2013" s="1039"/>
      <c r="W2013" s="585"/>
      <c r="X2013" s="1075" t="s">
        <v>10878</v>
      </c>
      <c r="Y2013" s="1001" t="s">
        <v>340</v>
      </c>
      <c r="Z2013" s="626">
        <v>0.9998</v>
      </c>
      <c r="AA2013" s="1001">
        <f t="shared" si="826"/>
        <v>2099.58</v>
      </c>
      <c r="AC2013" s="1030"/>
      <c r="AD2013" s="626" t="s">
        <v>6043</v>
      </c>
      <c r="AE2013" s="939" t="s">
        <v>82</v>
      </c>
      <c r="AF2013" s="939"/>
      <c r="AG2013" s="939"/>
      <c r="AH2013" s="626"/>
      <c r="AI2013" s="626"/>
      <c r="AJ2013" s="939">
        <f t="shared" si="818"/>
        <v>-2100</v>
      </c>
      <c r="AK2013" s="1031"/>
      <c r="AL2013" s="939" t="s">
        <v>2368</v>
      </c>
      <c r="AM2013" s="939"/>
      <c r="AN2013" s="939"/>
      <c r="AO2013" s="563">
        <f>I2013</f>
        <v>2100</v>
      </c>
      <c r="AP2013" s="563"/>
      <c r="AQ2013" s="563"/>
      <c r="AR2013" s="1015"/>
      <c r="AS2013" s="563"/>
      <c r="AT2013" s="563">
        <f>I2013</f>
        <v>2100</v>
      </c>
      <c r="AU2013" s="563"/>
      <c r="AV2013" s="563">
        <f>I2013</f>
        <v>2100</v>
      </c>
      <c r="AW2013" s="563"/>
      <c r="AX2013" s="1004"/>
      <c r="AY2013" s="563"/>
      <c r="AZ2013" s="563"/>
      <c r="BA2013" s="563"/>
      <c r="BB2013" s="1017">
        <f>I2013/24</f>
        <v>87.5</v>
      </c>
      <c r="BC2013" s="563"/>
      <c r="BD2013" s="563"/>
      <c r="BE2013" s="563"/>
      <c r="BF2013" s="1032"/>
      <c r="BG2013" s="560"/>
      <c r="BH2013" s="1033"/>
      <c r="BI2013" s="563"/>
      <c r="BJ2013" s="563"/>
      <c r="BK2013" s="563"/>
      <c r="BL2013" s="563"/>
      <c r="BM2013" s="563"/>
      <c r="BN2013" s="563"/>
      <c r="BO2013" s="563"/>
      <c r="BP2013" s="563">
        <f>I2013/25</f>
        <v>84</v>
      </c>
      <c r="BQ2013" s="563"/>
      <c r="BR2013" s="563"/>
      <c r="BS2013" s="563"/>
      <c r="BT2013" s="563"/>
      <c r="BU2013" s="563"/>
      <c r="BV2013" s="563"/>
      <c r="BW2013" s="563"/>
      <c r="BX2013" s="563"/>
      <c r="BY2013" s="563"/>
      <c r="BZ2013" s="563"/>
      <c r="CA2013" s="1032"/>
      <c r="CB2013" s="560"/>
      <c r="CC2013" s="1033"/>
      <c r="CD2013" s="563"/>
      <c r="CE2013" s="563"/>
      <c r="CF2013" s="563"/>
      <c r="CG2013" s="1032"/>
      <c r="CH2013" s="560"/>
      <c r="CI2013" s="1033"/>
      <c r="CJ2013" s="563"/>
      <c r="CK2013" s="563"/>
      <c r="CL2013" s="563"/>
      <c r="CM2013" s="563"/>
      <c r="CN2013" s="563"/>
      <c r="CO2013" s="563"/>
      <c r="CP2013" s="1015"/>
      <c r="CQ2013" s="1015"/>
      <c r="CR2013" s="563"/>
      <c r="CS2013" s="563"/>
      <c r="CT2013" s="563"/>
      <c r="CU2013" s="563">
        <f t="shared" si="827"/>
        <v>84</v>
      </c>
      <c r="CV2013" s="563">
        <f t="shared" si="828"/>
        <v>0</v>
      </c>
      <c r="CW2013" s="563">
        <f t="shared" si="829"/>
        <v>0</v>
      </c>
      <c r="CX2013" s="1015"/>
      <c r="CY2013" s="1015"/>
      <c r="CZ2013" s="1015"/>
      <c r="DA2013" s="1015"/>
      <c r="DB2013" s="1015"/>
      <c r="DC2013" s="1015"/>
      <c r="DD2013" s="1015"/>
      <c r="DE2013" s="1015"/>
      <c r="DF2013" s="1015"/>
      <c r="DG2013" s="1015"/>
      <c r="DH2013" s="1015"/>
    </row>
    <row r="2014" s="560" customFormat="1" ht="31" customHeight="1" spans="1:113">
      <c r="A2014" s="1034">
        <v>46224</v>
      </c>
      <c r="B2014" s="603" t="s">
        <v>143</v>
      </c>
      <c r="C2014" s="1035" t="s">
        <v>98</v>
      </c>
      <c r="D2014" s="560">
        <v>4500217255</v>
      </c>
      <c r="E2014" s="1427" t="s">
        <v>10879</v>
      </c>
      <c r="F2014" s="560" t="s">
        <v>10880</v>
      </c>
      <c r="G2014" s="1035" t="s">
        <v>6063</v>
      </c>
      <c r="H2014" s="1035" t="s">
        <v>6064</v>
      </c>
      <c r="I2014" s="1036">
        <v>9600</v>
      </c>
      <c r="J2014" s="1035">
        <v>0</v>
      </c>
      <c r="K2014" s="1035">
        <v>16</v>
      </c>
      <c r="L2014" s="1025">
        <f t="shared" si="802"/>
        <v>600</v>
      </c>
      <c r="M2014" s="1037">
        <v>46269</v>
      </c>
      <c r="N2014" s="1037">
        <v>46265</v>
      </c>
      <c r="O2014" s="1043"/>
      <c r="P2014" s="1035"/>
      <c r="Q2014" s="1039"/>
      <c r="R2014" s="1039" t="s">
        <v>9889</v>
      </c>
      <c r="S2014" s="1039" t="s">
        <v>70</v>
      </c>
      <c r="T2014" s="1039" t="s">
        <v>10860</v>
      </c>
      <c r="U2014" s="1039"/>
      <c r="V2014" s="1039"/>
      <c r="W2014" s="603"/>
      <c r="X2014" s="603" t="s">
        <v>10881</v>
      </c>
      <c r="Y2014" s="1042" t="s">
        <v>106</v>
      </c>
      <c r="Z2014" s="603">
        <v>0.6301</v>
      </c>
      <c r="AA2014" s="1042">
        <f t="shared" si="826"/>
        <v>6048.96</v>
      </c>
      <c r="AB2014" s="603"/>
      <c r="AC2014" s="1030"/>
      <c r="AD2014" s="1035" t="s">
        <v>6063</v>
      </c>
      <c r="AE2014" s="1035" t="s">
        <v>82</v>
      </c>
      <c r="AF2014" s="1035"/>
      <c r="AG2014" s="1035"/>
      <c r="AH2014" s="603"/>
      <c r="AI2014" s="603"/>
      <c r="AJ2014" s="1035">
        <f t="shared" si="818"/>
        <v>-9600</v>
      </c>
      <c r="AK2014" s="1043"/>
      <c r="AL2014" s="1035" t="s">
        <v>2368</v>
      </c>
      <c r="AM2014" s="1035"/>
      <c r="AN2014" s="1035">
        <f>I2014</f>
        <v>9600</v>
      </c>
      <c r="AP2014" s="560">
        <f>I2014</f>
        <v>9600</v>
      </c>
      <c r="AR2014" s="1044"/>
      <c r="AS2014" s="560"/>
      <c r="AT2014" s="560"/>
      <c r="AU2014" s="560">
        <f>I2014</f>
        <v>9600</v>
      </c>
      <c r="AX2014" s="1045"/>
      <c r="AY2014" s="560"/>
      <c r="AZ2014" s="560"/>
      <c r="BA2014" s="560"/>
      <c r="BB2014" s="1116">
        <f>I2014/24</f>
        <v>400</v>
      </c>
      <c r="BQ2014" s="560">
        <f>I2014/16</f>
        <v>600</v>
      </c>
      <c r="CA2014" s="1044"/>
      <c r="CB2014" s="560"/>
      <c r="CC2014" s="560"/>
      <c r="CD2014" s="560"/>
      <c r="CE2014" s="560"/>
      <c r="CF2014" s="560"/>
      <c r="CG2014" s="560"/>
      <c r="CH2014" s="560"/>
      <c r="CI2014" s="560"/>
      <c r="CJ2014" s="560"/>
      <c r="CK2014" s="560"/>
      <c r="CL2014" s="560"/>
      <c r="CM2014" s="560"/>
      <c r="CN2014" s="560"/>
      <c r="CO2014" s="560"/>
      <c r="CP2014" s="1044"/>
      <c r="CQ2014" s="1044"/>
      <c r="CR2014" s="560"/>
      <c r="CS2014" s="560"/>
      <c r="CT2014" s="560"/>
      <c r="CU2014" s="560">
        <f t="shared" si="827"/>
        <v>600</v>
      </c>
      <c r="CV2014" s="560">
        <f t="shared" si="828"/>
        <v>0</v>
      </c>
      <c r="CW2014" s="560">
        <f t="shared" si="829"/>
        <v>0</v>
      </c>
      <c r="CX2014" s="1044"/>
      <c r="CY2014" s="1044"/>
      <c r="CZ2014" s="1044"/>
      <c r="DA2014" s="1044"/>
      <c r="DB2014" s="1044"/>
      <c r="DC2014" s="1044"/>
      <c r="DD2014" s="1044"/>
      <c r="DE2014" s="1044"/>
      <c r="DF2014" s="1044"/>
      <c r="DG2014" s="1044"/>
      <c r="DH2014" s="1044"/>
    </row>
    <row r="2015" s="558" customFormat="1" ht="31" customHeight="1" spans="1:113">
      <c r="A2015" s="1127">
        <v>46212</v>
      </c>
      <c r="B2015" s="1128" t="s">
        <v>1642</v>
      </c>
      <c r="C2015" s="1129" t="s">
        <v>723</v>
      </c>
      <c r="D2015" s="1130">
        <v>4500215819</v>
      </c>
      <c r="E2015" s="1129" t="s">
        <v>5748</v>
      </c>
      <c r="F2015" s="562" t="s">
        <v>10882</v>
      </c>
      <c r="G2015" s="1129" t="s">
        <v>6040</v>
      </c>
      <c r="H2015" s="1129" t="s">
        <v>6041</v>
      </c>
      <c r="I2015" s="1132">
        <v>780</v>
      </c>
      <c r="J2015" s="1129">
        <v>0</v>
      </c>
      <c r="K2015" s="1129">
        <v>52</v>
      </c>
      <c r="L2015" s="1133">
        <f t="shared" si="802"/>
        <v>15</v>
      </c>
      <c r="M2015" s="1134">
        <v>46269</v>
      </c>
      <c r="N2015" s="1134">
        <v>46265</v>
      </c>
      <c r="O2015" s="1131"/>
      <c r="P2015" s="1129"/>
      <c r="Q2015" s="1029"/>
      <c r="R2015" s="1029">
        <v>46212</v>
      </c>
      <c r="S2015" s="1029" t="s">
        <v>70</v>
      </c>
      <c r="T2015" s="1029" t="s">
        <v>10883</v>
      </c>
      <c r="U2015" s="1029"/>
      <c r="V2015" s="1029"/>
      <c r="W2015" s="585"/>
      <c r="X2015" s="1128" t="s">
        <v>10884</v>
      </c>
      <c r="Y2015" s="1136" t="s">
        <v>1793</v>
      </c>
      <c r="Z2015" s="1128">
        <v>0.9575</v>
      </c>
      <c r="AA2015" s="1136">
        <f t="shared" si="826"/>
        <v>746.85</v>
      </c>
      <c r="AB2015" s="585"/>
      <c r="AC2015" s="1137"/>
      <c r="AD2015" s="1129" t="s">
        <v>6040</v>
      </c>
      <c r="AE2015" s="1084" t="s">
        <v>82</v>
      </c>
      <c r="AF2015" s="1129"/>
      <c r="AG2015" s="1129"/>
      <c r="AH2015" s="1128"/>
      <c r="AI2015" s="1128"/>
      <c r="AJ2015" s="1129">
        <f t="shared" si="818"/>
        <v>-780</v>
      </c>
      <c r="AK2015" s="1131"/>
      <c r="AL2015" s="1129" t="s">
        <v>2368</v>
      </c>
      <c r="AM2015" s="1129"/>
      <c r="AN2015" s="1129"/>
      <c r="AO2015" s="562">
        <f>I2015</f>
        <v>780</v>
      </c>
      <c r="AP2015" s="562"/>
      <c r="AQ2015" s="562"/>
      <c r="AR2015" s="1138"/>
      <c r="AS2015" s="562"/>
      <c r="AT2015" s="562">
        <f>I2015</f>
        <v>780</v>
      </c>
      <c r="AU2015" s="562"/>
      <c r="AV2015" s="562">
        <f>I2015</f>
        <v>780</v>
      </c>
      <c r="AW2015" s="562"/>
      <c r="AX2015" s="1140"/>
      <c r="AY2015" s="562"/>
      <c r="AZ2015" s="562"/>
      <c r="BA2015" s="562"/>
      <c r="BB2015" s="1141">
        <f>I2015/24</f>
        <v>32.5</v>
      </c>
      <c r="BC2015" s="562"/>
      <c r="BD2015" s="562"/>
      <c r="BE2015" s="562"/>
      <c r="BF2015" s="1144"/>
      <c r="BG2015" s="566"/>
      <c r="BH2015" s="1145"/>
      <c r="BI2015" s="562"/>
      <c r="BJ2015" s="562"/>
      <c r="BK2015" s="562"/>
      <c r="BL2015" s="562"/>
      <c r="BM2015" s="562">
        <f>I2015/13</f>
        <v>60</v>
      </c>
      <c r="BN2015" s="562"/>
      <c r="BO2015" s="562"/>
      <c r="BP2015" s="562"/>
      <c r="BQ2015" s="562"/>
      <c r="BR2015" s="562"/>
      <c r="BS2015" s="562"/>
      <c r="BT2015" s="562"/>
      <c r="BU2015" s="562"/>
      <c r="BV2015" s="562"/>
      <c r="BW2015" s="562"/>
      <c r="BX2015" s="562"/>
      <c r="BY2015" s="562"/>
      <c r="BZ2015" s="562"/>
      <c r="CA2015" s="1142"/>
      <c r="CB2015" s="566"/>
      <c r="CC2015" s="1143"/>
      <c r="CD2015" s="1138"/>
      <c r="CE2015" s="1138"/>
      <c r="CF2015" s="562"/>
      <c r="CG2015" s="1144"/>
      <c r="CH2015" s="566"/>
      <c r="CI2015" s="1145"/>
      <c r="CJ2015" s="562"/>
      <c r="CK2015" s="562"/>
      <c r="CL2015" s="562"/>
      <c r="CM2015" s="562"/>
      <c r="CN2015" s="562"/>
      <c r="CO2015" s="562"/>
      <c r="CP2015" s="1138"/>
      <c r="CQ2015" s="1138"/>
      <c r="CR2015" s="562"/>
      <c r="CS2015" s="562"/>
      <c r="CT2015" s="562"/>
      <c r="CU2015" s="562">
        <f t="shared" si="827"/>
        <v>0</v>
      </c>
      <c r="CV2015" s="562">
        <f t="shared" si="828"/>
        <v>0</v>
      </c>
      <c r="CW2015" s="562">
        <f t="shared" si="829"/>
        <v>0</v>
      </c>
      <c r="CX2015" s="1138"/>
      <c r="CY2015" s="1138"/>
      <c r="CZ2015" s="1138"/>
      <c r="DA2015" s="1138"/>
      <c r="DB2015" s="1138"/>
      <c r="DC2015" s="1138"/>
      <c r="DD2015" s="1138"/>
      <c r="DE2015" s="1138"/>
      <c r="DF2015" s="1138"/>
      <c r="DG2015" s="1138"/>
      <c r="DH2015" s="1138"/>
      <c r="DI2015" s="562"/>
    </row>
    <row r="2016" s="558" customFormat="1" ht="31" customHeight="1" spans="1:113">
      <c r="A2016" s="991">
        <v>46205</v>
      </c>
      <c r="B2016" s="601" t="s">
        <v>143</v>
      </c>
      <c r="C2016" s="992" t="s">
        <v>98</v>
      </c>
      <c r="D2016" s="993">
        <v>4500214822</v>
      </c>
      <c r="E2016" s="994">
        <v>1007882535</v>
      </c>
      <c r="F2016" s="586" t="s">
        <v>10885</v>
      </c>
      <c r="G2016" s="992" t="s">
        <v>6063</v>
      </c>
      <c r="H2016" s="992" t="s">
        <v>6064</v>
      </c>
      <c r="I2016" s="995">
        <v>5760</v>
      </c>
      <c r="J2016" s="992">
        <v>0</v>
      </c>
      <c r="K2016" s="996">
        <v>16</v>
      </c>
      <c r="L2016" s="997">
        <f t="shared" si="802"/>
        <v>360</v>
      </c>
      <c r="M2016" s="998">
        <v>46269</v>
      </c>
      <c r="N2016" s="1079">
        <v>46265</v>
      </c>
      <c r="O2016" s="994"/>
      <c r="P2016" s="992"/>
      <c r="Q2016" s="584"/>
      <c r="R2016" s="1109" t="s">
        <v>9889</v>
      </c>
      <c r="S2016" s="584" t="s">
        <v>70</v>
      </c>
      <c r="T2016" s="584" t="s">
        <v>10860</v>
      </c>
      <c r="U2016" s="584"/>
      <c r="V2016" s="584"/>
      <c r="W2016" s="585"/>
      <c r="X2016" s="601" t="s">
        <v>10020</v>
      </c>
      <c r="Y2016" s="1000" t="s">
        <v>4871</v>
      </c>
      <c r="Z2016" s="601">
        <v>0.6301</v>
      </c>
      <c r="AA2016" s="1000">
        <f t="shared" si="826"/>
        <v>3629.376</v>
      </c>
      <c r="AB2016" s="585"/>
      <c r="AC2016" s="1002"/>
      <c r="AD2016" s="939" t="s">
        <v>6063</v>
      </c>
      <c r="AE2016" s="1035" t="s">
        <v>82</v>
      </c>
      <c r="AF2016" s="992"/>
      <c r="AG2016" s="992"/>
      <c r="AH2016" s="601"/>
      <c r="AI2016" s="609"/>
      <c r="AJ2016" s="939">
        <f t="shared" si="818"/>
        <v>-5760</v>
      </c>
      <c r="AK2016" s="994"/>
      <c r="AL2016" s="992" t="s">
        <v>2368</v>
      </c>
      <c r="AM2016" s="992"/>
      <c r="AN2016" s="992">
        <f>I2016</f>
        <v>5760</v>
      </c>
      <c r="AO2016" s="586"/>
      <c r="AP2016" s="563">
        <f>I2016</f>
        <v>5760</v>
      </c>
      <c r="AQ2016" s="586"/>
      <c r="AR2016" s="1003"/>
      <c r="AS2016" s="586"/>
      <c r="AT2016" s="586"/>
      <c r="AU2016" s="563">
        <f t="shared" ref="AU2016:AU2022" si="830">I2016</f>
        <v>5760</v>
      </c>
      <c r="AV2016" s="586"/>
      <c r="AW2016" s="586"/>
      <c r="AX2016" s="1049"/>
      <c r="AY2016" s="586"/>
      <c r="AZ2016" s="586"/>
      <c r="BA2016" s="586"/>
      <c r="BB2016" s="1017">
        <f>I2016/24</f>
        <v>240</v>
      </c>
      <c r="BC2016" s="586"/>
      <c r="BD2016" s="586"/>
      <c r="BE2016" s="586"/>
      <c r="BF2016" s="1005"/>
      <c r="BG2016" s="561"/>
      <c r="BH2016" s="1006"/>
      <c r="BI2016" s="586"/>
      <c r="BJ2016" s="586"/>
      <c r="BK2016" s="586"/>
      <c r="BL2016" s="586"/>
      <c r="BM2016" s="586"/>
      <c r="BN2016" s="586"/>
      <c r="BO2016" s="586"/>
      <c r="BP2016" s="586"/>
      <c r="BQ2016" s="563">
        <f>I2016/16</f>
        <v>360</v>
      </c>
      <c r="BR2016" s="586"/>
      <c r="BS2016" s="586"/>
      <c r="BT2016" s="586"/>
      <c r="BU2016" s="586"/>
      <c r="BV2016" s="586"/>
      <c r="BW2016" s="586"/>
      <c r="BX2016" s="586"/>
      <c r="BY2016" s="586"/>
      <c r="BZ2016" s="586"/>
      <c r="CA2016" s="1007"/>
      <c r="CB2016" s="560"/>
      <c r="CC2016" s="1006"/>
      <c r="CD2016" s="586"/>
      <c r="CE2016" s="586"/>
      <c r="CF2016" s="586"/>
      <c r="CG2016" s="1005"/>
      <c r="CH2016" s="561"/>
      <c r="CI2016" s="1006"/>
      <c r="CJ2016" s="586"/>
      <c r="CK2016" s="586"/>
      <c r="CL2016" s="586"/>
      <c r="CM2016" s="586"/>
      <c r="CN2016" s="586"/>
      <c r="CO2016" s="586"/>
      <c r="CP2016" s="1003"/>
      <c r="CQ2016" s="1003"/>
      <c r="CR2016" s="586"/>
      <c r="CS2016" s="586"/>
      <c r="CT2016" s="586"/>
      <c r="CU2016" s="563">
        <f t="shared" si="827"/>
        <v>360</v>
      </c>
      <c r="CV2016" s="563">
        <f t="shared" si="828"/>
        <v>0</v>
      </c>
      <c r="CW2016" s="563">
        <f t="shared" si="829"/>
        <v>0</v>
      </c>
      <c r="CX2016" s="1003"/>
      <c r="CY2016" s="1003"/>
      <c r="CZ2016" s="1003"/>
      <c r="DA2016" s="1003"/>
      <c r="DB2016" s="1003"/>
      <c r="DC2016" s="1003"/>
      <c r="DD2016" s="1003"/>
      <c r="DE2016" s="1003"/>
      <c r="DF2016" s="1003"/>
      <c r="DG2016" s="1003"/>
      <c r="DH2016" s="1003"/>
    </row>
    <row r="2017" s="547" customFormat="1" ht="31" customHeight="1" spans="1:113">
      <c r="A2017" s="1022">
        <v>46185</v>
      </c>
      <c r="B2017" s="626" t="s">
        <v>2734</v>
      </c>
      <c r="C2017" s="939" t="s">
        <v>98</v>
      </c>
      <c r="D2017" s="1063">
        <v>4500211448</v>
      </c>
      <c r="E2017" s="1031">
        <v>60302428</v>
      </c>
      <c r="F2017" s="563" t="s">
        <v>5746</v>
      </c>
      <c r="G2017" s="939" t="s">
        <v>8520</v>
      </c>
      <c r="H2017" s="939" t="s">
        <v>8521</v>
      </c>
      <c r="I2017" s="1023">
        <v>5400</v>
      </c>
      <c r="J2017" s="939">
        <v>0</v>
      </c>
      <c r="K2017" s="1024">
        <v>8</v>
      </c>
      <c r="L2017" s="1025">
        <f t="shared" si="802"/>
        <v>675</v>
      </c>
      <c r="M2017" s="1026">
        <v>46269</v>
      </c>
      <c r="N2017" s="1027">
        <v>46265</v>
      </c>
      <c r="O2017" s="1031"/>
      <c r="P2017" s="939"/>
      <c r="Q2017" s="999"/>
      <c r="R2017" s="999">
        <v>46185</v>
      </c>
      <c r="S2017" s="999" t="s">
        <v>70</v>
      </c>
      <c r="T2017" s="999" t="s">
        <v>5723</v>
      </c>
      <c r="U2017" s="646"/>
      <c r="V2017" s="999"/>
      <c r="W2017" s="585"/>
      <c r="X2017" s="626" t="s">
        <v>10886</v>
      </c>
      <c r="Y2017" s="1001" t="s">
        <v>2814</v>
      </c>
      <c r="Z2017" s="626">
        <v>4.1435</v>
      </c>
      <c r="AA2017" s="1001">
        <f t="shared" si="826"/>
        <v>22374.9</v>
      </c>
      <c r="AC2017" s="1030"/>
      <c r="AD2017" s="939" t="s">
        <v>2741</v>
      </c>
      <c r="AE2017" s="939" t="s">
        <v>82</v>
      </c>
      <c r="AF2017" s="939"/>
      <c r="AG2017" s="939"/>
      <c r="AH2017" s="626"/>
      <c r="AI2017" s="609"/>
      <c r="AJ2017" s="618">
        <f t="shared" si="818"/>
        <v>-5400</v>
      </c>
      <c r="AK2017" s="1031"/>
      <c r="AL2017" s="939" t="s">
        <v>2368</v>
      </c>
      <c r="AM2017" s="939"/>
      <c r="AN2017" s="939">
        <f>I2017*2</f>
        <v>10800</v>
      </c>
      <c r="AO2017" s="563"/>
      <c r="AP2017" s="554">
        <f>I2017*2</f>
        <v>10800</v>
      </c>
      <c r="AQ2017" s="563"/>
      <c r="AR2017" s="1015"/>
      <c r="AS2017" s="563"/>
      <c r="AT2017" s="563"/>
      <c r="AU2017" s="563">
        <f>I2017*2</f>
        <v>10800</v>
      </c>
      <c r="AV2017" s="563"/>
      <c r="AW2017" s="563"/>
      <c r="AX2017" s="1004"/>
      <c r="AY2017" s="563"/>
      <c r="AZ2017" s="563"/>
      <c r="BA2017" s="563"/>
      <c r="BB2017" s="1017">
        <f>I2017/24*2</f>
        <v>450</v>
      </c>
      <c r="BC2017" s="563"/>
      <c r="BD2017" s="563"/>
      <c r="BE2017" s="563"/>
      <c r="BF2017" s="1032"/>
      <c r="BG2017" s="560"/>
      <c r="BH2017" s="1033"/>
      <c r="BI2017" s="563"/>
      <c r="BJ2017" s="563"/>
      <c r="BK2017" s="563"/>
      <c r="BL2017" s="563"/>
      <c r="BM2017" s="563"/>
      <c r="BN2017" s="563"/>
      <c r="BO2017" s="563"/>
      <c r="BP2017" s="563"/>
      <c r="BQ2017" s="563"/>
      <c r="BR2017" s="563"/>
      <c r="BS2017" s="563"/>
      <c r="BT2017" s="563"/>
      <c r="BU2017" s="563"/>
      <c r="BV2017" s="563"/>
      <c r="BW2017" s="563"/>
      <c r="BX2017" s="563"/>
      <c r="BY2017" s="563"/>
      <c r="BZ2017" s="563"/>
      <c r="CA2017" s="1066">
        <f>I2017</f>
        <v>5400</v>
      </c>
      <c r="CB2017" s="567"/>
      <c r="CC2017" s="1033"/>
      <c r="CD2017" s="563"/>
      <c r="CE2017" s="563"/>
      <c r="CF2017" s="563"/>
      <c r="CG2017" s="1032"/>
      <c r="CH2017" s="560"/>
      <c r="CI2017" s="1033"/>
      <c r="CJ2017" s="563"/>
      <c r="CK2017" s="563"/>
      <c r="CL2017" s="563"/>
      <c r="CM2017" s="563"/>
      <c r="CN2017" s="563"/>
      <c r="CO2017" s="563"/>
      <c r="CP2017" s="1015"/>
      <c r="CQ2017" s="1015"/>
      <c r="CR2017" s="563"/>
      <c r="CS2017" s="563"/>
      <c r="CT2017" s="563"/>
      <c r="CU2017" s="687">
        <f t="shared" si="827"/>
        <v>0</v>
      </c>
      <c r="CV2017" s="687">
        <f t="shared" si="828"/>
        <v>0</v>
      </c>
      <c r="CW2017" s="687">
        <f t="shared" si="829"/>
        <v>0</v>
      </c>
      <c r="CX2017" s="1015"/>
      <c r="CY2017" s="1015"/>
      <c r="CZ2017" s="1015"/>
      <c r="DA2017" s="1015"/>
      <c r="DB2017" s="1015"/>
      <c r="DC2017" s="1015"/>
      <c r="DD2017" s="1015"/>
      <c r="DE2017" s="1015"/>
      <c r="DF2017" s="1015"/>
      <c r="DG2017" s="1015"/>
      <c r="DH2017" s="1015"/>
    </row>
    <row r="2018" s="558" customFormat="1" ht="31" customHeight="1" spans="1:113">
      <c r="A2018" s="1022">
        <v>46171</v>
      </c>
      <c r="B2018" s="626" t="s">
        <v>4371</v>
      </c>
      <c r="C2018" s="939" t="s">
        <v>98</v>
      </c>
      <c r="D2018" s="563">
        <v>4500209952</v>
      </c>
      <c r="E2018" s="939">
        <v>7137243630</v>
      </c>
      <c r="F2018" s="563" t="s">
        <v>5753</v>
      </c>
      <c r="G2018" s="939" t="s">
        <v>10273</v>
      </c>
      <c r="H2018" s="939" t="s">
        <v>5003</v>
      </c>
      <c r="I2018" s="1023">
        <v>15024</v>
      </c>
      <c r="J2018" s="939">
        <v>0</v>
      </c>
      <c r="K2018" s="1024">
        <v>24</v>
      </c>
      <c r="L2018" s="1025">
        <f t="shared" si="802"/>
        <v>626</v>
      </c>
      <c r="M2018" s="1026">
        <v>46269</v>
      </c>
      <c r="N2018" s="1027">
        <v>46265</v>
      </c>
      <c r="O2018" s="1031" t="s">
        <v>5698</v>
      </c>
      <c r="P2018" s="939"/>
      <c r="Q2018" s="999"/>
      <c r="R2018" s="999">
        <v>46162</v>
      </c>
      <c r="S2018" s="999" t="s">
        <v>104</v>
      </c>
      <c r="T2018" s="999" t="s">
        <v>10701</v>
      </c>
      <c r="U2018" s="999"/>
      <c r="V2018" s="999" t="s">
        <v>10276</v>
      </c>
      <c r="W2018" s="585"/>
      <c r="X2018" s="626" t="s">
        <v>10702</v>
      </c>
      <c r="Y2018" s="1001" t="s">
        <v>4378</v>
      </c>
      <c r="Z2018" s="626">
        <v>111.1651</v>
      </c>
      <c r="AA2018" s="1001">
        <f>Z2018*L2018</f>
        <v>69589.3526</v>
      </c>
      <c r="AC2018" s="1030"/>
      <c r="AD2018" s="560" t="s">
        <v>5008</v>
      </c>
      <c r="AE2018" s="939" t="s">
        <v>82</v>
      </c>
      <c r="AF2018" s="939"/>
      <c r="AG2018" s="939"/>
      <c r="AH2018" s="626"/>
      <c r="AI2018" s="609"/>
      <c r="AJ2018" s="939">
        <f t="shared" si="818"/>
        <v>-15024</v>
      </c>
      <c r="AK2018" s="1031"/>
      <c r="AL2018" s="939" t="s">
        <v>2368</v>
      </c>
      <c r="AM2018" s="939"/>
      <c r="AN2018" s="939">
        <f>I2018*2</f>
        <v>30048</v>
      </c>
      <c r="AO2018" s="563"/>
      <c r="AP2018" s="563"/>
      <c r="AQ2018" s="563"/>
      <c r="AR2018" s="1015"/>
      <c r="AS2018" s="563"/>
      <c r="AT2018" s="563"/>
      <c r="AU2018" s="563">
        <f>I2018*2</f>
        <v>30048</v>
      </c>
      <c r="AV2018" s="563"/>
      <c r="AW2018" s="563"/>
      <c r="AX2018" s="1004"/>
      <c r="AY2018" s="563"/>
      <c r="AZ2018" s="563"/>
      <c r="BA2018" s="563"/>
      <c r="BB2018" s="1017">
        <f>I2018/24*2</f>
        <v>1252</v>
      </c>
      <c r="BC2018" s="563"/>
      <c r="BD2018" s="563"/>
      <c r="BE2018" s="563"/>
      <c r="BF2018" s="1032"/>
      <c r="BG2018" s="560">
        <f>AN2018</f>
        <v>30048</v>
      </c>
      <c r="BH2018" s="1033"/>
      <c r="BI2018" s="563"/>
      <c r="BJ2018" s="563"/>
      <c r="BK2018" s="563"/>
      <c r="BL2018" s="563"/>
      <c r="BM2018" s="563"/>
      <c r="BN2018" s="563"/>
      <c r="BO2018" s="563"/>
      <c r="BP2018" s="563"/>
      <c r="BQ2018" s="563"/>
      <c r="BR2018" s="563"/>
      <c r="BS2018" s="563"/>
      <c r="BT2018" s="563"/>
      <c r="BU2018" s="563"/>
      <c r="BV2018" s="563"/>
      <c r="BW2018" s="563"/>
      <c r="BX2018" s="563"/>
      <c r="BY2018" s="563">
        <f>I2018</f>
        <v>15024</v>
      </c>
      <c r="BZ2018" s="563"/>
      <c r="CA2018" s="1032"/>
      <c r="CB2018" s="560"/>
      <c r="CC2018" s="1033"/>
      <c r="CD2018" s="563"/>
      <c r="CE2018" s="563"/>
      <c r="CF2018" s="563"/>
      <c r="CG2018" s="1032"/>
      <c r="CH2018" s="560">
        <f>L2018</f>
        <v>626</v>
      </c>
      <c r="CI2018" s="1033"/>
      <c r="CJ2018" s="563"/>
      <c r="CK2018" s="563"/>
      <c r="CL2018" s="563"/>
      <c r="CM2018" s="563"/>
      <c r="CN2018" s="563"/>
      <c r="CO2018" s="563"/>
      <c r="CP2018" s="1015"/>
      <c r="CQ2018" s="1015"/>
      <c r="CR2018" s="563"/>
      <c r="CS2018" s="563"/>
      <c r="CT2018" s="563"/>
      <c r="CU2018" s="563">
        <f t="shared" si="827"/>
        <v>0</v>
      </c>
      <c r="CV2018" s="563">
        <f t="shared" si="828"/>
        <v>0</v>
      </c>
      <c r="CW2018" s="563">
        <f t="shared" si="829"/>
        <v>0</v>
      </c>
      <c r="CX2018" s="1015"/>
      <c r="CY2018" s="1015"/>
      <c r="CZ2018" s="1015"/>
      <c r="DA2018" s="1015"/>
      <c r="DB2018" s="1015"/>
      <c r="DC2018" s="1015"/>
      <c r="DD2018" s="1015"/>
      <c r="DE2018" s="1015"/>
      <c r="DF2018" s="1015"/>
      <c r="DG2018" s="1015"/>
      <c r="DH2018" s="1015"/>
    </row>
    <row r="2019" s="558" customFormat="1" ht="31" customHeight="1" spans="1:113">
      <c r="A2019" s="1022">
        <v>46220</v>
      </c>
      <c r="B2019" s="626" t="s">
        <v>325</v>
      </c>
      <c r="C2019" s="939" t="s">
        <v>98</v>
      </c>
      <c r="D2019" s="563">
        <v>4500216856</v>
      </c>
      <c r="E2019" s="939" t="s">
        <v>10887</v>
      </c>
      <c r="F2019" s="563" t="s">
        <v>10888</v>
      </c>
      <c r="G2019" s="939" t="s">
        <v>6084</v>
      </c>
      <c r="H2019" s="939" t="s">
        <v>6069</v>
      </c>
      <c r="I2019" s="1023">
        <v>6550</v>
      </c>
      <c r="J2019" s="939">
        <v>0</v>
      </c>
      <c r="K2019" s="1024">
        <v>25</v>
      </c>
      <c r="L2019" s="1025">
        <f t="shared" si="802"/>
        <v>262</v>
      </c>
      <c r="M2019" s="1026">
        <v>46269</v>
      </c>
      <c r="N2019" s="1163">
        <v>46269</v>
      </c>
      <c r="O2019" s="1031"/>
      <c r="P2019" s="939"/>
      <c r="Q2019" s="999"/>
      <c r="R2019" s="999">
        <v>46238</v>
      </c>
      <c r="S2019" s="999" t="s">
        <v>104</v>
      </c>
      <c r="T2019" s="999" t="s">
        <v>10889</v>
      </c>
      <c r="U2019" s="999"/>
      <c r="V2019" s="213"/>
      <c r="W2019" s="585"/>
      <c r="X2019" s="626" t="s">
        <v>10349</v>
      </c>
      <c r="Y2019" s="1001" t="s">
        <v>252</v>
      </c>
      <c r="Z2019" s="626">
        <v>0.5923</v>
      </c>
      <c r="AA2019" s="1001">
        <f t="shared" ref="AA2019:AA2041" si="831">Z2019*I2019</f>
        <v>3879.565</v>
      </c>
      <c r="AC2019" s="1030"/>
      <c r="AD2019" s="939" t="s">
        <v>6084</v>
      </c>
      <c r="AE2019" s="939" t="s">
        <v>82</v>
      </c>
      <c r="AF2019" s="939"/>
      <c r="AG2019" s="939"/>
      <c r="AH2019" s="626"/>
      <c r="AI2019" s="626"/>
      <c r="AJ2019" s="618">
        <f t="shared" si="818"/>
        <v>-6550</v>
      </c>
      <c r="AK2019" s="1031"/>
      <c r="AL2019" s="939" t="s">
        <v>2368</v>
      </c>
      <c r="AM2019" s="939"/>
      <c r="AN2019" s="939">
        <f>I2019</f>
        <v>6550</v>
      </c>
      <c r="AO2019" s="563"/>
      <c r="AP2019" s="563">
        <f>I2019</f>
        <v>6550</v>
      </c>
      <c r="AQ2019" s="563"/>
      <c r="AR2019" s="1015"/>
      <c r="AS2019" s="563"/>
      <c r="AT2019" s="563"/>
      <c r="AU2019" s="563">
        <f t="shared" si="830"/>
        <v>6550</v>
      </c>
      <c r="AV2019" s="563"/>
      <c r="AW2019" s="563"/>
      <c r="AX2019" s="1004"/>
      <c r="AY2019" s="563"/>
      <c r="AZ2019" s="563"/>
      <c r="BA2019" s="563"/>
      <c r="BB2019" s="249">
        <f>I2019/48</f>
        <v>136.458333333333</v>
      </c>
      <c r="BC2019" s="563"/>
      <c r="BD2019" s="563"/>
      <c r="BE2019" s="563"/>
      <c r="BF2019" s="1032"/>
      <c r="BG2019" s="560"/>
      <c r="BH2019" s="1033"/>
      <c r="BI2019" s="563"/>
      <c r="BJ2019" s="563"/>
      <c r="BK2019" s="563"/>
      <c r="BL2019" s="563"/>
      <c r="BM2019" s="563"/>
      <c r="BN2019" s="551">
        <f>I2019/25</f>
        <v>262</v>
      </c>
      <c r="BO2019" s="563"/>
      <c r="BP2019" s="563"/>
      <c r="BQ2019" s="563"/>
      <c r="BR2019" s="563"/>
      <c r="BS2019" s="563"/>
      <c r="BT2019" s="563"/>
      <c r="BU2019" s="563"/>
      <c r="BV2019" s="563"/>
      <c r="BW2019" s="563"/>
      <c r="BX2019" s="563"/>
      <c r="BY2019" s="563"/>
      <c r="BZ2019" s="563"/>
      <c r="CA2019" s="1032"/>
      <c r="CB2019" s="560"/>
      <c r="CC2019" s="1033"/>
      <c r="CD2019" s="563"/>
      <c r="CE2019" s="563"/>
      <c r="CF2019" s="563"/>
      <c r="CG2019" s="1032"/>
      <c r="CH2019" s="560"/>
      <c r="CI2019" s="1033"/>
      <c r="CJ2019" s="563"/>
      <c r="CK2019" s="563"/>
      <c r="CL2019" s="563"/>
      <c r="CM2019" s="563"/>
      <c r="CN2019" s="563"/>
      <c r="CO2019" s="563"/>
      <c r="CP2019" s="1015"/>
      <c r="CQ2019" s="1015"/>
      <c r="CR2019" s="563"/>
      <c r="CS2019" s="563"/>
      <c r="CT2019" s="563"/>
      <c r="CU2019" s="551">
        <f t="shared" si="827"/>
        <v>262</v>
      </c>
      <c r="CV2019" s="551">
        <f t="shared" si="828"/>
        <v>0</v>
      </c>
      <c r="CW2019" s="551">
        <f t="shared" si="829"/>
        <v>0</v>
      </c>
      <c r="CX2019" s="1015"/>
      <c r="CY2019" s="1015"/>
      <c r="CZ2019" s="1015"/>
      <c r="DA2019" s="1015"/>
      <c r="DB2019" s="1015"/>
      <c r="DC2019" s="1015"/>
      <c r="DD2019" s="1015"/>
      <c r="DE2019" s="1015"/>
      <c r="DF2019" s="1015"/>
      <c r="DG2019" s="1015"/>
      <c r="DH2019" s="1015"/>
    </row>
    <row r="2020" s="558" customFormat="1" ht="31" customHeight="1" spans="1:113">
      <c r="A2020" s="991">
        <v>46220</v>
      </c>
      <c r="B2020" s="601" t="s">
        <v>325</v>
      </c>
      <c r="C2020" s="992" t="s">
        <v>98</v>
      </c>
      <c r="D2020" s="586">
        <v>4500216866</v>
      </c>
      <c r="E2020" s="992" t="s">
        <v>10890</v>
      </c>
      <c r="F2020" s="586" t="s">
        <v>10891</v>
      </c>
      <c r="G2020" s="992" t="s">
        <v>6084</v>
      </c>
      <c r="H2020" s="992" t="s">
        <v>6069</v>
      </c>
      <c r="I2020" s="995">
        <v>180000</v>
      </c>
      <c r="J2020" s="992">
        <v>0</v>
      </c>
      <c r="K2020" s="996">
        <v>25</v>
      </c>
      <c r="L2020" s="997">
        <f t="shared" si="802"/>
        <v>7200</v>
      </c>
      <c r="M2020" s="998">
        <v>46269</v>
      </c>
      <c r="N2020" s="1048">
        <v>46269</v>
      </c>
      <c r="O2020" s="994"/>
      <c r="P2020" s="992"/>
      <c r="Q2020" s="584"/>
      <c r="R2020" s="584">
        <v>46238</v>
      </c>
      <c r="S2020" s="584" t="s">
        <v>104</v>
      </c>
      <c r="T2020" s="584" t="s">
        <v>10892</v>
      </c>
      <c r="U2020" s="584"/>
      <c r="V2020" s="1164"/>
      <c r="W2020" s="585"/>
      <c r="X2020" s="601" t="s">
        <v>10349</v>
      </c>
      <c r="Y2020" s="1000" t="s">
        <v>252</v>
      </c>
      <c r="Z2020" s="601">
        <v>0.5798</v>
      </c>
      <c r="AA2020" s="1000">
        <f t="shared" si="831"/>
        <v>104364</v>
      </c>
      <c r="AC2020" s="1002"/>
      <c r="AD2020" s="992" t="s">
        <v>6084</v>
      </c>
      <c r="AE2020" s="992" t="s">
        <v>82</v>
      </c>
      <c r="AF2020" s="992"/>
      <c r="AG2020" s="992"/>
      <c r="AH2020" s="601"/>
      <c r="AI2020" s="601"/>
      <c r="AJ2020" s="579">
        <f t="shared" si="818"/>
        <v>-180000</v>
      </c>
      <c r="AK2020" s="994"/>
      <c r="AL2020" s="992" t="s">
        <v>2368</v>
      </c>
      <c r="AM2020" s="992"/>
      <c r="AN2020" s="992">
        <f>I2020</f>
        <v>180000</v>
      </c>
      <c r="AO2020" s="586"/>
      <c r="AP2020" s="563">
        <f>I2020</f>
        <v>180000</v>
      </c>
      <c r="AQ2020" s="586"/>
      <c r="AR2020" s="1003"/>
      <c r="AS2020" s="586"/>
      <c r="AT2020" s="586"/>
      <c r="AU2020" s="586">
        <f t="shared" si="830"/>
        <v>180000</v>
      </c>
      <c r="AV2020" s="586"/>
      <c r="AW2020" s="586"/>
      <c r="AX2020" s="1049"/>
      <c r="AY2020" s="586"/>
      <c r="AZ2020" s="586"/>
      <c r="BA2020" s="586"/>
      <c r="BB2020" s="1165">
        <f>I2020/48</f>
        <v>3750</v>
      </c>
      <c r="BC2020" s="586"/>
      <c r="BD2020" s="586"/>
      <c r="BE2020" s="586"/>
      <c r="BF2020" s="1005"/>
      <c r="BG2020" s="561"/>
      <c r="BH2020" s="1006"/>
      <c r="BI2020" s="586"/>
      <c r="BJ2020" s="586"/>
      <c r="BK2020" s="586"/>
      <c r="BL2020" s="586"/>
      <c r="BM2020" s="586"/>
      <c r="BN2020" s="1166">
        <f>I2020/25</f>
        <v>7200</v>
      </c>
      <c r="BO2020" s="586"/>
      <c r="BP2020" s="586"/>
      <c r="BQ2020" s="586"/>
      <c r="BR2020" s="586"/>
      <c r="BS2020" s="586"/>
      <c r="BT2020" s="586"/>
      <c r="BU2020" s="586"/>
      <c r="BV2020" s="586"/>
      <c r="BW2020" s="586"/>
      <c r="BX2020" s="586"/>
      <c r="BY2020" s="586"/>
      <c r="BZ2020" s="586"/>
      <c r="CA2020" s="1005"/>
      <c r="CB2020" s="561"/>
      <c r="CC2020" s="1006"/>
      <c r="CD2020" s="586"/>
      <c r="CE2020" s="586"/>
      <c r="CF2020" s="586"/>
      <c r="CG2020" s="1005"/>
      <c r="CH2020" s="561"/>
      <c r="CI2020" s="1006"/>
      <c r="CJ2020" s="586"/>
      <c r="CK2020" s="586"/>
      <c r="CL2020" s="586"/>
      <c r="CM2020" s="586"/>
      <c r="CN2020" s="586"/>
      <c r="CO2020" s="586"/>
      <c r="CP2020" s="1003"/>
      <c r="CQ2020" s="1003"/>
      <c r="CR2020" s="586"/>
      <c r="CS2020" s="586"/>
      <c r="CT2020" s="586"/>
      <c r="CU2020" s="1166">
        <f t="shared" si="827"/>
        <v>7200</v>
      </c>
      <c r="CV2020" s="1166">
        <f t="shared" si="828"/>
        <v>0</v>
      </c>
      <c r="CW2020" s="1166">
        <f t="shared" si="829"/>
        <v>0</v>
      </c>
      <c r="CX2020" s="1003"/>
      <c r="CY2020" s="1003"/>
      <c r="CZ2020" s="1003"/>
      <c r="DA2020" s="1003"/>
      <c r="DB2020" s="1003"/>
      <c r="DC2020" s="1003"/>
      <c r="DD2020" s="1003"/>
      <c r="DE2020" s="1003"/>
      <c r="DF2020" s="1003"/>
      <c r="DG2020" s="1003"/>
      <c r="DH2020" s="1003"/>
    </row>
    <row r="2021" s="560" customFormat="1" ht="31" customHeight="1" spans="1:113">
      <c r="A2021" s="1034">
        <v>46223</v>
      </c>
      <c r="B2021" s="603" t="s">
        <v>143</v>
      </c>
      <c r="C2021" s="1035" t="s">
        <v>98</v>
      </c>
      <c r="D2021" s="560">
        <v>4500217083</v>
      </c>
      <c r="E2021" s="1427" t="s">
        <v>10893</v>
      </c>
      <c r="F2021" s="560" t="s">
        <v>10894</v>
      </c>
      <c r="G2021" s="1035" t="s">
        <v>6063</v>
      </c>
      <c r="H2021" s="1035" t="s">
        <v>6064</v>
      </c>
      <c r="I2021" s="1036">
        <v>24720</v>
      </c>
      <c r="J2021" s="1035">
        <v>0</v>
      </c>
      <c r="K2021" s="1035">
        <v>16</v>
      </c>
      <c r="L2021" s="1025">
        <f t="shared" si="802"/>
        <v>1545</v>
      </c>
      <c r="M2021" s="1037">
        <v>46272</v>
      </c>
      <c r="N2021" s="1037">
        <v>46269</v>
      </c>
      <c r="O2021" s="1043"/>
      <c r="P2021" s="1035"/>
      <c r="Q2021" s="1039"/>
      <c r="R2021" s="1039" t="s">
        <v>9889</v>
      </c>
      <c r="S2021" s="1039" t="s">
        <v>70</v>
      </c>
      <c r="T2021" s="1039" t="s">
        <v>10860</v>
      </c>
      <c r="U2021" s="1039"/>
      <c r="V2021" s="1039"/>
      <c r="W2021" s="603"/>
      <c r="X2021" s="603" t="s">
        <v>10881</v>
      </c>
      <c r="Y2021" s="1042" t="s">
        <v>106</v>
      </c>
      <c r="Z2021" s="603">
        <v>0.6196</v>
      </c>
      <c r="AA2021" s="1042">
        <f t="shared" si="831"/>
        <v>15316.512</v>
      </c>
      <c r="AB2021" s="603"/>
      <c r="AC2021" s="1030"/>
      <c r="AD2021" s="1035" t="s">
        <v>6063</v>
      </c>
      <c r="AE2021" s="1035" t="s">
        <v>82</v>
      </c>
      <c r="AF2021" s="1035"/>
      <c r="AG2021" s="1035"/>
      <c r="AH2021" s="603"/>
      <c r="AI2021" s="603"/>
      <c r="AJ2021" s="1035">
        <f t="shared" si="818"/>
        <v>-24720</v>
      </c>
      <c r="AK2021" s="1043"/>
      <c r="AL2021" s="1035" t="s">
        <v>2368</v>
      </c>
      <c r="AM2021" s="1035"/>
      <c r="AN2021" s="1035">
        <f>I2021</f>
        <v>24720</v>
      </c>
      <c r="AP2021" s="560">
        <f>I2021</f>
        <v>24720</v>
      </c>
      <c r="AR2021" s="1044"/>
      <c r="AS2021" s="560"/>
      <c r="AT2021" s="560"/>
      <c r="AU2021" s="560">
        <f t="shared" si="830"/>
        <v>24720</v>
      </c>
      <c r="AX2021" s="1045"/>
      <c r="AY2021" s="560"/>
      <c r="AZ2021" s="560"/>
      <c r="BA2021" s="560"/>
      <c r="BB2021" s="1116">
        <f>I2021/24</f>
        <v>1030</v>
      </c>
      <c r="BQ2021" s="560">
        <f>I2021/16</f>
        <v>1545</v>
      </c>
      <c r="CA2021" s="1044"/>
      <c r="CB2021" s="560"/>
      <c r="CC2021" s="560"/>
      <c r="CD2021" s="560"/>
      <c r="CE2021" s="560"/>
      <c r="CF2021" s="560"/>
      <c r="CG2021" s="560"/>
      <c r="CH2021" s="560"/>
      <c r="CI2021" s="560"/>
      <c r="CJ2021" s="560"/>
      <c r="CK2021" s="560"/>
      <c r="CL2021" s="560"/>
      <c r="CM2021" s="560"/>
      <c r="CN2021" s="560"/>
      <c r="CO2021" s="560"/>
      <c r="CP2021" s="1044"/>
      <c r="CQ2021" s="1044"/>
      <c r="CR2021" s="560"/>
      <c r="CS2021" s="560"/>
      <c r="CT2021" s="560"/>
      <c r="CU2021" s="560">
        <f t="shared" si="827"/>
        <v>1545</v>
      </c>
      <c r="CV2021" s="560">
        <f t="shared" si="828"/>
        <v>0</v>
      </c>
      <c r="CW2021" s="560">
        <f t="shared" si="829"/>
        <v>0</v>
      </c>
      <c r="CX2021" s="1044"/>
      <c r="CY2021" s="1044"/>
      <c r="CZ2021" s="1044"/>
      <c r="DA2021" s="1044"/>
      <c r="DB2021" s="1044"/>
      <c r="DC2021" s="1044"/>
      <c r="DD2021" s="1044"/>
      <c r="DE2021" s="1044"/>
      <c r="DF2021" s="1044"/>
      <c r="DG2021" s="1044"/>
      <c r="DH2021" s="1044"/>
    </row>
    <row r="2022" s="562" customFormat="1" ht="31" customHeight="1" spans="1:113">
      <c r="A2022" s="1127">
        <v>46212</v>
      </c>
      <c r="B2022" s="1128"/>
      <c r="C2022" s="939" t="s">
        <v>98</v>
      </c>
      <c r="D2022" s="562" t="s">
        <v>5528</v>
      </c>
      <c r="E2022" s="1129" t="s">
        <v>5759</v>
      </c>
      <c r="F2022" s="562" t="s">
        <v>10895</v>
      </c>
      <c r="G2022" s="1129" t="s">
        <v>6036</v>
      </c>
      <c r="H2022" s="1129" t="s">
        <v>6033</v>
      </c>
      <c r="I2022" s="1129">
        <v>4500</v>
      </c>
      <c r="J2022" s="1129">
        <v>0</v>
      </c>
      <c r="K2022" s="1129">
        <v>25</v>
      </c>
      <c r="L2022" s="1133">
        <f t="shared" si="802"/>
        <v>180</v>
      </c>
      <c r="M2022" s="1134">
        <v>46272</v>
      </c>
      <c r="N2022" s="1134">
        <v>46268</v>
      </c>
      <c r="O2022" s="1131"/>
      <c r="P2022" s="1131"/>
      <c r="Q2022" s="1129"/>
      <c r="R2022" s="1029" t="s">
        <v>3639</v>
      </c>
      <c r="S2022" s="1029" t="s">
        <v>70</v>
      </c>
      <c r="T2022" s="1029" t="s">
        <v>70</v>
      </c>
      <c r="U2022" s="1029"/>
      <c r="V2022" s="1029"/>
      <c r="W2022" s="1128"/>
      <c r="X2022" s="1128" t="s">
        <v>5531</v>
      </c>
      <c r="Y2022" s="1128" t="s">
        <v>5532</v>
      </c>
      <c r="Z2022" s="1167">
        <v>0.58416</v>
      </c>
      <c r="AA2022" s="1136">
        <f t="shared" si="831"/>
        <v>2628.72</v>
      </c>
      <c r="AC2022" s="1168"/>
      <c r="AD2022" s="1129" t="s">
        <v>6036</v>
      </c>
      <c r="AE2022" s="1129" t="s">
        <v>82</v>
      </c>
      <c r="AF2022" s="1129"/>
      <c r="AG2022" s="1129"/>
      <c r="AH2022" s="1129"/>
      <c r="AI2022" s="1128"/>
      <c r="AJ2022" s="1129">
        <f t="shared" si="818"/>
        <v>-4500</v>
      </c>
      <c r="AK2022" s="1129"/>
      <c r="AL2022" s="1129"/>
      <c r="AM2022" s="1129"/>
      <c r="AN2022" s="1129">
        <f>I2022</f>
        <v>4500</v>
      </c>
      <c r="AP2022" s="562">
        <f>I2022</f>
        <v>4500</v>
      </c>
      <c r="AR2022" s="1138"/>
      <c r="AS2022" s="562"/>
      <c r="AT2022" s="562"/>
      <c r="AU2022" s="562">
        <f t="shared" si="830"/>
        <v>4500</v>
      </c>
      <c r="AW2022" s="1138"/>
      <c r="AX2022" s="562"/>
      <c r="AY2022" s="562"/>
      <c r="AZ2022" s="562"/>
      <c r="BA2022" s="562"/>
      <c r="BB2022" s="1141">
        <f>I2022/48</f>
        <v>93.75</v>
      </c>
      <c r="BC2022" s="1140"/>
      <c r="BD2022" s="562"/>
      <c r="BE2022" s="562"/>
      <c r="BF2022" s="562"/>
      <c r="BG2022" s="562"/>
      <c r="BH2022" s="562"/>
      <c r="BI2022" s="562"/>
      <c r="BJ2022" s="562"/>
      <c r="BK2022" s="562"/>
      <c r="BL2022" s="562"/>
      <c r="BM2022" s="562"/>
      <c r="BN2022" s="562">
        <f>I2022/25</f>
        <v>180</v>
      </c>
      <c r="BY2022" s="1138"/>
      <c r="BZ2022" s="562"/>
      <c r="CA2022" s="1142"/>
      <c r="CB2022" s="566"/>
      <c r="CC2022" s="1143"/>
      <c r="CD2022" s="1138"/>
      <c r="CE2022" s="1138"/>
      <c r="CF2022" s="562"/>
      <c r="CG2022" s="562"/>
      <c r="CH2022" s="562"/>
      <c r="CI2022" s="562"/>
      <c r="CJ2022" s="562"/>
      <c r="CK2022" s="562"/>
      <c r="CL2022" s="562"/>
      <c r="CM2022" s="562"/>
      <c r="CN2022" s="562"/>
      <c r="CO2022" s="562"/>
      <c r="CP2022" s="562"/>
      <c r="CQ2022" s="562"/>
      <c r="CR2022" s="562"/>
      <c r="CS2022" s="562"/>
      <c r="CT2022" s="562"/>
      <c r="CU2022" s="562">
        <f t="shared" si="827"/>
        <v>180</v>
      </c>
      <c r="CV2022" s="562">
        <f t="shared" si="828"/>
        <v>0</v>
      </c>
      <c r="CW2022" s="562">
        <f t="shared" si="829"/>
        <v>0</v>
      </c>
      <c r="CX2022" s="1138"/>
      <c r="CY2022" s="1138"/>
      <c r="CZ2022" s="1138"/>
      <c r="DA2022" s="562"/>
      <c r="DB2022" s="562"/>
      <c r="DC2022" s="562"/>
      <c r="DD2022" s="1138"/>
      <c r="DE2022" s="1138"/>
      <c r="DF2022" s="1138"/>
      <c r="DG2022" s="1138"/>
      <c r="DH2022" s="1138"/>
    </row>
    <row r="2023" s="558" customFormat="1" ht="31" customHeight="1" spans="1:113">
      <c r="A2023" s="1022">
        <v>46225</v>
      </c>
      <c r="B2023" s="626" t="s">
        <v>211</v>
      </c>
      <c r="C2023" s="939" t="s">
        <v>212</v>
      </c>
      <c r="D2023" s="563">
        <v>4500217300</v>
      </c>
      <c r="E2023" s="939" t="s">
        <v>5765</v>
      </c>
      <c r="F2023" s="563" t="s">
        <v>10896</v>
      </c>
      <c r="G2023" s="939" t="s">
        <v>6040</v>
      </c>
      <c r="H2023" s="939" t="s">
        <v>6041</v>
      </c>
      <c r="I2023" s="1023">
        <v>1248</v>
      </c>
      <c r="J2023" s="939">
        <v>0</v>
      </c>
      <c r="K2023" s="939">
        <v>52</v>
      </c>
      <c r="L2023" s="1064">
        <f t="shared" si="802"/>
        <v>24</v>
      </c>
      <c r="M2023" s="1027">
        <v>46273</v>
      </c>
      <c r="N2023" s="1027">
        <v>46269</v>
      </c>
      <c r="O2023" s="1031"/>
      <c r="P2023" s="939"/>
      <c r="Q2023" s="999"/>
      <c r="R2023" s="999">
        <v>46227</v>
      </c>
      <c r="S2023" s="999" t="s">
        <v>70</v>
      </c>
      <c r="T2023" s="999" t="s">
        <v>10897</v>
      </c>
      <c r="U2023" s="999"/>
      <c r="V2023" s="999"/>
      <c r="W2023" s="585"/>
      <c r="X2023" s="626" t="s">
        <v>7983</v>
      </c>
      <c r="Y2023" s="1001" t="s">
        <v>3527</v>
      </c>
      <c r="Z2023" s="626">
        <v>0.9521</v>
      </c>
      <c r="AA2023" s="1001">
        <f t="shared" si="831"/>
        <v>1188.2208</v>
      </c>
      <c r="AB2023" s="585"/>
      <c r="AC2023" s="1030"/>
      <c r="AD2023" s="939" t="s">
        <v>6040</v>
      </c>
      <c r="AE2023" s="1035" t="s">
        <v>82</v>
      </c>
      <c r="AF2023" s="939"/>
      <c r="AG2023" s="939"/>
      <c r="AH2023" s="626"/>
      <c r="AI2023" s="626"/>
      <c r="AJ2023" s="939">
        <f t="shared" si="818"/>
        <v>-1248</v>
      </c>
      <c r="AK2023" s="1031"/>
      <c r="AL2023" s="939" t="s">
        <v>454</v>
      </c>
      <c r="AM2023" s="939"/>
      <c r="AN2023" s="939"/>
      <c r="AO2023" s="563">
        <f>I2023</f>
        <v>1248</v>
      </c>
      <c r="AP2023" s="563"/>
      <c r="AQ2023" s="563"/>
      <c r="AR2023" s="1015"/>
      <c r="AS2023" s="563"/>
      <c r="AT2023" s="563">
        <f>I2023</f>
        <v>1248</v>
      </c>
      <c r="AU2023" s="563"/>
      <c r="AV2023" s="563">
        <f>I2023</f>
        <v>1248</v>
      </c>
      <c r="AW2023" s="563"/>
      <c r="AX2023" s="1004"/>
      <c r="AY2023" s="563"/>
      <c r="AZ2023" s="563"/>
      <c r="BA2023" s="563"/>
      <c r="BB2023" s="1017">
        <f>I2023/24</f>
        <v>52</v>
      </c>
      <c r="BC2023" s="563"/>
      <c r="BD2023" s="563"/>
      <c r="BE2023" s="563"/>
      <c r="BF2023" s="1032"/>
      <c r="BG2023" s="560"/>
      <c r="BH2023" s="1033"/>
      <c r="BI2023" s="563"/>
      <c r="BJ2023" s="563"/>
      <c r="BK2023" s="563"/>
      <c r="BL2023" s="563"/>
      <c r="BM2023" s="563">
        <f>I2023/13</f>
        <v>96</v>
      </c>
      <c r="BN2023" s="563"/>
      <c r="BO2023" s="563"/>
      <c r="BP2023" s="563"/>
      <c r="BQ2023" s="563"/>
      <c r="BR2023" s="563"/>
      <c r="BS2023" s="563"/>
      <c r="BT2023" s="563"/>
      <c r="BU2023" s="563"/>
      <c r="BV2023" s="563"/>
      <c r="BW2023" s="563"/>
      <c r="BX2023" s="563"/>
      <c r="BY2023" s="563"/>
      <c r="BZ2023" s="563"/>
      <c r="CA2023" s="1066"/>
      <c r="CB2023" s="560"/>
      <c r="CC2023" s="1067"/>
      <c r="CD2023" s="1015"/>
      <c r="CE2023" s="1015"/>
      <c r="CF2023" s="563"/>
      <c r="CG2023" s="1032"/>
      <c r="CH2023" s="560"/>
      <c r="CI2023" s="1033"/>
      <c r="CJ2023" s="563"/>
      <c r="CK2023" s="563"/>
      <c r="CL2023" s="563"/>
      <c r="CM2023" s="563"/>
      <c r="CN2023" s="563"/>
      <c r="CO2023" s="563"/>
      <c r="CP2023" s="1015"/>
      <c r="CQ2023" s="1015"/>
      <c r="CR2023" s="563"/>
      <c r="CS2023" s="563"/>
      <c r="CT2023" s="563"/>
      <c r="CU2023" s="563"/>
      <c r="CV2023" s="563"/>
      <c r="CW2023" s="563"/>
      <c r="CX2023" s="1015"/>
      <c r="CY2023" s="1015"/>
      <c r="CZ2023" s="1015"/>
      <c r="DA2023" s="1015"/>
      <c r="DB2023" s="1015"/>
      <c r="DC2023" s="1015"/>
      <c r="DD2023" s="1015"/>
      <c r="DE2023" s="1015"/>
      <c r="DF2023" s="1015"/>
      <c r="DG2023" s="1015"/>
      <c r="DH2023" s="1015"/>
      <c r="DI2023" s="563"/>
    </row>
    <row r="2024" s="558" customFormat="1" ht="31" customHeight="1" spans="1:113">
      <c r="A2024" s="1022">
        <v>46225</v>
      </c>
      <c r="B2024" s="601" t="s">
        <v>211</v>
      </c>
      <c r="C2024" s="992" t="s">
        <v>212</v>
      </c>
      <c r="D2024" s="586">
        <v>4500217300</v>
      </c>
      <c r="E2024" s="992" t="s">
        <v>5765</v>
      </c>
      <c r="F2024" s="586" t="s">
        <v>5766</v>
      </c>
      <c r="G2024" s="992" t="s">
        <v>6337</v>
      </c>
      <c r="H2024" s="992" t="s">
        <v>477</v>
      </c>
      <c r="I2024" s="995">
        <v>720</v>
      </c>
      <c r="J2024" s="992">
        <v>0</v>
      </c>
      <c r="K2024" s="996">
        <v>6</v>
      </c>
      <c r="L2024" s="997">
        <f t="shared" si="802"/>
        <v>120</v>
      </c>
      <c r="M2024" s="1027">
        <v>46273</v>
      </c>
      <c r="N2024" s="1027">
        <v>46269</v>
      </c>
      <c r="O2024" s="994"/>
      <c r="P2024" s="992"/>
      <c r="Q2024" s="584"/>
      <c r="R2024" s="999">
        <v>46227</v>
      </c>
      <c r="S2024" s="999" t="s">
        <v>70</v>
      </c>
      <c r="T2024" s="999" t="s">
        <v>10898</v>
      </c>
      <c r="U2024" s="1109"/>
      <c r="V2024" s="1109"/>
      <c r="W2024" s="585"/>
      <c r="X2024" s="601" t="s">
        <v>3308</v>
      </c>
      <c r="Y2024" s="1000" t="s">
        <v>3527</v>
      </c>
      <c r="Z2024" s="601">
        <v>7.4261</v>
      </c>
      <c r="AA2024" s="1060">
        <f t="shared" si="831"/>
        <v>5346.792</v>
      </c>
      <c r="AB2024" s="560"/>
      <c r="AC2024" s="1062"/>
      <c r="AD2024" s="939" t="s">
        <v>1306</v>
      </c>
      <c r="AE2024" s="992" t="s">
        <v>82</v>
      </c>
      <c r="AF2024" s="992"/>
      <c r="AG2024" s="992"/>
      <c r="AH2024" s="601"/>
      <c r="AI2024" s="626"/>
      <c r="AJ2024" s="939">
        <f t="shared" si="818"/>
        <v>-720</v>
      </c>
      <c r="AK2024" s="994"/>
      <c r="AL2024" s="992" t="s">
        <v>2368</v>
      </c>
      <c r="AM2024" s="992"/>
      <c r="AN2024" s="992"/>
      <c r="AO2024" s="563">
        <f>I2024*2</f>
        <v>1440</v>
      </c>
      <c r="AP2024" s="586"/>
      <c r="AQ2024" s="586"/>
      <c r="AR2024" s="1003"/>
      <c r="AS2024" s="586"/>
      <c r="AT2024" s="563">
        <f>I2024*2</f>
        <v>1440</v>
      </c>
      <c r="AU2024" s="586"/>
      <c r="AV2024" s="563">
        <f>I2024*2</f>
        <v>1440</v>
      </c>
      <c r="AW2024" s="586"/>
      <c r="AX2024" s="563"/>
      <c r="AY2024" s="586"/>
      <c r="AZ2024" s="586"/>
      <c r="BA2024" s="1004"/>
      <c r="BB2024" s="1017">
        <f>I2024/24*2</f>
        <v>60</v>
      </c>
      <c r="BC2024" s="586"/>
      <c r="BD2024" s="586"/>
      <c r="BE2024" s="586"/>
      <c r="BF2024" s="1005"/>
      <c r="BG2024" s="561"/>
      <c r="BH2024" s="1006"/>
      <c r="BI2024" s="586"/>
      <c r="BJ2024" s="586"/>
      <c r="BK2024" s="586"/>
      <c r="BL2024" s="586"/>
      <c r="BM2024" s="586"/>
      <c r="BN2024" s="586"/>
      <c r="BO2024" s="586"/>
      <c r="BP2024" s="586"/>
      <c r="BQ2024" s="586"/>
      <c r="BR2024" s="586"/>
      <c r="BS2024" s="586"/>
      <c r="BT2024" s="586"/>
      <c r="BU2024" s="586"/>
      <c r="BV2024" s="586"/>
      <c r="BW2024" s="586"/>
      <c r="BX2024" s="586"/>
      <c r="BY2024" s="586"/>
      <c r="BZ2024" s="563"/>
      <c r="CA2024" s="1007"/>
      <c r="CB2024" s="560"/>
      <c r="CC2024" s="1006"/>
      <c r="CD2024" s="586">
        <f>I2024</f>
        <v>720</v>
      </c>
      <c r="CE2024" s="586"/>
      <c r="CF2024" s="586"/>
      <c r="CG2024" s="1005"/>
      <c r="CH2024" s="561"/>
      <c r="CI2024" s="1006"/>
      <c r="CJ2024" s="586"/>
      <c r="CK2024" s="586"/>
      <c r="CL2024" s="586"/>
      <c r="CM2024" s="586"/>
      <c r="CN2024" s="586"/>
      <c r="CO2024" s="586"/>
      <c r="CP2024" s="1003"/>
      <c r="CQ2024" s="1003"/>
      <c r="CR2024" s="586"/>
      <c r="CS2024" s="586"/>
      <c r="CT2024" s="586"/>
      <c r="CU2024" s="563"/>
      <c r="CV2024" s="563"/>
      <c r="CW2024" s="563"/>
      <c r="CX2024" s="1003"/>
      <c r="CY2024" s="1003"/>
      <c r="CZ2024" s="1003"/>
      <c r="DA2024" s="1003"/>
      <c r="DB2024" s="1003"/>
      <c r="DC2024" s="1003"/>
      <c r="DD2024" s="1003"/>
      <c r="DE2024" s="1003"/>
      <c r="DF2024" s="1003"/>
      <c r="DG2024" s="1003"/>
      <c r="DH2024" s="1003"/>
    </row>
    <row r="2025" s="558" customFormat="1" ht="31" customHeight="1" spans="1:113">
      <c r="A2025" s="1034">
        <v>46203</v>
      </c>
      <c r="B2025" s="603" t="s">
        <v>4371</v>
      </c>
      <c r="C2025" s="1035" t="s">
        <v>98</v>
      </c>
      <c r="D2025" s="560">
        <v>4500214197</v>
      </c>
      <c r="E2025" s="1035">
        <v>1003602897</v>
      </c>
      <c r="F2025" s="560" t="s">
        <v>10899</v>
      </c>
      <c r="G2025" s="1035" t="s">
        <v>6063</v>
      </c>
      <c r="H2025" s="1035" t="s">
        <v>6064</v>
      </c>
      <c r="I2025" s="1036">
        <v>9600</v>
      </c>
      <c r="J2025" s="1035">
        <v>0</v>
      </c>
      <c r="K2025" s="1035">
        <v>16</v>
      </c>
      <c r="L2025" s="1025">
        <f t="shared" ref="L2025:L2054" si="832">I2025/K2025</f>
        <v>600</v>
      </c>
      <c r="M2025" s="1152">
        <v>46274</v>
      </c>
      <c r="N2025" s="1152">
        <f>M2025-4</f>
        <v>46270</v>
      </c>
      <c r="O2025" s="1043"/>
      <c r="P2025" s="1035"/>
      <c r="Q2025" s="1039"/>
      <c r="R2025" s="1039" t="s">
        <v>9889</v>
      </c>
      <c r="S2025" s="1039" t="s">
        <v>70</v>
      </c>
      <c r="T2025" s="1039" t="s">
        <v>10860</v>
      </c>
      <c r="U2025" s="1039"/>
      <c r="V2025" s="1039"/>
      <c r="W2025" s="603"/>
      <c r="X2025" s="603" t="s">
        <v>10396</v>
      </c>
      <c r="Y2025" s="1042" t="s">
        <v>4378</v>
      </c>
      <c r="Z2025" s="603">
        <v>0.6268</v>
      </c>
      <c r="AA2025" s="1042">
        <f t="shared" si="831"/>
        <v>6017.28</v>
      </c>
      <c r="AB2025" s="603"/>
      <c r="AC2025" s="1030"/>
      <c r="AD2025" s="1035" t="s">
        <v>6063</v>
      </c>
      <c r="AE2025" s="1035" t="s">
        <v>82</v>
      </c>
      <c r="AF2025" s="1035"/>
      <c r="AG2025" s="1035"/>
      <c r="AH2025" s="603"/>
      <c r="AJ2025" s="1035">
        <f>AI1891-I2025</f>
        <v>-2160</v>
      </c>
      <c r="AK2025" s="1043"/>
      <c r="AL2025" s="1043" t="s">
        <v>2368</v>
      </c>
      <c r="AM2025" s="1035"/>
      <c r="AN2025" s="1035">
        <f>I2025</f>
        <v>9600</v>
      </c>
      <c r="AO2025" s="560"/>
      <c r="AP2025" s="560">
        <f>I2025</f>
        <v>9600</v>
      </c>
      <c r="AQ2025" s="560"/>
      <c r="AR2025" s="1044"/>
      <c r="AS2025" s="560"/>
      <c r="AT2025" s="560"/>
      <c r="AU2025" s="560">
        <f>I2025</f>
        <v>9600</v>
      </c>
      <c r="AV2025" s="560"/>
      <c r="AW2025" s="560"/>
      <c r="AX2025" s="1045"/>
      <c r="AY2025" s="560"/>
      <c r="AZ2025" s="560"/>
      <c r="BA2025" s="560"/>
      <c r="BB2025" s="1116">
        <f>I2025/24</f>
        <v>400</v>
      </c>
      <c r="BC2025" s="560"/>
      <c r="BD2025" s="560"/>
      <c r="BE2025" s="560"/>
      <c r="BF2025" s="560"/>
      <c r="BG2025" s="560"/>
      <c r="BH2025" s="560"/>
      <c r="BI2025" s="560"/>
      <c r="BJ2025" s="560"/>
      <c r="BK2025" s="560"/>
      <c r="BL2025" s="560"/>
      <c r="BM2025" s="560"/>
      <c r="BN2025" s="560"/>
      <c r="BO2025" s="560"/>
      <c r="BP2025" s="560"/>
      <c r="BQ2025" s="560">
        <f>I2025/16</f>
        <v>600</v>
      </c>
      <c r="BR2025" s="560"/>
      <c r="BS2025" s="560"/>
      <c r="BT2025" s="560"/>
      <c r="BU2025" s="560"/>
      <c r="BV2025" s="560"/>
      <c r="BW2025" s="560"/>
      <c r="BX2025" s="560"/>
      <c r="BY2025" s="560"/>
      <c r="BZ2025" s="560"/>
      <c r="CA2025" s="1046"/>
      <c r="CB2025" s="560"/>
      <c r="CC2025" s="1047"/>
      <c r="CD2025" s="560"/>
      <c r="CE2025" s="560"/>
      <c r="CF2025" s="560"/>
      <c r="CG2025" s="560"/>
      <c r="CH2025" s="560"/>
      <c r="CI2025" s="560"/>
      <c r="CJ2025" s="560"/>
      <c r="CK2025" s="560"/>
      <c r="CL2025" s="560"/>
      <c r="CM2025" s="560"/>
      <c r="CN2025" s="560"/>
      <c r="CO2025" s="560"/>
      <c r="CP2025" s="1044"/>
      <c r="CQ2025" s="1044"/>
      <c r="CR2025" s="560"/>
      <c r="CS2025" s="560"/>
      <c r="CT2025" s="560"/>
      <c r="CU2025" s="560">
        <f>BQ2025+BP2025+BO2025+BN2025+BX2025+BR2025</f>
        <v>600</v>
      </c>
      <c r="CV2025" s="560">
        <f>CK2025+CL2025+CM2025+CN2025+CO2025+CQ2025+CP2025</f>
        <v>0</v>
      </c>
      <c r="CW2025" s="560">
        <f>CI2025+CJ2025</f>
        <v>0</v>
      </c>
      <c r="CX2025" s="1044"/>
      <c r="CY2025" s="1044"/>
      <c r="CZ2025" s="1044"/>
      <c r="DA2025" s="1044"/>
      <c r="DB2025" s="1044"/>
      <c r="DC2025" s="1044"/>
      <c r="DD2025" s="1044"/>
      <c r="DE2025" s="1044"/>
      <c r="DF2025" s="1044"/>
      <c r="DG2025" s="1044"/>
      <c r="DH2025" s="1044"/>
    </row>
    <row r="2026" s="560" customFormat="1" ht="31" customHeight="1" spans="1:113">
      <c r="A2026" s="1034">
        <v>46230</v>
      </c>
      <c r="B2026" s="603" t="s">
        <v>143</v>
      </c>
      <c r="C2026" s="1035" t="s">
        <v>98</v>
      </c>
      <c r="D2026" s="1112">
        <v>4500217892</v>
      </c>
      <c r="E2026" s="1427" t="s">
        <v>10900</v>
      </c>
      <c r="F2026" s="560" t="s">
        <v>10901</v>
      </c>
      <c r="G2026" s="1035" t="s">
        <v>6063</v>
      </c>
      <c r="H2026" s="1035" t="s">
        <v>6064</v>
      </c>
      <c r="I2026" s="1036">
        <v>18000</v>
      </c>
      <c r="J2026" s="1035">
        <v>0</v>
      </c>
      <c r="K2026" s="1035">
        <v>16</v>
      </c>
      <c r="L2026" s="1025">
        <f t="shared" si="832"/>
        <v>1125</v>
      </c>
      <c r="M2026" s="1037">
        <v>46274</v>
      </c>
      <c r="N2026" s="1037">
        <v>46270</v>
      </c>
      <c r="O2026" s="1043"/>
      <c r="P2026" s="1035"/>
      <c r="Q2026" s="1039"/>
      <c r="R2026" s="584" t="s">
        <v>9889</v>
      </c>
      <c r="S2026" s="1039" t="s">
        <v>70</v>
      </c>
      <c r="T2026" s="1039" t="s">
        <v>10860</v>
      </c>
      <c r="U2026" s="1039"/>
      <c r="V2026" s="1039"/>
      <c r="W2026" s="603"/>
      <c r="X2026" s="603" t="s">
        <v>10902</v>
      </c>
      <c r="Y2026" s="1042" t="s">
        <v>106</v>
      </c>
      <c r="Z2026" s="603">
        <v>0.6268</v>
      </c>
      <c r="AA2026" s="1042">
        <f t="shared" si="831"/>
        <v>11282.4</v>
      </c>
      <c r="AB2026" s="603"/>
      <c r="AC2026" s="1030"/>
      <c r="AD2026" s="1035" t="s">
        <v>6063</v>
      </c>
      <c r="AE2026" s="1035" t="s">
        <v>82</v>
      </c>
      <c r="AF2026" s="1035"/>
      <c r="AG2026" s="1035"/>
      <c r="AH2026" s="603"/>
      <c r="AI2026" s="626"/>
      <c r="AJ2026" s="1035">
        <f t="shared" ref="AJ2026:AJ2034" si="833">AI2026-I2026</f>
        <v>-18000</v>
      </c>
      <c r="AK2026" s="1043"/>
      <c r="AL2026" s="1035" t="s">
        <v>2368</v>
      </c>
      <c r="AM2026" s="1035"/>
      <c r="AN2026" s="1035">
        <f>I2026</f>
        <v>18000</v>
      </c>
      <c r="AP2026" s="560">
        <f>I2026</f>
        <v>18000</v>
      </c>
      <c r="AR2026" s="1044"/>
      <c r="AS2026" s="560"/>
      <c r="AT2026" s="560"/>
      <c r="AU2026" s="560">
        <f>I2026</f>
        <v>18000</v>
      </c>
      <c r="AX2026" s="1045"/>
      <c r="AY2026" s="560"/>
      <c r="AZ2026" s="560"/>
      <c r="BA2026" s="560"/>
      <c r="BB2026" s="1116">
        <f t="shared" ref="BB2026:BB2033" si="834">I2026/24</f>
        <v>750</v>
      </c>
      <c r="BQ2026" s="560">
        <f>I2026/16</f>
        <v>1125</v>
      </c>
      <c r="CA2026" s="1044"/>
      <c r="CP2026" s="1044"/>
      <c r="CQ2026" s="1044"/>
      <c r="CR2026" s="560"/>
      <c r="CS2026" s="560"/>
      <c r="CT2026" s="560"/>
      <c r="CU2026" s="560">
        <f>BQ2026+BP2026+BO2026+BN2026+BX2026+BR2026</f>
        <v>1125</v>
      </c>
      <c r="CV2026" s="560">
        <f>CK2026+CL2026+CM2026+CN2026+CO2026+CQ2026+CP2026</f>
        <v>0</v>
      </c>
      <c r="CW2026" s="560">
        <f>CI2026+CJ2026</f>
        <v>0</v>
      </c>
      <c r="CX2026" s="1044"/>
      <c r="CY2026" s="1044"/>
      <c r="CZ2026" s="1044"/>
      <c r="DA2026" s="1044"/>
      <c r="DB2026" s="1044"/>
      <c r="DC2026" s="1044"/>
      <c r="DD2026" s="1044"/>
      <c r="DE2026" s="1044"/>
      <c r="DF2026" s="1044"/>
      <c r="DG2026" s="1044"/>
      <c r="DH2026" s="1044"/>
    </row>
    <row r="2027" s="560" customFormat="1" ht="31" customHeight="1" spans="1:113">
      <c r="A2027" s="1034">
        <v>46231</v>
      </c>
      <c r="B2027" s="603" t="s">
        <v>8152</v>
      </c>
      <c r="C2027" s="1035" t="s">
        <v>98</v>
      </c>
      <c r="D2027" s="1112">
        <v>4500217940</v>
      </c>
      <c r="E2027" s="1043">
        <v>4566900156</v>
      </c>
      <c r="F2027" s="560" t="s">
        <v>10903</v>
      </c>
      <c r="G2027" s="1035" t="s">
        <v>8051</v>
      </c>
      <c r="H2027" s="1035" t="s">
        <v>6102</v>
      </c>
      <c r="I2027" s="1036">
        <v>972</v>
      </c>
      <c r="J2027" s="1035">
        <v>0</v>
      </c>
      <c r="K2027" s="1035">
        <v>6</v>
      </c>
      <c r="L2027" s="1025">
        <f t="shared" si="832"/>
        <v>162</v>
      </c>
      <c r="M2027" s="1037">
        <v>46274</v>
      </c>
      <c r="N2027" s="1037">
        <v>46270</v>
      </c>
      <c r="O2027" s="1043"/>
      <c r="P2027" s="1035"/>
      <c r="Q2027" s="1039"/>
      <c r="R2027" s="584">
        <v>46231</v>
      </c>
      <c r="S2027" s="999" t="s">
        <v>70</v>
      </c>
      <c r="T2027" s="1039" t="s">
        <v>9311</v>
      </c>
      <c r="U2027" s="1039"/>
      <c r="V2027" s="999" t="s">
        <v>10001</v>
      </c>
      <c r="W2027" s="603"/>
      <c r="X2027" s="603" t="s">
        <v>10904</v>
      </c>
      <c r="Y2027" s="1042" t="s">
        <v>10559</v>
      </c>
      <c r="Z2027" s="603">
        <v>0.6197</v>
      </c>
      <c r="AA2027" s="1042">
        <f t="shared" si="831"/>
        <v>602.3484</v>
      </c>
      <c r="AB2027" s="603"/>
      <c r="AC2027" s="1030"/>
      <c r="AD2027" s="939" t="s">
        <v>8051</v>
      </c>
      <c r="AE2027" s="1035" t="s">
        <v>82</v>
      </c>
      <c r="AF2027" s="1035"/>
      <c r="AG2027" s="1035"/>
      <c r="AH2027" s="603"/>
      <c r="AI2027" s="626"/>
      <c r="AJ2027" s="939">
        <f t="shared" si="833"/>
        <v>-972</v>
      </c>
      <c r="AK2027" s="1043"/>
      <c r="AL2027" s="1035" t="s">
        <v>2368</v>
      </c>
      <c r="AM2027" s="1035"/>
      <c r="AN2027" s="1035">
        <f t="shared" ref="AN2027:AN2033" si="835">I2027</f>
        <v>972</v>
      </c>
      <c r="AP2027" s="562">
        <f t="shared" ref="AP2027:AP2033" si="836">I2027</f>
        <v>972</v>
      </c>
      <c r="AR2027" s="1044"/>
      <c r="AS2027" s="560"/>
      <c r="AT2027" s="560"/>
      <c r="AU2027" s="563">
        <f t="shared" ref="AU2027:AU2033" si="837">I2027</f>
        <v>972</v>
      </c>
      <c r="AX2027" s="1045"/>
      <c r="AY2027" s="560"/>
      <c r="AZ2027" s="560"/>
      <c r="BA2027" s="560"/>
      <c r="BB2027" s="1017">
        <f t="shared" si="834"/>
        <v>40.5</v>
      </c>
      <c r="BT2027" s="563">
        <f t="shared" ref="BT2027:BT2033" si="838">L2027</f>
        <v>162</v>
      </c>
      <c r="CA2027" s="1044"/>
      <c r="CB2027" s="560"/>
      <c r="CC2027" s="560"/>
      <c r="CD2027" s="560"/>
      <c r="CE2027" s="560"/>
      <c r="CF2027" s="560"/>
      <c r="CG2027" s="560"/>
      <c r="CH2027" s="560"/>
      <c r="CI2027" s="560"/>
      <c r="CJ2027" s="560"/>
      <c r="CK2027" s="560"/>
      <c r="CL2027" s="560"/>
      <c r="CM2027" s="560"/>
      <c r="CN2027" s="560"/>
      <c r="CO2027" s="560"/>
      <c r="CP2027" s="1044"/>
      <c r="CQ2027" s="1044"/>
      <c r="CR2027" s="560"/>
      <c r="CS2027" s="560"/>
      <c r="CT2027" s="560"/>
      <c r="CU2027" s="563">
        <f t="shared" ref="CU2027:CU2033" si="839">BQ2027+BP2027+BO2027+BN2027+BX2027+BR2027</f>
        <v>0</v>
      </c>
      <c r="CV2027" s="563">
        <f t="shared" ref="CV2027:CV2033" si="840">CK2027+CL2027+CM2027+CN2027+CO2027+CQ2027+CP2027</f>
        <v>0</v>
      </c>
      <c r="CW2027" s="563">
        <f t="shared" ref="CW2027:CW2033" si="841">CI2027+CJ2027</f>
        <v>0</v>
      </c>
      <c r="CX2027" s="1044"/>
      <c r="CY2027" s="1044"/>
      <c r="CZ2027" s="1044"/>
      <c r="DA2027" s="1044"/>
      <c r="DB2027" s="1044"/>
      <c r="DC2027" s="1044"/>
      <c r="DD2027" s="1044"/>
      <c r="DE2027" s="1044"/>
      <c r="DF2027" s="1044"/>
      <c r="DG2027" s="1044"/>
      <c r="DH2027" s="1044"/>
    </row>
    <row r="2028" s="560" customFormat="1" ht="31" customHeight="1" spans="1:113">
      <c r="A2028" s="1034">
        <v>46231</v>
      </c>
      <c r="B2028" s="603" t="s">
        <v>8152</v>
      </c>
      <c r="C2028" s="1035" t="s">
        <v>98</v>
      </c>
      <c r="D2028" s="1112">
        <v>4500217940</v>
      </c>
      <c r="E2028" s="1043">
        <v>4566900193</v>
      </c>
      <c r="F2028" s="560" t="s">
        <v>10905</v>
      </c>
      <c r="G2028" s="1035" t="s">
        <v>8051</v>
      </c>
      <c r="H2028" s="1035" t="s">
        <v>6102</v>
      </c>
      <c r="I2028" s="1036">
        <v>2886</v>
      </c>
      <c r="J2028" s="1035">
        <v>0</v>
      </c>
      <c r="K2028" s="1035">
        <v>6</v>
      </c>
      <c r="L2028" s="1025">
        <f t="shared" si="832"/>
        <v>481</v>
      </c>
      <c r="M2028" s="1037">
        <v>46274</v>
      </c>
      <c r="N2028" s="1037">
        <v>46270</v>
      </c>
      <c r="O2028" s="1043"/>
      <c r="P2028" s="1035"/>
      <c r="Q2028" s="1039"/>
      <c r="R2028" s="584">
        <v>46231</v>
      </c>
      <c r="S2028" s="999" t="s">
        <v>70</v>
      </c>
      <c r="T2028" s="1039" t="s">
        <v>9311</v>
      </c>
      <c r="U2028" s="1039"/>
      <c r="V2028" s="999" t="s">
        <v>10001</v>
      </c>
      <c r="W2028" s="603"/>
      <c r="X2028" s="603" t="s">
        <v>10904</v>
      </c>
      <c r="Y2028" s="1042" t="s">
        <v>10559</v>
      </c>
      <c r="Z2028" s="603">
        <v>0.6164</v>
      </c>
      <c r="AA2028" s="1042">
        <f t="shared" si="831"/>
        <v>1778.9304</v>
      </c>
      <c r="AB2028" s="603"/>
      <c r="AC2028" s="1030"/>
      <c r="AD2028" s="939" t="s">
        <v>8051</v>
      </c>
      <c r="AE2028" s="1035" t="s">
        <v>82</v>
      </c>
      <c r="AF2028" s="1035"/>
      <c r="AG2028" s="1035"/>
      <c r="AH2028" s="603"/>
      <c r="AI2028" s="626"/>
      <c r="AJ2028" s="939">
        <f t="shared" si="833"/>
        <v>-2886</v>
      </c>
      <c r="AK2028" s="1043"/>
      <c r="AL2028" s="1035" t="s">
        <v>2368</v>
      </c>
      <c r="AM2028" s="1035"/>
      <c r="AN2028" s="1035">
        <f t="shared" si="835"/>
        <v>2886</v>
      </c>
      <c r="AP2028" s="562">
        <f t="shared" si="836"/>
        <v>2886</v>
      </c>
      <c r="AR2028" s="1044"/>
      <c r="AS2028" s="560"/>
      <c r="AT2028" s="560"/>
      <c r="AU2028" s="563">
        <f t="shared" si="837"/>
        <v>2886</v>
      </c>
      <c r="AX2028" s="1045"/>
      <c r="AY2028" s="560"/>
      <c r="AZ2028" s="560"/>
      <c r="BA2028" s="560"/>
      <c r="BB2028" s="1017">
        <f t="shared" si="834"/>
        <v>120.25</v>
      </c>
      <c r="BT2028" s="563">
        <f t="shared" si="838"/>
        <v>481</v>
      </c>
      <c r="CA2028" s="1044"/>
      <c r="CB2028" s="560"/>
      <c r="CC2028" s="560"/>
      <c r="CD2028" s="560"/>
      <c r="CE2028" s="560"/>
      <c r="CF2028" s="560"/>
      <c r="CG2028" s="560"/>
      <c r="CH2028" s="560"/>
      <c r="CI2028" s="560"/>
      <c r="CJ2028" s="560"/>
      <c r="CK2028" s="560"/>
      <c r="CL2028" s="560"/>
      <c r="CM2028" s="560"/>
      <c r="CN2028" s="560"/>
      <c r="CO2028" s="560"/>
      <c r="CP2028" s="1044"/>
      <c r="CQ2028" s="1044"/>
      <c r="CR2028" s="560"/>
      <c r="CS2028" s="560"/>
      <c r="CT2028" s="560"/>
      <c r="CU2028" s="563">
        <f t="shared" si="839"/>
        <v>0</v>
      </c>
      <c r="CV2028" s="563">
        <f t="shared" si="840"/>
        <v>0</v>
      </c>
      <c r="CW2028" s="563">
        <f t="shared" si="841"/>
        <v>0</v>
      </c>
      <c r="CX2028" s="1044"/>
      <c r="CY2028" s="1044"/>
      <c r="CZ2028" s="1044"/>
      <c r="DA2028" s="1044"/>
      <c r="DB2028" s="1044"/>
      <c r="DC2028" s="1044"/>
      <c r="DD2028" s="1044"/>
      <c r="DE2028" s="1044"/>
      <c r="DF2028" s="1044"/>
      <c r="DG2028" s="1044"/>
      <c r="DH2028" s="1044"/>
    </row>
    <row r="2029" s="560" customFormat="1" ht="31" customHeight="1" spans="1:113">
      <c r="A2029" s="1034">
        <v>46231</v>
      </c>
      <c r="B2029" s="603" t="s">
        <v>8152</v>
      </c>
      <c r="C2029" s="1035" t="s">
        <v>98</v>
      </c>
      <c r="D2029" s="1112">
        <v>4500217940</v>
      </c>
      <c r="E2029" s="1043">
        <v>4566900115</v>
      </c>
      <c r="F2029" s="560" t="s">
        <v>10906</v>
      </c>
      <c r="G2029" s="1035" t="s">
        <v>8051</v>
      </c>
      <c r="H2029" s="1035" t="s">
        <v>6102</v>
      </c>
      <c r="I2029" s="1036">
        <v>540</v>
      </c>
      <c r="J2029" s="1035">
        <v>0</v>
      </c>
      <c r="K2029" s="1035">
        <v>6</v>
      </c>
      <c r="L2029" s="1025">
        <f t="shared" si="832"/>
        <v>90</v>
      </c>
      <c r="M2029" s="1037">
        <v>46274</v>
      </c>
      <c r="N2029" s="1037">
        <v>46270</v>
      </c>
      <c r="O2029" s="1043"/>
      <c r="P2029" s="1035"/>
      <c r="Q2029" s="1039"/>
      <c r="R2029" s="584">
        <v>46231</v>
      </c>
      <c r="S2029" s="999" t="s">
        <v>70</v>
      </c>
      <c r="T2029" s="1039" t="s">
        <v>9311</v>
      </c>
      <c r="U2029" s="1039"/>
      <c r="V2029" s="999" t="s">
        <v>10001</v>
      </c>
      <c r="W2029" s="603"/>
      <c r="X2029" s="603" t="s">
        <v>10904</v>
      </c>
      <c r="Y2029" s="1042" t="s">
        <v>10559</v>
      </c>
      <c r="Z2029" s="603">
        <v>0.6197</v>
      </c>
      <c r="AA2029" s="1042">
        <f t="shared" si="831"/>
        <v>334.638</v>
      </c>
      <c r="AB2029" s="603"/>
      <c r="AC2029" s="1030"/>
      <c r="AD2029" s="939" t="s">
        <v>8051</v>
      </c>
      <c r="AE2029" s="1035" t="s">
        <v>82</v>
      </c>
      <c r="AF2029" s="1035"/>
      <c r="AG2029" s="1035"/>
      <c r="AH2029" s="603"/>
      <c r="AI2029" s="626"/>
      <c r="AJ2029" s="939">
        <f t="shared" si="833"/>
        <v>-540</v>
      </c>
      <c r="AK2029" s="1043"/>
      <c r="AL2029" s="1035" t="s">
        <v>2368</v>
      </c>
      <c r="AM2029" s="1035"/>
      <c r="AN2029" s="1035">
        <f t="shared" si="835"/>
        <v>540</v>
      </c>
      <c r="AP2029" s="562">
        <f t="shared" si="836"/>
        <v>540</v>
      </c>
      <c r="AR2029" s="1044"/>
      <c r="AS2029" s="560"/>
      <c r="AT2029" s="560"/>
      <c r="AU2029" s="563">
        <f t="shared" si="837"/>
        <v>540</v>
      </c>
      <c r="AX2029" s="1045"/>
      <c r="AY2029" s="560"/>
      <c r="AZ2029" s="560"/>
      <c r="BA2029" s="560"/>
      <c r="BB2029" s="1017">
        <f t="shared" si="834"/>
        <v>22.5</v>
      </c>
      <c r="BT2029" s="563">
        <f t="shared" si="838"/>
        <v>90</v>
      </c>
      <c r="CA2029" s="1044"/>
      <c r="CB2029" s="560"/>
      <c r="CC2029" s="560"/>
      <c r="CD2029" s="560"/>
      <c r="CE2029" s="560"/>
      <c r="CF2029" s="560"/>
      <c r="CG2029" s="560"/>
      <c r="CH2029" s="560"/>
      <c r="CI2029" s="560"/>
      <c r="CJ2029" s="560"/>
      <c r="CK2029" s="560"/>
      <c r="CL2029" s="560"/>
      <c r="CM2029" s="560"/>
      <c r="CN2029" s="560"/>
      <c r="CO2029" s="560"/>
      <c r="CP2029" s="1044"/>
      <c r="CQ2029" s="1044"/>
      <c r="CR2029" s="560"/>
      <c r="CS2029" s="560"/>
      <c r="CT2029" s="560"/>
      <c r="CU2029" s="563">
        <f t="shared" si="839"/>
        <v>0</v>
      </c>
      <c r="CV2029" s="563">
        <f t="shared" si="840"/>
        <v>0</v>
      </c>
      <c r="CW2029" s="563">
        <f t="shared" si="841"/>
        <v>0</v>
      </c>
      <c r="CX2029" s="1044"/>
      <c r="CY2029" s="1044"/>
      <c r="CZ2029" s="1044"/>
      <c r="DA2029" s="1044"/>
      <c r="DB2029" s="1044"/>
      <c r="DC2029" s="1044"/>
      <c r="DD2029" s="1044"/>
      <c r="DE2029" s="1044"/>
      <c r="DF2029" s="1044"/>
      <c r="DG2029" s="1044"/>
      <c r="DH2029" s="1044"/>
    </row>
    <row r="2030" s="560" customFormat="1" ht="31" customHeight="1" spans="1:113">
      <c r="A2030" s="1034">
        <v>46231</v>
      </c>
      <c r="B2030" s="603" t="s">
        <v>8152</v>
      </c>
      <c r="C2030" s="1035" t="s">
        <v>98</v>
      </c>
      <c r="D2030" s="1112">
        <v>4500217940</v>
      </c>
      <c r="E2030" s="1043">
        <v>4566900045</v>
      </c>
      <c r="F2030" s="560" t="s">
        <v>10907</v>
      </c>
      <c r="G2030" s="1035" t="s">
        <v>8051</v>
      </c>
      <c r="H2030" s="1035" t="s">
        <v>6102</v>
      </c>
      <c r="I2030" s="1036">
        <v>936</v>
      </c>
      <c r="J2030" s="1035">
        <v>0</v>
      </c>
      <c r="K2030" s="1035">
        <v>6</v>
      </c>
      <c r="L2030" s="1025">
        <f t="shared" si="832"/>
        <v>156</v>
      </c>
      <c r="M2030" s="1037">
        <v>46274</v>
      </c>
      <c r="N2030" s="1037">
        <v>46270</v>
      </c>
      <c r="O2030" s="1043"/>
      <c r="P2030" s="1035"/>
      <c r="Q2030" s="1039"/>
      <c r="R2030" s="584">
        <v>46231</v>
      </c>
      <c r="S2030" s="999" t="s">
        <v>70</v>
      </c>
      <c r="T2030" s="1039" t="s">
        <v>9311</v>
      </c>
      <c r="U2030" s="1039"/>
      <c r="V2030" s="999" t="s">
        <v>10001</v>
      </c>
      <c r="W2030" s="603"/>
      <c r="X2030" s="603" t="s">
        <v>10904</v>
      </c>
      <c r="Y2030" s="1042" t="s">
        <v>10559</v>
      </c>
      <c r="Z2030" s="603">
        <v>0.6197</v>
      </c>
      <c r="AA2030" s="1042">
        <f t="shared" si="831"/>
        <v>580.0392</v>
      </c>
      <c r="AB2030" s="603"/>
      <c r="AC2030" s="1030"/>
      <c r="AD2030" s="939" t="s">
        <v>8051</v>
      </c>
      <c r="AE2030" s="1035" t="s">
        <v>82</v>
      </c>
      <c r="AF2030" s="1035"/>
      <c r="AG2030" s="1035"/>
      <c r="AH2030" s="603"/>
      <c r="AI2030" s="626"/>
      <c r="AJ2030" s="939">
        <f t="shared" si="833"/>
        <v>-936</v>
      </c>
      <c r="AK2030" s="1043"/>
      <c r="AL2030" s="1035" t="s">
        <v>2368</v>
      </c>
      <c r="AM2030" s="1035"/>
      <c r="AN2030" s="1035">
        <f t="shared" si="835"/>
        <v>936</v>
      </c>
      <c r="AP2030" s="562">
        <f t="shared" si="836"/>
        <v>936</v>
      </c>
      <c r="AR2030" s="1044"/>
      <c r="AS2030" s="560"/>
      <c r="AT2030" s="560"/>
      <c r="AU2030" s="563">
        <f t="shared" si="837"/>
        <v>936</v>
      </c>
      <c r="AX2030" s="1045"/>
      <c r="AY2030" s="560"/>
      <c r="AZ2030" s="560"/>
      <c r="BA2030" s="560"/>
      <c r="BB2030" s="1017">
        <f t="shared" si="834"/>
        <v>39</v>
      </c>
      <c r="BT2030" s="563">
        <f t="shared" si="838"/>
        <v>156</v>
      </c>
      <c r="CA2030" s="1044"/>
      <c r="CB2030" s="560"/>
      <c r="CC2030" s="560"/>
      <c r="CD2030" s="560"/>
      <c r="CE2030" s="560"/>
      <c r="CF2030" s="560"/>
      <c r="CG2030" s="560"/>
      <c r="CH2030" s="560"/>
      <c r="CI2030" s="560"/>
      <c r="CJ2030" s="560"/>
      <c r="CK2030" s="560"/>
      <c r="CL2030" s="560"/>
      <c r="CM2030" s="560"/>
      <c r="CN2030" s="560"/>
      <c r="CO2030" s="560"/>
      <c r="CP2030" s="1044"/>
      <c r="CQ2030" s="1044"/>
      <c r="CR2030" s="560"/>
      <c r="CS2030" s="560"/>
      <c r="CT2030" s="560"/>
      <c r="CU2030" s="563">
        <f t="shared" si="839"/>
        <v>0</v>
      </c>
      <c r="CV2030" s="563">
        <f t="shared" si="840"/>
        <v>0</v>
      </c>
      <c r="CW2030" s="563">
        <f t="shared" si="841"/>
        <v>0</v>
      </c>
      <c r="CX2030" s="1044"/>
      <c r="CY2030" s="1044"/>
      <c r="CZ2030" s="1044"/>
      <c r="DA2030" s="1044"/>
      <c r="DB2030" s="1044"/>
      <c r="DC2030" s="1044"/>
      <c r="DD2030" s="1044"/>
      <c r="DE2030" s="1044"/>
      <c r="DF2030" s="1044"/>
      <c r="DG2030" s="1044"/>
      <c r="DH2030" s="1044"/>
    </row>
    <row r="2031" s="560" customFormat="1" ht="31" customHeight="1" spans="1:113">
      <c r="A2031" s="1034">
        <v>46231</v>
      </c>
      <c r="B2031" s="603" t="s">
        <v>8152</v>
      </c>
      <c r="C2031" s="1035" t="s">
        <v>98</v>
      </c>
      <c r="D2031" s="1112">
        <v>4500217940</v>
      </c>
      <c r="E2031" s="1043">
        <v>4566900094</v>
      </c>
      <c r="F2031" s="560" t="s">
        <v>10908</v>
      </c>
      <c r="G2031" s="1035" t="s">
        <v>8051</v>
      </c>
      <c r="H2031" s="1035" t="s">
        <v>6102</v>
      </c>
      <c r="I2031" s="1036">
        <v>696</v>
      </c>
      <c r="J2031" s="1035">
        <v>0</v>
      </c>
      <c r="K2031" s="1035">
        <v>6</v>
      </c>
      <c r="L2031" s="1025">
        <f t="shared" si="832"/>
        <v>116</v>
      </c>
      <c r="M2031" s="1037">
        <v>46274</v>
      </c>
      <c r="N2031" s="1037">
        <v>46270</v>
      </c>
      <c r="O2031" s="1043"/>
      <c r="P2031" s="1035"/>
      <c r="Q2031" s="1039"/>
      <c r="R2031" s="584">
        <v>46231</v>
      </c>
      <c r="S2031" s="999" t="s">
        <v>70</v>
      </c>
      <c r="T2031" s="1039" t="s">
        <v>9311</v>
      </c>
      <c r="U2031" s="1039"/>
      <c r="V2031" s="999" t="s">
        <v>10001</v>
      </c>
      <c r="W2031" s="603"/>
      <c r="X2031" s="603" t="s">
        <v>10904</v>
      </c>
      <c r="Y2031" s="1042" t="s">
        <v>10559</v>
      </c>
      <c r="Z2031" s="603">
        <v>0.6197</v>
      </c>
      <c r="AA2031" s="1042">
        <f t="shared" si="831"/>
        <v>431.3112</v>
      </c>
      <c r="AB2031" s="603"/>
      <c r="AC2031" s="1030"/>
      <c r="AD2031" s="939" t="s">
        <v>8051</v>
      </c>
      <c r="AE2031" s="1035" t="s">
        <v>82</v>
      </c>
      <c r="AF2031" s="1035"/>
      <c r="AG2031" s="1035"/>
      <c r="AH2031" s="603"/>
      <c r="AI2031" s="626"/>
      <c r="AJ2031" s="939">
        <f t="shared" si="833"/>
        <v>-696</v>
      </c>
      <c r="AK2031" s="1043"/>
      <c r="AL2031" s="1035" t="s">
        <v>2368</v>
      </c>
      <c r="AM2031" s="1035"/>
      <c r="AN2031" s="1035">
        <f t="shared" si="835"/>
        <v>696</v>
      </c>
      <c r="AP2031" s="562">
        <f t="shared" si="836"/>
        <v>696</v>
      </c>
      <c r="AR2031" s="1044"/>
      <c r="AS2031" s="560"/>
      <c r="AT2031" s="560"/>
      <c r="AU2031" s="563">
        <f t="shared" si="837"/>
        <v>696</v>
      </c>
      <c r="AX2031" s="1045"/>
      <c r="AY2031" s="560"/>
      <c r="AZ2031" s="560"/>
      <c r="BA2031" s="560"/>
      <c r="BB2031" s="1017">
        <f t="shared" si="834"/>
        <v>29</v>
      </c>
      <c r="BT2031" s="563">
        <f t="shared" si="838"/>
        <v>116</v>
      </c>
      <c r="CA2031" s="1044"/>
      <c r="CB2031" s="560"/>
      <c r="CC2031" s="560"/>
      <c r="CD2031" s="560"/>
      <c r="CE2031" s="560"/>
      <c r="CF2031" s="560"/>
      <c r="CG2031" s="560"/>
      <c r="CH2031" s="560"/>
      <c r="CI2031" s="560"/>
      <c r="CJ2031" s="560"/>
      <c r="CK2031" s="560"/>
      <c r="CL2031" s="560"/>
      <c r="CM2031" s="560"/>
      <c r="CN2031" s="560"/>
      <c r="CO2031" s="560"/>
      <c r="CP2031" s="1044"/>
      <c r="CQ2031" s="1044"/>
      <c r="CR2031" s="560"/>
      <c r="CS2031" s="560"/>
      <c r="CT2031" s="560"/>
      <c r="CU2031" s="563">
        <f t="shared" si="839"/>
        <v>0</v>
      </c>
      <c r="CV2031" s="563">
        <f t="shared" si="840"/>
        <v>0</v>
      </c>
      <c r="CW2031" s="563">
        <f t="shared" si="841"/>
        <v>0</v>
      </c>
      <c r="CX2031" s="1044"/>
      <c r="CY2031" s="1044"/>
      <c r="CZ2031" s="1044"/>
      <c r="DA2031" s="1044"/>
      <c r="DB2031" s="1044"/>
      <c r="DC2031" s="1044"/>
      <c r="DD2031" s="1044"/>
      <c r="DE2031" s="1044"/>
      <c r="DF2031" s="1044"/>
      <c r="DG2031" s="1044"/>
      <c r="DH2031" s="1044"/>
    </row>
    <row r="2032" s="560" customFormat="1" ht="31" customHeight="1" spans="1:113">
      <c r="A2032" s="1034">
        <v>46231</v>
      </c>
      <c r="B2032" s="603" t="s">
        <v>8152</v>
      </c>
      <c r="C2032" s="1035" t="s">
        <v>98</v>
      </c>
      <c r="D2032" s="1112">
        <v>4500217940</v>
      </c>
      <c r="E2032" s="1043">
        <v>4566900204</v>
      </c>
      <c r="F2032" s="560" t="s">
        <v>10909</v>
      </c>
      <c r="G2032" s="1035" t="s">
        <v>8051</v>
      </c>
      <c r="H2032" s="1035" t="s">
        <v>6102</v>
      </c>
      <c r="I2032" s="1036">
        <v>438</v>
      </c>
      <c r="J2032" s="1035">
        <v>0</v>
      </c>
      <c r="K2032" s="1035">
        <v>6</v>
      </c>
      <c r="L2032" s="1025">
        <f t="shared" si="832"/>
        <v>73</v>
      </c>
      <c r="M2032" s="1037">
        <v>46274</v>
      </c>
      <c r="N2032" s="1037">
        <v>46270</v>
      </c>
      <c r="O2032" s="1043"/>
      <c r="P2032" s="1035"/>
      <c r="Q2032" s="1039"/>
      <c r="R2032" s="584">
        <v>46231</v>
      </c>
      <c r="S2032" s="999" t="s">
        <v>70</v>
      </c>
      <c r="T2032" s="1039" t="s">
        <v>9311</v>
      </c>
      <c r="U2032" s="1039"/>
      <c r="V2032" s="999" t="s">
        <v>10001</v>
      </c>
      <c r="W2032" s="603"/>
      <c r="X2032" s="603" t="s">
        <v>10904</v>
      </c>
      <c r="Y2032" s="1042" t="s">
        <v>10559</v>
      </c>
      <c r="Z2032" s="603">
        <v>0.6197</v>
      </c>
      <c r="AA2032" s="1042">
        <f t="shared" si="831"/>
        <v>271.4286</v>
      </c>
      <c r="AB2032" s="603"/>
      <c r="AC2032" s="1030"/>
      <c r="AD2032" s="939" t="s">
        <v>8051</v>
      </c>
      <c r="AE2032" s="1035" t="s">
        <v>82</v>
      </c>
      <c r="AF2032" s="1035"/>
      <c r="AG2032" s="1035"/>
      <c r="AH2032" s="603"/>
      <c r="AI2032" s="626"/>
      <c r="AJ2032" s="939">
        <f t="shared" si="833"/>
        <v>-438</v>
      </c>
      <c r="AK2032" s="1043"/>
      <c r="AL2032" s="1035" t="s">
        <v>2368</v>
      </c>
      <c r="AM2032" s="1035"/>
      <c r="AN2032" s="1035">
        <f t="shared" si="835"/>
        <v>438</v>
      </c>
      <c r="AP2032" s="562">
        <f t="shared" si="836"/>
        <v>438</v>
      </c>
      <c r="AR2032" s="1044"/>
      <c r="AS2032" s="560"/>
      <c r="AT2032" s="560"/>
      <c r="AU2032" s="563">
        <f t="shared" si="837"/>
        <v>438</v>
      </c>
      <c r="AX2032" s="1045"/>
      <c r="AY2032" s="560"/>
      <c r="AZ2032" s="560"/>
      <c r="BA2032" s="560"/>
      <c r="BB2032" s="1017">
        <f t="shared" si="834"/>
        <v>18.25</v>
      </c>
      <c r="BT2032" s="563">
        <f t="shared" si="838"/>
        <v>73</v>
      </c>
      <c r="CA2032" s="1044"/>
      <c r="CB2032" s="560"/>
      <c r="CC2032" s="560"/>
      <c r="CD2032" s="560"/>
      <c r="CE2032" s="560"/>
      <c r="CF2032" s="560"/>
      <c r="CG2032" s="560"/>
      <c r="CH2032" s="560"/>
      <c r="CI2032" s="560"/>
      <c r="CJ2032" s="560"/>
      <c r="CK2032" s="560"/>
      <c r="CL2032" s="560"/>
      <c r="CM2032" s="560"/>
      <c r="CN2032" s="560"/>
      <c r="CO2032" s="560"/>
      <c r="CP2032" s="1044"/>
      <c r="CQ2032" s="1044"/>
      <c r="CR2032" s="560"/>
      <c r="CS2032" s="560"/>
      <c r="CT2032" s="560"/>
      <c r="CU2032" s="563">
        <f t="shared" si="839"/>
        <v>0</v>
      </c>
      <c r="CV2032" s="563">
        <f t="shared" si="840"/>
        <v>0</v>
      </c>
      <c r="CW2032" s="563">
        <f t="shared" si="841"/>
        <v>0</v>
      </c>
      <c r="CX2032" s="1044"/>
      <c r="CY2032" s="1044"/>
      <c r="CZ2032" s="1044"/>
      <c r="DA2032" s="1044"/>
      <c r="DB2032" s="1044"/>
      <c r="DC2032" s="1044"/>
      <c r="DD2032" s="1044"/>
      <c r="DE2032" s="1044"/>
      <c r="DF2032" s="1044"/>
      <c r="DG2032" s="1044"/>
      <c r="DH2032" s="1044"/>
    </row>
    <row r="2033" s="560" customFormat="1" ht="31" customHeight="1" spans="1:113">
      <c r="A2033" s="1034">
        <v>46231</v>
      </c>
      <c r="B2033" s="603" t="s">
        <v>8152</v>
      </c>
      <c r="C2033" s="1035" t="s">
        <v>98</v>
      </c>
      <c r="D2033" s="1112">
        <v>4500217940</v>
      </c>
      <c r="E2033" s="1043">
        <v>4566900139</v>
      </c>
      <c r="F2033" s="560" t="s">
        <v>10910</v>
      </c>
      <c r="G2033" s="1035" t="s">
        <v>8051</v>
      </c>
      <c r="H2033" s="1035" t="s">
        <v>6102</v>
      </c>
      <c r="I2033" s="1036">
        <v>642</v>
      </c>
      <c r="J2033" s="1035">
        <v>0</v>
      </c>
      <c r="K2033" s="1035">
        <v>6</v>
      </c>
      <c r="L2033" s="1025">
        <f t="shared" si="832"/>
        <v>107</v>
      </c>
      <c r="M2033" s="1037">
        <v>46274</v>
      </c>
      <c r="N2033" s="1037">
        <v>46270</v>
      </c>
      <c r="O2033" s="1043"/>
      <c r="P2033" s="1035"/>
      <c r="Q2033" s="1039"/>
      <c r="R2033" s="584">
        <v>46231</v>
      </c>
      <c r="S2033" s="999" t="s">
        <v>70</v>
      </c>
      <c r="T2033" s="1039" t="s">
        <v>9311</v>
      </c>
      <c r="U2033" s="1039"/>
      <c r="V2033" s="999" t="s">
        <v>10001</v>
      </c>
      <c r="W2033" s="603"/>
      <c r="X2033" s="603" t="s">
        <v>10904</v>
      </c>
      <c r="Y2033" s="1042" t="s">
        <v>10559</v>
      </c>
      <c r="Z2033" s="603">
        <v>0.6197</v>
      </c>
      <c r="AA2033" s="1042">
        <f t="shared" si="831"/>
        <v>397.8474</v>
      </c>
      <c r="AB2033" s="603"/>
      <c r="AC2033" s="1030"/>
      <c r="AD2033" s="939" t="s">
        <v>8051</v>
      </c>
      <c r="AE2033" s="1035" t="s">
        <v>82</v>
      </c>
      <c r="AF2033" s="1035"/>
      <c r="AG2033" s="1035"/>
      <c r="AH2033" s="603"/>
      <c r="AI2033" s="626"/>
      <c r="AJ2033" s="939">
        <f t="shared" si="833"/>
        <v>-642</v>
      </c>
      <c r="AK2033" s="1043"/>
      <c r="AL2033" s="1035" t="s">
        <v>2368</v>
      </c>
      <c r="AM2033" s="1035"/>
      <c r="AN2033" s="1035">
        <f t="shared" si="835"/>
        <v>642</v>
      </c>
      <c r="AP2033" s="562">
        <f t="shared" si="836"/>
        <v>642</v>
      </c>
      <c r="AR2033" s="1044"/>
      <c r="AS2033" s="560"/>
      <c r="AT2033" s="560"/>
      <c r="AU2033" s="563">
        <f t="shared" si="837"/>
        <v>642</v>
      </c>
      <c r="AX2033" s="1045"/>
      <c r="AY2033" s="560"/>
      <c r="AZ2033" s="560"/>
      <c r="BA2033" s="560"/>
      <c r="BB2033" s="1017">
        <f t="shared" si="834"/>
        <v>26.75</v>
      </c>
      <c r="BT2033" s="563">
        <f t="shared" si="838"/>
        <v>107</v>
      </c>
      <c r="CA2033" s="1044"/>
      <c r="CB2033" s="560"/>
      <c r="CC2033" s="560"/>
      <c r="CD2033" s="560"/>
      <c r="CE2033" s="560"/>
      <c r="CF2033" s="560"/>
      <c r="CG2033" s="560"/>
      <c r="CH2033" s="560"/>
      <c r="CI2033" s="560"/>
      <c r="CJ2033" s="560"/>
      <c r="CK2033" s="560"/>
      <c r="CL2033" s="560"/>
      <c r="CM2033" s="560"/>
      <c r="CN2033" s="560"/>
      <c r="CO2033" s="560"/>
      <c r="CP2033" s="1044"/>
      <c r="CQ2033" s="1044"/>
      <c r="CR2033" s="560"/>
      <c r="CS2033" s="560"/>
      <c r="CT2033" s="560"/>
      <c r="CU2033" s="563">
        <f t="shared" si="839"/>
        <v>0</v>
      </c>
      <c r="CV2033" s="563">
        <f t="shared" si="840"/>
        <v>0</v>
      </c>
      <c r="CW2033" s="563">
        <f t="shared" si="841"/>
        <v>0</v>
      </c>
      <c r="CX2033" s="1044"/>
      <c r="CY2033" s="1044"/>
      <c r="CZ2033" s="1044"/>
      <c r="DA2033" s="1044"/>
      <c r="DB2033" s="1044"/>
      <c r="DC2033" s="1044"/>
      <c r="DD2033" s="1044"/>
      <c r="DE2033" s="1044"/>
      <c r="DF2033" s="1044"/>
      <c r="DG2033" s="1044"/>
      <c r="DH2033" s="1044"/>
    </row>
    <row r="2034" s="560" customFormat="1" ht="31" customHeight="1" spans="1:113">
      <c r="A2034" s="1034">
        <v>46227</v>
      </c>
      <c r="B2034" s="603" t="s">
        <v>3729</v>
      </c>
      <c r="C2034" s="1035" t="s">
        <v>278</v>
      </c>
      <c r="D2034" s="1112">
        <v>4500217589</v>
      </c>
      <c r="E2034" s="1035" t="s">
        <v>5768</v>
      </c>
      <c r="F2034" s="560" t="s">
        <v>5769</v>
      </c>
      <c r="G2034" s="1035" t="s">
        <v>6337</v>
      </c>
      <c r="H2034" s="992" t="s">
        <v>477</v>
      </c>
      <c r="I2034" s="1036">
        <v>1008</v>
      </c>
      <c r="J2034" s="1035">
        <v>0</v>
      </c>
      <c r="K2034" s="1035">
        <v>6</v>
      </c>
      <c r="L2034" s="997">
        <f t="shared" si="832"/>
        <v>168</v>
      </c>
      <c r="M2034" s="1037">
        <v>46274</v>
      </c>
      <c r="N2034" s="1152">
        <v>46274</v>
      </c>
      <c r="O2034" s="1043"/>
      <c r="P2034" s="1035"/>
      <c r="Q2034" s="1039"/>
      <c r="R2034" s="999" t="s">
        <v>5770</v>
      </c>
      <c r="S2034" s="999" t="s">
        <v>104</v>
      </c>
      <c r="T2034" s="999" t="s">
        <v>10911</v>
      </c>
      <c r="U2034" s="1039"/>
      <c r="V2034" s="1039"/>
      <c r="W2034" s="603"/>
      <c r="X2034" s="1041" t="s">
        <v>10912</v>
      </c>
      <c r="Y2034" s="1042" t="s">
        <v>3734</v>
      </c>
      <c r="Z2034" s="603">
        <v>7.2023</v>
      </c>
      <c r="AA2034" s="1060">
        <f t="shared" si="831"/>
        <v>7259.9184</v>
      </c>
      <c r="AB2034" s="603"/>
      <c r="AC2034" s="1030"/>
      <c r="AD2034" s="939" t="s">
        <v>480</v>
      </c>
      <c r="AE2034" s="1035" t="s">
        <v>82</v>
      </c>
      <c r="AF2034" s="1035"/>
      <c r="AG2034" s="1035"/>
      <c r="AH2034" s="603"/>
      <c r="AI2034" s="626"/>
      <c r="AJ2034" s="939">
        <f t="shared" si="833"/>
        <v>-1008</v>
      </c>
      <c r="AK2034" s="1043"/>
      <c r="AL2034" s="1035" t="s">
        <v>454</v>
      </c>
      <c r="AM2034" s="1035"/>
      <c r="AN2034" s="1035"/>
      <c r="AO2034" s="563">
        <f>I2034*2</f>
        <v>2016</v>
      </c>
      <c r="AR2034" s="1044"/>
      <c r="AS2034" s="560"/>
      <c r="AT2034" s="563">
        <f>I2034*2</f>
        <v>2016</v>
      </c>
      <c r="AU2034" s="563"/>
      <c r="AV2034" s="563">
        <f>I2034*2</f>
        <v>2016</v>
      </c>
      <c r="AX2034" s="1045"/>
      <c r="AY2034" s="560"/>
      <c r="AZ2034" s="560"/>
      <c r="BA2034" s="560"/>
      <c r="BB2034" s="1017">
        <f>I2034/24*2</f>
        <v>84</v>
      </c>
      <c r="BZ2034" s="563"/>
      <c r="CA2034" s="1044"/>
      <c r="CD2034" s="1015">
        <f>I2034</f>
        <v>1008</v>
      </c>
      <c r="CP2034" s="1044"/>
      <c r="CQ2034" s="1044"/>
      <c r="CR2034" s="560"/>
      <c r="CS2034" s="560"/>
      <c r="CT2034" s="560"/>
      <c r="CU2034" s="560"/>
      <c r="CV2034" s="560"/>
      <c r="CW2034" s="560"/>
      <c r="CX2034" s="1044"/>
      <c r="CY2034" s="1044"/>
      <c r="CZ2034" s="1044"/>
      <c r="DA2034" s="1044"/>
      <c r="DB2034" s="1044"/>
      <c r="DC2034" s="1044"/>
      <c r="DD2034" s="1044"/>
      <c r="DE2034" s="1044"/>
      <c r="DF2034" s="1044"/>
      <c r="DG2034" s="1044"/>
      <c r="DH2034" s="1044"/>
    </row>
    <row r="2035" s="558" customFormat="1" ht="31" customHeight="1" spans="1:113">
      <c r="A2035" s="1022">
        <v>46225</v>
      </c>
      <c r="B2035" s="601" t="s">
        <v>1472</v>
      </c>
      <c r="C2035" s="992" t="s">
        <v>524</v>
      </c>
      <c r="D2035" s="586">
        <v>4500217393</v>
      </c>
      <c r="E2035" s="992"/>
      <c r="F2035" s="586" t="s">
        <v>10913</v>
      </c>
      <c r="G2035" s="992" t="s">
        <v>6047</v>
      </c>
      <c r="H2035" s="992" t="s">
        <v>6110</v>
      </c>
      <c r="I2035" s="995">
        <v>19275</v>
      </c>
      <c r="J2035" s="992">
        <v>0</v>
      </c>
      <c r="K2035" s="996">
        <v>25</v>
      </c>
      <c r="L2035" s="997">
        <f t="shared" si="832"/>
        <v>771</v>
      </c>
      <c r="M2035" s="998">
        <v>46275</v>
      </c>
      <c r="N2035" s="1079">
        <v>46272</v>
      </c>
      <c r="O2035" s="994" t="s">
        <v>10914</v>
      </c>
      <c r="P2035" s="992"/>
      <c r="Q2035" s="584"/>
      <c r="R2035" s="584">
        <v>46237</v>
      </c>
      <c r="S2035" s="999" t="s">
        <v>70</v>
      </c>
      <c r="T2035" s="584" t="s">
        <v>10915</v>
      </c>
      <c r="U2035" s="584"/>
      <c r="V2035" s="1039"/>
      <c r="W2035" s="585"/>
      <c r="X2035" s="601" t="s">
        <v>10916</v>
      </c>
      <c r="Y2035" s="1000" t="s">
        <v>340</v>
      </c>
      <c r="Z2035" s="601">
        <v>0.9649</v>
      </c>
      <c r="AA2035" s="1000">
        <f t="shared" si="831"/>
        <v>18598.4475</v>
      </c>
      <c r="AB2035" s="585"/>
      <c r="AC2035" s="1002"/>
      <c r="AD2035" s="939" t="s">
        <v>6047</v>
      </c>
      <c r="AE2035" s="992" t="s">
        <v>82</v>
      </c>
      <c r="AF2035" s="992"/>
      <c r="AG2035" s="992"/>
      <c r="AH2035" s="601"/>
      <c r="AI2035" s="626"/>
      <c r="AJ2035" s="939">
        <f t="shared" si="818"/>
        <v>-19275</v>
      </c>
      <c r="AK2035" s="994"/>
      <c r="AL2035" s="992" t="s">
        <v>2368</v>
      </c>
      <c r="AM2035" s="992"/>
      <c r="AN2035" s="992"/>
      <c r="AO2035" s="586">
        <f>I2035</f>
        <v>19275</v>
      </c>
      <c r="AP2035" s="586"/>
      <c r="AQ2035" s="586"/>
      <c r="AR2035" s="1003"/>
      <c r="AS2035" s="586"/>
      <c r="AT2035" s="563">
        <f>I2035</f>
        <v>19275</v>
      </c>
      <c r="AU2035" s="563"/>
      <c r="AV2035" s="563">
        <f>I2035</f>
        <v>19275</v>
      </c>
      <c r="AW2035" s="586"/>
      <c r="AX2035" s="1049"/>
      <c r="AY2035" s="586"/>
      <c r="AZ2035" s="586"/>
      <c r="BA2035" s="586"/>
      <c r="BB2035" s="1017">
        <f>I2035/24</f>
        <v>803.125</v>
      </c>
      <c r="BC2035" s="586"/>
      <c r="BD2035" s="586"/>
      <c r="BE2035" s="586"/>
      <c r="BF2035" s="1005"/>
      <c r="BG2035" s="561"/>
      <c r="BH2035" s="1006"/>
      <c r="BI2035" s="586"/>
      <c r="BJ2035" s="586"/>
      <c r="BK2035" s="586"/>
      <c r="BL2035" s="586"/>
      <c r="BM2035" s="586"/>
      <c r="BN2035" s="586"/>
      <c r="BO2035" s="586"/>
      <c r="BP2035" s="563">
        <f>I2035/25</f>
        <v>771</v>
      </c>
      <c r="BQ2035" s="586"/>
      <c r="BR2035" s="586"/>
      <c r="BS2035" s="586"/>
      <c r="BT2035" s="586"/>
      <c r="BU2035" s="586"/>
      <c r="BV2035" s="586"/>
      <c r="BW2035" s="586"/>
      <c r="BX2035" s="586"/>
      <c r="BY2035" s="586"/>
      <c r="BZ2035" s="586"/>
      <c r="CA2035" s="1007"/>
      <c r="CB2035" s="560"/>
      <c r="CC2035" s="1006"/>
      <c r="CD2035" s="586"/>
      <c r="CE2035" s="586"/>
      <c r="CF2035" s="586"/>
      <c r="CG2035" s="1005"/>
      <c r="CH2035" s="561"/>
      <c r="CI2035" s="1006"/>
      <c r="CJ2035" s="586"/>
      <c r="CK2035" s="586"/>
      <c r="CL2035" s="586"/>
      <c r="CM2035" s="586"/>
      <c r="CN2035" s="586"/>
      <c r="CO2035" s="586"/>
      <c r="CP2035" s="1003"/>
      <c r="CQ2035" s="1003"/>
      <c r="CR2035" s="586"/>
      <c r="CS2035" s="586"/>
      <c r="CT2035" s="586"/>
      <c r="CU2035" s="563">
        <f t="shared" ref="CU2035:CU2054" si="842">BQ2035+BP2035+BO2035+BN2035+BX2035+BR2035</f>
        <v>771</v>
      </c>
      <c r="CV2035" s="563">
        <f t="shared" ref="CV2035:CV2049" si="843">CK2035+CL2035+CM2035+CN2035+CO2035+CQ2035+CP2035</f>
        <v>0</v>
      </c>
      <c r="CW2035" s="563">
        <f t="shared" ref="CW2035:CW2049" si="844">CI2035+CJ2035</f>
        <v>0</v>
      </c>
      <c r="CX2035" s="1003"/>
      <c r="CY2035" s="1003"/>
      <c r="CZ2035" s="1003"/>
      <c r="DA2035" s="1003"/>
      <c r="DB2035" s="1003"/>
      <c r="DC2035" s="1003"/>
      <c r="DD2035" s="1003"/>
      <c r="DE2035" s="1003"/>
      <c r="DF2035" s="1003"/>
      <c r="DG2035" s="1003"/>
      <c r="DH2035" s="1003"/>
    </row>
    <row r="2036" s="560" customFormat="1" ht="31" customHeight="1" spans="1:113">
      <c r="A2036" s="1034">
        <v>46230</v>
      </c>
      <c r="B2036" s="603" t="s">
        <v>143</v>
      </c>
      <c r="C2036" s="1035" t="s">
        <v>98</v>
      </c>
      <c r="D2036" s="1112">
        <v>4500217892</v>
      </c>
      <c r="E2036" s="1427" t="s">
        <v>10917</v>
      </c>
      <c r="F2036" s="560" t="s">
        <v>10918</v>
      </c>
      <c r="G2036" s="1035" t="s">
        <v>6063</v>
      </c>
      <c r="H2036" s="1035" t="s">
        <v>6064</v>
      </c>
      <c r="I2036" s="1036">
        <v>21600</v>
      </c>
      <c r="J2036" s="1035">
        <v>0</v>
      </c>
      <c r="K2036" s="1035">
        <v>16</v>
      </c>
      <c r="L2036" s="1025">
        <f t="shared" si="832"/>
        <v>1350</v>
      </c>
      <c r="M2036" s="1037">
        <v>46275</v>
      </c>
      <c r="N2036" s="1037">
        <v>46272</v>
      </c>
      <c r="O2036" s="1043"/>
      <c r="P2036" s="1035"/>
      <c r="Q2036" s="1039"/>
      <c r="R2036" s="584" t="s">
        <v>9889</v>
      </c>
      <c r="S2036" s="1039" t="s">
        <v>70</v>
      </c>
      <c r="T2036" s="1039" t="s">
        <v>10860</v>
      </c>
      <c r="U2036" s="1039"/>
      <c r="V2036" s="1039"/>
      <c r="W2036" s="603"/>
      <c r="X2036" s="603" t="s">
        <v>10902</v>
      </c>
      <c r="Y2036" s="1042" t="s">
        <v>106</v>
      </c>
      <c r="Z2036" s="603">
        <v>0.6079</v>
      </c>
      <c r="AA2036" s="1042">
        <f t="shared" si="831"/>
        <v>13130.64</v>
      </c>
      <c r="AB2036" s="603"/>
      <c r="AC2036" s="1030"/>
      <c r="AD2036" s="1035" t="s">
        <v>6063</v>
      </c>
      <c r="AE2036" s="1035" t="s">
        <v>82</v>
      </c>
      <c r="AF2036" s="1035"/>
      <c r="AG2036" s="1035"/>
      <c r="AH2036" s="603"/>
      <c r="AI2036" s="626"/>
      <c r="AJ2036" s="1035">
        <f t="shared" si="818"/>
        <v>-21600</v>
      </c>
      <c r="AK2036" s="1043"/>
      <c r="AL2036" s="1035" t="s">
        <v>2368</v>
      </c>
      <c r="AM2036" s="1035"/>
      <c r="AN2036" s="1035">
        <f>I2036</f>
        <v>21600</v>
      </c>
      <c r="AP2036" s="560">
        <f>I2036</f>
        <v>21600</v>
      </c>
      <c r="AR2036" s="1044"/>
      <c r="AS2036" s="560"/>
      <c r="AT2036" s="560"/>
      <c r="AU2036" s="560">
        <f>I2036</f>
        <v>21600</v>
      </c>
      <c r="AX2036" s="1045"/>
      <c r="AY2036" s="560"/>
      <c r="AZ2036" s="560"/>
      <c r="BA2036" s="560"/>
      <c r="BB2036" s="1116">
        <f>I2036/24</f>
        <v>900</v>
      </c>
      <c r="BQ2036" s="560">
        <f>I2036/16</f>
        <v>1350</v>
      </c>
      <c r="CA2036" s="1044"/>
      <c r="CP2036" s="1044"/>
      <c r="CQ2036" s="1044"/>
      <c r="CR2036" s="560"/>
      <c r="CS2036" s="560"/>
      <c r="CT2036" s="560"/>
      <c r="CU2036" s="560">
        <f t="shared" si="842"/>
        <v>1350</v>
      </c>
      <c r="CV2036" s="560">
        <f t="shared" si="843"/>
        <v>0</v>
      </c>
      <c r="CW2036" s="560">
        <f t="shared" si="844"/>
        <v>0</v>
      </c>
      <c r="CX2036" s="1044"/>
      <c r="CY2036" s="1044"/>
      <c r="CZ2036" s="1044"/>
      <c r="DA2036" s="1044"/>
      <c r="DB2036" s="1044"/>
      <c r="DC2036" s="1044"/>
      <c r="DD2036" s="1044"/>
      <c r="DE2036" s="1044"/>
      <c r="DF2036" s="1044"/>
      <c r="DG2036" s="1044"/>
      <c r="DH2036" s="1044"/>
    </row>
    <row r="2037" s="560" customFormat="1" ht="31" customHeight="1" spans="1:113">
      <c r="A2037" s="1034">
        <v>46230</v>
      </c>
      <c r="B2037" s="603" t="s">
        <v>143</v>
      </c>
      <c r="C2037" s="1035" t="s">
        <v>98</v>
      </c>
      <c r="D2037" s="1112">
        <v>4500217892</v>
      </c>
      <c r="E2037" s="1427" t="s">
        <v>10919</v>
      </c>
      <c r="F2037" s="560" t="s">
        <v>10920</v>
      </c>
      <c r="G2037" s="1035" t="s">
        <v>6063</v>
      </c>
      <c r="H2037" s="1035" t="s">
        <v>6064</v>
      </c>
      <c r="I2037" s="1036">
        <v>27360</v>
      </c>
      <c r="J2037" s="1035">
        <v>0</v>
      </c>
      <c r="K2037" s="1035">
        <v>16</v>
      </c>
      <c r="L2037" s="1025">
        <f t="shared" si="832"/>
        <v>1710</v>
      </c>
      <c r="M2037" s="1037">
        <v>46275</v>
      </c>
      <c r="N2037" s="1037">
        <v>46272</v>
      </c>
      <c r="O2037" s="1043"/>
      <c r="P2037" s="1035"/>
      <c r="Q2037" s="1039"/>
      <c r="R2037" s="584" t="s">
        <v>9889</v>
      </c>
      <c r="S2037" s="1039" t="s">
        <v>70</v>
      </c>
      <c r="T2037" s="1039" t="s">
        <v>10860</v>
      </c>
      <c r="U2037" s="1039"/>
      <c r="V2037" s="1039"/>
      <c r="W2037" s="603"/>
      <c r="X2037" s="603" t="s">
        <v>10902</v>
      </c>
      <c r="Y2037" s="1042" t="s">
        <v>106</v>
      </c>
      <c r="Z2037" s="603">
        <v>0.6079</v>
      </c>
      <c r="AA2037" s="1042">
        <f t="shared" si="831"/>
        <v>16632.144</v>
      </c>
      <c r="AB2037" s="603"/>
      <c r="AC2037" s="1030"/>
      <c r="AD2037" s="1035" t="s">
        <v>6063</v>
      </c>
      <c r="AE2037" s="1035" t="s">
        <v>82</v>
      </c>
      <c r="AF2037" s="1035"/>
      <c r="AG2037" s="1035"/>
      <c r="AH2037" s="603"/>
      <c r="AI2037" s="626"/>
      <c r="AJ2037" s="1035">
        <f t="shared" si="818"/>
        <v>-27360</v>
      </c>
      <c r="AK2037" s="1043"/>
      <c r="AL2037" s="1035" t="s">
        <v>2368</v>
      </c>
      <c r="AM2037" s="1035"/>
      <c r="AN2037" s="1035">
        <f>I2037</f>
        <v>27360</v>
      </c>
      <c r="AP2037" s="560">
        <f>I2037</f>
        <v>27360</v>
      </c>
      <c r="AR2037" s="1044"/>
      <c r="AS2037" s="560"/>
      <c r="AT2037" s="560"/>
      <c r="AU2037" s="560">
        <f>I2037</f>
        <v>27360</v>
      </c>
      <c r="AX2037" s="1045"/>
      <c r="AY2037" s="560"/>
      <c r="AZ2037" s="560"/>
      <c r="BA2037" s="560"/>
      <c r="BB2037" s="1116">
        <f>I2037/24</f>
        <v>1140</v>
      </c>
      <c r="BQ2037" s="560">
        <f>I2037/16</f>
        <v>1710</v>
      </c>
      <c r="CA2037" s="1044"/>
      <c r="CP2037" s="1044"/>
      <c r="CQ2037" s="1044"/>
      <c r="CR2037" s="560"/>
      <c r="CS2037" s="560"/>
      <c r="CT2037" s="560"/>
      <c r="CU2037" s="560">
        <f t="shared" si="842"/>
        <v>1710</v>
      </c>
      <c r="CV2037" s="560">
        <f t="shared" si="843"/>
        <v>0</v>
      </c>
      <c r="CW2037" s="560">
        <f t="shared" si="844"/>
        <v>0</v>
      </c>
      <c r="CX2037" s="1044"/>
      <c r="CY2037" s="1044"/>
      <c r="CZ2037" s="1044"/>
      <c r="DA2037" s="1044"/>
      <c r="DB2037" s="1044"/>
      <c r="DC2037" s="1044"/>
      <c r="DD2037" s="1044"/>
      <c r="DE2037" s="1044"/>
      <c r="DF2037" s="1044"/>
      <c r="DG2037" s="1044"/>
      <c r="DH2037" s="1044"/>
    </row>
    <row r="2038" s="560" customFormat="1" ht="31" customHeight="1" spans="1:113">
      <c r="A2038" s="1034">
        <v>46231</v>
      </c>
      <c r="B2038" s="603" t="s">
        <v>1728</v>
      </c>
      <c r="C2038" s="1035" t="s">
        <v>154</v>
      </c>
      <c r="D2038" s="1112">
        <v>4500217997</v>
      </c>
      <c r="E2038" s="1043">
        <v>4400585345</v>
      </c>
      <c r="F2038" s="560" t="s">
        <v>10921</v>
      </c>
      <c r="G2038" s="1035" t="s">
        <v>6047</v>
      </c>
      <c r="H2038" s="1035" t="s">
        <v>6069</v>
      </c>
      <c r="I2038" s="1036">
        <v>6000</v>
      </c>
      <c r="J2038" s="1035">
        <v>0</v>
      </c>
      <c r="K2038" s="1035">
        <v>25</v>
      </c>
      <c r="L2038" s="1025">
        <f t="shared" si="832"/>
        <v>240</v>
      </c>
      <c r="M2038" s="1037">
        <v>46276</v>
      </c>
      <c r="N2038" s="1037">
        <v>46272</v>
      </c>
      <c r="O2038" s="1043"/>
      <c r="P2038" s="1035"/>
      <c r="Q2038" s="1039"/>
      <c r="R2038" s="584">
        <v>46231</v>
      </c>
      <c r="S2038" s="614" t="s">
        <v>70</v>
      </c>
      <c r="T2038" s="1039" t="s">
        <v>10922</v>
      </c>
      <c r="U2038" s="1039"/>
      <c r="V2038" s="243" t="s">
        <v>5396</v>
      </c>
      <c r="W2038" s="603"/>
      <c r="X2038" s="603" t="s">
        <v>10923</v>
      </c>
      <c r="Y2038" s="1042" t="s">
        <v>5054</v>
      </c>
      <c r="Z2038" s="603">
        <v>0.9703</v>
      </c>
      <c r="AA2038" s="1042">
        <f t="shared" si="831"/>
        <v>5821.8</v>
      </c>
      <c r="AB2038" s="603"/>
      <c r="AC2038" s="1030"/>
      <c r="AD2038" s="246" t="s">
        <v>6047</v>
      </c>
      <c r="AE2038" s="1035" t="s">
        <v>82</v>
      </c>
      <c r="AF2038" s="1035"/>
      <c r="AG2038" s="1035"/>
      <c r="AH2038" s="603"/>
      <c r="AI2038" s="626"/>
      <c r="AJ2038" s="610">
        <f t="shared" si="818"/>
        <v>-6000</v>
      </c>
      <c r="AK2038" s="1043"/>
      <c r="AL2038" s="1035" t="s">
        <v>454</v>
      </c>
      <c r="AM2038" s="1035"/>
      <c r="AN2038" s="1035"/>
      <c r="AO2038" s="560">
        <f>I2038</f>
        <v>6000</v>
      </c>
      <c r="AR2038" s="1044"/>
      <c r="AS2038" s="560"/>
      <c r="AT2038" s="554">
        <f>I2038</f>
        <v>6000</v>
      </c>
      <c r="AV2038" s="554">
        <f>I2038</f>
        <v>6000</v>
      </c>
      <c r="AX2038" s="1045"/>
      <c r="AY2038" s="560"/>
      <c r="AZ2038" s="560"/>
      <c r="BA2038" s="560"/>
      <c r="BB2038" s="620">
        <f>I2038/24*2</f>
        <v>500</v>
      </c>
      <c r="BE2038" s="554"/>
      <c r="BF2038" s="560"/>
      <c r="BG2038" s="560"/>
      <c r="BH2038" s="560"/>
      <c r="BI2038" s="560"/>
      <c r="BJ2038" s="560"/>
      <c r="BK2038" s="560"/>
      <c r="BL2038" s="560"/>
      <c r="BM2038" s="560"/>
      <c r="BN2038" s="560"/>
      <c r="BO2038" s="560"/>
      <c r="BP2038" s="554">
        <f>I2038/25</f>
        <v>240</v>
      </c>
      <c r="CA2038" s="1044"/>
      <c r="CB2038" s="560"/>
      <c r="CC2038" s="560"/>
      <c r="CD2038" s="560"/>
      <c r="CE2038" s="560"/>
      <c r="CF2038" s="560"/>
      <c r="CG2038" s="560"/>
      <c r="CH2038" s="560"/>
      <c r="CI2038" s="560"/>
      <c r="CJ2038" s="560"/>
      <c r="CK2038" s="560"/>
      <c r="CL2038" s="560"/>
      <c r="CM2038" s="560"/>
      <c r="CN2038" s="560"/>
      <c r="CO2038" s="560"/>
      <c r="CP2038" s="1044"/>
      <c r="CQ2038" s="1044"/>
      <c r="CR2038" s="560"/>
      <c r="CS2038" s="560"/>
      <c r="CT2038" s="560"/>
      <c r="CU2038" s="554">
        <f t="shared" si="842"/>
        <v>240</v>
      </c>
      <c r="CV2038" s="554">
        <f t="shared" si="843"/>
        <v>0</v>
      </c>
      <c r="CW2038" s="554">
        <f t="shared" si="844"/>
        <v>0</v>
      </c>
      <c r="CX2038" s="1044"/>
      <c r="CY2038" s="1044"/>
      <c r="CZ2038" s="1044"/>
      <c r="DA2038" s="1044"/>
      <c r="DB2038" s="1044"/>
      <c r="DC2038" s="1044"/>
      <c r="DD2038" s="1044"/>
      <c r="DE2038" s="1044"/>
      <c r="DF2038" s="1044"/>
      <c r="DG2038" s="1044"/>
      <c r="DH2038" s="1044"/>
    </row>
    <row r="2039" s="560" customFormat="1" ht="31" customHeight="1" spans="1:113">
      <c r="A2039" s="1034">
        <v>46237</v>
      </c>
      <c r="B2039" s="603" t="s">
        <v>127</v>
      </c>
      <c r="C2039" s="1035" t="s">
        <v>128</v>
      </c>
      <c r="D2039" s="1112">
        <v>4500218518</v>
      </c>
      <c r="E2039" s="1043">
        <v>86946</v>
      </c>
      <c r="F2039" s="560" t="s">
        <v>10924</v>
      </c>
      <c r="G2039" s="1035" t="s">
        <v>6047</v>
      </c>
      <c r="H2039" s="1035" t="s">
        <v>6069</v>
      </c>
      <c r="I2039" s="1036">
        <v>2400</v>
      </c>
      <c r="J2039" s="1035">
        <v>0</v>
      </c>
      <c r="K2039" s="1035">
        <v>25</v>
      </c>
      <c r="L2039" s="1025">
        <f t="shared" si="832"/>
        <v>96</v>
      </c>
      <c r="M2039" s="1037">
        <v>46276</v>
      </c>
      <c r="N2039" s="1037">
        <v>46272</v>
      </c>
      <c r="O2039" s="1043"/>
      <c r="P2039" s="1035"/>
      <c r="Q2039" s="1039"/>
      <c r="R2039" s="584">
        <v>46238</v>
      </c>
      <c r="S2039" s="999" t="s">
        <v>70</v>
      </c>
      <c r="T2039" s="1039" t="s">
        <v>10925</v>
      </c>
      <c r="U2039" s="1039"/>
      <c r="V2039" s="1039"/>
      <c r="W2039" s="603"/>
      <c r="X2039" s="603" t="s">
        <v>10926</v>
      </c>
      <c r="Y2039" s="1042" t="s">
        <v>3206</v>
      </c>
      <c r="Z2039" s="603">
        <v>0.9893</v>
      </c>
      <c r="AA2039" s="1042">
        <f t="shared" si="831"/>
        <v>2374.32</v>
      </c>
      <c r="AB2039" s="603"/>
      <c r="AC2039" s="1030"/>
      <c r="AD2039" s="939" t="s">
        <v>6047</v>
      </c>
      <c r="AE2039" s="1035" t="s">
        <v>82</v>
      </c>
      <c r="AF2039" s="1035"/>
      <c r="AG2039" s="1035"/>
      <c r="AH2039" s="603"/>
      <c r="AI2039" s="626"/>
      <c r="AJ2039" s="939">
        <f t="shared" si="818"/>
        <v>-2400</v>
      </c>
      <c r="AK2039" s="1043"/>
      <c r="AL2039" s="1035" t="s">
        <v>2368</v>
      </c>
      <c r="AM2039" s="1035"/>
      <c r="AN2039" s="1035"/>
      <c r="AO2039" s="560">
        <f>I2039</f>
        <v>2400</v>
      </c>
      <c r="AR2039" s="1044"/>
      <c r="AS2039" s="560"/>
      <c r="AT2039" s="563">
        <f>I2039</f>
        <v>2400</v>
      </c>
      <c r="AU2039" s="563"/>
      <c r="AV2039" s="563">
        <f>I2039</f>
        <v>2400</v>
      </c>
      <c r="AX2039" s="1045"/>
      <c r="AY2039" s="560"/>
      <c r="AZ2039" s="560"/>
      <c r="BA2039" s="560"/>
      <c r="BB2039" s="1017">
        <f>I2039/24</f>
        <v>100</v>
      </c>
      <c r="BE2039" s="563"/>
      <c r="BF2039" s="560"/>
      <c r="BP2039" s="563">
        <f>I2039/25</f>
        <v>96</v>
      </c>
      <c r="CA2039" s="1044"/>
      <c r="CP2039" s="1044"/>
      <c r="CQ2039" s="1044"/>
      <c r="CR2039" s="560"/>
      <c r="CS2039" s="560"/>
      <c r="CT2039" s="560"/>
      <c r="CU2039" s="563">
        <f t="shared" si="842"/>
        <v>96</v>
      </c>
      <c r="CV2039" s="563">
        <f t="shared" si="843"/>
        <v>0</v>
      </c>
      <c r="CW2039" s="563">
        <f t="shared" si="844"/>
        <v>0</v>
      </c>
      <c r="CX2039" s="1044"/>
      <c r="CY2039" s="1044"/>
      <c r="CZ2039" s="1044"/>
      <c r="DA2039" s="1044"/>
      <c r="DB2039" s="1044"/>
      <c r="DC2039" s="1044"/>
      <c r="DD2039" s="1044"/>
      <c r="DE2039" s="1044"/>
      <c r="DF2039" s="1044"/>
      <c r="DG2039" s="1044"/>
      <c r="DH2039" s="1044"/>
    </row>
    <row r="2040" s="560" customFormat="1" ht="31" customHeight="1" spans="1:113">
      <c r="A2040" s="1034">
        <v>46216</v>
      </c>
      <c r="B2040" s="603" t="s">
        <v>4371</v>
      </c>
      <c r="C2040" s="1035" t="s">
        <v>98</v>
      </c>
      <c r="D2040" s="1112">
        <v>4500216252</v>
      </c>
      <c r="E2040" s="1043">
        <v>1007021970</v>
      </c>
      <c r="F2040" s="560" t="s">
        <v>10927</v>
      </c>
      <c r="G2040" s="1035" t="s">
        <v>6063</v>
      </c>
      <c r="H2040" s="1035" t="s">
        <v>6064</v>
      </c>
      <c r="I2040" s="1036">
        <v>3840</v>
      </c>
      <c r="J2040" s="1035">
        <v>0</v>
      </c>
      <c r="K2040" s="1035">
        <v>16</v>
      </c>
      <c r="L2040" s="1025">
        <f t="shared" si="832"/>
        <v>240</v>
      </c>
      <c r="M2040" s="1037">
        <v>46276</v>
      </c>
      <c r="N2040" s="1037">
        <f>M2040-4</f>
        <v>46272</v>
      </c>
      <c r="O2040" s="1043"/>
      <c r="P2040" s="1035"/>
      <c r="Q2040" s="1039"/>
      <c r="R2040" s="1039" t="s">
        <v>9889</v>
      </c>
      <c r="S2040" s="1039" t="s">
        <v>70</v>
      </c>
      <c r="T2040" s="1039" t="s">
        <v>10860</v>
      </c>
      <c r="U2040" s="1039"/>
      <c r="V2040" s="1039"/>
      <c r="W2040" s="603"/>
      <c r="X2040" s="603" t="s">
        <v>10691</v>
      </c>
      <c r="Y2040" s="1042" t="s">
        <v>4378</v>
      </c>
      <c r="Z2040" s="603">
        <v>0.6217</v>
      </c>
      <c r="AA2040" s="1042">
        <f t="shared" si="831"/>
        <v>2387.328</v>
      </c>
      <c r="AB2040" s="603"/>
      <c r="AC2040" s="1030"/>
      <c r="AD2040" s="1035" t="s">
        <v>6063</v>
      </c>
      <c r="AE2040" s="1035" t="s">
        <v>82</v>
      </c>
      <c r="AF2040" s="1035"/>
      <c r="AG2040" s="1035"/>
      <c r="AH2040" s="603"/>
      <c r="AI2040" s="609"/>
      <c r="AJ2040" s="1035">
        <f t="shared" si="818"/>
        <v>-3840</v>
      </c>
      <c r="AK2040" s="1043"/>
      <c r="AL2040" s="1035"/>
      <c r="AM2040" s="1035"/>
      <c r="AN2040" s="1035">
        <f>I2040</f>
        <v>3840</v>
      </c>
      <c r="AP2040" s="560">
        <f>I2040</f>
        <v>3840</v>
      </c>
      <c r="AR2040" s="1044"/>
      <c r="AS2040" s="560"/>
      <c r="AT2040" s="560"/>
      <c r="AU2040" s="560">
        <f>I2040</f>
        <v>3840</v>
      </c>
      <c r="AX2040" s="1045"/>
      <c r="AY2040" s="560"/>
      <c r="AZ2040" s="560"/>
      <c r="BA2040" s="560"/>
      <c r="BB2040" s="1116">
        <f>I2040/24</f>
        <v>160</v>
      </c>
      <c r="BQ2040" s="560">
        <f>I2040/16</f>
        <v>240</v>
      </c>
      <c r="CA2040" s="1044"/>
      <c r="CP2040" s="1044"/>
      <c r="CQ2040" s="1044"/>
      <c r="CR2040" s="560"/>
      <c r="CS2040" s="560"/>
      <c r="CT2040" s="560"/>
      <c r="CU2040" s="560">
        <f t="shared" si="842"/>
        <v>240</v>
      </c>
      <c r="CV2040" s="560">
        <f t="shared" si="843"/>
        <v>0</v>
      </c>
      <c r="CW2040" s="560">
        <f t="shared" si="844"/>
        <v>0</v>
      </c>
      <c r="CX2040" s="1044"/>
      <c r="CY2040" s="1044"/>
      <c r="CZ2040" s="1044"/>
      <c r="DA2040" s="1044"/>
      <c r="DB2040" s="1044"/>
      <c r="DC2040" s="1044"/>
      <c r="DD2040" s="1044"/>
      <c r="DE2040" s="1044"/>
      <c r="DF2040" s="1044"/>
      <c r="DG2040" s="1044"/>
      <c r="DH2040" s="1044"/>
    </row>
    <row r="2041" s="558" customFormat="1" ht="31" customHeight="1" spans="1:113">
      <c r="A2041" s="1022">
        <v>46238</v>
      </c>
      <c r="B2041" s="626" t="s">
        <v>10928</v>
      </c>
      <c r="C2041" s="939" t="s">
        <v>524</v>
      </c>
      <c r="D2041" s="563">
        <v>4500218679</v>
      </c>
      <c r="E2041" s="939"/>
      <c r="F2041" s="563" t="s">
        <v>10929</v>
      </c>
      <c r="G2041" s="939" t="s">
        <v>6025</v>
      </c>
      <c r="H2041" s="939" t="s">
        <v>6026</v>
      </c>
      <c r="I2041" s="1023">
        <v>96</v>
      </c>
      <c r="J2041" s="939">
        <v>0</v>
      </c>
      <c r="K2041" s="1024">
        <v>24</v>
      </c>
      <c r="L2041" s="1025">
        <f t="shared" si="832"/>
        <v>4</v>
      </c>
      <c r="M2041" s="1026">
        <v>46276</v>
      </c>
      <c r="N2041" s="1163">
        <v>46276</v>
      </c>
      <c r="O2041" s="994" t="s">
        <v>10914</v>
      </c>
      <c r="P2041" s="939"/>
      <c r="Q2041" s="999"/>
      <c r="R2041" s="999" t="s">
        <v>454</v>
      </c>
      <c r="S2041" s="999" t="s">
        <v>70</v>
      </c>
      <c r="T2041" s="584" t="s">
        <v>10930</v>
      </c>
      <c r="U2041" s="584"/>
      <c r="V2041" s="999"/>
      <c r="W2041" s="585"/>
      <c r="X2041" s="626" t="s">
        <v>10931</v>
      </c>
      <c r="Y2041" s="1001" t="s">
        <v>10932</v>
      </c>
      <c r="Z2041" s="626">
        <v>0.9265</v>
      </c>
      <c r="AA2041" s="1001">
        <f t="shared" si="831"/>
        <v>88.944</v>
      </c>
      <c r="AB2041" s="585"/>
      <c r="AC2041" s="1030"/>
      <c r="AD2041" s="939" t="s">
        <v>6025</v>
      </c>
      <c r="AE2041" s="939" t="s">
        <v>82</v>
      </c>
      <c r="AF2041" s="939"/>
      <c r="AG2041" s="939"/>
      <c r="AH2041" s="626"/>
      <c r="AI2041" s="626"/>
      <c r="AJ2041" s="939">
        <f t="shared" si="818"/>
        <v>-96</v>
      </c>
      <c r="AK2041" s="1031"/>
      <c r="AL2041" s="939" t="s">
        <v>2368</v>
      </c>
      <c r="AM2041" s="939"/>
      <c r="AN2041" s="939"/>
      <c r="AO2041" s="563">
        <f>I2041</f>
        <v>96</v>
      </c>
      <c r="AP2041" s="586"/>
      <c r="AQ2041" s="563"/>
      <c r="AR2041" s="1015"/>
      <c r="AS2041" s="563"/>
      <c r="AT2041" s="563">
        <f>I2041</f>
        <v>96</v>
      </c>
      <c r="AU2041" s="563"/>
      <c r="AV2041" s="563">
        <f>I2041</f>
        <v>96</v>
      </c>
      <c r="AW2041" s="563"/>
      <c r="AX2041" s="1004"/>
      <c r="AY2041" s="563"/>
      <c r="AZ2041" s="563"/>
      <c r="BA2041" s="563"/>
      <c r="BB2041" s="1017">
        <f>I2041/24</f>
        <v>4</v>
      </c>
      <c r="BC2041" s="563"/>
      <c r="BD2041" s="563"/>
      <c r="BE2041" s="563"/>
      <c r="BF2041" s="1032"/>
      <c r="BG2041" s="560"/>
      <c r="BH2041" s="1033"/>
      <c r="BI2041" s="563"/>
      <c r="BJ2041" s="563"/>
      <c r="BK2041" s="563"/>
      <c r="BL2041" s="563"/>
      <c r="BM2041" s="563"/>
      <c r="BN2041" s="563"/>
      <c r="BO2041" s="563"/>
      <c r="BP2041" s="563"/>
      <c r="BQ2041" s="563"/>
      <c r="BR2041" s="563"/>
      <c r="BS2041" s="563"/>
      <c r="BT2041" s="563"/>
      <c r="BU2041" s="563"/>
      <c r="BV2041" s="563"/>
      <c r="BW2041" s="563"/>
      <c r="BX2041" s="563"/>
      <c r="BY2041" s="563"/>
      <c r="BZ2041" s="563"/>
      <c r="CA2041" s="1032"/>
      <c r="CB2041" s="560"/>
      <c r="CC2041" s="1033"/>
      <c r="CD2041" s="563"/>
      <c r="CE2041" s="563"/>
      <c r="CF2041" s="563"/>
      <c r="CG2041" s="1032"/>
      <c r="CH2041" s="560"/>
      <c r="CI2041" s="1033"/>
      <c r="CJ2041" s="563"/>
      <c r="CK2041" s="563"/>
      <c r="CL2041" s="563"/>
      <c r="CM2041" s="563"/>
      <c r="CN2041" s="563"/>
      <c r="CO2041" s="563"/>
      <c r="CP2041" s="1015"/>
      <c r="CQ2041" s="1015"/>
      <c r="CR2041" s="563"/>
      <c r="CS2041" s="563"/>
      <c r="CT2041" s="563"/>
      <c r="CU2041" s="563">
        <f t="shared" si="842"/>
        <v>0</v>
      </c>
      <c r="CV2041" s="563">
        <f t="shared" si="843"/>
        <v>0</v>
      </c>
      <c r="CW2041" s="563">
        <f t="shared" si="844"/>
        <v>0</v>
      </c>
      <c r="CX2041" s="1015"/>
      <c r="CY2041" s="1015"/>
      <c r="CZ2041" s="1015"/>
      <c r="DA2041" s="1015"/>
      <c r="DB2041" s="1015"/>
      <c r="DC2041" s="1015"/>
      <c r="DD2041" s="1015"/>
      <c r="DE2041" s="1015"/>
      <c r="DF2041" s="1015"/>
      <c r="DG2041" s="1015"/>
      <c r="DH2041" s="1015"/>
    </row>
    <row r="2042" s="558" customFormat="1" ht="31" customHeight="1" spans="1:113">
      <c r="A2042" s="1022">
        <v>46171</v>
      </c>
      <c r="B2042" s="626" t="s">
        <v>4371</v>
      </c>
      <c r="C2042" s="939" t="s">
        <v>98</v>
      </c>
      <c r="D2042" s="563">
        <v>4500209953</v>
      </c>
      <c r="E2042" s="939">
        <v>7137243632</v>
      </c>
      <c r="F2042" s="563" t="s">
        <v>5794</v>
      </c>
      <c r="G2042" s="939" t="s">
        <v>10273</v>
      </c>
      <c r="H2042" s="939" t="s">
        <v>5003</v>
      </c>
      <c r="I2042" s="1023">
        <v>10032</v>
      </c>
      <c r="J2042" s="939">
        <v>0</v>
      </c>
      <c r="K2042" s="1024">
        <v>24</v>
      </c>
      <c r="L2042" s="1025">
        <f t="shared" si="832"/>
        <v>418</v>
      </c>
      <c r="M2042" s="1026">
        <v>46279</v>
      </c>
      <c r="N2042" s="1027">
        <v>46275</v>
      </c>
      <c r="O2042" s="1031" t="s">
        <v>5698</v>
      </c>
      <c r="P2042" s="939"/>
      <c r="Q2042" s="999"/>
      <c r="R2042" s="999">
        <v>46162</v>
      </c>
      <c r="S2042" s="999" t="s">
        <v>104</v>
      </c>
      <c r="T2042" s="999" t="s">
        <v>10701</v>
      </c>
      <c r="U2042" s="999"/>
      <c r="V2042" s="999" t="s">
        <v>10276</v>
      </c>
      <c r="W2042" s="585"/>
      <c r="X2042" s="626" t="s">
        <v>10702</v>
      </c>
      <c r="Y2042" s="1001" t="s">
        <v>4378</v>
      </c>
      <c r="Z2042" s="626">
        <v>111.1651</v>
      </c>
      <c r="AA2042" s="1001">
        <f>Z2042*L2042</f>
        <v>46467.0118</v>
      </c>
      <c r="AC2042" s="1030"/>
      <c r="AD2042" s="560" t="s">
        <v>5008</v>
      </c>
      <c r="AE2042" s="939" t="s">
        <v>82</v>
      </c>
      <c r="AF2042" s="939"/>
      <c r="AG2042" s="939"/>
      <c r="AH2042" s="626"/>
      <c r="AI2042" s="609"/>
      <c r="AJ2042" s="939">
        <f t="shared" si="818"/>
        <v>-10032</v>
      </c>
      <c r="AK2042" s="1031"/>
      <c r="AL2042" s="939" t="s">
        <v>2368</v>
      </c>
      <c r="AM2042" s="939"/>
      <c r="AN2042" s="939">
        <f>I2042*2</f>
        <v>20064</v>
      </c>
      <c r="AO2042" s="563"/>
      <c r="AP2042" s="563"/>
      <c r="AQ2042" s="563"/>
      <c r="AR2042" s="1015"/>
      <c r="AS2042" s="563"/>
      <c r="AT2042" s="563"/>
      <c r="AU2042" s="563">
        <f>I2042*2</f>
        <v>20064</v>
      </c>
      <c r="AV2042" s="563"/>
      <c r="AW2042" s="563"/>
      <c r="AX2042" s="1004"/>
      <c r="AY2042" s="563"/>
      <c r="AZ2042" s="563"/>
      <c r="BA2042" s="563"/>
      <c r="BB2042" s="1017">
        <f>I2042/24*2</f>
        <v>836</v>
      </c>
      <c r="BC2042" s="563"/>
      <c r="BD2042" s="563"/>
      <c r="BE2042" s="563"/>
      <c r="BF2042" s="1032"/>
      <c r="BG2042" s="560">
        <f>AN2042</f>
        <v>20064</v>
      </c>
      <c r="BH2042" s="1033"/>
      <c r="BI2042" s="563"/>
      <c r="BJ2042" s="563"/>
      <c r="BK2042" s="563"/>
      <c r="BL2042" s="563"/>
      <c r="BM2042" s="563"/>
      <c r="BN2042" s="563"/>
      <c r="BO2042" s="563"/>
      <c r="BP2042" s="563"/>
      <c r="BQ2042" s="563"/>
      <c r="BR2042" s="563"/>
      <c r="BS2042" s="563"/>
      <c r="BT2042" s="563"/>
      <c r="BU2042" s="563"/>
      <c r="BV2042" s="563"/>
      <c r="BW2042" s="563"/>
      <c r="BX2042" s="563"/>
      <c r="BY2042" s="563">
        <f>I2042</f>
        <v>10032</v>
      </c>
      <c r="BZ2042" s="563"/>
      <c r="CA2042" s="1032"/>
      <c r="CB2042" s="560"/>
      <c r="CC2042" s="1033"/>
      <c r="CD2042" s="563"/>
      <c r="CE2042" s="563"/>
      <c r="CF2042" s="563"/>
      <c r="CG2042" s="1032"/>
      <c r="CH2042" s="560">
        <f>L2042</f>
        <v>418</v>
      </c>
      <c r="CI2042" s="1033"/>
      <c r="CJ2042" s="563"/>
      <c r="CK2042" s="563"/>
      <c r="CL2042" s="563"/>
      <c r="CM2042" s="563"/>
      <c r="CN2042" s="563"/>
      <c r="CO2042" s="563"/>
      <c r="CP2042" s="1015"/>
      <c r="CQ2042" s="1015"/>
      <c r="CR2042" s="563"/>
      <c r="CS2042" s="563"/>
      <c r="CT2042" s="563"/>
      <c r="CU2042" s="563">
        <f t="shared" si="842"/>
        <v>0</v>
      </c>
      <c r="CV2042" s="563">
        <f t="shared" si="843"/>
        <v>0</v>
      </c>
      <c r="CW2042" s="563">
        <f t="shared" si="844"/>
        <v>0</v>
      </c>
      <c r="CX2042" s="1015"/>
      <c r="CY2042" s="1015"/>
      <c r="CZ2042" s="1015"/>
      <c r="DA2042" s="1015"/>
      <c r="DB2042" s="1015"/>
      <c r="DC2042" s="1015"/>
      <c r="DD2042" s="1015"/>
      <c r="DE2042" s="1015"/>
      <c r="DF2042" s="1015"/>
      <c r="DG2042" s="1015"/>
      <c r="DH2042" s="1015"/>
    </row>
    <row r="2043" s="563" customFormat="1" ht="31" customHeight="1" spans="1:113">
      <c r="A2043" s="1022">
        <v>46233</v>
      </c>
      <c r="B2043" s="626" t="s">
        <v>10933</v>
      </c>
      <c r="C2043" s="939" t="s">
        <v>98</v>
      </c>
      <c r="D2043" s="563">
        <v>4500218215</v>
      </c>
      <c r="E2043" s="939" t="s">
        <v>10934</v>
      </c>
      <c r="F2043" s="563" t="s">
        <v>10935</v>
      </c>
      <c r="G2043" s="939" t="s">
        <v>6423</v>
      </c>
      <c r="H2043" s="939" t="s">
        <v>6424</v>
      </c>
      <c r="I2043" s="1023">
        <v>20016</v>
      </c>
      <c r="J2043" s="939">
        <v>8</v>
      </c>
      <c r="K2043" s="939">
        <v>48</v>
      </c>
      <c r="L2043" s="1064">
        <f t="shared" si="832"/>
        <v>417</v>
      </c>
      <c r="M2043" s="1027">
        <v>46279</v>
      </c>
      <c r="N2043" s="1027">
        <v>46275</v>
      </c>
      <c r="O2043" s="1031" t="s">
        <v>10936</v>
      </c>
      <c r="P2043" s="939"/>
      <c r="Q2043" s="999"/>
      <c r="R2043" s="999" t="s">
        <v>10937</v>
      </c>
      <c r="S2043" s="999" t="s">
        <v>70</v>
      </c>
      <c r="T2043" s="999" t="s">
        <v>70</v>
      </c>
      <c r="U2043" s="213" t="s">
        <v>10938</v>
      </c>
      <c r="V2043" s="213" t="s">
        <v>10939</v>
      </c>
      <c r="W2043" s="626" t="s">
        <v>10940</v>
      </c>
      <c r="X2043" s="626" t="s">
        <v>10941</v>
      </c>
      <c r="Y2043" s="1001" t="s">
        <v>9187</v>
      </c>
      <c r="Z2043" s="626">
        <v>0.5804</v>
      </c>
      <c r="AA2043" s="1001">
        <f>I2043*Z2043</f>
        <v>11617.2864</v>
      </c>
      <c r="AB2043" s="609" t="s">
        <v>10942</v>
      </c>
      <c r="AC2043" s="1030"/>
      <c r="AD2043" s="609" t="s">
        <v>6423</v>
      </c>
      <c r="AE2043" s="939" t="s">
        <v>82</v>
      </c>
      <c r="AF2043" s="939"/>
      <c r="AG2043" s="939"/>
      <c r="AH2043" s="626"/>
      <c r="AI2043" s="626"/>
      <c r="AJ2043" s="939">
        <f t="shared" si="818"/>
        <v>-20016</v>
      </c>
      <c r="AK2043" s="1031"/>
      <c r="AL2043" s="939"/>
      <c r="AM2043" s="939"/>
      <c r="AN2043" s="563">
        <f>I2043</f>
        <v>20016</v>
      </c>
      <c r="AR2043" s="1015"/>
      <c r="AS2043" s="563"/>
      <c r="AT2043" s="563"/>
      <c r="AU2043" s="554">
        <f t="shared" ref="AU2043:AU2045" si="845">I2043</f>
        <v>20016</v>
      </c>
      <c r="AX2043" s="1004"/>
      <c r="AY2043" s="563"/>
      <c r="AZ2043" s="563"/>
      <c r="BA2043" s="563"/>
      <c r="BB2043" s="620">
        <f t="shared" ref="BB2043:BB2049" si="846">I2043/24</f>
        <v>834</v>
      </c>
      <c r="BC2043" s="714">
        <f>I2043</f>
        <v>20016</v>
      </c>
      <c r="BS2043" s="554">
        <f>I2043/8</f>
        <v>2502</v>
      </c>
      <c r="CA2043" s="1032"/>
      <c r="CB2043" s="560"/>
      <c r="CC2043" s="1033"/>
      <c r="CD2043" s="563"/>
      <c r="CE2043" s="563"/>
      <c r="CF2043" s="563"/>
      <c r="CG2043" s="563"/>
      <c r="CP2043" s="1015"/>
      <c r="CQ2043" s="1015"/>
      <c r="CR2043" s="563"/>
      <c r="CS2043" s="563"/>
      <c r="CT2043" s="563"/>
      <c r="CU2043" s="554">
        <f t="shared" si="842"/>
        <v>0</v>
      </c>
      <c r="CV2043" s="554">
        <f t="shared" si="843"/>
        <v>0</v>
      </c>
      <c r="CW2043" s="554">
        <f t="shared" si="844"/>
        <v>0</v>
      </c>
      <c r="CX2043" s="1015"/>
      <c r="CY2043" s="1015"/>
      <c r="CZ2043" s="1015"/>
      <c r="DA2043" s="1015"/>
      <c r="DB2043" s="1015"/>
      <c r="DC2043" s="1015"/>
      <c r="DD2043" s="1015"/>
      <c r="DE2043" s="1015"/>
      <c r="DF2043" s="1015"/>
      <c r="DG2043" s="1015"/>
      <c r="DH2043" s="1015"/>
    </row>
    <row r="2044" s="563" customFormat="1" ht="31" customHeight="1" spans="1:113">
      <c r="A2044" s="1022">
        <v>46233</v>
      </c>
      <c r="B2044" s="626" t="s">
        <v>10933</v>
      </c>
      <c r="C2044" s="939" t="s">
        <v>98</v>
      </c>
      <c r="D2044" s="563">
        <v>4500218215</v>
      </c>
      <c r="E2044" s="939" t="s">
        <v>10943</v>
      </c>
      <c r="F2044" s="563" t="s">
        <v>10944</v>
      </c>
      <c r="G2044" s="939" t="s">
        <v>6423</v>
      </c>
      <c r="H2044" s="939" t="s">
        <v>6424</v>
      </c>
      <c r="I2044" s="1023">
        <v>20016</v>
      </c>
      <c r="J2044" s="939">
        <v>8</v>
      </c>
      <c r="K2044" s="939">
        <v>48</v>
      </c>
      <c r="L2044" s="1064">
        <f t="shared" si="832"/>
        <v>417</v>
      </c>
      <c r="M2044" s="1027">
        <v>46279</v>
      </c>
      <c r="N2044" s="1027">
        <v>46275</v>
      </c>
      <c r="O2044" s="1031" t="s">
        <v>10945</v>
      </c>
      <c r="P2044" s="939"/>
      <c r="Q2044" s="999"/>
      <c r="R2044" s="999" t="s">
        <v>10937</v>
      </c>
      <c r="S2044" s="999" t="s">
        <v>70</v>
      </c>
      <c r="T2044" s="999" t="s">
        <v>70</v>
      </c>
      <c r="U2044" s="213" t="s">
        <v>10938</v>
      </c>
      <c r="V2044" s="213" t="s">
        <v>10939</v>
      </c>
      <c r="W2044" s="626" t="s">
        <v>10940</v>
      </c>
      <c r="X2044" s="626" t="s">
        <v>10941</v>
      </c>
      <c r="Y2044" s="1001" t="s">
        <v>9187</v>
      </c>
      <c r="Z2044" s="626">
        <v>0.544</v>
      </c>
      <c r="AA2044" s="1001">
        <f>I2044*Z2044</f>
        <v>10888.704</v>
      </c>
      <c r="AB2044" s="609" t="s">
        <v>10942</v>
      </c>
      <c r="AC2044" s="1030"/>
      <c r="AD2044" s="609" t="s">
        <v>6423</v>
      </c>
      <c r="AE2044" s="939" t="s">
        <v>82</v>
      </c>
      <c r="AF2044" s="939"/>
      <c r="AG2044" s="939"/>
      <c r="AH2044" s="626"/>
      <c r="AI2044" s="626"/>
      <c r="AJ2044" s="939">
        <f t="shared" si="818"/>
        <v>-20016</v>
      </c>
      <c r="AK2044" s="1031"/>
      <c r="AL2044" s="939"/>
      <c r="AM2044" s="939"/>
      <c r="AN2044" s="563">
        <f>I2044</f>
        <v>20016</v>
      </c>
      <c r="AR2044" s="1015"/>
      <c r="AS2044" s="563"/>
      <c r="AT2044" s="563"/>
      <c r="AU2044" s="554">
        <f t="shared" si="845"/>
        <v>20016</v>
      </c>
      <c r="AX2044" s="1004"/>
      <c r="AY2044" s="563"/>
      <c r="AZ2044" s="563"/>
      <c r="BA2044" s="563"/>
      <c r="BB2044" s="620">
        <f t="shared" si="846"/>
        <v>834</v>
      </c>
      <c r="BC2044" s="714">
        <f>I2044</f>
        <v>20016</v>
      </c>
      <c r="BS2044" s="554">
        <f>I2044/8</f>
        <v>2502</v>
      </c>
      <c r="CA2044" s="1032"/>
      <c r="CB2044" s="560"/>
      <c r="CC2044" s="1033"/>
      <c r="CD2044" s="563"/>
      <c r="CE2044" s="563"/>
      <c r="CF2044" s="563"/>
      <c r="CG2044" s="563"/>
      <c r="CP2044" s="1015"/>
      <c r="CQ2044" s="1015"/>
      <c r="CR2044" s="563"/>
      <c r="CS2044" s="563"/>
      <c r="CT2044" s="563"/>
      <c r="CU2044" s="554">
        <f t="shared" si="842"/>
        <v>0</v>
      </c>
      <c r="CV2044" s="554">
        <f t="shared" si="843"/>
        <v>0</v>
      </c>
      <c r="CW2044" s="554">
        <f t="shared" si="844"/>
        <v>0</v>
      </c>
      <c r="CX2044" s="1015"/>
      <c r="CY2044" s="1015"/>
      <c r="CZ2044" s="1015"/>
      <c r="DA2044" s="1015"/>
      <c r="DB2044" s="1015"/>
      <c r="DC2044" s="1015"/>
      <c r="DD2044" s="1015"/>
      <c r="DE2044" s="1015"/>
      <c r="DF2044" s="1015"/>
      <c r="DG2044" s="1015"/>
      <c r="DH2044" s="1015"/>
    </row>
    <row r="2045" s="560" customFormat="1" ht="31" customHeight="1" spans="1:113">
      <c r="A2045" s="1034">
        <v>46230</v>
      </c>
      <c r="B2045" s="603" t="s">
        <v>143</v>
      </c>
      <c r="C2045" s="1035" t="s">
        <v>98</v>
      </c>
      <c r="D2045" s="1112">
        <v>4500217892</v>
      </c>
      <c r="E2045" s="1427" t="s">
        <v>10946</v>
      </c>
      <c r="F2045" s="560" t="s">
        <v>10947</v>
      </c>
      <c r="G2045" s="1035" t="s">
        <v>6063</v>
      </c>
      <c r="H2045" s="1035" t="s">
        <v>6064</v>
      </c>
      <c r="I2045" s="1036">
        <v>23040</v>
      </c>
      <c r="J2045" s="1035">
        <v>0</v>
      </c>
      <c r="K2045" s="1035">
        <v>16</v>
      </c>
      <c r="L2045" s="1025">
        <f t="shared" si="832"/>
        <v>1440</v>
      </c>
      <c r="M2045" s="1037">
        <v>46279</v>
      </c>
      <c r="N2045" s="1037">
        <v>46275</v>
      </c>
      <c r="O2045" s="1043"/>
      <c r="P2045" s="1035"/>
      <c r="Q2045" s="1039"/>
      <c r="R2045" s="584" t="s">
        <v>9889</v>
      </c>
      <c r="S2045" s="1039" t="s">
        <v>70</v>
      </c>
      <c r="T2045" s="1039" t="s">
        <v>10860</v>
      </c>
      <c r="U2045" s="1039"/>
      <c r="V2045" s="1039"/>
      <c r="W2045" s="603"/>
      <c r="X2045" s="603" t="s">
        <v>10902</v>
      </c>
      <c r="Y2045" s="1042" t="s">
        <v>106</v>
      </c>
      <c r="Z2045" s="603">
        <v>0.6079</v>
      </c>
      <c r="AA2045" s="1042">
        <f t="shared" ref="AA2045:AA2054" si="847">Z2045*I2045</f>
        <v>14006.016</v>
      </c>
      <c r="AB2045" s="603"/>
      <c r="AC2045" s="1030"/>
      <c r="AD2045" s="1035" t="s">
        <v>6063</v>
      </c>
      <c r="AE2045" s="1035" t="s">
        <v>82</v>
      </c>
      <c r="AF2045" s="1035"/>
      <c r="AG2045" s="1035"/>
      <c r="AH2045" s="603"/>
      <c r="AI2045" s="626"/>
      <c r="AJ2045" s="939">
        <f t="shared" si="818"/>
        <v>-23040</v>
      </c>
      <c r="AK2045" s="1043"/>
      <c r="AL2045" s="1035" t="s">
        <v>2368</v>
      </c>
      <c r="AM2045" s="1035"/>
      <c r="AN2045" s="1035">
        <f>I2045</f>
        <v>23040</v>
      </c>
      <c r="AP2045" s="560">
        <f>I2045</f>
        <v>23040</v>
      </c>
      <c r="AQ2045" s="1169"/>
      <c r="AR2045" s="1044"/>
      <c r="AS2045" s="560"/>
      <c r="AT2045" s="560"/>
      <c r="AU2045" s="560">
        <f t="shared" si="845"/>
        <v>23040</v>
      </c>
      <c r="AX2045" s="1045"/>
      <c r="AY2045" s="560"/>
      <c r="AZ2045" s="560"/>
      <c r="BA2045" s="560"/>
      <c r="BB2045" s="1116">
        <f t="shared" si="846"/>
        <v>960</v>
      </c>
      <c r="BQ2045" s="560">
        <f>I2045/16</f>
        <v>1440</v>
      </c>
      <c r="CA2045" s="1044"/>
      <c r="CP2045" s="1044"/>
      <c r="CQ2045" s="1044"/>
      <c r="CR2045" s="560"/>
      <c r="CS2045" s="560"/>
      <c r="CT2045" s="560"/>
      <c r="CU2045" s="560">
        <f t="shared" si="842"/>
        <v>1440</v>
      </c>
      <c r="CV2045" s="560">
        <f t="shared" si="843"/>
        <v>0</v>
      </c>
      <c r="CW2045" s="560">
        <f t="shared" si="844"/>
        <v>0</v>
      </c>
      <c r="CX2045" s="1044"/>
      <c r="CY2045" s="1044"/>
      <c r="CZ2045" s="1044"/>
      <c r="DA2045" s="1044"/>
      <c r="DB2045" s="1044"/>
      <c r="DC2045" s="1044"/>
      <c r="DD2045" s="1044"/>
      <c r="DE2045" s="1044"/>
      <c r="DF2045" s="1044"/>
      <c r="DG2045" s="1044"/>
      <c r="DH2045" s="1044"/>
    </row>
    <row r="2046" s="558" customFormat="1" ht="31" customHeight="1" spans="1:113">
      <c r="A2046" s="1022">
        <v>46239</v>
      </c>
      <c r="B2046" s="626" t="s">
        <v>10948</v>
      </c>
      <c r="C2046" s="939" t="s">
        <v>226</v>
      </c>
      <c r="D2046" s="563">
        <v>4500218933</v>
      </c>
      <c r="E2046" s="939" t="s">
        <v>10949</v>
      </c>
      <c r="F2046" s="563" t="s">
        <v>10950</v>
      </c>
      <c r="G2046" s="939" t="s">
        <v>6040</v>
      </c>
      <c r="H2046" s="939" t="s">
        <v>6041</v>
      </c>
      <c r="I2046" s="1023">
        <v>5200</v>
      </c>
      <c r="J2046" s="939">
        <v>0</v>
      </c>
      <c r="K2046" s="1024">
        <v>52</v>
      </c>
      <c r="L2046" s="1025">
        <f t="shared" si="832"/>
        <v>100</v>
      </c>
      <c r="M2046" s="1026">
        <v>46279</v>
      </c>
      <c r="N2046" s="1027">
        <v>46275</v>
      </c>
      <c r="O2046" s="1031"/>
      <c r="P2046" s="939"/>
      <c r="Q2046" s="999"/>
      <c r="R2046" s="999">
        <v>46239</v>
      </c>
      <c r="S2046" s="999" t="s">
        <v>70</v>
      </c>
      <c r="T2046" s="584" t="s">
        <v>10951</v>
      </c>
      <c r="U2046" s="584"/>
      <c r="V2046" s="999"/>
      <c r="W2046" s="585"/>
      <c r="X2046" s="626" t="s">
        <v>10952</v>
      </c>
      <c r="Y2046" s="1001" t="s">
        <v>10953</v>
      </c>
      <c r="Z2046" s="626">
        <v>0.9654</v>
      </c>
      <c r="AA2046" s="1001">
        <f t="shared" si="847"/>
        <v>5020.08</v>
      </c>
      <c r="AB2046" s="585"/>
      <c r="AC2046" s="1030"/>
      <c r="AD2046" s="939" t="s">
        <v>6040</v>
      </c>
      <c r="AE2046" s="939" t="s">
        <v>82</v>
      </c>
      <c r="AF2046" s="939"/>
      <c r="AG2046" s="939"/>
      <c r="AH2046" s="626"/>
      <c r="AI2046" s="626"/>
      <c r="AJ2046" s="939">
        <f t="shared" si="818"/>
        <v>-5200</v>
      </c>
      <c r="AK2046" s="1031"/>
      <c r="AL2046" s="939"/>
      <c r="AM2046" s="939"/>
      <c r="AN2046" s="939"/>
      <c r="AO2046" s="563">
        <f>I2046</f>
        <v>5200</v>
      </c>
      <c r="AP2046" s="563"/>
      <c r="AQ2046" s="563"/>
      <c r="AR2046" s="1015"/>
      <c r="AS2046" s="563"/>
      <c r="AT2046" s="563">
        <f>I2046</f>
        <v>5200</v>
      </c>
      <c r="AU2046" s="586"/>
      <c r="AV2046" s="563">
        <f>I2046</f>
        <v>5200</v>
      </c>
      <c r="AW2046" s="563"/>
      <c r="AX2046" s="1004"/>
      <c r="AY2046" s="563"/>
      <c r="AZ2046" s="563"/>
      <c r="BA2046" s="563"/>
      <c r="BB2046" s="1017">
        <f t="shared" si="846"/>
        <v>216.666666666667</v>
      </c>
      <c r="BC2046" s="563"/>
      <c r="BD2046" s="563"/>
      <c r="BE2046" s="563"/>
      <c r="BF2046" s="1032"/>
      <c r="BG2046" s="560"/>
      <c r="BH2046" s="1033"/>
      <c r="BI2046" s="563"/>
      <c r="BJ2046" s="563"/>
      <c r="BK2046" s="563"/>
      <c r="BL2046" s="563"/>
      <c r="BM2046" s="563">
        <f>I2046/13</f>
        <v>400</v>
      </c>
      <c r="BN2046" s="563"/>
      <c r="BO2046" s="563"/>
      <c r="BP2046" s="563"/>
      <c r="BQ2046" s="563"/>
      <c r="BR2046" s="563"/>
      <c r="BS2046" s="563"/>
      <c r="BT2046" s="563"/>
      <c r="BU2046" s="563"/>
      <c r="BV2046" s="563"/>
      <c r="BW2046" s="563"/>
      <c r="BX2046" s="563"/>
      <c r="BY2046" s="563"/>
      <c r="BZ2046" s="563"/>
      <c r="CA2046" s="1032"/>
      <c r="CB2046" s="560"/>
      <c r="CC2046" s="1033"/>
      <c r="CD2046" s="563"/>
      <c r="CE2046" s="563"/>
      <c r="CF2046" s="563"/>
      <c r="CG2046" s="1032"/>
      <c r="CH2046" s="560"/>
      <c r="CI2046" s="1033"/>
      <c r="CJ2046" s="563"/>
      <c r="CK2046" s="563"/>
      <c r="CL2046" s="563"/>
      <c r="CM2046" s="563"/>
      <c r="CN2046" s="563"/>
      <c r="CO2046" s="563"/>
      <c r="CP2046" s="1015"/>
      <c r="CQ2046" s="1015"/>
      <c r="CR2046" s="563"/>
      <c r="CS2046" s="563"/>
      <c r="CT2046" s="563"/>
      <c r="CU2046" s="563">
        <f t="shared" si="842"/>
        <v>0</v>
      </c>
      <c r="CV2046" s="563">
        <f t="shared" si="843"/>
        <v>0</v>
      </c>
      <c r="CW2046" s="563">
        <f t="shared" si="844"/>
        <v>0</v>
      </c>
      <c r="CX2046" s="1015"/>
      <c r="CY2046" s="1015"/>
      <c r="CZ2046" s="1015"/>
      <c r="DA2046" s="1015"/>
      <c r="DB2046" s="1015"/>
      <c r="DC2046" s="1015"/>
      <c r="DD2046" s="1015"/>
      <c r="DE2046" s="1015"/>
      <c r="DF2046" s="1015"/>
      <c r="DG2046" s="1015"/>
      <c r="DH2046" s="1015"/>
    </row>
    <row r="2047" s="558" customFormat="1" ht="31" customHeight="1" spans="1:113">
      <c r="A2047" s="1022">
        <v>46213</v>
      </c>
      <c r="B2047" s="626" t="s">
        <v>139</v>
      </c>
      <c r="C2047" s="939" t="s">
        <v>76</v>
      </c>
      <c r="D2047" s="563">
        <v>4500214355</v>
      </c>
      <c r="E2047" s="939">
        <v>21853618</v>
      </c>
      <c r="F2047" s="563" t="s">
        <v>10954</v>
      </c>
      <c r="G2047" s="939" t="s">
        <v>6093</v>
      </c>
      <c r="H2047" s="939" t="s">
        <v>6094</v>
      </c>
      <c r="I2047" s="1023">
        <v>221</v>
      </c>
      <c r="J2047" s="939">
        <v>0</v>
      </c>
      <c r="K2047" s="939">
        <v>13</v>
      </c>
      <c r="L2047" s="1064">
        <f t="shared" si="832"/>
        <v>17</v>
      </c>
      <c r="M2047" s="1027">
        <v>46279</v>
      </c>
      <c r="N2047" s="1027">
        <v>46275</v>
      </c>
      <c r="O2047" s="1031"/>
      <c r="P2047" s="939"/>
      <c r="Q2047" s="999"/>
      <c r="R2047" s="999">
        <v>46248</v>
      </c>
      <c r="S2047" s="999" t="s">
        <v>104</v>
      </c>
      <c r="T2047" s="1040" t="s">
        <v>10955</v>
      </c>
      <c r="U2047" s="1040"/>
      <c r="V2047" s="1039"/>
      <c r="W2047" s="603"/>
      <c r="X2047" s="1054" t="s">
        <v>10956</v>
      </c>
      <c r="Y2047" s="1001" t="s">
        <v>3206</v>
      </c>
      <c r="Z2047" s="626">
        <v>0.9868</v>
      </c>
      <c r="AA2047" s="1060">
        <f t="shared" si="847"/>
        <v>218.0828</v>
      </c>
      <c r="AB2047" s="603"/>
      <c r="AC2047" s="1061"/>
      <c r="AD2047" s="939" t="s">
        <v>6093</v>
      </c>
      <c r="AE2047" s="992" t="s">
        <v>82</v>
      </c>
      <c r="AF2047" s="939"/>
      <c r="AG2047" s="939"/>
      <c r="AH2047" s="626"/>
      <c r="AI2047" s="626"/>
      <c r="AJ2047" s="939">
        <f t="shared" si="818"/>
        <v>-221</v>
      </c>
      <c r="AK2047" s="1031"/>
      <c r="AL2047" s="939" t="s">
        <v>454</v>
      </c>
      <c r="AM2047" s="939"/>
      <c r="AN2047" s="939"/>
      <c r="AO2047" s="563">
        <f>I2047</f>
        <v>221</v>
      </c>
      <c r="AP2047" s="563"/>
      <c r="AQ2047" s="563"/>
      <c r="AR2047" s="1015"/>
      <c r="AS2047" s="563"/>
      <c r="AT2047" s="563">
        <f>I2047</f>
        <v>221</v>
      </c>
      <c r="AU2047" s="563"/>
      <c r="AV2047" s="563">
        <f>I2047</f>
        <v>221</v>
      </c>
      <c r="AW2047" s="563"/>
      <c r="AX2047" s="1004"/>
      <c r="AY2047" s="563"/>
      <c r="AZ2047" s="563"/>
      <c r="BA2047" s="563"/>
      <c r="BB2047" s="1017">
        <f t="shared" si="846"/>
        <v>9.20833333333333</v>
      </c>
      <c r="BC2047" s="563"/>
      <c r="BD2047" s="563"/>
      <c r="BE2047" s="563"/>
      <c r="BF2047" s="563"/>
      <c r="BG2047" s="558"/>
      <c r="BH2047" s="563"/>
      <c r="BI2047" s="563"/>
      <c r="BJ2047" s="563"/>
      <c r="BK2047" s="563"/>
      <c r="BL2047" s="563"/>
      <c r="BM2047" s="563">
        <f>I2047/13</f>
        <v>17</v>
      </c>
      <c r="BN2047" s="563"/>
      <c r="BO2047" s="563"/>
      <c r="BP2047" s="563"/>
      <c r="BQ2047" s="563"/>
      <c r="BR2047" s="563"/>
      <c r="BS2047" s="563"/>
      <c r="BT2047" s="563"/>
      <c r="BU2047" s="563"/>
      <c r="BV2047" s="563"/>
      <c r="BW2047" s="563"/>
      <c r="BX2047" s="563"/>
      <c r="BY2047" s="563"/>
      <c r="BZ2047" s="563"/>
      <c r="CA2047" s="1066"/>
      <c r="CB2047" s="560"/>
      <c r="CC2047" s="1067"/>
      <c r="CD2047" s="1015"/>
      <c r="CE2047" s="1015"/>
      <c r="CF2047" s="563"/>
      <c r="CG2047" s="563"/>
      <c r="CH2047" s="558"/>
      <c r="CI2047" s="563"/>
      <c r="CJ2047" s="563"/>
      <c r="CK2047" s="563"/>
      <c r="CL2047" s="563"/>
      <c r="CM2047" s="563"/>
      <c r="CN2047" s="563"/>
      <c r="CO2047" s="563"/>
      <c r="CP2047" s="1015"/>
      <c r="CQ2047" s="1015"/>
      <c r="CR2047" s="563"/>
      <c r="CS2047" s="563"/>
      <c r="CT2047" s="563"/>
      <c r="CU2047" s="563">
        <f t="shared" si="842"/>
        <v>0</v>
      </c>
      <c r="CV2047" s="563">
        <f t="shared" si="843"/>
        <v>0</v>
      </c>
      <c r="CW2047" s="563">
        <f t="shared" si="844"/>
        <v>0</v>
      </c>
      <c r="CX2047" s="1015"/>
      <c r="CY2047" s="1015"/>
      <c r="CZ2047" s="1015"/>
      <c r="DA2047" s="1015"/>
      <c r="DB2047" s="1015"/>
      <c r="DC2047" s="1015"/>
      <c r="DD2047" s="1015"/>
      <c r="DE2047" s="1015"/>
      <c r="DF2047" s="1015"/>
      <c r="DG2047" s="1015"/>
      <c r="DH2047" s="1015"/>
      <c r="DI2047" s="563"/>
    </row>
    <row r="2048" s="558" customFormat="1" ht="31" customHeight="1" spans="1:113">
      <c r="A2048" s="1022">
        <v>46213</v>
      </c>
      <c r="B2048" s="626" t="s">
        <v>135</v>
      </c>
      <c r="C2048" s="939" t="s">
        <v>128</v>
      </c>
      <c r="D2048" s="563">
        <v>4500214354</v>
      </c>
      <c r="E2048" s="939">
        <v>21853617</v>
      </c>
      <c r="F2048" s="563" t="s">
        <v>10957</v>
      </c>
      <c r="G2048" s="939" t="s">
        <v>6093</v>
      </c>
      <c r="H2048" s="939" t="s">
        <v>6094</v>
      </c>
      <c r="I2048" s="1023">
        <v>1287</v>
      </c>
      <c r="J2048" s="939">
        <v>0</v>
      </c>
      <c r="K2048" s="939">
        <v>13</v>
      </c>
      <c r="L2048" s="1064">
        <f t="shared" si="832"/>
        <v>99</v>
      </c>
      <c r="M2048" s="1027">
        <v>46279</v>
      </c>
      <c r="N2048" s="1027">
        <v>46275</v>
      </c>
      <c r="O2048" s="1031"/>
      <c r="P2048" s="939"/>
      <c r="Q2048" s="999"/>
      <c r="R2048" s="999">
        <v>46248</v>
      </c>
      <c r="S2048" s="999" t="s">
        <v>104</v>
      </c>
      <c r="T2048" s="1040" t="s">
        <v>10955</v>
      </c>
      <c r="U2048" s="1040"/>
      <c r="V2048" s="1039"/>
      <c r="W2048" s="603"/>
      <c r="X2048" s="1054" t="s">
        <v>10958</v>
      </c>
      <c r="Y2048" s="1001" t="s">
        <v>3206</v>
      </c>
      <c r="Z2048" s="626">
        <v>0.9815</v>
      </c>
      <c r="AA2048" s="1060">
        <f t="shared" si="847"/>
        <v>1263.1905</v>
      </c>
      <c r="AB2048" s="603"/>
      <c r="AC2048" s="1061"/>
      <c r="AD2048" s="939" t="s">
        <v>6093</v>
      </c>
      <c r="AE2048" s="992" t="s">
        <v>82</v>
      </c>
      <c r="AF2048" s="939"/>
      <c r="AG2048" s="939"/>
      <c r="AH2048" s="626"/>
      <c r="AI2048" s="626"/>
      <c r="AJ2048" s="939">
        <f t="shared" si="818"/>
        <v>-1287</v>
      </c>
      <c r="AK2048" s="1031"/>
      <c r="AL2048" s="939" t="s">
        <v>454</v>
      </c>
      <c r="AM2048" s="939"/>
      <c r="AN2048" s="939"/>
      <c r="AO2048" s="563">
        <f>I2048</f>
        <v>1287</v>
      </c>
      <c r="AP2048" s="563"/>
      <c r="AQ2048" s="563"/>
      <c r="AR2048" s="1015"/>
      <c r="AS2048" s="563"/>
      <c r="AT2048" s="563">
        <f>I2048</f>
        <v>1287</v>
      </c>
      <c r="AU2048" s="563"/>
      <c r="AV2048" s="563">
        <f>I2048</f>
        <v>1287</v>
      </c>
      <c r="AW2048" s="563"/>
      <c r="AX2048" s="1004"/>
      <c r="AY2048" s="563"/>
      <c r="AZ2048" s="563"/>
      <c r="BA2048" s="563"/>
      <c r="BB2048" s="1017">
        <f t="shared" si="846"/>
        <v>53.625</v>
      </c>
      <c r="BC2048" s="563"/>
      <c r="BD2048" s="563"/>
      <c r="BE2048" s="563"/>
      <c r="BF2048" s="563"/>
      <c r="BG2048" s="558"/>
      <c r="BH2048" s="563"/>
      <c r="BI2048" s="563"/>
      <c r="BJ2048" s="563"/>
      <c r="BK2048" s="563"/>
      <c r="BL2048" s="563"/>
      <c r="BM2048" s="563">
        <f>I2048/13</f>
        <v>99</v>
      </c>
      <c r="BN2048" s="563"/>
      <c r="BO2048" s="563"/>
      <c r="BP2048" s="563"/>
      <c r="BQ2048" s="563"/>
      <c r="BR2048" s="563"/>
      <c r="BS2048" s="563"/>
      <c r="BT2048" s="563"/>
      <c r="BU2048" s="563"/>
      <c r="BV2048" s="563"/>
      <c r="BW2048" s="563"/>
      <c r="BX2048" s="563"/>
      <c r="BY2048" s="563"/>
      <c r="BZ2048" s="563"/>
      <c r="CA2048" s="1066"/>
      <c r="CB2048" s="560"/>
      <c r="CC2048" s="1067"/>
      <c r="CD2048" s="1015"/>
      <c r="CE2048" s="1015"/>
      <c r="CF2048" s="563"/>
      <c r="CG2048" s="563"/>
      <c r="CH2048" s="558"/>
      <c r="CI2048" s="563"/>
      <c r="CJ2048" s="563"/>
      <c r="CK2048" s="563"/>
      <c r="CL2048" s="563"/>
      <c r="CM2048" s="563"/>
      <c r="CN2048" s="563"/>
      <c r="CO2048" s="563"/>
      <c r="CP2048" s="1015"/>
      <c r="CQ2048" s="1015"/>
      <c r="CR2048" s="563"/>
      <c r="CS2048" s="563"/>
      <c r="CT2048" s="563"/>
      <c r="CU2048" s="563">
        <f t="shared" si="842"/>
        <v>0</v>
      </c>
      <c r="CV2048" s="563">
        <f t="shared" si="843"/>
        <v>0</v>
      </c>
      <c r="CW2048" s="563">
        <f t="shared" si="844"/>
        <v>0</v>
      </c>
      <c r="CX2048" s="1015"/>
      <c r="CY2048" s="1015"/>
      <c r="CZ2048" s="1015"/>
      <c r="DA2048" s="1015"/>
      <c r="DB2048" s="1015"/>
      <c r="DC2048" s="1015"/>
      <c r="DD2048" s="1015"/>
      <c r="DE2048" s="1015"/>
      <c r="DF2048" s="1015"/>
      <c r="DG2048" s="1015"/>
      <c r="DH2048" s="1015"/>
      <c r="DI2048" s="563"/>
    </row>
    <row r="2049" s="558" customFormat="1" ht="31" customHeight="1" spans="1:113">
      <c r="A2049" s="1022">
        <v>46213</v>
      </c>
      <c r="B2049" s="626" t="s">
        <v>135</v>
      </c>
      <c r="C2049" s="939" t="s">
        <v>128</v>
      </c>
      <c r="D2049" s="563">
        <v>4500214354</v>
      </c>
      <c r="E2049" s="939">
        <v>21860019</v>
      </c>
      <c r="F2049" s="563" t="s">
        <v>10959</v>
      </c>
      <c r="G2049" s="939" t="s">
        <v>6093</v>
      </c>
      <c r="H2049" s="939" t="s">
        <v>6094</v>
      </c>
      <c r="I2049" s="1023">
        <v>1508</v>
      </c>
      <c r="J2049" s="939">
        <v>0</v>
      </c>
      <c r="K2049" s="939">
        <v>13</v>
      </c>
      <c r="L2049" s="1064">
        <f t="shared" si="832"/>
        <v>116</v>
      </c>
      <c r="M2049" s="1027">
        <v>46279</v>
      </c>
      <c r="N2049" s="1027">
        <v>46275</v>
      </c>
      <c r="O2049" s="1031"/>
      <c r="P2049" s="939"/>
      <c r="Q2049" s="999"/>
      <c r="R2049" s="999">
        <v>46248</v>
      </c>
      <c r="S2049" s="999" t="s">
        <v>104</v>
      </c>
      <c r="T2049" s="1040" t="s">
        <v>10955</v>
      </c>
      <c r="U2049" s="1040"/>
      <c r="V2049" s="1039"/>
      <c r="W2049" s="603"/>
      <c r="X2049" s="1054" t="s">
        <v>10958</v>
      </c>
      <c r="Y2049" s="1001" t="s">
        <v>3206</v>
      </c>
      <c r="Z2049" s="626">
        <v>0.9815</v>
      </c>
      <c r="AA2049" s="1060">
        <f t="shared" si="847"/>
        <v>1480.102</v>
      </c>
      <c r="AB2049" s="603"/>
      <c r="AC2049" s="1061"/>
      <c r="AD2049" s="939" t="s">
        <v>6093</v>
      </c>
      <c r="AE2049" s="992" t="s">
        <v>82</v>
      </c>
      <c r="AF2049" s="939"/>
      <c r="AG2049" s="939"/>
      <c r="AH2049" s="626"/>
      <c r="AI2049" s="626"/>
      <c r="AJ2049" s="939">
        <f t="shared" si="818"/>
        <v>-1508</v>
      </c>
      <c r="AK2049" s="1031"/>
      <c r="AL2049" s="939" t="s">
        <v>454</v>
      </c>
      <c r="AM2049" s="939"/>
      <c r="AN2049" s="939"/>
      <c r="AO2049" s="563">
        <f>I2049</f>
        <v>1508</v>
      </c>
      <c r="AP2049" s="563"/>
      <c r="AQ2049" s="563"/>
      <c r="AR2049" s="1015"/>
      <c r="AS2049" s="563"/>
      <c r="AT2049" s="563">
        <f>I2049</f>
        <v>1508</v>
      </c>
      <c r="AU2049" s="563"/>
      <c r="AV2049" s="563">
        <f>I2049</f>
        <v>1508</v>
      </c>
      <c r="AW2049" s="563"/>
      <c r="AX2049" s="1004"/>
      <c r="AY2049" s="563"/>
      <c r="AZ2049" s="563"/>
      <c r="BA2049" s="563"/>
      <c r="BB2049" s="1017">
        <f t="shared" si="846"/>
        <v>62.8333333333333</v>
      </c>
      <c r="BC2049" s="563"/>
      <c r="BD2049" s="563"/>
      <c r="BE2049" s="563"/>
      <c r="BF2049" s="563"/>
      <c r="BG2049" s="558"/>
      <c r="BH2049" s="563"/>
      <c r="BI2049" s="563"/>
      <c r="BJ2049" s="563"/>
      <c r="BK2049" s="563"/>
      <c r="BL2049" s="563"/>
      <c r="BM2049" s="563">
        <f>I2049/13</f>
        <v>116</v>
      </c>
      <c r="BN2049" s="563"/>
      <c r="BO2049" s="563"/>
      <c r="BP2049" s="563"/>
      <c r="BQ2049" s="563"/>
      <c r="BR2049" s="563"/>
      <c r="BS2049" s="563"/>
      <c r="BT2049" s="563"/>
      <c r="BU2049" s="563"/>
      <c r="BV2049" s="563"/>
      <c r="BW2049" s="563"/>
      <c r="BX2049" s="563"/>
      <c r="BY2049" s="563"/>
      <c r="BZ2049" s="563"/>
      <c r="CA2049" s="1066"/>
      <c r="CB2049" s="560"/>
      <c r="CC2049" s="1067"/>
      <c r="CD2049" s="1015"/>
      <c r="CE2049" s="1015"/>
      <c r="CF2049" s="563"/>
      <c r="CG2049" s="563"/>
      <c r="CH2049" s="558"/>
      <c r="CI2049" s="563"/>
      <c r="CJ2049" s="563"/>
      <c r="CK2049" s="563"/>
      <c r="CL2049" s="563"/>
      <c r="CM2049" s="563"/>
      <c r="CN2049" s="563"/>
      <c r="CO2049" s="563"/>
      <c r="CP2049" s="1015"/>
      <c r="CQ2049" s="1015"/>
      <c r="CR2049" s="563"/>
      <c r="CS2049" s="563"/>
      <c r="CT2049" s="563"/>
      <c r="CU2049" s="563">
        <f t="shared" si="842"/>
        <v>0</v>
      </c>
      <c r="CV2049" s="563">
        <f t="shared" si="843"/>
        <v>0</v>
      </c>
      <c r="CW2049" s="563">
        <f t="shared" si="844"/>
        <v>0</v>
      </c>
      <c r="CX2049" s="1015"/>
      <c r="CY2049" s="1015"/>
      <c r="CZ2049" s="1015"/>
      <c r="DA2049" s="1015"/>
      <c r="DB2049" s="1015"/>
      <c r="DC2049" s="1015"/>
      <c r="DD2049" s="1015"/>
      <c r="DE2049" s="1015"/>
      <c r="DF2049" s="1015"/>
      <c r="DG2049" s="1015"/>
      <c r="DH2049" s="1015"/>
      <c r="DI2049" s="563"/>
    </row>
    <row r="2050" s="558" customFormat="1" ht="31" customHeight="1" spans="1:113">
      <c r="A2050" s="1022">
        <v>46239</v>
      </c>
      <c r="B2050" s="626" t="s">
        <v>5157</v>
      </c>
      <c r="C2050" s="939" t="s">
        <v>128</v>
      </c>
      <c r="D2050" s="563">
        <v>4500214354</v>
      </c>
      <c r="E2050" s="939">
        <v>22018117</v>
      </c>
      <c r="F2050" s="563" t="s">
        <v>5799</v>
      </c>
      <c r="G2050" s="939" t="s">
        <v>6337</v>
      </c>
      <c r="H2050" s="939" t="s">
        <v>477</v>
      </c>
      <c r="I2050" s="1023">
        <v>5400</v>
      </c>
      <c r="J2050" s="939">
        <v>0</v>
      </c>
      <c r="K2050" s="1024">
        <v>6</v>
      </c>
      <c r="L2050" s="1025">
        <f t="shared" si="832"/>
        <v>900</v>
      </c>
      <c r="M2050" s="1026">
        <v>46279</v>
      </c>
      <c r="N2050" s="1027">
        <v>46275</v>
      </c>
      <c r="O2050" s="1031"/>
      <c r="P2050" s="939"/>
      <c r="Q2050" s="999"/>
      <c r="R2050" s="999">
        <v>46248</v>
      </c>
      <c r="S2050" s="999" t="s">
        <v>104</v>
      </c>
      <c r="T2050" s="584" t="s">
        <v>10960</v>
      </c>
      <c r="U2050" s="584"/>
      <c r="V2050" s="999"/>
      <c r="W2050" s="585"/>
      <c r="X2050" s="626" t="s">
        <v>5801</v>
      </c>
      <c r="Y2050" s="1001" t="s">
        <v>5802</v>
      </c>
      <c r="Z2050" s="626">
        <v>7.1939</v>
      </c>
      <c r="AA2050" s="1001">
        <f t="shared" si="847"/>
        <v>38847.06</v>
      </c>
      <c r="AB2050" s="585"/>
      <c r="AC2050" s="1030"/>
      <c r="AD2050" s="939" t="s">
        <v>1306</v>
      </c>
      <c r="AE2050" s="939" t="s">
        <v>82</v>
      </c>
      <c r="AF2050" s="939"/>
      <c r="AG2050" s="939"/>
      <c r="AH2050" s="626"/>
      <c r="AI2050" s="626"/>
      <c r="AJ2050" s="939">
        <f t="shared" si="818"/>
        <v>-5400</v>
      </c>
      <c r="AK2050" s="1031"/>
      <c r="AL2050" s="939" t="s">
        <v>454</v>
      </c>
      <c r="AM2050" s="939"/>
      <c r="AN2050" s="939"/>
      <c r="AO2050" s="563">
        <f>I2050*2</f>
        <v>10800</v>
      </c>
      <c r="AP2050" s="586"/>
      <c r="AQ2050" s="563"/>
      <c r="AR2050" s="1015">
        <f>I2050*2</f>
        <v>10800</v>
      </c>
      <c r="AS2050" s="563"/>
      <c r="AT2050" s="563"/>
      <c r="AU2050" s="586"/>
      <c r="AV2050" s="563">
        <f>I2050*2</f>
        <v>10800</v>
      </c>
      <c r="AW2050" s="563"/>
      <c r="AX2050" s="1004"/>
      <c r="AY2050" s="563"/>
      <c r="AZ2050" s="563"/>
      <c r="BA2050" s="563"/>
      <c r="BB2050" s="1017">
        <f>I2050/24*2</f>
        <v>450</v>
      </c>
      <c r="BC2050" s="563"/>
      <c r="BD2050" s="563"/>
      <c r="BE2050" s="563"/>
      <c r="BF2050" s="1032"/>
      <c r="BG2050" s="560"/>
      <c r="BH2050" s="1033"/>
      <c r="BI2050" s="563"/>
      <c r="BJ2050" s="563"/>
      <c r="BK2050" s="563"/>
      <c r="BL2050" s="563"/>
      <c r="BM2050" s="563"/>
      <c r="BN2050" s="563"/>
      <c r="BO2050" s="563"/>
      <c r="BP2050" s="563"/>
      <c r="BQ2050" s="563"/>
      <c r="BR2050" s="563"/>
      <c r="BS2050" s="563"/>
      <c r="BT2050" s="563"/>
      <c r="BU2050" s="563"/>
      <c r="BV2050" s="563"/>
      <c r="BW2050" s="563"/>
      <c r="BX2050" s="563"/>
      <c r="BY2050" s="563"/>
      <c r="BZ2050" s="563"/>
      <c r="CA2050" s="1032"/>
      <c r="CB2050" s="560"/>
      <c r="CC2050" s="1033"/>
      <c r="CD2050" s="563">
        <f>I2050</f>
        <v>5400</v>
      </c>
      <c r="CE2050" s="563"/>
      <c r="CF2050" s="563"/>
      <c r="CG2050" s="1032"/>
      <c r="CH2050" s="560"/>
      <c r="CI2050" s="1033"/>
      <c r="CJ2050" s="563"/>
      <c r="CK2050" s="563"/>
      <c r="CL2050" s="563"/>
      <c r="CM2050" s="563"/>
      <c r="CN2050" s="563"/>
      <c r="CO2050" s="563"/>
      <c r="CP2050" s="1015"/>
      <c r="CQ2050" s="1015"/>
      <c r="CR2050" s="563"/>
      <c r="CS2050" s="563"/>
      <c r="CT2050" s="563"/>
      <c r="CU2050" s="563">
        <f t="shared" si="842"/>
        <v>0</v>
      </c>
      <c r="CV2050" s="563">
        <v>0</v>
      </c>
      <c r="CW2050" s="563">
        <v>0</v>
      </c>
      <c r="CX2050" s="1015"/>
      <c r="CY2050" s="1015"/>
      <c r="CZ2050" s="1015"/>
      <c r="DA2050" s="1015"/>
      <c r="DB2050" s="1015"/>
      <c r="DC2050" s="1015"/>
      <c r="DD2050" s="1015"/>
      <c r="DE2050" s="1015"/>
      <c r="DF2050" s="1015"/>
      <c r="DG2050" s="1015"/>
      <c r="DH2050" s="1015"/>
    </row>
    <row r="2051" s="558" customFormat="1" ht="31" customHeight="1" spans="1:113">
      <c r="A2051" s="1022">
        <v>46239</v>
      </c>
      <c r="B2051" s="626" t="s">
        <v>5164</v>
      </c>
      <c r="C2051" s="939" t="s">
        <v>76</v>
      </c>
      <c r="D2051" s="563">
        <v>4500214355</v>
      </c>
      <c r="E2051" s="939">
        <v>22018122</v>
      </c>
      <c r="F2051" s="563" t="s">
        <v>5803</v>
      </c>
      <c r="G2051" s="939" t="s">
        <v>6337</v>
      </c>
      <c r="H2051" s="939" t="s">
        <v>477</v>
      </c>
      <c r="I2051" s="1023">
        <v>480</v>
      </c>
      <c r="J2051" s="939">
        <v>0</v>
      </c>
      <c r="K2051" s="1024">
        <v>6</v>
      </c>
      <c r="L2051" s="1025">
        <f t="shared" si="832"/>
        <v>80</v>
      </c>
      <c r="M2051" s="1026">
        <v>46279</v>
      </c>
      <c r="N2051" s="1027">
        <v>46275</v>
      </c>
      <c r="O2051" s="1031"/>
      <c r="P2051" s="939"/>
      <c r="Q2051" s="999"/>
      <c r="R2051" s="999">
        <v>46248</v>
      </c>
      <c r="S2051" s="999" t="s">
        <v>104</v>
      </c>
      <c r="T2051" s="584" t="s">
        <v>10960</v>
      </c>
      <c r="U2051" s="584"/>
      <c r="V2051" s="999"/>
      <c r="W2051" s="585"/>
      <c r="X2051" s="626" t="s">
        <v>5804</v>
      </c>
      <c r="Y2051" s="1001" t="s">
        <v>5802</v>
      </c>
      <c r="Z2051" s="626">
        <v>7.8108</v>
      </c>
      <c r="AA2051" s="1001">
        <f t="shared" si="847"/>
        <v>3749.184</v>
      </c>
      <c r="AB2051" s="585"/>
      <c r="AC2051" s="1030"/>
      <c r="AD2051" s="939" t="s">
        <v>1306</v>
      </c>
      <c r="AE2051" s="939" t="s">
        <v>82</v>
      </c>
      <c r="AF2051" s="939"/>
      <c r="AG2051" s="939"/>
      <c r="AH2051" s="626"/>
      <c r="AI2051" s="626"/>
      <c r="AJ2051" s="939">
        <f t="shared" si="818"/>
        <v>-480</v>
      </c>
      <c r="AK2051" s="1031"/>
      <c r="AL2051" s="939" t="s">
        <v>454</v>
      </c>
      <c r="AM2051" s="939"/>
      <c r="AN2051" s="939"/>
      <c r="AO2051" s="563">
        <f>I2051*2</f>
        <v>960</v>
      </c>
      <c r="AP2051" s="586"/>
      <c r="AQ2051" s="563"/>
      <c r="AR2051" s="1015">
        <f>I2051*2</f>
        <v>960</v>
      </c>
      <c r="AS2051" s="563"/>
      <c r="AT2051" s="563"/>
      <c r="AU2051" s="586"/>
      <c r="AV2051" s="563">
        <f>I2051*2</f>
        <v>960</v>
      </c>
      <c r="AW2051" s="563"/>
      <c r="AX2051" s="1004"/>
      <c r="AY2051" s="563"/>
      <c r="AZ2051" s="563"/>
      <c r="BA2051" s="563"/>
      <c r="BB2051" s="1017">
        <f>I2051/24*2</f>
        <v>40</v>
      </c>
      <c r="BC2051" s="563"/>
      <c r="BD2051" s="563"/>
      <c r="BE2051" s="563"/>
      <c r="BF2051" s="1032"/>
      <c r="BG2051" s="560"/>
      <c r="BH2051" s="1033"/>
      <c r="BI2051" s="563"/>
      <c r="BJ2051" s="563"/>
      <c r="BK2051" s="563"/>
      <c r="BL2051" s="563"/>
      <c r="BM2051" s="563"/>
      <c r="BN2051" s="563"/>
      <c r="BO2051" s="563"/>
      <c r="BP2051" s="563"/>
      <c r="BQ2051" s="563"/>
      <c r="BR2051" s="563"/>
      <c r="BS2051" s="563"/>
      <c r="BT2051" s="563"/>
      <c r="BU2051" s="563"/>
      <c r="BV2051" s="563"/>
      <c r="BW2051" s="563"/>
      <c r="BX2051" s="563"/>
      <c r="BY2051" s="563"/>
      <c r="BZ2051" s="563"/>
      <c r="CA2051" s="1032"/>
      <c r="CB2051" s="560"/>
      <c r="CC2051" s="1033"/>
      <c r="CD2051" s="563">
        <f>I2051</f>
        <v>480</v>
      </c>
      <c r="CE2051" s="563"/>
      <c r="CF2051" s="563"/>
      <c r="CG2051" s="1032"/>
      <c r="CH2051" s="560"/>
      <c r="CI2051" s="1033"/>
      <c r="CJ2051" s="563"/>
      <c r="CK2051" s="563"/>
      <c r="CL2051" s="563"/>
      <c r="CM2051" s="563"/>
      <c r="CN2051" s="563"/>
      <c r="CO2051" s="563"/>
      <c r="CP2051" s="1015"/>
      <c r="CQ2051" s="1015"/>
      <c r="CR2051" s="563"/>
      <c r="CS2051" s="563"/>
      <c r="CT2051" s="563"/>
      <c r="CU2051" s="563">
        <f t="shared" si="842"/>
        <v>0</v>
      </c>
      <c r="CV2051" s="563">
        <v>0</v>
      </c>
      <c r="CW2051" s="563">
        <v>0</v>
      </c>
      <c r="CX2051" s="1015"/>
      <c r="CY2051" s="1015"/>
      <c r="CZ2051" s="1015"/>
      <c r="DA2051" s="1015"/>
      <c r="DB2051" s="1015"/>
      <c r="DC2051" s="1015"/>
      <c r="DD2051" s="1015"/>
      <c r="DE2051" s="1015"/>
      <c r="DF2051" s="1015"/>
      <c r="DG2051" s="1015"/>
      <c r="DH2051" s="1015"/>
    </row>
    <row r="2052" s="560" customFormat="1" ht="31" customHeight="1" spans="1:113">
      <c r="A2052" s="1034">
        <v>46234</v>
      </c>
      <c r="B2052" s="603" t="s">
        <v>5806</v>
      </c>
      <c r="C2052" s="1035" t="s">
        <v>170</v>
      </c>
      <c r="D2052" s="560">
        <v>4500218481</v>
      </c>
      <c r="E2052" s="1170">
        <v>4371654155</v>
      </c>
      <c r="F2052" s="560" t="s">
        <v>10961</v>
      </c>
      <c r="G2052" s="1035" t="s">
        <v>6084</v>
      </c>
      <c r="H2052" s="1035" t="s">
        <v>6069</v>
      </c>
      <c r="I2052" s="1149">
        <v>1500</v>
      </c>
      <c r="J2052" s="1035">
        <v>0</v>
      </c>
      <c r="K2052" s="1035">
        <v>25</v>
      </c>
      <c r="L2052" s="1150">
        <f t="shared" si="832"/>
        <v>60</v>
      </c>
      <c r="M2052" s="1037">
        <v>46280</v>
      </c>
      <c r="N2052" s="1037">
        <v>46276</v>
      </c>
      <c r="O2052" s="1043" t="s">
        <v>5808</v>
      </c>
      <c r="P2052" s="1035"/>
      <c r="Q2052" s="1039"/>
      <c r="R2052" s="584" t="s">
        <v>454</v>
      </c>
      <c r="S2052" s="1039" t="s">
        <v>70</v>
      </c>
      <c r="T2052" s="1039" t="s">
        <v>5809</v>
      </c>
      <c r="U2052" s="1039"/>
      <c r="V2052" s="1039"/>
      <c r="W2052" s="603"/>
      <c r="X2052" s="603" t="s">
        <v>10962</v>
      </c>
      <c r="Y2052" s="1042" t="s">
        <v>5238</v>
      </c>
      <c r="Z2052" s="603">
        <v>1.0106</v>
      </c>
      <c r="AA2052" s="1042">
        <f t="shared" si="847"/>
        <v>1515.9</v>
      </c>
      <c r="AB2052" s="603"/>
      <c r="AC2052" s="1030"/>
      <c r="AD2052" s="610" t="s">
        <v>6089</v>
      </c>
      <c r="AE2052" s="1035" t="s">
        <v>82</v>
      </c>
      <c r="AF2052" s="1035"/>
      <c r="AG2052" s="1035"/>
      <c r="AH2052" s="603"/>
      <c r="AI2052" s="626"/>
      <c r="AJ2052" s="939">
        <f t="shared" si="818"/>
        <v>-1500</v>
      </c>
      <c r="AK2052" s="1043"/>
      <c r="AL2052" s="1035"/>
      <c r="AM2052" s="1035"/>
      <c r="AN2052" s="1035">
        <f>I2052</f>
        <v>1500</v>
      </c>
      <c r="AR2052" s="1044"/>
      <c r="AS2052" s="554">
        <f>I2052</f>
        <v>1500</v>
      </c>
      <c r="AU2052" s="563">
        <f>I2052</f>
        <v>1500</v>
      </c>
      <c r="AV2052" s="1169"/>
      <c r="AW2052" s="560"/>
      <c r="AX2052" s="1045"/>
      <c r="AY2052" s="560"/>
      <c r="AZ2052" s="560"/>
      <c r="BA2052" s="560"/>
      <c r="BB2052" s="1017">
        <f>I2052/48</f>
        <v>31.25</v>
      </c>
      <c r="BO2052" s="210">
        <f>I2052/25</f>
        <v>60</v>
      </c>
      <c r="CA2052" s="1044"/>
      <c r="CB2052" s="560"/>
      <c r="CC2052" s="560"/>
      <c r="CD2052" s="560"/>
      <c r="CE2052" s="560"/>
      <c r="CF2052" s="560"/>
      <c r="CG2052" s="560"/>
      <c r="CP2052" s="1044"/>
      <c r="CQ2052" s="1044"/>
      <c r="CR2052" s="560"/>
      <c r="CS2052" s="560"/>
      <c r="CT2052" s="560"/>
      <c r="CU2052" s="551">
        <f t="shared" si="842"/>
        <v>60</v>
      </c>
      <c r="CV2052" s="551">
        <f>CK2052+CL2052+CM2052+CN2052+CO2052+CQ2052+CP2052</f>
        <v>0</v>
      </c>
      <c r="CW2052" s="551">
        <f>CI2052+CJ2052</f>
        <v>0</v>
      </c>
      <c r="CX2052" s="1044"/>
      <c r="CY2052" s="1044"/>
      <c r="CZ2052" s="1044"/>
      <c r="DA2052" s="1044"/>
      <c r="DB2052" s="1044"/>
      <c r="DC2052" s="1044"/>
      <c r="DD2052" s="1044"/>
      <c r="DE2052" s="1044"/>
      <c r="DF2052" s="1044"/>
      <c r="DG2052" s="1044"/>
      <c r="DH2052" s="1044"/>
    </row>
    <row r="2053" s="558" customFormat="1" ht="31" customHeight="1" spans="1:113">
      <c r="A2053" s="1022">
        <v>46224</v>
      </c>
      <c r="B2053" s="626" t="s">
        <v>1800</v>
      </c>
      <c r="C2053" s="939" t="s">
        <v>744</v>
      </c>
      <c r="D2053" s="563">
        <v>4500216641</v>
      </c>
      <c r="E2053" s="939">
        <v>5000002327</v>
      </c>
      <c r="F2053" s="563" t="s">
        <v>10963</v>
      </c>
      <c r="G2053" s="939" t="s">
        <v>6093</v>
      </c>
      <c r="H2053" s="939" t="s">
        <v>6094</v>
      </c>
      <c r="I2053" s="1023">
        <v>5200</v>
      </c>
      <c r="J2053" s="939">
        <v>0</v>
      </c>
      <c r="K2053" s="939">
        <v>13</v>
      </c>
      <c r="L2053" s="1064">
        <f t="shared" si="832"/>
        <v>400</v>
      </c>
      <c r="M2053" s="1027">
        <v>46280</v>
      </c>
      <c r="N2053" s="1027">
        <v>46276</v>
      </c>
      <c r="O2053" s="1031"/>
      <c r="P2053" s="939"/>
      <c r="Q2053" s="999"/>
      <c r="R2053" s="999" t="s">
        <v>5675</v>
      </c>
      <c r="S2053" s="999" t="s">
        <v>104</v>
      </c>
      <c r="T2053" s="1040" t="s">
        <v>8723</v>
      </c>
      <c r="U2053" s="1040"/>
      <c r="V2053" s="1039"/>
      <c r="W2053" s="603"/>
      <c r="X2053" s="1054" t="s">
        <v>10964</v>
      </c>
      <c r="Y2053" s="1001" t="s">
        <v>1805</v>
      </c>
      <c r="Z2053" s="626">
        <v>0.9043</v>
      </c>
      <c r="AA2053" s="1060">
        <f t="shared" si="847"/>
        <v>4702.36</v>
      </c>
      <c r="AB2053" s="603"/>
      <c r="AC2053" s="1061"/>
      <c r="AD2053" s="939" t="s">
        <v>8338</v>
      </c>
      <c r="AE2053" s="992" t="s">
        <v>82</v>
      </c>
      <c r="AF2053" s="939"/>
      <c r="AG2053" s="939"/>
      <c r="AH2053" s="626"/>
      <c r="AI2053" s="626"/>
      <c r="AJ2053" s="939">
        <f t="shared" si="818"/>
        <v>-5200</v>
      </c>
      <c r="AK2053" s="1031"/>
      <c r="AL2053" s="939" t="s">
        <v>454</v>
      </c>
      <c r="AM2053" s="939"/>
      <c r="AN2053" s="939"/>
      <c r="AO2053" s="563">
        <f>I2053</f>
        <v>5200</v>
      </c>
      <c r="AP2053" s="563"/>
      <c r="AQ2053" s="563"/>
      <c r="AR2053" s="1015"/>
      <c r="AS2053" s="563"/>
      <c r="AT2053" s="563"/>
      <c r="AU2053" s="563"/>
      <c r="AV2053" s="563"/>
      <c r="AW2053" s="1015">
        <f>I2053</f>
        <v>5200</v>
      </c>
      <c r="AX2053" s="563">
        <f>I2053</f>
        <v>5200</v>
      </c>
      <c r="AY2053" s="563"/>
      <c r="AZ2053" s="563"/>
      <c r="BA2053" s="1004">
        <f>I2053/24</f>
        <v>216.666666666667</v>
      </c>
      <c r="BB2053" s="1017"/>
      <c r="BC2053" s="563"/>
      <c r="BD2053" s="563"/>
      <c r="BE2053" s="563"/>
      <c r="BF2053" s="563"/>
      <c r="BH2053" s="563"/>
      <c r="BI2053" s="563"/>
      <c r="BJ2053" s="563"/>
      <c r="BK2053" s="563"/>
      <c r="BL2053" s="563"/>
      <c r="BM2053" s="563">
        <f>I2053/13</f>
        <v>400</v>
      </c>
      <c r="BN2053" s="563"/>
      <c r="BO2053" s="563"/>
      <c r="BP2053" s="563"/>
      <c r="BQ2053" s="563"/>
      <c r="BR2053" s="563"/>
      <c r="BS2053" s="563"/>
      <c r="BT2053" s="563"/>
      <c r="BU2053" s="563"/>
      <c r="BV2053" s="563"/>
      <c r="BW2053" s="563"/>
      <c r="BX2053" s="563"/>
      <c r="BY2053" s="563"/>
      <c r="BZ2053" s="563"/>
      <c r="CA2053" s="1066"/>
      <c r="CB2053" s="560"/>
      <c r="CC2053" s="1067"/>
      <c r="CD2053" s="1015"/>
      <c r="CE2053" s="1015"/>
      <c r="CF2053" s="563"/>
      <c r="CG2053" s="563"/>
      <c r="CI2053" s="563"/>
      <c r="CJ2053" s="563"/>
      <c r="CK2053" s="563"/>
      <c r="CL2053" s="563"/>
      <c r="CM2053" s="563"/>
      <c r="CN2053" s="563"/>
      <c r="CO2053" s="563"/>
      <c r="CP2053" s="1015"/>
      <c r="CQ2053" s="1015"/>
      <c r="CR2053" s="563"/>
      <c r="CS2053" s="563"/>
      <c r="CT2053" s="563"/>
      <c r="CU2053" s="563">
        <f t="shared" si="842"/>
        <v>0</v>
      </c>
      <c r="CV2053" s="563">
        <v>0</v>
      </c>
      <c r="CW2053" s="563">
        <v>0</v>
      </c>
      <c r="CX2053" s="1015"/>
      <c r="CY2053" s="1015"/>
      <c r="CZ2053" s="1015"/>
      <c r="DA2053" s="1015"/>
      <c r="DB2053" s="1015"/>
      <c r="DC2053" s="1015"/>
      <c r="DD2053" s="1015"/>
      <c r="DE2053" s="1015"/>
      <c r="DF2053" s="1015"/>
      <c r="DG2053" s="1015"/>
      <c r="DH2053" s="1015"/>
      <c r="DI2053" s="563"/>
    </row>
    <row r="2054" s="564" customFormat="1" ht="31" customHeight="1" spans="1:113">
      <c r="A2054" s="1171">
        <v>46248</v>
      </c>
      <c r="B2054" s="1172" t="s">
        <v>5806</v>
      </c>
      <c r="C2054" s="1173" t="s">
        <v>170</v>
      </c>
      <c r="D2054" s="1174">
        <v>4500219955</v>
      </c>
      <c r="E2054" s="1173">
        <v>4371654156</v>
      </c>
      <c r="F2054" s="1174" t="s">
        <v>10965</v>
      </c>
      <c r="G2054" s="1173" t="s">
        <v>6084</v>
      </c>
      <c r="H2054" s="1173" t="s">
        <v>6069</v>
      </c>
      <c r="I2054" s="1175">
        <v>1500</v>
      </c>
      <c r="J2054" s="1173">
        <v>0</v>
      </c>
      <c r="K2054" s="1173">
        <v>25</v>
      </c>
      <c r="L2054" s="1176">
        <f t="shared" si="832"/>
        <v>60</v>
      </c>
      <c r="M2054" s="1177">
        <v>46280</v>
      </c>
      <c r="N2054" s="1177">
        <v>46276</v>
      </c>
      <c r="O2054" s="1178" t="s">
        <v>5812</v>
      </c>
      <c r="P2054" s="1173"/>
      <c r="Q2054" s="1179"/>
      <c r="R2054" s="1180" t="s">
        <v>454</v>
      </c>
      <c r="S2054" s="1181" t="s">
        <v>70</v>
      </c>
      <c r="T2054" s="1181" t="s">
        <v>5809</v>
      </c>
      <c r="U2054" s="1182"/>
      <c r="V2054" s="1181"/>
      <c r="W2054" s="1183"/>
      <c r="X2054" s="1184" t="s">
        <v>10966</v>
      </c>
      <c r="Y2054" s="1185" t="s">
        <v>5814</v>
      </c>
      <c r="Z2054" s="1172">
        <v>1.0106</v>
      </c>
      <c r="AA2054" s="1186">
        <f t="shared" si="847"/>
        <v>1515.9</v>
      </c>
      <c r="AB2054" s="1183"/>
      <c r="AC2054" s="1187"/>
      <c r="AD2054" s="1173" t="s">
        <v>6089</v>
      </c>
      <c r="AE2054" s="1188" t="s">
        <v>82</v>
      </c>
      <c r="AF2054" s="1173"/>
      <c r="AG2054" s="1173"/>
      <c r="AH2054" s="1172"/>
      <c r="AI2054" s="1172"/>
      <c r="AJ2054" s="1173">
        <f t="shared" si="818"/>
        <v>-1500</v>
      </c>
      <c r="AK2054" s="1178"/>
      <c r="AL2054" s="1173"/>
      <c r="AM2054" s="1173"/>
      <c r="AN2054" s="1173">
        <f>I2054</f>
        <v>1500</v>
      </c>
      <c r="AO2054" s="1174"/>
      <c r="AP2054" s="1174"/>
      <c r="AQ2054" s="1174"/>
      <c r="AR2054" s="1189"/>
      <c r="AS2054" s="1174">
        <f>I2054</f>
        <v>1500</v>
      </c>
      <c r="AT2054" s="1174"/>
      <c r="AU2054" s="1174">
        <f>I2054</f>
        <v>1500</v>
      </c>
      <c r="AV2054" s="1174"/>
      <c r="AW2054" s="1189"/>
      <c r="AX2054" s="1174"/>
      <c r="AY2054" s="1174"/>
      <c r="AZ2054" s="1174"/>
      <c r="BA2054" s="1190"/>
      <c r="BB2054" s="1191">
        <f>I2054/48</f>
        <v>31.25</v>
      </c>
      <c r="BC2054" s="1174"/>
      <c r="BD2054" s="1174"/>
      <c r="BE2054" s="1174"/>
      <c r="BF2054" s="1174"/>
      <c r="BH2054" s="1174"/>
      <c r="BI2054" s="1174"/>
      <c r="BJ2054" s="1174"/>
      <c r="BK2054" s="1174"/>
      <c r="BL2054" s="1174"/>
      <c r="BM2054" s="1174"/>
      <c r="BN2054" s="1174"/>
      <c r="BO2054" s="1192">
        <f>I2054/25</f>
        <v>60</v>
      </c>
      <c r="BP2054" s="1174"/>
      <c r="BQ2054" s="1174"/>
      <c r="BR2054" s="1174"/>
      <c r="BS2054" s="1174"/>
      <c r="BT2054" s="1174"/>
      <c r="BU2054" s="1174"/>
      <c r="BV2054" s="1174"/>
      <c r="BW2054" s="1174"/>
      <c r="BX2054" s="1174"/>
      <c r="BY2054" s="1174"/>
      <c r="BZ2054" s="1174"/>
      <c r="CA2054" s="1193"/>
      <c r="CB2054" s="565"/>
      <c r="CC2054" s="1194"/>
      <c r="CD2054" s="1189"/>
      <c r="CE2054" s="1189"/>
      <c r="CF2054" s="1174"/>
      <c r="CG2054" s="1174"/>
      <c r="CI2054" s="1174"/>
      <c r="CJ2054" s="1174"/>
      <c r="CK2054" s="1174"/>
      <c r="CL2054" s="1174"/>
      <c r="CM2054" s="1174"/>
      <c r="CN2054" s="1174"/>
      <c r="CO2054" s="1174"/>
      <c r="CP2054" s="1189"/>
      <c r="CQ2054" s="1189"/>
      <c r="CR2054" s="1174"/>
      <c r="CS2054" s="1174"/>
      <c r="CT2054" s="1174"/>
      <c r="CU2054" s="1174">
        <f t="shared" si="842"/>
        <v>60</v>
      </c>
      <c r="CV2054" s="1174">
        <f>CK2054+CL2054+CM2054+CN2054+CO2054+CQ2054+CP2054</f>
        <v>0</v>
      </c>
      <c r="CW2054" s="1174">
        <f>CI2054+CJ2054</f>
        <v>0</v>
      </c>
      <c r="CX2054" s="1189"/>
      <c r="CY2054" s="1189"/>
      <c r="CZ2054" s="1189"/>
      <c r="DA2054" s="1189"/>
      <c r="DB2054" s="1189"/>
      <c r="DC2054" s="1189"/>
      <c r="DD2054" s="1189"/>
      <c r="DE2054" s="1189"/>
      <c r="DF2054" s="1189"/>
      <c r="DG2054" s="1189"/>
      <c r="DH2054" s="1189"/>
      <c r="DI2054" s="1174"/>
    </row>
    <row r="2055" s="558" customFormat="1" ht="31" customHeight="1" spans="1:113">
      <c r="A2055" s="991">
        <v>46171</v>
      </c>
      <c r="B2055" s="601" t="s">
        <v>4371</v>
      </c>
      <c r="C2055" s="992" t="s">
        <v>98</v>
      </c>
      <c r="D2055" s="586">
        <v>4500209954</v>
      </c>
      <c r="E2055" s="992">
        <v>7137243627</v>
      </c>
      <c r="F2055" s="586" t="s">
        <v>5817</v>
      </c>
      <c r="G2055" s="992" t="s">
        <v>10273</v>
      </c>
      <c r="H2055" s="992" t="s">
        <v>5003</v>
      </c>
      <c r="I2055" s="995">
        <v>11256</v>
      </c>
      <c r="J2055" s="992">
        <v>0</v>
      </c>
      <c r="K2055" s="996">
        <v>24</v>
      </c>
      <c r="L2055" s="997">
        <f t="shared" ref="L2055:L2091" si="848">I2055/K2055</f>
        <v>469</v>
      </c>
      <c r="M2055" s="998">
        <v>46281</v>
      </c>
      <c r="N2055" s="1079">
        <v>46277</v>
      </c>
      <c r="O2055" s="994" t="s">
        <v>5698</v>
      </c>
      <c r="P2055" s="992"/>
      <c r="Q2055" s="584"/>
      <c r="R2055" s="584">
        <v>46162</v>
      </c>
      <c r="S2055" s="584" t="s">
        <v>104</v>
      </c>
      <c r="T2055" s="584" t="s">
        <v>10701</v>
      </c>
      <c r="U2055" s="584"/>
      <c r="V2055" s="584" t="s">
        <v>10276</v>
      </c>
      <c r="W2055" s="585"/>
      <c r="X2055" s="601" t="s">
        <v>10828</v>
      </c>
      <c r="Y2055" s="1000" t="s">
        <v>4378</v>
      </c>
      <c r="Z2055" s="601">
        <v>111.1651</v>
      </c>
      <c r="AA2055" s="1000">
        <f>Z2055*L2055</f>
        <v>52136.4319</v>
      </c>
      <c r="AC2055" s="1002"/>
      <c r="AD2055" s="561" t="s">
        <v>5008</v>
      </c>
      <c r="AE2055" s="992" t="s">
        <v>82</v>
      </c>
      <c r="AF2055" s="992"/>
      <c r="AG2055" s="992"/>
      <c r="AH2055" s="601"/>
      <c r="AI2055" s="605"/>
      <c r="AJ2055" s="992">
        <f t="shared" ref="AJ2055:AJ2067" si="849">AI2055-I2055</f>
        <v>-11256</v>
      </c>
      <c r="AK2055" s="994"/>
      <c r="AL2055" s="992" t="s">
        <v>2368</v>
      </c>
      <c r="AM2055" s="992"/>
      <c r="AN2055" s="992">
        <f>I2055*2</f>
        <v>22512</v>
      </c>
      <c r="AO2055" s="586"/>
      <c r="AP2055" s="586"/>
      <c r="AQ2055" s="586"/>
      <c r="AR2055" s="1003"/>
      <c r="AS2055" s="586"/>
      <c r="AT2055" s="586"/>
      <c r="AU2055" s="586">
        <f t="shared" ref="AU2055:AU2059" si="850">I2055*2</f>
        <v>22512</v>
      </c>
      <c r="AV2055" s="586"/>
      <c r="AW2055" s="586"/>
      <c r="AX2055" s="1049"/>
      <c r="AY2055" s="586"/>
      <c r="AZ2055" s="586"/>
      <c r="BA2055" s="586"/>
      <c r="BB2055" s="1078">
        <f>I2055/24*2</f>
        <v>938</v>
      </c>
      <c r="BC2055" s="586"/>
      <c r="BD2055" s="586"/>
      <c r="BE2055" s="586"/>
      <c r="BF2055" s="1005"/>
      <c r="BG2055" s="561">
        <f>AN2055</f>
        <v>22512</v>
      </c>
      <c r="BH2055" s="1006"/>
      <c r="BI2055" s="586"/>
      <c r="BJ2055" s="586"/>
      <c r="BK2055" s="586"/>
      <c r="BL2055" s="586"/>
      <c r="BM2055" s="586"/>
      <c r="BN2055" s="586"/>
      <c r="BO2055" s="586"/>
      <c r="BP2055" s="586"/>
      <c r="BQ2055" s="586"/>
      <c r="BR2055" s="586"/>
      <c r="BS2055" s="586"/>
      <c r="BT2055" s="586"/>
      <c r="BU2055" s="586"/>
      <c r="BV2055" s="586"/>
      <c r="BW2055" s="586"/>
      <c r="BX2055" s="586"/>
      <c r="BY2055" s="586">
        <f>I2055</f>
        <v>11256</v>
      </c>
      <c r="BZ2055" s="586"/>
      <c r="CA2055" s="1005"/>
      <c r="CB2055" s="561"/>
      <c r="CC2055" s="1006"/>
      <c r="CD2055" s="586"/>
      <c r="CE2055" s="586"/>
      <c r="CF2055" s="586"/>
      <c r="CG2055" s="1005"/>
      <c r="CH2055" s="561">
        <f>L2055</f>
        <v>469</v>
      </c>
      <c r="CI2055" s="1006"/>
      <c r="CJ2055" s="586"/>
      <c r="CK2055" s="586"/>
      <c r="CL2055" s="586"/>
      <c r="CM2055" s="586"/>
      <c r="CN2055" s="586"/>
      <c r="CO2055" s="586"/>
      <c r="CP2055" s="1003"/>
      <c r="CQ2055" s="1003"/>
      <c r="CR2055" s="586"/>
      <c r="CS2055" s="586"/>
      <c r="CT2055" s="586"/>
      <c r="CU2055" s="586">
        <f t="shared" ref="CU2055:CU2067" si="851">BQ2055+BP2055+BO2055+BN2055+BX2055+BR2055</f>
        <v>0</v>
      </c>
      <c r="CV2055" s="586">
        <f t="shared" ref="CV2055:CV2060" si="852">CK2055+CL2055+CM2055+CN2055+CO2055+CQ2055+CP2055</f>
        <v>0</v>
      </c>
      <c r="CW2055" s="586">
        <f t="shared" ref="CW2055:CW2060" si="853">CI2055+CJ2055</f>
        <v>0</v>
      </c>
      <c r="CX2055" s="1003"/>
      <c r="CY2055" s="1003"/>
      <c r="CZ2055" s="1003"/>
      <c r="DA2055" s="1003"/>
      <c r="DB2055" s="1003"/>
      <c r="DC2055" s="1003"/>
      <c r="DD2055" s="1003"/>
      <c r="DE2055" s="1003"/>
      <c r="DF2055" s="1003"/>
      <c r="DG2055" s="1003"/>
      <c r="DH2055" s="1003"/>
    </row>
    <row r="2056" s="558" customFormat="1" ht="31" customHeight="1" spans="1:113">
      <c r="A2056" s="1022">
        <v>46206</v>
      </c>
      <c r="B2056" s="626" t="s">
        <v>2811</v>
      </c>
      <c r="C2056" s="939" t="s">
        <v>98</v>
      </c>
      <c r="D2056" s="563">
        <v>4500213190</v>
      </c>
      <c r="E2056" s="1051">
        <v>70094932</v>
      </c>
      <c r="F2056" s="563" t="s">
        <v>10967</v>
      </c>
      <c r="G2056" s="939" t="s">
        <v>6787</v>
      </c>
      <c r="H2056" s="939" t="s">
        <v>6126</v>
      </c>
      <c r="I2056" s="1023">
        <v>1800</v>
      </c>
      <c r="J2056" s="939">
        <v>0</v>
      </c>
      <c r="K2056" s="1024">
        <v>12</v>
      </c>
      <c r="L2056" s="1025">
        <f t="shared" si="848"/>
        <v>150</v>
      </c>
      <c r="M2056" s="1058">
        <v>46281</v>
      </c>
      <c r="N2056" s="1058">
        <v>46277</v>
      </c>
      <c r="O2056" s="1031"/>
      <c r="P2056" s="939"/>
      <c r="Q2056" s="999"/>
      <c r="R2056" s="999">
        <v>46225</v>
      </c>
      <c r="S2056" s="999" t="s">
        <v>70</v>
      </c>
      <c r="T2056" s="999" t="s">
        <v>5723</v>
      </c>
      <c r="U2056" s="999"/>
      <c r="V2056" s="999" t="s">
        <v>10968</v>
      </c>
      <c r="W2056" s="585"/>
      <c r="X2056" s="626" t="s">
        <v>10969</v>
      </c>
      <c r="Y2056" s="1001" t="s">
        <v>3061</v>
      </c>
      <c r="Z2056" s="626">
        <v>1.3318</v>
      </c>
      <c r="AA2056" s="1001">
        <f t="shared" ref="AA2056:AA2067" si="854">Z2056*I2056</f>
        <v>2397.24</v>
      </c>
      <c r="AB2056" s="585"/>
      <c r="AC2056" s="1030"/>
      <c r="AD2056" s="939" t="s">
        <v>8545</v>
      </c>
      <c r="AE2056" s="939" t="s">
        <v>82</v>
      </c>
      <c r="AF2056" s="939"/>
      <c r="AG2056" s="939"/>
      <c r="AH2056" s="626"/>
      <c r="AI2056" s="609"/>
      <c r="AJ2056" s="939">
        <f t="shared" si="849"/>
        <v>-1800</v>
      </c>
      <c r="AK2056" s="1031"/>
      <c r="AL2056" s="939" t="s">
        <v>2368</v>
      </c>
      <c r="AM2056" s="939"/>
      <c r="AN2056" s="939">
        <f>I2056*2</f>
        <v>3600</v>
      </c>
      <c r="AO2056" s="563"/>
      <c r="AP2056" s="563">
        <f>I2056*2</f>
        <v>3600</v>
      </c>
      <c r="AQ2056" s="563"/>
      <c r="AR2056" s="1015"/>
      <c r="AS2056" s="563"/>
      <c r="AT2056" s="563"/>
      <c r="AU2056" s="563">
        <f t="shared" si="850"/>
        <v>3600</v>
      </c>
      <c r="AV2056" s="563"/>
      <c r="AW2056" s="563"/>
      <c r="AX2056" s="1004"/>
      <c r="AY2056" s="563"/>
      <c r="AZ2056" s="563"/>
      <c r="BA2056" s="563"/>
      <c r="BB2056" s="1017">
        <f>I2056/24*2</f>
        <v>150</v>
      </c>
      <c r="BC2056" s="563"/>
      <c r="BD2056" s="563"/>
      <c r="BE2056" s="563"/>
      <c r="BF2056" s="1032"/>
      <c r="BG2056" s="560"/>
      <c r="BH2056" s="1033"/>
      <c r="BI2056" s="563"/>
      <c r="BJ2056" s="563"/>
      <c r="BK2056" s="563"/>
      <c r="BL2056" s="563"/>
      <c r="BM2056" s="563"/>
      <c r="BN2056" s="563"/>
      <c r="BO2056" s="563"/>
      <c r="BP2056" s="563"/>
      <c r="BQ2056" s="563"/>
      <c r="BR2056" s="563"/>
      <c r="BS2056" s="563"/>
      <c r="BT2056" s="563"/>
      <c r="BU2056" s="563"/>
      <c r="BV2056" s="563"/>
      <c r="BW2056" s="563"/>
      <c r="BX2056" s="563"/>
      <c r="BY2056" s="563"/>
      <c r="BZ2056" s="563"/>
      <c r="CA2056" s="1032"/>
      <c r="CB2056" s="560"/>
      <c r="CC2056" s="1033"/>
      <c r="CD2056" s="563"/>
      <c r="CE2056" s="563"/>
      <c r="CF2056" s="563"/>
      <c r="CG2056" s="1032"/>
      <c r="CH2056" s="560"/>
      <c r="CI2056" s="1033"/>
      <c r="CJ2056" s="563"/>
      <c r="CK2056" s="563"/>
      <c r="CL2056" s="563"/>
      <c r="CM2056" s="563"/>
      <c r="CN2056" s="563"/>
      <c r="CO2056" s="563"/>
      <c r="CP2056" s="1015"/>
      <c r="CQ2056" s="1015"/>
      <c r="CR2056" s="563">
        <f>I2056</f>
        <v>1800</v>
      </c>
      <c r="CS2056" s="563">
        <f>I2056</f>
        <v>1800</v>
      </c>
      <c r="CT2056" s="563">
        <f>I2056</f>
        <v>1800</v>
      </c>
      <c r="CU2056" s="563">
        <f t="shared" si="851"/>
        <v>0</v>
      </c>
      <c r="CV2056" s="563">
        <f t="shared" si="852"/>
        <v>0</v>
      </c>
      <c r="CW2056" s="687">
        <f t="shared" si="853"/>
        <v>0</v>
      </c>
      <c r="CX2056" s="1015"/>
      <c r="CY2056" s="1015"/>
      <c r="CZ2056" s="1015"/>
      <c r="DA2056" s="1015"/>
      <c r="DB2056" s="1015"/>
      <c r="DC2056" s="1015"/>
      <c r="DD2056" s="1015"/>
      <c r="DE2056" s="1015"/>
      <c r="DF2056" s="1015"/>
      <c r="DG2056" s="1015"/>
      <c r="DH2056" s="1015"/>
    </row>
    <row r="2057" s="558" customFormat="1" ht="31" customHeight="1" spans="1:113">
      <c r="A2057" s="991">
        <v>46206</v>
      </c>
      <c r="B2057" s="601" t="s">
        <v>2811</v>
      </c>
      <c r="C2057" s="992" t="s">
        <v>98</v>
      </c>
      <c r="D2057" s="586">
        <v>4500213190</v>
      </c>
      <c r="E2057" s="1051">
        <v>70094932</v>
      </c>
      <c r="F2057" s="586" t="s">
        <v>5818</v>
      </c>
      <c r="G2057" s="992" t="s">
        <v>8520</v>
      </c>
      <c r="H2057" s="992" t="s">
        <v>8521</v>
      </c>
      <c r="I2057" s="995">
        <v>1800</v>
      </c>
      <c r="J2057" s="992">
        <v>0</v>
      </c>
      <c r="K2057" s="996">
        <v>8</v>
      </c>
      <c r="L2057" s="997">
        <f t="shared" si="848"/>
        <v>225</v>
      </c>
      <c r="M2057" s="1058">
        <v>46281</v>
      </c>
      <c r="N2057" s="1058">
        <v>46277</v>
      </c>
      <c r="O2057" s="994"/>
      <c r="P2057" s="992"/>
      <c r="Q2057" s="584"/>
      <c r="R2057" s="999">
        <v>46225</v>
      </c>
      <c r="S2057" s="999" t="s">
        <v>70</v>
      </c>
      <c r="T2057" s="999" t="s">
        <v>5723</v>
      </c>
      <c r="U2057" s="584"/>
      <c r="V2057" s="584"/>
      <c r="W2057" s="585"/>
      <c r="X2057" s="601" t="s">
        <v>5819</v>
      </c>
      <c r="Y2057" s="1000" t="s">
        <v>3061</v>
      </c>
      <c r="Z2057" s="601">
        <v>4.3055</v>
      </c>
      <c r="AA2057" s="1000">
        <f t="shared" si="854"/>
        <v>7749.9</v>
      </c>
      <c r="AB2057" s="585"/>
      <c r="AC2057" s="1002"/>
      <c r="AD2057" s="939" t="s">
        <v>2741</v>
      </c>
      <c r="AE2057" s="992" t="s">
        <v>82</v>
      </c>
      <c r="AF2057" s="992"/>
      <c r="AG2057" s="992"/>
      <c r="AH2057" s="601"/>
      <c r="AI2057" s="609"/>
      <c r="AJ2057" s="939">
        <f t="shared" si="849"/>
        <v>-1800</v>
      </c>
      <c r="AK2057" s="994"/>
      <c r="AL2057" s="992" t="s">
        <v>2368</v>
      </c>
      <c r="AM2057" s="992"/>
      <c r="AN2057" s="992">
        <f>I2057*2</f>
        <v>3600</v>
      </c>
      <c r="AO2057" s="586"/>
      <c r="AP2057" s="563">
        <f>I2057*2</f>
        <v>3600</v>
      </c>
      <c r="AQ2057" s="586"/>
      <c r="AR2057" s="1003"/>
      <c r="AS2057" s="586"/>
      <c r="AT2057" s="586"/>
      <c r="AU2057" s="563">
        <f t="shared" si="850"/>
        <v>3600</v>
      </c>
      <c r="AV2057" s="586"/>
      <c r="AW2057" s="586"/>
      <c r="AX2057" s="1049"/>
      <c r="AY2057" s="586"/>
      <c r="AZ2057" s="586"/>
      <c r="BA2057" s="586"/>
      <c r="BB2057" s="1017">
        <f>I2057/24*2</f>
        <v>150</v>
      </c>
      <c r="BC2057" s="586"/>
      <c r="BD2057" s="586"/>
      <c r="BE2057" s="586"/>
      <c r="BF2057" s="1005"/>
      <c r="BG2057" s="561"/>
      <c r="BH2057" s="1006"/>
      <c r="BI2057" s="586"/>
      <c r="BJ2057" s="586"/>
      <c r="BK2057" s="586"/>
      <c r="BL2057" s="586"/>
      <c r="BM2057" s="586"/>
      <c r="BN2057" s="586"/>
      <c r="BO2057" s="586"/>
      <c r="BP2057" s="586"/>
      <c r="BQ2057" s="586"/>
      <c r="BR2057" s="586"/>
      <c r="BS2057" s="586"/>
      <c r="BT2057" s="586"/>
      <c r="BU2057" s="586"/>
      <c r="BV2057" s="586"/>
      <c r="BW2057" s="586"/>
      <c r="BX2057" s="586"/>
      <c r="BY2057" s="586"/>
      <c r="BZ2057" s="586"/>
      <c r="CA2057" s="1066"/>
      <c r="CB2057" s="560"/>
      <c r="CC2057" s="1006"/>
      <c r="CD2057" s="563">
        <f>I2057</f>
        <v>1800</v>
      </c>
      <c r="CE2057" s="586"/>
      <c r="CF2057" s="586"/>
      <c r="CG2057" s="1005"/>
      <c r="CH2057" s="561"/>
      <c r="CI2057" s="1006"/>
      <c r="CJ2057" s="586"/>
      <c r="CK2057" s="586"/>
      <c r="CL2057" s="586"/>
      <c r="CM2057" s="586"/>
      <c r="CN2057" s="586"/>
      <c r="CO2057" s="586"/>
      <c r="CP2057" s="1003"/>
      <c r="CQ2057" s="1003"/>
      <c r="CR2057" s="586"/>
      <c r="CS2057" s="586"/>
      <c r="CT2057" s="586"/>
      <c r="CU2057" s="563">
        <f t="shared" si="851"/>
        <v>0</v>
      </c>
      <c r="CV2057" s="563">
        <f t="shared" si="852"/>
        <v>0</v>
      </c>
      <c r="CW2057" s="687">
        <f t="shared" si="853"/>
        <v>0</v>
      </c>
      <c r="CX2057" s="1003"/>
      <c r="CY2057" s="1003"/>
      <c r="CZ2057" s="1003"/>
      <c r="DA2057" s="1003"/>
      <c r="DB2057" s="1003"/>
      <c r="DC2057" s="1003"/>
      <c r="DD2057" s="1003"/>
      <c r="DE2057" s="1003"/>
      <c r="DF2057" s="1003"/>
      <c r="DG2057" s="1003"/>
      <c r="DH2057" s="1003"/>
    </row>
    <row r="2058" s="558" customFormat="1" ht="31" customHeight="1" spans="1:113">
      <c r="A2058" s="1022">
        <v>46237</v>
      </c>
      <c r="B2058" s="626" t="s">
        <v>379</v>
      </c>
      <c r="C2058" s="939" t="s">
        <v>98</v>
      </c>
      <c r="D2058" s="563">
        <v>4500218444</v>
      </c>
      <c r="E2058" s="939">
        <v>37070</v>
      </c>
      <c r="F2058" s="563" t="s">
        <v>10970</v>
      </c>
      <c r="G2058" s="939" t="s">
        <v>6036</v>
      </c>
      <c r="H2058" s="939" t="s">
        <v>6033</v>
      </c>
      <c r="I2058" s="1023">
        <v>7500</v>
      </c>
      <c r="J2058" s="939">
        <v>0</v>
      </c>
      <c r="K2058" s="1024">
        <v>50</v>
      </c>
      <c r="L2058" s="1025">
        <f t="shared" si="848"/>
        <v>150</v>
      </c>
      <c r="M2058" s="1026">
        <v>46281</v>
      </c>
      <c r="N2058" s="1027">
        <v>46277</v>
      </c>
      <c r="O2058" s="1031"/>
      <c r="P2058" s="939"/>
      <c r="Q2058" s="999"/>
      <c r="R2058" s="999">
        <v>46245</v>
      </c>
      <c r="S2058" s="999" t="s">
        <v>70</v>
      </c>
      <c r="T2058" s="999" t="s">
        <v>70</v>
      </c>
      <c r="U2058" s="584"/>
      <c r="V2058" s="999"/>
      <c r="W2058" s="585"/>
      <c r="X2058" s="626" t="s">
        <v>5821</v>
      </c>
      <c r="Y2058" s="1001" t="s">
        <v>1781</v>
      </c>
      <c r="Z2058" s="626">
        <v>0.6027</v>
      </c>
      <c r="AA2058" s="1001">
        <f t="shared" si="854"/>
        <v>4520.25</v>
      </c>
      <c r="AB2058" s="585"/>
      <c r="AC2058" s="1030"/>
      <c r="AD2058" s="939" t="s">
        <v>6036</v>
      </c>
      <c r="AE2058" s="939" t="s">
        <v>82</v>
      </c>
      <c r="AF2058" s="939"/>
      <c r="AG2058" s="939"/>
      <c r="AH2058" s="626"/>
      <c r="AI2058" s="626"/>
      <c r="AJ2058" s="939">
        <f t="shared" si="849"/>
        <v>-7500</v>
      </c>
      <c r="AK2058" s="1031"/>
      <c r="AL2058" s="939"/>
      <c r="AM2058" s="939"/>
      <c r="AN2058" s="939">
        <f t="shared" ref="AN2058:AN2067" si="855">I2058</f>
        <v>7500</v>
      </c>
      <c r="AO2058" s="563"/>
      <c r="AP2058" s="563">
        <f>I2058</f>
        <v>7500</v>
      </c>
      <c r="AQ2058" s="563"/>
      <c r="AR2058" s="1015"/>
      <c r="AS2058" s="563"/>
      <c r="AT2058" s="563"/>
      <c r="AU2058" s="563">
        <f>I2058</f>
        <v>7500</v>
      </c>
      <c r="AV2058" s="563"/>
      <c r="AW2058" s="563"/>
      <c r="AX2058" s="1004"/>
      <c r="AY2058" s="563"/>
      <c r="AZ2058" s="563"/>
      <c r="BA2058" s="563"/>
      <c r="BB2058" s="1017">
        <f>I2058/24</f>
        <v>312.5</v>
      </c>
      <c r="BC2058" s="563"/>
      <c r="BD2058" s="563"/>
      <c r="BE2058" s="563"/>
      <c r="BF2058" s="1032"/>
      <c r="BG2058" s="560"/>
      <c r="BH2058" s="1033"/>
      <c r="BI2058" s="563"/>
      <c r="BJ2058" s="563"/>
      <c r="BK2058" s="563"/>
      <c r="BL2058" s="563"/>
      <c r="BM2058" s="563"/>
      <c r="BN2058" s="563">
        <f>I2058/25</f>
        <v>300</v>
      </c>
      <c r="BO2058" s="563"/>
      <c r="BP2058" s="563"/>
      <c r="BQ2058" s="563"/>
      <c r="BR2058" s="563"/>
      <c r="BS2058" s="563"/>
      <c r="BT2058" s="563"/>
      <c r="BU2058" s="563"/>
      <c r="BV2058" s="563"/>
      <c r="BW2058" s="563"/>
      <c r="BX2058" s="563"/>
      <c r="BY2058" s="563"/>
      <c r="BZ2058" s="563"/>
      <c r="CA2058" s="1032"/>
      <c r="CB2058" s="560"/>
      <c r="CC2058" s="1033"/>
      <c r="CD2058" s="563"/>
      <c r="CE2058" s="563"/>
      <c r="CF2058" s="563"/>
      <c r="CG2058" s="1032"/>
      <c r="CH2058" s="560"/>
      <c r="CI2058" s="1033"/>
      <c r="CJ2058" s="563"/>
      <c r="CK2058" s="563"/>
      <c r="CL2058" s="563"/>
      <c r="CM2058" s="563"/>
      <c r="CN2058" s="563"/>
      <c r="CO2058" s="563"/>
      <c r="CP2058" s="1015"/>
      <c r="CQ2058" s="1015"/>
      <c r="CR2058" s="563"/>
      <c r="CS2058" s="563"/>
      <c r="CT2058" s="563"/>
      <c r="CU2058" s="563">
        <f t="shared" si="851"/>
        <v>300</v>
      </c>
      <c r="CV2058" s="563">
        <f t="shared" si="852"/>
        <v>0</v>
      </c>
      <c r="CW2058" s="563">
        <f t="shared" si="853"/>
        <v>0</v>
      </c>
      <c r="CX2058" s="1015"/>
      <c r="CY2058" s="1015"/>
      <c r="CZ2058" s="1015"/>
      <c r="DA2058" s="1015"/>
      <c r="DB2058" s="1015"/>
      <c r="DC2058" s="1015"/>
      <c r="DD2058" s="1015"/>
      <c r="DE2058" s="1015"/>
      <c r="DF2058" s="1015"/>
      <c r="DG2058" s="1015"/>
      <c r="DH2058" s="1015"/>
    </row>
    <row r="2059" s="558" customFormat="1" ht="31" customHeight="1" spans="1:113">
      <c r="A2059" s="1022">
        <v>46237</v>
      </c>
      <c r="B2059" s="626" t="s">
        <v>143</v>
      </c>
      <c r="C2059" s="939" t="s">
        <v>98</v>
      </c>
      <c r="D2059" s="563">
        <v>4500218505</v>
      </c>
      <c r="E2059" s="1423" t="s">
        <v>10971</v>
      </c>
      <c r="F2059" s="563" t="s">
        <v>10972</v>
      </c>
      <c r="G2059" s="939" t="s">
        <v>6063</v>
      </c>
      <c r="H2059" s="939" t="s">
        <v>6064</v>
      </c>
      <c r="I2059" s="1023">
        <v>36000</v>
      </c>
      <c r="J2059" s="939">
        <v>0</v>
      </c>
      <c r="K2059" s="1024">
        <v>16</v>
      </c>
      <c r="L2059" s="1025">
        <f t="shared" si="848"/>
        <v>2250</v>
      </c>
      <c r="M2059" s="1026">
        <v>46281</v>
      </c>
      <c r="N2059" s="1027">
        <v>46277</v>
      </c>
      <c r="O2059" s="1031"/>
      <c r="P2059" s="939"/>
      <c r="Q2059" s="999"/>
      <c r="R2059" s="999" t="s">
        <v>9889</v>
      </c>
      <c r="S2059" s="1039" t="s">
        <v>70</v>
      </c>
      <c r="T2059" s="1039" t="s">
        <v>10973</v>
      </c>
      <c r="U2059" s="584"/>
      <c r="V2059" s="999"/>
      <c r="W2059" s="585"/>
      <c r="X2059" s="626" t="s">
        <v>10974</v>
      </c>
      <c r="Y2059" s="1001" t="s">
        <v>106</v>
      </c>
      <c r="Z2059" s="626">
        <v>0.6079</v>
      </c>
      <c r="AA2059" s="1001">
        <f t="shared" si="854"/>
        <v>21884.4</v>
      </c>
      <c r="AB2059" s="585"/>
      <c r="AC2059" s="1030"/>
      <c r="AD2059" s="1035" t="s">
        <v>6063</v>
      </c>
      <c r="AE2059" s="939" t="s">
        <v>82</v>
      </c>
      <c r="AF2059" s="939"/>
      <c r="AG2059" s="939"/>
      <c r="AH2059" s="626"/>
      <c r="AI2059" s="626"/>
      <c r="AJ2059" s="992">
        <f t="shared" si="849"/>
        <v>-36000</v>
      </c>
      <c r="AK2059" s="1031"/>
      <c r="AL2059" s="939" t="s">
        <v>2368</v>
      </c>
      <c r="AM2059" s="939"/>
      <c r="AN2059" s="939">
        <f t="shared" si="855"/>
        <v>36000</v>
      </c>
      <c r="AO2059" s="563"/>
      <c r="AP2059" s="560">
        <f>I2059</f>
        <v>36000</v>
      </c>
      <c r="AQ2059" s="563"/>
      <c r="AR2059" s="1015"/>
      <c r="AS2059" s="563"/>
      <c r="AT2059" s="563"/>
      <c r="AU2059" s="560">
        <f>I2059</f>
        <v>36000</v>
      </c>
      <c r="AV2059" s="563"/>
      <c r="AW2059" s="563"/>
      <c r="AX2059" s="1004"/>
      <c r="AY2059" s="563"/>
      <c r="AZ2059" s="563"/>
      <c r="BA2059" s="563"/>
      <c r="BB2059" s="1116">
        <f>I2059/24</f>
        <v>1500</v>
      </c>
      <c r="BC2059" s="563"/>
      <c r="BD2059" s="563"/>
      <c r="BE2059" s="563"/>
      <c r="BF2059" s="1032"/>
      <c r="BG2059" s="560"/>
      <c r="BH2059" s="1033"/>
      <c r="BI2059" s="563"/>
      <c r="BJ2059" s="563"/>
      <c r="BK2059" s="563"/>
      <c r="BL2059" s="563"/>
      <c r="BM2059" s="563"/>
      <c r="BN2059" s="563"/>
      <c r="BO2059" s="563"/>
      <c r="BP2059" s="563"/>
      <c r="BQ2059" s="560">
        <f>I2059/16</f>
        <v>2250</v>
      </c>
      <c r="BR2059" s="563"/>
      <c r="BS2059" s="563"/>
      <c r="BT2059" s="563"/>
      <c r="BU2059" s="563"/>
      <c r="BV2059" s="563"/>
      <c r="BW2059" s="563"/>
      <c r="BX2059" s="563"/>
      <c r="BY2059" s="563"/>
      <c r="BZ2059" s="563"/>
      <c r="CA2059" s="1032"/>
      <c r="CB2059" s="560"/>
      <c r="CC2059" s="1033"/>
      <c r="CD2059" s="563"/>
      <c r="CE2059" s="563"/>
      <c r="CF2059" s="563"/>
      <c r="CG2059" s="1032"/>
      <c r="CH2059" s="560"/>
      <c r="CI2059" s="1033"/>
      <c r="CJ2059" s="563"/>
      <c r="CK2059" s="563"/>
      <c r="CL2059" s="563"/>
      <c r="CM2059" s="563"/>
      <c r="CN2059" s="563"/>
      <c r="CO2059" s="563"/>
      <c r="CP2059" s="1015"/>
      <c r="CQ2059" s="1015"/>
      <c r="CR2059" s="563"/>
      <c r="CS2059" s="563"/>
      <c r="CT2059" s="563"/>
      <c r="CU2059" s="586">
        <f t="shared" si="851"/>
        <v>2250</v>
      </c>
      <c r="CV2059" s="586">
        <f t="shared" si="852"/>
        <v>0</v>
      </c>
      <c r="CW2059" s="586">
        <f t="shared" si="853"/>
        <v>0</v>
      </c>
      <c r="CX2059" s="1015"/>
      <c r="CY2059" s="1015"/>
      <c r="CZ2059" s="1015"/>
      <c r="DA2059" s="1015"/>
      <c r="DB2059" s="1015"/>
      <c r="DC2059" s="1015"/>
      <c r="DD2059" s="1015"/>
      <c r="DE2059" s="1015"/>
      <c r="DF2059" s="1015"/>
      <c r="DG2059" s="1015"/>
      <c r="DH2059" s="1015"/>
    </row>
    <row r="2060" s="558" customFormat="1" ht="31" customHeight="1" spans="1:113">
      <c r="A2060" s="1022">
        <v>46237</v>
      </c>
      <c r="B2060" s="626" t="s">
        <v>143</v>
      </c>
      <c r="C2060" s="939" t="s">
        <v>98</v>
      </c>
      <c r="D2060" s="563">
        <v>4500218505</v>
      </c>
      <c r="E2060" s="1423" t="s">
        <v>10975</v>
      </c>
      <c r="F2060" s="563" t="s">
        <v>10976</v>
      </c>
      <c r="G2060" s="939" t="s">
        <v>6063</v>
      </c>
      <c r="H2060" s="939" t="s">
        <v>6064</v>
      </c>
      <c r="I2060" s="1023">
        <v>24720</v>
      </c>
      <c r="J2060" s="939">
        <v>0</v>
      </c>
      <c r="K2060" s="1024">
        <v>16</v>
      </c>
      <c r="L2060" s="1025">
        <f t="shared" si="848"/>
        <v>1545</v>
      </c>
      <c r="M2060" s="1026">
        <v>46281</v>
      </c>
      <c r="N2060" s="1027">
        <v>46277</v>
      </c>
      <c r="O2060" s="1031"/>
      <c r="P2060" s="939"/>
      <c r="Q2060" s="999"/>
      <c r="R2060" s="999" t="s">
        <v>9889</v>
      </c>
      <c r="S2060" s="1039" t="s">
        <v>70</v>
      </c>
      <c r="T2060" s="1039" t="s">
        <v>10973</v>
      </c>
      <c r="U2060" s="584"/>
      <c r="V2060" s="999"/>
      <c r="W2060" s="585"/>
      <c r="X2060" s="626" t="s">
        <v>10974</v>
      </c>
      <c r="Y2060" s="1001" t="s">
        <v>106</v>
      </c>
      <c r="Z2060" s="626">
        <v>0.6079</v>
      </c>
      <c r="AA2060" s="1001">
        <f t="shared" si="854"/>
        <v>15027.288</v>
      </c>
      <c r="AB2060" s="585"/>
      <c r="AC2060" s="1030"/>
      <c r="AD2060" s="1035" t="s">
        <v>6063</v>
      </c>
      <c r="AE2060" s="939" t="s">
        <v>82</v>
      </c>
      <c r="AF2060" s="939"/>
      <c r="AG2060" s="939"/>
      <c r="AH2060" s="626"/>
      <c r="AI2060" s="626"/>
      <c r="AJ2060" s="992">
        <f t="shared" si="849"/>
        <v>-24720</v>
      </c>
      <c r="AK2060" s="1031"/>
      <c r="AL2060" s="939" t="s">
        <v>2368</v>
      </c>
      <c r="AM2060" s="939"/>
      <c r="AN2060" s="939">
        <f t="shared" si="855"/>
        <v>24720</v>
      </c>
      <c r="AO2060" s="563"/>
      <c r="AP2060" s="560">
        <f>I2060</f>
        <v>24720</v>
      </c>
      <c r="AQ2060" s="563"/>
      <c r="AR2060" s="1015"/>
      <c r="AS2060" s="563"/>
      <c r="AT2060" s="563"/>
      <c r="AU2060" s="560">
        <f>I2060</f>
        <v>24720</v>
      </c>
      <c r="AV2060" s="563"/>
      <c r="AW2060" s="563"/>
      <c r="AX2060" s="1004"/>
      <c r="AY2060" s="563"/>
      <c r="AZ2060" s="563"/>
      <c r="BA2060" s="563"/>
      <c r="BB2060" s="1116">
        <f>I2060/24</f>
        <v>1030</v>
      </c>
      <c r="BC2060" s="563"/>
      <c r="BD2060" s="563"/>
      <c r="BE2060" s="563"/>
      <c r="BF2060" s="1032"/>
      <c r="BG2060" s="560"/>
      <c r="BH2060" s="1033"/>
      <c r="BI2060" s="563"/>
      <c r="BJ2060" s="563"/>
      <c r="BK2060" s="563"/>
      <c r="BL2060" s="563"/>
      <c r="BM2060" s="563"/>
      <c r="BN2060" s="563"/>
      <c r="BO2060" s="563"/>
      <c r="BP2060" s="563"/>
      <c r="BQ2060" s="560">
        <f>I2060/16</f>
        <v>1545</v>
      </c>
      <c r="BR2060" s="563"/>
      <c r="BS2060" s="563"/>
      <c r="BT2060" s="563"/>
      <c r="BU2060" s="563"/>
      <c r="BV2060" s="563"/>
      <c r="BW2060" s="563"/>
      <c r="BX2060" s="563"/>
      <c r="BY2060" s="563"/>
      <c r="BZ2060" s="563"/>
      <c r="CA2060" s="1032"/>
      <c r="CB2060" s="560"/>
      <c r="CC2060" s="1033"/>
      <c r="CD2060" s="563"/>
      <c r="CE2060" s="563"/>
      <c r="CF2060" s="563"/>
      <c r="CG2060" s="1032"/>
      <c r="CH2060" s="560"/>
      <c r="CI2060" s="1033"/>
      <c r="CJ2060" s="563"/>
      <c r="CK2060" s="563"/>
      <c r="CL2060" s="563"/>
      <c r="CM2060" s="563"/>
      <c r="CN2060" s="563"/>
      <c r="CO2060" s="563"/>
      <c r="CP2060" s="1015"/>
      <c r="CQ2060" s="1015"/>
      <c r="CR2060" s="563"/>
      <c r="CS2060" s="563"/>
      <c r="CT2060" s="563"/>
      <c r="CU2060" s="586">
        <f t="shared" si="851"/>
        <v>1545</v>
      </c>
      <c r="CV2060" s="586">
        <f t="shared" si="852"/>
        <v>0</v>
      </c>
      <c r="CW2060" s="586">
        <f t="shared" si="853"/>
        <v>0</v>
      </c>
      <c r="CX2060" s="1015"/>
      <c r="CY2060" s="1015"/>
      <c r="CZ2060" s="1015"/>
      <c r="DA2060" s="1015"/>
      <c r="DB2060" s="1015"/>
      <c r="DC2060" s="1015"/>
      <c r="DD2060" s="1015"/>
      <c r="DE2060" s="1015"/>
      <c r="DF2060" s="1015"/>
      <c r="DG2060" s="1015"/>
      <c r="DH2060" s="1015"/>
    </row>
    <row r="2061" s="565" customFormat="1" ht="31" customHeight="1" spans="1:113">
      <c r="A2061" s="1195">
        <v>46246</v>
      </c>
      <c r="B2061" s="1183" t="s">
        <v>10555</v>
      </c>
      <c r="C2061" s="1196" t="s">
        <v>98</v>
      </c>
      <c r="D2061" s="565">
        <v>4500219679</v>
      </c>
      <c r="E2061" s="1196">
        <v>4567053804</v>
      </c>
      <c r="F2061" s="565" t="s">
        <v>10977</v>
      </c>
      <c r="G2061" s="1196" t="s">
        <v>8051</v>
      </c>
      <c r="H2061" s="1196" t="s">
        <v>6102</v>
      </c>
      <c r="I2061" s="1197">
        <v>72</v>
      </c>
      <c r="J2061" s="1196">
        <v>0</v>
      </c>
      <c r="K2061" s="1196">
        <v>6</v>
      </c>
      <c r="L2061" s="1198">
        <f t="shared" si="848"/>
        <v>12</v>
      </c>
      <c r="M2061" s="1199">
        <v>46281</v>
      </c>
      <c r="N2061" s="1199">
        <v>46277</v>
      </c>
      <c r="O2061" s="1200"/>
      <c r="P2061" s="1196"/>
      <c r="Q2061" s="1181"/>
      <c r="R2061" s="1181">
        <v>46246</v>
      </c>
      <c r="S2061" s="1181" t="s">
        <v>70</v>
      </c>
      <c r="T2061" s="1181" t="s">
        <v>9311</v>
      </c>
      <c r="U2061" s="1181"/>
      <c r="V2061" s="1179" t="s">
        <v>10001</v>
      </c>
      <c r="W2061" s="1183" t="s">
        <v>10978</v>
      </c>
      <c r="X2061" s="1183" t="s">
        <v>10979</v>
      </c>
      <c r="Y2061" s="1201" t="s">
        <v>10980</v>
      </c>
      <c r="Z2061" s="1183">
        <v>0.6197</v>
      </c>
      <c r="AA2061" s="1201">
        <f t="shared" si="854"/>
        <v>44.6184</v>
      </c>
      <c r="AC2061" s="1202"/>
      <c r="AD2061" s="1173" t="s">
        <v>8051</v>
      </c>
      <c r="AE2061" s="1196" t="s">
        <v>82</v>
      </c>
      <c r="AF2061" s="1196"/>
      <c r="AG2061" s="1196"/>
      <c r="AH2061" s="1183"/>
      <c r="AI2061" s="1183"/>
      <c r="AJ2061" s="1173">
        <f t="shared" ref="AJ2061:AJ2067" si="856">AI2061-I2061</f>
        <v>-72</v>
      </c>
      <c r="AK2061" s="1200"/>
      <c r="AL2061" s="1196"/>
      <c r="AM2061" s="1196"/>
      <c r="AN2061" s="1196">
        <f t="shared" si="855"/>
        <v>72</v>
      </c>
      <c r="AP2061" s="1203">
        <f t="shared" ref="AP2061:AP2067" si="857">I2061</f>
        <v>72</v>
      </c>
      <c r="AR2061" s="1204"/>
      <c r="AS2061" s="565"/>
      <c r="AT2061" s="565"/>
      <c r="AU2061" s="1174">
        <f t="shared" ref="AU2061:AU2067" si="858">I2061</f>
        <v>72</v>
      </c>
      <c r="AX2061" s="1205"/>
      <c r="AY2061" s="565"/>
      <c r="AZ2061" s="565"/>
      <c r="BA2061" s="565"/>
      <c r="BB2061" s="1191">
        <f t="shared" ref="BB2061:BB2067" si="859">I2061/24</f>
        <v>3</v>
      </c>
      <c r="BT2061" s="1174">
        <f t="shared" ref="BT2061:BT2067" si="860">L2061</f>
        <v>12</v>
      </c>
      <c r="CP2061" s="1204"/>
      <c r="CQ2061" s="1204"/>
      <c r="CR2061" s="565"/>
      <c r="CS2061" s="565"/>
      <c r="CT2061" s="565"/>
      <c r="CU2061" s="1174">
        <f t="shared" ref="CU2061:CU2067" si="861">BQ2061+BP2061+BO2061+BN2061+BX2061+BR2061</f>
        <v>0</v>
      </c>
      <c r="CV2061" s="1174">
        <f t="shared" ref="CV2061:CV2067" si="862">CK2061+CL2061+CM2061+CN2061+CO2061+CQ2061+CP2061</f>
        <v>0</v>
      </c>
      <c r="CW2061" s="1174">
        <f t="shared" ref="CW2061:CW2067" si="863">CI2061+CJ2061</f>
        <v>0</v>
      </c>
      <c r="CX2061" s="1204"/>
      <c r="CY2061" s="1204"/>
      <c r="CZ2061" s="1204"/>
      <c r="DA2061" s="1204"/>
      <c r="DB2061" s="1204"/>
      <c r="DC2061" s="1204"/>
      <c r="DD2061" s="1204"/>
      <c r="DE2061" s="1204"/>
      <c r="DF2061" s="1204"/>
      <c r="DG2061" s="1204"/>
      <c r="DH2061" s="1204"/>
    </row>
    <row r="2062" s="565" customFormat="1" ht="31" customHeight="1" spans="1:113">
      <c r="A2062" s="1195">
        <v>46246</v>
      </c>
      <c r="B2062" s="1183" t="s">
        <v>10555</v>
      </c>
      <c r="C2062" s="1196" t="s">
        <v>98</v>
      </c>
      <c r="D2062" s="565">
        <v>4500219679</v>
      </c>
      <c r="E2062" s="1196">
        <v>4567053744</v>
      </c>
      <c r="F2062" s="565" t="s">
        <v>10981</v>
      </c>
      <c r="G2062" s="1196" t="s">
        <v>8051</v>
      </c>
      <c r="H2062" s="1196" t="s">
        <v>6102</v>
      </c>
      <c r="I2062" s="1197">
        <v>468</v>
      </c>
      <c r="J2062" s="1196">
        <v>0</v>
      </c>
      <c r="K2062" s="1196">
        <v>6</v>
      </c>
      <c r="L2062" s="1198">
        <f t="shared" si="848"/>
        <v>78</v>
      </c>
      <c r="M2062" s="1199">
        <v>46281</v>
      </c>
      <c r="N2062" s="1199">
        <v>46277</v>
      </c>
      <c r="O2062" s="1200"/>
      <c r="P2062" s="1196"/>
      <c r="Q2062" s="1181"/>
      <c r="R2062" s="1181">
        <v>46246</v>
      </c>
      <c r="S2062" s="1181" t="s">
        <v>70</v>
      </c>
      <c r="T2062" s="1181" t="s">
        <v>9311</v>
      </c>
      <c r="U2062" s="1181"/>
      <c r="V2062" s="1179" t="s">
        <v>10001</v>
      </c>
      <c r="W2062" s="1183" t="s">
        <v>10978</v>
      </c>
      <c r="X2062" s="1183" t="s">
        <v>10979</v>
      </c>
      <c r="Y2062" s="1201" t="s">
        <v>10980</v>
      </c>
      <c r="Z2062" s="1183">
        <v>0.6197</v>
      </c>
      <c r="AA2062" s="1201">
        <f t="shared" si="854"/>
        <v>290.0196</v>
      </c>
      <c r="AC2062" s="1202"/>
      <c r="AD2062" s="1173" t="s">
        <v>8051</v>
      </c>
      <c r="AE2062" s="1196" t="s">
        <v>82</v>
      </c>
      <c r="AF2062" s="1196"/>
      <c r="AG2062" s="1196"/>
      <c r="AH2062" s="1183"/>
      <c r="AI2062" s="1183"/>
      <c r="AJ2062" s="1173">
        <f t="shared" si="856"/>
        <v>-468</v>
      </c>
      <c r="AK2062" s="1200"/>
      <c r="AL2062" s="1196"/>
      <c r="AM2062" s="1196"/>
      <c r="AN2062" s="1196">
        <f t="shared" si="855"/>
        <v>468</v>
      </c>
      <c r="AP2062" s="1203">
        <f t="shared" si="857"/>
        <v>468</v>
      </c>
      <c r="AR2062" s="1204"/>
      <c r="AS2062" s="565"/>
      <c r="AT2062" s="565"/>
      <c r="AU2062" s="1174">
        <f t="shared" si="858"/>
        <v>468</v>
      </c>
      <c r="AX2062" s="1205"/>
      <c r="AY2062" s="565"/>
      <c r="AZ2062" s="565"/>
      <c r="BA2062" s="565"/>
      <c r="BB2062" s="1191">
        <f t="shared" si="859"/>
        <v>19.5</v>
      </c>
      <c r="BT2062" s="1174">
        <f t="shared" si="860"/>
        <v>78</v>
      </c>
      <c r="CP2062" s="1204"/>
      <c r="CQ2062" s="1204"/>
      <c r="CR2062" s="565"/>
      <c r="CS2062" s="565"/>
      <c r="CT2062" s="565"/>
      <c r="CU2062" s="1174">
        <f t="shared" si="861"/>
        <v>0</v>
      </c>
      <c r="CV2062" s="1174">
        <f t="shared" si="862"/>
        <v>0</v>
      </c>
      <c r="CW2062" s="1174">
        <f t="shared" si="863"/>
        <v>0</v>
      </c>
      <c r="CX2062" s="1204"/>
      <c r="CY2062" s="1204"/>
      <c r="CZ2062" s="1204"/>
      <c r="DA2062" s="1204"/>
      <c r="DB2062" s="1204"/>
      <c r="DC2062" s="1204"/>
      <c r="DD2062" s="1204"/>
      <c r="DE2062" s="1204"/>
      <c r="DF2062" s="1204"/>
      <c r="DG2062" s="1204"/>
      <c r="DH2062" s="1204"/>
    </row>
    <row r="2063" s="565" customFormat="1" ht="31" customHeight="1" spans="1:113">
      <c r="A2063" s="1195">
        <v>46246</v>
      </c>
      <c r="B2063" s="1183" t="s">
        <v>10555</v>
      </c>
      <c r="C2063" s="1196" t="s">
        <v>98</v>
      </c>
      <c r="D2063" s="565">
        <v>4500219679</v>
      </c>
      <c r="E2063" s="1196">
        <v>4567053813</v>
      </c>
      <c r="F2063" s="565" t="s">
        <v>10982</v>
      </c>
      <c r="G2063" s="1196" t="s">
        <v>8051</v>
      </c>
      <c r="H2063" s="1196" t="s">
        <v>6102</v>
      </c>
      <c r="I2063" s="1197">
        <v>78</v>
      </c>
      <c r="J2063" s="1196">
        <v>0</v>
      </c>
      <c r="K2063" s="1196">
        <v>6</v>
      </c>
      <c r="L2063" s="1198">
        <f t="shared" si="848"/>
        <v>13</v>
      </c>
      <c r="M2063" s="1199">
        <v>46281</v>
      </c>
      <c r="N2063" s="1199">
        <v>46277</v>
      </c>
      <c r="O2063" s="1200"/>
      <c r="P2063" s="1196"/>
      <c r="Q2063" s="1181"/>
      <c r="R2063" s="1181">
        <v>46246</v>
      </c>
      <c r="S2063" s="1181" t="s">
        <v>70</v>
      </c>
      <c r="T2063" s="1181" t="s">
        <v>9311</v>
      </c>
      <c r="U2063" s="1181"/>
      <c r="V2063" s="1179" t="s">
        <v>10001</v>
      </c>
      <c r="W2063" s="1183" t="s">
        <v>10978</v>
      </c>
      <c r="X2063" s="1183" t="s">
        <v>10979</v>
      </c>
      <c r="Y2063" s="1201" t="s">
        <v>10980</v>
      </c>
      <c r="Z2063" s="1183">
        <v>0.6197</v>
      </c>
      <c r="AA2063" s="1201">
        <f t="shared" si="854"/>
        <v>48.3366</v>
      </c>
      <c r="AC2063" s="1202"/>
      <c r="AD2063" s="1173" t="s">
        <v>8051</v>
      </c>
      <c r="AE2063" s="1196" t="s">
        <v>82</v>
      </c>
      <c r="AF2063" s="1196"/>
      <c r="AG2063" s="1196"/>
      <c r="AH2063" s="1183"/>
      <c r="AI2063" s="1183"/>
      <c r="AJ2063" s="1173">
        <f t="shared" si="856"/>
        <v>-78</v>
      </c>
      <c r="AK2063" s="1200"/>
      <c r="AL2063" s="1196"/>
      <c r="AM2063" s="1196"/>
      <c r="AN2063" s="1196">
        <f t="shared" si="855"/>
        <v>78</v>
      </c>
      <c r="AP2063" s="1203">
        <f t="shared" si="857"/>
        <v>78</v>
      </c>
      <c r="AR2063" s="1204"/>
      <c r="AS2063" s="565"/>
      <c r="AT2063" s="565"/>
      <c r="AU2063" s="1174">
        <f t="shared" si="858"/>
        <v>78</v>
      </c>
      <c r="AX2063" s="1205"/>
      <c r="AY2063" s="565"/>
      <c r="AZ2063" s="565"/>
      <c r="BA2063" s="565"/>
      <c r="BB2063" s="1191">
        <f t="shared" si="859"/>
        <v>3.25</v>
      </c>
      <c r="BT2063" s="1174">
        <f t="shared" si="860"/>
        <v>13</v>
      </c>
      <c r="CP2063" s="1204"/>
      <c r="CQ2063" s="1204"/>
      <c r="CR2063" s="565"/>
      <c r="CS2063" s="565"/>
      <c r="CT2063" s="565"/>
      <c r="CU2063" s="1174">
        <f t="shared" si="861"/>
        <v>0</v>
      </c>
      <c r="CV2063" s="1174">
        <f t="shared" si="862"/>
        <v>0</v>
      </c>
      <c r="CW2063" s="1174">
        <f t="shared" si="863"/>
        <v>0</v>
      </c>
      <c r="CX2063" s="1204"/>
      <c r="CY2063" s="1204"/>
      <c r="CZ2063" s="1204"/>
      <c r="DA2063" s="1204"/>
      <c r="DB2063" s="1204"/>
      <c r="DC2063" s="1204"/>
      <c r="DD2063" s="1204"/>
      <c r="DE2063" s="1204"/>
      <c r="DF2063" s="1204"/>
      <c r="DG2063" s="1204"/>
      <c r="DH2063" s="1204"/>
    </row>
    <row r="2064" s="565" customFormat="1" ht="31" customHeight="1" spans="1:113">
      <c r="A2064" s="1195">
        <v>46246</v>
      </c>
      <c r="B2064" s="1183" t="s">
        <v>10555</v>
      </c>
      <c r="C2064" s="1196" t="s">
        <v>98</v>
      </c>
      <c r="D2064" s="565">
        <v>4500219679</v>
      </c>
      <c r="E2064" s="1196">
        <v>4567053821</v>
      </c>
      <c r="F2064" s="565" t="s">
        <v>10983</v>
      </c>
      <c r="G2064" s="1196" t="s">
        <v>8051</v>
      </c>
      <c r="H2064" s="1196" t="s">
        <v>6102</v>
      </c>
      <c r="I2064" s="1197">
        <v>708</v>
      </c>
      <c r="J2064" s="1196">
        <v>0</v>
      </c>
      <c r="K2064" s="1196">
        <v>6</v>
      </c>
      <c r="L2064" s="1198">
        <f t="shared" si="848"/>
        <v>118</v>
      </c>
      <c r="M2064" s="1199">
        <v>46281</v>
      </c>
      <c r="N2064" s="1199">
        <v>46277</v>
      </c>
      <c r="O2064" s="1200"/>
      <c r="P2064" s="1196"/>
      <c r="Q2064" s="1181"/>
      <c r="R2064" s="1181">
        <v>46246</v>
      </c>
      <c r="S2064" s="1181" t="s">
        <v>70</v>
      </c>
      <c r="T2064" s="1181" t="s">
        <v>9311</v>
      </c>
      <c r="U2064" s="1181"/>
      <c r="V2064" s="1179" t="s">
        <v>10001</v>
      </c>
      <c r="W2064" s="1183" t="s">
        <v>10978</v>
      </c>
      <c r="X2064" s="1183" t="s">
        <v>10979</v>
      </c>
      <c r="Y2064" s="1201" t="s">
        <v>10980</v>
      </c>
      <c r="Z2064" s="1183">
        <v>0.6197</v>
      </c>
      <c r="AA2064" s="1201">
        <f t="shared" si="854"/>
        <v>438.7476</v>
      </c>
      <c r="AC2064" s="1202"/>
      <c r="AD2064" s="1173" t="s">
        <v>8051</v>
      </c>
      <c r="AE2064" s="1196" t="s">
        <v>82</v>
      </c>
      <c r="AF2064" s="1196"/>
      <c r="AG2064" s="1196"/>
      <c r="AH2064" s="1183"/>
      <c r="AI2064" s="1183"/>
      <c r="AJ2064" s="1173">
        <f t="shared" si="856"/>
        <v>-708</v>
      </c>
      <c r="AK2064" s="1200"/>
      <c r="AL2064" s="1196"/>
      <c r="AM2064" s="1196"/>
      <c r="AN2064" s="1196">
        <f t="shared" si="855"/>
        <v>708</v>
      </c>
      <c r="AP2064" s="1203">
        <f t="shared" si="857"/>
        <v>708</v>
      </c>
      <c r="AR2064" s="1204"/>
      <c r="AS2064" s="565"/>
      <c r="AT2064" s="565"/>
      <c r="AU2064" s="1174">
        <f t="shared" si="858"/>
        <v>708</v>
      </c>
      <c r="AX2064" s="1205"/>
      <c r="AY2064" s="565"/>
      <c r="AZ2064" s="565"/>
      <c r="BA2064" s="565"/>
      <c r="BB2064" s="1191">
        <f t="shared" si="859"/>
        <v>29.5</v>
      </c>
      <c r="BT2064" s="1174">
        <f t="shared" si="860"/>
        <v>118</v>
      </c>
      <c r="CP2064" s="1204"/>
      <c r="CQ2064" s="1204"/>
      <c r="CR2064" s="565"/>
      <c r="CS2064" s="565"/>
      <c r="CT2064" s="565"/>
      <c r="CU2064" s="1174">
        <f t="shared" si="861"/>
        <v>0</v>
      </c>
      <c r="CV2064" s="1174">
        <f t="shared" si="862"/>
        <v>0</v>
      </c>
      <c r="CW2064" s="1174">
        <f t="shared" si="863"/>
        <v>0</v>
      </c>
      <c r="CX2064" s="1204"/>
      <c r="CY2064" s="1204"/>
      <c r="CZ2064" s="1204"/>
      <c r="DA2064" s="1204"/>
      <c r="DB2064" s="1204"/>
      <c r="DC2064" s="1204"/>
      <c r="DD2064" s="1204"/>
      <c r="DE2064" s="1204"/>
      <c r="DF2064" s="1204"/>
      <c r="DG2064" s="1204"/>
      <c r="DH2064" s="1204"/>
    </row>
    <row r="2065" s="565" customFormat="1" ht="31" customHeight="1" spans="1:112">
      <c r="A2065" s="1195">
        <v>46246</v>
      </c>
      <c r="B2065" s="1183" t="s">
        <v>10555</v>
      </c>
      <c r="C2065" s="1196" t="s">
        <v>98</v>
      </c>
      <c r="D2065" s="565">
        <v>4500219679</v>
      </c>
      <c r="E2065" s="1196">
        <v>4567053747</v>
      </c>
      <c r="F2065" s="565" t="s">
        <v>10984</v>
      </c>
      <c r="G2065" s="1196" t="s">
        <v>8051</v>
      </c>
      <c r="H2065" s="1196" t="s">
        <v>6102</v>
      </c>
      <c r="I2065" s="1197">
        <v>96</v>
      </c>
      <c r="J2065" s="1196">
        <v>0</v>
      </c>
      <c r="K2065" s="1196">
        <v>6</v>
      </c>
      <c r="L2065" s="1198">
        <f t="shared" si="848"/>
        <v>16</v>
      </c>
      <c r="M2065" s="1199">
        <v>46281</v>
      </c>
      <c r="N2065" s="1199">
        <v>46277</v>
      </c>
      <c r="O2065" s="1200"/>
      <c r="P2065" s="1196"/>
      <c r="Q2065" s="1181"/>
      <c r="R2065" s="1181">
        <v>46246</v>
      </c>
      <c r="S2065" s="1181" t="s">
        <v>70</v>
      </c>
      <c r="T2065" s="1181" t="s">
        <v>9311</v>
      </c>
      <c r="U2065" s="1181"/>
      <c r="V2065" s="1179" t="s">
        <v>10001</v>
      </c>
      <c r="W2065" s="1183" t="s">
        <v>10978</v>
      </c>
      <c r="X2065" s="1183" t="s">
        <v>10979</v>
      </c>
      <c r="Y2065" s="1201" t="s">
        <v>10980</v>
      </c>
      <c r="Z2065" s="1183">
        <v>0.6197</v>
      </c>
      <c r="AA2065" s="1201">
        <f t="shared" si="854"/>
        <v>59.4912</v>
      </c>
      <c r="AC2065" s="1202"/>
      <c r="AD2065" s="1173" t="s">
        <v>8051</v>
      </c>
      <c r="AE2065" s="1196" t="s">
        <v>82</v>
      </c>
      <c r="AF2065" s="1196"/>
      <c r="AG2065" s="1196"/>
      <c r="AH2065" s="1183"/>
      <c r="AI2065" s="1183"/>
      <c r="AJ2065" s="1173">
        <f t="shared" si="856"/>
        <v>-96</v>
      </c>
      <c r="AK2065" s="1200"/>
      <c r="AL2065" s="1196"/>
      <c r="AM2065" s="1196"/>
      <c r="AN2065" s="1196">
        <f t="shared" si="855"/>
        <v>96</v>
      </c>
      <c r="AP2065" s="1203">
        <f t="shared" si="857"/>
        <v>96</v>
      </c>
      <c r="AR2065" s="1204"/>
      <c r="AS2065" s="565"/>
      <c r="AT2065" s="565"/>
      <c r="AU2065" s="1174">
        <f t="shared" si="858"/>
        <v>96</v>
      </c>
      <c r="AX2065" s="1205"/>
      <c r="AY2065" s="565"/>
      <c r="AZ2065" s="565"/>
      <c r="BA2065" s="565"/>
      <c r="BB2065" s="1191">
        <f t="shared" si="859"/>
        <v>4</v>
      </c>
      <c r="BT2065" s="1174">
        <f t="shared" si="860"/>
        <v>16</v>
      </c>
      <c r="CP2065" s="1204"/>
      <c r="CQ2065" s="1204"/>
      <c r="CR2065" s="565"/>
      <c r="CS2065" s="565"/>
      <c r="CT2065" s="565"/>
      <c r="CU2065" s="1174">
        <f t="shared" si="861"/>
        <v>0</v>
      </c>
      <c r="CV2065" s="1174">
        <f t="shared" si="862"/>
        <v>0</v>
      </c>
      <c r="CW2065" s="1174">
        <f t="shared" si="863"/>
        <v>0</v>
      </c>
      <c r="CX2065" s="1204"/>
      <c r="CY2065" s="1204"/>
      <c r="CZ2065" s="1204"/>
      <c r="DA2065" s="1204"/>
      <c r="DB2065" s="1204"/>
      <c r="DC2065" s="1204"/>
      <c r="DD2065" s="1204"/>
      <c r="DE2065" s="1204"/>
      <c r="DF2065" s="1204"/>
      <c r="DG2065" s="1204"/>
      <c r="DH2065" s="1204"/>
    </row>
    <row r="2066" s="565" customFormat="1" ht="31" customHeight="1" spans="1:112">
      <c r="A2066" s="1195">
        <v>46246</v>
      </c>
      <c r="B2066" s="1183" t="s">
        <v>10555</v>
      </c>
      <c r="C2066" s="1196" t="s">
        <v>98</v>
      </c>
      <c r="D2066" s="565">
        <v>4500219679</v>
      </c>
      <c r="E2066" s="1196">
        <v>4567053825</v>
      </c>
      <c r="F2066" s="565" t="s">
        <v>10985</v>
      </c>
      <c r="G2066" s="1196" t="s">
        <v>8051</v>
      </c>
      <c r="H2066" s="1196" t="s">
        <v>6102</v>
      </c>
      <c r="I2066" s="1197">
        <v>672</v>
      </c>
      <c r="J2066" s="1196">
        <v>0</v>
      </c>
      <c r="K2066" s="1196">
        <v>6</v>
      </c>
      <c r="L2066" s="1198">
        <f t="shared" si="848"/>
        <v>112</v>
      </c>
      <c r="M2066" s="1199">
        <v>46281</v>
      </c>
      <c r="N2066" s="1199">
        <v>46277</v>
      </c>
      <c r="O2066" s="1200"/>
      <c r="P2066" s="1196"/>
      <c r="Q2066" s="1181"/>
      <c r="R2066" s="1181">
        <v>46246</v>
      </c>
      <c r="S2066" s="1181" t="s">
        <v>70</v>
      </c>
      <c r="T2066" s="1181" t="s">
        <v>9311</v>
      </c>
      <c r="U2066" s="1181"/>
      <c r="V2066" s="1179" t="s">
        <v>10001</v>
      </c>
      <c r="W2066" s="1183" t="s">
        <v>10978</v>
      </c>
      <c r="X2066" s="1183" t="s">
        <v>10979</v>
      </c>
      <c r="Y2066" s="1201" t="s">
        <v>10980</v>
      </c>
      <c r="Z2066" s="1183">
        <v>0.6197</v>
      </c>
      <c r="AA2066" s="1201">
        <f t="shared" si="854"/>
        <v>416.4384</v>
      </c>
      <c r="AC2066" s="1202"/>
      <c r="AD2066" s="1173" t="s">
        <v>8051</v>
      </c>
      <c r="AE2066" s="1196" t="s">
        <v>82</v>
      </c>
      <c r="AF2066" s="1196"/>
      <c r="AG2066" s="1196"/>
      <c r="AH2066" s="1183"/>
      <c r="AI2066" s="1183"/>
      <c r="AJ2066" s="1173">
        <f t="shared" si="856"/>
        <v>-672</v>
      </c>
      <c r="AK2066" s="1200"/>
      <c r="AL2066" s="1196"/>
      <c r="AM2066" s="1196"/>
      <c r="AN2066" s="1196">
        <f t="shared" si="855"/>
        <v>672</v>
      </c>
      <c r="AP2066" s="1203">
        <f t="shared" si="857"/>
        <v>672</v>
      </c>
      <c r="AR2066" s="1204"/>
      <c r="AS2066" s="565"/>
      <c r="AT2066" s="565"/>
      <c r="AU2066" s="1174">
        <f t="shared" si="858"/>
        <v>672</v>
      </c>
      <c r="AX2066" s="1205"/>
      <c r="AY2066" s="565"/>
      <c r="AZ2066" s="565"/>
      <c r="BA2066" s="565"/>
      <c r="BB2066" s="1191">
        <f t="shared" si="859"/>
        <v>28</v>
      </c>
      <c r="BT2066" s="1174">
        <f t="shared" si="860"/>
        <v>112</v>
      </c>
      <c r="CP2066" s="1204"/>
      <c r="CQ2066" s="1204"/>
      <c r="CR2066" s="565"/>
      <c r="CS2066" s="565"/>
      <c r="CT2066" s="565"/>
      <c r="CU2066" s="1174">
        <f t="shared" si="861"/>
        <v>0</v>
      </c>
      <c r="CV2066" s="1174">
        <f t="shared" si="862"/>
        <v>0</v>
      </c>
      <c r="CW2066" s="1174">
        <f t="shared" si="863"/>
        <v>0</v>
      </c>
      <c r="CX2066" s="1204"/>
      <c r="CY2066" s="1204"/>
      <c r="CZ2066" s="1204"/>
      <c r="DA2066" s="1204"/>
      <c r="DB2066" s="1204"/>
      <c r="DC2066" s="1204"/>
      <c r="DD2066" s="1204"/>
      <c r="DE2066" s="1204"/>
      <c r="DF2066" s="1204"/>
      <c r="DG2066" s="1204"/>
      <c r="DH2066" s="1204"/>
    </row>
    <row r="2067" s="565" customFormat="1" ht="31" customHeight="1" spans="1:112">
      <c r="A2067" s="1195">
        <v>46246</v>
      </c>
      <c r="B2067" s="1183" t="s">
        <v>10555</v>
      </c>
      <c r="C2067" s="1196" t="s">
        <v>98</v>
      </c>
      <c r="D2067" s="565">
        <v>4500219679</v>
      </c>
      <c r="E2067" s="1196">
        <v>4567053827</v>
      </c>
      <c r="F2067" s="565" t="s">
        <v>10986</v>
      </c>
      <c r="G2067" s="1196" t="s">
        <v>8051</v>
      </c>
      <c r="H2067" s="1196" t="s">
        <v>6102</v>
      </c>
      <c r="I2067" s="1197">
        <v>132</v>
      </c>
      <c r="J2067" s="1196">
        <v>0</v>
      </c>
      <c r="K2067" s="1196">
        <v>6</v>
      </c>
      <c r="L2067" s="1198">
        <f t="shared" si="848"/>
        <v>22</v>
      </c>
      <c r="M2067" s="1199">
        <v>46281</v>
      </c>
      <c r="N2067" s="1199">
        <v>46277</v>
      </c>
      <c r="O2067" s="1200"/>
      <c r="P2067" s="1196"/>
      <c r="Q2067" s="1181"/>
      <c r="R2067" s="1181">
        <v>46246</v>
      </c>
      <c r="S2067" s="1181" t="s">
        <v>70</v>
      </c>
      <c r="T2067" s="1181" t="s">
        <v>9311</v>
      </c>
      <c r="U2067" s="1181"/>
      <c r="V2067" s="1179" t="s">
        <v>10001</v>
      </c>
      <c r="W2067" s="1183" t="s">
        <v>10978</v>
      </c>
      <c r="X2067" s="1183" t="s">
        <v>10979</v>
      </c>
      <c r="Y2067" s="1201" t="s">
        <v>10980</v>
      </c>
      <c r="Z2067" s="1183">
        <v>0.6197</v>
      </c>
      <c r="AA2067" s="1201">
        <f t="shared" si="854"/>
        <v>81.8004</v>
      </c>
      <c r="AC2067" s="1202"/>
      <c r="AD2067" s="1173" t="s">
        <v>8051</v>
      </c>
      <c r="AE2067" s="1196" t="s">
        <v>82</v>
      </c>
      <c r="AF2067" s="1196"/>
      <c r="AG2067" s="1196"/>
      <c r="AH2067" s="1183"/>
      <c r="AI2067" s="1183"/>
      <c r="AJ2067" s="1173">
        <f t="shared" si="856"/>
        <v>-132</v>
      </c>
      <c r="AK2067" s="1200"/>
      <c r="AL2067" s="1196"/>
      <c r="AM2067" s="1196"/>
      <c r="AN2067" s="1196">
        <f t="shared" si="855"/>
        <v>132</v>
      </c>
      <c r="AP2067" s="1203">
        <f t="shared" si="857"/>
        <v>132</v>
      </c>
      <c r="AR2067" s="1204"/>
      <c r="AS2067" s="565"/>
      <c r="AT2067" s="565"/>
      <c r="AU2067" s="1174">
        <f t="shared" si="858"/>
        <v>132</v>
      </c>
      <c r="AX2067" s="1205"/>
      <c r="AY2067" s="565"/>
      <c r="AZ2067" s="565"/>
      <c r="BA2067" s="565"/>
      <c r="BB2067" s="1191">
        <f t="shared" si="859"/>
        <v>5.5</v>
      </c>
      <c r="BT2067" s="1174">
        <f t="shared" si="860"/>
        <v>22</v>
      </c>
      <c r="CP2067" s="1204"/>
      <c r="CQ2067" s="1204"/>
      <c r="CR2067" s="565"/>
      <c r="CS2067" s="565"/>
      <c r="CT2067" s="565"/>
      <c r="CU2067" s="1174">
        <f t="shared" si="861"/>
        <v>0</v>
      </c>
      <c r="CV2067" s="1174">
        <f t="shared" si="862"/>
        <v>0</v>
      </c>
      <c r="CW2067" s="1174">
        <f t="shared" si="863"/>
        <v>0</v>
      </c>
      <c r="CX2067" s="1204"/>
      <c r="CY2067" s="1204"/>
      <c r="CZ2067" s="1204"/>
      <c r="DA2067" s="1204"/>
      <c r="DB2067" s="1204"/>
      <c r="DC2067" s="1204"/>
      <c r="DD2067" s="1204"/>
      <c r="DE2067" s="1204"/>
      <c r="DF2067" s="1204"/>
      <c r="DG2067" s="1204"/>
      <c r="DH2067" s="1204"/>
    </row>
    <row r="2068" s="561" customFormat="1" ht="31" customHeight="1" spans="1:112">
      <c r="A2068" s="1117">
        <v>46227</v>
      </c>
      <c r="B2068" s="1056" t="s">
        <v>1800</v>
      </c>
      <c r="C2068" s="1118" t="s">
        <v>744</v>
      </c>
      <c r="D2068" s="1119">
        <v>4500216641</v>
      </c>
      <c r="E2068" s="1122">
        <v>5000002327</v>
      </c>
      <c r="F2068" s="561" t="s">
        <v>10987</v>
      </c>
      <c r="G2068" s="1118" t="s">
        <v>6093</v>
      </c>
      <c r="H2068" s="992" t="s">
        <v>6094</v>
      </c>
      <c r="I2068" s="1120">
        <v>13000</v>
      </c>
      <c r="J2068" s="1118">
        <v>0</v>
      </c>
      <c r="K2068" s="1118">
        <v>13</v>
      </c>
      <c r="L2068" s="1161">
        <f t="shared" si="848"/>
        <v>1000</v>
      </c>
      <c r="M2068" s="1121">
        <v>46282</v>
      </c>
      <c r="N2068" s="1121">
        <v>46279</v>
      </c>
      <c r="O2068" s="1122"/>
      <c r="P2068" s="1118"/>
      <c r="Q2068" s="1123"/>
      <c r="R2068" s="584" t="s">
        <v>5675</v>
      </c>
      <c r="S2068" s="584" t="s">
        <v>104</v>
      </c>
      <c r="T2068" s="1050" t="s">
        <v>8723</v>
      </c>
      <c r="U2068" s="1123"/>
      <c r="V2068" s="1123"/>
      <c r="W2068" s="1056"/>
      <c r="X2068" s="1056" t="s">
        <v>10988</v>
      </c>
      <c r="Y2068" s="1124" t="s">
        <v>1805</v>
      </c>
      <c r="Z2068" s="1056">
        <v>0.8998</v>
      </c>
      <c r="AA2068" s="1106">
        <f t="shared" ref="AA2068:AA2076" si="864">Z2068*I2068</f>
        <v>11697.4</v>
      </c>
      <c r="AB2068" s="1056"/>
      <c r="AC2068" s="1002"/>
      <c r="AD2068" s="992" t="s">
        <v>8338</v>
      </c>
      <c r="AE2068" s="992" t="s">
        <v>82</v>
      </c>
      <c r="AF2068" s="1118"/>
      <c r="AG2068" s="1118"/>
      <c r="AH2068" s="1056"/>
      <c r="AI2068" s="601"/>
      <c r="AJ2068" s="992">
        <f t="shared" ref="AJ2068:AJ2074" si="865">AI2068-I2068</f>
        <v>-13000</v>
      </c>
      <c r="AK2068" s="1122"/>
      <c r="AL2068" s="1118"/>
      <c r="AM2068" s="1118"/>
      <c r="AN2068" s="1118"/>
      <c r="AO2068" s="586">
        <f>I2068</f>
        <v>13000</v>
      </c>
      <c r="AR2068" s="1125"/>
      <c r="AS2068" s="561"/>
      <c r="AT2068" s="561"/>
      <c r="AU2068" s="561"/>
      <c r="AV2068" s="561"/>
      <c r="AW2068" s="1003">
        <f>I2068</f>
        <v>13000</v>
      </c>
      <c r="AX2068" s="586">
        <f>I2068</f>
        <v>13000</v>
      </c>
      <c r="BA2068" s="1049">
        <f>I2068/24</f>
        <v>541.666666666667</v>
      </c>
      <c r="BB2068" s="1206"/>
      <c r="BC2068" s="561"/>
      <c r="BD2068" s="561"/>
      <c r="BE2068" s="561"/>
      <c r="BF2068" s="561"/>
      <c r="BM2068" s="586">
        <f>I2068/13</f>
        <v>1000</v>
      </c>
      <c r="CA2068" s="1125"/>
      <c r="CP2068" s="1125"/>
      <c r="CQ2068" s="1125"/>
      <c r="CR2068" s="561"/>
      <c r="CS2068" s="561"/>
      <c r="CT2068" s="561"/>
      <c r="CU2068" s="560">
        <f t="shared" ref="CU2068:CU2074" si="866">BQ2068+BP2068+BO2068+BN2068+BX2068+BR2068</f>
        <v>0</v>
      </c>
      <c r="CV2068" s="560">
        <v>0</v>
      </c>
      <c r="CW2068" s="560">
        <v>0</v>
      </c>
      <c r="CX2068" s="1125"/>
      <c r="CY2068" s="1125"/>
      <c r="CZ2068" s="1125"/>
      <c r="DA2068" s="1125"/>
      <c r="DB2068" s="1125"/>
      <c r="DC2068" s="1125"/>
      <c r="DD2068" s="1125"/>
      <c r="DE2068" s="1125"/>
      <c r="DF2068" s="1125"/>
      <c r="DG2068" s="1125"/>
      <c r="DH2068" s="1125"/>
    </row>
    <row r="2069" s="561" customFormat="1" ht="31" customHeight="1" spans="1:112">
      <c r="A2069" s="1117">
        <v>46232</v>
      </c>
      <c r="B2069" s="1056" t="s">
        <v>325</v>
      </c>
      <c r="C2069" s="1118" t="s">
        <v>98</v>
      </c>
      <c r="D2069" s="561">
        <v>4500218118</v>
      </c>
      <c r="E2069" s="1118" t="s">
        <v>10989</v>
      </c>
      <c r="F2069" s="561" t="s">
        <v>10990</v>
      </c>
      <c r="G2069" s="1118" t="s">
        <v>6084</v>
      </c>
      <c r="H2069" s="1118" t="s">
        <v>6069</v>
      </c>
      <c r="I2069" s="1120">
        <v>65950</v>
      </c>
      <c r="J2069" s="1118">
        <v>0</v>
      </c>
      <c r="K2069" s="1118">
        <v>25</v>
      </c>
      <c r="L2069" s="997">
        <f t="shared" si="848"/>
        <v>2638</v>
      </c>
      <c r="M2069" s="1121">
        <v>46282</v>
      </c>
      <c r="N2069" s="1121">
        <v>46279</v>
      </c>
      <c r="O2069" s="1122"/>
      <c r="P2069" s="1118"/>
      <c r="Q2069" s="1123"/>
      <c r="R2069" s="584">
        <v>46248</v>
      </c>
      <c r="S2069" s="584" t="s">
        <v>104</v>
      </c>
      <c r="T2069" s="584" t="s">
        <v>10991</v>
      </c>
      <c r="U2069" s="1123"/>
      <c r="V2069" s="1164"/>
      <c r="W2069" s="1056"/>
      <c r="X2069" s="1056" t="s">
        <v>10992</v>
      </c>
      <c r="Y2069" s="1124" t="s">
        <v>252</v>
      </c>
      <c r="Z2069" s="1056">
        <v>0.5798</v>
      </c>
      <c r="AA2069" s="1124">
        <f t="shared" si="864"/>
        <v>38237.81</v>
      </c>
      <c r="AC2069" s="1002"/>
      <c r="AD2069" s="992" t="s">
        <v>6084</v>
      </c>
      <c r="AE2069" s="1118" t="s">
        <v>82</v>
      </c>
      <c r="AF2069" s="1118"/>
      <c r="AG2069" s="1118"/>
      <c r="AH2069" s="1056"/>
      <c r="AI2069" s="1056"/>
      <c r="AJ2069" s="992">
        <f t="shared" si="865"/>
        <v>-65950</v>
      </c>
      <c r="AK2069" s="1122"/>
      <c r="AL2069" s="1118"/>
      <c r="AM2069" s="1118"/>
      <c r="AN2069" s="1118">
        <f>I2069</f>
        <v>65950</v>
      </c>
      <c r="AP2069" s="586">
        <f>I2069</f>
        <v>65950</v>
      </c>
      <c r="AR2069" s="1125"/>
      <c r="AS2069" s="561"/>
      <c r="AT2069" s="561"/>
      <c r="AU2069" s="586">
        <f>I2069</f>
        <v>65950</v>
      </c>
      <c r="AX2069" s="1126"/>
      <c r="AY2069" s="561"/>
      <c r="AZ2069" s="561"/>
      <c r="BA2069" s="561"/>
      <c r="BB2069" s="1078">
        <f>I2069/48</f>
        <v>1373.95833333333</v>
      </c>
      <c r="BN2069" s="586">
        <f>I2069/25</f>
        <v>2638</v>
      </c>
      <c r="CP2069" s="1125"/>
      <c r="CQ2069" s="1125"/>
      <c r="CR2069" s="561"/>
      <c r="CS2069" s="561"/>
      <c r="CT2069" s="561"/>
      <c r="CU2069" s="1087">
        <f t="shared" si="866"/>
        <v>2638</v>
      </c>
      <c r="CV2069" s="1087">
        <f>CK2069+CL2069+CM2069+CN2069+CO2069+CQ2069+CP2069</f>
        <v>0</v>
      </c>
      <c r="CW2069" s="1087">
        <f>CI2069+CJ2069</f>
        <v>0</v>
      </c>
      <c r="CX2069" s="1125"/>
      <c r="CY2069" s="1125"/>
      <c r="CZ2069" s="1125"/>
      <c r="DA2069" s="1125"/>
      <c r="DB2069" s="1125"/>
      <c r="DC2069" s="1125"/>
      <c r="DD2069" s="1125"/>
      <c r="DE2069" s="1125"/>
      <c r="DF2069" s="1125"/>
      <c r="DG2069" s="1125"/>
      <c r="DH2069" s="1125"/>
    </row>
    <row r="2070" s="560" customFormat="1" ht="31" customHeight="1" spans="1:112">
      <c r="A2070" s="1034">
        <v>46232</v>
      </c>
      <c r="B2070" s="603" t="s">
        <v>325</v>
      </c>
      <c r="C2070" s="1035" t="s">
        <v>98</v>
      </c>
      <c r="D2070" s="560">
        <v>4500218109</v>
      </c>
      <c r="E2070" s="1035" t="s">
        <v>5828</v>
      </c>
      <c r="F2070" s="560" t="s">
        <v>10993</v>
      </c>
      <c r="G2070" s="1035" t="s">
        <v>6084</v>
      </c>
      <c r="H2070" s="1035" t="s">
        <v>6069</v>
      </c>
      <c r="I2070" s="1036">
        <v>18075</v>
      </c>
      <c r="J2070" s="1035">
        <v>0</v>
      </c>
      <c r="K2070" s="1035">
        <v>25</v>
      </c>
      <c r="L2070" s="1025">
        <f t="shared" si="848"/>
        <v>723</v>
      </c>
      <c r="M2070" s="1037">
        <v>46282</v>
      </c>
      <c r="N2070" s="1037">
        <v>46279</v>
      </c>
      <c r="O2070" s="1043"/>
      <c r="P2070" s="1035"/>
      <c r="Q2070" s="1039"/>
      <c r="R2070" s="1039">
        <v>46248</v>
      </c>
      <c r="S2070" s="1039" t="s">
        <v>104</v>
      </c>
      <c r="T2070" s="1039" t="s">
        <v>10991</v>
      </c>
      <c r="U2070" s="1039"/>
      <c r="V2070" s="243"/>
      <c r="W2070" s="603"/>
      <c r="X2070" s="603" t="s">
        <v>10994</v>
      </c>
      <c r="Y2070" s="1042" t="s">
        <v>252</v>
      </c>
      <c r="Z2070" s="603">
        <v>0.589</v>
      </c>
      <c r="AA2070" s="1042">
        <f t="shared" si="864"/>
        <v>10646.175</v>
      </c>
      <c r="AC2070" s="1030"/>
      <c r="AD2070" s="1035" t="s">
        <v>6084</v>
      </c>
      <c r="AE2070" s="1035" t="s">
        <v>82</v>
      </c>
      <c r="AF2070" s="1035"/>
      <c r="AG2070" s="1035"/>
      <c r="AH2070" s="603"/>
      <c r="AI2070" s="603"/>
      <c r="AJ2070" s="1035">
        <f t="shared" si="865"/>
        <v>-18075</v>
      </c>
      <c r="AK2070" s="1043"/>
      <c r="AL2070" s="1035"/>
      <c r="AM2070" s="1035"/>
      <c r="AN2070" s="1035">
        <f>I2070</f>
        <v>18075</v>
      </c>
      <c r="AP2070" s="560">
        <f>I2070</f>
        <v>18075</v>
      </c>
      <c r="AR2070" s="1044"/>
      <c r="AS2070" s="560"/>
      <c r="AT2070" s="560"/>
      <c r="AU2070" s="560">
        <f>I2070</f>
        <v>18075</v>
      </c>
      <c r="AX2070" s="1045"/>
      <c r="AY2070" s="560"/>
      <c r="AZ2070" s="560"/>
      <c r="BA2070" s="560"/>
      <c r="BB2070" s="1116">
        <f>I2070/48</f>
        <v>376.5625</v>
      </c>
      <c r="BN2070" s="238">
        <f>I2070/25</f>
        <v>723</v>
      </c>
      <c r="CP2070" s="1044"/>
      <c r="CQ2070" s="1044"/>
      <c r="CR2070" s="560"/>
      <c r="CS2070" s="560"/>
      <c r="CT2070" s="560"/>
      <c r="CU2070" s="560">
        <f t="shared" si="866"/>
        <v>723</v>
      </c>
      <c r="CV2070" s="560">
        <f>CK2070+CL2070+CM2070+CN2070+CO2070+CQ2070+CP2070</f>
        <v>0</v>
      </c>
      <c r="CW2070" s="560">
        <f>CI2070+CJ2070</f>
        <v>0</v>
      </c>
      <c r="CX2070" s="1044"/>
      <c r="CY2070" s="1044"/>
      <c r="CZ2070" s="1044"/>
      <c r="DA2070" s="1044"/>
      <c r="DB2070" s="1044"/>
      <c r="DC2070" s="1044"/>
      <c r="DD2070" s="1044"/>
      <c r="DE2070" s="1044"/>
      <c r="DF2070" s="1044"/>
      <c r="DG2070" s="1044"/>
      <c r="DH2070" s="1044"/>
    </row>
    <row r="2071" s="566" customFormat="1" ht="31" customHeight="1" spans="1:112">
      <c r="A2071" s="1207">
        <v>46227</v>
      </c>
      <c r="B2071" s="1059" t="s">
        <v>1800</v>
      </c>
      <c r="C2071" s="1208" t="s">
        <v>744</v>
      </c>
      <c r="D2071" s="1209">
        <v>4500216641</v>
      </c>
      <c r="E2071" s="1210">
        <v>5000002327</v>
      </c>
      <c r="F2071" s="566" t="s">
        <v>10995</v>
      </c>
      <c r="G2071" s="1208" t="s">
        <v>6093</v>
      </c>
      <c r="H2071" s="1129" t="s">
        <v>6094</v>
      </c>
      <c r="I2071" s="1211">
        <v>19994</v>
      </c>
      <c r="J2071" s="1208">
        <v>0</v>
      </c>
      <c r="K2071" s="1208">
        <v>13</v>
      </c>
      <c r="L2071" s="1133">
        <f t="shared" si="848"/>
        <v>1538</v>
      </c>
      <c r="M2071" s="1212">
        <v>46282</v>
      </c>
      <c r="N2071" s="1212">
        <v>46279</v>
      </c>
      <c r="O2071" s="1210"/>
      <c r="P2071" s="1208"/>
      <c r="Q2071" s="1213"/>
      <c r="R2071" s="1029" t="s">
        <v>5675</v>
      </c>
      <c r="S2071" s="1029" t="s">
        <v>104</v>
      </c>
      <c r="T2071" s="1065" t="s">
        <v>8723</v>
      </c>
      <c r="U2071" s="1213"/>
      <c r="V2071" s="1213"/>
      <c r="W2071" s="1059"/>
      <c r="X2071" s="1059" t="s">
        <v>10988</v>
      </c>
      <c r="Y2071" s="1214" t="s">
        <v>1805</v>
      </c>
      <c r="Z2071" s="1059">
        <v>0.8998</v>
      </c>
      <c r="AA2071" s="1215">
        <f t="shared" si="864"/>
        <v>17990.6012</v>
      </c>
      <c r="AB2071" s="1059"/>
      <c r="AC2071" s="1137"/>
      <c r="AD2071" s="1129" t="s">
        <v>8338</v>
      </c>
      <c r="AE2071" s="1084" t="s">
        <v>82</v>
      </c>
      <c r="AF2071" s="1208"/>
      <c r="AG2071" s="1208"/>
      <c r="AH2071" s="1059"/>
      <c r="AI2071" s="1128"/>
      <c r="AJ2071" s="1129">
        <f t="shared" si="865"/>
        <v>-19994</v>
      </c>
      <c r="AK2071" s="1210"/>
      <c r="AL2071" s="1208"/>
      <c r="AM2071" s="1208"/>
      <c r="AN2071" s="1208"/>
      <c r="AO2071" s="562">
        <f>I2071</f>
        <v>19994</v>
      </c>
      <c r="AR2071" s="1216"/>
      <c r="AS2071" s="566"/>
      <c r="AT2071" s="566"/>
      <c r="AU2071" s="566"/>
      <c r="AV2071" s="566"/>
      <c r="AW2071" s="1138">
        <f>I2071</f>
        <v>19994</v>
      </c>
      <c r="AX2071" s="562">
        <f>I2071</f>
        <v>19994</v>
      </c>
      <c r="BA2071" s="1140">
        <f>I2071/24</f>
        <v>833.083333333333</v>
      </c>
      <c r="BB2071" s="1217"/>
      <c r="BC2071" s="566"/>
      <c r="BD2071" s="566"/>
      <c r="BE2071" s="566"/>
      <c r="BF2071" s="566"/>
      <c r="BM2071" s="562">
        <f>I2071/13</f>
        <v>1538</v>
      </c>
      <c r="CA2071" s="1216"/>
      <c r="CP2071" s="1216"/>
      <c r="CQ2071" s="1216"/>
      <c r="CR2071" s="566"/>
      <c r="CS2071" s="566"/>
      <c r="CT2071" s="566"/>
      <c r="CU2071" s="566">
        <f t="shared" si="866"/>
        <v>0</v>
      </c>
      <c r="CV2071" s="566">
        <v>0</v>
      </c>
      <c r="CW2071" s="566">
        <v>0</v>
      </c>
      <c r="CX2071" s="1216"/>
      <c r="CY2071" s="1216"/>
      <c r="CZ2071" s="1216"/>
      <c r="DA2071" s="1216"/>
      <c r="DB2071" s="1216"/>
      <c r="DC2071" s="1216"/>
      <c r="DD2071" s="1216"/>
      <c r="DE2071" s="1216"/>
      <c r="DF2071" s="1216"/>
      <c r="DG2071" s="1216"/>
      <c r="DH2071" s="1216"/>
    </row>
    <row r="2072" s="560" customFormat="1" ht="31" customHeight="1" spans="1:112">
      <c r="A2072" s="1034">
        <v>46231</v>
      </c>
      <c r="B2072" s="603" t="s">
        <v>1800</v>
      </c>
      <c r="C2072" s="1035" t="s">
        <v>744</v>
      </c>
      <c r="D2072" s="1112">
        <v>4500216641</v>
      </c>
      <c r="E2072" s="1043">
        <v>5000002327</v>
      </c>
      <c r="F2072" s="560" t="s">
        <v>10996</v>
      </c>
      <c r="G2072" s="1035" t="s">
        <v>6093</v>
      </c>
      <c r="H2072" s="1035" t="s">
        <v>6094</v>
      </c>
      <c r="I2072" s="1036">
        <v>8606</v>
      </c>
      <c r="J2072" s="1035">
        <v>0</v>
      </c>
      <c r="K2072" s="1035">
        <v>13</v>
      </c>
      <c r="L2072" s="1025">
        <f t="shared" si="848"/>
        <v>662</v>
      </c>
      <c r="M2072" s="1037">
        <v>46282</v>
      </c>
      <c r="N2072" s="1037">
        <v>46279</v>
      </c>
      <c r="O2072" s="1043"/>
      <c r="P2072" s="1035"/>
      <c r="Q2072" s="1039"/>
      <c r="R2072" s="1029" t="s">
        <v>5675</v>
      </c>
      <c r="S2072" s="1029" t="s">
        <v>104</v>
      </c>
      <c r="T2072" s="1065" t="s">
        <v>8723</v>
      </c>
      <c r="U2072" s="1039"/>
      <c r="V2072" s="1039"/>
      <c r="W2072" s="603"/>
      <c r="X2072" s="603" t="s">
        <v>10988</v>
      </c>
      <c r="Y2072" s="1042" t="s">
        <v>1805</v>
      </c>
      <c r="Z2072" s="603">
        <v>0.8998</v>
      </c>
      <c r="AA2072" s="1042">
        <f t="shared" si="864"/>
        <v>7743.6788</v>
      </c>
      <c r="AB2072" s="603"/>
      <c r="AC2072" s="1030"/>
      <c r="AD2072" s="1129" t="s">
        <v>8338</v>
      </c>
      <c r="AE2072" s="1035" t="s">
        <v>82</v>
      </c>
      <c r="AF2072" s="1035"/>
      <c r="AG2072" s="1035"/>
      <c r="AH2072" s="603"/>
      <c r="AI2072" s="626"/>
      <c r="AJ2072" s="1129">
        <f t="shared" si="865"/>
        <v>-8606</v>
      </c>
      <c r="AK2072" s="1043"/>
      <c r="AL2072" s="1035"/>
      <c r="AM2072" s="1035"/>
      <c r="AN2072" s="1035"/>
      <c r="AO2072" s="560">
        <f>I2072</f>
        <v>8606</v>
      </c>
      <c r="AR2072" s="1044"/>
      <c r="AS2072" s="560"/>
      <c r="AT2072" s="560"/>
      <c r="AU2072" s="560"/>
      <c r="AV2072" s="560"/>
      <c r="AW2072" s="1138">
        <f>I2072</f>
        <v>8606</v>
      </c>
      <c r="AX2072" s="562">
        <f>I2072</f>
        <v>8606</v>
      </c>
      <c r="BA2072" s="1140">
        <f>I2072/24</f>
        <v>358.583333333333</v>
      </c>
      <c r="BB2072" s="1116"/>
      <c r="BC2072" s="560"/>
      <c r="BD2072" s="560"/>
      <c r="BE2072" s="560"/>
      <c r="BF2072" s="560"/>
      <c r="BG2072" s="560"/>
      <c r="BH2072" s="560"/>
      <c r="BI2072" s="560"/>
      <c r="BJ2072" s="560"/>
      <c r="BK2072" s="560"/>
      <c r="BL2072" s="560"/>
      <c r="BM2072" s="1218">
        <f>I2072/13</f>
        <v>662</v>
      </c>
      <c r="CA2072" s="1044"/>
      <c r="CB2072" s="560"/>
      <c r="CC2072" s="560"/>
      <c r="CD2072" s="560"/>
      <c r="CE2072" s="560"/>
      <c r="CF2072" s="560"/>
      <c r="CG2072" s="560"/>
      <c r="CH2072" s="560"/>
      <c r="CI2072" s="560"/>
      <c r="CJ2072" s="560"/>
      <c r="CK2072" s="560"/>
      <c r="CL2072" s="560"/>
      <c r="CM2072" s="560"/>
      <c r="CN2072" s="560"/>
      <c r="CO2072" s="560"/>
      <c r="CP2072" s="1044"/>
      <c r="CQ2072" s="1044"/>
      <c r="CR2072" s="560"/>
      <c r="CS2072" s="560"/>
      <c r="CT2072" s="560"/>
      <c r="CU2072" s="562">
        <f t="shared" si="866"/>
        <v>0</v>
      </c>
      <c r="CV2072" s="562">
        <v>0</v>
      </c>
      <c r="CW2072" s="562">
        <v>0</v>
      </c>
      <c r="CX2072" s="1044"/>
      <c r="CY2072" s="1044"/>
      <c r="CZ2072" s="1044"/>
      <c r="DA2072" s="1044"/>
      <c r="DB2072" s="1044"/>
      <c r="DC2072" s="1044"/>
      <c r="DD2072" s="1044"/>
      <c r="DE2072" s="1044"/>
      <c r="DF2072" s="1044"/>
      <c r="DG2072" s="1044"/>
      <c r="DH2072" s="1044"/>
    </row>
    <row r="2073" s="560" customFormat="1" ht="31" customHeight="1" spans="1:112">
      <c r="A2073" s="1034">
        <v>46216</v>
      </c>
      <c r="B2073" s="603" t="s">
        <v>5832</v>
      </c>
      <c r="C2073" s="1035" t="s">
        <v>98</v>
      </c>
      <c r="D2073" s="1112">
        <v>4500216073</v>
      </c>
      <c r="E2073" s="1170">
        <v>70094933</v>
      </c>
      <c r="F2073" s="560" t="s">
        <v>5833</v>
      </c>
      <c r="G2073" s="1035" t="s">
        <v>8520</v>
      </c>
      <c r="H2073" s="1035" t="s">
        <v>8521</v>
      </c>
      <c r="I2073" s="1036">
        <v>1200</v>
      </c>
      <c r="J2073" s="1035">
        <v>0</v>
      </c>
      <c r="K2073" s="1035">
        <v>8</v>
      </c>
      <c r="L2073" s="1025">
        <f t="shared" si="848"/>
        <v>150</v>
      </c>
      <c r="M2073" s="1058">
        <v>46282</v>
      </c>
      <c r="N2073" s="1058">
        <v>46279</v>
      </c>
      <c r="O2073" s="1043"/>
      <c r="P2073" s="1035"/>
      <c r="Q2073" s="1039"/>
      <c r="R2073" s="999">
        <v>46225</v>
      </c>
      <c r="S2073" s="999" t="s">
        <v>70</v>
      </c>
      <c r="T2073" s="999" t="s">
        <v>5723</v>
      </c>
      <c r="U2073" s="1039"/>
      <c r="V2073" s="1039" t="s">
        <v>10997</v>
      </c>
      <c r="W2073" s="603"/>
      <c r="X2073" s="1075" t="s">
        <v>5835</v>
      </c>
      <c r="Y2073" s="1042" t="s">
        <v>5836</v>
      </c>
      <c r="Z2073" s="603">
        <v>4.3055</v>
      </c>
      <c r="AA2073" s="1042">
        <f t="shared" si="864"/>
        <v>5166.6</v>
      </c>
      <c r="AB2073" s="603"/>
      <c r="AC2073" s="1030"/>
      <c r="AD2073" s="939" t="s">
        <v>2741</v>
      </c>
      <c r="AE2073" s="1035" t="s">
        <v>82</v>
      </c>
      <c r="AF2073" s="1035"/>
      <c r="AG2073" s="1035"/>
      <c r="AH2073" s="603"/>
      <c r="AI2073" s="609"/>
      <c r="AJ2073" s="939">
        <f t="shared" si="865"/>
        <v>-1200</v>
      </c>
      <c r="AK2073" s="1043"/>
      <c r="AL2073" s="1035" t="s">
        <v>2368</v>
      </c>
      <c r="AM2073" s="1035"/>
      <c r="AN2073" s="1035">
        <f>I2073*2</f>
        <v>2400</v>
      </c>
      <c r="AP2073" s="563">
        <f>I2073*2</f>
        <v>2400</v>
      </c>
      <c r="AR2073" s="1044"/>
      <c r="AS2073" s="560"/>
      <c r="AT2073" s="560"/>
      <c r="AU2073" s="563">
        <f>I2073*2</f>
        <v>2400</v>
      </c>
      <c r="AX2073" s="1045"/>
      <c r="AY2073" s="560"/>
      <c r="AZ2073" s="560"/>
      <c r="BA2073" s="560"/>
      <c r="BB2073" s="1017">
        <f>I2073/24*2</f>
        <v>100</v>
      </c>
      <c r="CA2073" s="1066"/>
      <c r="CD2073" s="563">
        <f>I2073</f>
        <v>1200</v>
      </c>
      <c r="CP2073" s="1044"/>
      <c r="CQ2073" s="1044"/>
      <c r="CR2073" s="560"/>
      <c r="CS2073" s="560"/>
      <c r="CT2073" s="560"/>
      <c r="CU2073" s="563">
        <f t="shared" si="866"/>
        <v>0</v>
      </c>
      <c r="CV2073" s="563">
        <f>CK2073+CL2073+CM2073+CN2073+CO2073+CQ2073+CP2073</f>
        <v>0</v>
      </c>
      <c r="CW2073" s="687">
        <f>CI2073+CJ2073</f>
        <v>0</v>
      </c>
      <c r="CX2073" s="1044"/>
      <c r="CY2073" s="1044"/>
      <c r="CZ2073" s="1044"/>
      <c r="DA2073" s="1044"/>
      <c r="DB2073" s="1044"/>
      <c r="DC2073" s="1044"/>
      <c r="DD2073" s="1044"/>
      <c r="DE2073" s="1044"/>
      <c r="DF2073" s="1044"/>
      <c r="DG2073" s="1044"/>
      <c r="DH2073" s="1044"/>
    </row>
    <row r="2074" s="560" customFormat="1" ht="31" customHeight="1" spans="1:112">
      <c r="A2074" s="1034">
        <v>46240</v>
      </c>
      <c r="B2074" s="603" t="s">
        <v>10998</v>
      </c>
      <c r="C2074" s="1035" t="s">
        <v>98</v>
      </c>
      <c r="D2074" s="1112" t="s">
        <v>10999</v>
      </c>
      <c r="E2074" s="1428" t="s">
        <v>11000</v>
      </c>
      <c r="F2074" s="560" t="s">
        <v>11001</v>
      </c>
      <c r="G2074" s="1035" t="s">
        <v>8340</v>
      </c>
      <c r="H2074" s="1035" t="s">
        <v>8341</v>
      </c>
      <c r="I2074" s="1036">
        <v>2400</v>
      </c>
      <c r="J2074" s="1035">
        <v>0</v>
      </c>
      <c r="K2074" s="1035">
        <v>6</v>
      </c>
      <c r="L2074" s="1025">
        <f t="shared" si="848"/>
        <v>400</v>
      </c>
      <c r="M2074" s="1027">
        <v>46283</v>
      </c>
      <c r="N2074" s="1027">
        <v>46279</v>
      </c>
      <c r="O2074" s="1043"/>
      <c r="P2074" s="1035"/>
      <c r="Q2074" s="1039"/>
      <c r="R2074" s="999">
        <v>46248</v>
      </c>
      <c r="S2074" s="999" t="s">
        <v>70</v>
      </c>
      <c r="T2074" s="999" t="s">
        <v>5865</v>
      </c>
      <c r="U2074" s="1039"/>
      <c r="V2074" s="1039"/>
      <c r="W2074" s="603"/>
      <c r="X2074" s="626" t="s">
        <v>11002</v>
      </c>
      <c r="Y2074" s="1042" t="s">
        <v>5867</v>
      </c>
      <c r="Z2074" s="603">
        <v>1.305</v>
      </c>
      <c r="AA2074" s="1042">
        <f t="shared" si="864"/>
        <v>3132</v>
      </c>
      <c r="AB2074" s="603"/>
      <c r="AC2074" s="1030"/>
      <c r="AD2074" s="610" t="s">
        <v>8340</v>
      </c>
      <c r="AE2074" s="1035" t="s">
        <v>82</v>
      </c>
      <c r="AF2074" s="1035"/>
      <c r="AG2074" s="1035"/>
      <c r="AH2074" s="603"/>
      <c r="AI2074" s="626"/>
      <c r="AJ2074" s="610">
        <f t="shared" si="865"/>
        <v>-2400</v>
      </c>
      <c r="AK2074" s="1043"/>
      <c r="AL2074" s="1035" t="s">
        <v>2368</v>
      </c>
      <c r="AM2074" s="1035"/>
      <c r="AN2074" s="1035">
        <f>I2074*2</f>
        <v>4800</v>
      </c>
      <c r="AP2074" s="554">
        <f>I2074*2</f>
        <v>4800</v>
      </c>
      <c r="AR2074" s="1044"/>
      <c r="AU2074" s="554">
        <f>I2074*2</f>
        <v>4800</v>
      </c>
      <c r="AX2074" s="1045"/>
      <c r="BB2074" s="249">
        <f>I2074/24*2</f>
        <v>200</v>
      </c>
      <c r="CA2074" s="1066"/>
      <c r="CD2074" s="563"/>
      <c r="CP2074" s="1044"/>
      <c r="CQ2074" s="1044"/>
      <c r="CR2074" s="554">
        <f>I2074</f>
        <v>2400</v>
      </c>
      <c r="CS2074" s="554">
        <f>I2074</f>
        <v>2400</v>
      </c>
      <c r="CT2074" s="554">
        <f>I2074</f>
        <v>2400</v>
      </c>
      <c r="CU2074" s="554">
        <f t="shared" si="866"/>
        <v>0</v>
      </c>
      <c r="CV2074" s="554">
        <f>CK2074+CL2074+CM2074+CN2074+CO2074+CQ2074+CP2074</f>
        <v>0</v>
      </c>
      <c r="CW2074" s="554">
        <f>CI2074+CJ2074</f>
        <v>0</v>
      </c>
      <c r="CX2074" s="1044"/>
      <c r="CY2074" s="1044"/>
      <c r="CZ2074" s="1044"/>
      <c r="DA2074" s="1044"/>
      <c r="DB2074" s="1044"/>
      <c r="DC2074" s="1044"/>
      <c r="DD2074" s="1044"/>
      <c r="DE2074" s="1044"/>
      <c r="DF2074" s="1044"/>
      <c r="DG2074" s="1044"/>
      <c r="DH2074" s="1044"/>
    </row>
    <row r="2075" s="560" customFormat="1" ht="31" customHeight="1" spans="1:112">
      <c r="A2075" s="1034">
        <v>46220</v>
      </c>
      <c r="B2075" s="603" t="s">
        <v>4456</v>
      </c>
      <c r="C2075" s="1035" t="s">
        <v>931</v>
      </c>
      <c r="D2075" s="560">
        <v>4500216898</v>
      </c>
      <c r="E2075" s="1035" t="s">
        <v>5842</v>
      </c>
      <c r="F2075" s="560" t="s">
        <v>11003</v>
      </c>
      <c r="G2075" s="1035" t="s">
        <v>6276</v>
      </c>
      <c r="H2075" s="1035" t="s">
        <v>6277</v>
      </c>
      <c r="I2075" s="1036">
        <v>1500</v>
      </c>
      <c r="J2075" s="1035">
        <v>0</v>
      </c>
      <c r="K2075" s="1035">
        <v>50</v>
      </c>
      <c r="L2075" s="1025">
        <f t="shared" si="848"/>
        <v>30</v>
      </c>
      <c r="M2075" s="1037">
        <v>46283</v>
      </c>
      <c r="N2075" s="1037">
        <v>46279</v>
      </c>
      <c r="O2075" s="1043"/>
      <c r="P2075" s="1035"/>
      <c r="Q2075" s="1039"/>
      <c r="R2075" s="1039">
        <v>46232</v>
      </c>
      <c r="S2075" s="1039" t="s">
        <v>70</v>
      </c>
      <c r="T2075" s="1039" t="s">
        <v>70</v>
      </c>
      <c r="U2075" s="1039"/>
      <c r="V2075" s="1039"/>
      <c r="W2075" s="603"/>
      <c r="X2075" s="603" t="s">
        <v>11004</v>
      </c>
      <c r="Y2075" s="1042" t="s">
        <v>4462</v>
      </c>
      <c r="Z2075" s="603">
        <v>0.9351</v>
      </c>
      <c r="AA2075" s="1042">
        <f t="shared" si="864"/>
        <v>1402.65</v>
      </c>
      <c r="AC2075" s="1030"/>
      <c r="AD2075" s="1035" t="s">
        <v>6276</v>
      </c>
      <c r="AE2075" s="1035" t="s">
        <v>82</v>
      </c>
      <c r="AF2075" s="1035"/>
      <c r="AG2075" s="1035"/>
      <c r="AH2075" s="603"/>
      <c r="AI2075" s="603"/>
      <c r="AJ2075" s="1035">
        <f t="shared" ref="AJ2075:AJ2093" si="867">AI2075-I2075</f>
        <v>-1500</v>
      </c>
      <c r="AK2075" s="1043"/>
      <c r="AL2075" s="1035"/>
      <c r="AM2075" s="1035"/>
      <c r="AN2075" s="1035"/>
      <c r="AO2075" s="560">
        <f>I2075</f>
        <v>1500</v>
      </c>
      <c r="AR2075" s="1044"/>
      <c r="AS2075" s="560"/>
      <c r="AT2075" s="560"/>
      <c r="AU2075" s="560"/>
      <c r="AV2075" s="560"/>
      <c r="AW2075" s="560"/>
      <c r="AX2075" s="1045"/>
      <c r="AY2075" s="560"/>
      <c r="AZ2075" s="560"/>
      <c r="BA2075" s="560"/>
      <c r="BB2075" s="1116">
        <f>I2075/24</f>
        <v>62.5</v>
      </c>
      <c r="BV2075" s="560">
        <f>I2075</f>
        <v>1500</v>
      </c>
      <c r="BW2075" s="560">
        <f>I2075</f>
        <v>1500</v>
      </c>
      <c r="BX2075" s="560">
        <f>I2075/25</f>
        <v>60</v>
      </c>
      <c r="CP2075" s="1044"/>
      <c r="CQ2075" s="1044"/>
      <c r="CR2075" s="560"/>
      <c r="CS2075" s="560"/>
      <c r="CT2075" s="560"/>
      <c r="CU2075" s="560"/>
      <c r="CV2075" s="560"/>
      <c r="CW2075" s="560"/>
      <c r="CX2075" s="1044"/>
      <c r="CY2075" s="1044"/>
      <c r="CZ2075" s="1044"/>
      <c r="DA2075" s="1044"/>
      <c r="DB2075" s="1044"/>
      <c r="DC2075" s="1044"/>
      <c r="DD2075" s="1044"/>
      <c r="DE2075" s="1044"/>
      <c r="DF2075" s="1044"/>
      <c r="DG2075" s="1044"/>
      <c r="DH2075" s="1044"/>
    </row>
    <row r="2076" s="558" customFormat="1" ht="31" customHeight="1" spans="1:112">
      <c r="A2076" s="1082">
        <v>46219</v>
      </c>
      <c r="B2076" s="1083" t="s">
        <v>757</v>
      </c>
      <c r="C2076" s="1084" t="s">
        <v>758</v>
      </c>
      <c r="D2076" s="1085">
        <v>4500216739</v>
      </c>
      <c r="E2076" s="1084" t="s">
        <v>11005</v>
      </c>
      <c r="F2076" s="1087" t="s">
        <v>11006</v>
      </c>
      <c r="G2076" s="1084" t="s">
        <v>6043</v>
      </c>
      <c r="H2076" s="1084" t="s">
        <v>6110</v>
      </c>
      <c r="I2076" s="1088">
        <v>6000</v>
      </c>
      <c r="J2076" s="1084">
        <v>0</v>
      </c>
      <c r="K2076" s="1089">
        <v>50</v>
      </c>
      <c r="L2076" s="1090">
        <f t="shared" si="848"/>
        <v>120</v>
      </c>
      <c r="M2076" s="1091">
        <v>46283</v>
      </c>
      <c r="N2076" s="1092">
        <v>46279</v>
      </c>
      <c r="O2076" s="1086"/>
      <c r="P2076" s="1084"/>
      <c r="Q2076" s="1109"/>
      <c r="R2076" s="1109">
        <v>46251</v>
      </c>
      <c r="S2076" s="1029" t="s">
        <v>70</v>
      </c>
      <c r="T2076" s="1109" t="s">
        <v>3209</v>
      </c>
      <c r="U2076" s="1109"/>
      <c r="V2076" s="1109" t="s">
        <v>11007</v>
      </c>
      <c r="W2076" s="585"/>
      <c r="X2076" s="1083" t="s">
        <v>11008</v>
      </c>
      <c r="Y2076" s="1097" t="s">
        <v>529</v>
      </c>
      <c r="Z2076" s="1083">
        <v>0.9943</v>
      </c>
      <c r="AA2076" s="1097">
        <f t="shared" si="864"/>
        <v>5965.8</v>
      </c>
      <c r="AB2076" s="585"/>
      <c r="AC2076" s="1219"/>
      <c r="AD2076" s="1129" t="s">
        <v>6043</v>
      </c>
      <c r="AE2076" s="992" t="s">
        <v>82</v>
      </c>
      <c r="AF2076" s="1084"/>
      <c r="AG2076" s="1084"/>
      <c r="AH2076" s="1083"/>
      <c r="AI2076" s="1128"/>
      <c r="AJ2076" s="1129">
        <f t="shared" si="867"/>
        <v>-6000</v>
      </c>
      <c r="AK2076" s="1086"/>
      <c r="AL2076" s="1084"/>
      <c r="AM2076" s="1084"/>
      <c r="AN2076" s="1084"/>
      <c r="AO2076" s="1087">
        <f>I2076</f>
        <v>6000</v>
      </c>
      <c r="AP2076" s="1087"/>
      <c r="AQ2076" s="1087"/>
      <c r="AR2076" s="1100"/>
      <c r="AS2076" s="1087"/>
      <c r="AT2076" s="562">
        <f>I2076</f>
        <v>6000</v>
      </c>
      <c r="AU2076" s="562"/>
      <c r="AV2076" s="562">
        <f>I2076</f>
        <v>6000</v>
      </c>
      <c r="AW2076" s="1087"/>
      <c r="AX2076" s="1101"/>
      <c r="AY2076" s="1087"/>
      <c r="AZ2076" s="1087"/>
      <c r="BA2076" s="1087"/>
      <c r="BB2076" s="1141">
        <f>I2076/24</f>
        <v>250</v>
      </c>
      <c r="BC2076" s="1087"/>
      <c r="BD2076" s="1087"/>
      <c r="BE2076" s="1087"/>
      <c r="BF2076" s="1102"/>
      <c r="BG2076" s="1103"/>
      <c r="BH2076" s="1104"/>
      <c r="BI2076" s="1087"/>
      <c r="BJ2076" s="1087"/>
      <c r="BK2076" s="1087"/>
      <c r="BL2076" s="1087"/>
      <c r="BM2076" s="1087"/>
      <c r="BN2076" s="1087"/>
      <c r="BO2076" s="1087"/>
      <c r="BP2076" s="562">
        <f>I2076/25</f>
        <v>240</v>
      </c>
      <c r="BQ2076" s="1087"/>
      <c r="BR2076" s="1087"/>
      <c r="BS2076" s="1087"/>
      <c r="BT2076" s="1087"/>
      <c r="BU2076" s="1087"/>
      <c r="BV2076" s="1087"/>
      <c r="BW2076" s="1087"/>
      <c r="BX2076" s="1087"/>
      <c r="BY2076" s="1087"/>
      <c r="BZ2076" s="1087"/>
      <c r="CA2076" s="1105"/>
      <c r="CB2076" s="566"/>
      <c r="CC2076" s="1104"/>
      <c r="CD2076" s="1087"/>
      <c r="CE2076" s="1087"/>
      <c r="CF2076" s="1087"/>
      <c r="CG2076" s="1102"/>
      <c r="CH2076" s="1103"/>
      <c r="CI2076" s="1104"/>
      <c r="CJ2076" s="1087"/>
      <c r="CK2076" s="1087"/>
      <c r="CL2076" s="1087"/>
      <c r="CM2076" s="1087"/>
      <c r="CN2076" s="1087"/>
      <c r="CO2076" s="1087"/>
      <c r="CP2076" s="1100"/>
      <c r="CQ2076" s="1100"/>
      <c r="CR2076" s="1087"/>
      <c r="CS2076" s="1087"/>
      <c r="CT2076" s="1087"/>
      <c r="CU2076" s="562">
        <f>BQ2076+BP2076+BO2076+BN2076+BX2076+BR2076</f>
        <v>240</v>
      </c>
      <c r="CV2076" s="562">
        <f>CK2076+CL2076+CM2076+CN2076+CO2076+CQ2076+CP2076</f>
        <v>0</v>
      </c>
      <c r="CW2076" s="562">
        <f>CI2076+CJ2076</f>
        <v>0</v>
      </c>
      <c r="CX2076" s="1100"/>
      <c r="CY2076" s="1100"/>
      <c r="CZ2076" s="1100"/>
      <c r="DA2076" s="1100"/>
      <c r="DB2076" s="1100"/>
      <c r="DC2076" s="1100"/>
      <c r="DD2076" s="1100"/>
      <c r="DE2076" s="1100"/>
      <c r="DF2076" s="1100"/>
      <c r="DG2076" s="1100"/>
      <c r="DH2076" s="1100"/>
    </row>
    <row r="2077" s="558" customFormat="1" ht="31" customHeight="1" spans="1:112">
      <c r="A2077" s="991">
        <v>46219</v>
      </c>
      <c r="B2077" s="601" t="s">
        <v>757</v>
      </c>
      <c r="C2077" s="992" t="s">
        <v>758</v>
      </c>
      <c r="D2077" s="993">
        <v>4500216739</v>
      </c>
      <c r="E2077" s="992" t="s">
        <v>11005</v>
      </c>
      <c r="F2077" s="586" t="s">
        <v>11009</v>
      </c>
      <c r="G2077" s="992" t="s">
        <v>6079</v>
      </c>
      <c r="H2077" s="992" t="s">
        <v>6080</v>
      </c>
      <c r="I2077" s="995">
        <v>1200</v>
      </c>
      <c r="J2077" s="992">
        <v>0</v>
      </c>
      <c r="K2077" s="996">
        <v>60</v>
      </c>
      <c r="L2077" s="997">
        <f t="shared" si="848"/>
        <v>20</v>
      </c>
      <c r="M2077" s="998">
        <v>46283</v>
      </c>
      <c r="N2077" s="1079">
        <v>46279</v>
      </c>
      <c r="O2077" s="994"/>
      <c r="P2077" s="992"/>
      <c r="Q2077" s="584"/>
      <c r="R2077" s="1109">
        <v>46251</v>
      </c>
      <c r="S2077" s="999" t="s">
        <v>70</v>
      </c>
      <c r="T2077" s="584" t="s">
        <v>3209</v>
      </c>
      <c r="U2077" s="584"/>
      <c r="V2077" s="584" t="s">
        <v>11007</v>
      </c>
      <c r="W2077" s="585"/>
      <c r="X2077" s="601" t="s">
        <v>11008</v>
      </c>
      <c r="Y2077" s="1000" t="s">
        <v>529</v>
      </c>
      <c r="Z2077" s="601">
        <v>72.1585</v>
      </c>
      <c r="AA2077" s="1000">
        <f>Z2077*L2077</f>
        <v>1443.17</v>
      </c>
      <c r="AB2077" s="585"/>
      <c r="AC2077" s="1002"/>
      <c r="AD2077" s="939" t="s">
        <v>6079</v>
      </c>
      <c r="AE2077" s="992" t="s">
        <v>82</v>
      </c>
      <c r="AF2077" s="992"/>
      <c r="AG2077" s="992"/>
      <c r="AH2077" s="601"/>
      <c r="AI2077" s="626"/>
      <c r="AJ2077" s="939">
        <f t="shared" si="867"/>
        <v>-1200</v>
      </c>
      <c r="AK2077" s="994"/>
      <c r="AL2077" s="992"/>
      <c r="AM2077" s="992"/>
      <c r="AN2077" s="992"/>
      <c r="AO2077" s="586">
        <f>I2077</f>
        <v>1200</v>
      </c>
      <c r="AP2077" s="586"/>
      <c r="AQ2077" s="586"/>
      <c r="AR2077" s="1003"/>
      <c r="AS2077" s="586"/>
      <c r="AT2077" s="563">
        <f>I2077</f>
        <v>1200</v>
      </c>
      <c r="AU2077" s="563"/>
      <c r="AV2077" s="563">
        <f>I2077</f>
        <v>1200</v>
      </c>
      <c r="AW2077" s="586"/>
      <c r="AX2077" s="1049"/>
      <c r="AY2077" s="586"/>
      <c r="AZ2077" s="586"/>
      <c r="BA2077" s="586"/>
      <c r="BB2077" s="1017">
        <f>I2077/24</f>
        <v>50</v>
      </c>
      <c r="BC2077" s="586"/>
      <c r="BD2077" s="586"/>
      <c r="BE2077" s="586"/>
      <c r="BF2077" s="1005"/>
      <c r="BG2077" s="561"/>
      <c r="BH2077" s="1006"/>
      <c r="BI2077" s="586"/>
      <c r="BJ2077" s="586"/>
      <c r="BK2077" s="586"/>
      <c r="BL2077" s="586"/>
      <c r="BM2077" s="586"/>
      <c r="BN2077" s="586"/>
      <c r="BO2077" s="586"/>
      <c r="BP2077" s="563"/>
      <c r="BQ2077" s="586"/>
      <c r="BR2077" s="586"/>
      <c r="BS2077" s="586"/>
      <c r="BT2077" s="586"/>
      <c r="BU2077" s="586"/>
      <c r="BV2077" s="586"/>
      <c r="BW2077" s="586"/>
      <c r="BX2077" s="586"/>
      <c r="BY2077" s="586"/>
      <c r="BZ2077" s="586"/>
      <c r="CA2077" s="1007"/>
      <c r="CB2077" s="560"/>
      <c r="CC2077" s="1006"/>
      <c r="CD2077" s="586"/>
      <c r="CE2077" s="586"/>
      <c r="CF2077" s="586"/>
      <c r="CG2077" s="1005"/>
      <c r="CH2077" s="561"/>
      <c r="CI2077" s="1006"/>
      <c r="CJ2077" s="586"/>
      <c r="CK2077" s="586"/>
      <c r="CL2077" s="563">
        <f>L2077</f>
        <v>20</v>
      </c>
      <c r="CM2077" s="586"/>
      <c r="CN2077" s="586"/>
      <c r="CO2077" s="586"/>
      <c r="CP2077" s="1003"/>
      <c r="CQ2077" s="1003"/>
      <c r="CR2077" s="586"/>
      <c r="CS2077" s="586"/>
      <c r="CT2077" s="586"/>
      <c r="CU2077" s="563">
        <f>BQ2077+BP2077+BO2077+BN2077+BX2077+BR2077</f>
        <v>0</v>
      </c>
      <c r="CV2077" s="563">
        <f>CK2077+CL2077+CM2077+CN2077+CO2077+CQ2077+CP2077</f>
        <v>20</v>
      </c>
      <c r="CW2077" s="563">
        <f>CI2077+CJ2077</f>
        <v>0</v>
      </c>
      <c r="CX2077" s="1003"/>
      <c r="CY2077" s="1003"/>
      <c r="CZ2077" s="1003"/>
      <c r="DA2077" s="1003"/>
      <c r="DB2077" s="1003"/>
      <c r="DC2077" s="1003"/>
      <c r="DD2077" s="1003"/>
      <c r="DE2077" s="1003"/>
      <c r="DF2077" s="1003"/>
      <c r="DG2077" s="1003"/>
      <c r="DH2077" s="1003"/>
    </row>
    <row r="2078" s="558" customFormat="1" ht="31" customHeight="1" spans="1:112">
      <c r="A2078" s="991">
        <v>46206</v>
      </c>
      <c r="B2078" s="601" t="s">
        <v>2734</v>
      </c>
      <c r="C2078" s="992" t="s">
        <v>98</v>
      </c>
      <c r="D2078" s="586">
        <v>4500214378</v>
      </c>
      <c r="E2078" s="1220">
        <v>70094931</v>
      </c>
      <c r="F2078" s="586" t="s">
        <v>11010</v>
      </c>
      <c r="G2078" s="992" t="s">
        <v>6787</v>
      </c>
      <c r="H2078" s="939" t="s">
        <v>6126</v>
      </c>
      <c r="I2078" s="995">
        <v>1800</v>
      </c>
      <c r="J2078" s="992">
        <v>0</v>
      </c>
      <c r="K2078" s="996">
        <v>12</v>
      </c>
      <c r="L2078" s="997">
        <f t="shared" si="848"/>
        <v>150</v>
      </c>
      <c r="M2078" s="1048">
        <v>46283</v>
      </c>
      <c r="N2078" s="1221">
        <v>46279</v>
      </c>
      <c r="O2078" s="994"/>
      <c r="P2078" s="992"/>
      <c r="Q2078" s="584"/>
      <c r="R2078" s="584">
        <v>46225</v>
      </c>
      <c r="S2078" s="584" t="s">
        <v>70</v>
      </c>
      <c r="T2078" s="584" t="s">
        <v>5723</v>
      </c>
      <c r="U2078" s="584"/>
      <c r="V2078" s="584"/>
      <c r="W2078" s="585"/>
      <c r="X2078" s="1222" t="s">
        <v>11011</v>
      </c>
      <c r="Y2078" s="1000" t="s">
        <v>2814</v>
      </c>
      <c r="Z2078" s="601">
        <v>1.3665</v>
      </c>
      <c r="AA2078" s="1000">
        <f t="shared" ref="AA2078:AA2091" si="868">Z2078*I2078</f>
        <v>2459.7</v>
      </c>
      <c r="AB2078" s="585"/>
      <c r="AC2078" s="1002"/>
      <c r="AD2078" s="992" t="s">
        <v>8545</v>
      </c>
      <c r="AE2078" s="939" t="s">
        <v>82</v>
      </c>
      <c r="AF2078" s="992"/>
      <c r="AG2078" s="992"/>
      <c r="AH2078" s="601"/>
      <c r="AI2078" s="609"/>
      <c r="AJ2078" s="992">
        <f t="shared" si="867"/>
        <v>-1800</v>
      </c>
      <c r="AK2078" s="994"/>
      <c r="AL2078" s="992" t="s">
        <v>2368</v>
      </c>
      <c r="AM2078" s="992"/>
      <c r="AN2078" s="992">
        <f>I2078*2</f>
        <v>3600</v>
      </c>
      <c r="AO2078" s="586"/>
      <c r="AP2078" s="586">
        <f>I2078*2</f>
        <v>3600</v>
      </c>
      <c r="AQ2078" s="586"/>
      <c r="AR2078" s="1003"/>
      <c r="AS2078" s="586"/>
      <c r="AT2078" s="586"/>
      <c r="AU2078" s="586">
        <f>I2078*2</f>
        <v>3600</v>
      </c>
      <c r="AV2078" s="586"/>
      <c r="AW2078" s="586"/>
      <c r="AX2078" s="1049"/>
      <c r="AY2078" s="586"/>
      <c r="AZ2078" s="586"/>
      <c r="BA2078" s="586"/>
      <c r="BB2078" s="1078">
        <f>I2078/24*2</f>
        <v>150</v>
      </c>
      <c r="BC2078" s="586"/>
      <c r="BD2078" s="586"/>
      <c r="BE2078" s="586"/>
      <c r="BF2078" s="1005"/>
      <c r="BG2078" s="561"/>
      <c r="BH2078" s="1006"/>
      <c r="BI2078" s="586"/>
      <c r="BJ2078" s="586"/>
      <c r="BK2078" s="586"/>
      <c r="BL2078" s="586"/>
      <c r="BM2078" s="586"/>
      <c r="BN2078" s="586"/>
      <c r="BO2078" s="586"/>
      <c r="BP2078" s="586"/>
      <c r="BQ2078" s="586"/>
      <c r="BR2078" s="586"/>
      <c r="BS2078" s="586"/>
      <c r="BT2078" s="586"/>
      <c r="BU2078" s="586"/>
      <c r="BV2078" s="586"/>
      <c r="BW2078" s="586"/>
      <c r="BX2078" s="586"/>
      <c r="BY2078" s="586"/>
      <c r="BZ2078" s="586"/>
      <c r="CA2078" s="1005"/>
      <c r="CB2078" s="561"/>
      <c r="CC2078" s="1006"/>
      <c r="CD2078" s="586"/>
      <c r="CE2078" s="586"/>
      <c r="CF2078" s="586"/>
      <c r="CG2078" s="1005"/>
      <c r="CH2078" s="561"/>
      <c r="CI2078" s="1006"/>
      <c r="CJ2078" s="586"/>
      <c r="CK2078" s="586"/>
      <c r="CL2078" s="586"/>
      <c r="CM2078" s="586"/>
      <c r="CN2078" s="586"/>
      <c r="CO2078" s="586"/>
      <c r="CP2078" s="1003"/>
      <c r="CQ2078" s="1003"/>
      <c r="CR2078" s="586">
        <f>I2078</f>
        <v>1800</v>
      </c>
      <c r="CS2078" s="586">
        <f>I2078</f>
        <v>1800</v>
      </c>
      <c r="CT2078" s="586">
        <f>I2078</f>
        <v>1800</v>
      </c>
      <c r="CU2078" s="687">
        <f>BQ2078+BP2078+BO2078+BN2078+BX2078+BR2078</f>
        <v>0</v>
      </c>
      <c r="CV2078" s="687">
        <f>CK2078+CL2078+CM2078+CN2078+CO2078+CQ2078+CP2078</f>
        <v>0</v>
      </c>
      <c r="CW2078" s="687">
        <f>CI2078+CJ2078</f>
        <v>0</v>
      </c>
      <c r="CX2078" s="1003"/>
      <c r="CY2078" s="1003"/>
      <c r="CZ2078" s="1003"/>
      <c r="DA2078" s="1003"/>
      <c r="DB2078" s="1003"/>
      <c r="DC2078" s="1003"/>
      <c r="DD2078" s="1003"/>
      <c r="DE2078" s="1003"/>
      <c r="DF2078" s="1003"/>
      <c r="DG2078" s="1003"/>
      <c r="DH2078" s="1003"/>
    </row>
    <row r="2079" s="560" customFormat="1" ht="31" customHeight="1" spans="1:112">
      <c r="A2079" s="1034">
        <v>46206</v>
      </c>
      <c r="B2079" s="603" t="s">
        <v>2734</v>
      </c>
      <c r="C2079" s="1035" t="s">
        <v>98</v>
      </c>
      <c r="D2079" s="1223">
        <v>4500214378</v>
      </c>
      <c r="E2079" s="1170">
        <v>70094931</v>
      </c>
      <c r="F2079" s="1047" t="s">
        <v>5851</v>
      </c>
      <c r="G2079" s="1035" t="s">
        <v>8520</v>
      </c>
      <c r="H2079" s="1035" t="s">
        <v>8521</v>
      </c>
      <c r="I2079" s="1036">
        <v>1800</v>
      </c>
      <c r="J2079" s="1035">
        <v>0</v>
      </c>
      <c r="K2079" s="1035">
        <v>8</v>
      </c>
      <c r="L2079" s="1025">
        <f t="shared" si="848"/>
        <v>225</v>
      </c>
      <c r="M2079" s="1152">
        <v>46283</v>
      </c>
      <c r="N2079" s="1152">
        <v>46279</v>
      </c>
      <c r="O2079" s="1224"/>
      <c r="P2079" s="1035"/>
      <c r="Q2079" s="1039"/>
      <c r="R2079" s="584">
        <v>46225</v>
      </c>
      <c r="S2079" s="1039" t="s">
        <v>70</v>
      </c>
      <c r="T2079" s="584" t="s">
        <v>5723</v>
      </c>
      <c r="U2079" s="1039"/>
      <c r="V2079" s="1039"/>
      <c r="W2079" s="603"/>
      <c r="X2079" s="1041" t="s">
        <v>5852</v>
      </c>
      <c r="Y2079" s="1042" t="s">
        <v>2814</v>
      </c>
      <c r="Z2079" s="603">
        <v>4.3055</v>
      </c>
      <c r="AA2079" s="1042">
        <f t="shared" si="868"/>
        <v>7749.9</v>
      </c>
      <c r="AB2079" s="603"/>
      <c r="AC2079" s="1030"/>
      <c r="AD2079" s="1035" t="s">
        <v>2741</v>
      </c>
      <c r="AE2079" s="1035" t="s">
        <v>82</v>
      </c>
      <c r="AF2079" s="1035"/>
      <c r="AG2079" s="1035"/>
      <c r="AH2079" s="603"/>
      <c r="AI2079" s="609"/>
      <c r="AJ2079" s="1035">
        <f t="shared" si="867"/>
        <v>-1800</v>
      </c>
      <c r="AK2079" s="1043"/>
      <c r="AL2079" s="1035" t="s">
        <v>2368</v>
      </c>
      <c r="AM2079" s="1035"/>
      <c r="AN2079" s="1035">
        <f>I2079*2</f>
        <v>3600</v>
      </c>
      <c r="AP2079" s="560">
        <f>I2079*2</f>
        <v>3600</v>
      </c>
      <c r="AR2079" s="1044"/>
      <c r="AS2079" s="560"/>
      <c r="AT2079" s="560"/>
      <c r="AU2079" s="560">
        <f>I2079*2</f>
        <v>3600</v>
      </c>
      <c r="AX2079" s="1045"/>
      <c r="AY2079" s="560"/>
      <c r="AZ2079" s="560"/>
      <c r="BA2079" s="560"/>
      <c r="BB2079" s="1116">
        <f>I2079/24*2</f>
        <v>150</v>
      </c>
      <c r="CA2079" s="1044">
        <f>I2079</f>
        <v>1800</v>
      </c>
      <c r="CP2079" s="1044"/>
      <c r="CQ2079" s="1044"/>
      <c r="CR2079" s="560"/>
      <c r="CS2079" s="560"/>
      <c r="CT2079" s="560"/>
      <c r="CU2079" s="687">
        <f>BQ2079+BP2079+BO2079+BN2079+BX2079+BR2079</f>
        <v>0</v>
      </c>
      <c r="CV2079" s="687">
        <f>CK2079+CL2079+CM2079+CN2079+CO2079+CQ2079+CP2079</f>
        <v>0</v>
      </c>
      <c r="CW2079" s="687">
        <f>CI2079+CJ2079</f>
        <v>0</v>
      </c>
      <c r="CX2079" s="1044"/>
      <c r="CY2079" s="1044"/>
      <c r="CZ2079" s="1044"/>
      <c r="DA2079" s="1044"/>
      <c r="DB2079" s="1044"/>
      <c r="DC2079" s="1044"/>
      <c r="DD2079" s="1044"/>
      <c r="DE2079" s="1044"/>
      <c r="DF2079" s="1044"/>
      <c r="DG2079" s="1044"/>
      <c r="DH2079" s="1044"/>
    </row>
    <row r="2080" s="558" customFormat="1" ht="31" customHeight="1" spans="1:112">
      <c r="A2080" s="1022">
        <v>46237</v>
      </c>
      <c r="B2080" s="626" t="s">
        <v>2811</v>
      </c>
      <c r="C2080" s="939" t="s">
        <v>98</v>
      </c>
      <c r="D2080" s="563">
        <v>4500218537</v>
      </c>
      <c r="E2080" s="939">
        <v>70095071</v>
      </c>
      <c r="F2080" s="563" t="s">
        <v>5853</v>
      </c>
      <c r="G2080" s="939" t="s">
        <v>8520</v>
      </c>
      <c r="H2080" s="939" t="s">
        <v>8521</v>
      </c>
      <c r="I2080" s="1023">
        <v>4200</v>
      </c>
      <c r="J2080" s="939">
        <v>0</v>
      </c>
      <c r="K2080" s="1024">
        <v>8</v>
      </c>
      <c r="L2080" s="1025">
        <f t="shared" si="848"/>
        <v>525</v>
      </c>
      <c r="M2080" s="1026">
        <v>46283</v>
      </c>
      <c r="N2080" s="1027">
        <v>46279</v>
      </c>
      <c r="O2080" s="1031"/>
      <c r="P2080" s="939"/>
      <c r="Q2080" s="999"/>
      <c r="R2080" s="999">
        <v>46238</v>
      </c>
      <c r="S2080" s="999" t="s">
        <v>70</v>
      </c>
      <c r="T2080" s="999" t="s">
        <v>5723</v>
      </c>
      <c r="U2080" s="584"/>
      <c r="V2080" s="999"/>
      <c r="W2080" s="585"/>
      <c r="X2080" s="626" t="s">
        <v>5854</v>
      </c>
      <c r="Y2080" s="1001" t="s">
        <v>1318</v>
      </c>
      <c r="Z2080" s="626">
        <v>4.1119</v>
      </c>
      <c r="AA2080" s="1001">
        <f t="shared" si="868"/>
        <v>17269.98</v>
      </c>
      <c r="AB2080" s="585"/>
      <c r="AC2080" s="1030"/>
      <c r="AD2080" s="939" t="s">
        <v>2741</v>
      </c>
      <c r="AE2080" s="939" t="s">
        <v>82</v>
      </c>
      <c r="AF2080" s="939"/>
      <c r="AG2080" s="939"/>
      <c r="AH2080" s="626"/>
      <c r="AI2080" s="609"/>
      <c r="AJ2080" s="939">
        <f t="shared" si="867"/>
        <v>-4200</v>
      </c>
      <c r="AK2080" s="1031"/>
      <c r="AL2080" s="939" t="s">
        <v>2368</v>
      </c>
      <c r="AM2080" s="939"/>
      <c r="AN2080" s="939">
        <f>I2080*2</f>
        <v>8400</v>
      </c>
      <c r="AO2080" s="563"/>
      <c r="AP2080" s="563">
        <f>I2080*2</f>
        <v>8400</v>
      </c>
      <c r="AQ2080" s="563"/>
      <c r="AR2080" s="1015"/>
      <c r="AS2080" s="563"/>
      <c r="AT2080" s="563"/>
      <c r="AU2080" s="563">
        <f>I2080*2</f>
        <v>8400</v>
      </c>
      <c r="AV2080" s="563"/>
      <c r="AW2080" s="563"/>
      <c r="AX2080" s="1004"/>
      <c r="AY2080" s="563"/>
      <c r="AZ2080" s="563"/>
      <c r="BA2080" s="563"/>
      <c r="BB2080" s="1017">
        <f>I2080/24*2</f>
        <v>350</v>
      </c>
      <c r="BC2080" s="563"/>
      <c r="BD2080" s="563"/>
      <c r="BE2080" s="563"/>
      <c r="BF2080" s="1032"/>
      <c r="BG2080" s="560"/>
      <c r="BH2080" s="1033"/>
      <c r="BI2080" s="563"/>
      <c r="BJ2080" s="563"/>
      <c r="BK2080" s="563"/>
      <c r="BL2080" s="563"/>
      <c r="BM2080" s="563"/>
      <c r="BN2080" s="563"/>
      <c r="BO2080" s="563"/>
      <c r="BP2080" s="563"/>
      <c r="BQ2080" s="563"/>
      <c r="BR2080" s="563"/>
      <c r="BS2080" s="563"/>
      <c r="BT2080" s="563"/>
      <c r="BU2080" s="563"/>
      <c r="BV2080" s="563"/>
      <c r="BW2080" s="563"/>
      <c r="BX2080" s="563"/>
      <c r="BY2080" s="563"/>
      <c r="BZ2080" s="563"/>
      <c r="CA2080" s="1032"/>
      <c r="CB2080" s="560"/>
      <c r="CC2080" s="1033"/>
      <c r="CD2080" s="563">
        <f>I2080</f>
        <v>4200</v>
      </c>
      <c r="CE2080" s="563"/>
      <c r="CF2080" s="563"/>
      <c r="CG2080" s="1032"/>
      <c r="CH2080" s="560"/>
      <c r="CI2080" s="1033"/>
      <c r="CJ2080" s="563"/>
      <c r="CK2080" s="563"/>
      <c r="CL2080" s="563"/>
      <c r="CM2080" s="563"/>
      <c r="CN2080" s="563"/>
      <c r="CO2080" s="563"/>
      <c r="CP2080" s="1015"/>
      <c r="CQ2080" s="1015"/>
      <c r="CR2080" s="563"/>
      <c r="CS2080" s="563"/>
      <c r="CT2080" s="563"/>
      <c r="CU2080" s="563">
        <f t="shared" ref="CU2080:CU2091" si="869">BQ2080+BP2080+BO2080+BN2080+BX2080+BR2080</f>
        <v>0</v>
      </c>
      <c r="CV2080" s="563">
        <f t="shared" ref="CV2080:CV2085" si="870">CK2080+CL2080+CM2080+CN2080+CO2080+CQ2080+CP2080</f>
        <v>0</v>
      </c>
      <c r="CW2080" s="687">
        <f t="shared" ref="CW2080:CW2085" si="871">CI2080+CJ2080</f>
        <v>0</v>
      </c>
      <c r="CX2080" s="1015"/>
      <c r="CY2080" s="1015"/>
      <c r="CZ2080" s="1015"/>
      <c r="DA2080" s="1015"/>
      <c r="DB2080" s="1015"/>
      <c r="DC2080" s="1015"/>
      <c r="DD2080" s="1015"/>
      <c r="DE2080" s="1015"/>
      <c r="DF2080" s="1015"/>
      <c r="DG2080" s="1015"/>
      <c r="DH2080" s="1015"/>
    </row>
    <row r="2081" s="558" customFormat="1" ht="31" customHeight="1" spans="1:112">
      <c r="A2081" s="1022">
        <v>46237</v>
      </c>
      <c r="B2081" s="626" t="s">
        <v>2811</v>
      </c>
      <c r="C2081" s="939" t="s">
        <v>98</v>
      </c>
      <c r="D2081" s="563" t="s">
        <v>11012</v>
      </c>
      <c r="E2081" s="939" t="s">
        <v>11013</v>
      </c>
      <c r="F2081" s="563" t="s">
        <v>11014</v>
      </c>
      <c r="G2081" s="939" t="s">
        <v>6787</v>
      </c>
      <c r="H2081" s="939" t="s">
        <v>6126</v>
      </c>
      <c r="I2081" s="1023">
        <v>4800</v>
      </c>
      <c r="J2081" s="939">
        <v>0</v>
      </c>
      <c r="K2081" s="1024">
        <v>12</v>
      </c>
      <c r="L2081" s="1025">
        <f t="shared" si="848"/>
        <v>400</v>
      </c>
      <c r="M2081" s="1026">
        <v>46283</v>
      </c>
      <c r="N2081" s="1027">
        <v>46279</v>
      </c>
      <c r="O2081" s="1031"/>
      <c r="P2081" s="939"/>
      <c r="Q2081" s="999"/>
      <c r="R2081" s="999">
        <v>46238</v>
      </c>
      <c r="S2081" s="999" t="s">
        <v>70</v>
      </c>
      <c r="T2081" s="999" t="s">
        <v>5723</v>
      </c>
      <c r="U2081" s="584"/>
      <c r="V2081" s="999"/>
      <c r="W2081" s="585"/>
      <c r="X2081" s="626" t="s">
        <v>11015</v>
      </c>
      <c r="Y2081" s="1001" t="s">
        <v>1318</v>
      </c>
      <c r="Z2081" s="626">
        <v>1.3834</v>
      </c>
      <c r="AA2081" s="1001">
        <f t="shared" si="868"/>
        <v>6640.32</v>
      </c>
      <c r="AB2081" s="585"/>
      <c r="AC2081" s="1030"/>
      <c r="AD2081" s="939" t="s">
        <v>8545</v>
      </c>
      <c r="AE2081" s="939" t="s">
        <v>82</v>
      </c>
      <c r="AF2081" s="939"/>
      <c r="AG2081" s="939"/>
      <c r="AH2081" s="626"/>
      <c r="AI2081" s="609"/>
      <c r="AJ2081" s="939">
        <f t="shared" si="867"/>
        <v>-4800</v>
      </c>
      <c r="AK2081" s="1031"/>
      <c r="AL2081" s="939" t="s">
        <v>2368</v>
      </c>
      <c r="AM2081" s="939"/>
      <c r="AN2081" s="939">
        <f>I2081*2</f>
        <v>9600</v>
      </c>
      <c r="AO2081" s="563"/>
      <c r="AP2081" s="563">
        <f>I2081*2</f>
        <v>9600</v>
      </c>
      <c r="AQ2081" s="563"/>
      <c r="AR2081" s="1015"/>
      <c r="AS2081" s="563"/>
      <c r="AT2081" s="563"/>
      <c r="AU2081" s="563">
        <f>I2081*2</f>
        <v>9600</v>
      </c>
      <c r="AV2081" s="563"/>
      <c r="AW2081" s="563"/>
      <c r="AX2081" s="1004"/>
      <c r="AY2081" s="563"/>
      <c r="AZ2081" s="563"/>
      <c r="BA2081" s="563"/>
      <c r="BB2081" s="1017">
        <f>I2081/24*2</f>
        <v>400</v>
      </c>
      <c r="BC2081" s="563"/>
      <c r="BD2081" s="563"/>
      <c r="BE2081" s="563"/>
      <c r="BF2081" s="1032"/>
      <c r="BG2081" s="560"/>
      <c r="BH2081" s="1033"/>
      <c r="BI2081" s="563"/>
      <c r="BJ2081" s="563"/>
      <c r="BK2081" s="563"/>
      <c r="BL2081" s="563"/>
      <c r="BM2081" s="563"/>
      <c r="BN2081" s="563"/>
      <c r="BO2081" s="563"/>
      <c r="BP2081" s="563"/>
      <c r="BQ2081" s="563"/>
      <c r="BR2081" s="563"/>
      <c r="BS2081" s="563"/>
      <c r="BT2081" s="563"/>
      <c r="BU2081" s="563"/>
      <c r="BV2081" s="563"/>
      <c r="BW2081" s="563"/>
      <c r="BX2081" s="563"/>
      <c r="BY2081" s="563"/>
      <c r="BZ2081" s="563"/>
      <c r="CA2081" s="1032"/>
      <c r="CB2081" s="560"/>
      <c r="CC2081" s="1033"/>
      <c r="CD2081" s="563"/>
      <c r="CE2081" s="563"/>
      <c r="CF2081" s="563"/>
      <c r="CG2081" s="1032"/>
      <c r="CH2081" s="560"/>
      <c r="CI2081" s="1033"/>
      <c r="CJ2081" s="563"/>
      <c r="CK2081" s="563"/>
      <c r="CL2081" s="563"/>
      <c r="CM2081" s="563"/>
      <c r="CN2081" s="563"/>
      <c r="CO2081" s="563"/>
      <c r="CP2081" s="1015"/>
      <c r="CQ2081" s="1015"/>
      <c r="CR2081" s="563">
        <f>I2081</f>
        <v>4800</v>
      </c>
      <c r="CS2081" s="563">
        <f>I2081</f>
        <v>4800</v>
      </c>
      <c r="CT2081" s="563">
        <f>I2081</f>
        <v>4800</v>
      </c>
      <c r="CU2081" s="563">
        <f t="shared" si="869"/>
        <v>0</v>
      </c>
      <c r="CV2081" s="563">
        <f t="shared" si="870"/>
        <v>0</v>
      </c>
      <c r="CW2081" s="687">
        <f t="shared" si="871"/>
        <v>0</v>
      </c>
      <c r="CX2081" s="1015"/>
      <c r="CY2081" s="1015"/>
      <c r="CZ2081" s="1015"/>
      <c r="DA2081" s="1015"/>
      <c r="DB2081" s="1015"/>
      <c r="DC2081" s="1015"/>
      <c r="DD2081" s="1015"/>
      <c r="DE2081" s="1015"/>
      <c r="DF2081" s="1015"/>
      <c r="DG2081" s="1015"/>
      <c r="DH2081" s="1015"/>
    </row>
    <row r="2082" s="558" customFormat="1" ht="31" customHeight="1" spans="1:112">
      <c r="A2082" s="1022">
        <v>46239</v>
      </c>
      <c r="B2082" s="626" t="s">
        <v>5855</v>
      </c>
      <c r="C2082" s="939" t="s">
        <v>278</v>
      </c>
      <c r="D2082" s="563">
        <v>4500218950</v>
      </c>
      <c r="E2082" s="939" t="s">
        <v>5856</v>
      </c>
      <c r="F2082" s="563" t="s">
        <v>11016</v>
      </c>
      <c r="G2082" s="939" t="s">
        <v>6043</v>
      </c>
      <c r="H2082" s="939" t="s">
        <v>6110</v>
      </c>
      <c r="I2082" s="1023">
        <v>2500</v>
      </c>
      <c r="J2082" s="939">
        <v>0</v>
      </c>
      <c r="K2082" s="1024">
        <v>50</v>
      </c>
      <c r="L2082" s="1025">
        <f t="shared" si="848"/>
        <v>50</v>
      </c>
      <c r="M2082" s="1026">
        <v>46283</v>
      </c>
      <c r="N2082" s="1027">
        <v>46279</v>
      </c>
      <c r="O2082" s="1031"/>
      <c r="P2082" s="939"/>
      <c r="Q2082" s="999"/>
      <c r="R2082" s="999">
        <v>46241</v>
      </c>
      <c r="S2082" s="999" t="s">
        <v>70</v>
      </c>
      <c r="T2082" s="584" t="s">
        <v>11017</v>
      </c>
      <c r="U2082" s="584"/>
      <c r="V2082" s="999"/>
      <c r="W2082" s="585" t="s">
        <v>5859</v>
      </c>
      <c r="X2082" s="1075" t="s">
        <v>11018</v>
      </c>
      <c r="Y2082" s="1001" t="s">
        <v>5861</v>
      </c>
      <c r="Z2082" s="626">
        <v>0.9998</v>
      </c>
      <c r="AA2082" s="1001">
        <f t="shared" si="868"/>
        <v>2499.5</v>
      </c>
      <c r="AB2082" s="585"/>
      <c r="AC2082" s="1030"/>
      <c r="AD2082" s="939" t="s">
        <v>6043</v>
      </c>
      <c r="AE2082" s="939" t="s">
        <v>82</v>
      </c>
      <c r="AF2082" s="939"/>
      <c r="AG2082" s="939"/>
      <c r="AH2082" s="626"/>
      <c r="AI2082" s="626"/>
      <c r="AJ2082" s="939">
        <f t="shared" si="867"/>
        <v>-2500</v>
      </c>
      <c r="AK2082" s="1031"/>
      <c r="AL2082" s="939"/>
      <c r="AM2082" s="939"/>
      <c r="AN2082" s="939"/>
      <c r="AO2082" s="563">
        <f>I2082</f>
        <v>2500</v>
      </c>
      <c r="AP2082" s="586"/>
      <c r="AQ2082" s="563"/>
      <c r="AR2082" s="1015"/>
      <c r="AS2082" s="563"/>
      <c r="AT2082" s="210">
        <f>I2082</f>
        <v>2500</v>
      </c>
      <c r="AU2082" s="563"/>
      <c r="AV2082" s="210">
        <f>I2082</f>
        <v>2500</v>
      </c>
      <c r="AW2082" s="563"/>
      <c r="AX2082" s="1004"/>
      <c r="AY2082" s="563"/>
      <c r="AZ2082" s="563"/>
      <c r="BA2082" s="563"/>
      <c r="BB2082" s="1078"/>
      <c r="BC2082" s="563"/>
      <c r="BD2082" s="563"/>
      <c r="BE2082" s="563"/>
      <c r="BF2082" s="1032"/>
      <c r="BG2082" s="560"/>
      <c r="BH2082" s="1033"/>
      <c r="BI2082" s="563"/>
      <c r="BJ2082" s="563"/>
      <c r="BK2082" s="563"/>
      <c r="BL2082" s="563"/>
      <c r="BM2082" s="563"/>
      <c r="BN2082" s="563"/>
      <c r="BO2082" s="563"/>
      <c r="BP2082" s="210">
        <f>I2082/25</f>
        <v>100</v>
      </c>
      <c r="BQ2082" s="563"/>
      <c r="BR2082" s="563"/>
      <c r="BS2082" s="563"/>
      <c r="BT2082" s="563"/>
      <c r="BU2082" s="563"/>
      <c r="BV2082" s="563"/>
      <c r="BW2082" s="563"/>
      <c r="BX2082" s="563"/>
      <c r="BY2082" s="563"/>
      <c r="BZ2082" s="563"/>
      <c r="CA2082" s="1032"/>
      <c r="CB2082" s="560"/>
      <c r="CC2082" s="1033"/>
      <c r="CD2082" s="563"/>
      <c r="CE2082" s="563"/>
      <c r="CF2082" s="563"/>
      <c r="CG2082" s="1032"/>
      <c r="CH2082" s="560"/>
      <c r="CI2082" s="1033"/>
      <c r="CJ2082" s="563"/>
      <c r="CK2082" s="563"/>
      <c r="CL2082" s="563"/>
      <c r="CM2082" s="563"/>
      <c r="CN2082" s="563"/>
      <c r="CO2082" s="563"/>
      <c r="CP2082" s="1015"/>
      <c r="CQ2082" s="1015"/>
      <c r="CR2082" s="563"/>
      <c r="CS2082" s="563"/>
      <c r="CT2082" s="563"/>
      <c r="CU2082" s="563">
        <f t="shared" si="869"/>
        <v>100</v>
      </c>
      <c r="CV2082" s="563">
        <f t="shared" si="870"/>
        <v>0</v>
      </c>
      <c r="CW2082" s="563">
        <f t="shared" si="871"/>
        <v>0</v>
      </c>
      <c r="CX2082" s="1015"/>
      <c r="CY2082" s="1015"/>
      <c r="CZ2082" s="1015"/>
      <c r="DA2082" s="1015"/>
      <c r="DB2082" s="1015"/>
      <c r="DC2082" s="1015"/>
      <c r="DD2082" s="1015"/>
      <c r="DE2082" s="1015"/>
      <c r="DF2082" s="1015"/>
      <c r="DG2082" s="1015"/>
      <c r="DH2082" s="1015"/>
    </row>
    <row r="2083" s="558" customFormat="1" ht="31" customHeight="1" spans="1:112">
      <c r="A2083" s="1127">
        <v>46233</v>
      </c>
      <c r="B2083" s="1128" t="s">
        <v>5832</v>
      </c>
      <c r="C2083" s="1129" t="s">
        <v>98</v>
      </c>
      <c r="D2083" s="1144">
        <v>4500215085</v>
      </c>
      <c r="E2083" s="1035">
        <v>70094930</v>
      </c>
      <c r="F2083" s="1145" t="s">
        <v>11019</v>
      </c>
      <c r="G2083" s="1129" t="s">
        <v>6787</v>
      </c>
      <c r="H2083" s="939" t="s">
        <v>6126</v>
      </c>
      <c r="I2083" s="1132">
        <v>1200</v>
      </c>
      <c r="J2083" s="1129">
        <v>0</v>
      </c>
      <c r="K2083" s="1153">
        <v>12</v>
      </c>
      <c r="L2083" s="1154">
        <f t="shared" si="848"/>
        <v>100</v>
      </c>
      <c r="M2083" s="1037">
        <v>46284</v>
      </c>
      <c r="N2083" s="1037">
        <v>46280</v>
      </c>
      <c r="O2083" s="1225"/>
      <c r="P2083" s="1129"/>
      <c r="Q2083" s="1029"/>
      <c r="R2083" s="1029" t="s">
        <v>454</v>
      </c>
      <c r="S2083" s="646" t="s">
        <v>70</v>
      </c>
      <c r="T2083" s="1029" t="s">
        <v>6580</v>
      </c>
      <c r="U2083" s="1029"/>
      <c r="V2083" s="1029" t="s">
        <v>11020</v>
      </c>
      <c r="W2083" s="585"/>
      <c r="X2083" s="1128" t="s">
        <v>11021</v>
      </c>
      <c r="Y2083" s="1136" t="s">
        <v>11022</v>
      </c>
      <c r="Z2083" s="1128">
        <v>1.3899</v>
      </c>
      <c r="AA2083" s="1136">
        <f t="shared" si="868"/>
        <v>1667.88</v>
      </c>
      <c r="AC2083" s="1137"/>
      <c r="AD2083" s="939" t="s">
        <v>8545</v>
      </c>
      <c r="AE2083" s="1129" t="s">
        <v>82</v>
      </c>
      <c r="AF2083" s="1129"/>
      <c r="AG2083" s="1129"/>
      <c r="AH2083" s="1128"/>
      <c r="AI2083" s="1128"/>
      <c r="AJ2083" s="939">
        <f t="shared" si="867"/>
        <v>-1200</v>
      </c>
      <c r="AK2083" s="1131"/>
      <c r="AL2083" s="1129" t="s">
        <v>2368</v>
      </c>
      <c r="AM2083" s="1129"/>
      <c r="AN2083" s="1129">
        <f>I2083*2</f>
        <v>2400</v>
      </c>
      <c r="AO2083" s="562"/>
      <c r="AP2083" s="210">
        <f>I2083*2</f>
        <v>2400</v>
      </c>
      <c r="AQ2083" s="562"/>
      <c r="AR2083" s="1138"/>
      <c r="AS2083" s="562"/>
      <c r="AT2083" s="562"/>
      <c r="AU2083" s="210">
        <f>I2083*2</f>
        <v>2400</v>
      </c>
      <c r="AV2083" s="562"/>
      <c r="AW2083" s="562"/>
      <c r="AX2083" s="1140"/>
      <c r="AY2083" s="562"/>
      <c r="AZ2083" s="562"/>
      <c r="BA2083" s="562"/>
      <c r="BB2083" s="1017">
        <f>I2083/24*2</f>
        <v>100</v>
      </c>
      <c r="BC2083" s="562"/>
      <c r="BD2083" s="562"/>
      <c r="BE2083" s="562"/>
      <c r="BF2083" s="1144"/>
      <c r="BG2083" s="566"/>
      <c r="BH2083" s="1145"/>
      <c r="BI2083" s="562"/>
      <c r="BJ2083" s="562"/>
      <c r="BK2083" s="562"/>
      <c r="BL2083" s="562"/>
      <c r="BM2083" s="562"/>
      <c r="BN2083" s="562"/>
      <c r="BO2083" s="562"/>
      <c r="BP2083" s="562"/>
      <c r="BQ2083" s="562"/>
      <c r="BR2083" s="562"/>
      <c r="BS2083" s="562"/>
      <c r="BT2083" s="562"/>
      <c r="BU2083" s="562"/>
      <c r="BV2083" s="562"/>
      <c r="BW2083" s="562"/>
      <c r="BX2083" s="562"/>
      <c r="BY2083" s="562"/>
      <c r="BZ2083" s="562"/>
      <c r="CA2083" s="1144"/>
      <c r="CB2083" s="566"/>
      <c r="CC2083" s="1145"/>
      <c r="CD2083" s="562"/>
      <c r="CE2083" s="562"/>
      <c r="CF2083" s="562"/>
      <c r="CG2083" s="1144"/>
      <c r="CH2083" s="566"/>
      <c r="CI2083" s="1145"/>
      <c r="CJ2083" s="562"/>
      <c r="CK2083" s="562"/>
      <c r="CL2083" s="562"/>
      <c r="CM2083" s="562"/>
      <c r="CN2083" s="562"/>
      <c r="CO2083" s="562"/>
      <c r="CP2083" s="1138"/>
      <c r="CQ2083" s="1138"/>
      <c r="CR2083" s="556">
        <f>I2083</f>
        <v>1200</v>
      </c>
      <c r="CS2083" s="556">
        <f>I2083</f>
        <v>1200</v>
      </c>
      <c r="CT2083" s="556">
        <f>I2083</f>
        <v>1200</v>
      </c>
      <c r="CU2083" s="687">
        <f t="shared" si="869"/>
        <v>0</v>
      </c>
      <c r="CV2083" s="687">
        <f t="shared" si="870"/>
        <v>0</v>
      </c>
      <c r="CW2083" s="687">
        <f t="shared" si="871"/>
        <v>0</v>
      </c>
      <c r="CX2083" s="1138"/>
      <c r="CY2083" s="1138"/>
      <c r="CZ2083" s="1138"/>
      <c r="DA2083" s="1138"/>
      <c r="DB2083" s="1138"/>
      <c r="DC2083" s="1138"/>
      <c r="DD2083" s="1138"/>
      <c r="DE2083" s="1138"/>
      <c r="DF2083" s="1138"/>
      <c r="DG2083" s="1138"/>
      <c r="DH2083" s="1138"/>
    </row>
    <row r="2084" s="560" customFormat="1" ht="31" customHeight="1" spans="1:112">
      <c r="A2084" s="1034">
        <v>46226</v>
      </c>
      <c r="B2084" s="603" t="s">
        <v>2952</v>
      </c>
      <c r="C2084" s="1035" t="s">
        <v>1227</v>
      </c>
      <c r="D2084" s="560">
        <v>4500217585</v>
      </c>
      <c r="E2084" s="1035"/>
      <c r="F2084" s="560" t="s">
        <v>11023</v>
      </c>
      <c r="G2084" s="1035" t="s">
        <v>6276</v>
      </c>
      <c r="H2084" s="1035" t="s">
        <v>6277</v>
      </c>
      <c r="I2084" s="1036">
        <v>1200</v>
      </c>
      <c r="J2084" s="1035">
        <v>0</v>
      </c>
      <c r="K2084" s="1035">
        <v>50</v>
      </c>
      <c r="L2084" s="1025">
        <f t="shared" si="848"/>
        <v>24</v>
      </c>
      <c r="M2084" s="1037">
        <v>46286</v>
      </c>
      <c r="N2084" s="1037">
        <v>46282</v>
      </c>
      <c r="O2084" s="1043"/>
      <c r="P2084" s="1035"/>
      <c r="Q2084" s="1039"/>
      <c r="R2084" s="1039">
        <v>46251</v>
      </c>
      <c r="S2084" s="1039" t="s">
        <v>70</v>
      </c>
      <c r="T2084" s="1039" t="s">
        <v>4967</v>
      </c>
      <c r="U2084" s="1039"/>
      <c r="V2084" s="1039" t="s">
        <v>11024</v>
      </c>
      <c r="W2084" s="603"/>
      <c r="X2084" s="603" t="s">
        <v>11025</v>
      </c>
      <c r="Y2084" s="1042" t="s">
        <v>3754</v>
      </c>
      <c r="Z2084" s="603">
        <v>0.9521</v>
      </c>
      <c r="AA2084" s="1042">
        <f t="shared" si="868"/>
        <v>1142.52</v>
      </c>
      <c r="AC2084" s="1030"/>
      <c r="AD2084" s="939" t="s">
        <v>6276</v>
      </c>
      <c r="AE2084" s="1035" t="s">
        <v>82</v>
      </c>
      <c r="AF2084" s="1035"/>
      <c r="AG2084" s="1035"/>
      <c r="AH2084" s="603"/>
      <c r="AI2084" s="603"/>
      <c r="AJ2084" s="939">
        <f t="shared" si="867"/>
        <v>-1200</v>
      </c>
      <c r="AK2084" s="1043"/>
      <c r="AL2084" s="1035"/>
      <c r="AM2084" s="1035"/>
      <c r="AN2084" s="1035"/>
      <c r="AO2084" s="560">
        <f>I2084</f>
        <v>1200</v>
      </c>
      <c r="AR2084" s="1044"/>
      <c r="AS2084" s="560"/>
      <c r="AT2084" s="560"/>
      <c r="AU2084" s="560"/>
      <c r="AV2084" s="560"/>
      <c r="AW2084" s="560"/>
      <c r="AX2084" s="1045"/>
      <c r="AY2084" s="560"/>
      <c r="AZ2084" s="560"/>
      <c r="BA2084" s="560"/>
      <c r="BB2084" s="1017">
        <f t="shared" ref="BB2084:BB2086" si="872">I2084/24</f>
        <v>50</v>
      </c>
      <c r="BV2084" s="563">
        <f>I2084</f>
        <v>1200</v>
      </c>
      <c r="BW2084" s="563">
        <f>I2084</f>
        <v>1200</v>
      </c>
      <c r="BX2084" s="563">
        <f>I2084/25</f>
        <v>48</v>
      </c>
      <c r="CP2084" s="1044"/>
      <c r="CQ2084" s="1044"/>
      <c r="CR2084" s="560"/>
      <c r="CS2084" s="560"/>
      <c r="CT2084" s="560"/>
      <c r="CU2084" s="563">
        <f t="shared" si="869"/>
        <v>48</v>
      </c>
      <c r="CV2084" s="563">
        <f t="shared" si="870"/>
        <v>0</v>
      </c>
      <c r="CW2084" s="563">
        <f t="shared" si="871"/>
        <v>0</v>
      </c>
      <c r="CX2084" s="1044"/>
      <c r="CY2084" s="1044"/>
      <c r="CZ2084" s="1044"/>
      <c r="DA2084" s="1044"/>
      <c r="DB2084" s="1044"/>
      <c r="DC2084" s="1044"/>
      <c r="DD2084" s="1044"/>
      <c r="DE2084" s="1044"/>
      <c r="DF2084" s="1044"/>
      <c r="DG2084" s="1044"/>
      <c r="DH2084" s="1044"/>
    </row>
    <row r="2085" s="558" customFormat="1" ht="31" customHeight="1" spans="1:112">
      <c r="A2085" s="991">
        <v>46218</v>
      </c>
      <c r="B2085" s="601" t="s">
        <v>729</v>
      </c>
      <c r="C2085" s="992" t="s">
        <v>278</v>
      </c>
      <c r="D2085" s="993">
        <v>4500216546</v>
      </c>
      <c r="E2085" s="992" t="s">
        <v>11026</v>
      </c>
      <c r="F2085" s="586" t="s">
        <v>11027</v>
      </c>
      <c r="G2085" s="992" t="s">
        <v>6047</v>
      </c>
      <c r="H2085" s="992" t="s">
        <v>6069</v>
      </c>
      <c r="I2085" s="995">
        <v>12000</v>
      </c>
      <c r="J2085" s="992">
        <v>0</v>
      </c>
      <c r="K2085" s="996">
        <v>25</v>
      </c>
      <c r="L2085" s="997">
        <f t="shared" si="848"/>
        <v>480</v>
      </c>
      <c r="M2085" s="998">
        <v>46286</v>
      </c>
      <c r="N2085" s="1079">
        <v>46282</v>
      </c>
      <c r="O2085" s="994"/>
      <c r="P2085" s="992"/>
      <c r="Q2085" s="584"/>
      <c r="R2085" s="584">
        <v>46218</v>
      </c>
      <c r="S2085" s="999" t="s">
        <v>70</v>
      </c>
      <c r="T2085" s="584" t="s">
        <v>11028</v>
      </c>
      <c r="U2085" s="584" t="s">
        <v>11029</v>
      </c>
      <c r="V2085" s="584"/>
      <c r="W2085" s="585"/>
      <c r="X2085" s="601" t="s">
        <v>11030</v>
      </c>
      <c r="Y2085" s="1000" t="s">
        <v>11031</v>
      </c>
      <c r="Z2085" s="601">
        <v>0.9474</v>
      </c>
      <c r="AA2085" s="1000">
        <f t="shared" si="868"/>
        <v>11368.8</v>
      </c>
      <c r="AB2085" s="585"/>
      <c r="AC2085" s="1002"/>
      <c r="AD2085" s="939" t="s">
        <v>6047</v>
      </c>
      <c r="AE2085" s="992" t="s">
        <v>82</v>
      </c>
      <c r="AF2085" s="992"/>
      <c r="AG2085" s="992"/>
      <c r="AH2085" s="601"/>
      <c r="AI2085" s="626"/>
      <c r="AJ2085" s="939">
        <f t="shared" si="867"/>
        <v>-12000</v>
      </c>
      <c r="AK2085" s="994"/>
      <c r="AL2085" s="992"/>
      <c r="AM2085" s="992"/>
      <c r="AN2085" s="992"/>
      <c r="AO2085" s="586">
        <f>I2085</f>
        <v>12000</v>
      </c>
      <c r="AP2085" s="586"/>
      <c r="AQ2085" s="586"/>
      <c r="AR2085" s="1003"/>
      <c r="AS2085" s="586"/>
      <c r="AT2085" s="563">
        <f>I2085</f>
        <v>12000</v>
      </c>
      <c r="AU2085" s="563"/>
      <c r="AV2085" s="563">
        <f>I2085</f>
        <v>12000</v>
      </c>
      <c r="AW2085" s="586"/>
      <c r="AX2085" s="1049"/>
      <c r="AY2085" s="586"/>
      <c r="AZ2085" s="586"/>
      <c r="BA2085" s="586"/>
      <c r="BB2085" s="1017">
        <f t="shared" si="872"/>
        <v>500</v>
      </c>
      <c r="BC2085" s="586"/>
      <c r="BD2085" s="586"/>
      <c r="BE2085" s="586"/>
      <c r="BF2085" s="1005"/>
      <c r="BG2085" s="561"/>
      <c r="BH2085" s="1006"/>
      <c r="BI2085" s="586"/>
      <c r="BJ2085" s="586"/>
      <c r="BK2085" s="586"/>
      <c r="BL2085" s="586"/>
      <c r="BM2085" s="586"/>
      <c r="BN2085" s="586"/>
      <c r="BO2085" s="586"/>
      <c r="BP2085" s="563">
        <f>I2085/25</f>
        <v>480</v>
      </c>
      <c r="BQ2085" s="586"/>
      <c r="BR2085" s="586"/>
      <c r="BS2085" s="586"/>
      <c r="BT2085" s="586"/>
      <c r="BU2085" s="586"/>
      <c r="BV2085" s="586"/>
      <c r="BW2085" s="586"/>
      <c r="BX2085" s="586"/>
      <c r="BY2085" s="586"/>
      <c r="BZ2085" s="586"/>
      <c r="CA2085" s="1007"/>
      <c r="CB2085" s="560"/>
      <c r="CC2085" s="1006"/>
      <c r="CD2085" s="586"/>
      <c r="CE2085" s="586"/>
      <c r="CF2085" s="586"/>
      <c r="CG2085" s="1005"/>
      <c r="CH2085" s="561"/>
      <c r="CI2085" s="1006"/>
      <c r="CJ2085" s="586"/>
      <c r="CK2085" s="586"/>
      <c r="CL2085" s="586"/>
      <c r="CM2085" s="586"/>
      <c r="CN2085" s="586"/>
      <c r="CO2085" s="586"/>
      <c r="CP2085" s="1003"/>
      <c r="CQ2085" s="1003"/>
      <c r="CR2085" s="586"/>
      <c r="CS2085" s="586"/>
      <c r="CT2085" s="586"/>
      <c r="CU2085" s="563">
        <f t="shared" si="869"/>
        <v>480</v>
      </c>
      <c r="CV2085" s="563">
        <f t="shared" si="870"/>
        <v>0</v>
      </c>
      <c r="CW2085" s="563">
        <f t="shared" si="871"/>
        <v>0</v>
      </c>
      <c r="CX2085" s="1003"/>
      <c r="CY2085" s="1003"/>
      <c r="CZ2085" s="1003"/>
      <c r="DA2085" s="1003"/>
      <c r="DB2085" s="1003"/>
      <c r="DC2085" s="1003"/>
      <c r="DD2085" s="1003"/>
      <c r="DE2085" s="1003"/>
      <c r="DF2085" s="1003"/>
      <c r="DG2085" s="1003"/>
      <c r="DH2085" s="1003"/>
    </row>
    <row r="2086" s="558" customFormat="1" ht="31" customHeight="1" spans="1:112">
      <c r="A2086" s="1022">
        <v>46239</v>
      </c>
      <c r="B2086" s="626" t="s">
        <v>4531</v>
      </c>
      <c r="C2086" s="939" t="s">
        <v>524</v>
      </c>
      <c r="D2086" s="563">
        <v>4500218890</v>
      </c>
      <c r="E2086" s="939"/>
      <c r="F2086" s="563" t="s">
        <v>11032</v>
      </c>
      <c r="G2086" s="939" t="s">
        <v>6047</v>
      </c>
      <c r="H2086" s="939" t="s">
        <v>6069</v>
      </c>
      <c r="I2086" s="1023">
        <v>6500</v>
      </c>
      <c r="J2086" s="939">
        <v>0</v>
      </c>
      <c r="K2086" s="1024">
        <v>25</v>
      </c>
      <c r="L2086" s="1025">
        <f t="shared" si="848"/>
        <v>260</v>
      </c>
      <c r="M2086" s="1026">
        <v>46286</v>
      </c>
      <c r="N2086" s="1027">
        <v>46282</v>
      </c>
      <c r="O2086" s="1031"/>
      <c r="P2086" s="939"/>
      <c r="Q2086" s="999"/>
      <c r="R2086" s="999" t="s">
        <v>454</v>
      </c>
      <c r="S2086" s="584" t="s">
        <v>104</v>
      </c>
      <c r="T2086" s="584" t="s">
        <v>11033</v>
      </c>
      <c r="U2086" s="584"/>
      <c r="V2086" s="999"/>
      <c r="W2086" s="585"/>
      <c r="X2086" s="626" t="s">
        <v>11034</v>
      </c>
      <c r="Y2086" s="1001" t="s">
        <v>11035</v>
      </c>
      <c r="Z2086" s="626">
        <v>0.9527</v>
      </c>
      <c r="AA2086" s="1001">
        <f t="shared" si="868"/>
        <v>6192.55</v>
      </c>
      <c r="AB2086" s="585"/>
      <c r="AC2086" s="1030"/>
      <c r="AD2086" s="939" t="s">
        <v>6047</v>
      </c>
      <c r="AE2086" s="1035" t="s">
        <v>82</v>
      </c>
      <c r="AF2086" s="939"/>
      <c r="AG2086" s="939"/>
      <c r="AH2086" s="626"/>
      <c r="AI2086" s="626"/>
      <c r="AJ2086" s="992">
        <f t="shared" si="867"/>
        <v>-6500</v>
      </c>
      <c r="AK2086" s="1031"/>
      <c r="AL2086" s="939"/>
      <c r="AM2086" s="939"/>
      <c r="AN2086" s="939"/>
      <c r="AO2086" s="563">
        <f>I2086</f>
        <v>6500</v>
      </c>
      <c r="AP2086" s="586"/>
      <c r="AQ2086" s="563"/>
      <c r="AR2086" s="1015"/>
      <c r="AS2086" s="563"/>
      <c r="AT2086" s="563">
        <f>I2086</f>
        <v>6500</v>
      </c>
      <c r="AU2086" s="563"/>
      <c r="AV2086" s="563">
        <f>I2086</f>
        <v>6500</v>
      </c>
      <c r="AW2086" s="563"/>
      <c r="AX2086" s="1004"/>
      <c r="AY2086" s="563"/>
      <c r="AZ2086" s="563"/>
      <c r="BA2086" s="563"/>
      <c r="BB2086" s="1017">
        <f t="shared" si="872"/>
        <v>270.833333333333</v>
      </c>
      <c r="BC2086" s="563"/>
      <c r="BD2086" s="563"/>
      <c r="BE2086" s="563"/>
      <c r="BF2086" s="1032"/>
      <c r="BG2086" s="560"/>
      <c r="BH2086" s="1033"/>
      <c r="BI2086" s="563"/>
      <c r="BJ2086" s="563"/>
      <c r="BK2086" s="563"/>
      <c r="BL2086" s="563"/>
      <c r="BM2086" s="563"/>
      <c r="BN2086" s="563"/>
      <c r="BO2086" s="563"/>
      <c r="BP2086" s="563">
        <f>I2086/25</f>
        <v>260</v>
      </c>
      <c r="BQ2086" s="563"/>
      <c r="BR2086" s="563"/>
      <c r="BS2086" s="563"/>
      <c r="BT2086" s="563"/>
      <c r="BU2086" s="563"/>
      <c r="BV2086" s="563"/>
      <c r="BW2086" s="563"/>
      <c r="BX2086" s="563"/>
      <c r="BY2086" s="563"/>
      <c r="BZ2086" s="563"/>
      <c r="CA2086" s="1032"/>
      <c r="CB2086" s="560"/>
      <c r="CC2086" s="1033"/>
      <c r="CD2086" s="563"/>
      <c r="CE2086" s="563"/>
      <c r="CF2086" s="563"/>
      <c r="CG2086" s="1032"/>
      <c r="CH2086" s="560"/>
      <c r="CI2086" s="1033"/>
      <c r="CJ2086" s="563"/>
      <c r="CK2086" s="563"/>
      <c r="CL2086" s="563"/>
      <c r="CM2086" s="563"/>
      <c r="CN2086" s="563"/>
      <c r="CO2086" s="563"/>
      <c r="CP2086" s="1015"/>
      <c r="CQ2086" s="1015"/>
      <c r="CR2086" s="563"/>
      <c r="CS2086" s="563"/>
      <c r="CT2086" s="563"/>
      <c r="CU2086" s="586">
        <f t="shared" si="869"/>
        <v>260</v>
      </c>
      <c r="CV2086" s="586">
        <v>0</v>
      </c>
      <c r="CW2086" s="586">
        <v>0</v>
      </c>
      <c r="CX2086" s="1015"/>
      <c r="CY2086" s="1015"/>
      <c r="CZ2086" s="1015"/>
      <c r="DA2086" s="1015"/>
      <c r="DB2086" s="1015"/>
      <c r="DC2086" s="1015"/>
      <c r="DD2086" s="1015"/>
      <c r="DE2086" s="1015"/>
      <c r="DF2086" s="1015"/>
      <c r="DG2086" s="1015"/>
      <c r="DH2086" s="1015"/>
    </row>
    <row r="2087" s="558" customFormat="1" ht="31" customHeight="1" spans="1:112">
      <c r="A2087" s="1022">
        <v>46239</v>
      </c>
      <c r="B2087" s="626" t="s">
        <v>4531</v>
      </c>
      <c r="C2087" s="939" t="s">
        <v>524</v>
      </c>
      <c r="D2087" s="563">
        <v>4500218890</v>
      </c>
      <c r="E2087" s="939"/>
      <c r="F2087" s="563" t="s">
        <v>5875</v>
      </c>
      <c r="G2087" s="939" t="s">
        <v>6337</v>
      </c>
      <c r="H2087" s="939" t="s">
        <v>477</v>
      </c>
      <c r="I2087" s="1023">
        <v>1158</v>
      </c>
      <c r="J2087" s="939">
        <v>0</v>
      </c>
      <c r="K2087" s="1024">
        <v>6</v>
      </c>
      <c r="L2087" s="1025">
        <f t="shared" si="848"/>
        <v>193</v>
      </c>
      <c r="M2087" s="1026">
        <v>46286</v>
      </c>
      <c r="N2087" s="1027">
        <v>46282</v>
      </c>
      <c r="O2087" s="1031"/>
      <c r="P2087" s="939"/>
      <c r="Q2087" s="999"/>
      <c r="R2087" s="999" t="s">
        <v>454</v>
      </c>
      <c r="S2087" s="584" t="s">
        <v>104</v>
      </c>
      <c r="T2087" s="584" t="s">
        <v>5876</v>
      </c>
      <c r="U2087" s="999" t="s">
        <v>5872</v>
      </c>
      <c r="V2087" s="999"/>
      <c r="W2087" s="585"/>
      <c r="X2087" s="626" t="s">
        <v>11036</v>
      </c>
      <c r="Y2087" s="1001" t="s">
        <v>11035</v>
      </c>
      <c r="Z2087" s="626">
        <v>7.2023</v>
      </c>
      <c r="AA2087" s="1001">
        <f t="shared" si="868"/>
        <v>8340.2634</v>
      </c>
      <c r="AB2087" s="585"/>
      <c r="AC2087" s="1030"/>
      <c r="AD2087" s="992" t="s">
        <v>5878</v>
      </c>
      <c r="AE2087" s="939" t="s">
        <v>82</v>
      </c>
      <c r="AF2087" s="939"/>
      <c r="AG2087" s="939"/>
      <c r="AH2087" s="626"/>
      <c r="AI2087" s="626"/>
      <c r="AJ2087" s="992">
        <f t="shared" si="867"/>
        <v>-1158</v>
      </c>
      <c r="AK2087" s="1031"/>
      <c r="AL2087" s="939"/>
      <c r="AM2087" s="939"/>
      <c r="AN2087" s="939"/>
      <c r="AO2087" s="563">
        <f>I2087*2</f>
        <v>2316</v>
      </c>
      <c r="AP2087" s="586"/>
      <c r="AQ2087" s="563"/>
      <c r="AR2087" s="1015">
        <f>I2087*2</f>
        <v>2316</v>
      </c>
      <c r="AS2087" s="563"/>
      <c r="AT2087" s="563"/>
      <c r="AU2087" s="586"/>
      <c r="AV2087" s="586">
        <f>I2087*2</f>
        <v>2316</v>
      </c>
      <c r="AW2087" s="563"/>
      <c r="AX2087" s="1004"/>
      <c r="AY2087" s="563"/>
      <c r="AZ2087" s="563"/>
      <c r="BA2087" s="563"/>
      <c r="BB2087" s="1078">
        <f>I2087/24*2</f>
        <v>96.5</v>
      </c>
      <c r="BC2087" s="563"/>
      <c r="BD2087" s="563"/>
      <c r="BE2087" s="563"/>
      <c r="BF2087" s="1032"/>
      <c r="BG2087" s="560"/>
      <c r="BH2087" s="1033"/>
      <c r="BI2087" s="563"/>
      <c r="BJ2087" s="563"/>
      <c r="BK2087" s="563"/>
      <c r="BL2087" s="563"/>
      <c r="BM2087" s="563"/>
      <c r="BN2087" s="563"/>
      <c r="BO2087" s="563"/>
      <c r="BP2087" s="563"/>
      <c r="BQ2087" s="563"/>
      <c r="BR2087" s="563"/>
      <c r="BS2087" s="563"/>
      <c r="BT2087" s="563"/>
      <c r="BU2087" s="563"/>
      <c r="BV2087" s="563"/>
      <c r="BW2087" s="563"/>
      <c r="BX2087" s="563"/>
      <c r="BY2087" s="563"/>
      <c r="BZ2087" s="563"/>
      <c r="CA2087" s="1032"/>
      <c r="CB2087" s="560"/>
      <c r="CC2087" s="1033"/>
      <c r="CD2087" s="1003">
        <f>I2087</f>
        <v>1158</v>
      </c>
      <c r="CE2087" s="563"/>
      <c r="CF2087" s="563"/>
      <c r="CG2087" s="1032"/>
      <c r="CH2087" s="560"/>
      <c r="CI2087" s="1033"/>
      <c r="CJ2087" s="563"/>
      <c r="CK2087" s="563"/>
      <c r="CL2087" s="563"/>
      <c r="CM2087" s="563"/>
      <c r="CN2087" s="563"/>
      <c r="CO2087" s="563"/>
      <c r="CP2087" s="1015"/>
      <c r="CQ2087" s="1015"/>
      <c r="CR2087" s="563"/>
      <c r="CS2087" s="563"/>
      <c r="CT2087" s="563"/>
      <c r="CU2087" s="586">
        <f t="shared" si="869"/>
        <v>0</v>
      </c>
      <c r="CV2087" s="586">
        <v>0</v>
      </c>
      <c r="CW2087" s="586">
        <v>0</v>
      </c>
      <c r="CX2087" s="1015"/>
      <c r="CY2087" s="1015"/>
      <c r="CZ2087" s="1015"/>
      <c r="DA2087" s="1015"/>
      <c r="DB2087" s="1015"/>
      <c r="DC2087" s="1015"/>
      <c r="DD2087" s="1015"/>
      <c r="DE2087" s="1015"/>
      <c r="DF2087" s="1015"/>
      <c r="DG2087" s="1015"/>
      <c r="DH2087" s="1015"/>
    </row>
    <row r="2088" s="558" customFormat="1" ht="31" customHeight="1" spans="1:112">
      <c r="A2088" s="1022">
        <v>46239</v>
      </c>
      <c r="B2088" s="626" t="s">
        <v>9183</v>
      </c>
      <c r="C2088" s="939" t="s">
        <v>98</v>
      </c>
      <c r="D2088" s="563">
        <v>4500218792</v>
      </c>
      <c r="E2088" s="939">
        <v>1964391</v>
      </c>
      <c r="F2088" s="563" t="s">
        <v>11037</v>
      </c>
      <c r="G2088" s="939" t="s">
        <v>6787</v>
      </c>
      <c r="H2088" s="939" t="s">
        <v>6126</v>
      </c>
      <c r="I2088" s="1023">
        <v>120</v>
      </c>
      <c r="J2088" s="939">
        <v>0</v>
      </c>
      <c r="K2088" s="1024">
        <v>12</v>
      </c>
      <c r="L2088" s="1025">
        <f t="shared" si="848"/>
        <v>10</v>
      </c>
      <c r="M2088" s="1026">
        <v>46287</v>
      </c>
      <c r="N2088" s="1027">
        <v>46283</v>
      </c>
      <c r="O2088" s="1031"/>
      <c r="P2088" s="939"/>
      <c r="Q2088" s="999"/>
      <c r="R2088" s="999">
        <v>46245</v>
      </c>
      <c r="S2088" s="999" t="s">
        <v>70</v>
      </c>
      <c r="T2088" s="584" t="s">
        <v>6580</v>
      </c>
      <c r="U2088" s="584"/>
      <c r="V2088" s="999"/>
      <c r="W2088" s="585"/>
      <c r="X2088" s="626" t="s">
        <v>11038</v>
      </c>
      <c r="Y2088" s="1001" t="s">
        <v>11039</v>
      </c>
      <c r="Z2088" s="626">
        <v>1.3899</v>
      </c>
      <c r="AA2088" s="1001">
        <f t="shared" si="868"/>
        <v>166.788</v>
      </c>
      <c r="AB2088" s="585"/>
      <c r="AC2088" s="1030"/>
      <c r="AD2088" s="939" t="s">
        <v>8545</v>
      </c>
      <c r="AE2088" s="939" t="s">
        <v>82</v>
      </c>
      <c r="AF2088" s="939"/>
      <c r="AG2088" s="939"/>
      <c r="AH2088" s="626"/>
      <c r="AI2088" s="626"/>
      <c r="AJ2088" s="939">
        <f t="shared" si="867"/>
        <v>-120</v>
      </c>
      <c r="AK2088" s="1031"/>
      <c r="AL2088" s="939"/>
      <c r="AM2088" s="939"/>
      <c r="AN2088" s="939">
        <f>I2088*2</f>
        <v>240</v>
      </c>
      <c r="AO2088" s="563"/>
      <c r="AP2088" s="563">
        <f>I2088*2</f>
        <v>240</v>
      </c>
      <c r="AQ2088" s="563"/>
      <c r="AR2088" s="1015"/>
      <c r="AS2088" s="563"/>
      <c r="AT2088" s="563"/>
      <c r="AU2088" s="563">
        <f>I2088*2</f>
        <v>240</v>
      </c>
      <c r="AV2088" s="563"/>
      <c r="AW2088" s="563"/>
      <c r="AX2088" s="1004"/>
      <c r="AY2088" s="563"/>
      <c r="AZ2088" s="563"/>
      <c r="BA2088" s="563"/>
      <c r="BB2088" s="1017">
        <f>I2088/24*2</f>
        <v>10</v>
      </c>
      <c r="BC2088" s="563"/>
      <c r="BD2088" s="563"/>
      <c r="BE2088" s="563"/>
      <c r="BF2088" s="1032"/>
      <c r="BG2088" s="560"/>
      <c r="BH2088" s="1033"/>
      <c r="BI2088" s="563"/>
      <c r="BJ2088" s="563"/>
      <c r="BK2088" s="563"/>
      <c r="BL2088" s="563"/>
      <c r="BM2088" s="563"/>
      <c r="BN2088" s="563"/>
      <c r="BO2088" s="563"/>
      <c r="BP2088" s="563"/>
      <c r="BQ2088" s="563"/>
      <c r="BR2088" s="563"/>
      <c r="BS2088" s="563"/>
      <c r="BT2088" s="563"/>
      <c r="BU2088" s="563"/>
      <c r="BV2088" s="563"/>
      <c r="BW2088" s="563"/>
      <c r="BX2088" s="563"/>
      <c r="BY2088" s="563"/>
      <c r="BZ2088" s="563"/>
      <c r="CA2088" s="1032"/>
      <c r="CB2088" s="560"/>
      <c r="CC2088" s="1033"/>
      <c r="CD2088" s="563"/>
      <c r="CE2088" s="563"/>
      <c r="CF2088" s="563"/>
      <c r="CG2088" s="1032"/>
      <c r="CH2088" s="560"/>
      <c r="CI2088" s="1033"/>
      <c r="CJ2088" s="563"/>
      <c r="CK2088" s="563"/>
      <c r="CL2088" s="563"/>
      <c r="CM2088" s="563"/>
      <c r="CN2088" s="563"/>
      <c r="CO2088" s="563"/>
      <c r="CP2088" s="1015"/>
      <c r="CQ2088" s="1015"/>
      <c r="CR2088" s="563">
        <f>I2088</f>
        <v>120</v>
      </c>
      <c r="CS2088" s="563">
        <f>I2088</f>
        <v>120</v>
      </c>
      <c r="CT2088" s="563">
        <f>I2088</f>
        <v>120</v>
      </c>
      <c r="CU2088" s="563">
        <f t="shared" si="869"/>
        <v>0</v>
      </c>
      <c r="CV2088" s="563">
        <v>0</v>
      </c>
      <c r="CW2088" s="563">
        <v>0</v>
      </c>
      <c r="CX2088" s="1015"/>
      <c r="CY2088" s="1015"/>
      <c r="CZ2088" s="1015"/>
      <c r="DA2088" s="1015"/>
      <c r="DB2088" s="1015"/>
      <c r="DC2088" s="1015"/>
      <c r="DD2088" s="1015"/>
      <c r="DE2088" s="1015"/>
      <c r="DF2088" s="1015"/>
      <c r="DG2088" s="1015"/>
      <c r="DH2088" s="1015"/>
    </row>
    <row r="2089" s="558" customFormat="1" ht="31" customHeight="1" spans="1:112">
      <c r="A2089" s="1022">
        <v>46239</v>
      </c>
      <c r="B2089" s="626" t="s">
        <v>9183</v>
      </c>
      <c r="C2089" s="939" t="s">
        <v>98</v>
      </c>
      <c r="D2089" s="563">
        <v>4500218792</v>
      </c>
      <c r="E2089" s="939">
        <v>1964480</v>
      </c>
      <c r="F2089" s="563" t="s">
        <v>11040</v>
      </c>
      <c r="G2089" s="939" t="s">
        <v>6787</v>
      </c>
      <c r="H2089" s="939" t="s">
        <v>6126</v>
      </c>
      <c r="I2089" s="1023">
        <v>1620</v>
      </c>
      <c r="J2089" s="939">
        <v>0</v>
      </c>
      <c r="K2089" s="1024">
        <v>12</v>
      </c>
      <c r="L2089" s="1025">
        <f t="shared" si="848"/>
        <v>135</v>
      </c>
      <c r="M2089" s="1026">
        <v>46287</v>
      </c>
      <c r="N2089" s="1027">
        <v>46283</v>
      </c>
      <c r="O2089" s="1031"/>
      <c r="P2089" s="939"/>
      <c r="Q2089" s="999"/>
      <c r="R2089" s="999">
        <v>46245</v>
      </c>
      <c r="S2089" s="999" t="s">
        <v>70</v>
      </c>
      <c r="T2089" s="584" t="s">
        <v>6580</v>
      </c>
      <c r="U2089" s="584"/>
      <c r="V2089" s="999"/>
      <c r="W2089" s="585"/>
      <c r="X2089" s="626" t="s">
        <v>11038</v>
      </c>
      <c r="Y2089" s="1001" t="s">
        <v>11039</v>
      </c>
      <c r="Z2089" s="626">
        <v>1.3665</v>
      </c>
      <c r="AA2089" s="1001">
        <f t="shared" si="868"/>
        <v>2213.73</v>
      </c>
      <c r="AB2089" s="585"/>
      <c r="AC2089" s="1030"/>
      <c r="AD2089" s="939" t="s">
        <v>8545</v>
      </c>
      <c r="AE2089" s="939" t="s">
        <v>82</v>
      </c>
      <c r="AF2089" s="939"/>
      <c r="AG2089" s="939"/>
      <c r="AH2089" s="626"/>
      <c r="AI2089" s="626"/>
      <c r="AJ2089" s="939">
        <f t="shared" si="867"/>
        <v>-1620</v>
      </c>
      <c r="AK2089" s="1031"/>
      <c r="AL2089" s="939"/>
      <c r="AM2089" s="939"/>
      <c r="AN2089" s="939">
        <f>I2089*2</f>
        <v>3240</v>
      </c>
      <c r="AO2089" s="563"/>
      <c r="AP2089" s="563">
        <f>I2089*2</f>
        <v>3240</v>
      </c>
      <c r="AQ2089" s="563"/>
      <c r="AR2089" s="1015"/>
      <c r="AS2089" s="563"/>
      <c r="AT2089" s="563"/>
      <c r="AU2089" s="563">
        <f>I2089*2</f>
        <v>3240</v>
      </c>
      <c r="AV2089" s="563"/>
      <c r="AW2089" s="563"/>
      <c r="AX2089" s="1004"/>
      <c r="AY2089" s="563"/>
      <c r="AZ2089" s="563"/>
      <c r="BA2089" s="563"/>
      <c r="BB2089" s="1017">
        <f>I2089/24*2</f>
        <v>135</v>
      </c>
      <c r="BC2089" s="563"/>
      <c r="BD2089" s="563"/>
      <c r="BE2089" s="563"/>
      <c r="BF2089" s="1032"/>
      <c r="BG2089" s="560"/>
      <c r="BH2089" s="1033"/>
      <c r="BI2089" s="563"/>
      <c r="BJ2089" s="563"/>
      <c r="BK2089" s="563"/>
      <c r="BL2089" s="563"/>
      <c r="BM2089" s="563"/>
      <c r="BN2089" s="563"/>
      <c r="BO2089" s="563"/>
      <c r="BP2089" s="563"/>
      <c r="BQ2089" s="563"/>
      <c r="BR2089" s="563"/>
      <c r="BS2089" s="563"/>
      <c r="BT2089" s="563"/>
      <c r="BU2089" s="563"/>
      <c r="BV2089" s="563"/>
      <c r="BW2089" s="563"/>
      <c r="BX2089" s="563"/>
      <c r="BY2089" s="563"/>
      <c r="BZ2089" s="563"/>
      <c r="CA2089" s="1032"/>
      <c r="CB2089" s="560"/>
      <c r="CC2089" s="1033"/>
      <c r="CD2089" s="563"/>
      <c r="CE2089" s="563"/>
      <c r="CF2089" s="563"/>
      <c r="CG2089" s="1032"/>
      <c r="CH2089" s="560"/>
      <c r="CI2089" s="1033"/>
      <c r="CJ2089" s="563"/>
      <c r="CK2089" s="563"/>
      <c r="CL2089" s="563"/>
      <c r="CM2089" s="563"/>
      <c r="CN2089" s="563"/>
      <c r="CO2089" s="563"/>
      <c r="CP2089" s="1015"/>
      <c r="CQ2089" s="1015"/>
      <c r="CR2089" s="563">
        <f>I2089</f>
        <v>1620</v>
      </c>
      <c r="CS2089" s="563">
        <f>I2089</f>
        <v>1620</v>
      </c>
      <c r="CT2089" s="563">
        <f>I2089</f>
        <v>1620</v>
      </c>
      <c r="CU2089" s="563">
        <f t="shared" si="869"/>
        <v>0</v>
      </c>
      <c r="CV2089" s="563">
        <v>0</v>
      </c>
      <c r="CW2089" s="563">
        <v>0</v>
      </c>
      <c r="CX2089" s="1015"/>
      <c r="CY2089" s="1015"/>
      <c r="CZ2089" s="1015"/>
      <c r="DA2089" s="1015"/>
      <c r="DB2089" s="1015"/>
      <c r="DC2089" s="1015"/>
      <c r="DD2089" s="1015"/>
      <c r="DE2089" s="1015"/>
      <c r="DF2089" s="1015"/>
      <c r="DG2089" s="1015"/>
      <c r="DH2089" s="1015"/>
    </row>
    <row r="2090" s="558" customFormat="1" ht="31" customHeight="1" spans="1:112">
      <c r="A2090" s="1022">
        <v>46239</v>
      </c>
      <c r="B2090" s="626" t="s">
        <v>9183</v>
      </c>
      <c r="C2090" s="939" t="s">
        <v>98</v>
      </c>
      <c r="D2090" s="563">
        <v>4500218792</v>
      </c>
      <c r="E2090" s="939">
        <v>1964479</v>
      </c>
      <c r="F2090" s="563" t="s">
        <v>11041</v>
      </c>
      <c r="G2090" s="939" t="s">
        <v>6787</v>
      </c>
      <c r="H2090" s="939" t="s">
        <v>6126</v>
      </c>
      <c r="I2090" s="1023">
        <v>660</v>
      </c>
      <c r="J2090" s="939">
        <v>0</v>
      </c>
      <c r="K2090" s="1024">
        <v>12</v>
      </c>
      <c r="L2090" s="1025">
        <f t="shared" si="848"/>
        <v>55</v>
      </c>
      <c r="M2090" s="1026">
        <v>46287</v>
      </c>
      <c r="N2090" s="1027">
        <v>46283</v>
      </c>
      <c r="O2090" s="1031"/>
      <c r="P2090" s="939"/>
      <c r="Q2090" s="999"/>
      <c r="R2090" s="999">
        <v>46245</v>
      </c>
      <c r="S2090" s="999" t="s">
        <v>70</v>
      </c>
      <c r="T2090" s="584" t="s">
        <v>6580</v>
      </c>
      <c r="U2090" s="584"/>
      <c r="V2090" s="999"/>
      <c r="W2090" s="585"/>
      <c r="X2090" s="626" t="s">
        <v>11042</v>
      </c>
      <c r="Y2090" s="1001" t="s">
        <v>11039</v>
      </c>
      <c r="Z2090" s="626">
        <v>1.3899</v>
      </c>
      <c r="AA2090" s="1001">
        <f t="shared" si="868"/>
        <v>917.334</v>
      </c>
      <c r="AB2090" s="585"/>
      <c r="AC2090" s="1030"/>
      <c r="AD2090" s="939" t="s">
        <v>8545</v>
      </c>
      <c r="AE2090" s="939" t="s">
        <v>82</v>
      </c>
      <c r="AF2090" s="939"/>
      <c r="AG2090" s="939"/>
      <c r="AH2090" s="626"/>
      <c r="AI2090" s="626"/>
      <c r="AJ2090" s="939">
        <f t="shared" si="867"/>
        <v>-660</v>
      </c>
      <c r="AK2090" s="1031"/>
      <c r="AL2090" s="939"/>
      <c r="AM2090" s="939"/>
      <c r="AN2090" s="939">
        <f>I2090*2</f>
        <v>1320</v>
      </c>
      <c r="AO2090" s="563"/>
      <c r="AP2090" s="563">
        <f>I2090*2</f>
        <v>1320</v>
      </c>
      <c r="AQ2090" s="563"/>
      <c r="AR2090" s="1015"/>
      <c r="AS2090" s="563"/>
      <c r="AT2090" s="563"/>
      <c r="AU2090" s="563">
        <f>I2090*2</f>
        <v>1320</v>
      </c>
      <c r="AV2090" s="563"/>
      <c r="AW2090" s="563"/>
      <c r="AX2090" s="1004"/>
      <c r="AY2090" s="563"/>
      <c r="AZ2090" s="563"/>
      <c r="BA2090" s="563"/>
      <c r="BB2090" s="1017">
        <f>I2090/24*2</f>
        <v>55</v>
      </c>
      <c r="BC2090" s="563"/>
      <c r="BD2090" s="563"/>
      <c r="BE2090" s="563"/>
      <c r="BF2090" s="1032"/>
      <c r="BG2090" s="560"/>
      <c r="BH2090" s="1033"/>
      <c r="BI2090" s="563"/>
      <c r="BJ2090" s="563"/>
      <c r="BK2090" s="563"/>
      <c r="BL2090" s="563"/>
      <c r="BM2090" s="563"/>
      <c r="BN2090" s="563"/>
      <c r="BO2090" s="563"/>
      <c r="BP2090" s="563"/>
      <c r="BQ2090" s="563"/>
      <c r="BR2090" s="563"/>
      <c r="BS2090" s="563"/>
      <c r="BT2090" s="563"/>
      <c r="BU2090" s="563"/>
      <c r="BV2090" s="563"/>
      <c r="BW2090" s="563"/>
      <c r="BX2090" s="563"/>
      <c r="BY2090" s="563"/>
      <c r="BZ2090" s="563"/>
      <c r="CA2090" s="1032"/>
      <c r="CB2090" s="560"/>
      <c r="CC2090" s="1033"/>
      <c r="CD2090" s="563"/>
      <c r="CE2090" s="563"/>
      <c r="CF2090" s="563"/>
      <c r="CG2090" s="1032"/>
      <c r="CH2090" s="560"/>
      <c r="CI2090" s="1033"/>
      <c r="CJ2090" s="563"/>
      <c r="CK2090" s="563"/>
      <c r="CL2090" s="563"/>
      <c r="CM2090" s="563"/>
      <c r="CN2090" s="563"/>
      <c r="CO2090" s="563"/>
      <c r="CP2090" s="1015"/>
      <c r="CQ2090" s="1015"/>
      <c r="CR2090" s="563">
        <f>I2090</f>
        <v>660</v>
      </c>
      <c r="CS2090" s="563">
        <f>I2090</f>
        <v>660</v>
      </c>
      <c r="CT2090" s="563">
        <f>I2090</f>
        <v>660</v>
      </c>
      <c r="CU2090" s="563">
        <f t="shared" si="869"/>
        <v>0</v>
      </c>
      <c r="CV2090" s="563">
        <v>0</v>
      </c>
      <c r="CW2090" s="563">
        <v>0</v>
      </c>
      <c r="CX2090" s="1015"/>
      <c r="CY2090" s="1015"/>
      <c r="CZ2090" s="1015"/>
      <c r="DA2090" s="1015"/>
      <c r="DB2090" s="1015"/>
      <c r="DC2090" s="1015"/>
      <c r="DD2090" s="1015"/>
      <c r="DE2090" s="1015"/>
      <c r="DF2090" s="1015"/>
      <c r="DG2090" s="1015"/>
      <c r="DH2090" s="1015"/>
    </row>
    <row r="2091" s="558" customFormat="1" ht="31" customHeight="1" spans="1:112">
      <c r="A2091" s="1022">
        <v>46237</v>
      </c>
      <c r="B2091" s="626" t="s">
        <v>143</v>
      </c>
      <c r="C2091" s="939" t="s">
        <v>98</v>
      </c>
      <c r="D2091" s="563">
        <v>4500218505</v>
      </c>
      <c r="E2091" s="1423" t="s">
        <v>11043</v>
      </c>
      <c r="F2091" s="563" t="s">
        <v>11044</v>
      </c>
      <c r="G2091" s="939" t="s">
        <v>6063</v>
      </c>
      <c r="H2091" s="939" t="s">
        <v>6064</v>
      </c>
      <c r="I2091" s="1023">
        <v>12480</v>
      </c>
      <c r="J2091" s="939">
        <v>0</v>
      </c>
      <c r="K2091" s="1024">
        <v>16</v>
      </c>
      <c r="L2091" s="1025">
        <f t="shared" si="848"/>
        <v>780</v>
      </c>
      <c r="M2091" s="1026">
        <v>46288</v>
      </c>
      <c r="N2091" s="1027">
        <v>46284</v>
      </c>
      <c r="O2091" s="1031"/>
      <c r="P2091" s="939"/>
      <c r="Q2091" s="999"/>
      <c r="R2091" s="999" t="s">
        <v>9889</v>
      </c>
      <c r="S2091" s="1039" t="s">
        <v>70</v>
      </c>
      <c r="T2091" s="1039" t="s">
        <v>10973</v>
      </c>
      <c r="U2091" s="584"/>
      <c r="V2091" s="999"/>
      <c r="W2091" s="585"/>
      <c r="X2091" s="626" t="s">
        <v>10974</v>
      </c>
      <c r="Y2091" s="1001" t="s">
        <v>106</v>
      </c>
      <c r="Z2091" s="626">
        <v>0.6268</v>
      </c>
      <c r="AA2091" s="1001">
        <f t="shared" si="868"/>
        <v>7822.464</v>
      </c>
      <c r="AB2091" s="585"/>
      <c r="AC2091" s="1030"/>
      <c r="AD2091" s="1035" t="s">
        <v>6063</v>
      </c>
      <c r="AE2091" s="939" t="s">
        <v>82</v>
      </c>
      <c r="AF2091" s="939"/>
      <c r="AG2091" s="939"/>
      <c r="AH2091" s="626"/>
      <c r="AI2091" s="626"/>
      <c r="AJ2091" s="992">
        <f t="shared" si="867"/>
        <v>-12480</v>
      </c>
      <c r="AK2091" s="1031"/>
      <c r="AL2091" s="939" t="s">
        <v>2368</v>
      </c>
      <c r="AM2091" s="939"/>
      <c r="AN2091" s="939">
        <f>I2091</f>
        <v>12480</v>
      </c>
      <c r="AO2091" s="563"/>
      <c r="AP2091" s="560">
        <f>I2091</f>
        <v>12480</v>
      </c>
      <c r="AQ2091" s="563"/>
      <c r="AR2091" s="1015"/>
      <c r="AS2091" s="563"/>
      <c r="AT2091" s="563"/>
      <c r="AU2091" s="560">
        <f>I2091</f>
        <v>12480</v>
      </c>
      <c r="AV2091" s="563"/>
      <c r="AW2091" s="563"/>
      <c r="AX2091" s="1004"/>
      <c r="AY2091" s="563"/>
      <c r="AZ2091" s="563"/>
      <c r="BA2091" s="563"/>
      <c r="BB2091" s="1116">
        <f>I2091/24</f>
        <v>520</v>
      </c>
      <c r="BC2091" s="563"/>
      <c r="BD2091" s="563"/>
      <c r="BE2091" s="563"/>
      <c r="BF2091" s="1032"/>
      <c r="BG2091" s="560"/>
      <c r="BH2091" s="1033"/>
      <c r="BI2091" s="563"/>
      <c r="BJ2091" s="563"/>
      <c r="BK2091" s="563"/>
      <c r="BL2091" s="563"/>
      <c r="BM2091" s="563"/>
      <c r="BN2091" s="563"/>
      <c r="BO2091" s="563"/>
      <c r="BP2091" s="563"/>
      <c r="BQ2091" s="560">
        <f>I2091/16</f>
        <v>780</v>
      </c>
      <c r="BR2091" s="563"/>
      <c r="BS2091" s="563"/>
      <c r="BT2091" s="563"/>
      <c r="BU2091" s="563"/>
      <c r="BV2091" s="563"/>
      <c r="BW2091" s="563"/>
      <c r="BX2091" s="563"/>
      <c r="BY2091" s="563"/>
      <c r="BZ2091" s="563"/>
      <c r="CA2091" s="1032"/>
      <c r="CB2091" s="560"/>
      <c r="CC2091" s="1033"/>
      <c r="CD2091" s="563"/>
      <c r="CE2091" s="563"/>
      <c r="CF2091" s="563"/>
      <c r="CG2091" s="1032"/>
      <c r="CH2091" s="560"/>
      <c r="CI2091" s="1033"/>
      <c r="CJ2091" s="563"/>
      <c r="CK2091" s="563"/>
      <c r="CL2091" s="563"/>
      <c r="CM2091" s="563"/>
      <c r="CN2091" s="563"/>
      <c r="CO2091" s="563"/>
      <c r="CP2091" s="1015"/>
      <c r="CQ2091" s="1015"/>
      <c r="CR2091" s="563"/>
      <c r="CS2091" s="563"/>
      <c r="CT2091" s="563"/>
      <c r="CU2091" s="586">
        <f t="shared" si="869"/>
        <v>780</v>
      </c>
      <c r="CV2091" s="586">
        <f>CK2091+CL2091+CM2091+CN2091+CO2091+CQ2091+CP2091</f>
        <v>0</v>
      </c>
      <c r="CW2091" s="586">
        <f>CI2091+CJ2091</f>
        <v>0</v>
      </c>
      <c r="CX2091" s="1015"/>
      <c r="CY2091" s="1015"/>
      <c r="CZ2091" s="1015"/>
      <c r="DA2091" s="1015"/>
      <c r="DB2091" s="1015"/>
      <c r="DC2091" s="1015"/>
      <c r="DD2091" s="1015"/>
      <c r="DE2091" s="1015"/>
      <c r="DF2091" s="1015"/>
      <c r="DG2091" s="1015"/>
      <c r="DH2091" s="1015"/>
    </row>
    <row r="2092" s="565" customFormat="1" ht="31" customHeight="1" spans="1:112">
      <c r="A2092" s="1195">
        <v>46246</v>
      </c>
      <c r="B2092" s="1183" t="s">
        <v>10555</v>
      </c>
      <c r="C2092" s="1196" t="s">
        <v>98</v>
      </c>
      <c r="D2092" s="565">
        <v>4500219683</v>
      </c>
      <c r="E2092" s="1196">
        <v>4567274005</v>
      </c>
      <c r="F2092" s="565" t="s">
        <v>11045</v>
      </c>
      <c r="G2092" s="1196" t="s">
        <v>8051</v>
      </c>
      <c r="H2092" s="1196" t="s">
        <v>6102</v>
      </c>
      <c r="I2092" s="1197">
        <v>42</v>
      </c>
      <c r="J2092" s="1196">
        <v>0</v>
      </c>
      <c r="K2092" s="1196">
        <v>6</v>
      </c>
      <c r="L2092" s="1198">
        <f t="shared" ref="L2092:L2104" si="873">I2092/K2092</f>
        <v>7</v>
      </c>
      <c r="M2092" s="1199">
        <v>46288</v>
      </c>
      <c r="N2092" s="1199">
        <v>46284</v>
      </c>
      <c r="O2092" s="1200"/>
      <c r="P2092" s="1196"/>
      <c r="Q2092" s="1181"/>
      <c r="R2092" s="1181">
        <v>46246</v>
      </c>
      <c r="S2092" s="1181" t="s">
        <v>70</v>
      </c>
      <c r="T2092" s="1181" t="s">
        <v>9311</v>
      </c>
      <c r="U2092" s="1181"/>
      <c r="V2092" s="1179" t="s">
        <v>10001</v>
      </c>
      <c r="W2092" s="1183" t="s">
        <v>11046</v>
      </c>
      <c r="X2092" s="1183" t="s">
        <v>11047</v>
      </c>
      <c r="Y2092" s="1201" t="s">
        <v>11048</v>
      </c>
      <c r="Z2092" s="1183">
        <v>0.6067</v>
      </c>
      <c r="AA2092" s="1201">
        <f t="shared" ref="AA2092:AA2102" si="874">Z2092*I2092</f>
        <v>25.4814</v>
      </c>
      <c r="AC2092" s="1202"/>
      <c r="AD2092" s="1173" t="s">
        <v>8051</v>
      </c>
      <c r="AE2092" s="1196" t="s">
        <v>82</v>
      </c>
      <c r="AF2092" s="1196"/>
      <c r="AG2092" s="1196"/>
      <c r="AH2092" s="1183"/>
      <c r="AI2092" s="1183"/>
      <c r="AJ2092" s="1173">
        <f t="shared" ref="AJ2092:AJ2099" si="875">AI2092-I2092</f>
        <v>-42</v>
      </c>
      <c r="AK2092" s="1200"/>
      <c r="AL2092" s="1196"/>
      <c r="AM2092" s="1196"/>
      <c r="AN2092" s="1196">
        <f t="shared" ref="AN2092:AN2099" si="876">I2092</f>
        <v>42</v>
      </c>
      <c r="AP2092" s="1203">
        <f t="shared" ref="AP2092:AP2099" si="877">I2092</f>
        <v>42</v>
      </c>
      <c r="AR2092" s="1204"/>
      <c r="AS2092" s="565"/>
      <c r="AT2092" s="565"/>
      <c r="AU2092" s="1174">
        <f t="shared" ref="AU2092:AU2099" si="878">I2092</f>
        <v>42</v>
      </c>
      <c r="AX2092" s="1205"/>
      <c r="AY2092" s="565"/>
      <c r="AZ2092" s="565"/>
      <c r="BA2092" s="565"/>
      <c r="BB2092" s="1191">
        <f t="shared" ref="BB2092:BB2099" si="879">I2092/24</f>
        <v>1.75</v>
      </c>
      <c r="BT2092" s="1174">
        <f t="shared" ref="BT2092:BT2099" si="880">L2092</f>
        <v>7</v>
      </c>
      <c r="CP2092" s="1204"/>
      <c r="CQ2092" s="1204"/>
      <c r="CR2092" s="565"/>
      <c r="CS2092" s="565"/>
      <c r="CT2092" s="565"/>
      <c r="CU2092" s="1174">
        <f t="shared" ref="CU2092:CU2102" si="881">BQ2092+BP2092+BO2092+BN2092+BX2092+BR2092</f>
        <v>0</v>
      </c>
      <c r="CV2092" s="1174">
        <f t="shared" ref="CV2092:CV2102" si="882">CK2092+CL2092+CM2092+CN2092+CO2092+CQ2092+CP2092</f>
        <v>0</v>
      </c>
      <c r="CW2092" s="1174">
        <f t="shared" ref="CW2092:CW2102" si="883">CI2092+CJ2092</f>
        <v>0</v>
      </c>
      <c r="CX2092" s="1204"/>
      <c r="CY2092" s="1204"/>
      <c r="CZ2092" s="1204"/>
      <c r="DA2092" s="1204"/>
      <c r="DB2092" s="1204"/>
      <c r="DC2092" s="1204"/>
      <c r="DD2092" s="1204"/>
      <c r="DE2092" s="1204"/>
      <c r="DF2092" s="1204"/>
      <c r="DG2092" s="1204"/>
      <c r="DH2092" s="1204"/>
    </row>
    <row r="2093" s="565" customFormat="1" ht="31" customHeight="1" spans="1:112">
      <c r="A2093" s="1195">
        <v>46246</v>
      </c>
      <c r="B2093" s="1183" t="s">
        <v>10555</v>
      </c>
      <c r="C2093" s="1196" t="s">
        <v>98</v>
      </c>
      <c r="D2093" s="565">
        <v>4500219683</v>
      </c>
      <c r="E2093" s="1196">
        <v>4567273990</v>
      </c>
      <c r="F2093" s="565" t="s">
        <v>11049</v>
      </c>
      <c r="G2093" s="1196" t="s">
        <v>8051</v>
      </c>
      <c r="H2093" s="1196" t="s">
        <v>6102</v>
      </c>
      <c r="I2093" s="1197">
        <v>120</v>
      </c>
      <c r="J2093" s="1196">
        <v>0</v>
      </c>
      <c r="K2093" s="1196">
        <v>6</v>
      </c>
      <c r="L2093" s="1198">
        <f t="shared" si="873"/>
        <v>20</v>
      </c>
      <c r="M2093" s="1199">
        <v>46288</v>
      </c>
      <c r="N2093" s="1199">
        <v>46284</v>
      </c>
      <c r="O2093" s="1200"/>
      <c r="P2093" s="1196"/>
      <c r="Q2093" s="1181"/>
      <c r="R2093" s="1181">
        <v>46246</v>
      </c>
      <c r="S2093" s="1181" t="s">
        <v>70</v>
      </c>
      <c r="T2093" s="1181" t="s">
        <v>9311</v>
      </c>
      <c r="U2093" s="1181"/>
      <c r="V2093" s="1179" t="s">
        <v>10001</v>
      </c>
      <c r="W2093" s="1183" t="s">
        <v>11046</v>
      </c>
      <c r="X2093" s="1183" t="s">
        <v>11047</v>
      </c>
      <c r="Y2093" s="1201" t="s">
        <v>11048</v>
      </c>
      <c r="Z2093" s="1183">
        <v>0.6067</v>
      </c>
      <c r="AA2093" s="1201">
        <f t="shared" si="874"/>
        <v>72.804</v>
      </c>
      <c r="AC2093" s="1202"/>
      <c r="AD2093" s="1173" t="s">
        <v>8051</v>
      </c>
      <c r="AE2093" s="1196" t="s">
        <v>82</v>
      </c>
      <c r="AF2093" s="1196"/>
      <c r="AG2093" s="1196"/>
      <c r="AH2093" s="1183"/>
      <c r="AI2093" s="1183"/>
      <c r="AJ2093" s="1173">
        <f t="shared" si="875"/>
        <v>-120</v>
      </c>
      <c r="AK2093" s="1200"/>
      <c r="AL2093" s="1196"/>
      <c r="AM2093" s="1196"/>
      <c r="AN2093" s="1196">
        <f t="shared" si="876"/>
        <v>120</v>
      </c>
      <c r="AP2093" s="1203">
        <f t="shared" si="877"/>
        <v>120</v>
      </c>
      <c r="AR2093" s="1204"/>
      <c r="AS2093" s="565"/>
      <c r="AT2093" s="565"/>
      <c r="AU2093" s="1174">
        <f t="shared" si="878"/>
        <v>120</v>
      </c>
      <c r="AX2093" s="1205"/>
      <c r="AY2093" s="565"/>
      <c r="AZ2093" s="565"/>
      <c r="BA2093" s="565"/>
      <c r="BB2093" s="1191">
        <f t="shared" si="879"/>
        <v>5</v>
      </c>
      <c r="BT2093" s="1174">
        <f t="shared" si="880"/>
        <v>20</v>
      </c>
      <c r="CP2093" s="1204"/>
      <c r="CQ2093" s="1204"/>
      <c r="CR2093" s="565"/>
      <c r="CS2093" s="565"/>
      <c r="CT2093" s="565"/>
      <c r="CU2093" s="1174">
        <f t="shared" si="881"/>
        <v>0</v>
      </c>
      <c r="CV2093" s="1174">
        <f t="shared" si="882"/>
        <v>0</v>
      </c>
      <c r="CW2093" s="1174">
        <f t="shared" si="883"/>
        <v>0</v>
      </c>
      <c r="CX2093" s="1204"/>
      <c r="CY2093" s="1204"/>
      <c r="CZ2093" s="1204"/>
      <c r="DA2093" s="1204"/>
      <c r="DB2093" s="1204"/>
      <c r="DC2093" s="1204"/>
      <c r="DD2093" s="1204"/>
      <c r="DE2093" s="1204"/>
      <c r="DF2093" s="1204"/>
      <c r="DG2093" s="1204"/>
      <c r="DH2093" s="1204"/>
    </row>
    <row r="2094" s="565" customFormat="1" ht="31" customHeight="1" spans="1:112">
      <c r="A2094" s="1195">
        <v>46246</v>
      </c>
      <c r="B2094" s="1183" t="s">
        <v>10555</v>
      </c>
      <c r="C2094" s="1196" t="s">
        <v>98</v>
      </c>
      <c r="D2094" s="565">
        <v>4500219683</v>
      </c>
      <c r="E2094" s="1196">
        <v>4567274007</v>
      </c>
      <c r="F2094" s="565" t="s">
        <v>11050</v>
      </c>
      <c r="G2094" s="1196" t="s">
        <v>8051</v>
      </c>
      <c r="H2094" s="1196" t="s">
        <v>6102</v>
      </c>
      <c r="I2094" s="1197">
        <v>468</v>
      </c>
      <c r="J2094" s="1196">
        <v>0</v>
      </c>
      <c r="K2094" s="1196">
        <v>6</v>
      </c>
      <c r="L2094" s="1198">
        <f t="shared" si="873"/>
        <v>78</v>
      </c>
      <c r="M2094" s="1199">
        <v>46288</v>
      </c>
      <c r="N2094" s="1199">
        <v>46284</v>
      </c>
      <c r="O2094" s="1200"/>
      <c r="P2094" s="1196"/>
      <c r="Q2094" s="1181"/>
      <c r="R2094" s="1181">
        <v>46246</v>
      </c>
      <c r="S2094" s="1181" t="s">
        <v>70</v>
      </c>
      <c r="T2094" s="1181" t="s">
        <v>9311</v>
      </c>
      <c r="U2094" s="1181"/>
      <c r="V2094" s="1179" t="s">
        <v>10001</v>
      </c>
      <c r="W2094" s="1183" t="s">
        <v>11046</v>
      </c>
      <c r="X2094" s="1183" t="s">
        <v>11047</v>
      </c>
      <c r="Y2094" s="1201" t="s">
        <v>11048</v>
      </c>
      <c r="Z2094" s="1183">
        <v>0.6197</v>
      </c>
      <c r="AA2094" s="1201">
        <f t="shared" si="874"/>
        <v>290.0196</v>
      </c>
      <c r="AC2094" s="1202"/>
      <c r="AD2094" s="1173" t="s">
        <v>8051</v>
      </c>
      <c r="AE2094" s="1196" t="s">
        <v>82</v>
      </c>
      <c r="AF2094" s="1196"/>
      <c r="AG2094" s="1196"/>
      <c r="AH2094" s="1183"/>
      <c r="AI2094" s="1183"/>
      <c r="AJ2094" s="1173">
        <f t="shared" si="875"/>
        <v>-468</v>
      </c>
      <c r="AK2094" s="1200"/>
      <c r="AL2094" s="1196"/>
      <c r="AM2094" s="1196"/>
      <c r="AN2094" s="1196">
        <f t="shared" si="876"/>
        <v>468</v>
      </c>
      <c r="AP2094" s="1203">
        <f t="shared" si="877"/>
        <v>468</v>
      </c>
      <c r="AR2094" s="1204"/>
      <c r="AS2094" s="565"/>
      <c r="AT2094" s="565"/>
      <c r="AU2094" s="1174">
        <f t="shared" si="878"/>
        <v>468</v>
      </c>
      <c r="AX2094" s="1205"/>
      <c r="AY2094" s="565"/>
      <c r="AZ2094" s="565"/>
      <c r="BA2094" s="565"/>
      <c r="BB2094" s="1191">
        <f t="shared" si="879"/>
        <v>19.5</v>
      </c>
      <c r="BT2094" s="1174">
        <f t="shared" si="880"/>
        <v>78</v>
      </c>
      <c r="CP2094" s="1204"/>
      <c r="CQ2094" s="1204"/>
      <c r="CR2094" s="565"/>
      <c r="CS2094" s="565"/>
      <c r="CT2094" s="565"/>
      <c r="CU2094" s="1174">
        <f t="shared" si="881"/>
        <v>0</v>
      </c>
      <c r="CV2094" s="1174">
        <f t="shared" si="882"/>
        <v>0</v>
      </c>
      <c r="CW2094" s="1174">
        <f t="shared" si="883"/>
        <v>0</v>
      </c>
      <c r="CX2094" s="1204"/>
      <c r="CY2094" s="1204"/>
      <c r="CZ2094" s="1204"/>
      <c r="DA2094" s="1204"/>
      <c r="DB2094" s="1204"/>
      <c r="DC2094" s="1204"/>
      <c r="DD2094" s="1204"/>
      <c r="DE2094" s="1204"/>
      <c r="DF2094" s="1204"/>
      <c r="DG2094" s="1204"/>
      <c r="DH2094" s="1204"/>
    </row>
    <row r="2095" s="565" customFormat="1" ht="31" customHeight="1" spans="1:112">
      <c r="A2095" s="1195">
        <v>46246</v>
      </c>
      <c r="B2095" s="1183" t="s">
        <v>10555</v>
      </c>
      <c r="C2095" s="1196" t="s">
        <v>98</v>
      </c>
      <c r="D2095" s="565">
        <v>4500219683</v>
      </c>
      <c r="E2095" s="1196">
        <v>4567274003</v>
      </c>
      <c r="F2095" s="565" t="s">
        <v>11051</v>
      </c>
      <c r="G2095" s="1196" t="s">
        <v>8051</v>
      </c>
      <c r="H2095" s="1196" t="s">
        <v>6102</v>
      </c>
      <c r="I2095" s="1197">
        <v>78</v>
      </c>
      <c r="J2095" s="1196">
        <v>0</v>
      </c>
      <c r="K2095" s="1196">
        <v>6</v>
      </c>
      <c r="L2095" s="1198">
        <f t="shared" si="873"/>
        <v>13</v>
      </c>
      <c r="M2095" s="1199">
        <v>46288</v>
      </c>
      <c r="N2095" s="1199">
        <v>46284</v>
      </c>
      <c r="O2095" s="1200"/>
      <c r="P2095" s="1196"/>
      <c r="Q2095" s="1181"/>
      <c r="R2095" s="1181">
        <v>46246</v>
      </c>
      <c r="S2095" s="1181" t="s">
        <v>70</v>
      </c>
      <c r="T2095" s="1181" t="s">
        <v>9311</v>
      </c>
      <c r="U2095" s="1181"/>
      <c r="V2095" s="1179" t="s">
        <v>10001</v>
      </c>
      <c r="W2095" s="1183" t="s">
        <v>11046</v>
      </c>
      <c r="X2095" s="1183" t="s">
        <v>11047</v>
      </c>
      <c r="Y2095" s="1201" t="s">
        <v>11048</v>
      </c>
      <c r="Z2095" s="1183">
        <v>0.6197</v>
      </c>
      <c r="AA2095" s="1201">
        <f t="shared" si="874"/>
        <v>48.3366</v>
      </c>
      <c r="AC2095" s="1202"/>
      <c r="AD2095" s="1173" t="s">
        <v>8051</v>
      </c>
      <c r="AE2095" s="1196" t="s">
        <v>82</v>
      </c>
      <c r="AF2095" s="1196"/>
      <c r="AG2095" s="1196"/>
      <c r="AH2095" s="1183"/>
      <c r="AI2095" s="1183"/>
      <c r="AJ2095" s="1173">
        <f t="shared" si="875"/>
        <v>-78</v>
      </c>
      <c r="AK2095" s="1200"/>
      <c r="AL2095" s="1196"/>
      <c r="AM2095" s="1196"/>
      <c r="AN2095" s="1196">
        <f t="shared" si="876"/>
        <v>78</v>
      </c>
      <c r="AP2095" s="1203">
        <f t="shared" si="877"/>
        <v>78</v>
      </c>
      <c r="AR2095" s="1204"/>
      <c r="AS2095" s="565"/>
      <c r="AT2095" s="565"/>
      <c r="AU2095" s="1174">
        <f t="shared" si="878"/>
        <v>78</v>
      </c>
      <c r="AX2095" s="1205"/>
      <c r="AY2095" s="565"/>
      <c r="AZ2095" s="565"/>
      <c r="BA2095" s="565"/>
      <c r="BB2095" s="1191">
        <f t="shared" si="879"/>
        <v>3.25</v>
      </c>
      <c r="BT2095" s="1174">
        <f t="shared" si="880"/>
        <v>13</v>
      </c>
      <c r="CP2095" s="1204"/>
      <c r="CQ2095" s="1204"/>
      <c r="CR2095" s="565"/>
      <c r="CS2095" s="565"/>
      <c r="CT2095" s="565"/>
      <c r="CU2095" s="1174">
        <f t="shared" si="881"/>
        <v>0</v>
      </c>
      <c r="CV2095" s="1174">
        <f t="shared" si="882"/>
        <v>0</v>
      </c>
      <c r="CW2095" s="1174">
        <f t="shared" si="883"/>
        <v>0</v>
      </c>
      <c r="CX2095" s="1204"/>
      <c r="CY2095" s="1204"/>
      <c r="CZ2095" s="1204"/>
      <c r="DA2095" s="1204"/>
      <c r="DB2095" s="1204"/>
      <c r="DC2095" s="1204"/>
      <c r="DD2095" s="1204"/>
      <c r="DE2095" s="1204"/>
      <c r="DF2095" s="1204"/>
      <c r="DG2095" s="1204"/>
      <c r="DH2095" s="1204"/>
    </row>
    <row r="2096" s="565" customFormat="1" ht="31" customHeight="1" spans="1:112">
      <c r="A2096" s="1195">
        <v>46246</v>
      </c>
      <c r="B2096" s="1183" t="s">
        <v>10555</v>
      </c>
      <c r="C2096" s="1196" t="s">
        <v>98</v>
      </c>
      <c r="D2096" s="565">
        <v>4500219683</v>
      </c>
      <c r="E2096" s="1196">
        <v>4567274006</v>
      </c>
      <c r="F2096" s="565" t="s">
        <v>11052</v>
      </c>
      <c r="G2096" s="1196" t="s">
        <v>8051</v>
      </c>
      <c r="H2096" s="1196" t="s">
        <v>6102</v>
      </c>
      <c r="I2096" s="1197">
        <v>96</v>
      </c>
      <c r="J2096" s="1196">
        <v>0</v>
      </c>
      <c r="K2096" s="1196">
        <v>6</v>
      </c>
      <c r="L2096" s="1198">
        <f t="shared" si="873"/>
        <v>16</v>
      </c>
      <c r="M2096" s="1199">
        <v>46288</v>
      </c>
      <c r="N2096" s="1199">
        <v>46284</v>
      </c>
      <c r="O2096" s="1200"/>
      <c r="P2096" s="1196"/>
      <c r="Q2096" s="1181"/>
      <c r="R2096" s="1181">
        <v>46246</v>
      </c>
      <c r="S2096" s="1181" t="s">
        <v>70</v>
      </c>
      <c r="T2096" s="1181" t="s">
        <v>9311</v>
      </c>
      <c r="U2096" s="1181"/>
      <c r="V2096" s="1179" t="s">
        <v>10001</v>
      </c>
      <c r="W2096" s="1183" t="s">
        <v>11046</v>
      </c>
      <c r="X2096" s="1183" t="s">
        <v>11047</v>
      </c>
      <c r="Y2096" s="1201" t="s">
        <v>11048</v>
      </c>
      <c r="Z2096" s="1183">
        <v>0.6197</v>
      </c>
      <c r="AA2096" s="1201">
        <f t="shared" si="874"/>
        <v>59.4912</v>
      </c>
      <c r="AC2096" s="1202"/>
      <c r="AD2096" s="1173" t="s">
        <v>8051</v>
      </c>
      <c r="AE2096" s="1196" t="s">
        <v>82</v>
      </c>
      <c r="AF2096" s="1196"/>
      <c r="AG2096" s="1196"/>
      <c r="AH2096" s="1183"/>
      <c r="AI2096" s="1183"/>
      <c r="AJ2096" s="1173">
        <f t="shared" si="875"/>
        <v>-96</v>
      </c>
      <c r="AK2096" s="1200"/>
      <c r="AL2096" s="1196"/>
      <c r="AM2096" s="1196"/>
      <c r="AN2096" s="1196">
        <f t="shared" si="876"/>
        <v>96</v>
      </c>
      <c r="AP2096" s="1203">
        <f t="shared" si="877"/>
        <v>96</v>
      </c>
      <c r="AR2096" s="1204"/>
      <c r="AS2096" s="565"/>
      <c r="AT2096" s="565"/>
      <c r="AU2096" s="1174">
        <f t="shared" si="878"/>
        <v>96</v>
      </c>
      <c r="AX2096" s="1205"/>
      <c r="AY2096" s="565"/>
      <c r="AZ2096" s="565"/>
      <c r="BA2096" s="565"/>
      <c r="BB2096" s="1191">
        <f t="shared" si="879"/>
        <v>4</v>
      </c>
      <c r="BT2096" s="1174">
        <f t="shared" si="880"/>
        <v>16</v>
      </c>
      <c r="CP2096" s="1204"/>
      <c r="CQ2096" s="1204"/>
      <c r="CR2096" s="565"/>
      <c r="CS2096" s="565"/>
      <c r="CT2096" s="565"/>
      <c r="CU2096" s="1174">
        <f t="shared" si="881"/>
        <v>0</v>
      </c>
      <c r="CV2096" s="1174">
        <f t="shared" si="882"/>
        <v>0</v>
      </c>
      <c r="CW2096" s="1174">
        <f t="shared" si="883"/>
        <v>0</v>
      </c>
      <c r="CX2096" s="1204"/>
      <c r="CY2096" s="1204"/>
      <c r="CZ2096" s="1204"/>
      <c r="DA2096" s="1204"/>
      <c r="DB2096" s="1204"/>
      <c r="DC2096" s="1204"/>
      <c r="DD2096" s="1204"/>
      <c r="DE2096" s="1204"/>
      <c r="DF2096" s="1204"/>
      <c r="DG2096" s="1204"/>
      <c r="DH2096" s="1204"/>
    </row>
    <row r="2097" s="565" customFormat="1" ht="31" customHeight="1" spans="1:112">
      <c r="A2097" s="1195">
        <v>46246</v>
      </c>
      <c r="B2097" s="1183" t="s">
        <v>10555</v>
      </c>
      <c r="C2097" s="1196" t="s">
        <v>98</v>
      </c>
      <c r="D2097" s="565">
        <v>4500219683</v>
      </c>
      <c r="E2097" s="1196">
        <v>4567274001</v>
      </c>
      <c r="F2097" s="565" t="s">
        <v>11053</v>
      </c>
      <c r="G2097" s="1196" t="s">
        <v>8051</v>
      </c>
      <c r="H2097" s="1196" t="s">
        <v>6102</v>
      </c>
      <c r="I2097" s="1197">
        <v>672</v>
      </c>
      <c r="J2097" s="1196">
        <v>0</v>
      </c>
      <c r="K2097" s="1196">
        <v>6</v>
      </c>
      <c r="L2097" s="1198">
        <f t="shared" si="873"/>
        <v>112</v>
      </c>
      <c r="M2097" s="1199">
        <v>46288</v>
      </c>
      <c r="N2097" s="1199">
        <v>46284</v>
      </c>
      <c r="O2097" s="1200"/>
      <c r="P2097" s="1196"/>
      <c r="Q2097" s="1181"/>
      <c r="R2097" s="1181">
        <v>46246</v>
      </c>
      <c r="S2097" s="1181" t="s">
        <v>70</v>
      </c>
      <c r="T2097" s="1181" t="s">
        <v>9311</v>
      </c>
      <c r="U2097" s="1181"/>
      <c r="V2097" s="1179" t="s">
        <v>10001</v>
      </c>
      <c r="W2097" s="1183" t="s">
        <v>11046</v>
      </c>
      <c r="X2097" s="1183" t="s">
        <v>11047</v>
      </c>
      <c r="Y2097" s="1201" t="s">
        <v>11048</v>
      </c>
      <c r="Z2097" s="1183">
        <v>0.6197</v>
      </c>
      <c r="AA2097" s="1201">
        <f t="shared" si="874"/>
        <v>416.4384</v>
      </c>
      <c r="AC2097" s="1202"/>
      <c r="AD2097" s="1173" t="s">
        <v>8051</v>
      </c>
      <c r="AE2097" s="1196" t="s">
        <v>82</v>
      </c>
      <c r="AF2097" s="1196"/>
      <c r="AG2097" s="1196"/>
      <c r="AH2097" s="1183"/>
      <c r="AI2097" s="1183"/>
      <c r="AJ2097" s="1173">
        <f t="shared" si="875"/>
        <v>-672</v>
      </c>
      <c r="AK2097" s="1200"/>
      <c r="AL2097" s="1196"/>
      <c r="AM2097" s="1196"/>
      <c r="AN2097" s="1196">
        <f t="shared" si="876"/>
        <v>672</v>
      </c>
      <c r="AP2097" s="1203">
        <f t="shared" si="877"/>
        <v>672</v>
      </c>
      <c r="AR2097" s="1204"/>
      <c r="AS2097" s="565"/>
      <c r="AT2097" s="565"/>
      <c r="AU2097" s="1174">
        <f t="shared" si="878"/>
        <v>672</v>
      </c>
      <c r="AX2097" s="1205"/>
      <c r="AY2097" s="565"/>
      <c r="AZ2097" s="565"/>
      <c r="BA2097" s="565"/>
      <c r="BB2097" s="1191">
        <f t="shared" si="879"/>
        <v>28</v>
      </c>
      <c r="BT2097" s="1174">
        <f t="shared" si="880"/>
        <v>112</v>
      </c>
      <c r="CP2097" s="1204"/>
      <c r="CQ2097" s="1204"/>
      <c r="CR2097" s="565"/>
      <c r="CS2097" s="565"/>
      <c r="CT2097" s="565"/>
      <c r="CU2097" s="1174">
        <f t="shared" si="881"/>
        <v>0</v>
      </c>
      <c r="CV2097" s="1174">
        <f t="shared" si="882"/>
        <v>0</v>
      </c>
      <c r="CW2097" s="1174">
        <f t="shared" si="883"/>
        <v>0</v>
      </c>
      <c r="CX2097" s="1204"/>
      <c r="CY2097" s="1204"/>
      <c r="CZ2097" s="1204"/>
      <c r="DA2097" s="1204"/>
      <c r="DB2097" s="1204"/>
      <c r="DC2097" s="1204"/>
      <c r="DD2097" s="1204"/>
      <c r="DE2097" s="1204"/>
      <c r="DF2097" s="1204"/>
      <c r="DG2097" s="1204"/>
      <c r="DH2097" s="1204"/>
    </row>
    <row r="2098" s="565" customFormat="1" ht="31" customHeight="1" spans="1:112">
      <c r="A2098" s="1195">
        <v>46246</v>
      </c>
      <c r="B2098" s="1183" t="s">
        <v>10555</v>
      </c>
      <c r="C2098" s="1196" t="s">
        <v>98</v>
      </c>
      <c r="D2098" s="565">
        <v>4500219683</v>
      </c>
      <c r="E2098" s="1196">
        <v>4567274002</v>
      </c>
      <c r="F2098" s="565" t="s">
        <v>11054</v>
      </c>
      <c r="G2098" s="1196" t="s">
        <v>8051</v>
      </c>
      <c r="H2098" s="1196" t="s">
        <v>6102</v>
      </c>
      <c r="I2098" s="1197">
        <v>84</v>
      </c>
      <c r="J2098" s="1196">
        <v>0</v>
      </c>
      <c r="K2098" s="1196">
        <v>6</v>
      </c>
      <c r="L2098" s="1198">
        <f t="shared" si="873"/>
        <v>14</v>
      </c>
      <c r="M2098" s="1199">
        <v>46288</v>
      </c>
      <c r="N2098" s="1199">
        <v>46284</v>
      </c>
      <c r="O2098" s="1200"/>
      <c r="P2098" s="1196"/>
      <c r="Q2098" s="1181"/>
      <c r="R2098" s="1181">
        <v>46246</v>
      </c>
      <c r="S2098" s="1181" t="s">
        <v>70</v>
      </c>
      <c r="T2098" s="1181" t="s">
        <v>9311</v>
      </c>
      <c r="U2098" s="1181"/>
      <c r="V2098" s="1179" t="s">
        <v>10001</v>
      </c>
      <c r="W2098" s="1183" t="s">
        <v>11046</v>
      </c>
      <c r="X2098" s="1183" t="s">
        <v>11047</v>
      </c>
      <c r="Y2098" s="1201" t="s">
        <v>11048</v>
      </c>
      <c r="Z2098" s="1183">
        <v>0.6198</v>
      </c>
      <c r="AA2098" s="1201">
        <f t="shared" si="874"/>
        <v>52.0632</v>
      </c>
      <c r="AC2098" s="1202"/>
      <c r="AD2098" s="1173" t="s">
        <v>8051</v>
      </c>
      <c r="AE2098" s="1196" t="s">
        <v>82</v>
      </c>
      <c r="AF2098" s="1196"/>
      <c r="AG2098" s="1196"/>
      <c r="AH2098" s="1183"/>
      <c r="AI2098" s="1183"/>
      <c r="AJ2098" s="1173">
        <f t="shared" si="875"/>
        <v>-84</v>
      </c>
      <c r="AK2098" s="1200"/>
      <c r="AL2098" s="1196"/>
      <c r="AM2098" s="1196"/>
      <c r="AN2098" s="1196">
        <f t="shared" si="876"/>
        <v>84</v>
      </c>
      <c r="AP2098" s="1203">
        <f t="shared" si="877"/>
        <v>84</v>
      </c>
      <c r="AR2098" s="1204"/>
      <c r="AS2098" s="565"/>
      <c r="AT2098" s="565"/>
      <c r="AU2098" s="1174">
        <f t="shared" si="878"/>
        <v>84</v>
      </c>
      <c r="AX2098" s="1205"/>
      <c r="AY2098" s="565"/>
      <c r="AZ2098" s="565"/>
      <c r="BA2098" s="565"/>
      <c r="BB2098" s="1191">
        <f t="shared" si="879"/>
        <v>3.5</v>
      </c>
      <c r="BT2098" s="1174">
        <f t="shared" si="880"/>
        <v>14</v>
      </c>
      <c r="CP2098" s="1204"/>
      <c r="CQ2098" s="1204"/>
      <c r="CR2098" s="565"/>
      <c r="CS2098" s="565"/>
      <c r="CT2098" s="565"/>
      <c r="CU2098" s="1174">
        <f t="shared" si="881"/>
        <v>0</v>
      </c>
      <c r="CV2098" s="1174">
        <f t="shared" si="882"/>
        <v>0</v>
      </c>
      <c r="CW2098" s="1174">
        <f t="shared" si="883"/>
        <v>0</v>
      </c>
      <c r="CX2098" s="1204"/>
      <c r="CY2098" s="1204"/>
      <c r="CZ2098" s="1204"/>
      <c r="DA2098" s="1204"/>
      <c r="DB2098" s="1204"/>
      <c r="DC2098" s="1204"/>
      <c r="DD2098" s="1204"/>
      <c r="DE2098" s="1204"/>
      <c r="DF2098" s="1204"/>
      <c r="DG2098" s="1204"/>
      <c r="DH2098" s="1204"/>
    </row>
    <row r="2099" s="565" customFormat="1" ht="31" customHeight="1" spans="1:112">
      <c r="A2099" s="1195">
        <v>46246</v>
      </c>
      <c r="B2099" s="1183" t="s">
        <v>10555</v>
      </c>
      <c r="C2099" s="1196" t="s">
        <v>98</v>
      </c>
      <c r="D2099" s="565">
        <v>4500219683</v>
      </c>
      <c r="E2099" s="1196">
        <v>4567274004</v>
      </c>
      <c r="F2099" s="565" t="s">
        <v>11055</v>
      </c>
      <c r="G2099" s="1196" t="s">
        <v>8051</v>
      </c>
      <c r="H2099" s="1196" t="s">
        <v>6102</v>
      </c>
      <c r="I2099" s="1197">
        <v>708</v>
      </c>
      <c r="J2099" s="1196">
        <v>0</v>
      </c>
      <c r="K2099" s="1196">
        <v>6</v>
      </c>
      <c r="L2099" s="1198">
        <f t="shared" si="873"/>
        <v>118</v>
      </c>
      <c r="M2099" s="1199">
        <v>46288</v>
      </c>
      <c r="N2099" s="1199">
        <v>46284</v>
      </c>
      <c r="O2099" s="1200"/>
      <c r="P2099" s="1196"/>
      <c r="Q2099" s="1181"/>
      <c r="R2099" s="1181">
        <v>46246</v>
      </c>
      <c r="S2099" s="1181" t="s">
        <v>70</v>
      </c>
      <c r="T2099" s="1181" t="s">
        <v>9311</v>
      </c>
      <c r="U2099" s="1181"/>
      <c r="V2099" s="1179" t="s">
        <v>10001</v>
      </c>
      <c r="W2099" s="1183" t="s">
        <v>11046</v>
      </c>
      <c r="X2099" s="1183" t="s">
        <v>11047</v>
      </c>
      <c r="Y2099" s="1201" t="s">
        <v>11048</v>
      </c>
      <c r="Z2099" s="1183">
        <v>0.6197</v>
      </c>
      <c r="AA2099" s="1201">
        <f t="shared" si="874"/>
        <v>438.7476</v>
      </c>
      <c r="AC2099" s="1202"/>
      <c r="AD2099" s="1173" t="s">
        <v>8051</v>
      </c>
      <c r="AE2099" s="1196" t="s">
        <v>82</v>
      </c>
      <c r="AF2099" s="1196"/>
      <c r="AG2099" s="1196"/>
      <c r="AH2099" s="1183"/>
      <c r="AI2099" s="1183"/>
      <c r="AJ2099" s="1173">
        <f t="shared" si="875"/>
        <v>-708</v>
      </c>
      <c r="AK2099" s="1200"/>
      <c r="AL2099" s="1196"/>
      <c r="AM2099" s="1196"/>
      <c r="AN2099" s="1196">
        <f t="shared" si="876"/>
        <v>708</v>
      </c>
      <c r="AP2099" s="1203">
        <f t="shared" si="877"/>
        <v>708</v>
      </c>
      <c r="AR2099" s="1204"/>
      <c r="AS2099" s="565"/>
      <c r="AT2099" s="565"/>
      <c r="AU2099" s="1174">
        <f t="shared" si="878"/>
        <v>708</v>
      </c>
      <c r="AX2099" s="1205"/>
      <c r="AY2099" s="565"/>
      <c r="AZ2099" s="565"/>
      <c r="BA2099" s="565"/>
      <c r="BB2099" s="1191">
        <f t="shared" si="879"/>
        <v>29.5</v>
      </c>
      <c r="BT2099" s="1174">
        <f t="shared" si="880"/>
        <v>118</v>
      </c>
      <c r="CP2099" s="1204"/>
      <c r="CQ2099" s="1204"/>
      <c r="CR2099" s="565"/>
      <c r="CS2099" s="565"/>
      <c r="CT2099" s="565"/>
      <c r="CU2099" s="1174">
        <f t="shared" si="881"/>
        <v>0</v>
      </c>
      <c r="CV2099" s="1174">
        <f t="shared" si="882"/>
        <v>0</v>
      </c>
      <c r="CW2099" s="1174">
        <f t="shared" si="883"/>
        <v>0</v>
      </c>
      <c r="CX2099" s="1204"/>
      <c r="CY2099" s="1204"/>
      <c r="CZ2099" s="1204"/>
      <c r="DA2099" s="1204"/>
      <c r="DB2099" s="1204"/>
      <c r="DC2099" s="1204"/>
      <c r="DD2099" s="1204"/>
      <c r="DE2099" s="1204"/>
      <c r="DF2099" s="1204"/>
      <c r="DG2099" s="1204"/>
      <c r="DH2099" s="1204"/>
    </row>
    <row r="2100" s="547" customFormat="1" ht="31" customHeight="1" spans="1:112">
      <c r="A2100" s="991">
        <v>46185</v>
      </c>
      <c r="B2100" s="601" t="s">
        <v>2734</v>
      </c>
      <c r="C2100" s="992" t="s">
        <v>98</v>
      </c>
      <c r="D2100" s="993">
        <v>4500211673</v>
      </c>
      <c r="E2100" s="994">
        <v>60302434</v>
      </c>
      <c r="F2100" s="586" t="s">
        <v>5895</v>
      </c>
      <c r="G2100" s="992" t="s">
        <v>8520</v>
      </c>
      <c r="H2100" s="992" t="s">
        <v>8521</v>
      </c>
      <c r="I2100" s="995">
        <v>10800</v>
      </c>
      <c r="J2100" s="992">
        <v>0</v>
      </c>
      <c r="K2100" s="996">
        <v>8</v>
      </c>
      <c r="L2100" s="997">
        <f t="shared" si="873"/>
        <v>1350</v>
      </c>
      <c r="M2100" s="998">
        <v>46289</v>
      </c>
      <c r="N2100" s="1079">
        <v>46286</v>
      </c>
      <c r="O2100" s="994"/>
      <c r="P2100" s="992"/>
      <c r="Q2100" s="584"/>
      <c r="R2100" s="584">
        <v>46185</v>
      </c>
      <c r="S2100" s="1226" t="s">
        <v>70</v>
      </c>
      <c r="T2100" s="1226" t="s">
        <v>5943</v>
      </c>
      <c r="U2100" s="1226"/>
      <c r="V2100" s="584"/>
      <c r="W2100" s="585"/>
      <c r="X2100" s="601" t="s">
        <v>11056</v>
      </c>
      <c r="Y2100" s="1000" t="s">
        <v>2814</v>
      </c>
      <c r="Z2100" s="601">
        <v>4.11</v>
      </c>
      <c r="AA2100" s="1000">
        <f t="shared" si="874"/>
        <v>44388</v>
      </c>
      <c r="AC2100" s="1002"/>
      <c r="AD2100" s="992" t="s">
        <v>2741</v>
      </c>
      <c r="AE2100" s="992" t="s">
        <v>82</v>
      </c>
      <c r="AF2100" s="992"/>
      <c r="AG2100" s="992"/>
      <c r="AH2100" s="601"/>
      <c r="AI2100" s="609"/>
      <c r="AJ2100" s="579">
        <f t="shared" ref="AJ2100:AJ2108" si="884">AI2100-I2100</f>
        <v>-10800</v>
      </c>
      <c r="AK2100" s="994"/>
      <c r="AL2100" s="992" t="s">
        <v>2368</v>
      </c>
      <c r="AM2100" s="992"/>
      <c r="AN2100" s="992">
        <f>I2100*2</f>
        <v>21600</v>
      </c>
      <c r="AO2100" s="586"/>
      <c r="AP2100" s="586">
        <f>I2100*2</f>
        <v>21600</v>
      </c>
      <c r="AQ2100" s="586"/>
      <c r="AR2100" s="1003"/>
      <c r="AS2100" s="586"/>
      <c r="AT2100" s="586"/>
      <c r="AU2100" s="586">
        <f>I2100*2</f>
        <v>21600</v>
      </c>
      <c r="AV2100" s="586"/>
      <c r="AW2100" s="586"/>
      <c r="AX2100" s="1049"/>
      <c r="AY2100" s="586"/>
      <c r="AZ2100" s="586"/>
      <c r="BA2100" s="586"/>
      <c r="BB2100" s="1078">
        <f>I2100/24*2</f>
        <v>900</v>
      </c>
      <c r="BC2100" s="586"/>
      <c r="BD2100" s="586"/>
      <c r="BE2100" s="586"/>
      <c r="BF2100" s="1005"/>
      <c r="BG2100" s="561"/>
      <c r="BH2100" s="1006"/>
      <c r="BI2100" s="586"/>
      <c r="BJ2100" s="586"/>
      <c r="BK2100" s="586"/>
      <c r="BL2100" s="586"/>
      <c r="BM2100" s="586"/>
      <c r="BN2100" s="586"/>
      <c r="BO2100" s="586"/>
      <c r="BP2100" s="586"/>
      <c r="BQ2100" s="586"/>
      <c r="BR2100" s="586"/>
      <c r="BS2100" s="586"/>
      <c r="BT2100" s="586"/>
      <c r="BU2100" s="586"/>
      <c r="BV2100" s="586"/>
      <c r="BW2100" s="586"/>
      <c r="BX2100" s="586"/>
      <c r="BY2100" s="586"/>
      <c r="BZ2100" s="586"/>
      <c r="CA2100" s="1007">
        <f>I2100</f>
        <v>10800</v>
      </c>
      <c r="CB2100" s="567"/>
      <c r="CC2100" s="1006"/>
      <c r="CD2100" s="586"/>
      <c r="CE2100" s="586"/>
      <c r="CF2100" s="586"/>
      <c r="CG2100" s="1005"/>
      <c r="CH2100" s="561"/>
      <c r="CI2100" s="1006"/>
      <c r="CJ2100" s="586"/>
      <c r="CK2100" s="586"/>
      <c r="CL2100" s="586"/>
      <c r="CM2100" s="586"/>
      <c r="CN2100" s="586"/>
      <c r="CO2100" s="586"/>
      <c r="CP2100" s="1003"/>
      <c r="CQ2100" s="1003"/>
      <c r="CR2100" s="586"/>
      <c r="CS2100" s="586"/>
      <c r="CT2100" s="586"/>
      <c r="CU2100" s="687">
        <f t="shared" si="881"/>
        <v>0</v>
      </c>
      <c r="CV2100" s="687">
        <f t="shared" si="882"/>
        <v>0</v>
      </c>
      <c r="CW2100" s="687">
        <f t="shared" si="883"/>
        <v>0</v>
      </c>
      <c r="CX2100" s="1003"/>
      <c r="CY2100" s="1003"/>
      <c r="CZ2100" s="1003"/>
      <c r="DA2100" s="1003"/>
      <c r="DB2100" s="1003"/>
      <c r="DC2100" s="1003"/>
      <c r="DD2100" s="1003"/>
      <c r="DE2100" s="1003"/>
      <c r="DF2100" s="1003"/>
      <c r="DG2100" s="1003"/>
      <c r="DH2100" s="1003"/>
    </row>
    <row r="2101" s="560" customFormat="1" ht="31" customHeight="1" spans="1:112">
      <c r="A2101" s="1034">
        <v>46241</v>
      </c>
      <c r="B2101" s="603" t="s">
        <v>325</v>
      </c>
      <c r="C2101" s="1035" t="s">
        <v>98</v>
      </c>
      <c r="D2101" s="560">
        <v>4500219139</v>
      </c>
      <c r="E2101" s="1035" t="s">
        <v>11057</v>
      </c>
      <c r="F2101" s="560" t="s">
        <v>11058</v>
      </c>
      <c r="G2101" s="1035" t="s">
        <v>6084</v>
      </c>
      <c r="H2101" s="1035" t="s">
        <v>6069</v>
      </c>
      <c r="I2101" s="1036">
        <v>25675</v>
      </c>
      <c r="J2101" s="1035">
        <v>0</v>
      </c>
      <c r="K2101" s="1035">
        <v>25</v>
      </c>
      <c r="L2101" s="1025">
        <f t="shared" si="873"/>
        <v>1027</v>
      </c>
      <c r="M2101" s="1037">
        <v>46289</v>
      </c>
      <c r="N2101" s="1037">
        <v>46286</v>
      </c>
      <c r="O2101" s="1043"/>
      <c r="P2101" s="1035"/>
      <c r="Q2101" s="1039"/>
      <c r="R2101" s="1039" t="s">
        <v>454</v>
      </c>
      <c r="S2101" s="1039" t="s">
        <v>104</v>
      </c>
      <c r="T2101" s="1039" t="s">
        <v>10991</v>
      </c>
      <c r="U2101" s="1039"/>
      <c r="V2101" s="1039"/>
      <c r="W2101" s="603"/>
      <c r="X2101" s="603" t="s">
        <v>11059</v>
      </c>
      <c r="Y2101" s="1042" t="s">
        <v>252</v>
      </c>
      <c r="Z2101" s="603">
        <v>0.5833</v>
      </c>
      <c r="AA2101" s="1042">
        <f t="shared" si="874"/>
        <v>14976.2275</v>
      </c>
      <c r="AC2101" s="1030"/>
      <c r="AD2101" s="1035" t="s">
        <v>6084</v>
      </c>
      <c r="AE2101" s="1035" t="s">
        <v>82</v>
      </c>
      <c r="AF2101" s="1035"/>
      <c r="AG2101" s="1035"/>
      <c r="AH2101" s="603"/>
      <c r="AI2101" s="603"/>
      <c r="AJ2101" s="1035">
        <f t="shared" si="884"/>
        <v>-25675</v>
      </c>
      <c r="AK2101" s="1043"/>
      <c r="AL2101" s="1035"/>
      <c r="AM2101" s="1035"/>
      <c r="AN2101" s="1035">
        <f>I2101</f>
        <v>25675</v>
      </c>
      <c r="AP2101" s="560">
        <f>I2101</f>
        <v>25675</v>
      </c>
      <c r="AR2101" s="1044"/>
      <c r="AS2101" s="560"/>
      <c r="AT2101" s="560"/>
      <c r="AU2101" s="560">
        <f>I2101</f>
        <v>25675</v>
      </c>
      <c r="AX2101" s="1045"/>
      <c r="AY2101" s="560"/>
      <c r="AZ2101" s="560"/>
      <c r="BA2101" s="560"/>
      <c r="BB2101" s="1116">
        <f>I2101/48</f>
        <v>534.895833333333</v>
      </c>
      <c r="BN2101" s="560">
        <f>I2101/25</f>
        <v>1027</v>
      </c>
      <c r="CP2101" s="1044"/>
      <c r="CQ2101" s="1044"/>
      <c r="CR2101" s="560"/>
      <c r="CS2101" s="560"/>
      <c r="CT2101" s="560"/>
      <c r="CU2101" s="560">
        <f t="shared" si="881"/>
        <v>1027</v>
      </c>
      <c r="CV2101" s="560">
        <f t="shared" si="882"/>
        <v>0</v>
      </c>
      <c r="CW2101" s="560">
        <f t="shared" si="883"/>
        <v>0</v>
      </c>
      <c r="CX2101" s="1044"/>
      <c r="CY2101" s="1044"/>
      <c r="CZ2101" s="1044"/>
      <c r="DA2101" s="1044"/>
      <c r="DB2101" s="1044"/>
      <c r="DC2101" s="1044"/>
      <c r="DD2101" s="1044"/>
      <c r="DE2101" s="1044"/>
      <c r="DF2101" s="1044"/>
      <c r="DG2101" s="1044"/>
      <c r="DH2101" s="1044"/>
    </row>
    <row r="2102" s="565" customFormat="1" ht="31" customHeight="1" spans="1:112">
      <c r="A2102" s="1195">
        <v>46246</v>
      </c>
      <c r="B2102" s="1183" t="s">
        <v>5882</v>
      </c>
      <c r="C2102" s="1196" t="s">
        <v>4052</v>
      </c>
      <c r="D2102" s="565">
        <v>4500219730</v>
      </c>
      <c r="E2102" s="1196" t="s">
        <v>5883</v>
      </c>
      <c r="F2102" s="565" t="s">
        <v>11060</v>
      </c>
      <c r="G2102" s="1196" t="s">
        <v>6047</v>
      </c>
      <c r="H2102" s="1196" t="s">
        <v>6069</v>
      </c>
      <c r="I2102" s="1197">
        <v>5000</v>
      </c>
      <c r="J2102" s="1196">
        <v>0</v>
      </c>
      <c r="K2102" s="1196">
        <v>25</v>
      </c>
      <c r="L2102" s="1198">
        <f t="shared" si="873"/>
        <v>200</v>
      </c>
      <c r="M2102" s="1199">
        <v>46289</v>
      </c>
      <c r="N2102" s="1199">
        <v>46286</v>
      </c>
      <c r="O2102" s="1200"/>
      <c r="P2102" s="1196"/>
      <c r="Q2102" s="1181"/>
      <c r="R2102" s="1181" t="s">
        <v>454</v>
      </c>
      <c r="S2102" s="1181" t="s">
        <v>70</v>
      </c>
      <c r="T2102" s="1181" t="s">
        <v>11061</v>
      </c>
      <c r="U2102" s="1181"/>
      <c r="V2102" s="1181"/>
      <c r="W2102" s="1183"/>
      <c r="X2102" s="1183" t="s">
        <v>11062</v>
      </c>
      <c r="Y2102" s="1201" t="s">
        <v>5887</v>
      </c>
      <c r="Z2102" s="1183">
        <v>0.9703</v>
      </c>
      <c r="AA2102" s="1201">
        <f t="shared" si="874"/>
        <v>4851.5</v>
      </c>
      <c r="AC2102" s="1202"/>
      <c r="AD2102" s="1173" t="s">
        <v>6047</v>
      </c>
      <c r="AE2102" s="1196" t="s">
        <v>82</v>
      </c>
      <c r="AF2102" s="1196"/>
      <c r="AG2102" s="1196"/>
      <c r="AH2102" s="1183"/>
      <c r="AI2102" s="1183"/>
      <c r="AJ2102" s="1173">
        <f t="shared" si="884"/>
        <v>-5000</v>
      </c>
      <c r="AK2102" s="1200"/>
      <c r="AL2102" s="1196"/>
      <c r="AM2102" s="1196"/>
      <c r="AN2102" s="1196"/>
      <c r="AO2102" s="565">
        <f>I2102</f>
        <v>5000</v>
      </c>
      <c r="AR2102" s="1204"/>
      <c r="AS2102" s="565"/>
      <c r="AT2102" s="1174">
        <f>I2102</f>
        <v>5000</v>
      </c>
      <c r="AU2102" s="1174"/>
      <c r="AV2102" s="1174">
        <f>I2102</f>
        <v>5000</v>
      </c>
      <c r="AX2102" s="1205"/>
      <c r="AY2102" s="565"/>
      <c r="AZ2102" s="565"/>
      <c r="BA2102" s="565"/>
      <c r="BB2102" s="1191">
        <f>I2102/24</f>
        <v>208.333333333333</v>
      </c>
      <c r="BP2102" s="1192">
        <f>I2102/25</f>
        <v>200</v>
      </c>
      <c r="CP2102" s="1204"/>
      <c r="CQ2102" s="1204"/>
      <c r="CR2102" s="565"/>
      <c r="CS2102" s="565"/>
      <c r="CT2102" s="565"/>
      <c r="CU2102" s="1174">
        <f t="shared" si="881"/>
        <v>200</v>
      </c>
      <c r="CV2102" s="1174">
        <f t="shared" si="882"/>
        <v>0</v>
      </c>
      <c r="CW2102" s="1174">
        <f t="shared" si="883"/>
        <v>0</v>
      </c>
      <c r="CX2102" s="1204"/>
      <c r="CY2102" s="1204"/>
      <c r="CZ2102" s="1204"/>
      <c r="DA2102" s="1204"/>
      <c r="DB2102" s="1204"/>
      <c r="DC2102" s="1204"/>
      <c r="DD2102" s="1204"/>
      <c r="DE2102" s="1204"/>
      <c r="DF2102" s="1204"/>
      <c r="DG2102" s="1204"/>
      <c r="DH2102" s="1204"/>
    </row>
    <row r="2103" s="558" customFormat="1" ht="31" customHeight="1" spans="1:112">
      <c r="A2103" s="1022">
        <v>46238</v>
      </c>
      <c r="B2103" s="626" t="s">
        <v>5897</v>
      </c>
      <c r="C2103" s="939" t="s">
        <v>836</v>
      </c>
      <c r="D2103" s="563">
        <v>4500218739</v>
      </c>
      <c r="E2103" s="939">
        <v>7211693414</v>
      </c>
      <c r="F2103" s="563" t="s">
        <v>11063</v>
      </c>
      <c r="G2103" s="939" t="s">
        <v>6040</v>
      </c>
      <c r="H2103" s="939" t="s">
        <v>6041</v>
      </c>
      <c r="I2103" s="1023">
        <v>12012</v>
      </c>
      <c r="J2103" s="939">
        <v>0</v>
      </c>
      <c r="K2103" s="1024">
        <v>52</v>
      </c>
      <c r="L2103" s="1025">
        <f t="shared" si="873"/>
        <v>231</v>
      </c>
      <c r="M2103" s="1026">
        <v>46290</v>
      </c>
      <c r="N2103" s="1027">
        <v>46286</v>
      </c>
      <c r="O2103" s="1031"/>
      <c r="P2103" s="939"/>
      <c r="Q2103" s="999"/>
      <c r="R2103" s="999" t="s">
        <v>454</v>
      </c>
      <c r="S2103" s="584" t="s">
        <v>70</v>
      </c>
      <c r="T2103" s="584" t="s">
        <v>11064</v>
      </c>
      <c r="U2103" s="584"/>
      <c r="V2103" s="999"/>
      <c r="W2103" s="585" t="s">
        <v>5900</v>
      </c>
      <c r="X2103" s="626" t="s">
        <v>11065</v>
      </c>
      <c r="Y2103" s="1001" t="s">
        <v>5902</v>
      </c>
      <c r="Z2103" s="626">
        <v>0.9575</v>
      </c>
      <c r="AA2103" s="1001">
        <f t="shared" ref="AA2103:AA2126" si="885">Z2103*I2103</f>
        <v>11501.49</v>
      </c>
      <c r="AB2103" s="585"/>
      <c r="AC2103" s="1030"/>
      <c r="AD2103" s="939" t="s">
        <v>6040</v>
      </c>
      <c r="AE2103" s="939" t="s">
        <v>82</v>
      </c>
      <c r="AF2103" s="939"/>
      <c r="AG2103" s="939"/>
      <c r="AH2103" s="626"/>
      <c r="AI2103" s="626"/>
      <c r="AJ2103" s="939">
        <f t="shared" si="884"/>
        <v>-12012</v>
      </c>
      <c r="AK2103" s="1031"/>
      <c r="AL2103" s="939"/>
      <c r="AM2103" s="939"/>
      <c r="AN2103" s="939"/>
      <c r="AO2103" s="563">
        <f>I2103</f>
        <v>12012</v>
      </c>
      <c r="AP2103" s="586"/>
      <c r="AQ2103" s="563"/>
      <c r="AR2103" s="1015"/>
      <c r="AS2103" s="563"/>
      <c r="AT2103" s="563">
        <f>I2103</f>
        <v>12012</v>
      </c>
      <c r="AU2103" s="586"/>
      <c r="AV2103" s="563">
        <f>I2103</f>
        <v>12012</v>
      </c>
      <c r="AW2103" s="563"/>
      <c r="AX2103" s="1004"/>
      <c r="AY2103" s="563"/>
      <c r="AZ2103" s="563"/>
      <c r="BA2103" s="563"/>
      <c r="BB2103" s="1017">
        <f t="shared" ref="BB2103:BB2108" si="886">I2103/24</f>
        <v>500.5</v>
      </c>
      <c r="BC2103" s="563"/>
      <c r="BD2103" s="563"/>
      <c r="BE2103" s="563"/>
      <c r="BF2103" s="1032"/>
      <c r="BG2103" s="560"/>
      <c r="BH2103" s="1033"/>
      <c r="BI2103" s="563"/>
      <c r="BJ2103" s="563"/>
      <c r="BK2103" s="563"/>
      <c r="BL2103" s="563"/>
      <c r="BM2103" s="563">
        <f>I2103/13</f>
        <v>924</v>
      </c>
      <c r="BN2103" s="563"/>
      <c r="BO2103" s="563"/>
      <c r="BP2103" s="563"/>
      <c r="BQ2103" s="563"/>
      <c r="BR2103" s="563"/>
      <c r="BS2103" s="563"/>
      <c r="BT2103" s="563"/>
      <c r="BU2103" s="563"/>
      <c r="BV2103" s="563"/>
      <c r="BW2103" s="563"/>
      <c r="BX2103" s="563"/>
      <c r="BY2103" s="563"/>
      <c r="BZ2103" s="563"/>
      <c r="CA2103" s="1032"/>
      <c r="CB2103" s="560"/>
      <c r="CC2103" s="1033"/>
      <c r="CD2103" s="563"/>
      <c r="CE2103" s="563"/>
      <c r="CF2103" s="563"/>
      <c r="CG2103" s="1032"/>
      <c r="CH2103" s="560"/>
      <c r="CI2103" s="1033"/>
      <c r="CJ2103" s="563"/>
      <c r="CK2103" s="563"/>
      <c r="CL2103" s="563"/>
      <c r="CM2103" s="563"/>
      <c r="CN2103" s="563"/>
      <c r="CO2103" s="563"/>
      <c r="CP2103" s="1015"/>
      <c r="CQ2103" s="1015"/>
      <c r="CR2103" s="563"/>
      <c r="CS2103" s="563"/>
      <c r="CT2103" s="563"/>
      <c r="CU2103" s="563">
        <f t="shared" ref="CU2103:CU2108" si="887">BQ2103+BP2103+BO2103+BN2103+BX2103+BR2103</f>
        <v>0</v>
      </c>
      <c r="CV2103" s="563">
        <f t="shared" ref="CV2103:CV2108" si="888">CK2103+CL2103+CM2103+CN2103+CO2103+CQ2103+CP2103</f>
        <v>0</v>
      </c>
      <c r="CW2103" s="563">
        <f t="shared" ref="CW2103:CW2108" si="889">CI2103+CJ2103</f>
        <v>0</v>
      </c>
      <c r="CX2103" s="1015"/>
      <c r="CY2103" s="1015"/>
      <c r="CZ2103" s="1015"/>
      <c r="DA2103" s="1015"/>
      <c r="DB2103" s="1015"/>
      <c r="DC2103" s="1015"/>
      <c r="DD2103" s="1015"/>
      <c r="DE2103" s="1015"/>
      <c r="DF2103" s="1015"/>
      <c r="DG2103" s="1015"/>
      <c r="DH2103" s="1015"/>
    </row>
    <row r="2104" s="564" customFormat="1" ht="31" customHeight="1" spans="1:112">
      <c r="A2104" s="1171">
        <v>46244</v>
      </c>
      <c r="B2104" s="1172" t="s">
        <v>143</v>
      </c>
      <c r="C2104" s="1173" t="s">
        <v>98</v>
      </c>
      <c r="D2104" s="1174">
        <v>4500219345</v>
      </c>
      <c r="E2104" s="1426" t="s">
        <v>11066</v>
      </c>
      <c r="F2104" s="1174" t="s">
        <v>11067</v>
      </c>
      <c r="G2104" s="1173" t="s">
        <v>6063</v>
      </c>
      <c r="H2104" s="1173" t="s">
        <v>6064</v>
      </c>
      <c r="I2104" s="1175">
        <v>23040</v>
      </c>
      <c r="J2104" s="1173">
        <v>0</v>
      </c>
      <c r="K2104" s="1227">
        <v>16</v>
      </c>
      <c r="L2104" s="1198">
        <f t="shared" si="873"/>
        <v>1440</v>
      </c>
      <c r="M2104" s="1228">
        <v>46293</v>
      </c>
      <c r="N2104" s="1177">
        <f t="shared" ref="N2104:N2109" si="890">M2104-4</f>
        <v>46289</v>
      </c>
      <c r="O2104" s="1178"/>
      <c r="P2104" s="1173"/>
      <c r="Q2104" s="1179"/>
      <c r="R2104" s="1179" t="s">
        <v>9889</v>
      </c>
      <c r="S2104" s="1039" t="s">
        <v>70</v>
      </c>
      <c r="T2104" s="1039" t="s">
        <v>10973</v>
      </c>
      <c r="U2104" s="1180"/>
      <c r="V2104" s="1179"/>
      <c r="W2104" s="1229"/>
      <c r="X2104" s="1172" t="s">
        <v>11068</v>
      </c>
      <c r="Y2104" s="1185" t="s">
        <v>106</v>
      </c>
      <c r="Z2104" s="1172">
        <v>0.6196</v>
      </c>
      <c r="AA2104" s="1185">
        <f t="shared" si="885"/>
        <v>14275.584</v>
      </c>
      <c r="AB2104" s="1229"/>
      <c r="AC2104" s="1202"/>
      <c r="AD2104" s="1035" t="s">
        <v>6063</v>
      </c>
      <c r="AE2104" s="1173" t="s">
        <v>82</v>
      </c>
      <c r="AF2104" s="1173"/>
      <c r="AG2104" s="1173"/>
      <c r="AH2104" s="1172"/>
      <c r="AI2104" s="1172"/>
      <c r="AJ2104" s="992">
        <f t="shared" si="884"/>
        <v>-23040</v>
      </c>
      <c r="AK2104" s="1178"/>
      <c r="AL2104" s="1173"/>
      <c r="AM2104" s="1173"/>
      <c r="AN2104" s="1173">
        <f t="shared" ref="AN2104:AN2109" si="891">I2104</f>
        <v>23040</v>
      </c>
      <c r="AO2104" s="1174"/>
      <c r="AP2104" s="560">
        <f t="shared" ref="AP2104:AP2109" si="892">I2104</f>
        <v>23040</v>
      </c>
      <c r="AQ2104" s="1174"/>
      <c r="AR2104" s="1189"/>
      <c r="AS2104" s="1174"/>
      <c r="AT2104" s="1174"/>
      <c r="AU2104" s="560">
        <f t="shared" ref="AU2104:AU2109" si="893">I2104</f>
        <v>23040</v>
      </c>
      <c r="AV2104" s="1174"/>
      <c r="AW2104" s="1174"/>
      <c r="AX2104" s="1190"/>
      <c r="AY2104" s="1174"/>
      <c r="AZ2104" s="1174"/>
      <c r="BA2104" s="1174"/>
      <c r="BB2104" s="1116">
        <f t="shared" si="886"/>
        <v>960</v>
      </c>
      <c r="BC2104" s="1174"/>
      <c r="BD2104" s="1174"/>
      <c r="BE2104" s="1174"/>
      <c r="BF2104" s="1230"/>
      <c r="BG2104" s="565"/>
      <c r="BH2104" s="1231"/>
      <c r="BI2104" s="1174"/>
      <c r="BJ2104" s="1174"/>
      <c r="BK2104" s="1174"/>
      <c r="BL2104" s="1174"/>
      <c r="BM2104" s="1174"/>
      <c r="BN2104" s="1174"/>
      <c r="BO2104" s="1174"/>
      <c r="BP2104" s="1174"/>
      <c r="BQ2104" s="560">
        <f>I2104/16</f>
        <v>1440</v>
      </c>
      <c r="BR2104" s="1174"/>
      <c r="BS2104" s="1174"/>
      <c r="BT2104" s="1174"/>
      <c r="BU2104" s="1174"/>
      <c r="BV2104" s="1174"/>
      <c r="BW2104" s="1174"/>
      <c r="BX2104" s="1174"/>
      <c r="BY2104" s="1174"/>
      <c r="BZ2104" s="1174"/>
      <c r="CA2104" s="1230"/>
      <c r="CB2104" s="565"/>
      <c r="CC2104" s="1231"/>
      <c r="CD2104" s="1174"/>
      <c r="CE2104" s="1174"/>
      <c r="CF2104" s="1174"/>
      <c r="CG2104" s="1230"/>
      <c r="CH2104" s="565"/>
      <c r="CI2104" s="1231"/>
      <c r="CJ2104" s="1174"/>
      <c r="CK2104" s="1174"/>
      <c r="CL2104" s="1174"/>
      <c r="CM2104" s="1174"/>
      <c r="CN2104" s="1174"/>
      <c r="CO2104" s="1174"/>
      <c r="CP2104" s="1189"/>
      <c r="CQ2104" s="1189"/>
      <c r="CR2104" s="1174"/>
      <c r="CS2104" s="1174"/>
      <c r="CT2104" s="1174"/>
      <c r="CU2104" s="586">
        <f t="shared" si="887"/>
        <v>1440</v>
      </c>
      <c r="CV2104" s="586">
        <f t="shared" si="888"/>
        <v>0</v>
      </c>
      <c r="CW2104" s="586">
        <f t="shared" si="889"/>
        <v>0</v>
      </c>
      <c r="CX2104" s="1189"/>
      <c r="CY2104" s="1189"/>
      <c r="CZ2104" s="1189"/>
      <c r="DA2104" s="1189"/>
      <c r="DB2104" s="1189"/>
      <c r="DC2104" s="1189"/>
      <c r="DD2104" s="1189"/>
      <c r="DE2104" s="1189"/>
      <c r="DF2104" s="1189"/>
      <c r="DG2104" s="1189"/>
      <c r="DH2104" s="1189"/>
    </row>
    <row r="2105" s="564" customFormat="1" ht="31" customHeight="1" spans="1:112">
      <c r="A2105" s="1171">
        <v>46244</v>
      </c>
      <c r="B2105" s="1172" t="s">
        <v>143</v>
      </c>
      <c r="C2105" s="1173" t="s">
        <v>98</v>
      </c>
      <c r="D2105" s="1174">
        <v>4500219345</v>
      </c>
      <c r="E2105" s="1426" t="s">
        <v>11069</v>
      </c>
      <c r="F2105" s="1174" t="s">
        <v>11070</v>
      </c>
      <c r="G2105" s="1173" t="s">
        <v>6063</v>
      </c>
      <c r="H2105" s="1173" t="s">
        <v>6064</v>
      </c>
      <c r="I2105" s="1175">
        <v>18000</v>
      </c>
      <c r="J2105" s="1173">
        <v>0</v>
      </c>
      <c r="K2105" s="1227">
        <v>16</v>
      </c>
      <c r="L2105" s="1198">
        <f t="shared" ref="L2105:L2128" si="894">I2105/K2105</f>
        <v>1125</v>
      </c>
      <c r="M2105" s="1228">
        <v>46293</v>
      </c>
      <c r="N2105" s="1177">
        <f t="shared" si="890"/>
        <v>46289</v>
      </c>
      <c r="O2105" s="1178"/>
      <c r="P2105" s="1173"/>
      <c r="Q2105" s="1179"/>
      <c r="R2105" s="1179" t="s">
        <v>9889</v>
      </c>
      <c r="S2105" s="1039" t="s">
        <v>70</v>
      </c>
      <c r="T2105" s="1039" t="s">
        <v>10973</v>
      </c>
      <c r="U2105" s="1180"/>
      <c r="V2105" s="1179"/>
      <c r="W2105" s="1229"/>
      <c r="X2105" s="1172" t="s">
        <v>11068</v>
      </c>
      <c r="Y2105" s="1185" t="s">
        <v>106</v>
      </c>
      <c r="Z2105" s="1172">
        <v>0.6268</v>
      </c>
      <c r="AA2105" s="1185">
        <f t="shared" si="885"/>
        <v>11282.4</v>
      </c>
      <c r="AB2105" s="1229"/>
      <c r="AC2105" s="1202"/>
      <c r="AD2105" s="1035" t="s">
        <v>6063</v>
      </c>
      <c r="AE2105" s="1173" t="s">
        <v>82</v>
      </c>
      <c r="AF2105" s="1173"/>
      <c r="AG2105" s="1173"/>
      <c r="AH2105" s="1172"/>
      <c r="AI2105" s="1172"/>
      <c r="AJ2105" s="992">
        <f t="shared" si="884"/>
        <v>-18000</v>
      </c>
      <c r="AK2105" s="1178"/>
      <c r="AL2105" s="1173"/>
      <c r="AM2105" s="1173"/>
      <c r="AN2105" s="1173">
        <f t="shared" si="891"/>
        <v>18000</v>
      </c>
      <c r="AO2105" s="1174"/>
      <c r="AP2105" s="560">
        <f t="shared" si="892"/>
        <v>18000</v>
      </c>
      <c r="AQ2105" s="1174"/>
      <c r="AR2105" s="1189"/>
      <c r="AS2105" s="1174"/>
      <c r="AT2105" s="1174"/>
      <c r="AU2105" s="560">
        <f t="shared" si="893"/>
        <v>18000</v>
      </c>
      <c r="AV2105" s="1174"/>
      <c r="AW2105" s="1174"/>
      <c r="AX2105" s="1190"/>
      <c r="AY2105" s="1174"/>
      <c r="AZ2105" s="1174"/>
      <c r="BA2105" s="1174"/>
      <c r="BB2105" s="1116">
        <f t="shared" si="886"/>
        <v>750</v>
      </c>
      <c r="BC2105" s="1174"/>
      <c r="BD2105" s="1174"/>
      <c r="BE2105" s="1174"/>
      <c r="BF2105" s="1230"/>
      <c r="BG2105" s="565"/>
      <c r="BH2105" s="1231"/>
      <c r="BI2105" s="1174"/>
      <c r="BJ2105" s="1174"/>
      <c r="BK2105" s="1174"/>
      <c r="BL2105" s="1174"/>
      <c r="BM2105" s="1174"/>
      <c r="BN2105" s="1174"/>
      <c r="BO2105" s="1174"/>
      <c r="BP2105" s="1174"/>
      <c r="BQ2105" s="560">
        <f>I2105/16</f>
        <v>1125</v>
      </c>
      <c r="BR2105" s="1174"/>
      <c r="BS2105" s="1174"/>
      <c r="BT2105" s="1174"/>
      <c r="BU2105" s="1174"/>
      <c r="BV2105" s="1174"/>
      <c r="BW2105" s="1174"/>
      <c r="BX2105" s="1174"/>
      <c r="BY2105" s="1174"/>
      <c r="BZ2105" s="1174"/>
      <c r="CA2105" s="1230"/>
      <c r="CB2105" s="565"/>
      <c r="CC2105" s="1231"/>
      <c r="CD2105" s="1174"/>
      <c r="CE2105" s="1174"/>
      <c r="CF2105" s="1174"/>
      <c r="CG2105" s="1230"/>
      <c r="CH2105" s="565"/>
      <c r="CI2105" s="1231"/>
      <c r="CJ2105" s="1174"/>
      <c r="CK2105" s="1174"/>
      <c r="CL2105" s="1174"/>
      <c r="CM2105" s="1174"/>
      <c r="CN2105" s="1174"/>
      <c r="CO2105" s="1174"/>
      <c r="CP2105" s="1189"/>
      <c r="CQ2105" s="1189"/>
      <c r="CR2105" s="1174"/>
      <c r="CS2105" s="1174"/>
      <c r="CT2105" s="1174"/>
      <c r="CU2105" s="586">
        <f t="shared" si="887"/>
        <v>1125</v>
      </c>
      <c r="CV2105" s="586">
        <f t="shared" si="888"/>
        <v>0</v>
      </c>
      <c r="CW2105" s="586">
        <f t="shared" si="889"/>
        <v>0</v>
      </c>
      <c r="CX2105" s="1189"/>
      <c r="CY2105" s="1189"/>
      <c r="CZ2105" s="1189"/>
      <c r="DA2105" s="1189"/>
      <c r="DB2105" s="1189"/>
      <c r="DC2105" s="1189"/>
      <c r="DD2105" s="1189"/>
      <c r="DE2105" s="1189"/>
      <c r="DF2105" s="1189"/>
      <c r="DG2105" s="1189"/>
      <c r="DH2105" s="1189"/>
    </row>
    <row r="2106" s="564" customFormat="1" ht="31" customHeight="1" spans="1:112">
      <c r="A2106" s="1171">
        <v>46244</v>
      </c>
      <c r="B2106" s="1172" t="s">
        <v>143</v>
      </c>
      <c r="C2106" s="1173" t="s">
        <v>98</v>
      </c>
      <c r="D2106" s="1174">
        <v>4500219345</v>
      </c>
      <c r="E2106" s="1426" t="s">
        <v>11071</v>
      </c>
      <c r="F2106" s="1174" t="s">
        <v>11072</v>
      </c>
      <c r="G2106" s="1173" t="s">
        <v>6063</v>
      </c>
      <c r="H2106" s="1173" t="s">
        <v>6064</v>
      </c>
      <c r="I2106" s="1175">
        <v>22080</v>
      </c>
      <c r="J2106" s="1173">
        <v>0</v>
      </c>
      <c r="K2106" s="1227">
        <v>16</v>
      </c>
      <c r="L2106" s="1198">
        <f t="shared" si="894"/>
        <v>1380</v>
      </c>
      <c r="M2106" s="1228">
        <v>46293</v>
      </c>
      <c r="N2106" s="1177">
        <f t="shared" si="890"/>
        <v>46289</v>
      </c>
      <c r="O2106" s="1178"/>
      <c r="P2106" s="1173"/>
      <c r="Q2106" s="1179"/>
      <c r="R2106" s="1179" t="s">
        <v>9889</v>
      </c>
      <c r="S2106" s="1039" t="s">
        <v>70</v>
      </c>
      <c r="T2106" s="1039" t="s">
        <v>10973</v>
      </c>
      <c r="U2106" s="1180"/>
      <c r="V2106" s="1179"/>
      <c r="W2106" s="1229"/>
      <c r="X2106" s="1172" t="s">
        <v>11068</v>
      </c>
      <c r="Y2106" s="1185" t="s">
        <v>106</v>
      </c>
      <c r="Z2106" s="1172">
        <v>0.6196</v>
      </c>
      <c r="AA2106" s="1185">
        <f t="shared" si="885"/>
        <v>13680.768</v>
      </c>
      <c r="AB2106" s="1229"/>
      <c r="AC2106" s="1202"/>
      <c r="AD2106" s="1035" t="s">
        <v>6063</v>
      </c>
      <c r="AE2106" s="1173" t="s">
        <v>82</v>
      </c>
      <c r="AF2106" s="1173"/>
      <c r="AG2106" s="1173"/>
      <c r="AH2106" s="1172"/>
      <c r="AI2106" s="1172"/>
      <c r="AJ2106" s="992">
        <f t="shared" si="884"/>
        <v>-22080</v>
      </c>
      <c r="AK2106" s="1178"/>
      <c r="AL2106" s="1173"/>
      <c r="AM2106" s="1173"/>
      <c r="AN2106" s="1173">
        <f t="shared" si="891"/>
        <v>22080</v>
      </c>
      <c r="AO2106" s="1174"/>
      <c r="AP2106" s="560">
        <f t="shared" si="892"/>
        <v>22080</v>
      </c>
      <c r="AQ2106" s="1174"/>
      <c r="AR2106" s="1189"/>
      <c r="AS2106" s="1174"/>
      <c r="AT2106" s="1174"/>
      <c r="AU2106" s="560">
        <f t="shared" si="893"/>
        <v>22080</v>
      </c>
      <c r="AV2106" s="1174"/>
      <c r="AW2106" s="1174"/>
      <c r="AX2106" s="1190"/>
      <c r="AY2106" s="1174"/>
      <c r="AZ2106" s="1174"/>
      <c r="BA2106" s="1174"/>
      <c r="BB2106" s="1116">
        <f t="shared" si="886"/>
        <v>920</v>
      </c>
      <c r="BC2106" s="1174"/>
      <c r="BD2106" s="1174"/>
      <c r="BE2106" s="1174"/>
      <c r="BF2106" s="1230"/>
      <c r="BG2106" s="565"/>
      <c r="BH2106" s="1231"/>
      <c r="BI2106" s="1174"/>
      <c r="BJ2106" s="1174"/>
      <c r="BK2106" s="1174"/>
      <c r="BL2106" s="1174"/>
      <c r="BM2106" s="1174"/>
      <c r="BN2106" s="1174"/>
      <c r="BO2106" s="1174"/>
      <c r="BP2106" s="1174"/>
      <c r="BQ2106" s="560">
        <f>I2106/16</f>
        <v>1380</v>
      </c>
      <c r="BR2106" s="1174"/>
      <c r="BS2106" s="1174"/>
      <c r="BT2106" s="1174"/>
      <c r="BU2106" s="1174"/>
      <c r="BV2106" s="1174"/>
      <c r="BW2106" s="1174"/>
      <c r="BX2106" s="1174"/>
      <c r="BY2106" s="1174"/>
      <c r="BZ2106" s="1174"/>
      <c r="CA2106" s="1230"/>
      <c r="CB2106" s="565"/>
      <c r="CC2106" s="1231"/>
      <c r="CD2106" s="1174"/>
      <c r="CE2106" s="1174"/>
      <c r="CF2106" s="1174"/>
      <c r="CG2106" s="1230"/>
      <c r="CH2106" s="565"/>
      <c r="CI2106" s="1231"/>
      <c r="CJ2106" s="1174"/>
      <c r="CK2106" s="1174"/>
      <c r="CL2106" s="1174"/>
      <c r="CM2106" s="1174"/>
      <c r="CN2106" s="1174"/>
      <c r="CO2106" s="1174"/>
      <c r="CP2106" s="1189"/>
      <c r="CQ2106" s="1189"/>
      <c r="CR2106" s="1174"/>
      <c r="CS2106" s="1174"/>
      <c r="CT2106" s="1174"/>
      <c r="CU2106" s="586">
        <f t="shared" si="887"/>
        <v>1380</v>
      </c>
      <c r="CV2106" s="586">
        <f t="shared" si="888"/>
        <v>0</v>
      </c>
      <c r="CW2106" s="586">
        <f t="shared" si="889"/>
        <v>0</v>
      </c>
      <c r="CX2106" s="1189"/>
      <c r="CY2106" s="1189"/>
      <c r="CZ2106" s="1189"/>
      <c r="DA2106" s="1189"/>
      <c r="DB2106" s="1189"/>
      <c r="DC2106" s="1189"/>
      <c r="DD2106" s="1189"/>
      <c r="DE2106" s="1189"/>
      <c r="DF2106" s="1189"/>
      <c r="DG2106" s="1189"/>
      <c r="DH2106" s="1189"/>
    </row>
    <row r="2107" s="564" customFormat="1" ht="31" customHeight="1" spans="1:112">
      <c r="A2107" s="1171">
        <v>46244</v>
      </c>
      <c r="B2107" s="1172" t="s">
        <v>143</v>
      </c>
      <c r="C2107" s="1173" t="s">
        <v>98</v>
      </c>
      <c r="D2107" s="1174">
        <v>4500219345</v>
      </c>
      <c r="E2107" s="1426" t="s">
        <v>11073</v>
      </c>
      <c r="F2107" s="1174" t="s">
        <v>11074</v>
      </c>
      <c r="G2107" s="1173" t="s">
        <v>6063</v>
      </c>
      <c r="H2107" s="1173" t="s">
        <v>6064</v>
      </c>
      <c r="I2107" s="1175">
        <v>9600</v>
      </c>
      <c r="J2107" s="1173">
        <v>0</v>
      </c>
      <c r="K2107" s="1227">
        <v>16</v>
      </c>
      <c r="L2107" s="1198">
        <f t="shared" si="894"/>
        <v>600</v>
      </c>
      <c r="M2107" s="1228">
        <v>46293</v>
      </c>
      <c r="N2107" s="1177">
        <f t="shared" si="890"/>
        <v>46289</v>
      </c>
      <c r="O2107" s="1178"/>
      <c r="P2107" s="1173"/>
      <c r="Q2107" s="1179"/>
      <c r="R2107" s="1179" t="s">
        <v>9889</v>
      </c>
      <c r="S2107" s="1039" t="s">
        <v>70</v>
      </c>
      <c r="T2107" s="1039" t="s">
        <v>10973</v>
      </c>
      <c r="U2107" s="1180"/>
      <c r="V2107" s="1179"/>
      <c r="W2107" s="1229"/>
      <c r="X2107" s="1172" t="s">
        <v>11068</v>
      </c>
      <c r="Y2107" s="1185" t="s">
        <v>106</v>
      </c>
      <c r="Z2107" s="1172">
        <v>0.6196</v>
      </c>
      <c r="AA2107" s="1185">
        <f t="shared" si="885"/>
        <v>5948.16</v>
      </c>
      <c r="AB2107" s="1229"/>
      <c r="AC2107" s="1202"/>
      <c r="AD2107" s="1035" t="s">
        <v>6063</v>
      </c>
      <c r="AE2107" s="1173" t="s">
        <v>82</v>
      </c>
      <c r="AF2107" s="1173"/>
      <c r="AG2107" s="1173"/>
      <c r="AH2107" s="1172"/>
      <c r="AI2107" s="1172"/>
      <c r="AJ2107" s="992">
        <f t="shared" si="884"/>
        <v>-9600</v>
      </c>
      <c r="AK2107" s="1178"/>
      <c r="AL2107" s="1173"/>
      <c r="AM2107" s="1173"/>
      <c r="AN2107" s="1173">
        <f t="shared" si="891"/>
        <v>9600</v>
      </c>
      <c r="AO2107" s="1174"/>
      <c r="AP2107" s="560">
        <f t="shared" si="892"/>
        <v>9600</v>
      </c>
      <c r="AQ2107" s="1174"/>
      <c r="AR2107" s="1189"/>
      <c r="AS2107" s="1174"/>
      <c r="AT2107" s="1174"/>
      <c r="AU2107" s="560">
        <f t="shared" si="893"/>
        <v>9600</v>
      </c>
      <c r="AV2107" s="1174"/>
      <c r="AW2107" s="1174"/>
      <c r="AX2107" s="1190"/>
      <c r="AY2107" s="1174"/>
      <c r="AZ2107" s="1174"/>
      <c r="BA2107" s="1174"/>
      <c r="BB2107" s="1116">
        <f t="shared" si="886"/>
        <v>400</v>
      </c>
      <c r="BC2107" s="1174"/>
      <c r="BD2107" s="1174"/>
      <c r="BE2107" s="1174"/>
      <c r="BF2107" s="1230"/>
      <c r="BG2107" s="565"/>
      <c r="BH2107" s="1231"/>
      <c r="BI2107" s="1174"/>
      <c r="BJ2107" s="1174"/>
      <c r="BK2107" s="1174"/>
      <c r="BL2107" s="1174"/>
      <c r="BM2107" s="1174"/>
      <c r="BN2107" s="1174"/>
      <c r="BO2107" s="1174"/>
      <c r="BP2107" s="1174"/>
      <c r="BQ2107" s="560">
        <f>I2107/16</f>
        <v>600</v>
      </c>
      <c r="BR2107" s="1174"/>
      <c r="BS2107" s="1174"/>
      <c r="BT2107" s="1174"/>
      <c r="BU2107" s="1174"/>
      <c r="BV2107" s="1174"/>
      <c r="BW2107" s="1174"/>
      <c r="BX2107" s="1174"/>
      <c r="BY2107" s="1174"/>
      <c r="BZ2107" s="1174"/>
      <c r="CA2107" s="1230"/>
      <c r="CB2107" s="565"/>
      <c r="CC2107" s="1231"/>
      <c r="CD2107" s="1174"/>
      <c r="CE2107" s="1174"/>
      <c r="CF2107" s="1174"/>
      <c r="CG2107" s="1230"/>
      <c r="CH2107" s="565"/>
      <c r="CI2107" s="1231"/>
      <c r="CJ2107" s="1174"/>
      <c r="CK2107" s="1174"/>
      <c r="CL2107" s="1174"/>
      <c r="CM2107" s="1174"/>
      <c r="CN2107" s="1174"/>
      <c r="CO2107" s="1174"/>
      <c r="CP2107" s="1189"/>
      <c r="CQ2107" s="1189"/>
      <c r="CR2107" s="1174"/>
      <c r="CS2107" s="1174"/>
      <c r="CT2107" s="1174"/>
      <c r="CU2107" s="586">
        <f t="shared" si="887"/>
        <v>600</v>
      </c>
      <c r="CV2107" s="586">
        <f t="shared" si="888"/>
        <v>0</v>
      </c>
      <c r="CW2107" s="586">
        <f t="shared" si="889"/>
        <v>0</v>
      </c>
      <c r="CX2107" s="1189"/>
      <c r="CY2107" s="1189"/>
      <c r="CZ2107" s="1189"/>
      <c r="DA2107" s="1189"/>
      <c r="DB2107" s="1189"/>
      <c r="DC2107" s="1189"/>
      <c r="DD2107" s="1189"/>
      <c r="DE2107" s="1189"/>
      <c r="DF2107" s="1189"/>
      <c r="DG2107" s="1189"/>
      <c r="DH2107" s="1189"/>
    </row>
    <row r="2108" s="564" customFormat="1" ht="31" customHeight="1" spans="1:112">
      <c r="A2108" s="1171">
        <v>46244</v>
      </c>
      <c r="B2108" s="1172" t="s">
        <v>143</v>
      </c>
      <c r="C2108" s="1173" t="s">
        <v>98</v>
      </c>
      <c r="D2108" s="1174">
        <v>4500219345</v>
      </c>
      <c r="E2108" s="1426" t="s">
        <v>11075</v>
      </c>
      <c r="F2108" s="1174" t="s">
        <v>11076</v>
      </c>
      <c r="G2108" s="1173" t="s">
        <v>6063</v>
      </c>
      <c r="H2108" s="1173" t="s">
        <v>6064</v>
      </c>
      <c r="I2108" s="1175">
        <v>16320</v>
      </c>
      <c r="J2108" s="1173">
        <v>0</v>
      </c>
      <c r="K2108" s="1227">
        <v>16</v>
      </c>
      <c r="L2108" s="1198">
        <f t="shared" si="894"/>
        <v>1020</v>
      </c>
      <c r="M2108" s="1228">
        <v>46293</v>
      </c>
      <c r="N2108" s="1177">
        <f t="shared" si="890"/>
        <v>46289</v>
      </c>
      <c r="O2108" s="1178"/>
      <c r="P2108" s="1173"/>
      <c r="Q2108" s="1179"/>
      <c r="R2108" s="1179" t="s">
        <v>9889</v>
      </c>
      <c r="S2108" s="1039" t="s">
        <v>70</v>
      </c>
      <c r="T2108" s="1039" t="s">
        <v>10973</v>
      </c>
      <c r="U2108" s="1180"/>
      <c r="V2108" s="1179"/>
      <c r="W2108" s="1229"/>
      <c r="X2108" s="1172" t="s">
        <v>11068</v>
      </c>
      <c r="Y2108" s="1185" t="s">
        <v>106</v>
      </c>
      <c r="Z2108" s="1172">
        <v>0.6196</v>
      </c>
      <c r="AA2108" s="1185">
        <f t="shared" si="885"/>
        <v>10111.872</v>
      </c>
      <c r="AB2108" s="1229"/>
      <c r="AC2108" s="1202"/>
      <c r="AD2108" s="1035" t="s">
        <v>6063</v>
      </c>
      <c r="AE2108" s="1173" t="s">
        <v>82</v>
      </c>
      <c r="AF2108" s="1173"/>
      <c r="AG2108" s="1173"/>
      <c r="AH2108" s="1172"/>
      <c r="AI2108" s="1172"/>
      <c r="AJ2108" s="992">
        <f t="shared" si="884"/>
        <v>-16320</v>
      </c>
      <c r="AK2108" s="1178"/>
      <c r="AL2108" s="1173"/>
      <c r="AM2108" s="1173"/>
      <c r="AN2108" s="1173">
        <f t="shared" si="891"/>
        <v>16320</v>
      </c>
      <c r="AO2108" s="1174"/>
      <c r="AP2108" s="560">
        <f t="shared" si="892"/>
        <v>16320</v>
      </c>
      <c r="AQ2108" s="1174"/>
      <c r="AR2108" s="1189"/>
      <c r="AS2108" s="1174"/>
      <c r="AT2108" s="1174"/>
      <c r="AU2108" s="560">
        <f t="shared" si="893"/>
        <v>16320</v>
      </c>
      <c r="AV2108" s="1174"/>
      <c r="AW2108" s="1174"/>
      <c r="AX2108" s="1190"/>
      <c r="AY2108" s="1174"/>
      <c r="AZ2108" s="1174"/>
      <c r="BA2108" s="1174"/>
      <c r="BB2108" s="1116">
        <f t="shared" si="886"/>
        <v>680</v>
      </c>
      <c r="BC2108" s="1174"/>
      <c r="BD2108" s="1174"/>
      <c r="BE2108" s="1174"/>
      <c r="BF2108" s="1230"/>
      <c r="BG2108" s="565"/>
      <c r="BH2108" s="1231"/>
      <c r="BI2108" s="1174"/>
      <c r="BJ2108" s="1174"/>
      <c r="BK2108" s="1174"/>
      <c r="BL2108" s="1174"/>
      <c r="BM2108" s="1174"/>
      <c r="BN2108" s="1174"/>
      <c r="BO2108" s="1174"/>
      <c r="BP2108" s="1174"/>
      <c r="BQ2108" s="560">
        <f>I2108/16</f>
        <v>1020</v>
      </c>
      <c r="BR2108" s="1174"/>
      <c r="BS2108" s="1174"/>
      <c r="BT2108" s="1174"/>
      <c r="BU2108" s="1174"/>
      <c r="BV2108" s="1174"/>
      <c r="BW2108" s="1174"/>
      <c r="BX2108" s="1174"/>
      <c r="BY2108" s="1174"/>
      <c r="BZ2108" s="1174"/>
      <c r="CA2108" s="1230"/>
      <c r="CB2108" s="565"/>
      <c r="CC2108" s="1231"/>
      <c r="CD2108" s="1174"/>
      <c r="CE2108" s="1174"/>
      <c r="CF2108" s="1174"/>
      <c r="CG2108" s="1230"/>
      <c r="CH2108" s="565"/>
      <c r="CI2108" s="1231"/>
      <c r="CJ2108" s="1174"/>
      <c r="CK2108" s="1174"/>
      <c r="CL2108" s="1174"/>
      <c r="CM2108" s="1174"/>
      <c r="CN2108" s="1174"/>
      <c r="CO2108" s="1174"/>
      <c r="CP2108" s="1189"/>
      <c r="CQ2108" s="1189"/>
      <c r="CR2108" s="1174"/>
      <c r="CS2108" s="1174"/>
      <c r="CT2108" s="1174"/>
      <c r="CU2108" s="586">
        <f t="shared" si="887"/>
        <v>1020</v>
      </c>
      <c r="CV2108" s="586">
        <f t="shared" si="888"/>
        <v>0</v>
      </c>
      <c r="CW2108" s="586">
        <f t="shared" si="889"/>
        <v>0</v>
      </c>
      <c r="CX2108" s="1189"/>
      <c r="CY2108" s="1189"/>
      <c r="CZ2108" s="1189"/>
      <c r="DA2108" s="1189"/>
      <c r="DB2108" s="1189"/>
      <c r="DC2108" s="1189"/>
      <c r="DD2108" s="1189"/>
      <c r="DE2108" s="1189"/>
      <c r="DF2108" s="1189"/>
      <c r="DG2108" s="1189"/>
      <c r="DH2108" s="1189"/>
    </row>
    <row r="2109" s="560" customFormat="1" ht="31" customHeight="1" spans="1:112">
      <c r="A2109" s="1034">
        <v>46241</v>
      </c>
      <c r="B2109" s="603" t="s">
        <v>325</v>
      </c>
      <c r="C2109" s="1035" t="s">
        <v>98</v>
      </c>
      <c r="D2109" s="560">
        <v>4500219146</v>
      </c>
      <c r="E2109" s="1035" t="s">
        <v>5911</v>
      </c>
      <c r="F2109" s="560" t="s">
        <v>11077</v>
      </c>
      <c r="G2109" s="1035" t="s">
        <v>6084</v>
      </c>
      <c r="H2109" s="1035" t="s">
        <v>6069</v>
      </c>
      <c r="I2109" s="1036">
        <v>18075</v>
      </c>
      <c r="J2109" s="1035">
        <v>0</v>
      </c>
      <c r="K2109" s="1035">
        <v>25</v>
      </c>
      <c r="L2109" s="1025">
        <f t="shared" si="894"/>
        <v>723</v>
      </c>
      <c r="M2109" s="1037">
        <v>46294</v>
      </c>
      <c r="N2109" s="1037">
        <f t="shared" si="890"/>
        <v>46290</v>
      </c>
      <c r="O2109" s="1043"/>
      <c r="P2109" s="1035"/>
      <c r="Q2109" s="1039"/>
      <c r="R2109" s="1039" t="s">
        <v>454</v>
      </c>
      <c r="S2109" s="1039" t="s">
        <v>104</v>
      </c>
      <c r="T2109" s="1039" t="s">
        <v>10991</v>
      </c>
      <c r="U2109" s="1039"/>
      <c r="V2109" s="1039"/>
      <c r="W2109" s="603"/>
      <c r="X2109" s="603" t="s">
        <v>11078</v>
      </c>
      <c r="Y2109" s="1042" t="s">
        <v>252</v>
      </c>
      <c r="Z2109" s="603">
        <v>0.589</v>
      </c>
      <c r="AA2109" s="1042">
        <f t="shared" si="885"/>
        <v>10646.175</v>
      </c>
      <c r="AC2109" s="1030"/>
      <c r="AD2109" s="1035" t="s">
        <v>6084</v>
      </c>
      <c r="AE2109" s="1035" t="s">
        <v>82</v>
      </c>
      <c r="AF2109" s="1035"/>
      <c r="AG2109" s="1035"/>
      <c r="AH2109" s="603"/>
      <c r="AI2109" s="603"/>
      <c r="AJ2109" s="1035">
        <f t="shared" ref="AJ2109:AJ2128" si="895">AI2109-I2109</f>
        <v>-18075</v>
      </c>
      <c r="AK2109" s="1043"/>
      <c r="AL2109" s="1035"/>
      <c r="AM2109" s="1035"/>
      <c r="AN2109" s="1035">
        <f t="shared" si="891"/>
        <v>18075</v>
      </c>
      <c r="AP2109" s="560">
        <f t="shared" si="892"/>
        <v>18075</v>
      </c>
      <c r="AR2109" s="1044"/>
      <c r="AS2109" s="560"/>
      <c r="AT2109" s="560"/>
      <c r="AU2109" s="560">
        <f t="shared" si="893"/>
        <v>18075</v>
      </c>
      <c r="AX2109" s="1045"/>
      <c r="AY2109" s="560"/>
      <c r="AZ2109" s="560"/>
      <c r="BA2109" s="560"/>
      <c r="BB2109" s="1116">
        <f>I2109/48</f>
        <v>376.5625</v>
      </c>
      <c r="BN2109" s="560">
        <f>I2109/25</f>
        <v>723</v>
      </c>
      <c r="CP2109" s="1044"/>
      <c r="CQ2109" s="1044"/>
      <c r="CR2109" s="560"/>
      <c r="CS2109" s="560"/>
      <c r="CT2109" s="560"/>
      <c r="CU2109" s="560">
        <f t="shared" ref="CU2109:CU2128" si="896">BQ2109+BP2109+BO2109+BN2109+BX2109+BR2109</f>
        <v>723</v>
      </c>
      <c r="CV2109" s="560">
        <f t="shared" ref="CV2109:CV2116" si="897">CK2109+CL2109+CM2109+CN2109+CO2109+CQ2109+CP2109</f>
        <v>0</v>
      </c>
      <c r="CW2109" s="560">
        <f t="shared" ref="CW2109:CW2116" si="898">CI2109+CJ2109</f>
        <v>0</v>
      </c>
      <c r="CX2109" s="1044"/>
      <c r="CY2109" s="1044"/>
      <c r="CZ2109" s="1044"/>
      <c r="DA2109" s="1044"/>
      <c r="DB2109" s="1044"/>
      <c r="DC2109" s="1044"/>
      <c r="DD2109" s="1044"/>
      <c r="DE2109" s="1044"/>
      <c r="DF2109" s="1044"/>
      <c r="DG2109" s="1044"/>
      <c r="DH2109" s="1044"/>
    </row>
    <row r="2110" s="558" customFormat="1" ht="31" customHeight="1" spans="1:112">
      <c r="A2110" s="1022">
        <v>46206</v>
      </c>
      <c r="B2110" s="626" t="s">
        <v>2811</v>
      </c>
      <c r="C2110" s="939" t="s">
        <v>98</v>
      </c>
      <c r="D2110" s="563">
        <v>4500213190</v>
      </c>
      <c r="E2110" s="939">
        <v>60302439</v>
      </c>
      <c r="F2110" s="563" t="s">
        <v>11079</v>
      </c>
      <c r="G2110" s="939" t="s">
        <v>6787</v>
      </c>
      <c r="H2110" s="939" t="s">
        <v>6126</v>
      </c>
      <c r="I2110" s="1023">
        <v>5004</v>
      </c>
      <c r="J2110" s="939">
        <v>0</v>
      </c>
      <c r="K2110" s="1024">
        <v>12</v>
      </c>
      <c r="L2110" s="1025">
        <f t="shared" si="894"/>
        <v>417</v>
      </c>
      <c r="M2110" s="1026">
        <v>46295</v>
      </c>
      <c r="N2110" s="1027">
        <v>46291</v>
      </c>
      <c r="O2110" s="1031"/>
      <c r="P2110" s="939"/>
      <c r="Q2110" s="999"/>
      <c r="R2110" s="999">
        <v>46225</v>
      </c>
      <c r="S2110" s="999" t="s">
        <v>70</v>
      </c>
      <c r="T2110" s="999" t="s">
        <v>5943</v>
      </c>
      <c r="U2110" s="999"/>
      <c r="V2110" s="999" t="s">
        <v>10968</v>
      </c>
      <c r="W2110" s="585"/>
      <c r="X2110" s="626" t="s">
        <v>11080</v>
      </c>
      <c r="Y2110" s="1001" t="s">
        <v>3061</v>
      </c>
      <c r="Z2110" s="626">
        <v>1.3418</v>
      </c>
      <c r="AA2110" s="1001">
        <f t="shared" si="885"/>
        <v>6714.3672</v>
      </c>
      <c r="AB2110" s="585"/>
      <c r="AC2110" s="1030"/>
      <c r="AD2110" s="939" t="s">
        <v>8545</v>
      </c>
      <c r="AE2110" s="939" t="s">
        <v>82</v>
      </c>
      <c r="AF2110" s="939"/>
      <c r="AG2110" s="939"/>
      <c r="AH2110" s="626"/>
      <c r="AI2110" s="609"/>
      <c r="AJ2110" s="939">
        <f t="shared" si="895"/>
        <v>-5004</v>
      </c>
      <c r="AK2110" s="1031"/>
      <c r="AL2110" s="939" t="s">
        <v>2368</v>
      </c>
      <c r="AM2110" s="939"/>
      <c r="AN2110" s="939">
        <f>I2110*2</f>
        <v>10008</v>
      </c>
      <c r="AO2110" s="563"/>
      <c r="AP2110" s="563">
        <f>I2110*2</f>
        <v>10008</v>
      </c>
      <c r="AQ2110" s="563"/>
      <c r="AR2110" s="1015"/>
      <c r="AS2110" s="563"/>
      <c r="AT2110" s="563"/>
      <c r="AU2110" s="563">
        <f>I2110*2</f>
        <v>10008</v>
      </c>
      <c r="AV2110" s="563"/>
      <c r="AW2110" s="563"/>
      <c r="AX2110" s="1004"/>
      <c r="AY2110" s="563"/>
      <c r="AZ2110" s="563"/>
      <c r="BA2110" s="563"/>
      <c r="BB2110" s="1017">
        <f>I2110/24*2</f>
        <v>417</v>
      </c>
      <c r="BC2110" s="563"/>
      <c r="BD2110" s="563"/>
      <c r="BE2110" s="563"/>
      <c r="BF2110" s="1032"/>
      <c r="BG2110" s="560"/>
      <c r="BH2110" s="1033"/>
      <c r="BI2110" s="563"/>
      <c r="BJ2110" s="563"/>
      <c r="BK2110" s="563"/>
      <c r="BL2110" s="563"/>
      <c r="BM2110" s="563"/>
      <c r="BN2110" s="563"/>
      <c r="BO2110" s="563"/>
      <c r="BP2110" s="563"/>
      <c r="BQ2110" s="563"/>
      <c r="BR2110" s="563"/>
      <c r="BS2110" s="563"/>
      <c r="BT2110" s="563"/>
      <c r="BU2110" s="563"/>
      <c r="BV2110" s="563"/>
      <c r="BW2110" s="563"/>
      <c r="BX2110" s="563"/>
      <c r="BY2110" s="563"/>
      <c r="BZ2110" s="563"/>
      <c r="CA2110" s="1032"/>
      <c r="CB2110" s="560"/>
      <c r="CC2110" s="1033"/>
      <c r="CD2110" s="563"/>
      <c r="CE2110" s="563"/>
      <c r="CF2110" s="563"/>
      <c r="CG2110" s="1032"/>
      <c r="CH2110" s="560"/>
      <c r="CI2110" s="1033"/>
      <c r="CJ2110" s="563"/>
      <c r="CK2110" s="563"/>
      <c r="CL2110" s="563"/>
      <c r="CM2110" s="563"/>
      <c r="CN2110" s="563"/>
      <c r="CO2110" s="563"/>
      <c r="CP2110" s="1015"/>
      <c r="CQ2110" s="1015"/>
      <c r="CR2110" s="563">
        <f>I2110</f>
        <v>5004</v>
      </c>
      <c r="CS2110" s="563">
        <f>I2110</f>
        <v>5004</v>
      </c>
      <c r="CT2110" s="563">
        <f>I2110</f>
        <v>5004</v>
      </c>
      <c r="CU2110" s="563">
        <f t="shared" si="896"/>
        <v>0</v>
      </c>
      <c r="CV2110" s="563">
        <f t="shared" si="897"/>
        <v>0</v>
      </c>
      <c r="CW2110" s="687">
        <f t="shared" si="898"/>
        <v>0</v>
      </c>
      <c r="CX2110" s="1015"/>
      <c r="CY2110" s="1015"/>
      <c r="CZ2110" s="1015"/>
      <c r="DA2110" s="1015"/>
      <c r="DB2110" s="1015"/>
      <c r="DC2110" s="1015"/>
      <c r="DD2110" s="1015"/>
      <c r="DE2110" s="1015"/>
      <c r="DF2110" s="1015"/>
      <c r="DG2110" s="1015"/>
      <c r="DH2110" s="1015"/>
    </row>
    <row r="2111" s="566" customFormat="1" ht="31" customHeight="1" spans="1:112">
      <c r="A2111" s="1207">
        <v>46234</v>
      </c>
      <c r="B2111" s="1059" t="s">
        <v>135</v>
      </c>
      <c r="C2111" s="1208" t="s">
        <v>128</v>
      </c>
      <c r="D2111" s="566">
        <v>4500214359</v>
      </c>
      <c r="E2111" s="1208">
        <v>21865538</v>
      </c>
      <c r="F2111" s="566" t="s">
        <v>11081</v>
      </c>
      <c r="G2111" s="1208" t="s">
        <v>6093</v>
      </c>
      <c r="H2111" s="1129" t="s">
        <v>6094</v>
      </c>
      <c r="I2111" s="1211">
        <v>4290</v>
      </c>
      <c r="J2111" s="1208">
        <v>0</v>
      </c>
      <c r="K2111" s="1208">
        <v>13</v>
      </c>
      <c r="L2111" s="1133">
        <f t="shared" si="894"/>
        <v>330</v>
      </c>
      <c r="M2111" s="1212">
        <v>46295</v>
      </c>
      <c r="N2111" s="1212">
        <v>46291</v>
      </c>
      <c r="O2111" s="1210"/>
      <c r="P2111" s="1208"/>
      <c r="Q2111" s="1213"/>
      <c r="R2111" s="999" t="s">
        <v>454</v>
      </c>
      <c r="S2111" s="999" t="s">
        <v>104</v>
      </c>
      <c r="T2111" s="1065" t="s">
        <v>11082</v>
      </c>
      <c r="U2111" s="1213"/>
      <c r="V2111" s="1213"/>
      <c r="W2111" s="1059"/>
      <c r="X2111" s="1059" t="s">
        <v>11083</v>
      </c>
      <c r="Y2111" s="1214" t="s">
        <v>3206</v>
      </c>
      <c r="Z2111" s="1059">
        <v>0.9822</v>
      </c>
      <c r="AA2111" s="1215">
        <f t="shared" si="885"/>
        <v>4213.638</v>
      </c>
      <c r="AB2111" s="1059"/>
      <c r="AC2111" s="1137"/>
      <c r="AD2111" s="939" t="s">
        <v>6093</v>
      </c>
      <c r="AE2111" s="1084" t="s">
        <v>82</v>
      </c>
      <c r="AF2111" s="1208"/>
      <c r="AG2111" s="1208"/>
      <c r="AH2111" s="1059"/>
      <c r="AI2111" s="1128"/>
      <c r="AJ2111" s="939">
        <f t="shared" si="895"/>
        <v>-4290</v>
      </c>
      <c r="AK2111" s="1210"/>
      <c r="AL2111" s="1208" t="s">
        <v>454</v>
      </c>
      <c r="AM2111" s="1208"/>
      <c r="AN2111" s="1208"/>
      <c r="AO2111" s="562">
        <f>I2111</f>
        <v>4290</v>
      </c>
      <c r="AR2111" s="1216"/>
      <c r="AS2111" s="566"/>
      <c r="AT2111" s="563">
        <f>I2111</f>
        <v>4290</v>
      </c>
      <c r="AU2111" s="563"/>
      <c r="AV2111" s="563">
        <f>I2111</f>
        <v>4290</v>
      </c>
      <c r="AW2111" s="1138"/>
      <c r="AX2111" s="562"/>
      <c r="AY2111" s="566"/>
      <c r="AZ2111" s="566"/>
      <c r="BA2111" s="1140"/>
      <c r="BB2111" s="1017">
        <f>I2111/24</f>
        <v>178.75</v>
      </c>
      <c r="BM2111" s="563">
        <f>I2111/13</f>
        <v>330</v>
      </c>
      <c r="CA2111" s="1216"/>
      <c r="CB2111" s="566"/>
      <c r="CC2111" s="566"/>
      <c r="CD2111" s="566"/>
      <c r="CE2111" s="566"/>
      <c r="CF2111" s="566"/>
      <c r="CG2111" s="566"/>
      <c r="CH2111" s="566"/>
      <c r="CI2111" s="566"/>
      <c r="CJ2111" s="566"/>
      <c r="CK2111" s="566"/>
      <c r="CL2111" s="566"/>
      <c r="CM2111" s="566"/>
      <c r="CN2111" s="566"/>
      <c r="CO2111" s="566"/>
      <c r="CP2111" s="1216"/>
      <c r="CQ2111" s="1216"/>
      <c r="CR2111" s="566"/>
      <c r="CS2111" s="566"/>
      <c r="CT2111" s="566"/>
      <c r="CU2111" s="563">
        <f t="shared" si="896"/>
        <v>0</v>
      </c>
      <c r="CV2111" s="563">
        <f t="shared" si="897"/>
        <v>0</v>
      </c>
      <c r="CW2111" s="563">
        <f t="shared" si="898"/>
        <v>0</v>
      </c>
      <c r="CX2111" s="1216"/>
      <c r="CY2111" s="1216"/>
      <c r="CZ2111" s="1216"/>
      <c r="DA2111" s="1216"/>
      <c r="DB2111" s="1216"/>
      <c r="DC2111" s="1216"/>
      <c r="DD2111" s="1216"/>
      <c r="DE2111" s="1216"/>
      <c r="DF2111" s="1216"/>
      <c r="DG2111" s="1216"/>
      <c r="DH2111" s="1216"/>
    </row>
    <row r="2112" s="566" customFormat="1" ht="31" customHeight="1" spans="1:112">
      <c r="A2112" s="1207">
        <v>46234</v>
      </c>
      <c r="B2112" s="1059" t="s">
        <v>139</v>
      </c>
      <c r="C2112" s="1208" t="s">
        <v>76</v>
      </c>
      <c r="D2112" s="566">
        <v>4500214361</v>
      </c>
      <c r="E2112" s="1208">
        <v>21865539</v>
      </c>
      <c r="F2112" s="566" t="s">
        <v>11084</v>
      </c>
      <c r="G2112" s="1208" t="s">
        <v>6093</v>
      </c>
      <c r="H2112" s="1129" t="s">
        <v>6094</v>
      </c>
      <c r="I2112" s="1211">
        <v>299</v>
      </c>
      <c r="J2112" s="1208">
        <v>0</v>
      </c>
      <c r="K2112" s="1208">
        <v>13</v>
      </c>
      <c r="L2112" s="1133">
        <f t="shared" si="894"/>
        <v>23</v>
      </c>
      <c r="M2112" s="1212">
        <v>46295</v>
      </c>
      <c r="N2112" s="1212">
        <v>46291</v>
      </c>
      <c r="O2112" s="1210"/>
      <c r="P2112" s="1208"/>
      <c r="Q2112" s="1213"/>
      <c r="R2112" s="999" t="s">
        <v>454</v>
      </c>
      <c r="S2112" s="999" t="s">
        <v>104</v>
      </c>
      <c r="T2112" s="1065" t="s">
        <v>11082</v>
      </c>
      <c r="U2112" s="1213"/>
      <c r="V2112" s="1213"/>
      <c r="W2112" s="1059"/>
      <c r="X2112" s="1059" t="s">
        <v>11085</v>
      </c>
      <c r="Y2112" s="1214" t="s">
        <v>3206</v>
      </c>
      <c r="Z2112" s="1059">
        <v>0.9868</v>
      </c>
      <c r="AA2112" s="1215">
        <f t="shared" si="885"/>
        <v>295.0532</v>
      </c>
      <c r="AB2112" s="1059"/>
      <c r="AC2112" s="1137"/>
      <c r="AD2112" s="939" t="s">
        <v>6093</v>
      </c>
      <c r="AE2112" s="1084" t="s">
        <v>82</v>
      </c>
      <c r="AF2112" s="1208"/>
      <c r="AG2112" s="1208"/>
      <c r="AH2112" s="1059"/>
      <c r="AI2112" s="1128"/>
      <c r="AJ2112" s="939">
        <f t="shared" si="895"/>
        <v>-299</v>
      </c>
      <c r="AK2112" s="1210"/>
      <c r="AL2112" s="1208" t="s">
        <v>454</v>
      </c>
      <c r="AM2112" s="1208"/>
      <c r="AN2112" s="1208"/>
      <c r="AO2112" s="562">
        <f>I2112</f>
        <v>299</v>
      </c>
      <c r="AR2112" s="1216"/>
      <c r="AS2112" s="566"/>
      <c r="AT2112" s="210">
        <f>I2112</f>
        <v>299</v>
      </c>
      <c r="AU2112" s="563"/>
      <c r="AV2112" s="210">
        <f>I2112</f>
        <v>299</v>
      </c>
      <c r="AW2112" s="1138"/>
      <c r="AX2112" s="562"/>
      <c r="AY2112" s="566"/>
      <c r="AZ2112" s="566"/>
      <c r="BA2112" s="1140"/>
      <c r="BB2112" s="1017">
        <f>I2112/24</f>
        <v>12.4583333333333</v>
      </c>
      <c r="BM2112" s="210">
        <f>I2112/13</f>
        <v>23</v>
      </c>
      <c r="CA2112" s="1216"/>
      <c r="CB2112" s="566"/>
      <c r="CC2112" s="566"/>
      <c r="CD2112" s="566"/>
      <c r="CE2112" s="566"/>
      <c r="CF2112" s="566"/>
      <c r="CG2112" s="566"/>
      <c r="CH2112" s="566"/>
      <c r="CI2112" s="566"/>
      <c r="CJ2112" s="566"/>
      <c r="CK2112" s="566"/>
      <c r="CL2112" s="566"/>
      <c r="CM2112" s="566"/>
      <c r="CN2112" s="566"/>
      <c r="CO2112" s="566"/>
      <c r="CP2112" s="1216"/>
      <c r="CQ2112" s="1216"/>
      <c r="CR2112" s="566"/>
      <c r="CS2112" s="566"/>
      <c r="CT2112" s="566"/>
      <c r="CU2112" s="563">
        <f t="shared" si="896"/>
        <v>0</v>
      </c>
      <c r="CV2112" s="563">
        <f t="shared" si="897"/>
        <v>0</v>
      </c>
      <c r="CW2112" s="563">
        <f t="shared" si="898"/>
        <v>0</v>
      </c>
      <c r="CX2112" s="1216"/>
      <c r="CY2112" s="1216"/>
      <c r="CZ2112" s="1216"/>
      <c r="DA2112" s="1216"/>
      <c r="DB2112" s="1216"/>
      <c r="DC2112" s="1216"/>
      <c r="DD2112" s="1216"/>
      <c r="DE2112" s="1216"/>
      <c r="DF2112" s="1216"/>
      <c r="DG2112" s="1216"/>
      <c r="DH2112" s="1216"/>
    </row>
    <row r="2113" s="560" customFormat="1" ht="31" customHeight="1" spans="1:112">
      <c r="A2113" s="1034">
        <v>46241</v>
      </c>
      <c r="B2113" s="603" t="s">
        <v>325</v>
      </c>
      <c r="C2113" s="1035" t="s">
        <v>98</v>
      </c>
      <c r="D2113" s="560" t="s">
        <v>11086</v>
      </c>
      <c r="E2113" s="1170" t="s">
        <v>11087</v>
      </c>
      <c r="F2113" s="1148" t="s">
        <v>11088</v>
      </c>
      <c r="G2113" s="1035" t="s">
        <v>6084</v>
      </c>
      <c r="H2113" s="1035" t="s">
        <v>6069</v>
      </c>
      <c r="I2113" s="1036">
        <v>170000</v>
      </c>
      <c r="J2113" s="1035">
        <v>0</v>
      </c>
      <c r="K2113" s="1035">
        <v>25</v>
      </c>
      <c r="L2113" s="1025">
        <f t="shared" si="894"/>
        <v>6800</v>
      </c>
      <c r="M2113" s="1037">
        <v>46295</v>
      </c>
      <c r="N2113" s="1037">
        <v>46291</v>
      </c>
      <c r="O2113" s="1043"/>
      <c r="P2113" s="1035"/>
      <c r="Q2113" s="1039"/>
      <c r="R2113" s="1039" t="s">
        <v>454</v>
      </c>
      <c r="S2113" s="1039" t="s">
        <v>104</v>
      </c>
      <c r="T2113" s="1039" t="s">
        <v>10991</v>
      </c>
      <c r="U2113" s="1039"/>
      <c r="V2113" s="1039"/>
      <c r="W2113" s="603"/>
      <c r="X2113" s="603" t="s">
        <v>10992</v>
      </c>
      <c r="Y2113" s="1042" t="s">
        <v>252</v>
      </c>
      <c r="Z2113" s="603">
        <v>0.5798</v>
      </c>
      <c r="AA2113" s="1042">
        <f t="shared" si="885"/>
        <v>98566</v>
      </c>
      <c r="AC2113" s="1030"/>
      <c r="AD2113" s="1035" t="s">
        <v>6084</v>
      </c>
      <c r="AE2113" s="1035" t="s">
        <v>82</v>
      </c>
      <c r="AF2113" s="1035"/>
      <c r="AG2113" s="1035"/>
      <c r="AH2113" s="603"/>
      <c r="AI2113" s="603"/>
      <c r="AJ2113" s="1035">
        <f t="shared" si="895"/>
        <v>-170000</v>
      </c>
      <c r="AK2113" s="1043"/>
      <c r="AL2113" s="1035"/>
      <c r="AM2113" s="1035"/>
      <c r="AN2113" s="1035">
        <f>I2113</f>
        <v>170000</v>
      </c>
      <c r="AP2113" s="238">
        <f>I2113</f>
        <v>170000</v>
      </c>
      <c r="AR2113" s="1044"/>
      <c r="AS2113" s="560"/>
      <c r="AT2113" s="560"/>
      <c r="AU2113" s="238">
        <f>I2113</f>
        <v>170000</v>
      </c>
      <c r="AX2113" s="1045"/>
      <c r="AY2113" s="560"/>
      <c r="AZ2113" s="560"/>
      <c r="BA2113" s="560"/>
      <c r="BB2113" s="1116">
        <f>I2113/48</f>
        <v>3541.66666666667</v>
      </c>
      <c r="BN2113" s="238">
        <f>I2113/25</f>
        <v>6800</v>
      </c>
      <c r="CP2113" s="1044"/>
      <c r="CQ2113" s="1044"/>
      <c r="CR2113" s="560"/>
      <c r="CS2113" s="560"/>
      <c r="CT2113" s="560"/>
      <c r="CU2113" s="560">
        <f t="shared" si="896"/>
        <v>6800</v>
      </c>
      <c r="CV2113" s="560">
        <f t="shared" si="897"/>
        <v>0</v>
      </c>
      <c r="CW2113" s="560">
        <f t="shared" si="898"/>
        <v>0</v>
      </c>
      <c r="CX2113" s="1044"/>
      <c r="CY2113" s="1044"/>
      <c r="CZ2113" s="1044"/>
      <c r="DA2113" s="1044"/>
      <c r="DB2113" s="1044"/>
      <c r="DC2113" s="1044"/>
      <c r="DD2113" s="1044"/>
      <c r="DE2113" s="1044"/>
      <c r="DF2113" s="1044"/>
      <c r="DG2113" s="1044"/>
      <c r="DH2113" s="1044"/>
    </row>
    <row r="2114" s="560" customFormat="1" ht="31" customHeight="1" spans="1:112">
      <c r="A2114" s="1034">
        <v>46241</v>
      </c>
      <c r="B2114" s="603" t="s">
        <v>325</v>
      </c>
      <c r="C2114" s="1035" t="s">
        <v>98</v>
      </c>
      <c r="D2114" s="560">
        <v>4500219169</v>
      </c>
      <c r="E2114" s="1035" t="s">
        <v>5918</v>
      </c>
      <c r="F2114" s="560" t="s">
        <v>11089</v>
      </c>
      <c r="G2114" s="1035" t="s">
        <v>6084</v>
      </c>
      <c r="H2114" s="1035" t="s">
        <v>6069</v>
      </c>
      <c r="I2114" s="1036">
        <v>25675</v>
      </c>
      <c r="J2114" s="1035">
        <v>0</v>
      </c>
      <c r="K2114" s="1035">
        <v>25</v>
      </c>
      <c r="L2114" s="1025">
        <f t="shared" si="894"/>
        <v>1027</v>
      </c>
      <c r="M2114" s="1037">
        <v>46303</v>
      </c>
      <c r="N2114" s="1037">
        <f>M2114-3</f>
        <v>46300</v>
      </c>
      <c r="O2114" s="1043"/>
      <c r="P2114" s="1035"/>
      <c r="Q2114" s="999"/>
      <c r="R2114" s="1039" t="s">
        <v>454</v>
      </c>
      <c r="S2114" s="1039" t="s">
        <v>104</v>
      </c>
      <c r="T2114" s="1039" t="s">
        <v>10991</v>
      </c>
      <c r="U2114" s="1039"/>
      <c r="V2114" s="1039"/>
      <c r="W2114" s="603"/>
      <c r="X2114" s="603" t="s">
        <v>11090</v>
      </c>
      <c r="Y2114" s="1042" t="s">
        <v>252</v>
      </c>
      <c r="Z2114" s="603">
        <v>0.5833</v>
      </c>
      <c r="AA2114" s="1042">
        <f t="shared" si="885"/>
        <v>14976.2275</v>
      </c>
      <c r="AC2114" s="1030"/>
      <c r="AD2114" s="1035" t="s">
        <v>6084</v>
      </c>
      <c r="AE2114" s="1035" t="s">
        <v>82</v>
      </c>
      <c r="AF2114" s="1035"/>
      <c r="AG2114" s="1035"/>
      <c r="AH2114" s="603"/>
      <c r="AI2114" s="603"/>
      <c r="AJ2114" s="1035">
        <f t="shared" si="895"/>
        <v>-25675</v>
      </c>
      <c r="AK2114" s="1043"/>
      <c r="AL2114" s="1035"/>
      <c r="AM2114" s="1035"/>
      <c r="AN2114" s="1035">
        <f>I2114</f>
        <v>25675</v>
      </c>
      <c r="AP2114" s="560">
        <f>I2114</f>
        <v>25675</v>
      </c>
      <c r="AR2114" s="1044"/>
      <c r="AS2114" s="560"/>
      <c r="AT2114" s="560"/>
      <c r="AU2114" s="560">
        <f>I2114</f>
        <v>25675</v>
      </c>
      <c r="AX2114" s="1045"/>
      <c r="AY2114" s="560"/>
      <c r="AZ2114" s="560"/>
      <c r="BA2114" s="560"/>
      <c r="BB2114" s="1116">
        <f>I2114/48</f>
        <v>534.895833333333</v>
      </c>
      <c r="BN2114" s="560">
        <f>I2114/25</f>
        <v>1027</v>
      </c>
      <c r="CP2114" s="1044"/>
      <c r="CQ2114" s="1044"/>
      <c r="CR2114" s="560"/>
      <c r="CS2114" s="560"/>
      <c r="CT2114" s="560"/>
      <c r="CU2114" s="560">
        <f t="shared" si="896"/>
        <v>1027</v>
      </c>
      <c r="CV2114" s="560">
        <f t="shared" si="897"/>
        <v>0</v>
      </c>
      <c r="CW2114" s="560">
        <f t="shared" si="898"/>
        <v>0</v>
      </c>
      <c r="CX2114" s="1044"/>
      <c r="CY2114" s="1044"/>
      <c r="CZ2114" s="1044"/>
      <c r="DA2114" s="1044"/>
      <c r="DB2114" s="1044"/>
      <c r="DC2114" s="1044"/>
      <c r="DD2114" s="1044"/>
      <c r="DE2114" s="1044"/>
      <c r="DF2114" s="1044"/>
      <c r="DG2114" s="1044"/>
      <c r="DH2114" s="1044"/>
    </row>
    <row r="2115" s="558" customFormat="1" ht="31" customHeight="1" spans="1:112">
      <c r="A2115" s="1022">
        <v>46212</v>
      </c>
      <c r="B2115" s="626" t="s">
        <v>1838</v>
      </c>
      <c r="C2115" s="939" t="s">
        <v>524</v>
      </c>
      <c r="D2115" s="1063">
        <v>4500215851</v>
      </c>
      <c r="E2115" s="939"/>
      <c r="F2115" s="563" t="s">
        <v>11091</v>
      </c>
      <c r="G2115" s="939" t="s">
        <v>6043</v>
      </c>
      <c r="H2115" s="939" t="s">
        <v>6110</v>
      </c>
      <c r="I2115" s="1023">
        <v>1400</v>
      </c>
      <c r="J2115" s="939">
        <v>0</v>
      </c>
      <c r="K2115" s="1024">
        <v>50</v>
      </c>
      <c r="L2115" s="1025">
        <f t="shared" si="894"/>
        <v>28</v>
      </c>
      <c r="M2115" s="1026">
        <v>46303</v>
      </c>
      <c r="N2115" s="1027">
        <v>46300</v>
      </c>
      <c r="O2115" s="1031"/>
      <c r="P2115" s="939"/>
      <c r="R2115" s="999" t="s">
        <v>454</v>
      </c>
      <c r="S2115" s="999" t="s">
        <v>70</v>
      </c>
      <c r="T2115" s="999" t="s">
        <v>11092</v>
      </c>
      <c r="U2115" s="999"/>
      <c r="V2115" s="999"/>
      <c r="W2115" s="585"/>
      <c r="X2115" s="626" t="s">
        <v>11093</v>
      </c>
      <c r="Y2115" s="1001" t="s">
        <v>943</v>
      </c>
      <c r="Z2115" s="626">
        <v>0.9998</v>
      </c>
      <c r="AA2115" s="1001">
        <f t="shared" si="885"/>
        <v>1399.72</v>
      </c>
      <c r="AC2115" s="1030"/>
      <c r="AD2115" s="626" t="s">
        <v>6043</v>
      </c>
      <c r="AE2115" s="1035" t="s">
        <v>82</v>
      </c>
      <c r="AF2115" s="939"/>
      <c r="AG2115" s="939"/>
      <c r="AH2115" s="626"/>
      <c r="AI2115" s="626"/>
      <c r="AJ2115" s="939">
        <f t="shared" si="895"/>
        <v>-1400</v>
      </c>
      <c r="AK2115" s="1031"/>
      <c r="AL2115" s="939"/>
      <c r="AM2115" s="939"/>
      <c r="AN2115" s="939"/>
      <c r="AO2115" s="563">
        <f>I2115</f>
        <v>1400</v>
      </c>
      <c r="AP2115" s="563"/>
      <c r="AQ2115" s="563"/>
      <c r="AR2115" s="1015"/>
      <c r="AS2115" s="563"/>
      <c r="AT2115" s="563">
        <f>I2115</f>
        <v>1400</v>
      </c>
      <c r="AU2115" s="563"/>
      <c r="AV2115" s="563">
        <f>I2115</f>
        <v>1400</v>
      </c>
      <c r="AW2115" s="563"/>
      <c r="AX2115" s="1004"/>
      <c r="AY2115" s="563"/>
      <c r="AZ2115" s="563"/>
      <c r="BA2115" s="563"/>
      <c r="BB2115" s="1017">
        <f>I2115/24</f>
        <v>58.3333333333333</v>
      </c>
      <c r="BC2115" s="563"/>
      <c r="BD2115" s="563"/>
      <c r="BE2115" s="563"/>
      <c r="BF2115" s="1032"/>
      <c r="BG2115" s="560"/>
      <c r="BH2115" s="1033"/>
      <c r="BI2115" s="563"/>
      <c r="BJ2115" s="563"/>
      <c r="BK2115" s="563"/>
      <c r="BL2115" s="563"/>
      <c r="BM2115" s="563"/>
      <c r="BN2115" s="563"/>
      <c r="BO2115" s="563"/>
      <c r="BP2115" s="563">
        <f>I2115/25</f>
        <v>56</v>
      </c>
      <c r="BQ2115" s="563"/>
      <c r="BR2115" s="563"/>
      <c r="BS2115" s="563"/>
      <c r="BT2115" s="563"/>
      <c r="BU2115" s="563"/>
      <c r="BV2115" s="563"/>
      <c r="BW2115" s="563"/>
      <c r="BX2115" s="563"/>
      <c r="BY2115" s="563"/>
      <c r="BZ2115" s="563"/>
      <c r="CA2115" s="1032"/>
      <c r="CB2115" s="560"/>
      <c r="CC2115" s="1033"/>
      <c r="CD2115" s="563"/>
      <c r="CE2115" s="563"/>
      <c r="CF2115" s="563"/>
      <c r="CG2115" s="1032"/>
      <c r="CH2115" s="560"/>
      <c r="CI2115" s="1033"/>
      <c r="CJ2115" s="563"/>
      <c r="CK2115" s="563"/>
      <c r="CL2115" s="563"/>
      <c r="CM2115" s="563"/>
      <c r="CN2115" s="563"/>
      <c r="CO2115" s="563"/>
      <c r="CP2115" s="1015"/>
      <c r="CQ2115" s="1015"/>
      <c r="CR2115" s="563"/>
      <c r="CS2115" s="563"/>
      <c r="CT2115" s="563"/>
      <c r="CU2115" s="563">
        <f t="shared" si="896"/>
        <v>56</v>
      </c>
      <c r="CV2115" s="563">
        <f t="shared" si="897"/>
        <v>0</v>
      </c>
      <c r="CW2115" s="563">
        <f t="shared" si="898"/>
        <v>0</v>
      </c>
      <c r="CX2115" s="1015"/>
      <c r="CY2115" s="1015"/>
      <c r="CZ2115" s="1015"/>
      <c r="DA2115" s="1015"/>
      <c r="DB2115" s="1015"/>
      <c r="DC2115" s="1015"/>
      <c r="DD2115" s="1015"/>
      <c r="DE2115" s="1015"/>
      <c r="DF2115" s="1015"/>
      <c r="DG2115" s="1015"/>
      <c r="DH2115" s="1015"/>
    </row>
    <row r="2116" s="564" customFormat="1" ht="31" customHeight="1" spans="1:112">
      <c r="A2116" s="1171">
        <v>46245</v>
      </c>
      <c r="B2116" s="1172" t="s">
        <v>11094</v>
      </c>
      <c r="C2116" s="1173" t="s">
        <v>98</v>
      </c>
      <c r="D2116" s="1232" t="s">
        <v>11095</v>
      </c>
      <c r="E2116" s="1173" t="s">
        <v>11096</v>
      </c>
      <c r="F2116" s="1174" t="s">
        <v>11097</v>
      </c>
      <c r="G2116" s="1173" t="s">
        <v>6787</v>
      </c>
      <c r="H2116" s="1173" t="s">
        <v>6126</v>
      </c>
      <c r="I2116" s="1175">
        <v>5004</v>
      </c>
      <c r="J2116" s="1173">
        <v>0</v>
      </c>
      <c r="K2116" s="1227">
        <v>12</v>
      </c>
      <c r="L2116" s="1198">
        <f t="shared" si="894"/>
        <v>417</v>
      </c>
      <c r="M2116" s="1228">
        <v>46303</v>
      </c>
      <c r="N2116" s="1177">
        <v>46300</v>
      </c>
      <c r="O2116" s="1178"/>
      <c r="P2116" s="1173"/>
      <c r="Q2116" s="1179"/>
      <c r="R2116" s="1179">
        <v>46245</v>
      </c>
      <c r="S2116" s="1233" t="s">
        <v>70</v>
      </c>
      <c r="T2116" s="1233" t="s">
        <v>5943</v>
      </c>
      <c r="U2116" s="1180"/>
      <c r="V2116" s="1179"/>
      <c r="W2116" s="1229"/>
      <c r="X2116" s="1172" t="s">
        <v>11098</v>
      </c>
      <c r="Y2116" s="1185" t="s">
        <v>11099</v>
      </c>
      <c r="Z2116" s="1172">
        <v>1.3534</v>
      </c>
      <c r="AA2116" s="1185">
        <f t="shared" si="885"/>
        <v>6772.4136</v>
      </c>
      <c r="AC2116" s="1202"/>
      <c r="AD2116" s="1173" t="s">
        <v>8545</v>
      </c>
      <c r="AE2116" s="1173" t="s">
        <v>82</v>
      </c>
      <c r="AF2116" s="1173"/>
      <c r="AG2116" s="1173"/>
      <c r="AH2116" s="1172"/>
      <c r="AI2116" s="1172"/>
      <c r="AJ2116" s="1234">
        <f t="shared" si="895"/>
        <v>-5004</v>
      </c>
      <c r="AK2116" s="1178"/>
      <c r="AL2116" s="1173"/>
      <c r="AM2116" s="1173"/>
      <c r="AN2116" s="1173">
        <f>I2116*2</f>
        <v>10008</v>
      </c>
      <c r="AO2116" s="1174"/>
      <c r="AP2116" s="1235">
        <f>I2116*2</f>
        <v>10008</v>
      </c>
      <c r="AQ2116" s="1174"/>
      <c r="AR2116" s="1189"/>
      <c r="AS2116" s="1174"/>
      <c r="AT2116" s="1174"/>
      <c r="AU2116" s="1235">
        <f>I2116*2</f>
        <v>10008</v>
      </c>
      <c r="AV2116" s="1174"/>
      <c r="AW2116" s="1174"/>
      <c r="AX2116" s="1190"/>
      <c r="AY2116" s="1174"/>
      <c r="AZ2116" s="1174"/>
      <c r="BA2116" s="1174"/>
      <c r="BB2116" s="1236">
        <f>I2116/24*2</f>
        <v>417</v>
      </c>
      <c r="BC2116" s="1174"/>
      <c r="BD2116" s="1174"/>
      <c r="BE2116" s="1174"/>
      <c r="BF2116" s="1230"/>
      <c r="BG2116" s="565"/>
      <c r="BH2116" s="1231"/>
      <c r="BI2116" s="1174"/>
      <c r="BJ2116" s="1174"/>
      <c r="BK2116" s="1174"/>
      <c r="BL2116" s="1174"/>
      <c r="BM2116" s="1174"/>
      <c r="BN2116" s="1174"/>
      <c r="BO2116" s="1174"/>
      <c r="BP2116" s="1174"/>
      <c r="BQ2116" s="1174"/>
      <c r="BR2116" s="1174"/>
      <c r="BS2116" s="1174"/>
      <c r="BT2116" s="1174"/>
      <c r="BU2116" s="1174"/>
      <c r="BV2116" s="1174"/>
      <c r="BW2116" s="1174"/>
      <c r="BX2116" s="1174"/>
      <c r="BY2116" s="1174"/>
      <c r="BZ2116" s="1174"/>
      <c r="CA2116" s="1230"/>
      <c r="CB2116" s="565"/>
      <c r="CC2116" s="1231"/>
      <c r="CD2116" s="1174"/>
      <c r="CE2116" s="1174"/>
      <c r="CF2116" s="1174"/>
      <c r="CG2116" s="1230"/>
      <c r="CH2116" s="565"/>
      <c r="CI2116" s="1231"/>
      <c r="CJ2116" s="1174"/>
      <c r="CK2116" s="1174"/>
      <c r="CL2116" s="1174"/>
      <c r="CM2116" s="1174"/>
      <c r="CN2116" s="1174"/>
      <c r="CO2116" s="1174"/>
      <c r="CP2116" s="1189"/>
      <c r="CQ2116" s="1189"/>
      <c r="CR2116" s="1174">
        <f>I2116</f>
        <v>5004</v>
      </c>
      <c r="CS2116" s="1174">
        <f>I2116</f>
        <v>5004</v>
      </c>
      <c r="CT2116" s="1174">
        <f>I2116</f>
        <v>5004</v>
      </c>
      <c r="CU2116" s="1174">
        <f t="shared" si="896"/>
        <v>0</v>
      </c>
      <c r="CV2116" s="1237">
        <f t="shared" si="897"/>
        <v>0</v>
      </c>
      <c r="CW2116" s="1237">
        <f t="shared" si="898"/>
        <v>0</v>
      </c>
      <c r="CX2116" s="1189"/>
      <c r="CY2116" s="1189"/>
      <c r="CZ2116" s="1189"/>
      <c r="DA2116" s="1189"/>
      <c r="DB2116" s="1189"/>
      <c r="DC2116" s="1189"/>
      <c r="DD2116" s="1189"/>
      <c r="DE2116" s="1189"/>
      <c r="DF2116" s="1189"/>
      <c r="DG2116" s="1189"/>
      <c r="DH2116" s="1189"/>
    </row>
    <row r="2117" s="564" customFormat="1" ht="31" customHeight="1" spans="1:112">
      <c r="A2117" s="1171">
        <v>46244</v>
      </c>
      <c r="B2117" s="1172" t="s">
        <v>5925</v>
      </c>
      <c r="C2117" s="1173" t="s">
        <v>98</v>
      </c>
      <c r="D2117" s="1232">
        <v>4500219357</v>
      </c>
      <c r="E2117" s="1426" t="s">
        <v>5926</v>
      </c>
      <c r="F2117" s="1174" t="s">
        <v>11100</v>
      </c>
      <c r="G2117" s="1173" t="s">
        <v>6787</v>
      </c>
      <c r="H2117" s="1173" t="s">
        <v>6126</v>
      </c>
      <c r="I2117" s="1175">
        <v>3084</v>
      </c>
      <c r="J2117" s="1173">
        <v>0</v>
      </c>
      <c r="K2117" s="1227">
        <v>12</v>
      </c>
      <c r="L2117" s="1198">
        <f t="shared" si="894"/>
        <v>257</v>
      </c>
      <c r="M2117" s="1228">
        <v>46304</v>
      </c>
      <c r="N2117" s="1177">
        <f>M2117-4</f>
        <v>46300</v>
      </c>
      <c r="O2117" s="1178"/>
      <c r="P2117" s="1173"/>
      <c r="Q2117" s="1179"/>
      <c r="R2117" s="1179">
        <v>46244</v>
      </c>
      <c r="S2117" s="1179" t="s">
        <v>104</v>
      </c>
      <c r="T2117" s="1180" t="s">
        <v>11101</v>
      </c>
      <c r="U2117" s="1180"/>
      <c r="V2117" s="1179"/>
      <c r="W2117" s="1229"/>
      <c r="X2117" s="1172" t="s">
        <v>11102</v>
      </c>
      <c r="Y2117" s="1185" t="s">
        <v>11103</v>
      </c>
      <c r="Z2117" s="1172">
        <v>1.36</v>
      </c>
      <c r="AA2117" s="1185">
        <f t="shared" si="885"/>
        <v>4194.24</v>
      </c>
      <c r="AC2117" s="1202"/>
      <c r="AD2117" s="939" t="s">
        <v>8545</v>
      </c>
      <c r="AE2117" s="1173" t="s">
        <v>82</v>
      </c>
      <c r="AF2117" s="1173"/>
      <c r="AG2117" s="1173"/>
      <c r="AH2117" s="1172"/>
      <c r="AI2117" s="1172"/>
      <c r="AJ2117" s="1173">
        <f t="shared" si="895"/>
        <v>-3084</v>
      </c>
      <c r="AK2117" s="1178"/>
      <c r="AL2117" s="1173"/>
      <c r="AM2117" s="1173"/>
      <c r="AN2117" s="1173">
        <f>I2117*2</f>
        <v>6168</v>
      </c>
      <c r="AO2117" s="1174"/>
      <c r="AP2117" s="1235"/>
      <c r="AQ2117" s="1174"/>
      <c r="AR2117" s="1189"/>
      <c r="AS2117" s="1174"/>
      <c r="AT2117" s="1174"/>
      <c r="AU2117" s="1174">
        <f>I2117*2</f>
        <v>6168</v>
      </c>
      <c r="AV2117" s="1174"/>
      <c r="AW2117" s="1174"/>
      <c r="AX2117" s="1190"/>
      <c r="AY2117" s="1174"/>
      <c r="AZ2117" s="1174"/>
      <c r="BA2117" s="1174"/>
      <c r="BB2117" s="1191">
        <f>I2117/24*2</f>
        <v>257</v>
      </c>
      <c r="BC2117" s="1174"/>
      <c r="BD2117" s="1174"/>
      <c r="BE2117" s="1174"/>
      <c r="BF2117" s="1230"/>
      <c r="BG2117" s="565">
        <f>I2117*2</f>
        <v>6168</v>
      </c>
      <c r="BH2117" s="1231"/>
      <c r="BI2117" s="1174"/>
      <c r="BJ2117" s="1174"/>
      <c r="BK2117" s="1174"/>
      <c r="BL2117" s="1174"/>
      <c r="BM2117" s="1174"/>
      <c r="BN2117" s="1174"/>
      <c r="BO2117" s="1174"/>
      <c r="BP2117" s="1174"/>
      <c r="BQ2117" s="1174"/>
      <c r="BR2117" s="1174"/>
      <c r="BS2117" s="1174"/>
      <c r="BT2117" s="1174"/>
      <c r="BU2117" s="1174"/>
      <c r="BV2117" s="1174"/>
      <c r="BW2117" s="1174"/>
      <c r="BX2117" s="1174"/>
      <c r="BY2117" s="1174"/>
      <c r="BZ2117" s="1174"/>
      <c r="CA2117" s="1230"/>
      <c r="CB2117" s="565"/>
      <c r="CC2117" s="1231"/>
      <c r="CD2117" s="1174"/>
      <c r="CE2117" s="1174"/>
      <c r="CF2117" s="1174"/>
      <c r="CG2117" s="1230"/>
      <c r="CH2117" s="565"/>
      <c r="CI2117" s="1231"/>
      <c r="CJ2117" s="1174"/>
      <c r="CK2117" s="1174"/>
      <c r="CL2117" s="1174"/>
      <c r="CM2117" s="1174"/>
      <c r="CN2117" s="1174"/>
      <c r="CO2117" s="1174"/>
      <c r="CP2117" s="1189"/>
      <c r="CQ2117" s="1189"/>
      <c r="CR2117" s="1174">
        <f>I2117</f>
        <v>3084</v>
      </c>
      <c r="CS2117" s="1174">
        <f>I2117</f>
        <v>3084</v>
      </c>
      <c r="CT2117" s="1174">
        <f>I2117</f>
        <v>3084</v>
      </c>
      <c r="CU2117" s="1174">
        <f t="shared" si="896"/>
        <v>0</v>
      </c>
      <c r="CV2117" s="1174">
        <v>0</v>
      </c>
      <c r="CW2117" s="1174">
        <v>0</v>
      </c>
      <c r="CX2117" s="1189"/>
      <c r="CY2117" s="1189"/>
      <c r="CZ2117" s="1189"/>
      <c r="DA2117" s="1189"/>
      <c r="DB2117" s="1189"/>
      <c r="DC2117" s="1189"/>
      <c r="DD2117" s="1189"/>
      <c r="DE2117" s="1189"/>
      <c r="DF2117" s="1189"/>
      <c r="DG2117" s="1189"/>
      <c r="DH2117" s="1189"/>
    </row>
    <row r="2118" s="564" customFormat="1" ht="31" customHeight="1" spans="1:112">
      <c r="A2118" s="1171">
        <v>46244</v>
      </c>
      <c r="B2118" s="1172" t="s">
        <v>5925</v>
      </c>
      <c r="C2118" s="1173" t="s">
        <v>98</v>
      </c>
      <c r="D2118" s="1232">
        <v>4500219357</v>
      </c>
      <c r="E2118" s="1426" t="s">
        <v>5930</v>
      </c>
      <c r="F2118" s="1174" t="s">
        <v>11104</v>
      </c>
      <c r="G2118" s="1173" t="s">
        <v>6787</v>
      </c>
      <c r="H2118" s="1173" t="s">
        <v>6126</v>
      </c>
      <c r="I2118" s="1175">
        <v>1320</v>
      </c>
      <c r="J2118" s="1173">
        <v>0</v>
      </c>
      <c r="K2118" s="1227">
        <v>12</v>
      </c>
      <c r="L2118" s="1198">
        <f t="shared" si="894"/>
        <v>110</v>
      </c>
      <c r="M2118" s="1228">
        <v>46304</v>
      </c>
      <c r="N2118" s="1177">
        <f>M2118-4</f>
        <v>46300</v>
      </c>
      <c r="O2118" s="1178"/>
      <c r="P2118" s="1173"/>
      <c r="Q2118" s="1179"/>
      <c r="R2118" s="1179">
        <v>46244</v>
      </c>
      <c r="S2118" s="1179" t="s">
        <v>104</v>
      </c>
      <c r="T2118" s="1180" t="s">
        <v>11101</v>
      </c>
      <c r="U2118" s="1180"/>
      <c r="V2118" s="1179"/>
      <c r="W2118" s="1229"/>
      <c r="X2118" s="1172" t="s">
        <v>11102</v>
      </c>
      <c r="Y2118" s="1185" t="s">
        <v>11103</v>
      </c>
      <c r="Z2118" s="1172">
        <v>1.4397</v>
      </c>
      <c r="AA2118" s="1185">
        <f t="shared" si="885"/>
        <v>1900.404</v>
      </c>
      <c r="AC2118" s="1202"/>
      <c r="AD2118" s="939" t="s">
        <v>8545</v>
      </c>
      <c r="AE2118" s="1173" t="s">
        <v>82</v>
      </c>
      <c r="AF2118" s="1173"/>
      <c r="AG2118" s="1173"/>
      <c r="AH2118" s="1172"/>
      <c r="AI2118" s="1172"/>
      <c r="AJ2118" s="1173">
        <f t="shared" si="895"/>
        <v>-1320</v>
      </c>
      <c r="AK2118" s="1178"/>
      <c r="AL2118" s="1173"/>
      <c r="AM2118" s="1173"/>
      <c r="AN2118" s="1173">
        <f>I2118*2</f>
        <v>2640</v>
      </c>
      <c r="AO2118" s="1174"/>
      <c r="AP2118" s="1235"/>
      <c r="AQ2118" s="1174"/>
      <c r="AR2118" s="1189"/>
      <c r="AS2118" s="1174"/>
      <c r="AT2118" s="1174"/>
      <c r="AU2118" s="1174">
        <f>I2118*2</f>
        <v>2640</v>
      </c>
      <c r="AV2118" s="1174"/>
      <c r="AW2118" s="1174"/>
      <c r="AX2118" s="1190"/>
      <c r="AY2118" s="1174"/>
      <c r="AZ2118" s="1174"/>
      <c r="BA2118" s="1174"/>
      <c r="BB2118" s="1191">
        <f>I2118/24*2</f>
        <v>110</v>
      </c>
      <c r="BC2118" s="1174"/>
      <c r="BD2118" s="1174"/>
      <c r="BE2118" s="1174"/>
      <c r="BF2118" s="1230"/>
      <c r="BG2118" s="565">
        <f>I2118*2</f>
        <v>2640</v>
      </c>
      <c r="BH2118" s="1231"/>
      <c r="BI2118" s="1174"/>
      <c r="BJ2118" s="1174"/>
      <c r="BK2118" s="1174"/>
      <c r="BL2118" s="1174"/>
      <c r="BM2118" s="1174"/>
      <c r="BN2118" s="1174"/>
      <c r="BO2118" s="1174"/>
      <c r="BP2118" s="1174"/>
      <c r="BQ2118" s="1174"/>
      <c r="BR2118" s="1174"/>
      <c r="BS2118" s="1174"/>
      <c r="BT2118" s="1174"/>
      <c r="BU2118" s="1174"/>
      <c r="BV2118" s="1174"/>
      <c r="BW2118" s="1174"/>
      <c r="BX2118" s="1174"/>
      <c r="BY2118" s="1174"/>
      <c r="BZ2118" s="1174"/>
      <c r="CA2118" s="1230"/>
      <c r="CB2118" s="565"/>
      <c r="CC2118" s="1231"/>
      <c r="CD2118" s="1174"/>
      <c r="CE2118" s="1174"/>
      <c r="CF2118" s="1174"/>
      <c r="CG2118" s="1230"/>
      <c r="CH2118" s="565"/>
      <c r="CI2118" s="1231"/>
      <c r="CJ2118" s="1174"/>
      <c r="CK2118" s="1174"/>
      <c r="CL2118" s="1174"/>
      <c r="CM2118" s="1174"/>
      <c r="CN2118" s="1174"/>
      <c r="CO2118" s="1174"/>
      <c r="CP2118" s="1189"/>
      <c r="CQ2118" s="1189"/>
      <c r="CR2118" s="1174">
        <f>I2118</f>
        <v>1320</v>
      </c>
      <c r="CS2118" s="1174">
        <f>I2118</f>
        <v>1320</v>
      </c>
      <c r="CT2118" s="1174">
        <f>I2118</f>
        <v>1320</v>
      </c>
      <c r="CU2118" s="1174">
        <f t="shared" si="896"/>
        <v>0</v>
      </c>
      <c r="CV2118" s="1174">
        <v>0</v>
      </c>
      <c r="CW2118" s="1174">
        <v>0</v>
      </c>
      <c r="CX2118" s="1189"/>
      <c r="CY2118" s="1189"/>
      <c r="CZ2118" s="1189"/>
      <c r="DA2118" s="1189"/>
      <c r="DB2118" s="1189"/>
      <c r="DC2118" s="1189"/>
      <c r="DD2118" s="1189"/>
      <c r="DE2118" s="1189"/>
      <c r="DF2118" s="1189"/>
      <c r="DG2118" s="1189"/>
      <c r="DH2118" s="1189"/>
    </row>
    <row r="2119" s="564" customFormat="1" ht="31" customHeight="1" spans="1:112">
      <c r="A2119" s="1171">
        <v>46245</v>
      </c>
      <c r="B2119" s="1172" t="s">
        <v>11094</v>
      </c>
      <c r="C2119" s="1173" t="s">
        <v>98</v>
      </c>
      <c r="D2119" s="1232" t="s">
        <v>11105</v>
      </c>
      <c r="E2119" s="1173" t="s">
        <v>11106</v>
      </c>
      <c r="F2119" s="1174" t="s">
        <v>11107</v>
      </c>
      <c r="G2119" s="1173" t="s">
        <v>6787</v>
      </c>
      <c r="H2119" s="1173" t="s">
        <v>6126</v>
      </c>
      <c r="I2119" s="1175">
        <v>5004</v>
      </c>
      <c r="J2119" s="1173">
        <v>0</v>
      </c>
      <c r="K2119" s="1227">
        <v>12</v>
      </c>
      <c r="L2119" s="1198">
        <f t="shared" si="894"/>
        <v>417</v>
      </c>
      <c r="M2119" s="1228">
        <v>46307</v>
      </c>
      <c r="N2119" s="1177">
        <v>46303</v>
      </c>
      <c r="O2119" s="1178"/>
      <c r="P2119" s="1173"/>
      <c r="Q2119" s="1179"/>
      <c r="R2119" s="1179">
        <v>46245</v>
      </c>
      <c r="S2119" s="1233" t="s">
        <v>70</v>
      </c>
      <c r="T2119" s="1233" t="s">
        <v>5943</v>
      </c>
      <c r="U2119" s="1180"/>
      <c r="V2119" s="1179"/>
      <c r="W2119" s="1229"/>
      <c r="X2119" s="1172" t="s">
        <v>11098</v>
      </c>
      <c r="Y2119" s="1185" t="s">
        <v>11099</v>
      </c>
      <c r="Z2119" s="1172">
        <v>1.3534</v>
      </c>
      <c r="AA2119" s="1185">
        <f t="shared" si="885"/>
        <v>6772.4136</v>
      </c>
      <c r="AC2119" s="1202"/>
      <c r="AD2119" s="1173" t="s">
        <v>8545</v>
      </c>
      <c r="AE2119" s="1173" t="s">
        <v>82</v>
      </c>
      <c r="AF2119" s="1173"/>
      <c r="AG2119" s="1173"/>
      <c r="AH2119" s="1172"/>
      <c r="AI2119" s="1172"/>
      <c r="AJ2119" s="1234">
        <f t="shared" si="895"/>
        <v>-5004</v>
      </c>
      <c r="AK2119" s="1178"/>
      <c r="AL2119" s="1173"/>
      <c r="AM2119" s="1173"/>
      <c r="AN2119" s="1173">
        <f>I2119*2</f>
        <v>10008</v>
      </c>
      <c r="AO2119" s="1174"/>
      <c r="AP2119" s="1235">
        <f>I2119*2</f>
        <v>10008</v>
      </c>
      <c r="AQ2119" s="1174"/>
      <c r="AR2119" s="1189"/>
      <c r="AS2119" s="1174"/>
      <c r="AT2119" s="1174"/>
      <c r="AU2119" s="1235">
        <f>I2119*2</f>
        <v>10008</v>
      </c>
      <c r="AV2119" s="1174"/>
      <c r="AW2119" s="1174"/>
      <c r="AX2119" s="1190"/>
      <c r="AY2119" s="1174"/>
      <c r="AZ2119" s="1174"/>
      <c r="BA2119" s="1174"/>
      <c r="BB2119" s="1236">
        <f>I2119/24*2</f>
        <v>417</v>
      </c>
      <c r="BC2119" s="1174"/>
      <c r="BD2119" s="1174"/>
      <c r="BE2119" s="1174"/>
      <c r="BF2119" s="1230"/>
      <c r="BG2119" s="565"/>
      <c r="BH2119" s="1231"/>
      <c r="BI2119" s="1174"/>
      <c r="BJ2119" s="1174"/>
      <c r="BK2119" s="1174"/>
      <c r="BL2119" s="1174"/>
      <c r="BM2119" s="1174"/>
      <c r="BN2119" s="1174"/>
      <c r="BO2119" s="1174"/>
      <c r="BP2119" s="1174"/>
      <c r="BQ2119" s="1174"/>
      <c r="BR2119" s="1174"/>
      <c r="BS2119" s="1174"/>
      <c r="BT2119" s="1174"/>
      <c r="BU2119" s="1174"/>
      <c r="BV2119" s="1174"/>
      <c r="BW2119" s="1174"/>
      <c r="BX2119" s="1174"/>
      <c r="BY2119" s="1174"/>
      <c r="BZ2119" s="1174"/>
      <c r="CA2119" s="1230"/>
      <c r="CB2119" s="565"/>
      <c r="CC2119" s="1231"/>
      <c r="CD2119" s="1174"/>
      <c r="CE2119" s="1174"/>
      <c r="CF2119" s="1174"/>
      <c r="CG2119" s="1230"/>
      <c r="CH2119" s="565"/>
      <c r="CI2119" s="1231"/>
      <c r="CJ2119" s="1174"/>
      <c r="CK2119" s="1174"/>
      <c r="CL2119" s="1174"/>
      <c r="CM2119" s="1174"/>
      <c r="CN2119" s="1174"/>
      <c r="CO2119" s="1174"/>
      <c r="CP2119" s="1189"/>
      <c r="CQ2119" s="1189"/>
      <c r="CR2119" s="1174">
        <f>I2119</f>
        <v>5004</v>
      </c>
      <c r="CS2119" s="1174">
        <f>I2119</f>
        <v>5004</v>
      </c>
      <c r="CT2119" s="1174">
        <f>I2119</f>
        <v>5004</v>
      </c>
      <c r="CU2119" s="1174">
        <f t="shared" si="896"/>
        <v>0</v>
      </c>
      <c r="CV2119" s="1237">
        <f t="shared" ref="CV2119:CV2128" si="899">CK2119+CL2119+CM2119+CN2119+CO2119+CQ2119+CP2119</f>
        <v>0</v>
      </c>
      <c r="CW2119" s="1237">
        <f t="shared" ref="CW2119:CW2128" si="900">CI2119+CJ2119</f>
        <v>0</v>
      </c>
      <c r="CX2119" s="1189"/>
      <c r="CY2119" s="1189"/>
      <c r="CZ2119" s="1189"/>
      <c r="DA2119" s="1189"/>
      <c r="DB2119" s="1189"/>
      <c r="DC2119" s="1189"/>
      <c r="DD2119" s="1189"/>
      <c r="DE2119" s="1189"/>
      <c r="DF2119" s="1189"/>
      <c r="DG2119" s="1189"/>
      <c r="DH2119" s="1189"/>
    </row>
    <row r="2120" s="558" customFormat="1" ht="31" customHeight="1" spans="1:112">
      <c r="A2120" s="1022">
        <v>46238</v>
      </c>
      <c r="B2120" s="626" t="s">
        <v>5157</v>
      </c>
      <c r="C2120" s="939" t="s">
        <v>128</v>
      </c>
      <c r="D2120" s="563">
        <v>4500215423</v>
      </c>
      <c r="E2120" s="939">
        <v>21965355</v>
      </c>
      <c r="F2120" s="563" t="s">
        <v>11108</v>
      </c>
      <c r="G2120" s="939" t="s">
        <v>6093</v>
      </c>
      <c r="H2120" s="939" t="s">
        <v>6094</v>
      </c>
      <c r="I2120" s="1023">
        <v>2912</v>
      </c>
      <c r="J2120" s="939">
        <v>0</v>
      </c>
      <c r="K2120" s="1024">
        <v>13</v>
      </c>
      <c r="L2120" s="1025">
        <f t="shared" si="894"/>
        <v>224</v>
      </c>
      <c r="M2120" s="1026">
        <v>46307</v>
      </c>
      <c r="N2120" s="1027">
        <v>46303</v>
      </c>
      <c r="O2120" s="1031"/>
      <c r="P2120" s="939"/>
      <c r="Q2120" s="999"/>
      <c r="R2120" s="999" t="s">
        <v>454</v>
      </c>
      <c r="S2120" s="999" t="s">
        <v>104</v>
      </c>
      <c r="T2120" s="584" t="s">
        <v>11109</v>
      </c>
      <c r="U2120" s="584"/>
      <c r="V2120" s="999"/>
      <c r="W2120" s="585"/>
      <c r="X2120" s="626" t="s">
        <v>11110</v>
      </c>
      <c r="Y2120" s="1001" t="s">
        <v>5802</v>
      </c>
      <c r="Z2120" s="626">
        <v>0.9815</v>
      </c>
      <c r="AA2120" s="1001">
        <f t="shared" si="885"/>
        <v>2858.128</v>
      </c>
      <c r="AB2120" s="585"/>
      <c r="AC2120" s="1030"/>
      <c r="AD2120" s="939" t="s">
        <v>6093</v>
      </c>
      <c r="AE2120" s="939" t="s">
        <v>82</v>
      </c>
      <c r="AF2120" s="939"/>
      <c r="AG2120" s="939"/>
      <c r="AH2120" s="626"/>
      <c r="AI2120" s="626"/>
      <c r="AJ2120" s="939">
        <f t="shared" si="895"/>
        <v>-2912</v>
      </c>
      <c r="AK2120" s="1031"/>
      <c r="AL2120" s="939" t="s">
        <v>454</v>
      </c>
      <c r="AM2120" s="939"/>
      <c r="AN2120" s="939"/>
      <c r="AO2120" s="563">
        <f>I2120</f>
        <v>2912</v>
      </c>
      <c r="AP2120" s="586"/>
      <c r="AQ2120" s="563"/>
      <c r="AR2120" s="1015"/>
      <c r="AS2120" s="563"/>
      <c r="AT2120" s="563">
        <f>I2120</f>
        <v>2912</v>
      </c>
      <c r="AU2120" s="563"/>
      <c r="AV2120" s="563">
        <f>I2120</f>
        <v>2912</v>
      </c>
      <c r="AW2120" s="563"/>
      <c r="AX2120" s="1004"/>
      <c r="AY2120" s="563"/>
      <c r="AZ2120" s="563"/>
      <c r="BA2120" s="563"/>
      <c r="BB2120" s="1017">
        <f>I2120/24</f>
        <v>121.333333333333</v>
      </c>
      <c r="BC2120" s="563"/>
      <c r="BD2120" s="563"/>
      <c r="BE2120" s="563"/>
      <c r="BF2120" s="1032"/>
      <c r="BG2120" s="560"/>
      <c r="BH2120" s="1033"/>
      <c r="BI2120" s="563"/>
      <c r="BJ2120" s="563"/>
      <c r="BK2120" s="563"/>
      <c r="BL2120" s="563"/>
      <c r="BM2120" s="563">
        <f>I2120/13</f>
        <v>224</v>
      </c>
      <c r="BN2120" s="563"/>
      <c r="BO2120" s="563"/>
      <c r="BP2120" s="563"/>
      <c r="BQ2120" s="563"/>
      <c r="BR2120" s="563"/>
      <c r="BS2120" s="563"/>
      <c r="BT2120" s="563"/>
      <c r="BU2120" s="563"/>
      <c r="BV2120" s="563"/>
      <c r="BW2120" s="563"/>
      <c r="BX2120" s="563"/>
      <c r="BY2120" s="563"/>
      <c r="BZ2120" s="563"/>
      <c r="CA2120" s="1032"/>
      <c r="CB2120" s="560"/>
      <c r="CC2120" s="1033"/>
      <c r="CD2120" s="563"/>
      <c r="CE2120" s="563"/>
      <c r="CF2120" s="563"/>
      <c r="CG2120" s="1032"/>
      <c r="CH2120" s="560"/>
      <c r="CI2120" s="1033"/>
      <c r="CJ2120" s="563"/>
      <c r="CK2120" s="563"/>
      <c r="CL2120" s="563"/>
      <c r="CM2120" s="563"/>
      <c r="CN2120" s="563"/>
      <c r="CO2120" s="563"/>
      <c r="CP2120" s="1015"/>
      <c r="CQ2120" s="1015"/>
      <c r="CR2120" s="563"/>
      <c r="CS2120" s="563"/>
      <c r="CT2120" s="563"/>
      <c r="CU2120" s="563">
        <f t="shared" si="896"/>
        <v>0</v>
      </c>
      <c r="CV2120" s="563">
        <f t="shared" si="899"/>
        <v>0</v>
      </c>
      <c r="CW2120" s="563">
        <f t="shared" si="900"/>
        <v>0</v>
      </c>
      <c r="CX2120" s="1015"/>
      <c r="CY2120" s="1015"/>
      <c r="CZ2120" s="1015"/>
      <c r="DA2120" s="1015"/>
      <c r="DB2120" s="1015"/>
      <c r="DC2120" s="1015"/>
      <c r="DD2120" s="1015"/>
      <c r="DE2120" s="1015"/>
      <c r="DF2120" s="1015"/>
      <c r="DG2120" s="1015"/>
      <c r="DH2120" s="1015"/>
    </row>
    <row r="2121" s="558" customFormat="1" ht="31" customHeight="1" spans="1:112">
      <c r="A2121" s="1022">
        <v>46237</v>
      </c>
      <c r="B2121" s="626" t="s">
        <v>2811</v>
      </c>
      <c r="C2121" s="939" t="s">
        <v>98</v>
      </c>
      <c r="D2121" s="563">
        <v>4500218540</v>
      </c>
      <c r="E2121" s="939">
        <v>70095073</v>
      </c>
      <c r="F2121" s="563" t="s">
        <v>5935</v>
      </c>
      <c r="G2121" s="939" t="s">
        <v>8520</v>
      </c>
      <c r="H2121" s="939" t="s">
        <v>8521</v>
      </c>
      <c r="I2121" s="1023">
        <v>2800</v>
      </c>
      <c r="J2121" s="939">
        <v>0</v>
      </c>
      <c r="K2121" s="1024">
        <v>8</v>
      </c>
      <c r="L2121" s="1025">
        <f t="shared" si="894"/>
        <v>350</v>
      </c>
      <c r="M2121" s="1026">
        <v>46311</v>
      </c>
      <c r="N2121" s="1027">
        <v>46307</v>
      </c>
      <c r="O2121" s="1031"/>
      <c r="P2121" s="939"/>
      <c r="Q2121" s="999"/>
      <c r="R2121" s="999">
        <v>46238</v>
      </c>
      <c r="S2121" s="999" t="s">
        <v>70</v>
      </c>
      <c r="T2121" s="999" t="s">
        <v>5943</v>
      </c>
      <c r="U2121" s="584"/>
      <c r="V2121" s="999"/>
      <c r="W2121" s="585"/>
      <c r="X2121" s="626" t="s">
        <v>5937</v>
      </c>
      <c r="Y2121" s="1001" t="s">
        <v>1318</v>
      </c>
      <c r="Z2121" s="626">
        <v>4.2322</v>
      </c>
      <c r="AA2121" s="1001">
        <f t="shared" si="885"/>
        <v>11850.16</v>
      </c>
      <c r="AB2121" s="585"/>
      <c r="AC2121" s="1030"/>
      <c r="AD2121" s="939" t="s">
        <v>2741</v>
      </c>
      <c r="AE2121" s="939" t="s">
        <v>82</v>
      </c>
      <c r="AF2121" s="939"/>
      <c r="AG2121" s="939"/>
      <c r="AH2121" s="626"/>
      <c r="AI2121" s="609"/>
      <c r="AJ2121" s="939">
        <f t="shared" si="895"/>
        <v>-2800</v>
      </c>
      <c r="AK2121" s="1031"/>
      <c r="AL2121" s="939"/>
      <c r="AM2121" s="939"/>
      <c r="AN2121" s="939">
        <f>I2121*2</f>
        <v>5600</v>
      </c>
      <c r="AO2121" s="563"/>
      <c r="AP2121" s="563">
        <f>I2121*2</f>
        <v>5600</v>
      </c>
      <c r="AQ2121" s="563"/>
      <c r="AR2121" s="1015"/>
      <c r="AS2121" s="563"/>
      <c r="AT2121" s="563"/>
      <c r="AU2121" s="563">
        <f>I2121*2</f>
        <v>5600</v>
      </c>
      <c r="AV2121" s="563"/>
      <c r="AW2121" s="563"/>
      <c r="AX2121" s="1004"/>
      <c r="AY2121" s="563"/>
      <c r="AZ2121" s="563"/>
      <c r="BA2121" s="563"/>
      <c r="BB2121" s="1017">
        <f>I2121/24*2</f>
        <v>233.333333333333</v>
      </c>
      <c r="BC2121" s="563"/>
      <c r="BD2121" s="563"/>
      <c r="BE2121" s="563"/>
      <c r="BF2121" s="1032"/>
      <c r="BG2121" s="560"/>
      <c r="BH2121" s="1033"/>
      <c r="BI2121" s="563"/>
      <c r="BJ2121" s="563"/>
      <c r="BK2121" s="563"/>
      <c r="BL2121" s="563"/>
      <c r="BM2121" s="563"/>
      <c r="BN2121" s="563"/>
      <c r="BO2121" s="563"/>
      <c r="BP2121" s="563"/>
      <c r="BQ2121" s="563"/>
      <c r="BR2121" s="563"/>
      <c r="BS2121" s="563"/>
      <c r="BT2121" s="563"/>
      <c r="BU2121" s="563"/>
      <c r="BV2121" s="563"/>
      <c r="BW2121" s="563"/>
      <c r="BX2121" s="563"/>
      <c r="BY2121" s="563"/>
      <c r="BZ2121" s="563"/>
      <c r="CA2121" s="1032"/>
      <c r="CB2121" s="560"/>
      <c r="CC2121" s="1033"/>
      <c r="CD2121" s="563">
        <f>I2121</f>
        <v>2800</v>
      </c>
      <c r="CE2121" s="563"/>
      <c r="CF2121" s="563"/>
      <c r="CG2121" s="1032"/>
      <c r="CH2121" s="560"/>
      <c r="CI2121" s="1033"/>
      <c r="CJ2121" s="563"/>
      <c r="CK2121" s="563"/>
      <c r="CL2121" s="563"/>
      <c r="CM2121" s="563"/>
      <c r="CN2121" s="563"/>
      <c r="CO2121" s="563"/>
      <c r="CP2121" s="1015"/>
      <c r="CQ2121" s="1015"/>
      <c r="CR2121" s="563"/>
      <c r="CS2121" s="563"/>
      <c r="CT2121" s="563"/>
      <c r="CU2121" s="563">
        <f t="shared" si="896"/>
        <v>0</v>
      </c>
      <c r="CV2121" s="563">
        <f t="shared" si="899"/>
        <v>0</v>
      </c>
      <c r="CW2121" s="687">
        <f t="shared" si="900"/>
        <v>0</v>
      </c>
      <c r="CX2121" s="1015"/>
      <c r="CY2121" s="1015"/>
      <c r="CZ2121" s="1015"/>
      <c r="DA2121" s="1015"/>
      <c r="DB2121" s="1015"/>
      <c r="DC2121" s="1015"/>
      <c r="DD2121" s="1015"/>
      <c r="DE2121" s="1015"/>
      <c r="DF2121" s="1015"/>
      <c r="DG2121" s="1015"/>
      <c r="DH2121" s="1015"/>
    </row>
    <row r="2122" s="558" customFormat="1" ht="31" customHeight="1" spans="1:112">
      <c r="A2122" s="1022">
        <v>46237</v>
      </c>
      <c r="B2122" s="626" t="s">
        <v>2811</v>
      </c>
      <c r="C2122" s="939" t="s">
        <v>98</v>
      </c>
      <c r="D2122" s="563" t="s">
        <v>11111</v>
      </c>
      <c r="E2122" s="939" t="s">
        <v>11112</v>
      </c>
      <c r="F2122" s="563" t="s">
        <v>11113</v>
      </c>
      <c r="G2122" s="939" t="s">
        <v>6787</v>
      </c>
      <c r="H2122" s="939" t="s">
        <v>6126</v>
      </c>
      <c r="I2122" s="1023">
        <v>2208</v>
      </c>
      <c r="J2122" s="939">
        <v>0</v>
      </c>
      <c r="K2122" s="1024">
        <v>12</v>
      </c>
      <c r="L2122" s="1025">
        <f t="shared" si="894"/>
        <v>184</v>
      </c>
      <c r="M2122" s="1026">
        <v>46311</v>
      </c>
      <c r="N2122" s="1027">
        <v>46307</v>
      </c>
      <c r="O2122" s="1031"/>
      <c r="P2122" s="939"/>
      <c r="Q2122" s="999"/>
      <c r="R2122" s="999">
        <v>46238</v>
      </c>
      <c r="S2122" s="999" t="s">
        <v>70</v>
      </c>
      <c r="T2122" s="999" t="s">
        <v>5943</v>
      </c>
      <c r="U2122" s="584"/>
      <c r="V2122" s="999"/>
      <c r="W2122" s="585"/>
      <c r="X2122" s="626" t="s">
        <v>11015</v>
      </c>
      <c r="Y2122" s="1001" t="s">
        <v>1318</v>
      </c>
      <c r="Z2122" s="626">
        <v>1.3899</v>
      </c>
      <c r="AA2122" s="1001">
        <f t="shared" si="885"/>
        <v>3068.8992</v>
      </c>
      <c r="AB2122" s="585"/>
      <c r="AC2122" s="1030"/>
      <c r="AD2122" s="939" t="s">
        <v>8545</v>
      </c>
      <c r="AE2122" s="939" t="s">
        <v>82</v>
      </c>
      <c r="AF2122" s="939"/>
      <c r="AG2122" s="939"/>
      <c r="AH2122" s="626"/>
      <c r="AI2122" s="609"/>
      <c r="AJ2122" s="939">
        <f t="shared" si="895"/>
        <v>-2208</v>
      </c>
      <c r="AK2122" s="1031"/>
      <c r="AL2122" s="939"/>
      <c r="AM2122" s="939"/>
      <c r="AN2122" s="939">
        <f>I2122*2</f>
        <v>4416</v>
      </c>
      <c r="AO2122" s="563"/>
      <c r="AP2122" s="563">
        <f>I2122*2</f>
        <v>4416</v>
      </c>
      <c r="AQ2122" s="563"/>
      <c r="AR2122" s="1015"/>
      <c r="AS2122" s="563"/>
      <c r="AT2122" s="563"/>
      <c r="AU2122" s="563">
        <f>I2122*2</f>
        <v>4416</v>
      </c>
      <c r="AV2122" s="563"/>
      <c r="AW2122" s="563"/>
      <c r="AX2122" s="1004"/>
      <c r="AY2122" s="563"/>
      <c r="AZ2122" s="563"/>
      <c r="BA2122" s="563"/>
      <c r="BB2122" s="1017">
        <f>I2122/24*2</f>
        <v>184</v>
      </c>
      <c r="BC2122" s="563"/>
      <c r="BD2122" s="563"/>
      <c r="BE2122" s="563"/>
      <c r="BF2122" s="1032"/>
      <c r="BG2122" s="560"/>
      <c r="BH2122" s="1033"/>
      <c r="BI2122" s="563"/>
      <c r="BJ2122" s="563"/>
      <c r="BK2122" s="563"/>
      <c r="BL2122" s="563"/>
      <c r="BM2122" s="563"/>
      <c r="BN2122" s="563"/>
      <c r="BO2122" s="563"/>
      <c r="BP2122" s="563"/>
      <c r="BQ2122" s="563"/>
      <c r="BR2122" s="563"/>
      <c r="BS2122" s="563"/>
      <c r="BT2122" s="563"/>
      <c r="BU2122" s="563"/>
      <c r="BV2122" s="563"/>
      <c r="BW2122" s="563"/>
      <c r="BX2122" s="563"/>
      <c r="BY2122" s="563"/>
      <c r="BZ2122" s="563"/>
      <c r="CA2122" s="1032"/>
      <c r="CB2122" s="560"/>
      <c r="CC2122" s="1033"/>
      <c r="CD2122" s="563"/>
      <c r="CE2122" s="563"/>
      <c r="CF2122" s="563"/>
      <c r="CG2122" s="1032"/>
      <c r="CH2122" s="560"/>
      <c r="CI2122" s="1033"/>
      <c r="CJ2122" s="563"/>
      <c r="CK2122" s="563"/>
      <c r="CL2122" s="563"/>
      <c r="CM2122" s="563"/>
      <c r="CN2122" s="563"/>
      <c r="CO2122" s="563"/>
      <c r="CP2122" s="1015"/>
      <c r="CQ2122" s="1015"/>
      <c r="CR2122" s="563">
        <f>I2122</f>
        <v>2208</v>
      </c>
      <c r="CS2122" s="563">
        <f>I2122</f>
        <v>2208</v>
      </c>
      <c r="CT2122" s="563">
        <f>I2122</f>
        <v>2208</v>
      </c>
      <c r="CU2122" s="563">
        <f t="shared" si="896"/>
        <v>0</v>
      </c>
      <c r="CV2122" s="563">
        <f t="shared" si="899"/>
        <v>0</v>
      </c>
      <c r="CW2122" s="687">
        <f t="shared" si="900"/>
        <v>0</v>
      </c>
      <c r="CX2122" s="1015"/>
      <c r="CY2122" s="1015"/>
      <c r="CZ2122" s="1015"/>
      <c r="DA2122" s="1015"/>
      <c r="DB2122" s="1015"/>
      <c r="DC2122" s="1015"/>
      <c r="DD2122" s="1015"/>
      <c r="DE2122" s="1015"/>
      <c r="DF2122" s="1015"/>
      <c r="DG2122" s="1015"/>
      <c r="DH2122" s="1015"/>
    </row>
    <row r="2123" s="564" customFormat="1" ht="31" customHeight="1" spans="1:112">
      <c r="A2123" s="1171">
        <v>46247</v>
      </c>
      <c r="B2123" s="1172" t="s">
        <v>11114</v>
      </c>
      <c r="C2123" s="1173" t="s">
        <v>98</v>
      </c>
      <c r="D2123" s="1174" t="s">
        <v>11115</v>
      </c>
      <c r="E2123" s="1173" t="s">
        <v>11116</v>
      </c>
      <c r="F2123" s="1174" t="s">
        <v>11117</v>
      </c>
      <c r="G2123" s="1173" t="s">
        <v>6423</v>
      </c>
      <c r="H2123" s="1173" t="s">
        <v>6424</v>
      </c>
      <c r="I2123" s="1175">
        <v>75024</v>
      </c>
      <c r="J2123" s="1173">
        <v>8</v>
      </c>
      <c r="K2123" s="1227">
        <v>48</v>
      </c>
      <c r="L2123" s="1198">
        <f t="shared" si="894"/>
        <v>1563</v>
      </c>
      <c r="M2123" s="1228">
        <v>46316</v>
      </c>
      <c r="N2123" s="1177">
        <v>46312</v>
      </c>
      <c r="O2123" s="1178"/>
      <c r="P2123" s="1173"/>
      <c r="Q2123" s="1179"/>
      <c r="R2123" s="1179" t="s">
        <v>10126</v>
      </c>
      <c r="S2123" s="1179" t="s">
        <v>70</v>
      </c>
      <c r="T2123" s="1179" t="s">
        <v>70</v>
      </c>
      <c r="U2123" s="1238" t="s">
        <v>10938</v>
      </c>
      <c r="V2123" s="1179"/>
      <c r="W2123" s="1229"/>
      <c r="X2123" s="1172" t="s">
        <v>11118</v>
      </c>
      <c r="Y2123" s="1185" t="s">
        <v>11119</v>
      </c>
      <c r="Z2123" s="1172">
        <v>0.6133</v>
      </c>
      <c r="AA2123" s="1185">
        <f>I2123*Z2123</f>
        <v>46012.2192</v>
      </c>
      <c r="AB2123" s="1239" t="s">
        <v>10942</v>
      </c>
      <c r="AC2123" s="1202"/>
      <c r="AD2123" s="1172" t="s">
        <v>6423</v>
      </c>
      <c r="AE2123" s="1173" t="s">
        <v>82</v>
      </c>
      <c r="AF2123" s="1173"/>
      <c r="AG2123" s="1173"/>
      <c r="AH2123" s="1172"/>
      <c r="AI2123" s="1239"/>
      <c r="AJ2123" s="1173">
        <f t="shared" si="895"/>
        <v>-75024</v>
      </c>
      <c r="AK2123" s="1178"/>
      <c r="AL2123" s="1173"/>
      <c r="AM2123" s="1173"/>
      <c r="AN2123" s="1173">
        <f>I2123</f>
        <v>75024</v>
      </c>
      <c r="AO2123" s="1174"/>
      <c r="AP2123" s="1174"/>
      <c r="AQ2123" s="1174"/>
      <c r="AR2123" s="1189"/>
      <c r="AS2123" s="1174"/>
      <c r="AT2123" s="1174"/>
      <c r="AU2123" s="1240">
        <f>I2123</f>
        <v>75024</v>
      </c>
      <c r="AV2123" s="1174"/>
      <c r="AW2123" s="1174"/>
      <c r="AX2123" s="1190"/>
      <c r="AY2123" s="1174"/>
      <c r="AZ2123" s="1174"/>
      <c r="BA2123" s="1174"/>
      <c r="BB2123" s="1241">
        <f>I2123/24</f>
        <v>3126</v>
      </c>
      <c r="BC2123" s="1242">
        <f>I2123</f>
        <v>75024</v>
      </c>
      <c r="BD2123" s="1174"/>
      <c r="BE2123" s="1174"/>
      <c r="BF2123" s="1230"/>
      <c r="BG2123" s="565"/>
      <c r="BH2123" s="1231"/>
      <c r="BI2123" s="1174"/>
      <c r="BJ2123" s="1174"/>
      <c r="BK2123" s="1174"/>
      <c r="BL2123" s="1174"/>
      <c r="BM2123" s="1174"/>
      <c r="BN2123" s="1174"/>
      <c r="BO2123" s="1174"/>
      <c r="BP2123" s="1174"/>
      <c r="BQ2123" s="1174"/>
      <c r="BR2123" s="1174"/>
      <c r="BS2123" s="1240">
        <f>I2123/8</f>
        <v>9378</v>
      </c>
      <c r="BT2123" s="1174"/>
      <c r="BU2123" s="1174"/>
      <c r="BV2123" s="1174"/>
      <c r="BW2123" s="1174"/>
      <c r="BX2123" s="1174"/>
      <c r="BY2123" s="1174"/>
      <c r="BZ2123" s="1174"/>
      <c r="CA2123" s="1230"/>
      <c r="CB2123" s="565"/>
      <c r="CC2123" s="1231"/>
      <c r="CD2123" s="1174"/>
      <c r="CE2123" s="1174"/>
      <c r="CF2123" s="1174"/>
      <c r="CG2123" s="1230"/>
      <c r="CH2123" s="565"/>
      <c r="CI2123" s="1231"/>
      <c r="CJ2123" s="1174"/>
      <c r="CK2123" s="1174"/>
      <c r="CL2123" s="1174"/>
      <c r="CM2123" s="1174"/>
      <c r="CN2123" s="1174"/>
      <c r="CO2123" s="1174"/>
      <c r="CP2123" s="1189"/>
      <c r="CQ2123" s="1189"/>
      <c r="CR2123" s="1174"/>
      <c r="CS2123" s="1174"/>
      <c r="CT2123" s="1174"/>
      <c r="CU2123" s="1240">
        <f t="shared" si="896"/>
        <v>0</v>
      </c>
      <c r="CV2123" s="1240">
        <f t="shared" si="899"/>
        <v>0</v>
      </c>
      <c r="CW2123" s="1240">
        <f t="shared" si="900"/>
        <v>0</v>
      </c>
      <c r="CX2123" s="1189"/>
      <c r="CY2123" s="1189"/>
      <c r="CZ2123" s="1189"/>
      <c r="DA2123" s="1189"/>
      <c r="DB2123" s="1189"/>
      <c r="DC2123" s="1189"/>
      <c r="DD2123" s="1189"/>
      <c r="DE2123" s="1189"/>
      <c r="DF2123" s="1189"/>
      <c r="DG2123" s="1189"/>
      <c r="DH2123" s="1189"/>
    </row>
    <row r="2124" s="564" customFormat="1" ht="31" customHeight="1" spans="1:112">
      <c r="A2124" s="1171">
        <v>46247</v>
      </c>
      <c r="B2124" s="1172" t="s">
        <v>11114</v>
      </c>
      <c r="C2124" s="1173" t="s">
        <v>98</v>
      </c>
      <c r="D2124" s="1174" t="s">
        <v>11115</v>
      </c>
      <c r="E2124" s="1173" t="s">
        <v>11120</v>
      </c>
      <c r="F2124" s="1174" t="s">
        <v>11121</v>
      </c>
      <c r="G2124" s="1173" t="s">
        <v>6423</v>
      </c>
      <c r="H2124" s="1173" t="s">
        <v>6424</v>
      </c>
      <c r="I2124" s="1175">
        <v>80016</v>
      </c>
      <c r="J2124" s="1173">
        <v>8</v>
      </c>
      <c r="K2124" s="1227">
        <v>48</v>
      </c>
      <c r="L2124" s="1198">
        <f t="shared" si="894"/>
        <v>1667</v>
      </c>
      <c r="M2124" s="1228">
        <v>46318</v>
      </c>
      <c r="N2124" s="1177">
        <v>46314</v>
      </c>
      <c r="O2124" s="1178"/>
      <c r="P2124" s="1173"/>
      <c r="Q2124" s="1179"/>
      <c r="R2124" s="1179" t="s">
        <v>10126</v>
      </c>
      <c r="S2124" s="1179" t="s">
        <v>70</v>
      </c>
      <c r="T2124" s="1179" t="s">
        <v>70</v>
      </c>
      <c r="U2124" s="1238" t="s">
        <v>10938</v>
      </c>
      <c r="V2124" s="1179"/>
      <c r="W2124" s="1229"/>
      <c r="X2124" s="1172" t="s">
        <v>11118</v>
      </c>
      <c r="Y2124" s="1185" t="s">
        <v>11119</v>
      </c>
      <c r="Z2124" s="1172">
        <v>0.6133</v>
      </c>
      <c r="AA2124" s="1185">
        <f>I2124*Z2124</f>
        <v>49073.8128</v>
      </c>
      <c r="AB2124" s="1239" t="s">
        <v>10942</v>
      </c>
      <c r="AC2124" s="1202"/>
      <c r="AD2124" s="1172" t="s">
        <v>6423</v>
      </c>
      <c r="AE2124" s="1173" t="s">
        <v>82</v>
      </c>
      <c r="AF2124" s="1173"/>
      <c r="AG2124" s="1173"/>
      <c r="AH2124" s="1172"/>
      <c r="AI2124" s="1239"/>
      <c r="AJ2124" s="1173">
        <f t="shared" si="895"/>
        <v>-80016</v>
      </c>
      <c r="AK2124" s="1178"/>
      <c r="AL2124" s="1173"/>
      <c r="AM2124" s="1173"/>
      <c r="AN2124" s="1173">
        <f>I2124</f>
        <v>80016</v>
      </c>
      <c r="AO2124" s="1174"/>
      <c r="AP2124" s="1174"/>
      <c r="AQ2124" s="1174"/>
      <c r="AR2124" s="1189"/>
      <c r="AS2124" s="1174"/>
      <c r="AT2124" s="1174"/>
      <c r="AU2124" s="1240">
        <f>I2124</f>
        <v>80016</v>
      </c>
      <c r="AV2124" s="1174"/>
      <c r="AW2124" s="1174"/>
      <c r="AX2124" s="1190"/>
      <c r="AY2124" s="1174"/>
      <c r="AZ2124" s="1174"/>
      <c r="BA2124" s="1174"/>
      <c r="BB2124" s="1241">
        <f>I2124/24</f>
        <v>3334</v>
      </c>
      <c r="BC2124" s="1242">
        <f>I2124</f>
        <v>80016</v>
      </c>
      <c r="BD2124" s="1174"/>
      <c r="BE2124" s="1174"/>
      <c r="BF2124" s="1230"/>
      <c r="BG2124" s="565"/>
      <c r="BH2124" s="1231"/>
      <c r="BI2124" s="1174"/>
      <c r="BJ2124" s="1174"/>
      <c r="BK2124" s="1174"/>
      <c r="BL2124" s="1174"/>
      <c r="BM2124" s="1174"/>
      <c r="BN2124" s="1174"/>
      <c r="BO2124" s="1174"/>
      <c r="BP2124" s="1174"/>
      <c r="BQ2124" s="1174"/>
      <c r="BR2124" s="1174"/>
      <c r="BS2124" s="1240">
        <f>I2124/8</f>
        <v>10002</v>
      </c>
      <c r="BT2124" s="1174"/>
      <c r="BU2124" s="1174"/>
      <c r="BV2124" s="1174"/>
      <c r="BW2124" s="1174"/>
      <c r="BX2124" s="1174"/>
      <c r="BY2124" s="1174"/>
      <c r="BZ2124" s="1174"/>
      <c r="CA2124" s="1230"/>
      <c r="CB2124" s="565"/>
      <c r="CC2124" s="1231"/>
      <c r="CD2124" s="1174"/>
      <c r="CE2124" s="1174"/>
      <c r="CF2124" s="1174"/>
      <c r="CG2124" s="1230"/>
      <c r="CH2124" s="565"/>
      <c r="CI2124" s="1231"/>
      <c r="CJ2124" s="1174"/>
      <c r="CK2124" s="1174"/>
      <c r="CL2124" s="1174"/>
      <c r="CM2124" s="1174"/>
      <c r="CN2124" s="1174"/>
      <c r="CO2124" s="1174"/>
      <c r="CP2124" s="1189"/>
      <c r="CQ2124" s="1189"/>
      <c r="CR2124" s="1174"/>
      <c r="CS2124" s="1174"/>
      <c r="CT2124" s="1174"/>
      <c r="CU2124" s="1240">
        <f t="shared" si="896"/>
        <v>0</v>
      </c>
      <c r="CV2124" s="1240">
        <f t="shared" si="899"/>
        <v>0</v>
      </c>
      <c r="CW2124" s="1240">
        <f t="shared" si="900"/>
        <v>0</v>
      </c>
      <c r="CX2124" s="1189"/>
      <c r="CY2124" s="1189"/>
      <c r="CZ2124" s="1189"/>
      <c r="DA2124" s="1189"/>
      <c r="DB2124" s="1189"/>
      <c r="DC2124" s="1189"/>
      <c r="DD2124" s="1189"/>
      <c r="DE2124" s="1189"/>
      <c r="DF2124" s="1189"/>
      <c r="DG2124" s="1189"/>
      <c r="DH2124" s="1189"/>
    </row>
    <row r="2125" s="558" customFormat="1" ht="31" customHeight="1" spans="1:112">
      <c r="A2125" s="1022">
        <v>46239</v>
      </c>
      <c r="B2125" s="626" t="s">
        <v>5157</v>
      </c>
      <c r="C2125" s="939" t="s">
        <v>128</v>
      </c>
      <c r="D2125" s="563">
        <v>4500215429</v>
      </c>
      <c r="E2125" s="939">
        <v>22018118</v>
      </c>
      <c r="F2125" s="563" t="s">
        <v>5938</v>
      </c>
      <c r="G2125" s="939" t="s">
        <v>6337</v>
      </c>
      <c r="H2125" s="939" t="s">
        <v>477</v>
      </c>
      <c r="I2125" s="1023">
        <v>2400</v>
      </c>
      <c r="J2125" s="939">
        <v>0</v>
      </c>
      <c r="K2125" s="1024">
        <v>6</v>
      </c>
      <c r="L2125" s="1025">
        <f t="shared" si="894"/>
        <v>400</v>
      </c>
      <c r="M2125" s="1026">
        <v>46321</v>
      </c>
      <c r="N2125" s="1027">
        <v>46317</v>
      </c>
      <c r="O2125" s="1031"/>
      <c r="P2125" s="939"/>
      <c r="Q2125" s="999"/>
      <c r="R2125" s="999" t="s">
        <v>454</v>
      </c>
      <c r="S2125" s="999" t="s">
        <v>104</v>
      </c>
      <c r="T2125" s="584" t="s">
        <v>11122</v>
      </c>
      <c r="U2125" s="584"/>
      <c r="V2125" s="999"/>
      <c r="W2125" s="585"/>
      <c r="X2125" s="626" t="s">
        <v>11123</v>
      </c>
      <c r="Y2125" s="1001" t="s">
        <v>5805</v>
      </c>
      <c r="Z2125" s="626">
        <v>7.4594</v>
      </c>
      <c r="AA2125" s="1001">
        <f>Z2125*I2125</f>
        <v>17902.56</v>
      </c>
      <c r="AB2125" s="585"/>
      <c r="AC2125" s="1030"/>
      <c r="AD2125" s="939" t="s">
        <v>1306</v>
      </c>
      <c r="AE2125" s="939" t="s">
        <v>82</v>
      </c>
      <c r="AF2125" s="939"/>
      <c r="AG2125" s="939"/>
      <c r="AH2125" s="626"/>
      <c r="AI2125" s="609"/>
      <c r="AJ2125" s="939">
        <f t="shared" si="895"/>
        <v>-2400</v>
      </c>
      <c r="AK2125" s="1031"/>
      <c r="AL2125" s="939" t="s">
        <v>454</v>
      </c>
      <c r="AM2125" s="939"/>
      <c r="AN2125" s="939"/>
      <c r="AO2125" s="563">
        <f>I2125*2</f>
        <v>4800</v>
      </c>
      <c r="AP2125" s="586"/>
      <c r="AQ2125" s="563"/>
      <c r="AR2125" s="1015">
        <f>I2125*2</f>
        <v>4800</v>
      </c>
      <c r="AS2125" s="563"/>
      <c r="AT2125" s="563"/>
      <c r="AU2125" s="586"/>
      <c r="AV2125" s="563">
        <f>I2125*2</f>
        <v>4800</v>
      </c>
      <c r="AW2125" s="563"/>
      <c r="AX2125" s="1004"/>
      <c r="AY2125" s="563"/>
      <c r="AZ2125" s="563"/>
      <c r="BA2125" s="563"/>
      <c r="BB2125" s="1017">
        <f>I2125/24*2</f>
        <v>200</v>
      </c>
      <c r="BC2125" s="563"/>
      <c r="BD2125" s="563"/>
      <c r="BE2125" s="563"/>
      <c r="BF2125" s="1032"/>
      <c r="BG2125" s="560"/>
      <c r="BH2125" s="1033"/>
      <c r="BI2125" s="563"/>
      <c r="BJ2125" s="563"/>
      <c r="BK2125" s="563"/>
      <c r="BL2125" s="563"/>
      <c r="BM2125" s="563"/>
      <c r="BN2125" s="563"/>
      <c r="BO2125" s="563"/>
      <c r="BP2125" s="563"/>
      <c r="BQ2125" s="563"/>
      <c r="BR2125" s="563"/>
      <c r="BS2125" s="563"/>
      <c r="BT2125" s="563"/>
      <c r="BU2125" s="563"/>
      <c r="BV2125" s="563"/>
      <c r="BW2125" s="563"/>
      <c r="BX2125" s="563"/>
      <c r="BY2125" s="563"/>
      <c r="BZ2125" s="563"/>
      <c r="CA2125" s="1032"/>
      <c r="CB2125" s="560"/>
      <c r="CC2125" s="1033"/>
      <c r="CD2125" s="563">
        <f>I2125</f>
        <v>2400</v>
      </c>
      <c r="CE2125" s="563"/>
      <c r="CF2125" s="563"/>
      <c r="CG2125" s="1032"/>
      <c r="CH2125" s="560"/>
      <c r="CI2125" s="1033"/>
      <c r="CJ2125" s="563"/>
      <c r="CK2125" s="563"/>
      <c r="CL2125" s="563"/>
      <c r="CM2125" s="563"/>
      <c r="CN2125" s="563"/>
      <c r="CO2125" s="563"/>
      <c r="CP2125" s="1015"/>
      <c r="CQ2125" s="1015"/>
      <c r="CR2125" s="563"/>
      <c r="CS2125" s="563"/>
      <c r="CT2125" s="563"/>
      <c r="CU2125" s="563">
        <f t="shared" si="896"/>
        <v>0</v>
      </c>
      <c r="CV2125" s="563">
        <f t="shared" si="899"/>
        <v>0</v>
      </c>
      <c r="CW2125" s="563">
        <f t="shared" si="900"/>
        <v>0</v>
      </c>
      <c r="CX2125" s="1015"/>
      <c r="CY2125" s="1015"/>
      <c r="CZ2125" s="1015"/>
      <c r="DA2125" s="1015"/>
      <c r="DB2125" s="1015"/>
      <c r="DC2125" s="1015"/>
      <c r="DD2125" s="1015"/>
      <c r="DE2125" s="1015"/>
      <c r="DF2125" s="1015"/>
      <c r="DG2125" s="1015"/>
      <c r="DH2125" s="1015"/>
    </row>
    <row r="2126" s="558" customFormat="1" ht="31" customHeight="1" spans="1:112">
      <c r="A2126" s="1022">
        <v>46239</v>
      </c>
      <c r="B2126" s="626" t="s">
        <v>5164</v>
      </c>
      <c r="C2126" s="939" t="s">
        <v>76</v>
      </c>
      <c r="D2126" s="563">
        <v>4500215430</v>
      </c>
      <c r="E2126" s="939">
        <v>22018123</v>
      </c>
      <c r="F2126" s="563" t="s">
        <v>5940</v>
      </c>
      <c r="G2126" s="939" t="s">
        <v>6337</v>
      </c>
      <c r="H2126" s="939" t="s">
        <v>477</v>
      </c>
      <c r="I2126" s="1023">
        <v>222</v>
      </c>
      <c r="J2126" s="939">
        <v>0</v>
      </c>
      <c r="K2126" s="1024">
        <v>6</v>
      </c>
      <c r="L2126" s="1025">
        <f t="shared" si="894"/>
        <v>37</v>
      </c>
      <c r="M2126" s="1026">
        <v>46321</v>
      </c>
      <c r="N2126" s="1027">
        <v>46317</v>
      </c>
      <c r="O2126" s="1031"/>
      <c r="P2126" s="939"/>
      <c r="Q2126" s="999"/>
      <c r="R2126" s="999" t="s">
        <v>454</v>
      </c>
      <c r="S2126" s="999" t="s">
        <v>104</v>
      </c>
      <c r="T2126" s="584" t="s">
        <v>11122</v>
      </c>
      <c r="U2126" s="584"/>
      <c r="V2126" s="999"/>
      <c r="W2126" s="585"/>
      <c r="X2126" s="626" t="s">
        <v>11124</v>
      </c>
      <c r="Y2126" s="1001" t="s">
        <v>5805</v>
      </c>
      <c r="Z2126" s="626">
        <v>7.8108</v>
      </c>
      <c r="AA2126" s="1001">
        <f>Z2126*I2126</f>
        <v>1733.9976</v>
      </c>
      <c r="AB2126" s="585"/>
      <c r="AC2126" s="1030"/>
      <c r="AD2126" s="939" t="s">
        <v>1306</v>
      </c>
      <c r="AE2126" s="939" t="s">
        <v>82</v>
      </c>
      <c r="AF2126" s="939"/>
      <c r="AG2126" s="939"/>
      <c r="AH2126" s="626"/>
      <c r="AI2126" s="609"/>
      <c r="AJ2126" s="939">
        <f t="shared" si="895"/>
        <v>-222</v>
      </c>
      <c r="AK2126" s="1031"/>
      <c r="AL2126" s="939" t="s">
        <v>454</v>
      </c>
      <c r="AM2126" s="939"/>
      <c r="AN2126" s="939"/>
      <c r="AO2126" s="563">
        <f>I2126*2</f>
        <v>444</v>
      </c>
      <c r="AP2126" s="586"/>
      <c r="AQ2126" s="563"/>
      <c r="AR2126" s="1015">
        <f>I2126*2</f>
        <v>444</v>
      </c>
      <c r="AS2126" s="563"/>
      <c r="AT2126" s="563"/>
      <c r="AU2126" s="586"/>
      <c r="AV2126" s="563">
        <f>I2126*2</f>
        <v>444</v>
      </c>
      <c r="AW2126" s="563"/>
      <c r="AX2126" s="1004"/>
      <c r="AY2126" s="563"/>
      <c r="AZ2126" s="563"/>
      <c r="BA2126" s="563"/>
      <c r="BB2126" s="1017">
        <f>I2126/24*2</f>
        <v>18.5</v>
      </c>
      <c r="BC2126" s="563"/>
      <c r="BD2126" s="563"/>
      <c r="BE2126" s="563"/>
      <c r="BF2126" s="1032"/>
      <c r="BG2126" s="560"/>
      <c r="BH2126" s="1033"/>
      <c r="BI2126" s="563"/>
      <c r="BJ2126" s="563"/>
      <c r="BK2126" s="563"/>
      <c r="BL2126" s="563"/>
      <c r="BM2126" s="563"/>
      <c r="BN2126" s="563"/>
      <c r="BO2126" s="563"/>
      <c r="BP2126" s="563"/>
      <c r="BQ2126" s="563"/>
      <c r="BR2126" s="563"/>
      <c r="BS2126" s="563"/>
      <c r="BT2126" s="563"/>
      <c r="BU2126" s="563"/>
      <c r="BV2126" s="563"/>
      <c r="BW2126" s="563"/>
      <c r="BX2126" s="563"/>
      <c r="BY2126" s="563"/>
      <c r="BZ2126" s="563"/>
      <c r="CA2126" s="1032"/>
      <c r="CB2126" s="560"/>
      <c r="CC2126" s="1033"/>
      <c r="CD2126" s="563">
        <f>I2126</f>
        <v>222</v>
      </c>
      <c r="CE2126" s="563"/>
      <c r="CF2126" s="563"/>
      <c r="CG2126" s="1032"/>
      <c r="CH2126" s="560"/>
      <c r="CI2126" s="1033"/>
      <c r="CJ2126" s="563"/>
      <c r="CK2126" s="563"/>
      <c r="CL2126" s="563"/>
      <c r="CM2126" s="563"/>
      <c r="CN2126" s="563"/>
      <c r="CO2126" s="563"/>
      <c r="CP2126" s="1015"/>
      <c r="CQ2126" s="1015"/>
      <c r="CR2126" s="563"/>
      <c r="CS2126" s="563"/>
      <c r="CT2126" s="563"/>
      <c r="CU2126" s="563">
        <f t="shared" si="896"/>
        <v>0</v>
      </c>
      <c r="CV2126" s="563">
        <f t="shared" si="899"/>
        <v>0</v>
      </c>
      <c r="CW2126" s="563">
        <f t="shared" si="900"/>
        <v>0</v>
      </c>
      <c r="CX2126" s="1015"/>
      <c r="CY2126" s="1015"/>
      <c r="CZ2126" s="1015"/>
      <c r="DA2126" s="1015"/>
      <c r="DB2126" s="1015"/>
      <c r="DC2126" s="1015"/>
      <c r="DD2126" s="1015"/>
      <c r="DE2126" s="1015"/>
      <c r="DF2126" s="1015"/>
      <c r="DG2126" s="1015"/>
      <c r="DH2126" s="1015"/>
    </row>
    <row r="2127" s="558" customFormat="1" ht="31" customHeight="1" spans="1:112">
      <c r="A2127" s="1022">
        <v>46206</v>
      </c>
      <c r="B2127" s="626" t="s">
        <v>2734</v>
      </c>
      <c r="C2127" s="939" t="s">
        <v>98</v>
      </c>
      <c r="D2127" s="563">
        <v>4500214754</v>
      </c>
      <c r="E2127" s="939">
        <v>60302441</v>
      </c>
      <c r="F2127" s="563" t="s">
        <v>11125</v>
      </c>
      <c r="G2127" s="939" t="s">
        <v>6787</v>
      </c>
      <c r="H2127" s="939" t="s">
        <v>6126</v>
      </c>
      <c r="I2127" s="1023">
        <v>5004</v>
      </c>
      <c r="J2127" s="939">
        <v>0</v>
      </c>
      <c r="K2127" s="1024">
        <v>12</v>
      </c>
      <c r="L2127" s="1025">
        <f t="shared" si="894"/>
        <v>417</v>
      </c>
      <c r="M2127" s="1026">
        <v>46323</v>
      </c>
      <c r="N2127" s="1027">
        <v>46319</v>
      </c>
      <c r="O2127" s="1031"/>
      <c r="P2127" s="939"/>
      <c r="Q2127" s="999"/>
      <c r="R2127" s="999">
        <v>46225</v>
      </c>
      <c r="S2127" s="584" t="s">
        <v>70</v>
      </c>
      <c r="T2127" s="584" t="s">
        <v>5943</v>
      </c>
      <c r="U2127" s="584"/>
      <c r="V2127" s="999"/>
      <c r="W2127" s="585"/>
      <c r="X2127" s="626" t="s">
        <v>5944</v>
      </c>
      <c r="Y2127" s="1001" t="s">
        <v>2814</v>
      </c>
      <c r="Z2127" s="626">
        <v>1.3534</v>
      </c>
      <c r="AA2127" s="1001">
        <f>Z2127*I2127</f>
        <v>6772.4136</v>
      </c>
      <c r="AB2127" s="585"/>
      <c r="AC2127" s="1030"/>
      <c r="AD2127" s="939" t="s">
        <v>8545</v>
      </c>
      <c r="AE2127" s="939" t="s">
        <v>82</v>
      </c>
      <c r="AF2127" s="939"/>
      <c r="AG2127" s="939"/>
      <c r="AH2127" s="626"/>
      <c r="AI2127" s="609"/>
      <c r="AJ2127" s="579">
        <f t="shared" si="895"/>
        <v>-5004</v>
      </c>
      <c r="AK2127" s="1031"/>
      <c r="AL2127" s="939"/>
      <c r="AM2127" s="939"/>
      <c r="AN2127" s="939">
        <f>I2127*2</f>
        <v>10008</v>
      </c>
      <c r="AO2127" s="563"/>
      <c r="AP2127" s="586">
        <f>I2127*2</f>
        <v>10008</v>
      </c>
      <c r="AQ2127" s="563"/>
      <c r="AR2127" s="1015"/>
      <c r="AS2127" s="563"/>
      <c r="AT2127" s="563"/>
      <c r="AU2127" s="586">
        <f>I2127*2</f>
        <v>10008</v>
      </c>
      <c r="AV2127" s="563"/>
      <c r="AW2127" s="563"/>
      <c r="AX2127" s="1004"/>
      <c r="AY2127" s="563"/>
      <c r="AZ2127" s="563"/>
      <c r="BA2127" s="563"/>
      <c r="BB2127" s="1078">
        <f>I2127/24*2</f>
        <v>417</v>
      </c>
      <c r="BC2127" s="563"/>
      <c r="BD2127" s="563"/>
      <c r="BE2127" s="563"/>
      <c r="BF2127" s="1032"/>
      <c r="BG2127" s="560"/>
      <c r="BH2127" s="1033"/>
      <c r="BI2127" s="563"/>
      <c r="BJ2127" s="563"/>
      <c r="BK2127" s="563"/>
      <c r="BL2127" s="563"/>
      <c r="BM2127" s="563"/>
      <c r="BN2127" s="563"/>
      <c r="BO2127" s="563"/>
      <c r="BP2127" s="563"/>
      <c r="BQ2127" s="563"/>
      <c r="BR2127" s="563"/>
      <c r="BS2127" s="563"/>
      <c r="BT2127" s="563"/>
      <c r="BU2127" s="563"/>
      <c r="BV2127" s="563"/>
      <c r="BW2127" s="563"/>
      <c r="BX2127" s="563"/>
      <c r="BY2127" s="563"/>
      <c r="BZ2127" s="563"/>
      <c r="CA2127" s="1032"/>
      <c r="CB2127" s="560"/>
      <c r="CC2127" s="1033"/>
      <c r="CD2127" s="563"/>
      <c r="CE2127" s="563"/>
      <c r="CF2127" s="563"/>
      <c r="CG2127" s="1032"/>
      <c r="CH2127" s="560"/>
      <c r="CI2127" s="1033"/>
      <c r="CJ2127" s="563"/>
      <c r="CK2127" s="563"/>
      <c r="CL2127" s="563"/>
      <c r="CM2127" s="563"/>
      <c r="CN2127" s="563"/>
      <c r="CO2127" s="563"/>
      <c r="CP2127" s="1015"/>
      <c r="CQ2127" s="1015"/>
      <c r="CR2127" s="563">
        <f>I2127</f>
        <v>5004</v>
      </c>
      <c r="CS2127" s="563">
        <f>I2127</f>
        <v>5004</v>
      </c>
      <c r="CT2127" s="563">
        <f>I2127</f>
        <v>5004</v>
      </c>
      <c r="CU2127" s="563">
        <f t="shared" si="896"/>
        <v>0</v>
      </c>
      <c r="CV2127" s="687">
        <f t="shared" si="899"/>
        <v>0</v>
      </c>
      <c r="CW2127" s="687">
        <f t="shared" si="900"/>
        <v>0</v>
      </c>
      <c r="CX2127" s="1015"/>
      <c r="CY2127" s="1015"/>
      <c r="CZ2127" s="1015"/>
      <c r="DA2127" s="1015"/>
      <c r="DB2127" s="1015"/>
      <c r="DC2127" s="1015"/>
      <c r="DD2127" s="1015"/>
      <c r="DE2127" s="1015"/>
      <c r="DF2127" s="1015"/>
      <c r="DG2127" s="1015"/>
      <c r="DH2127" s="1015"/>
    </row>
    <row r="2128" s="564" customFormat="1" ht="31" customHeight="1" spans="1:112">
      <c r="A2128" s="1171">
        <v>46245</v>
      </c>
      <c r="B2128" s="1172" t="s">
        <v>11094</v>
      </c>
      <c r="C2128" s="1173" t="s">
        <v>98</v>
      </c>
      <c r="D2128" s="1232" t="s">
        <v>11126</v>
      </c>
      <c r="E2128" s="1173" t="s">
        <v>11127</v>
      </c>
      <c r="F2128" s="1174" t="s">
        <v>11128</v>
      </c>
      <c r="G2128" s="1173" t="s">
        <v>6787</v>
      </c>
      <c r="H2128" s="1173" t="s">
        <v>6126</v>
      </c>
      <c r="I2128" s="1175">
        <v>5004</v>
      </c>
      <c r="J2128" s="1173">
        <v>0</v>
      </c>
      <c r="K2128" s="1227">
        <v>12</v>
      </c>
      <c r="L2128" s="1198">
        <f t="shared" si="894"/>
        <v>417</v>
      </c>
      <c r="M2128" s="1228">
        <v>46339</v>
      </c>
      <c r="N2128" s="1177">
        <v>46335</v>
      </c>
      <c r="O2128" s="1178"/>
      <c r="P2128" s="1173"/>
      <c r="Q2128" s="1179"/>
      <c r="R2128" s="1179">
        <v>46245</v>
      </c>
      <c r="S2128" s="1233" t="s">
        <v>70</v>
      </c>
      <c r="T2128" s="1233" t="s">
        <v>5943</v>
      </c>
      <c r="U2128" s="1180"/>
      <c r="V2128" s="1179"/>
      <c r="W2128" s="1229"/>
      <c r="X2128" s="1172" t="s">
        <v>11098</v>
      </c>
      <c r="Y2128" s="1185" t="s">
        <v>11099</v>
      </c>
      <c r="Z2128" s="1172">
        <v>1.3534</v>
      </c>
      <c r="AA2128" s="1185">
        <f>Z2128*I2128</f>
        <v>6772.4136</v>
      </c>
      <c r="AC2128" s="1202"/>
      <c r="AD2128" s="1173" t="s">
        <v>8545</v>
      </c>
      <c r="AE2128" s="1173" t="s">
        <v>82</v>
      </c>
      <c r="AF2128" s="1173"/>
      <c r="AG2128" s="1173"/>
      <c r="AH2128" s="1172"/>
      <c r="AI2128" s="1172"/>
      <c r="AJ2128" s="1234">
        <f t="shared" si="895"/>
        <v>-5004</v>
      </c>
      <c r="AK2128" s="1178"/>
      <c r="AL2128" s="1173"/>
      <c r="AM2128" s="1173"/>
      <c r="AN2128" s="1173">
        <f>I2128*2</f>
        <v>10008</v>
      </c>
      <c r="AO2128" s="1174"/>
      <c r="AP2128" s="1235">
        <f>I2128*2</f>
        <v>10008</v>
      </c>
      <c r="AQ2128" s="1174"/>
      <c r="AR2128" s="1189"/>
      <c r="AS2128" s="1174"/>
      <c r="AT2128" s="1174"/>
      <c r="AU2128" s="1235">
        <f>I2128*2</f>
        <v>10008</v>
      </c>
      <c r="AV2128" s="1174"/>
      <c r="AW2128" s="1174"/>
      <c r="AX2128" s="1190"/>
      <c r="AY2128" s="1174"/>
      <c r="AZ2128" s="1174"/>
      <c r="BA2128" s="1174"/>
      <c r="BB2128" s="1236">
        <f>I2128/24*2</f>
        <v>417</v>
      </c>
      <c r="BC2128" s="1174"/>
      <c r="BD2128" s="1174"/>
      <c r="BE2128" s="1174"/>
      <c r="BF2128" s="1230"/>
      <c r="BG2128" s="565"/>
      <c r="BH2128" s="1231"/>
      <c r="BI2128" s="1174"/>
      <c r="BJ2128" s="1174"/>
      <c r="BK2128" s="1174"/>
      <c r="BL2128" s="1174"/>
      <c r="BM2128" s="1174"/>
      <c r="BN2128" s="1174"/>
      <c r="BO2128" s="1174"/>
      <c r="BP2128" s="1174"/>
      <c r="BQ2128" s="1174"/>
      <c r="BR2128" s="1174"/>
      <c r="BS2128" s="1174"/>
      <c r="BT2128" s="1174"/>
      <c r="BU2128" s="1174"/>
      <c r="BV2128" s="1174"/>
      <c r="BW2128" s="1174"/>
      <c r="BX2128" s="1174"/>
      <c r="BY2128" s="1174"/>
      <c r="BZ2128" s="1174"/>
      <c r="CA2128" s="1230"/>
      <c r="CB2128" s="565"/>
      <c r="CC2128" s="1231"/>
      <c r="CD2128" s="1174"/>
      <c r="CE2128" s="1174"/>
      <c r="CF2128" s="1174"/>
      <c r="CG2128" s="1230"/>
      <c r="CH2128" s="565"/>
      <c r="CI2128" s="1231"/>
      <c r="CJ2128" s="1174"/>
      <c r="CK2128" s="1174"/>
      <c r="CL2128" s="1174"/>
      <c r="CM2128" s="1174"/>
      <c r="CN2128" s="1174"/>
      <c r="CO2128" s="1174"/>
      <c r="CP2128" s="1189"/>
      <c r="CQ2128" s="1189"/>
      <c r="CR2128" s="1174">
        <f>I2128</f>
        <v>5004</v>
      </c>
      <c r="CS2128" s="1174">
        <f>I2128</f>
        <v>5004</v>
      </c>
      <c r="CT2128" s="1174">
        <f>I2128</f>
        <v>5004</v>
      </c>
      <c r="CU2128" s="1174">
        <f t="shared" si="896"/>
        <v>0</v>
      </c>
      <c r="CV2128" s="1237">
        <f t="shared" si="899"/>
        <v>0</v>
      </c>
      <c r="CW2128" s="1237">
        <f t="shared" si="900"/>
        <v>0</v>
      </c>
      <c r="CX2128" s="1189"/>
      <c r="CY2128" s="1189"/>
      <c r="CZ2128" s="1189"/>
      <c r="DA2128" s="1189"/>
      <c r="DB2128" s="1189"/>
      <c r="DC2128" s="1189"/>
      <c r="DD2128" s="1189"/>
      <c r="DE2128" s="1189"/>
      <c r="DF2128" s="1189"/>
      <c r="DG2128" s="1189"/>
      <c r="DH2128" s="1189"/>
    </row>
    <row r="2129" s="558" customFormat="1" ht="31" customHeight="1" spans="1:112">
      <c r="A2129" s="1022"/>
      <c r="B2129" s="626"/>
      <c r="C2129" s="939"/>
      <c r="D2129" s="563"/>
      <c r="E2129" s="939"/>
      <c r="F2129" s="563"/>
      <c r="G2129" s="939"/>
      <c r="H2129" s="939"/>
      <c r="I2129" s="1023"/>
      <c r="J2129" s="939"/>
      <c r="K2129" s="1024"/>
      <c r="L2129" s="1025"/>
      <c r="M2129" s="1026"/>
      <c r="N2129" s="1027"/>
      <c r="O2129" s="1031"/>
      <c r="P2129" s="939"/>
      <c r="Q2129" s="999"/>
      <c r="R2129" s="584"/>
      <c r="S2129" s="584"/>
      <c r="T2129" s="584"/>
      <c r="U2129" s="584"/>
      <c r="V2129" s="999"/>
      <c r="W2129" s="585"/>
      <c r="X2129" s="626"/>
      <c r="Y2129" s="1001"/>
      <c r="Z2129" s="626"/>
      <c r="AA2129" s="1001"/>
      <c r="AB2129" s="585"/>
      <c r="AC2129" s="1030"/>
      <c r="AD2129" s="939"/>
      <c r="AE2129" s="939"/>
      <c r="AF2129" s="939"/>
      <c r="AG2129" s="939"/>
      <c r="AH2129" s="626"/>
      <c r="AI2129" s="609"/>
      <c r="AJ2129" s="992"/>
      <c r="AK2129" s="1031"/>
      <c r="AL2129" s="939"/>
      <c r="AM2129" s="939"/>
      <c r="AN2129" s="939"/>
      <c r="AO2129" s="563"/>
      <c r="AP2129" s="586"/>
      <c r="AQ2129" s="563"/>
      <c r="AR2129" s="1015"/>
      <c r="AS2129" s="563"/>
      <c r="AT2129" s="563"/>
      <c r="AU2129" s="586"/>
      <c r="AV2129" s="563"/>
      <c r="AW2129" s="563"/>
      <c r="AX2129" s="1004"/>
      <c r="AY2129" s="563"/>
      <c r="AZ2129" s="563"/>
      <c r="BA2129" s="563"/>
      <c r="BB2129" s="1078"/>
      <c r="BC2129" s="563"/>
      <c r="BD2129" s="563"/>
      <c r="BE2129" s="563"/>
      <c r="BF2129" s="1032"/>
      <c r="BG2129" s="560"/>
      <c r="BH2129" s="1033"/>
      <c r="BI2129" s="563"/>
      <c r="BJ2129" s="563"/>
      <c r="BK2129" s="563"/>
      <c r="BL2129" s="563"/>
      <c r="BM2129" s="563"/>
      <c r="BN2129" s="563"/>
      <c r="BO2129" s="563"/>
      <c r="BP2129" s="563"/>
      <c r="BQ2129" s="563"/>
      <c r="BR2129" s="563"/>
      <c r="BS2129" s="563"/>
      <c r="BT2129" s="563"/>
      <c r="BU2129" s="563"/>
      <c r="BV2129" s="563"/>
      <c r="BW2129" s="563"/>
      <c r="BX2129" s="563"/>
      <c r="BY2129" s="563"/>
      <c r="BZ2129" s="563"/>
      <c r="CA2129" s="1032"/>
      <c r="CB2129" s="560"/>
      <c r="CC2129" s="1033"/>
      <c r="CD2129" s="563"/>
      <c r="CE2129" s="563"/>
      <c r="CF2129" s="563"/>
      <c r="CG2129" s="1032"/>
      <c r="CH2129" s="560"/>
      <c r="CI2129" s="1033"/>
      <c r="CJ2129" s="563"/>
      <c r="CK2129" s="563"/>
      <c r="CL2129" s="563"/>
      <c r="CM2129" s="563"/>
      <c r="CN2129" s="563"/>
      <c r="CO2129" s="563"/>
      <c r="CP2129" s="1015"/>
      <c r="CQ2129" s="1015"/>
      <c r="CR2129" s="563"/>
      <c r="CS2129" s="563"/>
      <c r="CT2129" s="563"/>
      <c r="CU2129" s="563"/>
      <c r="CV2129" s="563"/>
      <c r="CW2129" s="563"/>
      <c r="CX2129" s="1015"/>
      <c r="CY2129" s="1015"/>
      <c r="CZ2129" s="1015"/>
      <c r="DA2129" s="1015"/>
      <c r="DB2129" s="1015"/>
      <c r="DC2129" s="1015"/>
      <c r="DD2129" s="1015"/>
      <c r="DE2129" s="1015"/>
      <c r="DF2129" s="1015"/>
      <c r="DG2129" s="1015"/>
      <c r="DH2129" s="1015"/>
    </row>
    <row r="2130" s="558" customFormat="1" ht="31" customHeight="1" spans="1:112">
      <c r="A2130" s="1022"/>
      <c r="B2130" s="626"/>
      <c r="C2130" s="939"/>
      <c r="D2130" s="563"/>
      <c r="E2130" s="939"/>
      <c r="F2130" s="563"/>
      <c r="G2130" s="939"/>
      <c r="H2130" s="939"/>
      <c r="I2130" s="1023"/>
      <c r="J2130" s="939"/>
      <c r="K2130" s="1024"/>
      <c r="L2130" s="1025"/>
      <c r="M2130" s="1026"/>
      <c r="N2130" s="1027"/>
      <c r="O2130" s="1031"/>
      <c r="P2130" s="939"/>
      <c r="Q2130" s="999"/>
      <c r="R2130" s="584"/>
      <c r="S2130" s="584"/>
      <c r="T2130" s="584"/>
      <c r="U2130" s="584"/>
      <c r="V2130" s="999"/>
      <c r="W2130" s="585"/>
      <c r="X2130" s="626"/>
      <c r="Y2130" s="1001"/>
      <c r="Z2130" s="626"/>
      <c r="AA2130" s="1001"/>
      <c r="AB2130" s="585"/>
      <c r="AC2130" s="1030"/>
      <c r="AD2130" s="939"/>
      <c r="AE2130" s="939"/>
      <c r="AF2130" s="939"/>
      <c r="AG2130" s="939"/>
      <c r="AH2130" s="626"/>
      <c r="AI2130" s="609"/>
      <c r="AJ2130" s="992"/>
      <c r="AK2130" s="1031"/>
      <c r="AL2130" s="939"/>
      <c r="AM2130" s="939"/>
      <c r="AN2130" s="939"/>
      <c r="AO2130" s="563"/>
      <c r="AP2130" s="586"/>
      <c r="AQ2130" s="563"/>
      <c r="AR2130" s="1015"/>
      <c r="AS2130" s="563"/>
      <c r="AT2130" s="563"/>
      <c r="AU2130" s="586"/>
      <c r="AV2130" s="563"/>
      <c r="AW2130" s="563"/>
      <c r="AX2130" s="1004"/>
      <c r="AY2130" s="563"/>
      <c r="AZ2130" s="563"/>
      <c r="BA2130" s="563"/>
      <c r="BB2130" s="1078"/>
      <c r="BC2130" s="563"/>
      <c r="BD2130" s="563"/>
      <c r="BE2130" s="563"/>
      <c r="BF2130" s="1032"/>
      <c r="BG2130" s="560"/>
      <c r="BH2130" s="1033"/>
      <c r="BI2130" s="563"/>
      <c r="BJ2130" s="563"/>
      <c r="BK2130" s="563"/>
      <c r="BL2130" s="563"/>
      <c r="BM2130" s="563"/>
      <c r="BN2130" s="563"/>
      <c r="BO2130" s="563"/>
      <c r="BP2130" s="563"/>
      <c r="BQ2130" s="563"/>
      <c r="BR2130" s="563"/>
      <c r="BS2130" s="563"/>
      <c r="BT2130" s="563"/>
      <c r="BU2130" s="563"/>
      <c r="BV2130" s="563"/>
      <c r="BW2130" s="563"/>
      <c r="BX2130" s="563"/>
      <c r="BY2130" s="563"/>
      <c r="BZ2130" s="563"/>
      <c r="CA2130" s="1032"/>
      <c r="CB2130" s="560"/>
      <c r="CC2130" s="1033"/>
      <c r="CD2130" s="563"/>
      <c r="CE2130" s="563"/>
      <c r="CF2130" s="563"/>
      <c r="CG2130" s="1032"/>
      <c r="CH2130" s="560"/>
      <c r="CI2130" s="1033"/>
      <c r="CJ2130" s="563"/>
      <c r="CK2130" s="563"/>
      <c r="CL2130" s="563"/>
      <c r="CM2130" s="563"/>
      <c r="CN2130" s="563"/>
      <c r="CO2130" s="563"/>
      <c r="CP2130" s="1015"/>
      <c r="CQ2130" s="1015"/>
      <c r="CR2130" s="563"/>
      <c r="CS2130" s="563"/>
      <c r="CT2130" s="563"/>
      <c r="CU2130" s="563"/>
      <c r="CV2130" s="563"/>
      <c r="CW2130" s="563"/>
      <c r="CX2130" s="1015"/>
      <c r="CY2130" s="1015"/>
      <c r="CZ2130" s="1015"/>
      <c r="DA2130" s="1015"/>
      <c r="DB2130" s="1015"/>
      <c r="DC2130" s="1015"/>
      <c r="DD2130" s="1015"/>
      <c r="DE2130" s="1015"/>
      <c r="DF2130" s="1015"/>
      <c r="DG2130" s="1015"/>
      <c r="DH2130" s="1015"/>
    </row>
    <row r="2131" s="560" customFormat="1" ht="31" customHeight="1" spans="1:112">
      <c r="A2131" s="1034"/>
      <c r="B2131" s="603"/>
      <c r="C2131" s="1035"/>
      <c r="D2131" s="560"/>
      <c r="E2131" s="1035"/>
      <c r="F2131" s="560"/>
      <c r="G2131" s="1035"/>
      <c r="H2131" s="1035"/>
      <c r="I2131" s="1036"/>
      <c r="J2131" s="1035"/>
      <c r="K2131" s="1035"/>
      <c r="L2131" s="1025"/>
      <c r="M2131" s="1037"/>
      <c r="N2131" s="1037"/>
      <c r="O2131" s="1043"/>
      <c r="P2131" s="1035"/>
      <c r="Q2131" s="1039"/>
      <c r="R2131" s="584"/>
      <c r="S2131" s="1039"/>
      <c r="T2131" s="1039"/>
      <c r="U2131" s="1039"/>
      <c r="V2131" s="1039"/>
      <c r="W2131" s="603"/>
      <c r="X2131" s="603"/>
      <c r="Y2131" s="1042"/>
      <c r="Z2131" s="603"/>
      <c r="AA2131" s="1042"/>
      <c r="AB2131" s="603"/>
      <c r="AC2131" s="1030"/>
      <c r="AD2131" s="1035"/>
      <c r="AE2131" s="1035"/>
      <c r="AF2131" s="1035"/>
      <c r="AG2131" s="1035"/>
      <c r="AH2131" s="603"/>
      <c r="AI2131" s="609"/>
      <c r="AJ2131" s="1035"/>
      <c r="AK2131" s="1043"/>
      <c r="AL2131" s="1035"/>
      <c r="AM2131" s="1035"/>
      <c r="AN2131" s="939"/>
      <c r="AO2131" s="560"/>
      <c r="AP2131" s="560"/>
      <c r="AQ2131" s="560"/>
      <c r="AR2131" s="1044"/>
      <c r="AS2131" s="560"/>
      <c r="AT2131" s="560"/>
      <c r="AU2131" s="560"/>
      <c r="AV2131" s="560"/>
      <c r="AW2131" s="560"/>
      <c r="AX2131" s="1045"/>
      <c r="AY2131" s="560"/>
      <c r="AZ2131" s="560"/>
      <c r="BA2131" s="560"/>
      <c r="BB2131" s="1116"/>
      <c r="BC2131" s="560"/>
      <c r="BD2131" s="560"/>
      <c r="BE2131" s="560"/>
      <c r="BF2131" s="560"/>
      <c r="CA2131" s="1046"/>
      <c r="CC2131" s="1047"/>
      <c r="CD2131" s="560"/>
      <c r="CE2131" s="560"/>
      <c r="CF2131" s="560"/>
      <c r="CG2131" s="560"/>
      <c r="CP2131" s="1044"/>
      <c r="CQ2131" s="1044"/>
      <c r="CR2131" s="560"/>
      <c r="CS2131" s="560"/>
      <c r="CT2131" s="560"/>
      <c r="CU2131" s="560"/>
      <c r="CV2131" s="560"/>
      <c r="CW2131" s="560"/>
      <c r="CX2131" s="1044"/>
      <c r="CY2131" s="1044"/>
      <c r="CZ2131" s="1044"/>
      <c r="DA2131" s="1044"/>
      <c r="DB2131" s="1044"/>
      <c r="DC2131" s="1044"/>
      <c r="DD2131" s="1044"/>
      <c r="DE2131" s="1044"/>
      <c r="DF2131" s="1044"/>
      <c r="DG2131" s="1044"/>
      <c r="DH2131" s="1044"/>
    </row>
    <row r="2132" s="560" customFormat="1" ht="31" customHeight="1" spans="1:112">
      <c r="A2132" s="1034"/>
      <c r="B2132" s="603"/>
      <c r="C2132" s="1035"/>
      <c r="D2132" s="560"/>
      <c r="E2132" s="1035"/>
      <c r="F2132" s="560"/>
      <c r="G2132" s="1035"/>
      <c r="H2132" s="1035"/>
      <c r="I2132" s="1036"/>
      <c r="J2132" s="1035"/>
      <c r="K2132" s="1035"/>
      <c r="L2132" s="1025"/>
      <c r="M2132" s="1037"/>
      <c r="N2132" s="1037"/>
      <c r="O2132" s="1043"/>
      <c r="P2132" s="1035"/>
      <c r="Q2132" s="1039"/>
      <c r="R2132" s="584"/>
      <c r="S2132" s="1039"/>
      <c r="T2132" s="1039"/>
      <c r="U2132" s="1039"/>
      <c r="V2132" s="1039"/>
      <c r="W2132" s="603"/>
      <c r="X2132" s="603"/>
      <c r="Y2132" s="1042"/>
      <c r="Z2132" s="603"/>
      <c r="AA2132" s="1042"/>
      <c r="AB2132" s="603"/>
      <c r="AC2132" s="1030"/>
      <c r="AD2132" s="1035"/>
      <c r="AE2132" s="1035"/>
      <c r="AF2132" s="1035"/>
      <c r="AG2132" s="1035"/>
      <c r="AH2132" s="603"/>
      <c r="AI2132" s="609"/>
      <c r="AJ2132" s="1035"/>
      <c r="AK2132" s="1043"/>
      <c r="AL2132" s="1035"/>
      <c r="AM2132" s="1035"/>
      <c r="AN2132" s="1035"/>
      <c r="AO2132" s="560"/>
      <c r="AP2132" s="560"/>
      <c r="AQ2132" s="560"/>
      <c r="AR2132" s="1044"/>
      <c r="AS2132" s="560"/>
      <c r="AT2132" s="560"/>
      <c r="AU2132" s="560"/>
      <c r="AV2132" s="560"/>
      <c r="AW2132" s="560"/>
      <c r="AX2132" s="1045"/>
      <c r="AY2132" s="560"/>
      <c r="AZ2132" s="560"/>
      <c r="BA2132" s="560"/>
      <c r="BB2132" s="1116"/>
      <c r="BC2132" s="560"/>
      <c r="BD2132" s="560"/>
      <c r="BE2132" s="560"/>
      <c r="BF2132" s="560"/>
      <c r="CA2132" s="1046"/>
      <c r="CC2132" s="1047"/>
      <c r="CD2132" s="560"/>
      <c r="CE2132" s="560"/>
      <c r="CF2132" s="560"/>
      <c r="CG2132" s="560"/>
      <c r="CP2132" s="1044"/>
      <c r="CQ2132" s="1044"/>
      <c r="CR2132" s="560"/>
      <c r="CS2132" s="560"/>
      <c r="CT2132" s="560"/>
      <c r="CU2132" s="560"/>
      <c r="CV2132" s="560"/>
      <c r="CW2132" s="560"/>
      <c r="CX2132" s="1044"/>
      <c r="CY2132" s="1044"/>
      <c r="CZ2132" s="1044"/>
      <c r="DA2132" s="1044"/>
      <c r="DB2132" s="1044"/>
      <c r="DC2132" s="1044"/>
      <c r="DD2132" s="1044"/>
      <c r="DE2132" s="1044"/>
      <c r="DF2132" s="1044"/>
      <c r="DG2132" s="1044"/>
      <c r="DH2132" s="1044"/>
    </row>
    <row r="2133" s="560" customFormat="1" ht="31" customHeight="1" spans="1:112">
      <c r="A2133" s="1034"/>
      <c r="B2133" s="603"/>
      <c r="C2133" s="1035"/>
      <c r="D2133" s="560"/>
      <c r="E2133" s="1035"/>
      <c r="F2133" s="560"/>
      <c r="G2133" s="1035"/>
      <c r="H2133" s="1035"/>
      <c r="I2133" s="1036"/>
      <c r="J2133" s="1035"/>
      <c r="K2133" s="1035"/>
      <c r="L2133" s="1025"/>
      <c r="M2133" s="1037"/>
      <c r="N2133" s="1037"/>
      <c r="O2133" s="1043"/>
      <c r="P2133" s="1035"/>
      <c r="Q2133" s="1039"/>
      <c r="R2133" s="1039"/>
      <c r="S2133" s="1039"/>
      <c r="T2133" s="1039"/>
      <c r="U2133" s="1039"/>
      <c r="V2133" s="1039"/>
      <c r="W2133" s="603"/>
      <c r="X2133" s="603"/>
      <c r="Y2133" s="1042"/>
      <c r="Z2133" s="603"/>
      <c r="AA2133" s="1042"/>
      <c r="AB2133" s="603"/>
      <c r="AC2133" s="1030"/>
      <c r="AD2133" s="1035"/>
      <c r="AE2133" s="1035"/>
      <c r="AF2133" s="1035"/>
      <c r="AG2133" s="1035"/>
      <c r="AH2133" s="603"/>
      <c r="AI2133" s="609"/>
      <c r="AJ2133" s="1035"/>
      <c r="AK2133" s="1043"/>
      <c r="AL2133" s="1035"/>
      <c r="AM2133" s="1035"/>
      <c r="AN2133" s="1035"/>
      <c r="AO2133" s="560"/>
      <c r="AP2133" s="560"/>
      <c r="AQ2133" s="560"/>
      <c r="AR2133" s="1044"/>
      <c r="AS2133" s="560"/>
      <c r="AT2133" s="560"/>
      <c r="AU2133" s="560"/>
      <c r="AV2133" s="560"/>
      <c r="AW2133" s="560"/>
      <c r="AX2133" s="1045"/>
      <c r="AY2133" s="560"/>
      <c r="AZ2133" s="560"/>
      <c r="BA2133" s="560"/>
      <c r="BB2133" s="1116"/>
      <c r="BC2133" s="560"/>
      <c r="BD2133" s="560"/>
      <c r="BE2133" s="560"/>
      <c r="BF2133" s="560"/>
      <c r="CA2133" s="1046"/>
      <c r="CC2133" s="1047"/>
      <c r="CD2133" s="560"/>
      <c r="CE2133" s="560"/>
      <c r="CF2133" s="560"/>
      <c r="CG2133" s="560"/>
      <c r="CP2133" s="1044"/>
      <c r="CQ2133" s="1044"/>
      <c r="CR2133" s="560"/>
      <c r="CS2133" s="560"/>
      <c r="CT2133" s="560"/>
      <c r="CU2133" s="560"/>
      <c r="CV2133" s="560"/>
      <c r="CW2133" s="560"/>
      <c r="CX2133" s="1044"/>
      <c r="CY2133" s="1044"/>
      <c r="CZ2133" s="1044"/>
      <c r="DA2133" s="1044"/>
      <c r="DB2133" s="1044"/>
      <c r="DC2133" s="1044"/>
      <c r="DD2133" s="1044"/>
      <c r="DE2133" s="1044"/>
      <c r="DF2133" s="1044"/>
      <c r="DG2133" s="1044"/>
      <c r="DH2133" s="1044"/>
    </row>
    <row r="2134" s="567" customFormat="1" ht="31" customHeight="1" spans="1:112">
      <c r="A2134" s="1243"/>
      <c r="B2134" s="819"/>
      <c r="C2134" s="890"/>
      <c r="D2134" s="567"/>
      <c r="E2134" s="890"/>
      <c r="F2134" s="890"/>
      <c r="G2134" s="887"/>
      <c r="H2134" s="890"/>
      <c r="I2134" s="890"/>
      <c r="J2134" s="890"/>
      <c r="K2134" s="890"/>
      <c r="L2134" s="844"/>
      <c r="M2134" s="887"/>
      <c r="N2134" s="887"/>
      <c r="O2134" s="892"/>
      <c r="P2134" s="892"/>
      <c r="Q2134" s="890"/>
      <c r="R2134" s="1244"/>
      <c r="S2134" s="1244"/>
      <c r="T2134" s="1244"/>
      <c r="U2134" s="1244"/>
      <c r="V2134" s="1244"/>
      <c r="W2134" s="1071"/>
      <c r="X2134" s="567"/>
      <c r="Y2134" s="887"/>
      <c r="Z2134" s="1245"/>
      <c r="AA2134" s="894"/>
      <c r="AB2134" s="567"/>
      <c r="AC2134" s="617"/>
      <c r="AD2134" s="1246"/>
      <c r="AE2134" s="890"/>
      <c r="AF2134" s="890"/>
      <c r="AG2134" s="567"/>
      <c r="AH2134" s="1247"/>
      <c r="AI2134" s="1248"/>
      <c r="AJ2134" s="1248"/>
      <c r="AK2134" s="1249"/>
      <c r="AL2134" s="837"/>
      <c r="AM2134" s="1249"/>
      <c r="AN2134" s="567"/>
      <c r="AO2134" s="567"/>
      <c r="AP2134" s="567"/>
      <c r="AQ2134" s="567"/>
      <c r="AR2134" s="895"/>
      <c r="AS2134" s="567"/>
      <c r="AT2134" s="567"/>
      <c r="AU2134" s="567"/>
      <c r="AV2134" s="567"/>
      <c r="AW2134" s="895"/>
      <c r="AX2134" s="567"/>
      <c r="AY2134" s="567"/>
      <c r="AZ2134" s="567"/>
      <c r="BA2134" s="567"/>
      <c r="BB2134" s="897"/>
      <c r="BC2134" s="567"/>
      <c r="BD2134" s="567"/>
      <c r="BE2134" s="567"/>
      <c r="BF2134" s="567"/>
      <c r="BG2134" s="567"/>
      <c r="BH2134" s="567"/>
      <c r="BI2134" s="567"/>
      <c r="BJ2134" s="567"/>
      <c r="BK2134" s="567"/>
      <c r="BL2134" s="567"/>
      <c r="BM2134" s="567"/>
      <c r="BN2134" s="567"/>
      <c r="BO2134" s="567"/>
      <c r="BP2134" s="567"/>
      <c r="BQ2134" s="567"/>
      <c r="BR2134" s="567"/>
      <c r="BS2134" s="567"/>
      <c r="BT2134" s="567"/>
      <c r="BY2134" s="895"/>
      <c r="BZ2134" s="567"/>
      <c r="CA2134" s="952"/>
      <c r="CC2134" s="1250"/>
      <c r="CD2134" s="895"/>
      <c r="CE2134" s="895"/>
      <c r="CF2134" s="567"/>
      <c r="CG2134" s="567"/>
      <c r="CH2134" s="567"/>
      <c r="CI2134" s="567"/>
      <c r="CJ2134" s="567"/>
      <c r="CK2134" s="567"/>
      <c r="CL2134" s="567"/>
      <c r="CM2134" s="567"/>
      <c r="CN2134" s="567"/>
      <c r="CO2134" s="567"/>
      <c r="CP2134" s="567"/>
      <c r="CQ2134" s="567"/>
      <c r="CR2134" s="567"/>
      <c r="CS2134" s="567"/>
      <c r="CT2134" s="567"/>
      <c r="CU2134" s="567"/>
      <c r="CV2134" s="567"/>
      <c r="CW2134" s="567"/>
      <c r="CX2134" s="895"/>
      <c r="CY2134" s="895"/>
      <c r="CZ2134" s="895"/>
      <c r="DA2134" s="567"/>
      <c r="DB2134" s="567"/>
      <c r="DC2134" s="567"/>
      <c r="DD2134" s="895"/>
      <c r="DE2134" s="895"/>
      <c r="DF2134" s="895"/>
      <c r="DG2134" s="895"/>
      <c r="DH2134" s="895"/>
    </row>
    <row r="2135" s="547" customFormat="1" ht="16" customHeight="1" spans="1:112">
      <c r="A2135" s="569"/>
      <c r="E2135" s="570"/>
      <c r="W2135" s="570"/>
      <c r="X2135" s="547"/>
      <c r="Z2135" s="571"/>
      <c r="AA2135" s="572"/>
      <c r="AC2135" s="1251"/>
      <c r="AD2135" s="1252"/>
      <c r="AE2135" s="550"/>
      <c r="AF2135" s="550"/>
      <c r="AI2135" s="574"/>
      <c r="AJ2135" s="574"/>
      <c r="AK2135" s="575"/>
      <c r="AL2135" s="553"/>
      <c r="AM2135" s="575"/>
      <c r="AR2135" s="576"/>
      <c r="AW2135" s="576"/>
      <c r="BB2135" s="577"/>
      <c r="BY2135" s="576"/>
      <c r="CA2135" s="576"/>
      <c r="CC2135" s="576"/>
      <c r="CD2135" s="576"/>
      <c r="CE2135" s="576"/>
      <c r="CX2135" s="576"/>
      <c r="CY2135" s="576"/>
      <c r="CZ2135" s="576"/>
      <c r="DD2135" s="576"/>
      <c r="DE2135" s="576"/>
      <c r="DF2135" s="576"/>
      <c r="DG2135" s="576"/>
      <c r="DH2135" s="576"/>
    </row>
    <row r="2136" s="547" customFormat="1" spans="1:112">
      <c r="A2136" s="569"/>
      <c r="E2136" s="570"/>
      <c r="W2136" s="570"/>
      <c r="X2136" s="547"/>
      <c r="Z2136" s="571"/>
      <c r="AA2136" s="572"/>
      <c r="AC2136" s="1251"/>
      <c r="AD2136" s="246"/>
      <c r="AE2136" s="550"/>
      <c r="AF2136" s="550"/>
      <c r="AI2136" s="574"/>
      <c r="AJ2136" s="574"/>
      <c r="AK2136" s="575"/>
      <c r="AL2136" s="553"/>
      <c r="AM2136" s="575"/>
      <c r="AR2136" s="576"/>
      <c r="AW2136" s="576"/>
      <c r="BB2136" s="577"/>
      <c r="BY2136" s="576"/>
      <c r="CA2136" s="576"/>
      <c r="CC2136" s="576"/>
      <c r="CD2136" s="576"/>
      <c r="CE2136" s="576"/>
      <c r="CX2136" s="576"/>
      <c r="CY2136" s="576"/>
      <c r="CZ2136" s="576"/>
      <c r="DD2136" s="576"/>
      <c r="DE2136" s="576"/>
      <c r="DF2136" s="576"/>
      <c r="DG2136" s="576"/>
      <c r="DH2136" s="576"/>
    </row>
    <row r="2137" s="547" customFormat="1" spans="1:112">
      <c r="A2137" s="569"/>
      <c r="E2137" s="570"/>
      <c r="W2137" s="570"/>
      <c r="X2137" s="547"/>
      <c r="Z2137" s="571"/>
      <c r="AA2137" s="572"/>
      <c r="AC2137" s="1251"/>
      <c r="AD2137" s="246"/>
      <c r="AE2137" s="550"/>
      <c r="AF2137" s="550"/>
      <c r="AI2137" s="574"/>
      <c r="AJ2137" s="574"/>
      <c r="AK2137" s="575"/>
      <c r="AL2137" s="553"/>
      <c r="AM2137" s="575"/>
      <c r="AR2137" s="576"/>
      <c r="AW2137" s="576"/>
      <c r="BB2137" s="577"/>
      <c r="BY2137" s="576"/>
      <c r="CA2137" s="576"/>
      <c r="CC2137" s="576"/>
      <c r="CD2137" s="576"/>
      <c r="CE2137" s="576"/>
      <c r="CX2137" s="576"/>
      <c r="CY2137" s="576"/>
      <c r="CZ2137" s="576"/>
      <c r="DD2137" s="576"/>
      <c r="DE2137" s="576"/>
      <c r="DF2137" s="576"/>
      <c r="DG2137" s="576"/>
      <c r="DH2137" s="576"/>
    </row>
    <row r="2138" s="547" customFormat="1" spans="1:112">
      <c r="A2138" s="569"/>
      <c r="E2138" s="570"/>
      <c r="W2138" s="570"/>
      <c r="X2138" s="547"/>
      <c r="Z2138" s="571"/>
      <c r="AA2138" s="572"/>
      <c r="AC2138" s="1251"/>
      <c r="AD2138" s="246"/>
      <c r="AE2138" s="550"/>
      <c r="AF2138" s="550"/>
      <c r="AI2138" s="574"/>
      <c r="AJ2138" s="574"/>
      <c r="AK2138" s="575"/>
      <c r="AL2138" s="553"/>
      <c r="AM2138" s="575"/>
      <c r="AR2138" s="576"/>
      <c r="AW2138" s="576"/>
      <c r="BB2138" s="577"/>
      <c r="BY2138" s="576"/>
      <c r="CA2138" s="576"/>
      <c r="CC2138" s="576"/>
      <c r="CD2138" s="576"/>
      <c r="CE2138" s="576"/>
      <c r="CX2138" s="576"/>
      <c r="CY2138" s="576"/>
      <c r="CZ2138" s="576"/>
      <c r="DD2138" s="576"/>
      <c r="DE2138" s="576"/>
      <c r="DF2138" s="576"/>
      <c r="DG2138" s="576"/>
      <c r="DH2138" s="576"/>
    </row>
    <row r="2139" s="547" customFormat="1" spans="1:112">
      <c r="A2139" s="569"/>
      <c r="E2139" s="570"/>
      <c r="W2139" s="570"/>
      <c r="X2139" s="547"/>
      <c r="Z2139" s="571"/>
      <c r="AA2139" s="572"/>
      <c r="AC2139" s="1251"/>
      <c r="AD2139" s="246"/>
      <c r="AE2139" s="550"/>
      <c r="AF2139" s="550"/>
      <c r="AI2139" s="574"/>
      <c r="AJ2139" s="574"/>
      <c r="AK2139" s="575"/>
      <c r="AL2139" s="553"/>
      <c r="AM2139" s="575"/>
      <c r="AR2139" s="576"/>
      <c r="AW2139" s="576"/>
      <c r="BB2139" s="577"/>
      <c r="BY2139" s="576"/>
      <c r="CA2139" s="576"/>
      <c r="CC2139" s="576"/>
      <c r="CD2139" s="576"/>
      <c r="CE2139" s="576"/>
      <c r="CX2139" s="576"/>
      <c r="CY2139" s="576"/>
      <c r="CZ2139" s="576"/>
      <c r="DD2139" s="576"/>
      <c r="DE2139" s="576"/>
      <c r="DF2139" s="576"/>
      <c r="DG2139" s="576"/>
      <c r="DH2139" s="576"/>
    </row>
    <row r="2140" s="547" customFormat="1" spans="1:112">
      <c r="A2140" s="569"/>
      <c r="E2140" s="570"/>
      <c r="W2140" s="570"/>
      <c r="X2140" s="547"/>
      <c r="Z2140" s="571"/>
      <c r="AA2140" s="572"/>
      <c r="AC2140" s="1251"/>
      <c r="AD2140" s="246"/>
      <c r="AE2140" s="550"/>
      <c r="AF2140" s="550"/>
      <c r="AI2140" s="574"/>
      <c r="AJ2140" s="574"/>
      <c r="AK2140" s="575"/>
      <c r="AL2140" s="553"/>
      <c r="AM2140" s="575"/>
      <c r="AR2140" s="576"/>
      <c r="AW2140" s="576"/>
      <c r="BB2140" s="577"/>
      <c r="BY2140" s="576"/>
      <c r="CA2140" s="576"/>
      <c r="CC2140" s="576"/>
      <c r="CD2140" s="576"/>
      <c r="CE2140" s="576"/>
      <c r="CX2140" s="576"/>
      <c r="CY2140" s="576"/>
      <c r="CZ2140" s="576"/>
      <c r="DD2140" s="576"/>
      <c r="DE2140" s="576"/>
      <c r="DF2140" s="576"/>
      <c r="DG2140" s="576"/>
      <c r="DH2140" s="576"/>
    </row>
    <row r="2141" s="547" customFormat="1" spans="1:112">
      <c r="A2141" s="569"/>
      <c r="E2141" s="570"/>
      <c r="W2141" s="570"/>
      <c r="X2141" s="547"/>
      <c r="Z2141" s="571"/>
      <c r="AA2141" s="572"/>
      <c r="AC2141" s="1251"/>
      <c r="AD2141" s="246"/>
      <c r="AE2141" s="550"/>
      <c r="AF2141" s="550"/>
      <c r="AI2141" s="574"/>
      <c r="AJ2141" s="574"/>
      <c r="AK2141" s="575"/>
      <c r="AL2141" s="553"/>
      <c r="AM2141" s="575"/>
      <c r="AR2141" s="576"/>
      <c r="AW2141" s="576"/>
      <c r="BB2141" s="577"/>
      <c r="BY2141" s="576"/>
      <c r="CA2141" s="576"/>
      <c r="CC2141" s="576"/>
      <c r="CD2141" s="576"/>
      <c r="CE2141" s="576"/>
      <c r="CX2141" s="576"/>
      <c r="CY2141" s="576"/>
      <c r="CZ2141" s="576"/>
      <c r="DD2141" s="576"/>
      <c r="DE2141" s="576"/>
      <c r="DF2141" s="576"/>
      <c r="DG2141" s="576"/>
      <c r="DH2141" s="576"/>
    </row>
    <row r="2142" s="547" customFormat="1" spans="1:112">
      <c r="A2142" s="569"/>
      <c r="E2142" s="570"/>
      <c r="W2142" s="570"/>
      <c r="X2142" s="547"/>
      <c r="Z2142" s="571"/>
      <c r="AA2142" s="572"/>
      <c r="AC2142" s="1251"/>
      <c r="AD2142" s="246"/>
      <c r="AE2142" s="550"/>
      <c r="AF2142" s="550"/>
      <c r="AI2142" s="574"/>
      <c r="AJ2142" s="574"/>
      <c r="AK2142" s="575"/>
      <c r="AL2142" s="553"/>
      <c r="AM2142" s="575"/>
      <c r="AR2142" s="576"/>
      <c r="AW2142" s="576"/>
      <c r="BB2142" s="577"/>
      <c r="BY2142" s="576"/>
      <c r="CA2142" s="576"/>
      <c r="CC2142" s="576"/>
      <c r="CD2142" s="576"/>
      <c r="CE2142" s="576"/>
      <c r="CX2142" s="576"/>
      <c r="CY2142" s="576"/>
      <c r="CZ2142" s="576"/>
      <c r="DD2142" s="576"/>
      <c r="DE2142" s="576"/>
      <c r="DF2142" s="576"/>
      <c r="DG2142" s="576"/>
      <c r="DH2142" s="576"/>
    </row>
    <row r="2143" s="547" customFormat="1" spans="1:112">
      <c r="A2143" s="569"/>
      <c r="E2143" s="570"/>
      <c r="W2143" s="570"/>
      <c r="X2143" s="547"/>
      <c r="Z2143" s="571"/>
      <c r="AA2143" s="572"/>
      <c r="AC2143" s="1251"/>
      <c r="AD2143" s="246"/>
      <c r="AE2143" s="550"/>
      <c r="AF2143" s="550"/>
      <c r="AI2143" s="574"/>
      <c r="AJ2143" s="574"/>
      <c r="AK2143" s="575"/>
      <c r="AL2143" s="553"/>
      <c r="AM2143" s="575"/>
      <c r="AR2143" s="576"/>
      <c r="AW2143" s="576"/>
      <c r="BB2143" s="577"/>
      <c r="BY2143" s="576"/>
      <c r="CA2143" s="576"/>
      <c r="CC2143" s="576"/>
      <c r="CD2143" s="576"/>
      <c r="CE2143" s="576"/>
      <c r="CX2143" s="576"/>
      <c r="CY2143" s="576"/>
      <c r="CZ2143" s="576"/>
      <c r="DD2143" s="576"/>
      <c r="DE2143" s="576"/>
      <c r="DF2143" s="576"/>
      <c r="DG2143" s="576"/>
      <c r="DH2143" s="576"/>
    </row>
    <row r="2144" s="547" customFormat="1" spans="1:112">
      <c r="A2144" s="569"/>
      <c r="E2144" s="570"/>
      <c r="W2144" s="570"/>
      <c r="X2144" s="547"/>
      <c r="Z2144" s="571"/>
      <c r="AA2144" s="572"/>
      <c r="AC2144" s="1251"/>
      <c r="AD2144" s="246"/>
      <c r="AE2144" s="550"/>
      <c r="AF2144" s="550"/>
      <c r="AI2144" s="574"/>
      <c r="AJ2144" s="574"/>
      <c r="AK2144" s="575"/>
      <c r="AL2144" s="553"/>
      <c r="AM2144" s="575"/>
      <c r="AR2144" s="576"/>
      <c r="AW2144" s="576"/>
      <c r="BB2144" s="577"/>
      <c r="BY2144" s="576"/>
      <c r="CA2144" s="576"/>
      <c r="CC2144" s="576"/>
      <c r="CD2144" s="576"/>
      <c r="CE2144" s="576"/>
      <c r="CX2144" s="576"/>
      <c r="CY2144" s="576"/>
      <c r="CZ2144" s="576"/>
      <c r="DD2144" s="576"/>
      <c r="DE2144" s="576"/>
      <c r="DF2144" s="576"/>
      <c r="DG2144" s="576"/>
      <c r="DH2144" s="576"/>
    </row>
    <row r="2145" s="547" customFormat="1" spans="1:112">
      <c r="A2145" s="569"/>
      <c r="E2145" s="570"/>
      <c r="G2145" s="548" t="s">
        <v>5953</v>
      </c>
      <c r="I2145" s="548">
        <f>SUM(I2:I2144)</f>
        <v>12622706</v>
      </c>
      <c r="W2145" s="570"/>
      <c r="X2145" s="547"/>
      <c r="Z2145" s="571"/>
      <c r="AA2145" s="572"/>
      <c r="AC2145" s="1251"/>
      <c r="AD2145" s="246"/>
      <c r="AE2145" s="550"/>
      <c r="AF2145" s="550"/>
      <c r="AI2145" s="574"/>
      <c r="AJ2145" s="574"/>
      <c r="AK2145" s="575"/>
      <c r="AL2145" s="553"/>
      <c r="AM2145" s="575"/>
      <c r="AN2145" s="548">
        <f t="shared" ref="AN2145:AV2145" si="901">SUM(AN2:AN2144)</f>
        <v>9909631</v>
      </c>
      <c r="AO2145" s="548">
        <f t="shared" si="901"/>
        <v>4453681</v>
      </c>
      <c r="AP2145" s="548">
        <f t="shared" si="901"/>
        <v>7314164</v>
      </c>
      <c r="AQ2145" s="548">
        <f t="shared" si="901"/>
        <v>743944</v>
      </c>
      <c r="AR2145" s="548">
        <f t="shared" si="901"/>
        <v>52044</v>
      </c>
      <c r="AS2145" s="548">
        <f t="shared" si="901"/>
        <v>443533</v>
      </c>
      <c r="AT2145" s="548">
        <f t="shared" si="901"/>
        <v>3103971</v>
      </c>
      <c r="AU2145" s="548">
        <f t="shared" si="901"/>
        <v>9157687</v>
      </c>
      <c r="AV2145" s="548">
        <f t="shared" si="901"/>
        <v>3103335</v>
      </c>
      <c r="AW2145" s="680"/>
      <c r="AX2145" s="548"/>
      <c r="AY2145" s="548"/>
      <c r="AZ2145" s="548">
        <f>SUM(AZ2:AZ2144)</f>
        <v>66950</v>
      </c>
      <c r="BA2145" s="548"/>
      <c r="BB2145" s="1253">
        <f>SUM(BB2:BB2144)</f>
        <v>643001.562500001</v>
      </c>
      <c r="BC2145" s="1254"/>
      <c r="BD2145" s="548"/>
      <c r="BE2145" s="548">
        <f t="shared" ref="BE2145:CW2145" si="902">SUM(BE2:BE2144)</f>
        <v>155658</v>
      </c>
      <c r="BF2145" s="548">
        <f t="shared" si="902"/>
        <v>854850</v>
      </c>
      <c r="BG2145" s="548">
        <f t="shared" si="902"/>
        <v>174856</v>
      </c>
      <c r="BH2145" s="548">
        <f t="shared" si="902"/>
        <v>854850</v>
      </c>
      <c r="BI2145" s="548">
        <f t="shared" si="902"/>
        <v>276050</v>
      </c>
      <c r="BJ2145" s="548">
        <f t="shared" si="902"/>
        <v>59550</v>
      </c>
      <c r="BK2145" s="548">
        <f t="shared" si="902"/>
        <v>28411</v>
      </c>
      <c r="BL2145" s="548">
        <f t="shared" si="902"/>
        <v>7828</v>
      </c>
      <c r="BM2145" s="548">
        <f t="shared" si="902"/>
        <v>117237</v>
      </c>
      <c r="BN2145" s="548">
        <f t="shared" si="902"/>
        <v>103973</v>
      </c>
      <c r="BO2145" s="548">
        <f t="shared" si="902"/>
        <v>7632</v>
      </c>
      <c r="BP2145" s="548">
        <f t="shared" si="902"/>
        <v>52769</v>
      </c>
      <c r="BQ2145" s="548">
        <f t="shared" si="902"/>
        <v>207684</v>
      </c>
      <c r="BR2145" s="548">
        <f t="shared" si="902"/>
        <v>3546</v>
      </c>
      <c r="BS2145" s="548">
        <f t="shared" si="902"/>
        <v>87962</v>
      </c>
      <c r="BT2145" s="548">
        <f t="shared" si="902"/>
        <v>51703</v>
      </c>
      <c r="BU2145" s="548">
        <f t="shared" si="902"/>
        <v>0</v>
      </c>
      <c r="BV2145" s="548">
        <f t="shared" si="902"/>
        <v>157606</v>
      </c>
      <c r="BW2145" s="548">
        <f t="shared" si="902"/>
        <v>183356</v>
      </c>
      <c r="BX2145" s="548">
        <f t="shared" si="902"/>
        <v>9626.24</v>
      </c>
      <c r="BY2145" s="548">
        <f t="shared" si="902"/>
        <v>98688</v>
      </c>
      <c r="BZ2145" s="548">
        <f t="shared" si="902"/>
        <v>339060</v>
      </c>
      <c r="CA2145" s="680">
        <f t="shared" si="902"/>
        <v>81954</v>
      </c>
      <c r="CB2145" s="680">
        <f t="shared" si="902"/>
        <v>20000</v>
      </c>
      <c r="CC2145" s="680">
        <f t="shared" si="902"/>
        <v>0</v>
      </c>
      <c r="CD2145" s="680">
        <f t="shared" si="902"/>
        <v>48260</v>
      </c>
      <c r="CE2145" s="680">
        <f t="shared" si="902"/>
        <v>0</v>
      </c>
      <c r="CF2145" s="548">
        <f t="shared" si="902"/>
        <v>764</v>
      </c>
      <c r="CG2145" s="548">
        <f t="shared" si="902"/>
        <v>0</v>
      </c>
      <c r="CH2145" s="548">
        <f t="shared" si="902"/>
        <v>3209</v>
      </c>
      <c r="CI2145" s="548">
        <f t="shared" si="902"/>
        <v>28</v>
      </c>
      <c r="CJ2145" s="548">
        <f t="shared" si="902"/>
        <v>488</v>
      </c>
      <c r="CK2145" s="548">
        <f t="shared" si="902"/>
        <v>15</v>
      </c>
      <c r="CL2145" s="548">
        <f t="shared" si="902"/>
        <v>124</v>
      </c>
      <c r="CM2145" s="548">
        <f t="shared" si="902"/>
        <v>300</v>
      </c>
      <c r="CN2145" s="548">
        <f t="shared" si="902"/>
        <v>0</v>
      </c>
      <c r="CO2145" s="548">
        <f t="shared" si="902"/>
        <v>651</v>
      </c>
      <c r="CP2145" s="548">
        <f t="shared" si="902"/>
        <v>1820</v>
      </c>
      <c r="CQ2145" s="548">
        <f t="shared" si="902"/>
        <v>406</v>
      </c>
      <c r="CR2145" s="548">
        <f t="shared" si="902"/>
        <v>610904</v>
      </c>
      <c r="CS2145" s="548">
        <f t="shared" si="902"/>
        <v>610904</v>
      </c>
      <c r="CT2145" s="548">
        <f t="shared" si="902"/>
        <v>610904</v>
      </c>
      <c r="CU2145" s="548">
        <f t="shared" si="902"/>
        <v>385170.24</v>
      </c>
      <c r="CV2145" s="548">
        <f t="shared" si="902"/>
        <v>3316</v>
      </c>
      <c r="CW2145" s="548">
        <f t="shared" si="902"/>
        <v>446</v>
      </c>
      <c r="CX2145" s="680"/>
      <c r="CY2145" s="680">
        <f>SUM(CY2:CY2144)</f>
        <v>0</v>
      </c>
      <c r="CZ2145" s="680">
        <f>SUM(CZ2:CZ2144)</f>
        <v>0</v>
      </c>
      <c r="DA2145" s="548">
        <f>SUM(DA2:DA2144)</f>
        <v>0</v>
      </c>
      <c r="DB2145" s="548"/>
      <c r="DC2145" s="548">
        <f>SUM(DC2:DC2144)</f>
        <v>0</v>
      </c>
      <c r="DD2145" s="680"/>
      <c r="DE2145" s="680">
        <f>SUM(DE2:DE2144)</f>
        <v>0</v>
      </c>
      <c r="DF2145" s="680">
        <f>SUM(DF2:DF2144)</f>
        <v>0</v>
      </c>
      <c r="DG2145" s="680">
        <f>SUM(DG2:DG2144)</f>
        <v>0</v>
      </c>
      <c r="DH2145" s="576"/>
    </row>
    <row r="2146" s="568" customFormat="1" spans="1:112">
      <c r="A2146" s="1255"/>
      <c r="E2146" s="1256"/>
      <c r="W2146" s="1256"/>
      <c r="X2146" s="1256"/>
      <c r="Z2146" s="1257"/>
      <c r="AA2146" s="1258"/>
      <c r="AC2146" s="1259"/>
      <c r="AD2146" s="246"/>
      <c r="AI2146" s="1260" t="s">
        <v>2583</v>
      </c>
      <c r="AJ2146" s="1260"/>
      <c r="AW2146" s="1261"/>
      <c r="BB2146" s="1262"/>
      <c r="BY2146" s="1261"/>
      <c r="CA2146" s="1261"/>
      <c r="CC2146" s="1261"/>
      <c r="CD2146" s="1261"/>
      <c r="CE2146" s="1261"/>
      <c r="CX2146" s="1261"/>
      <c r="CY2146" s="1261"/>
      <c r="CZ2146" s="1261"/>
      <c r="DD2146" s="1261"/>
      <c r="DE2146" s="1261"/>
      <c r="DF2146" s="1261"/>
      <c r="DG2146" s="1261"/>
      <c r="DH2146" s="1261"/>
    </row>
    <row r="2147" s="547" customFormat="1" spans="1:112">
      <c r="A2147" s="569"/>
      <c r="E2147" s="1256"/>
      <c r="M2147" s="553"/>
      <c r="N2147" s="575"/>
      <c r="S2147" s="568"/>
      <c r="T2147" s="568"/>
      <c r="U2147" s="568"/>
      <c r="W2147" s="570"/>
      <c r="X2147" s="547"/>
      <c r="Z2147" s="571"/>
      <c r="AA2147" s="572"/>
      <c r="AC2147" s="1251"/>
      <c r="AD2147" s="618"/>
      <c r="AE2147" s="550"/>
      <c r="AF2147" s="550"/>
      <c r="AI2147" s="574"/>
      <c r="AJ2147" s="574"/>
      <c r="AK2147" s="575"/>
      <c r="AW2147" s="576"/>
      <c r="BB2147" s="577"/>
      <c r="BY2147" s="576"/>
      <c r="CA2147" s="576"/>
      <c r="CC2147" s="576"/>
      <c r="CD2147" s="576"/>
      <c r="CE2147" s="576"/>
      <c r="CX2147" s="576"/>
      <c r="CY2147" s="576"/>
      <c r="CZ2147" s="576"/>
      <c r="DD2147" s="576"/>
      <c r="DE2147" s="576"/>
      <c r="DF2147" s="576"/>
      <c r="DG2147" s="576"/>
      <c r="DH2147" s="576"/>
    </row>
    <row r="2148" s="547" customFormat="1" spans="1:112">
      <c r="A2148" s="569"/>
      <c r="E2148" s="570"/>
      <c r="W2148" s="570"/>
      <c r="X2148" s="547"/>
      <c r="Z2148" s="571"/>
      <c r="AA2148" s="572"/>
      <c r="AC2148" s="1251"/>
      <c r="AD2148" s="573"/>
      <c r="AE2148" s="550"/>
      <c r="AF2148" s="550"/>
      <c r="AL2148" s="574"/>
      <c r="AM2148" s="574"/>
      <c r="AN2148" s="575"/>
      <c r="AO2148" s="553"/>
      <c r="AP2148" s="575"/>
      <c r="AW2148" s="576"/>
      <c r="BB2148" s="577"/>
      <c r="BY2148" s="576"/>
      <c r="CA2148" s="576"/>
      <c r="CC2148" s="576"/>
      <c r="CD2148" s="576"/>
      <c r="CE2148" s="576"/>
      <c r="CX2148" s="576"/>
      <c r="CY2148" s="576"/>
      <c r="CZ2148" s="576"/>
      <c r="DD2148" s="576"/>
      <c r="DE2148" s="576"/>
      <c r="DF2148" s="576"/>
      <c r="DG2148" s="576"/>
      <c r="DH2148" s="576"/>
    </row>
    <row r="2149" s="547" customFormat="1" ht="6" customHeight="1" spans="1:112">
      <c r="A2149" s="569"/>
      <c r="E2149" s="570"/>
      <c r="W2149" s="570"/>
      <c r="X2149" s="547"/>
      <c r="Z2149" s="571"/>
      <c r="AA2149" s="572"/>
      <c r="AC2149" s="1251"/>
      <c r="AD2149" s="573"/>
      <c r="AE2149" s="550"/>
      <c r="AF2149" s="550"/>
      <c r="AL2149" s="574"/>
      <c r="AM2149" s="574"/>
      <c r="AN2149" s="575"/>
      <c r="AO2149" s="553"/>
      <c r="AP2149" s="575"/>
      <c r="AW2149" s="576"/>
      <c r="BB2149" s="577"/>
      <c r="BY2149" s="576"/>
      <c r="CA2149" s="576"/>
      <c r="CC2149" s="576"/>
      <c r="CD2149" s="576"/>
      <c r="CE2149" s="576"/>
      <c r="CX2149" s="576"/>
      <c r="CY2149" s="576"/>
      <c r="CZ2149" s="576"/>
      <c r="DD2149" s="576"/>
      <c r="DE2149" s="576"/>
      <c r="DF2149" s="576"/>
      <c r="DG2149" s="576"/>
      <c r="DH2149" s="576"/>
    </row>
    <row r="2150" s="547" customFormat="1" spans="1:112">
      <c r="A2150" s="569"/>
      <c r="E2150" s="570"/>
      <c r="W2150" s="570"/>
      <c r="X2150" s="547"/>
      <c r="Z2150" s="571"/>
      <c r="AA2150" s="572"/>
      <c r="AC2150" s="1251"/>
      <c r="AD2150" s="573"/>
      <c r="AF2150" s="550"/>
      <c r="AL2150" s="574"/>
      <c r="AM2150" s="574"/>
      <c r="AN2150" s="575"/>
      <c r="AO2150" s="553"/>
      <c r="AP2150" s="575"/>
      <c r="AW2150" s="576"/>
      <c r="BB2150" s="577"/>
      <c r="BY2150" s="576"/>
      <c r="CA2150" s="576"/>
      <c r="CC2150" s="576"/>
      <c r="CD2150" s="576"/>
      <c r="CE2150" s="576"/>
      <c r="CX2150" s="576"/>
      <c r="CY2150" s="576"/>
      <c r="CZ2150" s="576"/>
      <c r="DD2150" s="576"/>
      <c r="DE2150" s="576"/>
      <c r="DF2150" s="576"/>
      <c r="DG2150" s="576"/>
      <c r="DH2150" s="576"/>
    </row>
    <row r="2151" s="547" customFormat="1" spans="1:112">
      <c r="A2151" s="569"/>
      <c r="E2151" s="570"/>
      <c r="V2151" s="1263"/>
      <c r="W2151" s="570"/>
      <c r="X2151" s="547"/>
      <c r="Z2151" s="571"/>
      <c r="AA2151" s="572"/>
      <c r="AC2151" s="1251"/>
      <c r="AD2151" s="573"/>
      <c r="AE2151" s="550"/>
      <c r="AF2151" s="550"/>
      <c r="AI2151" s="574"/>
      <c r="AJ2151" s="574"/>
      <c r="AK2151" s="575"/>
      <c r="AL2151" s="553"/>
      <c r="AM2151" s="575"/>
      <c r="AR2151" s="576"/>
      <c r="AW2151" s="576"/>
      <c r="BB2151" s="577"/>
      <c r="BY2151" s="576"/>
      <c r="CA2151" s="576"/>
      <c r="CC2151" s="576"/>
      <c r="CD2151" s="576"/>
      <c r="CE2151" s="576"/>
      <c r="CX2151" s="576"/>
      <c r="CY2151" s="576"/>
      <c r="CZ2151" s="576"/>
      <c r="DD2151" s="576"/>
      <c r="DE2151" s="576"/>
      <c r="DF2151" s="576"/>
      <c r="DG2151" s="576"/>
      <c r="DH2151" s="576"/>
    </row>
    <row r="2152" s="547" customFormat="1" spans="1:112">
      <c r="A2152" s="569"/>
      <c r="E2152" s="570"/>
      <c r="W2152" s="570"/>
      <c r="X2152" s="547"/>
      <c r="Z2152" s="571"/>
      <c r="AA2152" s="572"/>
      <c r="AC2152" s="1251"/>
      <c r="AD2152" s="573"/>
      <c r="AE2152" s="550"/>
      <c r="AF2152" s="550"/>
      <c r="AI2152" s="574"/>
      <c r="AJ2152" s="574"/>
      <c r="AK2152" s="575"/>
      <c r="AL2152" s="553"/>
      <c r="AM2152" s="575"/>
      <c r="AR2152" s="576"/>
      <c r="AW2152" s="576"/>
      <c r="BB2152" s="577"/>
      <c r="BY2152" s="576"/>
      <c r="CA2152" s="576"/>
      <c r="CC2152" s="576"/>
      <c r="CD2152" s="576"/>
      <c r="CE2152" s="576"/>
      <c r="CX2152" s="576"/>
      <c r="CY2152" s="576"/>
      <c r="CZ2152" s="576"/>
      <c r="DD2152" s="576"/>
      <c r="DE2152" s="576"/>
      <c r="DF2152" s="576"/>
      <c r="DG2152" s="576"/>
      <c r="DH2152" s="576"/>
    </row>
    <row r="2153" s="547" customFormat="1" ht="4" customHeight="1" spans="1:112">
      <c r="A2153" s="569"/>
      <c r="E2153" s="570"/>
      <c r="L2153" s="571"/>
      <c r="M2153" s="572"/>
      <c r="N2153" s="550"/>
      <c r="O2153" s="573"/>
      <c r="P2153" s="550"/>
      <c r="Q2153" s="550"/>
      <c r="S2153" s="574"/>
      <c r="T2153" s="574"/>
      <c r="U2153" s="574"/>
      <c r="W2153" s="570"/>
      <c r="X2153" s="547"/>
      <c r="AC2153" s="1259"/>
      <c r="AD2153" s="570"/>
      <c r="AH2153" s="574"/>
      <c r="AK2153" s="575"/>
      <c r="AL2153" s="553"/>
      <c r="AM2153" s="575">
        <v>3</v>
      </c>
      <c r="AW2153" s="576"/>
      <c r="BB2153" s="577"/>
      <c r="BY2153" s="576"/>
      <c r="CA2153" s="576"/>
      <c r="CC2153" s="576"/>
      <c r="CD2153" s="576"/>
      <c r="CE2153" s="576"/>
      <c r="CX2153" s="576"/>
      <c r="CY2153" s="576"/>
      <c r="CZ2153" s="576"/>
      <c r="DD2153" s="576"/>
      <c r="DE2153" s="576"/>
      <c r="DF2153" s="576"/>
      <c r="DG2153" s="576"/>
      <c r="DH2153" s="576"/>
    </row>
    <row r="2154" s="547" customFormat="1" spans="1:112">
      <c r="A2154" s="569"/>
      <c r="E2154" s="570"/>
      <c r="L2154" s="571"/>
      <c r="M2154" s="572"/>
      <c r="N2154" s="550"/>
      <c r="O2154" s="573"/>
      <c r="P2154" s="550"/>
      <c r="Q2154" s="550"/>
      <c r="S2154" s="574"/>
      <c r="T2154" s="574"/>
      <c r="U2154" s="574"/>
      <c r="W2154" s="570"/>
      <c r="X2154" s="547"/>
      <c r="AC2154" s="1259"/>
      <c r="AD2154" s="570"/>
      <c r="AH2154" s="574"/>
      <c r="AK2154" s="575"/>
      <c r="AL2154" s="553"/>
      <c r="AM2154" s="575"/>
      <c r="AW2154" s="576"/>
      <c r="AY2154" s="576"/>
      <c r="BB2154" s="577"/>
      <c r="BY2154" s="576"/>
      <c r="CA2154" s="576"/>
      <c r="CC2154" s="576"/>
      <c r="CD2154" s="576"/>
      <c r="CE2154" s="576"/>
      <c r="CX2154" s="576"/>
      <c r="CY2154" s="576"/>
      <c r="CZ2154" s="576"/>
      <c r="DD2154" s="576"/>
      <c r="DE2154" s="576"/>
      <c r="DF2154" s="576"/>
      <c r="DG2154" s="576"/>
      <c r="DH2154" s="576"/>
    </row>
    <row r="2155" s="547" customFormat="1" spans="1:112">
      <c r="A2155" s="569"/>
      <c r="E2155" s="570"/>
      <c r="L2155" s="571"/>
      <c r="M2155" s="572"/>
      <c r="N2155" s="550"/>
      <c r="O2155" s="573"/>
      <c r="P2155" s="550"/>
      <c r="Q2155" s="550"/>
      <c r="S2155" s="574"/>
      <c r="T2155" s="574"/>
      <c r="U2155" s="574"/>
      <c r="W2155" s="570"/>
      <c r="X2155" s="547"/>
      <c r="Z2155" s="571"/>
      <c r="AA2155" s="572"/>
      <c r="AC2155" s="1251"/>
      <c r="AD2155" s="573"/>
      <c r="AE2155" s="550"/>
      <c r="AF2155" s="550"/>
      <c r="AH2155" s="574"/>
      <c r="AI2155" s="574"/>
      <c r="AJ2155" s="574"/>
      <c r="AK2155" s="575"/>
      <c r="AL2155" s="553"/>
      <c r="AM2155" s="575"/>
      <c r="AR2155" s="576"/>
      <c r="AW2155" s="576"/>
      <c r="AY2155" s="576"/>
      <c r="BB2155" s="577"/>
      <c r="BY2155" s="576"/>
      <c r="CA2155" s="576"/>
      <c r="CC2155" s="576"/>
      <c r="CD2155" s="576"/>
      <c r="CE2155" s="576"/>
      <c r="CX2155" s="576"/>
      <c r="CY2155" s="576"/>
      <c r="CZ2155" s="576"/>
      <c r="DD2155" s="576"/>
      <c r="DE2155" s="576"/>
      <c r="DF2155" s="576"/>
      <c r="DG2155" s="576"/>
      <c r="DH2155" s="576"/>
    </row>
    <row r="2156" s="547" customFormat="1" spans="1:112">
      <c r="A2156" s="569"/>
      <c r="E2156" s="570"/>
      <c r="L2156" s="571"/>
      <c r="M2156" s="572"/>
      <c r="N2156" s="550"/>
      <c r="O2156" s="573"/>
      <c r="P2156" s="550"/>
      <c r="Q2156" s="550"/>
      <c r="S2156" s="574"/>
      <c r="T2156" s="574"/>
      <c r="U2156" s="574"/>
      <c r="W2156" s="570"/>
      <c r="X2156" s="547"/>
      <c r="Z2156" s="571"/>
      <c r="AA2156" s="572"/>
      <c r="AC2156" s="1251"/>
      <c r="AD2156" s="573"/>
      <c r="AE2156" s="550"/>
      <c r="AF2156" s="550"/>
      <c r="AH2156" s="574"/>
      <c r="AI2156" s="574"/>
      <c r="AJ2156" s="574"/>
      <c r="AK2156" s="575"/>
      <c r="AL2156" s="553"/>
      <c r="AM2156" s="575"/>
      <c r="AR2156" s="576"/>
      <c r="AW2156" s="576"/>
      <c r="BB2156" s="577"/>
      <c r="BY2156" s="576"/>
      <c r="CA2156" s="576"/>
      <c r="CC2156" s="576"/>
      <c r="CD2156" s="576"/>
      <c r="CE2156" s="576"/>
      <c r="CX2156" s="576"/>
      <c r="CY2156" s="576"/>
      <c r="CZ2156" s="576"/>
      <c r="DD2156" s="576"/>
      <c r="DE2156" s="576"/>
      <c r="DF2156" s="576"/>
      <c r="DG2156" s="576"/>
      <c r="DH2156" s="576"/>
    </row>
    <row r="2157" s="547" customFormat="1" spans="1:112">
      <c r="A2157" s="569"/>
      <c r="B2157" s="547"/>
      <c r="C2157" s="547"/>
      <c r="D2157" s="547"/>
      <c r="E2157" s="570"/>
      <c r="F2157" s="547"/>
      <c r="G2157" s="547"/>
      <c r="H2157" s="547"/>
      <c r="I2157" s="547"/>
      <c r="J2157" s="547"/>
      <c r="K2157" s="547"/>
      <c r="L2157" s="547"/>
      <c r="M2157" s="547"/>
      <c r="N2157" s="547"/>
      <c r="O2157" s="547"/>
      <c r="P2157" s="547"/>
      <c r="Q2157" s="547"/>
      <c r="R2157" s="547"/>
      <c r="S2157" s="547"/>
      <c r="T2157" s="547"/>
      <c r="U2157" s="547"/>
      <c r="V2157" s="547"/>
      <c r="W2157" s="570"/>
      <c r="X2157" s="547"/>
      <c r="Y2157" s="547"/>
      <c r="Z2157" s="550"/>
      <c r="AA2157" s="573"/>
      <c r="AB2157" s="547"/>
      <c r="AC2157" s="1251"/>
      <c r="AD2157" s="550"/>
      <c r="AE2157" s="547"/>
      <c r="AF2157" s="547"/>
      <c r="AG2157" s="574"/>
      <c r="AH2157" s="574"/>
      <c r="AI2157" s="575"/>
      <c r="AJ2157" s="553"/>
      <c r="AK2157" s="575"/>
      <c r="AL2157" s="547"/>
      <c r="AM2157" s="547"/>
      <c r="AN2157" s="547"/>
      <c r="AO2157" s="547"/>
      <c r="AP2157" s="576"/>
      <c r="AQ2157" s="547"/>
      <c r="AR2157" s="547"/>
      <c r="AS2157" s="547"/>
      <c r="AT2157" s="547"/>
      <c r="AU2157" s="576"/>
      <c r="AV2157" s="547"/>
      <c r="AW2157" s="547"/>
      <c r="AX2157" s="547"/>
      <c r="AY2157" s="547"/>
      <c r="AZ2157" s="577"/>
      <c r="BA2157" s="547"/>
      <c r="BB2157" s="547"/>
      <c r="BC2157" s="547"/>
      <c r="BD2157" s="547"/>
      <c r="BE2157" s="547"/>
      <c r="BF2157" s="547"/>
      <c r="BG2157" s="547"/>
      <c r="BH2157" s="547"/>
      <c r="BI2157" s="547"/>
      <c r="BJ2157" s="547"/>
      <c r="BK2157" s="547"/>
      <c r="BL2157" s="547"/>
      <c r="BM2157" s="547"/>
      <c r="BN2157" s="547"/>
      <c r="BO2157" s="547"/>
      <c r="BP2157" s="547"/>
      <c r="BQ2157" s="547"/>
      <c r="BR2157" s="547"/>
      <c r="BS2157" s="547"/>
      <c r="BT2157" s="547"/>
      <c r="BU2157" s="547"/>
      <c r="BV2157" s="547"/>
      <c r="BW2157" s="547"/>
      <c r="BX2157" s="547"/>
      <c r="BY2157" s="576"/>
      <c r="BZ2157" s="547"/>
      <c r="CA2157" s="576"/>
      <c r="CB2157" s="547"/>
      <c r="CC2157" s="576"/>
      <c r="CD2157" s="576"/>
      <c r="CE2157" s="576"/>
      <c r="CF2157" s="547"/>
      <c r="CG2157" s="547"/>
      <c r="CH2157" s="547"/>
      <c r="CI2157" s="547"/>
      <c r="CJ2157" s="547"/>
      <c r="CK2157" s="547"/>
      <c r="CL2157" s="547"/>
      <c r="CM2157" s="547"/>
      <c r="CN2157" s="547"/>
      <c r="CO2157" s="547"/>
      <c r="CP2157" s="547"/>
      <c r="CQ2157" s="547"/>
      <c r="CR2157" s="547"/>
      <c r="CS2157" s="547"/>
      <c r="CT2157" s="547"/>
      <c r="CU2157" s="547"/>
      <c r="CV2157" s="547"/>
      <c r="CW2157" s="547"/>
      <c r="CX2157" s="576"/>
      <c r="CY2157" s="576"/>
      <c r="CZ2157" s="576"/>
      <c r="DA2157" s="547"/>
      <c r="DB2157" s="547"/>
      <c r="DC2157" s="547"/>
      <c r="DD2157" s="576"/>
      <c r="DE2157" s="576"/>
      <c r="DF2157" s="576"/>
      <c r="DG2157" s="576"/>
      <c r="DH2157" s="576"/>
    </row>
    <row r="2158" s="547" customFormat="1" spans="1:112">
      <c r="A2158" s="569"/>
      <c r="B2158" s="547"/>
      <c r="C2158" s="547"/>
      <c r="D2158" s="547"/>
      <c r="E2158" s="570"/>
      <c r="F2158" s="547"/>
      <c r="G2158" s="547"/>
      <c r="H2158" s="547"/>
      <c r="I2158" s="547"/>
      <c r="J2158" s="547"/>
      <c r="K2158" s="547"/>
      <c r="L2158" s="547"/>
      <c r="M2158" s="547"/>
      <c r="N2158" s="547"/>
      <c r="O2158" s="547"/>
      <c r="P2158" s="547"/>
      <c r="Q2158" s="547"/>
      <c r="R2158" s="547"/>
      <c r="S2158" s="547"/>
      <c r="T2158" s="547"/>
      <c r="U2158" s="547"/>
      <c r="V2158" s="547"/>
      <c r="W2158" s="570"/>
      <c r="X2158" s="547"/>
      <c r="Y2158" s="547"/>
      <c r="Z2158" s="550"/>
      <c r="AA2158" s="573"/>
      <c r="AB2158" s="547"/>
      <c r="AC2158" s="1251"/>
      <c r="AD2158" s="550"/>
      <c r="AE2158" s="547"/>
      <c r="AF2158" s="547"/>
      <c r="AG2158" s="574"/>
      <c r="AH2158" s="574"/>
      <c r="AI2158" s="575"/>
      <c r="AJ2158" s="553"/>
      <c r="AK2158" s="575"/>
      <c r="AL2158" s="547"/>
      <c r="AM2158" s="547"/>
      <c r="AN2158" s="547"/>
      <c r="AO2158" s="547"/>
      <c r="AP2158" s="576"/>
      <c r="AQ2158" s="547"/>
      <c r="AR2158" s="547"/>
      <c r="AS2158" s="547"/>
      <c r="AT2158" s="547"/>
      <c r="AU2158" s="576"/>
      <c r="AV2158" s="547"/>
      <c r="AW2158" s="547"/>
      <c r="AX2158" s="547"/>
      <c r="AY2158" s="547"/>
      <c r="AZ2158" s="577"/>
      <c r="BA2158" s="547"/>
      <c r="BB2158" s="547"/>
      <c r="BC2158" s="547"/>
      <c r="BD2158" s="547"/>
      <c r="BE2158" s="547"/>
      <c r="BF2158" s="547"/>
      <c r="BG2158" s="547"/>
      <c r="BH2158" s="547"/>
      <c r="BI2158" s="547"/>
      <c r="BJ2158" s="547"/>
      <c r="BK2158" s="547"/>
      <c r="BL2158" s="547"/>
      <c r="BM2158" s="547"/>
      <c r="BN2158" s="547"/>
      <c r="BO2158" s="547"/>
      <c r="BP2158" s="547"/>
      <c r="BQ2158" s="547"/>
      <c r="BR2158" s="547"/>
      <c r="BS2158" s="547"/>
      <c r="BT2158" s="547"/>
      <c r="BU2158" s="547"/>
      <c r="BV2158" s="547"/>
      <c r="BW2158" s="547"/>
      <c r="BX2158" s="547"/>
      <c r="BY2158" s="576"/>
      <c r="BZ2158" s="547"/>
      <c r="CA2158" s="576"/>
      <c r="CB2158" s="547"/>
      <c r="CC2158" s="576"/>
      <c r="CD2158" s="576"/>
      <c r="CE2158" s="576"/>
      <c r="CF2158" s="547"/>
      <c r="CG2158" s="547"/>
      <c r="CH2158" s="547"/>
      <c r="CI2158" s="547"/>
      <c r="CJ2158" s="547"/>
      <c r="CK2158" s="547"/>
      <c r="CL2158" s="547"/>
      <c r="CM2158" s="547"/>
      <c r="CN2158" s="547"/>
      <c r="CO2158" s="547"/>
      <c r="CP2158" s="547"/>
      <c r="CQ2158" s="547"/>
      <c r="CR2158" s="547"/>
      <c r="CS2158" s="547"/>
      <c r="CT2158" s="547"/>
      <c r="CU2158" s="547"/>
      <c r="CV2158" s="547"/>
      <c r="CW2158" s="547"/>
      <c r="CX2158" s="576"/>
      <c r="CY2158" s="576"/>
      <c r="CZ2158" s="576"/>
      <c r="DA2158" s="547"/>
      <c r="DB2158" s="547"/>
      <c r="DC2158" s="547"/>
      <c r="DD2158" s="576"/>
      <c r="DE2158" s="576"/>
      <c r="DF2158" s="576"/>
      <c r="DG2158" s="576"/>
      <c r="DH2158" s="576"/>
    </row>
    <row r="2159" s="547" customFormat="1" spans="1:112">
      <c r="A2159" s="569"/>
      <c r="B2159" s="547"/>
      <c r="C2159" s="547"/>
      <c r="D2159" s="547"/>
      <c r="E2159" s="570"/>
      <c r="F2159" s="547"/>
      <c r="G2159" s="547"/>
      <c r="H2159" s="547"/>
      <c r="I2159" s="547"/>
      <c r="J2159" s="547"/>
      <c r="K2159" s="547"/>
      <c r="L2159" s="547"/>
      <c r="M2159" s="547"/>
      <c r="N2159" s="547"/>
      <c r="O2159" s="547"/>
      <c r="P2159" s="547"/>
      <c r="Q2159" s="547"/>
      <c r="R2159" s="547"/>
      <c r="S2159" s="547"/>
      <c r="T2159" s="547"/>
      <c r="U2159" s="547"/>
      <c r="V2159" s="547"/>
      <c r="W2159" s="570"/>
      <c r="X2159" s="547"/>
      <c r="Y2159" s="547"/>
      <c r="Z2159" s="550"/>
      <c r="AA2159" s="573"/>
      <c r="AB2159" s="547"/>
      <c r="AC2159" s="1264"/>
      <c r="AD2159" s="550"/>
      <c r="AE2159" s="547"/>
      <c r="AF2159" s="547"/>
      <c r="AG2159" s="574"/>
      <c r="AH2159" s="574"/>
      <c r="AI2159" s="575"/>
      <c r="AJ2159" s="553"/>
      <c r="AK2159" s="575"/>
      <c r="AL2159" s="547"/>
      <c r="AM2159" s="547"/>
      <c r="AN2159" s="547"/>
      <c r="AO2159" s="547"/>
      <c r="AP2159" s="576"/>
      <c r="AQ2159" s="547"/>
      <c r="AR2159" s="547"/>
      <c r="AS2159" s="547"/>
      <c r="AT2159" s="547"/>
      <c r="AU2159" s="576"/>
      <c r="AV2159" s="547"/>
      <c r="AW2159" s="547"/>
      <c r="AX2159" s="547"/>
      <c r="AY2159" s="547"/>
      <c r="AZ2159" s="577"/>
      <c r="BA2159" s="547"/>
      <c r="BB2159" s="547"/>
      <c r="BC2159" s="547"/>
      <c r="BD2159" s="547"/>
      <c r="BE2159" s="547"/>
      <c r="BF2159" s="547"/>
      <c r="BG2159" s="547"/>
      <c r="BH2159" s="547"/>
      <c r="BI2159" s="547"/>
      <c r="BJ2159" s="547"/>
      <c r="BK2159" s="547"/>
      <c r="BL2159" s="547"/>
      <c r="BM2159" s="547"/>
      <c r="BN2159" s="547"/>
      <c r="BO2159" s="547"/>
      <c r="BP2159" s="547"/>
      <c r="BQ2159" s="547"/>
      <c r="BR2159" s="547"/>
      <c r="BS2159" s="547"/>
      <c r="BT2159" s="547"/>
      <c r="BU2159" s="547"/>
      <c r="BV2159" s="547"/>
      <c r="BW2159" s="547"/>
      <c r="BX2159" s="547"/>
      <c r="BY2159" s="576"/>
      <c r="BZ2159" s="547"/>
      <c r="CA2159" s="576"/>
      <c r="CB2159" s="547"/>
      <c r="CC2159" s="576"/>
      <c r="CD2159" s="576"/>
      <c r="CE2159" s="576"/>
      <c r="CF2159" s="547"/>
      <c r="CG2159" s="547"/>
      <c r="CH2159" s="547"/>
      <c r="CI2159" s="547"/>
      <c r="CJ2159" s="547"/>
      <c r="CK2159" s="547"/>
      <c r="CL2159" s="547"/>
      <c r="CM2159" s="547"/>
      <c r="CN2159" s="547"/>
      <c r="CO2159" s="547"/>
      <c r="CP2159" s="547"/>
      <c r="CQ2159" s="547"/>
      <c r="CR2159" s="547"/>
      <c r="CS2159" s="547"/>
      <c r="CT2159" s="547"/>
      <c r="CU2159" s="547"/>
      <c r="CV2159" s="547"/>
      <c r="CW2159" s="547"/>
      <c r="CX2159" s="576"/>
      <c r="CY2159" s="576"/>
      <c r="CZ2159" s="576"/>
      <c r="DA2159" s="547"/>
      <c r="DB2159" s="547"/>
      <c r="DC2159" s="547"/>
      <c r="DD2159" s="576"/>
      <c r="DE2159" s="576"/>
      <c r="DF2159" s="576"/>
      <c r="DG2159" s="576"/>
      <c r="DH2159" s="576"/>
    </row>
    <row r="2160" s="547" customFormat="1" spans="1:112">
      <c r="A2160" s="569"/>
      <c r="B2160" s="547"/>
      <c r="C2160" s="547"/>
      <c r="D2160" s="547"/>
      <c r="E2160" s="570"/>
      <c r="F2160" s="547"/>
      <c r="G2160" s="547"/>
      <c r="H2160" s="547"/>
      <c r="I2160" s="547"/>
      <c r="J2160" s="547"/>
      <c r="K2160" s="547"/>
      <c r="L2160" s="547"/>
      <c r="M2160" s="547"/>
      <c r="N2160" s="547"/>
      <c r="O2160" s="547"/>
      <c r="P2160" s="547"/>
      <c r="Q2160" s="547"/>
      <c r="R2160" s="547"/>
      <c r="S2160" s="547"/>
      <c r="T2160" s="547"/>
      <c r="U2160" s="547"/>
      <c r="V2160" s="547"/>
      <c r="W2160" s="570"/>
      <c r="X2160" s="547"/>
      <c r="Y2160" s="547"/>
      <c r="Z2160" s="550"/>
      <c r="AA2160" s="573"/>
      <c r="AB2160" s="547"/>
      <c r="AC2160" s="1251"/>
      <c r="AD2160" s="550"/>
      <c r="AE2160" s="547"/>
      <c r="AF2160" s="547"/>
      <c r="AG2160" s="574"/>
      <c r="AH2160" s="574"/>
      <c r="AI2160" s="575"/>
      <c r="AJ2160" s="553"/>
      <c r="AK2160" s="575"/>
      <c r="AL2160" s="547"/>
      <c r="AM2160" s="547"/>
      <c r="AN2160" s="547"/>
      <c r="AO2160" s="547"/>
      <c r="AP2160" s="576"/>
      <c r="AQ2160" s="547"/>
      <c r="AR2160" s="547"/>
      <c r="AS2160" s="547"/>
      <c r="AT2160" s="547"/>
      <c r="AU2160" s="576"/>
      <c r="AV2160" s="547"/>
      <c r="AW2160" s="547"/>
      <c r="AX2160" s="547"/>
      <c r="AY2160" s="547"/>
      <c r="AZ2160" s="577"/>
      <c r="BA2160" s="547"/>
      <c r="BB2160" s="547"/>
      <c r="BC2160" s="547"/>
      <c r="BD2160" s="547"/>
      <c r="BE2160" s="547"/>
      <c r="BF2160" s="547"/>
      <c r="BG2160" s="547"/>
      <c r="BH2160" s="547"/>
      <c r="BI2160" s="547"/>
      <c r="BJ2160" s="547"/>
      <c r="BK2160" s="547"/>
      <c r="BL2160" s="547"/>
      <c r="BM2160" s="547"/>
      <c r="BN2160" s="547"/>
      <c r="BO2160" s="547"/>
      <c r="BP2160" s="547"/>
      <c r="BQ2160" s="547"/>
      <c r="BR2160" s="547"/>
      <c r="BS2160" s="547"/>
      <c r="BT2160" s="547"/>
      <c r="BU2160" s="547"/>
      <c r="BV2160" s="547"/>
      <c r="BW2160" s="547"/>
      <c r="BX2160" s="547"/>
      <c r="BY2160" s="576"/>
      <c r="BZ2160" s="547"/>
      <c r="CA2160" s="576"/>
      <c r="CB2160" s="547"/>
      <c r="CC2160" s="576"/>
      <c r="CD2160" s="576"/>
      <c r="CE2160" s="576"/>
      <c r="CF2160" s="547"/>
      <c r="CG2160" s="547"/>
      <c r="CH2160" s="547"/>
      <c r="CI2160" s="547"/>
      <c r="CJ2160" s="547"/>
      <c r="CK2160" s="547"/>
      <c r="CL2160" s="547"/>
      <c r="CM2160" s="547"/>
      <c r="CN2160" s="547"/>
      <c r="CO2160" s="547"/>
      <c r="CP2160" s="547"/>
      <c r="CQ2160" s="547"/>
      <c r="CR2160" s="547"/>
      <c r="CS2160" s="547"/>
      <c r="CT2160" s="547"/>
      <c r="CU2160" s="547"/>
      <c r="CV2160" s="547"/>
      <c r="CW2160" s="547"/>
      <c r="CX2160" s="576"/>
      <c r="CY2160" s="576"/>
      <c r="CZ2160" s="576"/>
      <c r="DA2160" s="547"/>
      <c r="DB2160" s="547"/>
      <c r="DC2160" s="547"/>
      <c r="DD2160" s="576"/>
      <c r="DE2160" s="576"/>
      <c r="DF2160" s="576"/>
      <c r="DG2160" s="576"/>
      <c r="DH2160" s="576"/>
    </row>
    <row r="2161" s="547" customFormat="1" spans="1:112">
      <c r="A2161" s="569"/>
      <c r="B2161" s="547"/>
      <c r="C2161" s="547"/>
      <c r="D2161" s="547"/>
      <c r="E2161" s="570"/>
      <c r="F2161" s="547"/>
      <c r="G2161" s="547"/>
      <c r="H2161" s="547"/>
      <c r="I2161" s="547"/>
      <c r="J2161" s="547"/>
      <c r="K2161" s="547"/>
      <c r="L2161" s="547"/>
      <c r="M2161" s="547"/>
      <c r="N2161" s="547"/>
      <c r="O2161" s="547"/>
      <c r="P2161" s="547"/>
      <c r="Q2161" s="547"/>
      <c r="R2161" s="547"/>
      <c r="S2161" s="547"/>
      <c r="T2161" s="547"/>
      <c r="U2161" s="547"/>
      <c r="V2161" s="547"/>
      <c r="W2161" s="570"/>
      <c r="X2161" s="547"/>
      <c r="Y2161" s="547"/>
      <c r="Z2161" s="550"/>
      <c r="AA2161" s="573"/>
      <c r="AB2161" s="547"/>
      <c r="AC2161" s="1251"/>
      <c r="AD2161" s="550"/>
      <c r="AE2161" s="547"/>
      <c r="AF2161" s="547"/>
      <c r="AG2161" s="574"/>
      <c r="AH2161" s="574"/>
      <c r="AI2161" s="575"/>
      <c r="AJ2161" s="553"/>
      <c r="AK2161" s="575"/>
      <c r="AL2161" s="547"/>
      <c r="AM2161" s="547"/>
      <c r="AN2161" s="547"/>
      <c r="AO2161" s="547"/>
      <c r="AP2161" s="576"/>
      <c r="AQ2161" s="547"/>
      <c r="AR2161" s="547"/>
      <c r="AS2161" s="547"/>
      <c r="AT2161" s="547"/>
      <c r="AU2161" s="576"/>
      <c r="AV2161" s="547"/>
      <c r="AW2161" s="547"/>
      <c r="AX2161" s="547"/>
      <c r="AY2161" s="547"/>
      <c r="AZ2161" s="577"/>
      <c r="BA2161" s="547"/>
      <c r="BB2161" s="547"/>
      <c r="BC2161" s="547"/>
      <c r="BD2161" s="547"/>
      <c r="BE2161" s="547"/>
      <c r="BF2161" s="547"/>
      <c r="BG2161" s="547"/>
      <c r="BH2161" s="547"/>
      <c r="BI2161" s="547"/>
      <c r="BJ2161" s="547"/>
      <c r="BK2161" s="547"/>
      <c r="BL2161" s="547"/>
      <c r="BM2161" s="547"/>
      <c r="BN2161" s="547"/>
      <c r="BO2161" s="547"/>
      <c r="BP2161" s="547"/>
      <c r="BQ2161" s="547"/>
      <c r="BR2161" s="547"/>
      <c r="BS2161" s="547"/>
      <c r="BT2161" s="547"/>
      <c r="BU2161" s="547"/>
      <c r="BV2161" s="547"/>
      <c r="BW2161" s="547"/>
      <c r="BX2161" s="547"/>
      <c r="BY2161" s="576"/>
      <c r="BZ2161" s="547"/>
      <c r="CA2161" s="576"/>
      <c r="CB2161" s="547"/>
      <c r="CC2161" s="576"/>
      <c r="CD2161" s="576"/>
      <c r="CE2161" s="576"/>
      <c r="CF2161" s="547"/>
      <c r="CG2161" s="547"/>
      <c r="CH2161" s="547"/>
      <c r="CI2161" s="547"/>
      <c r="CJ2161" s="547"/>
      <c r="CK2161" s="547"/>
      <c r="CL2161" s="547"/>
      <c r="CM2161" s="547"/>
      <c r="CN2161" s="547"/>
      <c r="CO2161" s="547"/>
      <c r="CP2161" s="547"/>
      <c r="CQ2161" s="547"/>
      <c r="CR2161" s="547"/>
      <c r="CS2161" s="547"/>
      <c r="CT2161" s="547"/>
      <c r="CU2161" s="547"/>
      <c r="CV2161" s="547"/>
      <c r="CW2161" s="547"/>
      <c r="CX2161" s="576"/>
      <c r="CY2161" s="576"/>
      <c r="CZ2161" s="576"/>
      <c r="DA2161" s="547"/>
      <c r="DB2161" s="547"/>
      <c r="DC2161" s="547"/>
      <c r="DD2161" s="576"/>
      <c r="DE2161" s="576"/>
      <c r="DF2161" s="576"/>
      <c r="DG2161" s="576"/>
      <c r="DH2161" s="576"/>
    </row>
    <row r="2162" s="547" customFormat="1" spans="1:112">
      <c r="A2162" s="569"/>
      <c r="B2162" s="547"/>
      <c r="C2162" s="547"/>
      <c r="D2162" s="547"/>
      <c r="E2162" s="570"/>
      <c r="F2162" s="547"/>
      <c r="G2162" s="547"/>
      <c r="H2162" s="547"/>
      <c r="I2162" s="547"/>
      <c r="J2162" s="547"/>
      <c r="K2162" s="547"/>
      <c r="L2162" s="547"/>
      <c r="M2162" s="547"/>
      <c r="N2162" s="547"/>
      <c r="O2162" s="547"/>
      <c r="P2162" s="547"/>
      <c r="Q2162" s="547"/>
      <c r="R2162" s="547"/>
      <c r="S2162" s="547"/>
      <c r="T2162" s="547"/>
      <c r="U2162" s="547"/>
      <c r="V2162" s="547"/>
      <c r="W2162" s="570"/>
      <c r="X2162" s="547"/>
      <c r="Y2162" s="547"/>
      <c r="Z2162" s="550"/>
      <c r="AA2162" s="573"/>
      <c r="AB2162" s="547"/>
      <c r="AC2162" s="1251"/>
      <c r="AD2162" s="550"/>
      <c r="AE2162" s="547"/>
      <c r="AF2162" s="547"/>
      <c r="AG2162" s="574"/>
      <c r="AH2162" s="574"/>
      <c r="AI2162" s="575"/>
      <c r="AJ2162" s="553"/>
      <c r="AK2162" s="575"/>
      <c r="AL2162" s="547"/>
      <c r="AM2162" s="547"/>
      <c r="AN2162" s="547"/>
      <c r="AO2162" s="547"/>
      <c r="AP2162" s="576"/>
      <c r="AQ2162" s="547"/>
      <c r="AR2162" s="547"/>
      <c r="AS2162" s="547"/>
      <c r="AT2162" s="547"/>
      <c r="AU2162" s="576"/>
      <c r="AV2162" s="547"/>
      <c r="AW2162" s="547"/>
      <c r="AX2162" s="547"/>
      <c r="AY2162" s="547"/>
      <c r="AZ2162" s="577"/>
      <c r="BA2162" s="547"/>
      <c r="BB2162" s="547"/>
      <c r="BC2162" s="547"/>
      <c r="BD2162" s="547"/>
      <c r="BE2162" s="547"/>
      <c r="BF2162" s="547"/>
      <c r="BG2162" s="547"/>
      <c r="BH2162" s="547"/>
      <c r="BI2162" s="547"/>
      <c r="BJ2162" s="547"/>
      <c r="BK2162" s="547"/>
      <c r="BL2162" s="547"/>
      <c r="BM2162" s="547"/>
      <c r="BN2162" s="547"/>
      <c r="BO2162" s="547"/>
      <c r="BP2162" s="547"/>
      <c r="BQ2162" s="547"/>
      <c r="BR2162" s="547"/>
      <c r="BS2162" s="547"/>
      <c r="BT2162" s="547"/>
      <c r="BU2162" s="547"/>
      <c r="BV2162" s="547"/>
      <c r="BW2162" s="547"/>
      <c r="BX2162" s="547"/>
      <c r="BY2162" s="576"/>
      <c r="BZ2162" s="547"/>
      <c r="CA2162" s="576"/>
      <c r="CB2162" s="547"/>
      <c r="CC2162" s="576"/>
      <c r="CD2162" s="576"/>
      <c r="CE2162" s="576"/>
      <c r="CF2162" s="547"/>
      <c r="CG2162" s="547"/>
      <c r="CH2162" s="547"/>
      <c r="CI2162" s="547"/>
      <c r="CJ2162" s="547"/>
      <c r="CK2162" s="547"/>
      <c r="CL2162" s="547"/>
      <c r="CM2162" s="547"/>
      <c r="CN2162" s="547"/>
      <c r="CO2162" s="547"/>
      <c r="CP2162" s="547"/>
      <c r="CQ2162" s="547"/>
      <c r="CR2162" s="547"/>
      <c r="CS2162" s="547"/>
      <c r="CT2162" s="547"/>
      <c r="CU2162" s="547"/>
      <c r="CV2162" s="547"/>
      <c r="CW2162" s="547"/>
      <c r="CX2162" s="576"/>
      <c r="CY2162" s="576"/>
      <c r="CZ2162" s="576"/>
      <c r="DA2162" s="547"/>
      <c r="DB2162" s="547"/>
      <c r="DC2162" s="547"/>
      <c r="DD2162" s="576"/>
      <c r="DE2162" s="576"/>
      <c r="DF2162" s="576"/>
      <c r="DG2162" s="576"/>
      <c r="DH2162" s="576"/>
    </row>
    <row r="2163" s="547" customFormat="1" spans="1:112">
      <c r="A2163" s="569"/>
      <c r="B2163" s="547"/>
      <c r="C2163" s="547"/>
      <c r="D2163" s="547"/>
      <c r="E2163" s="570"/>
      <c r="F2163" s="547"/>
      <c r="G2163" s="547"/>
      <c r="H2163" s="547"/>
      <c r="I2163" s="547"/>
      <c r="J2163" s="547"/>
      <c r="K2163" s="547"/>
      <c r="L2163" s="547"/>
      <c r="M2163" s="547"/>
      <c r="N2163" s="547"/>
      <c r="O2163" s="547"/>
      <c r="P2163" s="547"/>
      <c r="Q2163" s="547"/>
      <c r="R2163" s="547"/>
      <c r="S2163" s="547"/>
      <c r="T2163" s="547"/>
      <c r="U2163" s="547"/>
      <c r="V2163" s="547"/>
      <c r="W2163" s="570"/>
      <c r="X2163" s="547"/>
      <c r="Y2163" s="547"/>
      <c r="Z2163" s="571"/>
      <c r="AA2163" s="572"/>
      <c r="AB2163" s="547"/>
      <c r="AC2163" s="1251"/>
      <c r="AD2163" s="573"/>
      <c r="AE2163" s="550"/>
      <c r="AF2163" s="550"/>
      <c r="AG2163" s="547"/>
      <c r="AH2163" s="547"/>
      <c r="AI2163" s="574"/>
      <c r="AJ2163" s="574"/>
      <c r="AK2163" s="575"/>
      <c r="AL2163" s="553"/>
      <c r="AM2163" s="575"/>
      <c r="AN2163" s="547"/>
      <c r="AO2163" s="547"/>
      <c r="AP2163" s="547"/>
      <c r="AQ2163" s="547"/>
      <c r="AR2163" s="576"/>
      <c r="AS2163" s="547"/>
      <c r="AT2163" s="547"/>
      <c r="AU2163" s="547"/>
      <c r="AV2163" s="547"/>
      <c r="AW2163" s="576"/>
      <c r="AX2163" s="547"/>
      <c r="AY2163" s="547"/>
      <c r="AZ2163" s="547"/>
      <c r="BA2163" s="547"/>
      <c r="BB2163" s="577"/>
      <c r="BC2163" s="547"/>
      <c r="BD2163" s="547"/>
      <c r="BE2163" s="547"/>
      <c r="BF2163" s="547"/>
      <c r="BG2163" s="547"/>
      <c r="BH2163" s="547"/>
      <c r="BI2163" s="547"/>
      <c r="BJ2163" s="547"/>
      <c r="BK2163" s="547"/>
      <c r="BL2163" s="547"/>
      <c r="BM2163" s="547"/>
      <c r="BN2163" s="547"/>
      <c r="BO2163" s="547"/>
      <c r="BP2163" s="547"/>
      <c r="BQ2163" s="547"/>
      <c r="BR2163" s="547"/>
      <c r="BS2163" s="547"/>
      <c r="BT2163" s="547"/>
      <c r="BU2163" s="547"/>
      <c r="BV2163" s="547"/>
      <c r="BW2163" s="547"/>
      <c r="BX2163" s="547"/>
      <c r="BY2163" s="576"/>
      <c r="BZ2163" s="547"/>
      <c r="CA2163" s="576"/>
      <c r="CB2163" s="547"/>
      <c r="CC2163" s="576"/>
      <c r="CD2163" s="576"/>
      <c r="CE2163" s="576"/>
      <c r="CF2163" s="547"/>
      <c r="CG2163" s="547"/>
      <c r="CH2163" s="547"/>
      <c r="CI2163" s="547"/>
      <c r="CJ2163" s="547"/>
      <c r="CK2163" s="547"/>
      <c r="CL2163" s="547"/>
      <c r="CM2163" s="547"/>
      <c r="CN2163" s="547"/>
      <c r="CO2163" s="547"/>
      <c r="CP2163" s="547"/>
      <c r="CQ2163" s="547"/>
      <c r="CR2163" s="547"/>
      <c r="CS2163" s="547"/>
      <c r="CT2163" s="547"/>
      <c r="CU2163" s="547"/>
      <c r="CV2163" s="547"/>
      <c r="CW2163" s="547"/>
      <c r="CX2163" s="576"/>
      <c r="CY2163" s="576"/>
      <c r="CZ2163" s="576"/>
      <c r="DA2163" s="547"/>
      <c r="DB2163" s="547"/>
      <c r="DC2163" s="547"/>
      <c r="DD2163" s="576"/>
      <c r="DE2163" s="576"/>
      <c r="DF2163" s="576"/>
      <c r="DG2163" s="576"/>
      <c r="DH2163" s="576"/>
    </row>
    <row r="2164" s="547" customFormat="1" spans="1:112">
      <c r="A2164" s="569"/>
      <c r="B2164" s="547"/>
      <c r="C2164" s="547"/>
      <c r="D2164" s="547"/>
      <c r="E2164" s="570"/>
      <c r="F2164" s="547"/>
      <c r="G2164" s="547"/>
      <c r="H2164" s="547"/>
      <c r="I2164" s="547"/>
      <c r="J2164" s="547"/>
      <c r="K2164" s="547"/>
      <c r="L2164" s="547"/>
      <c r="M2164" s="547"/>
      <c r="N2164" s="547"/>
      <c r="O2164" s="547"/>
      <c r="P2164" s="547"/>
      <c r="Q2164" s="547"/>
      <c r="R2164" s="547"/>
      <c r="S2164" s="547"/>
      <c r="T2164" s="547"/>
      <c r="U2164" s="547"/>
      <c r="V2164" s="547"/>
      <c r="W2164" s="570"/>
      <c r="X2164" s="547"/>
      <c r="Y2164" s="547"/>
      <c r="Z2164" s="571"/>
      <c r="AA2164" s="572"/>
      <c r="AB2164" s="547"/>
      <c r="AC2164" s="1251"/>
      <c r="AD2164" s="573"/>
      <c r="AE2164" s="550"/>
      <c r="AF2164" s="550"/>
      <c r="AG2164" s="547"/>
      <c r="AH2164" s="547"/>
      <c r="AI2164" s="574"/>
      <c r="AJ2164" s="574"/>
      <c r="AK2164" s="575"/>
      <c r="AL2164" s="553"/>
      <c r="AM2164" s="575"/>
      <c r="AN2164" s="547"/>
      <c r="AO2164" s="547"/>
      <c r="AP2164" s="547"/>
      <c r="AQ2164" s="547"/>
      <c r="AR2164" s="576"/>
      <c r="AS2164" s="547"/>
      <c r="AT2164" s="547"/>
      <c r="AU2164" s="547"/>
      <c r="AV2164" s="547"/>
      <c r="AW2164" s="576"/>
      <c r="AX2164" s="547"/>
      <c r="AY2164" s="547"/>
      <c r="AZ2164" s="547"/>
      <c r="BA2164" s="547"/>
      <c r="BB2164" s="577"/>
      <c r="BC2164" s="547"/>
      <c r="BD2164" s="547"/>
      <c r="BE2164" s="547"/>
      <c r="BF2164" s="547"/>
      <c r="BG2164" s="547"/>
      <c r="BH2164" s="547"/>
      <c r="BI2164" s="547"/>
      <c r="BJ2164" s="547"/>
      <c r="BK2164" s="547"/>
      <c r="BL2164" s="547"/>
      <c r="BM2164" s="547"/>
      <c r="BN2164" s="547"/>
      <c r="BO2164" s="547"/>
      <c r="BP2164" s="547"/>
      <c r="BQ2164" s="547"/>
      <c r="BR2164" s="547"/>
      <c r="BS2164" s="547"/>
      <c r="BT2164" s="547"/>
      <c r="BU2164" s="547"/>
      <c r="BV2164" s="547"/>
      <c r="BW2164" s="547"/>
      <c r="BX2164" s="547"/>
      <c r="BY2164" s="576"/>
      <c r="BZ2164" s="547"/>
      <c r="CA2164" s="576"/>
      <c r="CB2164" s="547"/>
      <c r="CC2164" s="576"/>
      <c r="CD2164" s="576"/>
      <c r="CE2164" s="576"/>
      <c r="CF2164" s="547"/>
      <c r="CG2164" s="547"/>
      <c r="CH2164" s="547"/>
      <c r="CI2164" s="547"/>
      <c r="CJ2164" s="547"/>
      <c r="CK2164" s="547"/>
      <c r="CL2164" s="547"/>
      <c r="CM2164" s="547"/>
      <c r="CN2164" s="547"/>
      <c r="CO2164" s="547"/>
      <c r="CP2164" s="547"/>
      <c r="CQ2164" s="547"/>
      <c r="CR2164" s="547"/>
      <c r="CS2164" s="547"/>
      <c r="CT2164" s="547"/>
      <c r="CU2164" s="547"/>
      <c r="CV2164" s="547"/>
      <c r="CW2164" s="547"/>
      <c r="CX2164" s="576"/>
      <c r="CY2164" s="576"/>
      <c r="CZ2164" s="576"/>
      <c r="DA2164" s="547"/>
      <c r="DB2164" s="547"/>
      <c r="DC2164" s="547"/>
      <c r="DD2164" s="576"/>
      <c r="DE2164" s="576"/>
      <c r="DF2164" s="576"/>
      <c r="DG2164" s="576"/>
      <c r="DH2164" s="576"/>
    </row>
    <row r="2165" s="547" customFormat="1" spans="1:112">
      <c r="A2165" s="569"/>
      <c r="B2165" s="547"/>
      <c r="C2165" s="547"/>
      <c r="D2165" s="547"/>
      <c r="E2165" s="570"/>
      <c r="F2165" s="547"/>
      <c r="G2165" s="547"/>
      <c r="H2165" s="547"/>
      <c r="I2165" s="547"/>
      <c r="J2165" s="547"/>
      <c r="K2165" s="547"/>
      <c r="L2165" s="547"/>
      <c r="M2165" s="547"/>
      <c r="N2165" s="547"/>
      <c r="O2165" s="547"/>
      <c r="P2165" s="547"/>
      <c r="Q2165" s="547"/>
      <c r="R2165" s="547"/>
      <c r="S2165" s="547"/>
      <c r="T2165" s="547"/>
      <c r="U2165" s="547"/>
      <c r="V2165" s="547"/>
      <c r="W2165" s="570"/>
      <c r="X2165" s="547"/>
      <c r="Y2165" s="547"/>
      <c r="Z2165" s="571"/>
      <c r="AA2165" s="572"/>
      <c r="AB2165" s="547"/>
      <c r="AC2165" s="1251"/>
      <c r="AD2165" s="573"/>
      <c r="AE2165" s="550"/>
      <c r="AF2165" s="550"/>
      <c r="AG2165" s="547"/>
      <c r="AH2165" s="547"/>
      <c r="AI2165" s="574"/>
      <c r="AJ2165" s="574"/>
      <c r="AK2165" s="575"/>
      <c r="AL2165" s="553"/>
      <c r="AM2165" s="575"/>
      <c r="AN2165" s="547"/>
      <c r="AO2165" s="547"/>
      <c r="AP2165" s="547"/>
      <c r="AQ2165" s="547"/>
      <c r="AR2165" s="576"/>
      <c r="AS2165" s="547"/>
      <c r="AT2165" s="547"/>
      <c r="AU2165" s="547"/>
      <c r="AV2165" s="547"/>
      <c r="AW2165" s="576"/>
      <c r="AX2165" s="547"/>
      <c r="AY2165" s="547"/>
      <c r="AZ2165" s="547"/>
      <c r="BA2165" s="547"/>
      <c r="BB2165" s="577"/>
      <c r="BC2165" s="547"/>
      <c r="BD2165" s="547"/>
      <c r="BE2165" s="547"/>
      <c r="BF2165" s="547"/>
      <c r="BG2165" s="547"/>
      <c r="BH2165" s="547"/>
      <c r="BI2165" s="547"/>
      <c r="BJ2165" s="547"/>
      <c r="BK2165" s="547"/>
      <c r="BL2165" s="547"/>
      <c r="BM2165" s="547"/>
      <c r="BN2165" s="547"/>
      <c r="BO2165" s="547"/>
      <c r="BP2165" s="547"/>
      <c r="BQ2165" s="547"/>
      <c r="BR2165" s="547"/>
      <c r="BS2165" s="547"/>
      <c r="BT2165" s="547"/>
      <c r="BU2165" s="547"/>
      <c r="BV2165" s="547"/>
      <c r="BW2165" s="547"/>
      <c r="BX2165" s="547"/>
      <c r="BY2165" s="576"/>
      <c r="BZ2165" s="547"/>
      <c r="CA2165" s="576"/>
      <c r="CB2165" s="547"/>
      <c r="CC2165" s="576"/>
      <c r="CD2165" s="576"/>
      <c r="CE2165" s="576"/>
      <c r="CF2165" s="547"/>
      <c r="CG2165" s="547"/>
      <c r="CH2165" s="547"/>
      <c r="CI2165" s="547"/>
      <c r="CJ2165" s="547"/>
      <c r="CK2165" s="547"/>
      <c r="CL2165" s="547"/>
      <c r="CM2165" s="547"/>
      <c r="CN2165" s="547"/>
      <c r="CO2165" s="547"/>
      <c r="CP2165" s="547"/>
      <c r="CQ2165" s="547"/>
      <c r="CR2165" s="547"/>
      <c r="CS2165" s="547"/>
      <c r="CT2165" s="547"/>
      <c r="CU2165" s="547"/>
      <c r="CV2165" s="547"/>
      <c r="CW2165" s="547"/>
      <c r="CX2165" s="576"/>
      <c r="CY2165" s="576"/>
      <c r="CZ2165" s="576"/>
      <c r="DA2165" s="547"/>
      <c r="DB2165" s="547"/>
      <c r="DC2165" s="547"/>
      <c r="DD2165" s="576"/>
      <c r="DE2165" s="576"/>
      <c r="DF2165" s="576"/>
      <c r="DG2165" s="576"/>
      <c r="DH2165" s="576"/>
    </row>
    <row r="2166" s="547" customFormat="1" spans="1:112">
      <c r="A2166" s="569"/>
      <c r="B2166" s="547"/>
      <c r="C2166" s="547"/>
      <c r="D2166" s="547"/>
      <c r="E2166" s="570"/>
      <c r="F2166" s="547"/>
      <c r="G2166" s="547"/>
      <c r="H2166" s="547"/>
      <c r="I2166" s="547"/>
      <c r="J2166" s="547"/>
      <c r="K2166" s="547"/>
      <c r="L2166" s="547"/>
      <c r="M2166" s="547"/>
      <c r="N2166" s="547"/>
      <c r="O2166" s="547"/>
      <c r="P2166" s="547"/>
      <c r="Q2166" s="547"/>
      <c r="R2166" s="547"/>
      <c r="S2166" s="547"/>
      <c r="T2166" s="547"/>
      <c r="U2166" s="547"/>
      <c r="V2166" s="547"/>
      <c r="W2166" s="570"/>
      <c r="X2166" s="547"/>
      <c r="Y2166" s="547"/>
      <c r="Z2166" s="571"/>
      <c r="AA2166" s="572"/>
      <c r="AB2166" s="547"/>
      <c r="AC2166" s="1251"/>
      <c r="AD2166" s="573"/>
      <c r="AE2166" s="550"/>
      <c r="AF2166" s="550"/>
      <c r="AG2166" s="547"/>
      <c r="AH2166" s="547"/>
      <c r="AI2166" s="574"/>
      <c r="AJ2166" s="574"/>
      <c r="AK2166" s="575"/>
      <c r="AL2166" s="553"/>
      <c r="AM2166" s="575"/>
      <c r="AN2166" s="547"/>
      <c r="AO2166" s="547"/>
      <c r="AP2166" s="547"/>
      <c r="AQ2166" s="547"/>
      <c r="AR2166" s="576"/>
      <c r="AS2166" s="547"/>
      <c r="AT2166" s="547"/>
      <c r="AU2166" s="547"/>
      <c r="AV2166" s="547"/>
      <c r="AW2166" s="576"/>
      <c r="AX2166" s="547"/>
      <c r="AY2166" s="547"/>
      <c r="AZ2166" s="547"/>
      <c r="BA2166" s="547"/>
      <c r="BB2166" s="577"/>
      <c r="BC2166" s="547"/>
      <c r="BD2166" s="547"/>
      <c r="BE2166" s="547"/>
      <c r="BF2166" s="547"/>
      <c r="BG2166" s="547"/>
      <c r="BH2166" s="547"/>
      <c r="BI2166" s="547"/>
      <c r="BJ2166" s="547"/>
      <c r="BK2166" s="547"/>
      <c r="BL2166" s="547"/>
      <c r="BM2166" s="547"/>
      <c r="BN2166" s="547"/>
      <c r="BO2166" s="547"/>
      <c r="BP2166" s="547"/>
      <c r="BQ2166" s="547"/>
      <c r="BR2166" s="547"/>
      <c r="BS2166" s="547"/>
      <c r="BT2166" s="547"/>
      <c r="BU2166" s="547"/>
      <c r="BV2166" s="547"/>
      <c r="BW2166" s="547"/>
      <c r="BX2166" s="547"/>
      <c r="BY2166" s="576"/>
      <c r="BZ2166" s="547"/>
      <c r="CA2166" s="576"/>
      <c r="CB2166" s="547"/>
      <c r="CC2166" s="576"/>
      <c r="CD2166" s="576"/>
      <c r="CE2166" s="576"/>
      <c r="CF2166" s="547"/>
      <c r="CG2166" s="547"/>
      <c r="CH2166" s="547"/>
      <c r="CI2166" s="547"/>
      <c r="CJ2166" s="547"/>
      <c r="CK2166" s="547"/>
      <c r="CL2166" s="547"/>
      <c r="CM2166" s="547"/>
      <c r="CN2166" s="547"/>
      <c r="CO2166" s="547"/>
      <c r="CP2166" s="547"/>
      <c r="CQ2166" s="547"/>
      <c r="CR2166" s="547"/>
      <c r="CS2166" s="547"/>
      <c r="CT2166" s="547"/>
      <c r="CU2166" s="547"/>
      <c r="CV2166" s="547"/>
      <c r="CW2166" s="547"/>
      <c r="CX2166" s="576"/>
      <c r="CY2166" s="576"/>
      <c r="CZ2166" s="576"/>
      <c r="DA2166" s="547"/>
      <c r="DB2166" s="547"/>
      <c r="DC2166" s="547"/>
      <c r="DD2166" s="576"/>
      <c r="DE2166" s="576"/>
      <c r="DF2166" s="576"/>
      <c r="DG2166" s="576"/>
      <c r="DH2166" s="576"/>
    </row>
    <row r="2167" s="547" customFormat="1" spans="1:112">
      <c r="A2167" s="569"/>
      <c r="B2167" s="547"/>
      <c r="C2167" s="547"/>
      <c r="D2167" s="547"/>
      <c r="E2167" s="570"/>
      <c r="F2167" s="547"/>
      <c r="G2167" s="547"/>
      <c r="H2167" s="547"/>
      <c r="I2167" s="547"/>
      <c r="J2167" s="576"/>
      <c r="K2167" s="547"/>
      <c r="L2167" s="547"/>
      <c r="M2167" s="547"/>
      <c r="N2167" s="547"/>
      <c r="O2167" s="577"/>
      <c r="P2167" s="547"/>
      <c r="Q2167" s="547"/>
      <c r="R2167" s="547"/>
      <c r="S2167" s="547"/>
      <c r="T2167" s="547"/>
      <c r="U2167" s="547"/>
      <c r="V2167" s="547"/>
      <c r="W2167" s="570"/>
      <c r="X2167" s="547"/>
      <c r="Y2167" s="547"/>
      <c r="Z2167" s="571"/>
      <c r="AA2167" s="572"/>
      <c r="AB2167" s="547"/>
      <c r="AC2167" s="1251"/>
      <c r="AD2167" s="573"/>
      <c r="AE2167" s="550"/>
      <c r="AF2167" s="550"/>
      <c r="AG2167" s="547"/>
      <c r="AH2167" s="547"/>
      <c r="AI2167" s="574"/>
      <c r="AJ2167" s="574"/>
      <c r="AK2167" s="575"/>
      <c r="AL2167" s="553"/>
      <c r="AM2167" s="575"/>
      <c r="AN2167" s="547"/>
      <c r="AO2167" s="547"/>
      <c r="AP2167" s="547"/>
      <c r="AQ2167" s="547"/>
      <c r="AR2167" s="576"/>
      <c r="AS2167" s="547"/>
      <c r="AT2167" s="547"/>
      <c r="AU2167" s="547"/>
      <c r="AV2167" s="547"/>
      <c r="AW2167" s="576"/>
      <c r="AX2167" s="547"/>
      <c r="AY2167" s="547"/>
      <c r="AZ2167" s="547"/>
      <c r="BA2167" s="547"/>
      <c r="BB2167" s="577"/>
      <c r="BC2167" s="547"/>
      <c r="BD2167" s="547"/>
      <c r="BE2167" s="547"/>
      <c r="BF2167" s="547"/>
      <c r="BG2167" s="547"/>
      <c r="BH2167" s="547"/>
      <c r="BI2167" s="547"/>
      <c r="BJ2167" s="547"/>
      <c r="BK2167" s="547"/>
      <c r="BL2167" s="547"/>
      <c r="BM2167" s="547"/>
      <c r="BN2167" s="547"/>
      <c r="BO2167" s="547"/>
      <c r="BP2167" s="547"/>
      <c r="BQ2167" s="547"/>
      <c r="BR2167" s="547"/>
      <c r="BS2167" s="547"/>
      <c r="BT2167" s="547"/>
      <c r="BU2167" s="547"/>
      <c r="BV2167" s="547"/>
      <c r="BW2167" s="547"/>
      <c r="BX2167" s="547"/>
      <c r="BY2167" s="576"/>
      <c r="BZ2167" s="547"/>
      <c r="CA2167" s="576"/>
      <c r="CB2167" s="547"/>
      <c r="CC2167" s="576"/>
      <c r="CD2167" s="576"/>
      <c r="CE2167" s="576"/>
      <c r="CF2167" s="547"/>
      <c r="CG2167" s="547"/>
      <c r="CH2167" s="547"/>
      <c r="CI2167" s="547"/>
      <c r="CJ2167" s="547"/>
      <c r="CK2167" s="547"/>
      <c r="CL2167" s="547"/>
      <c r="CM2167" s="547"/>
      <c r="CN2167" s="547"/>
      <c r="CO2167" s="547"/>
      <c r="CP2167" s="547"/>
      <c r="CQ2167" s="547"/>
      <c r="CR2167" s="547"/>
      <c r="CS2167" s="547"/>
      <c r="CT2167" s="547"/>
      <c r="CU2167" s="547"/>
      <c r="CV2167" s="547"/>
      <c r="CW2167" s="547"/>
      <c r="CX2167" s="576"/>
      <c r="CY2167" s="576"/>
      <c r="CZ2167" s="576"/>
      <c r="DA2167" s="547"/>
      <c r="DB2167" s="547"/>
      <c r="DC2167" s="547"/>
      <c r="DD2167" s="576"/>
      <c r="DE2167" s="576"/>
      <c r="DF2167" s="576"/>
      <c r="DG2167" s="576"/>
      <c r="DH2167" s="576"/>
    </row>
    <row r="2168" s="547" customFormat="1" ht="6" customHeight="1" spans="1:112">
      <c r="A2168" s="569"/>
      <c r="B2168" s="547"/>
      <c r="C2168" s="547"/>
      <c r="D2168" s="547"/>
      <c r="E2168" s="570"/>
      <c r="F2168" s="547"/>
      <c r="G2168" s="547"/>
      <c r="H2168" s="547"/>
      <c r="I2168" s="547"/>
      <c r="J2168" s="547"/>
      <c r="K2168" s="547"/>
      <c r="L2168" s="547"/>
      <c r="M2168" s="547"/>
      <c r="N2168" s="547"/>
      <c r="O2168" s="547"/>
      <c r="P2168" s="547"/>
      <c r="Q2168" s="547"/>
      <c r="R2168" s="547"/>
      <c r="S2168" s="547"/>
      <c r="T2168" s="547"/>
      <c r="U2168" s="547"/>
      <c r="V2168" s="547"/>
      <c r="W2168" s="570"/>
      <c r="X2168" s="547"/>
      <c r="Y2168" s="547"/>
      <c r="Z2168" s="571"/>
      <c r="AA2168" s="572"/>
      <c r="AB2168" s="547"/>
      <c r="AC2168" s="1251"/>
      <c r="AD2168" s="573"/>
      <c r="AE2168" s="550"/>
      <c r="AF2168" s="550"/>
      <c r="AG2168" s="547"/>
      <c r="AH2168" s="547"/>
      <c r="AI2168" s="574"/>
      <c r="AJ2168" s="574"/>
      <c r="AK2168" s="575"/>
      <c r="AL2168" s="553"/>
      <c r="AM2168" s="575"/>
      <c r="AN2168" s="547"/>
      <c r="AO2168" s="547"/>
      <c r="AP2168" s="547"/>
      <c r="AQ2168" s="547"/>
      <c r="AR2168" s="576"/>
      <c r="AS2168" s="547"/>
      <c r="AT2168" s="547"/>
      <c r="AU2168" s="547"/>
      <c r="AV2168" s="547"/>
      <c r="AW2168" s="576"/>
      <c r="AX2168" s="547"/>
      <c r="AY2168" s="547"/>
      <c r="AZ2168" s="547"/>
      <c r="BA2168" s="547"/>
      <c r="BB2168" s="577"/>
      <c r="BC2168" s="547"/>
      <c r="BD2168" s="547"/>
      <c r="BE2168" s="547"/>
      <c r="BF2168" s="547"/>
      <c r="BG2168" s="547"/>
      <c r="BH2168" s="547"/>
      <c r="BI2168" s="547"/>
      <c r="BJ2168" s="547"/>
      <c r="BK2168" s="547"/>
      <c r="BL2168" s="547"/>
      <c r="BM2168" s="547"/>
      <c r="BN2168" s="547"/>
      <c r="BO2168" s="547"/>
      <c r="BP2168" s="547"/>
      <c r="BQ2168" s="547"/>
      <c r="BR2168" s="547"/>
      <c r="BS2168" s="547"/>
      <c r="BT2168" s="547"/>
      <c r="BU2168" s="547"/>
      <c r="BV2168" s="547"/>
      <c r="BW2168" s="547"/>
      <c r="BX2168" s="547"/>
      <c r="BY2168" s="576"/>
      <c r="BZ2168" s="547"/>
      <c r="CA2168" s="576"/>
      <c r="CB2168" s="547"/>
      <c r="CC2168" s="576"/>
      <c r="CD2168" s="576"/>
      <c r="CE2168" s="576"/>
      <c r="CF2168" s="547"/>
      <c r="CG2168" s="547"/>
      <c r="CH2168" s="547"/>
      <c r="CI2168" s="547"/>
      <c r="CJ2168" s="547"/>
      <c r="CK2168" s="547"/>
      <c r="CL2168" s="547"/>
      <c r="CM2168" s="547"/>
      <c r="CN2168" s="547"/>
      <c r="CO2168" s="547"/>
      <c r="CP2168" s="547"/>
      <c r="CQ2168" s="547"/>
      <c r="CR2168" s="547"/>
      <c r="CS2168" s="547"/>
      <c r="CT2168" s="547"/>
      <c r="CU2168" s="547"/>
      <c r="CV2168" s="547"/>
      <c r="CW2168" s="547"/>
      <c r="CX2168" s="576"/>
      <c r="CY2168" s="576"/>
      <c r="CZ2168" s="576"/>
      <c r="DA2168" s="547"/>
      <c r="DB2168" s="547"/>
      <c r="DC2168" s="547"/>
      <c r="DD2168" s="576"/>
      <c r="DE2168" s="576"/>
      <c r="DF2168" s="576"/>
      <c r="DG2168" s="576"/>
      <c r="DH2168" s="576"/>
    </row>
    <row r="2169" s="547" customFormat="1" spans="1:112">
      <c r="A2169" s="569"/>
      <c r="B2169" s="547"/>
      <c r="C2169" s="547"/>
      <c r="D2169" s="547"/>
      <c r="E2169" s="570"/>
      <c r="F2169" s="547"/>
      <c r="G2169" s="547"/>
      <c r="H2169" s="547"/>
      <c r="I2169" s="547"/>
      <c r="J2169" s="547"/>
      <c r="K2169" s="547"/>
      <c r="L2169" s="547"/>
      <c r="M2169" s="547"/>
      <c r="N2169" s="547"/>
      <c r="O2169" s="547"/>
      <c r="P2169" s="547"/>
      <c r="Q2169" s="547"/>
      <c r="R2169" s="547"/>
      <c r="S2169" s="547"/>
      <c r="T2169" s="547"/>
      <c r="U2169" s="547"/>
      <c r="V2169" s="547"/>
      <c r="W2169" s="570"/>
      <c r="X2169" s="547"/>
      <c r="Y2169" s="547"/>
      <c r="Z2169" s="571"/>
      <c r="AA2169" s="572"/>
      <c r="AB2169" s="547"/>
      <c r="AC2169" s="1251"/>
      <c r="AD2169" s="573"/>
      <c r="AE2169" s="550"/>
      <c r="AF2169" s="550"/>
      <c r="AG2169" s="547"/>
      <c r="AH2169" s="547"/>
      <c r="AI2169" s="574"/>
      <c r="AJ2169" s="574"/>
      <c r="AK2169" s="575"/>
      <c r="AL2169" s="553"/>
      <c r="AM2169" s="575"/>
      <c r="AN2169" s="547"/>
      <c r="AO2169" s="547"/>
      <c r="AP2169" s="547"/>
      <c r="AQ2169" s="547"/>
      <c r="AR2169" s="576"/>
      <c r="AS2169" s="547"/>
      <c r="AT2169" s="547"/>
      <c r="AU2169" s="547"/>
      <c r="AV2169" s="547"/>
      <c r="AW2169" s="576"/>
      <c r="AX2169" s="547"/>
      <c r="AY2169" s="547"/>
      <c r="AZ2169" s="547"/>
      <c r="BA2169" s="547"/>
      <c r="BB2169" s="577"/>
      <c r="BC2169" s="547"/>
      <c r="BD2169" s="547"/>
      <c r="BE2169" s="547"/>
      <c r="BF2169" s="547"/>
      <c r="BG2169" s="547"/>
      <c r="BH2169" s="547"/>
      <c r="BI2169" s="547"/>
      <c r="BJ2169" s="547"/>
      <c r="BK2169" s="547"/>
      <c r="BL2169" s="547"/>
      <c r="BM2169" s="547"/>
      <c r="BN2169" s="547"/>
      <c r="BO2169" s="547"/>
      <c r="BP2169" s="547"/>
      <c r="BQ2169" s="547"/>
      <c r="BR2169" s="547"/>
      <c r="BS2169" s="547"/>
      <c r="BT2169" s="547"/>
      <c r="BU2169" s="547"/>
      <c r="BV2169" s="547"/>
      <c r="BW2169" s="547"/>
      <c r="BX2169" s="547"/>
      <c r="BY2169" s="576"/>
      <c r="BZ2169" s="547"/>
      <c r="CA2169" s="576"/>
      <c r="CB2169" s="547"/>
      <c r="CC2169" s="576"/>
      <c r="CD2169" s="576"/>
      <c r="CE2169" s="576"/>
      <c r="CF2169" s="547"/>
      <c r="CG2169" s="547"/>
      <c r="CH2169" s="547"/>
      <c r="CI2169" s="547"/>
      <c r="CJ2169" s="547"/>
      <c r="CK2169" s="547"/>
      <c r="CL2169" s="547"/>
      <c r="CM2169" s="547"/>
      <c r="CN2169" s="547"/>
      <c r="CO2169" s="547"/>
      <c r="CP2169" s="547"/>
      <c r="CQ2169" s="547"/>
      <c r="CR2169" s="547"/>
      <c r="CS2169" s="547"/>
      <c r="CT2169" s="547"/>
      <c r="CU2169" s="547"/>
      <c r="CV2169" s="547"/>
      <c r="CW2169" s="547"/>
      <c r="CX2169" s="576"/>
      <c r="CY2169" s="576"/>
      <c r="CZ2169" s="576"/>
      <c r="DA2169" s="547"/>
      <c r="DB2169" s="547"/>
      <c r="DC2169" s="547"/>
      <c r="DD2169" s="576"/>
      <c r="DE2169" s="576"/>
      <c r="DF2169" s="576"/>
      <c r="DG2169" s="576"/>
      <c r="DH2169" s="576"/>
    </row>
    <row r="2170" s="547" customFormat="1" spans="1:112">
      <c r="A2170" s="569"/>
      <c r="B2170" s="547"/>
      <c r="C2170" s="547"/>
      <c r="D2170" s="547"/>
      <c r="E2170" s="570"/>
      <c r="F2170" s="547"/>
      <c r="G2170" s="547"/>
      <c r="H2170" s="547"/>
      <c r="I2170" s="547"/>
      <c r="J2170" s="547"/>
      <c r="K2170" s="547"/>
      <c r="L2170" s="547"/>
      <c r="M2170" s="547"/>
      <c r="N2170" s="547"/>
      <c r="O2170" s="547"/>
      <c r="P2170" s="547"/>
      <c r="Q2170" s="547"/>
      <c r="R2170" s="547"/>
      <c r="S2170" s="547"/>
      <c r="T2170" s="547"/>
      <c r="U2170" s="547"/>
      <c r="V2170" s="547"/>
      <c r="W2170" s="570"/>
      <c r="X2170" s="547"/>
      <c r="Y2170" s="547"/>
      <c r="Z2170" s="571"/>
      <c r="AA2170" s="572"/>
      <c r="AB2170" s="547"/>
      <c r="AC2170" s="1251"/>
      <c r="AD2170" s="573"/>
      <c r="AE2170" s="550"/>
      <c r="AF2170" s="550"/>
      <c r="AG2170" s="547"/>
      <c r="AH2170" s="547"/>
      <c r="AI2170" s="574"/>
      <c r="AJ2170" s="574"/>
      <c r="AK2170" s="575"/>
      <c r="AL2170" s="553"/>
      <c r="AM2170" s="575"/>
      <c r="AN2170" s="547"/>
      <c r="AO2170" s="547"/>
      <c r="AP2170" s="547"/>
      <c r="AQ2170" s="547"/>
      <c r="AR2170" s="576"/>
      <c r="AS2170" s="547"/>
      <c r="AT2170" s="547"/>
      <c r="AU2170" s="547"/>
      <c r="AV2170" s="547"/>
      <c r="AW2170" s="576"/>
      <c r="AX2170" s="547"/>
      <c r="AY2170" s="547"/>
      <c r="AZ2170" s="547"/>
      <c r="BA2170" s="547"/>
      <c r="BB2170" s="577"/>
      <c r="BC2170" s="547"/>
      <c r="BD2170" s="547"/>
      <c r="BE2170" s="547"/>
      <c r="BF2170" s="547"/>
      <c r="BG2170" s="547"/>
      <c r="BH2170" s="547"/>
      <c r="BI2170" s="547"/>
      <c r="BJ2170" s="547"/>
      <c r="BK2170" s="547"/>
      <c r="BL2170" s="547"/>
      <c r="BM2170" s="547"/>
      <c r="BN2170" s="547"/>
      <c r="BO2170" s="547"/>
      <c r="BP2170" s="547"/>
      <c r="BQ2170" s="547"/>
      <c r="BR2170" s="547"/>
      <c r="BS2170" s="547"/>
      <c r="BT2170" s="547"/>
      <c r="BU2170" s="547"/>
      <c r="BV2170" s="547"/>
      <c r="BW2170" s="547"/>
      <c r="BX2170" s="547"/>
      <c r="BY2170" s="576"/>
      <c r="BZ2170" s="547"/>
      <c r="CA2170" s="576"/>
      <c r="CB2170" s="547"/>
      <c r="CC2170" s="576"/>
      <c r="CD2170" s="576"/>
      <c r="CE2170" s="576"/>
      <c r="CF2170" s="547"/>
      <c r="CG2170" s="547"/>
      <c r="CH2170" s="547"/>
      <c r="CI2170" s="547"/>
      <c r="CJ2170" s="547"/>
      <c r="CK2170" s="547"/>
      <c r="CL2170" s="547"/>
      <c r="CM2170" s="547"/>
      <c r="CN2170" s="547"/>
      <c r="CO2170" s="547"/>
      <c r="CP2170" s="547"/>
      <c r="CQ2170" s="547"/>
      <c r="CR2170" s="547"/>
      <c r="CS2170" s="547"/>
      <c r="CT2170" s="547"/>
      <c r="CU2170" s="547"/>
      <c r="CV2170" s="547"/>
      <c r="CW2170" s="547"/>
      <c r="CX2170" s="576"/>
      <c r="CY2170" s="576"/>
      <c r="CZ2170" s="576"/>
      <c r="DA2170" s="547"/>
      <c r="DB2170" s="547"/>
      <c r="DC2170" s="547"/>
      <c r="DD2170" s="576"/>
      <c r="DE2170" s="576"/>
      <c r="DF2170" s="576"/>
      <c r="DG2170" s="576"/>
      <c r="DH2170" s="576"/>
    </row>
    <row r="2171" s="547" customFormat="1" spans="1:112">
      <c r="A2171" s="569"/>
      <c r="B2171" s="547"/>
      <c r="C2171" s="547"/>
      <c r="D2171" s="547"/>
      <c r="E2171" s="570"/>
      <c r="F2171" s="547"/>
      <c r="G2171" s="547"/>
      <c r="H2171" s="547"/>
      <c r="I2171" s="547"/>
      <c r="J2171" s="547"/>
      <c r="K2171" s="547"/>
      <c r="L2171" s="547"/>
      <c r="M2171" s="547"/>
      <c r="N2171" s="547"/>
      <c r="O2171" s="547"/>
      <c r="P2171" s="547"/>
      <c r="Q2171" s="547"/>
      <c r="R2171" s="547"/>
      <c r="S2171" s="547"/>
      <c r="T2171" s="547"/>
      <c r="U2171" s="547"/>
      <c r="V2171" s="547"/>
      <c r="W2171" s="570"/>
      <c r="X2171" s="547"/>
      <c r="Y2171" s="547"/>
      <c r="Z2171" s="571"/>
      <c r="AA2171" s="572"/>
      <c r="AB2171" s="547"/>
      <c r="AC2171" s="1251"/>
      <c r="AD2171" s="573"/>
      <c r="AE2171" s="550"/>
      <c r="AF2171" s="550"/>
      <c r="AG2171" s="547"/>
      <c r="AH2171" s="547"/>
      <c r="AI2171" s="574"/>
      <c r="AJ2171" s="574"/>
      <c r="AK2171" s="575"/>
      <c r="AL2171" s="553"/>
      <c r="AM2171" s="575"/>
      <c r="AN2171" s="547"/>
      <c r="AO2171" s="547"/>
      <c r="AP2171" s="547"/>
      <c r="AQ2171" s="547"/>
      <c r="AR2171" s="576"/>
      <c r="AS2171" s="547"/>
      <c r="AT2171" s="547"/>
      <c r="AU2171" s="547"/>
      <c r="AV2171" s="547"/>
      <c r="AW2171" s="576"/>
      <c r="AX2171" s="547"/>
      <c r="AY2171" s="547"/>
      <c r="AZ2171" s="547"/>
      <c r="BA2171" s="547"/>
      <c r="BB2171" s="577"/>
      <c r="BC2171" s="547"/>
      <c r="BD2171" s="547"/>
      <c r="BE2171" s="547"/>
      <c r="BF2171" s="547"/>
      <c r="BG2171" s="547"/>
      <c r="BH2171" s="547"/>
      <c r="BI2171" s="547"/>
      <c r="BJ2171" s="547"/>
      <c r="BK2171" s="547"/>
      <c r="BL2171" s="547"/>
      <c r="BM2171" s="547"/>
      <c r="BN2171" s="547"/>
      <c r="BO2171" s="547"/>
      <c r="BP2171" s="547"/>
      <c r="BQ2171" s="547"/>
      <c r="BR2171" s="547"/>
      <c r="BS2171" s="547"/>
      <c r="BT2171" s="547"/>
      <c r="BU2171" s="547"/>
      <c r="BV2171" s="547"/>
      <c r="BW2171" s="547"/>
      <c r="BX2171" s="547"/>
      <c r="BY2171" s="576"/>
      <c r="BZ2171" s="547"/>
      <c r="CA2171" s="576"/>
      <c r="CB2171" s="547"/>
      <c r="CC2171" s="576"/>
      <c r="CD2171" s="576"/>
      <c r="CE2171" s="576"/>
      <c r="CF2171" s="547"/>
      <c r="CG2171" s="547"/>
      <c r="CH2171" s="547"/>
      <c r="CI2171" s="547"/>
      <c r="CJ2171" s="547"/>
      <c r="CK2171" s="547"/>
      <c r="CL2171" s="547"/>
      <c r="CM2171" s="547"/>
      <c r="CN2171" s="547"/>
      <c r="CO2171" s="547"/>
      <c r="CP2171" s="547"/>
      <c r="CQ2171" s="547"/>
      <c r="CR2171" s="547"/>
      <c r="CS2171" s="547"/>
      <c r="CT2171" s="547"/>
      <c r="CU2171" s="547"/>
      <c r="CV2171" s="547"/>
      <c r="CW2171" s="547"/>
      <c r="CX2171" s="576"/>
      <c r="CY2171" s="576"/>
      <c r="CZ2171" s="576"/>
      <c r="DA2171" s="547"/>
      <c r="DB2171" s="547"/>
      <c r="DC2171" s="547"/>
      <c r="DD2171" s="576"/>
      <c r="DE2171" s="576"/>
      <c r="DF2171" s="576"/>
      <c r="DG2171" s="576"/>
      <c r="DH2171" s="576"/>
    </row>
    <row r="2172" s="547" customFormat="1" spans="1:112">
      <c r="A2172" s="569"/>
      <c r="B2172" s="547"/>
      <c r="C2172" s="547"/>
      <c r="D2172" s="547"/>
      <c r="E2172" s="570"/>
      <c r="F2172" s="547"/>
      <c r="G2172" s="547"/>
      <c r="H2172" s="547"/>
      <c r="I2172" s="547"/>
      <c r="J2172" s="547"/>
      <c r="K2172" s="547"/>
      <c r="L2172" s="547"/>
      <c r="M2172" s="547"/>
      <c r="N2172" s="547"/>
      <c r="O2172" s="547"/>
      <c r="P2172" s="547"/>
      <c r="Q2172" s="547"/>
      <c r="R2172" s="547"/>
      <c r="S2172" s="547"/>
      <c r="T2172" s="547"/>
      <c r="U2172" s="547"/>
      <c r="V2172" s="547"/>
      <c r="W2172" s="570"/>
      <c r="X2172" s="547"/>
      <c r="Y2172" s="547"/>
      <c r="Z2172" s="571"/>
      <c r="AA2172" s="572"/>
      <c r="AB2172" s="547"/>
      <c r="AC2172" s="1251"/>
      <c r="AD2172" s="573"/>
      <c r="AE2172" s="550"/>
      <c r="AF2172" s="550"/>
      <c r="AG2172" s="547"/>
      <c r="AH2172" s="547"/>
      <c r="AI2172" s="574"/>
      <c r="AJ2172" s="574"/>
      <c r="AK2172" s="575"/>
      <c r="AL2172" s="553"/>
      <c r="AM2172" s="575"/>
      <c r="AN2172" s="547"/>
      <c r="AO2172" s="547"/>
      <c r="AP2172" s="547"/>
      <c r="AQ2172" s="547"/>
      <c r="AR2172" s="576"/>
      <c r="AS2172" s="547"/>
      <c r="AT2172" s="547"/>
      <c r="AU2172" s="547"/>
      <c r="AV2172" s="547"/>
      <c r="AW2172" s="576"/>
      <c r="AX2172" s="547"/>
      <c r="AY2172" s="547"/>
      <c r="AZ2172" s="547"/>
      <c r="BA2172" s="547"/>
      <c r="BB2172" s="577"/>
      <c r="BC2172" s="547"/>
      <c r="BD2172" s="547"/>
      <c r="BE2172" s="547"/>
      <c r="BF2172" s="547"/>
      <c r="BG2172" s="547"/>
      <c r="BH2172" s="547"/>
      <c r="BI2172" s="547"/>
      <c r="BJ2172" s="547"/>
      <c r="BK2172" s="547"/>
      <c r="BL2172" s="547"/>
      <c r="BM2172" s="547"/>
      <c r="BN2172" s="547"/>
      <c r="BO2172" s="547"/>
      <c r="BP2172" s="547"/>
      <c r="BQ2172" s="547"/>
      <c r="BR2172" s="547"/>
      <c r="BS2172" s="547"/>
      <c r="BT2172" s="547"/>
      <c r="BU2172" s="547"/>
      <c r="BV2172" s="547"/>
      <c r="BW2172" s="547"/>
      <c r="BX2172" s="547"/>
      <c r="BY2172" s="576"/>
      <c r="BZ2172" s="547"/>
      <c r="CA2172" s="576"/>
      <c r="CB2172" s="547"/>
      <c r="CC2172" s="576"/>
      <c r="CD2172" s="576"/>
      <c r="CE2172" s="576"/>
      <c r="CF2172" s="547"/>
      <c r="CG2172" s="547"/>
      <c r="CH2172" s="547"/>
      <c r="CI2172" s="547"/>
      <c r="CJ2172" s="547"/>
      <c r="CK2172" s="547"/>
      <c r="CL2172" s="547"/>
      <c r="CM2172" s="547"/>
      <c r="CN2172" s="547"/>
      <c r="CO2172" s="547"/>
      <c r="CP2172" s="547"/>
      <c r="CQ2172" s="547"/>
      <c r="CR2172" s="547"/>
      <c r="CS2172" s="547"/>
      <c r="CT2172" s="547"/>
      <c r="CU2172" s="547"/>
      <c r="CV2172" s="547"/>
      <c r="CW2172" s="547"/>
      <c r="CX2172" s="576"/>
      <c r="CY2172" s="576"/>
      <c r="CZ2172" s="576"/>
      <c r="DA2172" s="547"/>
      <c r="DB2172" s="547"/>
      <c r="DC2172" s="547"/>
      <c r="DD2172" s="576"/>
      <c r="DE2172" s="576"/>
      <c r="DF2172" s="576"/>
      <c r="DG2172" s="576"/>
      <c r="DH2172" s="576"/>
    </row>
    <row r="2173" s="547" customFormat="1" spans="1:112">
      <c r="A2173" s="569"/>
      <c r="B2173" s="547"/>
      <c r="C2173" s="547"/>
      <c r="D2173" s="547"/>
      <c r="E2173" s="570"/>
      <c r="F2173" s="547"/>
      <c r="G2173" s="547"/>
      <c r="H2173" s="547"/>
      <c r="I2173" s="547"/>
      <c r="J2173" s="547"/>
      <c r="K2173" s="547"/>
      <c r="L2173" s="547"/>
      <c r="M2173" s="547"/>
      <c r="N2173" s="547"/>
      <c r="O2173" s="547"/>
      <c r="P2173" s="547"/>
      <c r="Q2173" s="547"/>
      <c r="R2173" s="547"/>
      <c r="S2173" s="547"/>
      <c r="T2173" s="547"/>
      <c r="U2173" s="547"/>
      <c r="V2173" s="547"/>
      <c r="W2173" s="570"/>
      <c r="X2173" s="547"/>
      <c r="Y2173" s="547"/>
      <c r="Z2173" s="571"/>
      <c r="AA2173" s="572"/>
      <c r="AB2173" s="547"/>
      <c r="AC2173" s="1251"/>
      <c r="AD2173" s="573"/>
      <c r="AE2173" s="550"/>
      <c r="AF2173" s="550"/>
      <c r="AG2173" s="547"/>
      <c r="AH2173" s="547"/>
      <c r="AI2173" s="574"/>
      <c r="AJ2173" s="574"/>
      <c r="AK2173" s="575"/>
      <c r="AL2173" s="553"/>
      <c r="AM2173" s="575"/>
      <c r="AN2173" s="547"/>
      <c r="AO2173" s="547"/>
      <c r="AP2173" s="547"/>
      <c r="AQ2173" s="547"/>
      <c r="AR2173" s="576"/>
      <c r="AS2173" s="547"/>
      <c r="AT2173" s="547"/>
      <c r="AU2173" s="547"/>
      <c r="AV2173" s="547"/>
      <c r="AW2173" s="576"/>
      <c r="AX2173" s="547"/>
      <c r="AY2173" s="547"/>
      <c r="AZ2173" s="547"/>
      <c r="BA2173" s="547"/>
      <c r="BB2173" s="577"/>
      <c r="BC2173" s="547"/>
      <c r="BD2173" s="547"/>
      <c r="BE2173" s="547"/>
      <c r="BF2173" s="547"/>
      <c r="BG2173" s="547"/>
      <c r="BH2173" s="547"/>
      <c r="BI2173" s="547"/>
      <c r="BJ2173" s="547"/>
      <c r="BK2173" s="547"/>
      <c r="BL2173" s="547"/>
      <c r="BM2173" s="547"/>
      <c r="BN2173" s="547"/>
      <c r="BO2173" s="547"/>
      <c r="BP2173" s="547"/>
      <c r="BQ2173" s="547"/>
      <c r="BR2173" s="547"/>
      <c r="BS2173" s="547"/>
      <c r="BT2173" s="547"/>
      <c r="BU2173" s="547"/>
      <c r="BV2173" s="547"/>
      <c r="BW2173" s="547"/>
      <c r="BX2173" s="547"/>
      <c r="BY2173" s="576"/>
      <c r="BZ2173" s="547"/>
      <c r="CA2173" s="576"/>
      <c r="CB2173" s="547"/>
      <c r="CC2173" s="576"/>
      <c r="CD2173" s="576"/>
      <c r="CE2173" s="576"/>
      <c r="CF2173" s="547"/>
      <c r="CG2173" s="547"/>
      <c r="CH2173" s="547"/>
      <c r="CI2173" s="547"/>
      <c r="CJ2173" s="547"/>
      <c r="CK2173" s="547"/>
      <c r="CL2173" s="547"/>
      <c r="CM2173" s="547"/>
      <c r="CN2173" s="547"/>
      <c r="CO2173" s="547"/>
      <c r="CP2173" s="547"/>
      <c r="CQ2173" s="547"/>
      <c r="CR2173" s="547"/>
      <c r="CS2173" s="547"/>
      <c r="CT2173" s="547"/>
      <c r="CU2173" s="547"/>
      <c r="CV2173" s="547"/>
      <c r="CW2173" s="547"/>
      <c r="CX2173" s="576"/>
      <c r="CY2173" s="576"/>
      <c r="CZ2173" s="576"/>
      <c r="DA2173" s="547"/>
      <c r="DB2173" s="547"/>
      <c r="DC2173" s="547"/>
      <c r="DD2173" s="576"/>
      <c r="DE2173" s="576"/>
      <c r="DF2173" s="576"/>
      <c r="DG2173" s="576"/>
      <c r="DH2173" s="576"/>
    </row>
    <row r="2174" s="547" customFormat="1" spans="1:112">
      <c r="A2174" s="569"/>
      <c r="B2174" s="547"/>
      <c r="C2174" s="547"/>
      <c r="D2174" s="547"/>
      <c r="E2174" s="570"/>
      <c r="F2174" s="547"/>
      <c r="G2174" s="547"/>
      <c r="H2174" s="547"/>
      <c r="I2174" s="547"/>
      <c r="J2174" s="547"/>
      <c r="K2174" s="547"/>
      <c r="L2174" s="547"/>
      <c r="M2174" s="547"/>
      <c r="N2174" s="547"/>
      <c r="O2174" s="547"/>
      <c r="P2174" s="547"/>
      <c r="Q2174" s="547"/>
      <c r="R2174" s="547"/>
      <c r="S2174" s="547"/>
      <c r="T2174" s="547"/>
      <c r="U2174" s="547"/>
      <c r="V2174" s="547"/>
      <c r="W2174" s="570"/>
      <c r="X2174" s="547"/>
      <c r="Y2174" s="547"/>
      <c r="Z2174" s="571"/>
      <c r="AA2174" s="572"/>
      <c r="AB2174" s="547"/>
      <c r="AC2174" s="1251"/>
      <c r="AD2174" s="573"/>
      <c r="AE2174" s="550"/>
      <c r="AF2174" s="550"/>
      <c r="AG2174" s="547"/>
      <c r="AH2174" s="547"/>
      <c r="AI2174" s="574"/>
      <c r="AJ2174" s="574"/>
      <c r="AK2174" s="575"/>
      <c r="AL2174" s="553"/>
      <c r="AM2174" s="575"/>
      <c r="AN2174" s="547"/>
      <c r="AO2174" s="547"/>
      <c r="AP2174" s="547"/>
      <c r="AQ2174" s="547"/>
      <c r="AR2174" s="576"/>
      <c r="AS2174" s="547"/>
      <c r="AT2174" s="547"/>
      <c r="AU2174" s="547"/>
      <c r="AV2174" s="547"/>
      <c r="AW2174" s="576"/>
      <c r="AX2174" s="547"/>
      <c r="AY2174" s="547"/>
      <c r="AZ2174" s="547"/>
      <c r="BA2174" s="547"/>
      <c r="BB2174" s="577"/>
      <c r="BC2174" s="547"/>
      <c r="BD2174" s="547"/>
      <c r="BE2174" s="547"/>
      <c r="BF2174" s="547"/>
      <c r="BG2174" s="547"/>
      <c r="BH2174" s="547"/>
      <c r="BI2174" s="547"/>
      <c r="BJ2174" s="547"/>
      <c r="BK2174" s="547"/>
      <c r="BL2174" s="547"/>
      <c r="BM2174" s="547"/>
      <c r="BN2174" s="547"/>
      <c r="BO2174" s="547"/>
      <c r="BP2174" s="547"/>
      <c r="BQ2174" s="547"/>
      <c r="BR2174" s="547"/>
      <c r="BS2174" s="547"/>
      <c r="BT2174" s="547"/>
      <c r="BU2174" s="547"/>
      <c r="BV2174" s="547"/>
      <c r="BW2174" s="547"/>
      <c r="BX2174" s="547"/>
      <c r="BY2174" s="576"/>
      <c r="BZ2174" s="547"/>
      <c r="CA2174" s="576"/>
      <c r="CB2174" s="547"/>
      <c r="CC2174" s="576"/>
      <c r="CD2174" s="576"/>
      <c r="CE2174" s="576"/>
      <c r="CF2174" s="547"/>
      <c r="CG2174" s="547"/>
      <c r="CH2174" s="547"/>
      <c r="CI2174" s="547"/>
      <c r="CJ2174" s="547"/>
      <c r="CK2174" s="547"/>
      <c r="CL2174" s="547"/>
      <c r="CM2174" s="547"/>
      <c r="CN2174" s="547"/>
      <c r="CO2174" s="547"/>
      <c r="CP2174" s="547"/>
      <c r="CQ2174" s="547"/>
      <c r="CR2174" s="547"/>
      <c r="CS2174" s="547"/>
      <c r="CT2174" s="547"/>
      <c r="CU2174" s="547"/>
      <c r="CV2174" s="547"/>
      <c r="CW2174" s="547"/>
      <c r="CX2174" s="576"/>
      <c r="CY2174" s="576"/>
      <c r="CZ2174" s="576"/>
      <c r="DA2174" s="547"/>
      <c r="DB2174" s="547"/>
      <c r="DC2174" s="547"/>
      <c r="DD2174" s="576"/>
      <c r="DE2174" s="576"/>
      <c r="DF2174" s="576"/>
      <c r="DG2174" s="576"/>
      <c r="DH2174" s="576"/>
    </row>
    <row r="2175" s="547" customFormat="1" spans="1:112">
      <c r="A2175" s="569"/>
      <c r="B2175" s="547"/>
      <c r="C2175" s="547"/>
      <c r="D2175" s="547"/>
      <c r="E2175" s="570"/>
      <c r="F2175" s="547"/>
      <c r="G2175" s="547"/>
      <c r="H2175" s="547"/>
      <c r="I2175" s="547"/>
      <c r="J2175" s="547"/>
      <c r="K2175" s="547"/>
      <c r="L2175" s="547"/>
      <c r="M2175" s="547"/>
      <c r="N2175" s="547"/>
      <c r="O2175" s="547"/>
      <c r="P2175" s="547"/>
      <c r="Q2175" s="547"/>
      <c r="R2175" s="547"/>
      <c r="S2175" s="547"/>
      <c r="T2175" s="547"/>
      <c r="U2175" s="547"/>
      <c r="V2175" s="547"/>
      <c r="W2175" s="570"/>
      <c r="X2175" s="547"/>
      <c r="Y2175" s="547"/>
      <c r="Z2175" s="571"/>
      <c r="AA2175" s="572"/>
      <c r="AB2175" s="547"/>
      <c r="AC2175" s="1251"/>
      <c r="AD2175" s="573"/>
      <c r="AE2175" s="550"/>
      <c r="AF2175" s="550"/>
      <c r="AG2175" s="547"/>
      <c r="AH2175" s="547"/>
      <c r="AI2175" s="574"/>
      <c r="AJ2175" s="574"/>
      <c r="AK2175" s="575"/>
      <c r="AL2175" s="553"/>
      <c r="AM2175" s="575"/>
      <c r="AN2175" s="547"/>
      <c r="AO2175" s="547"/>
      <c r="AP2175" s="547"/>
      <c r="AQ2175" s="547"/>
      <c r="AR2175" s="576"/>
      <c r="AS2175" s="547"/>
      <c r="AT2175" s="547"/>
      <c r="AU2175" s="547"/>
      <c r="AV2175" s="547"/>
      <c r="AW2175" s="576"/>
      <c r="AX2175" s="547"/>
      <c r="AY2175" s="547"/>
      <c r="AZ2175" s="547"/>
      <c r="BA2175" s="547"/>
      <c r="BB2175" s="577"/>
      <c r="BC2175" s="547"/>
      <c r="BD2175" s="547"/>
      <c r="BE2175" s="547"/>
      <c r="BF2175" s="547"/>
      <c r="BG2175" s="547"/>
      <c r="BH2175" s="547"/>
      <c r="BI2175" s="547"/>
      <c r="BJ2175" s="547"/>
      <c r="BK2175" s="547"/>
      <c r="BL2175" s="547"/>
      <c r="BM2175" s="547"/>
      <c r="BN2175" s="547"/>
      <c r="BO2175" s="547"/>
      <c r="BP2175" s="547"/>
      <c r="BQ2175" s="547"/>
      <c r="BR2175" s="547"/>
      <c r="BS2175" s="547"/>
      <c r="BT2175" s="547"/>
      <c r="BU2175" s="547"/>
      <c r="BV2175" s="547"/>
      <c r="BW2175" s="547"/>
      <c r="BX2175" s="547"/>
      <c r="BY2175" s="576"/>
      <c r="BZ2175" s="547"/>
      <c r="CA2175" s="576"/>
      <c r="CB2175" s="547"/>
      <c r="CC2175" s="576"/>
      <c r="CD2175" s="576"/>
      <c r="CE2175" s="576"/>
      <c r="CF2175" s="547"/>
      <c r="CG2175" s="547"/>
      <c r="CH2175" s="547"/>
      <c r="CI2175" s="547"/>
      <c r="CJ2175" s="547"/>
      <c r="CK2175" s="547"/>
      <c r="CL2175" s="547"/>
      <c r="CM2175" s="547"/>
      <c r="CN2175" s="547"/>
      <c r="CO2175" s="547"/>
      <c r="CP2175" s="547"/>
      <c r="CQ2175" s="547"/>
      <c r="CR2175" s="547"/>
      <c r="CS2175" s="547"/>
      <c r="CT2175" s="547"/>
      <c r="CU2175" s="547"/>
      <c r="CV2175" s="547"/>
      <c r="CW2175" s="547"/>
      <c r="CX2175" s="576"/>
      <c r="CY2175" s="576"/>
      <c r="CZ2175" s="576"/>
      <c r="DA2175" s="547"/>
      <c r="DB2175" s="547"/>
      <c r="DC2175" s="547"/>
      <c r="DD2175" s="576"/>
      <c r="DE2175" s="576"/>
      <c r="DF2175" s="576"/>
      <c r="DG2175" s="576"/>
      <c r="DH2175" s="576"/>
    </row>
    <row r="2176" s="547" customFormat="1" spans="1:112">
      <c r="A2176" s="569"/>
      <c r="B2176" s="547"/>
      <c r="C2176" s="547"/>
      <c r="D2176" s="547"/>
      <c r="E2176" s="570"/>
      <c r="F2176" s="547"/>
      <c r="G2176" s="547"/>
      <c r="H2176" s="547"/>
      <c r="I2176" s="547"/>
      <c r="J2176" s="547"/>
      <c r="K2176" s="547"/>
      <c r="L2176" s="547"/>
      <c r="M2176" s="547"/>
      <c r="N2176" s="547"/>
      <c r="O2176" s="547"/>
      <c r="P2176" s="547"/>
      <c r="Q2176" s="547"/>
      <c r="R2176" s="547"/>
      <c r="S2176" s="547"/>
      <c r="T2176" s="547"/>
      <c r="U2176" s="547"/>
      <c r="V2176" s="547"/>
      <c r="W2176" s="570"/>
      <c r="X2176" s="547"/>
      <c r="Y2176" s="547"/>
      <c r="Z2176" s="571"/>
      <c r="AA2176" s="572"/>
      <c r="AB2176" s="547"/>
      <c r="AC2176" s="1251"/>
      <c r="AD2176" s="573"/>
      <c r="AE2176" s="550"/>
      <c r="AF2176" s="550"/>
      <c r="AG2176" s="547"/>
      <c r="AH2176" s="547"/>
      <c r="AI2176" s="574"/>
      <c r="AJ2176" s="574"/>
      <c r="AK2176" s="575"/>
      <c r="AL2176" s="553"/>
      <c r="AM2176" s="575"/>
      <c r="AN2176" s="547"/>
      <c r="AO2176" s="547"/>
      <c r="AP2176" s="547"/>
      <c r="AQ2176" s="547"/>
      <c r="AR2176" s="576"/>
      <c r="AS2176" s="547"/>
      <c r="AT2176" s="547"/>
      <c r="AU2176" s="547"/>
      <c r="AV2176" s="547"/>
      <c r="AW2176" s="576"/>
      <c r="AX2176" s="547"/>
      <c r="AY2176" s="547"/>
      <c r="AZ2176" s="547"/>
      <c r="BA2176" s="547"/>
      <c r="BB2176" s="577"/>
      <c r="BC2176" s="547"/>
      <c r="BD2176" s="547"/>
      <c r="BE2176" s="547"/>
      <c r="BF2176" s="547"/>
      <c r="BG2176" s="547"/>
      <c r="BH2176" s="547"/>
      <c r="BI2176" s="547"/>
      <c r="BJ2176" s="547"/>
      <c r="BK2176" s="547"/>
      <c r="BL2176" s="547"/>
      <c r="BM2176" s="547"/>
      <c r="BN2176" s="547"/>
      <c r="BO2176" s="547"/>
      <c r="BP2176" s="547"/>
      <c r="BQ2176" s="547"/>
      <c r="BR2176" s="547"/>
      <c r="BS2176" s="547"/>
      <c r="BT2176" s="547"/>
      <c r="BU2176" s="547"/>
      <c r="BV2176" s="547"/>
      <c r="BW2176" s="547"/>
      <c r="BX2176" s="547"/>
      <c r="BY2176" s="576"/>
      <c r="BZ2176" s="547"/>
      <c r="CA2176" s="576"/>
      <c r="CB2176" s="547"/>
      <c r="CC2176" s="576"/>
      <c r="CD2176" s="576"/>
      <c r="CE2176" s="576"/>
      <c r="CF2176" s="547"/>
      <c r="CG2176" s="547"/>
      <c r="CH2176" s="547"/>
      <c r="CI2176" s="547"/>
      <c r="CJ2176" s="547"/>
      <c r="CK2176" s="547"/>
      <c r="CL2176" s="547"/>
      <c r="CM2176" s="547"/>
      <c r="CN2176" s="547"/>
      <c r="CO2176" s="547"/>
      <c r="CP2176" s="547"/>
      <c r="CQ2176" s="547"/>
      <c r="CR2176" s="547"/>
      <c r="CS2176" s="547"/>
      <c r="CT2176" s="547"/>
      <c r="CU2176" s="547"/>
      <c r="CV2176" s="547"/>
      <c r="CW2176" s="547"/>
      <c r="CX2176" s="576"/>
      <c r="CY2176" s="576"/>
      <c r="CZ2176" s="576"/>
      <c r="DA2176" s="547"/>
      <c r="DB2176" s="547"/>
      <c r="DC2176" s="547"/>
      <c r="DD2176" s="576"/>
      <c r="DE2176" s="576"/>
      <c r="DF2176" s="576"/>
      <c r="DG2176" s="576"/>
      <c r="DH2176" s="576"/>
    </row>
    <row r="2177" s="547" customFormat="1" ht="8" customHeight="1" spans="1:112">
      <c r="A2177" s="569"/>
      <c r="B2177" s="547"/>
      <c r="C2177" s="547"/>
      <c r="D2177" s="547"/>
      <c r="E2177" s="570"/>
      <c r="F2177" s="547"/>
      <c r="G2177" s="547"/>
      <c r="H2177" s="547"/>
      <c r="I2177" s="547"/>
      <c r="J2177" s="547"/>
      <c r="K2177" s="547"/>
      <c r="L2177" s="547"/>
      <c r="M2177" s="547"/>
      <c r="N2177" s="547"/>
      <c r="O2177" s="547"/>
      <c r="P2177" s="547"/>
      <c r="Q2177" s="547"/>
      <c r="R2177" s="547"/>
      <c r="S2177" s="547"/>
      <c r="T2177" s="547"/>
      <c r="U2177" s="547"/>
      <c r="V2177" s="547"/>
      <c r="W2177" s="570"/>
      <c r="X2177" s="547"/>
      <c r="Y2177" s="547"/>
      <c r="Z2177" s="571"/>
      <c r="AA2177" s="572"/>
      <c r="AB2177" s="547"/>
      <c r="AC2177" s="1251"/>
      <c r="AD2177" s="573"/>
      <c r="AE2177" s="550"/>
      <c r="AF2177" s="550"/>
      <c r="AG2177" s="547"/>
      <c r="AH2177" s="547"/>
      <c r="AI2177" s="574"/>
      <c r="AJ2177" s="574"/>
      <c r="AK2177" s="575"/>
      <c r="AL2177" s="553"/>
      <c r="AM2177" s="575"/>
      <c r="AN2177" s="547"/>
      <c r="AO2177" s="547"/>
      <c r="AP2177" s="547"/>
      <c r="AQ2177" s="547"/>
      <c r="AR2177" s="576"/>
      <c r="AS2177" s="547"/>
      <c r="AT2177" s="547"/>
      <c r="AU2177" s="547"/>
      <c r="AV2177" s="547"/>
      <c r="AW2177" s="576"/>
      <c r="AX2177" s="547"/>
      <c r="AY2177" s="547"/>
      <c r="AZ2177" s="547"/>
      <c r="BA2177" s="547"/>
      <c r="BB2177" s="577"/>
      <c r="BC2177" s="547"/>
      <c r="BD2177" s="547"/>
      <c r="BE2177" s="547"/>
      <c r="BF2177" s="547"/>
      <c r="BG2177" s="547"/>
      <c r="BH2177" s="547"/>
      <c r="BI2177" s="547"/>
      <c r="BJ2177" s="547"/>
      <c r="BK2177" s="547"/>
      <c r="BL2177" s="547"/>
      <c r="BM2177" s="547"/>
      <c r="BN2177" s="547"/>
      <c r="BO2177" s="547"/>
      <c r="BP2177" s="547"/>
      <c r="BQ2177" s="547"/>
      <c r="BR2177" s="547"/>
      <c r="BS2177" s="547"/>
      <c r="BT2177" s="547"/>
      <c r="BU2177" s="547"/>
      <c r="BV2177" s="547"/>
      <c r="BW2177" s="547"/>
      <c r="BX2177" s="547"/>
      <c r="BY2177" s="576"/>
      <c r="BZ2177" s="547"/>
      <c r="CA2177" s="576"/>
      <c r="CB2177" s="547"/>
      <c r="CC2177" s="576"/>
      <c r="CD2177" s="576"/>
      <c r="CE2177" s="576"/>
      <c r="CF2177" s="547"/>
      <c r="CG2177" s="547"/>
      <c r="CH2177" s="547"/>
      <c r="CI2177" s="547"/>
      <c r="CJ2177" s="547"/>
      <c r="CK2177" s="547"/>
      <c r="CL2177" s="547"/>
      <c r="CM2177" s="547"/>
      <c r="CN2177" s="547"/>
      <c r="CO2177" s="547"/>
      <c r="CP2177" s="547"/>
      <c r="CQ2177" s="547"/>
      <c r="CR2177" s="547"/>
      <c r="CS2177" s="547"/>
      <c r="CT2177" s="547"/>
      <c r="CU2177" s="547"/>
      <c r="CV2177" s="547"/>
      <c r="CW2177" s="547"/>
      <c r="CX2177" s="576"/>
      <c r="CY2177" s="576"/>
      <c r="CZ2177" s="576"/>
      <c r="DA2177" s="547"/>
      <c r="DB2177" s="547"/>
      <c r="DC2177" s="547"/>
      <c r="DD2177" s="576"/>
      <c r="DE2177" s="576"/>
      <c r="DF2177" s="576"/>
      <c r="DG2177" s="576"/>
      <c r="DH2177" s="576"/>
    </row>
    <row r="2178" s="547" customFormat="1" spans="1:112">
      <c r="A2178" s="569"/>
      <c r="B2178" s="547"/>
      <c r="C2178" s="547"/>
      <c r="D2178" s="547"/>
      <c r="E2178" s="570"/>
      <c r="F2178" s="547"/>
      <c r="G2178" s="547"/>
      <c r="H2178" s="547"/>
      <c r="I2178" s="547"/>
      <c r="J2178" s="547"/>
      <c r="K2178" s="547"/>
      <c r="L2178" s="547"/>
      <c r="M2178" s="547"/>
      <c r="N2178" s="547"/>
      <c r="O2178" s="547"/>
      <c r="P2178" s="547"/>
      <c r="Q2178" s="547"/>
      <c r="R2178" s="547"/>
      <c r="S2178" s="547"/>
      <c r="T2178" s="547"/>
      <c r="U2178" s="547"/>
      <c r="V2178" s="547"/>
      <c r="W2178" s="570"/>
      <c r="X2178" s="547"/>
      <c r="Y2178" s="547"/>
      <c r="Z2178" s="571"/>
      <c r="AA2178" s="572"/>
      <c r="AB2178" s="570"/>
      <c r="AC2178" s="1251"/>
      <c r="AD2178" s="573"/>
      <c r="AE2178" s="550"/>
      <c r="AF2178" s="550"/>
      <c r="AG2178" s="547"/>
      <c r="AH2178" s="547"/>
      <c r="AI2178" s="574"/>
      <c r="AJ2178" s="574"/>
      <c r="AK2178" s="575"/>
      <c r="AL2178" s="553"/>
      <c r="AM2178" s="575"/>
      <c r="AN2178" s="547"/>
      <c r="AO2178" s="547"/>
      <c r="AP2178" s="547"/>
      <c r="AQ2178" s="547"/>
      <c r="AR2178" s="576"/>
      <c r="AS2178" s="547"/>
      <c r="AT2178" s="547"/>
      <c r="AU2178" s="547"/>
      <c r="AV2178" s="547"/>
      <c r="AW2178" s="576"/>
      <c r="AX2178" s="547"/>
      <c r="AY2178" s="547"/>
      <c r="AZ2178" s="547"/>
      <c r="BA2178" s="547"/>
      <c r="BB2178" s="577"/>
      <c r="BC2178" s="547"/>
      <c r="BD2178" s="547"/>
      <c r="BE2178" s="547"/>
      <c r="BF2178" s="547"/>
      <c r="BG2178" s="547"/>
      <c r="BH2178" s="547"/>
      <c r="BI2178" s="547"/>
      <c r="BJ2178" s="547"/>
      <c r="BK2178" s="547"/>
      <c r="BL2178" s="547"/>
      <c r="BM2178" s="547"/>
      <c r="BN2178" s="547"/>
      <c r="BO2178" s="547"/>
      <c r="BP2178" s="547"/>
      <c r="BQ2178" s="547"/>
      <c r="BR2178" s="547"/>
      <c r="BS2178" s="547"/>
      <c r="BT2178" s="547"/>
      <c r="BU2178" s="547"/>
      <c r="BV2178" s="547"/>
      <c r="BW2178" s="547"/>
      <c r="BX2178" s="547"/>
      <c r="BY2178" s="576"/>
      <c r="BZ2178" s="547"/>
      <c r="CA2178" s="576"/>
      <c r="CB2178" s="570"/>
      <c r="CC2178" s="576"/>
      <c r="CD2178" s="576"/>
      <c r="CE2178" s="576"/>
      <c r="CF2178" s="547"/>
      <c r="CG2178" s="547"/>
      <c r="CH2178" s="547"/>
      <c r="CI2178" s="547"/>
      <c r="CJ2178" s="547"/>
      <c r="CK2178" s="547"/>
      <c r="CL2178" s="547"/>
      <c r="CM2178" s="547"/>
      <c r="CN2178" s="547"/>
      <c r="CO2178" s="547"/>
      <c r="CP2178" s="547"/>
      <c r="CQ2178" s="547"/>
      <c r="CR2178" s="547"/>
      <c r="CS2178" s="547"/>
      <c r="CT2178" s="547"/>
      <c r="CU2178" s="547"/>
      <c r="CV2178" s="547"/>
      <c r="CW2178" s="547"/>
      <c r="CX2178" s="576"/>
      <c r="CY2178" s="576"/>
      <c r="CZ2178" s="576"/>
      <c r="DA2178" s="547"/>
      <c r="DB2178" s="547"/>
      <c r="DC2178" s="547"/>
      <c r="DD2178" s="576"/>
      <c r="DE2178" s="576"/>
      <c r="DF2178" s="576"/>
      <c r="DG2178" s="576"/>
      <c r="DH2178" s="576"/>
    </row>
    <row r="2179" s="547" customFormat="1" spans="1:112">
      <c r="A2179" s="569"/>
      <c r="B2179" s="547"/>
      <c r="C2179" s="547"/>
      <c r="D2179" s="547"/>
      <c r="E2179" s="570"/>
      <c r="F2179" s="547"/>
      <c r="G2179" s="547"/>
      <c r="H2179" s="547"/>
      <c r="I2179" s="547"/>
      <c r="J2179" s="547"/>
      <c r="K2179" s="547"/>
      <c r="L2179" s="547"/>
      <c r="M2179" s="547"/>
      <c r="N2179" s="547"/>
      <c r="O2179" s="547"/>
      <c r="P2179" s="547"/>
      <c r="Q2179" s="547"/>
      <c r="R2179" s="547"/>
      <c r="S2179" s="547"/>
      <c r="T2179" s="547"/>
      <c r="U2179" s="547"/>
      <c r="V2179" s="547"/>
      <c r="W2179" s="570"/>
      <c r="X2179" s="547"/>
      <c r="Y2179" s="547"/>
      <c r="Z2179" s="571"/>
      <c r="AA2179" s="572"/>
      <c r="AB2179" s="570"/>
      <c r="AC2179" s="1251"/>
      <c r="AD2179" s="573"/>
      <c r="AE2179" s="550"/>
      <c r="AF2179" s="550"/>
      <c r="AG2179" s="547"/>
      <c r="AH2179" s="547"/>
      <c r="AI2179" s="574"/>
      <c r="AJ2179" s="574"/>
      <c r="AK2179" s="575"/>
      <c r="AL2179" s="553"/>
      <c r="AM2179" s="575"/>
      <c r="AN2179" s="547"/>
      <c r="AO2179" s="547"/>
      <c r="AP2179" s="547"/>
      <c r="AQ2179" s="547"/>
      <c r="AR2179" s="576"/>
      <c r="AS2179" s="547"/>
      <c r="AT2179" s="547"/>
      <c r="AU2179" s="547"/>
      <c r="AV2179" s="547"/>
      <c r="AW2179" s="576"/>
      <c r="AX2179" s="547"/>
      <c r="AY2179" s="547"/>
      <c r="AZ2179" s="547"/>
      <c r="BA2179" s="547"/>
      <c r="BB2179" s="577"/>
      <c r="BC2179" s="547"/>
      <c r="BD2179" s="547"/>
      <c r="BE2179" s="547"/>
      <c r="BF2179" s="547"/>
      <c r="BG2179" s="547"/>
      <c r="BH2179" s="547"/>
      <c r="BI2179" s="547"/>
      <c r="BJ2179" s="547"/>
      <c r="BK2179" s="547"/>
      <c r="BL2179" s="547"/>
      <c r="BM2179" s="547"/>
      <c r="BN2179" s="547"/>
      <c r="BO2179" s="547"/>
      <c r="BP2179" s="547"/>
      <c r="BQ2179" s="547"/>
      <c r="BR2179" s="547"/>
      <c r="BS2179" s="547"/>
      <c r="BT2179" s="547"/>
      <c r="BU2179" s="547"/>
      <c r="BV2179" s="547"/>
      <c r="BW2179" s="547"/>
      <c r="BX2179" s="547"/>
      <c r="BY2179" s="576"/>
      <c r="BZ2179" s="547"/>
      <c r="CA2179" s="576"/>
      <c r="CB2179" s="570"/>
      <c r="CC2179" s="576"/>
      <c r="CD2179" s="576"/>
      <c r="CE2179" s="576"/>
      <c r="CF2179" s="547"/>
      <c r="CG2179" s="547"/>
      <c r="CH2179" s="547"/>
      <c r="CI2179" s="547"/>
      <c r="CJ2179" s="547"/>
      <c r="CK2179" s="547"/>
      <c r="CL2179" s="547"/>
      <c r="CM2179" s="547"/>
      <c r="CN2179" s="547"/>
      <c r="CO2179" s="547"/>
      <c r="CP2179" s="547"/>
      <c r="CQ2179" s="547"/>
      <c r="CR2179" s="547"/>
      <c r="CS2179" s="547"/>
      <c r="CT2179" s="547"/>
      <c r="CU2179" s="547"/>
      <c r="CV2179" s="547"/>
      <c r="CW2179" s="547"/>
      <c r="CX2179" s="576"/>
      <c r="CY2179" s="576"/>
      <c r="CZ2179" s="576"/>
      <c r="DA2179" s="547"/>
      <c r="DB2179" s="547"/>
      <c r="DC2179" s="547"/>
      <c r="DD2179" s="576"/>
      <c r="DE2179" s="576"/>
      <c r="DF2179" s="576"/>
      <c r="DG2179" s="576"/>
      <c r="DH2179" s="576"/>
    </row>
    <row r="2180" s="547" customFormat="1" spans="1:112">
      <c r="A2180" s="569"/>
      <c r="B2180" s="547"/>
      <c r="C2180" s="547"/>
      <c r="D2180" s="547"/>
      <c r="E2180" s="570"/>
      <c r="F2180" s="547"/>
      <c r="G2180" s="547"/>
      <c r="H2180" s="547"/>
      <c r="I2180" s="547"/>
      <c r="J2180" s="547"/>
      <c r="K2180" s="547"/>
      <c r="L2180" s="547"/>
      <c r="M2180" s="547"/>
      <c r="N2180" s="547"/>
      <c r="O2180" s="547"/>
      <c r="P2180" s="547"/>
      <c r="Q2180" s="547"/>
      <c r="R2180" s="547"/>
      <c r="S2180" s="547"/>
      <c r="T2180" s="547"/>
      <c r="U2180" s="547"/>
      <c r="V2180" s="547"/>
      <c r="W2180" s="570"/>
      <c r="X2180" s="547"/>
      <c r="Y2180" s="547"/>
      <c r="Z2180" s="571"/>
      <c r="AA2180" s="572"/>
      <c r="AB2180" s="570"/>
      <c r="AC2180" s="1251"/>
      <c r="AD2180" s="573"/>
      <c r="AE2180" s="550"/>
      <c r="AF2180" s="550"/>
      <c r="AG2180" s="547"/>
      <c r="AH2180" s="547"/>
      <c r="AI2180" s="574"/>
      <c r="AJ2180" s="574"/>
      <c r="AK2180" s="575"/>
      <c r="AL2180" s="553"/>
      <c r="AM2180" s="575"/>
      <c r="AN2180" s="547"/>
      <c r="AO2180" s="547"/>
      <c r="AP2180" s="547"/>
      <c r="AQ2180" s="547"/>
      <c r="AR2180" s="576"/>
      <c r="AS2180" s="547"/>
      <c r="AT2180" s="547"/>
      <c r="AU2180" s="547"/>
      <c r="AV2180" s="547"/>
      <c r="AW2180" s="576"/>
      <c r="AX2180" s="547"/>
      <c r="AY2180" s="547"/>
      <c r="AZ2180" s="547"/>
      <c r="BA2180" s="547"/>
      <c r="BB2180" s="577"/>
      <c r="BC2180" s="547"/>
      <c r="BD2180" s="547"/>
      <c r="BE2180" s="547"/>
      <c r="BF2180" s="547"/>
      <c r="BG2180" s="547"/>
      <c r="BH2180" s="547"/>
      <c r="BI2180" s="547"/>
      <c r="BJ2180" s="547"/>
      <c r="BK2180" s="547"/>
      <c r="BL2180" s="547"/>
      <c r="BM2180" s="547"/>
      <c r="BN2180" s="547"/>
      <c r="BO2180" s="547"/>
      <c r="BP2180" s="547"/>
      <c r="BQ2180" s="547"/>
      <c r="BR2180" s="547"/>
      <c r="BS2180" s="547"/>
      <c r="BT2180" s="547"/>
      <c r="BU2180" s="547"/>
      <c r="BV2180" s="547"/>
      <c r="BW2180" s="547"/>
      <c r="BX2180" s="547"/>
      <c r="BY2180" s="576"/>
      <c r="BZ2180" s="547"/>
      <c r="CA2180" s="576"/>
      <c r="CB2180" s="570"/>
      <c r="CC2180" s="576"/>
      <c r="CD2180" s="576"/>
      <c r="CE2180" s="576"/>
      <c r="CF2180" s="547"/>
      <c r="CG2180" s="547"/>
      <c r="CH2180" s="547"/>
      <c r="CI2180" s="547"/>
      <c r="CJ2180" s="547"/>
      <c r="CK2180" s="547"/>
      <c r="CL2180" s="547"/>
      <c r="CM2180" s="547"/>
      <c r="CN2180" s="547"/>
      <c r="CO2180" s="547"/>
      <c r="CP2180" s="547"/>
      <c r="CQ2180" s="547"/>
      <c r="CR2180" s="547"/>
      <c r="CS2180" s="547"/>
      <c r="CT2180" s="547"/>
      <c r="CU2180" s="547"/>
      <c r="CV2180" s="547"/>
      <c r="CW2180" s="547"/>
      <c r="CX2180" s="576"/>
      <c r="CY2180" s="576"/>
      <c r="CZ2180" s="576"/>
      <c r="DA2180" s="547"/>
      <c r="DB2180" s="547"/>
      <c r="DC2180" s="547"/>
      <c r="DD2180" s="576"/>
      <c r="DE2180" s="576"/>
      <c r="DF2180" s="576"/>
      <c r="DG2180" s="576"/>
      <c r="DH2180" s="576"/>
    </row>
    <row r="2181" s="547" customFormat="1" spans="1:112">
      <c r="A2181" s="569"/>
      <c r="B2181" s="547"/>
      <c r="C2181" s="547"/>
      <c r="D2181" s="547"/>
      <c r="E2181" s="570"/>
      <c r="F2181" s="547"/>
      <c r="G2181" s="547"/>
      <c r="H2181" s="547"/>
      <c r="I2181" s="547"/>
      <c r="J2181" s="547"/>
      <c r="K2181" s="547"/>
      <c r="L2181" s="547"/>
      <c r="M2181" s="547"/>
      <c r="N2181" s="547"/>
      <c r="O2181" s="547"/>
      <c r="P2181" s="547"/>
      <c r="Q2181" s="547"/>
      <c r="R2181" s="547"/>
      <c r="S2181" s="547"/>
      <c r="T2181" s="547"/>
      <c r="U2181" s="547"/>
      <c r="V2181" s="547"/>
      <c r="W2181" s="570"/>
      <c r="X2181" s="547"/>
      <c r="Y2181" s="547"/>
      <c r="Z2181" s="571"/>
      <c r="AA2181" s="572"/>
      <c r="AB2181" s="570"/>
      <c r="AC2181" s="1251"/>
      <c r="AD2181" s="573"/>
      <c r="AE2181" s="550"/>
      <c r="AF2181" s="550"/>
      <c r="AG2181" s="547"/>
      <c r="AH2181" s="547"/>
      <c r="AI2181" s="574"/>
      <c r="AJ2181" s="574"/>
      <c r="AK2181" s="575"/>
      <c r="AL2181" s="553"/>
      <c r="AM2181" s="575"/>
      <c r="AN2181" s="547"/>
      <c r="AO2181" s="547"/>
      <c r="AP2181" s="547"/>
      <c r="AQ2181" s="547"/>
      <c r="AR2181" s="576"/>
      <c r="AS2181" s="547"/>
      <c r="AT2181" s="547"/>
      <c r="AU2181" s="547"/>
      <c r="AV2181" s="547"/>
      <c r="AW2181" s="576"/>
      <c r="AX2181" s="547"/>
      <c r="AY2181" s="547"/>
      <c r="AZ2181" s="547"/>
      <c r="BA2181" s="547"/>
      <c r="BB2181" s="577"/>
      <c r="BC2181" s="547"/>
      <c r="BD2181" s="547"/>
      <c r="BE2181" s="547"/>
      <c r="BF2181" s="547"/>
      <c r="BG2181" s="547"/>
      <c r="BH2181" s="547"/>
      <c r="BI2181" s="547"/>
      <c r="BJ2181" s="547"/>
      <c r="BK2181" s="547"/>
      <c r="BL2181" s="547"/>
      <c r="BM2181" s="547"/>
      <c r="BN2181" s="547"/>
      <c r="BO2181" s="547"/>
      <c r="BP2181" s="547"/>
      <c r="BQ2181" s="547"/>
      <c r="BR2181" s="547"/>
      <c r="BS2181" s="547"/>
      <c r="BT2181" s="547"/>
      <c r="BU2181" s="547"/>
      <c r="BV2181" s="547"/>
      <c r="BW2181" s="547"/>
      <c r="BX2181" s="547"/>
      <c r="BY2181" s="576"/>
      <c r="BZ2181" s="547"/>
      <c r="CA2181" s="576"/>
      <c r="CB2181" s="570"/>
      <c r="CC2181" s="576"/>
      <c r="CD2181" s="576"/>
      <c r="CE2181" s="576"/>
      <c r="CF2181" s="547"/>
      <c r="CG2181" s="547"/>
      <c r="CH2181" s="547"/>
      <c r="CI2181" s="547"/>
      <c r="CJ2181" s="547"/>
      <c r="CK2181" s="547"/>
      <c r="CL2181" s="547"/>
      <c r="CM2181" s="547"/>
      <c r="CN2181" s="547"/>
      <c r="CO2181" s="547"/>
      <c r="CP2181" s="547"/>
      <c r="CQ2181" s="547"/>
      <c r="CR2181" s="547"/>
      <c r="CS2181" s="547"/>
      <c r="CT2181" s="547"/>
      <c r="CU2181" s="547"/>
      <c r="CV2181" s="547"/>
      <c r="CW2181" s="547"/>
      <c r="CX2181" s="576"/>
      <c r="CY2181" s="576"/>
      <c r="CZ2181" s="576"/>
      <c r="DA2181" s="547"/>
      <c r="DB2181" s="547"/>
      <c r="DC2181" s="547"/>
      <c r="DD2181" s="576"/>
      <c r="DE2181" s="576"/>
      <c r="DF2181" s="576"/>
      <c r="DG2181" s="576"/>
      <c r="DH2181" s="576"/>
    </row>
    <row r="2182" s="547" customFormat="1" spans="1:112">
      <c r="A2182" s="569"/>
      <c r="B2182" s="547"/>
      <c r="C2182" s="547"/>
      <c r="D2182" s="547"/>
      <c r="E2182" s="570"/>
      <c r="F2182" s="547"/>
      <c r="G2182" s="547"/>
      <c r="H2182" s="547"/>
      <c r="I2182" s="547"/>
      <c r="J2182" s="547"/>
      <c r="K2182" s="547"/>
      <c r="L2182" s="547"/>
      <c r="M2182" s="547"/>
      <c r="N2182" s="547"/>
      <c r="O2182" s="547"/>
      <c r="P2182" s="547"/>
      <c r="Q2182" s="547"/>
      <c r="R2182" s="547"/>
      <c r="S2182" s="547"/>
      <c r="T2182" s="547"/>
      <c r="U2182" s="547"/>
      <c r="V2182" s="547"/>
      <c r="W2182" s="570"/>
      <c r="X2182" s="547"/>
      <c r="Y2182" s="547"/>
      <c r="Z2182" s="571"/>
      <c r="AA2182" s="572"/>
      <c r="AB2182" s="570"/>
      <c r="AC2182" s="1251"/>
      <c r="AD2182" s="573"/>
      <c r="AE2182" s="550"/>
      <c r="AF2182" s="550"/>
      <c r="AG2182" s="547"/>
      <c r="AH2182" s="547"/>
      <c r="AI2182" s="574"/>
      <c r="AJ2182" s="574"/>
      <c r="AK2182" s="575"/>
      <c r="AL2182" s="553"/>
      <c r="AM2182" s="575"/>
      <c r="AN2182" s="547"/>
      <c r="AO2182" s="547"/>
      <c r="AP2182" s="547"/>
      <c r="AQ2182" s="547"/>
      <c r="AR2182" s="576"/>
      <c r="AS2182" s="547"/>
      <c r="AT2182" s="547"/>
      <c r="AU2182" s="547"/>
      <c r="AV2182" s="547"/>
      <c r="AW2182" s="576"/>
      <c r="AX2182" s="547"/>
      <c r="AY2182" s="547"/>
      <c r="AZ2182" s="547"/>
      <c r="BA2182" s="547"/>
      <c r="BB2182" s="577"/>
      <c r="BC2182" s="547"/>
      <c r="BD2182" s="547"/>
      <c r="BE2182" s="547"/>
      <c r="BF2182" s="547"/>
      <c r="BG2182" s="547"/>
      <c r="BH2182" s="547"/>
      <c r="BI2182" s="547"/>
      <c r="BJ2182" s="547"/>
      <c r="BK2182" s="547"/>
      <c r="BL2182" s="547"/>
      <c r="BM2182" s="547"/>
      <c r="BN2182" s="547"/>
      <c r="BO2182" s="547"/>
      <c r="BP2182" s="547"/>
      <c r="BQ2182" s="547"/>
      <c r="BR2182" s="547"/>
      <c r="BS2182" s="547"/>
      <c r="BT2182" s="547"/>
      <c r="BU2182" s="547"/>
      <c r="BV2182" s="547"/>
      <c r="BW2182" s="547"/>
      <c r="BX2182" s="547"/>
      <c r="BY2182" s="576"/>
      <c r="BZ2182" s="547"/>
      <c r="CA2182" s="576"/>
      <c r="CB2182" s="570"/>
      <c r="CC2182" s="576"/>
      <c r="CD2182" s="576"/>
      <c r="CE2182" s="576"/>
      <c r="CF2182" s="547"/>
      <c r="CG2182" s="547"/>
      <c r="CH2182" s="547"/>
      <c r="CI2182" s="547"/>
      <c r="CJ2182" s="547"/>
      <c r="CK2182" s="547"/>
      <c r="CL2182" s="547"/>
      <c r="CM2182" s="547"/>
      <c r="CN2182" s="547"/>
      <c r="CO2182" s="547"/>
      <c r="CP2182" s="547"/>
      <c r="CQ2182" s="547"/>
      <c r="CR2182" s="547"/>
      <c r="CS2182" s="547"/>
      <c r="CT2182" s="547"/>
      <c r="CU2182" s="547"/>
      <c r="CV2182" s="547"/>
      <c r="CW2182" s="547"/>
      <c r="CX2182" s="576"/>
      <c r="CY2182" s="576"/>
      <c r="CZ2182" s="576"/>
      <c r="DA2182" s="547"/>
      <c r="DB2182" s="547"/>
      <c r="DC2182" s="547"/>
      <c r="DD2182" s="576"/>
      <c r="DE2182" s="576"/>
      <c r="DF2182" s="576"/>
      <c r="DG2182" s="576"/>
      <c r="DH2182" s="576"/>
    </row>
    <row r="2183" s="547" customFormat="1" spans="1:112">
      <c r="A2183" s="569"/>
      <c r="B2183" s="547"/>
      <c r="C2183" s="547"/>
      <c r="D2183" s="547"/>
      <c r="E2183" s="570"/>
      <c r="F2183" s="547"/>
      <c r="G2183" s="547"/>
      <c r="H2183" s="547"/>
      <c r="I2183" s="547"/>
      <c r="J2183" s="547"/>
      <c r="K2183" s="547"/>
      <c r="L2183" s="547"/>
      <c r="M2183" s="547"/>
      <c r="N2183" s="547"/>
      <c r="O2183" s="547"/>
      <c r="P2183" s="547"/>
      <c r="Q2183" s="547"/>
      <c r="R2183" s="547"/>
      <c r="S2183" s="547"/>
      <c r="T2183" s="547"/>
      <c r="U2183" s="547"/>
      <c r="V2183" s="547"/>
      <c r="W2183" s="570"/>
      <c r="X2183" s="547"/>
      <c r="Y2183" s="547"/>
      <c r="Z2183" s="571"/>
      <c r="AA2183" s="572"/>
      <c r="AB2183" s="570"/>
      <c r="AC2183" s="1251"/>
      <c r="AD2183" s="573"/>
      <c r="AE2183" s="550"/>
      <c r="AF2183" s="550"/>
      <c r="AG2183" s="547"/>
      <c r="AH2183" s="547"/>
      <c r="AI2183" s="574"/>
      <c r="AJ2183" s="574"/>
      <c r="AK2183" s="575"/>
      <c r="AL2183" s="553"/>
      <c r="AM2183" s="575"/>
      <c r="AN2183" s="547"/>
      <c r="AO2183" s="547"/>
      <c r="AP2183" s="547"/>
      <c r="AQ2183" s="547"/>
      <c r="AR2183" s="576"/>
      <c r="AS2183" s="547"/>
      <c r="AT2183" s="547"/>
      <c r="AU2183" s="547"/>
      <c r="AV2183" s="547"/>
      <c r="AW2183" s="576"/>
      <c r="AX2183" s="547"/>
      <c r="AY2183" s="547"/>
      <c r="AZ2183" s="547"/>
      <c r="BA2183" s="547"/>
      <c r="BB2183" s="577"/>
      <c r="BC2183" s="547"/>
      <c r="BD2183" s="547"/>
      <c r="BE2183" s="547"/>
      <c r="BF2183" s="547"/>
      <c r="BG2183" s="547"/>
      <c r="BH2183" s="547"/>
      <c r="BI2183" s="547"/>
      <c r="BJ2183" s="547"/>
      <c r="BK2183" s="547"/>
      <c r="BL2183" s="547"/>
      <c r="BM2183" s="547"/>
      <c r="BN2183" s="547"/>
      <c r="BO2183" s="547"/>
      <c r="BP2183" s="547"/>
      <c r="BQ2183" s="547"/>
      <c r="BR2183" s="547"/>
      <c r="BS2183" s="547"/>
      <c r="BT2183" s="547"/>
      <c r="BU2183" s="547"/>
      <c r="BV2183" s="547"/>
      <c r="BW2183" s="547"/>
      <c r="BX2183" s="547"/>
      <c r="BY2183" s="576"/>
      <c r="BZ2183" s="547"/>
      <c r="CA2183" s="576"/>
      <c r="CB2183" s="570"/>
      <c r="CC2183" s="576"/>
      <c r="CD2183" s="576"/>
      <c r="CE2183" s="576"/>
      <c r="CF2183" s="547"/>
      <c r="CG2183" s="547"/>
      <c r="CH2183" s="547"/>
      <c r="CI2183" s="547"/>
      <c r="CJ2183" s="547"/>
      <c r="CK2183" s="547"/>
      <c r="CL2183" s="547"/>
      <c r="CM2183" s="547"/>
      <c r="CN2183" s="547"/>
      <c r="CO2183" s="547"/>
      <c r="CP2183" s="547"/>
      <c r="CQ2183" s="547"/>
      <c r="CR2183" s="547"/>
      <c r="CS2183" s="547"/>
      <c r="CT2183" s="547"/>
      <c r="CU2183" s="547"/>
      <c r="CV2183" s="547"/>
      <c r="CW2183" s="547"/>
      <c r="CX2183" s="576"/>
      <c r="CY2183" s="576"/>
      <c r="CZ2183" s="576"/>
      <c r="DA2183" s="547"/>
      <c r="DB2183" s="547"/>
      <c r="DC2183" s="547"/>
      <c r="DD2183" s="576"/>
      <c r="DE2183" s="576"/>
      <c r="DF2183" s="576"/>
      <c r="DG2183" s="576"/>
      <c r="DH2183" s="576"/>
    </row>
    <row r="2184" s="547" customFormat="1" spans="1:112">
      <c r="A2184" s="569"/>
      <c r="B2184" s="547"/>
      <c r="C2184" s="547"/>
      <c r="D2184" s="547"/>
      <c r="E2184" s="570"/>
      <c r="F2184" s="547"/>
      <c r="G2184" s="547"/>
      <c r="H2184" s="547"/>
      <c r="I2184" s="547"/>
      <c r="J2184" s="547"/>
      <c r="K2184" s="547"/>
      <c r="L2184" s="547"/>
      <c r="M2184" s="547"/>
      <c r="N2184" s="547"/>
      <c r="O2184" s="547"/>
      <c r="P2184" s="547"/>
      <c r="Q2184" s="547"/>
      <c r="R2184" s="547"/>
      <c r="S2184" s="547"/>
      <c r="T2184" s="547"/>
      <c r="U2184" s="547"/>
      <c r="V2184" s="547"/>
      <c r="W2184" s="570"/>
      <c r="X2184" s="547"/>
      <c r="Y2184" s="547"/>
      <c r="Z2184" s="571"/>
      <c r="AA2184" s="572"/>
      <c r="AB2184" s="570"/>
      <c r="AC2184" s="1251"/>
      <c r="AD2184" s="573"/>
      <c r="AE2184" s="550"/>
      <c r="AF2184" s="550"/>
      <c r="AG2184" s="547"/>
      <c r="AH2184" s="547"/>
      <c r="AI2184" s="574"/>
      <c r="AJ2184" s="574"/>
      <c r="AK2184" s="575"/>
      <c r="AL2184" s="553"/>
      <c r="AM2184" s="575"/>
      <c r="AN2184" s="547"/>
      <c r="AO2184" s="547"/>
      <c r="AP2184" s="547"/>
      <c r="AQ2184" s="547"/>
      <c r="AR2184" s="576"/>
      <c r="AS2184" s="547"/>
      <c r="AT2184" s="547"/>
      <c r="AU2184" s="547"/>
      <c r="AV2184" s="547"/>
      <c r="AW2184" s="576"/>
      <c r="AX2184" s="547"/>
      <c r="AY2184" s="547"/>
      <c r="AZ2184" s="547"/>
      <c r="BA2184" s="547"/>
      <c r="BB2184" s="577"/>
      <c r="BC2184" s="547"/>
      <c r="BD2184" s="547"/>
      <c r="BE2184" s="547"/>
      <c r="BF2184" s="547"/>
      <c r="BG2184" s="547"/>
      <c r="BH2184" s="547"/>
      <c r="BI2184" s="547"/>
      <c r="BJ2184" s="547"/>
      <c r="BK2184" s="547"/>
      <c r="BL2184" s="547"/>
      <c r="BM2184" s="547"/>
      <c r="BN2184" s="547"/>
      <c r="BO2184" s="547"/>
      <c r="BP2184" s="547"/>
      <c r="BQ2184" s="547"/>
      <c r="BR2184" s="547"/>
      <c r="BS2184" s="547"/>
      <c r="BT2184" s="547"/>
      <c r="BU2184" s="547"/>
      <c r="BV2184" s="547"/>
      <c r="BW2184" s="547"/>
      <c r="BX2184" s="547"/>
      <c r="BY2184" s="576"/>
      <c r="BZ2184" s="547"/>
      <c r="CA2184" s="576"/>
      <c r="CB2184" s="570"/>
      <c r="CC2184" s="576"/>
      <c r="CD2184" s="576"/>
      <c r="CE2184" s="576"/>
      <c r="CF2184" s="547"/>
      <c r="CG2184" s="547"/>
      <c r="CH2184" s="547"/>
      <c r="CI2184" s="547"/>
      <c r="CJ2184" s="547"/>
      <c r="CK2184" s="547"/>
      <c r="CL2184" s="547"/>
      <c r="CM2184" s="547"/>
      <c r="CN2184" s="547"/>
      <c r="CO2184" s="547"/>
      <c r="CP2184" s="547"/>
      <c r="CQ2184" s="547"/>
      <c r="CR2184" s="547"/>
      <c r="CS2184" s="547"/>
      <c r="CT2184" s="547"/>
      <c r="CU2184" s="547"/>
      <c r="CV2184" s="547"/>
      <c r="CW2184" s="547"/>
      <c r="CX2184" s="576"/>
      <c r="CY2184" s="576"/>
      <c r="CZ2184" s="576"/>
      <c r="DA2184" s="547"/>
      <c r="DB2184" s="547"/>
      <c r="DC2184" s="547"/>
      <c r="DD2184" s="576"/>
      <c r="DE2184" s="576"/>
      <c r="DF2184" s="576"/>
      <c r="DG2184" s="576"/>
      <c r="DH2184" s="576"/>
    </row>
    <row r="2185" s="547" customFormat="1" spans="1:112">
      <c r="A2185" s="569"/>
      <c r="B2185" s="547"/>
      <c r="C2185" s="547"/>
      <c r="D2185" s="547"/>
      <c r="E2185" s="570"/>
      <c r="F2185" s="547"/>
      <c r="G2185" s="547"/>
      <c r="H2185" s="547"/>
      <c r="I2185" s="547"/>
      <c r="J2185" s="547"/>
      <c r="K2185" s="547"/>
      <c r="L2185" s="547"/>
      <c r="M2185" s="547"/>
      <c r="N2185" s="547"/>
      <c r="O2185" s="547"/>
      <c r="P2185" s="547"/>
      <c r="Q2185" s="547"/>
      <c r="R2185" s="547"/>
      <c r="S2185" s="547"/>
      <c r="T2185" s="547"/>
      <c r="U2185" s="547"/>
      <c r="V2185" s="547"/>
      <c r="W2185" s="570"/>
      <c r="X2185" s="547"/>
      <c r="Y2185" s="547"/>
      <c r="Z2185" s="571"/>
      <c r="AA2185" s="572"/>
      <c r="AB2185" s="570"/>
      <c r="AC2185" s="1251"/>
      <c r="AD2185" s="573"/>
      <c r="AE2185" s="550"/>
      <c r="AF2185" s="550"/>
      <c r="AG2185" s="547"/>
      <c r="AH2185" s="547"/>
      <c r="AI2185" s="574"/>
      <c r="AJ2185" s="574"/>
      <c r="AK2185" s="575"/>
      <c r="AL2185" s="553"/>
      <c r="AM2185" s="575"/>
      <c r="AN2185" s="547"/>
      <c r="AO2185" s="547"/>
      <c r="AP2185" s="547"/>
      <c r="AQ2185" s="547"/>
      <c r="AR2185" s="576"/>
      <c r="AS2185" s="547"/>
      <c r="AT2185" s="547"/>
      <c r="AU2185" s="547"/>
      <c r="AV2185" s="547"/>
      <c r="AW2185" s="576"/>
      <c r="AX2185" s="547"/>
      <c r="AY2185" s="547"/>
      <c r="AZ2185" s="547"/>
      <c r="BA2185" s="547"/>
      <c r="BB2185" s="577"/>
      <c r="BC2185" s="547"/>
      <c r="BD2185" s="547"/>
      <c r="BE2185" s="547"/>
      <c r="BF2185" s="547"/>
      <c r="BG2185" s="547"/>
      <c r="BH2185" s="547"/>
      <c r="BI2185" s="547"/>
      <c r="BJ2185" s="547"/>
      <c r="BK2185" s="547"/>
      <c r="BL2185" s="547"/>
      <c r="BM2185" s="547"/>
      <c r="BN2185" s="547"/>
      <c r="BO2185" s="547"/>
      <c r="BP2185" s="547"/>
      <c r="BQ2185" s="547"/>
      <c r="BR2185" s="547"/>
      <c r="BS2185" s="547"/>
      <c r="BT2185" s="547"/>
      <c r="BU2185" s="547"/>
      <c r="BV2185" s="547"/>
      <c r="BW2185" s="547"/>
      <c r="BX2185" s="547"/>
      <c r="BY2185" s="576"/>
      <c r="BZ2185" s="547"/>
      <c r="CA2185" s="576"/>
      <c r="CB2185" s="570"/>
      <c r="CC2185" s="576"/>
      <c r="CD2185" s="576"/>
      <c r="CE2185" s="576"/>
      <c r="CF2185" s="547"/>
      <c r="CG2185" s="547"/>
      <c r="CH2185" s="547"/>
      <c r="CI2185" s="547"/>
      <c r="CJ2185" s="547"/>
      <c r="CK2185" s="547"/>
      <c r="CL2185" s="547"/>
      <c r="CM2185" s="547"/>
      <c r="CN2185" s="547"/>
      <c r="CO2185" s="547"/>
      <c r="CP2185" s="547"/>
      <c r="CQ2185" s="547"/>
      <c r="CR2185" s="547"/>
      <c r="CS2185" s="547"/>
      <c r="CT2185" s="547"/>
      <c r="CU2185" s="547"/>
      <c r="CV2185" s="547"/>
      <c r="CW2185" s="547"/>
      <c r="CX2185" s="576"/>
      <c r="CY2185" s="576"/>
      <c r="CZ2185" s="576"/>
      <c r="DA2185" s="547"/>
      <c r="DB2185" s="547"/>
      <c r="DC2185" s="547"/>
      <c r="DD2185" s="576"/>
      <c r="DE2185" s="576"/>
      <c r="DF2185" s="576"/>
      <c r="DG2185" s="576"/>
      <c r="DH2185" s="576"/>
    </row>
    <row r="2186" s="547" customFormat="1" spans="1:112">
      <c r="A2186" s="569"/>
      <c r="B2186" s="547"/>
      <c r="C2186" s="547"/>
      <c r="D2186" s="547"/>
      <c r="E2186" s="570"/>
      <c r="F2186" s="547"/>
      <c r="G2186" s="547"/>
      <c r="H2186" s="547"/>
      <c r="I2186" s="547"/>
      <c r="J2186" s="547"/>
      <c r="K2186" s="547"/>
      <c r="L2186" s="547"/>
      <c r="M2186" s="547"/>
      <c r="N2186" s="547"/>
      <c r="O2186" s="547"/>
      <c r="P2186" s="547"/>
      <c r="Q2186" s="547"/>
      <c r="R2186" s="547"/>
      <c r="S2186" s="547"/>
      <c r="T2186" s="547"/>
      <c r="U2186" s="547"/>
      <c r="V2186" s="547"/>
      <c r="W2186" s="570"/>
      <c r="X2186" s="547"/>
      <c r="Y2186" s="547"/>
      <c r="Z2186" s="571"/>
      <c r="AA2186" s="572"/>
      <c r="AB2186" s="570"/>
      <c r="AC2186" s="1251"/>
      <c r="AD2186" s="573"/>
      <c r="AE2186" s="550"/>
      <c r="AF2186" s="550"/>
      <c r="AG2186" s="547"/>
      <c r="AH2186" s="547"/>
      <c r="AI2186" s="574"/>
      <c r="AJ2186" s="574"/>
      <c r="AK2186" s="575"/>
      <c r="AL2186" s="553"/>
      <c r="AM2186" s="575"/>
      <c r="AN2186" s="547"/>
      <c r="AO2186" s="547"/>
      <c r="AP2186" s="547"/>
      <c r="AQ2186" s="547"/>
      <c r="AR2186" s="576"/>
      <c r="AS2186" s="547"/>
      <c r="AT2186" s="547"/>
      <c r="AU2186" s="547"/>
      <c r="AV2186" s="547"/>
      <c r="AW2186" s="576"/>
      <c r="AX2186" s="547"/>
      <c r="AY2186" s="547"/>
      <c r="AZ2186" s="547"/>
      <c r="BA2186" s="547"/>
      <c r="BB2186" s="577"/>
      <c r="BC2186" s="547"/>
      <c r="BD2186" s="547"/>
      <c r="BE2186" s="547"/>
      <c r="BF2186" s="547"/>
      <c r="BG2186" s="547"/>
      <c r="BH2186" s="547"/>
      <c r="BI2186" s="547"/>
      <c r="BJ2186" s="547"/>
      <c r="BK2186" s="547"/>
      <c r="BL2186" s="547"/>
      <c r="BM2186" s="547"/>
      <c r="BN2186" s="547"/>
      <c r="BO2186" s="547"/>
      <c r="BP2186" s="547"/>
      <c r="BQ2186" s="547"/>
      <c r="BR2186" s="547"/>
      <c r="BS2186" s="547"/>
      <c r="BT2186" s="547"/>
      <c r="BU2186" s="547"/>
      <c r="BV2186" s="547"/>
      <c r="BW2186" s="547"/>
      <c r="BX2186" s="547"/>
      <c r="BY2186" s="576"/>
      <c r="BZ2186" s="547"/>
      <c r="CA2186" s="576"/>
      <c r="CB2186" s="570"/>
      <c r="CC2186" s="576"/>
      <c r="CD2186" s="576"/>
      <c r="CE2186" s="576"/>
      <c r="CF2186" s="547"/>
      <c r="CG2186" s="547"/>
      <c r="CH2186" s="547"/>
      <c r="CI2186" s="547"/>
      <c r="CJ2186" s="547"/>
      <c r="CK2186" s="547"/>
      <c r="CL2186" s="547"/>
      <c r="CM2186" s="547"/>
      <c r="CN2186" s="547"/>
      <c r="CO2186" s="547"/>
      <c r="CP2186" s="547"/>
      <c r="CQ2186" s="547"/>
      <c r="CR2186" s="547"/>
      <c r="CS2186" s="547"/>
      <c r="CT2186" s="547"/>
      <c r="CU2186" s="547"/>
      <c r="CV2186" s="547"/>
      <c r="CW2186" s="547"/>
      <c r="CX2186" s="576"/>
      <c r="CY2186" s="576"/>
      <c r="CZ2186" s="576"/>
      <c r="DA2186" s="547"/>
      <c r="DB2186" s="547"/>
      <c r="DC2186" s="547"/>
      <c r="DD2186" s="576"/>
      <c r="DE2186" s="576"/>
      <c r="DF2186" s="576"/>
      <c r="DG2186" s="576"/>
      <c r="DH2186" s="576"/>
    </row>
    <row r="2187" s="547" customFormat="1" spans="1:112">
      <c r="A2187" s="569"/>
      <c r="B2187" s="547"/>
      <c r="C2187" s="547"/>
      <c r="D2187" s="547"/>
      <c r="E2187" s="570"/>
      <c r="F2187" s="547"/>
      <c r="G2187" s="547"/>
      <c r="H2187" s="547"/>
      <c r="I2187" s="547"/>
      <c r="J2187" s="547"/>
      <c r="K2187" s="547"/>
      <c r="L2187" s="547"/>
      <c r="M2187" s="547"/>
      <c r="N2187" s="558"/>
      <c r="O2187" s="547"/>
      <c r="P2187" s="547"/>
      <c r="Q2187" s="547"/>
      <c r="R2187" s="547"/>
      <c r="S2187" s="547"/>
      <c r="T2187" s="547"/>
      <c r="U2187" s="547"/>
      <c r="V2187" s="547"/>
      <c r="W2187" s="570"/>
      <c r="X2187" s="547"/>
      <c r="Y2187" s="547"/>
      <c r="Z2187" s="571"/>
      <c r="AA2187" s="572"/>
      <c r="AB2187" s="570"/>
      <c r="AC2187" s="1251"/>
      <c r="AD2187" s="573"/>
      <c r="AE2187" s="550"/>
      <c r="AF2187" s="550"/>
      <c r="AG2187" s="547"/>
      <c r="AH2187" s="547"/>
      <c r="AI2187" s="574"/>
      <c r="AJ2187" s="574"/>
      <c r="AK2187" s="575"/>
      <c r="AL2187" s="553"/>
      <c r="AM2187" s="575"/>
      <c r="AN2187" s="547"/>
      <c r="AO2187" s="547"/>
      <c r="AP2187" s="547"/>
      <c r="AQ2187" s="547"/>
      <c r="AR2187" s="576"/>
      <c r="AS2187" s="547"/>
      <c r="AT2187" s="547"/>
      <c r="AU2187" s="547"/>
      <c r="AV2187" s="547"/>
      <c r="AW2187" s="576"/>
      <c r="AX2187" s="547"/>
      <c r="AY2187" s="547"/>
      <c r="AZ2187" s="547"/>
      <c r="BA2187" s="547"/>
      <c r="BB2187" s="577"/>
      <c r="BC2187" s="547"/>
      <c r="BD2187" s="547"/>
      <c r="BE2187" s="547"/>
      <c r="BF2187" s="547"/>
      <c r="BG2187" s="547"/>
      <c r="BH2187" s="547"/>
      <c r="BI2187" s="547"/>
      <c r="BJ2187" s="547"/>
      <c r="BK2187" s="547"/>
      <c r="BL2187" s="547"/>
      <c r="BM2187" s="547"/>
      <c r="BN2187" s="547"/>
      <c r="BO2187" s="547"/>
      <c r="BP2187" s="547"/>
      <c r="BQ2187" s="547"/>
      <c r="BR2187" s="547"/>
      <c r="BS2187" s="547"/>
      <c r="BT2187" s="547"/>
      <c r="BU2187" s="547"/>
      <c r="BV2187" s="547"/>
      <c r="BW2187" s="547"/>
      <c r="BX2187" s="547"/>
      <c r="BY2187" s="576"/>
      <c r="BZ2187" s="547"/>
      <c r="CA2187" s="576"/>
      <c r="CB2187" s="570"/>
      <c r="CC2187" s="576"/>
      <c r="CD2187" s="576"/>
      <c r="CE2187" s="576"/>
      <c r="CF2187" s="547"/>
      <c r="CG2187" s="547"/>
      <c r="CH2187" s="547"/>
      <c r="CI2187" s="547"/>
      <c r="CJ2187" s="547"/>
      <c r="CK2187" s="547"/>
      <c r="CL2187" s="547"/>
      <c r="CM2187" s="547"/>
      <c r="CN2187" s="547"/>
      <c r="CO2187" s="547"/>
      <c r="CP2187" s="547"/>
      <c r="CQ2187" s="547"/>
      <c r="CR2187" s="547"/>
      <c r="CS2187" s="547"/>
      <c r="CT2187" s="547"/>
      <c r="CU2187" s="547"/>
      <c r="CV2187" s="547"/>
      <c r="CW2187" s="547"/>
      <c r="CX2187" s="576"/>
      <c r="CY2187" s="576"/>
      <c r="CZ2187" s="576"/>
      <c r="DA2187" s="547"/>
      <c r="DB2187" s="547"/>
      <c r="DC2187" s="547"/>
      <c r="DD2187" s="576"/>
      <c r="DE2187" s="576"/>
      <c r="DF2187" s="576"/>
      <c r="DG2187" s="576"/>
      <c r="DH2187" s="576"/>
    </row>
    <row r="2188" s="547" customFormat="1" spans="1:112">
      <c r="A2188" s="569"/>
      <c r="B2188" s="547"/>
      <c r="C2188" s="547"/>
      <c r="D2188" s="547"/>
      <c r="E2188" s="570"/>
      <c r="F2188" s="547"/>
      <c r="G2188" s="547"/>
      <c r="H2188" s="547"/>
      <c r="I2188" s="547"/>
      <c r="J2188" s="547"/>
      <c r="K2188" s="547"/>
      <c r="L2188" s="547"/>
      <c r="M2188" s="547"/>
      <c r="N2188" s="547"/>
      <c r="O2188" s="547"/>
      <c r="P2188" s="547"/>
      <c r="Q2188" s="547"/>
      <c r="R2188" s="547"/>
      <c r="S2188" s="547"/>
      <c r="T2188" s="570"/>
      <c r="U2188" s="570"/>
      <c r="V2188" s="547"/>
      <c r="W2188" s="570"/>
      <c r="X2188" s="547"/>
      <c r="Y2188" s="547"/>
      <c r="Z2188" s="571"/>
      <c r="AA2188" s="572"/>
      <c r="AB2188" s="570"/>
      <c r="AC2188" s="1251"/>
      <c r="AD2188" s="573"/>
      <c r="AE2188" s="550"/>
      <c r="AF2188" s="550"/>
      <c r="AG2188" s="547"/>
      <c r="AH2188" s="547"/>
      <c r="AI2188" s="574"/>
      <c r="AJ2188" s="574"/>
      <c r="AK2188" s="575"/>
      <c r="AL2188" s="939"/>
      <c r="AM2188" s="575"/>
      <c r="AN2188" s="547"/>
      <c r="AO2188" s="547"/>
      <c r="AP2188" s="547"/>
      <c r="AQ2188" s="547"/>
      <c r="AR2188" s="576"/>
      <c r="AS2188" s="547"/>
      <c r="AT2188" s="547"/>
      <c r="AU2188" s="547"/>
      <c r="AV2188" s="547"/>
      <c r="AW2188" s="576"/>
      <c r="AX2188" s="547"/>
      <c r="AY2188" s="547"/>
      <c r="AZ2188" s="547"/>
      <c r="BA2188" s="547"/>
      <c r="BB2188" s="577"/>
      <c r="BC2188" s="547"/>
      <c r="BD2188" s="547"/>
      <c r="BE2188" s="547"/>
      <c r="BF2188" s="547"/>
      <c r="BG2188" s="547"/>
      <c r="BH2188" s="547"/>
      <c r="BI2188" s="547"/>
      <c r="BJ2188" s="547"/>
      <c r="BK2188" s="547"/>
      <c r="BL2188" s="547"/>
      <c r="BM2188" s="547"/>
      <c r="BN2188" s="547"/>
      <c r="BO2188" s="547"/>
      <c r="BP2188" s="547"/>
      <c r="BQ2188" s="547"/>
      <c r="BR2188" s="547"/>
      <c r="BS2188" s="547"/>
      <c r="BT2188" s="547"/>
      <c r="BU2188" s="547"/>
      <c r="BV2188" s="547"/>
      <c r="BW2188" s="547"/>
      <c r="BX2188" s="547"/>
      <c r="BY2188" s="576"/>
      <c r="BZ2188" s="547"/>
      <c r="CA2188" s="576"/>
      <c r="CB2188" s="570"/>
      <c r="CC2188" s="576"/>
      <c r="CD2188" s="576"/>
      <c r="CE2188" s="576"/>
      <c r="CF2188" s="547"/>
      <c r="CG2188" s="547"/>
      <c r="CH2188" s="547"/>
      <c r="CI2188" s="547"/>
      <c r="CJ2188" s="547"/>
      <c r="CK2188" s="547"/>
      <c r="CL2188" s="547"/>
      <c r="CM2188" s="547"/>
      <c r="CN2188" s="547"/>
      <c r="CO2188" s="547"/>
      <c r="CP2188" s="547"/>
      <c r="CQ2188" s="547"/>
      <c r="CR2188" s="547"/>
      <c r="CS2188" s="547"/>
      <c r="CT2188" s="547"/>
      <c r="CU2188" s="547"/>
      <c r="CV2188" s="547"/>
      <c r="CW2188" s="547"/>
      <c r="CX2188" s="576"/>
      <c r="CY2188" s="576"/>
      <c r="CZ2188" s="576"/>
      <c r="DA2188" s="547"/>
      <c r="DB2188" s="547"/>
      <c r="DC2188" s="547"/>
      <c r="DD2188" s="576"/>
      <c r="DE2188" s="576"/>
      <c r="DF2188" s="576"/>
      <c r="DG2188" s="576"/>
      <c r="DH2188" s="576"/>
    </row>
    <row r="2189" s="547" customFormat="1" ht="8.55" customHeight="1" spans="1:112">
      <c r="A2189" s="569"/>
      <c r="B2189" s="547"/>
      <c r="C2189" s="547"/>
      <c r="D2189" s="547"/>
      <c r="E2189" s="570"/>
      <c r="F2189" s="547"/>
      <c r="G2189" s="547"/>
      <c r="H2189" s="547"/>
      <c r="I2189" s="547"/>
      <c r="J2189" s="547"/>
      <c r="K2189" s="547"/>
      <c r="L2189" s="547"/>
      <c r="M2189" s="547"/>
      <c r="N2189" s="547"/>
      <c r="O2189" s="547"/>
      <c r="P2189" s="547"/>
      <c r="Q2189" s="547"/>
      <c r="R2189" s="547"/>
      <c r="S2189" s="547"/>
      <c r="T2189" s="570"/>
      <c r="U2189" s="570"/>
      <c r="V2189" s="547"/>
      <c r="W2189" s="570"/>
      <c r="X2189" s="547"/>
      <c r="Y2189" s="547"/>
      <c r="Z2189" s="571"/>
      <c r="AA2189" s="572"/>
      <c r="AB2189" s="570"/>
      <c r="AC2189" s="1251"/>
      <c r="AD2189" s="573"/>
      <c r="AE2189" s="550"/>
      <c r="AF2189" s="550"/>
      <c r="AG2189" s="547"/>
      <c r="AH2189" s="547"/>
      <c r="AI2189" s="574"/>
      <c r="AJ2189" s="574"/>
      <c r="AK2189" s="575"/>
      <c r="AL2189" s="553"/>
      <c r="AM2189" s="575"/>
      <c r="AN2189" s="547"/>
      <c r="AO2189" s="547"/>
      <c r="AP2189" s="547"/>
      <c r="AQ2189" s="547"/>
      <c r="AR2189" s="576"/>
      <c r="AS2189" s="547"/>
      <c r="AT2189" s="547"/>
      <c r="AU2189" s="547"/>
      <c r="AV2189" s="547"/>
      <c r="AW2189" s="576"/>
      <c r="AX2189" s="547"/>
      <c r="AY2189" s="547"/>
      <c r="AZ2189" s="547"/>
      <c r="BA2189" s="547"/>
      <c r="BB2189" s="577"/>
      <c r="BC2189" s="547"/>
      <c r="BD2189" s="547"/>
      <c r="BE2189" s="547"/>
      <c r="BF2189" s="547"/>
      <c r="BG2189" s="547"/>
      <c r="BH2189" s="547"/>
      <c r="BI2189" s="547"/>
      <c r="BJ2189" s="547"/>
      <c r="BK2189" s="547"/>
      <c r="BL2189" s="547"/>
      <c r="BM2189" s="547"/>
      <c r="BN2189" s="547"/>
      <c r="BO2189" s="547"/>
      <c r="BP2189" s="547"/>
      <c r="BQ2189" s="547"/>
      <c r="BR2189" s="547"/>
      <c r="BS2189" s="547"/>
      <c r="BT2189" s="547"/>
      <c r="BU2189" s="547"/>
      <c r="BV2189" s="547"/>
      <c r="BW2189" s="547"/>
      <c r="BX2189" s="547"/>
      <c r="BY2189" s="576"/>
      <c r="BZ2189" s="547"/>
      <c r="CA2189" s="576"/>
      <c r="CB2189" s="570"/>
      <c r="CC2189" s="576"/>
      <c r="CD2189" s="576"/>
      <c r="CE2189" s="576"/>
      <c r="CF2189" s="547"/>
      <c r="CG2189" s="547"/>
      <c r="CH2189" s="547"/>
      <c r="CI2189" s="547"/>
      <c r="CJ2189" s="547"/>
      <c r="CK2189" s="547"/>
      <c r="CL2189" s="547"/>
      <c r="CM2189" s="547"/>
      <c r="CN2189" s="547"/>
      <c r="CO2189" s="547"/>
      <c r="CP2189" s="547"/>
      <c r="CQ2189" s="547"/>
      <c r="CR2189" s="547"/>
      <c r="CS2189" s="547"/>
      <c r="CT2189" s="547"/>
      <c r="CU2189" s="547"/>
      <c r="CV2189" s="547"/>
      <c r="CW2189" s="547"/>
      <c r="CX2189" s="576"/>
      <c r="CY2189" s="576"/>
      <c r="CZ2189" s="576"/>
      <c r="DA2189" s="547"/>
      <c r="DB2189" s="547"/>
      <c r="DC2189" s="547"/>
      <c r="DD2189" s="576"/>
      <c r="DE2189" s="576"/>
      <c r="DF2189" s="576"/>
      <c r="DG2189" s="576"/>
      <c r="DH2189" s="576"/>
    </row>
    <row r="2190" s="547" customFormat="1" spans="1:112">
      <c r="A2190" s="569"/>
      <c r="B2190" s="547"/>
      <c r="C2190" s="547"/>
      <c r="D2190" s="547"/>
      <c r="E2190" s="570"/>
      <c r="F2190" s="547"/>
      <c r="G2190" s="547"/>
      <c r="H2190" s="547"/>
      <c r="I2190" s="547"/>
      <c r="J2190" s="547"/>
      <c r="K2190" s="547"/>
      <c r="L2190" s="547"/>
      <c r="M2190" s="547"/>
      <c r="N2190" s="547"/>
      <c r="O2190" s="547"/>
      <c r="P2190" s="547"/>
      <c r="Q2190" s="547"/>
      <c r="R2190" s="547"/>
      <c r="S2190" s="547"/>
      <c r="T2190" s="570"/>
      <c r="U2190" s="570"/>
      <c r="V2190" s="547"/>
      <c r="W2190" s="570"/>
      <c r="X2190" s="547"/>
      <c r="Y2190" s="547"/>
      <c r="Z2190" s="571"/>
      <c r="AA2190" s="572"/>
      <c r="AB2190" s="570"/>
      <c r="AC2190" s="1251"/>
      <c r="AD2190" s="573"/>
      <c r="AE2190" s="550"/>
      <c r="AF2190" s="550"/>
      <c r="AG2190" s="547"/>
      <c r="AH2190" s="547"/>
      <c r="AI2190" s="574"/>
      <c r="AJ2190" s="574"/>
      <c r="AK2190" s="575"/>
      <c r="AL2190" s="553"/>
      <c r="AM2190" s="575"/>
      <c r="AN2190" s="547"/>
      <c r="AO2190" s="547"/>
      <c r="AP2190" s="547"/>
      <c r="AQ2190" s="547"/>
      <c r="AR2190" s="576"/>
      <c r="AS2190" s="547"/>
      <c r="AT2190" s="547"/>
      <c r="AU2190" s="547"/>
      <c r="AV2190" s="547"/>
      <c r="AW2190" s="576"/>
      <c r="AX2190" s="547"/>
      <c r="AY2190" s="547"/>
      <c r="AZ2190" s="547"/>
      <c r="BA2190" s="547"/>
      <c r="BB2190" s="577"/>
      <c r="BC2190" s="547"/>
      <c r="BD2190" s="547"/>
      <c r="BE2190" s="547"/>
      <c r="BF2190" s="547"/>
      <c r="BG2190" s="547"/>
      <c r="BH2190" s="547"/>
      <c r="BI2190" s="547"/>
      <c r="BJ2190" s="547"/>
      <c r="BK2190" s="547"/>
      <c r="BL2190" s="547"/>
      <c r="BM2190" s="547"/>
      <c r="BN2190" s="547"/>
      <c r="BO2190" s="547"/>
      <c r="BP2190" s="547"/>
      <c r="BQ2190" s="547"/>
      <c r="BR2190" s="547"/>
      <c r="BS2190" s="547"/>
      <c r="BT2190" s="547"/>
      <c r="BU2190" s="547"/>
      <c r="BV2190" s="547"/>
      <c r="BW2190" s="547"/>
      <c r="BX2190" s="547"/>
      <c r="BY2190" s="576"/>
      <c r="BZ2190" s="547"/>
      <c r="CA2190" s="576"/>
      <c r="CB2190" s="570"/>
      <c r="CC2190" s="576"/>
      <c r="CD2190" s="576"/>
      <c r="CE2190" s="576"/>
      <c r="CF2190" s="547"/>
      <c r="CG2190" s="547"/>
      <c r="CH2190" s="547"/>
      <c r="CI2190" s="547"/>
      <c r="CJ2190" s="547"/>
      <c r="CK2190" s="547"/>
      <c r="CL2190" s="547"/>
      <c r="CM2190" s="547"/>
      <c r="CN2190" s="547"/>
      <c r="CO2190" s="547"/>
      <c r="CP2190" s="547"/>
      <c r="CQ2190" s="547"/>
      <c r="CR2190" s="547"/>
      <c r="CS2190" s="547"/>
      <c r="CT2190" s="547"/>
      <c r="CU2190" s="547"/>
      <c r="CV2190" s="547"/>
      <c r="CW2190" s="547"/>
      <c r="CX2190" s="576"/>
      <c r="CY2190" s="576"/>
      <c r="CZ2190" s="576"/>
      <c r="DA2190" s="547"/>
      <c r="DB2190" s="547"/>
      <c r="DC2190" s="547"/>
      <c r="DD2190" s="576"/>
      <c r="DE2190" s="576"/>
      <c r="DF2190" s="576"/>
      <c r="DG2190" s="576"/>
      <c r="DH2190" s="576"/>
    </row>
    <row r="2191" s="547" customFormat="1" spans="1:112">
      <c r="A2191" s="569"/>
      <c r="B2191" s="547"/>
      <c r="C2191" s="547"/>
      <c r="D2191" s="547"/>
      <c r="E2191" s="570"/>
      <c r="F2191" s="547"/>
      <c r="G2191" s="547"/>
      <c r="H2191" s="547"/>
      <c r="I2191" s="547"/>
      <c r="J2191" s="547"/>
      <c r="K2191" s="547"/>
      <c r="L2191" s="547"/>
      <c r="M2191" s="547"/>
      <c r="N2191" s="547"/>
      <c r="O2191" s="547"/>
      <c r="P2191" s="547"/>
      <c r="Q2191" s="547"/>
      <c r="R2191" s="547"/>
      <c r="S2191" s="547"/>
      <c r="T2191" s="570"/>
      <c r="U2191" s="570"/>
      <c r="V2191" s="547"/>
      <c r="W2191" s="570"/>
      <c r="X2191" s="547"/>
      <c r="Y2191" s="547"/>
      <c r="Z2191" s="571"/>
      <c r="AA2191" s="572"/>
      <c r="AB2191" s="570"/>
      <c r="AC2191" s="1251"/>
      <c r="AD2191" s="573"/>
      <c r="AE2191" s="550"/>
      <c r="AF2191" s="550"/>
      <c r="AG2191" s="547"/>
      <c r="AH2191" s="547"/>
      <c r="AI2191" s="574"/>
      <c r="AJ2191" s="574"/>
      <c r="AK2191" s="575"/>
      <c r="AL2191" s="553"/>
      <c r="AM2191" s="575"/>
      <c r="AN2191" s="547"/>
      <c r="AO2191" s="547"/>
      <c r="AP2191" s="547"/>
      <c r="AQ2191" s="547"/>
      <c r="AR2191" s="576"/>
      <c r="AS2191" s="547"/>
      <c r="AT2191" s="547"/>
      <c r="AU2191" s="547"/>
      <c r="AV2191" s="547"/>
      <c r="AW2191" s="576"/>
      <c r="AX2191" s="547"/>
      <c r="AY2191" s="547"/>
      <c r="AZ2191" s="547"/>
      <c r="BA2191" s="547"/>
      <c r="BB2191" s="577"/>
      <c r="BC2191" s="547"/>
      <c r="BD2191" s="547"/>
      <c r="BE2191" s="547"/>
      <c r="BF2191" s="547"/>
      <c r="BG2191" s="547"/>
      <c r="BH2191" s="547"/>
      <c r="BI2191" s="547"/>
      <c r="BJ2191" s="547"/>
      <c r="BK2191" s="547"/>
      <c r="BL2191" s="547"/>
      <c r="BM2191" s="547"/>
      <c r="BN2191" s="547"/>
      <c r="BO2191" s="547"/>
      <c r="BP2191" s="547"/>
      <c r="BQ2191" s="547"/>
      <c r="BR2191" s="547"/>
      <c r="BS2191" s="547"/>
      <c r="BT2191" s="547"/>
      <c r="BU2191" s="547"/>
      <c r="BV2191" s="547"/>
      <c r="BW2191" s="547"/>
      <c r="BX2191" s="547"/>
      <c r="BY2191" s="576"/>
      <c r="BZ2191" s="547"/>
      <c r="CA2191" s="576"/>
      <c r="CB2191" s="570"/>
      <c r="CC2191" s="576"/>
      <c r="CD2191" s="576"/>
      <c r="CE2191" s="576"/>
      <c r="CF2191" s="547"/>
      <c r="CG2191" s="547"/>
      <c r="CH2191" s="547"/>
      <c r="CI2191" s="547"/>
      <c r="CJ2191" s="547"/>
      <c r="CK2191" s="547"/>
      <c r="CL2191" s="547"/>
      <c r="CM2191" s="547"/>
      <c r="CN2191" s="547"/>
      <c r="CO2191" s="547"/>
      <c r="CP2191" s="547"/>
      <c r="CQ2191" s="547"/>
      <c r="CR2191" s="547"/>
      <c r="CS2191" s="547"/>
      <c r="CT2191" s="547"/>
      <c r="CU2191" s="547"/>
      <c r="CV2191" s="547"/>
      <c r="CW2191" s="547"/>
      <c r="CX2191" s="576"/>
      <c r="CY2191" s="576"/>
      <c r="CZ2191" s="576"/>
      <c r="DA2191" s="547"/>
      <c r="DB2191" s="547"/>
      <c r="DC2191" s="547"/>
      <c r="DD2191" s="576"/>
      <c r="DE2191" s="576"/>
      <c r="DF2191" s="576"/>
      <c r="DG2191" s="576"/>
      <c r="DH2191" s="576"/>
    </row>
    <row r="2192" s="547" customFormat="1" spans="1:112">
      <c r="A2192" s="569"/>
      <c r="B2192" s="547"/>
      <c r="C2192" s="547"/>
      <c r="D2192" s="547"/>
      <c r="E2192" s="570"/>
      <c r="F2192" s="547"/>
      <c r="G2192" s="547"/>
      <c r="H2192" s="547"/>
      <c r="I2192" s="547"/>
      <c r="J2192" s="547"/>
      <c r="K2192" s="547"/>
      <c r="L2192" s="547"/>
      <c r="M2192" s="547"/>
      <c r="N2192" s="547"/>
      <c r="O2192" s="547"/>
      <c r="P2192" s="547"/>
      <c r="Q2192" s="547"/>
      <c r="R2192" s="547"/>
      <c r="S2192" s="547"/>
      <c r="T2192" s="570"/>
      <c r="U2192" s="570"/>
      <c r="V2192" s="547"/>
      <c r="W2192" s="570"/>
      <c r="X2192" s="547"/>
      <c r="Y2192" s="547"/>
      <c r="Z2192" s="571"/>
      <c r="AA2192" s="572"/>
      <c r="AB2192" s="570"/>
      <c r="AC2192" s="1251"/>
      <c r="AD2192" s="573"/>
      <c r="AE2192" s="550"/>
      <c r="AF2192" s="550"/>
      <c r="AG2192" s="547"/>
      <c r="AH2192" s="547"/>
      <c r="AI2192" s="574"/>
      <c r="AJ2192" s="574"/>
      <c r="AK2192" s="575"/>
      <c r="AL2192" s="553"/>
      <c r="AM2192" s="575"/>
      <c r="AN2192" s="547"/>
      <c r="AO2192" s="547"/>
      <c r="AP2192" s="547"/>
      <c r="AQ2192" s="547"/>
      <c r="AR2192" s="576"/>
      <c r="AS2192" s="547"/>
      <c r="AT2192" s="547"/>
      <c r="AU2192" s="547"/>
      <c r="AV2192" s="547"/>
      <c r="AW2192" s="576"/>
      <c r="AX2192" s="547"/>
      <c r="AY2192" s="547"/>
      <c r="AZ2192" s="547"/>
      <c r="BA2192" s="547"/>
      <c r="BB2192" s="577"/>
      <c r="BC2192" s="547"/>
      <c r="BD2192" s="547"/>
      <c r="BE2192" s="547"/>
      <c r="BF2192" s="547"/>
      <c r="BG2192" s="547"/>
      <c r="BH2192" s="547"/>
      <c r="BI2192" s="547"/>
      <c r="BJ2192" s="547"/>
      <c r="BK2192" s="547"/>
      <c r="BL2192" s="547"/>
      <c r="BM2192" s="547"/>
      <c r="BN2192" s="547"/>
      <c r="BO2192" s="547"/>
      <c r="BP2192" s="547"/>
      <c r="BQ2192" s="547"/>
      <c r="BR2192" s="547"/>
      <c r="BS2192" s="547"/>
      <c r="BT2192" s="547"/>
      <c r="BU2192" s="547"/>
      <c r="BV2192" s="547"/>
      <c r="BW2192" s="547"/>
      <c r="BX2192" s="547"/>
      <c r="BY2192" s="576"/>
      <c r="BZ2192" s="547"/>
      <c r="CA2192" s="576"/>
      <c r="CB2192" s="570"/>
      <c r="CC2192" s="576"/>
      <c r="CD2192" s="576"/>
      <c r="CE2192" s="576"/>
      <c r="CF2192" s="547"/>
      <c r="CG2192" s="547"/>
      <c r="CH2192" s="547"/>
      <c r="CI2192" s="547"/>
      <c r="CJ2192" s="547"/>
      <c r="CK2192" s="547"/>
      <c r="CL2192" s="547"/>
      <c r="CM2192" s="547"/>
      <c r="CN2192" s="547"/>
      <c r="CO2192" s="547"/>
      <c r="CP2192" s="547"/>
      <c r="CQ2192" s="547"/>
      <c r="CR2192" s="547"/>
      <c r="CS2192" s="547"/>
      <c r="CT2192" s="547"/>
      <c r="CU2192" s="547"/>
      <c r="CV2192" s="547"/>
      <c r="CW2192" s="547"/>
      <c r="CX2192" s="576"/>
      <c r="CY2192" s="576"/>
      <c r="CZ2192" s="576"/>
      <c r="DA2192" s="547"/>
      <c r="DB2192" s="547"/>
      <c r="DC2192" s="547"/>
      <c r="DD2192" s="576"/>
      <c r="DE2192" s="576"/>
      <c r="DF2192" s="576"/>
      <c r="DG2192" s="576"/>
      <c r="DH2192" s="576"/>
    </row>
    <row r="2193" s="547" customFormat="1" spans="1:112">
      <c r="A2193" s="569"/>
      <c r="B2193" s="547"/>
      <c r="C2193" s="547"/>
      <c r="D2193" s="547"/>
      <c r="E2193" s="570"/>
      <c r="F2193" s="547"/>
      <c r="G2193" s="547"/>
      <c r="H2193" s="547"/>
      <c r="I2193" s="547"/>
      <c r="J2193" s="547"/>
      <c r="K2193" s="547"/>
      <c r="L2193" s="547"/>
      <c r="M2193" s="547"/>
      <c r="N2193" s="547"/>
      <c r="O2193" s="547"/>
      <c r="P2193" s="547"/>
      <c r="Q2193" s="547"/>
      <c r="R2193" s="547"/>
      <c r="S2193" s="547"/>
      <c r="T2193" s="570"/>
      <c r="U2193" s="570"/>
      <c r="V2193" s="547"/>
      <c r="W2193" s="570"/>
      <c r="X2193" s="547"/>
      <c r="Y2193" s="547"/>
      <c r="Z2193" s="571"/>
      <c r="AA2193" s="572"/>
      <c r="AB2193" s="570"/>
      <c r="AC2193" s="1251"/>
      <c r="AD2193" s="573"/>
      <c r="AE2193" s="550"/>
      <c r="AF2193" s="550"/>
      <c r="AG2193" s="547"/>
      <c r="AH2193" s="547"/>
      <c r="AI2193" s="574"/>
      <c r="AJ2193" s="574"/>
      <c r="AK2193" s="575"/>
      <c r="AL2193" s="553"/>
      <c r="AM2193" s="575"/>
      <c r="AN2193" s="547"/>
      <c r="AO2193" s="547"/>
      <c r="AP2193" s="547"/>
      <c r="AQ2193" s="547"/>
      <c r="AR2193" s="576"/>
      <c r="AS2193" s="547"/>
      <c r="AT2193" s="547"/>
      <c r="AU2193" s="547"/>
      <c r="AV2193" s="547"/>
      <c r="AW2193" s="576"/>
      <c r="AX2193" s="547"/>
      <c r="AY2193" s="547"/>
      <c r="AZ2193" s="547"/>
      <c r="BA2193" s="547"/>
      <c r="BB2193" s="577"/>
      <c r="BC2193" s="547"/>
      <c r="BD2193" s="547"/>
      <c r="BE2193" s="547"/>
      <c r="BF2193" s="547"/>
      <c r="BG2193" s="547"/>
      <c r="BH2193" s="547"/>
      <c r="BI2193" s="547"/>
      <c r="BJ2193" s="547"/>
      <c r="BK2193" s="547"/>
      <c r="BL2193" s="547"/>
      <c r="BM2193" s="547"/>
      <c r="BN2193" s="547"/>
      <c r="BO2193" s="547"/>
      <c r="BP2193" s="547"/>
      <c r="BQ2193" s="547"/>
      <c r="BR2193" s="547"/>
      <c r="BS2193" s="547"/>
      <c r="BT2193" s="547"/>
      <c r="BU2193" s="547"/>
      <c r="BV2193" s="547"/>
      <c r="BW2193" s="547"/>
      <c r="BX2193" s="547"/>
      <c r="BY2193" s="576"/>
      <c r="BZ2193" s="547"/>
      <c r="CA2193" s="576"/>
      <c r="CB2193" s="570"/>
      <c r="CC2193" s="576"/>
      <c r="CD2193" s="576"/>
      <c r="CE2193" s="576"/>
      <c r="CF2193" s="547"/>
      <c r="CG2193" s="547"/>
      <c r="CH2193" s="547"/>
      <c r="CI2193" s="547"/>
      <c r="CJ2193" s="547"/>
      <c r="CK2193" s="547"/>
      <c r="CL2193" s="547"/>
      <c r="CM2193" s="547"/>
      <c r="CN2193" s="547"/>
      <c r="CO2193" s="547"/>
      <c r="CP2193" s="547"/>
      <c r="CQ2193" s="547"/>
      <c r="CR2193" s="547"/>
      <c r="CS2193" s="547"/>
      <c r="CT2193" s="547"/>
      <c r="CU2193" s="547"/>
      <c r="CV2193" s="547"/>
      <c r="CW2193" s="547"/>
      <c r="CX2193" s="576"/>
      <c r="CY2193" s="576"/>
      <c r="CZ2193" s="576"/>
      <c r="DA2193" s="547"/>
      <c r="DB2193" s="547"/>
      <c r="DC2193" s="547"/>
      <c r="DD2193" s="576"/>
      <c r="DE2193" s="576"/>
      <c r="DF2193" s="576"/>
      <c r="DG2193" s="576"/>
      <c r="DH2193" s="576"/>
    </row>
    <row r="2194" s="547" customFormat="1" spans="1:112">
      <c r="A2194" s="569"/>
      <c r="B2194" s="547"/>
      <c r="C2194" s="547"/>
      <c r="D2194" s="547"/>
      <c r="E2194" s="570"/>
      <c r="F2194" s="547"/>
      <c r="G2194" s="547"/>
      <c r="H2194" s="547"/>
      <c r="I2194" s="547"/>
      <c r="J2194" s="547"/>
      <c r="K2194" s="547"/>
      <c r="L2194" s="547"/>
      <c r="M2194" s="547"/>
      <c r="N2194" s="547"/>
      <c r="O2194" s="547"/>
      <c r="P2194" s="547"/>
      <c r="Q2194" s="547"/>
      <c r="R2194" s="547"/>
      <c r="S2194" s="547"/>
      <c r="T2194" s="570"/>
      <c r="U2194" s="570"/>
      <c r="V2194" s="547"/>
      <c r="W2194" s="570"/>
      <c r="X2194" s="547"/>
      <c r="Y2194" s="547"/>
      <c r="Z2194" s="571"/>
      <c r="AA2194" s="572"/>
      <c r="AB2194" s="570"/>
      <c r="AC2194" s="1251"/>
      <c r="AD2194" s="573"/>
      <c r="AE2194" s="550"/>
      <c r="AF2194" s="550"/>
      <c r="AG2194" s="547"/>
      <c r="AH2194" s="547"/>
      <c r="AI2194" s="574"/>
      <c r="AJ2194" s="574"/>
      <c r="AK2194" s="575"/>
      <c r="AL2194" s="553"/>
      <c r="AM2194" s="575"/>
      <c r="AN2194" s="547"/>
      <c r="AO2194" s="547"/>
      <c r="AP2194" s="547"/>
      <c r="AQ2194" s="547"/>
      <c r="AR2194" s="576"/>
      <c r="AS2194" s="547"/>
      <c r="AT2194" s="547"/>
      <c r="AU2194" s="547"/>
      <c r="AV2194" s="547"/>
      <c r="AW2194" s="576"/>
      <c r="AX2194" s="547"/>
      <c r="AY2194" s="547"/>
      <c r="AZ2194" s="547"/>
      <c r="BA2194" s="547"/>
      <c r="BB2194" s="577"/>
      <c r="BC2194" s="547"/>
      <c r="BD2194" s="547"/>
      <c r="BE2194" s="547"/>
      <c r="BF2194" s="547"/>
      <c r="BG2194" s="547"/>
      <c r="BH2194" s="547"/>
      <c r="BI2194" s="547"/>
      <c r="BJ2194" s="547"/>
      <c r="BK2194" s="547"/>
      <c r="BL2194" s="547"/>
      <c r="BM2194" s="547"/>
      <c r="BN2194" s="547"/>
      <c r="BO2194" s="547"/>
      <c r="BP2194" s="547"/>
      <c r="BQ2194" s="547"/>
      <c r="BR2194" s="547"/>
      <c r="BS2194" s="547"/>
      <c r="BT2194" s="547"/>
      <c r="BU2194" s="547"/>
      <c r="BV2194" s="547"/>
      <c r="BW2194" s="547"/>
      <c r="BX2194" s="547"/>
      <c r="BY2194" s="576"/>
      <c r="BZ2194" s="547"/>
      <c r="CA2194" s="576"/>
      <c r="CB2194" s="570"/>
      <c r="CC2194" s="576"/>
      <c r="CD2194" s="576"/>
      <c r="CE2194" s="576"/>
      <c r="CF2194" s="547"/>
      <c r="CG2194" s="547"/>
      <c r="CH2194" s="547"/>
      <c r="CI2194" s="547"/>
      <c r="CJ2194" s="547"/>
      <c r="CK2194" s="547"/>
      <c r="CL2194" s="547"/>
      <c r="CM2194" s="547"/>
      <c r="CN2194" s="547"/>
      <c r="CO2194" s="547"/>
      <c r="CP2194" s="547"/>
      <c r="CQ2194" s="547"/>
      <c r="CR2194" s="547"/>
      <c r="CS2194" s="547"/>
      <c r="CT2194" s="547"/>
      <c r="CU2194" s="547"/>
      <c r="CV2194" s="547"/>
      <c r="CW2194" s="547"/>
      <c r="CX2194" s="576"/>
      <c r="CY2194" s="576"/>
      <c r="CZ2194" s="576"/>
      <c r="DA2194" s="547"/>
      <c r="DB2194" s="547"/>
      <c r="DC2194" s="547"/>
      <c r="DD2194" s="576"/>
      <c r="DE2194" s="576"/>
      <c r="DF2194" s="576"/>
      <c r="DG2194" s="576"/>
      <c r="DH2194" s="576"/>
    </row>
    <row r="2195" s="547" customFormat="1" spans="1:112">
      <c r="A2195" s="569"/>
      <c r="B2195" s="547"/>
      <c r="C2195" s="547"/>
      <c r="D2195" s="547"/>
      <c r="E2195" s="570"/>
      <c r="F2195" s="547"/>
      <c r="G2195" s="547"/>
      <c r="H2195" s="547"/>
      <c r="I2195" s="547"/>
      <c r="J2195" s="547"/>
      <c r="K2195" s="547"/>
      <c r="L2195" s="547"/>
      <c r="M2195" s="547"/>
      <c r="N2195" s="547"/>
      <c r="O2195" s="547"/>
      <c r="P2195" s="547"/>
      <c r="Q2195" s="547"/>
      <c r="R2195" s="547"/>
      <c r="S2195" s="547"/>
      <c r="T2195" s="570"/>
      <c r="U2195" s="570"/>
      <c r="V2195" s="547"/>
      <c r="W2195" s="570"/>
      <c r="X2195" s="547"/>
      <c r="Y2195" s="547"/>
      <c r="Z2195" s="571"/>
      <c r="AA2195" s="572"/>
      <c r="AB2195" s="570"/>
      <c r="AC2195" s="1251"/>
      <c r="AD2195" s="573"/>
      <c r="AE2195" s="550"/>
      <c r="AF2195" s="550"/>
      <c r="AG2195" s="547"/>
      <c r="AH2195" s="547"/>
      <c r="AI2195" s="574"/>
      <c r="AJ2195" s="574"/>
      <c r="AK2195" s="575"/>
      <c r="AL2195" s="553"/>
      <c r="AM2195" s="575"/>
      <c r="AN2195" s="547"/>
      <c r="AO2195" s="547"/>
      <c r="AP2195" s="547"/>
      <c r="AQ2195" s="547"/>
      <c r="AR2195" s="576"/>
      <c r="AS2195" s="547"/>
      <c r="AT2195" s="547"/>
      <c r="AU2195" s="547"/>
      <c r="AV2195" s="547"/>
      <c r="AW2195" s="576"/>
      <c r="AX2195" s="547"/>
      <c r="AY2195" s="547"/>
      <c r="AZ2195" s="547"/>
      <c r="BA2195" s="547"/>
      <c r="BB2195" s="577"/>
      <c r="BC2195" s="547"/>
      <c r="BD2195" s="547"/>
      <c r="BE2195" s="547"/>
      <c r="BF2195" s="547"/>
      <c r="BG2195" s="547"/>
      <c r="BH2195" s="547"/>
      <c r="BI2195" s="547"/>
      <c r="BJ2195" s="547"/>
      <c r="BK2195" s="547"/>
      <c r="BL2195" s="547"/>
      <c r="BM2195" s="547"/>
      <c r="BN2195" s="547"/>
      <c r="BO2195" s="547"/>
      <c r="BP2195" s="547"/>
      <c r="BQ2195" s="547"/>
      <c r="BR2195" s="547"/>
      <c r="BS2195" s="547"/>
      <c r="BT2195" s="547"/>
      <c r="BU2195" s="547"/>
      <c r="BV2195" s="547"/>
      <c r="BW2195" s="547"/>
      <c r="BX2195" s="547"/>
      <c r="BY2195" s="576"/>
      <c r="BZ2195" s="547"/>
      <c r="CA2195" s="576"/>
      <c r="CB2195" s="570"/>
      <c r="CC2195" s="576"/>
      <c r="CD2195" s="576"/>
      <c r="CE2195" s="576"/>
      <c r="CF2195" s="547"/>
      <c r="CG2195" s="547"/>
      <c r="CH2195" s="547"/>
      <c r="CI2195" s="547"/>
      <c r="CJ2195" s="547"/>
      <c r="CK2195" s="547"/>
      <c r="CL2195" s="547"/>
      <c r="CM2195" s="547"/>
      <c r="CN2195" s="547"/>
      <c r="CO2195" s="547"/>
      <c r="CP2195" s="547"/>
      <c r="CQ2195" s="547"/>
      <c r="CR2195" s="547"/>
      <c r="CS2195" s="547"/>
      <c r="CT2195" s="547"/>
      <c r="CU2195" s="547"/>
      <c r="CV2195" s="547"/>
      <c r="CW2195" s="547"/>
      <c r="CX2195" s="576"/>
      <c r="CY2195" s="576"/>
      <c r="CZ2195" s="576"/>
      <c r="DA2195" s="547"/>
      <c r="DB2195" s="547"/>
      <c r="DC2195" s="547"/>
      <c r="DD2195" s="576"/>
      <c r="DE2195" s="576"/>
      <c r="DF2195" s="576"/>
      <c r="DG2195" s="576"/>
      <c r="DH2195" s="576"/>
    </row>
    <row r="2196" s="547" customFormat="1" spans="1:112">
      <c r="A2196" s="569"/>
      <c r="B2196" s="547"/>
      <c r="C2196" s="547"/>
      <c r="D2196" s="547"/>
      <c r="E2196" s="570"/>
      <c r="F2196" s="547"/>
      <c r="G2196" s="547"/>
      <c r="H2196" s="547"/>
      <c r="I2196" s="547"/>
      <c r="J2196" s="547"/>
      <c r="K2196" s="547"/>
      <c r="L2196" s="547"/>
      <c r="M2196" s="547"/>
      <c r="N2196" s="547"/>
      <c r="O2196" s="547"/>
      <c r="P2196" s="547"/>
      <c r="Q2196" s="547"/>
      <c r="R2196" s="547"/>
      <c r="S2196" s="547"/>
      <c r="T2196" s="570"/>
      <c r="U2196" s="570"/>
      <c r="V2196" s="547"/>
      <c r="W2196" s="570"/>
      <c r="X2196" s="547"/>
      <c r="Y2196" s="547"/>
      <c r="Z2196" s="571"/>
      <c r="AA2196" s="572"/>
      <c r="AB2196" s="570"/>
      <c r="AC2196" s="1251"/>
      <c r="AD2196" s="573"/>
      <c r="AE2196" s="550"/>
      <c r="AF2196" s="550"/>
      <c r="AG2196" s="547"/>
      <c r="AH2196" s="547"/>
      <c r="AI2196" s="574"/>
      <c r="AJ2196" s="574"/>
      <c r="AK2196" s="575"/>
      <c r="AL2196" s="553"/>
      <c r="AM2196" s="575"/>
      <c r="AN2196" s="547"/>
      <c r="AO2196" s="547"/>
      <c r="AP2196" s="547"/>
      <c r="AQ2196" s="547"/>
      <c r="AR2196" s="576"/>
      <c r="AS2196" s="547"/>
      <c r="AT2196" s="547"/>
      <c r="AU2196" s="547"/>
      <c r="AV2196" s="547"/>
      <c r="AW2196" s="576"/>
      <c r="AX2196" s="547"/>
      <c r="AY2196" s="547"/>
      <c r="AZ2196" s="547"/>
      <c r="BA2196" s="547"/>
      <c r="BB2196" s="577"/>
      <c r="BC2196" s="547"/>
      <c r="BD2196" s="547"/>
      <c r="BE2196" s="547"/>
      <c r="BF2196" s="547"/>
      <c r="BG2196" s="547"/>
      <c r="BH2196" s="547"/>
      <c r="BI2196" s="547"/>
      <c r="BJ2196" s="547"/>
      <c r="BK2196" s="547"/>
      <c r="BL2196" s="547"/>
      <c r="BM2196" s="547"/>
      <c r="BN2196" s="547"/>
      <c r="BO2196" s="547"/>
      <c r="BP2196" s="547"/>
      <c r="BQ2196" s="547"/>
      <c r="BR2196" s="547"/>
      <c r="BS2196" s="547"/>
      <c r="BT2196" s="547"/>
      <c r="BU2196" s="547"/>
      <c r="BV2196" s="547"/>
      <c r="BW2196" s="547"/>
      <c r="BX2196" s="547"/>
      <c r="BY2196" s="576"/>
      <c r="BZ2196" s="547"/>
      <c r="CA2196" s="576"/>
      <c r="CB2196" s="570"/>
      <c r="CC2196" s="576"/>
      <c r="CD2196" s="576"/>
      <c r="CE2196" s="576"/>
      <c r="CF2196" s="547"/>
      <c r="CG2196" s="547"/>
      <c r="CH2196" s="547"/>
      <c r="CI2196" s="547"/>
      <c r="CJ2196" s="547"/>
      <c r="CK2196" s="547"/>
      <c r="CL2196" s="547"/>
      <c r="CM2196" s="547"/>
      <c r="CN2196" s="547"/>
      <c r="CO2196" s="547"/>
      <c r="CP2196" s="547"/>
      <c r="CQ2196" s="547"/>
      <c r="CR2196" s="547"/>
      <c r="CS2196" s="547"/>
      <c r="CT2196" s="547"/>
      <c r="CU2196" s="547"/>
      <c r="CV2196" s="547"/>
      <c r="CW2196" s="547"/>
      <c r="CX2196" s="576"/>
      <c r="CY2196" s="576"/>
      <c r="CZ2196" s="576"/>
      <c r="DA2196" s="547"/>
      <c r="DB2196" s="547"/>
      <c r="DC2196" s="547"/>
      <c r="DD2196" s="576"/>
      <c r="DE2196" s="576"/>
      <c r="DF2196" s="576"/>
      <c r="DG2196" s="576"/>
      <c r="DH2196" s="576"/>
    </row>
    <row r="2197" s="547" customFormat="1" spans="1:112">
      <c r="A2197" s="569"/>
      <c r="B2197" s="547"/>
      <c r="C2197" s="547"/>
      <c r="D2197" s="547"/>
      <c r="E2197" s="570"/>
      <c r="F2197" s="547"/>
      <c r="G2197" s="547"/>
      <c r="H2197" s="547"/>
      <c r="I2197" s="547"/>
      <c r="J2197" s="547"/>
      <c r="K2197" s="547"/>
      <c r="L2197" s="547"/>
      <c r="M2197" s="547"/>
      <c r="N2197" s="547"/>
      <c r="O2197" s="547"/>
      <c r="P2197" s="547"/>
      <c r="Q2197" s="547"/>
      <c r="R2197" s="547"/>
      <c r="S2197" s="547"/>
      <c r="T2197" s="570"/>
      <c r="U2197" s="570"/>
      <c r="V2197" s="547"/>
      <c r="W2197" s="570"/>
      <c r="X2197" s="547"/>
      <c r="Y2197" s="547"/>
      <c r="Z2197" s="571"/>
      <c r="AA2197" s="572"/>
      <c r="AB2197" s="570"/>
      <c r="AC2197" s="1251"/>
      <c r="AD2197" s="573"/>
      <c r="AE2197" s="550"/>
      <c r="AF2197" s="550"/>
      <c r="AG2197" s="547"/>
      <c r="AH2197" s="547"/>
      <c r="AI2197" s="574"/>
      <c r="AJ2197" s="574"/>
      <c r="AK2197" s="575"/>
      <c r="AL2197" s="553"/>
      <c r="AM2197" s="575"/>
      <c r="AN2197" s="547"/>
      <c r="AO2197" s="547"/>
      <c r="AP2197" s="547"/>
      <c r="AQ2197" s="547"/>
      <c r="AR2197" s="576"/>
      <c r="AS2197" s="547"/>
      <c r="AT2197" s="547"/>
      <c r="AU2197" s="547"/>
      <c r="AV2197" s="547"/>
      <c r="AW2197" s="576"/>
      <c r="AX2197" s="547"/>
      <c r="AY2197" s="547"/>
      <c r="AZ2197" s="547"/>
      <c r="BA2197" s="547"/>
      <c r="BB2197" s="577"/>
      <c r="BC2197" s="547"/>
      <c r="BD2197" s="547"/>
      <c r="BE2197" s="547"/>
      <c r="BF2197" s="547"/>
      <c r="BG2197" s="547"/>
      <c r="BH2197" s="547"/>
      <c r="BI2197" s="547"/>
      <c r="BJ2197" s="547"/>
      <c r="BK2197" s="547"/>
      <c r="BL2197" s="547"/>
      <c r="BM2197" s="547"/>
      <c r="BN2197" s="547"/>
      <c r="BO2197" s="547"/>
      <c r="BP2197" s="547"/>
      <c r="BQ2197" s="547"/>
      <c r="BR2197" s="547"/>
      <c r="BS2197" s="547"/>
      <c r="BT2197" s="547"/>
      <c r="BU2197" s="547"/>
      <c r="BV2197" s="547"/>
      <c r="BW2197" s="547"/>
      <c r="BX2197" s="547"/>
      <c r="BY2197" s="576"/>
      <c r="BZ2197" s="547"/>
      <c r="CA2197" s="576"/>
      <c r="CB2197" s="570"/>
      <c r="CC2197" s="576"/>
      <c r="CD2197" s="576"/>
      <c r="CE2197" s="576"/>
      <c r="CF2197" s="547"/>
      <c r="CG2197" s="547"/>
      <c r="CH2197" s="547"/>
      <c r="CI2197" s="547"/>
      <c r="CJ2197" s="547"/>
      <c r="CK2197" s="547"/>
      <c r="CL2197" s="547"/>
      <c r="CM2197" s="547"/>
      <c r="CN2197" s="547"/>
      <c r="CO2197" s="547"/>
      <c r="CP2197" s="547"/>
      <c r="CQ2197" s="547"/>
      <c r="CR2197" s="547"/>
      <c r="CS2197" s="547"/>
      <c r="CT2197" s="547"/>
      <c r="CU2197" s="547"/>
      <c r="CV2197" s="547"/>
      <c r="CW2197" s="547"/>
      <c r="CX2197" s="576"/>
      <c r="CY2197" s="576"/>
      <c r="CZ2197" s="576"/>
      <c r="DA2197" s="547"/>
      <c r="DB2197" s="547"/>
      <c r="DC2197" s="547"/>
      <c r="DD2197" s="576"/>
      <c r="DE2197" s="576"/>
      <c r="DF2197" s="576"/>
      <c r="DG2197" s="576"/>
      <c r="DH2197" s="576"/>
    </row>
    <row r="2198" s="547" customFormat="1" spans="1:112">
      <c r="A2198" s="569"/>
      <c r="B2198" s="547"/>
      <c r="C2198" s="547"/>
      <c r="D2198" s="547"/>
      <c r="E2198" s="570"/>
      <c r="F2198" s="547"/>
      <c r="G2198" s="547"/>
      <c r="H2198" s="547"/>
      <c r="I2198" s="547"/>
      <c r="J2198" s="547"/>
      <c r="K2198" s="547"/>
      <c r="L2198" s="547"/>
      <c r="M2198" s="547"/>
      <c r="N2198" s="547"/>
      <c r="O2198" s="547"/>
      <c r="P2198" s="547"/>
      <c r="Q2198" s="547"/>
      <c r="R2198" s="558"/>
      <c r="S2198" s="547"/>
      <c r="T2198" s="570"/>
      <c r="U2198" s="570"/>
      <c r="V2198" s="547"/>
      <c r="W2198" s="570"/>
      <c r="X2198" s="547"/>
      <c r="Y2198" s="547"/>
      <c r="Z2198" s="571"/>
      <c r="AA2198" s="572"/>
      <c r="AB2198" s="570"/>
      <c r="AC2198" s="1251"/>
      <c r="AD2198" s="573"/>
      <c r="AE2198" s="550"/>
      <c r="AF2198" s="550"/>
      <c r="AG2198" s="547"/>
      <c r="AH2198" s="547"/>
      <c r="AI2198" s="574"/>
      <c r="AJ2198" s="574"/>
      <c r="AK2198" s="575"/>
      <c r="AL2198" s="553"/>
      <c r="AM2198" s="575"/>
      <c r="AN2198" s="547"/>
      <c r="AO2198" s="547"/>
      <c r="AP2198" s="547"/>
      <c r="AQ2198" s="547"/>
      <c r="AR2198" s="576"/>
      <c r="AS2198" s="547"/>
      <c r="AT2198" s="547"/>
      <c r="AU2198" s="547"/>
      <c r="AV2198" s="547"/>
      <c r="AW2198" s="576"/>
      <c r="AX2198" s="547"/>
      <c r="AY2198" s="547"/>
      <c r="AZ2198" s="547"/>
      <c r="BA2198" s="547"/>
      <c r="BB2198" s="577"/>
      <c r="BC2198" s="547"/>
      <c r="BD2198" s="547"/>
      <c r="BE2198" s="547"/>
      <c r="BF2198" s="547"/>
      <c r="BG2198" s="547"/>
      <c r="BH2198" s="547"/>
      <c r="BI2198" s="547"/>
      <c r="BJ2198" s="547"/>
      <c r="BK2198" s="547"/>
      <c r="BL2198" s="547"/>
      <c r="BM2198" s="547"/>
      <c r="BN2198" s="547"/>
      <c r="BO2198" s="547"/>
      <c r="BP2198" s="547"/>
      <c r="BQ2198" s="547"/>
      <c r="BR2198" s="547"/>
      <c r="BS2198" s="547"/>
      <c r="BT2198" s="547"/>
      <c r="BU2198" s="547"/>
      <c r="BV2198" s="547"/>
      <c r="BW2198" s="547"/>
      <c r="BX2198" s="547"/>
      <c r="BY2198" s="576"/>
      <c r="BZ2198" s="547"/>
      <c r="CA2198" s="576"/>
      <c r="CB2198" s="570"/>
      <c r="CC2198" s="576"/>
      <c r="CD2198" s="576"/>
      <c r="CE2198" s="576"/>
      <c r="CF2198" s="547"/>
      <c r="CG2198" s="547"/>
      <c r="CH2198" s="547"/>
      <c r="CI2198" s="547"/>
      <c r="CJ2198" s="547"/>
      <c r="CK2198" s="547"/>
      <c r="CL2198" s="547"/>
      <c r="CM2198" s="547"/>
      <c r="CN2198" s="547"/>
      <c r="CO2198" s="547"/>
      <c r="CP2198" s="547"/>
      <c r="CQ2198" s="547"/>
      <c r="CR2198" s="547"/>
      <c r="CS2198" s="547"/>
      <c r="CT2198" s="547"/>
      <c r="CU2198" s="547"/>
      <c r="CV2198" s="547"/>
      <c r="CW2198" s="547"/>
      <c r="CX2198" s="576"/>
      <c r="CY2198" s="576"/>
      <c r="CZ2198" s="576"/>
      <c r="DA2198" s="547"/>
      <c r="DB2198" s="547"/>
      <c r="DC2198" s="547"/>
      <c r="DD2198" s="576"/>
      <c r="DE2198" s="576"/>
      <c r="DF2198" s="576"/>
      <c r="DG2198" s="576"/>
      <c r="DH2198" s="576"/>
    </row>
  </sheetData>
  <sheetProtection formatCells="0" formatColumns="0" formatRows="0" insertRows="0" insertColumns="0" insertHyperlinks="0" deleteColumns="0" deleteRows="0" sort="0" autoFilter="0" pivotTables="0"/>
  <protectedRanges>
    <protectedRange sqref="AF$1:AM$1048576" name="Range1"/>
    <protectedRange sqref="A$1:AE$1048576 AN$1:CW$1048576" name="Range2"/>
  </protectedRanges>
  <autoFilter xmlns:etc="http://www.wps.cn/officeDocument/2017/etCustomData" ref="A1:DI2198" etc:filterBottomFollowUsedRange="1">
    <extLst/>
  </autoFilter>
  <sortState ref="AG2:AL1498">
    <sortCondition ref="AI1408"/>
  </sortState>
  <mergeCells count="8">
    <mergeCell ref="X558:X559"/>
    <mergeCell ref="X560:X561"/>
    <mergeCell ref="X562:X563"/>
    <mergeCell ref="X577:X578"/>
    <mergeCell ref="X579:X580"/>
    <mergeCell ref="X581:X582"/>
    <mergeCell ref="X585:X586"/>
    <mergeCell ref="X635:X636"/>
  </mergeCells>
  <conditionalFormatting sqref="R1:V1">
    <cfRule type="cellIs" dxfId="0" priority="25147" operator="equal">
      <formula>"欠"</formula>
    </cfRule>
  </conditionalFormatting>
  <conditionalFormatting sqref="AE1:AF1">
    <cfRule type="cellIs" dxfId="0" priority="25124" operator="equal">
      <formula>"未完成"</formula>
    </cfRule>
  </conditionalFormatting>
  <conditionalFormatting sqref="AI1:AM1">
    <cfRule type="cellIs" dxfId="1" priority="25145" operator="equal">
      <formula>"未完成"</formula>
    </cfRule>
    <cfRule type="cellIs" dxfId="0" priority="25146" operator="equal">
      <formula>"未完成"</formula>
    </cfRule>
  </conditionalFormatting>
  <conditionalFormatting sqref="AL6:AM6">
    <cfRule type="cellIs" dxfId="1" priority="17458" operator="equal">
      <formula>"未完成"</formula>
    </cfRule>
    <cfRule type="cellIs" dxfId="0" priority="17466" operator="equal">
      <formula>"未完成"</formula>
    </cfRule>
  </conditionalFormatting>
  <conditionalFormatting sqref="AL7:AM7">
    <cfRule type="cellIs" dxfId="1" priority="17457" operator="equal">
      <formula>"未完成"</formula>
    </cfRule>
    <cfRule type="cellIs" dxfId="0" priority="17465" operator="equal">
      <formula>"未完成"</formula>
    </cfRule>
  </conditionalFormatting>
  <conditionalFormatting sqref="AN7">
    <cfRule type="cellIs" dxfId="0" priority="17449" operator="equal">
      <formula>"欠"</formula>
    </cfRule>
  </conditionalFormatting>
  <conditionalFormatting sqref="AL8:AM8">
    <cfRule type="cellIs" dxfId="1" priority="17456" operator="equal">
      <formula>"未完成"</formula>
    </cfRule>
    <cfRule type="cellIs" dxfId="0" priority="17464" operator="equal">
      <formula>"未完成"</formula>
    </cfRule>
  </conditionalFormatting>
  <conditionalFormatting sqref="AN8">
    <cfRule type="cellIs" dxfId="0" priority="17448" operator="equal">
      <formula>"欠"</formula>
    </cfRule>
  </conditionalFormatting>
  <conditionalFormatting sqref="AL9:AM9">
    <cfRule type="cellIs" dxfId="1" priority="17455" operator="equal">
      <formula>"未完成"</formula>
    </cfRule>
    <cfRule type="cellIs" dxfId="0" priority="17463" operator="equal">
      <formula>"未完成"</formula>
    </cfRule>
  </conditionalFormatting>
  <conditionalFormatting sqref="AN9">
    <cfRule type="cellIs" dxfId="0" priority="17447" operator="equal">
      <formula>"欠"</formula>
    </cfRule>
  </conditionalFormatting>
  <conditionalFormatting sqref="AL10:AM10">
    <cfRule type="cellIs" dxfId="1" priority="17454" operator="equal">
      <formula>"未完成"</formula>
    </cfRule>
    <cfRule type="cellIs" dxfId="0" priority="17462" operator="equal">
      <formula>"未完成"</formula>
    </cfRule>
  </conditionalFormatting>
  <conditionalFormatting sqref="AL11:AM11">
    <cfRule type="cellIs" dxfId="1" priority="17453" operator="equal">
      <formula>"未完成"</formula>
    </cfRule>
    <cfRule type="cellIs" dxfId="0" priority="17461" operator="equal">
      <formula>"未完成"</formula>
    </cfRule>
  </conditionalFormatting>
  <conditionalFormatting sqref="AN11">
    <cfRule type="cellIs" dxfId="0" priority="17445" operator="equal">
      <formula>"欠"</formula>
    </cfRule>
  </conditionalFormatting>
  <conditionalFormatting sqref="AL12:AM12">
    <cfRule type="cellIs" dxfId="1" priority="17452" operator="equal">
      <formula>"未完成"</formula>
    </cfRule>
    <cfRule type="cellIs" dxfId="0" priority="17460" operator="equal">
      <formula>"未完成"</formula>
    </cfRule>
  </conditionalFormatting>
  <conditionalFormatting sqref="AN12">
    <cfRule type="cellIs" dxfId="0" priority="17444" operator="equal">
      <formula>"欠"</formula>
    </cfRule>
  </conditionalFormatting>
  <conditionalFormatting sqref="AL13:AM13">
    <cfRule type="cellIs" dxfId="1" priority="17451" operator="equal">
      <formula>"未完成"</formula>
    </cfRule>
    <cfRule type="cellIs" dxfId="0" priority="17459" operator="equal">
      <formula>"未完成"</formula>
    </cfRule>
  </conditionalFormatting>
  <conditionalFormatting sqref="AN13">
    <cfRule type="cellIs" dxfId="0" priority="17443" operator="equal">
      <formula>"欠"</formula>
    </cfRule>
  </conditionalFormatting>
  <conditionalFormatting sqref="AL14:AM14">
    <cfRule type="cellIs" dxfId="1" priority="17408" operator="equal">
      <formula>"未完成"</formula>
    </cfRule>
    <cfRule type="cellIs" dxfId="0" priority="17410" operator="equal">
      <formula>"未完成"</formula>
    </cfRule>
  </conditionalFormatting>
  <conditionalFormatting sqref="AL15:AM15">
    <cfRule type="cellIs" dxfId="1" priority="17407" operator="equal">
      <formula>"未完成"</formula>
    </cfRule>
    <cfRule type="cellIs" dxfId="0" priority="17409" operator="equal">
      <formula>"未完成"</formula>
    </cfRule>
  </conditionalFormatting>
  <conditionalFormatting sqref="R16">
    <cfRule type="cellIs" dxfId="0" priority="16916" operator="equal">
      <formula>"欠"</formula>
    </cfRule>
  </conditionalFormatting>
  <conditionalFormatting sqref="S16">
    <cfRule type="cellIs" dxfId="0" priority="16894" operator="equal">
      <formula>"欠"</formula>
    </cfRule>
  </conditionalFormatting>
  <conditionalFormatting sqref="T16:V16">
    <cfRule type="cellIs" dxfId="0" priority="16872" operator="equal">
      <formula>"欠"</formula>
    </cfRule>
  </conditionalFormatting>
  <conditionalFormatting sqref="AL16:AM16">
    <cfRule type="cellIs" dxfId="1" priority="16828" operator="equal">
      <formula>"未完成"</formula>
    </cfRule>
    <cfRule type="cellIs" dxfId="0" priority="16850" operator="equal">
      <formula>"未完成"</formula>
    </cfRule>
  </conditionalFormatting>
  <conditionalFormatting sqref="R17">
    <cfRule type="cellIs" dxfId="0" priority="16915" operator="equal">
      <formula>"欠"</formula>
    </cfRule>
  </conditionalFormatting>
  <conditionalFormatting sqref="S17">
    <cfRule type="cellIs" dxfId="0" priority="16893" operator="equal">
      <formula>"欠"</formula>
    </cfRule>
  </conditionalFormatting>
  <conditionalFormatting sqref="T17:V17">
    <cfRule type="cellIs" dxfId="0" priority="16871" operator="equal">
      <formula>"欠"</formula>
    </cfRule>
  </conditionalFormatting>
  <conditionalFormatting sqref="AL17:AM17">
    <cfRule type="cellIs" dxfId="1" priority="16827" operator="equal">
      <formula>"未完成"</formula>
    </cfRule>
    <cfRule type="cellIs" dxfId="0" priority="16849" operator="equal">
      <formula>"未完成"</formula>
    </cfRule>
  </conditionalFormatting>
  <conditionalFormatting sqref="R18">
    <cfRule type="cellIs" dxfId="0" priority="16914" operator="equal">
      <formula>"欠"</formula>
    </cfRule>
  </conditionalFormatting>
  <conditionalFormatting sqref="S18">
    <cfRule type="cellIs" dxfId="0" priority="16892" operator="equal">
      <formula>"欠"</formula>
    </cfRule>
  </conditionalFormatting>
  <conditionalFormatting sqref="T18:V18">
    <cfRule type="cellIs" dxfId="0" priority="16870" operator="equal">
      <formula>"欠"</formula>
    </cfRule>
  </conditionalFormatting>
  <conditionalFormatting sqref="AL18:AM18">
    <cfRule type="cellIs" dxfId="1" priority="16826" operator="equal">
      <formula>"未完成"</formula>
    </cfRule>
    <cfRule type="cellIs" dxfId="0" priority="16848" operator="equal">
      <formula>"未完成"</formula>
    </cfRule>
  </conditionalFormatting>
  <conditionalFormatting sqref="R19">
    <cfRule type="cellIs" dxfId="0" priority="16913" operator="equal">
      <formula>"欠"</formula>
    </cfRule>
  </conditionalFormatting>
  <conditionalFormatting sqref="S19">
    <cfRule type="cellIs" dxfId="0" priority="16891" operator="equal">
      <formula>"欠"</formula>
    </cfRule>
  </conditionalFormatting>
  <conditionalFormatting sqref="T19:V19">
    <cfRule type="cellIs" dxfId="0" priority="16869" operator="equal">
      <formula>"欠"</formula>
    </cfRule>
  </conditionalFormatting>
  <conditionalFormatting sqref="AL19:AM19">
    <cfRule type="cellIs" dxfId="1" priority="16825" operator="equal">
      <formula>"未完成"</formula>
    </cfRule>
    <cfRule type="cellIs" dxfId="0" priority="16847" operator="equal">
      <formula>"未完成"</formula>
    </cfRule>
  </conditionalFormatting>
  <conditionalFormatting sqref="R20">
    <cfRule type="cellIs" dxfId="0" priority="16912" operator="equal">
      <formula>"欠"</formula>
    </cfRule>
  </conditionalFormatting>
  <conditionalFormatting sqref="S20">
    <cfRule type="cellIs" dxfId="0" priority="16890" operator="equal">
      <formula>"欠"</formula>
    </cfRule>
  </conditionalFormatting>
  <conditionalFormatting sqref="T20:V20">
    <cfRule type="cellIs" dxfId="0" priority="16868" operator="equal">
      <formula>"欠"</formula>
    </cfRule>
  </conditionalFormatting>
  <conditionalFormatting sqref="AL20:AM20">
    <cfRule type="cellIs" dxfId="1" priority="16824" operator="equal">
      <formula>"未完成"</formula>
    </cfRule>
    <cfRule type="cellIs" dxfId="0" priority="16846" operator="equal">
      <formula>"未完成"</formula>
    </cfRule>
  </conditionalFormatting>
  <conditionalFormatting sqref="R21">
    <cfRule type="cellIs" dxfId="0" priority="16911" operator="equal">
      <formula>"欠"</formula>
    </cfRule>
  </conditionalFormatting>
  <conditionalFormatting sqref="S21">
    <cfRule type="cellIs" dxfId="0" priority="16889" operator="equal">
      <formula>"欠"</formula>
    </cfRule>
  </conditionalFormatting>
  <conditionalFormatting sqref="T21:V21">
    <cfRule type="cellIs" dxfId="0" priority="16867" operator="equal">
      <formula>"欠"</formula>
    </cfRule>
  </conditionalFormatting>
  <conditionalFormatting sqref="AL21:AM21">
    <cfRule type="cellIs" dxfId="1" priority="16823" operator="equal">
      <formula>"未完成"</formula>
    </cfRule>
    <cfRule type="cellIs" dxfId="0" priority="16845" operator="equal">
      <formula>"未完成"</formula>
    </cfRule>
  </conditionalFormatting>
  <conditionalFormatting sqref="R22">
    <cfRule type="cellIs" dxfId="0" priority="16910" operator="equal">
      <formula>"欠"</formula>
    </cfRule>
  </conditionalFormatting>
  <conditionalFormatting sqref="S22">
    <cfRule type="cellIs" dxfId="0" priority="16888" operator="equal">
      <formula>"欠"</formula>
    </cfRule>
  </conditionalFormatting>
  <conditionalFormatting sqref="T22:V22">
    <cfRule type="cellIs" dxfId="0" priority="16866" operator="equal">
      <formula>"欠"</formula>
    </cfRule>
  </conditionalFormatting>
  <conditionalFormatting sqref="AL22:AM22">
    <cfRule type="cellIs" dxfId="1" priority="16822" operator="equal">
      <formula>"未完成"</formula>
    </cfRule>
    <cfRule type="cellIs" dxfId="0" priority="16844" operator="equal">
      <formula>"未完成"</formula>
    </cfRule>
  </conditionalFormatting>
  <conditionalFormatting sqref="R23">
    <cfRule type="cellIs" dxfId="0" priority="16909" operator="equal">
      <formula>"欠"</formula>
    </cfRule>
  </conditionalFormatting>
  <conditionalFormatting sqref="S23">
    <cfRule type="cellIs" dxfId="0" priority="16887" operator="equal">
      <formula>"欠"</formula>
    </cfRule>
  </conditionalFormatting>
  <conditionalFormatting sqref="T23:V23">
    <cfRule type="cellIs" dxfId="0" priority="16865" operator="equal">
      <formula>"欠"</formula>
    </cfRule>
  </conditionalFormatting>
  <conditionalFormatting sqref="AL23:AM23">
    <cfRule type="cellIs" dxfId="1" priority="16821" operator="equal">
      <formula>"未完成"</formula>
    </cfRule>
    <cfRule type="cellIs" dxfId="0" priority="16843" operator="equal">
      <formula>"未完成"</formula>
    </cfRule>
  </conditionalFormatting>
  <conditionalFormatting sqref="R24">
    <cfRule type="cellIs" dxfId="0" priority="16908" operator="equal">
      <formula>"欠"</formula>
    </cfRule>
  </conditionalFormatting>
  <conditionalFormatting sqref="S24">
    <cfRule type="cellIs" dxfId="0" priority="16886" operator="equal">
      <formula>"欠"</formula>
    </cfRule>
  </conditionalFormatting>
  <conditionalFormatting sqref="T24:V24">
    <cfRule type="cellIs" dxfId="0" priority="16864" operator="equal">
      <formula>"欠"</formula>
    </cfRule>
  </conditionalFormatting>
  <conditionalFormatting sqref="AL24:AM24">
    <cfRule type="cellIs" dxfId="1" priority="16820" operator="equal">
      <formula>"未完成"</formula>
    </cfRule>
    <cfRule type="cellIs" dxfId="0" priority="16842" operator="equal">
      <formula>"未完成"</formula>
    </cfRule>
  </conditionalFormatting>
  <conditionalFormatting sqref="R25">
    <cfRule type="cellIs" dxfId="0" priority="16907" operator="equal">
      <formula>"欠"</formula>
    </cfRule>
  </conditionalFormatting>
  <conditionalFormatting sqref="S25">
    <cfRule type="cellIs" dxfId="0" priority="16885" operator="equal">
      <formula>"欠"</formula>
    </cfRule>
  </conditionalFormatting>
  <conditionalFormatting sqref="T25:V25">
    <cfRule type="cellIs" dxfId="0" priority="16863" operator="equal">
      <formula>"欠"</formula>
    </cfRule>
  </conditionalFormatting>
  <conditionalFormatting sqref="AL25:AM25">
    <cfRule type="cellIs" dxfId="1" priority="16819" operator="equal">
      <formula>"未完成"</formula>
    </cfRule>
    <cfRule type="cellIs" dxfId="0" priority="16841" operator="equal">
      <formula>"未完成"</formula>
    </cfRule>
  </conditionalFormatting>
  <conditionalFormatting sqref="R26">
    <cfRule type="cellIs" dxfId="0" priority="16906" operator="equal">
      <formula>"欠"</formula>
    </cfRule>
  </conditionalFormatting>
  <conditionalFormatting sqref="S26">
    <cfRule type="cellIs" dxfId="0" priority="16884" operator="equal">
      <formula>"欠"</formula>
    </cfRule>
  </conditionalFormatting>
  <conditionalFormatting sqref="T26:V26">
    <cfRule type="cellIs" dxfId="0" priority="16862" operator="equal">
      <formula>"欠"</formula>
    </cfRule>
  </conditionalFormatting>
  <conditionalFormatting sqref="AL26:AM26">
    <cfRule type="cellIs" dxfId="1" priority="16818" operator="equal">
      <formula>"未完成"</formula>
    </cfRule>
    <cfRule type="cellIs" dxfId="0" priority="16840" operator="equal">
      <formula>"未完成"</formula>
    </cfRule>
  </conditionalFormatting>
  <conditionalFormatting sqref="R27">
    <cfRule type="cellIs" dxfId="0" priority="16905" operator="equal">
      <formula>"欠"</formula>
    </cfRule>
  </conditionalFormatting>
  <conditionalFormatting sqref="S27">
    <cfRule type="cellIs" dxfId="0" priority="16883" operator="equal">
      <formula>"欠"</formula>
    </cfRule>
  </conditionalFormatting>
  <conditionalFormatting sqref="T27:V27">
    <cfRule type="cellIs" dxfId="0" priority="16861" operator="equal">
      <formula>"欠"</formula>
    </cfRule>
  </conditionalFormatting>
  <conditionalFormatting sqref="AL27:AM27">
    <cfRule type="cellIs" dxfId="1" priority="16817" operator="equal">
      <formula>"未完成"</formula>
    </cfRule>
    <cfRule type="cellIs" dxfId="0" priority="16839" operator="equal">
      <formula>"未完成"</formula>
    </cfRule>
  </conditionalFormatting>
  <conditionalFormatting sqref="R28">
    <cfRule type="cellIs" dxfId="0" priority="16904" operator="equal">
      <formula>"欠"</formula>
    </cfRule>
  </conditionalFormatting>
  <conditionalFormatting sqref="S28">
    <cfRule type="cellIs" dxfId="0" priority="16882" operator="equal">
      <formula>"欠"</formula>
    </cfRule>
  </conditionalFormatting>
  <conditionalFormatting sqref="T28:V28">
    <cfRule type="cellIs" dxfId="0" priority="16860" operator="equal">
      <formula>"欠"</formula>
    </cfRule>
  </conditionalFormatting>
  <conditionalFormatting sqref="AL28:AM28">
    <cfRule type="cellIs" dxfId="1" priority="16816" operator="equal">
      <formula>"未完成"</formula>
    </cfRule>
    <cfRule type="cellIs" dxfId="0" priority="16838" operator="equal">
      <formula>"未完成"</formula>
    </cfRule>
  </conditionalFormatting>
  <conditionalFormatting sqref="R29">
    <cfRule type="cellIs" dxfId="0" priority="16903" operator="equal">
      <formula>"欠"</formula>
    </cfRule>
  </conditionalFormatting>
  <conditionalFormatting sqref="S29">
    <cfRule type="cellIs" dxfId="0" priority="16881" operator="equal">
      <formula>"欠"</formula>
    </cfRule>
  </conditionalFormatting>
  <conditionalFormatting sqref="T29:V29">
    <cfRule type="cellIs" dxfId="0" priority="16859" operator="equal">
      <formula>"欠"</formula>
    </cfRule>
  </conditionalFormatting>
  <conditionalFormatting sqref="AL29:AM29">
    <cfRule type="cellIs" dxfId="1" priority="16815" operator="equal">
      <formula>"未完成"</formula>
    </cfRule>
    <cfRule type="cellIs" dxfId="0" priority="16837" operator="equal">
      <formula>"未完成"</formula>
    </cfRule>
  </conditionalFormatting>
  <conditionalFormatting sqref="R30">
    <cfRule type="cellIs" dxfId="0" priority="16902" operator="equal">
      <formula>"欠"</formula>
    </cfRule>
  </conditionalFormatting>
  <conditionalFormatting sqref="S30">
    <cfRule type="cellIs" dxfId="0" priority="16880" operator="equal">
      <formula>"欠"</formula>
    </cfRule>
  </conditionalFormatting>
  <conditionalFormatting sqref="T30:V30">
    <cfRule type="cellIs" dxfId="0" priority="16858" operator="equal">
      <formula>"欠"</formula>
    </cfRule>
  </conditionalFormatting>
  <conditionalFormatting sqref="AL30:AM30">
    <cfRule type="cellIs" dxfId="1" priority="16814" operator="equal">
      <formula>"未完成"</formula>
    </cfRule>
    <cfRule type="cellIs" dxfId="0" priority="16836" operator="equal">
      <formula>"未完成"</formula>
    </cfRule>
  </conditionalFormatting>
  <conditionalFormatting sqref="R31">
    <cfRule type="cellIs" dxfId="0" priority="16901" operator="equal">
      <formula>"欠"</formula>
    </cfRule>
  </conditionalFormatting>
  <conditionalFormatting sqref="S31">
    <cfRule type="cellIs" dxfId="0" priority="16879" operator="equal">
      <formula>"欠"</formula>
    </cfRule>
  </conditionalFormatting>
  <conditionalFormatting sqref="T31:V31">
    <cfRule type="cellIs" dxfId="0" priority="16857" operator="equal">
      <formula>"欠"</formula>
    </cfRule>
  </conditionalFormatting>
  <conditionalFormatting sqref="AL31:AM31">
    <cfRule type="cellIs" dxfId="1" priority="16813" operator="equal">
      <formula>"未完成"</formula>
    </cfRule>
    <cfRule type="cellIs" dxfId="0" priority="16835" operator="equal">
      <formula>"未完成"</formula>
    </cfRule>
  </conditionalFormatting>
  <conditionalFormatting sqref="R32">
    <cfRule type="cellIs" dxfId="0" priority="16900" operator="equal">
      <formula>"欠"</formula>
    </cfRule>
  </conditionalFormatting>
  <conditionalFormatting sqref="S32">
    <cfRule type="cellIs" dxfId="0" priority="16878" operator="equal">
      <formula>"欠"</formula>
    </cfRule>
  </conditionalFormatting>
  <conditionalFormatting sqref="T32:V32">
    <cfRule type="cellIs" dxfId="0" priority="16856" operator="equal">
      <formula>"欠"</formula>
    </cfRule>
  </conditionalFormatting>
  <conditionalFormatting sqref="AL32:AM32">
    <cfRule type="cellIs" dxfId="1" priority="16812" operator="equal">
      <formula>"未完成"</formula>
    </cfRule>
    <cfRule type="cellIs" dxfId="0" priority="16834" operator="equal">
      <formula>"未完成"</formula>
    </cfRule>
  </conditionalFormatting>
  <conditionalFormatting sqref="R33">
    <cfRule type="cellIs" dxfId="0" priority="16899" operator="equal">
      <formula>"欠"</formula>
    </cfRule>
  </conditionalFormatting>
  <conditionalFormatting sqref="S33">
    <cfRule type="cellIs" dxfId="0" priority="16877" operator="equal">
      <formula>"欠"</formula>
    </cfRule>
  </conditionalFormatting>
  <conditionalFormatting sqref="T33:V33">
    <cfRule type="cellIs" dxfId="0" priority="16855" operator="equal">
      <formula>"欠"</formula>
    </cfRule>
  </conditionalFormatting>
  <conditionalFormatting sqref="AL33:AM33">
    <cfRule type="cellIs" dxfId="1" priority="16811" operator="equal">
      <formula>"未完成"</formula>
    </cfRule>
    <cfRule type="cellIs" dxfId="0" priority="16833" operator="equal">
      <formula>"未完成"</formula>
    </cfRule>
  </conditionalFormatting>
  <conditionalFormatting sqref="R34">
    <cfRule type="cellIs" dxfId="0" priority="16898" operator="equal">
      <formula>"欠"</formula>
    </cfRule>
  </conditionalFormatting>
  <conditionalFormatting sqref="S34">
    <cfRule type="cellIs" dxfId="0" priority="16876" operator="equal">
      <formula>"欠"</formula>
    </cfRule>
  </conditionalFormatting>
  <conditionalFormatting sqref="T34:V34">
    <cfRule type="cellIs" dxfId="0" priority="16854" operator="equal">
      <formula>"欠"</formula>
    </cfRule>
  </conditionalFormatting>
  <conditionalFormatting sqref="AL34:AM34">
    <cfRule type="cellIs" dxfId="1" priority="16810" operator="equal">
      <formula>"未完成"</formula>
    </cfRule>
    <cfRule type="cellIs" dxfId="0" priority="16832" operator="equal">
      <formula>"未完成"</formula>
    </cfRule>
  </conditionalFormatting>
  <conditionalFormatting sqref="R35">
    <cfRule type="cellIs" dxfId="0" priority="16897" operator="equal">
      <formula>"欠"</formula>
    </cfRule>
  </conditionalFormatting>
  <conditionalFormatting sqref="S35">
    <cfRule type="cellIs" dxfId="0" priority="16875" operator="equal">
      <formula>"欠"</formula>
    </cfRule>
  </conditionalFormatting>
  <conditionalFormatting sqref="T35:V35">
    <cfRule type="cellIs" dxfId="0" priority="16853" operator="equal">
      <formula>"欠"</formula>
    </cfRule>
  </conditionalFormatting>
  <conditionalFormatting sqref="AL35:AM35">
    <cfRule type="cellIs" dxfId="1" priority="16809" operator="equal">
      <formula>"未完成"</formula>
    </cfRule>
    <cfRule type="cellIs" dxfId="0" priority="16831" operator="equal">
      <formula>"未完成"</formula>
    </cfRule>
  </conditionalFormatting>
  <conditionalFormatting sqref="R36">
    <cfRule type="cellIs" dxfId="0" priority="16896" operator="equal">
      <formula>"欠"</formula>
    </cfRule>
  </conditionalFormatting>
  <conditionalFormatting sqref="S36">
    <cfRule type="cellIs" dxfId="0" priority="16874" operator="equal">
      <formula>"欠"</formula>
    </cfRule>
  </conditionalFormatting>
  <conditionalFormatting sqref="T36:V36">
    <cfRule type="cellIs" dxfId="0" priority="16852" operator="equal">
      <formula>"欠"</formula>
    </cfRule>
  </conditionalFormatting>
  <conditionalFormatting sqref="AL36:AM36">
    <cfRule type="cellIs" dxfId="1" priority="16808" operator="equal">
      <formula>"未完成"</formula>
    </cfRule>
    <cfRule type="cellIs" dxfId="0" priority="16830" operator="equal">
      <formula>"未完成"</formula>
    </cfRule>
  </conditionalFormatting>
  <conditionalFormatting sqref="R37">
    <cfRule type="cellIs" dxfId="0" priority="16895" operator="equal">
      <formula>"欠"</formula>
    </cfRule>
  </conditionalFormatting>
  <conditionalFormatting sqref="S37">
    <cfRule type="cellIs" dxfId="0" priority="16873" operator="equal">
      <formula>"欠"</formula>
    </cfRule>
  </conditionalFormatting>
  <conditionalFormatting sqref="T37:V37">
    <cfRule type="cellIs" dxfId="0" priority="16851" operator="equal">
      <formula>"欠"</formula>
    </cfRule>
  </conditionalFormatting>
  <conditionalFormatting sqref="AL37:AM37">
    <cfRule type="cellIs" dxfId="1" priority="16807" operator="equal">
      <formula>"未完成"</formula>
    </cfRule>
    <cfRule type="cellIs" dxfId="0" priority="16829" operator="equal">
      <formula>"未完成"</formula>
    </cfRule>
  </conditionalFormatting>
  <conditionalFormatting sqref="R38">
    <cfRule type="cellIs" dxfId="0" priority="16784" operator="equal">
      <formula>"欠"</formula>
    </cfRule>
  </conditionalFormatting>
  <conditionalFormatting sqref="S38">
    <cfRule type="cellIs" dxfId="0" priority="16779" operator="equal">
      <formula>"欠"</formula>
    </cfRule>
  </conditionalFormatting>
  <conditionalFormatting sqref="T38:V38">
    <cfRule type="cellIs" dxfId="0" priority="16774" operator="equal">
      <formula>"欠"</formula>
    </cfRule>
  </conditionalFormatting>
  <conditionalFormatting sqref="AL38:AM38">
    <cfRule type="cellIs" dxfId="1" priority="16764" operator="equal">
      <formula>"未完成"</formula>
    </cfRule>
    <cfRule type="cellIs" dxfId="0" priority="16769" operator="equal">
      <formula>"未完成"</formula>
    </cfRule>
  </conditionalFormatting>
  <conditionalFormatting sqref="R39">
    <cfRule type="cellIs" dxfId="0" priority="16783" operator="equal">
      <formula>"欠"</formula>
    </cfRule>
  </conditionalFormatting>
  <conditionalFormatting sqref="S39">
    <cfRule type="cellIs" dxfId="0" priority="16778" operator="equal">
      <formula>"欠"</formula>
    </cfRule>
  </conditionalFormatting>
  <conditionalFormatting sqref="T39:V39">
    <cfRule type="cellIs" dxfId="0" priority="16773" operator="equal">
      <formula>"欠"</formula>
    </cfRule>
  </conditionalFormatting>
  <conditionalFormatting sqref="AL39:AM39">
    <cfRule type="cellIs" dxfId="1" priority="16763" operator="equal">
      <formula>"未完成"</formula>
    </cfRule>
    <cfRule type="cellIs" dxfId="0" priority="16768" operator="equal">
      <formula>"未完成"</formula>
    </cfRule>
  </conditionalFormatting>
  <conditionalFormatting sqref="R40">
    <cfRule type="cellIs" dxfId="0" priority="16782" operator="equal">
      <formula>"欠"</formula>
    </cfRule>
  </conditionalFormatting>
  <conditionalFormatting sqref="S40">
    <cfRule type="cellIs" dxfId="0" priority="16777" operator="equal">
      <formula>"欠"</formula>
    </cfRule>
  </conditionalFormatting>
  <conditionalFormatting sqref="AL40:AM40">
    <cfRule type="cellIs" dxfId="1" priority="16762" operator="equal">
      <formula>"未完成"</formula>
    </cfRule>
    <cfRule type="cellIs" dxfId="0" priority="16767" operator="equal">
      <formula>"未完成"</formula>
    </cfRule>
  </conditionalFormatting>
  <conditionalFormatting sqref="R41">
    <cfRule type="cellIs" dxfId="0" priority="16781" operator="equal">
      <formula>"欠"</formula>
    </cfRule>
  </conditionalFormatting>
  <conditionalFormatting sqref="S41">
    <cfRule type="cellIs" dxfId="0" priority="16776" operator="equal">
      <formula>"欠"</formula>
    </cfRule>
  </conditionalFormatting>
  <conditionalFormatting sqref="V41">
    <cfRule type="cellIs" dxfId="0" priority="16771" operator="equal">
      <formula>"欠"</formula>
    </cfRule>
  </conditionalFormatting>
  <conditionalFormatting sqref="AL41:AM41">
    <cfRule type="cellIs" dxfId="1" priority="16761" operator="equal">
      <formula>"未完成"</formula>
    </cfRule>
    <cfRule type="cellIs" dxfId="0" priority="16766" operator="equal">
      <formula>"未完成"</formula>
    </cfRule>
  </conditionalFormatting>
  <conditionalFormatting sqref="R42">
    <cfRule type="cellIs" dxfId="0" priority="16780" operator="equal">
      <formula>"欠"</formula>
    </cfRule>
  </conditionalFormatting>
  <conditionalFormatting sqref="S42">
    <cfRule type="cellIs" dxfId="0" priority="16775" operator="equal">
      <formula>"欠"</formula>
    </cfRule>
  </conditionalFormatting>
  <conditionalFormatting sqref="T42:V42">
    <cfRule type="cellIs" dxfId="0" priority="16770" operator="equal">
      <formula>"欠"</formula>
    </cfRule>
  </conditionalFormatting>
  <conditionalFormatting sqref="AL42:AM42">
    <cfRule type="cellIs" dxfId="1" priority="16760" operator="equal">
      <formula>"未完成"</formula>
    </cfRule>
    <cfRule type="cellIs" dxfId="0" priority="16765" operator="equal">
      <formula>"未完成"</formula>
    </cfRule>
  </conditionalFormatting>
  <conditionalFormatting sqref="R43">
    <cfRule type="cellIs" dxfId="0" priority="16700" operator="equal">
      <formula>"欠"</formula>
    </cfRule>
  </conditionalFormatting>
  <conditionalFormatting sqref="S43">
    <cfRule type="cellIs" dxfId="0" priority="16691" operator="equal">
      <formula>"欠"</formula>
    </cfRule>
  </conditionalFormatting>
  <conditionalFormatting sqref="T43:V43">
    <cfRule type="cellIs" dxfId="0" priority="16682" operator="equal">
      <formula>"欠"</formula>
    </cfRule>
  </conditionalFormatting>
  <conditionalFormatting sqref="AG43:AH43">
    <cfRule type="cellIs" dxfId="0" priority="16709" operator="equal">
      <formula>"未完成"</formula>
    </cfRule>
  </conditionalFormatting>
  <conditionalFormatting sqref="AL43:AM43">
    <cfRule type="cellIs" dxfId="1" priority="16664" operator="equal">
      <formula>"未完成"</formula>
    </cfRule>
    <cfRule type="cellIs" dxfId="0" priority="16673" operator="equal">
      <formula>"未完成"</formula>
    </cfRule>
  </conditionalFormatting>
  <conditionalFormatting sqref="R44">
    <cfRule type="cellIs" dxfId="0" priority="16699" operator="equal">
      <formula>"欠"</formula>
    </cfRule>
  </conditionalFormatting>
  <conditionalFormatting sqref="S44">
    <cfRule type="cellIs" dxfId="0" priority="16690" operator="equal">
      <formula>"欠"</formula>
    </cfRule>
  </conditionalFormatting>
  <conditionalFormatting sqref="T44:V44">
    <cfRule type="cellIs" dxfId="0" priority="16681" operator="equal">
      <formula>"欠"</formula>
    </cfRule>
  </conditionalFormatting>
  <conditionalFormatting sqref="AG44:AH44">
    <cfRule type="cellIs" dxfId="0" priority="16708" operator="equal">
      <formula>"未完成"</formula>
    </cfRule>
  </conditionalFormatting>
  <conditionalFormatting sqref="AL44:AM44">
    <cfRule type="cellIs" dxfId="1" priority="16663" operator="equal">
      <formula>"未完成"</formula>
    </cfRule>
    <cfRule type="cellIs" dxfId="0" priority="16672" operator="equal">
      <formula>"未完成"</formula>
    </cfRule>
  </conditionalFormatting>
  <conditionalFormatting sqref="R45">
    <cfRule type="cellIs" dxfId="0" priority="16698" operator="equal">
      <formula>"欠"</formula>
    </cfRule>
  </conditionalFormatting>
  <conditionalFormatting sqref="S45">
    <cfRule type="cellIs" dxfId="0" priority="16689" operator="equal">
      <formula>"欠"</formula>
    </cfRule>
  </conditionalFormatting>
  <conditionalFormatting sqref="T45:V45">
    <cfRule type="cellIs" dxfId="0" priority="16680" operator="equal">
      <formula>"欠"</formula>
    </cfRule>
  </conditionalFormatting>
  <conditionalFormatting sqref="AG45:AH45">
    <cfRule type="cellIs" dxfId="0" priority="16707" operator="equal">
      <formula>"未完成"</formula>
    </cfRule>
  </conditionalFormatting>
  <conditionalFormatting sqref="AL45:AM45">
    <cfRule type="cellIs" dxfId="1" priority="16662" operator="equal">
      <formula>"未完成"</formula>
    </cfRule>
    <cfRule type="cellIs" dxfId="0" priority="16671" operator="equal">
      <formula>"未完成"</formula>
    </cfRule>
  </conditionalFormatting>
  <conditionalFormatting sqref="R46">
    <cfRule type="cellIs" dxfId="0" priority="16697" operator="equal">
      <formula>"欠"</formula>
    </cfRule>
  </conditionalFormatting>
  <conditionalFormatting sqref="S46">
    <cfRule type="cellIs" dxfId="0" priority="16688" operator="equal">
      <formula>"欠"</formula>
    </cfRule>
  </conditionalFormatting>
  <conditionalFormatting sqref="T46:V46">
    <cfRule type="cellIs" dxfId="0" priority="16679" operator="equal">
      <formula>"欠"</formula>
    </cfRule>
  </conditionalFormatting>
  <conditionalFormatting sqref="AG46:AH46">
    <cfRule type="cellIs" dxfId="0" priority="16706" operator="equal">
      <formula>"未完成"</formula>
    </cfRule>
  </conditionalFormatting>
  <conditionalFormatting sqref="AL46:AM46">
    <cfRule type="cellIs" dxfId="1" priority="16661" operator="equal">
      <formula>"未完成"</formula>
    </cfRule>
    <cfRule type="cellIs" dxfId="0" priority="16670" operator="equal">
      <formula>"未完成"</formula>
    </cfRule>
  </conditionalFormatting>
  <conditionalFormatting sqref="R47">
    <cfRule type="cellIs" dxfId="0" priority="16696" operator="equal">
      <formula>"欠"</formula>
    </cfRule>
  </conditionalFormatting>
  <conditionalFormatting sqref="S47">
    <cfRule type="cellIs" dxfId="0" priority="16687" operator="equal">
      <formula>"欠"</formula>
    </cfRule>
  </conditionalFormatting>
  <conditionalFormatting sqref="T47:V47">
    <cfRule type="cellIs" dxfId="0" priority="16678" operator="equal">
      <formula>"欠"</formula>
    </cfRule>
  </conditionalFormatting>
  <conditionalFormatting sqref="AG47:AH47">
    <cfRule type="cellIs" dxfId="0" priority="16705" operator="equal">
      <formula>"未完成"</formula>
    </cfRule>
  </conditionalFormatting>
  <conditionalFormatting sqref="AL47:AM47">
    <cfRule type="cellIs" dxfId="1" priority="16660" operator="equal">
      <formula>"未完成"</formula>
    </cfRule>
    <cfRule type="cellIs" dxfId="0" priority="16669" operator="equal">
      <formula>"未完成"</formula>
    </cfRule>
  </conditionalFormatting>
  <conditionalFormatting sqref="R48">
    <cfRule type="cellIs" dxfId="0" priority="16695" operator="equal">
      <formula>"欠"</formula>
    </cfRule>
  </conditionalFormatting>
  <conditionalFormatting sqref="S48">
    <cfRule type="cellIs" dxfId="0" priority="16686" operator="equal">
      <formula>"欠"</formula>
    </cfRule>
  </conditionalFormatting>
  <conditionalFormatting sqref="T48:V48">
    <cfRule type="cellIs" dxfId="0" priority="16677" operator="equal">
      <formula>"欠"</formula>
    </cfRule>
  </conditionalFormatting>
  <conditionalFormatting sqref="AG48:AH48">
    <cfRule type="cellIs" dxfId="0" priority="16704" operator="equal">
      <formula>"未完成"</formula>
    </cfRule>
  </conditionalFormatting>
  <conditionalFormatting sqref="AL48:AM48">
    <cfRule type="cellIs" dxfId="1" priority="16659" operator="equal">
      <formula>"未完成"</formula>
    </cfRule>
    <cfRule type="cellIs" dxfId="0" priority="16668" operator="equal">
      <formula>"未完成"</formula>
    </cfRule>
  </conditionalFormatting>
  <conditionalFormatting sqref="R49">
    <cfRule type="cellIs" dxfId="0" priority="16694" operator="equal">
      <formula>"欠"</formula>
    </cfRule>
  </conditionalFormatting>
  <conditionalFormatting sqref="S49">
    <cfRule type="cellIs" dxfId="0" priority="16685" operator="equal">
      <formula>"欠"</formula>
    </cfRule>
  </conditionalFormatting>
  <conditionalFormatting sqref="T49:V49">
    <cfRule type="cellIs" dxfId="0" priority="16676" operator="equal">
      <formula>"欠"</formula>
    </cfRule>
  </conditionalFormatting>
  <conditionalFormatting sqref="AG49:AH49">
    <cfRule type="cellIs" dxfId="0" priority="16703" operator="equal">
      <formula>"未完成"</formula>
    </cfRule>
  </conditionalFormatting>
  <conditionalFormatting sqref="AL49:AM49">
    <cfRule type="cellIs" dxfId="1" priority="16658" operator="equal">
      <formula>"未完成"</formula>
    </cfRule>
    <cfRule type="cellIs" dxfId="0" priority="16667" operator="equal">
      <formula>"未完成"</formula>
    </cfRule>
  </conditionalFormatting>
  <conditionalFormatting sqref="R50">
    <cfRule type="cellIs" dxfId="0" priority="16693" operator="equal">
      <formula>"欠"</formula>
    </cfRule>
  </conditionalFormatting>
  <conditionalFormatting sqref="S50">
    <cfRule type="cellIs" dxfId="0" priority="16684" operator="equal">
      <formula>"欠"</formula>
    </cfRule>
  </conditionalFormatting>
  <conditionalFormatting sqref="T50:V50">
    <cfRule type="cellIs" dxfId="0" priority="16675" operator="equal">
      <formula>"欠"</formula>
    </cfRule>
  </conditionalFormatting>
  <conditionalFormatting sqref="AG50:AH50">
    <cfRule type="cellIs" dxfId="0" priority="16702" operator="equal">
      <formula>"未完成"</formula>
    </cfRule>
  </conditionalFormatting>
  <conditionalFormatting sqref="AL50:AM50">
    <cfRule type="cellIs" dxfId="1" priority="16657" operator="equal">
      <formula>"未完成"</formula>
    </cfRule>
    <cfRule type="cellIs" dxfId="0" priority="16666" operator="equal">
      <formula>"未完成"</formula>
    </cfRule>
  </conditionalFormatting>
  <conditionalFormatting sqref="R51">
    <cfRule type="cellIs" dxfId="0" priority="16692" operator="equal">
      <formula>"欠"</formula>
    </cfRule>
  </conditionalFormatting>
  <conditionalFormatting sqref="S51">
    <cfRule type="cellIs" dxfId="0" priority="16683" operator="equal">
      <formula>"欠"</formula>
    </cfRule>
  </conditionalFormatting>
  <conditionalFormatting sqref="T51:V51">
    <cfRule type="cellIs" dxfId="0" priority="16674" operator="equal">
      <formula>"欠"</formula>
    </cfRule>
  </conditionalFormatting>
  <conditionalFormatting sqref="AG51:AH51">
    <cfRule type="cellIs" dxfId="0" priority="16701" operator="equal">
      <formula>"未完成"</formula>
    </cfRule>
  </conditionalFormatting>
  <conditionalFormatting sqref="AL51:AM51">
    <cfRule type="cellIs" dxfId="1" priority="16656" operator="equal">
      <formula>"未完成"</formula>
    </cfRule>
    <cfRule type="cellIs" dxfId="0" priority="16665" operator="equal">
      <formula>"未完成"</formula>
    </cfRule>
  </conditionalFormatting>
  <conditionalFormatting sqref="R52">
    <cfRule type="cellIs" dxfId="0" priority="16654" operator="equal">
      <formula>"欠"</formula>
    </cfRule>
  </conditionalFormatting>
  <conditionalFormatting sqref="S52">
    <cfRule type="cellIs" dxfId="0" priority="16653" operator="equal">
      <formula>"欠"</formula>
    </cfRule>
  </conditionalFormatting>
  <conditionalFormatting sqref="T52:V52">
    <cfRule type="cellIs" dxfId="0" priority="16652" operator="equal">
      <formula>"欠"</formula>
    </cfRule>
  </conditionalFormatting>
  <conditionalFormatting sqref="AG52:AH52">
    <cfRule type="cellIs" dxfId="0" priority="16655" operator="equal">
      <formula>"未完成"</formula>
    </cfRule>
  </conditionalFormatting>
  <conditionalFormatting sqref="AL52:AM52">
    <cfRule type="cellIs" dxfId="1" priority="16650" operator="equal">
      <formula>"未完成"</formula>
    </cfRule>
    <cfRule type="cellIs" dxfId="0" priority="16651" operator="equal">
      <formula>"未完成"</formula>
    </cfRule>
  </conditionalFormatting>
  <conditionalFormatting sqref="R53">
    <cfRule type="cellIs" dxfId="0" priority="16580" operator="equal">
      <formula>"欠"</formula>
    </cfRule>
  </conditionalFormatting>
  <conditionalFormatting sqref="S53">
    <cfRule type="cellIs" dxfId="0" priority="16557" operator="equal">
      <formula>"欠"</formula>
    </cfRule>
  </conditionalFormatting>
  <conditionalFormatting sqref="T53:V53">
    <cfRule type="cellIs" dxfId="0" priority="16534" operator="equal">
      <formula>"欠"</formula>
    </cfRule>
  </conditionalFormatting>
  <conditionalFormatting sqref="AG53:AH53">
    <cfRule type="cellIs" dxfId="0" priority="16603" operator="equal">
      <formula>"未完成"</formula>
    </cfRule>
  </conditionalFormatting>
  <conditionalFormatting sqref="AL53:AM53">
    <cfRule type="cellIs" dxfId="1" priority="16488" operator="equal">
      <formula>"未完成"</formula>
    </cfRule>
    <cfRule type="cellIs" dxfId="0" priority="16511" operator="equal">
      <formula>"未完成"</formula>
    </cfRule>
  </conditionalFormatting>
  <conditionalFormatting sqref="R54">
    <cfRule type="cellIs" dxfId="0" priority="16579" operator="equal">
      <formula>"欠"</formula>
    </cfRule>
  </conditionalFormatting>
  <conditionalFormatting sqref="S54">
    <cfRule type="cellIs" dxfId="0" priority="16556" operator="equal">
      <formula>"欠"</formula>
    </cfRule>
  </conditionalFormatting>
  <conditionalFormatting sqref="T54:V54">
    <cfRule type="cellIs" dxfId="0" priority="16533" operator="equal">
      <formula>"欠"</formula>
    </cfRule>
  </conditionalFormatting>
  <conditionalFormatting sqref="AG54:AH54">
    <cfRule type="cellIs" dxfId="0" priority="16602" operator="equal">
      <formula>"未完成"</formula>
    </cfRule>
  </conditionalFormatting>
  <conditionalFormatting sqref="AL54:AM54">
    <cfRule type="cellIs" dxfId="1" priority="16487" operator="equal">
      <formula>"未完成"</formula>
    </cfRule>
    <cfRule type="cellIs" dxfId="0" priority="16510" operator="equal">
      <formula>"未完成"</formula>
    </cfRule>
  </conditionalFormatting>
  <conditionalFormatting sqref="R55">
    <cfRule type="cellIs" dxfId="0" priority="16578" operator="equal">
      <formula>"欠"</formula>
    </cfRule>
  </conditionalFormatting>
  <conditionalFormatting sqref="S55">
    <cfRule type="cellIs" dxfId="0" priority="16555" operator="equal">
      <formula>"欠"</formula>
    </cfRule>
  </conditionalFormatting>
  <conditionalFormatting sqref="T55:V55">
    <cfRule type="cellIs" dxfId="0" priority="16532" operator="equal">
      <formula>"欠"</formula>
    </cfRule>
  </conditionalFormatting>
  <conditionalFormatting sqref="AG55:AH55">
    <cfRule type="cellIs" dxfId="0" priority="16601" operator="equal">
      <formula>"未完成"</formula>
    </cfRule>
  </conditionalFormatting>
  <conditionalFormatting sqref="AL55:AM55">
    <cfRule type="cellIs" dxfId="1" priority="16486" operator="equal">
      <formula>"未完成"</formula>
    </cfRule>
    <cfRule type="cellIs" dxfId="0" priority="16509" operator="equal">
      <formula>"未完成"</formula>
    </cfRule>
  </conditionalFormatting>
  <conditionalFormatting sqref="R56">
    <cfRule type="cellIs" dxfId="0" priority="16577" operator="equal">
      <formula>"欠"</formula>
    </cfRule>
  </conditionalFormatting>
  <conditionalFormatting sqref="S56">
    <cfRule type="cellIs" dxfId="0" priority="16554" operator="equal">
      <formula>"欠"</formula>
    </cfRule>
  </conditionalFormatting>
  <conditionalFormatting sqref="T56:V56">
    <cfRule type="cellIs" dxfId="0" priority="16531" operator="equal">
      <formula>"欠"</formula>
    </cfRule>
  </conditionalFormatting>
  <conditionalFormatting sqref="AG56:AH56">
    <cfRule type="cellIs" dxfId="0" priority="16600" operator="equal">
      <formula>"未完成"</formula>
    </cfRule>
  </conditionalFormatting>
  <conditionalFormatting sqref="AL56:AM56">
    <cfRule type="cellIs" dxfId="1" priority="16485" operator="equal">
      <formula>"未完成"</formula>
    </cfRule>
    <cfRule type="cellIs" dxfId="0" priority="16508" operator="equal">
      <formula>"未完成"</formula>
    </cfRule>
  </conditionalFormatting>
  <conditionalFormatting sqref="R57">
    <cfRule type="cellIs" dxfId="0" priority="16576" operator="equal">
      <formula>"欠"</formula>
    </cfRule>
  </conditionalFormatting>
  <conditionalFormatting sqref="S57">
    <cfRule type="cellIs" dxfId="0" priority="16553" operator="equal">
      <formula>"欠"</formula>
    </cfRule>
  </conditionalFormatting>
  <conditionalFormatting sqref="T57:V57">
    <cfRule type="cellIs" dxfId="0" priority="16530" operator="equal">
      <formula>"欠"</formula>
    </cfRule>
  </conditionalFormatting>
  <conditionalFormatting sqref="AG57:AH57">
    <cfRule type="cellIs" dxfId="0" priority="16599" operator="equal">
      <formula>"未完成"</formula>
    </cfRule>
  </conditionalFormatting>
  <conditionalFormatting sqref="AL57:AM57">
    <cfRule type="cellIs" dxfId="1" priority="16484" operator="equal">
      <formula>"未完成"</formula>
    </cfRule>
    <cfRule type="cellIs" dxfId="0" priority="16507" operator="equal">
      <formula>"未完成"</formula>
    </cfRule>
  </conditionalFormatting>
  <conditionalFormatting sqref="R58">
    <cfRule type="cellIs" dxfId="0" priority="16575" operator="equal">
      <formula>"欠"</formula>
    </cfRule>
  </conditionalFormatting>
  <conditionalFormatting sqref="S58">
    <cfRule type="cellIs" dxfId="0" priority="16552" operator="equal">
      <formula>"欠"</formula>
    </cfRule>
  </conditionalFormatting>
  <conditionalFormatting sqref="T58:V58">
    <cfRule type="cellIs" dxfId="0" priority="16529" operator="equal">
      <formula>"欠"</formula>
    </cfRule>
  </conditionalFormatting>
  <conditionalFormatting sqref="AG58:AH58">
    <cfRule type="cellIs" dxfId="0" priority="16598" operator="equal">
      <formula>"未完成"</formula>
    </cfRule>
  </conditionalFormatting>
  <conditionalFormatting sqref="AL58:AM58">
    <cfRule type="cellIs" dxfId="1" priority="16483" operator="equal">
      <formula>"未完成"</formula>
    </cfRule>
    <cfRule type="cellIs" dxfId="0" priority="16506" operator="equal">
      <formula>"未完成"</formula>
    </cfRule>
  </conditionalFormatting>
  <conditionalFormatting sqref="R59">
    <cfRule type="cellIs" dxfId="0" priority="16574" operator="equal">
      <formula>"欠"</formula>
    </cfRule>
  </conditionalFormatting>
  <conditionalFormatting sqref="S59">
    <cfRule type="cellIs" dxfId="0" priority="16551" operator="equal">
      <formula>"欠"</formula>
    </cfRule>
  </conditionalFormatting>
  <conditionalFormatting sqref="T59:V59">
    <cfRule type="cellIs" dxfId="0" priority="16528" operator="equal">
      <formula>"欠"</formula>
    </cfRule>
  </conditionalFormatting>
  <conditionalFormatting sqref="AG59:AH59">
    <cfRule type="cellIs" dxfId="0" priority="16597" operator="equal">
      <formula>"未完成"</formula>
    </cfRule>
  </conditionalFormatting>
  <conditionalFormatting sqref="AL59:AM59">
    <cfRule type="cellIs" dxfId="1" priority="16482" operator="equal">
      <formula>"未完成"</formula>
    </cfRule>
    <cfRule type="cellIs" dxfId="0" priority="16505" operator="equal">
      <formula>"未完成"</formula>
    </cfRule>
  </conditionalFormatting>
  <conditionalFormatting sqref="R60">
    <cfRule type="cellIs" dxfId="0" priority="16573" operator="equal">
      <formula>"欠"</formula>
    </cfRule>
  </conditionalFormatting>
  <conditionalFormatting sqref="S60">
    <cfRule type="cellIs" dxfId="0" priority="16550" operator="equal">
      <formula>"欠"</formula>
    </cfRule>
  </conditionalFormatting>
  <conditionalFormatting sqref="T60:V60">
    <cfRule type="cellIs" dxfId="0" priority="16527" operator="equal">
      <formula>"欠"</formula>
    </cfRule>
  </conditionalFormatting>
  <conditionalFormatting sqref="AG60:AH60">
    <cfRule type="cellIs" dxfId="0" priority="16596" operator="equal">
      <formula>"未完成"</formula>
    </cfRule>
  </conditionalFormatting>
  <conditionalFormatting sqref="AL60:AM60">
    <cfRule type="cellIs" dxfId="1" priority="16481" operator="equal">
      <formula>"未完成"</formula>
    </cfRule>
    <cfRule type="cellIs" dxfId="0" priority="16504" operator="equal">
      <formula>"未完成"</formula>
    </cfRule>
  </conditionalFormatting>
  <conditionalFormatting sqref="R61">
    <cfRule type="cellIs" dxfId="0" priority="16572" operator="equal">
      <formula>"欠"</formula>
    </cfRule>
  </conditionalFormatting>
  <conditionalFormatting sqref="S61">
    <cfRule type="cellIs" dxfId="0" priority="16549" operator="equal">
      <formula>"欠"</formula>
    </cfRule>
  </conditionalFormatting>
  <conditionalFormatting sqref="T61:V61">
    <cfRule type="cellIs" dxfId="0" priority="16526" operator="equal">
      <formula>"欠"</formula>
    </cfRule>
  </conditionalFormatting>
  <conditionalFormatting sqref="AG61:AH61">
    <cfRule type="cellIs" dxfId="0" priority="16595" operator="equal">
      <formula>"未完成"</formula>
    </cfRule>
  </conditionalFormatting>
  <conditionalFormatting sqref="AL61:AM61">
    <cfRule type="cellIs" dxfId="1" priority="16480" operator="equal">
      <formula>"未完成"</formula>
    </cfRule>
    <cfRule type="cellIs" dxfId="0" priority="16503" operator="equal">
      <formula>"未完成"</formula>
    </cfRule>
  </conditionalFormatting>
  <conditionalFormatting sqref="R62">
    <cfRule type="cellIs" dxfId="0" priority="16571" operator="equal">
      <formula>"欠"</formula>
    </cfRule>
  </conditionalFormatting>
  <conditionalFormatting sqref="S62">
    <cfRule type="cellIs" dxfId="0" priority="16548" operator="equal">
      <formula>"欠"</formula>
    </cfRule>
  </conditionalFormatting>
  <conditionalFormatting sqref="T62:V62">
    <cfRule type="cellIs" dxfId="0" priority="16525" operator="equal">
      <formula>"欠"</formula>
    </cfRule>
  </conditionalFormatting>
  <conditionalFormatting sqref="AG62:AH62">
    <cfRule type="cellIs" dxfId="0" priority="16594" operator="equal">
      <formula>"未完成"</formula>
    </cfRule>
  </conditionalFormatting>
  <conditionalFormatting sqref="AL62:AM62">
    <cfRule type="cellIs" dxfId="1" priority="16479" operator="equal">
      <formula>"未完成"</formula>
    </cfRule>
    <cfRule type="cellIs" dxfId="0" priority="16502" operator="equal">
      <formula>"未完成"</formula>
    </cfRule>
  </conditionalFormatting>
  <conditionalFormatting sqref="R63">
    <cfRule type="cellIs" dxfId="0" priority="16570" operator="equal">
      <formula>"欠"</formula>
    </cfRule>
  </conditionalFormatting>
  <conditionalFormatting sqref="S63">
    <cfRule type="cellIs" dxfId="0" priority="16547" operator="equal">
      <formula>"欠"</formula>
    </cfRule>
  </conditionalFormatting>
  <conditionalFormatting sqref="T63:V63">
    <cfRule type="cellIs" dxfId="0" priority="16524" operator="equal">
      <formula>"欠"</formula>
    </cfRule>
  </conditionalFormatting>
  <conditionalFormatting sqref="AG63:AH63">
    <cfRule type="cellIs" dxfId="0" priority="16593" operator="equal">
      <formula>"未完成"</formula>
    </cfRule>
  </conditionalFormatting>
  <conditionalFormatting sqref="AL63:AM63">
    <cfRule type="cellIs" dxfId="1" priority="16478" operator="equal">
      <formula>"未完成"</formula>
    </cfRule>
    <cfRule type="cellIs" dxfId="0" priority="16501" operator="equal">
      <formula>"未完成"</formula>
    </cfRule>
  </conditionalFormatting>
  <conditionalFormatting sqref="R64">
    <cfRule type="cellIs" dxfId="0" priority="16569" operator="equal">
      <formula>"欠"</formula>
    </cfRule>
  </conditionalFormatting>
  <conditionalFormatting sqref="S64">
    <cfRule type="cellIs" dxfId="0" priority="16546" operator="equal">
      <formula>"欠"</formula>
    </cfRule>
  </conditionalFormatting>
  <conditionalFormatting sqref="T64:V64">
    <cfRule type="cellIs" dxfId="0" priority="16523" operator="equal">
      <formula>"欠"</formula>
    </cfRule>
  </conditionalFormatting>
  <conditionalFormatting sqref="AG64:AH64">
    <cfRule type="cellIs" dxfId="0" priority="16592" operator="equal">
      <formula>"未完成"</formula>
    </cfRule>
  </conditionalFormatting>
  <conditionalFormatting sqref="AL64:AM64">
    <cfRule type="cellIs" dxfId="1" priority="16477" operator="equal">
      <formula>"未完成"</formula>
    </cfRule>
    <cfRule type="cellIs" dxfId="0" priority="16500" operator="equal">
      <formula>"未完成"</formula>
    </cfRule>
  </conditionalFormatting>
  <conditionalFormatting sqref="R65">
    <cfRule type="cellIs" dxfId="0" priority="16568" operator="equal">
      <formula>"欠"</formula>
    </cfRule>
  </conditionalFormatting>
  <conditionalFormatting sqref="S65">
    <cfRule type="cellIs" dxfId="0" priority="16545" operator="equal">
      <formula>"欠"</formula>
    </cfRule>
  </conditionalFormatting>
  <conditionalFormatting sqref="T65:V65">
    <cfRule type="cellIs" dxfId="0" priority="16522" operator="equal">
      <formula>"欠"</formula>
    </cfRule>
  </conditionalFormatting>
  <conditionalFormatting sqref="AG65:AH65">
    <cfRule type="cellIs" dxfId="0" priority="16591" operator="equal">
      <formula>"未完成"</formula>
    </cfRule>
  </conditionalFormatting>
  <conditionalFormatting sqref="AL65:AM65">
    <cfRule type="cellIs" dxfId="1" priority="16476" operator="equal">
      <formula>"未完成"</formula>
    </cfRule>
    <cfRule type="cellIs" dxfId="0" priority="16499" operator="equal">
      <formula>"未完成"</formula>
    </cfRule>
  </conditionalFormatting>
  <conditionalFormatting sqref="R66">
    <cfRule type="cellIs" dxfId="0" priority="16567" operator="equal">
      <formula>"欠"</formula>
    </cfRule>
  </conditionalFormatting>
  <conditionalFormatting sqref="S66">
    <cfRule type="cellIs" dxfId="0" priority="16544" operator="equal">
      <formula>"欠"</formula>
    </cfRule>
  </conditionalFormatting>
  <conditionalFormatting sqref="T66:V66">
    <cfRule type="cellIs" dxfId="0" priority="16521" operator="equal">
      <formula>"欠"</formula>
    </cfRule>
  </conditionalFormatting>
  <conditionalFormatting sqref="AG66:AH66">
    <cfRule type="cellIs" dxfId="0" priority="16590" operator="equal">
      <formula>"未完成"</formula>
    </cfRule>
  </conditionalFormatting>
  <conditionalFormatting sqref="AL66:AM66">
    <cfRule type="cellIs" dxfId="1" priority="16475" operator="equal">
      <formula>"未完成"</formula>
    </cfRule>
    <cfRule type="cellIs" dxfId="0" priority="16498" operator="equal">
      <formula>"未完成"</formula>
    </cfRule>
  </conditionalFormatting>
  <conditionalFormatting sqref="R67">
    <cfRule type="cellIs" dxfId="0" priority="16566" operator="equal">
      <formula>"欠"</formula>
    </cfRule>
  </conditionalFormatting>
  <conditionalFormatting sqref="S67">
    <cfRule type="cellIs" dxfId="0" priority="16543" operator="equal">
      <formula>"欠"</formula>
    </cfRule>
  </conditionalFormatting>
  <conditionalFormatting sqref="T67:V67">
    <cfRule type="cellIs" dxfId="0" priority="16520" operator="equal">
      <formula>"欠"</formula>
    </cfRule>
  </conditionalFormatting>
  <conditionalFormatting sqref="AG67:AH67">
    <cfRule type="cellIs" dxfId="0" priority="16589" operator="equal">
      <formula>"未完成"</formula>
    </cfRule>
  </conditionalFormatting>
  <conditionalFormatting sqref="AL67:AM67">
    <cfRule type="cellIs" dxfId="1" priority="16474" operator="equal">
      <formula>"未完成"</formula>
    </cfRule>
    <cfRule type="cellIs" dxfId="0" priority="16497" operator="equal">
      <formula>"未完成"</formula>
    </cfRule>
  </conditionalFormatting>
  <conditionalFormatting sqref="R68">
    <cfRule type="cellIs" dxfId="0" priority="16565" operator="equal">
      <formula>"欠"</formula>
    </cfRule>
  </conditionalFormatting>
  <conditionalFormatting sqref="S68">
    <cfRule type="cellIs" dxfId="0" priority="16542" operator="equal">
      <formula>"欠"</formula>
    </cfRule>
  </conditionalFormatting>
  <conditionalFormatting sqref="T68:V68">
    <cfRule type="cellIs" dxfId="0" priority="16519" operator="equal">
      <formula>"欠"</formula>
    </cfRule>
  </conditionalFormatting>
  <conditionalFormatting sqref="AG68:AH68">
    <cfRule type="cellIs" dxfId="0" priority="16588" operator="equal">
      <formula>"未完成"</formula>
    </cfRule>
  </conditionalFormatting>
  <conditionalFormatting sqref="AL68:AM68">
    <cfRule type="cellIs" dxfId="1" priority="16473" operator="equal">
      <formula>"未完成"</formula>
    </cfRule>
    <cfRule type="cellIs" dxfId="0" priority="16496" operator="equal">
      <formula>"未完成"</formula>
    </cfRule>
  </conditionalFormatting>
  <conditionalFormatting sqref="R69">
    <cfRule type="cellIs" dxfId="0" priority="16564" operator="equal">
      <formula>"欠"</formula>
    </cfRule>
  </conditionalFormatting>
  <conditionalFormatting sqref="S69">
    <cfRule type="cellIs" dxfId="0" priority="16541" operator="equal">
      <formula>"欠"</formula>
    </cfRule>
  </conditionalFormatting>
  <conditionalFormatting sqref="T69:V69">
    <cfRule type="cellIs" dxfId="0" priority="16518" operator="equal">
      <formula>"欠"</formula>
    </cfRule>
  </conditionalFormatting>
  <conditionalFormatting sqref="AG69:AH69">
    <cfRule type="cellIs" dxfId="0" priority="16587" operator="equal">
      <formula>"未完成"</formula>
    </cfRule>
  </conditionalFormatting>
  <conditionalFormatting sqref="AL69:AM69">
    <cfRule type="cellIs" dxfId="1" priority="16472" operator="equal">
      <formula>"未完成"</formula>
    </cfRule>
    <cfRule type="cellIs" dxfId="0" priority="16495" operator="equal">
      <formula>"未完成"</formula>
    </cfRule>
  </conditionalFormatting>
  <conditionalFormatting sqref="R70">
    <cfRule type="cellIs" dxfId="0" priority="16563" operator="equal">
      <formula>"欠"</formula>
    </cfRule>
  </conditionalFormatting>
  <conditionalFormatting sqref="S70">
    <cfRule type="cellIs" dxfId="0" priority="16540" operator="equal">
      <formula>"欠"</formula>
    </cfRule>
  </conditionalFormatting>
  <conditionalFormatting sqref="T70:V70">
    <cfRule type="cellIs" dxfId="0" priority="16517" operator="equal">
      <formula>"欠"</formula>
    </cfRule>
  </conditionalFormatting>
  <conditionalFormatting sqref="AL70:AM70">
    <cfRule type="cellIs" dxfId="1" priority="16471" operator="equal">
      <formula>"未完成"</formula>
    </cfRule>
    <cfRule type="cellIs" dxfId="0" priority="16494" operator="equal">
      <formula>"未完成"</formula>
    </cfRule>
  </conditionalFormatting>
  <conditionalFormatting sqref="R71">
    <cfRule type="cellIs" dxfId="0" priority="16562" operator="equal">
      <formula>"欠"</formula>
    </cfRule>
  </conditionalFormatting>
  <conditionalFormatting sqref="S71">
    <cfRule type="cellIs" dxfId="0" priority="16539" operator="equal">
      <formula>"欠"</formula>
    </cfRule>
  </conditionalFormatting>
  <conditionalFormatting sqref="T71:V71">
    <cfRule type="cellIs" dxfId="0" priority="16516" operator="equal">
      <formula>"欠"</formula>
    </cfRule>
  </conditionalFormatting>
  <conditionalFormatting sqref="AL71:AM71">
    <cfRule type="cellIs" dxfId="1" priority="16470" operator="equal">
      <formula>"未完成"</formula>
    </cfRule>
    <cfRule type="cellIs" dxfId="0" priority="16493" operator="equal">
      <formula>"未完成"</formula>
    </cfRule>
  </conditionalFormatting>
  <conditionalFormatting sqref="R72">
    <cfRule type="cellIs" dxfId="0" priority="16561" operator="equal">
      <formula>"欠"</formula>
    </cfRule>
  </conditionalFormatting>
  <conditionalFormatting sqref="S72">
    <cfRule type="cellIs" dxfId="0" priority="16538" operator="equal">
      <formula>"欠"</formula>
    </cfRule>
  </conditionalFormatting>
  <conditionalFormatting sqref="T72:V72">
    <cfRule type="cellIs" dxfId="0" priority="16515" operator="equal">
      <formula>"欠"</formula>
    </cfRule>
  </conditionalFormatting>
  <conditionalFormatting sqref="AL72:AM72">
    <cfRule type="cellIs" dxfId="1" priority="16469" operator="equal">
      <formula>"未完成"</formula>
    </cfRule>
    <cfRule type="cellIs" dxfId="0" priority="16492" operator="equal">
      <formula>"未完成"</formula>
    </cfRule>
  </conditionalFormatting>
  <conditionalFormatting sqref="R73">
    <cfRule type="cellIs" dxfId="0" priority="16560" operator="equal">
      <formula>"欠"</formula>
    </cfRule>
  </conditionalFormatting>
  <conditionalFormatting sqref="S73">
    <cfRule type="cellIs" dxfId="0" priority="16537" operator="equal">
      <formula>"欠"</formula>
    </cfRule>
  </conditionalFormatting>
  <conditionalFormatting sqref="T73:V73">
    <cfRule type="cellIs" dxfId="0" priority="16514" operator="equal">
      <formula>"欠"</formula>
    </cfRule>
  </conditionalFormatting>
  <conditionalFormatting sqref="AL73:AM73">
    <cfRule type="cellIs" dxfId="1" priority="16468" operator="equal">
      <formula>"未完成"</formula>
    </cfRule>
    <cfRule type="cellIs" dxfId="0" priority="16491" operator="equal">
      <formula>"未完成"</formula>
    </cfRule>
  </conditionalFormatting>
  <conditionalFormatting sqref="R74">
    <cfRule type="cellIs" dxfId="0" priority="16559" operator="equal">
      <formula>"欠"</formula>
    </cfRule>
  </conditionalFormatting>
  <conditionalFormatting sqref="S74">
    <cfRule type="cellIs" dxfId="0" priority="16536" operator="equal">
      <formula>"欠"</formula>
    </cfRule>
  </conditionalFormatting>
  <conditionalFormatting sqref="T74:V74">
    <cfRule type="cellIs" dxfId="0" priority="16513" operator="equal">
      <formula>"欠"</formula>
    </cfRule>
  </conditionalFormatting>
  <conditionalFormatting sqref="AL74:AM74">
    <cfRule type="cellIs" dxfId="1" priority="16467" operator="equal">
      <formula>"未完成"</formula>
    </cfRule>
    <cfRule type="cellIs" dxfId="0" priority="16490" operator="equal">
      <formula>"未完成"</formula>
    </cfRule>
  </conditionalFormatting>
  <conditionalFormatting sqref="R75">
    <cfRule type="cellIs" dxfId="0" priority="16558" operator="equal">
      <formula>"欠"</formula>
    </cfRule>
  </conditionalFormatting>
  <conditionalFormatting sqref="S75">
    <cfRule type="cellIs" dxfId="0" priority="16535" operator="equal">
      <formula>"欠"</formula>
    </cfRule>
  </conditionalFormatting>
  <conditionalFormatting sqref="T75:V75">
    <cfRule type="cellIs" dxfId="0" priority="16512" operator="equal">
      <formula>"欠"</formula>
    </cfRule>
  </conditionalFormatting>
  <conditionalFormatting sqref="AL75:AM75">
    <cfRule type="cellIs" dxfId="1" priority="16466" operator="equal">
      <formula>"未完成"</formula>
    </cfRule>
    <cfRule type="cellIs" dxfId="0" priority="16489" operator="equal">
      <formula>"未完成"</formula>
    </cfRule>
  </conditionalFormatting>
  <conditionalFormatting sqref="R76">
    <cfRule type="cellIs" dxfId="0" priority="16351" operator="equal">
      <formula>"欠"</formula>
    </cfRule>
  </conditionalFormatting>
  <conditionalFormatting sqref="S76">
    <cfRule type="cellIs" dxfId="0" priority="16350" operator="equal">
      <formula>"欠"</formula>
    </cfRule>
  </conditionalFormatting>
  <conditionalFormatting sqref="T76:V76">
    <cfRule type="cellIs" dxfId="0" priority="16349" operator="equal">
      <formula>"欠"</formula>
    </cfRule>
  </conditionalFormatting>
  <conditionalFormatting sqref="AL76:AM76">
    <cfRule type="cellIs" dxfId="1" priority="16347" operator="equal">
      <formula>"未完成"</formula>
    </cfRule>
    <cfRule type="cellIs" dxfId="0" priority="16348" operator="equal">
      <formula>"未完成"</formula>
    </cfRule>
  </conditionalFormatting>
  <conditionalFormatting sqref="R77">
    <cfRule type="cellIs" dxfId="0" priority="16332" operator="equal">
      <formula>"欠"</formula>
    </cfRule>
  </conditionalFormatting>
  <conditionalFormatting sqref="S77">
    <cfRule type="cellIs" dxfId="0" priority="16318" operator="equal">
      <formula>"欠"</formula>
    </cfRule>
  </conditionalFormatting>
  <conditionalFormatting sqref="T77:V77">
    <cfRule type="cellIs" dxfId="0" priority="16304" operator="equal">
      <formula>"欠"</formula>
    </cfRule>
  </conditionalFormatting>
  <conditionalFormatting sqref="AL77:AM77">
    <cfRule type="cellIs" dxfId="1" priority="16276" operator="equal">
      <formula>"未完成"</formula>
    </cfRule>
    <cfRule type="cellIs" dxfId="0" priority="16290" operator="equal">
      <formula>"未完成"</formula>
    </cfRule>
  </conditionalFormatting>
  <conditionalFormatting sqref="R78">
    <cfRule type="cellIs" dxfId="0" priority="16331" operator="equal">
      <formula>"欠"</formula>
    </cfRule>
  </conditionalFormatting>
  <conditionalFormatting sqref="S78">
    <cfRule type="cellIs" dxfId="0" priority="16317" operator="equal">
      <formula>"欠"</formula>
    </cfRule>
  </conditionalFormatting>
  <conditionalFormatting sqref="T78:V78">
    <cfRule type="cellIs" dxfId="0" priority="16303" operator="equal">
      <formula>"欠"</formula>
    </cfRule>
  </conditionalFormatting>
  <conditionalFormatting sqref="AL78:AM78">
    <cfRule type="cellIs" dxfId="1" priority="16275" operator="equal">
      <formula>"未完成"</formula>
    </cfRule>
    <cfRule type="cellIs" dxfId="0" priority="16289" operator="equal">
      <formula>"未完成"</formula>
    </cfRule>
  </conditionalFormatting>
  <conditionalFormatting sqref="R79">
    <cfRule type="cellIs" dxfId="0" priority="16330" operator="equal">
      <formula>"欠"</formula>
    </cfRule>
  </conditionalFormatting>
  <conditionalFormatting sqref="S79">
    <cfRule type="cellIs" dxfId="0" priority="16316" operator="equal">
      <formula>"欠"</formula>
    </cfRule>
  </conditionalFormatting>
  <conditionalFormatting sqref="T79:V79">
    <cfRule type="cellIs" dxfId="0" priority="16302" operator="equal">
      <formula>"欠"</formula>
    </cfRule>
  </conditionalFormatting>
  <conditionalFormatting sqref="AL79:AM79">
    <cfRule type="cellIs" dxfId="1" priority="16274" operator="equal">
      <formula>"未完成"</formula>
    </cfRule>
    <cfRule type="cellIs" dxfId="0" priority="16288" operator="equal">
      <formula>"未完成"</formula>
    </cfRule>
  </conditionalFormatting>
  <conditionalFormatting sqref="R80">
    <cfRule type="cellIs" dxfId="0" priority="16329" operator="equal">
      <formula>"欠"</formula>
    </cfRule>
  </conditionalFormatting>
  <conditionalFormatting sqref="S80">
    <cfRule type="cellIs" dxfId="0" priority="16315" operator="equal">
      <formula>"欠"</formula>
    </cfRule>
  </conditionalFormatting>
  <conditionalFormatting sqref="T80:V80">
    <cfRule type="cellIs" dxfId="0" priority="16301" operator="equal">
      <formula>"欠"</formula>
    </cfRule>
  </conditionalFormatting>
  <conditionalFormatting sqref="AL80:AM80">
    <cfRule type="cellIs" dxfId="1" priority="16273" operator="equal">
      <formula>"未完成"</formula>
    </cfRule>
    <cfRule type="cellIs" dxfId="0" priority="16287" operator="equal">
      <formula>"未完成"</formula>
    </cfRule>
  </conditionalFormatting>
  <conditionalFormatting sqref="R81">
    <cfRule type="cellIs" dxfId="0" priority="16328" operator="equal">
      <formula>"欠"</formula>
    </cfRule>
  </conditionalFormatting>
  <conditionalFormatting sqref="S81">
    <cfRule type="cellIs" dxfId="0" priority="16314" operator="equal">
      <formula>"欠"</formula>
    </cfRule>
  </conditionalFormatting>
  <conditionalFormatting sqref="T81:V81">
    <cfRule type="cellIs" dxfId="0" priority="16300" operator="equal">
      <formula>"欠"</formula>
    </cfRule>
  </conditionalFormatting>
  <conditionalFormatting sqref="AL81:AM81">
    <cfRule type="cellIs" dxfId="1" priority="16272" operator="equal">
      <formula>"未完成"</formula>
    </cfRule>
    <cfRule type="cellIs" dxfId="0" priority="16286" operator="equal">
      <formula>"未完成"</formula>
    </cfRule>
  </conditionalFormatting>
  <conditionalFormatting sqref="R82">
    <cfRule type="cellIs" dxfId="0" priority="16327" operator="equal">
      <formula>"欠"</formula>
    </cfRule>
  </conditionalFormatting>
  <conditionalFormatting sqref="S82">
    <cfRule type="cellIs" dxfId="0" priority="16313" operator="equal">
      <formula>"欠"</formula>
    </cfRule>
  </conditionalFormatting>
  <conditionalFormatting sqref="T82:V82">
    <cfRule type="cellIs" dxfId="0" priority="16299" operator="equal">
      <formula>"欠"</formula>
    </cfRule>
  </conditionalFormatting>
  <conditionalFormatting sqref="AL82:AM82">
    <cfRule type="cellIs" dxfId="1" priority="16271" operator="equal">
      <formula>"未完成"</formula>
    </cfRule>
    <cfRule type="cellIs" dxfId="0" priority="16285" operator="equal">
      <formula>"未完成"</formula>
    </cfRule>
  </conditionalFormatting>
  <conditionalFormatting sqref="R83">
    <cfRule type="cellIs" dxfId="0" priority="16326" operator="equal">
      <formula>"欠"</formula>
    </cfRule>
  </conditionalFormatting>
  <conditionalFormatting sqref="S83">
    <cfRule type="cellIs" dxfId="0" priority="16312" operator="equal">
      <formula>"欠"</formula>
    </cfRule>
  </conditionalFormatting>
  <conditionalFormatting sqref="T83:V83">
    <cfRule type="cellIs" dxfId="0" priority="16298" operator="equal">
      <formula>"欠"</formula>
    </cfRule>
  </conditionalFormatting>
  <conditionalFormatting sqref="AL83:AM83">
    <cfRule type="cellIs" dxfId="1" priority="16270" operator="equal">
      <formula>"未完成"</formula>
    </cfRule>
    <cfRule type="cellIs" dxfId="0" priority="16284" operator="equal">
      <formula>"未完成"</formula>
    </cfRule>
  </conditionalFormatting>
  <conditionalFormatting sqref="R84">
    <cfRule type="cellIs" dxfId="0" priority="16325" operator="equal">
      <formula>"欠"</formula>
    </cfRule>
  </conditionalFormatting>
  <conditionalFormatting sqref="S84">
    <cfRule type="cellIs" dxfId="0" priority="16311" operator="equal">
      <formula>"欠"</formula>
    </cfRule>
  </conditionalFormatting>
  <conditionalFormatting sqref="T84:V84">
    <cfRule type="cellIs" dxfId="0" priority="16297" operator="equal">
      <formula>"欠"</formula>
    </cfRule>
  </conditionalFormatting>
  <conditionalFormatting sqref="AL84:AM84">
    <cfRule type="cellIs" dxfId="1" priority="16269" operator="equal">
      <formula>"未完成"</formula>
    </cfRule>
    <cfRule type="cellIs" dxfId="0" priority="16283" operator="equal">
      <formula>"未完成"</formula>
    </cfRule>
  </conditionalFormatting>
  <conditionalFormatting sqref="R85">
    <cfRule type="cellIs" dxfId="0" priority="16324" operator="equal">
      <formula>"欠"</formula>
    </cfRule>
  </conditionalFormatting>
  <conditionalFormatting sqref="S85">
    <cfRule type="cellIs" dxfId="0" priority="16310" operator="equal">
      <formula>"欠"</formula>
    </cfRule>
  </conditionalFormatting>
  <conditionalFormatting sqref="T85:V85">
    <cfRule type="cellIs" dxfId="0" priority="16296" operator="equal">
      <formula>"欠"</formula>
    </cfRule>
  </conditionalFormatting>
  <conditionalFormatting sqref="AL85:AM85">
    <cfRule type="cellIs" dxfId="1" priority="16268" operator="equal">
      <formula>"未完成"</formula>
    </cfRule>
    <cfRule type="cellIs" dxfId="0" priority="16282" operator="equal">
      <formula>"未完成"</formula>
    </cfRule>
  </conditionalFormatting>
  <conditionalFormatting sqref="R86">
    <cfRule type="cellIs" dxfId="0" priority="16323" operator="equal">
      <formula>"欠"</formula>
    </cfRule>
  </conditionalFormatting>
  <conditionalFormatting sqref="S86">
    <cfRule type="cellIs" dxfId="0" priority="16309" operator="equal">
      <formula>"欠"</formula>
    </cfRule>
  </conditionalFormatting>
  <conditionalFormatting sqref="T86:V86">
    <cfRule type="cellIs" dxfId="0" priority="16295" operator="equal">
      <formula>"欠"</formula>
    </cfRule>
  </conditionalFormatting>
  <conditionalFormatting sqref="AL86:AM86">
    <cfRule type="cellIs" dxfId="1" priority="16267" operator="equal">
      <formula>"未完成"</formula>
    </cfRule>
    <cfRule type="cellIs" dxfId="0" priority="16281" operator="equal">
      <formula>"未完成"</formula>
    </cfRule>
  </conditionalFormatting>
  <conditionalFormatting sqref="R87">
    <cfRule type="cellIs" dxfId="0" priority="16322" operator="equal">
      <formula>"欠"</formula>
    </cfRule>
  </conditionalFormatting>
  <conditionalFormatting sqref="S87">
    <cfRule type="cellIs" dxfId="0" priority="16308" operator="equal">
      <formula>"欠"</formula>
    </cfRule>
  </conditionalFormatting>
  <conditionalFormatting sqref="T87:V87">
    <cfRule type="cellIs" dxfId="0" priority="16294" operator="equal">
      <formula>"欠"</formula>
    </cfRule>
  </conditionalFormatting>
  <conditionalFormatting sqref="AL87:AM87">
    <cfRule type="cellIs" dxfId="1" priority="16266" operator="equal">
      <formula>"未完成"</formula>
    </cfRule>
    <cfRule type="cellIs" dxfId="0" priority="16280" operator="equal">
      <formula>"未完成"</formula>
    </cfRule>
  </conditionalFormatting>
  <conditionalFormatting sqref="R88">
    <cfRule type="cellIs" dxfId="0" priority="16321" operator="equal">
      <formula>"欠"</formula>
    </cfRule>
  </conditionalFormatting>
  <conditionalFormatting sqref="S88">
    <cfRule type="cellIs" dxfId="0" priority="16307" operator="equal">
      <formula>"欠"</formula>
    </cfRule>
  </conditionalFormatting>
  <conditionalFormatting sqref="T88:V88">
    <cfRule type="cellIs" dxfId="0" priority="16293" operator="equal">
      <formula>"欠"</formula>
    </cfRule>
  </conditionalFormatting>
  <conditionalFormatting sqref="AL88:AM88">
    <cfRule type="cellIs" dxfId="1" priority="16265" operator="equal">
      <formula>"未完成"</formula>
    </cfRule>
    <cfRule type="cellIs" dxfId="0" priority="16279" operator="equal">
      <formula>"未完成"</formula>
    </cfRule>
  </conditionalFormatting>
  <conditionalFormatting sqref="R89">
    <cfRule type="cellIs" dxfId="0" priority="16320" operator="equal">
      <formula>"欠"</formula>
    </cfRule>
  </conditionalFormatting>
  <conditionalFormatting sqref="S89">
    <cfRule type="cellIs" dxfId="0" priority="16306" operator="equal">
      <formula>"欠"</formula>
    </cfRule>
  </conditionalFormatting>
  <conditionalFormatting sqref="T89:V89">
    <cfRule type="cellIs" dxfId="0" priority="16292" operator="equal">
      <formula>"欠"</formula>
    </cfRule>
  </conditionalFormatting>
  <conditionalFormatting sqref="AL89:AM89">
    <cfRule type="cellIs" dxfId="1" priority="16264" operator="equal">
      <formula>"未完成"</formula>
    </cfRule>
    <cfRule type="cellIs" dxfId="0" priority="16278" operator="equal">
      <formula>"未完成"</formula>
    </cfRule>
  </conditionalFormatting>
  <conditionalFormatting sqref="R90">
    <cfRule type="cellIs" dxfId="0" priority="16319" operator="equal">
      <formula>"欠"</formula>
    </cfRule>
  </conditionalFormatting>
  <conditionalFormatting sqref="S90">
    <cfRule type="cellIs" dxfId="0" priority="16305" operator="equal">
      <formula>"欠"</formula>
    </cfRule>
  </conditionalFormatting>
  <conditionalFormatting sqref="T90:V90">
    <cfRule type="cellIs" dxfId="0" priority="16291" operator="equal">
      <formula>"欠"</formula>
    </cfRule>
  </conditionalFormatting>
  <conditionalFormatting sqref="AL90:AM90">
    <cfRule type="cellIs" dxfId="1" priority="16263" operator="equal">
      <formula>"未完成"</formula>
    </cfRule>
    <cfRule type="cellIs" dxfId="0" priority="16277" operator="equal">
      <formula>"未完成"</formula>
    </cfRule>
  </conditionalFormatting>
  <conditionalFormatting sqref="R91">
    <cfRule type="cellIs" dxfId="0" priority="16224" operator="equal">
      <formula>"欠"</formula>
    </cfRule>
  </conditionalFormatting>
  <conditionalFormatting sqref="S91">
    <cfRule type="cellIs" dxfId="0" priority="16216" operator="equal">
      <formula>"欠"</formula>
    </cfRule>
  </conditionalFormatting>
  <conditionalFormatting sqref="T91:V91">
    <cfRule type="cellIs" dxfId="0" priority="16208" operator="equal">
      <formula>"欠"</formula>
    </cfRule>
  </conditionalFormatting>
  <conditionalFormatting sqref="AL91:AM91">
    <cfRule type="cellIs" dxfId="1" priority="16192" operator="equal">
      <formula>"未完成"</formula>
    </cfRule>
    <cfRule type="cellIs" dxfId="0" priority="16200" operator="equal">
      <formula>"未完成"</formula>
    </cfRule>
  </conditionalFormatting>
  <conditionalFormatting sqref="R92">
    <cfRule type="cellIs" dxfId="0" priority="16223" operator="equal">
      <formula>"欠"</formula>
    </cfRule>
  </conditionalFormatting>
  <conditionalFormatting sqref="S92">
    <cfRule type="cellIs" dxfId="0" priority="16215" operator="equal">
      <formula>"欠"</formula>
    </cfRule>
  </conditionalFormatting>
  <conditionalFormatting sqref="T92:V92">
    <cfRule type="cellIs" dxfId="0" priority="16207" operator="equal">
      <formula>"欠"</formula>
    </cfRule>
  </conditionalFormatting>
  <conditionalFormatting sqref="AL92:AM92">
    <cfRule type="cellIs" dxfId="1" priority="16191" operator="equal">
      <formula>"未完成"</formula>
    </cfRule>
    <cfRule type="cellIs" dxfId="0" priority="16199" operator="equal">
      <formula>"未完成"</formula>
    </cfRule>
  </conditionalFormatting>
  <conditionalFormatting sqref="R93">
    <cfRule type="cellIs" dxfId="0" priority="16222" operator="equal">
      <formula>"欠"</formula>
    </cfRule>
  </conditionalFormatting>
  <conditionalFormatting sqref="S93">
    <cfRule type="cellIs" dxfId="0" priority="16214" operator="equal">
      <formula>"欠"</formula>
    </cfRule>
  </conditionalFormatting>
  <conditionalFormatting sqref="T93:V93">
    <cfRule type="cellIs" dxfId="0" priority="16206" operator="equal">
      <formula>"欠"</formula>
    </cfRule>
  </conditionalFormatting>
  <conditionalFormatting sqref="AL93:AM93">
    <cfRule type="cellIs" dxfId="1" priority="16190" operator="equal">
      <formula>"未完成"</formula>
    </cfRule>
    <cfRule type="cellIs" dxfId="0" priority="16198" operator="equal">
      <formula>"未完成"</formula>
    </cfRule>
  </conditionalFormatting>
  <conditionalFormatting sqref="R94">
    <cfRule type="cellIs" dxfId="0" priority="16221" operator="equal">
      <formula>"欠"</formula>
    </cfRule>
  </conditionalFormatting>
  <conditionalFormatting sqref="S94">
    <cfRule type="cellIs" dxfId="0" priority="16213" operator="equal">
      <formula>"欠"</formula>
    </cfRule>
  </conditionalFormatting>
  <conditionalFormatting sqref="T94:V94">
    <cfRule type="cellIs" dxfId="0" priority="16205" operator="equal">
      <formula>"欠"</formula>
    </cfRule>
  </conditionalFormatting>
  <conditionalFormatting sqref="AL94:AM94">
    <cfRule type="cellIs" dxfId="1" priority="16189" operator="equal">
      <formula>"未完成"</formula>
    </cfRule>
    <cfRule type="cellIs" dxfId="0" priority="16197" operator="equal">
      <formula>"未完成"</formula>
    </cfRule>
  </conditionalFormatting>
  <conditionalFormatting sqref="R95">
    <cfRule type="cellIs" dxfId="0" priority="16220" operator="equal">
      <formula>"欠"</formula>
    </cfRule>
  </conditionalFormatting>
  <conditionalFormatting sqref="S95">
    <cfRule type="cellIs" dxfId="0" priority="16212" operator="equal">
      <formula>"欠"</formula>
    </cfRule>
  </conditionalFormatting>
  <conditionalFormatting sqref="T95:V95">
    <cfRule type="cellIs" dxfId="0" priority="16204" operator="equal">
      <formula>"欠"</formula>
    </cfRule>
  </conditionalFormatting>
  <conditionalFormatting sqref="AL95:AM95">
    <cfRule type="cellIs" dxfId="1" priority="16188" operator="equal">
      <formula>"未完成"</formula>
    </cfRule>
    <cfRule type="cellIs" dxfId="0" priority="16196" operator="equal">
      <formula>"未完成"</formula>
    </cfRule>
  </conditionalFormatting>
  <conditionalFormatting sqref="R96">
    <cfRule type="cellIs" dxfId="0" priority="16219" operator="equal">
      <formula>"欠"</formula>
    </cfRule>
  </conditionalFormatting>
  <conditionalFormatting sqref="S96">
    <cfRule type="cellIs" dxfId="0" priority="16211" operator="equal">
      <formula>"欠"</formula>
    </cfRule>
  </conditionalFormatting>
  <conditionalFormatting sqref="T96:V96">
    <cfRule type="cellIs" dxfId="0" priority="16203" operator="equal">
      <formula>"欠"</formula>
    </cfRule>
  </conditionalFormatting>
  <conditionalFormatting sqref="AL96:AM96">
    <cfRule type="cellIs" dxfId="1" priority="16187" operator="equal">
      <formula>"未完成"</formula>
    </cfRule>
    <cfRule type="cellIs" dxfId="0" priority="16195" operator="equal">
      <formula>"未完成"</formula>
    </cfRule>
  </conditionalFormatting>
  <conditionalFormatting sqref="R97">
    <cfRule type="cellIs" dxfId="0" priority="16218" operator="equal">
      <formula>"欠"</formula>
    </cfRule>
  </conditionalFormatting>
  <conditionalFormatting sqref="S97">
    <cfRule type="cellIs" dxfId="0" priority="16210" operator="equal">
      <formula>"欠"</formula>
    </cfRule>
  </conditionalFormatting>
  <conditionalFormatting sqref="T97:V97">
    <cfRule type="cellIs" dxfId="0" priority="16202" operator="equal">
      <formula>"欠"</formula>
    </cfRule>
  </conditionalFormatting>
  <conditionalFormatting sqref="AL97:AM97">
    <cfRule type="cellIs" dxfId="1" priority="16186" operator="equal">
      <formula>"未完成"</formula>
    </cfRule>
    <cfRule type="cellIs" dxfId="0" priority="16194" operator="equal">
      <formula>"未完成"</formula>
    </cfRule>
  </conditionalFormatting>
  <conditionalFormatting sqref="R98">
    <cfRule type="cellIs" dxfId="0" priority="16217" operator="equal">
      <formula>"欠"</formula>
    </cfRule>
  </conditionalFormatting>
  <conditionalFormatting sqref="S98">
    <cfRule type="cellIs" dxfId="0" priority="16209" operator="equal">
      <formula>"欠"</formula>
    </cfRule>
  </conditionalFormatting>
  <conditionalFormatting sqref="T98:V98">
    <cfRule type="cellIs" dxfId="0" priority="16201" operator="equal">
      <formula>"欠"</formula>
    </cfRule>
  </conditionalFormatting>
  <conditionalFormatting sqref="AL98:AM98">
    <cfRule type="cellIs" dxfId="1" priority="16185" operator="equal">
      <formula>"未完成"</formula>
    </cfRule>
    <cfRule type="cellIs" dxfId="0" priority="16193" operator="equal">
      <formula>"未完成"</formula>
    </cfRule>
  </conditionalFormatting>
  <conditionalFormatting sqref="R99">
    <cfRule type="cellIs" dxfId="0" priority="15230" operator="equal">
      <formula>"欠"</formula>
    </cfRule>
  </conditionalFormatting>
  <conditionalFormatting sqref="S99">
    <cfRule type="cellIs" dxfId="0" priority="15207" operator="equal">
      <formula>"欠"</formula>
    </cfRule>
  </conditionalFormatting>
  <conditionalFormatting sqref="T99:V99">
    <cfRule type="cellIs" dxfId="0" priority="15184" operator="equal">
      <formula>"欠"</formula>
    </cfRule>
  </conditionalFormatting>
  <conditionalFormatting sqref="AL99:AM99">
    <cfRule type="cellIs" dxfId="1" priority="15138" operator="equal">
      <formula>"未完成"</formula>
    </cfRule>
    <cfRule type="cellIs" dxfId="0" priority="15161" operator="equal">
      <formula>"未完成"</formula>
    </cfRule>
  </conditionalFormatting>
  <conditionalFormatting sqref="R100">
    <cfRule type="cellIs" dxfId="0" priority="15229" operator="equal">
      <formula>"欠"</formula>
    </cfRule>
  </conditionalFormatting>
  <conditionalFormatting sqref="S100">
    <cfRule type="cellIs" dxfId="0" priority="15206" operator="equal">
      <formula>"欠"</formula>
    </cfRule>
  </conditionalFormatting>
  <conditionalFormatting sqref="T100:V100">
    <cfRule type="cellIs" dxfId="0" priority="15183" operator="equal">
      <formula>"欠"</formula>
    </cfRule>
  </conditionalFormatting>
  <conditionalFormatting sqref="AL100:AM100">
    <cfRule type="cellIs" dxfId="1" priority="15137" operator="equal">
      <formula>"未完成"</formula>
    </cfRule>
    <cfRule type="cellIs" dxfId="0" priority="15160" operator="equal">
      <formula>"未完成"</formula>
    </cfRule>
  </conditionalFormatting>
  <conditionalFormatting sqref="R101">
    <cfRule type="cellIs" dxfId="0" priority="15228" operator="equal">
      <formula>"欠"</formula>
    </cfRule>
  </conditionalFormatting>
  <conditionalFormatting sqref="S101">
    <cfRule type="cellIs" dxfId="0" priority="15205" operator="equal">
      <formula>"欠"</formula>
    </cfRule>
  </conditionalFormatting>
  <conditionalFormatting sqref="T101:V101">
    <cfRule type="cellIs" dxfId="0" priority="15182" operator="equal">
      <formula>"欠"</formula>
    </cfRule>
  </conditionalFormatting>
  <conditionalFormatting sqref="AL101:AM101">
    <cfRule type="cellIs" dxfId="1" priority="15136" operator="equal">
      <formula>"未完成"</formula>
    </cfRule>
    <cfRule type="cellIs" dxfId="0" priority="15159" operator="equal">
      <formula>"未完成"</formula>
    </cfRule>
  </conditionalFormatting>
  <conditionalFormatting sqref="R102">
    <cfRule type="cellIs" dxfId="0" priority="15227" operator="equal">
      <formula>"欠"</formula>
    </cfRule>
  </conditionalFormatting>
  <conditionalFormatting sqref="S102">
    <cfRule type="cellIs" dxfId="0" priority="15204" operator="equal">
      <formula>"欠"</formula>
    </cfRule>
  </conditionalFormatting>
  <conditionalFormatting sqref="T102:V102">
    <cfRule type="cellIs" dxfId="0" priority="15181" operator="equal">
      <formula>"欠"</formula>
    </cfRule>
  </conditionalFormatting>
  <conditionalFormatting sqref="AL102:AM102">
    <cfRule type="cellIs" dxfId="1" priority="15135" operator="equal">
      <formula>"未完成"</formula>
    </cfRule>
    <cfRule type="cellIs" dxfId="0" priority="15158" operator="equal">
      <formula>"未完成"</formula>
    </cfRule>
  </conditionalFormatting>
  <conditionalFormatting sqref="R103">
    <cfRule type="cellIs" dxfId="0" priority="15226" operator="equal">
      <formula>"欠"</formula>
    </cfRule>
  </conditionalFormatting>
  <conditionalFormatting sqref="S103">
    <cfRule type="cellIs" dxfId="0" priority="15203" operator="equal">
      <formula>"欠"</formula>
    </cfRule>
  </conditionalFormatting>
  <conditionalFormatting sqref="T103:V103">
    <cfRule type="cellIs" dxfId="0" priority="15180" operator="equal">
      <formula>"欠"</formula>
    </cfRule>
  </conditionalFormatting>
  <conditionalFormatting sqref="AL103:AM103">
    <cfRule type="cellIs" dxfId="1" priority="15134" operator="equal">
      <formula>"未完成"</formula>
    </cfRule>
    <cfRule type="cellIs" dxfId="0" priority="15157" operator="equal">
      <formula>"未完成"</formula>
    </cfRule>
  </conditionalFormatting>
  <conditionalFormatting sqref="R104">
    <cfRule type="cellIs" dxfId="0" priority="15225" operator="equal">
      <formula>"欠"</formula>
    </cfRule>
  </conditionalFormatting>
  <conditionalFormatting sqref="S104">
    <cfRule type="cellIs" dxfId="0" priority="15202" operator="equal">
      <formula>"欠"</formula>
    </cfRule>
  </conditionalFormatting>
  <conditionalFormatting sqref="T104:V104">
    <cfRule type="cellIs" dxfId="0" priority="15179" operator="equal">
      <formula>"欠"</formula>
    </cfRule>
  </conditionalFormatting>
  <conditionalFormatting sqref="AL104:AM104">
    <cfRule type="cellIs" dxfId="1" priority="15133" operator="equal">
      <formula>"未完成"</formula>
    </cfRule>
    <cfRule type="cellIs" dxfId="0" priority="15156" operator="equal">
      <formula>"未完成"</formula>
    </cfRule>
  </conditionalFormatting>
  <conditionalFormatting sqref="R105">
    <cfRule type="cellIs" dxfId="0" priority="15224" operator="equal">
      <formula>"欠"</formula>
    </cfRule>
  </conditionalFormatting>
  <conditionalFormatting sqref="S105">
    <cfRule type="cellIs" dxfId="0" priority="15201" operator="equal">
      <formula>"欠"</formula>
    </cfRule>
  </conditionalFormatting>
  <conditionalFormatting sqref="T105:V105">
    <cfRule type="cellIs" dxfId="0" priority="15178" operator="equal">
      <formula>"欠"</formula>
    </cfRule>
  </conditionalFormatting>
  <conditionalFormatting sqref="AL105:AM105">
    <cfRule type="cellIs" dxfId="1" priority="15132" operator="equal">
      <formula>"未完成"</formula>
    </cfRule>
    <cfRule type="cellIs" dxfId="0" priority="15155" operator="equal">
      <formula>"未完成"</formula>
    </cfRule>
  </conditionalFormatting>
  <conditionalFormatting sqref="R106">
    <cfRule type="cellIs" dxfId="0" priority="15223" operator="equal">
      <formula>"欠"</formula>
    </cfRule>
  </conditionalFormatting>
  <conditionalFormatting sqref="S106">
    <cfRule type="cellIs" dxfId="0" priority="15200" operator="equal">
      <formula>"欠"</formula>
    </cfRule>
  </conditionalFormatting>
  <conditionalFormatting sqref="T106:V106">
    <cfRule type="cellIs" dxfId="0" priority="15177" operator="equal">
      <formula>"欠"</formula>
    </cfRule>
  </conditionalFormatting>
  <conditionalFormatting sqref="AL106:AM106">
    <cfRule type="cellIs" dxfId="1" priority="15131" operator="equal">
      <formula>"未完成"</formula>
    </cfRule>
    <cfRule type="cellIs" dxfId="0" priority="15154" operator="equal">
      <formula>"未完成"</formula>
    </cfRule>
  </conditionalFormatting>
  <conditionalFormatting sqref="R107">
    <cfRule type="cellIs" dxfId="0" priority="15222" operator="equal">
      <formula>"欠"</formula>
    </cfRule>
  </conditionalFormatting>
  <conditionalFormatting sqref="S107">
    <cfRule type="cellIs" dxfId="0" priority="15199" operator="equal">
      <formula>"欠"</formula>
    </cfRule>
  </conditionalFormatting>
  <conditionalFormatting sqref="T107:V107">
    <cfRule type="cellIs" dxfId="0" priority="15176" operator="equal">
      <formula>"欠"</formula>
    </cfRule>
  </conditionalFormatting>
  <conditionalFormatting sqref="AL107:AM107">
    <cfRule type="cellIs" dxfId="1" priority="15130" operator="equal">
      <formula>"未完成"</formula>
    </cfRule>
    <cfRule type="cellIs" dxfId="0" priority="15153" operator="equal">
      <formula>"未完成"</formula>
    </cfRule>
  </conditionalFormatting>
  <conditionalFormatting sqref="R108">
    <cfRule type="cellIs" dxfId="0" priority="15221" operator="equal">
      <formula>"欠"</formula>
    </cfRule>
  </conditionalFormatting>
  <conditionalFormatting sqref="S108">
    <cfRule type="cellIs" dxfId="0" priority="15198" operator="equal">
      <formula>"欠"</formula>
    </cfRule>
  </conditionalFormatting>
  <conditionalFormatting sqref="T108:V108">
    <cfRule type="cellIs" dxfId="0" priority="15175" operator="equal">
      <formula>"欠"</formula>
    </cfRule>
  </conditionalFormatting>
  <conditionalFormatting sqref="AL108:AM108">
    <cfRule type="cellIs" dxfId="1" priority="15129" operator="equal">
      <formula>"未完成"</formula>
    </cfRule>
    <cfRule type="cellIs" dxfId="0" priority="15152" operator="equal">
      <formula>"未完成"</formula>
    </cfRule>
  </conditionalFormatting>
  <conditionalFormatting sqref="R109">
    <cfRule type="cellIs" dxfId="0" priority="15220" operator="equal">
      <formula>"欠"</formula>
    </cfRule>
  </conditionalFormatting>
  <conditionalFormatting sqref="S109">
    <cfRule type="cellIs" dxfId="0" priority="15197" operator="equal">
      <formula>"欠"</formula>
    </cfRule>
  </conditionalFormatting>
  <conditionalFormatting sqref="T109:V109">
    <cfRule type="cellIs" dxfId="0" priority="15174" operator="equal">
      <formula>"欠"</formula>
    </cfRule>
  </conditionalFormatting>
  <conditionalFormatting sqref="AL109:AM109">
    <cfRule type="cellIs" dxfId="1" priority="15128" operator="equal">
      <formula>"未完成"</formula>
    </cfRule>
    <cfRule type="cellIs" dxfId="0" priority="15151" operator="equal">
      <formula>"未完成"</formula>
    </cfRule>
  </conditionalFormatting>
  <conditionalFormatting sqref="R110">
    <cfRule type="cellIs" dxfId="0" priority="15219" operator="equal">
      <formula>"欠"</formula>
    </cfRule>
  </conditionalFormatting>
  <conditionalFormatting sqref="S110">
    <cfRule type="cellIs" dxfId="0" priority="15196" operator="equal">
      <formula>"欠"</formula>
    </cfRule>
  </conditionalFormatting>
  <conditionalFormatting sqref="T110:V110">
    <cfRule type="cellIs" dxfId="0" priority="15173" operator="equal">
      <formula>"欠"</formula>
    </cfRule>
  </conditionalFormatting>
  <conditionalFormatting sqref="AL110:AM110">
    <cfRule type="cellIs" dxfId="1" priority="15127" operator="equal">
      <formula>"未完成"</formula>
    </cfRule>
    <cfRule type="cellIs" dxfId="0" priority="15150" operator="equal">
      <formula>"未完成"</formula>
    </cfRule>
  </conditionalFormatting>
  <conditionalFormatting sqref="R111">
    <cfRule type="cellIs" dxfId="0" priority="15218" operator="equal">
      <formula>"欠"</formula>
    </cfRule>
  </conditionalFormatting>
  <conditionalFormatting sqref="S111">
    <cfRule type="cellIs" dxfId="0" priority="15195" operator="equal">
      <formula>"欠"</formula>
    </cfRule>
  </conditionalFormatting>
  <conditionalFormatting sqref="T111:V111">
    <cfRule type="cellIs" dxfId="0" priority="15172" operator="equal">
      <formula>"欠"</formula>
    </cfRule>
  </conditionalFormatting>
  <conditionalFormatting sqref="AL111:AM111">
    <cfRule type="cellIs" dxfId="1" priority="15126" operator="equal">
      <formula>"未完成"</formula>
    </cfRule>
    <cfRule type="cellIs" dxfId="0" priority="15149" operator="equal">
      <formula>"未完成"</formula>
    </cfRule>
  </conditionalFormatting>
  <conditionalFormatting sqref="R112">
    <cfRule type="cellIs" dxfId="0" priority="15217" operator="equal">
      <formula>"欠"</formula>
    </cfRule>
  </conditionalFormatting>
  <conditionalFormatting sqref="S112">
    <cfRule type="cellIs" dxfId="0" priority="15194" operator="equal">
      <formula>"欠"</formula>
    </cfRule>
  </conditionalFormatting>
  <conditionalFormatting sqref="T112:V112">
    <cfRule type="cellIs" dxfId="0" priority="15171" operator="equal">
      <formula>"欠"</formula>
    </cfRule>
  </conditionalFormatting>
  <conditionalFormatting sqref="AL112:AM112">
    <cfRule type="cellIs" dxfId="1" priority="15125" operator="equal">
      <formula>"未完成"</formula>
    </cfRule>
    <cfRule type="cellIs" dxfId="0" priority="15148" operator="equal">
      <formula>"未完成"</formula>
    </cfRule>
  </conditionalFormatting>
  <conditionalFormatting sqref="R113">
    <cfRule type="cellIs" dxfId="0" priority="15216" operator="equal">
      <formula>"欠"</formula>
    </cfRule>
  </conditionalFormatting>
  <conditionalFormatting sqref="S113">
    <cfRule type="cellIs" dxfId="0" priority="15193" operator="equal">
      <formula>"欠"</formula>
    </cfRule>
  </conditionalFormatting>
  <conditionalFormatting sqref="T113:V113">
    <cfRule type="cellIs" dxfId="0" priority="15170" operator="equal">
      <formula>"欠"</formula>
    </cfRule>
  </conditionalFormatting>
  <conditionalFormatting sqref="AL113:AM113">
    <cfRule type="cellIs" dxfId="1" priority="15124" operator="equal">
      <formula>"未完成"</formula>
    </cfRule>
    <cfRule type="cellIs" dxfId="0" priority="15147" operator="equal">
      <formula>"未完成"</formula>
    </cfRule>
  </conditionalFormatting>
  <conditionalFormatting sqref="R114">
    <cfRule type="cellIs" dxfId="0" priority="15215" operator="equal">
      <formula>"欠"</formula>
    </cfRule>
  </conditionalFormatting>
  <conditionalFormatting sqref="S114">
    <cfRule type="cellIs" dxfId="0" priority="15192" operator="equal">
      <formula>"欠"</formula>
    </cfRule>
  </conditionalFormatting>
  <conditionalFormatting sqref="T114:V114">
    <cfRule type="cellIs" dxfId="0" priority="15169" operator="equal">
      <formula>"欠"</formula>
    </cfRule>
  </conditionalFormatting>
  <conditionalFormatting sqref="AL114:AM114">
    <cfRule type="cellIs" dxfId="1" priority="15123" operator="equal">
      <formula>"未完成"</formula>
    </cfRule>
    <cfRule type="cellIs" dxfId="0" priority="15146" operator="equal">
      <formula>"未完成"</formula>
    </cfRule>
  </conditionalFormatting>
  <conditionalFormatting sqref="R115">
    <cfRule type="cellIs" dxfId="0" priority="15214" operator="equal">
      <formula>"欠"</formula>
    </cfRule>
  </conditionalFormatting>
  <conditionalFormatting sqref="S115">
    <cfRule type="cellIs" dxfId="0" priority="15191" operator="equal">
      <formula>"欠"</formula>
    </cfRule>
  </conditionalFormatting>
  <conditionalFormatting sqref="T115:V115">
    <cfRule type="cellIs" dxfId="0" priority="15168" operator="equal">
      <formula>"欠"</formula>
    </cfRule>
  </conditionalFormatting>
  <conditionalFormatting sqref="AL115:AM115">
    <cfRule type="cellIs" dxfId="1" priority="15122" operator="equal">
      <formula>"未完成"</formula>
    </cfRule>
    <cfRule type="cellIs" dxfId="0" priority="15145" operator="equal">
      <formula>"未完成"</formula>
    </cfRule>
  </conditionalFormatting>
  <conditionalFormatting sqref="R116">
    <cfRule type="cellIs" dxfId="0" priority="15213" operator="equal">
      <formula>"欠"</formula>
    </cfRule>
  </conditionalFormatting>
  <conditionalFormatting sqref="S116">
    <cfRule type="cellIs" dxfId="0" priority="15190" operator="equal">
      <formula>"欠"</formula>
    </cfRule>
  </conditionalFormatting>
  <conditionalFormatting sqref="T116:V116">
    <cfRule type="cellIs" dxfId="0" priority="15167" operator="equal">
      <formula>"欠"</formula>
    </cfRule>
  </conditionalFormatting>
  <conditionalFormatting sqref="AL116:AM116">
    <cfRule type="cellIs" dxfId="1" priority="15121" operator="equal">
      <formula>"未完成"</formula>
    </cfRule>
    <cfRule type="cellIs" dxfId="0" priority="15144" operator="equal">
      <formula>"未完成"</formula>
    </cfRule>
  </conditionalFormatting>
  <conditionalFormatting sqref="R117">
    <cfRule type="cellIs" dxfId="0" priority="15212" operator="equal">
      <formula>"欠"</formula>
    </cfRule>
  </conditionalFormatting>
  <conditionalFormatting sqref="S117">
    <cfRule type="cellIs" dxfId="0" priority="15189" operator="equal">
      <formula>"欠"</formula>
    </cfRule>
  </conditionalFormatting>
  <conditionalFormatting sqref="T117:V117">
    <cfRule type="cellIs" dxfId="0" priority="15166" operator="equal">
      <formula>"欠"</formula>
    </cfRule>
  </conditionalFormatting>
  <conditionalFormatting sqref="AL117:AM117">
    <cfRule type="cellIs" dxfId="1" priority="15120" operator="equal">
      <formula>"未完成"</formula>
    </cfRule>
    <cfRule type="cellIs" dxfId="0" priority="15143" operator="equal">
      <formula>"未完成"</formula>
    </cfRule>
  </conditionalFormatting>
  <conditionalFormatting sqref="R118">
    <cfRule type="cellIs" dxfId="0" priority="15211" operator="equal">
      <formula>"欠"</formula>
    </cfRule>
  </conditionalFormatting>
  <conditionalFormatting sqref="S118">
    <cfRule type="cellIs" dxfId="0" priority="15188" operator="equal">
      <formula>"欠"</formula>
    </cfRule>
  </conditionalFormatting>
  <conditionalFormatting sqref="T118:V118">
    <cfRule type="cellIs" dxfId="0" priority="15165" operator="equal">
      <formula>"欠"</formula>
    </cfRule>
  </conditionalFormatting>
  <conditionalFormatting sqref="AL118:AM118">
    <cfRule type="cellIs" dxfId="1" priority="15119" operator="equal">
      <formula>"未完成"</formula>
    </cfRule>
    <cfRule type="cellIs" dxfId="0" priority="15142" operator="equal">
      <formula>"未完成"</formula>
    </cfRule>
  </conditionalFormatting>
  <conditionalFormatting sqref="R119">
    <cfRule type="cellIs" dxfId="0" priority="15210" operator="equal">
      <formula>"欠"</formula>
    </cfRule>
  </conditionalFormatting>
  <conditionalFormatting sqref="S119">
    <cfRule type="cellIs" dxfId="0" priority="15187" operator="equal">
      <formula>"欠"</formula>
    </cfRule>
  </conditionalFormatting>
  <conditionalFormatting sqref="T119:V119">
    <cfRule type="cellIs" dxfId="0" priority="15164" operator="equal">
      <formula>"欠"</formula>
    </cfRule>
  </conditionalFormatting>
  <conditionalFormatting sqref="AL119:AM119">
    <cfRule type="cellIs" dxfId="1" priority="15118" operator="equal">
      <formula>"未完成"</formula>
    </cfRule>
    <cfRule type="cellIs" dxfId="0" priority="15141" operator="equal">
      <formula>"未完成"</formula>
    </cfRule>
  </conditionalFormatting>
  <conditionalFormatting sqref="R120">
    <cfRule type="cellIs" dxfId="0" priority="15209" operator="equal">
      <formula>"欠"</formula>
    </cfRule>
  </conditionalFormatting>
  <conditionalFormatting sqref="S120">
    <cfRule type="cellIs" dxfId="0" priority="15186" operator="equal">
      <formula>"欠"</formula>
    </cfRule>
  </conditionalFormatting>
  <conditionalFormatting sqref="T120:V120">
    <cfRule type="cellIs" dxfId="0" priority="15163" operator="equal">
      <formula>"欠"</formula>
    </cfRule>
  </conditionalFormatting>
  <conditionalFormatting sqref="AL120:AM120">
    <cfRule type="cellIs" dxfId="1" priority="15117" operator="equal">
      <formula>"未完成"</formula>
    </cfRule>
    <cfRule type="cellIs" dxfId="0" priority="15140" operator="equal">
      <formula>"未完成"</formula>
    </cfRule>
  </conditionalFormatting>
  <conditionalFormatting sqref="R121">
    <cfRule type="cellIs" dxfId="0" priority="15208" operator="equal">
      <formula>"欠"</formula>
    </cfRule>
  </conditionalFormatting>
  <conditionalFormatting sqref="S121">
    <cfRule type="cellIs" dxfId="0" priority="15185" operator="equal">
      <formula>"欠"</formula>
    </cfRule>
  </conditionalFormatting>
  <conditionalFormatting sqref="T121:V121">
    <cfRule type="cellIs" dxfId="0" priority="15162" operator="equal">
      <formula>"欠"</formula>
    </cfRule>
  </conditionalFormatting>
  <conditionalFormatting sqref="AL121:AM121">
    <cfRule type="cellIs" dxfId="1" priority="15116" operator="equal">
      <formula>"未完成"</formula>
    </cfRule>
    <cfRule type="cellIs" dxfId="0" priority="15139" operator="equal">
      <formula>"未完成"</formula>
    </cfRule>
  </conditionalFormatting>
  <conditionalFormatting sqref="R122">
    <cfRule type="cellIs" dxfId="0" priority="15070" operator="equal">
      <formula>"欠"</formula>
    </cfRule>
  </conditionalFormatting>
  <conditionalFormatting sqref="S122">
    <cfRule type="cellIs" dxfId="0" priority="15062" operator="equal">
      <formula>"欠"</formula>
    </cfRule>
  </conditionalFormatting>
  <conditionalFormatting sqref="T122:V122">
    <cfRule type="cellIs" dxfId="0" priority="15054" operator="equal">
      <formula>"欠"</formula>
    </cfRule>
  </conditionalFormatting>
  <conditionalFormatting sqref="AL122:AM122">
    <cfRule type="cellIs" dxfId="1" priority="15038" operator="equal">
      <formula>"未完成"</formula>
    </cfRule>
    <cfRule type="cellIs" dxfId="0" priority="15046" operator="equal">
      <formula>"未完成"</formula>
    </cfRule>
  </conditionalFormatting>
  <conditionalFormatting sqref="R123">
    <cfRule type="cellIs" dxfId="0" priority="15069" operator="equal">
      <formula>"欠"</formula>
    </cfRule>
  </conditionalFormatting>
  <conditionalFormatting sqref="S123">
    <cfRule type="cellIs" dxfId="0" priority="15061" operator="equal">
      <formula>"欠"</formula>
    </cfRule>
  </conditionalFormatting>
  <conditionalFormatting sqref="T123:V123">
    <cfRule type="cellIs" dxfId="0" priority="15053" operator="equal">
      <formula>"欠"</formula>
    </cfRule>
  </conditionalFormatting>
  <conditionalFormatting sqref="AL123:AM123">
    <cfRule type="cellIs" dxfId="1" priority="15037" operator="equal">
      <formula>"未完成"</formula>
    </cfRule>
    <cfRule type="cellIs" dxfId="0" priority="15045" operator="equal">
      <formula>"未完成"</formula>
    </cfRule>
  </conditionalFormatting>
  <conditionalFormatting sqref="R124">
    <cfRule type="cellIs" dxfId="0" priority="15068" operator="equal">
      <formula>"欠"</formula>
    </cfRule>
  </conditionalFormatting>
  <conditionalFormatting sqref="S124">
    <cfRule type="cellIs" dxfId="0" priority="15060" operator="equal">
      <formula>"欠"</formula>
    </cfRule>
  </conditionalFormatting>
  <conditionalFormatting sqref="T124:V124">
    <cfRule type="cellIs" dxfId="0" priority="15052" operator="equal">
      <formula>"欠"</formula>
    </cfRule>
  </conditionalFormatting>
  <conditionalFormatting sqref="AL124:AM124">
    <cfRule type="cellIs" dxfId="1" priority="15036" operator="equal">
      <formula>"未完成"</formula>
    </cfRule>
    <cfRule type="cellIs" dxfId="0" priority="15044" operator="equal">
      <formula>"未完成"</formula>
    </cfRule>
  </conditionalFormatting>
  <conditionalFormatting sqref="R125">
    <cfRule type="cellIs" dxfId="0" priority="15067" operator="equal">
      <formula>"欠"</formula>
    </cfRule>
  </conditionalFormatting>
  <conditionalFormatting sqref="S125">
    <cfRule type="cellIs" dxfId="0" priority="15059" operator="equal">
      <formula>"欠"</formula>
    </cfRule>
  </conditionalFormatting>
  <conditionalFormatting sqref="T125:V125">
    <cfRule type="cellIs" dxfId="0" priority="15051" operator="equal">
      <formula>"欠"</formula>
    </cfRule>
  </conditionalFormatting>
  <conditionalFormatting sqref="AL125:AM125">
    <cfRule type="cellIs" dxfId="1" priority="15035" operator="equal">
      <formula>"未完成"</formula>
    </cfRule>
    <cfRule type="cellIs" dxfId="0" priority="15043" operator="equal">
      <formula>"未完成"</formula>
    </cfRule>
  </conditionalFormatting>
  <conditionalFormatting sqref="R126">
    <cfRule type="cellIs" dxfId="0" priority="15066" operator="equal">
      <formula>"欠"</formula>
    </cfRule>
  </conditionalFormatting>
  <conditionalFormatting sqref="S126">
    <cfRule type="cellIs" dxfId="0" priority="15058" operator="equal">
      <formula>"欠"</formula>
    </cfRule>
  </conditionalFormatting>
  <conditionalFormatting sqref="T126:V126">
    <cfRule type="cellIs" dxfId="0" priority="15050" operator="equal">
      <formula>"欠"</formula>
    </cfRule>
  </conditionalFormatting>
  <conditionalFormatting sqref="AL126:AM126">
    <cfRule type="cellIs" dxfId="1" priority="15034" operator="equal">
      <formula>"未完成"</formula>
    </cfRule>
    <cfRule type="cellIs" dxfId="0" priority="15042" operator="equal">
      <formula>"未完成"</formula>
    </cfRule>
  </conditionalFormatting>
  <conditionalFormatting sqref="R127">
    <cfRule type="cellIs" dxfId="0" priority="15065" operator="equal">
      <formula>"欠"</formula>
    </cfRule>
  </conditionalFormatting>
  <conditionalFormatting sqref="S127">
    <cfRule type="cellIs" dxfId="0" priority="15057" operator="equal">
      <formula>"欠"</formula>
    </cfRule>
  </conditionalFormatting>
  <conditionalFormatting sqref="T127:V127">
    <cfRule type="cellIs" dxfId="0" priority="15049" operator="equal">
      <formula>"欠"</formula>
    </cfRule>
  </conditionalFormatting>
  <conditionalFormatting sqref="AL127:AM127">
    <cfRule type="cellIs" dxfId="1" priority="15033" operator="equal">
      <formula>"未完成"</formula>
    </cfRule>
    <cfRule type="cellIs" dxfId="0" priority="15041" operator="equal">
      <formula>"未完成"</formula>
    </cfRule>
  </conditionalFormatting>
  <conditionalFormatting sqref="R128">
    <cfRule type="cellIs" dxfId="0" priority="15064" operator="equal">
      <formula>"欠"</formula>
    </cfRule>
  </conditionalFormatting>
  <conditionalFormatting sqref="S128">
    <cfRule type="cellIs" dxfId="0" priority="15056" operator="equal">
      <formula>"欠"</formula>
    </cfRule>
  </conditionalFormatting>
  <conditionalFormatting sqref="T128:V128">
    <cfRule type="cellIs" dxfId="0" priority="15048" operator="equal">
      <formula>"欠"</formula>
    </cfRule>
  </conditionalFormatting>
  <conditionalFormatting sqref="AL128:AM128">
    <cfRule type="cellIs" dxfId="1" priority="15032" operator="equal">
      <formula>"未完成"</formula>
    </cfRule>
    <cfRule type="cellIs" dxfId="0" priority="15040" operator="equal">
      <formula>"未完成"</formula>
    </cfRule>
  </conditionalFormatting>
  <conditionalFormatting sqref="R129">
    <cfRule type="cellIs" dxfId="0" priority="15063" operator="equal">
      <formula>"欠"</formula>
    </cfRule>
  </conditionalFormatting>
  <conditionalFormatting sqref="S129">
    <cfRule type="cellIs" dxfId="0" priority="15055" operator="equal">
      <formula>"欠"</formula>
    </cfRule>
  </conditionalFormatting>
  <conditionalFormatting sqref="T129:V129">
    <cfRule type="cellIs" dxfId="0" priority="15047" operator="equal">
      <formula>"欠"</formula>
    </cfRule>
  </conditionalFormatting>
  <conditionalFormatting sqref="AL129:AM129">
    <cfRule type="cellIs" dxfId="1" priority="15031" operator="equal">
      <formula>"未完成"</formula>
    </cfRule>
    <cfRule type="cellIs" dxfId="0" priority="15039" operator="equal">
      <formula>"未完成"</formula>
    </cfRule>
  </conditionalFormatting>
  <conditionalFormatting sqref="R130">
    <cfRule type="cellIs" dxfId="0" priority="15026" operator="equal">
      <formula>"欠"</formula>
    </cfRule>
  </conditionalFormatting>
  <conditionalFormatting sqref="S130">
    <cfRule type="cellIs" dxfId="0" priority="15023" operator="equal">
      <formula>"欠"</formula>
    </cfRule>
  </conditionalFormatting>
  <conditionalFormatting sqref="T130:V130">
    <cfRule type="cellIs" dxfId="0" priority="15020" operator="equal">
      <formula>"欠"</formula>
    </cfRule>
  </conditionalFormatting>
  <conditionalFormatting sqref="AL130:AM130">
    <cfRule type="cellIs" dxfId="1" priority="15014" operator="equal">
      <formula>"未完成"</formula>
    </cfRule>
    <cfRule type="cellIs" dxfId="0" priority="15017" operator="equal">
      <formula>"未完成"</formula>
    </cfRule>
  </conditionalFormatting>
  <conditionalFormatting sqref="R131">
    <cfRule type="cellIs" dxfId="0" priority="15025" operator="equal">
      <formula>"欠"</formula>
    </cfRule>
  </conditionalFormatting>
  <conditionalFormatting sqref="S131">
    <cfRule type="cellIs" dxfId="0" priority="15022" operator="equal">
      <formula>"欠"</formula>
    </cfRule>
  </conditionalFormatting>
  <conditionalFormatting sqref="T131:V131">
    <cfRule type="cellIs" dxfId="0" priority="15019" operator="equal">
      <formula>"欠"</formula>
    </cfRule>
  </conditionalFormatting>
  <conditionalFormatting sqref="AL131:AM131">
    <cfRule type="cellIs" dxfId="1" priority="15013" operator="equal">
      <formula>"未完成"</formula>
    </cfRule>
    <cfRule type="cellIs" dxfId="0" priority="15016" operator="equal">
      <formula>"未完成"</formula>
    </cfRule>
  </conditionalFormatting>
  <conditionalFormatting sqref="R132">
    <cfRule type="cellIs" dxfId="0" priority="14957" operator="equal">
      <formula>"欠"</formula>
    </cfRule>
  </conditionalFormatting>
  <conditionalFormatting sqref="S132">
    <cfRule type="cellIs" dxfId="0" priority="14938" operator="equal">
      <formula>"欠"</formula>
    </cfRule>
  </conditionalFormatting>
  <conditionalFormatting sqref="T132:V132">
    <cfRule type="cellIs" dxfId="0" priority="14919" operator="equal">
      <formula>"欠"</formula>
    </cfRule>
  </conditionalFormatting>
  <conditionalFormatting sqref="AL132:AM132">
    <cfRule type="cellIs" dxfId="1" priority="14881" operator="equal">
      <formula>"未完成"</formula>
    </cfRule>
    <cfRule type="cellIs" dxfId="0" priority="14900" operator="equal">
      <formula>"未完成"</formula>
    </cfRule>
  </conditionalFormatting>
  <conditionalFormatting sqref="R133">
    <cfRule type="cellIs" dxfId="0" priority="14956" operator="equal">
      <formula>"欠"</formula>
    </cfRule>
  </conditionalFormatting>
  <conditionalFormatting sqref="S133">
    <cfRule type="cellIs" dxfId="0" priority="14937" operator="equal">
      <formula>"欠"</formula>
    </cfRule>
  </conditionalFormatting>
  <conditionalFormatting sqref="T133:V133">
    <cfRule type="cellIs" dxfId="0" priority="14918" operator="equal">
      <formula>"欠"</formula>
    </cfRule>
  </conditionalFormatting>
  <conditionalFormatting sqref="AL133:AM133">
    <cfRule type="cellIs" dxfId="1" priority="14880" operator="equal">
      <formula>"未完成"</formula>
    </cfRule>
    <cfRule type="cellIs" dxfId="0" priority="14899" operator="equal">
      <formula>"未完成"</formula>
    </cfRule>
  </conditionalFormatting>
  <conditionalFormatting sqref="R134">
    <cfRule type="cellIs" dxfId="0" priority="14955" operator="equal">
      <formula>"欠"</formula>
    </cfRule>
  </conditionalFormatting>
  <conditionalFormatting sqref="S134">
    <cfRule type="cellIs" dxfId="0" priority="14936" operator="equal">
      <formula>"欠"</formula>
    </cfRule>
  </conditionalFormatting>
  <conditionalFormatting sqref="T134:V134">
    <cfRule type="cellIs" dxfId="0" priority="14917" operator="equal">
      <formula>"欠"</formula>
    </cfRule>
  </conditionalFormatting>
  <conditionalFormatting sqref="AL134:AM134">
    <cfRule type="cellIs" dxfId="1" priority="14879" operator="equal">
      <formula>"未完成"</formula>
    </cfRule>
    <cfRule type="cellIs" dxfId="0" priority="14898" operator="equal">
      <formula>"未完成"</formula>
    </cfRule>
  </conditionalFormatting>
  <conditionalFormatting sqref="R135">
    <cfRule type="cellIs" dxfId="0" priority="14954" operator="equal">
      <formula>"欠"</formula>
    </cfRule>
  </conditionalFormatting>
  <conditionalFormatting sqref="S135">
    <cfRule type="cellIs" dxfId="0" priority="14935" operator="equal">
      <formula>"欠"</formula>
    </cfRule>
  </conditionalFormatting>
  <conditionalFormatting sqref="T135:V135">
    <cfRule type="cellIs" dxfId="0" priority="14916" operator="equal">
      <formula>"欠"</formula>
    </cfRule>
  </conditionalFormatting>
  <conditionalFormatting sqref="AL135:AM135">
    <cfRule type="cellIs" dxfId="1" priority="14878" operator="equal">
      <formula>"未完成"</formula>
    </cfRule>
    <cfRule type="cellIs" dxfId="0" priority="14897" operator="equal">
      <formula>"未完成"</formula>
    </cfRule>
  </conditionalFormatting>
  <conditionalFormatting sqref="R136">
    <cfRule type="cellIs" dxfId="0" priority="14953" operator="equal">
      <formula>"欠"</formula>
    </cfRule>
  </conditionalFormatting>
  <conditionalFormatting sqref="S136">
    <cfRule type="cellIs" dxfId="0" priority="14934" operator="equal">
      <formula>"欠"</formula>
    </cfRule>
  </conditionalFormatting>
  <conditionalFormatting sqref="T136:V136">
    <cfRule type="cellIs" dxfId="0" priority="14915" operator="equal">
      <formula>"欠"</formula>
    </cfRule>
  </conditionalFormatting>
  <conditionalFormatting sqref="AL136:AM136">
    <cfRule type="cellIs" dxfId="1" priority="14877" operator="equal">
      <formula>"未完成"</formula>
    </cfRule>
    <cfRule type="cellIs" dxfId="0" priority="14896" operator="equal">
      <formula>"未完成"</formula>
    </cfRule>
  </conditionalFormatting>
  <conditionalFormatting sqref="R137">
    <cfRule type="cellIs" dxfId="0" priority="14952" operator="equal">
      <formula>"欠"</formula>
    </cfRule>
  </conditionalFormatting>
  <conditionalFormatting sqref="S137">
    <cfRule type="cellIs" dxfId="0" priority="14933" operator="equal">
      <formula>"欠"</formula>
    </cfRule>
  </conditionalFormatting>
  <conditionalFormatting sqref="T137:V137">
    <cfRule type="cellIs" dxfId="0" priority="14914" operator="equal">
      <formula>"欠"</formula>
    </cfRule>
  </conditionalFormatting>
  <conditionalFormatting sqref="AL137:AM137">
    <cfRule type="cellIs" dxfId="1" priority="14876" operator="equal">
      <formula>"未完成"</formula>
    </cfRule>
    <cfRule type="cellIs" dxfId="0" priority="14895" operator="equal">
      <formula>"未完成"</formula>
    </cfRule>
  </conditionalFormatting>
  <conditionalFormatting sqref="R138">
    <cfRule type="cellIs" dxfId="0" priority="14951" operator="equal">
      <formula>"欠"</formula>
    </cfRule>
  </conditionalFormatting>
  <conditionalFormatting sqref="S138">
    <cfRule type="cellIs" dxfId="0" priority="14932" operator="equal">
      <formula>"欠"</formula>
    </cfRule>
  </conditionalFormatting>
  <conditionalFormatting sqref="T138:V138">
    <cfRule type="cellIs" dxfId="0" priority="14913" operator="equal">
      <formula>"欠"</formula>
    </cfRule>
  </conditionalFormatting>
  <conditionalFormatting sqref="AL138:AM138">
    <cfRule type="cellIs" dxfId="1" priority="14875" operator="equal">
      <formula>"未完成"</formula>
    </cfRule>
    <cfRule type="cellIs" dxfId="0" priority="14894" operator="equal">
      <formula>"未完成"</formula>
    </cfRule>
  </conditionalFormatting>
  <conditionalFormatting sqref="R139">
    <cfRule type="cellIs" dxfId="0" priority="14950" operator="equal">
      <formula>"欠"</formula>
    </cfRule>
  </conditionalFormatting>
  <conditionalFormatting sqref="S139">
    <cfRule type="cellIs" dxfId="0" priority="14931" operator="equal">
      <formula>"欠"</formula>
    </cfRule>
  </conditionalFormatting>
  <conditionalFormatting sqref="T139:V139">
    <cfRule type="cellIs" dxfId="0" priority="14912" operator="equal">
      <formula>"欠"</formula>
    </cfRule>
  </conditionalFormatting>
  <conditionalFormatting sqref="AL139:AM139">
    <cfRule type="cellIs" dxfId="1" priority="14874" operator="equal">
      <formula>"未完成"</formula>
    </cfRule>
    <cfRule type="cellIs" dxfId="0" priority="14893" operator="equal">
      <formula>"未完成"</formula>
    </cfRule>
  </conditionalFormatting>
  <conditionalFormatting sqref="R140">
    <cfRule type="cellIs" dxfId="0" priority="14948" operator="equal">
      <formula>"欠"</formula>
    </cfRule>
  </conditionalFormatting>
  <conditionalFormatting sqref="S140">
    <cfRule type="cellIs" dxfId="0" priority="14929" operator="equal">
      <formula>"欠"</formula>
    </cfRule>
  </conditionalFormatting>
  <conditionalFormatting sqref="T140:V140">
    <cfRule type="cellIs" dxfId="0" priority="14910" operator="equal">
      <formula>"欠"</formula>
    </cfRule>
  </conditionalFormatting>
  <conditionalFormatting sqref="AL140:AM140">
    <cfRule type="cellIs" dxfId="1" priority="14872" operator="equal">
      <formula>"未完成"</formula>
    </cfRule>
    <cfRule type="cellIs" dxfId="0" priority="14891" operator="equal">
      <formula>"未完成"</formula>
    </cfRule>
  </conditionalFormatting>
  <conditionalFormatting sqref="R141">
    <cfRule type="cellIs" dxfId="0" priority="14947" operator="equal">
      <formula>"欠"</formula>
    </cfRule>
  </conditionalFormatting>
  <conditionalFormatting sqref="S141">
    <cfRule type="cellIs" dxfId="0" priority="14928" operator="equal">
      <formula>"欠"</formula>
    </cfRule>
  </conditionalFormatting>
  <conditionalFormatting sqref="T141:V141">
    <cfRule type="cellIs" dxfId="0" priority="14909" operator="equal">
      <formula>"欠"</formula>
    </cfRule>
  </conditionalFormatting>
  <conditionalFormatting sqref="AL141:AM141">
    <cfRule type="cellIs" dxfId="1" priority="14871" operator="equal">
      <formula>"未完成"</formula>
    </cfRule>
    <cfRule type="cellIs" dxfId="0" priority="14890" operator="equal">
      <formula>"未完成"</formula>
    </cfRule>
  </conditionalFormatting>
  <conditionalFormatting sqref="R142">
    <cfRule type="cellIs" dxfId="0" priority="14946" operator="equal">
      <formula>"欠"</formula>
    </cfRule>
  </conditionalFormatting>
  <conditionalFormatting sqref="S142">
    <cfRule type="cellIs" dxfId="0" priority="14927" operator="equal">
      <formula>"欠"</formula>
    </cfRule>
  </conditionalFormatting>
  <conditionalFormatting sqref="T142:V142">
    <cfRule type="cellIs" dxfId="0" priority="14908" operator="equal">
      <formula>"欠"</formula>
    </cfRule>
  </conditionalFormatting>
  <conditionalFormatting sqref="AL142:AM142">
    <cfRule type="cellIs" dxfId="1" priority="14870" operator="equal">
      <formula>"未完成"</formula>
    </cfRule>
    <cfRule type="cellIs" dxfId="0" priority="14889" operator="equal">
      <formula>"未完成"</formula>
    </cfRule>
  </conditionalFormatting>
  <conditionalFormatting sqref="R143">
    <cfRule type="cellIs" dxfId="0" priority="14945" operator="equal">
      <formula>"欠"</formula>
    </cfRule>
  </conditionalFormatting>
  <conditionalFormatting sqref="S143">
    <cfRule type="cellIs" dxfId="0" priority="14926" operator="equal">
      <formula>"欠"</formula>
    </cfRule>
  </conditionalFormatting>
  <conditionalFormatting sqref="T143:V143">
    <cfRule type="cellIs" dxfId="0" priority="14907" operator="equal">
      <formula>"欠"</formula>
    </cfRule>
  </conditionalFormatting>
  <conditionalFormatting sqref="AL143:AM143">
    <cfRule type="cellIs" dxfId="1" priority="14869" operator="equal">
      <formula>"未完成"</formula>
    </cfRule>
    <cfRule type="cellIs" dxfId="0" priority="14888" operator="equal">
      <formula>"未完成"</formula>
    </cfRule>
  </conditionalFormatting>
  <conditionalFormatting sqref="R144">
    <cfRule type="cellIs" dxfId="0" priority="14944" operator="equal">
      <formula>"欠"</formula>
    </cfRule>
  </conditionalFormatting>
  <conditionalFormatting sqref="S144">
    <cfRule type="cellIs" dxfId="0" priority="14925" operator="equal">
      <formula>"欠"</formula>
    </cfRule>
  </conditionalFormatting>
  <conditionalFormatting sqref="T144:V144">
    <cfRule type="cellIs" dxfId="0" priority="14906" operator="equal">
      <formula>"欠"</formula>
    </cfRule>
  </conditionalFormatting>
  <conditionalFormatting sqref="AL144:AM144">
    <cfRule type="cellIs" dxfId="1" priority="14868" operator="equal">
      <formula>"未完成"</formula>
    </cfRule>
    <cfRule type="cellIs" dxfId="0" priority="14887" operator="equal">
      <formula>"未完成"</formula>
    </cfRule>
  </conditionalFormatting>
  <conditionalFormatting sqref="R145">
    <cfRule type="cellIs" dxfId="0" priority="14943" operator="equal">
      <formula>"欠"</formula>
    </cfRule>
  </conditionalFormatting>
  <conditionalFormatting sqref="S145">
    <cfRule type="cellIs" dxfId="0" priority="14924" operator="equal">
      <formula>"欠"</formula>
    </cfRule>
  </conditionalFormatting>
  <conditionalFormatting sqref="T145:V145">
    <cfRule type="cellIs" dxfId="0" priority="14905" operator="equal">
      <formula>"欠"</formula>
    </cfRule>
  </conditionalFormatting>
  <conditionalFormatting sqref="AL145:AM145">
    <cfRule type="cellIs" dxfId="1" priority="14867" operator="equal">
      <formula>"未完成"</formula>
    </cfRule>
    <cfRule type="cellIs" dxfId="0" priority="14886" operator="equal">
      <formula>"未完成"</formula>
    </cfRule>
  </conditionalFormatting>
  <conditionalFormatting sqref="R146">
    <cfRule type="cellIs" dxfId="0" priority="14942" operator="equal">
      <formula>"欠"</formula>
    </cfRule>
  </conditionalFormatting>
  <conditionalFormatting sqref="S146">
    <cfRule type="cellIs" dxfId="0" priority="14923" operator="equal">
      <formula>"欠"</formula>
    </cfRule>
  </conditionalFormatting>
  <conditionalFormatting sqref="T146:V146">
    <cfRule type="cellIs" dxfId="0" priority="14904" operator="equal">
      <formula>"欠"</formula>
    </cfRule>
  </conditionalFormatting>
  <conditionalFormatting sqref="AL146:AM146">
    <cfRule type="cellIs" dxfId="1" priority="14866" operator="equal">
      <formula>"未完成"</formula>
    </cfRule>
    <cfRule type="cellIs" dxfId="0" priority="14885" operator="equal">
      <formula>"未完成"</formula>
    </cfRule>
  </conditionalFormatting>
  <conditionalFormatting sqref="R147">
    <cfRule type="cellIs" dxfId="0" priority="14941" operator="equal">
      <formula>"欠"</formula>
    </cfRule>
  </conditionalFormatting>
  <conditionalFormatting sqref="S147">
    <cfRule type="cellIs" dxfId="0" priority="14922" operator="equal">
      <formula>"欠"</formula>
    </cfRule>
  </conditionalFormatting>
  <conditionalFormatting sqref="T147:V147">
    <cfRule type="cellIs" dxfId="0" priority="14903" operator="equal">
      <formula>"欠"</formula>
    </cfRule>
  </conditionalFormatting>
  <conditionalFormatting sqref="AL147:AM147">
    <cfRule type="cellIs" dxfId="1" priority="14865" operator="equal">
      <formula>"未完成"</formula>
    </cfRule>
    <cfRule type="cellIs" dxfId="0" priority="14884" operator="equal">
      <formula>"未完成"</formula>
    </cfRule>
  </conditionalFormatting>
  <conditionalFormatting sqref="R148">
    <cfRule type="cellIs" dxfId="0" priority="14940" operator="equal">
      <formula>"欠"</formula>
    </cfRule>
  </conditionalFormatting>
  <conditionalFormatting sqref="S148">
    <cfRule type="cellIs" dxfId="0" priority="14921" operator="equal">
      <formula>"欠"</formula>
    </cfRule>
  </conditionalFormatting>
  <conditionalFormatting sqref="T148:V148">
    <cfRule type="cellIs" dxfId="0" priority="14902" operator="equal">
      <formula>"欠"</formula>
    </cfRule>
  </conditionalFormatting>
  <conditionalFormatting sqref="AL148:AM148">
    <cfRule type="cellIs" dxfId="1" priority="14864" operator="equal">
      <formula>"未完成"</formula>
    </cfRule>
    <cfRule type="cellIs" dxfId="0" priority="14883" operator="equal">
      <formula>"未完成"</formula>
    </cfRule>
  </conditionalFormatting>
  <conditionalFormatting sqref="R149">
    <cfRule type="cellIs" dxfId="0" priority="14939" operator="equal">
      <formula>"欠"</formula>
    </cfRule>
  </conditionalFormatting>
  <conditionalFormatting sqref="S149">
    <cfRule type="cellIs" dxfId="0" priority="14920" operator="equal">
      <formula>"欠"</formula>
    </cfRule>
  </conditionalFormatting>
  <conditionalFormatting sqref="T149:V149">
    <cfRule type="cellIs" dxfId="0" priority="14901" operator="equal">
      <formula>"欠"</formula>
    </cfRule>
  </conditionalFormatting>
  <conditionalFormatting sqref="AL149:AM149">
    <cfRule type="cellIs" dxfId="1" priority="14863" operator="equal">
      <formula>"未完成"</formula>
    </cfRule>
    <cfRule type="cellIs" dxfId="0" priority="14882" operator="equal">
      <formula>"未完成"</formula>
    </cfRule>
  </conditionalFormatting>
  <conditionalFormatting sqref="R150">
    <cfRule type="cellIs" dxfId="0" priority="14825" operator="equal">
      <formula>"欠"</formula>
    </cfRule>
  </conditionalFormatting>
  <conditionalFormatting sqref="S150">
    <cfRule type="cellIs" dxfId="0" priority="14804" operator="equal">
      <formula>"欠"</formula>
    </cfRule>
  </conditionalFormatting>
  <conditionalFormatting sqref="T150:V150">
    <cfRule type="cellIs" dxfId="0" priority="14783" operator="equal">
      <formula>"欠"</formula>
    </cfRule>
  </conditionalFormatting>
  <conditionalFormatting sqref="AL150:AM150">
    <cfRule type="cellIs" dxfId="1" priority="14741" operator="equal">
      <formula>"未完成"</formula>
    </cfRule>
    <cfRule type="cellIs" dxfId="0" priority="14762" operator="equal">
      <formula>"未完成"</formula>
    </cfRule>
  </conditionalFormatting>
  <conditionalFormatting sqref="R151">
    <cfRule type="cellIs" dxfId="0" priority="14824" operator="equal">
      <formula>"欠"</formula>
    </cfRule>
  </conditionalFormatting>
  <conditionalFormatting sqref="S151">
    <cfRule type="cellIs" dxfId="0" priority="14803" operator="equal">
      <formula>"欠"</formula>
    </cfRule>
  </conditionalFormatting>
  <conditionalFormatting sqref="T151:V151">
    <cfRule type="cellIs" dxfId="0" priority="14782" operator="equal">
      <formula>"欠"</formula>
    </cfRule>
  </conditionalFormatting>
  <conditionalFormatting sqref="AL151:AM151">
    <cfRule type="cellIs" dxfId="1" priority="14740" operator="equal">
      <formula>"未完成"</formula>
    </cfRule>
    <cfRule type="cellIs" dxfId="0" priority="14761" operator="equal">
      <formula>"未完成"</formula>
    </cfRule>
  </conditionalFormatting>
  <conditionalFormatting sqref="R152">
    <cfRule type="cellIs" dxfId="0" priority="14823" operator="equal">
      <formula>"欠"</formula>
    </cfRule>
  </conditionalFormatting>
  <conditionalFormatting sqref="S152">
    <cfRule type="cellIs" dxfId="0" priority="14802" operator="equal">
      <formula>"欠"</formula>
    </cfRule>
  </conditionalFormatting>
  <conditionalFormatting sqref="T152:V152">
    <cfRule type="cellIs" dxfId="0" priority="14781" operator="equal">
      <formula>"欠"</formula>
    </cfRule>
  </conditionalFormatting>
  <conditionalFormatting sqref="AL152:AM152">
    <cfRule type="cellIs" dxfId="1" priority="14739" operator="equal">
      <formula>"未完成"</formula>
    </cfRule>
    <cfRule type="cellIs" dxfId="0" priority="14760" operator="equal">
      <formula>"未完成"</formula>
    </cfRule>
  </conditionalFormatting>
  <conditionalFormatting sqref="R153">
    <cfRule type="cellIs" dxfId="0" priority="14805" operator="equal">
      <formula>"欠"</formula>
    </cfRule>
  </conditionalFormatting>
  <conditionalFormatting sqref="S153">
    <cfRule type="cellIs" dxfId="0" priority="14784" operator="equal">
      <formula>"欠"</formula>
    </cfRule>
  </conditionalFormatting>
  <conditionalFormatting sqref="T153:V153">
    <cfRule type="cellIs" dxfId="0" priority="14763" operator="equal">
      <formula>"欠"</formula>
    </cfRule>
  </conditionalFormatting>
  <conditionalFormatting sqref="AL153:AM153">
    <cfRule type="cellIs" dxfId="1" priority="14721" operator="equal">
      <formula>"未完成"</formula>
    </cfRule>
    <cfRule type="cellIs" dxfId="0" priority="14742" operator="equal">
      <formula>"未完成"</formula>
    </cfRule>
  </conditionalFormatting>
  <conditionalFormatting sqref="R154">
    <cfRule type="cellIs" dxfId="0" priority="14822" operator="equal">
      <formula>"欠"</formula>
    </cfRule>
  </conditionalFormatting>
  <conditionalFormatting sqref="S154">
    <cfRule type="cellIs" dxfId="0" priority="14801" operator="equal">
      <formula>"欠"</formula>
    </cfRule>
  </conditionalFormatting>
  <conditionalFormatting sqref="T154:V154">
    <cfRule type="cellIs" dxfId="0" priority="14780" operator="equal">
      <formula>"欠"</formula>
    </cfRule>
  </conditionalFormatting>
  <conditionalFormatting sqref="AL154:AM154">
    <cfRule type="cellIs" dxfId="1" priority="14738" operator="equal">
      <formula>"未完成"</formula>
    </cfRule>
    <cfRule type="cellIs" dxfId="0" priority="14759" operator="equal">
      <formula>"未完成"</formula>
    </cfRule>
  </conditionalFormatting>
  <conditionalFormatting sqref="R155">
    <cfRule type="cellIs" dxfId="0" priority="14821" operator="equal">
      <formula>"欠"</formula>
    </cfRule>
  </conditionalFormatting>
  <conditionalFormatting sqref="S155">
    <cfRule type="cellIs" dxfId="0" priority="14800" operator="equal">
      <formula>"欠"</formula>
    </cfRule>
  </conditionalFormatting>
  <conditionalFormatting sqref="T155:V155">
    <cfRule type="cellIs" dxfId="0" priority="14779" operator="equal">
      <formula>"欠"</formula>
    </cfRule>
  </conditionalFormatting>
  <conditionalFormatting sqref="AL155:AM155">
    <cfRule type="cellIs" dxfId="1" priority="14737" operator="equal">
      <formula>"未完成"</formula>
    </cfRule>
    <cfRule type="cellIs" dxfId="0" priority="14758" operator="equal">
      <formula>"未完成"</formula>
    </cfRule>
  </conditionalFormatting>
  <conditionalFormatting sqref="R156">
    <cfRule type="cellIs" dxfId="0" priority="14820" operator="equal">
      <formula>"欠"</formula>
    </cfRule>
  </conditionalFormatting>
  <conditionalFormatting sqref="S156">
    <cfRule type="cellIs" dxfId="0" priority="14799" operator="equal">
      <formula>"欠"</formula>
    </cfRule>
  </conditionalFormatting>
  <conditionalFormatting sqref="T156:V156">
    <cfRule type="cellIs" dxfId="0" priority="14778" operator="equal">
      <formula>"欠"</formula>
    </cfRule>
  </conditionalFormatting>
  <conditionalFormatting sqref="AL156:AM156">
    <cfRule type="cellIs" dxfId="1" priority="14736" operator="equal">
      <formula>"未完成"</formula>
    </cfRule>
    <cfRule type="cellIs" dxfId="0" priority="14757" operator="equal">
      <formula>"未完成"</formula>
    </cfRule>
  </conditionalFormatting>
  <conditionalFormatting sqref="R157">
    <cfRule type="cellIs" dxfId="0" priority="14819" operator="equal">
      <formula>"欠"</formula>
    </cfRule>
  </conditionalFormatting>
  <conditionalFormatting sqref="S157">
    <cfRule type="cellIs" dxfId="0" priority="14798" operator="equal">
      <formula>"欠"</formula>
    </cfRule>
  </conditionalFormatting>
  <conditionalFormatting sqref="T157:V157">
    <cfRule type="cellIs" dxfId="0" priority="14777" operator="equal">
      <formula>"欠"</formula>
    </cfRule>
  </conditionalFormatting>
  <conditionalFormatting sqref="AL157:AM157">
    <cfRule type="cellIs" dxfId="1" priority="14735" operator="equal">
      <formula>"未完成"</formula>
    </cfRule>
    <cfRule type="cellIs" dxfId="0" priority="14756" operator="equal">
      <formula>"未完成"</formula>
    </cfRule>
  </conditionalFormatting>
  <conditionalFormatting sqref="R158">
    <cfRule type="cellIs" dxfId="0" priority="14818" operator="equal">
      <formula>"欠"</formula>
    </cfRule>
  </conditionalFormatting>
  <conditionalFormatting sqref="S158">
    <cfRule type="cellIs" dxfId="0" priority="14797" operator="equal">
      <formula>"欠"</formula>
    </cfRule>
  </conditionalFormatting>
  <conditionalFormatting sqref="T158:V158">
    <cfRule type="cellIs" dxfId="0" priority="14776" operator="equal">
      <formula>"欠"</formula>
    </cfRule>
  </conditionalFormatting>
  <conditionalFormatting sqref="AL158:AM158">
    <cfRule type="cellIs" dxfId="1" priority="14734" operator="equal">
      <formula>"未完成"</formula>
    </cfRule>
    <cfRule type="cellIs" dxfId="0" priority="14755" operator="equal">
      <formula>"未完成"</formula>
    </cfRule>
  </conditionalFormatting>
  <conditionalFormatting sqref="R159">
    <cfRule type="cellIs" dxfId="0" priority="14817" operator="equal">
      <formula>"欠"</formula>
    </cfRule>
  </conditionalFormatting>
  <conditionalFormatting sqref="S159">
    <cfRule type="cellIs" dxfId="0" priority="14796" operator="equal">
      <formula>"欠"</formula>
    </cfRule>
  </conditionalFormatting>
  <conditionalFormatting sqref="T159:V159">
    <cfRule type="cellIs" dxfId="0" priority="14775" operator="equal">
      <formula>"欠"</formula>
    </cfRule>
  </conditionalFormatting>
  <conditionalFormatting sqref="AL159:AM159">
    <cfRule type="cellIs" dxfId="1" priority="14733" operator="equal">
      <formula>"未完成"</formula>
    </cfRule>
    <cfRule type="cellIs" dxfId="0" priority="14754" operator="equal">
      <formula>"未完成"</formula>
    </cfRule>
  </conditionalFormatting>
  <conditionalFormatting sqref="R160">
    <cfRule type="cellIs" dxfId="0" priority="14816" operator="equal">
      <formula>"欠"</formula>
    </cfRule>
  </conditionalFormatting>
  <conditionalFormatting sqref="S160">
    <cfRule type="cellIs" dxfId="0" priority="14795" operator="equal">
      <formula>"欠"</formula>
    </cfRule>
  </conditionalFormatting>
  <conditionalFormatting sqref="T160:V160">
    <cfRule type="cellIs" dxfId="0" priority="14774" operator="equal">
      <formula>"欠"</formula>
    </cfRule>
  </conditionalFormatting>
  <conditionalFormatting sqref="AL160:AM160">
    <cfRule type="cellIs" dxfId="1" priority="14732" operator="equal">
      <formula>"未完成"</formula>
    </cfRule>
    <cfRule type="cellIs" dxfId="0" priority="14753" operator="equal">
      <formula>"未完成"</formula>
    </cfRule>
  </conditionalFormatting>
  <conditionalFormatting sqref="AL161:AM161">
    <cfRule type="cellIs" dxfId="1" priority="14731" operator="equal">
      <formula>"未完成"</formula>
    </cfRule>
    <cfRule type="cellIs" dxfId="0" priority="14752" operator="equal">
      <formula>"未完成"</formula>
    </cfRule>
  </conditionalFormatting>
  <conditionalFormatting sqref="AL162:AM162">
    <cfRule type="cellIs" dxfId="1" priority="14443" operator="equal">
      <formula>"未完成"</formula>
    </cfRule>
    <cfRule type="cellIs" dxfId="0" priority="14445" operator="equal">
      <formula>"未完成"</formula>
    </cfRule>
  </conditionalFormatting>
  <conditionalFormatting sqref="AL163:AM163">
    <cfRule type="cellIs" dxfId="1" priority="14442" operator="equal">
      <formula>"未完成"</formula>
    </cfRule>
    <cfRule type="cellIs" dxfId="0" priority="14444" operator="equal">
      <formula>"未完成"</formula>
    </cfRule>
  </conditionalFormatting>
  <conditionalFormatting sqref="R164">
    <cfRule type="cellIs" dxfId="0" priority="14814" operator="equal">
      <formula>"欠"</formula>
    </cfRule>
  </conditionalFormatting>
  <conditionalFormatting sqref="S164">
    <cfRule type="cellIs" dxfId="0" priority="14793" operator="equal">
      <formula>"欠"</formula>
    </cfRule>
  </conditionalFormatting>
  <conditionalFormatting sqref="T164:V164">
    <cfRule type="cellIs" dxfId="0" priority="14772" operator="equal">
      <formula>"欠"</formula>
    </cfRule>
  </conditionalFormatting>
  <conditionalFormatting sqref="AL164:AM164">
    <cfRule type="cellIs" dxfId="1" priority="14730" operator="equal">
      <formula>"未完成"</formula>
    </cfRule>
    <cfRule type="cellIs" dxfId="0" priority="14751" operator="equal">
      <formula>"未完成"</formula>
    </cfRule>
  </conditionalFormatting>
  <conditionalFormatting sqref="R165">
    <cfRule type="cellIs" dxfId="0" priority="14813" operator="equal">
      <formula>"欠"</formula>
    </cfRule>
  </conditionalFormatting>
  <conditionalFormatting sqref="S165">
    <cfRule type="cellIs" dxfId="0" priority="14792" operator="equal">
      <formula>"欠"</formula>
    </cfRule>
  </conditionalFormatting>
  <conditionalFormatting sqref="T165:V165">
    <cfRule type="cellIs" dxfId="0" priority="14771" operator="equal">
      <formula>"欠"</formula>
    </cfRule>
  </conditionalFormatting>
  <conditionalFormatting sqref="AL165:AM165">
    <cfRule type="cellIs" dxfId="1" priority="14729" operator="equal">
      <formula>"未完成"</formula>
    </cfRule>
    <cfRule type="cellIs" dxfId="0" priority="14750" operator="equal">
      <formula>"未完成"</formula>
    </cfRule>
  </conditionalFormatting>
  <conditionalFormatting sqref="R166">
    <cfRule type="cellIs" dxfId="0" priority="14812" operator="equal">
      <formula>"欠"</formula>
    </cfRule>
  </conditionalFormatting>
  <conditionalFormatting sqref="S166">
    <cfRule type="cellIs" dxfId="0" priority="14791" operator="equal">
      <formula>"欠"</formula>
    </cfRule>
  </conditionalFormatting>
  <conditionalFormatting sqref="T166:V166">
    <cfRule type="cellIs" dxfId="0" priority="14770" operator="equal">
      <formula>"欠"</formula>
    </cfRule>
  </conditionalFormatting>
  <conditionalFormatting sqref="AL166:AM166">
    <cfRule type="cellIs" dxfId="1" priority="14728" operator="equal">
      <formula>"未完成"</formula>
    </cfRule>
    <cfRule type="cellIs" dxfId="0" priority="14749" operator="equal">
      <formula>"未完成"</formula>
    </cfRule>
  </conditionalFormatting>
  <conditionalFormatting sqref="R167">
    <cfRule type="cellIs" dxfId="0" priority="14811" operator="equal">
      <formula>"欠"</formula>
    </cfRule>
  </conditionalFormatting>
  <conditionalFormatting sqref="S167">
    <cfRule type="cellIs" dxfId="0" priority="14790" operator="equal">
      <formula>"欠"</formula>
    </cfRule>
  </conditionalFormatting>
  <conditionalFormatting sqref="T167:V167">
    <cfRule type="cellIs" dxfId="0" priority="14769" operator="equal">
      <formula>"欠"</formula>
    </cfRule>
  </conditionalFormatting>
  <conditionalFormatting sqref="AL167:AM167">
    <cfRule type="cellIs" dxfId="1" priority="14727" operator="equal">
      <formula>"未完成"</formula>
    </cfRule>
    <cfRule type="cellIs" dxfId="0" priority="14748" operator="equal">
      <formula>"未完成"</formula>
    </cfRule>
  </conditionalFormatting>
  <conditionalFormatting sqref="R168">
    <cfRule type="cellIs" dxfId="0" priority="14810" operator="equal">
      <formula>"欠"</formula>
    </cfRule>
  </conditionalFormatting>
  <conditionalFormatting sqref="S168">
    <cfRule type="cellIs" dxfId="0" priority="14789" operator="equal">
      <formula>"欠"</formula>
    </cfRule>
  </conditionalFormatting>
  <conditionalFormatting sqref="T168:V168">
    <cfRule type="cellIs" dxfId="0" priority="14768" operator="equal">
      <formula>"欠"</formula>
    </cfRule>
  </conditionalFormatting>
  <conditionalFormatting sqref="AL168:AM168">
    <cfRule type="cellIs" dxfId="1" priority="14726" operator="equal">
      <formula>"未完成"</formula>
    </cfRule>
    <cfRule type="cellIs" dxfId="0" priority="14747" operator="equal">
      <formula>"未完成"</formula>
    </cfRule>
  </conditionalFormatting>
  <conditionalFormatting sqref="R169">
    <cfRule type="cellIs" dxfId="0" priority="14809" operator="equal">
      <formula>"欠"</formula>
    </cfRule>
  </conditionalFormatting>
  <conditionalFormatting sqref="S169">
    <cfRule type="cellIs" dxfId="0" priority="14788" operator="equal">
      <formula>"欠"</formula>
    </cfRule>
  </conditionalFormatting>
  <conditionalFormatting sqref="T169:V169">
    <cfRule type="cellIs" dxfId="0" priority="14767" operator="equal">
      <formula>"欠"</formula>
    </cfRule>
  </conditionalFormatting>
  <conditionalFormatting sqref="AL169:AM169">
    <cfRule type="cellIs" dxfId="1" priority="14725" operator="equal">
      <formula>"未完成"</formula>
    </cfRule>
    <cfRule type="cellIs" dxfId="0" priority="14746" operator="equal">
      <formula>"未完成"</formula>
    </cfRule>
  </conditionalFormatting>
  <conditionalFormatting sqref="R170">
    <cfRule type="cellIs" dxfId="0" priority="14808" operator="equal">
      <formula>"欠"</formula>
    </cfRule>
  </conditionalFormatting>
  <conditionalFormatting sqref="S170">
    <cfRule type="cellIs" dxfId="0" priority="14787" operator="equal">
      <formula>"欠"</formula>
    </cfRule>
  </conditionalFormatting>
  <conditionalFormatting sqref="T170:V170">
    <cfRule type="cellIs" dxfId="0" priority="14766" operator="equal">
      <formula>"欠"</formula>
    </cfRule>
  </conditionalFormatting>
  <conditionalFormatting sqref="AL170:AM170">
    <cfRule type="cellIs" dxfId="1" priority="14724" operator="equal">
      <formula>"未完成"</formula>
    </cfRule>
    <cfRule type="cellIs" dxfId="0" priority="14745" operator="equal">
      <formula>"未完成"</formula>
    </cfRule>
  </conditionalFormatting>
  <conditionalFormatting sqref="R171">
    <cfRule type="cellIs" dxfId="0" priority="14807" operator="equal">
      <formula>"欠"</formula>
    </cfRule>
  </conditionalFormatting>
  <conditionalFormatting sqref="S171">
    <cfRule type="cellIs" dxfId="0" priority="14786" operator="equal">
      <formula>"欠"</formula>
    </cfRule>
  </conditionalFormatting>
  <conditionalFormatting sqref="T171:V171">
    <cfRule type="cellIs" dxfId="0" priority="14765" operator="equal">
      <formula>"欠"</formula>
    </cfRule>
  </conditionalFormatting>
  <conditionalFormatting sqref="AL171:AM171">
    <cfRule type="cellIs" dxfId="1" priority="14723" operator="equal">
      <formula>"未完成"</formula>
    </cfRule>
    <cfRule type="cellIs" dxfId="0" priority="14744" operator="equal">
      <formula>"未完成"</formula>
    </cfRule>
  </conditionalFormatting>
  <conditionalFormatting sqref="R172">
    <cfRule type="cellIs" dxfId="0" priority="14806" operator="equal">
      <formula>"欠"</formula>
    </cfRule>
  </conditionalFormatting>
  <conditionalFormatting sqref="S172">
    <cfRule type="cellIs" dxfId="0" priority="14785" operator="equal">
      <formula>"欠"</formula>
    </cfRule>
  </conditionalFormatting>
  <conditionalFormatting sqref="T172:V172">
    <cfRule type="cellIs" dxfId="0" priority="14764" operator="equal">
      <formula>"欠"</formula>
    </cfRule>
  </conditionalFormatting>
  <conditionalFormatting sqref="AL172:AM172">
    <cfRule type="cellIs" dxfId="1" priority="14722" operator="equal">
      <formula>"未完成"</formula>
    </cfRule>
    <cfRule type="cellIs" dxfId="0" priority="14743" operator="equal">
      <formula>"未完成"</formula>
    </cfRule>
  </conditionalFormatting>
  <conditionalFormatting sqref="R173">
    <cfRule type="cellIs" dxfId="0" priority="15027" operator="equal">
      <formula>"欠"</formula>
    </cfRule>
  </conditionalFormatting>
  <conditionalFormatting sqref="S173">
    <cfRule type="cellIs" dxfId="0" priority="15024" operator="equal">
      <formula>"欠"</formula>
    </cfRule>
  </conditionalFormatting>
  <conditionalFormatting sqref="T173:V173">
    <cfRule type="cellIs" dxfId="0" priority="15021" operator="equal">
      <formula>"欠"</formula>
    </cfRule>
  </conditionalFormatting>
  <conditionalFormatting sqref="AL173:AM173">
    <cfRule type="cellIs" dxfId="1" priority="15015" operator="equal">
      <formula>"未完成"</formula>
    </cfRule>
    <cfRule type="cellIs" dxfId="0" priority="15018" operator="equal">
      <formula>"未完成"</formula>
    </cfRule>
  </conditionalFormatting>
  <conditionalFormatting sqref="R174">
    <cfRule type="cellIs" dxfId="0" priority="14949" operator="equal">
      <formula>"欠"</formula>
    </cfRule>
  </conditionalFormatting>
  <conditionalFormatting sqref="S174">
    <cfRule type="cellIs" dxfId="0" priority="14930" operator="equal">
      <formula>"欠"</formula>
    </cfRule>
  </conditionalFormatting>
  <conditionalFormatting sqref="T174:V174">
    <cfRule type="cellIs" dxfId="0" priority="14911" operator="equal">
      <formula>"欠"</formula>
    </cfRule>
  </conditionalFormatting>
  <conditionalFormatting sqref="AL174:AM174">
    <cfRule type="cellIs" dxfId="1" priority="14873" operator="equal">
      <formula>"未完成"</formula>
    </cfRule>
    <cfRule type="cellIs" dxfId="0" priority="14892" operator="equal">
      <formula>"未完成"</formula>
    </cfRule>
  </conditionalFormatting>
  <conditionalFormatting sqref="R175">
    <cfRule type="cellIs" dxfId="0" priority="14715" operator="equal">
      <formula>"欠"</formula>
    </cfRule>
  </conditionalFormatting>
  <conditionalFormatting sqref="S175">
    <cfRule type="cellIs" dxfId="0" priority="14710" operator="equal">
      <formula>"欠"</formula>
    </cfRule>
  </conditionalFormatting>
  <conditionalFormatting sqref="T175:V175">
    <cfRule type="cellIs" dxfId="0" priority="14705" operator="equal">
      <formula>"欠"</formula>
    </cfRule>
  </conditionalFormatting>
  <conditionalFormatting sqref="AL175:AM175">
    <cfRule type="cellIs" dxfId="1" priority="14695" operator="equal">
      <formula>"未完成"</formula>
    </cfRule>
    <cfRule type="cellIs" dxfId="0" priority="14700" operator="equal">
      <formula>"未完成"</formula>
    </cfRule>
  </conditionalFormatting>
  <conditionalFormatting sqref="R176">
    <cfRule type="cellIs" dxfId="0" priority="14714" operator="equal">
      <formula>"欠"</formula>
    </cfRule>
  </conditionalFormatting>
  <conditionalFormatting sqref="S176">
    <cfRule type="cellIs" dxfId="0" priority="14709" operator="equal">
      <formula>"欠"</formula>
    </cfRule>
  </conditionalFormatting>
  <conditionalFormatting sqref="T176:V176">
    <cfRule type="cellIs" dxfId="0" priority="14704" operator="equal">
      <formula>"欠"</formula>
    </cfRule>
  </conditionalFormatting>
  <conditionalFormatting sqref="AL176:AM176">
    <cfRule type="cellIs" dxfId="1" priority="14694" operator="equal">
      <formula>"未完成"</formula>
    </cfRule>
    <cfRule type="cellIs" dxfId="0" priority="14699" operator="equal">
      <formula>"未完成"</formula>
    </cfRule>
  </conditionalFormatting>
  <conditionalFormatting sqref="R177">
    <cfRule type="cellIs" dxfId="0" priority="14713" operator="equal">
      <formula>"欠"</formula>
    </cfRule>
  </conditionalFormatting>
  <conditionalFormatting sqref="S177">
    <cfRule type="cellIs" dxfId="0" priority="14708" operator="equal">
      <formula>"欠"</formula>
    </cfRule>
  </conditionalFormatting>
  <conditionalFormatting sqref="T177:V177">
    <cfRule type="cellIs" dxfId="0" priority="14703" operator="equal">
      <formula>"欠"</formula>
    </cfRule>
  </conditionalFormatting>
  <conditionalFormatting sqref="AL177:AM177">
    <cfRule type="cellIs" dxfId="1" priority="14693" operator="equal">
      <formula>"未完成"</formula>
    </cfRule>
    <cfRule type="cellIs" dxfId="0" priority="14698" operator="equal">
      <formula>"未完成"</formula>
    </cfRule>
  </conditionalFormatting>
  <conditionalFormatting sqref="R178">
    <cfRule type="cellIs" dxfId="0" priority="14712" operator="equal">
      <formula>"欠"</formula>
    </cfRule>
  </conditionalFormatting>
  <conditionalFormatting sqref="S178">
    <cfRule type="cellIs" dxfId="0" priority="14707" operator="equal">
      <formula>"欠"</formula>
    </cfRule>
  </conditionalFormatting>
  <conditionalFormatting sqref="T178:V178">
    <cfRule type="cellIs" dxfId="0" priority="14702" operator="equal">
      <formula>"欠"</formula>
    </cfRule>
  </conditionalFormatting>
  <conditionalFormatting sqref="AL178:AM178">
    <cfRule type="cellIs" dxfId="1" priority="14692" operator="equal">
      <formula>"未完成"</formula>
    </cfRule>
    <cfRule type="cellIs" dxfId="0" priority="14697" operator="equal">
      <formula>"未完成"</formula>
    </cfRule>
  </conditionalFormatting>
  <conditionalFormatting sqref="R179">
    <cfRule type="cellIs" dxfId="0" priority="14711" operator="equal">
      <formula>"欠"</formula>
    </cfRule>
  </conditionalFormatting>
  <conditionalFormatting sqref="S179">
    <cfRule type="cellIs" dxfId="0" priority="14706" operator="equal">
      <formula>"欠"</formula>
    </cfRule>
  </conditionalFormatting>
  <conditionalFormatting sqref="T179:V179">
    <cfRule type="cellIs" dxfId="0" priority="14701" operator="equal">
      <formula>"欠"</formula>
    </cfRule>
  </conditionalFormatting>
  <conditionalFormatting sqref="AL179:AM179">
    <cfRule type="cellIs" dxfId="1" priority="14691" operator="equal">
      <formula>"未完成"</formula>
    </cfRule>
    <cfRule type="cellIs" dxfId="0" priority="14696" operator="equal">
      <formula>"未完成"</formula>
    </cfRule>
  </conditionalFormatting>
  <conditionalFormatting sqref="R180">
    <cfRule type="cellIs" dxfId="0" priority="14689" operator="equal">
      <formula>"欠"</formula>
    </cfRule>
  </conditionalFormatting>
  <conditionalFormatting sqref="S180">
    <cfRule type="cellIs" dxfId="0" priority="14688" operator="equal">
      <formula>"欠"</formula>
    </cfRule>
  </conditionalFormatting>
  <conditionalFormatting sqref="T180:V180">
    <cfRule type="cellIs" dxfId="0" priority="14687" operator="equal">
      <formula>"欠"</formula>
    </cfRule>
  </conditionalFormatting>
  <conditionalFormatting sqref="AL180:AM180">
    <cfRule type="cellIs" dxfId="1" priority="14685" operator="equal">
      <formula>"未完成"</formula>
    </cfRule>
    <cfRule type="cellIs" dxfId="0" priority="14686" operator="equal">
      <formula>"未完成"</formula>
    </cfRule>
  </conditionalFormatting>
  <conditionalFormatting sqref="R181">
    <cfRule type="cellIs" dxfId="0" priority="14627" operator="equal">
      <formula>"欠"</formula>
    </cfRule>
  </conditionalFormatting>
  <conditionalFormatting sqref="S181">
    <cfRule type="cellIs" dxfId="0" priority="14625" operator="equal">
      <formula>"欠"</formula>
    </cfRule>
  </conditionalFormatting>
  <conditionalFormatting sqref="T181:V181">
    <cfRule type="cellIs" dxfId="0" priority="14623" operator="equal">
      <formula>"欠"</formula>
    </cfRule>
  </conditionalFormatting>
  <conditionalFormatting sqref="AL181:AM181">
    <cfRule type="cellIs" dxfId="1" priority="14619" operator="equal">
      <formula>"未完成"</formula>
    </cfRule>
    <cfRule type="cellIs" dxfId="0" priority="14621" operator="equal">
      <formula>"未完成"</formula>
    </cfRule>
  </conditionalFormatting>
  <conditionalFormatting sqref="R182">
    <cfRule type="cellIs" dxfId="0" priority="14626" operator="equal">
      <formula>"欠"</formula>
    </cfRule>
  </conditionalFormatting>
  <conditionalFormatting sqref="S182">
    <cfRule type="cellIs" dxfId="0" priority="14624" operator="equal">
      <formula>"欠"</formula>
    </cfRule>
  </conditionalFormatting>
  <conditionalFormatting sqref="T182:V182">
    <cfRule type="cellIs" dxfId="0" priority="14622" operator="equal">
      <formula>"欠"</formula>
    </cfRule>
  </conditionalFormatting>
  <conditionalFormatting sqref="AL182:AM182">
    <cfRule type="cellIs" dxfId="1" priority="14618" operator="equal">
      <formula>"未完成"</formula>
    </cfRule>
    <cfRule type="cellIs" dxfId="0" priority="14620" operator="equal">
      <formula>"未完成"</formula>
    </cfRule>
  </conditionalFormatting>
  <conditionalFormatting sqref="R183">
    <cfRule type="cellIs" dxfId="0" priority="14600" operator="equal">
      <formula>"欠"</formula>
    </cfRule>
  </conditionalFormatting>
  <conditionalFormatting sqref="S183">
    <cfRule type="cellIs" dxfId="0" priority="14583" operator="equal">
      <formula>"欠"</formula>
    </cfRule>
  </conditionalFormatting>
  <conditionalFormatting sqref="T183:V183">
    <cfRule type="cellIs" dxfId="0" priority="14566" operator="equal">
      <formula>"欠"</formula>
    </cfRule>
  </conditionalFormatting>
  <conditionalFormatting sqref="AL183:AM183">
    <cfRule type="cellIs" dxfId="1" priority="14532" operator="equal">
      <formula>"未完成"</formula>
    </cfRule>
    <cfRule type="cellIs" dxfId="0" priority="14549" operator="equal">
      <formula>"未完成"</formula>
    </cfRule>
  </conditionalFormatting>
  <conditionalFormatting sqref="R184">
    <cfRule type="cellIs" dxfId="0" priority="14599" operator="equal">
      <formula>"欠"</formula>
    </cfRule>
  </conditionalFormatting>
  <conditionalFormatting sqref="S184">
    <cfRule type="cellIs" dxfId="0" priority="14582" operator="equal">
      <formula>"欠"</formula>
    </cfRule>
  </conditionalFormatting>
  <conditionalFormatting sqref="T184:V184">
    <cfRule type="cellIs" dxfId="0" priority="14565" operator="equal">
      <formula>"欠"</formula>
    </cfRule>
  </conditionalFormatting>
  <conditionalFormatting sqref="AL184:AM184">
    <cfRule type="cellIs" dxfId="1" priority="14531" operator="equal">
      <formula>"未完成"</formula>
    </cfRule>
    <cfRule type="cellIs" dxfId="0" priority="14548" operator="equal">
      <formula>"未完成"</formula>
    </cfRule>
  </conditionalFormatting>
  <conditionalFormatting sqref="R185">
    <cfRule type="cellIs" dxfId="0" priority="14598" operator="equal">
      <formula>"欠"</formula>
    </cfRule>
  </conditionalFormatting>
  <conditionalFormatting sqref="S185">
    <cfRule type="cellIs" dxfId="0" priority="14581" operator="equal">
      <formula>"欠"</formula>
    </cfRule>
  </conditionalFormatting>
  <conditionalFormatting sqref="T185:V185">
    <cfRule type="cellIs" dxfId="0" priority="14564" operator="equal">
      <formula>"欠"</formula>
    </cfRule>
  </conditionalFormatting>
  <conditionalFormatting sqref="AL185:AM185">
    <cfRule type="cellIs" dxfId="1" priority="14530" operator="equal">
      <formula>"未完成"</formula>
    </cfRule>
    <cfRule type="cellIs" dxfId="0" priority="14547" operator="equal">
      <formula>"未完成"</formula>
    </cfRule>
  </conditionalFormatting>
  <conditionalFormatting sqref="R186">
    <cfRule type="cellIs" dxfId="0" priority="14597" operator="equal">
      <formula>"欠"</formula>
    </cfRule>
  </conditionalFormatting>
  <conditionalFormatting sqref="S186">
    <cfRule type="cellIs" dxfId="0" priority="14580" operator="equal">
      <formula>"欠"</formula>
    </cfRule>
  </conditionalFormatting>
  <conditionalFormatting sqref="T186:V186">
    <cfRule type="cellIs" dxfId="0" priority="14563" operator="equal">
      <formula>"欠"</formula>
    </cfRule>
  </conditionalFormatting>
  <conditionalFormatting sqref="AL186:AM186">
    <cfRule type="cellIs" dxfId="1" priority="14529" operator="equal">
      <formula>"未完成"</formula>
    </cfRule>
    <cfRule type="cellIs" dxfId="0" priority="14546" operator="equal">
      <formula>"未完成"</formula>
    </cfRule>
  </conditionalFormatting>
  <conditionalFormatting sqref="R187">
    <cfRule type="cellIs" dxfId="0" priority="14596" operator="equal">
      <formula>"欠"</formula>
    </cfRule>
  </conditionalFormatting>
  <conditionalFormatting sqref="S187">
    <cfRule type="cellIs" dxfId="0" priority="14579" operator="equal">
      <formula>"欠"</formula>
    </cfRule>
  </conditionalFormatting>
  <conditionalFormatting sqref="T187:V187">
    <cfRule type="cellIs" dxfId="0" priority="14562" operator="equal">
      <formula>"欠"</formula>
    </cfRule>
  </conditionalFormatting>
  <conditionalFormatting sqref="AL187:AM187">
    <cfRule type="cellIs" dxfId="1" priority="14528" operator="equal">
      <formula>"未完成"</formula>
    </cfRule>
    <cfRule type="cellIs" dxfId="0" priority="14545" operator="equal">
      <formula>"未完成"</formula>
    </cfRule>
  </conditionalFormatting>
  <conditionalFormatting sqref="R188">
    <cfRule type="cellIs" dxfId="0" priority="14595" operator="equal">
      <formula>"欠"</formula>
    </cfRule>
  </conditionalFormatting>
  <conditionalFormatting sqref="S188">
    <cfRule type="cellIs" dxfId="0" priority="14578" operator="equal">
      <formula>"欠"</formula>
    </cfRule>
  </conditionalFormatting>
  <conditionalFormatting sqref="AL188:AM188">
    <cfRule type="cellIs" dxfId="1" priority="14527" operator="equal">
      <formula>"未完成"</formula>
    </cfRule>
    <cfRule type="cellIs" dxfId="0" priority="14544" operator="equal">
      <formula>"未完成"</formula>
    </cfRule>
  </conditionalFormatting>
  <conditionalFormatting sqref="R189">
    <cfRule type="cellIs" dxfId="0" priority="14594" operator="equal">
      <formula>"欠"</formula>
    </cfRule>
  </conditionalFormatting>
  <conditionalFormatting sqref="S189">
    <cfRule type="cellIs" dxfId="0" priority="14577" operator="equal">
      <formula>"欠"</formula>
    </cfRule>
  </conditionalFormatting>
  <conditionalFormatting sqref="T189:V189">
    <cfRule type="cellIs" dxfId="0" priority="14560" operator="equal">
      <formula>"欠"</formula>
    </cfRule>
  </conditionalFormatting>
  <conditionalFormatting sqref="AL189:AM189">
    <cfRule type="cellIs" dxfId="1" priority="14526" operator="equal">
      <formula>"未完成"</formula>
    </cfRule>
    <cfRule type="cellIs" dxfId="0" priority="14543" operator="equal">
      <formula>"未完成"</formula>
    </cfRule>
  </conditionalFormatting>
  <conditionalFormatting sqref="R190">
    <cfRule type="cellIs" dxfId="0" priority="14593" operator="equal">
      <formula>"欠"</formula>
    </cfRule>
  </conditionalFormatting>
  <conditionalFormatting sqref="S190">
    <cfRule type="cellIs" dxfId="0" priority="14576" operator="equal">
      <formula>"欠"</formula>
    </cfRule>
  </conditionalFormatting>
  <conditionalFormatting sqref="T190:V190">
    <cfRule type="cellIs" dxfId="0" priority="14559" operator="equal">
      <formula>"欠"</formula>
    </cfRule>
  </conditionalFormatting>
  <conditionalFormatting sqref="AL190:AM190">
    <cfRule type="cellIs" dxfId="1" priority="14525" operator="equal">
      <formula>"未完成"</formula>
    </cfRule>
    <cfRule type="cellIs" dxfId="0" priority="14542" operator="equal">
      <formula>"未完成"</formula>
    </cfRule>
  </conditionalFormatting>
  <conditionalFormatting sqref="R191">
    <cfRule type="cellIs" dxfId="0" priority="14592" operator="equal">
      <formula>"欠"</formula>
    </cfRule>
  </conditionalFormatting>
  <conditionalFormatting sqref="S191">
    <cfRule type="cellIs" dxfId="0" priority="14575" operator="equal">
      <formula>"欠"</formula>
    </cfRule>
  </conditionalFormatting>
  <conditionalFormatting sqref="T191:V191">
    <cfRule type="cellIs" dxfId="0" priority="14558" operator="equal">
      <formula>"欠"</formula>
    </cfRule>
  </conditionalFormatting>
  <conditionalFormatting sqref="AL191:AM191">
    <cfRule type="cellIs" dxfId="1" priority="14524" operator="equal">
      <formula>"未完成"</formula>
    </cfRule>
    <cfRule type="cellIs" dxfId="0" priority="14541" operator="equal">
      <formula>"未完成"</formula>
    </cfRule>
  </conditionalFormatting>
  <conditionalFormatting sqref="R192">
    <cfRule type="cellIs" dxfId="0" priority="14591" operator="equal">
      <formula>"欠"</formula>
    </cfRule>
  </conditionalFormatting>
  <conditionalFormatting sqref="S192">
    <cfRule type="cellIs" dxfId="0" priority="14574" operator="equal">
      <formula>"欠"</formula>
    </cfRule>
  </conditionalFormatting>
  <conditionalFormatting sqref="T192:V192">
    <cfRule type="cellIs" dxfId="0" priority="14557" operator="equal">
      <formula>"欠"</formula>
    </cfRule>
  </conditionalFormatting>
  <conditionalFormatting sqref="AL192:AM192">
    <cfRule type="cellIs" dxfId="1" priority="14523" operator="equal">
      <formula>"未完成"</formula>
    </cfRule>
    <cfRule type="cellIs" dxfId="0" priority="14540" operator="equal">
      <formula>"未完成"</formula>
    </cfRule>
  </conditionalFormatting>
  <conditionalFormatting sqref="R193">
    <cfRule type="cellIs" dxfId="0" priority="14590" operator="equal">
      <formula>"欠"</formula>
    </cfRule>
  </conditionalFormatting>
  <conditionalFormatting sqref="S193">
    <cfRule type="cellIs" dxfId="0" priority="14573" operator="equal">
      <formula>"欠"</formula>
    </cfRule>
  </conditionalFormatting>
  <conditionalFormatting sqref="T193:V193">
    <cfRule type="cellIs" dxfId="0" priority="14556" operator="equal">
      <formula>"欠"</formula>
    </cfRule>
  </conditionalFormatting>
  <conditionalFormatting sqref="AL193:AM193">
    <cfRule type="cellIs" dxfId="1" priority="14522" operator="equal">
      <formula>"未完成"</formula>
    </cfRule>
    <cfRule type="cellIs" dxfId="0" priority="14539" operator="equal">
      <formula>"未完成"</formula>
    </cfRule>
  </conditionalFormatting>
  <conditionalFormatting sqref="R194">
    <cfRule type="cellIs" dxfId="0" priority="14589" operator="equal">
      <formula>"欠"</formula>
    </cfRule>
  </conditionalFormatting>
  <conditionalFormatting sqref="S194">
    <cfRule type="cellIs" dxfId="0" priority="14572" operator="equal">
      <formula>"欠"</formula>
    </cfRule>
  </conditionalFormatting>
  <conditionalFormatting sqref="T194:V194">
    <cfRule type="cellIs" dxfId="0" priority="14555" operator="equal">
      <formula>"欠"</formula>
    </cfRule>
  </conditionalFormatting>
  <conditionalFormatting sqref="AL194:AM194">
    <cfRule type="cellIs" dxfId="1" priority="14521" operator="equal">
      <formula>"未完成"</formula>
    </cfRule>
    <cfRule type="cellIs" dxfId="0" priority="14538" operator="equal">
      <formula>"未完成"</formula>
    </cfRule>
  </conditionalFormatting>
  <conditionalFormatting sqref="R195">
    <cfRule type="cellIs" dxfId="0" priority="14588" operator="equal">
      <formula>"欠"</formula>
    </cfRule>
  </conditionalFormatting>
  <conditionalFormatting sqref="S195">
    <cfRule type="cellIs" dxfId="0" priority="14571" operator="equal">
      <formula>"欠"</formula>
    </cfRule>
  </conditionalFormatting>
  <conditionalFormatting sqref="T195:V195">
    <cfRule type="cellIs" dxfId="0" priority="14554" operator="equal">
      <formula>"欠"</formula>
    </cfRule>
  </conditionalFormatting>
  <conditionalFormatting sqref="AL195:AM195">
    <cfRule type="cellIs" dxfId="1" priority="14520" operator="equal">
      <formula>"未完成"</formula>
    </cfRule>
    <cfRule type="cellIs" dxfId="0" priority="14537" operator="equal">
      <formula>"未完成"</formula>
    </cfRule>
  </conditionalFormatting>
  <conditionalFormatting sqref="R196">
    <cfRule type="cellIs" dxfId="0" priority="14587" operator="equal">
      <formula>"欠"</formula>
    </cfRule>
  </conditionalFormatting>
  <conditionalFormatting sqref="S196">
    <cfRule type="cellIs" dxfId="0" priority="14570" operator="equal">
      <formula>"欠"</formula>
    </cfRule>
  </conditionalFormatting>
  <conditionalFormatting sqref="T196:V196">
    <cfRule type="cellIs" dxfId="0" priority="14553" operator="equal">
      <formula>"欠"</formula>
    </cfRule>
  </conditionalFormatting>
  <conditionalFormatting sqref="AL196:AM196">
    <cfRule type="cellIs" dxfId="1" priority="14519" operator="equal">
      <formula>"未完成"</formula>
    </cfRule>
    <cfRule type="cellIs" dxfId="0" priority="14536" operator="equal">
      <formula>"未完成"</formula>
    </cfRule>
  </conditionalFormatting>
  <conditionalFormatting sqref="R197">
    <cfRule type="cellIs" dxfId="0" priority="14586" operator="equal">
      <formula>"欠"</formula>
    </cfRule>
  </conditionalFormatting>
  <conditionalFormatting sqref="S197">
    <cfRule type="cellIs" dxfId="0" priority="14569" operator="equal">
      <formula>"欠"</formula>
    </cfRule>
  </conditionalFormatting>
  <conditionalFormatting sqref="T197:V197">
    <cfRule type="cellIs" dxfId="0" priority="14552" operator="equal">
      <formula>"欠"</formula>
    </cfRule>
  </conditionalFormatting>
  <conditionalFormatting sqref="AL197:AM197">
    <cfRule type="cellIs" dxfId="1" priority="14518" operator="equal">
      <formula>"未完成"</formula>
    </cfRule>
    <cfRule type="cellIs" dxfId="0" priority="14535" operator="equal">
      <formula>"未完成"</formula>
    </cfRule>
  </conditionalFormatting>
  <conditionalFormatting sqref="R198">
    <cfRule type="cellIs" dxfId="0" priority="14585" operator="equal">
      <formula>"欠"</formula>
    </cfRule>
  </conditionalFormatting>
  <conditionalFormatting sqref="S198">
    <cfRule type="cellIs" dxfId="0" priority="14568" operator="equal">
      <formula>"欠"</formula>
    </cfRule>
  </conditionalFormatting>
  <conditionalFormatting sqref="T198:V198">
    <cfRule type="cellIs" dxfId="0" priority="14551" operator="equal">
      <formula>"欠"</formula>
    </cfRule>
  </conditionalFormatting>
  <conditionalFormatting sqref="AL198:AM198">
    <cfRule type="cellIs" dxfId="1" priority="14517" operator="equal">
      <formula>"未完成"</formula>
    </cfRule>
    <cfRule type="cellIs" dxfId="0" priority="14534" operator="equal">
      <formula>"未完成"</formula>
    </cfRule>
  </conditionalFormatting>
  <conditionalFormatting sqref="R199">
    <cfRule type="cellIs" dxfId="0" priority="14584" operator="equal">
      <formula>"欠"</formula>
    </cfRule>
  </conditionalFormatting>
  <conditionalFormatting sqref="S199">
    <cfRule type="cellIs" dxfId="0" priority="14567" operator="equal">
      <formula>"欠"</formula>
    </cfRule>
  </conditionalFormatting>
  <conditionalFormatting sqref="T199:V199">
    <cfRule type="cellIs" dxfId="0" priority="14550" operator="equal">
      <formula>"欠"</formula>
    </cfRule>
  </conditionalFormatting>
  <conditionalFormatting sqref="AL199:AM199">
    <cfRule type="cellIs" dxfId="1" priority="14516" operator="equal">
      <formula>"未完成"</formula>
    </cfRule>
    <cfRule type="cellIs" dxfId="0" priority="14533" operator="equal">
      <formula>"未完成"</formula>
    </cfRule>
  </conditionalFormatting>
  <conditionalFormatting sqref="R200">
    <cfRule type="cellIs" dxfId="0" priority="14415" operator="equal">
      <formula>"欠"</formula>
    </cfRule>
  </conditionalFormatting>
  <conditionalFormatting sqref="S200">
    <cfRule type="cellIs" dxfId="0" priority="14389" operator="equal">
      <formula>"欠"</formula>
    </cfRule>
  </conditionalFormatting>
  <conditionalFormatting sqref="T200:V200">
    <cfRule type="cellIs" dxfId="0" priority="14363" operator="equal">
      <formula>"欠"</formula>
    </cfRule>
  </conditionalFormatting>
  <conditionalFormatting sqref="AL200:AM200">
    <cfRule type="cellIs" dxfId="1" priority="14311" operator="equal">
      <formula>"未完成"</formula>
    </cfRule>
    <cfRule type="cellIs" dxfId="0" priority="14337" operator="equal">
      <formula>"未完成"</formula>
    </cfRule>
  </conditionalFormatting>
  <conditionalFormatting sqref="R201">
    <cfRule type="cellIs" dxfId="0" priority="14414" operator="equal">
      <formula>"欠"</formula>
    </cfRule>
  </conditionalFormatting>
  <conditionalFormatting sqref="S201">
    <cfRule type="cellIs" dxfId="0" priority="14388" operator="equal">
      <formula>"欠"</formula>
    </cfRule>
  </conditionalFormatting>
  <conditionalFormatting sqref="T201:V201">
    <cfRule type="cellIs" dxfId="0" priority="14362" operator="equal">
      <formula>"欠"</formula>
    </cfRule>
  </conditionalFormatting>
  <conditionalFormatting sqref="AL201:AM201">
    <cfRule type="cellIs" dxfId="1" priority="14310" operator="equal">
      <formula>"未完成"</formula>
    </cfRule>
    <cfRule type="cellIs" dxfId="0" priority="14336" operator="equal">
      <formula>"未完成"</formula>
    </cfRule>
  </conditionalFormatting>
  <conditionalFormatting sqref="R202">
    <cfRule type="cellIs" dxfId="0" priority="14413" operator="equal">
      <formula>"欠"</formula>
    </cfRule>
  </conditionalFormatting>
  <conditionalFormatting sqref="S202">
    <cfRule type="cellIs" dxfId="0" priority="14387" operator="equal">
      <formula>"欠"</formula>
    </cfRule>
  </conditionalFormatting>
  <conditionalFormatting sqref="T202:V202">
    <cfRule type="cellIs" dxfId="0" priority="14361" operator="equal">
      <formula>"欠"</formula>
    </cfRule>
  </conditionalFormatting>
  <conditionalFormatting sqref="AL202:AM202">
    <cfRule type="cellIs" dxfId="1" priority="14309" operator="equal">
      <formula>"未完成"</formula>
    </cfRule>
    <cfRule type="cellIs" dxfId="0" priority="14335" operator="equal">
      <formula>"未完成"</formula>
    </cfRule>
  </conditionalFormatting>
  <conditionalFormatting sqref="R203">
    <cfRule type="cellIs" dxfId="0" priority="14412" operator="equal">
      <formula>"欠"</formula>
    </cfRule>
  </conditionalFormatting>
  <conditionalFormatting sqref="S203">
    <cfRule type="cellIs" dxfId="0" priority="14386" operator="equal">
      <formula>"欠"</formula>
    </cfRule>
  </conditionalFormatting>
  <conditionalFormatting sqref="T203:V203">
    <cfRule type="cellIs" dxfId="0" priority="14360" operator="equal">
      <formula>"欠"</formula>
    </cfRule>
  </conditionalFormatting>
  <conditionalFormatting sqref="AL203:AM203">
    <cfRule type="cellIs" dxfId="1" priority="14308" operator="equal">
      <formula>"未完成"</formula>
    </cfRule>
    <cfRule type="cellIs" dxfId="0" priority="14334" operator="equal">
      <formula>"未完成"</formula>
    </cfRule>
  </conditionalFormatting>
  <conditionalFormatting sqref="R204">
    <cfRule type="cellIs" dxfId="0" priority="14411" operator="equal">
      <formula>"欠"</formula>
    </cfRule>
  </conditionalFormatting>
  <conditionalFormatting sqref="S204">
    <cfRule type="cellIs" dxfId="0" priority="14385" operator="equal">
      <formula>"欠"</formula>
    </cfRule>
  </conditionalFormatting>
  <conditionalFormatting sqref="T204:V204">
    <cfRule type="cellIs" dxfId="0" priority="14359" operator="equal">
      <formula>"欠"</formula>
    </cfRule>
  </conditionalFormatting>
  <conditionalFormatting sqref="AL204:AM204">
    <cfRule type="cellIs" dxfId="1" priority="14307" operator="equal">
      <formula>"未完成"</formula>
    </cfRule>
    <cfRule type="cellIs" dxfId="0" priority="14333" operator="equal">
      <formula>"未完成"</formula>
    </cfRule>
  </conditionalFormatting>
  <conditionalFormatting sqref="R205">
    <cfRule type="cellIs" dxfId="0" priority="14410" operator="equal">
      <formula>"欠"</formula>
    </cfRule>
  </conditionalFormatting>
  <conditionalFormatting sqref="S205">
    <cfRule type="cellIs" dxfId="0" priority="14384" operator="equal">
      <formula>"欠"</formula>
    </cfRule>
  </conditionalFormatting>
  <conditionalFormatting sqref="T205:V205">
    <cfRule type="cellIs" dxfId="0" priority="14358" operator="equal">
      <formula>"欠"</formula>
    </cfRule>
  </conditionalFormatting>
  <conditionalFormatting sqref="AL205:AM205">
    <cfRule type="cellIs" dxfId="1" priority="14306" operator="equal">
      <formula>"未完成"</formula>
    </cfRule>
    <cfRule type="cellIs" dxfId="0" priority="14332" operator="equal">
      <formula>"未完成"</formula>
    </cfRule>
  </conditionalFormatting>
  <conditionalFormatting sqref="R206">
    <cfRule type="cellIs" dxfId="0" priority="14409" operator="equal">
      <formula>"欠"</formula>
    </cfRule>
  </conditionalFormatting>
  <conditionalFormatting sqref="S206">
    <cfRule type="cellIs" dxfId="0" priority="14383" operator="equal">
      <formula>"欠"</formula>
    </cfRule>
  </conditionalFormatting>
  <conditionalFormatting sqref="T206:V206">
    <cfRule type="cellIs" dxfId="0" priority="14357" operator="equal">
      <formula>"欠"</formula>
    </cfRule>
  </conditionalFormatting>
  <conditionalFormatting sqref="AL206:AM206">
    <cfRule type="cellIs" dxfId="1" priority="14305" operator="equal">
      <formula>"未完成"</formula>
    </cfRule>
    <cfRule type="cellIs" dxfId="0" priority="14331" operator="equal">
      <formula>"未完成"</formula>
    </cfRule>
  </conditionalFormatting>
  <conditionalFormatting sqref="R207">
    <cfRule type="cellIs" dxfId="0" priority="14408" operator="equal">
      <formula>"欠"</formula>
    </cfRule>
  </conditionalFormatting>
  <conditionalFormatting sqref="S207">
    <cfRule type="cellIs" dxfId="0" priority="14382" operator="equal">
      <formula>"欠"</formula>
    </cfRule>
  </conditionalFormatting>
  <conditionalFormatting sqref="T207:V207">
    <cfRule type="cellIs" dxfId="0" priority="14356" operator="equal">
      <formula>"欠"</formula>
    </cfRule>
  </conditionalFormatting>
  <conditionalFormatting sqref="AL207:AM207">
    <cfRule type="cellIs" dxfId="1" priority="14304" operator="equal">
      <formula>"未完成"</formula>
    </cfRule>
    <cfRule type="cellIs" dxfId="0" priority="14330" operator="equal">
      <formula>"未完成"</formula>
    </cfRule>
  </conditionalFormatting>
  <conditionalFormatting sqref="R208">
    <cfRule type="cellIs" dxfId="0" priority="14407" operator="equal">
      <formula>"欠"</formula>
    </cfRule>
  </conditionalFormatting>
  <conditionalFormatting sqref="S208">
    <cfRule type="cellIs" dxfId="0" priority="14381" operator="equal">
      <formula>"欠"</formula>
    </cfRule>
  </conditionalFormatting>
  <conditionalFormatting sqref="T208:V208">
    <cfRule type="cellIs" dxfId="0" priority="14355" operator="equal">
      <formula>"欠"</formula>
    </cfRule>
  </conditionalFormatting>
  <conditionalFormatting sqref="AL208:AM208">
    <cfRule type="cellIs" dxfId="1" priority="14303" operator="equal">
      <formula>"未完成"</formula>
    </cfRule>
    <cfRule type="cellIs" dxfId="0" priority="14329" operator="equal">
      <formula>"未完成"</formula>
    </cfRule>
  </conditionalFormatting>
  <conditionalFormatting sqref="R209">
    <cfRule type="cellIs" dxfId="0" priority="14406" operator="equal">
      <formula>"欠"</formula>
    </cfRule>
  </conditionalFormatting>
  <conditionalFormatting sqref="S209">
    <cfRule type="cellIs" dxfId="0" priority="14380" operator="equal">
      <formula>"欠"</formula>
    </cfRule>
  </conditionalFormatting>
  <conditionalFormatting sqref="T209:V209">
    <cfRule type="cellIs" dxfId="0" priority="14354" operator="equal">
      <formula>"欠"</formula>
    </cfRule>
  </conditionalFormatting>
  <conditionalFormatting sqref="AL209:AM209">
    <cfRule type="cellIs" dxfId="1" priority="14302" operator="equal">
      <formula>"未完成"</formula>
    </cfRule>
    <cfRule type="cellIs" dxfId="0" priority="14328" operator="equal">
      <formula>"未完成"</formula>
    </cfRule>
  </conditionalFormatting>
  <conditionalFormatting sqref="R210">
    <cfRule type="cellIs" dxfId="0" priority="14405" operator="equal">
      <formula>"欠"</formula>
    </cfRule>
  </conditionalFormatting>
  <conditionalFormatting sqref="S210">
    <cfRule type="cellIs" dxfId="0" priority="14379" operator="equal">
      <formula>"欠"</formula>
    </cfRule>
  </conditionalFormatting>
  <conditionalFormatting sqref="T210:V210">
    <cfRule type="cellIs" dxfId="0" priority="14353" operator="equal">
      <formula>"欠"</formula>
    </cfRule>
  </conditionalFormatting>
  <conditionalFormatting sqref="AL210:AM210">
    <cfRule type="cellIs" dxfId="1" priority="14301" operator="equal">
      <formula>"未完成"</formula>
    </cfRule>
    <cfRule type="cellIs" dxfId="0" priority="14327" operator="equal">
      <formula>"未完成"</formula>
    </cfRule>
  </conditionalFormatting>
  <conditionalFormatting sqref="R211">
    <cfRule type="cellIs" dxfId="0" priority="14404" operator="equal">
      <formula>"欠"</formula>
    </cfRule>
  </conditionalFormatting>
  <conditionalFormatting sqref="S211">
    <cfRule type="cellIs" dxfId="0" priority="14378" operator="equal">
      <formula>"欠"</formula>
    </cfRule>
  </conditionalFormatting>
  <conditionalFormatting sqref="T211:V211">
    <cfRule type="cellIs" dxfId="0" priority="14352" operator="equal">
      <formula>"欠"</formula>
    </cfRule>
  </conditionalFormatting>
  <conditionalFormatting sqref="AL211:AM211">
    <cfRule type="cellIs" dxfId="1" priority="14300" operator="equal">
      <formula>"未完成"</formula>
    </cfRule>
    <cfRule type="cellIs" dxfId="0" priority="14326" operator="equal">
      <formula>"未完成"</formula>
    </cfRule>
  </conditionalFormatting>
  <conditionalFormatting sqref="R212">
    <cfRule type="cellIs" dxfId="0" priority="14403" operator="equal">
      <formula>"欠"</formula>
    </cfRule>
  </conditionalFormatting>
  <conditionalFormatting sqref="S212">
    <cfRule type="cellIs" dxfId="0" priority="14377" operator="equal">
      <formula>"欠"</formula>
    </cfRule>
  </conditionalFormatting>
  <conditionalFormatting sqref="T212:V212">
    <cfRule type="cellIs" dxfId="0" priority="14351" operator="equal">
      <formula>"欠"</formula>
    </cfRule>
  </conditionalFormatting>
  <conditionalFormatting sqref="AL212:AM212">
    <cfRule type="cellIs" dxfId="1" priority="14299" operator="equal">
      <formula>"未完成"</formula>
    </cfRule>
    <cfRule type="cellIs" dxfId="0" priority="14325" operator="equal">
      <formula>"未完成"</formula>
    </cfRule>
  </conditionalFormatting>
  <conditionalFormatting sqref="R213">
    <cfRule type="cellIs" dxfId="0" priority="14402" operator="equal">
      <formula>"欠"</formula>
    </cfRule>
  </conditionalFormatting>
  <conditionalFormatting sqref="S213">
    <cfRule type="cellIs" dxfId="0" priority="14376" operator="equal">
      <formula>"欠"</formula>
    </cfRule>
  </conditionalFormatting>
  <conditionalFormatting sqref="T213:V213">
    <cfRule type="cellIs" dxfId="0" priority="14350" operator="equal">
      <formula>"欠"</formula>
    </cfRule>
  </conditionalFormatting>
  <conditionalFormatting sqref="AL213:AM213">
    <cfRule type="cellIs" dxfId="1" priority="14298" operator="equal">
      <formula>"未完成"</formula>
    </cfRule>
    <cfRule type="cellIs" dxfId="0" priority="14324" operator="equal">
      <formula>"未完成"</formula>
    </cfRule>
  </conditionalFormatting>
  <conditionalFormatting sqref="R214">
    <cfRule type="cellIs" dxfId="0" priority="14401" operator="equal">
      <formula>"欠"</formula>
    </cfRule>
  </conditionalFormatting>
  <conditionalFormatting sqref="S214">
    <cfRule type="cellIs" dxfId="0" priority="14375" operator="equal">
      <formula>"欠"</formula>
    </cfRule>
  </conditionalFormatting>
  <conditionalFormatting sqref="T214:V214">
    <cfRule type="cellIs" dxfId="0" priority="14349" operator="equal">
      <formula>"欠"</formula>
    </cfRule>
  </conditionalFormatting>
  <conditionalFormatting sqref="AL214:AM214">
    <cfRule type="cellIs" dxfId="1" priority="14297" operator="equal">
      <formula>"未完成"</formula>
    </cfRule>
    <cfRule type="cellIs" dxfId="0" priority="14323" operator="equal">
      <formula>"未完成"</formula>
    </cfRule>
  </conditionalFormatting>
  <conditionalFormatting sqref="R215">
    <cfRule type="cellIs" dxfId="0" priority="14400" operator="equal">
      <formula>"欠"</formula>
    </cfRule>
  </conditionalFormatting>
  <conditionalFormatting sqref="S215">
    <cfRule type="cellIs" dxfId="0" priority="14374" operator="equal">
      <formula>"欠"</formula>
    </cfRule>
  </conditionalFormatting>
  <conditionalFormatting sqref="T215:V215">
    <cfRule type="cellIs" dxfId="0" priority="14348" operator="equal">
      <formula>"欠"</formula>
    </cfRule>
  </conditionalFormatting>
  <conditionalFormatting sqref="AL215:AM215">
    <cfRule type="cellIs" dxfId="1" priority="14296" operator="equal">
      <formula>"未完成"</formula>
    </cfRule>
    <cfRule type="cellIs" dxfId="0" priority="14322" operator="equal">
      <formula>"未完成"</formula>
    </cfRule>
  </conditionalFormatting>
  <conditionalFormatting sqref="R216">
    <cfRule type="cellIs" dxfId="0" priority="14399" operator="equal">
      <formula>"欠"</formula>
    </cfRule>
  </conditionalFormatting>
  <conditionalFormatting sqref="S216">
    <cfRule type="cellIs" dxfId="0" priority="14373" operator="equal">
      <formula>"欠"</formula>
    </cfRule>
  </conditionalFormatting>
  <conditionalFormatting sqref="T216:V216">
    <cfRule type="cellIs" dxfId="0" priority="14347" operator="equal">
      <formula>"欠"</formula>
    </cfRule>
  </conditionalFormatting>
  <conditionalFormatting sqref="AL216:AM216">
    <cfRule type="cellIs" dxfId="1" priority="14295" operator="equal">
      <formula>"未完成"</formula>
    </cfRule>
    <cfRule type="cellIs" dxfId="0" priority="14321" operator="equal">
      <formula>"未完成"</formula>
    </cfRule>
  </conditionalFormatting>
  <conditionalFormatting sqref="R217">
    <cfRule type="cellIs" dxfId="0" priority="14398" operator="equal">
      <formula>"欠"</formula>
    </cfRule>
  </conditionalFormatting>
  <conditionalFormatting sqref="S217">
    <cfRule type="cellIs" dxfId="0" priority="14372" operator="equal">
      <formula>"欠"</formula>
    </cfRule>
  </conditionalFormatting>
  <conditionalFormatting sqref="T217:V217">
    <cfRule type="cellIs" dxfId="0" priority="14346" operator="equal">
      <formula>"欠"</formula>
    </cfRule>
  </conditionalFormatting>
  <conditionalFormatting sqref="AL217:AM217">
    <cfRule type="cellIs" dxfId="1" priority="14294" operator="equal">
      <formula>"未完成"</formula>
    </cfRule>
    <cfRule type="cellIs" dxfId="0" priority="14320" operator="equal">
      <formula>"未完成"</formula>
    </cfRule>
  </conditionalFormatting>
  <conditionalFormatting sqref="R218">
    <cfRule type="cellIs" dxfId="0" priority="14397" operator="equal">
      <formula>"欠"</formula>
    </cfRule>
  </conditionalFormatting>
  <conditionalFormatting sqref="S218">
    <cfRule type="cellIs" dxfId="0" priority="14371" operator="equal">
      <formula>"欠"</formula>
    </cfRule>
  </conditionalFormatting>
  <conditionalFormatting sqref="T218:V218">
    <cfRule type="cellIs" dxfId="0" priority="14345" operator="equal">
      <formula>"欠"</formula>
    </cfRule>
  </conditionalFormatting>
  <conditionalFormatting sqref="AL218:AM218">
    <cfRule type="cellIs" dxfId="1" priority="14293" operator="equal">
      <formula>"未完成"</formula>
    </cfRule>
    <cfRule type="cellIs" dxfId="0" priority="14319" operator="equal">
      <formula>"未完成"</formula>
    </cfRule>
  </conditionalFormatting>
  <conditionalFormatting sqref="R219">
    <cfRule type="cellIs" dxfId="0" priority="14396" operator="equal">
      <formula>"欠"</formula>
    </cfRule>
  </conditionalFormatting>
  <conditionalFormatting sqref="S219">
    <cfRule type="cellIs" dxfId="0" priority="14370" operator="equal">
      <formula>"欠"</formula>
    </cfRule>
  </conditionalFormatting>
  <conditionalFormatting sqref="T219:V219">
    <cfRule type="cellIs" dxfId="0" priority="14344" operator="equal">
      <formula>"欠"</formula>
    </cfRule>
  </conditionalFormatting>
  <conditionalFormatting sqref="AL219:AM219">
    <cfRule type="cellIs" dxfId="1" priority="14292" operator="equal">
      <formula>"未完成"</formula>
    </cfRule>
    <cfRule type="cellIs" dxfId="0" priority="14318" operator="equal">
      <formula>"未完成"</formula>
    </cfRule>
  </conditionalFormatting>
  <conditionalFormatting sqref="R220">
    <cfRule type="cellIs" dxfId="0" priority="14395" operator="equal">
      <formula>"欠"</formula>
    </cfRule>
  </conditionalFormatting>
  <conditionalFormatting sqref="S220">
    <cfRule type="cellIs" dxfId="0" priority="14369" operator="equal">
      <formula>"欠"</formula>
    </cfRule>
  </conditionalFormatting>
  <conditionalFormatting sqref="T220:V220">
    <cfRule type="cellIs" dxfId="0" priority="14343" operator="equal">
      <formula>"欠"</formula>
    </cfRule>
  </conditionalFormatting>
  <conditionalFormatting sqref="AL220:AM220">
    <cfRule type="cellIs" dxfId="1" priority="14291" operator="equal">
      <formula>"未完成"</formula>
    </cfRule>
    <cfRule type="cellIs" dxfId="0" priority="14317" operator="equal">
      <formula>"未完成"</formula>
    </cfRule>
  </conditionalFormatting>
  <conditionalFormatting sqref="R221">
    <cfRule type="cellIs" dxfId="0" priority="14394" operator="equal">
      <formula>"欠"</formula>
    </cfRule>
  </conditionalFormatting>
  <conditionalFormatting sqref="S221">
    <cfRule type="cellIs" dxfId="0" priority="14368" operator="equal">
      <formula>"欠"</formula>
    </cfRule>
  </conditionalFormatting>
  <conditionalFormatting sqref="T221:V221">
    <cfRule type="cellIs" dxfId="0" priority="14342" operator="equal">
      <formula>"欠"</formula>
    </cfRule>
  </conditionalFormatting>
  <conditionalFormatting sqref="AL221:AM221">
    <cfRule type="cellIs" dxfId="1" priority="14290" operator="equal">
      <formula>"未完成"</formula>
    </cfRule>
    <cfRule type="cellIs" dxfId="0" priority="14316" operator="equal">
      <formula>"未完成"</formula>
    </cfRule>
  </conditionalFormatting>
  <conditionalFormatting sqref="R222">
    <cfRule type="cellIs" dxfId="0" priority="14393" operator="equal">
      <formula>"欠"</formula>
    </cfRule>
  </conditionalFormatting>
  <conditionalFormatting sqref="S222">
    <cfRule type="cellIs" dxfId="0" priority="14367" operator="equal">
      <formula>"欠"</formula>
    </cfRule>
  </conditionalFormatting>
  <conditionalFormatting sqref="T222:V222">
    <cfRule type="cellIs" dxfId="0" priority="14341" operator="equal">
      <formula>"欠"</formula>
    </cfRule>
  </conditionalFormatting>
  <conditionalFormatting sqref="AL222:AM222">
    <cfRule type="cellIs" dxfId="1" priority="14289" operator="equal">
      <formula>"未完成"</formula>
    </cfRule>
    <cfRule type="cellIs" dxfId="0" priority="14315" operator="equal">
      <formula>"未完成"</formula>
    </cfRule>
  </conditionalFormatting>
  <conditionalFormatting sqref="R223">
    <cfRule type="cellIs" dxfId="0" priority="14392" operator="equal">
      <formula>"欠"</formula>
    </cfRule>
  </conditionalFormatting>
  <conditionalFormatting sqref="S223">
    <cfRule type="cellIs" dxfId="0" priority="14366" operator="equal">
      <formula>"欠"</formula>
    </cfRule>
  </conditionalFormatting>
  <conditionalFormatting sqref="T223:V223">
    <cfRule type="cellIs" dxfId="0" priority="14340" operator="equal">
      <formula>"欠"</formula>
    </cfRule>
  </conditionalFormatting>
  <conditionalFormatting sqref="AL223:AM223">
    <cfRule type="cellIs" dxfId="1" priority="14288" operator="equal">
      <formula>"未完成"</formula>
    </cfRule>
    <cfRule type="cellIs" dxfId="0" priority="14314" operator="equal">
      <formula>"未完成"</formula>
    </cfRule>
  </conditionalFormatting>
  <conditionalFormatting sqref="R224">
    <cfRule type="cellIs" dxfId="0" priority="14391" operator="equal">
      <formula>"欠"</formula>
    </cfRule>
  </conditionalFormatting>
  <conditionalFormatting sqref="S224">
    <cfRule type="cellIs" dxfId="0" priority="14365" operator="equal">
      <formula>"欠"</formula>
    </cfRule>
  </conditionalFormatting>
  <conditionalFormatting sqref="T224:V224">
    <cfRule type="cellIs" dxfId="0" priority="14339" operator="equal">
      <formula>"欠"</formula>
    </cfRule>
  </conditionalFormatting>
  <conditionalFormatting sqref="AL224:AM224">
    <cfRule type="cellIs" dxfId="1" priority="14287" operator="equal">
      <formula>"未完成"</formula>
    </cfRule>
    <cfRule type="cellIs" dxfId="0" priority="14313" operator="equal">
      <formula>"未完成"</formula>
    </cfRule>
  </conditionalFormatting>
  <conditionalFormatting sqref="R225">
    <cfRule type="cellIs" dxfId="0" priority="14390" operator="equal">
      <formula>"欠"</formula>
    </cfRule>
  </conditionalFormatting>
  <conditionalFormatting sqref="S225">
    <cfRule type="cellIs" dxfId="0" priority="14364" operator="equal">
      <formula>"欠"</formula>
    </cfRule>
  </conditionalFormatting>
  <conditionalFormatting sqref="T225:V225">
    <cfRule type="cellIs" dxfId="0" priority="14338" operator="equal">
      <formula>"欠"</formula>
    </cfRule>
  </conditionalFormatting>
  <conditionalFormatting sqref="AL225:AM225">
    <cfRule type="cellIs" dxfId="1" priority="14286" operator="equal">
      <formula>"未完成"</formula>
    </cfRule>
    <cfRule type="cellIs" dxfId="0" priority="14312" operator="equal">
      <formula>"未完成"</formula>
    </cfRule>
  </conditionalFormatting>
  <conditionalFormatting sqref="R226">
    <cfRule type="cellIs" dxfId="0" priority="14262" operator="equal">
      <formula>"欠"</formula>
    </cfRule>
  </conditionalFormatting>
  <conditionalFormatting sqref="S226">
    <cfRule type="cellIs" dxfId="0" priority="14249" operator="equal">
      <formula>"欠"</formula>
    </cfRule>
  </conditionalFormatting>
  <conditionalFormatting sqref="T226:V226">
    <cfRule type="cellIs" dxfId="0" priority="14236" operator="equal">
      <formula>"欠"</formula>
    </cfRule>
  </conditionalFormatting>
  <conditionalFormatting sqref="AG226:AH226">
    <cfRule type="cellIs" dxfId="0" priority="14275" operator="equal">
      <formula>"未完成"</formula>
    </cfRule>
  </conditionalFormatting>
  <conditionalFormatting sqref="AL226:AM226">
    <cfRule type="cellIs" dxfId="1" priority="14210" operator="equal">
      <formula>"未完成"</formula>
    </cfRule>
    <cfRule type="cellIs" dxfId="0" priority="14223" operator="equal">
      <formula>"未完成"</formula>
    </cfRule>
  </conditionalFormatting>
  <conditionalFormatting sqref="R227">
    <cfRule type="cellIs" dxfId="0" priority="14261" operator="equal">
      <formula>"欠"</formula>
    </cfRule>
  </conditionalFormatting>
  <conditionalFormatting sqref="S227">
    <cfRule type="cellIs" dxfId="0" priority="14248" operator="equal">
      <formula>"欠"</formula>
    </cfRule>
  </conditionalFormatting>
  <conditionalFormatting sqref="T227:V227">
    <cfRule type="cellIs" dxfId="0" priority="14235" operator="equal">
      <formula>"欠"</formula>
    </cfRule>
  </conditionalFormatting>
  <conditionalFormatting sqref="AL227:AM227">
    <cfRule type="cellIs" dxfId="1" priority="14209" operator="equal">
      <formula>"未完成"</formula>
    </cfRule>
    <cfRule type="cellIs" dxfId="0" priority="14222" operator="equal">
      <formula>"未完成"</formula>
    </cfRule>
  </conditionalFormatting>
  <conditionalFormatting sqref="R228">
    <cfRule type="cellIs" dxfId="0" priority="14260" operator="equal">
      <formula>"欠"</formula>
    </cfRule>
  </conditionalFormatting>
  <conditionalFormatting sqref="S228">
    <cfRule type="cellIs" dxfId="0" priority="14247" operator="equal">
      <formula>"欠"</formula>
    </cfRule>
  </conditionalFormatting>
  <conditionalFormatting sqref="T228:V228">
    <cfRule type="cellIs" dxfId="0" priority="14234" operator="equal">
      <formula>"欠"</formula>
    </cfRule>
  </conditionalFormatting>
  <conditionalFormatting sqref="AL228:AM228">
    <cfRule type="cellIs" dxfId="1" priority="14208" operator="equal">
      <formula>"未完成"</formula>
    </cfRule>
    <cfRule type="cellIs" dxfId="0" priority="14221" operator="equal">
      <formula>"未完成"</formula>
    </cfRule>
  </conditionalFormatting>
  <conditionalFormatting sqref="R229">
    <cfRule type="cellIs" dxfId="0" priority="14259" operator="equal">
      <formula>"欠"</formula>
    </cfRule>
  </conditionalFormatting>
  <conditionalFormatting sqref="S229">
    <cfRule type="cellIs" dxfId="0" priority="14246" operator="equal">
      <formula>"欠"</formula>
    </cfRule>
  </conditionalFormatting>
  <conditionalFormatting sqref="T229:V229">
    <cfRule type="cellIs" dxfId="0" priority="14233" operator="equal">
      <formula>"欠"</formula>
    </cfRule>
  </conditionalFormatting>
  <conditionalFormatting sqref="AL229:AM229">
    <cfRule type="cellIs" dxfId="1" priority="14207" operator="equal">
      <formula>"未完成"</formula>
    </cfRule>
    <cfRule type="cellIs" dxfId="0" priority="14220" operator="equal">
      <formula>"未完成"</formula>
    </cfRule>
  </conditionalFormatting>
  <conditionalFormatting sqref="R230">
    <cfRule type="cellIs" dxfId="0" priority="14258" operator="equal">
      <formula>"欠"</formula>
    </cfRule>
  </conditionalFormatting>
  <conditionalFormatting sqref="S230">
    <cfRule type="cellIs" dxfId="0" priority="14245" operator="equal">
      <formula>"欠"</formula>
    </cfRule>
  </conditionalFormatting>
  <conditionalFormatting sqref="T230:V230">
    <cfRule type="cellIs" dxfId="0" priority="14232" operator="equal">
      <formula>"欠"</formula>
    </cfRule>
  </conditionalFormatting>
  <conditionalFormatting sqref="AL230:AM230">
    <cfRule type="cellIs" dxfId="1" priority="14206" operator="equal">
      <formula>"未完成"</formula>
    </cfRule>
    <cfRule type="cellIs" dxfId="0" priority="14219" operator="equal">
      <formula>"未完成"</formula>
    </cfRule>
  </conditionalFormatting>
  <conditionalFormatting sqref="R231">
    <cfRule type="cellIs" dxfId="0" priority="14257" operator="equal">
      <formula>"欠"</formula>
    </cfRule>
  </conditionalFormatting>
  <conditionalFormatting sqref="S231">
    <cfRule type="cellIs" dxfId="0" priority="14244" operator="equal">
      <formula>"欠"</formula>
    </cfRule>
  </conditionalFormatting>
  <conditionalFormatting sqref="T231:V231">
    <cfRule type="cellIs" dxfId="0" priority="14231" operator="equal">
      <formula>"欠"</formula>
    </cfRule>
  </conditionalFormatting>
  <conditionalFormatting sqref="AL231:AM231">
    <cfRule type="cellIs" dxfId="1" priority="14205" operator="equal">
      <formula>"未完成"</formula>
    </cfRule>
    <cfRule type="cellIs" dxfId="0" priority="14218" operator="equal">
      <formula>"未完成"</formula>
    </cfRule>
  </conditionalFormatting>
  <conditionalFormatting sqref="R232">
    <cfRule type="cellIs" dxfId="0" priority="14256" operator="equal">
      <formula>"欠"</formula>
    </cfRule>
  </conditionalFormatting>
  <conditionalFormatting sqref="S232">
    <cfRule type="cellIs" dxfId="0" priority="14243" operator="equal">
      <formula>"欠"</formula>
    </cfRule>
  </conditionalFormatting>
  <conditionalFormatting sqref="T232:V232">
    <cfRule type="cellIs" dxfId="0" priority="14230" operator="equal">
      <formula>"欠"</formula>
    </cfRule>
  </conditionalFormatting>
  <conditionalFormatting sqref="AL232:AM232">
    <cfRule type="cellIs" dxfId="1" priority="14204" operator="equal">
      <formula>"未完成"</formula>
    </cfRule>
    <cfRule type="cellIs" dxfId="0" priority="14217" operator="equal">
      <formula>"未完成"</formula>
    </cfRule>
  </conditionalFormatting>
  <conditionalFormatting sqref="R233">
    <cfRule type="cellIs" dxfId="0" priority="14255" operator="equal">
      <formula>"欠"</formula>
    </cfRule>
  </conditionalFormatting>
  <conditionalFormatting sqref="S233">
    <cfRule type="cellIs" dxfId="0" priority="14242" operator="equal">
      <formula>"欠"</formula>
    </cfRule>
  </conditionalFormatting>
  <conditionalFormatting sqref="T233:V233">
    <cfRule type="cellIs" dxfId="0" priority="14229" operator="equal">
      <formula>"欠"</formula>
    </cfRule>
  </conditionalFormatting>
  <conditionalFormatting sqref="AL233:AM233">
    <cfRule type="cellIs" dxfId="1" priority="14203" operator="equal">
      <formula>"未完成"</formula>
    </cfRule>
    <cfRule type="cellIs" dxfId="0" priority="14216" operator="equal">
      <formula>"未完成"</formula>
    </cfRule>
  </conditionalFormatting>
  <conditionalFormatting sqref="R234">
    <cfRule type="cellIs" dxfId="0" priority="14254" operator="equal">
      <formula>"欠"</formula>
    </cfRule>
  </conditionalFormatting>
  <conditionalFormatting sqref="S234">
    <cfRule type="cellIs" dxfId="0" priority="14241" operator="equal">
      <formula>"欠"</formula>
    </cfRule>
  </conditionalFormatting>
  <conditionalFormatting sqref="T234:V234">
    <cfRule type="cellIs" dxfId="0" priority="14228" operator="equal">
      <formula>"欠"</formula>
    </cfRule>
  </conditionalFormatting>
  <conditionalFormatting sqref="AL234:AM234">
    <cfRule type="cellIs" dxfId="1" priority="14202" operator="equal">
      <formula>"未完成"</formula>
    </cfRule>
    <cfRule type="cellIs" dxfId="0" priority="14215" operator="equal">
      <formula>"未完成"</formula>
    </cfRule>
  </conditionalFormatting>
  <conditionalFormatting sqref="R235">
    <cfRule type="cellIs" dxfId="0" priority="14253" operator="equal">
      <formula>"欠"</formula>
    </cfRule>
  </conditionalFormatting>
  <conditionalFormatting sqref="AL235:AM235">
    <cfRule type="cellIs" dxfId="1" priority="14201" operator="equal">
      <formula>"未完成"</formula>
    </cfRule>
    <cfRule type="cellIs" dxfId="0" priority="14214" operator="equal">
      <formula>"未完成"</formula>
    </cfRule>
  </conditionalFormatting>
  <conditionalFormatting sqref="R236">
    <cfRule type="cellIs" dxfId="0" priority="14252" operator="equal">
      <formula>"欠"</formula>
    </cfRule>
  </conditionalFormatting>
  <conditionalFormatting sqref="S236">
    <cfRule type="cellIs" dxfId="0" priority="14239" operator="equal">
      <formula>"欠"</formula>
    </cfRule>
  </conditionalFormatting>
  <conditionalFormatting sqref="T236:V236">
    <cfRule type="cellIs" dxfId="0" priority="14226" operator="equal">
      <formula>"欠"</formula>
    </cfRule>
  </conditionalFormatting>
  <conditionalFormatting sqref="AL236:AM236">
    <cfRule type="cellIs" dxfId="1" priority="14200" operator="equal">
      <formula>"未完成"</formula>
    </cfRule>
    <cfRule type="cellIs" dxfId="0" priority="14213" operator="equal">
      <formula>"未完成"</formula>
    </cfRule>
  </conditionalFormatting>
  <conditionalFormatting sqref="R237">
    <cfRule type="cellIs" dxfId="0" priority="14251" operator="equal">
      <formula>"欠"</formula>
    </cfRule>
  </conditionalFormatting>
  <conditionalFormatting sqref="S237">
    <cfRule type="cellIs" dxfId="0" priority="14238" operator="equal">
      <formula>"欠"</formula>
    </cfRule>
  </conditionalFormatting>
  <conditionalFormatting sqref="T237:V237">
    <cfRule type="cellIs" dxfId="0" priority="14225" operator="equal">
      <formula>"欠"</formula>
    </cfRule>
  </conditionalFormatting>
  <conditionalFormatting sqref="AL237:AM237">
    <cfRule type="cellIs" dxfId="1" priority="14199" operator="equal">
      <formula>"未完成"</formula>
    </cfRule>
    <cfRule type="cellIs" dxfId="0" priority="14212" operator="equal">
      <formula>"未完成"</formula>
    </cfRule>
  </conditionalFormatting>
  <conditionalFormatting sqref="R238">
    <cfRule type="cellIs" dxfId="0" priority="14250" operator="equal">
      <formula>"欠"</formula>
    </cfRule>
  </conditionalFormatting>
  <conditionalFormatting sqref="S238">
    <cfRule type="cellIs" dxfId="0" priority="14237" operator="equal">
      <formula>"欠"</formula>
    </cfRule>
  </conditionalFormatting>
  <conditionalFormatting sqref="T238:V238">
    <cfRule type="cellIs" dxfId="0" priority="14224" operator="equal">
      <formula>"欠"</formula>
    </cfRule>
  </conditionalFormatting>
  <conditionalFormatting sqref="AL238:AM238">
    <cfRule type="cellIs" dxfId="1" priority="14198" operator="equal">
      <formula>"未完成"</formula>
    </cfRule>
    <cfRule type="cellIs" dxfId="0" priority="14211" operator="equal">
      <formula>"未完成"</formula>
    </cfRule>
  </conditionalFormatting>
  <conditionalFormatting sqref="R239">
    <cfRule type="cellIs" dxfId="0" priority="14107" operator="equal">
      <formula>"欠"</formula>
    </cfRule>
  </conditionalFormatting>
  <conditionalFormatting sqref="S239">
    <cfRule type="cellIs" dxfId="0" priority="14086" operator="equal">
      <formula>"欠"</formula>
    </cfRule>
  </conditionalFormatting>
  <conditionalFormatting sqref="T239:V239">
    <cfRule type="cellIs" dxfId="0" priority="14065" operator="equal">
      <formula>"欠"</formula>
    </cfRule>
  </conditionalFormatting>
  <conditionalFormatting sqref="AL239:AM239">
    <cfRule type="cellIs" dxfId="1" priority="14023" operator="equal">
      <formula>"未完成"</formula>
    </cfRule>
    <cfRule type="cellIs" dxfId="0" priority="14044" operator="equal">
      <formula>"未完成"</formula>
    </cfRule>
  </conditionalFormatting>
  <conditionalFormatting sqref="R240">
    <cfRule type="cellIs" dxfId="0" priority="14106" operator="equal">
      <formula>"欠"</formula>
    </cfRule>
  </conditionalFormatting>
  <conditionalFormatting sqref="S240">
    <cfRule type="cellIs" dxfId="0" priority="14085" operator="equal">
      <formula>"欠"</formula>
    </cfRule>
  </conditionalFormatting>
  <conditionalFormatting sqref="T240:V240">
    <cfRule type="cellIs" dxfId="0" priority="14064" operator="equal">
      <formula>"欠"</formula>
    </cfRule>
  </conditionalFormatting>
  <conditionalFormatting sqref="AL240:AM240">
    <cfRule type="cellIs" dxfId="1" priority="14022" operator="equal">
      <formula>"未完成"</formula>
    </cfRule>
    <cfRule type="cellIs" dxfId="0" priority="14043" operator="equal">
      <formula>"未完成"</formula>
    </cfRule>
  </conditionalFormatting>
  <conditionalFormatting sqref="R241">
    <cfRule type="cellIs" dxfId="0" priority="14105" operator="equal">
      <formula>"欠"</formula>
    </cfRule>
  </conditionalFormatting>
  <conditionalFormatting sqref="AL241:AM241">
    <cfRule type="cellIs" dxfId="1" priority="14021" operator="equal">
      <formula>"未完成"</formula>
    </cfRule>
    <cfRule type="cellIs" dxfId="0" priority="14042" operator="equal">
      <formula>"未完成"</formula>
    </cfRule>
  </conditionalFormatting>
  <conditionalFormatting sqref="R242">
    <cfRule type="cellIs" dxfId="0" priority="14104" operator="equal">
      <formula>"欠"</formula>
    </cfRule>
  </conditionalFormatting>
  <conditionalFormatting sqref="S242">
    <cfRule type="cellIs" dxfId="0" priority="14083" operator="equal">
      <formula>"欠"</formula>
    </cfRule>
  </conditionalFormatting>
  <conditionalFormatting sqref="T242:V242">
    <cfRule type="cellIs" dxfId="0" priority="14062" operator="equal">
      <formula>"欠"</formula>
    </cfRule>
  </conditionalFormatting>
  <conditionalFormatting sqref="AL242:AM242">
    <cfRule type="cellIs" dxfId="1" priority="14020" operator="equal">
      <formula>"未完成"</formula>
    </cfRule>
    <cfRule type="cellIs" dxfId="0" priority="14041" operator="equal">
      <formula>"未完成"</formula>
    </cfRule>
  </conditionalFormatting>
  <conditionalFormatting sqref="R243">
    <cfRule type="cellIs" dxfId="0" priority="14103" operator="equal">
      <formula>"欠"</formula>
    </cfRule>
  </conditionalFormatting>
  <conditionalFormatting sqref="S243">
    <cfRule type="cellIs" dxfId="0" priority="14082" operator="equal">
      <formula>"欠"</formula>
    </cfRule>
  </conditionalFormatting>
  <conditionalFormatting sqref="T243:V243">
    <cfRule type="cellIs" dxfId="0" priority="14061" operator="equal">
      <formula>"欠"</formula>
    </cfRule>
  </conditionalFormatting>
  <conditionalFormatting sqref="AL243:AM243">
    <cfRule type="cellIs" dxfId="1" priority="14019" operator="equal">
      <formula>"未完成"</formula>
    </cfRule>
    <cfRule type="cellIs" dxfId="0" priority="14040" operator="equal">
      <formula>"未完成"</formula>
    </cfRule>
  </conditionalFormatting>
  <conditionalFormatting sqref="R244">
    <cfRule type="cellIs" dxfId="0" priority="14102" operator="equal">
      <formula>"欠"</formula>
    </cfRule>
  </conditionalFormatting>
  <conditionalFormatting sqref="S244">
    <cfRule type="cellIs" dxfId="0" priority="14081" operator="equal">
      <formula>"欠"</formula>
    </cfRule>
  </conditionalFormatting>
  <conditionalFormatting sqref="T244:V244">
    <cfRule type="cellIs" dxfId="0" priority="14060" operator="equal">
      <formula>"欠"</formula>
    </cfRule>
  </conditionalFormatting>
  <conditionalFormatting sqref="AL244:AM244">
    <cfRule type="cellIs" dxfId="1" priority="14018" operator="equal">
      <formula>"未完成"</formula>
    </cfRule>
    <cfRule type="cellIs" dxfId="0" priority="14039" operator="equal">
      <formula>"未完成"</formula>
    </cfRule>
  </conditionalFormatting>
  <conditionalFormatting sqref="R245">
    <cfRule type="cellIs" dxfId="0" priority="14101" operator="equal">
      <formula>"欠"</formula>
    </cfRule>
  </conditionalFormatting>
  <conditionalFormatting sqref="S245">
    <cfRule type="cellIs" dxfId="0" priority="14080" operator="equal">
      <formula>"欠"</formula>
    </cfRule>
  </conditionalFormatting>
  <conditionalFormatting sqref="T245:V245">
    <cfRule type="cellIs" dxfId="0" priority="14059" operator="equal">
      <formula>"欠"</formula>
    </cfRule>
  </conditionalFormatting>
  <conditionalFormatting sqref="AL245:AM245">
    <cfRule type="cellIs" dxfId="1" priority="14017" operator="equal">
      <formula>"未完成"</formula>
    </cfRule>
    <cfRule type="cellIs" dxfId="0" priority="14038" operator="equal">
      <formula>"未完成"</formula>
    </cfRule>
  </conditionalFormatting>
  <conditionalFormatting sqref="R246">
    <cfRule type="cellIs" dxfId="0" priority="14100" operator="equal">
      <formula>"欠"</formula>
    </cfRule>
  </conditionalFormatting>
  <conditionalFormatting sqref="S246">
    <cfRule type="cellIs" dxfId="0" priority="14079" operator="equal">
      <formula>"欠"</formula>
    </cfRule>
  </conditionalFormatting>
  <conditionalFormatting sqref="T246:V246">
    <cfRule type="cellIs" dxfId="0" priority="14058" operator="equal">
      <formula>"欠"</formula>
    </cfRule>
  </conditionalFormatting>
  <conditionalFormatting sqref="AL246:AM246">
    <cfRule type="cellIs" dxfId="1" priority="14016" operator="equal">
      <formula>"未完成"</formula>
    </cfRule>
    <cfRule type="cellIs" dxfId="0" priority="14037" operator="equal">
      <formula>"未完成"</formula>
    </cfRule>
  </conditionalFormatting>
  <conditionalFormatting sqref="R247">
    <cfRule type="cellIs" dxfId="0" priority="14099" operator="equal">
      <formula>"欠"</formula>
    </cfRule>
  </conditionalFormatting>
  <conditionalFormatting sqref="S247">
    <cfRule type="cellIs" dxfId="0" priority="14078" operator="equal">
      <formula>"欠"</formula>
    </cfRule>
  </conditionalFormatting>
  <conditionalFormatting sqref="T247:V247">
    <cfRule type="cellIs" dxfId="0" priority="14057" operator="equal">
      <formula>"欠"</formula>
    </cfRule>
  </conditionalFormatting>
  <conditionalFormatting sqref="AL247:AM247">
    <cfRule type="cellIs" dxfId="1" priority="14015" operator="equal">
      <formula>"未完成"</formula>
    </cfRule>
    <cfRule type="cellIs" dxfId="0" priority="14036" operator="equal">
      <formula>"未完成"</formula>
    </cfRule>
  </conditionalFormatting>
  <conditionalFormatting sqref="R248">
    <cfRule type="cellIs" dxfId="0" priority="14098" operator="equal">
      <formula>"欠"</formula>
    </cfRule>
  </conditionalFormatting>
  <conditionalFormatting sqref="S248">
    <cfRule type="cellIs" dxfId="0" priority="14077" operator="equal">
      <formula>"欠"</formula>
    </cfRule>
  </conditionalFormatting>
  <conditionalFormatting sqref="T248:V248">
    <cfRule type="cellIs" dxfId="0" priority="14056" operator="equal">
      <formula>"欠"</formula>
    </cfRule>
  </conditionalFormatting>
  <conditionalFormatting sqref="AL248:AM248">
    <cfRule type="cellIs" dxfId="1" priority="14014" operator="equal">
      <formula>"未完成"</formula>
    </cfRule>
    <cfRule type="cellIs" dxfId="0" priority="14035" operator="equal">
      <formula>"未完成"</formula>
    </cfRule>
  </conditionalFormatting>
  <conditionalFormatting sqref="R249">
    <cfRule type="cellIs" dxfId="0" priority="14097" operator="equal">
      <formula>"欠"</formula>
    </cfRule>
  </conditionalFormatting>
  <conditionalFormatting sqref="S249">
    <cfRule type="cellIs" dxfId="0" priority="14076" operator="equal">
      <formula>"欠"</formula>
    </cfRule>
  </conditionalFormatting>
  <conditionalFormatting sqref="T249:V249">
    <cfRule type="cellIs" dxfId="0" priority="14055" operator="equal">
      <formula>"欠"</formula>
    </cfRule>
  </conditionalFormatting>
  <conditionalFormatting sqref="AL249:AM249">
    <cfRule type="cellIs" dxfId="1" priority="14013" operator="equal">
      <formula>"未完成"</formula>
    </cfRule>
    <cfRule type="cellIs" dxfId="0" priority="14034" operator="equal">
      <formula>"未完成"</formula>
    </cfRule>
  </conditionalFormatting>
  <conditionalFormatting sqref="R250">
    <cfRule type="cellIs" dxfId="0" priority="14096" operator="equal">
      <formula>"欠"</formula>
    </cfRule>
  </conditionalFormatting>
  <conditionalFormatting sqref="S250">
    <cfRule type="cellIs" dxfId="0" priority="14075" operator="equal">
      <formula>"欠"</formula>
    </cfRule>
  </conditionalFormatting>
  <conditionalFormatting sqref="T250:V250">
    <cfRule type="cellIs" dxfId="0" priority="14054" operator="equal">
      <formula>"欠"</formula>
    </cfRule>
  </conditionalFormatting>
  <conditionalFormatting sqref="AL250:AM250">
    <cfRule type="cellIs" dxfId="1" priority="14012" operator="equal">
      <formula>"未完成"</formula>
    </cfRule>
    <cfRule type="cellIs" dxfId="0" priority="14033" operator="equal">
      <formula>"未完成"</formula>
    </cfRule>
  </conditionalFormatting>
  <conditionalFormatting sqref="R251">
    <cfRule type="cellIs" dxfId="0" priority="14095" operator="equal">
      <formula>"欠"</formula>
    </cfRule>
  </conditionalFormatting>
  <conditionalFormatting sqref="S251">
    <cfRule type="cellIs" dxfId="0" priority="14074" operator="equal">
      <formula>"欠"</formula>
    </cfRule>
  </conditionalFormatting>
  <conditionalFormatting sqref="T251:V251">
    <cfRule type="cellIs" dxfId="0" priority="14053" operator="equal">
      <formula>"欠"</formula>
    </cfRule>
  </conditionalFormatting>
  <conditionalFormatting sqref="AL251:AM251">
    <cfRule type="cellIs" dxfId="1" priority="14011" operator="equal">
      <formula>"未完成"</formula>
    </cfRule>
    <cfRule type="cellIs" dxfId="0" priority="14032" operator="equal">
      <formula>"未完成"</formula>
    </cfRule>
  </conditionalFormatting>
  <conditionalFormatting sqref="R252">
    <cfRule type="cellIs" dxfId="0" priority="14094" operator="equal">
      <formula>"欠"</formula>
    </cfRule>
  </conditionalFormatting>
  <conditionalFormatting sqref="S252">
    <cfRule type="cellIs" dxfId="0" priority="14073" operator="equal">
      <formula>"欠"</formula>
    </cfRule>
  </conditionalFormatting>
  <conditionalFormatting sqref="T252:V252">
    <cfRule type="cellIs" dxfId="0" priority="14052" operator="equal">
      <formula>"欠"</formula>
    </cfRule>
  </conditionalFormatting>
  <conditionalFormatting sqref="AL252:AM252">
    <cfRule type="cellIs" dxfId="1" priority="14010" operator="equal">
      <formula>"未完成"</formula>
    </cfRule>
    <cfRule type="cellIs" dxfId="0" priority="14031" operator="equal">
      <formula>"未完成"</formula>
    </cfRule>
  </conditionalFormatting>
  <conditionalFormatting sqref="R253">
    <cfRule type="cellIs" dxfId="0" priority="14093" operator="equal">
      <formula>"欠"</formula>
    </cfRule>
  </conditionalFormatting>
  <conditionalFormatting sqref="S253">
    <cfRule type="cellIs" dxfId="0" priority="14072" operator="equal">
      <formula>"欠"</formula>
    </cfRule>
  </conditionalFormatting>
  <conditionalFormatting sqref="T253:V253">
    <cfRule type="cellIs" dxfId="0" priority="14051" operator="equal">
      <formula>"欠"</formula>
    </cfRule>
  </conditionalFormatting>
  <conditionalFormatting sqref="AL253:AM253">
    <cfRule type="cellIs" dxfId="1" priority="14009" operator="equal">
      <formula>"未完成"</formula>
    </cfRule>
    <cfRule type="cellIs" dxfId="0" priority="14030" operator="equal">
      <formula>"未完成"</formula>
    </cfRule>
  </conditionalFormatting>
  <conditionalFormatting sqref="R254">
    <cfRule type="cellIs" dxfId="0" priority="14092" operator="equal">
      <formula>"欠"</formula>
    </cfRule>
  </conditionalFormatting>
  <conditionalFormatting sqref="S254">
    <cfRule type="cellIs" dxfId="0" priority="14071" operator="equal">
      <formula>"欠"</formula>
    </cfRule>
  </conditionalFormatting>
  <conditionalFormatting sqref="T254:V254">
    <cfRule type="cellIs" dxfId="0" priority="14050" operator="equal">
      <formula>"欠"</formula>
    </cfRule>
  </conditionalFormatting>
  <conditionalFormatting sqref="AL254:AM254">
    <cfRule type="cellIs" dxfId="1" priority="14008" operator="equal">
      <formula>"未完成"</formula>
    </cfRule>
    <cfRule type="cellIs" dxfId="0" priority="14029" operator="equal">
      <formula>"未完成"</formula>
    </cfRule>
  </conditionalFormatting>
  <conditionalFormatting sqref="R255">
    <cfRule type="cellIs" dxfId="0" priority="14091" operator="equal">
      <formula>"欠"</formula>
    </cfRule>
  </conditionalFormatting>
  <conditionalFormatting sqref="S255">
    <cfRule type="cellIs" dxfId="0" priority="14070" operator="equal">
      <formula>"欠"</formula>
    </cfRule>
  </conditionalFormatting>
  <conditionalFormatting sqref="T255:V255">
    <cfRule type="cellIs" dxfId="0" priority="14049" operator="equal">
      <formula>"欠"</formula>
    </cfRule>
  </conditionalFormatting>
  <conditionalFormatting sqref="AL255:AM255">
    <cfRule type="cellIs" dxfId="1" priority="14007" operator="equal">
      <formula>"未完成"</formula>
    </cfRule>
    <cfRule type="cellIs" dxfId="0" priority="14028" operator="equal">
      <formula>"未完成"</formula>
    </cfRule>
  </conditionalFormatting>
  <conditionalFormatting sqref="R256">
    <cfRule type="cellIs" dxfId="0" priority="14090" operator="equal">
      <formula>"欠"</formula>
    </cfRule>
  </conditionalFormatting>
  <conditionalFormatting sqref="S256">
    <cfRule type="cellIs" dxfId="0" priority="14069" operator="equal">
      <formula>"欠"</formula>
    </cfRule>
  </conditionalFormatting>
  <conditionalFormatting sqref="T256:V256">
    <cfRule type="cellIs" dxfId="0" priority="14048" operator="equal">
      <formula>"欠"</formula>
    </cfRule>
  </conditionalFormatting>
  <conditionalFormatting sqref="AL256:AM256">
    <cfRule type="cellIs" dxfId="1" priority="14006" operator="equal">
      <formula>"未完成"</formula>
    </cfRule>
    <cfRule type="cellIs" dxfId="0" priority="14027" operator="equal">
      <formula>"未完成"</formula>
    </cfRule>
  </conditionalFormatting>
  <conditionalFormatting sqref="R257">
    <cfRule type="cellIs" dxfId="0" priority="14089" operator="equal">
      <formula>"欠"</formula>
    </cfRule>
  </conditionalFormatting>
  <conditionalFormatting sqref="S257">
    <cfRule type="cellIs" dxfId="0" priority="14068" operator="equal">
      <formula>"欠"</formula>
    </cfRule>
  </conditionalFormatting>
  <conditionalFormatting sqref="T257:V257">
    <cfRule type="cellIs" dxfId="0" priority="14047" operator="equal">
      <formula>"欠"</formula>
    </cfRule>
  </conditionalFormatting>
  <conditionalFormatting sqref="AL257:AM257">
    <cfRule type="cellIs" dxfId="1" priority="14005" operator="equal">
      <formula>"未完成"</formula>
    </cfRule>
    <cfRule type="cellIs" dxfId="0" priority="14026" operator="equal">
      <formula>"未完成"</formula>
    </cfRule>
  </conditionalFormatting>
  <conditionalFormatting sqref="R258">
    <cfRule type="cellIs" dxfId="0" priority="14087" operator="equal">
      <formula>"欠"</formula>
    </cfRule>
  </conditionalFormatting>
  <conditionalFormatting sqref="S258">
    <cfRule type="cellIs" dxfId="0" priority="14066" operator="equal">
      <formula>"欠"</formula>
    </cfRule>
  </conditionalFormatting>
  <conditionalFormatting sqref="T258:V258">
    <cfRule type="cellIs" dxfId="0" priority="14045" operator="equal">
      <formula>"欠"</formula>
    </cfRule>
  </conditionalFormatting>
  <conditionalFormatting sqref="AL258:AM258">
    <cfRule type="cellIs" dxfId="1" priority="14003" operator="equal">
      <formula>"未完成"</formula>
    </cfRule>
    <cfRule type="cellIs" dxfId="0" priority="14024" operator="equal">
      <formula>"未完成"</formula>
    </cfRule>
  </conditionalFormatting>
  <conditionalFormatting sqref="R259">
    <cfRule type="cellIs" dxfId="0" priority="13821" operator="equal">
      <formula>"欠"</formula>
    </cfRule>
  </conditionalFormatting>
  <conditionalFormatting sqref="S259">
    <cfRule type="cellIs" dxfId="0" priority="13777" operator="equal">
      <formula>"欠"</formula>
    </cfRule>
  </conditionalFormatting>
  <conditionalFormatting sqref="T259:V259">
    <cfRule type="cellIs" dxfId="0" priority="13733" operator="equal">
      <formula>"欠"</formula>
    </cfRule>
  </conditionalFormatting>
  <conditionalFormatting sqref="AL259:AM259">
    <cfRule type="cellIs" dxfId="1" priority="13645" operator="equal">
      <formula>"未完成"</formula>
    </cfRule>
    <cfRule type="cellIs" dxfId="0" priority="13689" operator="equal">
      <formula>"未完成"</formula>
    </cfRule>
  </conditionalFormatting>
  <conditionalFormatting sqref="R260">
    <cfRule type="cellIs" dxfId="0" priority="13820" operator="equal">
      <formula>"欠"</formula>
    </cfRule>
  </conditionalFormatting>
  <conditionalFormatting sqref="S260">
    <cfRule type="cellIs" dxfId="0" priority="13776" operator="equal">
      <formula>"欠"</formula>
    </cfRule>
  </conditionalFormatting>
  <conditionalFormatting sqref="T260:V260">
    <cfRule type="cellIs" dxfId="0" priority="13732" operator="equal">
      <formula>"欠"</formula>
    </cfRule>
  </conditionalFormatting>
  <conditionalFormatting sqref="AL260:AM260">
    <cfRule type="cellIs" dxfId="1" priority="13644" operator="equal">
      <formula>"未完成"</formula>
    </cfRule>
    <cfRule type="cellIs" dxfId="0" priority="13688" operator="equal">
      <formula>"未完成"</formula>
    </cfRule>
  </conditionalFormatting>
  <conditionalFormatting sqref="R261">
    <cfRule type="cellIs" dxfId="0" priority="13819" operator="equal">
      <formula>"欠"</formula>
    </cfRule>
  </conditionalFormatting>
  <conditionalFormatting sqref="T261:V261">
    <cfRule type="cellIs" dxfId="0" priority="13731" operator="equal">
      <formula>"欠"</formula>
    </cfRule>
  </conditionalFormatting>
  <conditionalFormatting sqref="AL261:AM261">
    <cfRule type="cellIs" dxfId="1" priority="13643" operator="equal">
      <formula>"未完成"</formula>
    </cfRule>
    <cfRule type="cellIs" dxfId="0" priority="13687" operator="equal">
      <formula>"未完成"</formula>
    </cfRule>
  </conditionalFormatting>
  <conditionalFormatting sqref="R262">
    <cfRule type="cellIs" dxfId="0" priority="13818" operator="equal">
      <formula>"欠"</formula>
    </cfRule>
  </conditionalFormatting>
  <conditionalFormatting sqref="S262">
    <cfRule type="cellIs" dxfId="0" priority="13774" operator="equal">
      <formula>"欠"</formula>
    </cfRule>
  </conditionalFormatting>
  <conditionalFormatting sqref="T262:V262">
    <cfRule type="cellIs" dxfId="0" priority="13730" operator="equal">
      <formula>"欠"</formula>
    </cfRule>
  </conditionalFormatting>
  <conditionalFormatting sqref="AL262:AM262">
    <cfRule type="cellIs" dxfId="1" priority="13642" operator="equal">
      <formula>"未完成"</formula>
    </cfRule>
    <cfRule type="cellIs" dxfId="0" priority="13686" operator="equal">
      <formula>"未完成"</formula>
    </cfRule>
  </conditionalFormatting>
  <conditionalFormatting sqref="R263">
    <cfRule type="cellIs" dxfId="0" priority="13817" operator="equal">
      <formula>"欠"</formula>
    </cfRule>
  </conditionalFormatting>
  <conditionalFormatting sqref="S263">
    <cfRule type="cellIs" dxfId="0" priority="13773" operator="equal">
      <formula>"欠"</formula>
    </cfRule>
  </conditionalFormatting>
  <conditionalFormatting sqref="T263:V263">
    <cfRule type="cellIs" dxfId="0" priority="13729" operator="equal">
      <formula>"欠"</formula>
    </cfRule>
  </conditionalFormatting>
  <conditionalFormatting sqref="AL263:AM263">
    <cfRule type="cellIs" dxfId="1" priority="13641" operator="equal">
      <formula>"未完成"</formula>
    </cfRule>
    <cfRule type="cellIs" dxfId="0" priority="13685" operator="equal">
      <formula>"未完成"</formula>
    </cfRule>
  </conditionalFormatting>
  <conditionalFormatting sqref="R264">
    <cfRule type="cellIs" dxfId="0" priority="13816" operator="equal">
      <formula>"欠"</formula>
    </cfRule>
  </conditionalFormatting>
  <conditionalFormatting sqref="S264">
    <cfRule type="cellIs" dxfId="0" priority="13772" operator="equal">
      <formula>"欠"</formula>
    </cfRule>
  </conditionalFormatting>
  <conditionalFormatting sqref="T264:V264">
    <cfRule type="cellIs" dxfId="0" priority="13728" operator="equal">
      <formula>"欠"</formula>
    </cfRule>
  </conditionalFormatting>
  <conditionalFormatting sqref="AL264:AM264">
    <cfRule type="cellIs" dxfId="1" priority="13640" operator="equal">
      <formula>"未完成"</formula>
    </cfRule>
    <cfRule type="cellIs" dxfId="0" priority="13684" operator="equal">
      <formula>"未完成"</formula>
    </cfRule>
  </conditionalFormatting>
  <conditionalFormatting sqref="R265">
    <cfRule type="cellIs" dxfId="0" priority="13815" operator="equal">
      <formula>"欠"</formula>
    </cfRule>
  </conditionalFormatting>
  <conditionalFormatting sqref="S265">
    <cfRule type="cellIs" dxfId="0" priority="13771" operator="equal">
      <formula>"欠"</formula>
    </cfRule>
  </conditionalFormatting>
  <conditionalFormatting sqref="T265:V265">
    <cfRule type="cellIs" dxfId="0" priority="13727" operator="equal">
      <formula>"欠"</formula>
    </cfRule>
  </conditionalFormatting>
  <conditionalFormatting sqref="AL265:AM265">
    <cfRule type="cellIs" dxfId="1" priority="13639" operator="equal">
      <formula>"未完成"</formula>
    </cfRule>
    <cfRule type="cellIs" dxfId="0" priority="13683" operator="equal">
      <formula>"未完成"</formula>
    </cfRule>
  </conditionalFormatting>
  <conditionalFormatting sqref="R266">
    <cfRule type="cellIs" dxfId="0" priority="13814" operator="equal">
      <formula>"欠"</formula>
    </cfRule>
  </conditionalFormatting>
  <conditionalFormatting sqref="S266">
    <cfRule type="cellIs" dxfId="0" priority="13770" operator="equal">
      <formula>"欠"</formula>
    </cfRule>
  </conditionalFormatting>
  <conditionalFormatting sqref="T266:V266">
    <cfRule type="cellIs" dxfId="0" priority="13726" operator="equal">
      <formula>"欠"</formula>
    </cfRule>
  </conditionalFormatting>
  <conditionalFormatting sqref="AL266:AM266">
    <cfRule type="cellIs" dxfId="1" priority="13638" operator="equal">
      <formula>"未完成"</formula>
    </cfRule>
    <cfRule type="cellIs" dxfId="0" priority="13682" operator="equal">
      <formula>"未完成"</formula>
    </cfRule>
  </conditionalFormatting>
  <conditionalFormatting sqref="R267">
    <cfRule type="cellIs" dxfId="0" priority="13813" operator="equal">
      <formula>"欠"</formula>
    </cfRule>
  </conditionalFormatting>
  <conditionalFormatting sqref="S267">
    <cfRule type="cellIs" dxfId="0" priority="13769" operator="equal">
      <formula>"欠"</formula>
    </cfRule>
  </conditionalFormatting>
  <conditionalFormatting sqref="T267:V267">
    <cfRule type="cellIs" dxfId="0" priority="13725" operator="equal">
      <formula>"欠"</formula>
    </cfRule>
  </conditionalFormatting>
  <conditionalFormatting sqref="AL267:AM267">
    <cfRule type="cellIs" dxfId="1" priority="13637" operator="equal">
      <formula>"未完成"</formula>
    </cfRule>
    <cfRule type="cellIs" dxfId="0" priority="13681" operator="equal">
      <formula>"未完成"</formula>
    </cfRule>
  </conditionalFormatting>
  <conditionalFormatting sqref="R268">
    <cfRule type="cellIs" dxfId="0" priority="13812" operator="equal">
      <formula>"欠"</formula>
    </cfRule>
  </conditionalFormatting>
  <conditionalFormatting sqref="S268">
    <cfRule type="cellIs" dxfId="0" priority="13768" operator="equal">
      <formula>"欠"</formula>
    </cfRule>
  </conditionalFormatting>
  <conditionalFormatting sqref="T268:V268">
    <cfRule type="cellIs" dxfId="0" priority="13724" operator="equal">
      <formula>"欠"</formula>
    </cfRule>
  </conditionalFormatting>
  <conditionalFormatting sqref="AL268:AM268">
    <cfRule type="cellIs" dxfId="1" priority="13636" operator="equal">
      <formula>"未完成"</formula>
    </cfRule>
    <cfRule type="cellIs" dxfId="0" priority="13680" operator="equal">
      <formula>"未完成"</formula>
    </cfRule>
  </conditionalFormatting>
  <conditionalFormatting sqref="R269">
    <cfRule type="cellIs" dxfId="0" priority="13811" operator="equal">
      <formula>"欠"</formula>
    </cfRule>
  </conditionalFormatting>
  <conditionalFormatting sqref="S269">
    <cfRule type="cellIs" dxfId="0" priority="13767" operator="equal">
      <formula>"欠"</formula>
    </cfRule>
  </conditionalFormatting>
  <conditionalFormatting sqref="T269:V269">
    <cfRule type="cellIs" dxfId="0" priority="13723" operator="equal">
      <formula>"欠"</formula>
    </cfRule>
  </conditionalFormatting>
  <conditionalFormatting sqref="AL269:AM269">
    <cfRule type="cellIs" dxfId="1" priority="13635" operator="equal">
      <formula>"未完成"</formula>
    </cfRule>
    <cfRule type="cellIs" dxfId="0" priority="13679" operator="equal">
      <formula>"未完成"</formula>
    </cfRule>
  </conditionalFormatting>
  <conditionalFormatting sqref="R270">
    <cfRule type="cellIs" dxfId="0" priority="13810" operator="equal">
      <formula>"欠"</formula>
    </cfRule>
  </conditionalFormatting>
  <conditionalFormatting sqref="S270">
    <cfRule type="cellIs" dxfId="0" priority="13766" operator="equal">
      <formula>"欠"</formula>
    </cfRule>
  </conditionalFormatting>
  <conditionalFormatting sqref="T270:V270">
    <cfRule type="cellIs" dxfId="0" priority="13722" operator="equal">
      <formula>"欠"</formula>
    </cfRule>
  </conditionalFormatting>
  <conditionalFormatting sqref="AL270:AM270">
    <cfRule type="cellIs" dxfId="1" priority="13634" operator="equal">
      <formula>"未完成"</formula>
    </cfRule>
    <cfRule type="cellIs" dxfId="0" priority="13678" operator="equal">
      <formula>"未完成"</formula>
    </cfRule>
  </conditionalFormatting>
  <conditionalFormatting sqref="R271">
    <cfRule type="cellIs" dxfId="0" priority="13809" operator="equal">
      <formula>"欠"</formula>
    </cfRule>
  </conditionalFormatting>
  <conditionalFormatting sqref="S271">
    <cfRule type="cellIs" dxfId="0" priority="13765" operator="equal">
      <formula>"欠"</formula>
    </cfRule>
  </conditionalFormatting>
  <conditionalFormatting sqref="T271:V271">
    <cfRule type="cellIs" dxfId="0" priority="13721" operator="equal">
      <formula>"欠"</formula>
    </cfRule>
  </conditionalFormatting>
  <conditionalFormatting sqref="AL271:AM271">
    <cfRule type="cellIs" dxfId="1" priority="13633" operator="equal">
      <formula>"未完成"</formula>
    </cfRule>
    <cfRule type="cellIs" dxfId="0" priority="13677" operator="equal">
      <formula>"未完成"</formula>
    </cfRule>
  </conditionalFormatting>
  <conditionalFormatting sqref="R272">
    <cfRule type="cellIs" dxfId="0" priority="13808" operator="equal">
      <formula>"欠"</formula>
    </cfRule>
  </conditionalFormatting>
  <conditionalFormatting sqref="S272">
    <cfRule type="cellIs" dxfId="0" priority="13764" operator="equal">
      <formula>"欠"</formula>
    </cfRule>
  </conditionalFormatting>
  <conditionalFormatting sqref="T272:V272">
    <cfRule type="cellIs" dxfId="0" priority="13720" operator="equal">
      <formula>"欠"</formula>
    </cfRule>
  </conditionalFormatting>
  <conditionalFormatting sqref="AL272:AM272">
    <cfRule type="cellIs" dxfId="1" priority="13632" operator="equal">
      <formula>"未完成"</formula>
    </cfRule>
    <cfRule type="cellIs" dxfId="0" priority="13676" operator="equal">
      <formula>"未完成"</formula>
    </cfRule>
  </conditionalFormatting>
  <conditionalFormatting sqref="R273">
    <cfRule type="cellIs" dxfId="0" priority="13807" operator="equal">
      <formula>"欠"</formula>
    </cfRule>
  </conditionalFormatting>
  <conditionalFormatting sqref="S273">
    <cfRule type="cellIs" dxfId="0" priority="13763" operator="equal">
      <formula>"欠"</formula>
    </cfRule>
  </conditionalFormatting>
  <conditionalFormatting sqref="T273:V273">
    <cfRule type="cellIs" dxfId="0" priority="13719" operator="equal">
      <formula>"欠"</formula>
    </cfRule>
  </conditionalFormatting>
  <conditionalFormatting sqref="AL273:AM273">
    <cfRule type="cellIs" dxfId="1" priority="13631" operator="equal">
      <formula>"未完成"</formula>
    </cfRule>
    <cfRule type="cellIs" dxfId="0" priority="13675" operator="equal">
      <formula>"未完成"</formula>
    </cfRule>
  </conditionalFormatting>
  <conditionalFormatting sqref="R274">
    <cfRule type="cellIs" dxfId="0" priority="13806" operator="equal">
      <formula>"欠"</formula>
    </cfRule>
  </conditionalFormatting>
  <conditionalFormatting sqref="S274">
    <cfRule type="cellIs" dxfId="0" priority="13762" operator="equal">
      <formula>"欠"</formula>
    </cfRule>
  </conditionalFormatting>
  <conditionalFormatting sqref="T274:V274">
    <cfRule type="cellIs" dxfId="0" priority="13718" operator="equal">
      <formula>"欠"</formula>
    </cfRule>
  </conditionalFormatting>
  <conditionalFormatting sqref="AL274:AM274">
    <cfRule type="cellIs" dxfId="1" priority="13630" operator="equal">
      <formula>"未完成"</formula>
    </cfRule>
    <cfRule type="cellIs" dxfId="0" priority="13674" operator="equal">
      <formula>"未完成"</formula>
    </cfRule>
  </conditionalFormatting>
  <conditionalFormatting sqref="R275">
    <cfRule type="cellIs" dxfId="0" priority="13805" operator="equal">
      <formula>"欠"</formula>
    </cfRule>
  </conditionalFormatting>
  <conditionalFormatting sqref="S275">
    <cfRule type="cellIs" dxfId="0" priority="13761" operator="equal">
      <formula>"欠"</formula>
    </cfRule>
  </conditionalFormatting>
  <conditionalFormatting sqref="T275:V275">
    <cfRule type="cellIs" dxfId="0" priority="13717" operator="equal">
      <formula>"欠"</formula>
    </cfRule>
  </conditionalFormatting>
  <conditionalFormatting sqref="AL275:AM275">
    <cfRule type="cellIs" dxfId="1" priority="13629" operator="equal">
      <formula>"未完成"</formula>
    </cfRule>
    <cfRule type="cellIs" dxfId="0" priority="13673" operator="equal">
      <formula>"未完成"</formula>
    </cfRule>
  </conditionalFormatting>
  <conditionalFormatting sqref="R276">
    <cfRule type="cellIs" dxfId="0" priority="13804" operator="equal">
      <formula>"欠"</formula>
    </cfRule>
  </conditionalFormatting>
  <conditionalFormatting sqref="S276">
    <cfRule type="cellIs" dxfId="0" priority="13760" operator="equal">
      <formula>"欠"</formula>
    </cfRule>
  </conditionalFormatting>
  <conditionalFormatting sqref="T276:V276">
    <cfRule type="cellIs" dxfId="0" priority="13716" operator="equal">
      <formula>"欠"</formula>
    </cfRule>
  </conditionalFormatting>
  <conditionalFormatting sqref="AL276:AM276">
    <cfRule type="cellIs" dxfId="1" priority="13628" operator="equal">
      <formula>"未完成"</formula>
    </cfRule>
    <cfRule type="cellIs" dxfId="0" priority="13672" operator="equal">
      <formula>"未完成"</formula>
    </cfRule>
  </conditionalFormatting>
  <conditionalFormatting sqref="R277">
    <cfRule type="cellIs" dxfId="0" priority="13803" operator="equal">
      <formula>"欠"</formula>
    </cfRule>
  </conditionalFormatting>
  <conditionalFormatting sqref="S277">
    <cfRule type="cellIs" dxfId="0" priority="13759" operator="equal">
      <formula>"欠"</formula>
    </cfRule>
  </conditionalFormatting>
  <conditionalFormatting sqref="T277:V277">
    <cfRule type="cellIs" dxfId="0" priority="13715" operator="equal">
      <formula>"欠"</formula>
    </cfRule>
  </conditionalFormatting>
  <conditionalFormatting sqref="AL277:AM277">
    <cfRule type="cellIs" dxfId="1" priority="13627" operator="equal">
      <formula>"未完成"</formula>
    </cfRule>
    <cfRule type="cellIs" dxfId="0" priority="13671" operator="equal">
      <formula>"未完成"</formula>
    </cfRule>
  </conditionalFormatting>
  <conditionalFormatting sqref="R278">
    <cfRule type="cellIs" dxfId="0" priority="13802" operator="equal">
      <formula>"欠"</formula>
    </cfRule>
  </conditionalFormatting>
  <conditionalFormatting sqref="S278">
    <cfRule type="cellIs" dxfId="0" priority="13758" operator="equal">
      <formula>"欠"</formula>
    </cfRule>
  </conditionalFormatting>
  <conditionalFormatting sqref="T278:V278">
    <cfRule type="cellIs" dxfId="0" priority="13714" operator="equal">
      <formula>"欠"</formula>
    </cfRule>
  </conditionalFormatting>
  <conditionalFormatting sqref="AL278:AM278">
    <cfRule type="cellIs" dxfId="1" priority="13626" operator="equal">
      <formula>"未完成"</formula>
    </cfRule>
    <cfRule type="cellIs" dxfId="0" priority="13670" operator="equal">
      <formula>"未完成"</formula>
    </cfRule>
  </conditionalFormatting>
  <conditionalFormatting sqref="R279">
    <cfRule type="cellIs" dxfId="0" priority="13801" operator="equal">
      <formula>"欠"</formula>
    </cfRule>
  </conditionalFormatting>
  <conditionalFormatting sqref="S279">
    <cfRule type="cellIs" dxfId="0" priority="13757" operator="equal">
      <formula>"欠"</formula>
    </cfRule>
  </conditionalFormatting>
  <conditionalFormatting sqref="T279:V279">
    <cfRule type="cellIs" dxfId="0" priority="13713" operator="equal">
      <formula>"欠"</formula>
    </cfRule>
  </conditionalFormatting>
  <conditionalFormatting sqref="AL279:AM279">
    <cfRule type="cellIs" dxfId="1" priority="13625" operator="equal">
      <formula>"未完成"</formula>
    </cfRule>
    <cfRule type="cellIs" dxfId="0" priority="13669" operator="equal">
      <formula>"未完成"</formula>
    </cfRule>
  </conditionalFormatting>
  <conditionalFormatting sqref="R280">
    <cfRule type="cellIs" dxfId="0" priority="13800" operator="equal">
      <formula>"欠"</formula>
    </cfRule>
  </conditionalFormatting>
  <conditionalFormatting sqref="S280">
    <cfRule type="cellIs" dxfId="0" priority="13756" operator="equal">
      <formula>"欠"</formula>
    </cfRule>
  </conditionalFormatting>
  <conditionalFormatting sqref="T280:V280">
    <cfRule type="cellIs" dxfId="0" priority="13712" operator="equal">
      <formula>"欠"</formula>
    </cfRule>
  </conditionalFormatting>
  <conditionalFormatting sqref="AL280:AM280">
    <cfRule type="cellIs" dxfId="1" priority="13624" operator="equal">
      <formula>"未完成"</formula>
    </cfRule>
    <cfRule type="cellIs" dxfId="0" priority="13668" operator="equal">
      <formula>"未完成"</formula>
    </cfRule>
  </conditionalFormatting>
  <conditionalFormatting sqref="R281">
    <cfRule type="cellIs" dxfId="0" priority="13799" operator="equal">
      <formula>"欠"</formula>
    </cfRule>
  </conditionalFormatting>
  <conditionalFormatting sqref="S281">
    <cfRule type="cellIs" dxfId="0" priority="13755" operator="equal">
      <formula>"欠"</formula>
    </cfRule>
  </conditionalFormatting>
  <conditionalFormatting sqref="T281:V281">
    <cfRule type="cellIs" dxfId="0" priority="13711" operator="equal">
      <formula>"欠"</formula>
    </cfRule>
  </conditionalFormatting>
  <conditionalFormatting sqref="AL281:AM281">
    <cfRule type="cellIs" dxfId="1" priority="13623" operator="equal">
      <formula>"未完成"</formula>
    </cfRule>
    <cfRule type="cellIs" dxfId="0" priority="13667" operator="equal">
      <formula>"未完成"</formula>
    </cfRule>
  </conditionalFormatting>
  <conditionalFormatting sqref="R282">
    <cfRule type="cellIs" dxfId="0" priority="13798" operator="equal">
      <formula>"欠"</formula>
    </cfRule>
  </conditionalFormatting>
  <conditionalFormatting sqref="S282">
    <cfRule type="cellIs" dxfId="0" priority="13754" operator="equal">
      <formula>"欠"</formula>
    </cfRule>
  </conditionalFormatting>
  <conditionalFormatting sqref="T282:V282">
    <cfRule type="cellIs" dxfId="0" priority="13710" operator="equal">
      <formula>"欠"</formula>
    </cfRule>
  </conditionalFormatting>
  <conditionalFormatting sqref="AL282:AM282">
    <cfRule type="cellIs" dxfId="1" priority="13622" operator="equal">
      <formula>"未完成"</formula>
    </cfRule>
    <cfRule type="cellIs" dxfId="0" priority="13666" operator="equal">
      <formula>"未完成"</formula>
    </cfRule>
  </conditionalFormatting>
  <conditionalFormatting sqref="R283">
    <cfRule type="cellIs" dxfId="0" priority="13797" operator="equal">
      <formula>"欠"</formula>
    </cfRule>
  </conditionalFormatting>
  <conditionalFormatting sqref="S283">
    <cfRule type="cellIs" dxfId="0" priority="13753" operator="equal">
      <formula>"欠"</formula>
    </cfRule>
  </conditionalFormatting>
  <conditionalFormatting sqref="T283:V283">
    <cfRule type="cellIs" dxfId="0" priority="13709" operator="equal">
      <formula>"欠"</formula>
    </cfRule>
  </conditionalFormatting>
  <conditionalFormatting sqref="AL283:AM283">
    <cfRule type="cellIs" dxfId="1" priority="13621" operator="equal">
      <formula>"未完成"</formula>
    </cfRule>
    <cfRule type="cellIs" dxfId="0" priority="13665" operator="equal">
      <formula>"未完成"</formula>
    </cfRule>
  </conditionalFormatting>
  <conditionalFormatting sqref="R284">
    <cfRule type="cellIs" dxfId="0" priority="13796" operator="equal">
      <formula>"欠"</formula>
    </cfRule>
  </conditionalFormatting>
  <conditionalFormatting sqref="S284">
    <cfRule type="cellIs" dxfId="0" priority="13752" operator="equal">
      <formula>"欠"</formula>
    </cfRule>
  </conditionalFormatting>
  <conditionalFormatting sqref="T284:V284">
    <cfRule type="cellIs" dxfId="0" priority="13708" operator="equal">
      <formula>"欠"</formula>
    </cfRule>
  </conditionalFormatting>
  <conditionalFormatting sqref="AL284:AM284">
    <cfRule type="cellIs" dxfId="1" priority="13620" operator="equal">
      <formula>"未完成"</formula>
    </cfRule>
    <cfRule type="cellIs" dxfId="0" priority="13664" operator="equal">
      <formula>"未完成"</formula>
    </cfRule>
  </conditionalFormatting>
  <conditionalFormatting sqref="R285">
    <cfRule type="cellIs" dxfId="0" priority="13795" operator="equal">
      <formula>"欠"</formula>
    </cfRule>
  </conditionalFormatting>
  <conditionalFormatting sqref="S285">
    <cfRule type="cellIs" dxfId="0" priority="13751" operator="equal">
      <formula>"欠"</formula>
    </cfRule>
  </conditionalFormatting>
  <conditionalFormatting sqref="T285:V285">
    <cfRule type="cellIs" dxfId="0" priority="13707" operator="equal">
      <formula>"欠"</formula>
    </cfRule>
  </conditionalFormatting>
  <conditionalFormatting sqref="AL285:AM285">
    <cfRule type="cellIs" dxfId="1" priority="13619" operator="equal">
      <formula>"未完成"</formula>
    </cfRule>
    <cfRule type="cellIs" dxfId="0" priority="13663" operator="equal">
      <formula>"未完成"</formula>
    </cfRule>
  </conditionalFormatting>
  <conditionalFormatting sqref="R286">
    <cfRule type="cellIs" dxfId="0" priority="13794" operator="equal">
      <formula>"欠"</formula>
    </cfRule>
  </conditionalFormatting>
  <conditionalFormatting sqref="S286">
    <cfRule type="cellIs" dxfId="0" priority="13750" operator="equal">
      <formula>"欠"</formula>
    </cfRule>
  </conditionalFormatting>
  <conditionalFormatting sqref="T286:V286">
    <cfRule type="cellIs" dxfId="0" priority="13706" operator="equal">
      <formula>"欠"</formula>
    </cfRule>
  </conditionalFormatting>
  <conditionalFormatting sqref="AL286:AM286">
    <cfRule type="cellIs" dxfId="1" priority="13618" operator="equal">
      <formula>"未完成"</formula>
    </cfRule>
    <cfRule type="cellIs" dxfId="0" priority="13662" operator="equal">
      <formula>"未完成"</formula>
    </cfRule>
  </conditionalFormatting>
  <conditionalFormatting sqref="R287">
    <cfRule type="cellIs" dxfId="0" priority="13793" operator="equal">
      <formula>"欠"</formula>
    </cfRule>
  </conditionalFormatting>
  <conditionalFormatting sqref="S287">
    <cfRule type="cellIs" dxfId="0" priority="13749" operator="equal">
      <formula>"欠"</formula>
    </cfRule>
  </conditionalFormatting>
  <conditionalFormatting sqref="T287:V287">
    <cfRule type="cellIs" dxfId="0" priority="13705" operator="equal">
      <formula>"欠"</formula>
    </cfRule>
  </conditionalFormatting>
  <conditionalFormatting sqref="AL287:AM287">
    <cfRule type="cellIs" dxfId="1" priority="13617" operator="equal">
      <formula>"未完成"</formula>
    </cfRule>
    <cfRule type="cellIs" dxfId="0" priority="13661" operator="equal">
      <formula>"未完成"</formula>
    </cfRule>
  </conditionalFormatting>
  <conditionalFormatting sqref="R288">
    <cfRule type="cellIs" dxfId="0" priority="13792" operator="equal">
      <formula>"欠"</formula>
    </cfRule>
  </conditionalFormatting>
  <conditionalFormatting sqref="S288">
    <cfRule type="cellIs" dxfId="0" priority="13748" operator="equal">
      <formula>"欠"</formula>
    </cfRule>
  </conditionalFormatting>
  <conditionalFormatting sqref="T288:V288">
    <cfRule type="cellIs" dxfId="0" priority="13704" operator="equal">
      <formula>"欠"</formula>
    </cfRule>
  </conditionalFormatting>
  <conditionalFormatting sqref="AL288:AM288">
    <cfRule type="cellIs" dxfId="1" priority="13616" operator="equal">
      <formula>"未完成"</formula>
    </cfRule>
    <cfRule type="cellIs" dxfId="0" priority="13660" operator="equal">
      <formula>"未完成"</formula>
    </cfRule>
  </conditionalFormatting>
  <conditionalFormatting sqref="R289">
    <cfRule type="cellIs" dxfId="0" priority="13791" operator="equal">
      <formula>"欠"</formula>
    </cfRule>
  </conditionalFormatting>
  <conditionalFormatting sqref="S289">
    <cfRule type="cellIs" dxfId="0" priority="13747" operator="equal">
      <formula>"欠"</formula>
    </cfRule>
  </conditionalFormatting>
  <conditionalFormatting sqref="T289:V289">
    <cfRule type="cellIs" dxfId="0" priority="13703" operator="equal">
      <formula>"欠"</formula>
    </cfRule>
  </conditionalFormatting>
  <conditionalFormatting sqref="AL289:AM289">
    <cfRule type="cellIs" dxfId="1" priority="13615" operator="equal">
      <formula>"未完成"</formula>
    </cfRule>
    <cfRule type="cellIs" dxfId="0" priority="13659" operator="equal">
      <formula>"未完成"</formula>
    </cfRule>
  </conditionalFormatting>
  <conditionalFormatting sqref="R290">
    <cfRule type="cellIs" dxfId="0" priority="13790" operator="equal">
      <formula>"欠"</formula>
    </cfRule>
  </conditionalFormatting>
  <conditionalFormatting sqref="S290">
    <cfRule type="cellIs" dxfId="0" priority="13746" operator="equal">
      <formula>"欠"</formula>
    </cfRule>
  </conditionalFormatting>
  <conditionalFormatting sqref="T290:V290">
    <cfRule type="cellIs" dxfId="0" priority="13702" operator="equal">
      <formula>"欠"</formula>
    </cfRule>
  </conditionalFormatting>
  <conditionalFormatting sqref="AL290:AM290">
    <cfRule type="cellIs" dxfId="1" priority="13614" operator="equal">
      <formula>"未完成"</formula>
    </cfRule>
    <cfRule type="cellIs" dxfId="0" priority="13658" operator="equal">
      <formula>"未完成"</formula>
    </cfRule>
  </conditionalFormatting>
  <conditionalFormatting sqref="R291">
    <cfRule type="cellIs" dxfId="0" priority="13789" operator="equal">
      <formula>"欠"</formula>
    </cfRule>
  </conditionalFormatting>
  <conditionalFormatting sqref="S291">
    <cfRule type="cellIs" dxfId="0" priority="13745" operator="equal">
      <formula>"欠"</formula>
    </cfRule>
  </conditionalFormatting>
  <conditionalFormatting sqref="T291:V291">
    <cfRule type="cellIs" dxfId="0" priority="13701" operator="equal">
      <formula>"欠"</formula>
    </cfRule>
  </conditionalFormatting>
  <conditionalFormatting sqref="AL291:AM291">
    <cfRule type="cellIs" dxfId="1" priority="13613" operator="equal">
      <formula>"未完成"</formula>
    </cfRule>
    <cfRule type="cellIs" dxfId="0" priority="13657" operator="equal">
      <formula>"未完成"</formula>
    </cfRule>
  </conditionalFormatting>
  <conditionalFormatting sqref="R292">
    <cfRule type="cellIs" dxfId="0" priority="13788" operator="equal">
      <formula>"欠"</formula>
    </cfRule>
  </conditionalFormatting>
  <conditionalFormatting sqref="S292">
    <cfRule type="cellIs" dxfId="0" priority="13744" operator="equal">
      <formula>"欠"</formula>
    </cfRule>
  </conditionalFormatting>
  <conditionalFormatting sqref="T292:V292">
    <cfRule type="cellIs" dxfId="0" priority="13700" operator="equal">
      <formula>"欠"</formula>
    </cfRule>
  </conditionalFormatting>
  <conditionalFormatting sqref="AL292:AM292">
    <cfRule type="cellIs" dxfId="1" priority="13612" operator="equal">
      <formula>"未完成"</formula>
    </cfRule>
    <cfRule type="cellIs" dxfId="0" priority="13656" operator="equal">
      <formula>"未完成"</formula>
    </cfRule>
  </conditionalFormatting>
  <conditionalFormatting sqref="R293">
    <cfRule type="cellIs" dxfId="0" priority="13787" operator="equal">
      <formula>"欠"</formula>
    </cfRule>
  </conditionalFormatting>
  <conditionalFormatting sqref="S293">
    <cfRule type="cellIs" dxfId="0" priority="13743" operator="equal">
      <formula>"欠"</formula>
    </cfRule>
  </conditionalFormatting>
  <conditionalFormatting sqref="T293:V293">
    <cfRule type="cellIs" dxfId="0" priority="13699" operator="equal">
      <formula>"欠"</formula>
    </cfRule>
  </conditionalFormatting>
  <conditionalFormatting sqref="AL293:AM293">
    <cfRule type="cellIs" dxfId="1" priority="13611" operator="equal">
      <formula>"未完成"</formula>
    </cfRule>
    <cfRule type="cellIs" dxfId="0" priority="13655" operator="equal">
      <formula>"未完成"</formula>
    </cfRule>
  </conditionalFormatting>
  <conditionalFormatting sqref="R294">
    <cfRule type="cellIs" dxfId="0" priority="13786" operator="equal">
      <formula>"欠"</formula>
    </cfRule>
  </conditionalFormatting>
  <conditionalFormatting sqref="S294">
    <cfRule type="cellIs" dxfId="0" priority="13742" operator="equal">
      <formula>"欠"</formula>
    </cfRule>
  </conditionalFormatting>
  <conditionalFormatting sqref="T294:V294">
    <cfRule type="cellIs" dxfId="0" priority="13698" operator="equal">
      <formula>"欠"</formula>
    </cfRule>
  </conditionalFormatting>
  <conditionalFormatting sqref="AL294:AM294">
    <cfRule type="cellIs" dxfId="1" priority="13610" operator="equal">
      <formula>"未完成"</formula>
    </cfRule>
    <cfRule type="cellIs" dxfId="0" priority="13654" operator="equal">
      <formula>"未完成"</formula>
    </cfRule>
  </conditionalFormatting>
  <conditionalFormatting sqref="R295">
    <cfRule type="cellIs" dxfId="0" priority="13785" operator="equal">
      <formula>"欠"</formula>
    </cfRule>
  </conditionalFormatting>
  <conditionalFormatting sqref="S295">
    <cfRule type="cellIs" dxfId="0" priority="13741" operator="equal">
      <formula>"欠"</formula>
    </cfRule>
  </conditionalFormatting>
  <conditionalFormatting sqref="T295:V295">
    <cfRule type="cellIs" dxfId="0" priority="13697" operator="equal">
      <formula>"欠"</formula>
    </cfRule>
  </conditionalFormatting>
  <conditionalFormatting sqref="AL295:AM295">
    <cfRule type="cellIs" dxfId="1" priority="13609" operator="equal">
      <formula>"未完成"</formula>
    </cfRule>
    <cfRule type="cellIs" dxfId="0" priority="13653" operator="equal">
      <formula>"未完成"</formula>
    </cfRule>
  </conditionalFormatting>
  <conditionalFormatting sqref="R296">
    <cfRule type="cellIs" dxfId="0" priority="13784" operator="equal">
      <formula>"欠"</formula>
    </cfRule>
  </conditionalFormatting>
  <conditionalFormatting sqref="S296">
    <cfRule type="cellIs" dxfId="0" priority="13740" operator="equal">
      <formula>"欠"</formula>
    </cfRule>
  </conditionalFormatting>
  <conditionalFormatting sqref="T296:V296">
    <cfRule type="cellIs" dxfId="0" priority="13696" operator="equal">
      <formula>"欠"</formula>
    </cfRule>
  </conditionalFormatting>
  <conditionalFormatting sqref="AL296:AM296">
    <cfRule type="cellIs" dxfId="1" priority="13608" operator="equal">
      <formula>"未完成"</formula>
    </cfRule>
    <cfRule type="cellIs" dxfId="0" priority="13652" operator="equal">
      <formula>"未完成"</formula>
    </cfRule>
  </conditionalFormatting>
  <conditionalFormatting sqref="R297">
    <cfRule type="cellIs" dxfId="0" priority="13783" operator="equal">
      <formula>"欠"</formula>
    </cfRule>
  </conditionalFormatting>
  <conditionalFormatting sqref="S297">
    <cfRule type="cellIs" dxfId="0" priority="13739" operator="equal">
      <formula>"欠"</formula>
    </cfRule>
  </conditionalFormatting>
  <conditionalFormatting sqref="T297:V297">
    <cfRule type="cellIs" dxfId="0" priority="13695" operator="equal">
      <formula>"欠"</formula>
    </cfRule>
  </conditionalFormatting>
  <conditionalFormatting sqref="AL297:AM297">
    <cfRule type="cellIs" dxfId="1" priority="13607" operator="equal">
      <formula>"未完成"</formula>
    </cfRule>
    <cfRule type="cellIs" dxfId="0" priority="13651" operator="equal">
      <formula>"未完成"</formula>
    </cfRule>
  </conditionalFormatting>
  <conditionalFormatting sqref="R298">
    <cfRule type="cellIs" dxfId="0" priority="13782" operator="equal">
      <formula>"欠"</formula>
    </cfRule>
  </conditionalFormatting>
  <conditionalFormatting sqref="S298">
    <cfRule type="cellIs" dxfId="0" priority="13738" operator="equal">
      <formula>"欠"</formula>
    </cfRule>
  </conditionalFormatting>
  <conditionalFormatting sqref="T298:V298">
    <cfRule type="cellIs" dxfId="0" priority="13694" operator="equal">
      <formula>"欠"</formula>
    </cfRule>
  </conditionalFormatting>
  <conditionalFormatting sqref="AL298:AM298">
    <cfRule type="cellIs" dxfId="1" priority="13606" operator="equal">
      <formula>"未完成"</formula>
    </cfRule>
    <cfRule type="cellIs" dxfId="0" priority="13650" operator="equal">
      <formula>"未完成"</formula>
    </cfRule>
  </conditionalFormatting>
  <conditionalFormatting sqref="R299">
    <cfRule type="cellIs" dxfId="0" priority="13781" operator="equal">
      <formula>"欠"</formula>
    </cfRule>
  </conditionalFormatting>
  <conditionalFormatting sqref="S299">
    <cfRule type="cellIs" dxfId="0" priority="13737" operator="equal">
      <formula>"欠"</formula>
    </cfRule>
  </conditionalFormatting>
  <conditionalFormatting sqref="T299:V299">
    <cfRule type="cellIs" dxfId="0" priority="13693" operator="equal">
      <formula>"欠"</formula>
    </cfRule>
  </conditionalFormatting>
  <conditionalFormatting sqref="AL299:AM299">
    <cfRule type="cellIs" dxfId="1" priority="13605" operator="equal">
      <formula>"未完成"</formula>
    </cfRule>
    <cfRule type="cellIs" dxfId="0" priority="13649" operator="equal">
      <formula>"未完成"</formula>
    </cfRule>
  </conditionalFormatting>
  <conditionalFormatting sqref="R300">
    <cfRule type="cellIs" dxfId="0" priority="13780" operator="equal">
      <formula>"欠"</formula>
    </cfRule>
  </conditionalFormatting>
  <conditionalFormatting sqref="S300">
    <cfRule type="cellIs" dxfId="0" priority="13736" operator="equal">
      <formula>"欠"</formula>
    </cfRule>
  </conditionalFormatting>
  <conditionalFormatting sqref="T300:V300">
    <cfRule type="cellIs" dxfId="0" priority="13692" operator="equal">
      <formula>"欠"</formula>
    </cfRule>
  </conditionalFormatting>
  <conditionalFormatting sqref="AL300:AM300">
    <cfRule type="cellIs" dxfId="1" priority="13604" operator="equal">
      <formula>"未完成"</formula>
    </cfRule>
    <cfRule type="cellIs" dxfId="0" priority="13648" operator="equal">
      <formula>"未完成"</formula>
    </cfRule>
  </conditionalFormatting>
  <conditionalFormatting sqref="R301">
    <cfRule type="cellIs" dxfId="0" priority="13779" operator="equal">
      <formula>"欠"</formula>
    </cfRule>
  </conditionalFormatting>
  <conditionalFormatting sqref="S301">
    <cfRule type="cellIs" dxfId="0" priority="13735" operator="equal">
      <formula>"欠"</formula>
    </cfRule>
  </conditionalFormatting>
  <conditionalFormatting sqref="T301:V301">
    <cfRule type="cellIs" dxfId="0" priority="13691" operator="equal">
      <formula>"欠"</formula>
    </cfRule>
  </conditionalFormatting>
  <conditionalFormatting sqref="AL301:AM301">
    <cfRule type="cellIs" dxfId="1" priority="13603" operator="equal">
      <formula>"未完成"</formula>
    </cfRule>
    <cfRule type="cellIs" dxfId="0" priority="13647" operator="equal">
      <formula>"未完成"</formula>
    </cfRule>
  </conditionalFormatting>
  <conditionalFormatting sqref="R302">
    <cfRule type="cellIs" dxfId="0" priority="13778" operator="equal">
      <formula>"欠"</formula>
    </cfRule>
  </conditionalFormatting>
  <conditionalFormatting sqref="S302">
    <cfRule type="cellIs" dxfId="0" priority="13734" operator="equal">
      <formula>"欠"</formula>
    </cfRule>
  </conditionalFormatting>
  <conditionalFormatting sqref="T302:V302">
    <cfRule type="cellIs" dxfId="0" priority="13690" operator="equal">
      <formula>"欠"</formula>
    </cfRule>
  </conditionalFormatting>
  <conditionalFormatting sqref="AL302:AM302">
    <cfRule type="cellIs" dxfId="1" priority="13602" operator="equal">
      <formula>"未完成"</formula>
    </cfRule>
    <cfRule type="cellIs" dxfId="0" priority="13646" operator="equal">
      <formula>"未完成"</formula>
    </cfRule>
  </conditionalFormatting>
  <conditionalFormatting sqref="R303">
    <cfRule type="cellIs" dxfId="0" priority="13543" operator="equal">
      <formula>"欠"</formula>
    </cfRule>
  </conditionalFormatting>
  <conditionalFormatting sqref="S303">
    <cfRule type="cellIs" dxfId="0" priority="13519" operator="equal">
      <formula>"欠"</formula>
    </cfRule>
  </conditionalFormatting>
  <conditionalFormatting sqref="T303:V303">
    <cfRule type="cellIs" dxfId="0" priority="13495" operator="equal">
      <formula>"欠"</formula>
    </cfRule>
  </conditionalFormatting>
  <conditionalFormatting sqref="AL303:AM303">
    <cfRule type="cellIs" dxfId="1" priority="13447" operator="equal">
      <formula>"未完成"</formula>
    </cfRule>
    <cfRule type="cellIs" dxfId="0" priority="13471" operator="equal">
      <formula>"未完成"</formula>
    </cfRule>
  </conditionalFormatting>
  <conditionalFormatting sqref="R304">
    <cfRule type="cellIs" dxfId="0" priority="13542" operator="equal">
      <formula>"欠"</formula>
    </cfRule>
  </conditionalFormatting>
  <conditionalFormatting sqref="S304">
    <cfRule type="cellIs" dxfId="0" priority="13518" operator="equal">
      <formula>"欠"</formula>
    </cfRule>
  </conditionalFormatting>
  <conditionalFormatting sqref="T304:V304">
    <cfRule type="cellIs" dxfId="0" priority="13494" operator="equal">
      <formula>"欠"</formula>
    </cfRule>
  </conditionalFormatting>
  <conditionalFormatting sqref="AL304:AM304">
    <cfRule type="cellIs" dxfId="1" priority="13446" operator="equal">
      <formula>"未完成"</formula>
    </cfRule>
    <cfRule type="cellIs" dxfId="0" priority="13470" operator="equal">
      <formula>"未完成"</formula>
    </cfRule>
  </conditionalFormatting>
  <conditionalFormatting sqref="R305">
    <cfRule type="cellIs" dxfId="0" priority="13541" operator="equal">
      <formula>"欠"</formula>
    </cfRule>
  </conditionalFormatting>
  <conditionalFormatting sqref="S305">
    <cfRule type="cellIs" dxfId="0" priority="13517" operator="equal">
      <formula>"欠"</formula>
    </cfRule>
  </conditionalFormatting>
  <conditionalFormatting sqref="T305:V305">
    <cfRule type="cellIs" dxfId="0" priority="13493" operator="equal">
      <formula>"欠"</formula>
    </cfRule>
  </conditionalFormatting>
  <conditionalFormatting sqref="AL305:AM305">
    <cfRule type="cellIs" dxfId="1" priority="13445" operator="equal">
      <formula>"未完成"</formula>
    </cfRule>
    <cfRule type="cellIs" dxfId="0" priority="13469" operator="equal">
      <formula>"未完成"</formula>
    </cfRule>
  </conditionalFormatting>
  <conditionalFormatting sqref="R306">
    <cfRule type="cellIs" dxfId="0" priority="13540" operator="equal">
      <formula>"欠"</formula>
    </cfRule>
  </conditionalFormatting>
  <conditionalFormatting sqref="S306">
    <cfRule type="cellIs" dxfId="0" priority="13516" operator="equal">
      <formula>"欠"</formula>
    </cfRule>
  </conditionalFormatting>
  <conditionalFormatting sqref="T306:V306">
    <cfRule type="cellIs" dxfId="0" priority="13492" operator="equal">
      <formula>"欠"</formula>
    </cfRule>
  </conditionalFormatting>
  <conditionalFormatting sqref="AL306:AM306">
    <cfRule type="cellIs" dxfId="1" priority="13444" operator="equal">
      <formula>"未完成"</formula>
    </cfRule>
    <cfRule type="cellIs" dxfId="0" priority="13468" operator="equal">
      <formula>"未完成"</formula>
    </cfRule>
  </conditionalFormatting>
  <conditionalFormatting sqref="R307">
    <cfRule type="cellIs" dxfId="0" priority="13539" operator="equal">
      <formula>"欠"</formula>
    </cfRule>
  </conditionalFormatting>
  <conditionalFormatting sqref="S307">
    <cfRule type="cellIs" dxfId="0" priority="13515" operator="equal">
      <formula>"欠"</formula>
    </cfRule>
  </conditionalFormatting>
  <conditionalFormatting sqref="T307:V307">
    <cfRule type="cellIs" dxfId="0" priority="13491" operator="equal">
      <formula>"欠"</formula>
    </cfRule>
  </conditionalFormatting>
  <conditionalFormatting sqref="AL307:AM307">
    <cfRule type="cellIs" dxfId="1" priority="13443" operator="equal">
      <formula>"未完成"</formula>
    </cfRule>
    <cfRule type="cellIs" dxfId="0" priority="13467" operator="equal">
      <formula>"未完成"</formula>
    </cfRule>
  </conditionalFormatting>
  <conditionalFormatting sqref="R308">
    <cfRule type="cellIs" dxfId="0" priority="13538" operator="equal">
      <formula>"欠"</formula>
    </cfRule>
  </conditionalFormatting>
  <conditionalFormatting sqref="S308">
    <cfRule type="cellIs" dxfId="0" priority="13514" operator="equal">
      <formula>"欠"</formula>
    </cfRule>
  </conditionalFormatting>
  <conditionalFormatting sqref="T308:V308">
    <cfRule type="cellIs" dxfId="0" priority="13490" operator="equal">
      <formula>"欠"</formula>
    </cfRule>
  </conditionalFormatting>
  <conditionalFormatting sqref="AL308:AM308">
    <cfRule type="cellIs" dxfId="1" priority="13442" operator="equal">
      <formula>"未完成"</formula>
    </cfRule>
    <cfRule type="cellIs" dxfId="0" priority="13466" operator="equal">
      <formula>"未完成"</formula>
    </cfRule>
  </conditionalFormatting>
  <conditionalFormatting sqref="R309">
    <cfRule type="cellIs" dxfId="0" priority="13537" operator="equal">
      <formula>"欠"</formula>
    </cfRule>
  </conditionalFormatting>
  <conditionalFormatting sqref="S309">
    <cfRule type="cellIs" dxfId="0" priority="13513" operator="equal">
      <formula>"欠"</formula>
    </cfRule>
  </conditionalFormatting>
  <conditionalFormatting sqref="T309:V309">
    <cfRule type="cellIs" dxfId="0" priority="13489" operator="equal">
      <formula>"欠"</formula>
    </cfRule>
  </conditionalFormatting>
  <conditionalFormatting sqref="AL309:AM309">
    <cfRule type="cellIs" dxfId="1" priority="13441" operator="equal">
      <formula>"未完成"</formula>
    </cfRule>
    <cfRule type="cellIs" dxfId="0" priority="13465" operator="equal">
      <formula>"未完成"</formula>
    </cfRule>
  </conditionalFormatting>
  <conditionalFormatting sqref="R310">
    <cfRule type="cellIs" dxfId="0" priority="13536" operator="equal">
      <formula>"欠"</formula>
    </cfRule>
  </conditionalFormatting>
  <conditionalFormatting sqref="S310">
    <cfRule type="cellIs" dxfId="0" priority="13512" operator="equal">
      <formula>"欠"</formula>
    </cfRule>
  </conditionalFormatting>
  <conditionalFormatting sqref="T310:V310">
    <cfRule type="cellIs" dxfId="0" priority="13488" operator="equal">
      <formula>"欠"</formula>
    </cfRule>
  </conditionalFormatting>
  <conditionalFormatting sqref="AL310:AM310">
    <cfRule type="cellIs" dxfId="1" priority="13440" operator="equal">
      <formula>"未完成"</formula>
    </cfRule>
    <cfRule type="cellIs" dxfId="0" priority="13464" operator="equal">
      <formula>"未完成"</formula>
    </cfRule>
  </conditionalFormatting>
  <conditionalFormatting sqref="R311">
    <cfRule type="cellIs" dxfId="0" priority="13535" operator="equal">
      <formula>"欠"</formula>
    </cfRule>
  </conditionalFormatting>
  <conditionalFormatting sqref="S311">
    <cfRule type="cellIs" dxfId="0" priority="13511" operator="equal">
      <formula>"欠"</formula>
    </cfRule>
  </conditionalFormatting>
  <conditionalFormatting sqref="T311:V311">
    <cfRule type="cellIs" dxfId="0" priority="13487" operator="equal">
      <formula>"欠"</formula>
    </cfRule>
  </conditionalFormatting>
  <conditionalFormatting sqref="AL311:AM311">
    <cfRule type="cellIs" dxfId="1" priority="13439" operator="equal">
      <formula>"未完成"</formula>
    </cfRule>
    <cfRule type="cellIs" dxfId="0" priority="13463" operator="equal">
      <formula>"未完成"</formula>
    </cfRule>
  </conditionalFormatting>
  <conditionalFormatting sqref="R312">
    <cfRule type="cellIs" dxfId="0" priority="13534" operator="equal">
      <formula>"欠"</formula>
    </cfRule>
  </conditionalFormatting>
  <conditionalFormatting sqref="S312">
    <cfRule type="cellIs" dxfId="0" priority="13510" operator="equal">
      <formula>"欠"</formula>
    </cfRule>
  </conditionalFormatting>
  <conditionalFormatting sqref="T312:V312">
    <cfRule type="cellIs" dxfId="0" priority="13486" operator="equal">
      <formula>"欠"</formula>
    </cfRule>
  </conditionalFormatting>
  <conditionalFormatting sqref="AL312:AM312">
    <cfRule type="cellIs" dxfId="1" priority="13438" operator="equal">
      <formula>"未完成"</formula>
    </cfRule>
    <cfRule type="cellIs" dxfId="0" priority="13462" operator="equal">
      <formula>"未完成"</formula>
    </cfRule>
  </conditionalFormatting>
  <conditionalFormatting sqref="R313">
    <cfRule type="cellIs" dxfId="0" priority="13533" operator="equal">
      <formula>"欠"</formula>
    </cfRule>
  </conditionalFormatting>
  <conditionalFormatting sqref="S313">
    <cfRule type="cellIs" dxfId="0" priority="13509" operator="equal">
      <formula>"欠"</formula>
    </cfRule>
  </conditionalFormatting>
  <conditionalFormatting sqref="T313:V313">
    <cfRule type="cellIs" dxfId="0" priority="13485" operator="equal">
      <formula>"欠"</formula>
    </cfRule>
  </conditionalFormatting>
  <conditionalFormatting sqref="AL313:AM313">
    <cfRule type="cellIs" dxfId="1" priority="13437" operator="equal">
      <formula>"未完成"</formula>
    </cfRule>
    <cfRule type="cellIs" dxfId="0" priority="13461" operator="equal">
      <formula>"未完成"</formula>
    </cfRule>
  </conditionalFormatting>
  <conditionalFormatting sqref="R314">
    <cfRule type="cellIs" dxfId="0" priority="13532" operator="equal">
      <formula>"欠"</formula>
    </cfRule>
  </conditionalFormatting>
  <conditionalFormatting sqref="S314">
    <cfRule type="cellIs" dxfId="0" priority="13508" operator="equal">
      <formula>"欠"</formula>
    </cfRule>
  </conditionalFormatting>
  <conditionalFormatting sqref="T314:V314">
    <cfRule type="cellIs" dxfId="0" priority="13484" operator="equal">
      <formula>"欠"</formula>
    </cfRule>
  </conditionalFormatting>
  <conditionalFormatting sqref="AL314:AM314">
    <cfRule type="cellIs" dxfId="1" priority="13436" operator="equal">
      <formula>"未完成"</formula>
    </cfRule>
    <cfRule type="cellIs" dxfId="0" priority="13460" operator="equal">
      <formula>"未完成"</formula>
    </cfRule>
  </conditionalFormatting>
  <conditionalFormatting sqref="R315">
    <cfRule type="cellIs" dxfId="0" priority="13531" operator="equal">
      <formula>"欠"</formula>
    </cfRule>
  </conditionalFormatting>
  <conditionalFormatting sqref="S315">
    <cfRule type="cellIs" dxfId="0" priority="13507" operator="equal">
      <formula>"欠"</formula>
    </cfRule>
  </conditionalFormatting>
  <conditionalFormatting sqref="T315:V315">
    <cfRule type="cellIs" dxfId="0" priority="13483" operator="equal">
      <formula>"欠"</formula>
    </cfRule>
  </conditionalFormatting>
  <conditionalFormatting sqref="AL315:AM315">
    <cfRule type="cellIs" dxfId="1" priority="13435" operator="equal">
      <formula>"未完成"</formula>
    </cfRule>
    <cfRule type="cellIs" dxfId="0" priority="13459" operator="equal">
      <formula>"未完成"</formula>
    </cfRule>
  </conditionalFormatting>
  <conditionalFormatting sqref="R316">
    <cfRule type="cellIs" dxfId="0" priority="13530" operator="equal">
      <formula>"欠"</formula>
    </cfRule>
  </conditionalFormatting>
  <conditionalFormatting sqref="S316">
    <cfRule type="cellIs" dxfId="0" priority="13506" operator="equal">
      <formula>"欠"</formula>
    </cfRule>
  </conditionalFormatting>
  <conditionalFormatting sqref="T316:V316">
    <cfRule type="cellIs" dxfId="0" priority="13482" operator="equal">
      <formula>"欠"</formula>
    </cfRule>
  </conditionalFormatting>
  <conditionalFormatting sqref="AL316:AM316">
    <cfRule type="cellIs" dxfId="1" priority="13434" operator="equal">
      <formula>"未完成"</formula>
    </cfRule>
    <cfRule type="cellIs" dxfId="0" priority="13458" operator="equal">
      <formula>"未完成"</formula>
    </cfRule>
  </conditionalFormatting>
  <conditionalFormatting sqref="R317">
    <cfRule type="cellIs" dxfId="0" priority="13529" operator="equal">
      <formula>"欠"</formula>
    </cfRule>
  </conditionalFormatting>
  <conditionalFormatting sqref="S317">
    <cfRule type="cellIs" dxfId="0" priority="13505" operator="equal">
      <formula>"欠"</formula>
    </cfRule>
  </conditionalFormatting>
  <conditionalFormatting sqref="T317:V317">
    <cfRule type="cellIs" dxfId="0" priority="13481" operator="equal">
      <formula>"欠"</formula>
    </cfRule>
  </conditionalFormatting>
  <conditionalFormatting sqref="AL317:AM317">
    <cfRule type="cellIs" dxfId="1" priority="13433" operator="equal">
      <formula>"未完成"</formula>
    </cfRule>
    <cfRule type="cellIs" dxfId="0" priority="13457" operator="equal">
      <formula>"未完成"</formula>
    </cfRule>
  </conditionalFormatting>
  <conditionalFormatting sqref="R318">
    <cfRule type="cellIs" dxfId="0" priority="13528" operator="equal">
      <formula>"欠"</formula>
    </cfRule>
  </conditionalFormatting>
  <conditionalFormatting sqref="S318">
    <cfRule type="cellIs" dxfId="0" priority="13504" operator="equal">
      <formula>"欠"</formula>
    </cfRule>
  </conditionalFormatting>
  <conditionalFormatting sqref="T318:V318">
    <cfRule type="cellIs" dxfId="0" priority="13480" operator="equal">
      <formula>"欠"</formula>
    </cfRule>
  </conditionalFormatting>
  <conditionalFormatting sqref="AL318:AM318">
    <cfRule type="cellIs" dxfId="1" priority="13432" operator="equal">
      <formula>"未完成"</formula>
    </cfRule>
    <cfRule type="cellIs" dxfId="0" priority="13456" operator="equal">
      <formula>"未完成"</formula>
    </cfRule>
  </conditionalFormatting>
  <conditionalFormatting sqref="R319">
    <cfRule type="cellIs" dxfId="0" priority="13527" operator="equal">
      <formula>"欠"</formula>
    </cfRule>
  </conditionalFormatting>
  <conditionalFormatting sqref="S319">
    <cfRule type="cellIs" dxfId="0" priority="13503" operator="equal">
      <formula>"欠"</formula>
    </cfRule>
  </conditionalFormatting>
  <conditionalFormatting sqref="T319:V319">
    <cfRule type="cellIs" dxfId="0" priority="13479" operator="equal">
      <formula>"欠"</formula>
    </cfRule>
  </conditionalFormatting>
  <conditionalFormatting sqref="AL319:AM319">
    <cfRule type="cellIs" dxfId="1" priority="13431" operator="equal">
      <formula>"未完成"</formula>
    </cfRule>
    <cfRule type="cellIs" dxfId="0" priority="13455" operator="equal">
      <formula>"未完成"</formula>
    </cfRule>
  </conditionalFormatting>
  <conditionalFormatting sqref="R320">
    <cfRule type="cellIs" dxfId="0" priority="13526" operator="equal">
      <formula>"欠"</formula>
    </cfRule>
  </conditionalFormatting>
  <conditionalFormatting sqref="S320">
    <cfRule type="cellIs" dxfId="0" priority="13502" operator="equal">
      <formula>"欠"</formula>
    </cfRule>
  </conditionalFormatting>
  <conditionalFormatting sqref="T320:V320">
    <cfRule type="cellIs" dxfId="0" priority="13478" operator="equal">
      <formula>"欠"</formula>
    </cfRule>
  </conditionalFormatting>
  <conditionalFormatting sqref="AL320:AM320">
    <cfRule type="cellIs" dxfId="1" priority="13430" operator="equal">
      <formula>"未完成"</formula>
    </cfRule>
    <cfRule type="cellIs" dxfId="0" priority="13454" operator="equal">
      <formula>"未完成"</formula>
    </cfRule>
  </conditionalFormatting>
  <conditionalFormatting sqref="R321">
    <cfRule type="cellIs" dxfId="0" priority="13525" operator="equal">
      <formula>"欠"</formula>
    </cfRule>
  </conditionalFormatting>
  <conditionalFormatting sqref="S321">
    <cfRule type="cellIs" dxfId="0" priority="13501" operator="equal">
      <formula>"欠"</formula>
    </cfRule>
  </conditionalFormatting>
  <conditionalFormatting sqref="T321:V321">
    <cfRule type="cellIs" dxfId="0" priority="13477" operator="equal">
      <formula>"欠"</formula>
    </cfRule>
  </conditionalFormatting>
  <conditionalFormatting sqref="AL321:AM321">
    <cfRule type="cellIs" dxfId="1" priority="13429" operator="equal">
      <formula>"未完成"</formula>
    </cfRule>
    <cfRule type="cellIs" dxfId="0" priority="13453" operator="equal">
      <formula>"未完成"</formula>
    </cfRule>
  </conditionalFormatting>
  <conditionalFormatting sqref="R322">
    <cfRule type="cellIs" dxfId="0" priority="13524" operator="equal">
      <formula>"欠"</formula>
    </cfRule>
  </conditionalFormatting>
  <conditionalFormatting sqref="S322">
    <cfRule type="cellIs" dxfId="0" priority="13500" operator="equal">
      <formula>"欠"</formula>
    </cfRule>
  </conditionalFormatting>
  <conditionalFormatting sqref="T322:V322">
    <cfRule type="cellIs" dxfId="0" priority="13476" operator="equal">
      <formula>"欠"</formula>
    </cfRule>
  </conditionalFormatting>
  <conditionalFormatting sqref="AL322:AM322">
    <cfRule type="cellIs" dxfId="1" priority="13428" operator="equal">
      <formula>"未完成"</formula>
    </cfRule>
    <cfRule type="cellIs" dxfId="0" priority="13452" operator="equal">
      <formula>"未完成"</formula>
    </cfRule>
  </conditionalFormatting>
  <conditionalFormatting sqref="R323">
    <cfRule type="cellIs" dxfId="0" priority="13523" operator="equal">
      <formula>"欠"</formula>
    </cfRule>
  </conditionalFormatting>
  <conditionalFormatting sqref="S323">
    <cfRule type="cellIs" dxfId="0" priority="13499" operator="equal">
      <formula>"欠"</formula>
    </cfRule>
  </conditionalFormatting>
  <conditionalFormatting sqref="T323:V323">
    <cfRule type="cellIs" dxfId="0" priority="13475" operator="equal">
      <formula>"欠"</formula>
    </cfRule>
  </conditionalFormatting>
  <conditionalFormatting sqref="AL323:AM323">
    <cfRule type="cellIs" dxfId="1" priority="13427" operator="equal">
      <formula>"未完成"</formula>
    </cfRule>
    <cfRule type="cellIs" dxfId="0" priority="13451" operator="equal">
      <formula>"未完成"</formula>
    </cfRule>
  </conditionalFormatting>
  <conditionalFormatting sqref="R324">
    <cfRule type="cellIs" dxfId="0" priority="13522" operator="equal">
      <formula>"欠"</formula>
    </cfRule>
  </conditionalFormatting>
  <conditionalFormatting sqref="S324">
    <cfRule type="cellIs" dxfId="0" priority="13498" operator="equal">
      <formula>"欠"</formula>
    </cfRule>
  </conditionalFormatting>
  <conditionalFormatting sqref="T324:V324">
    <cfRule type="cellIs" dxfId="0" priority="13474" operator="equal">
      <formula>"欠"</formula>
    </cfRule>
  </conditionalFormatting>
  <conditionalFormatting sqref="AL324:AM324">
    <cfRule type="cellIs" dxfId="1" priority="13426" operator="equal">
      <formula>"未完成"</formula>
    </cfRule>
    <cfRule type="cellIs" dxfId="0" priority="13450" operator="equal">
      <formula>"未完成"</formula>
    </cfRule>
  </conditionalFormatting>
  <conditionalFormatting sqref="R325">
    <cfRule type="cellIs" dxfId="0" priority="13521" operator="equal">
      <formula>"欠"</formula>
    </cfRule>
  </conditionalFormatting>
  <conditionalFormatting sqref="S325">
    <cfRule type="cellIs" dxfId="0" priority="13497" operator="equal">
      <formula>"欠"</formula>
    </cfRule>
  </conditionalFormatting>
  <conditionalFormatting sqref="T325:V325">
    <cfRule type="cellIs" dxfId="0" priority="13473" operator="equal">
      <formula>"欠"</formula>
    </cfRule>
  </conditionalFormatting>
  <conditionalFormatting sqref="AL325:AM325">
    <cfRule type="cellIs" dxfId="1" priority="13425" operator="equal">
      <formula>"未完成"</formula>
    </cfRule>
    <cfRule type="cellIs" dxfId="0" priority="13449" operator="equal">
      <formula>"未完成"</formula>
    </cfRule>
  </conditionalFormatting>
  <conditionalFormatting sqref="R326">
    <cfRule type="cellIs" dxfId="0" priority="13520" operator="equal">
      <formula>"欠"</formula>
    </cfRule>
  </conditionalFormatting>
  <conditionalFormatting sqref="S326">
    <cfRule type="cellIs" dxfId="0" priority="13496" operator="equal">
      <formula>"欠"</formula>
    </cfRule>
  </conditionalFormatting>
  <conditionalFormatting sqref="T326:V326">
    <cfRule type="cellIs" dxfId="0" priority="13472" operator="equal">
      <formula>"欠"</formula>
    </cfRule>
  </conditionalFormatting>
  <conditionalFormatting sqref="AL326:AM326">
    <cfRule type="cellIs" dxfId="1" priority="13424" operator="equal">
      <formula>"未完成"</formula>
    </cfRule>
    <cfRule type="cellIs" dxfId="0" priority="13448" operator="equal">
      <formula>"未完成"</formula>
    </cfRule>
  </conditionalFormatting>
  <conditionalFormatting sqref="R327">
    <cfRule type="cellIs" dxfId="0" priority="13404" operator="equal">
      <formula>"欠"</formula>
    </cfRule>
  </conditionalFormatting>
  <conditionalFormatting sqref="S327">
    <cfRule type="cellIs" dxfId="0" priority="13393" operator="equal">
      <formula>"欠"</formula>
    </cfRule>
  </conditionalFormatting>
  <conditionalFormatting sqref="T327:V327">
    <cfRule type="cellIs" dxfId="0" priority="13382" operator="equal">
      <formula>"欠"</formula>
    </cfRule>
  </conditionalFormatting>
  <conditionalFormatting sqref="AG327:AH327">
    <cfRule type="cellIs" dxfId="0" priority="13415" operator="equal">
      <formula>"未完成"</formula>
    </cfRule>
  </conditionalFormatting>
  <conditionalFormatting sqref="AL327:AM327">
    <cfRule type="cellIs" dxfId="1" priority="13360" operator="equal">
      <formula>"未完成"</formula>
    </cfRule>
    <cfRule type="cellIs" dxfId="0" priority="13371" operator="equal">
      <formula>"未完成"</formula>
    </cfRule>
  </conditionalFormatting>
  <conditionalFormatting sqref="R328">
    <cfRule type="cellIs" dxfId="0" priority="13403" operator="equal">
      <formula>"欠"</formula>
    </cfRule>
  </conditionalFormatting>
  <conditionalFormatting sqref="S328">
    <cfRule type="cellIs" dxfId="0" priority="13392" operator="equal">
      <formula>"欠"</formula>
    </cfRule>
  </conditionalFormatting>
  <conditionalFormatting sqref="T328:V328">
    <cfRule type="cellIs" dxfId="0" priority="13381" operator="equal">
      <formula>"欠"</formula>
    </cfRule>
  </conditionalFormatting>
  <conditionalFormatting sqref="AG328:AH328">
    <cfRule type="cellIs" dxfId="0" priority="13414" operator="equal">
      <formula>"未完成"</formula>
    </cfRule>
  </conditionalFormatting>
  <conditionalFormatting sqref="AL328:AM328">
    <cfRule type="cellIs" dxfId="1" priority="13359" operator="equal">
      <formula>"未完成"</formula>
    </cfRule>
    <cfRule type="cellIs" dxfId="0" priority="13370" operator="equal">
      <formula>"未完成"</formula>
    </cfRule>
  </conditionalFormatting>
  <conditionalFormatting sqref="R329">
    <cfRule type="cellIs" dxfId="0" priority="13402" operator="equal">
      <formula>"欠"</formula>
    </cfRule>
  </conditionalFormatting>
  <conditionalFormatting sqref="S329">
    <cfRule type="cellIs" dxfId="0" priority="13391" operator="equal">
      <formula>"欠"</formula>
    </cfRule>
  </conditionalFormatting>
  <conditionalFormatting sqref="T329:V329">
    <cfRule type="cellIs" dxfId="0" priority="13380" operator="equal">
      <formula>"欠"</formula>
    </cfRule>
  </conditionalFormatting>
  <conditionalFormatting sqref="AG329:AH329">
    <cfRule type="cellIs" dxfId="0" priority="13413" operator="equal">
      <formula>"未完成"</formula>
    </cfRule>
  </conditionalFormatting>
  <conditionalFormatting sqref="AL329:AM329">
    <cfRule type="cellIs" dxfId="1" priority="13358" operator="equal">
      <formula>"未完成"</formula>
    </cfRule>
    <cfRule type="cellIs" dxfId="0" priority="13369" operator="equal">
      <formula>"未完成"</formula>
    </cfRule>
  </conditionalFormatting>
  <conditionalFormatting sqref="R330">
    <cfRule type="cellIs" dxfId="0" priority="13401" operator="equal">
      <formula>"欠"</formula>
    </cfRule>
  </conditionalFormatting>
  <conditionalFormatting sqref="S330">
    <cfRule type="cellIs" dxfId="0" priority="13390" operator="equal">
      <formula>"欠"</formula>
    </cfRule>
  </conditionalFormatting>
  <conditionalFormatting sqref="T330:V330">
    <cfRule type="cellIs" dxfId="0" priority="13379" operator="equal">
      <formula>"欠"</formula>
    </cfRule>
  </conditionalFormatting>
  <conditionalFormatting sqref="AG330:AH330">
    <cfRule type="cellIs" dxfId="0" priority="13412" operator="equal">
      <formula>"未完成"</formula>
    </cfRule>
  </conditionalFormatting>
  <conditionalFormatting sqref="AL330:AM330">
    <cfRule type="cellIs" dxfId="1" priority="13357" operator="equal">
      <formula>"未完成"</formula>
    </cfRule>
    <cfRule type="cellIs" dxfId="0" priority="13368" operator="equal">
      <formula>"未完成"</formula>
    </cfRule>
  </conditionalFormatting>
  <conditionalFormatting sqref="R331">
    <cfRule type="cellIs" dxfId="0" priority="13400" operator="equal">
      <formula>"欠"</formula>
    </cfRule>
  </conditionalFormatting>
  <conditionalFormatting sqref="S331">
    <cfRule type="cellIs" dxfId="0" priority="13389" operator="equal">
      <formula>"欠"</formula>
    </cfRule>
  </conditionalFormatting>
  <conditionalFormatting sqref="T331:V331">
    <cfRule type="cellIs" dxfId="0" priority="13378" operator="equal">
      <formula>"欠"</formula>
    </cfRule>
  </conditionalFormatting>
  <conditionalFormatting sqref="AG331:AH331">
    <cfRule type="cellIs" dxfId="0" priority="13411" operator="equal">
      <formula>"未完成"</formula>
    </cfRule>
  </conditionalFormatting>
  <conditionalFormatting sqref="AL331:AM331">
    <cfRule type="cellIs" dxfId="1" priority="13356" operator="equal">
      <formula>"未完成"</formula>
    </cfRule>
    <cfRule type="cellIs" dxfId="0" priority="13367" operator="equal">
      <formula>"未完成"</formula>
    </cfRule>
  </conditionalFormatting>
  <conditionalFormatting sqref="R332">
    <cfRule type="cellIs" dxfId="0" priority="13399" operator="equal">
      <formula>"欠"</formula>
    </cfRule>
  </conditionalFormatting>
  <conditionalFormatting sqref="S332">
    <cfRule type="cellIs" dxfId="0" priority="13388" operator="equal">
      <formula>"欠"</formula>
    </cfRule>
  </conditionalFormatting>
  <conditionalFormatting sqref="T332:V332">
    <cfRule type="cellIs" dxfId="0" priority="13377" operator="equal">
      <formula>"欠"</formula>
    </cfRule>
  </conditionalFormatting>
  <conditionalFormatting sqref="AG332:AH332">
    <cfRule type="cellIs" dxfId="0" priority="13410" operator="equal">
      <formula>"未完成"</formula>
    </cfRule>
  </conditionalFormatting>
  <conditionalFormatting sqref="AL332:AM332">
    <cfRule type="cellIs" dxfId="1" priority="13355" operator="equal">
      <formula>"未完成"</formula>
    </cfRule>
    <cfRule type="cellIs" dxfId="0" priority="13366" operator="equal">
      <formula>"未完成"</formula>
    </cfRule>
  </conditionalFormatting>
  <conditionalFormatting sqref="R333">
    <cfRule type="cellIs" dxfId="0" priority="13398" operator="equal">
      <formula>"欠"</formula>
    </cfRule>
  </conditionalFormatting>
  <conditionalFormatting sqref="S333">
    <cfRule type="cellIs" dxfId="0" priority="13387" operator="equal">
      <formula>"欠"</formula>
    </cfRule>
  </conditionalFormatting>
  <conditionalFormatting sqref="T333:V333">
    <cfRule type="cellIs" dxfId="0" priority="13376" operator="equal">
      <formula>"欠"</formula>
    </cfRule>
  </conditionalFormatting>
  <conditionalFormatting sqref="AG333:AH333">
    <cfRule type="cellIs" dxfId="0" priority="13409" operator="equal">
      <formula>"未完成"</formula>
    </cfRule>
  </conditionalFormatting>
  <conditionalFormatting sqref="AL333:AM333">
    <cfRule type="cellIs" dxfId="1" priority="13354" operator="equal">
      <formula>"未完成"</formula>
    </cfRule>
    <cfRule type="cellIs" dxfId="0" priority="13365" operator="equal">
      <formula>"未完成"</formula>
    </cfRule>
  </conditionalFormatting>
  <conditionalFormatting sqref="R334">
    <cfRule type="cellIs" dxfId="0" priority="13397" operator="equal">
      <formula>"欠"</formula>
    </cfRule>
  </conditionalFormatting>
  <conditionalFormatting sqref="S334">
    <cfRule type="cellIs" dxfId="0" priority="13386" operator="equal">
      <formula>"欠"</formula>
    </cfRule>
  </conditionalFormatting>
  <conditionalFormatting sqref="T334:V334">
    <cfRule type="cellIs" dxfId="0" priority="13375" operator="equal">
      <formula>"欠"</formula>
    </cfRule>
  </conditionalFormatting>
  <conditionalFormatting sqref="AG334:AH334">
    <cfRule type="cellIs" dxfId="0" priority="13408" operator="equal">
      <formula>"未完成"</formula>
    </cfRule>
  </conditionalFormatting>
  <conditionalFormatting sqref="AL334:AM334">
    <cfRule type="cellIs" dxfId="1" priority="13353" operator="equal">
      <formula>"未完成"</formula>
    </cfRule>
    <cfRule type="cellIs" dxfId="0" priority="13364" operator="equal">
      <formula>"未完成"</formula>
    </cfRule>
  </conditionalFormatting>
  <conditionalFormatting sqref="R335">
    <cfRule type="cellIs" dxfId="0" priority="13396" operator="equal">
      <formula>"欠"</formula>
    </cfRule>
  </conditionalFormatting>
  <conditionalFormatting sqref="S335">
    <cfRule type="cellIs" dxfId="0" priority="13385" operator="equal">
      <formula>"欠"</formula>
    </cfRule>
  </conditionalFormatting>
  <conditionalFormatting sqref="T335:V335">
    <cfRule type="cellIs" dxfId="0" priority="13374" operator="equal">
      <formula>"欠"</formula>
    </cfRule>
  </conditionalFormatting>
  <conditionalFormatting sqref="AG335:AH335">
    <cfRule type="cellIs" dxfId="0" priority="13407" operator="equal">
      <formula>"未完成"</formula>
    </cfRule>
  </conditionalFormatting>
  <conditionalFormatting sqref="AL335:AM335">
    <cfRule type="cellIs" dxfId="1" priority="13352" operator="equal">
      <formula>"未完成"</formula>
    </cfRule>
    <cfRule type="cellIs" dxfId="0" priority="13363" operator="equal">
      <formula>"未完成"</formula>
    </cfRule>
  </conditionalFormatting>
  <conditionalFormatting sqref="R336">
    <cfRule type="cellIs" dxfId="0" priority="13395" operator="equal">
      <formula>"欠"</formula>
    </cfRule>
  </conditionalFormatting>
  <conditionalFormatting sqref="S336">
    <cfRule type="cellIs" dxfId="0" priority="13384" operator="equal">
      <formula>"欠"</formula>
    </cfRule>
  </conditionalFormatting>
  <conditionalFormatting sqref="T336:V336">
    <cfRule type="cellIs" dxfId="0" priority="13373" operator="equal">
      <formula>"欠"</formula>
    </cfRule>
  </conditionalFormatting>
  <conditionalFormatting sqref="AG336:AH336">
    <cfRule type="cellIs" dxfId="0" priority="13406" operator="equal">
      <formula>"未完成"</formula>
    </cfRule>
  </conditionalFormatting>
  <conditionalFormatting sqref="AL336:AM336">
    <cfRule type="cellIs" dxfId="1" priority="13351" operator="equal">
      <formula>"未完成"</formula>
    </cfRule>
    <cfRule type="cellIs" dxfId="0" priority="13362" operator="equal">
      <formula>"未完成"</formula>
    </cfRule>
  </conditionalFormatting>
  <conditionalFormatting sqref="R337">
    <cfRule type="cellIs" dxfId="0" priority="13394" operator="equal">
      <formula>"欠"</formula>
    </cfRule>
  </conditionalFormatting>
  <conditionalFormatting sqref="S337">
    <cfRule type="cellIs" dxfId="0" priority="13383" operator="equal">
      <formula>"欠"</formula>
    </cfRule>
  </conditionalFormatting>
  <conditionalFormatting sqref="T337:V337">
    <cfRule type="cellIs" dxfId="0" priority="13372" operator="equal">
      <formula>"欠"</formula>
    </cfRule>
  </conditionalFormatting>
  <conditionalFormatting sqref="AG337:AH337">
    <cfRule type="cellIs" dxfId="0" priority="13405" operator="equal">
      <formula>"未完成"</formula>
    </cfRule>
  </conditionalFormatting>
  <conditionalFormatting sqref="AL337:AM337">
    <cfRule type="cellIs" dxfId="1" priority="13350" operator="equal">
      <formula>"未完成"</formula>
    </cfRule>
    <cfRule type="cellIs" dxfId="0" priority="13361" operator="equal">
      <formula>"未完成"</formula>
    </cfRule>
  </conditionalFormatting>
  <conditionalFormatting sqref="R338">
    <cfRule type="cellIs" dxfId="0" priority="14088" operator="equal">
      <formula>"欠"</formula>
    </cfRule>
  </conditionalFormatting>
  <conditionalFormatting sqref="S338">
    <cfRule type="cellIs" dxfId="0" priority="14067" operator="equal">
      <formula>"欠"</formula>
    </cfRule>
  </conditionalFormatting>
  <conditionalFormatting sqref="T338:V338">
    <cfRule type="cellIs" dxfId="0" priority="14046" operator="equal">
      <formula>"欠"</formula>
    </cfRule>
  </conditionalFormatting>
  <conditionalFormatting sqref="AL338:AM338">
    <cfRule type="cellIs" dxfId="1" priority="14004" operator="equal">
      <formula>"未完成"</formula>
    </cfRule>
    <cfRule type="cellIs" dxfId="0" priority="14025" operator="equal">
      <formula>"未完成"</formula>
    </cfRule>
  </conditionalFormatting>
  <conditionalFormatting sqref="R339">
    <cfRule type="cellIs" dxfId="0" priority="13292" operator="equal">
      <formula>"欠"</formula>
    </cfRule>
  </conditionalFormatting>
  <conditionalFormatting sqref="S339">
    <cfRule type="cellIs" dxfId="0" priority="13242" operator="equal">
      <formula>"欠"</formula>
    </cfRule>
  </conditionalFormatting>
  <conditionalFormatting sqref="T339:V339">
    <cfRule type="cellIs" dxfId="0" priority="13192" operator="equal">
      <formula>"欠"</formula>
    </cfRule>
  </conditionalFormatting>
  <conditionalFormatting sqref="T339:U339">
    <cfRule type="containsText" dxfId="0" priority="13042" operator="between" text="欠">
      <formula>NOT(ISERROR(SEARCH("欠",T339)))</formula>
    </cfRule>
  </conditionalFormatting>
  <conditionalFormatting sqref="AG339:AH339">
    <cfRule type="cellIs" dxfId="0" priority="13342" operator="equal">
      <formula>"未完成"</formula>
    </cfRule>
  </conditionalFormatting>
  <conditionalFormatting sqref="AL339:AM339">
    <cfRule type="cellIs" dxfId="1" priority="13092" operator="equal">
      <formula>"未完成"</formula>
    </cfRule>
    <cfRule type="cellIs" dxfId="0" priority="13142" operator="equal">
      <formula>"未完成"</formula>
    </cfRule>
  </conditionalFormatting>
  <conditionalFormatting sqref="R340">
    <cfRule type="cellIs" dxfId="0" priority="13291" operator="equal">
      <formula>"欠"</formula>
    </cfRule>
  </conditionalFormatting>
  <conditionalFormatting sqref="S340">
    <cfRule type="cellIs" dxfId="0" priority="13241" operator="equal">
      <formula>"欠"</formula>
    </cfRule>
  </conditionalFormatting>
  <conditionalFormatting sqref="T340:V340">
    <cfRule type="cellIs" dxfId="0" priority="13191" operator="equal">
      <formula>"欠"</formula>
    </cfRule>
  </conditionalFormatting>
  <conditionalFormatting sqref="T340:U340">
    <cfRule type="containsText" dxfId="0" priority="13041" operator="between" text="欠">
      <formula>NOT(ISERROR(SEARCH("欠",T340)))</formula>
    </cfRule>
  </conditionalFormatting>
  <conditionalFormatting sqref="AG340:AH340">
    <cfRule type="cellIs" dxfId="0" priority="13341" operator="equal">
      <formula>"未完成"</formula>
    </cfRule>
  </conditionalFormatting>
  <conditionalFormatting sqref="AL340:AM340">
    <cfRule type="cellIs" dxfId="1" priority="13091" operator="equal">
      <formula>"未完成"</formula>
    </cfRule>
    <cfRule type="cellIs" dxfId="0" priority="13141" operator="equal">
      <formula>"未完成"</formula>
    </cfRule>
  </conditionalFormatting>
  <conditionalFormatting sqref="R341">
    <cfRule type="cellIs" dxfId="0" priority="13290" operator="equal">
      <formula>"欠"</formula>
    </cfRule>
  </conditionalFormatting>
  <conditionalFormatting sqref="S341">
    <cfRule type="cellIs" dxfId="0" priority="13240" operator="equal">
      <formula>"欠"</formula>
    </cfRule>
  </conditionalFormatting>
  <conditionalFormatting sqref="T341:V341">
    <cfRule type="cellIs" dxfId="0" priority="13190" operator="equal">
      <formula>"欠"</formula>
    </cfRule>
  </conditionalFormatting>
  <conditionalFormatting sqref="T341:U341">
    <cfRule type="containsText" dxfId="0" priority="13040" operator="between" text="欠">
      <formula>NOT(ISERROR(SEARCH("欠",T341)))</formula>
    </cfRule>
  </conditionalFormatting>
  <conditionalFormatting sqref="AG341:AH341">
    <cfRule type="cellIs" dxfId="0" priority="13340" operator="equal">
      <formula>"未完成"</formula>
    </cfRule>
  </conditionalFormatting>
  <conditionalFormatting sqref="AL341:AM341">
    <cfRule type="cellIs" dxfId="1" priority="13090" operator="equal">
      <formula>"未完成"</formula>
    </cfRule>
    <cfRule type="cellIs" dxfId="0" priority="13140" operator="equal">
      <formula>"未完成"</formula>
    </cfRule>
  </conditionalFormatting>
  <conditionalFormatting sqref="R342">
    <cfRule type="cellIs" dxfId="0" priority="13289" operator="equal">
      <formula>"欠"</formula>
    </cfRule>
  </conditionalFormatting>
  <conditionalFormatting sqref="S342">
    <cfRule type="cellIs" dxfId="0" priority="13239" operator="equal">
      <formula>"欠"</formula>
    </cfRule>
  </conditionalFormatting>
  <conditionalFormatting sqref="T342:V342">
    <cfRule type="cellIs" dxfId="0" priority="13189" operator="equal">
      <formula>"欠"</formula>
    </cfRule>
  </conditionalFormatting>
  <conditionalFormatting sqref="T342:U342">
    <cfRule type="containsText" dxfId="0" priority="13039" operator="between" text="欠">
      <formula>NOT(ISERROR(SEARCH("欠",T342)))</formula>
    </cfRule>
  </conditionalFormatting>
  <conditionalFormatting sqref="AG342:AH342">
    <cfRule type="cellIs" dxfId="0" priority="13339" operator="equal">
      <formula>"未完成"</formula>
    </cfRule>
  </conditionalFormatting>
  <conditionalFormatting sqref="AL342:AM342">
    <cfRule type="cellIs" dxfId="1" priority="13089" operator="equal">
      <formula>"未完成"</formula>
    </cfRule>
    <cfRule type="cellIs" dxfId="0" priority="13139" operator="equal">
      <formula>"未完成"</formula>
    </cfRule>
  </conditionalFormatting>
  <conditionalFormatting sqref="R343">
    <cfRule type="cellIs" dxfId="0" priority="13288" operator="equal">
      <formula>"欠"</formula>
    </cfRule>
  </conditionalFormatting>
  <conditionalFormatting sqref="S343">
    <cfRule type="cellIs" dxfId="0" priority="13238" operator="equal">
      <formula>"欠"</formula>
    </cfRule>
  </conditionalFormatting>
  <conditionalFormatting sqref="T343:V343">
    <cfRule type="cellIs" dxfId="0" priority="13188" operator="equal">
      <formula>"欠"</formula>
    </cfRule>
  </conditionalFormatting>
  <conditionalFormatting sqref="T343:U343">
    <cfRule type="containsText" dxfId="0" priority="13038" operator="between" text="欠">
      <formula>NOT(ISERROR(SEARCH("欠",T343)))</formula>
    </cfRule>
  </conditionalFormatting>
  <conditionalFormatting sqref="AG343:AH343">
    <cfRule type="cellIs" dxfId="0" priority="13338" operator="equal">
      <formula>"未完成"</formula>
    </cfRule>
  </conditionalFormatting>
  <conditionalFormatting sqref="AL343:AM343">
    <cfRule type="cellIs" dxfId="1" priority="13088" operator="equal">
      <formula>"未完成"</formula>
    </cfRule>
    <cfRule type="cellIs" dxfId="0" priority="13138" operator="equal">
      <formula>"未完成"</formula>
    </cfRule>
  </conditionalFormatting>
  <conditionalFormatting sqref="R344">
    <cfRule type="cellIs" dxfId="0" priority="13287" operator="equal">
      <formula>"欠"</formula>
    </cfRule>
  </conditionalFormatting>
  <conditionalFormatting sqref="S344">
    <cfRule type="cellIs" dxfId="0" priority="13237" operator="equal">
      <formula>"欠"</formula>
    </cfRule>
  </conditionalFormatting>
  <conditionalFormatting sqref="T344:V344">
    <cfRule type="cellIs" dxfId="0" priority="13187" operator="equal">
      <formula>"欠"</formula>
    </cfRule>
  </conditionalFormatting>
  <conditionalFormatting sqref="T344:U344">
    <cfRule type="containsText" dxfId="0" priority="13037" operator="between" text="欠">
      <formula>NOT(ISERROR(SEARCH("欠",T344)))</formula>
    </cfRule>
  </conditionalFormatting>
  <conditionalFormatting sqref="AG344:AH344">
    <cfRule type="cellIs" dxfId="0" priority="13337" operator="equal">
      <formula>"未完成"</formula>
    </cfRule>
  </conditionalFormatting>
  <conditionalFormatting sqref="AL344:AM344">
    <cfRule type="cellIs" dxfId="1" priority="13087" operator="equal">
      <formula>"未完成"</formula>
    </cfRule>
    <cfRule type="cellIs" dxfId="0" priority="13137" operator="equal">
      <formula>"未完成"</formula>
    </cfRule>
  </conditionalFormatting>
  <conditionalFormatting sqref="R345">
    <cfRule type="cellIs" dxfId="0" priority="13286" operator="equal">
      <formula>"欠"</formula>
    </cfRule>
  </conditionalFormatting>
  <conditionalFormatting sqref="S345">
    <cfRule type="cellIs" dxfId="0" priority="13236" operator="equal">
      <formula>"欠"</formula>
    </cfRule>
  </conditionalFormatting>
  <conditionalFormatting sqref="T345:V345">
    <cfRule type="cellIs" dxfId="0" priority="13186" operator="equal">
      <formula>"欠"</formula>
    </cfRule>
  </conditionalFormatting>
  <conditionalFormatting sqref="T345:U345">
    <cfRule type="containsText" dxfId="0" priority="13036" operator="between" text="欠">
      <formula>NOT(ISERROR(SEARCH("欠",T345)))</formula>
    </cfRule>
  </conditionalFormatting>
  <conditionalFormatting sqref="AG345:AH345">
    <cfRule type="cellIs" dxfId="0" priority="13336" operator="equal">
      <formula>"未完成"</formula>
    </cfRule>
  </conditionalFormatting>
  <conditionalFormatting sqref="AL345:AM345">
    <cfRule type="cellIs" dxfId="1" priority="13086" operator="equal">
      <formula>"未完成"</formula>
    </cfRule>
    <cfRule type="cellIs" dxfId="0" priority="13136" operator="equal">
      <formula>"未完成"</formula>
    </cfRule>
  </conditionalFormatting>
  <conditionalFormatting sqref="R346">
    <cfRule type="cellIs" dxfId="0" priority="13285" operator="equal">
      <formula>"欠"</formula>
    </cfRule>
  </conditionalFormatting>
  <conditionalFormatting sqref="S346">
    <cfRule type="cellIs" dxfId="0" priority="13235" operator="equal">
      <formula>"欠"</formula>
    </cfRule>
  </conditionalFormatting>
  <conditionalFormatting sqref="T346:V346">
    <cfRule type="cellIs" dxfId="0" priority="13185" operator="equal">
      <formula>"欠"</formula>
    </cfRule>
  </conditionalFormatting>
  <conditionalFormatting sqref="T346:U346">
    <cfRule type="containsText" dxfId="0" priority="13035" operator="between" text="欠">
      <formula>NOT(ISERROR(SEARCH("欠",T346)))</formula>
    </cfRule>
  </conditionalFormatting>
  <conditionalFormatting sqref="AG346:AH346">
    <cfRule type="cellIs" dxfId="0" priority="13335" operator="equal">
      <formula>"未完成"</formula>
    </cfRule>
  </conditionalFormatting>
  <conditionalFormatting sqref="AL346:AM346">
    <cfRule type="cellIs" dxfId="1" priority="13085" operator="equal">
      <formula>"未完成"</formula>
    </cfRule>
    <cfRule type="cellIs" dxfId="0" priority="13135" operator="equal">
      <formula>"未完成"</formula>
    </cfRule>
  </conditionalFormatting>
  <conditionalFormatting sqref="R347">
    <cfRule type="cellIs" dxfId="0" priority="13284" operator="equal">
      <formula>"欠"</formula>
    </cfRule>
  </conditionalFormatting>
  <conditionalFormatting sqref="S347">
    <cfRule type="cellIs" dxfId="0" priority="13234" operator="equal">
      <formula>"欠"</formula>
    </cfRule>
  </conditionalFormatting>
  <conditionalFormatting sqref="T347:V347">
    <cfRule type="cellIs" dxfId="0" priority="13184" operator="equal">
      <formula>"欠"</formula>
    </cfRule>
  </conditionalFormatting>
  <conditionalFormatting sqref="T347:U347">
    <cfRule type="containsText" dxfId="0" priority="13034" operator="between" text="欠">
      <formula>NOT(ISERROR(SEARCH("欠",T347)))</formula>
    </cfRule>
  </conditionalFormatting>
  <conditionalFormatting sqref="AG347:AH347">
    <cfRule type="cellIs" dxfId="0" priority="13334" operator="equal">
      <formula>"未完成"</formula>
    </cfRule>
  </conditionalFormatting>
  <conditionalFormatting sqref="AL347:AM347">
    <cfRule type="cellIs" dxfId="1" priority="13084" operator="equal">
      <formula>"未完成"</formula>
    </cfRule>
    <cfRule type="cellIs" dxfId="0" priority="13134" operator="equal">
      <formula>"未完成"</formula>
    </cfRule>
  </conditionalFormatting>
  <conditionalFormatting sqref="R348">
    <cfRule type="cellIs" dxfId="0" priority="13283" operator="equal">
      <formula>"欠"</formula>
    </cfRule>
  </conditionalFormatting>
  <conditionalFormatting sqref="S348">
    <cfRule type="cellIs" dxfId="0" priority="13233" operator="equal">
      <formula>"欠"</formula>
    </cfRule>
  </conditionalFormatting>
  <conditionalFormatting sqref="T348:V348">
    <cfRule type="cellIs" dxfId="0" priority="13183" operator="equal">
      <formula>"欠"</formula>
    </cfRule>
  </conditionalFormatting>
  <conditionalFormatting sqref="T348:U348">
    <cfRule type="containsText" dxfId="0" priority="13033" operator="between" text="欠">
      <formula>NOT(ISERROR(SEARCH("欠",T348)))</formula>
    </cfRule>
  </conditionalFormatting>
  <conditionalFormatting sqref="AG348:AH348">
    <cfRule type="cellIs" dxfId="0" priority="13333" operator="equal">
      <formula>"未完成"</formula>
    </cfRule>
  </conditionalFormatting>
  <conditionalFormatting sqref="AL348:AM348">
    <cfRule type="cellIs" dxfId="1" priority="13083" operator="equal">
      <formula>"未完成"</formula>
    </cfRule>
    <cfRule type="cellIs" dxfId="0" priority="13133" operator="equal">
      <formula>"未完成"</formula>
    </cfRule>
  </conditionalFormatting>
  <conditionalFormatting sqref="R349">
    <cfRule type="cellIs" dxfId="0" priority="13282" operator="equal">
      <formula>"欠"</formula>
    </cfRule>
  </conditionalFormatting>
  <conditionalFormatting sqref="S349">
    <cfRule type="cellIs" dxfId="0" priority="13232" operator="equal">
      <formula>"欠"</formula>
    </cfRule>
  </conditionalFormatting>
  <conditionalFormatting sqref="T349:V349">
    <cfRule type="cellIs" dxfId="0" priority="13182" operator="equal">
      <formula>"欠"</formula>
    </cfRule>
  </conditionalFormatting>
  <conditionalFormatting sqref="T349:U349">
    <cfRule type="containsText" dxfId="0" priority="13032" operator="between" text="欠">
      <formula>NOT(ISERROR(SEARCH("欠",T349)))</formula>
    </cfRule>
  </conditionalFormatting>
  <conditionalFormatting sqref="AG349:AH349">
    <cfRule type="cellIs" dxfId="0" priority="13332" operator="equal">
      <formula>"未完成"</formula>
    </cfRule>
  </conditionalFormatting>
  <conditionalFormatting sqref="AL349:AM349">
    <cfRule type="cellIs" dxfId="1" priority="13082" operator="equal">
      <formula>"未完成"</formula>
    </cfRule>
    <cfRule type="cellIs" dxfId="0" priority="13132" operator="equal">
      <formula>"未完成"</formula>
    </cfRule>
  </conditionalFormatting>
  <conditionalFormatting sqref="R350">
    <cfRule type="cellIs" dxfId="0" priority="13281" operator="equal">
      <formula>"欠"</formula>
    </cfRule>
  </conditionalFormatting>
  <conditionalFormatting sqref="S350">
    <cfRule type="cellIs" dxfId="0" priority="13231" operator="equal">
      <formula>"欠"</formula>
    </cfRule>
  </conditionalFormatting>
  <conditionalFormatting sqref="T350:V350">
    <cfRule type="cellIs" dxfId="0" priority="13181" operator="equal">
      <formula>"欠"</formula>
    </cfRule>
  </conditionalFormatting>
  <conditionalFormatting sqref="T350:U350">
    <cfRule type="containsText" dxfId="0" priority="13031" operator="between" text="欠">
      <formula>NOT(ISERROR(SEARCH("欠",T350)))</formula>
    </cfRule>
  </conditionalFormatting>
  <conditionalFormatting sqref="AG350:AH350">
    <cfRule type="cellIs" dxfId="0" priority="13331" operator="equal">
      <formula>"未完成"</formula>
    </cfRule>
  </conditionalFormatting>
  <conditionalFormatting sqref="AL350:AM350">
    <cfRule type="cellIs" dxfId="1" priority="13081" operator="equal">
      <formula>"未完成"</formula>
    </cfRule>
    <cfRule type="cellIs" dxfId="0" priority="13131" operator="equal">
      <formula>"未完成"</formula>
    </cfRule>
  </conditionalFormatting>
  <conditionalFormatting sqref="R351">
    <cfRule type="cellIs" dxfId="0" priority="13280" operator="equal">
      <formula>"欠"</formula>
    </cfRule>
  </conditionalFormatting>
  <conditionalFormatting sqref="S351">
    <cfRule type="cellIs" dxfId="0" priority="13230" operator="equal">
      <formula>"欠"</formula>
    </cfRule>
  </conditionalFormatting>
  <conditionalFormatting sqref="T351:V351">
    <cfRule type="cellIs" dxfId="0" priority="13180" operator="equal">
      <formula>"欠"</formula>
    </cfRule>
  </conditionalFormatting>
  <conditionalFormatting sqref="T351:U351">
    <cfRule type="containsText" dxfId="0" priority="13030" operator="between" text="欠">
      <formula>NOT(ISERROR(SEARCH("欠",T351)))</formula>
    </cfRule>
  </conditionalFormatting>
  <conditionalFormatting sqref="AG351:AH351">
    <cfRule type="cellIs" dxfId="0" priority="13330" operator="equal">
      <formula>"未完成"</formula>
    </cfRule>
  </conditionalFormatting>
  <conditionalFormatting sqref="AL351:AM351">
    <cfRule type="cellIs" dxfId="1" priority="13080" operator="equal">
      <formula>"未完成"</formula>
    </cfRule>
    <cfRule type="cellIs" dxfId="0" priority="13130" operator="equal">
      <formula>"未完成"</formula>
    </cfRule>
  </conditionalFormatting>
  <conditionalFormatting sqref="R352">
    <cfRule type="cellIs" dxfId="0" priority="13279" operator="equal">
      <formula>"欠"</formula>
    </cfRule>
  </conditionalFormatting>
  <conditionalFormatting sqref="S352">
    <cfRule type="cellIs" dxfId="0" priority="13229" operator="equal">
      <formula>"欠"</formula>
    </cfRule>
  </conditionalFormatting>
  <conditionalFormatting sqref="T352:V352">
    <cfRule type="cellIs" dxfId="0" priority="13179" operator="equal">
      <formula>"欠"</formula>
    </cfRule>
  </conditionalFormatting>
  <conditionalFormatting sqref="T352:U352">
    <cfRule type="containsText" dxfId="0" priority="13029" operator="between" text="欠">
      <formula>NOT(ISERROR(SEARCH("欠",T352)))</formula>
    </cfRule>
  </conditionalFormatting>
  <conditionalFormatting sqref="AG352:AH352">
    <cfRule type="cellIs" dxfId="0" priority="13329" operator="equal">
      <formula>"未完成"</formula>
    </cfRule>
  </conditionalFormatting>
  <conditionalFormatting sqref="AL352:AM352">
    <cfRule type="cellIs" dxfId="1" priority="13079" operator="equal">
      <formula>"未完成"</formula>
    </cfRule>
    <cfRule type="cellIs" dxfId="0" priority="13129" operator="equal">
      <formula>"未完成"</formula>
    </cfRule>
  </conditionalFormatting>
  <conditionalFormatting sqref="R353">
    <cfRule type="cellIs" dxfId="0" priority="13278" operator="equal">
      <formula>"欠"</formula>
    </cfRule>
  </conditionalFormatting>
  <conditionalFormatting sqref="S353">
    <cfRule type="cellIs" dxfId="0" priority="13228" operator="equal">
      <formula>"欠"</formula>
    </cfRule>
  </conditionalFormatting>
  <conditionalFormatting sqref="T353:V353">
    <cfRule type="cellIs" dxfId="0" priority="13178" operator="equal">
      <formula>"欠"</formula>
    </cfRule>
  </conditionalFormatting>
  <conditionalFormatting sqref="T353:U353">
    <cfRule type="containsText" dxfId="0" priority="13028" operator="between" text="欠">
      <formula>NOT(ISERROR(SEARCH("欠",T353)))</formula>
    </cfRule>
  </conditionalFormatting>
  <conditionalFormatting sqref="AG353:AH353">
    <cfRule type="cellIs" dxfId="0" priority="13328" operator="equal">
      <formula>"未完成"</formula>
    </cfRule>
  </conditionalFormatting>
  <conditionalFormatting sqref="AL353:AM353">
    <cfRule type="cellIs" dxfId="1" priority="13078" operator="equal">
      <formula>"未完成"</formula>
    </cfRule>
    <cfRule type="cellIs" dxfId="0" priority="13128" operator="equal">
      <formula>"未完成"</formula>
    </cfRule>
  </conditionalFormatting>
  <conditionalFormatting sqref="R354">
    <cfRule type="cellIs" dxfId="0" priority="13277" operator="equal">
      <formula>"欠"</formula>
    </cfRule>
  </conditionalFormatting>
  <conditionalFormatting sqref="S354">
    <cfRule type="cellIs" dxfId="0" priority="13227" operator="equal">
      <formula>"欠"</formula>
    </cfRule>
  </conditionalFormatting>
  <conditionalFormatting sqref="T354:V354">
    <cfRule type="cellIs" dxfId="0" priority="13177" operator="equal">
      <formula>"欠"</formula>
    </cfRule>
  </conditionalFormatting>
  <conditionalFormatting sqref="T354:U354">
    <cfRule type="containsText" dxfId="0" priority="13027" operator="between" text="欠">
      <formula>NOT(ISERROR(SEARCH("欠",T354)))</formula>
    </cfRule>
  </conditionalFormatting>
  <conditionalFormatting sqref="AG354:AH354">
    <cfRule type="cellIs" dxfId="0" priority="13327" operator="equal">
      <formula>"未完成"</formula>
    </cfRule>
  </conditionalFormatting>
  <conditionalFormatting sqref="AM354">
    <cfRule type="cellIs" dxfId="1" priority="13077" operator="equal">
      <formula>"未完成"</formula>
    </cfRule>
    <cfRule type="cellIs" dxfId="0" priority="13127" operator="equal">
      <formula>"未完成"</formula>
    </cfRule>
  </conditionalFormatting>
  <conditionalFormatting sqref="R355">
    <cfRule type="cellIs" dxfId="0" priority="13276" operator="equal">
      <formula>"欠"</formula>
    </cfRule>
  </conditionalFormatting>
  <conditionalFormatting sqref="S355">
    <cfRule type="cellIs" dxfId="0" priority="13226" operator="equal">
      <formula>"欠"</formula>
    </cfRule>
  </conditionalFormatting>
  <conditionalFormatting sqref="T355:V355">
    <cfRule type="cellIs" dxfId="0" priority="13176" operator="equal">
      <formula>"欠"</formula>
    </cfRule>
  </conditionalFormatting>
  <conditionalFormatting sqref="T355:U355">
    <cfRule type="containsText" dxfId="0" priority="13026" operator="between" text="欠">
      <formula>NOT(ISERROR(SEARCH("欠",T355)))</formula>
    </cfRule>
  </conditionalFormatting>
  <conditionalFormatting sqref="AG355:AH355">
    <cfRule type="cellIs" dxfId="0" priority="13326" operator="equal">
      <formula>"未完成"</formula>
    </cfRule>
  </conditionalFormatting>
  <conditionalFormatting sqref="AL355:AM355">
    <cfRule type="cellIs" dxfId="1" priority="13076" operator="equal">
      <formula>"未完成"</formula>
    </cfRule>
    <cfRule type="cellIs" dxfId="0" priority="13126" operator="equal">
      <formula>"未完成"</formula>
    </cfRule>
  </conditionalFormatting>
  <conditionalFormatting sqref="R356">
    <cfRule type="cellIs" dxfId="0" priority="13275" operator="equal">
      <formula>"欠"</formula>
    </cfRule>
  </conditionalFormatting>
  <conditionalFormatting sqref="S356">
    <cfRule type="cellIs" dxfId="0" priority="13225" operator="equal">
      <formula>"欠"</formula>
    </cfRule>
  </conditionalFormatting>
  <conditionalFormatting sqref="T356:V356">
    <cfRule type="cellIs" dxfId="0" priority="13175" operator="equal">
      <formula>"欠"</formula>
    </cfRule>
  </conditionalFormatting>
  <conditionalFormatting sqref="T356:U356">
    <cfRule type="containsText" dxfId="0" priority="13025" operator="between" text="欠">
      <formula>NOT(ISERROR(SEARCH("欠",T356)))</formula>
    </cfRule>
  </conditionalFormatting>
  <conditionalFormatting sqref="AG356:AH356">
    <cfRule type="cellIs" dxfId="0" priority="13325" operator="equal">
      <formula>"未完成"</formula>
    </cfRule>
  </conditionalFormatting>
  <conditionalFormatting sqref="AL356:AM356">
    <cfRule type="cellIs" dxfId="1" priority="13075" operator="equal">
      <formula>"未完成"</formula>
    </cfRule>
    <cfRule type="cellIs" dxfId="0" priority="13125" operator="equal">
      <formula>"未完成"</formula>
    </cfRule>
  </conditionalFormatting>
  <conditionalFormatting sqref="R357">
    <cfRule type="cellIs" dxfId="0" priority="13274" operator="equal">
      <formula>"欠"</formula>
    </cfRule>
  </conditionalFormatting>
  <conditionalFormatting sqref="S357">
    <cfRule type="cellIs" dxfId="0" priority="13224" operator="equal">
      <formula>"欠"</formula>
    </cfRule>
  </conditionalFormatting>
  <conditionalFormatting sqref="T357:V357">
    <cfRule type="cellIs" dxfId="0" priority="13174" operator="equal">
      <formula>"欠"</formula>
    </cfRule>
  </conditionalFormatting>
  <conditionalFormatting sqref="T357:U357">
    <cfRule type="containsText" dxfId="0" priority="13024" operator="between" text="欠">
      <formula>NOT(ISERROR(SEARCH("欠",T357)))</formula>
    </cfRule>
  </conditionalFormatting>
  <conditionalFormatting sqref="AG357:AH357">
    <cfRule type="cellIs" dxfId="0" priority="13324" operator="equal">
      <formula>"未完成"</formula>
    </cfRule>
  </conditionalFormatting>
  <conditionalFormatting sqref="AL357:AM357">
    <cfRule type="cellIs" dxfId="1" priority="13074" operator="equal">
      <formula>"未完成"</formula>
    </cfRule>
    <cfRule type="cellIs" dxfId="0" priority="13124" operator="equal">
      <formula>"未完成"</formula>
    </cfRule>
  </conditionalFormatting>
  <conditionalFormatting sqref="R358">
    <cfRule type="cellIs" dxfId="0" priority="13273" operator="equal">
      <formula>"欠"</formula>
    </cfRule>
  </conditionalFormatting>
  <conditionalFormatting sqref="S358">
    <cfRule type="cellIs" dxfId="0" priority="13223" operator="equal">
      <formula>"欠"</formula>
    </cfRule>
  </conditionalFormatting>
  <conditionalFormatting sqref="T358:V358">
    <cfRule type="cellIs" dxfId="0" priority="13173" operator="equal">
      <formula>"欠"</formula>
    </cfRule>
  </conditionalFormatting>
  <conditionalFormatting sqref="T358:U358">
    <cfRule type="containsText" dxfId="0" priority="13023" operator="between" text="欠">
      <formula>NOT(ISERROR(SEARCH("欠",T358)))</formula>
    </cfRule>
  </conditionalFormatting>
  <conditionalFormatting sqref="AG358:AH358">
    <cfRule type="cellIs" dxfId="0" priority="13323" operator="equal">
      <formula>"未完成"</formula>
    </cfRule>
  </conditionalFormatting>
  <conditionalFormatting sqref="AL358:AM358">
    <cfRule type="cellIs" dxfId="1" priority="13073" operator="equal">
      <formula>"未完成"</formula>
    </cfRule>
    <cfRule type="cellIs" dxfId="0" priority="13123" operator="equal">
      <formula>"未完成"</formula>
    </cfRule>
  </conditionalFormatting>
  <conditionalFormatting sqref="R359">
    <cfRule type="cellIs" dxfId="0" priority="13272" operator="equal">
      <formula>"欠"</formula>
    </cfRule>
  </conditionalFormatting>
  <conditionalFormatting sqref="S359">
    <cfRule type="cellIs" dxfId="0" priority="13222" operator="equal">
      <formula>"欠"</formula>
    </cfRule>
  </conditionalFormatting>
  <conditionalFormatting sqref="T359:V359">
    <cfRule type="cellIs" dxfId="0" priority="13172" operator="equal">
      <formula>"欠"</formula>
    </cfRule>
  </conditionalFormatting>
  <conditionalFormatting sqref="T359:U359">
    <cfRule type="containsText" dxfId="0" priority="13022" operator="between" text="欠">
      <formula>NOT(ISERROR(SEARCH("欠",T359)))</formula>
    </cfRule>
  </conditionalFormatting>
  <conditionalFormatting sqref="AG359:AH359">
    <cfRule type="cellIs" dxfId="0" priority="13322" operator="equal">
      <formula>"未完成"</formula>
    </cfRule>
  </conditionalFormatting>
  <conditionalFormatting sqref="AL359:AM359">
    <cfRule type="cellIs" dxfId="1" priority="13072" operator="equal">
      <formula>"未完成"</formula>
    </cfRule>
    <cfRule type="cellIs" dxfId="0" priority="13122" operator="equal">
      <formula>"未完成"</formula>
    </cfRule>
  </conditionalFormatting>
  <conditionalFormatting sqref="R360">
    <cfRule type="cellIs" dxfId="0" priority="13271" operator="equal">
      <formula>"欠"</formula>
    </cfRule>
  </conditionalFormatting>
  <conditionalFormatting sqref="S360">
    <cfRule type="cellIs" dxfId="0" priority="13221" operator="equal">
      <formula>"欠"</formula>
    </cfRule>
  </conditionalFormatting>
  <conditionalFormatting sqref="T360:V360">
    <cfRule type="cellIs" dxfId="0" priority="13171" operator="equal">
      <formula>"欠"</formula>
    </cfRule>
  </conditionalFormatting>
  <conditionalFormatting sqref="T360:U360">
    <cfRule type="containsText" dxfId="0" priority="13021" operator="between" text="欠">
      <formula>NOT(ISERROR(SEARCH("欠",T360)))</formula>
    </cfRule>
  </conditionalFormatting>
  <conditionalFormatting sqref="AG360:AH360">
    <cfRule type="cellIs" dxfId="0" priority="13321" operator="equal">
      <formula>"未完成"</formula>
    </cfRule>
  </conditionalFormatting>
  <conditionalFormatting sqref="AL360:AM360">
    <cfRule type="cellIs" dxfId="1" priority="13071" operator="equal">
      <formula>"未完成"</formula>
    </cfRule>
    <cfRule type="cellIs" dxfId="0" priority="13121" operator="equal">
      <formula>"未完成"</formula>
    </cfRule>
  </conditionalFormatting>
  <conditionalFormatting sqref="R361">
    <cfRule type="cellIs" dxfId="0" priority="13270" operator="equal">
      <formula>"欠"</formula>
    </cfRule>
  </conditionalFormatting>
  <conditionalFormatting sqref="S361">
    <cfRule type="cellIs" dxfId="0" priority="13220" operator="equal">
      <formula>"欠"</formula>
    </cfRule>
  </conditionalFormatting>
  <conditionalFormatting sqref="T361:V361">
    <cfRule type="cellIs" dxfId="0" priority="13170" operator="equal">
      <formula>"欠"</formula>
    </cfRule>
  </conditionalFormatting>
  <conditionalFormatting sqref="T361:U361">
    <cfRule type="containsText" dxfId="0" priority="13020" operator="between" text="欠">
      <formula>NOT(ISERROR(SEARCH("欠",T361)))</formula>
    </cfRule>
  </conditionalFormatting>
  <conditionalFormatting sqref="AG361:AH361">
    <cfRule type="cellIs" dxfId="0" priority="13320" operator="equal">
      <formula>"未完成"</formula>
    </cfRule>
  </conditionalFormatting>
  <conditionalFormatting sqref="AL361:AM361">
    <cfRule type="cellIs" dxfId="1" priority="13070" operator="equal">
      <formula>"未完成"</formula>
    </cfRule>
    <cfRule type="cellIs" dxfId="0" priority="13120" operator="equal">
      <formula>"未完成"</formula>
    </cfRule>
  </conditionalFormatting>
  <conditionalFormatting sqref="R362">
    <cfRule type="cellIs" dxfId="0" priority="13269" operator="equal">
      <formula>"欠"</formula>
    </cfRule>
  </conditionalFormatting>
  <conditionalFormatting sqref="S362">
    <cfRule type="cellIs" dxfId="0" priority="13219" operator="equal">
      <formula>"欠"</formula>
    </cfRule>
  </conditionalFormatting>
  <conditionalFormatting sqref="T362:V362">
    <cfRule type="cellIs" dxfId="0" priority="13169" operator="equal">
      <formula>"欠"</formula>
    </cfRule>
  </conditionalFormatting>
  <conditionalFormatting sqref="T362:U362">
    <cfRule type="containsText" dxfId="0" priority="13019" operator="between" text="欠">
      <formula>NOT(ISERROR(SEARCH("欠",T362)))</formula>
    </cfRule>
  </conditionalFormatting>
  <conditionalFormatting sqref="AG362:AH362">
    <cfRule type="cellIs" dxfId="0" priority="13319" operator="equal">
      <formula>"未完成"</formula>
    </cfRule>
  </conditionalFormatting>
  <conditionalFormatting sqref="AL362:AM362">
    <cfRule type="cellIs" dxfId="1" priority="13069" operator="equal">
      <formula>"未完成"</formula>
    </cfRule>
    <cfRule type="cellIs" dxfId="0" priority="13119" operator="equal">
      <formula>"未完成"</formula>
    </cfRule>
  </conditionalFormatting>
  <conditionalFormatting sqref="R363">
    <cfRule type="cellIs" dxfId="0" priority="13268" operator="equal">
      <formula>"欠"</formula>
    </cfRule>
  </conditionalFormatting>
  <conditionalFormatting sqref="S363">
    <cfRule type="cellIs" dxfId="0" priority="13218" operator="equal">
      <formula>"欠"</formula>
    </cfRule>
  </conditionalFormatting>
  <conditionalFormatting sqref="T363:V363">
    <cfRule type="cellIs" dxfId="0" priority="13168" operator="equal">
      <formula>"欠"</formula>
    </cfRule>
  </conditionalFormatting>
  <conditionalFormatting sqref="T363:U363">
    <cfRule type="containsText" dxfId="0" priority="13018" operator="between" text="欠">
      <formula>NOT(ISERROR(SEARCH("欠",T363)))</formula>
    </cfRule>
  </conditionalFormatting>
  <conditionalFormatting sqref="AG363:AH363">
    <cfRule type="cellIs" dxfId="0" priority="13318" operator="equal">
      <formula>"未完成"</formula>
    </cfRule>
  </conditionalFormatting>
  <conditionalFormatting sqref="AL363:AM363">
    <cfRule type="cellIs" dxfId="1" priority="13068" operator="equal">
      <formula>"未完成"</formula>
    </cfRule>
    <cfRule type="cellIs" dxfId="0" priority="13118" operator="equal">
      <formula>"未完成"</formula>
    </cfRule>
  </conditionalFormatting>
  <conditionalFormatting sqref="R364">
    <cfRule type="cellIs" dxfId="0" priority="13267" operator="equal">
      <formula>"欠"</formula>
    </cfRule>
  </conditionalFormatting>
  <conditionalFormatting sqref="S364">
    <cfRule type="cellIs" dxfId="0" priority="13217" operator="equal">
      <formula>"欠"</formula>
    </cfRule>
  </conditionalFormatting>
  <conditionalFormatting sqref="T364:V364">
    <cfRule type="cellIs" dxfId="0" priority="13167" operator="equal">
      <formula>"欠"</formula>
    </cfRule>
  </conditionalFormatting>
  <conditionalFormatting sqref="T364:U364">
    <cfRule type="containsText" dxfId="0" priority="13017" operator="between" text="欠">
      <formula>NOT(ISERROR(SEARCH("欠",T364)))</formula>
    </cfRule>
  </conditionalFormatting>
  <conditionalFormatting sqref="AG364:AH364">
    <cfRule type="cellIs" dxfId="0" priority="13317" operator="equal">
      <formula>"未完成"</formula>
    </cfRule>
  </conditionalFormatting>
  <conditionalFormatting sqref="AL364:AM364">
    <cfRule type="cellIs" dxfId="1" priority="13067" operator="equal">
      <formula>"未完成"</formula>
    </cfRule>
    <cfRule type="cellIs" dxfId="0" priority="13117" operator="equal">
      <formula>"未完成"</formula>
    </cfRule>
  </conditionalFormatting>
  <conditionalFormatting sqref="R365">
    <cfRule type="cellIs" dxfId="0" priority="13266" operator="equal">
      <formula>"欠"</formula>
    </cfRule>
  </conditionalFormatting>
  <conditionalFormatting sqref="S365">
    <cfRule type="cellIs" dxfId="0" priority="13216" operator="equal">
      <formula>"欠"</formula>
    </cfRule>
  </conditionalFormatting>
  <conditionalFormatting sqref="T365:V365">
    <cfRule type="cellIs" dxfId="0" priority="13166" operator="equal">
      <formula>"欠"</formula>
    </cfRule>
  </conditionalFormatting>
  <conditionalFormatting sqref="T365:U365">
    <cfRule type="containsText" dxfId="0" priority="13016" operator="between" text="欠">
      <formula>NOT(ISERROR(SEARCH("欠",T365)))</formula>
    </cfRule>
  </conditionalFormatting>
  <conditionalFormatting sqref="AG365:AH365">
    <cfRule type="cellIs" dxfId="0" priority="13316" operator="equal">
      <formula>"未完成"</formula>
    </cfRule>
  </conditionalFormatting>
  <conditionalFormatting sqref="AL365:AM365">
    <cfRule type="cellIs" dxfId="1" priority="13066" operator="equal">
      <formula>"未完成"</formula>
    </cfRule>
    <cfRule type="cellIs" dxfId="0" priority="13116" operator="equal">
      <formula>"未完成"</formula>
    </cfRule>
  </conditionalFormatting>
  <conditionalFormatting sqref="R366">
    <cfRule type="cellIs" dxfId="0" priority="13265" operator="equal">
      <formula>"欠"</formula>
    </cfRule>
  </conditionalFormatting>
  <conditionalFormatting sqref="S366">
    <cfRule type="cellIs" dxfId="0" priority="13215" operator="equal">
      <formula>"欠"</formula>
    </cfRule>
  </conditionalFormatting>
  <conditionalFormatting sqref="T366:V366">
    <cfRule type="cellIs" dxfId="0" priority="13165" operator="equal">
      <formula>"欠"</formula>
    </cfRule>
  </conditionalFormatting>
  <conditionalFormatting sqref="T366:U366">
    <cfRule type="containsText" dxfId="0" priority="13015" operator="between" text="欠">
      <formula>NOT(ISERROR(SEARCH("欠",T366)))</formula>
    </cfRule>
  </conditionalFormatting>
  <conditionalFormatting sqref="AG366:AH366">
    <cfRule type="cellIs" dxfId="0" priority="13315" operator="equal">
      <formula>"未完成"</formula>
    </cfRule>
  </conditionalFormatting>
  <conditionalFormatting sqref="AL366:AM366">
    <cfRule type="cellIs" dxfId="1" priority="13065" operator="equal">
      <formula>"未完成"</formula>
    </cfRule>
    <cfRule type="cellIs" dxfId="0" priority="13115" operator="equal">
      <formula>"未完成"</formula>
    </cfRule>
  </conditionalFormatting>
  <conditionalFormatting sqref="R367">
    <cfRule type="cellIs" dxfId="0" priority="13264" operator="equal">
      <formula>"欠"</formula>
    </cfRule>
  </conditionalFormatting>
  <conditionalFormatting sqref="S367">
    <cfRule type="cellIs" dxfId="0" priority="13214" operator="equal">
      <formula>"欠"</formula>
    </cfRule>
  </conditionalFormatting>
  <conditionalFormatting sqref="T367:V367">
    <cfRule type="cellIs" dxfId="0" priority="13164" operator="equal">
      <formula>"欠"</formula>
    </cfRule>
  </conditionalFormatting>
  <conditionalFormatting sqref="T367:U367">
    <cfRule type="containsText" dxfId="0" priority="13014" operator="between" text="欠">
      <formula>NOT(ISERROR(SEARCH("欠",T367)))</formula>
    </cfRule>
  </conditionalFormatting>
  <conditionalFormatting sqref="AG367:AH367">
    <cfRule type="cellIs" dxfId="0" priority="13314" operator="equal">
      <formula>"未完成"</formula>
    </cfRule>
  </conditionalFormatting>
  <conditionalFormatting sqref="AL367:AM367">
    <cfRule type="cellIs" dxfId="1" priority="13064" operator="equal">
      <formula>"未完成"</formula>
    </cfRule>
    <cfRule type="cellIs" dxfId="0" priority="13114" operator="equal">
      <formula>"未完成"</formula>
    </cfRule>
  </conditionalFormatting>
  <conditionalFormatting sqref="R368">
    <cfRule type="cellIs" dxfId="0" priority="13263" operator="equal">
      <formula>"欠"</formula>
    </cfRule>
  </conditionalFormatting>
  <conditionalFormatting sqref="AG368:AH368">
    <cfRule type="cellIs" dxfId="0" priority="13313" operator="equal">
      <formula>"未完成"</formula>
    </cfRule>
  </conditionalFormatting>
  <conditionalFormatting sqref="AL368:AM368">
    <cfRule type="cellIs" dxfId="1" priority="13063" operator="equal">
      <formula>"未完成"</formula>
    </cfRule>
    <cfRule type="cellIs" dxfId="0" priority="13113" operator="equal">
      <formula>"未完成"</formula>
    </cfRule>
  </conditionalFormatting>
  <conditionalFormatting sqref="R369">
    <cfRule type="cellIs" dxfId="0" priority="13262" operator="equal">
      <formula>"欠"</formula>
    </cfRule>
  </conditionalFormatting>
  <conditionalFormatting sqref="S369">
    <cfRule type="cellIs" dxfId="0" priority="13212" operator="equal">
      <formula>"欠"</formula>
    </cfRule>
  </conditionalFormatting>
  <conditionalFormatting sqref="T369:V369">
    <cfRule type="cellIs" dxfId="0" priority="13162" operator="equal">
      <formula>"欠"</formula>
    </cfRule>
  </conditionalFormatting>
  <conditionalFormatting sqref="T369:U369">
    <cfRule type="containsText" dxfId="0" priority="13012" operator="between" text="欠">
      <formula>NOT(ISERROR(SEARCH("欠",T369)))</formula>
    </cfRule>
  </conditionalFormatting>
  <conditionalFormatting sqref="AG369:AH369">
    <cfRule type="cellIs" dxfId="0" priority="13312" operator="equal">
      <formula>"未完成"</formula>
    </cfRule>
  </conditionalFormatting>
  <conditionalFormatting sqref="AL369:AM369">
    <cfRule type="cellIs" dxfId="1" priority="13062" operator="equal">
      <formula>"未完成"</formula>
    </cfRule>
    <cfRule type="cellIs" dxfId="0" priority="13112" operator="equal">
      <formula>"未完成"</formula>
    </cfRule>
  </conditionalFormatting>
  <conditionalFormatting sqref="R370">
    <cfRule type="cellIs" dxfId="0" priority="13261" operator="equal">
      <formula>"欠"</formula>
    </cfRule>
  </conditionalFormatting>
  <conditionalFormatting sqref="S370">
    <cfRule type="cellIs" dxfId="0" priority="13211" operator="equal">
      <formula>"欠"</formula>
    </cfRule>
  </conditionalFormatting>
  <conditionalFormatting sqref="T370:V370">
    <cfRule type="cellIs" dxfId="0" priority="13161" operator="equal">
      <formula>"欠"</formula>
    </cfRule>
  </conditionalFormatting>
  <conditionalFormatting sqref="T370:U370">
    <cfRule type="containsText" dxfId="0" priority="13011" operator="between" text="欠">
      <formula>NOT(ISERROR(SEARCH("欠",T370)))</formula>
    </cfRule>
  </conditionalFormatting>
  <conditionalFormatting sqref="AG370:AH370">
    <cfRule type="cellIs" dxfId="0" priority="13311" operator="equal">
      <formula>"未完成"</formula>
    </cfRule>
  </conditionalFormatting>
  <conditionalFormatting sqref="AL370:AM370">
    <cfRule type="cellIs" dxfId="1" priority="13061" operator="equal">
      <formula>"未完成"</formula>
    </cfRule>
    <cfRule type="cellIs" dxfId="0" priority="13111" operator="equal">
      <formula>"未完成"</formula>
    </cfRule>
  </conditionalFormatting>
  <conditionalFormatting sqref="R371">
    <cfRule type="cellIs" dxfId="0" priority="13260" operator="equal">
      <formula>"欠"</formula>
    </cfRule>
  </conditionalFormatting>
  <conditionalFormatting sqref="S371">
    <cfRule type="cellIs" dxfId="0" priority="13210" operator="equal">
      <formula>"欠"</formula>
    </cfRule>
  </conditionalFormatting>
  <conditionalFormatting sqref="T371:V371">
    <cfRule type="cellIs" dxfId="0" priority="13160" operator="equal">
      <formula>"欠"</formula>
    </cfRule>
  </conditionalFormatting>
  <conditionalFormatting sqref="T371:U371">
    <cfRule type="containsText" dxfId="0" priority="13010" operator="between" text="欠">
      <formula>NOT(ISERROR(SEARCH("欠",T371)))</formula>
    </cfRule>
  </conditionalFormatting>
  <conditionalFormatting sqref="AG371:AH371">
    <cfRule type="cellIs" dxfId="0" priority="13310" operator="equal">
      <formula>"未完成"</formula>
    </cfRule>
  </conditionalFormatting>
  <conditionalFormatting sqref="AL371:AM371">
    <cfRule type="cellIs" dxfId="1" priority="13060" operator="equal">
      <formula>"未完成"</formula>
    </cfRule>
    <cfRule type="cellIs" dxfId="0" priority="13110" operator="equal">
      <formula>"未完成"</formula>
    </cfRule>
  </conditionalFormatting>
  <conditionalFormatting sqref="R372">
    <cfRule type="cellIs" dxfId="0" priority="13259" operator="equal">
      <formula>"欠"</formula>
    </cfRule>
  </conditionalFormatting>
  <conditionalFormatting sqref="S372">
    <cfRule type="cellIs" dxfId="0" priority="13209" operator="equal">
      <formula>"欠"</formula>
    </cfRule>
  </conditionalFormatting>
  <conditionalFormatting sqref="T372:V372">
    <cfRule type="cellIs" dxfId="0" priority="13159" operator="equal">
      <formula>"欠"</formula>
    </cfRule>
  </conditionalFormatting>
  <conditionalFormatting sqref="T372:U372">
    <cfRule type="containsText" dxfId="0" priority="13009" operator="between" text="欠">
      <formula>NOT(ISERROR(SEARCH("欠",T372)))</formula>
    </cfRule>
  </conditionalFormatting>
  <conditionalFormatting sqref="AG372:AH372">
    <cfRule type="cellIs" dxfId="0" priority="13309" operator="equal">
      <formula>"未完成"</formula>
    </cfRule>
  </conditionalFormatting>
  <conditionalFormatting sqref="AL372:AM372">
    <cfRule type="cellIs" dxfId="1" priority="13059" operator="equal">
      <formula>"未完成"</formula>
    </cfRule>
    <cfRule type="cellIs" dxfId="0" priority="13109" operator="equal">
      <formula>"未完成"</formula>
    </cfRule>
  </conditionalFormatting>
  <conditionalFormatting sqref="R373">
    <cfRule type="cellIs" dxfId="0" priority="13258" operator="equal">
      <formula>"欠"</formula>
    </cfRule>
  </conditionalFormatting>
  <conditionalFormatting sqref="S373">
    <cfRule type="cellIs" dxfId="0" priority="13208" operator="equal">
      <formula>"欠"</formula>
    </cfRule>
  </conditionalFormatting>
  <conditionalFormatting sqref="T373:V373">
    <cfRule type="cellIs" dxfId="0" priority="13158" operator="equal">
      <formula>"欠"</formula>
    </cfRule>
  </conditionalFormatting>
  <conditionalFormatting sqref="T373:U373">
    <cfRule type="containsText" dxfId="0" priority="13008" operator="between" text="欠">
      <formula>NOT(ISERROR(SEARCH("欠",T373)))</formula>
    </cfRule>
  </conditionalFormatting>
  <conditionalFormatting sqref="AG373:AH373">
    <cfRule type="cellIs" dxfId="0" priority="13308" operator="equal">
      <formula>"未完成"</formula>
    </cfRule>
  </conditionalFormatting>
  <conditionalFormatting sqref="AL373:AM373">
    <cfRule type="cellIs" dxfId="1" priority="13058" operator="equal">
      <formula>"未完成"</formula>
    </cfRule>
    <cfRule type="cellIs" dxfId="0" priority="13108" operator="equal">
      <formula>"未完成"</formula>
    </cfRule>
  </conditionalFormatting>
  <conditionalFormatting sqref="R374">
    <cfRule type="cellIs" dxfId="0" priority="13257" operator="equal">
      <formula>"欠"</formula>
    </cfRule>
  </conditionalFormatting>
  <conditionalFormatting sqref="S374">
    <cfRule type="cellIs" dxfId="0" priority="13207" operator="equal">
      <formula>"欠"</formula>
    </cfRule>
  </conditionalFormatting>
  <conditionalFormatting sqref="T374:V374">
    <cfRule type="cellIs" dxfId="0" priority="13157" operator="equal">
      <formula>"欠"</formula>
    </cfRule>
  </conditionalFormatting>
  <conditionalFormatting sqref="T374:U374">
    <cfRule type="containsText" dxfId="0" priority="13007" operator="between" text="欠">
      <formula>NOT(ISERROR(SEARCH("欠",T374)))</formula>
    </cfRule>
  </conditionalFormatting>
  <conditionalFormatting sqref="AG374:AH374">
    <cfRule type="cellIs" dxfId="0" priority="13307" operator="equal">
      <formula>"未完成"</formula>
    </cfRule>
  </conditionalFormatting>
  <conditionalFormatting sqref="AL374:AM374">
    <cfRule type="cellIs" dxfId="1" priority="13057" operator="equal">
      <formula>"未完成"</formula>
    </cfRule>
    <cfRule type="cellIs" dxfId="0" priority="13107" operator="equal">
      <formula>"未完成"</formula>
    </cfRule>
  </conditionalFormatting>
  <conditionalFormatting sqref="R375">
    <cfRule type="cellIs" dxfId="0" priority="13256" operator="equal">
      <formula>"欠"</formula>
    </cfRule>
  </conditionalFormatting>
  <conditionalFormatting sqref="S375">
    <cfRule type="cellIs" dxfId="0" priority="13206" operator="equal">
      <formula>"欠"</formula>
    </cfRule>
  </conditionalFormatting>
  <conditionalFormatting sqref="T375:V375">
    <cfRule type="cellIs" dxfId="0" priority="13156" operator="equal">
      <formula>"欠"</formula>
    </cfRule>
  </conditionalFormatting>
  <conditionalFormatting sqref="T375:U375">
    <cfRule type="containsText" dxfId="0" priority="13006" operator="between" text="欠">
      <formula>NOT(ISERROR(SEARCH("欠",T375)))</formula>
    </cfRule>
  </conditionalFormatting>
  <conditionalFormatting sqref="AG375:AH375">
    <cfRule type="cellIs" dxfId="0" priority="13306" operator="equal">
      <formula>"未完成"</formula>
    </cfRule>
  </conditionalFormatting>
  <conditionalFormatting sqref="AL375:AM375">
    <cfRule type="cellIs" dxfId="1" priority="13056" operator="equal">
      <formula>"未完成"</formula>
    </cfRule>
    <cfRule type="cellIs" dxfId="0" priority="13106" operator="equal">
      <formula>"未完成"</formula>
    </cfRule>
  </conditionalFormatting>
  <conditionalFormatting sqref="R376">
    <cfRule type="cellIs" dxfId="0" priority="13255" operator="equal">
      <formula>"欠"</formula>
    </cfRule>
  </conditionalFormatting>
  <conditionalFormatting sqref="S376">
    <cfRule type="cellIs" dxfId="0" priority="13205" operator="equal">
      <formula>"欠"</formula>
    </cfRule>
  </conditionalFormatting>
  <conditionalFormatting sqref="T376:V376">
    <cfRule type="cellIs" dxfId="0" priority="13155" operator="equal">
      <formula>"欠"</formula>
    </cfRule>
  </conditionalFormatting>
  <conditionalFormatting sqref="T376:U376">
    <cfRule type="containsText" dxfId="0" priority="13005" operator="between" text="欠">
      <formula>NOT(ISERROR(SEARCH("欠",T376)))</formula>
    </cfRule>
  </conditionalFormatting>
  <conditionalFormatting sqref="AG376:AH376">
    <cfRule type="cellIs" dxfId="0" priority="13305" operator="equal">
      <formula>"未完成"</formula>
    </cfRule>
  </conditionalFormatting>
  <conditionalFormatting sqref="AL376:AM376">
    <cfRule type="cellIs" dxfId="1" priority="13055" operator="equal">
      <formula>"未完成"</formula>
    </cfRule>
    <cfRule type="cellIs" dxfId="0" priority="13105" operator="equal">
      <formula>"未完成"</formula>
    </cfRule>
  </conditionalFormatting>
  <conditionalFormatting sqref="R377">
    <cfRule type="cellIs" dxfId="0" priority="13254" operator="equal">
      <formula>"欠"</formula>
    </cfRule>
  </conditionalFormatting>
  <conditionalFormatting sqref="S377">
    <cfRule type="cellIs" dxfId="0" priority="13204" operator="equal">
      <formula>"欠"</formula>
    </cfRule>
  </conditionalFormatting>
  <conditionalFormatting sqref="T377:V377">
    <cfRule type="cellIs" dxfId="0" priority="13154" operator="equal">
      <formula>"欠"</formula>
    </cfRule>
  </conditionalFormatting>
  <conditionalFormatting sqref="T377:U377">
    <cfRule type="containsText" dxfId="0" priority="13004" operator="between" text="欠">
      <formula>NOT(ISERROR(SEARCH("欠",T377)))</formula>
    </cfRule>
  </conditionalFormatting>
  <conditionalFormatting sqref="AG377:AH377">
    <cfRule type="cellIs" dxfId="0" priority="13304" operator="equal">
      <formula>"未完成"</formula>
    </cfRule>
  </conditionalFormatting>
  <conditionalFormatting sqref="AL377:AM377">
    <cfRule type="cellIs" dxfId="1" priority="13054" operator="equal">
      <formula>"未完成"</formula>
    </cfRule>
    <cfRule type="cellIs" dxfId="0" priority="13104" operator="equal">
      <formula>"未完成"</formula>
    </cfRule>
  </conditionalFormatting>
  <conditionalFormatting sqref="R378">
    <cfRule type="cellIs" dxfId="0" priority="13253" operator="equal">
      <formula>"欠"</formula>
    </cfRule>
  </conditionalFormatting>
  <conditionalFormatting sqref="S378">
    <cfRule type="cellIs" dxfId="0" priority="13203" operator="equal">
      <formula>"欠"</formula>
    </cfRule>
  </conditionalFormatting>
  <conditionalFormatting sqref="T378:V378">
    <cfRule type="cellIs" dxfId="0" priority="13153" operator="equal">
      <formula>"欠"</formula>
    </cfRule>
  </conditionalFormatting>
  <conditionalFormatting sqref="T378:U378">
    <cfRule type="containsText" dxfId="0" priority="13003" operator="between" text="欠">
      <formula>NOT(ISERROR(SEARCH("欠",T378)))</formula>
    </cfRule>
  </conditionalFormatting>
  <conditionalFormatting sqref="AG378:AH378">
    <cfRule type="cellIs" dxfId="0" priority="13303" operator="equal">
      <formula>"未完成"</formula>
    </cfRule>
  </conditionalFormatting>
  <conditionalFormatting sqref="AL378:AM378">
    <cfRule type="cellIs" dxfId="1" priority="13053" operator="equal">
      <formula>"未完成"</formula>
    </cfRule>
    <cfRule type="cellIs" dxfId="0" priority="13103" operator="equal">
      <formula>"未完成"</formula>
    </cfRule>
  </conditionalFormatting>
  <conditionalFormatting sqref="R379">
    <cfRule type="cellIs" dxfId="0" priority="13252" operator="equal">
      <formula>"欠"</formula>
    </cfRule>
  </conditionalFormatting>
  <conditionalFormatting sqref="S379">
    <cfRule type="cellIs" dxfId="0" priority="13202" operator="equal">
      <formula>"欠"</formula>
    </cfRule>
  </conditionalFormatting>
  <conditionalFormatting sqref="T379:V379">
    <cfRule type="cellIs" dxfId="0" priority="13152" operator="equal">
      <formula>"欠"</formula>
    </cfRule>
  </conditionalFormatting>
  <conditionalFormatting sqref="T379:U379">
    <cfRule type="containsText" dxfId="0" priority="13002" operator="between" text="欠">
      <formula>NOT(ISERROR(SEARCH("欠",T379)))</formula>
    </cfRule>
  </conditionalFormatting>
  <conditionalFormatting sqref="AG379:AH379">
    <cfRule type="cellIs" dxfId="0" priority="13302" operator="equal">
      <formula>"未完成"</formula>
    </cfRule>
  </conditionalFormatting>
  <conditionalFormatting sqref="AL379:AM379">
    <cfRule type="cellIs" dxfId="1" priority="13052" operator="equal">
      <formula>"未完成"</formula>
    </cfRule>
    <cfRule type="cellIs" dxfId="0" priority="13102" operator="equal">
      <formula>"未完成"</formula>
    </cfRule>
  </conditionalFormatting>
  <conditionalFormatting sqref="R380">
    <cfRule type="cellIs" dxfId="0" priority="13251" operator="equal">
      <formula>"欠"</formula>
    </cfRule>
  </conditionalFormatting>
  <conditionalFormatting sqref="S380">
    <cfRule type="cellIs" dxfId="0" priority="13201" operator="equal">
      <formula>"欠"</formula>
    </cfRule>
  </conditionalFormatting>
  <conditionalFormatting sqref="T380:V380">
    <cfRule type="cellIs" dxfId="0" priority="13151" operator="equal">
      <formula>"欠"</formula>
    </cfRule>
  </conditionalFormatting>
  <conditionalFormatting sqref="T380:U380">
    <cfRule type="containsText" dxfId="0" priority="13001" operator="between" text="欠">
      <formula>NOT(ISERROR(SEARCH("欠",T380)))</formula>
    </cfRule>
  </conditionalFormatting>
  <conditionalFormatting sqref="AG380:AH380">
    <cfRule type="cellIs" dxfId="0" priority="13301" operator="equal">
      <formula>"未完成"</formula>
    </cfRule>
  </conditionalFormatting>
  <conditionalFormatting sqref="AL380:AM380">
    <cfRule type="cellIs" dxfId="1" priority="13051" operator="equal">
      <formula>"未完成"</formula>
    </cfRule>
    <cfRule type="cellIs" dxfId="0" priority="13101" operator="equal">
      <formula>"未完成"</formula>
    </cfRule>
  </conditionalFormatting>
  <conditionalFormatting sqref="R381">
    <cfRule type="cellIs" dxfId="0" priority="13250" operator="equal">
      <formula>"欠"</formula>
    </cfRule>
  </conditionalFormatting>
  <conditionalFormatting sqref="S381">
    <cfRule type="cellIs" dxfId="0" priority="13200" operator="equal">
      <formula>"欠"</formula>
    </cfRule>
  </conditionalFormatting>
  <conditionalFormatting sqref="T381:V381">
    <cfRule type="cellIs" dxfId="0" priority="13150" operator="equal">
      <formula>"欠"</formula>
    </cfRule>
  </conditionalFormatting>
  <conditionalFormatting sqref="T381:U381">
    <cfRule type="containsText" dxfId="0" priority="13000" operator="between" text="欠">
      <formula>NOT(ISERROR(SEARCH("欠",T381)))</formula>
    </cfRule>
  </conditionalFormatting>
  <conditionalFormatting sqref="AG381:AH381">
    <cfRule type="cellIs" dxfId="0" priority="13300" operator="equal">
      <formula>"未完成"</formula>
    </cfRule>
  </conditionalFormatting>
  <conditionalFormatting sqref="AL381:AM381">
    <cfRule type="cellIs" dxfId="1" priority="13050" operator="equal">
      <formula>"未完成"</formula>
    </cfRule>
    <cfRule type="cellIs" dxfId="0" priority="13100" operator="equal">
      <formula>"未完成"</formula>
    </cfRule>
  </conditionalFormatting>
  <conditionalFormatting sqref="R382">
    <cfRule type="cellIs" dxfId="0" priority="13249" operator="equal">
      <formula>"欠"</formula>
    </cfRule>
  </conditionalFormatting>
  <conditionalFormatting sqref="S382">
    <cfRule type="cellIs" dxfId="0" priority="13199" operator="equal">
      <formula>"欠"</formula>
    </cfRule>
  </conditionalFormatting>
  <conditionalFormatting sqref="T382:V382">
    <cfRule type="cellIs" dxfId="0" priority="13149" operator="equal">
      <formula>"欠"</formula>
    </cfRule>
  </conditionalFormatting>
  <conditionalFormatting sqref="T382:U382">
    <cfRule type="containsText" dxfId="0" priority="12999" operator="between" text="欠">
      <formula>NOT(ISERROR(SEARCH("欠",T382)))</formula>
    </cfRule>
  </conditionalFormatting>
  <conditionalFormatting sqref="AG382:AH382">
    <cfRule type="cellIs" dxfId="0" priority="13299" operator="equal">
      <formula>"未完成"</formula>
    </cfRule>
  </conditionalFormatting>
  <conditionalFormatting sqref="AL382:AM382">
    <cfRule type="cellIs" dxfId="1" priority="13049" operator="equal">
      <formula>"未完成"</formula>
    </cfRule>
    <cfRule type="cellIs" dxfId="0" priority="13099" operator="equal">
      <formula>"未完成"</formula>
    </cfRule>
  </conditionalFormatting>
  <conditionalFormatting sqref="R383">
    <cfRule type="cellIs" dxfId="0" priority="13248" operator="equal">
      <formula>"欠"</formula>
    </cfRule>
  </conditionalFormatting>
  <conditionalFormatting sqref="S383">
    <cfRule type="cellIs" dxfId="0" priority="13198" operator="equal">
      <formula>"欠"</formula>
    </cfRule>
  </conditionalFormatting>
  <conditionalFormatting sqref="T383:V383">
    <cfRule type="cellIs" dxfId="0" priority="13148" operator="equal">
      <formula>"欠"</formula>
    </cfRule>
  </conditionalFormatting>
  <conditionalFormatting sqref="T383:U383">
    <cfRule type="containsText" dxfId="0" priority="12998" operator="between" text="欠">
      <formula>NOT(ISERROR(SEARCH("欠",T383)))</formula>
    </cfRule>
  </conditionalFormatting>
  <conditionalFormatting sqref="AG383:AH383">
    <cfRule type="cellIs" dxfId="0" priority="13298" operator="equal">
      <formula>"未完成"</formula>
    </cfRule>
  </conditionalFormatting>
  <conditionalFormatting sqref="AL383:AM383">
    <cfRule type="cellIs" dxfId="1" priority="13048" operator="equal">
      <formula>"未完成"</formula>
    </cfRule>
    <cfRule type="cellIs" dxfId="0" priority="13098" operator="equal">
      <formula>"未完成"</formula>
    </cfRule>
  </conditionalFormatting>
  <conditionalFormatting sqref="R384">
    <cfRule type="cellIs" dxfId="0" priority="13247" operator="equal">
      <formula>"欠"</formula>
    </cfRule>
  </conditionalFormatting>
  <conditionalFormatting sqref="S384">
    <cfRule type="cellIs" dxfId="0" priority="13197" operator="equal">
      <formula>"欠"</formula>
    </cfRule>
  </conditionalFormatting>
  <conditionalFormatting sqref="T384:V384">
    <cfRule type="cellIs" dxfId="0" priority="13147" operator="equal">
      <formula>"欠"</formula>
    </cfRule>
  </conditionalFormatting>
  <conditionalFormatting sqref="T384:U384">
    <cfRule type="containsText" dxfId="0" priority="12997" operator="between" text="欠">
      <formula>NOT(ISERROR(SEARCH("欠",T384)))</formula>
    </cfRule>
  </conditionalFormatting>
  <conditionalFormatting sqref="AG384:AH384">
    <cfRule type="cellIs" dxfId="0" priority="13297" operator="equal">
      <formula>"未完成"</formula>
    </cfRule>
  </conditionalFormatting>
  <conditionalFormatting sqref="AL384:AM384">
    <cfRule type="cellIs" dxfId="1" priority="13047" operator="equal">
      <formula>"未完成"</formula>
    </cfRule>
    <cfRule type="cellIs" dxfId="0" priority="13097" operator="equal">
      <formula>"未完成"</formula>
    </cfRule>
  </conditionalFormatting>
  <conditionalFormatting sqref="R385">
    <cfRule type="cellIs" dxfId="0" priority="13246" operator="equal">
      <formula>"欠"</formula>
    </cfRule>
  </conditionalFormatting>
  <conditionalFormatting sqref="S385">
    <cfRule type="cellIs" dxfId="0" priority="13196" operator="equal">
      <formula>"欠"</formula>
    </cfRule>
  </conditionalFormatting>
  <conditionalFormatting sqref="T385:V385">
    <cfRule type="cellIs" dxfId="0" priority="13146" operator="equal">
      <formula>"欠"</formula>
    </cfRule>
  </conditionalFormatting>
  <conditionalFormatting sqref="T385:U385">
    <cfRule type="containsText" dxfId="0" priority="12996" operator="between" text="欠">
      <formula>NOT(ISERROR(SEARCH("欠",T385)))</formula>
    </cfRule>
  </conditionalFormatting>
  <conditionalFormatting sqref="AG385:AH385">
    <cfRule type="cellIs" dxfId="0" priority="13296" operator="equal">
      <formula>"未完成"</formula>
    </cfRule>
  </conditionalFormatting>
  <conditionalFormatting sqref="AL385:AM385">
    <cfRule type="cellIs" dxfId="1" priority="13046" operator="equal">
      <formula>"未完成"</formula>
    </cfRule>
    <cfRule type="cellIs" dxfId="0" priority="13096" operator="equal">
      <formula>"未完成"</formula>
    </cfRule>
  </conditionalFormatting>
  <conditionalFormatting sqref="R386">
    <cfRule type="cellIs" dxfId="0" priority="13245" operator="equal">
      <formula>"欠"</formula>
    </cfRule>
  </conditionalFormatting>
  <conditionalFormatting sqref="S386">
    <cfRule type="cellIs" dxfId="0" priority="13195" operator="equal">
      <formula>"欠"</formula>
    </cfRule>
  </conditionalFormatting>
  <conditionalFormatting sqref="T386:V386">
    <cfRule type="cellIs" dxfId="0" priority="13145" operator="equal">
      <formula>"欠"</formula>
    </cfRule>
  </conditionalFormatting>
  <conditionalFormatting sqref="T386:U386">
    <cfRule type="containsText" dxfId="0" priority="12995" operator="between" text="欠">
      <formula>NOT(ISERROR(SEARCH("欠",T386)))</formula>
    </cfRule>
  </conditionalFormatting>
  <conditionalFormatting sqref="AG386:AH386">
    <cfRule type="cellIs" dxfId="0" priority="13295" operator="equal">
      <formula>"未完成"</formula>
    </cfRule>
  </conditionalFormatting>
  <conditionalFormatting sqref="AL386:AM386">
    <cfRule type="cellIs" dxfId="1" priority="13045" operator="equal">
      <formula>"未完成"</formula>
    </cfRule>
    <cfRule type="cellIs" dxfId="0" priority="13095" operator="equal">
      <formula>"未完成"</formula>
    </cfRule>
  </conditionalFormatting>
  <conditionalFormatting sqref="R387">
    <cfRule type="cellIs" dxfId="0" priority="13244" operator="equal">
      <formula>"欠"</formula>
    </cfRule>
  </conditionalFormatting>
  <conditionalFormatting sqref="S387">
    <cfRule type="cellIs" dxfId="0" priority="13194" operator="equal">
      <formula>"欠"</formula>
    </cfRule>
  </conditionalFormatting>
  <conditionalFormatting sqref="T387:V387">
    <cfRule type="cellIs" dxfId="0" priority="13144" operator="equal">
      <formula>"欠"</formula>
    </cfRule>
  </conditionalFormatting>
  <conditionalFormatting sqref="T387:U387">
    <cfRule type="containsText" dxfId="0" priority="12994" operator="between" text="欠">
      <formula>NOT(ISERROR(SEARCH("欠",T387)))</formula>
    </cfRule>
  </conditionalFormatting>
  <conditionalFormatting sqref="AG387:AH387">
    <cfRule type="cellIs" dxfId="0" priority="13294" operator="equal">
      <formula>"未完成"</formula>
    </cfRule>
  </conditionalFormatting>
  <conditionalFormatting sqref="AL387:AM387">
    <cfRule type="cellIs" dxfId="1" priority="13044" operator="equal">
      <formula>"未完成"</formula>
    </cfRule>
    <cfRule type="cellIs" dxfId="0" priority="13094" operator="equal">
      <formula>"未完成"</formula>
    </cfRule>
  </conditionalFormatting>
  <conditionalFormatting sqref="R388">
    <cfRule type="cellIs" dxfId="0" priority="13243" operator="equal">
      <formula>"欠"</formula>
    </cfRule>
  </conditionalFormatting>
  <conditionalFormatting sqref="S388">
    <cfRule type="cellIs" dxfId="0" priority="13193" operator="equal">
      <formula>"欠"</formula>
    </cfRule>
  </conditionalFormatting>
  <conditionalFormatting sqref="T388:V388">
    <cfRule type="cellIs" dxfId="0" priority="13143" operator="equal">
      <formula>"欠"</formula>
    </cfRule>
  </conditionalFormatting>
  <conditionalFormatting sqref="T388:U388">
    <cfRule type="containsText" dxfId="0" priority="12993" operator="between" text="欠">
      <formula>NOT(ISERROR(SEARCH("欠",T388)))</formula>
    </cfRule>
  </conditionalFormatting>
  <conditionalFormatting sqref="AG388:AH388">
    <cfRule type="cellIs" dxfId="0" priority="13293" operator="equal">
      <formula>"未完成"</formula>
    </cfRule>
  </conditionalFormatting>
  <conditionalFormatting sqref="AL388:AM388">
    <cfRule type="cellIs" dxfId="1" priority="13043" operator="equal">
      <formula>"未完成"</formula>
    </cfRule>
    <cfRule type="cellIs" dxfId="0" priority="13093" operator="equal">
      <formula>"未完成"</formula>
    </cfRule>
  </conditionalFormatting>
  <conditionalFormatting sqref="R389">
    <cfRule type="cellIs" dxfId="0" priority="12956" operator="equal">
      <formula>"欠"</formula>
    </cfRule>
  </conditionalFormatting>
  <conditionalFormatting sqref="S389">
    <cfRule type="cellIs" dxfId="0" priority="12947" operator="equal">
      <formula>"欠"</formula>
    </cfRule>
  </conditionalFormatting>
  <conditionalFormatting sqref="T389:V389">
    <cfRule type="cellIs" dxfId="0" priority="12938" operator="equal">
      <formula>"欠"</formula>
    </cfRule>
  </conditionalFormatting>
  <conditionalFormatting sqref="T389:U389">
    <cfRule type="containsText" dxfId="0" priority="12911" operator="between" text="欠">
      <formula>NOT(ISERROR(SEARCH("欠",T389)))</formula>
    </cfRule>
  </conditionalFormatting>
  <conditionalFormatting sqref="AG389:AH389">
    <cfRule type="cellIs" dxfId="0" priority="12965" operator="equal">
      <formula>"未完成"</formula>
    </cfRule>
  </conditionalFormatting>
  <conditionalFormatting sqref="AL389:AM389">
    <cfRule type="cellIs" dxfId="1" priority="12920" operator="equal">
      <formula>"未完成"</formula>
    </cfRule>
    <cfRule type="cellIs" dxfId="0" priority="12929" operator="equal">
      <formula>"未完成"</formula>
    </cfRule>
  </conditionalFormatting>
  <conditionalFormatting sqref="R390">
    <cfRule type="cellIs" dxfId="0" priority="12955" operator="equal">
      <formula>"欠"</formula>
    </cfRule>
  </conditionalFormatting>
  <conditionalFormatting sqref="S390">
    <cfRule type="cellIs" dxfId="0" priority="12946" operator="equal">
      <formula>"欠"</formula>
    </cfRule>
  </conditionalFormatting>
  <conditionalFormatting sqref="T390:V390">
    <cfRule type="cellIs" dxfId="0" priority="12937" operator="equal">
      <formula>"欠"</formula>
    </cfRule>
  </conditionalFormatting>
  <conditionalFormatting sqref="T390:U390">
    <cfRule type="containsText" dxfId="0" priority="12910" operator="between" text="欠">
      <formula>NOT(ISERROR(SEARCH("欠",T390)))</formula>
    </cfRule>
  </conditionalFormatting>
  <conditionalFormatting sqref="AG390:AH390">
    <cfRule type="cellIs" dxfId="0" priority="12964" operator="equal">
      <formula>"未完成"</formula>
    </cfRule>
  </conditionalFormatting>
  <conditionalFormatting sqref="AL390:AM390">
    <cfRule type="cellIs" dxfId="1" priority="12919" operator="equal">
      <formula>"未完成"</formula>
    </cfRule>
    <cfRule type="cellIs" dxfId="0" priority="12928" operator="equal">
      <formula>"未完成"</formula>
    </cfRule>
  </conditionalFormatting>
  <conditionalFormatting sqref="R391">
    <cfRule type="cellIs" dxfId="0" priority="12954" operator="equal">
      <formula>"欠"</formula>
    </cfRule>
  </conditionalFormatting>
  <conditionalFormatting sqref="S391">
    <cfRule type="cellIs" dxfId="0" priority="12945" operator="equal">
      <formula>"欠"</formula>
    </cfRule>
  </conditionalFormatting>
  <conditionalFormatting sqref="T391:V391">
    <cfRule type="cellIs" dxfId="0" priority="12936" operator="equal">
      <formula>"欠"</formula>
    </cfRule>
  </conditionalFormatting>
  <conditionalFormatting sqref="T391:U391">
    <cfRule type="containsText" dxfId="0" priority="12909" operator="between" text="欠">
      <formula>NOT(ISERROR(SEARCH("欠",T391)))</formula>
    </cfRule>
  </conditionalFormatting>
  <conditionalFormatting sqref="AG391:AH391">
    <cfRule type="cellIs" dxfId="0" priority="12963" operator="equal">
      <formula>"未完成"</formula>
    </cfRule>
  </conditionalFormatting>
  <conditionalFormatting sqref="AL391:AM391">
    <cfRule type="cellIs" dxfId="1" priority="12918" operator="equal">
      <formula>"未完成"</formula>
    </cfRule>
    <cfRule type="cellIs" dxfId="0" priority="12927" operator="equal">
      <formula>"未完成"</formula>
    </cfRule>
  </conditionalFormatting>
  <conditionalFormatting sqref="R392">
    <cfRule type="cellIs" dxfId="0" priority="12953" operator="equal">
      <formula>"欠"</formula>
    </cfRule>
  </conditionalFormatting>
  <conditionalFormatting sqref="S392">
    <cfRule type="cellIs" dxfId="0" priority="12944" operator="equal">
      <formula>"欠"</formula>
    </cfRule>
  </conditionalFormatting>
  <conditionalFormatting sqref="T392:V392">
    <cfRule type="cellIs" dxfId="0" priority="12935" operator="equal">
      <formula>"欠"</formula>
    </cfRule>
  </conditionalFormatting>
  <conditionalFormatting sqref="T392:U392">
    <cfRule type="containsText" dxfId="0" priority="12908" operator="between" text="欠">
      <formula>NOT(ISERROR(SEARCH("欠",T392)))</formula>
    </cfRule>
  </conditionalFormatting>
  <conditionalFormatting sqref="AG392:AH392">
    <cfRule type="cellIs" dxfId="0" priority="12962" operator="equal">
      <formula>"未完成"</formula>
    </cfRule>
  </conditionalFormatting>
  <conditionalFormatting sqref="AL392:AM392">
    <cfRule type="cellIs" dxfId="1" priority="12917" operator="equal">
      <formula>"未完成"</formula>
    </cfRule>
    <cfRule type="cellIs" dxfId="0" priority="12926" operator="equal">
      <formula>"未完成"</formula>
    </cfRule>
  </conditionalFormatting>
  <conditionalFormatting sqref="R393">
    <cfRule type="cellIs" dxfId="0" priority="12952" operator="equal">
      <formula>"欠"</formula>
    </cfRule>
  </conditionalFormatting>
  <conditionalFormatting sqref="S393">
    <cfRule type="cellIs" dxfId="0" priority="12943" operator="equal">
      <formula>"欠"</formula>
    </cfRule>
  </conditionalFormatting>
  <conditionalFormatting sqref="T393:V393">
    <cfRule type="cellIs" dxfId="0" priority="12934" operator="equal">
      <formula>"欠"</formula>
    </cfRule>
  </conditionalFormatting>
  <conditionalFormatting sqref="T393:U393">
    <cfRule type="containsText" dxfId="0" priority="12907" operator="between" text="欠">
      <formula>NOT(ISERROR(SEARCH("欠",T393)))</formula>
    </cfRule>
  </conditionalFormatting>
  <conditionalFormatting sqref="AG393:AH393">
    <cfRule type="cellIs" dxfId="0" priority="12961" operator="equal">
      <formula>"未完成"</formula>
    </cfRule>
  </conditionalFormatting>
  <conditionalFormatting sqref="AL393:AM393">
    <cfRule type="cellIs" dxfId="1" priority="12916" operator="equal">
      <formula>"未完成"</formula>
    </cfRule>
    <cfRule type="cellIs" dxfId="0" priority="12925" operator="equal">
      <formula>"未完成"</formula>
    </cfRule>
  </conditionalFormatting>
  <conditionalFormatting sqref="R394">
    <cfRule type="cellIs" dxfId="0" priority="12951" operator="equal">
      <formula>"欠"</formula>
    </cfRule>
  </conditionalFormatting>
  <conditionalFormatting sqref="S394">
    <cfRule type="cellIs" dxfId="0" priority="12942" operator="equal">
      <formula>"欠"</formula>
    </cfRule>
  </conditionalFormatting>
  <conditionalFormatting sqref="T394:V394">
    <cfRule type="cellIs" dxfId="0" priority="12933" operator="equal">
      <formula>"欠"</formula>
    </cfRule>
  </conditionalFormatting>
  <conditionalFormatting sqref="T394:U394">
    <cfRule type="containsText" dxfId="0" priority="12906" operator="between" text="欠">
      <formula>NOT(ISERROR(SEARCH("欠",T394)))</formula>
    </cfRule>
  </conditionalFormatting>
  <conditionalFormatting sqref="AG394:AH394">
    <cfRule type="cellIs" dxfId="0" priority="12960" operator="equal">
      <formula>"未完成"</formula>
    </cfRule>
  </conditionalFormatting>
  <conditionalFormatting sqref="AL394:AM394">
    <cfRule type="cellIs" dxfId="1" priority="12915" operator="equal">
      <formula>"未完成"</formula>
    </cfRule>
    <cfRule type="cellIs" dxfId="0" priority="12924" operator="equal">
      <formula>"未完成"</formula>
    </cfRule>
  </conditionalFormatting>
  <conditionalFormatting sqref="R395">
    <cfRule type="cellIs" dxfId="0" priority="12950" operator="equal">
      <formula>"欠"</formula>
    </cfRule>
  </conditionalFormatting>
  <conditionalFormatting sqref="S395">
    <cfRule type="cellIs" dxfId="0" priority="12941" operator="equal">
      <formula>"欠"</formula>
    </cfRule>
  </conditionalFormatting>
  <conditionalFormatting sqref="T395:V395">
    <cfRule type="cellIs" dxfId="0" priority="12932" operator="equal">
      <formula>"欠"</formula>
    </cfRule>
  </conditionalFormatting>
  <conditionalFormatting sqref="T395:U395">
    <cfRule type="containsText" dxfId="0" priority="12905" operator="between" text="欠">
      <formula>NOT(ISERROR(SEARCH("欠",T395)))</formula>
    </cfRule>
  </conditionalFormatting>
  <conditionalFormatting sqref="AG395:AH395">
    <cfRule type="cellIs" dxfId="0" priority="12959" operator="equal">
      <formula>"未完成"</formula>
    </cfRule>
  </conditionalFormatting>
  <conditionalFormatting sqref="AL395:AM395">
    <cfRule type="cellIs" dxfId="1" priority="12914" operator="equal">
      <formula>"未完成"</formula>
    </cfRule>
    <cfRule type="cellIs" dxfId="0" priority="12923" operator="equal">
      <formula>"未完成"</formula>
    </cfRule>
  </conditionalFormatting>
  <conditionalFormatting sqref="R396">
    <cfRule type="cellIs" dxfId="0" priority="12949" operator="equal">
      <formula>"欠"</formula>
    </cfRule>
  </conditionalFormatting>
  <conditionalFormatting sqref="S396">
    <cfRule type="cellIs" dxfId="0" priority="12940" operator="equal">
      <formula>"欠"</formula>
    </cfRule>
  </conditionalFormatting>
  <conditionalFormatting sqref="T396:V396">
    <cfRule type="cellIs" dxfId="0" priority="12931" operator="equal">
      <formula>"欠"</formula>
    </cfRule>
  </conditionalFormatting>
  <conditionalFormatting sqref="T396:U396">
    <cfRule type="containsText" dxfId="0" priority="12904" operator="between" text="欠">
      <formula>NOT(ISERROR(SEARCH("欠",T396)))</formula>
    </cfRule>
  </conditionalFormatting>
  <conditionalFormatting sqref="AG396:AH396">
    <cfRule type="cellIs" dxfId="0" priority="12958" operator="equal">
      <formula>"未完成"</formula>
    </cfRule>
  </conditionalFormatting>
  <conditionalFormatting sqref="AL396:AM396">
    <cfRule type="cellIs" dxfId="1" priority="12913" operator="equal">
      <formula>"未完成"</formula>
    </cfRule>
    <cfRule type="cellIs" dxfId="0" priority="12922" operator="equal">
      <formula>"未完成"</formula>
    </cfRule>
  </conditionalFormatting>
  <conditionalFormatting sqref="R397">
    <cfRule type="cellIs" dxfId="0" priority="12948" operator="equal">
      <formula>"欠"</formula>
    </cfRule>
  </conditionalFormatting>
  <conditionalFormatting sqref="S397">
    <cfRule type="cellIs" dxfId="0" priority="12939" operator="equal">
      <formula>"欠"</formula>
    </cfRule>
  </conditionalFormatting>
  <conditionalFormatting sqref="T397:V397">
    <cfRule type="cellIs" dxfId="0" priority="12930" operator="equal">
      <formula>"欠"</formula>
    </cfRule>
  </conditionalFormatting>
  <conditionalFormatting sqref="T397:U397">
    <cfRule type="containsText" dxfId="0" priority="12903" operator="between" text="欠">
      <formula>NOT(ISERROR(SEARCH("欠",T397)))</formula>
    </cfRule>
  </conditionalFormatting>
  <conditionalFormatting sqref="AG397:AH397">
    <cfRule type="cellIs" dxfId="0" priority="12957" operator="equal">
      <formula>"未完成"</formula>
    </cfRule>
  </conditionalFormatting>
  <conditionalFormatting sqref="AL397:AM397">
    <cfRule type="cellIs" dxfId="1" priority="12912" operator="equal">
      <formula>"未完成"</formula>
    </cfRule>
    <cfRule type="cellIs" dxfId="0" priority="12921" operator="equal">
      <formula>"未完成"</formula>
    </cfRule>
  </conditionalFormatting>
  <conditionalFormatting sqref="R398">
    <cfRule type="cellIs" dxfId="0" priority="12901" operator="equal">
      <formula>"欠"</formula>
    </cfRule>
  </conditionalFormatting>
  <conditionalFormatting sqref="S398">
    <cfRule type="cellIs" dxfId="0" priority="12900" operator="equal">
      <formula>"欠"</formula>
    </cfRule>
  </conditionalFormatting>
  <conditionalFormatting sqref="T398:V398">
    <cfRule type="cellIs" dxfId="0" priority="12899" operator="equal">
      <formula>"欠"</formula>
    </cfRule>
  </conditionalFormatting>
  <conditionalFormatting sqref="T398:U398">
    <cfRule type="containsText" dxfId="0" priority="12896" operator="between" text="欠">
      <formula>NOT(ISERROR(SEARCH("欠",T398)))</formula>
    </cfRule>
  </conditionalFormatting>
  <conditionalFormatting sqref="AG398:AH398">
    <cfRule type="cellIs" dxfId="0" priority="12902" operator="equal">
      <formula>"未完成"</formula>
    </cfRule>
  </conditionalFormatting>
  <conditionalFormatting sqref="AL398:AM398">
    <cfRule type="cellIs" dxfId="1" priority="12897" operator="equal">
      <formula>"未完成"</formula>
    </cfRule>
    <cfRule type="cellIs" dxfId="0" priority="12898" operator="equal">
      <formula>"未完成"</formula>
    </cfRule>
  </conditionalFormatting>
  <conditionalFormatting sqref="R399">
    <cfRule type="cellIs" dxfId="0" priority="12816" operator="equal">
      <formula>"欠"</formula>
    </cfRule>
  </conditionalFormatting>
  <conditionalFormatting sqref="S399">
    <cfRule type="cellIs" dxfId="0" priority="12777" operator="equal">
      <formula>"欠"</formula>
    </cfRule>
  </conditionalFormatting>
  <conditionalFormatting sqref="T399:V399">
    <cfRule type="cellIs" dxfId="0" priority="12738" operator="equal">
      <formula>"欠"</formula>
    </cfRule>
  </conditionalFormatting>
  <conditionalFormatting sqref="T399:U399">
    <cfRule type="containsText" dxfId="0" priority="12621" operator="between" text="欠">
      <formula>NOT(ISERROR(SEARCH("欠",T399)))</formula>
    </cfRule>
  </conditionalFormatting>
  <conditionalFormatting sqref="AG399:AH399">
    <cfRule type="cellIs" dxfId="0" priority="12855" operator="equal">
      <formula>"未完成"</formula>
    </cfRule>
  </conditionalFormatting>
  <conditionalFormatting sqref="AL399:AM399">
    <cfRule type="cellIs" dxfId="1" priority="12660" operator="equal">
      <formula>"未完成"</formula>
    </cfRule>
    <cfRule type="cellIs" dxfId="0" priority="12699" operator="equal">
      <formula>"未完成"</formula>
    </cfRule>
  </conditionalFormatting>
  <conditionalFormatting sqref="R400">
    <cfRule type="cellIs" dxfId="0" priority="12815" operator="equal">
      <formula>"欠"</formula>
    </cfRule>
  </conditionalFormatting>
  <conditionalFormatting sqref="S400">
    <cfRule type="cellIs" dxfId="0" priority="12776" operator="equal">
      <formula>"欠"</formula>
    </cfRule>
  </conditionalFormatting>
  <conditionalFormatting sqref="T400:V400">
    <cfRule type="cellIs" dxfId="0" priority="12737" operator="equal">
      <formula>"欠"</formula>
    </cfRule>
  </conditionalFormatting>
  <conditionalFormatting sqref="T400:U400">
    <cfRule type="containsText" dxfId="0" priority="12620" operator="between" text="欠">
      <formula>NOT(ISERROR(SEARCH("欠",T400)))</formula>
    </cfRule>
  </conditionalFormatting>
  <conditionalFormatting sqref="AG400:AH400">
    <cfRule type="cellIs" dxfId="0" priority="12854" operator="equal">
      <formula>"未完成"</formula>
    </cfRule>
  </conditionalFormatting>
  <conditionalFormatting sqref="AL400:AM400">
    <cfRule type="cellIs" dxfId="1" priority="12659" operator="equal">
      <formula>"未完成"</formula>
    </cfRule>
    <cfRule type="cellIs" dxfId="0" priority="12698" operator="equal">
      <formula>"未完成"</formula>
    </cfRule>
  </conditionalFormatting>
  <conditionalFormatting sqref="R401">
    <cfRule type="cellIs" dxfId="0" priority="12814" operator="equal">
      <formula>"欠"</formula>
    </cfRule>
  </conditionalFormatting>
  <conditionalFormatting sqref="S401">
    <cfRule type="cellIs" dxfId="0" priority="12775" operator="equal">
      <formula>"欠"</formula>
    </cfRule>
  </conditionalFormatting>
  <conditionalFormatting sqref="T401:V401">
    <cfRule type="cellIs" dxfId="0" priority="12736" operator="equal">
      <formula>"欠"</formula>
    </cfRule>
  </conditionalFormatting>
  <conditionalFormatting sqref="T401:U401">
    <cfRule type="containsText" dxfId="0" priority="12619" operator="between" text="欠">
      <formula>NOT(ISERROR(SEARCH("欠",T401)))</formula>
    </cfRule>
  </conditionalFormatting>
  <conditionalFormatting sqref="AG401:AH401">
    <cfRule type="cellIs" dxfId="0" priority="12853" operator="equal">
      <formula>"未完成"</formula>
    </cfRule>
  </conditionalFormatting>
  <conditionalFormatting sqref="AL401:AM401">
    <cfRule type="cellIs" dxfId="1" priority="12658" operator="equal">
      <formula>"未完成"</formula>
    </cfRule>
    <cfRule type="cellIs" dxfId="0" priority="12697" operator="equal">
      <formula>"未完成"</formula>
    </cfRule>
  </conditionalFormatting>
  <conditionalFormatting sqref="R402">
    <cfRule type="cellIs" dxfId="0" priority="12813" operator="equal">
      <formula>"欠"</formula>
    </cfRule>
  </conditionalFormatting>
  <conditionalFormatting sqref="S402">
    <cfRule type="cellIs" dxfId="0" priority="12774" operator="equal">
      <formula>"欠"</formula>
    </cfRule>
  </conditionalFormatting>
  <conditionalFormatting sqref="T402:V402">
    <cfRule type="cellIs" dxfId="0" priority="12735" operator="equal">
      <formula>"欠"</formula>
    </cfRule>
  </conditionalFormatting>
  <conditionalFormatting sqref="T402:U402">
    <cfRule type="containsText" dxfId="0" priority="12618" operator="between" text="欠">
      <formula>NOT(ISERROR(SEARCH("欠",T402)))</formula>
    </cfRule>
  </conditionalFormatting>
  <conditionalFormatting sqref="AG402:AH402">
    <cfRule type="cellIs" dxfId="0" priority="12852" operator="equal">
      <formula>"未完成"</formula>
    </cfRule>
  </conditionalFormatting>
  <conditionalFormatting sqref="AL402:AM402">
    <cfRule type="cellIs" dxfId="1" priority="12657" operator="equal">
      <formula>"未完成"</formula>
    </cfRule>
    <cfRule type="cellIs" dxfId="0" priority="12696" operator="equal">
      <formula>"未完成"</formula>
    </cfRule>
  </conditionalFormatting>
  <conditionalFormatting sqref="R403">
    <cfRule type="cellIs" dxfId="0" priority="12812" operator="equal">
      <formula>"欠"</formula>
    </cfRule>
  </conditionalFormatting>
  <conditionalFormatting sqref="S403">
    <cfRule type="cellIs" dxfId="0" priority="12773" operator="equal">
      <formula>"欠"</formula>
    </cfRule>
  </conditionalFormatting>
  <conditionalFormatting sqref="V403">
    <cfRule type="cellIs" dxfId="0" priority="12734" operator="equal">
      <formula>"欠"</formula>
    </cfRule>
  </conditionalFormatting>
  <conditionalFormatting sqref="AG403:AH403">
    <cfRule type="cellIs" dxfId="0" priority="12851" operator="equal">
      <formula>"未完成"</formula>
    </cfRule>
  </conditionalFormatting>
  <conditionalFormatting sqref="AL403:AM403">
    <cfRule type="cellIs" dxfId="1" priority="12656" operator="equal">
      <formula>"未完成"</formula>
    </cfRule>
    <cfRule type="cellIs" dxfId="0" priority="12695" operator="equal">
      <formula>"未完成"</formula>
    </cfRule>
  </conditionalFormatting>
  <conditionalFormatting sqref="R404">
    <cfRule type="cellIs" dxfId="0" priority="12811" operator="equal">
      <formula>"欠"</formula>
    </cfRule>
  </conditionalFormatting>
  <conditionalFormatting sqref="S404">
    <cfRule type="cellIs" dxfId="0" priority="12772" operator="equal">
      <formula>"欠"</formula>
    </cfRule>
  </conditionalFormatting>
  <conditionalFormatting sqref="V404">
    <cfRule type="cellIs" dxfId="0" priority="12733" operator="equal">
      <formula>"欠"</formula>
    </cfRule>
  </conditionalFormatting>
  <conditionalFormatting sqref="AG404:AH404">
    <cfRule type="cellIs" dxfId="0" priority="12850" operator="equal">
      <formula>"未完成"</formula>
    </cfRule>
  </conditionalFormatting>
  <conditionalFormatting sqref="AL404:AM404">
    <cfRule type="cellIs" dxfId="1" priority="12655" operator="equal">
      <formula>"未完成"</formula>
    </cfRule>
    <cfRule type="cellIs" dxfId="0" priority="12694" operator="equal">
      <formula>"未完成"</formula>
    </cfRule>
  </conditionalFormatting>
  <conditionalFormatting sqref="R405">
    <cfRule type="cellIs" dxfId="0" priority="12810" operator="equal">
      <formula>"欠"</formula>
    </cfRule>
  </conditionalFormatting>
  <conditionalFormatting sqref="S405">
    <cfRule type="cellIs" dxfId="0" priority="12771" operator="equal">
      <formula>"欠"</formula>
    </cfRule>
  </conditionalFormatting>
  <conditionalFormatting sqref="V405">
    <cfRule type="cellIs" dxfId="0" priority="12732" operator="equal">
      <formula>"欠"</formula>
    </cfRule>
  </conditionalFormatting>
  <conditionalFormatting sqref="AG405:AH405">
    <cfRule type="cellIs" dxfId="0" priority="12849" operator="equal">
      <formula>"未完成"</formula>
    </cfRule>
  </conditionalFormatting>
  <conditionalFormatting sqref="AL405:AM405">
    <cfRule type="cellIs" dxfId="1" priority="12654" operator="equal">
      <formula>"未完成"</formula>
    </cfRule>
    <cfRule type="cellIs" dxfId="0" priority="12693" operator="equal">
      <formula>"未完成"</formula>
    </cfRule>
  </conditionalFormatting>
  <conditionalFormatting sqref="R406">
    <cfRule type="cellIs" dxfId="0" priority="12809" operator="equal">
      <formula>"欠"</formula>
    </cfRule>
  </conditionalFormatting>
  <conditionalFormatting sqref="S406">
    <cfRule type="cellIs" dxfId="0" priority="12770" operator="equal">
      <formula>"欠"</formula>
    </cfRule>
  </conditionalFormatting>
  <conditionalFormatting sqref="T406:V406">
    <cfRule type="cellIs" dxfId="0" priority="12731" operator="equal">
      <formula>"欠"</formula>
    </cfRule>
  </conditionalFormatting>
  <conditionalFormatting sqref="T406:U406">
    <cfRule type="containsText" dxfId="0" priority="12614" operator="between" text="欠">
      <formula>NOT(ISERROR(SEARCH("欠",T406)))</formula>
    </cfRule>
  </conditionalFormatting>
  <conditionalFormatting sqref="AG406:AH406">
    <cfRule type="cellIs" dxfId="0" priority="12848" operator="equal">
      <formula>"未完成"</formula>
    </cfRule>
  </conditionalFormatting>
  <conditionalFormatting sqref="AL406:AM406">
    <cfRule type="cellIs" dxfId="1" priority="12653" operator="equal">
      <formula>"未完成"</formula>
    </cfRule>
    <cfRule type="cellIs" dxfId="0" priority="12692" operator="equal">
      <formula>"未完成"</formula>
    </cfRule>
  </conditionalFormatting>
  <conditionalFormatting sqref="R407">
    <cfRule type="cellIs" dxfId="0" priority="12808" operator="equal">
      <formula>"欠"</formula>
    </cfRule>
  </conditionalFormatting>
  <conditionalFormatting sqref="S407">
    <cfRule type="cellIs" dxfId="0" priority="12769" operator="equal">
      <formula>"欠"</formula>
    </cfRule>
  </conditionalFormatting>
  <conditionalFormatting sqref="T407:V407">
    <cfRule type="cellIs" dxfId="0" priority="12730" operator="equal">
      <formula>"欠"</formula>
    </cfRule>
  </conditionalFormatting>
  <conditionalFormatting sqref="T407:U407">
    <cfRule type="containsText" dxfId="0" priority="12613" operator="between" text="欠">
      <formula>NOT(ISERROR(SEARCH("欠",T407)))</formula>
    </cfRule>
  </conditionalFormatting>
  <conditionalFormatting sqref="AG407:AH407">
    <cfRule type="cellIs" dxfId="0" priority="12847" operator="equal">
      <formula>"未完成"</formula>
    </cfRule>
  </conditionalFormatting>
  <conditionalFormatting sqref="AL407:AM407">
    <cfRule type="cellIs" dxfId="1" priority="12652" operator="equal">
      <formula>"未完成"</formula>
    </cfRule>
    <cfRule type="cellIs" dxfId="0" priority="12691" operator="equal">
      <formula>"未完成"</formula>
    </cfRule>
  </conditionalFormatting>
  <conditionalFormatting sqref="R408">
    <cfRule type="cellIs" dxfId="0" priority="12807" operator="equal">
      <formula>"欠"</formula>
    </cfRule>
  </conditionalFormatting>
  <conditionalFormatting sqref="S408">
    <cfRule type="cellIs" dxfId="0" priority="12768" operator="equal">
      <formula>"欠"</formula>
    </cfRule>
  </conditionalFormatting>
  <conditionalFormatting sqref="T408:V408">
    <cfRule type="cellIs" dxfId="0" priority="12729" operator="equal">
      <formula>"欠"</formula>
    </cfRule>
  </conditionalFormatting>
  <conditionalFormatting sqref="T408:U408">
    <cfRule type="containsText" dxfId="0" priority="12612" operator="between" text="欠">
      <formula>NOT(ISERROR(SEARCH("欠",T408)))</formula>
    </cfRule>
  </conditionalFormatting>
  <conditionalFormatting sqref="AG408:AH408">
    <cfRule type="cellIs" dxfId="0" priority="12846" operator="equal">
      <formula>"未完成"</formula>
    </cfRule>
  </conditionalFormatting>
  <conditionalFormatting sqref="AL408:AM408">
    <cfRule type="cellIs" dxfId="1" priority="12651" operator="equal">
      <formula>"未完成"</formula>
    </cfRule>
    <cfRule type="cellIs" dxfId="0" priority="12690" operator="equal">
      <formula>"未完成"</formula>
    </cfRule>
  </conditionalFormatting>
  <conditionalFormatting sqref="R409">
    <cfRule type="cellIs" dxfId="0" priority="12806" operator="equal">
      <formula>"欠"</formula>
    </cfRule>
  </conditionalFormatting>
  <conditionalFormatting sqref="S409">
    <cfRule type="cellIs" dxfId="0" priority="12767" operator="equal">
      <formula>"欠"</formula>
    </cfRule>
  </conditionalFormatting>
  <conditionalFormatting sqref="T409:V409">
    <cfRule type="cellIs" dxfId="0" priority="12728" operator="equal">
      <formula>"欠"</formula>
    </cfRule>
  </conditionalFormatting>
  <conditionalFormatting sqref="T409:U409">
    <cfRule type="containsText" dxfId="0" priority="12611" operator="between" text="欠">
      <formula>NOT(ISERROR(SEARCH("欠",T409)))</formula>
    </cfRule>
  </conditionalFormatting>
  <conditionalFormatting sqref="AG409:AH409">
    <cfRule type="cellIs" dxfId="0" priority="12845" operator="equal">
      <formula>"未完成"</formula>
    </cfRule>
  </conditionalFormatting>
  <conditionalFormatting sqref="AL409:AM409">
    <cfRule type="cellIs" dxfId="1" priority="12650" operator="equal">
      <formula>"未完成"</formula>
    </cfRule>
    <cfRule type="cellIs" dxfId="0" priority="12689" operator="equal">
      <formula>"未完成"</formula>
    </cfRule>
  </conditionalFormatting>
  <conditionalFormatting sqref="R410">
    <cfRule type="cellIs" dxfId="0" priority="12805" operator="equal">
      <formula>"欠"</formula>
    </cfRule>
  </conditionalFormatting>
  <conditionalFormatting sqref="S410">
    <cfRule type="cellIs" dxfId="0" priority="12766" operator="equal">
      <formula>"欠"</formula>
    </cfRule>
  </conditionalFormatting>
  <conditionalFormatting sqref="T410:V410">
    <cfRule type="cellIs" dxfId="0" priority="12727" operator="equal">
      <formula>"欠"</formula>
    </cfRule>
  </conditionalFormatting>
  <conditionalFormatting sqref="T410:U410">
    <cfRule type="containsText" dxfId="0" priority="12610" operator="between" text="欠">
      <formula>NOT(ISERROR(SEARCH("欠",T410)))</formula>
    </cfRule>
  </conditionalFormatting>
  <conditionalFormatting sqref="AG410:AH410">
    <cfRule type="cellIs" dxfId="0" priority="12844" operator="equal">
      <formula>"未完成"</formula>
    </cfRule>
  </conditionalFormatting>
  <conditionalFormatting sqref="AL410:AM410">
    <cfRule type="cellIs" dxfId="1" priority="12649" operator="equal">
      <formula>"未完成"</formula>
    </cfRule>
    <cfRule type="cellIs" dxfId="0" priority="12688" operator="equal">
      <formula>"未完成"</formula>
    </cfRule>
  </conditionalFormatting>
  <conditionalFormatting sqref="R411">
    <cfRule type="cellIs" dxfId="0" priority="12804" operator="equal">
      <formula>"欠"</formula>
    </cfRule>
  </conditionalFormatting>
  <conditionalFormatting sqref="S411">
    <cfRule type="cellIs" dxfId="0" priority="12765" operator="equal">
      <formula>"欠"</formula>
    </cfRule>
  </conditionalFormatting>
  <conditionalFormatting sqref="T411:V411">
    <cfRule type="cellIs" dxfId="0" priority="12726" operator="equal">
      <formula>"欠"</formula>
    </cfRule>
  </conditionalFormatting>
  <conditionalFormatting sqref="T411:U411">
    <cfRule type="containsText" dxfId="0" priority="12609" operator="between" text="欠">
      <formula>NOT(ISERROR(SEARCH("欠",T411)))</formula>
    </cfRule>
  </conditionalFormatting>
  <conditionalFormatting sqref="AG411:AH411">
    <cfRule type="cellIs" dxfId="0" priority="12843" operator="equal">
      <formula>"未完成"</formula>
    </cfRule>
  </conditionalFormatting>
  <conditionalFormatting sqref="AL411:AM411">
    <cfRule type="cellIs" dxfId="1" priority="12648" operator="equal">
      <formula>"未完成"</formula>
    </cfRule>
    <cfRule type="cellIs" dxfId="0" priority="12687" operator="equal">
      <formula>"未完成"</formula>
    </cfRule>
  </conditionalFormatting>
  <conditionalFormatting sqref="R412">
    <cfRule type="cellIs" dxfId="0" priority="12803" operator="equal">
      <formula>"欠"</formula>
    </cfRule>
  </conditionalFormatting>
  <conditionalFormatting sqref="S412">
    <cfRule type="cellIs" dxfId="0" priority="12764" operator="equal">
      <formula>"欠"</formula>
    </cfRule>
  </conditionalFormatting>
  <conditionalFormatting sqref="T412:V412">
    <cfRule type="cellIs" dxfId="0" priority="12725" operator="equal">
      <formula>"欠"</formula>
    </cfRule>
  </conditionalFormatting>
  <conditionalFormatting sqref="T412:U412">
    <cfRule type="containsText" dxfId="0" priority="12608" operator="between" text="欠">
      <formula>NOT(ISERROR(SEARCH("欠",T412)))</formula>
    </cfRule>
  </conditionalFormatting>
  <conditionalFormatting sqref="AG412:AH412">
    <cfRule type="cellIs" dxfId="0" priority="12842" operator="equal">
      <formula>"未完成"</formula>
    </cfRule>
  </conditionalFormatting>
  <conditionalFormatting sqref="AL412:AM412">
    <cfRule type="cellIs" dxfId="1" priority="12647" operator="equal">
      <formula>"未完成"</formula>
    </cfRule>
    <cfRule type="cellIs" dxfId="0" priority="12686" operator="equal">
      <formula>"未完成"</formula>
    </cfRule>
  </conditionalFormatting>
  <conditionalFormatting sqref="R413">
    <cfRule type="cellIs" dxfId="0" priority="12802" operator="equal">
      <formula>"欠"</formula>
    </cfRule>
  </conditionalFormatting>
  <conditionalFormatting sqref="S413">
    <cfRule type="cellIs" dxfId="0" priority="12763" operator="equal">
      <formula>"欠"</formula>
    </cfRule>
  </conditionalFormatting>
  <conditionalFormatting sqref="T413:V413">
    <cfRule type="cellIs" dxfId="0" priority="12724" operator="equal">
      <formula>"欠"</formula>
    </cfRule>
  </conditionalFormatting>
  <conditionalFormatting sqref="T413:U413">
    <cfRule type="containsText" dxfId="0" priority="12607" operator="between" text="欠">
      <formula>NOT(ISERROR(SEARCH("欠",T413)))</formula>
    </cfRule>
  </conditionalFormatting>
  <conditionalFormatting sqref="AG413:AH413">
    <cfRule type="cellIs" dxfId="0" priority="12841" operator="equal">
      <formula>"未完成"</formula>
    </cfRule>
  </conditionalFormatting>
  <conditionalFormatting sqref="AL413:AM413">
    <cfRule type="cellIs" dxfId="1" priority="12646" operator="equal">
      <formula>"未完成"</formula>
    </cfRule>
    <cfRule type="cellIs" dxfId="0" priority="12685" operator="equal">
      <formula>"未完成"</formula>
    </cfRule>
  </conditionalFormatting>
  <conditionalFormatting sqref="R414">
    <cfRule type="cellIs" dxfId="0" priority="12801" operator="equal">
      <formula>"欠"</formula>
    </cfRule>
  </conditionalFormatting>
  <conditionalFormatting sqref="S414">
    <cfRule type="cellIs" dxfId="0" priority="12762" operator="equal">
      <formula>"欠"</formula>
    </cfRule>
  </conditionalFormatting>
  <conditionalFormatting sqref="T414:V414">
    <cfRule type="cellIs" dxfId="0" priority="12723" operator="equal">
      <formula>"欠"</formula>
    </cfRule>
  </conditionalFormatting>
  <conditionalFormatting sqref="T414:U414">
    <cfRule type="containsText" dxfId="0" priority="12606" operator="between" text="欠">
      <formula>NOT(ISERROR(SEARCH("欠",T414)))</formula>
    </cfRule>
  </conditionalFormatting>
  <conditionalFormatting sqref="AG414:AH414">
    <cfRule type="cellIs" dxfId="0" priority="12840" operator="equal">
      <formula>"未完成"</formula>
    </cfRule>
  </conditionalFormatting>
  <conditionalFormatting sqref="AL414:AM414">
    <cfRule type="cellIs" dxfId="1" priority="12645" operator="equal">
      <formula>"未完成"</formula>
    </cfRule>
    <cfRule type="cellIs" dxfId="0" priority="12684" operator="equal">
      <formula>"未完成"</formula>
    </cfRule>
  </conditionalFormatting>
  <conditionalFormatting sqref="R415">
    <cfRule type="cellIs" dxfId="0" priority="12800" operator="equal">
      <formula>"欠"</formula>
    </cfRule>
  </conditionalFormatting>
  <conditionalFormatting sqref="S415">
    <cfRule type="cellIs" dxfId="0" priority="12761" operator="equal">
      <formula>"欠"</formula>
    </cfRule>
  </conditionalFormatting>
  <conditionalFormatting sqref="T415:V415">
    <cfRule type="cellIs" dxfId="0" priority="12722" operator="equal">
      <formula>"欠"</formula>
    </cfRule>
  </conditionalFormatting>
  <conditionalFormatting sqref="T415:U415">
    <cfRule type="containsText" dxfId="0" priority="12605" operator="between" text="欠">
      <formula>NOT(ISERROR(SEARCH("欠",T415)))</formula>
    </cfRule>
  </conditionalFormatting>
  <conditionalFormatting sqref="AG415:AH415">
    <cfRule type="cellIs" dxfId="0" priority="12839" operator="equal">
      <formula>"未完成"</formula>
    </cfRule>
  </conditionalFormatting>
  <conditionalFormatting sqref="AL415:AM415">
    <cfRule type="cellIs" dxfId="1" priority="12644" operator="equal">
      <formula>"未完成"</formula>
    </cfRule>
    <cfRule type="cellIs" dxfId="0" priority="12683" operator="equal">
      <formula>"未完成"</formula>
    </cfRule>
  </conditionalFormatting>
  <conditionalFormatting sqref="R416">
    <cfRule type="cellIs" dxfId="0" priority="12799" operator="equal">
      <formula>"欠"</formula>
    </cfRule>
  </conditionalFormatting>
  <conditionalFormatting sqref="T416:V416">
    <cfRule type="cellIs" dxfId="0" priority="12721" operator="equal">
      <formula>"欠"</formula>
    </cfRule>
  </conditionalFormatting>
  <conditionalFormatting sqref="T416:U416">
    <cfRule type="containsText" dxfId="0" priority="12604" operator="between" text="欠">
      <formula>NOT(ISERROR(SEARCH("欠",T416)))</formula>
    </cfRule>
  </conditionalFormatting>
  <conditionalFormatting sqref="AG416:AH416">
    <cfRule type="cellIs" dxfId="0" priority="12838" operator="equal">
      <formula>"未完成"</formula>
    </cfRule>
  </conditionalFormatting>
  <conditionalFormatting sqref="AL416:AM416">
    <cfRule type="cellIs" dxfId="1" priority="12643" operator="equal">
      <formula>"未完成"</formula>
    </cfRule>
    <cfRule type="cellIs" dxfId="0" priority="12682" operator="equal">
      <formula>"未完成"</formula>
    </cfRule>
  </conditionalFormatting>
  <conditionalFormatting sqref="R417">
    <cfRule type="cellIs" dxfId="0" priority="12798" operator="equal">
      <formula>"欠"</formula>
    </cfRule>
  </conditionalFormatting>
  <conditionalFormatting sqref="S417">
    <cfRule type="cellIs" dxfId="0" priority="12759" operator="equal">
      <formula>"欠"</formula>
    </cfRule>
  </conditionalFormatting>
  <conditionalFormatting sqref="T417:V417">
    <cfRule type="cellIs" dxfId="0" priority="12720" operator="equal">
      <formula>"欠"</formula>
    </cfRule>
  </conditionalFormatting>
  <conditionalFormatting sqref="T417:U417">
    <cfRule type="containsText" dxfId="0" priority="12603" operator="between" text="欠">
      <formula>NOT(ISERROR(SEARCH("欠",T417)))</formula>
    </cfRule>
  </conditionalFormatting>
  <conditionalFormatting sqref="AG417:AH417">
    <cfRule type="cellIs" dxfId="0" priority="12837" operator="equal">
      <formula>"未完成"</formula>
    </cfRule>
  </conditionalFormatting>
  <conditionalFormatting sqref="AL417:AM417">
    <cfRule type="cellIs" dxfId="1" priority="12642" operator="equal">
      <formula>"未完成"</formula>
    </cfRule>
    <cfRule type="cellIs" dxfId="0" priority="12681" operator="equal">
      <formula>"未完成"</formula>
    </cfRule>
  </conditionalFormatting>
  <conditionalFormatting sqref="R418">
    <cfRule type="cellIs" dxfId="0" priority="12797" operator="equal">
      <formula>"欠"</formula>
    </cfRule>
  </conditionalFormatting>
  <conditionalFormatting sqref="S418">
    <cfRule type="cellIs" dxfId="0" priority="12758" operator="equal">
      <formula>"欠"</formula>
    </cfRule>
  </conditionalFormatting>
  <conditionalFormatting sqref="T418:V418">
    <cfRule type="cellIs" dxfId="0" priority="12719" operator="equal">
      <formula>"欠"</formula>
    </cfRule>
  </conditionalFormatting>
  <conditionalFormatting sqref="T418:U418">
    <cfRule type="containsText" dxfId="0" priority="12602" operator="between" text="欠">
      <formula>NOT(ISERROR(SEARCH("欠",T418)))</formula>
    </cfRule>
  </conditionalFormatting>
  <conditionalFormatting sqref="AG418:AH418">
    <cfRule type="cellIs" dxfId="0" priority="12836" operator="equal">
      <formula>"未完成"</formula>
    </cfRule>
  </conditionalFormatting>
  <conditionalFormatting sqref="AL418:AM418">
    <cfRule type="cellIs" dxfId="1" priority="12641" operator="equal">
      <formula>"未完成"</formula>
    </cfRule>
    <cfRule type="cellIs" dxfId="0" priority="12680" operator="equal">
      <formula>"未完成"</formula>
    </cfRule>
  </conditionalFormatting>
  <conditionalFormatting sqref="R419">
    <cfRule type="cellIs" dxfId="0" priority="12796" operator="equal">
      <formula>"欠"</formula>
    </cfRule>
  </conditionalFormatting>
  <conditionalFormatting sqref="S419">
    <cfRule type="cellIs" dxfId="0" priority="12757" operator="equal">
      <formula>"欠"</formula>
    </cfRule>
  </conditionalFormatting>
  <conditionalFormatting sqref="T419:V419">
    <cfRule type="cellIs" dxfId="0" priority="12718" operator="equal">
      <formula>"欠"</formula>
    </cfRule>
  </conditionalFormatting>
  <conditionalFormatting sqref="T419:U419">
    <cfRule type="containsText" dxfId="0" priority="12601" operator="between" text="欠">
      <formula>NOT(ISERROR(SEARCH("欠",T419)))</formula>
    </cfRule>
  </conditionalFormatting>
  <conditionalFormatting sqref="AG419:AH419">
    <cfRule type="cellIs" dxfId="0" priority="12835" operator="equal">
      <formula>"未完成"</formula>
    </cfRule>
  </conditionalFormatting>
  <conditionalFormatting sqref="AL419:AM419">
    <cfRule type="cellIs" dxfId="1" priority="12640" operator="equal">
      <formula>"未完成"</formula>
    </cfRule>
    <cfRule type="cellIs" dxfId="0" priority="12679" operator="equal">
      <formula>"未完成"</formula>
    </cfRule>
  </conditionalFormatting>
  <conditionalFormatting sqref="R420">
    <cfRule type="cellIs" dxfId="0" priority="12795" operator="equal">
      <formula>"欠"</formula>
    </cfRule>
  </conditionalFormatting>
  <conditionalFormatting sqref="S420">
    <cfRule type="cellIs" dxfId="0" priority="12756" operator="equal">
      <formula>"欠"</formula>
    </cfRule>
  </conditionalFormatting>
  <conditionalFormatting sqref="T420:V420">
    <cfRule type="cellIs" dxfId="0" priority="12717" operator="equal">
      <formula>"欠"</formula>
    </cfRule>
  </conditionalFormatting>
  <conditionalFormatting sqref="T420:U420">
    <cfRule type="containsText" dxfId="0" priority="12600" operator="between" text="欠">
      <formula>NOT(ISERROR(SEARCH("欠",T420)))</formula>
    </cfRule>
  </conditionalFormatting>
  <conditionalFormatting sqref="AG420:AH420">
    <cfRule type="cellIs" dxfId="0" priority="12834" operator="equal">
      <formula>"未完成"</formula>
    </cfRule>
  </conditionalFormatting>
  <conditionalFormatting sqref="AL420:AM420">
    <cfRule type="cellIs" dxfId="1" priority="12639" operator="equal">
      <formula>"未完成"</formula>
    </cfRule>
    <cfRule type="cellIs" dxfId="0" priority="12678" operator="equal">
      <formula>"未完成"</formula>
    </cfRule>
  </conditionalFormatting>
  <conditionalFormatting sqref="R421">
    <cfRule type="cellIs" dxfId="0" priority="12794" operator="equal">
      <formula>"欠"</formula>
    </cfRule>
  </conditionalFormatting>
  <conditionalFormatting sqref="S421">
    <cfRule type="cellIs" dxfId="0" priority="12755" operator="equal">
      <formula>"欠"</formula>
    </cfRule>
  </conditionalFormatting>
  <conditionalFormatting sqref="T421:V421">
    <cfRule type="cellIs" dxfId="0" priority="12716" operator="equal">
      <formula>"欠"</formula>
    </cfRule>
  </conditionalFormatting>
  <conditionalFormatting sqref="T421:U421">
    <cfRule type="containsText" dxfId="0" priority="12599" operator="between" text="欠">
      <formula>NOT(ISERROR(SEARCH("欠",T421)))</formula>
    </cfRule>
  </conditionalFormatting>
  <conditionalFormatting sqref="AG421:AH421">
    <cfRule type="cellIs" dxfId="0" priority="12833" operator="equal">
      <formula>"未完成"</formula>
    </cfRule>
  </conditionalFormatting>
  <conditionalFormatting sqref="AL421:AM421">
    <cfRule type="cellIs" dxfId="1" priority="12638" operator="equal">
      <formula>"未完成"</formula>
    </cfRule>
    <cfRule type="cellIs" dxfId="0" priority="12677" operator="equal">
      <formula>"未完成"</formula>
    </cfRule>
  </conditionalFormatting>
  <conditionalFormatting sqref="R422">
    <cfRule type="cellIs" dxfId="0" priority="12793" operator="equal">
      <formula>"欠"</formula>
    </cfRule>
  </conditionalFormatting>
  <conditionalFormatting sqref="S422">
    <cfRule type="cellIs" dxfId="0" priority="12754" operator="equal">
      <formula>"欠"</formula>
    </cfRule>
  </conditionalFormatting>
  <conditionalFormatting sqref="T422:V422">
    <cfRule type="cellIs" dxfId="0" priority="12715" operator="equal">
      <formula>"欠"</formula>
    </cfRule>
  </conditionalFormatting>
  <conditionalFormatting sqref="T422:U422">
    <cfRule type="containsText" dxfId="0" priority="12598" operator="between" text="欠">
      <formula>NOT(ISERROR(SEARCH("欠",T422)))</formula>
    </cfRule>
  </conditionalFormatting>
  <conditionalFormatting sqref="AG422:AH422">
    <cfRule type="cellIs" dxfId="0" priority="12832" operator="equal">
      <formula>"未完成"</formula>
    </cfRule>
  </conditionalFormatting>
  <conditionalFormatting sqref="AL422:AM422">
    <cfRule type="cellIs" dxfId="1" priority="12637" operator="equal">
      <formula>"未完成"</formula>
    </cfRule>
    <cfRule type="cellIs" dxfId="0" priority="12676" operator="equal">
      <formula>"未完成"</formula>
    </cfRule>
  </conditionalFormatting>
  <conditionalFormatting sqref="R423">
    <cfRule type="cellIs" dxfId="0" priority="12792" operator="equal">
      <formula>"欠"</formula>
    </cfRule>
  </conditionalFormatting>
  <conditionalFormatting sqref="S423">
    <cfRule type="cellIs" dxfId="0" priority="12753" operator="equal">
      <formula>"欠"</formula>
    </cfRule>
  </conditionalFormatting>
  <conditionalFormatting sqref="T423:V423">
    <cfRule type="cellIs" dxfId="0" priority="12714" operator="equal">
      <formula>"欠"</formula>
    </cfRule>
  </conditionalFormatting>
  <conditionalFormatting sqref="T423:U423">
    <cfRule type="containsText" dxfId="0" priority="12597" operator="between" text="欠">
      <formula>NOT(ISERROR(SEARCH("欠",T423)))</formula>
    </cfRule>
  </conditionalFormatting>
  <conditionalFormatting sqref="AG423:AH423">
    <cfRule type="cellIs" dxfId="0" priority="12831" operator="equal">
      <formula>"未完成"</formula>
    </cfRule>
  </conditionalFormatting>
  <conditionalFormatting sqref="AL423:AM423">
    <cfRule type="cellIs" dxfId="1" priority="12636" operator="equal">
      <formula>"未完成"</formula>
    </cfRule>
    <cfRule type="cellIs" dxfId="0" priority="12675" operator="equal">
      <formula>"未完成"</formula>
    </cfRule>
  </conditionalFormatting>
  <conditionalFormatting sqref="R424">
    <cfRule type="cellIs" dxfId="0" priority="12791" operator="equal">
      <formula>"欠"</formula>
    </cfRule>
  </conditionalFormatting>
  <conditionalFormatting sqref="S424">
    <cfRule type="cellIs" dxfId="0" priority="12752" operator="equal">
      <formula>"欠"</formula>
    </cfRule>
  </conditionalFormatting>
  <conditionalFormatting sqref="T424:V424">
    <cfRule type="cellIs" dxfId="0" priority="12713" operator="equal">
      <formula>"欠"</formula>
    </cfRule>
  </conditionalFormatting>
  <conditionalFormatting sqref="T424:U424">
    <cfRule type="containsText" dxfId="0" priority="12596" operator="between" text="欠">
      <formula>NOT(ISERROR(SEARCH("欠",T424)))</formula>
    </cfRule>
  </conditionalFormatting>
  <conditionalFormatting sqref="AG424:AH424">
    <cfRule type="cellIs" dxfId="0" priority="12830" operator="equal">
      <formula>"未完成"</formula>
    </cfRule>
  </conditionalFormatting>
  <conditionalFormatting sqref="AL424:AM424">
    <cfRule type="cellIs" dxfId="1" priority="12635" operator="equal">
      <formula>"未完成"</formula>
    </cfRule>
    <cfRule type="cellIs" dxfId="0" priority="12674" operator="equal">
      <formula>"未完成"</formula>
    </cfRule>
  </conditionalFormatting>
  <conditionalFormatting sqref="R425">
    <cfRule type="cellIs" dxfId="0" priority="12790" operator="equal">
      <formula>"欠"</formula>
    </cfRule>
  </conditionalFormatting>
  <conditionalFormatting sqref="S425">
    <cfRule type="cellIs" dxfId="0" priority="12751" operator="equal">
      <formula>"欠"</formula>
    </cfRule>
  </conditionalFormatting>
  <conditionalFormatting sqref="T425:V425">
    <cfRule type="cellIs" dxfId="0" priority="12712" operator="equal">
      <formula>"欠"</formula>
    </cfRule>
  </conditionalFormatting>
  <conditionalFormatting sqref="T425:U425">
    <cfRule type="containsText" dxfId="0" priority="12595" operator="between" text="欠">
      <formula>NOT(ISERROR(SEARCH("欠",T425)))</formula>
    </cfRule>
  </conditionalFormatting>
  <conditionalFormatting sqref="AG425:AH425">
    <cfRule type="cellIs" dxfId="0" priority="12829" operator="equal">
      <formula>"未完成"</formula>
    </cfRule>
  </conditionalFormatting>
  <conditionalFormatting sqref="AL425:AM425">
    <cfRule type="cellIs" dxfId="1" priority="12634" operator="equal">
      <formula>"未完成"</formula>
    </cfRule>
    <cfRule type="cellIs" dxfId="0" priority="12673" operator="equal">
      <formula>"未完成"</formula>
    </cfRule>
  </conditionalFormatting>
  <conditionalFormatting sqref="R426">
    <cfRule type="cellIs" dxfId="0" priority="12789" operator="equal">
      <formula>"欠"</formula>
    </cfRule>
  </conditionalFormatting>
  <conditionalFormatting sqref="S426">
    <cfRule type="cellIs" dxfId="0" priority="12750" operator="equal">
      <formula>"欠"</formula>
    </cfRule>
  </conditionalFormatting>
  <conditionalFormatting sqref="T426:V426">
    <cfRule type="cellIs" dxfId="0" priority="12711" operator="equal">
      <formula>"欠"</formula>
    </cfRule>
  </conditionalFormatting>
  <conditionalFormatting sqref="T426:U426">
    <cfRule type="containsText" dxfId="0" priority="12594" operator="between" text="欠">
      <formula>NOT(ISERROR(SEARCH("欠",T426)))</formula>
    </cfRule>
  </conditionalFormatting>
  <conditionalFormatting sqref="AG426:AH426">
    <cfRule type="cellIs" dxfId="0" priority="12828" operator="equal">
      <formula>"未完成"</formula>
    </cfRule>
  </conditionalFormatting>
  <conditionalFormatting sqref="AL426:AM426">
    <cfRule type="cellIs" dxfId="1" priority="12633" operator="equal">
      <formula>"未完成"</formula>
    </cfRule>
    <cfRule type="cellIs" dxfId="0" priority="12672" operator="equal">
      <formula>"未完成"</formula>
    </cfRule>
  </conditionalFormatting>
  <conditionalFormatting sqref="R427">
    <cfRule type="cellIs" dxfId="0" priority="12788" operator="equal">
      <formula>"欠"</formula>
    </cfRule>
  </conditionalFormatting>
  <conditionalFormatting sqref="S427">
    <cfRule type="cellIs" dxfId="0" priority="12749" operator="equal">
      <formula>"欠"</formula>
    </cfRule>
  </conditionalFormatting>
  <conditionalFormatting sqref="T427:V427">
    <cfRule type="cellIs" dxfId="0" priority="12710" operator="equal">
      <formula>"欠"</formula>
    </cfRule>
  </conditionalFormatting>
  <conditionalFormatting sqref="T427:U427">
    <cfRule type="containsText" dxfId="0" priority="12593" operator="between" text="欠">
      <formula>NOT(ISERROR(SEARCH("欠",T427)))</formula>
    </cfRule>
  </conditionalFormatting>
  <conditionalFormatting sqref="AG427:AH427">
    <cfRule type="cellIs" dxfId="0" priority="12827" operator="equal">
      <formula>"未完成"</formula>
    </cfRule>
  </conditionalFormatting>
  <conditionalFormatting sqref="AL427:AM427">
    <cfRule type="cellIs" dxfId="1" priority="12632" operator="equal">
      <formula>"未完成"</formula>
    </cfRule>
    <cfRule type="cellIs" dxfId="0" priority="12671" operator="equal">
      <formula>"未完成"</formula>
    </cfRule>
  </conditionalFormatting>
  <conditionalFormatting sqref="R428">
    <cfRule type="cellIs" dxfId="0" priority="12787" operator="equal">
      <formula>"欠"</formula>
    </cfRule>
  </conditionalFormatting>
  <conditionalFormatting sqref="S428">
    <cfRule type="cellIs" dxfId="0" priority="12748" operator="equal">
      <formula>"欠"</formula>
    </cfRule>
  </conditionalFormatting>
  <conditionalFormatting sqref="T428:V428">
    <cfRule type="cellIs" dxfId="0" priority="12709" operator="equal">
      <formula>"欠"</formula>
    </cfRule>
  </conditionalFormatting>
  <conditionalFormatting sqref="T428:U428">
    <cfRule type="containsText" dxfId="0" priority="12592" operator="between" text="欠">
      <formula>NOT(ISERROR(SEARCH("欠",T428)))</formula>
    </cfRule>
  </conditionalFormatting>
  <conditionalFormatting sqref="AG428:AH428">
    <cfRule type="cellIs" dxfId="0" priority="12826" operator="equal">
      <formula>"未完成"</formula>
    </cfRule>
  </conditionalFormatting>
  <conditionalFormatting sqref="AL428:AM428">
    <cfRule type="cellIs" dxfId="1" priority="12631" operator="equal">
      <formula>"未完成"</formula>
    </cfRule>
    <cfRule type="cellIs" dxfId="0" priority="12670" operator="equal">
      <formula>"未完成"</formula>
    </cfRule>
  </conditionalFormatting>
  <conditionalFormatting sqref="R429">
    <cfRule type="cellIs" dxfId="0" priority="12786" operator="equal">
      <formula>"欠"</formula>
    </cfRule>
  </conditionalFormatting>
  <conditionalFormatting sqref="S429">
    <cfRule type="cellIs" dxfId="0" priority="12747" operator="equal">
      <formula>"欠"</formula>
    </cfRule>
  </conditionalFormatting>
  <conditionalFormatting sqref="T429:V429">
    <cfRule type="cellIs" dxfId="0" priority="12708" operator="equal">
      <formula>"欠"</formula>
    </cfRule>
  </conditionalFormatting>
  <conditionalFormatting sqref="T429:U429">
    <cfRule type="containsText" dxfId="0" priority="12591" operator="between" text="欠">
      <formula>NOT(ISERROR(SEARCH("欠",T429)))</formula>
    </cfRule>
  </conditionalFormatting>
  <conditionalFormatting sqref="AG429:AH429">
    <cfRule type="cellIs" dxfId="0" priority="12825" operator="equal">
      <formula>"未完成"</formula>
    </cfRule>
  </conditionalFormatting>
  <conditionalFormatting sqref="AL429:AM429">
    <cfRule type="cellIs" dxfId="1" priority="12630" operator="equal">
      <formula>"未完成"</formula>
    </cfRule>
    <cfRule type="cellIs" dxfId="0" priority="12669" operator="equal">
      <formula>"未完成"</formula>
    </cfRule>
  </conditionalFormatting>
  <conditionalFormatting sqref="R430">
    <cfRule type="cellIs" dxfId="0" priority="12784" operator="equal">
      <formula>"欠"</formula>
    </cfRule>
  </conditionalFormatting>
  <conditionalFormatting sqref="S430">
    <cfRule type="cellIs" dxfId="0" priority="12745" operator="equal">
      <formula>"欠"</formula>
    </cfRule>
  </conditionalFormatting>
  <conditionalFormatting sqref="T430:V430">
    <cfRule type="cellIs" dxfId="0" priority="12706" operator="equal">
      <formula>"欠"</formula>
    </cfRule>
  </conditionalFormatting>
  <conditionalFormatting sqref="T430:U430">
    <cfRule type="containsText" dxfId="0" priority="12589" operator="between" text="欠">
      <formula>NOT(ISERROR(SEARCH("欠",T430)))</formula>
    </cfRule>
  </conditionalFormatting>
  <conditionalFormatting sqref="AG430:AH430">
    <cfRule type="cellIs" dxfId="0" priority="12823" operator="equal">
      <formula>"未完成"</formula>
    </cfRule>
  </conditionalFormatting>
  <conditionalFormatting sqref="AL430:AM430">
    <cfRule type="cellIs" dxfId="1" priority="12628" operator="equal">
      <formula>"未完成"</formula>
    </cfRule>
    <cfRule type="cellIs" dxfId="0" priority="12667" operator="equal">
      <formula>"未完成"</formula>
    </cfRule>
  </conditionalFormatting>
  <conditionalFormatting sqref="R431">
    <cfRule type="cellIs" dxfId="0" priority="12783" operator="equal">
      <formula>"欠"</formula>
    </cfRule>
  </conditionalFormatting>
  <conditionalFormatting sqref="S431">
    <cfRule type="cellIs" dxfId="0" priority="12744" operator="equal">
      <formula>"欠"</formula>
    </cfRule>
  </conditionalFormatting>
  <conditionalFormatting sqref="T431:V431">
    <cfRule type="cellIs" dxfId="0" priority="12705" operator="equal">
      <formula>"欠"</formula>
    </cfRule>
  </conditionalFormatting>
  <conditionalFormatting sqref="T431:U431">
    <cfRule type="containsText" dxfId="0" priority="12588" operator="between" text="欠">
      <formula>NOT(ISERROR(SEARCH("欠",T431)))</formula>
    </cfRule>
  </conditionalFormatting>
  <conditionalFormatting sqref="AG431:AH431">
    <cfRule type="cellIs" dxfId="0" priority="12822" operator="equal">
      <formula>"未完成"</formula>
    </cfRule>
  </conditionalFormatting>
  <conditionalFormatting sqref="AL431:AM431">
    <cfRule type="cellIs" dxfId="1" priority="12627" operator="equal">
      <formula>"未完成"</formula>
    </cfRule>
    <cfRule type="cellIs" dxfId="0" priority="12666" operator="equal">
      <formula>"未完成"</formula>
    </cfRule>
  </conditionalFormatting>
  <conditionalFormatting sqref="R432">
    <cfRule type="cellIs" dxfId="0" priority="12782" operator="equal">
      <formula>"欠"</formula>
    </cfRule>
  </conditionalFormatting>
  <conditionalFormatting sqref="S432">
    <cfRule type="cellIs" dxfId="0" priority="12743" operator="equal">
      <formula>"欠"</formula>
    </cfRule>
  </conditionalFormatting>
  <conditionalFormatting sqref="T432:V432">
    <cfRule type="cellIs" dxfId="0" priority="12704" operator="equal">
      <formula>"欠"</formula>
    </cfRule>
  </conditionalFormatting>
  <conditionalFormatting sqref="T432:U432">
    <cfRule type="containsText" dxfId="0" priority="12587" operator="between" text="欠">
      <formula>NOT(ISERROR(SEARCH("欠",T432)))</formula>
    </cfRule>
  </conditionalFormatting>
  <conditionalFormatting sqref="AG432:AH432">
    <cfRule type="cellIs" dxfId="0" priority="12821" operator="equal">
      <formula>"未完成"</formula>
    </cfRule>
  </conditionalFormatting>
  <conditionalFormatting sqref="AL432:AM432">
    <cfRule type="cellIs" dxfId="1" priority="12626" operator="equal">
      <formula>"未完成"</formula>
    </cfRule>
    <cfRule type="cellIs" dxfId="0" priority="12665" operator="equal">
      <formula>"未完成"</formula>
    </cfRule>
  </conditionalFormatting>
  <conditionalFormatting sqref="R433">
    <cfRule type="cellIs" dxfId="0" priority="12781" operator="equal">
      <formula>"欠"</formula>
    </cfRule>
  </conditionalFormatting>
  <conditionalFormatting sqref="S433">
    <cfRule type="cellIs" dxfId="0" priority="12742" operator="equal">
      <formula>"欠"</formula>
    </cfRule>
  </conditionalFormatting>
  <conditionalFormatting sqref="T433:V433">
    <cfRule type="cellIs" dxfId="0" priority="12703" operator="equal">
      <formula>"欠"</formula>
    </cfRule>
  </conditionalFormatting>
  <conditionalFormatting sqref="T433:U433">
    <cfRule type="containsText" dxfId="0" priority="12586" operator="between" text="欠">
      <formula>NOT(ISERROR(SEARCH("欠",T433)))</formula>
    </cfRule>
  </conditionalFormatting>
  <conditionalFormatting sqref="AG433:AH433">
    <cfRule type="cellIs" dxfId="0" priority="12820" operator="equal">
      <formula>"未完成"</formula>
    </cfRule>
  </conditionalFormatting>
  <conditionalFormatting sqref="AL433:AM433">
    <cfRule type="cellIs" dxfId="1" priority="12625" operator="equal">
      <formula>"未完成"</formula>
    </cfRule>
    <cfRule type="cellIs" dxfId="0" priority="12664" operator="equal">
      <formula>"未完成"</formula>
    </cfRule>
  </conditionalFormatting>
  <conditionalFormatting sqref="R434">
    <cfRule type="cellIs" dxfId="0" priority="12780" operator="equal">
      <formula>"欠"</formula>
    </cfRule>
  </conditionalFormatting>
  <conditionalFormatting sqref="S434">
    <cfRule type="cellIs" dxfId="0" priority="12741" operator="equal">
      <formula>"欠"</formula>
    </cfRule>
  </conditionalFormatting>
  <conditionalFormatting sqref="T434:V434">
    <cfRule type="cellIs" dxfId="0" priority="12702" operator="equal">
      <formula>"欠"</formula>
    </cfRule>
  </conditionalFormatting>
  <conditionalFormatting sqref="T434:U434">
    <cfRule type="containsText" dxfId="0" priority="12585" operator="between" text="欠">
      <formula>NOT(ISERROR(SEARCH("欠",T434)))</formula>
    </cfRule>
  </conditionalFormatting>
  <conditionalFormatting sqref="AG434:AH434">
    <cfRule type="cellIs" dxfId="0" priority="12819" operator="equal">
      <formula>"未完成"</formula>
    </cfRule>
  </conditionalFormatting>
  <conditionalFormatting sqref="AL434:AM434">
    <cfRule type="cellIs" dxfId="1" priority="12624" operator="equal">
      <formula>"未完成"</formula>
    </cfRule>
    <cfRule type="cellIs" dxfId="0" priority="12663" operator="equal">
      <formula>"未完成"</formula>
    </cfRule>
  </conditionalFormatting>
  <conditionalFormatting sqref="R435">
    <cfRule type="cellIs" dxfId="0" priority="12779" operator="equal">
      <formula>"欠"</formula>
    </cfRule>
  </conditionalFormatting>
  <conditionalFormatting sqref="S435">
    <cfRule type="cellIs" dxfId="0" priority="12740" operator="equal">
      <formula>"欠"</formula>
    </cfRule>
  </conditionalFormatting>
  <conditionalFormatting sqref="T435:V435">
    <cfRule type="cellIs" dxfId="0" priority="12701" operator="equal">
      <formula>"欠"</formula>
    </cfRule>
  </conditionalFormatting>
  <conditionalFormatting sqref="T435:U435">
    <cfRule type="containsText" dxfId="0" priority="12584" operator="between" text="欠">
      <formula>NOT(ISERROR(SEARCH("欠",T435)))</formula>
    </cfRule>
  </conditionalFormatting>
  <conditionalFormatting sqref="AG435:AH435">
    <cfRule type="cellIs" dxfId="0" priority="12818" operator="equal">
      <formula>"未完成"</formula>
    </cfRule>
  </conditionalFormatting>
  <conditionalFormatting sqref="AL435:AM435">
    <cfRule type="cellIs" dxfId="1" priority="12623" operator="equal">
      <formula>"未完成"</formula>
    </cfRule>
    <cfRule type="cellIs" dxfId="0" priority="12662" operator="equal">
      <formula>"未完成"</formula>
    </cfRule>
  </conditionalFormatting>
  <conditionalFormatting sqref="R436">
    <cfRule type="cellIs" dxfId="0" priority="12778" operator="equal">
      <formula>"欠"</formula>
    </cfRule>
  </conditionalFormatting>
  <conditionalFormatting sqref="S436">
    <cfRule type="cellIs" dxfId="0" priority="12739" operator="equal">
      <formula>"欠"</formula>
    </cfRule>
  </conditionalFormatting>
  <conditionalFormatting sqref="T436:V436">
    <cfRule type="cellIs" dxfId="0" priority="12700" operator="equal">
      <formula>"欠"</formula>
    </cfRule>
  </conditionalFormatting>
  <conditionalFormatting sqref="T436:U436">
    <cfRule type="containsText" dxfId="0" priority="12583" operator="between" text="欠">
      <formula>NOT(ISERROR(SEARCH("欠",T436)))</formula>
    </cfRule>
  </conditionalFormatting>
  <conditionalFormatting sqref="AG436:AH436">
    <cfRule type="cellIs" dxfId="0" priority="12817" operator="equal">
      <formula>"未完成"</formula>
    </cfRule>
  </conditionalFormatting>
  <conditionalFormatting sqref="AL436:AM436">
    <cfRule type="cellIs" dxfId="1" priority="12622" operator="equal">
      <formula>"未完成"</formula>
    </cfRule>
    <cfRule type="cellIs" dxfId="0" priority="12661" operator="equal">
      <formula>"未完成"</formula>
    </cfRule>
  </conditionalFormatting>
  <conditionalFormatting sqref="R437">
    <cfRule type="cellIs" dxfId="0" priority="12562" operator="equal">
      <formula>"欠"</formula>
    </cfRule>
  </conditionalFormatting>
  <conditionalFormatting sqref="S437">
    <cfRule type="cellIs" dxfId="0" priority="12551" operator="equal">
      <formula>"欠"</formula>
    </cfRule>
  </conditionalFormatting>
  <conditionalFormatting sqref="T437:V437">
    <cfRule type="cellIs" dxfId="0" priority="12540" operator="equal">
      <formula>"欠"</formula>
    </cfRule>
  </conditionalFormatting>
  <conditionalFormatting sqref="T437:U437">
    <cfRule type="containsText" dxfId="0" priority="12507" operator="between" text="欠">
      <formula>NOT(ISERROR(SEARCH("欠",T437)))</formula>
    </cfRule>
  </conditionalFormatting>
  <conditionalFormatting sqref="AG437:AH437">
    <cfRule type="cellIs" dxfId="0" priority="12573" operator="equal">
      <formula>"未完成"</formula>
    </cfRule>
  </conditionalFormatting>
  <conditionalFormatting sqref="AL437:AM437">
    <cfRule type="cellIs" dxfId="1" priority="12518" operator="equal">
      <formula>"未完成"</formula>
    </cfRule>
    <cfRule type="cellIs" dxfId="0" priority="12529" operator="equal">
      <formula>"未完成"</formula>
    </cfRule>
  </conditionalFormatting>
  <conditionalFormatting sqref="R438">
    <cfRule type="cellIs" dxfId="0" priority="12561" operator="equal">
      <formula>"欠"</formula>
    </cfRule>
  </conditionalFormatting>
  <conditionalFormatting sqref="S438">
    <cfRule type="cellIs" dxfId="0" priority="12550" operator="equal">
      <formula>"欠"</formula>
    </cfRule>
  </conditionalFormatting>
  <conditionalFormatting sqref="T438:V438">
    <cfRule type="cellIs" dxfId="0" priority="12539" operator="equal">
      <formula>"欠"</formula>
    </cfRule>
  </conditionalFormatting>
  <conditionalFormatting sqref="T438:U438">
    <cfRule type="containsText" dxfId="0" priority="12506" operator="between" text="欠">
      <formula>NOT(ISERROR(SEARCH("欠",T438)))</formula>
    </cfRule>
  </conditionalFormatting>
  <conditionalFormatting sqref="AG438:AH438">
    <cfRule type="cellIs" dxfId="0" priority="12572" operator="equal">
      <formula>"未完成"</formula>
    </cfRule>
  </conditionalFormatting>
  <conditionalFormatting sqref="AL438:AM438">
    <cfRule type="cellIs" dxfId="1" priority="12517" operator="equal">
      <formula>"未完成"</formula>
    </cfRule>
    <cfRule type="cellIs" dxfId="0" priority="12528" operator="equal">
      <formula>"未完成"</formula>
    </cfRule>
  </conditionalFormatting>
  <conditionalFormatting sqref="R439">
    <cfRule type="cellIs" dxfId="0" priority="12560" operator="equal">
      <formula>"欠"</formula>
    </cfRule>
  </conditionalFormatting>
  <conditionalFormatting sqref="S439">
    <cfRule type="cellIs" dxfId="0" priority="12549" operator="equal">
      <formula>"欠"</formula>
    </cfRule>
  </conditionalFormatting>
  <conditionalFormatting sqref="T439:V439">
    <cfRule type="cellIs" dxfId="0" priority="12538" operator="equal">
      <formula>"欠"</formula>
    </cfRule>
  </conditionalFormatting>
  <conditionalFormatting sqref="T439:U439">
    <cfRule type="containsText" dxfId="0" priority="12505" operator="between" text="欠">
      <formula>NOT(ISERROR(SEARCH("欠",T439)))</formula>
    </cfRule>
  </conditionalFormatting>
  <conditionalFormatting sqref="AG439:AH439">
    <cfRule type="cellIs" dxfId="0" priority="12571" operator="equal">
      <formula>"未完成"</formula>
    </cfRule>
  </conditionalFormatting>
  <conditionalFormatting sqref="AL439:AM439">
    <cfRule type="cellIs" dxfId="1" priority="12516" operator="equal">
      <formula>"未完成"</formula>
    </cfRule>
    <cfRule type="cellIs" dxfId="0" priority="12527" operator="equal">
      <formula>"未完成"</formula>
    </cfRule>
  </conditionalFormatting>
  <conditionalFormatting sqref="R440">
    <cfRule type="cellIs" dxfId="0" priority="12559" operator="equal">
      <formula>"欠"</formula>
    </cfRule>
  </conditionalFormatting>
  <conditionalFormatting sqref="S440">
    <cfRule type="cellIs" dxfId="0" priority="12548" operator="equal">
      <formula>"欠"</formula>
    </cfRule>
  </conditionalFormatting>
  <conditionalFormatting sqref="T440:V440">
    <cfRule type="cellIs" dxfId="0" priority="12537" operator="equal">
      <formula>"欠"</formula>
    </cfRule>
  </conditionalFormatting>
  <conditionalFormatting sqref="T440:U440">
    <cfRule type="containsText" dxfId="0" priority="12504" operator="between" text="欠">
      <formula>NOT(ISERROR(SEARCH("欠",T440)))</formula>
    </cfRule>
  </conditionalFormatting>
  <conditionalFormatting sqref="AG440:AH440">
    <cfRule type="cellIs" dxfId="0" priority="12570" operator="equal">
      <formula>"未完成"</formula>
    </cfRule>
  </conditionalFormatting>
  <conditionalFormatting sqref="AL440:AM440">
    <cfRule type="cellIs" dxfId="1" priority="12515" operator="equal">
      <formula>"未完成"</formula>
    </cfRule>
    <cfRule type="cellIs" dxfId="0" priority="12526" operator="equal">
      <formula>"未完成"</formula>
    </cfRule>
  </conditionalFormatting>
  <conditionalFormatting sqref="R441">
    <cfRule type="cellIs" dxfId="0" priority="12558" operator="equal">
      <formula>"欠"</formula>
    </cfRule>
  </conditionalFormatting>
  <conditionalFormatting sqref="S441">
    <cfRule type="cellIs" dxfId="0" priority="12547" operator="equal">
      <formula>"欠"</formula>
    </cfRule>
  </conditionalFormatting>
  <conditionalFormatting sqref="T441:V441">
    <cfRule type="cellIs" dxfId="0" priority="12536" operator="equal">
      <formula>"欠"</formula>
    </cfRule>
  </conditionalFormatting>
  <conditionalFormatting sqref="T441:U441">
    <cfRule type="containsText" dxfId="0" priority="12503" operator="between" text="欠">
      <formula>NOT(ISERROR(SEARCH("欠",T441)))</formula>
    </cfRule>
  </conditionalFormatting>
  <conditionalFormatting sqref="AG441:AH441">
    <cfRule type="cellIs" dxfId="0" priority="12569" operator="equal">
      <formula>"未完成"</formula>
    </cfRule>
  </conditionalFormatting>
  <conditionalFormatting sqref="AL441:AM441">
    <cfRule type="cellIs" dxfId="1" priority="12514" operator="equal">
      <formula>"未完成"</formula>
    </cfRule>
    <cfRule type="cellIs" dxfId="0" priority="12525" operator="equal">
      <formula>"未完成"</formula>
    </cfRule>
  </conditionalFormatting>
  <conditionalFormatting sqref="R442">
    <cfRule type="cellIs" dxfId="0" priority="12557" operator="equal">
      <formula>"欠"</formula>
    </cfRule>
  </conditionalFormatting>
  <conditionalFormatting sqref="S442">
    <cfRule type="cellIs" dxfId="0" priority="12546" operator="equal">
      <formula>"欠"</formula>
    </cfRule>
  </conditionalFormatting>
  <conditionalFormatting sqref="T442:V442">
    <cfRule type="cellIs" dxfId="0" priority="12535" operator="equal">
      <formula>"欠"</formula>
    </cfRule>
  </conditionalFormatting>
  <conditionalFormatting sqref="T442:U442">
    <cfRule type="containsText" dxfId="0" priority="12502" operator="between" text="欠">
      <formula>NOT(ISERROR(SEARCH("欠",T442)))</formula>
    </cfRule>
  </conditionalFormatting>
  <conditionalFormatting sqref="AG442:AH442">
    <cfRule type="cellIs" dxfId="0" priority="12568" operator="equal">
      <formula>"未完成"</formula>
    </cfRule>
  </conditionalFormatting>
  <conditionalFormatting sqref="AL442:AM442">
    <cfRule type="cellIs" dxfId="1" priority="12513" operator="equal">
      <formula>"未完成"</formula>
    </cfRule>
    <cfRule type="cellIs" dxfId="0" priority="12524" operator="equal">
      <formula>"未完成"</formula>
    </cfRule>
  </conditionalFormatting>
  <conditionalFormatting sqref="R443">
    <cfRule type="cellIs" dxfId="0" priority="12556" operator="equal">
      <formula>"欠"</formula>
    </cfRule>
  </conditionalFormatting>
  <conditionalFormatting sqref="S443">
    <cfRule type="cellIs" dxfId="0" priority="12545" operator="equal">
      <formula>"欠"</formula>
    </cfRule>
  </conditionalFormatting>
  <conditionalFormatting sqref="T443:V443">
    <cfRule type="cellIs" dxfId="0" priority="12534" operator="equal">
      <formula>"欠"</formula>
    </cfRule>
  </conditionalFormatting>
  <conditionalFormatting sqref="T443:U443">
    <cfRule type="containsText" dxfId="0" priority="12501" operator="between" text="欠">
      <formula>NOT(ISERROR(SEARCH("欠",T443)))</formula>
    </cfRule>
  </conditionalFormatting>
  <conditionalFormatting sqref="AG443:AH443">
    <cfRule type="cellIs" dxfId="0" priority="12567" operator="equal">
      <formula>"未完成"</formula>
    </cfRule>
  </conditionalFormatting>
  <conditionalFormatting sqref="AL443:AM443">
    <cfRule type="cellIs" dxfId="1" priority="12512" operator="equal">
      <formula>"未完成"</formula>
    </cfRule>
    <cfRule type="cellIs" dxfId="0" priority="12523" operator="equal">
      <formula>"未完成"</formula>
    </cfRule>
  </conditionalFormatting>
  <conditionalFormatting sqref="R444">
    <cfRule type="cellIs" dxfId="0" priority="12555" operator="equal">
      <formula>"欠"</formula>
    </cfRule>
  </conditionalFormatting>
  <conditionalFormatting sqref="S444">
    <cfRule type="cellIs" dxfId="0" priority="12544" operator="equal">
      <formula>"欠"</formula>
    </cfRule>
  </conditionalFormatting>
  <conditionalFormatting sqref="T444:V444">
    <cfRule type="cellIs" dxfId="0" priority="12533" operator="equal">
      <formula>"欠"</formula>
    </cfRule>
  </conditionalFormatting>
  <conditionalFormatting sqref="T444:U444">
    <cfRule type="containsText" dxfId="0" priority="12500" operator="between" text="欠">
      <formula>NOT(ISERROR(SEARCH("欠",T444)))</formula>
    </cfRule>
  </conditionalFormatting>
  <conditionalFormatting sqref="AG444:AH444">
    <cfRule type="cellIs" dxfId="0" priority="12566" operator="equal">
      <formula>"未完成"</formula>
    </cfRule>
  </conditionalFormatting>
  <conditionalFormatting sqref="AL444:AM444">
    <cfRule type="cellIs" dxfId="1" priority="12511" operator="equal">
      <formula>"未完成"</formula>
    </cfRule>
    <cfRule type="cellIs" dxfId="0" priority="12522" operator="equal">
      <formula>"未完成"</formula>
    </cfRule>
  </conditionalFormatting>
  <conditionalFormatting sqref="R445">
    <cfRule type="cellIs" dxfId="0" priority="12554" operator="equal">
      <formula>"欠"</formula>
    </cfRule>
  </conditionalFormatting>
  <conditionalFormatting sqref="S445">
    <cfRule type="cellIs" dxfId="0" priority="12543" operator="equal">
      <formula>"欠"</formula>
    </cfRule>
  </conditionalFormatting>
  <conditionalFormatting sqref="T445:V445">
    <cfRule type="cellIs" dxfId="0" priority="12532" operator="equal">
      <formula>"欠"</formula>
    </cfRule>
  </conditionalFormatting>
  <conditionalFormatting sqref="T445:U445">
    <cfRule type="containsText" dxfId="0" priority="12499" operator="between" text="欠">
      <formula>NOT(ISERROR(SEARCH("欠",T445)))</formula>
    </cfRule>
  </conditionalFormatting>
  <conditionalFormatting sqref="AG445:AH445">
    <cfRule type="cellIs" dxfId="0" priority="12565" operator="equal">
      <formula>"未完成"</formula>
    </cfRule>
  </conditionalFormatting>
  <conditionalFormatting sqref="AL445:AM445">
    <cfRule type="cellIs" dxfId="1" priority="12510" operator="equal">
      <formula>"未完成"</formula>
    </cfRule>
    <cfRule type="cellIs" dxfId="0" priority="12521" operator="equal">
      <formula>"未完成"</formula>
    </cfRule>
  </conditionalFormatting>
  <conditionalFormatting sqref="R446">
    <cfRule type="cellIs" dxfId="0" priority="12553" operator="equal">
      <formula>"欠"</formula>
    </cfRule>
  </conditionalFormatting>
  <conditionalFormatting sqref="S446">
    <cfRule type="cellIs" dxfId="0" priority="12542" operator="equal">
      <formula>"欠"</formula>
    </cfRule>
  </conditionalFormatting>
  <conditionalFormatting sqref="T446:V446">
    <cfRule type="cellIs" dxfId="0" priority="12531" operator="equal">
      <formula>"欠"</formula>
    </cfRule>
  </conditionalFormatting>
  <conditionalFormatting sqref="T446:U446">
    <cfRule type="containsText" dxfId="0" priority="12498" operator="between" text="欠">
      <formula>NOT(ISERROR(SEARCH("欠",T446)))</formula>
    </cfRule>
  </conditionalFormatting>
  <conditionalFormatting sqref="AG446:AH446">
    <cfRule type="cellIs" dxfId="0" priority="12564" operator="equal">
      <formula>"未完成"</formula>
    </cfRule>
  </conditionalFormatting>
  <conditionalFormatting sqref="AL446:AM446">
    <cfRule type="cellIs" dxfId="1" priority="12509" operator="equal">
      <formula>"未完成"</formula>
    </cfRule>
    <cfRule type="cellIs" dxfId="0" priority="12520" operator="equal">
      <formula>"未完成"</formula>
    </cfRule>
  </conditionalFormatting>
  <conditionalFormatting sqref="R447">
    <cfRule type="cellIs" dxfId="0" priority="12470" operator="equal">
      <formula>"欠"</formula>
    </cfRule>
  </conditionalFormatting>
  <conditionalFormatting sqref="S447">
    <cfRule type="cellIs" dxfId="0" priority="12460" operator="equal">
      <formula>"欠"</formula>
    </cfRule>
  </conditionalFormatting>
  <conditionalFormatting sqref="T447:V447">
    <cfRule type="cellIs" dxfId="0" priority="12450" operator="equal">
      <formula>"欠"</formula>
    </cfRule>
  </conditionalFormatting>
  <conditionalFormatting sqref="T447:U447">
    <cfRule type="containsText" dxfId="0" priority="12420" operator="between" text="欠">
      <formula>NOT(ISERROR(SEARCH("欠",T447)))</formula>
    </cfRule>
  </conditionalFormatting>
  <conditionalFormatting sqref="AG447:AH447">
    <cfRule type="cellIs" dxfId="0" priority="12480" operator="equal">
      <formula>"未完成"</formula>
    </cfRule>
  </conditionalFormatting>
  <conditionalFormatting sqref="AL447:AM447">
    <cfRule type="cellIs" dxfId="1" priority="12430" operator="equal">
      <formula>"未完成"</formula>
    </cfRule>
    <cfRule type="cellIs" dxfId="0" priority="12440" operator="equal">
      <formula>"未完成"</formula>
    </cfRule>
  </conditionalFormatting>
  <conditionalFormatting sqref="R448">
    <cfRule type="cellIs" dxfId="0" priority="12469" operator="equal">
      <formula>"欠"</formula>
    </cfRule>
  </conditionalFormatting>
  <conditionalFormatting sqref="S448">
    <cfRule type="cellIs" dxfId="0" priority="12459" operator="equal">
      <formula>"欠"</formula>
    </cfRule>
  </conditionalFormatting>
  <conditionalFormatting sqref="T448:V448">
    <cfRule type="cellIs" dxfId="0" priority="12449" operator="equal">
      <formula>"欠"</formula>
    </cfRule>
  </conditionalFormatting>
  <conditionalFormatting sqref="T448:U448">
    <cfRule type="containsText" dxfId="0" priority="12419" operator="between" text="欠">
      <formula>NOT(ISERROR(SEARCH("欠",T448)))</formula>
    </cfRule>
  </conditionalFormatting>
  <conditionalFormatting sqref="AG448:AH448">
    <cfRule type="cellIs" dxfId="0" priority="12479" operator="equal">
      <formula>"未完成"</formula>
    </cfRule>
  </conditionalFormatting>
  <conditionalFormatting sqref="AL448:AM448">
    <cfRule type="cellIs" dxfId="1" priority="12429" operator="equal">
      <formula>"未完成"</formula>
    </cfRule>
    <cfRule type="cellIs" dxfId="0" priority="12439" operator="equal">
      <formula>"未完成"</formula>
    </cfRule>
  </conditionalFormatting>
  <conditionalFormatting sqref="T449:V449">
    <cfRule type="cellIs" dxfId="0" priority="12448" operator="equal">
      <formula>"欠"</formula>
    </cfRule>
  </conditionalFormatting>
  <conditionalFormatting sqref="T449:U449">
    <cfRule type="containsText" dxfId="0" priority="12418" operator="between" text="欠">
      <formula>NOT(ISERROR(SEARCH("欠",T449)))</formula>
    </cfRule>
  </conditionalFormatting>
  <conditionalFormatting sqref="AG449:AH449">
    <cfRule type="cellIs" dxfId="0" priority="12478" operator="equal">
      <formula>"未完成"</formula>
    </cfRule>
  </conditionalFormatting>
  <conditionalFormatting sqref="AL449:AM449">
    <cfRule type="cellIs" dxfId="1" priority="12428" operator="equal">
      <formula>"未完成"</formula>
    </cfRule>
    <cfRule type="cellIs" dxfId="0" priority="12438" operator="equal">
      <formula>"未完成"</formula>
    </cfRule>
  </conditionalFormatting>
  <conditionalFormatting sqref="R450">
    <cfRule type="cellIs" dxfId="0" priority="12467" operator="equal">
      <formula>"欠"</formula>
    </cfRule>
  </conditionalFormatting>
  <conditionalFormatting sqref="S450">
    <cfRule type="cellIs" dxfId="0" priority="12457" operator="equal">
      <formula>"欠"</formula>
    </cfRule>
  </conditionalFormatting>
  <conditionalFormatting sqref="T450:V450">
    <cfRule type="cellIs" dxfId="0" priority="12447" operator="equal">
      <formula>"欠"</formula>
    </cfRule>
  </conditionalFormatting>
  <conditionalFormatting sqref="T450:U450">
    <cfRule type="containsText" dxfId="0" priority="12417" operator="between" text="欠">
      <formula>NOT(ISERROR(SEARCH("欠",T450)))</formula>
    </cfRule>
  </conditionalFormatting>
  <conditionalFormatting sqref="AG450:AH450">
    <cfRule type="cellIs" dxfId="0" priority="12477" operator="equal">
      <formula>"未完成"</formula>
    </cfRule>
  </conditionalFormatting>
  <conditionalFormatting sqref="AL450:AM450">
    <cfRule type="cellIs" dxfId="1" priority="12427" operator="equal">
      <formula>"未完成"</formula>
    </cfRule>
    <cfRule type="cellIs" dxfId="0" priority="12437" operator="equal">
      <formula>"未完成"</formula>
    </cfRule>
  </conditionalFormatting>
  <conditionalFormatting sqref="R451">
    <cfRule type="cellIs" dxfId="0" priority="12466" operator="equal">
      <formula>"欠"</formula>
    </cfRule>
  </conditionalFormatting>
  <conditionalFormatting sqref="S451">
    <cfRule type="cellIs" dxfId="0" priority="12456" operator="equal">
      <formula>"欠"</formula>
    </cfRule>
  </conditionalFormatting>
  <conditionalFormatting sqref="T451:V451">
    <cfRule type="cellIs" dxfId="0" priority="12446" operator="equal">
      <formula>"欠"</formula>
    </cfRule>
  </conditionalFormatting>
  <conditionalFormatting sqref="T451:U451">
    <cfRule type="containsText" dxfId="0" priority="12416" operator="between" text="欠">
      <formula>NOT(ISERROR(SEARCH("欠",T451)))</formula>
    </cfRule>
  </conditionalFormatting>
  <conditionalFormatting sqref="AG451:AH451">
    <cfRule type="cellIs" dxfId="0" priority="12476" operator="equal">
      <formula>"未完成"</formula>
    </cfRule>
  </conditionalFormatting>
  <conditionalFormatting sqref="AL451:AM451">
    <cfRule type="cellIs" dxfId="1" priority="12426" operator="equal">
      <formula>"未完成"</formula>
    </cfRule>
    <cfRule type="cellIs" dxfId="0" priority="12436" operator="equal">
      <formula>"未完成"</formula>
    </cfRule>
  </conditionalFormatting>
  <conditionalFormatting sqref="R452">
    <cfRule type="cellIs" dxfId="0" priority="12465" operator="equal">
      <formula>"欠"</formula>
    </cfRule>
  </conditionalFormatting>
  <conditionalFormatting sqref="S452">
    <cfRule type="cellIs" dxfId="0" priority="12455" operator="equal">
      <formula>"欠"</formula>
    </cfRule>
  </conditionalFormatting>
  <conditionalFormatting sqref="T452:V452">
    <cfRule type="cellIs" dxfId="0" priority="12445" operator="equal">
      <formula>"欠"</formula>
    </cfRule>
  </conditionalFormatting>
  <conditionalFormatting sqref="T452:U452">
    <cfRule type="containsText" dxfId="0" priority="12415" operator="between" text="欠">
      <formula>NOT(ISERROR(SEARCH("欠",T452)))</formula>
    </cfRule>
  </conditionalFormatting>
  <conditionalFormatting sqref="AG452:AH452">
    <cfRule type="cellIs" dxfId="0" priority="12475" operator="equal">
      <formula>"未完成"</formula>
    </cfRule>
  </conditionalFormatting>
  <conditionalFormatting sqref="AL452:AM452">
    <cfRule type="cellIs" dxfId="1" priority="12425" operator="equal">
      <formula>"未完成"</formula>
    </cfRule>
    <cfRule type="cellIs" dxfId="0" priority="12435" operator="equal">
      <formula>"未完成"</formula>
    </cfRule>
  </conditionalFormatting>
  <conditionalFormatting sqref="R453">
    <cfRule type="cellIs" dxfId="0" priority="12464" operator="equal">
      <formula>"欠"</formula>
    </cfRule>
  </conditionalFormatting>
  <conditionalFormatting sqref="S453">
    <cfRule type="cellIs" dxfId="0" priority="12454" operator="equal">
      <formula>"欠"</formula>
    </cfRule>
  </conditionalFormatting>
  <conditionalFormatting sqref="T453:V453">
    <cfRule type="cellIs" dxfId="0" priority="12444" operator="equal">
      <formula>"欠"</formula>
    </cfRule>
  </conditionalFormatting>
  <conditionalFormatting sqref="T453:U453">
    <cfRule type="containsText" dxfId="0" priority="12414" operator="between" text="欠">
      <formula>NOT(ISERROR(SEARCH("欠",T453)))</formula>
    </cfRule>
  </conditionalFormatting>
  <conditionalFormatting sqref="AG453:AH453">
    <cfRule type="cellIs" dxfId="0" priority="12474" operator="equal">
      <formula>"未完成"</formula>
    </cfRule>
  </conditionalFormatting>
  <conditionalFormatting sqref="AL453:AM453">
    <cfRule type="cellIs" dxfId="1" priority="12424" operator="equal">
      <formula>"未完成"</formula>
    </cfRule>
    <cfRule type="cellIs" dxfId="0" priority="12434" operator="equal">
      <formula>"未完成"</formula>
    </cfRule>
  </conditionalFormatting>
  <conditionalFormatting sqref="R454">
    <cfRule type="cellIs" dxfId="0" priority="12463" operator="equal">
      <formula>"欠"</formula>
    </cfRule>
  </conditionalFormatting>
  <conditionalFormatting sqref="S454">
    <cfRule type="cellIs" dxfId="0" priority="12453" operator="equal">
      <formula>"欠"</formula>
    </cfRule>
  </conditionalFormatting>
  <conditionalFormatting sqref="T454:V454">
    <cfRule type="cellIs" dxfId="0" priority="12443" operator="equal">
      <formula>"欠"</formula>
    </cfRule>
  </conditionalFormatting>
  <conditionalFormatting sqref="T454:U454">
    <cfRule type="containsText" dxfId="0" priority="12413" operator="between" text="欠">
      <formula>NOT(ISERROR(SEARCH("欠",T454)))</formula>
    </cfRule>
  </conditionalFormatting>
  <conditionalFormatting sqref="AG454:AH454">
    <cfRule type="cellIs" dxfId="0" priority="12473" operator="equal">
      <formula>"未完成"</formula>
    </cfRule>
  </conditionalFormatting>
  <conditionalFormatting sqref="AL454:AM454">
    <cfRule type="cellIs" dxfId="1" priority="12423" operator="equal">
      <formula>"未完成"</formula>
    </cfRule>
    <cfRule type="cellIs" dxfId="0" priority="12433" operator="equal">
      <formula>"未完成"</formula>
    </cfRule>
  </conditionalFormatting>
  <conditionalFormatting sqref="R455">
    <cfRule type="cellIs" dxfId="0" priority="12462" operator="equal">
      <formula>"欠"</formula>
    </cfRule>
  </conditionalFormatting>
  <conditionalFormatting sqref="S455">
    <cfRule type="cellIs" dxfId="0" priority="12452" operator="equal">
      <formula>"欠"</formula>
    </cfRule>
  </conditionalFormatting>
  <conditionalFormatting sqref="T455:V455">
    <cfRule type="cellIs" dxfId="0" priority="12442" operator="equal">
      <formula>"欠"</formula>
    </cfRule>
  </conditionalFormatting>
  <conditionalFormatting sqref="T455:U455">
    <cfRule type="containsText" dxfId="0" priority="12412" operator="between" text="欠">
      <formula>NOT(ISERROR(SEARCH("欠",T455)))</formula>
    </cfRule>
  </conditionalFormatting>
  <conditionalFormatting sqref="AG455:AH455">
    <cfRule type="cellIs" dxfId="0" priority="12472" operator="equal">
      <formula>"未完成"</formula>
    </cfRule>
  </conditionalFormatting>
  <conditionalFormatting sqref="AL455:AM455">
    <cfRule type="cellIs" dxfId="1" priority="12422" operator="equal">
      <formula>"未完成"</formula>
    </cfRule>
    <cfRule type="cellIs" dxfId="0" priority="12432" operator="equal">
      <formula>"未完成"</formula>
    </cfRule>
  </conditionalFormatting>
  <conditionalFormatting sqref="R456">
    <cfRule type="cellIs" dxfId="0" priority="12461" operator="equal">
      <formula>"欠"</formula>
    </cfRule>
  </conditionalFormatting>
  <conditionalFormatting sqref="S456">
    <cfRule type="cellIs" dxfId="0" priority="12451" operator="equal">
      <formula>"欠"</formula>
    </cfRule>
  </conditionalFormatting>
  <conditionalFormatting sqref="T456:V456">
    <cfRule type="cellIs" dxfId="0" priority="12441" operator="equal">
      <formula>"欠"</formula>
    </cfRule>
  </conditionalFormatting>
  <conditionalFormatting sqref="T456:U456">
    <cfRule type="containsText" dxfId="0" priority="12411" operator="between" text="欠">
      <formula>NOT(ISERROR(SEARCH("欠",T456)))</formula>
    </cfRule>
  </conditionalFormatting>
  <conditionalFormatting sqref="AG456:AH456">
    <cfRule type="cellIs" dxfId="0" priority="12471" operator="equal">
      <formula>"未完成"</formula>
    </cfRule>
  </conditionalFormatting>
  <conditionalFormatting sqref="AL456:AM456">
    <cfRule type="cellIs" dxfId="1" priority="12421" operator="equal">
      <formula>"未完成"</formula>
    </cfRule>
    <cfRule type="cellIs" dxfId="0" priority="12431" operator="equal">
      <formula>"未完成"</formula>
    </cfRule>
  </conditionalFormatting>
  <conditionalFormatting sqref="R457">
    <cfRule type="cellIs" dxfId="0" priority="12398" operator="equal">
      <formula>"欠"</formula>
    </cfRule>
  </conditionalFormatting>
  <conditionalFormatting sqref="S457">
    <cfRule type="cellIs" dxfId="0" priority="12394" operator="equal">
      <formula>"欠"</formula>
    </cfRule>
  </conditionalFormatting>
  <conditionalFormatting sqref="T457:V457">
    <cfRule type="cellIs" dxfId="0" priority="12390" operator="equal">
      <formula>"欠"</formula>
    </cfRule>
  </conditionalFormatting>
  <conditionalFormatting sqref="T457:U457">
    <cfRule type="containsText" dxfId="0" priority="12378" operator="between" text="欠">
      <formula>NOT(ISERROR(SEARCH("欠",T457)))</formula>
    </cfRule>
  </conditionalFormatting>
  <conditionalFormatting sqref="AG457:AH457">
    <cfRule type="cellIs" dxfId="0" priority="12402" operator="equal">
      <formula>"未完成"</formula>
    </cfRule>
  </conditionalFormatting>
  <conditionalFormatting sqref="AL457:AM457">
    <cfRule type="cellIs" dxfId="1" priority="12382" operator="equal">
      <formula>"未完成"</formula>
    </cfRule>
    <cfRule type="cellIs" dxfId="0" priority="12386" operator="equal">
      <formula>"未完成"</formula>
    </cfRule>
  </conditionalFormatting>
  <conditionalFormatting sqref="R458">
    <cfRule type="cellIs" dxfId="0" priority="12397" operator="equal">
      <formula>"欠"</formula>
    </cfRule>
  </conditionalFormatting>
  <conditionalFormatting sqref="S458">
    <cfRule type="cellIs" dxfId="0" priority="12393" operator="equal">
      <formula>"欠"</formula>
    </cfRule>
  </conditionalFormatting>
  <conditionalFormatting sqref="T458:V458">
    <cfRule type="cellIs" dxfId="0" priority="12389" operator="equal">
      <formula>"欠"</formula>
    </cfRule>
  </conditionalFormatting>
  <conditionalFormatting sqref="T458:U458">
    <cfRule type="containsText" dxfId="0" priority="12377" operator="between" text="欠">
      <formula>NOT(ISERROR(SEARCH("欠",T458)))</formula>
    </cfRule>
  </conditionalFormatting>
  <conditionalFormatting sqref="AG458:AH458">
    <cfRule type="cellIs" dxfId="0" priority="12401" operator="equal">
      <formula>"未完成"</formula>
    </cfRule>
  </conditionalFormatting>
  <conditionalFormatting sqref="AL458:AM458">
    <cfRule type="cellIs" dxfId="1" priority="12381" operator="equal">
      <formula>"未完成"</formula>
    </cfRule>
    <cfRule type="cellIs" dxfId="0" priority="12385" operator="equal">
      <formula>"未完成"</formula>
    </cfRule>
  </conditionalFormatting>
  <conditionalFormatting sqref="R459">
    <cfRule type="cellIs" dxfId="0" priority="12396" operator="equal">
      <formula>"欠"</formula>
    </cfRule>
  </conditionalFormatting>
  <conditionalFormatting sqref="S459">
    <cfRule type="cellIs" dxfId="0" priority="12392" operator="equal">
      <formula>"欠"</formula>
    </cfRule>
  </conditionalFormatting>
  <conditionalFormatting sqref="T459:V459">
    <cfRule type="cellIs" dxfId="0" priority="12388" operator="equal">
      <formula>"欠"</formula>
    </cfRule>
  </conditionalFormatting>
  <conditionalFormatting sqref="T459:U459">
    <cfRule type="containsText" dxfId="0" priority="12376" operator="between" text="欠">
      <formula>NOT(ISERROR(SEARCH("欠",T459)))</formula>
    </cfRule>
  </conditionalFormatting>
  <conditionalFormatting sqref="AG459:AH459">
    <cfRule type="cellIs" dxfId="0" priority="12400" operator="equal">
      <formula>"未完成"</formula>
    </cfRule>
  </conditionalFormatting>
  <conditionalFormatting sqref="AL459:AM459">
    <cfRule type="cellIs" dxfId="1" priority="12380" operator="equal">
      <formula>"未完成"</formula>
    </cfRule>
    <cfRule type="cellIs" dxfId="0" priority="12384" operator="equal">
      <formula>"未完成"</formula>
    </cfRule>
  </conditionalFormatting>
  <conditionalFormatting sqref="R460">
    <cfRule type="cellIs" dxfId="0" priority="12395" operator="equal">
      <formula>"欠"</formula>
    </cfRule>
  </conditionalFormatting>
  <conditionalFormatting sqref="S460">
    <cfRule type="cellIs" dxfId="0" priority="12391" operator="equal">
      <formula>"欠"</formula>
    </cfRule>
  </conditionalFormatting>
  <conditionalFormatting sqref="T460:V460">
    <cfRule type="cellIs" dxfId="0" priority="12387" operator="equal">
      <formula>"欠"</formula>
    </cfRule>
  </conditionalFormatting>
  <conditionalFormatting sqref="T460:U460">
    <cfRule type="containsText" dxfId="0" priority="12375" operator="between" text="欠">
      <formula>NOT(ISERROR(SEARCH("欠",T460)))</formula>
    </cfRule>
  </conditionalFormatting>
  <conditionalFormatting sqref="AG460:AH460">
    <cfRule type="cellIs" dxfId="0" priority="12399" operator="equal">
      <formula>"未完成"</formula>
    </cfRule>
  </conditionalFormatting>
  <conditionalFormatting sqref="AL460:AM460">
    <cfRule type="cellIs" dxfId="1" priority="12379" operator="equal">
      <formula>"未完成"</formula>
    </cfRule>
    <cfRule type="cellIs" dxfId="0" priority="12383" operator="equal">
      <formula>"未完成"</formula>
    </cfRule>
  </conditionalFormatting>
  <conditionalFormatting sqref="R461">
    <cfRule type="cellIs" dxfId="0" priority="12356" operator="equal">
      <formula>"欠"</formula>
    </cfRule>
  </conditionalFormatting>
  <conditionalFormatting sqref="S461">
    <cfRule type="cellIs" dxfId="0" priority="12347" operator="equal">
      <formula>"欠"</formula>
    </cfRule>
  </conditionalFormatting>
  <conditionalFormatting sqref="T461:V461">
    <cfRule type="cellIs" dxfId="0" priority="12338" operator="equal">
      <formula>"欠"</formula>
    </cfRule>
  </conditionalFormatting>
  <conditionalFormatting sqref="T461:U461">
    <cfRule type="containsText" dxfId="0" priority="12311" operator="between" text="欠">
      <formula>NOT(ISERROR(SEARCH("欠",T461)))</formula>
    </cfRule>
  </conditionalFormatting>
  <conditionalFormatting sqref="AG461:AH461">
    <cfRule type="cellIs" dxfId="0" priority="12365" operator="equal">
      <formula>"未完成"</formula>
    </cfRule>
  </conditionalFormatting>
  <conditionalFormatting sqref="AL461:AM461">
    <cfRule type="cellIs" dxfId="1" priority="12320" operator="equal">
      <formula>"未完成"</formula>
    </cfRule>
    <cfRule type="cellIs" dxfId="0" priority="12329" operator="equal">
      <formula>"未完成"</formula>
    </cfRule>
  </conditionalFormatting>
  <conditionalFormatting sqref="R462">
    <cfRule type="cellIs" dxfId="0" priority="12355" operator="equal">
      <formula>"欠"</formula>
    </cfRule>
  </conditionalFormatting>
  <conditionalFormatting sqref="S462">
    <cfRule type="cellIs" dxfId="0" priority="12346" operator="equal">
      <formula>"欠"</formula>
    </cfRule>
  </conditionalFormatting>
  <conditionalFormatting sqref="T462:V462">
    <cfRule type="cellIs" dxfId="0" priority="12337" operator="equal">
      <formula>"欠"</formula>
    </cfRule>
  </conditionalFormatting>
  <conditionalFormatting sqref="T462:U462">
    <cfRule type="containsText" dxfId="0" priority="12310" operator="between" text="欠">
      <formula>NOT(ISERROR(SEARCH("欠",T462)))</formula>
    </cfRule>
  </conditionalFormatting>
  <conditionalFormatting sqref="AG462:AH462">
    <cfRule type="cellIs" dxfId="0" priority="12364" operator="equal">
      <formula>"未完成"</formula>
    </cfRule>
  </conditionalFormatting>
  <conditionalFormatting sqref="AL462:AM462">
    <cfRule type="cellIs" dxfId="1" priority="12319" operator="equal">
      <formula>"未完成"</formula>
    </cfRule>
    <cfRule type="cellIs" dxfId="0" priority="12328" operator="equal">
      <formula>"未完成"</formula>
    </cfRule>
  </conditionalFormatting>
  <conditionalFormatting sqref="R463">
    <cfRule type="cellIs" dxfId="0" priority="12354" operator="equal">
      <formula>"欠"</formula>
    </cfRule>
  </conditionalFormatting>
  <conditionalFormatting sqref="S463">
    <cfRule type="cellIs" dxfId="0" priority="12345" operator="equal">
      <formula>"欠"</formula>
    </cfRule>
  </conditionalFormatting>
  <conditionalFormatting sqref="T463:V463">
    <cfRule type="cellIs" dxfId="0" priority="12336" operator="equal">
      <formula>"欠"</formula>
    </cfRule>
  </conditionalFormatting>
  <conditionalFormatting sqref="T463:U463">
    <cfRule type="containsText" dxfId="0" priority="12309" operator="between" text="欠">
      <formula>NOT(ISERROR(SEARCH("欠",T463)))</formula>
    </cfRule>
  </conditionalFormatting>
  <conditionalFormatting sqref="AG463:AH463">
    <cfRule type="cellIs" dxfId="0" priority="12363" operator="equal">
      <formula>"未完成"</formula>
    </cfRule>
  </conditionalFormatting>
  <conditionalFormatting sqref="AL463:AM463">
    <cfRule type="cellIs" dxfId="1" priority="12318" operator="equal">
      <formula>"未完成"</formula>
    </cfRule>
    <cfRule type="cellIs" dxfId="0" priority="12327" operator="equal">
      <formula>"未完成"</formula>
    </cfRule>
  </conditionalFormatting>
  <conditionalFormatting sqref="R464">
    <cfRule type="cellIs" dxfId="0" priority="12353" operator="equal">
      <formula>"欠"</formula>
    </cfRule>
  </conditionalFormatting>
  <conditionalFormatting sqref="S464">
    <cfRule type="cellIs" dxfId="0" priority="12344" operator="equal">
      <formula>"欠"</formula>
    </cfRule>
  </conditionalFormatting>
  <conditionalFormatting sqref="T464:V464">
    <cfRule type="cellIs" dxfId="0" priority="12335" operator="equal">
      <formula>"欠"</formula>
    </cfRule>
  </conditionalFormatting>
  <conditionalFormatting sqref="T464:U464">
    <cfRule type="containsText" dxfId="0" priority="12308" operator="between" text="欠">
      <formula>NOT(ISERROR(SEARCH("欠",T464)))</formula>
    </cfRule>
  </conditionalFormatting>
  <conditionalFormatting sqref="AG464:AH464">
    <cfRule type="cellIs" dxfId="0" priority="12362" operator="equal">
      <formula>"未完成"</formula>
    </cfRule>
  </conditionalFormatting>
  <conditionalFormatting sqref="AL464:AM464">
    <cfRule type="cellIs" dxfId="1" priority="12317" operator="equal">
      <formula>"未完成"</formula>
    </cfRule>
    <cfRule type="cellIs" dxfId="0" priority="12326" operator="equal">
      <formula>"未完成"</formula>
    </cfRule>
  </conditionalFormatting>
  <conditionalFormatting sqref="R465">
    <cfRule type="cellIs" dxfId="0" priority="12352" operator="equal">
      <formula>"欠"</formula>
    </cfRule>
  </conditionalFormatting>
  <conditionalFormatting sqref="S465">
    <cfRule type="cellIs" dxfId="0" priority="12343" operator="equal">
      <formula>"欠"</formula>
    </cfRule>
  </conditionalFormatting>
  <conditionalFormatting sqref="T465:V465">
    <cfRule type="cellIs" dxfId="0" priority="12334" operator="equal">
      <formula>"欠"</formula>
    </cfRule>
  </conditionalFormatting>
  <conditionalFormatting sqref="T465:U465">
    <cfRule type="containsText" dxfId="0" priority="12307" operator="between" text="欠">
      <formula>NOT(ISERROR(SEARCH("欠",T465)))</formula>
    </cfRule>
  </conditionalFormatting>
  <conditionalFormatting sqref="AG465:AH465">
    <cfRule type="cellIs" dxfId="0" priority="12361" operator="equal">
      <formula>"未完成"</formula>
    </cfRule>
  </conditionalFormatting>
  <conditionalFormatting sqref="AL465:AM465">
    <cfRule type="cellIs" dxfId="1" priority="12316" operator="equal">
      <formula>"未完成"</formula>
    </cfRule>
    <cfRule type="cellIs" dxfId="0" priority="12325" operator="equal">
      <formula>"未完成"</formula>
    </cfRule>
  </conditionalFormatting>
  <conditionalFormatting sqref="R466">
    <cfRule type="cellIs" dxfId="0" priority="12351" operator="equal">
      <formula>"欠"</formula>
    </cfRule>
  </conditionalFormatting>
  <conditionalFormatting sqref="S466">
    <cfRule type="cellIs" dxfId="0" priority="12342" operator="equal">
      <formula>"欠"</formula>
    </cfRule>
  </conditionalFormatting>
  <conditionalFormatting sqref="T466:V466">
    <cfRule type="cellIs" dxfId="0" priority="12333" operator="equal">
      <formula>"欠"</formula>
    </cfRule>
  </conditionalFormatting>
  <conditionalFormatting sqref="T466:U466">
    <cfRule type="containsText" dxfId="0" priority="12306" operator="between" text="欠">
      <formula>NOT(ISERROR(SEARCH("欠",T466)))</formula>
    </cfRule>
  </conditionalFormatting>
  <conditionalFormatting sqref="AG466:AH466">
    <cfRule type="cellIs" dxfId="0" priority="12360" operator="equal">
      <formula>"未完成"</formula>
    </cfRule>
  </conditionalFormatting>
  <conditionalFormatting sqref="AL466:AM466">
    <cfRule type="cellIs" dxfId="1" priority="12315" operator="equal">
      <formula>"未完成"</formula>
    </cfRule>
    <cfRule type="cellIs" dxfId="0" priority="12324" operator="equal">
      <formula>"未完成"</formula>
    </cfRule>
  </conditionalFormatting>
  <conditionalFormatting sqref="R467">
    <cfRule type="cellIs" dxfId="0" priority="12350" operator="equal">
      <formula>"欠"</formula>
    </cfRule>
  </conditionalFormatting>
  <conditionalFormatting sqref="S467">
    <cfRule type="cellIs" dxfId="0" priority="12341" operator="equal">
      <formula>"欠"</formula>
    </cfRule>
  </conditionalFormatting>
  <conditionalFormatting sqref="T467:V467">
    <cfRule type="cellIs" dxfId="0" priority="12332" operator="equal">
      <formula>"欠"</formula>
    </cfRule>
  </conditionalFormatting>
  <conditionalFormatting sqref="T467:U467">
    <cfRule type="containsText" dxfId="0" priority="12305" operator="between" text="欠">
      <formula>NOT(ISERROR(SEARCH("欠",T467)))</formula>
    </cfRule>
  </conditionalFormatting>
  <conditionalFormatting sqref="AG467:AH467">
    <cfRule type="cellIs" dxfId="0" priority="12359" operator="equal">
      <formula>"未完成"</formula>
    </cfRule>
  </conditionalFormatting>
  <conditionalFormatting sqref="AL467:AM467">
    <cfRule type="cellIs" dxfId="1" priority="12314" operator="equal">
      <formula>"未完成"</formula>
    </cfRule>
    <cfRule type="cellIs" dxfId="0" priority="12323" operator="equal">
      <formula>"未完成"</formula>
    </cfRule>
  </conditionalFormatting>
  <conditionalFormatting sqref="R468">
    <cfRule type="cellIs" dxfId="0" priority="12349" operator="equal">
      <formula>"欠"</formula>
    </cfRule>
  </conditionalFormatting>
  <conditionalFormatting sqref="S468">
    <cfRule type="cellIs" dxfId="0" priority="12340" operator="equal">
      <formula>"欠"</formula>
    </cfRule>
  </conditionalFormatting>
  <conditionalFormatting sqref="T468:V468">
    <cfRule type="cellIs" dxfId="0" priority="12331" operator="equal">
      <formula>"欠"</formula>
    </cfRule>
  </conditionalFormatting>
  <conditionalFormatting sqref="T468:U468">
    <cfRule type="containsText" dxfId="0" priority="12304" operator="between" text="欠">
      <formula>NOT(ISERROR(SEARCH("欠",T468)))</formula>
    </cfRule>
  </conditionalFormatting>
  <conditionalFormatting sqref="AG468:AH468">
    <cfRule type="cellIs" dxfId="0" priority="12358" operator="equal">
      <formula>"未完成"</formula>
    </cfRule>
  </conditionalFormatting>
  <conditionalFormatting sqref="AL468:AM468">
    <cfRule type="cellIs" dxfId="1" priority="12313" operator="equal">
      <formula>"未完成"</formula>
    </cfRule>
    <cfRule type="cellIs" dxfId="0" priority="12322" operator="equal">
      <formula>"未完成"</formula>
    </cfRule>
  </conditionalFormatting>
  <conditionalFormatting sqref="AG469:AH469">
    <cfRule type="cellIs" dxfId="0" priority="12357" operator="equal">
      <formula>"未完成"</formula>
    </cfRule>
  </conditionalFormatting>
  <conditionalFormatting sqref="AL469:AM469">
    <cfRule type="cellIs" dxfId="1" priority="12312" operator="equal">
      <formula>"未完成"</formula>
    </cfRule>
    <cfRule type="cellIs" dxfId="0" priority="12321" operator="equal">
      <formula>"未完成"</formula>
    </cfRule>
  </conditionalFormatting>
  <conditionalFormatting sqref="R470">
    <cfRule type="cellIs" dxfId="0" priority="12301" operator="equal">
      <formula>"欠"</formula>
    </cfRule>
  </conditionalFormatting>
  <conditionalFormatting sqref="S470">
    <cfRule type="cellIs" dxfId="0" priority="12300" operator="equal">
      <formula>"欠"</formula>
    </cfRule>
  </conditionalFormatting>
  <conditionalFormatting sqref="T470:V470">
    <cfRule type="cellIs" dxfId="0" priority="12299" operator="equal">
      <formula>"欠"</formula>
    </cfRule>
  </conditionalFormatting>
  <conditionalFormatting sqref="T470:U470">
    <cfRule type="containsText" dxfId="0" priority="12296" operator="between" text="欠">
      <formula>NOT(ISERROR(SEARCH("欠",T470)))</formula>
    </cfRule>
  </conditionalFormatting>
  <conditionalFormatting sqref="AG470:AH470">
    <cfRule type="cellIs" dxfId="0" priority="12302" operator="equal">
      <formula>"未完成"</formula>
    </cfRule>
  </conditionalFormatting>
  <conditionalFormatting sqref="AL470:AM470">
    <cfRule type="cellIs" dxfId="1" priority="12297" operator="equal">
      <formula>"未完成"</formula>
    </cfRule>
    <cfRule type="cellIs" dxfId="0" priority="12298" operator="equal">
      <formula>"未完成"</formula>
    </cfRule>
  </conditionalFormatting>
  <conditionalFormatting sqref="R471">
    <cfRule type="cellIs" dxfId="0" priority="12208" operator="equal">
      <formula>"欠"</formula>
    </cfRule>
  </conditionalFormatting>
  <conditionalFormatting sqref="S471">
    <cfRule type="cellIs" dxfId="0" priority="12193" operator="equal">
      <formula>"欠"</formula>
    </cfRule>
  </conditionalFormatting>
  <conditionalFormatting sqref="T471:V471">
    <cfRule type="cellIs" dxfId="0" priority="12178" operator="equal">
      <formula>"欠"</formula>
    </cfRule>
  </conditionalFormatting>
  <conditionalFormatting sqref="T471:U471">
    <cfRule type="containsText" dxfId="0" priority="12133" operator="between" text="欠">
      <formula>NOT(ISERROR(SEARCH("欠",T471)))</formula>
    </cfRule>
  </conditionalFormatting>
  <conditionalFormatting sqref="AG471:AH471">
    <cfRule type="cellIs" dxfId="0" priority="12223" operator="equal">
      <formula>"未完成"</formula>
    </cfRule>
  </conditionalFormatting>
  <conditionalFormatting sqref="AL471:AM471">
    <cfRule type="cellIs" dxfId="1" priority="12148" operator="equal">
      <formula>"未完成"</formula>
    </cfRule>
    <cfRule type="cellIs" dxfId="0" priority="12163" operator="equal">
      <formula>"未完成"</formula>
    </cfRule>
  </conditionalFormatting>
  <conditionalFormatting sqref="R472">
    <cfRule type="cellIs" dxfId="0" priority="12207" operator="equal">
      <formula>"欠"</formula>
    </cfRule>
  </conditionalFormatting>
  <conditionalFormatting sqref="S472">
    <cfRule type="cellIs" dxfId="0" priority="12192" operator="equal">
      <formula>"欠"</formula>
    </cfRule>
  </conditionalFormatting>
  <conditionalFormatting sqref="T472:V472">
    <cfRule type="cellIs" dxfId="0" priority="12177" operator="equal">
      <formula>"欠"</formula>
    </cfRule>
  </conditionalFormatting>
  <conditionalFormatting sqref="T472:U472">
    <cfRule type="containsText" dxfId="0" priority="12132" operator="between" text="欠">
      <formula>NOT(ISERROR(SEARCH("欠",T472)))</formula>
    </cfRule>
  </conditionalFormatting>
  <conditionalFormatting sqref="AG472:AH472">
    <cfRule type="cellIs" dxfId="0" priority="12222" operator="equal">
      <formula>"未完成"</formula>
    </cfRule>
  </conditionalFormatting>
  <conditionalFormatting sqref="AL472:AM472">
    <cfRule type="cellIs" dxfId="1" priority="12147" operator="equal">
      <formula>"未完成"</formula>
    </cfRule>
    <cfRule type="cellIs" dxfId="0" priority="12162" operator="equal">
      <formula>"未完成"</formula>
    </cfRule>
  </conditionalFormatting>
  <conditionalFormatting sqref="R473">
    <cfRule type="cellIs" dxfId="0" priority="12206" operator="equal">
      <formula>"欠"</formula>
    </cfRule>
  </conditionalFormatting>
  <conditionalFormatting sqref="S473">
    <cfRule type="cellIs" dxfId="0" priority="12191" operator="equal">
      <formula>"欠"</formula>
    </cfRule>
  </conditionalFormatting>
  <conditionalFormatting sqref="T473:V473">
    <cfRule type="cellIs" dxfId="0" priority="12176" operator="equal">
      <formula>"欠"</formula>
    </cfRule>
  </conditionalFormatting>
  <conditionalFormatting sqref="T473:U473">
    <cfRule type="containsText" dxfId="0" priority="12131" operator="between" text="欠">
      <formula>NOT(ISERROR(SEARCH("欠",T473)))</formula>
    </cfRule>
  </conditionalFormatting>
  <conditionalFormatting sqref="AG473:AH473">
    <cfRule type="cellIs" dxfId="0" priority="12221" operator="equal">
      <formula>"未完成"</formula>
    </cfRule>
  </conditionalFormatting>
  <conditionalFormatting sqref="AL473:AM473">
    <cfRule type="cellIs" dxfId="1" priority="12146" operator="equal">
      <formula>"未完成"</formula>
    </cfRule>
    <cfRule type="cellIs" dxfId="0" priority="12161" operator="equal">
      <formula>"未完成"</formula>
    </cfRule>
  </conditionalFormatting>
  <conditionalFormatting sqref="R474">
    <cfRule type="cellIs" dxfId="0" priority="12205" operator="equal">
      <formula>"欠"</formula>
    </cfRule>
  </conditionalFormatting>
  <conditionalFormatting sqref="S474">
    <cfRule type="cellIs" dxfId="0" priority="12190" operator="equal">
      <formula>"欠"</formula>
    </cfRule>
  </conditionalFormatting>
  <conditionalFormatting sqref="T474:V474">
    <cfRule type="cellIs" dxfId="0" priority="12175" operator="equal">
      <formula>"欠"</formula>
    </cfRule>
  </conditionalFormatting>
  <conditionalFormatting sqref="T474:U474">
    <cfRule type="containsText" dxfId="0" priority="12130" operator="between" text="欠">
      <formula>NOT(ISERROR(SEARCH("欠",T474)))</formula>
    </cfRule>
  </conditionalFormatting>
  <conditionalFormatting sqref="AG474:AH474">
    <cfRule type="cellIs" dxfId="0" priority="12220" operator="equal">
      <formula>"未完成"</formula>
    </cfRule>
  </conditionalFormatting>
  <conditionalFormatting sqref="AL474:AM474">
    <cfRule type="cellIs" dxfId="1" priority="12145" operator="equal">
      <formula>"未完成"</formula>
    </cfRule>
    <cfRule type="cellIs" dxfId="0" priority="12160" operator="equal">
      <formula>"未完成"</formula>
    </cfRule>
  </conditionalFormatting>
  <conditionalFormatting sqref="R475">
    <cfRule type="cellIs" dxfId="0" priority="12204" operator="equal">
      <formula>"欠"</formula>
    </cfRule>
  </conditionalFormatting>
  <conditionalFormatting sqref="S475">
    <cfRule type="cellIs" dxfId="0" priority="12189" operator="equal">
      <formula>"欠"</formula>
    </cfRule>
  </conditionalFormatting>
  <conditionalFormatting sqref="T475:V475">
    <cfRule type="cellIs" dxfId="0" priority="12174" operator="equal">
      <formula>"欠"</formula>
    </cfRule>
  </conditionalFormatting>
  <conditionalFormatting sqref="T475:U475">
    <cfRule type="containsText" dxfId="0" priority="12129" operator="between" text="欠">
      <formula>NOT(ISERROR(SEARCH("欠",T475)))</formula>
    </cfRule>
  </conditionalFormatting>
  <conditionalFormatting sqref="AG475:AH475">
    <cfRule type="cellIs" dxfId="0" priority="12219" operator="equal">
      <formula>"未完成"</formula>
    </cfRule>
  </conditionalFormatting>
  <conditionalFormatting sqref="AL475:AM475">
    <cfRule type="cellIs" dxfId="1" priority="12144" operator="equal">
      <formula>"未完成"</formula>
    </cfRule>
    <cfRule type="cellIs" dxfId="0" priority="12159" operator="equal">
      <formula>"未完成"</formula>
    </cfRule>
  </conditionalFormatting>
  <conditionalFormatting sqref="R476">
    <cfRule type="cellIs" dxfId="0" priority="12203" operator="equal">
      <formula>"欠"</formula>
    </cfRule>
  </conditionalFormatting>
  <conditionalFormatting sqref="S476">
    <cfRule type="cellIs" dxfId="0" priority="12188" operator="equal">
      <formula>"欠"</formula>
    </cfRule>
  </conditionalFormatting>
  <conditionalFormatting sqref="T476:V476">
    <cfRule type="cellIs" dxfId="0" priority="12173" operator="equal">
      <formula>"欠"</formula>
    </cfRule>
  </conditionalFormatting>
  <conditionalFormatting sqref="T476:U476">
    <cfRule type="containsText" dxfId="0" priority="12128" operator="between" text="欠">
      <formula>NOT(ISERROR(SEARCH("欠",T476)))</formula>
    </cfRule>
  </conditionalFormatting>
  <conditionalFormatting sqref="AG476:AH476">
    <cfRule type="cellIs" dxfId="0" priority="12218" operator="equal">
      <formula>"未完成"</formula>
    </cfRule>
  </conditionalFormatting>
  <conditionalFormatting sqref="AL476:AM476">
    <cfRule type="cellIs" dxfId="1" priority="12143" operator="equal">
      <formula>"未完成"</formula>
    </cfRule>
    <cfRule type="cellIs" dxfId="0" priority="12158" operator="equal">
      <formula>"未完成"</formula>
    </cfRule>
  </conditionalFormatting>
  <conditionalFormatting sqref="R477">
    <cfRule type="cellIs" dxfId="0" priority="12202" operator="equal">
      <formula>"欠"</formula>
    </cfRule>
  </conditionalFormatting>
  <conditionalFormatting sqref="S477">
    <cfRule type="cellIs" dxfId="0" priority="12187" operator="equal">
      <formula>"欠"</formula>
    </cfRule>
  </conditionalFormatting>
  <conditionalFormatting sqref="T477:V477">
    <cfRule type="cellIs" dxfId="0" priority="12172" operator="equal">
      <formula>"欠"</formula>
    </cfRule>
  </conditionalFormatting>
  <conditionalFormatting sqref="T477:U477">
    <cfRule type="containsText" dxfId="0" priority="12127" operator="between" text="欠">
      <formula>NOT(ISERROR(SEARCH("欠",T477)))</formula>
    </cfRule>
  </conditionalFormatting>
  <conditionalFormatting sqref="AG477:AH477">
    <cfRule type="cellIs" dxfId="0" priority="12217" operator="equal">
      <formula>"未完成"</formula>
    </cfRule>
  </conditionalFormatting>
  <conditionalFormatting sqref="AL477:AM477">
    <cfRule type="cellIs" dxfId="1" priority="12142" operator="equal">
      <formula>"未完成"</formula>
    </cfRule>
    <cfRule type="cellIs" dxfId="0" priority="12157" operator="equal">
      <formula>"未完成"</formula>
    </cfRule>
  </conditionalFormatting>
  <conditionalFormatting sqref="R478">
    <cfRule type="cellIs" dxfId="0" priority="12201" operator="equal">
      <formula>"欠"</formula>
    </cfRule>
  </conditionalFormatting>
  <conditionalFormatting sqref="S478">
    <cfRule type="cellIs" dxfId="0" priority="12186" operator="equal">
      <formula>"欠"</formula>
    </cfRule>
  </conditionalFormatting>
  <conditionalFormatting sqref="T478:V478">
    <cfRule type="cellIs" dxfId="0" priority="12171" operator="equal">
      <formula>"欠"</formula>
    </cfRule>
  </conditionalFormatting>
  <conditionalFormatting sqref="T478:U478">
    <cfRule type="containsText" dxfId="0" priority="12126" operator="between" text="欠">
      <formula>NOT(ISERROR(SEARCH("欠",T478)))</formula>
    </cfRule>
  </conditionalFormatting>
  <conditionalFormatting sqref="AG478:AH478">
    <cfRule type="cellIs" dxfId="0" priority="12216" operator="equal">
      <formula>"未完成"</formula>
    </cfRule>
  </conditionalFormatting>
  <conditionalFormatting sqref="AL478:AM478">
    <cfRule type="cellIs" dxfId="1" priority="12141" operator="equal">
      <formula>"未完成"</formula>
    </cfRule>
    <cfRule type="cellIs" dxfId="0" priority="12156" operator="equal">
      <formula>"未完成"</formula>
    </cfRule>
  </conditionalFormatting>
  <conditionalFormatting sqref="R479">
    <cfRule type="cellIs" dxfId="0" priority="12200" operator="equal">
      <formula>"欠"</formula>
    </cfRule>
  </conditionalFormatting>
  <conditionalFormatting sqref="S479">
    <cfRule type="cellIs" dxfId="0" priority="12185" operator="equal">
      <formula>"欠"</formula>
    </cfRule>
  </conditionalFormatting>
  <conditionalFormatting sqref="T479:V479">
    <cfRule type="cellIs" dxfId="0" priority="12170" operator="equal">
      <formula>"欠"</formula>
    </cfRule>
  </conditionalFormatting>
  <conditionalFormatting sqref="T479:U479">
    <cfRule type="containsText" dxfId="0" priority="12125" operator="between" text="欠">
      <formula>NOT(ISERROR(SEARCH("欠",T479)))</formula>
    </cfRule>
  </conditionalFormatting>
  <conditionalFormatting sqref="AG479:AH479">
    <cfRule type="cellIs" dxfId="0" priority="12215" operator="equal">
      <formula>"未完成"</formula>
    </cfRule>
  </conditionalFormatting>
  <conditionalFormatting sqref="AL479:AM479">
    <cfRule type="cellIs" dxfId="1" priority="12140" operator="equal">
      <formula>"未完成"</formula>
    </cfRule>
    <cfRule type="cellIs" dxfId="0" priority="12155" operator="equal">
      <formula>"未完成"</formula>
    </cfRule>
  </conditionalFormatting>
  <conditionalFormatting sqref="R480">
    <cfRule type="cellIs" dxfId="0" priority="12199" operator="equal">
      <formula>"欠"</formula>
    </cfRule>
  </conditionalFormatting>
  <conditionalFormatting sqref="S480">
    <cfRule type="cellIs" dxfId="0" priority="12184" operator="equal">
      <formula>"欠"</formula>
    </cfRule>
  </conditionalFormatting>
  <conditionalFormatting sqref="T480:V480">
    <cfRule type="cellIs" dxfId="0" priority="12169" operator="equal">
      <formula>"欠"</formula>
    </cfRule>
  </conditionalFormatting>
  <conditionalFormatting sqref="T480:U480">
    <cfRule type="containsText" dxfId="0" priority="12124" operator="between" text="欠">
      <formula>NOT(ISERROR(SEARCH("欠",T480)))</formula>
    </cfRule>
  </conditionalFormatting>
  <conditionalFormatting sqref="AG480:AH480">
    <cfRule type="cellIs" dxfId="0" priority="12214" operator="equal">
      <formula>"未完成"</formula>
    </cfRule>
  </conditionalFormatting>
  <conditionalFormatting sqref="AL480:AM480">
    <cfRule type="cellIs" dxfId="1" priority="12139" operator="equal">
      <formula>"未完成"</formula>
    </cfRule>
    <cfRule type="cellIs" dxfId="0" priority="12154" operator="equal">
      <formula>"未完成"</formula>
    </cfRule>
  </conditionalFormatting>
  <conditionalFormatting sqref="R481">
    <cfRule type="cellIs" dxfId="0" priority="12198" operator="equal">
      <formula>"欠"</formula>
    </cfRule>
  </conditionalFormatting>
  <conditionalFormatting sqref="S481">
    <cfRule type="cellIs" dxfId="0" priority="12183" operator="equal">
      <formula>"欠"</formula>
    </cfRule>
  </conditionalFormatting>
  <conditionalFormatting sqref="T481:V481">
    <cfRule type="cellIs" dxfId="0" priority="12168" operator="equal">
      <formula>"欠"</formula>
    </cfRule>
  </conditionalFormatting>
  <conditionalFormatting sqref="T481:U481">
    <cfRule type="containsText" dxfId="0" priority="12123" operator="between" text="欠">
      <formula>NOT(ISERROR(SEARCH("欠",T481)))</formula>
    </cfRule>
  </conditionalFormatting>
  <conditionalFormatting sqref="AG481:AH481">
    <cfRule type="cellIs" dxfId="0" priority="12213" operator="equal">
      <formula>"未完成"</formula>
    </cfRule>
  </conditionalFormatting>
  <conditionalFormatting sqref="AL481:AM481">
    <cfRule type="cellIs" dxfId="1" priority="12138" operator="equal">
      <formula>"未完成"</formula>
    </cfRule>
    <cfRule type="cellIs" dxfId="0" priority="12153" operator="equal">
      <formula>"未完成"</formula>
    </cfRule>
  </conditionalFormatting>
  <conditionalFormatting sqref="R482">
    <cfRule type="cellIs" dxfId="0" priority="12197" operator="equal">
      <formula>"欠"</formula>
    </cfRule>
  </conditionalFormatting>
  <conditionalFormatting sqref="S482">
    <cfRule type="cellIs" dxfId="0" priority="12182" operator="equal">
      <formula>"欠"</formula>
    </cfRule>
  </conditionalFormatting>
  <conditionalFormatting sqref="T482:V482">
    <cfRule type="cellIs" dxfId="0" priority="12167" operator="equal">
      <formula>"欠"</formula>
    </cfRule>
  </conditionalFormatting>
  <conditionalFormatting sqref="T482:U482">
    <cfRule type="containsText" dxfId="0" priority="12122" operator="between" text="欠">
      <formula>NOT(ISERROR(SEARCH("欠",T482)))</formula>
    </cfRule>
  </conditionalFormatting>
  <conditionalFormatting sqref="AG482:AH482">
    <cfRule type="cellIs" dxfId="0" priority="12212" operator="equal">
      <formula>"未完成"</formula>
    </cfRule>
  </conditionalFormatting>
  <conditionalFormatting sqref="AL482:AM482">
    <cfRule type="cellIs" dxfId="1" priority="12137" operator="equal">
      <formula>"未完成"</formula>
    </cfRule>
    <cfRule type="cellIs" dxfId="0" priority="12152" operator="equal">
      <formula>"未完成"</formula>
    </cfRule>
  </conditionalFormatting>
  <conditionalFormatting sqref="R483">
    <cfRule type="cellIs" dxfId="0" priority="12196" operator="equal">
      <formula>"欠"</formula>
    </cfRule>
  </conditionalFormatting>
  <conditionalFormatting sqref="S483">
    <cfRule type="cellIs" dxfId="0" priority="12181" operator="equal">
      <formula>"欠"</formula>
    </cfRule>
  </conditionalFormatting>
  <conditionalFormatting sqref="T483:V483">
    <cfRule type="cellIs" dxfId="0" priority="12166" operator="equal">
      <formula>"欠"</formula>
    </cfRule>
  </conditionalFormatting>
  <conditionalFormatting sqref="T483:U483">
    <cfRule type="containsText" dxfId="0" priority="12121" operator="between" text="欠">
      <formula>NOT(ISERROR(SEARCH("欠",T483)))</formula>
    </cfRule>
  </conditionalFormatting>
  <conditionalFormatting sqref="AG483:AH483">
    <cfRule type="cellIs" dxfId="0" priority="12211" operator="equal">
      <formula>"未完成"</formula>
    </cfRule>
  </conditionalFormatting>
  <conditionalFormatting sqref="AL483:AM483">
    <cfRule type="cellIs" dxfId="1" priority="12136" operator="equal">
      <formula>"未完成"</formula>
    </cfRule>
    <cfRule type="cellIs" dxfId="0" priority="12151" operator="equal">
      <formula>"未完成"</formula>
    </cfRule>
  </conditionalFormatting>
  <conditionalFormatting sqref="R484">
    <cfRule type="cellIs" dxfId="0" priority="12195" operator="equal">
      <formula>"欠"</formula>
    </cfRule>
  </conditionalFormatting>
  <conditionalFormatting sqref="S484">
    <cfRule type="cellIs" dxfId="0" priority="12180" operator="equal">
      <formula>"欠"</formula>
    </cfRule>
  </conditionalFormatting>
  <conditionalFormatting sqref="T484:V484">
    <cfRule type="cellIs" dxfId="0" priority="12165" operator="equal">
      <formula>"欠"</formula>
    </cfRule>
  </conditionalFormatting>
  <conditionalFormatting sqref="T484:U484">
    <cfRule type="containsText" dxfId="0" priority="12120" operator="between" text="欠">
      <formula>NOT(ISERROR(SEARCH("欠",T484)))</formula>
    </cfRule>
  </conditionalFormatting>
  <conditionalFormatting sqref="AG484:AH484">
    <cfRule type="cellIs" dxfId="0" priority="12210" operator="equal">
      <formula>"未完成"</formula>
    </cfRule>
  </conditionalFormatting>
  <conditionalFormatting sqref="AL484:AM484">
    <cfRule type="cellIs" dxfId="1" priority="12135" operator="equal">
      <formula>"未完成"</formula>
    </cfRule>
    <cfRule type="cellIs" dxfId="0" priority="12150" operator="equal">
      <formula>"未完成"</formula>
    </cfRule>
  </conditionalFormatting>
  <conditionalFormatting sqref="R485">
    <cfRule type="cellIs" dxfId="0" priority="12194" operator="equal">
      <formula>"欠"</formula>
    </cfRule>
  </conditionalFormatting>
  <conditionalFormatting sqref="S485">
    <cfRule type="cellIs" dxfId="0" priority="12179" operator="equal">
      <formula>"欠"</formula>
    </cfRule>
  </conditionalFormatting>
  <conditionalFormatting sqref="T485:V485">
    <cfRule type="cellIs" dxfId="0" priority="12164" operator="equal">
      <formula>"欠"</formula>
    </cfRule>
  </conditionalFormatting>
  <conditionalFormatting sqref="T485:U485">
    <cfRule type="containsText" dxfId="0" priority="12119" operator="between" text="欠">
      <formula>NOT(ISERROR(SEARCH("欠",T485)))</formula>
    </cfRule>
  </conditionalFormatting>
  <conditionalFormatting sqref="AG485:AH485">
    <cfRule type="cellIs" dxfId="0" priority="12209" operator="equal">
      <formula>"未完成"</formula>
    </cfRule>
  </conditionalFormatting>
  <conditionalFormatting sqref="AL485:AM485">
    <cfRule type="cellIs" dxfId="1" priority="12134" operator="equal">
      <formula>"未完成"</formula>
    </cfRule>
    <cfRule type="cellIs" dxfId="0" priority="12149" operator="equal">
      <formula>"未完成"</formula>
    </cfRule>
  </conditionalFormatting>
  <conditionalFormatting sqref="R486">
    <cfRule type="cellIs" dxfId="0" priority="12116" operator="equal">
      <formula>"欠"</formula>
    </cfRule>
  </conditionalFormatting>
  <conditionalFormatting sqref="S486">
    <cfRule type="cellIs" dxfId="0" priority="12114" operator="equal">
      <formula>"欠"</formula>
    </cfRule>
  </conditionalFormatting>
  <conditionalFormatting sqref="T486:V486">
    <cfRule type="cellIs" dxfId="0" priority="12112" operator="equal">
      <formula>"欠"</formula>
    </cfRule>
  </conditionalFormatting>
  <conditionalFormatting sqref="T486:U486">
    <cfRule type="containsText" dxfId="0" priority="12106" operator="between" text="欠">
      <formula>NOT(ISERROR(SEARCH("欠",T486)))</formula>
    </cfRule>
  </conditionalFormatting>
  <conditionalFormatting sqref="AG486:AH486">
    <cfRule type="cellIs" dxfId="0" priority="12118" operator="equal">
      <formula>"未完成"</formula>
    </cfRule>
  </conditionalFormatting>
  <conditionalFormatting sqref="AL486:AM486">
    <cfRule type="cellIs" dxfId="1" priority="12108" operator="equal">
      <formula>"未完成"</formula>
    </cfRule>
    <cfRule type="cellIs" dxfId="0" priority="12110" operator="equal">
      <formula>"未完成"</formula>
    </cfRule>
  </conditionalFormatting>
  <conditionalFormatting sqref="R487">
    <cfRule type="cellIs" dxfId="0" priority="12115" operator="equal">
      <formula>"欠"</formula>
    </cfRule>
  </conditionalFormatting>
  <conditionalFormatting sqref="S487">
    <cfRule type="cellIs" dxfId="0" priority="12113" operator="equal">
      <formula>"欠"</formula>
    </cfRule>
  </conditionalFormatting>
  <conditionalFormatting sqref="T487:V487">
    <cfRule type="cellIs" dxfId="0" priority="12111" operator="equal">
      <formula>"欠"</formula>
    </cfRule>
  </conditionalFormatting>
  <conditionalFormatting sqref="T487:U487">
    <cfRule type="containsText" dxfId="0" priority="12105" operator="between" text="欠">
      <formula>NOT(ISERROR(SEARCH("欠",T487)))</formula>
    </cfRule>
  </conditionalFormatting>
  <conditionalFormatting sqref="AG487:AH487">
    <cfRule type="cellIs" dxfId="0" priority="12117" operator="equal">
      <formula>"未完成"</formula>
    </cfRule>
  </conditionalFormatting>
  <conditionalFormatting sqref="AL487:AM487">
    <cfRule type="cellIs" dxfId="1" priority="12107" operator="equal">
      <formula>"未完成"</formula>
    </cfRule>
    <cfRule type="cellIs" dxfId="0" priority="12109" operator="equal">
      <formula>"未完成"</formula>
    </cfRule>
  </conditionalFormatting>
  <conditionalFormatting sqref="R488">
    <cfRule type="cellIs" dxfId="0" priority="12103" operator="equal">
      <formula>"欠"</formula>
    </cfRule>
  </conditionalFormatting>
  <conditionalFormatting sqref="S488">
    <cfRule type="cellIs" dxfId="0" priority="12102" operator="equal">
      <formula>"欠"</formula>
    </cfRule>
  </conditionalFormatting>
  <conditionalFormatting sqref="T488:V488">
    <cfRule type="cellIs" dxfId="0" priority="12101" operator="equal">
      <formula>"欠"</formula>
    </cfRule>
  </conditionalFormatting>
  <conditionalFormatting sqref="T488:U488">
    <cfRule type="containsText" dxfId="0" priority="12098" operator="between" text="欠">
      <formula>NOT(ISERROR(SEARCH("欠",T488)))</formula>
    </cfRule>
  </conditionalFormatting>
  <conditionalFormatting sqref="AG488:AH488">
    <cfRule type="cellIs" dxfId="0" priority="12104" operator="equal">
      <formula>"未完成"</formula>
    </cfRule>
  </conditionalFormatting>
  <conditionalFormatting sqref="AL488:AM488">
    <cfRule type="cellIs" dxfId="1" priority="12099" operator="equal">
      <formula>"未完成"</formula>
    </cfRule>
    <cfRule type="cellIs" dxfId="0" priority="12100" operator="equal">
      <formula>"未完成"</formula>
    </cfRule>
  </conditionalFormatting>
  <conditionalFormatting sqref="R489">
    <cfRule type="cellIs" dxfId="0" priority="11997" operator="equal">
      <formula>"欠"</formula>
    </cfRule>
  </conditionalFormatting>
  <conditionalFormatting sqref="S489">
    <cfRule type="cellIs" dxfId="0" priority="11977" operator="equal">
      <formula>"欠"</formula>
    </cfRule>
  </conditionalFormatting>
  <conditionalFormatting sqref="T489:V489">
    <cfRule type="cellIs" dxfId="0" priority="11957" operator="equal">
      <formula>"欠"</formula>
    </cfRule>
  </conditionalFormatting>
  <conditionalFormatting sqref="T489:U489">
    <cfRule type="containsText" dxfId="0" priority="11897" operator="between" text="欠">
      <formula>NOT(ISERROR(SEARCH("欠",T489)))</formula>
    </cfRule>
  </conditionalFormatting>
  <conditionalFormatting sqref="AG489:AH489">
    <cfRule type="cellIs" dxfId="0" priority="12017" operator="equal">
      <formula>"未完成"</formula>
    </cfRule>
  </conditionalFormatting>
  <conditionalFormatting sqref="AL489:AM489">
    <cfRule type="cellIs" dxfId="1" priority="11917" operator="equal">
      <formula>"未完成"</formula>
    </cfRule>
    <cfRule type="cellIs" dxfId="0" priority="11937" operator="equal">
      <formula>"未完成"</formula>
    </cfRule>
  </conditionalFormatting>
  <conditionalFormatting sqref="R490">
    <cfRule type="cellIs" dxfId="0" priority="11996" operator="equal">
      <formula>"欠"</formula>
    </cfRule>
  </conditionalFormatting>
  <conditionalFormatting sqref="S490">
    <cfRule type="cellIs" dxfId="0" priority="11976" operator="equal">
      <formula>"欠"</formula>
    </cfRule>
  </conditionalFormatting>
  <conditionalFormatting sqref="T490:V490">
    <cfRule type="cellIs" dxfId="0" priority="11956" operator="equal">
      <formula>"欠"</formula>
    </cfRule>
  </conditionalFormatting>
  <conditionalFormatting sqref="T490:U490">
    <cfRule type="containsText" dxfId="0" priority="11896" operator="between" text="欠">
      <formula>NOT(ISERROR(SEARCH("欠",T490)))</formula>
    </cfRule>
  </conditionalFormatting>
  <conditionalFormatting sqref="AG490:AH490">
    <cfRule type="cellIs" dxfId="0" priority="12016" operator="equal">
      <formula>"未完成"</formula>
    </cfRule>
  </conditionalFormatting>
  <conditionalFormatting sqref="AL490:AM490">
    <cfRule type="cellIs" dxfId="1" priority="11916" operator="equal">
      <formula>"未完成"</formula>
    </cfRule>
    <cfRule type="cellIs" dxfId="0" priority="11936" operator="equal">
      <formula>"未完成"</formula>
    </cfRule>
  </conditionalFormatting>
  <conditionalFormatting sqref="R491">
    <cfRule type="cellIs" dxfId="0" priority="11995" operator="equal">
      <formula>"欠"</formula>
    </cfRule>
  </conditionalFormatting>
  <conditionalFormatting sqref="S491">
    <cfRule type="cellIs" dxfId="0" priority="11975" operator="equal">
      <formula>"欠"</formula>
    </cfRule>
  </conditionalFormatting>
  <conditionalFormatting sqref="T491:V491">
    <cfRule type="cellIs" dxfId="0" priority="11955" operator="equal">
      <formula>"欠"</formula>
    </cfRule>
  </conditionalFormatting>
  <conditionalFormatting sqref="T491:U491">
    <cfRule type="containsText" dxfId="0" priority="11895" operator="between" text="欠">
      <formula>NOT(ISERROR(SEARCH("欠",T491)))</formula>
    </cfRule>
  </conditionalFormatting>
  <conditionalFormatting sqref="AG491:AH491">
    <cfRule type="cellIs" dxfId="0" priority="12015" operator="equal">
      <formula>"未完成"</formula>
    </cfRule>
  </conditionalFormatting>
  <conditionalFormatting sqref="AL491:AM491">
    <cfRule type="cellIs" dxfId="1" priority="11915" operator="equal">
      <formula>"未完成"</formula>
    </cfRule>
    <cfRule type="cellIs" dxfId="0" priority="11935" operator="equal">
      <formula>"未完成"</formula>
    </cfRule>
  </conditionalFormatting>
  <conditionalFormatting sqref="R492">
    <cfRule type="cellIs" dxfId="0" priority="11994" operator="equal">
      <formula>"欠"</formula>
    </cfRule>
  </conditionalFormatting>
  <conditionalFormatting sqref="S492">
    <cfRule type="cellIs" dxfId="0" priority="11974" operator="equal">
      <formula>"欠"</formula>
    </cfRule>
  </conditionalFormatting>
  <conditionalFormatting sqref="T492:V492">
    <cfRule type="cellIs" dxfId="0" priority="11954" operator="equal">
      <formula>"欠"</formula>
    </cfRule>
  </conditionalFormatting>
  <conditionalFormatting sqref="T492:U492">
    <cfRule type="containsText" dxfId="0" priority="11894" operator="between" text="欠">
      <formula>NOT(ISERROR(SEARCH("欠",T492)))</formula>
    </cfRule>
  </conditionalFormatting>
  <conditionalFormatting sqref="AG492:AH492">
    <cfRule type="cellIs" dxfId="0" priority="12014" operator="equal">
      <formula>"未完成"</formula>
    </cfRule>
  </conditionalFormatting>
  <conditionalFormatting sqref="AL492:AM492">
    <cfRule type="cellIs" dxfId="1" priority="11914" operator="equal">
      <formula>"未完成"</formula>
    </cfRule>
    <cfRule type="cellIs" dxfId="0" priority="11934" operator="equal">
      <formula>"未完成"</formula>
    </cfRule>
  </conditionalFormatting>
  <conditionalFormatting sqref="R493">
    <cfRule type="cellIs" dxfId="0" priority="11993" operator="equal">
      <formula>"欠"</formula>
    </cfRule>
  </conditionalFormatting>
  <conditionalFormatting sqref="S493">
    <cfRule type="cellIs" dxfId="0" priority="11973" operator="equal">
      <formula>"欠"</formula>
    </cfRule>
  </conditionalFormatting>
  <conditionalFormatting sqref="T493:V493">
    <cfRule type="cellIs" dxfId="0" priority="11953" operator="equal">
      <formula>"欠"</formula>
    </cfRule>
  </conditionalFormatting>
  <conditionalFormatting sqref="T493:U493">
    <cfRule type="containsText" dxfId="0" priority="11893" operator="between" text="欠">
      <formula>NOT(ISERROR(SEARCH("欠",T493)))</formula>
    </cfRule>
  </conditionalFormatting>
  <conditionalFormatting sqref="AG493:AH493">
    <cfRule type="cellIs" dxfId="0" priority="12013" operator="equal">
      <formula>"未完成"</formula>
    </cfRule>
  </conditionalFormatting>
  <conditionalFormatting sqref="AL493:AM493">
    <cfRule type="cellIs" dxfId="1" priority="11913" operator="equal">
      <formula>"未完成"</formula>
    </cfRule>
    <cfRule type="cellIs" dxfId="0" priority="11933" operator="equal">
      <formula>"未完成"</formula>
    </cfRule>
  </conditionalFormatting>
  <conditionalFormatting sqref="R494">
    <cfRule type="cellIs" dxfId="0" priority="11992" operator="equal">
      <formula>"欠"</formula>
    </cfRule>
  </conditionalFormatting>
  <conditionalFormatting sqref="S494">
    <cfRule type="cellIs" dxfId="0" priority="11972" operator="equal">
      <formula>"欠"</formula>
    </cfRule>
  </conditionalFormatting>
  <conditionalFormatting sqref="T494:V494">
    <cfRule type="cellIs" dxfId="0" priority="11952" operator="equal">
      <formula>"欠"</formula>
    </cfRule>
  </conditionalFormatting>
  <conditionalFormatting sqref="T494:U494">
    <cfRule type="containsText" dxfId="0" priority="11892" operator="between" text="欠">
      <formula>NOT(ISERROR(SEARCH("欠",T494)))</formula>
    </cfRule>
  </conditionalFormatting>
  <conditionalFormatting sqref="AG494:AH494">
    <cfRule type="cellIs" dxfId="0" priority="12012" operator="equal">
      <formula>"未完成"</formula>
    </cfRule>
  </conditionalFormatting>
  <conditionalFormatting sqref="AL494:AM494">
    <cfRule type="cellIs" dxfId="1" priority="11912" operator="equal">
      <formula>"未完成"</formula>
    </cfRule>
    <cfRule type="cellIs" dxfId="0" priority="11932" operator="equal">
      <formula>"未完成"</formula>
    </cfRule>
  </conditionalFormatting>
  <conditionalFormatting sqref="R495">
    <cfRule type="cellIs" dxfId="0" priority="11991" operator="equal">
      <formula>"欠"</formula>
    </cfRule>
  </conditionalFormatting>
  <conditionalFormatting sqref="S495">
    <cfRule type="cellIs" dxfId="0" priority="11971" operator="equal">
      <formula>"欠"</formula>
    </cfRule>
  </conditionalFormatting>
  <conditionalFormatting sqref="T495:V495">
    <cfRule type="cellIs" dxfId="0" priority="11951" operator="equal">
      <formula>"欠"</formula>
    </cfRule>
  </conditionalFormatting>
  <conditionalFormatting sqref="T495:U495">
    <cfRule type="containsText" dxfId="0" priority="11891" operator="between" text="欠">
      <formula>NOT(ISERROR(SEARCH("欠",T495)))</formula>
    </cfRule>
  </conditionalFormatting>
  <conditionalFormatting sqref="AG495:AH495">
    <cfRule type="cellIs" dxfId="0" priority="12011" operator="equal">
      <formula>"未完成"</formula>
    </cfRule>
  </conditionalFormatting>
  <conditionalFormatting sqref="AL495:AM495">
    <cfRule type="cellIs" dxfId="1" priority="11911" operator="equal">
      <formula>"未完成"</formula>
    </cfRule>
    <cfRule type="cellIs" dxfId="0" priority="11931" operator="equal">
      <formula>"未完成"</formula>
    </cfRule>
  </conditionalFormatting>
  <conditionalFormatting sqref="R496">
    <cfRule type="cellIs" dxfId="0" priority="11990" operator="equal">
      <formula>"欠"</formula>
    </cfRule>
  </conditionalFormatting>
  <conditionalFormatting sqref="S496">
    <cfRule type="cellIs" dxfId="0" priority="11970" operator="equal">
      <formula>"欠"</formula>
    </cfRule>
  </conditionalFormatting>
  <conditionalFormatting sqref="T496:V496">
    <cfRule type="cellIs" dxfId="0" priority="11950" operator="equal">
      <formula>"欠"</formula>
    </cfRule>
  </conditionalFormatting>
  <conditionalFormatting sqref="T496:U496">
    <cfRule type="containsText" dxfId="0" priority="11890" operator="between" text="欠">
      <formula>NOT(ISERROR(SEARCH("欠",T496)))</formula>
    </cfRule>
  </conditionalFormatting>
  <conditionalFormatting sqref="AG496:AH496">
    <cfRule type="cellIs" dxfId="0" priority="12010" operator="equal">
      <formula>"未完成"</formula>
    </cfRule>
  </conditionalFormatting>
  <conditionalFormatting sqref="AL496:AM496">
    <cfRule type="cellIs" dxfId="1" priority="11910" operator="equal">
      <formula>"未完成"</formula>
    </cfRule>
    <cfRule type="cellIs" dxfId="0" priority="11930" operator="equal">
      <formula>"未完成"</formula>
    </cfRule>
  </conditionalFormatting>
  <conditionalFormatting sqref="R497">
    <cfRule type="cellIs" dxfId="0" priority="11989" operator="equal">
      <formula>"欠"</formula>
    </cfRule>
  </conditionalFormatting>
  <conditionalFormatting sqref="S497">
    <cfRule type="cellIs" dxfId="0" priority="11969" operator="equal">
      <formula>"欠"</formula>
    </cfRule>
  </conditionalFormatting>
  <conditionalFormatting sqref="T497:V497">
    <cfRule type="cellIs" dxfId="0" priority="11949" operator="equal">
      <formula>"欠"</formula>
    </cfRule>
  </conditionalFormatting>
  <conditionalFormatting sqref="T497:U497">
    <cfRule type="containsText" dxfId="0" priority="11889" operator="between" text="欠">
      <formula>NOT(ISERROR(SEARCH("欠",T497)))</formula>
    </cfRule>
  </conditionalFormatting>
  <conditionalFormatting sqref="AG497:AH497">
    <cfRule type="cellIs" dxfId="0" priority="12009" operator="equal">
      <formula>"未完成"</formula>
    </cfRule>
  </conditionalFormatting>
  <conditionalFormatting sqref="AL497:AM497">
    <cfRule type="cellIs" dxfId="1" priority="11909" operator="equal">
      <formula>"未完成"</formula>
    </cfRule>
    <cfRule type="cellIs" dxfId="0" priority="11929" operator="equal">
      <formula>"未完成"</formula>
    </cfRule>
  </conditionalFormatting>
  <conditionalFormatting sqref="R498">
    <cfRule type="cellIs" dxfId="0" priority="11988" operator="equal">
      <formula>"欠"</formula>
    </cfRule>
  </conditionalFormatting>
  <conditionalFormatting sqref="S498">
    <cfRule type="cellIs" dxfId="0" priority="11968" operator="equal">
      <formula>"欠"</formula>
    </cfRule>
  </conditionalFormatting>
  <conditionalFormatting sqref="T498:V498">
    <cfRule type="cellIs" dxfId="0" priority="11948" operator="equal">
      <formula>"欠"</formula>
    </cfRule>
  </conditionalFormatting>
  <conditionalFormatting sqref="T498:U498">
    <cfRule type="containsText" dxfId="0" priority="11888" operator="between" text="欠">
      <formula>NOT(ISERROR(SEARCH("欠",T498)))</formula>
    </cfRule>
  </conditionalFormatting>
  <conditionalFormatting sqref="AG498:AH498">
    <cfRule type="cellIs" dxfId="0" priority="12008" operator="equal">
      <formula>"未完成"</formula>
    </cfRule>
  </conditionalFormatting>
  <conditionalFormatting sqref="AL498:AM498">
    <cfRule type="cellIs" dxfId="1" priority="11908" operator="equal">
      <formula>"未完成"</formula>
    </cfRule>
    <cfRule type="cellIs" dxfId="0" priority="11928" operator="equal">
      <formula>"未完成"</formula>
    </cfRule>
  </conditionalFormatting>
  <conditionalFormatting sqref="R499">
    <cfRule type="cellIs" dxfId="0" priority="11987" operator="equal">
      <formula>"欠"</formula>
    </cfRule>
  </conditionalFormatting>
  <conditionalFormatting sqref="S499">
    <cfRule type="cellIs" dxfId="0" priority="11967" operator="equal">
      <formula>"欠"</formula>
    </cfRule>
  </conditionalFormatting>
  <conditionalFormatting sqref="T499:V499">
    <cfRule type="cellIs" dxfId="0" priority="11947" operator="equal">
      <formula>"欠"</formula>
    </cfRule>
  </conditionalFormatting>
  <conditionalFormatting sqref="T499:U499">
    <cfRule type="containsText" dxfId="0" priority="11887" operator="between" text="欠">
      <formula>NOT(ISERROR(SEARCH("欠",T499)))</formula>
    </cfRule>
  </conditionalFormatting>
  <conditionalFormatting sqref="AG499:AH499">
    <cfRule type="cellIs" dxfId="0" priority="12007" operator="equal">
      <formula>"未完成"</formula>
    </cfRule>
  </conditionalFormatting>
  <conditionalFormatting sqref="AL499:AM499">
    <cfRule type="cellIs" dxfId="1" priority="11907" operator="equal">
      <formula>"未完成"</formula>
    </cfRule>
    <cfRule type="cellIs" dxfId="0" priority="11927" operator="equal">
      <formula>"未完成"</formula>
    </cfRule>
  </conditionalFormatting>
  <conditionalFormatting sqref="R500">
    <cfRule type="cellIs" dxfId="0" priority="11986" operator="equal">
      <formula>"欠"</formula>
    </cfRule>
  </conditionalFormatting>
  <conditionalFormatting sqref="S500">
    <cfRule type="cellIs" dxfId="0" priority="11966" operator="equal">
      <formula>"欠"</formula>
    </cfRule>
  </conditionalFormatting>
  <conditionalFormatting sqref="T500:V500">
    <cfRule type="cellIs" dxfId="0" priority="11946" operator="equal">
      <formula>"欠"</formula>
    </cfRule>
  </conditionalFormatting>
  <conditionalFormatting sqref="T500:U500">
    <cfRule type="containsText" dxfId="0" priority="11886" operator="between" text="欠">
      <formula>NOT(ISERROR(SEARCH("欠",T500)))</formula>
    </cfRule>
  </conditionalFormatting>
  <conditionalFormatting sqref="AG500:AH500">
    <cfRule type="cellIs" dxfId="0" priority="12006" operator="equal">
      <formula>"未完成"</formula>
    </cfRule>
  </conditionalFormatting>
  <conditionalFormatting sqref="AL500:AM500">
    <cfRule type="cellIs" dxfId="1" priority="11906" operator="equal">
      <formula>"未完成"</formula>
    </cfRule>
    <cfRule type="cellIs" dxfId="0" priority="11926" operator="equal">
      <formula>"未完成"</formula>
    </cfRule>
  </conditionalFormatting>
  <conditionalFormatting sqref="R501">
    <cfRule type="cellIs" dxfId="0" priority="11985" operator="equal">
      <formula>"欠"</formula>
    </cfRule>
  </conditionalFormatting>
  <conditionalFormatting sqref="S501">
    <cfRule type="cellIs" dxfId="0" priority="11965" operator="equal">
      <formula>"欠"</formula>
    </cfRule>
  </conditionalFormatting>
  <conditionalFormatting sqref="T501:V501">
    <cfRule type="cellIs" dxfId="0" priority="11945" operator="equal">
      <formula>"欠"</formula>
    </cfRule>
  </conditionalFormatting>
  <conditionalFormatting sqref="T501:U501">
    <cfRule type="containsText" dxfId="0" priority="11885" operator="between" text="欠">
      <formula>NOT(ISERROR(SEARCH("欠",T501)))</formula>
    </cfRule>
  </conditionalFormatting>
  <conditionalFormatting sqref="AG501:AH501">
    <cfRule type="cellIs" dxfId="0" priority="12005" operator="equal">
      <formula>"未完成"</formula>
    </cfRule>
  </conditionalFormatting>
  <conditionalFormatting sqref="AL501:AM501">
    <cfRule type="cellIs" dxfId="1" priority="11905" operator="equal">
      <formula>"未完成"</formula>
    </cfRule>
    <cfRule type="cellIs" dxfId="0" priority="11925" operator="equal">
      <formula>"未完成"</formula>
    </cfRule>
  </conditionalFormatting>
  <conditionalFormatting sqref="R502">
    <cfRule type="cellIs" dxfId="0" priority="11984" operator="equal">
      <formula>"欠"</formula>
    </cfRule>
  </conditionalFormatting>
  <conditionalFormatting sqref="S502">
    <cfRule type="cellIs" dxfId="0" priority="11964" operator="equal">
      <formula>"欠"</formula>
    </cfRule>
  </conditionalFormatting>
  <conditionalFormatting sqref="T502:V502">
    <cfRule type="cellIs" dxfId="0" priority="11944" operator="equal">
      <formula>"欠"</formula>
    </cfRule>
  </conditionalFormatting>
  <conditionalFormatting sqref="T502:U502">
    <cfRule type="containsText" dxfId="0" priority="11884" operator="between" text="欠">
      <formula>NOT(ISERROR(SEARCH("欠",T502)))</formula>
    </cfRule>
  </conditionalFormatting>
  <conditionalFormatting sqref="AG502:AH502">
    <cfRule type="cellIs" dxfId="0" priority="12004" operator="equal">
      <formula>"未完成"</formula>
    </cfRule>
  </conditionalFormatting>
  <conditionalFormatting sqref="AL502:AM502">
    <cfRule type="cellIs" dxfId="1" priority="11904" operator="equal">
      <formula>"未完成"</formula>
    </cfRule>
    <cfRule type="cellIs" dxfId="0" priority="11924" operator="equal">
      <formula>"未完成"</formula>
    </cfRule>
  </conditionalFormatting>
  <conditionalFormatting sqref="R503">
    <cfRule type="cellIs" dxfId="0" priority="11983" operator="equal">
      <formula>"欠"</formula>
    </cfRule>
  </conditionalFormatting>
  <conditionalFormatting sqref="S503">
    <cfRule type="cellIs" dxfId="0" priority="11963" operator="equal">
      <formula>"欠"</formula>
    </cfRule>
  </conditionalFormatting>
  <conditionalFormatting sqref="T503:V503">
    <cfRule type="cellIs" dxfId="0" priority="11943" operator="equal">
      <formula>"欠"</formula>
    </cfRule>
  </conditionalFormatting>
  <conditionalFormatting sqref="T503:U503">
    <cfRule type="containsText" dxfId="0" priority="11883" operator="between" text="欠">
      <formula>NOT(ISERROR(SEARCH("欠",T503)))</formula>
    </cfRule>
  </conditionalFormatting>
  <conditionalFormatting sqref="AG503:AH503">
    <cfRule type="cellIs" dxfId="0" priority="12003" operator="equal">
      <formula>"未完成"</formula>
    </cfRule>
  </conditionalFormatting>
  <conditionalFormatting sqref="AL503:AM503">
    <cfRule type="cellIs" dxfId="1" priority="11903" operator="equal">
      <formula>"未完成"</formula>
    </cfRule>
    <cfRule type="cellIs" dxfId="0" priority="11923" operator="equal">
      <formula>"未完成"</formula>
    </cfRule>
  </conditionalFormatting>
  <conditionalFormatting sqref="R504">
    <cfRule type="cellIs" dxfId="0" priority="11982" operator="equal">
      <formula>"欠"</formula>
    </cfRule>
  </conditionalFormatting>
  <conditionalFormatting sqref="S504">
    <cfRule type="cellIs" dxfId="0" priority="11962" operator="equal">
      <formula>"欠"</formula>
    </cfRule>
  </conditionalFormatting>
  <conditionalFormatting sqref="T504:V504">
    <cfRule type="cellIs" dxfId="0" priority="11942" operator="equal">
      <formula>"欠"</formula>
    </cfRule>
  </conditionalFormatting>
  <conditionalFormatting sqref="T504:U504">
    <cfRule type="containsText" dxfId="0" priority="11882" operator="between" text="欠">
      <formula>NOT(ISERROR(SEARCH("欠",T504)))</formula>
    </cfRule>
  </conditionalFormatting>
  <conditionalFormatting sqref="AG504:AH504">
    <cfRule type="cellIs" dxfId="0" priority="12002" operator="equal">
      <formula>"未完成"</formula>
    </cfRule>
  </conditionalFormatting>
  <conditionalFormatting sqref="AL504:AM504">
    <cfRule type="cellIs" dxfId="1" priority="11902" operator="equal">
      <formula>"未完成"</formula>
    </cfRule>
    <cfRule type="cellIs" dxfId="0" priority="11922" operator="equal">
      <formula>"未完成"</formula>
    </cfRule>
  </conditionalFormatting>
  <conditionalFormatting sqref="R505">
    <cfRule type="cellIs" dxfId="0" priority="11981" operator="equal">
      <formula>"欠"</formula>
    </cfRule>
  </conditionalFormatting>
  <conditionalFormatting sqref="S505">
    <cfRule type="cellIs" dxfId="0" priority="11961" operator="equal">
      <formula>"欠"</formula>
    </cfRule>
  </conditionalFormatting>
  <conditionalFormatting sqref="T505:V505">
    <cfRule type="cellIs" dxfId="0" priority="11941" operator="equal">
      <formula>"欠"</formula>
    </cfRule>
  </conditionalFormatting>
  <conditionalFormatting sqref="T505:U505">
    <cfRule type="containsText" dxfId="0" priority="11881" operator="between" text="欠">
      <formula>NOT(ISERROR(SEARCH("欠",T505)))</formula>
    </cfRule>
  </conditionalFormatting>
  <conditionalFormatting sqref="AG505:AH505">
    <cfRule type="cellIs" dxfId="0" priority="12001" operator="equal">
      <formula>"未完成"</formula>
    </cfRule>
  </conditionalFormatting>
  <conditionalFormatting sqref="AL505:AM505">
    <cfRule type="cellIs" dxfId="1" priority="11901" operator="equal">
      <formula>"未完成"</formula>
    </cfRule>
    <cfRule type="cellIs" dxfId="0" priority="11921" operator="equal">
      <formula>"未完成"</formula>
    </cfRule>
  </conditionalFormatting>
  <conditionalFormatting sqref="R506">
    <cfRule type="cellIs" dxfId="0" priority="11980" operator="equal">
      <formula>"欠"</formula>
    </cfRule>
  </conditionalFormatting>
  <conditionalFormatting sqref="S506">
    <cfRule type="cellIs" dxfId="0" priority="11960" operator="equal">
      <formula>"欠"</formula>
    </cfRule>
  </conditionalFormatting>
  <conditionalFormatting sqref="T506:V506">
    <cfRule type="cellIs" dxfId="0" priority="11940" operator="equal">
      <formula>"欠"</formula>
    </cfRule>
  </conditionalFormatting>
  <conditionalFormatting sqref="T506:U506">
    <cfRule type="containsText" dxfId="0" priority="11880" operator="between" text="欠">
      <formula>NOT(ISERROR(SEARCH("欠",T506)))</formula>
    </cfRule>
  </conditionalFormatting>
  <conditionalFormatting sqref="AG506:AH506">
    <cfRule type="cellIs" dxfId="0" priority="12000" operator="equal">
      <formula>"未完成"</formula>
    </cfRule>
  </conditionalFormatting>
  <conditionalFormatting sqref="AL506:AM506">
    <cfRule type="cellIs" dxfId="1" priority="11900" operator="equal">
      <formula>"未完成"</formula>
    </cfRule>
    <cfRule type="cellIs" dxfId="0" priority="11920" operator="equal">
      <formula>"未完成"</formula>
    </cfRule>
  </conditionalFormatting>
  <conditionalFormatting sqref="R507">
    <cfRule type="cellIs" dxfId="0" priority="11979" operator="equal">
      <formula>"欠"</formula>
    </cfRule>
  </conditionalFormatting>
  <conditionalFormatting sqref="S507">
    <cfRule type="cellIs" dxfId="0" priority="11959" operator="equal">
      <formula>"欠"</formula>
    </cfRule>
  </conditionalFormatting>
  <conditionalFormatting sqref="T507:V507">
    <cfRule type="cellIs" dxfId="0" priority="11939" operator="equal">
      <formula>"欠"</formula>
    </cfRule>
  </conditionalFormatting>
  <conditionalFormatting sqref="T507:U507">
    <cfRule type="containsText" dxfId="0" priority="11879" operator="between" text="欠">
      <formula>NOT(ISERROR(SEARCH("欠",T507)))</formula>
    </cfRule>
  </conditionalFormatting>
  <conditionalFormatting sqref="AG507:AH507">
    <cfRule type="cellIs" dxfId="0" priority="11999" operator="equal">
      <formula>"未完成"</formula>
    </cfRule>
  </conditionalFormatting>
  <conditionalFormatting sqref="AL507:AM507">
    <cfRule type="cellIs" dxfId="1" priority="11899" operator="equal">
      <formula>"未完成"</formula>
    </cfRule>
    <cfRule type="cellIs" dxfId="0" priority="11919" operator="equal">
      <formula>"未完成"</formula>
    </cfRule>
  </conditionalFormatting>
  <conditionalFormatting sqref="R508">
    <cfRule type="cellIs" dxfId="0" priority="11824" operator="equal">
      <formula>"欠"</formula>
    </cfRule>
  </conditionalFormatting>
  <conditionalFormatting sqref="S508">
    <cfRule type="cellIs" dxfId="0" priority="11800" operator="equal">
      <formula>"欠"</formula>
    </cfRule>
  </conditionalFormatting>
  <conditionalFormatting sqref="T508:V508">
    <cfRule type="cellIs" dxfId="0" priority="11776" operator="equal">
      <formula>"欠"</formula>
    </cfRule>
  </conditionalFormatting>
  <conditionalFormatting sqref="T508:U508">
    <cfRule type="containsText" dxfId="0" priority="11704" operator="between" text="欠">
      <formula>NOT(ISERROR(SEARCH("欠",T508)))</formula>
    </cfRule>
  </conditionalFormatting>
  <conditionalFormatting sqref="AG508:AH508">
    <cfRule type="cellIs" dxfId="0" priority="11848" operator="equal">
      <formula>"未完成"</formula>
    </cfRule>
  </conditionalFormatting>
  <conditionalFormatting sqref="AL508:AM508">
    <cfRule type="cellIs" dxfId="1" priority="11728" operator="equal">
      <formula>"未完成"</formula>
    </cfRule>
    <cfRule type="cellIs" dxfId="0" priority="11752" operator="equal">
      <formula>"未完成"</formula>
    </cfRule>
  </conditionalFormatting>
  <conditionalFormatting sqref="R509">
    <cfRule type="cellIs" dxfId="0" priority="11823" operator="equal">
      <formula>"欠"</formula>
    </cfRule>
  </conditionalFormatting>
  <conditionalFormatting sqref="S509">
    <cfRule type="cellIs" dxfId="0" priority="11799" operator="equal">
      <formula>"欠"</formula>
    </cfRule>
  </conditionalFormatting>
  <conditionalFormatting sqref="T509:V509">
    <cfRule type="cellIs" dxfId="0" priority="11775" operator="equal">
      <formula>"欠"</formula>
    </cfRule>
  </conditionalFormatting>
  <conditionalFormatting sqref="T509:U509">
    <cfRule type="containsText" dxfId="0" priority="11703" operator="between" text="欠">
      <formula>NOT(ISERROR(SEARCH("欠",T509)))</formula>
    </cfRule>
  </conditionalFormatting>
  <conditionalFormatting sqref="AG509:AH509">
    <cfRule type="cellIs" dxfId="0" priority="11847" operator="equal">
      <formula>"未完成"</formula>
    </cfRule>
  </conditionalFormatting>
  <conditionalFormatting sqref="AL509:AM509">
    <cfRule type="cellIs" dxfId="1" priority="11727" operator="equal">
      <formula>"未完成"</formula>
    </cfRule>
    <cfRule type="cellIs" dxfId="0" priority="11751" operator="equal">
      <formula>"未完成"</formula>
    </cfRule>
  </conditionalFormatting>
  <conditionalFormatting sqref="R510">
    <cfRule type="cellIs" dxfId="0" priority="11822" operator="equal">
      <formula>"欠"</formula>
    </cfRule>
  </conditionalFormatting>
  <conditionalFormatting sqref="S510">
    <cfRule type="cellIs" dxfId="0" priority="11798" operator="equal">
      <formula>"欠"</formula>
    </cfRule>
  </conditionalFormatting>
  <conditionalFormatting sqref="T510:V510">
    <cfRule type="cellIs" dxfId="0" priority="11774" operator="equal">
      <formula>"欠"</formula>
    </cfRule>
  </conditionalFormatting>
  <conditionalFormatting sqref="T510:U510">
    <cfRule type="containsText" dxfId="0" priority="11702" operator="between" text="欠">
      <formula>NOT(ISERROR(SEARCH("欠",T510)))</formula>
    </cfRule>
  </conditionalFormatting>
  <conditionalFormatting sqref="AG510:AH510">
    <cfRule type="cellIs" dxfId="0" priority="11846" operator="equal">
      <formula>"未完成"</formula>
    </cfRule>
  </conditionalFormatting>
  <conditionalFormatting sqref="AL510:AM510">
    <cfRule type="cellIs" dxfId="1" priority="11726" operator="equal">
      <formula>"未完成"</formula>
    </cfRule>
    <cfRule type="cellIs" dxfId="0" priority="11750" operator="equal">
      <formula>"未完成"</formula>
    </cfRule>
  </conditionalFormatting>
  <conditionalFormatting sqref="R511">
    <cfRule type="cellIs" dxfId="0" priority="11821" operator="equal">
      <formula>"欠"</formula>
    </cfRule>
  </conditionalFormatting>
  <conditionalFormatting sqref="S511">
    <cfRule type="cellIs" dxfId="0" priority="11797" operator="equal">
      <formula>"欠"</formula>
    </cfRule>
  </conditionalFormatting>
  <conditionalFormatting sqref="T511:V511">
    <cfRule type="cellIs" dxfId="0" priority="11773" operator="equal">
      <formula>"欠"</formula>
    </cfRule>
  </conditionalFormatting>
  <conditionalFormatting sqref="T511:U511">
    <cfRule type="containsText" dxfId="0" priority="11701" operator="between" text="欠">
      <formula>NOT(ISERROR(SEARCH("欠",T511)))</formula>
    </cfRule>
  </conditionalFormatting>
  <conditionalFormatting sqref="AG511:AH511">
    <cfRule type="cellIs" dxfId="0" priority="11845" operator="equal">
      <formula>"未完成"</formula>
    </cfRule>
  </conditionalFormatting>
  <conditionalFormatting sqref="AL511:AM511">
    <cfRule type="cellIs" dxfId="1" priority="11725" operator="equal">
      <formula>"未完成"</formula>
    </cfRule>
    <cfRule type="cellIs" dxfId="0" priority="11749" operator="equal">
      <formula>"未完成"</formula>
    </cfRule>
  </conditionalFormatting>
  <conditionalFormatting sqref="R512">
    <cfRule type="cellIs" dxfId="0" priority="11820" operator="equal">
      <formula>"欠"</formula>
    </cfRule>
  </conditionalFormatting>
  <conditionalFormatting sqref="S512">
    <cfRule type="cellIs" dxfId="0" priority="11796" operator="equal">
      <formula>"欠"</formula>
    </cfRule>
  </conditionalFormatting>
  <conditionalFormatting sqref="T512:V512">
    <cfRule type="cellIs" dxfId="0" priority="11772" operator="equal">
      <formula>"欠"</formula>
    </cfRule>
  </conditionalFormatting>
  <conditionalFormatting sqref="T512:U512">
    <cfRule type="containsText" dxfId="0" priority="11700" operator="between" text="欠">
      <formula>NOT(ISERROR(SEARCH("欠",T512)))</formula>
    </cfRule>
  </conditionalFormatting>
  <conditionalFormatting sqref="AG512:AH512">
    <cfRule type="cellIs" dxfId="0" priority="11844" operator="equal">
      <formula>"未完成"</formula>
    </cfRule>
  </conditionalFormatting>
  <conditionalFormatting sqref="AL512:AM512">
    <cfRule type="cellIs" dxfId="1" priority="11724" operator="equal">
      <formula>"未完成"</formula>
    </cfRule>
    <cfRule type="cellIs" dxfId="0" priority="11748" operator="equal">
      <formula>"未完成"</formula>
    </cfRule>
  </conditionalFormatting>
  <conditionalFormatting sqref="R513">
    <cfRule type="cellIs" dxfId="0" priority="11819" operator="equal">
      <formula>"欠"</formula>
    </cfRule>
  </conditionalFormatting>
  <conditionalFormatting sqref="S513">
    <cfRule type="cellIs" dxfId="0" priority="11795" operator="equal">
      <formula>"欠"</formula>
    </cfRule>
  </conditionalFormatting>
  <conditionalFormatting sqref="T513:V513">
    <cfRule type="cellIs" dxfId="0" priority="11771" operator="equal">
      <formula>"欠"</formula>
    </cfRule>
  </conditionalFormatting>
  <conditionalFormatting sqref="T513:U513">
    <cfRule type="containsText" dxfId="0" priority="11699" operator="between" text="欠">
      <formula>NOT(ISERROR(SEARCH("欠",T513)))</formula>
    </cfRule>
  </conditionalFormatting>
  <conditionalFormatting sqref="AG513:AH513">
    <cfRule type="cellIs" dxfId="0" priority="11843" operator="equal">
      <formula>"未完成"</formula>
    </cfRule>
  </conditionalFormatting>
  <conditionalFormatting sqref="AL513:AM513">
    <cfRule type="cellIs" dxfId="1" priority="11723" operator="equal">
      <formula>"未完成"</formula>
    </cfRule>
    <cfRule type="cellIs" dxfId="0" priority="11747" operator="equal">
      <formula>"未完成"</formula>
    </cfRule>
  </conditionalFormatting>
  <conditionalFormatting sqref="R514">
    <cfRule type="cellIs" dxfId="0" priority="11818" operator="equal">
      <formula>"欠"</formula>
    </cfRule>
  </conditionalFormatting>
  <conditionalFormatting sqref="S514">
    <cfRule type="cellIs" dxfId="0" priority="11794" operator="equal">
      <formula>"欠"</formula>
    </cfRule>
  </conditionalFormatting>
  <conditionalFormatting sqref="T514:V514">
    <cfRule type="cellIs" dxfId="0" priority="11770" operator="equal">
      <formula>"欠"</formula>
    </cfRule>
  </conditionalFormatting>
  <conditionalFormatting sqref="T514:U514">
    <cfRule type="containsText" dxfId="0" priority="11698" operator="between" text="欠">
      <formula>NOT(ISERROR(SEARCH("欠",T514)))</formula>
    </cfRule>
  </conditionalFormatting>
  <conditionalFormatting sqref="AG514:AH514">
    <cfRule type="cellIs" dxfId="0" priority="11842" operator="equal">
      <formula>"未完成"</formula>
    </cfRule>
  </conditionalFormatting>
  <conditionalFormatting sqref="AL514:AM514">
    <cfRule type="cellIs" dxfId="1" priority="11722" operator="equal">
      <formula>"未完成"</formula>
    </cfRule>
    <cfRule type="cellIs" dxfId="0" priority="11746" operator="equal">
      <formula>"未完成"</formula>
    </cfRule>
  </conditionalFormatting>
  <conditionalFormatting sqref="R515">
    <cfRule type="cellIs" dxfId="0" priority="11817" operator="equal">
      <formula>"欠"</formula>
    </cfRule>
  </conditionalFormatting>
  <conditionalFormatting sqref="S515">
    <cfRule type="cellIs" dxfId="0" priority="11793" operator="equal">
      <formula>"欠"</formula>
    </cfRule>
  </conditionalFormatting>
  <conditionalFormatting sqref="T515:V515">
    <cfRule type="cellIs" dxfId="0" priority="11769" operator="equal">
      <formula>"欠"</formula>
    </cfRule>
  </conditionalFormatting>
  <conditionalFormatting sqref="T515:U515">
    <cfRule type="containsText" dxfId="0" priority="11697" operator="between" text="欠">
      <formula>NOT(ISERROR(SEARCH("欠",T515)))</formula>
    </cfRule>
  </conditionalFormatting>
  <conditionalFormatting sqref="AG515:AH515">
    <cfRule type="cellIs" dxfId="0" priority="11841" operator="equal">
      <formula>"未完成"</formula>
    </cfRule>
  </conditionalFormatting>
  <conditionalFormatting sqref="AL515:AM515">
    <cfRule type="cellIs" dxfId="1" priority="11721" operator="equal">
      <formula>"未完成"</formula>
    </cfRule>
    <cfRule type="cellIs" dxfId="0" priority="11745" operator="equal">
      <formula>"未完成"</formula>
    </cfRule>
  </conditionalFormatting>
  <conditionalFormatting sqref="R516">
    <cfRule type="cellIs" dxfId="0" priority="11816" operator="equal">
      <formula>"欠"</formula>
    </cfRule>
  </conditionalFormatting>
  <conditionalFormatting sqref="S516">
    <cfRule type="cellIs" dxfId="0" priority="11792" operator="equal">
      <formula>"欠"</formula>
    </cfRule>
  </conditionalFormatting>
  <conditionalFormatting sqref="T516:V516">
    <cfRule type="cellIs" dxfId="0" priority="11768" operator="equal">
      <formula>"欠"</formula>
    </cfRule>
  </conditionalFormatting>
  <conditionalFormatting sqref="T516:U516">
    <cfRule type="containsText" dxfId="0" priority="11696" operator="between" text="欠">
      <formula>NOT(ISERROR(SEARCH("欠",T516)))</formula>
    </cfRule>
  </conditionalFormatting>
  <conditionalFormatting sqref="AG516:AH516">
    <cfRule type="cellIs" dxfId="0" priority="11840" operator="equal">
      <formula>"未完成"</formula>
    </cfRule>
  </conditionalFormatting>
  <conditionalFormatting sqref="AL516:AM516">
    <cfRule type="cellIs" dxfId="1" priority="11720" operator="equal">
      <formula>"未完成"</formula>
    </cfRule>
    <cfRule type="cellIs" dxfId="0" priority="11744" operator="equal">
      <formula>"未完成"</formula>
    </cfRule>
  </conditionalFormatting>
  <conditionalFormatting sqref="R517">
    <cfRule type="cellIs" dxfId="0" priority="11815" operator="equal">
      <formula>"欠"</formula>
    </cfRule>
  </conditionalFormatting>
  <conditionalFormatting sqref="S517">
    <cfRule type="cellIs" dxfId="0" priority="11791" operator="equal">
      <formula>"欠"</formula>
    </cfRule>
  </conditionalFormatting>
  <conditionalFormatting sqref="T517:V517">
    <cfRule type="cellIs" dxfId="0" priority="11767" operator="equal">
      <formula>"欠"</formula>
    </cfRule>
  </conditionalFormatting>
  <conditionalFormatting sqref="T517:U517">
    <cfRule type="containsText" dxfId="0" priority="11695" operator="between" text="欠">
      <formula>NOT(ISERROR(SEARCH("欠",T517)))</formula>
    </cfRule>
  </conditionalFormatting>
  <conditionalFormatting sqref="AG517:AH517">
    <cfRule type="cellIs" dxfId="0" priority="11839" operator="equal">
      <formula>"未完成"</formula>
    </cfRule>
  </conditionalFormatting>
  <conditionalFormatting sqref="AL517:AM517">
    <cfRule type="cellIs" dxfId="1" priority="11719" operator="equal">
      <formula>"未完成"</formula>
    </cfRule>
    <cfRule type="cellIs" dxfId="0" priority="11743" operator="equal">
      <formula>"未完成"</formula>
    </cfRule>
  </conditionalFormatting>
  <conditionalFormatting sqref="R518">
    <cfRule type="cellIs" dxfId="0" priority="11814" operator="equal">
      <formula>"欠"</formula>
    </cfRule>
  </conditionalFormatting>
  <conditionalFormatting sqref="S518">
    <cfRule type="cellIs" dxfId="0" priority="11790" operator="equal">
      <formula>"欠"</formula>
    </cfRule>
  </conditionalFormatting>
  <conditionalFormatting sqref="T518:V518">
    <cfRule type="cellIs" dxfId="0" priority="11766" operator="equal">
      <formula>"欠"</formula>
    </cfRule>
  </conditionalFormatting>
  <conditionalFormatting sqref="T518:U518">
    <cfRule type="containsText" dxfId="0" priority="11694" operator="between" text="欠">
      <formula>NOT(ISERROR(SEARCH("欠",T518)))</formula>
    </cfRule>
  </conditionalFormatting>
  <conditionalFormatting sqref="AG518:AH518">
    <cfRule type="cellIs" dxfId="0" priority="11838" operator="equal">
      <formula>"未完成"</formula>
    </cfRule>
  </conditionalFormatting>
  <conditionalFormatting sqref="AL518:AM518">
    <cfRule type="cellIs" dxfId="1" priority="11718" operator="equal">
      <formula>"未完成"</formula>
    </cfRule>
    <cfRule type="cellIs" dxfId="0" priority="11742" operator="equal">
      <formula>"未完成"</formula>
    </cfRule>
  </conditionalFormatting>
  <conditionalFormatting sqref="R519">
    <cfRule type="cellIs" dxfId="0" priority="11813" operator="equal">
      <formula>"欠"</formula>
    </cfRule>
  </conditionalFormatting>
  <conditionalFormatting sqref="S519">
    <cfRule type="cellIs" dxfId="0" priority="11789" operator="equal">
      <formula>"欠"</formula>
    </cfRule>
  </conditionalFormatting>
  <conditionalFormatting sqref="T519:V519">
    <cfRule type="cellIs" dxfId="0" priority="11765" operator="equal">
      <formula>"欠"</formula>
    </cfRule>
  </conditionalFormatting>
  <conditionalFormatting sqref="T519:U519">
    <cfRule type="containsText" dxfId="0" priority="11693" operator="between" text="欠">
      <formula>NOT(ISERROR(SEARCH("欠",T519)))</formula>
    </cfRule>
  </conditionalFormatting>
  <conditionalFormatting sqref="AG519:AH519">
    <cfRule type="cellIs" dxfId="0" priority="11837" operator="equal">
      <formula>"未完成"</formula>
    </cfRule>
  </conditionalFormatting>
  <conditionalFormatting sqref="AL519:AM519">
    <cfRule type="cellIs" dxfId="1" priority="11717" operator="equal">
      <formula>"未完成"</formula>
    </cfRule>
    <cfRule type="cellIs" dxfId="0" priority="11741" operator="equal">
      <formula>"未完成"</formula>
    </cfRule>
  </conditionalFormatting>
  <conditionalFormatting sqref="R520">
    <cfRule type="cellIs" dxfId="0" priority="11812" operator="equal">
      <formula>"欠"</formula>
    </cfRule>
  </conditionalFormatting>
  <conditionalFormatting sqref="S520">
    <cfRule type="cellIs" dxfId="0" priority="11788" operator="equal">
      <formula>"欠"</formula>
    </cfRule>
  </conditionalFormatting>
  <conditionalFormatting sqref="T520:V520">
    <cfRule type="cellIs" dxfId="0" priority="11764" operator="equal">
      <formula>"欠"</formula>
    </cfRule>
  </conditionalFormatting>
  <conditionalFormatting sqref="T520:U520">
    <cfRule type="containsText" dxfId="0" priority="11692" operator="between" text="欠">
      <formula>NOT(ISERROR(SEARCH("欠",T520)))</formula>
    </cfRule>
  </conditionalFormatting>
  <conditionalFormatting sqref="AG520:AH520">
    <cfRule type="cellIs" dxfId="0" priority="11836" operator="equal">
      <formula>"未完成"</formula>
    </cfRule>
  </conditionalFormatting>
  <conditionalFormatting sqref="AL520:AM520">
    <cfRule type="cellIs" dxfId="1" priority="11716" operator="equal">
      <formula>"未完成"</formula>
    </cfRule>
    <cfRule type="cellIs" dxfId="0" priority="11740" operator="equal">
      <formula>"未完成"</formula>
    </cfRule>
  </conditionalFormatting>
  <conditionalFormatting sqref="R521">
    <cfRule type="cellIs" dxfId="0" priority="11811" operator="equal">
      <formula>"欠"</formula>
    </cfRule>
  </conditionalFormatting>
  <conditionalFormatting sqref="S521">
    <cfRule type="cellIs" dxfId="0" priority="11787" operator="equal">
      <formula>"欠"</formula>
    </cfRule>
  </conditionalFormatting>
  <conditionalFormatting sqref="T521:V521">
    <cfRule type="cellIs" dxfId="0" priority="11763" operator="equal">
      <formula>"欠"</formula>
    </cfRule>
  </conditionalFormatting>
  <conditionalFormatting sqref="T521:U521">
    <cfRule type="containsText" dxfId="0" priority="11691" operator="between" text="欠">
      <formula>NOT(ISERROR(SEARCH("欠",T521)))</formula>
    </cfRule>
  </conditionalFormatting>
  <conditionalFormatting sqref="AG521:AH521">
    <cfRule type="cellIs" dxfId="0" priority="11835" operator="equal">
      <formula>"未完成"</formula>
    </cfRule>
  </conditionalFormatting>
  <conditionalFormatting sqref="AL521:AM521">
    <cfRule type="cellIs" dxfId="1" priority="11715" operator="equal">
      <formula>"未完成"</formula>
    </cfRule>
    <cfRule type="cellIs" dxfId="0" priority="11739" operator="equal">
      <formula>"未完成"</formula>
    </cfRule>
  </conditionalFormatting>
  <conditionalFormatting sqref="R522">
    <cfRule type="cellIs" dxfId="0" priority="11810" operator="equal">
      <formula>"欠"</formula>
    </cfRule>
  </conditionalFormatting>
  <conditionalFormatting sqref="S522">
    <cfRule type="cellIs" dxfId="0" priority="11786" operator="equal">
      <formula>"欠"</formula>
    </cfRule>
  </conditionalFormatting>
  <conditionalFormatting sqref="T522:V522">
    <cfRule type="cellIs" dxfId="0" priority="11762" operator="equal">
      <formula>"欠"</formula>
    </cfRule>
  </conditionalFormatting>
  <conditionalFormatting sqref="T522:U522">
    <cfRule type="containsText" dxfId="0" priority="11690" operator="between" text="欠">
      <formula>NOT(ISERROR(SEARCH("欠",T522)))</formula>
    </cfRule>
  </conditionalFormatting>
  <conditionalFormatting sqref="AG522:AH522">
    <cfRule type="cellIs" dxfId="0" priority="11834" operator="equal">
      <formula>"未完成"</formula>
    </cfRule>
  </conditionalFormatting>
  <conditionalFormatting sqref="AL522:AM522">
    <cfRule type="cellIs" dxfId="1" priority="11714" operator="equal">
      <formula>"未完成"</formula>
    </cfRule>
    <cfRule type="cellIs" dxfId="0" priority="11738" operator="equal">
      <formula>"未完成"</formula>
    </cfRule>
  </conditionalFormatting>
  <conditionalFormatting sqref="R523">
    <cfRule type="cellIs" dxfId="0" priority="11809" operator="equal">
      <formula>"欠"</formula>
    </cfRule>
  </conditionalFormatting>
  <conditionalFormatting sqref="S523">
    <cfRule type="cellIs" dxfId="0" priority="11785" operator="equal">
      <formula>"欠"</formula>
    </cfRule>
  </conditionalFormatting>
  <conditionalFormatting sqref="T523:V523">
    <cfRule type="cellIs" dxfId="0" priority="11761" operator="equal">
      <formula>"欠"</formula>
    </cfRule>
  </conditionalFormatting>
  <conditionalFormatting sqref="T523:U523">
    <cfRule type="containsText" dxfId="0" priority="11689" operator="between" text="欠">
      <formula>NOT(ISERROR(SEARCH("欠",T523)))</formula>
    </cfRule>
  </conditionalFormatting>
  <conditionalFormatting sqref="AG523:AH523">
    <cfRule type="cellIs" dxfId="0" priority="11833" operator="equal">
      <formula>"未完成"</formula>
    </cfRule>
  </conditionalFormatting>
  <conditionalFormatting sqref="AL523:AM523">
    <cfRule type="cellIs" dxfId="1" priority="11713" operator="equal">
      <formula>"未完成"</formula>
    </cfRule>
    <cfRule type="cellIs" dxfId="0" priority="11737" operator="equal">
      <formula>"未完成"</formula>
    </cfRule>
  </conditionalFormatting>
  <conditionalFormatting sqref="R524">
    <cfRule type="cellIs" dxfId="0" priority="11808" operator="equal">
      <formula>"欠"</formula>
    </cfRule>
  </conditionalFormatting>
  <conditionalFormatting sqref="S524">
    <cfRule type="cellIs" dxfId="0" priority="11784" operator="equal">
      <formula>"欠"</formula>
    </cfRule>
  </conditionalFormatting>
  <conditionalFormatting sqref="T524:V524">
    <cfRule type="cellIs" dxfId="0" priority="11760" operator="equal">
      <formula>"欠"</formula>
    </cfRule>
  </conditionalFormatting>
  <conditionalFormatting sqref="T524:U524">
    <cfRule type="containsText" dxfId="0" priority="11688" operator="between" text="欠">
      <formula>NOT(ISERROR(SEARCH("欠",T524)))</formula>
    </cfRule>
  </conditionalFormatting>
  <conditionalFormatting sqref="AG524:AH524">
    <cfRule type="cellIs" dxfId="0" priority="11832" operator="equal">
      <formula>"未完成"</formula>
    </cfRule>
  </conditionalFormatting>
  <conditionalFormatting sqref="AL524:AM524">
    <cfRule type="cellIs" dxfId="1" priority="11712" operator="equal">
      <formula>"未完成"</formula>
    </cfRule>
    <cfRule type="cellIs" dxfId="0" priority="11736" operator="equal">
      <formula>"未完成"</formula>
    </cfRule>
  </conditionalFormatting>
  <conditionalFormatting sqref="R525">
    <cfRule type="cellIs" dxfId="0" priority="11807" operator="equal">
      <formula>"欠"</formula>
    </cfRule>
  </conditionalFormatting>
  <conditionalFormatting sqref="S525">
    <cfRule type="cellIs" dxfId="0" priority="11783" operator="equal">
      <formula>"欠"</formula>
    </cfRule>
  </conditionalFormatting>
  <conditionalFormatting sqref="T525:V525">
    <cfRule type="cellIs" dxfId="0" priority="11759" operator="equal">
      <formula>"欠"</formula>
    </cfRule>
  </conditionalFormatting>
  <conditionalFormatting sqref="T525:U525">
    <cfRule type="containsText" dxfId="0" priority="11687" operator="between" text="欠">
      <formula>NOT(ISERROR(SEARCH("欠",T525)))</formula>
    </cfRule>
  </conditionalFormatting>
  <conditionalFormatting sqref="AG525:AH525">
    <cfRule type="cellIs" dxfId="0" priority="11831" operator="equal">
      <formula>"未完成"</formula>
    </cfRule>
  </conditionalFormatting>
  <conditionalFormatting sqref="AL525:AM525">
    <cfRule type="cellIs" dxfId="1" priority="11711" operator="equal">
      <formula>"未完成"</formula>
    </cfRule>
    <cfRule type="cellIs" dxfId="0" priority="11735" operator="equal">
      <formula>"未完成"</formula>
    </cfRule>
  </conditionalFormatting>
  <conditionalFormatting sqref="R526">
    <cfRule type="cellIs" dxfId="0" priority="11806" operator="equal">
      <formula>"欠"</formula>
    </cfRule>
  </conditionalFormatting>
  <conditionalFormatting sqref="S526">
    <cfRule type="cellIs" dxfId="0" priority="11782" operator="equal">
      <formula>"欠"</formula>
    </cfRule>
  </conditionalFormatting>
  <conditionalFormatting sqref="T526:V526">
    <cfRule type="cellIs" dxfId="0" priority="11758" operator="equal">
      <formula>"欠"</formula>
    </cfRule>
  </conditionalFormatting>
  <conditionalFormatting sqref="T526:U526">
    <cfRule type="containsText" dxfId="0" priority="11686" operator="between" text="欠">
      <formula>NOT(ISERROR(SEARCH("欠",T526)))</formula>
    </cfRule>
  </conditionalFormatting>
  <conditionalFormatting sqref="AG526:AH526">
    <cfRule type="cellIs" dxfId="0" priority="11830" operator="equal">
      <formula>"未完成"</formula>
    </cfRule>
  </conditionalFormatting>
  <conditionalFormatting sqref="AL526:AM526">
    <cfRule type="cellIs" dxfId="1" priority="11710" operator="equal">
      <formula>"未完成"</formula>
    </cfRule>
    <cfRule type="cellIs" dxfId="0" priority="11734" operator="equal">
      <formula>"未完成"</formula>
    </cfRule>
  </conditionalFormatting>
  <conditionalFormatting sqref="R527">
    <cfRule type="cellIs" dxfId="0" priority="11805" operator="equal">
      <formula>"欠"</formula>
    </cfRule>
  </conditionalFormatting>
  <conditionalFormatting sqref="S527">
    <cfRule type="cellIs" dxfId="0" priority="11781" operator="equal">
      <formula>"欠"</formula>
    </cfRule>
  </conditionalFormatting>
  <conditionalFormatting sqref="T527:V527">
    <cfRule type="cellIs" dxfId="0" priority="11757" operator="equal">
      <formula>"欠"</formula>
    </cfRule>
  </conditionalFormatting>
  <conditionalFormatting sqref="T527:U527">
    <cfRule type="containsText" dxfId="0" priority="11685" operator="between" text="欠">
      <formula>NOT(ISERROR(SEARCH("欠",T527)))</formula>
    </cfRule>
  </conditionalFormatting>
  <conditionalFormatting sqref="AG527:AH527">
    <cfRule type="cellIs" dxfId="0" priority="11829" operator="equal">
      <formula>"未完成"</formula>
    </cfRule>
  </conditionalFormatting>
  <conditionalFormatting sqref="AL527:AM527">
    <cfRule type="cellIs" dxfId="1" priority="11709" operator="equal">
      <formula>"未完成"</formula>
    </cfRule>
    <cfRule type="cellIs" dxfId="0" priority="11733" operator="equal">
      <formula>"未完成"</formula>
    </cfRule>
  </conditionalFormatting>
  <conditionalFormatting sqref="R528">
    <cfRule type="cellIs" dxfId="0" priority="11804" operator="equal">
      <formula>"欠"</formula>
    </cfRule>
  </conditionalFormatting>
  <conditionalFormatting sqref="S528">
    <cfRule type="cellIs" dxfId="0" priority="11780" operator="equal">
      <formula>"欠"</formula>
    </cfRule>
  </conditionalFormatting>
  <conditionalFormatting sqref="T528:V528">
    <cfRule type="cellIs" dxfId="0" priority="11756" operator="equal">
      <formula>"欠"</formula>
    </cfRule>
  </conditionalFormatting>
  <conditionalFormatting sqref="T528:U528">
    <cfRule type="containsText" dxfId="0" priority="11684" operator="between" text="欠">
      <formula>NOT(ISERROR(SEARCH("欠",T528)))</formula>
    </cfRule>
  </conditionalFormatting>
  <conditionalFormatting sqref="AG528:AH528">
    <cfRule type="cellIs" dxfId="0" priority="11828" operator="equal">
      <formula>"未完成"</formula>
    </cfRule>
  </conditionalFormatting>
  <conditionalFormatting sqref="AL528:AM528">
    <cfRule type="cellIs" dxfId="1" priority="11708" operator="equal">
      <formula>"未完成"</formula>
    </cfRule>
    <cfRule type="cellIs" dxfId="0" priority="11732" operator="equal">
      <formula>"未完成"</formula>
    </cfRule>
  </conditionalFormatting>
  <conditionalFormatting sqref="R529">
    <cfRule type="cellIs" dxfId="0" priority="11803" operator="equal">
      <formula>"欠"</formula>
    </cfRule>
  </conditionalFormatting>
  <conditionalFormatting sqref="S529">
    <cfRule type="cellIs" dxfId="0" priority="11779" operator="equal">
      <formula>"欠"</formula>
    </cfRule>
  </conditionalFormatting>
  <conditionalFormatting sqref="T529:V529">
    <cfRule type="cellIs" dxfId="0" priority="11755" operator="equal">
      <formula>"欠"</formula>
    </cfRule>
  </conditionalFormatting>
  <conditionalFormatting sqref="T529:U529">
    <cfRule type="containsText" dxfId="0" priority="11683" operator="between" text="欠">
      <formula>NOT(ISERROR(SEARCH("欠",T529)))</formula>
    </cfRule>
  </conditionalFormatting>
  <conditionalFormatting sqref="AG529:AH529">
    <cfRule type="cellIs" dxfId="0" priority="11827" operator="equal">
      <formula>"未完成"</formula>
    </cfRule>
  </conditionalFormatting>
  <conditionalFormatting sqref="AL529:AM529">
    <cfRule type="cellIs" dxfId="1" priority="11707" operator="equal">
      <formula>"未完成"</formula>
    </cfRule>
    <cfRule type="cellIs" dxfId="0" priority="11731" operator="equal">
      <formula>"未完成"</formula>
    </cfRule>
  </conditionalFormatting>
  <conditionalFormatting sqref="R530">
    <cfRule type="cellIs" dxfId="0" priority="11802" operator="equal">
      <formula>"欠"</formula>
    </cfRule>
  </conditionalFormatting>
  <conditionalFormatting sqref="S530">
    <cfRule type="cellIs" dxfId="0" priority="11778" operator="equal">
      <formula>"欠"</formula>
    </cfRule>
  </conditionalFormatting>
  <conditionalFormatting sqref="T530:V530">
    <cfRule type="cellIs" dxfId="0" priority="11754" operator="equal">
      <formula>"欠"</formula>
    </cfRule>
  </conditionalFormatting>
  <conditionalFormatting sqref="T530:U530">
    <cfRule type="containsText" dxfId="0" priority="11682" operator="between" text="欠">
      <formula>NOT(ISERROR(SEARCH("欠",T530)))</formula>
    </cfRule>
  </conditionalFormatting>
  <conditionalFormatting sqref="AG530:AH530">
    <cfRule type="cellIs" dxfId="0" priority="11826" operator="equal">
      <formula>"未完成"</formula>
    </cfRule>
  </conditionalFormatting>
  <conditionalFormatting sqref="AL530:AM530">
    <cfRule type="cellIs" dxfId="1" priority="11706" operator="equal">
      <formula>"未完成"</formula>
    </cfRule>
    <cfRule type="cellIs" dxfId="0" priority="11730" operator="equal">
      <formula>"未完成"</formula>
    </cfRule>
  </conditionalFormatting>
  <conditionalFormatting sqref="R531">
    <cfRule type="cellIs" dxfId="0" priority="11633" operator="equal">
      <formula>"欠"</formula>
    </cfRule>
  </conditionalFormatting>
  <conditionalFormatting sqref="S531">
    <cfRule type="cellIs" dxfId="0" priority="11606" operator="equal">
      <formula>"欠"</formula>
    </cfRule>
  </conditionalFormatting>
  <conditionalFormatting sqref="T531:V531">
    <cfRule type="cellIs" dxfId="0" priority="11579" operator="equal">
      <formula>"欠"</formula>
    </cfRule>
  </conditionalFormatting>
  <conditionalFormatting sqref="T531:U531">
    <cfRule type="containsText" dxfId="0" priority="11498" operator="between" text="欠">
      <formula>NOT(ISERROR(SEARCH("欠",T531)))</formula>
    </cfRule>
  </conditionalFormatting>
  <conditionalFormatting sqref="AG531:AH531">
    <cfRule type="cellIs" dxfId="0" priority="11660" operator="equal">
      <formula>"未完成"</formula>
    </cfRule>
  </conditionalFormatting>
  <conditionalFormatting sqref="AL531:AM531">
    <cfRule type="cellIs" dxfId="1" priority="11525" operator="equal">
      <formula>"未完成"</formula>
    </cfRule>
    <cfRule type="cellIs" dxfId="0" priority="11552" operator="equal">
      <formula>"未完成"</formula>
    </cfRule>
  </conditionalFormatting>
  <conditionalFormatting sqref="R532">
    <cfRule type="cellIs" dxfId="0" priority="11632" operator="equal">
      <formula>"欠"</formula>
    </cfRule>
  </conditionalFormatting>
  <conditionalFormatting sqref="S532">
    <cfRule type="cellIs" dxfId="0" priority="11605" operator="equal">
      <formula>"欠"</formula>
    </cfRule>
  </conditionalFormatting>
  <conditionalFormatting sqref="T532:V532">
    <cfRule type="cellIs" dxfId="0" priority="11578" operator="equal">
      <formula>"欠"</formula>
    </cfRule>
  </conditionalFormatting>
  <conditionalFormatting sqref="T532:U532">
    <cfRule type="containsText" dxfId="0" priority="11497" operator="between" text="欠">
      <formula>NOT(ISERROR(SEARCH("欠",T532)))</formula>
    </cfRule>
  </conditionalFormatting>
  <conditionalFormatting sqref="AG532:AH532">
    <cfRule type="cellIs" dxfId="0" priority="11659" operator="equal">
      <formula>"未完成"</formula>
    </cfRule>
  </conditionalFormatting>
  <conditionalFormatting sqref="AL532:AM532">
    <cfRule type="cellIs" dxfId="1" priority="11524" operator="equal">
      <formula>"未完成"</formula>
    </cfRule>
    <cfRule type="cellIs" dxfId="0" priority="11551" operator="equal">
      <formula>"未完成"</formula>
    </cfRule>
  </conditionalFormatting>
  <conditionalFormatting sqref="R533">
    <cfRule type="cellIs" dxfId="0" priority="11631" operator="equal">
      <formula>"欠"</formula>
    </cfRule>
  </conditionalFormatting>
  <conditionalFormatting sqref="S533">
    <cfRule type="cellIs" dxfId="0" priority="11604" operator="equal">
      <formula>"欠"</formula>
    </cfRule>
  </conditionalFormatting>
  <conditionalFormatting sqref="T533:V533">
    <cfRule type="cellIs" dxfId="0" priority="11577" operator="equal">
      <formula>"欠"</formula>
    </cfRule>
  </conditionalFormatting>
  <conditionalFormatting sqref="T533:U533">
    <cfRule type="containsText" dxfId="0" priority="11496" operator="between" text="欠">
      <formula>NOT(ISERROR(SEARCH("欠",T533)))</formula>
    </cfRule>
  </conditionalFormatting>
  <conditionalFormatting sqref="AG533:AH533">
    <cfRule type="cellIs" dxfId="0" priority="11658" operator="equal">
      <formula>"未完成"</formula>
    </cfRule>
  </conditionalFormatting>
  <conditionalFormatting sqref="AL533:AM533">
    <cfRule type="cellIs" dxfId="1" priority="11523" operator="equal">
      <formula>"未完成"</formula>
    </cfRule>
    <cfRule type="cellIs" dxfId="0" priority="11550" operator="equal">
      <formula>"未完成"</formula>
    </cfRule>
  </conditionalFormatting>
  <conditionalFormatting sqref="R534">
    <cfRule type="cellIs" dxfId="0" priority="11630" operator="equal">
      <formula>"欠"</formula>
    </cfRule>
  </conditionalFormatting>
  <conditionalFormatting sqref="S534">
    <cfRule type="cellIs" dxfId="0" priority="11603" operator="equal">
      <formula>"欠"</formula>
    </cfRule>
  </conditionalFormatting>
  <conditionalFormatting sqref="T534:V534">
    <cfRule type="cellIs" dxfId="0" priority="11576" operator="equal">
      <formula>"欠"</formula>
    </cfRule>
  </conditionalFormatting>
  <conditionalFormatting sqref="T534:U534">
    <cfRule type="containsText" dxfId="0" priority="11495" operator="between" text="欠">
      <formula>NOT(ISERROR(SEARCH("欠",T534)))</formula>
    </cfRule>
  </conditionalFormatting>
  <conditionalFormatting sqref="AG534:AH534">
    <cfRule type="cellIs" dxfId="0" priority="11657" operator="equal">
      <formula>"未完成"</formula>
    </cfRule>
  </conditionalFormatting>
  <conditionalFormatting sqref="AL534:AM534">
    <cfRule type="cellIs" dxfId="1" priority="11522" operator="equal">
      <formula>"未完成"</formula>
    </cfRule>
    <cfRule type="cellIs" dxfId="0" priority="11549" operator="equal">
      <formula>"未完成"</formula>
    </cfRule>
  </conditionalFormatting>
  <conditionalFormatting sqref="R535">
    <cfRule type="cellIs" dxfId="0" priority="11629" operator="equal">
      <formula>"欠"</formula>
    </cfRule>
  </conditionalFormatting>
  <conditionalFormatting sqref="S535">
    <cfRule type="cellIs" dxfId="0" priority="11602" operator="equal">
      <formula>"欠"</formula>
    </cfRule>
  </conditionalFormatting>
  <conditionalFormatting sqref="T535:V535">
    <cfRule type="cellIs" dxfId="0" priority="11575" operator="equal">
      <formula>"欠"</formula>
    </cfRule>
  </conditionalFormatting>
  <conditionalFormatting sqref="T535:U535">
    <cfRule type="containsText" dxfId="0" priority="11494" operator="between" text="欠">
      <formula>NOT(ISERROR(SEARCH("欠",T535)))</formula>
    </cfRule>
  </conditionalFormatting>
  <conditionalFormatting sqref="AG535:AH535">
    <cfRule type="cellIs" dxfId="0" priority="11656" operator="equal">
      <formula>"未完成"</formula>
    </cfRule>
  </conditionalFormatting>
  <conditionalFormatting sqref="AL535:AM535">
    <cfRule type="cellIs" dxfId="1" priority="11521" operator="equal">
      <formula>"未完成"</formula>
    </cfRule>
    <cfRule type="cellIs" dxfId="0" priority="11548" operator="equal">
      <formula>"未完成"</formula>
    </cfRule>
  </conditionalFormatting>
  <conditionalFormatting sqref="R536">
    <cfRule type="cellIs" dxfId="0" priority="11628" operator="equal">
      <formula>"欠"</formula>
    </cfRule>
  </conditionalFormatting>
  <conditionalFormatting sqref="S536">
    <cfRule type="cellIs" dxfId="0" priority="11601" operator="equal">
      <formula>"欠"</formula>
    </cfRule>
  </conditionalFormatting>
  <conditionalFormatting sqref="T536:V536">
    <cfRule type="cellIs" dxfId="0" priority="11574" operator="equal">
      <formula>"欠"</formula>
    </cfRule>
  </conditionalFormatting>
  <conditionalFormatting sqref="T536:U536">
    <cfRule type="containsText" dxfId="0" priority="11493" operator="between" text="欠">
      <formula>NOT(ISERROR(SEARCH("欠",T536)))</formula>
    </cfRule>
  </conditionalFormatting>
  <conditionalFormatting sqref="AG536:AH536">
    <cfRule type="cellIs" dxfId="0" priority="11655" operator="equal">
      <formula>"未完成"</formula>
    </cfRule>
  </conditionalFormatting>
  <conditionalFormatting sqref="AL536:AM536">
    <cfRule type="cellIs" dxfId="1" priority="11520" operator="equal">
      <formula>"未完成"</formula>
    </cfRule>
    <cfRule type="cellIs" dxfId="0" priority="11547" operator="equal">
      <formula>"未完成"</formula>
    </cfRule>
  </conditionalFormatting>
  <conditionalFormatting sqref="R537">
    <cfRule type="cellIs" dxfId="0" priority="11627" operator="equal">
      <formula>"欠"</formula>
    </cfRule>
  </conditionalFormatting>
  <conditionalFormatting sqref="S537">
    <cfRule type="cellIs" dxfId="0" priority="11600" operator="equal">
      <formula>"欠"</formula>
    </cfRule>
  </conditionalFormatting>
  <conditionalFormatting sqref="T537:V537">
    <cfRule type="cellIs" dxfId="0" priority="11573" operator="equal">
      <formula>"欠"</formula>
    </cfRule>
  </conditionalFormatting>
  <conditionalFormatting sqref="T537:U537">
    <cfRule type="containsText" dxfId="0" priority="11492" operator="between" text="欠">
      <formula>NOT(ISERROR(SEARCH("欠",T537)))</formula>
    </cfRule>
  </conditionalFormatting>
  <conditionalFormatting sqref="AG537:AH537">
    <cfRule type="cellIs" dxfId="0" priority="11654" operator="equal">
      <formula>"未完成"</formula>
    </cfRule>
  </conditionalFormatting>
  <conditionalFormatting sqref="AL537:AM537">
    <cfRule type="cellIs" dxfId="1" priority="11519" operator="equal">
      <formula>"未完成"</formula>
    </cfRule>
    <cfRule type="cellIs" dxfId="0" priority="11546" operator="equal">
      <formula>"未完成"</formula>
    </cfRule>
  </conditionalFormatting>
  <conditionalFormatting sqref="R538">
    <cfRule type="cellIs" dxfId="0" priority="11626" operator="equal">
      <formula>"欠"</formula>
    </cfRule>
  </conditionalFormatting>
  <conditionalFormatting sqref="S538">
    <cfRule type="cellIs" dxfId="0" priority="11599" operator="equal">
      <formula>"欠"</formula>
    </cfRule>
  </conditionalFormatting>
  <conditionalFormatting sqref="T538:V538">
    <cfRule type="cellIs" dxfId="0" priority="11572" operator="equal">
      <formula>"欠"</formula>
    </cfRule>
  </conditionalFormatting>
  <conditionalFormatting sqref="T538:U538">
    <cfRule type="containsText" dxfId="0" priority="11491" operator="between" text="欠">
      <formula>NOT(ISERROR(SEARCH("欠",T538)))</formula>
    </cfRule>
  </conditionalFormatting>
  <conditionalFormatting sqref="AG538:AH538">
    <cfRule type="cellIs" dxfId="0" priority="11653" operator="equal">
      <formula>"未完成"</formula>
    </cfRule>
  </conditionalFormatting>
  <conditionalFormatting sqref="AL538:AM538">
    <cfRule type="cellIs" dxfId="1" priority="11518" operator="equal">
      <formula>"未完成"</formula>
    </cfRule>
    <cfRule type="cellIs" dxfId="0" priority="11545" operator="equal">
      <formula>"未完成"</formula>
    </cfRule>
  </conditionalFormatting>
  <conditionalFormatting sqref="R539">
    <cfRule type="cellIs" dxfId="0" priority="11625" operator="equal">
      <formula>"欠"</formula>
    </cfRule>
  </conditionalFormatting>
  <conditionalFormatting sqref="S539">
    <cfRule type="cellIs" dxfId="0" priority="11598" operator="equal">
      <formula>"欠"</formula>
    </cfRule>
  </conditionalFormatting>
  <conditionalFormatting sqref="T539:V539">
    <cfRule type="cellIs" dxfId="0" priority="11571" operator="equal">
      <formula>"欠"</formula>
    </cfRule>
  </conditionalFormatting>
  <conditionalFormatting sqref="T539:U539">
    <cfRule type="containsText" dxfId="0" priority="11490" operator="between" text="欠">
      <formula>NOT(ISERROR(SEARCH("欠",T539)))</formula>
    </cfRule>
  </conditionalFormatting>
  <conditionalFormatting sqref="AG539:AH539">
    <cfRule type="cellIs" dxfId="0" priority="11652" operator="equal">
      <formula>"未完成"</formula>
    </cfRule>
  </conditionalFormatting>
  <conditionalFormatting sqref="AL539:AM539">
    <cfRule type="cellIs" dxfId="1" priority="11517" operator="equal">
      <formula>"未完成"</formula>
    </cfRule>
    <cfRule type="cellIs" dxfId="0" priority="11544" operator="equal">
      <formula>"未完成"</formula>
    </cfRule>
  </conditionalFormatting>
  <conditionalFormatting sqref="R540">
    <cfRule type="cellIs" dxfId="0" priority="11624" operator="equal">
      <formula>"欠"</formula>
    </cfRule>
  </conditionalFormatting>
  <conditionalFormatting sqref="S540">
    <cfRule type="cellIs" dxfId="0" priority="11597" operator="equal">
      <formula>"欠"</formula>
    </cfRule>
  </conditionalFormatting>
  <conditionalFormatting sqref="T540:V540">
    <cfRule type="cellIs" dxfId="0" priority="11570" operator="equal">
      <formula>"欠"</formula>
    </cfRule>
  </conditionalFormatting>
  <conditionalFormatting sqref="T540:U540">
    <cfRule type="containsText" dxfId="0" priority="11489" operator="between" text="欠">
      <formula>NOT(ISERROR(SEARCH("欠",T540)))</formula>
    </cfRule>
  </conditionalFormatting>
  <conditionalFormatting sqref="AG540:AH540">
    <cfRule type="cellIs" dxfId="0" priority="11651" operator="equal">
      <formula>"未完成"</formula>
    </cfRule>
  </conditionalFormatting>
  <conditionalFormatting sqref="AL540:AM540">
    <cfRule type="cellIs" dxfId="1" priority="11516" operator="equal">
      <formula>"未完成"</formula>
    </cfRule>
    <cfRule type="cellIs" dxfId="0" priority="11543" operator="equal">
      <formula>"未完成"</formula>
    </cfRule>
  </conditionalFormatting>
  <conditionalFormatting sqref="R541">
    <cfRule type="cellIs" dxfId="0" priority="11623" operator="equal">
      <formula>"欠"</formula>
    </cfRule>
  </conditionalFormatting>
  <conditionalFormatting sqref="S541">
    <cfRule type="cellIs" dxfId="0" priority="11596" operator="equal">
      <formula>"欠"</formula>
    </cfRule>
  </conditionalFormatting>
  <conditionalFormatting sqref="T541:V541">
    <cfRule type="cellIs" dxfId="0" priority="11569" operator="equal">
      <formula>"欠"</formula>
    </cfRule>
  </conditionalFormatting>
  <conditionalFormatting sqref="T541:U541">
    <cfRule type="containsText" dxfId="0" priority="11488" operator="between" text="欠">
      <formula>NOT(ISERROR(SEARCH("欠",T541)))</formula>
    </cfRule>
  </conditionalFormatting>
  <conditionalFormatting sqref="AG541:AH541">
    <cfRule type="cellIs" dxfId="0" priority="11650" operator="equal">
      <formula>"未完成"</formula>
    </cfRule>
  </conditionalFormatting>
  <conditionalFormatting sqref="AL541:AM541">
    <cfRule type="cellIs" dxfId="1" priority="11515" operator="equal">
      <formula>"未完成"</formula>
    </cfRule>
    <cfRule type="cellIs" dxfId="0" priority="11542" operator="equal">
      <formula>"未完成"</formula>
    </cfRule>
  </conditionalFormatting>
  <conditionalFormatting sqref="R542">
    <cfRule type="cellIs" dxfId="0" priority="11622" operator="equal">
      <formula>"欠"</formula>
    </cfRule>
  </conditionalFormatting>
  <conditionalFormatting sqref="AG542:AH542">
    <cfRule type="cellIs" dxfId="0" priority="11649" operator="equal">
      <formula>"未完成"</formula>
    </cfRule>
  </conditionalFormatting>
  <conditionalFormatting sqref="AL542:AM542">
    <cfRule type="cellIs" dxfId="1" priority="11514" operator="equal">
      <formula>"未完成"</formula>
    </cfRule>
    <cfRule type="cellIs" dxfId="0" priority="11541" operator="equal">
      <formula>"未完成"</formula>
    </cfRule>
  </conditionalFormatting>
  <conditionalFormatting sqref="R543">
    <cfRule type="cellIs" dxfId="0" priority="11621" operator="equal">
      <formula>"欠"</formula>
    </cfRule>
  </conditionalFormatting>
  <conditionalFormatting sqref="S543">
    <cfRule type="cellIs" dxfId="0" priority="11594" operator="equal">
      <formula>"欠"</formula>
    </cfRule>
  </conditionalFormatting>
  <conditionalFormatting sqref="T543:V543">
    <cfRule type="cellIs" dxfId="0" priority="11567" operator="equal">
      <formula>"欠"</formula>
    </cfRule>
  </conditionalFormatting>
  <conditionalFormatting sqref="T543:U543">
    <cfRule type="containsText" dxfId="0" priority="11486" operator="between" text="欠">
      <formula>NOT(ISERROR(SEARCH("欠",T543)))</formula>
    </cfRule>
  </conditionalFormatting>
  <conditionalFormatting sqref="AG543:AH543">
    <cfRule type="cellIs" dxfId="0" priority="11648" operator="equal">
      <formula>"未完成"</formula>
    </cfRule>
  </conditionalFormatting>
  <conditionalFormatting sqref="AL543:AM543">
    <cfRule type="cellIs" dxfId="1" priority="11513" operator="equal">
      <formula>"未完成"</formula>
    </cfRule>
    <cfRule type="cellIs" dxfId="0" priority="11540" operator="equal">
      <formula>"未完成"</formula>
    </cfRule>
  </conditionalFormatting>
  <conditionalFormatting sqref="R544">
    <cfRule type="cellIs" dxfId="0" priority="11620" operator="equal">
      <formula>"欠"</formula>
    </cfRule>
  </conditionalFormatting>
  <conditionalFormatting sqref="S544">
    <cfRule type="cellIs" dxfId="0" priority="11593" operator="equal">
      <formula>"欠"</formula>
    </cfRule>
  </conditionalFormatting>
  <conditionalFormatting sqref="T544:V544">
    <cfRule type="cellIs" dxfId="0" priority="11566" operator="equal">
      <formula>"欠"</formula>
    </cfRule>
  </conditionalFormatting>
  <conditionalFormatting sqref="T544:U544">
    <cfRule type="containsText" dxfId="0" priority="11485" operator="between" text="欠">
      <formula>NOT(ISERROR(SEARCH("欠",T544)))</formula>
    </cfRule>
  </conditionalFormatting>
  <conditionalFormatting sqref="AG544:AH544">
    <cfRule type="cellIs" dxfId="0" priority="11647" operator="equal">
      <formula>"未完成"</formula>
    </cfRule>
  </conditionalFormatting>
  <conditionalFormatting sqref="AL544:AM544">
    <cfRule type="cellIs" dxfId="1" priority="11512" operator="equal">
      <formula>"未完成"</formula>
    </cfRule>
    <cfRule type="cellIs" dxfId="0" priority="11539" operator="equal">
      <formula>"未完成"</formula>
    </cfRule>
  </conditionalFormatting>
  <conditionalFormatting sqref="R545">
    <cfRule type="cellIs" dxfId="0" priority="11619" operator="equal">
      <formula>"欠"</formula>
    </cfRule>
  </conditionalFormatting>
  <conditionalFormatting sqref="S545">
    <cfRule type="cellIs" dxfId="0" priority="11592" operator="equal">
      <formula>"欠"</formula>
    </cfRule>
  </conditionalFormatting>
  <conditionalFormatting sqref="AG545:AH545">
    <cfRule type="cellIs" dxfId="0" priority="11646" operator="equal">
      <formula>"未完成"</formula>
    </cfRule>
  </conditionalFormatting>
  <conditionalFormatting sqref="AL545:AM545">
    <cfRule type="cellIs" dxfId="1" priority="11511" operator="equal">
      <formula>"未完成"</formula>
    </cfRule>
    <cfRule type="cellIs" dxfId="0" priority="11538" operator="equal">
      <formula>"未完成"</formula>
    </cfRule>
  </conditionalFormatting>
  <conditionalFormatting sqref="R546">
    <cfRule type="cellIs" dxfId="0" priority="11618" operator="equal">
      <formula>"欠"</formula>
    </cfRule>
  </conditionalFormatting>
  <conditionalFormatting sqref="S546">
    <cfRule type="cellIs" dxfId="0" priority="11591" operator="equal">
      <formula>"欠"</formula>
    </cfRule>
  </conditionalFormatting>
  <conditionalFormatting sqref="T546:V546">
    <cfRule type="cellIs" dxfId="0" priority="11564" operator="equal">
      <formula>"欠"</formula>
    </cfRule>
  </conditionalFormatting>
  <conditionalFormatting sqref="T546:U546">
    <cfRule type="containsText" dxfId="0" priority="11483" operator="between" text="欠">
      <formula>NOT(ISERROR(SEARCH("欠",T546)))</formula>
    </cfRule>
  </conditionalFormatting>
  <conditionalFormatting sqref="AG546:AH546">
    <cfRule type="cellIs" dxfId="0" priority="11645" operator="equal">
      <formula>"未完成"</formula>
    </cfRule>
  </conditionalFormatting>
  <conditionalFormatting sqref="AL546:AM546">
    <cfRule type="cellIs" dxfId="1" priority="11510" operator="equal">
      <formula>"未完成"</formula>
    </cfRule>
    <cfRule type="cellIs" dxfId="0" priority="11537" operator="equal">
      <formula>"未完成"</formula>
    </cfRule>
  </conditionalFormatting>
  <conditionalFormatting sqref="R547">
    <cfRule type="cellIs" dxfId="0" priority="11617" operator="equal">
      <formula>"欠"</formula>
    </cfRule>
  </conditionalFormatting>
  <conditionalFormatting sqref="S547">
    <cfRule type="cellIs" dxfId="0" priority="11590" operator="equal">
      <formula>"欠"</formula>
    </cfRule>
  </conditionalFormatting>
  <conditionalFormatting sqref="T547:V547">
    <cfRule type="cellIs" dxfId="0" priority="11563" operator="equal">
      <formula>"欠"</formula>
    </cfRule>
  </conditionalFormatting>
  <conditionalFormatting sqref="T547:U547">
    <cfRule type="containsText" dxfId="0" priority="11482" operator="between" text="欠">
      <formula>NOT(ISERROR(SEARCH("欠",T547)))</formula>
    </cfRule>
  </conditionalFormatting>
  <conditionalFormatting sqref="AG547:AH547">
    <cfRule type="cellIs" dxfId="0" priority="11644" operator="equal">
      <formula>"未完成"</formula>
    </cfRule>
  </conditionalFormatting>
  <conditionalFormatting sqref="AL547:AM547">
    <cfRule type="cellIs" dxfId="1" priority="11509" operator="equal">
      <formula>"未完成"</formula>
    </cfRule>
    <cfRule type="cellIs" dxfId="0" priority="11536" operator="equal">
      <formula>"未完成"</formula>
    </cfRule>
  </conditionalFormatting>
  <conditionalFormatting sqref="R548">
    <cfRule type="cellIs" dxfId="0" priority="11616" operator="equal">
      <formula>"欠"</formula>
    </cfRule>
  </conditionalFormatting>
  <conditionalFormatting sqref="S548">
    <cfRule type="cellIs" dxfId="0" priority="11589" operator="equal">
      <formula>"欠"</formula>
    </cfRule>
  </conditionalFormatting>
  <conditionalFormatting sqref="T548:V548">
    <cfRule type="cellIs" dxfId="0" priority="11562" operator="equal">
      <formula>"欠"</formula>
    </cfRule>
  </conditionalFormatting>
  <conditionalFormatting sqref="T548:U548">
    <cfRule type="containsText" dxfId="0" priority="11481" operator="between" text="欠">
      <formula>NOT(ISERROR(SEARCH("欠",T548)))</formula>
    </cfRule>
  </conditionalFormatting>
  <conditionalFormatting sqref="AG548:AH548">
    <cfRule type="cellIs" dxfId="0" priority="11643" operator="equal">
      <formula>"未完成"</formula>
    </cfRule>
  </conditionalFormatting>
  <conditionalFormatting sqref="AL548:AM548">
    <cfRule type="cellIs" dxfId="1" priority="11508" operator="equal">
      <formula>"未完成"</formula>
    </cfRule>
    <cfRule type="cellIs" dxfId="0" priority="11535" operator="equal">
      <formula>"未完成"</formula>
    </cfRule>
  </conditionalFormatting>
  <conditionalFormatting sqref="R549">
    <cfRule type="cellIs" dxfId="0" priority="11615" operator="equal">
      <formula>"欠"</formula>
    </cfRule>
  </conditionalFormatting>
  <conditionalFormatting sqref="S549">
    <cfRule type="cellIs" dxfId="0" priority="11588" operator="equal">
      <formula>"欠"</formula>
    </cfRule>
  </conditionalFormatting>
  <conditionalFormatting sqref="T549:V549">
    <cfRule type="cellIs" dxfId="0" priority="11561" operator="equal">
      <formula>"欠"</formula>
    </cfRule>
  </conditionalFormatting>
  <conditionalFormatting sqref="T549:U549">
    <cfRule type="containsText" dxfId="0" priority="11480" operator="between" text="欠">
      <formula>NOT(ISERROR(SEARCH("欠",T549)))</formula>
    </cfRule>
  </conditionalFormatting>
  <conditionalFormatting sqref="AG549:AH549">
    <cfRule type="cellIs" dxfId="0" priority="11642" operator="equal">
      <formula>"未完成"</formula>
    </cfRule>
  </conditionalFormatting>
  <conditionalFormatting sqref="AL549:AM549">
    <cfRule type="cellIs" dxfId="1" priority="11507" operator="equal">
      <formula>"未完成"</formula>
    </cfRule>
    <cfRule type="cellIs" dxfId="0" priority="11534" operator="equal">
      <formula>"未完成"</formula>
    </cfRule>
  </conditionalFormatting>
  <conditionalFormatting sqref="R550">
    <cfRule type="cellIs" dxfId="0" priority="11614" operator="equal">
      <formula>"欠"</formula>
    </cfRule>
  </conditionalFormatting>
  <conditionalFormatting sqref="S550">
    <cfRule type="cellIs" dxfId="0" priority="11587" operator="equal">
      <formula>"欠"</formula>
    </cfRule>
  </conditionalFormatting>
  <conditionalFormatting sqref="T550:V550">
    <cfRule type="cellIs" dxfId="0" priority="11560" operator="equal">
      <formula>"欠"</formula>
    </cfRule>
  </conditionalFormatting>
  <conditionalFormatting sqref="T550:U550">
    <cfRule type="containsText" dxfId="0" priority="11479" operator="between" text="欠">
      <formula>NOT(ISERROR(SEARCH("欠",T550)))</formula>
    </cfRule>
  </conditionalFormatting>
  <conditionalFormatting sqref="AG550:AH550">
    <cfRule type="cellIs" dxfId="0" priority="11641" operator="equal">
      <formula>"未完成"</formula>
    </cfRule>
  </conditionalFormatting>
  <conditionalFormatting sqref="AL550:AM550">
    <cfRule type="cellIs" dxfId="1" priority="11506" operator="equal">
      <formula>"未完成"</formula>
    </cfRule>
    <cfRule type="cellIs" dxfId="0" priority="11533" operator="equal">
      <formula>"未完成"</formula>
    </cfRule>
  </conditionalFormatting>
  <conditionalFormatting sqref="R551">
    <cfRule type="cellIs" dxfId="0" priority="11613" operator="equal">
      <formula>"欠"</formula>
    </cfRule>
  </conditionalFormatting>
  <conditionalFormatting sqref="S551">
    <cfRule type="cellIs" dxfId="0" priority="11586" operator="equal">
      <formula>"欠"</formula>
    </cfRule>
  </conditionalFormatting>
  <conditionalFormatting sqref="T551:V551">
    <cfRule type="cellIs" dxfId="0" priority="11559" operator="equal">
      <formula>"欠"</formula>
    </cfRule>
  </conditionalFormatting>
  <conditionalFormatting sqref="T551:U551">
    <cfRule type="containsText" dxfId="0" priority="11478" operator="between" text="欠">
      <formula>NOT(ISERROR(SEARCH("欠",T551)))</formula>
    </cfRule>
  </conditionalFormatting>
  <conditionalFormatting sqref="AG551:AH551">
    <cfRule type="cellIs" dxfId="0" priority="11640" operator="equal">
      <formula>"未完成"</formula>
    </cfRule>
  </conditionalFormatting>
  <conditionalFormatting sqref="AL551:AM551">
    <cfRule type="cellIs" dxfId="1" priority="11505" operator="equal">
      <formula>"未完成"</formula>
    </cfRule>
    <cfRule type="cellIs" dxfId="0" priority="11532" operator="equal">
      <formula>"未完成"</formula>
    </cfRule>
  </conditionalFormatting>
  <conditionalFormatting sqref="R552">
    <cfRule type="cellIs" dxfId="0" priority="11612" operator="equal">
      <formula>"欠"</formula>
    </cfRule>
  </conditionalFormatting>
  <conditionalFormatting sqref="S552">
    <cfRule type="cellIs" dxfId="0" priority="11585" operator="equal">
      <formula>"欠"</formula>
    </cfRule>
  </conditionalFormatting>
  <conditionalFormatting sqref="T552:V552">
    <cfRule type="cellIs" dxfId="0" priority="11558" operator="equal">
      <formula>"欠"</formula>
    </cfRule>
  </conditionalFormatting>
  <conditionalFormatting sqref="T552:U552">
    <cfRule type="containsText" dxfId="0" priority="11477" operator="between" text="欠">
      <formula>NOT(ISERROR(SEARCH("欠",T552)))</formula>
    </cfRule>
  </conditionalFormatting>
  <conditionalFormatting sqref="AG552:AH552">
    <cfRule type="cellIs" dxfId="0" priority="11639" operator="equal">
      <formula>"未完成"</formula>
    </cfRule>
  </conditionalFormatting>
  <conditionalFormatting sqref="AL552:AM552">
    <cfRule type="cellIs" dxfId="1" priority="11504" operator="equal">
      <formula>"未完成"</formula>
    </cfRule>
    <cfRule type="cellIs" dxfId="0" priority="11531" operator="equal">
      <formula>"未完成"</formula>
    </cfRule>
  </conditionalFormatting>
  <conditionalFormatting sqref="R553">
    <cfRule type="cellIs" dxfId="0" priority="11611" operator="equal">
      <formula>"欠"</formula>
    </cfRule>
  </conditionalFormatting>
  <conditionalFormatting sqref="S553">
    <cfRule type="cellIs" dxfId="0" priority="11584" operator="equal">
      <formula>"欠"</formula>
    </cfRule>
  </conditionalFormatting>
  <conditionalFormatting sqref="T553:V553">
    <cfRule type="cellIs" dxfId="0" priority="11557" operator="equal">
      <formula>"欠"</formula>
    </cfRule>
  </conditionalFormatting>
  <conditionalFormatting sqref="T553:U553">
    <cfRule type="containsText" dxfId="0" priority="11476" operator="between" text="欠">
      <formula>NOT(ISERROR(SEARCH("欠",T553)))</formula>
    </cfRule>
  </conditionalFormatting>
  <conditionalFormatting sqref="AG553:AH553">
    <cfRule type="cellIs" dxfId="0" priority="11638" operator="equal">
      <formula>"未完成"</formula>
    </cfRule>
  </conditionalFormatting>
  <conditionalFormatting sqref="AL553:AM553">
    <cfRule type="cellIs" dxfId="1" priority="11503" operator="equal">
      <formula>"未完成"</formula>
    </cfRule>
    <cfRule type="cellIs" dxfId="0" priority="11530" operator="equal">
      <formula>"未完成"</formula>
    </cfRule>
  </conditionalFormatting>
  <conditionalFormatting sqref="R554">
    <cfRule type="cellIs" dxfId="0" priority="11610" operator="equal">
      <formula>"欠"</formula>
    </cfRule>
  </conditionalFormatting>
  <conditionalFormatting sqref="S554">
    <cfRule type="cellIs" dxfId="0" priority="11583" operator="equal">
      <formula>"欠"</formula>
    </cfRule>
  </conditionalFormatting>
  <conditionalFormatting sqref="T554:V554">
    <cfRule type="cellIs" dxfId="0" priority="11556" operator="equal">
      <formula>"欠"</formula>
    </cfRule>
  </conditionalFormatting>
  <conditionalFormatting sqref="T554:U554">
    <cfRule type="containsText" dxfId="0" priority="11475" operator="between" text="欠">
      <formula>NOT(ISERROR(SEARCH("欠",T554)))</formula>
    </cfRule>
  </conditionalFormatting>
  <conditionalFormatting sqref="AG554:AH554">
    <cfRule type="cellIs" dxfId="0" priority="11637" operator="equal">
      <formula>"未完成"</formula>
    </cfRule>
  </conditionalFormatting>
  <conditionalFormatting sqref="AL554:AM554">
    <cfRule type="cellIs" dxfId="1" priority="11502" operator="equal">
      <formula>"未完成"</formula>
    </cfRule>
    <cfRule type="cellIs" dxfId="0" priority="11529" operator="equal">
      <formula>"未完成"</formula>
    </cfRule>
  </conditionalFormatting>
  <conditionalFormatting sqref="R555">
    <cfRule type="cellIs" dxfId="0" priority="11609" operator="equal">
      <formula>"欠"</formula>
    </cfRule>
  </conditionalFormatting>
  <conditionalFormatting sqref="S555">
    <cfRule type="cellIs" dxfId="0" priority="11582" operator="equal">
      <formula>"欠"</formula>
    </cfRule>
  </conditionalFormatting>
  <conditionalFormatting sqref="T555:V555">
    <cfRule type="cellIs" dxfId="0" priority="11555" operator="equal">
      <formula>"欠"</formula>
    </cfRule>
  </conditionalFormatting>
  <conditionalFormatting sqref="T555:U555">
    <cfRule type="containsText" dxfId="0" priority="11474" operator="between" text="欠">
      <formula>NOT(ISERROR(SEARCH("欠",T555)))</formula>
    </cfRule>
  </conditionalFormatting>
  <conditionalFormatting sqref="AG555:AH555">
    <cfRule type="cellIs" dxfId="0" priority="11636" operator="equal">
      <formula>"未完成"</formula>
    </cfRule>
  </conditionalFormatting>
  <conditionalFormatting sqref="AL555:AM555">
    <cfRule type="cellIs" dxfId="1" priority="11501" operator="equal">
      <formula>"未完成"</formula>
    </cfRule>
    <cfRule type="cellIs" dxfId="0" priority="11528" operator="equal">
      <formula>"未完成"</formula>
    </cfRule>
  </conditionalFormatting>
  <conditionalFormatting sqref="R556">
    <cfRule type="cellIs" dxfId="0" priority="11608" operator="equal">
      <formula>"欠"</formula>
    </cfRule>
  </conditionalFormatting>
  <conditionalFormatting sqref="S556">
    <cfRule type="cellIs" dxfId="0" priority="11581" operator="equal">
      <formula>"欠"</formula>
    </cfRule>
  </conditionalFormatting>
  <conditionalFormatting sqref="T556:V556">
    <cfRule type="cellIs" dxfId="0" priority="11554" operator="equal">
      <formula>"欠"</formula>
    </cfRule>
  </conditionalFormatting>
  <conditionalFormatting sqref="T556:U556">
    <cfRule type="containsText" dxfId="0" priority="11473" operator="between" text="欠">
      <formula>NOT(ISERROR(SEARCH("欠",T556)))</formula>
    </cfRule>
  </conditionalFormatting>
  <conditionalFormatting sqref="AG556:AH556">
    <cfRule type="cellIs" dxfId="0" priority="11635" operator="equal">
      <formula>"未完成"</formula>
    </cfRule>
  </conditionalFormatting>
  <conditionalFormatting sqref="AL556:AM556">
    <cfRule type="cellIs" dxfId="1" priority="11500" operator="equal">
      <formula>"未完成"</formula>
    </cfRule>
    <cfRule type="cellIs" dxfId="0" priority="11527" operator="equal">
      <formula>"未完成"</formula>
    </cfRule>
  </conditionalFormatting>
  <conditionalFormatting sqref="R557">
    <cfRule type="cellIs" dxfId="0" priority="11607" operator="equal">
      <formula>"欠"</formula>
    </cfRule>
  </conditionalFormatting>
  <conditionalFormatting sqref="S557">
    <cfRule type="cellIs" dxfId="0" priority="11580" operator="equal">
      <formula>"欠"</formula>
    </cfRule>
  </conditionalFormatting>
  <conditionalFormatting sqref="T557:V557">
    <cfRule type="cellIs" dxfId="0" priority="11553" operator="equal">
      <formula>"欠"</formula>
    </cfRule>
  </conditionalFormatting>
  <conditionalFormatting sqref="T557:U557">
    <cfRule type="containsText" dxfId="0" priority="11472" operator="between" text="欠">
      <formula>NOT(ISERROR(SEARCH("欠",T557)))</formula>
    </cfRule>
  </conditionalFormatting>
  <conditionalFormatting sqref="AG557:AH557">
    <cfRule type="cellIs" dxfId="0" priority="11634" operator="equal">
      <formula>"未完成"</formula>
    </cfRule>
  </conditionalFormatting>
  <conditionalFormatting sqref="AL557:AM557">
    <cfRule type="cellIs" dxfId="1" priority="11499" operator="equal">
      <formula>"未完成"</formula>
    </cfRule>
    <cfRule type="cellIs" dxfId="0" priority="11526" operator="equal">
      <formula>"未完成"</formula>
    </cfRule>
  </conditionalFormatting>
  <conditionalFormatting sqref="AG570:AH570">
    <cfRule type="cellIs" dxfId="0" priority="15795" operator="equal">
      <formula>"未完成"</formula>
    </cfRule>
  </conditionalFormatting>
  <conditionalFormatting sqref="AL570:AM570">
    <cfRule type="cellIs" dxfId="1" priority="15796" operator="equal">
      <formula>"未完成"</formula>
    </cfRule>
    <cfRule type="cellIs" dxfId="0" priority="15797" operator="equal">
      <formula>"未完成"</formula>
    </cfRule>
  </conditionalFormatting>
  <conditionalFormatting sqref="AN570">
    <cfRule type="cellIs" dxfId="0" priority="15790" operator="equal">
      <formula>"欠"</formula>
    </cfRule>
  </conditionalFormatting>
  <conditionalFormatting sqref="AG571:AH571">
    <cfRule type="cellIs" dxfId="0" priority="15571" operator="equal">
      <formula>"未完成"</formula>
    </cfRule>
  </conditionalFormatting>
  <conditionalFormatting sqref="AL571:AM571">
    <cfRule type="cellIs" dxfId="1" priority="15572" operator="equal">
      <formula>"未完成"</formula>
    </cfRule>
    <cfRule type="cellIs" dxfId="0" priority="15573" operator="equal">
      <formula>"未完成"</formula>
    </cfRule>
  </conditionalFormatting>
  <conditionalFormatting sqref="AN571">
    <cfRule type="cellIs" dxfId="0" priority="15569" operator="equal">
      <formula>"欠"</formula>
    </cfRule>
  </conditionalFormatting>
  <conditionalFormatting sqref="AG574:AH574">
    <cfRule type="cellIs" dxfId="0" priority="12496" operator="equal">
      <formula>"未完成"</formula>
    </cfRule>
  </conditionalFormatting>
  <conditionalFormatting sqref="AL574:AM574">
    <cfRule type="cellIs" dxfId="1" priority="12493" operator="equal">
      <formula>"未完成"</formula>
    </cfRule>
    <cfRule type="cellIs" dxfId="0" priority="12494" operator="equal">
      <formula>"未完成"</formula>
    </cfRule>
  </conditionalFormatting>
  <conditionalFormatting sqref="AN574">
    <cfRule type="cellIs" dxfId="0" priority="12491" operator="equal">
      <formula>"欠"</formula>
    </cfRule>
  </conditionalFormatting>
  <conditionalFormatting sqref="AN575">
    <cfRule type="cellIs" dxfId="0" priority="12483" operator="equal">
      <formula>"欠"</formula>
    </cfRule>
  </conditionalFormatting>
  <conditionalFormatting sqref="AG576:AH576">
    <cfRule type="cellIs" dxfId="0" priority="12888" operator="equal">
      <formula>"未完成"</formula>
    </cfRule>
  </conditionalFormatting>
  <conditionalFormatting sqref="AL576:AM576">
    <cfRule type="cellIs" dxfId="1" priority="12884" operator="equal">
      <formula>"未完成"</formula>
    </cfRule>
    <cfRule type="cellIs" dxfId="0" priority="12885" operator="equal">
      <formula>"未完成"</formula>
    </cfRule>
  </conditionalFormatting>
  <conditionalFormatting sqref="AL581:AM581">
    <cfRule type="cellIs" dxfId="1" priority="17254" operator="equal">
      <formula>"未完成"</formula>
    </cfRule>
    <cfRule type="cellIs" dxfId="0" priority="17265" operator="equal">
      <formula>"未完成"</formula>
    </cfRule>
  </conditionalFormatting>
  <conditionalFormatting sqref="AG583:AH583">
    <cfRule type="cellIs" dxfId="0" priority="12877" operator="equal">
      <formula>"未完成"</formula>
    </cfRule>
  </conditionalFormatting>
  <conditionalFormatting sqref="AL583:AM583">
    <cfRule type="cellIs" dxfId="1" priority="12878" operator="equal">
      <formula>"未完成"</formula>
    </cfRule>
    <cfRule type="cellIs" dxfId="0" priority="12879" operator="equal">
      <formula>"未完成"</formula>
    </cfRule>
  </conditionalFormatting>
  <conditionalFormatting sqref="V588">
    <cfRule type="cellIs" dxfId="0" priority="11679" operator="equal">
      <formula>"欠"</formula>
    </cfRule>
  </conditionalFormatting>
  <conditionalFormatting sqref="Y588">
    <cfRule type="cellIs" dxfId="0" priority="11678" operator="equal">
      <formula>"欠"</formula>
    </cfRule>
  </conditionalFormatting>
  <conditionalFormatting sqref="AG589:AH589">
    <cfRule type="cellIs" dxfId="0" priority="17227" operator="equal">
      <formula>"未完成"</formula>
    </cfRule>
  </conditionalFormatting>
  <conditionalFormatting sqref="AL589:AM589">
    <cfRule type="cellIs" dxfId="1" priority="17249" operator="equal">
      <formula>"未完成"</formula>
    </cfRule>
    <cfRule type="cellIs" dxfId="0" priority="17260" operator="equal">
      <formula>"未完成"</formula>
    </cfRule>
  </conditionalFormatting>
  <conditionalFormatting sqref="AG592:AH592">
    <cfRule type="cellIs" dxfId="0" priority="12266" operator="equal">
      <formula>"未完成"</formula>
    </cfRule>
  </conditionalFormatting>
  <conditionalFormatting sqref="AL592:AM592">
    <cfRule type="cellIs" dxfId="1" priority="12267" operator="equal">
      <formula>"未完成"</formula>
    </cfRule>
    <cfRule type="cellIs" dxfId="0" priority="12268" operator="equal">
      <formula>"未完成"</formula>
    </cfRule>
  </conditionalFormatting>
  <conditionalFormatting sqref="R597">
    <cfRule type="cellIs" dxfId="0" priority="12072" operator="equal">
      <formula>"欠"</formula>
    </cfRule>
  </conditionalFormatting>
  <conditionalFormatting sqref="T597:U597">
    <cfRule type="containsText" dxfId="0" priority="12073" operator="between" text="欠">
      <formula>NOT(ISERROR(SEARCH("欠",T597)))</formula>
    </cfRule>
    <cfRule type="cellIs" dxfId="0" priority="12074" operator="equal">
      <formula>"欠"</formula>
    </cfRule>
  </conditionalFormatting>
  <conditionalFormatting sqref="V597">
    <cfRule type="cellIs" dxfId="0" priority="12068" operator="equal">
      <formula>"欠"</formula>
    </cfRule>
  </conditionalFormatting>
  <conditionalFormatting sqref="AG597:AH597">
    <cfRule type="cellIs" dxfId="0" priority="12069" operator="equal">
      <formula>"未完成"</formula>
    </cfRule>
  </conditionalFormatting>
  <conditionalFormatting sqref="AL597:AM597">
    <cfRule type="cellIs" dxfId="1" priority="12066" operator="equal">
      <formula>"未完成"</formula>
    </cfRule>
    <cfRule type="cellIs" dxfId="0" priority="12067" operator="equal">
      <formula>"未完成"</formula>
    </cfRule>
  </conditionalFormatting>
  <conditionalFormatting sqref="AN597">
    <cfRule type="cellIs" dxfId="0" priority="12070" operator="equal">
      <formula>"欠"</formula>
    </cfRule>
  </conditionalFormatting>
  <conditionalFormatting sqref="R604">
    <cfRule type="cellIs" dxfId="0" priority="11414" operator="equal">
      <formula>"欠"</formula>
    </cfRule>
  </conditionalFormatting>
  <conditionalFormatting sqref="S604">
    <cfRule type="cellIs" dxfId="0" priority="12080" operator="equal">
      <formula>"欠"</formula>
    </cfRule>
  </conditionalFormatting>
  <conditionalFormatting sqref="T604:U604">
    <cfRule type="cellIs" dxfId="0" priority="12075" operator="equal">
      <formula>"欠"</formula>
    </cfRule>
  </conditionalFormatting>
  <conditionalFormatting sqref="V604">
    <cfRule type="cellIs" dxfId="0" priority="12079" operator="equal">
      <formula>"欠"</formula>
    </cfRule>
  </conditionalFormatting>
  <conditionalFormatting sqref="AG604:AH604">
    <cfRule type="cellIs" dxfId="0" priority="12076" operator="equal">
      <formula>"未完成"</formula>
    </cfRule>
  </conditionalFormatting>
  <conditionalFormatting sqref="AL604:AM604">
    <cfRule type="cellIs" dxfId="1" priority="12077" operator="equal">
      <formula>"未完成"</formula>
    </cfRule>
    <cfRule type="cellIs" dxfId="0" priority="12078" operator="equal">
      <formula>"未完成"</formula>
    </cfRule>
  </conditionalFormatting>
  <conditionalFormatting sqref="AN604">
    <cfRule type="cellIs" dxfId="0" priority="12084" operator="equal">
      <formula>"欠"</formula>
    </cfRule>
  </conditionalFormatting>
  <conditionalFormatting sqref="T605:U605">
    <cfRule type="containsText" dxfId="0" priority="12063" operator="between" text="欠">
      <formula>NOT(ISERROR(SEARCH("欠",T605)))</formula>
    </cfRule>
    <cfRule type="cellIs" dxfId="0" priority="12064" operator="equal">
      <formula>"欠"</formula>
    </cfRule>
  </conditionalFormatting>
  <conditionalFormatting sqref="V605">
    <cfRule type="cellIs" dxfId="0" priority="12060" operator="equal">
      <formula>"欠"</formula>
    </cfRule>
  </conditionalFormatting>
  <conditionalFormatting sqref="AG605:AH605">
    <cfRule type="cellIs" dxfId="0" priority="12057" operator="equal">
      <formula>"未完成"</formula>
    </cfRule>
  </conditionalFormatting>
  <conditionalFormatting sqref="AL605:AM605">
    <cfRule type="cellIs" dxfId="1" priority="12058" operator="equal">
      <formula>"未完成"</formula>
    </cfRule>
    <cfRule type="cellIs" dxfId="0" priority="12059" operator="equal">
      <formula>"未完成"</formula>
    </cfRule>
  </conditionalFormatting>
  <conditionalFormatting sqref="AN605">
    <cfRule type="cellIs" dxfId="0" priority="12065" operator="equal">
      <formula>"欠"</formula>
    </cfRule>
  </conditionalFormatting>
  <conditionalFormatting sqref="V606">
    <cfRule type="cellIs" dxfId="0" priority="12033" operator="equal">
      <formula>"欠"</formula>
    </cfRule>
  </conditionalFormatting>
  <conditionalFormatting sqref="AG606:AH606">
    <cfRule type="cellIs" dxfId="0" priority="12030" operator="equal">
      <formula>"未完成"</formula>
    </cfRule>
  </conditionalFormatting>
  <conditionalFormatting sqref="AL606:AM606">
    <cfRule type="cellIs" dxfId="1" priority="12031" operator="equal">
      <formula>"未完成"</formula>
    </cfRule>
    <cfRule type="cellIs" dxfId="0" priority="12032" operator="equal">
      <formula>"未完成"</formula>
    </cfRule>
  </conditionalFormatting>
  <conditionalFormatting sqref="AN606">
    <cfRule type="cellIs" dxfId="0" priority="12038" operator="equal">
      <formula>"欠"</formula>
    </cfRule>
  </conditionalFormatting>
  <conditionalFormatting sqref="V607">
    <cfRule type="cellIs" dxfId="0" priority="12024" operator="equal">
      <formula>"欠"</formula>
    </cfRule>
  </conditionalFormatting>
  <conditionalFormatting sqref="AG607:AH607">
    <cfRule type="cellIs" dxfId="0" priority="12021" operator="equal">
      <formula>"未完成"</formula>
    </cfRule>
  </conditionalFormatting>
  <conditionalFormatting sqref="AL607:AM607">
    <cfRule type="cellIs" dxfId="1" priority="12022" operator="equal">
      <formula>"未完成"</formula>
    </cfRule>
    <cfRule type="cellIs" dxfId="0" priority="12023" operator="equal">
      <formula>"未完成"</formula>
    </cfRule>
  </conditionalFormatting>
  <conditionalFormatting sqref="R608">
    <cfRule type="cellIs" dxfId="0" priority="17123" operator="equal">
      <formula>"欠"</formula>
    </cfRule>
  </conditionalFormatting>
  <conditionalFormatting sqref="AG608:AH608">
    <cfRule type="cellIs" dxfId="0" priority="17235" operator="equal">
      <formula>"未完成"</formula>
    </cfRule>
  </conditionalFormatting>
  <conditionalFormatting sqref="AL608:AM608">
    <cfRule type="cellIs" dxfId="1" priority="17257" operator="equal">
      <formula>"未完成"</formula>
    </cfRule>
    <cfRule type="cellIs" dxfId="0" priority="17268" operator="equal">
      <formula>"未完成"</formula>
    </cfRule>
  </conditionalFormatting>
  <conditionalFormatting sqref="V620">
    <cfRule type="cellIs" dxfId="0" priority="12051" operator="equal">
      <formula>"欠"</formula>
    </cfRule>
  </conditionalFormatting>
  <conditionalFormatting sqref="AG620:AH620">
    <cfRule type="cellIs" dxfId="0" priority="12052" operator="equal">
      <formula>"未完成"</formula>
    </cfRule>
  </conditionalFormatting>
  <conditionalFormatting sqref="AL620:AM620">
    <cfRule type="cellIs" dxfId="1" priority="12053" operator="equal">
      <formula>"未完成"</formula>
    </cfRule>
    <cfRule type="cellIs" dxfId="0" priority="12054" operator="equal">
      <formula>"未完成"</formula>
    </cfRule>
  </conditionalFormatting>
  <conditionalFormatting sqref="AN620">
    <cfRule type="cellIs" dxfId="0" priority="12050" operator="equal">
      <formula>"欠"</formula>
    </cfRule>
  </conditionalFormatting>
  <conditionalFormatting sqref="AG638:AH638">
    <cfRule type="cellIs" dxfId="0" priority="11860" operator="equal">
      <formula>"未完成"</formula>
    </cfRule>
  </conditionalFormatting>
  <conditionalFormatting sqref="AL638:AM638">
    <cfRule type="cellIs" dxfId="1" priority="11861" operator="equal">
      <formula>"未完成"</formula>
    </cfRule>
    <cfRule type="cellIs" dxfId="0" priority="11862" operator="equal">
      <formula>"未完成"</formula>
    </cfRule>
  </conditionalFormatting>
  <conditionalFormatting sqref="AN638">
    <cfRule type="cellIs" dxfId="0" priority="11863" operator="equal">
      <formula>"欠"</formula>
    </cfRule>
  </conditionalFormatting>
  <conditionalFormatting sqref="R642:V642">
    <cfRule type="cellIs" dxfId="0" priority="11668" operator="equal">
      <formula>"欠"</formula>
    </cfRule>
  </conditionalFormatting>
  <conditionalFormatting sqref="T642:U642">
    <cfRule type="containsText" dxfId="0" priority="11667" operator="between" text="欠">
      <formula>NOT(ISERROR(SEARCH("欠",T642)))</formula>
    </cfRule>
  </conditionalFormatting>
  <conditionalFormatting sqref="AG642:AH642">
    <cfRule type="cellIs" dxfId="0" priority="11669" operator="equal">
      <formula>"未完成"</formula>
    </cfRule>
  </conditionalFormatting>
  <conditionalFormatting sqref="AL642:AM642">
    <cfRule type="cellIs" dxfId="1" priority="11670" operator="equal">
      <formula>"未完成"</formula>
    </cfRule>
    <cfRule type="cellIs" dxfId="0" priority="11671" operator="equal">
      <formula>"未完成"</formula>
    </cfRule>
  </conditionalFormatting>
  <conditionalFormatting sqref="AN642">
    <cfRule type="cellIs" dxfId="0" priority="11672" operator="equal">
      <formula>"欠"</formula>
    </cfRule>
  </conditionalFormatting>
  <conditionalFormatting sqref="AG654:AH654">
    <cfRule type="cellIs" dxfId="0" priority="11432" operator="equal">
      <formula>"未完成"</formula>
    </cfRule>
  </conditionalFormatting>
  <conditionalFormatting sqref="AL654:AM654">
    <cfRule type="cellIs" dxfId="1" priority="11436" operator="equal">
      <formula>"未完成"</formula>
    </cfRule>
    <cfRule type="cellIs" dxfId="0" priority="11440" operator="equal">
      <formula>"未完成"</formula>
    </cfRule>
  </conditionalFormatting>
  <conditionalFormatting sqref="AN654">
    <cfRule type="cellIs" dxfId="0" priority="11444" operator="equal">
      <formula>"欠"</formula>
    </cfRule>
  </conditionalFormatting>
  <conditionalFormatting sqref="R658">
    <cfRule type="cellIs" dxfId="0" priority="11381" operator="equal">
      <formula>"欠"</formula>
    </cfRule>
  </conditionalFormatting>
  <conditionalFormatting sqref="S658">
    <cfRule type="cellIs" dxfId="0" priority="11380" operator="equal">
      <formula>"欠"</formula>
    </cfRule>
  </conditionalFormatting>
  <conditionalFormatting sqref="T659:U659">
    <cfRule type="cellIs" dxfId="0" priority="11210" operator="equal">
      <formula>"欠"</formula>
    </cfRule>
  </conditionalFormatting>
  <conditionalFormatting sqref="T663:U663">
    <cfRule type="containsText" dxfId="0" priority="11334" operator="between" text="欠">
      <formula>NOT(ISERROR(SEARCH("欠",T663)))</formula>
    </cfRule>
  </conditionalFormatting>
  <conditionalFormatting sqref="AG663:AH663">
    <cfRule type="cellIs" dxfId="0" priority="11339" operator="equal">
      <formula>"未完成"</formula>
    </cfRule>
  </conditionalFormatting>
  <conditionalFormatting sqref="AL663:AM663">
    <cfRule type="cellIs" dxfId="1" priority="11340" operator="equal">
      <formula>"未完成"</formula>
    </cfRule>
    <cfRule type="cellIs" dxfId="0" priority="11341" operator="equal">
      <formula>"未完成"</formula>
    </cfRule>
  </conditionalFormatting>
  <conditionalFormatting sqref="R669">
    <cfRule type="containsText" dxfId="0" priority="11057" operator="between" text="欠">
      <formula>NOT(ISERROR(SEARCH("欠",R669)))</formula>
    </cfRule>
  </conditionalFormatting>
  <conditionalFormatting sqref="S669">
    <cfRule type="cellIs" dxfId="0" priority="11056" operator="equal">
      <formula>"欠"</formula>
    </cfRule>
  </conditionalFormatting>
  <conditionalFormatting sqref="T669:U669">
    <cfRule type="containsText" dxfId="0" priority="11053" operator="between" text="欠">
      <formula>NOT(ISERROR(SEARCH("欠",T669)))</formula>
    </cfRule>
    <cfRule type="cellIs" dxfId="0" priority="11055" operator="equal">
      <formula>"欠"</formula>
    </cfRule>
  </conditionalFormatting>
  <conditionalFormatting sqref="AG669:AH669">
    <cfRule type="cellIs" dxfId="0" priority="11060" operator="equal">
      <formula>"未完成"</formula>
    </cfRule>
  </conditionalFormatting>
  <conditionalFormatting sqref="AL669:AM669">
    <cfRule type="cellIs" dxfId="1" priority="11061" operator="equal">
      <formula>"未完成"</formula>
    </cfRule>
    <cfRule type="cellIs" dxfId="0" priority="11062" operator="equal">
      <formula>"未完成"</formula>
    </cfRule>
  </conditionalFormatting>
  <conditionalFormatting sqref="AN669">
    <cfRule type="cellIs" dxfId="0" priority="11059" operator="equal">
      <formula>"欠"</formula>
    </cfRule>
  </conditionalFormatting>
  <conditionalFormatting sqref="AG680:AH680">
    <cfRule type="cellIs" dxfId="0" priority="12276" operator="equal">
      <formula>"未完成"</formula>
    </cfRule>
  </conditionalFormatting>
  <conditionalFormatting sqref="AN680">
    <cfRule type="cellIs" dxfId="0" priority="12282" operator="equal">
      <formula>"欠"</formula>
    </cfRule>
  </conditionalFormatting>
  <conditionalFormatting sqref="AG681:AH681">
    <cfRule type="cellIs" dxfId="0" priority="12275" operator="equal">
      <formula>"未完成"</formula>
    </cfRule>
  </conditionalFormatting>
  <conditionalFormatting sqref="AN681">
    <cfRule type="cellIs" dxfId="0" priority="12281" operator="equal">
      <formula>"欠"</formula>
    </cfRule>
  </conditionalFormatting>
  <conditionalFormatting sqref="R682">
    <cfRule type="cellIs" dxfId="0" priority="12087" operator="equal">
      <formula>"欠"</formula>
    </cfRule>
  </conditionalFormatting>
  <conditionalFormatting sqref="V682">
    <cfRule type="cellIs" dxfId="0" priority="12088" operator="equal">
      <formula>"欠"</formula>
    </cfRule>
  </conditionalFormatting>
  <conditionalFormatting sqref="AG682:AH682">
    <cfRule type="cellIs" dxfId="0" priority="12089" operator="equal">
      <formula>"未完成"</formula>
    </cfRule>
  </conditionalFormatting>
  <conditionalFormatting sqref="AL682:AM682">
    <cfRule type="cellIs" dxfId="1" priority="12091" operator="equal">
      <formula>"未完成"</formula>
    </cfRule>
    <cfRule type="cellIs" dxfId="0" priority="12092" operator="equal">
      <formula>"未完成"</formula>
    </cfRule>
  </conditionalFormatting>
  <conditionalFormatting sqref="AN682">
    <cfRule type="cellIs" dxfId="0" priority="12090" operator="equal">
      <formula>"欠"</formula>
    </cfRule>
  </conditionalFormatting>
  <conditionalFormatting sqref="AN683">
    <cfRule type="cellIs" dxfId="0" priority="11853" operator="equal">
      <formula>"欠"</formula>
    </cfRule>
  </conditionalFormatting>
  <conditionalFormatting sqref="R691:V691">
    <cfRule type="cellIs" dxfId="0" priority="11312" operator="equal">
      <formula>"欠"</formula>
    </cfRule>
  </conditionalFormatting>
  <conditionalFormatting sqref="T691:U691">
    <cfRule type="containsText" dxfId="0" priority="11311" operator="between" text="欠">
      <formula>NOT(ISERROR(SEARCH("欠",T691)))</formula>
    </cfRule>
  </conditionalFormatting>
  <conditionalFormatting sqref="AG691:AH691">
    <cfRule type="cellIs" dxfId="0" priority="11313" operator="equal">
      <formula>"未完成"</formula>
    </cfRule>
  </conditionalFormatting>
  <conditionalFormatting sqref="AL691:AM691">
    <cfRule type="cellIs" dxfId="1" priority="11314" operator="equal">
      <formula>"未完成"</formula>
    </cfRule>
    <cfRule type="cellIs" dxfId="0" priority="11315" operator="equal">
      <formula>"未完成"</formula>
    </cfRule>
  </conditionalFormatting>
  <conditionalFormatting sqref="AN691">
    <cfRule type="cellIs" dxfId="0" priority="11316" operator="equal">
      <formula>"欠"</formula>
    </cfRule>
  </conditionalFormatting>
  <conditionalFormatting sqref="T697:U697">
    <cfRule type="containsText" dxfId="0" priority="11661" operator="between" text="欠">
      <formula>NOT(ISERROR(SEARCH("欠",T697)))</formula>
    </cfRule>
  </conditionalFormatting>
  <conditionalFormatting sqref="AG697:AH697">
    <cfRule type="cellIs" dxfId="0" priority="11663" operator="equal">
      <formula>"未完成"</formula>
    </cfRule>
  </conditionalFormatting>
  <conditionalFormatting sqref="AL697:AM697">
    <cfRule type="cellIs" dxfId="1" priority="11664" operator="equal">
      <formula>"未完成"</formula>
    </cfRule>
    <cfRule type="cellIs" dxfId="0" priority="11665" operator="equal">
      <formula>"未完成"</formula>
    </cfRule>
  </conditionalFormatting>
  <conditionalFormatting sqref="AN697">
    <cfRule type="cellIs" dxfId="0" priority="11666" operator="equal">
      <formula>"欠"</formula>
    </cfRule>
  </conditionalFormatting>
  <conditionalFormatting sqref="AN712">
    <cfRule type="cellIs" dxfId="0" priority="11289" operator="equal">
      <formula>"欠"</formula>
    </cfRule>
  </conditionalFormatting>
  <conditionalFormatting sqref="T719:U719">
    <cfRule type="containsText" dxfId="0" priority="11327" operator="between" text="欠">
      <formula>NOT(ISERROR(SEARCH("欠",T719)))</formula>
    </cfRule>
  </conditionalFormatting>
  <conditionalFormatting sqref="AG719:AH719">
    <cfRule type="cellIs" dxfId="0" priority="11329" operator="equal">
      <formula>"未完成"</formula>
    </cfRule>
  </conditionalFormatting>
  <conditionalFormatting sqref="AL719:AM719">
    <cfRule type="cellIs" dxfId="1" priority="11330" operator="equal">
      <formula>"未完成"</formula>
    </cfRule>
    <cfRule type="cellIs" dxfId="0" priority="11331" operator="equal">
      <formula>"未完成"</formula>
    </cfRule>
  </conditionalFormatting>
  <conditionalFormatting sqref="AN719">
    <cfRule type="cellIs" dxfId="0" priority="11332" operator="equal">
      <formula>"欠"</formula>
    </cfRule>
  </conditionalFormatting>
  <conditionalFormatting sqref="AJ721">
    <cfRule type="cellIs" dxfId="0" priority="11277" operator="equal">
      <formula>"未完成"</formula>
    </cfRule>
  </conditionalFormatting>
  <conditionalFormatting sqref="R723">
    <cfRule type="containsText" dxfId="0" priority="11406" operator="between" text="欠">
      <formula>NOT(ISERROR(SEARCH("欠",R723)))</formula>
    </cfRule>
  </conditionalFormatting>
  <conditionalFormatting sqref="AG723:AH723">
    <cfRule type="cellIs" dxfId="0" priority="11409" operator="equal">
      <formula>"未完成"</formula>
    </cfRule>
  </conditionalFormatting>
  <conditionalFormatting sqref="AL723:AM723">
    <cfRule type="cellIs" dxfId="1" priority="11410" operator="equal">
      <formula>"未完成"</formula>
    </cfRule>
    <cfRule type="cellIs" dxfId="0" priority="11411" operator="equal">
      <formula>"未完成"</formula>
    </cfRule>
  </conditionalFormatting>
  <conditionalFormatting sqref="V727">
    <cfRule type="cellIs" dxfId="0" priority="11345" operator="equal">
      <formula>"欠"</formula>
    </cfRule>
  </conditionalFormatting>
  <conditionalFormatting sqref="AG727:AH727">
    <cfRule type="cellIs" dxfId="0" priority="11346" operator="equal">
      <formula>"未完成"</formula>
    </cfRule>
  </conditionalFormatting>
  <conditionalFormatting sqref="AL727:AM727">
    <cfRule type="cellIs" dxfId="1" priority="11347" operator="equal">
      <formula>"未完成"</formula>
    </cfRule>
    <cfRule type="cellIs" dxfId="0" priority="11348" operator="equal">
      <formula>"未完成"</formula>
    </cfRule>
  </conditionalFormatting>
  <conditionalFormatting sqref="AN727">
    <cfRule type="cellIs" dxfId="0" priority="11349" operator="equal">
      <formula>"欠"</formula>
    </cfRule>
  </conditionalFormatting>
  <conditionalFormatting sqref="V730">
    <cfRule type="cellIs" dxfId="0" priority="11320" operator="equal">
      <formula>"欠"</formula>
    </cfRule>
  </conditionalFormatting>
  <conditionalFormatting sqref="AG730:AH730">
    <cfRule type="cellIs" dxfId="0" priority="11321" operator="equal">
      <formula>"未完成"</formula>
    </cfRule>
  </conditionalFormatting>
  <conditionalFormatting sqref="AL730:AM730">
    <cfRule type="cellIs" dxfId="1" priority="11322" operator="equal">
      <formula>"未完成"</formula>
    </cfRule>
    <cfRule type="cellIs" dxfId="0" priority="11323" operator="equal">
      <formula>"未完成"</formula>
    </cfRule>
  </conditionalFormatting>
  <conditionalFormatting sqref="AN730">
    <cfRule type="cellIs" dxfId="0" priority="11324" operator="equal">
      <formula>"欠"</formula>
    </cfRule>
  </conditionalFormatting>
  <conditionalFormatting sqref="AN736">
    <cfRule type="cellIs" dxfId="0" priority="11254" operator="equal">
      <formula>"欠"</formula>
    </cfRule>
  </conditionalFormatting>
  <conditionalFormatting sqref="R740">
    <cfRule type="containsText" dxfId="0" priority="11218" operator="between" text="欠">
      <formula>NOT(ISERROR(SEARCH("欠",R740)))</formula>
    </cfRule>
    <cfRule type="cellIs" dxfId="0" priority="11219" operator="equal">
      <formula>"欠"</formula>
    </cfRule>
  </conditionalFormatting>
  <conditionalFormatting sqref="AN743">
    <cfRule type="cellIs" dxfId="0" priority="17380" operator="equal">
      <formula>"欠"</formula>
    </cfRule>
  </conditionalFormatting>
  <conditionalFormatting sqref="S747">
    <cfRule type="cellIs" dxfId="0" priority="10654" operator="equal">
      <formula>"欠"</formula>
    </cfRule>
  </conditionalFormatting>
  <conditionalFormatting sqref="S750">
    <cfRule type="cellIs" dxfId="0" priority="11265" operator="equal">
      <formula>"欠"</formula>
    </cfRule>
  </conditionalFormatting>
  <conditionalFormatting sqref="T750:U750">
    <cfRule type="cellIs" dxfId="0" priority="11266" operator="equal">
      <formula>"欠"</formula>
    </cfRule>
  </conditionalFormatting>
  <conditionalFormatting sqref="R761">
    <cfRule type="containsText" dxfId="0" priority="10438" operator="between" text="欠">
      <formula>NOT(ISERROR(SEARCH("欠",R761)))</formula>
    </cfRule>
    <cfRule type="cellIs" dxfId="0" priority="10439" operator="equal">
      <formula>"欠"</formula>
    </cfRule>
  </conditionalFormatting>
  <conditionalFormatting sqref="S765">
    <cfRule type="containsText" dxfId="0" priority="10498" operator="between" text="欠">
      <formula>NOT(ISERROR(SEARCH("欠",S765)))</formula>
    </cfRule>
    <cfRule type="cellIs" dxfId="0" priority="10499" operator="equal">
      <formula>"欠"</formula>
    </cfRule>
  </conditionalFormatting>
  <conditionalFormatting sqref="T765:U765">
    <cfRule type="cellIs" dxfId="0" priority="10447" operator="equal">
      <formula>"欠"</formula>
    </cfRule>
  </conditionalFormatting>
  <conditionalFormatting sqref="R766:S766">
    <cfRule type="cellIs" dxfId="0" priority="10437" operator="equal">
      <formula>"欠"</formula>
    </cfRule>
  </conditionalFormatting>
  <conditionalFormatting sqref="R766">
    <cfRule type="containsText" dxfId="0" priority="10432" operator="between" text="欠">
      <formula>NOT(ISERROR(SEARCH("欠",R766)))</formula>
    </cfRule>
  </conditionalFormatting>
  <conditionalFormatting sqref="T766:U766">
    <cfRule type="cellIs" dxfId="0" priority="10431" operator="equal">
      <formula>"欠"</formula>
    </cfRule>
  </conditionalFormatting>
  <conditionalFormatting sqref="V766">
    <cfRule type="cellIs" dxfId="0" priority="10433" operator="equal">
      <formula>"欠"</formula>
    </cfRule>
  </conditionalFormatting>
  <conditionalFormatting sqref="AG766:AH766">
    <cfRule type="cellIs" dxfId="0" priority="10434" operator="equal">
      <formula>"未完成"</formula>
    </cfRule>
  </conditionalFormatting>
  <conditionalFormatting sqref="AL766:AM766">
    <cfRule type="cellIs" dxfId="1" priority="10435" operator="equal">
      <formula>"未完成"</formula>
    </cfRule>
    <cfRule type="cellIs" dxfId="0" priority="10436" operator="equal">
      <formula>"未完成"</formula>
    </cfRule>
  </conditionalFormatting>
  <conditionalFormatting sqref="AN766">
    <cfRule type="cellIs" dxfId="0" priority="10502" operator="equal">
      <formula>"欠"</formula>
    </cfRule>
  </conditionalFormatting>
  <conditionalFormatting sqref="R772">
    <cfRule type="containsText" dxfId="0" priority="10445" operator="between" text="欠">
      <formula>NOT(ISERROR(SEARCH("欠",R772)))</formula>
    </cfRule>
    <cfRule type="cellIs" dxfId="0" priority="10446" operator="equal">
      <formula>"欠"</formula>
    </cfRule>
  </conditionalFormatting>
  <conditionalFormatting sqref="T772:V772">
    <cfRule type="cellIs" dxfId="0" priority="10441" operator="equal">
      <formula>"欠"</formula>
    </cfRule>
  </conditionalFormatting>
  <conditionalFormatting sqref="T772:U772">
    <cfRule type="containsText" dxfId="0" priority="10440" operator="between" text="欠">
      <formula>NOT(ISERROR(SEARCH("欠",T772)))</formula>
    </cfRule>
  </conditionalFormatting>
  <conditionalFormatting sqref="AG772:AH772">
    <cfRule type="cellIs" dxfId="0" priority="10442" operator="equal">
      <formula>"未完成"</formula>
    </cfRule>
  </conditionalFormatting>
  <conditionalFormatting sqref="AL772:AM772">
    <cfRule type="cellIs" dxfId="1" priority="10443" operator="equal">
      <formula>"未完成"</formula>
    </cfRule>
    <cfRule type="cellIs" dxfId="0" priority="10444" operator="equal">
      <formula>"未完成"</formula>
    </cfRule>
  </conditionalFormatting>
  <conditionalFormatting sqref="R776">
    <cfRule type="containsText" dxfId="0" priority="10418" operator="between" text="欠">
      <formula>NOT(ISERROR(SEARCH("欠",R776)))</formula>
    </cfRule>
    <cfRule type="cellIs" dxfId="0" priority="10422" operator="equal">
      <formula>"欠"</formula>
    </cfRule>
  </conditionalFormatting>
  <conditionalFormatting sqref="S776">
    <cfRule type="cellIs" dxfId="0" priority="10430" operator="equal">
      <formula>"欠"</formula>
    </cfRule>
  </conditionalFormatting>
  <conditionalFormatting sqref="T776:V776">
    <cfRule type="cellIs" dxfId="0" priority="10402" operator="equal">
      <formula>"欠"</formula>
    </cfRule>
  </conditionalFormatting>
  <conditionalFormatting sqref="T776:U776">
    <cfRule type="containsText" dxfId="0" priority="10398" operator="between" text="欠">
      <formula>NOT(ISERROR(SEARCH("欠",T776)))</formula>
    </cfRule>
  </conditionalFormatting>
  <conditionalFormatting sqref="AG776:AH776">
    <cfRule type="cellIs" dxfId="0" priority="10406" operator="equal">
      <formula>"未完成"</formula>
    </cfRule>
  </conditionalFormatting>
  <conditionalFormatting sqref="AJ776">
    <cfRule type="cellIs" dxfId="0" priority="10426" operator="equal">
      <formula>"未完成"</formula>
    </cfRule>
  </conditionalFormatting>
  <conditionalFormatting sqref="AL776:AM776">
    <cfRule type="cellIs" dxfId="1" priority="10410" operator="equal">
      <formula>"未完成"</formula>
    </cfRule>
    <cfRule type="cellIs" dxfId="0" priority="10414" operator="equal">
      <formula>"未完成"</formula>
    </cfRule>
  </conditionalFormatting>
  <conditionalFormatting sqref="R777">
    <cfRule type="containsText" dxfId="0" priority="10417" operator="between" text="欠">
      <formula>NOT(ISERROR(SEARCH("欠",R777)))</formula>
    </cfRule>
    <cfRule type="cellIs" dxfId="0" priority="10421" operator="equal">
      <formula>"欠"</formula>
    </cfRule>
  </conditionalFormatting>
  <conditionalFormatting sqref="S777">
    <cfRule type="cellIs" dxfId="0" priority="10429" operator="equal">
      <formula>"欠"</formula>
    </cfRule>
  </conditionalFormatting>
  <conditionalFormatting sqref="T777:V777">
    <cfRule type="cellIs" dxfId="0" priority="10401" operator="equal">
      <formula>"欠"</formula>
    </cfRule>
  </conditionalFormatting>
  <conditionalFormatting sqref="T777:U777">
    <cfRule type="containsText" dxfId="0" priority="10397" operator="between" text="欠">
      <formula>NOT(ISERROR(SEARCH("欠",T777)))</formula>
    </cfRule>
  </conditionalFormatting>
  <conditionalFormatting sqref="AG777:AH777">
    <cfRule type="cellIs" dxfId="0" priority="10405" operator="equal">
      <formula>"未完成"</formula>
    </cfRule>
  </conditionalFormatting>
  <conditionalFormatting sqref="AJ777">
    <cfRule type="cellIs" dxfId="0" priority="10425" operator="equal">
      <formula>"未完成"</formula>
    </cfRule>
  </conditionalFormatting>
  <conditionalFormatting sqref="AL777:AM777">
    <cfRule type="cellIs" dxfId="1" priority="10409" operator="equal">
      <formula>"未完成"</formula>
    </cfRule>
    <cfRule type="cellIs" dxfId="0" priority="10413" operator="equal">
      <formula>"未完成"</formula>
    </cfRule>
  </conditionalFormatting>
  <conditionalFormatting sqref="R778">
    <cfRule type="containsText" dxfId="0" priority="10416" operator="between" text="欠">
      <formula>NOT(ISERROR(SEARCH("欠",R778)))</formula>
    </cfRule>
    <cfRule type="cellIs" dxfId="0" priority="10420" operator="equal">
      <formula>"欠"</formula>
    </cfRule>
  </conditionalFormatting>
  <conditionalFormatting sqref="S778">
    <cfRule type="cellIs" dxfId="0" priority="10428" operator="equal">
      <formula>"欠"</formula>
    </cfRule>
  </conditionalFormatting>
  <conditionalFormatting sqref="T778:V778">
    <cfRule type="cellIs" dxfId="0" priority="10400" operator="equal">
      <formula>"欠"</formula>
    </cfRule>
  </conditionalFormatting>
  <conditionalFormatting sqref="T778:U778">
    <cfRule type="containsText" dxfId="0" priority="10396" operator="between" text="欠">
      <formula>NOT(ISERROR(SEARCH("欠",T778)))</formula>
    </cfRule>
  </conditionalFormatting>
  <conditionalFormatting sqref="AG778:AH778">
    <cfRule type="cellIs" dxfId="0" priority="10404" operator="equal">
      <formula>"未完成"</formula>
    </cfRule>
  </conditionalFormatting>
  <conditionalFormatting sqref="AJ778">
    <cfRule type="cellIs" dxfId="0" priority="10424" operator="equal">
      <formula>"未完成"</formula>
    </cfRule>
  </conditionalFormatting>
  <conditionalFormatting sqref="AL778:AM778">
    <cfRule type="cellIs" dxfId="1" priority="10408" operator="equal">
      <formula>"未完成"</formula>
    </cfRule>
    <cfRule type="cellIs" dxfId="0" priority="10412" operator="equal">
      <formula>"未完成"</formula>
    </cfRule>
  </conditionalFormatting>
  <conditionalFormatting sqref="R779">
    <cfRule type="containsText" dxfId="0" priority="10415" operator="between" text="欠">
      <formula>NOT(ISERROR(SEARCH("欠",R779)))</formula>
    </cfRule>
    <cfRule type="cellIs" dxfId="0" priority="10419" operator="equal">
      <formula>"欠"</formula>
    </cfRule>
  </conditionalFormatting>
  <conditionalFormatting sqref="S779">
    <cfRule type="cellIs" dxfId="0" priority="10427" operator="equal">
      <formula>"欠"</formula>
    </cfRule>
  </conditionalFormatting>
  <conditionalFormatting sqref="T779:V779">
    <cfRule type="cellIs" dxfId="0" priority="10399" operator="equal">
      <formula>"欠"</formula>
    </cfRule>
  </conditionalFormatting>
  <conditionalFormatting sqref="T779:U779">
    <cfRule type="containsText" dxfId="0" priority="10395" operator="between" text="欠">
      <formula>NOT(ISERROR(SEARCH("欠",T779)))</formula>
    </cfRule>
  </conditionalFormatting>
  <conditionalFormatting sqref="AG779:AH779">
    <cfRule type="cellIs" dxfId="0" priority="10403" operator="equal">
      <formula>"未完成"</formula>
    </cfRule>
  </conditionalFormatting>
  <conditionalFormatting sqref="AJ779">
    <cfRule type="cellIs" dxfId="0" priority="10423" operator="equal">
      <formula>"未完成"</formula>
    </cfRule>
  </conditionalFormatting>
  <conditionalFormatting sqref="AL779:AM779">
    <cfRule type="cellIs" dxfId="1" priority="10407" operator="equal">
      <formula>"未完成"</formula>
    </cfRule>
    <cfRule type="cellIs" dxfId="0" priority="10411" operator="equal">
      <formula>"未完成"</formula>
    </cfRule>
  </conditionalFormatting>
  <conditionalFormatting sqref="R780">
    <cfRule type="cellIs" dxfId="0" priority="11397" operator="equal">
      <formula>"欠"</formula>
    </cfRule>
  </conditionalFormatting>
  <conditionalFormatting sqref="T780:U780">
    <cfRule type="containsText" dxfId="0" priority="11391" operator="between" text="欠">
      <formula>NOT(ISERROR(SEARCH("欠",T780)))</formula>
    </cfRule>
  </conditionalFormatting>
  <conditionalFormatting sqref="T780:V780">
    <cfRule type="cellIs" dxfId="0" priority="11392" operator="equal">
      <formula>"欠"</formula>
    </cfRule>
  </conditionalFormatting>
  <conditionalFormatting sqref="AG780:AH780">
    <cfRule type="cellIs" dxfId="0" priority="11393" operator="equal">
      <formula>"未完成"</formula>
    </cfRule>
  </conditionalFormatting>
  <conditionalFormatting sqref="AL780:AM780">
    <cfRule type="cellIs" dxfId="1" priority="11394" operator="equal">
      <formula>"未完成"</formula>
    </cfRule>
    <cfRule type="cellIs" dxfId="0" priority="11395" operator="equal">
      <formula>"未完成"</formula>
    </cfRule>
  </conditionalFormatting>
  <conditionalFormatting sqref="AN780">
    <cfRule type="cellIs" dxfId="0" priority="11396" operator="equal">
      <formula>"欠"</formula>
    </cfRule>
  </conditionalFormatting>
  <conditionalFormatting sqref="R781">
    <cfRule type="containsText" dxfId="0" priority="10335" operator="between" text="欠">
      <formula>NOT(ISERROR(SEARCH("欠",R781)))</formula>
    </cfRule>
    <cfRule type="cellIs" dxfId="0" priority="10336" operator="equal">
      <formula>"欠"</formula>
    </cfRule>
  </conditionalFormatting>
  <conditionalFormatting sqref="S781">
    <cfRule type="cellIs" dxfId="0" priority="10344" operator="equal">
      <formula>"欠"</formula>
    </cfRule>
  </conditionalFormatting>
  <conditionalFormatting sqref="T781:U781">
    <cfRule type="containsText" dxfId="0" priority="10333" operator="between" text="欠">
      <formula>NOT(ISERROR(SEARCH("欠",T781)))</formula>
    </cfRule>
    <cfRule type="cellIs" dxfId="0" priority="10341" operator="equal">
      <formula>"欠"</formula>
    </cfRule>
  </conditionalFormatting>
  <conditionalFormatting sqref="V781">
    <cfRule type="cellIs" dxfId="0" priority="10337" operator="equal">
      <formula>"欠"</formula>
    </cfRule>
  </conditionalFormatting>
  <conditionalFormatting sqref="AG781:AH781">
    <cfRule type="cellIs" dxfId="0" priority="10338" operator="equal">
      <formula>"未完成"</formula>
    </cfRule>
  </conditionalFormatting>
  <conditionalFormatting sqref="AJ781">
    <cfRule type="cellIs" dxfId="0" priority="10343" operator="equal">
      <formula>"未完成"</formula>
    </cfRule>
  </conditionalFormatting>
  <conditionalFormatting sqref="AL781:AM781">
    <cfRule type="cellIs" dxfId="1" priority="10339" operator="equal">
      <formula>"未完成"</formula>
    </cfRule>
    <cfRule type="cellIs" dxfId="0" priority="10340" operator="equal">
      <formula>"未完成"</formula>
    </cfRule>
  </conditionalFormatting>
  <conditionalFormatting sqref="AN781">
    <cfRule type="cellIs" dxfId="0" priority="10342" operator="equal">
      <formula>"欠"</formula>
    </cfRule>
  </conditionalFormatting>
  <conditionalFormatting sqref="R784">
    <cfRule type="containsText" dxfId="0" priority="11158" operator="between" text="欠">
      <formula>NOT(ISERROR(SEARCH("欠",R784)))</formula>
    </cfRule>
    <cfRule type="cellIs" dxfId="0" priority="11160" operator="equal">
      <formula>"欠"</formula>
    </cfRule>
  </conditionalFormatting>
  <conditionalFormatting sqref="T784:U784">
    <cfRule type="containsText" dxfId="0" priority="11181" operator="between" text="欠">
      <formula>NOT(ISERROR(SEARCH("欠",T784)))</formula>
    </cfRule>
  </conditionalFormatting>
  <conditionalFormatting sqref="T784:V784">
    <cfRule type="cellIs" dxfId="0" priority="11185" operator="equal">
      <formula>"欠"</formula>
    </cfRule>
  </conditionalFormatting>
  <conditionalFormatting sqref="AG784:AH784">
    <cfRule type="cellIs" dxfId="0" priority="11186" operator="equal">
      <formula>"未完成"</formula>
    </cfRule>
  </conditionalFormatting>
  <conditionalFormatting sqref="AL784:AM784">
    <cfRule type="cellIs" dxfId="1" priority="11187" operator="equal">
      <formula>"未完成"</formula>
    </cfRule>
    <cfRule type="cellIs" dxfId="0" priority="11188" operator="equal">
      <formula>"未完成"</formula>
    </cfRule>
  </conditionalFormatting>
  <conditionalFormatting sqref="S785">
    <cfRule type="cellIs" dxfId="0" priority="11117" operator="equal">
      <formula>"欠"</formula>
    </cfRule>
  </conditionalFormatting>
  <conditionalFormatting sqref="R787">
    <cfRule type="containsText" dxfId="0" priority="11029" operator="between" text="欠">
      <formula>NOT(ISERROR(SEARCH("欠",R787)))</formula>
    </cfRule>
  </conditionalFormatting>
  <conditionalFormatting sqref="S787">
    <cfRule type="cellIs" dxfId="0" priority="10952" operator="equal">
      <formula>"欠"</formula>
    </cfRule>
  </conditionalFormatting>
  <conditionalFormatting sqref="T787:U787">
    <cfRule type="containsText" dxfId="0" priority="11031" operator="between" text="欠">
      <formula>NOT(ISERROR(SEARCH("欠",T787)))</formula>
    </cfRule>
  </conditionalFormatting>
  <conditionalFormatting sqref="V787">
    <cfRule type="cellIs" dxfId="0" priority="11023" operator="equal">
      <formula>"欠"</formula>
    </cfRule>
  </conditionalFormatting>
  <conditionalFormatting sqref="AG787:AH787">
    <cfRule type="cellIs" dxfId="0" priority="11024" operator="equal">
      <formula>"未完成"</formula>
    </cfRule>
  </conditionalFormatting>
  <conditionalFormatting sqref="AL787:AM787">
    <cfRule type="cellIs" dxfId="1" priority="11025" operator="equal">
      <formula>"未完成"</formula>
    </cfRule>
    <cfRule type="cellIs" dxfId="0" priority="11026" operator="equal">
      <formula>"未完成"</formula>
    </cfRule>
  </conditionalFormatting>
  <conditionalFormatting sqref="R788">
    <cfRule type="containsText" dxfId="0" priority="11398" operator="between" text="欠">
      <formula>NOT(ISERROR(SEARCH("欠",R788)))</formula>
    </cfRule>
  </conditionalFormatting>
  <conditionalFormatting sqref="T788:U788">
    <cfRule type="cellIs" dxfId="0" priority="11215" operator="equal">
      <formula>"欠"</formula>
    </cfRule>
  </conditionalFormatting>
  <conditionalFormatting sqref="R789">
    <cfRule type="containsText" dxfId="0" priority="11192" operator="between" text="欠">
      <formula>NOT(ISERROR(SEARCH("欠",R789)))</formula>
    </cfRule>
    <cfRule type="cellIs" dxfId="0" priority="11200" operator="equal">
      <formula>"欠"</formula>
    </cfRule>
  </conditionalFormatting>
  <conditionalFormatting sqref="T789:U789">
    <cfRule type="containsText" dxfId="0" priority="11191" operator="between" text="欠">
      <formula>NOT(ISERROR(SEARCH("欠",T789)))</formula>
    </cfRule>
  </conditionalFormatting>
  <conditionalFormatting sqref="T800:U800">
    <cfRule type="containsText" dxfId="0" priority="11211" operator="between" text="欠">
      <formula>NOT(ISERROR(SEARCH("欠",T800)))</formula>
    </cfRule>
    <cfRule type="cellIs" dxfId="0" priority="11214" operator="equal">
      <formula>"欠"</formula>
    </cfRule>
  </conditionalFormatting>
  <conditionalFormatting sqref="AI805">
    <cfRule type="cellIs" dxfId="0" priority="10944" operator="equal">
      <formula>"未完成"</formula>
    </cfRule>
  </conditionalFormatting>
  <conditionalFormatting sqref="S817">
    <cfRule type="cellIs" dxfId="0" priority="10693" operator="equal">
      <formula>"欠"</formula>
    </cfRule>
  </conditionalFormatting>
  <conditionalFormatting sqref="V818">
    <cfRule type="cellIs" dxfId="0" priority="10320" operator="equal">
      <formula>"欠"</formula>
    </cfRule>
  </conditionalFormatting>
  <conditionalFormatting sqref="AJ818">
    <cfRule type="cellIs" dxfId="0" priority="10324" operator="equal">
      <formula>"未完成"</formula>
    </cfRule>
  </conditionalFormatting>
  <conditionalFormatting sqref="AL818:AM818">
    <cfRule type="cellIs" dxfId="1" priority="10321" operator="equal">
      <formula>"未完成"</formula>
    </cfRule>
    <cfRule type="cellIs" dxfId="0" priority="10322" operator="equal">
      <formula>"未完成"</formula>
    </cfRule>
  </conditionalFormatting>
  <conditionalFormatting sqref="V819">
    <cfRule type="cellIs" dxfId="0" priority="10117" operator="equal">
      <formula>"欠"</formula>
    </cfRule>
  </conditionalFormatting>
  <conditionalFormatting sqref="AJ819">
    <cfRule type="cellIs" dxfId="0" priority="10197" operator="equal">
      <formula>"未完成"</formula>
    </cfRule>
  </conditionalFormatting>
  <conditionalFormatting sqref="AL819:AM819">
    <cfRule type="cellIs" dxfId="1" priority="10137" operator="equal">
      <formula>"未完成"</formula>
    </cfRule>
    <cfRule type="cellIs" dxfId="0" priority="10157" operator="equal">
      <formula>"未完成"</formula>
    </cfRule>
  </conditionalFormatting>
  <conditionalFormatting sqref="AN819">
    <cfRule type="cellIs" dxfId="0" priority="10277" operator="equal">
      <formula>"欠"</formula>
    </cfRule>
  </conditionalFormatting>
  <conditionalFormatting sqref="V820">
    <cfRule type="cellIs" dxfId="0" priority="10116" operator="equal">
      <formula>"欠"</formula>
    </cfRule>
  </conditionalFormatting>
  <conditionalFormatting sqref="AJ820">
    <cfRule type="cellIs" dxfId="0" priority="10196" operator="equal">
      <formula>"未完成"</formula>
    </cfRule>
  </conditionalFormatting>
  <conditionalFormatting sqref="AL820:AM820">
    <cfRule type="cellIs" dxfId="1" priority="10136" operator="equal">
      <formula>"未完成"</formula>
    </cfRule>
    <cfRule type="cellIs" dxfId="0" priority="10156" operator="equal">
      <formula>"未完成"</formula>
    </cfRule>
  </conditionalFormatting>
  <conditionalFormatting sqref="AN820">
    <cfRule type="cellIs" dxfId="0" priority="10276" operator="equal">
      <formula>"欠"</formula>
    </cfRule>
  </conditionalFormatting>
  <conditionalFormatting sqref="V821">
    <cfRule type="cellIs" dxfId="0" priority="10115" operator="equal">
      <formula>"欠"</formula>
    </cfRule>
  </conditionalFormatting>
  <conditionalFormatting sqref="AJ821">
    <cfRule type="cellIs" dxfId="0" priority="10195" operator="equal">
      <formula>"未完成"</formula>
    </cfRule>
  </conditionalFormatting>
  <conditionalFormatting sqref="AL821:AM821">
    <cfRule type="cellIs" dxfId="1" priority="10135" operator="equal">
      <formula>"未完成"</formula>
    </cfRule>
    <cfRule type="cellIs" dxfId="0" priority="10155" operator="equal">
      <formula>"未完成"</formula>
    </cfRule>
  </conditionalFormatting>
  <conditionalFormatting sqref="AN821">
    <cfRule type="cellIs" dxfId="0" priority="10275" operator="equal">
      <formula>"欠"</formula>
    </cfRule>
  </conditionalFormatting>
  <conditionalFormatting sqref="V822">
    <cfRule type="cellIs" dxfId="0" priority="10114" operator="equal">
      <formula>"欠"</formula>
    </cfRule>
  </conditionalFormatting>
  <conditionalFormatting sqref="AJ822">
    <cfRule type="cellIs" dxfId="0" priority="10194" operator="equal">
      <formula>"未完成"</formula>
    </cfRule>
  </conditionalFormatting>
  <conditionalFormatting sqref="AL822:AM822">
    <cfRule type="cellIs" dxfId="1" priority="10134" operator="equal">
      <formula>"未完成"</formula>
    </cfRule>
    <cfRule type="cellIs" dxfId="0" priority="10154" operator="equal">
      <formula>"未完成"</formula>
    </cfRule>
  </conditionalFormatting>
  <conditionalFormatting sqref="AN822">
    <cfRule type="cellIs" dxfId="0" priority="10274" operator="equal">
      <formula>"欠"</formula>
    </cfRule>
  </conditionalFormatting>
  <conditionalFormatting sqref="V823">
    <cfRule type="cellIs" dxfId="0" priority="10113" operator="equal">
      <formula>"欠"</formula>
    </cfRule>
  </conditionalFormatting>
  <conditionalFormatting sqref="AJ823">
    <cfRule type="cellIs" dxfId="0" priority="10193" operator="equal">
      <formula>"未完成"</formula>
    </cfRule>
  </conditionalFormatting>
  <conditionalFormatting sqref="AL823:AM823">
    <cfRule type="cellIs" dxfId="1" priority="10133" operator="equal">
      <formula>"未完成"</formula>
    </cfRule>
    <cfRule type="cellIs" dxfId="0" priority="10153" operator="equal">
      <formula>"未完成"</formula>
    </cfRule>
  </conditionalFormatting>
  <conditionalFormatting sqref="AN823">
    <cfRule type="cellIs" dxfId="0" priority="10273" operator="equal">
      <formula>"欠"</formula>
    </cfRule>
  </conditionalFormatting>
  <conditionalFormatting sqref="V824">
    <cfRule type="cellIs" dxfId="0" priority="10112" operator="equal">
      <formula>"欠"</formula>
    </cfRule>
  </conditionalFormatting>
  <conditionalFormatting sqref="AJ824">
    <cfRule type="cellIs" dxfId="0" priority="10192" operator="equal">
      <formula>"未完成"</formula>
    </cfRule>
  </conditionalFormatting>
  <conditionalFormatting sqref="AL824:AM824">
    <cfRule type="cellIs" dxfId="1" priority="10132" operator="equal">
      <formula>"未完成"</formula>
    </cfRule>
    <cfRule type="cellIs" dxfId="0" priority="10152" operator="equal">
      <formula>"未完成"</formula>
    </cfRule>
  </conditionalFormatting>
  <conditionalFormatting sqref="AN824">
    <cfRule type="cellIs" dxfId="0" priority="10272" operator="equal">
      <formula>"欠"</formula>
    </cfRule>
  </conditionalFormatting>
  <conditionalFormatting sqref="V825">
    <cfRule type="cellIs" dxfId="0" priority="10111" operator="equal">
      <formula>"欠"</formula>
    </cfRule>
  </conditionalFormatting>
  <conditionalFormatting sqref="AJ825">
    <cfRule type="cellIs" dxfId="0" priority="10191" operator="equal">
      <formula>"未完成"</formula>
    </cfRule>
  </conditionalFormatting>
  <conditionalFormatting sqref="AL825:AM825">
    <cfRule type="cellIs" dxfId="1" priority="10131" operator="equal">
      <formula>"未完成"</formula>
    </cfRule>
    <cfRule type="cellIs" dxfId="0" priority="10151" operator="equal">
      <formula>"未完成"</formula>
    </cfRule>
  </conditionalFormatting>
  <conditionalFormatting sqref="AN825">
    <cfRule type="cellIs" dxfId="0" priority="10271" operator="equal">
      <formula>"欠"</formula>
    </cfRule>
  </conditionalFormatting>
  <conditionalFormatting sqref="V826">
    <cfRule type="cellIs" dxfId="0" priority="10110" operator="equal">
      <formula>"欠"</formula>
    </cfRule>
  </conditionalFormatting>
  <conditionalFormatting sqref="AJ826">
    <cfRule type="cellIs" dxfId="0" priority="10190" operator="equal">
      <formula>"未完成"</formula>
    </cfRule>
  </conditionalFormatting>
  <conditionalFormatting sqref="AL826:AM826">
    <cfRule type="cellIs" dxfId="1" priority="10130" operator="equal">
      <formula>"未完成"</formula>
    </cfRule>
    <cfRule type="cellIs" dxfId="0" priority="10150" operator="equal">
      <formula>"未完成"</formula>
    </cfRule>
  </conditionalFormatting>
  <conditionalFormatting sqref="AN826">
    <cfRule type="cellIs" dxfId="0" priority="10270" operator="equal">
      <formula>"欠"</formula>
    </cfRule>
  </conditionalFormatting>
  <conditionalFormatting sqref="V827">
    <cfRule type="cellIs" dxfId="0" priority="10109" operator="equal">
      <formula>"欠"</formula>
    </cfRule>
  </conditionalFormatting>
  <conditionalFormatting sqref="AJ827">
    <cfRule type="cellIs" dxfId="0" priority="10189" operator="equal">
      <formula>"未完成"</formula>
    </cfRule>
  </conditionalFormatting>
  <conditionalFormatting sqref="AL827:AM827">
    <cfRule type="cellIs" dxfId="1" priority="10129" operator="equal">
      <formula>"未完成"</formula>
    </cfRule>
    <cfRule type="cellIs" dxfId="0" priority="10149" operator="equal">
      <formula>"未完成"</formula>
    </cfRule>
  </conditionalFormatting>
  <conditionalFormatting sqref="AN827">
    <cfRule type="cellIs" dxfId="0" priority="10269" operator="equal">
      <formula>"欠"</formula>
    </cfRule>
  </conditionalFormatting>
  <conditionalFormatting sqref="V828">
    <cfRule type="cellIs" dxfId="0" priority="10108" operator="equal">
      <formula>"欠"</formula>
    </cfRule>
  </conditionalFormatting>
  <conditionalFormatting sqref="AJ828">
    <cfRule type="cellIs" dxfId="0" priority="10188" operator="equal">
      <formula>"未完成"</formula>
    </cfRule>
  </conditionalFormatting>
  <conditionalFormatting sqref="AL828:AM828">
    <cfRule type="cellIs" dxfId="1" priority="10128" operator="equal">
      <formula>"未完成"</formula>
    </cfRule>
    <cfRule type="cellIs" dxfId="0" priority="10148" operator="equal">
      <formula>"未完成"</formula>
    </cfRule>
  </conditionalFormatting>
  <conditionalFormatting sqref="AN828">
    <cfRule type="cellIs" dxfId="0" priority="10268" operator="equal">
      <formula>"欠"</formula>
    </cfRule>
  </conditionalFormatting>
  <conditionalFormatting sqref="V829">
    <cfRule type="cellIs" dxfId="0" priority="10107" operator="equal">
      <formula>"欠"</formula>
    </cfRule>
  </conditionalFormatting>
  <conditionalFormatting sqref="AJ829">
    <cfRule type="cellIs" dxfId="0" priority="10187" operator="equal">
      <formula>"未完成"</formula>
    </cfRule>
  </conditionalFormatting>
  <conditionalFormatting sqref="AL829:AM829">
    <cfRule type="cellIs" dxfId="1" priority="10127" operator="equal">
      <formula>"未完成"</formula>
    </cfRule>
    <cfRule type="cellIs" dxfId="0" priority="10147" operator="equal">
      <formula>"未完成"</formula>
    </cfRule>
  </conditionalFormatting>
  <conditionalFormatting sqref="AN829">
    <cfRule type="cellIs" dxfId="0" priority="10267" operator="equal">
      <formula>"欠"</formula>
    </cfRule>
  </conditionalFormatting>
  <conditionalFormatting sqref="V830">
    <cfRule type="cellIs" dxfId="0" priority="10106" operator="equal">
      <formula>"欠"</formula>
    </cfRule>
  </conditionalFormatting>
  <conditionalFormatting sqref="AJ830">
    <cfRule type="cellIs" dxfId="0" priority="10186" operator="equal">
      <formula>"未完成"</formula>
    </cfRule>
  </conditionalFormatting>
  <conditionalFormatting sqref="AL830:AM830">
    <cfRule type="cellIs" dxfId="1" priority="10126" operator="equal">
      <formula>"未完成"</formula>
    </cfRule>
    <cfRule type="cellIs" dxfId="0" priority="10146" operator="equal">
      <formula>"未完成"</formula>
    </cfRule>
  </conditionalFormatting>
  <conditionalFormatting sqref="AN830">
    <cfRule type="cellIs" dxfId="0" priority="10266" operator="equal">
      <formula>"欠"</formula>
    </cfRule>
  </conditionalFormatting>
  <conditionalFormatting sqref="V831">
    <cfRule type="cellIs" dxfId="0" priority="10105" operator="equal">
      <formula>"欠"</formula>
    </cfRule>
  </conditionalFormatting>
  <conditionalFormatting sqref="AJ831">
    <cfRule type="cellIs" dxfId="0" priority="10185" operator="equal">
      <formula>"未完成"</formula>
    </cfRule>
  </conditionalFormatting>
  <conditionalFormatting sqref="AL831:AM831">
    <cfRule type="cellIs" dxfId="1" priority="10125" operator="equal">
      <formula>"未完成"</formula>
    </cfRule>
    <cfRule type="cellIs" dxfId="0" priority="10145" operator="equal">
      <formula>"未完成"</formula>
    </cfRule>
  </conditionalFormatting>
  <conditionalFormatting sqref="AN831">
    <cfRule type="cellIs" dxfId="0" priority="10265" operator="equal">
      <formula>"欠"</formula>
    </cfRule>
  </conditionalFormatting>
  <conditionalFormatting sqref="V832">
    <cfRule type="cellIs" dxfId="0" priority="10104" operator="equal">
      <formula>"欠"</formula>
    </cfRule>
  </conditionalFormatting>
  <conditionalFormatting sqref="AJ832">
    <cfRule type="cellIs" dxfId="0" priority="10184" operator="equal">
      <formula>"未完成"</formula>
    </cfRule>
  </conditionalFormatting>
  <conditionalFormatting sqref="AL832:AM832">
    <cfRule type="cellIs" dxfId="1" priority="10124" operator="equal">
      <formula>"未完成"</formula>
    </cfRule>
    <cfRule type="cellIs" dxfId="0" priority="10144" operator="equal">
      <formula>"未完成"</formula>
    </cfRule>
  </conditionalFormatting>
  <conditionalFormatting sqref="AN832">
    <cfRule type="cellIs" dxfId="0" priority="10264" operator="equal">
      <formula>"欠"</formula>
    </cfRule>
  </conditionalFormatting>
  <conditionalFormatting sqref="V833">
    <cfRule type="cellIs" dxfId="0" priority="10103" operator="equal">
      <formula>"欠"</formula>
    </cfRule>
  </conditionalFormatting>
  <conditionalFormatting sqref="AJ833">
    <cfRule type="cellIs" dxfId="0" priority="10183" operator="equal">
      <formula>"未完成"</formula>
    </cfRule>
  </conditionalFormatting>
  <conditionalFormatting sqref="AL833:AM833">
    <cfRule type="cellIs" dxfId="1" priority="10123" operator="equal">
      <formula>"未完成"</formula>
    </cfRule>
    <cfRule type="cellIs" dxfId="0" priority="10143" operator="equal">
      <formula>"未完成"</formula>
    </cfRule>
  </conditionalFormatting>
  <conditionalFormatting sqref="AN833">
    <cfRule type="cellIs" dxfId="0" priority="10263" operator="equal">
      <formula>"欠"</formula>
    </cfRule>
  </conditionalFormatting>
  <conditionalFormatting sqref="V834">
    <cfRule type="cellIs" dxfId="0" priority="10102" operator="equal">
      <formula>"欠"</formula>
    </cfRule>
  </conditionalFormatting>
  <conditionalFormatting sqref="AJ834">
    <cfRule type="cellIs" dxfId="0" priority="10182" operator="equal">
      <formula>"未完成"</formula>
    </cfRule>
  </conditionalFormatting>
  <conditionalFormatting sqref="AL834:AM834">
    <cfRule type="cellIs" dxfId="1" priority="10122" operator="equal">
      <formula>"未完成"</formula>
    </cfRule>
    <cfRule type="cellIs" dxfId="0" priority="10142" operator="equal">
      <formula>"未完成"</formula>
    </cfRule>
  </conditionalFormatting>
  <conditionalFormatting sqref="AN834">
    <cfRule type="cellIs" dxfId="0" priority="10262" operator="equal">
      <formula>"欠"</formula>
    </cfRule>
  </conditionalFormatting>
  <conditionalFormatting sqref="V835">
    <cfRule type="cellIs" dxfId="0" priority="10101" operator="equal">
      <formula>"欠"</formula>
    </cfRule>
  </conditionalFormatting>
  <conditionalFormatting sqref="AJ835">
    <cfRule type="cellIs" dxfId="0" priority="10181" operator="equal">
      <formula>"未完成"</formula>
    </cfRule>
  </conditionalFormatting>
  <conditionalFormatting sqref="AL835:AM835">
    <cfRule type="cellIs" dxfId="1" priority="10121" operator="equal">
      <formula>"未完成"</formula>
    </cfRule>
    <cfRule type="cellIs" dxfId="0" priority="10141" operator="equal">
      <formula>"未完成"</formula>
    </cfRule>
  </conditionalFormatting>
  <conditionalFormatting sqref="AN835">
    <cfRule type="cellIs" dxfId="0" priority="10261" operator="equal">
      <formula>"欠"</formula>
    </cfRule>
  </conditionalFormatting>
  <conditionalFormatting sqref="V836">
    <cfRule type="cellIs" dxfId="0" priority="10100" operator="equal">
      <formula>"欠"</formula>
    </cfRule>
  </conditionalFormatting>
  <conditionalFormatting sqref="AJ836">
    <cfRule type="cellIs" dxfId="0" priority="10180" operator="equal">
      <formula>"未完成"</formula>
    </cfRule>
  </conditionalFormatting>
  <conditionalFormatting sqref="AL836:AM836">
    <cfRule type="cellIs" dxfId="1" priority="10120" operator="equal">
      <formula>"未完成"</formula>
    </cfRule>
    <cfRule type="cellIs" dxfId="0" priority="10140" operator="equal">
      <formula>"未完成"</formula>
    </cfRule>
  </conditionalFormatting>
  <conditionalFormatting sqref="AN836">
    <cfRule type="cellIs" dxfId="0" priority="10260" operator="equal">
      <formula>"欠"</formula>
    </cfRule>
  </conditionalFormatting>
  <conditionalFormatting sqref="V837">
    <cfRule type="cellIs" dxfId="0" priority="10099" operator="equal">
      <formula>"欠"</formula>
    </cfRule>
  </conditionalFormatting>
  <conditionalFormatting sqref="AJ837">
    <cfRule type="cellIs" dxfId="0" priority="10179" operator="equal">
      <formula>"未完成"</formula>
    </cfRule>
  </conditionalFormatting>
  <conditionalFormatting sqref="AL837:AM837">
    <cfRule type="cellIs" dxfId="1" priority="10119" operator="equal">
      <formula>"未完成"</formula>
    </cfRule>
    <cfRule type="cellIs" dxfId="0" priority="10139" operator="equal">
      <formula>"未完成"</formula>
    </cfRule>
  </conditionalFormatting>
  <conditionalFormatting sqref="AN837">
    <cfRule type="cellIs" dxfId="0" priority="10259" operator="equal">
      <formula>"欠"</formula>
    </cfRule>
  </conditionalFormatting>
  <conditionalFormatting sqref="V838">
    <cfRule type="cellIs" dxfId="0" priority="10098" operator="equal">
      <formula>"欠"</formula>
    </cfRule>
  </conditionalFormatting>
  <conditionalFormatting sqref="AJ838">
    <cfRule type="cellIs" dxfId="0" priority="10178" operator="equal">
      <formula>"未完成"</formula>
    </cfRule>
  </conditionalFormatting>
  <conditionalFormatting sqref="AL838:AM838">
    <cfRule type="cellIs" dxfId="1" priority="10118" operator="equal">
      <formula>"未完成"</formula>
    </cfRule>
    <cfRule type="cellIs" dxfId="0" priority="10138" operator="equal">
      <formula>"未完成"</formula>
    </cfRule>
  </conditionalFormatting>
  <conditionalFormatting sqref="AN838">
    <cfRule type="cellIs" dxfId="0" priority="10258" operator="equal">
      <formula>"欠"</formula>
    </cfRule>
  </conditionalFormatting>
  <conditionalFormatting sqref="V845">
    <cfRule type="cellIs" dxfId="0" priority="11015" operator="equal">
      <formula>"欠"</formula>
    </cfRule>
  </conditionalFormatting>
  <conditionalFormatting sqref="AL845:AM845">
    <cfRule type="cellIs" dxfId="1" priority="10966" operator="equal">
      <formula>"未完成"</formula>
    </cfRule>
    <cfRule type="cellIs" dxfId="0" priority="10973" operator="equal">
      <formula>"未完成"</formula>
    </cfRule>
  </conditionalFormatting>
  <conditionalFormatting sqref="V846">
    <cfRule type="cellIs" dxfId="0" priority="11014" operator="equal">
      <formula>"欠"</formula>
    </cfRule>
  </conditionalFormatting>
  <conditionalFormatting sqref="AL846:AM846">
    <cfRule type="cellIs" dxfId="1" priority="10965" operator="equal">
      <formula>"未完成"</formula>
    </cfRule>
    <cfRule type="cellIs" dxfId="0" priority="10972" operator="equal">
      <formula>"未完成"</formula>
    </cfRule>
  </conditionalFormatting>
  <conditionalFormatting sqref="V847">
    <cfRule type="cellIs" dxfId="0" priority="11013" operator="equal">
      <formula>"欠"</formula>
    </cfRule>
  </conditionalFormatting>
  <conditionalFormatting sqref="AL847:AM847">
    <cfRule type="cellIs" dxfId="1" priority="10964" operator="equal">
      <formula>"未完成"</formula>
    </cfRule>
    <cfRule type="cellIs" dxfId="0" priority="10971" operator="equal">
      <formula>"未完成"</formula>
    </cfRule>
  </conditionalFormatting>
  <conditionalFormatting sqref="V848">
    <cfRule type="cellIs" dxfId="0" priority="11012" operator="equal">
      <formula>"欠"</formula>
    </cfRule>
  </conditionalFormatting>
  <conditionalFormatting sqref="AL848:AM848">
    <cfRule type="cellIs" dxfId="1" priority="10963" operator="equal">
      <formula>"未完成"</formula>
    </cfRule>
    <cfRule type="cellIs" dxfId="0" priority="10970" operator="equal">
      <formula>"未完成"</formula>
    </cfRule>
  </conditionalFormatting>
  <conditionalFormatting sqref="V849">
    <cfRule type="cellIs" dxfId="0" priority="11011" operator="equal">
      <formula>"欠"</formula>
    </cfRule>
  </conditionalFormatting>
  <conditionalFormatting sqref="AL849:AM849">
    <cfRule type="cellIs" dxfId="1" priority="10962" operator="equal">
      <formula>"未完成"</formula>
    </cfRule>
    <cfRule type="cellIs" dxfId="0" priority="10969" operator="equal">
      <formula>"未完成"</formula>
    </cfRule>
  </conditionalFormatting>
  <conditionalFormatting sqref="V850">
    <cfRule type="cellIs" dxfId="0" priority="11010" operator="equal">
      <formula>"欠"</formula>
    </cfRule>
  </conditionalFormatting>
  <conditionalFormatting sqref="AL850:AM850">
    <cfRule type="cellIs" dxfId="1" priority="10961" operator="equal">
      <formula>"未完成"</formula>
    </cfRule>
    <cfRule type="cellIs" dxfId="0" priority="10968" operator="equal">
      <formula>"未完成"</formula>
    </cfRule>
  </conditionalFormatting>
  <conditionalFormatting sqref="T853:U853">
    <cfRule type="containsText" dxfId="0" priority="11079" operator="between" text="欠">
      <formula>NOT(ISERROR(SEARCH("欠",T853)))</formula>
    </cfRule>
  </conditionalFormatting>
  <conditionalFormatting sqref="S862">
    <cfRule type="cellIs" dxfId="0" priority="10821" operator="equal">
      <formula>"欠"</formula>
    </cfRule>
  </conditionalFormatting>
  <conditionalFormatting sqref="V863">
    <cfRule type="cellIs" dxfId="0" priority="11167" operator="equal">
      <formula>"欠"</formula>
    </cfRule>
  </conditionalFormatting>
  <conditionalFormatting sqref="AL863:AM863">
    <cfRule type="cellIs" dxfId="1" priority="11169" operator="equal">
      <formula>"未完成"</formula>
    </cfRule>
    <cfRule type="cellIs" dxfId="0" priority="11170" operator="equal">
      <formula>"未完成"</formula>
    </cfRule>
  </conditionalFormatting>
  <conditionalFormatting sqref="AN863">
    <cfRule type="cellIs" dxfId="0" priority="11168" operator="equal">
      <formula>"欠"</formula>
    </cfRule>
  </conditionalFormatting>
  <conditionalFormatting sqref="S868">
    <cfRule type="cellIs" dxfId="0" priority="10691" operator="equal">
      <formula>"欠"</formula>
    </cfRule>
  </conditionalFormatting>
  <conditionalFormatting sqref="T868:U868">
    <cfRule type="cellIs" dxfId="0" priority="10690" operator="equal">
      <formula>"欠"</formula>
    </cfRule>
  </conditionalFormatting>
  <conditionalFormatting sqref="S869">
    <cfRule type="cellIs" dxfId="0" priority="10689" operator="equal">
      <formula>"欠"</formula>
    </cfRule>
  </conditionalFormatting>
  <conditionalFormatting sqref="T869:U869">
    <cfRule type="cellIs" dxfId="0" priority="10688" operator="equal">
      <formula>"欠"</formula>
    </cfRule>
  </conditionalFormatting>
  <conditionalFormatting sqref="R876">
    <cfRule type="containsText" dxfId="0" priority="10760" operator="between" text="欠">
      <formula>NOT(ISERROR(SEARCH("欠",R876)))</formula>
    </cfRule>
    <cfRule type="cellIs" dxfId="0" priority="10761" operator="equal">
      <formula>"欠"</formula>
    </cfRule>
  </conditionalFormatting>
  <conditionalFormatting sqref="T876:U876">
    <cfRule type="containsText" dxfId="0" priority="10756" operator="between" text="欠">
      <formula>NOT(ISERROR(SEARCH("欠",T876)))</formula>
    </cfRule>
  </conditionalFormatting>
  <conditionalFormatting sqref="T876:V876">
    <cfRule type="cellIs" dxfId="0" priority="10757" operator="equal">
      <formula>"欠"</formula>
    </cfRule>
  </conditionalFormatting>
  <conditionalFormatting sqref="AL876:AM876">
    <cfRule type="cellIs" dxfId="1" priority="10758" operator="equal">
      <formula>"未完成"</formula>
    </cfRule>
    <cfRule type="cellIs" dxfId="0" priority="10759" operator="equal">
      <formula>"未完成"</formula>
    </cfRule>
  </conditionalFormatting>
  <conditionalFormatting sqref="AN876">
    <cfRule type="cellIs" dxfId="0" priority="10764" operator="equal">
      <formula>"欠"</formula>
    </cfRule>
  </conditionalFormatting>
  <conditionalFormatting sqref="T882:U882">
    <cfRule type="containsText" dxfId="0" priority="11100" operator="between" text="欠">
      <formula>NOT(ISERROR(SEARCH("欠",T882)))</formula>
    </cfRule>
  </conditionalFormatting>
  <conditionalFormatting sqref="T882:V882">
    <cfRule type="cellIs" dxfId="0" priority="11104" operator="equal">
      <formula>"欠"</formula>
    </cfRule>
  </conditionalFormatting>
  <conditionalFormatting sqref="AL882:AM882">
    <cfRule type="cellIs" dxfId="1" priority="11105" operator="equal">
      <formula>"未完成"</formula>
    </cfRule>
    <cfRule type="cellIs" dxfId="0" priority="11106" operator="equal">
      <formula>"未完成"</formula>
    </cfRule>
  </conditionalFormatting>
  <conditionalFormatting sqref="AN882">
    <cfRule type="cellIs" dxfId="0" priority="11107" operator="equal">
      <formula>"欠"</formula>
    </cfRule>
  </conditionalFormatting>
  <conditionalFormatting sqref="V883">
    <cfRule type="cellIs" dxfId="0" priority="10933" operator="equal">
      <formula>"欠"</formula>
    </cfRule>
  </conditionalFormatting>
  <conditionalFormatting sqref="AL883:AM883">
    <cfRule type="cellIs" dxfId="1" priority="10926" operator="equal">
      <formula>"未完成"</formula>
    </cfRule>
    <cfRule type="cellIs" dxfId="0" priority="10927" operator="equal">
      <formula>"未完成"</formula>
    </cfRule>
  </conditionalFormatting>
  <conditionalFormatting sqref="R884">
    <cfRule type="containsText" dxfId="0" priority="10694" operator="between" text="欠">
      <formula>NOT(ISERROR(SEARCH("欠",R884)))</formula>
    </cfRule>
    <cfRule type="cellIs" dxfId="0" priority="10695" operator="equal">
      <formula>"欠"</formula>
    </cfRule>
  </conditionalFormatting>
  <conditionalFormatting sqref="R886">
    <cfRule type="containsText" dxfId="0" priority="10815" operator="between" text="欠">
      <formula>NOT(ISERROR(SEARCH("欠",R886)))</formula>
    </cfRule>
    <cfRule type="cellIs" dxfId="0" priority="10817" operator="equal">
      <formula>"欠"</formula>
    </cfRule>
  </conditionalFormatting>
  <conditionalFormatting sqref="T886:U886">
    <cfRule type="cellIs" dxfId="0" priority="10851" operator="equal">
      <formula>"欠"</formula>
    </cfRule>
  </conditionalFormatting>
  <conditionalFormatting sqref="V886">
    <cfRule type="cellIs" dxfId="0" priority="10836" operator="equal">
      <formula>"欠"</formula>
    </cfRule>
  </conditionalFormatting>
  <conditionalFormatting sqref="AL886:AM886">
    <cfRule type="cellIs" dxfId="1" priority="10837" operator="equal">
      <formula>"未完成"</formula>
    </cfRule>
    <cfRule type="cellIs" dxfId="0" priority="10838" operator="equal">
      <formula>"未完成"</formula>
    </cfRule>
  </conditionalFormatting>
  <conditionalFormatting sqref="AN886">
    <cfRule type="cellIs" dxfId="0" priority="10841" operator="equal">
      <formula>"欠"</formula>
    </cfRule>
  </conditionalFormatting>
  <conditionalFormatting sqref="R888">
    <cfRule type="containsText" dxfId="0" priority="11070" operator="between" text="欠">
      <formula>NOT(ISERROR(SEARCH("欠",R888)))</formula>
    </cfRule>
    <cfRule type="cellIs" dxfId="0" priority="11077" operator="equal">
      <formula>"欠"</formula>
    </cfRule>
  </conditionalFormatting>
  <conditionalFormatting sqref="T888:U888">
    <cfRule type="containsText" dxfId="0" priority="11069" operator="between" text="欠">
      <formula>NOT(ISERROR(SEARCH("欠",T888)))</formula>
    </cfRule>
  </conditionalFormatting>
  <conditionalFormatting sqref="T888:V888">
    <cfRule type="cellIs" dxfId="0" priority="11073" operator="equal">
      <formula>"欠"</formula>
    </cfRule>
  </conditionalFormatting>
  <conditionalFormatting sqref="AL888:AM888">
    <cfRule type="cellIs" dxfId="1" priority="11074" operator="equal">
      <formula>"未完成"</formula>
    </cfRule>
    <cfRule type="cellIs" dxfId="0" priority="11075" operator="equal">
      <formula>"未完成"</formula>
    </cfRule>
  </conditionalFormatting>
  <conditionalFormatting sqref="AN888">
    <cfRule type="cellIs" dxfId="0" priority="11076" operator="equal">
      <formula>"欠"</formula>
    </cfRule>
  </conditionalFormatting>
  <conditionalFormatting sqref="V889">
    <cfRule type="cellIs" dxfId="0" priority="10916" operator="equal">
      <formula>"欠"</formula>
    </cfRule>
  </conditionalFormatting>
  <conditionalFormatting sqref="AN897">
    <cfRule type="cellIs" dxfId="0" priority="10809" operator="equal">
      <formula>"欠"</formula>
    </cfRule>
  </conditionalFormatting>
  <conditionalFormatting sqref="R898">
    <cfRule type="containsText" dxfId="0" priority="11202" operator="between" text="欠">
      <formula>NOT(ISERROR(SEARCH("欠",R898)))</formula>
    </cfRule>
    <cfRule type="cellIs" dxfId="0" priority="11209" operator="equal">
      <formula>"欠"</formula>
    </cfRule>
  </conditionalFormatting>
  <conditionalFormatting sqref="AN898">
    <cfRule type="cellIs" dxfId="0" priority="11208" operator="equal">
      <formula>"欠"</formula>
    </cfRule>
  </conditionalFormatting>
  <conditionalFormatting sqref="S901">
    <cfRule type="cellIs" dxfId="0" priority="10868" operator="equal">
      <formula>"欠"</formula>
    </cfRule>
  </conditionalFormatting>
  <conditionalFormatting sqref="T901:U901">
    <cfRule type="cellIs" dxfId="0" priority="10860" operator="equal">
      <formula>"欠"</formula>
    </cfRule>
  </conditionalFormatting>
  <conditionalFormatting sqref="S907">
    <cfRule type="cellIs" dxfId="0" priority="10808" operator="equal">
      <formula>"欠"</formula>
    </cfRule>
  </conditionalFormatting>
  <conditionalFormatting sqref="S912">
    <cfRule type="cellIs" dxfId="0" priority="10951" operator="equal">
      <formula>"欠"</formula>
    </cfRule>
  </conditionalFormatting>
  <conditionalFormatting sqref="T912:U912">
    <cfRule type="containsText" dxfId="0" priority="11048" operator="between" text="欠">
      <formula>NOT(ISERROR(SEARCH("欠",T912)))</formula>
    </cfRule>
    <cfRule type="cellIs" dxfId="0" priority="11052" operator="equal">
      <formula>"欠"</formula>
    </cfRule>
  </conditionalFormatting>
  <conditionalFormatting sqref="V912">
    <cfRule type="cellIs" dxfId="0" priority="11043" operator="equal">
      <formula>"欠"</formula>
    </cfRule>
  </conditionalFormatting>
  <conditionalFormatting sqref="AG912:AH912">
    <cfRule type="cellIs" dxfId="0" priority="11044" operator="equal">
      <formula>"未完成"</formula>
    </cfRule>
  </conditionalFormatting>
  <conditionalFormatting sqref="AL912:AM912">
    <cfRule type="cellIs" dxfId="1" priority="11045" operator="equal">
      <formula>"未完成"</formula>
    </cfRule>
    <cfRule type="cellIs" dxfId="0" priority="11046" operator="equal">
      <formula>"未完成"</formula>
    </cfRule>
  </conditionalFormatting>
  <conditionalFormatting sqref="T916:U916">
    <cfRule type="cellIs" dxfId="0" priority="10737" operator="equal">
      <formula>"欠"</formula>
    </cfRule>
  </conditionalFormatting>
  <conditionalFormatting sqref="V916">
    <cfRule type="cellIs" dxfId="0" priority="10739" operator="equal">
      <formula>"欠"</formula>
    </cfRule>
  </conditionalFormatting>
  <conditionalFormatting sqref="AL916:AM916">
    <cfRule type="cellIs" dxfId="1" priority="10740" operator="equal">
      <formula>"未完成"</formula>
    </cfRule>
    <cfRule type="cellIs" dxfId="0" priority="10741" operator="equal">
      <formula>"未完成"</formula>
    </cfRule>
  </conditionalFormatting>
  <conditionalFormatting sqref="AN916">
    <cfRule type="cellIs" dxfId="0" priority="10743" operator="equal">
      <formula>"欠"</formula>
    </cfRule>
  </conditionalFormatting>
  <conditionalFormatting sqref="V917">
    <cfRule type="cellIs" dxfId="0" priority="10569" operator="equal">
      <formula>"欠"</formula>
    </cfRule>
  </conditionalFormatting>
  <conditionalFormatting sqref="AL917:AM917">
    <cfRule type="cellIs" dxfId="1" priority="10571" operator="equal">
      <formula>"未完成"</formula>
    </cfRule>
    <cfRule type="cellIs" dxfId="0" priority="10573" operator="equal">
      <formula>"未完成"</formula>
    </cfRule>
  </conditionalFormatting>
  <conditionalFormatting sqref="R919">
    <cfRule type="containsText" dxfId="0" priority="10558" operator="between" text="欠">
      <formula>NOT(ISERROR(SEARCH("欠",R919)))</formula>
    </cfRule>
    <cfRule type="cellIs" dxfId="0" priority="10562" operator="equal">
      <formula>"欠"</formula>
    </cfRule>
  </conditionalFormatting>
  <conditionalFormatting sqref="S919">
    <cfRule type="cellIs" dxfId="0" priority="10372" operator="equal">
      <formula>"欠"</formula>
    </cfRule>
  </conditionalFormatting>
  <conditionalFormatting sqref="T919:U919">
    <cfRule type="cellIs" dxfId="0" priority="10371" operator="equal">
      <formula>"欠"</formula>
    </cfRule>
  </conditionalFormatting>
  <conditionalFormatting sqref="V929">
    <cfRule type="cellIs" dxfId="0" priority="10872" operator="equal">
      <formula>"欠"</formula>
    </cfRule>
  </conditionalFormatting>
  <conditionalFormatting sqref="AL929:AM929">
    <cfRule type="cellIs" dxfId="1" priority="10873" operator="equal">
      <formula>"未完成"</formula>
    </cfRule>
    <cfRule type="cellIs" dxfId="0" priority="10874" operator="equal">
      <formula>"未完成"</formula>
    </cfRule>
  </conditionalFormatting>
  <conditionalFormatting sqref="AN929">
    <cfRule type="cellIs" dxfId="0" priority="10876" operator="equal">
      <formula>"欠"</formula>
    </cfRule>
  </conditionalFormatting>
  <conditionalFormatting sqref="T941:U941">
    <cfRule type="containsText" dxfId="0" priority="10685" operator="between" text="欠">
      <formula>NOT(ISERROR(SEARCH("欠",T941)))</formula>
    </cfRule>
    <cfRule type="cellIs" dxfId="0" priority="10686" operator="equal">
      <formula>"欠"</formula>
    </cfRule>
  </conditionalFormatting>
  <conditionalFormatting sqref="T942:U942">
    <cfRule type="containsText" dxfId="0" priority="10729" operator="between" text="欠">
      <formula>NOT(ISERROR(SEARCH("欠",T942)))</formula>
    </cfRule>
    <cfRule type="cellIs" dxfId="0" priority="10730" operator="equal">
      <formula>"欠"</formula>
    </cfRule>
  </conditionalFormatting>
  <conditionalFormatting sqref="V942">
    <cfRule type="cellIs" dxfId="0" priority="10732" operator="equal">
      <formula>"欠"</formula>
    </cfRule>
  </conditionalFormatting>
  <conditionalFormatting sqref="AL942:AM942">
    <cfRule type="cellIs" dxfId="1" priority="10733" operator="equal">
      <formula>"未完成"</formula>
    </cfRule>
    <cfRule type="cellIs" dxfId="0" priority="10734" operator="equal">
      <formula>"未完成"</formula>
    </cfRule>
  </conditionalFormatting>
  <conditionalFormatting sqref="V943">
    <cfRule type="cellIs" dxfId="0" priority="10718" operator="equal">
      <formula>"欠"</formula>
    </cfRule>
  </conditionalFormatting>
  <conditionalFormatting sqref="AL943:AM943">
    <cfRule type="cellIs" dxfId="1" priority="10720" operator="equal">
      <formula>"未完成"</formula>
    </cfRule>
    <cfRule type="cellIs" dxfId="0" priority="10722" operator="equal">
      <formula>"未完成"</formula>
    </cfRule>
  </conditionalFormatting>
  <conditionalFormatting sqref="R948">
    <cfRule type="cellIs" dxfId="0" priority="8983" operator="equal">
      <formula>"欠"</formula>
    </cfRule>
    <cfRule type="containsText" dxfId="0" priority="8912" operator="between" text="欠">
      <formula>NOT(ISERROR(SEARCH("欠",R948)))</formula>
    </cfRule>
  </conditionalFormatting>
  <conditionalFormatting sqref="S948">
    <cfRule type="cellIs" dxfId="0" priority="9267" operator="equal">
      <formula>"欠"</formula>
    </cfRule>
  </conditionalFormatting>
  <conditionalFormatting sqref="T948:U948">
    <cfRule type="cellIs" dxfId="0" priority="9338" operator="equal">
      <formula>"欠"</formula>
    </cfRule>
  </conditionalFormatting>
  <conditionalFormatting sqref="V948">
    <cfRule type="cellIs" dxfId="0" priority="9054" operator="equal">
      <formula>"欠"</formula>
    </cfRule>
  </conditionalFormatting>
  <conditionalFormatting sqref="AJ948">
    <cfRule type="cellIs" dxfId="0" priority="9409" operator="equal">
      <formula>"未完成"</formula>
    </cfRule>
  </conditionalFormatting>
  <conditionalFormatting sqref="AL948:AM948">
    <cfRule type="cellIs" dxfId="1" priority="9125" operator="equal">
      <formula>"未完成"</formula>
    </cfRule>
    <cfRule type="cellIs" dxfId="0" priority="9196" operator="equal">
      <formula>"未完成"</formula>
    </cfRule>
  </conditionalFormatting>
  <conditionalFormatting sqref="AN948">
    <cfRule type="cellIs" dxfId="0" priority="9480" operator="equal">
      <formula>"欠"</formula>
    </cfRule>
  </conditionalFormatting>
  <conditionalFormatting sqref="R949">
    <cfRule type="cellIs" dxfId="0" priority="8673" operator="equal">
      <formula>"欠"</formula>
    </cfRule>
    <cfRule type="containsText" dxfId="0" priority="8668" operator="between" text="欠">
      <formula>NOT(ISERROR(SEARCH("欠",R949)))</formula>
    </cfRule>
  </conditionalFormatting>
  <conditionalFormatting sqref="S949">
    <cfRule type="cellIs" dxfId="0" priority="8666" operator="equal">
      <formula>"欠"</formula>
    </cfRule>
  </conditionalFormatting>
  <conditionalFormatting sqref="T949:V949">
    <cfRule type="cellIs" dxfId="0" priority="8669" operator="equal">
      <formula>"欠"</formula>
    </cfRule>
  </conditionalFormatting>
  <conditionalFormatting sqref="T949:U949">
    <cfRule type="containsText" dxfId="0" priority="8667" operator="between" text="欠">
      <formula>NOT(ISERROR(SEARCH("欠",T949)))</formula>
    </cfRule>
  </conditionalFormatting>
  <conditionalFormatting sqref="AG949:AH949">
    <cfRule type="cellIs" dxfId="0" priority="8670" operator="equal">
      <formula>"未完成"</formula>
    </cfRule>
  </conditionalFormatting>
  <conditionalFormatting sqref="AJ949">
    <cfRule type="cellIs" dxfId="0" priority="8674" operator="equal">
      <formula>"未完成"</formula>
    </cfRule>
  </conditionalFormatting>
  <conditionalFormatting sqref="AL949:AM949">
    <cfRule type="cellIs" dxfId="1" priority="8671" operator="equal">
      <formula>"未完成"</formula>
    </cfRule>
    <cfRule type="cellIs" dxfId="0" priority="8672" operator="equal">
      <formula>"未完成"</formula>
    </cfRule>
  </conditionalFormatting>
  <conditionalFormatting sqref="R950">
    <cfRule type="cellIs" dxfId="0" priority="8981" operator="equal">
      <formula>"欠"</formula>
    </cfRule>
    <cfRule type="containsText" dxfId="0" priority="8910" operator="between" text="欠">
      <formula>NOT(ISERROR(SEARCH("欠",R950)))</formula>
    </cfRule>
  </conditionalFormatting>
  <conditionalFormatting sqref="S950">
    <cfRule type="cellIs" dxfId="0" priority="9265" operator="equal">
      <formula>"欠"</formula>
    </cfRule>
  </conditionalFormatting>
  <conditionalFormatting sqref="T950:U950">
    <cfRule type="cellIs" dxfId="0" priority="9336" operator="equal">
      <formula>"欠"</formula>
    </cfRule>
  </conditionalFormatting>
  <conditionalFormatting sqref="V950">
    <cfRule type="cellIs" dxfId="0" priority="9052" operator="equal">
      <formula>"欠"</formula>
    </cfRule>
  </conditionalFormatting>
  <conditionalFormatting sqref="AJ950">
    <cfRule type="cellIs" dxfId="0" priority="9407" operator="equal">
      <formula>"未完成"</formula>
    </cfRule>
  </conditionalFormatting>
  <conditionalFormatting sqref="AL950:AM950">
    <cfRule type="cellIs" dxfId="1" priority="9123" operator="equal">
      <formula>"未完成"</formula>
    </cfRule>
    <cfRule type="cellIs" dxfId="0" priority="9194" operator="equal">
      <formula>"未完成"</formula>
    </cfRule>
  </conditionalFormatting>
  <conditionalFormatting sqref="R951">
    <cfRule type="cellIs" dxfId="0" priority="8980" operator="equal">
      <formula>"欠"</formula>
    </cfRule>
    <cfRule type="containsText" dxfId="0" priority="8909" operator="between" text="欠">
      <formula>NOT(ISERROR(SEARCH("欠",R951)))</formula>
    </cfRule>
  </conditionalFormatting>
  <conditionalFormatting sqref="S951">
    <cfRule type="cellIs" dxfId="0" priority="9264" operator="equal">
      <formula>"欠"</formula>
    </cfRule>
  </conditionalFormatting>
  <conditionalFormatting sqref="T951:U951">
    <cfRule type="cellIs" dxfId="0" priority="9335" operator="equal">
      <formula>"欠"</formula>
    </cfRule>
  </conditionalFormatting>
  <conditionalFormatting sqref="V951">
    <cfRule type="cellIs" dxfId="0" priority="9051" operator="equal">
      <formula>"欠"</formula>
    </cfRule>
  </conditionalFormatting>
  <conditionalFormatting sqref="AJ951">
    <cfRule type="cellIs" dxfId="0" priority="9406" operator="equal">
      <formula>"未完成"</formula>
    </cfRule>
  </conditionalFormatting>
  <conditionalFormatting sqref="AL951:AM951">
    <cfRule type="cellIs" dxfId="1" priority="9122" operator="equal">
      <formula>"未完成"</formula>
    </cfRule>
    <cfRule type="cellIs" dxfId="0" priority="9193" operator="equal">
      <formula>"未完成"</formula>
    </cfRule>
  </conditionalFormatting>
  <conditionalFormatting sqref="AN951">
    <cfRule type="cellIs" dxfId="0" priority="9477" operator="equal">
      <formula>"欠"</formula>
    </cfRule>
  </conditionalFormatting>
  <conditionalFormatting sqref="R952">
    <cfRule type="cellIs" dxfId="0" priority="8979" operator="equal">
      <formula>"欠"</formula>
    </cfRule>
    <cfRule type="containsText" dxfId="0" priority="8908" operator="between" text="欠">
      <formula>NOT(ISERROR(SEARCH("欠",R952)))</formula>
    </cfRule>
  </conditionalFormatting>
  <conditionalFormatting sqref="S952">
    <cfRule type="cellIs" dxfId="0" priority="9263" operator="equal">
      <formula>"欠"</formula>
    </cfRule>
  </conditionalFormatting>
  <conditionalFormatting sqref="T952:U952">
    <cfRule type="cellIs" dxfId="0" priority="9334" operator="equal">
      <formula>"欠"</formula>
    </cfRule>
  </conditionalFormatting>
  <conditionalFormatting sqref="V952">
    <cfRule type="cellIs" dxfId="0" priority="9050" operator="equal">
      <formula>"欠"</formula>
    </cfRule>
  </conditionalFormatting>
  <conditionalFormatting sqref="AJ952">
    <cfRule type="cellIs" dxfId="0" priority="9405" operator="equal">
      <formula>"未完成"</formula>
    </cfRule>
  </conditionalFormatting>
  <conditionalFormatting sqref="AL952:AM952">
    <cfRule type="cellIs" dxfId="1" priority="9121" operator="equal">
      <formula>"未完成"</formula>
    </cfRule>
    <cfRule type="cellIs" dxfId="0" priority="9192" operator="equal">
      <formula>"未完成"</formula>
    </cfRule>
  </conditionalFormatting>
  <conditionalFormatting sqref="AN952">
    <cfRule type="cellIs" dxfId="0" priority="9476" operator="equal">
      <formula>"欠"</formula>
    </cfRule>
  </conditionalFormatting>
  <conditionalFormatting sqref="R953">
    <cfRule type="cellIs" dxfId="0" priority="8978" operator="equal">
      <formula>"欠"</formula>
    </cfRule>
    <cfRule type="containsText" dxfId="0" priority="8907" operator="between" text="欠">
      <formula>NOT(ISERROR(SEARCH("欠",R953)))</formula>
    </cfRule>
  </conditionalFormatting>
  <conditionalFormatting sqref="S953">
    <cfRule type="cellIs" dxfId="0" priority="9262" operator="equal">
      <formula>"欠"</formula>
    </cfRule>
  </conditionalFormatting>
  <conditionalFormatting sqref="T953:U953">
    <cfRule type="cellIs" dxfId="0" priority="9333" operator="equal">
      <formula>"欠"</formula>
    </cfRule>
  </conditionalFormatting>
  <conditionalFormatting sqref="V953">
    <cfRule type="cellIs" dxfId="0" priority="9049" operator="equal">
      <formula>"欠"</formula>
    </cfRule>
  </conditionalFormatting>
  <conditionalFormatting sqref="AJ953">
    <cfRule type="cellIs" dxfId="0" priority="9404" operator="equal">
      <formula>"未完成"</formula>
    </cfRule>
  </conditionalFormatting>
  <conditionalFormatting sqref="AL953:AM953">
    <cfRule type="cellIs" dxfId="1" priority="9120" operator="equal">
      <formula>"未完成"</formula>
    </cfRule>
    <cfRule type="cellIs" dxfId="0" priority="9191" operator="equal">
      <formula>"未完成"</formula>
    </cfRule>
  </conditionalFormatting>
  <conditionalFormatting sqref="R954">
    <cfRule type="cellIs" dxfId="0" priority="8977" operator="equal">
      <formula>"欠"</formula>
    </cfRule>
    <cfRule type="containsText" dxfId="0" priority="8906" operator="between" text="欠">
      <formula>NOT(ISERROR(SEARCH("欠",R954)))</formula>
    </cfRule>
  </conditionalFormatting>
  <conditionalFormatting sqref="S954">
    <cfRule type="cellIs" dxfId="0" priority="9261" operator="equal">
      <formula>"欠"</formula>
    </cfRule>
  </conditionalFormatting>
  <conditionalFormatting sqref="T954:U954">
    <cfRule type="cellIs" dxfId="0" priority="9332" operator="equal">
      <formula>"欠"</formula>
    </cfRule>
  </conditionalFormatting>
  <conditionalFormatting sqref="V954">
    <cfRule type="cellIs" dxfId="0" priority="9048" operator="equal">
      <formula>"欠"</formula>
    </cfRule>
  </conditionalFormatting>
  <conditionalFormatting sqref="AJ954">
    <cfRule type="cellIs" dxfId="0" priority="9403" operator="equal">
      <formula>"未完成"</formula>
    </cfRule>
  </conditionalFormatting>
  <conditionalFormatting sqref="AL954:AM954">
    <cfRule type="cellIs" dxfId="1" priority="9119" operator="equal">
      <formula>"未完成"</formula>
    </cfRule>
    <cfRule type="cellIs" dxfId="0" priority="9190" operator="equal">
      <formula>"未完成"</formula>
    </cfRule>
  </conditionalFormatting>
  <conditionalFormatting sqref="R955">
    <cfRule type="cellIs" dxfId="0" priority="8976" operator="equal">
      <formula>"欠"</formula>
    </cfRule>
    <cfRule type="containsText" dxfId="0" priority="8905" operator="between" text="欠">
      <formula>NOT(ISERROR(SEARCH("欠",R955)))</formula>
    </cfRule>
  </conditionalFormatting>
  <conditionalFormatting sqref="S955">
    <cfRule type="cellIs" dxfId="0" priority="9260" operator="equal">
      <formula>"欠"</formula>
    </cfRule>
  </conditionalFormatting>
  <conditionalFormatting sqref="T955:U955">
    <cfRule type="cellIs" dxfId="0" priority="9331" operator="equal">
      <formula>"欠"</formula>
    </cfRule>
  </conditionalFormatting>
  <conditionalFormatting sqref="V955">
    <cfRule type="cellIs" dxfId="0" priority="9047" operator="equal">
      <formula>"欠"</formula>
    </cfRule>
  </conditionalFormatting>
  <conditionalFormatting sqref="AJ955">
    <cfRule type="cellIs" dxfId="0" priority="9402" operator="equal">
      <formula>"未完成"</formula>
    </cfRule>
  </conditionalFormatting>
  <conditionalFormatting sqref="AL955:AM955">
    <cfRule type="cellIs" dxfId="1" priority="9118" operator="equal">
      <formula>"未完成"</formula>
    </cfRule>
    <cfRule type="cellIs" dxfId="0" priority="9189" operator="equal">
      <formula>"未完成"</formula>
    </cfRule>
  </conditionalFormatting>
  <conditionalFormatting sqref="R956">
    <cfRule type="cellIs" dxfId="0" priority="8975" operator="equal">
      <formula>"欠"</formula>
    </cfRule>
    <cfRule type="containsText" dxfId="0" priority="8904" operator="between" text="欠">
      <formula>NOT(ISERROR(SEARCH("欠",R956)))</formula>
    </cfRule>
  </conditionalFormatting>
  <conditionalFormatting sqref="S956">
    <cfRule type="cellIs" dxfId="0" priority="9259" operator="equal">
      <formula>"欠"</formula>
    </cfRule>
  </conditionalFormatting>
  <conditionalFormatting sqref="T956:U956">
    <cfRule type="cellIs" dxfId="0" priority="9330" operator="equal">
      <formula>"欠"</formula>
    </cfRule>
  </conditionalFormatting>
  <conditionalFormatting sqref="V956">
    <cfRule type="cellIs" dxfId="0" priority="9046" operator="equal">
      <formula>"欠"</formula>
    </cfRule>
  </conditionalFormatting>
  <conditionalFormatting sqref="AJ956">
    <cfRule type="cellIs" dxfId="0" priority="9401" operator="equal">
      <formula>"未完成"</formula>
    </cfRule>
  </conditionalFormatting>
  <conditionalFormatting sqref="AL956:AM956">
    <cfRule type="cellIs" dxfId="1" priority="9117" operator="equal">
      <formula>"未完成"</formula>
    </cfRule>
    <cfRule type="cellIs" dxfId="0" priority="9188" operator="equal">
      <formula>"未完成"</formula>
    </cfRule>
  </conditionalFormatting>
  <conditionalFormatting sqref="R957">
    <cfRule type="cellIs" dxfId="0" priority="8974" operator="equal">
      <formula>"欠"</formula>
    </cfRule>
    <cfRule type="containsText" dxfId="0" priority="8903" operator="between" text="欠">
      <formula>NOT(ISERROR(SEARCH("欠",R957)))</formula>
    </cfRule>
  </conditionalFormatting>
  <conditionalFormatting sqref="S957">
    <cfRule type="cellIs" dxfId="0" priority="9258" operator="equal">
      <formula>"欠"</formula>
    </cfRule>
  </conditionalFormatting>
  <conditionalFormatting sqref="T957:U957">
    <cfRule type="cellIs" dxfId="0" priority="9329" operator="equal">
      <formula>"欠"</formula>
    </cfRule>
  </conditionalFormatting>
  <conditionalFormatting sqref="V957">
    <cfRule type="cellIs" dxfId="0" priority="9045" operator="equal">
      <formula>"欠"</formula>
    </cfRule>
  </conditionalFormatting>
  <conditionalFormatting sqref="AJ957">
    <cfRule type="cellIs" dxfId="0" priority="9400" operator="equal">
      <formula>"未完成"</formula>
    </cfRule>
  </conditionalFormatting>
  <conditionalFormatting sqref="AL957:AM957">
    <cfRule type="cellIs" dxfId="1" priority="9116" operator="equal">
      <formula>"未完成"</formula>
    </cfRule>
    <cfRule type="cellIs" dxfId="0" priority="9187" operator="equal">
      <formula>"未完成"</formula>
    </cfRule>
  </conditionalFormatting>
  <conditionalFormatting sqref="AN957">
    <cfRule type="cellIs" dxfId="0" priority="9471" operator="equal">
      <formula>"欠"</formula>
    </cfRule>
  </conditionalFormatting>
  <conditionalFormatting sqref="R958">
    <cfRule type="cellIs" dxfId="0" priority="8973" operator="equal">
      <formula>"欠"</formula>
    </cfRule>
    <cfRule type="containsText" dxfId="0" priority="8902" operator="between" text="欠">
      <formula>NOT(ISERROR(SEARCH("欠",R958)))</formula>
    </cfRule>
  </conditionalFormatting>
  <conditionalFormatting sqref="S958">
    <cfRule type="cellIs" dxfId="0" priority="9257" operator="equal">
      <formula>"欠"</formula>
    </cfRule>
  </conditionalFormatting>
  <conditionalFormatting sqref="T958:U958">
    <cfRule type="cellIs" dxfId="0" priority="9328" operator="equal">
      <formula>"欠"</formula>
    </cfRule>
  </conditionalFormatting>
  <conditionalFormatting sqref="V958">
    <cfRule type="cellIs" dxfId="0" priority="9044" operator="equal">
      <formula>"欠"</formula>
    </cfRule>
  </conditionalFormatting>
  <conditionalFormatting sqref="AJ958">
    <cfRule type="cellIs" dxfId="0" priority="9399" operator="equal">
      <formula>"未完成"</formula>
    </cfRule>
  </conditionalFormatting>
  <conditionalFormatting sqref="AL958:AM958">
    <cfRule type="cellIs" dxfId="1" priority="9115" operator="equal">
      <formula>"未完成"</formula>
    </cfRule>
    <cfRule type="cellIs" dxfId="0" priority="9186" operator="equal">
      <formula>"未完成"</formula>
    </cfRule>
  </conditionalFormatting>
  <conditionalFormatting sqref="R959">
    <cfRule type="cellIs" dxfId="0" priority="8972" operator="equal">
      <formula>"欠"</formula>
    </cfRule>
    <cfRule type="containsText" dxfId="0" priority="8901" operator="between" text="欠">
      <formula>NOT(ISERROR(SEARCH("欠",R959)))</formula>
    </cfRule>
  </conditionalFormatting>
  <conditionalFormatting sqref="S959">
    <cfRule type="cellIs" dxfId="0" priority="9256" operator="equal">
      <formula>"欠"</formula>
    </cfRule>
  </conditionalFormatting>
  <conditionalFormatting sqref="T959:U959">
    <cfRule type="cellIs" dxfId="0" priority="9327" operator="equal">
      <formula>"欠"</formula>
    </cfRule>
  </conditionalFormatting>
  <conditionalFormatting sqref="V959">
    <cfRule type="cellIs" dxfId="0" priority="9043" operator="equal">
      <formula>"欠"</formula>
    </cfRule>
  </conditionalFormatting>
  <conditionalFormatting sqref="AJ959">
    <cfRule type="cellIs" dxfId="0" priority="9398" operator="equal">
      <formula>"未完成"</formula>
    </cfRule>
  </conditionalFormatting>
  <conditionalFormatting sqref="AL959:AM959">
    <cfRule type="cellIs" dxfId="1" priority="9114" operator="equal">
      <formula>"未完成"</formula>
    </cfRule>
    <cfRule type="cellIs" dxfId="0" priority="9185" operator="equal">
      <formula>"未完成"</formula>
    </cfRule>
  </conditionalFormatting>
  <conditionalFormatting sqref="AN959">
    <cfRule type="cellIs" dxfId="0" priority="9469" operator="equal">
      <formula>"欠"</formula>
    </cfRule>
  </conditionalFormatting>
  <conditionalFormatting sqref="R960">
    <cfRule type="cellIs" dxfId="0" priority="8971" operator="equal">
      <formula>"欠"</formula>
    </cfRule>
    <cfRule type="containsText" dxfId="0" priority="8900" operator="between" text="欠">
      <formula>NOT(ISERROR(SEARCH("欠",R960)))</formula>
    </cfRule>
  </conditionalFormatting>
  <conditionalFormatting sqref="S960">
    <cfRule type="cellIs" dxfId="0" priority="9255" operator="equal">
      <formula>"欠"</formula>
    </cfRule>
  </conditionalFormatting>
  <conditionalFormatting sqref="T960:U960">
    <cfRule type="cellIs" dxfId="0" priority="9326" operator="equal">
      <formula>"欠"</formula>
    </cfRule>
  </conditionalFormatting>
  <conditionalFormatting sqref="V960">
    <cfRule type="cellIs" dxfId="0" priority="9042" operator="equal">
      <formula>"欠"</formula>
    </cfRule>
  </conditionalFormatting>
  <conditionalFormatting sqref="AJ960">
    <cfRule type="cellIs" dxfId="0" priority="9397" operator="equal">
      <formula>"未完成"</formula>
    </cfRule>
  </conditionalFormatting>
  <conditionalFormatting sqref="AL960:AM960">
    <cfRule type="cellIs" dxfId="1" priority="9113" operator="equal">
      <formula>"未完成"</formula>
    </cfRule>
    <cfRule type="cellIs" dxfId="0" priority="9184" operator="equal">
      <formula>"未完成"</formula>
    </cfRule>
  </conditionalFormatting>
  <conditionalFormatting sqref="AN960">
    <cfRule type="cellIs" dxfId="0" priority="9468" operator="equal">
      <formula>"欠"</formula>
    </cfRule>
  </conditionalFormatting>
  <conditionalFormatting sqref="R961">
    <cfRule type="cellIs" dxfId="0" priority="8970" operator="equal">
      <formula>"欠"</formula>
    </cfRule>
    <cfRule type="containsText" dxfId="0" priority="8899" operator="between" text="欠">
      <formula>NOT(ISERROR(SEARCH("欠",R961)))</formula>
    </cfRule>
  </conditionalFormatting>
  <conditionalFormatting sqref="S961">
    <cfRule type="cellIs" dxfId="0" priority="9254" operator="equal">
      <formula>"欠"</formula>
    </cfRule>
  </conditionalFormatting>
  <conditionalFormatting sqref="T961:U961">
    <cfRule type="cellIs" dxfId="0" priority="9325" operator="equal">
      <formula>"欠"</formula>
    </cfRule>
  </conditionalFormatting>
  <conditionalFormatting sqref="V961">
    <cfRule type="cellIs" dxfId="0" priority="9041" operator="equal">
      <formula>"欠"</formula>
    </cfRule>
  </conditionalFormatting>
  <conditionalFormatting sqref="AJ961">
    <cfRule type="cellIs" dxfId="0" priority="9396" operator="equal">
      <formula>"未完成"</formula>
    </cfRule>
  </conditionalFormatting>
  <conditionalFormatting sqref="AL961:AM961">
    <cfRule type="cellIs" dxfId="1" priority="9112" operator="equal">
      <formula>"未完成"</formula>
    </cfRule>
    <cfRule type="cellIs" dxfId="0" priority="9183" operator="equal">
      <formula>"未完成"</formula>
    </cfRule>
  </conditionalFormatting>
  <conditionalFormatting sqref="AN961">
    <cfRule type="cellIs" dxfId="0" priority="9467" operator="equal">
      <formula>"欠"</formula>
    </cfRule>
  </conditionalFormatting>
  <conditionalFormatting sqref="R962">
    <cfRule type="cellIs" dxfId="0" priority="8969" operator="equal">
      <formula>"欠"</formula>
    </cfRule>
    <cfRule type="containsText" dxfId="0" priority="8898" operator="between" text="欠">
      <formula>NOT(ISERROR(SEARCH("欠",R962)))</formula>
    </cfRule>
  </conditionalFormatting>
  <conditionalFormatting sqref="S962">
    <cfRule type="cellIs" dxfId="0" priority="9253" operator="equal">
      <formula>"欠"</formula>
    </cfRule>
  </conditionalFormatting>
  <conditionalFormatting sqref="T962:U962">
    <cfRule type="cellIs" dxfId="0" priority="9324" operator="equal">
      <formula>"欠"</formula>
    </cfRule>
  </conditionalFormatting>
  <conditionalFormatting sqref="V962">
    <cfRule type="cellIs" dxfId="0" priority="9040" operator="equal">
      <formula>"欠"</formula>
    </cfRule>
  </conditionalFormatting>
  <conditionalFormatting sqref="AJ962">
    <cfRule type="cellIs" dxfId="0" priority="9395" operator="equal">
      <formula>"未完成"</formula>
    </cfRule>
  </conditionalFormatting>
  <conditionalFormatting sqref="AL962:AM962">
    <cfRule type="cellIs" dxfId="1" priority="9111" operator="equal">
      <formula>"未完成"</formula>
    </cfRule>
    <cfRule type="cellIs" dxfId="0" priority="9182" operator="equal">
      <formula>"未完成"</formula>
    </cfRule>
  </conditionalFormatting>
  <conditionalFormatting sqref="AN962">
    <cfRule type="cellIs" dxfId="0" priority="9466" operator="equal">
      <formula>"欠"</formula>
    </cfRule>
  </conditionalFormatting>
  <conditionalFormatting sqref="R963">
    <cfRule type="cellIs" dxfId="0" priority="8968" operator="equal">
      <formula>"欠"</formula>
    </cfRule>
    <cfRule type="containsText" dxfId="0" priority="8897" operator="between" text="欠">
      <formula>NOT(ISERROR(SEARCH("欠",R963)))</formula>
    </cfRule>
  </conditionalFormatting>
  <conditionalFormatting sqref="S963">
    <cfRule type="cellIs" dxfId="0" priority="9252" operator="equal">
      <formula>"欠"</formula>
    </cfRule>
  </conditionalFormatting>
  <conditionalFormatting sqref="T963:U963">
    <cfRule type="cellIs" dxfId="0" priority="9323" operator="equal">
      <formula>"欠"</formula>
    </cfRule>
  </conditionalFormatting>
  <conditionalFormatting sqref="V963">
    <cfRule type="cellIs" dxfId="0" priority="9039" operator="equal">
      <formula>"欠"</formula>
    </cfRule>
  </conditionalFormatting>
  <conditionalFormatting sqref="AJ963">
    <cfRule type="cellIs" dxfId="0" priority="9394" operator="equal">
      <formula>"未完成"</formula>
    </cfRule>
  </conditionalFormatting>
  <conditionalFormatting sqref="AL963:AM963">
    <cfRule type="cellIs" dxfId="1" priority="9110" operator="equal">
      <formula>"未完成"</formula>
    </cfRule>
    <cfRule type="cellIs" dxfId="0" priority="9181" operator="equal">
      <formula>"未完成"</formula>
    </cfRule>
  </conditionalFormatting>
  <conditionalFormatting sqref="AN963">
    <cfRule type="cellIs" dxfId="0" priority="9465" operator="equal">
      <formula>"欠"</formula>
    </cfRule>
  </conditionalFormatting>
  <conditionalFormatting sqref="R964">
    <cfRule type="cellIs" dxfId="0" priority="8967" operator="equal">
      <formula>"欠"</formula>
    </cfRule>
    <cfRule type="containsText" dxfId="0" priority="8896" operator="between" text="欠">
      <formula>NOT(ISERROR(SEARCH("欠",R964)))</formula>
    </cfRule>
  </conditionalFormatting>
  <conditionalFormatting sqref="S964">
    <cfRule type="cellIs" dxfId="0" priority="9251" operator="equal">
      <formula>"欠"</formula>
    </cfRule>
  </conditionalFormatting>
  <conditionalFormatting sqref="T964:U964">
    <cfRule type="cellIs" dxfId="0" priority="9322" operator="equal">
      <formula>"欠"</formula>
    </cfRule>
  </conditionalFormatting>
  <conditionalFormatting sqref="V964">
    <cfRule type="cellIs" dxfId="0" priority="9038" operator="equal">
      <formula>"欠"</formula>
    </cfRule>
  </conditionalFormatting>
  <conditionalFormatting sqref="AJ964">
    <cfRule type="cellIs" dxfId="0" priority="9393" operator="equal">
      <formula>"未完成"</formula>
    </cfRule>
  </conditionalFormatting>
  <conditionalFormatting sqref="AL964:AM964">
    <cfRule type="cellIs" dxfId="1" priority="9109" operator="equal">
      <formula>"未完成"</formula>
    </cfRule>
    <cfRule type="cellIs" dxfId="0" priority="9180" operator="equal">
      <formula>"未完成"</formula>
    </cfRule>
  </conditionalFormatting>
  <conditionalFormatting sqref="R965">
    <cfRule type="cellIs" dxfId="0" priority="8966" operator="equal">
      <formula>"欠"</formula>
    </cfRule>
    <cfRule type="containsText" dxfId="0" priority="8895" operator="between" text="欠">
      <formula>NOT(ISERROR(SEARCH("欠",R965)))</formula>
    </cfRule>
  </conditionalFormatting>
  <conditionalFormatting sqref="S965">
    <cfRule type="cellIs" dxfId="0" priority="9250" operator="equal">
      <formula>"欠"</formula>
    </cfRule>
  </conditionalFormatting>
  <conditionalFormatting sqref="T965:U965">
    <cfRule type="cellIs" dxfId="0" priority="9321" operator="equal">
      <formula>"欠"</formula>
    </cfRule>
  </conditionalFormatting>
  <conditionalFormatting sqref="V965">
    <cfRule type="cellIs" dxfId="0" priority="9037" operator="equal">
      <formula>"欠"</formula>
    </cfRule>
  </conditionalFormatting>
  <conditionalFormatting sqref="AJ965">
    <cfRule type="cellIs" dxfId="0" priority="9392" operator="equal">
      <formula>"未完成"</formula>
    </cfRule>
  </conditionalFormatting>
  <conditionalFormatting sqref="AL965:AM965">
    <cfRule type="cellIs" dxfId="1" priority="9108" operator="equal">
      <formula>"未完成"</formula>
    </cfRule>
    <cfRule type="cellIs" dxfId="0" priority="9179" operator="equal">
      <formula>"未完成"</formula>
    </cfRule>
  </conditionalFormatting>
  <conditionalFormatting sqref="R966">
    <cfRule type="cellIs" dxfId="0" priority="8965" operator="equal">
      <formula>"欠"</formula>
    </cfRule>
    <cfRule type="containsText" dxfId="0" priority="8894" operator="between" text="欠">
      <formula>NOT(ISERROR(SEARCH("欠",R966)))</formula>
    </cfRule>
  </conditionalFormatting>
  <conditionalFormatting sqref="S966">
    <cfRule type="cellIs" dxfId="0" priority="9249" operator="equal">
      <formula>"欠"</formula>
    </cfRule>
  </conditionalFormatting>
  <conditionalFormatting sqref="T966:U966">
    <cfRule type="cellIs" dxfId="0" priority="9320" operator="equal">
      <formula>"欠"</formula>
    </cfRule>
  </conditionalFormatting>
  <conditionalFormatting sqref="V966">
    <cfRule type="cellIs" dxfId="0" priority="9036" operator="equal">
      <formula>"欠"</formula>
    </cfRule>
  </conditionalFormatting>
  <conditionalFormatting sqref="AJ966">
    <cfRule type="cellIs" dxfId="0" priority="9391" operator="equal">
      <formula>"未完成"</formula>
    </cfRule>
  </conditionalFormatting>
  <conditionalFormatting sqref="AL966:AM966">
    <cfRule type="cellIs" dxfId="1" priority="9107" operator="equal">
      <formula>"未完成"</formula>
    </cfRule>
    <cfRule type="cellIs" dxfId="0" priority="9178" operator="equal">
      <formula>"未完成"</formula>
    </cfRule>
  </conditionalFormatting>
  <conditionalFormatting sqref="R967">
    <cfRule type="cellIs" dxfId="0" priority="8964" operator="equal">
      <formula>"欠"</formula>
    </cfRule>
    <cfRule type="containsText" dxfId="0" priority="8893" operator="between" text="欠">
      <formula>NOT(ISERROR(SEARCH("欠",R967)))</formula>
    </cfRule>
  </conditionalFormatting>
  <conditionalFormatting sqref="S967">
    <cfRule type="cellIs" dxfId="0" priority="9248" operator="equal">
      <formula>"欠"</formula>
    </cfRule>
  </conditionalFormatting>
  <conditionalFormatting sqref="T967:U967">
    <cfRule type="cellIs" dxfId="0" priority="9319" operator="equal">
      <formula>"欠"</formula>
    </cfRule>
  </conditionalFormatting>
  <conditionalFormatting sqref="V967">
    <cfRule type="cellIs" dxfId="0" priority="9035" operator="equal">
      <formula>"欠"</formula>
    </cfRule>
  </conditionalFormatting>
  <conditionalFormatting sqref="AJ967">
    <cfRule type="cellIs" dxfId="0" priority="9390" operator="equal">
      <formula>"未完成"</formula>
    </cfRule>
  </conditionalFormatting>
  <conditionalFormatting sqref="AL967:AM967">
    <cfRule type="cellIs" dxfId="1" priority="9106" operator="equal">
      <formula>"未完成"</formula>
    </cfRule>
    <cfRule type="cellIs" dxfId="0" priority="9177" operator="equal">
      <formula>"未完成"</formula>
    </cfRule>
  </conditionalFormatting>
  <conditionalFormatting sqref="R968">
    <cfRule type="cellIs" dxfId="0" priority="8963" operator="equal">
      <formula>"欠"</formula>
    </cfRule>
    <cfRule type="containsText" dxfId="0" priority="8892" operator="between" text="欠">
      <formula>NOT(ISERROR(SEARCH("欠",R968)))</formula>
    </cfRule>
  </conditionalFormatting>
  <conditionalFormatting sqref="S968">
    <cfRule type="cellIs" dxfId="0" priority="9247" operator="equal">
      <formula>"欠"</formula>
    </cfRule>
  </conditionalFormatting>
  <conditionalFormatting sqref="T968:U968">
    <cfRule type="cellIs" dxfId="0" priority="9318" operator="equal">
      <formula>"欠"</formula>
    </cfRule>
  </conditionalFormatting>
  <conditionalFormatting sqref="V968">
    <cfRule type="cellIs" dxfId="0" priority="9034" operator="equal">
      <formula>"欠"</formula>
    </cfRule>
  </conditionalFormatting>
  <conditionalFormatting sqref="AJ968">
    <cfRule type="cellIs" dxfId="0" priority="9389" operator="equal">
      <formula>"未完成"</formula>
    </cfRule>
  </conditionalFormatting>
  <conditionalFormatting sqref="AL968:AM968">
    <cfRule type="cellIs" dxfId="1" priority="9105" operator="equal">
      <formula>"未完成"</formula>
    </cfRule>
    <cfRule type="cellIs" dxfId="0" priority="9176" operator="equal">
      <formula>"未完成"</formula>
    </cfRule>
  </conditionalFormatting>
  <conditionalFormatting sqref="R969">
    <cfRule type="cellIs" dxfId="0" priority="8962" operator="equal">
      <formula>"欠"</formula>
    </cfRule>
    <cfRule type="containsText" dxfId="0" priority="8891" operator="between" text="欠">
      <formula>NOT(ISERROR(SEARCH("欠",R969)))</formula>
    </cfRule>
  </conditionalFormatting>
  <conditionalFormatting sqref="S969">
    <cfRule type="cellIs" dxfId="0" priority="9246" operator="equal">
      <formula>"欠"</formula>
    </cfRule>
  </conditionalFormatting>
  <conditionalFormatting sqref="T969:U969">
    <cfRule type="cellIs" dxfId="0" priority="9317" operator="equal">
      <formula>"欠"</formula>
    </cfRule>
  </conditionalFormatting>
  <conditionalFormatting sqref="V969">
    <cfRule type="cellIs" dxfId="0" priority="9033" operator="equal">
      <formula>"欠"</formula>
    </cfRule>
  </conditionalFormatting>
  <conditionalFormatting sqref="AJ969">
    <cfRule type="cellIs" dxfId="0" priority="9388" operator="equal">
      <formula>"未完成"</formula>
    </cfRule>
  </conditionalFormatting>
  <conditionalFormatting sqref="AL969:AM969">
    <cfRule type="cellIs" dxfId="1" priority="9104" operator="equal">
      <formula>"未完成"</formula>
    </cfRule>
    <cfRule type="cellIs" dxfId="0" priority="9175" operator="equal">
      <formula>"未完成"</formula>
    </cfRule>
  </conditionalFormatting>
  <conditionalFormatting sqref="R970">
    <cfRule type="cellIs" dxfId="0" priority="8961" operator="equal">
      <formula>"欠"</formula>
    </cfRule>
    <cfRule type="containsText" dxfId="0" priority="8890" operator="between" text="欠">
      <formula>NOT(ISERROR(SEARCH("欠",R970)))</formula>
    </cfRule>
  </conditionalFormatting>
  <conditionalFormatting sqref="S970">
    <cfRule type="cellIs" dxfId="0" priority="9245" operator="equal">
      <formula>"欠"</formula>
    </cfRule>
  </conditionalFormatting>
  <conditionalFormatting sqref="T970:U970">
    <cfRule type="cellIs" dxfId="0" priority="9316" operator="equal">
      <formula>"欠"</formula>
    </cfRule>
  </conditionalFormatting>
  <conditionalFormatting sqref="V970">
    <cfRule type="cellIs" dxfId="0" priority="9032" operator="equal">
      <formula>"欠"</formula>
    </cfRule>
  </conditionalFormatting>
  <conditionalFormatting sqref="AJ970">
    <cfRule type="cellIs" dxfId="0" priority="9387" operator="equal">
      <formula>"未完成"</formula>
    </cfRule>
  </conditionalFormatting>
  <conditionalFormatting sqref="AL970:AM970">
    <cfRule type="cellIs" dxfId="1" priority="9103" operator="equal">
      <formula>"未完成"</formula>
    </cfRule>
    <cfRule type="cellIs" dxfId="0" priority="9174" operator="equal">
      <formula>"未完成"</formula>
    </cfRule>
  </conditionalFormatting>
  <conditionalFormatting sqref="R971">
    <cfRule type="cellIs" dxfId="0" priority="8960" operator="equal">
      <formula>"欠"</formula>
    </cfRule>
    <cfRule type="containsText" dxfId="0" priority="8889" operator="between" text="欠">
      <formula>NOT(ISERROR(SEARCH("欠",R971)))</formula>
    </cfRule>
  </conditionalFormatting>
  <conditionalFormatting sqref="S971">
    <cfRule type="cellIs" dxfId="0" priority="9244" operator="equal">
      <formula>"欠"</formula>
    </cfRule>
  </conditionalFormatting>
  <conditionalFormatting sqref="T971:U971">
    <cfRule type="cellIs" dxfId="0" priority="9315" operator="equal">
      <formula>"欠"</formula>
    </cfRule>
  </conditionalFormatting>
  <conditionalFormatting sqref="V971">
    <cfRule type="cellIs" dxfId="0" priority="9031" operator="equal">
      <formula>"欠"</formula>
    </cfRule>
  </conditionalFormatting>
  <conditionalFormatting sqref="AJ971">
    <cfRule type="cellIs" dxfId="0" priority="9386" operator="equal">
      <formula>"未完成"</formula>
    </cfRule>
  </conditionalFormatting>
  <conditionalFormatting sqref="AL971:AM971">
    <cfRule type="cellIs" dxfId="1" priority="9102" operator="equal">
      <formula>"未完成"</formula>
    </cfRule>
    <cfRule type="cellIs" dxfId="0" priority="9173" operator="equal">
      <formula>"未完成"</formula>
    </cfRule>
  </conditionalFormatting>
  <conditionalFormatting sqref="R972">
    <cfRule type="cellIs" dxfId="0" priority="8959" operator="equal">
      <formula>"欠"</formula>
    </cfRule>
    <cfRule type="containsText" dxfId="0" priority="8888" operator="between" text="欠">
      <formula>NOT(ISERROR(SEARCH("欠",R972)))</formula>
    </cfRule>
  </conditionalFormatting>
  <conditionalFormatting sqref="T972:U972">
    <cfRule type="cellIs" dxfId="0" priority="9314" operator="equal">
      <formula>"欠"</formula>
    </cfRule>
  </conditionalFormatting>
  <conditionalFormatting sqref="V972">
    <cfRule type="cellIs" dxfId="0" priority="9030" operator="equal">
      <formula>"欠"</formula>
    </cfRule>
  </conditionalFormatting>
  <conditionalFormatting sqref="AL972:AM972">
    <cfRule type="cellIs" dxfId="1" priority="9101" operator="equal">
      <formula>"未完成"</formula>
    </cfRule>
    <cfRule type="cellIs" dxfId="0" priority="9172" operator="equal">
      <formula>"未完成"</formula>
    </cfRule>
  </conditionalFormatting>
  <conditionalFormatting sqref="R973">
    <cfRule type="cellIs" dxfId="0" priority="8958" operator="equal">
      <formula>"欠"</formula>
    </cfRule>
    <cfRule type="containsText" dxfId="0" priority="8887" operator="between" text="欠">
      <formula>NOT(ISERROR(SEARCH("欠",R973)))</formula>
    </cfRule>
  </conditionalFormatting>
  <conditionalFormatting sqref="S973">
    <cfRule type="cellIs" dxfId="0" priority="9242" operator="equal">
      <formula>"欠"</formula>
    </cfRule>
  </conditionalFormatting>
  <conditionalFormatting sqref="T973:U973">
    <cfRule type="cellIs" dxfId="0" priority="9313" operator="equal">
      <formula>"欠"</formula>
    </cfRule>
  </conditionalFormatting>
  <conditionalFormatting sqref="V973">
    <cfRule type="cellIs" dxfId="0" priority="9029" operator="equal">
      <formula>"欠"</formula>
    </cfRule>
  </conditionalFormatting>
  <conditionalFormatting sqref="AL973:AM973">
    <cfRule type="cellIs" dxfId="1" priority="9100" operator="equal">
      <formula>"未完成"</formula>
    </cfRule>
    <cfRule type="cellIs" dxfId="0" priority="9171" operator="equal">
      <formula>"未完成"</formula>
    </cfRule>
  </conditionalFormatting>
  <conditionalFormatting sqref="AN973">
    <cfRule type="cellIs" dxfId="0" priority="9455" operator="equal">
      <formula>"欠"</formula>
    </cfRule>
  </conditionalFormatting>
  <conditionalFormatting sqref="R974">
    <cfRule type="cellIs" dxfId="0" priority="8957" operator="equal">
      <formula>"欠"</formula>
    </cfRule>
    <cfRule type="containsText" dxfId="0" priority="8886" operator="between" text="欠">
      <formula>NOT(ISERROR(SEARCH("欠",R974)))</formula>
    </cfRule>
  </conditionalFormatting>
  <conditionalFormatting sqref="S974">
    <cfRule type="cellIs" dxfId="0" priority="9241" operator="equal">
      <formula>"欠"</formula>
    </cfRule>
  </conditionalFormatting>
  <conditionalFormatting sqref="T974:U974">
    <cfRule type="cellIs" dxfId="0" priority="9312" operator="equal">
      <formula>"欠"</formula>
    </cfRule>
  </conditionalFormatting>
  <conditionalFormatting sqref="V974">
    <cfRule type="cellIs" dxfId="0" priority="9028" operator="equal">
      <formula>"欠"</formula>
    </cfRule>
  </conditionalFormatting>
  <conditionalFormatting sqref="AJ974">
    <cfRule type="cellIs" dxfId="0" priority="9383" operator="equal">
      <formula>"未完成"</formula>
    </cfRule>
  </conditionalFormatting>
  <conditionalFormatting sqref="AL974:AM974">
    <cfRule type="cellIs" dxfId="1" priority="9099" operator="equal">
      <formula>"未完成"</formula>
    </cfRule>
    <cfRule type="cellIs" dxfId="0" priority="9170" operator="equal">
      <formula>"未完成"</formula>
    </cfRule>
  </conditionalFormatting>
  <conditionalFormatting sqref="AN974">
    <cfRule type="cellIs" dxfId="0" priority="9454" operator="equal">
      <formula>"欠"</formula>
    </cfRule>
  </conditionalFormatting>
  <conditionalFormatting sqref="R975">
    <cfRule type="cellIs" dxfId="0" priority="8956" operator="equal">
      <formula>"欠"</formula>
    </cfRule>
    <cfRule type="containsText" dxfId="0" priority="8885" operator="between" text="欠">
      <formula>NOT(ISERROR(SEARCH("欠",R975)))</formula>
    </cfRule>
  </conditionalFormatting>
  <conditionalFormatting sqref="S975">
    <cfRule type="cellIs" dxfId="0" priority="9240" operator="equal">
      <formula>"欠"</formula>
    </cfRule>
  </conditionalFormatting>
  <conditionalFormatting sqref="T975:U975">
    <cfRule type="cellIs" dxfId="0" priority="9311" operator="equal">
      <formula>"欠"</formula>
    </cfRule>
  </conditionalFormatting>
  <conditionalFormatting sqref="V975">
    <cfRule type="cellIs" dxfId="0" priority="9027" operator="equal">
      <formula>"欠"</formula>
    </cfRule>
  </conditionalFormatting>
  <conditionalFormatting sqref="AJ975">
    <cfRule type="cellIs" dxfId="0" priority="9382" operator="equal">
      <formula>"未完成"</formula>
    </cfRule>
  </conditionalFormatting>
  <conditionalFormatting sqref="AL975:AM975">
    <cfRule type="cellIs" dxfId="1" priority="9098" operator="equal">
      <formula>"未完成"</formula>
    </cfRule>
    <cfRule type="cellIs" dxfId="0" priority="9169" operator="equal">
      <formula>"未完成"</formula>
    </cfRule>
  </conditionalFormatting>
  <conditionalFormatting sqref="AN975">
    <cfRule type="cellIs" dxfId="0" priority="9453" operator="equal">
      <formula>"欠"</formula>
    </cfRule>
  </conditionalFormatting>
  <conditionalFormatting sqref="R976">
    <cfRule type="cellIs" dxfId="0" priority="8955" operator="equal">
      <formula>"欠"</formula>
    </cfRule>
    <cfRule type="containsText" dxfId="0" priority="8884" operator="between" text="欠">
      <formula>NOT(ISERROR(SEARCH("欠",R976)))</formula>
    </cfRule>
  </conditionalFormatting>
  <conditionalFormatting sqref="T976:U976">
    <cfRule type="cellIs" dxfId="0" priority="9310" operator="equal">
      <formula>"欠"</formula>
    </cfRule>
  </conditionalFormatting>
  <conditionalFormatting sqref="V976">
    <cfRule type="cellIs" dxfId="0" priority="9026" operator="equal">
      <formula>"欠"</formula>
    </cfRule>
  </conditionalFormatting>
  <conditionalFormatting sqref="AJ976">
    <cfRule type="cellIs" dxfId="0" priority="9381" operator="equal">
      <formula>"未完成"</formula>
    </cfRule>
  </conditionalFormatting>
  <conditionalFormatting sqref="AL976:AM976">
    <cfRule type="cellIs" dxfId="1" priority="9097" operator="equal">
      <formula>"未完成"</formula>
    </cfRule>
    <cfRule type="cellIs" dxfId="0" priority="9168" operator="equal">
      <formula>"未完成"</formula>
    </cfRule>
  </conditionalFormatting>
  <conditionalFormatting sqref="AN976">
    <cfRule type="cellIs" dxfId="0" priority="9452" operator="equal">
      <formula>"欠"</formula>
    </cfRule>
  </conditionalFormatting>
  <conditionalFormatting sqref="R977">
    <cfRule type="cellIs" dxfId="0" priority="8954" operator="equal">
      <formula>"欠"</formula>
    </cfRule>
    <cfRule type="containsText" dxfId="0" priority="8883" operator="between" text="欠">
      <formula>NOT(ISERROR(SEARCH("欠",R977)))</formula>
    </cfRule>
  </conditionalFormatting>
  <conditionalFormatting sqref="S977">
    <cfRule type="cellIs" dxfId="0" priority="9238" operator="equal">
      <formula>"欠"</formula>
    </cfRule>
  </conditionalFormatting>
  <conditionalFormatting sqref="T977:U977">
    <cfRule type="cellIs" dxfId="0" priority="9309" operator="equal">
      <formula>"欠"</formula>
    </cfRule>
  </conditionalFormatting>
  <conditionalFormatting sqref="V977">
    <cfRule type="cellIs" dxfId="0" priority="9025" operator="equal">
      <formula>"欠"</formula>
    </cfRule>
  </conditionalFormatting>
  <conditionalFormatting sqref="AJ977">
    <cfRule type="cellIs" dxfId="0" priority="9380" operator="equal">
      <formula>"未完成"</formula>
    </cfRule>
  </conditionalFormatting>
  <conditionalFormatting sqref="AL977:AM977">
    <cfRule type="cellIs" dxfId="1" priority="9096" operator="equal">
      <formula>"未完成"</formula>
    </cfRule>
    <cfRule type="cellIs" dxfId="0" priority="9167" operator="equal">
      <formula>"未完成"</formula>
    </cfRule>
  </conditionalFormatting>
  <conditionalFormatting sqref="AN977">
    <cfRule type="cellIs" dxfId="0" priority="9451" operator="equal">
      <formula>"欠"</formula>
    </cfRule>
  </conditionalFormatting>
  <conditionalFormatting sqref="R978">
    <cfRule type="cellIs" dxfId="0" priority="8953" operator="equal">
      <formula>"欠"</formula>
    </cfRule>
    <cfRule type="containsText" dxfId="0" priority="8882" operator="between" text="欠">
      <formula>NOT(ISERROR(SEARCH("欠",R978)))</formula>
    </cfRule>
  </conditionalFormatting>
  <conditionalFormatting sqref="S978">
    <cfRule type="cellIs" dxfId="0" priority="9237" operator="equal">
      <formula>"欠"</formula>
    </cfRule>
  </conditionalFormatting>
  <conditionalFormatting sqref="T978:U978">
    <cfRule type="cellIs" dxfId="0" priority="9308" operator="equal">
      <formula>"欠"</formula>
    </cfRule>
  </conditionalFormatting>
  <conditionalFormatting sqref="V978">
    <cfRule type="cellIs" dxfId="0" priority="9024" operator="equal">
      <formula>"欠"</formula>
    </cfRule>
  </conditionalFormatting>
  <conditionalFormatting sqref="AJ978">
    <cfRule type="cellIs" dxfId="0" priority="9379" operator="equal">
      <formula>"未完成"</formula>
    </cfRule>
  </conditionalFormatting>
  <conditionalFormatting sqref="AL978:AM978">
    <cfRule type="cellIs" dxfId="1" priority="9095" operator="equal">
      <formula>"未完成"</formula>
    </cfRule>
    <cfRule type="cellIs" dxfId="0" priority="9166" operator="equal">
      <formula>"未完成"</formula>
    </cfRule>
  </conditionalFormatting>
  <conditionalFormatting sqref="R979">
    <cfRule type="cellIs" dxfId="0" priority="8952" operator="equal">
      <formula>"欠"</formula>
    </cfRule>
    <cfRule type="containsText" dxfId="0" priority="8881" operator="between" text="欠">
      <formula>NOT(ISERROR(SEARCH("欠",R979)))</formula>
    </cfRule>
  </conditionalFormatting>
  <conditionalFormatting sqref="S979">
    <cfRule type="cellIs" dxfId="0" priority="9236" operator="equal">
      <formula>"欠"</formula>
    </cfRule>
  </conditionalFormatting>
  <conditionalFormatting sqref="T979:U979">
    <cfRule type="cellIs" dxfId="0" priority="9307" operator="equal">
      <formula>"欠"</formula>
    </cfRule>
  </conditionalFormatting>
  <conditionalFormatting sqref="V979">
    <cfRule type="cellIs" dxfId="0" priority="9023" operator="equal">
      <formula>"欠"</formula>
    </cfRule>
  </conditionalFormatting>
  <conditionalFormatting sqref="AJ979">
    <cfRule type="cellIs" dxfId="0" priority="9378" operator="equal">
      <formula>"未完成"</formula>
    </cfRule>
  </conditionalFormatting>
  <conditionalFormatting sqref="AL979:AM979">
    <cfRule type="cellIs" dxfId="1" priority="9094" operator="equal">
      <formula>"未完成"</formula>
    </cfRule>
    <cfRule type="cellIs" dxfId="0" priority="9165" operator="equal">
      <formula>"未完成"</formula>
    </cfRule>
  </conditionalFormatting>
  <conditionalFormatting sqref="R980">
    <cfRule type="cellIs" dxfId="0" priority="8951" operator="equal">
      <formula>"欠"</formula>
    </cfRule>
    <cfRule type="containsText" dxfId="0" priority="8880" operator="between" text="欠">
      <formula>NOT(ISERROR(SEARCH("欠",R980)))</formula>
    </cfRule>
  </conditionalFormatting>
  <conditionalFormatting sqref="S980">
    <cfRule type="cellIs" dxfId="0" priority="9235" operator="equal">
      <formula>"欠"</formula>
    </cfRule>
  </conditionalFormatting>
  <conditionalFormatting sqref="T980:U980">
    <cfRule type="cellIs" dxfId="0" priority="9306" operator="equal">
      <formula>"欠"</formula>
    </cfRule>
  </conditionalFormatting>
  <conditionalFormatting sqref="V980">
    <cfRule type="cellIs" dxfId="0" priority="9022" operator="equal">
      <formula>"欠"</formula>
    </cfRule>
  </conditionalFormatting>
  <conditionalFormatting sqref="AJ980">
    <cfRule type="cellIs" dxfId="0" priority="9377" operator="equal">
      <formula>"未完成"</formula>
    </cfRule>
  </conditionalFormatting>
  <conditionalFormatting sqref="AL980:AM980">
    <cfRule type="cellIs" dxfId="1" priority="9093" operator="equal">
      <formula>"未完成"</formula>
    </cfRule>
    <cfRule type="cellIs" dxfId="0" priority="9164" operator="equal">
      <formula>"未完成"</formula>
    </cfRule>
  </conditionalFormatting>
  <conditionalFormatting sqref="AN980">
    <cfRule type="cellIs" dxfId="0" priority="9448" operator="equal">
      <formula>"欠"</formula>
    </cfRule>
  </conditionalFormatting>
  <conditionalFormatting sqref="R981">
    <cfRule type="cellIs" dxfId="0" priority="8950" operator="equal">
      <formula>"欠"</formula>
    </cfRule>
    <cfRule type="containsText" dxfId="0" priority="8879" operator="between" text="欠">
      <formula>NOT(ISERROR(SEARCH("欠",R981)))</formula>
    </cfRule>
  </conditionalFormatting>
  <conditionalFormatting sqref="S981">
    <cfRule type="cellIs" dxfId="0" priority="9234" operator="equal">
      <formula>"欠"</formula>
    </cfRule>
  </conditionalFormatting>
  <conditionalFormatting sqref="T981:U981">
    <cfRule type="cellIs" dxfId="0" priority="9305" operator="equal">
      <formula>"欠"</formula>
    </cfRule>
  </conditionalFormatting>
  <conditionalFormatting sqref="V981">
    <cfRule type="cellIs" dxfId="0" priority="9021" operator="equal">
      <formula>"欠"</formula>
    </cfRule>
  </conditionalFormatting>
  <conditionalFormatting sqref="AJ981">
    <cfRule type="cellIs" dxfId="0" priority="9376" operator="equal">
      <formula>"未完成"</formula>
    </cfRule>
  </conditionalFormatting>
  <conditionalFormatting sqref="AL981:AM981">
    <cfRule type="cellIs" dxfId="1" priority="9092" operator="equal">
      <formula>"未完成"</formula>
    </cfRule>
    <cfRule type="cellIs" dxfId="0" priority="9163" operator="equal">
      <formula>"未完成"</formula>
    </cfRule>
  </conditionalFormatting>
  <conditionalFormatting sqref="AN981">
    <cfRule type="cellIs" dxfId="0" priority="9447" operator="equal">
      <formula>"欠"</formula>
    </cfRule>
  </conditionalFormatting>
  <conditionalFormatting sqref="R982">
    <cfRule type="cellIs" dxfId="0" priority="8949" operator="equal">
      <formula>"欠"</formula>
    </cfRule>
    <cfRule type="containsText" dxfId="0" priority="8878" operator="between" text="欠">
      <formula>NOT(ISERROR(SEARCH("欠",R982)))</formula>
    </cfRule>
  </conditionalFormatting>
  <conditionalFormatting sqref="S982">
    <cfRule type="cellIs" dxfId="0" priority="9233" operator="equal">
      <formula>"欠"</formula>
    </cfRule>
  </conditionalFormatting>
  <conditionalFormatting sqref="T982:U982">
    <cfRule type="cellIs" dxfId="0" priority="9304" operator="equal">
      <formula>"欠"</formula>
    </cfRule>
  </conditionalFormatting>
  <conditionalFormatting sqref="V982">
    <cfRule type="cellIs" dxfId="0" priority="9020" operator="equal">
      <formula>"欠"</formula>
    </cfRule>
  </conditionalFormatting>
  <conditionalFormatting sqref="AJ982">
    <cfRule type="cellIs" dxfId="0" priority="9375" operator="equal">
      <formula>"未完成"</formula>
    </cfRule>
  </conditionalFormatting>
  <conditionalFormatting sqref="AL982:AM982">
    <cfRule type="cellIs" dxfId="1" priority="9091" operator="equal">
      <formula>"未完成"</formula>
    </cfRule>
    <cfRule type="cellIs" dxfId="0" priority="9162" operator="equal">
      <formula>"未完成"</formula>
    </cfRule>
  </conditionalFormatting>
  <conditionalFormatting sqref="AN982">
    <cfRule type="cellIs" dxfId="0" priority="9446" operator="equal">
      <formula>"欠"</formula>
    </cfRule>
  </conditionalFormatting>
  <conditionalFormatting sqref="R983">
    <cfRule type="cellIs" dxfId="0" priority="8948" operator="equal">
      <formula>"欠"</formula>
    </cfRule>
    <cfRule type="containsText" dxfId="0" priority="8877" operator="between" text="欠">
      <formula>NOT(ISERROR(SEARCH("欠",R983)))</formula>
    </cfRule>
  </conditionalFormatting>
  <conditionalFormatting sqref="S983">
    <cfRule type="cellIs" dxfId="0" priority="9232" operator="equal">
      <formula>"欠"</formula>
    </cfRule>
  </conditionalFormatting>
  <conditionalFormatting sqref="T983:U983">
    <cfRule type="cellIs" dxfId="0" priority="9303" operator="equal">
      <formula>"欠"</formula>
    </cfRule>
  </conditionalFormatting>
  <conditionalFormatting sqref="V983">
    <cfRule type="cellIs" dxfId="0" priority="9019" operator="equal">
      <formula>"欠"</formula>
    </cfRule>
  </conditionalFormatting>
  <conditionalFormatting sqref="AL983:AM983">
    <cfRule type="cellIs" dxfId="1" priority="9090" operator="equal">
      <formula>"未完成"</formula>
    </cfRule>
    <cfRule type="cellIs" dxfId="0" priority="9161" operator="equal">
      <formula>"未完成"</formula>
    </cfRule>
  </conditionalFormatting>
  <conditionalFormatting sqref="R984">
    <cfRule type="cellIs" dxfId="0" priority="8947" operator="equal">
      <formula>"欠"</formula>
    </cfRule>
    <cfRule type="containsText" dxfId="0" priority="8876" operator="between" text="欠">
      <formula>NOT(ISERROR(SEARCH("欠",R984)))</formula>
    </cfRule>
  </conditionalFormatting>
  <conditionalFormatting sqref="S984">
    <cfRule type="cellIs" dxfId="0" priority="9231" operator="equal">
      <formula>"欠"</formula>
    </cfRule>
  </conditionalFormatting>
  <conditionalFormatting sqref="T984:U984">
    <cfRule type="cellIs" dxfId="0" priority="9302" operator="equal">
      <formula>"欠"</formula>
    </cfRule>
  </conditionalFormatting>
  <conditionalFormatting sqref="V984">
    <cfRule type="cellIs" dxfId="0" priority="9018" operator="equal">
      <formula>"欠"</formula>
    </cfRule>
  </conditionalFormatting>
  <conditionalFormatting sqref="AJ984">
    <cfRule type="cellIs" dxfId="0" priority="9373" operator="equal">
      <formula>"未完成"</formula>
    </cfRule>
  </conditionalFormatting>
  <conditionalFormatting sqref="AL984:AM984">
    <cfRule type="cellIs" dxfId="1" priority="9089" operator="equal">
      <formula>"未完成"</formula>
    </cfRule>
    <cfRule type="cellIs" dxfId="0" priority="9160" operator="equal">
      <formula>"未完成"</formula>
    </cfRule>
  </conditionalFormatting>
  <conditionalFormatting sqref="AN984">
    <cfRule type="cellIs" dxfId="0" priority="9444" operator="equal">
      <formula>"欠"</formula>
    </cfRule>
  </conditionalFormatting>
  <conditionalFormatting sqref="R985">
    <cfRule type="cellIs" dxfId="0" priority="8946" operator="equal">
      <formula>"欠"</formula>
    </cfRule>
    <cfRule type="containsText" dxfId="0" priority="8875" operator="between" text="欠">
      <formula>NOT(ISERROR(SEARCH("欠",R985)))</formula>
    </cfRule>
  </conditionalFormatting>
  <conditionalFormatting sqref="S985">
    <cfRule type="cellIs" dxfId="0" priority="9230" operator="equal">
      <formula>"欠"</formula>
    </cfRule>
  </conditionalFormatting>
  <conditionalFormatting sqref="T985:U985">
    <cfRule type="cellIs" dxfId="0" priority="9301" operator="equal">
      <formula>"欠"</formula>
    </cfRule>
  </conditionalFormatting>
  <conditionalFormatting sqref="V985">
    <cfRule type="cellIs" dxfId="0" priority="9017" operator="equal">
      <formula>"欠"</formula>
    </cfRule>
  </conditionalFormatting>
  <conditionalFormatting sqref="AJ985">
    <cfRule type="cellIs" dxfId="0" priority="9372" operator="equal">
      <formula>"未完成"</formula>
    </cfRule>
  </conditionalFormatting>
  <conditionalFormatting sqref="AL985:AM985">
    <cfRule type="cellIs" dxfId="1" priority="9088" operator="equal">
      <formula>"未完成"</formula>
    </cfRule>
    <cfRule type="cellIs" dxfId="0" priority="9159" operator="equal">
      <formula>"未完成"</formula>
    </cfRule>
  </conditionalFormatting>
  <conditionalFormatting sqref="AN985">
    <cfRule type="cellIs" dxfId="0" priority="9443" operator="equal">
      <formula>"欠"</formula>
    </cfRule>
  </conditionalFormatting>
  <conditionalFormatting sqref="R986">
    <cfRule type="cellIs" dxfId="0" priority="8945" operator="equal">
      <formula>"欠"</formula>
    </cfRule>
    <cfRule type="containsText" dxfId="0" priority="8874" operator="between" text="欠">
      <formula>NOT(ISERROR(SEARCH("欠",R986)))</formula>
    </cfRule>
  </conditionalFormatting>
  <conditionalFormatting sqref="T986:U986">
    <cfRule type="cellIs" dxfId="0" priority="9300" operator="equal">
      <formula>"欠"</formula>
    </cfRule>
  </conditionalFormatting>
  <conditionalFormatting sqref="V986">
    <cfRule type="cellIs" dxfId="0" priority="9016" operator="equal">
      <formula>"欠"</formula>
    </cfRule>
  </conditionalFormatting>
  <conditionalFormatting sqref="AJ986">
    <cfRule type="cellIs" dxfId="0" priority="9371" operator="equal">
      <formula>"未完成"</formula>
    </cfRule>
  </conditionalFormatting>
  <conditionalFormatting sqref="AL986:AM986">
    <cfRule type="cellIs" dxfId="1" priority="9087" operator="equal">
      <formula>"未完成"</formula>
    </cfRule>
    <cfRule type="cellIs" dxfId="0" priority="9158" operator="equal">
      <formula>"未完成"</formula>
    </cfRule>
  </conditionalFormatting>
  <conditionalFormatting sqref="AN986">
    <cfRule type="cellIs" dxfId="0" priority="9442" operator="equal">
      <formula>"欠"</formula>
    </cfRule>
  </conditionalFormatting>
  <conditionalFormatting sqref="R987">
    <cfRule type="cellIs" dxfId="0" priority="8944" operator="equal">
      <formula>"欠"</formula>
    </cfRule>
    <cfRule type="containsText" dxfId="0" priority="8873" operator="between" text="欠">
      <formula>NOT(ISERROR(SEARCH("欠",R987)))</formula>
    </cfRule>
  </conditionalFormatting>
  <conditionalFormatting sqref="T987:U987">
    <cfRule type="cellIs" dxfId="0" priority="9299" operator="equal">
      <formula>"欠"</formula>
    </cfRule>
  </conditionalFormatting>
  <conditionalFormatting sqref="V987">
    <cfRule type="cellIs" dxfId="0" priority="9015" operator="equal">
      <formula>"欠"</formula>
    </cfRule>
  </conditionalFormatting>
  <conditionalFormatting sqref="AJ987">
    <cfRule type="cellIs" dxfId="0" priority="9370" operator="equal">
      <formula>"未完成"</formula>
    </cfRule>
  </conditionalFormatting>
  <conditionalFormatting sqref="AL987:AM987">
    <cfRule type="cellIs" dxfId="1" priority="9086" operator="equal">
      <formula>"未完成"</formula>
    </cfRule>
    <cfRule type="cellIs" dxfId="0" priority="9157" operator="equal">
      <formula>"未完成"</formula>
    </cfRule>
  </conditionalFormatting>
  <conditionalFormatting sqref="AN987">
    <cfRule type="cellIs" dxfId="0" priority="9441" operator="equal">
      <formula>"欠"</formula>
    </cfRule>
  </conditionalFormatting>
  <conditionalFormatting sqref="R988">
    <cfRule type="cellIs" dxfId="0" priority="8943" operator="equal">
      <formula>"欠"</formula>
    </cfRule>
    <cfRule type="containsText" dxfId="0" priority="8872" operator="between" text="欠">
      <formula>NOT(ISERROR(SEARCH("欠",R988)))</formula>
    </cfRule>
  </conditionalFormatting>
  <conditionalFormatting sqref="T988:U988">
    <cfRule type="cellIs" dxfId="0" priority="9298" operator="equal">
      <formula>"欠"</formula>
    </cfRule>
  </conditionalFormatting>
  <conditionalFormatting sqref="V988">
    <cfRule type="cellIs" dxfId="0" priority="9014" operator="equal">
      <formula>"欠"</formula>
    </cfRule>
  </conditionalFormatting>
  <conditionalFormatting sqref="AJ988">
    <cfRule type="cellIs" dxfId="0" priority="9369" operator="equal">
      <formula>"未完成"</formula>
    </cfRule>
  </conditionalFormatting>
  <conditionalFormatting sqref="AL988:AM988">
    <cfRule type="cellIs" dxfId="1" priority="9085" operator="equal">
      <formula>"未完成"</formula>
    </cfRule>
    <cfRule type="cellIs" dxfId="0" priority="9156" operator="equal">
      <formula>"未完成"</formula>
    </cfRule>
  </conditionalFormatting>
  <conditionalFormatting sqref="AN988">
    <cfRule type="cellIs" dxfId="0" priority="9440" operator="equal">
      <formula>"欠"</formula>
    </cfRule>
  </conditionalFormatting>
  <conditionalFormatting sqref="R989">
    <cfRule type="cellIs" dxfId="0" priority="8942" operator="equal">
      <formula>"欠"</formula>
    </cfRule>
    <cfRule type="containsText" dxfId="0" priority="8871" operator="between" text="欠">
      <formula>NOT(ISERROR(SEARCH("欠",R989)))</formula>
    </cfRule>
  </conditionalFormatting>
  <conditionalFormatting sqref="S989">
    <cfRule type="cellIs" dxfId="0" priority="9226" operator="equal">
      <formula>"欠"</formula>
    </cfRule>
  </conditionalFormatting>
  <conditionalFormatting sqref="T989:U989">
    <cfRule type="cellIs" dxfId="0" priority="9297" operator="equal">
      <formula>"欠"</formula>
    </cfRule>
  </conditionalFormatting>
  <conditionalFormatting sqref="V989">
    <cfRule type="cellIs" dxfId="0" priority="9013" operator="equal">
      <formula>"欠"</formula>
    </cfRule>
  </conditionalFormatting>
  <conditionalFormatting sqref="AJ989">
    <cfRule type="cellIs" dxfId="0" priority="9368" operator="equal">
      <formula>"未完成"</formula>
    </cfRule>
  </conditionalFormatting>
  <conditionalFormatting sqref="AL989:AM989">
    <cfRule type="cellIs" dxfId="1" priority="9084" operator="equal">
      <formula>"未完成"</formula>
    </cfRule>
    <cfRule type="cellIs" dxfId="0" priority="9155" operator="equal">
      <formula>"未完成"</formula>
    </cfRule>
  </conditionalFormatting>
  <conditionalFormatting sqref="R990">
    <cfRule type="cellIs" dxfId="0" priority="8941" operator="equal">
      <formula>"欠"</formula>
    </cfRule>
    <cfRule type="containsText" dxfId="0" priority="8870" operator="between" text="欠">
      <formula>NOT(ISERROR(SEARCH("欠",R990)))</formula>
    </cfRule>
  </conditionalFormatting>
  <conditionalFormatting sqref="S990">
    <cfRule type="cellIs" dxfId="0" priority="9225" operator="equal">
      <formula>"欠"</formula>
    </cfRule>
  </conditionalFormatting>
  <conditionalFormatting sqref="T990:U990">
    <cfRule type="cellIs" dxfId="0" priority="9296" operator="equal">
      <formula>"欠"</formula>
    </cfRule>
  </conditionalFormatting>
  <conditionalFormatting sqref="V990">
    <cfRule type="cellIs" dxfId="0" priority="9012" operator="equal">
      <formula>"欠"</formula>
    </cfRule>
  </conditionalFormatting>
  <conditionalFormatting sqref="AJ990">
    <cfRule type="cellIs" dxfId="0" priority="9367" operator="equal">
      <formula>"未完成"</formula>
    </cfRule>
  </conditionalFormatting>
  <conditionalFormatting sqref="AL990:AM990">
    <cfRule type="cellIs" dxfId="1" priority="9083" operator="equal">
      <formula>"未完成"</formula>
    </cfRule>
    <cfRule type="cellIs" dxfId="0" priority="9154" operator="equal">
      <formula>"未完成"</formula>
    </cfRule>
  </conditionalFormatting>
  <conditionalFormatting sqref="R991">
    <cfRule type="cellIs" dxfId="0" priority="8940" operator="equal">
      <formula>"欠"</formula>
    </cfRule>
    <cfRule type="containsText" dxfId="0" priority="8869" operator="between" text="欠">
      <formula>NOT(ISERROR(SEARCH("欠",R991)))</formula>
    </cfRule>
  </conditionalFormatting>
  <conditionalFormatting sqref="S991">
    <cfRule type="cellIs" dxfId="0" priority="9224" operator="equal">
      <formula>"欠"</formula>
    </cfRule>
  </conditionalFormatting>
  <conditionalFormatting sqref="T991:U991">
    <cfRule type="cellIs" dxfId="0" priority="9295" operator="equal">
      <formula>"欠"</formula>
    </cfRule>
  </conditionalFormatting>
  <conditionalFormatting sqref="V991">
    <cfRule type="cellIs" dxfId="0" priority="9011" operator="equal">
      <formula>"欠"</formula>
    </cfRule>
  </conditionalFormatting>
  <conditionalFormatting sqref="AJ991">
    <cfRule type="cellIs" dxfId="0" priority="9366" operator="equal">
      <formula>"未完成"</formula>
    </cfRule>
  </conditionalFormatting>
  <conditionalFormatting sqref="AL991:AM991">
    <cfRule type="cellIs" dxfId="1" priority="9082" operator="equal">
      <formula>"未完成"</formula>
    </cfRule>
    <cfRule type="cellIs" dxfId="0" priority="9153" operator="equal">
      <formula>"未完成"</formula>
    </cfRule>
  </conditionalFormatting>
  <conditionalFormatting sqref="R992">
    <cfRule type="cellIs" dxfId="0" priority="8939" operator="equal">
      <formula>"欠"</formula>
    </cfRule>
    <cfRule type="containsText" dxfId="0" priority="8868" operator="between" text="欠">
      <formula>NOT(ISERROR(SEARCH("欠",R992)))</formula>
    </cfRule>
  </conditionalFormatting>
  <conditionalFormatting sqref="S992">
    <cfRule type="cellIs" dxfId="0" priority="9223" operator="equal">
      <formula>"欠"</formula>
    </cfRule>
  </conditionalFormatting>
  <conditionalFormatting sqref="T992:U992">
    <cfRule type="cellIs" dxfId="0" priority="9294" operator="equal">
      <formula>"欠"</formula>
    </cfRule>
  </conditionalFormatting>
  <conditionalFormatting sqref="V992">
    <cfRule type="cellIs" dxfId="0" priority="9010" operator="equal">
      <formula>"欠"</formula>
    </cfRule>
  </conditionalFormatting>
  <conditionalFormatting sqref="AJ992">
    <cfRule type="cellIs" dxfId="0" priority="9365" operator="equal">
      <formula>"未完成"</formula>
    </cfRule>
  </conditionalFormatting>
  <conditionalFormatting sqref="AL992:AM992">
    <cfRule type="cellIs" dxfId="1" priority="9081" operator="equal">
      <formula>"未完成"</formula>
    </cfRule>
    <cfRule type="cellIs" dxfId="0" priority="9152" operator="equal">
      <formula>"未完成"</formula>
    </cfRule>
  </conditionalFormatting>
  <conditionalFormatting sqref="R993">
    <cfRule type="cellIs" dxfId="0" priority="8938" operator="equal">
      <formula>"欠"</formula>
    </cfRule>
    <cfRule type="containsText" dxfId="0" priority="8867" operator="between" text="欠">
      <formula>NOT(ISERROR(SEARCH("欠",R993)))</formula>
    </cfRule>
  </conditionalFormatting>
  <conditionalFormatting sqref="S993">
    <cfRule type="cellIs" dxfId="0" priority="9222" operator="equal">
      <formula>"欠"</formula>
    </cfRule>
  </conditionalFormatting>
  <conditionalFormatting sqref="T993:U993">
    <cfRule type="cellIs" dxfId="0" priority="9293" operator="equal">
      <formula>"欠"</formula>
    </cfRule>
  </conditionalFormatting>
  <conditionalFormatting sqref="V993">
    <cfRule type="cellIs" dxfId="0" priority="9009" operator="equal">
      <formula>"欠"</formula>
    </cfRule>
  </conditionalFormatting>
  <conditionalFormatting sqref="AJ993">
    <cfRule type="cellIs" dxfId="0" priority="9364" operator="equal">
      <formula>"未完成"</formula>
    </cfRule>
  </conditionalFormatting>
  <conditionalFormatting sqref="AL993:AM993">
    <cfRule type="cellIs" dxfId="1" priority="9080" operator="equal">
      <formula>"未完成"</formula>
    </cfRule>
    <cfRule type="cellIs" dxfId="0" priority="9151" operator="equal">
      <formula>"未完成"</formula>
    </cfRule>
  </conditionalFormatting>
  <conditionalFormatting sqref="R994">
    <cfRule type="cellIs" dxfId="0" priority="8937" operator="equal">
      <formula>"欠"</formula>
    </cfRule>
    <cfRule type="containsText" dxfId="0" priority="8866" operator="between" text="欠">
      <formula>NOT(ISERROR(SEARCH("欠",R994)))</formula>
    </cfRule>
  </conditionalFormatting>
  <conditionalFormatting sqref="S994">
    <cfRule type="cellIs" dxfId="0" priority="9221" operator="equal">
      <formula>"欠"</formula>
    </cfRule>
  </conditionalFormatting>
  <conditionalFormatting sqref="T994:U994">
    <cfRule type="cellIs" dxfId="0" priority="9292" operator="equal">
      <formula>"欠"</formula>
    </cfRule>
  </conditionalFormatting>
  <conditionalFormatting sqref="V994">
    <cfRule type="cellIs" dxfId="0" priority="9008" operator="equal">
      <formula>"欠"</formula>
    </cfRule>
  </conditionalFormatting>
  <conditionalFormatting sqref="AJ994">
    <cfRule type="cellIs" dxfId="0" priority="9363" operator="equal">
      <formula>"未完成"</formula>
    </cfRule>
  </conditionalFormatting>
  <conditionalFormatting sqref="AL994:AM994">
    <cfRule type="cellIs" dxfId="1" priority="9079" operator="equal">
      <formula>"未完成"</formula>
    </cfRule>
    <cfRule type="cellIs" dxfId="0" priority="9150" operator="equal">
      <formula>"未完成"</formula>
    </cfRule>
  </conditionalFormatting>
  <conditionalFormatting sqref="R995">
    <cfRule type="cellIs" dxfId="0" priority="8936" operator="equal">
      <formula>"欠"</formula>
    </cfRule>
    <cfRule type="containsText" dxfId="0" priority="8865" operator="between" text="欠">
      <formula>NOT(ISERROR(SEARCH("欠",R995)))</formula>
    </cfRule>
  </conditionalFormatting>
  <conditionalFormatting sqref="S995">
    <cfRule type="cellIs" dxfId="0" priority="9220" operator="equal">
      <formula>"欠"</formula>
    </cfRule>
  </conditionalFormatting>
  <conditionalFormatting sqref="T995:U995">
    <cfRule type="cellIs" dxfId="0" priority="9291" operator="equal">
      <formula>"欠"</formula>
    </cfRule>
  </conditionalFormatting>
  <conditionalFormatting sqref="V995">
    <cfRule type="cellIs" dxfId="0" priority="9007" operator="equal">
      <formula>"欠"</formula>
    </cfRule>
  </conditionalFormatting>
  <conditionalFormatting sqref="AJ995">
    <cfRule type="cellIs" dxfId="0" priority="9362" operator="equal">
      <formula>"未完成"</formula>
    </cfRule>
  </conditionalFormatting>
  <conditionalFormatting sqref="AL995:AM995">
    <cfRule type="cellIs" dxfId="1" priority="9078" operator="equal">
      <formula>"未完成"</formula>
    </cfRule>
    <cfRule type="cellIs" dxfId="0" priority="9149" operator="equal">
      <formula>"未完成"</formula>
    </cfRule>
  </conditionalFormatting>
  <conditionalFormatting sqref="AN995">
    <cfRule type="cellIs" dxfId="0" priority="9433" operator="equal">
      <formula>"欠"</formula>
    </cfRule>
  </conditionalFormatting>
  <conditionalFormatting sqref="R996">
    <cfRule type="cellIs" dxfId="0" priority="8935" operator="equal">
      <formula>"欠"</formula>
    </cfRule>
    <cfRule type="containsText" dxfId="0" priority="8864" operator="between" text="欠">
      <formula>NOT(ISERROR(SEARCH("欠",R996)))</formula>
    </cfRule>
  </conditionalFormatting>
  <conditionalFormatting sqref="S996">
    <cfRule type="cellIs" dxfId="0" priority="9219" operator="equal">
      <formula>"欠"</formula>
    </cfRule>
  </conditionalFormatting>
  <conditionalFormatting sqref="T996:U996">
    <cfRule type="cellIs" dxfId="0" priority="9290" operator="equal">
      <formula>"欠"</formula>
    </cfRule>
  </conditionalFormatting>
  <conditionalFormatting sqref="V996">
    <cfRule type="cellIs" dxfId="0" priority="9006" operator="equal">
      <formula>"欠"</formula>
    </cfRule>
  </conditionalFormatting>
  <conditionalFormatting sqref="AJ996">
    <cfRule type="cellIs" dxfId="0" priority="9361" operator="equal">
      <formula>"未完成"</formula>
    </cfRule>
  </conditionalFormatting>
  <conditionalFormatting sqref="AL996:AM996">
    <cfRule type="cellIs" dxfId="1" priority="9077" operator="equal">
      <formula>"未完成"</formula>
    </cfRule>
    <cfRule type="cellIs" dxfId="0" priority="9148" operator="equal">
      <formula>"未完成"</formula>
    </cfRule>
  </conditionalFormatting>
  <conditionalFormatting sqref="AN996">
    <cfRule type="cellIs" dxfId="0" priority="9432" operator="equal">
      <formula>"欠"</formula>
    </cfRule>
  </conditionalFormatting>
  <conditionalFormatting sqref="R997">
    <cfRule type="cellIs" dxfId="0" priority="8934" operator="equal">
      <formula>"欠"</formula>
    </cfRule>
    <cfRule type="containsText" dxfId="0" priority="8863" operator="between" text="欠">
      <formula>NOT(ISERROR(SEARCH("欠",R997)))</formula>
    </cfRule>
  </conditionalFormatting>
  <conditionalFormatting sqref="S997">
    <cfRule type="cellIs" dxfId="0" priority="9218" operator="equal">
      <formula>"欠"</formula>
    </cfRule>
  </conditionalFormatting>
  <conditionalFormatting sqref="T997:U997">
    <cfRule type="cellIs" dxfId="0" priority="9289" operator="equal">
      <formula>"欠"</formula>
    </cfRule>
  </conditionalFormatting>
  <conditionalFormatting sqref="V997">
    <cfRule type="cellIs" dxfId="0" priority="9005" operator="equal">
      <formula>"欠"</formula>
    </cfRule>
  </conditionalFormatting>
  <conditionalFormatting sqref="AJ997">
    <cfRule type="cellIs" dxfId="0" priority="9360" operator="equal">
      <formula>"未完成"</formula>
    </cfRule>
  </conditionalFormatting>
  <conditionalFormatting sqref="AL997:AM997">
    <cfRule type="cellIs" dxfId="1" priority="9076" operator="equal">
      <formula>"未完成"</formula>
    </cfRule>
    <cfRule type="cellIs" dxfId="0" priority="9147" operator="equal">
      <formula>"未完成"</formula>
    </cfRule>
  </conditionalFormatting>
  <conditionalFormatting sqref="R998">
    <cfRule type="cellIs" dxfId="0" priority="8933" operator="equal">
      <formula>"欠"</formula>
    </cfRule>
    <cfRule type="containsText" dxfId="0" priority="8862" operator="between" text="欠">
      <formula>NOT(ISERROR(SEARCH("欠",R998)))</formula>
    </cfRule>
  </conditionalFormatting>
  <conditionalFormatting sqref="S998">
    <cfRule type="cellIs" dxfId="0" priority="9217" operator="equal">
      <formula>"欠"</formula>
    </cfRule>
  </conditionalFormatting>
  <conditionalFormatting sqref="T998:U998">
    <cfRule type="cellIs" dxfId="0" priority="9288" operator="equal">
      <formula>"欠"</formula>
    </cfRule>
  </conditionalFormatting>
  <conditionalFormatting sqref="V998">
    <cfRule type="cellIs" dxfId="0" priority="9004" operator="equal">
      <formula>"欠"</formula>
    </cfRule>
  </conditionalFormatting>
  <conditionalFormatting sqref="AJ998">
    <cfRule type="cellIs" dxfId="0" priority="9359" operator="equal">
      <formula>"未完成"</formula>
    </cfRule>
  </conditionalFormatting>
  <conditionalFormatting sqref="AL998:AM998">
    <cfRule type="cellIs" dxfId="1" priority="9075" operator="equal">
      <formula>"未完成"</formula>
    </cfRule>
    <cfRule type="cellIs" dxfId="0" priority="9146" operator="equal">
      <formula>"未完成"</formula>
    </cfRule>
  </conditionalFormatting>
  <conditionalFormatting sqref="R999">
    <cfRule type="cellIs" dxfId="0" priority="8932" operator="equal">
      <formula>"欠"</formula>
    </cfRule>
    <cfRule type="containsText" dxfId="0" priority="8861" operator="between" text="欠">
      <formula>NOT(ISERROR(SEARCH("欠",R999)))</formula>
    </cfRule>
  </conditionalFormatting>
  <conditionalFormatting sqref="S999">
    <cfRule type="cellIs" dxfId="0" priority="9216" operator="equal">
      <formula>"欠"</formula>
    </cfRule>
  </conditionalFormatting>
  <conditionalFormatting sqref="T999:U999">
    <cfRule type="cellIs" dxfId="0" priority="9287" operator="equal">
      <formula>"欠"</formula>
    </cfRule>
  </conditionalFormatting>
  <conditionalFormatting sqref="V999">
    <cfRule type="cellIs" dxfId="0" priority="9003" operator="equal">
      <formula>"欠"</formula>
    </cfRule>
  </conditionalFormatting>
  <conditionalFormatting sqref="AJ999">
    <cfRule type="cellIs" dxfId="0" priority="9358" operator="equal">
      <formula>"未完成"</formula>
    </cfRule>
  </conditionalFormatting>
  <conditionalFormatting sqref="AL999:AM999">
    <cfRule type="cellIs" dxfId="1" priority="9074" operator="equal">
      <formula>"未完成"</formula>
    </cfRule>
    <cfRule type="cellIs" dxfId="0" priority="9145" operator="equal">
      <formula>"未完成"</formula>
    </cfRule>
  </conditionalFormatting>
  <conditionalFormatting sqref="AN999">
    <cfRule type="cellIs" dxfId="0" priority="9429" operator="equal">
      <formula>"欠"</formula>
    </cfRule>
  </conditionalFormatting>
  <conditionalFormatting sqref="R1000">
    <cfRule type="cellIs" dxfId="0" priority="8931" operator="equal">
      <formula>"欠"</formula>
    </cfRule>
    <cfRule type="containsText" dxfId="0" priority="8860" operator="between" text="欠">
      <formula>NOT(ISERROR(SEARCH("欠",R1000)))</formula>
    </cfRule>
  </conditionalFormatting>
  <conditionalFormatting sqref="T1000:U1000">
    <cfRule type="cellIs" dxfId="0" priority="9286" operator="equal">
      <formula>"欠"</formula>
    </cfRule>
  </conditionalFormatting>
  <conditionalFormatting sqref="V1000">
    <cfRule type="cellIs" dxfId="0" priority="9002" operator="equal">
      <formula>"欠"</formula>
    </cfRule>
  </conditionalFormatting>
  <conditionalFormatting sqref="AL1000:AM1000">
    <cfRule type="cellIs" dxfId="1" priority="9073" operator="equal">
      <formula>"未完成"</formula>
    </cfRule>
    <cfRule type="cellIs" dxfId="0" priority="9144" operator="equal">
      <formula>"未完成"</formula>
    </cfRule>
  </conditionalFormatting>
  <conditionalFormatting sqref="AN1000">
    <cfRule type="cellIs" dxfId="0" priority="9428" operator="equal">
      <formula>"欠"</formula>
    </cfRule>
  </conditionalFormatting>
  <conditionalFormatting sqref="R1001">
    <cfRule type="cellIs" dxfId="0" priority="8930" operator="equal">
      <formula>"欠"</formula>
    </cfRule>
    <cfRule type="containsText" dxfId="0" priority="8859" operator="between" text="欠">
      <formula>NOT(ISERROR(SEARCH("欠",R1001)))</formula>
    </cfRule>
  </conditionalFormatting>
  <conditionalFormatting sqref="S1001">
    <cfRule type="cellIs" dxfId="0" priority="9214" operator="equal">
      <formula>"欠"</formula>
    </cfRule>
  </conditionalFormatting>
  <conditionalFormatting sqref="T1001:U1001">
    <cfRule type="cellIs" dxfId="0" priority="9285" operator="equal">
      <formula>"欠"</formula>
    </cfRule>
  </conditionalFormatting>
  <conditionalFormatting sqref="V1001">
    <cfRule type="cellIs" dxfId="0" priority="9001" operator="equal">
      <formula>"欠"</formula>
    </cfRule>
  </conditionalFormatting>
  <conditionalFormatting sqref="AJ1001">
    <cfRule type="cellIs" dxfId="0" priority="9356" operator="equal">
      <formula>"未完成"</formula>
    </cfRule>
  </conditionalFormatting>
  <conditionalFormatting sqref="AL1001:AM1001">
    <cfRule type="cellIs" dxfId="1" priority="9072" operator="equal">
      <formula>"未完成"</formula>
    </cfRule>
    <cfRule type="cellIs" dxfId="0" priority="9143" operator="equal">
      <formula>"未完成"</formula>
    </cfRule>
  </conditionalFormatting>
  <conditionalFormatting sqref="R1002">
    <cfRule type="cellIs" dxfId="0" priority="8929" operator="equal">
      <formula>"欠"</formula>
    </cfRule>
    <cfRule type="containsText" dxfId="0" priority="8858" operator="between" text="欠">
      <formula>NOT(ISERROR(SEARCH("欠",R1002)))</formula>
    </cfRule>
  </conditionalFormatting>
  <conditionalFormatting sqref="S1002">
    <cfRule type="cellIs" dxfId="0" priority="9213" operator="equal">
      <formula>"欠"</formula>
    </cfRule>
  </conditionalFormatting>
  <conditionalFormatting sqref="T1002:U1002">
    <cfRule type="cellIs" dxfId="0" priority="9284" operator="equal">
      <formula>"欠"</formula>
    </cfRule>
  </conditionalFormatting>
  <conditionalFormatting sqref="V1002">
    <cfRule type="cellIs" dxfId="0" priority="9000" operator="equal">
      <formula>"欠"</formula>
    </cfRule>
  </conditionalFormatting>
  <conditionalFormatting sqref="AJ1002">
    <cfRule type="cellIs" dxfId="0" priority="9355" operator="equal">
      <formula>"未完成"</formula>
    </cfRule>
  </conditionalFormatting>
  <conditionalFormatting sqref="AL1002:AM1002">
    <cfRule type="cellIs" dxfId="1" priority="9071" operator="equal">
      <formula>"未完成"</formula>
    </cfRule>
    <cfRule type="cellIs" dxfId="0" priority="9142" operator="equal">
      <formula>"未完成"</formula>
    </cfRule>
  </conditionalFormatting>
  <conditionalFormatting sqref="R1003">
    <cfRule type="cellIs" dxfId="0" priority="8928" operator="equal">
      <formula>"欠"</formula>
    </cfRule>
    <cfRule type="containsText" dxfId="0" priority="8857" operator="between" text="欠">
      <formula>NOT(ISERROR(SEARCH("欠",R1003)))</formula>
    </cfRule>
  </conditionalFormatting>
  <conditionalFormatting sqref="S1003">
    <cfRule type="cellIs" dxfId="0" priority="9212" operator="equal">
      <formula>"欠"</formula>
    </cfRule>
  </conditionalFormatting>
  <conditionalFormatting sqref="T1003:U1003">
    <cfRule type="cellIs" dxfId="0" priority="9283" operator="equal">
      <formula>"欠"</formula>
    </cfRule>
  </conditionalFormatting>
  <conditionalFormatting sqref="V1003">
    <cfRule type="cellIs" dxfId="0" priority="8999" operator="equal">
      <formula>"欠"</formula>
    </cfRule>
  </conditionalFormatting>
  <conditionalFormatting sqref="AJ1003">
    <cfRule type="cellIs" dxfId="0" priority="9354" operator="equal">
      <formula>"未完成"</formula>
    </cfRule>
  </conditionalFormatting>
  <conditionalFormatting sqref="AL1003:AM1003">
    <cfRule type="cellIs" dxfId="1" priority="9070" operator="equal">
      <formula>"未完成"</formula>
    </cfRule>
    <cfRule type="cellIs" dxfId="0" priority="9141" operator="equal">
      <formula>"未完成"</formula>
    </cfRule>
  </conditionalFormatting>
  <conditionalFormatting sqref="AN1003">
    <cfRule type="cellIs" dxfId="0" priority="9425" operator="equal">
      <formula>"欠"</formula>
    </cfRule>
  </conditionalFormatting>
  <conditionalFormatting sqref="R1004">
    <cfRule type="cellIs" dxfId="0" priority="8927" operator="equal">
      <formula>"欠"</formula>
    </cfRule>
    <cfRule type="containsText" dxfId="0" priority="8856" operator="between" text="欠">
      <formula>NOT(ISERROR(SEARCH("欠",R1004)))</formula>
    </cfRule>
  </conditionalFormatting>
  <conditionalFormatting sqref="S1004">
    <cfRule type="cellIs" dxfId="0" priority="9211" operator="equal">
      <formula>"欠"</formula>
    </cfRule>
  </conditionalFormatting>
  <conditionalFormatting sqref="T1004:U1004">
    <cfRule type="cellIs" dxfId="0" priority="9282" operator="equal">
      <formula>"欠"</formula>
    </cfRule>
  </conditionalFormatting>
  <conditionalFormatting sqref="V1004">
    <cfRule type="cellIs" dxfId="0" priority="8998" operator="equal">
      <formula>"欠"</formula>
    </cfRule>
  </conditionalFormatting>
  <conditionalFormatting sqref="AL1004:AM1004">
    <cfRule type="cellIs" dxfId="1" priority="9069" operator="equal">
      <formula>"未完成"</formula>
    </cfRule>
    <cfRule type="cellIs" dxfId="0" priority="9140" operator="equal">
      <formula>"未完成"</formula>
    </cfRule>
  </conditionalFormatting>
  <conditionalFormatting sqref="AN1004">
    <cfRule type="cellIs" dxfId="0" priority="9424" operator="equal">
      <formula>"欠"</formula>
    </cfRule>
  </conditionalFormatting>
  <conditionalFormatting sqref="R1005">
    <cfRule type="cellIs" dxfId="0" priority="8926" operator="equal">
      <formula>"欠"</formula>
    </cfRule>
    <cfRule type="containsText" dxfId="0" priority="8855" operator="between" text="欠">
      <formula>NOT(ISERROR(SEARCH("欠",R1005)))</formula>
    </cfRule>
  </conditionalFormatting>
  <conditionalFormatting sqref="S1005">
    <cfRule type="cellIs" dxfId="0" priority="9210" operator="equal">
      <formula>"欠"</formula>
    </cfRule>
  </conditionalFormatting>
  <conditionalFormatting sqref="T1005:U1005">
    <cfRule type="cellIs" dxfId="0" priority="9281" operator="equal">
      <formula>"欠"</formula>
    </cfRule>
  </conditionalFormatting>
  <conditionalFormatting sqref="V1005">
    <cfRule type="cellIs" dxfId="0" priority="8997" operator="equal">
      <formula>"欠"</formula>
    </cfRule>
  </conditionalFormatting>
  <conditionalFormatting sqref="AJ1005">
    <cfRule type="cellIs" dxfId="0" priority="9352" operator="equal">
      <formula>"未完成"</formula>
    </cfRule>
  </conditionalFormatting>
  <conditionalFormatting sqref="AL1005:AM1005">
    <cfRule type="cellIs" dxfId="1" priority="9068" operator="equal">
      <formula>"未完成"</formula>
    </cfRule>
    <cfRule type="cellIs" dxfId="0" priority="9139" operator="equal">
      <formula>"未完成"</formula>
    </cfRule>
  </conditionalFormatting>
  <conditionalFormatting sqref="R1006">
    <cfRule type="cellIs" dxfId="0" priority="8925" operator="equal">
      <formula>"欠"</formula>
    </cfRule>
    <cfRule type="containsText" dxfId="0" priority="8854" operator="between" text="欠">
      <formula>NOT(ISERROR(SEARCH("欠",R1006)))</formula>
    </cfRule>
  </conditionalFormatting>
  <conditionalFormatting sqref="S1006">
    <cfRule type="cellIs" dxfId="0" priority="9209" operator="equal">
      <formula>"欠"</formula>
    </cfRule>
  </conditionalFormatting>
  <conditionalFormatting sqref="T1006:U1006">
    <cfRule type="cellIs" dxfId="0" priority="9280" operator="equal">
      <formula>"欠"</formula>
    </cfRule>
  </conditionalFormatting>
  <conditionalFormatting sqref="V1006">
    <cfRule type="cellIs" dxfId="0" priority="8996" operator="equal">
      <formula>"欠"</formula>
    </cfRule>
  </conditionalFormatting>
  <conditionalFormatting sqref="AJ1006">
    <cfRule type="cellIs" dxfId="0" priority="9351" operator="equal">
      <formula>"未完成"</formula>
    </cfRule>
  </conditionalFormatting>
  <conditionalFormatting sqref="AL1006:AM1006">
    <cfRule type="cellIs" dxfId="1" priority="9067" operator="equal">
      <formula>"未完成"</formula>
    </cfRule>
    <cfRule type="cellIs" dxfId="0" priority="9138" operator="equal">
      <formula>"未完成"</formula>
    </cfRule>
  </conditionalFormatting>
  <conditionalFormatting sqref="AN1006">
    <cfRule type="cellIs" dxfId="0" priority="9422" operator="equal">
      <formula>"欠"</formula>
    </cfRule>
  </conditionalFormatting>
  <conditionalFormatting sqref="R1007">
    <cfRule type="cellIs" dxfId="0" priority="8924" operator="equal">
      <formula>"欠"</formula>
    </cfRule>
    <cfRule type="containsText" dxfId="0" priority="8853" operator="between" text="欠">
      <formula>NOT(ISERROR(SEARCH("欠",R1007)))</formula>
    </cfRule>
  </conditionalFormatting>
  <conditionalFormatting sqref="T1007:U1007">
    <cfRule type="cellIs" dxfId="0" priority="9279" operator="equal">
      <formula>"欠"</formula>
    </cfRule>
  </conditionalFormatting>
  <conditionalFormatting sqref="V1007">
    <cfRule type="cellIs" dxfId="0" priority="8995" operator="equal">
      <formula>"欠"</formula>
    </cfRule>
  </conditionalFormatting>
  <conditionalFormatting sqref="AJ1007">
    <cfRule type="cellIs" dxfId="0" priority="9350" operator="equal">
      <formula>"未完成"</formula>
    </cfRule>
  </conditionalFormatting>
  <conditionalFormatting sqref="AL1007:AM1007">
    <cfRule type="cellIs" dxfId="1" priority="9066" operator="equal">
      <formula>"未完成"</formula>
    </cfRule>
    <cfRule type="cellIs" dxfId="0" priority="9137" operator="equal">
      <formula>"未完成"</formula>
    </cfRule>
  </conditionalFormatting>
  <conditionalFormatting sqref="AN1007">
    <cfRule type="cellIs" dxfId="0" priority="9421" operator="equal">
      <formula>"欠"</formula>
    </cfRule>
  </conditionalFormatting>
  <conditionalFormatting sqref="R1008">
    <cfRule type="cellIs" dxfId="0" priority="8923" operator="equal">
      <formula>"欠"</formula>
    </cfRule>
    <cfRule type="containsText" dxfId="0" priority="8852" operator="between" text="欠">
      <formula>NOT(ISERROR(SEARCH("欠",R1008)))</formula>
    </cfRule>
  </conditionalFormatting>
  <conditionalFormatting sqref="T1008:U1008">
    <cfRule type="cellIs" dxfId="0" priority="9278" operator="equal">
      <formula>"欠"</formula>
    </cfRule>
  </conditionalFormatting>
  <conditionalFormatting sqref="V1008">
    <cfRule type="cellIs" dxfId="0" priority="8994" operator="equal">
      <formula>"欠"</formula>
    </cfRule>
  </conditionalFormatting>
  <conditionalFormatting sqref="AJ1008">
    <cfRule type="cellIs" dxfId="0" priority="9349" operator="equal">
      <formula>"未完成"</formula>
    </cfRule>
  </conditionalFormatting>
  <conditionalFormatting sqref="AL1008:AM1008">
    <cfRule type="cellIs" dxfId="1" priority="9065" operator="equal">
      <formula>"未完成"</formula>
    </cfRule>
    <cfRule type="cellIs" dxfId="0" priority="9136" operator="equal">
      <formula>"未完成"</formula>
    </cfRule>
  </conditionalFormatting>
  <conditionalFormatting sqref="AN1008">
    <cfRule type="cellIs" dxfId="0" priority="9420" operator="equal">
      <formula>"欠"</formula>
    </cfRule>
  </conditionalFormatting>
  <conditionalFormatting sqref="R1009">
    <cfRule type="cellIs" dxfId="0" priority="8922" operator="equal">
      <formula>"欠"</formula>
    </cfRule>
    <cfRule type="containsText" dxfId="0" priority="8851" operator="between" text="欠">
      <formula>NOT(ISERROR(SEARCH("欠",R1009)))</formula>
    </cfRule>
  </conditionalFormatting>
  <conditionalFormatting sqref="T1009:U1009">
    <cfRule type="cellIs" dxfId="0" priority="9277" operator="equal">
      <formula>"欠"</formula>
    </cfRule>
  </conditionalFormatting>
  <conditionalFormatting sqref="V1009">
    <cfRule type="cellIs" dxfId="0" priority="8993" operator="equal">
      <formula>"欠"</formula>
    </cfRule>
  </conditionalFormatting>
  <conditionalFormatting sqref="AJ1009">
    <cfRule type="cellIs" dxfId="0" priority="9348" operator="equal">
      <formula>"未完成"</formula>
    </cfRule>
  </conditionalFormatting>
  <conditionalFormatting sqref="AL1009:AM1009">
    <cfRule type="cellIs" dxfId="1" priority="9064" operator="equal">
      <formula>"未完成"</formula>
    </cfRule>
    <cfRule type="cellIs" dxfId="0" priority="9135" operator="equal">
      <formula>"未完成"</formula>
    </cfRule>
  </conditionalFormatting>
  <conditionalFormatting sqref="AN1009">
    <cfRule type="cellIs" dxfId="0" priority="9419" operator="equal">
      <formula>"欠"</formula>
    </cfRule>
  </conditionalFormatting>
  <conditionalFormatting sqref="R1010">
    <cfRule type="cellIs" dxfId="0" priority="8921" operator="equal">
      <formula>"欠"</formula>
    </cfRule>
    <cfRule type="containsText" dxfId="0" priority="8850" operator="between" text="欠">
      <formula>NOT(ISERROR(SEARCH("欠",R1010)))</formula>
    </cfRule>
  </conditionalFormatting>
  <conditionalFormatting sqref="S1010">
    <cfRule type="cellIs" dxfId="0" priority="9205" operator="equal">
      <formula>"欠"</formula>
    </cfRule>
  </conditionalFormatting>
  <conditionalFormatting sqref="T1010:U1010">
    <cfRule type="cellIs" dxfId="0" priority="9276" operator="equal">
      <formula>"欠"</formula>
    </cfRule>
  </conditionalFormatting>
  <conditionalFormatting sqref="V1010">
    <cfRule type="cellIs" dxfId="0" priority="8992" operator="equal">
      <formula>"欠"</formula>
    </cfRule>
  </conditionalFormatting>
  <conditionalFormatting sqref="AJ1010">
    <cfRule type="cellIs" dxfId="0" priority="9347" operator="equal">
      <formula>"未完成"</formula>
    </cfRule>
  </conditionalFormatting>
  <conditionalFormatting sqref="AL1010:AM1010">
    <cfRule type="cellIs" dxfId="1" priority="9063" operator="equal">
      <formula>"未完成"</formula>
    </cfRule>
    <cfRule type="cellIs" dxfId="0" priority="9134" operator="equal">
      <formula>"未完成"</formula>
    </cfRule>
  </conditionalFormatting>
  <conditionalFormatting sqref="AN1010">
    <cfRule type="cellIs" dxfId="0" priority="9418" operator="equal">
      <formula>"欠"</formula>
    </cfRule>
  </conditionalFormatting>
  <conditionalFormatting sqref="R1011">
    <cfRule type="cellIs" dxfId="0" priority="8920" operator="equal">
      <formula>"欠"</formula>
    </cfRule>
    <cfRule type="containsText" dxfId="0" priority="8849" operator="between" text="欠">
      <formula>NOT(ISERROR(SEARCH("欠",R1011)))</formula>
    </cfRule>
  </conditionalFormatting>
  <conditionalFormatting sqref="S1011">
    <cfRule type="cellIs" dxfId="0" priority="9204" operator="equal">
      <formula>"欠"</formula>
    </cfRule>
  </conditionalFormatting>
  <conditionalFormatting sqref="T1011:U1011">
    <cfRule type="cellIs" dxfId="0" priority="9275" operator="equal">
      <formula>"欠"</formula>
    </cfRule>
  </conditionalFormatting>
  <conditionalFormatting sqref="V1011">
    <cfRule type="cellIs" dxfId="0" priority="8991" operator="equal">
      <formula>"欠"</formula>
    </cfRule>
  </conditionalFormatting>
  <conditionalFormatting sqref="AJ1011">
    <cfRule type="cellIs" dxfId="0" priority="9346" operator="equal">
      <formula>"未完成"</formula>
    </cfRule>
  </conditionalFormatting>
  <conditionalFormatting sqref="AL1011:AM1011">
    <cfRule type="cellIs" dxfId="1" priority="9062" operator="equal">
      <formula>"未完成"</formula>
    </cfRule>
    <cfRule type="cellIs" dxfId="0" priority="9133" operator="equal">
      <formula>"未完成"</formula>
    </cfRule>
  </conditionalFormatting>
  <conditionalFormatting sqref="AN1011">
    <cfRule type="cellIs" dxfId="0" priority="9417" operator="equal">
      <formula>"欠"</formula>
    </cfRule>
  </conditionalFormatting>
  <conditionalFormatting sqref="R1012">
    <cfRule type="cellIs" dxfId="0" priority="8919" operator="equal">
      <formula>"欠"</formula>
    </cfRule>
    <cfRule type="containsText" dxfId="0" priority="8848" operator="between" text="欠">
      <formula>NOT(ISERROR(SEARCH("欠",R1012)))</formula>
    </cfRule>
  </conditionalFormatting>
  <conditionalFormatting sqref="S1012">
    <cfRule type="cellIs" dxfId="0" priority="9203" operator="equal">
      <formula>"欠"</formula>
    </cfRule>
  </conditionalFormatting>
  <conditionalFormatting sqref="T1012:U1012">
    <cfRule type="cellIs" dxfId="0" priority="9274" operator="equal">
      <formula>"欠"</formula>
    </cfRule>
  </conditionalFormatting>
  <conditionalFormatting sqref="V1012">
    <cfRule type="cellIs" dxfId="0" priority="8990" operator="equal">
      <formula>"欠"</formula>
    </cfRule>
  </conditionalFormatting>
  <conditionalFormatting sqref="AL1012:AM1012">
    <cfRule type="cellIs" dxfId="1" priority="9061" operator="equal">
      <formula>"未完成"</formula>
    </cfRule>
    <cfRule type="cellIs" dxfId="0" priority="9132" operator="equal">
      <formula>"未完成"</formula>
    </cfRule>
  </conditionalFormatting>
  <conditionalFormatting sqref="AN1012">
    <cfRule type="cellIs" dxfId="0" priority="9416" operator="equal">
      <formula>"欠"</formula>
    </cfRule>
  </conditionalFormatting>
  <conditionalFormatting sqref="R1013">
    <cfRule type="cellIs" dxfId="0" priority="8918" operator="equal">
      <formula>"欠"</formula>
    </cfRule>
    <cfRule type="containsText" dxfId="0" priority="8847" operator="between" text="欠">
      <formula>NOT(ISERROR(SEARCH("欠",R1013)))</formula>
    </cfRule>
  </conditionalFormatting>
  <conditionalFormatting sqref="S1013">
    <cfRule type="cellIs" dxfId="0" priority="9202" operator="equal">
      <formula>"欠"</formula>
    </cfRule>
  </conditionalFormatting>
  <conditionalFormatting sqref="T1013:U1013">
    <cfRule type="cellIs" dxfId="0" priority="9273" operator="equal">
      <formula>"欠"</formula>
    </cfRule>
  </conditionalFormatting>
  <conditionalFormatting sqref="V1013">
    <cfRule type="cellIs" dxfId="0" priority="8989" operator="equal">
      <formula>"欠"</formula>
    </cfRule>
  </conditionalFormatting>
  <conditionalFormatting sqref="AJ1013">
    <cfRule type="cellIs" dxfId="0" priority="9344" operator="equal">
      <formula>"未完成"</formula>
    </cfRule>
  </conditionalFormatting>
  <conditionalFormatting sqref="AL1013:AM1013">
    <cfRule type="cellIs" dxfId="1" priority="9060" operator="equal">
      <formula>"未完成"</formula>
    </cfRule>
    <cfRule type="cellIs" dxfId="0" priority="9131" operator="equal">
      <formula>"未完成"</formula>
    </cfRule>
  </conditionalFormatting>
  <conditionalFormatting sqref="AN1013">
    <cfRule type="cellIs" dxfId="0" priority="9415" operator="equal">
      <formula>"欠"</formula>
    </cfRule>
  </conditionalFormatting>
  <conditionalFormatting sqref="R1014">
    <cfRule type="cellIs" dxfId="0" priority="8917" operator="equal">
      <formula>"欠"</formula>
    </cfRule>
    <cfRule type="containsText" dxfId="0" priority="8846" operator="between" text="欠">
      <formula>NOT(ISERROR(SEARCH("欠",R1014)))</formula>
    </cfRule>
  </conditionalFormatting>
  <conditionalFormatting sqref="S1014">
    <cfRule type="cellIs" dxfId="0" priority="9201" operator="equal">
      <formula>"欠"</formula>
    </cfRule>
  </conditionalFormatting>
  <conditionalFormatting sqref="T1014:U1014">
    <cfRule type="cellIs" dxfId="0" priority="9272" operator="equal">
      <formula>"欠"</formula>
    </cfRule>
  </conditionalFormatting>
  <conditionalFormatting sqref="V1014">
    <cfRule type="cellIs" dxfId="0" priority="8988" operator="equal">
      <formula>"欠"</formula>
    </cfRule>
  </conditionalFormatting>
  <conditionalFormatting sqref="AJ1014">
    <cfRule type="cellIs" dxfId="0" priority="9343" operator="equal">
      <formula>"未完成"</formula>
    </cfRule>
  </conditionalFormatting>
  <conditionalFormatting sqref="AL1014:AM1014">
    <cfRule type="cellIs" dxfId="1" priority="9059" operator="equal">
      <formula>"未完成"</formula>
    </cfRule>
    <cfRule type="cellIs" dxfId="0" priority="9130" operator="equal">
      <formula>"未完成"</formula>
    </cfRule>
  </conditionalFormatting>
  <conditionalFormatting sqref="AN1014">
    <cfRule type="cellIs" dxfId="0" priority="9414" operator="equal">
      <formula>"欠"</formula>
    </cfRule>
  </conditionalFormatting>
  <conditionalFormatting sqref="R1015">
    <cfRule type="cellIs" dxfId="0" priority="8916" operator="equal">
      <formula>"欠"</formula>
    </cfRule>
    <cfRule type="containsText" dxfId="0" priority="8845" operator="between" text="欠">
      <formula>NOT(ISERROR(SEARCH("欠",R1015)))</formula>
    </cfRule>
  </conditionalFormatting>
  <conditionalFormatting sqref="S1015">
    <cfRule type="cellIs" dxfId="0" priority="9200" operator="equal">
      <formula>"欠"</formula>
    </cfRule>
  </conditionalFormatting>
  <conditionalFormatting sqref="T1015:U1015">
    <cfRule type="cellIs" dxfId="0" priority="9271" operator="equal">
      <formula>"欠"</formula>
    </cfRule>
  </conditionalFormatting>
  <conditionalFormatting sqref="V1015">
    <cfRule type="cellIs" dxfId="0" priority="8987" operator="equal">
      <formula>"欠"</formula>
    </cfRule>
  </conditionalFormatting>
  <conditionalFormatting sqref="AJ1015">
    <cfRule type="cellIs" dxfId="0" priority="9342" operator="equal">
      <formula>"未完成"</formula>
    </cfRule>
  </conditionalFormatting>
  <conditionalFormatting sqref="AL1015:AM1015">
    <cfRule type="cellIs" dxfId="1" priority="9058" operator="equal">
      <formula>"未完成"</formula>
    </cfRule>
    <cfRule type="cellIs" dxfId="0" priority="9129" operator="equal">
      <formula>"未完成"</formula>
    </cfRule>
  </conditionalFormatting>
  <conditionalFormatting sqref="AN1015">
    <cfRule type="cellIs" dxfId="0" priority="9413" operator="equal">
      <formula>"欠"</formula>
    </cfRule>
  </conditionalFormatting>
  <conditionalFormatting sqref="R1016">
    <cfRule type="cellIs" dxfId="0" priority="8915" operator="equal">
      <formula>"欠"</formula>
    </cfRule>
    <cfRule type="containsText" dxfId="0" priority="8844" operator="between" text="欠">
      <formula>NOT(ISERROR(SEARCH("欠",R1016)))</formula>
    </cfRule>
  </conditionalFormatting>
  <conditionalFormatting sqref="S1016">
    <cfRule type="cellIs" dxfId="0" priority="9199" operator="equal">
      <formula>"欠"</formula>
    </cfRule>
  </conditionalFormatting>
  <conditionalFormatting sqref="T1016:U1016">
    <cfRule type="cellIs" dxfId="0" priority="9270" operator="equal">
      <formula>"欠"</formula>
    </cfRule>
  </conditionalFormatting>
  <conditionalFormatting sqref="V1016">
    <cfRule type="cellIs" dxfId="0" priority="8986" operator="equal">
      <formula>"欠"</formula>
    </cfRule>
  </conditionalFormatting>
  <conditionalFormatting sqref="AL1016:AM1016">
    <cfRule type="cellIs" dxfId="1" priority="9057" operator="equal">
      <formula>"未完成"</formula>
    </cfRule>
    <cfRule type="cellIs" dxfId="0" priority="9128" operator="equal">
      <formula>"未完成"</formula>
    </cfRule>
  </conditionalFormatting>
  <conditionalFormatting sqref="R1017">
    <cfRule type="cellIs" dxfId="0" priority="8914" operator="equal">
      <formula>"欠"</formula>
    </cfRule>
    <cfRule type="containsText" dxfId="0" priority="8843" operator="between" text="欠">
      <formula>NOT(ISERROR(SEARCH("欠",R1017)))</formula>
    </cfRule>
  </conditionalFormatting>
  <conditionalFormatting sqref="S1017">
    <cfRule type="cellIs" dxfId="0" priority="9198" operator="equal">
      <formula>"欠"</formula>
    </cfRule>
  </conditionalFormatting>
  <conditionalFormatting sqref="T1017:U1017">
    <cfRule type="cellIs" dxfId="0" priority="9269" operator="equal">
      <formula>"欠"</formula>
    </cfRule>
  </conditionalFormatting>
  <conditionalFormatting sqref="V1017">
    <cfRule type="cellIs" dxfId="0" priority="8985" operator="equal">
      <formula>"欠"</formula>
    </cfRule>
  </conditionalFormatting>
  <conditionalFormatting sqref="AJ1017">
    <cfRule type="cellIs" dxfId="0" priority="9340" operator="equal">
      <formula>"未完成"</formula>
    </cfRule>
  </conditionalFormatting>
  <conditionalFormatting sqref="AL1017:AM1017">
    <cfRule type="cellIs" dxfId="1" priority="9056" operator="equal">
      <formula>"未完成"</formula>
    </cfRule>
    <cfRule type="cellIs" dxfId="0" priority="9127" operator="equal">
      <formula>"未完成"</formula>
    </cfRule>
  </conditionalFormatting>
  <conditionalFormatting sqref="AN1017">
    <cfRule type="cellIs" dxfId="0" priority="9411" operator="equal">
      <formula>"欠"</formula>
    </cfRule>
  </conditionalFormatting>
  <conditionalFormatting sqref="R1018">
    <cfRule type="cellIs" dxfId="0" priority="8913" operator="equal">
      <formula>"欠"</formula>
    </cfRule>
    <cfRule type="containsText" dxfId="0" priority="8842" operator="between" text="欠">
      <formula>NOT(ISERROR(SEARCH("欠",R1018)))</formula>
    </cfRule>
  </conditionalFormatting>
  <conditionalFormatting sqref="S1018">
    <cfRule type="cellIs" dxfId="0" priority="9197" operator="equal">
      <formula>"欠"</formula>
    </cfRule>
  </conditionalFormatting>
  <conditionalFormatting sqref="T1018:U1018">
    <cfRule type="cellIs" dxfId="0" priority="9268" operator="equal">
      <formula>"欠"</formula>
    </cfRule>
  </conditionalFormatting>
  <conditionalFormatting sqref="V1018">
    <cfRule type="cellIs" dxfId="0" priority="8984" operator="equal">
      <formula>"欠"</formula>
    </cfRule>
  </conditionalFormatting>
  <conditionalFormatting sqref="AJ1018">
    <cfRule type="cellIs" dxfId="0" priority="9339" operator="equal">
      <formula>"未完成"</formula>
    </cfRule>
  </conditionalFormatting>
  <conditionalFormatting sqref="AL1018:AM1018">
    <cfRule type="cellIs" dxfId="1" priority="9055" operator="equal">
      <formula>"未完成"</formula>
    </cfRule>
    <cfRule type="cellIs" dxfId="0" priority="9126" operator="equal">
      <formula>"未完成"</formula>
    </cfRule>
  </conditionalFormatting>
  <conditionalFormatting sqref="AN1018">
    <cfRule type="cellIs" dxfId="0" priority="9410" operator="equal">
      <formula>"欠"</formula>
    </cfRule>
  </conditionalFormatting>
  <conditionalFormatting sqref="R1019">
    <cfRule type="cellIs" dxfId="0" priority="8323" operator="equal">
      <formula>"欠"</formula>
    </cfRule>
    <cfRule type="containsText" dxfId="0" priority="8285" operator="between" text="欠">
      <formula>NOT(ISERROR(SEARCH("欠",R1019)))</formula>
    </cfRule>
  </conditionalFormatting>
  <conditionalFormatting sqref="S1019">
    <cfRule type="cellIs" dxfId="0" priority="8475" operator="equal">
      <formula>"欠"</formula>
    </cfRule>
  </conditionalFormatting>
  <conditionalFormatting sqref="T1019:U1019">
    <cfRule type="cellIs" dxfId="0" priority="8513" operator="equal">
      <formula>"欠"</formula>
    </cfRule>
  </conditionalFormatting>
  <conditionalFormatting sqref="V1019">
    <cfRule type="cellIs" dxfId="0" priority="8361" operator="equal">
      <formula>"欠"</formula>
    </cfRule>
  </conditionalFormatting>
  <conditionalFormatting sqref="AJ1019">
    <cfRule type="cellIs" dxfId="0" priority="8551" operator="equal">
      <formula>"未完成"</formula>
    </cfRule>
  </conditionalFormatting>
  <conditionalFormatting sqref="AL1019:AM1019">
    <cfRule type="cellIs" dxfId="1" priority="8399" operator="equal">
      <formula>"未完成"</formula>
    </cfRule>
    <cfRule type="cellIs" dxfId="0" priority="8437" operator="equal">
      <formula>"未完成"</formula>
    </cfRule>
  </conditionalFormatting>
  <conditionalFormatting sqref="AN1019">
    <cfRule type="cellIs" dxfId="0" priority="8589" operator="equal">
      <formula>"欠"</formula>
    </cfRule>
  </conditionalFormatting>
  <conditionalFormatting sqref="R1020">
    <cfRule type="cellIs" dxfId="0" priority="8322" operator="equal">
      <formula>"欠"</formula>
    </cfRule>
    <cfRule type="containsText" dxfId="0" priority="8284" operator="between" text="欠">
      <formula>NOT(ISERROR(SEARCH("欠",R1020)))</formula>
    </cfRule>
  </conditionalFormatting>
  <conditionalFormatting sqref="S1020">
    <cfRule type="cellIs" dxfId="0" priority="8474" operator="equal">
      <formula>"欠"</formula>
    </cfRule>
  </conditionalFormatting>
  <conditionalFormatting sqref="T1020:U1020">
    <cfRule type="cellIs" dxfId="0" priority="8512" operator="equal">
      <formula>"欠"</formula>
    </cfRule>
  </conditionalFormatting>
  <conditionalFormatting sqref="V1020">
    <cfRule type="cellIs" dxfId="0" priority="8360" operator="equal">
      <formula>"欠"</formula>
    </cfRule>
  </conditionalFormatting>
  <conditionalFormatting sqref="AL1020:AM1020">
    <cfRule type="cellIs" dxfId="1" priority="8398" operator="equal">
      <formula>"未完成"</formula>
    </cfRule>
    <cfRule type="cellIs" dxfId="0" priority="8436" operator="equal">
      <formula>"未完成"</formula>
    </cfRule>
  </conditionalFormatting>
  <conditionalFormatting sqref="AN1020">
    <cfRule type="cellIs" dxfId="0" priority="8588" operator="equal">
      <formula>"欠"</formula>
    </cfRule>
  </conditionalFormatting>
  <conditionalFormatting sqref="R1021">
    <cfRule type="cellIs" dxfId="0" priority="8321" operator="equal">
      <formula>"欠"</formula>
    </cfRule>
    <cfRule type="containsText" dxfId="0" priority="8283" operator="between" text="欠">
      <formula>NOT(ISERROR(SEARCH("欠",R1021)))</formula>
    </cfRule>
  </conditionalFormatting>
  <conditionalFormatting sqref="S1021">
    <cfRule type="cellIs" dxfId="0" priority="8473" operator="equal">
      <formula>"欠"</formula>
    </cfRule>
  </conditionalFormatting>
  <conditionalFormatting sqref="T1021:U1021">
    <cfRule type="cellIs" dxfId="0" priority="8511" operator="equal">
      <formula>"欠"</formula>
    </cfRule>
  </conditionalFormatting>
  <conditionalFormatting sqref="V1021">
    <cfRule type="cellIs" dxfId="0" priority="8359" operator="equal">
      <formula>"欠"</formula>
    </cfRule>
  </conditionalFormatting>
  <conditionalFormatting sqref="AJ1021">
    <cfRule type="cellIs" dxfId="0" priority="8549" operator="equal">
      <formula>"未完成"</formula>
    </cfRule>
  </conditionalFormatting>
  <conditionalFormatting sqref="AL1021:AM1021">
    <cfRule type="cellIs" dxfId="1" priority="8397" operator="equal">
      <formula>"未完成"</formula>
    </cfRule>
    <cfRule type="cellIs" dxfId="0" priority="8435" operator="equal">
      <formula>"未完成"</formula>
    </cfRule>
  </conditionalFormatting>
  <conditionalFormatting sqref="R1022">
    <cfRule type="cellIs" dxfId="0" priority="8320" operator="equal">
      <formula>"欠"</formula>
    </cfRule>
    <cfRule type="containsText" dxfId="0" priority="8282" operator="between" text="欠">
      <formula>NOT(ISERROR(SEARCH("欠",R1022)))</formula>
    </cfRule>
  </conditionalFormatting>
  <conditionalFormatting sqref="S1022">
    <cfRule type="cellIs" dxfId="0" priority="8472" operator="equal">
      <formula>"欠"</formula>
    </cfRule>
  </conditionalFormatting>
  <conditionalFormatting sqref="T1022:U1022">
    <cfRule type="cellIs" dxfId="0" priority="8510" operator="equal">
      <formula>"欠"</formula>
    </cfRule>
  </conditionalFormatting>
  <conditionalFormatting sqref="V1022">
    <cfRule type="cellIs" dxfId="0" priority="8358" operator="equal">
      <formula>"欠"</formula>
    </cfRule>
  </conditionalFormatting>
  <conditionalFormatting sqref="AJ1022">
    <cfRule type="cellIs" dxfId="0" priority="8548" operator="equal">
      <formula>"未完成"</formula>
    </cfRule>
  </conditionalFormatting>
  <conditionalFormatting sqref="AL1022:AM1022">
    <cfRule type="cellIs" dxfId="1" priority="8396" operator="equal">
      <formula>"未完成"</formula>
    </cfRule>
    <cfRule type="cellIs" dxfId="0" priority="8434" operator="equal">
      <formula>"未完成"</formula>
    </cfRule>
  </conditionalFormatting>
  <conditionalFormatting sqref="R1023">
    <cfRule type="cellIs" dxfId="0" priority="8319" operator="equal">
      <formula>"欠"</formula>
    </cfRule>
    <cfRule type="containsText" dxfId="0" priority="8281" operator="between" text="欠">
      <formula>NOT(ISERROR(SEARCH("欠",R1023)))</formula>
    </cfRule>
  </conditionalFormatting>
  <conditionalFormatting sqref="S1023">
    <cfRule type="cellIs" dxfId="0" priority="8471" operator="equal">
      <formula>"欠"</formula>
    </cfRule>
  </conditionalFormatting>
  <conditionalFormatting sqref="T1023:U1023">
    <cfRule type="cellIs" dxfId="0" priority="8509" operator="equal">
      <formula>"欠"</formula>
    </cfRule>
  </conditionalFormatting>
  <conditionalFormatting sqref="V1023">
    <cfRule type="cellIs" dxfId="0" priority="8357" operator="equal">
      <formula>"欠"</formula>
    </cfRule>
  </conditionalFormatting>
  <conditionalFormatting sqref="AJ1023">
    <cfRule type="cellIs" dxfId="0" priority="8547" operator="equal">
      <formula>"未完成"</formula>
    </cfRule>
  </conditionalFormatting>
  <conditionalFormatting sqref="AL1023:AM1023">
    <cfRule type="cellIs" dxfId="1" priority="8395" operator="equal">
      <formula>"未完成"</formula>
    </cfRule>
    <cfRule type="cellIs" dxfId="0" priority="8433" operator="equal">
      <formula>"未完成"</formula>
    </cfRule>
  </conditionalFormatting>
  <conditionalFormatting sqref="AN1023">
    <cfRule type="cellIs" dxfId="0" priority="8585" operator="equal">
      <formula>"欠"</formula>
    </cfRule>
  </conditionalFormatting>
  <conditionalFormatting sqref="R1024">
    <cfRule type="cellIs" dxfId="0" priority="8318" operator="equal">
      <formula>"欠"</formula>
    </cfRule>
    <cfRule type="containsText" dxfId="0" priority="8280" operator="between" text="欠">
      <formula>NOT(ISERROR(SEARCH("欠",R1024)))</formula>
    </cfRule>
  </conditionalFormatting>
  <conditionalFormatting sqref="S1024">
    <cfRule type="cellIs" dxfId="0" priority="8470" operator="equal">
      <formula>"欠"</formula>
    </cfRule>
  </conditionalFormatting>
  <conditionalFormatting sqref="T1024:U1024">
    <cfRule type="cellIs" dxfId="0" priority="8508" operator="equal">
      <formula>"欠"</formula>
    </cfRule>
  </conditionalFormatting>
  <conditionalFormatting sqref="V1024">
    <cfRule type="cellIs" dxfId="0" priority="8356" operator="equal">
      <formula>"欠"</formula>
    </cfRule>
  </conditionalFormatting>
  <conditionalFormatting sqref="AJ1024">
    <cfRule type="cellIs" dxfId="0" priority="8546" operator="equal">
      <formula>"未完成"</formula>
    </cfRule>
  </conditionalFormatting>
  <conditionalFormatting sqref="AL1024:AM1024">
    <cfRule type="cellIs" dxfId="1" priority="8394" operator="equal">
      <formula>"未完成"</formula>
    </cfRule>
    <cfRule type="cellIs" dxfId="0" priority="8432" operator="equal">
      <formula>"未完成"</formula>
    </cfRule>
  </conditionalFormatting>
  <conditionalFormatting sqref="AN1024">
    <cfRule type="cellIs" dxfId="0" priority="8584" operator="equal">
      <formula>"欠"</formula>
    </cfRule>
  </conditionalFormatting>
  <conditionalFormatting sqref="R1025">
    <cfRule type="cellIs" dxfId="0" priority="8317" operator="equal">
      <formula>"欠"</formula>
    </cfRule>
    <cfRule type="containsText" dxfId="0" priority="8279" operator="between" text="欠">
      <formula>NOT(ISERROR(SEARCH("欠",R1025)))</formula>
    </cfRule>
  </conditionalFormatting>
  <conditionalFormatting sqref="S1025">
    <cfRule type="cellIs" dxfId="0" priority="8469" operator="equal">
      <formula>"欠"</formula>
    </cfRule>
  </conditionalFormatting>
  <conditionalFormatting sqref="T1025:U1025">
    <cfRule type="cellIs" dxfId="0" priority="8507" operator="equal">
      <formula>"欠"</formula>
    </cfRule>
  </conditionalFormatting>
  <conditionalFormatting sqref="V1025">
    <cfRule type="cellIs" dxfId="0" priority="8355" operator="equal">
      <formula>"欠"</formula>
    </cfRule>
  </conditionalFormatting>
  <conditionalFormatting sqref="AJ1025">
    <cfRule type="cellIs" dxfId="0" priority="8545" operator="equal">
      <formula>"未完成"</formula>
    </cfRule>
  </conditionalFormatting>
  <conditionalFormatting sqref="AL1025:AM1025">
    <cfRule type="cellIs" dxfId="1" priority="8393" operator="equal">
      <formula>"未完成"</formula>
    </cfRule>
    <cfRule type="cellIs" dxfId="0" priority="8431" operator="equal">
      <formula>"未完成"</formula>
    </cfRule>
  </conditionalFormatting>
  <conditionalFormatting sqref="AN1025">
    <cfRule type="cellIs" dxfId="0" priority="8583" operator="equal">
      <formula>"欠"</formula>
    </cfRule>
  </conditionalFormatting>
  <conditionalFormatting sqref="R1026">
    <cfRule type="cellIs" dxfId="0" priority="8316" operator="equal">
      <formula>"欠"</formula>
    </cfRule>
    <cfRule type="containsText" dxfId="0" priority="8278" operator="between" text="欠">
      <formula>NOT(ISERROR(SEARCH("欠",R1026)))</formula>
    </cfRule>
  </conditionalFormatting>
  <conditionalFormatting sqref="S1026">
    <cfRule type="cellIs" dxfId="0" priority="8468" operator="equal">
      <formula>"欠"</formula>
    </cfRule>
  </conditionalFormatting>
  <conditionalFormatting sqref="T1026:U1026">
    <cfRule type="cellIs" dxfId="0" priority="8506" operator="equal">
      <formula>"欠"</formula>
    </cfRule>
  </conditionalFormatting>
  <conditionalFormatting sqref="V1026">
    <cfRule type="cellIs" dxfId="0" priority="8354" operator="equal">
      <formula>"欠"</formula>
    </cfRule>
  </conditionalFormatting>
  <conditionalFormatting sqref="AJ1026">
    <cfRule type="cellIs" dxfId="0" priority="8544" operator="equal">
      <formula>"未完成"</formula>
    </cfRule>
  </conditionalFormatting>
  <conditionalFormatting sqref="AL1026:AM1026">
    <cfRule type="cellIs" dxfId="1" priority="8392" operator="equal">
      <formula>"未完成"</formula>
    </cfRule>
    <cfRule type="cellIs" dxfId="0" priority="8430" operator="equal">
      <formula>"未完成"</formula>
    </cfRule>
  </conditionalFormatting>
  <conditionalFormatting sqref="AN1026">
    <cfRule type="cellIs" dxfId="0" priority="8582" operator="equal">
      <formula>"欠"</formula>
    </cfRule>
  </conditionalFormatting>
  <conditionalFormatting sqref="R1027">
    <cfRule type="cellIs" dxfId="0" priority="8315" operator="equal">
      <formula>"欠"</formula>
    </cfRule>
    <cfRule type="containsText" dxfId="0" priority="8277" operator="between" text="欠">
      <formula>NOT(ISERROR(SEARCH("欠",R1027)))</formula>
    </cfRule>
  </conditionalFormatting>
  <conditionalFormatting sqref="S1027">
    <cfRule type="cellIs" dxfId="0" priority="8467" operator="equal">
      <formula>"欠"</formula>
    </cfRule>
  </conditionalFormatting>
  <conditionalFormatting sqref="T1027:U1027">
    <cfRule type="cellIs" dxfId="0" priority="8505" operator="equal">
      <formula>"欠"</formula>
    </cfRule>
  </conditionalFormatting>
  <conditionalFormatting sqref="V1027">
    <cfRule type="cellIs" dxfId="0" priority="8353" operator="equal">
      <formula>"欠"</formula>
    </cfRule>
  </conditionalFormatting>
  <conditionalFormatting sqref="AJ1027">
    <cfRule type="cellIs" dxfId="0" priority="8543" operator="equal">
      <formula>"未完成"</formula>
    </cfRule>
  </conditionalFormatting>
  <conditionalFormatting sqref="AL1027:AM1027">
    <cfRule type="cellIs" dxfId="1" priority="8391" operator="equal">
      <formula>"未完成"</formula>
    </cfRule>
    <cfRule type="cellIs" dxfId="0" priority="8429" operator="equal">
      <formula>"未完成"</formula>
    </cfRule>
  </conditionalFormatting>
  <conditionalFormatting sqref="AN1027">
    <cfRule type="cellIs" dxfId="0" priority="8581" operator="equal">
      <formula>"欠"</formula>
    </cfRule>
  </conditionalFormatting>
  <conditionalFormatting sqref="R1028">
    <cfRule type="cellIs" dxfId="0" priority="8314" operator="equal">
      <formula>"欠"</formula>
    </cfRule>
    <cfRule type="containsText" dxfId="0" priority="8276" operator="between" text="欠">
      <formula>NOT(ISERROR(SEARCH("欠",R1028)))</formula>
    </cfRule>
  </conditionalFormatting>
  <conditionalFormatting sqref="S1028">
    <cfRule type="cellIs" dxfId="0" priority="8466" operator="equal">
      <formula>"欠"</formula>
    </cfRule>
  </conditionalFormatting>
  <conditionalFormatting sqref="T1028:U1028">
    <cfRule type="cellIs" dxfId="0" priority="8504" operator="equal">
      <formula>"欠"</formula>
    </cfRule>
  </conditionalFormatting>
  <conditionalFormatting sqref="V1028">
    <cfRule type="cellIs" dxfId="0" priority="8352" operator="equal">
      <formula>"欠"</formula>
    </cfRule>
  </conditionalFormatting>
  <conditionalFormatting sqref="AJ1028">
    <cfRule type="cellIs" dxfId="0" priority="8542" operator="equal">
      <formula>"未完成"</formula>
    </cfRule>
  </conditionalFormatting>
  <conditionalFormatting sqref="AL1028:AM1028">
    <cfRule type="cellIs" dxfId="1" priority="8390" operator="equal">
      <formula>"未完成"</formula>
    </cfRule>
    <cfRule type="cellIs" dxfId="0" priority="8428" operator="equal">
      <formula>"未完成"</formula>
    </cfRule>
  </conditionalFormatting>
  <conditionalFormatting sqref="AN1028">
    <cfRule type="cellIs" dxfId="0" priority="8580" operator="equal">
      <formula>"欠"</formula>
    </cfRule>
  </conditionalFormatting>
  <conditionalFormatting sqref="R1029">
    <cfRule type="cellIs" dxfId="0" priority="8313" operator="equal">
      <formula>"欠"</formula>
    </cfRule>
    <cfRule type="containsText" dxfId="0" priority="8275" operator="between" text="欠">
      <formula>NOT(ISERROR(SEARCH("欠",R1029)))</formula>
    </cfRule>
  </conditionalFormatting>
  <conditionalFormatting sqref="S1029">
    <cfRule type="cellIs" dxfId="0" priority="8465" operator="equal">
      <formula>"欠"</formula>
    </cfRule>
  </conditionalFormatting>
  <conditionalFormatting sqref="T1029:U1029">
    <cfRule type="cellIs" dxfId="0" priority="8503" operator="equal">
      <formula>"欠"</formula>
    </cfRule>
  </conditionalFormatting>
  <conditionalFormatting sqref="V1029">
    <cfRule type="cellIs" dxfId="0" priority="8351" operator="equal">
      <formula>"欠"</formula>
    </cfRule>
  </conditionalFormatting>
  <conditionalFormatting sqref="AJ1029">
    <cfRule type="cellIs" dxfId="0" priority="8541" operator="equal">
      <formula>"未完成"</formula>
    </cfRule>
  </conditionalFormatting>
  <conditionalFormatting sqref="AL1029:AM1029">
    <cfRule type="cellIs" dxfId="1" priority="8389" operator="equal">
      <formula>"未完成"</formula>
    </cfRule>
    <cfRule type="cellIs" dxfId="0" priority="8427" operator="equal">
      <formula>"未完成"</formula>
    </cfRule>
  </conditionalFormatting>
  <conditionalFormatting sqref="AN1029">
    <cfRule type="cellIs" dxfId="0" priority="8579" operator="equal">
      <formula>"欠"</formula>
    </cfRule>
  </conditionalFormatting>
  <conditionalFormatting sqref="R1030">
    <cfRule type="cellIs" dxfId="0" priority="8312" operator="equal">
      <formula>"欠"</formula>
    </cfRule>
    <cfRule type="containsText" dxfId="0" priority="8274" operator="between" text="欠">
      <formula>NOT(ISERROR(SEARCH("欠",R1030)))</formula>
    </cfRule>
  </conditionalFormatting>
  <conditionalFormatting sqref="S1030">
    <cfRule type="cellIs" dxfId="0" priority="8464" operator="equal">
      <formula>"欠"</formula>
    </cfRule>
  </conditionalFormatting>
  <conditionalFormatting sqref="T1030:U1030">
    <cfRule type="cellIs" dxfId="0" priority="8502" operator="equal">
      <formula>"欠"</formula>
    </cfRule>
  </conditionalFormatting>
  <conditionalFormatting sqref="V1030">
    <cfRule type="cellIs" dxfId="0" priority="8350" operator="equal">
      <formula>"欠"</formula>
    </cfRule>
  </conditionalFormatting>
  <conditionalFormatting sqref="AJ1030">
    <cfRule type="cellIs" dxfId="0" priority="8540" operator="equal">
      <formula>"未完成"</formula>
    </cfRule>
  </conditionalFormatting>
  <conditionalFormatting sqref="AL1030:AM1030">
    <cfRule type="cellIs" dxfId="1" priority="8388" operator="equal">
      <formula>"未完成"</formula>
    </cfRule>
    <cfRule type="cellIs" dxfId="0" priority="8426" operator="equal">
      <formula>"未完成"</formula>
    </cfRule>
  </conditionalFormatting>
  <conditionalFormatting sqref="AN1030">
    <cfRule type="cellIs" dxfId="0" priority="8578" operator="equal">
      <formula>"欠"</formula>
    </cfRule>
  </conditionalFormatting>
  <conditionalFormatting sqref="R1031">
    <cfRule type="cellIs" dxfId="0" priority="8311" operator="equal">
      <formula>"欠"</formula>
    </cfRule>
    <cfRule type="containsText" dxfId="0" priority="8273" operator="between" text="欠">
      <formula>NOT(ISERROR(SEARCH("欠",R1031)))</formula>
    </cfRule>
  </conditionalFormatting>
  <conditionalFormatting sqref="S1031">
    <cfRule type="cellIs" dxfId="0" priority="8463" operator="equal">
      <formula>"欠"</formula>
    </cfRule>
  </conditionalFormatting>
  <conditionalFormatting sqref="T1031:U1031">
    <cfRule type="cellIs" dxfId="0" priority="8501" operator="equal">
      <formula>"欠"</formula>
    </cfRule>
  </conditionalFormatting>
  <conditionalFormatting sqref="V1031">
    <cfRule type="cellIs" dxfId="0" priority="8349" operator="equal">
      <formula>"欠"</formula>
    </cfRule>
  </conditionalFormatting>
  <conditionalFormatting sqref="AJ1031">
    <cfRule type="cellIs" dxfId="0" priority="8539" operator="equal">
      <formula>"未完成"</formula>
    </cfRule>
  </conditionalFormatting>
  <conditionalFormatting sqref="AL1031:AM1031">
    <cfRule type="cellIs" dxfId="1" priority="8387" operator="equal">
      <formula>"未完成"</formula>
    </cfRule>
    <cfRule type="cellIs" dxfId="0" priority="8425" operator="equal">
      <formula>"未完成"</formula>
    </cfRule>
  </conditionalFormatting>
  <conditionalFormatting sqref="AN1031">
    <cfRule type="cellIs" dxfId="0" priority="8577" operator="equal">
      <formula>"欠"</formula>
    </cfRule>
  </conditionalFormatting>
  <conditionalFormatting sqref="R1032">
    <cfRule type="cellIs" dxfId="0" priority="8310" operator="equal">
      <formula>"欠"</formula>
    </cfRule>
    <cfRule type="containsText" dxfId="0" priority="8272" operator="between" text="欠">
      <formula>NOT(ISERROR(SEARCH("欠",R1032)))</formula>
    </cfRule>
  </conditionalFormatting>
  <conditionalFormatting sqref="S1032">
    <cfRule type="cellIs" dxfId="0" priority="8462" operator="equal">
      <formula>"欠"</formula>
    </cfRule>
  </conditionalFormatting>
  <conditionalFormatting sqref="T1032:U1032">
    <cfRule type="cellIs" dxfId="0" priority="8500" operator="equal">
      <formula>"欠"</formula>
    </cfRule>
  </conditionalFormatting>
  <conditionalFormatting sqref="V1032">
    <cfRule type="cellIs" dxfId="0" priority="8348" operator="equal">
      <formula>"欠"</formula>
    </cfRule>
  </conditionalFormatting>
  <conditionalFormatting sqref="AJ1032">
    <cfRule type="cellIs" dxfId="0" priority="8538" operator="equal">
      <formula>"未完成"</formula>
    </cfRule>
  </conditionalFormatting>
  <conditionalFormatting sqref="AL1032:AM1032">
    <cfRule type="cellIs" dxfId="1" priority="8386" operator="equal">
      <formula>"未完成"</formula>
    </cfRule>
    <cfRule type="cellIs" dxfId="0" priority="8424" operator="equal">
      <formula>"未完成"</formula>
    </cfRule>
  </conditionalFormatting>
  <conditionalFormatting sqref="AN1032">
    <cfRule type="cellIs" dxfId="0" priority="8576" operator="equal">
      <formula>"欠"</formula>
    </cfRule>
  </conditionalFormatting>
  <conditionalFormatting sqref="R1033">
    <cfRule type="cellIs" dxfId="0" priority="8309" operator="equal">
      <formula>"欠"</formula>
    </cfRule>
    <cfRule type="containsText" dxfId="0" priority="8271" operator="between" text="欠">
      <formula>NOT(ISERROR(SEARCH("欠",R1033)))</formula>
    </cfRule>
  </conditionalFormatting>
  <conditionalFormatting sqref="S1033">
    <cfRule type="cellIs" dxfId="0" priority="8461" operator="equal">
      <formula>"欠"</formula>
    </cfRule>
  </conditionalFormatting>
  <conditionalFormatting sqref="T1033:U1033">
    <cfRule type="cellIs" dxfId="0" priority="8499" operator="equal">
      <formula>"欠"</formula>
    </cfRule>
  </conditionalFormatting>
  <conditionalFormatting sqref="V1033">
    <cfRule type="cellIs" dxfId="0" priority="8347" operator="equal">
      <formula>"欠"</formula>
    </cfRule>
  </conditionalFormatting>
  <conditionalFormatting sqref="AL1033:AM1033">
    <cfRule type="cellIs" dxfId="1" priority="8385" operator="equal">
      <formula>"未完成"</formula>
    </cfRule>
    <cfRule type="cellIs" dxfId="0" priority="8423" operator="equal">
      <formula>"未完成"</formula>
    </cfRule>
  </conditionalFormatting>
  <conditionalFormatting sqref="AN1033">
    <cfRule type="cellIs" dxfId="0" priority="8575" operator="equal">
      <formula>"欠"</formula>
    </cfRule>
  </conditionalFormatting>
  <conditionalFormatting sqref="R1034">
    <cfRule type="cellIs" dxfId="0" priority="8308" operator="equal">
      <formula>"欠"</formula>
    </cfRule>
    <cfRule type="containsText" dxfId="0" priority="8270" operator="between" text="欠">
      <formula>NOT(ISERROR(SEARCH("欠",R1034)))</formula>
    </cfRule>
  </conditionalFormatting>
  <conditionalFormatting sqref="S1034">
    <cfRule type="cellIs" dxfId="0" priority="8460" operator="equal">
      <formula>"欠"</formula>
    </cfRule>
  </conditionalFormatting>
  <conditionalFormatting sqref="T1034:U1034">
    <cfRule type="cellIs" dxfId="0" priority="8498" operator="equal">
      <formula>"欠"</formula>
    </cfRule>
  </conditionalFormatting>
  <conditionalFormatting sqref="V1034">
    <cfRule type="cellIs" dxfId="0" priority="8346" operator="equal">
      <formula>"欠"</formula>
    </cfRule>
  </conditionalFormatting>
  <conditionalFormatting sqref="AJ1034">
    <cfRule type="cellIs" dxfId="0" priority="8536" operator="equal">
      <formula>"未完成"</formula>
    </cfRule>
  </conditionalFormatting>
  <conditionalFormatting sqref="AL1034:AM1034">
    <cfRule type="cellIs" dxfId="1" priority="8384" operator="equal">
      <formula>"未完成"</formula>
    </cfRule>
    <cfRule type="cellIs" dxfId="0" priority="8422" operator="equal">
      <formula>"未完成"</formula>
    </cfRule>
  </conditionalFormatting>
  <conditionalFormatting sqref="AN1034">
    <cfRule type="cellIs" dxfId="0" priority="8574" operator="equal">
      <formula>"欠"</formula>
    </cfRule>
  </conditionalFormatting>
  <conditionalFormatting sqref="R1035">
    <cfRule type="cellIs" dxfId="0" priority="8307" operator="equal">
      <formula>"欠"</formula>
    </cfRule>
    <cfRule type="containsText" dxfId="0" priority="8269" operator="between" text="欠">
      <formula>NOT(ISERROR(SEARCH("欠",R1035)))</formula>
    </cfRule>
  </conditionalFormatting>
  <conditionalFormatting sqref="S1035">
    <cfRule type="cellIs" dxfId="0" priority="8459" operator="equal">
      <formula>"欠"</formula>
    </cfRule>
  </conditionalFormatting>
  <conditionalFormatting sqref="T1035:U1035">
    <cfRule type="cellIs" dxfId="0" priority="8497" operator="equal">
      <formula>"欠"</formula>
    </cfRule>
  </conditionalFormatting>
  <conditionalFormatting sqref="V1035">
    <cfRule type="cellIs" dxfId="0" priority="8345" operator="equal">
      <formula>"欠"</formula>
    </cfRule>
  </conditionalFormatting>
  <conditionalFormatting sqref="AJ1035">
    <cfRule type="cellIs" dxfId="0" priority="8535" operator="equal">
      <formula>"未完成"</formula>
    </cfRule>
  </conditionalFormatting>
  <conditionalFormatting sqref="AL1035:AM1035">
    <cfRule type="cellIs" dxfId="1" priority="8383" operator="equal">
      <formula>"未完成"</formula>
    </cfRule>
    <cfRule type="cellIs" dxfId="0" priority="8421" operator="equal">
      <formula>"未完成"</formula>
    </cfRule>
  </conditionalFormatting>
  <conditionalFormatting sqref="AN1035">
    <cfRule type="cellIs" dxfId="0" priority="8573" operator="equal">
      <formula>"欠"</formula>
    </cfRule>
  </conditionalFormatting>
  <conditionalFormatting sqref="R1036">
    <cfRule type="cellIs" dxfId="0" priority="8306" operator="equal">
      <formula>"欠"</formula>
    </cfRule>
    <cfRule type="containsText" dxfId="0" priority="8268" operator="between" text="欠">
      <formula>NOT(ISERROR(SEARCH("欠",R1036)))</formula>
    </cfRule>
  </conditionalFormatting>
  <conditionalFormatting sqref="S1036">
    <cfRule type="cellIs" dxfId="0" priority="8458" operator="equal">
      <formula>"欠"</formula>
    </cfRule>
  </conditionalFormatting>
  <conditionalFormatting sqref="T1036:U1036">
    <cfRule type="cellIs" dxfId="0" priority="8496" operator="equal">
      <formula>"欠"</formula>
    </cfRule>
  </conditionalFormatting>
  <conditionalFormatting sqref="V1036">
    <cfRule type="cellIs" dxfId="0" priority="8344" operator="equal">
      <formula>"欠"</formula>
    </cfRule>
  </conditionalFormatting>
  <conditionalFormatting sqref="AJ1036">
    <cfRule type="cellIs" dxfId="0" priority="8534" operator="equal">
      <formula>"未完成"</formula>
    </cfRule>
  </conditionalFormatting>
  <conditionalFormatting sqref="AL1036:AM1036">
    <cfRule type="cellIs" dxfId="1" priority="8382" operator="equal">
      <formula>"未完成"</formula>
    </cfRule>
    <cfRule type="cellIs" dxfId="0" priority="8420" operator="equal">
      <formula>"未完成"</formula>
    </cfRule>
  </conditionalFormatting>
  <conditionalFormatting sqref="AN1036">
    <cfRule type="cellIs" dxfId="0" priority="8572" operator="equal">
      <formula>"欠"</formula>
    </cfRule>
  </conditionalFormatting>
  <conditionalFormatting sqref="R1037">
    <cfRule type="cellIs" dxfId="0" priority="8305" operator="equal">
      <formula>"欠"</formula>
    </cfRule>
    <cfRule type="containsText" dxfId="0" priority="8267" operator="between" text="欠">
      <formula>NOT(ISERROR(SEARCH("欠",R1037)))</formula>
    </cfRule>
  </conditionalFormatting>
  <conditionalFormatting sqref="T1037:U1037">
    <cfRule type="cellIs" dxfId="0" priority="8495" operator="equal">
      <formula>"欠"</formula>
    </cfRule>
  </conditionalFormatting>
  <conditionalFormatting sqref="V1037">
    <cfRule type="cellIs" dxfId="0" priority="8343" operator="equal">
      <formula>"欠"</formula>
    </cfRule>
  </conditionalFormatting>
  <conditionalFormatting sqref="AJ1037">
    <cfRule type="cellIs" dxfId="0" priority="8533" operator="equal">
      <formula>"未完成"</formula>
    </cfRule>
  </conditionalFormatting>
  <conditionalFormatting sqref="AL1037:AM1037">
    <cfRule type="cellIs" dxfId="1" priority="8381" operator="equal">
      <formula>"未完成"</formula>
    </cfRule>
    <cfRule type="cellIs" dxfId="0" priority="8419" operator="equal">
      <formula>"未完成"</formula>
    </cfRule>
  </conditionalFormatting>
  <conditionalFormatting sqref="AN1037">
    <cfRule type="cellIs" dxfId="0" priority="8571" operator="equal">
      <formula>"欠"</formula>
    </cfRule>
  </conditionalFormatting>
  <conditionalFormatting sqref="R1038">
    <cfRule type="cellIs" dxfId="0" priority="8304" operator="equal">
      <formula>"欠"</formula>
    </cfRule>
    <cfRule type="containsText" dxfId="0" priority="8266" operator="between" text="欠">
      <formula>NOT(ISERROR(SEARCH("欠",R1038)))</formula>
    </cfRule>
  </conditionalFormatting>
  <conditionalFormatting sqref="S1038">
    <cfRule type="cellIs" dxfId="0" priority="8456" operator="equal">
      <formula>"欠"</formula>
    </cfRule>
  </conditionalFormatting>
  <conditionalFormatting sqref="T1038:U1038">
    <cfRule type="cellIs" dxfId="0" priority="8494" operator="equal">
      <formula>"欠"</formula>
    </cfRule>
  </conditionalFormatting>
  <conditionalFormatting sqref="V1038">
    <cfRule type="cellIs" dxfId="0" priority="8342" operator="equal">
      <formula>"欠"</formula>
    </cfRule>
  </conditionalFormatting>
  <conditionalFormatting sqref="AJ1038">
    <cfRule type="cellIs" dxfId="0" priority="8532" operator="equal">
      <formula>"未完成"</formula>
    </cfRule>
  </conditionalFormatting>
  <conditionalFormatting sqref="AL1038:AM1038">
    <cfRule type="cellIs" dxfId="1" priority="8380" operator="equal">
      <formula>"未完成"</formula>
    </cfRule>
    <cfRule type="cellIs" dxfId="0" priority="8418" operator="equal">
      <formula>"未完成"</formula>
    </cfRule>
  </conditionalFormatting>
  <conditionalFormatting sqref="AN1038">
    <cfRule type="cellIs" dxfId="0" priority="8570" operator="equal">
      <formula>"欠"</formula>
    </cfRule>
  </conditionalFormatting>
  <conditionalFormatting sqref="T1039:U1039">
    <cfRule type="cellIs" dxfId="0" priority="8493" operator="equal">
      <formula>"欠"</formula>
    </cfRule>
  </conditionalFormatting>
  <conditionalFormatting sqref="V1039">
    <cfRule type="cellIs" dxfId="0" priority="8341" operator="equal">
      <formula>"欠"</formula>
    </cfRule>
  </conditionalFormatting>
  <conditionalFormatting sqref="AL1039:AM1039">
    <cfRule type="cellIs" dxfId="1" priority="8379" operator="equal">
      <formula>"未完成"</formula>
    </cfRule>
    <cfRule type="cellIs" dxfId="0" priority="8417" operator="equal">
      <formula>"未完成"</formula>
    </cfRule>
  </conditionalFormatting>
  <conditionalFormatting sqref="AN1039">
    <cfRule type="cellIs" dxfId="0" priority="8569" operator="equal">
      <formula>"欠"</formula>
    </cfRule>
  </conditionalFormatting>
  <conditionalFormatting sqref="R1040">
    <cfRule type="cellIs" dxfId="0" priority="8302" operator="equal">
      <formula>"欠"</formula>
    </cfRule>
    <cfRule type="containsText" dxfId="0" priority="8264" operator="between" text="欠">
      <formula>NOT(ISERROR(SEARCH("欠",R1040)))</formula>
    </cfRule>
  </conditionalFormatting>
  <conditionalFormatting sqref="S1040">
    <cfRule type="cellIs" dxfId="0" priority="8454" operator="equal">
      <formula>"欠"</formula>
    </cfRule>
  </conditionalFormatting>
  <conditionalFormatting sqref="T1040:U1040">
    <cfRule type="cellIs" dxfId="0" priority="8492" operator="equal">
      <formula>"欠"</formula>
    </cfRule>
  </conditionalFormatting>
  <conditionalFormatting sqref="V1040">
    <cfRule type="cellIs" dxfId="0" priority="8340" operator="equal">
      <formula>"欠"</formula>
    </cfRule>
  </conditionalFormatting>
  <conditionalFormatting sqref="AL1040:AM1040">
    <cfRule type="cellIs" dxfId="1" priority="8378" operator="equal">
      <formula>"未完成"</formula>
    </cfRule>
    <cfRule type="cellIs" dxfId="0" priority="8416" operator="equal">
      <formula>"未完成"</formula>
    </cfRule>
  </conditionalFormatting>
  <conditionalFormatting sqref="AN1040">
    <cfRule type="cellIs" dxfId="0" priority="8568" operator="equal">
      <formula>"欠"</formula>
    </cfRule>
  </conditionalFormatting>
  <conditionalFormatting sqref="R1041">
    <cfRule type="cellIs" dxfId="0" priority="8301" operator="equal">
      <formula>"欠"</formula>
    </cfRule>
    <cfRule type="containsText" dxfId="0" priority="8263" operator="between" text="欠">
      <formula>NOT(ISERROR(SEARCH("欠",R1041)))</formula>
    </cfRule>
  </conditionalFormatting>
  <conditionalFormatting sqref="S1041">
    <cfRule type="cellIs" dxfId="0" priority="8453" operator="equal">
      <formula>"欠"</formula>
    </cfRule>
  </conditionalFormatting>
  <conditionalFormatting sqref="T1041:U1041">
    <cfRule type="cellIs" dxfId="0" priority="8491" operator="equal">
      <formula>"欠"</formula>
    </cfRule>
  </conditionalFormatting>
  <conditionalFormatting sqref="V1041">
    <cfRule type="cellIs" dxfId="0" priority="8339" operator="equal">
      <formula>"欠"</formula>
    </cfRule>
  </conditionalFormatting>
  <conditionalFormatting sqref="AJ1041">
    <cfRule type="cellIs" dxfId="0" priority="8529" operator="equal">
      <formula>"未完成"</formula>
    </cfRule>
  </conditionalFormatting>
  <conditionalFormatting sqref="AL1041:AM1041">
    <cfRule type="cellIs" dxfId="1" priority="8377" operator="equal">
      <formula>"未完成"</formula>
    </cfRule>
    <cfRule type="cellIs" dxfId="0" priority="8415" operator="equal">
      <formula>"未完成"</formula>
    </cfRule>
  </conditionalFormatting>
  <conditionalFormatting sqref="AN1041">
    <cfRule type="cellIs" dxfId="0" priority="8567" operator="equal">
      <formula>"欠"</formula>
    </cfRule>
  </conditionalFormatting>
  <conditionalFormatting sqref="R1042">
    <cfRule type="cellIs" dxfId="0" priority="8300" operator="equal">
      <formula>"欠"</formula>
    </cfRule>
    <cfRule type="containsText" dxfId="0" priority="8262" operator="between" text="欠">
      <formula>NOT(ISERROR(SEARCH("欠",R1042)))</formula>
    </cfRule>
  </conditionalFormatting>
  <conditionalFormatting sqref="T1042:U1042">
    <cfRule type="cellIs" dxfId="0" priority="8490" operator="equal">
      <formula>"欠"</formula>
    </cfRule>
  </conditionalFormatting>
  <conditionalFormatting sqref="V1042">
    <cfRule type="cellIs" dxfId="0" priority="8338" operator="equal">
      <formula>"欠"</formula>
    </cfRule>
  </conditionalFormatting>
  <conditionalFormatting sqref="AL1042:AM1042">
    <cfRule type="cellIs" dxfId="1" priority="8376" operator="equal">
      <formula>"未完成"</formula>
    </cfRule>
    <cfRule type="cellIs" dxfId="0" priority="8414" operator="equal">
      <formula>"未完成"</formula>
    </cfRule>
  </conditionalFormatting>
  <conditionalFormatting sqref="AN1042">
    <cfRule type="cellIs" dxfId="0" priority="8566" operator="equal">
      <formula>"欠"</formula>
    </cfRule>
  </conditionalFormatting>
  <conditionalFormatting sqref="R1043">
    <cfRule type="cellIs" dxfId="0" priority="8299" operator="equal">
      <formula>"欠"</formula>
    </cfRule>
    <cfRule type="containsText" dxfId="0" priority="8261" operator="between" text="欠">
      <formula>NOT(ISERROR(SEARCH("欠",R1043)))</formula>
    </cfRule>
  </conditionalFormatting>
  <conditionalFormatting sqref="S1043">
    <cfRule type="cellIs" dxfId="0" priority="8451" operator="equal">
      <formula>"欠"</formula>
    </cfRule>
  </conditionalFormatting>
  <conditionalFormatting sqref="T1043:U1043">
    <cfRule type="cellIs" dxfId="0" priority="8489" operator="equal">
      <formula>"欠"</formula>
    </cfRule>
  </conditionalFormatting>
  <conditionalFormatting sqref="V1043">
    <cfRule type="cellIs" dxfId="0" priority="8337" operator="equal">
      <formula>"欠"</formula>
    </cfRule>
  </conditionalFormatting>
  <conditionalFormatting sqref="AJ1043">
    <cfRule type="cellIs" dxfId="0" priority="8527" operator="equal">
      <formula>"未完成"</formula>
    </cfRule>
  </conditionalFormatting>
  <conditionalFormatting sqref="AL1043:AM1043">
    <cfRule type="cellIs" dxfId="1" priority="8375" operator="equal">
      <formula>"未完成"</formula>
    </cfRule>
    <cfRule type="cellIs" dxfId="0" priority="8413" operator="equal">
      <formula>"未完成"</formula>
    </cfRule>
  </conditionalFormatting>
  <conditionalFormatting sqref="AN1043">
    <cfRule type="cellIs" dxfId="0" priority="8565" operator="equal">
      <formula>"欠"</formula>
    </cfRule>
  </conditionalFormatting>
  <conditionalFormatting sqref="R1044">
    <cfRule type="cellIs" dxfId="0" priority="8298" operator="equal">
      <formula>"欠"</formula>
    </cfRule>
    <cfRule type="containsText" dxfId="0" priority="8260" operator="between" text="欠">
      <formula>NOT(ISERROR(SEARCH("欠",R1044)))</formula>
    </cfRule>
  </conditionalFormatting>
  <conditionalFormatting sqref="S1044">
    <cfRule type="cellIs" dxfId="0" priority="8450" operator="equal">
      <formula>"欠"</formula>
    </cfRule>
  </conditionalFormatting>
  <conditionalFormatting sqref="T1044:U1044">
    <cfRule type="cellIs" dxfId="0" priority="8488" operator="equal">
      <formula>"欠"</formula>
    </cfRule>
  </conditionalFormatting>
  <conditionalFormatting sqref="V1044">
    <cfRule type="cellIs" dxfId="0" priority="8336" operator="equal">
      <formula>"欠"</formula>
    </cfRule>
  </conditionalFormatting>
  <conditionalFormatting sqref="AJ1044">
    <cfRule type="cellIs" dxfId="0" priority="8526" operator="equal">
      <formula>"未完成"</formula>
    </cfRule>
  </conditionalFormatting>
  <conditionalFormatting sqref="AL1044:AM1044">
    <cfRule type="cellIs" dxfId="1" priority="8374" operator="equal">
      <formula>"未完成"</formula>
    </cfRule>
    <cfRule type="cellIs" dxfId="0" priority="8412" operator="equal">
      <formula>"未完成"</formula>
    </cfRule>
  </conditionalFormatting>
  <conditionalFormatting sqref="AN1044">
    <cfRule type="cellIs" dxfId="0" priority="8564" operator="equal">
      <formula>"欠"</formula>
    </cfRule>
  </conditionalFormatting>
  <conditionalFormatting sqref="R1045">
    <cfRule type="cellIs" dxfId="0" priority="8297" operator="equal">
      <formula>"欠"</formula>
    </cfRule>
    <cfRule type="containsText" dxfId="0" priority="8259" operator="between" text="欠">
      <formula>NOT(ISERROR(SEARCH("欠",R1045)))</formula>
    </cfRule>
  </conditionalFormatting>
  <conditionalFormatting sqref="S1045">
    <cfRule type="cellIs" dxfId="0" priority="8449" operator="equal">
      <formula>"欠"</formula>
    </cfRule>
  </conditionalFormatting>
  <conditionalFormatting sqref="T1045:U1045">
    <cfRule type="cellIs" dxfId="0" priority="8487" operator="equal">
      <formula>"欠"</formula>
    </cfRule>
  </conditionalFormatting>
  <conditionalFormatting sqref="V1045">
    <cfRule type="cellIs" dxfId="0" priority="8335" operator="equal">
      <formula>"欠"</formula>
    </cfRule>
  </conditionalFormatting>
  <conditionalFormatting sqref="AJ1045">
    <cfRule type="cellIs" dxfId="0" priority="8525" operator="equal">
      <formula>"未完成"</formula>
    </cfRule>
  </conditionalFormatting>
  <conditionalFormatting sqref="AL1045:AM1045">
    <cfRule type="cellIs" dxfId="1" priority="8373" operator="equal">
      <formula>"未完成"</formula>
    </cfRule>
    <cfRule type="cellIs" dxfId="0" priority="8411" operator="equal">
      <formula>"未完成"</formula>
    </cfRule>
  </conditionalFormatting>
  <conditionalFormatting sqref="AN1045">
    <cfRule type="cellIs" dxfId="0" priority="8563" operator="equal">
      <formula>"欠"</formula>
    </cfRule>
  </conditionalFormatting>
  <conditionalFormatting sqref="R1046">
    <cfRule type="cellIs" dxfId="0" priority="8296" operator="equal">
      <formula>"欠"</formula>
    </cfRule>
    <cfRule type="containsText" dxfId="0" priority="8258" operator="between" text="欠">
      <formula>NOT(ISERROR(SEARCH("欠",R1046)))</formula>
    </cfRule>
  </conditionalFormatting>
  <conditionalFormatting sqref="S1046">
    <cfRule type="cellIs" dxfId="0" priority="8448" operator="equal">
      <formula>"欠"</formula>
    </cfRule>
  </conditionalFormatting>
  <conditionalFormatting sqref="T1046:U1046">
    <cfRule type="cellIs" dxfId="0" priority="8486" operator="equal">
      <formula>"欠"</formula>
    </cfRule>
  </conditionalFormatting>
  <conditionalFormatting sqref="V1046">
    <cfRule type="cellIs" dxfId="0" priority="8334" operator="equal">
      <formula>"欠"</formula>
    </cfRule>
  </conditionalFormatting>
  <conditionalFormatting sqref="AJ1046">
    <cfRule type="cellIs" dxfId="0" priority="8524" operator="equal">
      <formula>"未完成"</formula>
    </cfRule>
  </conditionalFormatting>
  <conditionalFormatting sqref="AL1046:AM1046">
    <cfRule type="cellIs" dxfId="1" priority="8372" operator="equal">
      <formula>"未完成"</formula>
    </cfRule>
    <cfRule type="cellIs" dxfId="0" priority="8410" operator="equal">
      <formula>"未完成"</formula>
    </cfRule>
  </conditionalFormatting>
  <conditionalFormatting sqref="AN1046">
    <cfRule type="cellIs" dxfId="0" priority="8562" operator="equal">
      <formula>"欠"</formula>
    </cfRule>
  </conditionalFormatting>
  <conditionalFormatting sqref="R1047">
    <cfRule type="cellIs" dxfId="0" priority="8295" operator="equal">
      <formula>"欠"</formula>
    </cfRule>
    <cfRule type="containsText" dxfId="0" priority="8257" operator="between" text="欠">
      <formula>NOT(ISERROR(SEARCH("欠",R1047)))</formula>
    </cfRule>
  </conditionalFormatting>
  <conditionalFormatting sqref="S1047">
    <cfRule type="cellIs" dxfId="0" priority="8447" operator="equal">
      <formula>"欠"</formula>
    </cfRule>
  </conditionalFormatting>
  <conditionalFormatting sqref="T1047:U1047">
    <cfRule type="cellIs" dxfId="0" priority="8485" operator="equal">
      <formula>"欠"</formula>
    </cfRule>
  </conditionalFormatting>
  <conditionalFormatting sqref="V1047">
    <cfRule type="cellIs" dxfId="0" priority="8333" operator="equal">
      <formula>"欠"</formula>
    </cfRule>
  </conditionalFormatting>
  <conditionalFormatting sqref="AJ1047">
    <cfRule type="cellIs" dxfId="0" priority="8523" operator="equal">
      <formula>"未完成"</formula>
    </cfRule>
  </conditionalFormatting>
  <conditionalFormatting sqref="AL1047:AM1047">
    <cfRule type="cellIs" dxfId="1" priority="8371" operator="equal">
      <formula>"未完成"</formula>
    </cfRule>
    <cfRule type="cellIs" dxfId="0" priority="8409" operator="equal">
      <formula>"未完成"</formula>
    </cfRule>
  </conditionalFormatting>
  <conditionalFormatting sqref="AN1047">
    <cfRule type="cellIs" dxfId="0" priority="8561" operator="equal">
      <formula>"欠"</formula>
    </cfRule>
  </conditionalFormatting>
  <conditionalFormatting sqref="R1048">
    <cfRule type="cellIs" dxfId="0" priority="8294" operator="equal">
      <formula>"欠"</formula>
    </cfRule>
    <cfRule type="containsText" dxfId="0" priority="8256" operator="between" text="欠">
      <formula>NOT(ISERROR(SEARCH("欠",R1048)))</formula>
    </cfRule>
  </conditionalFormatting>
  <conditionalFormatting sqref="S1048">
    <cfRule type="cellIs" dxfId="0" priority="8446" operator="equal">
      <formula>"欠"</formula>
    </cfRule>
  </conditionalFormatting>
  <conditionalFormatting sqref="T1048:U1048">
    <cfRule type="cellIs" dxfId="0" priority="8484" operator="equal">
      <formula>"欠"</formula>
    </cfRule>
  </conditionalFormatting>
  <conditionalFormatting sqref="V1048">
    <cfRule type="cellIs" dxfId="0" priority="8332" operator="equal">
      <formula>"欠"</formula>
    </cfRule>
  </conditionalFormatting>
  <conditionalFormatting sqref="AJ1048">
    <cfRule type="cellIs" dxfId="0" priority="8522" operator="equal">
      <formula>"未完成"</formula>
    </cfRule>
  </conditionalFormatting>
  <conditionalFormatting sqref="AL1048:AM1048">
    <cfRule type="cellIs" dxfId="1" priority="8370" operator="equal">
      <formula>"未完成"</formula>
    </cfRule>
    <cfRule type="cellIs" dxfId="0" priority="8408" operator="equal">
      <formula>"未完成"</formula>
    </cfRule>
  </conditionalFormatting>
  <conditionalFormatting sqref="R1049">
    <cfRule type="cellIs" dxfId="0" priority="8293" operator="equal">
      <formula>"欠"</formula>
    </cfRule>
    <cfRule type="containsText" dxfId="0" priority="8255" operator="between" text="欠">
      <formula>NOT(ISERROR(SEARCH("欠",R1049)))</formula>
    </cfRule>
  </conditionalFormatting>
  <conditionalFormatting sqref="S1049">
    <cfRule type="cellIs" dxfId="0" priority="8445" operator="equal">
      <formula>"欠"</formula>
    </cfRule>
  </conditionalFormatting>
  <conditionalFormatting sqref="T1049:U1049">
    <cfRule type="cellIs" dxfId="0" priority="8483" operator="equal">
      <formula>"欠"</formula>
    </cfRule>
  </conditionalFormatting>
  <conditionalFormatting sqref="V1049">
    <cfRule type="cellIs" dxfId="0" priority="8331" operator="equal">
      <formula>"欠"</formula>
    </cfRule>
  </conditionalFormatting>
  <conditionalFormatting sqref="AJ1049">
    <cfRule type="cellIs" dxfId="0" priority="8521" operator="equal">
      <formula>"未完成"</formula>
    </cfRule>
  </conditionalFormatting>
  <conditionalFormatting sqref="AL1049:AM1049">
    <cfRule type="cellIs" dxfId="1" priority="8369" operator="equal">
      <formula>"未完成"</formula>
    </cfRule>
    <cfRule type="cellIs" dxfId="0" priority="8407" operator="equal">
      <formula>"未完成"</formula>
    </cfRule>
  </conditionalFormatting>
  <conditionalFormatting sqref="AN1049">
    <cfRule type="cellIs" dxfId="0" priority="8559" operator="equal">
      <formula>"欠"</formula>
    </cfRule>
  </conditionalFormatting>
  <conditionalFormatting sqref="R1050">
    <cfRule type="cellIs" dxfId="0" priority="8292" operator="equal">
      <formula>"欠"</formula>
    </cfRule>
    <cfRule type="containsText" dxfId="0" priority="8254" operator="between" text="欠">
      <formula>NOT(ISERROR(SEARCH("欠",R1050)))</formula>
    </cfRule>
  </conditionalFormatting>
  <conditionalFormatting sqref="S1050">
    <cfRule type="cellIs" dxfId="0" priority="8444" operator="equal">
      <formula>"欠"</formula>
    </cfRule>
  </conditionalFormatting>
  <conditionalFormatting sqref="T1050:U1050">
    <cfRule type="cellIs" dxfId="0" priority="8482" operator="equal">
      <formula>"欠"</formula>
    </cfRule>
  </conditionalFormatting>
  <conditionalFormatting sqref="V1050">
    <cfRule type="cellIs" dxfId="0" priority="8330" operator="equal">
      <formula>"欠"</formula>
    </cfRule>
  </conditionalFormatting>
  <conditionalFormatting sqref="AL1050:AM1050">
    <cfRule type="cellIs" dxfId="1" priority="8368" operator="equal">
      <formula>"未完成"</formula>
    </cfRule>
    <cfRule type="cellIs" dxfId="0" priority="8406" operator="equal">
      <formula>"未完成"</formula>
    </cfRule>
  </conditionalFormatting>
  <conditionalFormatting sqref="AN1050">
    <cfRule type="cellIs" dxfId="0" priority="8558" operator="equal">
      <formula>"欠"</formula>
    </cfRule>
  </conditionalFormatting>
  <conditionalFormatting sqref="R1051">
    <cfRule type="cellIs" dxfId="0" priority="8291" operator="equal">
      <formula>"欠"</formula>
    </cfRule>
    <cfRule type="containsText" dxfId="0" priority="8253" operator="between" text="欠">
      <formula>NOT(ISERROR(SEARCH("欠",R1051)))</formula>
    </cfRule>
  </conditionalFormatting>
  <conditionalFormatting sqref="S1051">
    <cfRule type="cellIs" dxfId="0" priority="8443" operator="equal">
      <formula>"欠"</formula>
    </cfRule>
  </conditionalFormatting>
  <conditionalFormatting sqref="T1051:U1051">
    <cfRule type="cellIs" dxfId="0" priority="8481" operator="equal">
      <formula>"欠"</formula>
    </cfRule>
  </conditionalFormatting>
  <conditionalFormatting sqref="V1051">
    <cfRule type="cellIs" dxfId="0" priority="8329" operator="equal">
      <formula>"欠"</formula>
    </cfRule>
  </conditionalFormatting>
  <conditionalFormatting sqref="AJ1051">
    <cfRule type="cellIs" dxfId="0" priority="8519" operator="equal">
      <formula>"未完成"</formula>
    </cfRule>
  </conditionalFormatting>
  <conditionalFormatting sqref="AL1051:AM1051">
    <cfRule type="cellIs" dxfId="1" priority="8367" operator="equal">
      <formula>"未完成"</formula>
    </cfRule>
    <cfRule type="cellIs" dxfId="0" priority="8405" operator="equal">
      <formula>"未完成"</formula>
    </cfRule>
  </conditionalFormatting>
  <conditionalFormatting sqref="AN1051">
    <cfRule type="cellIs" dxfId="0" priority="8557" operator="equal">
      <formula>"欠"</formula>
    </cfRule>
  </conditionalFormatting>
  <conditionalFormatting sqref="R1052">
    <cfRule type="cellIs" dxfId="0" priority="8290" operator="equal">
      <formula>"欠"</formula>
    </cfRule>
    <cfRule type="containsText" dxfId="0" priority="8252" operator="between" text="欠">
      <formula>NOT(ISERROR(SEARCH("欠",R1052)))</formula>
    </cfRule>
  </conditionalFormatting>
  <conditionalFormatting sqref="S1052">
    <cfRule type="cellIs" dxfId="0" priority="8442" operator="equal">
      <formula>"欠"</formula>
    </cfRule>
  </conditionalFormatting>
  <conditionalFormatting sqref="T1052:U1052">
    <cfRule type="cellIs" dxfId="0" priority="8480" operator="equal">
      <formula>"欠"</formula>
    </cfRule>
  </conditionalFormatting>
  <conditionalFormatting sqref="V1052">
    <cfRule type="cellIs" dxfId="0" priority="8328" operator="equal">
      <formula>"欠"</formula>
    </cfRule>
  </conditionalFormatting>
  <conditionalFormatting sqref="AJ1052">
    <cfRule type="cellIs" dxfId="0" priority="8518" operator="equal">
      <formula>"未完成"</formula>
    </cfRule>
  </conditionalFormatting>
  <conditionalFormatting sqref="AL1052:AM1052">
    <cfRule type="cellIs" dxfId="1" priority="8366" operator="equal">
      <formula>"未完成"</formula>
    </cfRule>
    <cfRule type="cellIs" dxfId="0" priority="8404" operator="equal">
      <formula>"未完成"</formula>
    </cfRule>
  </conditionalFormatting>
  <conditionalFormatting sqref="AN1052">
    <cfRule type="cellIs" dxfId="0" priority="8556" operator="equal">
      <formula>"欠"</formula>
    </cfRule>
  </conditionalFormatting>
  <conditionalFormatting sqref="R1053">
    <cfRule type="cellIs" dxfId="0" priority="8289" operator="equal">
      <formula>"欠"</formula>
    </cfRule>
    <cfRule type="containsText" dxfId="0" priority="8251" operator="between" text="欠">
      <formula>NOT(ISERROR(SEARCH("欠",R1053)))</formula>
    </cfRule>
  </conditionalFormatting>
  <conditionalFormatting sqref="T1053:U1053">
    <cfRule type="cellIs" dxfId="0" priority="8479" operator="equal">
      <formula>"欠"</formula>
    </cfRule>
  </conditionalFormatting>
  <conditionalFormatting sqref="V1053">
    <cfRule type="cellIs" dxfId="0" priority="8327" operator="equal">
      <formula>"欠"</formula>
    </cfRule>
  </conditionalFormatting>
  <conditionalFormatting sqref="AJ1053">
    <cfRule type="cellIs" dxfId="0" priority="8517" operator="equal">
      <formula>"未完成"</formula>
    </cfRule>
  </conditionalFormatting>
  <conditionalFormatting sqref="AL1053:AM1053">
    <cfRule type="cellIs" dxfId="1" priority="8365" operator="equal">
      <formula>"未完成"</formula>
    </cfRule>
    <cfRule type="cellIs" dxfId="0" priority="8403" operator="equal">
      <formula>"未完成"</formula>
    </cfRule>
  </conditionalFormatting>
  <conditionalFormatting sqref="AN1053">
    <cfRule type="cellIs" dxfId="0" priority="8555" operator="equal">
      <formula>"欠"</formula>
    </cfRule>
  </conditionalFormatting>
  <conditionalFormatting sqref="R1054">
    <cfRule type="cellIs" dxfId="0" priority="8288" operator="equal">
      <formula>"欠"</formula>
    </cfRule>
    <cfRule type="containsText" dxfId="0" priority="8250" operator="between" text="欠">
      <formula>NOT(ISERROR(SEARCH("欠",R1054)))</formula>
    </cfRule>
  </conditionalFormatting>
  <conditionalFormatting sqref="T1054:U1054">
    <cfRule type="cellIs" dxfId="0" priority="8478" operator="equal">
      <formula>"欠"</formula>
    </cfRule>
  </conditionalFormatting>
  <conditionalFormatting sqref="V1054">
    <cfRule type="cellIs" dxfId="0" priority="8326" operator="equal">
      <formula>"欠"</formula>
    </cfRule>
  </conditionalFormatting>
  <conditionalFormatting sqref="AL1054:AM1054">
    <cfRule type="cellIs" dxfId="1" priority="8364" operator="equal">
      <formula>"未完成"</formula>
    </cfRule>
    <cfRule type="cellIs" dxfId="0" priority="8402" operator="equal">
      <formula>"未完成"</formula>
    </cfRule>
  </conditionalFormatting>
  <conditionalFormatting sqref="AN1054">
    <cfRule type="cellIs" dxfId="0" priority="8554" operator="equal">
      <formula>"欠"</formula>
    </cfRule>
  </conditionalFormatting>
  <conditionalFormatting sqref="R1055">
    <cfRule type="cellIs" dxfId="0" priority="8287" operator="equal">
      <formula>"欠"</formula>
    </cfRule>
    <cfRule type="containsText" dxfId="0" priority="8249" operator="between" text="欠">
      <formula>NOT(ISERROR(SEARCH("欠",R1055)))</formula>
    </cfRule>
  </conditionalFormatting>
  <conditionalFormatting sqref="S1055">
    <cfRule type="cellIs" dxfId="0" priority="8439" operator="equal">
      <formula>"欠"</formula>
    </cfRule>
  </conditionalFormatting>
  <conditionalFormatting sqref="T1055:U1055">
    <cfRule type="cellIs" dxfId="0" priority="8477" operator="equal">
      <formula>"欠"</formula>
    </cfRule>
  </conditionalFormatting>
  <conditionalFormatting sqref="V1055">
    <cfRule type="cellIs" dxfId="0" priority="8325" operator="equal">
      <formula>"欠"</formula>
    </cfRule>
  </conditionalFormatting>
  <conditionalFormatting sqref="AL1055:AM1055">
    <cfRule type="cellIs" dxfId="1" priority="8363" operator="equal">
      <formula>"未完成"</formula>
    </cfRule>
    <cfRule type="cellIs" dxfId="0" priority="8401" operator="equal">
      <formula>"未完成"</formula>
    </cfRule>
  </conditionalFormatting>
  <conditionalFormatting sqref="AN1055">
    <cfRule type="cellIs" dxfId="0" priority="8553" operator="equal">
      <formula>"欠"</formula>
    </cfRule>
  </conditionalFormatting>
  <conditionalFormatting sqref="R1056">
    <cfRule type="cellIs" dxfId="0" priority="8286" operator="equal">
      <formula>"欠"</formula>
    </cfRule>
    <cfRule type="containsText" dxfId="0" priority="8248" operator="between" text="欠">
      <formula>NOT(ISERROR(SEARCH("欠",R1056)))</formula>
    </cfRule>
  </conditionalFormatting>
  <conditionalFormatting sqref="S1056">
    <cfRule type="cellIs" dxfId="0" priority="8438" operator="equal">
      <formula>"欠"</formula>
    </cfRule>
  </conditionalFormatting>
  <conditionalFormatting sqref="T1056:U1056">
    <cfRule type="cellIs" dxfId="0" priority="8476" operator="equal">
      <formula>"欠"</formula>
    </cfRule>
  </conditionalFormatting>
  <conditionalFormatting sqref="V1056">
    <cfRule type="cellIs" dxfId="0" priority="8324" operator="equal">
      <formula>"欠"</formula>
    </cfRule>
  </conditionalFormatting>
  <conditionalFormatting sqref="AL1056:AM1056">
    <cfRule type="cellIs" dxfId="1" priority="8362" operator="equal">
      <formula>"未完成"</formula>
    </cfRule>
    <cfRule type="cellIs" dxfId="0" priority="8400" operator="equal">
      <formula>"未完成"</formula>
    </cfRule>
  </conditionalFormatting>
  <conditionalFormatting sqref="AN1056">
    <cfRule type="cellIs" dxfId="0" priority="8552" operator="equal">
      <formula>"欠"</formula>
    </cfRule>
  </conditionalFormatting>
  <conditionalFormatting sqref="R1057">
    <cfRule type="cellIs" dxfId="0" priority="7481" operator="equal">
      <formula>"欠"</formula>
    </cfRule>
    <cfRule type="containsText" dxfId="0" priority="7420" operator="between" text="欠">
      <formula>NOT(ISERROR(SEARCH("欠",R1057)))</formula>
    </cfRule>
  </conditionalFormatting>
  <conditionalFormatting sqref="T1057:U1057">
    <cfRule type="cellIs" dxfId="0" priority="7786" operator="equal">
      <formula>"欠"</formula>
    </cfRule>
  </conditionalFormatting>
  <conditionalFormatting sqref="V1057">
    <cfRule type="cellIs" dxfId="0" priority="7542" operator="equal">
      <formula>"欠"</formula>
    </cfRule>
  </conditionalFormatting>
  <conditionalFormatting sqref="AJ1057">
    <cfRule type="cellIs" dxfId="0" priority="7847" operator="equal">
      <formula>"未完成"</formula>
    </cfRule>
  </conditionalFormatting>
  <conditionalFormatting sqref="AL1057:AM1057">
    <cfRule type="cellIs" dxfId="1" priority="7603" operator="equal">
      <formula>"未完成"</formula>
    </cfRule>
    <cfRule type="cellIs" dxfId="0" priority="7664" operator="equal">
      <formula>"未完成"</formula>
    </cfRule>
  </conditionalFormatting>
  <conditionalFormatting sqref="AN1057">
    <cfRule type="cellIs" dxfId="0" priority="7908" operator="equal">
      <formula>"欠"</formula>
    </cfRule>
  </conditionalFormatting>
  <conditionalFormatting sqref="R1058">
    <cfRule type="cellIs" dxfId="0" priority="7480" operator="equal">
      <formula>"欠"</formula>
    </cfRule>
    <cfRule type="containsText" dxfId="0" priority="7419" operator="between" text="欠">
      <formula>NOT(ISERROR(SEARCH("欠",R1058)))</formula>
    </cfRule>
  </conditionalFormatting>
  <conditionalFormatting sqref="S1058">
    <cfRule type="cellIs" dxfId="0" priority="7724" operator="equal">
      <formula>"欠"</formula>
    </cfRule>
  </conditionalFormatting>
  <conditionalFormatting sqref="T1058:U1058">
    <cfRule type="cellIs" dxfId="0" priority="7785" operator="equal">
      <formula>"欠"</formula>
    </cfRule>
  </conditionalFormatting>
  <conditionalFormatting sqref="V1058">
    <cfRule type="cellIs" dxfId="0" priority="7541" operator="equal">
      <formula>"欠"</formula>
    </cfRule>
  </conditionalFormatting>
  <conditionalFormatting sqref="AJ1058">
    <cfRule type="cellIs" dxfId="0" priority="7846" operator="equal">
      <formula>"未完成"</formula>
    </cfRule>
  </conditionalFormatting>
  <conditionalFormatting sqref="AL1058:AM1058">
    <cfRule type="cellIs" dxfId="1" priority="7602" operator="equal">
      <formula>"未完成"</formula>
    </cfRule>
    <cfRule type="cellIs" dxfId="0" priority="7663" operator="equal">
      <formula>"未完成"</formula>
    </cfRule>
  </conditionalFormatting>
  <conditionalFormatting sqref="AN1058">
    <cfRule type="cellIs" dxfId="0" priority="7907" operator="equal">
      <formula>"欠"</formula>
    </cfRule>
  </conditionalFormatting>
  <conditionalFormatting sqref="R1059">
    <cfRule type="cellIs" dxfId="0" priority="7479" operator="equal">
      <formula>"欠"</formula>
    </cfRule>
    <cfRule type="containsText" dxfId="0" priority="7418" operator="between" text="欠">
      <formula>NOT(ISERROR(SEARCH("欠",R1059)))</formula>
    </cfRule>
  </conditionalFormatting>
  <conditionalFormatting sqref="S1059">
    <cfRule type="cellIs" dxfId="0" priority="7723" operator="equal">
      <formula>"欠"</formula>
    </cfRule>
  </conditionalFormatting>
  <conditionalFormatting sqref="T1059:U1059">
    <cfRule type="cellIs" dxfId="0" priority="7784" operator="equal">
      <formula>"欠"</formula>
    </cfRule>
  </conditionalFormatting>
  <conditionalFormatting sqref="V1059">
    <cfRule type="cellIs" dxfId="0" priority="7540" operator="equal">
      <formula>"欠"</formula>
    </cfRule>
  </conditionalFormatting>
  <conditionalFormatting sqref="AJ1059">
    <cfRule type="cellIs" dxfId="0" priority="7845" operator="equal">
      <formula>"未完成"</formula>
    </cfRule>
  </conditionalFormatting>
  <conditionalFormatting sqref="AL1059:AM1059">
    <cfRule type="cellIs" dxfId="1" priority="7601" operator="equal">
      <formula>"未完成"</formula>
    </cfRule>
    <cfRule type="cellIs" dxfId="0" priority="7662" operator="equal">
      <formula>"未完成"</formula>
    </cfRule>
  </conditionalFormatting>
  <conditionalFormatting sqref="AN1059">
    <cfRule type="cellIs" dxfId="0" priority="7906" operator="equal">
      <formula>"欠"</formula>
    </cfRule>
  </conditionalFormatting>
  <conditionalFormatting sqref="R1060">
    <cfRule type="cellIs" dxfId="0" priority="7478" operator="equal">
      <formula>"欠"</formula>
    </cfRule>
    <cfRule type="containsText" dxfId="0" priority="7417" operator="between" text="欠">
      <formula>NOT(ISERROR(SEARCH("欠",R1060)))</formula>
    </cfRule>
  </conditionalFormatting>
  <conditionalFormatting sqref="S1060">
    <cfRule type="cellIs" dxfId="0" priority="7722" operator="equal">
      <formula>"欠"</formula>
    </cfRule>
  </conditionalFormatting>
  <conditionalFormatting sqref="T1060:U1060">
    <cfRule type="cellIs" dxfId="0" priority="7783" operator="equal">
      <formula>"欠"</formula>
    </cfRule>
  </conditionalFormatting>
  <conditionalFormatting sqref="V1060">
    <cfRule type="cellIs" dxfId="0" priority="7539" operator="equal">
      <formula>"欠"</formula>
    </cfRule>
  </conditionalFormatting>
  <conditionalFormatting sqref="AL1060:AM1060">
    <cfRule type="cellIs" dxfId="1" priority="7600" operator="equal">
      <formula>"未完成"</formula>
    </cfRule>
    <cfRule type="cellIs" dxfId="0" priority="7661" operator="equal">
      <formula>"未完成"</formula>
    </cfRule>
  </conditionalFormatting>
  <conditionalFormatting sqref="AN1060">
    <cfRule type="cellIs" dxfId="0" priority="7905" operator="equal">
      <formula>"欠"</formula>
    </cfRule>
  </conditionalFormatting>
  <conditionalFormatting sqref="R1061">
    <cfRule type="cellIs" dxfId="0" priority="7477" operator="equal">
      <formula>"欠"</formula>
    </cfRule>
    <cfRule type="containsText" dxfId="0" priority="7416" operator="between" text="欠">
      <formula>NOT(ISERROR(SEARCH("欠",R1061)))</formula>
    </cfRule>
  </conditionalFormatting>
  <conditionalFormatting sqref="S1061">
    <cfRule type="cellIs" dxfId="0" priority="7721" operator="equal">
      <formula>"欠"</formula>
    </cfRule>
  </conditionalFormatting>
  <conditionalFormatting sqref="T1061:U1061">
    <cfRule type="cellIs" dxfId="0" priority="7782" operator="equal">
      <formula>"欠"</formula>
    </cfRule>
  </conditionalFormatting>
  <conditionalFormatting sqref="V1061">
    <cfRule type="cellIs" dxfId="0" priority="7538" operator="equal">
      <formula>"欠"</formula>
    </cfRule>
  </conditionalFormatting>
  <conditionalFormatting sqref="AJ1061">
    <cfRule type="cellIs" dxfId="0" priority="7843" operator="equal">
      <formula>"未完成"</formula>
    </cfRule>
  </conditionalFormatting>
  <conditionalFormatting sqref="AL1061:AM1061">
    <cfRule type="cellIs" dxfId="1" priority="7599" operator="equal">
      <formula>"未完成"</formula>
    </cfRule>
    <cfRule type="cellIs" dxfId="0" priority="7660" operator="equal">
      <formula>"未完成"</formula>
    </cfRule>
  </conditionalFormatting>
  <conditionalFormatting sqref="AN1061">
    <cfRule type="cellIs" dxfId="0" priority="7904" operator="equal">
      <formula>"欠"</formula>
    </cfRule>
  </conditionalFormatting>
  <conditionalFormatting sqref="R1062">
    <cfRule type="cellIs" dxfId="0" priority="7476" operator="equal">
      <formula>"欠"</formula>
    </cfRule>
    <cfRule type="containsText" dxfId="0" priority="7415" operator="between" text="欠">
      <formula>NOT(ISERROR(SEARCH("欠",R1062)))</formula>
    </cfRule>
  </conditionalFormatting>
  <conditionalFormatting sqref="S1062">
    <cfRule type="cellIs" dxfId="0" priority="7720" operator="equal">
      <formula>"欠"</formula>
    </cfRule>
  </conditionalFormatting>
  <conditionalFormatting sqref="T1062:U1062">
    <cfRule type="cellIs" dxfId="0" priority="7781" operator="equal">
      <formula>"欠"</formula>
    </cfRule>
  </conditionalFormatting>
  <conditionalFormatting sqref="V1062">
    <cfRule type="cellIs" dxfId="0" priority="7537" operator="equal">
      <formula>"欠"</formula>
    </cfRule>
  </conditionalFormatting>
  <conditionalFormatting sqref="AJ1062">
    <cfRule type="cellIs" dxfId="0" priority="7842" operator="equal">
      <formula>"未完成"</formula>
    </cfRule>
  </conditionalFormatting>
  <conditionalFormatting sqref="AL1062:AM1062">
    <cfRule type="cellIs" dxfId="1" priority="7598" operator="equal">
      <formula>"未完成"</formula>
    </cfRule>
    <cfRule type="cellIs" dxfId="0" priority="7659" operator="equal">
      <formula>"未完成"</formula>
    </cfRule>
  </conditionalFormatting>
  <conditionalFormatting sqref="AN1062">
    <cfRule type="cellIs" dxfId="0" priority="7903" operator="equal">
      <formula>"欠"</formula>
    </cfRule>
  </conditionalFormatting>
  <conditionalFormatting sqref="R1063">
    <cfRule type="cellIs" dxfId="0" priority="7475" operator="equal">
      <formula>"欠"</formula>
    </cfRule>
    <cfRule type="containsText" dxfId="0" priority="7414" operator="between" text="欠">
      <formula>NOT(ISERROR(SEARCH("欠",R1063)))</formula>
    </cfRule>
  </conditionalFormatting>
  <conditionalFormatting sqref="S1063">
    <cfRule type="cellIs" dxfId="0" priority="7719" operator="equal">
      <formula>"欠"</formula>
    </cfRule>
  </conditionalFormatting>
  <conditionalFormatting sqref="T1063:U1063">
    <cfRule type="cellIs" dxfId="0" priority="7780" operator="equal">
      <formula>"欠"</formula>
    </cfRule>
  </conditionalFormatting>
  <conditionalFormatting sqref="V1063">
    <cfRule type="cellIs" dxfId="0" priority="7536" operator="equal">
      <formula>"欠"</formula>
    </cfRule>
  </conditionalFormatting>
  <conditionalFormatting sqref="AL1063:AM1063">
    <cfRule type="cellIs" dxfId="1" priority="7597" operator="equal">
      <formula>"未完成"</formula>
    </cfRule>
    <cfRule type="cellIs" dxfId="0" priority="7658" operator="equal">
      <formula>"未完成"</formula>
    </cfRule>
  </conditionalFormatting>
  <conditionalFormatting sqref="AN1063">
    <cfRule type="cellIs" dxfId="0" priority="7902" operator="equal">
      <formula>"欠"</formula>
    </cfRule>
  </conditionalFormatting>
  <conditionalFormatting sqref="R1064">
    <cfRule type="cellIs" dxfId="0" priority="7474" operator="equal">
      <formula>"欠"</formula>
    </cfRule>
    <cfRule type="containsText" dxfId="0" priority="7413" operator="between" text="欠">
      <formula>NOT(ISERROR(SEARCH("欠",R1064)))</formula>
    </cfRule>
  </conditionalFormatting>
  <conditionalFormatting sqref="S1064">
    <cfRule type="cellIs" dxfId="0" priority="7718" operator="equal">
      <formula>"欠"</formula>
    </cfRule>
  </conditionalFormatting>
  <conditionalFormatting sqref="T1064:U1064">
    <cfRule type="cellIs" dxfId="0" priority="7779" operator="equal">
      <formula>"欠"</formula>
    </cfRule>
  </conditionalFormatting>
  <conditionalFormatting sqref="V1064">
    <cfRule type="cellIs" dxfId="0" priority="7535" operator="equal">
      <formula>"欠"</formula>
    </cfRule>
  </conditionalFormatting>
  <conditionalFormatting sqref="AJ1064">
    <cfRule type="cellIs" dxfId="0" priority="7840" operator="equal">
      <formula>"未完成"</formula>
    </cfRule>
  </conditionalFormatting>
  <conditionalFormatting sqref="AL1064:AM1064">
    <cfRule type="cellIs" dxfId="1" priority="7596" operator="equal">
      <formula>"未完成"</formula>
    </cfRule>
    <cfRule type="cellIs" dxfId="0" priority="7657" operator="equal">
      <formula>"未完成"</formula>
    </cfRule>
  </conditionalFormatting>
  <conditionalFormatting sqref="AN1064">
    <cfRule type="cellIs" dxfId="0" priority="7901" operator="equal">
      <formula>"欠"</formula>
    </cfRule>
  </conditionalFormatting>
  <conditionalFormatting sqref="R1065">
    <cfRule type="cellIs" dxfId="0" priority="7473" operator="equal">
      <formula>"欠"</formula>
    </cfRule>
    <cfRule type="containsText" dxfId="0" priority="7412" operator="between" text="欠">
      <formula>NOT(ISERROR(SEARCH("欠",R1065)))</formula>
    </cfRule>
  </conditionalFormatting>
  <conditionalFormatting sqref="S1065">
    <cfRule type="cellIs" dxfId="0" priority="7717" operator="equal">
      <formula>"欠"</formula>
    </cfRule>
  </conditionalFormatting>
  <conditionalFormatting sqref="T1065:U1065">
    <cfRule type="cellIs" dxfId="0" priority="7778" operator="equal">
      <formula>"欠"</formula>
    </cfRule>
  </conditionalFormatting>
  <conditionalFormatting sqref="V1065">
    <cfRule type="cellIs" dxfId="0" priority="7534" operator="equal">
      <formula>"欠"</formula>
    </cfRule>
  </conditionalFormatting>
  <conditionalFormatting sqref="AJ1065">
    <cfRule type="cellIs" dxfId="0" priority="7839" operator="equal">
      <formula>"未完成"</formula>
    </cfRule>
  </conditionalFormatting>
  <conditionalFormatting sqref="AL1065:AM1065">
    <cfRule type="cellIs" dxfId="1" priority="7595" operator="equal">
      <formula>"未完成"</formula>
    </cfRule>
    <cfRule type="cellIs" dxfId="0" priority="7656" operator="equal">
      <formula>"未完成"</formula>
    </cfRule>
  </conditionalFormatting>
  <conditionalFormatting sqref="AN1065">
    <cfRule type="cellIs" dxfId="0" priority="7900" operator="equal">
      <formula>"欠"</formula>
    </cfRule>
  </conditionalFormatting>
  <conditionalFormatting sqref="R1066">
    <cfRule type="cellIs" dxfId="0" priority="7472" operator="equal">
      <formula>"欠"</formula>
    </cfRule>
    <cfRule type="containsText" dxfId="0" priority="7411" operator="between" text="欠">
      <formula>NOT(ISERROR(SEARCH("欠",R1066)))</formula>
    </cfRule>
  </conditionalFormatting>
  <conditionalFormatting sqref="S1066">
    <cfRule type="cellIs" dxfId="0" priority="7716" operator="equal">
      <formula>"欠"</formula>
    </cfRule>
  </conditionalFormatting>
  <conditionalFormatting sqref="T1066:U1066">
    <cfRule type="cellIs" dxfId="0" priority="7777" operator="equal">
      <formula>"欠"</formula>
    </cfRule>
  </conditionalFormatting>
  <conditionalFormatting sqref="V1066">
    <cfRule type="cellIs" dxfId="0" priority="7533" operator="equal">
      <formula>"欠"</formula>
    </cfRule>
  </conditionalFormatting>
  <conditionalFormatting sqref="AJ1066">
    <cfRule type="cellIs" dxfId="0" priority="7838" operator="equal">
      <formula>"未完成"</formula>
    </cfRule>
  </conditionalFormatting>
  <conditionalFormatting sqref="AL1066:AM1066">
    <cfRule type="cellIs" dxfId="1" priority="7594" operator="equal">
      <formula>"未完成"</formula>
    </cfRule>
    <cfRule type="cellIs" dxfId="0" priority="7655" operator="equal">
      <formula>"未完成"</formula>
    </cfRule>
  </conditionalFormatting>
  <conditionalFormatting sqref="AN1066">
    <cfRule type="cellIs" dxfId="0" priority="7899" operator="equal">
      <formula>"欠"</formula>
    </cfRule>
  </conditionalFormatting>
  <conditionalFormatting sqref="R1067">
    <cfRule type="cellIs" dxfId="0" priority="7471" operator="equal">
      <formula>"欠"</formula>
    </cfRule>
    <cfRule type="containsText" dxfId="0" priority="7410" operator="between" text="欠">
      <formula>NOT(ISERROR(SEARCH("欠",R1067)))</formula>
    </cfRule>
  </conditionalFormatting>
  <conditionalFormatting sqref="S1067">
    <cfRule type="cellIs" dxfId="0" priority="7715" operator="equal">
      <formula>"欠"</formula>
    </cfRule>
  </conditionalFormatting>
  <conditionalFormatting sqref="T1067:U1067">
    <cfRule type="cellIs" dxfId="0" priority="7776" operator="equal">
      <formula>"欠"</formula>
    </cfRule>
  </conditionalFormatting>
  <conditionalFormatting sqref="V1067">
    <cfRule type="cellIs" dxfId="0" priority="7532" operator="equal">
      <formula>"欠"</formula>
    </cfRule>
  </conditionalFormatting>
  <conditionalFormatting sqref="AJ1067">
    <cfRule type="cellIs" dxfId="0" priority="7837" operator="equal">
      <formula>"未完成"</formula>
    </cfRule>
  </conditionalFormatting>
  <conditionalFormatting sqref="AL1067:AM1067">
    <cfRule type="cellIs" dxfId="1" priority="7593" operator="equal">
      <formula>"未完成"</formula>
    </cfRule>
    <cfRule type="cellIs" dxfId="0" priority="7654" operator="equal">
      <formula>"未完成"</formula>
    </cfRule>
  </conditionalFormatting>
  <conditionalFormatting sqref="AN1067">
    <cfRule type="cellIs" dxfId="0" priority="7898" operator="equal">
      <formula>"欠"</formula>
    </cfRule>
  </conditionalFormatting>
  <conditionalFormatting sqref="R1068">
    <cfRule type="cellIs" dxfId="0" priority="7470" operator="equal">
      <formula>"欠"</formula>
    </cfRule>
    <cfRule type="containsText" dxfId="0" priority="7409" operator="between" text="欠">
      <formula>NOT(ISERROR(SEARCH("欠",R1068)))</formula>
    </cfRule>
  </conditionalFormatting>
  <conditionalFormatting sqref="S1068">
    <cfRule type="cellIs" dxfId="0" priority="7714" operator="equal">
      <formula>"欠"</formula>
    </cfRule>
  </conditionalFormatting>
  <conditionalFormatting sqref="T1068:U1068">
    <cfRule type="cellIs" dxfId="0" priority="7775" operator="equal">
      <formula>"欠"</formula>
    </cfRule>
  </conditionalFormatting>
  <conditionalFormatting sqref="V1068">
    <cfRule type="cellIs" dxfId="0" priority="7531" operator="equal">
      <formula>"欠"</formula>
    </cfRule>
  </conditionalFormatting>
  <conditionalFormatting sqref="AJ1068">
    <cfRule type="cellIs" dxfId="0" priority="7836" operator="equal">
      <formula>"未完成"</formula>
    </cfRule>
  </conditionalFormatting>
  <conditionalFormatting sqref="AL1068:AM1068">
    <cfRule type="cellIs" dxfId="1" priority="7592" operator="equal">
      <formula>"未完成"</formula>
    </cfRule>
    <cfRule type="cellIs" dxfId="0" priority="7653" operator="equal">
      <formula>"未完成"</formula>
    </cfRule>
  </conditionalFormatting>
  <conditionalFormatting sqref="AN1068">
    <cfRule type="cellIs" dxfId="0" priority="7897" operator="equal">
      <formula>"欠"</formula>
    </cfRule>
  </conditionalFormatting>
  <conditionalFormatting sqref="R1069">
    <cfRule type="cellIs" dxfId="0" priority="7469" operator="equal">
      <formula>"欠"</formula>
    </cfRule>
    <cfRule type="containsText" dxfId="0" priority="7408" operator="between" text="欠">
      <formula>NOT(ISERROR(SEARCH("欠",R1069)))</formula>
    </cfRule>
  </conditionalFormatting>
  <conditionalFormatting sqref="S1069">
    <cfRule type="cellIs" dxfId="0" priority="7713" operator="equal">
      <formula>"欠"</formula>
    </cfRule>
  </conditionalFormatting>
  <conditionalFormatting sqref="T1069:U1069">
    <cfRule type="cellIs" dxfId="0" priority="7774" operator="equal">
      <formula>"欠"</formula>
    </cfRule>
  </conditionalFormatting>
  <conditionalFormatting sqref="V1069">
    <cfRule type="cellIs" dxfId="0" priority="7530" operator="equal">
      <formula>"欠"</formula>
    </cfRule>
  </conditionalFormatting>
  <conditionalFormatting sqref="AL1069:AM1069">
    <cfRule type="cellIs" dxfId="1" priority="7591" operator="equal">
      <formula>"未完成"</formula>
    </cfRule>
    <cfRule type="cellIs" dxfId="0" priority="7652" operator="equal">
      <formula>"未完成"</formula>
    </cfRule>
  </conditionalFormatting>
  <conditionalFormatting sqref="AN1069">
    <cfRule type="cellIs" dxfId="0" priority="7896" operator="equal">
      <formula>"欠"</formula>
    </cfRule>
  </conditionalFormatting>
  <conditionalFormatting sqref="R1070">
    <cfRule type="cellIs" dxfId="0" priority="7468" operator="equal">
      <formula>"欠"</formula>
    </cfRule>
    <cfRule type="containsText" dxfId="0" priority="7407" operator="between" text="欠">
      <formula>NOT(ISERROR(SEARCH("欠",R1070)))</formula>
    </cfRule>
  </conditionalFormatting>
  <conditionalFormatting sqref="S1070">
    <cfRule type="cellIs" dxfId="0" priority="7712" operator="equal">
      <formula>"欠"</formula>
    </cfRule>
  </conditionalFormatting>
  <conditionalFormatting sqref="T1070:U1070">
    <cfRule type="cellIs" dxfId="0" priority="7773" operator="equal">
      <formula>"欠"</formula>
    </cfRule>
  </conditionalFormatting>
  <conditionalFormatting sqref="V1070">
    <cfRule type="cellIs" dxfId="0" priority="7529" operator="equal">
      <formula>"欠"</formula>
    </cfRule>
  </conditionalFormatting>
  <conditionalFormatting sqref="AJ1070">
    <cfRule type="cellIs" dxfId="0" priority="7834" operator="equal">
      <formula>"未完成"</formula>
    </cfRule>
  </conditionalFormatting>
  <conditionalFormatting sqref="AL1070:AM1070">
    <cfRule type="cellIs" dxfId="1" priority="7590" operator="equal">
      <formula>"未完成"</formula>
    </cfRule>
    <cfRule type="cellIs" dxfId="0" priority="7651" operator="equal">
      <formula>"未完成"</formula>
    </cfRule>
  </conditionalFormatting>
  <conditionalFormatting sqref="AN1070">
    <cfRule type="cellIs" dxfId="0" priority="7895" operator="equal">
      <formula>"欠"</formula>
    </cfRule>
  </conditionalFormatting>
  <conditionalFormatting sqref="R1071">
    <cfRule type="cellIs" dxfId="0" priority="7467" operator="equal">
      <formula>"欠"</formula>
    </cfRule>
    <cfRule type="containsText" dxfId="0" priority="7406" operator="between" text="欠">
      <formula>NOT(ISERROR(SEARCH("欠",R1071)))</formula>
    </cfRule>
  </conditionalFormatting>
  <conditionalFormatting sqref="S1071">
    <cfRule type="cellIs" dxfId="0" priority="7711" operator="equal">
      <formula>"欠"</formula>
    </cfRule>
  </conditionalFormatting>
  <conditionalFormatting sqref="T1071:U1071">
    <cfRule type="cellIs" dxfId="0" priority="7772" operator="equal">
      <formula>"欠"</formula>
    </cfRule>
  </conditionalFormatting>
  <conditionalFormatting sqref="V1071">
    <cfRule type="cellIs" dxfId="0" priority="7528" operator="equal">
      <formula>"欠"</formula>
    </cfRule>
  </conditionalFormatting>
  <conditionalFormatting sqref="AJ1071">
    <cfRule type="cellIs" dxfId="0" priority="7833" operator="equal">
      <formula>"未完成"</formula>
    </cfRule>
  </conditionalFormatting>
  <conditionalFormatting sqref="AL1071:AM1071">
    <cfRule type="cellIs" dxfId="1" priority="7589" operator="equal">
      <formula>"未完成"</formula>
    </cfRule>
    <cfRule type="cellIs" dxfId="0" priority="7650" operator="equal">
      <formula>"未完成"</formula>
    </cfRule>
  </conditionalFormatting>
  <conditionalFormatting sqref="R1072">
    <cfRule type="cellIs" dxfId="0" priority="7466" operator="equal">
      <formula>"欠"</formula>
    </cfRule>
    <cfRule type="containsText" dxfId="0" priority="7405" operator="between" text="欠">
      <formula>NOT(ISERROR(SEARCH("欠",R1072)))</formula>
    </cfRule>
  </conditionalFormatting>
  <conditionalFormatting sqref="S1072">
    <cfRule type="cellIs" dxfId="0" priority="7710" operator="equal">
      <formula>"欠"</formula>
    </cfRule>
  </conditionalFormatting>
  <conditionalFormatting sqref="T1072:U1072">
    <cfRule type="cellIs" dxfId="0" priority="7771" operator="equal">
      <formula>"欠"</formula>
    </cfRule>
  </conditionalFormatting>
  <conditionalFormatting sqref="V1072">
    <cfRule type="cellIs" dxfId="0" priority="7527" operator="equal">
      <formula>"欠"</formula>
    </cfRule>
  </conditionalFormatting>
  <conditionalFormatting sqref="AJ1072">
    <cfRule type="cellIs" dxfId="0" priority="7832" operator="equal">
      <formula>"未完成"</formula>
    </cfRule>
  </conditionalFormatting>
  <conditionalFormatting sqref="AL1072:AM1072">
    <cfRule type="cellIs" dxfId="1" priority="7588" operator="equal">
      <formula>"未完成"</formula>
    </cfRule>
    <cfRule type="cellIs" dxfId="0" priority="7649" operator="equal">
      <formula>"未完成"</formula>
    </cfRule>
  </conditionalFormatting>
  <conditionalFormatting sqref="R1073">
    <cfRule type="cellIs" dxfId="0" priority="7465" operator="equal">
      <formula>"欠"</formula>
    </cfRule>
    <cfRule type="containsText" dxfId="0" priority="7404" operator="between" text="欠">
      <formula>NOT(ISERROR(SEARCH("欠",R1073)))</formula>
    </cfRule>
  </conditionalFormatting>
  <conditionalFormatting sqref="S1073">
    <cfRule type="cellIs" dxfId="0" priority="7709" operator="equal">
      <formula>"欠"</formula>
    </cfRule>
  </conditionalFormatting>
  <conditionalFormatting sqref="T1073:U1073">
    <cfRule type="cellIs" dxfId="0" priority="7770" operator="equal">
      <formula>"欠"</formula>
    </cfRule>
  </conditionalFormatting>
  <conditionalFormatting sqref="V1073">
    <cfRule type="cellIs" dxfId="0" priority="7526" operator="equal">
      <formula>"欠"</formula>
    </cfRule>
  </conditionalFormatting>
  <conditionalFormatting sqref="AJ1073">
    <cfRule type="cellIs" dxfId="0" priority="7831" operator="equal">
      <formula>"未完成"</formula>
    </cfRule>
  </conditionalFormatting>
  <conditionalFormatting sqref="AL1073:AM1073">
    <cfRule type="cellIs" dxfId="1" priority="7587" operator="equal">
      <formula>"未完成"</formula>
    </cfRule>
    <cfRule type="cellIs" dxfId="0" priority="7648" operator="equal">
      <formula>"未完成"</formula>
    </cfRule>
  </conditionalFormatting>
  <conditionalFormatting sqref="R1074">
    <cfRule type="cellIs" dxfId="0" priority="7464" operator="equal">
      <formula>"欠"</formula>
    </cfRule>
    <cfRule type="containsText" dxfId="0" priority="7403" operator="between" text="欠">
      <formula>NOT(ISERROR(SEARCH("欠",R1074)))</formula>
    </cfRule>
  </conditionalFormatting>
  <conditionalFormatting sqref="S1074">
    <cfRule type="cellIs" dxfId="0" priority="7708" operator="equal">
      <formula>"欠"</formula>
    </cfRule>
  </conditionalFormatting>
  <conditionalFormatting sqref="T1074:U1074">
    <cfRule type="cellIs" dxfId="0" priority="7769" operator="equal">
      <formula>"欠"</formula>
    </cfRule>
  </conditionalFormatting>
  <conditionalFormatting sqref="V1074">
    <cfRule type="cellIs" dxfId="0" priority="7525" operator="equal">
      <formula>"欠"</formula>
    </cfRule>
  </conditionalFormatting>
  <conditionalFormatting sqref="AJ1074">
    <cfRule type="cellIs" dxfId="0" priority="7830" operator="equal">
      <formula>"未完成"</formula>
    </cfRule>
  </conditionalFormatting>
  <conditionalFormatting sqref="AL1074:AM1074">
    <cfRule type="cellIs" dxfId="1" priority="7586" operator="equal">
      <formula>"未完成"</formula>
    </cfRule>
    <cfRule type="cellIs" dxfId="0" priority="7647" operator="equal">
      <formula>"未完成"</formula>
    </cfRule>
  </conditionalFormatting>
  <conditionalFormatting sqref="AN1074">
    <cfRule type="cellIs" dxfId="0" priority="7891" operator="equal">
      <formula>"欠"</formula>
    </cfRule>
  </conditionalFormatting>
  <conditionalFormatting sqref="R1075">
    <cfRule type="cellIs" dxfId="0" priority="7463" operator="equal">
      <formula>"欠"</formula>
    </cfRule>
    <cfRule type="containsText" dxfId="0" priority="7402" operator="between" text="欠">
      <formula>NOT(ISERROR(SEARCH("欠",R1075)))</formula>
    </cfRule>
  </conditionalFormatting>
  <conditionalFormatting sqref="S1075">
    <cfRule type="cellIs" dxfId="0" priority="7707" operator="equal">
      <formula>"欠"</formula>
    </cfRule>
  </conditionalFormatting>
  <conditionalFormatting sqref="T1075:U1075">
    <cfRule type="cellIs" dxfId="0" priority="7768" operator="equal">
      <formula>"欠"</formula>
    </cfRule>
  </conditionalFormatting>
  <conditionalFormatting sqref="V1075">
    <cfRule type="cellIs" dxfId="0" priority="7524" operator="equal">
      <formula>"欠"</formula>
    </cfRule>
  </conditionalFormatting>
  <conditionalFormatting sqref="AJ1075">
    <cfRule type="cellIs" dxfId="0" priority="7829" operator="equal">
      <formula>"未完成"</formula>
    </cfRule>
  </conditionalFormatting>
  <conditionalFormatting sqref="AL1075:AM1075">
    <cfRule type="cellIs" dxfId="1" priority="7585" operator="equal">
      <formula>"未完成"</formula>
    </cfRule>
    <cfRule type="cellIs" dxfId="0" priority="7646" operator="equal">
      <formula>"未完成"</formula>
    </cfRule>
  </conditionalFormatting>
  <conditionalFormatting sqref="AN1075">
    <cfRule type="cellIs" dxfId="0" priority="7890" operator="equal">
      <formula>"欠"</formula>
    </cfRule>
  </conditionalFormatting>
  <conditionalFormatting sqref="R1076">
    <cfRule type="cellIs" dxfId="0" priority="7462" operator="equal">
      <formula>"欠"</formula>
    </cfRule>
    <cfRule type="containsText" dxfId="0" priority="7401" operator="between" text="欠">
      <formula>NOT(ISERROR(SEARCH("欠",R1076)))</formula>
    </cfRule>
  </conditionalFormatting>
  <conditionalFormatting sqref="S1076">
    <cfRule type="cellIs" dxfId="0" priority="7706" operator="equal">
      <formula>"欠"</formula>
    </cfRule>
  </conditionalFormatting>
  <conditionalFormatting sqref="T1076:U1076">
    <cfRule type="cellIs" dxfId="0" priority="7767" operator="equal">
      <formula>"欠"</formula>
    </cfRule>
  </conditionalFormatting>
  <conditionalFormatting sqref="V1076">
    <cfRule type="cellIs" dxfId="0" priority="7523" operator="equal">
      <formula>"欠"</formula>
    </cfRule>
  </conditionalFormatting>
  <conditionalFormatting sqref="AJ1076">
    <cfRule type="cellIs" dxfId="0" priority="7828" operator="equal">
      <formula>"未完成"</formula>
    </cfRule>
  </conditionalFormatting>
  <conditionalFormatting sqref="AL1076:AM1076">
    <cfRule type="cellIs" dxfId="1" priority="7584" operator="equal">
      <formula>"未完成"</formula>
    </cfRule>
    <cfRule type="cellIs" dxfId="0" priority="7645" operator="equal">
      <formula>"未完成"</formula>
    </cfRule>
  </conditionalFormatting>
  <conditionalFormatting sqref="AN1076">
    <cfRule type="cellIs" dxfId="0" priority="7889" operator="equal">
      <formula>"欠"</formula>
    </cfRule>
  </conditionalFormatting>
  <conditionalFormatting sqref="R1077">
    <cfRule type="cellIs" dxfId="0" priority="7461" operator="equal">
      <formula>"欠"</formula>
    </cfRule>
    <cfRule type="containsText" dxfId="0" priority="7400" operator="between" text="欠">
      <formula>NOT(ISERROR(SEARCH("欠",R1077)))</formula>
    </cfRule>
  </conditionalFormatting>
  <conditionalFormatting sqref="S1077">
    <cfRule type="cellIs" dxfId="0" priority="7705" operator="equal">
      <formula>"欠"</formula>
    </cfRule>
  </conditionalFormatting>
  <conditionalFormatting sqref="T1077:U1077">
    <cfRule type="cellIs" dxfId="0" priority="7766" operator="equal">
      <formula>"欠"</formula>
    </cfRule>
  </conditionalFormatting>
  <conditionalFormatting sqref="V1077">
    <cfRule type="cellIs" dxfId="0" priority="7522" operator="equal">
      <formula>"欠"</formula>
    </cfRule>
  </conditionalFormatting>
  <conditionalFormatting sqref="AJ1077">
    <cfRule type="cellIs" dxfId="0" priority="7827" operator="equal">
      <formula>"未完成"</formula>
    </cfRule>
  </conditionalFormatting>
  <conditionalFormatting sqref="AL1077:AM1077">
    <cfRule type="cellIs" dxfId="1" priority="7583" operator="equal">
      <formula>"未完成"</formula>
    </cfRule>
    <cfRule type="cellIs" dxfId="0" priority="7644" operator="equal">
      <formula>"未完成"</formula>
    </cfRule>
  </conditionalFormatting>
  <conditionalFormatting sqref="AN1077">
    <cfRule type="cellIs" dxfId="0" priority="7888" operator="equal">
      <formula>"欠"</formula>
    </cfRule>
  </conditionalFormatting>
  <conditionalFormatting sqref="R1078">
    <cfRule type="cellIs" dxfId="0" priority="7460" operator="equal">
      <formula>"欠"</formula>
    </cfRule>
    <cfRule type="containsText" dxfId="0" priority="7399" operator="between" text="欠">
      <formula>NOT(ISERROR(SEARCH("欠",R1078)))</formula>
    </cfRule>
  </conditionalFormatting>
  <conditionalFormatting sqref="S1078">
    <cfRule type="cellIs" dxfId="0" priority="7704" operator="equal">
      <formula>"欠"</formula>
    </cfRule>
  </conditionalFormatting>
  <conditionalFormatting sqref="T1078:U1078">
    <cfRule type="cellIs" dxfId="0" priority="7765" operator="equal">
      <formula>"欠"</formula>
    </cfRule>
  </conditionalFormatting>
  <conditionalFormatting sqref="V1078">
    <cfRule type="cellIs" dxfId="0" priority="7521" operator="equal">
      <formula>"欠"</formula>
    </cfRule>
  </conditionalFormatting>
  <conditionalFormatting sqref="AJ1078">
    <cfRule type="cellIs" dxfId="0" priority="7826" operator="equal">
      <formula>"未完成"</formula>
    </cfRule>
  </conditionalFormatting>
  <conditionalFormatting sqref="AL1078:AM1078">
    <cfRule type="cellIs" dxfId="1" priority="7582" operator="equal">
      <formula>"未完成"</formula>
    </cfRule>
    <cfRule type="cellIs" dxfId="0" priority="7643" operator="equal">
      <formula>"未完成"</formula>
    </cfRule>
  </conditionalFormatting>
  <conditionalFormatting sqref="AN1078">
    <cfRule type="cellIs" dxfId="0" priority="7887" operator="equal">
      <formula>"欠"</formula>
    </cfRule>
  </conditionalFormatting>
  <conditionalFormatting sqref="R1079">
    <cfRule type="cellIs" dxfId="0" priority="7459" operator="equal">
      <formula>"欠"</formula>
    </cfRule>
    <cfRule type="containsText" dxfId="0" priority="7398" operator="between" text="欠">
      <formula>NOT(ISERROR(SEARCH("欠",R1079)))</formula>
    </cfRule>
  </conditionalFormatting>
  <conditionalFormatting sqref="S1079">
    <cfRule type="cellIs" dxfId="0" priority="7703" operator="equal">
      <formula>"欠"</formula>
    </cfRule>
  </conditionalFormatting>
  <conditionalFormatting sqref="T1079:U1079">
    <cfRule type="cellIs" dxfId="0" priority="7764" operator="equal">
      <formula>"欠"</formula>
    </cfRule>
  </conditionalFormatting>
  <conditionalFormatting sqref="V1079">
    <cfRule type="cellIs" dxfId="0" priority="7520" operator="equal">
      <formula>"欠"</formula>
    </cfRule>
  </conditionalFormatting>
  <conditionalFormatting sqref="AJ1079">
    <cfRule type="cellIs" dxfId="0" priority="7825" operator="equal">
      <formula>"未完成"</formula>
    </cfRule>
  </conditionalFormatting>
  <conditionalFormatting sqref="AL1079:AM1079">
    <cfRule type="cellIs" dxfId="1" priority="7581" operator="equal">
      <formula>"未完成"</formula>
    </cfRule>
    <cfRule type="cellIs" dxfId="0" priority="7642" operator="equal">
      <formula>"未完成"</formula>
    </cfRule>
  </conditionalFormatting>
  <conditionalFormatting sqref="AN1079">
    <cfRule type="cellIs" dxfId="0" priority="7886" operator="equal">
      <formula>"欠"</formula>
    </cfRule>
  </conditionalFormatting>
  <conditionalFormatting sqref="R1080">
    <cfRule type="cellIs" dxfId="0" priority="7458" operator="equal">
      <formula>"欠"</formula>
    </cfRule>
    <cfRule type="containsText" dxfId="0" priority="7397" operator="between" text="欠">
      <formula>NOT(ISERROR(SEARCH("欠",R1080)))</formula>
    </cfRule>
  </conditionalFormatting>
  <conditionalFormatting sqref="S1080">
    <cfRule type="cellIs" dxfId="0" priority="7702" operator="equal">
      <formula>"欠"</formula>
    </cfRule>
  </conditionalFormatting>
  <conditionalFormatting sqref="T1080:U1080">
    <cfRule type="cellIs" dxfId="0" priority="7763" operator="equal">
      <formula>"欠"</formula>
    </cfRule>
  </conditionalFormatting>
  <conditionalFormatting sqref="V1080">
    <cfRule type="cellIs" dxfId="0" priority="7519" operator="equal">
      <formula>"欠"</formula>
    </cfRule>
  </conditionalFormatting>
  <conditionalFormatting sqref="AJ1080">
    <cfRule type="cellIs" dxfId="0" priority="7824" operator="equal">
      <formula>"未完成"</formula>
    </cfRule>
  </conditionalFormatting>
  <conditionalFormatting sqref="AL1080:AM1080">
    <cfRule type="cellIs" dxfId="1" priority="7580" operator="equal">
      <formula>"未完成"</formula>
    </cfRule>
    <cfRule type="cellIs" dxfId="0" priority="7641" operator="equal">
      <formula>"未完成"</formula>
    </cfRule>
  </conditionalFormatting>
  <conditionalFormatting sqref="AN1080">
    <cfRule type="cellIs" dxfId="0" priority="7885" operator="equal">
      <formula>"欠"</formula>
    </cfRule>
  </conditionalFormatting>
  <conditionalFormatting sqref="R1081">
    <cfRule type="cellIs" dxfId="0" priority="7457" operator="equal">
      <formula>"欠"</formula>
    </cfRule>
    <cfRule type="containsText" dxfId="0" priority="7396" operator="between" text="欠">
      <formula>NOT(ISERROR(SEARCH("欠",R1081)))</formula>
    </cfRule>
  </conditionalFormatting>
  <conditionalFormatting sqref="S1081">
    <cfRule type="cellIs" dxfId="0" priority="7701" operator="equal">
      <formula>"欠"</formula>
    </cfRule>
  </conditionalFormatting>
  <conditionalFormatting sqref="T1081:U1081">
    <cfRule type="cellIs" dxfId="0" priority="7762" operator="equal">
      <formula>"欠"</formula>
    </cfRule>
  </conditionalFormatting>
  <conditionalFormatting sqref="V1081">
    <cfRule type="cellIs" dxfId="0" priority="7518" operator="equal">
      <formula>"欠"</formula>
    </cfRule>
  </conditionalFormatting>
  <conditionalFormatting sqref="AJ1081">
    <cfRule type="cellIs" dxfId="0" priority="7823" operator="equal">
      <formula>"未完成"</formula>
    </cfRule>
  </conditionalFormatting>
  <conditionalFormatting sqref="AL1081:AM1081">
    <cfRule type="cellIs" dxfId="1" priority="7579" operator="equal">
      <formula>"未完成"</formula>
    </cfRule>
    <cfRule type="cellIs" dxfId="0" priority="7640" operator="equal">
      <formula>"未完成"</formula>
    </cfRule>
  </conditionalFormatting>
  <conditionalFormatting sqref="AN1081">
    <cfRule type="cellIs" dxfId="0" priority="7884" operator="equal">
      <formula>"欠"</formula>
    </cfRule>
  </conditionalFormatting>
  <conditionalFormatting sqref="R1082">
    <cfRule type="cellIs" dxfId="0" priority="7456" operator="equal">
      <formula>"欠"</formula>
    </cfRule>
    <cfRule type="containsText" dxfId="0" priority="7395" operator="between" text="欠">
      <formula>NOT(ISERROR(SEARCH("欠",R1082)))</formula>
    </cfRule>
  </conditionalFormatting>
  <conditionalFormatting sqref="S1082">
    <cfRule type="cellIs" dxfId="0" priority="7700" operator="equal">
      <formula>"欠"</formula>
    </cfRule>
  </conditionalFormatting>
  <conditionalFormatting sqref="T1082:U1082">
    <cfRule type="cellIs" dxfId="0" priority="7761" operator="equal">
      <formula>"欠"</formula>
    </cfRule>
  </conditionalFormatting>
  <conditionalFormatting sqref="V1082">
    <cfRule type="cellIs" dxfId="0" priority="7517" operator="equal">
      <formula>"欠"</formula>
    </cfRule>
  </conditionalFormatting>
  <conditionalFormatting sqref="AJ1082">
    <cfRule type="cellIs" dxfId="0" priority="7822" operator="equal">
      <formula>"未完成"</formula>
    </cfRule>
  </conditionalFormatting>
  <conditionalFormatting sqref="AL1082:AM1082">
    <cfRule type="cellIs" dxfId="1" priority="7578" operator="equal">
      <formula>"未完成"</formula>
    </cfRule>
    <cfRule type="cellIs" dxfId="0" priority="7639" operator="equal">
      <formula>"未完成"</formula>
    </cfRule>
  </conditionalFormatting>
  <conditionalFormatting sqref="R1083">
    <cfRule type="cellIs" dxfId="0" priority="7455" operator="equal">
      <formula>"欠"</formula>
    </cfRule>
    <cfRule type="containsText" dxfId="0" priority="7394" operator="between" text="欠">
      <formula>NOT(ISERROR(SEARCH("欠",R1083)))</formula>
    </cfRule>
  </conditionalFormatting>
  <conditionalFormatting sqref="S1083">
    <cfRule type="cellIs" dxfId="0" priority="7699" operator="equal">
      <formula>"欠"</formula>
    </cfRule>
  </conditionalFormatting>
  <conditionalFormatting sqref="T1083:U1083">
    <cfRule type="cellIs" dxfId="0" priority="7760" operator="equal">
      <formula>"欠"</formula>
    </cfRule>
  </conditionalFormatting>
  <conditionalFormatting sqref="V1083">
    <cfRule type="cellIs" dxfId="0" priority="7516" operator="equal">
      <formula>"欠"</formula>
    </cfRule>
  </conditionalFormatting>
  <conditionalFormatting sqref="AJ1083">
    <cfRule type="cellIs" dxfId="0" priority="7821" operator="equal">
      <formula>"未完成"</formula>
    </cfRule>
  </conditionalFormatting>
  <conditionalFormatting sqref="AL1083:AM1083">
    <cfRule type="cellIs" dxfId="1" priority="7577" operator="equal">
      <formula>"未完成"</formula>
    </cfRule>
    <cfRule type="cellIs" dxfId="0" priority="7638" operator="equal">
      <formula>"未完成"</formula>
    </cfRule>
  </conditionalFormatting>
  <conditionalFormatting sqref="R1084">
    <cfRule type="cellIs" dxfId="0" priority="7454" operator="equal">
      <formula>"欠"</formula>
    </cfRule>
    <cfRule type="containsText" dxfId="0" priority="7393" operator="between" text="欠">
      <formula>NOT(ISERROR(SEARCH("欠",R1084)))</formula>
    </cfRule>
  </conditionalFormatting>
  <conditionalFormatting sqref="S1084">
    <cfRule type="cellIs" dxfId="0" priority="7698" operator="equal">
      <formula>"欠"</formula>
    </cfRule>
  </conditionalFormatting>
  <conditionalFormatting sqref="T1084:U1084">
    <cfRule type="cellIs" dxfId="0" priority="7759" operator="equal">
      <formula>"欠"</formula>
    </cfRule>
  </conditionalFormatting>
  <conditionalFormatting sqref="V1084">
    <cfRule type="cellIs" dxfId="0" priority="7515" operator="equal">
      <formula>"欠"</formula>
    </cfRule>
  </conditionalFormatting>
  <conditionalFormatting sqref="AJ1084">
    <cfRule type="cellIs" dxfId="0" priority="7820" operator="equal">
      <formula>"未完成"</formula>
    </cfRule>
  </conditionalFormatting>
  <conditionalFormatting sqref="AL1084:AM1084">
    <cfRule type="cellIs" dxfId="1" priority="7576" operator="equal">
      <formula>"未完成"</formula>
    </cfRule>
    <cfRule type="cellIs" dxfId="0" priority="7637" operator="equal">
      <formula>"未完成"</formula>
    </cfRule>
  </conditionalFormatting>
  <conditionalFormatting sqref="AN1084">
    <cfRule type="cellIs" dxfId="0" priority="7881" operator="equal">
      <formula>"欠"</formula>
    </cfRule>
  </conditionalFormatting>
  <conditionalFormatting sqref="R1085">
    <cfRule type="cellIs" dxfId="0" priority="7453" operator="equal">
      <formula>"欠"</formula>
    </cfRule>
    <cfRule type="containsText" dxfId="0" priority="7392" operator="between" text="欠">
      <formula>NOT(ISERROR(SEARCH("欠",R1085)))</formula>
    </cfRule>
  </conditionalFormatting>
  <conditionalFormatting sqref="S1085">
    <cfRule type="cellIs" dxfId="0" priority="7697" operator="equal">
      <formula>"欠"</formula>
    </cfRule>
  </conditionalFormatting>
  <conditionalFormatting sqref="T1085:U1085">
    <cfRule type="cellIs" dxfId="0" priority="7758" operator="equal">
      <formula>"欠"</formula>
    </cfRule>
  </conditionalFormatting>
  <conditionalFormatting sqref="V1085">
    <cfRule type="cellIs" dxfId="0" priority="7514" operator="equal">
      <formula>"欠"</formula>
    </cfRule>
  </conditionalFormatting>
  <conditionalFormatting sqref="AJ1085">
    <cfRule type="cellIs" dxfId="0" priority="7819" operator="equal">
      <formula>"未完成"</formula>
    </cfRule>
  </conditionalFormatting>
  <conditionalFormatting sqref="AL1085:AM1085">
    <cfRule type="cellIs" dxfId="1" priority="7575" operator="equal">
      <formula>"未完成"</formula>
    </cfRule>
    <cfRule type="cellIs" dxfId="0" priority="7636" operator="equal">
      <formula>"未完成"</formula>
    </cfRule>
  </conditionalFormatting>
  <conditionalFormatting sqref="R1086">
    <cfRule type="cellIs" dxfId="0" priority="7452" operator="equal">
      <formula>"欠"</formula>
    </cfRule>
    <cfRule type="containsText" dxfId="0" priority="7391" operator="between" text="欠">
      <formula>NOT(ISERROR(SEARCH("欠",R1086)))</formula>
    </cfRule>
  </conditionalFormatting>
  <conditionalFormatting sqref="S1086">
    <cfRule type="cellIs" dxfId="0" priority="7696" operator="equal">
      <formula>"欠"</formula>
    </cfRule>
  </conditionalFormatting>
  <conditionalFormatting sqref="T1086:U1086">
    <cfRule type="cellIs" dxfId="0" priority="7757" operator="equal">
      <formula>"欠"</formula>
    </cfRule>
  </conditionalFormatting>
  <conditionalFormatting sqref="V1086">
    <cfRule type="cellIs" dxfId="0" priority="7513" operator="equal">
      <formula>"欠"</formula>
    </cfRule>
  </conditionalFormatting>
  <conditionalFormatting sqref="AL1086:AM1086">
    <cfRule type="cellIs" dxfId="1" priority="7574" operator="equal">
      <formula>"未完成"</formula>
    </cfRule>
    <cfRule type="cellIs" dxfId="0" priority="7635" operator="equal">
      <formula>"未完成"</formula>
    </cfRule>
  </conditionalFormatting>
  <conditionalFormatting sqref="AN1086">
    <cfRule type="cellIs" dxfId="0" priority="7879" operator="equal">
      <formula>"欠"</formula>
    </cfRule>
  </conditionalFormatting>
  <conditionalFormatting sqref="R1087">
    <cfRule type="cellIs" dxfId="0" priority="7451" operator="equal">
      <formula>"欠"</formula>
    </cfRule>
    <cfRule type="containsText" dxfId="0" priority="7390" operator="between" text="欠">
      <formula>NOT(ISERROR(SEARCH("欠",R1087)))</formula>
    </cfRule>
  </conditionalFormatting>
  <conditionalFormatting sqref="S1087">
    <cfRule type="cellIs" dxfId="0" priority="7695" operator="equal">
      <formula>"欠"</formula>
    </cfRule>
  </conditionalFormatting>
  <conditionalFormatting sqref="T1087:U1087">
    <cfRule type="cellIs" dxfId="0" priority="7756" operator="equal">
      <formula>"欠"</formula>
    </cfRule>
  </conditionalFormatting>
  <conditionalFormatting sqref="V1087">
    <cfRule type="cellIs" dxfId="0" priority="7512" operator="equal">
      <formula>"欠"</formula>
    </cfRule>
  </conditionalFormatting>
  <conditionalFormatting sqref="AJ1087">
    <cfRule type="cellIs" dxfId="0" priority="7817" operator="equal">
      <formula>"未完成"</formula>
    </cfRule>
  </conditionalFormatting>
  <conditionalFormatting sqref="AL1087:AM1087">
    <cfRule type="cellIs" dxfId="1" priority="7573" operator="equal">
      <formula>"未完成"</formula>
    </cfRule>
    <cfRule type="cellIs" dxfId="0" priority="7634" operator="equal">
      <formula>"未完成"</formula>
    </cfRule>
  </conditionalFormatting>
  <conditionalFormatting sqref="AN1087">
    <cfRule type="cellIs" dxfId="0" priority="7878" operator="equal">
      <formula>"欠"</formula>
    </cfRule>
  </conditionalFormatting>
  <conditionalFormatting sqref="R1088">
    <cfRule type="cellIs" dxfId="0" priority="7450" operator="equal">
      <formula>"欠"</formula>
    </cfRule>
    <cfRule type="containsText" dxfId="0" priority="7389" operator="between" text="欠">
      <formula>NOT(ISERROR(SEARCH("欠",R1088)))</formula>
    </cfRule>
  </conditionalFormatting>
  <conditionalFormatting sqref="S1088">
    <cfRule type="cellIs" dxfId="0" priority="7694" operator="equal">
      <formula>"欠"</formula>
    </cfRule>
  </conditionalFormatting>
  <conditionalFormatting sqref="T1088:U1088">
    <cfRule type="cellIs" dxfId="0" priority="7755" operator="equal">
      <formula>"欠"</formula>
    </cfRule>
  </conditionalFormatting>
  <conditionalFormatting sqref="V1088">
    <cfRule type="cellIs" dxfId="0" priority="7511" operator="equal">
      <formula>"欠"</formula>
    </cfRule>
  </conditionalFormatting>
  <conditionalFormatting sqref="AJ1088">
    <cfRule type="cellIs" dxfId="0" priority="7816" operator="equal">
      <formula>"未完成"</formula>
    </cfRule>
  </conditionalFormatting>
  <conditionalFormatting sqref="AL1088:AM1088">
    <cfRule type="cellIs" dxfId="1" priority="7572" operator="equal">
      <formula>"未完成"</formula>
    </cfRule>
    <cfRule type="cellIs" dxfId="0" priority="7633" operator="equal">
      <formula>"未完成"</formula>
    </cfRule>
  </conditionalFormatting>
  <conditionalFormatting sqref="AN1088">
    <cfRule type="cellIs" dxfId="0" priority="7877" operator="equal">
      <formula>"欠"</formula>
    </cfRule>
  </conditionalFormatting>
  <conditionalFormatting sqref="R1089">
    <cfRule type="cellIs" dxfId="0" priority="7449" operator="equal">
      <formula>"欠"</formula>
    </cfRule>
    <cfRule type="containsText" dxfId="0" priority="7388" operator="between" text="欠">
      <formula>NOT(ISERROR(SEARCH("欠",R1089)))</formula>
    </cfRule>
  </conditionalFormatting>
  <conditionalFormatting sqref="S1089">
    <cfRule type="cellIs" dxfId="0" priority="7693" operator="equal">
      <formula>"欠"</formula>
    </cfRule>
  </conditionalFormatting>
  <conditionalFormatting sqref="T1089:U1089">
    <cfRule type="cellIs" dxfId="0" priority="7754" operator="equal">
      <formula>"欠"</formula>
    </cfRule>
  </conditionalFormatting>
  <conditionalFormatting sqref="V1089">
    <cfRule type="cellIs" dxfId="0" priority="7510" operator="equal">
      <formula>"欠"</formula>
    </cfRule>
  </conditionalFormatting>
  <conditionalFormatting sqref="AJ1089">
    <cfRule type="cellIs" dxfId="0" priority="7815" operator="equal">
      <formula>"未完成"</formula>
    </cfRule>
  </conditionalFormatting>
  <conditionalFormatting sqref="AL1089:AM1089">
    <cfRule type="cellIs" dxfId="1" priority="7571" operator="equal">
      <formula>"未完成"</formula>
    </cfRule>
    <cfRule type="cellIs" dxfId="0" priority="7632" operator="equal">
      <formula>"未完成"</formula>
    </cfRule>
  </conditionalFormatting>
  <conditionalFormatting sqref="AN1089">
    <cfRule type="cellIs" dxfId="0" priority="7876" operator="equal">
      <formula>"欠"</formula>
    </cfRule>
  </conditionalFormatting>
  <conditionalFormatting sqref="R1090">
    <cfRule type="cellIs" dxfId="0" priority="7448" operator="equal">
      <formula>"欠"</formula>
    </cfRule>
    <cfRule type="containsText" dxfId="0" priority="7387" operator="between" text="欠">
      <formula>NOT(ISERROR(SEARCH("欠",R1090)))</formula>
    </cfRule>
  </conditionalFormatting>
  <conditionalFormatting sqref="S1090">
    <cfRule type="cellIs" dxfId="0" priority="7692" operator="equal">
      <formula>"欠"</formula>
    </cfRule>
  </conditionalFormatting>
  <conditionalFormatting sqref="T1090:U1090">
    <cfRule type="cellIs" dxfId="0" priority="7753" operator="equal">
      <formula>"欠"</formula>
    </cfRule>
  </conditionalFormatting>
  <conditionalFormatting sqref="V1090">
    <cfRule type="cellIs" dxfId="0" priority="7509" operator="equal">
      <formula>"欠"</formula>
    </cfRule>
  </conditionalFormatting>
  <conditionalFormatting sqref="AJ1090">
    <cfRule type="cellIs" dxfId="0" priority="7814" operator="equal">
      <formula>"未完成"</formula>
    </cfRule>
  </conditionalFormatting>
  <conditionalFormatting sqref="AL1090:AM1090">
    <cfRule type="cellIs" dxfId="1" priority="7570" operator="equal">
      <formula>"未完成"</formula>
    </cfRule>
    <cfRule type="cellIs" dxfId="0" priority="7631" operator="equal">
      <formula>"未完成"</formula>
    </cfRule>
  </conditionalFormatting>
  <conditionalFormatting sqref="R1091">
    <cfRule type="cellIs" dxfId="0" priority="7447" operator="equal">
      <formula>"欠"</formula>
    </cfRule>
    <cfRule type="containsText" dxfId="0" priority="7386" operator="between" text="欠">
      <formula>NOT(ISERROR(SEARCH("欠",R1091)))</formula>
    </cfRule>
  </conditionalFormatting>
  <conditionalFormatting sqref="S1091">
    <cfRule type="cellIs" dxfId="0" priority="7691" operator="equal">
      <formula>"欠"</formula>
    </cfRule>
  </conditionalFormatting>
  <conditionalFormatting sqref="T1091:U1091">
    <cfRule type="cellIs" dxfId="0" priority="7752" operator="equal">
      <formula>"欠"</formula>
    </cfRule>
  </conditionalFormatting>
  <conditionalFormatting sqref="V1091">
    <cfRule type="cellIs" dxfId="0" priority="7508" operator="equal">
      <formula>"欠"</formula>
    </cfRule>
  </conditionalFormatting>
  <conditionalFormatting sqref="AJ1091">
    <cfRule type="cellIs" dxfId="0" priority="7813" operator="equal">
      <formula>"未完成"</formula>
    </cfRule>
  </conditionalFormatting>
  <conditionalFormatting sqref="AL1091:AM1091">
    <cfRule type="cellIs" dxfId="1" priority="7569" operator="equal">
      <formula>"未完成"</formula>
    </cfRule>
    <cfRule type="cellIs" dxfId="0" priority="7630" operator="equal">
      <formula>"未完成"</formula>
    </cfRule>
  </conditionalFormatting>
  <conditionalFormatting sqref="R1092">
    <cfRule type="cellIs" dxfId="0" priority="7446" operator="equal">
      <formula>"欠"</formula>
    </cfRule>
    <cfRule type="containsText" dxfId="0" priority="7385" operator="between" text="欠">
      <formula>NOT(ISERROR(SEARCH("欠",R1092)))</formula>
    </cfRule>
  </conditionalFormatting>
  <conditionalFormatting sqref="S1092">
    <cfRule type="cellIs" dxfId="0" priority="7690" operator="equal">
      <formula>"欠"</formula>
    </cfRule>
  </conditionalFormatting>
  <conditionalFormatting sqref="T1092:U1092">
    <cfRule type="cellIs" dxfId="0" priority="7751" operator="equal">
      <formula>"欠"</formula>
    </cfRule>
  </conditionalFormatting>
  <conditionalFormatting sqref="V1092">
    <cfRule type="cellIs" dxfId="0" priority="7507" operator="equal">
      <formula>"欠"</formula>
    </cfRule>
  </conditionalFormatting>
  <conditionalFormatting sqref="AJ1092">
    <cfRule type="cellIs" dxfId="0" priority="7812" operator="equal">
      <formula>"未完成"</formula>
    </cfRule>
  </conditionalFormatting>
  <conditionalFormatting sqref="AL1092:AM1092">
    <cfRule type="cellIs" dxfId="1" priority="7568" operator="equal">
      <formula>"未完成"</formula>
    </cfRule>
    <cfRule type="cellIs" dxfId="0" priority="7629" operator="equal">
      <formula>"未完成"</formula>
    </cfRule>
  </conditionalFormatting>
  <conditionalFormatting sqref="R1093">
    <cfRule type="cellIs" dxfId="0" priority="7445" operator="equal">
      <formula>"欠"</formula>
    </cfRule>
    <cfRule type="containsText" dxfId="0" priority="7384" operator="between" text="欠">
      <formula>NOT(ISERROR(SEARCH("欠",R1093)))</formula>
    </cfRule>
  </conditionalFormatting>
  <conditionalFormatting sqref="V1093">
    <cfRule type="cellIs" dxfId="0" priority="7506" operator="equal">
      <formula>"欠"</formula>
    </cfRule>
  </conditionalFormatting>
  <conditionalFormatting sqref="AL1093:AM1093">
    <cfRule type="cellIs" dxfId="1" priority="7567" operator="equal">
      <formula>"未完成"</formula>
    </cfRule>
    <cfRule type="cellIs" dxfId="0" priority="7628" operator="equal">
      <formula>"未完成"</formula>
    </cfRule>
  </conditionalFormatting>
  <conditionalFormatting sqref="AN1093">
    <cfRule type="cellIs" dxfId="0" priority="7872" operator="equal">
      <formula>"欠"</formula>
    </cfRule>
  </conditionalFormatting>
  <conditionalFormatting sqref="R1094">
    <cfRule type="cellIs" dxfId="0" priority="7444" operator="equal">
      <formula>"欠"</formula>
    </cfRule>
    <cfRule type="containsText" dxfId="0" priority="7383" operator="between" text="欠">
      <formula>NOT(ISERROR(SEARCH("欠",R1094)))</formula>
    </cfRule>
  </conditionalFormatting>
  <conditionalFormatting sqref="S1094">
    <cfRule type="cellIs" dxfId="0" priority="7688" operator="equal">
      <formula>"欠"</formula>
    </cfRule>
  </conditionalFormatting>
  <conditionalFormatting sqref="T1094:U1094">
    <cfRule type="cellIs" dxfId="0" priority="7749" operator="equal">
      <formula>"欠"</formula>
    </cfRule>
  </conditionalFormatting>
  <conditionalFormatting sqref="V1094">
    <cfRule type="cellIs" dxfId="0" priority="7505" operator="equal">
      <formula>"欠"</formula>
    </cfRule>
  </conditionalFormatting>
  <conditionalFormatting sqref="AL1094:AM1094">
    <cfRule type="cellIs" dxfId="1" priority="7566" operator="equal">
      <formula>"未完成"</formula>
    </cfRule>
    <cfRule type="cellIs" dxfId="0" priority="7627" operator="equal">
      <formula>"未完成"</formula>
    </cfRule>
  </conditionalFormatting>
  <conditionalFormatting sqref="AN1094">
    <cfRule type="cellIs" dxfId="0" priority="7871" operator="equal">
      <formula>"欠"</formula>
    </cfRule>
  </conditionalFormatting>
  <conditionalFormatting sqref="S1095">
    <cfRule type="cellIs" dxfId="0" priority="7687" operator="equal">
      <formula>"欠"</formula>
    </cfRule>
  </conditionalFormatting>
  <conditionalFormatting sqref="T1095:U1095">
    <cfRule type="containsText" dxfId="0" priority="7321" operator="between" text="欠">
      <formula>NOT(ISERROR(SEARCH("欠",T1095)))</formula>
    </cfRule>
    <cfRule type="cellIs" dxfId="0" priority="7748" operator="equal">
      <formula>"欠"</formula>
    </cfRule>
  </conditionalFormatting>
  <conditionalFormatting sqref="V1095">
    <cfRule type="cellIs" dxfId="0" priority="7504" operator="equal">
      <formula>"欠"</formula>
    </cfRule>
  </conditionalFormatting>
  <conditionalFormatting sqref="AJ1095">
    <cfRule type="cellIs" dxfId="0" priority="7809" operator="equal">
      <formula>"未完成"</formula>
    </cfRule>
  </conditionalFormatting>
  <conditionalFormatting sqref="AL1095:AM1095">
    <cfRule type="cellIs" dxfId="1" priority="7565" operator="equal">
      <formula>"未完成"</formula>
    </cfRule>
    <cfRule type="cellIs" dxfId="0" priority="7626" operator="equal">
      <formula>"未完成"</formula>
    </cfRule>
  </conditionalFormatting>
  <conditionalFormatting sqref="AN1095">
    <cfRule type="cellIs" dxfId="0" priority="7870" operator="equal">
      <formula>"欠"</formula>
    </cfRule>
  </conditionalFormatting>
  <conditionalFormatting sqref="S1096">
    <cfRule type="cellIs" dxfId="0" priority="7686" operator="equal">
      <formula>"欠"</formula>
    </cfRule>
  </conditionalFormatting>
  <conditionalFormatting sqref="T1096:U1096">
    <cfRule type="containsText" dxfId="0" priority="7320" operator="between" text="欠">
      <formula>NOT(ISERROR(SEARCH("欠",T1096)))</formula>
    </cfRule>
    <cfRule type="cellIs" dxfId="0" priority="7747" operator="equal">
      <formula>"欠"</formula>
    </cfRule>
  </conditionalFormatting>
  <conditionalFormatting sqref="V1096">
    <cfRule type="cellIs" dxfId="0" priority="7503" operator="equal">
      <formula>"欠"</formula>
    </cfRule>
  </conditionalFormatting>
  <conditionalFormatting sqref="AJ1096">
    <cfRule type="cellIs" dxfId="0" priority="7808" operator="equal">
      <formula>"未完成"</formula>
    </cfRule>
  </conditionalFormatting>
  <conditionalFormatting sqref="AL1096:AM1096">
    <cfRule type="cellIs" dxfId="1" priority="7564" operator="equal">
      <formula>"未完成"</formula>
    </cfRule>
    <cfRule type="cellIs" dxfId="0" priority="7625" operator="equal">
      <formula>"未完成"</formula>
    </cfRule>
  </conditionalFormatting>
  <conditionalFormatting sqref="AN1096">
    <cfRule type="cellIs" dxfId="0" priority="7869" operator="equal">
      <formula>"欠"</formula>
    </cfRule>
  </conditionalFormatting>
  <conditionalFormatting sqref="V1097">
    <cfRule type="cellIs" dxfId="0" priority="7502" operator="equal">
      <formula>"欠"</formula>
    </cfRule>
  </conditionalFormatting>
  <conditionalFormatting sqref="AJ1097">
    <cfRule type="cellIs" dxfId="0" priority="7807" operator="equal">
      <formula>"未完成"</formula>
    </cfRule>
  </conditionalFormatting>
  <conditionalFormatting sqref="AL1097:AM1097">
    <cfRule type="cellIs" dxfId="1" priority="7563" operator="equal">
      <formula>"未完成"</formula>
    </cfRule>
    <cfRule type="cellIs" dxfId="0" priority="7624" operator="equal">
      <formula>"未完成"</formula>
    </cfRule>
  </conditionalFormatting>
  <conditionalFormatting sqref="AN1097">
    <cfRule type="cellIs" dxfId="0" priority="7868" operator="equal">
      <formula>"欠"</formula>
    </cfRule>
  </conditionalFormatting>
  <conditionalFormatting sqref="R1098">
    <cfRule type="cellIs" dxfId="0" priority="7440" operator="equal">
      <formula>"欠"</formula>
    </cfRule>
    <cfRule type="containsText" dxfId="0" priority="7379" operator="between" text="欠">
      <formula>NOT(ISERROR(SEARCH("欠",R1098)))</formula>
    </cfRule>
  </conditionalFormatting>
  <conditionalFormatting sqref="S1098">
    <cfRule type="cellIs" dxfId="0" priority="7684" operator="equal">
      <formula>"欠"</formula>
    </cfRule>
  </conditionalFormatting>
  <conditionalFormatting sqref="T1098:U1098">
    <cfRule type="cellIs" dxfId="0" priority="7745" operator="equal">
      <formula>"欠"</formula>
    </cfRule>
  </conditionalFormatting>
  <conditionalFormatting sqref="V1098">
    <cfRule type="cellIs" dxfId="0" priority="7501" operator="equal">
      <formula>"欠"</formula>
    </cfRule>
  </conditionalFormatting>
  <conditionalFormatting sqref="AJ1098">
    <cfRule type="cellIs" dxfId="0" priority="7806" operator="equal">
      <formula>"未完成"</formula>
    </cfRule>
  </conditionalFormatting>
  <conditionalFormatting sqref="AL1098:AM1098">
    <cfRule type="cellIs" dxfId="1" priority="7562" operator="equal">
      <formula>"未完成"</formula>
    </cfRule>
    <cfRule type="cellIs" dxfId="0" priority="7623" operator="equal">
      <formula>"未完成"</formula>
    </cfRule>
  </conditionalFormatting>
  <conditionalFormatting sqref="AN1098">
    <cfRule type="cellIs" dxfId="0" priority="7867" operator="equal">
      <formula>"欠"</formula>
    </cfRule>
  </conditionalFormatting>
  <conditionalFormatting sqref="R1099">
    <cfRule type="cellIs" dxfId="0" priority="7439" operator="equal">
      <formula>"欠"</formula>
    </cfRule>
    <cfRule type="containsText" dxfId="0" priority="7378" operator="between" text="欠">
      <formula>NOT(ISERROR(SEARCH("欠",R1099)))</formula>
    </cfRule>
  </conditionalFormatting>
  <conditionalFormatting sqref="S1099">
    <cfRule type="cellIs" dxfId="0" priority="7683" operator="equal">
      <formula>"欠"</formula>
    </cfRule>
  </conditionalFormatting>
  <conditionalFormatting sqref="T1099:U1099">
    <cfRule type="cellIs" dxfId="0" priority="7744" operator="equal">
      <formula>"欠"</formula>
    </cfRule>
  </conditionalFormatting>
  <conditionalFormatting sqref="V1099">
    <cfRule type="cellIs" dxfId="0" priority="7500" operator="equal">
      <formula>"欠"</formula>
    </cfRule>
  </conditionalFormatting>
  <conditionalFormatting sqref="AJ1099">
    <cfRule type="cellIs" dxfId="0" priority="7805" operator="equal">
      <formula>"未完成"</formula>
    </cfRule>
  </conditionalFormatting>
  <conditionalFormatting sqref="AL1099:AM1099">
    <cfRule type="cellIs" dxfId="1" priority="7561" operator="equal">
      <formula>"未完成"</formula>
    </cfRule>
    <cfRule type="cellIs" dxfId="0" priority="7622" operator="equal">
      <formula>"未完成"</formula>
    </cfRule>
  </conditionalFormatting>
  <conditionalFormatting sqref="AN1099">
    <cfRule type="cellIs" dxfId="0" priority="7866" operator="equal">
      <formula>"欠"</formula>
    </cfRule>
  </conditionalFormatting>
  <conditionalFormatting sqref="R1100">
    <cfRule type="cellIs" dxfId="0" priority="7438" operator="equal">
      <formula>"欠"</formula>
    </cfRule>
    <cfRule type="containsText" dxfId="0" priority="7377" operator="between" text="欠">
      <formula>NOT(ISERROR(SEARCH("欠",R1100)))</formula>
    </cfRule>
  </conditionalFormatting>
  <conditionalFormatting sqref="S1100">
    <cfRule type="cellIs" dxfId="0" priority="7682" operator="equal">
      <formula>"欠"</formula>
    </cfRule>
  </conditionalFormatting>
  <conditionalFormatting sqref="T1100:U1100">
    <cfRule type="cellIs" dxfId="0" priority="7743" operator="equal">
      <formula>"欠"</formula>
    </cfRule>
  </conditionalFormatting>
  <conditionalFormatting sqref="V1100">
    <cfRule type="cellIs" dxfId="0" priority="7499" operator="equal">
      <formula>"欠"</formula>
    </cfRule>
  </conditionalFormatting>
  <conditionalFormatting sqref="AJ1100">
    <cfRule type="cellIs" dxfId="0" priority="7804" operator="equal">
      <formula>"未完成"</formula>
    </cfRule>
  </conditionalFormatting>
  <conditionalFormatting sqref="AL1100:AM1100">
    <cfRule type="cellIs" dxfId="1" priority="7560" operator="equal">
      <formula>"未完成"</formula>
    </cfRule>
    <cfRule type="cellIs" dxfId="0" priority="7621" operator="equal">
      <formula>"未完成"</formula>
    </cfRule>
  </conditionalFormatting>
  <conditionalFormatting sqref="AN1100">
    <cfRule type="cellIs" dxfId="0" priority="7865" operator="equal">
      <formula>"欠"</formula>
    </cfRule>
  </conditionalFormatting>
  <conditionalFormatting sqref="R1101">
    <cfRule type="cellIs" dxfId="0" priority="7437" operator="equal">
      <formula>"欠"</formula>
    </cfRule>
    <cfRule type="containsText" dxfId="0" priority="7376" operator="between" text="欠">
      <formula>NOT(ISERROR(SEARCH("欠",R1101)))</formula>
    </cfRule>
  </conditionalFormatting>
  <conditionalFormatting sqref="S1101">
    <cfRule type="cellIs" dxfId="0" priority="7681" operator="equal">
      <formula>"欠"</formula>
    </cfRule>
  </conditionalFormatting>
  <conditionalFormatting sqref="T1101:U1101">
    <cfRule type="cellIs" dxfId="0" priority="7742" operator="equal">
      <formula>"欠"</formula>
    </cfRule>
  </conditionalFormatting>
  <conditionalFormatting sqref="V1101">
    <cfRule type="cellIs" dxfId="0" priority="7498" operator="equal">
      <formula>"欠"</formula>
    </cfRule>
  </conditionalFormatting>
  <conditionalFormatting sqref="AJ1101">
    <cfRule type="cellIs" dxfId="0" priority="7803" operator="equal">
      <formula>"未完成"</formula>
    </cfRule>
  </conditionalFormatting>
  <conditionalFormatting sqref="AL1101:AM1101">
    <cfRule type="cellIs" dxfId="1" priority="7559" operator="equal">
      <formula>"未完成"</formula>
    </cfRule>
    <cfRule type="cellIs" dxfId="0" priority="7620" operator="equal">
      <formula>"未完成"</formula>
    </cfRule>
  </conditionalFormatting>
  <conditionalFormatting sqref="AN1101">
    <cfRule type="cellIs" dxfId="0" priority="7864" operator="equal">
      <formula>"欠"</formula>
    </cfRule>
  </conditionalFormatting>
  <conditionalFormatting sqref="R1102">
    <cfRule type="cellIs" dxfId="0" priority="7436" operator="equal">
      <formula>"欠"</formula>
    </cfRule>
    <cfRule type="containsText" dxfId="0" priority="7375" operator="between" text="欠">
      <formula>NOT(ISERROR(SEARCH("欠",R1102)))</formula>
    </cfRule>
  </conditionalFormatting>
  <conditionalFormatting sqref="S1102">
    <cfRule type="cellIs" dxfId="0" priority="7680" operator="equal">
      <formula>"欠"</formula>
    </cfRule>
  </conditionalFormatting>
  <conditionalFormatting sqref="T1102:U1102">
    <cfRule type="cellIs" dxfId="0" priority="7741" operator="equal">
      <formula>"欠"</formula>
    </cfRule>
  </conditionalFormatting>
  <conditionalFormatting sqref="V1102">
    <cfRule type="cellIs" dxfId="0" priority="7497" operator="equal">
      <formula>"欠"</formula>
    </cfRule>
  </conditionalFormatting>
  <conditionalFormatting sqref="AL1102:AM1102">
    <cfRule type="cellIs" dxfId="1" priority="7558" operator="equal">
      <formula>"未完成"</formula>
    </cfRule>
    <cfRule type="cellIs" dxfId="0" priority="7619" operator="equal">
      <formula>"未完成"</formula>
    </cfRule>
  </conditionalFormatting>
  <conditionalFormatting sqref="AN1102">
    <cfRule type="cellIs" dxfId="0" priority="7863" operator="equal">
      <formula>"欠"</formula>
    </cfRule>
  </conditionalFormatting>
  <conditionalFormatting sqref="R1103">
    <cfRule type="cellIs" dxfId="0" priority="7435" operator="equal">
      <formula>"欠"</formula>
    </cfRule>
    <cfRule type="containsText" dxfId="0" priority="7374" operator="between" text="欠">
      <formula>NOT(ISERROR(SEARCH("欠",R1103)))</formula>
    </cfRule>
  </conditionalFormatting>
  <conditionalFormatting sqref="S1103">
    <cfRule type="cellIs" dxfId="0" priority="7679" operator="equal">
      <formula>"欠"</formula>
    </cfRule>
  </conditionalFormatting>
  <conditionalFormatting sqref="T1103:U1103">
    <cfRule type="cellIs" dxfId="0" priority="7740" operator="equal">
      <formula>"欠"</formula>
    </cfRule>
  </conditionalFormatting>
  <conditionalFormatting sqref="V1103">
    <cfRule type="cellIs" dxfId="0" priority="7496" operator="equal">
      <formula>"欠"</formula>
    </cfRule>
  </conditionalFormatting>
  <conditionalFormatting sqref="AL1103:AM1103">
    <cfRule type="cellIs" dxfId="1" priority="7557" operator="equal">
      <formula>"未完成"</formula>
    </cfRule>
    <cfRule type="cellIs" dxfId="0" priority="7618" operator="equal">
      <formula>"未完成"</formula>
    </cfRule>
  </conditionalFormatting>
  <conditionalFormatting sqref="AN1103">
    <cfRule type="cellIs" dxfId="0" priority="7862" operator="equal">
      <formula>"欠"</formula>
    </cfRule>
  </conditionalFormatting>
  <conditionalFormatting sqref="R1104">
    <cfRule type="cellIs" dxfId="0" priority="7434" operator="equal">
      <formula>"欠"</formula>
    </cfRule>
    <cfRule type="containsText" dxfId="0" priority="7373" operator="between" text="欠">
      <formula>NOT(ISERROR(SEARCH("欠",R1104)))</formula>
    </cfRule>
  </conditionalFormatting>
  <conditionalFormatting sqref="S1104">
    <cfRule type="cellIs" dxfId="0" priority="7678" operator="equal">
      <formula>"欠"</formula>
    </cfRule>
  </conditionalFormatting>
  <conditionalFormatting sqref="T1104:U1104">
    <cfRule type="cellIs" dxfId="0" priority="7739" operator="equal">
      <formula>"欠"</formula>
    </cfRule>
  </conditionalFormatting>
  <conditionalFormatting sqref="V1104">
    <cfRule type="cellIs" dxfId="0" priority="7495" operator="equal">
      <formula>"欠"</formula>
    </cfRule>
  </conditionalFormatting>
  <conditionalFormatting sqref="AJ1104">
    <cfRule type="cellIs" dxfId="0" priority="7800" operator="equal">
      <formula>"未完成"</formula>
    </cfRule>
  </conditionalFormatting>
  <conditionalFormatting sqref="AL1104:AM1104">
    <cfRule type="cellIs" dxfId="1" priority="7556" operator="equal">
      <formula>"未完成"</formula>
    </cfRule>
    <cfRule type="cellIs" dxfId="0" priority="7617" operator="equal">
      <formula>"未完成"</formula>
    </cfRule>
  </conditionalFormatting>
  <conditionalFormatting sqref="AN1104">
    <cfRule type="cellIs" dxfId="0" priority="7861" operator="equal">
      <formula>"欠"</formula>
    </cfRule>
  </conditionalFormatting>
  <conditionalFormatting sqref="R1105">
    <cfRule type="cellIs" dxfId="0" priority="7433" operator="equal">
      <formula>"欠"</formula>
    </cfRule>
    <cfRule type="containsText" dxfId="0" priority="7372" operator="between" text="欠">
      <formula>NOT(ISERROR(SEARCH("欠",R1105)))</formula>
    </cfRule>
  </conditionalFormatting>
  <conditionalFormatting sqref="S1105">
    <cfRule type="cellIs" dxfId="0" priority="7677" operator="equal">
      <formula>"欠"</formula>
    </cfRule>
  </conditionalFormatting>
  <conditionalFormatting sqref="T1105:U1105">
    <cfRule type="cellIs" dxfId="0" priority="7738" operator="equal">
      <formula>"欠"</formula>
    </cfRule>
  </conditionalFormatting>
  <conditionalFormatting sqref="V1105">
    <cfRule type="cellIs" dxfId="0" priority="7494" operator="equal">
      <formula>"欠"</formula>
    </cfRule>
  </conditionalFormatting>
  <conditionalFormatting sqref="AJ1105">
    <cfRule type="cellIs" dxfId="0" priority="7799" operator="equal">
      <formula>"未完成"</formula>
    </cfRule>
  </conditionalFormatting>
  <conditionalFormatting sqref="AL1105:AM1105">
    <cfRule type="cellIs" dxfId="1" priority="7555" operator="equal">
      <formula>"未完成"</formula>
    </cfRule>
    <cfRule type="cellIs" dxfId="0" priority="7616" operator="equal">
      <formula>"未完成"</formula>
    </cfRule>
  </conditionalFormatting>
  <conditionalFormatting sqref="R1106">
    <cfRule type="cellIs" dxfId="0" priority="7432" operator="equal">
      <formula>"欠"</formula>
    </cfRule>
    <cfRule type="containsText" dxfId="0" priority="7371" operator="between" text="欠">
      <formula>NOT(ISERROR(SEARCH("欠",R1106)))</formula>
    </cfRule>
  </conditionalFormatting>
  <conditionalFormatting sqref="S1106">
    <cfRule type="cellIs" dxfId="0" priority="7676" operator="equal">
      <formula>"欠"</formula>
    </cfRule>
  </conditionalFormatting>
  <conditionalFormatting sqref="T1106:U1106">
    <cfRule type="cellIs" dxfId="0" priority="7737" operator="equal">
      <formula>"欠"</formula>
    </cfRule>
  </conditionalFormatting>
  <conditionalFormatting sqref="V1106">
    <cfRule type="cellIs" dxfId="0" priority="7493" operator="equal">
      <formula>"欠"</formula>
    </cfRule>
  </conditionalFormatting>
  <conditionalFormatting sqref="AJ1106">
    <cfRule type="cellIs" dxfId="0" priority="7798" operator="equal">
      <formula>"未完成"</formula>
    </cfRule>
  </conditionalFormatting>
  <conditionalFormatting sqref="AL1106:AM1106">
    <cfRule type="cellIs" dxfId="1" priority="7554" operator="equal">
      <formula>"未完成"</formula>
    </cfRule>
    <cfRule type="cellIs" dxfId="0" priority="7615" operator="equal">
      <formula>"未完成"</formula>
    </cfRule>
  </conditionalFormatting>
  <conditionalFormatting sqref="R1107">
    <cfRule type="cellIs" dxfId="0" priority="7431" operator="equal">
      <formula>"欠"</formula>
    </cfRule>
    <cfRule type="containsText" dxfId="0" priority="7370" operator="between" text="欠">
      <formula>NOT(ISERROR(SEARCH("欠",R1107)))</formula>
    </cfRule>
  </conditionalFormatting>
  <conditionalFormatting sqref="S1107">
    <cfRule type="cellIs" dxfId="0" priority="7675" operator="equal">
      <formula>"欠"</formula>
    </cfRule>
  </conditionalFormatting>
  <conditionalFormatting sqref="T1107:U1107">
    <cfRule type="cellIs" dxfId="0" priority="7736" operator="equal">
      <formula>"欠"</formula>
    </cfRule>
  </conditionalFormatting>
  <conditionalFormatting sqref="V1107">
    <cfRule type="cellIs" dxfId="0" priority="7492" operator="equal">
      <formula>"欠"</formula>
    </cfRule>
  </conditionalFormatting>
  <conditionalFormatting sqref="AJ1107">
    <cfRule type="cellIs" dxfId="0" priority="7797" operator="equal">
      <formula>"未完成"</formula>
    </cfRule>
  </conditionalFormatting>
  <conditionalFormatting sqref="AL1107:AM1107">
    <cfRule type="cellIs" dxfId="1" priority="7553" operator="equal">
      <formula>"未完成"</formula>
    </cfRule>
    <cfRule type="cellIs" dxfId="0" priority="7614" operator="equal">
      <formula>"未完成"</formula>
    </cfRule>
  </conditionalFormatting>
  <conditionalFormatting sqref="AN1107">
    <cfRule type="cellIs" dxfId="0" priority="7858" operator="equal">
      <formula>"欠"</formula>
    </cfRule>
  </conditionalFormatting>
  <conditionalFormatting sqref="R1108">
    <cfRule type="cellIs" dxfId="0" priority="7430" operator="equal">
      <formula>"欠"</formula>
    </cfRule>
    <cfRule type="containsText" dxfId="0" priority="7369" operator="between" text="欠">
      <formula>NOT(ISERROR(SEARCH("欠",R1108)))</formula>
    </cfRule>
  </conditionalFormatting>
  <conditionalFormatting sqref="S1108">
    <cfRule type="cellIs" dxfId="0" priority="7674" operator="equal">
      <formula>"欠"</formula>
    </cfRule>
  </conditionalFormatting>
  <conditionalFormatting sqref="T1108:U1108">
    <cfRule type="cellIs" dxfId="0" priority="7735" operator="equal">
      <formula>"欠"</formula>
    </cfRule>
  </conditionalFormatting>
  <conditionalFormatting sqref="V1108">
    <cfRule type="cellIs" dxfId="0" priority="7491" operator="equal">
      <formula>"欠"</formula>
    </cfRule>
  </conditionalFormatting>
  <conditionalFormatting sqref="AJ1108">
    <cfRule type="cellIs" dxfId="0" priority="7796" operator="equal">
      <formula>"未完成"</formula>
    </cfRule>
  </conditionalFormatting>
  <conditionalFormatting sqref="AL1108:AM1108">
    <cfRule type="cellIs" dxfId="1" priority="7552" operator="equal">
      <formula>"未完成"</formula>
    </cfRule>
    <cfRule type="cellIs" dxfId="0" priority="7613" operator="equal">
      <formula>"未完成"</formula>
    </cfRule>
  </conditionalFormatting>
  <conditionalFormatting sqref="AN1108">
    <cfRule type="cellIs" dxfId="0" priority="7857" operator="equal">
      <formula>"欠"</formula>
    </cfRule>
  </conditionalFormatting>
  <conditionalFormatting sqref="R1109">
    <cfRule type="cellIs" dxfId="0" priority="7429" operator="equal">
      <formula>"欠"</formula>
    </cfRule>
    <cfRule type="containsText" dxfId="0" priority="7368" operator="between" text="欠">
      <formula>NOT(ISERROR(SEARCH("欠",R1109)))</formula>
    </cfRule>
  </conditionalFormatting>
  <conditionalFormatting sqref="S1109">
    <cfRule type="cellIs" dxfId="0" priority="7673" operator="equal">
      <formula>"欠"</formula>
    </cfRule>
  </conditionalFormatting>
  <conditionalFormatting sqref="T1109:U1109">
    <cfRule type="cellIs" dxfId="0" priority="7734" operator="equal">
      <formula>"欠"</formula>
    </cfRule>
  </conditionalFormatting>
  <conditionalFormatting sqref="V1109">
    <cfRule type="cellIs" dxfId="0" priority="7490" operator="equal">
      <formula>"欠"</formula>
    </cfRule>
  </conditionalFormatting>
  <conditionalFormatting sqref="AJ1109">
    <cfRule type="cellIs" dxfId="0" priority="7795" operator="equal">
      <formula>"未完成"</formula>
    </cfRule>
  </conditionalFormatting>
  <conditionalFormatting sqref="AL1109:AM1109">
    <cfRule type="cellIs" dxfId="1" priority="7551" operator="equal">
      <formula>"未完成"</formula>
    </cfRule>
    <cfRule type="cellIs" dxfId="0" priority="7612" operator="equal">
      <formula>"未完成"</formula>
    </cfRule>
  </conditionalFormatting>
  <conditionalFormatting sqref="AN1109">
    <cfRule type="cellIs" dxfId="0" priority="7856" operator="equal">
      <formula>"欠"</formula>
    </cfRule>
  </conditionalFormatting>
  <conditionalFormatting sqref="R1110">
    <cfRule type="cellIs" dxfId="0" priority="7428" operator="equal">
      <formula>"欠"</formula>
    </cfRule>
    <cfRule type="containsText" dxfId="0" priority="7367" operator="between" text="欠">
      <formula>NOT(ISERROR(SEARCH("欠",R1110)))</formula>
    </cfRule>
  </conditionalFormatting>
  <conditionalFormatting sqref="T1110:U1110">
    <cfRule type="cellIs" dxfId="0" priority="7733" operator="equal">
      <formula>"欠"</formula>
    </cfRule>
  </conditionalFormatting>
  <conditionalFormatting sqref="V1110">
    <cfRule type="cellIs" dxfId="0" priority="7489" operator="equal">
      <formula>"欠"</formula>
    </cfRule>
  </conditionalFormatting>
  <conditionalFormatting sqref="AL1110:AM1110">
    <cfRule type="cellIs" dxfId="1" priority="7550" operator="equal">
      <formula>"未完成"</formula>
    </cfRule>
    <cfRule type="cellIs" dxfId="0" priority="7611" operator="equal">
      <formula>"未完成"</formula>
    </cfRule>
  </conditionalFormatting>
  <conditionalFormatting sqref="AN1110">
    <cfRule type="cellIs" dxfId="0" priority="7855" operator="equal">
      <formula>"欠"</formula>
    </cfRule>
  </conditionalFormatting>
  <conditionalFormatting sqref="R1111">
    <cfRule type="cellIs" dxfId="0" priority="7427" operator="equal">
      <formula>"欠"</formula>
    </cfRule>
    <cfRule type="containsText" dxfId="0" priority="7366" operator="between" text="欠">
      <formula>NOT(ISERROR(SEARCH("欠",R1111)))</formula>
    </cfRule>
  </conditionalFormatting>
  <conditionalFormatting sqref="S1111">
    <cfRule type="cellIs" dxfId="0" priority="7671" operator="equal">
      <formula>"欠"</formula>
    </cfRule>
  </conditionalFormatting>
  <conditionalFormatting sqref="T1111:U1111">
    <cfRule type="cellIs" dxfId="0" priority="7732" operator="equal">
      <formula>"欠"</formula>
    </cfRule>
  </conditionalFormatting>
  <conditionalFormatting sqref="V1111">
    <cfRule type="cellIs" dxfId="0" priority="7488" operator="equal">
      <formula>"欠"</formula>
    </cfRule>
  </conditionalFormatting>
  <conditionalFormatting sqref="AJ1111">
    <cfRule type="cellIs" dxfId="0" priority="7793" operator="equal">
      <formula>"未完成"</formula>
    </cfRule>
  </conditionalFormatting>
  <conditionalFormatting sqref="AL1111:AM1111">
    <cfRule type="cellIs" dxfId="1" priority="7549" operator="equal">
      <formula>"未完成"</formula>
    </cfRule>
    <cfRule type="cellIs" dxfId="0" priority="7610" operator="equal">
      <formula>"未完成"</formula>
    </cfRule>
  </conditionalFormatting>
  <conditionalFormatting sqref="AN1111">
    <cfRule type="cellIs" dxfId="0" priority="7854" operator="equal">
      <formula>"欠"</formula>
    </cfRule>
  </conditionalFormatting>
  <conditionalFormatting sqref="R1112">
    <cfRule type="cellIs" dxfId="0" priority="7426" operator="equal">
      <formula>"欠"</formula>
    </cfRule>
    <cfRule type="containsText" dxfId="0" priority="7365" operator="between" text="欠">
      <formula>NOT(ISERROR(SEARCH("欠",R1112)))</formula>
    </cfRule>
  </conditionalFormatting>
  <conditionalFormatting sqref="S1112">
    <cfRule type="cellIs" dxfId="0" priority="7670" operator="equal">
      <formula>"欠"</formula>
    </cfRule>
  </conditionalFormatting>
  <conditionalFormatting sqref="T1112:U1112">
    <cfRule type="cellIs" dxfId="0" priority="7731" operator="equal">
      <formula>"欠"</formula>
    </cfRule>
  </conditionalFormatting>
  <conditionalFormatting sqref="V1112">
    <cfRule type="cellIs" dxfId="0" priority="7487" operator="equal">
      <formula>"欠"</formula>
    </cfRule>
  </conditionalFormatting>
  <conditionalFormatting sqref="AJ1112">
    <cfRule type="cellIs" dxfId="0" priority="7792" operator="equal">
      <formula>"未完成"</formula>
    </cfRule>
  </conditionalFormatting>
  <conditionalFormatting sqref="AL1112:AM1112">
    <cfRule type="cellIs" dxfId="1" priority="7548" operator="equal">
      <formula>"未完成"</formula>
    </cfRule>
    <cfRule type="cellIs" dxfId="0" priority="7609" operator="equal">
      <formula>"未完成"</formula>
    </cfRule>
  </conditionalFormatting>
  <conditionalFormatting sqref="AN1112">
    <cfRule type="cellIs" dxfId="0" priority="7853" operator="equal">
      <formula>"欠"</formula>
    </cfRule>
  </conditionalFormatting>
  <conditionalFormatting sqref="R1113">
    <cfRule type="cellIs" dxfId="0" priority="7425" operator="equal">
      <formula>"欠"</formula>
    </cfRule>
    <cfRule type="containsText" dxfId="0" priority="7364" operator="between" text="欠">
      <formula>NOT(ISERROR(SEARCH("欠",R1113)))</formula>
    </cfRule>
  </conditionalFormatting>
  <conditionalFormatting sqref="S1113">
    <cfRule type="cellIs" dxfId="0" priority="7669" operator="equal">
      <formula>"欠"</formula>
    </cfRule>
  </conditionalFormatting>
  <conditionalFormatting sqref="T1113:U1113">
    <cfRule type="cellIs" dxfId="0" priority="7730" operator="equal">
      <formula>"欠"</formula>
    </cfRule>
  </conditionalFormatting>
  <conditionalFormatting sqref="V1113">
    <cfRule type="cellIs" dxfId="0" priority="7486" operator="equal">
      <formula>"欠"</formula>
    </cfRule>
  </conditionalFormatting>
  <conditionalFormatting sqref="AJ1113">
    <cfRule type="cellIs" dxfId="0" priority="7791" operator="equal">
      <formula>"未完成"</formula>
    </cfRule>
  </conditionalFormatting>
  <conditionalFormatting sqref="AL1113:AM1113">
    <cfRule type="cellIs" dxfId="1" priority="7547" operator="equal">
      <formula>"未完成"</formula>
    </cfRule>
    <cfRule type="cellIs" dxfId="0" priority="7608" operator="equal">
      <formula>"未完成"</formula>
    </cfRule>
  </conditionalFormatting>
  <conditionalFormatting sqref="AN1113">
    <cfRule type="cellIs" dxfId="0" priority="7852" operator="equal">
      <formula>"欠"</formula>
    </cfRule>
  </conditionalFormatting>
  <conditionalFormatting sqref="R1114">
    <cfRule type="cellIs" dxfId="0" priority="7424" operator="equal">
      <formula>"欠"</formula>
    </cfRule>
    <cfRule type="containsText" dxfId="0" priority="7363" operator="between" text="欠">
      <formula>NOT(ISERROR(SEARCH("欠",R1114)))</formula>
    </cfRule>
  </conditionalFormatting>
  <conditionalFormatting sqref="S1114">
    <cfRule type="cellIs" dxfId="0" priority="7668" operator="equal">
      <formula>"欠"</formula>
    </cfRule>
  </conditionalFormatting>
  <conditionalFormatting sqref="T1114:U1114">
    <cfRule type="cellIs" dxfId="0" priority="7729" operator="equal">
      <formula>"欠"</formula>
    </cfRule>
  </conditionalFormatting>
  <conditionalFormatting sqref="V1114">
    <cfRule type="cellIs" dxfId="0" priority="7485" operator="equal">
      <formula>"欠"</formula>
    </cfRule>
  </conditionalFormatting>
  <conditionalFormatting sqref="AJ1114">
    <cfRule type="cellIs" dxfId="0" priority="7790" operator="equal">
      <formula>"未完成"</formula>
    </cfRule>
  </conditionalFormatting>
  <conditionalFormatting sqref="AL1114:AM1114">
    <cfRule type="cellIs" dxfId="1" priority="7546" operator="equal">
      <formula>"未完成"</formula>
    </cfRule>
    <cfRule type="cellIs" dxfId="0" priority="7607" operator="equal">
      <formula>"未完成"</formula>
    </cfRule>
  </conditionalFormatting>
  <conditionalFormatting sqref="AN1114">
    <cfRule type="cellIs" dxfId="0" priority="7851" operator="equal">
      <formula>"欠"</formula>
    </cfRule>
  </conditionalFormatting>
  <conditionalFormatting sqref="R1115">
    <cfRule type="cellIs" dxfId="0" priority="7423" operator="equal">
      <formula>"欠"</formula>
    </cfRule>
    <cfRule type="containsText" dxfId="0" priority="7362" operator="between" text="欠">
      <formula>NOT(ISERROR(SEARCH("欠",R1115)))</formula>
    </cfRule>
  </conditionalFormatting>
  <conditionalFormatting sqref="S1115">
    <cfRule type="cellIs" dxfId="0" priority="7667" operator="equal">
      <formula>"欠"</formula>
    </cfRule>
  </conditionalFormatting>
  <conditionalFormatting sqref="T1115:U1115">
    <cfRule type="cellIs" dxfId="0" priority="7728" operator="equal">
      <formula>"欠"</formula>
    </cfRule>
  </conditionalFormatting>
  <conditionalFormatting sqref="V1115">
    <cfRule type="cellIs" dxfId="0" priority="7484" operator="equal">
      <formula>"欠"</formula>
    </cfRule>
  </conditionalFormatting>
  <conditionalFormatting sqref="AJ1115">
    <cfRule type="cellIs" dxfId="0" priority="7789" operator="equal">
      <formula>"未完成"</formula>
    </cfRule>
  </conditionalFormatting>
  <conditionalFormatting sqref="AL1115:AM1115">
    <cfRule type="cellIs" dxfId="1" priority="7545" operator="equal">
      <formula>"未完成"</formula>
    </cfRule>
    <cfRule type="cellIs" dxfId="0" priority="7606" operator="equal">
      <formula>"未完成"</formula>
    </cfRule>
  </conditionalFormatting>
  <conditionalFormatting sqref="AN1115">
    <cfRule type="cellIs" dxfId="0" priority="7850" operator="equal">
      <formula>"欠"</formula>
    </cfRule>
  </conditionalFormatting>
  <conditionalFormatting sqref="R1116">
    <cfRule type="cellIs" dxfId="0" priority="7422" operator="equal">
      <formula>"欠"</formula>
    </cfRule>
    <cfRule type="containsText" dxfId="0" priority="7361" operator="between" text="欠">
      <formula>NOT(ISERROR(SEARCH("欠",R1116)))</formula>
    </cfRule>
  </conditionalFormatting>
  <conditionalFormatting sqref="S1116">
    <cfRule type="cellIs" dxfId="0" priority="7666" operator="equal">
      <formula>"欠"</formula>
    </cfRule>
  </conditionalFormatting>
  <conditionalFormatting sqref="T1116:U1116">
    <cfRule type="cellIs" dxfId="0" priority="7727" operator="equal">
      <formula>"欠"</formula>
    </cfRule>
  </conditionalFormatting>
  <conditionalFormatting sqref="V1116">
    <cfRule type="cellIs" dxfId="0" priority="7483" operator="equal">
      <formula>"欠"</formula>
    </cfRule>
  </conditionalFormatting>
  <conditionalFormatting sqref="AJ1116">
    <cfRule type="cellIs" dxfId="0" priority="7788" operator="equal">
      <formula>"未完成"</formula>
    </cfRule>
  </conditionalFormatting>
  <conditionalFormatting sqref="AL1116:AM1116">
    <cfRule type="cellIs" dxfId="1" priority="7544" operator="equal">
      <formula>"未完成"</formula>
    </cfRule>
    <cfRule type="cellIs" dxfId="0" priority="7605" operator="equal">
      <formula>"未完成"</formula>
    </cfRule>
  </conditionalFormatting>
  <conditionalFormatting sqref="R1117">
    <cfRule type="containsText" dxfId="0" priority="7159" operator="between" text="欠">
      <formula>NOT(ISERROR(SEARCH("欠",R1117)))</formula>
    </cfRule>
    <cfRule type="cellIs" dxfId="0" priority="7166" operator="equal">
      <formula>"欠"</formula>
    </cfRule>
  </conditionalFormatting>
  <conditionalFormatting sqref="S1117">
    <cfRule type="cellIs" dxfId="0" priority="7194" operator="equal">
      <formula>"欠"</formula>
    </cfRule>
  </conditionalFormatting>
  <conditionalFormatting sqref="T1117:U1117">
    <cfRule type="cellIs" dxfId="0" priority="7201" operator="equal">
      <formula>"欠"</formula>
    </cfRule>
  </conditionalFormatting>
  <conditionalFormatting sqref="V1117">
    <cfRule type="cellIs" dxfId="0" priority="7173" operator="equal">
      <formula>"欠"</formula>
    </cfRule>
  </conditionalFormatting>
  <conditionalFormatting sqref="AL1117:AM1117">
    <cfRule type="cellIs" dxfId="1" priority="7180" operator="equal">
      <formula>"未完成"</formula>
    </cfRule>
    <cfRule type="cellIs" dxfId="0" priority="7187" operator="equal">
      <formula>"未完成"</formula>
    </cfRule>
  </conditionalFormatting>
  <conditionalFormatting sqref="R1118">
    <cfRule type="containsText" dxfId="0" priority="7158" operator="between" text="欠">
      <formula>NOT(ISERROR(SEARCH("欠",R1118)))</formula>
    </cfRule>
    <cfRule type="cellIs" dxfId="0" priority="7165" operator="equal">
      <formula>"欠"</formula>
    </cfRule>
  </conditionalFormatting>
  <conditionalFormatting sqref="S1118">
    <cfRule type="cellIs" dxfId="0" priority="7193" operator="equal">
      <formula>"欠"</formula>
    </cfRule>
  </conditionalFormatting>
  <conditionalFormatting sqref="T1118:U1118">
    <cfRule type="cellIs" dxfId="0" priority="7200" operator="equal">
      <formula>"欠"</formula>
    </cfRule>
  </conditionalFormatting>
  <conditionalFormatting sqref="V1118">
    <cfRule type="cellIs" dxfId="0" priority="7172" operator="equal">
      <formula>"欠"</formula>
    </cfRule>
  </conditionalFormatting>
  <conditionalFormatting sqref="AL1118:AM1118">
    <cfRule type="cellIs" dxfId="1" priority="7179" operator="equal">
      <formula>"未完成"</formula>
    </cfRule>
    <cfRule type="cellIs" dxfId="0" priority="7186" operator="equal">
      <formula>"未完成"</formula>
    </cfRule>
  </conditionalFormatting>
  <conditionalFormatting sqref="AN1118">
    <cfRule type="cellIs" dxfId="0" priority="7214" operator="equal">
      <formula>"欠"</formula>
    </cfRule>
  </conditionalFormatting>
  <conditionalFormatting sqref="R1119">
    <cfRule type="containsText" dxfId="0" priority="7157" operator="between" text="欠">
      <formula>NOT(ISERROR(SEARCH("欠",R1119)))</formula>
    </cfRule>
    <cfRule type="cellIs" dxfId="0" priority="7164" operator="equal">
      <formula>"欠"</formula>
    </cfRule>
  </conditionalFormatting>
  <conditionalFormatting sqref="S1119">
    <cfRule type="cellIs" dxfId="0" priority="7192" operator="equal">
      <formula>"欠"</formula>
    </cfRule>
  </conditionalFormatting>
  <conditionalFormatting sqref="T1119:U1119">
    <cfRule type="cellIs" dxfId="0" priority="7199" operator="equal">
      <formula>"欠"</formula>
    </cfRule>
  </conditionalFormatting>
  <conditionalFormatting sqref="V1119">
    <cfRule type="cellIs" dxfId="0" priority="7171" operator="equal">
      <formula>"欠"</formula>
    </cfRule>
  </conditionalFormatting>
  <conditionalFormatting sqref="AJ1119">
    <cfRule type="cellIs" dxfId="0" priority="7206" operator="equal">
      <formula>"未完成"</formula>
    </cfRule>
  </conditionalFormatting>
  <conditionalFormatting sqref="AL1119:AM1119">
    <cfRule type="cellIs" dxfId="1" priority="7178" operator="equal">
      <formula>"未完成"</formula>
    </cfRule>
    <cfRule type="cellIs" dxfId="0" priority="7185" operator="equal">
      <formula>"未完成"</formula>
    </cfRule>
  </conditionalFormatting>
  <conditionalFormatting sqref="AN1119">
    <cfRule type="cellIs" dxfId="0" priority="7213" operator="equal">
      <formula>"欠"</formula>
    </cfRule>
  </conditionalFormatting>
  <conditionalFormatting sqref="R1120">
    <cfRule type="containsText" dxfId="0" priority="7156" operator="between" text="欠">
      <formula>NOT(ISERROR(SEARCH("欠",R1120)))</formula>
    </cfRule>
    <cfRule type="cellIs" dxfId="0" priority="7163" operator="equal">
      <formula>"欠"</formula>
    </cfRule>
  </conditionalFormatting>
  <conditionalFormatting sqref="S1120">
    <cfRule type="cellIs" dxfId="0" priority="7191" operator="equal">
      <formula>"欠"</formula>
    </cfRule>
  </conditionalFormatting>
  <conditionalFormatting sqref="T1120:U1120">
    <cfRule type="cellIs" dxfId="0" priority="7198" operator="equal">
      <formula>"欠"</formula>
    </cfRule>
  </conditionalFormatting>
  <conditionalFormatting sqref="V1120">
    <cfRule type="cellIs" dxfId="0" priority="7170" operator="equal">
      <formula>"欠"</formula>
    </cfRule>
  </conditionalFormatting>
  <conditionalFormatting sqref="AJ1120">
    <cfRule type="cellIs" dxfId="0" priority="7205" operator="equal">
      <formula>"未完成"</formula>
    </cfRule>
  </conditionalFormatting>
  <conditionalFormatting sqref="AL1120:AM1120">
    <cfRule type="cellIs" dxfId="1" priority="7177" operator="equal">
      <formula>"未完成"</formula>
    </cfRule>
    <cfRule type="cellIs" dxfId="0" priority="7184" operator="equal">
      <formula>"未完成"</formula>
    </cfRule>
  </conditionalFormatting>
  <conditionalFormatting sqref="AN1120">
    <cfRule type="cellIs" dxfId="0" priority="7212" operator="equal">
      <formula>"欠"</formula>
    </cfRule>
  </conditionalFormatting>
  <conditionalFormatting sqref="R1121">
    <cfRule type="containsText" dxfId="0" priority="7155" operator="between" text="欠">
      <formula>NOT(ISERROR(SEARCH("欠",R1121)))</formula>
    </cfRule>
    <cfRule type="cellIs" dxfId="0" priority="7162" operator="equal">
      <formula>"欠"</formula>
    </cfRule>
  </conditionalFormatting>
  <conditionalFormatting sqref="S1121">
    <cfRule type="cellIs" dxfId="0" priority="7190" operator="equal">
      <formula>"欠"</formula>
    </cfRule>
  </conditionalFormatting>
  <conditionalFormatting sqref="T1121:U1121">
    <cfRule type="cellIs" dxfId="0" priority="7197" operator="equal">
      <formula>"欠"</formula>
    </cfRule>
  </conditionalFormatting>
  <conditionalFormatting sqref="V1121">
    <cfRule type="cellIs" dxfId="0" priority="7169" operator="equal">
      <formula>"欠"</formula>
    </cfRule>
  </conditionalFormatting>
  <conditionalFormatting sqref="AJ1121">
    <cfRule type="cellIs" dxfId="0" priority="7204" operator="equal">
      <formula>"未完成"</formula>
    </cfRule>
  </conditionalFormatting>
  <conditionalFormatting sqref="AL1121:AM1121">
    <cfRule type="cellIs" dxfId="1" priority="7176" operator="equal">
      <formula>"未完成"</formula>
    </cfRule>
    <cfRule type="cellIs" dxfId="0" priority="7183" operator="equal">
      <formula>"未完成"</formula>
    </cfRule>
  </conditionalFormatting>
  <conditionalFormatting sqref="AN1121">
    <cfRule type="cellIs" dxfId="0" priority="7211" operator="equal">
      <formula>"欠"</formula>
    </cfRule>
  </conditionalFormatting>
  <conditionalFormatting sqref="R1122">
    <cfRule type="containsText" dxfId="0" priority="7154" operator="between" text="欠">
      <formula>NOT(ISERROR(SEARCH("欠",R1122)))</formula>
    </cfRule>
    <cfRule type="cellIs" dxfId="0" priority="7161" operator="equal">
      <formula>"欠"</formula>
    </cfRule>
  </conditionalFormatting>
  <conditionalFormatting sqref="S1122">
    <cfRule type="cellIs" dxfId="0" priority="7189" operator="equal">
      <formula>"欠"</formula>
    </cfRule>
  </conditionalFormatting>
  <conditionalFormatting sqref="T1122:U1122">
    <cfRule type="cellIs" dxfId="0" priority="7196" operator="equal">
      <formula>"欠"</formula>
    </cfRule>
  </conditionalFormatting>
  <conditionalFormatting sqref="V1122">
    <cfRule type="cellIs" dxfId="0" priority="7168" operator="equal">
      <formula>"欠"</formula>
    </cfRule>
  </conditionalFormatting>
  <conditionalFormatting sqref="AJ1122">
    <cfRule type="cellIs" dxfId="0" priority="7203" operator="equal">
      <formula>"未完成"</formula>
    </cfRule>
  </conditionalFormatting>
  <conditionalFormatting sqref="AL1122:AM1122">
    <cfRule type="cellIs" dxfId="1" priority="7175" operator="equal">
      <formula>"未完成"</formula>
    </cfRule>
    <cfRule type="cellIs" dxfId="0" priority="7182" operator="equal">
      <formula>"未完成"</formula>
    </cfRule>
  </conditionalFormatting>
  <conditionalFormatting sqref="AN1122">
    <cfRule type="cellIs" dxfId="0" priority="7210" operator="equal">
      <formula>"欠"</formula>
    </cfRule>
  </conditionalFormatting>
  <conditionalFormatting sqref="R1123">
    <cfRule type="containsText" dxfId="0" priority="7153" operator="between" text="欠">
      <formula>NOT(ISERROR(SEARCH("欠",R1123)))</formula>
    </cfRule>
    <cfRule type="cellIs" dxfId="0" priority="7160" operator="equal">
      <formula>"欠"</formula>
    </cfRule>
  </conditionalFormatting>
  <conditionalFormatting sqref="S1123">
    <cfRule type="cellIs" dxfId="0" priority="7188" operator="equal">
      <formula>"欠"</formula>
    </cfRule>
  </conditionalFormatting>
  <conditionalFormatting sqref="T1123:U1123">
    <cfRule type="cellIs" dxfId="0" priority="7195" operator="equal">
      <formula>"欠"</formula>
    </cfRule>
  </conditionalFormatting>
  <conditionalFormatting sqref="V1123">
    <cfRule type="cellIs" dxfId="0" priority="7167" operator="equal">
      <formula>"欠"</formula>
    </cfRule>
  </conditionalFormatting>
  <conditionalFormatting sqref="AJ1123">
    <cfRule type="cellIs" dxfId="0" priority="7202" operator="equal">
      <formula>"未完成"</formula>
    </cfRule>
  </conditionalFormatting>
  <conditionalFormatting sqref="AL1123:AM1123">
    <cfRule type="cellIs" dxfId="1" priority="7174" operator="equal">
      <formula>"未完成"</formula>
    </cfRule>
    <cfRule type="cellIs" dxfId="0" priority="7181" operator="equal">
      <formula>"未完成"</formula>
    </cfRule>
  </conditionalFormatting>
  <conditionalFormatting sqref="AN1123">
    <cfRule type="cellIs" dxfId="0" priority="7209" operator="equal">
      <formula>"欠"</formula>
    </cfRule>
  </conditionalFormatting>
  <conditionalFormatting sqref="R1124">
    <cfRule type="containsText" dxfId="0" priority="6829" operator="between" text="欠">
      <formula>NOT(ISERROR(SEARCH("欠",R1124)))</formula>
    </cfRule>
    <cfRule type="cellIs" dxfId="0" priority="6831" operator="equal">
      <formula>"欠"</formula>
    </cfRule>
  </conditionalFormatting>
  <conditionalFormatting sqref="S1124">
    <cfRule type="cellIs" dxfId="0" priority="6839" operator="equal">
      <formula>"欠"</formula>
    </cfRule>
  </conditionalFormatting>
  <conditionalFormatting sqref="T1124:U1124">
    <cfRule type="cellIs" dxfId="0" priority="6841" operator="equal">
      <formula>"欠"</formula>
    </cfRule>
  </conditionalFormatting>
  <conditionalFormatting sqref="V1124">
    <cfRule type="cellIs" dxfId="0" priority="6833" operator="equal">
      <formula>"欠"</formula>
    </cfRule>
  </conditionalFormatting>
  <conditionalFormatting sqref="AJ1124">
    <cfRule type="cellIs" dxfId="0" priority="6843" operator="equal">
      <formula>"未完成"</formula>
    </cfRule>
  </conditionalFormatting>
  <conditionalFormatting sqref="AL1124:AM1124">
    <cfRule type="cellIs" dxfId="1" priority="6835" operator="equal">
      <formula>"未完成"</formula>
    </cfRule>
    <cfRule type="cellIs" dxfId="0" priority="6837" operator="equal">
      <formula>"未完成"</formula>
    </cfRule>
  </conditionalFormatting>
  <conditionalFormatting sqref="AN1124">
    <cfRule type="cellIs" dxfId="0" priority="6845" operator="equal">
      <formula>"欠"</formula>
    </cfRule>
  </conditionalFormatting>
  <conditionalFormatting sqref="R1125">
    <cfRule type="containsText" dxfId="0" priority="6828" operator="between" text="欠">
      <formula>NOT(ISERROR(SEARCH("欠",R1125)))</formula>
    </cfRule>
    <cfRule type="cellIs" dxfId="0" priority="6830" operator="equal">
      <formula>"欠"</formula>
    </cfRule>
  </conditionalFormatting>
  <conditionalFormatting sqref="S1125">
    <cfRule type="cellIs" dxfId="0" priority="6838" operator="equal">
      <formula>"欠"</formula>
    </cfRule>
  </conditionalFormatting>
  <conditionalFormatting sqref="T1125:U1125">
    <cfRule type="cellIs" dxfId="0" priority="6840" operator="equal">
      <formula>"欠"</formula>
    </cfRule>
  </conditionalFormatting>
  <conditionalFormatting sqref="V1125">
    <cfRule type="cellIs" dxfId="0" priority="6832" operator="equal">
      <formula>"欠"</formula>
    </cfRule>
  </conditionalFormatting>
  <conditionalFormatting sqref="AJ1125">
    <cfRule type="cellIs" dxfId="0" priority="6842" operator="equal">
      <formula>"未完成"</formula>
    </cfRule>
  </conditionalFormatting>
  <conditionalFormatting sqref="AL1125:AM1125">
    <cfRule type="cellIs" dxfId="1" priority="6834" operator="equal">
      <formula>"未完成"</formula>
    </cfRule>
    <cfRule type="cellIs" dxfId="0" priority="6836" operator="equal">
      <formula>"未完成"</formula>
    </cfRule>
  </conditionalFormatting>
  <conditionalFormatting sqref="AN1125">
    <cfRule type="cellIs" dxfId="0" priority="6844" operator="equal">
      <formula>"欠"</formula>
    </cfRule>
  </conditionalFormatting>
  <conditionalFormatting sqref="R1126">
    <cfRule type="containsText" dxfId="0" priority="6665" operator="between" text="欠">
      <formula>NOT(ISERROR(SEARCH("欠",R1126)))</formula>
    </cfRule>
    <cfRule type="cellIs" dxfId="0" priority="6685" operator="equal">
      <formula>"欠"</formula>
    </cfRule>
  </conditionalFormatting>
  <conditionalFormatting sqref="S1126">
    <cfRule type="cellIs" dxfId="0" priority="6765" operator="equal">
      <formula>"欠"</formula>
    </cfRule>
  </conditionalFormatting>
  <conditionalFormatting sqref="T1126:U1126">
    <cfRule type="cellIs" dxfId="0" priority="6785" operator="equal">
      <formula>"欠"</formula>
    </cfRule>
  </conditionalFormatting>
  <conditionalFormatting sqref="V1126">
    <cfRule type="cellIs" dxfId="0" priority="6705" operator="equal">
      <formula>"欠"</formula>
    </cfRule>
  </conditionalFormatting>
  <conditionalFormatting sqref="AJ1126">
    <cfRule type="cellIs" dxfId="0" priority="6805" operator="equal">
      <formula>"未完成"</formula>
    </cfRule>
  </conditionalFormatting>
  <conditionalFormatting sqref="AL1126:AM1126">
    <cfRule type="cellIs" dxfId="1" priority="6725" operator="equal">
      <formula>"未完成"</formula>
    </cfRule>
    <cfRule type="cellIs" dxfId="0" priority="6745" operator="equal">
      <formula>"未完成"</formula>
    </cfRule>
  </conditionalFormatting>
  <conditionalFormatting sqref="R1127">
    <cfRule type="containsText" dxfId="0" priority="6664" operator="between" text="欠">
      <formula>NOT(ISERROR(SEARCH("欠",R1127)))</formula>
    </cfRule>
    <cfRule type="cellIs" dxfId="0" priority="6684" operator="equal">
      <formula>"欠"</formula>
    </cfRule>
  </conditionalFormatting>
  <conditionalFormatting sqref="S1127">
    <cfRule type="cellIs" dxfId="0" priority="6764" operator="equal">
      <formula>"欠"</formula>
    </cfRule>
  </conditionalFormatting>
  <conditionalFormatting sqref="T1127:U1127">
    <cfRule type="cellIs" dxfId="0" priority="6784" operator="equal">
      <formula>"欠"</formula>
    </cfRule>
  </conditionalFormatting>
  <conditionalFormatting sqref="V1127">
    <cfRule type="cellIs" dxfId="0" priority="6704" operator="equal">
      <formula>"欠"</formula>
    </cfRule>
  </conditionalFormatting>
  <conditionalFormatting sqref="AJ1127">
    <cfRule type="cellIs" dxfId="0" priority="6804" operator="equal">
      <formula>"未完成"</formula>
    </cfRule>
  </conditionalFormatting>
  <conditionalFormatting sqref="AL1127:AM1127">
    <cfRule type="cellIs" dxfId="1" priority="6724" operator="equal">
      <formula>"未完成"</formula>
    </cfRule>
    <cfRule type="cellIs" dxfId="0" priority="6744" operator="equal">
      <formula>"未完成"</formula>
    </cfRule>
  </conditionalFormatting>
  <conditionalFormatting sqref="R1128">
    <cfRule type="containsText" dxfId="0" priority="6663" operator="between" text="欠">
      <formula>NOT(ISERROR(SEARCH("欠",R1128)))</formula>
    </cfRule>
    <cfRule type="cellIs" dxfId="0" priority="6683" operator="equal">
      <formula>"欠"</formula>
    </cfRule>
  </conditionalFormatting>
  <conditionalFormatting sqref="S1128">
    <cfRule type="cellIs" dxfId="0" priority="6763" operator="equal">
      <formula>"欠"</formula>
    </cfRule>
  </conditionalFormatting>
  <conditionalFormatting sqref="T1128:U1128">
    <cfRule type="cellIs" dxfId="0" priority="6783" operator="equal">
      <formula>"欠"</formula>
    </cfRule>
  </conditionalFormatting>
  <conditionalFormatting sqref="V1128">
    <cfRule type="cellIs" dxfId="0" priority="6703" operator="equal">
      <formula>"欠"</formula>
    </cfRule>
  </conditionalFormatting>
  <conditionalFormatting sqref="AJ1128">
    <cfRule type="cellIs" dxfId="0" priority="6803" operator="equal">
      <formula>"未完成"</formula>
    </cfRule>
  </conditionalFormatting>
  <conditionalFormatting sqref="AL1128:AM1128">
    <cfRule type="cellIs" dxfId="1" priority="6723" operator="equal">
      <formula>"未完成"</formula>
    </cfRule>
    <cfRule type="cellIs" dxfId="0" priority="6743" operator="equal">
      <formula>"未完成"</formula>
    </cfRule>
  </conditionalFormatting>
  <conditionalFormatting sqref="R1129">
    <cfRule type="containsText" dxfId="0" priority="6662" operator="between" text="欠">
      <formula>NOT(ISERROR(SEARCH("欠",R1129)))</formula>
    </cfRule>
    <cfRule type="cellIs" dxfId="0" priority="6682" operator="equal">
      <formula>"欠"</formula>
    </cfRule>
  </conditionalFormatting>
  <conditionalFormatting sqref="S1129">
    <cfRule type="cellIs" dxfId="0" priority="6762" operator="equal">
      <formula>"欠"</formula>
    </cfRule>
  </conditionalFormatting>
  <conditionalFormatting sqref="T1129:U1129">
    <cfRule type="cellIs" dxfId="0" priority="6782" operator="equal">
      <formula>"欠"</formula>
    </cfRule>
  </conditionalFormatting>
  <conditionalFormatting sqref="V1129">
    <cfRule type="cellIs" dxfId="0" priority="6702" operator="equal">
      <formula>"欠"</formula>
    </cfRule>
  </conditionalFormatting>
  <conditionalFormatting sqref="AJ1129">
    <cfRule type="cellIs" dxfId="0" priority="6802" operator="equal">
      <formula>"未完成"</formula>
    </cfRule>
  </conditionalFormatting>
  <conditionalFormatting sqref="AL1129:AM1129">
    <cfRule type="cellIs" dxfId="1" priority="6722" operator="equal">
      <formula>"未完成"</formula>
    </cfRule>
    <cfRule type="cellIs" dxfId="0" priority="6742" operator="equal">
      <formula>"未完成"</formula>
    </cfRule>
  </conditionalFormatting>
  <conditionalFormatting sqref="AN1129">
    <cfRule type="cellIs" dxfId="0" priority="6822" operator="equal">
      <formula>"欠"</formula>
    </cfRule>
  </conditionalFormatting>
  <conditionalFormatting sqref="R1130">
    <cfRule type="containsText" dxfId="0" priority="6661" operator="between" text="欠">
      <formula>NOT(ISERROR(SEARCH("欠",R1130)))</formula>
    </cfRule>
    <cfRule type="cellIs" dxfId="0" priority="6681" operator="equal">
      <formula>"欠"</formula>
    </cfRule>
  </conditionalFormatting>
  <conditionalFormatting sqref="S1130">
    <cfRule type="cellIs" dxfId="0" priority="6761" operator="equal">
      <formula>"欠"</formula>
    </cfRule>
  </conditionalFormatting>
  <conditionalFormatting sqref="T1130:U1130">
    <cfRule type="cellIs" dxfId="0" priority="6781" operator="equal">
      <formula>"欠"</formula>
    </cfRule>
  </conditionalFormatting>
  <conditionalFormatting sqref="V1130">
    <cfRule type="cellIs" dxfId="0" priority="6701" operator="equal">
      <formula>"欠"</formula>
    </cfRule>
  </conditionalFormatting>
  <conditionalFormatting sqref="AJ1130">
    <cfRule type="cellIs" dxfId="0" priority="6801" operator="equal">
      <formula>"未完成"</formula>
    </cfRule>
  </conditionalFormatting>
  <conditionalFormatting sqref="AL1130:AM1130">
    <cfRule type="cellIs" dxfId="1" priority="6721" operator="equal">
      <formula>"未完成"</formula>
    </cfRule>
    <cfRule type="cellIs" dxfId="0" priority="6741" operator="equal">
      <formula>"未完成"</formula>
    </cfRule>
  </conditionalFormatting>
  <conditionalFormatting sqref="R1131">
    <cfRule type="containsText" dxfId="0" priority="6660" operator="between" text="欠">
      <formula>NOT(ISERROR(SEARCH("欠",R1131)))</formula>
    </cfRule>
    <cfRule type="cellIs" dxfId="0" priority="6680" operator="equal">
      <formula>"欠"</formula>
    </cfRule>
  </conditionalFormatting>
  <conditionalFormatting sqref="S1131">
    <cfRule type="cellIs" dxfId="0" priority="6760" operator="equal">
      <formula>"欠"</formula>
    </cfRule>
  </conditionalFormatting>
  <conditionalFormatting sqref="T1131:U1131">
    <cfRule type="cellIs" dxfId="0" priority="6780" operator="equal">
      <formula>"欠"</formula>
    </cfRule>
  </conditionalFormatting>
  <conditionalFormatting sqref="V1131">
    <cfRule type="cellIs" dxfId="0" priority="6700" operator="equal">
      <formula>"欠"</formula>
    </cfRule>
  </conditionalFormatting>
  <conditionalFormatting sqref="AJ1131">
    <cfRule type="cellIs" dxfId="0" priority="6800" operator="equal">
      <formula>"未完成"</formula>
    </cfRule>
  </conditionalFormatting>
  <conditionalFormatting sqref="AL1131:AM1131">
    <cfRule type="cellIs" dxfId="1" priority="6720" operator="equal">
      <formula>"未完成"</formula>
    </cfRule>
    <cfRule type="cellIs" dxfId="0" priority="6740" operator="equal">
      <formula>"未完成"</formula>
    </cfRule>
  </conditionalFormatting>
  <conditionalFormatting sqref="R1132">
    <cfRule type="containsText" dxfId="0" priority="6659" operator="between" text="欠">
      <formula>NOT(ISERROR(SEARCH("欠",R1132)))</formula>
    </cfRule>
    <cfRule type="cellIs" dxfId="0" priority="6679" operator="equal">
      <formula>"欠"</formula>
    </cfRule>
  </conditionalFormatting>
  <conditionalFormatting sqref="S1132">
    <cfRule type="cellIs" dxfId="0" priority="6759" operator="equal">
      <formula>"欠"</formula>
    </cfRule>
  </conditionalFormatting>
  <conditionalFormatting sqref="T1132:U1132">
    <cfRule type="cellIs" dxfId="0" priority="6779" operator="equal">
      <formula>"欠"</formula>
    </cfRule>
  </conditionalFormatting>
  <conditionalFormatting sqref="V1132">
    <cfRule type="cellIs" dxfId="0" priority="6699" operator="equal">
      <formula>"欠"</formula>
    </cfRule>
  </conditionalFormatting>
  <conditionalFormatting sqref="AL1132:AM1132">
    <cfRule type="cellIs" dxfId="1" priority="6719" operator="equal">
      <formula>"未完成"</formula>
    </cfRule>
    <cfRule type="cellIs" dxfId="0" priority="6739" operator="equal">
      <formula>"未完成"</formula>
    </cfRule>
  </conditionalFormatting>
  <conditionalFormatting sqref="AN1132">
    <cfRule type="cellIs" dxfId="0" priority="6819" operator="equal">
      <formula>"欠"</formula>
    </cfRule>
  </conditionalFormatting>
  <conditionalFormatting sqref="R1133">
    <cfRule type="containsText" dxfId="0" priority="6658" operator="between" text="欠">
      <formula>NOT(ISERROR(SEARCH("欠",R1133)))</formula>
    </cfRule>
    <cfRule type="cellIs" dxfId="0" priority="6678" operator="equal">
      <formula>"欠"</formula>
    </cfRule>
  </conditionalFormatting>
  <conditionalFormatting sqref="S1133">
    <cfRule type="cellIs" dxfId="0" priority="6758" operator="equal">
      <formula>"欠"</formula>
    </cfRule>
  </conditionalFormatting>
  <conditionalFormatting sqref="T1133:U1133">
    <cfRule type="cellIs" dxfId="0" priority="6778" operator="equal">
      <formula>"欠"</formula>
    </cfRule>
  </conditionalFormatting>
  <conditionalFormatting sqref="V1133">
    <cfRule type="cellIs" dxfId="0" priority="6698" operator="equal">
      <formula>"欠"</formula>
    </cfRule>
  </conditionalFormatting>
  <conditionalFormatting sqref="AJ1133">
    <cfRule type="cellIs" dxfId="0" priority="6798" operator="equal">
      <formula>"未完成"</formula>
    </cfRule>
  </conditionalFormatting>
  <conditionalFormatting sqref="AL1133:AM1133">
    <cfRule type="cellIs" dxfId="1" priority="6718" operator="equal">
      <formula>"未完成"</formula>
    </cfRule>
    <cfRule type="cellIs" dxfId="0" priority="6738" operator="equal">
      <formula>"未完成"</formula>
    </cfRule>
  </conditionalFormatting>
  <conditionalFormatting sqref="AN1133">
    <cfRule type="cellIs" dxfId="0" priority="6818" operator="equal">
      <formula>"欠"</formula>
    </cfRule>
  </conditionalFormatting>
  <conditionalFormatting sqref="R1134">
    <cfRule type="containsText" dxfId="0" priority="6657" operator="between" text="欠">
      <formula>NOT(ISERROR(SEARCH("欠",R1134)))</formula>
    </cfRule>
    <cfRule type="cellIs" dxfId="0" priority="6677" operator="equal">
      <formula>"欠"</formula>
    </cfRule>
  </conditionalFormatting>
  <conditionalFormatting sqref="S1134">
    <cfRule type="cellIs" dxfId="0" priority="6757" operator="equal">
      <formula>"欠"</formula>
    </cfRule>
  </conditionalFormatting>
  <conditionalFormatting sqref="T1134:U1134">
    <cfRule type="cellIs" dxfId="0" priority="6777" operator="equal">
      <formula>"欠"</formula>
    </cfRule>
  </conditionalFormatting>
  <conditionalFormatting sqref="V1134">
    <cfRule type="cellIs" dxfId="0" priority="6697" operator="equal">
      <formula>"欠"</formula>
    </cfRule>
  </conditionalFormatting>
  <conditionalFormatting sqref="AJ1134">
    <cfRule type="cellIs" dxfId="0" priority="6797" operator="equal">
      <formula>"未完成"</formula>
    </cfRule>
  </conditionalFormatting>
  <conditionalFormatting sqref="AL1134:AM1134">
    <cfRule type="cellIs" dxfId="1" priority="6717" operator="equal">
      <formula>"未完成"</formula>
    </cfRule>
    <cfRule type="cellIs" dxfId="0" priority="6737" operator="equal">
      <formula>"未完成"</formula>
    </cfRule>
  </conditionalFormatting>
  <conditionalFormatting sqref="AN1134">
    <cfRule type="cellIs" dxfId="0" priority="6817" operator="equal">
      <formula>"欠"</formula>
    </cfRule>
  </conditionalFormatting>
  <conditionalFormatting sqref="R1135">
    <cfRule type="containsText" dxfId="0" priority="6656" operator="between" text="欠">
      <formula>NOT(ISERROR(SEARCH("欠",R1135)))</formula>
    </cfRule>
    <cfRule type="cellIs" dxfId="0" priority="6676" operator="equal">
      <formula>"欠"</formula>
    </cfRule>
  </conditionalFormatting>
  <conditionalFormatting sqref="S1135">
    <cfRule type="cellIs" dxfId="0" priority="6756" operator="equal">
      <formula>"欠"</formula>
    </cfRule>
  </conditionalFormatting>
  <conditionalFormatting sqref="T1135:U1135">
    <cfRule type="cellIs" dxfId="0" priority="6776" operator="equal">
      <formula>"欠"</formula>
    </cfRule>
  </conditionalFormatting>
  <conditionalFormatting sqref="V1135">
    <cfRule type="cellIs" dxfId="0" priority="6696" operator="equal">
      <formula>"欠"</formula>
    </cfRule>
  </conditionalFormatting>
  <conditionalFormatting sqref="AJ1135">
    <cfRule type="cellIs" dxfId="0" priority="6796" operator="equal">
      <formula>"未完成"</formula>
    </cfRule>
  </conditionalFormatting>
  <conditionalFormatting sqref="AL1135:AM1135">
    <cfRule type="cellIs" dxfId="1" priority="6716" operator="equal">
      <formula>"未完成"</formula>
    </cfRule>
    <cfRule type="cellIs" dxfId="0" priority="6736" operator="equal">
      <formula>"未完成"</formula>
    </cfRule>
  </conditionalFormatting>
  <conditionalFormatting sqref="AN1135">
    <cfRule type="cellIs" dxfId="0" priority="6816" operator="equal">
      <formula>"欠"</formula>
    </cfRule>
  </conditionalFormatting>
  <conditionalFormatting sqref="R1136">
    <cfRule type="containsText" dxfId="0" priority="6655" operator="between" text="欠">
      <formula>NOT(ISERROR(SEARCH("欠",R1136)))</formula>
    </cfRule>
    <cfRule type="cellIs" dxfId="0" priority="6675" operator="equal">
      <formula>"欠"</formula>
    </cfRule>
  </conditionalFormatting>
  <conditionalFormatting sqref="S1136">
    <cfRule type="cellIs" dxfId="0" priority="6755" operator="equal">
      <formula>"欠"</formula>
    </cfRule>
  </conditionalFormatting>
  <conditionalFormatting sqref="T1136:U1136">
    <cfRule type="cellIs" dxfId="0" priority="6775" operator="equal">
      <formula>"欠"</formula>
    </cfRule>
  </conditionalFormatting>
  <conditionalFormatting sqref="V1136">
    <cfRule type="cellIs" dxfId="0" priority="6695" operator="equal">
      <formula>"欠"</formula>
    </cfRule>
  </conditionalFormatting>
  <conditionalFormatting sqref="AJ1136">
    <cfRule type="cellIs" dxfId="0" priority="6795" operator="equal">
      <formula>"未完成"</formula>
    </cfRule>
  </conditionalFormatting>
  <conditionalFormatting sqref="AL1136:AM1136">
    <cfRule type="cellIs" dxfId="1" priority="6715" operator="equal">
      <formula>"未完成"</formula>
    </cfRule>
    <cfRule type="cellIs" dxfId="0" priority="6735" operator="equal">
      <formula>"未完成"</formula>
    </cfRule>
  </conditionalFormatting>
  <conditionalFormatting sqref="AN1136">
    <cfRule type="cellIs" dxfId="0" priority="6815" operator="equal">
      <formula>"欠"</formula>
    </cfRule>
  </conditionalFormatting>
  <conditionalFormatting sqref="R1137">
    <cfRule type="containsText" dxfId="0" priority="6654" operator="between" text="欠">
      <formula>NOT(ISERROR(SEARCH("欠",R1137)))</formula>
    </cfRule>
    <cfRule type="cellIs" dxfId="0" priority="6674" operator="equal">
      <formula>"欠"</formula>
    </cfRule>
  </conditionalFormatting>
  <conditionalFormatting sqref="S1137">
    <cfRule type="cellIs" dxfId="0" priority="6754" operator="equal">
      <formula>"欠"</formula>
    </cfRule>
  </conditionalFormatting>
  <conditionalFormatting sqref="T1137:U1137">
    <cfRule type="cellIs" dxfId="0" priority="6774" operator="equal">
      <formula>"欠"</formula>
    </cfRule>
  </conditionalFormatting>
  <conditionalFormatting sqref="V1137">
    <cfRule type="cellIs" dxfId="0" priority="6694" operator="equal">
      <formula>"欠"</formula>
    </cfRule>
  </conditionalFormatting>
  <conditionalFormatting sqref="AJ1137">
    <cfRule type="cellIs" dxfId="0" priority="6794" operator="equal">
      <formula>"未完成"</formula>
    </cfRule>
  </conditionalFormatting>
  <conditionalFormatting sqref="AL1137:AM1137">
    <cfRule type="cellIs" dxfId="1" priority="6714" operator="equal">
      <formula>"未完成"</formula>
    </cfRule>
    <cfRule type="cellIs" dxfId="0" priority="6734" operator="equal">
      <formula>"未完成"</formula>
    </cfRule>
  </conditionalFormatting>
  <conditionalFormatting sqref="R1138">
    <cfRule type="containsText" dxfId="0" priority="6653" operator="between" text="欠">
      <formula>NOT(ISERROR(SEARCH("欠",R1138)))</formula>
    </cfRule>
    <cfRule type="cellIs" dxfId="0" priority="6673" operator="equal">
      <formula>"欠"</formula>
    </cfRule>
  </conditionalFormatting>
  <conditionalFormatting sqref="S1138">
    <cfRule type="cellIs" dxfId="0" priority="6753" operator="equal">
      <formula>"欠"</formula>
    </cfRule>
  </conditionalFormatting>
  <conditionalFormatting sqref="T1138:U1138">
    <cfRule type="cellIs" dxfId="0" priority="6773" operator="equal">
      <formula>"欠"</formula>
    </cfRule>
  </conditionalFormatting>
  <conditionalFormatting sqref="V1138">
    <cfRule type="cellIs" dxfId="0" priority="6693" operator="equal">
      <formula>"欠"</formula>
    </cfRule>
  </conditionalFormatting>
  <conditionalFormatting sqref="AJ1138">
    <cfRule type="cellIs" dxfId="0" priority="6793" operator="equal">
      <formula>"未完成"</formula>
    </cfRule>
  </conditionalFormatting>
  <conditionalFormatting sqref="AL1138:AM1138">
    <cfRule type="cellIs" dxfId="1" priority="6713" operator="equal">
      <formula>"未完成"</formula>
    </cfRule>
    <cfRule type="cellIs" dxfId="0" priority="6733" operator="equal">
      <formula>"未完成"</formula>
    </cfRule>
  </conditionalFormatting>
  <conditionalFormatting sqref="R1139">
    <cfRule type="containsText" dxfId="0" priority="6652" operator="between" text="欠">
      <formula>NOT(ISERROR(SEARCH("欠",R1139)))</formula>
    </cfRule>
    <cfRule type="cellIs" dxfId="0" priority="6672" operator="equal">
      <formula>"欠"</formula>
    </cfRule>
  </conditionalFormatting>
  <conditionalFormatting sqref="S1139">
    <cfRule type="cellIs" dxfId="0" priority="6752" operator="equal">
      <formula>"欠"</formula>
    </cfRule>
  </conditionalFormatting>
  <conditionalFormatting sqref="T1139:U1139">
    <cfRule type="cellIs" dxfId="0" priority="6772" operator="equal">
      <formula>"欠"</formula>
    </cfRule>
  </conditionalFormatting>
  <conditionalFormatting sqref="V1139">
    <cfRule type="cellIs" dxfId="0" priority="6692" operator="equal">
      <formula>"欠"</formula>
    </cfRule>
  </conditionalFormatting>
  <conditionalFormatting sqref="AJ1139">
    <cfRule type="cellIs" dxfId="0" priority="6792" operator="equal">
      <formula>"未完成"</formula>
    </cfRule>
  </conditionalFormatting>
  <conditionalFormatting sqref="AL1139:AM1139">
    <cfRule type="cellIs" dxfId="1" priority="6712" operator="equal">
      <formula>"未完成"</formula>
    </cfRule>
    <cfRule type="cellIs" dxfId="0" priority="6732" operator="equal">
      <formula>"未完成"</formula>
    </cfRule>
  </conditionalFormatting>
  <conditionalFormatting sqref="R1140">
    <cfRule type="containsText" dxfId="0" priority="6651" operator="between" text="欠">
      <formula>NOT(ISERROR(SEARCH("欠",R1140)))</formula>
    </cfRule>
    <cfRule type="cellIs" dxfId="0" priority="6671" operator="equal">
      <formula>"欠"</formula>
    </cfRule>
  </conditionalFormatting>
  <conditionalFormatting sqref="S1140">
    <cfRule type="cellIs" dxfId="0" priority="6751" operator="equal">
      <formula>"欠"</formula>
    </cfRule>
  </conditionalFormatting>
  <conditionalFormatting sqref="T1140:U1140">
    <cfRule type="cellIs" dxfId="0" priority="6771" operator="equal">
      <formula>"欠"</formula>
    </cfRule>
  </conditionalFormatting>
  <conditionalFormatting sqref="V1140">
    <cfRule type="cellIs" dxfId="0" priority="6691" operator="equal">
      <formula>"欠"</formula>
    </cfRule>
  </conditionalFormatting>
  <conditionalFormatting sqref="AJ1140">
    <cfRule type="cellIs" dxfId="0" priority="6791" operator="equal">
      <formula>"未完成"</formula>
    </cfRule>
  </conditionalFormatting>
  <conditionalFormatting sqref="AL1140:AM1140">
    <cfRule type="cellIs" dxfId="1" priority="6711" operator="equal">
      <formula>"未完成"</formula>
    </cfRule>
    <cfRule type="cellIs" dxfId="0" priority="6731" operator="equal">
      <formula>"未完成"</formula>
    </cfRule>
  </conditionalFormatting>
  <conditionalFormatting sqref="R1141">
    <cfRule type="containsText" dxfId="0" priority="6650" operator="between" text="欠">
      <formula>NOT(ISERROR(SEARCH("欠",R1141)))</formula>
    </cfRule>
    <cfRule type="cellIs" dxfId="0" priority="6670" operator="equal">
      <formula>"欠"</formula>
    </cfRule>
  </conditionalFormatting>
  <conditionalFormatting sqref="S1141">
    <cfRule type="cellIs" dxfId="0" priority="6750" operator="equal">
      <formula>"欠"</formula>
    </cfRule>
  </conditionalFormatting>
  <conditionalFormatting sqref="T1141:U1141">
    <cfRule type="cellIs" dxfId="0" priority="6770" operator="equal">
      <formula>"欠"</formula>
    </cfRule>
  </conditionalFormatting>
  <conditionalFormatting sqref="V1141">
    <cfRule type="cellIs" dxfId="0" priority="6690" operator="equal">
      <formula>"欠"</formula>
    </cfRule>
  </conditionalFormatting>
  <conditionalFormatting sqref="AJ1141">
    <cfRule type="cellIs" dxfId="0" priority="6790" operator="equal">
      <formula>"未完成"</formula>
    </cfRule>
  </conditionalFormatting>
  <conditionalFormatting sqref="AL1141:AM1141">
    <cfRule type="cellIs" dxfId="1" priority="6710" operator="equal">
      <formula>"未完成"</formula>
    </cfRule>
    <cfRule type="cellIs" dxfId="0" priority="6730" operator="equal">
      <formula>"未完成"</formula>
    </cfRule>
  </conditionalFormatting>
  <conditionalFormatting sqref="R1142">
    <cfRule type="containsText" dxfId="0" priority="6649" operator="between" text="欠">
      <formula>NOT(ISERROR(SEARCH("欠",R1142)))</formula>
    </cfRule>
    <cfRule type="cellIs" dxfId="0" priority="6669" operator="equal">
      <formula>"欠"</formula>
    </cfRule>
  </conditionalFormatting>
  <conditionalFormatting sqref="S1142">
    <cfRule type="cellIs" dxfId="0" priority="6749" operator="equal">
      <formula>"欠"</formula>
    </cfRule>
  </conditionalFormatting>
  <conditionalFormatting sqref="T1142:U1142">
    <cfRule type="cellIs" dxfId="0" priority="6769" operator="equal">
      <formula>"欠"</formula>
    </cfRule>
  </conditionalFormatting>
  <conditionalFormatting sqref="V1142">
    <cfRule type="cellIs" dxfId="0" priority="6689" operator="equal">
      <formula>"欠"</formula>
    </cfRule>
  </conditionalFormatting>
  <conditionalFormatting sqref="AJ1142">
    <cfRule type="cellIs" dxfId="0" priority="6789" operator="equal">
      <formula>"未完成"</formula>
    </cfRule>
  </conditionalFormatting>
  <conditionalFormatting sqref="AL1142:AM1142">
    <cfRule type="cellIs" dxfId="1" priority="6709" operator="equal">
      <formula>"未完成"</formula>
    </cfRule>
    <cfRule type="cellIs" dxfId="0" priority="6729" operator="equal">
      <formula>"未完成"</formula>
    </cfRule>
  </conditionalFormatting>
  <conditionalFormatting sqref="R1143">
    <cfRule type="containsText" dxfId="0" priority="6648" operator="between" text="欠">
      <formula>NOT(ISERROR(SEARCH("欠",R1143)))</formula>
    </cfRule>
    <cfRule type="cellIs" dxfId="0" priority="6668" operator="equal">
      <formula>"欠"</formula>
    </cfRule>
  </conditionalFormatting>
  <conditionalFormatting sqref="S1143">
    <cfRule type="cellIs" dxfId="0" priority="6748" operator="equal">
      <formula>"欠"</formula>
    </cfRule>
  </conditionalFormatting>
  <conditionalFormatting sqref="T1143:U1143">
    <cfRule type="cellIs" dxfId="0" priority="6768" operator="equal">
      <formula>"欠"</formula>
    </cfRule>
  </conditionalFormatting>
  <conditionalFormatting sqref="V1143">
    <cfRule type="cellIs" dxfId="0" priority="6688" operator="equal">
      <formula>"欠"</formula>
    </cfRule>
  </conditionalFormatting>
  <conditionalFormatting sqref="AJ1143">
    <cfRule type="cellIs" dxfId="0" priority="6788" operator="equal">
      <formula>"未完成"</formula>
    </cfRule>
  </conditionalFormatting>
  <conditionalFormatting sqref="AL1143:AM1143">
    <cfRule type="cellIs" dxfId="1" priority="6708" operator="equal">
      <formula>"未完成"</formula>
    </cfRule>
    <cfRule type="cellIs" dxfId="0" priority="6728" operator="equal">
      <formula>"未完成"</formula>
    </cfRule>
  </conditionalFormatting>
  <conditionalFormatting sqref="AN1143">
    <cfRule type="cellIs" dxfId="0" priority="6808" operator="equal">
      <formula>"欠"</formula>
    </cfRule>
  </conditionalFormatting>
  <conditionalFormatting sqref="R1144">
    <cfRule type="containsText" dxfId="0" priority="6647" operator="between" text="欠">
      <formula>NOT(ISERROR(SEARCH("欠",R1144)))</formula>
    </cfRule>
    <cfRule type="cellIs" dxfId="0" priority="6667" operator="equal">
      <formula>"欠"</formula>
    </cfRule>
  </conditionalFormatting>
  <conditionalFormatting sqref="S1144">
    <cfRule type="cellIs" dxfId="0" priority="6747" operator="equal">
      <formula>"欠"</formula>
    </cfRule>
  </conditionalFormatting>
  <conditionalFormatting sqref="T1144:U1144">
    <cfRule type="cellIs" dxfId="0" priority="6767" operator="equal">
      <formula>"欠"</formula>
    </cfRule>
  </conditionalFormatting>
  <conditionalFormatting sqref="V1144">
    <cfRule type="cellIs" dxfId="0" priority="6687" operator="equal">
      <formula>"欠"</formula>
    </cfRule>
  </conditionalFormatting>
  <conditionalFormatting sqref="AJ1144">
    <cfRule type="cellIs" dxfId="0" priority="6787" operator="equal">
      <formula>"未完成"</formula>
    </cfRule>
  </conditionalFormatting>
  <conditionalFormatting sqref="AL1144:AM1144">
    <cfRule type="cellIs" dxfId="1" priority="6707" operator="equal">
      <formula>"未完成"</formula>
    </cfRule>
    <cfRule type="cellIs" dxfId="0" priority="6727" operator="equal">
      <formula>"未完成"</formula>
    </cfRule>
  </conditionalFormatting>
  <conditionalFormatting sqref="AN1144">
    <cfRule type="cellIs" dxfId="0" priority="6807" operator="equal">
      <formula>"欠"</formula>
    </cfRule>
  </conditionalFormatting>
  <conditionalFormatting sqref="R1145">
    <cfRule type="containsText" dxfId="0" priority="6646" operator="between" text="欠">
      <formula>NOT(ISERROR(SEARCH("欠",R1145)))</formula>
    </cfRule>
    <cfRule type="cellIs" dxfId="0" priority="6666" operator="equal">
      <formula>"欠"</formula>
    </cfRule>
  </conditionalFormatting>
  <conditionalFormatting sqref="S1145">
    <cfRule type="cellIs" dxfId="0" priority="6746" operator="equal">
      <formula>"欠"</formula>
    </cfRule>
  </conditionalFormatting>
  <conditionalFormatting sqref="T1145:U1145">
    <cfRule type="cellIs" dxfId="0" priority="6766" operator="equal">
      <formula>"欠"</formula>
    </cfRule>
  </conditionalFormatting>
  <conditionalFormatting sqref="V1145">
    <cfRule type="cellIs" dxfId="0" priority="6686" operator="equal">
      <formula>"欠"</formula>
    </cfRule>
  </conditionalFormatting>
  <conditionalFormatting sqref="AL1145:AM1145">
    <cfRule type="cellIs" dxfId="1" priority="6706" operator="equal">
      <formula>"未完成"</formula>
    </cfRule>
    <cfRule type="cellIs" dxfId="0" priority="6726" operator="equal">
      <formula>"未完成"</formula>
    </cfRule>
  </conditionalFormatting>
  <conditionalFormatting sqref="AN1145">
    <cfRule type="cellIs" dxfId="0" priority="6806" operator="equal">
      <formula>"欠"</formula>
    </cfRule>
  </conditionalFormatting>
  <conditionalFormatting sqref="R1146">
    <cfRule type="containsText" dxfId="0" priority="6617" operator="between" text="欠">
      <formula>NOT(ISERROR(SEARCH("欠",R1146)))</formula>
    </cfRule>
    <cfRule type="cellIs" dxfId="0" priority="6618" operator="equal">
      <formula>"欠"</formula>
    </cfRule>
  </conditionalFormatting>
  <conditionalFormatting sqref="S1146">
    <cfRule type="cellIs" dxfId="0" priority="6622" operator="equal">
      <formula>"欠"</formula>
    </cfRule>
  </conditionalFormatting>
  <conditionalFormatting sqref="T1146:U1146">
    <cfRule type="cellIs" dxfId="0" priority="6623" operator="equal">
      <formula>"欠"</formula>
    </cfRule>
  </conditionalFormatting>
  <conditionalFormatting sqref="V1146">
    <cfRule type="cellIs" dxfId="0" priority="6619" operator="equal">
      <formula>"欠"</formula>
    </cfRule>
  </conditionalFormatting>
  <conditionalFormatting sqref="AL1146:AM1146">
    <cfRule type="cellIs" dxfId="1" priority="6620" operator="equal">
      <formula>"未完成"</formula>
    </cfRule>
    <cfRule type="cellIs" dxfId="0" priority="6621" operator="equal">
      <formula>"未完成"</formula>
    </cfRule>
  </conditionalFormatting>
  <conditionalFormatting sqref="AN1146">
    <cfRule type="cellIs" dxfId="0" priority="6625" operator="equal">
      <formula>"欠"</formula>
    </cfRule>
  </conditionalFormatting>
  <conditionalFormatting sqref="R1147">
    <cfRule type="containsText" dxfId="0" priority="6527" operator="between" text="欠">
      <formula>NOT(ISERROR(SEARCH("欠",R1147)))</formula>
    </cfRule>
    <cfRule type="cellIs" dxfId="0" priority="6538" operator="equal">
      <formula>"欠"</formula>
    </cfRule>
  </conditionalFormatting>
  <conditionalFormatting sqref="S1147">
    <cfRule type="cellIs" dxfId="0" priority="6582" operator="equal">
      <formula>"欠"</formula>
    </cfRule>
  </conditionalFormatting>
  <conditionalFormatting sqref="T1147:U1147">
    <cfRule type="cellIs" dxfId="0" priority="6593" operator="equal">
      <formula>"欠"</formula>
    </cfRule>
  </conditionalFormatting>
  <conditionalFormatting sqref="V1147">
    <cfRule type="cellIs" dxfId="0" priority="6549" operator="equal">
      <formula>"欠"</formula>
    </cfRule>
  </conditionalFormatting>
  <conditionalFormatting sqref="AJ1147">
    <cfRule type="cellIs" dxfId="0" priority="6604" operator="equal">
      <formula>"未完成"</formula>
    </cfRule>
  </conditionalFormatting>
  <conditionalFormatting sqref="AL1147:AM1147">
    <cfRule type="cellIs" dxfId="1" priority="6560" operator="equal">
      <formula>"未完成"</formula>
    </cfRule>
    <cfRule type="cellIs" dxfId="0" priority="6571" operator="equal">
      <formula>"未完成"</formula>
    </cfRule>
  </conditionalFormatting>
  <conditionalFormatting sqref="AN1147">
    <cfRule type="cellIs" dxfId="0" priority="6615" operator="equal">
      <formula>"欠"</formula>
    </cfRule>
  </conditionalFormatting>
  <conditionalFormatting sqref="R1148">
    <cfRule type="containsText" dxfId="0" priority="6526" operator="between" text="欠">
      <formula>NOT(ISERROR(SEARCH("欠",R1148)))</formula>
    </cfRule>
    <cfRule type="cellIs" dxfId="0" priority="6537" operator="equal">
      <formula>"欠"</formula>
    </cfRule>
  </conditionalFormatting>
  <conditionalFormatting sqref="S1148">
    <cfRule type="cellIs" dxfId="0" priority="6581" operator="equal">
      <formula>"欠"</formula>
    </cfRule>
  </conditionalFormatting>
  <conditionalFormatting sqref="T1148:U1148">
    <cfRule type="cellIs" dxfId="0" priority="6592" operator="equal">
      <formula>"欠"</formula>
    </cfRule>
  </conditionalFormatting>
  <conditionalFormatting sqref="V1148">
    <cfRule type="cellIs" dxfId="0" priority="6548" operator="equal">
      <formula>"欠"</formula>
    </cfRule>
  </conditionalFormatting>
  <conditionalFormatting sqref="AJ1148">
    <cfRule type="cellIs" dxfId="0" priority="6603" operator="equal">
      <formula>"未完成"</formula>
    </cfRule>
  </conditionalFormatting>
  <conditionalFormatting sqref="AL1148:AM1148">
    <cfRule type="cellIs" dxfId="1" priority="6559" operator="equal">
      <formula>"未完成"</formula>
    </cfRule>
    <cfRule type="cellIs" dxfId="0" priority="6570" operator="equal">
      <formula>"未完成"</formula>
    </cfRule>
  </conditionalFormatting>
  <conditionalFormatting sqref="AN1148">
    <cfRule type="cellIs" dxfId="0" priority="6614" operator="equal">
      <formula>"欠"</formula>
    </cfRule>
  </conditionalFormatting>
  <conditionalFormatting sqref="R1149">
    <cfRule type="containsText" dxfId="0" priority="6525" operator="between" text="欠">
      <formula>NOT(ISERROR(SEARCH("欠",R1149)))</formula>
    </cfRule>
    <cfRule type="cellIs" dxfId="0" priority="6536" operator="equal">
      <formula>"欠"</formula>
    </cfRule>
  </conditionalFormatting>
  <conditionalFormatting sqref="S1149">
    <cfRule type="cellIs" dxfId="0" priority="6580" operator="equal">
      <formula>"欠"</formula>
    </cfRule>
  </conditionalFormatting>
  <conditionalFormatting sqref="T1149:U1149">
    <cfRule type="cellIs" dxfId="0" priority="6591" operator="equal">
      <formula>"欠"</formula>
    </cfRule>
  </conditionalFormatting>
  <conditionalFormatting sqref="V1149">
    <cfRule type="cellIs" dxfId="0" priority="6547" operator="equal">
      <formula>"欠"</formula>
    </cfRule>
  </conditionalFormatting>
  <conditionalFormatting sqref="AJ1149">
    <cfRule type="cellIs" dxfId="0" priority="6602" operator="equal">
      <formula>"未完成"</formula>
    </cfRule>
  </conditionalFormatting>
  <conditionalFormatting sqref="AL1149:AM1149">
    <cfRule type="cellIs" dxfId="1" priority="6558" operator="equal">
      <formula>"未完成"</formula>
    </cfRule>
    <cfRule type="cellIs" dxfId="0" priority="6569" operator="equal">
      <formula>"未完成"</formula>
    </cfRule>
  </conditionalFormatting>
  <conditionalFormatting sqref="AN1149">
    <cfRule type="cellIs" dxfId="0" priority="6613" operator="equal">
      <formula>"欠"</formula>
    </cfRule>
  </conditionalFormatting>
  <conditionalFormatting sqref="R1150">
    <cfRule type="containsText" dxfId="0" priority="6524" operator="between" text="欠">
      <formula>NOT(ISERROR(SEARCH("欠",R1150)))</formula>
    </cfRule>
    <cfRule type="cellIs" dxfId="0" priority="6535" operator="equal">
      <formula>"欠"</formula>
    </cfRule>
  </conditionalFormatting>
  <conditionalFormatting sqref="S1150">
    <cfRule type="cellIs" dxfId="0" priority="6579" operator="equal">
      <formula>"欠"</formula>
    </cfRule>
  </conditionalFormatting>
  <conditionalFormatting sqref="T1150:U1150">
    <cfRule type="cellIs" dxfId="0" priority="6590" operator="equal">
      <formula>"欠"</formula>
    </cfRule>
  </conditionalFormatting>
  <conditionalFormatting sqref="V1150">
    <cfRule type="cellIs" dxfId="0" priority="6546" operator="equal">
      <formula>"欠"</formula>
    </cfRule>
  </conditionalFormatting>
  <conditionalFormatting sqref="AJ1150">
    <cfRule type="cellIs" dxfId="0" priority="6601" operator="equal">
      <formula>"未完成"</formula>
    </cfRule>
  </conditionalFormatting>
  <conditionalFormatting sqref="AL1150:AM1150">
    <cfRule type="cellIs" dxfId="1" priority="6557" operator="equal">
      <formula>"未完成"</formula>
    </cfRule>
    <cfRule type="cellIs" dxfId="0" priority="6568" operator="equal">
      <formula>"未完成"</formula>
    </cfRule>
  </conditionalFormatting>
  <conditionalFormatting sqref="AN1150">
    <cfRule type="cellIs" dxfId="0" priority="6612" operator="equal">
      <formula>"欠"</formula>
    </cfRule>
  </conditionalFormatting>
  <conditionalFormatting sqref="R1151">
    <cfRule type="containsText" dxfId="0" priority="6523" operator="between" text="欠">
      <formula>NOT(ISERROR(SEARCH("欠",R1151)))</formula>
    </cfRule>
    <cfRule type="cellIs" dxfId="0" priority="6534" operator="equal">
      <formula>"欠"</formula>
    </cfRule>
  </conditionalFormatting>
  <conditionalFormatting sqref="S1151">
    <cfRule type="cellIs" dxfId="0" priority="6578" operator="equal">
      <formula>"欠"</formula>
    </cfRule>
  </conditionalFormatting>
  <conditionalFormatting sqref="T1151:U1151">
    <cfRule type="cellIs" dxfId="0" priority="6589" operator="equal">
      <formula>"欠"</formula>
    </cfRule>
  </conditionalFormatting>
  <conditionalFormatting sqref="V1151">
    <cfRule type="cellIs" dxfId="0" priority="6545" operator="equal">
      <formula>"欠"</formula>
    </cfRule>
  </conditionalFormatting>
  <conditionalFormatting sqref="AJ1151">
    <cfRule type="cellIs" dxfId="0" priority="6600" operator="equal">
      <formula>"未完成"</formula>
    </cfRule>
  </conditionalFormatting>
  <conditionalFormatting sqref="AL1151:AM1151">
    <cfRule type="cellIs" dxfId="1" priority="6556" operator="equal">
      <formula>"未完成"</formula>
    </cfRule>
    <cfRule type="cellIs" dxfId="0" priority="6567" operator="equal">
      <formula>"未完成"</formula>
    </cfRule>
  </conditionalFormatting>
  <conditionalFormatting sqref="AN1151">
    <cfRule type="cellIs" dxfId="0" priority="6611" operator="equal">
      <formula>"欠"</formula>
    </cfRule>
  </conditionalFormatting>
  <conditionalFormatting sqref="R1152">
    <cfRule type="containsText" dxfId="0" priority="6522" operator="between" text="欠">
      <formula>NOT(ISERROR(SEARCH("欠",R1152)))</formula>
    </cfRule>
    <cfRule type="cellIs" dxfId="0" priority="6533" operator="equal">
      <formula>"欠"</formula>
    </cfRule>
  </conditionalFormatting>
  <conditionalFormatting sqref="S1152">
    <cfRule type="cellIs" dxfId="0" priority="6577" operator="equal">
      <formula>"欠"</formula>
    </cfRule>
  </conditionalFormatting>
  <conditionalFormatting sqref="T1152:U1152">
    <cfRule type="cellIs" dxfId="0" priority="6588" operator="equal">
      <formula>"欠"</formula>
    </cfRule>
  </conditionalFormatting>
  <conditionalFormatting sqref="V1152">
    <cfRule type="cellIs" dxfId="0" priority="6544" operator="equal">
      <formula>"欠"</formula>
    </cfRule>
  </conditionalFormatting>
  <conditionalFormatting sqref="AJ1152">
    <cfRule type="cellIs" dxfId="0" priority="6599" operator="equal">
      <formula>"未完成"</formula>
    </cfRule>
  </conditionalFormatting>
  <conditionalFormatting sqref="AL1152:AM1152">
    <cfRule type="cellIs" dxfId="1" priority="6555" operator="equal">
      <formula>"未完成"</formula>
    </cfRule>
    <cfRule type="cellIs" dxfId="0" priority="6566" operator="equal">
      <formula>"未完成"</formula>
    </cfRule>
  </conditionalFormatting>
  <conditionalFormatting sqref="AN1152">
    <cfRule type="cellIs" dxfId="0" priority="6610" operator="equal">
      <formula>"欠"</formula>
    </cfRule>
  </conditionalFormatting>
  <conditionalFormatting sqref="R1153">
    <cfRule type="containsText" dxfId="0" priority="6521" operator="between" text="欠">
      <formula>NOT(ISERROR(SEARCH("欠",R1153)))</formula>
    </cfRule>
    <cfRule type="cellIs" dxfId="0" priority="6532" operator="equal">
      <formula>"欠"</formula>
    </cfRule>
  </conditionalFormatting>
  <conditionalFormatting sqref="S1153">
    <cfRule type="cellIs" dxfId="0" priority="6576" operator="equal">
      <formula>"欠"</formula>
    </cfRule>
  </conditionalFormatting>
  <conditionalFormatting sqref="T1153:U1153">
    <cfRule type="cellIs" dxfId="0" priority="6587" operator="equal">
      <formula>"欠"</formula>
    </cfRule>
  </conditionalFormatting>
  <conditionalFormatting sqref="V1153">
    <cfRule type="cellIs" dxfId="0" priority="6543" operator="equal">
      <formula>"欠"</formula>
    </cfRule>
  </conditionalFormatting>
  <conditionalFormatting sqref="AJ1153">
    <cfRule type="cellIs" dxfId="0" priority="6598" operator="equal">
      <formula>"未完成"</formula>
    </cfRule>
  </conditionalFormatting>
  <conditionalFormatting sqref="AL1153:AM1153">
    <cfRule type="cellIs" dxfId="1" priority="6554" operator="equal">
      <formula>"未完成"</formula>
    </cfRule>
    <cfRule type="cellIs" dxfId="0" priority="6565" operator="equal">
      <formula>"未完成"</formula>
    </cfRule>
  </conditionalFormatting>
  <conditionalFormatting sqref="R1154">
    <cfRule type="containsText" dxfId="0" priority="6520" operator="between" text="欠">
      <formula>NOT(ISERROR(SEARCH("欠",R1154)))</formula>
    </cfRule>
    <cfRule type="cellIs" dxfId="0" priority="6531" operator="equal">
      <formula>"欠"</formula>
    </cfRule>
  </conditionalFormatting>
  <conditionalFormatting sqref="S1154">
    <cfRule type="cellIs" dxfId="0" priority="6575" operator="equal">
      <formula>"欠"</formula>
    </cfRule>
  </conditionalFormatting>
  <conditionalFormatting sqref="T1154:U1154">
    <cfRule type="cellIs" dxfId="0" priority="6586" operator="equal">
      <formula>"欠"</formula>
    </cfRule>
  </conditionalFormatting>
  <conditionalFormatting sqref="V1154">
    <cfRule type="cellIs" dxfId="0" priority="6542" operator="equal">
      <formula>"欠"</formula>
    </cfRule>
  </conditionalFormatting>
  <conditionalFormatting sqref="AJ1154">
    <cfRule type="cellIs" dxfId="0" priority="6597" operator="equal">
      <formula>"未完成"</formula>
    </cfRule>
  </conditionalFormatting>
  <conditionalFormatting sqref="AL1154:AM1154">
    <cfRule type="cellIs" dxfId="1" priority="6553" operator="equal">
      <formula>"未完成"</formula>
    </cfRule>
    <cfRule type="cellIs" dxfId="0" priority="6564" operator="equal">
      <formula>"未完成"</formula>
    </cfRule>
  </conditionalFormatting>
  <conditionalFormatting sqref="R1155">
    <cfRule type="containsText" dxfId="0" priority="6519" operator="between" text="欠">
      <formula>NOT(ISERROR(SEARCH("欠",R1155)))</formula>
    </cfRule>
    <cfRule type="cellIs" dxfId="0" priority="6530" operator="equal">
      <formula>"欠"</formula>
    </cfRule>
  </conditionalFormatting>
  <conditionalFormatting sqref="S1155">
    <cfRule type="cellIs" dxfId="0" priority="6574" operator="equal">
      <formula>"欠"</formula>
    </cfRule>
  </conditionalFormatting>
  <conditionalFormatting sqref="T1155:U1155">
    <cfRule type="cellIs" dxfId="0" priority="6585" operator="equal">
      <formula>"欠"</formula>
    </cfRule>
  </conditionalFormatting>
  <conditionalFormatting sqref="V1155">
    <cfRule type="cellIs" dxfId="0" priority="6541" operator="equal">
      <formula>"欠"</formula>
    </cfRule>
  </conditionalFormatting>
  <conditionalFormatting sqref="AJ1155">
    <cfRule type="cellIs" dxfId="0" priority="6596" operator="equal">
      <formula>"未完成"</formula>
    </cfRule>
  </conditionalFormatting>
  <conditionalFormatting sqref="AL1155:AM1155">
    <cfRule type="cellIs" dxfId="1" priority="6552" operator="equal">
      <formula>"未完成"</formula>
    </cfRule>
    <cfRule type="cellIs" dxfId="0" priority="6563" operator="equal">
      <formula>"未完成"</formula>
    </cfRule>
  </conditionalFormatting>
  <conditionalFormatting sqref="AN1155">
    <cfRule type="cellIs" dxfId="0" priority="6607" operator="equal">
      <formula>"欠"</formula>
    </cfRule>
  </conditionalFormatting>
  <conditionalFormatting sqref="R1156">
    <cfRule type="containsText" dxfId="0" priority="6518" operator="between" text="欠">
      <formula>NOT(ISERROR(SEARCH("欠",R1156)))</formula>
    </cfRule>
    <cfRule type="cellIs" dxfId="0" priority="6529" operator="equal">
      <formula>"欠"</formula>
    </cfRule>
  </conditionalFormatting>
  <conditionalFormatting sqref="S1156">
    <cfRule type="cellIs" dxfId="0" priority="6573" operator="equal">
      <formula>"欠"</formula>
    </cfRule>
  </conditionalFormatting>
  <conditionalFormatting sqref="T1156:U1156">
    <cfRule type="cellIs" dxfId="0" priority="6584" operator="equal">
      <formula>"欠"</formula>
    </cfRule>
  </conditionalFormatting>
  <conditionalFormatting sqref="V1156">
    <cfRule type="cellIs" dxfId="0" priority="6540" operator="equal">
      <formula>"欠"</formula>
    </cfRule>
  </conditionalFormatting>
  <conditionalFormatting sqref="AL1156:AM1156">
    <cfRule type="cellIs" dxfId="1" priority="6551" operator="equal">
      <formula>"未完成"</formula>
    </cfRule>
    <cfRule type="cellIs" dxfId="0" priority="6562" operator="equal">
      <formula>"未完成"</formula>
    </cfRule>
  </conditionalFormatting>
  <conditionalFormatting sqref="AN1156">
    <cfRule type="cellIs" dxfId="0" priority="6606" operator="equal">
      <formula>"欠"</formula>
    </cfRule>
  </conditionalFormatting>
  <conditionalFormatting sqref="R1157">
    <cfRule type="containsText" dxfId="0" priority="6517" operator="between" text="欠">
      <formula>NOT(ISERROR(SEARCH("欠",R1157)))</formula>
    </cfRule>
    <cfRule type="cellIs" dxfId="0" priority="6528" operator="equal">
      <formula>"欠"</formula>
    </cfRule>
  </conditionalFormatting>
  <conditionalFormatting sqref="S1157">
    <cfRule type="cellIs" dxfId="0" priority="6572" operator="equal">
      <formula>"欠"</formula>
    </cfRule>
  </conditionalFormatting>
  <conditionalFormatting sqref="T1157:U1157">
    <cfRule type="cellIs" dxfId="0" priority="6583" operator="equal">
      <formula>"欠"</formula>
    </cfRule>
  </conditionalFormatting>
  <conditionalFormatting sqref="V1157">
    <cfRule type="cellIs" dxfId="0" priority="6539" operator="equal">
      <formula>"欠"</formula>
    </cfRule>
  </conditionalFormatting>
  <conditionalFormatting sqref="AJ1157">
    <cfRule type="cellIs" dxfId="0" priority="6594" operator="equal">
      <formula>"未完成"</formula>
    </cfRule>
  </conditionalFormatting>
  <conditionalFormatting sqref="AL1157:AM1157">
    <cfRule type="cellIs" dxfId="1" priority="6550" operator="equal">
      <formula>"未完成"</formula>
    </cfRule>
    <cfRule type="cellIs" dxfId="0" priority="6561" operator="equal">
      <formula>"未完成"</formula>
    </cfRule>
  </conditionalFormatting>
  <conditionalFormatting sqref="AN1157">
    <cfRule type="cellIs" dxfId="0" priority="6605" operator="equal">
      <formula>"欠"</formula>
    </cfRule>
  </conditionalFormatting>
  <conditionalFormatting sqref="R1160">
    <cfRule type="containsText" dxfId="0" priority="9652" operator="between" text="欠">
      <formula>NOT(ISERROR(SEARCH("欠",R1160)))</formula>
    </cfRule>
    <cfRule type="cellIs" dxfId="0" priority="9653" operator="equal">
      <formula>"欠"</formula>
    </cfRule>
  </conditionalFormatting>
  <conditionalFormatting sqref="S1160">
    <cfRule type="cellIs" dxfId="0" priority="9654" operator="equal">
      <formula>"欠"</formula>
    </cfRule>
  </conditionalFormatting>
  <conditionalFormatting sqref="V1160">
    <cfRule type="cellIs" dxfId="0" priority="9686" operator="equal">
      <formula>"欠"</formula>
    </cfRule>
  </conditionalFormatting>
  <conditionalFormatting sqref="AL1160:AM1160">
    <cfRule type="cellIs" dxfId="1" priority="9687" operator="equal">
      <formula>"未完成"</formula>
    </cfRule>
    <cfRule type="cellIs" dxfId="0" priority="9688" operator="equal">
      <formula>"未完成"</formula>
    </cfRule>
  </conditionalFormatting>
  <conditionalFormatting sqref="V1161">
    <cfRule type="cellIs" dxfId="0" priority="8686" operator="equal">
      <formula>"欠"</formula>
    </cfRule>
  </conditionalFormatting>
  <conditionalFormatting sqref="AL1161">
    <cfRule type="cellIs" dxfId="1" priority="7028" operator="equal">
      <formula>"未完成"</formula>
    </cfRule>
    <cfRule type="cellIs" dxfId="0" priority="7029" operator="equal">
      <formula>"未完成"</formula>
    </cfRule>
  </conditionalFormatting>
  <conditionalFormatting sqref="AM1161">
    <cfRule type="cellIs" dxfId="1" priority="8689" operator="equal">
      <formula>"未完成"</formula>
    </cfRule>
    <cfRule type="cellIs" dxfId="0" priority="8692" operator="equal">
      <formula>"未完成"</formula>
    </cfRule>
  </conditionalFormatting>
  <conditionalFormatting sqref="AN1161">
    <cfRule type="cellIs" dxfId="0" priority="8710" operator="equal">
      <formula>"欠"</formula>
    </cfRule>
  </conditionalFormatting>
  <conditionalFormatting sqref="R1163">
    <cfRule type="containsText" dxfId="0" priority="8191" operator="between" text="欠">
      <formula>NOT(ISERROR(SEARCH("欠",R1163)))</formula>
    </cfRule>
    <cfRule type="cellIs" dxfId="0" priority="8193" operator="equal">
      <formula>"欠"</formula>
    </cfRule>
  </conditionalFormatting>
  <conditionalFormatting sqref="S1163">
    <cfRule type="cellIs" dxfId="0" priority="8207" operator="equal">
      <formula>"欠"</formula>
    </cfRule>
  </conditionalFormatting>
  <conditionalFormatting sqref="V1163">
    <cfRule type="cellIs" dxfId="0" priority="8195" operator="equal">
      <formula>"欠"</formula>
    </cfRule>
  </conditionalFormatting>
  <conditionalFormatting sqref="AN1163">
    <cfRule type="cellIs" dxfId="0" priority="8203" operator="equal">
      <formula>"欠"</formula>
    </cfRule>
  </conditionalFormatting>
  <conditionalFormatting sqref="R1165">
    <cfRule type="containsText" dxfId="0" priority="7290" operator="between" text="欠">
      <formula>NOT(ISERROR(SEARCH("欠",R1165)))</formula>
    </cfRule>
    <cfRule type="cellIs" dxfId="0" priority="7291" operator="equal">
      <formula>"欠"</formula>
    </cfRule>
  </conditionalFormatting>
  <conditionalFormatting sqref="S1165">
    <cfRule type="cellIs" dxfId="0" priority="7284" operator="equal">
      <formula>"欠"</formula>
    </cfRule>
  </conditionalFormatting>
  <conditionalFormatting sqref="T1165:U1165">
    <cfRule type="cellIs" dxfId="0" priority="7285" operator="equal">
      <formula>"欠"</formula>
    </cfRule>
  </conditionalFormatting>
  <conditionalFormatting sqref="V1165">
    <cfRule type="cellIs" dxfId="0" priority="7286" operator="equal">
      <formula>"欠"</formula>
    </cfRule>
  </conditionalFormatting>
  <conditionalFormatting sqref="AL1165:AM1165">
    <cfRule type="cellIs" dxfId="1" priority="7287" operator="equal">
      <formula>"未完成"</formula>
    </cfRule>
    <cfRule type="cellIs" dxfId="0" priority="7288" operator="equal">
      <formula>"未完成"</formula>
    </cfRule>
  </conditionalFormatting>
  <conditionalFormatting sqref="AN1165">
    <cfRule type="cellIs" dxfId="0" priority="7289" operator="equal">
      <formula>"欠"</formula>
    </cfRule>
  </conditionalFormatting>
  <conditionalFormatting sqref="R1171">
    <cfRule type="containsText" dxfId="0" priority="8653" operator="between" text="欠">
      <formula>NOT(ISERROR(SEARCH("欠",R1171)))</formula>
    </cfRule>
    <cfRule type="cellIs" dxfId="0" priority="8659" operator="equal">
      <formula>"欠"</formula>
    </cfRule>
  </conditionalFormatting>
  <conditionalFormatting sqref="S1171">
    <cfRule type="cellIs" dxfId="0" priority="8660" operator="equal">
      <formula>"欠"</formula>
    </cfRule>
  </conditionalFormatting>
  <conditionalFormatting sqref="V1171">
    <cfRule type="cellIs" dxfId="0" priority="8657" operator="equal">
      <formula>"欠"</formula>
    </cfRule>
  </conditionalFormatting>
  <conditionalFormatting sqref="AL1171:AM1171">
    <cfRule type="cellIs" dxfId="1" priority="8654" operator="equal">
      <formula>"未完成"</formula>
    </cfRule>
    <cfRule type="cellIs" dxfId="0" priority="8655" operator="equal">
      <formula>"未完成"</formula>
    </cfRule>
  </conditionalFormatting>
  <conditionalFormatting sqref="AN1171">
    <cfRule type="cellIs" dxfId="0" priority="8663" operator="equal">
      <formula>"欠"</formula>
    </cfRule>
  </conditionalFormatting>
  <conditionalFormatting sqref="V1172">
    <cfRule type="cellIs" dxfId="0" priority="8146" operator="equal">
      <formula>"欠"</formula>
    </cfRule>
  </conditionalFormatting>
  <conditionalFormatting sqref="AL1172:AM1172">
    <cfRule type="cellIs" dxfId="1" priority="8148" operator="equal">
      <formula>"未完成"</formula>
    </cfRule>
    <cfRule type="cellIs" dxfId="0" priority="8150" operator="equal">
      <formula>"未完成"</formula>
    </cfRule>
  </conditionalFormatting>
  <conditionalFormatting sqref="AN1172">
    <cfRule type="cellIs" dxfId="0" priority="8154" operator="equal">
      <formula>"欠"</formula>
    </cfRule>
  </conditionalFormatting>
  <conditionalFormatting sqref="V1173">
    <cfRule type="cellIs" dxfId="0" priority="8145" operator="equal">
      <formula>"欠"</formula>
    </cfRule>
  </conditionalFormatting>
  <conditionalFormatting sqref="AL1173:AM1173">
    <cfRule type="cellIs" dxfId="1" priority="8147" operator="equal">
      <formula>"未完成"</formula>
    </cfRule>
    <cfRule type="cellIs" dxfId="0" priority="8149" operator="equal">
      <formula>"未完成"</formula>
    </cfRule>
  </conditionalFormatting>
  <conditionalFormatting sqref="AN1173">
    <cfRule type="cellIs" dxfId="0" priority="8153" operator="equal">
      <formula>"欠"</formula>
    </cfRule>
  </conditionalFormatting>
  <conditionalFormatting sqref="V1174">
    <cfRule type="cellIs" dxfId="0" priority="8636" operator="equal">
      <formula>"欠"</formula>
    </cfRule>
  </conditionalFormatting>
  <conditionalFormatting sqref="AL1174:AM1174">
    <cfRule type="cellIs" dxfId="1" priority="8638" operator="equal">
      <formula>"未完成"</formula>
    </cfRule>
    <cfRule type="cellIs" dxfId="0" priority="8640" operator="equal">
      <formula>"未完成"</formula>
    </cfRule>
  </conditionalFormatting>
  <conditionalFormatting sqref="R1176">
    <cfRule type="containsText" dxfId="0" priority="8116" operator="between" text="欠">
      <formula>NOT(ISERROR(SEARCH("欠",R1176)))</formula>
    </cfRule>
    <cfRule type="cellIs" dxfId="0" priority="8117" operator="equal">
      <formula>"欠"</formula>
    </cfRule>
  </conditionalFormatting>
  <conditionalFormatting sqref="S1176">
    <cfRule type="cellIs" dxfId="0" priority="8128" operator="equal">
      <formula>"欠"</formula>
    </cfRule>
  </conditionalFormatting>
  <conditionalFormatting sqref="T1176:U1176">
    <cfRule type="containsText" dxfId="0" priority="8121" operator="between" text="欠">
      <formula>NOT(ISERROR(SEARCH("欠",T1176)))</formula>
    </cfRule>
    <cfRule type="cellIs" dxfId="0" priority="8127" operator="equal">
      <formula>"欠"</formula>
    </cfRule>
  </conditionalFormatting>
  <conditionalFormatting sqref="R1179">
    <cfRule type="containsText" dxfId="0" priority="8027" operator="between" text="欠">
      <formula>NOT(ISERROR(SEARCH("欠",R1179)))</formula>
    </cfRule>
    <cfRule type="cellIs" dxfId="0" priority="8028" operator="equal">
      <formula>"欠"</formula>
    </cfRule>
  </conditionalFormatting>
  <conditionalFormatting sqref="S1179">
    <cfRule type="cellIs" dxfId="0" priority="8029" operator="equal">
      <formula>"欠"</formula>
    </cfRule>
  </conditionalFormatting>
  <conditionalFormatting sqref="T1179:U1179">
    <cfRule type="containsText" dxfId="0" priority="8033" operator="between" text="欠">
      <formula>NOT(ISERROR(SEARCH("欠",T1179)))</formula>
    </cfRule>
    <cfRule type="cellIs" dxfId="0" priority="8038" operator="equal">
      <formula>"欠"</formula>
    </cfRule>
  </conditionalFormatting>
  <conditionalFormatting sqref="AJ1179">
    <cfRule type="cellIs" dxfId="0" priority="7293" operator="equal">
      <formula>"未完成"</formula>
    </cfRule>
  </conditionalFormatting>
  <conditionalFormatting sqref="S1180">
    <cfRule type="cellIs" dxfId="0" priority="10946" operator="equal">
      <formula>"欠"</formula>
    </cfRule>
  </conditionalFormatting>
  <conditionalFormatting sqref="R1181">
    <cfRule type="containsText" dxfId="0" priority="8051" operator="between" text="欠">
      <formula>NOT(ISERROR(SEARCH("欠",R1181)))</formula>
    </cfRule>
    <cfRule type="cellIs" dxfId="0" priority="8052" operator="equal">
      <formula>"欠"</formula>
    </cfRule>
  </conditionalFormatting>
  <conditionalFormatting sqref="S1181">
    <cfRule type="cellIs" dxfId="0" priority="8053" operator="equal">
      <formula>"欠"</formula>
    </cfRule>
  </conditionalFormatting>
  <conditionalFormatting sqref="T1181:U1181">
    <cfRule type="containsText" dxfId="0" priority="8057" operator="between" text="欠">
      <formula>NOT(ISERROR(SEARCH("欠",T1181)))</formula>
    </cfRule>
    <cfRule type="cellIs" dxfId="0" priority="8058" operator="equal">
      <formula>"欠"</formula>
    </cfRule>
  </conditionalFormatting>
  <conditionalFormatting sqref="T1182:U1182">
    <cfRule type="containsText" dxfId="0" priority="8641" operator="between" text="欠">
      <formula>NOT(ISERROR(SEARCH("欠",T1182)))</formula>
    </cfRule>
    <cfRule type="cellIs" dxfId="0" priority="8651" operator="equal">
      <formula>"欠"</formula>
    </cfRule>
  </conditionalFormatting>
  <conditionalFormatting sqref="R1183">
    <cfRule type="containsText" dxfId="0" priority="8176" operator="between" text="欠">
      <formula>NOT(ISERROR(SEARCH("欠",R1183)))</formula>
    </cfRule>
    <cfRule type="cellIs" dxfId="0" priority="8177" operator="equal">
      <formula>"欠"</formula>
    </cfRule>
  </conditionalFormatting>
  <conditionalFormatting sqref="R1185">
    <cfRule type="containsText" dxfId="0" priority="8173" operator="between" text="欠">
      <formula>NOT(ISERROR(SEARCH("欠",R1185)))</formula>
    </cfRule>
    <cfRule type="cellIs" dxfId="0" priority="8174" operator="equal">
      <formula>"欠"</formula>
    </cfRule>
  </conditionalFormatting>
  <conditionalFormatting sqref="V1185">
    <cfRule type="cellIs" dxfId="0" priority="8194" operator="equal">
      <formula>"欠"</formula>
    </cfRule>
  </conditionalFormatting>
  <conditionalFormatting sqref="AM1185">
    <cfRule type="cellIs" dxfId="1" priority="8196" operator="equal">
      <formula>"未完成"</formula>
    </cfRule>
    <cfRule type="cellIs" dxfId="0" priority="8198" operator="equal">
      <formula>"未完成"</formula>
    </cfRule>
  </conditionalFormatting>
  <conditionalFormatting sqref="AN1185">
    <cfRule type="cellIs" dxfId="0" priority="8202" operator="equal">
      <formula>"欠"</formula>
    </cfRule>
  </conditionalFormatting>
  <conditionalFormatting sqref="R1188">
    <cfRule type="containsText" dxfId="0" priority="5578" operator="between" text="欠">
      <formula>NOT(ISERROR(SEARCH("欠",R1188)))</formula>
    </cfRule>
    <cfRule type="cellIs" dxfId="0" priority="5579" operator="equal">
      <formula>"欠"</formula>
    </cfRule>
  </conditionalFormatting>
  <conditionalFormatting sqref="V1188">
    <cfRule type="cellIs" dxfId="0" priority="8109" operator="equal">
      <formula>"欠"</formula>
    </cfRule>
  </conditionalFormatting>
  <conditionalFormatting sqref="AL1188:AM1188">
    <cfRule type="cellIs" dxfId="1" priority="8110" operator="equal">
      <formula>"未完成"</formula>
    </cfRule>
    <cfRule type="cellIs" dxfId="0" priority="8111" operator="equal">
      <formula>"未完成"</formula>
    </cfRule>
  </conditionalFormatting>
  <conditionalFormatting sqref="AN1188">
    <cfRule type="cellIs" dxfId="0" priority="8105" operator="equal">
      <formula>"欠"</formula>
    </cfRule>
  </conditionalFormatting>
  <conditionalFormatting sqref="R1194">
    <cfRule type="containsText" dxfId="0" priority="5879" operator="between" text="欠">
      <formula>NOT(ISERROR(SEARCH("欠",R1194)))</formula>
    </cfRule>
    <cfRule type="cellIs" dxfId="0" priority="5881" operator="equal">
      <formula>"欠"</formula>
    </cfRule>
  </conditionalFormatting>
  <conditionalFormatting sqref="S1194">
    <cfRule type="cellIs" dxfId="0" priority="5883" operator="equal">
      <formula>"欠"</formula>
    </cfRule>
  </conditionalFormatting>
  <conditionalFormatting sqref="T1194:U1194">
    <cfRule type="containsText" dxfId="0" priority="5875" operator="between" text="欠">
      <formula>NOT(ISERROR(SEARCH("欠",T1194)))</formula>
    </cfRule>
    <cfRule type="cellIs" dxfId="0" priority="5877" operator="equal">
      <formula>"欠"</formula>
    </cfRule>
  </conditionalFormatting>
  <conditionalFormatting sqref="V1194">
    <cfRule type="cellIs" dxfId="0" priority="8069" operator="equal">
      <formula>"欠"</formula>
    </cfRule>
  </conditionalFormatting>
  <conditionalFormatting sqref="AM1194">
    <cfRule type="cellIs" dxfId="1" priority="8071" operator="equal">
      <formula>"未完成"</formula>
    </cfRule>
    <cfRule type="cellIs" dxfId="0" priority="8073" operator="equal">
      <formula>"未完成"</formula>
    </cfRule>
  </conditionalFormatting>
  <conditionalFormatting sqref="R1196">
    <cfRule type="containsText" dxfId="0" priority="5860" operator="between" text="欠">
      <formula>NOT(ISERROR(SEARCH("欠",R1196)))</formula>
    </cfRule>
    <cfRule type="cellIs" dxfId="0" priority="5861" operator="equal">
      <formula>"欠"</formula>
    </cfRule>
  </conditionalFormatting>
  <conditionalFormatting sqref="S1196">
    <cfRule type="cellIs" dxfId="0" priority="5862" operator="equal">
      <formula>"欠"</formula>
    </cfRule>
  </conditionalFormatting>
  <conditionalFormatting sqref="T1196:U1196">
    <cfRule type="containsText" dxfId="0" priority="5858" operator="between" text="欠">
      <formula>NOT(ISERROR(SEARCH("欠",T1196)))</formula>
    </cfRule>
    <cfRule type="cellIs" dxfId="0" priority="5859" operator="equal">
      <formula>"欠"</formula>
    </cfRule>
  </conditionalFormatting>
  <conditionalFormatting sqref="V1196">
    <cfRule type="cellIs" dxfId="0" priority="8018" operator="equal">
      <formula>"欠"</formula>
    </cfRule>
  </conditionalFormatting>
  <conditionalFormatting sqref="AL1196:AM1196">
    <cfRule type="cellIs" dxfId="1" priority="8019" operator="equal">
      <formula>"未完成"</formula>
    </cfRule>
    <cfRule type="cellIs" dxfId="0" priority="8020" operator="equal">
      <formula>"未完成"</formula>
    </cfRule>
  </conditionalFormatting>
  <conditionalFormatting sqref="R1197">
    <cfRule type="containsText" dxfId="0" priority="7360" operator="between" text="欠">
      <formula>NOT(ISERROR(SEARCH("欠",R1197)))</formula>
    </cfRule>
    <cfRule type="cellIs" dxfId="0" priority="7421" operator="equal">
      <formula>"欠"</formula>
    </cfRule>
  </conditionalFormatting>
  <conditionalFormatting sqref="T1197:U1197">
    <cfRule type="cellIs" dxfId="0" priority="7726" operator="equal">
      <formula>"欠"</formula>
    </cfRule>
  </conditionalFormatting>
  <conditionalFormatting sqref="V1197">
    <cfRule type="cellIs" dxfId="0" priority="7482" operator="equal">
      <formula>"欠"</formula>
    </cfRule>
  </conditionalFormatting>
  <conditionalFormatting sqref="AJ1197">
    <cfRule type="cellIs" dxfId="0" priority="7787" operator="equal">
      <formula>"未完成"</formula>
    </cfRule>
  </conditionalFormatting>
  <conditionalFormatting sqref="AL1197:AM1197">
    <cfRule type="cellIs" dxfId="1" priority="7543" operator="equal">
      <formula>"未完成"</formula>
    </cfRule>
    <cfRule type="cellIs" dxfId="0" priority="7604" operator="equal">
      <formula>"未完成"</formula>
    </cfRule>
  </conditionalFormatting>
  <conditionalFormatting sqref="AN1197">
    <cfRule type="cellIs" dxfId="0" priority="7848" operator="equal">
      <formula>"欠"</formula>
    </cfRule>
  </conditionalFormatting>
  <conditionalFormatting sqref="V1200">
    <cfRule type="cellIs" dxfId="0" priority="7956" operator="equal">
      <formula>"欠"</formula>
    </cfRule>
  </conditionalFormatting>
  <conditionalFormatting sqref="AL1200:AM1200">
    <cfRule type="cellIs" dxfId="1" priority="7957" operator="equal">
      <formula>"未完成"</formula>
    </cfRule>
    <cfRule type="cellIs" dxfId="0" priority="7958" operator="equal">
      <formula>"未完成"</formula>
    </cfRule>
  </conditionalFormatting>
  <conditionalFormatting sqref="R1203">
    <cfRule type="containsText" dxfId="0" priority="5576" operator="between" text="欠">
      <formula>NOT(ISERROR(SEARCH("欠",R1203)))</formula>
    </cfRule>
    <cfRule type="cellIs" dxfId="0" priority="5577" operator="equal">
      <formula>"欠"</formula>
    </cfRule>
  </conditionalFormatting>
  <conditionalFormatting sqref="T1203:U1203">
    <cfRule type="containsText" dxfId="0" priority="5886" operator="between" text="欠">
      <formula>NOT(ISERROR(SEARCH("欠",T1203)))</formula>
    </cfRule>
    <cfRule type="cellIs" dxfId="0" priority="5887" operator="equal">
      <formula>"欠"</formula>
    </cfRule>
  </conditionalFormatting>
  <conditionalFormatting sqref="V1203">
    <cfRule type="cellIs" dxfId="0" priority="8086" operator="equal">
      <formula>"欠"</formula>
    </cfRule>
  </conditionalFormatting>
  <conditionalFormatting sqref="AL1203:AM1203">
    <cfRule type="cellIs" dxfId="1" priority="8087" operator="equal">
      <formula>"未完成"</formula>
    </cfRule>
    <cfRule type="cellIs" dxfId="0" priority="8088" operator="equal">
      <formula>"未完成"</formula>
    </cfRule>
  </conditionalFormatting>
  <conditionalFormatting sqref="AN1203">
    <cfRule type="cellIs" dxfId="0" priority="8090" operator="equal">
      <formula>"欠"</formula>
    </cfRule>
  </conditionalFormatting>
  <conditionalFormatting sqref="V1209">
    <cfRule type="cellIs" dxfId="0" priority="9559" operator="equal">
      <formula>"欠"</formula>
    </cfRule>
  </conditionalFormatting>
  <conditionalFormatting sqref="AL1209:AM1209">
    <cfRule type="cellIs" dxfId="1" priority="9561" operator="equal">
      <formula>"未完成"</formula>
    </cfRule>
    <cfRule type="cellIs" dxfId="0" priority="9563" operator="equal">
      <formula>"未完成"</formula>
    </cfRule>
  </conditionalFormatting>
  <conditionalFormatting sqref="V1210">
    <cfRule type="cellIs" dxfId="0" priority="9558" operator="equal">
      <formula>"欠"</formula>
    </cfRule>
  </conditionalFormatting>
  <conditionalFormatting sqref="AL1210:AM1210">
    <cfRule type="cellIs" dxfId="1" priority="9560" operator="equal">
      <formula>"未完成"</formula>
    </cfRule>
    <cfRule type="cellIs" dxfId="0" priority="9562" operator="equal">
      <formula>"未完成"</formula>
    </cfRule>
  </conditionalFormatting>
  <conditionalFormatting sqref="S1211">
    <cfRule type="cellIs" dxfId="0" priority="5866" operator="equal">
      <formula>"欠"</formula>
    </cfRule>
  </conditionalFormatting>
  <conditionalFormatting sqref="T1211:U1211">
    <cfRule type="containsText" dxfId="0" priority="5552" operator="between" text="欠">
      <formula>NOT(ISERROR(SEARCH("欠",T1211)))</formula>
    </cfRule>
    <cfRule type="cellIs" dxfId="0" priority="5553" operator="equal">
      <formula>"欠"</formula>
    </cfRule>
  </conditionalFormatting>
  <conditionalFormatting sqref="R1213">
    <cfRule type="containsText" dxfId="0" priority="5562" operator="between" text="欠">
      <formula>NOT(ISERROR(SEARCH("欠",R1213)))</formula>
    </cfRule>
    <cfRule type="cellIs" dxfId="0" priority="5563" operator="equal">
      <formula>"欠"</formula>
    </cfRule>
  </conditionalFormatting>
  <conditionalFormatting sqref="S1213">
    <cfRule type="cellIs" dxfId="0" priority="5564" operator="equal">
      <formula>"欠"</formula>
    </cfRule>
  </conditionalFormatting>
  <conditionalFormatting sqref="R1214">
    <cfRule type="containsText" dxfId="0" priority="5665" operator="between" text="欠">
      <formula>NOT(ISERROR(SEARCH("欠",R1214)))</formula>
    </cfRule>
    <cfRule type="cellIs" dxfId="0" priority="5666" operator="equal">
      <formula>"欠"</formula>
    </cfRule>
  </conditionalFormatting>
  <conditionalFormatting sqref="S1214">
    <cfRule type="cellIs" dxfId="0" priority="5669" operator="equal">
      <formula>"欠"</formula>
    </cfRule>
  </conditionalFormatting>
  <conditionalFormatting sqref="T1214:U1214">
    <cfRule type="containsText" dxfId="0" priority="5667" operator="between" text="欠">
      <formula>NOT(ISERROR(SEARCH("欠",T1214)))</formula>
    </cfRule>
    <cfRule type="cellIs" dxfId="0" priority="5668" operator="equal">
      <formula>"欠"</formula>
    </cfRule>
  </conditionalFormatting>
  <conditionalFormatting sqref="V1214">
    <cfRule type="cellIs" dxfId="0" priority="6126" operator="equal">
      <formula>"欠"</formula>
    </cfRule>
  </conditionalFormatting>
  <conditionalFormatting sqref="AL1214:AM1214">
    <cfRule type="cellIs" dxfId="1" priority="6127" operator="equal">
      <formula>"未完成"</formula>
    </cfRule>
    <cfRule type="cellIs" dxfId="0" priority="6128" operator="equal">
      <formula>"未完成"</formula>
    </cfRule>
  </conditionalFormatting>
  <conditionalFormatting sqref="R1215">
    <cfRule type="containsText" dxfId="0" priority="5572" operator="between" text="欠">
      <formula>NOT(ISERROR(SEARCH("欠",R1215)))</formula>
    </cfRule>
    <cfRule type="cellIs" dxfId="0" priority="5573" operator="equal">
      <formula>"欠"</formula>
    </cfRule>
  </conditionalFormatting>
  <conditionalFormatting sqref="AJ1215">
    <cfRule type="cellIs" dxfId="0" priority="7296" operator="equal">
      <formula>"未完成"</formula>
    </cfRule>
  </conditionalFormatting>
  <conditionalFormatting sqref="R1216">
    <cfRule type="containsText" dxfId="0" priority="5574" operator="between" text="欠">
      <formula>NOT(ISERROR(SEARCH("欠",R1216)))</formula>
    </cfRule>
    <cfRule type="cellIs" dxfId="0" priority="5575" operator="equal">
      <formula>"欠"</formula>
    </cfRule>
  </conditionalFormatting>
  <conditionalFormatting sqref="AJ1216">
    <cfRule type="cellIs" dxfId="0" priority="7295" operator="equal">
      <formula>"未完成"</formula>
    </cfRule>
  </conditionalFormatting>
  <conditionalFormatting sqref="AJ1218">
    <cfRule type="cellIs" dxfId="0" priority="7294" operator="equal">
      <formula>"未完成"</formula>
    </cfRule>
  </conditionalFormatting>
  <conditionalFormatting sqref="R1223">
    <cfRule type="containsText" dxfId="0" priority="5567" operator="between" text="欠">
      <formula>NOT(ISERROR(SEARCH("欠",R1223)))</formula>
    </cfRule>
    <cfRule type="cellIs" dxfId="0" priority="5568" operator="equal">
      <formula>"欠"</formula>
    </cfRule>
  </conditionalFormatting>
  <conditionalFormatting sqref="T1223:U1223">
    <cfRule type="containsText" dxfId="0" priority="5565" operator="between" text="欠">
      <formula>NOT(ISERROR(SEARCH("欠",T1223)))</formula>
    </cfRule>
    <cfRule type="cellIs" dxfId="0" priority="5566" operator="equal">
      <formula>"欠"</formula>
    </cfRule>
  </conditionalFormatting>
  <conditionalFormatting sqref="S1233">
    <cfRule type="cellIs" dxfId="0" priority="5945" operator="equal">
      <formula>"欠"</formula>
    </cfRule>
  </conditionalFormatting>
  <conditionalFormatting sqref="T1233:U1233">
    <cfRule type="containsText" dxfId="0" priority="5943" operator="between" text="欠">
      <formula>NOT(ISERROR(SEARCH("欠",T1233)))</formula>
    </cfRule>
    <cfRule type="cellIs" dxfId="0" priority="5944" operator="equal">
      <formula>"欠"</formula>
    </cfRule>
  </conditionalFormatting>
  <conditionalFormatting sqref="AJ1233">
    <cfRule type="cellIs" dxfId="0" priority="7091" operator="equal">
      <formula>"未完成"</formula>
    </cfRule>
  </conditionalFormatting>
  <conditionalFormatting sqref="R1234:S1234">
    <cfRule type="cellIs" dxfId="0" priority="5928" operator="equal">
      <formula>"欠"</formula>
    </cfRule>
  </conditionalFormatting>
  <conditionalFormatting sqref="R1234">
    <cfRule type="containsText" dxfId="0" priority="5927" operator="between" text="欠">
      <formula>NOT(ISERROR(SEARCH("欠",R1234)))</formula>
    </cfRule>
  </conditionalFormatting>
  <conditionalFormatting sqref="T1234:U1234">
    <cfRule type="containsText" dxfId="0" priority="5925" operator="between" text="欠">
      <formula>NOT(ISERROR(SEARCH("欠",T1234)))</formula>
    </cfRule>
    <cfRule type="cellIs" dxfId="0" priority="5926" operator="equal">
      <formula>"欠"</formula>
    </cfRule>
  </conditionalFormatting>
  <conditionalFormatting sqref="AG1242">
    <cfRule type="cellIs" dxfId="0" priority="7255" operator="equal">
      <formula>"未完成"</formula>
    </cfRule>
  </conditionalFormatting>
  <conditionalFormatting sqref="AL1242:AM1242">
    <cfRule type="cellIs" dxfId="1" priority="7256" operator="equal">
      <formula>"未完成"</formula>
    </cfRule>
    <cfRule type="cellIs" dxfId="0" priority="7257" operator="equal">
      <formula>"未完成"</formula>
    </cfRule>
  </conditionalFormatting>
  <conditionalFormatting sqref="AN1242">
    <cfRule type="cellIs" dxfId="0" priority="7259" operator="equal">
      <formula>"欠"</formula>
    </cfRule>
  </conditionalFormatting>
  <conditionalFormatting sqref="R1244">
    <cfRule type="containsText" dxfId="0" priority="5806" operator="between" text="欠">
      <formula>NOT(ISERROR(SEARCH("欠",R1244)))</formula>
    </cfRule>
    <cfRule type="cellIs" dxfId="0" priority="5807" operator="equal">
      <formula>"欠"</formula>
    </cfRule>
  </conditionalFormatting>
  <conditionalFormatting sqref="T1244:U1244">
    <cfRule type="containsText" dxfId="0" priority="5808" operator="between" text="欠">
      <formula>NOT(ISERROR(SEARCH("欠",T1244)))</formula>
    </cfRule>
    <cfRule type="cellIs" dxfId="0" priority="5809" operator="equal">
      <formula>"欠"</formula>
    </cfRule>
  </conditionalFormatting>
  <conditionalFormatting sqref="V1244">
    <cfRule type="cellIs" dxfId="0" priority="7244" operator="equal">
      <formula>"欠"</formula>
    </cfRule>
  </conditionalFormatting>
  <conditionalFormatting sqref="AL1244:AM1244">
    <cfRule type="cellIs" dxfId="1" priority="7245" operator="equal">
      <formula>"未完成"</formula>
    </cfRule>
    <cfRule type="cellIs" dxfId="0" priority="7246" operator="equal">
      <formula>"未完成"</formula>
    </cfRule>
  </conditionalFormatting>
  <conditionalFormatting sqref="AN1244">
    <cfRule type="cellIs" dxfId="0" priority="7248" operator="equal">
      <formula>"欠"</formula>
    </cfRule>
  </conditionalFormatting>
  <conditionalFormatting sqref="R1245">
    <cfRule type="containsText" dxfId="0" priority="5800" operator="between" text="欠">
      <formula>NOT(ISERROR(SEARCH("欠",R1245)))</formula>
    </cfRule>
    <cfRule type="cellIs" dxfId="0" priority="5801" operator="equal">
      <formula>"欠"</formula>
    </cfRule>
  </conditionalFormatting>
  <conditionalFormatting sqref="S1245">
    <cfRule type="cellIs" dxfId="0" priority="5802" operator="equal">
      <formula>"欠"</formula>
    </cfRule>
  </conditionalFormatting>
  <conditionalFormatting sqref="AJ1246">
    <cfRule type="cellIs" dxfId="0" priority="7072" operator="equal">
      <formula>"未完成"</formula>
    </cfRule>
  </conditionalFormatting>
  <conditionalFormatting sqref="R1252">
    <cfRule type="containsText" dxfId="0" priority="5559" operator="between" text="欠">
      <formula>NOT(ISERROR(SEARCH("欠",R1252)))</formula>
    </cfRule>
    <cfRule type="cellIs" dxfId="0" priority="5560" operator="equal">
      <formula>"欠"</formula>
    </cfRule>
  </conditionalFormatting>
  <conditionalFormatting sqref="R1254">
    <cfRule type="containsText" dxfId="0" priority="5789" operator="between" text="欠">
      <formula>NOT(ISERROR(SEARCH("欠",R1254)))</formula>
    </cfRule>
    <cfRule type="cellIs" dxfId="0" priority="5790" operator="equal">
      <formula>"欠"</formula>
    </cfRule>
  </conditionalFormatting>
  <conditionalFormatting sqref="S1254">
    <cfRule type="cellIs" dxfId="0" priority="5822" operator="equal">
      <formula>"欠"</formula>
    </cfRule>
  </conditionalFormatting>
  <conditionalFormatting sqref="T1254:U1254">
    <cfRule type="containsText" dxfId="0" priority="5818" operator="between" text="欠">
      <formula>NOT(ISERROR(SEARCH("欠",T1254)))</formula>
    </cfRule>
    <cfRule type="cellIs" dxfId="0" priority="5825" operator="equal">
      <formula>"欠"</formula>
    </cfRule>
  </conditionalFormatting>
  <conditionalFormatting sqref="V1254">
    <cfRule type="cellIs" dxfId="0" priority="7108" operator="equal">
      <formula>"欠"</formula>
    </cfRule>
  </conditionalFormatting>
  <conditionalFormatting sqref="AL1254:AM1254">
    <cfRule type="cellIs" dxfId="1" priority="7109" operator="equal">
      <formula>"未完成"</formula>
    </cfRule>
    <cfRule type="cellIs" dxfId="0" priority="7110" operator="equal">
      <formula>"未完成"</formula>
    </cfRule>
  </conditionalFormatting>
  <conditionalFormatting sqref="AN1254">
    <cfRule type="cellIs" dxfId="0" priority="7112" operator="equal">
      <formula>"欠"</formula>
    </cfRule>
  </conditionalFormatting>
  <conditionalFormatting sqref="V1255">
    <cfRule type="cellIs" dxfId="0" priority="7267" operator="equal">
      <formula>"欠"</formula>
    </cfRule>
  </conditionalFormatting>
  <conditionalFormatting sqref="AL1255:AM1255">
    <cfRule type="cellIs" dxfId="1" priority="7268" operator="equal">
      <formula>"未完成"</formula>
    </cfRule>
    <cfRule type="cellIs" dxfId="0" priority="7269" operator="equal">
      <formula>"未完成"</formula>
    </cfRule>
  </conditionalFormatting>
  <conditionalFormatting sqref="R1270">
    <cfRule type="containsText" dxfId="0" priority="5632" operator="between" text="欠">
      <formula>NOT(ISERROR(SEARCH("欠",R1270)))</formula>
    </cfRule>
    <cfRule type="cellIs" dxfId="0" priority="5637" operator="equal">
      <formula>"欠"</formula>
    </cfRule>
  </conditionalFormatting>
  <conditionalFormatting sqref="S1270">
    <cfRule type="cellIs" dxfId="0" priority="5906" operator="equal">
      <formula>"欠"</formula>
    </cfRule>
  </conditionalFormatting>
  <conditionalFormatting sqref="T1270:U1270">
    <cfRule type="containsText" dxfId="0" priority="5635" operator="between" text="欠">
      <formula>NOT(ISERROR(SEARCH("欠",T1270)))</formula>
    </cfRule>
    <cfRule type="cellIs" dxfId="0" priority="5636" operator="equal">
      <formula>"欠"</formula>
    </cfRule>
  </conditionalFormatting>
  <conditionalFormatting sqref="V1270">
    <cfRule type="cellIs" dxfId="0" priority="6045" operator="equal">
      <formula>"欠"</formula>
    </cfRule>
  </conditionalFormatting>
  <conditionalFormatting sqref="AG1270:AH1270">
    <cfRule type="cellIs" dxfId="0" priority="6048" operator="equal">
      <formula>"未完成"</formula>
    </cfRule>
  </conditionalFormatting>
  <conditionalFormatting sqref="AL1270:AM1270">
    <cfRule type="cellIs" dxfId="1" priority="6043" operator="equal">
      <formula>"未完成"</formula>
    </cfRule>
    <cfRule type="cellIs" dxfId="0" priority="6044" operator="equal">
      <formula>"未完成"</formula>
    </cfRule>
  </conditionalFormatting>
  <conditionalFormatting sqref="R1272">
    <cfRule type="containsText" dxfId="0" priority="5588" operator="between" text="欠">
      <formula>NOT(ISERROR(SEARCH("欠",R1272)))</formula>
    </cfRule>
    <cfRule type="cellIs" dxfId="0" priority="5589" operator="equal">
      <formula>"欠"</formula>
    </cfRule>
  </conditionalFormatting>
  <conditionalFormatting sqref="S1272">
    <cfRule type="cellIs" dxfId="0" priority="5593" operator="equal">
      <formula>"欠"</formula>
    </cfRule>
  </conditionalFormatting>
  <conditionalFormatting sqref="T1272:U1272">
    <cfRule type="containsText" dxfId="0" priority="5591" operator="between" text="欠">
      <formula>NOT(ISERROR(SEARCH("欠",T1272)))</formula>
    </cfRule>
    <cfRule type="cellIs" dxfId="0" priority="5592" operator="equal">
      <formula>"欠"</formula>
    </cfRule>
  </conditionalFormatting>
  <conditionalFormatting sqref="AN1272">
    <cfRule type="cellIs" dxfId="0" priority="5998" operator="equal">
      <formula>"欠"</formula>
    </cfRule>
  </conditionalFormatting>
  <conditionalFormatting sqref="R1277">
    <cfRule type="containsText" dxfId="0" priority="5853" operator="between" text="欠">
      <formula>NOT(ISERROR(SEARCH("欠",R1277)))</formula>
    </cfRule>
    <cfRule type="cellIs" dxfId="0" priority="5854" operator="equal">
      <formula>"欠"</formula>
    </cfRule>
  </conditionalFormatting>
  <conditionalFormatting sqref="S1277">
    <cfRule type="cellIs" dxfId="0" priority="5857" operator="equal">
      <formula>"欠"</formula>
    </cfRule>
  </conditionalFormatting>
  <conditionalFormatting sqref="T1277:U1277">
    <cfRule type="containsText" dxfId="0" priority="5855" operator="between" text="欠">
      <formula>NOT(ISERROR(SEARCH("欠",T1277)))</formula>
    </cfRule>
    <cfRule type="cellIs" dxfId="0" priority="5856" operator="equal">
      <formula>"欠"</formula>
    </cfRule>
  </conditionalFormatting>
  <conditionalFormatting sqref="V1277">
    <cfRule type="cellIs" dxfId="0" priority="8003" operator="equal">
      <formula>"欠"</formula>
    </cfRule>
  </conditionalFormatting>
  <conditionalFormatting sqref="AL1277:AM1277">
    <cfRule type="cellIs" dxfId="1" priority="8004" operator="equal">
      <formula>"未完成"</formula>
    </cfRule>
    <cfRule type="cellIs" dxfId="0" priority="8005" operator="equal">
      <formula>"未完成"</formula>
    </cfRule>
  </conditionalFormatting>
  <conditionalFormatting sqref="AN1277">
    <cfRule type="cellIs" dxfId="0" priority="8011" operator="equal">
      <formula>"欠"</formula>
    </cfRule>
  </conditionalFormatting>
  <conditionalFormatting sqref="T1279:U1279">
    <cfRule type="containsText" dxfId="0" priority="5951" operator="between" text="欠">
      <formula>NOT(ISERROR(SEARCH("欠",T1279)))</formula>
    </cfRule>
    <cfRule type="cellIs" dxfId="0" priority="5952" operator="equal">
      <formula>"欠"</formula>
    </cfRule>
  </conditionalFormatting>
  <conditionalFormatting sqref="S1280">
    <cfRule type="cellIs" dxfId="0" priority="5965" operator="equal">
      <formula>"欠"</formula>
    </cfRule>
  </conditionalFormatting>
  <conditionalFormatting sqref="Q1281">
    <cfRule type="cellIs" dxfId="0" priority="4597" operator="equal">
      <formula>"欠"</formula>
    </cfRule>
  </conditionalFormatting>
  <conditionalFormatting sqref="R1281">
    <cfRule type="containsText" dxfId="0" priority="4590" operator="between" text="欠">
      <formula>NOT(ISERROR(SEARCH("欠",R1281)))</formula>
    </cfRule>
    <cfRule type="cellIs" dxfId="0" priority="4591" operator="equal">
      <formula>"欠"</formula>
    </cfRule>
  </conditionalFormatting>
  <conditionalFormatting sqref="S1281">
    <cfRule type="cellIs" dxfId="0" priority="4599" operator="equal">
      <formula>"欠"</formula>
    </cfRule>
  </conditionalFormatting>
  <conditionalFormatting sqref="T1281:U1281">
    <cfRule type="containsText" dxfId="0" priority="4598" operator="between" text="欠">
      <formula>NOT(ISERROR(SEARCH("欠",T1281)))</formula>
    </cfRule>
    <cfRule type="cellIs" dxfId="0" priority="4600" operator="equal">
      <formula>"欠"</formula>
    </cfRule>
  </conditionalFormatting>
  <conditionalFormatting sqref="V1281">
    <cfRule type="cellIs" dxfId="0" priority="4593" operator="equal">
      <formula>"欠"</formula>
    </cfRule>
  </conditionalFormatting>
  <conditionalFormatting sqref="AJ1281">
    <cfRule type="cellIs" dxfId="0" priority="4601" operator="equal">
      <formula>"未完成"</formula>
    </cfRule>
  </conditionalFormatting>
  <conditionalFormatting sqref="AL1281">
    <cfRule type="cellIs" dxfId="1" priority="4595" operator="equal">
      <formula>"未完成"</formula>
    </cfRule>
    <cfRule type="cellIs" dxfId="0" priority="4596" operator="equal">
      <formula>"未完成"</formula>
    </cfRule>
  </conditionalFormatting>
  <conditionalFormatting sqref="AM1281">
    <cfRule type="cellIs" dxfId="0" priority="4594" operator="equal">
      <formula>"欠"</formula>
    </cfRule>
  </conditionalFormatting>
  <conditionalFormatting sqref="R1282">
    <cfRule type="containsText" dxfId="0" priority="5767" operator="between" text="欠">
      <formula>NOT(ISERROR(SEARCH("欠",R1282)))</formula>
    </cfRule>
    <cfRule type="cellIs" dxfId="0" priority="5768" operator="equal">
      <formula>"欠"</formula>
    </cfRule>
  </conditionalFormatting>
  <conditionalFormatting sqref="V1282">
    <cfRule type="cellIs" dxfId="0" priority="6943" operator="equal">
      <formula>"欠"</formula>
    </cfRule>
  </conditionalFormatting>
  <conditionalFormatting sqref="AG1282:AH1282">
    <cfRule type="cellIs" dxfId="0" priority="6946" operator="equal">
      <formula>"未完成"</formula>
    </cfRule>
  </conditionalFormatting>
  <conditionalFormatting sqref="AL1282:AM1282">
    <cfRule type="cellIs" dxfId="1" priority="6941" operator="equal">
      <formula>"未完成"</formula>
    </cfRule>
    <cfRule type="cellIs" dxfId="0" priority="6942" operator="equal">
      <formula>"未完成"</formula>
    </cfRule>
  </conditionalFormatting>
  <conditionalFormatting sqref="R1283">
    <cfRule type="containsText" dxfId="0" priority="5039" operator="between" text="欠">
      <formula>NOT(ISERROR(SEARCH("欠",R1283)))</formula>
    </cfRule>
    <cfRule type="cellIs" dxfId="0" priority="5040" operator="equal">
      <formula>"欠"</formula>
    </cfRule>
  </conditionalFormatting>
  <conditionalFormatting sqref="S1283">
    <cfRule type="cellIs" dxfId="0" priority="5041" operator="equal">
      <formula>"欠"</formula>
    </cfRule>
  </conditionalFormatting>
  <conditionalFormatting sqref="T1283:U1283">
    <cfRule type="containsText" dxfId="0" priority="5042" operator="between" text="欠">
      <formula>NOT(ISERROR(SEARCH("欠",T1283)))</formula>
    </cfRule>
    <cfRule type="cellIs" dxfId="0" priority="5044" operator="equal">
      <formula>"欠"</formula>
    </cfRule>
  </conditionalFormatting>
  <conditionalFormatting sqref="V1283">
    <cfRule type="cellIs" dxfId="0" priority="5047" operator="equal">
      <formula>"欠"</formula>
    </cfRule>
  </conditionalFormatting>
  <conditionalFormatting sqref="AG1283:AH1283">
    <cfRule type="cellIs" dxfId="0" priority="5048" operator="equal">
      <formula>"未完成"</formula>
    </cfRule>
  </conditionalFormatting>
  <conditionalFormatting sqref="AJ1283">
    <cfRule type="cellIs" dxfId="0" priority="5049" operator="equal">
      <formula>"未完成"</formula>
    </cfRule>
  </conditionalFormatting>
  <conditionalFormatting sqref="AL1283:AM1283">
    <cfRule type="cellIs" dxfId="1" priority="5045" operator="equal">
      <formula>"未完成"</formula>
    </cfRule>
    <cfRule type="cellIs" dxfId="0" priority="5046" operator="equal">
      <formula>"未完成"</formula>
    </cfRule>
  </conditionalFormatting>
  <conditionalFormatting sqref="AN1283">
    <cfRule type="cellIs" dxfId="0" priority="5050" operator="equal">
      <formula>"欠"</formula>
    </cfRule>
  </conditionalFormatting>
  <conditionalFormatting sqref="AJ1290">
    <cfRule type="cellIs" dxfId="0" priority="7013" operator="equal">
      <formula>"未完成"</formula>
    </cfRule>
  </conditionalFormatting>
  <conditionalFormatting sqref="V1291">
    <cfRule type="cellIs" dxfId="0" priority="6915" operator="equal">
      <formula>"欠"</formula>
    </cfRule>
  </conditionalFormatting>
  <conditionalFormatting sqref="AM1291">
    <cfRule type="cellIs" dxfId="1" priority="6916" operator="equal">
      <formula>"未完成"</formula>
    </cfRule>
    <cfRule type="cellIs" dxfId="0" priority="6917" operator="equal">
      <formula>"未完成"</formula>
    </cfRule>
  </conditionalFormatting>
  <conditionalFormatting sqref="AN1291">
    <cfRule type="cellIs" dxfId="0" priority="6911" operator="equal">
      <formula>"欠"</formula>
    </cfRule>
  </conditionalFormatting>
  <conditionalFormatting sqref="S1296">
    <cfRule type="cellIs" dxfId="0" priority="5966" operator="equal">
      <formula>"欠"</formula>
    </cfRule>
  </conditionalFormatting>
  <conditionalFormatting sqref="V1297">
    <cfRule type="cellIs" dxfId="0" priority="6280" operator="equal">
      <formula>"欠"</formula>
    </cfRule>
  </conditionalFormatting>
  <conditionalFormatting sqref="AG1297:AH1297">
    <cfRule type="cellIs" dxfId="0" priority="6283" operator="equal">
      <formula>"未完成"</formula>
    </cfRule>
  </conditionalFormatting>
  <conditionalFormatting sqref="AL1297:AM1297">
    <cfRule type="cellIs" dxfId="1" priority="6278" operator="equal">
      <formula>"未完成"</formula>
    </cfRule>
    <cfRule type="cellIs" dxfId="0" priority="6279" operator="equal">
      <formula>"未完成"</formula>
    </cfRule>
  </conditionalFormatting>
  <conditionalFormatting sqref="V1298">
    <cfRule type="cellIs" dxfId="0" priority="6490" operator="equal">
      <formula>"欠"</formula>
    </cfRule>
  </conditionalFormatting>
  <conditionalFormatting sqref="AG1298:AH1298">
    <cfRule type="cellIs" dxfId="0" priority="6493" operator="equal">
      <formula>"未完成"</formula>
    </cfRule>
  </conditionalFormatting>
  <conditionalFormatting sqref="AL1298:AM1298">
    <cfRule type="cellIs" dxfId="1" priority="6488" operator="equal">
      <formula>"未完成"</formula>
    </cfRule>
    <cfRule type="cellIs" dxfId="0" priority="6489" operator="equal">
      <formula>"未完成"</formula>
    </cfRule>
  </conditionalFormatting>
  <conditionalFormatting sqref="R1299">
    <cfRule type="containsText" dxfId="0" priority="5554" operator="between" text="欠">
      <formula>NOT(ISERROR(SEARCH("欠",R1299)))</formula>
    </cfRule>
    <cfRule type="cellIs" dxfId="0" priority="5555" operator="equal">
      <formula>"欠"</formula>
    </cfRule>
  </conditionalFormatting>
  <conditionalFormatting sqref="S1299">
    <cfRule type="cellIs" dxfId="0" priority="5760" operator="equal">
      <formula>"欠"</formula>
    </cfRule>
  </conditionalFormatting>
  <conditionalFormatting sqref="T1299:U1299">
    <cfRule type="containsText" dxfId="0" priority="5758" operator="between" text="欠">
      <formula>NOT(ISERROR(SEARCH("欠",T1299)))</formula>
    </cfRule>
    <cfRule type="cellIs" dxfId="0" priority="5759" operator="equal">
      <formula>"欠"</formula>
    </cfRule>
  </conditionalFormatting>
  <conditionalFormatting sqref="V1299">
    <cfRule type="cellIs" dxfId="0" priority="6907" operator="equal">
      <formula>"欠"</formula>
    </cfRule>
  </conditionalFormatting>
  <conditionalFormatting sqref="AG1299:AH1299">
    <cfRule type="cellIs" dxfId="0" priority="6910" operator="equal">
      <formula>"未完成"</formula>
    </cfRule>
  </conditionalFormatting>
  <conditionalFormatting sqref="AL1299:AM1299">
    <cfRule type="cellIs" dxfId="1" priority="6905" operator="equal">
      <formula>"未完成"</formula>
    </cfRule>
    <cfRule type="cellIs" dxfId="0" priority="6906" operator="equal">
      <formula>"未完成"</formula>
    </cfRule>
  </conditionalFormatting>
  <conditionalFormatting sqref="AN1299">
    <cfRule type="cellIs" dxfId="0" priority="6904" operator="equal">
      <formula>"欠"</formula>
    </cfRule>
  </conditionalFormatting>
  <conditionalFormatting sqref="V1303">
    <cfRule type="cellIs" dxfId="0" priority="6418" operator="equal">
      <formula>"欠"</formula>
    </cfRule>
  </conditionalFormatting>
  <conditionalFormatting sqref="AG1303:AH1303">
    <cfRule type="cellIs" dxfId="0" priority="6421" operator="equal">
      <formula>"未完成"</formula>
    </cfRule>
  </conditionalFormatting>
  <conditionalFormatting sqref="V1304">
    <cfRule type="cellIs" dxfId="0" priority="6406" operator="equal">
      <formula>"欠"</formula>
    </cfRule>
  </conditionalFormatting>
  <conditionalFormatting sqref="AG1304:AH1304">
    <cfRule type="cellIs" dxfId="0" priority="6409" operator="equal">
      <formula>"未完成"</formula>
    </cfRule>
  </conditionalFormatting>
  <conditionalFormatting sqref="AM1304">
    <cfRule type="cellIs" dxfId="1" priority="6404" operator="equal">
      <formula>"未完成"</formula>
    </cfRule>
    <cfRule type="cellIs" dxfId="0" priority="6405" operator="equal">
      <formula>"未完成"</formula>
    </cfRule>
  </conditionalFormatting>
  <conditionalFormatting sqref="V1305">
    <cfRule type="cellIs" dxfId="0" priority="6394" operator="equal">
      <formula>"欠"</formula>
    </cfRule>
  </conditionalFormatting>
  <conditionalFormatting sqref="AG1305:AH1305">
    <cfRule type="cellIs" dxfId="0" priority="6397" operator="equal">
      <formula>"未完成"</formula>
    </cfRule>
  </conditionalFormatting>
  <conditionalFormatting sqref="AM1305">
    <cfRule type="cellIs" dxfId="1" priority="6392" operator="equal">
      <formula>"未完成"</formula>
    </cfRule>
    <cfRule type="cellIs" dxfId="0" priority="6393" operator="equal">
      <formula>"未完成"</formula>
    </cfRule>
  </conditionalFormatting>
  <conditionalFormatting sqref="S1306">
    <cfRule type="cellIs" dxfId="0" priority="5905" operator="equal">
      <formula>"欠"</formula>
    </cfRule>
  </conditionalFormatting>
  <conditionalFormatting sqref="T1306:U1306">
    <cfRule type="containsText" dxfId="0" priority="5904" operator="between" text="欠">
      <formula>NOT(ISERROR(SEARCH("欠",T1306)))</formula>
    </cfRule>
    <cfRule type="cellIs" dxfId="0" priority="5907" operator="equal">
      <formula>"欠"</formula>
    </cfRule>
  </conditionalFormatting>
  <conditionalFormatting sqref="R1308">
    <cfRule type="containsText" dxfId="0" priority="5797" operator="between" text="欠">
      <formula>NOT(ISERROR(SEARCH("欠",R1308)))</formula>
    </cfRule>
    <cfRule type="cellIs" dxfId="0" priority="5798" operator="equal">
      <formula>"欠"</formula>
    </cfRule>
  </conditionalFormatting>
  <conditionalFormatting sqref="V1308">
    <cfRule type="cellIs" dxfId="0" priority="7220" operator="equal">
      <formula>"欠"</formula>
    </cfRule>
  </conditionalFormatting>
  <conditionalFormatting sqref="AL1308:AM1308">
    <cfRule type="cellIs" dxfId="1" priority="7221" operator="equal">
      <formula>"未完成"</formula>
    </cfRule>
    <cfRule type="cellIs" dxfId="0" priority="7222" operator="equal">
      <formula>"未完成"</formula>
    </cfRule>
  </conditionalFormatting>
  <conditionalFormatting sqref="V1309">
    <cfRule type="cellIs" dxfId="0" priority="7275" operator="equal">
      <formula>"欠"</formula>
    </cfRule>
  </conditionalFormatting>
  <conditionalFormatting sqref="AL1309:AM1309">
    <cfRule type="cellIs" dxfId="1" priority="7276" operator="equal">
      <formula>"未完成"</formula>
    </cfRule>
    <cfRule type="cellIs" dxfId="0" priority="7277" operator="equal">
      <formula>"未完成"</formula>
    </cfRule>
  </conditionalFormatting>
  <conditionalFormatting sqref="R1311">
    <cfRule type="containsText" dxfId="0" priority="5614" operator="between" text="欠">
      <formula>NOT(ISERROR(SEARCH("欠",R1311)))</formula>
    </cfRule>
    <cfRule type="cellIs" dxfId="0" priority="5620" operator="equal">
      <formula>"欠"</formula>
    </cfRule>
  </conditionalFormatting>
  <conditionalFormatting sqref="S1311">
    <cfRule type="cellIs" dxfId="0" priority="5619" operator="equal">
      <formula>"欠"</formula>
    </cfRule>
  </conditionalFormatting>
  <conditionalFormatting sqref="T1311:U1311">
    <cfRule type="containsText" dxfId="0" priority="5613" operator="between" text="欠">
      <formula>NOT(ISERROR(SEARCH("欠",T1311)))</formula>
    </cfRule>
    <cfRule type="cellIs" dxfId="0" priority="5618" operator="equal">
      <formula>"欠"</formula>
    </cfRule>
  </conditionalFormatting>
  <conditionalFormatting sqref="V1311">
    <cfRule type="cellIs" dxfId="0" priority="6021" operator="equal">
      <formula>"欠"</formula>
    </cfRule>
  </conditionalFormatting>
  <conditionalFormatting sqref="AG1311:AH1311">
    <cfRule type="cellIs" dxfId="0" priority="6024" operator="equal">
      <formula>"未完成"</formula>
    </cfRule>
  </conditionalFormatting>
  <conditionalFormatting sqref="AL1311:AM1311">
    <cfRule type="cellIs" dxfId="1" priority="6019" operator="equal">
      <formula>"未完成"</formula>
    </cfRule>
    <cfRule type="cellIs" dxfId="0" priority="6020" operator="equal">
      <formula>"未完成"</formula>
    </cfRule>
  </conditionalFormatting>
  <conditionalFormatting sqref="AN1311">
    <cfRule type="cellIs" dxfId="0" priority="6018" operator="equal">
      <formula>"欠"</formula>
    </cfRule>
  </conditionalFormatting>
  <conditionalFormatting sqref="O1316">
    <cfRule type="cellIs" dxfId="0" priority="5191" operator="equal">
      <formula>"欠"</formula>
    </cfRule>
  </conditionalFormatting>
  <conditionalFormatting sqref="R1316">
    <cfRule type="containsText" dxfId="0" priority="5763" operator="between" text="欠">
      <formula>NOT(ISERROR(SEARCH("欠",R1316)))</formula>
    </cfRule>
    <cfRule type="cellIs" dxfId="0" priority="5766" operator="equal">
      <formula>"欠"</formula>
    </cfRule>
  </conditionalFormatting>
  <conditionalFormatting sqref="S1316">
    <cfRule type="cellIs" dxfId="0" priority="5765" operator="equal">
      <formula>"欠"</formula>
    </cfRule>
  </conditionalFormatting>
  <conditionalFormatting sqref="T1316:U1316">
    <cfRule type="containsText" dxfId="0" priority="5762" operator="between" text="欠">
      <formula>NOT(ISERROR(SEARCH("欠",T1316)))</formula>
    </cfRule>
    <cfRule type="cellIs" dxfId="0" priority="5764" operator="equal">
      <formula>"欠"</formula>
    </cfRule>
  </conditionalFormatting>
  <conditionalFormatting sqref="V1316">
    <cfRule type="cellIs" dxfId="0" priority="6931" operator="equal">
      <formula>"欠"</formula>
    </cfRule>
  </conditionalFormatting>
  <conditionalFormatting sqref="AG1316:AH1316">
    <cfRule type="cellIs" dxfId="0" priority="6934" operator="equal">
      <formula>"未完成"</formula>
    </cfRule>
  </conditionalFormatting>
  <conditionalFormatting sqref="AL1316:AM1316">
    <cfRule type="cellIs" dxfId="1" priority="6929" operator="equal">
      <formula>"未完成"</formula>
    </cfRule>
    <cfRule type="cellIs" dxfId="0" priority="6930" operator="equal">
      <formula>"未完成"</formula>
    </cfRule>
  </conditionalFormatting>
  <conditionalFormatting sqref="AN1316">
    <cfRule type="cellIs" dxfId="0" priority="6928" operator="equal">
      <formula>"欠"</formula>
    </cfRule>
  </conditionalFormatting>
  <conditionalFormatting sqref="R1317">
    <cfRule type="containsText" dxfId="0" priority="5771" operator="between" text="欠">
      <formula>NOT(ISERROR(SEARCH("欠",R1317)))</formula>
    </cfRule>
    <cfRule type="cellIs" dxfId="0" priority="5773" operator="equal">
      <formula>"欠"</formula>
    </cfRule>
  </conditionalFormatting>
  <conditionalFormatting sqref="S1317">
    <cfRule type="cellIs" dxfId="0" priority="5946" operator="equal">
      <formula>"欠"</formula>
    </cfRule>
  </conditionalFormatting>
  <conditionalFormatting sqref="T1317:U1317">
    <cfRule type="containsText" dxfId="0" priority="5770" operator="between" text="欠">
      <formula>NOT(ISERROR(SEARCH("欠",T1317)))</formula>
    </cfRule>
    <cfRule type="cellIs" dxfId="0" priority="5772" operator="equal">
      <formula>"欠"</formula>
    </cfRule>
  </conditionalFormatting>
  <conditionalFormatting sqref="V1317">
    <cfRule type="cellIs" dxfId="0" priority="6956" operator="equal">
      <formula>"欠"</formula>
    </cfRule>
  </conditionalFormatting>
  <conditionalFormatting sqref="AG1317:AH1317">
    <cfRule type="cellIs" dxfId="0" priority="6959" operator="equal">
      <formula>"未完成"</formula>
    </cfRule>
  </conditionalFormatting>
  <conditionalFormatting sqref="AL1317:AM1317">
    <cfRule type="cellIs" dxfId="1" priority="6954" operator="equal">
      <formula>"未完成"</formula>
    </cfRule>
    <cfRule type="cellIs" dxfId="0" priority="6955" operator="equal">
      <formula>"未完成"</formula>
    </cfRule>
  </conditionalFormatting>
  <conditionalFormatting sqref="AN1317">
    <cfRule type="cellIs" dxfId="0" priority="6953" operator="equal">
      <formula>"欠"</formula>
    </cfRule>
  </conditionalFormatting>
  <conditionalFormatting sqref="AG1318:AH1318">
    <cfRule type="cellIs" dxfId="0" priority="6385" operator="equal">
      <formula>"未完成"</formula>
    </cfRule>
  </conditionalFormatting>
  <conditionalFormatting sqref="AL1318:AM1318">
    <cfRule type="cellIs" dxfId="1" priority="6380" operator="equal">
      <formula>"未完成"</formula>
    </cfRule>
    <cfRule type="cellIs" dxfId="0" priority="6381" operator="equal">
      <formula>"未完成"</formula>
    </cfRule>
  </conditionalFormatting>
  <conditionalFormatting sqref="AG1319:AH1319">
    <cfRule type="cellIs" dxfId="0" priority="6373" operator="equal">
      <formula>"未完成"</formula>
    </cfRule>
  </conditionalFormatting>
  <conditionalFormatting sqref="AL1319:AM1319">
    <cfRule type="cellIs" dxfId="1" priority="6368" operator="equal">
      <formula>"未完成"</formula>
    </cfRule>
    <cfRule type="cellIs" dxfId="0" priority="6369" operator="equal">
      <formula>"未完成"</formula>
    </cfRule>
  </conditionalFormatting>
  <conditionalFormatting sqref="AL1320:AM1320">
    <cfRule type="cellIs" dxfId="1" priority="6356" operator="equal">
      <formula>"未完成"</formula>
    </cfRule>
    <cfRule type="cellIs" dxfId="0" priority="6357" operator="equal">
      <formula>"未完成"</formula>
    </cfRule>
  </conditionalFormatting>
  <conditionalFormatting sqref="R1321">
    <cfRule type="containsText" dxfId="0" priority="5838" operator="between" text="欠">
      <formula>NOT(ISERROR(SEARCH("欠",R1321)))</formula>
    </cfRule>
    <cfRule type="cellIs" dxfId="0" priority="5839" operator="equal">
      <formula>"欠"</formula>
    </cfRule>
  </conditionalFormatting>
  <conditionalFormatting sqref="T1321:U1321">
    <cfRule type="containsText" dxfId="0" priority="5840" operator="between" text="欠">
      <formula>NOT(ISERROR(SEARCH("欠",T1321)))</formula>
    </cfRule>
    <cfRule type="cellIs" dxfId="0" priority="5841" operator="equal">
      <formula>"欠"</formula>
    </cfRule>
  </conditionalFormatting>
  <conditionalFormatting sqref="V1321">
    <cfRule type="cellIs" dxfId="0" priority="7967" operator="equal">
      <formula>"欠"</formula>
    </cfRule>
  </conditionalFormatting>
  <conditionalFormatting sqref="AL1321:AM1321">
    <cfRule type="cellIs" dxfId="1" priority="7968" operator="equal">
      <formula>"未完成"</formula>
    </cfRule>
    <cfRule type="cellIs" dxfId="0" priority="7969" operator="equal">
      <formula>"未完成"</formula>
    </cfRule>
  </conditionalFormatting>
  <conditionalFormatting sqref="AN1321">
    <cfRule type="cellIs" dxfId="0" priority="7963" operator="equal">
      <formula>"欠"</formula>
    </cfRule>
  </conditionalFormatting>
  <conditionalFormatting sqref="V1323">
    <cfRule type="cellIs" dxfId="0" priority="6969" operator="equal">
      <formula>"欠"</formula>
    </cfRule>
  </conditionalFormatting>
  <conditionalFormatting sqref="AG1323">
    <cfRule type="cellIs" dxfId="0" priority="6972" operator="equal">
      <formula>"未完成"</formula>
    </cfRule>
  </conditionalFormatting>
  <conditionalFormatting sqref="AL1323:AM1323">
    <cfRule type="cellIs" dxfId="1" priority="6967" operator="equal">
      <formula>"未完成"</formula>
    </cfRule>
    <cfRule type="cellIs" dxfId="0" priority="6968" operator="equal">
      <formula>"未完成"</formula>
    </cfRule>
  </conditionalFormatting>
  <conditionalFormatting sqref="R1324">
    <cfRule type="containsText" dxfId="0" priority="5675" operator="between" text="欠">
      <formula>NOT(ISERROR(SEARCH("欠",R1324)))</formula>
    </cfRule>
    <cfRule type="cellIs" dxfId="0" priority="5681" operator="equal">
      <formula>"欠"</formula>
    </cfRule>
  </conditionalFormatting>
  <conditionalFormatting sqref="S1324">
    <cfRule type="cellIs" dxfId="0" priority="5680" operator="equal">
      <formula>"欠"</formula>
    </cfRule>
  </conditionalFormatting>
  <conditionalFormatting sqref="T1324:U1324">
    <cfRule type="containsText" dxfId="0" priority="5674" operator="between" text="欠">
      <formula>NOT(ISERROR(SEARCH("欠",T1324)))</formula>
    </cfRule>
    <cfRule type="cellIs" dxfId="0" priority="5679" operator="equal">
      <formula>"欠"</formula>
    </cfRule>
  </conditionalFormatting>
  <conditionalFormatting sqref="V1324">
    <cfRule type="cellIs" dxfId="0" priority="6156" operator="equal">
      <formula>"欠"</formula>
    </cfRule>
  </conditionalFormatting>
  <conditionalFormatting sqref="AG1324">
    <cfRule type="cellIs" dxfId="0" priority="6159" operator="equal">
      <formula>"未完成"</formula>
    </cfRule>
  </conditionalFormatting>
  <conditionalFormatting sqref="AL1324:AM1324">
    <cfRule type="cellIs" dxfId="1" priority="6154" operator="equal">
      <formula>"未完成"</formula>
    </cfRule>
    <cfRule type="cellIs" dxfId="0" priority="6155" operator="equal">
      <formula>"未完成"</formula>
    </cfRule>
  </conditionalFormatting>
  <conditionalFormatting sqref="AN1324">
    <cfRule type="cellIs" dxfId="0" priority="6153" operator="equal">
      <formula>"欠"</formula>
    </cfRule>
  </conditionalFormatting>
  <conditionalFormatting sqref="V1325">
    <cfRule type="cellIs" dxfId="0" priority="6304" operator="equal">
      <formula>"欠"</formula>
    </cfRule>
  </conditionalFormatting>
  <conditionalFormatting sqref="AG1325">
    <cfRule type="cellIs" dxfId="0" priority="6307" operator="equal">
      <formula>"未完成"</formula>
    </cfRule>
  </conditionalFormatting>
  <conditionalFormatting sqref="AL1325:AM1325">
    <cfRule type="cellIs" dxfId="1" priority="6302" operator="equal">
      <formula>"未完成"</formula>
    </cfRule>
    <cfRule type="cellIs" dxfId="0" priority="6303" operator="equal">
      <formula>"未完成"</formula>
    </cfRule>
  </conditionalFormatting>
  <conditionalFormatting sqref="V1326">
    <cfRule type="cellIs" dxfId="0" priority="6292" operator="equal">
      <formula>"欠"</formula>
    </cfRule>
  </conditionalFormatting>
  <conditionalFormatting sqref="AG1326">
    <cfRule type="cellIs" dxfId="0" priority="6295" operator="equal">
      <formula>"未完成"</formula>
    </cfRule>
  </conditionalFormatting>
  <conditionalFormatting sqref="AL1326:AM1326">
    <cfRule type="cellIs" dxfId="1" priority="6290" operator="equal">
      <formula>"未完成"</formula>
    </cfRule>
    <cfRule type="cellIs" dxfId="0" priority="6291" operator="equal">
      <formula>"未完成"</formula>
    </cfRule>
  </conditionalFormatting>
  <conditionalFormatting sqref="R1328">
    <cfRule type="containsText" dxfId="0" priority="5748" operator="between" text="欠">
      <formula>NOT(ISERROR(SEARCH("欠",R1328)))</formula>
    </cfRule>
    <cfRule type="cellIs" dxfId="0" priority="5752" operator="equal">
      <formula>"欠"</formula>
    </cfRule>
  </conditionalFormatting>
  <conditionalFormatting sqref="S1328">
    <cfRule type="cellIs" dxfId="0" priority="5746" operator="equal">
      <formula>"欠"</formula>
    </cfRule>
  </conditionalFormatting>
  <conditionalFormatting sqref="T1328:U1328">
    <cfRule type="containsText" dxfId="0" priority="5750" operator="between" text="欠">
      <formula>NOT(ISERROR(SEARCH("欠",T1328)))</formula>
    </cfRule>
    <cfRule type="cellIs" dxfId="0" priority="5751" operator="equal">
      <formula>"欠"</formula>
    </cfRule>
  </conditionalFormatting>
  <conditionalFormatting sqref="V1328">
    <cfRule type="cellIs" dxfId="0" priority="6855" operator="equal">
      <formula>"欠"</formula>
    </cfRule>
  </conditionalFormatting>
  <conditionalFormatting sqref="AG1328">
    <cfRule type="cellIs" dxfId="0" priority="6858" operator="equal">
      <formula>"未完成"</formula>
    </cfRule>
  </conditionalFormatting>
  <conditionalFormatting sqref="AL1328:AM1328">
    <cfRule type="cellIs" dxfId="1" priority="6853" operator="equal">
      <formula>"未完成"</formula>
    </cfRule>
    <cfRule type="cellIs" dxfId="0" priority="6854" operator="equal">
      <formula>"未完成"</formula>
    </cfRule>
  </conditionalFormatting>
  <conditionalFormatting sqref="AN1328">
    <cfRule type="cellIs" dxfId="0" priority="6852" operator="equal">
      <formula>"欠"</formula>
    </cfRule>
  </conditionalFormatting>
  <conditionalFormatting sqref="Q1330">
    <cfRule type="cellIs" dxfId="0" priority="5434" operator="equal">
      <formula>"欠"</formula>
    </cfRule>
  </conditionalFormatting>
  <conditionalFormatting sqref="R1330">
    <cfRule type="containsText" dxfId="0" priority="5266" operator="between" text="欠">
      <formula>NOT(ISERROR(SEARCH("欠",R1330)))</formula>
    </cfRule>
    <cfRule type="cellIs" dxfId="0" priority="5290" operator="equal">
      <formula>"欠"</formula>
    </cfRule>
  </conditionalFormatting>
  <conditionalFormatting sqref="V1330">
    <cfRule type="cellIs" dxfId="0" priority="5386" operator="equal">
      <formula>"欠"</formula>
    </cfRule>
  </conditionalFormatting>
  <conditionalFormatting sqref="AL1330">
    <cfRule type="cellIs" dxfId="1" priority="5410" operator="equal">
      <formula>"未完成"</formula>
    </cfRule>
    <cfRule type="cellIs" dxfId="0" priority="5422" operator="equal">
      <formula>"未完成"</formula>
    </cfRule>
  </conditionalFormatting>
  <conditionalFormatting sqref="AM1330">
    <cfRule type="cellIs" dxfId="0" priority="5398" operator="equal">
      <formula>"欠"</formula>
    </cfRule>
  </conditionalFormatting>
  <conditionalFormatting sqref="R1331">
    <cfRule type="containsText" dxfId="0" priority="5464" operator="between" text="欠">
      <formula>NOT(ISERROR(SEARCH("欠",R1331)))</formula>
    </cfRule>
    <cfRule type="cellIs" dxfId="0" priority="5504" operator="equal">
      <formula>"欠"</formula>
    </cfRule>
  </conditionalFormatting>
  <conditionalFormatting sqref="S1331">
    <cfRule type="cellIs" dxfId="0" priority="5496" operator="equal">
      <formula>"欠"</formula>
    </cfRule>
  </conditionalFormatting>
  <conditionalFormatting sqref="T1331:U1331">
    <cfRule type="containsText" dxfId="0" priority="5480" operator="between" text="欠">
      <formula>NOT(ISERROR(SEARCH("欠",T1331)))</formula>
    </cfRule>
    <cfRule type="cellIs" dxfId="0" priority="5488" operator="equal">
      <formula>"欠"</formula>
    </cfRule>
  </conditionalFormatting>
  <conditionalFormatting sqref="V1331">
    <cfRule type="cellIs" dxfId="0" priority="5536" operator="equal">
      <formula>"欠"</formula>
    </cfRule>
  </conditionalFormatting>
  <conditionalFormatting sqref="AG1331">
    <cfRule type="cellIs" dxfId="0" priority="5544" operator="equal">
      <formula>"未完成"</formula>
    </cfRule>
  </conditionalFormatting>
  <conditionalFormatting sqref="AL1331:AM1331">
    <cfRule type="cellIs" dxfId="1" priority="5520" operator="equal">
      <formula>"未完成"</formula>
    </cfRule>
    <cfRule type="cellIs" dxfId="0" priority="5528" operator="equal">
      <formula>"未完成"</formula>
    </cfRule>
  </conditionalFormatting>
  <conditionalFormatting sqref="T1332:U1332">
    <cfRule type="containsText" dxfId="0" priority="5782" operator="between" text="欠">
      <formula>NOT(ISERROR(SEARCH("欠",T1332)))</formula>
    </cfRule>
  </conditionalFormatting>
  <conditionalFormatting sqref="Q1334">
    <cfRule type="cellIs" dxfId="0" priority="5438" operator="equal">
      <formula>"欠"</formula>
    </cfRule>
  </conditionalFormatting>
  <conditionalFormatting sqref="R1334">
    <cfRule type="containsText" dxfId="0" priority="5270" operator="between" text="欠">
      <formula>NOT(ISERROR(SEARCH("欠",R1334)))</formula>
    </cfRule>
    <cfRule type="cellIs" dxfId="0" priority="5294" operator="equal">
      <formula>"欠"</formula>
    </cfRule>
  </conditionalFormatting>
  <conditionalFormatting sqref="AL1334">
    <cfRule type="cellIs" dxfId="1" priority="5414" operator="equal">
      <formula>"未完成"</formula>
    </cfRule>
    <cfRule type="cellIs" dxfId="0" priority="5426" operator="equal">
      <formula>"未完成"</formula>
    </cfRule>
  </conditionalFormatting>
  <conditionalFormatting sqref="AM1334">
    <cfRule type="cellIs" dxfId="0" priority="5402" operator="equal">
      <formula>"欠"</formula>
    </cfRule>
  </conditionalFormatting>
  <conditionalFormatting sqref="T1335:U1335">
    <cfRule type="containsText" dxfId="0" priority="5783" operator="between" text="欠">
      <formula>NOT(ISERROR(SEARCH("欠",T1335)))</formula>
    </cfRule>
  </conditionalFormatting>
  <conditionalFormatting sqref="T1336:U1336">
    <cfRule type="containsText" dxfId="0" priority="5582" operator="between" text="欠">
      <formula>NOT(ISERROR(SEARCH("欠",T1336)))</formula>
    </cfRule>
    <cfRule type="cellIs" dxfId="0" priority="5583" operator="equal">
      <formula>"欠"</formula>
    </cfRule>
  </conditionalFormatting>
  <conditionalFormatting sqref="R1337">
    <cfRule type="containsText" dxfId="0" priority="5737" operator="between" text="欠">
      <formula>NOT(ISERROR(SEARCH("欠",R1337)))</formula>
    </cfRule>
    <cfRule type="cellIs" dxfId="0" priority="5738" operator="equal">
      <formula>"欠"</formula>
    </cfRule>
  </conditionalFormatting>
  <conditionalFormatting sqref="V1337">
    <cfRule type="cellIs" dxfId="0" priority="6982" operator="equal">
      <formula>"欠"</formula>
    </cfRule>
  </conditionalFormatting>
  <conditionalFormatting sqref="AG1337">
    <cfRule type="cellIs" dxfId="0" priority="6985" operator="equal">
      <formula>"未完成"</formula>
    </cfRule>
  </conditionalFormatting>
  <conditionalFormatting sqref="AL1337:AM1337">
    <cfRule type="cellIs" dxfId="1" priority="6980" operator="equal">
      <formula>"未完成"</formula>
    </cfRule>
    <cfRule type="cellIs" dxfId="0" priority="6981" operator="equal">
      <formula>"未完成"</formula>
    </cfRule>
  </conditionalFormatting>
  <conditionalFormatting sqref="Q1339">
    <cfRule type="cellIs" dxfId="0" priority="5433" operator="equal">
      <formula>"欠"</formula>
    </cfRule>
  </conditionalFormatting>
  <conditionalFormatting sqref="S1339">
    <cfRule type="cellIs" dxfId="0" priority="5349" operator="equal">
      <formula>"欠"</formula>
    </cfRule>
  </conditionalFormatting>
  <conditionalFormatting sqref="T1339:U1339">
    <cfRule type="containsText" dxfId="0" priority="5301" operator="between" text="欠">
      <formula>NOT(ISERROR(SEARCH("欠",T1339)))</formula>
    </cfRule>
    <cfRule type="cellIs" dxfId="0" priority="5337" operator="equal">
      <formula>"欠"</formula>
    </cfRule>
  </conditionalFormatting>
  <conditionalFormatting sqref="V1339">
    <cfRule type="cellIs" dxfId="0" priority="5385" operator="equal">
      <formula>"欠"</formula>
    </cfRule>
  </conditionalFormatting>
  <conditionalFormatting sqref="AL1339">
    <cfRule type="cellIs" dxfId="1" priority="5409" operator="equal">
      <formula>"未完成"</formula>
    </cfRule>
    <cfRule type="cellIs" dxfId="0" priority="5421" operator="equal">
      <formula>"未完成"</formula>
    </cfRule>
  </conditionalFormatting>
  <conditionalFormatting sqref="AM1339">
    <cfRule type="cellIs" dxfId="0" priority="5397" operator="equal">
      <formula>"欠"</formula>
    </cfRule>
  </conditionalFormatting>
  <conditionalFormatting sqref="T1340:U1340">
    <cfRule type="containsText" dxfId="0" priority="5586" operator="between" text="欠">
      <formula>NOT(ISERROR(SEARCH("欠",T1340)))</formula>
    </cfRule>
    <cfRule type="cellIs" dxfId="0" priority="5587" operator="equal">
      <formula>"欠"</formula>
    </cfRule>
  </conditionalFormatting>
  <conditionalFormatting sqref="V1340">
    <cfRule type="cellIs" dxfId="0" priority="6105" operator="equal">
      <formula>"欠"</formula>
    </cfRule>
  </conditionalFormatting>
  <conditionalFormatting sqref="AG1340">
    <cfRule type="cellIs" dxfId="0" priority="6108" operator="equal">
      <formula>"未完成"</formula>
    </cfRule>
  </conditionalFormatting>
  <conditionalFormatting sqref="AG1341">
    <cfRule type="cellIs" dxfId="0" priority="5551" operator="equal">
      <formula>"未完成"</formula>
    </cfRule>
  </conditionalFormatting>
  <conditionalFormatting sqref="AL1341:AM1341">
    <cfRule type="cellIs" dxfId="1" priority="5527" operator="equal">
      <formula>"未完成"</formula>
    </cfRule>
    <cfRule type="cellIs" dxfId="0" priority="5535" operator="equal">
      <formula>"未完成"</formula>
    </cfRule>
  </conditionalFormatting>
  <conditionalFormatting sqref="AG1342">
    <cfRule type="cellIs" dxfId="0" priority="5550" operator="equal">
      <formula>"未完成"</formula>
    </cfRule>
  </conditionalFormatting>
  <conditionalFormatting sqref="AG1343">
    <cfRule type="cellIs" dxfId="0" priority="5549" operator="equal">
      <formula>"未完成"</formula>
    </cfRule>
  </conditionalFormatting>
  <conditionalFormatting sqref="AM1343">
    <cfRule type="cellIs" dxfId="1" priority="5525" operator="equal">
      <formula>"未完成"</formula>
    </cfRule>
    <cfRule type="cellIs" dxfId="0" priority="5533" operator="equal">
      <formula>"未完成"</formula>
    </cfRule>
  </conditionalFormatting>
  <conditionalFormatting sqref="AG1344">
    <cfRule type="cellIs" dxfId="0" priority="5548" operator="equal">
      <formula>"未完成"</formula>
    </cfRule>
  </conditionalFormatting>
  <conditionalFormatting sqref="AM1344">
    <cfRule type="cellIs" dxfId="1" priority="5524" operator="equal">
      <formula>"未完成"</formula>
    </cfRule>
    <cfRule type="cellIs" dxfId="0" priority="5532" operator="equal">
      <formula>"未完成"</formula>
    </cfRule>
  </conditionalFormatting>
  <conditionalFormatting sqref="R1345">
    <cfRule type="containsText" dxfId="0" priority="5183" operator="between" text="欠">
      <formula>NOT(ISERROR(SEARCH("欠",R1345)))</formula>
    </cfRule>
    <cfRule type="cellIs" dxfId="0" priority="5184" operator="equal">
      <formula>"欠"</formula>
    </cfRule>
  </conditionalFormatting>
  <conditionalFormatting sqref="V1345">
    <cfRule type="cellIs" dxfId="0" priority="5188" operator="equal">
      <formula>"欠"</formula>
    </cfRule>
  </conditionalFormatting>
  <conditionalFormatting sqref="AG1345">
    <cfRule type="cellIs" dxfId="0" priority="5189" operator="equal">
      <formula>"未完成"</formula>
    </cfRule>
  </conditionalFormatting>
  <conditionalFormatting sqref="AL1345:AM1345">
    <cfRule type="cellIs" dxfId="1" priority="5186" operator="equal">
      <formula>"未完成"</formula>
    </cfRule>
    <cfRule type="cellIs" dxfId="0" priority="5187" operator="equal">
      <formula>"未完成"</formula>
    </cfRule>
  </conditionalFormatting>
  <conditionalFormatting sqref="R1346">
    <cfRule type="containsText" dxfId="0" priority="5695" operator="between" text="欠">
      <formula>NOT(ISERROR(SEARCH("欠",R1346)))</formula>
    </cfRule>
    <cfRule type="cellIs" dxfId="0" priority="5701" operator="equal">
      <formula>"欠"</formula>
    </cfRule>
  </conditionalFormatting>
  <conditionalFormatting sqref="S1346">
    <cfRule type="cellIs" dxfId="0" priority="5700" operator="equal">
      <formula>"欠"</formula>
    </cfRule>
  </conditionalFormatting>
  <conditionalFormatting sqref="T1346:U1346">
    <cfRule type="containsText" dxfId="0" priority="5694" operator="between" text="欠">
      <formula>NOT(ISERROR(SEARCH("欠",T1346)))</formula>
    </cfRule>
    <cfRule type="cellIs" dxfId="0" priority="5699" operator="equal">
      <formula>"欠"</formula>
    </cfRule>
  </conditionalFormatting>
  <conditionalFormatting sqref="V1346">
    <cfRule type="cellIs" dxfId="0" priority="6192" operator="equal">
      <formula>"欠"</formula>
    </cfRule>
  </conditionalFormatting>
  <conditionalFormatting sqref="AG1346">
    <cfRule type="cellIs" dxfId="0" priority="6195" operator="equal">
      <formula>"未完成"</formula>
    </cfRule>
  </conditionalFormatting>
  <conditionalFormatting sqref="AL1346:AM1346">
    <cfRule type="cellIs" dxfId="1" priority="6190" operator="equal">
      <formula>"未完成"</formula>
    </cfRule>
    <cfRule type="cellIs" dxfId="0" priority="6191" operator="equal">
      <formula>"未完成"</formula>
    </cfRule>
  </conditionalFormatting>
  <conditionalFormatting sqref="AG1347">
    <cfRule type="cellIs" dxfId="0" priority="6243" operator="equal">
      <formula>"未完成"</formula>
    </cfRule>
  </conditionalFormatting>
  <conditionalFormatting sqref="AL1347:AM1347">
    <cfRule type="cellIs" dxfId="1" priority="6238" operator="equal">
      <formula>"未完成"</formula>
    </cfRule>
    <cfRule type="cellIs" dxfId="0" priority="6239" operator="equal">
      <formula>"未完成"</formula>
    </cfRule>
  </conditionalFormatting>
  <conditionalFormatting sqref="AG1348">
    <cfRule type="cellIs" dxfId="0" priority="6231" operator="equal">
      <formula>"未完成"</formula>
    </cfRule>
  </conditionalFormatting>
  <conditionalFormatting sqref="AL1348:AM1348">
    <cfRule type="cellIs" dxfId="1" priority="6226" operator="equal">
      <formula>"未完成"</formula>
    </cfRule>
    <cfRule type="cellIs" dxfId="0" priority="6227" operator="equal">
      <formula>"未完成"</formula>
    </cfRule>
  </conditionalFormatting>
  <conditionalFormatting sqref="AG1349">
    <cfRule type="cellIs" dxfId="0" priority="6219" operator="equal">
      <formula>"未完成"</formula>
    </cfRule>
  </conditionalFormatting>
  <conditionalFormatting sqref="AL1349:AM1349">
    <cfRule type="cellIs" dxfId="1" priority="6214" operator="equal">
      <formula>"未完成"</formula>
    </cfRule>
    <cfRule type="cellIs" dxfId="0" priority="6215" operator="equal">
      <formula>"未完成"</formula>
    </cfRule>
  </conditionalFormatting>
  <conditionalFormatting sqref="AG1350">
    <cfRule type="cellIs" dxfId="0" priority="6207" operator="equal">
      <formula>"未完成"</formula>
    </cfRule>
  </conditionalFormatting>
  <conditionalFormatting sqref="AL1350:AM1350">
    <cfRule type="cellIs" dxfId="1" priority="6202" operator="equal">
      <formula>"未完成"</formula>
    </cfRule>
    <cfRule type="cellIs" dxfId="0" priority="6203" operator="equal">
      <formula>"未完成"</formula>
    </cfRule>
  </conditionalFormatting>
  <conditionalFormatting sqref="R1353">
    <cfRule type="containsText" dxfId="0" priority="4965" operator="between" text="欠">
      <formula>NOT(ISERROR(SEARCH("欠",R1353)))</formula>
    </cfRule>
    <cfRule type="cellIs" dxfId="0" priority="4968" operator="equal">
      <formula>"欠"</formula>
    </cfRule>
  </conditionalFormatting>
  <conditionalFormatting sqref="T1353:U1353">
    <cfRule type="containsText" dxfId="0" priority="4964" operator="between" text="欠">
      <formula>NOT(ISERROR(SEARCH("欠",T1353)))</formula>
    </cfRule>
    <cfRule type="cellIs" dxfId="0" priority="4966" operator="equal">
      <formula>"欠"</formula>
    </cfRule>
  </conditionalFormatting>
  <conditionalFormatting sqref="V1353">
    <cfRule type="cellIs" dxfId="0" priority="4971" operator="equal">
      <formula>"欠"</formula>
    </cfRule>
  </conditionalFormatting>
  <conditionalFormatting sqref="AG1353">
    <cfRule type="cellIs" dxfId="0" priority="4972" operator="equal">
      <formula>"未完成"</formula>
    </cfRule>
  </conditionalFormatting>
  <conditionalFormatting sqref="AL1353:AM1353">
    <cfRule type="cellIs" dxfId="1" priority="4969" operator="equal">
      <formula>"未完成"</formula>
    </cfRule>
    <cfRule type="cellIs" dxfId="0" priority="4970" operator="equal">
      <formula>"未完成"</formula>
    </cfRule>
  </conditionalFormatting>
  <conditionalFormatting sqref="Q1354">
    <cfRule type="cellIs" dxfId="0" priority="5435" operator="equal">
      <formula>"欠"</formula>
    </cfRule>
  </conditionalFormatting>
  <conditionalFormatting sqref="R1354">
    <cfRule type="containsText" dxfId="0" priority="5267" operator="between" text="欠">
      <formula>NOT(ISERROR(SEARCH("欠",R1354)))</formula>
    </cfRule>
    <cfRule type="cellIs" dxfId="0" priority="5291" operator="equal">
      <formula>"欠"</formula>
    </cfRule>
  </conditionalFormatting>
  <conditionalFormatting sqref="S1354">
    <cfRule type="cellIs" dxfId="0" priority="5351" operator="equal">
      <formula>"欠"</formula>
    </cfRule>
  </conditionalFormatting>
  <conditionalFormatting sqref="T1354:U1354">
    <cfRule type="containsText" dxfId="0" priority="5303" operator="between" text="欠">
      <formula>NOT(ISERROR(SEARCH("欠",T1354)))</formula>
    </cfRule>
    <cfRule type="cellIs" dxfId="0" priority="5339" operator="equal">
      <formula>"欠"</formula>
    </cfRule>
  </conditionalFormatting>
  <conditionalFormatting sqref="V1354">
    <cfRule type="cellIs" dxfId="0" priority="5387" operator="equal">
      <formula>"欠"</formula>
    </cfRule>
  </conditionalFormatting>
  <conditionalFormatting sqref="AL1354">
    <cfRule type="cellIs" dxfId="1" priority="5411" operator="equal">
      <formula>"未完成"</formula>
    </cfRule>
    <cfRule type="cellIs" dxfId="0" priority="5423" operator="equal">
      <formula>"未完成"</formula>
    </cfRule>
  </conditionalFormatting>
  <conditionalFormatting sqref="AM1354">
    <cfRule type="cellIs" dxfId="0" priority="5399" operator="equal">
      <formula>"欠"</formula>
    </cfRule>
  </conditionalFormatting>
  <conditionalFormatting sqref="Q1355">
    <cfRule type="cellIs" dxfId="0" priority="4104" operator="equal">
      <formula>"欠"</formula>
    </cfRule>
  </conditionalFormatting>
  <conditionalFormatting sqref="R1355">
    <cfRule type="containsText" dxfId="0" priority="4069" operator="between" text="欠">
      <formula>NOT(ISERROR(SEARCH("欠",R1355)))</formula>
    </cfRule>
    <cfRule type="cellIs" dxfId="0" priority="4074" operator="equal">
      <formula>"欠"</formula>
    </cfRule>
  </conditionalFormatting>
  <conditionalFormatting sqref="S1355">
    <cfRule type="cellIs" dxfId="0" priority="4114" operator="equal">
      <formula>"欠"</formula>
    </cfRule>
  </conditionalFormatting>
  <conditionalFormatting sqref="T1355:U1355">
    <cfRule type="containsText" dxfId="0" priority="4109" operator="between" text="欠">
      <formula>NOT(ISERROR(SEARCH("欠",T1355)))</formula>
    </cfRule>
    <cfRule type="cellIs" dxfId="0" priority="4119" operator="equal">
      <formula>"欠"</formula>
    </cfRule>
  </conditionalFormatting>
  <conditionalFormatting sqref="V1355">
    <cfRule type="cellIs" dxfId="0" priority="4084" operator="equal">
      <formula>"欠"</formula>
    </cfRule>
  </conditionalFormatting>
  <conditionalFormatting sqref="AJ1355">
    <cfRule type="cellIs" dxfId="0" priority="4124" operator="equal">
      <formula>"未完成"</formula>
    </cfRule>
  </conditionalFormatting>
  <conditionalFormatting sqref="AL1355">
    <cfRule type="cellIs" dxfId="1" priority="4094" operator="equal">
      <formula>"未完成"</formula>
    </cfRule>
    <cfRule type="cellIs" dxfId="0" priority="4099" operator="equal">
      <formula>"未完成"</formula>
    </cfRule>
  </conditionalFormatting>
  <conditionalFormatting sqref="AM1355">
    <cfRule type="cellIs" dxfId="0" priority="4089" operator="equal">
      <formula>"欠"</formula>
    </cfRule>
  </conditionalFormatting>
  <conditionalFormatting sqref="V1356">
    <cfRule type="cellIs" dxfId="0" priority="6093" operator="equal">
      <formula>"欠"</formula>
    </cfRule>
  </conditionalFormatting>
  <conditionalFormatting sqref="AG1356">
    <cfRule type="cellIs" dxfId="0" priority="6096" operator="equal">
      <formula>"未完成"</formula>
    </cfRule>
  </conditionalFormatting>
  <conditionalFormatting sqref="AL1356:AM1356">
    <cfRule type="cellIs" dxfId="1" priority="6091" operator="equal">
      <formula>"未完成"</formula>
    </cfRule>
    <cfRule type="cellIs" dxfId="0" priority="6092" operator="equal">
      <formula>"未完成"</formula>
    </cfRule>
  </conditionalFormatting>
  <conditionalFormatting sqref="V1357">
    <cfRule type="cellIs" dxfId="0" priority="6081" operator="equal">
      <formula>"欠"</formula>
    </cfRule>
  </conditionalFormatting>
  <conditionalFormatting sqref="AG1357">
    <cfRule type="cellIs" dxfId="0" priority="6084" operator="equal">
      <formula>"未完成"</formula>
    </cfRule>
  </conditionalFormatting>
  <conditionalFormatting sqref="AL1357:AM1357">
    <cfRule type="cellIs" dxfId="1" priority="6079" operator="equal">
      <formula>"未完成"</formula>
    </cfRule>
    <cfRule type="cellIs" dxfId="0" priority="6080" operator="equal">
      <formula>"未完成"</formula>
    </cfRule>
  </conditionalFormatting>
  <conditionalFormatting sqref="S1358">
    <cfRule type="cellIs" dxfId="0" priority="5036" operator="equal">
      <formula>"欠"</formula>
    </cfRule>
  </conditionalFormatting>
  <conditionalFormatting sqref="T1358:U1358">
    <cfRule type="containsText" dxfId="0" priority="5028" operator="between" text="欠">
      <formula>NOT(ISERROR(SEARCH("欠",T1358)))</formula>
    </cfRule>
  </conditionalFormatting>
  <conditionalFormatting sqref="T1358:V1358">
    <cfRule type="cellIs" dxfId="0" priority="5035" operator="equal">
      <formula>"欠"</formula>
    </cfRule>
  </conditionalFormatting>
  <conditionalFormatting sqref="AG1358">
    <cfRule type="cellIs" dxfId="0" priority="5038" operator="equal">
      <formula>"未完成"</formula>
    </cfRule>
  </conditionalFormatting>
  <conditionalFormatting sqref="AL1358:AM1358">
    <cfRule type="cellIs" dxfId="1" priority="5033" operator="equal">
      <formula>"未完成"</formula>
    </cfRule>
    <cfRule type="cellIs" dxfId="0" priority="5034" operator="equal">
      <formula>"未完成"</formula>
    </cfRule>
  </conditionalFormatting>
  <conditionalFormatting sqref="R1359">
    <cfRule type="containsText" dxfId="0" priority="5173" operator="between" text="欠">
      <formula>NOT(ISERROR(SEARCH("欠",R1359)))</formula>
    </cfRule>
    <cfRule type="cellIs" dxfId="0" priority="5174" operator="equal">
      <formula>"欠"</formula>
    </cfRule>
  </conditionalFormatting>
  <conditionalFormatting sqref="S1359">
    <cfRule type="cellIs" dxfId="0" priority="5175" operator="equal">
      <formula>"欠"</formula>
    </cfRule>
  </conditionalFormatting>
  <conditionalFormatting sqref="T1359:U1359">
    <cfRule type="containsText" dxfId="0" priority="5171" operator="between" text="欠">
      <formula>NOT(ISERROR(SEARCH("欠",T1359)))</formula>
    </cfRule>
    <cfRule type="cellIs" dxfId="0" priority="5172" operator="equal">
      <formula>"欠"</formula>
    </cfRule>
  </conditionalFormatting>
  <conditionalFormatting sqref="V1359">
    <cfRule type="cellIs" dxfId="0" priority="5178" operator="equal">
      <formula>"欠"</formula>
    </cfRule>
  </conditionalFormatting>
  <conditionalFormatting sqref="AG1359">
    <cfRule type="cellIs" dxfId="0" priority="5179" operator="equal">
      <formula>"未完成"</formula>
    </cfRule>
  </conditionalFormatting>
  <conditionalFormatting sqref="AL1359:AM1359">
    <cfRule type="cellIs" dxfId="1" priority="5176" operator="equal">
      <formula>"未完成"</formula>
    </cfRule>
    <cfRule type="cellIs" dxfId="0" priority="5177" operator="equal">
      <formula>"未完成"</formula>
    </cfRule>
  </conditionalFormatting>
  <conditionalFormatting sqref="R1360">
    <cfRule type="containsText" dxfId="0" priority="5192" operator="between" text="欠">
      <formula>NOT(ISERROR(SEARCH("欠",R1360)))</formula>
    </cfRule>
    <cfRule type="cellIs" dxfId="0" priority="5197" operator="equal">
      <formula>"欠"</formula>
    </cfRule>
  </conditionalFormatting>
  <conditionalFormatting sqref="S1360">
    <cfRule type="cellIs" dxfId="0" priority="5196" operator="equal">
      <formula>"欠"</formula>
    </cfRule>
  </conditionalFormatting>
  <conditionalFormatting sqref="T1360:U1360">
    <cfRule type="containsText" dxfId="0" priority="5194" operator="between" text="欠">
      <formula>NOT(ISERROR(SEARCH("欠",T1360)))</formula>
    </cfRule>
    <cfRule type="cellIs" dxfId="0" priority="5195" operator="equal">
      <formula>"欠"</formula>
    </cfRule>
  </conditionalFormatting>
  <conditionalFormatting sqref="V1360">
    <cfRule type="cellIs" dxfId="0" priority="5201" operator="equal">
      <formula>"欠"</formula>
    </cfRule>
  </conditionalFormatting>
  <conditionalFormatting sqref="AG1360">
    <cfRule type="cellIs" dxfId="0" priority="5202" operator="equal">
      <formula>"未完成"</formula>
    </cfRule>
  </conditionalFormatting>
  <conditionalFormatting sqref="AL1360:AM1360">
    <cfRule type="cellIs" dxfId="1" priority="5199" operator="equal">
      <formula>"未完成"</formula>
    </cfRule>
    <cfRule type="cellIs" dxfId="0" priority="5200" operator="equal">
      <formula>"未完成"</formula>
    </cfRule>
  </conditionalFormatting>
  <conditionalFormatting sqref="AN1360">
    <cfRule type="cellIs" dxfId="0" priority="5198" operator="equal">
      <formula>"欠"</formula>
    </cfRule>
  </conditionalFormatting>
  <conditionalFormatting sqref="Q1361">
    <cfRule type="cellIs" dxfId="0" priority="5439" operator="equal">
      <formula>"欠"</formula>
    </cfRule>
  </conditionalFormatting>
  <conditionalFormatting sqref="R1361">
    <cfRule type="containsText" dxfId="0" priority="5271" operator="between" text="欠">
      <formula>NOT(ISERROR(SEARCH("欠",R1361)))</formula>
    </cfRule>
    <cfRule type="cellIs" dxfId="0" priority="5295" operator="equal">
      <formula>"欠"</formula>
    </cfRule>
  </conditionalFormatting>
  <conditionalFormatting sqref="T1361:U1361">
    <cfRule type="containsText" dxfId="0" priority="5307" operator="between" text="欠">
      <formula>NOT(ISERROR(SEARCH("欠",T1361)))</formula>
    </cfRule>
    <cfRule type="cellIs" dxfId="0" priority="5343" operator="equal">
      <formula>"欠"</formula>
    </cfRule>
  </conditionalFormatting>
  <conditionalFormatting sqref="V1361">
    <cfRule type="cellIs" dxfId="0" priority="5391" operator="equal">
      <formula>"欠"</formula>
    </cfRule>
  </conditionalFormatting>
  <conditionalFormatting sqref="AL1361">
    <cfRule type="cellIs" dxfId="1" priority="5415" operator="equal">
      <formula>"未完成"</formula>
    </cfRule>
    <cfRule type="cellIs" dxfId="0" priority="5427" operator="equal">
      <formula>"未完成"</formula>
    </cfRule>
  </conditionalFormatting>
  <conditionalFormatting sqref="AM1361">
    <cfRule type="cellIs" dxfId="0" priority="5403" operator="equal">
      <formula>"欠"</formula>
    </cfRule>
  </conditionalFormatting>
  <conditionalFormatting sqref="S1362">
    <cfRule type="cellIs" dxfId="0" priority="5628" operator="equal">
      <formula>"欠"</formula>
    </cfRule>
  </conditionalFormatting>
  <conditionalFormatting sqref="T1362:U1362">
    <cfRule type="containsText" dxfId="0" priority="5621" operator="between" text="欠">
      <formula>NOT(ISERROR(SEARCH("欠",T1362)))</formula>
    </cfRule>
    <cfRule type="cellIs" dxfId="0" priority="5627" operator="equal">
      <formula>"欠"</formula>
    </cfRule>
  </conditionalFormatting>
  <conditionalFormatting sqref="V1362">
    <cfRule type="cellIs" dxfId="0" priority="6033" operator="equal">
      <formula>"欠"</formula>
    </cfRule>
  </conditionalFormatting>
  <conditionalFormatting sqref="AG1362">
    <cfRule type="cellIs" dxfId="0" priority="6036" operator="equal">
      <formula>"未完成"</formula>
    </cfRule>
  </conditionalFormatting>
  <conditionalFormatting sqref="AL1362:AM1362">
    <cfRule type="cellIs" dxfId="1" priority="6031" operator="equal">
      <formula>"未完成"</formula>
    </cfRule>
    <cfRule type="cellIs" dxfId="0" priority="6032" operator="equal">
      <formula>"未完成"</formula>
    </cfRule>
  </conditionalFormatting>
  <conditionalFormatting sqref="V1363">
    <cfRule type="cellIs" dxfId="0" priority="6346" operator="equal">
      <formula>"欠"</formula>
    </cfRule>
  </conditionalFormatting>
  <conditionalFormatting sqref="AG1363">
    <cfRule type="cellIs" dxfId="0" priority="6349" operator="equal">
      <formula>"未完成"</formula>
    </cfRule>
  </conditionalFormatting>
  <conditionalFormatting sqref="AL1363:AM1363">
    <cfRule type="cellIs" dxfId="1" priority="6344" operator="equal">
      <formula>"未完成"</formula>
    </cfRule>
    <cfRule type="cellIs" dxfId="0" priority="6345" operator="equal">
      <formula>"未完成"</formula>
    </cfRule>
  </conditionalFormatting>
  <conditionalFormatting sqref="R1364">
    <cfRule type="containsText" dxfId="0" priority="5732" operator="between" text="欠">
      <formula>NOT(ISERROR(SEARCH("欠",R1364)))</formula>
    </cfRule>
    <cfRule type="cellIs" dxfId="0" priority="5735" operator="equal">
      <formula>"欠"</formula>
    </cfRule>
  </conditionalFormatting>
  <conditionalFormatting sqref="T1364:U1364">
    <cfRule type="containsText" dxfId="0" priority="5731" operator="between" text="欠">
      <formula>NOT(ISERROR(SEARCH("欠",T1364)))</formula>
    </cfRule>
    <cfRule type="cellIs" dxfId="0" priority="5733" operator="equal">
      <formula>"欠"</formula>
    </cfRule>
  </conditionalFormatting>
  <conditionalFormatting sqref="V1364">
    <cfRule type="cellIs" dxfId="0" priority="6502" operator="equal">
      <formula>"欠"</formula>
    </cfRule>
  </conditionalFormatting>
  <conditionalFormatting sqref="AG1364">
    <cfRule type="cellIs" dxfId="0" priority="6505" operator="equal">
      <formula>"未完成"</formula>
    </cfRule>
  </conditionalFormatting>
  <conditionalFormatting sqref="AL1364:AM1364">
    <cfRule type="cellIs" dxfId="1" priority="6500" operator="equal">
      <formula>"未完成"</formula>
    </cfRule>
    <cfRule type="cellIs" dxfId="0" priority="6501" operator="equal">
      <formula>"未完成"</formula>
    </cfRule>
  </conditionalFormatting>
  <conditionalFormatting sqref="V1365">
    <cfRule type="cellIs" dxfId="0" priority="4942" operator="equal">
      <formula>"欠"</formula>
    </cfRule>
  </conditionalFormatting>
  <conditionalFormatting sqref="AG1365">
    <cfRule type="cellIs" dxfId="0" priority="4948" operator="equal">
      <formula>"未完成"</formula>
    </cfRule>
  </conditionalFormatting>
  <conditionalFormatting sqref="AL1365:AM1365">
    <cfRule type="cellIs" dxfId="1" priority="4930" operator="equal">
      <formula>"未完成"</formula>
    </cfRule>
    <cfRule type="cellIs" dxfId="0" priority="4936" operator="equal">
      <formula>"未完成"</formula>
    </cfRule>
  </conditionalFormatting>
  <conditionalFormatting sqref="V1366">
    <cfRule type="cellIs" dxfId="0" priority="4941" operator="equal">
      <formula>"欠"</formula>
    </cfRule>
  </conditionalFormatting>
  <conditionalFormatting sqref="AG1366">
    <cfRule type="cellIs" dxfId="0" priority="4947" operator="equal">
      <formula>"未完成"</formula>
    </cfRule>
  </conditionalFormatting>
  <conditionalFormatting sqref="AL1366:AM1366">
    <cfRule type="cellIs" dxfId="1" priority="4929" operator="equal">
      <formula>"未完成"</formula>
    </cfRule>
    <cfRule type="cellIs" dxfId="0" priority="4935" operator="equal">
      <formula>"未完成"</formula>
    </cfRule>
  </conditionalFormatting>
  <conditionalFormatting sqref="T1367:U1367">
    <cfRule type="containsText" dxfId="0" priority="5584" operator="between" text="欠">
      <formula>NOT(ISERROR(SEARCH("欠",T1367)))</formula>
    </cfRule>
    <cfRule type="cellIs" dxfId="0" priority="5585" operator="equal">
      <formula>"欠"</formula>
    </cfRule>
  </conditionalFormatting>
  <conditionalFormatting sqref="R1369">
    <cfRule type="containsText" dxfId="0" priority="5466" operator="between" text="欠">
      <formula>NOT(ISERROR(SEARCH("欠",R1369)))</formula>
    </cfRule>
    <cfRule type="cellIs" dxfId="0" priority="5506" operator="equal">
      <formula>"欠"</formula>
    </cfRule>
  </conditionalFormatting>
  <conditionalFormatting sqref="S1369">
    <cfRule type="cellIs" dxfId="0" priority="5498" operator="equal">
      <formula>"欠"</formula>
    </cfRule>
  </conditionalFormatting>
  <conditionalFormatting sqref="T1369:U1369">
    <cfRule type="containsText" dxfId="0" priority="5482" operator="between" text="欠">
      <formula>NOT(ISERROR(SEARCH("欠",T1369)))</formula>
    </cfRule>
    <cfRule type="cellIs" dxfId="0" priority="5490" operator="equal">
      <formula>"欠"</formula>
    </cfRule>
  </conditionalFormatting>
  <conditionalFormatting sqref="V1369">
    <cfRule type="cellIs" dxfId="0" priority="5538" operator="equal">
      <formula>"欠"</formula>
    </cfRule>
  </conditionalFormatting>
  <conditionalFormatting sqref="AG1369">
    <cfRule type="cellIs" dxfId="0" priority="5546" operator="equal">
      <formula>"未完成"</formula>
    </cfRule>
  </conditionalFormatting>
  <conditionalFormatting sqref="AL1369:AM1369">
    <cfRule type="cellIs" dxfId="1" priority="5522" operator="equal">
      <formula>"未完成"</formula>
    </cfRule>
    <cfRule type="cellIs" dxfId="0" priority="5530" operator="equal">
      <formula>"未完成"</formula>
    </cfRule>
  </conditionalFormatting>
  <conditionalFormatting sqref="AN1369">
    <cfRule type="cellIs" dxfId="0" priority="5514" operator="equal">
      <formula>"欠"</formula>
    </cfRule>
  </conditionalFormatting>
  <conditionalFormatting sqref="R1370">
    <cfRule type="containsText" dxfId="0" priority="4653" operator="between" text="欠">
      <formula>NOT(ISERROR(SEARCH("欠",R1370)))</formula>
    </cfRule>
    <cfRule type="cellIs" dxfId="0" priority="4655" operator="equal">
      <formula>"欠"</formula>
    </cfRule>
  </conditionalFormatting>
  <conditionalFormatting sqref="V1370">
    <cfRule type="cellIs" dxfId="0" priority="4944" operator="equal">
      <formula>"欠"</formula>
    </cfRule>
  </conditionalFormatting>
  <conditionalFormatting sqref="AG1370">
    <cfRule type="cellIs" dxfId="0" priority="4950" operator="equal">
      <formula>"未完成"</formula>
    </cfRule>
  </conditionalFormatting>
  <conditionalFormatting sqref="AL1370:AM1370">
    <cfRule type="cellIs" dxfId="1" priority="4932" operator="equal">
      <formula>"未完成"</formula>
    </cfRule>
    <cfRule type="cellIs" dxfId="0" priority="4938" operator="equal">
      <formula>"未完成"</formula>
    </cfRule>
  </conditionalFormatting>
  <conditionalFormatting sqref="R1371">
    <cfRule type="containsText" dxfId="0" priority="4650" operator="between" text="欠">
      <formula>NOT(ISERROR(SEARCH("欠",R1371)))</formula>
    </cfRule>
    <cfRule type="cellIs" dxfId="0" priority="4652" operator="equal">
      <formula>"欠"</formula>
    </cfRule>
  </conditionalFormatting>
  <conditionalFormatting sqref="V1371">
    <cfRule type="cellIs" dxfId="0" priority="4943" operator="equal">
      <formula>"欠"</formula>
    </cfRule>
  </conditionalFormatting>
  <conditionalFormatting sqref="AG1371">
    <cfRule type="cellIs" dxfId="0" priority="4949" operator="equal">
      <formula>"未完成"</formula>
    </cfRule>
  </conditionalFormatting>
  <conditionalFormatting sqref="AL1371:AM1371">
    <cfRule type="cellIs" dxfId="1" priority="4931" operator="equal">
      <formula>"未完成"</formula>
    </cfRule>
    <cfRule type="cellIs" dxfId="0" priority="4937" operator="equal">
      <formula>"未完成"</formula>
    </cfRule>
  </conditionalFormatting>
  <conditionalFormatting sqref="V1372">
    <cfRule type="cellIs" dxfId="0" priority="6466" operator="equal">
      <formula>"欠"</formula>
    </cfRule>
  </conditionalFormatting>
  <conditionalFormatting sqref="AG1372">
    <cfRule type="cellIs" dxfId="0" priority="6469" operator="equal">
      <formula>"未完成"</formula>
    </cfRule>
  </conditionalFormatting>
  <conditionalFormatting sqref="AL1372:AM1372">
    <cfRule type="cellIs" dxfId="1" priority="6464" operator="equal">
      <formula>"未完成"</formula>
    </cfRule>
    <cfRule type="cellIs" dxfId="0" priority="6465" operator="equal">
      <formula>"未完成"</formula>
    </cfRule>
  </conditionalFormatting>
  <conditionalFormatting sqref="V1373">
    <cfRule type="cellIs" dxfId="0" priority="6894" operator="equal">
      <formula>"欠"</formula>
    </cfRule>
  </conditionalFormatting>
  <conditionalFormatting sqref="AG1373">
    <cfRule type="cellIs" dxfId="0" priority="6897" operator="equal">
      <formula>"未完成"</formula>
    </cfRule>
  </conditionalFormatting>
  <conditionalFormatting sqref="AL1373:AM1373">
    <cfRule type="cellIs" dxfId="1" priority="6892" operator="equal">
      <formula>"未完成"</formula>
    </cfRule>
    <cfRule type="cellIs" dxfId="0" priority="6893" operator="equal">
      <formula>"未完成"</formula>
    </cfRule>
  </conditionalFormatting>
  <conditionalFormatting sqref="AN1373">
    <cfRule type="cellIs" dxfId="0" priority="6891" operator="equal">
      <formula>"欠"</formula>
    </cfRule>
  </conditionalFormatting>
  <conditionalFormatting sqref="V1374">
    <cfRule type="cellIs" dxfId="0" priority="6881" operator="equal">
      <formula>"欠"</formula>
    </cfRule>
  </conditionalFormatting>
  <conditionalFormatting sqref="AG1374">
    <cfRule type="cellIs" dxfId="0" priority="6884" operator="equal">
      <formula>"未完成"</formula>
    </cfRule>
  </conditionalFormatting>
  <conditionalFormatting sqref="AL1374:AM1374">
    <cfRule type="cellIs" dxfId="1" priority="6879" operator="equal">
      <formula>"未完成"</formula>
    </cfRule>
    <cfRule type="cellIs" dxfId="0" priority="6880" operator="equal">
      <formula>"未完成"</formula>
    </cfRule>
  </conditionalFormatting>
  <conditionalFormatting sqref="AN1374">
    <cfRule type="cellIs" dxfId="0" priority="6878" operator="equal">
      <formula>"欠"</formula>
    </cfRule>
  </conditionalFormatting>
  <conditionalFormatting sqref="V1375">
    <cfRule type="cellIs" dxfId="0" priority="6868" operator="equal">
      <formula>"欠"</formula>
    </cfRule>
  </conditionalFormatting>
  <conditionalFormatting sqref="AG1375">
    <cfRule type="cellIs" dxfId="0" priority="6871" operator="equal">
      <formula>"未完成"</formula>
    </cfRule>
  </conditionalFormatting>
  <conditionalFormatting sqref="AL1375:AM1375">
    <cfRule type="cellIs" dxfId="1" priority="6866" operator="equal">
      <formula>"未完成"</formula>
    </cfRule>
    <cfRule type="cellIs" dxfId="0" priority="6867" operator="equal">
      <formula>"未完成"</formula>
    </cfRule>
  </conditionalFormatting>
  <conditionalFormatting sqref="AN1375">
    <cfRule type="cellIs" dxfId="0" priority="6865" operator="equal">
      <formula>"欠"</formula>
    </cfRule>
  </conditionalFormatting>
  <conditionalFormatting sqref="Q1379">
    <cfRule type="cellIs" dxfId="0" priority="5442" operator="equal">
      <formula>"欠"</formula>
    </cfRule>
  </conditionalFormatting>
  <conditionalFormatting sqref="R1379">
    <cfRule type="containsText" dxfId="0" priority="5274" operator="between" text="欠">
      <formula>NOT(ISERROR(SEARCH("欠",R1379)))</formula>
    </cfRule>
    <cfRule type="cellIs" dxfId="0" priority="5298" operator="equal">
      <formula>"欠"</formula>
    </cfRule>
  </conditionalFormatting>
  <conditionalFormatting sqref="T1379:U1379">
    <cfRule type="cellIs" dxfId="0" priority="5262" operator="equal">
      <formula>"欠"</formula>
    </cfRule>
  </conditionalFormatting>
  <conditionalFormatting sqref="V1379">
    <cfRule type="cellIs" dxfId="0" priority="5394" operator="equal">
      <formula>"欠"</formula>
    </cfRule>
  </conditionalFormatting>
  <conditionalFormatting sqref="AL1379">
    <cfRule type="cellIs" dxfId="1" priority="5418" operator="equal">
      <formula>"未完成"</formula>
    </cfRule>
    <cfRule type="cellIs" dxfId="0" priority="5430" operator="equal">
      <formula>"未完成"</formula>
    </cfRule>
  </conditionalFormatting>
  <conditionalFormatting sqref="AM1379">
    <cfRule type="cellIs" dxfId="0" priority="5406" operator="equal">
      <formula>"欠"</formula>
    </cfRule>
  </conditionalFormatting>
  <conditionalFormatting sqref="Q1380">
    <cfRule type="cellIs" dxfId="0" priority="4105" operator="equal">
      <formula>"欠"</formula>
    </cfRule>
  </conditionalFormatting>
  <conditionalFormatting sqref="R1380">
    <cfRule type="containsText" dxfId="0" priority="4070" operator="between" text="欠">
      <formula>NOT(ISERROR(SEARCH("欠",R1380)))</formula>
    </cfRule>
    <cfRule type="cellIs" dxfId="0" priority="4075" operator="equal">
      <formula>"欠"</formula>
    </cfRule>
  </conditionalFormatting>
  <conditionalFormatting sqref="T1380:U1380">
    <cfRule type="containsText" dxfId="0" priority="4110" operator="between" text="欠">
      <formula>NOT(ISERROR(SEARCH("欠",T1380)))</formula>
    </cfRule>
    <cfRule type="cellIs" dxfId="0" priority="4120" operator="equal">
      <formula>"欠"</formula>
    </cfRule>
  </conditionalFormatting>
  <conditionalFormatting sqref="V1380">
    <cfRule type="cellIs" dxfId="0" priority="4085" operator="equal">
      <formula>"欠"</formula>
    </cfRule>
  </conditionalFormatting>
  <conditionalFormatting sqref="AL1380">
    <cfRule type="cellIs" dxfId="1" priority="4095" operator="equal">
      <formula>"未完成"</formula>
    </cfRule>
    <cfRule type="cellIs" dxfId="0" priority="4100" operator="equal">
      <formula>"未完成"</formula>
    </cfRule>
  </conditionalFormatting>
  <conditionalFormatting sqref="AM1380">
    <cfRule type="cellIs" dxfId="0" priority="4090" operator="equal">
      <formula>"欠"</formula>
    </cfRule>
  </conditionalFormatting>
  <conditionalFormatting sqref="R1381">
    <cfRule type="containsText" dxfId="0" priority="5682" operator="between" text="欠">
      <formula>NOT(ISERROR(SEARCH("欠",R1381)))</formula>
    </cfRule>
    <cfRule type="cellIs" dxfId="0" priority="5684" operator="equal">
      <formula>"欠"</formula>
    </cfRule>
  </conditionalFormatting>
  <conditionalFormatting sqref="T1381:U1381">
    <cfRule type="cellIs" dxfId="0" priority="5963" operator="equal">
      <formula>"欠"</formula>
    </cfRule>
  </conditionalFormatting>
  <conditionalFormatting sqref="V1381">
    <cfRule type="cellIs" dxfId="0" priority="6168" operator="equal">
      <formula>"欠"</formula>
    </cfRule>
  </conditionalFormatting>
  <conditionalFormatting sqref="AG1381">
    <cfRule type="cellIs" dxfId="0" priority="6169" operator="equal">
      <formula>"未完成"</formula>
    </cfRule>
  </conditionalFormatting>
  <conditionalFormatting sqref="AL1381:AM1381">
    <cfRule type="cellIs" dxfId="1" priority="6166" operator="equal">
      <formula>"未完成"</formula>
    </cfRule>
    <cfRule type="cellIs" dxfId="0" priority="6167" operator="equal">
      <formula>"未完成"</formula>
    </cfRule>
  </conditionalFormatting>
  <conditionalFormatting sqref="V1382">
    <cfRule type="cellIs" dxfId="0" priority="5148" operator="equal">
      <formula>"欠"</formula>
    </cfRule>
  </conditionalFormatting>
  <conditionalFormatting sqref="AG1382">
    <cfRule type="cellIs" dxfId="0" priority="5154" operator="equal">
      <formula>"未完成"</formula>
    </cfRule>
  </conditionalFormatting>
  <conditionalFormatting sqref="V1383">
    <cfRule type="cellIs" dxfId="0" priority="5147" operator="equal">
      <formula>"欠"</formula>
    </cfRule>
  </conditionalFormatting>
  <conditionalFormatting sqref="AG1383">
    <cfRule type="cellIs" dxfId="0" priority="5153" operator="equal">
      <formula>"未完成"</formula>
    </cfRule>
  </conditionalFormatting>
  <conditionalFormatting sqref="AM1383">
    <cfRule type="cellIs" dxfId="1" priority="5135" operator="equal">
      <formula>"未完成"</formula>
    </cfRule>
    <cfRule type="cellIs" dxfId="0" priority="5141" operator="equal">
      <formula>"未完成"</formula>
    </cfRule>
  </conditionalFormatting>
  <conditionalFormatting sqref="V1384">
    <cfRule type="cellIs" dxfId="0" priority="5146" operator="equal">
      <formula>"欠"</formula>
    </cfRule>
  </conditionalFormatting>
  <conditionalFormatting sqref="AG1384">
    <cfRule type="cellIs" dxfId="0" priority="5152" operator="equal">
      <formula>"未完成"</formula>
    </cfRule>
  </conditionalFormatting>
  <conditionalFormatting sqref="AM1384">
    <cfRule type="cellIs" dxfId="1" priority="5134" operator="equal">
      <formula>"未完成"</formula>
    </cfRule>
    <cfRule type="cellIs" dxfId="0" priority="5140" operator="equal">
      <formula>"未完成"</formula>
    </cfRule>
  </conditionalFormatting>
  <conditionalFormatting sqref="V1385">
    <cfRule type="cellIs" dxfId="0" priority="5145" operator="equal">
      <formula>"欠"</formula>
    </cfRule>
  </conditionalFormatting>
  <conditionalFormatting sqref="AG1385">
    <cfRule type="cellIs" dxfId="0" priority="5151" operator="equal">
      <formula>"未完成"</formula>
    </cfRule>
  </conditionalFormatting>
  <conditionalFormatting sqref="AM1385">
    <cfRule type="cellIs" dxfId="1" priority="5133" operator="equal">
      <formula>"未完成"</formula>
    </cfRule>
    <cfRule type="cellIs" dxfId="0" priority="5139" operator="equal">
      <formula>"未完成"</formula>
    </cfRule>
  </conditionalFormatting>
  <conditionalFormatting sqref="V1386">
    <cfRule type="cellIs" dxfId="0" priority="5144" operator="equal">
      <formula>"欠"</formula>
    </cfRule>
  </conditionalFormatting>
  <conditionalFormatting sqref="AG1386">
    <cfRule type="cellIs" dxfId="0" priority="5150" operator="equal">
      <formula>"未完成"</formula>
    </cfRule>
  </conditionalFormatting>
  <conditionalFormatting sqref="AM1386">
    <cfRule type="cellIs" dxfId="1" priority="5132" operator="equal">
      <formula>"未完成"</formula>
    </cfRule>
    <cfRule type="cellIs" dxfId="0" priority="5138" operator="equal">
      <formula>"未完成"</formula>
    </cfRule>
  </conditionalFormatting>
  <conditionalFormatting sqref="V1387">
    <cfRule type="cellIs" dxfId="0" priority="5143" operator="equal">
      <formula>"欠"</formula>
    </cfRule>
  </conditionalFormatting>
  <conditionalFormatting sqref="AG1387">
    <cfRule type="cellIs" dxfId="0" priority="5149" operator="equal">
      <formula>"未完成"</formula>
    </cfRule>
  </conditionalFormatting>
  <conditionalFormatting sqref="AM1387">
    <cfRule type="cellIs" dxfId="1" priority="5131" operator="equal">
      <formula>"未完成"</formula>
    </cfRule>
    <cfRule type="cellIs" dxfId="0" priority="5137" operator="equal">
      <formula>"未完成"</formula>
    </cfRule>
  </conditionalFormatting>
  <conditionalFormatting sqref="R1388">
    <cfRule type="containsText" dxfId="0" priority="4977" operator="between" text="欠">
      <formula>NOT(ISERROR(SEARCH("欠",R1388)))</formula>
    </cfRule>
    <cfRule type="cellIs" dxfId="0" priority="4978" operator="equal">
      <formula>"欠"</formula>
    </cfRule>
  </conditionalFormatting>
  <conditionalFormatting sqref="S1388">
    <cfRule type="cellIs" dxfId="0" priority="4979" operator="equal">
      <formula>"欠"</formula>
    </cfRule>
  </conditionalFormatting>
  <conditionalFormatting sqref="T1388:U1388">
    <cfRule type="containsText" dxfId="0" priority="4975" operator="between" text="欠">
      <formula>NOT(ISERROR(SEARCH("欠",T1388)))</formula>
    </cfRule>
    <cfRule type="cellIs" dxfId="0" priority="4976" operator="equal">
      <formula>"欠"</formula>
    </cfRule>
  </conditionalFormatting>
  <conditionalFormatting sqref="V1388">
    <cfRule type="cellIs" dxfId="0" priority="4982" operator="equal">
      <formula>"欠"</formula>
    </cfRule>
  </conditionalFormatting>
  <conditionalFormatting sqref="AG1388">
    <cfRule type="cellIs" dxfId="0" priority="4983" operator="equal">
      <formula>"未完成"</formula>
    </cfRule>
  </conditionalFormatting>
  <conditionalFormatting sqref="AL1388:AM1388">
    <cfRule type="cellIs" dxfId="1" priority="4980" operator="equal">
      <formula>"未完成"</formula>
    </cfRule>
    <cfRule type="cellIs" dxfId="0" priority="4981" operator="equal">
      <formula>"未完成"</formula>
    </cfRule>
  </conditionalFormatting>
  <conditionalFormatting sqref="AG1392">
    <cfRule type="cellIs" dxfId="0" priority="4818" operator="equal">
      <formula>"未完成"</formula>
    </cfRule>
  </conditionalFormatting>
  <conditionalFormatting sqref="AL1392:AM1392">
    <cfRule type="cellIs" dxfId="1" priority="4813" operator="equal">
      <formula>"未完成"</formula>
    </cfRule>
    <cfRule type="cellIs" dxfId="0" priority="4814" operator="equal">
      <formula>"未完成"</formula>
    </cfRule>
  </conditionalFormatting>
  <conditionalFormatting sqref="AG1393">
    <cfRule type="cellIs" dxfId="0" priority="4793" operator="equal">
      <formula>"未完成"</formula>
    </cfRule>
  </conditionalFormatting>
  <conditionalFormatting sqref="AL1393:AM1393">
    <cfRule type="cellIs" dxfId="1" priority="4790" operator="equal">
      <formula>"未完成"</formula>
    </cfRule>
    <cfRule type="cellIs" dxfId="0" priority="4791" operator="equal">
      <formula>"未完成"</formula>
    </cfRule>
  </conditionalFormatting>
  <conditionalFormatting sqref="Q1394">
    <cfRule type="cellIs" dxfId="0" priority="4108" operator="equal">
      <formula>"欠"</formula>
    </cfRule>
  </conditionalFormatting>
  <conditionalFormatting sqref="T1394:U1394">
    <cfRule type="containsText" dxfId="0" priority="4113" operator="between" text="欠">
      <formula>NOT(ISERROR(SEARCH("欠",T1394)))</formula>
    </cfRule>
    <cfRule type="cellIs" dxfId="0" priority="4123" operator="equal">
      <formula>"欠"</formula>
    </cfRule>
  </conditionalFormatting>
  <conditionalFormatting sqref="V1394">
    <cfRule type="cellIs" dxfId="0" priority="4088" operator="equal">
      <formula>"欠"</formula>
    </cfRule>
  </conditionalFormatting>
  <conditionalFormatting sqref="AL1394">
    <cfRule type="cellIs" dxfId="1" priority="4098" operator="equal">
      <formula>"未完成"</formula>
    </cfRule>
    <cfRule type="cellIs" dxfId="0" priority="4103" operator="equal">
      <formula>"未完成"</formula>
    </cfRule>
  </conditionalFormatting>
  <conditionalFormatting sqref="AM1394">
    <cfRule type="cellIs" dxfId="0" priority="4093" operator="equal">
      <formula>"欠"</formula>
    </cfRule>
  </conditionalFormatting>
  <conditionalFormatting sqref="Q1395">
    <cfRule type="cellIs" dxfId="0" priority="4107" operator="equal">
      <formula>"欠"</formula>
    </cfRule>
  </conditionalFormatting>
  <conditionalFormatting sqref="T1395:U1395">
    <cfRule type="containsText" dxfId="0" priority="4112" operator="between" text="欠">
      <formula>NOT(ISERROR(SEARCH("欠",T1395)))</formula>
    </cfRule>
    <cfRule type="cellIs" dxfId="0" priority="4122" operator="equal">
      <formula>"欠"</formula>
    </cfRule>
  </conditionalFormatting>
  <conditionalFormatting sqref="V1395">
    <cfRule type="cellIs" dxfId="0" priority="4087" operator="equal">
      <formula>"欠"</formula>
    </cfRule>
  </conditionalFormatting>
  <conditionalFormatting sqref="AL1395">
    <cfRule type="cellIs" dxfId="1" priority="4097" operator="equal">
      <formula>"未完成"</formula>
    </cfRule>
    <cfRule type="cellIs" dxfId="0" priority="4102" operator="equal">
      <formula>"未完成"</formula>
    </cfRule>
  </conditionalFormatting>
  <conditionalFormatting sqref="AM1395">
    <cfRule type="cellIs" dxfId="0" priority="4092" operator="equal">
      <formula>"欠"</formula>
    </cfRule>
  </conditionalFormatting>
  <conditionalFormatting sqref="R1396">
    <cfRule type="containsText" dxfId="0" priority="4797" operator="between" text="欠">
      <formula>NOT(ISERROR(SEARCH("欠",R1396)))</formula>
    </cfRule>
    <cfRule type="cellIs" dxfId="0" priority="4805" operator="equal">
      <formula>"欠"</formula>
    </cfRule>
  </conditionalFormatting>
  <conditionalFormatting sqref="S1396">
    <cfRule type="cellIs" dxfId="0" priority="4804" operator="equal">
      <formula>"欠"</formula>
    </cfRule>
  </conditionalFormatting>
  <conditionalFormatting sqref="T1396:V1396">
    <cfRule type="cellIs" dxfId="0" priority="4803" operator="equal">
      <formula>"欠"</formula>
    </cfRule>
  </conditionalFormatting>
  <conditionalFormatting sqref="T1396:U1396">
    <cfRule type="containsText" dxfId="0" priority="4796" operator="between" text="欠">
      <formula>NOT(ISERROR(SEARCH("欠",T1396)))</formula>
    </cfRule>
  </conditionalFormatting>
  <conditionalFormatting sqref="AG1396">
    <cfRule type="cellIs" dxfId="0" priority="4806" operator="equal">
      <formula>"未完成"</formula>
    </cfRule>
  </conditionalFormatting>
  <conditionalFormatting sqref="AL1396:AM1396">
    <cfRule type="cellIs" dxfId="1" priority="4801" operator="equal">
      <formula>"未完成"</formula>
    </cfRule>
    <cfRule type="cellIs" dxfId="0" priority="4802" operator="equal">
      <formula>"未完成"</formula>
    </cfRule>
  </conditionalFormatting>
  <conditionalFormatting sqref="AG1399:AH1399">
    <cfRule type="cellIs" dxfId="0" priority="4890" operator="equal">
      <formula>"未完成"</formula>
    </cfRule>
  </conditionalFormatting>
  <conditionalFormatting sqref="AL1399:AM1399">
    <cfRule type="cellIs" dxfId="1" priority="4860" operator="equal">
      <formula>"未完成"</formula>
    </cfRule>
    <cfRule type="cellIs" dxfId="0" priority="4866" operator="equal">
      <formula>"未完成"</formula>
    </cfRule>
  </conditionalFormatting>
  <conditionalFormatting sqref="AG1400:AH1400">
    <cfRule type="cellIs" dxfId="0" priority="4889" operator="equal">
      <formula>"未完成"</formula>
    </cfRule>
  </conditionalFormatting>
  <conditionalFormatting sqref="AL1400:AM1400">
    <cfRule type="cellIs" dxfId="1" priority="4859" operator="equal">
      <formula>"未完成"</formula>
    </cfRule>
    <cfRule type="cellIs" dxfId="0" priority="4865" operator="equal">
      <formula>"未完成"</formula>
    </cfRule>
  </conditionalFormatting>
  <conditionalFormatting sqref="AL1401:AM1401">
    <cfRule type="cellIs" dxfId="1" priority="4858" operator="equal">
      <formula>"未完成"</formula>
    </cfRule>
    <cfRule type="cellIs" dxfId="0" priority="4864" operator="equal">
      <formula>"未完成"</formula>
    </cfRule>
  </conditionalFormatting>
  <conditionalFormatting sqref="AG1402">
    <cfRule type="cellIs" dxfId="0" priority="4887" operator="equal">
      <formula>"未完成"</formula>
    </cfRule>
  </conditionalFormatting>
  <conditionalFormatting sqref="AL1402:AM1402">
    <cfRule type="cellIs" dxfId="1" priority="4857" operator="equal">
      <formula>"未完成"</formula>
    </cfRule>
    <cfRule type="cellIs" dxfId="0" priority="4863" operator="equal">
      <formula>"未完成"</formula>
    </cfRule>
  </conditionalFormatting>
  <conditionalFormatting sqref="AG1403">
    <cfRule type="cellIs" dxfId="0" priority="4886" operator="equal">
      <formula>"未完成"</formula>
    </cfRule>
  </conditionalFormatting>
  <conditionalFormatting sqref="AL1403:AM1403">
    <cfRule type="cellIs" dxfId="1" priority="4856" operator="equal">
      <formula>"未完成"</formula>
    </cfRule>
    <cfRule type="cellIs" dxfId="0" priority="4862" operator="equal">
      <formula>"未完成"</formula>
    </cfRule>
  </conditionalFormatting>
  <conditionalFormatting sqref="AG1404">
    <cfRule type="cellIs" dxfId="0" priority="4885" operator="equal">
      <formula>"未完成"</formula>
    </cfRule>
  </conditionalFormatting>
  <conditionalFormatting sqref="AL1404:AM1404">
    <cfRule type="cellIs" dxfId="1" priority="4855" operator="equal">
      <formula>"未完成"</formula>
    </cfRule>
    <cfRule type="cellIs" dxfId="0" priority="4861" operator="equal">
      <formula>"未完成"</formula>
    </cfRule>
  </conditionalFormatting>
  <conditionalFormatting sqref="R1405">
    <cfRule type="containsText" dxfId="0" priority="5063" operator="between" text="欠">
      <formula>NOT(ISERROR(SEARCH("欠",R1405)))</formula>
    </cfRule>
    <cfRule type="cellIs" dxfId="0" priority="5064" operator="equal">
      <formula>"欠"</formula>
    </cfRule>
  </conditionalFormatting>
  <conditionalFormatting sqref="S1405">
    <cfRule type="cellIs" dxfId="0" priority="5065" operator="equal">
      <formula>"欠"</formula>
    </cfRule>
  </conditionalFormatting>
  <conditionalFormatting sqref="T1405:U1405">
    <cfRule type="containsText" dxfId="0" priority="5061" operator="between" text="欠">
      <formula>NOT(ISERROR(SEARCH("欠",T1405)))</formula>
    </cfRule>
    <cfRule type="cellIs" dxfId="0" priority="5062" operator="equal">
      <formula>"欠"</formula>
    </cfRule>
  </conditionalFormatting>
  <conditionalFormatting sqref="V1405">
    <cfRule type="cellIs" dxfId="0" priority="5068" operator="equal">
      <formula>"欠"</formula>
    </cfRule>
  </conditionalFormatting>
  <conditionalFormatting sqref="AG1405:AH1405">
    <cfRule type="cellIs" dxfId="0" priority="5069" operator="equal">
      <formula>"未完成"</formula>
    </cfRule>
  </conditionalFormatting>
  <conditionalFormatting sqref="AL1405:AM1405">
    <cfRule type="cellIs" dxfId="1" priority="5066" operator="equal">
      <formula>"未完成"</formula>
    </cfRule>
    <cfRule type="cellIs" dxfId="0" priority="5067" operator="equal">
      <formula>"未完成"</formula>
    </cfRule>
  </conditionalFormatting>
  <conditionalFormatting sqref="V1406">
    <cfRule type="cellIs" dxfId="0" priority="6334" operator="equal">
      <formula>"欠"</formula>
    </cfRule>
  </conditionalFormatting>
  <conditionalFormatting sqref="AL1406:AM1406">
    <cfRule type="cellIs" dxfId="1" priority="6332" operator="equal">
      <formula>"未完成"</formula>
    </cfRule>
    <cfRule type="cellIs" dxfId="0" priority="6333" operator="equal">
      <formula>"未完成"</formula>
    </cfRule>
  </conditionalFormatting>
  <conditionalFormatting sqref="V1407">
    <cfRule type="cellIs" dxfId="0" priority="4757" operator="equal">
      <formula>"欠"</formula>
    </cfRule>
  </conditionalFormatting>
  <conditionalFormatting sqref="AG1407">
    <cfRule type="cellIs" dxfId="0" priority="4762" operator="equal">
      <formula>"未完成"</formula>
    </cfRule>
  </conditionalFormatting>
  <conditionalFormatting sqref="AM1407">
    <cfRule type="cellIs" dxfId="1" priority="4737" operator="equal">
      <formula>"未完成"</formula>
    </cfRule>
    <cfRule type="cellIs" dxfId="0" priority="4747" operator="equal">
      <formula>"未完成"</formula>
    </cfRule>
  </conditionalFormatting>
  <conditionalFormatting sqref="AN1407">
    <cfRule type="cellIs" dxfId="0" priority="4772" operator="equal">
      <formula>"欠"</formula>
    </cfRule>
  </conditionalFormatting>
  <conditionalFormatting sqref="V1408">
    <cfRule type="cellIs" dxfId="0" priority="4756" operator="equal">
      <formula>"欠"</formula>
    </cfRule>
  </conditionalFormatting>
  <conditionalFormatting sqref="AG1408">
    <cfRule type="cellIs" dxfId="0" priority="4761" operator="equal">
      <formula>"未完成"</formula>
    </cfRule>
  </conditionalFormatting>
  <conditionalFormatting sqref="AM1408">
    <cfRule type="cellIs" dxfId="1" priority="4736" operator="equal">
      <formula>"未完成"</formula>
    </cfRule>
    <cfRule type="cellIs" dxfId="0" priority="4746" operator="equal">
      <formula>"未完成"</formula>
    </cfRule>
  </conditionalFormatting>
  <conditionalFormatting sqref="AN1408">
    <cfRule type="cellIs" dxfId="0" priority="4771" operator="equal">
      <formula>"欠"</formula>
    </cfRule>
  </conditionalFormatting>
  <conditionalFormatting sqref="V1409">
    <cfRule type="cellIs" dxfId="0" priority="4755" operator="equal">
      <formula>"欠"</formula>
    </cfRule>
  </conditionalFormatting>
  <conditionalFormatting sqref="AG1409">
    <cfRule type="cellIs" dxfId="0" priority="4760" operator="equal">
      <formula>"未完成"</formula>
    </cfRule>
  </conditionalFormatting>
  <conditionalFormatting sqref="AM1409">
    <cfRule type="cellIs" dxfId="1" priority="4735" operator="equal">
      <formula>"未完成"</formula>
    </cfRule>
    <cfRule type="cellIs" dxfId="0" priority="4745" operator="equal">
      <formula>"未完成"</formula>
    </cfRule>
  </conditionalFormatting>
  <conditionalFormatting sqref="AN1409">
    <cfRule type="cellIs" dxfId="0" priority="4770" operator="equal">
      <formula>"欠"</formula>
    </cfRule>
  </conditionalFormatting>
  <conditionalFormatting sqref="V1410">
    <cfRule type="cellIs" dxfId="0" priority="4754" operator="equal">
      <formula>"欠"</formula>
    </cfRule>
  </conditionalFormatting>
  <conditionalFormatting sqref="AG1410">
    <cfRule type="cellIs" dxfId="0" priority="4759" operator="equal">
      <formula>"未完成"</formula>
    </cfRule>
  </conditionalFormatting>
  <conditionalFormatting sqref="AM1410">
    <cfRule type="cellIs" dxfId="1" priority="4734" operator="equal">
      <formula>"未完成"</formula>
    </cfRule>
    <cfRule type="cellIs" dxfId="0" priority="4744" operator="equal">
      <formula>"未完成"</formula>
    </cfRule>
  </conditionalFormatting>
  <conditionalFormatting sqref="AN1410">
    <cfRule type="cellIs" dxfId="0" priority="4769" operator="equal">
      <formula>"欠"</formula>
    </cfRule>
  </conditionalFormatting>
  <conditionalFormatting sqref="V1411">
    <cfRule type="cellIs" dxfId="0" priority="4753" operator="equal">
      <formula>"欠"</formula>
    </cfRule>
  </conditionalFormatting>
  <conditionalFormatting sqref="AG1411">
    <cfRule type="cellIs" dxfId="0" priority="4758" operator="equal">
      <formula>"未完成"</formula>
    </cfRule>
  </conditionalFormatting>
  <conditionalFormatting sqref="AM1411">
    <cfRule type="cellIs" dxfId="1" priority="4733" operator="equal">
      <formula>"未完成"</formula>
    </cfRule>
    <cfRule type="cellIs" dxfId="0" priority="4743" operator="equal">
      <formula>"未完成"</formula>
    </cfRule>
  </conditionalFormatting>
  <conditionalFormatting sqref="AN1411">
    <cfRule type="cellIs" dxfId="0" priority="4768" operator="equal">
      <formula>"欠"</formula>
    </cfRule>
  </conditionalFormatting>
  <conditionalFormatting sqref="V1412">
    <cfRule type="cellIs" dxfId="0" priority="4699" operator="equal">
      <formula>"欠"</formula>
    </cfRule>
  </conditionalFormatting>
  <conditionalFormatting sqref="AG1412">
    <cfRule type="cellIs" dxfId="0" priority="4700" operator="equal">
      <formula>"未完成"</formula>
    </cfRule>
  </conditionalFormatting>
  <conditionalFormatting sqref="AM1412">
    <cfRule type="cellIs" dxfId="1" priority="4695" operator="equal">
      <formula>"未完成"</formula>
    </cfRule>
    <cfRule type="cellIs" dxfId="0" priority="4697" operator="equal">
      <formula>"未完成"</formula>
    </cfRule>
  </conditionalFormatting>
  <conditionalFormatting sqref="AN1412">
    <cfRule type="cellIs" dxfId="0" priority="4702" operator="equal">
      <formula>"欠"</formula>
    </cfRule>
  </conditionalFormatting>
  <conditionalFormatting sqref="Q1413">
    <cfRule type="cellIs" dxfId="0" priority="4541" operator="equal">
      <formula>"欠"</formula>
    </cfRule>
  </conditionalFormatting>
  <conditionalFormatting sqref="R1413">
    <cfRule type="containsText" dxfId="0" priority="3301" operator="between" text="欠">
      <formula>NOT(ISERROR(SEARCH("欠",R1413)))</formula>
    </cfRule>
    <cfRule type="cellIs" dxfId="0" priority="3302" operator="equal">
      <formula>"欠"</formula>
    </cfRule>
  </conditionalFormatting>
  <conditionalFormatting sqref="S1413">
    <cfRule type="cellIs" dxfId="0" priority="4559" operator="equal">
      <formula>"欠"</formula>
    </cfRule>
  </conditionalFormatting>
  <conditionalFormatting sqref="V1413">
    <cfRule type="cellIs" dxfId="0" priority="4505" operator="equal">
      <formula>"欠"</formula>
    </cfRule>
  </conditionalFormatting>
  <conditionalFormatting sqref="AL1413">
    <cfRule type="cellIs" dxfId="1" priority="4523" operator="equal">
      <formula>"未完成"</formula>
    </cfRule>
    <cfRule type="cellIs" dxfId="0" priority="4532" operator="equal">
      <formula>"未完成"</formula>
    </cfRule>
  </conditionalFormatting>
  <conditionalFormatting sqref="AM1413">
    <cfRule type="cellIs" dxfId="0" priority="4514" operator="equal">
      <formula>"欠"</formula>
    </cfRule>
  </conditionalFormatting>
  <conditionalFormatting sqref="Q1414">
    <cfRule type="cellIs" dxfId="0" priority="4539" operator="equal">
      <formula>"欠"</formula>
    </cfRule>
  </conditionalFormatting>
  <conditionalFormatting sqref="R1414">
    <cfRule type="containsText" dxfId="0" priority="4476" operator="between" text="欠">
      <formula>NOT(ISERROR(SEARCH("欠",R1414)))</formula>
    </cfRule>
    <cfRule type="cellIs" dxfId="0" priority="4485" operator="equal">
      <formula>"欠"</formula>
    </cfRule>
  </conditionalFormatting>
  <conditionalFormatting sqref="S1414">
    <cfRule type="cellIs" dxfId="0" priority="4557" operator="equal">
      <formula>"欠"</formula>
    </cfRule>
  </conditionalFormatting>
  <conditionalFormatting sqref="T1414:U1414">
    <cfRule type="containsText" dxfId="0" priority="4548" operator="between" text="欠">
      <formula>NOT(ISERROR(SEARCH("欠",T1414)))</formula>
    </cfRule>
    <cfRule type="cellIs" dxfId="0" priority="4566" operator="equal">
      <formula>"欠"</formula>
    </cfRule>
  </conditionalFormatting>
  <conditionalFormatting sqref="V1414">
    <cfRule type="cellIs" dxfId="0" priority="4503" operator="equal">
      <formula>"欠"</formula>
    </cfRule>
  </conditionalFormatting>
  <conditionalFormatting sqref="AL1414">
    <cfRule type="cellIs" dxfId="1" priority="4521" operator="equal">
      <formula>"未完成"</formula>
    </cfRule>
    <cfRule type="cellIs" dxfId="0" priority="4530" operator="equal">
      <formula>"未完成"</formula>
    </cfRule>
  </conditionalFormatting>
  <conditionalFormatting sqref="AM1414">
    <cfRule type="cellIs" dxfId="0" priority="4512" operator="equal">
      <formula>"欠"</formula>
    </cfRule>
  </conditionalFormatting>
  <conditionalFormatting sqref="Q1415">
    <cfRule type="cellIs" dxfId="0" priority="4535" operator="equal">
      <formula>"欠"</formula>
    </cfRule>
  </conditionalFormatting>
  <conditionalFormatting sqref="R1415">
    <cfRule type="containsText" dxfId="0" priority="4472" operator="between" text="欠">
      <formula>NOT(ISERROR(SEARCH("欠",R1415)))</formula>
    </cfRule>
    <cfRule type="cellIs" dxfId="0" priority="4481" operator="equal">
      <formula>"欠"</formula>
    </cfRule>
  </conditionalFormatting>
  <conditionalFormatting sqref="S1415">
    <cfRule type="cellIs" dxfId="0" priority="4553" operator="equal">
      <formula>"欠"</formula>
    </cfRule>
  </conditionalFormatting>
  <conditionalFormatting sqref="T1415:U1415">
    <cfRule type="containsText" dxfId="0" priority="4544" operator="between" text="欠">
      <formula>NOT(ISERROR(SEARCH("欠",T1415)))</formula>
    </cfRule>
    <cfRule type="cellIs" dxfId="0" priority="4562" operator="equal">
      <formula>"欠"</formula>
    </cfRule>
  </conditionalFormatting>
  <conditionalFormatting sqref="V1415">
    <cfRule type="cellIs" dxfId="0" priority="4499" operator="equal">
      <formula>"欠"</formula>
    </cfRule>
  </conditionalFormatting>
  <conditionalFormatting sqref="AL1415">
    <cfRule type="cellIs" dxfId="1" priority="4517" operator="equal">
      <formula>"未完成"</formula>
    </cfRule>
    <cfRule type="cellIs" dxfId="0" priority="4526" operator="equal">
      <formula>"未完成"</formula>
    </cfRule>
  </conditionalFormatting>
  <conditionalFormatting sqref="AM1415">
    <cfRule type="cellIs" dxfId="0" priority="4508" operator="equal">
      <formula>"欠"</formula>
    </cfRule>
  </conditionalFormatting>
  <conditionalFormatting sqref="V1416">
    <cfRule type="cellIs" dxfId="0" priority="4614" operator="equal">
      <formula>"欠"</formula>
    </cfRule>
  </conditionalFormatting>
  <conditionalFormatting sqref="AL1416">
    <cfRule type="cellIs" dxfId="1" priority="4622" operator="equal">
      <formula>"未完成"</formula>
    </cfRule>
    <cfRule type="cellIs" dxfId="0" priority="4626" operator="equal">
      <formula>"未完成"</formula>
    </cfRule>
  </conditionalFormatting>
  <conditionalFormatting sqref="AM1416">
    <cfRule type="cellIs" dxfId="0" priority="4618" operator="equal">
      <formula>"欠"</formula>
    </cfRule>
  </conditionalFormatting>
  <conditionalFormatting sqref="R1417">
    <cfRule type="containsText" dxfId="0" priority="3802" operator="between" text="欠">
      <formula>NOT(ISERROR(SEARCH("欠",R1417)))</formula>
    </cfRule>
    <cfRule type="cellIs" dxfId="0" priority="3803" operator="equal">
      <formula>"欠"</formula>
    </cfRule>
  </conditionalFormatting>
  <conditionalFormatting sqref="S1417">
    <cfRule type="cellIs" dxfId="0" priority="3804" operator="equal">
      <formula>"欠"</formula>
    </cfRule>
  </conditionalFormatting>
  <conditionalFormatting sqref="V1417">
    <cfRule type="cellIs" dxfId="0" priority="4617" operator="equal">
      <formula>"欠"</formula>
    </cfRule>
  </conditionalFormatting>
  <conditionalFormatting sqref="AL1417">
    <cfRule type="cellIs" dxfId="1" priority="4625" operator="equal">
      <formula>"未完成"</formula>
    </cfRule>
    <cfRule type="cellIs" dxfId="0" priority="4629" operator="equal">
      <formula>"未完成"</formula>
    </cfRule>
  </conditionalFormatting>
  <conditionalFormatting sqref="AM1417">
    <cfRule type="cellIs" dxfId="0" priority="4621" operator="equal">
      <formula>"欠"</formula>
    </cfRule>
  </conditionalFormatting>
  <conditionalFormatting sqref="V1418">
    <cfRule type="cellIs" dxfId="0" priority="4616" operator="equal">
      <formula>"欠"</formula>
    </cfRule>
  </conditionalFormatting>
  <conditionalFormatting sqref="AL1418">
    <cfRule type="cellIs" dxfId="1" priority="4624" operator="equal">
      <formula>"未完成"</formula>
    </cfRule>
    <cfRule type="cellIs" dxfId="0" priority="4628" operator="equal">
      <formula>"未完成"</formula>
    </cfRule>
  </conditionalFormatting>
  <conditionalFormatting sqref="AM1418">
    <cfRule type="cellIs" dxfId="0" priority="4620" operator="equal">
      <formula>"欠"</formula>
    </cfRule>
  </conditionalFormatting>
  <conditionalFormatting sqref="R1419">
    <cfRule type="containsText" dxfId="0" priority="3450" operator="between" text="欠">
      <formula>NOT(ISERROR(SEARCH("欠",R1419)))</formula>
    </cfRule>
    <cfRule type="cellIs" dxfId="0" priority="3453" operator="equal">
      <formula>"欠"</formula>
    </cfRule>
  </conditionalFormatting>
  <conditionalFormatting sqref="S1419">
    <cfRule type="cellIs" dxfId="0" priority="3452" operator="equal">
      <formula>"欠"</formula>
    </cfRule>
  </conditionalFormatting>
  <conditionalFormatting sqref="T1419:U1419">
    <cfRule type="containsText" dxfId="0" priority="3449" operator="between" text="欠">
      <formula>NOT(ISERROR(SEARCH("欠",T1419)))</formula>
    </cfRule>
    <cfRule type="cellIs" dxfId="0" priority="3451" operator="equal">
      <formula>"欠"</formula>
    </cfRule>
  </conditionalFormatting>
  <conditionalFormatting sqref="V1419">
    <cfRule type="cellIs" dxfId="0" priority="3456" operator="equal">
      <formula>"欠"</formula>
    </cfRule>
  </conditionalFormatting>
  <conditionalFormatting sqref="AG1419:AH1419">
    <cfRule type="cellIs" dxfId="0" priority="3457" operator="equal">
      <formula>"未完成"</formula>
    </cfRule>
  </conditionalFormatting>
  <conditionalFormatting sqref="AL1419:AM1419">
    <cfRule type="cellIs" dxfId="1" priority="3454" operator="equal">
      <formula>"未完成"</formula>
    </cfRule>
    <cfRule type="cellIs" dxfId="0" priority="3455" operator="equal">
      <formula>"未完成"</formula>
    </cfRule>
  </conditionalFormatting>
  <conditionalFormatting sqref="T1420:U1420">
    <cfRule type="containsText" dxfId="0" priority="5081" operator="between" text="欠">
      <formula>NOT(ISERROR(SEARCH("欠",T1420)))</formula>
    </cfRule>
    <cfRule type="cellIs" dxfId="0" priority="5082" operator="equal">
      <formula>"欠"</formula>
    </cfRule>
  </conditionalFormatting>
  <conditionalFormatting sqref="V1420">
    <cfRule type="cellIs" dxfId="0" priority="5088" operator="equal">
      <formula>"欠"</formula>
    </cfRule>
  </conditionalFormatting>
  <conditionalFormatting sqref="AG1420:AH1420">
    <cfRule type="cellIs" dxfId="0" priority="5089" operator="equal">
      <formula>"未完成"</formula>
    </cfRule>
  </conditionalFormatting>
  <conditionalFormatting sqref="AL1420:AM1420">
    <cfRule type="cellIs" dxfId="1" priority="5086" operator="equal">
      <formula>"未完成"</formula>
    </cfRule>
    <cfRule type="cellIs" dxfId="0" priority="5087" operator="equal">
      <formula>"未完成"</formula>
    </cfRule>
  </conditionalFormatting>
  <conditionalFormatting sqref="T1421:U1421">
    <cfRule type="containsText" dxfId="0" priority="5071" operator="between" text="欠">
      <formula>NOT(ISERROR(SEARCH("欠",T1421)))</formula>
    </cfRule>
    <cfRule type="cellIs" dxfId="0" priority="5072" operator="equal">
      <formula>"欠"</formula>
    </cfRule>
  </conditionalFormatting>
  <conditionalFormatting sqref="V1421">
    <cfRule type="cellIs" dxfId="0" priority="5078" operator="equal">
      <formula>"欠"</formula>
    </cfRule>
  </conditionalFormatting>
  <conditionalFormatting sqref="AG1421">
    <cfRule type="cellIs" dxfId="0" priority="5079" operator="equal">
      <formula>"未完成"</formula>
    </cfRule>
  </conditionalFormatting>
  <conditionalFormatting sqref="AL1421:AM1421">
    <cfRule type="cellIs" dxfId="1" priority="5076" operator="equal">
      <formula>"未完成"</formula>
    </cfRule>
    <cfRule type="cellIs" dxfId="0" priority="5077" operator="equal">
      <formula>"未完成"</formula>
    </cfRule>
  </conditionalFormatting>
  <conditionalFormatting sqref="Q1422">
    <cfRule type="cellIs" dxfId="0" priority="3839" operator="equal">
      <formula>"欠"</formula>
    </cfRule>
  </conditionalFormatting>
  <conditionalFormatting sqref="T1422:U1422">
    <cfRule type="containsText" dxfId="0" priority="3814" operator="between" text="欠">
      <formula>NOT(ISERROR(SEARCH("欠",T1422)))</formula>
    </cfRule>
    <cfRule type="containsText" dxfId="2" priority="3815" operator="between" text="欠">
      <formula>NOT(ISERROR(SEARCH("欠",T1422)))</formula>
    </cfRule>
    <cfRule type="cellIs" dxfId="0" priority="3816" operator="equal">
      <formula>"欠"</formula>
    </cfRule>
  </conditionalFormatting>
  <conditionalFormatting sqref="V1422">
    <cfRule type="cellIs" dxfId="0" priority="3831" operator="equal">
      <formula>"欠"</formula>
    </cfRule>
  </conditionalFormatting>
  <conditionalFormatting sqref="AI1422">
    <cfRule type="cellIs" dxfId="0" priority="3829" operator="equal">
      <formula>"未完成"</formula>
    </cfRule>
  </conditionalFormatting>
  <conditionalFormatting sqref="AL1422">
    <cfRule type="cellIs" dxfId="1" priority="3835" operator="equal">
      <formula>"未完成"</formula>
    </cfRule>
    <cfRule type="cellIs" dxfId="0" priority="3837" operator="equal">
      <formula>"未完成"</formula>
    </cfRule>
  </conditionalFormatting>
  <conditionalFormatting sqref="AM1422">
    <cfRule type="cellIs" dxfId="0" priority="3833" operator="equal">
      <formula>"欠"</formula>
    </cfRule>
  </conditionalFormatting>
  <conditionalFormatting sqref="Q1423">
    <cfRule type="cellIs" dxfId="0" priority="3838" operator="equal">
      <formula>"欠"</formula>
    </cfRule>
  </conditionalFormatting>
  <conditionalFormatting sqref="T1423:U1423">
    <cfRule type="containsText" dxfId="0" priority="3810" operator="between" text="欠">
      <formula>NOT(ISERROR(SEARCH("欠",T1423)))</formula>
    </cfRule>
    <cfRule type="containsText" dxfId="2" priority="3811" operator="between" text="欠">
      <formula>NOT(ISERROR(SEARCH("欠",T1423)))</formula>
    </cfRule>
    <cfRule type="cellIs" dxfId="0" priority="3812" operator="equal">
      <formula>"欠"</formula>
    </cfRule>
  </conditionalFormatting>
  <conditionalFormatting sqref="AI1423">
    <cfRule type="cellIs" dxfId="0" priority="3828" operator="equal">
      <formula>"未完成"</formula>
    </cfRule>
  </conditionalFormatting>
  <conditionalFormatting sqref="AL1423">
    <cfRule type="cellIs" dxfId="1" priority="3834" operator="equal">
      <formula>"未完成"</formula>
    </cfRule>
    <cfRule type="cellIs" dxfId="0" priority="3836" operator="equal">
      <formula>"未完成"</formula>
    </cfRule>
  </conditionalFormatting>
  <conditionalFormatting sqref="AM1423">
    <cfRule type="cellIs" dxfId="0" priority="3832" operator="equal">
      <formula>"欠"</formula>
    </cfRule>
  </conditionalFormatting>
  <conditionalFormatting sqref="Q1424">
    <cfRule type="cellIs" dxfId="0" priority="4540" operator="equal">
      <formula>"欠"</formula>
    </cfRule>
  </conditionalFormatting>
  <conditionalFormatting sqref="R1424">
    <cfRule type="containsText" dxfId="0" priority="4477" operator="between" text="欠">
      <formula>NOT(ISERROR(SEARCH("欠",R1424)))</formula>
    </cfRule>
    <cfRule type="cellIs" dxfId="0" priority="4486" operator="equal">
      <formula>"欠"</formula>
    </cfRule>
  </conditionalFormatting>
  <conditionalFormatting sqref="S1424">
    <cfRule type="cellIs" dxfId="0" priority="4558" operator="equal">
      <formula>"欠"</formula>
    </cfRule>
  </conditionalFormatting>
  <conditionalFormatting sqref="V1424">
    <cfRule type="cellIs" dxfId="0" priority="4504" operator="equal">
      <formula>"欠"</formula>
    </cfRule>
  </conditionalFormatting>
  <conditionalFormatting sqref="AL1424">
    <cfRule type="cellIs" dxfId="1" priority="4522" operator="equal">
      <formula>"未完成"</formula>
    </cfRule>
    <cfRule type="cellIs" dxfId="0" priority="4531" operator="equal">
      <formula>"未完成"</formula>
    </cfRule>
  </conditionalFormatting>
  <conditionalFormatting sqref="AM1424">
    <cfRule type="cellIs" dxfId="0" priority="4513" operator="equal">
      <formula>"欠"</formula>
    </cfRule>
  </conditionalFormatting>
  <conditionalFormatting sqref="Q1425">
    <cfRule type="cellIs" dxfId="0" priority="4538" operator="equal">
      <formula>"欠"</formula>
    </cfRule>
  </conditionalFormatting>
  <conditionalFormatting sqref="R1425">
    <cfRule type="containsText" dxfId="0" priority="3817" operator="between" text="欠">
      <formula>NOT(ISERROR(SEARCH("欠",R1425)))</formula>
    </cfRule>
    <cfRule type="cellIs" dxfId="0" priority="3818" operator="equal">
      <formula>"欠"</formula>
    </cfRule>
  </conditionalFormatting>
  <conditionalFormatting sqref="T1425:U1425">
    <cfRule type="containsText" dxfId="0" priority="4547" operator="between" text="欠">
      <formula>NOT(ISERROR(SEARCH("欠",T1425)))</formula>
    </cfRule>
    <cfRule type="cellIs" dxfId="0" priority="4565" operator="equal">
      <formula>"欠"</formula>
    </cfRule>
  </conditionalFormatting>
  <conditionalFormatting sqref="V1425">
    <cfRule type="cellIs" dxfId="0" priority="4502" operator="equal">
      <formula>"欠"</formula>
    </cfRule>
  </conditionalFormatting>
  <conditionalFormatting sqref="AL1425">
    <cfRule type="cellIs" dxfId="1" priority="4520" operator="equal">
      <formula>"未完成"</formula>
    </cfRule>
    <cfRule type="cellIs" dxfId="0" priority="4529" operator="equal">
      <formula>"未完成"</formula>
    </cfRule>
  </conditionalFormatting>
  <conditionalFormatting sqref="AM1425">
    <cfRule type="cellIs" dxfId="0" priority="4511" operator="equal">
      <formula>"欠"</formula>
    </cfRule>
  </conditionalFormatting>
  <conditionalFormatting sqref="T1426:U1426">
    <cfRule type="containsText" dxfId="0" priority="4664" operator="between" text="欠">
      <formula>NOT(ISERROR(SEARCH("欠",T1426)))</formula>
    </cfRule>
    <cfRule type="cellIs" dxfId="0" priority="4665" operator="equal">
      <formula>"欠"</formula>
    </cfRule>
  </conditionalFormatting>
  <conditionalFormatting sqref="V1426">
    <cfRule type="cellIs" dxfId="0" priority="5168" operator="equal">
      <formula>"欠"</formula>
    </cfRule>
  </conditionalFormatting>
  <conditionalFormatting sqref="AG1426:AH1426">
    <cfRule type="cellIs" dxfId="0" priority="5169" operator="equal">
      <formula>"未完成"</formula>
    </cfRule>
  </conditionalFormatting>
  <conditionalFormatting sqref="AL1426:AM1426">
    <cfRule type="cellIs" dxfId="1" priority="5166" operator="equal">
      <formula>"未完成"</formula>
    </cfRule>
    <cfRule type="cellIs" dxfId="0" priority="5167" operator="equal">
      <formula>"未完成"</formula>
    </cfRule>
  </conditionalFormatting>
  <conditionalFormatting sqref="T1427:U1427">
    <cfRule type="containsText" dxfId="0" priority="4985" operator="between" text="欠">
      <formula>NOT(ISERROR(SEARCH("欠",T1427)))</formula>
    </cfRule>
    <cfRule type="cellIs" dxfId="0" priority="4988" operator="equal">
      <formula>"欠"</formula>
    </cfRule>
  </conditionalFormatting>
  <conditionalFormatting sqref="V1427">
    <cfRule type="cellIs" dxfId="0" priority="5006" operator="equal">
      <formula>"欠"</formula>
    </cfRule>
  </conditionalFormatting>
  <conditionalFormatting sqref="AG1427:AH1427">
    <cfRule type="cellIs" dxfId="0" priority="5009" operator="equal">
      <formula>"未完成"</formula>
    </cfRule>
  </conditionalFormatting>
  <conditionalFormatting sqref="AL1427:AM1427">
    <cfRule type="cellIs" dxfId="1" priority="5000" operator="equal">
      <formula>"未完成"</formula>
    </cfRule>
    <cfRule type="cellIs" dxfId="0" priority="5003" operator="equal">
      <formula>"未完成"</formula>
    </cfRule>
  </conditionalFormatting>
  <conditionalFormatting sqref="R1428">
    <cfRule type="containsText" dxfId="0" priority="5640" operator="between" text="欠">
      <formula>NOT(ISERROR(SEARCH("欠",R1428)))</formula>
    </cfRule>
    <cfRule type="cellIs" dxfId="0" priority="5646" operator="equal">
      <formula>"欠"</formula>
    </cfRule>
  </conditionalFormatting>
  <conditionalFormatting sqref="T1428:U1428">
    <cfRule type="containsText" dxfId="0" priority="5639" operator="between" text="欠">
      <formula>NOT(ISERROR(SEARCH("欠",T1428)))</formula>
    </cfRule>
    <cfRule type="cellIs" dxfId="0" priority="5644" operator="equal">
      <formula>"欠"</formula>
    </cfRule>
  </conditionalFormatting>
  <conditionalFormatting sqref="V1428">
    <cfRule type="cellIs" dxfId="0" priority="6057" operator="equal">
      <formula>"欠"</formula>
    </cfRule>
  </conditionalFormatting>
  <conditionalFormatting sqref="AG1428:AH1428">
    <cfRule type="cellIs" dxfId="0" priority="6060" operator="equal">
      <formula>"未完成"</formula>
    </cfRule>
  </conditionalFormatting>
  <conditionalFormatting sqref="AL1428:AM1428">
    <cfRule type="cellIs" dxfId="1" priority="6055" operator="equal">
      <formula>"未完成"</formula>
    </cfRule>
    <cfRule type="cellIs" dxfId="0" priority="6056" operator="equal">
      <formula>"未完成"</formula>
    </cfRule>
  </conditionalFormatting>
  <conditionalFormatting sqref="Q1429">
    <cfRule type="cellIs" dxfId="0" priority="5431" operator="equal">
      <formula>"欠"</formula>
    </cfRule>
  </conditionalFormatting>
  <conditionalFormatting sqref="R1429">
    <cfRule type="containsText" dxfId="0" priority="5263" operator="between" text="欠">
      <formula>NOT(ISERROR(SEARCH("欠",R1429)))</formula>
    </cfRule>
    <cfRule type="cellIs" dxfId="0" priority="5287" operator="equal">
      <formula>"欠"</formula>
    </cfRule>
  </conditionalFormatting>
  <conditionalFormatting sqref="S1429">
    <cfRule type="cellIs" dxfId="0" priority="5347" operator="equal">
      <formula>"欠"</formula>
    </cfRule>
  </conditionalFormatting>
  <conditionalFormatting sqref="T1429:U1429">
    <cfRule type="containsText" dxfId="0" priority="5299" operator="between" text="欠">
      <formula>NOT(ISERROR(SEARCH("欠",T1429)))</formula>
    </cfRule>
    <cfRule type="cellIs" dxfId="0" priority="5335" operator="equal">
      <formula>"欠"</formula>
    </cfRule>
  </conditionalFormatting>
  <conditionalFormatting sqref="V1429">
    <cfRule type="cellIs" dxfId="0" priority="5383" operator="equal">
      <formula>"欠"</formula>
    </cfRule>
  </conditionalFormatting>
  <conditionalFormatting sqref="AL1429">
    <cfRule type="cellIs" dxfId="1" priority="5407" operator="equal">
      <formula>"未完成"</formula>
    </cfRule>
    <cfRule type="cellIs" dxfId="0" priority="5419" operator="equal">
      <formula>"未完成"</formula>
    </cfRule>
  </conditionalFormatting>
  <conditionalFormatting sqref="AM1429">
    <cfRule type="cellIs" dxfId="0" priority="5395" operator="equal">
      <formula>"欠"</formula>
    </cfRule>
  </conditionalFormatting>
  <conditionalFormatting sqref="R1430">
    <cfRule type="containsText" dxfId="0" priority="5093" operator="between" text="欠">
      <formula>NOT(ISERROR(SEARCH("欠",R1430)))</formula>
    </cfRule>
    <cfRule type="cellIs" dxfId="0" priority="5094" operator="equal">
      <formula>"欠"</formula>
    </cfRule>
  </conditionalFormatting>
  <conditionalFormatting sqref="T1430:U1430">
    <cfRule type="containsText" dxfId="0" priority="5091" operator="between" text="欠">
      <formula>NOT(ISERROR(SEARCH("欠",T1430)))</formula>
    </cfRule>
    <cfRule type="cellIs" dxfId="0" priority="5092" operator="equal">
      <formula>"欠"</formula>
    </cfRule>
  </conditionalFormatting>
  <conditionalFormatting sqref="V1430">
    <cfRule type="cellIs" dxfId="0" priority="5098" operator="equal">
      <formula>"欠"</formula>
    </cfRule>
  </conditionalFormatting>
  <conditionalFormatting sqref="AG1430:AH1430">
    <cfRule type="cellIs" dxfId="0" priority="5099" operator="equal">
      <formula>"未完成"</formula>
    </cfRule>
  </conditionalFormatting>
  <conditionalFormatting sqref="AL1430:AM1430">
    <cfRule type="cellIs" dxfId="1" priority="5096" operator="equal">
      <formula>"未完成"</formula>
    </cfRule>
    <cfRule type="cellIs" dxfId="0" priority="5097" operator="equal">
      <formula>"未完成"</formula>
    </cfRule>
  </conditionalFormatting>
  <conditionalFormatting sqref="V1431">
    <cfRule type="cellIs" dxfId="0" priority="6442" operator="equal">
      <formula>"欠"</formula>
    </cfRule>
  </conditionalFormatting>
  <conditionalFormatting sqref="AG1431:AH1431">
    <cfRule type="cellIs" dxfId="0" priority="6445" operator="equal">
      <formula>"未完成"</formula>
    </cfRule>
  </conditionalFormatting>
  <conditionalFormatting sqref="AL1431:AM1431">
    <cfRule type="cellIs" dxfId="1" priority="6440" operator="equal">
      <formula>"未完成"</formula>
    </cfRule>
    <cfRule type="cellIs" dxfId="0" priority="6441" operator="equal">
      <formula>"未完成"</formula>
    </cfRule>
  </conditionalFormatting>
  <conditionalFormatting sqref="Q1433">
    <cfRule type="cellIs" dxfId="0" priority="4534" operator="equal">
      <formula>"欠"</formula>
    </cfRule>
  </conditionalFormatting>
  <conditionalFormatting sqref="T1433:U1433">
    <cfRule type="containsText" dxfId="0" priority="4543" operator="between" text="欠">
      <formula>NOT(ISERROR(SEARCH("欠",T1433)))</formula>
    </cfRule>
    <cfRule type="cellIs" dxfId="0" priority="4561" operator="equal">
      <formula>"欠"</formula>
    </cfRule>
  </conditionalFormatting>
  <conditionalFormatting sqref="V1433">
    <cfRule type="cellIs" dxfId="0" priority="4498" operator="equal">
      <formula>"欠"</formula>
    </cfRule>
  </conditionalFormatting>
  <conditionalFormatting sqref="AI1433">
    <cfRule type="cellIs" dxfId="0" priority="4489" operator="equal">
      <formula>"未完成"</formula>
    </cfRule>
  </conditionalFormatting>
  <conditionalFormatting sqref="AL1433">
    <cfRule type="cellIs" dxfId="1" priority="4516" operator="equal">
      <formula>"未完成"</formula>
    </cfRule>
    <cfRule type="cellIs" dxfId="0" priority="4525" operator="equal">
      <formula>"未完成"</formula>
    </cfRule>
  </conditionalFormatting>
  <conditionalFormatting sqref="AM1433">
    <cfRule type="cellIs" dxfId="0" priority="4507" operator="equal">
      <formula>"欠"</formula>
    </cfRule>
  </conditionalFormatting>
  <conditionalFormatting sqref="R1434">
    <cfRule type="containsText" dxfId="0" priority="5687" operator="between" text="欠">
      <formula>NOT(ISERROR(SEARCH("欠",R1434)))</formula>
    </cfRule>
    <cfRule type="cellIs" dxfId="0" priority="5692" operator="equal">
      <formula>"欠"</formula>
    </cfRule>
  </conditionalFormatting>
  <conditionalFormatting sqref="T1434:U1434">
    <cfRule type="containsText" dxfId="0" priority="5686" operator="between" text="欠">
      <formula>NOT(ISERROR(SEARCH("欠",T1434)))</formula>
    </cfRule>
    <cfRule type="cellIs" dxfId="0" priority="5691" operator="equal">
      <formula>"欠"</formula>
    </cfRule>
  </conditionalFormatting>
  <conditionalFormatting sqref="V1434">
    <cfRule type="cellIs" dxfId="0" priority="6180" operator="equal">
      <formula>"欠"</formula>
    </cfRule>
  </conditionalFormatting>
  <conditionalFormatting sqref="AG1434:AH1434">
    <cfRule type="cellIs" dxfId="0" priority="6183" operator="equal">
      <formula>"未完成"</formula>
    </cfRule>
  </conditionalFormatting>
  <conditionalFormatting sqref="AL1434:AM1434">
    <cfRule type="cellIs" dxfId="1" priority="6178" operator="equal">
      <formula>"未完成"</formula>
    </cfRule>
    <cfRule type="cellIs" dxfId="0" priority="6179" operator="equal">
      <formula>"未完成"</formula>
    </cfRule>
  </conditionalFormatting>
  <conditionalFormatting sqref="AN1434">
    <cfRule type="cellIs" dxfId="0" priority="6177" operator="equal">
      <formula>"欠"</formula>
    </cfRule>
  </conditionalFormatting>
  <conditionalFormatting sqref="R1435">
    <cfRule type="containsText" dxfId="0" priority="5053" operator="between" text="欠">
      <formula>NOT(ISERROR(SEARCH("欠",R1435)))</formula>
    </cfRule>
    <cfRule type="cellIs" dxfId="0" priority="5054" operator="equal">
      <formula>"欠"</formula>
    </cfRule>
  </conditionalFormatting>
  <conditionalFormatting sqref="T1435:U1435">
    <cfRule type="containsText" dxfId="0" priority="5051" operator="between" text="欠">
      <formula>NOT(ISERROR(SEARCH("欠",T1435)))</formula>
    </cfRule>
    <cfRule type="cellIs" dxfId="0" priority="5052" operator="equal">
      <formula>"欠"</formula>
    </cfRule>
  </conditionalFormatting>
  <conditionalFormatting sqref="V1435">
    <cfRule type="cellIs" dxfId="0" priority="5058" operator="equal">
      <formula>"欠"</formula>
    </cfRule>
  </conditionalFormatting>
  <conditionalFormatting sqref="AG1435:AH1435">
    <cfRule type="cellIs" dxfId="0" priority="5059" operator="equal">
      <formula>"未完成"</formula>
    </cfRule>
  </conditionalFormatting>
  <conditionalFormatting sqref="AL1435:AM1435">
    <cfRule type="cellIs" dxfId="1" priority="5056" operator="equal">
      <formula>"未完成"</formula>
    </cfRule>
    <cfRule type="cellIs" dxfId="0" priority="5057" operator="equal">
      <formula>"未完成"</formula>
    </cfRule>
  </conditionalFormatting>
  <conditionalFormatting sqref="R1436">
    <cfRule type="containsText" dxfId="0" priority="5017" operator="between" text="欠">
      <formula>NOT(ISERROR(SEARCH("欠",R1436)))</formula>
    </cfRule>
    <cfRule type="cellIs" dxfId="0" priority="5025" operator="equal">
      <formula>"欠"</formula>
    </cfRule>
  </conditionalFormatting>
  <conditionalFormatting sqref="T1436:U1436">
    <cfRule type="containsText" dxfId="0" priority="5016" operator="between" text="欠">
      <formula>NOT(ISERROR(SEARCH("欠",T1436)))</formula>
    </cfRule>
  </conditionalFormatting>
  <conditionalFormatting sqref="T1436:V1436">
    <cfRule type="cellIs" dxfId="0" priority="5023" operator="equal">
      <formula>"欠"</formula>
    </cfRule>
  </conditionalFormatting>
  <conditionalFormatting sqref="AG1436:AH1436">
    <cfRule type="cellIs" dxfId="0" priority="5026" operator="equal">
      <formula>"未完成"</formula>
    </cfRule>
  </conditionalFormatting>
  <conditionalFormatting sqref="AL1436:AM1436">
    <cfRule type="cellIs" dxfId="1" priority="5021" operator="equal">
      <formula>"未完成"</formula>
    </cfRule>
    <cfRule type="cellIs" dxfId="0" priority="5022" operator="equal">
      <formula>"未完成"</formula>
    </cfRule>
  </conditionalFormatting>
  <conditionalFormatting sqref="V1441">
    <cfRule type="cellIs" dxfId="0" priority="5257" operator="equal">
      <formula>"欠"</formula>
    </cfRule>
  </conditionalFormatting>
  <conditionalFormatting sqref="AG1441">
    <cfRule type="cellIs" dxfId="0" priority="5261" operator="equal">
      <formula>"未完成"</formula>
    </cfRule>
  </conditionalFormatting>
  <conditionalFormatting sqref="AM1441">
    <cfRule type="cellIs" dxfId="1" priority="5249" operator="equal">
      <formula>"未完成"</formula>
    </cfRule>
    <cfRule type="cellIs" dxfId="0" priority="5253" operator="equal">
      <formula>"未完成"</formula>
    </cfRule>
  </conditionalFormatting>
  <conditionalFormatting sqref="AN1441">
    <cfRule type="cellIs" dxfId="0" priority="5245" operator="equal">
      <formula>"欠"</formula>
    </cfRule>
  </conditionalFormatting>
  <conditionalFormatting sqref="V1442">
    <cfRule type="cellIs" dxfId="0" priority="5256" operator="equal">
      <formula>"欠"</formula>
    </cfRule>
  </conditionalFormatting>
  <conditionalFormatting sqref="AG1442">
    <cfRule type="cellIs" dxfId="0" priority="5260" operator="equal">
      <formula>"未完成"</formula>
    </cfRule>
  </conditionalFormatting>
  <conditionalFormatting sqref="AM1442">
    <cfRule type="cellIs" dxfId="1" priority="5248" operator="equal">
      <formula>"未完成"</formula>
    </cfRule>
    <cfRule type="cellIs" dxfId="0" priority="5252" operator="equal">
      <formula>"未完成"</formula>
    </cfRule>
  </conditionalFormatting>
  <conditionalFormatting sqref="AN1442">
    <cfRule type="cellIs" dxfId="0" priority="5244" operator="equal">
      <formula>"欠"</formula>
    </cfRule>
  </conditionalFormatting>
  <conditionalFormatting sqref="V1443">
    <cfRule type="cellIs" dxfId="0" priority="6322" operator="equal">
      <formula>"欠"</formula>
    </cfRule>
  </conditionalFormatting>
  <conditionalFormatting sqref="AG1443:AH1443">
    <cfRule type="cellIs" dxfId="0" priority="6325" operator="equal">
      <formula>"未完成"</formula>
    </cfRule>
  </conditionalFormatting>
  <conditionalFormatting sqref="AL1443:AM1443">
    <cfRule type="cellIs" dxfId="1" priority="6320" operator="equal">
      <formula>"未完成"</formula>
    </cfRule>
    <cfRule type="cellIs" dxfId="0" priority="6321" operator="equal">
      <formula>"未完成"</formula>
    </cfRule>
  </conditionalFormatting>
  <conditionalFormatting sqref="Q1444">
    <cfRule type="cellIs" dxfId="0" priority="1729" operator="equal">
      <formula>"欠"</formula>
    </cfRule>
  </conditionalFormatting>
  <conditionalFormatting sqref="R1444">
    <cfRule type="containsText" dxfId="0" priority="1639" operator="between" text="欠">
      <formula>NOT(ISERROR(SEARCH("欠",R1444)))</formula>
    </cfRule>
    <cfRule type="cellIs" dxfId="0" priority="1648" operator="equal">
      <formula>"欠"</formula>
    </cfRule>
  </conditionalFormatting>
  <conditionalFormatting sqref="S1444">
    <cfRule type="cellIs" dxfId="0" priority="1666" operator="equal">
      <formula>"欠"</formula>
    </cfRule>
  </conditionalFormatting>
  <conditionalFormatting sqref="T1444:U1444">
    <cfRule type="containsText" dxfId="0" priority="1657" operator="between" text="欠">
      <formula>NOT(ISERROR(SEARCH("欠",T1444)))</formula>
    </cfRule>
    <cfRule type="cellIs" dxfId="0" priority="1675" operator="equal">
      <formula>"欠"</formula>
    </cfRule>
  </conditionalFormatting>
  <conditionalFormatting sqref="V1444">
    <cfRule type="cellIs" dxfId="0" priority="1693" operator="equal">
      <formula>"欠"</formula>
    </cfRule>
  </conditionalFormatting>
  <conditionalFormatting sqref="AI1444">
    <cfRule type="cellIs" dxfId="0" priority="1684" operator="equal">
      <formula>"未完成"</formula>
    </cfRule>
  </conditionalFormatting>
  <conditionalFormatting sqref="AL1444">
    <cfRule type="cellIs" dxfId="1" priority="1711" operator="equal">
      <formula>"未完成"</formula>
    </cfRule>
    <cfRule type="cellIs" dxfId="0" priority="1720" operator="equal">
      <formula>"未完成"</formula>
    </cfRule>
  </conditionalFormatting>
  <conditionalFormatting sqref="AM1444">
    <cfRule type="cellIs" dxfId="0" priority="1702" operator="equal">
      <formula>"欠"</formula>
    </cfRule>
  </conditionalFormatting>
  <conditionalFormatting sqref="Q1445">
    <cfRule type="cellIs" dxfId="0" priority="3670" operator="equal">
      <formula>"欠"</formula>
    </cfRule>
  </conditionalFormatting>
  <conditionalFormatting sqref="R1445">
    <cfRule type="containsText" dxfId="0" priority="3614" operator="between" text="欠">
      <formula>NOT(ISERROR(SEARCH("欠",R1445)))</formula>
    </cfRule>
    <cfRule type="cellIs" dxfId="0" priority="3622" operator="equal">
      <formula>"欠"</formula>
    </cfRule>
  </conditionalFormatting>
  <conditionalFormatting sqref="S1445">
    <cfRule type="cellIs" dxfId="0" priority="3642" operator="equal">
      <formula>"欠"</formula>
    </cfRule>
  </conditionalFormatting>
  <conditionalFormatting sqref="T1445:U1445">
    <cfRule type="containsText" dxfId="0" priority="3626" operator="between" text="欠">
      <formula>NOT(ISERROR(SEARCH("欠",T1445)))</formula>
    </cfRule>
    <cfRule type="cellIs" dxfId="0" priority="3638" operator="equal">
      <formula>"欠"</formula>
    </cfRule>
  </conditionalFormatting>
  <conditionalFormatting sqref="V1445">
    <cfRule type="cellIs" dxfId="0" priority="3654" operator="equal">
      <formula>"欠"</formula>
    </cfRule>
  </conditionalFormatting>
  <conditionalFormatting sqref="AI1445">
    <cfRule type="cellIs" dxfId="1" priority="36" operator="equal">
      <formula>"未完成"</formula>
    </cfRule>
    <cfRule type="cellIs" dxfId="0" priority="37" operator="equal">
      <formula>"未完成"</formula>
    </cfRule>
  </conditionalFormatting>
  <conditionalFormatting sqref="AL1445">
    <cfRule type="cellIs" dxfId="1" priority="3662" operator="equal">
      <formula>"未完成"</formula>
    </cfRule>
    <cfRule type="cellIs" dxfId="0" priority="3666" operator="equal">
      <formula>"未完成"</formula>
    </cfRule>
  </conditionalFormatting>
  <conditionalFormatting sqref="AM1445">
    <cfRule type="cellIs" dxfId="0" priority="3658" operator="equal">
      <formula>"欠"</formula>
    </cfRule>
  </conditionalFormatting>
  <conditionalFormatting sqref="V1446">
    <cfRule type="cellIs" dxfId="0" priority="5255" operator="equal">
      <formula>"欠"</formula>
    </cfRule>
  </conditionalFormatting>
  <conditionalFormatting sqref="AG1446">
    <cfRule type="cellIs" dxfId="0" priority="5259" operator="equal">
      <formula>"未完成"</formula>
    </cfRule>
  </conditionalFormatting>
  <conditionalFormatting sqref="AL1446:AM1446">
    <cfRule type="cellIs" dxfId="1" priority="5247" operator="equal">
      <formula>"未完成"</formula>
    </cfRule>
    <cfRule type="cellIs" dxfId="0" priority="5251" operator="equal">
      <formula>"未完成"</formula>
    </cfRule>
  </conditionalFormatting>
  <conditionalFormatting sqref="AN1446">
    <cfRule type="cellIs" dxfId="0" priority="5243" operator="equal">
      <formula>"欠"</formula>
    </cfRule>
  </conditionalFormatting>
  <conditionalFormatting sqref="V1447">
    <cfRule type="cellIs" dxfId="0" priority="5254" operator="equal">
      <formula>"欠"</formula>
    </cfRule>
  </conditionalFormatting>
  <conditionalFormatting sqref="AG1447">
    <cfRule type="cellIs" dxfId="0" priority="5258" operator="equal">
      <formula>"未完成"</formula>
    </cfRule>
  </conditionalFormatting>
  <conditionalFormatting sqref="AL1447:AM1447">
    <cfRule type="cellIs" dxfId="1" priority="5246" operator="equal">
      <formula>"未完成"</formula>
    </cfRule>
    <cfRule type="cellIs" dxfId="0" priority="5250" operator="equal">
      <formula>"未完成"</formula>
    </cfRule>
  </conditionalFormatting>
  <conditionalFormatting sqref="AN1447">
    <cfRule type="cellIs" dxfId="0" priority="5242" operator="equal">
      <formula>"欠"</formula>
    </cfRule>
  </conditionalFormatting>
  <conditionalFormatting sqref="V1448">
    <cfRule type="cellIs" dxfId="0" priority="4940" operator="equal">
      <formula>"欠"</formula>
    </cfRule>
  </conditionalFormatting>
  <conditionalFormatting sqref="AG1448:AH1448">
    <cfRule type="cellIs" dxfId="0" priority="4946" operator="equal">
      <formula>"未完成"</formula>
    </cfRule>
  </conditionalFormatting>
  <conditionalFormatting sqref="AL1448:AM1448">
    <cfRule type="cellIs" dxfId="1" priority="4928" operator="equal">
      <formula>"未完成"</formula>
    </cfRule>
    <cfRule type="cellIs" dxfId="0" priority="4934" operator="equal">
      <formula>"未完成"</formula>
    </cfRule>
  </conditionalFormatting>
  <conditionalFormatting sqref="V1449">
    <cfRule type="cellIs" dxfId="0" priority="4939" operator="equal">
      <formula>"欠"</formula>
    </cfRule>
  </conditionalFormatting>
  <conditionalFormatting sqref="AG1449:AH1449">
    <cfRule type="cellIs" dxfId="0" priority="4945" operator="equal">
      <formula>"未完成"</formula>
    </cfRule>
  </conditionalFormatting>
  <conditionalFormatting sqref="AL1449:AM1449">
    <cfRule type="cellIs" dxfId="1" priority="4927" operator="equal">
      <formula>"未完成"</formula>
    </cfRule>
    <cfRule type="cellIs" dxfId="0" priority="4933" operator="equal">
      <formula>"未完成"</formula>
    </cfRule>
  </conditionalFormatting>
  <conditionalFormatting sqref="Q1452">
    <cfRule type="cellIs" dxfId="0" priority="4106" operator="equal">
      <formula>"欠"</formula>
    </cfRule>
  </conditionalFormatting>
  <conditionalFormatting sqref="R1452">
    <cfRule type="containsText" dxfId="0" priority="4071" operator="between" text="欠">
      <formula>NOT(ISERROR(SEARCH("欠",R1452)))</formula>
    </cfRule>
    <cfRule type="cellIs" dxfId="0" priority="4076" operator="equal">
      <formula>"欠"</formula>
    </cfRule>
  </conditionalFormatting>
  <conditionalFormatting sqref="S1452">
    <cfRule type="cellIs" dxfId="0" priority="4116" operator="equal">
      <formula>"欠"</formula>
    </cfRule>
  </conditionalFormatting>
  <conditionalFormatting sqref="T1452:U1452">
    <cfRule type="containsText" dxfId="0" priority="4111" operator="between" text="欠">
      <formula>NOT(ISERROR(SEARCH("欠",T1452)))</formula>
    </cfRule>
    <cfRule type="cellIs" dxfId="0" priority="4121" operator="equal">
      <formula>"欠"</formula>
    </cfRule>
  </conditionalFormatting>
  <conditionalFormatting sqref="V1452">
    <cfRule type="cellIs" dxfId="0" priority="4086" operator="equal">
      <formula>"欠"</formula>
    </cfRule>
  </conditionalFormatting>
  <conditionalFormatting sqref="AI1452">
    <cfRule type="cellIs" dxfId="0" priority="4081" operator="equal">
      <formula>"未完成"</formula>
    </cfRule>
  </conditionalFormatting>
  <conditionalFormatting sqref="AL1452">
    <cfRule type="cellIs" dxfId="1" priority="4096" operator="equal">
      <formula>"未完成"</formula>
    </cfRule>
    <cfRule type="cellIs" dxfId="0" priority="4101" operator="equal">
      <formula>"未完成"</formula>
    </cfRule>
  </conditionalFormatting>
  <conditionalFormatting sqref="AM1452">
    <cfRule type="cellIs" dxfId="0" priority="4091" operator="equal">
      <formula>"欠"</formula>
    </cfRule>
  </conditionalFormatting>
  <conditionalFormatting sqref="Q1453">
    <cfRule type="cellIs" dxfId="0" priority="4141" operator="equal">
      <formula>"欠"</formula>
    </cfRule>
  </conditionalFormatting>
  <conditionalFormatting sqref="V1453">
    <cfRule type="cellIs" dxfId="0" priority="4137" operator="equal">
      <formula>"欠"</formula>
    </cfRule>
  </conditionalFormatting>
  <conditionalFormatting sqref="AI1453">
    <cfRule type="cellIs" dxfId="0" priority="4136" operator="equal">
      <formula>"未完成"</formula>
    </cfRule>
  </conditionalFormatting>
  <conditionalFormatting sqref="AM1453">
    <cfRule type="cellIs" dxfId="0" priority="4138" operator="equal">
      <formula>"欠"</formula>
    </cfRule>
  </conditionalFormatting>
  <conditionalFormatting sqref="AN1454">
    <cfRule type="cellIs" dxfId="0" priority="10392" operator="equal">
      <formula>"欠"</formula>
    </cfRule>
  </conditionalFormatting>
  <conditionalFormatting sqref="Q1455">
    <cfRule type="cellIs" dxfId="0" priority="3687" operator="equal">
      <formula>"欠"</formula>
    </cfRule>
  </conditionalFormatting>
  <conditionalFormatting sqref="T1455:U1455">
    <cfRule type="containsText" dxfId="0" priority="3676" operator="between" text="欠">
      <formula>NOT(ISERROR(SEARCH("欠",T1455)))</formula>
    </cfRule>
    <cfRule type="cellIs" dxfId="0" priority="3679" operator="equal">
      <formula>"欠"</formula>
    </cfRule>
  </conditionalFormatting>
  <conditionalFormatting sqref="V1455">
    <cfRule type="cellIs" dxfId="0" priority="3683" operator="equal">
      <formula>"欠"</formula>
    </cfRule>
  </conditionalFormatting>
  <conditionalFormatting sqref="AI1455">
    <cfRule type="cellIs" dxfId="0" priority="3682" operator="equal">
      <formula>"未完成"</formula>
    </cfRule>
  </conditionalFormatting>
  <conditionalFormatting sqref="AL1455">
    <cfRule type="cellIs" dxfId="1" priority="3685" operator="equal">
      <formula>"未完成"</formula>
    </cfRule>
    <cfRule type="cellIs" dxfId="0" priority="3686" operator="equal">
      <formula>"未完成"</formula>
    </cfRule>
  </conditionalFormatting>
  <conditionalFormatting sqref="AM1455">
    <cfRule type="cellIs" dxfId="0" priority="3684" operator="equal">
      <formula>"欠"</formula>
    </cfRule>
  </conditionalFormatting>
  <conditionalFormatting sqref="Q1456">
    <cfRule type="cellIs" dxfId="0" priority="619" operator="equal">
      <formula>"欠"</formula>
    </cfRule>
  </conditionalFormatting>
  <conditionalFormatting sqref="V1456">
    <cfRule type="cellIs" dxfId="0" priority="3872" operator="equal">
      <formula>"欠"</formula>
    </cfRule>
  </conditionalFormatting>
  <conditionalFormatting sqref="AI1456">
    <cfRule type="cellIs" dxfId="0" priority="3870" operator="equal">
      <formula>"未完成"</formula>
    </cfRule>
  </conditionalFormatting>
  <conditionalFormatting sqref="AL1456">
    <cfRule type="cellIs" dxfId="1" priority="3876" operator="equal">
      <formula>"未完成"</formula>
    </cfRule>
    <cfRule type="cellIs" dxfId="0" priority="3878" operator="equal">
      <formula>"未完成"</formula>
    </cfRule>
  </conditionalFormatting>
  <conditionalFormatting sqref="AM1456">
    <cfRule type="cellIs" dxfId="0" priority="3874" operator="equal">
      <formula>"欠"</formula>
    </cfRule>
  </conditionalFormatting>
  <conditionalFormatting sqref="Q1458">
    <cfRule type="cellIs" dxfId="0" priority="3467" operator="equal">
      <formula>"欠"</formula>
    </cfRule>
  </conditionalFormatting>
  <conditionalFormatting sqref="V1458">
    <cfRule type="cellIs" dxfId="0" priority="3463" operator="equal">
      <formula>"欠"</formula>
    </cfRule>
  </conditionalFormatting>
  <conditionalFormatting sqref="AI1458">
    <cfRule type="cellIs" dxfId="0" priority="3462" operator="equal">
      <formula>"未完成"</formula>
    </cfRule>
  </conditionalFormatting>
  <conditionalFormatting sqref="AL1458">
    <cfRule type="cellIs" dxfId="1" priority="3465" operator="equal">
      <formula>"未完成"</formula>
    </cfRule>
    <cfRule type="cellIs" dxfId="0" priority="3466" operator="equal">
      <formula>"未完成"</formula>
    </cfRule>
  </conditionalFormatting>
  <conditionalFormatting sqref="AM1458">
    <cfRule type="cellIs" dxfId="0" priority="3464" operator="equal">
      <formula>"欠"</formula>
    </cfRule>
  </conditionalFormatting>
  <conditionalFormatting sqref="R1459">
    <cfRule type="containsText" dxfId="0" priority="5776" operator="between" text="欠">
      <formula>NOT(ISERROR(SEARCH("欠",R1459)))</formula>
    </cfRule>
    <cfRule type="cellIs" dxfId="0" priority="5779" operator="equal">
      <formula>"欠"</formula>
    </cfRule>
  </conditionalFormatting>
  <conditionalFormatting sqref="S1459">
    <cfRule type="cellIs" dxfId="0" priority="5778" operator="equal">
      <formula>"欠"</formula>
    </cfRule>
  </conditionalFormatting>
  <conditionalFormatting sqref="T1459:U1459">
    <cfRule type="containsText" dxfId="0" priority="5775" operator="between" text="欠">
      <formula>NOT(ISERROR(SEARCH("欠",T1459)))</formula>
    </cfRule>
    <cfRule type="cellIs" dxfId="0" priority="5777" operator="equal">
      <formula>"欠"</formula>
    </cfRule>
  </conditionalFormatting>
  <conditionalFormatting sqref="V1460">
    <cfRule type="cellIs" dxfId="0" priority="4615" operator="equal">
      <formula>"欠"</formula>
    </cfRule>
  </conditionalFormatting>
  <conditionalFormatting sqref="AL1460">
    <cfRule type="cellIs" dxfId="1" priority="4623" operator="equal">
      <formula>"未完成"</formula>
    </cfRule>
    <cfRule type="cellIs" dxfId="0" priority="4627" operator="equal">
      <formula>"未完成"</formula>
    </cfRule>
  </conditionalFormatting>
  <conditionalFormatting sqref="AM1460">
    <cfRule type="cellIs" dxfId="0" priority="4619" operator="equal">
      <formula>"欠"</formula>
    </cfRule>
  </conditionalFormatting>
  <conditionalFormatting sqref="Q1461">
    <cfRule type="cellIs" dxfId="0" priority="4585" operator="equal">
      <formula>"欠"</formula>
    </cfRule>
  </conditionalFormatting>
  <conditionalFormatting sqref="R1461">
    <cfRule type="containsText" dxfId="0" priority="4578" operator="between" text="欠">
      <formula>NOT(ISERROR(SEARCH("欠",R1461)))</formula>
    </cfRule>
    <cfRule type="cellIs" dxfId="0" priority="4579" operator="equal">
      <formula>"欠"</formula>
    </cfRule>
  </conditionalFormatting>
  <conditionalFormatting sqref="S1461">
    <cfRule type="cellIs" dxfId="0" priority="4587" operator="equal">
      <formula>"欠"</formula>
    </cfRule>
  </conditionalFormatting>
  <conditionalFormatting sqref="T1461:U1461">
    <cfRule type="containsText" dxfId="0" priority="4586" operator="between" text="欠">
      <formula>NOT(ISERROR(SEARCH("欠",T1461)))</formula>
    </cfRule>
    <cfRule type="cellIs" dxfId="0" priority="4588" operator="equal">
      <formula>"欠"</formula>
    </cfRule>
  </conditionalFormatting>
  <conditionalFormatting sqref="V1461">
    <cfRule type="cellIs" dxfId="0" priority="4581" operator="equal">
      <formula>"欠"</formula>
    </cfRule>
  </conditionalFormatting>
  <conditionalFormatting sqref="AI1461">
    <cfRule type="cellIs" dxfId="0" priority="4580" operator="equal">
      <formula>"未完成"</formula>
    </cfRule>
  </conditionalFormatting>
  <conditionalFormatting sqref="AL1461">
    <cfRule type="cellIs" dxfId="1" priority="4583" operator="equal">
      <formula>"未完成"</formula>
    </cfRule>
    <cfRule type="cellIs" dxfId="0" priority="4584" operator="equal">
      <formula>"未完成"</formula>
    </cfRule>
  </conditionalFormatting>
  <conditionalFormatting sqref="AM1461">
    <cfRule type="cellIs" dxfId="0" priority="4582" operator="equal">
      <formula>"欠"</formula>
    </cfRule>
  </conditionalFormatting>
  <conditionalFormatting sqref="Q1462">
    <cfRule type="cellIs" dxfId="0" priority="3190" operator="equal">
      <formula>"欠"</formula>
    </cfRule>
  </conditionalFormatting>
  <conditionalFormatting sqref="R1462">
    <cfRule type="containsText" dxfId="0" priority="3170" operator="between" text="欠">
      <formula>NOT(ISERROR(SEARCH("欠",R1462)))</formula>
    </cfRule>
    <cfRule type="cellIs" dxfId="0" priority="3172" operator="equal">
      <formula>"欠"</formula>
    </cfRule>
  </conditionalFormatting>
  <conditionalFormatting sqref="T1462:U1462">
    <cfRule type="containsText" dxfId="0" priority="3174" operator="between" text="欠">
      <formula>NOT(ISERROR(SEARCH("欠",T1462)))</formula>
    </cfRule>
    <cfRule type="cellIs" dxfId="0" priority="3178" operator="equal">
      <formula>"欠"</formula>
    </cfRule>
  </conditionalFormatting>
  <conditionalFormatting sqref="V1462">
    <cfRule type="cellIs" dxfId="0" priority="3182" operator="equal">
      <formula>"欠"</formula>
    </cfRule>
  </conditionalFormatting>
  <conditionalFormatting sqref="AI1462">
    <cfRule type="cellIs" dxfId="0" priority="3180" operator="equal">
      <formula>"未完成"</formula>
    </cfRule>
  </conditionalFormatting>
  <conditionalFormatting sqref="AL1462">
    <cfRule type="cellIs" dxfId="1" priority="3186" operator="equal">
      <formula>"未完成"</formula>
    </cfRule>
    <cfRule type="cellIs" dxfId="0" priority="3188" operator="equal">
      <formula>"未完成"</formula>
    </cfRule>
  </conditionalFormatting>
  <conditionalFormatting sqref="AM1462">
    <cfRule type="cellIs" dxfId="0" priority="3184" operator="equal">
      <formula>"欠"</formula>
    </cfRule>
  </conditionalFormatting>
  <conditionalFormatting sqref="R1463">
    <cfRule type="containsText" dxfId="0" priority="5465" operator="between" text="欠">
      <formula>NOT(ISERROR(SEARCH("欠",R1463)))</formula>
    </cfRule>
    <cfRule type="cellIs" dxfId="0" priority="5505" operator="equal">
      <formula>"欠"</formula>
    </cfRule>
  </conditionalFormatting>
  <conditionalFormatting sqref="T1463:U1463">
    <cfRule type="containsText" dxfId="0" priority="5481" operator="between" text="欠">
      <formula>NOT(ISERROR(SEARCH("欠",T1463)))</formula>
    </cfRule>
    <cfRule type="cellIs" dxfId="0" priority="5489" operator="equal">
      <formula>"欠"</formula>
    </cfRule>
  </conditionalFormatting>
  <conditionalFormatting sqref="V1463">
    <cfRule type="cellIs" dxfId="0" priority="5537" operator="equal">
      <formula>"欠"</formula>
    </cfRule>
  </conditionalFormatting>
  <conditionalFormatting sqref="AG1463:AH1463">
    <cfRule type="cellIs" dxfId="0" priority="5545" operator="equal">
      <formula>"未完成"</formula>
    </cfRule>
  </conditionalFormatting>
  <conditionalFormatting sqref="AL1463:AM1463">
    <cfRule type="cellIs" dxfId="1" priority="5521" operator="equal">
      <formula>"未完成"</formula>
    </cfRule>
    <cfRule type="cellIs" dxfId="0" priority="5529" operator="equal">
      <formula>"未完成"</formula>
    </cfRule>
  </conditionalFormatting>
  <conditionalFormatting sqref="AN1463">
    <cfRule type="cellIs" dxfId="0" priority="5513" operator="equal">
      <formula>"欠"</formula>
    </cfRule>
  </conditionalFormatting>
  <conditionalFormatting sqref="Q1464">
    <cfRule type="cellIs" dxfId="0" priority="3131" operator="equal">
      <formula>"欠"</formula>
    </cfRule>
  </conditionalFormatting>
  <conditionalFormatting sqref="T1464:U1464">
    <cfRule type="containsText" dxfId="0" priority="3123" operator="between" text="欠">
      <formula>NOT(ISERROR(SEARCH("欠",T1464)))</formula>
    </cfRule>
    <cfRule type="cellIs" dxfId="0" priority="3125" operator="equal">
      <formula>"欠"</formula>
    </cfRule>
  </conditionalFormatting>
  <conditionalFormatting sqref="V1464">
    <cfRule type="cellIs" dxfId="0" priority="3127" operator="equal">
      <formula>"欠"</formula>
    </cfRule>
  </conditionalFormatting>
  <conditionalFormatting sqref="AI1464">
    <cfRule type="cellIs" dxfId="0" priority="3126" operator="equal">
      <formula>"未完成"</formula>
    </cfRule>
  </conditionalFormatting>
  <conditionalFormatting sqref="AL1464">
    <cfRule type="cellIs" dxfId="1" priority="3129" operator="equal">
      <formula>"未完成"</formula>
    </cfRule>
    <cfRule type="cellIs" dxfId="0" priority="3130" operator="equal">
      <formula>"未完成"</formula>
    </cfRule>
  </conditionalFormatting>
  <conditionalFormatting sqref="AM1464">
    <cfRule type="cellIs" dxfId="0" priority="3128" operator="equal">
      <formula>"欠"</formula>
    </cfRule>
  </conditionalFormatting>
  <conditionalFormatting sqref="Q1465">
    <cfRule type="cellIs" dxfId="0" priority="4465" operator="equal">
      <formula>"欠"</formula>
    </cfRule>
  </conditionalFormatting>
  <conditionalFormatting sqref="R1465">
    <cfRule type="containsText" dxfId="0" priority="4458" operator="between" text="欠">
      <formula>NOT(ISERROR(SEARCH("欠",R1465)))</formula>
    </cfRule>
    <cfRule type="cellIs" dxfId="0" priority="4459" operator="equal">
      <formula>"欠"</formula>
    </cfRule>
  </conditionalFormatting>
  <conditionalFormatting sqref="S1465">
    <cfRule type="cellIs" dxfId="0" priority="4467" operator="equal">
      <formula>"欠"</formula>
    </cfRule>
  </conditionalFormatting>
  <conditionalFormatting sqref="T1465:U1465">
    <cfRule type="containsText" dxfId="0" priority="3791" operator="between" text="欠">
      <formula>NOT(ISERROR(SEARCH("欠",T1465)))</formula>
    </cfRule>
    <cfRule type="containsText" dxfId="2" priority="3792" operator="between" text="欠">
      <formula>NOT(ISERROR(SEARCH("欠",T1465)))</formula>
    </cfRule>
    <cfRule type="cellIs" dxfId="0" priority="3793" operator="equal">
      <formula>"欠"</formula>
    </cfRule>
  </conditionalFormatting>
  <conditionalFormatting sqref="V1465">
    <cfRule type="cellIs" dxfId="0" priority="4461" operator="equal">
      <formula>"欠"</formula>
    </cfRule>
  </conditionalFormatting>
  <conditionalFormatting sqref="AI1465">
    <cfRule type="cellIs" dxfId="0" priority="4460" operator="equal">
      <formula>"未完成"</formula>
    </cfRule>
  </conditionalFormatting>
  <conditionalFormatting sqref="AL1465">
    <cfRule type="cellIs" dxfId="1" priority="4463" operator="equal">
      <formula>"未完成"</formula>
    </cfRule>
    <cfRule type="cellIs" dxfId="0" priority="4464" operator="equal">
      <formula>"未完成"</formula>
    </cfRule>
  </conditionalFormatting>
  <conditionalFormatting sqref="AM1465">
    <cfRule type="cellIs" dxfId="0" priority="4462" operator="equal">
      <formula>"欠"</formula>
    </cfRule>
  </conditionalFormatting>
  <conditionalFormatting sqref="Q1466">
    <cfRule type="cellIs" dxfId="0" priority="157" operator="equal">
      <formula>"欠"</formula>
    </cfRule>
  </conditionalFormatting>
  <conditionalFormatting sqref="R1466">
    <cfRule type="containsText" dxfId="0" priority="143" operator="between" text="欠">
      <formula>NOT(ISERROR(SEARCH("欠",R1466)))</formula>
    </cfRule>
    <cfRule type="cellIs" dxfId="0" priority="144" operator="equal">
      <formula>"欠"</formula>
    </cfRule>
  </conditionalFormatting>
  <conditionalFormatting sqref="S1466">
    <cfRule type="cellIs" dxfId="0" priority="142" operator="equal">
      <formula>"欠"</formula>
    </cfRule>
  </conditionalFormatting>
  <conditionalFormatting sqref="T1466:U1466">
    <cfRule type="containsText" dxfId="0" priority="140" operator="between" text="欠">
      <formula>NOT(ISERROR(SEARCH("欠",T1466)))</formula>
    </cfRule>
    <cfRule type="cellIs" dxfId="0" priority="141" operator="equal">
      <formula>"欠"</formula>
    </cfRule>
  </conditionalFormatting>
  <conditionalFormatting sqref="V1466">
    <cfRule type="cellIs" dxfId="0" priority="153" operator="equal">
      <formula>"欠"</formula>
    </cfRule>
  </conditionalFormatting>
  <conditionalFormatting sqref="AI1466">
    <cfRule type="cellIs" dxfId="0" priority="152" operator="equal">
      <formula>"未完成"</formula>
    </cfRule>
  </conditionalFormatting>
  <conditionalFormatting sqref="AL1466">
    <cfRule type="cellIs" dxfId="1" priority="155" operator="equal">
      <formula>"未完成"</formula>
    </cfRule>
    <cfRule type="cellIs" dxfId="0" priority="156" operator="equal">
      <formula>"未完成"</formula>
    </cfRule>
  </conditionalFormatting>
  <conditionalFormatting sqref="AM1466">
    <cfRule type="cellIs" dxfId="0" priority="154" operator="equal">
      <formula>"欠"</formula>
    </cfRule>
  </conditionalFormatting>
  <conditionalFormatting sqref="Q1467">
    <cfRule type="cellIs" dxfId="0" priority="3225" operator="equal">
      <formula>"欠"</formula>
    </cfRule>
  </conditionalFormatting>
  <conditionalFormatting sqref="V1467">
    <cfRule type="cellIs" dxfId="0" priority="3213" operator="equal">
      <formula>"欠"</formula>
    </cfRule>
  </conditionalFormatting>
  <conditionalFormatting sqref="AI1467">
    <cfRule type="cellIs" dxfId="0" priority="3210" operator="equal">
      <formula>"未完成"</formula>
    </cfRule>
  </conditionalFormatting>
  <conditionalFormatting sqref="AL1467">
    <cfRule type="cellIs" dxfId="1" priority="3219" operator="equal">
      <formula>"未完成"</formula>
    </cfRule>
    <cfRule type="cellIs" dxfId="0" priority="3222" operator="equal">
      <formula>"未完成"</formula>
    </cfRule>
  </conditionalFormatting>
  <conditionalFormatting sqref="AM1467">
    <cfRule type="cellIs" dxfId="0" priority="3216" operator="equal">
      <formula>"欠"</formula>
    </cfRule>
  </conditionalFormatting>
  <conditionalFormatting sqref="V1468">
    <cfRule type="cellIs" dxfId="0" priority="3212" operator="equal">
      <formula>"欠"</formula>
    </cfRule>
  </conditionalFormatting>
  <conditionalFormatting sqref="AI1468">
    <cfRule type="cellIs" dxfId="0" priority="3209" operator="equal">
      <formula>"未完成"</formula>
    </cfRule>
  </conditionalFormatting>
  <conditionalFormatting sqref="AL1468">
    <cfRule type="cellIs" dxfId="1" priority="3218" operator="equal">
      <formula>"未完成"</formula>
    </cfRule>
    <cfRule type="cellIs" dxfId="0" priority="3221" operator="equal">
      <formula>"未完成"</formula>
    </cfRule>
  </conditionalFormatting>
  <conditionalFormatting sqref="AM1468">
    <cfRule type="cellIs" dxfId="0" priority="3215" operator="equal">
      <formula>"欠"</formula>
    </cfRule>
  </conditionalFormatting>
  <conditionalFormatting sqref="V1469">
    <cfRule type="cellIs" dxfId="0" priority="3211" operator="equal">
      <formula>"欠"</formula>
    </cfRule>
  </conditionalFormatting>
  <conditionalFormatting sqref="AI1469">
    <cfRule type="cellIs" dxfId="0" priority="3208" operator="equal">
      <formula>"未完成"</formula>
    </cfRule>
  </conditionalFormatting>
  <conditionalFormatting sqref="AL1469">
    <cfRule type="cellIs" dxfId="1" priority="3217" operator="equal">
      <formula>"未完成"</formula>
    </cfRule>
    <cfRule type="cellIs" dxfId="0" priority="3220" operator="equal">
      <formula>"未完成"</formula>
    </cfRule>
  </conditionalFormatting>
  <conditionalFormatting sqref="AM1469">
    <cfRule type="cellIs" dxfId="0" priority="3214" operator="equal">
      <formula>"欠"</formula>
    </cfRule>
  </conditionalFormatting>
  <conditionalFormatting sqref="R1470">
    <cfRule type="containsText" dxfId="0" priority="4992" operator="between" text="欠">
      <formula>NOT(ISERROR(SEARCH("欠",R1470)))</formula>
    </cfRule>
    <cfRule type="cellIs" dxfId="0" priority="4995" operator="equal">
      <formula>"欠"</formula>
    </cfRule>
  </conditionalFormatting>
  <conditionalFormatting sqref="S1470">
    <cfRule type="cellIs" dxfId="0" priority="4998" operator="equal">
      <formula>"欠"</formula>
    </cfRule>
  </conditionalFormatting>
  <conditionalFormatting sqref="T1470:U1470">
    <cfRule type="containsText" dxfId="0" priority="4986" operator="between" text="欠">
      <formula>NOT(ISERROR(SEARCH("欠",T1470)))</formula>
    </cfRule>
    <cfRule type="cellIs" dxfId="0" priority="4989" operator="equal">
      <formula>"欠"</formula>
    </cfRule>
  </conditionalFormatting>
  <conditionalFormatting sqref="V1470">
    <cfRule type="cellIs" dxfId="0" priority="5007" operator="equal">
      <formula>"欠"</formula>
    </cfRule>
  </conditionalFormatting>
  <conditionalFormatting sqref="AG1470:AH1470">
    <cfRule type="cellIs" dxfId="0" priority="5010" operator="equal">
      <formula>"未完成"</formula>
    </cfRule>
  </conditionalFormatting>
  <conditionalFormatting sqref="AL1470:AM1470">
    <cfRule type="cellIs" dxfId="1" priority="5001" operator="equal">
      <formula>"未完成"</formula>
    </cfRule>
    <cfRule type="cellIs" dxfId="0" priority="5004" operator="equal">
      <formula>"未完成"</formula>
    </cfRule>
  </conditionalFormatting>
  <conditionalFormatting sqref="Q1471">
    <cfRule type="cellIs" dxfId="0" priority="2659" operator="equal">
      <formula>"欠"</formula>
    </cfRule>
  </conditionalFormatting>
  <conditionalFormatting sqref="R1471">
    <cfRule type="containsText" dxfId="0" priority="2539" operator="between" text="欠">
      <formula>NOT(ISERROR(SEARCH("欠",R1471)))</formula>
    </cfRule>
    <cfRule type="cellIs" dxfId="0" priority="2551" operator="equal">
      <formula>"欠"</formula>
    </cfRule>
  </conditionalFormatting>
  <conditionalFormatting sqref="S1471">
    <cfRule type="cellIs" dxfId="0" priority="2575" operator="equal">
      <formula>"欠"</formula>
    </cfRule>
  </conditionalFormatting>
  <conditionalFormatting sqref="T1471:U1471">
    <cfRule type="containsText" dxfId="0" priority="2563" operator="between" text="欠">
      <formula>NOT(ISERROR(SEARCH("欠",T1471)))</formula>
    </cfRule>
    <cfRule type="cellIs" dxfId="0" priority="2587" operator="equal">
      <formula>"欠"</formula>
    </cfRule>
  </conditionalFormatting>
  <conditionalFormatting sqref="V1471">
    <cfRule type="cellIs" dxfId="0" priority="2611" operator="equal">
      <formula>"欠"</formula>
    </cfRule>
  </conditionalFormatting>
  <conditionalFormatting sqref="AI1471">
    <cfRule type="cellIs" dxfId="0" priority="2599" operator="equal">
      <formula>"未完成"</formula>
    </cfRule>
  </conditionalFormatting>
  <conditionalFormatting sqref="AL1471">
    <cfRule type="cellIs" dxfId="1" priority="2635" operator="equal">
      <formula>"未完成"</formula>
    </cfRule>
    <cfRule type="cellIs" dxfId="0" priority="2647" operator="equal">
      <formula>"未完成"</formula>
    </cfRule>
  </conditionalFormatting>
  <conditionalFormatting sqref="AM1471">
    <cfRule type="cellIs" dxfId="0" priority="2623" operator="equal">
      <formula>"欠"</formula>
    </cfRule>
  </conditionalFormatting>
  <conditionalFormatting sqref="Q1472">
    <cfRule type="cellIs" dxfId="0" priority="3610" operator="equal">
      <formula>"欠"</formula>
    </cfRule>
  </conditionalFormatting>
  <conditionalFormatting sqref="R1472">
    <cfRule type="containsText" dxfId="0" priority="3603" operator="between" text="欠">
      <formula>NOT(ISERROR(SEARCH("欠",R1472)))</formula>
    </cfRule>
    <cfRule type="cellIs" dxfId="0" priority="3604" operator="equal">
      <formula>"欠"</formula>
    </cfRule>
  </conditionalFormatting>
  <conditionalFormatting sqref="S1472">
    <cfRule type="cellIs" dxfId="0" priority="3611" operator="equal">
      <formula>"欠"</formula>
    </cfRule>
  </conditionalFormatting>
  <conditionalFormatting sqref="T1472:U1472">
    <cfRule type="containsText" dxfId="0" priority="3600" operator="between" text="欠">
      <formula>NOT(ISERROR(SEARCH("欠",T1472)))</formula>
    </cfRule>
    <cfRule type="containsText" dxfId="2" priority="3601" operator="between" text="欠">
      <formula>NOT(ISERROR(SEARCH("欠",T1472)))</formula>
    </cfRule>
    <cfRule type="cellIs" dxfId="0" priority="3602" operator="equal">
      <formula>"欠"</formula>
    </cfRule>
  </conditionalFormatting>
  <conditionalFormatting sqref="V1472">
    <cfRule type="cellIs" dxfId="0" priority="3606" operator="equal">
      <formula>"欠"</formula>
    </cfRule>
  </conditionalFormatting>
  <conditionalFormatting sqref="AI1472">
    <cfRule type="cellIs" dxfId="0" priority="3605" operator="equal">
      <formula>"未完成"</formula>
    </cfRule>
  </conditionalFormatting>
  <conditionalFormatting sqref="AL1472">
    <cfRule type="cellIs" dxfId="1" priority="3608" operator="equal">
      <formula>"未完成"</formula>
    </cfRule>
    <cfRule type="cellIs" dxfId="0" priority="3609" operator="equal">
      <formula>"未完成"</formula>
    </cfRule>
  </conditionalFormatting>
  <conditionalFormatting sqref="AM1472">
    <cfRule type="cellIs" dxfId="0" priority="3607" operator="equal">
      <formula>"欠"</formula>
    </cfRule>
  </conditionalFormatting>
  <conditionalFormatting sqref="Q1473">
    <cfRule type="cellIs" dxfId="0" priority="3584" operator="equal">
      <formula>"欠"</formula>
    </cfRule>
  </conditionalFormatting>
  <conditionalFormatting sqref="AI1473">
    <cfRule type="cellIs" dxfId="0" priority="3579" operator="equal">
      <formula>"未完成"</formula>
    </cfRule>
  </conditionalFormatting>
  <conditionalFormatting sqref="AL1473">
    <cfRule type="cellIs" dxfId="1" priority="3582" operator="equal">
      <formula>"未完成"</formula>
    </cfRule>
    <cfRule type="cellIs" dxfId="0" priority="3583" operator="equal">
      <formula>"未完成"</formula>
    </cfRule>
  </conditionalFormatting>
  <conditionalFormatting sqref="AM1473">
    <cfRule type="cellIs" dxfId="0" priority="3581" operator="equal">
      <formula>"欠"</formula>
    </cfRule>
  </conditionalFormatting>
  <conditionalFormatting sqref="AG1474:AH1474">
    <cfRule type="cellIs" dxfId="0" priority="3555" operator="equal">
      <formula>"未完成"</formula>
    </cfRule>
  </conditionalFormatting>
  <conditionalFormatting sqref="AL1474:AM1474">
    <cfRule type="cellIs" dxfId="1" priority="3556" operator="equal">
      <formula>"未完成"</formula>
    </cfRule>
    <cfRule type="cellIs" dxfId="0" priority="3557" operator="equal">
      <formula>"未完成"</formula>
    </cfRule>
  </conditionalFormatting>
  <conditionalFormatting sqref="AN1474">
    <cfRule type="cellIs" dxfId="0" priority="3560" operator="equal">
      <formula>"欠"</formula>
    </cfRule>
  </conditionalFormatting>
  <conditionalFormatting sqref="Q1475">
    <cfRule type="cellIs" dxfId="0" priority="3143" operator="equal">
      <formula>"欠"</formula>
    </cfRule>
  </conditionalFormatting>
  <conditionalFormatting sqref="T1475:U1475">
    <cfRule type="containsText" dxfId="0" priority="3135" operator="between" text="欠">
      <formula>NOT(ISERROR(SEARCH("欠",T1475)))</formula>
    </cfRule>
    <cfRule type="cellIs" dxfId="0" priority="3137" operator="equal">
      <formula>"欠"</formula>
    </cfRule>
  </conditionalFormatting>
  <conditionalFormatting sqref="V1475">
    <cfRule type="cellIs" dxfId="0" priority="3139" operator="equal">
      <formula>"欠"</formula>
    </cfRule>
  </conditionalFormatting>
  <conditionalFormatting sqref="AI1475">
    <cfRule type="cellIs" dxfId="0" priority="3138" operator="equal">
      <formula>"未完成"</formula>
    </cfRule>
  </conditionalFormatting>
  <conditionalFormatting sqref="AL1475">
    <cfRule type="cellIs" dxfId="1" priority="3141" operator="equal">
      <formula>"未完成"</formula>
    </cfRule>
    <cfRule type="cellIs" dxfId="0" priority="3142" operator="equal">
      <formula>"未完成"</formula>
    </cfRule>
  </conditionalFormatting>
  <conditionalFormatting sqref="AM1475">
    <cfRule type="cellIs" dxfId="0" priority="3140" operator="equal">
      <formula>"欠"</formula>
    </cfRule>
  </conditionalFormatting>
  <conditionalFormatting sqref="AN1476">
    <cfRule type="cellIs" dxfId="0" priority="7920" operator="equal">
      <formula>"欠"</formula>
    </cfRule>
  </conditionalFormatting>
  <conditionalFormatting sqref="V1477">
    <cfRule type="cellIs" dxfId="0" priority="3593" operator="equal">
      <formula>"欠"</formula>
    </cfRule>
  </conditionalFormatting>
  <conditionalFormatting sqref="AI1477">
    <cfRule type="cellIs" dxfId="0" priority="3592" operator="equal">
      <formula>"未完成"</formula>
    </cfRule>
  </conditionalFormatting>
  <conditionalFormatting sqref="AL1477">
    <cfRule type="cellIs" dxfId="1" priority="3595" operator="equal">
      <formula>"未完成"</formula>
    </cfRule>
    <cfRule type="cellIs" dxfId="0" priority="3596" operator="equal">
      <formula>"未完成"</formula>
    </cfRule>
  </conditionalFormatting>
  <conditionalFormatting sqref="AM1477">
    <cfRule type="cellIs" dxfId="0" priority="3594" operator="equal">
      <formula>"欠"</formula>
    </cfRule>
  </conditionalFormatting>
  <conditionalFormatting sqref="V1478">
    <cfRule type="cellIs" dxfId="0" priority="3567" operator="equal">
      <formula>"欠"</formula>
    </cfRule>
  </conditionalFormatting>
  <conditionalFormatting sqref="AG1478:AH1478">
    <cfRule type="cellIs" dxfId="0" priority="3568" operator="equal">
      <formula>"未完成"</formula>
    </cfRule>
  </conditionalFormatting>
  <conditionalFormatting sqref="AL1478:AM1478">
    <cfRule type="cellIs" dxfId="1" priority="3569" operator="equal">
      <formula>"未完成"</formula>
    </cfRule>
    <cfRule type="cellIs" dxfId="0" priority="3570" operator="equal">
      <formula>"未完成"</formula>
    </cfRule>
  </conditionalFormatting>
  <conditionalFormatting sqref="AN1478">
    <cfRule type="cellIs" dxfId="0" priority="3573" operator="equal">
      <formula>"欠"</formula>
    </cfRule>
  </conditionalFormatting>
  <conditionalFormatting sqref="R1479">
    <cfRule type="containsText" dxfId="0" priority="3415" operator="between" text="欠">
      <formula>NOT(ISERROR(SEARCH("欠",R1479)))</formula>
    </cfRule>
    <cfRule type="cellIs" dxfId="0" priority="3418" operator="equal">
      <formula>"欠"</formula>
    </cfRule>
  </conditionalFormatting>
  <conditionalFormatting sqref="S1479">
    <cfRule type="cellIs" dxfId="0" priority="3417" operator="equal">
      <formula>"欠"</formula>
    </cfRule>
  </conditionalFormatting>
  <conditionalFormatting sqref="T1479:U1479">
    <cfRule type="containsText" dxfId="0" priority="3414" operator="between" text="欠">
      <formula>NOT(ISERROR(SEARCH("欠",T1479)))</formula>
    </cfRule>
    <cfRule type="cellIs" dxfId="0" priority="3416" operator="equal">
      <formula>"欠"</formula>
    </cfRule>
  </conditionalFormatting>
  <conditionalFormatting sqref="V1479">
    <cfRule type="cellIs" dxfId="0" priority="3421" operator="equal">
      <formula>"欠"</formula>
    </cfRule>
  </conditionalFormatting>
  <conditionalFormatting sqref="AG1479:AH1479">
    <cfRule type="cellIs" dxfId="0" priority="3422" operator="equal">
      <formula>"未完成"</formula>
    </cfRule>
  </conditionalFormatting>
  <conditionalFormatting sqref="AL1479:AM1479">
    <cfRule type="cellIs" dxfId="1" priority="3419" operator="equal">
      <formula>"未完成"</formula>
    </cfRule>
    <cfRule type="cellIs" dxfId="0" priority="3420" operator="equal">
      <formula>"未完成"</formula>
    </cfRule>
  </conditionalFormatting>
  <conditionalFormatting sqref="AN1479">
    <cfRule type="cellIs" dxfId="0" priority="3423" operator="equal">
      <formula>"欠"</formula>
    </cfRule>
  </conditionalFormatting>
  <conditionalFormatting sqref="Q1480">
    <cfRule type="cellIs" dxfId="0" priority="3289" operator="equal">
      <formula>"欠"</formula>
    </cfRule>
  </conditionalFormatting>
  <conditionalFormatting sqref="R1480">
    <cfRule type="containsText" dxfId="0" priority="3229" operator="between" text="欠">
      <formula>NOT(ISERROR(SEARCH("欠",R1480)))</formula>
    </cfRule>
    <cfRule type="cellIs" dxfId="0" priority="3235" operator="equal">
      <formula>"欠"</formula>
    </cfRule>
  </conditionalFormatting>
  <conditionalFormatting sqref="T1480:U1480">
    <cfRule type="containsText" dxfId="0" priority="3241" operator="between" text="欠">
      <formula>NOT(ISERROR(SEARCH("欠",T1480)))</formula>
    </cfRule>
    <cfRule type="cellIs" dxfId="0" priority="3253" operator="equal">
      <formula>"欠"</formula>
    </cfRule>
  </conditionalFormatting>
  <conditionalFormatting sqref="V1480">
    <cfRule type="cellIs" dxfId="0" priority="3265" operator="equal">
      <formula>"欠"</formula>
    </cfRule>
  </conditionalFormatting>
  <conditionalFormatting sqref="AI1480">
    <cfRule type="cellIs" dxfId="0" priority="3259" operator="equal">
      <formula>"未完成"</formula>
    </cfRule>
  </conditionalFormatting>
  <conditionalFormatting sqref="AL1480">
    <cfRule type="cellIs" dxfId="1" priority="3277" operator="equal">
      <formula>"未完成"</formula>
    </cfRule>
    <cfRule type="cellIs" dxfId="0" priority="3283" operator="equal">
      <formula>"未完成"</formula>
    </cfRule>
  </conditionalFormatting>
  <conditionalFormatting sqref="AM1480">
    <cfRule type="cellIs" dxfId="0" priority="3271" operator="equal">
      <formula>"欠"</formula>
    </cfRule>
  </conditionalFormatting>
  <conditionalFormatting sqref="Q1481">
    <cfRule type="cellIs" dxfId="0" priority="3671" operator="equal">
      <formula>"欠"</formula>
    </cfRule>
  </conditionalFormatting>
  <conditionalFormatting sqref="V1481">
    <cfRule type="cellIs" dxfId="0" priority="3655" operator="equal">
      <formula>"欠"</formula>
    </cfRule>
  </conditionalFormatting>
  <conditionalFormatting sqref="AI1481">
    <cfRule type="cellIs" dxfId="0" priority="3651" operator="equal">
      <formula>"未完成"</formula>
    </cfRule>
  </conditionalFormatting>
  <conditionalFormatting sqref="AL1481">
    <cfRule type="cellIs" dxfId="1" priority="3663" operator="equal">
      <formula>"未完成"</formula>
    </cfRule>
    <cfRule type="cellIs" dxfId="0" priority="3667" operator="equal">
      <formula>"未完成"</formula>
    </cfRule>
  </conditionalFormatting>
  <conditionalFormatting sqref="AM1481">
    <cfRule type="cellIs" dxfId="0" priority="3659" operator="equal">
      <formula>"欠"</formula>
    </cfRule>
  </conditionalFormatting>
  <conditionalFormatting sqref="R1482">
    <cfRule type="containsText" dxfId="0" priority="3438" operator="between" text="欠">
      <formula>NOT(ISERROR(SEARCH("欠",R1482)))</formula>
    </cfRule>
    <cfRule type="cellIs" dxfId="0" priority="3439" operator="equal">
      <formula>"欠"</formula>
    </cfRule>
  </conditionalFormatting>
  <conditionalFormatting sqref="S1482">
    <cfRule type="cellIs" dxfId="0" priority="3440" operator="equal">
      <formula>"欠"</formula>
    </cfRule>
  </conditionalFormatting>
  <conditionalFormatting sqref="T1482:U1482">
    <cfRule type="containsText" dxfId="0" priority="3441" operator="between" text="欠">
      <formula>NOT(ISERROR(SEARCH("欠",T1482)))</formula>
    </cfRule>
    <cfRule type="cellIs" dxfId="0" priority="3442" operator="equal">
      <formula>"欠"</formula>
    </cfRule>
  </conditionalFormatting>
  <conditionalFormatting sqref="V1482">
    <cfRule type="cellIs" dxfId="0" priority="3443" operator="equal">
      <formula>"欠"</formula>
    </cfRule>
  </conditionalFormatting>
  <conditionalFormatting sqref="AL1482:AM1482">
    <cfRule type="cellIs" dxfId="1" priority="3444" operator="equal">
      <formula>"未完成"</formula>
    </cfRule>
    <cfRule type="cellIs" dxfId="0" priority="3445" operator="equal">
      <formula>"未完成"</formula>
    </cfRule>
  </conditionalFormatting>
  <conditionalFormatting sqref="Q1483">
    <cfRule type="cellIs" dxfId="0" priority="3113" operator="equal">
      <formula>"欠"</formula>
    </cfRule>
  </conditionalFormatting>
  <conditionalFormatting sqref="R1483">
    <cfRule type="containsText" dxfId="0" priority="3053" operator="between" text="欠">
      <formula>NOT(ISERROR(SEARCH("欠",R1483)))</formula>
    </cfRule>
    <cfRule type="cellIs" dxfId="0" priority="3059" operator="equal">
      <formula>"欠"</formula>
    </cfRule>
  </conditionalFormatting>
  <conditionalFormatting sqref="V1483">
    <cfRule type="cellIs" dxfId="0" priority="3089" operator="equal">
      <formula>"欠"</formula>
    </cfRule>
  </conditionalFormatting>
  <conditionalFormatting sqref="AI1483">
    <cfRule type="cellIs" dxfId="0" priority="3083" operator="equal">
      <formula>"未完成"</formula>
    </cfRule>
  </conditionalFormatting>
  <conditionalFormatting sqref="AL1483">
    <cfRule type="cellIs" dxfId="1" priority="3101" operator="equal">
      <formula>"未完成"</formula>
    </cfRule>
    <cfRule type="cellIs" dxfId="0" priority="3107" operator="equal">
      <formula>"未完成"</formula>
    </cfRule>
  </conditionalFormatting>
  <conditionalFormatting sqref="AM1483">
    <cfRule type="cellIs" dxfId="0" priority="3095" operator="equal">
      <formula>"欠"</formula>
    </cfRule>
  </conditionalFormatting>
  <conditionalFormatting sqref="S1484">
    <cfRule type="cellIs" dxfId="0" priority="3481" operator="equal">
      <formula>"欠"</formula>
    </cfRule>
  </conditionalFormatting>
  <conditionalFormatting sqref="T1484:U1484">
    <cfRule type="containsText" dxfId="0" priority="3475" operator="between" text="欠">
      <formula>NOT(ISERROR(SEARCH("欠",T1484)))</formula>
    </cfRule>
    <cfRule type="cellIs" dxfId="0" priority="3479" operator="equal">
      <formula>"欠"</formula>
    </cfRule>
  </conditionalFormatting>
  <conditionalFormatting sqref="V1484">
    <cfRule type="cellIs" dxfId="0" priority="3489" operator="equal">
      <formula>"欠"</formula>
    </cfRule>
  </conditionalFormatting>
  <conditionalFormatting sqref="AG1484:AH1484">
    <cfRule type="cellIs" dxfId="0" priority="3491" operator="equal">
      <formula>"未完成"</formula>
    </cfRule>
  </conditionalFormatting>
  <conditionalFormatting sqref="AL1484:AM1484">
    <cfRule type="cellIs" dxfId="1" priority="3485" operator="equal">
      <formula>"未完成"</formula>
    </cfRule>
    <cfRule type="cellIs" dxfId="0" priority="3487" operator="equal">
      <formula>"未完成"</formula>
    </cfRule>
  </conditionalFormatting>
  <conditionalFormatting sqref="AN1484">
    <cfRule type="cellIs" dxfId="0" priority="3493" operator="equal">
      <formula>"欠"</formula>
    </cfRule>
  </conditionalFormatting>
  <conditionalFormatting sqref="R1485">
    <cfRule type="containsText" dxfId="0" priority="3757" operator="between" text="欠">
      <formula>NOT(ISERROR(SEARCH("欠",R1485)))</formula>
    </cfRule>
  </conditionalFormatting>
  <conditionalFormatting sqref="R1485:S1485">
    <cfRule type="cellIs" dxfId="0" priority="3765" operator="equal">
      <formula>"欠"</formula>
    </cfRule>
  </conditionalFormatting>
  <conditionalFormatting sqref="T1485:U1485">
    <cfRule type="containsText" dxfId="0" priority="3756" operator="between" text="欠">
      <formula>NOT(ISERROR(SEARCH("欠",T1485)))</formula>
    </cfRule>
  </conditionalFormatting>
  <conditionalFormatting sqref="T1485:V1485">
    <cfRule type="cellIs" dxfId="0" priority="3760" operator="equal">
      <formula>"欠"</formula>
    </cfRule>
  </conditionalFormatting>
  <conditionalFormatting sqref="AL1485:AM1485">
    <cfRule type="cellIs" dxfId="1" priority="3761" operator="equal">
      <formula>"未完成"</formula>
    </cfRule>
    <cfRule type="cellIs" dxfId="0" priority="3762" operator="equal">
      <formula>"未完成"</formula>
    </cfRule>
  </conditionalFormatting>
  <conditionalFormatting sqref="AN1485">
    <cfRule type="cellIs" dxfId="0" priority="3763" operator="equal">
      <formula>"欠"</formula>
    </cfRule>
  </conditionalFormatting>
  <conditionalFormatting sqref="V1486">
    <cfRule type="cellIs" dxfId="0" priority="4501" operator="equal">
      <formula>"欠"</formula>
    </cfRule>
  </conditionalFormatting>
  <conditionalFormatting sqref="AI1486">
    <cfRule type="cellIs" dxfId="0" priority="4492" operator="equal">
      <formula>"未完成"</formula>
    </cfRule>
  </conditionalFormatting>
  <conditionalFormatting sqref="AL1486">
    <cfRule type="cellIs" dxfId="1" priority="4519" operator="equal">
      <formula>"未完成"</formula>
    </cfRule>
    <cfRule type="cellIs" dxfId="0" priority="4528" operator="equal">
      <formula>"未完成"</formula>
    </cfRule>
  </conditionalFormatting>
  <conditionalFormatting sqref="AM1486">
    <cfRule type="cellIs" dxfId="0" priority="4510" operator="equal">
      <formula>"欠"</formula>
    </cfRule>
  </conditionalFormatting>
  <conditionalFormatting sqref="V1487">
    <cfRule type="cellIs" dxfId="0" priority="4500" operator="equal">
      <formula>"欠"</formula>
    </cfRule>
  </conditionalFormatting>
  <conditionalFormatting sqref="AI1487">
    <cfRule type="cellIs" dxfId="0" priority="4491" operator="equal">
      <formula>"未完成"</formula>
    </cfRule>
  </conditionalFormatting>
  <conditionalFormatting sqref="AL1487">
    <cfRule type="cellIs" dxfId="1" priority="4518" operator="equal">
      <formula>"未完成"</formula>
    </cfRule>
    <cfRule type="cellIs" dxfId="0" priority="4527" operator="equal">
      <formula>"未完成"</formula>
    </cfRule>
  </conditionalFormatting>
  <conditionalFormatting sqref="AM1487">
    <cfRule type="cellIs" dxfId="0" priority="4509" operator="equal">
      <formula>"欠"</formula>
    </cfRule>
  </conditionalFormatting>
  <conditionalFormatting sqref="Q1488">
    <cfRule type="cellIs" dxfId="0" priority="3859" operator="equal">
      <formula>"欠"</formula>
    </cfRule>
  </conditionalFormatting>
  <conditionalFormatting sqref="R1488">
    <cfRule type="containsText" dxfId="0" priority="3852" operator="between" text="欠">
      <formula>NOT(ISERROR(SEARCH("欠",R1488)))</formula>
    </cfRule>
    <cfRule type="cellIs" dxfId="0" priority="3853" operator="equal">
      <formula>"欠"</formula>
    </cfRule>
  </conditionalFormatting>
  <conditionalFormatting sqref="S1488">
    <cfRule type="cellIs" dxfId="0" priority="3861" operator="equal">
      <formula>"欠"</formula>
    </cfRule>
  </conditionalFormatting>
  <conditionalFormatting sqref="T1488:U1488">
    <cfRule type="containsText" dxfId="0" priority="3860" operator="between" text="欠">
      <formula>NOT(ISERROR(SEARCH("欠",T1488)))</formula>
    </cfRule>
    <cfRule type="cellIs" dxfId="0" priority="3862" operator="equal">
      <formula>"欠"</formula>
    </cfRule>
  </conditionalFormatting>
  <conditionalFormatting sqref="V1488">
    <cfRule type="cellIs" dxfId="0" priority="3855" operator="equal">
      <formula>"欠"</formula>
    </cfRule>
  </conditionalFormatting>
  <conditionalFormatting sqref="AI1488">
    <cfRule type="cellIs" dxfId="0" priority="3854" operator="equal">
      <formula>"未完成"</formula>
    </cfRule>
  </conditionalFormatting>
  <conditionalFormatting sqref="AL1488">
    <cfRule type="cellIs" dxfId="1" priority="3857" operator="equal">
      <formula>"未完成"</formula>
    </cfRule>
    <cfRule type="cellIs" dxfId="0" priority="3858" operator="equal">
      <formula>"未完成"</formula>
    </cfRule>
  </conditionalFormatting>
  <conditionalFormatting sqref="AM1488">
    <cfRule type="cellIs" dxfId="0" priority="3856" operator="equal">
      <formula>"欠"</formula>
    </cfRule>
  </conditionalFormatting>
  <conditionalFormatting sqref="V1489">
    <cfRule type="cellIs" dxfId="0" priority="3404" operator="equal">
      <formula>"欠"</formula>
    </cfRule>
  </conditionalFormatting>
  <conditionalFormatting sqref="AI1489">
    <cfRule type="cellIs" dxfId="0" priority="3403" operator="equal">
      <formula>"未完成"</formula>
    </cfRule>
  </conditionalFormatting>
  <conditionalFormatting sqref="AM1489">
    <cfRule type="cellIs" dxfId="0" priority="3405" operator="equal">
      <formula>"欠"</formula>
    </cfRule>
  </conditionalFormatting>
  <conditionalFormatting sqref="V1490">
    <cfRule type="cellIs" dxfId="0" priority="3352" operator="equal">
      <formula>"欠"</formula>
    </cfRule>
  </conditionalFormatting>
  <conditionalFormatting sqref="AI1490">
    <cfRule type="cellIs" dxfId="0" priority="3346" operator="equal">
      <formula>"未完成"</formula>
    </cfRule>
  </conditionalFormatting>
  <conditionalFormatting sqref="AM1490">
    <cfRule type="cellIs" dxfId="0" priority="3358" operator="equal">
      <formula>"欠"</formula>
    </cfRule>
  </conditionalFormatting>
  <conditionalFormatting sqref="V1491">
    <cfRule type="cellIs" dxfId="0" priority="3351" operator="equal">
      <formula>"欠"</formula>
    </cfRule>
  </conditionalFormatting>
  <conditionalFormatting sqref="AI1491">
    <cfRule type="cellIs" dxfId="0" priority="3345" operator="equal">
      <formula>"未完成"</formula>
    </cfRule>
  </conditionalFormatting>
  <conditionalFormatting sqref="AM1491">
    <cfRule type="cellIs" dxfId="0" priority="3357" operator="equal">
      <formula>"欠"</formula>
    </cfRule>
  </conditionalFormatting>
  <conditionalFormatting sqref="V1492">
    <cfRule type="cellIs" dxfId="0" priority="3350" operator="equal">
      <formula>"欠"</formula>
    </cfRule>
  </conditionalFormatting>
  <conditionalFormatting sqref="AI1492">
    <cfRule type="cellIs" dxfId="0" priority="3344" operator="equal">
      <formula>"未完成"</formula>
    </cfRule>
  </conditionalFormatting>
  <conditionalFormatting sqref="AM1492">
    <cfRule type="cellIs" dxfId="0" priority="3356" operator="equal">
      <formula>"欠"</formula>
    </cfRule>
  </conditionalFormatting>
  <conditionalFormatting sqref="V1493">
    <cfRule type="cellIs" dxfId="0" priority="3349" operator="equal">
      <formula>"欠"</formula>
    </cfRule>
  </conditionalFormatting>
  <conditionalFormatting sqref="AI1493">
    <cfRule type="cellIs" dxfId="0" priority="3343" operator="equal">
      <formula>"未完成"</formula>
    </cfRule>
  </conditionalFormatting>
  <conditionalFormatting sqref="AM1493">
    <cfRule type="cellIs" dxfId="0" priority="3355" operator="equal">
      <formula>"欠"</formula>
    </cfRule>
  </conditionalFormatting>
  <conditionalFormatting sqref="V1494">
    <cfRule type="cellIs" dxfId="0" priority="3348" operator="equal">
      <formula>"欠"</formula>
    </cfRule>
  </conditionalFormatting>
  <conditionalFormatting sqref="AI1494">
    <cfRule type="cellIs" dxfId="0" priority="3342" operator="equal">
      <formula>"未完成"</formula>
    </cfRule>
  </conditionalFormatting>
  <conditionalFormatting sqref="AM1494">
    <cfRule type="cellIs" dxfId="0" priority="3354" operator="equal">
      <formula>"欠"</formula>
    </cfRule>
  </conditionalFormatting>
  <conditionalFormatting sqref="V1495">
    <cfRule type="cellIs" dxfId="0" priority="3347" operator="equal">
      <formula>"欠"</formula>
    </cfRule>
  </conditionalFormatting>
  <conditionalFormatting sqref="AI1495">
    <cfRule type="cellIs" dxfId="0" priority="3341" operator="equal">
      <formula>"未完成"</formula>
    </cfRule>
  </conditionalFormatting>
  <conditionalFormatting sqref="AM1495">
    <cfRule type="cellIs" dxfId="0" priority="3353" operator="equal">
      <formula>"欠"</formula>
    </cfRule>
  </conditionalFormatting>
  <conditionalFormatting sqref="Q1496">
    <cfRule type="cellIs" dxfId="0" priority="4533" operator="equal">
      <formula>"欠"</formula>
    </cfRule>
  </conditionalFormatting>
  <conditionalFormatting sqref="R1496">
    <cfRule type="containsText" dxfId="0" priority="4470" operator="between" text="欠">
      <formula>NOT(ISERROR(SEARCH("欠",R1496)))</formula>
    </cfRule>
    <cfRule type="cellIs" dxfId="0" priority="4479" operator="equal">
      <formula>"欠"</formula>
    </cfRule>
  </conditionalFormatting>
  <conditionalFormatting sqref="S1496">
    <cfRule type="cellIs" dxfId="0" priority="4551" operator="equal">
      <formula>"欠"</formula>
    </cfRule>
  </conditionalFormatting>
  <conditionalFormatting sqref="T1496:U1496">
    <cfRule type="containsText" dxfId="0" priority="4542" operator="between" text="欠">
      <formula>NOT(ISERROR(SEARCH("欠",T1496)))</formula>
    </cfRule>
    <cfRule type="cellIs" dxfId="0" priority="4560" operator="equal">
      <formula>"欠"</formula>
    </cfRule>
  </conditionalFormatting>
  <conditionalFormatting sqref="V1496">
    <cfRule type="cellIs" dxfId="0" priority="4497" operator="equal">
      <formula>"欠"</formula>
    </cfRule>
  </conditionalFormatting>
  <conditionalFormatting sqref="AI1496">
    <cfRule type="cellIs" dxfId="0" priority="4488" operator="equal">
      <formula>"未完成"</formula>
    </cfRule>
  </conditionalFormatting>
  <conditionalFormatting sqref="AL1496">
    <cfRule type="cellIs" dxfId="1" priority="4515" operator="equal">
      <formula>"未完成"</formula>
    </cfRule>
    <cfRule type="cellIs" dxfId="0" priority="4524" operator="equal">
      <formula>"未完成"</formula>
    </cfRule>
  </conditionalFormatting>
  <conditionalFormatting sqref="AM1496">
    <cfRule type="cellIs" dxfId="0" priority="4506" operator="equal">
      <formula>"欠"</formula>
    </cfRule>
  </conditionalFormatting>
  <conditionalFormatting sqref="V1497">
    <cfRule type="cellIs" dxfId="0" priority="3433" operator="equal">
      <formula>"欠"</formula>
    </cfRule>
  </conditionalFormatting>
  <conditionalFormatting sqref="AG1497:AH1497">
    <cfRule type="cellIs" dxfId="0" priority="3434" operator="equal">
      <formula>"未完成"</formula>
    </cfRule>
  </conditionalFormatting>
  <conditionalFormatting sqref="AL1497:AM1497">
    <cfRule type="cellIs" dxfId="1" priority="3431" operator="equal">
      <formula>"未完成"</formula>
    </cfRule>
    <cfRule type="cellIs" dxfId="0" priority="3432" operator="equal">
      <formula>"未完成"</formula>
    </cfRule>
  </conditionalFormatting>
  <conditionalFormatting sqref="AN1497">
    <cfRule type="cellIs" dxfId="0" priority="3435" operator="equal">
      <formula>"欠"</formula>
    </cfRule>
  </conditionalFormatting>
  <conditionalFormatting sqref="R1498">
    <cfRule type="containsText" dxfId="0" priority="3145" operator="between" text="欠">
      <formula>NOT(ISERROR(SEARCH("欠",R1498)))</formula>
    </cfRule>
    <cfRule type="cellIs" dxfId="0" priority="3147" operator="equal">
      <formula>"欠"</formula>
    </cfRule>
  </conditionalFormatting>
  <conditionalFormatting sqref="V1498">
    <cfRule type="cellIs" dxfId="0" priority="3157" operator="equal">
      <formula>"欠"</formula>
    </cfRule>
  </conditionalFormatting>
  <conditionalFormatting sqref="AI1498">
    <cfRule type="cellIs" dxfId="0" priority="3155" operator="equal">
      <formula>"未完成"</formula>
    </cfRule>
  </conditionalFormatting>
  <conditionalFormatting sqref="AL1498">
    <cfRule type="cellIs" dxfId="1" priority="3161" operator="equal">
      <formula>"未完成"</formula>
    </cfRule>
    <cfRule type="cellIs" dxfId="0" priority="3163" operator="equal">
      <formula>"未完成"</formula>
    </cfRule>
  </conditionalFormatting>
  <conditionalFormatting sqref="AM1498">
    <cfRule type="cellIs" dxfId="0" priority="3159" operator="equal">
      <formula>"欠"</formula>
    </cfRule>
  </conditionalFormatting>
  <conditionalFormatting sqref="V1499">
    <cfRule type="cellIs" dxfId="0" priority="2980" operator="equal">
      <formula>"欠"</formula>
    </cfRule>
  </conditionalFormatting>
  <conditionalFormatting sqref="AI1499">
    <cfRule type="cellIs" dxfId="0" priority="2970" operator="equal">
      <formula>"未完成"</formula>
    </cfRule>
  </conditionalFormatting>
  <conditionalFormatting sqref="AL1499">
    <cfRule type="cellIs" dxfId="1" priority="3000" operator="equal">
      <formula>"未完成"</formula>
    </cfRule>
    <cfRule type="cellIs" dxfId="0" priority="3010" operator="equal">
      <formula>"未完成"</formula>
    </cfRule>
  </conditionalFormatting>
  <conditionalFormatting sqref="AM1499">
    <cfRule type="cellIs" dxfId="0" priority="2990" operator="equal">
      <formula>"欠"</formula>
    </cfRule>
  </conditionalFormatting>
  <conditionalFormatting sqref="V1500">
    <cfRule type="cellIs" dxfId="0" priority="2979" operator="equal">
      <formula>"欠"</formula>
    </cfRule>
  </conditionalFormatting>
  <conditionalFormatting sqref="AI1500">
    <cfRule type="cellIs" dxfId="0" priority="2969" operator="equal">
      <formula>"未完成"</formula>
    </cfRule>
  </conditionalFormatting>
  <conditionalFormatting sqref="AL1500">
    <cfRule type="cellIs" dxfId="1" priority="2999" operator="equal">
      <formula>"未完成"</formula>
    </cfRule>
    <cfRule type="cellIs" dxfId="0" priority="3009" operator="equal">
      <formula>"未完成"</formula>
    </cfRule>
  </conditionalFormatting>
  <conditionalFormatting sqref="AM1500">
    <cfRule type="cellIs" dxfId="0" priority="2989" operator="equal">
      <formula>"欠"</formula>
    </cfRule>
  </conditionalFormatting>
  <conditionalFormatting sqref="Q1501">
    <cfRule type="cellIs" dxfId="0" priority="3018" operator="equal">
      <formula>"欠"</formula>
    </cfRule>
  </conditionalFormatting>
  <conditionalFormatting sqref="V1501">
    <cfRule type="cellIs" dxfId="0" priority="2978" operator="equal">
      <formula>"欠"</formula>
    </cfRule>
  </conditionalFormatting>
  <conditionalFormatting sqref="AI1501">
    <cfRule type="cellIs" dxfId="0" priority="2968" operator="equal">
      <formula>"未完成"</formula>
    </cfRule>
  </conditionalFormatting>
  <conditionalFormatting sqref="AL1501">
    <cfRule type="cellIs" dxfId="1" priority="2998" operator="equal">
      <formula>"未完成"</formula>
    </cfRule>
    <cfRule type="cellIs" dxfId="0" priority="3008" operator="equal">
      <formula>"未完成"</formula>
    </cfRule>
  </conditionalFormatting>
  <conditionalFormatting sqref="AM1501">
    <cfRule type="cellIs" dxfId="0" priority="2988" operator="equal">
      <formula>"欠"</formula>
    </cfRule>
  </conditionalFormatting>
  <conditionalFormatting sqref="Q1502">
    <cfRule type="cellIs" dxfId="0" priority="2665" operator="equal">
      <formula>"欠"</formula>
    </cfRule>
  </conditionalFormatting>
  <conditionalFormatting sqref="V1502">
    <cfRule type="cellIs" dxfId="0" priority="2617" operator="equal">
      <formula>"欠"</formula>
    </cfRule>
  </conditionalFormatting>
  <conditionalFormatting sqref="AI1502">
    <cfRule type="cellIs" dxfId="0" priority="2605" operator="equal">
      <formula>"未完成"</formula>
    </cfRule>
  </conditionalFormatting>
  <conditionalFormatting sqref="AL1502">
    <cfRule type="cellIs" dxfId="1" priority="2641" operator="equal">
      <formula>"未完成"</formula>
    </cfRule>
    <cfRule type="cellIs" dxfId="0" priority="2653" operator="equal">
      <formula>"未完成"</formula>
    </cfRule>
  </conditionalFormatting>
  <conditionalFormatting sqref="AM1502">
    <cfRule type="cellIs" dxfId="0" priority="2629" operator="equal">
      <formula>"欠"</formula>
    </cfRule>
  </conditionalFormatting>
  <conditionalFormatting sqref="Q1503">
    <cfRule type="cellIs" dxfId="0" priority="2664" operator="equal">
      <formula>"欠"</formula>
    </cfRule>
  </conditionalFormatting>
  <conditionalFormatting sqref="V1503">
    <cfRule type="cellIs" dxfId="0" priority="2616" operator="equal">
      <formula>"欠"</formula>
    </cfRule>
  </conditionalFormatting>
  <conditionalFormatting sqref="AI1503">
    <cfRule type="cellIs" dxfId="0" priority="2604" operator="equal">
      <formula>"未完成"</formula>
    </cfRule>
  </conditionalFormatting>
  <conditionalFormatting sqref="AL1503">
    <cfRule type="cellIs" dxfId="1" priority="2640" operator="equal">
      <formula>"未完成"</formula>
    </cfRule>
    <cfRule type="cellIs" dxfId="0" priority="2652" operator="equal">
      <formula>"未完成"</formula>
    </cfRule>
  </conditionalFormatting>
  <conditionalFormatting sqref="AM1503">
    <cfRule type="cellIs" dxfId="0" priority="2628" operator="equal">
      <formula>"欠"</formula>
    </cfRule>
  </conditionalFormatting>
  <conditionalFormatting sqref="Q1504">
    <cfRule type="cellIs" dxfId="0" priority="2726" operator="equal">
      <formula>"欠"</formula>
    </cfRule>
  </conditionalFormatting>
  <conditionalFormatting sqref="V1504">
    <cfRule type="cellIs" dxfId="0" priority="2722" operator="equal">
      <formula>"欠"</formula>
    </cfRule>
  </conditionalFormatting>
  <conditionalFormatting sqref="AI1504">
    <cfRule type="cellIs" dxfId="0" priority="2721" operator="equal">
      <formula>"未完成"</formula>
    </cfRule>
  </conditionalFormatting>
  <conditionalFormatting sqref="AL1504">
    <cfRule type="cellIs" dxfId="1" priority="2724" operator="equal">
      <formula>"未完成"</formula>
    </cfRule>
    <cfRule type="cellIs" dxfId="0" priority="2725" operator="equal">
      <formula>"未完成"</formula>
    </cfRule>
  </conditionalFormatting>
  <conditionalFormatting sqref="AM1504">
    <cfRule type="cellIs" dxfId="0" priority="2723" operator="equal">
      <formula>"欠"</formula>
    </cfRule>
  </conditionalFormatting>
  <conditionalFormatting sqref="Q1505">
    <cfRule type="cellIs" dxfId="0" priority="3730" operator="equal">
      <formula>"欠"</formula>
    </cfRule>
  </conditionalFormatting>
  <conditionalFormatting sqref="R1505">
    <cfRule type="containsText" dxfId="0" priority="3724" operator="between" text="欠">
      <formula>NOT(ISERROR(SEARCH("欠",R1505)))</formula>
    </cfRule>
    <cfRule type="cellIs" dxfId="0" priority="3725" operator="equal">
      <formula>"欠"</formula>
    </cfRule>
  </conditionalFormatting>
  <conditionalFormatting sqref="T1505:U1505">
    <cfRule type="containsText" dxfId="0" priority="3731" operator="between" text="欠">
      <formula>NOT(ISERROR(SEARCH("欠",T1505)))</formula>
    </cfRule>
    <cfRule type="cellIs" dxfId="0" priority="3733" operator="equal">
      <formula>"欠"</formula>
    </cfRule>
  </conditionalFormatting>
  <conditionalFormatting sqref="V1505">
    <cfRule type="cellIs" dxfId="0" priority="3726" operator="equal">
      <formula>"欠"</formula>
    </cfRule>
  </conditionalFormatting>
  <conditionalFormatting sqref="AL1505">
    <cfRule type="cellIs" dxfId="1" priority="3728" operator="equal">
      <formula>"未完成"</formula>
    </cfRule>
    <cfRule type="cellIs" dxfId="0" priority="3729" operator="equal">
      <formula>"未完成"</formula>
    </cfRule>
  </conditionalFormatting>
  <conditionalFormatting sqref="AM1505">
    <cfRule type="cellIs" dxfId="0" priority="3727" operator="equal">
      <formula>"欠"</formula>
    </cfRule>
  </conditionalFormatting>
  <conditionalFormatting sqref="Q1506">
    <cfRule type="cellIs" dxfId="0" priority="3189" operator="equal">
      <formula>"欠"</formula>
    </cfRule>
  </conditionalFormatting>
  <conditionalFormatting sqref="T1506:U1506">
    <cfRule type="containsText" dxfId="0" priority="3173" operator="between" text="欠">
      <formula>NOT(ISERROR(SEARCH("欠",T1506)))</formula>
    </cfRule>
    <cfRule type="cellIs" dxfId="0" priority="3177" operator="equal">
      <formula>"欠"</formula>
    </cfRule>
  </conditionalFormatting>
  <conditionalFormatting sqref="V1506">
    <cfRule type="cellIs" dxfId="0" priority="3181" operator="equal">
      <formula>"欠"</formula>
    </cfRule>
  </conditionalFormatting>
  <conditionalFormatting sqref="AI1506">
    <cfRule type="cellIs" dxfId="0" priority="3179" operator="equal">
      <formula>"未完成"</formula>
    </cfRule>
  </conditionalFormatting>
  <conditionalFormatting sqref="AL1506">
    <cfRule type="cellIs" dxfId="1" priority="3185" operator="equal">
      <formula>"未完成"</formula>
    </cfRule>
    <cfRule type="cellIs" dxfId="0" priority="3187" operator="equal">
      <formula>"未完成"</formula>
    </cfRule>
  </conditionalFormatting>
  <conditionalFormatting sqref="AM1506">
    <cfRule type="cellIs" dxfId="0" priority="3183" operator="equal">
      <formula>"欠"</formula>
    </cfRule>
  </conditionalFormatting>
  <conditionalFormatting sqref="V1507">
    <cfRule type="cellIs" dxfId="0" priority="4239" operator="equal">
      <formula>"欠"</formula>
    </cfRule>
  </conditionalFormatting>
  <conditionalFormatting sqref="AI1507">
    <cfRule type="cellIs" dxfId="0" priority="4215" operator="equal">
      <formula>"未完成"</formula>
    </cfRule>
  </conditionalFormatting>
  <conditionalFormatting sqref="AL1507">
    <cfRule type="cellIs" dxfId="1" priority="4287" operator="equal">
      <formula>"未完成"</formula>
    </cfRule>
    <cfRule type="cellIs" dxfId="0" priority="4311" operator="equal">
      <formula>"未完成"</formula>
    </cfRule>
  </conditionalFormatting>
  <conditionalFormatting sqref="AM1507">
    <cfRule type="cellIs" dxfId="0" priority="4263" operator="equal">
      <formula>"欠"</formula>
    </cfRule>
  </conditionalFormatting>
  <conditionalFormatting sqref="V1508">
    <cfRule type="cellIs" dxfId="0" priority="4238" operator="equal">
      <formula>"欠"</formula>
    </cfRule>
  </conditionalFormatting>
  <conditionalFormatting sqref="AI1508">
    <cfRule type="cellIs" dxfId="0" priority="4214" operator="equal">
      <formula>"未完成"</formula>
    </cfRule>
  </conditionalFormatting>
  <conditionalFormatting sqref="AL1508">
    <cfRule type="cellIs" dxfId="1" priority="4286" operator="equal">
      <formula>"未完成"</formula>
    </cfRule>
    <cfRule type="cellIs" dxfId="0" priority="4310" operator="equal">
      <formula>"未完成"</formula>
    </cfRule>
  </conditionalFormatting>
  <conditionalFormatting sqref="AM1508">
    <cfRule type="cellIs" dxfId="0" priority="4262" operator="equal">
      <formula>"欠"</formula>
    </cfRule>
  </conditionalFormatting>
  <conditionalFormatting sqref="Q1509">
    <cfRule type="cellIs" dxfId="0" priority="1004" operator="equal">
      <formula>"欠"</formula>
    </cfRule>
  </conditionalFormatting>
  <conditionalFormatting sqref="R1509">
    <cfRule type="containsText" dxfId="0" priority="894" operator="between" text="欠">
      <formula>NOT(ISERROR(SEARCH("欠",R1509)))</formula>
    </cfRule>
    <cfRule type="cellIs" dxfId="0" priority="905" operator="equal">
      <formula>"欠"</formula>
    </cfRule>
  </conditionalFormatting>
  <conditionalFormatting sqref="S1509">
    <cfRule type="cellIs" dxfId="0" priority="927" operator="equal">
      <formula>"欠"</formula>
    </cfRule>
  </conditionalFormatting>
  <conditionalFormatting sqref="T1509:U1509">
    <cfRule type="containsText" dxfId="0" priority="916" operator="between" text="欠">
      <formula>NOT(ISERROR(SEARCH("欠",T1509)))</formula>
    </cfRule>
    <cfRule type="cellIs" dxfId="0" priority="938" operator="equal">
      <formula>"欠"</formula>
    </cfRule>
  </conditionalFormatting>
  <conditionalFormatting sqref="V1509">
    <cfRule type="cellIs" dxfId="0" priority="960" operator="equal">
      <formula>"欠"</formula>
    </cfRule>
  </conditionalFormatting>
  <conditionalFormatting sqref="AI1509">
    <cfRule type="cellIs" dxfId="0" priority="949" operator="equal">
      <formula>"未完成"</formula>
    </cfRule>
  </conditionalFormatting>
  <conditionalFormatting sqref="AL1509">
    <cfRule type="cellIs" dxfId="1" priority="982" operator="equal">
      <formula>"未完成"</formula>
    </cfRule>
    <cfRule type="cellIs" dxfId="0" priority="993" operator="equal">
      <formula>"未完成"</formula>
    </cfRule>
  </conditionalFormatting>
  <conditionalFormatting sqref="AM1509">
    <cfRule type="cellIs" dxfId="0" priority="971" operator="equal">
      <formula>"欠"</formula>
    </cfRule>
  </conditionalFormatting>
  <conditionalFormatting sqref="Q1510">
    <cfRule type="cellIs" dxfId="0" priority="3294" operator="equal">
      <formula>"欠"</formula>
    </cfRule>
  </conditionalFormatting>
  <conditionalFormatting sqref="T1510:U1510">
    <cfRule type="containsText" dxfId="0" priority="3246" operator="between" text="欠">
      <formula>NOT(ISERROR(SEARCH("欠",T1510)))</formula>
    </cfRule>
    <cfRule type="cellIs" dxfId="0" priority="3258" operator="equal">
      <formula>"欠"</formula>
    </cfRule>
  </conditionalFormatting>
  <conditionalFormatting sqref="V1510">
    <cfRule type="cellIs" dxfId="0" priority="3270" operator="equal">
      <formula>"欠"</formula>
    </cfRule>
  </conditionalFormatting>
  <conditionalFormatting sqref="AI1510">
    <cfRule type="cellIs" dxfId="0" priority="3264" operator="equal">
      <formula>"未完成"</formula>
    </cfRule>
  </conditionalFormatting>
  <conditionalFormatting sqref="AL1510">
    <cfRule type="cellIs" dxfId="1" priority="3282" operator="equal">
      <formula>"未完成"</formula>
    </cfRule>
    <cfRule type="cellIs" dxfId="0" priority="3288" operator="equal">
      <formula>"未完成"</formula>
    </cfRule>
  </conditionalFormatting>
  <conditionalFormatting sqref="AM1510">
    <cfRule type="cellIs" dxfId="0" priority="3276" operator="equal">
      <formula>"欠"</formula>
    </cfRule>
  </conditionalFormatting>
  <conditionalFormatting sqref="Q1511">
    <cfRule type="cellIs" dxfId="0" priority="3672" operator="equal">
      <formula>"欠"</formula>
    </cfRule>
  </conditionalFormatting>
  <conditionalFormatting sqref="V1511">
    <cfRule type="cellIs" dxfId="0" priority="3656" operator="equal">
      <formula>"欠"</formula>
    </cfRule>
  </conditionalFormatting>
  <conditionalFormatting sqref="AI1511">
    <cfRule type="cellIs" dxfId="0" priority="3652" operator="equal">
      <formula>"未完成"</formula>
    </cfRule>
  </conditionalFormatting>
  <conditionalFormatting sqref="AL1511">
    <cfRule type="cellIs" dxfId="1" priority="3664" operator="equal">
      <formula>"未完成"</formula>
    </cfRule>
    <cfRule type="cellIs" dxfId="0" priority="3668" operator="equal">
      <formula>"未完成"</formula>
    </cfRule>
  </conditionalFormatting>
  <conditionalFormatting sqref="AM1511">
    <cfRule type="cellIs" dxfId="0" priority="3660" operator="equal">
      <formula>"欠"</formula>
    </cfRule>
  </conditionalFormatting>
  <conditionalFormatting sqref="V1512">
    <cfRule type="cellIs" dxfId="0" priority="2414" operator="equal">
      <formula>"欠"</formula>
    </cfRule>
  </conditionalFormatting>
  <conditionalFormatting sqref="AI1512">
    <cfRule type="cellIs" dxfId="0" priority="2408" operator="equal">
      <formula>"未完成"</formula>
    </cfRule>
  </conditionalFormatting>
  <conditionalFormatting sqref="AM1512">
    <cfRule type="cellIs" dxfId="0" priority="2420" operator="equal">
      <formula>"欠"</formula>
    </cfRule>
  </conditionalFormatting>
  <conditionalFormatting sqref="V1513">
    <cfRule type="cellIs" dxfId="0" priority="2413" operator="equal">
      <formula>"欠"</formula>
    </cfRule>
  </conditionalFormatting>
  <conditionalFormatting sqref="AI1513">
    <cfRule type="cellIs" dxfId="0" priority="2407" operator="equal">
      <formula>"未完成"</formula>
    </cfRule>
  </conditionalFormatting>
  <conditionalFormatting sqref="AM1513">
    <cfRule type="cellIs" dxfId="0" priority="2419" operator="equal">
      <formula>"欠"</formula>
    </cfRule>
  </conditionalFormatting>
  <conditionalFormatting sqref="V1514">
    <cfRule type="cellIs" dxfId="0" priority="2412" operator="equal">
      <formula>"欠"</formula>
    </cfRule>
  </conditionalFormatting>
  <conditionalFormatting sqref="AI1514">
    <cfRule type="cellIs" dxfId="0" priority="2406" operator="equal">
      <formula>"未完成"</formula>
    </cfRule>
  </conditionalFormatting>
  <conditionalFormatting sqref="AM1514">
    <cfRule type="cellIs" dxfId="0" priority="2418" operator="equal">
      <formula>"欠"</formula>
    </cfRule>
  </conditionalFormatting>
  <conditionalFormatting sqref="V1515">
    <cfRule type="cellIs" dxfId="0" priority="2411" operator="equal">
      <formula>"欠"</formula>
    </cfRule>
  </conditionalFormatting>
  <conditionalFormatting sqref="AI1515">
    <cfRule type="cellIs" dxfId="0" priority="2405" operator="equal">
      <formula>"未完成"</formula>
    </cfRule>
  </conditionalFormatting>
  <conditionalFormatting sqref="AM1515">
    <cfRule type="cellIs" dxfId="0" priority="2417" operator="equal">
      <formula>"欠"</formula>
    </cfRule>
  </conditionalFormatting>
  <conditionalFormatting sqref="V1516">
    <cfRule type="cellIs" dxfId="0" priority="2410" operator="equal">
      <formula>"欠"</formula>
    </cfRule>
  </conditionalFormatting>
  <conditionalFormatting sqref="AI1516">
    <cfRule type="cellIs" dxfId="0" priority="2404" operator="equal">
      <formula>"未完成"</formula>
    </cfRule>
  </conditionalFormatting>
  <conditionalFormatting sqref="AM1516">
    <cfRule type="cellIs" dxfId="0" priority="2416" operator="equal">
      <formula>"欠"</formula>
    </cfRule>
  </conditionalFormatting>
  <conditionalFormatting sqref="V1517">
    <cfRule type="cellIs" dxfId="0" priority="2409" operator="equal">
      <formula>"欠"</formula>
    </cfRule>
  </conditionalFormatting>
  <conditionalFormatting sqref="AI1517">
    <cfRule type="cellIs" dxfId="0" priority="2403" operator="equal">
      <formula>"未完成"</formula>
    </cfRule>
  </conditionalFormatting>
  <conditionalFormatting sqref="AM1517">
    <cfRule type="cellIs" dxfId="0" priority="2415" operator="equal">
      <formula>"欠"</formula>
    </cfRule>
  </conditionalFormatting>
  <conditionalFormatting sqref="Q1518">
    <cfRule type="cellIs" dxfId="0" priority="2663" operator="equal">
      <formula>"欠"</formula>
    </cfRule>
  </conditionalFormatting>
  <conditionalFormatting sqref="V1518">
    <cfRule type="cellIs" dxfId="0" priority="2615" operator="equal">
      <formula>"欠"</formula>
    </cfRule>
  </conditionalFormatting>
  <conditionalFormatting sqref="AI1518">
    <cfRule type="cellIs" dxfId="0" priority="2603" operator="equal">
      <formula>"未完成"</formula>
    </cfRule>
  </conditionalFormatting>
  <conditionalFormatting sqref="AL1518">
    <cfRule type="cellIs" dxfId="1" priority="2639" operator="equal">
      <formula>"未完成"</formula>
    </cfRule>
    <cfRule type="cellIs" dxfId="0" priority="2651" operator="equal">
      <formula>"未完成"</formula>
    </cfRule>
  </conditionalFormatting>
  <conditionalFormatting sqref="AM1518">
    <cfRule type="cellIs" dxfId="0" priority="2627" operator="equal">
      <formula>"欠"</formula>
    </cfRule>
  </conditionalFormatting>
  <conditionalFormatting sqref="Q1519">
    <cfRule type="cellIs" dxfId="0" priority="2662" operator="equal">
      <formula>"欠"</formula>
    </cfRule>
  </conditionalFormatting>
  <conditionalFormatting sqref="V1519">
    <cfRule type="cellIs" dxfId="0" priority="2614" operator="equal">
      <formula>"欠"</formula>
    </cfRule>
  </conditionalFormatting>
  <conditionalFormatting sqref="AI1519">
    <cfRule type="cellIs" dxfId="0" priority="2602" operator="equal">
      <formula>"未完成"</formula>
    </cfRule>
  </conditionalFormatting>
  <conditionalFormatting sqref="AL1519">
    <cfRule type="cellIs" dxfId="1" priority="2638" operator="equal">
      <formula>"未完成"</formula>
    </cfRule>
    <cfRule type="cellIs" dxfId="0" priority="2650" operator="equal">
      <formula>"未完成"</formula>
    </cfRule>
  </conditionalFormatting>
  <conditionalFormatting sqref="AM1519">
    <cfRule type="cellIs" dxfId="0" priority="2626" operator="equal">
      <formula>"欠"</formula>
    </cfRule>
  </conditionalFormatting>
  <conditionalFormatting sqref="Q1520">
    <cfRule type="cellIs" dxfId="0" priority="2661" operator="equal">
      <formula>"欠"</formula>
    </cfRule>
  </conditionalFormatting>
  <conditionalFormatting sqref="V1520">
    <cfRule type="cellIs" dxfId="0" priority="2613" operator="equal">
      <formula>"欠"</formula>
    </cfRule>
  </conditionalFormatting>
  <conditionalFormatting sqref="AI1520">
    <cfRule type="cellIs" dxfId="0" priority="2601" operator="equal">
      <formula>"未完成"</formula>
    </cfRule>
  </conditionalFormatting>
  <conditionalFormatting sqref="AL1520">
    <cfRule type="cellIs" dxfId="1" priority="2637" operator="equal">
      <formula>"未完成"</formula>
    </cfRule>
    <cfRule type="cellIs" dxfId="0" priority="2649" operator="equal">
      <formula>"未完成"</formula>
    </cfRule>
  </conditionalFormatting>
  <conditionalFormatting sqref="AM1520">
    <cfRule type="cellIs" dxfId="0" priority="2625" operator="equal">
      <formula>"欠"</formula>
    </cfRule>
  </conditionalFormatting>
  <conditionalFormatting sqref="Q1521">
    <cfRule type="cellIs" dxfId="0" priority="2333" operator="equal">
      <formula>"欠"</formula>
    </cfRule>
  </conditionalFormatting>
  <conditionalFormatting sqref="R1521">
    <cfRule type="containsText" dxfId="0" priority="2324" operator="between" text="欠">
      <formula>NOT(ISERROR(SEARCH("欠",R1521)))</formula>
    </cfRule>
    <cfRule type="cellIs" dxfId="0" priority="2325" operator="equal">
      <formula>"欠"</formula>
    </cfRule>
  </conditionalFormatting>
  <conditionalFormatting sqref="S1521">
    <cfRule type="cellIs" dxfId="0" priority="2323" operator="equal">
      <formula>"欠"</formula>
    </cfRule>
  </conditionalFormatting>
  <conditionalFormatting sqref="T1521:U1521">
    <cfRule type="containsText" dxfId="0" priority="2326" operator="between" text="欠">
      <formula>NOT(ISERROR(SEARCH("欠",T1521)))</formula>
    </cfRule>
    <cfRule type="cellIs" dxfId="0" priority="2327" operator="equal">
      <formula>"欠"</formula>
    </cfRule>
  </conditionalFormatting>
  <conditionalFormatting sqref="V1521">
    <cfRule type="cellIs" dxfId="0" priority="2329" operator="equal">
      <formula>"欠"</formula>
    </cfRule>
  </conditionalFormatting>
  <conditionalFormatting sqref="AI1521">
    <cfRule type="cellIs" dxfId="0" priority="2328" operator="equal">
      <formula>"未完成"</formula>
    </cfRule>
  </conditionalFormatting>
  <conditionalFormatting sqref="AL1521">
    <cfRule type="cellIs" dxfId="1" priority="2331" operator="equal">
      <formula>"未完成"</formula>
    </cfRule>
    <cfRule type="cellIs" dxfId="0" priority="2332" operator="equal">
      <formula>"未完成"</formula>
    </cfRule>
  </conditionalFormatting>
  <conditionalFormatting sqref="AM1521">
    <cfRule type="cellIs" dxfId="0" priority="2330" operator="equal">
      <formula>"欠"</formula>
    </cfRule>
  </conditionalFormatting>
  <conditionalFormatting sqref="Q1523">
    <cfRule type="cellIs" dxfId="0" priority="3291" operator="equal">
      <formula>"欠"</formula>
    </cfRule>
  </conditionalFormatting>
  <conditionalFormatting sqref="V1523">
    <cfRule type="cellIs" dxfId="0" priority="3267" operator="equal">
      <formula>"欠"</formula>
    </cfRule>
  </conditionalFormatting>
  <conditionalFormatting sqref="AI1523">
    <cfRule type="cellIs" dxfId="0" priority="3261" operator="equal">
      <formula>"未完成"</formula>
    </cfRule>
  </conditionalFormatting>
  <conditionalFormatting sqref="AL1523">
    <cfRule type="cellIs" dxfId="1" priority="3279" operator="equal">
      <formula>"未完成"</formula>
    </cfRule>
    <cfRule type="cellIs" dxfId="0" priority="3285" operator="equal">
      <formula>"未完成"</formula>
    </cfRule>
  </conditionalFormatting>
  <conditionalFormatting sqref="AM1523">
    <cfRule type="cellIs" dxfId="0" priority="3273" operator="equal">
      <formula>"欠"</formula>
    </cfRule>
  </conditionalFormatting>
  <conditionalFormatting sqref="Q1524">
    <cfRule type="cellIs" dxfId="0" priority="3290" operator="equal">
      <formula>"欠"</formula>
    </cfRule>
  </conditionalFormatting>
  <conditionalFormatting sqref="V1524">
    <cfRule type="cellIs" dxfId="0" priority="3266" operator="equal">
      <formula>"欠"</formula>
    </cfRule>
  </conditionalFormatting>
  <conditionalFormatting sqref="AI1524">
    <cfRule type="cellIs" dxfId="0" priority="3260" operator="equal">
      <formula>"未完成"</formula>
    </cfRule>
  </conditionalFormatting>
  <conditionalFormatting sqref="AL1524">
    <cfRule type="cellIs" dxfId="1" priority="3278" operator="equal">
      <formula>"未完成"</formula>
    </cfRule>
    <cfRule type="cellIs" dxfId="0" priority="3284" operator="equal">
      <formula>"未完成"</formula>
    </cfRule>
  </conditionalFormatting>
  <conditionalFormatting sqref="AM1524">
    <cfRule type="cellIs" dxfId="0" priority="3272" operator="equal">
      <formula>"欠"</formula>
    </cfRule>
  </conditionalFormatting>
  <conditionalFormatting sqref="Q1525">
    <cfRule type="cellIs" dxfId="0" priority="3022" operator="equal">
      <formula>"欠"</formula>
    </cfRule>
  </conditionalFormatting>
  <conditionalFormatting sqref="T1525:U1525">
    <cfRule type="containsText" dxfId="0" priority="2942" operator="between" text="欠">
      <formula>NOT(ISERROR(SEARCH("欠",T1525)))</formula>
    </cfRule>
    <cfRule type="cellIs" dxfId="0" priority="2962" operator="equal">
      <formula>"欠"</formula>
    </cfRule>
  </conditionalFormatting>
  <conditionalFormatting sqref="V1525">
    <cfRule type="cellIs" dxfId="0" priority="2982" operator="equal">
      <formula>"欠"</formula>
    </cfRule>
  </conditionalFormatting>
  <conditionalFormatting sqref="AI1525">
    <cfRule type="cellIs" dxfId="0" priority="2972" operator="equal">
      <formula>"未完成"</formula>
    </cfRule>
  </conditionalFormatting>
  <conditionalFormatting sqref="AL1525">
    <cfRule type="cellIs" dxfId="1" priority="3002" operator="equal">
      <formula>"未完成"</formula>
    </cfRule>
    <cfRule type="cellIs" dxfId="0" priority="3012" operator="equal">
      <formula>"未完成"</formula>
    </cfRule>
  </conditionalFormatting>
  <conditionalFormatting sqref="AM1525">
    <cfRule type="cellIs" dxfId="0" priority="2992" operator="equal">
      <formula>"欠"</formula>
    </cfRule>
  </conditionalFormatting>
  <conditionalFormatting sqref="Q1526">
    <cfRule type="cellIs" dxfId="0" priority="3112" operator="equal">
      <formula>"欠"</formula>
    </cfRule>
  </conditionalFormatting>
  <conditionalFormatting sqref="V1526">
    <cfRule type="cellIs" dxfId="0" priority="3088" operator="equal">
      <formula>"欠"</formula>
    </cfRule>
  </conditionalFormatting>
  <conditionalFormatting sqref="AI1526">
    <cfRule type="cellIs" dxfId="0" priority="3082" operator="equal">
      <formula>"未完成"</formula>
    </cfRule>
  </conditionalFormatting>
  <conditionalFormatting sqref="AL1526">
    <cfRule type="cellIs" dxfId="1" priority="3100" operator="equal">
      <formula>"未完成"</formula>
    </cfRule>
    <cfRule type="cellIs" dxfId="0" priority="3106" operator="equal">
      <formula>"未完成"</formula>
    </cfRule>
  </conditionalFormatting>
  <conditionalFormatting sqref="AM1526">
    <cfRule type="cellIs" dxfId="0" priority="3094" operator="equal">
      <formula>"欠"</formula>
    </cfRule>
  </conditionalFormatting>
  <conditionalFormatting sqref="Q1527">
    <cfRule type="cellIs" dxfId="0" priority="3111" operator="equal">
      <formula>"欠"</formula>
    </cfRule>
  </conditionalFormatting>
  <conditionalFormatting sqref="V1527">
    <cfRule type="cellIs" dxfId="0" priority="3087" operator="equal">
      <formula>"欠"</formula>
    </cfRule>
  </conditionalFormatting>
  <conditionalFormatting sqref="AI1527">
    <cfRule type="cellIs" dxfId="0" priority="3081" operator="equal">
      <formula>"未完成"</formula>
    </cfRule>
  </conditionalFormatting>
  <conditionalFormatting sqref="AL1527">
    <cfRule type="cellIs" dxfId="1" priority="3099" operator="equal">
      <formula>"未完成"</formula>
    </cfRule>
    <cfRule type="cellIs" dxfId="0" priority="3105" operator="equal">
      <formula>"未完成"</formula>
    </cfRule>
  </conditionalFormatting>
  <conditionalFormatting sqref="AM1527">
    <cfRule type="cellIs" dxfId="0" priority="3093" operator="equal">
      <formula>"欠"</formula>
    </cfRule>
  </conditionalFormatting>
  <conditionalFormatting sqref="Q1528">
    <cfRule type="cellIs" dxfId="0" priority="2478" operator="equal">
      <formula>"欠"</formula>
    </cfRule>
  </conditionalFormatting>
  <conditionalFormatting sqref="V1528">
    <cfRule type="cellIs" dxfId="0" priority="3086" operator="equal">
      <formula>"欠"</formula>
    </cfRule>
  </conditionalFormatting>
  <conditionalFormatting sqref="AI1528">
    <cfRule type="cellIs" dxfId="0" priority="3080" operator="equal">
      <formula>"未完成"</formula>
    </cfRule>
  </conditionalFormatting>
  <conditionalFormatting sqref="AL1528">
    <cfRule type="cellIs" dxfId="1" priority="3098" operator="equal">
      <formula>"未完成"</formula>
    </cfRule>
    <cfRule type="cellIs" dxfId="0" priority="3104" operator="equal">
      <formula>"未完成"</formula>
    </cfRule>
  </conditionalFormatting>
  <conditionalFormatting sqref="AM1528">
    <cfRule type="cellIs" dxfId="0" priority="3092" operator="equal">
      <formula>"欠"</formula>
    </cfRule>
  </conditionalFormatting>
  <conditionalFormatting sqref="Q1529">
    <cfRule type="cellIs" dxfId="0" priority="3021" operator="equal">
      <formula>"欠"</formula>
    </cfRule>
  </conditionalFormatting>
  <conditionalFormatting sqref="R1529">
    <cfRule type="containsText" dxfId="0" priority="2921" operator="between" text="欠">
      <formula>NOT(ISERROR(SEARCH("欠",R1529)))</formula>
    </cfRule>
    <cfRule type="cellIs" dxfId="0" priority="2931" operator="equal">
      <formula>"欠"</formula>
    </cfRule>
  </conditionalFormatting>
  <conditionalFormatting sqref="T1529:U1529">
    <cfRule type="containsText" dxfId="0" priority="2941" operator="between" text="欠">
      <formula>NOT(ISERROR(SEARCH("欠",T1529)))</formula>
    </cfRule>
    <cfRule type="cellIs" dxfId="0" priority="2961" operator="equal">
      <formula>"欠"</formula>
    </cfRule>
  </conditionalFormatting>
  <conditionalFormatting sqref="V1529">
    <cfRule type="cellIs" dxfId="0" priority="2981" operator="equal">
      <formula>"欠"</formula>
    </cfRule>
  </conditionalFormatting>
  <conditionalFormatting sqref="AI1529">
    <cfRule type="cellIs" dxfId="0" priority="2971" operator="equal">
      <formula>"未完成"</formula>
    </cfRule>
  </conditionalFormatting>
  <conditionalFormatting sqref="AL1529">
    <cfRule type="cellIs" dxfId="1" priority="3001" operator="equal">
      <formula>"未完成"</formula>
    </cfRule>
    <cfRule type="cellIs" dxfId="0" priority="3011" operator="equal">
      <formula>"未完成"</formula>
    </cfRule>
  </conditionalFormatting>
  <conditionalFormatting sqref="AM1529">
    <cfRule type="cellIs" dxfId="0" priority="2991" operator="equal">
      <formula>"欠"</formula>
    </cfRule>
  </conditionalFormatting>
  <conditionalFormatting sqref="Q1530">
    <cfRule type="cellIs" dxfId="0" priority="4333" operator="equal">
      <formula>"欠"</formula>
    </cfRule>
  </conditionalFormatting>
  <conditionalFormatting sqref="V1530">
    <cfRule type="cellIs" dxfId="0" priority="4237" operator="equal">
      <formula>"欠"</formula>
    </cfRule>
  </conditionalFormatting>
  <conditionalFormatting sqref="AI1530">
    <cfRule type="cellIs" dxfId="0" priority="4213" operator="equal">
      <formula>"未完成"</formula>
    </cfRule>
  </conditionalFormatting>
  <conditionalFormatting sqref="AL1530">
    <cfRule type="cellIs" dxfId="1" priority="4285" operator="equal">
      <formula>"未完成"</formula>
    </cfRule>
    <cfRule type="cellIs" dxfId="0" priority="4309" operator="equal">
      <formula>"未完成"</formula>
    </cfRule>
  </conditionalFormatting>
  <conditionalFormatting sqref="AM1530">
    <cfRule type="cellIs" dxfId="0" priority="4261" operator="equal">
      <formula>"欠"</formula>
    </cfRule>
  </conditionalFormatting>
  <conditionalFormatting sqref="Q1531">
    <cfRule type="cellIs" dxfId="0" priority="4332" operator="equal">
      <formula>"欠"</formula>
    </cfRule>
  </conditionalFormatting>
  <conditionalFormatting sqref="V1531">
    <cfRule type="cellIs" dxfId="0" priority="4236" operator="equal">
      <formula>"欠"</formula>
    </cfRule>
  </conditionalFormatting>
  <conditionalFormatting sqref="AI1531">
    <cfRule type="cellIs" dxfId="0" priority="4212" operator="equal">
      <formula>"未完成"</formula>
    </cfRule>
  </conditionalFormatting>
  <conditionalFormatting sqref="AL1531">
    <cfRule type="cellIs" dxfId="1" priority="4284" operator="equal">
      <formula>"未完成"</formula>
    </cfRule>
    <cfRule type="cellIs" dxfId="0" priority="4308" operator="equal">
      <formula>"未完成"</formula>
    </cfRule>
  </conditionalFormatting>
  <conditionalFormatting sqref="AM1531">
    <cfRule type="cellIs" dxfId="0" priority="4260" operator="equal">
      <formula>"欠"</formula>
    </cfRule>
  </conditionalFormatting>
  <conditionalFormatting sqref="Q1532">
    <cfRule type="cellIs" dxfId="0" priority="4331" operator="equal">
      <formula>"欠"</formula>
    </cfRule>
  </conditionalFormatting>
  <conditionalFormatting sqref="V1532">
    <cfRule type="cellIs" dxfId="0" priority="4235" operator="equal">
      <formula>"欠"</formula>
    </cfRule>
  </conditionalFormatting>
  <conditionalFormatting sqref="AI1532">
    <cfRule type="cellIs" dxfId="0" priority="4211" operator="equal">
      <formula>"未完成"</formula>
    </cfRule>
  </conditionalFormatting>
  <conditionalFormatting sqref="AL1532">
    <cfRule type="cellIs" dxfId="1" priority="4283" operator="equal">
      <formula>"未完成"</formula>
    </cfRule>
    <cfRule type="cellIs" dxfId="0" priority="4307" operator="equal">
      <formula>"未完成"</formula>
    </cfRule>
  </conditionalFormatting>
  <conditionalFormatting sqref="AM1532">
    <cfRule type="cellIs" dxfId="0" priority="4259" operator="equal">
      <formula>"欠"</formula>
    </cfRule>
  </conditionalFormatting>
  <conditionalFormatting sqref="Q1533">
    <cfRule type="cellIs" dxfId="0" priority="4330" operator="equal">
      <formula>"欠"</formula>
    </cfRule>
  </conditionalFormatting>
  <conditionalFormatting sqref="V1533">
    <cfRule type="cellIs" dxfId="0" priority="4234" operator="equal">
      <formula>"欠"</formula>
    </cfRule>
  </conditionalFormatting>
  <conditionalFormatting sqref="AI1533">
    <cfRule type="cellIs" dxfId="0" priority="4210" operator="equal">
      <formula>"未完成"</formula>
    </cfRule>
  </conditionalFormatting>
  <conditionalFormatting sqref="AL1533">
    <cfRule type="cellIs" dxfId="1" priority="4282" operator="equal">
      <formula>"未完成"</formula>
    </cfRule>
    <cfRule type="cellIs" dxfId="0" priority="4306" operator="equal">
      <formula>"未完成"</formula>
    </cfRule>
  </conditionalFormatting>
  <conditionalFormatting sqref="AM1533">
    <cfRule type="cellIs" dxfId="0" priority="4258" operator="equal">
      <formula>"欠"</formula>
    </cfRule>
  </conditionalFormatting>
  <conditionalFormatting sqref="Q1534">
    <cfRule type="cellIs" dxfId="0" priority="4329" operator="equal">
      <formula>"欠"</formula>
    </cfRule>
  </conditionalFormatting>
  <conditionalFormatting sqref="V1534">
    <cfRule type="cellIs" dxfId="0" priority="4233" operator="equal">
      <formula>"欠"</formula>
    </cfRule>
  </conditionalFormatting>
  <conditionalFormatting sqref="AI1534">
    <cfRule type="cellIs" dxfId="0" priority="4209" operator="equal">
      <formula>"未完成"</formula>
    </cfRule>
  </conditionalFormatting>
  <conditionalFormatting sqref="AL1534">
    <cfRule type="cellIs" dxfId="1" priority="4281" operator="equal">
      <formula>"未完成"</formula>
    </cfRule>
    <cfRule type="cellIs" dxfId="0" priority="4305" operator="equal">
      <formula>"未完成"</formula>
    </cfRule>
  </conditionalFormatting>
  <conditionalFormatting sqref="AM1534">
    <cfRule type="cellIs" dxfId="0" priority="4257" operator="equal">
      <formula>"欠"</formula>
    </cfRule>
  </conditionalFormatting>
  <conditionalFormatting sqref="Q1535">
    <cfRule type="cellIs" dxfId="0" priority="4328" operator="equal">
      <formula>"欠"</formula>
    </cfRule>
  </conditionalFormatting>
  <conditionalFormatting sqref="V1535">
    <cfRule type="cellIs" dxfId="0" priority="4232" operator="equal">
      <formula>"欠"</formula>
    </cfRule>
  </conditionalFormatting>
  <conditionalFormatting sqref="AI1535">
    <cfRule type="cellIs" dxfId="0" priority="4208" operator="equal">
      <formula>"未完成"</formula>
    </cfRule>
  </conditionalFormatting>
  <conditionalFormatting sqref="AL1535">
    <cfRule type="cellIs" dxfId="1" priority="4280" operator="equal">
      <formula>"未完成"</formula>
    </cfRule>
    <cfRule type="cellIs" dxfId="0" priority="4304" operator="equal">
      <formula>"未完成"</formula>
    </cfRule>
  </conditionalFormatting>
  <conditionalFormatting sqref="AM1535">
    <cfRule type="cellIs" dxfId="0" priority="4256" operator="equal">
      <formula>"欠"</formula>
    </cfRule>
  </conditionalFormatting>
  <conditionalFormatting sqref="Q1536">
    <cfRule type="cellIs" dxfId="0" priority="1483" operator="equal">
      <formula>"欠"</formula>
    </cfRule>
  </conditionalFormatting>
  <conditionalFormatting sqref="V1536">
    <cfRule type="cellIs" dxfId="0" priority="1455" operator="equal">
      <formula>"欠"</formula>
    </cfRule>
  </conditionalFormatting>
  <conditionalFormatting sqref="AI1536">
    <cfRule type="cellIs" dxfId="0" priority="1448" operator="equal">
      <formula>"未完成"</formula>
    </cfRule>
  </conditionalFormatting>
  <conditionalFormatting sqref="AL1536">
    <cfRule type="cellIs" dxfId="1" priority="1469" operator="equal">
      <formula>"未完成"</formula>
    </cfRule>
    <cfRule type="cellIs" dxfId="0" priority="1476" operator="equal">
      <formula>"未完成"</formula>
    </cfRule>
  </conditionalFormatting>
  <conditionalFormatting sqref="AM1536">
    <cfRule type="cellIs" dxfId="0" priority="1462" operator="equal">
      <formula>"欠"</formula>
    </cfRule>
  </conditionalFormatting>
  <conditionalFormatting sqref="Q1537">
    <cfRule type="cellIs" dxfId="0" priority="1482" operator="equal">
      <formula>"欠"</formula>
    </cfRule>
  </conditionalFormatting>
  <conditionalFormatting sqref="V1537">
    <cfRule type="cellIs" dxfId="0" priority="1454" operator="equal">
      <formula>"欠"</formula>
    </cfRule>
  </conditionalFormatting>
  <conditionalFormatting sqref="AI1537">
    <cfRule type="cellIs" dxfId="0" priority="1447" operator="equal">
      <formula>"未完成"</formula>
    </cfRule>
  </conditionalFormatting>
  <conditionalFormatting sqref="AL1537">
    <cfRule type="cellIs" dxfId="1" priority="1468" operator="equal">
      <formula>"未完成"</formula>
    </cfRule>
    <cfRule type="cellIs" dxfId="0" priority="1475" operator="equal">
      <formula>"未完成"</formula>
    </cfRule>
  </conditionalFormatting>
  <conditionalFormatting sqref="AM1537">
    <cfRule type="cellIs" dxfId="0" priority="1461" operator="equal">
      <formula>"欠"</formula>
    </cfRule>
  </conditionalFormatting>
  <conditionalFormatting sqref="Q1538">
    <cfRule type="cellIs" dxfId="0" priority="1481" operator="equal">
      <formula>"欠"</formula>
    </cfRule>
  </conditionalFormatting>
  <conditionalFormatting sqref="V1538">
    <cfRule type="cellIs" dxfId="0" priority="1453" operator="equal">
      <formula>"欠"</formula>
    </cfRule>
  </conditionalFormatting>
  <conditionalFormatting sqref="AI1538">
    <cfRule type="cellIs" dxfId="0" priority="1446" operator="equal">
      <formula>"未完成"</formula>
    </cfRule>
  </conditionalFormatting>
  <conditionalFormatting sqref="AL1538">
    <cfRule type="cellIs" dxfId="1" priority="1467" operator="equal">
      <formula>"未完成"</formula>
    </cfRule>
    <cfRule type="cellIs" dxfId="0" priority="1474" operator="equal">
      <formula>"未完成"</formula>
    </cfRule>
  </conditionalFormatting>
  <conditionalFormatting sqref="AM1538">
    <cfRule type="cellIs" dxfId="0" priority="1460" operator="equal">
      <formula>"欠"</formula>
    </cfRule>
  </conditionalFormatting>
  <conditionalFormatting sqref="Q1539">
    <cfRule type="cellIs" dxfId="0" priority="1732" operator="equal">
      <formula>"欠"</formula>
    </cfRule>
  </conditionalFormatting>
  <conditionalFormatting sqref="V1539">
    <cfRule type="cellIs" dxfId="0" priority="1696" operator="equal">
      <formula>"欠"</formula>
    </cfRule>
  </conditionalFormatting>
  <conditionalFormatting sqref="AI1539">
    <cfRule type="cellIs" dxfId="0" priority="1687" operator="equal">
      <formula>"未完成"</formula>
    </cfRule>
  </conditionalFormatting>
  <conditionalFormatting sqref="AL1539">
    <cfRule type="cellIs" dxfId="1" priority="1714" operator="equal">
      <formula>"未完成"</formula>
    </cfRule>
    <cfRule type="cellIs" dxfId="0" priority="1723" operator="equal">
      <formula>"未完成"</formula>
    </cfRule>
  </conditionalFormatting>
  <conditionalFormatting sqref="AM1539">
    <cfRule type="cellIs" dxfId="0" priority="1705" operator="equal">
      <formula>"欠"</formula>
    </cfRule>
  </conditionalFormatting>
  <conditionalFormatting sqref="Q1540">
    <cfRule type="cellIs" dxfId="0" priority="1731" operator="equal">
      <formula>"欠"</formula>
    </cfRule>
  </conditionalFormatting>
  <conditionalFormatting sqref="V1540">
    <cfRule type="cellIs" dxfId="0" priority="1695" operator="equal">
      <formula>"欠"</formula>
    </cfRule>
  </conditionalFormatting>
  <conditionalFormatting sqref="AI1540">
    <cfRule type="cellIs" dxfId="0" priority="1686" operator="equal">
      <formula>"未完成"</formula>
    </cfRule>
  </conditionalFormatting>
  <conditionalFormatting sqref="AL1540">
    <cfRule type="cellIs" dxfId="1" priority="1713" operator="equal">
      <formula>"未完成"</formula>
    </cfRule>
    <cfRule type="cellIs" dxfId="0" priority="1722" operator="equal">
      <formula>"未完成"</formula>
    </cfRule>
  </conditionalFormatting>
  <conditionalFormatting sqref="AM1540">
    <cfRule type="cellIs" dxfId="0" priority="1704" operator="equal">
      <formula>"欠"</formula>
    </cfRule>
  </conditionalFormatting>
  <conditionalFormatting sqref="Q1541">
    <cfRule type="cellIs" dxfId="0" priority="2899" operator="equal">
      <formula>"欠"</formula>
    </cfRule>
  </conditionalFormatting>
  <conditionalFormatting sqref="R1541">
    <cfRule type="containsText" dxfId="0" priority="2789" operator="between" text="欠">
      <formula>NOT(ISERROR(SEARCH("欠",R1541)))</formula>
    </cfRule>
    <cfRule type="cellIs" dxfId="0" priority="2800" operator="equal">
      <formula>"欠"</formula>
    </cfRule>
  </conditionalFormatting>
  <conditionalFormatting sqref="T1541:U1541">
    <cfRule type="containsText" dxfId="0" priority="2811" operator="between" text="欠">
      <formula>NOT(ISERROR(SEARCH("欠",T1541)))</formula>
    </cfRule>
    <cfRule type="cellIs" dxfId="0" priority="2833" operator="equal">
      <formula>"欠"</formula>
    </cfRule>
  </conditionalFormatting>
  <conditionalFormatting sqref="V1541">
    <cfRule type="cellIs" dxfId="0" priority="2855" operator="equal">
      <formula>"欠"</formula>
    </cfRule>
  </conditionalFormatting>
  <conditionalFormatting sqref="AI1541">
    <cfRule type="cellIs" dxfId="0" priority="2844" operator="equal">
      <formula>"未完成"</formula>
    </cfRule>
  </conditionalFormatting>
  <conditionalFormatting sqref="AL1541">
    <cfRule type="cellIs" dxfId="1" priority="2877" operator="equal">
      <formula>"未完成"</formula>
    </cfRule>
    <cfRule type="cellIs" dxfId="0" priority="2888" operator="equal">
      <formula>"未完成"</formula>
    </cfRule>
  </conditionalFormatting>
  <conditionalFormatting sqref="AM1541">
    <cfRule type="cellIs" dxfId="0" priority="2866" operator="equal">
      <formula>"欠"</formula>
    </cfRule>
  </conditionalFormatting>
  <conditionalFormatting sqref="Q1542">
    <cfRule type="cellIs" dxfId="0" priority="2898" operator="equal">
      <formula>"欠"</formula>
    </cfRule>
  </conditionalFormatting>
  <conditionalFormatting sqref="T1542:U1542">
    <cfRule type="containsText" dxfId="0" priority="2810" operator="between" text="欠">
      <formula>NOT(ISERROR(SEARCH("欠",T1542)))</formula>
    </cfRule>
    <cfRule type="cellIs" dxfId="0" priority="2832" operator="equal">
      <formula>"欠"</formula>
    </cfRule>
  </conditionalFormatting>
  <conditionalFormatting sqref="V1542">
    <cfRule type="cellIs" dxfId="0" priority="2854" operator="equal">
      <formula>"欠"</formula>
    </cfRule>
  </conditionalFormatting>
  <conditionalFormatting sqref="AI1542">
    <cfRule type="cellIs" dxfId="0" priority="2843" operator="equal">
      <formula>"未完成"</formula>
    </cfRule>
  </conditionalFormatting>
  <conditionalFormatting sqref="AL1542">
    <cfRule type="cellIs" dxfId="1" priority="2876" operator="equal">
      <formula>"未完成"</formula>
    </cfRule>
    <cfRule type="cellIs" dxfId="0" priority="2887" operator="equal">
      <formula>"未完成"</formula>
    </cfRule>
  </conditionalFormatting>
  <conditionalFormatting sqref="AM1542">
    <cfRule type="cellIs" dxfId="0" priority="2865" operator="equal">
      <formula>"欠"</formula>
    </cfRule>
  </conditionalFormatting>
  <conditionalFormatting sqref="R1543">
    <cfRule type="containsText" dxfId="0" priority="5596" operator="between" text="欠">
      <formula>NOT(ISERROR(SEARCH("欠",R1543)))</formula>
    </cfRule>
    <cfRule type="cellIs" dxfId="0" priority="5602" operator="equal">
      <formula>"欠"</formula>
    </cfRule>
  </conditionalFormatting>
  <conditionalFormatting sqref="S1543">
    <cfRule type="cellIs" dxfId="0" priority="5601" operator="equal">
      <formula>"欠"</formula>
    </cfRule>
  </conditionalFormatting>
  <conditionalFormatting sqref="T1543:U1543">
    <cfRule type="containsText" dxfId="0" priority="5599" operator="between" text="欠">
      <formula>NOT(ISERROR(SEARCH("欠",T1543)))</formula>
    </cfRule>
    <cfRule type="cellIs" dxfId="0" priority="5600" operator="equal">
      <formula>"欠"</formula>
    </cfRule>
  </conditionalFormatting>
  <conditionalFormatting sqref="V1543">
    <cfRule type="cellIs" dxfId="0" priority="5994" operator="equal">
      <formula>"欠"</formula>
    </cfRule>
  </conditionalFormatting>
  <conditionalFormatting sqref="AG1543:AH1543">
    <cfRule type="cellIs" dxfId="0" priority="5997" operator="equal">
      <formula>"未完成"</formula>
    </cfRule>
  </conditionalFormatting>
  <conditionalFormatting sqref="AL1543:AM1543">
    <cfRule type="cellIs" dxfId="1" priority="5992" operator="equal">
      <formula>"未完成"</formula>
    </cfRule>
    <cfRule type="cellIs" dxfId="0" priority="5993" operator="equal">
      <formula>"未完成"</formula>
    </cfRule>
  </conditionalFormatting>
  <conditionalFormatting sqref="S1544">
    <cfRule type="cellIs" dxfId="0" priority="2466" operator="equal">
      <formula>"欠"</formula>
    </cfRule>
  </conditionalFormatting>
  <conditionalFormatting sqref="T1544:U1544">
    <cfRule type="containsText" dxfId="0" priority="2467" operator="between" text="欠">
      <formula>NOT(ISERROR(SEARCH("欠",T1544)))</formula>
    </cfRule>
    <cfRule type="cellIs" dxfId="0" priority="2468" operator="equal">
      <formula>"欠"</formula>
    </cfRule>
  </conditionalFormatting>
  <conditionalFormatting sqref="V1544">
    <cfRule type="cellIs" dxfId="0" priority="2710" operator="equal">
      <formula>"欠"</formula>
    </cfRule>
  </conditionalFormatting>
  <conditionalFormatting sqref="AI1544">
    <cfRule type="cellIs" dxfId="0" priority="2709" operator="equal">
      <formula>"未完成"</formula>
    </cfRule>
  </conditionalFormatting>
  <conditionalFormatting sqref="AM1544">
    <cfRule type="cellIs" dxfId="0" priority="2711" operator="equal">
      <formula>"欠"</formula>
    </cfRule>
  </conditionalFormatting>
  <conditionalFormatting sqref="Q1545">
    <cfRule type="cellIs" dxfId="0" priority="2735" operator="equal">
      <formula>"欠"</formula>
    </cfRule>
  </conditionalFormatting>
  <conditionalFormatting sqref="V1545">
    <cfRule type="cellIs" dxfId="0" priority="2731" operator="equal">
      <formula>"欠"</formula>
    </cfRule>
  </conditionalFormatting>
  <conditionalFormatting sqref="AI1545">
    <cfRule type="cellIs" dxfId="0" priority="2730" operator="equal">
      <formula>"未完成"</formula>
    </cfRule>
  </conditionalFormatting>
  <conditionalFormatting sqref="AL1545">
    <cfRule type="cellIs" dxfId="1" priority="2733" operator="equal">
      <formula>"未完成"</formula>
    </cfRule>
    <cfRule type="cellIs" dxfId="0" priority="2734" operator="equal">
      <formula>"未完成"</formula>
    </cfRule>
  </conditionalFormatting>
  <conditionalFormatting sqref="AM1545">
    <cfRule type="cellIs" dxfId="0" priority="2732" operator="equal">
      <formula>"欠"</formula>
    </cfRule>
  </conditionalFormatting>
  <conditionalFormatting sqref="Q1546">
    <cfRule type="cellIs" dxfId="0" priority="3293" operator="equal">
      <formula>"欠"</formula>
    </cfRule>
  </conditionalFormatting>
  <conditionalFormatting sqref="T1546:U1546">
    <cfRule type="containsText" dxfId="0" priority="3245" operator="between" text="欠">
      <formula>NOT(ISERROR(SEARCH("欠",T1546)))</formula>
    </cfRule>
    <cfRule type="cellIs" dxfId="0" priority="3257" operator="equal">
      <formula>"欠"</formula>
    </cfRule>
  </conditionalFormatting>
  <conditionalFormatting sqref="V1546">
    <cfRule type="cellIs" dxfId="0" priority="3269" operator="equal">
      <formula>"欠"</formula>
    </cfRule>
  </conditionalFormatting>
  <conditionalFormatting sqref="AI1546">
    <cfRule type="cellIs" dxfId="0" priority="3263" operator="equal">
      <formula>"未完成"</formula>
    </cfRule>
  </conditionalFormatting>
  <conditionalFormatting sqref="AL1546">
    <cfRule type="cellIs" dxfId="1" priority="3281" operator="equal">
      <formula>"未完成"</formula>
    </cfRule>
    <cfRule type="cellIs" dxfId="0" priority="3287" operator="equal">
      <formula>"未完成"</formula>
    </cfRule>
  </conditionalFormatting>
  <conditionalFormatting sqref="AM1546">
    <cfRule type="cellIs" dxfId="0" priority="3275" operator="equal">
      <formula>"欠"</formula>
    </cfRule>
  </conditionalFormatting>
  <conditionalFormatting sqref="Q1547">
    <cfRule type="cellIs" dxfId="0" priority="3292" operator="equal">
      <formula>"欠"</formula>
    </cfRule>
  </conditionalFormatting>
  <conditionalFormatting sqref="T1547:U1547">
    <cfRule type="containsText" dxfId="0" priority="3244" operator="between" text="欠">
      <formula>NOT(ISERROR(SEARCH("欠",T1547)))</formula>
    </cfRule>
    <cfRule type="cellIs" dxfId="0" priority="3256" operator="equal">
      <formula>"欠"</formula>
    </cfRule>
  </conditionalFormatting>
  <conditionalFormatting sqref="V1547">
    <cfRule type="cellIs" dxfId="0" priority="3268" operator="equal">
      <formula>"欠"</formula>
    </cfRule>
  </conditionalFormatting>
  <conditionalFormatting sqref="AI1547">
    <cfRule type="cellIs" dxfId="0" priority="3262" operator="equal">
      <formula>"未完成"</formula>
    </cfRule>
  </conditionalFormatting>
  <conditionalFormatting sqref="AL1547">
    <cfRule type="cellIs" dxfId="1" priority="3280" operator="equal">
      <formula>"未完成"</formula>
    </cfRule>
    <cfRule type="cellIs" dxfId="0" priority="3286" operator="equal">
      <formula>"未完成"</formula>
    </cfRule>
  </conditionalFormatting>
  <conditionalFormatting sqref="AM1547">
    <cfRule type="cellIs" dxfId="0" priority="3274" operator="equal">
      <formula>"欠"</formula>
    </cfRule>
  </conditionalFormatting>
  <conditionalFormatting sqref="Q1548">
    <cfRule type="cellIs" dxfId="0" priority="2536" operator="equal">
      <formula>"欠"</formula>
    </cfRule>
  </conditionalFormatting>
  <conditionalFormatting sqref="R1548">
    <cfRule type="containsText" dxfId="0" priority="2475" operator="between" text="欠">
      <formula>NOT(ISERROR(SEARCH("欠",R1548)))</formula>
    </cfRule>
    <cfRule type="cellIs" dxfId="0" priority="2476" operator="equal">
      <formula>"欠"</formula>
    </cfRule>
  </conditionalFormatting>
  <conditionalFormatting sqref="S1548">
    <cfRule type="cellIs" dxfId="0" priority="2477" operator="equal">
      <formula>"欠"</formula>
    </cfRule>
  </conditionalFormatting>
  <conditionalFormatting sqref="T1548:U1548">
    <cfRule type="containsText" dxfId="0" priority="2520" operator="between" text="欠">
      <formula>NOT(ISERROR(SEARCH("欠",T1548)))</formula>
    </cfRule>
    <cfRule type="cellIs" dxfId="0" priority="2524" operator="equal">
      <formula>"欠"</formula>
    </cfRule>
  </conditionalFormatting>
  <conditionalFormatting sqref="V1548">
    <cfRule type="cellIs" dxfId="0" priority="2528" operator="equal">
      <formula>"欠"</formula>
    </cfRule>
  </conditionalFormatting>
  <conditionalFormatting sqref="AI1548">
    <cfRule type="cellIs" dxfId="0" priority="2526" operator="equal">
      <formula>"未完成"</formula>
    </cfRule>
  </conditionalFormatting>
  <conditionalFormatting sqref="AL1548">
    <cfRule type="cellIs" dxfId="1" priority="2532" operator="equal">
      <formula>"未完成"</formula>
    </cfRule>
    <cfRule type="cellIs" dxfId="0" priority="2534" operator="equal">
      <formula>"未完成"</formula>
    </cfRule>
  </conditionalFormatting>
  <conditionalFormatting sqref="AM1548">
    <cfRule type="cellIs" dxfId="0" priority="2530" operator="equal">
      <formula>"欠"</formula>
    </cfRule>
  </conditionalFormatting>
  <conditionalFormatting sqref="T1549:U1549">
    <cfRule type="containsText" dxfId="0" priority="2694" operator="between" text="欠">
      <formula>NOT(ISERROR(SEARCH("欠",T1549)))</formula>
    </cfRule>
    <cfRule type="cellIs" dxfId="0" priority="2695" operator="equal">
      <formula>"欠"</formula>
    </cfRule>
  </conditionalFormatting>
  <conditionalFormatting sqref="V1549">
    <cfRule type="cellIs" dxfId="0" priority="2701" operator="equal">
      <formula>"欠"</formula>
    </cfRule>
  </conditionalFormatting>
  <conditionalFormatting sqref="AG1549:AH1549">
    <cfRule type="cellIs" dxfId="0" priority="2702" operator="equal">
      <formula>"未完成"</formula>
    </cfRule>
  </conditionalFormatting>
  <conditionalFormatting sqref="AL1549:AM1549">
    <cfRule type="cellIs" dxfId="1" priority="2699" operator="equal">
      <formula>"未完成"</formula>
    </cfRule>
    <cfRule type="cellIs" dxfId="0" priority="2700" operator="equal">
      <formula>"未完成"</formula>
    </cfRule>
  </conditionalFormatting>
  <conditionalFormatting sqref="Q1550">
    <cfRule type="cellIs" dxfId="0" priority="2500" operator="equal">
      <formula>"欠"</formula>
    </cfRule>
  </conditionalFormatting>
  <conditionalFormatting sqref="T1550:U1550">
    <cfRule type="containsText" dxfId="0" priority="2484" operator="between" text="欠">
      <formula>NOT(ISERROR(SEARCH("欠",T1550)))</formula>
    </cfRule>
    <cfRule type="cellIs" dxfId="0" priority="2488" operator="equal">
      <formula>"欠"</formula>
    </cfRule>
  </conditionalFormatting>
  <conditionalFormatting sqref="V1550">
    <cfRule type="cellIs" dxfId="0" priority="2492" operator="equal">
      <formula>"欠"</formula>
    </cfRule>
  </conditionalFormatting>
  <conditionalFormatting sqref="AI1550">
    <cfRule type="cellIs" dxfId="0" priority="2490" operator="equal">
      <formula>"未完成"</formula>
    </cfRule>
  </conditionalFormatting>
  <conditionalFormatting sqref="AL1550">
    <cfRule type="cellIs" dxfId="1" priority="2496" operator="equal">
      <formula>"未完成"</formula>
    </cfRule>
    <cfRule type="cellIs" dxfId="0" priority="2498" operator="equal">
      <formula>"未完成"</formula>
    </cfRule>
  </conditionalFormatting>
  <conditionalFormatting sqref="AM1550">
    <cfRule type="cellIs" dxfId="0" priority="2494" operator="equal">
      <formula>"欠"</formula>
    </cfRule>
  </conditionalFormatting>
  <conditionalFormatting sqref="Q1551">
    <cfRule type="cellIs" dxfId="0" priority="2371" operator="equal">
      <formula>"欠"</formula>
    </cfRule>
  </conditionalFormatting>
  <conditionalFormatting sqref="T1551:U1551">
    <cfRule type="containsText" dxfId="0" priority="1373" operator="between" text="欠">
      <formula>NOT(ISERROR(SEARCH("欠",T1551)))</formula>
    </cfRule>
    <cfRule type="cellIs" dxfId="0" priority="1374" operator="equal">
      <formula>"欠"</formula>
    </cfRule>
  </conditionalFormatting>
  <conditionalFormatting sqref="V1551">
    <cfRule type="cellIs" dxfId="0" priority="2367" operator="equal">
      <formula>"欠"</formula>
    </cfRule>
  </conditionalFormatting>
  <conditionalFormatting sqref="AI1551">
    <cfRule type="cellIs" dxfId="0" priority="2366" operator="equal">
      <formula>"未完成"</formula>
    </cfRule>
  </conditionalFormatting>
  <conditionalFormatting sqref="AL1551">
    <cfRule type="cellIs" dxfId="1" priority="2369" operator="equal">
      <formula>"未完成"</formula>
    </cfRule>
    <cfRule type="cellIs" dxfId="0" priority="2370" operator="equal">
      <formula>"未完成"</formula>
    </cfRule>
  </conditionalFormatting>
  <conditionalFormatting sqref="AM1551">
    <cfRule type="cellIs" dxfId="0" priority="2368" operator="equal">
      <formula>"欠"</formula>
    </cfRule>
  </conditionalFormatting>
  <conditionalFormatting sqref="R1552">
    <cfRule type="containsText" dxfId="0" priority="4993" operator="between" text="欠">
      <formula>NOT(ISERROR(SEARCH("欠",R1552)))</formula>
    </cfRule>
    <cfRule type="cellIs" dxfId="0" priority="4996" operator="equal">
      <formula>"欠"</formula>
    </cfRule>
  </conditionalFormatting>
  <conditionalFormatting sqref="S1552">
    <cfRule type="cellIs" dxfId="0" priority="4999" operator="equal">
      <formula>"欠"</formula>
    </cfRule>
  </conditionalFormatting>
  <conditionalFormatting sqref="T1552:U1552">
    <cfRule type="containsText" dxfId="0" priority="4987" operator="between" text="欠">
      <formula>NOT(ISERROR(SEARCH("欠",T1552)))</formula>
    </cfRule>
    <cfRule type="cellIs" dxfId="0" priority="4990" operator="equal">
      <formula>"欠"</formula>
    </cfRule>
  </conditionalFormatting>
  <conditionalFormatting sqref="V1552">
    <cfRule type="cellIs" dxfId="0" priority="5008" operator="equal">
      <formula>"欠"</formula>
    </cfRule>
  </conditionalFormatting>
  <conditionalFormatting sqref="AG1552:AH1552">
    <cfRule type="cellIs" dxfId="0" priority="5011" operator="equal">
      <formula>"未完成"</formula>
    </cfRule>
  </conditionalFormatting>
  <conditionalFormatting sqref="AL1552:AM1552">
    <cfRule type="cellIs" dxfId="1" priority="5002" operator="equal">
      <formula>"未完成"</formula>
    </cfRule>
    <cfRule type="cellIs" dxfId="0" priority="5005" operator="equal">
      <formula>"未完成"</formula>
    </cfRule>
  </conditionalFormatting>
  <conditionalFormatting sqref="R1553">
    <cfRule type="containsText" dxfId="0" priority="5657" operator="between" text="欠">
      <formula>NOT(ISERROR(SEARCH("欠",R1553)))</formula>
    </cfRule>
    <cfRule type="cellIs" dxfId="0" priority="5663" operator="equal">
      <formula>"欠"</formula>
    </cfRule>
  </conditionalFormatting>
  <conditionalFormatting sqref="S1553">
    <cfRule type="cellIs" dxfId="0" priority="5662" operator="equal">
      <formula>"欠"</formula>
    </cfRule>
  </conditionalFormatting>
  <conditionalFormatting sqref="T1553:U1553">
    <cfRule type="containsText" dxfId="0" priority="5660" operator="between" text="欠">
      <formula>NOT(ISERROR(SEARCH("欠",T1553)))</formula>
    </cfRule>
    <cfRule type="cellIs" dxfId="0" priority="5661" operator="equal">
      <formula>"欠"</formula>
    </cfRule>
  </conditionalFormatting>
  <conditionalFormatting sqref="V1553">
    <cfRule type="cellIs" dxfId="0" priority="6118" operator="equal">
      <formula>"欠"</formula>
    </cfRule>
  </conditionalFormatting>
  <conditionalFormatting sqref="AG1553:AH1553">
    <cfRule type="cellIs" dxfId="0" priority="6121" operator="equal">
      <formula>"未完成"</formula>
    </cfRule>
  </conditionalFormatting>
  <conditionalFormatting sqref="AL1553:AM1553">
    <cfRule type="cellIs" dxfId="1" priority="6116" operator="equal">
      <formula>"未完成"</formula>
    </cfRule>
    <cfRule type="cellIs" dxfId="0" priority="6117" operator="equal">
      <formula>"未完成"</formula>
    </cfRule>
  </conditionalFormatting>
  <conditionalFormatting sqref="AN1553">
    <cfRule type="cellIs" dxfId="0" priority="6115" operator="equal">
      <formula>"欠"</formula>
    </cfRule>
  </conditionalFormatting>
  <conditionalFormatting sqref="T1554:U1554">
    <cfRule type="containsText" dxfId="0" priority="4669" operator="between" text="欠">
      <formula>NOT(ISERROR(SEARCH("欠",T1554)))</formula>
    </cfRule>
    <cfRule type="cellIs" dxfId="0" priority="4670" operator="equal">
      <formula>"欠"</formula>
    </cfRule>
  </conditionalFormatting>
  <conditionalFormatting sqref="V1554">
    <cfRule type="cellIs" dxfId="0" priority="4676" operator="equal">
      <formula>"欠"</formula>
    </cfRule>
  </conditionalFormatting>
  <conditionalFormatting sqref="AG1554:AH1554">
    <cfRule type="cellIs" dxfId="0" priority="4677" operator="equal">
      <formula>"未完成"</formula>
    </cfRule>
  </conditionalFormatting>
  <conditionalFormatting sqref="AL1554:AM1554">
    <cfRule type="cellIs" dxfId="1" priority="4674" operator="equal">
      <formula>"未完成"</formula>
    </cfRule>
    <cfRule type="cellIs" dxfId="0" priority="4675" operator="equal">
      <formula>"未完成"</formula>
    </cfRule>
  </conditionalFormatting>
  <conditionalFormatting sqref="Q1555">
    <cfRule type="cellIs" dxfId="0" priority="2281" operator="equal">
      <formula>"欠"</formula>
    </cfRule>
  </conditionalFormatting>
  <conditionalFormatting sqref="V1555">
    <cfRule type="cellIs" dxfId="0" priority="2269" operator="equal">
      <formula>"欠"</formula>
    </cfRule>
  </conditionalFormatting>
  <conditionalFormatting sqref="AI1555">
    <cfRule type="cellIs" dxfId="0" priority="2266" operator="equal">
      <formula>"未完成"</formula>
    </cfRule>
  </conditionalFormatting>
  <conditionalFormatting sqref="AL1555">
    <cfRule type="cellIs" dxfId="1" priority="2275" operator="equal">
      <formula>"未完成"</formula>
    </cfRule>
    <cfRule type="cellIs" dxfId="0" priority="2278" operator="equal">
      <formula>"未完成"</formula>
    </cfRule>
  </conditionalFormatting>
  <conditionalFormatting sqref="AM1555">
    <cfRule type="cellIs" dxfId="0" priority="2272" operator="equal">
      <formula>"欠"</formula>
    </cfRule>
  </conditionalFormatting>
  <conditionalFormatting sqref="Q1556">
    <cfRule type="cellIs" dxfId="0" priority="2897" operator="equal">
      <formula>"欠"</formula>
    </cfRule>
  </conditionalFormatting>
  <conditionalFormatting sqref="T1556:U1556">
    <cfRule type="containsText" dxfId="0" priority="2809" operator="between" text="欠">
      <formula>NOT(ISERROR(SEARCH("欠",T1556)))</formula>
    </cfRule>
    <cfRule type="cellIs" dxfId="0" priority="2831" operator="equal">
      <formula>"欠"</formula>
    </cfRule>
  </conditionalFormatting>
  <conditionalFormatting sqref="V1556">
    <cfRule type="cellIs" dxfId="0" priority="2853" operator="equal">
      <formula>"欠"</formula>
    </cfRule>
  </conditionalFormatting>
  <conditionalFormatting sqref="AI1556">
    <cfRule type="cellIs" dxfId="0" priority="2842" operator="equal">
      <formula>"未完成"</formula>
    </cfRule>
  </conditionalFormatting>
  <conditionalFormatting sqref="AL1556">
    <cfRule type="cellIs" dxfId="1" priority="2875" operator="equal">
      <formula>"未完成"</formula>
    </cfRule>
    <cfRule type="cellIs" dxfId="0" priority="2886" operator="equal">
      <formula>"未完成"</formula>
    </cfRule>
  </conditionalFormatting>
  <conditionalFormatting sqref="AM1556">
    <cfRule type="cellIs" dxfId="0" priority="2864" operator="equal">
      <formula>"欠"</formula>
    </cfRule>
  </conditionalFormatting>
  <conditionalFormatting sqref="Q1557">
    <cfRule type="cellIs" dxfId="0" priority="1757" operator="equal">
      <formula>"欠"</formula>
    </cfRule>
  </conditionalFormatting>
  <conditionalFormatting sqref="V1557">
    <cfRule type="cellIs" dxfId="0" priority="1753" operator="equal">
      <formula>"欠"</formula>
    </cfRule>
  </conditionalFormatting>
  <conditionalFormatting sqref="AI1557">
    <cfRule type="cellIs" dxfId="0" priority="1752" operator="equal">
      <formula>"未完成"</formula>
    </cfRule>
  </conditionalFormatting>
  <conditionalFormatting sqref="AL1557">
    <cfRule type="cellIs" dxfId="1" priority="1755" operator="equal">
      <formula>"未完成"</formula>
    </cfRule>
    <cfRule type="cellIs" dxfId="0" priority="1756" operator="equal">
      <formula>"未完成"</formula>
    </cfRule>
  </conditionalFormatting>
  <conditionalFormatting sqref="AM1557">
    <cfRule type="cellIs" dxfId="0" priority="1754" operator="equal">
      <formula>"欠"</formula>
    </cfRule>
  </conditionalFormatting>
  <conditionalFormatting sqref="Q1558">
    <cfRule type="cellIs" dxfId="0" priority="1734" operator="equal">
      <formula>"欠"</formula>
    </cfRule>
  </conditionalFormatting>
  <conditionalFormatting sqref="T1558:U1558">
    <cfRule type="containsText" dxfId="0" priority="1662" operator="between" text="欠">
      <formula>NOT(ISERROR(SEARCH("欠",T1558)))</formula>
    </cfRule>
    <cfRule type="cellIs" dxfId="0" priority="1680" operator="equal">
      <formula>"欠"</formula>
    </cfRule>
  </conditionalFormatting>
  <conditionalFormatting sqref="V1558">
    <cfRule type="cellIs" dxfId="0" priority="1698" operator="equal">
      <formula>"欠"</formula>
    </cfRule>
  </conditionalFormatting>
  <conditionalFormatting sqref="AI1558">
    <cfRule type="cellIs" dxfId="0" priority="1689" operator="equal">
      <formula>"未完成"</formula>
    </cfRule>
  </conditionalFormatting>
  <conditionalFormatting sqref="AL1558">
    <cfRule type="cellIs" dxfId="1" priority="1716" operator="equal">
      <formula>"未完成"</formula>
    </cfRule>
    <cfRule type="cellIs" dxfId="0" priority="1725" operator="equal">
      <formula>"未完成"</formula>
    </cfRule>
  </conditionalFormatting>
  <conditionalFormatting sqref="AM1558">
    <cfRule type="cellIs" dxfId="0" priority="1707" operator="equal">
      <formula>"欠"</formula>
    </cfRule>
  </conditionalFormatting>
  <conditionalFormatting sqref="Q1559">
    <cfRule type="cellIs" dxfId="0" priority="3114" operator="equal">
      <formula>"欠"</formula>
    </cfRule>
  </conditionalFormatting>
  <conditionalFormatting sqref="T1559:U1559">
    <cfRule type="containsText" dxfId="0" priority="3066" operator="between" text="欠">
      <formula>NOT(ISERROR(SEARCH("欠",T1559)))</formula>
    </cfRule>
    <cfRule type="cellIs" dxfId="0" priority="3078" operator="equal">
      <formula>"欠"</formula>
    </cfRule>
  </conditionalFormatting>
  <conditionalFormatting sqref="V1559">
    <cfRule type="cellIs" dxfId="0" priority="3090" operator="equal">
      <formula>"欠"</formula>
    </cfRule>
  </conditionalFormatting>
  <conditionalFormatting sqref="AI1559">
    <cfRule type="cellIs" dxfId="0" priority="3084" operator="equal">
      <formula>"未完成"</formula>
    </cfRule>
  </conditionalFormatting>
  <conditionalFormatting sqref="AL1559">
    <cfRule type="cellIs" dxfId="1" priority="3102" operator="equal">
      <formula>"未完成"</formula>
    </cfRule>
    <cfRule type="cellIs" dxfId="0" priority="3108" operator="equal">
      <formula>"未完成"</formula>
    </cfRule>
  </conditionalFormatting>
  <conditionalFormatting sqref="AM1559">
    <cfRule type="cellIs" dxfId="0" priority="3096" operator="equal">
      <formula>"欠"</formula>
    </cfRule>
  </conditionalFormatting>
  <conditionalFormatting sqref="R1560">
    <cfRule type="containsText" dxfId="0" priority="4773" operator="between" text="欠">
      <formula>NOT(ISERROR(SEARCH("欠",R1560)))</formula>
    </cfRule>
    <cfRule type="cellIs" dxfId="0" priority="4774" operator="equal">
      <formula>"欠"</formula>
    </cfRule>
  </conditionalFormatting>
  <conditionalFormatting sqref="S1560:U1560">
    <cfRule type="cellIs" dxfId="0" priority="4779" operator="equal">
      <formula>"欠"</formula>
    </cfRule>
  </conditionalFormatting>
  <conditionalFormatting sqref="T1560:U1560">
    <cfRule type="containsText" dxfId="0" priority="4775" operator="between" text="欠">
      <formula>NOT(ISERROR(SEARCH("欠",T1560)))</formula>
    </cfRule>
  </conditionalFormatting>
  <conditionalFormatting sqref="V1560">
    <cfRule type="cellIs" dxfId="0" priority="4781" operator="equal">
      <formula>"欠"</formula>
    </cfRule>
  </conditionalFormatting>
  <conditionalFormatting sqref="AL1560:AM1560">
    <cfRule type="cellIs" dxfId="1" priority="4782" operator="equal">
      <formula>"未完成"</formula>
    </cfRule>
    <cfRule type="cellIs" dxfId="0" priority="4783" operator="equal">
      <formula>"未完成"</formula>
    </cfRule>
  </conditionalFormatting>
  <conditionalFormatting sqref="AN1560">
    <cfRule type="cellIs" dxfId="0" priority="4784" operator="equal">
      <formula>"欠"</formula>
    </cfRule>
  </conditionalFormatting>
  <conditionalFormatting sqref="Q1561">
    <cfRule type="cellIs" dxfId="0" priority="1736" operator="equal">
      <formula>"欠"</formula>
    </cfRule>
  </conditionalFormatting>
  <conditionalFormatting sqref="T1561:U1561">
    <cfRule type="containsText" dxfId="0" priority="1664" operator="between" text="欠">
      <formula>NOT(ISERROR(SEARCH("欠",T1561)))</formula>
    </cfRule>
    <cfRule type="cellIs" dxfId="0" priority="1682" operator="equal">
      <formula>"欠"</formula>
    </cfRule>
  </conditionalFormatting>
  <conditionalFormatting sqref="V1561">
    <cfRule type="cellIs" dxfId="0" priority="1700" operator="equal">
      <formula>"欠"</formula>
    </cfRule>
  </conditionalFormatting>
  <conditionalFormatting sqref="AI1561">
    <cfRule type="cellIs" dxfId="0" priority="1691" operator="equal">
      <formula>"未完成"</formula>
    </cfRule>
  </conditionalFormatting>
  <conditionalFormatting sqref="AL1561">
    <cfRule type="cellIs" dxfId="1" priority="1718" operator="equal">
      <formula>"未完成"</formula>
    </cfRule>
    <cfRule type="cellIs" dxfId="0" priority="1727" operator="equal">
      <formula>"未完成"</formula>
    </cfRule>
  </conditionalFormatting>
  <conditionalFormatting sqref="AM1561">
    <cfRule type="cellIs" dxfId="0" priority="1709" operator="equal">
      <formula>"欠"</formula>
    </cfRule>
  </conditionalFormatting>
  <conditionalFormatting sqref="Q1562">
    <cfRule type="cellIs" dxfId="0" priority="3773" operator="equal">
      <formula>"欠"</formula>
    </cfRule>
  </conditionalFormatting>
  <conditionalFormatting sqref="V1562">
    <cfRule type="cellIs" dxfId="0" priority="3769" operator="equal">
      <formula>"欠"</formula>
    </cfRule>
  </conditionalFormatting>
  <conditionalFormatting sqref="AI1562">
    <cfRule type="cellIs" dxfId="0" priority="3768" operator="equal">
      <formula>"未完成"</formula>
    </cfRule>
  </conditionalFormatting>
  <conditionalFormatting sqref="AL1562">
    <cfRule type="cellIs" dxfId="1" priority="3771" operator="equal">
      <formula>"未完成"</formula>
    </cfRule>
    <cfRule type="cellIs" dxfId="0" priority="3772" operator="equal">
      <formula>"未完成"</formula>
    </cfRule>
  </conditionalFormatting>
  <conditionalFormatting sqref="AM1562">
    <cfRule type="cellIs" dxfId="0" priority="3770" operator="equal">
      <formula>"欠"</formula>
    </cfRule>
  </conditionalFormatting>
  <conditionalFormatting sqref="Q1563">
    <cfRule type="cellIs" dxfId="0" priority="3785" operator="equal">
      <formula>"欠"</formula>
    </cfRule>
  </conditionalFormatting>
  <conditionalFormatting sqref="V1563">
    <cfRule type="cellIs" dxfId="0" priority="3781" operator="equal">
      <formula>"欠"</formula>
    </cfRule>
  </conditionalFormatting>
  <conditionalFormatting sqref="AI1563">
    <cfRule type="cellIs" dxfId="0" priority="3780" operator="equal">
      <formula>"未完成"</formula>
    </cfRule>
  </conditionalFormatting>
  <conditionalFormatting sqref="AL1563">
    <cfRule type="cellIs" dxfId="1" priority="3783" operator="equal">
      <formula>"未完成"</formula>
    </cfRule>
    <cfRule type="cellIs" dxfId="0" priority="3784" operator="equal">
      <formula>"未完成"</formula>
    </cfRule>
  </conditionalFormatting>
  <conditionalFormatting sqref="AM1563">
    <cfRule type="cellIs" dxfId="0" priority="3782" operator="equal">
      <formula>"欠"</formula>
    </cfRule>
  </conditionalFormatting>
  <conditionalFormatting sqref="Q1564">
    <cfRule type="cellIs" dxfId="0" priority="3904" operator="equal">
      <formula>"欠"</formula>
    </cfRule>
  </conditionalFormatting>
  <conditionalFormatting sqref="V1564">
    <cfRule type="cellIs" dxfId="0" priority="3896" operator="equal">
      <formula>"欠"</formula>
    </cfRule>
  </conditionalFormatting>
  <conditionalFormatting sqref="AI1564">
    <cfRule type="cellIs" dxfId="0" priority="3894" operator="equal">
      <formula>"未完成"</formula>
    </cfRule>
  </conditionalFormatting>
  <conditionalFormatting sqref="AL1564">
    <cfRule type="cellIs" dxfId="1" priority="3900" operator="equal">
      <formula>"未完成"</formula>
    </cfRule>
    <cfRule type="cellIs" dxfId="0" priority="3902" operator="equal">
      <formula>"未完成"</formula>
    </cfRule>
  </conditionalFormatting>
  <conditionalFormatting sqref="AM1564">
    <cfRule type="cellIs" dxfId="0" priority="3898" operator="equal">
      <formula>"欠"</formula>
    </cfRule>
  </conditionalFormatting>
  <conditionalFormatting sqref="Q1565">
    <cfRule type="cellIs" dxfId="0" priority="3903" operator="equal">
      <formula>"欠"</formula>
    </cfRule>
  </conditionalFormatting>
  <conditionalFormatting sqref="V1565">
    <cfRule type="cellIs" dxfId="0" priority="3895" operator="equal">
      <formula>"欠"</formula>
    </cfRule>
  </conditionalFormatting>
  <conditionalFormatting sqref="AI1565">
    <cfRule type="cellIs" dxfId="0" priority="3893" operator="equal">
      <formula>"未完成"</formula>
    </cfRule>
  </conditionalFormatting>
  <conditionalFormatting sqref="AL1565">
    <cfRule type="cellIs" dxfId="1" priority="3899" operator="equal">
      <formula>"未完成"</formula>
    </cfRule>
    <cfRule type="cellIs" dxfId="0" priority="3901" operator="equal">
      <formula>"未完成"</formula>
    </cfRule>
  </conditionalFormatting>
  <conditionalFormatting sqref="AM1565">
    <cfRule type="cellIs" dxfId="0" priority="3897" operator="equal">
      <formula>"欠"</formula>
    </cfRule>
  </conditionalFormatting>
  <conditionalFormatting sqref="Q1566">
    <cfRule type="cellIs" dxfId="0" priority="2213" operator="equal">
      <formula>"欠"</formula>
    </cfRule>
  </conditionalFormatting>
  <conditionalFormatting sqref="R1566">
    <cfRule type="containsText" dxfId="0" priority="2203" operator="between" text="欠">
      <formula>NOT(ISERROR(SEARCH("欠",R1566)))</formula>
    </cfRule>
    <cfRule type="cellIs" dxfId="0" priority="2204" operator="equal">
      <formula>"欠"</formula>
    </cfRule>
  </conditionalFormatting>
  <conditionalFormatting sqref="S1566">
    <cfRule type="cellIs" dxfId="0" priority="2206" operator="equal">
      <formula>"欠"</formula>
    </cfRule>
  </conditionalFormatting>
  <conditionalFormatting sqref="T1566:U1566">
    <cfRule type="containsText" dxfId="0" priority="2205" operator="between" text="欠">
      <formula>NOT(ISERROR(SEARCH("欠",T1566)))</formula>
    </cfRule>
    <cfRule type="cellIs" dxfId="0" priority="2207" operator="equal">
      <formula>"欠"</formula>
    </cfRule>
  </conditionalFormatting>
  <conditionalFormatting sqref="V1566">
    <cfRule type="cellIs" dxfId="0" priority="2209" operator="equal">
      <formula>"欠"</formula>
    </cfRule>
  </conditionalFormatting>
  <conditionalFormatting sqref="AI1566">
    <cfRule type="cellIs" dxfId="0" priority="2208" operator="equal">
      <formula>"未完成"</formula>
    </cfRule>
  </conditionalFormatting>
  <conditionalFormatting sqref="AL1566">
    <cfRule type="cellIs" dxfId="1" priority="2211" operator="equal">
      <formula>"未完成"</formula>
    </cfRule>
    <cfRule type="cellIs" dxfId="0" priority="2212" operator="equal">
      <formula>"未完成"</formula>
    </cfRule>
  </conditionalFormatting>
  <conditionalFormatting sqref="AM1566">
    <cfRule type="cellIs" dxfId="0" priority="2210" operator="equal">
      <formula>"欠"</formula>
    </cfRule>
  </conditionalFormatting>
  <conditionalFormatting sqref="Q1567">
    <cfRule type="cellIs" dxfId="0" priority="3669" operator="equal">
      <formula>"欠"</formula>
    </cfRule>
  </conditionalFormatting>
  <conditionalFormatting sqref="R1567">
    <cfRule type="containsText" dxfId="0" priority="3613" operator="between" text="欠">
      <formula>NOT(ISERROR(SEARCH("欠",R1567)))</formula>
    </cfRule>
    <cfRule type="cellIs" dxfId="0" priority="3621" operator="equal">
      <formula>"欠"</formula>
    </cfRule>
  </conditionalFormatting>
  <conditionalFormatting sqref="S1567">
    <cfRule type="cellIs" dxfId="0" priority="3641" operator="equal">
      <formula>"欠"</formula>
    </cfRule>
  </conditionalFormatting>
  <conditionalFormatting sqref="T1567:U1567">
    <cfRule type="containsText" dxfId="0" priority="3625" operator="between" text="欠">
      <formula>NOT(ISERROR(SEARCH("欠",T1567)))</formula>
    </cfRule>
    <cfRule type="cellIs" dxfId="0" priority="3637" operator="equal">
      <formula>"欠"</formula>
    </cfRule>
  </conditionalFormatting>
  <conditionalFormatting sqref="V1567">
    <cfRule type="cellIs" dxfId="0" priority="3653" operator="equal">
      <formula>"欠"</formula>
    </cfRule>
  </conditionalFormatting>
  <conditionalFormatting sqref="AI1567">
    <cfRule type="cellIs" dxfId="0" priority="3649" operator="equal">
      <formula>"未完成"</formula>
    </cfRule>
  </conditionalFormatting>
  <conditionalFormatting sqref="AL1567">
    <cfRule type="cellIs" dxfId="1" priority="3661" operator="equal">
      <formula>"未完成"</formula>
    </cfRule>
    <cfRule type="cellIs" dxfId="0" priority="3665" operator="equal">
      <formula>"未完成"</formula>
    </cfRule>
  </conditionalFormatting>
  <conditionalFormatting sqref="AM1567">
    <cfRule type="cellIs" dxfId="0" priority="3657" operator="equal">
      <formula>"欠"</formula>
    </cfRule>
  </conditionalFormatting>
  <conditionalFormatting sqref="T1568:U1568">
    <cfRule type="containsText" dxfId="0" priority="2744" operator="between" text="欠">
      <formula>NOT(ISERROR(SEARCH("欠",T1568)))</formula>
    </cfRule>
    <cfRule type="cellIs" dxfId="0" priority="2745" operator="equal">
      <formula>"欠"</formula>
    </cfRule>
  </conditionalFormatting>
  <conditionalFormatting sqref="V1568">
    <cfRule type="cellIs" dxfId="0" priority="2747" operator="equal">
      <formula>"欠"</formula>
    </cfRule>
  </conditionalFormatting>
  <conditionalFormatting sqref="AM1568">
    <cfRule type="cellIs" dxfId="0" priority="2748" operator="equal">
      <formula>"欠"</formula>
    </cfRule>
  </conditionalFormatting>
  <conditionalFormatting sqref="Q1569">
    <cfRule type="cellIs" dxfId="0" priority="2201" operator="equal">
      <formula>"欠"</formula>
    </cfRule>
  </conditionalFormatting>
  <conditionalFormatting sqref="V1569">
    <cfRule type="cellIs" dxfId="0" priority="2197" operator="equal">
      <formula>"欠"</formula>
    </cfRule>
  </conditionalFormatting>
  <conditionalFormatting sqref="AI1569">
    <cfRule type="cellIs" dxfId="0" priority="2196" operator="equal">
      <formula>"未完成"</formula>
    </cfRule>
  </conditionalFormatting>
  <conditionalFormatting sqref="AL1569">
    <cfRule type="cellIs" dxfId="1" priority="2199" operator="equal">
      <formula>"未完成"</formula>
    </cfRule>
    <cfRule type="cellIs" dxfId="0" priority="2200" operator="equal">
      <formula>"未完成"</formula>
    </cfRule>
  </conditionalFormatting>
  <conditionalFormatting sqref="AM1569">
    <cfRule type="cellIs" dxfId="0" priority="2198" operator="equal">
      <formula>"欠"</formula>
    </cfRule>
  </conditionalFormatting>
  <conditionalFormatting sqref="Q1570">
    <cfRule type="cellIs" dxfId="0" priority="3719" operator="equal">
      <formula>"欠"</formula>
    </cfRule>
  </conditionalFormatting>
  <conditionalFormatting sqref="R1570">
    <cfRule type="containsText" dxfId="0" priority="3712" operator="between" text="欠">
      <formula>NOT(ISERROR(SEARCH("欠",R1570)))</formula>
    </cfRule>
    <cfRule type="cellIs" dxfId="0" priority="3713" operator="equal">
      <formula>"欠"</formula>
    </cfRule>
  </conditionalFormatting>
  <conditionalFormatting sqref="S1570">
    <cfRule type="cellIs" dxfId="0" priority="3721" operator="equal">
      <formula>"欠"</formula>
    </cfRule>
  </conditionalFormatting>
  <conditionalFormatting sqref="T1570:U1570">
    <cfRule type="containsText" dxfId="0" priority="3720" operator="between" text="欠">
      <formula>NOT(ISERROR(SEARCH("欠",T1570)))</formula>
    </cfRule>
    <cfRule type="cellIs" dxfId="0" priority="3722" operator="equal">
      <formula>"欠"</formula>
    </cfRule>
  </conditionalFormatting>
  <conditionalFormatting sqref="V1570">
    <cfRule type="cellIs" dxfId="0" priority="3715" operator="equal">
      <formula>"欠"</formula>
    </cfRule>
  </conditionalFormatting>
  <conditionalFormatting sqref="AI1570">
    <cfRule type="cellIs" dxfId="0" priority="3714" operator="equal">
      <formula>"未完成"</formula>
    </cfRule>
  </conditionalFormatting>
  <conditionalFormatting sqref="AL1570">
    <cfRule type="cellIs" dxfId="1" priority="3717" operator="equal">
      <formula>"未完成"</formula>
    </cfRule>
    <cfRule type="cellIs" dxfId="0" priority="3718" operator="equal">
      <formula>"未完成"</formula>
    </cfRule>
  </conditionalFormatting>
  <conditionalFormatting sqref="AM1570">
    <cfRule type="cellIs" dxfId="0" priority="3716" operator="equal">
      <formula>"欠"</formula>
    </cfRule>
  </conditionalFormatting>
  <conditionalFormatting sqref="S1571">
    <cfRule type="cellIs" dxfId="0" priority="2474" operator="equal">
      <formula>"欠"</formula>
    </cfRule>
  </conditionalFormatting>
  <conditionalFormatting sqref="T1571:U1571">
    <cfRule type="containsText" dxfId="0" priority="2574" operator="between" text="欠">
      <formula>NOT(ISERROR(SEARCH("欠",T1571)))</formula>
    </cfRule>
    <cfRule type="cellIs" dxfId="0" priority="2598" operator="equal">
      <formula>"欠"</formula>
    </cfRule>
  </conditionalFormatting>
  <conditionalFormatting sqref="V1571">
    <cfRule type="cellIs" dxfId="0" priority="2622" operator="equal">
      <formula>"欠"</formula>
    </cfRule>
  </conditionalFormatting>
  <conditionalFormatting sqref="AI1571">
    <cfRule type="cellIs" dxfId="0" priority="2610" operator="equal">
      <formula>"未完成"</formula>
    </cfRule>
  </conditionalFormatting>
  <conditionalFormatting sqref="AL1571">
    <cfRule type="cellIs" dxfId="1" priority="2646" operator="equal">
      <formula>"未完成"</formula>
    </cfRule>
    <cfRule type="cellIs" dxfId="0" priority="2658" operator="equal">
      <formula>"未完成"</formula>
    </cfRule>
  </conditionalFormatting>
  <conditionalFormatting sqref="AM1571">
    <cfRule type="cellIs" dxfId="0" priority="2634" operator="equal">
      <formula>"欠"</formula>
    </cfRule>
  </conditionalFormatting>
  <conditionalFormatting sqref="Q1572">
    <cfRule type="cellIs" dxfId="0" priority="1286" operator="equal">
      <formula>"欠"</formula>
    </cfRule>
  </conditionalFormatting>
  <conditionalFormatting sqref="R1572">
    <cfRule type="containsText" dxfId="0" priority="1266" operator="between" text="欠">
      <formula>NOT(ISERROR(SEARCH("欠",R1572)))</formula>
    </cfRule>
    <cfRule type="cellIs" dxfId="0" priority="1268" operator="equal">
      <formula>"欠"</formula>
    </cfRule>
  </conditionalFormatting>
  <conditionalFormatting sqref="V1572">
    <cfRule type="cellIs" dxfId="0" priority="1278" operator="equal">
      <formula>"欠"</formula>
    </cfRule>
  </conditionalFormatting>
  <conditionalFormatting sqref="AI1572">
    <cfRule type="cellIs" dxfId="0" priority="1276" operator="equal">
      <formula>"未完成"</formula>
    </cfRule>
  </conditionalFormatting>
  <conditionalFormatting sqref="AL1572">
    <cfRule type="cellIs" dxfId="1" priority="1282" operator="equal">
      <formula>"未完成"</formula>
    </cfRule>
    <cfRule type="cellIs" dxfId="0" priority="1284" operator="equal">
      <formula>"未完成"</formula>
    </cfRule>
  </conditionalFormatting>
  <conditionalFormatting sqref="AM1572">
    <cfRule type="cellIs" dxfId="0" priority="1280" operator="equal">
      <formula>"欠"</formula>
    </cfRule>
  </conditionalFormatting>
  <conditionalFormatting sqref="Q1573">
    <cfRule type="cellIs" dxfId="0" priority="1733" operator="equal">
      <formula>"欠"</formula>
    </cfRule>
  </conditionalFormatting>
  <conditionalFormatting sqref="R1573">
    <cfRule type="containsText" dxfId="0" priority="1643" operator="between" text="欠">
      <formula>NOT(ISERROR(SEARCH("欠",R1573)))</formula>
    </cfRule>
    <cfRule type="cellIs" dxfId="0" priority="1652" operator="equal">
      <formula>"欠"</formula>
    </cfRule>
  </conditionalFormatting>
  <conditionalFormatting sqref="T1573:U1573">
    <cfRule type="containsText" dxfId="0" priority="1661" operator="between" text="欠">
      <formula>NOT(ISERROR(SEARCH("欠",T1573)))</formula>
    </cfRule>
    <cfRule type="cellIs" dxfId="0" priority="1679" operator="equal">
      <formula>"欠"</formula>
    </cfRule>
  </conditionalFormatting>
  <conditionalFormatting sqref="V1573">
    <cfRule type="cellIs" dxfId="0" priority="1697" operator="equal">
      <formula>"欠"</formula>
    </cfRule>
  </conditionalFormatting>
  <conditionalFormatting sqref="AI1573">
    <cfRule type="cellIs" dxfId="0" priority="1688" operator="equal">
      <formula>"未完成"</formula>
    </cfRule>
  </conditionalFormatting>
  <conditionalFormatting sqref="AL1573">
    <cfRule type="cellIs" dxfId="1" priority="1715" operator="equal">
      <formula>"未完成"</formula>
    </cfRule>
    <cfRule type="cellIs" dxfId="0" priority="1724" operator="equal">
      <formula>"未完成"</formula>
    </cfRule>
  </conditionalFormatting>
  <conditionalFormatting sqref="AM1573">
    <cfRule type="cellIs" dxfId="0" priority="1706" operator="equal">
      <formula>"欠"</formula>
    </cfRule>
  </conditionalFormatting>
  <conditionalFormatting sqref="Q1574">
    <cfRule type="cellIs" dxfId="0" priority="3503" operator="equal">
      <formula>"欠"</formula>
    </cfRule>
  </conditionalFormatting>
  <conditionalFormatting sqref="R1574">
    <cfRule type="containsText" dxfId="0" priority="3496" operator="between" text="欠">
      <formula>NOT(ISERROR(SEARCH("欠",R1574)))</formula>
    </cfRule>
    <cfRule type="cellIs" dxfId="0" priority="3497" operator="equal">
      <formula>"欠"</formula>
    </cfRule>
  </conditionalFormatting>
  <conditionalFormatting sqref="S1574">
    <cfRule type="cellIs" dxfId="0" priority="3505" operator="equal">
      <formula>"欠"</formula>
    </cfRule>
  </conditionalFormatting>
  <conditionalFormatting sqref="T1574:U1574">
    <cfRule type="containsText" dxfId="0" priority="3314" operator="between" text="欠">
      <formula>NOT(ISERROR(SEARCH("欠",T1574)))</formula>
    </cfRule>
    <cfRule type="containsText" dxfId="2" priority="3315" operator="between" text="欠">
      <formula>NOT(ISERROR(SEARCH("欠",T1574)))</formula>
    </cfRule>
    <cfRule type="cellIs" dxfId="0" priority="3316" operator="equal">
      <formula>"欠"</formula>
    </cfRule>
  </conditionalFormatting>
  <conditionalFormatting sqref="V1574">
    <cfRule type="cellIs" dxfId="0" priority="3499" operator="equal">
      <formula>"欠"</formula>
    </cfRule>
  </conditionalFormatting>
  <conditionalFormatting sqref="AI1574">
    <cfRule type="cellIs" dxfId="0" priority="3498" operator="equal">
      <formula>"未完成"</formula>
    </cfRule>
  </conditionalFormatting>
  <conditionalFormatting sqref="AL1574">
    <cfRule type="cellIs" dxfId="1" priority="3501" operator="equal">
      <formula>"未完成"</formula>
    </cfRule>
    <cfRule type="cellIs" dxfId="0" priority="3502" operator="equal">
      <formula>"未完成"</formula>
    </cfRule>
  </conditionalFormatting>
  <conditionalFormatting sqref="AM1574">
    <cfRule type="cellIs" dxfId="0" priority="3500" operator="equal">
      <formula>"欠"</formula>
    </cfRule>
  </conditionalFormatting>
  <conditionalFormatting sqref="Q1575">
    <cfRule type="cellIs" dxfId="0" priority="3695" operator="equal">
      <formula>"欠"</formula>
    </cfRule>
  </conditionalFormatting>
  <conditionalFormatting sqref="R1575">
    <cfRule type="containsText" dxfId="0" priority="3688" operator="between" text="欠">
      <formula>NOT(ISERROR(SEARCH("欠",R1575)))</formula>
    </cfRule>
    <cfRule type="cellIs" dxfId="0" priority="3689" operator="equal">
      <formula>"欠"</formula>
    </cfRule>
  </conditionalFormatting>
  <conditionalFormatting sqref="S1575">
    <cfRule type="cellIs" dxfId="0" priority="3697" operator="equal">
      <formula>"欠"</formula>
    </cfRule>
  </conditionalFormatting>
  <conditionalFormatting sqref="T1575:U1575">
    <cfRule type="containsText" dxfId="0" priority="3311" operator="between" text="欠">
      <formula>NOT(ISERROR(SEARCH("欠",T1575)))</formula>
    </cfRule>
    <cfRule type="containsText" dxfId="2" priority="3312" operator="between" text="欠">
      <formula>NOT(ISERROR(SEARCH("欠",T1575)))</formula>
    </cfRule>
    <cfRule type="cellIs" dxfId="0" priority="3313" operator="equal">
      <formula>"欠"</formula>
    </cfRule>
  </conditionalFormatting>
  <conditionalFormatting sqref="V1575">
    <cfRule type="cellIs" dxfId="0" priority="3691" operator="equal">
      <formula>"欠"</formula>
    </cfRule>
  </conditionalFormatting>
  <conditionalFormatting sqref="AI1575">
    <cfRule type="cellIs" dxfId="0" priority="3690" operator="equal">
      <formula>"未完成"</formula>
    </cfRule>
  </conditionalFormatting>
  <conditionalFormatting sqref="AL1575">
    <cfRule type="cellIs" dxfId="1" priority="3693" operator="equal">
      <formula>"未完成"</formula>
    </cfRule>
    <cfRule type="cellIs" dxfId="0" priority="3694" operator="equal">
      <formula>"未完成"</formula>
    </cfRule>
  </conditionalFormatting>
  <conditionalFormatting sqref="AM1575">
    <cfRule type="cellIs" dxfId="0" priority="3692" operator="equal">
      <formula>"欠"</formula>
    </cfRule>
  </conditionalFormatting>
  <conditionalFormatting sqref="Q1576">
    <cfRule type="cellIs" dxfId="0" priority="3109" operator="equal">
      <formula>"欠"</formula>
    </cfRule>
  </conditionalFormatting>
  <conditionalFormatting sqref="T1576:U1576">
    <cfRule type="containsText" dxfId="0" priority="3061" operator="between" text="欠">
      <formula>NOT(ISERROR(SEARCH("欠",T1576)))</formula>
    </cfRule>
    <cfRule type="cellIs" dxfId="0" priority="3073" operator="equal">
      <formula>"欠"</formula>
    </cfRule>
  </conditionalFormatting>
  <conditionalFormatting sqref="V1576">
    <cfRule type="cellIs" dxfId="0" priority="3085" operator="equal">
      <formula>"欠"</formula>
    </cfRule>
  </conditionalFormatting>
  <conditionalFormatting sqref="AI1576">
    <cfRule type="cellIs" dxfId="0" priority="3079" operator="equal">
      <formula>"未完成"</formula>
    </cfRule>
  </conditionalFormatting>
  <conditionalFormatting sqref="AL1576">
    <cfRule type="cellIs" dxfId="1" priority="3097" operator="equal">
      <formula>"未完成"</formula>
    </cfRule>
    <cfRule type="cellIs" dxfId="0" priority="3103" operator="equal">
      <formula>"未完成"</formula>
    </cfRule>
  </conditionalFormatting>
  <conditionalFormatting sqref="AM1576">
    <cfRule type="cellIs" dxfId="0" priority="3091" operator="equal">
      <formula>"欠"</formula>
    </cfRule>
  </conditionalFormatting>
  <conditionalFormatting sqref="Q1577">
    <cfRule type="cellIs" dxfId="0" priority="1735" operator="equal">
      <formula>"欠"</formula>
    </cfRule>
  </conditionalFormatting>
  <conditionalFormatting sqref="T1577:U1577">
    <cfRule type="containsText" dxfId="0" priority="1663" operator="between" text="欠">
      <formula>NOT(ISERROR(SEARCH("欠",T1577)))</formula>
    </cfRule>
    <cfRule type="cellIs" dxfId="0" priority="1681" operator="equal">
      <formula>"欠"</formula>
    </cfRule>
  </conditionalFormatting>
  <conditionalFormatting sqref="V1577">
    <cfRule type="cellIs" dxfId="0" priority="1699" operator="equal">
      <formula>"欠"</formula>
    </cfRule>
  </conditionalFormatting>
  <conditionalFormatting sqref="AI1577">
    <cfRule type="cellIs" dxfId="0" priority="1690" operator="equal">
      <formula>"未完成"</formula>
    </cfRule>
  </conditionalFormatting>
  <conditionalFormatting sqref="AL1577">
    <cfRule type="cellIs" dxfId="1" priority="1717" operator="equal">
      <formula>"未完成"</formula>
    </cfRule>
    <cfRule type="cellIs" dxfId="0" priority="1726" operator="equal">
      <formula>"未完成"</formula>
    </cfRule>
  </conditionalFormatting>
  <conditionalFormatting sqref="AM1577">
    <cfRule type="cellIs" dxfId="0" priority="1708" operator="equal">
      <formula>"欠"</formula>
    </cfRule>
  </conditionalFormatting>
  <conditionalFormatting sqref="S1578">
    <cfRule type="cellIs" dxfId="0" priority="2585" operator="equal">
      <formula>"欠"</formula>
    </cfRule>
  </conditionalFormatting>
  <conditionalFormatting sqref="T1578:U1578">
    <cfRule type="containsText" dxfId="0" priority="2573" operator="between" text="欠">
      <formula>NOT(ISERROR(SEARCH("欠",T1578)))</formula>
    </cfRule>
    <cfRule type="cellIs" dxfId="0" priority="2597" operator="equal">
      <formula>"欠"</formula>
    </cfRule>
  </conditionalFormatting>
  <conditionalFormatting sqref="V1578">
    <cfRule type="cellIs" dxfId="0" priority="2621" operator="equal">
      <formula>"欠"</formula>
    </cfRule>
  </conditionalFormatting>
  <conditionalFormatting sqref="AI1578">
    <cfRule type="cellIs" dxfId="0" priority="2609" operator="equal">
      <formula>"未完成"</formula>
    </cfRule>
  </conditionalFormatting>
  <conditionalFormatting sqref="AL1578">
    <cfRule type="cellIs" dxfId="1" priority="2645" operator="equal">
      <formula>"未完成"</formula>
    </cfRule>
    <cfRule type="cellIs" dxfId="0" priority="2657" operator="equal">
      <formula>"未完成"</formula>
    </cfRule>
  </conditionalFormatting>
  <conditionalFormatting sqref="AM1578">
    <cfRule type="cellIs" dxfId="0" priority="2633" operator="equal">
      <formula>"欠"</formula>
    </cfRule>
  </conditionalFormatting>
  <conditionalFormatting sqref="Q1579">
    <cfRule type="cellIs" dxfId="0" priority="1299" operator="equal">
      <formula>"欠"</formula>
    </cfRule>
  </conditionalFormatting>
  <conditionalFormatting sqref="V1579">
    <cfRule type="cellIs" dxfId="0" priority="1295" operator="equal">
      <formula>"欠"</formula>
    </cfRule>
  </conditionalFormatting>
  <conditionalFormatting sqref="AI1579">
    <cfRule type="cellIs" dxfId="0" priority="1294" operator="equal">
      <formula>"未完成"</formula>
    </cfRule>
  </conditionalFormatting>
  <conditionalFormatting sqref="AL1579">
    <cfRule type="cellIs" dxfId="1" priority="1297" operator="equal">
      <formula>"未完成"</formula>
    </cfRule>
    <cfRule type="cellIs" dxfId="0" priority="1298" operator="equal">
      <formula>"未完成"</formula>
    </cfRule>
  </conditionalFormatting>
  <conditionalFormatting sqref="AM1579">
    <cfRule type="cellIs" dxfId="0" priority="1296" operator="equal">
      <formula>"欠"</formula>
    </cfRule>
  </conditionalFormatting>
  <conditionalFormatting sqref="V1580">
    <cfRule type="cellIs" dxfId="0" priority="2271" operator="equal">
      <formula>"欠"</formula>
    </cfRule>
  </conditionalFormatting>
  <conditionalFormatting sqref="AI1580">
    <cfRule type="cellIs" dxfId="0" priority="2268" operator="equal">
      <formula>"未完成"</formula>
    </cfRule>
  </conditionalFormatting>
  <conditionalFormatting sqref="AL1580">
    <cfRule type="cellIs" dxfId="1" priority="2277" operator="equal">
      <formula>"未完成"</formula>
    </cfRule>
    <cfRule type="cellIs" dxfId="0" priority="2280" operator="equal">
      <formula>"未完成"</formula>
    </cfRule>
  </conditionalFormatting>
  <conditionalFormatting sqref="AM1580">
    <cfRule type="cellIs" dxfId="0" priority="2274" operator="equal">
      <formula>"欠"</formula>
    </cfRule>
  </conditionalFormatting>
  <conditionalFormatting sqref="V1581">
    <cfRule type="cellIs" dxfId="0" priority="2270" operator="equal">
      <formula>"欠"</formula>
    </cfRule>
  </conditionalFormatting>
  <conditionalFormatting sqref="AI1581">
    <cfRule type="cellIs" dxfId="0" priority="2267" operator="equal">
      <formula>"未完成"</formula>
    </cfRule>
  </conditionalFormatting>
  <conditionalFormatting sqref="AL1581">
    <cfRule type="cellIs" dxfId="1" priority="2276" operator="equal">
      <formula>"未完成"</formula>
    </cfRule>
    <cfRule type="cellIs" dxfId="0" priority="2279" operator="equal">
      <formula>"未完成"</formula>
    </cfRule>
  </conditionalFormatting>
  <conditionalFormatting sqref="AM1581">
    <cfRule type="cellIs" dxfId="0" priority="2273" operator="equal">
      <formula>"欠"</formula>
    </cfRule>
  </conditionalFormatting>
  <conditionalFormatting sqref="Q1582">
    <cfRule type="cellIs" dxfId="0" priority="2499" operator="equal">
      <formula>"欠"</formula>
    </cfRule>
  </conditionalFormatting>
  <conditionalFormatting sqref="T1582:U1582">
    <cfRule type="containsText" dxfId="0" priority="2460" operator="between" text="欠">
      <formula>NOT(ISERROR(SEARCH("欠",T1582)))</formula>
    </cfRule>
    <cfRule type="containsText" dxfId="2" priority="2462" operator="between" text="欠">
      <formula>NOT(ISERROR(SEARCH("欠",T1582)))</formula>
    </cfRule>
    <cfRule type="cellIs" dxfId="0" priority="2463" operator="equal">
      <formula>"欠"</formula>
    </cfRule>
  </conditionalFormatting>
  <conditionalFormatting sqref="V1582">
    <cfRule type="cellIs" dxfId="0" priority="2491" operator="equal">
      <formula>"欠"</formula>
    </cfRule>
  </conditionalFormatting>
  <conditionalFormatting sqref="AI1582">
    <cfRule type="cellIs" dxfId="0" priority="2489" operator="equal">
      <formula>"未完成"</formula>
    </cfRule>
  </conditionalFormatting>
  <conditionalFormatting sqref="AL1582">
    <cfRule type="cellIs" dxfId="1" priority="2495" operator="equal">
      <formula>"未完成"</formula>
    </cfRule>
    <cfRule type="cellIs" dxfId="0" priority="2497" operator="equal">
      <formula>"未完成"</formula>
    </cfRule>
  </conditionalFormatting>
  <conditionalFormatting sqref="AM1582">
    <cfRule type="cellIs" dxfId="0" priority="2493" operator="equal">
      <formula>"欠"</formula>
    </cfRule>
  </conditionalFormatting>
  <conditionalFormatting sqref="Q1583">
    <cfRule type="cellIs" dxfId="0" priority="2900" operator="equal">
      <formula>"欠"</formula>
    </cfRule>
  </conditionalFormatting>
  <conditionalFormatting sqref="V1583">
    <cfRule type="cellIs" dxfId="0" priority="2856" operator="equal">
      <formula>"欠"</formula>
    </cfRule>
  </conditionalFormatting>
  <conditionalFormatting sqref="AI1583">
    <cfRule type="cellIs" dxfId="0" priority="2845" operator="equal">
      <formula>"未完成"</formula>
    </cfRule>
  </conditionalFormatting>
  <conditionalFormatting sqref="AL1583">
    <cfRule type="cellIs" dxfId="1" priority="2878" operator="equal">
      <formula>"未完成"</formula>
    </cfRule>
    <cfRule type="cellIs" dxfId="0" priority="2889" operator="equal">
      <formula>"未完成"</formula>
    </cfRule>
  </conditionalFormatting>
  <conditionalFormatting sqref="AM1583">
    <cfRule type="cellIs" dxfId="0" priority="2867" operator="equal">
      <formula>"欠"</formula>
    </cfRule>
  </conditionalFormatting>
  <conditionalFormatting sqref="Q1584">
    <cfRule type="cellIs" dxfId="0" priority="1737" operator="equal">
      <formula>"欠"</formula>
    </cfRule>
  </conditionalFormatting>
  <conditionalFormatting sqref="R1584">
    <cfRule type="containsText" dxfId="0" priority="1647" operator="between" text="欠">
      <formula>NOT(ISERROR(SEARCH("欠",R1584)))</formula>
    </cfRule>
    <cfRule type="cellIs" dxfId="0" priority="1656" operator="equal">
      <formula>"欠"</formula>
    </cfRule>
  </conditionalFormatting>
  <conditionalFormatting sqref="S1584">
    <cfRule type="cellIs" dxfId="0" priority="1674" operator="equal">
      <formula>"欠"</formula>
    </cfRule>
  </conditionalFormatting>
  <conditionalFormatting sqref="T1584:U1584">
    <cfRule type="containsText" dxfId="0" priority="1665" operator="between" text="欠">
      <formula>NOT(ISERROR(SEARCH("欠",T1584)))</formula>
    </cfRule>
    <cfRule type="cellIs" dxfId="0" priority="1683" operator="equal">
      <formula>"欠"</formula>
    </cfRule>
  </conditionalFormatting>
  <conditionalFormatting sqref="V1584">
    <cfRule type="cellIs" dxfId="0" priority="1701" operator="equal">
      <formula>"欠"</formula>
    </cfRule>
  </conditionalFormatting>
  <conditionalFormatting sqref="AI1584">
    <cfRule type="cellIs" dxfId="0" priority="1692" operator="equal">
      <formula>"未完成"</formula>
    </cfRule>
  </conditionalFormatting>
  <conditionalFormatting sqref="AL1584">
    <cfRule type="cellIs" dxfId="1" priority="1719" operator="equal">
      <formula>"未完成"</formula>
    </cfRule>
    <cfRule type="cellIs" dxfId="0" priority="1728" operator="equal">
      <formula>"未完成"</formula>
    </cfRule>
  </conditionalFormatting>
  <conditionalFormatting sqref="AM1584">
    <cfRule type="cellIs" dxfId="0" priority="1710" operator="equal">
      <formula>"欠"</formula>
    </cfRule>
  </conditionalFormatting>
  <conditionalFormatting sqref="V1585">
    <cfRule type="cellIs" dxfId="0" priority="2143" operator="equal">
      <formula>"欠"</formula>
    </cfRule>
  </conditionalFormatting>
  <conditionalFormatting sqref="AI1585">
    <cfRule type="cellIs" dxfId="0" priority="2136" operator="equal">
      <formula>"未完成"</formula>
    </cfRule>
  </conditionalFormatting>
  <conditionalFormatting sqref="AM1585">
    <cfRule type="cellIs" dxfId="0" priority="2150" operator="equal">
      <formula>"欠"</formula>
    </cfRule>
  </conditionalFormatting>
  <conditionalFormatting sqref="V1586">
    <cfRule type="cellIs" dxfId="0" priority="2142" operator="equal">
      <formula>"欠"</formula>
    </cfRule>
  </conditionalFormatting>
  <conditionalFormatting sqref="AI1586">
    <cfRule type="cellIs" dxfId="0" priority="2135" operator="equal">
      <formula>"未完成"</formula>
    </cfRule>
  </conditionalFormatting>
  <conditionalFormatting sqref="AM1586">
    <cfRule type="cellIs" dxfId="0" priority="2149" operator="equal">
      <formula>"欠"</formula>
    </cfRule>
  </conditionalFormatting>
  <conditionalFormatting sqref="V1587">
    <cfRule type="cellIs" dxfId="0" priority="2141" operator="equal">
      <formula>"欠"</formula>
    </cfRule>
  </conditionalFormatting>
  <conditionalFormatting sqref="AI1587">
    <cfRule type="cellIs" dxfId="0" priority="2134" operator="equal">
      <formula>"未完成"</formula>
    </cfRule>
  </conditionalFormatting>
  <conditionalFormatting sqref="AM1587">
    <cfRule type="cellIs" dxfId="0" priority="2148" operator="equal">
      <formula>"欠"</formula>
    </cfRule>
  </conditionalFormatting>
  <conditionalFormatting sqref="Q1588">
    <cfRule type="cellIs" dxfId="0" priority="2168" operator="equal">
      <formula>"欠"</formula>
    </cfRule>
  </conditionalFormatting>
  <conditionalFormatting sqref="V1588">
    <cfRule type="cellIs" dxfId="0" priority="2140" operator="equal">
      <formula>"欠"</formula>
    </cfRule>
  </conditionalFormatting>
  <conditionalFormatting sqref="AI1588">
    <cfRule type="cellIs" dxfId="0" priority="2133" operator="equal">
      <formula>"未完成"</formula>
    </cfRule>
  </conditionalFormatting>
  <conditionalFormatting sqref="AM1588">
    <cfRule type="cellIs" dxfId="0" priority="2147" operator="equal">
      <formula>"欠"</formula>
    </cfRule>
  </conditionalFormatting>
  <conditionalFormatting sqref="Q1589">
    <cfRule type="cellIs" dxfId="0" priority="2167" operator="equal">
      <formula>"欠"</formula>
    </cfRule>
  </conditionalFormatting>
  <conditionalFormatting sqref="V1589">
    <cfRule type="cellIs" dxfId="0" priority="2139" operator="equal">
      <formula>"欠"</formula>
    </cfRule>
  </conditionalFormatting>
  <conditionalFormatting sqref="AI1589">
    <cfRule type="cellIs" dxfId="0" priority="2132" operator="equal">
      <formula>"未完成"</formula>
    </cfRule>
  </conditionalFormatting>
  <conditionalFormatting sqref="AM1589">
    <cfRule type="cellIs" dxfId="0" priority="2146" operator="equal">
      <formula>"欠"</formula>
    </cfRule>
  </conditionalFormatting>
  <conditionalFormatting sqref="V1590">
    <cfRule type="cellIs" dxfId="0" priority="2138" operator="equal">
      <formula>"欠"</formula>
    </cfRule>
  </conditionalFormatting>
  <conditionalFormatting sqref="AI1590">
    <cfRule type="cellIs" dxfId="0" priority="2131" operator="equal">
      <formula>"未完成"</formula>
    </cfRule>
  </conditionalFormatting>
  <conditionalFormatting sqref="AM1590">
    <cfRule type="cellIs" dxfId="0" priority="2145" operator="equal">
      <formula>"欠"</formula>
    </cfRule>
  </conditionalFormatting>
  <conditionalFormatting sqref="V1591">
    <cfRule type="cellIs" dxfId="0" priority="2137" operator="equal">
      <formula>"欠"</formula>
    </cfRule>
  </conditionalFormatting>
  <conditionalFormatting sqref="AI1591">
    <cfRule type="cellIs" dxfId="0" priority="2130" operator="equal">
      <formula>"未完成"</formula>
    </cfRule>
  </conditionalFormatting>
  <conditionalFormatting sqref="AM1591">
    <cfRule type="cellIs" dxfId="0" priority="2144" operator="equal">
      <formula>"欠"</formula>
    </cfRule>
  </conditionalFormatting>
  <conditionalFormatting sqref="T1592:U1592">
    <cfRule type="containsText" dxfId="0" priority="531" operator="between" text="欠">
      <formula>NOT(ISERROR(SEARCH("欠",T1592)))</formula>
    </cfRule>
    <cfRule type="cellIs" dxfId="0" priority="533" operator="equal">
      <formula>"欠"</formula>
    </cfRule>
  </conditionalFormatting>
  <conditionalFormatting sqref="V1592">
    <cfRule type="cellIs" dxfId="0" priority="535" operator="equal">
      <formula>"欠"</formula>
    </cfRule>
  </conditionalFormatting>
  <conditionalFormatting sqref="AI1592">
    <cfRule type="cellIs" dxfId="0" priority="534" operator="equal">
      <formula>"未完成"</formula>
    </cfRule>
  </conditionalFormatting>
  <conditionalFormatting sqref="AL1592">
    <cfRule type="cellIs" dxfId="1" priority="537" operator="equal">
      <formula>"未完成"</formula>
    </cfRule>
    <cfRule type="cellIs" dxfId="0" priority="538" operator="equal">
      <formula>"未完成"</formula>
    </cfRule>
  </conditionalFormatting>
  <conditionalFormatting sqref="AM1592">
    <cfRule type="cellIs" dxfId="0" priority="536" operator="equal">
      <formula>"欠"</formula>
    </cfRule>
  </conditionalFormatting>
  <conditionalFormatting sqref="Q1593">
    <cfRule type="cellIs" dxfId="0" priority="1219" operator="equal">
      <formula>"欠"</formula>
    </cfRule>
  </conditionalFormatting>
  <conditionalFormatting sqref="R1593">
    <cfRule type="containsText" dxfId="0" priority="1109" operator="between" text="欠">
      <formula>NOT(ISERROR(SEARCH("欠",R1593)))</formula>
    </cfRule>
    <cfRule type="cellIs" dxfId="0" priority="1120" operator="equal">
      <formula>"欠"</formula>
    </cfRule>
  </conditionalFormatting>
  <conditionalFormatting sqref="T1593:U1593">
    <cfRule type="containsText" dxfId="0" priority="1131" operator="between" text="欠">
      <formula>NOT(ISERROR(SEARCH("欠",T1593)))</formula>
    </cfRule>
    <cfRule type="cellIs" dxfId="0" priority="1153" operator="equal">
      <formula>"欠"</formula>
    </cfRule>
  </conditionalFormatting>
  <conditionalFormatting sqref="V1593">
    <cfRule type="cellIs" dxfId="0" priority="1175" operator="equal">
      <formula>"欠"</formula>
    </cfRule>
  </conditionalFormatting>
  <conditionalFormatting sqref="AI1593">
    <cfRule type="cellIs" dxfId="0" priority="1164" operator="equal">
      <formula>"未完成"</formula>
    </cfRule>
  </conditionalFormatting>
  <conditionalFormatting sqref="AL1593">
    <cfRule type="cellIs" dxfId="1" priority="1197" operator="equal">
      <formula>"未完成"</formula>
    </cfRule>
    <cfRule type="cellIs" dxfId="0" priority="1208" operator="equal">
      <formula>"未完成"</formula>
    </cfRule>
  </conditionalFormatting>
  <conditionalFormatting sqref="AM1593">
    <cfRule type="cellIs" dxfId="0" priority="1186" operator="equal">
      <formula>"欠"</formula>
    </cfRule>
  </conditionalFormatting>
  <conditionalFormatting sqref="V1594">
    <cfRule type="cellIs" dxfId="0" priority="1087" operator="equal">
      <formula>"欠"</formula>
    </cfRule>
  </conditionalFormatting>
  <conditionalFormatting sqref="AI1594">
    <cfRule type="cellIs" dxfId="0" priority="1083" operator="equal">
      <formula>"未完成"</formula>
    </cfRule>
  </conditionalFormatting>
  <conditionalFormatting sqref="AM1594">
    <cfRule type="cellIs" dxfId="0" priority="1091" operator="equal">
      <formula>"欠"</formula>
    </cfRule>
  </conditionalFormatting>
  <conditionalFormatting sqref="V1595">
    <cfRule type="cellIs" dxfId="0" priority="1086" operator="equal">
      <formula>"欠"</formula>
    </cfRule>
  </conditionalFormatting>
  <conditionalFormatting sqref="AI1595">
    <cfRule type="cellIs" dxfId="0" priority="1082" operator="equal">
      <formula>"未完成"</formula>
    </cfRule>
  </conditionalFormatting>
  <conditionalFormatting sqref="AM1595">
    <cfRule type="cellIs" dxfId="0" priority="1090" operator="equal">
      <formula>"欠"</formula>
    </cfRule>
  </conditionalFormatting>
  <conditionalFormatting sqref="Q1597">
    <cfRule type="cellIs" dxfId="0" priority="1485" operator="equal">
      <formula>"欠"</formula>
    </cfRule>
  </conditionalFormatting>
  <conditionalFormatting sqref="R1597">
    <cfRule type="containsText" dxfId="0" priority="1415" operator="between" text="欠">
      <formula>NOT(ISERROR(SEARCH("欠",R1597)))</formula>
    </cfRule>
    <cfRule type="cellIs" dxfId="0" priority="1422" operator="equal">
      <formula>"欠"</formula>
    </cfRule>
  </conditionalFormatting>
  <conditionalFormatting sqref="T1597:U1597">
    <cfRule type="containsText" dxfId="0" priority="1429" operator="between" text="欠">
      <formula>NOT(ISERROR(SEARCH("欠",T1597)))</formula>
    </cfRule>
    <cfRule type="cellIs" dxfId="0" priority="1443" operator="equal">
      <formula>"欠"</formula>
    </cfRule>
  </conditionalFormatting>
  <conditionalFormatting sqref="V1597">
    <cfRule type="cellIs" dxfId="0" priority="1457" operator="equal">
      <formula>"欠"</formula>
    </cfRule>
  </conditionalFormatting>
  <conditionalFormatting sqref="AI1597">
    <cfRule type="cellIs" dxfId="0" priority="1450" operator="equal">
      <formula>"未完成"</formula>
    </cfRule>
  </conditionalFormatting>
  <conditionalFormatting sqref="AL1597">
    <cfRule type="cellIs" dxfId="1" priority="1471" operator="equal">
      <formula>"未完成"</formula>
    </cfRule>
    <cfRule type="cellIs" dxfId="0" priority="1478" operator="equal">
      <formula>"未完成"</formula>
    </cfRule>
  </conditionalFormatting>
  <conditionalFormatting sqref="AM1597">
    <cfRule type="cellIs" dxfId="0" priority="1464" operator="equal">
      <formula>"欠"</formula>
    </cfRule>
  </conditionalFormatting>
  <conditionalFormatting sqref="S1598">
    <cfRule type="cellIs" dxfId="0" priority="4661" operator="equal">
      <formula>"欠"</formula>
    </cfRule>
  </conditionalFormatting>
  <conditionalFormatting sqref="T1598:U1598">
    <cfRule type="containsText" dxfId="0" priority="4659" operator="between" text="欠">
      <formula>NOT(ISERROR(SEARCH("欠",T1598)))</formula>
    </cfRule>
    <cfRule type="cellIs" dxfId="0" priority="4660" operator="equal">
      <formula>"欠"</formula>
    </cfRule>
  </conditionalFormatting>
  <conditionalFormatting sqref="V1598">
    <cfRule type="cellIs" dxfId="0" priority="4686" operator="equal">
      <formula>"欠"</formula>
    </cfRule>
  </conditionalFormatting>
  <conditionalFormatting sqref="AG1598:AH1598">
    <cfRule type="cellIs" dxfId="0" priority="4687" operator="equal">
      <formula>"未完成"</formula>
    </cfRule>
  </conditionalFormatting>
  <conditionalFormatting sqref="AL1598:AM1598">
    <cfRule type="cellIs" dxfId="1" priority="4684" operator="equal">
      <formula>"未完成"</formula>
    </cfRule>
    <cfRule type="cellIs" dxfId="0" priority="4685" operator="equal">
      <formula>"未完成"</formula>
    </cfRule>
  </conditionalFormatting>
  <conditionalFormatting sqref="T1599:U1599">
    <cfRule type="containsText" dxfId="0" priority="519" operator="between" text="欠">
      <formula>NOT(ISERROR(SEARCH("欠",T1599)))</formula>
    </cfRule>
    <cfRule type="cellIs" dxfId="0" priority="520" operator="equal">
      <formula>"欠"</formula>
    </cfRule>
  </conditionalFormatting>
  <conditionalFormatting sqref="V1599">
    <cfRule type="cellIs" dxfId="0" priority="522" operator="equal">
      <formula>"欠"</formula>
    </cfRule>
  </conditionalFormatting>
  <conditionalFormatting sqref="AI1599">
    <cfRule type="cellIs" dxfId="0" priority="521" operator="equal">
      <formula>"未完成"</formula>
    </cfRule>
  </conditionalFormatting>
  <conditionalFormatting sqref="AL1599">
    <cfRule type="cellIs" dxfId="1" priority="524" operator="equal">
      <formula>"未完成"</formula>
    </cfRule>
    <cfRule type="cellIs" dxfId="0" priority="525" operator="equal">
      <formula>"未完成"</formula>
    </cfRule>
  </conditionalFormatting>
  <conditionalFormatting sqref="AM1599">
    <cfRule type="cellIs" dxfId="0" priority="523" operator="equal">
      <formula>"欠"</formula>
    </cfRule>
  </conditionalFormatting>
  <conditionalFormatting sqref="Q1600">
    <cfRule type="cellIs" dxfId="0" priority="1224" operator="equal">
      <formula>"欠"</formula>
    </cfRule>
  </conditionalFormatting>
  <conditionalFormatting sqref="R1600">
    <cfRule type="containsText" dxfId="0" priority="1114" operator="between" text="欠">
      <formula>NOT(ISERROR(SEARCH("欠",R1600)))</formula>
    </cfRule>
    <cfRule type="cellIs" dxfId="0" priority="1125" operator="equal">
      <formula>"欠"</formula>
    </cfRule>
  </conditionalFormatting>
  <conditionalFormatting sqref="T1600:U1600">
    <cfRule type="containsText" dxfId="0" priority="1136" operator="between" text="欠">
      <formula>NOT(ISERROR(SEARCH("欠",T1600)))</formula>
    </cfRule>
    <cfRule type="cellIs" dxfId="0" priority="1158" operator="equal">
      <formula>"欠"</formula>
    </cfRule>
  </conditionalFormatting>
  <conditionalFormatting sqref="V1600">
    <cfRule type="cellIs" dxfId="0" priority="1180" operator="equal">
      <formula>"欠"</formula>
    </cfRule>
  </conditionalFormatting>
  <conditionalFormatting sqref="AI1600">
    <cfRule type="cellIs" dxfId="0" priority="1169" operator="equal">
      <formula>"未完成"</formula>
    </cfRule>
  </conditionalFormatting>
  <conditionalFormatting sqref="AL1600">
    <cfRule type="cellIs" dxfId="1" priority="1202" operator="equal">
      <formula>"未完成"</formula>
    </cfRule>
    <cfRule type="cellIs" dxfId="0" priority="1213" operator="equal">
      <formula>"未完成"</formula>
    </cfRule>
  </conditionalFormatting>
  <conditionalFormatting sqref="AM1600">
    <cfRule type="cellIs" dxfId="0" priority="1191" operator="equal">
      <formula>"欠"</formula>
    </cfRule>
  </conditionalFormatting>
  <conditionalFormatting sqref="Q1602">
    <cfRule type="cellIs" dxfId="0" priority="2513" operator="equal">
      <formula>"欠"</formula>
    </cfRule>
  </conditionalFormatting>
  <conditionalFormatting sqref="T1602:U1602">
    <cfRule type="containsText" dxfId="0" priority="2505" operator="between" text="欠">
      <formula>NOT(ISERROR(SEARCH("欠",T1602)))</formula>
    </cfRule>
    <cfRule type="cellIs" dxfId="0" priority="2507" operator="equal">
      <formula>"欠"</formula>
    </cfRule>
  </conditionalFormatting>
  <conditionalFormatting sqref="V1602">
    <cfRule type="cellIs" dxfId="0" priority="2509" operator="equal">
      <formula>"欠"</formula>
    </cfRule>
  </conditionalFormatting>
  <conditionalFormatting sqref="AI1602">
    <cfRule type="cellIs" dxfId="0" priority="2508" operator="equal">
      <formula>"未完成"</formula>
    </cfRule>
  </conditionalFormatting>
  <conditionalFormatting sqref="AL1602">
    <cfRule type="cellIs" dxfId="1" priority="2511" operator="equal">
      <formula>"未完成"</formula>
    </cfRule>
    <cfRule type="cellIs" dxfId="0" priority="2512" operator="equal">
      <formula>"未完成"</formula>
    </cfRule>
  </conditionalFormatting>
  <conditionalFormatting sqref="AM1602">
    <cfRule type="cellIs" dxfId="0" priority="2510" operator="equal">
      <formula>"欠"</formula>
    </cfRule>
  </conditionalFormatting>
  <conditionalFormatting sqref="AI1603">
    <cfRule type="cellIs" dxfId="0" priority="507" operator="equal">
      <formula>"未完成"</formula>
    </cfRule>
  </conditionalFormatting>
  <conditionalFormatting sqref="AL1603">
    <cfRule type="cellIs" dxfId="1" priority="510" operator="equal">
      <formula>"未完成"</formula>
    </cfRule>
    <cfRule type="cellIs" dxfId="0" priority="511" operator="equal">
      <formula>"未完成"</formula>
    </cfRule>
  </conditionalFormatting>
  <conditionalFormatting sqref="AM1603">
    <cfRule type="cellIs" dxfId="0" priority="509" operator="equal">
      <formula>"欠"</formula>
    </cfRule>
  </conditionalFormatting>
  <conditionalFormatting sqref="AI1604">
    <cfRule type="cellIs" dxfId="0" priority="497" operator="equal">
      <formula>"未完成"</formula>
    </cfRule>
  </conditionalFormatting>
  <conditionalFormatting sqref="AL1604">
    <cfRule type="cellIs" dxfId="1" priority="500" operator="equal">
      <formula>"未完成"</formula>
    </cfRule>
    <cfRule type="cellIs" dxfId="0" priority="501" operator="equal">
      <formula>"未完成"</formula>
    </cfRule>
  </conditionalFormatting>
  <conditionalFormatting sqref="AM1604">
    <cfRule type="cellIs" dxfId="0" priority="499" operator="equal">
      <formula>"欠"</formula>
    </cfRule>
  </conditionalFormatting>
  <conditionalFormatting sqref="Q1605">
    <cfRule type="cellIs" dxfId="0" priority="3928" operator="equal">
      <formula>"欠"</formula>
    </cfRule>
  </conditionalFormatting>
  <conditionalFormatting sqref="V1605">
    <cfRule type="cellIs" dxfId="0" priority="3920" operator="equal">
      <formula>"欠"</formula>
    </cfRule>
  </conditionalFormatting>
  <conditionalFormatting sqref="AI1605">
    <cfRule type="cellIs" dxfId="0" priority="3918" operator="equal">
      <formula>"未完成"</formula>
    </cfRule>
  </conditionalFormatting>
  <conditionalFormatting sqref="AL1605">
    <cfRule type="cellIs" dxfId="1" priority="3924" operator="equal">
      <formula>"未完成"</formula>
    </cfRule>
    <cfRule type="cellIs" dxfId="0" priority="3926" operator="equal">
      <formula>"未完成"</formula>
    </cfRule>
  </conditionalFormatting>
  <conditionalFormatting sqref="AM1605">
    <cfRule type="cellIs" dxfId="0" priority="3922" operator="equal">
      <formula>"欠"</formula>
    </cfRule>
  </conditionalFormatting>
  <conditionalFormatting sqref="Q1606">
    <cfRule type="cellIs" dxfId="0" priority="3026" operator="equal">
      <formula>"欠"</formula>
    </cfRule>
  </conditionalFormatting>
  <conditionalFormatting sqref="AI1606">
    <cfRule type="cellIs" dxfId="0" priority="2976" operator="equal">
      <formula>"未完成"</formula>
    </cfRule>
  </conditionalFormatting>
  <conditionalFormatting sqref="AL1606">
    <cfRule type="cellIs" dxfId="1" priority="3006" operator="equal">
      <formula>"未完成"</formula>
    </cfRule>
    <cfRule type="cellIs" dxfId="0" priority="3016" operator="equal">
      <formula>"未完成"</formula>
    </cfRule>
  </conditionalFormatting>
  <conditionalFormatting sqref="AM1606">
    <cfRule type="cellIs" dxfId="0" priority="2996" operator="equal">
      <formula>"欠"</formula>
    </cfRule>
  </conditionalFormatting>
  <conditionalFormatting sqref="Q1607">
    <cfRule type="cellIs" dxfId="0" priority="3025" operator="equal">
      <formula>"欠"</formula>
    </cfRule>
  </conditionalFormatting>
  <conditionalFormatting sqref="AI1607">
    <cfRule type="cellIs" dxfId="0" priority="2975" operator="equal">
      <formula>"未完成"</formula>
    </cfRule>
  </conditionalFormatting>
  <conditionalFormatting sqref="AL1607">
    <cfRule type="cellIs" dxfId="1" priority="3005" operator="equal">
      <formula>"未完成"</formula>
    </cfRule>
    <cfRule type="cellIs" dxfId="0" priority="3015" operator="equal">
      <formula>"未完成"</formula>
    </cfRule>
  </conditionalFormatting>
  <conditionalFormatting sqref="AM1607">
    <cfRule type="cellIs" dxfId="0" priority="2995" operator="equal">
      <formula>"欠"</formula>
    </cfRule>
  </conditionalFormatting>
  <conditionalFormatting sqref="Q1608">
    <cfRule type="cellIs" dxfId="0" priority="3024" operator="equal">
      <formula>"欠"</formula>
    </cfRule>
  </conditionalFormatting>
  <conditionalFormatting sqref="AI1608">
    <cfRule type="cellIs" dxfId="0" priority="2974" operator="equal">
      <formula>"未完成"</formula>
    </cfRule>
  </conditionalFormatting>
  <conditionalFormatting sqref="AL1608">
    <cfRule type="cellIs" dxfId="1" priority="3004" operator="equal">
      <formula>"未完成"</formula>
    </cfRule>
    <cfRule type="cellIs" dxfId="0" priority="3014" operator="equal">
      <formula>"未完成"</formula>
    </cfRule>
  </conditionalFormatting>
  <conditionalFormatting sqref="AM1608">
    <cfRule type="cellIs" dxfId="0" priority="2994" operator="equal">
      <formula>"欠"</formula>
    </cfRule>
  </conditionalFormatting>
  <conditionalFormatting sqref="Q1609">
    <cfRule type="cellIs" dxfId="0" priority="3023" operator="equal">
      <formula>"欠"</formula>
    </cfRule>
  </conditionalFormatting>
  <conditionalFormatting sqref="AI1609">
    <cfRule type="cellIs" dxfId="0" priority="2973" operator="equal">
      <formula>"未完成"</formula>
    </cfRule>
  </conditionalFormatting>
  <conditionalFormatting sqref="AL1609">
    <cfRule type="cellIs" dxfId="1" priority="3003" operator="equal">
      <formula>"未完成"</formula>
    </cfRule>
    <cfRule type="cellIs" dxfId="0" priority="3013" operator="equal">
      <formula>"未完成"</formula>
    </cfRule>
  </conditionalFormatting>
  <conditionalFormatting sqref="AM1609">
    <cfRule type="cellIs" dxfId="0" priority="2993" operator="equal">
      <formula>"欠"</formula>
    </cfRule>
  </conditionalFormatting>
  <conditionalFormatting sqref="Q1610">
    <cfRule type="cellIs" dxfId="0" priority="3927" operator="equal">
      <formula>"欠"</formula>
    </cfRule>
  </conditionalFormatting>
  <conditionalFormatting sqref="V1610">
    <cfRule type="cellIs" dxfId="0" priority="3919" operator="equal">
      <formula>"欠"</formula>
    </cfRule>
  </conditionalFormatting>
  <conditionalFormatting sqref="AI1610">
    <cfRule type="cellIs" dxfId="0" priority="3917" operator="equal">
      <formula>"未完成"</formula>
    </cfRule>
  </conditionalFormatting>
  <conditionalFormatting sqref="AL1610">
    <cfRule type="cellIs" dxfId="1" priority="3923" operator="equal">
      <formula>"未完成"</formula>
    </cfRule>
    <cfRule type="cellIs" dxfId="0" priority="3925" operator="equal">
      <formula>"未完成"</formula>
    </cfRule>
  </conditionalFormatting>
  <conditionalFormatting sqref="AM1610">
    <cfRule type="cellIs" dxfId="0" priority="3921" operator="equal">
      <formula>"欠"</formula>
    </cfRule>
  </conditionalFormatting>
  <conditionalFormatting sqref="V1611">
    <cfRule type="cellIs" dxfId="0" priority="1326" operator="equal">
      <formula>"欠"</formula>
    </cfRule>
  </conditionalFormatting>
  <conditionalFormatting sqref="AI1611">
    <cfRule type="cellIs" dxfId="0" priority="1324" operator="equal">
      <formula>"未完成"</formula>
    </cfRule>
  </conditionalFormatting>
  <conditionalFormatting sqref="AL1611">
    <cfRule type="cellIs" dxfId="1" priority="1330" operator="equal">
      <formula>"未完成"</formula>
    </cfRule>
    <cfRule type="cellIs" dxfId="0" priority="1332" operator="equal">
      <formula>"未完成"</formula>
    </cfRule>
  </conditionalFormatting>
  <conditionalFormatting sqref="AM1611">
    <cfRule type="cellIs" dxfId="0" priority="1328" operator="equal">
      <formula>"欠"</formula>
    </cfRule>
  </conditionalFormatting>
  <conditionalFormatting sqref="V1612">
    <cfRule type="cellIs" dxfId="0" priority="1325" operator="equal">
      <formula>"欠"</formula>
    </cfRule>
  </conditionalFormatting>
  <conditionalFormatting sqref="AI1612">
    <cfRule type="cellIs" dxfId="0" priority="1323" operator="equal">
      <formula>"未完成"</formula>
    </cfRule>
  </conditionalFormatting>
  <conditionalFormatting sqref="AL1612">
    <cfRule type="cellIs" dxfId="1" priority="1329" operator="equal">
      <formula>"未完成"</formula>
    </cfRule>
    <cfRule type="cellIs" dxfId="0" priority="1331" operator="equal">
      <formula>"未完成"</formula>
    </cfRule>
  </conditionalFormatting>
  <conditionalFormatting sqref="AM1612">
    <cfRule type="cellIs" dxfId="0" priority="1327" operator="equal">
      <formula>"欠"</formula>
    </cfRule>
  </conditionalFormatting>
  <conditionalFormatting sqref="Q1613">
    <cfRule type="cellIs" dxfId="0" priority="815" operator="equal">
      <formula>"欠"</formula>
    </cfRule>
  </conditionalFormatting>
  <conditionalFormatting sqref="V1613">
    <cfRule type="cellIs" dxfId="0" priority="795" operator="equal">
      <formula>"欠"</formula>
    </cfRule>
  </conditionalFormatting>
  <conditionalFormatting sqref="AI1613">
    <cfRule type="cellIs" dxfId="0" priority="790" operator="equal">
      <formula>"未完成"</formula>
    </cfRule>
  </conditionalFormatting>
  <conditionalFormatting sqref="AL1613">
    <cfRule type="cellIs" dxfId="1" priority="805" operator="equal">
      <formula>"未完成"</formula>
    </cfRule>
    <cfRule type="cellIs" dxfId="0" priority="810" operator="equal">
      <formula>"未完成"</formula>
    </cfRule>
  </conditionalFormatting>
  <conditionalFormatting sqref="AM1613">
    <cfRule type="cellIs" dxfId="0" priority="800" operator="equal">
      <formula>"欠"</formula>
    </cfRule>
  </conditionalFormatting>
  <conditionalFormatting sqref="Q1614">
    <cfRule type="cellIs" dxfId="0" priority="814" operator="equal">
      <formula>"欠"</formula>
    </cfRule>
  </conditionalFormatting>
  <conditionalFormatting sqref="V1614">
    <cfRule type="cellIs" dxfId="0" priority="794" operator="equal">
      <formula>"欠"</formula>
    </cfRule>
  </conditionalFormatting>
  <conditionalFormatting sqref="AI1614">
    <cfRule type="cellIs" dxfId="0" priority="789" operator="equal">
      <formula>"未完成"</formula>
    </cfRule>
  </conditionalFormatting>
  <conditionalFormatting sqref="AL1614">
    <cfRule type="cellIs" dxfId="1" priority="804" operator="equal">
      <formula>"未完成"</formula>
    </cfRule>
    <cfRule type="cellIs" dxfId="0" priority="809" operator="equal">
      <formula>"未完成"</formula>
    </cfRule>
  </conditionalFormatting>
  <conditionalFormatting sqref="AM1614">
    <cfRule type="cellIs" dxfId="0" priority="799" operator="equal">
      <formula>"欠"</formula>
    </cfRule>
  </conditionalFormatting>
  <conditionalFormatting sqref="Q1615">
    <cfRule type="cellIs" dxfId="0" priority="813" operator="equal">
      <formula>"欠"</formula>
    </cfRule>
  </conditionalFormatting>
  <conditionalFormatting sqref="V1615">
    <cfRule type="cellIs" dxfId="0" priority="793" operator="equal">
      <formula>"欠"</formula>
    </cfRule>
  </conditionalFormatting>
  <conditionalFormatting sqref="AI1615">
    <cfRule type="cellIs" dxfId="0" priority="788" operator="equal">
      <formula>"未完成"</formula>
    </cfRule>
  </conditionalFormatting>
  <conditionalFormatting sqref="AL1615">
    <cfRule type="cellIs" dxfId="1" priority="803" operator="equal">
      <formula>"未完成"</formula>
    </cfRule>
    <cfRule type="cellIs" dxfId="0" priority="808" operator="equal">
      <formula>"未完成"</formula>
    </cfRule>
  </conditionalFormatting>
  <conditionalFormatting sqref="AM1615">
    <cfRule type="cellIs" dxfId="0" priority="798" operator="equal">
      <formula>"欠"</formula>
    </cfRule>
  </conditionalFormatting>
  <conditionalFormatting sqref="Q1617">
    <cfRule type="cellIs" dxfId="0" priority="5437" operator="equal">
      <formula>"欠"</formula>
    </cfRule>
  </conditionalFormatting>
  <conditionalFormatting sqref="R1617">
    <cfRule type="containsText" dxfId="0" priority="5269" operator="between" text="欠">
      <formula>NOT(ISERROR(SEARCH("欠",R1617)))</formula>
    </cfRule>
    <cfRule type="cellIs" dxfId="0" priority="5293" operator="equal">
      <formula>"欠"</formula>
    </cfRule>
  </conditionalFormatting>
  <conditionalFormatting sqref="AI1617">
    <cfRule type="cellIs" dxfId="0" priority="5377" operator="equal">
      <formula>"未完成"</formula>
    </cfRule>
  </conditionalFormatting>
  <conditionalFormatting sqref="AL1617">
    <cfRule type="cellIs" dxfId="1" priority="5413" operator="equal">
      <formula>"未完成"</formula>
    </cfRule>
    <cfRule type="cellIs" dxfId="0" priority="5425" operator="equal">
      <formula>"未完成"</formula>
    </cfRule>
  </conditionalFormatting>
  <conditionalFormatting sqref="AM1617">
    <cfRule type="cellIs" dxfId="0" priority="5401" operator="equal">
      <formula>"欠"</formula>
    </cfRule>
  </conditionalFormatting>
  <conditionalFormatting sqref="Q1618">
    <cfRule type="cellIs" dxfId="0" priority="677" operator="equal">
      <formula>"欠"</formula>
    </cfRule>
  </conditionalFormatting>
  <conditionalFormatting sqref="R1618">
    <cfRule type="containsText" dxfId="0" priority="667" operator="between" text="欠">
      <formula>NOT(ISERROR(SEARCH("欠",R1618)))</formula>
    </cfRule>
    <cfRule type="cellIs" dxfId="0" priority="668" operator="equal">
      <formula>"欠"</formula>
    </cfRule>
  </conditionalFormatting>
  <conditionalFormatting sqref="T1618:U1618">
    <cfRule type="containsText" dxfId="0" priority="669" operator="between" text="欠">
      <formula>NOT(ISERROR(SEARCH("欠",T1618)))</formula>
    </cfRule>
    <cfRule type="cellIs" dxfId="0" priority="671" operator="equal">
      <formula>"欠"</formula>
    </cfRule>
  </conditionalFormatting>
  <conditionalFormatting sqref="V1618">
    <cfRule type="cellIs" dxfId="0" priority="673" operator="equal">
      <formula>"欠"</formula>
    </cfRule>
  </conditionalFormatting>
  <conditionalFormatting sqref="AI1618">
    <cfRule type="cellIs" dxfId="0" priority="672" operator="equal">
      <formula>"未完成"</formula>
    </cfRule>
  </conditionalFormatting>
  <conditionalFormatting sqref="AL1618">
    <cfRule type="cellIs" dxfId="1" priority="675" operator="equal">
      <formula>"未完成"</formula>
    </cfRule>
    <cfRule type="cellIs" dxfId="0" priority="676" operator="equal">
      <formula>"未完成"</formula>
    </cfRule>
  </conditionalFormatting>
  <conditionalFormatting sqref="AM1618">
    <cfRule type="cellIs" dxfId="0" priority="674" operator="equal">
      <formula>"欠"</formula>
    </cfRule>
  </conditionalFormatting>
  <conditionalFormatting sqref="Q1619">
    <cfRule type="cellIs" dxfId="0" priority="3327" operator="equal">
      <formula>"欠"</formula>
    </cfRule>
  </conditionalFormatting>
  <conditionalFormatting sqref="V1619">
    <cfRule type="cellIs" dxfId="0" priority="3323" operator="equal">
      <formula>"欠"</formula>
    </cfRule>
  </conditionalFormatting>
  <conditionalFormatting sqref="AI1619">
    <cfRule type="cellIs" dxfId="0" priority="3322" operator="equal">
      <formula>"未完成"</formula>
    </cfRule>
  </conditionalFormatting>
  <conditionalFormatting sqref="AL1619">
    <cfRule type="cellIs" dxfId="1" priority="3325" operator="equal">
      <formula>"未完成"</formula>
    </cfRule>
    <cfRule type="cellIs" dxfId="0" priority="3326" operator="equal">
      <formula>"未完成"</formula>
    </cfRule>
  </conditionalFormatting>
  <conditionalFormatting sqref="AM1619">
    <cfRule type="cellIs" dxfId="0" priority="3324" operator="equal">
      <formula>"欠"</formula>
    </cfRule>
  </conditionalFormatting>
  <conditionalFormatting sqref="R1620">
    <cfRule type="containsText" dxfId="0" priority="366" operator="between" text="欠">
      <formula>NOT(ISERROR(SEARCH("欠",R1620)))</formula>
    </cfRule>
    <cfRule type="cellIs" dxfId="0" priority="367" operator="equal">
      <formula>"欠"</formula>
    </cfRule>
  </conditionalFormatting>
  <conditionalFormatting sqref="S1620">
    <cfRule type="cellIs" dxfId="0" priority="661" operator="equal">
      <formula>"欠"</formula>
    </cfRule>
  </conditionalFormatting>
  <conditionalFormatting sqref="T1620:U1620">
    <cfRule type="containsText" dxfId="0" priority="368" operator="between" text="欠">
      <formula>NOT(ISERROR(SEARCH("欠",T1620)))</formula>
    </cfRule>
    <cfRule type="cellIs" dxfId="0" priority="369" operator="equal">
      <formula>"欠"</formula>
    </cfRule>
  </conditionalFormatting>
  <conditionalFormatting sqref="V1620">
    <cfRule type="cellIs" dxfId="0" priority="662" operator="equal">
      <formula>"欠"</formula>
    </cfRule>
  </conditionalFormatting>
  <conditionalFormatting sqref="AL1620:AM1620">
    <cfRule type="cellIs" dxfId="1" priority="663" operator="equal">
      <formula>"未完成"</formula>
    </cfRule>
    <cfRule type="cellIs" dxfId="0" priority="664" operator="equal">
      <formula>"未完成"</formula>
    </cfRule>
  </conditionalFormatting>
  <conditionalFormatting sqref="Q1621">
    <cfRule type="cellIs" dxfId="0" priority="2666" operator="equal">
      <formula>"欠"</formula>
    </cfRule>
  </conditionalFormatting>
  <conditionalFormatting sqref="R1621">
    <cfRule type="containsText" dxfId="0" priority="2546" operator="between" text="欠">
      <formula>NOT(ISERROR(SEARCH("欠",R1621)))</formula>
    </cfRule>
    <cfRule type="cellIs" dxfId="0" priority="2558" operator="equal">
      <formula>"欠"</formula>
    </cfRule>
  </conditionalFormatting>
  <conditionalFormatting sqref="T1621:U1621">
    <cfRule type="containsText" dxfId="0" priority="2570" operator="between" text="欠">
      <formula>NOT(ISERROR(SEARCH("欠",T1621)))</formula>
    </cfRule>
    <cfRule type="cellIs" dxfId="0" priority="2594" operator="equal">
      <formula>"欠"</formula>
    </cfRule>
  </conditionalFormatting>
  <conditionalFormatting sqref="V1621">
    <cfRule type="cellIs" dxfId="0" priority="2618" operator="equal">
      <formula>"欠"</formula>
    </cfRule>
  </conditionalFormatting>
  <conditionalFormatting sqref="AI1621">
    <cfRule type="cellIs" dxfId="0" priority="2606" operator="equal">
      <formula>"未完成"</formula>
    </cfRule>
  </conditionalFormatting>
  <conditionalFormatting sqref="AL1621">
    <cfRule type="cellIs" dxfId="1" priority="2642" operator="equal">
      <formula>"未完成"</formula>
    </cfRule>
    <cfRule type="cellIs" dxfId="0" priority="2654" operator="equal">
      <formula>"未完成"</formula>
    </cfRule>
  </conditionalFormatting>
  <conditionalFormatting sqref="AM1621">
    <cfRule type="cellIs" dxfId="0" priority="2630" operator="equal">
      <formula>"欠"</formula>
    </cfRule>
  </conditionalFormatting>
  <conditionalFormatting sqref="V1622">
    <cfRule type="cellIs" dxfId="0" priority="1178" operator="equal">
      <formula>"欠"</formula>
    </cfRule>
  </conditionalFormatting>
  <conditionalFormatting sqref="AI1622">
    <cfRule type="cellIs" dxfId="0" priority="1167" operator="equal">
      <formula>"未完成"</formula>
    </cfRule>
  </conditionalFormatting>
  <conditionalFormatting sqref="AM1622">
    <cfRule type="cellIs" dxfId="0" priority="1189" operator="equal">
      <formula>"欠"</formula>
    </cfRule>
  </conditionalFormatting>
  <conditionalFormatting sqref="V1623">
    <cfRule type="cellIs" dxfId="0" priority="1177" operator="equal">
      <formula>"欠"</formula>
    </cfRule>
  </conditionalFormatting>
  <conditionalFormatting sqref="AI1623">
    <cfRule type="cellIs" dxfId="0" priority="1166" operator="equal">
      <formula>"未完成"</formula>
    </cfRule>
  </conditionalFormatting>
  <conditionalFormatting sqref="AM1623">
    <cfRule type="cellIs" dxfId="0" priority="1188" operator="equal">
      <formula>"欠"</formula>
    </cfRule>
  </conditionalFormatting>
  <conditionalFormatting sqref="V1624">
    <cfRule type="cellIs" dxfId="0" priority="1176" operator="equal">
      <formula>"欠"</formula>
    </cfRule>
  </conditionalFormatting>
  <conditionalFormatting sqref="AI1624">
    <cfRule type="cellIs" dxfId="0" priority="1165" operator="equal">
      <formula>"未完成"</formula>
    </cfRule>
  </conditionalFormatting>
  <conditionalFormatting sqref="AM1624">
    <cfRule type="cellIs" dxfId="0" priority="1187" operator="equal">
      <formula>"欠"</formula>
    </cfRule>
  </conditionalFormatting>
  <conditionalFormatting sqref="Q1625">
    <cfRule type="cellIs" dxfId="0" priority="892" operator="equal">
      <formula>"欠"</formula>
    </cfRule>
  </conditionalFormatting>
  <conditionalFormatting sqref="R1625">
    <cfRule type="containsText" dxfId="0" priority="882" operator="between" text="欠">
      <formula>NOT(ISERROR(SEARCH("欠",R1625)))</formula>
    </cfRule>
    <cfRule type="cellIs" dxfId="0" priority="883" operator="equal">
      <formula>"欠"</formula>
    </cfRule>
  </conditionalFormatting>
  <conditionalFormatting sqref="T1625:U1625">
    <cfRule type="containsText" dxfId="0" priority="884" operator="between" text="欠">
      <formula>NOT(ISERROR(SEARCH("欠",T1625)))</formula>
    </cfRule>
    <cfRule type="cellIs" dxfId="0" priority="886" operator="equal">
      <formula>"欠"</formula>
    </cfRule>
  </conditionalFormatting>
  <conditionalFormatting sqref="V1625">
    <cfRule type="cellIs" dxfId="0" priority="888" operator="equal">
      <formula>"欠"</formula>
    </cfRule>
  </conditionalFormatting>
  <conditionalFormatting sqref="AI1625">
    <cfRule type="cellIs" dxfId="0" priority="887" operator="equal">
      <formula>"未完成"</formula>
    </cfRule>
  </conditionalFormatting>
  <conditionalFormatting sqref="AL1625">
    <cfRule type="cellIs" dxfId="1" priority="890" operator="equal">
      <formula>"未完成"</formula>
    </cfRule>
    <cfRule type="cellIs" dxfId="0" priority="891" operator="equal">
      <formula>"未完成"</formula>
    </cfRule>
  </conditionalFormatting>
  <conditionalFormatting sqref="AM1625">
    <cfRule type="cellIs" dxfId="0" priority="889" operator="equal">
      <formula>"欠"</formula>
    </cfRule>
  </conditionalFormatting>
  <conditionalFormatting sqref="Q1626">
    <cfRule type="cellIs" dxfId="0" priority="1779" operator="equal">
      <formula>"欠"</formula>
    </cfRule>
  </conditionalFormatting>
  <conditionalFormatting sqref="V1626">
    <cfRule type="cellIs" dxfId="0" priority="1771" operator="equal">
      <formula>"欠"</formula>
    </cfRule>
  </conditionalFormatting>
  <conditionalFormatting sqref="AI1626">
    <cfRule type="cellIs" dxfId="0" priority="1769" operator="equal">
      <formula>"未完成"</formula>
    </cfRule>
  </conditionalFormatting>
  <conditionalFormatting sqref="AL1626">
    <cfRule type="cellIs" dxfId="1" priority="1775" operator="equal">
      <formula>"未完成"</formula>
    </cfRule>
    <cfRule type="cellIs" dxfId="0" priority="1777" operator="equal">
      <formula>"未完成"</formula>
    </cfRule>
  </conditionalFormatting>
  <conditionalFormatting sqref="AM1626">
    <cfRule type="cellIs" dxfId="0" priority="1773" operator="equal">
      <formula>"欠"</formula>
    </cfRule>
  </conditionalFormatting>
  <conditionalFormatting sqref="T1627:U1627">
    <cfRule type="containsText" dxfId="0" priority="1431" operator="between" text="欠">
      <formula>NOT(ISERROR(SEARCH("欠",T1627)))</formula>
    </cfRule>
    <cfRule type="cellIs" dxfId="0" priority="1445" operator="equal">
      <formula>"欠"</formula>
    </cfRule>
  </conditionalFormatting>
  <conditionalFormatting sqref="V1627">
    <cfRule type="cellIs" dxfId="0" priority="1459" operator="equal">
      <formula>"欠"</formula>
    </cfRule>
  </conditionalFormatting>
  <conditionalFormatting sqref="AI1627">
    <cfRule type="cellIs" dxfId="0" priority="1452" operator="equal">
      <formula>"未完成"</formula>
    </cfRule>
  </conditionalFormatting>
  <conditionalFormatting sqref="AL1627">
    <cfRule type="cellIs" dxfId="1" priority="1473" operator="equal">
      <formula>"未完成"</formula>
    </cfRule>
    <cfRule type="cellIs" dxfId="0" priority="1480" operator="equal">
      <formula>"未完成"</formula>
    </cfRule>
  </conditionalFormatting>
  <conditionalFormatting sqref="AM1627">
    <cfRule type="cellIs" dxfId="0" priority="1466" operator="equal">
      <formula>"欠"</formula>
    </cfRule>
  </conditionalFormatting>
  <conditionalFormatting sqref="T1628:U1628">
    <cfRule type="containsText" dxfId="0" priority="1430" operator="between" text="欠">
      <formula>NOT(ISERROR(SEARCH("欠",T1628)))</formula>
    </cfRule>
    <cfRule type="cellIs" dxfId="0" priority="1444" operator="equal">
      <formula>"欠"</formula>
    </cfRule>
  </conditionalFormatting>
  <conditionalFormatting sqref="V1628">
    <cfRule type="cellIs" dxfId="0" priority="1458" operator="equal">
      <formula>"欠"</formula>
    </cfRule>
  </conditionalFormatting>
  <conditionalFormatting sqref="AI1628">
    <cfRule type="cellIs" dxfId="0" priority="1451" operator="equal">
      <formula>"未完成"</formula>
    </cfRule>
  </conditionalFormatting>
  <conditionalFormatting sqref="AL1628">
    <cfRule type="cellIs" dxfId="1" priority="1472" operator="equal">
      <formula>"未完成"</formula>
    </cfRule>
    <cfRule type="cellIs" dxfId="0" priority="1479" operator="equal">
      <formula>"未完成"</formula>
    </cfRule>
  </conditionalFormatting>
  <conditionalFormatting sqref="AM1628">
    <cfRule type="cellIs" dxfId="0" priority="1465" operator="equal">
      <formula>"欠"</formula>
    </cfRule>
  </conditionalFormatting>
  <conditionalFormatting sqref="Q1629">
    <cfRule type="cellIs" dxfId="0" priority="1885" operator="equal">
      <formula>"欠"</formula>
    </cfRule>
  </conditionalFormatting>
  <conditionalFormatting sqref="V1629">
    <cfRule type="cellIs" dxfId="0" priority="1849" operator="equal">
      <formula>"欠"</formula>
    </cfRule>
  </conditionalFormatting>
  <conditionalFormatting sqref="AI1629">
    <cfRule type="cellIs" dxfId="0" priority="1840" operator="equal">
      <formula>"未完成"</formula>
    </cfRule>
  </conditionalFormatting>
  <conditionalFormatting sqref="AL1629">
    <cfRule type="cellIs" dxfId="1" priority="1867" operator="equal">
      <formula>"未完成"</formula>
    </cfRule>
    <cfRule type="cellIs" dxfId="0" priority="1876" operator="equal">
      <formula>"未完成"</formula>
    </cfRule>
  </conditionalFormatting>
  <conditionalFormatting sqref="AM1629">
    <cfRule type="cellIs" dxfId="0" priority="1858" operator="equal">
      <formula>"欠"</formula>
    </cfRule>
  </conditionalFormatting>
  <conditionalFormatting sqref="Q1631">
    <cfRule type="cellIs" dxfId="0" priority="688" operator="equal">
      <formula>"欠"</formula>
    </cfRule>
  </conditionalFormatting>
  <conditionalFormatting sqref="R1631">
    <cfRule type="containsText" dxfId="0" priority="679" operator="between" text="欠">
      <formula>NOT(ISERROR(SEARCH("欠",R1631)))</formula>
    </cfRule>
    <cfRule type="cellIs" dxfId="0" priority="680" operator="equal">
      <formula>"欠"</formula>
    </cfRule>
  </conditionalFormatting>
  <conditionalFormatting sqref="T1631:U1631">
    <cfRule type="containsText" dxfId="0" priority="681" operator="between" text="欠">
      <formula>NOT(ISERROR(SEARCH("欠",T1631)))</formula>
    </cfRule>
    <cfRule type="cellIs" dxfId="0" priority="682" operator="equal">
      <formula>"欠"</formula>
    </cfRule>
  </conditionalFormatting>
  <conditionalFormatting sqref="V1631">
    <cfRule type="cellIs" dxfId="0" priority="684" operator="equal">
      <formula>"欠"</formula>
    </cfRule>
  </conditionalFormatting>
  <conditionalFormatting sqref="AI1631">
    <cfRule type="cellIs" dxfId="0" priority="683" operator="equal">
      <formula>"未完成"</formula>
    </cfRule>
  </conditionalFormatting>
  <conditionalFormatting sqref="AL1631">
    <cfRule type="cellIs" dxfId="1" priority="686" operator="equal">
      <formula>"未完成"</formula>
    </cfRule>
    <cfRule type="cellIs" dxfId="0" priority="687" operator="equal">
      <formula>"未完成"</formula>
    </cfRule>
  </conditionalFormatting>
  <conditionalFormatting sqref="AM1631">
    <cfRule type="cellIs" dxfId="0" priority="685" operator="equal">
      <formula>"欠"</formula>
    </cfRule>
  </conditionalFormatting>
  <conditionalFormatting sqref="Q1633">
    <cfRule type="cellIs" dxfId="0" priority="1893" operator="equal">
      <formula>"欠"</formula>
    </cfRule>
  </conditionalFormatting>
  <conditionalFormatting sqref="AI1633">
    <cfRule type="cellIs" dxfId="0" priority="1848" operator="equal">
      <formula>"未完成"</formula>
    </cfRule>
  </conditionalFormatting>
  <conditionalFormatting sqref="AM1633">
    <cfRule type="cellIs" dxfId="0" priority="1866" operator="equal">
      <formula>"欠"</formula>
    </cfRule>
  </conditionalFormatting>
  <conditionalFormatting sqref="Q1634">
    <cfRule type="cellIs" dxfId="0" priority="1892" operator="equal">
      <formula>"欠"</formula>
    </cfRule>
  </conditionalFormatting>
  <conditionalFormatting sqref="AI1634">
    <cfRule type="cellIs" dxfId="0" priority="1847" operator="equal">
      <formula>"未完成"</formula>
    </cfRule>
  </conditionalFormatting>
  <conditionalFormatting sqref="AM1634">
    <cfRule type="cellIs" dxfId="0" priority="1865" operator="equal">
      <formula>"欠"</formula>
    </cfRule>
  </conditionalFormatting>
  <conditionalFormatting sqref="Q1635">
    <cfRule type="cellIs" dxfId="0" priority="1891" operator="equal">
      <formula>"欠"</formula>
    </cfRule>
  </conditionalFormatting>
  <conditionalFormatting sqref="AI1635">
    <cfRule type="cellIs" dxfId="0" priority="1846" operator="equal">
      <formula>"未完成"</formula>
    </cfRule>
  </conditionalFormatting>
  <conditionalFormatting sqref="AM1635">
    <cfRule type="cellIs" dxfId="0" priority="1864" operator="equal">
      <formula>"欠"</formula>
    </cfRule>
  </conditionalFormatting>
  <conditionalFormatting sqref="Q1636">
    <cfRule type="cellIs" dxfId="0" priority="1890" operator="equal">
      <formula>"欠"</formula>
    </cfRule>
  </conditionalFormatting>
  <conditionalFormatting sqref="AI1636">
    <cfRule type="cellIs" dxfId="0" priority="1845" operator="equal">
      <formula>"未完成"</formula>
    </cfRule>
  </conditionalFormatting>
  <conditionalFormatting sqref="AM1636">
    <cfRule type="cellIs" dxfId="0" priority="1863" operator="equal">
      <formula>"欠"</formula>
    </cfRule>
  </conditionalFormatting>
  <conditionalFormatting sqref="Q1637">
    <cfRule type="cellIs" dxfId="0" priority="1889" operator="equal">
      <formula>"欠"</formula>
    </cfRule>
  </conditionalFormatting>
  <conditionalFormatting sqref="AI1637">
    <cfRule type="cellIs" dxfId="0" priority="1844" operator="equal">
      <formula>"未完成"</formula>
    </cfRule>
  </conditionalFormatting>
  <conditionalFormatting sqref="AM1637">
    <cfRule type="cellIs" dxfId="0" priority="1862" operator="equal">
      <formula>"欠"</formula>
    </cfRule>
  </conditionalFormatting>
  <conditionalFormatting sqref="Q1638">
    <cfRule type="cellIs" dxfId="0" priority="1888" operator="equal">
      <formula>"欠"</formula>
    </cfRule>
  </conditionalFormatting>
  <conditionalFormatting sqref="AI1638">
    <cfRule type="cellIs" dxfId="0" priority="1843" operator="equal">
      <formula>"未完成"</formula>
    </cfRule>
  </conditionalFormatting>
  <conditionalFormatting sqref="AM1638">
    <cfRule type="cellIs" dxfId="0" priority="1861" operator="equal">
      <formula>"欠"</formula>
    </cfRule>
  </conditionalFormatting>
  <conditionalFormatting sqref="Q1639">
    <cfRule type="cellIs" dxfId="0" priority="1887" operator="equal">
      <formula>"欠"</formula>
    </cfRule>
  </conditionalFormatting>
  <conditionalFormatting sqref="AI1639">
    <cfRule type="cellIs" dxfId="0" priority="1842" operator="equal">
      <formula>"未完成"</formula>
    </cfRule>
  </conditionalFormatting>
  <conditionalFormatting sqref="AM1639">
    <cfRule type="cellIs" dxfId="0" priority="1860" operator="equal">
      <formula>"欠"</formula>
    </cfRule>
  </conditionalFormatting>
  <conditionalFormatting sqref="Q1640">
    <cfRule type="cellIs" dxfId="0" priority="1886" operator="equal">
      <formula>"欠"</formula>
    </cfRule>
  </conditionalFormatting>
  <conditionalFormatting sqref="AI1640">
    <cfRule type="cellIs" dxfId="0" priority="1841" operator="equal">
      <formula>"未完成"</formula>
    </cfRule>
  </conditionalFormatting>
  <conditionalFormatting sqref="AM1640">
    <cfRule type="cellIs" dxfId="0" priority="1859" operator="equal">
      <formula>"欠"</formula>
    </cfRule>
  </conditionalFormatting>
  <conditionalFormatting sqref="Q1641">
    <cfRule type="cellIs" dxfId="0" priority="2668" operator="equal">
      <formula>"欠"</formula>
    </cfRule>
  </conditionalFormatting>
  <conditionalFormatting sqref="S1641">
    <cfRule type="cellIs" dxfId="0" priority="2459" operator="equal">
      <formula>"欠"</formula>
    </cfRule>
  </conditionalFormatting>
  <conditionalFormatting sqref="T1641:U1641">
    <cfRule type="containsText" dxfId="0" priority="2572" operator="between" text="欠">
      <formula>NOT(ISERROR(SEARCH("欠",T1641)))</formula>
    </cfRule>
    <cfRule type="cellIs" dxfId="0" priority="2596" operator="equal">
      <formula>"欠"</formula>
    </cfRule>
  </conditionalFormatting>
  <conditionalFormatting sqref="V1641">
    <cfRule type="cellIs" dxfId="0" priority="2620" operator="equal">
      <formula>"欠"</formula>
    </cfRule>
  </conditionalFormatting>
  <conditionalFormatting sqref="AI1641">
    <cfRule type="cellIs" dxfId="0" priority="2608" operator="equal">
      <formula>"未完成"</formula>
    </cfRule>
  </conditionalFormatting>
  <conditionalFormatting sqref="AL1641">
    <cfRule type="cellIs" dxfId="1" priority="2644" operator="equal">
      <formula>"未完成"</formula>
    </cfRule>
    <cfRule type="cellIs" dxfId="0" priority="2656" operator="equal">
      <formula>"未完成"</formula>
    </cfRule>
  </conditionalFormatting>
  <conditionalFormatting sqref="AM1641">
    <cfRule type="cellIs" dxfId="0" priority="2632" operator="equal">
      <formula>"欠"</formula>
    </cfRule>
  </conditionalFormatting>
  <conditionalFormatting sqref="Q1642">
    <cfRule type="cellIs" dxfId="0" priority="3707" operator="equal">
      <formula>"欠"</formula>
    </cfRule>
  </conditionalFormatting>
  <conditionalFormatting sqref="R1642">
    <cfRule type="containsText" dxfId="0" priority="3700" operator="between" text="欠">
      <formula>NOT(ISERROR(SEARCH("欠",R1642)))</formula>
    </cfRule>
    <cfRule type="cellIs" dxfId="0" priority="3701" operator="equal">
      <formula>"欠"</formula>
    </cfRule>
  </conditionalFormatting>
  <conditionalFormatting sqref="S1642">
    <cfRule type="cellIs" dxfId="0" priority="3709" operator="equal">
      <formula>"欠"</formula>
    </cfRule>
  </conditionalFormatting>
  <conditionalFormatting sqref="T1642:U1642">
    <cfRule type="containsText" dxfId="0" priority="3708" operator="between" text="欠">
      <formula>NOT(ISERROR(SEARCH("欠",T1642)))</formula>
    </cfRule>
    <cfRule type="cellIs" dxfId="0" priority="3710" operator="equal">
      <formula>"欠"</formula>
    </cfRule>
  </conditionalFormatting>
  <conditionalFormatting sqref="V1642">
    <cfRule type="cellIs" dxfId="0" priority="3703" operator="equal">
      <formula>"欠"</formula>
    </cfRule>
  </conditionalFormatting>
  <conditionalFormatting sqref="AI1642">
    <cfRule type="cellIs" dxfId="0" priority="3702" operator="equal">
      <formula>"未完成"</formula>
    </cfRule>
  </conditionalFormatting>
  <conditionalFormatting sqref="AL1642">
    <cfRule type="cellIs" dxfId="1" priority="3705" operator="equal">
      <formula>"未完成"</formula>
    </cfRule>
    <cfRule type="cellIs" dxfId="0" priority="3706" operator="equal">
      <formula>"未完成"</formula>
    </cfRule>
  </conditionalFormatting>
  <conditionalFormatting sqref="AM1642">
    <cfRule type="cellIs" dxfId="0" priority="3704" operator="equal">
      <formula>"欠"</formula>
    </cfRule>
  </conditionalFormatting>
  <conditionalFormatting sqref="Q1643">
    <cfRule type="cellIs" dxfId="0" priority="286" operator="equal">
      <formula>"欠"</formula>
    </cfRule>
  </conditionalFormatting>
  <conditionalFormatting sqref="V1643">
    <cfRule type="cellIs" dxfId="0" priority="258" operator="equal">
      <formula>"欠"</formula>
    </cfRule>
  </conditionalFormatting>
  <conditionalFormatting sqref="AM1643">
    <cfRule type="cellIs" dxfId="0" priority="265" operator="equal">
      <formula>"欠"</formula>
    </cfRule>
  </conditionalFormatting>
  <conditionalFormatting sqref="Q1644">
    <cfRule type="cellIs" dxfId="0" priority="285" operator="equal">
      <formula>"欠"</formula>
    </cfRule>
  </conditionalFormatting>
  <conditionalFormatting sqref="V1644">
    <cfRule type="cellIs" dxfId="0" priority="257" operator="equal">
      <formula>"欠"</formula>
    </cfRule>
  </conditionalFormatting>
  <conditionalFormatting sqref="AM1644">
    <cfRule type="cellIs" dxfId="0" priority="264" operator="equal">
      <formula>"欠"</formula>
    </cfRule>
  </conditionalFormatting>
  <conditionalFormatting sqref="Q1645">
    <cfRule type="cellIs" dxfId="0" priority="284" operator="equal">
      <formula>"欠"</formula>
    </cfRule>
  </conditionalFormatting>
  <conditionalFormatting sqref="V1645">
    <cfRule type="cellIs" dxfId="0" priority="256" operator="equal">
      <formula>"欠"</formula>
    </cfRule>
  </conditionalFormatting>
  <conditionalFormatting sqref="AM1645">
    <cfRule type="cellIs" dxfId="0" priority="263" operator="equal">
      <formula>"欠"</formula>
    </cfRule>
  </conditionalFormatting>
  <conditionalFormatting sqref="Q1646">
    <cfRule type="cellIs" dxfId="0" priority="283" operator="equal">
      <formula>"欠"</formula>
    </cfRule>
  </conditionalFormatting>
  <conditionalFormatting sqref="V1646">
    <cfRule type="cellIs" dxfId="0" priority="255" operator="equal">
      <formula>"欠"</formula>
    </cfRule>
  </conditionalFormatting>
  <conditionalFormatting sqref="AM1646">
    <cfRule type="cellIs" dxfId="0" priority="262" operator="equal">
      <formula>"欠"</formula>
    </cfRule>
  </conditionalFormatting>
  <conditionalFormatting sqref="Q1647">
    <cfRule type="cellIs" dxfId="0" priority="282" operator="equal">
      <formula>"欠"</formula>
    </cfRule>
  </conditionalFormatting>
  <conditionalFormatting sqref="V1647">
    <cfRule type="cellIs" dxfId="0" priority="254" operator="equal">
      <formula>"欠"</formula>
    </cfRule>
  </conditionalFormatting>
  <conditionalFormatting sqref="AM1647">
    <cfRule type="cellIs" dxfId="0" priority="261" operator="equal">
      <formula>"欠"</formula>
    </cfRule>
  </conditionalFormatting>
  <conditionalFormatting sqref="Q1648">
    <cfRule type="cellIs" dxfId="0" priority="281" operator="equal">
      <formula>"欠"</formula>
    </cfRule>
  </conditionalFormatting>
  <conditionalFormatting sqref="V1648">
    <cfRule type="cellIs" dxfId="0" priority="253" operator="equal">
      <formula>"欠"</formula>
    </cfRule>
  </conditionalFormatting>
  <conditionalFormatting sqref="AM1648">
    <cfRule type="cellIs" dxfId="0" priority="260" operator="equal">
      <formula>"欠"</formula>
    </cfRule>
  </conditionalFormatting>
  <conditionalFormatting sqref="Q1649">
    <cfRule type="cellIs" dxfId="0" priority="280" operator="equal">
      <formula>"欠"</formula>
    </cfRule>
  </conditionalFormatting>
  <conditionalFormatting sqref="V1649">
    <cfRule type="cellIs" dxfId="0" priority="252" operator="equal">
      <formula>"欠"</formula>
    </cfRule>
  </conditionalFormatting>
  <conditionalFormatting sqref="AM1649">
    <cfRule type="cellIs" dxfId="0" priority="259" operator="equal">
      <formula>"欠"</formula>
    </cfRule>
  </conditionalFormatting>
  <conditionalFormatting sqref="V1650">
    <cfRule type="cellIs" dxfId="0" priority="3539" operator="equal">
      <formula>"欠"</formula>
    </cfRule>
  </conditionalFormatting>
  <conditionalFormatting sqref="AG1650:AH1650">
    <cfRule type="cellIs" dxfId="0" priority="3543" operator="equal">
      <formula>"未完成"</formula>
    </cfRule>
  </conditionalFormatting>
  <conditionalFormatting sqref="AL1650:AM1650">
    <cfRule type="cellIs" dxfId="1" priority="3531" operator="equal">
      <formula>"未完成"</formula>
    </cfRule>
    <cfRule type="cellIs" dxfId="0" priority="3535" operator="equal">
      <formula>"未完成"</formula>
    </cfRule>
  </conditionalFormatting>
  <conditionalFormatting sqref="V1651">
    <cfRule type="cellIs" dxfId="0" priority="3538" operator="equal">
      <formula>"欠"</formula>
    </cfRule>
  </conditionalFormatting>
  <conditionalFormatting sqref="AG1651:AH1651">
    <cfRule type="cellIs" dxfId="0" priority="3542" operator="equal">
      <formula>"未完成"</formula>
    </cfRule>
  </conditionalFormatting>
  <conditionalFormatting sqref="AL1651:AM1651">
    <cfRule type="cellIs" dxfId="1" priority="3530" operator="equal">
      <formula>"未完成"</formula>
    </cfRule>
    <cfRule type="cellIs" dxfId="0" priority="3534" operator="equal">
      <formula>"未完成"</formula>
    </cfRule>
  </conditionalFormatting>
  <conditionalFormatting sqref="Q1652">
    <cfRule type="cellIs" dxfId="0" priority="653" operator="equal">
      <formula>"欠"</formula>
    </cfRule>
  </conditionalFormatting>
  <conditionalFormatting sqref="V1652">
    <cfRule type="cellIs" dxfId="0" priority="649" operator="equal">
      <formula>"欠"</formula>
    </cfRule>
  </conditionalFormatting>
  <conditionalFormatting sqref="AL1652">
    <cfRule type="cellIs" dxfId="1" priority="651" operator="equal">
      <formula>"未完成"</formula>
    </cfRule>
    <cfRule type="cellIs" dxfId="0" priority="652" operator="equal">
      <formula>"未完成"</formula>
    </cfRule>
  </conditionalFormatting>
  <conditionalFormatting sqref="AM1652">
    <cfRule type="cellIs" dxfId="0" priority="650" operator="equal">
      <formula>"欠"</formula>
    </cfRule>
  </conditionalFormatting>
  <conditionalFormatting sqref="Q1653">
    <cfRule type="cellIs" dxfId="0" priority="360" operator="equal">
      <formula>"欠"</formula>
    </cfRule>
  </conditionalFormatting>
  <conditionalFormatting sqref="V1653">
    <cfRule type="cellIs" dxfId="0" priority="356" operator="equal">
      <formula>"欠"</formula>
    </cfRule>
  </conditionalFormatting>
  <conditionalFormatting sqref="AL1653">
    <cfRule type="cellIs" dxfId="1" priority="358" operator="equal">
      <formula>"未完成"</formula>
    </cfRule>
    <cfRule type="cellIs" dxfId="0" priority="359" operator="equal">
      <formula>"未完成"</formula>
    </cfRule>
  </conditionalFormatting>
  <conditionalFormatting sqref="AM1653">
    <cfRule type="cellIs" dxfId="0" priority="357" operator="equal">
      <formula>"欠"</formula>
    </cfRule>
  </conditionalFormatting>
  <conditionalFormatting sqref="Q1654">
    <cfRule type="cellIs" dxfId="0" priority="3027" operator="equal">
      <formula>"欠"</formula>
    </cfRule>
  </conditionalFormatting>
  <conditionalFormatting sqref="AI1654">
    <cfRule type="cellIs" dxfId="0" priority="2977" operator="equal">
      <formula>"未完成"</formula>
    </cfRule>
  </conditionalFormatting>
  <conditionalFormatting sqref="AL1654">
    <cfRule type="cellIs" dxfId="1" priority="3007" operator="equal">
      <formula>"未完成"</formula>
    </cfRule>
    <cfRule type="cellIs" dxfId="0" priority="3017" operator="equal">
      <formula>"未完成"</formula>
    </cfRule>
  </conditionalFormatting>
  <conditionalFormatting sqref="AM1654">
    <cfRule type="cellIs" dxfId="0" priority="2997" operator="equal">
      <formula>"欠"</formula>
    </cfRule>
  </conditionalFormatting>
  <conditionalFormatting sqref="Q1655">
    <cfRule type="cellIs" dxfId="0" priority="1780" operator="equal">
      <formula>"欠"</formula>
    </cfRule>
  </conditionalFormatting>
  <conditionalFormatting sqref="V1655">
    <cfRule type="cellIs" dxfId="0" priority="1772" operator="equal">
      <formula>"欠"</formula>
    </cfRule>
  </conditionalFormatting>
  <conditionalFormatting sqref="AI1655">
    <cfRule type="cellIs" dxfId="0" priority="1770" operator="equal">
      <formula>"未完成"</formula>
    </cfRule>
  </conditionalFormatting>
  <conditionalFormatting sqref="AL1655">
    <cfRule type="cellIs" dxfId="1" priority="1776" operator="equal">
      <formula>"未完成"</formula>
    </cfRule>
    <cfRule type="cellIs" dxfId="0" priority="1778" operator="equal">
      <formula>"未完成"</formula>
    </cfRule>
  </conditionalFormatting>
  <conditionalFormatting sqref="AM1655">
    <cfRule type="cellIs" dxfId="0" priority="1774" operator="equal">
      <formula>"欠"</formula>
    </cfRule>
  </conditionalFormatting>
  <conditionalFormatting sqref="V1656">
    <cfRule type="cellIs" dxfId="0" priority="1583" operator="equal">
      <formula>"欠"</formula>
    </cfRule>
  </conditionalFormatting>
  <conditionalFormatting sqref="AI1656">
    <cfRule type="cellIs" dxfId="0" priority="1572" operator="equal">
      <formula>"未完成"</formula>
    </cfRule>
  </conditionalFormatting>
  <conditionalFormatting sqref="AM1656">
    <cfRule type="cellIs" dxfId="0" priority="1594" operator="equal">
      <formula>"欠"</formula>
    </cfRule>
  </conditionalFormatting>
  <conditionalFormatting sqref="V1657">
    <cfRule type="cellIs" dxfId="0" priority="1582" operator="equal">
      <formula>"欠"</formula>
    </cfRule>
  </conditionalFormatting>
  <conditionalFormatting sqref="AI1657">
    <cfRule type="cellIs" dxfId="0" priority="1571" operator="equal">
      <formula>"未完成"</formula>
    </cfRule>
  </conditionalFormatting>
  <conditionalFormatting sqref="AM1657">
    <cfRule type="cellIs" dxfId="0" priority="1593" operator="equal">
      <formula>"欠"</formula>
    </cfRule>
  </conditionalFormatting>
  <conditionalFormatting sqref="V1658">
    <cfRule type="cellIs" dxfId="0" priority="1581" operator="equal">
      <formula>"欠"</formula>
    </cfRule>
  </conditionalFormatting>
  <conditionalFormatting sqref="AI1658">
    <cfRule type="cellIs" dxfId="0" priority="1570" operator="equal">
      <formula>"未完成"</formula>
    </cfRule>
  </conditionalFormatting>
  <conditionalFormatting sqref="AM1658">
    <cfRule type="cellIs" dxfId="0" priority="1592" operator="equal">
      <formula>"欠"</formula>
    </cfRule>
  </conditionalFormatting>
  <conditionalFormatting sqref="V1659">
    <cfRule type="cellIs" dxfId="0" priority="1580" operator="equal">
      <formula>"欠"</formula>
    </cfRule>
  </conditionalFormatting>
  <conditionalFormatting sqref="AI1659">
    <cfRule type="cellIs" dxfId="0" priority="1569" operator="equal">
      <formula>"未完成"</formula>
    </cfRule>
  </conditionalFormatting>
  <conditionalFormatting sqref="AL1659">
    <cfRule type="cellIs" dxfId="1" priority="1602" operator="equal">
      <formula>"未完成"</formula>
    </cfRule>
    <cfRule type="cellIs" dxfId="0" priority="1613" operator="equal">
      <formula>"未完成"</formula>
    </cfRule>
  </conditionalFormatting>
  <conditionalFormatting sqref="AM1659">
    <cfRule type="cellIs" dxfId="0" priority="1591" operator="equal">
      <formula>"欠"</formula>
    </cfRule>
  </conditionalFormatting>
  <conditionalFormatting sqref="V1660">
    <cfRule type="cellIs" dxfId="0" priority="1579" operator="equal">
      <formula>"欠"</formula>
    </cfRule>
  </conditionalFormatting>
  <conditionalFormatting sqref="AI1660">
    <cfRule type="cellIs" dxfId="0" priority="1568" operator="equal">
      <formula>"未完成"</formula>
    </cfRule>
  </conditionalFormatting>
  <conditionalFormatting sqref="AL1660">
    <cfRule type="cellIs" dxfId="1" priority="1601" operator="equal">
      <formula>"未完成"</formula>
    </cfRule>
    <cfRule type="cellIs" dxfId="0" priority="1612" operator="equal">
      <formula>"未完成"</formula>
    </cfRule>
  </conditionalFormatting>
  <conditionalFormatting sqref="AM1660">
    <cfRule type="cellIs" dxfId="0" priority="1590" operator="equal">
      <formula>"欠"</formula>
    </cfRule>
  </conditionalFormatting>
  <conditionalFormatting sqref="V1661">
    <cfRule type="cellIs" dxfId="0" priority="1578" operator="equal">
      <formula>"欠"</formula>
    </cfRule>
  </conditionalFormatting>
  <conditionalFormatting sqref="AI1661">
    <cfRule type="cellIs" dxfId="0" priority="1567" operator="equal">
      <formula>"未完成"</formula>
    </cfRule>
  </conditionalFormatting>
  <conditionalFormatting sqref="AM1661">
    <cfRule type="cellIs" dxfId="0" priority="1589" operator="equal">
      <formula>"欠"</formula>
    </cfRule>
  </conditionalFormatting>
  <conditionalFormatting sqref="V1662">
    <cfRule type="cellIs" dxfId="0" priority="1577" operator="equal">
      <formula>"欠"</formula>
    </cfRule>
  </conditionalFormatting>
  <conditionalFormatting sqref="AI1662">
    <cfRule type="cellIs" dxfId="0" priority="1566" operator="equal">
      <formula>"未完成"</formula>
    </cfRule>
  </conditionalFormatting>
  <conditionalFormatting sqref="AM1662">
    <cfRule type="cellIs" dxfId="0" priority="1588" operator="equal">
      <formula>"欠"</formula>
    </cfRule>
  </conditionalFormatting>
  <conditionalFormatting sqref="V1663">
    <cfRule type="cellIs" dxfId="0" priority="1576" operator="equal">
      <formula>"欠"</formula>
    </cfRule>
  </conditionalFormatting>
  <conditionalFormatting sqref="AI1663">
    <cfRule type="cellIs" dxfId="0" priority="1565" operator="equal">
      <formula>"未完成"</formula>
    </cfRule>
  </conditionalFormatting>
  <conditionalFormatting sqref="AM1663">
    <cfRule type="cellIs" dxfId="0" priority="1587" operator="equal">
      <formula>"欠"</formula>
    </cfRule>
  </conditionalFormatting>
  <conditionalFormatting sqref="V1664">
    <cfRule type="cellIs" dxfId="0" priority="1575" operator="equal">
      <formula>"欠"</formula>
    </cfRule>
  </conditionalFormatting>
  <conditionalFormatting sqref="AI1664">
    <cfRule type="cellIs" dxfId="0" priority="1564" operator="equal">
      <formula>"未完成"</formula>
    </cfRule>
  </conditionalFormatting>
  <conditionalFormatting sqref="AM1664">
    <cfRule type="cellIs" dxfId="0" priority="1586" operator="equal">
      <formula>"欠"</formula>
    </cfRule>
  </conditionalFormatting>
  <conditionalFormatting sqref="V1665">
    <cfRule type="cellIs" dxfId="0" priority="1574" operator="equal">
      <formula>"欠"</formula>
    </cfRule>
  </conditionalFormatting>
  <conditionalFormatting sqref="AI1665">
    <cfRule type="cellIs" dxfId="0" priority="1563" operator="equal">
      <formula>"未完成"</formula>
    </cfRule>
  </conditionalFormatting>
  <conditionalFormatting sqref="AM1665">
    <cfRule type="cellIs" dxfId="0" priority="1585" operator="equal">
      <formula>"欠"</formula>
    </cfRule>
  </conditionalFormatting>
  <conditionalFormatting sqref="Q1666">
    <cfRule type="cellIs" dxfId="0" priority="1617" operator="equal">
      <formula>"欠"</formula>
    </cfRule>
  </conditionalFormatting>
  <conditionalFormatting sqref="V1666">
    <cfRule type="cellIs" dxfId="0" priority="1573" operator="equal">
      <formula>"欠"</formula>
    </cfRule>
  </conditionalFormatting>
  <conditionalFormatting sqref="AI1666">
    <cfRule type="cellIs" dxfId="0" priority="1562" operator="equal">
      <formula>"未完成"</formula>
    </cfRule>
  </conditionalFormatting>
  <conditionalFormatting sqref="AL1666">
    <cfRule type="cellIs" dxfId="1" priority="1595" operator="equal">
      <formula>"未完成"</formula>
    </cfRule>
    <cfRule type="cellIs" dxfId="0" priority="1606" operator="equal">
      <formula>"未完成"</formula>
    </cfRule>
  </conditionalFormatting>
  <conditionalFormatting sqref="AM1666">
    <cfRule type="cellIs" dxfId="0" priority="1584" operator="equal">
      <formula>"欠"</formula>
    </cfRule>
  </conditionalFormatting>
  <conditionalFormatting sqref="Q1667">
    <cfRule type="cellIs" dxfId="0" priority="712" operator="equal">
      <formula>"欠"</formula>
    </cfRule>
  </conditionalFormatting>
  <conditionalFormatting sqref="R1667">
    <cfRule type="containsText" dxfId="0" priority="703" operator="between" text="欠">
      <formula>NOT(ISERROR(SEARCH("欠",R1667)))</formula>
    </cfRule>
    <cfRule type="cellIs" dxfId="0" priority="704" operator="equal">
      <formula>"欠"</formula>
    </cfRule>
  </conditionalFormatting>
  <conditionalFormatting sqref="S1667">
    <cfRule type="cellIs" dxfId="0" priority="713" operator="equal">
      <formula>"欠"</formula>
    </cfRule>
  </conditionalFormatting>
  <conditionalFormatting sqref="T1667:U1667">
    <cfRule type="containsText" dxfId="0" priority="705" operator="between" text="欠">
      <formula>NOT(ISERROR(SEARCH("欠",T1667)))</formula>
    </cfRule>
    <cfRule type="cellIs" dxfId="0" priority="706" operator="equal">
      <formula>"欠"</formula>
    </cfRule>
  </conditionalFormatting>
  <conditionalFormatting sqref="V1667">
    <cfRule type="cellIs" dxfId="0" priority="708" operator="equal">
      <formula>"欠"</formula>
    </cfRule>
  </conditionalFormatting>
  <conditionalFormatting sqref="AI1667">
    <cfRule type="cellIs" dxfId="0" priority="707" operator="equal">
      <formula>"未完成"</formula>
    </cfRule>
  </conditionalFormatting>
  <conditionalFormatting sqref="AL1667">
    <cfRule type="cellIs" dxfId="1" priority="710" operator="equal">
      <formula>"未完成"</formula>
    </cfRule>
    <cfRule type="cellIs" dxfId="0" priority="711" operator="equal">
      <formula>"未完成"</formula>
    </cfRule>
  </conditionalFormatting>
  <conditionalFormatting sqref="AM1667">
    <cfRule type="cellIs" dxfId="0" priority="709" operator="equal">
      <formula>"欠"</formula>
    </cfRule>
  </conditionalFormatting>
  <conditionalFormatting sqref="Q1668">
    <cfRule type="cellIs" dxfId="0" priority="816" operator="equal">
      <formula>"欠"</formula>
    </cfRule>
  </conditionalFormatting>
  <conditionalFormatting sqref="V1668">
    <cfRule type="cellIs" dxfId="0" priority="796" operator="equal">
      <formula>"欠"</formula>
    </cfRule>
  </conditionalFormatting>
  <conditionalFormatting sqref="AI1668">
    <cfRule type="cellIs" dxfId="0" priority="791" operator="equal">
      <formula>"未完成"</formula>
    </cfRule>
  </conditionalFormatting>
  <conditionalFormatting sqref="AL1668">
    <cfRule type="cellIs" dxfId="1" priority="806" operator="equal">
      <formula>"未完成"</formula>
    </cfRule>
    <cfRule type="cellIs" dxfId="0" priority="811" operator="equal">
      <formula>"未完成"</formula>
    </cfRule>
  </conditionalFormatting>
  <conditionalFormatting sqref="AM1668">
    <cfRule type="cellIs" dxfId="0" priority="801" operator="equal">
      <formula>"欠"</formula>
    </cfRule>
  </conditionalFormatting>
  <conditionalFormatting sqref="Q1670">
    <cfRule type="cellIs" dxfId="0" priority="3960" operator="equal">
      <formula>"欠"</formula>
    </cfRule>
  </conditionalFormatting>
  <conditionalFormatting sqref="R1670">
    <cfRule type="containsText" dxfId="0" priority="3939" operator="between" text="欠">
      <formula>NOT(ISERROR(SEARCH("欠",R1670)))</formula>
    </cfRule>
    <cfRule type="cellIs" dxfId="0" priority="3942" operator="equal">
      <formula>"欠"</formula>
    </cfRule>
  </conditionalFormatting>
  <conditionalFormatting sqref="S1670">
    <cfRule type="cellIs" dxfId="0" priority="3966" operator="equal">
      <formula>"欠"</formula>
    </cfRule>
  </conditionalFormatting>
  <conditionalFormatting sqref="T1670:U1670">
    <cfRule type="containsText" dxfId="0" priority="3963" operator="between" text="欠">
      <formula>NOT(ISERROR(SEARCH("欠",T1670)))</formula>
    </cfRule>
    <cfRule type="cellIs" dxfId="0" priority="3969" operator="equal">
      <formula>"欠"</formula>
    </cfRule>
  </conditionalFormatting>
  <conditionalFormatting sqref="V1670">
    <cfRule type="cellIs" dxfId="0" priority="3948" operator="equal">
      <formula>"欠"</formula>
    </cfRule>
  </conditionalFormatting>
  <conditionalFormatting sqref="AI1670">
    <cfRule type="cellIs" dxfId="0" priority="3945" operator="equal">
      <formula>"未完成"</formula>
    </cfRule>
  </conditionalFormatting>
  <conditionalFormatting sqref="AL1670">
    <cfRule type="cellIs" dxfId="1" priority="3954" operator="equal">
      <formula>"未完成"</formula>
    </cfRule>
    <cfRule type="cellIs" dxfId="0" priority="3957" operator="equal">
      <formula>"未完成"</formula>
    </cfRule>
  </conditionalFormatting>
  <conditionalFormatting sqref="AM1670">
    <cfRule type="cellIs" dxfId="0" priority="3951" operator="equal">
      <formula>"欠"</formula>
    </cfRule>
  </conditionalFormatting>
  <conditionalFormatting sqref="Q1671">
    <cfRule type="cellIs" dxfId="0" priority="755" operator="equal">
      <formula>"欠"</formula>
    </cfRule>
  </conditionalFormatting>
  <conditionalFormatting sqref="T1671:U1671">
    <cfRule type="containsText" dxfId="0" priority="758" operator="between" text="欠">
      <formula>NOT(ISERROR(SEARCH("欠",T1671)))</formula>
    </cfRule>
    <cfRule type="cellIs" dxfId="0" priority="760" operator="equal">
      <formula>"欠"</formula>
    </cfRule>
  </conditionalFormatting>
  <conditionalFormatting sqref="V1671">
    <cfRule type="cellIs" dxfId="0" priority="751" operator="equal">
      <formula>"欠"</formula>
    </cfRule>
  </conditionalFormatting>
  <conditionalFormatting sqref="AI1671">
    <cfRule type="cellIs" dxfId="0" priority="750" operator="equal">
      <formula>"未完成"</formula>
    </cfRule>
  </conditionalFormatting>
  <conditionalFormatting sqref="AL1671">
    <cfRule type="cellIs" dxfId="1" priority="753" operator="equal">
      <formula>"未完成"</formula>
    </cfRule>
    <cfRule type="cellIs" dxfId="0" priority="754" operator="equal">
      <formula>"未完成"</formula>
    </cfRule>
  </conditionalFormatting>
  <conditionalFormatting sqref="AM1671">
    <cfRule type="cellIs" dxfId="0" priority="752" operator="equal">
      <formula>"欠"</formula>
    </cfRule>
  </conditionalFormatting>
  <conditionalFormatting sqref="Q1672">
    <cfRule type="cellIs" dxfId="0" priority="3959" operator="equal">
      <formula>"欠"</formula>
    </cfRule>
  </conditionalFormatting>
  <conditionalFormatting sqref="V1672">
    <cfRule type="cellIs" dxfId="0" priority="3947" operator="equal">
      <formula>"欠"</formula>
    </cfRule>
  </conditionalFormatting>
  <conditionalFormatting sqref="AI1672">
    <cfRule type="cellIs" dxfId="0" priority="3944" operator="equal">
      <formula>"未完成"</formula>
    </cfRule>
  </conditionalFormatting>
  <conditionalFormatting sqref="AL1672">
    <cfRule type="cellIs" dxfId="1" priority="3953" operator="equal">
      <formula>"未完成"</formula>
    </cfRule>
    <cfRule type="cellIs" dxfId="0" priority="3956" operator="equal">
      <formula>"未完成"</formula>
    </cfRule>
  </conditionalFormatting>
  <conditionalFormatting sqref="AM1672">
    <cfRule type="cellIs" dxfId="0" priority="3950" operator="equal">
      <formula>"欠"</formula>
    </cfRule>
  </conditionalFormatting>
  <conditionalFormatting sqref="Q1673">
    <cfRule type="cellIs" dxfId="0" priority="3958" operator="equal">
      <formula>"欠"</formula>
    </cfRule>
  </conditionalFormatting>
  <conditionalFormatting sqref="V1673">
    <cfRule type="cellIs" dxfId="0" priority="3946" operator="equal">
      <formula>"欠"</formula>
    </cfRule>
  </conditionalFormatting>
  <conditionalFormatting sqref="AI1673">
    <cfRule type="cellIs" dxfId="0" priority="3943" operator="equal">
      <formula>"未完成"</formula>
    </cfRule>
  </conditionalFormatting>
  <conditionalFormatting sqref="AL1673">
    <cfRule type="cellIs" dxfId="1" priority="3952" operator="equal">
      <formula>"未完成"</formula>
    </cfRule>
    <cfRule type="cellIs" dxfId="0" priority="3955" operator="equal">
      <formula>"未完成"</formula>
    </cfRule>
  </conditionalFormatting>
  <conditionalFormatting sqref="AM1673">
    <cfRule type="cellIs" dxfId="0" priority="3949" operator="equal">
      <formula>"欠"</formula>
    </cfRule>
  </conditionalFormatting>
  <conditionalFormatting sqref="R1676">
    <cfRule type="containsText" dxfId="0" priority="5467" operator="between" text="欠">
      <formula>NOT(ISERROR(SEARCH("欠",R1676)))</formula>
    </cfRule>
    <cfRule type="cellIs" dxfId="0" priority="5507" operator="equal">
      <formula>"欠"</formula>
    </cfRule>
  </conditionalFormatting>
  <conditionalFormatting sqref="S1676">
    <cfRule type="cellIs" dxfId="0" priority="5499" operator="equal">
      <formula>"欠"</formula>
    </cfRule>
  </conditionalFormatting>
  <conditionalFormatting sqref="T1676:U1676">
    <cfRule type="containsText" dxfId="0" priority="5483" operator="between" text="欠">
      <formula>NOT(ISERROR(SEARCH("欠",T1676)))</formula>
    </cfRule>
    <cfRule type="cellIs" dxfId="0" priority="5491" operator="equal">
      <formula>"欠"</formula>
    </cfRule>
  </conditionalFormatting>
  <conditionalFormatting sqref="V1676">
    <cfRule type="cellIs" dxfId="0" priority="5539" operator="equal">
      <formula>"欠"</formula>
    </cfRule>
  </conditionalFormatting>
  <conditionalFormatting sqref="AG1676:AH1676">
    <cfRule type="cellIs" dxfId="0" priority="5547" operator="equal">
      <formula>"未完成"</formula>
    </cfRule>
  </conditionalFormatting>
  <conditionalFormatting sqref="AL1676:AM1676">
    <cfRule type="cellIs" dxfId="1" priority="5523" operator="equal">
      <formula>"未完成"</formula>
    </cfRule>
    <cfRule type="cellIs" dxfId="0" priority="5531" operator="equal">
      <formula>"未完成"</formula>
    </cfRule>
  </conditionalFormatting>
  <conditionalFormatting sqref="AN1676">
    <cfRule type="cellIs" dxfId="0" priority="5515" operator="equal">
      <formula>"欠"</formula>
    </cfRule>
  </conditionalFormatting>
  <conditionalFormatting sqref="Q1677">
    <cfRule type="cellIs" dxfId="0" priority="2906" operator="equal">
      <formula>"欠"</formula>
    </cfRule>
  </conditionalFormatting>
  <conditionalFormatting sqref="AI1677">
    <cfRule type="cellIs" dxfId="0" priority="2851" operator="equal">
      <formula>"未完成"</formula>
    </cfRule>
  </conditionalFormatting>
  <conditionalFormatting sqref="AL1677">
    <cfRule type="cellIs" dxfId="1" priority="2884" operator="equal">
      <formula>"未完成"</formula>
    </cfRule>
    <cfRule type="cellIs" dxfId="0" priority="2895" operator="equal">
      <formula>"未完成"</formula>
    </cfRule>
  </conditionalFormatting>
  <conditionalFormatting sqref="AM1677">
    <cfRule type="cellIs" dxfId="0" priority="2873" operator="equal">
      <formula>"欠"</formula>
    </cfRule>
  </conditionalFormatting>
  <conditionalFormatting sqref="Q1678">
    <cfRule type="cellIs" dxfId="0" priority="2896" operator="equal">
      <formula>"欠"</formula>
    </cfRule>
  </conditionalFormatting>
  <conditionalFormatting sqref="AI1678">
    <cfRule type="cellIs" dxfId="0" priority="2841" operator="equal">
      <formula>"未完成"</formula>
    </cfRule>
  </conditionalFormatting>
  <conditionalFormatting sqref="AL1678">
    <cfRule type="cellIs" dxfId="1" priority="2874" operator="equal">
      <formula>"未完成"</formula>
    </cfRule>
    <cfRule type="cellIs" dxfId="0" priority="2885" operator="equal">
      <formula>"未完成"</formula>
    </cfRule>
  </conditionalFormatting>
  <conditionalFormatting sqref="AM1678">
    <cfRule type="cellIs" dxfId="0" priority="2863" operator="equal">
      <formula>"欠"</formula>
    </cfRule>
  </conditionalFormatting>
  <conditionalFormatting sqref="Q1686">
    <cfRule type="cellIs" dxfId="0" priority="1262" operator="equal">
      <formula>"欠"</formula>
    </cfRule>
  </conditionalFormatting>
  <conditionalFormatting sqref="AI1686">
    <cfRule type="cellIs" dxfId="0" priority="1252" operator="equal">
      <formula>"未完成"</formula>
    </cfRule>
  </conditionalFormatting>
  <conditionalFormatting sqref="AL1686">
    <cfRule type="cellIs" dxfId="1" priority="1258" operator="equal">
      <formula>"未完成"</formula>
    </cfRule>
    <cfRule type="cellIs" dxfId="0" priority="1260" operator="equal">
      <formula>"未完成"</formula>
    </cfRule>
  </conditionalFormatting>
  <conditionalFormatting sqref="AM1686">
    <cfRule type="cellIs" dxfId="0" priority="1256" operator="equal">
      <formula>"欠"</formula>
    </cfRule>
  </conditionalFormatting>
  <conditionalFormatting sqref="Q1687">
    <cfRule type="cellIs" dxfId="0" priority="1261" operator="equal">
      <formula>"欠"</formula>
    </cfRule>
  </conditionalFormatting>
  <conditionalFormatting sqref="AI1687">
    <cfRule type="cellIs" dxfId="0" priority="1251" operator="equal">
      <formula>"未完成"</formula>
    </cfRule>
  </conditionalFormatting>
  <conditionalFormatting sqref="AL1687">
    <cfRule type="cellIs" dxfId="1" priority="1257" operator="equal">
      <formula>"未完成"</formula>
    </cfRule>
    <cfRule type="cellIs" dxfId="0" priority="1259" operator="equal">
      <formula>"未完成"</formula>
    </cfRule>
  </conditionalFormatting>
  <conditionalFormatting sqref="AM1687">
    <cfRule type="cellIs" dxfId="0" priority="1255" operator="equal">
      <formula>"欠"</formula>
    </cfRule>
  </conditionalFormatting>
  <conditionalFormatting sqref="Q1689">
    <cfRule type="cellIs" dxfId="0" priority="1730" operator="equal">
      <formula>"欠"</formula>
    </cfRule>
  </conditionalFormatting>
  <conditionalFormatting sqref="V1689">
    <cfRule type="cellIs" dxfId="0" priority="1694" operator="equal">
      <formula>"欠"</formula>
    </cfRule>
  </conditionalFormatting>
  <conditionalFormatting sqref="AI1689">
    <cfRule type="cellIs" dxfId="0" priority="1685" operator="equal">
      <formula>"未完成"</formula>
    </cfRule>
  </conditionalFormatting>
  <conditionalFormatting sqref="AL1689">
    <cfRule type="cellIs" dxfId="1" priority="1712" operator="equal">
      <formula>"未完成"</formula>
    </cfRule>
    <cfRule type="cellIs" dxfId="0" priority="1721" operator="equal">
      <formula>"未完成"</formula>
    </cfRule>
  </conditionalFormatting>
  <conditionalFormatting sqref="AM1689">
    <cfRule type="cellIs" dxfId="0" priority="1703" operator="equal">
      <formula>"欠"</formula>
    </cfRule>
  </conditionalFormatting>
  <conditionalFormatting sqref="Q1690">
    <cfRule type="cellIs" dxfId="0" priority="103" operator="equal">
      <formula>"欠"</formula>
    </cfRule>
  </conditionalFormatting>
  <conditionalFormatting sqref="V1690">
    <cfRule type="cellIs" dxfId="0" priority="79" operator="equal">
      <formula>"欠"</formula>
    </cfRule>
  </conditionalFormatting>
  <conditionalFormatting sqref="AI1690">
    <cfRule type="cellIs" dxfId="0" priority="73" operator="equal">
      <formula>"未完成"</formula>
    </cfRule>
  </conditionalFormatting>
  <conditionalFormatting sqref="AL1690">
    <cfRule type="cellIs" dxfId="1" priority="91" operator="equal">
      <formula>"未完成"</formula>
    </cfRule>
    <cfRule type="cellIs" dxfId="0" priority="97" operator="equal">
      <formula>"未完成"</formula>
    </cfRule>
  </conditionalFormatting>
  <conditionalFormatting sqref="AM1690">
    <cfRule type="cellIs" dxfId="0" priority="85" operator="equal">
      <formula>"欠"</formula>
    </cfRule>
  </conditionalFormatting>
  <conditionalFormatting sqref="Q1691">
    <cfRule type="cellIs" dxfId="0" priority="102" operator="equal">
      <formula>"欠"</formula>
    </cfRule>
  </conditionalFormatting>
  <conditionalFormatting sqref="V1691">
    <cfRule type="cellIs" dxfId="0" priority="78" operator="equal">
      <formula>"欠"</formula>
    </cfRule>
  </conditionalFormatting>
  <conditionalFormatting sqref="AI1691">
    <cfRule type="cellIs" dxfId="0" priority="72" operator="equal">
      <formula>"未完成"</formula>
    </cfRule>
  </conditionalFormatting>
  <conditionalFormatting sqref="AL1691">
    <cfRule type="cellIs" dxfId="1" priority="90" operator="equal">
      <formula>"未完成"</formula>
    </cfRule>
    <cfRule type="cellIs" dxfId="0" priority="96" operator="equal">
      <formula>"未完成"</formula>
    </cfRule>
  </conditionalFormatting>
  <conditionalFormatting sqref="AM1691">
    <cfRule type="cellIs" dxfId="0" priority="84" operator="equal">
      <formula>"欠"</formula>
    </cfRule>
  </conditionalFormatting>
  <conditionalFormatting sqref="V1692">
    <cfRule type="cellIs" dxfId="0" priority="3537" operator="equal">
      <formula>"欠"</formula>
    </cfRule>
  </conditionalFormatting>
  <conditionalFormatting sqref="AG1692:AH1692">
    <cfRule type="cellIs" dxfId="0" priority="3541" operator="equal">
      <formula>"未完成"</formula>
    </cfRule>
  </conditionalFormatting>
  <conditionalFormatting sqref="AL1692:AM1692">
    <cfRule type="cellIs" dxfId="1" priority="3529" operator="equal">
      <formula>"未完成"</formula>
    </cfRule>
    <cfRule type="cellIs" dxfId="0" priority="3533" operator="equal">
      <formula>"未完成"</formula>
    </cfRule>
  </conditionalFormatting>
  <conditionalFormatting sqref="V1693">
    <cfRule type="cellIs" dxfId="0" priority="3536" operator="equal">
      <formula>"欠"</formula>
    </cfRule>
  </conditionalFormatting>
  <conditionalFormatting sqref="AG1693:AH1693">
    <cfRule type="cellIs" dxfId="0" priority="3540" operator="equal">
      <formula>"未完成"</formula>
    </cfRule>
  </conditionalFormatting>
  <conditionalFormatting sqref="AL1693:AM1693">
    <cfRule type="cellIs" dxfId="1" priority="3528" operator="equal">
      <formula>"未完成"</formula>
    </cfRule>
    <cfRule type="cellIs" dxfId="0" priority="3532" operator="equal">
      <formula>"未完成"</formula>
    </cfRule>
  </conditionalFormatting>
  <conditionalFormatting sqref="Q1695">
    <cfRule type="cellIs" dxfId="0" priority="378" operator="equal">
      <formula>"欠"</formula>
    </cfRule>
  </conditionalFormatting>
  <conditionalFormatting sqref="V1695">
    <cfRule type="cellIs" dxfId="0" priority="374" operator="equal">
      <formula>"欠"</formula>
    </cfRule>
  </conditionalFormatting>
  <conditionalFormatting sqref="AI1695">
    <cfRule type="cellIs" dxfId="0" priority="373" operator="equal">
      <formula>"未完成"</formula>
    </cfRule>
  </conditionalFormatting>
  <conditionalFormatting sqref="AL1695">
    <cfRule type="cellIs" dxfId="1" priority="376" operator="equal">
      <formula>"未完成"</formula>
    </cfRule>
    <cfRule type="cellIs" dxfId="0" priority="377" operator="equal">
      <formula>"未完成"</formula>
    </cfRule>
  </conditionalFormatting>
  <conditionalFormatting sqref="AM1695">
    <cfRule type="cellIs" dxfId="0" priority="375" operator="equal">
      <formula>"欠"</formula>
    </cfRule>
  </conditionalFormatting>
  <conditionalFormatting sqref="Q1696">
    <cfRule type="cellIs" dxfId="0" priority="3166" operator="equal">
      <formula>"欠"</formula>
    </cfRule>
  </conditionalFormatting>
  <conditionalFormatting sqref="R1696">
    <cfRule type="containsText" dxfId="0" priority="3146" operator="between" text="欠">
      <formula>NOT(ISERROR(SEARCH("欠",R1696)))</formula>
    </cfRule>
    <cfRule type="cellIs" dxfId="0" priority="3148" operator="equal">
      <formula>"欠"</formula>
    </cfRule>
  </conditionalFormatting>
  <conditionalFormatting sqref="S1696">
    <cfRule type="cellIs" dxfId="0" priority="3152" operator="equal">
      <formula>"欠"</formula>
    </cfRule>
  </conditionalFormatting>
  <conditionalFormatting sqref="T1696:U1696">
    <cfRule type="containsText" dxfId="0" priority="3150" operator="between" text="欠">
      <formula>NOT(ISERROR(SEARCH("欠",T1696)))</formula>
    </cfRule>
    <cfRule type="cellIs" dxfId="0" priority="3154" operator="equal">
      <formula>"欠"</formula>
    </cfRule>
  </conditionalFormatting>
  <conditionalFormatting sqref="V1696">
    <cfRule type="cellIs" dxfId="0" priority="3038" operator="equal">
      <formula>"欠"</formula>
    </cfRule>
  </conditionalFormatting>
  <conditionalFormatting sqref="AI1696">
    <cfRule type="cellIs" dxfId="0" priority="3156" operator="equal">
      <formula>"未完成"</formula>
    </cfRule>
  </conditionalFormatting>
  <conditionalFormatting sqref="AL1696">
    <cfRule type="cellIs" dxfId="1" priority="3162" operator="equal">
      <formula>"未完成"</formula>
    </cfRule>
    <cfRule type="cellIs" dxfId="0" priority="3164" operator="equal">
      <formula>"未完成"</formula>
    </cfRule>
  </conditionalFormatting>
  <conditionalFormatting sqref="AM1696">
    <cfRule type="cellIs" dxfId="0" priority="3160" operator="equal">
      <formula>"欠"</formula>
    </cfRule>
  </conditionalFormatting>
  <conditionalFormatting sqref="Q1697">
    <cfRule type="cellIs" dxfId="0" priority="700" operator="equal">
      <formula>"欠"</formula>
    </cfRule>
  </conditionalFormatting>
  <conditionalFormatting sqref="R1697">
    <cfRule type="containsText" dxfId="0" priority="691" operator="between" text="欠">
      <formula>NOT(ISERROR(SEARCH("欠",R1697)))</formula>
    </cfRule>
    <cfRule type="cellIs" dxfId="0" priority="692" operator="equal">
      <formula>"欠"</formula>
    </cfRule>
  </conditionalFormatting>
  <conditionalFormatting sqref="S1697">
    <cfRule type="cellIs" dxfId="0" priority="701" operator="equal">
      <formula>"欠"</formula>
    </cfRule>
  </conditionalFormatting>
  <conditionalFormatting sqref="T1697:U1697">
    <cfRule type="containsText" dxfId="0" priority="693" operator="between" text="欠">
      <formula>NOT(ISERROR(SEARCH("欠",T1697)))</formula>
    </cfRule>
    <cfRule type="cellIs" dxfId="0" priority="694" operator="equal">
      <formula>"欠"</formula>
    </cfRule>
  </conditionalFormatting>
  <conditionalFormatting sqref="V1697">
    <cfRule type="cellIs" dxfId="0" priority="696" operator="equal">
      <formula>"欠"</formula>
    </cfRule>
  </conditionalFormatting>
  <conditionalFormatting sqref="AI1697">
    <cfRule type="cellIs" dxfId="0" priority="695" operator="equal">
      <formula>"未完成"</formula>
    </cfRule>
  </conditionalFormatting>
  <conditionalFormatting sqref="AL1697">
    <cfRule type="cellIs" dxfId="1" priority="698" operator="equal">
      <formula>"未完成"</formula>
    </cfRule>
    <cfRule type="cellIs" dxfId="0" priority="699" operator="equal">
      <formula>"未完成"</formula>
    </cfRule>
  </conditionalFormatting>
  <conditionalFormatting sqref="AM1697">
    <cfRule type="cellIs" dxfId="0" priority="697" operator="equal">
      <formula>"欠"</formula>
    </cfRule>
  </conditionalFormatting>
  <conditionalFormatting sqref="AI1698">
    <cfRule type="cellIs" dxfId="0" priority="635" operator="equal">
      <formula>"未完成"</formula>
    </cfRule>
  </conditionalFormatting>
  <conditionalFormatting sqref="AL1698">
    <cfRule type="cellIs" dxfId="1" priority="638" operator="equal">
      <formula>"未完成"</formula>
    </cfRule>
    <cfRule type="cellIs" dxfId="0" priority="639" operator="equal">
      <formula>"未完成"</formula>
    </cfRule>
  </conditionalFormatting>
  <conditionalFormatting sqref="AM1698">
    <cfRule type="cellIs" dxfId="0" priority="637" operator="equal">
      <formula>"欠"</formula>
    </cfRule>
  </conditionalFormatting>
  <conditionalFormatting sqref="AI1699">
    <cfRule type="cellIs" dxfId="0" priority="622" operator="equal">
      <formula>"未完成"</formula>
    </cfRule>
  </conditionalFormatting>
  <conditionalFormatting sqref="AL1699">
    <cfRule type="cellIs" dxfId="1" priority="625" operator="equal">
      <formula>"未完成"</formula>
    </cfRule>
    <cfRule type="cellIs" dxfId="0" priority="626" operator="equal">
      <formula>"未完成"</formula>
    </cfRule>
  </conditionalFormatting>
  <conditionalFormatting sqref="AM1699">
    <cfRule type="cellIs" dxfId="0" priority="624" operator="equal">
      <formula>"欠"</formula>
    </cfRule>
  </conditionalFormatting>
  <conditionalFormatting sqref="Q1702">
    <cfRule type="cellIs" dxfId="0" priority="1505" operator="equal">
      <formula>"欠"</formula>
    </cfRule>
  </conditionalFormatting>
  <conditionalFormatting sqref="V1702">
    <cfRule type="cellIs" dxfId="0" priority="1501" operator="equal">
      <formula>"欠"</formula>
    </cfRule>
  </conditionalFormatting>
  <conditionalFormatting sqref="AI1702">
    <cfRule type="cellIs" dxfId="0" priority="1500" operator="equal">
      <formula>"未完成"</formula>
    </cfRule>
  </conditionalFormatting>
  <conditionalFormatting sqref="AL1702">
    <cfRule type="cellIs" dxfId="1" priority="1503" operator="equal">
      <formula>"未完成"</formula>
    </cfRule>
    <cfRule type="cellIs" dxfId="0" priority="1504" operator="equal">
      <formula>"未完成"</formula>
    </cfRule>
  </conditionalFormatting>
  <conditionalFormatting sqref="AM1702">
    <cfRule type="cellIs" dxfId="0" priority="1502" operator="equal">
      <formula>"欠"</formula>
    </cfRule>
  </conditionalFormatting>
  <conditionalFormatting sqref="Q1703">
    <cfRule type="cellIs" dxfId="0" priority="1058" operator="equal">
      <formula>"欠"</formula>
    </cfRule>
  </conditionalFormatting>
  <conditionalFormatting sqref="V1703">
    <cfRule type="cellIs" dxfId="0" priority="1050" operator="equal">
      <formula>"欠"</formula>
    </cfRule>
  </conditionalFormatting>
  <conditionalFormatting sqref="AI1703">
    <cfRule type="cellIs" dxfId="0" priority="1048" operator="equal">
      <formula>"未完成"</formula>
    </cfRule>
  </conditionalFormatting>
  <conditionalFormatting sqref="AL1703">
    <cfRule type="cellIs" dxfId="1" priority="1054" operator="equal">
      <formula>"未完成"</formula>
    </cfRule>
    <cfRule type="cellIs" dxfId="0" priority="1056" operator="equal">
      <formula>"未完成"</formula>
    </cfRule>
  </conditionalFormatting>
  <conditionalFormatting sqref="AM1703">
    <cfRule type="cellIs" dxfId="0" priority="1052" operator="equal">
      <formula>"欠"</formula>
    </cfRule>
  </conditionalFormatting>
  <conditionalFormatting sqref="Q1704">
    <cfRule type="cellIs" dxfId="0" priority="204" operator="equal">
      <formula>"欠"</formula>
    </cfRule>
  </conditionalFormatting>
  <conditionalFormatting sqref="R1704">
    <cfRule type="containsText" dxfId="0" priority="132" operator="between" text="欠">
      <formula>NOT(ISERROR(SEARCH("欠",R1704)))</formula>
    </cfRule>
    <cfRule type="cellIs" dxfId="0" priority="135" operator="equal">
      <formula>"欠"</formula>
    </cfRule>
  </conditionalFormatting>
  <conditionalFormatting sqref="S1704">
    <cfRule type="cellIs" dxfId="0" priority="139" operator="equal">
      <formula>"欠"</formula>
    </cfRule>
  </conditionalFormatting>
  <conditionalFormatting sqref="T1704:U1704">
    <cfRule type="containsText" dxfId="0" priority="133" operator="between" text="欠">
      <formula>NOT(ISERROR(SEARCH("欠",T1704)))</formula>
    </cfRule>
    <cfRule type="containsText" dxfId="2" priority="137" operator="between" text="欠">
      <formula>NOT(ISERROR(SEARCH("欠",T1704)))</formula>
    </cfRule>
    <cfRule type="cellIs" dxfId="0" priority="138" operator="equal">
      <formula>"欠"</formula>
    </cfRule>
  </conditionalFormatting>
  <conditionalFormatting sqref="V1704">
    <cfRule type="cellIs" dxfId="0" priority="200" operator="equal">
      <formula>"欠"</formula>
    </cfRule>
  </conditionalFormatting>
  <conditionalFormatting sqref="AI1704">
    <cfRule type="cellIs" dxfId="0" priority="199" operator="equal">
      <formula>"未完成"</formula>
    </cfRule>
  </conditionalFormatting>
  <conditionalFormatting sqref="AL1704">
    <cfRule type="cellIs" dxfId="1" priority="202" operator="equal">
      <formula>"未完成"</formula>
    </cfRule>
    <cfRule type="cellIs" dxfId="0" priority="203" operator="equal">
      <formula>"未完成"</formula>
    </cfRule>
  </conditionalFormatting>
  <conditionalFormatting sqref="AM1704">
    <cfRule type="cellIs" dxfId="0" priority="201" operator="equal">
      <formula>"欠"</formula>
    </cfRule>
  </conditionalFormatting>
  <conditionalFormatting sqref="Q1705">
    <cfRule type="cellIs" dxfId="0" priority="216" operator="equal">
      <formula>"欠"</formula>
    </cfRule>
  </conditionalFormatting>
  <conditionalFormatting sqref="R1705">
    <cfRule type="containsText" dxfId="0" priority="207" operator="between" text="欠">
      <formula>NOT(ISERROR(SEARCH("欠",R1705)))</formula>
    </cfRule>
    <cfRule type="cellIs" dxfId="0" priority="208" operator="equal">
      <formula>"欠"</formula>
    </cfRule>
  </conditionalFormatting>
  <conditionalFormatting sqref="S1705">
    <cfRule type="cellIs" dxfId="0" priority="217" operator="equal">
      <formula>"欠"</formula>
    </cfRule>
  </conditionalFormatting>
  <conditionalFormatting sqref="T1705:U1705">
    <cfRule type="containsText" dxfId="0" priority="209" operator="between" text="欠">
      <formula>NOT(ISERROR(SEARCH("欠",T1705)))</formula>
    </cfRule>
    <cfRule type="cellIs" dxfId="0" priority="210" operator="equal">
      <formula>"欠"</formula>
    </cfRule>
  </conditionalFormatting>
  <conditionalFormatting sqref="V1705">
    <cfRule type="cellIs" dxfId="0" priority="212" operator="equal">
      <formula>"欠"</formula>
    </cfRule>
  </conditionalFormatting>
  <conditionalFormatting sqref="AI1705">
    <cfRule type="cellIs" dxfId="0" priority="211" operator="equal">
      <formula>"未完成"</formula>
    </cfRule>
  </conditionalFormatting>
  <conditionalFormatting sqref="AL1705">
    <cfRule type="cellIs" dxfId="1" priority="214" operator="equal">
      <formula>"未完成"</formula>
    </cfRule>
    <cfRule type="cellIs" dxfId="0" priority="215" operator="equal">
      <formula>"未完成"</formula>
    </cfRule>
  </conditionalFormatting>
  <conditionalFormatting sqref="AM1705">
    <cfRule type="cellIs" dxfId="0" priority="213" operator="equal">
      <formula>"欠"</formula>
    </cfRule>
  </conditionalFormatting>
  <conditionalFormatting sqref="Q1706">
    <cfRule type="cellIs" dxfId="0" priority="1229" operator="equal">
      <formula>"欠"</formula>
    </cfRule>
  </conditionalFormatting>
  <conditionalFormatting sqref="V1706">
    <cfRule type="cellIs" dxfId="0" priority="1185" operator="equal">
      <formula>"欠"</formula>
    </cfRule>
  </conditionalFormatting>
  <conditionalFormatting sqref="AI1706">
    <cfRule type="cellIs" dxfId="0" priority="1174" operator="equal">
      <formula>"未完成"</formula>
    </cfRule>
  </conditionalFormatting>
  <conditionalFormatting sqref="AL1706">
    <cfRule type="cellIs" dxfId="1" priority="1207" operator="equal">
      <formula>"未完成"</formula>
    </cfRule>
    <cfRule type="cellIs" dxfId="0" priority="1218" operator="equal">
      <formula>"未完成"</formula>
    </cfRule>
  </conditionalFormatting>
  <conditionalFormatting sqref="AM1706">
    <cfRule type="cellIs" dxfId="0" priority="1196" operator="equal">
      <formula>"欠"</formula>
    </cfRule>
  </conditionalFormatting>
  <conditionalFormatting sqref="Q1708">
    <cfRule type="cellIs" dxfId="0" priority="1397" operator="equal">
      <formula>"欠"</formula>
    </cfRule>
  </conditionalFormatting>
  <conditionalFormatting sqref="R1708">
    <cfRule type="containsText" dxfId="0" priority="1387" operator="between" text="欠">
      <formula>NOT(ISERROR(SEARCH("欠",R1708)))</formula>
    </cfRule>
    <cfRule type="cellIs" dxfId="0" priority="1388" operator="equal">
      <formula>"欠"</formula>
    </cfRule>
  </conditionalFormatting>
  <conditionalFormatting sqref="T1708:U1708">
    <cfRule type="containsText" dxfId="0" priority="1389" operator="between" text="欠">
      <formula>NOT(ISERROR(SEARCH("欠",T1708)))</formula>
    </cfRule>
    <cfRule type="cellIs" dxfId="0" priority="1391" operator="equal">
      <formula>"欠"</formula>
    </cfRule>
  </conditionalFormatting>
  <conditionalFormatting sqref="V1708">
    <cfRule type="cellIs" dxfId="0" priority="1393" operator="equal">
      <formula>"欠"</formula>
    </cfRule>
  </conditionalFormatting>
  <conditionalFormatting sqref="AI1708">
    <cfRule type="cellIs" dxfId="0" priority="1392" operator="equal">
      <formula>"未完成"</formula>
    </cfRule>
  </conditionalFormatting>
  <conditionalFormatting sqref="AL1708">
    <cfRule type="cellIs" dxfId="1" priority="1395" operator="equal">
      <formula>"未完成"</formula>
    </cfRule>
    <cfRule type="cellIs" dxfId="0" priority="1396" operator="equal">
      <formula>"未完成"</formula>
    </cfRule>
  </conditionalFormatting>
  <conditionalFormatting sqref="AM1708">
    <cfRule type="cellIs" dxfId="0" priority="1394" operator="equal">
      <formula>"欠"</formula>
    </cfRule>
  </conditionalFormatting>
  <conditionalFormatting sqref="Q1717">
    <cfRule type="cellIs" dxfId="0" priority="2247" operator="equal">
      <formula>"欠"</formula>
    </cfRule>
  </conditionalFormatting>
  <conditionalFormatting sqref="V1717">
    <cfRule type="cellIs" dxfId="0" priority="2235" operator="equal">
      <formula>"欠"</formula>
    </cfRule>
  </conditionalFormatting>
  <conditionalFormatting sqref="AI1717">
    <cfRule type="cellIs" dxfId="0" priority="2232" operator="equal">
      <formula>"未完成"</formula>
    </cfRule>
  </conditionalFormatting>
  <conditionalFormatting sqref="AL1717">
    <cfRule type="cellIs" dxfId="1" priority="2241" operator="equal">
      <formula>"未完成"</formula>
    </cfRule>
    <cfRule type="cellIs" dxfId="0" priority="2244" operator="equal">
      <formula>"未完成"</formula>
    </cfRule>
  </conditionalFormatting>
  <conditionalFormatting sqref="AM1717">
    <cfRule type="cellIs" dxfId="0" priority="2238" operator="equal">
      <formula>"欠"</formula>
    </cfRule>
  </conditionalFormatting>
  <conditionalFormatting sqref="Q1718">
    <cfRule type="cellIs" dxfId="0" priority="2245" operator="equal">
      <formula>"欠"</formula>
    </cfRule>
  </conditionalFormatting>
  <conditionalFormatting sqref="V1718">
    <cfRule type="cellIs" dxfId="0" priority="2233" operator="equal">
      <formula>"欠"</formula>
    </cfRule>
  </conditionalFormatting>
  <conditionalFormatting sqref="AI1718">
    <cfRule type="cellIs" dxfId="0" priority="2230" operator="equal">
      <formula>"未完成"</formula>
    </cfRule>
  </conditionalFormatting>
  <conditionalFormatting sqref="AL1718">
    <cfRule type="cellIs" dxfId="1" priority="2239" operator="equal">
      <formula>"未完成"</formula>
    </cfRule>
    <cfRule type="cellIs" dxfId="0" priority="2242" operator="equal">
      <formula>"未完成"</formula>
    </cfRule>
  </conditionalFormatting>
  <conditionalFormatting sqref="AM1718">
    <cfRule type="cellIs" dxfId="0" priority="2236" operator="equal">
      <formula>"欠"</formula>
    </cfRule>
  </conditionalFormatting>
  <conditionalFormatting sqref="Q1720">
    <cfRule type="cellIs" dxfId="0" priority="5457" operator="equal">
      <formula>"欠"</formula>
    </cfRule>
  </conditionalFormatting>
  <conditionalFormatting sqref="R1720">
    <cfRule type="containsText" dxfId="0" priority="5443" operator="between" text="欠">
      <formula>NOT(ISERROR(SEARCH("欠",R1720)))</formula>
    </cfRule>
    <cfRule type="cellIs" dxfId="0" priority="5445" operator="equal">
      <formula>"欠"</formula>
    </cfRule>
  </conditionalFormatting>
  <conditionalFormatting sqref="S1720">
    <cfRule type="cellIs" dxfId="0" priority="5450" operator="equal">
      <formula>"欠"</formula>
    </cfRule>
  </conditionalFormatting>
  <conditionalFormatting sqref="V1720">
    <cfRule type="cellIs" dxfId="0" priority="5453" operator="equal">
      <formula>"欠"</formula>
    </cfRule>
  </conditionalFormatting>
  <conditionalFormatting sqref="AI1720">
    <cfRule type="cellIs" dxfId="0" priority="5452" operator="equal">
      <formula>"未完成"</formula>
    </cfRule>
  </conditionalFormatting>
  <conditionalFormatting sqref="AL1720">
    <cfRule type="cellIs" dxfId="1" priority="5455" operator="equal">
      <formula>"未完成"</formula>
    </cfRule>
    <cfRule type="cellIs" dxfId="0" priority="5456" operator="equal">
      <formula>"未完成"</formula>
    </cfRule>
  </conditionalFormatting>
  <conditionalFormatting sqref="AM1720">
    <cfRule type="cellIs" dxfId="0" priority="5454" operator="equal">
      <formula>"欠"</formula>
    </cfRule>
  </conditionalFormatting>
  <conditionalFormatting sqref="Q1721">
    <cfRule type="cellIs" dxfId="0" priority="2189" operator="equal">
      <formula>"欠"</formula>
    </cfRule>
  </conditionalFormatting>
  <conditionalFormatting sqref="R1721">
    <cfRule type="containsText" dxfId="0" priority="2179" operator="between" text="欠">
      <formula>NOT(ISERROR(SEARCH("欠",R1721)))</formula>
    </cfRule>
    <cfRule type="cellIs" dxfId="0" priority="2180" operator="equal">
      <formula>"欠"</formula>
    </cfRule>
  </conditionalFormatting>
  <conditionalFormatting sqref="S1721">
    <cfRule type="cellIs" dxfId="0" priority="2182" operator="equal">
      <formula>"欠"</formula>
    </cfRule>
  </conditionalFormatting>
  <conditionalFormatting sqref="T1721:U1721">
    <cfRule type="containsText" dxfId="0" priority="2181" operator="between" text="欠">
      <formula>NOT(ISERROR(SEARCH("欠",T1721)))</formula>
    </cfRule>
    <cfRule type="cellIs" dxfId="0" priority="2183" operator="equal">
      <formula>"欠"</formula>
    </cfRule>
  </conditionalFormatting>
  <conditionalFormatting sqref="AI1721">
    <cfRule type="cellIs" dxfId="0" priority="2184" operator="equal">
      <formula>"未完成"</formula>
    </cfRule>
  </conditionalFormatting>
  <conditionalFormatting sqref="AL1721">
    <cfRule type="cellIs" dxfId="1" priority="2187" operator="equal">
      <formula>"未完成"</formula>
    </cfRule>
    <cfRule type="cellIs" dxfId="0" priority="2188" operator="equal">
      <formula>"未完成"</formula>
    </cfRule>
  </conditionalFormatting>
  <conditionalFormatting sqref="AM1721">
    <cfRule type="cellIs" dxfId="0" priority="2186" operator="equal">
      <formula>"欠"</formula>
    </cfRule>
  </conditionalFormatting>
  <conditionalFormatting sqref="Q1722">
    <cfRule type="cellIs" dxfId="0" priority="2776" operator="equal">
      <formula>"欠"</formula>
    </cfRule>
  </conditionalFormatting>
  <conditionalFormatting sqref="R1722">
    <cfRule type="containsText" dxfId="0" priority="2767" operator="between" text="欠">
      <formula>NOT(ISERROR(SEARCH("欠",R1722)))</formula>
    </cfRule>
    <cfRule type="cellIs" dxfId="0" priority="2768" operator="equal">
      <formula>"欠"</formula>
    </cfRule>
  </conditionalFormatting>
  <conditionalFormatting sqref="T1722:U1722">
    <cfRule type="containsText" dxfId="0" priority="2769" operator="between" text="欠">
      <formula>NOT(ISERROR(SEARCH("欠",T1722)))</formula>
    </cfRule>
    <cfRule type="cellIs" dxfId="0" priority="2770" operator="equal">
      <formula>"欠"</formula>
    </cfRule>
  </conditionalFormatting>
  <conditionalFormatting sqref="V1722">
    <cfRule type="cellIs" dxfId="0" priority="2772" operator="equal">
      <formula>"欠"</formula>
    </cfRule>
  </conditionalFormatting>
  <conditionalFormatting sqref="AI1722">
    <cfRule type="cellIs" dxfId="0" priority="2771" operator="equal">
      <formula>"未完成"</formula>
    </cfRule>
  </conditionalFormatting>
  <conditionalFormatting sqref="AL1722">
    <cfRule type="cellIs" dxfId="1" priority="2774" operator="equal">
      <formula>"未完成"</formula>
    </cfRule>
    <cfRule type="cellIs" dxfId="0" priority="2775" operator="equal">
      <formula>"未完成"</formula>
    </cfRule>
  </conditionalFormatting>
  <conditionalFormatting sqref="AM1722">
    <cfRule type="cellIs" dxfId="0" priority="2773" operator="equal">
      <formula>"欠"</formula>
    </cfRule>
  </conditionalFormatting>
  <conditionalFormatting sqref="Q1733">
    <cfRule type="cellIs" dxfId="0" priority="3742" operator="equal">
      <formula>"欠"</formula>
    </cfRule>
  </conditionalFormatting>
  <conditionalFormatting sqref="R1733">
    <cfRule type="containsText" dxfId="0" priority="3735" operator="between" text="欠">
      <formula>NOT(ISERROR(SEARCH("欠",R1733)))</formula>
    </cfRule>
    <cfRule type="cellIs" dxfId="0" priority="3736" operator="equal">
      <formula>"欠"</formula>
    </cfRule>
  </conditionalFormatting>
  <conditionalFormatting sqref="S1733">
    <cfRule type="cellIs" dxfId="0" priority="3750" operator="equal">
      <formula>"欠"</formula>
    </cfRule>
  </conditionalFormatting>
  <conditionalFormatting sqref="T1733:U1733">
    <cfRule type="containsText" dxfId="0" priority="3744" operator="between" text="欠">
      <formula>NOT(ISERROR(SEARCH("欠",T1733)))</formula>
    </cfRule>
    <cfRule type="cellIs" dxfId="0" priority="3749" operator="equal">
      <formula>"欠"</formula>
    </cfRule>
  </conditionalFormatting>
  <conditionalFormatting sqref="V1733">
    <cfRule type="cellIs" dxfId="0" priority="3738" operator="equal">
      <formula>"欠"</formula>
    </cfRule>
  </conditionalFormatting>
  <conditionalFormatting sqref="AI1733">
    <cfRule type="cellIs" dxfId="0" priority="3737" operator="equal">
      <formula>"未完成"</formula>
    </cfRule>
  </conditionalFormatting>
  <conditionalFormatting sqref="AL1733">
    <cfRule type="cellIs" dxfId="1" priority="3740" operator="equal">
      <formula>"未完成"</formula>
    </cfRule>
    <cfRule type="cellIs" dxfId="0" priority="3741" operator="equal">
      <formula>"未完成"</formula>
    </cfRule>
  </conditionalFormatting>
  <conditionalFormatting sqref="AM1733">
    <cfRule type="cellIs" dxfId="0" priority="3739" operator="equal">
      <formula>"欠"</formula>
    </cfRule>
  </conditionalFormatting>
  <conditionalFormatting sqref="T1734:U1734">
    <cfRule type="containsText" dxfId="0" priority="824" operator="between" text="欠">
      <formula>NOT(ISERROR(SEARCH("欠",T1734)))</formula>
    </cfRule>
    <cfRule type="cellIs" dxfId="0" priority="826" operator="equal">
      <formula>"欠"</formula>
    </cfRule>
  </conditionalFormatting>
  <conditionalFormatting sqref="R1735">
    <cfRule type="containsText" dxfId="0" priority="34" operator="between" text="欠">
      <formula>NOT(ISERROR(SEARCH("欠",R1735)))</formula>
    </cfRule>
    <cfRule type="cellIs" dxfId="0" priority="35" operator="equal">
      <formula>"欠"</formula>
    </cfRule>
  </conditionalFormatting>
  <conditionalFormatting sqref="Q1736">
    <cfRule type="cellIs" dxfId="0" priority="812" operator="equal">
      <formula>"欠"</formula>
    </cfRule>
  </conditionalFormatting>
  <conditionalFormatting sqref="R1736">
    <cfRule type="containsText" dxfId="0" priority="746" operator="between" text="欠">
      <formula>NOT(ISERROR(SEARCH("欠",R1736)))</formula>
    </cfRule>
    <cfRule type="cellIs" dxfId="0" priority="747" operator="equal">
      <formula>"欠"</formula>
    </cfRule>
  </conditionalFormatting>
  <conditionalFormatting sqref="S1736">
    <cfRule type="cellIs" dxfId="0" priority="748" operator="equal">
      <formula>"欠"</formula>
    </cfRule>
  </conditionalFormatting>
  <conditionalFormatting sqref="T1736:U1736">
    <cfRule type="containsText" dxfId="0" priority="772" operator="between" text="欠">
      <formula>NOT(ISERROR(SEARCH("欠",T1736)))</formula>
    </cfRule>
    <cfRule type="cellIs" dxfId="0" priority="782" operator="equal">
      <formula>"欠"</formula>
    </cfRule>
  </conditionalFormatting>
  <conditionalFormatting sqref="V1736">
    <cfRule type="cellIs" dxfId="0" priority="792" operator="equal">
      <formula>"欠"</formula>
    </cfRule>
  </conditionalFormatting>
  <conditionalFormatting sqref="AI1736">
    <cfRule type="cellIs" dxfId="0" priority="787" operator="equal">
      <formula>"未完成"</formula>
    </cfRule>
  </conditionalFormatting>
  <conditionalFormatting sqref="AL1736">
    <cfRule type="cellIs" dxfId="1" priority="802" operator="equal">
      <formula>"未完成"</formula>
    </cfRule>
    <cfRule type="cellIs" dxfId="0" priority="807" operator="equal">
      <formula>"未完成"</formula>
    </cfRule>
  </conditionalFormatting>
  <conditionalFormatting sqref="AM1736">
    <cfRule type="cellIs" dxfId="0" priority="797" operator="equal">
      <formula>"欠"</formula>
    </cfRule>
  </conditionalFormatting>
  <conditionalFormatting sqref="R1739">
    <cfRule type="containsText" dxfId="0" priority="541" operator="between" text="欠">
      <formula>NOT(ISERROR(SEARCH("欠",R1739)))</formula>
    </cfRule>
    <cfRule type="cellIs" dxfId="0" priority="542" operator="equal">
      <formula>"欠"</formula>
    </cfRule>
  </conditionalFormatting>
  <conditionalFormatting sqref="S1739">
    <cfRule type="cellIs" dxfId="0" priority="548" operator="equal">
      <formula>"欠"</formula>
    </cfRule>
  </conditionalFormatting>
  <conditionalFormatting sqref="T1739:U1739">
    <cfRule type="containsText" dxfId="0" priority="370" operator="between" text="欠">
      <formula>NOT(ISERROR(SEARCH("欠",T1739)))</formula>
    </cfRule>
    <cfRule type="containsText" dxfId="2" priority="371" operator="between" text="欠">
      <formula>NOT(ISERROR(SEARCH("欠",T1739)))</formula>
    </cfRule>
    <cfRule type="cellIs" dxfId="0" priority="372" operator="equal">
      <formula>"欠"</formula>
    </cfRule>
  </conditionalFormatting>
  <conditionalFormatting sqref="V1739">
    <cfRule type="cellIs" dxfId="0" priority="551" operator="equal">
      <formula>"欠"</formula>
    </cfRule>
  </conditionalFormatting>
  <conditionalFormatting sqref="AG1739:AH1739">
    <cfRule type="cellIs" dxfId="0" priority="552" operator="equal">
      <formula>"未完成"</formula>
    </cfRule>
  </conditionalFormatting>
  <conditionalFormatting sqref="AL1739:AM1739">
    <cfRule type="cellIs" dxfId="1" priority="549" operator="equal">
      <formula>"未完成"</formula>
    </cfRule>
    <cfRule type="cellIs" dxfId="0" priority="550" operator="equal">
      <formula>"未完成"</formula>
    </cfRule>
  </conditionalFormatting>
  <conditionalFormatting sqref="Q1742">
    <cfRule type="cellIs" dxfId="0" priority="564" operator="equal">
      <formula>"欠"</formula>
    </cfRule>
  </conditionalFormatting>
  <conditionalFormatting sqref="V1742">
    <cfRule type="cellIs" dxfId="0" priority="560" operator="equal">
      <formula>"欠"</formula>
    </cfRule>
  </conditionalFormatting>
  <conditionalFormatting sqref="AI1742">
    <cfRule type="cellIs" dxfId="0" priority="559" operator="equal">
      <formula>"未完成"</formula>
    </cfRule>
  </conditionalFormatting>
  <conditionalFormatting sqref="AL1742">
    <cfRule type="cellIs" dxfId="1" priority="562" operator="equal">
      <formula>"未完成"</formula>
    </cfRule>
    <cfRule type="cellIs" dxfId="0" priority="563" operator="equal">
      <formula>"未完成"</formula>
    </cfRule>
  </conditionalFormatting>
  <conditionalFormatting sqref="AM1742">
    <cfRule type="cellIs" dxfId="0" priority="561" operator="equal">
      <formula>"欠"</formula>
    </cfRule>
  </conditionalFormatting>
  <conditionalFormatting sqref="Q1745">
    <cfRule type="cellIs" dxfId="0" priority="1793" operator="equal">
      <formula>"欠"</formula>
    </cfRule>
  </conditionalFormatting>
  <conditionalFormatting sqref="R1745">
    <cfRule type="containsText" dxfId="0" priority="1783" operator="between" text="欠">
      <formula>NOT(ISERROR(SEARCH("欠",R1745)))</formula>
    </cfRule>
    <cfRule type="cellIs" dxfId="0" priority="1784" operator="equal">
      <formula>"欠"</formula>
    </cfRule>
  </conditionalFormatting>
  <conditionalFormatting sqref="T1745:U1745">
    <cfRule type="containsText" dxfId="0" priority="1785" operator="between" text="欠">
      <formula>NOT(ISERROR(SEARCH("欠",T1745)))</formula>
    </cfRule>
    <cfRule type="cellIs" dxfId="0" priority="1787" operator="equal">
      <formula>"欠"</formula>
    </cfRule>
  </conditionalFormatting>
  <conditionalFormatting sqref="AI1745">
    <cfRule type="cellIs" dxfId="0" priority="1788" operator="equal">
      <formula>"未完成"</formula>
    </cfRule>
  </conditionalFormatting>
  <conditionalFormatting sqref="AL1745">
    <cfRule type="cellIs" dxfId="1" priority="1791" operator="equal">
      <formula>"未完成"</formula>
    </cfRule>
    <cfRule type="cellIs" dxfId="0" priority="1792" operator="equal">
      <formula>"未完成"</formula>
    </cfRule>
  </conditionalFormatting>
  <conditionalFormatting sqref="AM1745">
    <cfRule type="cellIs" dxfId="0" priority="1790" operator="equal">
      <formula>"欠"</formula>
    </cfRule>
  </conditionalFormatting>
  <conditionalFormatting sqref="Q1746">
    <cfRule type="cellIs" dxfId="0" priority="99" operator="equal">
      <formula>"欠"</formula>
    </cfRule>
  </conditionalFormatting>
  <conditionalFormatting sqref="S1746">
    <cfRule type="cellIs" dxfId="0" priority="57" operator="equal">
      <formula>"欠"</formula>
    </cfRule>
  </conditionalFormatting>
  <conditionalFormatting sqref="T1746:U1746">
    <cfRule type="containsText" dxfId="0" priority="51" operator="between" text="欠">
      <formula>NOT(ISERROR(SEARCH("欠",T1746)))</formula>
    </cfRule>
    <cfRule type="cellIs" dxfId="0" priority="63" operator="equal">
      <formula>"欠"</formula>
    </cfRule>
  </conditionalFormatting>
  <conditionalFormatting sqref="V1746">
    <cfRule type="cellIs" dxfId="0" priority="75" operator="equal">
      <formula>"欠"</formula>
    </cfRule>
  </conditionalFormatting>
  <conditionalFormatting sqref="AI1746">
    <cfRule type="cellIs" dxfId="0" priority="69" operator="equal">
      <formula>"未完成"</formula>
    </cfRule>
  </conditionalFormatting>
  <conditionalFormatting sqref="AL1746">
    <cfRule type="cellIs" dxfId="1" priority="87" operator="equal">
      <formula>"未完成"</formula>
    </cfRule>
    <cfRule type="cellIs" dxfId="0" priority="93" operator="equal">
      <formula>"未完成"</formula>
    </cfRule>
  </conditionalFormatting>
  <conditionalFormatting sqref="AM1746">
    <cfRule type="cellIs" dxfId="0" priority="81" operator="equal">
      <formula>"欠"</formula>
    </cfRule>
  </conditionalFormatting>
  <conditionalFormatting sqref="V1747">
    <cfRule type="cellIs" dxfId="0" priority="447" operator="equal">
      <formula>"欠"</formula>
    </cfRule>
  </conditionalFormatting>
  <conditionalFormatting sqref="AI1747">
    <cfRule type="cellIs" dxfId="0" priority="438" operator="equal">
      <formula>"未完成"</formula>
    </cfRule>
  </conditionalFormatting>
  <conditionalFormatting sqref="AL1747">
    <cfRule type="cellIs" dxfId="1" priority="465" operator="equal">
      <formula>"未完成"</formula>
    </cfRule>
    <cfRule type="cellIs" dxfId="0" priority="474" operator="equal">
      <formula>"未完成"</formula>
    </cfRule>
  </conditionalFormatting>
  <conditionalFormatting sqref="AM1747">
    <cfRule type="cellIs" dxfId="0" priority="456" operator="equal">
      <formula>"欠"</formula>
    </cfRule>
  </conditionalFormatting>
  <conditionalFormatting sqref="V1748">
    <cfRule type="cellIs" dxfId="0" priority="444" operator="equal">
      <formula>"欠"</formula>
    </cfRule>
  </conditionalFormatting>
  <conditionalFormatting sqref="AI1748">
    <cfRule type="cellIs" dxfId="0" priority="435" operator="equal">
      <formula>"未完成"</formula>
    </cfRule>
  </conditionalFormatting>
  <conditionalFormatting sqref="AM1748">
    <cfRule type="cellIs" dxfId="0" priority="453" operator="equal">
      <formula>"欠"</formula>
    </cfRule>
  </conditionalFormatting>
  <conditionalFormatting sqref="T1765:U1765">
    <cfRule type="containsText" dxfId="0" priority="1028" operator="between" text="欠">
      <formula>NOT(ISERROR(SEARCH("欠",T1765)))</formula>
    </cfRule>
    <cfRule type="cellIs" dxfId="0" priority="1030" operator="equal">
      <formula>"欠"</formula>
    </cfRule>
  </conditionalFormatting>
  <conditionalFormatting sqref="Q1766">
    <cfRule type="cellIs" dxfId="0" priority="1057" operator="equal">
      <formula>"欠"</formula>
    </cfRule>
  </conditionalFormatting>
  <conditionalFormatting sqref="V1766">
    <cfRule type="cellIs" dxfId="0" priority="1049" operator="equal">
      <formula>"欠"</formula>
    </cfRule>
  </conditionalFormatting>
  <conditionalFormatting sqref="AI1766">
    <cfRule type="cellIs" dxfId="0" priority="1047" operator="equal">
      <formula>"未完成"</formula>
    </cfRule>
  </conditionalFormatting>
  <conditionalFormatting sqref="AL1766">
    <cfRule type="cellIs" dxfId="1" priority="1053" operator="equal">
      <formula>"未完成"</formula>
    </cfRule>
    <cfRule type="cellIs" dxfId="0" priority="1055" operator="equal">
      <formula>"未完成"</formula>
    </cfRule>
  </conditionalFormatting>
  <conditionalFormatting sqref="AM1766">
    <cfRule type="cellIs" dxfId="0" priority="1051" operator="equal">
      <formula>"欠"</formula>
    </cfRule>
  </conditionalFormatting>
  <conditionalFormatting sqref="Q1767">
    <cfRule type="cellIs" dxfId="0" priority="2535" operator="equal">
      <formula>"欠"</formula>
    </cfRule>
  </conditionalFormatting>
  <conditionalFormatting sqref="T1767:U1767">
    <cfRule type="containsText" dxfId="0" priority="2519" operator="between" text="欠">
      <formula>NOT(ISERROR(SEARCH("欠",T1767)))</formula>
    </cfRule>
    <cfRule type="cellIs" dxfId="0" priority="2523" operator="equal">
      <formula>"欠"</formula>
    </cfRule>
  </conditionalFormatting>
  <conditionalFormatting sqref="V1767">
    <cfRule type="cellIs" dxfId="0" priority="2527" operator="equal">
      <formula>"欠"</formula>
    </cfRule>
  </conditionalFormatting>
  <conditionalFormatting sqref="AI1767">
    <cfRule type="cellIs" dxfId="0" priority="2525" operator="equal">
      <formula>"未完成"</formula>
    </cfRule>
  </conditionalFormatting>
  <conditionalFormatting sqref="AL1767">
    <cfRule type="cellIs" dxfId="1" priority="2531" operator="equal">
      <formula>"未完成"</formula>
    </cfRule>
    <cfRule type="cellIs" dxfId="0" priority="2533" operator="equal">
      <formula>"未完成"</formula>
    </cfRule>
  </conditionalFormatting>
  <conditionalFormatting sqref="AM1767">
    <cfRule type="cellIs" dxfId="0" priority="2529" operator="equal">
      <formula>"欠"</formula>
    </cfRule>
  </conditionalFormatting>
  <conditionalFormatting sqref="Q1770">
    <cfRule type="cellIs" dxfId="0" priority="2764" operator="equal">
      <formula>"欠"</formula>
    </cfRule>
  </conditionalFormatting>
  <conditionalFormatting sqref="S1770">
    <cfRule type="cellIs" dxfId="0" priority="2754" operator="equal">
      <formula>"欠"</formula>
    </cfRule>
  </conditionalFormatting>
  <conditionalFormatting sqref="T1770:U1770">
    <cfRule type="containsText" dxfId="0" priority="2757" operator="between" text="欠">
      <formula>NOT(ISERROR(SEARCH("欠",T1770)))</formula>
    </cfRule>
    <cfRule type="cellIs" dxfId="0" priority="2758" operator="equal">
      <formula>"欠"</formula>
    </cfRule>
  </conditionalFormatting>
  <conditionalFormatting sqref="V1770">
    <cfRule type="cellIs" dxfId="0" priority="2760" operator="equal">
      <formula>"欠"</formula>
    </cfRule>
  </conditionalFormatting>
  <conditionalFormatting sqref="AI1770">
    <cfRule type="cellIs" dxfId="0" priority="2759" operator="equal">
      <formula>"未完成"</formula>
    </cfRule>
  </conditionalFormatting>
  <conditionalFormatting sqref="AL1770">
    <cfRule type="cellIs" dxfId="1" priority="2762" operator="equal">
      <formula>"未完成"</formula>
    </cfRule>
    <cfRule type="cellIs" dxfId="0" priority="2763" operator="equal">
      <formula>"未完成"</formula>
    </cfRule>
  </conditionalFormatting>
  <conditionalFormatting sqref="AM1770">
    <cfRule type="cellIs" dxfId="0" priority="2761" operator="equal">
      <formula>"欠"</formula>
    </cfRule>
  </conditionalFormatting>
  <conditionalFormatting sqref="Q1773">
    <cfRule type="cellIs" dxfId="0" priority="101" operator="equal">
      <formula>"欠"</formula>
    </cfRule>
  </conditionalFormatting>
  <conditionalFormatting sqref="V1773">
    <cfRule type="cellIs" dxfId="0" priority="77" operator="equal">
      <formula>"欠"</formula>
    </cfRule>
  </conditionalFormatting>
  <conditionalFormatting sqref="AI1773">
    <cfRule type="cellIs" dxfId="0" priority="71" operator="equal">
      <formula>"未完成"</formula>
    </cfRule>
  </conditionalFormatting>
  <conditionalFormatting sqref="AL1773">
    <cfRule type="cellIs" dxfId="1" priority="89" operator="equal">
      <formula>"未完成"</formula>
    </cfRule>
    <cfRule type="cellIs" dxfId="0" priority="95" operator="equal">
      <formula>"未完成"</formula>
    </cfRule>
  </conditionalFormatting>
  <conditionalFormatting sqref="AM1773">
    <cfRule type="cellIs" dxfId="0" priority="83" operator="equal">
      <formula>"欠"</formula>
    </cfRule>
  </conditionalFormatting>
  <conditionalFormatting sqref="Q1774">
    <cfRule type="cellIs" dxfId="0" priority="100" operator="equal">
      <formula>"欠"</formula>
    </cfRule>
  </conditionalFormatting>
  <conditionalFormatting sqref="V1774">
    <cfRule type="cellIs" dxfId="0" priority="76" operator="equal">
      <formula>"欠"</formula>
    </cfRule>
  </conditionalFormatting>
  <conditionalFormatting sqref="AI1774">
    <cfRule type="cellIs" dxfId="0" priority="70" operator="equal">
      <formula>"未完成"</formula>
    </cfRule>
  </conditionalFormatting>
  <conditionalFormatting sqref="AL1774">
    <cfRule type="cellIs" dxfId="1" priority="88" operator="equal">
      <formula>"未完成"</formula>
    </cfRule>
    <cfRule type="cellIs" dxfId="0" priority="94" operator="equal">
      <formula>"未完成"</formula>
    </cfRule>
  </conditionalFormatting>
  <conditionalFormatting sqref="AM1774">
    <cfRule type="cellIs" dxfId="0" priority="82" operator="equal">
      <formula>"欠"</formula>
    </cfRule>
  </conditionalFormatting>
  <conditionalFormatting sqref="Q1775">
    <cfRule type="cellIs" dxfId="0" priority="2319" operator="equal">
      <formula>"欠"</formula>
    </cfRule>
  </conditionalFormatting>
  <conditionalFormatting sqref="V1775">
    <cfRule type="cellIs" dxfId="0" priority="2307" operator="equal">
      <formula>"欠"</formula>
    </cfRule>
  </conditionalFormatting>
  <conditionalFormatting sqref="AI1775">
    <cfRule type="cellIs" dxfId="0" priority="2304" operator="equal">
      <formula>"未完成"</formula>
    </cfRule>
  </conditionalFormatting>
  <conditionalFormatting sqref="AM1775">
    <cfRule type="cellIs" dxfId="0" priority="2310" operator="equal">
      <formula>"欠"</formula>
    </cfRule>
  </conditionalFormatting>
  <conditionalFormatting sqref="Q1776">
    <cfRule type="cellIs" dxfId="0" priority="2318" operator="equal">
      <formula>"欠"</formula>
    </cfRule>
  </conditionalFormatting>
  <conditionalFormatting sqref="V1776">
    <cfRule type="cellIs" dxfId="0" priority="2306" operator="equal">
      <formula>"欠"</formula>
    </cfRule>
  </conditionalFormatting>
  <conditionalFormatting sqref="AI1776">
    <cfRule type="cellIs" dxfId="0" priority="2303" operator="equal">
      <formula>"未完成"</formula>
    </cfRule>
  </conditionalFormatting>
  <conditionalFormatting sqref="AM1776">
    <cfRule type="cellIs" dxfId="0" priority="2309" operator="equal">
      <formula>"欠"</formula>
    </cfRule>
  </conditionalFormatting>
  <conditionalFormatting sqref="Q1777">
    <cfRule type="cellIs" dxfId="0" priority="2317" operator="equal">
      <formula>"欠"</formula>
    </cfRule>
  </conditionalFormatting>
  <conditionalFormatting sqref="V1777">
    <cfRule type="cellIs" dxfId="0" priority="2305" operator="equal">
      <formula>"欠"</formula>
    </cfRule>
  </conditionalFormatting>
  <conditionalFormatting sqref="AI1777">
    <cfRule type="cellIs" dxfId="0" priority="2302" operator="equal">
      <formula>"未完成"</formula>
    </cfRule>
  </conditionalFormatting>
  <conditionalFormatting sqref="AM1777">
    <cfRule type="cellIs" dxfId="0" priority="2308" operator="equal">
      <formula>"欠"</formula>
    </cfRule>
  </conditionalFormatting>
  <conditionalFormatting sqref="Q1779">
    <cfRule type="cellIs" dxfId="0" priority="4314" operator="equal">
      <formula>"欠"</formula>
    </cfRule>
  </conditionalFormatting>
  <conditionalFormatting sqref="R1779">
    <cfRule type="containsText" dxfId="0" priority="4146" operator="between" text="欠">
      <formula>NOT(ISERROR(SEARCH("欠",R1779)))</formula>
    </cfRule>
    <cfRule type="cellIs" dxfId="0" priority="4170" operator="equal">
      <formula>"欠"</formula>
    </cfRule>
  </conditionalFormatting>
  <conditionalFormatting sqref="S1779">
    <cfRule type="cellIs" dxfId="0" priority="4362" operator="equal">
      <formula>"欠"</formula>
    </cfRule>
  </conditionalFormatting>
  <conditionalFormatting sqref="T1779:U1779">
    <cfRule type="containsText" dxfId="0" priority="4338" operator="between" text="欠">
      <formula>NOT(ISERROR(SEARCH("欠",T1779)))</formula>
    </cfRule>
    <cfRule type="cellIs" dxfId="0" priority="4386" operator="equal">
      <formula>"欠"</formula>
    </cfRule>
  </conditionalFormatting>
  <conditionalFormatting sqref="V1779">
    <cfRule type="cellIs" dxfId="0" priority="4218" operator="equal">
      <formula>"欠"</formula>
    </cfRule>
  </conditionalFormatting>
  <conditionalFormatting sqref="AI1779">
    <cfRule type="cellIs" dxfId="0" priority="4194" operator="equal">
      <formula>"未完成"</formula>
    </cfRule>
  </conditionalFormatting>
  <conditionalFormatting sqref="AL1779">
    <cfRule type="cellIs" dxfId="1" priority="4266" operator="equal">
      <formula>"未完成"</formula>
    </cfRule>
    <cfRule type="cellIs" dxfId="0" priority="4290" operator="equal">
      <formula>"未完成"</formula>
    </cfRule>
  </conditionalFormatting>
  <conditionalFormatting sqref="AM1779">
    <cfRule type="cellIs" dxfId="0" priority="4242" operator="equal">
      <formula>"欠"</formula>
    </cfRule>
  </conditionalFormatting>
  <conditionalFormatting sqref="V1780">
    <cfRule type="cellIs" dxfId="0" priority="583" operator="equal">
      <formula>"欠"</formula>
    </cfRule>
  </conditionalFormatting>
  <conditionalFormatting sqref="AL1780:AM1780">
    <cfRule type="cellIs" dxfId="1" priority="588" operator="equal">
      <formula>"未完成"</formula>
    </cfRule>
    <cfRule type="cellIs" dxfId="0" priority="593" operator="equal">
      <formula>"未完成"</formula>
    </cfRule>
  </conditionalFormatting>
  <conditionalFormatting sqref="V1781">
    <cfRule type="cellIs" dxfId="0" priority="582" operator="equal">
      <formula>"欠"</formula>
    </cfRule>
  </conditionalFormatting>
  <conditionalFormatting sqref="AL1781:AM1781">
    <cfRule type="cellIs" dxfId="1" priority="587" operator="equal">
      <formula>"未完成"</formula>
    </cfRule>
    <cfRule type="cellIs" dxfId="0" priority="592" operator="equal">
      <formula>"未完成"</formula>
    </cfRule>
  </conditionalFormatting>
  <conditionalFormatting sqref="V1782">
    <cfRule type="cellIs" dxfId="0" priority="613" operator="equal">
      <formula>"欠"</formula>
    </cfRule>
  </conditionalFormatting>
  <conditionalFormatting sqref="AL1782:AM1782">
    <cfRule type="cellIs" dxfId="1" priority="614" operator="equal">
      <formula>"未完成"</formula>
    </cfRule>
    <cfRule type="cellIs" dxfId="0" priority="615" operator="equal">
      <formula>"未完成"</formula>
    </cfRule>
  </conditionalFormatting>
  <conditionalFormatting sqref="Q1783">
    <cfRule type="cellIs" dxfId="0" priority="479" operator="equal">
      <formula>"欠"</formula>
    </cfRule>
  </conditionalFormatting>
  <conditionalFormatting sqref="V1783">
    <cfRule type="cellIs" dxfId="0" priority="443" operator="equal">
      <formula>"欠"</formula>
    </cfRule>
  </conditionalFormatting>
  <conditionalFormatting sqref="AI1783">
    <cfRule type="cellIs" dxfId="0" priority="434" operator="equal">
      <formula>"未完成"</formula>
    </cfRule>
  </conditionalFormatting>
  <conditionalFormatting sqref="AM1783">
    <cfRule type="cellIs" dxfId="0" priority="452" operator="equal">
      <formula>"欠"</formula>
    </cfRule>
  </conditionalFormatting>
  <conditionalFormatting sqref="Q1784">
    <cfRule type="cellIs" dxfId="0" priority="2246" operator="equal">
      <formula>"欠"</formula>
    </cfRule>
  </conditionalFormatting>
  <conditionalFormatting sqref="V1784">
    <cfRule type="cellIs" dxfId="0" priority="2234" operator="equal">
      <formula>"欠"</formula>
    </cfRule>
  </conditionalFormatting>
  <conditionalFormatting sqref="AI1784">
    <cfRule type="cellIs" dxfId="0" priority="2231" operator="equal">
      <formula>"未完成"</formula>
    </cfRule>
  </conditionalFormatting>
  <conditionalFormatting sqref="AL1784">
    <cfRule type="cellIs" dxfId="1" priority="2240" operator="equal">
      <formula>"未完成"</formula>
    </cfRule>
    <cfRule type="cellIs" dxfId="0" priority="2243" operator="equal">
      <formula>"未完成"</formula>
    </cfRule>
  </conditionalFormatting>
  <conditionalFormatting sqref="AM1784">
    <cfRule type="cellIs" dxfId="0" priority="2237" operator="equal">
      <formula>"欠"</formula>
    </cfRule>
  </conditionalFormatting>
  <conditionalFormatting sqref="Q1802">
    <cfRule type="cellIs" dxfId="0" priority="2660" operator="equal">
      <formula>"欠"</formula>
    </cfRule>
  </conditionalFormatting>
  <conditionalFormatting sqref="T1802:U1802">
    <cfRule type="containsText" dxfId="0" priority="2564" operator="between" text="欠">
      <formula>NOT(ISERROR(SEARCH("欠",T1802)))</formula>
    </cfRule>
    <cfRule type="cellIs" dxfId="0" priority="2588" operator="equal">
      <formula>"欠"</formula>
    </cfRule>
  </conditionalFormatting>
  <conditionalFormatting sqref="V1802">
    <cfRule type="cellIs" dxfId="0" priority="2612" operator="equal">
      <formula>"欠"</formula>
    </cfRule>
  </conditionalFormatting>
  <conditionalFormatting sqref="AI1802">
    <cfRule type="cellIs" dxfId="0" priority="2600" operator="equal">
      <formula>"未完成"</formula>
    </cfRule>
  </conditionalFormatting>
  <conditionalFormatting sqref="AL1802">
    <cfRule type="cellIs" dxfId="1" priority="2636" operator="equal">
      <formula>"未完成"</formula>
    </cfRule>
    <cfRule type="cellIs" dxfId="0" priority="2648" operator="equal">
      <formula>"未完成"</formula>
    </cfRule>
  </conditionalFormatting>
  <conditionalFormatting sqref="AM1802">
    <cfRule type="cellIs" dxfId="0" priority="2624" operator="equal">
      <formula>"欠"</formula>
    </cfRule>
  </conditionalFormatting>
  <conditionalFormatting sqref="Q1803">
    <cfRule type="cellIs" dxfId="0" priority="190" operator="equal">
      <formula>"欠"</formula>
    </cfRule>
  </conditionalFormatting>
  <conditionalFormatting sqref="R1803">
    <cfRule type="containsText" dxfId="0" priority="191" operator="between" text="欠">
      <formula>NOT(ISERROR(SEARCH("欠",R1803)))</formula>
    </cfRule>
    <cfRule type="cellIs" dxfId="0" priority="192" operator="equal">
      <formula>"欠"</formula>
    </cfRule>
  </conditionalFormatting>
  <conditionalFormatting sqref="T1803:U1803">
    <cfRule type="containsText" dxfId="0" priority="183" operator="between" text="欠">
      <formula>NOT(ISERROR(SEARCH("欠",T1803)))</formula>
    </cfRule>
    <cfRule type="cellIs" dxfId="0" priority="184" operator="equal">
      <formula>"欠"</formula>
    </cfRule>
  </conditionalFormatting>
  <conditionalFormatting sqref="V1803">
    <cfRule type="cellIs" dxfId="0" priority="186" operator="equal">
      <formula>"欠"</formula>
    </cfRule>
  </conditionalFormatting>
  <conditionalFormatting sqref="AI1803">
    <cfRule type="cellIs" dxfId="0" priority="185" operator="equal">
      <formula>"未完成"</formula>
    </cfRule>
  </conditionalFormatting>
  <conditionalFormatting sqref="AL1803">
    <cfRule type="cellIs" dxfId="1" priority="188" operator="equal">
      <formula>"未完成"</formula>
    </cfRule>
    <cfRule type="cellIs" dxfId="0" priority="189" operator="equal">
      <formula>"未完成"</formula>
    </cfRule>
  </conditionalFormatting>
  <conditionalFormatting sqref="AM1803">
    <cfRule type="cellIs" dxfId="0" priority="187" operator="equal">
      <formula>"欠"</formula>
    </cfRule>
  </conditionalFormatting>
  <conditionalFormatting sqref="Q1804">
    <cfRule type="cellIs" dxfId="0" priority="1285" operator="equal">
      <formula>"欠"</formula>
    </cfRule>
  </conditionalFormatting>
  <conditionalFormatting sqref="R1804">
    <cfRule type="containsText" dxfId="0" priority="1265" operator="between" text="欠">
      <formula>NOT(ISERROR(SEARCH("欠",R1804)))</formula>
    </cfRule>
    <cfRule type="cellIs" dxfId="0" priority="1267" operator="equal">
      <formula>"欠"</formula>
    </cfRule>
  </conditionalFormatting>
  <conditionalFormatting sqref="S1804">
    <cfRule type="cellIs" dxfId="0" priority="1271" operator="equal">
      <formula>"欠"</formula>
    </cfRule>
  </conditionalFormatting>
  <conditionalFormatting sqref="T1804:U1804">
    <cfRule type="containsText" dxfId="0" priority="1269" operator="between" text="欠">
      <formula>NOT(ISERROR(SEARCH("欠",T1804)))</formula>
    </cfRule>
    <cfRule type="cellIs" dxfId="0" priority="1273" operator="equal">
      <formula>"欠"</formula>
    </cfRule>
  </conditionalFormatting>
  <conditionalFormatting sqref="V1804">
    <cfRule type="cellIs" dxfId="0" priority="1277" operator="equal">
      <formula>"欠"</formula>
    </cfRule>
  </conditionalFormatting>
  <conditionalFormatting sqref="AI1804">
    <cfRule type="cellIs" dxfId="0" priority="1275" operator="equal">
      <formula>"未完成"</formula>
    </cfRule>
  </conditionalFormatting>
  <conditionalFormatting sqref="AL1804">
    <cfRule type="cellIs" dxfId="1" priority="1281" operator="equal">
      <formula>"未完成"</formula>
    </cfRule>
    <cfRule type="cellIs" dxfId="0" priority="1283" operator="equal">
      <formula>"未完成"</formula>
    </cfRule>
  </conditionalFormatting>
  <conditionalFormatting sqref="AM1804">
    <cfRule type="cellIs" dxfId="0" priority="1279" operator="equal">
      <formula>"欠"</formula>
    </cfRule>
  </conditionalFormatting>
  <conditionalFormatting sqref="R1805">
    <cfRule type="containsText" dxfId="0" priority="1338" operator="between" text="欠">
      <formula>NOT(ISERROR(SEARCH("欠",R1805)))</formula>
    </cfRule>
    <cfRule type="cellIs" dxfId="0" priority="1341" operator="equal">
      <formula>"欠"</formula>
    </cfRule>
  </conditionalFormatting>
  <conditionalFormatting sqref="S1805">
    <cfRule type="cellIs" dxfId="0" priority="1347" operator="equal">
      <formula>"欠"</formula>
    </cfRule>
  </conditionalFormatting>
  <conditionalFormatting sqref="Q1809">
    <cfRule type="cellIs" dxfId="0" priority="1228" operator="equal">
      <formula>"欠"</formula>
    </cfRule>
  </conditionalFormatting>
  <conditionalFormatting sqref="V1809">
    <cfRule type="cellIs" dxfId="0" priority="1184" operator="equal">
      <formula>"欠"</formula>
    </cfRule>
  </conditionalFormatting>
  <conditionalFormatting sqref="AI1809">
    <cfRule type="cellIs" dxfId="0" priority="1173" operator="equal">
      <formula>"未完成"</formula>
    </cfRule>
  </conditionalFormatting>
  <conditionalFormatting sqref="AL1809">
    <cfRule type="cellIs" dxfId="1" priority="1206" operator="equal">
      <formula>"未完成"</formula>
    </cfRule>
    <cfRule type="cellIs" dxfId="0" priority="1217" operator="equal">
      <formula>"未完成"</formula>
    </cfRule>
  </conditionalFormatting>
  <conditionalFormatting sqref="AM1809">
    <cfRule type="cellIs" dxfId="0" priority="1195" operator="equal">
      <formula>"欠"</formula>
    </cfRule>
  </conditionalFormatting>
  <conditionalFormatting sqref="Q1818">
    <cfRule type="cellIs" dxfId="0" priority="1367" operator="equal">
      <formula>"欠"</formula>
    </cfRule>
  </conditionalFormatting>
  <conditionalFormatting sqref="V1818">
    <cfRule type="cellIs" dxfId="0" priority="1355" operator="equal">
      <formula>"欠"</formula>
    </cfRule>
  </conditionalFormatting>
  <conditionalFormatting sqref="AI1818">
    <cfRule type="cellIs" dxfId="0" priority="1352" operator="equal">
      <formula>"未完成"</formula>
    </cfRule>
  </conditionalFormatting>
  <conditionalFormatting sqref="AL1818">
    <cfRule type="cellIs" dxfId="1" priority="1361" operator="equal">
      <formula>"未完成"</formula>
    </cfRule>
    <cfRule type="cellIs" dxfId="0" priority="1364" operator="equal">
      <formula>"未完成"</formula>
    </cfRule>
  </conditionalFormatting>
  <conditionalFormatting sqref="AM1818">
    <cfRule type="cellIs" dxfId="0" priority="1358" operator="equal">
      <formula>"欠"</formula>
    </cfRule>
  </conditionalFormatting>
  <conditionalFormatting sqref="V1819">
    <cfRule type="cellIs" dxfId="0" priority="1405" operator="equal">
      <formula>"欠"</formula>
    </cfRule>
  </conditionalFormatting>
  <conditionalFormatting sqref="AI1819">
    <cfRule type="cellIs" dxfId="0" priority="1404" operator="equal">
      <formula>"未完成"</formula>
    </cfRule>
  </conditionalFormatting>
  <conditionalFormatting sqref="AL1819">
    <cfRule type="cellIs" dxfId="1" priority="1407" operator="equal">
      <formula>"未完成"</formula>
    </cfRule>
    <cfRule type="cellIs" dxfId="0" priority="1408" operator="equal">
      <formula>"未完成"</formula>
    </cfRule>
  </conditionalFormatting>
  <conditionalFormatting sqref="AM1819">
    <cfRule type="cellIs" dxfId="0" priority="1406" operator="equal">
      <formula>"欠"</formula>
    </cfRule>
  </conditionalFormatting>
  <conditionalFormatting sqref="Q1824">
    <cfRule type="cellIs" dxfId="0" priority="5436" operator="equal">
      <formula>"欠"</formula>
    </cfRule>
  </conditionalFormatting>
  <conditionalFormatting sqref="R1824">
    <cfRule type="containsText" dxfId="0" priority="5268" operator="between" text="欠">
      <formula>NOT(ISERROR(SEARCH("欠",R1824)))</formula>
    </cfRule>
    <cfRule type="cellIs" dxfId="0" priority="5292" operator="equal">
      <formula>"欠"</formula>
    </cfRule>
  </conditionalFormatting>
  <conditionalFormatting sqref="AI1824">
    <cfRule type="cellIs" dxfId="0" priority="5376" operator="equal">
      <formula>"未完成"</formula>
    </cfRule>
  </conditionalFormatting>
  <conditionalFormatting sqref="AL1824">
    <cfRule type="cellIs" dxfId="1" priority="5412" operator="equal">
      <formula>"未完成"</formula>
    </cfRule>
    <cfRule type="cellIs" dxfId="0" priority="5424" operator="equal">
      <formula>"未完成"</formula>
    </cfRule>
  </conditionalFormatting>
  <conditionalFormatting sqref="AM1824">
    <cfRule type="cellIs" dxfId="0" priority="5400" operator="equal">
      <formula>"欠"</formula>
    </cfRule>
  </conditionalFormatting>
  <conditionalFormatting sqref="V1827">
    <cfRule type="cellIs" dxfId="0" priority="1456" operator="equal">
      <formula>"欠"</formula>
    </cfRule>
  </conditionalFormatting>
  <conditionalFormatting sqref="AI1827">
    <cfRule type="cellIs" dxfId="0" priority="1449" operator="equal">
      <formula>"未完成"</formula>
    </cfRule>
  </conditionalFormatting>
  <conditionalFormatting sqref="AL1827">
    <cfRule type="cellIs" dxfId="1" priority="1470" operator="equal">
      <formula>"未完成"</formula>
    </cfRule>
    <cfRule type="cellIs" dxfId="0" priority="1477" operator="equal">
      <formula>"未完成"</formula>
    </cfRule>
  </conditionalFormatting>
  <conditionalFormatting sqref="AM1827">
    <cfRule type="cellIs" dxfId="0" priority="1463" operator="equal">
      <formula>"欠"</formula>
    </cfRule>
  </conditionalFormatting>
  <conditionalFormatting sqref="V1829">
    <cfRule type="cellIs" dxfId="0" priority="117" operator="equal">
      <formula>"欠"</formula>
    </cfRule>
  </conditionalFormatting>
  <conditionalFormatting sqref="AI1829">
    <cfRule type="cellIs" dxfId="0" priority="343" operator="equal">
      <formula>"未完成"</formula>
    </cfRule>
  </conditionalFormatting>
  <conditionalFormatting sqref="AL1829">
    <cfRule type="cellIs" dxfId="1" priority="346" operator="equal">
      <formula>"未完成"</formula>
    </cfRule>
    <cfRule type="cellIs" dxfId="0" priority="347" operator="equal">
      <formula>"未完成"</formula>
    </cfRule>
  </conditionalFormatting>
  <conditionalFormatting sqref="AM1829">
    <cfRule type="cellIs" dxfId="0" priority="345" operator="equal">
      <formula>"欠"</formula>
    </cfRule>
  </conditionalFormatting>
  <conditionalFormatting sqref="Q1835">
    <cfRule type="cellIs" dxfId="0" priority="4064" operator="equal">
      <formula>"欠"</formula>
    </cfRule>
  </conditionalFormatting>
  <conditionalFormatting sqref="V1835">
    <cfRule type="cellIs" dxfId="0" priority="4060" operator="equal">
      <formula>"欠"</formula>
    </cfRule>
  </conditionalFormatting>
  <conditionalFormatting sqref="AI1835">
    <cfRule type="cellIs" dxfId="0" priority="4059" operator="equal">
      <formula>"未完成"</formula>
    </cfRule>
  </conditionalFormatting>
  <conditionalFormatting sqref="AL1835">
    <cfRule type="cellIs" dxfId="1" priority="4062" operator="equal">
      <formula>"未完成"</formula>
    </cfRule>
    <cfRule type="cellIs" dxfId="0" priority="4063" operator="equal">
      <formula>"未完成"</formula>
    </cfRule>
  </conditionalFormatting>
  <conditionalFormatting sqref="AM1835">
    <cfRule type="cellIs" dxfId="0" priority="4061" operator="equal">
      <formula>"欠"</formula>
    </cfRule>
  </conditionalFormatting>
  <conditionalFormatting sqref="Q1836">
    <cfRule type="cellIs" dxfId="0" priority="4028" operator="equal">
      <formula>"欠"</formula>
    </cfRule>
  </conditionalFormatting>
  <conditionalFormatting sqref="V1836">
    <cfRule type="cellIs" dxfId="0" priority="4000" operator="equal">
      <formula>"欠"</formula>
    </cfRule>
  </conditionalFormatting>
  <conditionalFormatting sqref="AI1836">
    <cfRule type="cellIs" dxfId="0" priority="3993" operator="equal">
      <formula>"未完成"</formula>
    </cfRule>
  </conditionalFormatting>
  <conditionalFormatting sqref="AL1836">
    <cfRule type="cellIs" dxfId="1" priority="4014" operator="equal">
      <formula>"未完成"</formula>
    </cfRule>
    <cfRule type="cellIs" dxfId="0" priority="4021" operator="equal">
      <formula>"未完成"</formula>
    </cfRule>
  </conditionalFormatting>
  <conditionalFormatting sqref="AM1836">
    <cfRule type="cellIs" dxfId="0" priority="4007" operator="equal">
      <formula>"欠"</formula>
    </cfRule>
  </conditionalFormatting>
  <conditionalFormatting sqref="V1837">
    <cfRule type="cellIs" dxfId="0" priority="446" operator="equal">
      <formula>"欠"</formula>
    </cfRule>
  </conditionalFormatting>
  <conditionalFormatting sqref="AI1837">
    <cfRule type="cellIs" dxfId="0" priority="437" operator="equal">
      <formula>"未完成"</formula>
    </cfRule>
  </conditionalFormatting>
  <conditionalFormatting sqref="AL1837">
    <cfRule type="cellIs" dxfId="1" priority="464" operator="equal">
      <formula>"未完成"</formula>
    </cfRule>
    <cfRule type="cellIs" dxfId="0" priority="473" operator="equal">
      <formula>"未完成"</formula>
    </cfRule>
  </conditionalFormatting>
  <conditionalFormatting sqref="AM1837">
    <cfRule type="cellIs" dxfId="0" priority="455" operator="equal">
      <formula>"欠"</formula>
    </cfRule>
  </conditionalFormatting>
  <conditionalFormatting sqref="V1838">
    <cfRule type="cellIs" dxfId="0" priority="445" operator="equal">
      <formula>"欠"</formula>
    </cfRule>
  </conditionalFormatting>
  <conditionalFormatting sqref="AI1838">
    <cfRule type="cellIs" dxfId="0" priority="436" operator="equal">
      <formula>"未完成"</formula>
    </cfRule>
  </conditionalFormatting>
  <conditionalFormatting sqref="AL1838">
    <cfRule type="cellIs" dxfId="1" priority="463" operator="equal">
      <formula>"未完成"</formula>
    </cfRule>
    <cfRule type="cellIs" dxfId="0" priority="472" operator="equal">
      <formula>"未完成"</formula>
    </cfRule>
  </conditionalFormatting>
  <conditionalFormatting sqref="AM1838">
    <cfRule type="cellIs" dxfId="0" priority="454" operator="equal">
      <formula>"欠"</formula>
    </cfRule>
  </conditionalFormatting>
  <conditionalFormatting sqref="V1839">
    <cfRule type="cellIs" dxfId="0" priority="442" operator="equal">
      <formula>"欠"</formula>
    </cfRule>
  </conditionalFormatting>
  <conditionalFormatting sqref="AM1839">
    <cfRule type="cellIs" dxfId="0" priority="451" operator="equal">
      <formula>"欠"</formula>
    </cfRule>
  </conditionalFormatting>
  <conditionalFormatting sqref="V1840">
    <cfRule type="cellIs" dxfId="0" priority="441" operator="equal">
      <formula>"欠"</formula>
    </cfRule>
  </conditionalFormatting>
  <conditionalFormatting sqref="AI1840">
    <cfRule type="cellIs" dxfId="0" priority="433" operator="equal">
      <formula>"未完成"</formula>
    </cfRule>
  </conditionalFormatting>
  <conditionalFormatting sqref="AM1840">
    <cfRule type="cellIs" dxfId="0" priority="450" operator="equal">
      <formula>"欠"</formula>
    </cfRule>
  </conditionalFormatting>
  <conditionalFormatting sqref="V1841">
    <cfRule type="cellIs" dxfId="0" priority="440" operator="equal">
      <formula>"欠"</formula>
    </cfRule>
  </conditionalFormatting>
  <conditionalFormatting sqref="AI1841">
    <cfRule type="cellIs" dxfId="0" priority="431" operator="equal">
      <formula>"未完成"</formula>
    </cfRule>
  </conditionalFormatting>
  <conditionalFormatting sqref="AM1841">
    <cfRule type="cellIs" dxfId="0" priority="449" operator="equal">
      <formula>"欠"</formula>
    </cfRule>
  </conditionalFormatting>
  <conditionalFormatting sqref="V1842">
    <cfRule type="cellIs" dxfId="0" priority="439" operator="equal">
      <formula>"欠"</formula>
    </cfRule>
  </conditionalFormatting>
  <conditionalFormatting sqref="AI1842">
    <cfRule type="cellIs" dxfId="0" priority="430" operator="equal">
      <formula>"未完成"</formula>
    </cfRule>
  </conditionalFormatting>
  <conditionalFormatting sqref="AM1842">
    <cfRule type="cellIs" dxfId="0" priority="448" operator="equal">
      <formula>"欠"</formula>
    </cfRule>
  </conditionalFormatting>
  <conditionalFormatting sqref="Q1847">
    <cfRule type="cellIs" dxfId="0" priority="1227" operator="equal">
      <formula>"欠"</formula>
    </cfRule>
  </conditionalFormatting>
  <conditionalFormatting sqref="AI1847">
    <cfRule type="cellIs" dxfId="0" priority="1172" operator="equal">
      <formula>"未完成"</formula>
    </cfRule>
  </conditionalFormatting>
  <conditionalFormatting sqref="AM1847">
    <cfRule type="cellIs" dxfId="0" priority="1194" operator="equal">
      <formula>"欠"</formula>
    </cfRule>
  </conditionalFormatting>
  <conditionalFormatting sqref="Q1848">
    <cfRule type="cellIs" dxfId="0" priority="1226" operator="equal">
      <formula>"欠"</formula>
    </cfRule>
  </conditionalFormatting>
  <conditionalFormatting sqref="AI1848">
    <cfRule type="cellIs" dxfId="0" priority="1171" operator="equal">
      <formula>"未完成"</formula>
    </cfRule>
  </conditionalFormatting>
  <conditionalFormatting sqref="AM1848">
    <cfRule type="cellIs" dxfId="0" priority="1193" operator="equal">
      <formula>"欠"</formula>
    </cfRule>
  </conditionalFormatting>
  <conditionalFormatting sqref="Q1850">
    <cfRule type="cellIs" dxfId="0" priority="1225" operator="equal">
      <formula>"欠"</formula>
    </cfRule>
  </conditionalFormatting>
  <conditionalFormatting sqref="AI1850">
    <cfRule type="cellIs" dxfId="0" priority="1170" operator="equal">
      <formula>"未完成"</formula>
    </cfRule>
  </conditionalFormatting>
  <conditionalFormatting sqref="AM1850">
    <cfRule type="cellIs" dxfId="0" priority="1192" operator="equal">
      <formula>"欠"</formula>
    </cfRule>
  </conditionalFormatting>
  <conditionalFormatting sqref="V1861">
    <cfRule type="cellIs" dxfId="0" priority="584" operator="equal">
      <formula>"欠"</formula>
    </cfRule>
  </conditionalFormatting>
  <conditionalFormatting sqref="AL1861:AM1861">
    <cfRule type="cellIs" dxfId="1" priority="589" operator="equal">
      <formula>"未完成"</formula>
    </cfRule>
    <cfRule type="cellIs" dxfId="0" priority="594" operator="equal">
      <formula>"未完成"</formula>
    </cfRule>
  </conditionalFormatting>
  <conditionalFormatting sqref="V1862">
    <cfRule type="cellIs" dxfId="0" priority="581" operator="equal">
      <formula>"欠"</formula>
    </cfRule>
  </conditionalFormatting>
  <conditionalFormatting sqref="AL1862:AM1862">
    <cfRule type="cellIs" dxfId="1" priority="586" operator="equal">
      <formula>"未完成"</formula>
    </cfRule>
    <cfRule type="cellIs" dxfId="0" priority="591" operator="equal">
      <formula>"未完成"</formula>
    </cfRule>
  </conditionalFormatting>
  <conditionalFormatting sqref="V1863">
    <cfRule type="cellIs" dxfId="0" priority="580" operator="equal">
      <formula>"欠"</formula>
    </cfRule>
  </conditionalFormatting>
  <conditionalFormatting sqref="AL1863:AM1863">
    <cfRule type="cellIs" dxfId="1" priority="585" operator="equal">
      <formula>"未完成"</formula>
    </cfRule>
    <cfRule type="cellIs" dxfId="0" priority="590" operator="equal">
      <formula>"未完成"</formula>
    </cfRule>
  </conditionalFormatting>
  <conditionalFormatting sqref="Q1872">
    <cfRule type="cellIs" dxfId="0" priority="336" operator="equal">
      <formula>"欠"</formula>
    </cfRule>
  </conditionalFormatting>
  <conditionalFormatting sqref="V1872">
    <cfRule type="cellIs" dxfId="0" priority="332" operator="equal">
      <formula>"欠"</formula>
    </cfRule>
  </conditionalFormatting>
  <conditionalFormatting sqref="AI1872">
    <cfRule type="cellIs" dxfId="0" priority="331" operator="equal">
      <formula>"未完成"</formula>
    </cfRule>
  </conditionalFormatting>
  <conditionalFormatting sqref="AL1872">
    <cfRule type="cellIs" dxfId="1" priority="334" operator="equal">
      <formula>"未完成"</formula>
    </cfRule>
    <cfRule type="cellIs" dxfId="0" priority="335" operator="equal">
      <formula>"未完成"</formula>
    </cfRule>
  </conditionalFormatting>
  <conditionalFormatting sqref="AM1872">
    <cfRule type="cellIs" dxfId="0" priority="333" operator="equal">
      <formula>"欠"</formula>
    </cfRule>
  </conditionalFormatting>
  <conditionalFormatting sqref="Q1883">
    <cfRule type="cellIs" dxfId="0" priority="4027" operator="equal">
      <formula>"欠"</formula>
    </cfRule>
  </conditionalFormatting>
  <conditionalFormatting sqref="R1883">
    <cfRule type="containsText" dxfId="0" priority="861" operator="between" text="欠">
      <formula>NOT(ISERROR(SEARCH("欠",R1883)))</formula>
    </cfRule>
    <cfRule type="cellIs" dxfId="0" priority="865" operator="equal">
      <formula>"欠"</formula>
    </cfRule>
  </conditionalFormatting>
  <conditionalFormatting sqref="S1883">
    <cfRule type="cellIs" dxfId="0" priority="873" operator="equal">
      <formula>"欠"</formula>
    </cfRule>
  </conditionalFormatting>
  <conditionalFormatting sqref="T1883:U1883">
    <cfRule type="containsText" dxfId="0" priority="739" operator="between" text="欠">
      <formula>NOT(ISERROR(SEARCH("欠",T1883)))</formula>
    </cfRule>
    <cfRule type="containsText" dxfId="2" priority="740" operator="between" text="欠">
      <formula>NOT(ISERROR(SEARCH("欠",T1883)))</formula>
    </cfRule>
    <cfRule type="cellIs" dxfId="0" priority="741" operator="equal">
      <formula>"欠"</formula>
    </cfRule>
  </conditionalFormatting>
  <conditionalFormatting sqref="V1883">
    <cfRule type="cellIs" dxfId="0" priority="3999" operator="equal">
      <formula>"欠"</formula>
    </cfRule>
  </conditionalFormatting>
  <conditionalFormatting sqref="AI1883">
    <cfRule type="cellIs" dxfId="0" priority="3992" operator="equal">
      <formula>"未完成"</formula>
    </cfRule>
  </conditionalFormatting>
  <conditionalFormatting sqref="AL1883">
    <cfRule type="cellIs" dxfId="1" priority="4013" operator="equal">
      <formula>"未完成"</formula>
    </cfRule>
    <cfRule type="cellIs" dxfId="0" priority="4020" operator="equal">
      <formula>"未完成"</formula>
    </cfRule>
  </conditionalFormatting>
  <conditionalFormatting sqref="AM1883">
    <cfRule type="cellIs" dxfId="0" priority="4006" operator="equal">
      <formula>"欠"</formula>
    </cfRule>
  </conditionalFormatting>
  <conditionalFormatting sqref="Q1886">
    <cfRule type="cellIs" dxfId="0" priority="4026" operator="equal">
      <formula>"欠"</formula>
    </cfRule>
  </conditionalFormatting>
  <conditionalFormatting sqref="V1886">
    <cfRule type="cellIs" dxfId="0" priority="3998" operator="equal">
      <formula>"欠"</formula>
    </cfRule>
  </conditionalFormatting>
  <conditionalFormatting sqref="AI1886">
    <cfRule type="cellIs" dxfId="0" priority="3991" operator="equal">
      <formula>"未完成"</formula>
    </cfRule>
  </conditionalFormatting>
  <conditionalFormatting sqref="AL1886">
    <cfRule type="cellIs" dxfId="1" priority="4012" operator="equal">
      <formula>"未完成"</formula>
    </cfRule>
    <cfRule type="cellIs" dxfId="0" priority="4019" operator="equal">
      <formula>"未完成"</formula>
    </cfRule>
  </conditionalFormatting>
  <conditionalFormatting sqref="AM1886">
    <cfRule type="cellIs" dxfId="0" priority="4005" operator="equal">
      <formula>"欠"</formula>
    </cfRule>
  </conditionalFormatting>
  <conditionalFormatting sqref="Q1905">
    <cfRule type="cellIs" dxfId="0" priority="2905" operator="equal">
      <formula>"欠"</formula>
    </cfRule>
  </conditionalFormatting>
  <conditionalFormatting sqref="T1905:U1905">
    <cfRule type="containsText" dxfId="0" priority="2817" operator="between" text="欠">
      <formula>NOT(ISERROR(SEARCH("欠",T1905)))</formula>
    </cfRule>
    <cfRule type="cellIs" dxfId="0" priority="2839" operator="equal">
      <formula>"欠"</formula>
    </cfRule>
  </conditionalFormatting>
  <conditionalFormatting sqref="AI1905">
    <cfRule type="cellIs" dxfId="0" priority="2850" operator="equal">
      <formula>"未完成"</formula>
    </cfRule>
  </conditionalFormatting>
  <conditionalFormatting sqref="AL1905">
    <cfRule type="cellIs" dxfId="1" priority="2883" operator="equal">
      <formula>"未完成"</formula>
    </cfRule>
    <cfRule type="cellIs" dxfId="0" priority="2894" operator="equal">
      <formula>"未完成"</formula>
    </cfRule>
  </conditionalFormatting>
  <conditionalFormatting sqref="AM1905">
    <cfRule type="cellIs" dxfId="0" priority="2872" operator="equal">
      <formula>"欠"</formula>
    </cfRule>
  </conditionalFormatting>
  <conditionalFormatting sqref="Q1906">
    <cfRule type="cellIs" dxfId="0" priority="2904" operator="equal">
      <formula>"欠"</formula>
    </cfRule>
  </conditionalFormatting>
  <conditionalFormatting sqref="AI1906">
    <cfRule type="cellIs" dxfId="0" priority="2849" operator="equal">
      <formula>"未完成"</formula>
    </cfRule>
  </conditionalFormatting>
  <conditionalFormatting sqref="AL1906">
    <cfRule type="cellIs" dxfId="1" priority="2882" operator="equal">
      <formula>"未完成"</formula>
    </cfRule>
    <cfRule type="cellIs" dxfId="0" priority="2893" operator="equal">
      <formula>"未完成"</formula>
    </cfRule>
  </conditionalFormatting>
  <conditionalFormatting sqref="AM1906">
    <cfRule type="cellIs" dxfId="0" priority="2871" operator="equal">
      <formula>"欠"</formula>
    </cfRule>
  </conditionalFormatting>
  <conditionalFormatting sqref="Q1907">
    <cfRule type="cellIs" dxfId="0" priority="2903" operator="equal">
      <formula>"欠"</formula>
    </cfRule>
  </conditionalFormatting>
  <conditionalFormatting sqref="V1907">
    <cfRule type="cellIs" dxfId="0" priority="2859" operator="equal">
      <formula>"欠"</formula>
    </cfRule>
  </conditionalFormatting>
  <conditionalFormatting sqref="AI1907">
    <cfRule type="cellIs" dxfId="0" priority="2848" operator="equal">
      <formula>"未完成"</formula>
    </cfRule>
  </conditionalFormatting>
  <conditionalFormatting sqref="AL1907">
    <cfRule type="cellIs" dxfId="1" priority="2881" operator="equal">
      <formula>"未完成"</formula>
    </cfRule>
    <cfRule type="cellIs" dxfId="0" priority="2892" operator="equal">
      <formula>"未完成"</formula>
    </cfRule>
  </conditionalFormatting>
  <conditionalFormatting sqref="AM1907">
    <cfRule type="cellIs" dxfId="0" priority="2870" operator="equal">
      <formula>"欠"</formula>
    </cfRule>
  </conditionalFormatting>
  <conditionalFormatting sqref="Q1908">
    <cfRule type="cellIs" dxfId="0" priority="2902" operator="equal">
      <formula>"欠"</formula>
    </cfRule>
  </conditionalFormatting>
  <conditionalFormatting sqref="AI1908">
    <cfRule type="cellIs" dxfId="0" priority="2847" operator="equal">
      <formula>"未完成"</formula>
    </cfRule>
  </conditionalFormatting>
  <conditionalFormatting sqref="AL1908">
    <cfRule type="cellIs" dxfId="1" priority="2880" operator="equal">
      <formula>"未完成"</formula>
    </cfRule>
    <cfRule type="cellIs" dxfId="0" priority="2891" operator="equal">
      <formula>"未完成"</formula>
    </cfRule>
  </conditionalFormatting>
  <conditionalFormatting sqref="AM1908">
    <cfRule type="cellIs" dxfId="0" priority="2869" operator="equal">
      <formula>"欠"</formula>
    </cfRule>
  </conditionalFormatting>
  <conditionalFormatting sqref="Q1909">
    <cfRule type="cellIs" dxfId="0" priority="2901" operator="equal">
      <formula>"欠"</formula>
    </cfRule>
  </conditionalFormatting>
  <conditionalFormatting sqref="V1909">
    <cfRule type="cellIs" dxfId="0" priority="2857" operator="equal">
      <formula>"欠"</formula>
    </cfRule>
  </conditionalFormatting>
  <conditionalFormatting sqref="AI1909">
    <cfRule type="cellIs" dxfId="0" priority="2846" operator="equal">
      <formula>"未完成"</formula>
    </cfRule>
  </conditionalFormatting>
  <conditionalFormatting sqref="AL1909">
    <cfRule type="cellIs" dxfId="1" priority="2879" operator="equal">
      <formula>"未完成"</formula>
    </cfRule>
    <cfRule type="cellIs" dxfId="0" priority="2890" operator="equal">
      <formula>"未完成"</formula>
    </cfRule>
  </conditionalFormatting>
  <conditionalFormatting sqref="AM1909">
    <cfRule type="cellIs" dxfId="0" priority="2868" operator="equal">
      <formula>"欠"</formula>
    </cfRule>
  </conditionalFormatting>
  <conditionalFormatting sqref="Q1933">
    <cfRule type="cellIs" dxfId="0" priority="1104" operator="equal">
      <formula>"欠"</formula>
    </cfRule>
  </conditionalFormatting>
  <conditionalFormatting sqref="R1933">
    <cfRule type="containsText" dxfId="0" priority="744" operator="between" text="欠">
      <formula>NOT(ISERROR(SEARCH("欠",R1933)))</formula>
    </cfRule>
    <cfRule type="cellIs" dxfId="0" priority="745" operator="equal">
      <formula>"欠"</formula>
    </cfRule>
  </conditionalFormatting>
  <conditionalFormatting sqref="AI1933">
    <cfRule type="cellIs" dxfId="0" priority="1084" operator="equal">
      <formula>"未完成"</formula>
    </cfRule>
  </conditionalFormatting>
  <conditionalFormatting sqref="AL1933">
    <cfRule type="cellIs" dxfId="1" priority="1096" operator="equal">
      <formula>"未完成"</formula>
    </cfRule>
    <cfRule type="cellIs" dxfId="0" priority="1100" operator="equal">
      <formula>"未完成"</formula>
    </cfRule>
  </conditionalFormatting>
  <conditionalFormatting sqref="AM1933">
    <cfRule type="cellIs" dxfId="0" priority="1092" operator="equal">
      <formula>"欠"</formula>
    </cfRule>
  </conditionalFormatting>
  <conditionalFormatting sqref="Q1948">
    <cfRule type="cellIs" dxfId="0" priority="4025" operator="equal">
      <formula>"欠"</formula>
    </cfRule>
  </conditionalFormatting>
  <conditionalFormatting sqref="V1948">
    <cfRule type="cellIs" dxfId="0" priority="3997" operator="equal">
      <formula>"欠"</formula>
    </cfRule>
  </conditionalFormatting>
  <conditionalFormatting sqref="AI1948">
    <cfRule type="cellIs" dxfId="0" priority="3990" operator="equal">
      <formula>"未完成"</formula>
    </cfRule>
  </conditionalFormatting>
  <conditionalFormatting sqref="AL1948">
    <cfRule type="cellIs" dxfId="1" priority="4011" operator="equal">
      <formula>"未完成"</formula>
    </cfRule>
    <cfRule type="cellIs" dxfId="0" priority="4018" operator="equal">
      <formula>"未完成"</formula>
    </cfRule>
  </conditionalFormatting>
  <conditionalFormatting sqref="AM1948">
    <cfRule type="cellIs" dxfId="0" priority="4004" operator="equal">
      <formula>"欠"</formula>
    </cfRule>
  </conditionalFormatting>
  <conditionalFormatting sqref="Q1949">
    <cfRule type="cellIs" dxfId="0" priority="4024" operator="equal">
      <formula>"欠"</formula>
    </cfRule>
  </conditionalFormatting>
  <conditionalFormatting sqref="V1949">
    <cfRule type="cellIs" dxfId="0" priority="3996" operator="equal">
      <formula>"欠"</formula>
    </cfRule>
  </conditionalFormatting>
  <conditionalFormatting sqref="AI1949">
    <cfRule type="cellIs" dxfId="0" priority="3989" operator="equal">
      <formula>"未完成"</formula>
    </cfRule>
  </conditionalFormatting>
  <conditionalFormatting sqref="AL1949">
    <cfRule type="cellIs" dxfId="1" priority="4010" operator="equal">
      <formula>"未完成"</formula>
    </cfRule>
    <cfRule type="cellIs" dxfId="0" priority="4017" operator="equal">
      <formula>"未完成"</formula>
    </cfRule>
  </conditionalFormatting>
  <conditionalFormatting sqref="AM1949">
    <cfRule type="cellIs" dxfId="0" priority="4003" operator="equal">
      <formula>"欠"</formula>
    </cfRule>
  </conditionalFormatting>
  <conditionalFormatting sqref="Q1953">
    <cfRule type="cellIs" dxfId="0" priority="17" operator="equal">
      <formula>"欠"</formula>
    </cfRule>
  </conditionalFormatting>
  <conditionalFormatting sqref="R1953">
    <cfRule type="containsText" dxfId="3" priority="2" operator="between" text="欠">
      <formula>NOT(ISERROR(SEARCH("欠",R1953)))</formula>
    </cfRule>
    <cfRule type="containsText" dxfId="0" priority="18" operator="between" text="欠">
      <formula>NOT(ISERROR(SEARCH("欠",R1953)))</formula>
    </cfRule>
    <cfRule type="cellIs" dxfId="0" priority="19" operator="equal">
      <formula>"欠"</formula>
    </cfRule>
  </conditionalFormatting>
  <conditionalFormatting sqref="S1953">
    <cfRule type="cellIs" dxfId="0" priority="23" operator="equal">
      <formula>"欠"</formula>
    </cfRule>
  </conditionalFormatting>
  <conditionalFormatting sqref="T1953:U1953">
    <cfRule type="containsText" dxfId="3" priority="4" operator="between" text="欠">
      <formula>NOT(ISERROR(SEARCH("欠",T1953)))</formula>
    </cfRule>
    <cfRule type="containsText" dxfId="0" priority="21" operator="between" text="欠">
      <formula>NOT(ISERROR(SEARCH("欠",T1953)))</formula>
    </cfRule>
    <cfRule type="cellIs" dxfId="0" priority="22" operator="equal">
      <formula>"欠"</formula>
    </cfRule>
  </conditionalFormatting>
  <conditionalFormatting sqref="V1953">
    <cfRule type="containsText" dxfId="0" priority="9" operator="between" text="欠">
      <formula>NOT(ISERROR(SEARCH("欠",V1953)))</formula>
    </cfRule>
    <cfRule type="cellIs" dxfId="0" priority="10" operator="equal">
      <formula>"欠"</formula>
    </cfRule>
  </conditionalFormatting>
  <conditionalFormatting sqref="W1953">
    <cfRule type="containsText" dxfId="3" priority="3" operator="between" text="欠">
      <formula>NOT(ISERROR(SEARCH("欠",W1953)))</formula>
    </cfRule>
    <cfRule type="containsText" dxfId="3" priority="5" operator="between" text="未安排">
      <formula>NOT(ISERROR(SEARCH("未安排",W1953)))</formula>
    </cfRule>
  </conditionalFormatting>
  <conditionalFormatting sqref="AB1953">
    <cfRule type="containsText" dxfId="3" priority="1" operator="between" text="欠">
      <formula>NOT(ISERROR(SEARCH("欠",AB1953)))</formula>
    </cfRule>
    <cfRule type="containsText" dxfId="3" priority="6" operator="between" text="否">
      <formula>NOT(ISERROR(SEARCH("否",AB1953)))</formula>
    </cfRule>
  </conditionalFormatting>
  <conditionalFormatting sqref="AH1953">
    <cfRule type="cellIs" dxfId="0" priority="13" operator="equal">
      <formula>"未完成"</formula>
    </cfRule>
  </conditionalFormatting>
  <conditionalFormatting sqref="AK1953">
    <cfRule type="cellIs" dxfId="1" priority="15" operator="equal">
      <formula>"未完成"</formula>
    </cfRule>
    <cfRule type="cellIs" dxfId="0" priority="16" operator="equal">
      <formula>"未完成"</formula>
    </cfRule>
  </conditionalFormatting>
  <conditionalFormatting sqref="AL1953">
    <cfRule type="cellIs" dxfId="0" priority="14" operator="equal">
      <formula>"欠"</formula>
    </cfRule>
  </conditionalFormatting>
  <conditionalFormatting sqref="Q1975">
    <cfRule type="cellIs" dxfId="0" priority="4023" operator="equal">
      <formula>"欠"</formula>
    </cfRule>
  </conditionalFormatting>
  <conditionalFormatting sqref="V1975">
    <cfRule type="cellIs" dxfId="0" priority="3995" operator="equal">
      <formula>"欠"</formula>
    </cfRule>
  </conditionalFormatting>
  <conditionalFormatting sqref="AI1975">
    <cfRule type="cellIs" dxfId="0" priority="3988" operator="equal">
      <formula>"未完成"</formula>
    </cfRule>
  </conditionalFormatting>
  <conditionalFormatting sqref="AL1975">
    <cfRule type="cellIs" dxfId="1" priority="4009" operator="equal">
      <formula>"未完成"</formula>
    </cfRule>
    <cfRule type="cellIs" dxfId="0" priority="4016" operator="equal">
      <formula>"未完成"</formula>
    </cfRule>
  </conditionalFormatting>
  <conditionalFormatting sqref="AM1975">
    <cfRule type="cellIs" dxfId="0" priority="4002" operator="equal">
      <formula>"欠"</formula>
    </cfRule>
  </conditionalFormatting>
  <conditionalFormatting sqref="Q1977">
    <cfRule type="cellIs" dxfId="0" priority="324" operator="equal">
      <formula>"欠"</formula>
    </cfRule>
  </conditionalFormatting>
  <conditionalFormatting sqref="V1977">
    <cfRule type="cellIs" dxfId="0" priority="320" operator="equal">
      <formula>"欠"</formula>
    </cfRule>
  </conditionalFormatting>
  <conditionalFormatting sqref="AI1977">
    <cfRule type="cellIs" dxfId="0" priority="319" operator="equal">
      <formula>"未完成"</formula>
    </cfRule>
  </conditionalFormatting>
  <conditionalFormatting sqref="AL1977">
    <cfRule type="cellIs" dxfId="1" priority="322" operator="equal">
      <formula>"未完成"</formula>
    </cfRule>
    <cfRule type="cellIs" dxfId="0" priority="323" operator="equal">
      <formula>"未完成"</formula>
    </cfRule>
  </conditionalFormatting>
  <conditionalFormatting sqref="AM1977">
    <cfRule type="cellIs" dxfId="0" priority="321" operator="equal">
      <formula>"欠"</formula>
    </cfRule>
  </conditionalFormatting>
  <conditionalFormatting sqref="Q1978">
    <cfRule type="cellIs" dxfId="0" priority="169" operator="equal">
      <formula>"欠"</formula>
    </cfRule>
  </conditionalFormatting>
  <conditionalFormatting sqref="V1978">
    <cfRule type="cellIs" dxfId="0" priority="165" operator="equal">
      <formula>"欠"</formula>
    </cfRule>
  </conditionalFormatting>
  <conditionalFormatting sqref="AI1978">
    <cfRule type="cellIs" dxfId="0" priority="164" operator="equal">
      <formula>"未完成"</formula>
    </cfRule>
  </conditionalFormatting>
  <conditionalFormatting sqref="AL1978">
    <cfRule type="cellIs" dxfId="1" priority="167" operator="equal">
      <formula>"未完成"</formula>
    </cfRule>
    <cfRule type="cellIs" dxfId="0" priority="168" operator="equal">
      <formula>"未完成"</formula>
    </cfRule>
  </conditionalFormatting>
  <conditionalFormatting sqref="AM1978">
    <cfRule type="cellIs" dxfId="0" priority="166" operator="equal">
      <formula>"欠"</formula>
    </cfRule>
  </conditionalFormatting>
  <conditionalFormatting sqref="Q1986">
    <cfRule type="cellIs" dxfId="0" priority="855" operator="equal">
      <formula>"欠"</formula>
    </cfRule>
  </conditionalFormatting>
  <conditionalFormatting sqref="V1986">
    <cfRule type="cellIs" dxfId="0" priority="839" operator="equal">
      <formula>"欠"</formula>
    </cfRule>
  </conditionalFormatting>
  <conditionalFormatting sqref="AI1986">
    <cfRule type="cellIs" dxfId="0" priority="835" operator="equal">
      <formula>"未完成"</formula>
    </cfRule>
  </conditionalFormatting>
  <conditionalFormatting sqref="AL1986">
    <cfRule type="cellIs" dxfId="1" priority="847" operator="equal">
      <formula>"未完成"</formula>
    </cfRule>
    <cfRule type="cellIs" dxfId="0" priority="851" operator="equal">
      <formula>"未完成"</formula>
    </cfRule>
  </conditionalFormatting>
  <conditionalFormatting sqref="AM1986">
    <cfRule type="cellIs" dxfId="0" priority="843" operator="equal">
      <formula>"欠"</formula>
    </cfRule>
  </conditionalFormatting>
  <conditionalFormatting sqref="V1993">
    <cfRule type="cellIs" dxfId="0" priority="838" operator="equal">
      <formula>"欠"</formula>
    </cfRule>
  </conditionalFormatting>
  <conditionalFormatting sqref="Q1417:Q1418">
    <cfRule type="cellIs" dxfId="0" priority="4633" operator="equal">
      <formula>"欠"</formula>
    </cfRule>
  </conditionalFormatting>
  <conditionalFormatting sqref="Q1457:Q1465">
    <cfRule type="cellIs" dxfId="0" priority="3879" operator="equal">
      <formula>"欠"</formula>
    </cfRule>
  </conditionalFormatting>
  <conditionalFormatting sqref="Q1468:Q1469">
    <cfRule type="cellIs" dxfId="0" priority="3224" operator="equal">
      <formula>"欠"</formula>
    </cfRule>
  </conditionalFormatting>
  <conditionalFormatting sqref="Q1477:Q1478">
    <cfRule type="cellIs" dxfId="0" priority="3597" operator="equal">
      <formula>"欠"</formula>
    </cfRule>
  </conditionalFormatting>
  <conditionalFormatting sqref="Q1486:Q1487">
    <cfRule type="cellIs" dxfId="0" priority="4537" operator="equal">
      <formula>"欠"</formula>
    </cfRule>
  </conditionalFormatting>
  <conditionalFormatting sqref="Q1489:Q1495">
    <cfRule type="cellIs" dxfId="0" priority="3408" operator="equal">
      <formula>"欠"</formula>
    </cfRule>
  </conditionalFormatting>
  <conditionalFormatting sqref="Q1498:Q1500">
    <cfRule type="cellIs" dxfId="0" priority="3165" operator="equal">
      <formula>"欠"</formula>
    </cfRule>
  </conditionalFormatting>
  <conditionalFormatting sqref="Q1507:Q1508">
    <cfRule type="cellIs" dxfId="0" priority="4335" operator="equal">
      <formula>"欠"</formula>
    </cfRule>
  </conditionalFormatting>
  <conditionalFormatting sqref="Q1512:Q1517">
    <cfRule type="cellIs" dxfId="0" priority="2438" operator="equal">
      <formula>"欠"</formula>
    </cfRule>
  </conditionalFormatting>
  <conditionalFormatting sqref="Q1577:Q1578">
    <cfRule type="cellIs" dxfId="0" priority="2670" operator="equal">
      <formula>"欠"</formula>
    </cfRule>
  </conditionalFormatting>
  <conditionalFormatting sqref="Q1580:Q1581">
    <cfRule type="cellIs" dxfId="0" priority="2283" operator="equal">
      <formula>"欠"</formula>
    </cfRule>
  </conditionalFormatting>
  <conditionalFormatting sqref="Q1585:Q1587">
    <cfRule type="cellIs" dxfId="0" priority="2171" operator="equal">
      <formula>"欠"</formula>
    </cfRule>
  </conditionalFormatting>
  <conditionalFormatting sqref="Q1590:Q1591">
    <cfRule type="cellIs" dxfId="0" priority="2166" operator="equal">
      <formula>"欠"</formula>
    </cfRule>
  </conditionalFormatting>
  <conditionalFormatting sqref="Q1602:Q1604">
    <cfRule type="cellIs" dxfId="0" priority="1101" operator="equal">
      <formula>"欠"</formula>
    </cfRule>
  </conditionalFormatting>
  <conditionalFormatting sqref="Q1603:Q1604">
    <cfRule type="cellIs" dxfId="0" priority="512" operator="equal">
      <formula>"欠"</formula>
    </cfRule>
  </conditionalFormatting>
  <conditionalFormatting sqref="Q1611:Q1612">
    <cfRule type="cellIs" dxfId="0" priority="1334" operator="equal">
      <formula>"欠"</formula>
    </cfRule>
  </conditionalFormatting>
  <conditionalFormatting sqref="Q1627:Q1628">
    <cfRule type="cellIs" dxfId="0" priority="1487" operator="equal">
      <formula>"欠"</formula>
    </cfRule>
  </conditionalFormatting>
  <conditionalFormatting sqref="Q1656:Q1658">
    <cfRule type="cellIs" dxfId="0" priority="1627" operator="equal">
      <formula>"欠"</formula>
    </cfRule>
  </conditionalFormatting>
  <conditionalFormatting sqref="Q1659:Q1660">
    <cfRule type="cellIs" dxfId="0" priority="1624" operator="equal">
      <formula>"欠"</formula>
    </cfRule>
  </conditionalFormatting>
  <conditionalFormatting sqref="Q1661:Q1665">
    <cfRule type="cellIs" dxfId="0" priority="1622" operator="equal">
      <formula>"欠"</formula>
    </cfRule>
  </conditionalFormatting>
  <conditionalFormatting sqref="Q1698:Q1699">
    <cfRule type="cellIs" dxfId="0" priority="640" operator="equal">
      <formula>"欠"</formula>
    </cfRule>
  </conditionalFormatting>
  <conditionalFormatting sqref="Q1721:Q1732">
    <cfRule type="cellIs" dxfId="0" priority="2667" operator="equal">
      <formula>"欠"</formula>
    </cfRule>
  </conditionalFormatting>
  <conditionalFormatting sqref="Q1744:Q1745">
    <cfRule type="cellIs" dxfId="0" priority="832" operator="equal">
      <formula>"欠"</formula>
    </cfRule>
  </conditionalFormatting>
  <conditionalFormatting sqref="Q1770:Q1771">
    <cfRule type="cellIs" dxfId="0" priority="1036" operator="equal">
      <formula>"欠"</formula>
    </cfRule>
  </conditionalFormatting>
  <conditionalFormatting sqref="Q1790:Q1792">
    <cfRule type="cellIs" dxfId="0" priority="1368" operator="equal">
      <formula>"欠"</formula>
    </cfRule>
  </conditionalFormatting>
  <conditionalFormatting sqref="Q1806:Q1906">
    <cfRule type="cellIs" dxfId="0" priority="1011" operator="equal">
      <formula>"欠"</formula>
    </cfRule>
  </conditionalFormatting>
  <conditionalFormatting sqref="Q1837:Q1838">
    <cfRule type="cellIs" dxfId="0" priority="482" operator="equal">
      <formula>"欠"</formula>
    </cfRule>
  </conditionalFormatting>
  <conditionalFormatting sqref="Q1839:Q1841">
    <cfRule type="cellIs" dxfId="0" priority="478" operator="equal">
      <formula>"欠"</formula>
    </cfRule>
  </conditionalFormatting>
  <conditionalFormatting sqref="Q1901:Q1903">
    <cfRule type="cellIs" dxfId="0" priority="98" operator="equal">
      <formula>"欠"</formula>
    </cfRule>
  </conditionalFormatting>
  <conditionalFormatting sqref="Q1934:Q1938">
    <cfRule type="cellIs" dxfId="0" priority="857" operator="equal">
      <formula>"欠"</formula>
    </cfRule>
  </conditionalFormatting>
  <conditionalFormatting sqref="Q1941:Q1950">
    <cfRule type="cellIs" dxfId="0" priority="856" operator="equal">
      <formula>"欠"</formula>
    </cfRule>
  </conditionalFormatting>
  <conditionalFormatting sqref="Q1992:Q1993">
    <cfRule type="cellIs" dxfId="0" priority="854" operator="equal">
      <formula>"欠"</formula>
    </cfRule>
  </conditionalFormatting>
  <conditionalFormatting sqref="R2:R15">
    <cfRule type="cellIs" dxfId="0" priority="24972" operator="equal">
      <formula>"欠"</formula>
    </cfRule>
  </conditionalFormatting>
  <conditionalFormatting sqref="R161:R163">
    <cfRule type="cellIs" dxfId="0" priority="14815" operator="equal">
      <formula>"欠"</formula>
    </cfRule>
  </conditionalFormatting>
  <conditionalFormatting sqref="R558:R563">
    <cfRule type="cellIs" dxfId="0" priority="13346" operator="equal">
      <formula>"欠"</formula>
    </cfRule>
  </conditionalFormatting>
  <conditionalFormatting sqref="R605:R607">
    <cfRule type="cellIs" dxfId="0" priority="12081" operator="equal">
      <formula>"欠"</formula>
    </cfRule>
  </conditionalFormatting>
  <conditionalFormatting sqref="R635:R636">
    <cfRule type="cellIs" dxfId="0" priority="17226" operator="equal">
      <formula>"欠"</formula>
    </cfRule>
  </conditionalFormatting>
  <conditionalFormatting sqref="R667:R668">
    <cfRule type="containsText" dxfId="0" priority="11371" operator="between" text="欠">
      <formula>NOT(ISERROR(SEARCH("欠",R667)))</formula>
    </cfRule>
  </conditionalFormatting>
  <conditionalFormatting sqref="R727:R730">
    <cfRule type="containsText" dxfId="0" priority="11305" operator="between" text="欠">
      <formula>NOT(ISERROR(SEARCH("欠",R727)))</formula>
    </cfRule>
    <cfRule type="cellIs" dxfId="0" priority="11306" operator="equal">
      <formula>"欠"</formula>
    </cfRule>
  </conditionalFormatting>
  <conditionalFormatting sqref="R754:R756">
    <cfRule type="cellIs" dxfId="0" priority="10453" operator="equal">
      <formula>"欠"</formula>
    </cfRule>
    <cfRule type="containsText" dxfId="0" priority="10448" operator="between" text="欠">
      <formula>NOT(ISERROR(SEARCH("欠",R754)))</formula>
    </cfRule>
  </conditionalFormatting>
  <conditionalFormatting sqref="R785:R786">
    <cfRule type="containsText" dxfId="0" priority="11110" operator="between" text="欠">
      <formula>NOT(ISERROR(SEARCH("欠",R785)))</formula>
    </cfRule>
    <cfRule type="cellIs" dxfId="0" priority="11115" operator="equal">
      <formula>"欠"</formula>
    </cfRule>
  </conditionalFormatting>
  <conditionalFormatting sqref="R805:R807">
    <cfRule type="containsText" dxfId="0" priority="10888" operator="between" text="欠">
      <formula>NOT(ISERROR(SEARCH("欠",R805)))</formula>
    </cfRule>
    <cfRule type="cellIs" dxfId="0" priority="10890" operator="equal">
      <formula>"欠"</formula>
    </cfRule>
  </conditionalFormatting>
  <conditionalFormatting sqref="R818:R838">
    <cfRule type="containsText" dxfId="0" priority="10318" operator="between" text="欠">
      <formula>NOT(ISERROR(SEARCH("欠",R818)))</formula>
    </cfRule>
    <cfRule type="cellIs" dxfId="0" priority="10319" operator="equal">
      <formula>"欠"</formula>
    </cfRule>
  </conditionalFormatting>
  <conditionalFormatting sqref="R844:R850">
    <cfRule type="containsText" dxfId="0" priority="10988" operator="between" text="欠">
      <formula>NOT(ISERROR(SEARCH("欠",R844)))</formula>
    </cfRule>
    <cfRule type="cellIs" dxfId="0" priority="11016" operator="equal">
      <formula>"欠"</formula>
    </cfRule>
  </conditionalFormatting>
  <conditionalFormatting sqref="R907:R908">
    <cfRule type="containsText" dxfId="0" priority="11143" operator="between" text="欠">
      <formula>NOT(ISERROR(SEARCH("欠",R907)))</formula>
    </cfRule>
    <cfRule type="cellIs" dxfId="0" priority="11150" operator="equal">
      <formula>"欠"</formula>
    </cfRule>
  </conditionalFormatting>
  <conditionalFormatting sqref="R917:R918">
    <cfRule type="containsText" dxfId="0" priority="10559" operator="between" text="欠">
      <formula>NOT(ISERROR(SEARCH("欠",R917)))</formula>
    </cfRule>
    <cfRule type="cellIs" dxfId="0" priority="10563" operator="equal">
      <formula>"欠"</formula>
    </cfRule>
  </conditionalFormatting>
  <conditionalFormatting sqref="R923:R926">
    <cfRule type="containsText" dxfId="0" priority="11120" operator="between" text="欠">
      <formula>NOT(ISERROR(SEARCH("欠",R923)))</formula>
    </cfRule>
    <cfRule type="cellIs" dxfId="0" priority="11126" operator="equal">
      <formula>"欠"</formula>
    </cfRule>
  </conditionalFormatting>
  <conditionalFormatting sqref="R927:R930">
    <cfRule type="containsText" dxfId="0" priority="10822" operator="between" text="欠">
      <formula>NOT(ISERROR(SEARCH("欠",R927)))</formula>
    </cfRule>
    <cfRule type="cellIs" dxfId="0" priority="10824" operator="equal">
      <formula>"欠"</formula>
    </cfRule>
  </conditionalFormatting>
  <conditionalFormatting sqref="R943:R947">
    <cfRule type="containsText" dxfId="0" priority="10708" operator="between" text="欠">
      <formula>NOT(ISERROR(SEARCH("欠",R943)))</formula>
    </cfRule>
    <cfRule type="cellIs" dxfId="0" priority="10710" operator="equal">
      <formula>"欠"</formula>
    </cfRule>
  </conditionalFormatting>
  <conditionalFormatting sqref="R1168:R1169">
    <cfRule type="containsText" dxfId="0" priority="8602" operator="between" text="欠">
      <formula>NOT(ISERROR(SEARCH("欠",R1168)))</formula>
    </cfRule>
    <cfRule type="cellIs" dxfId="0" priority="8603" operator="equal">
      <formula>"欠"</formula>
    </cfRule>
  </conditionalFormatting>
  <conditionalFormatting sqref="R1172:R1173">
    <cfRule type="containsText" dxfId="0" priority="8142" operator="between" text="欠">
      <formula>NOT(ISERROR(SEARCH("欠",R1172)))</formula>
    </cfRule>
    <cfRule type="cellIs" dxfId="0" priority="8144" operator="equal">
      <formula>"欠"</formula>
    </cfRule>
  </conditionalFormatting>
  <conditionalFormatting sqref="R1174:R1175">
    <cfRule type="containsText" dxfId="0" priority="8630" operator="between" text="欠">
      <formula>NOT(ISERROR(SEARCH("欠",R1174)))</formula>
    </cfRule>
    <cfRule type="cellIs" dxfId="0" priority="8632" operator="equal">
      <formula>"欠"</formula>
    </cfRule>
  </conditionalFormatting>
  <conditionalFormatting sqref="R1189:R1190">
    <cfRule type="containsText" dxfId="0" priority="5899" operator="between" text="欠">
      <formula>NOT(ISERROR(SEARCH("欠",R1189)))</formula>
    </cfRule>
    <cfRule type="cellIs" dxfId="0" priority="5900" operator="equal">
      <formula>"欠"</formula>
    </cfRule>
  </conditionalFormatting>
  <conditionalFormatting sqref="R1209:R1210">
    <cfRule type="containsText" dxfId="0" priority="5929" operator="between" text="欠">
      <formula>NOT(ISERROR(SEARCH("欠",R1209)))</formula>
    </cfRule>
    <cfRule type="cellIs" dxfId="0" priority="5930" operator="equal">
      <formula>"欠"</formula>
    </cfRule>
  </conditionalFormatting>
  <conditionalFormatting sqref="R1221:R1222">
    <cfRule type="containsText" dxfId="0" priority="5570" operator="between" text="欠">
      <formula>NOT(ISERROR(SEARCH("欠",R1221)))</formula>
    </cfRule>
    <cfRule type="cellIs" dxfId="0" priority="5571" operator="equal">
      <formula>"欠"</formula>
    </cfRule>
  </conditionalFormatting>
  <conditionalFormatting sqref="R1231:R1233">
    <cfRule type="containsText" dxfId="0" priority="5787" operator="between" text="欠">
      <formula>NOT(ISERROR(SEARCH("欠",R1231)))</formula>
    </cfRule>
    <cfRule type="cellIs" dxfId="0" priority="5788" operator="equal">
      <formula>"欠"</formula>
    </cfRule>
  </conditionalFormatting>
  <conditionalFormatting sqref="R1303:R1305">
    <cfRule type="containsText" dxfId="0" priority="5720" operator="between" text="欠">
      <formula>NOT(ISERROR(SEARCH("欠",R1303)))</formula>
    </cfRule>
    <cfRule type="cellIs" dxfId="0" priority="5722" operator="equal">
      <formula>"欠"</formula>
    </cfRule>
  </conditionalFormatting>
  <conditionalFormatting sqref="R1325:R1326">
    <cfRule type="containsText" dxfId="0" priority="5704" operator="between" text="欠">
      <formula>NOT(ISERROR(SEARCH("欠",R1325)))</formula>
    </cfRule>
    <cfRule type="cellIs" dxfId="0" priority="5707" operator="equal">
      <formula>"欠"</formula>
    </cfRule>
  </conditionalFormatting>
  <conditionalFormatting sqref="R1347:R1351">
    <cfRule type="containsText" dxfId="0" priority="5670" operator="between" text="欠">
      <formula>NOT(ISERROR(SEARCH("欠",R1347)))</formula>
    </cfRule>
    <cfRule type="cellIs" dxfId="0" priority="5672" operator="equal">
      <formula>"欠"</formula>
    </cfRule>
  </conditionalFormatting>
  <conditionalFormatting sqref="R1356:R1357">
    <cfRule type="containsText" dxfId="0" priority="5649" operator="between" text="欠">
      <formula>NOT(ISERROR(SEARCH("欠",R1356)))</formula>
    </cfRule>
    <cfRule type="cellIs" dxfId="0" priority="5654" operator="equal">
      <formula>"欠"</formula>
    </cfRule>
  </conditionalFormatting>
  <conditionalFormatting sqref="R1373:R1375">
    <cfRule type="containsText" dxfId="0" priority="5755" operator="between" text="欠">
      <formula>NOT(ISERROR(SEARCH("欠",R1373)))</formula>
    </cfRule>
    <cfRule type="cellIs" dxfId="0" priority="5757" operator="equal">
      <formula>"欠"</formula>
    </cfRule>
  </conditionalFormatting>
  <conditionalFormatting sqref="R1382:R1387">
    <cfRule type="containsText" dxfId="0" priority="5118" operator="between" text="欠">
      <formula>NOT(ISERROR(SEARCH("欠",R1382)))</formula>
    </cfRule>
    <cfRule type="cellIs" dxfId="0" priority="5124" operator="equal">
      <formula>"欠"</formula>
    </cfRule>
  </conditionalFormatting>
  <conditionalFormatting sqref="R1392:R1393">
    <cfRule type="containsText" dxfId="0" priority="4809" operator="between" text="欠">
      <formula>NOT(ISERROR(SEARCH("欠",R1392)))</formula>
    </cfRule>
    <cfRule type="cellIs" dxfId="0" priority="4817" operator="equal">
      <formula>"欠"</formula>
    </cfRule>
  </conditionalFormatting>
  <conditionalFormatting sqref="R1394:R1395">
    <cfRule type="containsText" dxfId="0" priority="4073" operator="between" text="欠">
      <formula>NOT(ISERROR(SEARCH("欠",R1394)))</formula>
    </cfRule>
    <cfRule type="cellIs" dxfId="0" priority="4078" operator="equal">
      <formula>"欠"</formula>
    </cfRule>
  </conditionalFormatting>
  <conditionalFormatting sqref="R1399:R1404">
    <cfRule type="containsText" dxfId="0" priority="4836" operator="between" text="欠">
      <formula>NOT(ISERROR(SEARCH("欠",R1399)))</formula>
    </cfRule>
    <cfRule type="cellIs" dxfId="0" priority="4884" operator="equal">
      <formula>"欠"</formula>
    </cfRule>
  </conditionalFormatting>
  <conditionalFormatting sqref="R1420:R1421">
    <cfRule type="containsText" dxfId="0" priority="5083" operator="between" text="欠">
      <formula>NOT(ISERROR(SEARCH("欠",R1420)))</formula>
    </cfRule>
    <cfRule type="cellIs" dxfId="0" priority="5084" operator="equal">
      <formula>"欠"</formula>
    </cfRule>
  </conditionalFormatting>
  <conditionalFormatting sqref="R1467:R1469">
    <cfRule type="containsText" dxfId="0" priority="3195" operator="between" text="欠">
      <formula>NOT(ISERROR(SEARCH("欠",R1467)))</formula>
    </cfRule>
    <cfRule type="cellIs" dxfId="0" priority="3198" operator="equal">
      <formula>"欠"</formula>
    </cfRule>
  </conditionalFormatting>
  <conditionalFormatting sqref="R1474:R1475">
    <cfRule type="containsText" dxfId="0" priority="3121" operator="between" text="欠">
      <formula>NOT(ISERROR(SEARCH("欠",R1474)))</formula>
    </cfRule>
    <cfRule type="cellIs" dxfId="0" priority="3122" operator="equal">
      <formula>"欠"</formula>
    </cfRule>
  </conditionalFormatting>
  <conditionalFormatting sqref="R1486:R1487">
    <cfRule type="containsText" dxfId="0" priority="4474" operator="between" text="欠">
      <formula>NOT(ISERROR(SEARCH("欠",R1486)))</formula>
    </cfRule>
    <cfRule type="cellIs" dxfId="0" priority="4483" operator="equal">
      <formula>"欠"</formula>
    </cfRule>
  </conditionalFormatting>
  <conditionalFormatting sqref="R1499:R1501">
    <cfRule type="containsText" dxfId="0" priority="2920" operator="between" text="欠">
      <formula>NOT(ISERROR(SEARCH("欠",R1499)))</formula>
    </cfRule>
    <cfRule type="cellIs" dxfId="0" priority="2930" operator="equal">
      <formula>"欠"</formula>
    </cfRule>
  </conditionalFormatting>
  <conditionalFormatting sqref="R1512:R1517">
    <cfRule type="containsText" dxfId="0" priority="2335" operator="between" text="欠">
      <formula>NOT(ISERROR(SEARCH("欠",R1512)))</formula>
    </cfRule>
    <cfRule type="cellIs" dxfId="0" priority="2336" operator="equal">
      <formula>"欠"</formula>
    </cfRule>
  </conditionalFormatting>
  <conditionalFormatting sqref="R1519:R1523">
    <cfRule type="containsText" dxfId="0" priority="2545" operator="between" text="欠">
      <formula>NOT(ISERROR(SEARCH("欠",R1519)))</formula>
    </cfRule>
    <cfRule type="cellIs" dxfId="0" priority="2557" operator="equal">
      <formula>"欠"</formula>
    </cfRule>
  </conditionalFormatting>
  <conditionalFormatting sqref="R1523:R1524">
    <cfRule type="containsText" dxfId="0" priority="3231" operator="between" text="欠">
      <formula>NOT(ISERROR(SEARCH("欠",R1523)))</formula>
    </cfRule>
    <cfRule type="cellIs" dxfId="0" priority="3237" operator="equal">
      <formula>"欠"</formula>
    </cfRule>
  </conditionalFormatting>
  <conditionalFormatting sqref="R1537:R1538">
    <cfRule type="containsText" dxfId="0" priority="1412" operator="between" text="欠">
      <formula>NOT(ISERROR(SEARCH("欠",R1537)))</formula>
    </cfRule>
    <cfRule type="cellIs" dxfId="0" priority="1419" operator="equal">
      <formula>"欠"</formula>
    </cfRule>
  </conditionalFormatting>
  <conditionalFormatting sqref="R1539:R1540">
    <cfRule type="containsText" dxfId="0" priority="1642" operator="between" text="欠">
      <formula>NOT(ISERROR(SEARCH("欠",R1539)))</formula>
    </cfRule>
    <cfRule type="cellIs" dxfId="0" priority="1651" operator="equal">
      <formula>"欠"</formula>
    </cfRule>
  </conditionalFormatting>
  <conditionalFormatting sqref="R1546:R1547">
    <cfRule type="containsText" dxfId="0" priority="3233" operator="between" text="欠">
      <formula>NOT(ISERROR(SEARCH("欠",R1546)))</formula>
    </cfRule>
    <cfRule type="cellIs" dxfId="0" priority="3239" operator="equal">
      <formula>"欠"</formula>
    </cfRule>
  </conditionalFormatting>
  <conditionalFormatting sqref="R1549:R1550">
    <cfRule type="containsText" dxfId="0" priority="2696" operator="between" text="欠">
      <formula>NOT(ISERROR(SEARCH("欠",R1549)))</formula>
    </cfRule>
    <cfRule type="cellIs" dxfId="0" priority="2697" operator="equal">
      <formula>"欠"</formula>
    </cfRule>
  </conditionalFormatting>
  <conditionalFormatting sqref="R1550:R1551">
    <cfRule type="containsText" dxfId="0" priority="2464" operator="between" text="欠">
      <formula>NOT(ISERROR(SEARCH("欠",R1550)))</formula>
    </cfRule>
    <cfRule type="cellIs" dxfId="0" priority="2465" operator="equal">
      <formula>"欠"</formula>
    </cfRule>
  </conditionalFormatting>
  <conditionalFormatting sqref="R1576:R1578">
    <cfRule type="containsText" dxfId="0" priority="1644" operator="between" text="欠">
      <formula>NOT(ISERROR(SEARCH("欠",R1576)))</formula>
    </cfRule>
    <cfRule type="cellIs" dxfId="0" priority="1653" operator="equal">
      <formula>"欠"</formula>
    </cfRule>
  </conditionalFormatting>
  <conditionalFormatting sqref="R1577:R1578">
    <cfRule type="containsText" dxfId="0" priority="1646" operator="between" text="欠">
      <formula>NOT(ISERROR(SEARCH("欠",R1577)))</formula>
    </cfRule>
    <cfRule type="cellIs" dxfId="0" priority="1655" operator="equal">
      <formula>"欠"</formula>
    </cfRule>
  </conditionalFormatting>
  <conditionalFormatting sqref="R1577:R1579">
    <cfRule type="containsText" dxfId="0" priority="2472" operator="between" text="欠">
      <formula>NOT(ISERROR(SEARCH("欠",R1577)))</formula>
    </cfRule>
    <cfRule type="cellIs" dxfId="0" priority="2473" operator="equal">
      <formula>"欠"</formula>
    </cfRule>
  </conditionalFormatting>
  <conditionalFormatting sqref="R1580:R1581">
    <cfRule type="containsText" dxfId="0" priority="2253" operator="between" text="欠">
      <formula>NOT(ISERROR(SEARCH("欠",R1580)))</formula>
    </cfRule>
    <cfRule type="cellIs" dxfId="0" priority="2256" operator="equal">
      <formula>"欠"</formula>
    </cfRule>
  </conditionalFormatting>
  <conditionalFormatting sqref="R1599:R1600">
    <cfRule type="containsText" dxfId="0" priority="529" operator="between" text="欠">
      <formula>NOT(ISERROR(SEARCH("欠",R1599)))</formula>
    </cfRule>
    <cfRule type="cellIs" dxfId="0" priority="530" operator="equal">
      <formula>"欠"</formula>
    </cfRule>
  </conditionalFormatting>
  <conditionalFormatting sqref="R1603:R1604">
    <cfRule type="containsText" dxfId="0" priority="513" operator="between" text="欠">
      <formula>NOT(ISERROR(SEARCH("欠",R1603)))</formula>
    </cfRule>
    <cfRule type="cellIs" dxfId="0" priority="514" operator="equal">
      <formula>"欠"</formula>
    </cfRule>
  </conditionalFormatting>
  <conditionalFormatting sqref="R1611:R1612">
    <cfRule type="containsText" dxfId="0" priority="1314" operator="between" text="欠">
      <formula>NOT(ISERROR(SEARCH("欠",R1611)))</formula>
    </cfRule>
    <cfRule type="cellIs" dxfId="0" priority="1316" operator="equal">
      <formula>"欠"</formula>
    </cfRule>
  </conditionalFormatting>
  <conditionalFormatting sqref="R1613:R1615">
    <cfRule type="containsText" dxfId="0" priority="3778" operator="between" text="欠">
      <formula>NOT(ISERROR(SEARCH("欠",R1613)))</formula>
    </cfRule>
    <cfRule type="cellIs" dxfId="0" priority="3779" operator="equal">
      <formula>"欠"</formula>
    </cfRule>
  </conditionalFormatting>
  <conditionalFormatting sqref="R1627:R1628">
    <cfRule type="containsText" dxfId="0" priority="1417" operator="between" text="欠">
      <formula>NOT(ISERROR(SEARCH("欠",R1627)))</formula>
    </cfRule>
    <cfRule type="cellIs" dxfId="0" priority="1424" operator="equal">
      <formula>"欠"</formula>
    </cfRule>
  </conditionalFormatting>
  <conditionalFormatting sqref="R1633:R1640">
    <cfRule type="containsText" dxfId="0" priority="1803" operator="between" text="欠">
      <formula>NOT(ISERROR(SEARCH("欠",R1633)))</formula>
    </cfRule>
    <cfRule type="cellIs" dxfId="0" priority="1812" operator="equal">
      <formula>"欠"</formula>
    </cfRule>
  </conditionalFormatting>
  <conditionalFormatting sqref="R1656:R1666">
    <cfRule type="containsText" dxfId="0" priority="1517" operator="between" text="欠">
      <formula>NOT(ISERROR(SEARCH("欠",R1656)))</formula>
    </cfRule>
    <cfRule type="cellIs" dxfId="0" priority="1528" operator="equal">
      <formula>"欠"</formula>
    </cfRule>
  </conditionalFormatting>
  <conditionalFormatting sqref="R1690:R1691">
    <cfRule type="containsText" dxfId="0" priority="43" operator="between" text="欠">
      <formula>NOT(ISERROR(SEARCH("欠",R1690)))</formula>
    </cfRule>
    <cfRule type="cellIs" dxfId="0" priority="49" operator="equal">
      <formula>"欠"</formula>
    </cfRule>
  </conditionalFormatting>
  <conditionalFormatting sqref="R1692:R1693">
    <cfRule type="containsText" dxfId="0" priority="3517" operator="between" text="欠">
      <formula>NOT(ISERROR(SEARCH("欠",R1692)))</formula>
    </cfRule>
    <cfRule type="cellIs" dxfId="0" priority="3521" operator="equal">
      <formula>"欠"</formula>
    </cfRule>
  </conditionalFormatting>
  <conditionalFormatting sqref="R1744:R1745">
    <cfRule type="containsText" dxfId="0" priority="822" operator="between" text="欠">
      <formula>NOT(ISERROR(SEARCH("欠",R1744)))</formula>
    </cfRule>
    <cfRule type="cellIs" dxfId="0" priority="823" operator="equal">
      <formula>"欠"</formula>
    </cfRule>
  </conditionalFormatting>
  <conditionalFormatting sqref="R1770:R1771">
    <cfRule type="containsText" dxfId="0" priority="1026" operator="between" text="欠">
      <formula>NOT(ISERROR(SEARCH("欠",R1770)))</formula>
    </cfRule>
    <cfRule type="cellIs" dxfId="0" priority="1027" operator="equal">
      <formula>"欠"</formula>
    </cfRule>
  </conditionalFormatting>
  <conditionalFormatting sqref="R1775:R1777">
    <cfRule type="containsText" dxfId="0" priority="2292" operator="between" text="欠">
      <formula>NOT(ISERROR(SEARCH("欠",R1775)))</formula>
    </cfRule>
    <cfRule type="cellIs" dxfId="0" priority="2295" operator="equal">
      <formula>"欠"</formula>
    </cfRule>
  </conditionalFormatting>
  <conditionalFormatting sqref="R1779:R1783">
    <cfRule type="containsText" dxfId="0" priority="2780" operator="between" text="欠">
      <formula>NOT(ISERROR(SEARCH("欠",R1779)))</formula>
    </cfRule>
    <cfRule type="cellIs" dxfId="0" priority="2781" operator="equal">
      <formula>"欠"</formula>
    </cfRule>
  </conditionalFormatting>
  <conditionalFormatting sqref="R1847:R1850">
    <cfRule type="containsText" dxfId="0" priority="1117" operator="between" text="欠">
      <formula>NOT(ISERROR(SEARCH("欠",R1847)))</formula>
    </cfRule>
    <cfRule type="cellIs" dxfId="0" priority="1128" operator="equal">
      <formula>"欠"</formula>
    </cfRule>
  </conditionalFormatting>
  <conditionalFormatting sqref="S2:S15">
    <cfRule type="cellIs" dxfId="0" priority="24971" operator="equal">
      <formula>"欠"</formula>
    </cfRule>
  </conditionalFormatting>
  <conditionalFormatting sqref="S161:S163">
    <cfRule type="cellIs" dxfId="0" priority="14794" operator="equal">
      <formula>"欠"</formula>
    </cfRule>
  </conditionalFormatting>
  <conditionalFormatting sqref="S667:S668">
    <cfRule type="cellIs" dxfId="0" priority="11309" operator="equal">
      <formula>"欠"</formula>
    </cfRule>
  </conditionalFormatting>
  <conditionalFormatting sqref="S818:S838">
    <cfRule type="cellIs" dxfId="0" priority="10330" operator="equal">
      <formula>"欠"</formula>
    </cfRule>
  </conditionalFormatting>
  <conditionalFormatting sqref="S905:S906">
    <cfRule type="cellIs" dxfId="0" priority="10687" operator="equal">
      <formula>"欠"</formula>
    </cfRule>
  </conditionalFormatting>
  <conditionalFormatting sqref="S917:S918">
    <cfRule type="cellIs" dxfId="0" priority="10381" operator="equal">
      <formula>"欠"</formula>
    </cfRule>
  </conditionalFormatting>
  <conditionalFormatting sqref="S1168:S1169">
    <cfRule type="cellIs" dxfId="0" priority="8614" operator="equal">
      <formula>"欠"</formula>
    </cfRule>
  </conditionalFormatting>
  <conditionalFormatting sqref="S1172:S1173">
    <cfRule type="cellIs" dxfId="0" priority="9933" operator="equal">
      <formula>"欠"</formula>
    </cfRule>
  </conditionalFormatting>
  <conditionalFormatting sqref="S1250:S1251">
    <cfRule type="cellIs" dxfId="0" priority="5819" operator="equal">
      <formula>"欠"</formula>
    </cfRule>
  </conditionalFormatting>
  <conditionalFormatting sqref="S1399:S1404">
    <cfRule type="cellIs" dxfId="0" priority="4878" operator="equal">
      <formula>"欠"</formula>
    </cfRule>
  </conditionalFormatting>
  <conditionalFormatting sqref="S1489:S1495">
    <cfRule type="cellIs" dxfId="0" priority="3410" operator="equal">
      <formula>"欠"</formula>
    </cfRule>
  </conditionalFormatting>
  <conditionalFormatting sqref="S1519:S1523">
    <cfRule type="cellIs" dxfId="0" priority="2581" operator="equal">
      <formula>"欠"</formula>
    </cfRule>
  </conditionalFormatting>
  <conditionalFormatting sqref="S1526:S1528">
    <cfRule type="cellIs" dxfId="0" priority="3070" operator="equal">
      <formula>"欠"</formula>
    </cfRule>
  </conditionalFormatting>
  <conditionalFormatting sqref="S1546:S1547">
    <cfRule type="cellIs" dxfId="0" priority="3251" operator="equal">
      <formula>"欠"</formula>
    </cfRule>
  </conditionalFormatting>
  <conditionalFormatting sqref="S1580:S1581">
    <cfRule type="cellIs" dxfId="0" priority="2262" operator="equal">
      <formula>"欠"</formula>
    </cfRule>
  </conditionalFormatting>
  <conditionalFormatting sqref="S1650:S1651">
    <cfRule type="cellIs" dxfId="0" priority="3527" operator="equal">
      <formula>"欠"</formula>
    </cfRule>
  </conditionalFormatting>
  <conditionalFormatting sqref="S1770:S1771">
    <cfRule type="cellIs" dxfId="0" priority="1029" operator="equal">
      <formula>"欠"</formula>
    </cfRule>
  </conditionalFormatting>
  <conditionalFormatting sqref="S1847:S1848">
    <cfRule type="cellIs" dxfId="0" priority="1150" operator="equal">
      <formula>"欠"</formula>
    </cfRule>
  </conditionalFormatting>
  <conditionalFormatting sqref="V664:V665">
    <cfRule type="cellIs" dxfId="0" priority="12989" operator="equal">
      <formula>"欠"</formula>
    </cfRule>
  </conditionalFormatting>
  <conditionalFormatting sqref="V712:V718">
    <cfRule type="cellIs" dxfId="0" priority="11284" operator="equal">
      <formula>"欠"</formula>
    </cfRule>
  </conditionalFormatting>
  <conditionalFormatting sqref="V751:V752">
    <cfRule type="cellIs" dxfId="0" priority="10456" operator="equal">
      <formula>"欠"</formula>
    </cfRule>
  </conditionalFormatting>
  <conditionalFormatting sqref="V754:V756">
    <cfRule type="cellIs" dxfId="0" priority="10449" operator="equal">
      <formula>"欠"</formula>
    </cfRule>
  </conditionalFormatting>
  <conditionalFormatting sqref="V806:V807">
    <cfRule type="cellIs" dxfId="0" priority="10898" operator="equal">
      <formula>"欠"</formula>
    </cfRule>
  </conditionalFormatting>
  <conditionalFormatting sqref="V884:V885">
    <cfRule type="cellIs" dxfId="0" priority="10771" operator="equal">
      <formula>"欠"</formula>
    </cfRule>
  </conditionalFormatting>
  <conditionalFormatting sqref="V901:V902">
    <cfRule type="cellIs" dxfId="0" priority="10863" operator="equal">
      <formula>"欠"</formula>
    </cfRule>
  </conditionalFormatting>
  <conditionalFormatting sqref="V907:V908">
    <cfRule type="cellIs" dxfId="0" priority="11145" operator="equal">
      <formula>"欠"</formula>
    </cfRule>
  </conditionalFormatting>
  <conditionalFormatting sqref="V918:V919">
    <cfRule type="cellIs" dxfId="0" priority="10568" operator="equal">
      <formula>"欠"</formula>
    </cfRule>
  </conditionalFormatting>
  <conditionalFormatting sqref="V944:V947">
    <cfRule type="cellIs" dxfId="0" priority="10717" operator="equal">
      <formula>"欠"</formula>
    </cfRule>
  </conditionalFormatting>
  <conditionalFormatting sqref="V1168:V1169">
    <cfRule type="cellIs" dxfId="0" priority="8604" operator="equal">
      <formula>"欠"</formula>
    </cfRule>
  </conditionalFormatting>
  <conditionalFormatting sqref="V1189:V1190">
    <cfRule type="cellIs" dxfId="0" priority="8164" operator="equal">
      <formula>"欠"</formula>
    </cfRule>
  </conditionalFormatting>
  <conditionalFormatting sqref="V1231:V1233">
    <cfRule type="cellIs" dxfId="0" priority="7095" operator="equal">
      <formula>"欠"</formula>
    </cfRule>
  </conditionalFormatting>
  <conditionalFormatting sqref="V1245:V1246">
    <cfRule type="cellIs" dxfId="0" priority="7233" operator="equal">
      <formula>"欠"</formula>
    </cfRule>
  </conditionalFormatting>
  <conditionalFormatting sqref="V1318:V1320">
    <cfRule type="cellIs" dxfId="0" priority="6382" operator="equal">
      <formula>"欠"</formula>
    </cfRule>
  </conditionalFormatting>
  <conditionalFormatting sqref="V1341:V1344">
    <cfRule type="cellIs" dxfId="0" priority="5543" operator="equal">
      <formula>"欠"</formula>
    </cfRule>
  </conditionalFormatting>
  <conditionalFormatting sqref="V1367:V1368">
    <cfRule type="cellIs" dxfId="0" priority="6069" operator="equal">
      <formula>"欠"</formula>
    </cfRule>
  </conditionalFormatting>
  <conditionalFormatting sqref="V1437:V1438">
    <cfRule type="cellIs" dxfId="0" priority="6430" operator="equal">
      <formula>"欠"</formula>
    </cfRule>
  </conditionalFormatting>
  <conditionalFormatting sqref="V1457:V1465">
    <cfRule type="cellIs" dxfId="0" priority="3871" operator="equal">
      <formula>"欠"</formula>
    </cfRule>
  </conditionalFormatting>
  <conditionalFormatting sqref="V1473:V1474">
    <cfRule type="cellIs" dxfId="0" priority="3580" operator="equal">
      <formula>"欠"</formula>
    </cfRule>
  </conditionalFormatting>
  <conditionalFormatting sqref="V1602:V1603">
    <cfRule type="cellIs" dxfId="0" priority="1085" operator="equal">
      <formula>"欠"</formula>
    </cfRule>
  </conditionalFormatting>
  <conditionalFormatting sqref="V1603:V1604">
    <cfRule type="cellIs" dxfId="0" priority="508" operator="equal">
      <formula>"欠"</formula>
    </cfRule>
  </conditionalFormatting>
  <conditionalFormatting sqref="V1686:V1687">
    <cfRule type="cellIs" dxfId="0" priority="1254" operator="equal">
      <formula>"欠"</formula>
    </cfRule>
  </conditionalFormatting>
  <conditionalFormatting sqref="V1721:V1731">
    <cfRule type="cellIs" dxfId="0" priority="2619" operator="equal">
      <formula>"欠"</formula>
    </cfRule>
  </conditionalFormatting>
  <conditionalFormatting sqref="V1744:V1745">
    <cfRule type="cellIs" dxfId="0" priority="828" operator="equal">
      <formula>"欠"</formula>
    </cfRule>
  </conditionalFormatting>
  <conditionalFormatting sqref="V1770:V1771">
    <cfRule type="cellIs" dxfId="0" priority="1032" operator="equal">
      <formula>"欠"</formula>
    </cfRule>
  </conditionalFormatting>
  <conditionalFormatting sqref="V1790:V1791">
    <cfRule type="cellIs" dxfId="0" priority="1356" operator="equal">
      <formula>"欠"</formula>
    </cfRule>
  </conditionalFormatting>
  <conditionalFormatting sqref="V1828:V1836">
    <cfRule type="cellIs" dxfId="0" priority="177" operator="equal">
      <formula>"欠"</formula>
    </cfRule>
  </conditionalFormatting>
  <conditionalFormatting sqref="V1901:V1903">
    <cfRule type="cellIs" dxfId="0" priority="74" operator="equal">
      <formula>"欠"</formula>
    </cfRule>
  </conditionalFormatting>
  <conditionalFormatting sqref="V1909:V1910">
    <cfRule type="cellIs" dxfId="0" priority="841" operator="equal">
      <formula>"欠"</formula>
    </cfRule>
  </conditionalFormatting>
  <conditionalFormatting sqref="V1941:V1950">
    <cfRule type="cellIs" dxfId="0" priority="840" operator="equal">
      <formula>"欠"</formula>
    </cfRule>
  </conditionalFormatting>
  <conditionalFormatting sqref="AG1231:AG1233">
    <cfRule type="cellIs" dxfId="0" priority="7097" operator="equal">
      <formula>"未完成"</formula>
    </cfRule>
  </conditionalFormatting>
  <conditionalFormatting sqref="AG1367:AG1368">
    <cfRule type="cellIs" dxfId="0" priority="6072" operator="equal">
      <formula>"未完成"</formula>
    </cfRule>
  </conditionalFormatting>
  <conditionalFormatting sqref="AI806:AI807">
    <cfRule type="cellIs" dxfId="0" priority="10901" operator="equal">
      <formula>"未完成"</formula>
    </cfRule>
  </conditionalFormatting>
  <conditionalFormatting sqref="AI1457:AI1465">
    <cfRule type="cellIs" dxfId="0" priority="3869" operator="equal">
      <formula>"未完成"</formula>
    </cfRule>
  </conditionalFormatting>
  <conditionalFormatting sqref="AI1602:AI1603">
    <cfRule type="cellIs" dxfId="0" priority="1081" operator="equal">
      <formula>"未完成"</formula>
    </cfRule>
  </conditionalFormatting>
  <conditionalFormatting sqref="AI1643:AI1649">
    <cfRule type="cellIs" dxfId="0" priority="251" operator="equal">
      <formula>"未完成"</formula>
    </cfRule>
  </conditionalFormatting>
  <conditionalFormatting sqref="AI1652:AI1653">
    <cfRule type="cellIs" dxfId="0" priority="648" operator="equal">
      <formula>"未完成"</formula>
    </cfRule>
  </conditionalFormatting>
  <conditionalFormatting sqref="AI1721:AI1731">
    <cfRule type="cellIs" dxfId="0" priority="2607" operator="equal">
      <formula>"未完成"</formula>
    </cfRule>
  </conditionalFormatting>
  <conditionalFormatting sqref="AI1744:AI1745">
    <cfRule type="cellIs" dxfId="0" priority="827" operator="equal">
      <formula>"未完成"</formula>
    </cfRule>
  </conditionalFormatting>
  <conditionalFormatting sqref="AI1770:AI1771">
    <cfRule type="cellIs" dxfId="0" priority="1031" operator="equal">
      <formula>"未完成"</formula>
    </cfRule>
  </conditionalFormatting>
  <conditionalFormatting sqref="AI1790:AI1791">
    <cfRule type="cellIs" dxfId="0" priority="1353" operator="equal">
      <formula>"未完成"</formula>
    </cfRule>
  </conditionalFormatting>
  <conditionalFormatting sqref="AI1806:AI1906">
    <cfRule type="cellIs" dxfId="0" priority="956" operator="equal">
      <formula>"未完成"</formula>
    </cfRule>
  </conditionalFormatting>
  <conditionalFormatting sqref="AI1828:AI1836">
    <cfRule type="cellIs" dxfId="0" priority="176" operator="equal">
      <formula>"未完成"</formula>
    </cfRule>
  </conditionalFormatting>
  <conditionalFormatting sqref="AI1901:AI1903">
    <cfRule type="cellIs" dxfId="0" priority="68" operator="equal">
      <formula>"未完成"</formula>
    </cfRule>
  </conditionalFormatting>
  <conditionalFormatting sqref="AI1934:AI1938">
    <cfRule type="cellIs" dxfId="0" priority="837" operator="equal">
      <formula>"未完成"</formula>
    </cfRule>
  </conditionalFormatting>
  <conditionalFormatting sqref="AI1941:AI1950">
    <cfRule type="cellIs" dxfId="0" priority="836" operator="equal">
      <formula>"未完成"</formula>
    </cfRule>
  </conditionalFormatting>
  <conditionalFormatting sqref="AI1992:AI1993">
    <cfRule type="cellIs" dxfId="0" priority="834" operator="equal">
      <formula>"未完成"</formula>
    </cfRule>
  </conditionalFormatting>
  <conditionalFormatting sqref="AJ1248:AJ1249">
    <cfRule type="cellIs" dxfId="0" priority="7006" operator="equal">
      <formula>"未完成"</formula>
    </cfRule>
  </conditionalFormatting>
  <conditionalFormatting sqref="AL751:AL752">
    <cfRule type="cellIs" dxfId="1" priority="10458" operator="equal">
      <formula>"未完成"</formula>
    </cfRule>
    <cfRule type="cellIs" dxfId="0" priority="10459" operator="equal">
      <formula>"未完成"</formula>
    </cfRule>
  </conditionalFormatting>
  <conditionalFormatting sqref="AL1407:AL1412">
    <cfRule type="cellIs" dxfId="1" priority="4742" operator="equal">
      <formula>"未完成"</formula>
    </cfRule>
    <cfRule type="cellIs" dxfId="0" priority="4752" operator="equal">
      <formula>"未完成"</formula>
    </cfRule>
  </conditionalFormatting>
  <conditionalFormatting sqref="AL1457:AL1465">
    <cfRule type="cellIs" dxfId="1" priority="3875" operator="equal">
      <formula>"未完成"</formula>
    </cfRule>
    <cfRule type="cellIs" dxfId="0" priority="3877" operator="equal">
      <formula>"未完成"</formula>
    </cfRule>
  </conditionalFormatting>
  <conditionalFormatting sqref="AL1489:AL1495">
    <cfRule type="cellIs" dxfId="1" priority="3406" operator="equal">
      <formula>"未完成"</formula>
    </cfRule>
    <cfRule type="cellIs" dxfId="0" priority="3407" operator="equal">
      <formula>"未完成"</formula>
    </cfRule>
  </conditionalFormatting>
  <conditionalFormatting sqref="AL1512:AL1517">
    <cfRule type="cellIs" dxfId="1" priority="2426" operator="equal">
      <formula>"未完成"</formula>
    </cfRule>
    <cfRule type="cellIs" dxfId="0" priority="2432" operator="equal">
      <formula>"未完成"</formula>
    </cfRule>
  </conditionalFormatting>
  <conditionalFormatting sqref="AL1550:AL1551">
    <cfRule type="cellIs" dxfId="1" priority="2712" operator="equal">
      <formula>"未完成"</formula>
    </cfRule>
    <cfRule type="cellIs" dxfId="0" priority="2713" operator="equal">
      <formula>"未完成"</formula>
    </cfRule>
  </conditionalFormatting>
  <conditionalFormatting sqref="AL1585:AL1591">
    <cfRule type="cellIs" dxfId="1" priority="2157" operator="equal">
      <formula>"未完成"</formula>
    </cfRule>
    <cfRule type="cellIs" dxfId="0" priority="2164" operator="equal">
      <formula>"未完成"</formula>
    </cfRule>
  </conditionalFormatting>
  <conditionalFormatting sqref="AL1594:AL1596">
    <cfRule type="cellIs" dxfId="1" priority="1095" operator="equal">
      <formula>"未完成"</formula>
    </cfRule>
    <cfRule type="cellIs" dxfId="0" priority="1099" operator="equal">
      <formula>"未完成"</formula>
    </cfRule>
  </conditionalFormatting>
  <conditionalFormatting sqref="AL1602:AL1603">
    <cfRule type="cellIs" dxfId="1" priority="1093" operator="equal">
      <formula>"未完成"</formula>
    </cfRule>
    <cfRule type="cellIs" dxfId="0" priority="1097" operator="equal">
      <formula>"未完成"</formula>
    </cfRule>
  </conditionalFormatting>
  <conditionalFormatting sqref="AL1622:AL1624">
    <cfRule type="cellIs" dxfId="1" priority="1200" operator="equal">
      <formula>"未完成"</formula>
    </cfRule>
    <cfRule type="cellIs" dxfId="0" priority="1211" operator="equal">
      <formula>"未完成"</formula>
    </cfRule>
  </conditionalFormatting>
  <conditionalFormatting sqref="AL1633:AL1640">
    <cfRule type="cellIs" dxfId="1" priority="1875" operator="equal">
      <formula>"未完成"</formula>
    </cfRule>
    <cfRule type="cellIs" dxfId="0" priority="1884" operator="equal">
      <formula>"未完成"</formula>
    </cfRule>
  </conditionalFormatting>
  <conditionalFormatting sqref="AL1643:AL1649">
    <cfRule type="cellIs" dxfId="1" priority="272" operator="equal">
      <formula>"未完成"</formula>
    </cfRule>
    <cfRule type="cellIs" dxfId="0" priority="279" operator="equal">
      <formula>"未完成"</formula>
    </cfRule>
  </conditionalFormatting>
  <conditionalFormatting sqref="AL1656:AL1658">
    <cfRule type="cellIs" dxfId="1" priority="1605" operator="equal">
      <formula>"未完成"</formula>
    </cfRule>
    <cfRule type="cellIs" dxfId="0" priority="1616" operator="equal">
      <formula>"未完成"</formula>
    </cfRule>
  </conditionalFormatting>
  <conditionalFormatting sqref="AL1661:AL1665">
    <cfRule type="cellIs" dxfId="1" priority="1600" operator="equal">
      <formula>"未完成"</formula>
    </cfRule>
    <cfRule type="cellIs" dxfId="0" priority="1611" operator="equal">
      <formula>"未完成"</formula>
    </cfRule>
  </conditionalFormatting>
  <conditionalFormatting sqref="AL1721:AL1731">
    <cfRule type="cellIs" dxfId="1" priority="2643" operator="equal">
      <formula>"未完成"</formula>
    </cfRule>
    <cfRule type="cellIs" dxfId="0" priority="2655" operator="equal">
      <formula>"未完成"</formula>
    </cfRule>
  </conditionalFormatting>
  <conditionalFormatting sqref="AL1744:AL1745">
    <cfRule type="cellIs" dxfId="1" priority="830" operator="equal">
      <formula>"未完成"</formula>
    </cfRule>
    <cfRule type="cellIs" dxfId="0" priority="831" operator="equal">
      <formula>"未完成"</formula>
    </cfRule>
  </conditionalFormatting>
  <conditionalFormatting sqref="AL1770:AL1771">
    <cfRule type="cellIs" dxfId="1" priority="1034" operator="equal">
      <formula>"未完成"</formula>
    </cfRule>
    <cfRule type="cellIs" dxfId="0" priority="1035" operator="equal">
      <formula>"未完成"</formula>
    </cfRule>
  </conditionalFormatting>
  <conditionalFormatting sqref="AL1775:AL1777">
    <cfRule type="cellIs" dxfId="1" priority="2313" operator="equal">
      <formula>"未完成"</formula>
    </cfRule>
    <cfRule type="cellIs" dxfId="0" priority="2316" operator="equal">
      <formula>"未完成"</formula>
    </cfRule>
  </conditionalFormatting>
  <conditionalFormatting sqref="AL1790:AL1791">
    <cfRule type="cellIs" dxfId="1" priority="1362" operator="equal">
      <formula>"未完成"</formula>
    </cfRule>
    <cfRule type="cellIs" dxfId="0" priority="1365" operator="equal">
      <formula>"未完成"</formula>
    </cfRule>
  </conditionalFormatting>
  <conditionalFormatting sqref="AL1828:AL1836">
    <cfRule type="cellIs" dxfId="1" priority="179" operator="equal">
      <formula>"未完成"</formula>
    </cfRule>
    <cfRule type="cellIs" dxfId="0" priority="180" operator="equal">
      <formula>"未完成"</formula>
    </cfRule>
  </conditionalFormatting>
  <conditionalFormatting sqref="AL1901:AL1903">
    <cfRule type="cellIs" dxfId="1" priority="86" operator="equal">
      <formula>"未完成"</formula>
    </cfRule>
    <cfRule type="cellIs" dxfId="0" priority="92" operator="equal">
      <formula>"未完成"</formula>
    </cfRule>
  </conditionalFormatting>
  <conditionalFormatting sqref="AL1934:AL1938">
    <cfRule type="cellIs" dxfId="1" priority="849" operator="equal">
      <formula>"未完成"</formula>
    </cfRule>
    <cfRule type="cellIs" dxfId="0" priority="853" operator="equal">
      <formula>"未完成"</formula>
    </cfRule>
  </conditionalFormatting>
  <conditionalFormatting sqref="AL1943:AL1950">
    <cfRule type="cellIs" dxfId="1" priority="848" operator="equal">
      <formula>"未完成"</formula>
    </cfRule>
    <cfRule type="cellIs" dxfId="0" priority="852" operator="equal">
      <formula>"未完成"</formula>
    </cfRule>
  </conditionalFormatting>
  <conditionalFormatting sqref="AL1992:AL1993">
    <cfRule type="cellIs" dxfId="1" priority="846" operator="equal">
      <formula>"未完成"</formula>
    </cfRule>
    <cfRule type="cellIs" dxfId="0" priority="850" operator="equal">
      <formula>"未完成"</formula>
    </cfRule>
  </conditionalFormatting>
  <conditionalFormatting sqref="AM751:AM752">
    <cfRule type="cellIs" dxfId="1" priority="10462" operator="equal">
      <formula>"未完成"</formula>
    </cfRule>
    <cfRule type="cellIs" dxfId="0" priority="10463" operator="equal">
      <formula>"未完成"</formula>
    </cfRule>
  </conditionalFormatting>
  <conditionalFormatting sqref="AM805:AM807">
    <cfRule type="cellIs" dxfId="1" priority="10942" operator="equal">
      <formula>"未完成"</formula>
    </cfRule>
    <cfRule type="cellIs" dxfId="0" priority="10943" operator="equal">
      <formula>"未完成"</formula>
    </cfRule>
  </conditionalFormatting>
  <conditionalFormatting sqref="AM1367:AM1368">
    <cfRule type="cellIs" dxfId="1" priority="6067" operator="equal">
      <formula>"未完成"</formula>
    </cfRule>
    <cfRule type="cellIs" dxfId="0" priority="6068" operator="equal">
      <formula>"未完成"</formula>
    </cfRule>
  </conditionalFormatting>
  <conditionalFormatting sqref="AM1457:AM1465">
    <cfRule type="cellIs" dxfId="0" priority="3873" operator="equal">
      <formula>"欠"</formula>
    </cfRule>
  </conditionalFormatting>
  <conditionalFormatting sqref="AM1602:AM1603">
    <cfRule type="cellIs" dxfId="0" priority="1089" operator="equal">
      <formula>"欠"</formula>
    </cfRule>
  </conditionalFormatting>
  <conditionalFormatting sqref="AM1721:AM1731">
    <cfRule type="cellIs" dxfId="0" priority="2631" operator="equal">
      <formula>"欠"</formula>
    </cfRule>
  </conditionalFormatting>
  <conditionalFormatting sqref="AM1744:AM1745">
    <cfRule type="cellIs" dxfId="0" priority="829" operator="equal">
      <formula>"欠"</formula>
    </cfRule>
  </conditionalFormatting>
  <conditionalFormatting sqref="AM1770:AM1771">
    <cfRule type="cellIs" dxfId="0" priority="1033" operator="equal">
      <formula>"欠"</formula>
    </cfRule>
  </conditionalFormatting>
  <conditionalFormatting sqref="AM1790:AM1791">
    <cfRule type="cellIs" dxfId="0" priority="1359" operator="equal">
      <formula>"欠"</formula>
    </cfRule>
  </conditionalFormatting>
  <conditionalFormatting sqref="AM1806:AM1906">
    <cfRule type="cellIs" dxfId="0" priority="978" operator="equal">
      <formula>"欠"</formula>
    </cfRule>
  </conditionalFormatting>
  <conditionalFormatting sqref="AM1828:AM1836">
    <cfRule type="cellIs" dxfId="0" priority="178" operator="equal">
      <formula>"欠"</formula>
    </cfRule>
  </conditionalFormatting>
  <conditionalFormatting sqref="AM1901:AM1903">
    <cfRule type="cellIs" dxfId="0" priority="80" operator="equal">
      <formula>"欠"</formula>
    </cfRule>
  </conditionalFormatting>
  <conditionalFormatting sqref="AM1934:AM1938">
    <cfRule type="cellIs" dxfId="0" priority="845" operator="equal">
      <formula>"欠"</formula>
    </cfRule>
  </conditionalFormatting>
  <conditionalFormatting sqref="AM1941:AM1950">
    <cfRule type="cellIs" dxfId="0" priority="844" operator="equal">
      <formula>"欠"</formula>
    </cfRule>
  </conditionalFormatting>
  <conditionalFormatting sqref="AM1992:AM1993">
    <cfRule type="cellIs" dxfId="0" priority="842" operator="equal">
      <formula>"欠"</formula>
    </cfRule>
  </conditionalFormatting>
  <conditionalFormatting sqref="AN595:AN596">
    <cfRule type="cellIs" dxfId="0" priority="12232" operator="equal">
      <formula>"欠"</formula>
    </cfRule>
  </conditionalFormatting>
  <conditionalFormatting sqref="AN602:AN603">
    <cfRule type="cellIs" dxfId="0" priority="12235" operator="equal">
      <formula>"欠"</formula>
    </cfRule>
  </conditionalFormatting>
  <conditionalFormatting sqref="AN621:AN623">
    <cfRule type="cellIs" dxfId="0" priority="12041" operator="equal">
      <formula>"欠"</formula>
    </cfRule>
  </conditionalFormatting>
  <conditionalFormatting sqref="AN643:AN651">
    <cfRule type="cellIs" dxfId="0" priority="12249" operator="equal">
      <formula>"欠"</formula>
    </cfRule>
  </conditionalFormatting>
  <conditionalFormatting sqref="AN664:AN665">
    <cfRule type="cellIs" dxfId="0" priority="12988" operator="equal">
      <formula>"欠"</formula>
    </cfRule>
  </conditionalFormatting>
  <conditionalFormatting sqref="AN667:AN668">
    <cfRule type="cellIs" dxfId="0" priority="11374" operator="equal">
      <formula>"欠"</formula>
    </cfRule>
  </conditionalFormatting>
  <conditionalFormatting sqref="AN689:AN690">
    <cfRule type="cellIs" dxfId="0" priority="11420" operator="equal">
      <formula>"欠"</formula>
    </cfRule>
  </conditionalFormatting>
  <conditionalFormatting sqref="AN884:AN885">
    <cfRule type="cellIs" dxfId="0" priority="10775" operator="equal">
      <formula>"欠"</formula>
    </cfRule>
  </conditionalFormatting>
  <conditionalFormatting sqref="AN1168:AN1169">
    <cfRule type="cellIs" dxfId="0" priority="8612" operator="equal">
      <formula>"欠"</formula>
    </cfRule>
  </conditionalFormatting>
  <conditionalFormatting sqref="AN1189:AN1190">
    <cfRule type="cellIs" dxfId="0" priority="8168" operator="equal">
      <formula>"欠"</formula>
    </cfRule>
  </conditionalFormatting>
  <conditionalFormatting sqref="AN1231:AN1232">
    <cfRule type="cellIs" dxfId="0" priority="7101" operator="equal">
      <formula>"欠"</formula>
    </cfRule>
  </conditionalFormatting>
  <conditionalFormatting sqref="AN1245:AN1246">
    <cfRule type="cellIs" dxfId="0" priority="7237" operator="equal">
      <formula>"欠"</formula>
    </cfRule>
  </conditionalFormatting>
  <conditionalFormatting sqref="R1:R668 R670:R739 R741:R750 R773:R775 R780 R782:R783 R788 R790:R800 R809:R811 R839 R841:R843 R851:R852 R854:R860 R862:R867 R870:R872 R877:R882 R887 R893 R895 R897 R900 R902 R909:R916 R921:R922 R1095:R1097 R1177:R1178 R2134:R1048576">
    <cfRule type="containsText" dxfId="0" priority="11244" operator="between" text="欠">
      <formula>NOT(ISERROR(SEARCH("欠",R1)))</formula>
    </cfRule>
  </conditionalFormatting>
  <conditionalFormatting sqref="AG1:AH1 AG2144:AH2145 AG2146 AG2147:AH2152 R2153:R2156 AE2157:AF2162 AG2163:AH1048576">
    <cfRule type="cellIs" dxfId="0" priority="25139" operator="equal">
      <formula>"未完成"</formula>
    </cfRule>
  </conditionalFormatting>
  <conditionalFormatting sqref="R1:R947 T1:U947 R1095:R1097 R1158:R1160 T1158:U1160 R1170 T1170:U1171 R1177:R1178 R1180 T1180:U1180 R1184 R1187 T1187:U1187 T1330:U1330 T1486:U1487 T1690:U1691 T1778:U1778 T1914:U1914 T1918:U1918 T1919 T2022:U2025 T2026 T2036:T2037 T2043:T2044 T2123:T2124 R2134:R1048576 T2134:U1048576">
    <cfRule type="containsText" dxfId="0" priority="9481" operator="between" text="欠">
      <formula>NOT(ISERROR(SEARCH("欠",R1)))</formula>
    </cfRule>
  </conditionalFormatting>
  <conditionalFormatting sqref="R1:R1952 R1954:R1048576">
    <cfRule type="containsText" dxfId="3" priority="26" operator="between" text="欠">
      <formula>NOT(ISERROR(SEARCH("欠",R1)))</formula>
    </cfRule>
  </conditionalFormatting>
  <conditionalFormatting sqref="R1:R658 T1:U658 R659:R662 T660:U662 R664:R666 T664:U666 R670:R690 T670:U690 R692:R706 T692:U706 R707:R718 T708:U718 T723:U723 R724:R726 T724:U726 R737:R746 T737:U746 R773 T773:U773 R783 T783:U783 R790:R799 T790:U799 R800 R809:R811 T811:U817 R839 T839:U840 R841:R843 T841:U843 R851:R852 T851:U852 R854:R855 T854:U861 R862 T862:U863 R864:R865 T864:U865 R867 T867:U867 R870:R872 R877:R881 T877:U881 R882 R887 T887:U887 R893 T893:U893 R895 T895:U895 R897 T897:U897 R900 R902 T902:U902 T907:U908 R909:R915 T913:U915 R916 R921:R922 T922:U922 T928:U928 R1095:R1097 T1158:U1159 T1170:U1170 R1177:R1178 T1180:U1180 T1187:U1187 T1486:U1487 T1778:U1778 R1792:R1793 T1792:U1793 R1794 T1794:U1794 R1795 T1795:U1795 R1796 T1796:U1796 R1797 T1797:U1797 R1798 T1798:U1798 R1799 T1799:U1799 R1800 T1800:U1800 R1834 T1834:U1836 R1837 T1840:U1843 R1844 T1844:U1844 R1845 T1845:U1845 R1846 T1846:U1846 R1847 T1847:U1847 R1849:R1852 U1850:U1852 T1854:U1854 R1855:R1858 T1855:U1858 R1860:R1861 T1861:U1861 R1862 T1862:U1862 R1863 T1863:U1864 R1865:R1867 T1866:U1867 R1868 T1868:U1868 R1869 T1869:U1869 R1870 T1870:U1870 R1871 T1871:U1871 R1872:R1873 T1872:U1873 R1874:R1875 R1878:R1880 T1879:U1880 R1881 T1881:U1881 R1882 T1882:U1882 R1883 T1883:U1883 R1884 T1884:U1884 R1885 T1885:U1886 R1887:R1888 T1887:U1888 R1889 T1889:U1889 R1890 T1890:U1893 R1894 T1894:U1896 R1897 T1897:U1897 R1898 T1898:U1898 R1899 T1899:U1899 R1900 T1900:U1900 R1901:R1902 T1902:U1902 R1906:R1908 T1907:U1908 R1909 T1909:U1909 R1910 T1910:U1910 R1911:R1917 T1911:U1917 R1918:R1922 T1919:U1922 R1923 T1923:U1923 R1924 T1924:U1924 R1925 T1925:U1926 R1927 T1927:U1927 R1928 T1928:U1928 R1929 T1929:U1929 R1930 T1930:U1931 R1932 T1932:U1938 R1939 T1939:U1939 R1940 T1940:U1940 R1941 T1941:U1941 R1942:R1943 U1943 R1944 T1944:U1944 R1945 T1945:U1945 R1946 T1946:U1946 R1948 T1948:U1948 R1949 T1949:U1949 R1950 T1950:U1950 R1951:R1952 T1951:U1952 R1953 T1953:U1953 R1954 T1954:U1954 R1955 T1955:U1955 R1956 T1956:U1956 R1957 T1957:U1957 R1958:R1965 T1958:U1965 R1966 T1966:U1966 R1967 T1967:U1967 R1968 T1968:U1968 R1969 T1969:U1969 R1970 T1970:U1970 R1971 T1971:U1971 R1972 T1972:U1972 R1973 T1973:U1973 R1974 T1974:U1974 R1975 T1975:U1975 R1976 T1976:U1976 R1977 T1977:U1977 R1978 T1978:U1978 R1979 T1979:U1979 R1980 T1980:U1980 R1981 U1981 R1982 T1982:U1982 R1983:R1985 T1983:U1985 R1986 T1986:U1986 R1987:R1988 T1987:U1988 R1989 T1989:U1989 R1990 T1990:U1990 R1991 T1991:U1991 R1992:R1994 T1992:U1994 R1995 T1995:U1995 R1996 T1996:U1996 R1997 T1997:U1997 R1998 T1998:U1998 R1999 T1999:U1999 R2000 T2000:U2000 R2001 T2001:U2001 R2002:R2005 T2002:U2005 R2006 T2006:U2006 R2007 T2007:U2007 R2008 T2008:U2008 R2009:R2016 T2009:U2016 R2017 T2017:U2017 R2018 T2018:U2018 R2019 T2019:U2019 R2020 T2020:U2020 R2021 T2021:U2021 R2022 T2022:U2022 R2023 T2023:U2023 R2024 T2024:U2024 R2025 T2025:U2025 R2026 T2026:U2026 R2027 T2027:U2027 R2028 T2028:U2028 R2029 T2029:U2029 R2030 T2030:U2030 R2031 T2031:U2031 R2032 T2032:U2032 R2033 T2033:U2033 R2034 T2034:U2034 R2035:R2036 T2035:U2036 R2037 T2037:U2037 R2038 T2038:U2038 R2039 U2039 R2040 U2040 R2041:R2042 T2041:U2042 R2043 T2043:U2043 R2044 T2044:U2044 R2045 T2045:U2045 R2046 T2046:U2046 R2047 T2047:U2047 R2048 T2048:U2048 R2049 T2049:U2049 R2050 T2050:U2050 R2051:R2053 T2051:U2053 R2054 T2054:U2054 R2055 T2055:U2055 R2056 T2056:U2056 R2057 T2057:U2057 R2058:R2059 T2058:U2059 R2060 T2060:U2060 R2061 T2061:U2061 R2062 T2062:U2062 R2063 T2063:U2063 R2064 T2064:U2064 R2065 T2065:U2065 R2066 T2066:U2066 R2067:R2068 T2067:U2068 R2069 T2069:U2069 R2070 T2070:U2070 R2071:R2074 T2071:U2074 R2075 T2075:U2075 R2076 T2076:U2076 R2077 T2077:U2077 R2078 T2078:U2078 R2079 T2079:U2079 R2080 T2080:U2080 R2081 T2081:U2081 R2082 T2082:U2082 R2083:R2084 T2083:U2084 R2085 T2085:U2085 R2086 T2086:U2086 R2087 T2087:U2087 R2088 T2088:U2088 R2089 T2089:U2089 R2090 T2090:U2090 R2091 T2091:U2091 R2092 T2092:U2092 R2093 T2093:U2093 R2094 T2094:U2094 R2095 T2095:U2095 R2096 T2096:U2096 R2097 T2097:U2097 R2098 T2098:U2098 R2099:R2114 T2099:U2114 R2115 T2115:U2115 R2116 T2116:U2116 R2117 T2117:U2117 R2118 T2118:U2118 R2119:R2121 T2119:U2121 R2122 T2122:U2122 R2123 T2123:U2123 R2124:R1048576 T2124:U1048576">
    <cfRule type="containsText" dxfId="0" priority="11413" operator="between" text="欠">
      <formula>NOT(ISERROR(SEARCH("欠",R1)))</formula>
    </cfRule>
  </conditionalFormatting>
  <conditionalFormatting sqref="T1:U1952 T1954:U1048576">
    <cfRule type="containsText" dxfId="3" priority="25" operator="between" text="欠">
      <formula>NOT(ISERROR(SEARCH("欠",T1)))</formula>
    </cfRule>
  </conditionalFormatting>
  <conditionalFormatting sqref="T1:U338 T403:U405 T558:U563 T608:U608 T635:U636 T1158:U1159 T1170:U1170 T1180:U1180 T1187:U1187 T1486:U1487 T1918:U1918 T1919 T2022:U2025 T2026 T2036:T2037 T2144:U2146 T2148:U1048576">
    <cfRule type="containsText" dxfId="0" priority="13347" operator="between" text="欠">
      <formula>NOT(ISERROR(SEARCH("欠",T1)))</formula>
    </cfRule>
  </conditionalFormatting>
  <conditionalFormatting sqref="T1:U530 T558:U641 T643:U653 T656:U657 T660:U662 T664:U666 T670:U688 T692:U696 T698:U706 T708:U718 T723:U723 T737:U737 T739:U742 T744:U746 T773:U773 T783:U783 T790:U799 T812:U817 T839:U843 T851:U852 T854:U858 T862:U865 T867:U867 T877:U881 T887:U887 T893:U893 T895:U895 T897:U897 T902:U902 T907:U908 T913:U915 T922:U922 T928:U928 T1158:U1159 T1170:U1170 T1180:U1180 T1187:U1187 T1486:U1487 T1778:U1778 T1918:U1918 T1919 T2022:U2025 T2026 T2036:T2037 T2134:U1048576">
    <cfRule type="containsText" dxfId="0" priority="11680" operator="between" text="欠">
      <formula>NOT(ISERROR(SEARCH("欠",T1)))</formula>
    </cfRule>
  </conditionalFormatting>
  <conditionalFormatting sqref="T1:U668 T670:U750 T773:U775 T780:U780 T782:U783 T790:U799 T812:U817 T839:U843 T851:U852 T854:U858 T862:U867 T877:U881 T887:U887 T893:U893 T895:U895 T897:U897 T902:U902 T907:U911 T913:U915 T921:U922 T928:U928 T1158:U1159 T1170:U1170 T1180:U1180 T1187:U1187 T1330:U1330 T1486:U1487 T1778:U1778 T1918:U1918 T1919 T2022:U2025 T2026 T2036:T2037 T2134:U1048576">
    <cfRule type="containsText" dxfId="0" priority="11243" operator="between" text="欠">
      <formula>NOT(ISERROR(SEARCH("欠",T1)))</formula>
    </cfRule>
  </conditionalFormatting>
  <conditionalFormatting sqref="W1:W1952 W1954:W1048576">
    <cfRule type="containsText" dxfId="3" priority="27" operator="between" text="欠">
      <formula>NOT(ISERROR(SEARCH("欠",W1)))</formula>
    </cfRule>
    <cfRule type="containsText" dxfId="3" priority="29" operator="between" text="未安排">
      <formula>NOT(ISERROR(SEARCH("未安排",W1)))</formula>
    </cfRule>
    <cfRule type="cellIs" dxfId="3" priority="30" operator="equal">
      <formula>"否"</formula>
    </cfRule>
  </conditionalFormatting>
  <conditionalFormatting sqref="AB1:AB1952 AB1954:AB1048576">
    <cfRule type="containsText" dxfId="3" priority="24" operator="between" text="欠">
      <formula>NOT(ISERROR(SEARCH("欠",AB1)))</formula>
    </cfRule>
    <cfRule type="containsText" dxfId="3" priority="31" operator="between" text="否">
      <formula>NOT(ISERROR(SEARCH("否",AB1)))</formula>
    </cfRule>
  </conditionalFormatting>
  <conditionalFormatting sqref="T2:V15">
    <cfRule type="cellIs" dxfId="0" priority="24970" operator="equal">
      <formula>"欠"</formula>
    </cfRule>
  </conditionalFormatting>
  <conditionalFormatting sqref="AG2:AH42">
    <cfRule type="cellIs" dxfId="0" priority="24973" operator="equal">
      <formula>"未完成"</formula>
    </cfRule>
  </conditionalFormatting>
  <conditionalFormatting sqref="AL2:AM5">
    <cfRule type="cellIs" dxfId="1" priority="24975" operator="equal">
      <formula>"未完成"</formula>
    </cfRule>
    <cfRule type="cellIs" dxfId="0" priority="24976" operator="equal">
      <formula>"未完成"</formula>
    </cfRule>
  </conditionalFormatting>
  <conditionalFormatting sqref="AN3 AN5">
    <cfRule type="cellIs" dxfId="0" priority="24974" operator="equal">
      <formula>"欠"</formula>
    </cfRule>
  </conditionalFormatting>
  <conditionalFormatting sqref="T40:V40 T41:U41">
    <cfRule type="cellIs" dxfId="0" priority="16772" operator="equal">
      <formula>"欠"</formula>
    </cfRule>
  </conditionalFormatting>
  <conditionalFormatting sqref="AG70:AH225">
    <cfRule type="cellIs" dxfId="0" priority="16586" operator="equal">
      <formula>"未完成"</formula>
    </cfRule>
  </conditionalFormatting>
  <conditionalFormatting sqref="T161:V163">
    <cfRule type="cellIs" dxfId="0" priority="14773" operator="equal">
      <formula>"欠"</formula>
    </cfRule>
  </conditionalFormatting>
  <conditionalFormatting sqref="T188:V188 T403:U405">
    <cfRule type="cellIs" dxfId="0" priority="14561" operator="equal">
      <formula>"欠"</formula>
    </cfRule>
  </conditionalFormatting>
  <conditionalFormatting sqref="AG227:AH238">
    <cfRule type="cellIs" dxfId="0" priority="14274" operator="equal">
      <formula>"未完成"</formula>
    </cfRule>
  </conditionalFormatting>
  <conditionalFormatting sqref="S235 S1486:S1487">
    <cfRule type="cellIs" dxfId="0" priority="14240" operator="equal">
      <formula>"欠"</formula>
    </cfRule>
  </conditionalFormatting>
  <conditionalFormatting sqref="T235:V235 T1486:U1487">
    <cfRule type="cellIs" dxfId="0" priority="14227" operator="equal">
      <formula>"欠"</formula>
    </cfRule>
  </conditionalFormatting>
  <conditionalFormatting sqref="AG239:AH326 AG338:AH338">
    <cfRule type="cellIs" dxfId="0" priority="14128" operator="equal">
      <formula>"未完成"</formula>
    </cfRule>
  </conditionalFormatting>
  <conditionalFormatting sqref="S241 S1918:S1919 S2022 S2025:S2026 S2036:S2037">
    <cfRule type="cellIs" dxfId="0" priority="14084" operator="equal">
      <formula>"欠"</formula>
    </cfRule>
  </conditionalFormatting>
  <conditionalFormatting sqref="T241:V241 T1918:U1918 T1919 T2022:U2025 T2026 T2036:T2037">
    <cfRule type="cellIs" dxfId="0" priority="14063" operator="equal">
      <formula>"欠"</formula>
    </cfRule>
  </conditionalFormatting>
  <conditionalFormatting sqref="S261 S782 S866 S876">
    <cfRule type="cellIs" dxfId="0" priority="13775" operator="equal">
      <formula>"欠"</formula>
    </cfRule>
  </conditionalFormatting>
  <conditionalFormatting sqref="S368 S1778">
    <cfRule type="cellIs" dxfId="0" priority="13213" operator="equal">
      <formula>"欠"</formula>
    </cfRule>
  </conditionalFormatting>
  <conditionalFormatting sqref="T368:V368 T1778:U1778">
    <cfRule type="cellIs" dxfId="0" priority="13163" operator="equal">
      <formula>"欠"</formula>
    </cfRule>
  </conditionalFormatting>
  <conditionalFormatting sqref="T368:U368 T1778:U1778">
    <cfRule type="containsText" dxfId="0" priority="13013" operator="between" text="欠">
      <formula>NOT(ISERROR(SEARCH("欠",T368)))</formula>
    </cfRule>
  </conditionalFormatting>
  <conditionalFormatting sqref="S416 S638">
    <cfRule type="cellIs" dxfId="0" priority="12760" operator="equal">
      <formula>"欠"</formula>
    </cfRule>
  </conditionalFormatting>
  <conditionalFormatting sqref="R449 R900">
    <cfRule type="cellIs" dxfId="0" priority="12468" operator="equal">
      <formula>"欠"</formula>
    </cfRule>
  </conditionalFormatting>
  <conditionalFormatting sqref="S449 S900">
    <cfRule type="cellIs" dxfId="0" priority="12458" operator="equal">
      <formula>"欠"</formula>
    </cfRule>
  </conditionalFormatting>
  <conditionalFormatting sqref="R469 R601 R624:R628 R637 R641 R692:R696 R676:R679 R701:R705">
    <cfRule type="cellIs" dxfId="0" priority="12348" operator="equal">
      <formula>"欠"</formula>
    </cfRule>
  </conditionalFormatting>
  <conditionalFormatting sqref="S469 S601 S624:S628 S637 S641 S676:S679 S692:S694">
    <cfRule type="cellIs" dxfId="0" priority="12339" operator="equal">
      <formula>"欠"</formula>
    </cfRule>
  </conditionalFormatting>
  <conditionalFormatting sqref="T469:U469 T601:U601 T624:U628 T637:U637 T641:U641 T676:U679 T692:U696 T701:U706 T713:U718 T741:U742 T773:U773 T783:U783 T792:U794 T841:U843 T851:U851 T867:U867 T877:U881 T902:U902">
    <cfRule type="containsText" dxfId="0" priority="12303" operator="between" text="欠">
      <formula>NOT(ISERROR(SEARCH("欠",T469)))</formula>
    </cfRule>
  </conditionalFormatting>
  <conditionalFormatting sqref="T469:V469 T601:U601 T624:U628 T637:U637 T641:U641 T676:U679 T692:U696 T701:U706 T713:U718 T741:U742 T773:U773 T783:U783 T792:U794 T841:U843 T851:U851 T867:U867 T877:U881 T902:U902">
    <cfRule type="cellIs" dxfId="0" priority="12330" operator="equal">
      <formula>"欠"</formula>
    </cfRule>
  </conditionalFormatting>
  <conditionalFormatting sqref="S542 S738 S840 S804 S855">
    <cfRule type="cellIs" dxfId="0" priority="11595" operator="equal">
      <formula>"欠"</formula>
    </cfRule>
  </conditionalFormatting>
  <conditionalFormatting sqref="T542:V542 T738:U738">
    <cfRule type="cellIs" dxfId="0" priority="11568" operator="equal">
      <formula>"欠"</formula>
    </cfRule>
  </conditionalFormatting>
  <conditionalFormatting sqref="T542:U542 T738:U738">
    <cfRule type="containsText" dxfId="0" priority="11487" operator="between" text="欠">
      <formula>NOT(ISERROR(SEARCH("欠",T542)))</formula>
    </cfRule>
  </conditionalFormatting>
  <conditionalFormatting sqref="T545:U545 T724:U726 T743:U743">
    <cfRule type="containsText" dxfId="0" priority="11484" operator="between" text="欠">
      <formula>NOT(ISERROR(SEARCH("欠",T545)))</formula>
    </cfRule>
  </conditionalFormatting>
  <conditionalFormatting sqref="T545:V545 T724:U726 T743:U743">
    <cfRule type="cellIs" dxfId="0" priority="11565" operator="equal">
      <formula>"欠"</formula>
    </cfRule>
  </conditionalFormatting>
  <conditionalFormatting sqref="S558 S560 S562 S635 S1158:S1159 S1187 S1170">
    <cfRule type="cellIs" dxfId="0" priority="17215" operator="equal">
      <formula>"欠"</formula>
    </cfRule>
  </conditionalFormatting>
  <conditionalFormatting sqref="T558:V563 T608:V608 T635:V636 T1158:U1159 T1170:U1170 T1180:U1180 T1187:U1187">
    <cfRule type="cellIs" dxfId="0" priority="17204" operator="equal">
      <formula>"欠"</formula>
    </cfRule>
  </conditionalFormatting>
  <conditionalFormatting sqref="AG558:AH559 AG610:AH617">
    <cfRule type="cellIs" dxfId="0" priority="17190" operator="equal">
      <formula>"未完成"</formula>
    </cfRule>
  </conditionalFormatting>
  <conditionalFormatting sqref="AL558:AM559 AL610:AM617">
    <cfRule type="cellIs" dxfId="1" priority="17192" operator="equal">
      <formula>"未完成"</formula>
    </cfRule>
    <cfRule type="cellIs" dxfId="0" priority="17193" operator="equal">
      <formula>"未完成"</formula>
    </cfRule>
  </conditionalFormatting>
  <conditionalFormatting sqref="AN558 AN560 AN562 AN577 AN579 AN581 AN585 AN608 AN635 AN1170 AN1183:AN1184">
    <cfRule type="cellIs" dxfId="0" priority="17172" operator="equal">
      <formula>"欠"</formula>
    </cfRule>
  </conditionalFormatting>
  <conditionalFormatting sqref="S559 S563 S561 S608 S636">
    <cfRule type="cellIs" dxfId="0" priority="17122" operator="equal">
      <formula>"欠"</formula>
    </cfRule>
  </conditionalFormatting>
  <conditionalFormatting sqref="AG560:AH563 AG577:AH578">
    <cfRule type="cellIs" dxfId="0" priority="25128" operator="equal">
      <formula>"未完成"</formula>
    </cfRule>
  </conditionalFormatting>
  <conditionalFormatting sqref="AI560:AI561 AI562:AJ563 AI577:AJ578">
    <cfRule type="cellIs" dxfId="1" priority="25143" operator="equal">
      <formula>"未完成"</formula>
    </cfRule>
    <cfRule type="cellIs" dxfId="0" priority="25144" operator="equal">
      <formula>"未完成"</formula>
    </cfRule>
  </conditionalFormatting>
  <conditionalFormatting sqref="AL560:AM563 AL572:AM573 AL577:AM578 AL585:AM586 AM790:AN791 AM792:AM797 AM915:AN915">
    <cfRule type="cellIs" dxfId="1" priority="17185" operator="equal">
      <formula>"未完成"</formula>
    </cfRule>
    <cfRule type="cellIs" dxfId="0" priority="17186" operator="equal">
      <formula>"未完成"</formula>
    </cfRule>
  </conditionalFormatting>
  <conditionalFormatting sqref="R564:V571 R572:R575 T572:V575 R576:V586 R587 T587:V587 R589:V596 S597 R598:V600 V601 R602:V603 R609:V619 S620:S622 R623:S623 R629:S633 V629:V633 R634:V634 R639:V640 V641 R643:V643 S644:V644 R645:V646 R647:S647 V647 R648:V651 R652:U652 R653 S654:S655 R656:V656 R657:U657 S659:S660 R661:V661 R662 T662:V662 R666:V666 R670:V675 R680:V681 S682:U682 R684:U684 S685:S688 V695:V696 S697 S698:V699 S700 V701:V705 R706 V706 R707:V711 R712:U712 S723:U723 R724:S726 T731:U731 R737:R739 V737:V742 R743:V743 R744:R745 V744:V745 R746:V746 S774:U775 S780 T782:U782 S784 S789 R790:R791 R795:R796 R797:S797 R798:U798 R799:S800 V800 S801:S803 S808 R809:S811 R839:V839 T840:V840 V841:V843 S844:S850 R852:S852 S853 R854:V854 R855 T855:V856 S857:V860 T861:V861 R862 S863:U863 S864 R865:S865 T866:U866 V867 R870:S872 S882 S886 R887:S887 R893:S893 R895:S895 R897:V897 S898 S903 S908:U908 S909 R910:S911 R912 R913:S915 R916 R921:S921 R922:V922 S923:S927 S928:U928 S929:S930 S940 S1216 S1330:U1330 S1379 S1439 R1769:V1769 T1790:V1790 R1808:V1815 S1820:S1822 R1831:U1834 R1901 T1901:U1901 S2023:S2024 S2038:S2039">
    <cfRule type="cellIs" dxfId="0" priority="12093" operator="equal">
      <formula>"欠"</formula>
    </cfRule>
  </conditionalFormatting>
  <conditionalFormatting sqref="AG564:AH568 AG666:AH666">
    <cfRule type="cellIs" dxfId="0" priority="12579" operator="equal">
      <formula>"未完成"</formula>
    </cfRule>
  </conditionalFormatting>
  <conditionalFormatting sqref="AL564:AM568 AL666:AM666">
    <cfRule type="cellIs" dxfId="1" priority="12580" operator="equal">
      <formula>"未完成"</formula>
    </cfRule>
    <cfRule type="cellIs" dxfId="0" priority="12581" operator="equal">
      <formula>"未完成"</formula>
    </cfRule>
  </conditionalFormatting>
  <conditionalFormatting sqref="AN564:AN568 AN666">
    <cfRule type="cellIs" dxfId="0" priority="12582" operator="equal">
      <formula>"欠"</formula>
    </cfRule>
  </conditionalFormatting>
  <conditionalFormatting sqref="AG569:AH569 AG581:AH582 AG584:AH584 AG609:AH609">
    <cfRule type="cellIs" dxfId="0" priority="17232" operator="equal">
      <formula>"未完成"</formula>
    </cfRule>
  </conditionalFormatting>
  <conditionalFormatting sqref="AL569:AM569 AL582:AM582 AL584:AM584 AL609:AM609">
    <cfRule type="cellIs" dxfId="1" priority="16988" operator="equal">
      <formula>"未完成"</formula>
    </cfRule>
    <cfRule type="cellIs" dxfId="0" priority="16989" operator="equal">
      <formula>"未完成"</formula>
    </cfRule>
  </conditionalFormatting>
  <conditionalFormatting sqref="AN569 AN797 AN891:AN892 AN899 AN920 AN940">
    <cfRule type="cellIs" dxfId="0" priority="12880" operator="equal">
      <formula>"欠"</formula>
    </cfRule>
  </conditionalFormatting>
  <conditionalFormatting sqref="S572:S575 S587">
    <cfRule type="cellIs" dxfId="0" priority="17128" operator="equal">
      <formula>"欠"</formula>
    </cfRule>
  </conditionalFormatting>
  <conditionalFormatting sqref="AG572:AH573 AG585:AH586">
    <cfRule type="cellIs" dxfId="0" priority="17237" operator="equal">
      <formula>"未完成"</formula>
    </cfRule>
  </conditionalFormatting>
  <conditionalFormatting sqref="AN572:AN573 AN609">
    <cfRule type="cellIs" dxfId="0" priority="16987" operator="equal">
      <formula>"欠"</formula>
    </cfRule>
  </conditionalFormatting>
  <conditionalFormatting sqref="AG575:AH575 AG587:AH587">
    <cfRule type="cellIs" dxfId="0" priority="12488" operator="equal">
      <formula>"未完成"</formula>
    </cfRule>
  </conditionalFormatting>
  <conditionalFormatting sqref="AL575:AM575 AL587:AM587">
    <cfRule type="cellIs" dxfId="1" priority="12485" operator="equal">
      <formula>"未完成"</formula>
    </cfRule>
    <cfRule type="cellIs" dxfId="0" priority="12486" operator="equal">
      <formula>"未完成"</formula>
    </cfRule>
  </conditionalFormatting>
  <conditionalFormatting sqref="AN576 AN590 AN610:AN617 AN634 AN639:AN640 AN652 AN656:AN660 AN663 AN675 AN684:AN688 AN700 AN707:AN711 AN722:AN723 AN731 AN733:AN735 AN774:AN775 AN782 AN784 AN787 AN853 AN866 AN873:AN875 AN883 AN896 AN903:AN905 AN935 AN942 AN946:AN947">
    <cfRule type="cellIs" dxfId="0" priority="14981" operator="equal">
      <formula>"欠"</formula>
    </cfRule>
  </conditionalFormatting>
  <conditionalFormatting sqref="AG579:AH580">
    <cfRule type="cellIs" dxfId="0" priority="17231" operator="equal">
      <formula>"未完成"</formula>
    </cfRule>
  </conditionalFormatting>
  <conditionalFormatting sqref="AL579:AM580">
    <cfRule type="cellIs" dxfId="1" priority="17253" operator="equal">
      <formula>"未完成"</formula>
    </cfRule>
    <cfRule type="cellIs" dxfId="0" priority="17264" operator="equal">
      <formula>"未完成"</formula>
    </cfRule>
  </conditionalFormatting>
  <conditionalFormatting sqref="S588 S662:S665 S732 S888">
    <cfRule type="containsText" dxfId="0" priority="12096" operator="between" text="欠">
      <formula>NOT(ISERROR(SEARCH("欠",S588)))</formula>
    </cfRule>
    <cfRule type="cellIs" dxfId="0" priority="12097" operator="equal">
      <formula>"欠"</formula>
    </cfRule>
  </conditionalFormatting>
  <conditionalFormatting sqref="T588:U588 T664:U665">
    <cfRule type="containsText" dxfId="0" priority="12094" operator="between" text="欠">
      <formula>NOT(ISERROR(SEARCH("欠",T588)))</formula>
    </cfRule>
    <cfRule type="cellIs" dxfId="0" priority="12095" operator="equal">
      <formula>"欠"</formula>
    </cfRule>
  </conditionalFormatting>
  <conditionalFormatting sqref="AG590:AH591 AG743:AH746">
    <cfRule type="cellIs" dxfId="0" priority="17169" operator="equal">
      <formula>"未完成"</formula>
    </cfRule>
  </conditionalFormatting>
  <conditionalFormatting sqref="AL590:AM591 AL743:AM746">
    <cfRule type="cellIs" dxfId="1" priority="17170" operator="equal">
      <formula>"未完成"</formula>
    </cfRule>
    <cfRule type="cellIs" dxfId="0" priority="17171" operator="equal">
      <formula>"未完成"</formula>
    </cfRule>
  </conditionalFormatting>
  <conditionalFormatting sqref="AG593:AH594 AG598:AH601">
    <cfRule type="cellIs" dxfId="0" priority="12407" operator="equal">
      <formula>"未完成"</formula>
    </cfRule>
  </conditionalFormatting>
  <conditionalFormatting sqref="AL593:AM594 AL598:AM601 AM624:AM628 AM637">
    <cfRule type="cellIs" dxfId="1" priority="12404" operator="equal">
      <formula>"未完成"</formula>
    </cfRule>
    <cfRule type="cellIs" dxfId="0" priority="12405" operator="equal">
      <formula>"未完成"</formula>
    </cfRule>
  </conditionalFormatting>
  <conditionalFormatting sqref="AN593:AN594 AN598:AN600">
    <cfRule type="cellIs" dxfId="0" priority="12410" operator="equal">
      <formula>"欠"</formula>
    </cfRule>
  </conditionalFormatting>
  <conditionalFormatting sqref="AG595:AH596">
    <cfRule type="cellIs" dxfId="0" priority="12230" operator="equal">
      <formula>"未完成"</formula>
    </cfRule>
  </conditionalFormatting>
  <conditionalFormatting sqref="AL595:AM596">
    <cfRule type="cellIs" dxfId="1" priority="12227" operator="equal">
      <formula>"未完成"</formula>
    </cfRule>
    <cfRule type="cellIs" dxfId="0" priority="12228" operator="equal">
      <formula>"未完成"</formula>
    </cfRule>
  </conditionalFormatting>
  <conditionalFormatting sqref="AJ597 AJ602 AJ622:AJ624 AJ662 AJ664:AJ665 AJ710:AJ711 AJ732">
    <cfRule type="cellIs" dxfId="0" priority="12860" operator="equal">
      <formula>"未完成"</formula>
    </cfRule>
  </conditionalFormatting>
  <conditionalFormatting sqref="AG602:AH603">
    <cfRule type="cellIs" dxfId="0" priority="12239" operator="equal">
      <formula>"未完成"</formula>
    </cfRule>
  </conditionalFormatting>
  <conditionalFormatting sqref="AL602:AM603">
    <cfRule type="cellIs" dxfId="1" priority="12240" operator="equal">
      <formula>"未完成"</formula>
    </cfRule>
    <cfRule type="cellIs" dxfId="0" priority="12241" operator="equal">
      <formula>"未完成"</formula>
    </cfRule>
  </conditionalFormatting>
  <conditionalFormatting sqref="S605:S607 S653 S744:S746 S739:S740 S737 S812:S816">
    <cfRule type="cellIs" dxfId="0" priority="12020" operator="equal">
      <formula>"欠"</formula>
    </cfRule>
  </conditionalFormatting>
  <conditionalFormatting sqref="T606:U607 T653:U653 T737:U737 T739:U740 T744:U746 T812:U817 T907:U907">
    <cfRule type="cellIs" dxfId="0" priority="12019" operator="equal">
      <formula>"欠"</formula>
    </cfRule>
  </conditionalFormatting>
  <conditionalFormatting sqref="AN607 AN653 AN737:AN740 AN744:AN746 AN812:AN817 AN869 AN901 AN907 AN1243 AN1255:AN1256 AN1260:AN1263 AN1271 AN1284 AN1309:AN1310 AN1345">
    <cfRule type="cellIs" dxfId="0" priority="12029" operator="equal">
      <formula>"欠"</formula>
    </cfRule>
  </conditionalFormatting>
  <conditionalFormatting sqref="AG618:AH619 AG629:AH634 AG639:AH641 AG661:AH662 AG670:AH675 AG695:AH696 AG698:AH699 AG701:AH711 AG737:AH742 AG800 AG867:AH867">
    <cfRule type="cellIs" dxfId="0" priority="14000" operator="equal">
      <formula>"未完成"</formula>
    </cfRule>
  </conditionalFormatting>
  <conditionalFormatting sqref="AL618:AM619 AL629:AM634 AL639:AM641 AM653 AL661:AM662 AL670:AM675 AM676:AM679 AL680:AM681 AL695:AM696 AL698:AM699 AL701:AM711 AL737:AM742 AL800:AM800 AL839:AM839 AL854:AM860 AL867:AM867 AL897:AM897 AL922:AM922">
    <cfRule type="cellIs" dxfId="1" priority="14001" operator="equal">
      <formula>"未完成"</formula>
    </cfRule>
    <cfRule type="cellIs" dxfId="0" priority="14002" operator="equal">
      <formula>"未完成"</formula>
    </cfRule>
  </conditionalFormatting>
  <conditionalFormatting sqref="AN618:AN619 AN629:AN633 AN661:AN662 AN670:AN674 AN698:AN699 AN800 AN839 AN854:AN858">
    <cfRule type="cellIs" dxfId="0" priority="13998" operator="equal">
      <formula>"欠"</formula>
    </cfRule>
  </conditionalFormatting>
  <conditionalFormatting sqref="R620:R622 R644">
    <cfRule type="cellIs" dxfId="0" priority="11869" operator="equal">
      <formula>"欠"</formula>
    </cfRule>
  </conditionalFormatting>
  <conditionalFormatting sqref="T620:U623 T647:U647">
    <cfRule type="containsText" dxfId="0" priority="12048" operator="between" text="欠">
      <formula>NOT(ISERROR(SEARCH("欠",T620)))</formula>
    </cfRule>
    <cfRule type="cellIs" dxfId="0" priority="12049" operator="equal">
      <formula>"欠"</formula>
    </cfRule>
  </conditionalFormatting>
  <conditionalFormatting sqref="V621:V628 V637">
    <cfRule type="cellIs" dxfId="0" priority="12042" operator="equal">
      <formula>"欠"</formula>
    </cfRule>
  </conditionalFormatting>
  <conditionalFormatting sqref="AG621:AH628 AG637:AH637">
    <cfRule type="cellIs" dxfId="0" priority="12043" operator="equal">
      <formula>"未完成"</formula>
    </cfRule>
  </conditionalFormatting>
  <conditionalFormatting sqref="AL621:AM623 AL624:AL628 AL637">
    <cfRule type="cellIs" dxfId="1" priority="12044" operator="equal">
      <formula>"未完成"</formula>
    </cfRule>
    <cfRule type="cellIs" dxfId="0" priority="12045" operator="equal">
      <formula>"未完成"</formula>
    </cfRule>
  </conditionalFormatting>
  <conditionalFormatting sqref="T629:U633">
    <cfRule type="cellIs" dxfId="0" priority="12085" operator="equal">
      <formula>"欠"</formula>
    </cfRule>
  </conditionalFormatting>
  <conditionalFormatting sqref="AG635:AH636">
    <cfRule type="cellIs" dxfId="0" priority="17234" operator="equal">
      <formula>"未完成"</formula>
    </cfRule>
  </conditionalFormatting>
  <conditionalFormatting sqref="AL635:AM636">
    <cfRule type="cellIs" dxfId="1" priority="17256" operator="equal">
      <formula>"未完成"</formula>
    </cfRule>
    <cfRule type="cellIs" dxfId="0" priority="17267" operator="equal">
      <formula>"未完成"</formula>
    </cfRule>
  </conditionalFormatting>
  <conditionalFormatting sqref="R638 T638:V638">
    <cfRule type="cellIs" dxfId="0" priority="11859" operator="equal">
      <formula>"欠"</formula>
    </cfRule>
  </conditionalFormatting>
  <conditionalFormatting sqref="AG643:AH651 AG656:AH656">
    <cfRule type="cellIs" dxfId="0" priority="12246" operator="equal">
      <formula>"未完成"</formula>
    </cfRule>
  </conditionalFormatting>
  <conditionalFormatting sqref="AL643:AM651 AL656:AM656">
    <cfRule type="cellIs" dxfId="1" priority="12247" operator="equal">
      <formula>"未完成"</formula>
    </cfRule>
    <cfRule type="cellIs" dxfId="0" priority="12248" operator="equal">
      <formula>"未完成"</formula>
    </cfRule>
  </conditionalFormatting>
  <conditionalFormatting sqref="V652:V653 V657 V676:V679">
    <cfRule type="cellIs" dxfId="0" priority="11864" operator="equal">
      <formula>"欠"</formula>
    </cfRule>
  </conditionalFormatting>
  <conditionalFormatting sqref="AG652:AH653 AG657:AH657 AG676:AH679">
    <cfRule type="cellIs" dxfId="0" priority="11865" operator="equal">
      <formula>"未完成"</formula>
    </cfRule>
  </conditionalFormatting>
  <conditionalFormatting sqref="AL652:AM652 AL653 AL657:AM657 AL676:AL679">
    <cfRule type="cellIs" dxfId="1" priority="11866" operator="equal">
      <formula>"未完成"</formula>
    </cfRule>
    <cfRule type="cellIs" dxfId="0" priority="11867" operator="equal">
      <formula>"未完成"</formula>
    </cfRule>
  </conditionalFormatting>
  <conditionalFormatting sqref="T654:U654 R654:R655 T655 R659">
    <cfRule type="cellIs" dxfId="0" priority="11428" operator="equal">
      <formula>"欠"</formula>
    </cfRule>
  </conditionalFormatting>
  <conditionalFormatting sqref="T654:U655">
    <cfRule type="containsText" dxfId="0" priority="11424" operator="between" text="欠">
      <formula>NOT(ISERROR(SEARCH("欠",T654)))</formula>
    </cfRule>
  </conditionalFormatting>
  <conditionalFormatting sqref="V655 V659">
    <cfRule type="cellIs" dxfId="0" priority="11427" operator="equal">
      <formula>"欠"</formula>
    </cfRule>
  </conditionalFormatting>
  <conditionalFormatting sqref="AG655:AH655 AG659:AH659">
    <cfRule type="cellIs" dxfId="0" priority="11431" operator="equal">
      <formula>"未完成"</formula>
    </cfRule>
  </conditionalFormatting>
  <conditionalFormatting sqref="AL655:AM655 AL659:AM659">
    <cfRule type="cellIs" dxfId="1" priority="11435" operator="equal">
      <formula>"未完成"</formula>
    </cfRule>
    <cfRule type="cellIs" dxfId="0" priority="11439" operator="equal">
      <formula>"未完成"</formula>
    </cfRule>
  </conditionalFormatting>
  <conditionalFormatting sqref="T658:V658 R660 V660 R689:V690 V692:V694">
    <cfRule type="cellIs" dxfId="0" priority="11416" operator="equal">
      <formula>"欠"</formula>
    </cfRule>
  </conditionalFormatting>
  <conditionalFormatting sqref="T658:U658 T689:U690">
    <cfRule type="containsText" dxfId="0" priority="11415" operator="between" text="欠">
      <formula>NOT(ISERROR(SEARCH("欠",T658)))</formula>
    </cfRule>
  </conditionalFormatting>
  <conditionalFormatting sqref="AG658:AH658 AG660:AH660 AG689:AH690 AG692:AH694">
    <cfRule type="cellIs" dxfId="0" priority="11417" operator="equal">
      <formula>"未完成"</formula>
    </cfRule>
  </conditionalFormatting>
  <conditionalFormatting sqref="AL658:AM658 AL660:AM660 AL689:AM690 AL692:AM694">
    <cfRule type="cellIs" dxfId="1" priority="11418" operator="equal">
      <formula>"未完成"</formula>
    </cfRule>
    <cfRule type="cellIs" dxfId="0" priority="11419" operator="equal">
      <formula>"未完成"</formula>
    </cfRule>
  </conditionalFormatting>
  <conditionalFormatting sqref="T660:U660 R683:V683 V684 R685:R688 T685:V688 R700 T700:V700">
    <cfRule type="cellIs" dxfId="0" priority="11849" operator="equal">
      <formula>"欠"</formula>
    </cfRule>
  </conditionalFormatting>
  <conditionalFormatting sqref="R663 T663:V663">
    <cfRule type="cellIs" dxfId="0" priority="11335" operator="equal">
      <formula>"欠"</formula>
    </cfRule>
  </conditionalFormatting>
  <conditionalFormatting sqref="R663 T663:U663">
    <cfRule type="containsText" dxfId="0" priority="11333" operator="between" text="欠">
      <formula>NOT(ISERROR(SEARCH("欠",R663)))</formula>
    </cfRule>
  </conditionalFormatting>
  <conditionalFormatting sqref="AG664:AH665">
    <cfRule type="cellIs" dxfId="0" priority="12990" operator="equal">
      <formula>"未完成"</formula>
    </cfRule>
  </conditionalFormatting>
  <conditionalFormatting sqref="AL664:AM665">
    <cfRule type="cellIs" dxfId="1" priority="12991" operator="equal">
      <formula>"未完成"</formula>
    </cfRule>
    <cfRule type="cellIs" dxfId="0" priority="12992" operator="equal">
      <formula>"未完成"</formula>
    </cfRule>
  </conditionalFormatting>
  <conditionalFormatting sqref="R667:R668 V667:V668">
    <cfRule type="cellIs" dxfId="0" priority="11373" operator="equal">
      <formula>"欠"</formula>
    </cfRule>
  </conditionalFormatting>
  <conditionalFormatting sqref="T667:U668">
    <cfRule type="cellIs" dxfId="0" priority="11308" operator="equal">
      <formula>"欠"</formula>
    </cfRule>
  </conditionalFormatting>
  <conditionalFormatting sqref="AG667:AH668">
    <cfRule type="cellIs" dxfId="0" priority="11375" operator="equal">
      <formula>"未完成"</formula>
    </cfRule>
  </conditionalFormatting>
  <conditionalFormatting sqref="AL667:AM668">
    <cfRule type="cellIs" dxfId="1" priority="11376" operator="equal">
      <formula>"未完成"</formula>
    </cfRule>
    <cfRule type="cellIs" dxfId="0" priority="11377" operator="equal">
      <formula>"未完成"</formula>
    </cfRule>
  </conditionalFormatting>
  <conditionalFormatting sqref="R669 V669">
    <cfRule type="cellIs" dxfId="0" priority="11058" operator="equal">
      <formula>"欠"</formula>
    </cfRule>
  </conditionalFormatting>
  <conditionalFormatting sqref="AG683:AH688 AG700:AH700">
    <cfRule type="cellIs" dxfId="0" priority="11850" operator="equal">
      <formula>"未完成"</formula>
    </cfRule>
  </conditionalFormatting>
  <conditionalFormatting sqref="AL683:AM688 AL700:AM700">
    <cfRule type="cellIs" dxfId="1" priority="11851" operator="equal">
      <formula>"未完成"</formula>
    </cfRule>
    <cfRule type="cellIs" dxfId="0" priority="11852" operator="equal">
      <formula>"未完成"</formula>
    </cfRule>
  </conditionalFormatting>
  <conditionalFormatting sqref="R691 T691:U691">
    <cfRule type="containsText" dxfId="0" priority="11310" operator="between" text="欠">
      <formula>NOT(ISERROR(SEARCH("欠",R691)))</formula>
    </cfRule>
  </conditionalFormatting>
  <conditionalFormatting sqref="S701:S706 S695:S696 S713:S718 S741:S742 S773 S841:S843 S792:S794 S783 S877:S881 S867 S851 S902">
    <cfRule type="cellIs" dxfId="0" priority="11307" operator="equal">
      <formula>"欠"</formula>
    </cfRule>
  </conditionalFormatting>
  <conditionalFormatting sqref="R697:R699 T697:U697">
    <cfRule type="cellIs" dxfId="0" priority="11662" operator="equal">
      <formula>"欠"</formula>
    </cfRule>
  </conditionalFormatting>
  <conditionalFormatting sqref="AG712:AH718">
    <cfRule type="cellIs" dxfId="0" priority="11286" operator="equal">
      <formula>"未完成"</formula>
    </cfRule>
  </conditionalFormatting>
  <conditionalFormatting sqref="AJ712:AJ718 AJ735:AJ748 AJ773:AJ775 AJ780 AJ782:AJ817 AJ839:AJ947 AJ1158:AJ1162 AJ1181 AJ1187 AJ1204 AJ1209:AJ1210 AJ1212 AJ1217 AJ1220:AJ1226 AJ1237:AJ1240 AJ1243:AJ1244 AJ1252:AJ1253 AJ1260:AJ1264 AJ1267:AJ1268 AJ1276 AJ1285:AJ1289 AJ1300 AJ1307 AJ1317 AJ1321:AJ1323 AJ1329 AJ1338:AJ1339 AJ1346 AJ1351:AJ1353 AJ1356:AJ1357 AJ1364 AJ1370:AJ1371 AJ1382:AJ1391 AJ1394:AJ1395 AJ1427:AJ1428 AJ1432 AJ1461 AJ1466:AJ1469 AJ1474 AJ1478 AJ1482:AJ1484 AJ1509:AJ1511 AJ1550:AJ1551 AJ1571 AJ1576:AJ1577 AJ1611:AJ1615 AJ1629 AJ1631 AJ1633:AJ1640 AJ1689 AJ1696 AJ1703:AJ1704 AJ1721 AJ1743:AJ1746 AJ1748:AJ1749 AJ1772:AJ1773 AJ1777:AJ1781 AJ1785 AJ1789:AJ1792 AJ1809 AJ1820 AJ1827 AJ1859:AJ1860 AJ1895:AJ1896 AJ1960 AJ1985 AJ2035 AJ2038:AJ2040 AJ2074:AJ2075 AJ2117:AJ2118">
    <cfRule type="cellIs" dxfId="0" priority="11285" operator="equal">
      <formula>"未完成"</formula>
    </cfRule>
  </conditionalFormatting>
  <conditionalFormatting sqref="AL712:AM718 AM773">
    <cfRule type="cellIs" dxfId="1" priority="11287" operator="equal">
      <formula>"未完成"</formula>
    </cfRule>
    <cfRule type="cellIs" dxfId="0" priority="11288" operator="equal">
      <formula>"未完成"</formula>
    </cfRule>
  </conditionalFormatting>
  <conditionalFormatting sqref="R713:R718 R741:R742 R773 R783 R792:R794 R841:R843 R851 R867 R877:R881 R902 R1095:R1097 R1177:R1178">
    <cfRule type="cellIs" dxfId="0" priority="11264" operator="equal">
      <formula>"欠"</formula>
    </cfRule>
  </conditionalFormatting>
  <conditionalFormatting sqref="R719 T719:U719">
    <cfRule type="containsText" dxfId="0" priority="11326" operator="between" text="欠">
      <formula>NOT(ISERROR(SEARCH("欠",R719)))</formula>
    </cfRule>
  </conditionalFormatting>
  <conditionalFormatting sqref="R719:V719 S720 S722 S733:S736 S748:S749">
    <cfRule type="cellIs" dxfId="0" priority="11328" operator="equal">
      <formula>"欠"</formula>
    </cfRule>
  </conditionalFormatting>
  <conditionalFormatting sqref="R720 T720:U720 R748:R749 T748:U749">
    <cfRule type="containsText" dxfId="0" priority="11267" operator="between" text="欠">
      <formula>NOT(ISERROR(SEARCH("欠",R720)))</formula>
    </cfRule>
  </conditionalFormatting>
  <conditionalFormatting sqref="R720 T720:V720 R748:R749 T748:V749">
    <cfRule type="cellIs" dxfId="0" priority="11269" operator="equal">
      <formula>"欠"</formula>
    </cfRule>
  </conditionalFormatting>
  <conditionalFormatting sqref="T720:U720 T748:U749">
    <cfRule type="containsText" dxfId="0" priority="11268" operator="between" text="欠">
      <formula>NOT(ISERROR(SEARCH("欠",T720)))</formula>
    </cfRule>
  </conditionalFormatting>
  <conditionalFormatting sqref="AG720:AH720 AG748:AH749">
    <cfRule type="cellIs" dxfId="0" priority="11271" operator="equal">
      <formula>"未完成"</formula>
    </cfRule>
  </conditionalFormatting>
  <conditionalFormatting sqref="AJ720 AJ749">
    <cfRule type="cellIs" dxfId="0" priority="11270" operator="equal">
      <formula>"未完成"</formula>
    </cfRule>
  </conditionalFormatting>
  <conditionalFormatting sqref="AL720:AM720 AL748:AM749">
    <cfRule type="cellIs" dxfId="1" priority="11272" operator="equal">
      <formula>"未完成"</formula>
    </cfRule>
    <cfRule type="cellIs" dxfId="0" priority="11273" operator="equal">
      <formula>"未完成"</formula>
    </cfRule>
  </conditionalFormatting>
  <conditionalFormatting sqref="R721 T721:U721 R747 T747:U747">
    <cfRule type="containsText" dxfId="0" priority="11274" operator="between" text="欠">
      <formula>NOT(ISERROR(SEARCH("欠",R721)))</formula>
    </cfRule>
  </conditionalFormatting>
  <conditionalFormatting sqref="R721:V721 R747 T747:V747">
    <cfRule type="cellIs" dxfId="0" priority="11276" operator="equal">
      <formula>"欠"</formula>
    </cfRule>
  </conditionalFormatting>
  <conditionalFormatting sqref="T721:U721 T747:U747">
    <cfRule type="containsText" dxfId="0" priority="11275" operator="between" text="欠">
      <formula>NOT(ISERROR(SEARCH("欠",T721)))</formula>
    </cfRule>
  </conditionalFormatting>
  <conditionalFormatting sqref="AG721:AH721 AG747:AH747">
    <cfRule type="cellIs" dxfId="0" priority="11278" operator="equal">
      <formula>"未完成"</formula>
    </cfRule>
  </conditionalFormatting>
  <conditionalFormatting sqref="AL721:AM721 AL747:AM747">
    <cfRule type="cellIs" dxfId="1" priority="11279" operator="equal">
      <formula>"未完成"</formula>
    </cfRule>
    <cfRule type="cellIs" dxfId="0" priority="11280" operator="equal">
      <formula>"未完成"</formula>
    </cfRule>
  </conditionalFormatting>
  <conditionalFormatting sqref="AN721 AN747">
    <cfRule type="cellIs" dxfId="0" priority="11281" operator="equal">
      <formula>"欠"</formula>
    </cfRule>
  </conditionalFormatting>
  <conditionalFormatting sqref="R722 R733:R736">
    <cfRule type="cellIs" dxfId="0" priority="11263" operator="equal">
      <formula>"欠"</formula>
    </cfRule>
  </conditionalFormatting>
  <conditionalFormatting sqref="T722:U722 T732:U736">
    <cfRule type="containsText" dxfId="0" priority="11298" operator="between" text="欠">
      <formula>NOT(ISERROR(SEARCH("欠",T722)))</formula>
    </cfRule>
    <cfRule type="cellIs" dxfId="0" priority="11300" operator="equal">
      <formula>"欠"</formula>
    </cfRule>
  </conditionalFormatting>
  <conditionalFormatting sqref="V722 V731:V735 V750 V774:V775 V782 V866">
    <cfRule type="cellIs" dxfId="0" priority="11293" operator="equal">
      <formula>"欠"</formula>
    </cfRule>
  </conditionalFormatting>
  <conditionalFormatting sqref="AG722:AH722 AG731:AH735 AG750:AH750 AG774:AH775 AG782:AH782 AG866:AH866">
    <cfRule type="cellIs" dxfId="0" priority="11294" operator="equal">
      <formula>"未完成"</formula>
    </cfRule>
  </conditionalFormatting>
  <conditionalFormatting sqref="AL722:AM722 AL731:AM735 AL750:AM750 AL774:AM775 AL782:AM782 AL866:AM866">
    <cfRule type="cellIs" dxfId="1" priority="11295" operator="equal">
      <formula>"未完成"</formula>
    </cfRule>
    <cfRule type="cellIs" dxfId="0" priority="11296" operator="equal">
      <formula>"未完成"</formula>
    </cfRule>
  </conditionalFormatting>
  <conditionalFormatting sqref="R723 V723">
    <cfRule type="cellIs" dxfId="0" priority="11408" operator="equal">
      <formula>"欠"</formula>
    </cfRule>
  </conditionalFormatting>
  <conditionalFormatting sqref="V724:V726 V728:V729 T790:V791 V792:V794 T795:V797 T799:V799 V809:V817 T852:V852 T862:V862 T864:V865 V868:V872 T887:V887 T893:V893 T895:V895 R909 T913:V915">
    <cfRule type="cellIs" dxfId="0" priority="11854" operator="equal">
      <formula>"欠"</formula>
    </cfRule>
  </conditionalFormatting>
  <conditionalFormatting sqref="AG724:AH726 AG728:AH729 AG799">
    <cfRule type="cellIs" dxfId="0" priority="11855" operator="equal">
      <formula>"未完成"</formula>
    </cfRule>
  </conditionalFormatting>
  <conditionalFormatting sqref="AL724:AM726 AL728:AM729 AL799:AM799 AL852:AM852 AL862:AM862 AL864:AM865 AL870:AM872 AL887:AM887 AL893:AM893 AL895:AM895 AL913:AM914 AL915">
    <cfRule type="cellIs" dxfId="1" priority="11856" operator="equal">
      <formula>"未完成"</formula>
    </cfRule>
    <cfRule type="cellIs" dxfId="0" priority="11857" operator="equal">
      <formula>"未完成"</formula>
    </cfRule>
  </conditionalFormatting>
  <conditionalFormatting sqref="AN724:AN726 AN728:AN729 AN799 AN852 AN862 AN864:AN865 AN870:AN872 AN887 AN893 AN895 AN913:AN914">
    <cfRule type="cellIs" dxfId="0" priority="11858" operator="equal">
      <formula>"欠"</formula>
    </cfRule>
  </conditionalFormatting>
  <conditionalFormatting sqref="S727:S731 S856:S858 S863 S887">
    <cfRule type="cellIs" dxfId="0" priority="11304" operator="equal">
      <formula>"欠"</formula>
    </cfRule>
  </conditionalFormatting>
  <conditionalFormatting sqref="T727:U730">
    <cfRule type="containsText" dxfId="0" priority="11342" operator="between" text="欠">
      <formula>NOT(ISERROR(SEARCH("欠",T727)))</formula>
    </cfRule>
    <cfRule type="cellIs" dxfId="0" priority="11344" operator="equal">
      <formula>"欠"</formula>
    </cfRule>
  </conditionalFormatting>
  <conditionalFormatting sqref="R731:R732 R750 R774:R775 R863 R856:R860">
    <cfRule type="containsText" dxfId="0" priority="11291" operator="between" text="欠">
      <formula>NOT(ISERROR(SEARCH("欠",R731)))</formula>
    </cfRule>
    <cfRule type="cellIs" dxfId="0" priority="11292" operator="equal">
      <formula>"欠"</formula>
    </cfRule>
  </conditionalFormatting>
  <conditionalFormatting sqref="AN732 AN750">
    <cfRule type="cellIs" dxfId="0" priority="11297" operator="equal">
      <formula>"欠"</formula>
    </cfRule>
  </conditionalFormatting>
  <conditionalFormatting sqref="V736 V773">
    <cfRule type="cellIs" dxfId="0" priority="11246" operator="equal">
      <formula>"欠"</formula>
    </cfRule>
  </conditionalFormatting>
  <conditionalFormatting sqref="AG736:AH736 AG773:AH773">
    <cfRule type="cellIs" dxfId="0" priority="11247" operator="equal">
      <formula>"未完成"</formula>
    </cfRule>
  </conditionalFormatting>
  <conditionalFormatting sqref="AL736:AM736 AL773">
    <cfRule type="cellIs" dxfId="1" priority="11248" operator="equal">
      <formula>"未完成"</formula>
    </cfRule>
    <cfRule type="cellIs" dxfId="0" priority="11249" operator="equal">
      <formula>"未完成"</formula>
    </cfRule>
  </conditionalFormatting>
  <conditionalFormatting sqref="R758:R759 R751:R752 R771">
    <cfRule type="cellIs" dxfId="0" priority="10460" operator="equal">
      <formula>"欠"</formula>
    </cfRule>
  </conditionalFormatting>
  <conditionalFormatting sqref="R757:R760 R751:R753 R762:R765 R767:R771">
    <cfRule type="containsText" dxfId="0" priority="10455" operator="between" text="欠">
      <formula>NOT(ISERROR(SEARCH("欠",R751)))</formula>
    </cfRule>
  </conditionalFormatting>
  <conditionalFormatting sqref="R751:R752 T751:T752 T754:T759 R757:R759 R762:R763 T762:T763 R767:R771 T769:T771">
    <cfRule type="containsText" dxfId="0" priority="10487" operator="between" text="欠">
      <formula>NOT(ISERROR(SEARCH("欠",R751)))</formula>
    </cfRule>
  </conditionalFormatting>
  <conditionalFormatting sqref="S758:S759 S751:S752 S771">
    <cfRule type="cellIs" dxfId="0" priority="10470" operator="equal">
      <formula>"欠"</formula>
    </cfRule>
  </conditionalFormatting>
  <conditionalFormatting sqref="T751:U752 T758:U759 T771:U771">
    <cfRule type="containsText" dxfId="0" priority="10500" operator="between" text="欠">
      <formula>NOT(ISERROR(SEARCH("欠",T751)))</formula>
    </cfRule>
    <cfRule type="cellIs" dxfId="0" priority="10501" operator="equal">
      <formula>"欠"</formula>
    </cfRule>
  </conditionalFormatting>
  <conditionalFormatting sqref="T751:U752 T754:U759 T762:U763 T769:U771">
    <cfRule type="containsText" dxfId="0" priority="10488" operator="between" text="欠">
      <formula>NOT(ISERROR(SEARCH("欠",T751)))</formula>
    </cfRule>
  </conditionalFormatting>
  <conditionalFormatting sqref="T751:U764 T767:U771">
    <cfRule type="containsText" dxfId="0" priority="10454" operator="between" text="欠">
      <formula>NOT(ISERROR(SEARCH("欠",T751)))</formula>
    </cfRule>
  </conditionalFormatting>
  <conditionalFormatting sqref="AG751:AH752">
    <cfRule type="cellIs" dxfId="0" priority="10457" operator="equal">
      <formula>"未完成"</formula>
    </cfRule>
  </conditionalFormatting>
  <conditionalFormatting sqref="AJ751:AJ772 AJ1255:AJ1256 AJ1309:AJ1310 AJ1558 AJ1725:AJ1726 AJ1859:AJ1860 AJ1895:AJ1896">
    <cfRule type="cellIs" dxfId="0" priority="10461" operator="equal">
      <formula>"未完成"</formula>
    </cfRule>
  </conditionalFormatting>
  <conditionalFormatting sqref="R760 R753">
    <cfRule type="cellIs" dxfId="0" priority="10478" operator="equal">
      <formula>"欠"</formula>
    </cfRule>
  </conditionalFormatting>
  <conditionalFormatting sqref="R753 T753:U753 R760 T760:U761">
    <cfRule type="containsText" dxfId="0" priority="10471" operator="between" text="欠">
      <formula>NOT(ISERROR(SEARCH("欠",R753)))</formula>
    </cfRule>
  </conditionalFormatting>
  <conditionalFormatting sqref="S753 S754:U755 R757 S760:S761 R762:S763 R767:S768 R769:R770 S772 S1558">
    <cfRule type="cellIs" dxfId="0" priority="10497" operator="equal">
      <formula>"欠"</formula>
    </cfRule>
  </conditionalFormatting>
  <conditionalFormatting sqref="T753:V753 T760:V761">
    <cfRule type="cellIs" dxfId="0" priority="10473" operator="equal">
      <formula>"欠"</formula>
    </cfRule>
  </conditionalFormatting>
  <conditionalFormatting sqref="T753:U753 T760:U761">
    <cfRule type="containsText" dxfId="0" priority="10472" operator="between" text="欠">
      <formula>NOT(ISERROR(SEARCH("欠",T753)))</formula>
    </cfRule>
  </conditionalFormatting>
  <conditionalFormatting sqref="AG753:AH753 AG760:AH761">
    <cfRule type="cellIs" dxfId="0" priority="10474" operator="equal">
      <formula>"未完成"</formula>
    </cfRule>
  </conditionalFormatting>
  <conditionalFormatting sqref="AL753:AM753 AL760:AM761">
    <cfRule type="cellIs" dxfId="1" priority="10475" operator="equal">
      <formula>"未完成"</formula>
    </cfRule>
    <cfRule type="cellIs" dxfId="0" priority="10476" operator="equal">
      <formula>"未完成"</formula>
    </cfRule>
  </conditionalFormatting>
  <conditionalFormatting sqref="AN753 AN760:AN761">
    <cfRule type="cellIs" dxfId="0" priority="10477" operator="equal">
      <formula>"欠"</formula>
    </cfRule>
  </conditionalFormatting>
  <conditionalFormatting sqref="AG754:AH756">
    <cfRule type="cellIs" dxfId="0" priority="10450" operator="equal">
      <formula>"未完成"</formula>
    </cfRule>
  </conditionalFormatting>
  <conditionalFormatting sqref="AL754:AM756">
    <cfRule type="cellIs" dxfId="1" priority="10451" operator="equal">
      <formula>"未完成"</formula>
    </cfRule>
    <cfRule type="cellIs" dxfId="0" priority="10452" operator="equal">
      <formula>"未完成"</formula>
    </cfRule>
  </conditionalFormatting>
  <conditionalFormatting sqref="AN755:AN756 AN769:AN770">
    <cfRule type="cellIs" dxfId="0" priority="10496" operator="equal">
      <formula>"欠"</formula>
    </cfRule>
  </conditionalFormatting>
  <conditionalFormatting sqref="S756:S757 S769:S770">
    <cfRule type="cellIs" dxfId="0" priority="10495" operator="equal">
      <formula>"欠"</formula>
    </cfRule>
  </conditionalFormatting>
  <conditionalFormatting sqref="T756:U756 T769:U770">
    <cfRule type="cellIs" dxfId="0" priority="10494" operator="equal">
      <formula>"欠"</formula>
    </cfRule>
  </conditionalFormatting>
  <conditionalFormatting sqref="T757:V757 V758:V759 T762:V763">
    <cfRule type="cellIs" dxfId="0" priority="10489" operator="equal">
      <formula>"欠"</formula>
    </cfRule>
  </conditionalFormatting>
  <conditionalFormatting sqref="AG757:AH759 AG762:AH763">
    <cfRule type="cellIs" dxfId="0" priority="10490" operator="equal">
      <formula>"未完成"</formula>
    </cfRule>
  </conditionalFormatting>
  <conditionalFormatting sqref="AL757:AM759 AL762:AM763">
    <cfRule type="cellIs" dxfId="1" priority="10491" operator="equal">
      <formula>"未完成"</formula>
    </cfRule>
    <cfRule type="cellIs" dxfId="0" priority="10492" operator="equal">
      <formula>"未完成"</formula>
    </cfRule>
  </conditionalFormatting>
  <conditionalFormatting sqref="AN757 AN762:AN763">
    <cfRule type="cellIs" dxfId="0" priority="10493" operator="equal">
      <formula>"欠"</formula>
    </cfRule>
  </conditionalFormatting>
  <conditionalFormatting sqref="R765 R764:S764">
    <cfRule type="cellIs" dxfId="0" priority="10486" operator="equal">
      <formula>"欠"</formula>
    </cfRule>
  </conditionalFormatting>
  <conditionalFormatting sqref="R764:R765 T764 T767:T768">
    <cfRule type="containsText" dxfId="0" priority="10479" operator="between" text="欠">
      <formula>NOT(ISERROR(SEARCH("欠",R764)))</formula>
    </cfRule>
  </conditionalFormatting>
  <conditionalFormatting sqref="T764:V764 V765 T767:V768 V769:V771">
    <cfRule type="cellIs" dxfId="0" priority="10481" operator="equal">
      <formula>"欠"</formula>
    </cfRule>
  </conditionalFormatting>
  <conditionalFormatting sqref="T764:U764 T767:U768">
    <cfRule type="containsText" dxfId="0" priority="10480" operator="between" text="欠">
      <formula>NOT(ISERROR(SEARCH("欠",T764)))</formula>
    </cfRule>
  </conditionalFormatting>
  <conditionalFormatting sqref="AG764:AH765 AG767:AH771">
    <cfRule type="cellIs" dxfId="0" priority="10482" operator="equal">
      <formula>"未完成"</formula>
    </cfRule>
  </conditionalFormatting>
  <conditionalFormatting sqref="AL764:AM765 AL767:AM771">
    <cfRule type="cellIs" dxfId="1" priority="10483" operator="equal">
      <formula>"未完成"</formula>
    </cfRule>
    <cfRule type="cellIs" dxfId="0" priority="10484" operator="equal">
      <formula>"未完成"</formula>
    </cfRule>
  </conditionalFormatting>
  <conditionalFormatting sqref="AN764:AN765 AN767:AN768">
    <cfRule type="cellIs" dxfId="0" priority="10485" operator="equal">
      <formula>"欠"</formula>
    </cfRule>
  </conditionalFormatting>
  <conditionalFormatting sqref="R780 T780:U780">
    <cfRule type="containsText" dxfId="0" priority="11390" operator="between" text="欠">
      <formula>NOT(ISERROR(SEARCH("欠",R780)))</formula>
    </cfRule>
  </conditionalFormatting>
  <conditionalFormatting sqref="R782 R866">
    <cfRule type="containsText" dxfId="0" priority="11255" operator="between" text="欠">
      <formula>NOT(ISERROR(SEARCH("欠",R782)))</formula>
    </cfRule>
    <cfRule type="cellIs" dxfId="0" priority="11256" operator="equal">
      <formula>"欠"</formula>
    </cfRule>
  </conditionalFormatting>
  <conditionalFormatting sqref="V783 V788">
    <cfRule type="cellIs" dxfId="0" priority="11400" operator="equal">
      <formula>"欠"</formula>
    </cfRule>
  </conditionalFormatting>
  <conditionalFormatting sqref="AG783:AH783 AG788:AH788">
    <cfRule type="cellIs" dxfId="0" priority="11401" operator="equal">
      <formula>"未完成"</formula>
    </cfRule>
  </conditionalFormatting>
  <conditionalFormatting sqref="AL783:AM783 AL788:AM788">
    <cfRule type="cellIs" dxfId="1" priority="11402" operator="equal">
      <formula>"未完成"</formula>
    </cfRule>
    <cfRule type="cellIs" dxfId="0" priority="11403" operator="equal">
      <formula>"未完成"</formula>
    </cfRule>
  </conditionalFormatting>
  <conditionalFormatting sqref="T785:U786">
    <cfRule type="containsText" dxfId="0" priority="11109" operator="between" text="欠">
      <formula>NOT(ISERROR(SEARCH("欠",T785)))</formula>
    </cfRule>
  </conditionalFormatting>
  <conditionalFormatting sqref="T785:V786">
    <cfRule type="cellIs" dxfId="0" priority="11111" operator="equal">
      <formula>"欠"</formula>
    </cfRule>
  </conditionalFormatting>
  <conditionalFormatting sqref="AG785:AH786">
    <cfRule type="cellIs" dxfId="0" priority="11112" operator="equal">
      <formula>"未完成"</formula>
    </cfRule>
  </conditionalFormatting>
  <conditionalFormatting sqref="AL785:AM786">
    <cfRule type="cellIs" dxfId="1" priority="11113" operator="equal">
      <formula>"未完成"</formula>
    </cfRule>
    <cfRule type="cellIs" dxfId="0" priority="11114" operator="equal">
      <formula>"未完成"</formula>
    </cfRule>
  </conditionalFormatting>
  <conditionalFormatting sqref="S786 S790:S791">
    <cfRule type="cellIs" dxfId="0" priority="11067" operator="equal">
      <formula>"欠"</formula>
    </cfRule>
  </conditionalFormatting>
  <conditionalFormatting sqref="R787 T787:U787">
    <cfRule type="containsText" dxfId="0" priority="11030" operator="between" text="欠">
      <formula>NOT(ISERROR(SEARCH("欠",R787)))</formula>
    </cfRule>
    <cfRule type="cellIs" dxfId="0" priority="11032" operator="equal">
      <formula>"欠"</formula>
    </cfRule>
  </conditionalFormatting>
  <conditionalFormatting sqref="R788:S788 S795:S796 S805:S807">
    <cfRule type="cellIs" dxfId="0" priority="11405" operator="equal">
      <formula>"欠"</formula>
    </cfRule>
  </conditionalFormatting>
  <conditionalFormatting sqref="T789:V789 V798">
    <cfRule type="cellIs" dxfId="0" priority="11195" operator="equal">
      <formula>"欠"</formula>
    </cfRule>
  </conditionalFormatting>
  <conditionalFormatting sqref="AG789:AH789 AG798">
    <cfRule type="cellIs" dxfId="0" priority="11196" operator="equal">
      <formula>"未完成"</formula>
    </cfRule>
  </conditionalFormatting>
  <conditionalFormatting sqref="AL789:AM789 AL798:AM798">
    <cfRule type="cellIs" dxfId="1" priority="11197" operator="equal">
      <formula>"未完成"</formula>
    </cfRule>
    <cfRule type="cellIs" dxfId="0" priority="11198" operator="equal">
      <formula>"未完成"</formula>
    </cfRule>
  </conditionalFormatting>
  <conditionalFormatting sqref="AI790:AI797 AI915">
    <cfRule type="cellIs" dxfId="0" priority="25127" operator="equal">
      <formula>"未完成"</formula>
    </cfRule>
  </conditionalFormatting>
  <conditionalFormatting sqref="R801:R804 R840 R808">
    <cfRule type="containsText" dxfId="0" priority="11223" operator="between" text="欠">
      <formula>NOT(ISERROR(SEARCH("欠",R801)))</formula>
    </cfRule>
  </conditionalFormatting>
  <conditionalFormatting sqref="R801:R804 T801:U804 R808 T808:U808 R840">
    <cfRule type="containsText" dxfId="0" priority="11224" operator="between" text="欠">
      <formula>NOT(ISERROR(SEARCH("欠",R801)))</formula>
    </cfRule>
  </conditionalFormatting>
  <conditionalFormatting sqref="R801:R804 T801:V804 R808 T808:V808 R840">
    <cfRule type="cellIs" dxfId="0" priority="11226" operator="equal">
      <formula>"欠"</formula>
    </cfRule>
  </conditionalFormatting>
  <conditionalFormatting sqref="T801:U804 T808:U808">
    <cfRule type="containsText" dxfId="0" priority="11222" operator="between" text="欠">
      <formula>NOT(ISERROR(SEARCH("欠",T801)))</formula>
    </cfRule>
  </conditionalFormatting>
  <conditionalFormatting sqref="AL801:AM804 AL808:AM817 AL840:AM843 AL861:AM861 AL868:AM869">
    <cfRule type="cellIs" dxfId="1" priority="11229" operator="equal">
      <formula>"未完成"</formula>
    </cfRule>
    <cfRule type="cellIs" dxfId="0" priority="11230" operator="equal">
      <formula>"未完成"</formula>
    </cfRule>
  </conditionalFormatting>
  <conditionalFormatting sqref="AN801:AN804 AN808 AN840 AN844:AN850 AN1287 AN1356:AN1357 AN1398 AN1432">
    <cfRule type="cellIs" dxfId="0" priority="11227" operator="equal">
      <formula>"欠"</formula>
    </cfRule>
  </conditionalFormatting>
  <conditionalFormatting sqref="T805:U807">
    <cfRule type="containsText" dxfId="0" priority="10938" operator="between" text="欠">
      <formula>NOT(ISERROR(SEARCH("欠",T805)))</formula>
    </cfRule>
  </conditionalFormatting>
  <conditionalFormatting sqref="T805:V805 T806:U807">
    <cfRule type="cellIs" dxfId="0" priority="10941" operator="equal">
      <formula>"欠"</formula>
    </cfRule>
  </conditionalFormatting>
  <conditionalFormatting sqref="T809:U811 T859:U861">
    <cfRule type="cellIs" dxfId="0" priority="10950" operator="equal">
      <formula>"欠"</formula>
    </cfRule>
  </conditionalFormatting>
  <conditionalFormatting sqref="R812:R817 R868:R869">
    <cfRule type="containsText" dxfId="0" priority="10880" operator="between" text="欠">
      <formula>NOT(ISERROR(SEARCH("欠",R812)))</formula>
    </cfRule>
    <cfRule type="cellIs" dxfId="0" priority="10881" operator="equal">
      <formula>"欠"</formula>
    </cfRule>
  </conditionalFormatting>
  <conditionalFormatting sqref="T818:U838">
    <cfRule type="containsText" dxfId="0" priority="10323" operator="between" text="欠">
      <formula>NOT(ISERROR(SEARCH("欠",T818)))</formula>
    </cfRule>
    <cfRule type="cellIs" dxfId="0" priority="10329" operator="equal">
      <formula>"欠"</formula>
    </cfRule>
  </conditionalFormatting>
  <conditionalFormatting sqref="R844:R850 T844:U850 T900:U900">
    <cfRule type="containsText" dxfId="0" priority="10995" operator="between" text="欠">
      <formula>NOT(ISERROR(SEARCH("欠",R844)))</formula>
    </cfRule>
  </conditionalFormatting>
  <conditionalFormatting sqref="T844:U850 T900:U900">
    <cfRule type="containsText" dxfId="0" priority="10981" operator="between" text="欠">
      <formula>NOT(ISERROR(SEARCH("欠",T844)))</formula>
    </cfRule>
  </conditionalFormatting>
  <conditionalFormatting sqref="T844:V844 T845:U850 V851 T900:V900">
    <cfRule type="cellIs" dxfId="0" priority="11009" operator="equal">
      <formula>"欠"</formula>
    </cfRule>
  </conditionalFormatting>
  <conditionalFormatting sqref="AL844:AM844 AL851:AM851 AL900:AM900">
    <cfRule type="cellIs" dxfId="1" priority="10960" operator="equal">
      <formula>"未完成"</formula>
    </cfRule>
    <cfRule type="cellIs" dxfId="0" priority="10967" operator="equal">
      <formula>"未完成"</formula>
    </cfRule>
  </conditionalFormatting>
  <conditionalFormatting sqref="R853 R883 R903">
    <cfRule type="containsText" dxfId="0" priority="11182" operator="between" text="欠">
      <formula>NOT(ISERROR(SEARCH("欠",R853)))</formula>
    </cfRule>
    <cfRule type="cellIs" dxfId="0" priority="11190" operator="equal">
      <formula>"欠"</formula>
    </cfRule>
  </conditionalFormatting>
  <conditionalFormatting sqref="T853:V853 V877:V881">
    <cfRule type="cellIs" dxfId="0" priority="11086" operator="equal">
      <formula>"欠"</formula>
    </cfRule>
  </conditionalFormatting>
  <conditionalFormatting sqref="AL853:AM853 AL877:AM881">
    <cfRule type="cellIs" dxfId="1" priority="11088" operator="equal">
      <formula>"未完成"</formula>
    </cfRule>
    <cfRule type="cellIs" dxfId="0" priority="11089" operator="equal">
      <formula>"未完成"</formula>
    </cfRule>
  </conditionalFormatting>
  <conditionalFormatting sqref="R861 R896 R873:R875 R904:R906">
    <cfRule type="containsText" dxfId="0" priority="10811" operator="between" text="欠">
      <formula>NOT(ISERROR(SEARCH("欠",R861)))</formula>
    </cfRule>
  </conditionalFormatting>
  <conditionalFormatting sqref="R861 R873:R875 T873:U875 R896 T896:U896 R904:R906 T904:U906">
    <cfRule type="containsText" dxfId="0" priority="10812" operator="between" text="欠">
      <formula>NOT(ISERROR(SEARCH("欠",R861)))</formula>
    </cfRule>
  </conditionalFormatting>
  <conditionalFormatting sqref="R861:S861 R873:U875 R896:U896 R904:R906 T904:U906">
    <cfRule type="cellIs" dxfId="0" priority="10814" operator="equal">
      <formula>"欠"</formula>
    </cfRule>
  </conditionalFormatting>
  <conditionalFormatting sqref="R864 R882">
    <cfRule type="cellIs" dxfId="0" priority="11221" operator="equal">
      <formula>"欠"</formula>
    </cfRule>
  </conditionalFormatting>
  <conditionalFormatting sqref="T870:U872">
    <cfRule type="cellIs" dxfId="0" priority="11064" operator="equal">
      <formula>"欠"</formula>
    </cfRule>
  </conditionalFormatting>
  <conditionalFormatting sqref="T873:U875 T896:U896 T904:U906">
    <cfRule type="containsText" dxfId="0" priority="10810" operator="between" text="欠">
      <formula>NOT(ISERROR(SEARCH("欠",T873)))</formula>
    </cfRule>
  </conditionalFormatting>
  <conditionalFormatting sqref="V873:V875 V896 V898 V903:V906">
    <cfRule type="cellIs" dxfId="0" priority="11205" operator="equal">
      <formula>"欠"</formula>
    </cfRule>
  </conditionalFormatting>
  <conditionalFormatting sqref="AL873:AM875 AL896:AM896 AL898:AM898 AL903:AM906">
    <cfRule type="cellIs" dxfId="1" priority="11206" operator="equal">
      <formula>"未完成"</formula>
    </cfRule>
    <cfRule type="cellIs" dxfId="0" priority="11207" operator="equal">
      <formula>"未完成"</formula>
    </cfRule>
  </conditionalFormatting>
  <conditionalFormatting sqref="S883:U883 S1914:U1914">
    <cfRule type="cellIs" dxfId="0" priority="10879" operator="equal">
      <formula>"欠"</formula>
    </cfRule>
  </conditionalFormatting>
  <conditionalFormatting sqref="T883:U883 T1914:U1914">
    <cfRule type="containsText" dxfId="0" priority="10878" operator="between" text="欠">
      <formula>NOT(ISERROR(SEARCH("欠",T883)))</formula>
    </cfRule>
  </conditionalFormatting>
  <conditionalFormatting sqref="S884 S904">
    <cfRule type="cellIs" dxfId="0" priority="10692" operator="equal">
      <formula>"欠"</formula>
    </cfRule>
  </conditionalFormatting>
  <conditionalFormatting sqref="T884:U885">
    <cfRule type="containsText" dxfId="0" priority="10765" operator="between" text="欠">
      <formula>NOT(ISERROR(SEARCH("欠",T884)))</formula>
    </cfRule>
    <cfRule type="cellIs" dxfId="0" priority="10766" operator="equal">
      <formula>"欠"</formula>
    </cfRule>
  </conditionalFormatting>
  <conditionalFormatting sqref="AL884:AM885">
    <cfRule type="cellIs" dxfId="1" priority="10772" operator="equal">
      <formula>"未完成"</formula>
    </cfRule>
    <cfRule type="cellIs" dxfId="0" priority="10773" operator="equal">
      <formula>"未完成"</formula>
    </cfRule>
  </conditionalFormatting>
  <conditionalFormatting sqref="R901 R899 R894 R885">
    <cfRule type="containsText" dxfId="0" priority="10827" operator="between" text="欠">
      <formula>NOT(ISERROR(SEARCH("欠",R885)))</formula>
    </cfRule>
    <cfRule type="cellIs" dxfId="0" priority="10829" operator="equal">
      <formula>"欠"</formula>
    </cfRule>
  </conditionalFormatting>
  <conditionalFormatting sqref="S899 S894 S885">
    <cfRule type="cellIs" dxfId="0" priority="10832" operator="equal">
      <formula>"欠"</formula>
    </cfRule>
  </conditionalFormatting>
  <conditionalFormatting sqref="R888 T888:U888">
    <cfRule type="containsText" dxfId="0" priority="11071" operator="between" text="欠">
      <formula>NOT(ISERROR(SEARCH("欠",R888)))</formula>
    </cfRule>
  </conditionalFormatting>
  <conditionalFormatting sqref="R889:R892 R920 R931:R942 R1158:R1159 R1187 R1170 R1184 R1180">
    <cfRule type="containsText" dxfId="0" priority="10882" operator="between" text="欠">
      <formula>NOT(ISERROR(SEARCH("欠",R889)))</formula>
    </cfRule>
    <cfRule type="cellIs" dxfId="0" priority="10884" operator="equal">
      <formula>"欠"</formula>
    </cfRule>
  </conditionalFormatting>
  <conditionalFormatting sqref="S889:S892 S920 S931 S936:S939 S941">
    <cfRule type="cellIs" dxfId="0" priority="10887" operator="equal">
      <formula>"欠"</formula>
    </cfRule>
  </conditionalFormatting>
  <conditionalFormatting sqref="T889:U892 T920:U920 T931:U931 T936:U940">
    <cfRule type="containsText" dxfId="0" priority="10885" operator="between" text="欠">
      <formula>NOT(ISERROR(SEARCH("欠",T889)))</formula>
    </cfRule>
    <cfRule type="cellIs" dxfId="0" priority="10886" operator="equal">
      <formula>"欠"</formula>
    </cfRule>
  </conditionalFormatting>
  <conditionalFormatting sqref="AL889:AM889 AM890:AM892 AM920">
    <cfRule type="cellIs" dxfId="1" priority="10917" operator="equal">
      <formula>"未完成"</formula>
    </cfRule>
    <cfRule type="cellIs" dxfId="0" priority="10918" operator="equal">
      <formula>"未完成"</formula>
    </cfRule>
  </conditionalFormatting>
  <conditionalFormatting sqref="V890:V892 V920">
    <cfRule type="cellIs" dxfId="0" priority="10906" operator="equal">
      <formula>"欠"</formula>
    </cfRule>
  </conditionalFormatting>
  <conditionalFormatting sqref="AL890:AL892 AL920">
    <cfRule type="cellIs" dxfId="1" priority="10907" operator="equal">
      <formula>"未完成"</formula>
    </cfRule>
    <cfRule type="cellIs" dxfId="0" priority="10908" operator="equal">
      <formula>"未完成"</formula>
    </cfRule>
  </conditionalFormatting>
  <conditionalFormatting sqref="T894:U894 T899:U899">
    <cfRule type="containsText" dxfId="0" priority="10825" operator="between" text="欠">
      <formula>NOT(ISERROR(SEARCH("欠",T894)))</formula>
    </cfRule>
    <cfRule type="cellIs" dxfId="0" priority="10826" operator="equal">
      <formula>"欠"</formula>
    </cfRule>
  </conditionalFormatting>
  <conditionalFormatting sqref="V894 V899">
    <cfRule type="cellIs" dxfId="0" priority="10845" operator="equal">
      <formula>"欠"</formula>
    </cfRule>
  </conditionalFormatting>
  <conditionalFormatting sqref="AL894:AM894 AL899:AM899">
    <cfRule type="cellIs" dxfId="1" priority="10846" operator="equal">
      <formula>"未完成"</formula>
    </cfRule>
    <cfRule type="cellIs" dxfId="0" priority="10847" operator="equal">
      <formula>"未完成"</formula>
    </cfRule>
  </conditionalFormatting>
  <conditionalFormatting sqref="T898:U898 T903:U903">
    <cfRule type="containsText" dxfId="0" priority="11152" operator="between" text="欠">
      <formula>NOT(ISERROR(SEARCH("欠",T898)))</formula>
    </cfRule>
    <cfRule type="cellIs" dxfId="0" priority="11155" operator="equal">
      <formula>"欠"</formula>
    </cfRule>
  </conditionalFormatting>
  <conditionalFormatting sqref="AL901:AM902">
    <cfRule type="cellIs" dxfId="1" priority="10864" operator="equal">
      <formula>"未完成"</formula>
    </cfRule>
    <cfRule type="cellIs" dxfId="0" priority="10865" operator="equal">
      <formula>"未完成"</formula>
    </cfRule>
  </conditionalFormatting>
  <conditionalFormatting sqref="AL907:AM908">
    <cfRule type="cellIs" dxfId="1" priority="11146" operator="equal">
      <formula>"未完成"</formula>
    </cfRule>
    <cfRule type="cellIs" dxfId="0" priority="11147" operator="equal">
      <formula>"未完成"</formula>
    </cfRule>
  </conditionalFormatting>
  <conditionalFormatting sqref="T909:U911 T921:U921">
    <cfRule type="containsText" dxfId="0" priority="11382" operator="between" text="欠">
      <formula>NOT(ISERROR(SEARCH("欠",T909)))</formula>
    </cfRule>
  </conditionalFormatting>
  <conditionalFormatting sqref="T909:V911 T921:V921">
    <cfRule type="cellIs" dxfId="0" priority="11384" operator="equal">
      <formula>"欠"</formula>
    </cfRule>
  </conditionalFormatting>
  <conditionalFormatting sqref="AL909:AM911 AL921:AM921">
    <cfRule type="cellIs" dxfId="1" priority="11386" operator="equal">
      <formula>"未完成"</formula>
    </cfRule>
    <cfRule type="cellIs" dxfId="0" priority="11387" operator="equal">
      <formula>"未完成"</formula>
    </cfRule>
  </conditionalFormatting>
  <conditionalFormatting sqref="AN909:AN911 AN921">
    <cfRule type="cellIs" dxfId="0" priority="11388" operator="equal">
      <formula>"欠"</formula>
    </cfRule>
  </conditionalFormatting>
  <conditionalFormatting sqref="S916 S976 S986:S988 S1007:S1009 S1037">
    <cfRule type="cellIs" dxfId="0" priority="10664" operator="equal">
      <formula>"欠"</formula>
    </cfRule>
  </conditionalFormatting>
  <conditionalFormatting sqref="T917:U918">
    <cfRule type="cellIs" dxfId="0" priority="10567" operator="equal">
      <formula>"欠"</formula>
    </cfRule>
  </conditionalFormatting>
  <conditionalFormatting sqref="AL918:AM919">
    <cfRule type="cellIs" dxfId="1" priority="10570" operator="equal">
      <formula>"未完成"</formula>
    </cfRule>
    <cfRule type="cellIs" dxfId="0" priority="10572" operator="equal">
      <formula>"未完成"</formula>
    </cfRule>
  </conditionalFormatting>
  <conditionalFormatting sqref="T923:U927">
    <cfRule type="cellIs" dxfId="0" priority="11063" operator="equal">
      <formula>"欠"</formula>
    </cfRule>
  </conditionalFormatting>
  <conditionalFormatting sqref="V923:V928 V930:V941 V1158:V1159 V1170 V1183:V1184 V1187 V1207:V1208 V1217 V1220 V1237:V1240 V1243 V1252:V1253 V1256 V1260:V1264 V1267:V1268 V1273:V1274 V1284:V1286 V1300 V1307 V1322">
    <cfRule type="cellIs" dxfId="0" priority="11122" operator="equal">
      <formula>"欠"</formula>
    </cfRule>
  </conditionalFormatting>
  <conditionalFormatting sqref="AL923:AM928 AL930:AM941 AL1158:AM1159 AL1170:AM1170 AM1183:AM1184 AL1187:AM1187 AL1207:AM1208 AL1217:AM1217 AL1220:AM1220 AL1237:AM1240 AL1243:AM1243 AL1252:AM1253 AL1256:AM1256 AL1260:AM1264 AL1267:AM1268 AL1273:AM1274 AL1284:AM1286 AL1300:AM1300 AL1307:AM1307 AL1322:AM1322">
    <cfRule type="cellIs" dxfId="1" priority="11123" operator="equal">
      <formula>"未完成"</formula>
    </cfRule>
    <cfRule type="cellIs" dxfId="0" priority="11124" operator="equal">
      <formula>"未完成"</formula>
    </cfRule>
  </conditionalFormatting>
  <conditionalFormatting sqref="AN924:AN928 AN930:AN931">
    <cfRule type="cellIs" dxfId="0" priority="11128" operator="equal">
      <formula>"欠"</formula>
    </cfRule>
  </conditionalFormatting>
  <conditionalFormatting sqref="T929:U930">
    <cfRule type="cellIs" dxfId="0" priority="10869" operator="equal">
      <formula>"欠"</formula>
    </cfRule>
  </conditionalFormatting>
  <conditionalFormatting sqref="S932:S934 S943:S945 S1690:S1691 S2043:S2044 S2123:S2124">
    <cfRule type="cellIs" dxfId="0" priority="10794" operator="equal">
      <formula>"欠"</formula>
    </cfRule>
  </conditionalFormatting>
  <conditionalFormatting sqref="T932:U935 T943:U947 T1690:U1691 T2043:T2044 T2123:T2124">
    <cfRule type="cellIs" dxfId="0" priority="10793" operator="equal">
      <formula>"欠"</formula>
    </cfRule>
  </conditionalFormatting>
  <conditionalFormatting sqref="S935 S942 S946:S947">
    <cfRule type="cellIs" dxfId="0" priority="10781" operator="equal">
      <formula>"欠"</formula>
    </cfRule>
  </conditionalFormatting>
  <conditionalFormatting sqref="AL944:AM947">
    <cfRule type="cellIs" dxfId="1" priority="10719" operator="equal">
      <formula>"未完成"</formula>
    </cfRule>
    <cfRule type="cellIs" dxfId="0" priority="10721" operator="equal">
      <formula>"未完成"</formula>
    </cfRule>
  </conditionalFormatting>
  <conditionalFormatting sqref="R948 T948:U948">
    <cfRule type="containsText" dxfId="0" priority="8841" operator="between" text="欠">
      <formula>NOT(ISERROR(SEARCH("欠",R948)))</formula>
    </cfRule>
  </conditionalFormatting>
  <conditionalFormatting sqref="R949 T949:U949">
    <cfRule type="containsText" dxfId="0" priority="8665" operator="between" text="欠">
      <formula>NOT(ISERROR(SEARCH("欠",R949)))</formula>
    </cfRule>
  </conditionalFormatting>
  <conditionalFormatting sqref="R950 T950:U950">
    <cfRule type="containsText" dxfId="0" priority="8839" operator="between" text="欠">
      <formula>NOT(ISERROR(SEARCH("欠",R950)))</formula>
    </cfRule>
  </conditionalFormatting>
  <conditionalFormatting sqref="R951 T951:U951">
    <cfRule type="containsText" dxfId="0" priority="8838" operator="between" text="欠">
      <formula>NOT(ISERROR(SEARCH("欠",R951)))</formula>
    </cfRule>
  </conditionalFormatting>
  <conditionalFormatting sqref="R952 T952:U952">
    <cfRule type="containsText" dxfId="0" priority="8837" operator="between" text="欠">
      <formula>NOT(ISERROR(SEARCH("欠",R952)))</formula>
    </cfRule>
  </conditionalFormatting>
  <conditionalFormatting sqref="R953 T953:U953">
    <cfRule type="containsText" dxfId="0" priority="8836" operator="between" text="欠">
      <formula>NOT(ISERROR(SEARCH("欠",R953)))</formula>
    </cfRule>
  </conditionalFormatting>
  <conditionalFormatting sqref="R954 T954:U954">
    <cfRule type="containsText" dxfId="0" priority="8835" operator="between" text="欠">
      <formula>NOT(ISERROR(SEARCH("欠",R954)))</formula>
    </cfRule>
  </conditionalFormatting>
  <conditionalFormatting sqref="R955 T955:U955">
    <cfRule type="containsText" dxfId="0" priority="8834" operator="between" text="欠">
      <formula>NOT(ISERROR(SEARCH("欠",R955)))</formula>
    </cfRule>
  </conditionalFormatting>
  <conditionalFormatting sqref="R956 T956:U956">
    <cfRule type="containsText" dxfId="0" priority="8833" operator="between" text="欠">
      <formula>NOT(ISERROR(SEARCH("欠",R956)))</formula>
    </cfRule>
  </conditionalFormatting>
  <conditionalFormatting sqref="R957 T957:U957">
    <cfRule type="containsText" dxfId="0" priority="8832" operator="between" text="欠">
      <formula>NOT(ISERROR(SEARCH("欠",R957)))</formula>
    </cfRule>
  </conditionalFormatting>
  <conditionalFormatting sqref="R958 T958:U958">
    <cfRule type="containsText" dxfId="0" priority="8831" operator="between" text="欠">
      <formula>NOT(ISERROR(SEARCH("欠",R958)))</formula>
    </cfRule>
  </conditionalFormatting>
  <conditionalFormatting sqref="AN958 AN1875:AN1877 AN1895:AN1896 AN1949:AN1950">
    <cfRule type="cellIs" dxfId="0" priority="9470" operator="equal">
      <formula>"欠"</formula>
    </cfRule>
  </conditionalFormatting>
  <conditionalFormatting sqref="R959 T959:U959">
    <cfRule type="containsText" dxfId="0" priority="8830" operator="between" text="欠">
      <formula>NOT(ISERROR(SEARCH("欠",R959)))</formula>
    </cfRule>
  </conditionalFormatting>
  <conditionalFormatting sqref="R960 T960:U960">
    <cfRule type="containsText" dxfId="0" priority="8829" operator="between" text="欠">
      <formula>NOT(ISERROR(SEARCH("欠",R960)))</formula>
    </cfRule>
  </conditionalFormatting>
  <conditionalFormatting sqref="R961 T961:U961">
    <cfRule type="containsText" dxfId="0" priority="8828" operator="between" text="欠">
      <formula>NOT(ISERROR(SEARCH("欠",R961)))</formula>
    </cfRule>
  </conditionalFormatting>
  <conditionalFormatting sqref="R962 T962:U962">
    <cfRule type="containsText" dxfId="0" priority="8827" operator="between" text="欠">
      <formula>NOT(ISERROR(SEARCH("欠",R962)))</formula>
    </cfRule>
  </conditionalFormatting>
  <conditionalFormatting sqref="R963 T963:U963">
    <cfRule type="containsText" dxfId="0" priority="8826" operator="between" text="欠">
      <formula>NOT(ISERROR(SEARCH("欠",R963)))</formula>
    </cfRule>
  </conditionalFormatting>
  <conditionalFormatting sqref="R964 T964:U964">
    <cfRule type="containsText" dxfId="0" priority="8825" operator="between" text="欠">
      <formula>NOT(ISERROR(SEARCH("欠",R964)))</formula>
    </cfRule>
  </conditionalFormatting>
  <conditionalFormatting sqref="R965 T965:U965">
    <cfRule type="containsText" dxfId="0" priority="8824" operator="between" text="欠">
      <formula>NOT(ISERROR(SEARCH("欠",R965)))</formula>
    </cfRule>
  </conditionalFormatting>
  <conditionalFormatting sqref="R966 T966:U966">
    <cfRule type="containsText" dxfId="0" priority="8823" operator="between" text="欠">
      <formula>NOT(ISERROR(SEARCH("欠",R966)))</formula>
    </cfRule>
  </conditionalFormatting>
  <conditionalFormatting sqref="R967 T967:U967">
    <cfRule type="containsText" dxfId="0" priority="8822" operator="between" text="欠">
      <formula>NOT(ISERROR(SEARCH("欠",R967)))</formula>
    </cfRule>
  </conditionalFormatting>
  <conditionalFormatting sqref="R968 T968:U968">
    <cfRule type="containsText" dxfId="0" priority="8821" operator="between" text="欠">
      <formula>NOT(ISERROR(SEARCH("欠",R968)))</formula>
    </cfRule>
  </conditionalFormatting>
  <conditionalFormatting sqref="R969 T969:U969">
    <cfRule type="containsText" dxfId="0" priority="8820" operator="between" text="欠">
      <formula>NOT(ISERROR(SEARCH("欠",R969)))</formula>
    </cfRule>
  </conditionalFormatting>
  <conditionalFormatting sqref="R970 T970:U970">
    <cfRule type="containsText" dxfId="0" priority="8819" operator="between" text="欠">
      <formula>NOT(ISERROR(SEARCH("欠",R970)))</formula>
    </cfRule>
  </conditionalFormatting>
  <conditionalFormatting sqref="R971 T971:U971">
    <cfRule type="containsText" dxfId="0" priority="8818" operator="between" text="欠">
      <formula>NOT(ISERROR(SEARCH("欠",R971)))</formula>
    </cfRule>
  </conditionalFormatting>
  <conditionalFormatting sqref="R972 T972:U972">
    <cfRule type="containsText" dxfId="0" priority="8817" operator="between" text="欠">
      <formula>NOT(ISERROR(SEARCH("欠",R972)))</formula>
    </cfRule>
  </conditionalFormatting>
  <conditionalFormatting sqref="S972 S1780:S1782 S1861:S1863">
    <cfRule type="cellIs" dxfId="0" priority="9243" operator="equal">
      <formula>"欠"</formula>
    </cfRule>
  </conditionalFormatting>
  <conditionalFormatting sqref="AJ972 AJ1782 AJ1839 AJ1861:AJ1863">
    <cfRule type="cellIs" dxfId="0" priority="9385" operator="equal">
      <formula>"未完成"</formula>
    </cfRule>
  </conditionalFormatting>
  <conditionalFormatting sqref="R973 T973:U973">
    <cfRule type="containsText" dxfId="0" priority="8816" operator="between" text="欠">
      <formula>NOT(ISERROR(SEARCH("欠",R973)))</formula>
    </cfRule>
  </conditionalFormatting>
  <conditionalFormatting sqref="AJ973 AJ1548:AJ1549 AJ1551 AJ1626 AJ1655 AJ1695">
    <cfRule type="cellIs" dxfId="0" priority="9384" operator="equal">
      <formula>"未完成"</formula>
    </cfRule>
  </conditionalFormatting>
  <conditionalFormatting sqref="R974 T974:U974">
    <cfRule type="containsText" dxfId="0" priority="8815" operator="between" text="欠">
      <formula>NOT(ISERROR(SEARCH("欠",R974)))</formula>
    </cfRule>
  </conditionalFormatting>
  <conditionalFormatting sqref="R975 T975:U975">
    <cfRule type="containsText" dxfId="0" priority="8814" operator="between" text="欠">
      <formula>NOT(ISERROR(SEARCH("欠",R975)))</formula>
    </cfRule>
  </conditionalFormatting>
  <conditionalFormatting sqref="R976 T976:U976">
    <cfRule type="containsText" dxfId="0" priority="8813" operator="between" text="欠">
      <formula>NOT(ISERROR(SEARCH("欠",R976)))</formula>
    </cfRule>
  </conditionalFormatting>
  <conditionalFormatting sqref="R977 T977:U977">
    <cfRule type="containsText" dxfId="0" priority="8812" operator="between" text="欠">
      <formula>NOT(ISERROR(SEARCH("欠",R977)))</formula>
    </cfRule>
  </conditionalFormatting>
  <conditionalFormatting sqref="R978 T978:U978">
    <cfRule type="containsText" dxfId="0" priority="8811" operator="between" text="欠">
      <formula>NOT(ISERROR(SEARCH("欠",R978)))</formula>
    </cfRule>
  </conditionalFormatting>
  <conditionalFormatting sqref="R979 T979:U979">
    <cfRule type="containsText" dxfId="0" priority="8810" operator="between" text="欠">
      <formula>NOT(ISERROR(SEARCH("欠",R979)))</formula>
    </cfRule>
  </conditionalFormatting>
  <conditionalFormatting sqref="R980 T980:U980">
    <cfRule type="containsText" dxfId="0" priority="8809" operator="between" text="欠">
      <formula>NOT(ISERROR(SEARCH("欠",R980)))</formula>
    </cfRule>
  </conditionalFormatting>
  <conditionalFormatting sqref="R981 T981:U981">
    <cfRule type="containsText" dxfId="0" priority="8808" operator="between" text="欠">
      <formula>NOT(ISERROR(SEARCH("欠",R981)))</formula>
    </cfRule>
  </conditionalFormatting>
  <conditionalFormatting sqref="R982 T982:U982">
    <cfRule type="containsText" dxfId="0" priority="8807" operator="between" text="欠">
      <formula>NOT(ISERROR(SEARCH("欠",R982)))</formula>
    </cfRule>
  </conditionalFormatting>
  <conditionalFormatting sqref="R983 T983:U983">
    <cfRule type="containsText" dxfId="0" priority="8806" operator="between" text="欠">
      <formula>NOT(ISERROR(SEARCH("欠",R983)))</formula>
    </cfRule>
  </conditionalFormatting>
  <conditionalFormatting sqref="AJ983 AJ1621">
    <cfRule type="cellIs" dxfId="0" priority="9374" operator="equal">
      <formula>"未完成"</formula>
    </cfRule>
  </conditionalFormatting>
  <conditionalFormatting sqref="AN983 AN1621">
    <cfRule type="cellIs" dxfId="0" priority="9445" operator="equal">
      <formula>"欠"</formula>
    </cfRule>
  </conditionalFormatting>
  <conditionalFormatting sqref="R984 T984:U984">
    <cfRule type="containsText" dxfId="0" priority="8805" operator="between" text="欠">
      <formula>NOT(ISERROR(SEARCH("欠",R984)))</formula>
    </cfRule>
  </conditionalFormatting>
  <conditionalFormatting sqref="R985 T985:U985">
    <cfRule type="containsText" dxfId="0" priority="8804" operator="between" text="欠">
      <formula>NOT(ISERROR(SEARCH("欠",R985)))</formula>
    </cfRule>
  </conditionalFormatting>
  <conditionalFormatting sqref="R986 T986:U986">
    <cfRule type="containsText" dxfId="0" priority="8803" operator="between" text="欠">
      <formula>NOT(ISERROR(SEARCH("欠",R986)))</formula>
    </cfRule>
  </conditionalFormatting>
  <conditionalFormatting sqref="R987 T987:U987">
    <cfRule type="containsText" dxfId="0" priority="8802" operator="between" text="欠">
      <formula>NOT(ISERROR(SEARCH("欠",R987)))</formula>
    </cfRule>
  </conditionalFormatting>
  <conditionalFormatting sqref="R988 T988:U988">
    <cfRule type="containsText" dxfId="0" priority="8801" operator="between" text="欠">
      <formula>NOT(ISERROR(SEARCH("欠",R988)))</formula>
    </cfRule>
  </conditionalFormatting>
  <conditionalFormatting sqref="R989 T989:U989">
    <cfRule type="containsText" dxfId="0" priority="8800" operator="between" text="欠">
      <formula>NOT(ISERROR(SEARCH("欠",R989)))</formula>
    </cfRule>
  </conditionalFormatting>
  <conditionalFormatting sqref="R990 T990:U990">
    <cfRule type="containsText" dxfId="0" priority="8799" operator="between" text="欠">
      <formula>NOT(ISERROR(SEARCH("欠",R990)))</formula>
    </cfRule>
  </conditionalFormatting>
  <conditionalFormatting sqref="R991 T991:U991">
    <cfRule type="containsText" dxfId="0" priority="8798" operator="between" text="欠">
      <formula>NOT(ISERROR(SEARCH("欠",R991)))</formula>
    </cfRule>
  </conditionalFormatting>
  <conditionalFormatting sqref="R992 T992:U992">
    <cfRule type="containsText" dxfId="0" priority="8797" operator="between" text="欠">
      <formula>NOT(ISERROR(SEARCH("欠",R992)))</formula>
    </cfRule>
  </conditionalFormatting>
  <conditionalFormatting sqref="R993 T993:U993">
    <cfRule type="containsText" dxfId="0" priority="8796" operator="between" text="欠">
      <formula>NOT(ISERROR(SEARCH("欠",R993)))</formula>
    </cfRule>
  </conditionalFormatting>
  <conditionalFormatting sqref="R994 T994:U994">
    <cfRule type="containsText" dxfId="0" priority="8795" operator="between" text="欠">
      <formula>NOT(ISERROR(SEARCH("欠",R994)))</formula>
    </cfRule>
  </conditionalFormatting>
  <conditionalFormatting sqref="R995 T995:U995">
    <cfRule type="containsText" dxfId="0" priority="8794" operator="between" text="欠">
      <formula>NOT(ISERROR(SEARCH("欠",R995)))</formula>
    </cfRule>
  </conditionalFormatting>
  <conditionalFormatting sqref="R996 T996:U996">
    <cfRule type="containsText" dxfId="0" priority="8793" operator="between" text="欠">
      <formula>NOT(ISERROR(SEARCH("欠",R996)))</formula>
    </cfRule>
  </conditionalFormatting>
  <conditionalFormatting sqref="R997 T997:U997">
    <cfRule type="containsText" dxfId="0" priority="8792" operator="between" text="欠">
      <formula>NOT(ISERROR(SEARCH("欠",R997)))</formula>
    </cfRule>
  </conditionalFormatting>
  <conditionalFormatting sqref="R998 T998:U998">
    <cfRule type="containsText" dxfId="0" priority="8791" operator="between" text="欠">
      <formula>NOT(ISERROR(SEARCH("欠",R998)))</formula>
    </cfRule>
  </conditionalFormatting>
  <conditionalFormatting sqref="R999 T999:U999">
    <cfRule type="containsText" dxfId="0" priority="8790" operator="between" text="欠">
      <formula>NOT(ISERROR(SEARCH("欠",R999)))</formula>
    </cfRule>
  </conditionalFormatting>
  <conditionalFormatting sqref="R1000 T1000:U1000">
    <cfRule type="containsText" dxfId="0" priority="8789" operator="between" text="欠">
      <formula>NOT(ISERROR(SEARCH("欠",R1000)))</formula>
    </cfRule>
  </conditionalFormatting>
  <conditionalFormatting sqref="S1000 S1745">
    <cfRule type="cellIs" dxfId="0" priority="9215" operator="equal">
      <formula>"欠"</formula>
    </cfRule>
  </conditionalFormatting>
  <conditionalFormatting sqref="AJ1000 AJ1721 AJ1745">
    <cfRule type="cellIs" dxfId="0" priority="9357" operator="equal">
      <formula>"未完成"</formula>
    </cfRule>
  </conditionalFormatting>
  <conditionalFormatting sqref="R1001 T1001:U1001">
    <cfRule type="containsText" dxfId="0" priority="8788" operator="between" text="欠">
      <formula>NOT(ISERROR(SEARCH("欠",R1001)))</formula>
    </cfRule>
  </conditionalFormatting>
  <conditionalFormatting sqref="R1002 T1002:U1002">
    <cfRule type="containsText" dxfId="0" priority="8787" operator="between" text="欠">
      <formula>NOT(ISERROR(SEARCH("欠",R1002)))</formula>
    </cfRule>
  </conditionalFormatting>
  <conditionalFormatting sqref="R1003 T1003:U1003">
    <cfRule type="containsText" dxfId="0" priority="8786" operator="between" text="欠">
      <formula>NOT(ISERROR(SEARCH("欠",R1003)))</formula>
    </cfRule>
  </conditionalFormatting>
  <conditionalFormatting sqref="R1004 T1004:U1004">
    <cfRule type="containsText" dxfId="0" priority="8785" operator="between" text="欠">
      <formula>NOT(ISERROR(SEARCH("欠",R1004)))</formula>
    </cfRule>
  </conditionalFormatting>
  <conditionalFormatting sqref="AJ1004 AJ2000">
    <cfRule type="cellIs" dxfId="0" priority="9353" operator="equal">
      <formula>"未完成"</formula>
    </cfRule>
  </conditionalFormatting>
  <conditionalFormatting sqref="R1005 T1005:U1005">
    <cfRule type="containsText" dxfId="0" priority="8784" operator="between" text="欠">
      <formula>NOT(ISERROR(SEARCH("欠",R1005)))</formula>
    </cfRule>
  </conditionalFormatting>
  <conditionalFormatting sqref="R1006 T1006:U1006">
    <cfRule type="containsText" dxfId="0" priority="8783" operator="between" text="欠">
      <formula>NOT(ISERROR(SEARCH("欠",R1006)))</formula>
    </cfRule>
  </conditionalFormatting>
  <conditionalFormatting sqref="R1007 T1007:U1007">
    <cfRule type="containsText" dxfId="0" priority="8782" operator="between" text="欠">
      <formula>NOT(ISERROR(SEARCH("欠",R1007)))</formula>
    </cfRule>
  </conditionalFormatting>
  <conditionalFormatting sqref="R1008 T1008:U1008">
    <cfRule type="containsText" dxfId="0" priority="8781" operator="between" text="欠">
      <formula>NOT(ISERROR(SEARCH("欠",R1008)))</formula>
    </cfRule>
  </conditionalFormatting>
  <conditionalFormatting sqref="R1009 T1009:U1009">
    <cfRule type="containsText" dxfId="0" priority="8780" operator="between" text="欠">
      <formula>NOT(ISERROR(SEARCH("欠",R1009)))</formula>
    </cfRule>
  </conditionalFormatting>
  <conditionalFormatting sqref="R1010 T1010:U1010">
    <cfRule type="containsText" dxfId="0" priority="8779" operator="between" text="欠">
      <formula>NOT(ISERROR(SEARCH("欠",R1010)))</formula>
    </cfRule>
  </conditionalFormatting>
  <conditionalFormatting sqref="R1011 T1011:U1011">
    <cfRule type="containsText" dxfId="0" priority="8778" operator="between" text="欠">
      <formula>NOT(ISERROR(SEARCH("欠",R1011)))</formula>
    </cfRule>
  </conditionalFormatting>
  <conditionalFormatting sqref="R1012 T1012:U1012">
    <cfRule type="containsText" dxfId="0" priority="8777" operator="between" text="欠">
      <formula>NOT(ISERROR(SEARCH("欠",R1012)))</formula>
    </cfRule>
  </conditionalFormatting>
  <conditionalFormatting sqref="AJ1012 AJ1196 AJ1958 AJ2010 AJ2012:AJ2013">
    <cfRule type="cellIs" dxfId="0" priority="9345" operator="equal">
      <formula>"未完成"</formula>
    </cfRule>
  </conditionalFormatting>
  <conditionalFormatting sqref="R1013 T1013:U1013">
    <cfRule type="containsText" dxfId="0" priority="8776" operator="between" text="欠">
      <formula>NOT(ISERROR(SEARCH("欠",R1013)))</formula>
    </cfRule>
  </conditionalFormatting>
  <conditionalFormatting sqref="R1014 T1014:U1014">
    <cfRule type="containsText" dxfId="0" priority="8775" operator="between" text="欠">
      <formula>NOT(ISERROR(SEARCH("欠",R1014)))</formula>
    </cfRule>
  </conditionalFormatting>
  <conditionalFormatting sqref="R1015 T1015:U1015">
    <cfRule type="containsText" dxfId="0" priority="8774" operator="between" text="欠">
      <formula>NOT(ISERROR(SEARCH("欠",R1015)))</formula>
    </cfRule>
  </conditionalFormatting>
  <conditionalFormatting sqref="R1016 T1016:U1016">
    <cfRule type="containsText" dxfId="0" priority="8773" operator="between" text="欠">
      <formula>NOT(ISERROR(SEARCH("欠",R1016)))</formula>
    </cfRule>
  </conditionalFormatting>
  <conditionalFormatting sqref="AJ1016 AJ1620">
    <cfRule type="cellIs" dxfId="0" priority="9341" operator="equal">
      <formula>"未完成"</formula>
    </cfRule>
  </conditionalFormatting>
  <conditionalFormatting sqref="AN1016 AN1308">
    <cfRule type="cellIs" dxfId="0" priority="9412" operator="equal">
      <formula>"欠"</formula>
    </cfRule>
  </conditionalFormatting>
  <conditionalFormatting sqref="R1017 T1017:U1017">
    <cfRule type="containsText" dxfId="0" priority="8772" operator="between" text="欠">
      <formula>NOT(ISERROR(SEARCH("欠",R1017)))</formula>
    </cfRule>
  </conditionalFormatting>
  <conditionalFormatting sqref="R1018 T1018:U1018">
    <cfRule type="containsText" dxfId="0" priority="8771" operator="between" text="欠">
      <formula>NOT(ISERROR(SEARCH("欠",R1018)))</formula>
    </cfRule>
  </conditionalFormatting>
  <conditionalFormatting sqref="R1019 T1019:U1019">
    <cfRule type="containsText" dxfId="0" priority="8247" operator="between" text="欠">
      <formula>NOT(ISERROR(SEARCH("欠",R1019)))</formula>
    </cfRule>
  </conditionalFormatting>
  <conditionalFormatting sqref="R1020 T1020:U1020">
    <cfRule type="containsText" dxfId="0" priority="8246" operator="between" text="欠">
      <formula>NOT(ISERROR(SEARCH("欠",R1020)))</formula>
    </cfRule>
  </conditionalFormatting>
  <conditionalFormatting sqref="AJ1020 AJ1770:AJ1771">
    <cfRule type="cellIs" dxfId="0" priority="8550" operator="equal">
      <formula>"未完成"</formula>
    </cfRule>
  </conditionalFormatting>
  <conditionalFormatting sqref="R1021 T1021:U1021">
    <cfRule type="containsText" dxfId="0" priority="8245" operator="between" text="欠">
      <formula>NOT(ISERROR(SEARCH("欠",R1021)))</formula>
    </cfRule>
  </conditionalFormatting>
  <conditionalFormatting sqref="R1022 T1022:U1022">
    <cfRule type="containsText" dxfId="0" priority="8244" operator="between" text="欠">
      <formula>NOT(ISERROR(SEARCH("欠",R1022)))</formula>
    </cfRule>
  </conditionalFormatting>
  <conditionalFormatting sqref="R1023 T1023:U1023">
    <cfRule type="containsText" dxfId="0" priority="8243" operator="between" text="欠">
      <formula>NOT(ISERROR(SEARCH("欠",R1023)))</formula>
    </cfRule>
  </conditionalFormatting>
  <conditionalFormatting sqref="R1024 T1024:U1024">
    <cfRule type="containsText" dxfId="0" priority="8242" operator="between" text="欠">
      <formula>NOT(ISERROR(SEARCH("欠",R1024)))</formula>
    </cfRule>
  </conditionalFormatting>
  <conditionalFormatting sqref="R1025 T1025:U1025">
    <cfRule type="containsText" dxfId="0" priority="8241" operator="between" text="欠">
      <formula>NOT(ISERROR(SEARCH("欠",R1025)))</formula>
    </cfRule>
  </conditionalFormatting>
  <conditionalFormatting sqref="R1026 T1026:U1026">
    <cfRule type="containsText" dxfId="0" priority="8240" operator="between" text="欠">
      <formula>NOT(ISERROR(SEARCH("欠",R1026)))</formula>
    </cfRule>
  </conditionalFormatting>
  <conditionalFormatting sqref="R1027 T1027:U1027">
    <cfRule type="containsText" dxfId="0" priority="8239" operator="between" text="欠">
      <formula>NOT(ISERROR(SEARCH("欠",R1027)))</formula>
    </cfRule>
  </conditionalFormatting>
  <conditionalFormatting sqref="R1028 T1028:U1028">
    <cfRule type="containsText" dxfId="0" priority="8238" operator="between" text="欠">
      <formula>NOT(ISERROR(SEARCH("欠",R1028)))</formula>
    </cfRule>
  </conditionalFormatting>
  <conditionalFormatting sqref="R1029 T1029:U1029">
    <cfRule type="containsText" dxfId="0" priority="8237" operator="between" text="欠">
      <formula>NOT(ISERROR(SEARCH("欠",R1029)))</formula>
    </cfRule>
  </conditionalFormatting>
  <conditionalFormatting sqref="R1030 T1030:U1030">
    <cfRule type="containsText" dxfId="0" priority="8236" operator="between" text="欠">
      <formula>NOT(ISERROR(SEARCH("欠",R1030)))</formula>
    </cfRule>
  </conditionalFormatting>
  <conditionalFormatting sqref="R1031 T1031:U1031">
    <cfRule type="containsText" dxfId="0" priority="8235" operator="between" text="欠">
      <formula>NOT(ISERROR(SEARCH("欠",R1031)))</formula>
    </cfRule>
  </conditionalFormatting>
  <conditionalFormatting sqref="R1032 T1032:U1032">
    <cfRule type="containsText" dxfId="0" priority="8234" operator="between" text="欠">
      <formula>NOT(ISERROR(SEARCH("欠",R1032)))</formula>
    </cfRule>
  </conditionalFormatting>
  <conditionalFormatting sqref="R1033 T1033:U1033">
    <cfRule type="containsText" dxfId="0" priority="8233" operator="between" text="欠">
      <formula>NOT(ISERROR(SEARCH("欠",R1033)))</formula>
    </cfRule>
  </conditionalFormatting>
  <conditionalFormatting sqref="AJ1033 AJ1318:AJ1320 AJ1363 AJ1406 AJ1431 AJ1443">
    <cfRule type="cellIs" dxfId="0" priority="8537" operator="equal">
      <formula>"未完成"</formula>
    </cfRule>
  </conditionalFormatting>
  <conditionalFormatting sqref="R1034 T1034:U1034">
    <cfRule type="containsText" dxfId="0" priority="8232" operator="between" text="欠">
      <formula>NOT(ISERROR(SEARCH("欠",R1034)))</formula>
    </cfRule>
  </conditionalFormatting>
  <conditionalFormatting sqref="R1035 T1035:U1035">
    <cfRule type="containsText" dxfId="0" priority="8231" operator="between" text="欠">
      <formula>NOT(ISERROR(SEARCH("欠",R1035)))</formula>
    </cfRule>
  </conditionalFormatting>
  <conditionalFormatting sqref="R1036 T1036:U1036">
    <cfRule type="containsText" dxfId="0" priority="8230" operator="between" text="欠">
      <formula>NOT(ISERROR(SEARCH("欠",R1036)))</formula>
    </cfRule>
  </conditionalFormatting>
  <conditionalFormatting sqref="R1037 T1037:U1037">
    <cfRule type="containsText" dxfId="0" priority="8229" operator="between" text="欠">
      <formula>NOT(ISERROR(SEARCH("欠",R1037)))</formula>
    </cfRule>
  </conditionalFormatting>
  <conditionalFormatting sqref="R1038 T1038:U1038">
    <cfRule type="containsText" dxfId="0" priority="8228" operator="between" text="欠">
      <formula>NOT(ISERROR(SEARCH("欠",R1038)))</formula>
    </cfRule>
  </conditionalFormatting>
  <conditionalFormatting sqref="R1039 R1686:R1687">
    <cfRule type="containsText" dxfId="0" priority="8265" operator="between" text="欠">
      <formula>NOT(ISERROR(SEARCH("欠",R1039)))</formula>
    </cfRule>
    <cfRule type="cellIs" dxfId="0" priority="8303" operator="equal">
      <formula>"欠"</formula>
    </cfRule>
  </conditionalFormatting>
  <conditionalFormatting sqref="R1039 T1039:U1039 R1686:R1687">
    <cfRule type="containsText" dxfId="0" priority="8227" operator="between" text="欠">
      <formula>NOT(ISERROR(SEARCH("欠",R1039)))</formula>
    </cfRule>
  </conditionalFormatting>
  <conditionalFormatting sqref="S1039 S1686:S1687">
    <cfRule type="cellIs" dxfId="0" priority="8455" operator="equal">
      <formula>"欠"</formula>
    </cfRule>
  </conditionalFormatting>
  <conditionalFormatting sqref="AJ1039 AJ1686:AJ1687">
    <cfRule type="cellIs" dxfId="0" priority="8531" operator="equal">
      <formula>"未完成"</formula>
    </cfRule>
  </conditionalFormatting>
  <conditionalFormatting sqref="R1040 T1040:U1040">
    <cfRule type="containsText" dxfId="0" priority="8226" operator="between" text="欠">
      <formula>NOT(ISERROR(SEARCH("欠",R1040)))</formula>
    </cfRule>
  </conditionalFormatting>
  <conditionalFormatting sqref="AJ1040 AJ1270 AJ1470:AJ1471 AJ1552">
    <cfRule type="cellIs" dxfId="0" priority="8530" operator="equal">
      <formula>"未完成"</formula>
    </cfRule>
  </conditionalFormatting>
  <conditionalFormatting sqref="R1041 T1041:U1041">
    <cfRule type="containsText" dxfId="0" priority="8225" operator="between" text="欠">
      <formula>NOT(ISERROR(SEARCH("欠",R1041)))</formula>
    </cfRule>
  </conditionalFormatting>
  <conditionalFormatting sqref="R1042 T1042:U1042">
    <cfRule type="containsText" dxfId="0" priority="8224" operator="between" text="欠">
      <formula>NOT(ISERROR(SEARCH("欠",R1042)))</formula>
    </cfRule>
  </conditionalFormatting>
  <conditionalFormatting sqref="S1042 S1599:S1600">
    <cfRule type="cellIs" dxfId="0" priority="8452" operator="equal">
      <formula>"欠"</formula>
    </cfRule>
  </conditionalFormatting>
  <conditionalFormatting sqref="AJ1042 AJ1599:AJ1600">
    <cfRule type="cellIs" dxfId="0" priority="8528" operator="equal">
      <formula>"未完成"</formula>
    </cfRule>
  </conditionalFormatting>
  <conditionalFormatting sqref="R1043 T1043:U1043">
    <cfRule type="containsText" dxfId="0" priority="8223" operator="between" text="欠">
      <formula>NOT(ISERROR(SEARCH("欠",R1043)))</formula>
    </cfRule>
  </conditionalFormatting>
  <conditionalFormatting sqref="R1044 T1044:U1044">
    <cfRule type="containsText" dxfId="0" priority="8222" operator="between" text="欠">
      <formula>NOT(ISERROR(SEARCH("欠",R1044)))</formula>
    </cfRule>
  </conditionalFormatting>
  <conditionalFormatting sqref="R1045 T1045:U1045">
    <cfRule type="containsText" dxfId="0" priority="8221" operator="between" text="欠">
      <formula>NOT(ISERROR(SEARCH("欠",R1045)))</formula>
    </cfRule>
  </conditionalFormatting>
  <conditionalFormatting sqref="R1046 T1046:U1046">
    <cfRule type="containsText" dxfId="0" priority="8220" operator="between" text="欠">
      <formula>NOT(ISERROR(SEARCH("欠",R1046)))</formula>
    </cfRule>
  </conditionalFormatting>
  <conditionalFormatting sqref="R1047 T1047:U1047">
    <cfRule type="containsText" dxfId="0" priority="8219" operator="between" text="欠">
      <formula>NOT(ISERROR(SEARCH("欠",R1047)))</formula>
    </cfRule>
  </conditionalFormatting>
  <conditionalFormatting sqref="R1048 T1048:U1048">
    <cfRule type="containsText" dxfId="0" priority="8218" operator="between" text="欠">
      <formula>NOT(ISERROR(SEARCH("欠",R1048)))</formula>
    </cfRule>
  </conditionalFormatting>
  <conditionalFormatting sqref="R1049 T1049:U1049">
    <cfRule type="containsText" dxfId="0" priority="8217" operator="between" text="欠">
      <formula>NOT(ISERROR(SEARCH("欠",R1049)))</formula>
    </cfRule>
  </conditionalFormatting>
  <conditionalFormatting sqref="R1050 T1050:U1050">
    <cfRule type="containsText" dxfId="0" priority="8216" operator="between" text="欠">
      <formula>NOT(ISERROR(SEARCH("欠",R1050)))</formula>
    </cfRule>
  </conditionalFormatting>
  <conditionalFormatting sqref="AJ1050 AJ1728 AJ1768 AJ1828 AJ1851 AJ1966 AJ2015">
    <cfRule type="cellIs" dxfId="0" priority="8520" operator="equal">
      <formula>"未完成"</formula>
    </cfRule>
  </conditionalFormatting>
  <conditionalFormatting sqref="R1051 T1051:U1051">
    <cfRule type="containsText" dxfId="0" priority="8215" operator="between" text="欠">
      <formula>NOT(ISERROR(SEARCH("欠",R1051)))</formula>
    </cfRule>
  </conditionalFormatting>
  <conditionalFormatting sqref="R1052 T1052:U1052">
    <cfRule type="containsText" dxfId="0" priority="8214" operator="between" text="欠">
      <formula>NOT(ISERROR(SEARCH("欠",R1052)))</formula>
    </cfRule>
  </conditionalFormatting>
  <conditionalFormatting sqref="R1053 T1053:U1053">
    <cfRule type="containsText" dxfId="0" priority="8213" operator="between" text="欠">
      <formula>NOT(ISERROR(SEARCH("欠",R1053)))</formula>
    </cfRule>
  </conditionalFormatting>
  <conditionalFormatting sqref="S1053 S1775:S1777">
    <cfRule type="cellIs" dxfId="0" priority="8441" operator="equal">
      <formula>"欠"</formula>
    </cfRule>
  </conditionalFormatting>
  <conditionalFormatting sqref="R1054 T1054:U1054">
    <cfRule type="containsText" dxfId="0" priority="8212" operator="between" text="欠">
      <formula>NOT(ISERROR(SEARCH("欠",R1054)))</formula>
    </cfRule>
  </conditionalFormatting>
  <conditionalFormatting sqref="S1054 S1817 S1941 S1946:S1952 S1956:S1957 S1959">
    <cfRule type="cellIs" dxfId="0" priority="8440" operator="equal">
      <formula>"欠"</formula>
    </cfRule>
  </conditionalFormatting>
  <conditionalFormatting sqref="AJ1054 AJ1632 AJ1738 AJ1817 AJ1899 AJ1947:AJ1951">
    <cfRule type="cellIs" dxfId="0" priority="8516" operator="equal">
      <formula>"未完成"</formula>
    </cfRule>
  </conditionalFormatting>
  <conditionalFormatting sqref="R1055 T1055:U1055">
    <cfRule type="containsText" dxfId="0" priority="8211" operator="between" text="欠">
      <formula>NOT(ISERROR(SEARCH("欠",R1055)))</formula>
    </cfRule>
  </conditionalFormatting>
  <conditionalFormatting sqref="AJ1055 AJ1455 AJ1573">
    <cfRule type="cellIs" dxfId="0" priority="8515" operator="equal">
      <formula>"未完成"</formula>
    </cfRule>
  </conditionalFormatting>
  <conditionalFormatting sqref="R1056 T1056:U1056">
    <cfRule type="containsText" dxfId="0" priority="8210" operator="between" text="欠">
      <formula>NOT(ISERROR(SEARCH("欠",R1056)))</formula>
    </cfRule>
  </conditionalFormatting>
  <conditionalFormatting sqref="AJ1056 AJ1481 AJ1511">
    <cfRule type="cellIs" dxfId="0" priority="8514" operator="equal">
      <formula>"未完成"</formula>
    </cfRule>
  </conditionalFormatting>
  <conditionalFormatting sqref="R1057 T1057:U1057">
    <cfRule type="containsText" dxfId="0" priority="7359" operator="between" text="欠">
      <formula>NOT(ISERROR(SEARCH("欠",R1057)))</formula>
    </cfRule>
  </conditionalFormatting>
  <conditionalFormatting sqref="S1057 S1579 S1901">
    <cfRule type="cellIs" dxfId="0" priority="7725" operator="equal">
      <formula>"欠"</formula>
    </cfRule>
  </conditionalFormatting>
  <conditionalFormatting sqref="R1058 T1058:U1058">
    <cfRule type="containsText" dxfId="0" priority="7358" operator="between" text="欠">
      <formula>NOT(ISERROR(SEARCH("欠",R1058)))</formula>
    </cfRule>
  </conditionalFormatting>
  <conditionalFormatting sqref="R1059 T1059:U1059">
    <cfRule type="containsText" dxfId="0" priority="7357" operator="between" text="欠">
      <formula>NOT(ISERROR(SEARCH("欠",R1059)))</formula>
    </cfRule>
  </conditionalFormatting>
  <conditionalFormatting sqref="R1060 T1060:U1060">
    <cfRule type="containsText" dxfId="0" priority="7356" operator="between" text="欠">
      <formula>NOT(ISERROR(SEARCH("欠",R1060)))</formula>
    </cfRule>
  </conditionalFormatting>
  <conditionalFormatting sqref="AJ1060 AJ1254 AJ1465 AJ1472:AJ1473 AJ1477 AJ1779:AJ1780 AJ1908 AJ1920 AJ1985 AJ2075">
    <cfRule type="cellIs" dxfId="0" priority="7844" operator="equal">
      <formula>"未完成"</formula>
    </cfRule>
  </conditionalFormatting>
  <conditionalFormatting sqref="R1061 T1061:U1061">
    <cfRule type="containsText" dxfId="0" priority="7355" operator="between" text="欠">
      <formula>NOT(ISERROR(SEARCH("欠",R1061)))</formula>
    </cfRule>
  </conditionalFormatting>
  <conditionalFormatting sqref="R1062 T1062:U1062">
    <cfRule type="containsText" dxfId="0" priority="7354" operator="between" text="欠">
      <formula>NOT(ISERROR(SEARCH("欠",R1062)))</formula>
    </cfRule>
  </conditionalFormatting>
  <conditionalFormatting sqref="R1063 T1063:U1063">
    <cfRule type="containsText" dxfId="0" priority="7353" operator="between" text="欠">
      <formula>NOT(ISERROR(SEARCH("欠",R1063)))</formula>
    </cfRule>
  </conditionalFormatting>
  <conditionalFormatting sqref="AJ1063 AJ1219 AJ1282 AJ1331 AJ1415">
    <cfRule type="cellIs" dxfId="0" priority="7841" operator="equal">
      <formula>"未完成"</formula>
    </cfRule>
  </conditionalFormatting>
  <conditionalFormatting sqref="R1064 T1064:U1064">
    <cfRule type="containsText" dxfId="0" priority="7352" operator="between" text="欠">
      <formula>NOT(ISERROR(SEARCH("欠",R1064)))</formula>
    </cfRule>
  </conditionalFormatting>
  <conditionalFormatting sqref="R1065 T1065:U1065">
    <cfRule type="containsText" dxfId="0" priority="7351" operator="between" text="欠">
      <formula>NOT(ISERROR(SEARCH("欠",R1065)))</formula>
    </cfRule>
  </conditionalFormatting>
  <conditionalFormatting sqref="R1066 T1066:U1066">
    <cfRule type="containsText" dxfId="0" priority="7350" operator="between" text="欠">
      <formula>NOT(ISERROR(SEARCH("欠",R1066)))</formula>
    </cfRule>
  </conditionalFormatting>
  <conditionalFormatting sqref="R1067 T1067:U1067">
    <cfRule type="containsText" dxfId="0" priority="7349" operator="between" text="欠">
      <formula>NOT(ISERROR(SEARCH("欠",R1067)))</formula>
    </cfRule>
  </conditionalFormatting>
  <conditionalFormatting sqref="R1068 T1068:U1068">
    <cfRule type="containsText" dxfId="0" priority="7348" operator="between" text="欠">
      <formula>NOT(ISERROR(SEARCH("欠",R1068)))</formula>
    </cfRule>
  </conditionalFormatting>
  <conditionalFormatting sqref="R1069 T1069:U1069">
    <cfRule type="containsText" dxfId="0" priority="7347" operator="between" text="欠">
      <formula>NOT(ISERROR(SEARCH("欠",R1069)))</formula>
    </cfRule>
  </conditionalFormatting>
  <conditionalFormatting sqref="AJ1069 AJ1811">
    <cfRule type="cellIs" dxfId="0" priority="7835" operator="equal">
      <formula>"未完成"</formula>
    </cfRule>
  </conditionalFormatting>
  <conditionalFormatting sqref="R1070 T1070:U1070">
    <cfRule type="containsText" dxfId="0" priority="7346" operator="between" text="欠">
      <formula>NOT(ISERROR(SEARCH("欠",R1070)))</formula>
    </cfRule>
  </conditionalFormatting>
  <conditionalFormatting sqref="R1071 T1071:U1071">
    <cfRule type="containsText" dxfId="0" priority="7345" operator="between" text="欠">
      <formula>NOT(ISERROR(SEARCH("欠",R1071)))</formula>
    </cfRule>
  </conditionalFormatting>
  <conditionalFormatting sqref="R1072 T1072:U1072">
    <cfRule type="containsText" dxfId="0" priority="7344" operator="between" text="欠">
      <formula>NOT(ISERROR(SEARCH("欠",R1072)))</formula>
    </cfRule>
  </conditionalFormatting>
  <conditionalFormatting sqref="R1073 T1073:U1073">
    <cfRule type="containsText" dxfId="0" priority="7343" operator="between" text="欠">
      <formula>NOT(ISERROR(SEARCH("欠",R1073)))</formula>
    </cfRule>
  </conditionalFormatting>
  <conditionalFormatting sqref="R1074 T1074:U1074">
    <cfRule type="containsText" dxfId="0" priority="7342" operator="between" text="欠">
      <formula>NOT(ISERROR(SEARCH("欠",R1074)))</formula>
    </cfRule>
  </conditionalFormatting>
  <conditionalFormatting sqref="R1075 T1075:U1075">
    <cfRule type="containsText" dxfId="0" priority="7341" operator="between" text="欠">
      <formula>NOT(ISERROR(SEARCH("欠",R1075)))</formula>
    </cfRule>
  </conditionalFormatting>
  <conditionalFormatting sqref="R1076 T1076:U1076">
    <cfRule type="containsText" dxfId="0" priority="7340" operator="between" text="欠">
      <formula>NOT(ISERROR(SEARCH("欠",R1076)))</formula>
    </cfRule>
  </conditionalFormatting>
  <conditionalFormatting sqref="R1077 T1077:U1077">
    <cfRule type="containsText" dxfId="0" priority="7339" operator="between" text="欠">
      <formula>NOT(ISERROR(SEARCH("欠",R1077)))</formula>
    </cfRule>
  </conditionalFormatting>
  <conditionalFormatting sqref="R1078 T1078:U1078">
    <cfRule type="containsText" dxfId="0" priority="7338" operator="between" text="欠">
      <formula>NOT(ISERROR(SEARCH("欠",R1078)))</formula>
    </cfRule>
  </conditionalFormatting>
  <conditionalFormatting sqref="R1079 T1079:U1079">
    <cfRule type="containsText" dxfId="0" priority="7337" operator="between" text="欠">
      <formula>NOT(ISERROR(SEARCH("欠",R1079)))</formula>
    </cfRule>
  </conditionalFormatting>
  <conditionalFormatting sqref="R1080 T1080:U1080">
    <cfRule type="containsText" dxfId="0" priority="7336" operator="between" text="欠">
      <formula>NOT(ISERROR(SEARCH("欠",R1080)))</formula>
    </cfRule>
  </conditionalFormatting>
  <conditionalFormatting sqref="R1081 T1081:U1081">
    <cfRule type="containsText" dxfId="0" priority="7335" operator="between" text="欠">
      <formula>NOT(ISERROR(SEARCH("欠",R1081)))</formula>
    </cfRule>
  </conditionalFormatting>
  <conditionalFormatting sqref="R1082 T1082:U1082">
    <cfRule type="containsText" dxfId="0" priority="7334" operator="between" text="欠">
      <formula>NOT(ISERROR(SEARCH("欠",R1082)))</formula>
    </cfRule>
  </conditionalFormatting>
  <conditionalFormatting sqref="R1083 T1083:U1083">
    <cfRule type="containsText" dxfId="0" priority="7333" operator="between" text="欠">
      <formula>NOT(ISERROR(SEARCH("欠",R1083)))</formula>
    </cfRule>
  </conditionalFormatting>
  <conditionalFormatting sqref="R1084 T1084:U1084">
    <cfRule type="containsText" dxfId="0" priority="7332" operator="between" text="欠">
      <formula>NOT(ISERROR(SEARCH("欠",R1084)))</formula>
    </cfRule>
  </conditionalFormatting>
  <conditionalFormatting sqref="R1085 T1085:U1085">
    <cfRule type="containsText" dxfId="0" priority="7331" operator="between" text="欠">
      <formula>NOT(ISERROR(SEARCH("欠",R1085)))</formula>
    </cfRule>
  </conditionalFormatting>
  <conditionalFormatting sqref="R1086 T1086:U1086">
    <cfRule type="containsText" dxfId="0" priority="7330" operator="between" text="欠">
      <formula>NOT(ISERROR(SEARCH("欠",R1086)))</formula>
    </cfRule>
  </conditionalFormatting>
  <conditionalFormatting sqref="AJ1086 AJ1247">
    <cfRule type="cellIs" dxfId="0" priority="7818" operator="equal">
      <formula>"未完成"</formula>
    </cfRule>
  </conditionalFormatting>
  <conditionalFormatting sqref="R1087 T1087:U1087">
    <cfRule type="containsText" dxfId="0" priority="7329" operator="between" text="欠">
      <formula>NOT(ISERROR(SEARCH("欠",R1087)))</formula>
    </cfRule>
  </conditionalFormatting>
  <conditionalFormatting sqref="R1088 T1088:U1088">
    <cfRule type="containsText" dxfId="0" priority="7328" operator="between" text="欠">
      <formula>NOT(ISERROR(SEARCH("欠",R1088)))</formula>
    </cfRule>
  </conditionalFormatting>
  <conditionalFormatting sqref="R1089 T1089:U1089">
    <cfRule type="containsText" dxfId="0" priority="7327" operator="between" text="欠">
      <formula>NOT(ISERROR(SEARCH("欠",R1089)))</formula>
    </cfRule>
  </conditionalFormatting>
  <conditionalFormatting sqref="R1090 T1090:U1090">
    <cfRule type="containsText" dxfId="0" priority="7326" operator="between" text="欠">
      <formula>NOT(ISERROR(SEARCH("欠",R1090)))</formula>
    </cfRule>
  </conditionalFormatting>
  <conditionalFormatting sqref="R1091 T1091:U1091">
    <cfRule type="containsText" dxfId="0" priority="7325" operator="between" text="欠">
      <formula>NOT(ISERROR(SEARCH("欠",R1091)))</formula>
    </cfRule>
  </conditionalFormatting>
  <conditionalFormatting sqref="R1092 T1092:U1092">
    <cfRule type="containsText" dxfId="0" priority="7324" operator="between" text="欠">
      <formula>NOT(ISERROR(SEARCH("欠",R1092)))</formula>
    </cfRule>
  </conditionalFormatting>
  <conditionalFormatting sqref="R1093 T1093:U1093 T1334:U1334 T1617:U1617 T1824:U1824">
    <cfRule type="containsText" dxfId="0" priority="7323" operator="between" text="欠">
      <formula>NOT(ISERROR(SEARCH("欠",R1093)))</formula>
    </cfRule>
  </conditionalFormatting>
  <conditionalFormatting sqref="S1093 S1334 S1617 S1824">
    <cfRule type="cellIs" dxfId="0" priority="7689" operator="equal">
      <formula>"欠"</formula>
    </cfRule>
  </conditionalFormatting>
  <conditionalFormatting sqref="T1093:U1093 T1334:U1334 T1617:U1617 T1824:U1824">
    <cfRule type="cellIs" dxfId="0" priority="7750" operator="equal">
      <formula>"欠"</formula>
    </cfRule>
  </conditionalFormatting>
  <conditionalFormatting sqref="AJ1093 AJ1334 AJ1617 AJ1824">
    <cfRule type="cellIs" dxfId="0" priority="7811" operator="equal">
      <formula>"未完成"</formula>
    </cfRule>
  </conditionalFormatting>
  <conditionalFormatting sqref="R1094 T1094:U1094">
    <cfRule type="containsText" dxfId="0" priority="7322" operator="between" text="欠">
      <formula>NOT(ISERROR(SEARCH("欠",R1094)))</formula>
    </cfRule>
  </conditionalFormatting>
  <conditionalFormatting sqref="AJ1094 AJ1245 AJ1405 AJ1433 AJ1522 AJ1543 AJ1670">
    <cfRule type="cellIs" dxfId="0" priority="7810" operator="equal">
      <formula>"未完成"</formula>
    </cfRule>
  </conditionalFormatting>
  <conditionalFormatting sqref="S1097 S1177:S1178">
    <cfRule type="cellIs" dxfId="0" priority="7685" operator="equal">
      <formula>"欠"</formula>
    </cfRule>
  </conditionalFormatting>
  <conditionalFormatting sqref="T1097:U1097 T1177:U1178">
    <cfRule type="containsText" dxfId="0" priority="7319" operator="between" text="欠">
      <formula>NOT(ISERROR(SEARCH("欠",T1097)))</formula>
    </cfRule>
    <cfRule type="cellIs" dxfId="0" priority="7746" operator="equal">
      <formula>"欠"</formula>
    </cfRule>
  </conditionalFormatting>
  <conditionalFormatting sqref="R1098 T1098:U1098">
    <cfRule type="containsText" dxfId="0" priority="7318" operator="between" text="欠">
      <formula>NOT(ISERROR(SEARCH("欠",R1098)))</formula>
    </cfRule>
  </conditionalFormatting>
  <conditionalFormatting sqref="R1099 T1099:U1099">
    <cfRule type="containsText" dxfId="0" priority="7317" operator="between" text="欠">
      <formula>NOT(ISERROR(SEARCH("欠",R1099)))</formula>
    </cfRule>
  </conditionalFormatting>
  <conditionalFormatting sqref="R1100 T1100:U1100">
    <cfRule type="containsText" dxfId="0" priority="7316" operator="between" text="欠">
      <formula>NOT(ISERROR(SEARCH("欠",R1100)))</formula>
    </cfRule>
  </conditionalFormatting>
  <conditionalFormatting sqref="R1101 T1101:U1101">
    <cfRule type="containsText" dxfId="0" priority="7315" operator="between" text="欠">
      <formula>NOT(ISERROR(SEARCH("欠",R1101)))</formula>
    </cfRule>
  </conditionalFormatting>
  <conditionalFormatting sqref="R1102 T1102:U1102">
    <cfRule type="containsText" dxfId="0" priority="7314" operator="between" text="欠">
      <formula>NOT(ISERROR(SEARCH("欠",R1102)))</formula>
    </cfRule>
  </conditionalFormatting>
  <conditionalFormatting sqref="AJ1102:AJ1103 AJ1250:AJ1251 AJ1392:AJ1393 AJ1603:AJ1604 AJ1956:AJ1957">
    <cfRule type="cellIs" dxfId="0" priority="7802" operator="equal">
      <formula>"未完成"</formula>
    </cfRule>
  </conditionalFormatting>
  <conditionalFormatting sqref="R1103 T1103:U1103">
    <cfRule type="containsText" dxfId="0" priority="7313" operator="between" text="欠">
      <formula>NOT(ISERROR(SEARCH("欠",R1103)))</formula>
    </cfRule>
  </conditionalFormatting>
  <conditionalFormatting sqref="R1104 T1104:U1104">
    <cfRule type="containsText" dxfId="0" priority="7312" operator="between" text="欠">
      <formula>NOT(ISERROR(SEARCH("欠",R1104)))</formula>
    </cfRule>
  </conditionalFormatting>
  <conditionalFormatting sqref="R1105 T1105:U1105">
    <cfRule type="containsText" dxfId="0" priority="7311" operator="between" text="欠">
      <formula>NOT(ISERROR(SEARCH("欠",R1105)))</formula>
    </cfRule>
  </conditionalFormatting>
  <conditionalFormatting sqref="R1106 T1106:U1106">
    <cfRule type="containsText" dxfId="0" priority="7310" operator="between" text="欠">
      <formula>NOT(ISERROR(SEARCH("欠",R1106)))</formula>
    </cfRule>
  </conditionalFormatting>
  <conditionalFormatting sqref="R1107 T1107:U1107">
    <cfRule type="containsText" dxfId="0" priority="7309" operator="between" text="欠">
      <formula>NOT(ISERROR(SEARCH("欠",R1107)))</formula>
    </cfRule>
  </conditionalFormatting>
  <conditionalFormatting sqref="R1108 T1108:U1108">
    <cfRule type="containsText" dxfId="0" priority="7308" operator="between" text="欠">
      <formula>NOT(ISERROR(SEARCH("欠",R1108)))</formula>
    </cfRule>
  </conditionalFormatting>
  <conditionalFormatting sqref="R1109 T1109:U1109">
    <cfRule type="containsText" dxfId="0" priority="7307" operator="between" text="欠">
      <formula>NOT(ISERROR(SEARCH("欠",R1109)))</formula>
    </cfRule>
  </conditionalFormatting>
  <conditionalFormatting sqref="R1110 T1110:U1110">
    <cfRule type="containsText" dxfId="0" priority="7306" operator="between" text="欠">
      <formula>NOT(ISERROR(SEARCH("欠",R1110)))</formula>
    </cfRule>
  </conditionalFormatting>
  <conditionalFormatting sqref="S1110 S2046">
    <cfRule type="cellIs" dxfId="0" priority="7672" operator="equal">
      <formula>"欠"</formula>
    </cfRule>
  </conditionalFormatting>
  <conditionalFormatting sqref="AJ1110 AJ1630 AJ2046">
    <cfRule type="cellIs" dxfId="0" priority="7794" operator="equal">
      <formula>"未完成"</formula>
    </cfRule>
  </conditionalFormatting>
  <conditionalFormatting sqref="R1111 T1111:U1111">
    <cfRule type="containsText" dxfId="0" priority="7305" operator="between" text="欠">
      <formula>NOT(ISERROR(SEARCH("欠",R1111)))</formula>
    </cfRule>
  </conditionalFormatting>
  <conditionalFormatting sqref="R1112 T1112:U1112">
    <cfRule type="containsText" dxfId="0" priority="7304" operator="between" text="欠">
      <formula>NOT(ISERROR(SEARCH("欠",R1112)))</formula>
    </cfRule>
  </conditionalFormatting>
  <conditionalFormatting sqref="R1113 T1113:U1113">
    <cfRule type="containsText" dxfId="0" priority="7303" operator="between" text="欠">
      <formula>NOT(ISERROR(SEARCH("欠",R1113)))</formula>
    </cfRule>
  </conditionalFormatting>
  <conditionalFormatting sqref="R1114 T1114:U1114">
    <cfRule type="containsText" dxfId="0" priority="7302" operator="between" text="欠">
      <formula>NOT(ISERROR(SEARCH("欠",R1114)))</formula>
    </cfRule>
  </conditionalFormatting>
  <conditionalFormatting sqref="R1115 T1115:U1115">
    <cfRule type="containsText" dxfId="0" priority="7301" operator="between" text="欠">
      <formula>NOT(ISERROR(SEARCH("欠",R1115)))</formula>
    </cfRule>
  </conditionalFormatting>
  <conditionalFormatting sqref="R1116 T1116:U1116">
    <cfRule type="containsText" dxfId="0" priority="7300" operator="between" text="欠">
      <formula>NOT(ISERROR(SEARCH("欠",R1116)))</formula>
    </cfRule>
  </conditionalFormatting>
  <conditionalFormatting sqref="R1117 T1117:U1117">
    <cfRule type="containsText" dxfId="0" priority="7152" operator="between" text="欠">
      <formula>NOT(ISERROR(SEARCH("欠",R1117)))</formula>
    </cfRule>
  </conditionalFormatting>
  <conditionalFormatting sqref="AJ1117 AJ1914">
    <cfRule type="cellIs" dxfId="0" priority="7208" operator="equal">
      <formula>"未完成"</formula>
    </cfRule>
  </conditionalFormatting>
  <conditionalFormatting sqref="AN1117 AN1914">
    <cfRule type="cellIs" dxfId="0" priority="7215" operator="equal">
      <formula>"欠"</formula>
    </cfRule>
  </conditionalFormatting>
  <conditionalFormatting sqref="R1118 T1118:U1118">
    <cfRule type="containsText" dxfId="0" priority="7151" operator="between" text="欠">
      <formula>NOT(ISERROR(SEARCH("欠",R1118)))</formula>
    </cfRule>
  </conditionalFormatting>
  <conditionalFormatting sqref="AJ1118 AJ1845">
    <cfRule type="cellIs" dxfId="0" priority="7207" operator="equal">
      <formula>"未完成"</formula>
    </cfRule>
  </conditionalFormatting>
  <conditionalFormatting sqref="R1119 T1119:U1119">
    <cfRule type="containsText" dxfId="0" priority="7150" operator="between" text="欠">
      <formula>NOT(ISERROR(SEARCH("欠",R1119)))</formula>
    </cfRule>
  </conditionalFormatting>
  <conditionalFormatting sqref="R1120 T1120:U1120">
    <cfRule type="containsText" dxfId="0" priority="7149" operator="between" text="欠">
      <formula>NOT(ISERROR(SEARCH("欠",R1120)))</formula>
    </cfRule>
  </conditionalFormatting>
  <conditionalFormatting sqref="R1121 T1121:U1121">
    <cfRule type="containsText" dxfId="0" priority="7148" operator="between" text="欠">
      <formula>NOT(ISERROR(SEARCH("欠",R1121)))</formula>
    </cfRule>
  </conditionalFormatting>
  <conditionalFormatting sqref="R1122 T1122:U1122">
    <cfRule type="containsText" dxfId="0" priority="7147" operator="between" text="欠">
      <formula>NOT(ISERROR(SEARCH("欠",R1122)))</formula>
    </cfRule>
  </conditionalFormatting>
  <conditionalFormatting sqref="R1123 T1123:U1123">
    <cfRule type="containsText" dxfId="0" priority="7146" operator="between" text="欠">
      <formula>NOT(ISERROR(SEARCH("欠",R1123)))</formula>
    </cfRule>
  </conditionalFormatting>
  <conditionalFormatting sqref="R1124 T1124:U1124">
    <cfRule type="containsText" dxfId="0" priority="6827" operator="between" text="欠">
      <formula>NOT(ISERROR(SEARCH("欠",R1124)))</formula>
    </cfRule>
  </conditionalFormatting>
  <conditionalFormatting sqref="R1125 T1125:U1125">
    <cfRule type="containsText" dxfId="0" priority="6826" operator="between" text="欠">
      <formula>NOT(ISERROR(SEARCH("欠",R1125)))</formula>
    </cfRule>
  </conditionalFormatting>
  <conditionalFormatting sqref="R1126 T1126:U1126">
    <cfRule type="containsText" dxfId="0" priority="6645" operator="between" text="欠">
      <formula>NOT(ISERROR(SEARCH("欠",R1126)))</formula>
    </cfRule>
  </conditionalFormatting>
  <conditionalFormatting sqref="R1127 T1127:U1127">
    <cfRule type="containsText" dxfId="0" priority="6644" operator="between" text="欠">
      <formula>NOT(ISERROR(SEARCH("欠",R1127)))</formula>
    </cfRule>
  </conditionalFormatting>
  <conditionalFormatting sqref="R1128 T1128:U1128">
    <cfRule type="containsText" dxfId="0" priority="6643" operator="between" text="欠">
      <formula>NOT(ISERROR(SEARCH("欠",R1128)))</formula>
    </cfRule>
  </conditionalFormatting>
  <conditionalFormatting sqref="R1129 T1129:U1129">
    <cfRule type="containsText" dxfId="0" priority="6642" operator="between" text="欠">
      <formula>NOT(ISERROR(SEARCH("欠",R1129)))</formula>
    </cfRule>
  </conditionalFormatting>
  <conditionalFormatting sqref="R1130 T1130:U1130">
    <cfRule type="containsText" dxfId="0" priority="6641" operator="between" text="欠">
      <formula>NOT(ISERROR(SEARCH("欠",R1130)))</formula>
    </cfRule>
  </conditionalFormatting>
  <conditionalFormatting sqref="R1131 T1131:U1131">
    <cfRule type="containsText" dxfId="0" priority="6640" operator="between" text="欠">
      <formula>NOT(ISERROR(SEARCH("欠",R1131)))</formula>
    </cfRule>
  </conditionalFormatting>
  <conditionalFormatting sqref="R1132 T1132:U1132">
    <cfRule type="containsText" dxfId="0" priority="6639" operator="between" text="欠">
      <formula>NOT(ISERROR(SEARCH("欠",R1132)))</formula>
    </cfRule>
  </conditionalFormatting>
  <conditionalFormatting sqref="AJ1132 AJ1328 AJ1354 AJ1362 AJ1380 AJ1397 AJ1430 AJ1435 AJ1511:AJ1512 AJ1529 AJ1541 AJ1561 AJ1568:AJ1572 AJ1577:AJ1579 AJ1603:AJ1606 AJ1694 AJ1722 AJ1779:AJ1780 AJ1876 AJ1956:AJ1957">
    <cfRule type="cellIs" dxfId="0" priority="6799" operator="equal">
      <formula>"未完成"</formula>
    </cfRule>
  </conditionalFormatting>
  <conditionalFormatting sqref="R1133 T1133:U1133">
    <cfRule type="containsText" dxfId="0" priority="6638" operator="between" text="欠">
      <formula>NOT(ISERROR(SEARCH("欠",R1133)))</formula>
    </cfRule>
  </conditionalFormatting>
  <conditionalFormatting sqref="R1134 T1134:U1134">
    <cfRule type="containsText" dxfId="0" priority="6637" operator="between" text="欠">
      <formula>NOT(ISERROR(SEARCH("欠",R1134)))</formula>
    </cfRule>
  </conditionalFormatting>
  <conditionalFormatting sqref="R1135 T1135:U1135">
    <cfRule type="containsText" dxfId="0" priority="6636" operator="between" text="欠">
      <formula>NOT(ISERROR(SEARCH("欠",R1135)))</formula>
    </cfRule>
  </conditionalFormatting>
  <conditionalFormatting sqref="R1136 T1136:U1136">
    <cfRule type="containsText" dxfId="0" priority="6635" operator="between" text="欠">
      <formula>NOT(ISERROR(SEARCH("欠",R1136)))</formula>
    </cfRule>
  </conditionalFormatting>
  <conditionalFormatting sqref="R1137 T1137:U1137">
    <cfRule type="containsText" dxfId="0" priority="6634" operator="between" text="欠">
      <formula>NOT(ISERROR(SEARCH("欠",R1137)))</formula>
    </cfRule>
  </conditionalFormatting>
  <conditionalFormatting sqref="R1138 T1138:U1138">
    <cfRule type="containsText" dxfId="0" priority="6633" operator="between" text="欠">
      <formula>NOT(ISERROR(SEARCH("欠",R1138)))</formula>
    </cfRule>
  </conditionalFormatting>
  <conditionalFormatting sqref="R1139 T1139:U1139">
    <cfRule type="containsText" dxfId="0" priority="6632" operator="between" text="欠">
      <formula>NOT(ISERROR(SEARCH("欠",R1139)))</formula>
    </cfRule>
  </conditionalFormatting>
  <conditionalFormatting sqref="R1140 T1140:U1140">
    <cfRule type="containsText" dxfId="0" priority="6631" operator="between" text="欠">
      <formula>NOT(ISERROR(SEARCH("欠",R1140)))</formula>
    </cfRule>
  </conditionalFormatting>
  <conditionalFormatting sqref="R1141 T1141:U1141">
    <cfRule type="containsText" dxfId="0" priority="6630" operator="between" text="欠">
      <formula>NOT(ISERROR(SEARCH("欠",R1141)))</formula>
    </cfRule>
  </conditionalFormatting>
  <conditionalFormatting sqref="R1142 T1142:U1142">
    <cfRule type="containsText" dxfId="0" priority="6629" operator="between" text="欠">
      <formula>NOT(ISERROR(SEARCH("欠",R1142)))</formula>
    </cfRule>
  </conditionalFormatting>
  <conditionalFormatting sqref="R1143 T1143:U1143">
    <cfRule type="containsText" dxfId="0" priority="6628" operator="between" text="欠">
      <formula>NOT(ISERROR(SEARCH("欠",R1143)))</formula>
    </cfRule>
  </conditionalFormatting>
  <conditionalFormatting sqref="R1144 T1144:U1144">
    <cfRule type="containsText" dxfId="0" priority="6627" operator="between" text="欠">
      <formula>NOT(ISERROR(SEARCH("欠",R1144)))</formula>
    </cfRule>
  </conditionalFormatting>
  <conditionalFormatting sqref="R1145 T1145:U1145">
    <cfRule type="containsText" dxfId="0" priority="6626" operator="between" text="欠">
      <formula>NOT(ISERROR(SEARCH("欠",R1145)))</formula>
    </cfRule>
  </conditionalFormatting>
  <conditionalFormatting sqref="AJ1145 AJ1299 AJ1878">
    <cfRule type="cellIs" dxfId="0" priority="6786" operator="equal">
      <formula>"未完成"</formula>
    </cfRule>
  </conditionalFormatting>
  <conditionalFormatting sqref="R1146 T1146:U1146">
    <cfRule type="containsText" dxfId="0" priority="6616" operator="between" text="欠">
      <formula>NOT(ISERROR(SEARCH("欠",R1146)))</formula>
    </cfRule>
  </conditionalFormatting>
  <conditionalFormatting sqref="AJ1146 AJ1898 AJ1914:AJ1917 AJ1943 AJ1945 AJ1959 AJ1965 AJ2076:AJ2077">
    <cfRule type="cellIs" dxfId="0" priority="6624" operator="equal">
      <formula>"未完成"</formula>
    </cfRule>
  </conditionalFormatting>
  <conditionalFormatting sqref="R1147 T1147:U1147">
    <cfRule type="containsText" dxfId="0" priority="6516" operator="between" text="欠">
      <formula>NOT(ISERROR(SEARCH("欠",R1147)))</formula>
    </cfRule>
  </conditionalFormatting>
  <conditionalFormatting sqref="R1148 T1148:U1148">
    <cfRule type="containsText" dxfId="0" priority="6515" operator="between" text="欠">
      <formula>NOT(ISERROR(SEARCH("欠",R1148)))</formula>
    </cfRule>
  </conditionalFormatting>
  <conditionalFormatting sqref="R1149 T1149:U1149">
    <cfRule type="containsText" dxfId="0" priority="6514" operator="between" text="欠">
      <formula>NOT(ISERROR(SEARCH("欠",R1149)))</formula>
    </cfRule>
  </conditionalFormatting>
  <conditionalFormatting sqref="R1150 T1150:U1150">
    <cfRule type="containsText" dxfId="0" priority="6513" operator="between" text="欠">
      <formula>NOT(ISERROR(SEARCH("欠",R1150)))</formula>
    </cfRule>
  </conditionalFormatting>
  <conditionalFormatting sqref="R1151 T1151:U1151">
    <cfRule type="containsText" dxfId="0" priority="6512" operator="between" text="欠">
      <formula>NOT(ISERROR(SEARCH("欠",R1151)))</formula>
    </cfRule>
  </conditionalFormatting>
  <conditionalFormatting sqref="R1152 T1152:U1152">
    <cfRule type="containsText" dxfId="0" priority="6511" operator="between" text="欠">
      <formula>NOT(ISERROR(SEARCH("欠",R1152)))</formula>
    </cfRule>
  </conditionalFormatting>
  <conditionalFormatting sqref="R1153 T1153:U1153">
    <cfRule type="containsText" dxfId="0" priority="6510" operator="between" text="欠">
      <formula>NOT(ISERROR(SEARCH("欠",R1153)))</formula>
    </cfRule>
  </conditionalFormatting>
  <conditionalFormatting sqref="R1154 T1154:U1154">
    <cfRule type="containsText" dxfId="0" priority="6509" operator="between" text="欠">
      <formula>NOT(ISERROR(SEARCH("欠",R1154)))</formula>
    </cfRule>
  </conditionalFormatting>
  <conditionalFormatting sqref="R1155 T1155:U1155">
    <cfRule type="containsText" dxfId="0" priority="6508" operator="between" text="欠">
      <formula>NOT(ISERROR(SEARCH("欠",R1155)))</formula>
    </cfRule>
  </conditionalFormatting>
  <conditionalFormatting sqref="R1156 T1156:U1156">
    <cfRule type="containsText" dxfId="0" priority="6507" operator="between" text="欠">
      <formula>NOT(ISERROR(SEARCH("欠",R1156)))</formula>
    </cfRule>
  </conditionalFormatting>
  <conditionalFormatting sqref="AJ1156 AJ1337 AJ1999">
    <cfRule type="cellIs" dxfId="0" priority="6595" operator="equal">
      <formula>"未完成"</formula>
    </cfRule>
  </conditionalFormatting>
  <conditionalFormatting sqref="R1157 T1157:U1157">
    <cfRule type="containsText" dxfId="0" priority="6506" operator="between" text="欠">
      <formula>NOT(ISERROR(SEARCH("欠",R1157)))</formula>
    </cfRule>
  </conditionalFormatting>
  <conditionalFormatting sqref="T1160:U1160 T1171:U1171">
    <cfRule type="containsText" dxfId="0" priority="9768" operator="between" text="欠">
      <formula>NOT(ISERROR(SEARCH("欠",T1160)))</formula>
    </cfRule>
    <cfRule type="cellIs" dxfId="0" priority="9773" operator="equal">
      <formula>"欠"</formula>
    </cfRule>
  </conditionalFormatting>
  <conditionalFormatting sqref="AN1160 AN1234">
    <cfRule type="cellIs" dxfId="0" priority="9775" operator="equal">
      <formula>"欠"</formula>
    </cfRule>
  </conditionalFormatting>
  <conditionalFormatting sqref="R1166:R1167 R1161:R1162">
    <cfRule type="containsText" dxfId="0" priority="8680" operator="between" text="欠">
      <formula>NOT(ISERROR(SEARCH("欠",R1161)))</formula>
    </cfRule>
    <cfRule type="cellIs" dxfId="0" priority="8683" operator="equal">
      <formula>"欠"</formula>
    </cfRule>
  </conditionalFormatting>
  <conditionalFormatting sqref="R1161:R1162 T1161:U1162 R1166:R1167 T1166:U1167">
    <cfRule type="containsText" dxfId="0" priority="8677" operator="between" text="欠">
      <formula>NOT(ISERROR(SEARCH("欠",R1161)))</formula>
    </cfRule>
  </conditionalFormatting>
  <conditionalFormatting sqref="S1166:S1167 S1161:S1162">
    <cfRule type="cellIs" dxfId="0" priority="8716" operator="equal">
      <formula>"欠"</formula>
    </cfRule>
  </conditionalFormatting>
  <conditionalFormatting sqref="T1161:U1162 T1166:U1167">
    <cfRule type="containsText" dxfId="0" priority="8695" operator="between" text="欠">
      <formula>NOT(ISERROR(SEARCH("欠",T1161)))</formula>
    </cfRule>
    <cfRule type="cellIs" dxfId="0" priority="8713" operator="equal">
      <formula>"欠"</formula>
    </cfRule>
  </conditionalFormatting>
  <conditionalFormatting sqref="V1162 V1166:V1167">
    <cfRule type="cellIs" dxfId="0" priority="8684" operator="equal">
      <formula>"欠"</formula>
    </cfRule>
  </conditionalFormatting>
  <conditionalFormatting sqref="AL1162:AM1162 AL1166:AM1167">
    <cfRule type="cellIs" dxfId="1" priority="8687" operator="equal">
      <formula>"未完成"</formula>
    </cfRule>
    <cfRule type="cellIs" dxfId="0" priority="8690" operator="equal">
      <formula>"未完成"</formula>
    </cfRule>
  </conditionalFormatting>
  <conditionalFormatting sqref="AN1162 AN1166:AN1167">
    <cfRule type="cellIs" dxfId="0" priority="8708" operator="equal">
      <formula>"欠"</formula>
    </cfRule>
  </conditionalFormatting>
  <conditionalFormatting sqref="R1163 T1163:U1164 T1183:U1186">
    <cfRule type="containsText" dxfId="0" priority="8189" operator="between" text="欠">
      <formula>NOT(ISERROR(SEARCH("欠",R1163)))</formula>
    </cfRule>
  </conditionalFormatting>
  <conditionalFormatting sqref="T1163:U1164 T1183:U1186">
    <cfRule type="containsText" dxfId="0" priority="8201" operator="between" text="欠">
      <formula>NOT(ISERROR(SEARCH("欠",T1163)))</formula>
    </cfRule>
    <cfRule type="cellIs" dxfId="0" priority="8205" operator="equal">
      <formula>"欠"</formula>
    </cfRule>
  </conditionalFormatting>
  <conditionalFormatting sqref="AJ1163:AJ1178 AJ1180 AJ1182:AJ1186 AJ1188:AJ1195 AJ1198:AJ1203 AJ1205:AJ1208 AJ1214 AJ1231:AJ1232 AJ1234:AJ1236 AJ1257:AJ1259 AJ1265 AJ1271 AJ1273:AJ1275 AJ1278:AJ1280 AJ1284 AJ1291:AJ1293 AJ1298 AJ1311:AJ1315 AJ1327 AJ1333 AJ1336 AJ1340:AJ1345 AJ1367:AJ1368 AJ1372 AJ1407:AJ1414 AJ1416 AJ1418 AJ1421:AJ1423 AJ1426 AJ1429 AJ1437:AJ1442 AJ1444:AJ1447 AJ1450:AJ1451 AJ1453 AJ1458 AJ1473:AJ1476 AJ1480 AJ1485:AJ1486 AJ1488:AJ1497 AJ1503:AJ1507 AJ1515:AJ1518 AJ1522 AJ1524:AJ1528 AJ1539:AJ1540 AJ1542 AJ1545:AJ1550 AJ1557 AJ1560:AJ1561 AJ1574:AJ1576 AJ1583:AJ1593 AJ1600:AJ1604 AJ1607:AJ1610 AJ1614 AJ1620:AJ1621 AJ1631 AJ1660 AJ1664:AJ1665 AJ1667:AJ1693 AJ1695 AJ1713 AJ1728:AJ1730 AJ1732:AJ1734 AJ1738 AJ1742:AJ1745 AJ1771:AJ1776 AJ1779 AJ1787:AJ1790 AJ1797:AJ1811 AJ1814 AJ1816:AJ1818 AJ1825:AJ1844 AJ1856:AJ1858 AJ1862:AJ1873 AJ1876 AJ1878:AJ1899 AJ1901:AJ1906 AJ1911:AJ1912 AJ1914:AJ1917 AJ1919:AJ1923 AJ1925:AJ1943 AJ1946:AJ1951 AJ1956:AJ1960 AJ1963:AJ1968 AJ1970:AJ1984 AJ1986:AJ1997 AJ2000:AJ2001 AJ2003:AJ2024 AJ2026:AJ2045 AJ2048:AJ2054 AJ2056:AJ2057 AJ2059:AJ2072 AJ2086:AJ2087 AJ2092:AJ2102 AJ2109 AJ2113:AJ2114 AJ2116 AJ2119 AJ2123:AJ2124 AJ2127:AJ2128">
    <cfRule type="cellIs" dxfId="0" priority="7297" operator="equal">
      <formula>"未完成"</formula>
    </cfRule>
  </conditionalFormatting>
  <conditionalFormatting sqref="AL1163:AM1163 AL1164 AL1183:AL1186 AL1192:AL1195 AL1235">
    <cfRule type="cellIs" dxfId="1" priority="8197" operator="equal">
      <formula>"未完成"</formula>
    </cfRule>
    <cfRule type="cellIs" dxfId="0" priority="8199" operator="equal">
      <formula>"未完成"</formula>
    </cfRule>
  </conditionalFormatting>
  <conditionalFormatting sqref="R1164 R1186">
    <cfRule type="containsText" dxfId="0" priority="8590" operator="between" text="欠">
      <formula>NOT(ISERROR(SEARCH("欠",R1164)))</formula>
    </cfRule>
    <cfRule type="cellIs" dxfId="0" priority="8595" operator="equal">
      <formula>"欠"</formula>
    </cfRule>
  </conditionalFormatting>
  <conditionalFormatting sqref="S1164 S1183:S1186">
    <cfRule type="cellIs" dxfId="0" priority="8600" operator="equal">
      <formula>"欠"</formula>
    </cfRule>
  </conditionalFormatting>
  <conditionalFormatting sqref="V1164 V1186">
    <cfRule type="cellIs" dxfId="0" priority="8591" operator="equal">
      <formula>"欠"</formula>
    </cfRule>
  </conditionalFormatting>
  <conditionalFormatting sqref="AM1164 AM1186">
    <cfRule type="cellIs" dxfId="1" priority="8592" operator="equal">
      <formula>"未完成"</formula>
    </cfRule>
    <cfRule type="cellIs" dxfId="0" priority="8593" operator="equal">
      <formula>"未完成"</formula>
    </cfRule>
  </conditionalFormatting>
  <conditionalFormatting sqref="R1165 T1165:U1165">
    <cfRule type="containsText" dxfId="0" priority="7283" operator="between" text="欠">
      <formula>NOT(ISERROR(SEARCH("欠",R1165)))</formula>
    </cfRule>
  </conditionalFormatting>
  <conditionalFormatting sqref="R1168:R1169 T1168:U1169">
    <cfRule type="containsText" dxfId="0" priority="8601" operator="between" text="欠">
      <formula>NOT(ISERROR(SEARCH("欠",R1168)))</formula>
    </cfRule>
  </conditionalFormatting>
  <conditionalFormatting sqref="T1168:U1169">
    <cfRule type="containsText" dxfId="0" priority="8607" operator="between" text="欠">
      <formula>NOT(ISERROR(SEARCH("欠",T1168)))</formula>
    </cfRule>
    <cfRule type="cellIs" dxfId="0" priority="8613" operator="equal">
      <formula>"欠"</formula>
    </cfRule>
  </conditionalFormatting>
  <conditionalFormatting sqref="AL1168:AM1169">
    <cfRule type="cellIs" dxfId="1" priority="8605" operator="equal">
      <formula>"未完成"</formula>
    </cfRule>
    <cfRule type="cellIs" dxfId="0" priority="8606" operator="equal">
      <formula>"未完成"</formula>
    </cfRule>
  </conditionalFormatting>
  <conditionalFormatting sqref="R1172:R1173 T1172:U1173">
    <cfRule type="containsText" dxfId="0" priority="8140" operator="between" text="欠">
      <formula>NOT(ISERROR(SEARCH("欠",R1172)))</formula>
    </cfRule>
  </conditionalFormatting>
  <conditionalFormatting sqref="T1172:U1173">
    <cfRule type="containsText" dxfId="0" priority="8152" operator="between" text="欠">
      <formula>NOT(ISERROR(SEARCH("欠",T1172)))</formula>
    </cfRule>
    <cfRule type="cellIs" dxfId="0" priority="8156" operator="equal">
      <formula>"欠"</formula>
    </cfRule>
  </conditionalFormatting>
  <conditionalFormatting sqref="R1174:R1175 T1174:U1175">
    <cfRule type="containsText" dxfId="0" priority="8626" operator="between" text="欠">
      <formula>NOT(ISERROR(SEARCH("欠",R1174)))</formula>
    </cfRule>
  </conditionalFormatting>
  <conditionalFormatting sqref="S1174:S1175 S1209:S1210 S1611:S1612 S2117:S2118">
    <cfRule type="cellIs" dxfId="0" priority="8634" operator="equal">
      <formula>"欠"</formula>
    </cfRule>
  </conditionalFormatting>
  <conditionalFormatting sqref="T1174:U1175">
    <cfRule type="containsText" dxfId="0" priority="8642" operator="between" text="欠">
      <formula>NOT(ISERROR(SEARCH("欠",T1174)))</formula>
    </cfRule>
    <cfRule type="cellIs" dxfId="0" priority="8652" operator="equal">
      <formula>"欠"</formula>
    </cfRule>
  </conditionalFormatting>
  <conditionalFormatting sqref="V1175 V1182">
    <cfRule type="cellIs" dxfId="0" priority="8635" operator="equal">
      <formula>"欠"</formula>
    </cfRule>
  </conditionalFormatting>
  <conditionalFormatting sqref="AL1175:AM1175 AL1182:AM1182">
    <cfRule type="cellIs" dxfId="1" priority="8637" operator="equal">
      <formula>"未完成"</formula>
    </cfRule>
    <cfRule type="cellIs" dxfId="0" priority="8639" operator="equal">
      <formula>"未完成"</formula>
    </cfRule>
  </conditionalFormatting>
  <conditionalFormatting sqref="R1176 T1176:U1176">
    <cfRule type="containsText" dxfId="0" priority="8115" operator="between" text="欠">
      <formula>NOT(ISERROR(SEARCH("欠",R1176)))</formula>
    </cfRule>
  </conditionalFormatting>
  <conditionalFormatting sqref="V1176 V1198:V1199 V1275">
    <cfRule type="cellIs" dxfId="0" priority="8118" operator="equal">
      <formula>"欠"</formula>
    </cfRule>
  </conditionalFormatting>
  <conditionalFormatting sqref="AL1176:AM1176 AL1198:AM1199 AL1275:AM1275">
    <cfRule type="cellIs" dxfId="1" priority="8119" operator="equal">
      <formula>"未完成"</formula>
    </cfRule>
    <cfRule type="cellIs" dxfId="0" priority="8120" operator="equal">
      <formula>"未完成"</formula>
    </cfRule>
  </conditionalFormatting>
  <conditionalFormatting sqref="AN1176 AN1233">
    <cfRule type="cellIs" dxfId="0" priority="8125" operator="equal">
      <formula>"欠"</formula>
    </cfRule>
  </conditionalFormatting>
  <conditionalFormatting sqref="V1177:V1178 V1201:V1202">
    <cfRule type="cellIs" dxfId="0" priority="7946" operator="equal">
      <formula>"欠"</formula>
    </cfRule>
  </conditionalFormatting>
  <conditionalFormatting sqref="AL1177:AM1178 AL1201:AM1202">
    <cfRule type="cellIs" dxfId="1" priority="7947" operator="equal">
      <formula>"未完成"</formula>
    </cfRule>
    <cfRule type="cellIs" dxfId="0" priority="7948" operator="equal">
      <formula>"未完成"</formula>
    </cfRule>
  </conditionalFormatting>
  <conditionalFormatting sqref="AN1177:AN1178 AN1205:AN1206 AN1219 AN1265 AN1282 AN1290 AN1306 AN1312:AN1315 AN1331 AN1336 AN1341:AN1344 AN1376:AN1378 AN1391 AN1397 AN1616">
    <cfRule type="cellIs" dxfId="0" priority="10539" operator="equal">
      <formula>"欠"</formula>
    </cfRule>
  </conditionalFormatting>
  <conditionalFormatting sqref="R1179 T1179:U1179">
    <cfRule type="containsText" dxfId="0" priority="8025" operator="between" text="欠">
      <formula>NOT(ISERROR(SEARCH("欠",R1179)))</formula>
    </cfRule>
  </conditionalFormatting>
  <conditionalFormatting sqref="V1179 V1211 V1218:V1219">
    <cfRule type="cellIs" dxfId="0" priority="8030" operator="equal">
      <formula>"欠"</formula>
    </cfRule>
  </conditionalFormatting>
  <conditionalFormatting sqref="AL1179:AM1179 AL1211:AM1211 AL1218:AM1219">
    <cfRule type="cellIs" dxfId="1" priority="8031" operator="equal">
      <formula>"未完成"</formula>
    </cfRule>
    <cfRule type="cellIs" dxfId="0" priority="8032" operator="equal">
      <formula>"未完成"</formula>
    </cfRule>
  </conditionalFormatting>
  <conditionalFormatting sqref="AN1179 AN1252">
    <cfRule type="cellIs" dxfId="0" priority="8026" operator="equal">
      <formula>"欠"</formula>
    </cfRule>
  </conditionalFormatting>
  <conditionalFormatting sqref="V1180 V1191">
    <cfRule type="cellIs" dxfId="0" priority="9972" operator="equal">
      <formula>"欠"</formula>
    </cfRule>
  </conditionalFormatting>
  <conditionalFormatting sqref="AL1180:AM1180 AL1191:AM1191">
    <cfRule type="cellIs" dxfId="1" priority="9973" operator="equal">
      <formula>"未完成"</formula>
    </cfRule>
    <cfRule type="cellIs" dxfId="0" priority="9974" operator="equal">
      <formula>"未完成"</formula>
    </cfRule>
  </conditionalFormatting>
  <conditionalFormatting sqref="R1181 T1181:U1181">
    <cfRule type="containsText" dxfId="0" priority="8050" operator="between" text="欠">
      <formula>NOT(ISERROR(SEARCH("欠",R1181)))</formula>
    </cfRule>
  </conditionalFormatting>
  <conditionalFormatting sqref="V1181 V1216">
    <cfRule type="cellIs" dxfId="0" priority="8054" operator="equal">
      <formula>"欠"</formula>
    </cfRule>
  </conditionalFormatting>
  <conditionalFormatting sqref="AL1181:AM1181 AL1216:AM1216">
    <cfRule type="cellIs" dxfId="1" priority="8055" operator="equal">
      <formula>"未完成"</formula>
    </cfRule>
    <cfRule type="cellIs" dxfId="0" priority="8056" operator="equal">
      <formula>"未完成"</formula>
    </cfRule>
  </conditionalFormatting>
  <conditionalFormatting sqref="AN1181 AN1216">
    <cfRule type="cellIs" dxfId="0" priority="8060" operator="equal">
      <formula>"欠"</formula>
    </cfRule>
  </conditionalFormatting>
  <conditionalFormatting sqref="R1182 R1671">
    <cfRule type="containsText" dxfId="0" priority="8629" operator="between" text="欠">
      <formula>NOT(ISERROR(SEARCH("欠",R1182)))</formula>
    </cfRule>
    <cfRule type="cellIs" dxfId="0" priority="8631" operator="equal">
      <formula>"欠"</formula>
    </cfRule>
  </conditionalFormatting>
  <conditionalFormatting sqref="R1182 T1182:U1182 R1671">
    <cfRule type="containsText" dxfId="0" priority="8625" operator="between" text="欠">
      <formula>NOT(ISERROR(SEARCH("欠",R1182)))</formula>
    </cfRule>
  </conditionalFormatting>
  <conditionalFormatting sqref="S1182 S1671">
    <cfRule type="cellIs" dxfId="0" priority="8633" operator="equal">
      <formula>"欠"</formula>
    </cfRule>
  </conditionalFormatting>
  <conditionalFormatting sqref="AN1182 AN1275">
    <cfRule type="cellIs" dxfId="0" priority="8627" operator="equal">
      <formula>"欠"</formula>
    </cfRule>
  </conditionalFormatting>
  <conditionalFormatting sqref="S1188 S1231:S1232">
    <cfRule type="cellIs" dxfId="0" priority="5889" operator="equal">
      <formula>"欠"</formula>
    </cfRule>
  </conditionalFormatting>
  <conditionalFormatting sqref="T1188:U1188 T1231:U1232">
    <cfRule type="containsText" dxfId="0" priority="5888" operator="between" text="欠">
      <formula>NOT(ISERROR(SEARCH("欠",T1188)))</formula>
    </cfRule>
    <cfRule type="cellIs" dxfId="0" priority="5891" operator="equal">
      <formula>"欠"</formula>
    </cfRule>
  </conditionalFormatting>
  <conditionalFormatting sqref="R1189:R1190 T1189:U1190">
    <cfRule type="containsText" dxfId="0" priority="5898" operator="between" text="欠">
      <formula>NOT(ISERROR(SEARCH("欠",R1189)))</formula>
    </cfRule>
  </conditionalFormatting>
  <conditionalFormatting sqref="S1189:S1190 S1203">
    <cfRule type="cellIs" dxfId="0" priority="5903" operator="equal">
      <formula>"欠"</formula>
    </cfRule>
  </conditionalFormatting>
  <conditionalFormatting sqref="T1189:U1190">
    <cfRule type="containsText" dxfId="0" priority="5901" operator="between" text="欠">
      <formula>NOT(ISERROR(SEARCH("欠",T1189)))</formula>
    </cfRule>
    <cfRule type="cellIs" dxfId="0" priority="5902" operator="equal">
      <formula>"欠"</formula>
    </cfRule>
  </conditionalFormatting>
  <conditionalFormatting sqref="AL1189:AM1190">
    <cfRule type="cellIs" dxfId="1" priority="8165" operator="equal">
      <formula>"未完成"</formula>
    </cfRule>
    <cfRule type="cellIs" dxfId="0" priority="8166" operator="equal">
      <formula>"未完成"</formula>
    </cfRule>
  </conditionalFormatting>
  <conditionalFormatting sqref="R1191 R1286 R1329 R1338 R1432">
    <cfRule type="containsText" dxfId="0" priority="5937" operator="between" text="欠">
      <formula>NOT(ISERROR(SEARCH("欠",R1191)))</formula>
    </cfRule>
    <cfRule type="cellIs" dxfId="0" priority="5938" operator="equal">
      <formula>"欠"</formula>
    </cfRule>
  </conditionalFormatting>
  <conditionalFormatting sqref="R1191 T1191:U1191 R1202 R1205:R1210 T1205:U1210 R1217 T1217:U1218 R1220 T1220:U1220 T1229:U1229 T1233:U1233 R1234 T1234:U1234 R1237 T1237:U1237 R1240 T1240:U1240 R1243 T1243:U1243 T1248:U1249 T1252:U1252 R1264 T1264:U1264 T1266:U1266 R1267:R1268 T1267:U1268 R1271 T1271:U1271 R1273:R1274 T1273:U1274 T1279:U1279 R1285:R1290 T1285:U1290 T1294:U1294 T1297:U1297 R1300 T1300:U1300 R1307 T1307:U1308 R1312:R1315 T1312:U1315 R1322 T1322:U1322 R1329 T1329:U1329 R1338 T1338:U1338 R1341:R1344 T1345:U1345 T1379:U1379 T1382:U1382 R1390 T1390:U1390 R1434 T1434:U1434 R1462 T1462:U1462 T1588:U1588 T1646:U1646 T1692:U1692 T1694:U1694 T1897:U1897 T2058">
    <cfRule type="containsText" dxfId="0" priority="5924" operator="between" text="欠">
      <formula>NOT(ISERROR(SEARCH("欠",R1191)))</formula>
    </cfRule>
  </conditionalFormatting>
  <conditionalFormatting sqref="S1191:U1191 S1266:U1266 S1286:U1286 S1294:U1294 T1312:U1315 S1329:U1329 S1338:U1338 S1432:U1432">
    <cfRule type="cellIs" dxfId="0" priority="5940" operator="equal">
      <formula>"欠"</formula>
    </cfRule>
  </conditionalFormatting>
  <conditionalFormatting sqref="T1191:U1191 T1266:U1266 T1286:U1286 T1294:U1294 T1312:U1315 T1329:U1329 T1338:U1338 T1432:U1432">
    <cfRule type="containsText" dxfId="0" priority="5939" operator="between" text="欠">
      <formula>NOT(ISERROR(SEARCH("欠",T1191)))</formula>
    </cfRule>
  </conditionalFormatting>
  <conditionalFormatting sqref="R1192:R1193 R1195">
    <cfRule type="containsText" dxfId="0" priority="5880" operator="between" text="欠">
      <formula>NOT(ISERROR(SEARCH("欠",R1192)))</formula>
    </cfRule>
    <cfRule type="cellIs" dxfId="0" priority="5882" operator="equal">
      <formula>"欠"</formula>
    </cfRule>
  </conditionalFormatting>
  <conditionalFormatting sqref="S1192:S1193 S1195 S1215">
    <cfRule type="cellIs" dxfId="0" priority="5884" operator="equal">
      <formula>"欠"</formula>
    </cfRule>
  </conditionalFormatting>
  <conditionalFormatting sqref="T1192:U1193 T1195:U1195 T1215:U1215">
    <cfRule type="containsText" dxfId="0" priority="5876" operator="between" text="欠">
      <formula>NOT(ISERROR(SEARCH("欠",T1192)))</formula>
    </cfRule>
    <cfRule type="cellIs" dxfId="0" priority="5878" operator="equal">
      <formula>"欠"</formula>
    </cfRule>
  </conditionalFormatting>
  <conditionalFormatting sqref="V1192:V1193 V1195 V1215">
    <cfRule type="cellIs" dxfId="0" priority="8070" operator="equal">
      <formula>"欠"</formula>
    </cfRule>
  </conditionalFormatting>
  <conditionalFormatting sqref="AM1192:AM1193 AM1195 AL1215:AM1215">
    <cfRule type="cellIs" dxfId="1" priority="8072" operator="equal">
      <formula>"未完成"</formula>
    </cfRule>
    <cfRule type="cellIs" dxfId="0" priority="8074" operator="equal">
      <formula>"未完成"</formula>
    </cfRule>
  </conditionalFormatting>
  <conditionalFormatting sqref="R1197 T1197:U1197">
    <cfRule type="containsText" dxfId="0" priority="7299" operator="between" text="欠">
      <formula>NOT(ISERROR(SEARCH("欠",R1197)))</formula>
    </cfRule>
  </conditionalFormatting>
  <conditionalFormatting sqref="S1197 S1435 S1618 S1630 S2082">
    <cfRule type="cellIs" dxfId="0" priority="7665" operator="equal">
      <formula>"欠"</formula>
    </cfRule>
  </conditionalFormatting>
  <conditionalFormatting sqref="R1198:R1201 R1238:R1239 R1275">
    <cfRule type="containsText" dxfId="0" priority="5893" operator="between" text="欠">
      <formula>NOT(ISERROR(SEARCH("欠",R1198)))</formula>
    </cfRule>
    <cfRule type="cellIs" dxfId="0" priority="5894" operator="equal">
      <formula>"欠"</formula>
    </cfRule>
  </conditionalFormatting>
  <conditionalFormatting sqref="R1198:R1201 T1198:U1201 R1238:R1239 T1238:U1239 R1275 T1275:U1275 T1301:U1302">
    <cfRule type="containsText" dxfId="0" priority="5892" operator="between" text="欠">
      <formula>NOT(ISERROR(SEARCH("欠",R1198)))</formula>
    </cfRule>
  </conditionalFormatting>
  <conditionalFormatting sqref="S1198:S1201 S1238:S1239 S1275 S1301:S1305 S1596 S1602:S1607 S2050:S2051">
    <cfRule type="cellIs" dxfId="0" priority="5897" operator="equal">
      <formula>"欠"</formula>
    </cfRule>
  </conditionalFormatting>
  <conditionalFormatting sqref="T1198:U1201 T1238:U1239 T1275:U1275 T1301:U1302">
    <cfRule type="containsText" dxfId="0" priority="5895" operator="between" text="欠">
      <formula>NOT(ISERROR(SEARCH("欠",T1198)))</formula>
    </cfRule>
    <cfRule type="cellIs" dxfId="0" priority="5896" operator="equal">
      <formula>"欠"</formula>
    </cfRule>
  </conditionalFormatting>
  <conditionalFormatting sqref="R1205:R1206 R1202 R1312:R1315 R1341:R1344">
    <cfRule type="containsText" dxfId="0" priority="5954" operator="between" text="欠">
      <formula>NOT(ISERROR(SEARCH("欠",R1202)))</formula>
    </cfRule>
    <cfRule type="cellIs" dxfId="0" priority="5955" operator="equal">
      <formula>"欠"</formula>
    </cfRule>
  </conditionalFormatting>
  <conditionalFormatting sqref="R1202 R1205:R1206 T1207:U1208 T1217:U1218 T1220:U1220 T1229:U1229 T1237:U1237 T1240:U1240 T1243:U1243 T1252:U1252 T1264:U1264 T1267:U1268 T1273:U1274 T1285:U1285 T1297:U1297 T1300:U1300 T1307:U1308 R1312:R1315 T1322:U1322 R1341:R1344 T1381:U1381 T1389:U1389 T1897:U1897 T2058">
    <cfRule type="containsText" dxfId="0" priority="5961" operator="between" text="欠">
      <formula>NOT(ISERROR(SEARCH("欠",R1202)))</formula>
    </cfRule>
  </conditionalFormatting>
  <conditionalFormatting sqref="S1205:S1206 S1202 S1312:S1315">
    <cfRule type="cellIs" dxfId="0" priority="5820" operator="equal">
      <formula>"欠"</formula>
    </cfRule>
  </conditionalFormatting>
  <conditionalFormatting sqref="T1202:U1202 T1205:U1206">
    <cfRule type="containsText" dxfId="0" priority="5817" operator="between" text="欠">
      <formula>NOT(ISERROR(SEARCH("欠",T1202)))</formula>
    </cfRule>
    <cfRule type="cellIs" dxfId="0" priority="5824" operator="equal">
      <formula>"欠"</formula>
    </cfRule>
  </conditionalFormatting>
  <conditionalFormatting sqref="R1204 R1276 R1225:R1226 R1253 R1323">
    <cfRule type="containsText" dxfId="0" priority="5870" operator="between" text="欠">
      <formula>NOT(ISERROR(SEARCH("欠",R1204)))</formula>
    </cfRule>
    <cfRule type="cellIs" dxfId="0" priority="5871" operator="equal">
      <formula>"欠"</formula>
    </cfRule>
  </conditionalFormatting>
  <conditionalFormatting sqref="R1204 T1204:U1204 T1216:U1216 R1225:R1226 T1225:U1226 R1253 T1253:U1253 R1276 T1276:U1276 R1323 T1323:U1323">
    <cfRule type="containsText" dxfId="0" priority="5869" operator="between" text="欠">
      <formula>NOT(ISERROR(SEARCH("欠",R1204)))</formula>
    </cfRule>
  </conditionalFormatting>
  <conditionalFormatting sqref="S1204 S1225:S1226 S1253 S1276 S1323">
    <cfRule type="cellIs" dxfId="0" priority="5872" operator="equal">
      <formula>"欠"</formula>
    </cfRule>
  </conditionalFormatting>
  <conditionalFormatting sqref="T1204:U1204 T1216:U1216 T1225:U1226 T1253:U1253 T1276:U1276 T1323:U1323">
    <cfRule type="containsText" dxfId="0" priority="5873" operator="between" text="欠">
      <formula>NOT(ISERROR(SEARCH("欠",T1204)))</formula>
    </cfRule>
    <cfRule type="cellIs" dxfId="0" priority="5874" operator="equal">
      <formula>"欠"</formula>
    </cfRule>
  </conditionalFormatting>
  <conditionalFormatting sqref="V1204 V1276">
    <cfRule type="cellIs" dxfId="0" priority="8043" operator="equal">
      <formula>"欠"</formula>
    </cfRule>
  </conditionalFormatting>
  <conditionalFormatting sqref="AL1204:AM1204 AL1276:AM1276">
    <cfRule type="cellIs" dxfId="1" priority="8044" operator="equal">
      <formula>"未完成"</formula>
    </cfRule>
    <cfRule type="cellIs" dxfId="0" priority="8045" operator="equal">
      <formula>"未完成"</formula>
    </cfRule>
  </conditionalFormatting>
  <conditionalFormatting sqref="AN1204 AN1211 AN1225:AN1226 AN1253 AN1276 AN1318:AN1320 AN1323 AN1330 AN1363 AN1406 AN1431 AN1443">
    <cfRule type="cellIs" dxfId="0" priority="8049" operator="equal">
      <formula>"欠"</formula>
    </cfRule>
  </conditionalFormatting>
  <conditionalFormatting sqref="V1205:V1206 V1234 V1310">
    <cfRule type="cellIs" dxfId="0" priority="9552" operator="equal">
      <formula>"欠"</formula>
    </cfRule>
  </conditionalFormatting>
  <conditionalFormatting sqref="AL1205:AM1206 AL1234:AM1234 AL1310:AM1310">
    <cfRule type="cellIs" dxfId="1" priority="9553" operator="equal">
      <formula>"未完成"</formula>
    </cfRule>
    <cfRule type="cellIs" dxfId="0" priority="9554" operator="equal">
      <formula>"未完成"</formula>
    </cfRule>
  </conditionalFormatting>
  <conditionalFormatting sqref="R1207:R1208 R1217 R1220 R1237 R1240 R1243 R1264 R1267:R1268 R1273:R1274 R1285 R1300 R1307 R1322 R1389">
    <cfRule type="containsText" dxfId="0" priority="5947" operator="between" text="欠">
      <formula>NOT(ISERROR(SEARCH("欠",R1207)))</formula>
    </cfRule>
    <cfRule type="cellIs" dxfId="0" priority="5948" operator="equal">
      <formula>"欠"</formula>
    </cfRule>
  </conditionalFormatting>
  <conditionalFormatting sqref="S1273:S1274 S1243 S1240 S1237 S1217 S1220 S1267:S1268 S1207:S1208 S1252 S1285 S1307 S1300">
    <cfRule type="cellIs" dxfId="0" priority="5969" operator="equal">
      <formula>"欠"</formula>
    </cfRule>
  </conditionalFormatting>
  <conditionalFormatting sqref="T1207:U1208 T1217:U1218 T1220:U1220 T1237:U1237 T1240:U1240 T1243:U1243 T1252:U1252 T1264:U1264 T1267:U1268 T1273:U1274 T1285:U1285 T1300:U1300 T1307:U1307 T1322:U1322 T1389:U1389">
    <cfRule type="containsText" dxfId="0" priority="5967" operator="between" text="欠">
      <formula>NOT(ISERROR(SEARCH("欠",T1207)))</formula>
    </cfRule>
    <cfRule type="cellIs" dxfId="0" priority="5968" operator="equal">
      <formula>"欠"</formula>
    </cfRule>
  </conditionalFormatting>
  <conditionalFormatting sqref="T1207:U1208 T1217:U1218 T1220:U1220 T1229:U1229 T1237:U1237 T1240:U1240 T1243:U1243 T1252:U1252 T1264:U1264 T1267:U1268 T1273:U1274 T1285:U1285 T1297:U1297 T1300:U1300 T1307:U1308 T1322:U1322 T1381:U1381 T1389:U1389 T1897:U1897 T2058">
    <cfRule type="containsText" dxfId="0" priority="5962" operator="between" text="欠">
      <formula>NOT(ISERROR(SEARCH("欠",T1207)))</formula>
    </cfRule>
  </conditionalFormatting>
  <conditionalFormatting sqref="T1207:U1208 T1217:U1218 T1220:U1220 T1229:U1229 T1237:U1237 T1240:U1240 T1243:U1243 T1248:U1249 T1252:U1252 T1264:U1264 T1267:U1268 T1273:U1274 T1285:U1285 T1290:U1290 T1297:U1297 T1300:U1300 T1307:U1308 T1322:U1322 T1378:U1378 T1381:U1381 T1389:U1389 T1454:U1454 T1616:U1616 T1719:U1720 T1897:U1897 T2058">
    <cfRule type="containsText" dxfId="0" priority="5953" operator="between" text="欠">
      <formula>NOT(ISERROR(SEARCH("欠",T1207)))</formula>
    </cfRule>
  </conditionalFormatting>
  <conditionalFormatting sqref="T1209:U1210">
    <cfRule type="containsText" dxfId="0" priority="5931" operator="between" text="欠">
      <formula>NOT(ISERROR(SEARCH("欠",T1209)))</formula>
    </cfRule>
    <cfRule type="cellIs" dxfId="0" priority="5932" operator="equal">
      <formula>"欠"</formula>
    </cfRule>
  </conditionalFormatting>
  <conditionalFormatting sqref="R1211 R1218:R1219">
    <cfRule type="containsText" dxfId="0" priority="5864" operator="between" text="欠">
      <formula>NOT(ISERROR(SEARCH("欠",R1211)))</formula>
    </cfRule>
    <cfRule type="cellIs" dxfId="0" priority="5865" operator="equal">
      <formula>"欠"</formula>
    </cfRule>
  </conditionalFormatting>
  <conditionalFormatting sqref="R1211 T1211:U1211 R1218:R1219 T1219:U1219 T1282:U1282">
    <cfRule type="containsText" dxfId="0" priority="5863" operator="between" text="欠">
      <formula>NOT(ISERROR(SEARCH("欠",R1211)))</formula>
    </cfRule>
  </conditionalFormatting>
  <conditionalFormatting sqref="R1212 R1224">
    <cfRule type="containsText" dxfId="0" priority="5834" operator="between" text="欠">
      <formula>NOT(ISERROR(SEARCH("欠",R1212)))</formula>
    </cfRule>
    <cfRule type="cellIs" dxfId="0" priority="5835" operator="equal">
      <formula>"欠"</formula>
    </cfRule>
  </conditionalFormatting>
  <conditionalFormatting sqref="R1212 T1212:U1212 R1224 T1224:U1224">
    <cfRule type="containsText" dxfId="0" priority="5832" operator="between" text="欠">
      <formula>NOT(ISERROR(SEARCH("欠",R1212)))</formula>
    </cfRule>
  </conditionalFormatting>
  <conditionalFormatting sqref="S1224 S1212 S1321">
    <cfRule type="cellIs" dxfId="0" priority="5833" operator="equal">
      <formula>"欠"</formula>
    </cfRule>
  </conditionalFormatting>
  <conditionalFormatting sqref="T1212:U1212 T1224:U1224">
    <cfRule type="cellIs" dxfId="0" priority="5836" operator="equal">
      <formula>"欠"</formula>
    </cfRule>
  </conditionalFormatting>
  <conditionalFormatting sqref="V1212 V1224:V1226">
    <cfRule type="cellIs" dxfId="0" priority="7939" operator="equal">
      <formula>"欠"</formula>
    </cfRule>
  </conditionalFormatting>
  <conditionalFormatting sqref="AL1212:AM1212 AL1224:AM1226">
    <cfRule type="cellIs" dxfId="1" priority="7940" operator="equal">
      <formula>"未完成"</formula>
    </cfRule>
    <cfRule type="cellIs" dxfId="0" priority="7941" operator="equal">
      <formula>"未完成"</formula>
    </cfRule>
  </conditionalFormatting>
  <conditionalFormatting sqref="AN1212 AN1224">
    <cfRule type="cellIs" dxfId="0" priority="7942" operator="equal">
      <formula>"欠"</formula>
    </cfRule>
  </conditionalFormatting>
  <conditionalFormatting sqref="T1221:T1222 T1227:T1228 T1230 R1269 R1246:R1251 R1227:R1230 T1213 R1297 R1379 R1646 R1706">
    <cfRule type="containsText" dxfId="0" priority="5919" operator="between" text="欠">
      <formula>NOT(ISERROR(SEARCH("欠",R1213)))</formula>
    </cfRule>
  </conditionalFormatting>
  <conditionalFormatting sqref="T1213:U1213 T1221:U1222 T1227:U1228 T1230:U1230">
    <cfRule type="cellIs" dxfId="0" priority="5923" operator="equal">
      <formula>"欠"</formula>
    </cfRule>
  </conditionalFormatting>
  <conditionalFormatting sqref="V1213 V1235:V1236 V1241:V1242">
    <cfRule type="cellIs" dxfId="0" priority="7993" operator="equal">
      <formula>"欠"</formula>
    </cfRule>
  </conditionalFormatting>
  <conditionalFormatting sqref="AG1213:AH1213 AG1235:AG1236 AG1241:AH1241 AH1242">
    <cfRule type="cellIs" dxfId="0" priority="7995" operator="equal">
      <formula>"未完成"</formula>
    </cfRule>
  </conditionalFormatting>
  <conditionalFormatting sqref="AJ1213 AJ1227:AJ1230 AJ1241:AJ1242 AJ1272 AJ1277 AJ1297 AJ1424:AJ1425 AJ1537:AJ1538 AJ1724 AJ1897 AJ2058">
    <cfRule type="cellIs" dxfId="0" priority="7292" operator="equal">
      <formula>"未完成"</formula>
    </cfRule>
  </conditionalFormatting>
  <conditionalFormatting sqref="AL1213:AM1213 AM1235 AL1236:AM1236 AL1241:AM1241">
    <cfRule type="cellIs" dxfId="1" priority="7996" operator="equal">
      <formula>"未完成"</formula>
    </cfRule>
    <cfRule type="cellIs" dxfId="0" priority="7997" operator="equal">
      <formula>"未完成"</formula>
    </cfRule>
  </conditionalFormatting>
  <conditionalFormatting sqref="AN1213 AN1235:AN1236 AN1241">
    <cfRule type="cellIs" dxfId="0" priority="7999" operator="equal">
      <formula>"欠"</formula>
    </cfRule>
  </conditionalFormatting>
  <conditionalFormatting sqref="R1214 T1214:U1214">
    <cfRule type="containsText" dxfId="0" priority="5664" operator="between" text="欠">
      <formula>NOT(ISERROR(SEARCH("欠",R1214)))</formula>
    </cfRule>
  </conditionalFormatting>
  <conditionalFormatting sqref="S1218 S1264 S1322 S1389">
    <cfRule type="cellIs" dxfId="0" priority="5949" operator="equal">
      <formula>"欠"</formula>
    </cfRule>
  </conditionalFormatting>
  <conditionalFormatting sqref="S1219 S1282">
    <cfRule type="cellIs" dxfId="0" priority="5821" operator="equal">
      <formula>"欠"</formula>
    </cfRule>
  </conditionalFormatting>
  <conditionalFormatting sqref="T1219:U1219 T1282:U1282">
    <cfRule type="containsText" dxfId="0" priority="5867" operator="between" text="欠">
      <formula>NOT(ISERROR(SEARCH("欠",T1219)))</formula>
    </cfRule>
    <cfRule type="cellIs" dxfId="0" priority="5868" operator="equal">
      <formula>"欠"</formula>
    </cfRule>
  </conditionalFormatting>
  <conditionalFormatting sqref="S1221:S1223 S1227:S1228 S1230 S1246:S1247 S1269 S1391 S1631">
    <cfRule type="cellIs" dxfId="0" priority="5920" operator="equal">
      <formula>"欠"</formula>
    </cfRule>
  </conditionalFormatting>
  <conditionalFormatting sqref="V1221:V1223 V1227:V1230">
    <cfRule type="cellIs" dxfId="0" priority="8766" operator="equal">
      <formula>"欠"</formula>
    </cfRule>
  </conditionalFormatting>
  <conditionalFormatting sqref="AL1221:AM1223 AL1227:AM1230">
    <cfRule type="cellIs" dxfId="1" priority="8767" operator="equal">
      <formula>"未完成"</formula>
    </cfRule>
    <cfRule type="cellIs" dxfId="0" priority="8768" operator="equal">
      <formula>"未完成"</formula>
    </cfRule>
  </conditionalFormatting>
  <conditionalFormatting sqref="AN1223 AN1227:AN1230 AN1297 AN1337 AN1381">
    <cfRule type="cellIs" dxfId="0" priority="8769" operator="equal">
      <formula>"欠"</formula>
    </cfRule>
  </conditionalFormatting>
  <conditionalFormatting sqref="R1227:R1230 R1246:R1251 R1269 R1297 R1378 R1616 R1719">
    <cfRule type="containsText" dxfId="0" priority="5921" operator="between" text="欠">
      <formula>NOT(ISERROR(SEARCH("欠",R1227)))</formula>
    </cfRule>
    <cfRule type="cellIs" dxfId="0" priority="5922" operator="equal">
      <formula>"欠"</formula>
    </cfRule>
  </conditionalFormatting>
  <conditionalFormatting sqref="S1229:U1229 S1244 S1248:S1249 S1271 S1287:S1289 S1297:U1297 S1308:U1308 S1345 S1356:S1357 S1378 S1381:S1387 S1572 S1616 S1633:S1640 S1719 S1897:U1897 S2058:T2058">
    <cfRule type="cellIs" dxfId="0" priority="5964" operator="equal">
      <formula>"欠"</formula>
    </cfRule>
  </conditionalFormatting>
  <conditionalFormatting sqref="AL1231:AM1233">
    <cfRule type="cellIs" dxfId="1" priority="7098" operator="equal">
      <formula>"未完成"</formula>
    </cfRule>
    <cfRule type="cellIs" dxfId="0" priority="7099" operator="equal">
      <formula>"未完成"</formula>
    </cfRule>
  </conditionalFormatting>
  <conditionalFormatting sqref="R1235:R1236 R1241:R1242">
    <cfRule type="containsText" dxfId="0" priority="5849" operator="between" text="欠">
      <formula>NOT(ISERROR(SEARCH("欠",R1235)))</formula>
    </cfRule>
  </conditionalFormatting>
  <conditionalFormatting sqref="R1235:R1236 T1235:U1236 R1241:R1242 T1241:U1242">
    <cfRule type="containsText" dxfId="0" priority="5847" operator="between" text="欠">
      <formula>NOT(ISERROR(SEARCH("欠",R1235)))</formula>
    </cfRule>
    <cfRule type="cellIs" dxfId="0" priority="5850" operator="equal">
      <formula>"欠"</formula>
    </cfRule>
  </conditionalFormatting>
  <conditionalFormatting sqref="S1235:S1236 S1241:S1242">
    <cfRule type="cellIs" dxfId="0" priority="5851" operator="equal">
      <formula>"欠"</formula>
    </cfRule>
  </conditionalFormatting>
  <conditionalFormatting sqref="T1235:U1236 T1241:U1242">
    <cfRule type="containsText" dxfId="0" priority="5848" operator="between" text="欠">
      <formula>NOT(ISERROR(SEARCH("欠",T1235)))</formula>
    </cfRule>
  </conditionalFormatting>
  <conditionalFormatting sqref="R1244 T1244:U1244">
    <cfRule type="containsText" dxfId="0" priority="5805" operator="between" text="欠">
      <formula>NOT(ISERROR(SEARCH("欠",R1244)))</formula>
    </cfRule>
  </conditionalFormatting>
  <conditionalFormatting sqref="R1245 T1245:U1247 T1269:U1269">
    <cfRule type="containsText" dxfId="0" priority="5799" operator="between" text="欠">
      <formula>NOT(ISERROR(SEARCH("欠",R1245)))</formula>
    </cfRule>
  </conditionalFormatting>
  <conditionalFormatting sqref="T1245:U1247 T1269:U1269">
    <cfRule type="containsText" dxfId="0" priority="5803" operator="between" text="欠">
      <formula>NOT(ISERROR(SEARCH("欠",T1245)))</formula>
    </cfRule>
    <cfRule type="cellIs" dxfId="0" priority="5804" operator="equal">
      <formula>"欠"</formula>
    </cfRule>
  </conditionalFormatting>
  <conditionalFormatting sqref="AL1245:AM1246">
    <cfRule type="cellIs" dxfId="1" priority="7234" operator="equal">
      <formula>"未完成"</formula>
    </cfRule>
    <cfRule type="cellIs" dxfId="0" priority="7235" operator="equal">
      <formula>"未完成"</formula>
    </cfRule>
  </conditionalFormatting>
  <conditionalFormatting sqref="V1247:V1251 V1269">
    <cfRule type="cellIs" dxfId="0" priority="7141" operator="equal">
      <formula>"欠"</formula>
    </cfRule>
  </conditionalFormatting>
  <conditionalFormatting sqref="AL1247:AM1251 AL1269:AM1269">
    <cfRule type="cellIs" dxfId="1" priority="7142" operator="equal">
      <formula>"未完成"</formula>
    </cfRule>
    <cfRule type="cellIs" dxfId="0" priority="7143" operator="equal">
      <formula>"未完成"</formula>
    </cfRule>
  </conditionalFormatting>
  <conditionalFormatting sqref="AN1247:AN1251 AN1269">
    <cfRule type="cellIs" dxfId="0" priority="7145" operator="equal">
      <formula>"欠"</formula>
    </cfRule>
  </conditionalFormatting>
  <conditionalFormatting sqref="T1248:U1249 T1378:U1378 T1616:U1616 T1719:U1720">
    <cfRule type="containsText" dxfId="0" priority="5959" operator="between" text="欠">
      <formula>NOT(ISERROR(SEARCH("欠",T1248)))</formula>
    </cfRule>
    <cfRule type="cellIs" dxfId="0" priority="5960" operator="equal">
      <formula>"欠"</formula>
    </cfRule>
  </conditionalFormatting>
  <conditionalFormatting sqref="T1250:U1251">
    <cfRule type="containsText" dxfId="0" priority="5816" operator="between" text="欠">
      <formula>NOT(ISERROR(SEARCH("欠",T1250)))</formula>
    </cfRule>
    <cfRule type="cellIs" dxfId="0" priority="5823" operator="equal">
      <formula>"欠"</formula>
    </cfRule>
  </conditionalFormatting>
  <conditionalFormatting sqref="R1255:R1256 R1309:R1310">
    <cfRule type="containsText" dxfId="0" priority="5811" operator="between" text="欠">
      <formula>NOT(ISERROR(SEARCH("欠",R1255)))</formula>
    </cfRule>
    <cfRule type="cellIs" dxfId="0" priority="5812" operator="equal">
      <formula>"欠"</formula>
    </cfRule>
  </conditionalFormatting>
  <conditionalFormatting sqref="R1255:R1256 T1255:U1256 R1309:R1310 T1309:U1310">
    <cfRule type="containsText" dxfId="0" priority="5810" operator="between" text="欠">
      <formula>NOT(ISERROR(SEARCH("欠",R1255)))</formula>
    </cfRule>
  </conditionalFormatting>
  <conditionalFormatting sqref="S1255:S1256 S1309:S1310">
    <cfRule type="cellIs" dxfId="0" priority="5813" operator="equal">
      <formula>"欠"</formula>
    </cfRule>
  </conditionalFormatting>
  <conditionalFormatting sqref="T1255:U1256 T1309:U1310">
    <cfRule type="containsText" dxfId="0" priority="5814" operator="between" text="欠">
      <formula>NOT(ISERROR(SEARCH("欠",T1255)))</formula>
    </cfRule>
    <cfRule type="cellIs" dxfId="0" priority="5815" operator="equal">
      <formula>"欠"</formula>
    </cfRule>
  </conditionalFormatting>
  <conditionalFormatting sqref="Q1257:Q1259 Q1266 Q1272 Q1278:Q1280 Q1292:Q1295 Q1522 Q1719">
    <cfRule type="cellIs" dxfId="0" priority="7987" operator="equal">
      <formula>"欠"</formula>
    </cfRule>
  </conditionalFormatting>
  <conditionalFormatting sqref="R1257:R1259 R1265 R1278:R1280 R1291:R1293 R1295:R1296 R1336 R1340 R1367:R1368 R1439:R1442 R1446:R1447 R1450:R1451 R1453 R1458 R1497 R1521 R1550:R1551 R1555 R1557 R1652:R1653 R1749">
    <cfRule type="containsText" dxfId="0" priority="5842" operator="between" text="欠">
      <formula>NOT(ISERROR(SEARCH("欠",R1257)))</formula>
    </cfRule>
    <cfRule type="cellIs" dxfId="0" priority="5843" operator="equal">
      <formula>"欠"</formula>
    </cfRule>
  </conditionalFormatting>
  <conditionalFormatting sqref="S1257:S1259 S1265 S1278:S1279 S1291:S1293 S1295 S1336 S1340 S1367:S1368 S1434 S1439:S1442 S1446:S1447 S1450:S1451 S1453 S1458 S1497 S1522 S1545 S1555 S1627:S1628 S1652">
    <cfRule type="cellIs" dxfId="0" priority="5846" operator="equal">
      <formula>"欠"</formula>
    </cfRule>
  </conditionalFormatting>
  <conditionalFormatting sqref="T1257:U1259 T1265:U1265 T1278:U1278 T1280:U1280 T1291:U1293 T1295:U1296 T1522:U1522">
    <cfRule type="containsText" dxfId="0" priority="5844" operator="between" text="欠">
      <formula>NOT(ISERROR(SEARCH("欠",T1257)))</formula>
    </cfRule>
    <cfRule type="cellIs" dxfId="0" priority="5845" operator="equal">
      <formula>"欠"</formula>
    </cfRule>
  </conditionalFormatting>
  <conditionalFormatting sqref="V1257:V1259 V1266 V1272 V1278:V1280 V1292:V1295 V1522 V1719">
    <cfRule type="cellIs" dxfId="0" priority="7983" operator="equal">
      <formula>"欠"</formula>
    </cfRule>
  </conditionalFormatting>
  <conditionalFormatting sqref="AL1257:AL1259 AL1265:AL1266 AL1272 AL1278:AL1280 AL1291:AL1296 AL1522 AL1719">
    <cfRule type="cellIs" dxfId="1" priority="7985" operator="equal">
      <formula>"未完成"</formula>
    </cfRule>
    <cfRule type="cellIs" dxfId="0" priority="7986" operator="equal">
      <formula>"未完成"</formula>
    </cfRule>
  </conditionalFormatting>
  <conditionalFormatting sqref="AM1257:AM1259 AM1266 AM1272 AM1278:AM1280 AM1292:AM1296 AM1522 AM1719">
    <cfRule type="cellIs" dxfId="0" priority="7984" operator="equal">
      <formula>"欠"</formula>
    </cfRule>
  </conditionalFormatting>
  <conditionalFormatting sqref="R1260:R1263 R1284">
    <cfRule type="containsText" dxfId="0" priority="5914" operator="between" text="欠">
      <formula>NOT(ISERROR(SEARCH("欠",R1260)))</formula>
    </cfRule>
    <cfRule type="cellIs" dxfId="0" priority="5915" operator="equal">
      <formula>"欠"</formula>
    </cfRule>
  </conditionalFormatting>
  <conditionalFormatting sqref="R1260:R1263 T1260:U1263 R1284 T1284:U1284">
    <cfRule type="containsText" dxfId="0" priority="5913" operator="between" text="欠">
      <formula>NOT(ISERROR(SEARCH("欠",R1260)))</formula>
    </cfRule>
  </conditionalFormatting>
  <conditionalFormatting sqref="S1260:S1263 S1284">
    <cfRule type="cellIs" dxfId="0" priority="5918" operator="equal">
      <formula>"欠"</formula>
    </cfRule>
  </conditionalFormatting>
  <conditionalFormatting sqref="T1260:U1263 T1284:U1284">
    <cfRule type="containsText" dxfId="0" priority="5916" operator="between" text="欠">
      <formula>NOT(ISERROR(SEARCH("欠",T1260)))</formula>
    </cfRule>
    <cfRule type="cellIs" dxfId="0" priority="5917" operator="equal">
      <formula>"欠"</formula>
    </cfRule>
  </conditionalFormatting>
  <conditionalFormatting sqref="V1265 V1271 V1287:V1290">
    <cfRule type="cellIs" dxfId="0" priority="9712" operator="equal">
      <formula>"欠"</formula>
    </cfRule>
  </conditionalFormatting>
  <conditionalFormatting sqref="AM1265 AL1271:AM1271 AL1287:AM1290">
    <cfRule type="cellIs" dxfId="1" priority="9713" operator="equal">
      <formula>"未完成"</formula>
    </cfRule>
    <cfRule type="cellIs" dxfId="0" priority="9714" operator="equal">
      <formula>"未完成"</formula>
    </cfRule>
  </conditionalFormatting>
  <conditionalFormatting sqref="R1266 R1294">
    <cfRule type="containsText" dxfId="0" priority="5556" operator="between" text="欠">
      <formula>NOT(ISERROR(SEARCH("欠",R1266)))</formula>
    </cfRule>
    <cfRule type="cellIs" dxfId="0" priority="5557" operator="equal">
      <formula>"欠"</formula>
    </cfRule>
  </conditionalFormatting>
  <conditionalFormatting sqref="AJ1266 AJ1294:AJ1296 AJ1434 AJ1627:AJ1628 AJ1723">
    <cfRule type="cellIs" dxfId="0" priority="7012" operator="equal">
      <formula>"未完成"</formula>
    </cfRule>
  </conditionalFormatting>
  <conditionalFormatting sqref="AJ1269 AJ1361 AJ1417 AJ1420 AJ1460 AJ1518:AJ1519 AJ1553 AJ1566 AJ1580:AJ1581 AJ1674:AJ1675 AJ1904:AJ1905 AJ1912:AJ1913 AJ1961:AJ1962 AJ2103:AJ2108">
    <cfRule type="cellIs" dxfId="0" priority="7073" operator="equal">
      <formula>"未完成"</formula>
    </cfRule>
  </conditionalFormatting>
  <conditionalFormatting sqref="R1270 T1270:U1270">
    <cfRule type="containsText" dxfId="0" priority="5633" operator="between" text="欠">
      <formula>NOT(ISERROR(SEARCH("欠",R1270)))</formula>
    </cfRule>
  </conditionalFormatting>
  <conditionalFormatting sqref="R1271 R1287:R1290 R1454">
    <cfRule type="containsText" dxfId="0" priority="5933" operator="between" text="欠">
      <formula>NOT(ISERROR(SEARCH("欠",R1271)))</formula>
    </cfRule>
    <cfRule type="cellIs" dxfId="0" priority="5934" operator="equal">
      <formula>"欠"</formula>
    </cfRule>
  </conditionalFormatting>
  <conditionalFormatting sqref="T1271:U1271 T1287:U1289 T1345:U1345 T1572:U1572">
    <cfRule type="containsText" dxfId="0" priority="5935" operator="between" text="欠">
      <formula>NOT(ISERROR(SEARCH("欠",T1271)))</formula>
    </cfRule>
    <cfRule type="cellIs" dxfId="0" priority="5936" operator="equal">
      <formula>"欠"</formula>
    </cfRule>
  </conditionalFormatting>
  <conditionalFormatting sqref="R1272 T1272:U1272">
    <cfRule type="containsText" dxfId="0" priority="5590" operator="between" text="欠">
      <formula>NOT(ISERROR(SEARCH("欠",R1272)))</formula>
    </cfRule>
  </conditionalFormatting>
  <conditionalFormatting sqref="R1277 T1277:U1277">
    <cfRule type="containsText" dxfId="0" priority="5852" operator="between" text="欠">
      <formula>NOT(ISERROR(SEARCH("欠",R1277)))</formula>
    </cfRule>
  </conditionalFormatting>
  <conditionalFormatting sqref="S1290 S1454">
    <cfRule type="cellIs" dxfId="0" priority="5958" operator="equal">
      <formula>"欠"</formula>
    </cfRule>
  </conditionalFormatting>
  <conditionalFormatting sqref="T1290:U1290 T1454:U1454">
    <cfRule type="containsText" dxfId="0" priority="5956" operator="between" text="欠">
      <formula>NOT(ISERROR(SEARCH("欠",T1290)))</formula>
    </cfRule>
    <cfRule type="cellIs" dxfId="0" priority="5957" operator="equal">
      <formula>"欠"</formula>
    </cfRule>
  </conditionalFormatting>
  <conditionalFormatting sqref="R1298 R1327 R1333">
    <cfRule type="containsText" dxfId="0" priority="5724" operator="between" text="欠">
      <formula>NOT(ISERROR(SEARCH("欠",R1298)))</formula>
    </cfRule>
    <cfRule type="cellIs" dxfId="0" priority="5729" operator="equal">
      <formula>"欠"</formula>
    </cfRule>
  </conditionalFormatting>
  <conditionalFormatting sqref="R1298 T1298:U1298 R1327 T1327:U1327 R1333 T1333:U1333">
    <cfRule type="containsText" dxfId="0" priority="5725" operator="between" text="欠">
      <formula>NOT(ISERROR(SEARCH("欠",R1298)))</formula>
    </cfRule>
  </conditionalFormatting>
  <conditionalFormatting sqref="S1298 S1327 S1333">
    <cfRule type="cellIs" dxfId="0" priority="5728" operator="equal">
      <formula>"欠"</formula>
    </cfRule>
  </conditionalFormatting>
  <conditionalFormatting sqref="T1298:U1298 T1327:U1327 T1333:U1333">
    <cfRule type="containsText" dxfId="0" priority="5726" operator="between" text="欠">
      <formula>NOT(ISERROR(SEARCH("欠",T1298)))</formula>
    </cfRule>
    <cfRule type="cellIs" dxfId="0" priority="5727" operator="equal">
      <formula>"欠"</formula>
    </cfRule>
  </conditionalFormatting>
  <conditionalFormatting sqref="R1301:R1302 R1306">
    <cfRule type="containsText" dxfId="0" priority="5785" operator="between" text="欠">
      <formula>NOT(ISERROR(SEARCH("欠",R1301)))</formula>
    </cfRule>
    <cfRule type="cellIs" dxfId="0" priority="5786" operator="equal">
      <formula>"欠"</formula>
    </cfRule>
  </conditionalFormatting>
  <conditionalFormatting sqref="V1301:V1302 V1306">
    <cfRule type="cellIs" dxfId="0" priority="7017" operator="equal">
      <formula>"欠"</formula>
    </cfRule>
  </conditionalFormatting>
  <conditionalFormatting sqref="AJ1301:AJ1306 AJ1325:AJ1326 AJ1365:AJ1366 AJ1419 AJ1448:AJ1449 AJ1456:AJ1465 AJ1488 AJ1507:AJ1508 AJ1530:AJ1535 AJ1564:AJ1565 AJ1610:AJ1622 AJ1624:AJ1628 AJ1653:AJ1654 AJ1656 AJ1664 AJ1701 AJ1709:AJ1718 AJ1757:AJ1762 AJ1785:AJ1786 AJ1803:AJ1804 AJ1812:AJ1813 AJ1815 AJ1820 AJ1823:AJ1824 AJ1827:AJ1831 AJ1861 AJ1867:AJ1868 AJ1876 AJ1886:AJ1887 AJ1905 AJ1917:AJ1924 AJ1935 AJ1964 AJ1967 AJ1984 AJ2002 AJ2034 AJ2082 AJ2088:AJ2090 AJ2117:AJ2118">
    <cfRule type="cellIs" dxfId="0" priority="7011" operator="equal">
      <formula>"未完成"</formula>
    </cfRule>
  </conditionalFormatting>
  <conditionalFormatting sqref="AL1301:AM1302 AL1306:AM1306">
    <cfRule type="cellIs" dxfId="1" priority="7018" operator="equal">
      <formula>"未完成"</formula>
    </cfRule>
    <cfRule type="cellIs" dxfId="0" priority="7019" operator="equal">
      <formula>"未完成"</formula>
    </cfRule>
  </conditionalFormatting>
  <conditionalFormatting sqref="R1303:R1305 T1303:U1305">
    <cfRule type="containsText" dxfId="0" priority="5718" operator="between" text="欠">
      <formula>NOT(ISERROR(SEARCH("欠",R1303)))</formula>
    </cfRule>
  </conditionalFormatting>
  <conditionalFormatting sqref="T1303:U1305">
    <cfRule type="containsText" dxfId="0" priority="5719" operator="between" text="欠">
      <formula>NOT(ISERROR(SEARCH("欠",T1303)))</formula>
    </cfRule>
    <cfRule type="cellIs" dxfId="0" priority="5721" operator="equal">
      <formula>"欠"</formula>
    </cfRule>
  </conditionalFormatting>
  <conditionalFormatting sqref="AL1303:AM1303 AL1304:AL1305">
    <cfRule type="cellIs" dxfId="1" priority="6416" operator="equal">
      <formula>"未完成"</formula>
    </cfRule>
    <cfRule type="cellIs" dxfId="0" priority="6417" operator="equal">
      <formula>"未完成"</formula>
    </cfRule>
  </conditionalFormatting>
  <conditionalFormatting sqref="AJ1308 AJ1560">
    <cfRule type="cellIs" dxfId="0" priority="7216" operator="equal">
      <formula>"未完成"</formula>
    </cfRule>
  </conditionalFormatting>
  <conditionalFormatting sqref="R1311 T1311:U1311">
    <cfRule type="containsText" dxfId="0" priority="5612" operator="between" text="欠">
      <formula>NOT(ISERROR(SEARCH("欠",R1311)))</formula>
    </cfRule>
  </conditionalFormatting>
  <conditionalFormatting sqref="V1312:V1315 V1329 V1338 V1389 V1432 V1454">
    <cfRule type="cellIs" dxfId="0" priority="9960" operator="equal">
      <formula>"欠"</formula>
    </cfRule>
  </conditionalFormatting>
  <conditionalFormatting sqref="AL1312:AM1315 AL1329:AM1329 AL1338:AM1338 AL1389:AM1389 AL1432:AM1432 AL1454:AM1454">
    <cfRule type="cellIs" dxfId="1" priority="9961" operator="equal">
      <formula>"未完成"</formula>
    </cfRule>
    <cfRule type="cellIs" dxfId="0" priority="9962" operator="equal">
      <formula>"未完成"</formula>
    </cfRule>
  </conditionalFormatting>
  <conditionalFormatting sqref="R1316 T1316:U1316">
    <cfRule type="containsText" dxfId="0" priority="5761" operator="between" text="欠">
      <formula>NOT(ISERROR(SEARCH("欠",R1316)))</formula>
    </cfRule>
  </conditionalFormatting>
  <conditionalFormatting sqref="R1317 T1317:U1317">
    <cfRule type="containsText" dxfId="0" priority="5769" operator="between" text="欠">
      <formula>NOT(ISERROR(SEARCH("欠",R1317)))</formula>
    </cfRule>
  </conditionalFormatting>
  <conditionalFormatting sqref="R1318:R1320 R1363 R1406 R1431 R1443">
    <cfRule type="containsText" dxfId="0" priority="5714" operator="between" text="欠">
      <formula>NOT(ISERROR(SEARCH("欠",R1318)))</formula>
    </cfRule>
    <cfRule type="cellIs" dxfId="0" priority="5717" operator="equal">
      <formula>"欠"</formula>
    </cfRule>
  </conditionalFormatting>
  <conditionalFormatting sqref="R1318:R1320 T1318:U1320 R1363 T1363:U1363 R1406 T1406:U1406 R1431 T1431:U1431 R1443 T1443:U1443">
    <cfRule type="containsText" dxfId="0" priority="5712" operator="between" text="欠">
      <formula>NOT(ISERROR(SEARCH("欠",R1318)))</formula>
    </cfRule>
  </conditionalFormatting>
  <conditionalFormatting sqref="S1318:S1320 S1363 S1406 S1431 S1443">
    <cfRule type="cellIs" dxfId="0" priority="5716" operator="equal">
      <formula>"欠"</formula>
    </cfRule>
  </conditionalFormatting>
  <conditionalFormatting sqref="T1318:U1320 T1363:U1363 T1406:U1406 T1431:U1431 T1443:U1443">
    <cfRule type="containsText" dxfId="0" priority="5713" operator="between" text="欠">
      <formula>NOT(ISERROR(SEARCH("欠",T1318)))</formula>
    </cfRule>
    <cfRule type="cellIs" dxfId="0" priority="5715" operator="equal">
      <formula>"欠"</formula>
    </cfRule>
  </conditionalFormatting>
  <conditionalFormatting sqref="AG1320:AH1320 AH1321:AH1396 AH1413:AH1414 AH1416 AH1418 AH1421:AH1423 AH1429 AH1438:AH1442 AH1444 AH1446:AH1447 AH1450:AH1451 AH1453 AH1458 AH1464">
    <cfRule type="cellIs" dxfId="0" priority="6361" operator="equal">
      <formula>"未完成"</formula>
    </cfRule>
  </conditionalFormatting>
  <conditionalFormatting sqref="R1321 T1321:U1321">
    <cfRule type="containsText" dxfId="0" priority="5837" operator="between" text="欠">
      <formula>NOT(ISERROR(SEARCH("欠",R1321)))</formula>
    </cfRule>
  </conditionalFormatting>
  <conditionalFormatting sqref="R1324 T1324:U1324">
    <cfRule type="containsText" dxfId="0" priority="5673" operator="between" text="欠">
      <formula>NOT(ISERROR(SEARCH("欠",R1324)))</formula>
    </cfRule>
  </conditionalFormatting>
  <conditionalFormatting sqref="R1325:R1326 T1325:U1326">
    <cfRule type="containsText" dxfId="0" priority="5702" operator="between" text="欠">
      <formula>NOT(ISERROR(SEARCH("欠",R1325)))</formula>
    </cfRule>
  </conditionalFormatting>
  <conditionalFormatting sqref="S1325:S1326 S1656:S1666">
    <cfRule type="cellIs" dxfId="0" priority="5706" operator="equal">
      <formula>"欠"</formula>
    </cfRule>
  </conditionalFormatting>
  <conditionalFormatting sqref="T1325:U1326">
    <cfRule type="containsText" dxfId="0" priority="5703" operator="between" text="欠">
      <formula>NOT(ISERROR(SEARCH("欠",T1325)))</formula>
    </cfRule>
    <cfRule type="cellIs" dxfId="0" priority="5705" operator="equal">
      <formula>"欠"</formula>
    </cfRule>
  </conditionalFormatting>
  <conditionalFormatting sqref="V1327 V1333">
    <cfRule type="cellIs" dxfId="0" priority="6478" operator="equal">
      <formula>"欠"</formula>
    </cfRule>
  </conditionalFormatting>
  <conditionalFormatting sqref="AG1327 AG1333">
    <cfRule type="cellIs" dxfId="0" priority="6481" operator="equal">
      <formula>"未完成"</formula>
    </cfRule>
  </conditionalFormatting>
  <conditionalFormatting sqref="AL1327:AM1327 AL1333:AM1333">
    <cfRule type="cellIs" dxfId="1" priority="6476" operator="equal">
      <formula>"未完成"</formula>
    </cfRule>
    <cfRule type="cellIs" dxfId="0" priority="6477" operator="equal">
      <formula>"未完成"</formula>
    </cfRule>
  </conditionalFormatting>
  <conditionalFormatting sqref="R1328 T1328:U1328">
    <cfRule type="containsText" dxfId="0" priority="5749" operator="between" text="欠">
      <formula>NOT(ISERROR(SEARCH("欠",R1328)))</formula>
    </cfRule>
  </conditionalFormatting>
  <conditionalFormatting sqref="R1331 T1331:U1331">
    <cfRule type="containsText" dxfId="0" priority="5472" operator="between" text="欠">
      <formula>NOT(ISERROR(SEARCH("欠",R1331)))</formula>
    </cfRule>
  </conditionalFormatting>
  <conditionalFormatting sqref="R1332 R1335">
    <cfRule type="containsText" dxfId="0" priority="5780" operator="between" text="欠">
      <formula>NOT(ISERROR(SEARCH("欠",R1332)))</formula>
    </cfRule>
    <cfRule type="cellIs" dxfId="0" priority="5781" operator="equal">
      <formula>"欠"</formula>
    </cfRule>
  </conditionalFormatting>
  <conditionalFormatting sqref="S1332:U1332 S1335:U1335">
    <cfRule type="cellIs" dxfId="0" priority="5784" operator="equal">
      <formula>"欠"</formula>
    </cfRule>
  </conditionalFormatting>
  <conditionalFormatting sqref="V1332 V1335 V1352 V1376:V1378 V1398 V1476 V1616">
    <cfRule type="cellIs" dxfId="0" priority="7924" operator="equal">
      <formula>"欠"</formula>
    </cfRule>
  </conditionalFormatting>
  <conditionalFormatting sqref="AJ1332 AJ1335 AJ1347:AJ1350 AJ1398">
    <cfRule type="cellIs" dxfId="0" priority="7010" operator="equal">
      <formula>"未完成"</formula>
    </cfRule>
  </conditionalFormatting>
  <conditionalFormatting sqref="AL1332:AM1332 AL1335:AM1335 AL1352:AM1352 AL1376:AM1378 AL1398:AM1398 AL1476:AM1476 AL1616:AM1616">
    <cfRule type="cellIs" dxfId="1" priority="7925" operator="equal">
      <formula>"未完成"</formula>
    </cfRule>
    <cfRule type="cellIs" dxfId="0" priority="7926" operator="equal">
      <formula>"未完成"</formula>
    </cfRule>
  </conditionalFormatting>
  <conditionalFormatting sqref="V1334 V1617 V1824">
    <cfRule type="cellIs" dxfId="0" priority="5390" operator="equal">
      <formula>"欠"</formula>
    </cfRule>
  </conditionalFormatting>
  <conditionalFormatting sqref="V1336 V1347:V1351">
    <cfRule type="cellIs" dxfId="0" priority="6134" operator="equal">
      <formula>"欠"</formula>
    </cfRule>
  </conditionalFormatting>
  <conditionalFormatting sqref="AL1336:AM1336 AL1340 AL1351:AM1351 AL1367:AL1368 AL1441:AL1442">
    <cfRule type="cellIs" dxfId="1" priority="6135" operator="equal">
      <formula>"未完成"</formula>
    </cfRule>
    <cfRule type="cellIs" dxfId="0" priority="6136" operator="equal">
      <formula>"未完成"</formula>
    </cfRule>
  </conditionalFormatting>
  <conditionalFormatting sqref="R1337 T1337:U1337 T1999">
    <cfRule type="containsText" dxfId="0" priority="5736" operator="between" text="欠">
      <formula>NOT(ISERROR(SEARCH("欠",R1337)))</formula>
    </cfRule>
  </conditionalFormatting>
  <conditionalFormatting sqref="S1337 S1999">
    <cfRule type="cellIs" dxfId="0" priority="5739" operator="equal">
      <formula>"欠"</formula>
    </cfRule>
  </conditionalFormatting>
  <conditionalFormatting sqref="T1337:U1337 T1999">
    <cfRule type="cellIs" dxfId="0" priority="5740" operator="equal">
      <formula>"欠"</formula>
    </cfRule>
  </conditionalFormatting>
  <conditionalFormatting sqref="R1339 R1390">
    <cfRule type="containsText" dxfId="0" priority="5265" operator="between" text="欠">
      <formula>NOT(ISERROR(SEARCH("欠",R1339)))</formula>
    </cfRule>
    <cfRule type="cellIs" dxfId="0" priority="5289" operator="equal">
      <formula>"欠"</formula>
    </cfRule>
  </conditionalFormatting>
  <conditionalFormatting sqref="AM1340 AL1439:AL1440">
    <cfRule type="cellIs" dxfId="1" priority="6103" operator="equal">
      <formula>"未完成"</formula>
    </cfRule>
    <cfRule type="cellIs" dxfId="0" priority="6104" operator="equal">
      <formula>"未完成"</formula>
    </cfRule>
  </conditionalFormatting>
  <conditionalFormatting sqref="S1341:S1344 S1407:S1412">
    <cfRule type="cellIs" dxfId="0" priority="5503" operator="equal">
      <formula>"欠"</formula>
    </cfRule>
  </conditionalFormatting>
  <conditionalFormatting sqref="T1341:U1344">
    <cfRule type="containsText" dxfId="0" priority="5479" operator="between" text="欠">
      <formula>NOT(ISERROR(SEARCH("欠",T1341)))</formula>
    </cfRule>
    <cfRule type="cellIs" dxfId="0" priority="5495" operator="equal">
      <formula>"欠"</formula>
    </cfRule>
  </conditionalFormatting>
  <conditionalFormatting sqref="AL1342:AM1342 AL1343:AL1344">
    <cfRule type="cellIs" dxfId="1" priority="5526" operator="equal">
      <formula>"未完成"</formula>
    </cfRule>
    <cfRule type="cellIs" dxfId="0" priority="5534" operator="equal">
      <formula>"未完成"</formula>
    </cfRule>
  </conditionalFormatting>
  <conditionalFormatting sqref="R1346 T1346:U1346">
    <cfRule type="containsText" dxfId="0" priority="5693" operator="between" text="欠">
      <formula>NOT(ISERROR(SEARCH("欠",R1346)))</formula>
    </cfRule>
  </conditionalFormatting>
  <conditionalFormatting sqref="S1347:S1351 S1353 S1370:S1371 S1364">
    <cfRule type="cellIs" dxfId="0" priority="5745" operator="equal">
      <formula>"欠"</formula>
    </cfRule>
  </conditionalFormatting>
  <conditionalFormatting sqref="T1347:U1351">
    <cfRule type="containsText" dxfId="0" priority="5742" operator="between" text="欠">
      <formula>NOT(ISERROR(SEARCH("欠",T1347)))</formula>
    </cfRule>
    <cfRule type="cellIs" dxfId="0" priority="5747" operator="equal">
      <formula>"欠"</formula>
    </cfRule>
  </conditionalFormatting>
  <conditionalFormatting sqref="R1352 R1376:R1377 R1398 R1476">
    <cfRule type="containsText" dxfId="0" priority="5827" operator="between" text="欠">
      <formula>NOT(ISERROR(SEARCH("欠",R1352)))</formula>
    </cfRule>
    <cfRule type="cellIs" dxfId="0" priority="5828" operator="equal">
      <formula>"欠"</formula>
    </cfRule>
  </conditionalFormatting>
  <conditionalFormatting sqref="R1352 T1352:U1352 R1376:R1377 T1376:U1377 R1398 T1398:U1398 R1476 T1476:U1476">
    <cfRule type="containsText" dxfId="0" priority="5826" operator="between" text="欠">
      <formula>NOT(ISERROR(SEARCH("欠",R1352)))</formula>
    </cfRule>
  </conditionalFormatting>
  <conditionalFormatting sqref="S1352 S1373:S1377 S1398 S1476">
    <cfRule type="cellIs" dxfId="0" priority="5831" operator="equal">
      <formula>"欠"</formula>
    </cfRule>
  </conditionalFormatting>
  <conditionalFormatting sqref="T1352:U1352 T1376:U1377 T1398:U1398 T1476:U1476">
    <cfRule type="containsText" dxfId="0" priority="5829" operator="between" text="欠">
      <formula>NOT(ISERROR(SEARCH("欠",T1352)))</formula>
    </cfRule>
    <cfRule type="cellIs" dxfId="0" priority="5830" operator="equal">
      <formula>"欠"</formula>
    </cfRule>
  </conditionalFormatting>
  <conditionalFormatting sqref="R1353 T1353:U1353">
    <cfRule type="containsText" dxfId="0" priority="4963" operator="between" text="欠">
      <formula>NOT(ISERROR(SEARCH("欠",R1353)))</formula>
    </cfRule>
  </conditionalFormatting>
  <conditionalFormatting sqref="R1356:R1357 T1356:U1357">
    <cfRule type="containsText" dxfId="0" priority="5647" operator="between" text="欠">
      <formula>NOT(ISERROR(SEARCH("欠",R1356)))</formula>
    </cfRule>
  </conditionalFormatting>
  <conditionalFormatting sqref="T1356:U1357">
    <cfRule type="containsText" dxfId="0" priority="5648" operator="between" text="欠">
      <formula>NOT(ISERROR(SEARCH("欠",T1356)))</formula>
    </cfRule>
    <cfRule type="cellIs" dxfId="0" priority="5653" operator="equal">
      <formula>"欠"</formula>
    </cfRule>
  </conditionalFormatting>
  <conditionalFormatting sqref="R1362 R1358">
    <cfRule type="containsText" dxfId="0" priority="5029" operator="between" text="欠">
      <formula>NOT(ISERROR(SEARCH("欠",R1358)))</formula>
    </cfRule>
    <cfRule type="cellIs" dxfId="0" priority="5037" operator="equal">
      <formula>"欠"</formula>
    </cfRule>
  </conditionalFormatting>
  <conditionalFormatting sqref="R1358 T1358:U1358 R1362">
    <cfRule type="containsText" dxfId="0" priority="5027" operator="between" text="欠">
      <formula>NOT(ISERROR(SEARCH("欠",R1358)))</formula>
    </cfRule>
  </conditionalFormatting>
  <conditionalFormatting sqref="R1360 T1360:U1360">
    <cfRule type="containsText" dxfId="0" priority="5193" operator="between" text="欠">
      <formula>NOT(ISERROR(SEARCH("欠",R1360)))</formula>
    </cfRule>
  </conditionalFormatting>
  <conditionalFormatting sqref="S1361 S1420:S1421">
    <cfRule type="cellIs" dxfId="0" priority="5355" operator="equal">
      <formula>"欠"</formula>
    </cfRule>
  </conditionalFormatting>
  <conditionalFormatting sqref="R1364 T1364:U1364">
    <cfRule type="containsText" dxfId="0" priority="5730" operator="between" text="欠">
      <formula>NOT(ISERROR(SEARCH("欠",R1364)))</formula>
    </cfRule>
  </conditionalFormatting>
  <conditionalFormatting sqref="R1365:R1366 R1448:R1449">
    <cfRule type="containsText" dxfId="0" priority="4906" operator="between" text="欠">
      <formula>NOT(ISERROR(SEARCH("欠",R1365)))</formula>
    </cfRule>
    <cfRule type="cellIs" dxfId="0" priority="4924" operator="equal">
      <formula>"欠"</formula>
    </cfRule>
  </conditionalFormatting>
  <conditionalFormatting sqref="R1365:R1366 T1365:U1366 R1448:R1449 T1448:U1449">
    <cfRule type="containsText" dxfId="0" priority="4894" operator="between" text="欠">
      <formula>NOT(ISERROR(SEARCH("欠",R1365)))</formula>
    </cfRule>
  </conditionalFormatting>
  <conditionalFormatting sqref="S1365:S1366 S1448:S1449">
    <cfRule type="cellIs" dxfId="0" priority="4918" operator="equal">
      <formula>"欠"</formula>
    </cfRule>
  </conditionalFormatting>
  <conditionalFormatting sqref="T1365:U1366 T1448:U1449">
    <cfRule type="containsText" dxfId="0" priority="4900" operator="between" text="欠">
      <formula>NOT(ISERROR(SEARCH("欠",T1365)))</formula>
    </cfRule>
    <cfRule type="cellIs" dxfId="0" priority="4912" operator="equal">
      <formula>"欠"</formula>
    </cfRule>
  </conditionalFormatting>
  <conditionalFormatting sqref="T1368:U1368 T1441:U1442 T1446:U1447 T1497:U1497 T1504:U1504 T1557:U1557 T1653:U1653 T1749:U1749">
    <cfRule type="containsText" dxfId="0" priority="5580" operator="between" text="欠">
      <formula>NOT(ISERROR(SEARCH("欠",T1368)))</formula>
    </cfRule>
    <cfRule type="cellIs" dxfId="0" priority="5581" operator="equal">
      <formula>"欠"</formula>
    </cfRule>
  </conditionalFormatting>
  <conditionalFormatting sqref="R1369 T1369:U1369">
    <cfRule type="containsText" dxfId="0" priority="5474" operator="between" text="欠">
      <formula>NOT(ISERROR(SEARCH("欠",R1369)))</formula>
    </cfRule>
  </conditionalFormatting>
  <conditionalFormatting sqref="T1370:U1371">
    <cfRule type="containsText" dxfId="0" priority="4656" operator="between" text="欠">
      <formula>NOT(ISERROR(SEARCH("欠",T1370)))</formula>
    </cfRule>
    <cfRule type="cellIs" dxfId="0" priority="4658" operator="equal">
      <formula>"欠"</formula>
    </cfRule>
  </conditionalFormatting>
  <conditionalFormatting sqref="R1372 R1437:R1438 R1526:R1528 R1576 R1698:R1699">
    <cfRule type="containsText" dxfId="0" priority="5710" operator="between" text="欠">
      <formula>NOT(ISERROR(SEARCH("欠",R1372)))</formula>
    </cfRule>
    <cfRule type="cellIs" dxfId="0" priority="5711" operator="equal">
      <formula>"欠"</formula>
    </cfRule>
  </conditionalFormatting>
  <conditionalFormatting sqref="S1372 S1437:S1438 S1933 S2034">
    <cfRule type="cellIs" dxfId="0" priority="5723" operator="equal">
      <formula>"欠"</formula>
    </cfRule>
  </conditionalFormatting>
  <conditionalFormatting sqref="T1372:U1372 T1437:U1438">
    <cfRule type="containsText" dxfId="0" priority="5708" operator="between" text="欠">
      <formula>NOT(ISERROR(SEARCH("欠",T1372)))</formula>
    </cfRule>
    <cfRule type="cellIs" dxfId="0" priority="5709" operator="equal">
      <formula>"欠"</formula>
    </cfRule>
  </conditionalFormatting>
  <conditionalFormatting sqref="R1373:R1375 T1373:U1375">
    <cfRule type="containsText" dxfId="0" priority="5753" operator="between" text="欠">
      <formula>NOT(ISERROR(SEARCH("欠",R1373)))</formula>
    </cfRule>
  </conditionalFormatting>
  <conditionalFormatting sqref="T1373:U1375">
    <cfRule type="containsText" dxfId="0" priority="5754" operator="between" text="欠">
      <formula>NOT(ISERROR(SEARCH("欠",T1373)))</formula>
    </cfRule>
    <cfRule type="cellIs" dxfId="0" priority="5756" operator="equal">
      <formula>"欠"</formula>
    </cfRule>
  </conditionalFormatting>
  <conditionalFormatting sqref="AJ1373:AJ1378 AJ1616">
    <cfRule type="cellIs" dxfId="0" priority="7009" operator="equal">
      <formula>"未完成"</formula>
    </cfRule>
  </conditionalFormatting>
  <conditionalFormatting sqref="S1380 S1394:S1395">
    <cfRule type="cellIs" dxfId="0" priority="4115" operator="equal">
      <formula>"欠"</formula>
    </cfRule>
  </conditionalFormatting>
  <conditionalFormatting sqref="T1382:U1387 T1633:U1640">
    <cfRule type="containsText" dxfId="0" priority="5106" operator="between" text="欠">
      <formula>NOT(ISERROR(SEARCH("欠",T1382)))</formula>
    </cfRule>
    <cfRule type="cellIs" dxfId="0" priority="5112" operator="equal">
      <formula>"欠"</formula>
    </cfRule>
  </conditionalFormatting>
  <conditionalFormatting sqref="AL1382:AM1382 AL1383:AL1387">
    <cfRule type="cellIs" dxfId="1" priority="5136" operator="equal">
      <formula>"未完成"</formula>
    </cfRule>
    <cfRule type="cellIs" dxfId="0" priority="5142" operator="equal">
      <formula>"未完成"</formula>
    </cfRule>
  </conditionalFormatting>
  <conditionalFormatting sqref="Q1390:Q1391 Q1397">
    <cfRule type="cellIs" dxfId="0" priority="5432" operator="equal">
      <formula>"欠"</formula>
    </cfRule>
  </conditionalFormatting>
  <conditionalFormatting sqref="S1390 S1397">
    <cfRule type="cellIs" dxfId="0" priority="5348" operator="equal">
      <formula>"欠"</formula>
    </cfRule>
  </conditionalFormatting>
  <conditionalFormatting sqref="T1390:U1391 T1397:U1397">
    <cfRule type="containsText" dxfId="0" priority="5300" operator="between" text="欠">
      <formula>NOT(ISERROR(SEARCH("欠",T1390)))</formula>
    </cfRule>
    <cfRule type="cellIs" dxfId="0" priority="5336" operator="equal">
      <formula>"欠"</formula>
    </cfRule>
  </conditionalFormatting>
  <conditionalFormatting sqref="V1390:V1391 V1397">
    <cfRule type="cellIs" dxfId="0" priority="5384" operator="equal">
      <formula>"欠"</formula>
    </cfRule>
  </conditionalFormatting>
  <conditionalFormatting sqref="AL1390:AL1391 AL1397">
    <cfRule type="cellIs" dxfId="1" priority="5408" operator="equal">
      <formula>"未完成"</formula>
    </cfRule>
    <cfRule type="cellIs" dxfId="0" priority="5420" operator="equal">
      <formula>"未完成"</formula>
    </cfRule>
  </conditionalFormatting>
  <conditionalFormatting sqref="AM1390:AM1391 AM1397">
    <cfRule type="cellIs" dxfId="0" priority="5396" operator="equal">
      <formula>"欠"</formula>
    </cfRule>
  </conditionalFormatting>
  <conditionalFormatting sqref="R1391 R1397">
    <cfRule type="containsText" dxfId="0" priority="5264" operator="between" text="欠">
      <formula>NOT(ISERROR(SEARCH("欠",R1391)))</formula>
    </cfRule>
    <cfRule type="cellIs" dxfId="0" priority="5288" operator="equal">
      <formula>"欠"</formula>
    </cfRule>
  </conditionalFormatting>
  <conditionalFormatting sqref="R1392:R1393 T1392:U1393">
    <cfRule type="containsText" dxfId="0" priority="4807" operator="between" text="欠">
      <formula>NOT(ISERROR(SEARCH("欠",R1392)))</formula>
    </cfRule>
  </conditionalFormatting>
  <conditionalFormatting sqref="S1392:S1393 S1603:S1604">
    <cfRule type="cellIs" dxfId="0" priority="4816" operator="equal">
      <formula>"欠"</formula>
    </cfRule>
  </conditionalFormatting>
  <conditionalFormatting sqref="T1392:U1393">
    <cfRule type="containsText" dxfId="0" priority="4808" operator="between" text="欠">
      <formula>NOT(ISERROR(SEARCH("欠",T1392)))</formula>
    </cfRule>
  </conditionalFormatting>
  <conditionalFormatting sqref="T1392:V1393">
    <cfRule type="cellIs" dxfId="0" priority="4815" operator="equal">
      <formula>"欠"</formula>
    </cfRule>
  </conditionalFormatting>
  <conditionalFormatting sqref="R1396 T1396:U1396">
    <cfRule type="containsText" dxfId="0" priority="4795" operator="between" text="欠">
      <formula>NOT(ISERROR(SEARCH("欠",R1396)))</formula>
    </cfRule>
  </conditionalFormatting>
  <conditionalFormatting sqref="R1399:R1404 T1399:U1404">
    <cfRule type="containsText" dxfId="0" priority="4824" operator="between" text="欠">
      <formula>NOT(ISERROR(SEARCH("欠",R1399)))</formula>
    </cfRule>
  </conditionalFormatting>
  <conditionalFormatting sqref="T1399:U1404">
    <cfRule type="containsText" dxfId="0" priority="4830" operator="between" text="欠">
      <formula>NOT(ISERROR(SEARCH("欠",T1399)))</formula>
    </cfRule>
  </conditionalFormatting>
  <conditionalFormatting sqref="T1399:V1404">
    <cfRule type="cellIs" dxfId="0" priority="4872" operator="equal">
      <formula>"欠"</formula>
    </cfRule>
  </conditionalFormatting>
  <conditionalFormatting sqref="AG1401:AH1401 AH1402:AH1404">
    <cfRule type="cellIs" dxfId="0" priority="4888" operator="equal">
      <formula>"未完成"</formula>
    </cfRule>
  </conditionalFormatting>
  <conditionalFormatting sqref="AG1406:AH1406 AH1407:AH1412">
    <cfRule type="cellIs" dxfId="0" priority="6337" operator="equal">
      <formula>"未完成"</formula>
    </cfRule>
  </conditionalFormatting>
  <conditionalFormatting sqref="R1407:R1412 R1489:R1495">
    <cfRule type="containsText" dxfId="0" priority="3751" operator="between" text="欠">
      <formula>NOT(ISERROR(SEARCH("欠",R1407)))</formula>
    </cfRule>
    <cfRule type="cellIs" dxfId="0" priority="3753" operator="equal">
      <formula>"欠"</formula>
    </cfRule>
  </conditionalFormatting>
  <conditionalFormatting sqref="T1407:U1412">
    <cfRule type="containsText" dxfId="0" priority="4712" operator="between" text="欠">
      <formula>NOT(ISERROR(SEARCH("欠",T1407)))</formula>
    </cfRule>
    <cfRule type="cellIs" dxfId="0" priority="4722" operator="equal">
      <formula>"欠"</formula>
    </cfRule>
  </conditionalFormatting>
  <conditionalFormatting sqref="T1413:U1413 T1424:U1424">
    <cfRule type="containsText" dxfId="0" priority="3821" operator="between" text="欠">
      <formula>NOT(ISERROR(SEARCH("欠",T1413)))</formula>
    </cfRule>
    <cfRule type="containsText" dxfId="2" priority="3822" operator="between" text="欠">
      <formula>NOT(ISERROR(SEARCH("欠",T1413)))</formula>
    </cfRule>
    <cfRule type="cellIs" dxfId="0" priority="3823" operator="equal">
      <formula>"欠"</formula>
    </cfRule>
  </conditionalFormatting>
  <conditionalFormatting sqref="Q1416 Q1460">
    <cfRule type="cellIs" dxfId="0" priority="749" operator="equal">
      <formula>"欠"</formula>
    </cfRule>
  </conditionalFormatting>
  <conditionalFormatting sqref="R1416 R1418 R1460">
    <cfRule type="containsText" dxfId="0" priority="4604" operator="between" text="欠">
      <formula>NOT(ISERROR(SEARCH("欠",R1416)))</formula>
    </cfRule>
    <cfRule type="cellIs" dxfId="0" priority="4608" operator="equal">
      <formula>"欠"</formula>
    </cfRule>
  </conditionalFormatting>
  <conditionalFormatting sqref="S1416 S1418 S1460">
    <cfRule type="cellIs" dxfId="0" priority="4640" operator="equal">
      <formula>"欠"</formula>
    </cfRule>
  </conditionalFormatting>
  <conditionalFormatting sqref="T1416:U1416 T1460:U1460">
    <cfRule type="containsText" dxfId="0" priority="3795" operator="between" text="欠">
      <formula>NOT(ISERROR(SEARCH("欠",T1416)))</formula>
    </cfRule>
    <cfRule type="containsText" dxfId="2" priority="3796" operator="between" text="欠">
      <formula>NOT(ISERROR(SEARCH("欠",T1416)))</formula>
    </cfRule>
    <cfRule type="cellIs" dxfId="0" priority="3797" operator="equal">
      <formula>"欠"</formula>
    </cfRule>
  </conditionalFormatting>
  <conditionalFormatting sqref="T1417:U1418">
    <cfRule type="containsText" dxfId="0" priority="4637" operator="between" text="欠">
      <formula>NOT(ISERROR(SEARCH("欠",T1417)))</formula>
    </cfRule>
    <cfRule type="cellIs" dxfId="0" priority="4645" operator="equal">
      <formula>"欠"</formula>
    </cfRule>
  </conditionalFormatting>
  <conditionalFormatting sqref="R1419 T1419:U1419">
    <cfRule type="containsText" dxfId="0" priority="3448" operator="between" text="欠">
      <formula>NOT(ISERROR(SEARCH("欠",R1419)))</formula>
    </cfRule>
  </conditionalFormatting>
  <conditionalFormatting sqref="R1422:R1423 R1433">
    <cfRule type="containsText" dxfId="0" priority="3825" operator="between" text="欠">
      <formula>NOT(ISERROR(SEARCH("欠",R1422)))</formula>
    </cfRule>
    <cfRule type="cellIs" dxfId="0" priority="3827" operator="equal">
      <formula>"欠"</formula>
    </cfRule>
  </conditionalFormatting>
  <conditionalFormatting sqref="S1422:S1423 S1433 S1597">
    <cfRule type="cellIs" dxfId="0" priority="3843" operator="equal">
      <formula>"欠"</formula>
    </cfRule>
  </conditionalFormatting>
  <conditionalFormatting sqref="S1425 S1537:S1538">
    <cfRule type="cellIs" dxfId="0" priority="3819" operator="equal">
      <formula>"欠"</formula>
    </cfRule>
  </conditionalFormatting>
  <conditionalFormatting sqref="R1426:R1427 R1576:R1577">
    <cfRule type="containsText" dxfId="0" priority="4667" operator="between" text="欠">
      <formula>NOT(ISERROR(SEARCH("欠",R1426)))</formula>
    </cfRule>
    <cfRule type="cellIs" dxfId="0" priority="4668" operator="equal">
      <formula>"欠"</formula>
    </cfRule>
  </conditionalFormatting>
  <conditionalFormatting sqref="S1426:S1427 S1554">
    <cfRule type="cellIs" dxfId="0" priority="4666" operator="equal">
      <formula>"欠"</formula>
    </cfRule>
  </conditionalFormatting>
  <conditionalFormatting sqref="R1428 T1428:U1428">
    <cfRule type="containsText" dxfId="0" priority="5638" operator="between" text="欠">
      <formula>NOT(ISERROR(SEARCH("欠",R1428)))</formula>
    </cfRule>
  </conditionalFormatting>
  <conditionalFormatting sqref="S1428 S2035 S2041">
    <cfRule type="cellIs" dxfId="0" priority="5645" operator="equal">
      <formula>"欠"</formula>
    </cfRule>
  </conditionalFormatting>
  <conditionalFormatting sqref="S1430 S1577:S1578">
    <cfRule type="cellIs" dxfId="0" priority="5095" operator="equal">
      <formula>"欠"</formula>
    </cfRule>
  </conditionalFormatting>
  <conditionalFormatting sqref="R1434 T1434:U1434">
    <cfRule type="containsText" dxfId="0" priority="5685" operator="between" text="欠">
      <formula>NOT(ISERROR(SEARCH("欠",R1434)))</formula>
    </cfRule>
  </conditionalFormatting>
  <conditionalFormatting sqref="R1436 T1436:U1436">
    <cfRule type="containsText" dxfId="0" priority="5015" operator="between" text="欠">
      <formula>NOT(ISERROR(SEARCH("欠",R1436)))</formula>
    </cfRule>
  </conditionalFormatting>
  <conditionalFormatting sqref="AG1437:AH1437 AG1438">
    <cfRule type="cellIs" dxfId="0" priority="6433" operator="equal">
      <formula>"未完成"</formula>
    </cfRule>
  </conditionalFormatting>
  <conditionalFormatting sqref="AL1437:AM1438">
    <cfRule type="cellIs" dxfId="1" priority="6428" operator="equal">
      <formula>"未完成"</formula>
    </cfRule>
    <cfRule type="cellIs" dxfId="0" priority="6429" operator="equal">
      <formula>"未完成"</formula>
    </cfRule>
  </conditionalFormatting>
  <conditionalFormatting sqref="T1439:U1440">
    <cfRule type="containsText" dxfId="0" priority="5216" operator="between" text="欠">
      <formula>NOT(ISERROR(SEARCH("欠",T1439)))</formula>
    </cfRule>
    <cfRule type="cellIs" dxfId="0" priority="5217" operator="equal">
      <formula>"欠"</formula>
    </cfRule>
  </conditionalFormatting>
  <conditionalFormatting sqref="V1439:V1440 V1450:V1451">
    <cfRule type="cellIs" dxfId="0" priority="6995" operator="equal">
      <formula>"欠"</formula>
    </cfRule>
  </conditionalFormatting>
  <conditionalFormatting sqref="AG1439:AG1440 AG1450:AG1451">
    <cfRule type="cellIs" dxfId="0" priority="6998" operator="equal">
      <formula>"未完成"</formula>
    </cfRule>
  </conditionalFormatting>
  <conditionalFormatting sqref="AM1439:AM1440 AL1450:AM1451 AL1453 AL1459:AM1459">
    <cfRule type="cellIs" dxfId="1" priority="6993" operator="equal">
      <formula>"未完成"</formula>
    </cfRule>
    <cfRule type="cellIs" dxfId="0" priority="6994" operator="equal">
      <formula>"未完成"</formula>
    </cfRule>
  </conditionalFormatting>
  <conditionalFormatting sqref="AN1439:AN1440 AN1450:AN1451">
    <cfRule type="cellIs" dxfId="0" priority="6992" operator="equal">
      <formula>"欠"</formula>
    </cfRule>
  </conditionalFormatting>
  <conditionalFormatting sqref="T1450:U1451 T1453:U1453 T1458:U1458 T1545:U1545">
    <cfRule type="containsText" dxfId="0" priority="5214" operator="between" text="欠">
      <formula>NOT(ISERROR(SEARCH("欠",T1450)))</formula>
    </cfRule>
    <cfRule type="cellIs" dxfId="0" priority="5215" operator="equal">
      <formula>"欠"</formula>
    </cfRule>
  </conditionalFormatting>
  <conditionalFormatting sqref="AJ1454 AJ1969">
    <cfRule type="cellIs" dxfId="0" priority="7008" operator="equal">
      <formula>"未完成"</formula>
    </cfRule>
  </conditionalFormatting>
  <conditionalFormatting sqref="R1455 R1481">
    <cfRule type="containsText" dxfId="0" priority="3673" operator="between" text="欠">
      <formula>NOT(ISERROR(SEARCH("欠",R1455)))</formula>
    </cfRule>
    <cfRule type="cellIs" dxfId="0" priority="3675" operator="equal">
      <formula>"欠"</formula>
    </cfRule>
  </conditionalFormatting>
  <conditionalFormatting sqref="S1455 S1481 S1573">
    <cfRule type="cellIs" dxfId="0" priority="3680" operator="equal">
      <formula>"欠"</formula>
    </cfRule>
  </conditionalFormatting>
  <conditionalFormatting sqref="R1456:R1465 R1507:R1508 R1530:R1535 R1564:R1565 R1605 R1610 R1672:R1673 R1886:R1887 R1905:R1910 R1934:R1935 R1938:R1945 R1948:R1950 R1954:R1956 R1985 R2075">
    <cfRule type="containsText" dxfId="0" priority="3866" operator="between" text="欠">
      <formula>NOT(ISERROR(SEARCH("欠",R1456)))</formula>
    </cfRule>
    <cfRule type="cellIs" dxfId="0" priority="3868" operator="equal">
      <formula>"欠"</formula>
    </cfRule>
  </conditionalFormatting>
  <conditionalFormatting sqref="S1456:S1465 S1507:S1508 S1530:S1535 S1564:S1565 S1605 S1610 S1672:S1673 S1835:S1836 S1922:S1925 S1932:S1933 S1939 S1944:S1950 S1959 S1984 S2002">
    <cfRule type="cellIs" dxfId="0" priority="3884" operator="equal">
      <formula>"欠"</formula>
    </cfRule>
  </conditionalFormatting>
  <conditionalFormatting sqref="T1456:U1465 T1507:U1508 T1530:U1535 T1564:U1565 T1605:U1605 T1610:U1610 T1672:U1673 T1835:U1836 T1882:U1883 U1912:U1913 T1915:U1918 T1933:U1941 T1946:U1952 U1985">
    <cfRule type="containsText" dxfId="0" priority="3882" operator="between" text="欠">
      <formula>NOT(ISERROR(SEARCH("欠",T1456)))</formula>
    </cfRule>
    <cfRule type="cellIs" dxfId="0" priority="3886" operator="equal">
      <formula>"欠"</formula>
    </cfRule>
  </conditionalFormatting>
  <conditionalFormatting sqref="R1459 T1459:U1459">
    <cfRule type="containsText" dxfId="0" priority="5774" operator="between" text="欠">
      <formula>NOT(ISERROR(SEARCH("欠",R1459)))</formula>
    </cfRule>
  </conditionalFormatting>
  <conditionalFormatting sqref="R1463 T1463:U1463">
    <cfRule type="containsText" dxfId="0" priority="5473" operator="between" text="欠">
      <formula>NOT(ISERROR(SEARCH("欠",R1463)))</formula>
    </cfRule>
  </conditionalFormatting>
  <conditionalFormatting sqref="S1463 S2002">
    <cfRule type="cellIs" dxfId="0" priority="5497" operator="equal">
      <formula>"欠"</formula>
    </cfRule>
  </conditionalFormatting>
  <conditionalFormatting sqref="S1467:S1469 S1473:S1475 S1625">
    <cfRule type="cellIs" dxfId="0" priority="3124" operator="equal">
      <formula>"欠"</formula>
    </cfRule>
  </conditionalFormatting>
  <conditionalFormatting sqref="T1467:U1469">
    <cfRule type="containsText" dxfId="0" priority="3201" operator="between" text="欠">
      <formula>NOT(ISERROR(SEARCH("欠",T1467)))</formula>
    </cfRule>
    <cfRule type="cellIs" dxfId="0" priority="3207" operator="equal">
      <formula>"欠"</formula>
    </cfRule>
  </conditionalFormatting>
  <conditionalFormatting sqref="R1473:R1474 R1477:R1478">
    <cfRule type="containsText" dxfId="0" priority="3577" operator="between" text="欠">
      <formula>NOT(ISERROR(SEARCH("欠",R1473)))</formula>
    </cfRule>
    <cfRule type="cellIs" dxfId="0" priority="3578" operator="equal">
      <formula>"欠"</formula>
    </cfRule>
  </conditionalFormatting>
  <conditionalFormatting sqref="S1473:S1474 S1477:S1478">
    <cfRule type="cellIs" dxfId="0" priority="3585" operator="equal">
      <formula>"欠"</formula>
    </cfRule>
  </conditionalFormatting>
  <conditionalFormatting sqref="T1473:U1474 T1477:U1478">
    <cfRule type="containsText" dxfId="0" priority="3574" operator="between" text="欠">
      <formula>NOT(ISERROR(SEARCH("欠",T1473)))</formula>
    </cfRule>
    <cfRule type="containsText" dxfId="2" priority="3575" operator="between" text="欠">
      <formula>NOT(ISERROR(SEARCH("欠",T1473)))</formula>
    </cfRule>
    <cfRule type="cellIs" dxfId="0" priority="3576" operator="equal">
      <formula>"欠"</formula>
    </cfRule>
  </conditionalFormatting>
  <conditionalFormatting sqref="R1479 T1479:U1479">
    <cfRule type="containsText" dxfId="0" priority="3413" operator="between" text="欠">
      <formula>NOT(ISERROR(SEARCH("欠",R1479)))</formula>
    </cfRule>
  </conditionalFormatting>
  <conditionalFormatting sqref="S1480 S1706 S1809 S2038:S2039">
    <cfRule type="cellIs" dxfId="0" priority="3247" operator="equal">
      <formula>"欠"</formula>
    </cfRule>
  </conditionalFormatting>
  <conditionalFormatting sqref="T1481:U1481 T1511:U1511">
    <cfRule type="containsText" dxfId="0" priority="3628" operator="between" text="欠">
      <formula>NOT(ISERROR(SEARCH("欠",T1481)))</formula>
    </cfRule>
    <cfRule type="cellIs" dxfId="0" priority="3640" operator="equal">
      <formula>"欠"</formula>
    </cfRule>
  </conditionalFormatting>
  <conditionalFormatting sqref="R1482 T1482:U1482">
    <cfRule type="containsText" dxfId="0" priority="3437" operator="between" text="欠">
      <formula>NOT(ISERROR(SEARCH("欠",R1482)))</formula>
    </cfRule>
  </conditionalFormatting>
  <conditionalFormatting sqref="S1483 S1498">
    <cfRule type="cellIs" dxfId="0" priority="3071" operator="equal">
      <formula>"欠"</formula>
    </cfRule>
  </conditionalFormatting>
  <conditionalFormatting sqref="T1483:U1483 T1498:U1498">
    <cfRule type="containsText" dxfId="0" priority="3065" operator="between" text="欠">
      <formula>NOT(ISERROR(SEARCH("欠",T1483)))</formula>
    </cfRule>
    <cfRule type="cellIs" dxfId="0" priority="3077" operator="equal">
      <formula>"欠"</formula>
    </cfRule>
  </conditionalFormatting>
  <conditionalFormatting sqref="R1484 R1650:R1651">
    <cfRule type="containsText" dxfId="0" priority="3477" operator="between" text="欠">
      <formula>NOT(ISERROR(SEARCH("欠",R1484)))</formula>
    </cfRule>
    <cfRule type="cellIs" dxfId="0" priority="3483" operator="equal">
      <formula>"欠"</formula>
    </cfRule>
  </conditionalFormatting>
  <conditionalFormatting sqref="R1484 T1484:U1484 R1650:R1651">
    <cfRule type="containsText" dxfId="0" priority="3473" operator="between" text="欠">
      <formula>NOT(ISERROR(SEARCH("欠",R1484)))</formula>
    </cfRule>
  </conditionalFormatting>
  <conditionalFormatting sqref="R1485 T1485:U1485">
    <cfRule type="containsText" dxfId="0" priority="3755" operator="between" text="欠">
      <formula>NOT(ISERROR(SEARCH("欠",R1485)))</formula>
    </cfRule>
  </conditionalFormatting>
  <conditionalFormatting sqref="T1489:U1495">
    <cfRule type="containsText" dxfId="0" priority="3409" operator="between" text="欠">
      <formula>NOT(ISERROR(SEARCH("欠",T1489)))</formula>
    </cfRule>
    <cfRule type="cellIs" dxfId="0" priority="3411" operator="equal">
      <formula>"欠"</formula>
    </cfRule>
  </conditionalFormatting>
  <conditionalFormatting sqref="S1499:S1501 S1717:S1718 S1784 S1931:S1932 S1949:S1950 S1959">
    <cfRule type="cellIs" dxfId="0" priority="2950" operator="equal">
      <formula>"欠"</formula>
    </cfRule>
  </conditionalFormatting>
  <conditionalFormatting sqref="T1499:U1501">
    <cfRule type="containsText" dxfId="0" priority="2940" operator="between" text="欠">
      <formula>NOT(ISERROR(SEARCH("欠",T1499)))</formula>
    </cfRule>
    <cfRule type="cellIs" dxfId="0" priority="2960" operator="equal">
      <formula>"欠"</formula>
    </cfRule>
  </conditionalFormatting>
  <conditionalFormatting sqref="R1500:R1501 R1511:R1512">
    <cfRule type="containsText" dxfId="0" priority="3047" operator="between" text="欠">
      <formula>NOT(ISERROR(SEARCH("欠",R1500)))</formula>
    </cfRule>
    <cfRule type="cellIs" dxfId="0" priority="3048" operator="equal">
      <formula>"欠"</formula>
    </cfRule>
  </conditionalFormatting>
  <conditionalFormatting sqref="S1504 S1557 S1653 S1749">
    <cfRule type="cellIs" dxfId="0" priority="2449" operator="equal">
      <formula>"欠"</formula>
    </cfRule>
  </conditionalFormatting>
  <conditionalFormatting sqref="S1505 S1600">
    <cfRule type="cellIs" dxfId="0" priority="3732" operator="equal">
      <formula>"欠"</formula>
    </cfRule>
  </conditionalFormatting>
  <conditionalFormatting sqref="S1509:S1511 S1524:S1525 S1540:S1541">
    <cfRule type="cellIs" dxfId="0" priority="3046" operator="equal">
      <formula>"欠"</formula>
    </cfRule>
  </conditionalFormatting>
  <conditionalFormatting sqref="S1512:S1517 S1585:S1591 S1643:S1649 S1679:S1685">
    <cfRule type="cellIs" dxfId="0" priority="2396" operator="equal">
      <formula>"欠"</formula>
    </cfRule>
  </conditionalFormatting>
  <conditionalFormatting sqref="T1512:U1517 T1585:U1591 T1643:U1649 T1679:U1685 T1744:U1744">
    <cfRule type="containsText" dxfId="0" priority="2390" operator="between" text="欠">
      <formula>NOT(ISERROR(SEARCH("欠",T1512)))</formula>
    </cfRule>
    <cfRule type="cellIs" dxfId="0" priority="2402" operator="equal">
      <formula>"欠"</formula>
    </cfRule>
  </conditionalFormatting>
  <conditionalFormatting sqref="T1519:U1521">
    <cfRule type="containsText" dxfId="0" priority="2569" operator="between" text="欠">
      <formula>NOT(ISERROR(SEARCH("欠",T1519)))</formula>
    </cfRule>
    <cfRule type="cellIs" dxfId="0" priority="2593" operator="equal">
      <formula>"欠"</formula>
    </cfRule>
  </conditionalFormatting>
  <conditionalFormatting sqref="T1519:U1520">
    <cfRule type="containsText" dxfId="0" priority="2566" operator="between" text="欠">
      <formula>NOT(ISERROR(SEARCH("欠",T1519)))</formula>
    </cfRule>
    <cfRule type="cellIs" dxfId="0" priority="2590" operator="equal">
      <formula>"欠"</formula>
    </cfRule>
  </conditionalFormatting>
  <conditionalFormatting sqref="AI1522 AI1719">
    <cfRule type="cellIs" dxfId="0" priority="7977" operator="equal">
      <formula>"未完成"</formula>
    </cfRule>
  </conditionalFormatting>
  <conditionalFormatting sqref="T1523:U1524">
    <cfRule type="containsText" dxfId="0" priority="3243" operator="between" text="欠">
      <formula>NOT(ISERROR(SEARCH("欠",T1523)))</formula>
    </cfRule>
    <cfRule type="cellIs" dxfId="0" priority="3255" operator="equal">
      <formula>"欠"</formula>
    </cfRule>
  </conditionalFormatting>
  <conditionalFormatting sqref="S1525 S1529">
    <cfRule type="cellIs" dxfId="0" priority="2952" operator="equal">
      <formula>"欠"</formula>
    </cfRule>
  </conditionalFormatting>
  <conditionalFormatting sqref="T1526:U1528">
    <cfRule type="containsText" dxfId="0" priority="3042" operator="between" text="欠">
      <formula>NOT(ISERROR(SEARCH("欠",T1526)))</formula>
    </cfRule>
    <cfRule type="containsText" dxfId="2" priority="3044" operator="between" text="欠">
      <formula>NOT(ISERROR(SEARCH("欠",T1526)))</formula>
    </cfRule>
    <cfRule type="cellIs" dxfId="0" priority="3045" operator="equal">
      <formula>"欠"</formula>
    </cfRule>
  </conditionalFormatting>
  <conditionalFormatting sqref="R1536 R1569">
    <cfRule type="containsText" dxfId="0" priority="1379" operator="between" text="欠">
      <formula>NOT(ISERROR(SEARCH("欠",R1536)))</formula>
    </cfRule>
    <cfRule type="cellIs" dxfId="0" priority="1381" operator="equal">
      <formula>"欠"</formula>
    </cfRule>
  </conditionalFormatting>
  <conditionalFormatting sqref="S1536 S1569">
    <cfRule type="cellIs" dxfId="0" priority="1385" operator="equal">
      <formula>"欠"</formula>
    </cfRule>
  </conditionalFormatting>
  <conditionalFormatting sqref="T1536:U1536 T1569:U1569">
    <cfRule type="containsText" dxfId="0" priority="1382" operator="between" text="欠">
      <formula>NOT(ISERROR(SEARCH("欠",T1536)))</formula>
    </cfRule>
    <cfRule type="containsText" dxfId="2" priority="1384" operator="between" text="欠">
      <formula>NOT(ISERROR(SEARCH("欠",T1536)))</formula>
    </cfRule>
    <cfRule type="cellIs" dxfId="0" priority="1386" operator="equal">
      <formula>"欠"</formula>
    </cfRule>
  </conditionalFormatting>
  <conditionalFormatting sqref="T1537:U1538">
    <cfRule type="containsText" dxfId="0" priority="1426" operator="between" text="欠">
      <formula>NOT(ISERROR(SEARCH("欠",T1537)))</formula>
    </cfRule>
    <cfRule type="cellIs" dxfId="0" priority="1440" operator="equal">
      <formula>"欠"</formula>
    </cfRule>
  </conditionalFormatting>
  <conditionalFormatting sqref="T1539:U1540">
    <cfRule type="containsText" dxfId="0" priority="1660" operator="between" text="欠">
      <formula>NOT(ISERROR(SEARCH("欠",T1539)))</formula>
    </cfRule>
    <cfRule type="cellIs" dxfId="0" priority="1678" operator="equal">
      <formula>"欠"</formula>
    </cfRule>
  </conditionalFormatting>
  <conditionalFormatting sqref="S1541:S1542 S1583 S1696:S1697 S1772:S1774 S1843 S1900 S2019:S2020 S2086:S2091 S2100:S2102 S2109 S2113:S2114 S2116 S2119">
    <cfRule type="cellIs" dxfId="0" priority="2785" operator="equal">
      <formula>"欠"</formula>
    </cfRule>
  </conditionalFormatting>
  <conditionalFormatting sqref="R1542 R1556 R1583 R1606:R1609 R1654 R1668 R1677:R1678 R1773:R1774">
    <cfRule type="containsText" dxfId="0" priority="2788" operator="between" text="欠">
      <formula>NOT(ISERROR(SEARCH("欠",R1542)))</formula>
    </cfRule>
    <cfRule type="cellIs" dxfId="0" priority="2799" operator="equal">
      <formula>"欠"</formula>
    </cfRule>
  </conditionalFormatting>
  <conditionalFormatting sqref="R1543 T1543:U1543">
    <cfRule type="containsText" dxfId="0" priority="5597" operator="between" text="欠">
      <formula>NOT(ISERROR(SEARCH("欠",R1543)))</formula>
    </cfRule>
  </conditionalFormatting>
  <conditionalFormatting sqref="Q1544 Q1568">
    <cfRule type="cellIs" dxfId="0" priority="2714" operator="equal">
      <formula>"欠"</formula>
    </cfRule>
  </conditionalFormatting>
  <conditionalFormatting sqref="S1549:S1550 S1593 S1734">
    <cfRule type="cellIs" dxfId="0" priority="2698" operator="equal">
      <formula>"欠"</formula>
    </cfRule>
  </conditionalFormatting>
  <conditionalFormatting sqref="R1551 R1626 R1655 R1695 R1702:R1703 R1766">
    <cfRule type="containsText" dxfId="0" priority="2361" operator="between" text="欠">
      <formula>NOT(ISERROR(SEARCH("欠",R1551)))</formula>
    </cfRule>
    <cfRule type="cellIs" dxfId="0" priority="2362" operator="equal">
      <formula>"欠"</formula>
    </cfRule>
  </conditionalFormatting>
  <conditionalFormatting sqref="S1551 S1626 S1655 S1695 S1702:S1703 S1766 S1985 S2075">
    <cfRule type="cellIs" dxfId="0" priority="2364" operator="equal">
      <formula>"欠"</formula>
    </cfRule>
  </conditionalFormatting>
  <conditionalFormatting sqref="R1553 T1553:U1553">
    <cfRule type="containsText" dxfId="0" priority="5658" operator="between" text="欠">
      <formula>NOT(ISERROR(SEARCH("欠",R1553)))</formula>
    </cfRule>
  </conditionalFormatting>
  <conditionalFormatting sqref="T1555:U1555 T1652:U1652">
    <cfRule type="containsText" dxfId="0" priority="1375" operator="between" text="欠">
      <formula>NOT(ISERROR(SEARCH("欠",T1555)))</formula>
    </cfRule>
    <cfRule type="cellIs" dxfId="0" priority="1376" operator="equal">
      <formula>"欠"</formula>
    </cfRule>
  </conditionalFormatting>
  <conditionalFormatting sqref="S1556 S1606:S1609 S1654 S1677 S1803">
    <cfRule type="cellIs" dxfId="0" priority="2820" operator="equal">
      <formula>"欠"</formula>
    </cfRule>
  </conditionalFormatting>
  <conditionalFormatting sqref="S1562:S1563 S1613:S1615 S1785:S1786 S1822 S1874:S1875">
    <cfRule type="cellIs" dxfId="0" priority="3787" operator="equal">
      <formula>"欠"</formula>
    </cfRule>
  </conditionalFormatting>
  <conditionalFormatting sqref="T1562:U1563">
    <cfRule type="containsText" dxfId="0" priority="3786" operator="between" text="欠">
      <formula>NOT(ISERROR(SEARCH("欠",T1562)))</formula>
    </cfRule>
    <cfRule type="cellIs" dxfId="0" priority="3788" operator="equal">
      <formula>"欠"</formula>
    </cfRule>
  </conditionalFormatting>
  <conditionalFormatting sqref="S1568 S1582 S1602 S2050:S2051">
    <cfRule type="cellIs" dxfId="0" priority="2471" operator="equal">
      <formula>"欠"</formula>
    </cfRule>
  </conditionalFormatting>
  <conditionalFormatting sqref="S1576 S1698:S1699">
    <cfRule type="cellIs" dxfId="0" priority="3067" operator="equal">
      <formula>"欠"</formula>
    </cfRule>
  </conditionalFormatting>
  <conditionalFormatting sqref="T1579:U1579 T1901:U1901">
    <cfRule type="containsText" dxfId="0" priority="1291" operator="between" text="欠">
      <formula>NOT(ISERROR(SEARCH("欠",T1579)))</formula>
    </cfRule>
    <cfRule type="cellIs" dxfId="0" priority="1293" operator="equal">
      <formula>"欠"</formula>
    </cfRule>
  </conditionalFormatting>
  <conditionalFormatting sqref="T1580:U1581">
    <cfRule type="containsText" dxfId="0" priority="2259" operator="between" text="欠">
      <formula>NOT(ISERROR(SEARCH("欠",T1580)))</formula>
    </cfRule>
    <cfRule type="cellIs" dxfId="0" priority="2265" operator="equal">
      <formula>"欠"</formula>
    </cfRule>
  </conditionalFormatting>
  <conditionalFormatting sqref="R1581 R1596 R1696:R1697">
    <cfRule type="containsText" dxfId="0" priority="2479" operator="between" text="欠">
      <formula>NOT(ISERROR(SEARCH("欠",R1581)))</formula>
    </cfRule>
    <cfRule type="cellIs" dxfId="0" priority="2481" operator="equal">
      <formula>"欠"</formula>
    </cfRule>
  </conditionalFormatting>
  <conditionalFormatting sqref="T1583:U1583 T1696:U1697 T1773:U1774">
    <cfRule type="containsText" dxfId="0" priority="2812" operator="between" text="欠">
      <formula>NOT(ISERROR(SEARCH("欠",T1583)))</formula>
    </cfRule>
    <cfRule type="cellIs" dxfId="0" priority="2834" operator="equal">
      <formula>"欠"</formula>
    </cfRule>
  </conditionalFormatting>
  <conditionalFormatting sqref="R1585:R1591 R1643:R1649">
    <cfRule type="containsText" dxfId="0" priority="2101" operator="between" text="欠">
      <formula>NOT(ISERROR(SEARCH("欠",R1585)))</formula>
    </cfRule>
    <cfRule type="cellIs" dxfId="0" priority="2108" operator="equal">
      <formula>"欠"</formula>
    </cfRule>
  </conditionalFormatting>
  <conditionalFormatting sqref="Q1592 Q1599">
    <cfRule type="cellIs" dxfId="0" priority="539" operator="equal">
      <formula>"欠"</formula>
    </cfRule>
  </conditionalFormatting>
  <conditionalFormatting sqref="Q1594:Q1596 Q1622:Q1624">
    <cfRule type="cellIs" dxfId="0" priority="1103" operator="equal">
      <formula>"欠"</formula>
    </cfRule>
  </conditionalFormatting>
  <conditionalFormatting sqref="R1596 R1602:R1607">
    <cfRule type="containsText" dxfId="0" priority="1112" operator="between" text="欠">
      <formula>NOT(ISERROR(SEARCH("欠",R1596)))</formula>
    </cfRule>
    <cfRule type="cellIs" dxfId="0" priority="1123" operator="equal">
      <formula>"欠"</formula>
    </cfRule>
  </conditionalFormatting>
  <conditionalFormatting sqref="T1603:U1604">
    <cfRule type="containsText" dxfId="0" priority="505" operator="between" text="欠">
      <formula>NOT(ISERROR(SEARCH("欠",T1603)))</formula>
    </cfRule>
    <cfRule type="cellIs" dxfId="0" priority="506" operator="equal">
      <formula>"欠"</formula>
    </cfRule>
  </conditionalFormatting>
  <conditionalFormatting sqref="T1603:U1607 T1735:U1735">
    <cfRule type="containsText" dxfId="0" priority="1134" operator="between" text="欠">
      <formula>NOT(ISERROR(SEARCH("欠",T1603)))</formula>
    </cfRule>
    <cfRule type="cellIs" dxfId="0" priority="1156" operator="equal">
      <formula>"欠"</formula>
    </cfRule>
  </conditionalFormatting>
  <conditionalFormatting sqref="T1606:U1609 T1654:U1654 T1677:U1678">
    <cfRule type="containsText" dxfId="0" priority="2946" operator="between" text="欠">
      <formula>NOT(ISERROR(SEARCH("欠",T1606)))</formula>
    </cfRule>
    <cfRule type="cellIs" dxfId="0" priority="2966" operator="equal">
      <formula>"欠"</formula>
    </cfRule>
  </conditionalFormatting>
  <conditionalFormatting sqref="T1611:U1612">
    <cfRule type="containsText" dxfId="0" priority="1318" operator="between" text="欠">
      <formula>NOT(ISERROR(SEARCH("欠",T1611)))</formula>
    </cfRule>
    <cfRule type="cellIs" dxfId="0" priority="1322" operator="equal">
      <formula>"欠"</formula>
    </cfRule>
  </conditionalFormatting>
  <conditionalFormatting sqref="T1613:U1615">
    <cfRule type="containsText" dxfId="0" priority="775" operator="between" text="欠">
      <formula>NOT(ISERROR(SEARCH("欠",T1613)))</formula>
    </cfRule>
    <cfRule type="cellIs" dxfId="0" priority="785" operator="equal">
      <formula>"欠"</formula>
    </cfRule>
  </conditionalFormatting>
  <conditionalFormatting sqref="R1619 R1826:R1827">
    <cfRule type="containsText" dxfId="0" priority="3317" operator="between" text="欠">
      <formula>NOT(ISERROR(SEARCH("欠",R1619)))</formula>
    </cfRule>
    <cfRule type="cellIs" dxfId="0" priority="3318" operator="equal">
      <formula>"欠"</formula>
    </cfRule>
  </conditionalFormatting>
  <conditionalFormatting sqref="S1619 S1827">
    <cfRule type="cellIs" dxfId="0" priority="3320" operator="equal">
      <formula>"欠"</formula>
    </cfRule>
  </conditionalFormatting>
  <conditionalFormatting sqref="T1619:U1619 T1827:U1827">
    <cfRule type="containsText" dxfId="0" priority="3319" operator="between" text="欠">
      <formula>NOT(ISERROR(SEARCH("欠",T1619)))</formula>
    </cfRule>
    <cfRule type="cellIs" dxfId="0" priority="3321" operator="equal">
      <formula>"欠"</formula>
    </cfRule>
  </conditionalFormatting>
  <conditionalFormatting sqref="AN1620 AN1889 AN1984 AN1999">
    <cfRule type="cellIs" dxfId="0" priority="665" operator="equal">
      <formula>"欠"</formula>
    </cfRule>
  </conditionalFormatting>
  <conditionalFormatting sqref="S1621 S1722">
    <cfRule type="cellIs" dxfId="0" priority="2458" operator="equal">
      <formula>"欠"</formula>
    </cfRule>
  </conditionalFormatting>
  <conditionalFormatting sqref="T1626:U1626 T1655:U1655 T1695:U1695 T1702:U1703 T1766:U1766 T1985 T2075">
    <cfRule type="containsText" dxfId="0" priority="1764" operator="between" text="欠">
      <formula>NOT(ISERROR(SEARCH("欠",T1626)))</formula>
    </cfRule>
    <cfRule type="cellIs" dxfId="0" priority="1768" operator="equal">
      <formula>"欠"</formula>
    </cfRule>
  </conditionalFormatting>
  <conditionalFormatting sqref="R1629 R1689">
    <cfRule type="containsText" dxfId="0" priority="1795" operator="between" text="欠">
      <formula>NOT(ISERROR(SEARCH("欠",R1629)))</formula>
    </cfRule>
    <cfRule type="cellIs" dxfId="0" priority="1804" operator="equal">
      <formula>"欠"</formula>
    </cfRule>
  </conditionalFormatting>
  <conditionalFormatting sqref="S1629 S1689">
    <cfRule type="cellIs" dxfId="0" priority="1822" operator="equal">
      <formula>"欠"</formula>
    </cfRule>
  </conditionalFormatting>
  <conditionalFormatting sqref="T1629:U1629 T1689:U1689">
    <cfRule type="containsText" dxfId="0" priority="1813" operator="between" text="欠">
      <formula>NOT(ISERROR(SEARCH("欠",T1629)))</formula>
    </cfRule>
    <cfRule type="cellIs" dxfId="0" priority="1831" operator="equal">
      <formula>"欠"</formula>
    </cfRule>
  </conditionalFormatting>
  <conditionalFormatting sqref="V1633:V1640 V1865:V1869 V1970:V1974 V2027:V2033 V2061:V2067 V2092:V2099">
    <cfRule type="cellIs" dxfId="0" priority="1857" operator="equal">
      <formula>"欠"</formula>
    </cfRule>
  </conditionalFormatting>
  <conditionalFormatting sqref="T1650:U1651">
    <cfRule type="containsText" dxfId="0" priority="3511" operator="between" text="欠">
      <formula>NOT(ISERROR(SEARCH("欠",T1650)))</formula>
    </cfRule>
    <cfRule type="cellIs" dxfId="0" priority="3515" operator="equal">
      <formula>"欠"</formula>
    </cfRule>
  </conditionalFormatting>
  <conditionalFormatting sqref="T1656:U1666">
    <cfRule type="containsText" dxfId="0" priority="1539" operator="between" text="欠">
      <formula>NOT(ISERROR(SEARCH("欠",T1656)))</formula>
    </cfRule>
    <cfRule type="cellIs" dxfId="0" priority="1561" operator="equal">
      <formula>"欠"</formula>
    </cfRule>
  </conditionalFormatting>
  <conditionalFormatting sqref="R1676 T1676:U1676">
    <cfRule type="containsText" dxfId="0" priority="5475" operator="between" text="欠">
      <formula>NOT(ISERROR(SEARCH("欠",R1676)))</formula>
    </cfRule>
  </conditionalFormatting>
  <conditionalFormatting sqref="S1678 S1779:S1783 S1985 S2075">
    <cfRule type="cellIs" dxfId="0" priority="2782" operator="equal">
      <formula>"欠"</formula>
    </cfRule>
  </conditionalFormatting>
  <conditionalFormatting sqref="T1686:U1687">
    <cfRule type="containsText" dxfId="0" priority="1246" operator="between" text="欠">
      <formula>NOT(ISERROR(SEARCH("欠",T1686)))</formula>
    </cfRule>
    <cfRule type="cellIs" dxfId="0" priority="1250" operator="equal">
      <formula>"欠"</formula>
    </cfRule>
  </conditionalFormatting>
  <conditionalFormatting sqref="S1692:S1694 S1876">
    <cfRule type="cellIs" dxfId="0" priority="3525" operator="equal">
      <formula>"欠"</formula>
    </cfRule>
  </conditionalFormatting>
  <conditionalFormatting sqref="T1692:U1693">
    <cfRule type="containsText" dxfId="0" priority="3509" operator="between" text="欠">
      <formula>NOT(ISERROR(SEARCH("欠",T1692)))</formula>
    </cfRule>
    <cfRule type="cellIs" dxfId="0" priority="3513" operator="equal">
      <formula>"欠"</formula>
    </cfRule>
  </conditionalFormatting>
  <conditionalFormatting sqref="T1698:U1699">
    <cfRule type="containsText" dxfId="0" priority="633" operator="between" text="欠">
      <formula>NOT(ISERROR(SEARCH("欠",T1698)))</formula>
    </cfRule>
    <cfRule type="cellIs" dxfId="0" priority="634" operator="equal">
      <formula>"欠"</formula>
    </cfRule>
  </conditionalFormatting>
  <conditionalFormatting sqref="V1698:V1699 V1933 V1936:V1938">
    <cfRule type="cellIs" dxfId="0" priority="636" operator="equal">
      <formula>"欠"</formula>
    </cfRule>
  </conditionalFormatting>
  <conditionalFormatting sqref="T1701:U1701 T1709:U1716">
    <cfRule type="containsText" dxfId="0" priority="32" operator="between" text="欠">
      <formula>NOT(ISERROR(SEARCH("欠",T1701)))</formula>
    </cfRule>
    <cfRule type="cellIs" dxfId="0" priority="33" operator="equal">
      <formula>"欠"</formula>
    </cfRule>
  </conditionalFormatting>
  <conditionalFormatting sqref="R1706 R1809">
    <cfRule type="containsText" dxfId="0" priority="1119" operator="between" text="欠">
      <formula>NOT(ISERROR(SEARCH("欠",R1706)))</formula>
    </cfRule>
    <cfRule type="cellIs" dxfId="0" priority="1130" operator="equal">
      <formula>"欠"</formula>
    </cfRule>
  </conditionalFormatting>
  <conditionalFormatting sqref="T1706:U1706 T1809:U1809">
    <cfRule type="containsText" dxfId="0" priority="1141" operator="between" text="欠">
      <formula>NOT(ISERROR(SEARCH("欠",T1706)))</formula>
    </cfRule>
    <cfRule type="cellIs" dxfId="0" priority="1163" operator="equal">
      <formula>"欠"</formula>
    </cfRule>
  </conditionalFormatting>
  <conditionalFormatting sqref="R1717:R1718 R1784">
    <cfRule type="containsText" dxfId="0" priority="2217" operator="between" text="欠">
      <formula>NOT(ISERROR(SEARCH("欠",R1717)))</formula>
    </cfRule>
    <cfRule type="cellIs" dxfId="0" priority="2220" operator="equal">
      <formula>"欠"</formula>
    </cfRule>
  </conditionalFormatting>
  <conditionalFormatting sqref="T1717:U1718 T1784:U1784">
    <cfRule type="containsText" dxfId="0" priority="2223" operator="between" text="欠">
      <formula>NOT(ISERROR(SEARCH("欠",T1717)))</formula>
    </cfRule>
    <cfRule type="cellIs" dxfId="0" priority="2229" operator="equal">
      <formula>"欠"</formula>
    </cfRule>
  </conditionalFormatting>
  <conditionalFormatting sqref="AJ1720 AJ1809 AJ1834 AJ1887 AJ1940:AJ1941 AJ1963 AJ1966 AJ1983 AJ2037:AJ2038 AJ2080:AJ2081 AJ2083:AJ2084 AJ2087">
    <cfRule type="cellIs" dxfId="0" priority="5451" operator="equal">
      <formula>"未完成"</formula>
    </cfRule>
  </conditionalFormatting>
  <conditionalFormatting sqref="R1721:R1731 R1733">
    <cfRule type="containsText" dxfId="0" priority="2450" operator="between" text="欠">
      <formula>NOT(ISERROR(SEARCH("欠",R1721)))</formula>
    </cfRule>
    <cfRule type="cellIs" dxfId="0" priority="2452" operator="equal">
      <formula>"欠"</formula>
    </cfRule>
  </conditionalFormatting>
  <conditionalFormatting sqref="V1721 V1745">
    <cfRule type="cellIs" dxfId="0" priority="1789" operator="equal">
      <formula>"欠"</formula>
    </cfRule>
  </conditionalFormatting>
  <conditionalFormatting sqref="AN1739 AN1897">
    <cfRule type="cellIs" dxfId="0" priority="553" operator="equal">
      <formula>"欠"</formula>
    </cfRule>
  </conditionalFormatting>
  <conditionalFormatting sqref="T1741:U1742 T1751:U1768 T1837:U1842">
    <cfRule type="containsText" dxfId="0" priority="411" operator="between" text="欠">
      <formula>NOT(ISERROR(SEARCH("欠",T1741)))</formula>
    </cfRule>
    <cfRule type="cellIs" dxfId="0" priority="429" operator="equal">
      <formula>"欠"</formula>
    </cfRule>
  </conditionalFormatting>
  <conditionalFormatting sqref="R1742 R1890:R1892 R1919:R1922">
    <cfRule type="containsText" dxfId="0" priority="555" operator="between" text="欠">
      <formula>NOT(ISERROR(SEARCH("欠",R1742)))</formula>
    </cfRule>
    <cfRule type="cellIs" dxfId="0" priority="556" operator="equal">
      <formula>"欠"</formula>
    </cfRule>
  </conditionalFormatting>
  <conditionalFormatting sqref="S1742 S1919:S1924 S1984">
    <cfRule type="cellIs" dxfId="0" priority="554" operator="equal">
      <formula>"欠"</formula>
    </cfRule>
  </conditionalFormatting>
  <conditionalFormatting sqref="T1742:U1742 T1919:U1922">
    <cfRule type="containsText" dxfId="0" priority="557" operator="between" text="欠">
      <formula>NOT(ISERROR(SEARCH("欠",T1742)))</formula>
    </cfRule>
    <cfRule type="cellIs" dxfId="0" priority="558" operator="equal">
      <formula>"欠"</formula>
    </cfRule>
  </conditionalFormatting>
  <conditionalFormatting sqref="S1745:S1747 S1767 S1779:S1780 S1985 S2075">
    <cfRule type="cellIs" dxfId="0" priority="2453" operator="equal">
      <formula>"欠"</formula>
    </cfRule>
  </conditionalFormatting>
  <conditionalFormatting sqref="T1745:U1747 T1783:U1786">
    <cfRule type="containsText" dxfId="0" priority="2454" operator="between" text="欠">
      <formula>NOT(ISERROR(SEARCH("欠",T1745)))</formula>
    </cfRule>
    <cfRule type="containsText" dxfId="2" priority="2456" operator="between" text="欠">
      <formula>NOT(ISERROR(SEARCH("欠",T1745)))</formula>
    </cfRule>
    <cfRule type="cellIs" dxfId="0" priority="2457" operator="equal">
      <formula>"欠"</formula>
    </cfRule>
  </conditionalFormatting>
  <conditionalFormatting sqref="Q1747 Q1782">
    <cfRule type="cellIs" dxfId="0" priority="483" operator="equal">
      <formula>"欠"</formula>
    </cfRule>
  </conditionalFormatting>
  <conditionalFormatting sqref="Q1748 Q1780:Q1781">
    <cfRule type="cellIs" dxfId="0" priority="480" operator="equal">
      <formula>"欠"</formula>
    </cfRule>
  </conditionalFormatting>
  <conditionalFormatting sqref="T1748:U1748 T1780:U1781">
    <cfRule type="containsText" dxfId="0" priority="130" operator="between" text="欠">
      <formula>NOT(ISERROR(SEARCH("欠",T1748)))</formula>
    </cfRule>
    <cfRule type="cellIs" dxfId="0" priority="131" operator="equal">
      <formula>"欠"</formula>
    </cfRule>
  </conditionalFormatting>
  <conditionalFormatting sqref="R1774:R1775 R1786:R1789 R1803:R1846 R1848:R1858 R1860:R1873 R1876:R1951 R1956:R1984 R1987:R1994 R1996:R1997 R1999:R2014 R2016:R2041 R2053 R2055:R2075 R2091:R2099 R2101:R2102 R2109 R2113:R2114">
    <cfRule type="containsText" dxfId="0" priority="902" operator="between" text="欠">
      <formula>NOT(ISERROR(SEARCH("欠",R1774)))</formula>
    </cfRule>
    <cfRule type="cellIs" dxfId="0" priority="913" operator="equal">
      <formula>"欠"</formula>
    </cfRule>
  </conditionalFormatting>
  <conditionalFormatting sqref="T1775:U1777">
    <cfRule type="containsText" dxfId="0" priority="2298" operator="between" text="欠">
      <formula>NOT(ISERROR(SEARCH("欠",T1775)))</formula>
    </cfRule>
    <cfRule type="cellIs" dxfId="0" priority="2301" operator="equal">
      <formula>"欠"</formula>
    </cfRule>
  </conditionalFormatting>
  <conditionalFormatting sqref="R1779:R1784 R1845:R1853">
    <cfRule type="containsText" dxfId="0" priority="568" operator="between" text="欠">
      <formula>NOT(ISERROR(SEARCH("欠",R1779)))</formula>
    </cfRule>
    <cfRule type="cellIs" dxfId="0" priority="578" operator="equal">
      <formula>"欠"</formula>
    </cfRule>
  </conditionalFormatting>
  <conditionalFormatting sqref="T1779:U1782 T1985 T2075">
    <cfRule type="containsText" dxfId="0" priority="2816" operator="between" text="欠">
      <formula>NOT(ISERROR(SEARCH("欠",T1779)))</formula>
    </cfRule>
    <cfRule type="cellIs" dxfId="0" priority="2838" operator="equal">
      <formula>"欠"</formula>
    </cfRule>
  </conditionalFormatting>
  <conditionalFormatting sqref="V1779:V1780 V1908">
    <cfRule type="cellIs" dxfId="0" priority="2861" operator="equal">
      <formula>"欠"</formula>
    </cfRule>
  </conditionalFormatting>
  <conditionalFormatting sqref="T1780:U1782 T1794:U1796 T1800:U1800 T1802:U1805 T1809:U1841 T1843:U1896 T1898:U1904 T1911:U1913 T1915:U1917 T1922:U1952 T1956:U1983 U1984 T1985:U1992 U1993 T1994:U2015 T2017:U2048 U2049:U2050 T2051:U2057 U2058 T2059:U2061 T2062:T2067 T2084 T2092:T2099 T2104:T2108 T2123:U2124">
    <cfRule type="containsText" dxfId="0" priority="924" operator="between" text="欠">
      <formula>NOT(ISERROR(SEARCH("欠",T1780)))</formula>
    </cfRule>
    <cfRule type="cellIs" dxfId="0" priority="946" operator="equal">
      <formula>"欠"</formula>
    </cfRule>
  </conditionalFormatting>
  <conditionalFormatting sqref="S1781:S1783 S1837:S1842">
    <cfRule type="cellIs" dxfId="0" priority="420" operator="equal">
      <formula>"欠"</formula>
    </cfRule>
  </conditionalFormatting>
  <conditionalFormatting sqref="T1782:U1782 T1861:U1861">
    <cfRule type="containsText" dxfId="0" priority="126" operator="between" text="欠">
      <formula>NOT(ISERROR(SEARCH("欠",T1782)))</formula>
    </cfRule>
    <cfRule type="cellIs" dxfId="0" priority="127" operator="equal">
      <formula>"欠"</formula>
    </cfRule>
  </conditionalFormatting>
  <conditionalFormatting sqref="AL1782:AL1783 AL1839:AL1842">
    <cfRule type="cellIs" dxfId="1" priority="462" operator="equal">
      <formula>"未完成"</formula>
    </cfRule>
    <cfRule type="cellIs" dxfId="0" priority="471" operator="equal">
      <formula>"未完成"</formula>
    </cfRule>
  </conditionalFormatting>
  <conditionalFormatting sqref="S1786 S1791:S1843 S1848:S1874 S1876 S1878:S1896 S1899:S1900 S1910:S1912 S1914:S1916 S1919:S1937 S1940:S1949 S1951 S1955:S1957 S1960:S1984 S1986:S1998 S2000:S2001 S2003:S2009 S2013 S2020:S2024 S2027:S2035 S2038:S2042 S2044:S2045 S2048 S2052:S2057 S2059:S2072 S2091:S2099 S2101:S2102 S2104:S2109 S2113:S2114 S2123:S2124">
    <cfRule type="cellIs" dxfId="0" priority="935" operator="equal">
      <formula>"欠"</formula>
    </cfRule>
  </conditionalFormatting>
  <conditionalFormatting sqref="T1790:U1792">
    <cfRule type="containsText" dxfId="0" priority="1344" operator="between" text="欠">
      <formula>NOT(ISERROR(SEARCH("欠",T1790)))</formula>
    </cfRule>
    <cfRule type="cellIs" dxfId="0" priority="1350" operator="equal">
      <formula>"欠"</formula>
    </cfRule>
  </conditionalFormatting>
  <conditionalFormatting sqref="V1803:V1834 V1836:V1877 V1888:V1894 V1904:V1914 V1964 V1970:V1974 V1991:V1992 V2027:V2033 V2038 V2061:V2067 V2092:V2099">
    <cfRule type="cellIs" dxfId="0" priority="967" operator="equal">
      <formula>"欠"</formula>
    </cfRule>
  </conditionalFormatting>
  <conditionalFormatting sqref="AL1806:AL1869 AL1876:AL1906 AL2188">
    <cfRule type="cellIs" dxfId="1" priority="989" operator="equal">
      <formula>"未完成"</formula>
    </cfRule>
    <cfRule type="cellIs" dxfId="0" priority="1000" operator="equal">
      <formula>"未完成"</formula>
    </cfRule>
  </conditionalFormatting>
  <conditionalFormatting sqref="R1817 R1925:R1926 R1940:R1952">
    <cfRule type="containsText" dxfId="0" priority="1337" operator="between" text="欠">
      <formula>NOT(ISERROR(SEARCH("欠",R1817)))</formula>
    </cfRule>
    <cfRule type="cellIs" dxfId="0" priority="1340" operator="equal">
      <formula>"欠"</formula>
    </cfRule>
  </conditionalFormatting>
  <conditionalFormatting sqref="T1817:U1817 T1941:U1941 T1946:U1952 T1956:U1957">
    <cfRule type="containsText" dxfId="0" priority="1343" operator="between" text="欠">
      <formula>NOT(ISERROR(SEARCH("欠",T1817)))</formula>
    </cfRule>
    <cfRule type="cellIs" dxfId="0" priority="1349" operator="equal">
      <formula>"欠"</formula>
    </cfRule>
  </conditionalFormatting>
  <conditionalFormatting sqref="Q1819 Q1827">
    <cfRule type="cellIs" dxfId="0" priority="1409" operator="equal">
      <formula>"欠"</formula>
    </cfRule>
  </conditionalFormatting>
  <conditionalFormatting sqref="S1823:S1825 S1829 S1870:S1873 S2008:S2009 S2083">
    <cfRule type="cellIs" dxfId="0" priority="125" operator="equal">
      <formula>"欠"</formula>
    </cfRule>
  </conditionalFormatting>
  <conditionalFormatting sqref="R1824:R1831 R1901:R1904">
    <cfRule type="containsText" dxfId="0" priority="120" operator="between" text="欠">
      <formula>NOT(ISERROR(SEARCH("欠",R1824)))</formula>
    </cfRule>
    <cfRule type="cellIs" dxfId="0" priority="121" operator="equal">
      <formula>"欠"</formula>
    </cfRule>
  </conditionalFormatting>
  <conditionalFormatting sqref="T1824:U1831 T1901:U1904 T2008:U2009 T2034 T2085:U2085 U2086:U2102 T2103:U2103 U2104:U2109 T2110:U2112 U2113 T2120:T2121">
    <cfRule type="containsText" dxfId="0" priority="122" operator="between" text="欠">
      <formula>NOT(ISERROR(SEARCH("欠",T1824)))</formula>
    </cfRule>
    <cfRule type="containsText" dxfId="2" priority="123" operator="between" text="欠">
      <formula>NOT(ISERROR(SEARCH("欠",T1824)))</formula>
    </cfRule>
    <cfRule type="cellIs" dxfId="0" priority="124" operator="equal">
      <formula>"欠"</formula>
    </cfRule>
  </conditionalFormatting>
  <conditionalFormatting sqref="Q1828 Q1830:Q1836">
    <cfRule type="cellIs" dxfId="0" priority="181" operator="equal">
      <formula>"欠"</formula>
    </cfRule>
  </conditionalFormatting>
  <conditionalFormatting sqref="Q1842 Q1862:Q1863">
    <cfRule type="cellIs" dxfId="0" priority="475" operator="equal">
      <formula>"欠"</formula>
    </cfRule>
  </conditionalFormatting>
  <conditionalFormatting sqref="T1847:U1849">
    <cfRule type="containsText" dxfId="0" priority="1139" operator="between" text="欠">
      <formula>NOT(ISERROR(SEARCH("欠",T1847)))</formula>
    </cfRule>
    <cfRule type="cellIs" dxfId="0" priority="1161" operator="equal">
      <formula>"欠"</formula>
    </cfRule>
  </conditionalFormatting>
  <conditionalFormatting sqref="V1847:V1848 V1850">
    <cfRule type="cellIs" dxfId="0" priority="1183" operator="equal">
      <formula>"欠"</formula>
    </cfRule>
  </conditionalFormatting>
  <conditionalFormatting sqref="AL1847:AL1848 AL1850">
    <cfRule type="cellIs" dxfId="1" priority="1205" operator="equal">
      <formula>"未完成"</formula>
    </cfRule>
    <cfRule type="cellIs" dxfId="0" priority="1216" operator="equal">
      <formula>"未完成"</formula>
    </cfRule>
  </conditionalFormatting>
  <conditionalFormatting sqref="T1862:U1863">
    <cfRule type="containsText" dxfId="0" priority="128" operator="between" text="欠">
      <formula>NOT(ISERROR(SEARCH("欠",T1862)))</formula>
    </cfRule>
    <cfRule type="cellIs" dxfId="0" priority="129" operator="equal">
      <formula>"欠"</formula>
    </cfRule>
  </conditionalFormatting>
  <conditionalFormatting sqref="R1872 R1977:R1978">
    <cfRule type="containsText" dxfId="0" priority="111" operator="between" text="欠">
      <formula>NOT(ISERROR(SEARCH("欠",R1872)))</formula>
    </cfRule>
    <cfRule type="cellIs" dxfId="0" priority="112" operator="equal">
      <formula>"欠"</formula>
    </cfRule>
  </conditionalFormatting>
  <conditionalFormatting sqref="S1872 S1977:S1978">
    <cfRule type="cellIs" dxfId="0" priority="116" operator="equal">
      <formula>"欠"</formula>
    </cfRule>
  </conditionalFormatting>
  <conditionalFormatting sqref="T1872:U1872 T1977:U1978">
    <cfRule type="containsText" dxfId="0" priority="113" operator="between" text="欠">
      <formula>NOT(ISERROR(SEARCH("欠",T1872)))</formula>
    </cfRule>
    <cfRule type="containsText" dxfId="2" priority="114" operator="between" text="欠">
      <formula>NOT(ISERROR(SEARCH("欠",T1872)))</formula>
    </cfRule>
    <cfRule type="cellIs" dxfId="0" priority="115" operator="equal">
      <formula>"欠"</formula>
    </cfRule>
  </conditionalFormatting>
  <conditionalFormatting sqref="V1878:V1884 V1907:V1951 V1953:V1969 V1975:V2026 V2034:V2060 V2068:V2091 V2100:V2133">
    <cfRule type="cellIs" dxfId="0" priority="3994" operator="equal">
      <formula>"欠"</formula>
    </cfRule>
  </conditionalFormatting>
  <conditionalFormatting sqref="AI1878:AI1884 AI1907:AI1951 AI1953:AI2133">
    <cfRule type="cellIs" dxfId="0" priority="3987" operator="equal">
      <formula>"未完成"</formula>
    </cfRule>
  </conditionalFormatting>
  <conditionalFormatting sqref="AL1878:AL1884 AL1900:AL1902 AL1908:AL1952 AL1954:AL2133">
    <cfRule type="cellIs" dxfId="1" priority="4008" operator="equal">
      <formula>"未完成"</formula>
    </cfRule>
    <cfRule type="cellIs" dxfId="0" priority="4015" operator="equal">
      <formula>"未完成"</formula>
    </cfRule>
  </conditionalFormatting>
  <conditionalFormatting sqref="AM1878:AM1884 AM1907:AM1951 AM1953:AM2133">
    <cfRule type="cellIs" dxfId="0" priority="4001" operator="equal">
      <formula>"欠"</formula>
    </cfRule>
  </conditionalFormatting>
  <conditionalFormatting sqref="Q1887:Q1906 Q1921:Q1952 Q1954:Q2133">
    <cfRule type="cellIs" dxfId="0" priority="4022" operator="equal">
      <formula>"欠"</formula>
    </cfRule>
  </conditionalFormatting>
  <conditionalFormatting sqref="AJ1899 AJ1915:AJ1916 AJ1947:AJ1951 AJ1966 AJ1986 AJ2015">
    <cfRule type="cellIs" dxfId="0" priority="1022" operator="equal">
      <formula>"未完成"</formula>
    </cfRule>
  </conditionalFormatting>
  <conditionalFormatting sqref="R1901:R1903 R1941">
    <cfRule type="containsText" dxfId="0" priority="38" operator="between" text="欠">
      <formula>NOT(ISERROR(SEARCH("欠",R1901)))</formula>
    </cfRule>
    <cfRule type="cellIs" dxfId="0" priority="44" operator="equal">
      <formula>"欠"</formula>
    </cfRule>
  </conditionalFormatting>
  <conditionalFormatting sqref="S1901:S1903 S1941">
    <cfRule type="cellIs" dxfId="0" priority="56" operator="equal">
      <formula>"欠"</formula>
    </cfRule>
  </conditionalFormatting>
  <conditionalFormatting sqref="T1901:U1903 T1941:U1941">
    <cfRule type="containsText" dxfId="0" priority="50" operator="between" text="欠">
      <formula>NOT(ISERROR(SEARCH("欠",T1901)))</formula>
    </cfRule>
    <cfRule type="cellIs" dxfId="0" priority="62" operator="equal">
      <formula>"欠"</formula>
    </cfRule>
  </conditionalFormatting>
  <conditionalFormatting sqref="Q1925:Q1926 Q1940:Q1952">
    <cfRule type="cellIs" dxfId="0" priority="1369" operator="equal">
      <formula>"欠"</formula>
    </cfRule>
  </conditionalFormatting>
  <conditionalFormatting sqref="V1925:V1926 V1940:V1952">
    <cfRule type="cellIs" dxfId="0" priority="1357" operator="equal">
      <formula>"欠"</formula>
    </cfRule>
  </conditionalFormatting>
  <conditionalFormatting sqref="AI1925:AI1926 AI1940:AI1952">
    <cfRule type="cellIs" dxfId="0" priority="1354" operator="equal">
      <formula>"未完成"</formula>
    </cfRule>
  </conditionalFormatting>
  <conditionalFormatting sqref="AL1925:AL1926 AL1943:AL1952">
    <cfRule type="cellIs" dxfId="1" priority="1363" operator="equal">
      <formula>"未完成"</formula>
    </cfRule>
    <cfRule type="cellIs" dxfId="0" priority="1366" operator="equal">
      <formula>"未完成"</formula>
    </cfRule>
  </conditionalFormatting>
  <conditionalFormatting sqref="AM1925:AM1926 AM1940:AM1952">
    <cfRule type="cellIs" dxfId="0" priority="1360" operator="equal">
      <formula>"欠"</formula>
    </cfRule>
  </conditionalFormatting>
  <conditionalFormatting sqref="T1933:U1933 T2034">
    <cfRule type="containsText" dxfId="0" priority="1072" operator="between" text="欠">
      <formula>NOT(ISERROR(SEARCH("欠",T1933)))</formula>
    </cfRule>
    <cfRule type="cellIs" dxfId="0" priority="1080" operator="equal">
      <formula>"欠"</formula>
    </cfRule>
  </conditionalFormatting>
  <dataValidations count="1">
    <dataValidation type="list" allowBlank="1" showInputMessage="1" showErrorMessage="1" sqref="AF43:AH43 AF103 AF108 AF142 AF153 AF179 AF211 AF241 AF397 AH990 AI1455 AI1465 AI1985 R2153:R2156 AF31:AF42 AF44:AF49 AF52:AF55 AF57:AF87 AF89:AF91 AF99:AF101 AF110:AF117 AF122:AF123 AF127:AF129 AF132:AF135 AF158:AF159 AF187:AF188 AF433:AF436 AG798:AG800 AG2135:AG2152 AH2135:AH2145 AH2147:AH2152 AE2157:AF2162 AG2:AH42 AG44:AH57 AG60:AH524 AG526:AH789 AG866:AH867 AG1952:AH1953 AG1051:AH1053 AG2163:AH1048576">
      <formula1>"未完成,已完成,OK"</formula1>
    </dataValidation>
  </dataValidations>
  <pageMargins left="0.0777777777777778" right="0.118055555555556" top="0.196527777777778" bottom="0.196527777777778" header="0.15625" footer="0.0777777777777778"/>
  <pageSetup paperSize="9" scale="49" orientation="landscape" horizontalDpi="600"/>
  <headerFooter/>
  <ignoredErrors>
    <ignoredError sqref="D1922 E1998 D1995:E1996 D1988:E1992 D1993 D1980:E1980 E1971 D1963:E1968 D1969 D1970:E1970 D1958:D1959 D1952:D1956 E1951 D1948:E1948 D1934:E1934 E1931 D1930:E1930 E1928:E1929 D2000:E2001 D1919 E1983 D2003:E2033 D2042:E2046 D2048:E2123 D2035:E2040" numberStoredAsText="1"/>
    <ignoredError sqref="V2:AB1221 AQ241:AT607 V1:BT1 AD2:BT240 A1:T2 A3:I3 L3:T3 E6:T6 A6:C6 A4:T5 A7:I7 L7:T7 A8:T17 A18:I18 M18:T18 A19:T19 A20:I20 M20:T20 A21:T22 A23:I23 M23:T23 A24:T25 BQ1866:BR1869 M1866:M1869 AM1866:AM1869 AK1866:AK1869 BF1866:BJ1869 BD1866:BD1869 BL1866:BL1869 BO1866:BO1869 AF1866:AH1869 CX1866:XFD1869 CA1866:CQ1869 AY1866:AZ1869 BY1866:BY1869 I1866:I1869 A1866:C1866 W1866:Z1866 I1862:I1863 BY1862:BY1863 AY1862:AZ1863 CA1862:CQ1863 CX1862:XFD1863 AF1862:AH1863 BO1862:BO1863 BL1862:BL1863 BD1862:BD1863 BF1862:BJ1863 AK1862:AK1863 AM1862:AM1863 M1862:M1863 A1862:C1863 AS1862 BR1862 AQ1862 I1860 BY1860 AY1860:AZ1860 CA1860:CQ1860 CX1860:XFD1860 A1860:C1860 AQ1860 AF1860:AH1860 BO1860 BR1860 BL1860 BD1860 BF1860:BJ1860 AK1860 AM1860 AS1860 W1860:Z1860 F1860:G1860 BT1831:BT1833 I1831:I1833 M1831:N1833 AK1831:AK1833 AM1831:AM1833 CA1831:CN1833 CP1831:CQ1833 AQ1831:AS1833 W1831:Z1833 F1831:G1833 A1831:C1833 BO1831:BO1833 BY1831:BY1833 CX1831:XFD1833 BF1831:BJ1833 BD1831:BD1833 BL1831:BL1833 AW1831:AY1833 AF1831:AH1833 AF1811:AH1813 AW1811:AY1813 BF1811:BL1813 BD1811:BD1813 CX1811:XFD1813 F1812:G1813 E1811:G1811 A1811:C1813 I1811:I1813 AQ1811:AS1813 CQ1811:CQ1813 W1811:Z1813 CA1811:CO1813 BY1811:BY1813 BT1811:BT1813 BR1811:BR1813 BO1811:BO1813 AM1811 AK1811 BO1808 BY1808 CA1808:CO1808 W1808:Z1808 CQ1808 AQ1808:AS1808 I1808 F1808:G1808 A1808:C1808 CX1808:XFD1808 BD1808:BL1808 AW1808:AY1808 AF1808:AH1808 AK1808 AM1808 R1808 M1808:O1808 AK1804:AM1804 AF1804:AH1806 AW1804:AY1806 BD1804:BL1806 CX1804:XFD1806 A1806:G1806 E1805:G1805 F1804:G1804 A1804:C1805 I1804:I1806 AQ1804:AS1806 BO1804:BO1806 BT1804:BT1806 BQ1804:BR1806 CQ1804:CQ1806 M1804 AF1793:AH1794 AW1793:AY1794 BD1793:BL1794 CX1793:XFD1794 F1793:G1794 A1793:C1794 I1793:I1794 AQ1793:AS1794 BO1793:BO1794 BT1793:BT1794 BQ1793:BR1794 BY1793:CO1794 CQ1793:CQ1794 W1793:Z1794 AK1793:AK1794 AM1793:AM1794 W1786:Z1790 CQ1786:CQ1790 BY1786:CO1790 BT1786:BT1790 BQ1786:BR1790 BO1786:BO1790 AQ1786:AS1790 I1786:I1790 F1787:G1790 A1787:C1790 A1786:G1786 CX1786:XFD1790 BD1786:BL1790 AW1786:AY1790 AF1786:AH1790 M1786 BO1779 BT1779 BQ1779:BR1779 BY1779:CO1779 CQ1779 I1779 A1779:G1779 CX1779:XFD1779 BD1779:BL1779 AW1779:AY1779 W1779:Z1779 AF1779:AH1779 AQ1779:AS1779 AW1773:AY1777 BD1773:BL1777 CX1773:XFD1777 BO1773:BO1777 BT1773:BT1777 BQ1773:BR1777 BY1773:CO1777 CQ1773:CQ1777 E1773:G1777 A1773:C1777 I1773:I1777 AB1773:AB1774 AE1773:AH1776 AQ1773:AS1777 W1773:Z1777 W1768:Z1768 AQ1768:AS1768 AE1768:AH1768 AB1768 I1768 A1768:G1768 CQ1768 BY1768:CO1768 BT1768 BQ1768:BR1768 BO1768 CX1768:XFD1768 BD1768:BL1768 AW1768:AY1768 R1768 AW1766:AY1766 BD1766:BL1766 CX1766:XFD1766 BO1766 BT1766 BQ1766:BR1766 BY1766:CO1766 CQ1766 E1766:G1766 A1766:C1766 I1766 AB1766 AE1766:AH1766 AQ1766:AS1766 R1766 AW1744:AY1744 BD1744:BL1744 CX1744:XFD1744 BO1744 BT1744 BQ1744:BR1744 BY1744:CO1744 CQ1744 A1744:G1744 I1744 AB1744 AE1744:AH1744 AQ1744:AS1744 AM1744 AK1744 M1860 AB1868:AB1869 W1868:Z1869 BQ1863:BR1863 AE1739:AH1741 AW1739:AY1741 BD1739:BL1741 CX1739:XFD1741 AQ1739:AS1741 BO1739:BO1741 BT1739:BT1741 BQ1739:BR1741 BY1739:CO1741 CQ1739:CQ1741 E1740:G1741 F1739:G1739 A1739:C1741 I1739:I1741 AB1739:AB1741 W1739:Z1741 AK1739:AM1740 AB1725:AB1727 W1725:Z1727 BV1725:BW1727 AE1725:AH1727 AW1725:AY1727 BD1725:BL1727 CX1725:XFD1727 AQ1725:AS1727 BO1725:BO1727 BT1725:BT1727 BQ1725:BR1727 BY1725:CO1727 CQ1725:CQ1727 AK1725:AM1727 AB1721:AB1722 W1721:Z1722 BV1721:BW1722 AE1721:AH1722 AW1721:AY1722 BD1721:BL1722 CX1721:XFD1722 AQ1721:AS1722 BO1721:BO1722 BT1721:BT1722 BQ1721:BR1722 BY1721:CO1722 CQ1721:CQ1722 AK1721:AM1722 BV1709:BW1718 BO1709:BO1718 BT1709:BT1718 BQ1709:BR1718 BY1709:CO1718 AW1709:AY1718 BD1709:BL1718 CQ1709:CQ1718 CX1709:XFD1718 AQ1709:AS1718 AE1709:AH1718 AK1709:AM1711 Q1867:Q1869 A1867:G1869 E1866:G1866 F1863:G1863 CX1876:XFD1877 CA1876:CQ1877 AY1876:AZ1877 BY1876:BY1877 I1876:I1877 Q1876:Q1877 O1876:O1877 M1876:M1877 BF1876:BJ1877 BD1876:BD1877 BL1876:BL1877 BO1876:BO1877 BQ1876:BR1876 BR1877 AF1876:AH1877 E1876:G1877 A1876:C1877 W1876:Z1877 AB1876:AB1877 AM1876:AM1877 AK1876:AK1877 AQ1876:AS1877 R1554:R1624 Q1625:R1626 AM1901 AK1901 Q1901 M1901 I1901 F1901:G1901 A1901:C1901 AK1768:AM1768 AK1773:AK1774 AM1773:AM1774 AK1775:AM1775 AK1776:AK1777 AM1776:AM1777 BY1671:CO1673 BQ1671:BT1673 BO1671:BO1673 AE1673:AI1673 AE1671:AH1672 AW1671:AY1673 BC1671:BL1673 CQ1671:CQ1673 CX1671:XFD1673 AQ1671:AS1673 CP1840:CQ1840 CA1840:CN1840 M1828:N1828 BR1828 BF1816:BJ1817 BD1816:BD1817 AE241:AI608 A240:T240 F236:T239 A236:D239 A234:T235 F233:T233 A233:D233 A226:T232 F225:T225 A225:D225 A223:T224 F219:T222 A219:D222 A218:T218 F216:T217 A216:D217 A210:T215 H209:T209 A209:F209 A96:T208 F95:T95 A95:D95 A69:T94 F68:T68 A68:D68 A61:T67 F60:T60 A60:D60 A27:T59 F26:T26 A26:D26 BC241:BM1003 AV241:BA607 R1696:R1697 R1713:R1714 Q1709:R1712 R1706 M1705:O1706 I1705:I1706 F1706:G1706 E1705:G1705 A1705:C1706 Q1698:R1699 M1703:O1703 I1703 E1703:G1703 A1703:C1703 R1703 Q1705:R1705 Y1683:Z1683 AB1680:AB1687 Q1676:R1676 V1675:Z1676 AB1675:AB1676 R1675 I1675:I1676 M1675:O1676 A1675:G1676 I1678 M1678:O1678 E1678:G1678 A1678:C1678 V1678:Z1678 AB1678 R1678 V1680:Z1682 V1673:Z1673 AB1671:AB1673 Q1673:R1673 Y1672:Z1672 V1672:W1672 R1672 Q1657:R1657 R1651 M1651:O1651 Q1628:R1628 R1629 Q1630:R1630 M1628:O1630 M1557:O1626 I1572:I1626 I1444:I1570 M1530:R1553 M1554:P1556 R1529 M1529:P1529 M1472:P1474 R1472:R1474 M1475:R1476 M1477:P1478 R1477:R1478 M1479:R1528 F941:G941 A941:D941 I294:R389 I390 M390:R390 I391:R663 I664 M664:R664 I665:R665 I666 M666:R666 I667:R932 I933:I934 M933:R934 I935:R1123 I1124:I1125 M1124:R1125 I1126:R1221 I1222:K1443 M1222:R1471 A920:G940 F919:G919 A919:D919 A903:G918 F902:G902 A902:D902 A883:G901 F877:G882 A877:D882 A852:G876 F851:G851 A851:D851 A844:G850 F841:G843 A841:D843 A817:G840 F812:G816 A812:D816 A795:G811 F792:G794 A792:D794 A784:G791 F783:G783 A783:D783 A774:G782 F773:G773 A773:D773 A772:G772 F771:G771 A771:D771 A760:G770 F758:G759 A758:D759 A753:G757 F751:G752 A751:D752 A747:G750 F744:G746 A744:D746 A743:G743 F741:G742 A741:D742 A724:G740 F723:G723 A723:D723 A720:G722 C719:G719 A719 F713:G718 A713:D718 A712:G712 F711:G711 A711:D711 A706:G710 F701:G705 A701:D705 A697:G700 F691:G696 A691:D696 A680:G690 F675:G679 A675:D679 A664:G674 F663:G663 A663:D663 A658:G662 F657:G657 A657:D657 A656:G656 F653:G655 A653:D655 A644:G652 F643:G643 A643:D643 A642:G642 F641:G641 A641:D641 A637:G640 F635:G636 A635:D636 A629:G634 F624:G628 A624:D628 A622:G623 F621:G621 A621:D621 A615:G620 F614:G614 A614:D614 A602:G613 F601:G601 A601:D601 A587:G600 F585:G586 A585:D586 A583:G584 F577:G582 A577:D582 A567:G576 F566:G566 A566:D566 A564:G565 F558:G563 A558:D563 A536:G557 F532:G535 A532:D535 A519:G531 F513:G518 A513:D518 A507:G512 F505:G506 A505:D506 A500:G504 F499:G499 A499:D499 A491:G498 F489:G490 A489:D490 A470:G488 F463:G469 A463:D469 A462:G462 F461:G461 A461:D461 A431:G460 F430:G430 A430:D430 A427:G429 F426:G426 A426:D426 A410:G425 F406:G409 A406:D409 A402:G405 F401:G401 A401:D401 A396:G400 F394:G395 A394:D395 A392:G393 F391:G391 A391:D391 A388:G390 F386:G387 A386:D387 A377:G385 F370:G376 A370:D376 A354:G369 F352:G353 A352:D353 A345:G351 F343:G344 A343:D344 A339:G342 F338:G338 A338:D338 A336:G337 F329:G335 A329:D335 A328:F328 A326:G327 F321:G325 A321:D325 A310:G320 A309:F309 A300:G308 F296:G299 A296:D299 A294:G295 A292:R293 F287:R291 A287:D291 A286:R286 F285:R285 A285:D285 A257:R284 F256:R256 A256:D256 A255:R255 F248:R254 A248:D254 A241:R247 V1222:Z1626 AB1222:AB1626 E1625:G1626 F1621:G1624 E1620:G1620 F1619:G1619 E1618:G1618 F1617:G1617 A1617:C1626 A1616:G1616 F1614:G1615 E1613:G1613 F1611:G1612 A1611:C1615 A1610:G1610 E1606:G1609 A1606:C1609 A1605:G1605 E1603:G1604 F1602:G1602 A1602:C1604 A1601:G1601 F1600:G1600 E1597:G1599 F1594:G1596 E1592:G1593 F1585:G1591 E1582:G1584 A1580:C1600 A1579:D1579 F1578:G1581 E1576:G1577 F1570:G1575 E1569:G1569 F1566:G1568 A1566:C1578 A1564:G1565 E1562:G1563 A1562:C1563 A1561:G1561 E1560:G1560 F1558:G1559 A1558:C1560 A1557:G1557 F1556:G1556 A1556:C1556 A1555:G1555 E1554:G1554 A1554:C1554 A1553:G1553 E1550:G1552 A1550:C1552 A1549:G1549 E1546:G1548 F1544:G1545 A1544:C1548 A1543:G1543 E1541:G1542 F1539:G1540 A1539:C1542 A1537:G1538 E1536:G1536 A1536:C1536 A1530:G1535 E1525:G1529 F1523:G1524 A1523:C1529 A1522:G1522 F1512:G1521 E1511:G1511 F1510:G1510 A1510:C1521 A1507:G1509 F1502:G1506 E1499:G1501 F1498:G1498 A1498:C1506 A1496:G1497 F1489:G1495 A1489:D1495 A1486:G1488 E1484:G1485 F1479:G1483 E1478:G1478 A1478:C1485 A1475:G1477 E1472:G1474 A1472:C1474 A1471:G1471 E1467:G1470 F1466:G1466 A1466:C1470 A1463:G1465 E1462:G1462 A1462:C1462 A1461:G1461 F1460:G1460 A1460:C1460 A1456:G1459 E1455:G1455 A1455:C1455 A1450:G1454 F1448:G1449 A1448:C1449 A1446:G1447 F1445:G1445 A1445:C1445 A1437:G1444 A1436:C1436 F1435:G1436 A1435:D1435 A1431:G1434 E1430:G1430 A1430:C1430 F1429:G1429 A1429:D1429 A1428:G1428 E1427:G1427 A1427:C1427 A1422:G1426 E1419:G1421 F1416:G1418 A1416:C1421 A1413:G1415 F1407:G1412 A1407:C1412 A1406:G1406 F1405:G1405 E1400:G1404 A1400:C1405 A1398:G1399 E1396:G1397 A1396:C1397 A1394:G1395 E1392:G1393 F1390:G1391 A1390:C1393 A1389:G1389 E1388:G1388 F1382:G1387 A1382:C1388 A1380:G1381 F1379:G1379 A1379:C1379 A1372:G1378 E1370:G1371 A1370:C1371 A1367:G1369 F1365:G1366 A1365:C1366 A1362:G1364 E1358:G1361 A1358:C1361 A1355:G1357 E1353:G1354 A1353:C1354 A1346:G1352 A1345:C1345 F1341:G1345 A1341:D1344 A1340:G1340 F1339:G1339 A1339:C1339 A1335:G1338 F1334:G1334 A1334:C1334 A1332:G1333 A1331:D1331 F1330:G1331 A1330:C1330 A1316:G1329 F1312:G1315 A1312:D1315 A1309:G1311 F1307:G1308 A1307:D1308 A1301:G1306 F1300:G1300 A1300:D1300 A1286:G1299 F1285:G1285 A1285:D1285 A1275:G1284 F1273:G1274 A1273:D1274 A1272:G1272 F1271:G1271 A1271:D1271 A1269:G1270 F1267:G1268 A1267:D1268 A1241:G1266 F1240:G1240 A1240:D1240 A1238:G1239 F1237:G1237 A1237:D1237 A1221:G1236 F1219:G1220 A1219:D1220 A1218:G1218 F1216:G1217 A1216:D1217 A1209:G1215 F1205:G1208 A1205:D1208 A1188:G1204 F1187:G1187 A1187:D1187 A1179:G1186 F1174:G1178 A1174:D1178 A1160:G1173 F1158:G1159 A1158:D1159 A1157:G1157 F1156:G1156 A1156:D1156 A1144:G1155 F1143:G1143 A1143:D1143 A1132:G1142 F1130:G1131 A1130:D1131 A1128:G1129 F1126:G1127 A1126:D1127 A1107:G1125 F1105:G1106 A1105:D1106 A1076:G1104 F1074:G1075 A1074:D1075 A1049:G1073 F1048:G1048 A1048:D1048 A1006:G1047 F1005:G1005 A1005:D1005 A978:G1004 F977:G977 A977:D977 A955:G976 F953:G954 A953:D954 A951:G952 F950:G950 A950:D950 A942:G949 AE609:AH1380 AF1381:AH1381 AE1382:AH1578 AF1579:AH1579 AE1580:AH1626 AW1465:AY1626 AW608:BA1464 BC1204:BL1626 BF1203:BL1203 BC1203:BD1203 BC1004:BL1202 CQ1604:CQ1626 CK1604:CO1626 CK1579:CQ1603 BY1579:CI1626 BY1465:CQ1578 BQ608:BT1626 BO608:BO1626 BO241:BT607 CX1004:XFD1626 V1684:Z1687 Q1744:R1744 M1744:O1744 Y1744:Z1744 W1744 AK355:AM1626 AM353:AM354 AK353:AK354 AK241:AM352 AK1746:AM1746 AK1741 AQ608:AS1601 AQ1602 AS1602 AQ1603:AS1626 AM1813 AK1813 AK1812:AM1812 AF1823:AH1823 AK1827:AM1827 AM1823 AK1823 AW1823:AY1823 BL1823 BF1823:BJ1823 BD1823 BT1823 BR1823 CX1823:XFD1823 CA1827:CQ1827 CQ1823 CA1823:CO1823 BY1823 BQ1827:BR1827 BO1823 A1823:G1823 I1823 W1823:Z1823 M1827:O1827 M1823:O1823 AQ1823:AS1823 AS1866:AS1869 AQ1848:AQ1850 AQ1845:AR1845 AK1845 AM1845 BF1845:BJ1845 BD1845 BL1845 AY1845:AZ1845 AS1855:AS1857 AM1854:AM1857 AK1854:AK1857 CX1840:XFD1842 CA1841:CQ1842 BY1840:BY1842 BQ1840:BR1842 BO1840:BO1842 BL1840:BL1842 BF1840:BJ1842 BD1840:BD1842 AW1840:AY1842 AQ1840:AS1842 AK1840:AK1842 AM1840:AM1842 AF1840:AH1842 AK1828 AM1828 CA1828:CN1828 BT1827:BT1828 BQ1831:BR1833 CP1828:CQ1828 R1831 Q1832 Q1833:R1833 W1848:Z1848 M1845:N1845 X1862:Z1862 M1854:M1856 W1849:W1850 Y1849:Z1850 W1867 Y1867:Z1867 V1671:Z1671 Q1671:R1671 I1671:I1673 M1671:O1673 A1672:G1673 E1671:G1671 A1671:C1671 I1657:I1666 M1657:O1666 AK1684:AM1685 AK1686 AM1686 AK1687:AM1687 AK1695:AK1696 AM1695:AM1696 AK1697:AM1697 AK1698 AM1698 AK1699:AM1699 AK1712:AK1713 AM1712:AM1713 AM1682:AM1683 AK1682:AK1683 AK1671:AM1673 BY1664:CO1666 AM1805:AM1806 AK1805:AK1806 AK1797:AM1800 AM1789:AM1790 AK1789:AK1790 AK1788:AM1788 AM1786:AM1787 AK1786:AK1787 AK1782 AM1782 AK1783:AM1784 W1805:Z1806 M1805:O1806 R1805:R1806 M1811:O1813 Q1811:R1813 W1804 Y1804:Z1804 W1782:Z1784 R1782:R1783 M1782:O1783 M1784 O1784 Q1784:R1784 O1786 Q1786:R1786 M1787:N1790 R1787:R1790 M1793:N1793 R1793:R1794 R1800 O1804 Q1804:R1804 M1794 CA1804:CO1806 BY1804:BY1806 BT1808 BR1808 CQ1782:CQ1784 BY1782:CO1784 BT1782:BT1784 BQ1782:BR1784 BO1782:BO1784 AQ1782:AS1784 I1782:I1784 E1784:G1784 F1782:G1783 A1782:C1784 CX1782:XFD1784 BD1782:BL1784 AW1782:AY1784 AF1782:AH1784 R1739 Q1740:R1741 M1739:O1741 AB1732 W1732:Z1732 R1732 O1732 M1732 I1732 E1732:G1732 A1732:C1732 M1709:O1718 I1709:I1718 E1717:G1718 A1717:C1718 A1709:G1716 Q1715:R1718 R1722 Q1721:R1721 M1721:O1722 I1721:I1722 F1722:G1722 E1721:G1721 A1721:C1722 M1725:O1727 I1725:I1727 A1727:G1727 F1725:G1726 A1725:C1726 Q1725:R1727 R1662 Q1663:R1666 R1658:R1660 Q1661:R1661 AK1714:AM1715 AK1716:AK1717 AM1716:AM1717 AK1718:AM1718 AK1732:AM1732 AM1741 CQ1732 BY1732:CO1732 BT1732 BQ1732:BR1732 BO1732 AQ1732:AS1732 CX1732:XFD1732 BD1732:BL1732 AW1732:AY1732 AE1732:AH1732 AM1779 AK1779 AM1766 AK1766 AK1762:AM1762 AK1754:AM1755 AK1756 AM1756 AK1757:AM1757 AK1758:AK1761 AM1758:AM1761 AF1777:AH1777 M1754:O1762 M1766 O1766 W1762:Z1762 X1764:Z1764 M1775:O1777 R1776:R1777 M1779:O1779 R1779 M1768:O1768 M1773:O1773 R1773:R1774 M1774 O1774 W1766:Z1766 W1760:Z1760 Y1761:Z1761 X1759:Z1759 W1746:Z1746 R1754:R1762 V1628:Z1630 AB1628:AB1630 I1628:I1630 A1630:G1630 F1628:G1629 A1628:C1629 AE1628:AH1630 AW1628:AY1630 BC1628:BL1630 CQ1628:CQ1630 CK1628:CO1630 BY1628:CI1630 BQ1628:BT1630 BO1628:BO1630 CX1628:XFD1630 AK1628:AM1630 AQ1628:AS1630 R1641 Q1633:R1640 M1633:O1641 V1633:Z1641 AB1633:AB1641 I1633:I1641 F1633:G1641 A1633:C1641 AE1633:AH1641 AW1633:AY1641 BC1633:BL1641 CQ1633:CQ1641 CK1633:CO1641 BY1633:CI1641 BQ1633:BT1641 BO1633:BO1641 CX1633:XFD1641 AK1633:AM1641 AQ1633:AS1641 Q1644:R1648 R1649 M1644:O1649 AQ1644:AS1649 AK1644:AM1649 CX1644:XFD1649 BY1644:CI1649 BQ1644:BT1649 BO1644:BO1649 CK1644:CO1649 CQ1644:CQ1649 BC1644:BL1649 AW1644:AY1649 AE1644:AH1649 F1644:G1649 A1644:C1649 I1644:I1649 V1644:Z1649 AB1644:AB1649 AQ1651:AS1651 AK1651 AM1651 CX1651:XFD1651 BY1651:CI1651 BQ1651:BT1651 BO1651 CK1651:CO1651 CQ1651 BC1651:BL1651 AW1651:AY1651 AE1651:AH1651 F1651:G1651 A1651:C1651 I1651 V1651:Z1651 AB1651 M1654:O1654 R1654 V1654:Z1654 AB1654 I1654 E1654:G1654 A1654:C1654 AE1654:AH1654 AW1654:AY1654 BC1654:BL1654 CQ1654 CK1654:CO1654 BY1654:CI1654 BQ1654:BT1654 BO1654 CX1654:XFD1654 AK1654:AM1654 AQ1654:AS1654 V1657:Z1666 AB1657:AB1666 E1657:G1666 A1657:C1666 AE1657:AH1666 AW1657:AY1666 BC1657:BL1666 CQ1657:CQ1666 CK1657:CO1663 BY1657:CI1663 BQ1657:BT1666 BO1657:BO1666 CX1657:XFD1666 AK1657:AM1666 AQ1657:AS1666 AK1675:AM1676 BY1675:CO1676 BQ1675:BT1676 BO1675:BO1676 AW1675:AY1676 BC1675:BL1676 CQ1675:CQ1676 CX1675:XFD1676 AQ1675:AS1676 AE1675:AG1675 AK1678:AM1678 BY1678:CO1678 BQ1678:BT1678 BO1678 AW1678:AY1678 BC1678:BL1678 CQ1678 CX1678:XFD1678 AQ1678:AS1678 AK1680:AM1681 AE1680:AH1687 AQ1680:AS1687 CX1680:XFD1687 CQ1680:CQ1687 BC1680:BL1687 AW1680:AY1687 BY1680:CO1687 BQ1680:BT1687 BO1680:BO1687 Y1845:Z1845 A1850:G1850 F1848:G1849 A1848:C1849 A1845:G1845 Y1842:Z1842 W1842 W1840:Z1841 M1840 M1841:N1842 R1840:R1842 I1840:I1842 F1840:G1842 A1840:C1842 AM1883 AK1883 AF1883:AH1883 AB1883 X1883:Z1883 Q1883 O1883 M1883 I1883 F1883:G1883 A1883:C1883 O1887:O1888 Q1887 Q1892 O1891:O1892 M1887:M1888 AM1887:AM1888 AK1887:AK1888 BT1887:BT1888 BR1887:BR1888 BF1887:BJ1888 BD1887:BD1888 BL1887:BL1888 BO1887:BO1888 AY1887:AZ1888 AQ1887:AS1888 V1683:W1683 Q1691:R1691 M1691:O1691 I1691 E1691:G1691 A1691:C1691 I1680:I1687 M1686:O1687 Q1680:R1687 M1680:N1685 E1686:G1687 A1686:C1687 F1680:G1685 A1680:D1685 AE1676:AH1676 AE1678:AH1678 BR1883 BO1883 BF1883:BJ1883 BD1883 BL1883 AY1883:AZ1883 AQ1883:AS1883 BV1671:BW1673 BV1465:BW1626 BV1732:BW1732 BV1628:BW1630 BV1633:BW1641 BV1644:BW1649 BV1651:BW1651 BV1654:BW1654 BV1657:BW1666 BV1675:BW1676 BV1678:BW1678 BV1680:BW1687 BY1845 BV1004:CT1221 BV1222:CQ1464 M1850 I1845 BO1845 BQ1845:BR1845 AF1845:AH1845 CA1845:CQ1845 CX1845:XFD1845 BF1854:BJ1857 BD1854:BD1857 BL1854:BL1857 W1854:Z1854 X1855:Z1855 W1856:Z1857 BR1855:BR1857 BQ1854:BR1854 BO1854:BO1857 AF1854:AH1857 AQ1854:AQ1857 E1862:G1862 A1857:C1857 B1856 F1855:G1857 E1854:G1854 A1854:C1855 CX1854:XFD1857 CA1854:CQ1857 AY1854:AZ1857 BY1854:BY1857 I1854:I1857 W1887:Z1888 AF1901:AH1901 AB1901 AQ1901:AS1901 AY1901:AZ1901 BF1901:BJ1901 BD1901 BL1901 BO1901 BT1901 BQ1901:BR1901 W1901:Z1901 W1863:Z1863 AB1887:AB1888 I1887:I1888 F1892:G1892 A1892:C1892 A1888:G1888 F1887:G1887 A1887:C1887 AK1691:AM1691 AB1691 V1691:Z1691 AE1691:AH1691 AQ1691:AS1691 CX1691:XFD1691 CQ1691 BD1691:BL1691 AW1691:AY1691 BY1691:CO1691 BT1691 BQ1691:BR1691 BO1691 BV1691:BW1691 AK1693:AM1694 R1693 Q1694:R1695 M1693:O1699 I1693:I1699 A1697:G1699 E1695:G1696 F1693:G1694 A1693:C1696 W1698:Z1699 AB1693:AB1699 V1693:Z1697 AE1693:AH1699 AQ1693:AS1699 CX1693:XFD1699 CQ1693:CQ1699 BD1693:BL1699 AW1693:AY1699 BY1693:CO1699 BT1693:BT1699 BQ1693:BR1699 BO1693:BO1699 BV1693:BW1699 AF1887:AH1888 AK1703:AM1703 AB1703 W1703:Z1703 AE1703:AH1703 AQ1703:AS1703 CX1703:XFD1703 CQ1703 BD1703:BL1703 AW1703:AY1703 BY1703:CO1703 BT1703 BQ1703:BR1703 BO1703 BV1703:BW1703 AK1705:AM1706 BV1705:BW1706 BO1705:BO1706 BT1705:BT1706 BQ1705:BR1706 BY1705:CO1706 AW1705:AY1706 BD1705:BL1706 CQ1705:CQ1706 CX1705:XFD1706 AQ1705:AS1706 AE1705:AH1706 AB1705:AB1706 W1705:Z1706 W1709:Z1718 AB1709:AB1718 M1746:O1746 Q1746:R1746 AE1746:AH1746 AQ1746:AS1746 AW1746:AY1746 BD1746:BL1746 CX1746:XFD1746 BO1746 BT1746 BQ1746:BR1746 BY1746:CO1746 CQ1746 E1746:G1746 A1746:C1746 I1746 AB1746 R1748 M1748:O1748 AK1748:AM1748 W1748:Z1748 AE1748:AH1748 AQ1748:AS1748 AW1748:AY1748 BD1748:BL1748 CX1748:XFD1748 BO1748 BT1748 BQ1748:BR1748 BY1748:CO1748 CQ1748 F1748:G1748 A1748:C1748 I1748 AB1748 W1754:Z1758 AE1754:AH1762 AQ1754:AS1762 AW1754:AY1762 BD1754:BL1762 CX1754:XFD1762 BO1754:BO1762 BT1754:BT1762 BQ1754:BR1762 BY1754:CO1762 CQ1754:CQ1762 A1754:G1762 I1754:I1762 AB1754:AB1762 M1764:O1764 AK1764:AM1764 AQ1764:AS1764 AE1764:AH1764 R1764 AB1764 I1764 A1764:G1764 CQ1764 BY1764:CO1764 BT1764 BQ1764:BR1764 BO1764 CX1764:XFD1764 BD1764:BL1764 AW1764:AY1764 Q1798:R1799 R1797 BY1797:CO1800 W1797:Z1800 AF1800:AG1800 AF1797:AH1799 AW1797:AY1800 BD1797:BL1800 CX1797:XFD1800 F1799:G1800 E1798:G1798 F1797:G1797 A1797:C1800 I1797:I1800 AQ1797:AS1800 BO1797:BO1800 BT1797:BT1800 BQ1797:BR1800 CQ1797:CQ1800 M1797:M1800 AQ1816:AS1817 BL1816:BL1817 AW1816:AY1817 AM1816:AM1817 AK1816:AK1817 AF1816:AH1817 Q1816:Q1817 M1816:O1817 I1816:I1817 A1816:G1817 W1816:Z1817 CX1816:XFD1817 BO1816:BO1817 BT1816:BT1817 BR1816:BR1817 BY1816:BY1817 CA1816:CO1817 CQ1816:CQ1817 AQ1827:AS1828 W1827:Z1828 I1827:I1828 E1828:G1828 F1827:G1827 A1827:C1828 BO1827:BO1828 BY1827:BY1828 CX1827:XFD1828 BF1827:BJ1828 BD1827:BD1828 BL1827:BL1828 AW1827:AY1828 AF1827:AH1828 CX1848:XFD1850 CA1848:CQ1850 AF1848:AH1850 BQ1848:BR1850 BO1848:BO1850 I1848:I1850 BY1848:BY1850 AY1848:AZ1850 BL1848:BL1850 BD1848:BD1850 BF1848:BJ1850 AM1848:AM1850 AK1848:AK1850 A1891:G1891 AF1891:AH1892 I1891:I1892 AB1891:AB1892 W1891:Z1892 AQ1891:AS1892 AY1891:AZ1892 BO1891:BO1892 BL1891:BL1892 BD1891:BD1892 BF1891:BJ1892 BR1891:BR1892 BT1891:BT1892 AK1891:AK1892 AM1891:AM1892 M1891:M1892 AJ2025"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2"/>
  <sheetViews>
    <sheetView workbookViewId="0">
      <pane xSplit="7" ySplit="2" topLeftCell="I425" activePane="bottomRight" state="frozen"/>
      <selection/>
      <selection pane="topRight"/>
      <selection pane="bottomLeft"/>
      <selection pane="bottomRight" activeCell="C172" sqref="C172"/>
    </sheetView>
  </sheetViews>
  <sheetFormatPr defaultColWidth="9" defaultRowHeight="13.5"/>
  <cols>
    <col min="1" max="1" width="9" style="397"/>
    <col min="2" max="2" width="9.38333333333333" style="397" customWidth="1"/>
    <col min="3" max="3" width="10.3333333333333" style="397"/>
    <col min="4" max="4" width="17.025" style="397" customWidth="1"/>
    <col min="5" max="5" width="9" style="397"/>
    <col min="6" max="6" width="12.5833333333333" style="397" customWidth="1"/>
    <col min="7" max="7" width="9" style="397"/>
    <col min="8" max="20" width="9.23333333333333" style="397" customWidth="1"/>
    <col min="21" max="21" width="9" style="397"/>
    <col min="22" max="22" width="79.1333333333333" style="397" customWidth="1"/>
    <col min="23" max="16384" width="9" style="397"/>
  </cols>
  <sheetData>
    <row r="1" ht="36" customHeight="1" spans="1:22">
      <c r="A1" s="528" t="s">
        <v>112</v>
      </c>
      <c r="B1" s="528"/>
      <c r="C1" s="528"/>
      <c r="D1" s="528"/>
      <c r="E1" s="528"/>
      <c r="F1" s="528"/>
      <c r="G1" s="528"/>
      <c r="H1" s="528"/>
      <c r="I1" s="528"/>
      <c r="J1" s="528"/>
      <c r="K1" s="528"/>
      <c r="L1" s="528"/>
      <c r="M1" s="528"/>
      <c r="N1" s="528"/>
      <c r="O1" s="528"/>
      <c r="P1" s="528"/>
      <c r="Q1" s="528"/>
      <c r="R1" s="528"/>
      <c r="S1" s="528"/>
      <c r="T1" s="528"/>
      <c r="U1" s="528"/>
      <c r="V1" s="528"/>
    </row>
    <row r="2" s="525" customFormat="1" ht="22" customHeight="1" spans="1:22">
      <c r="A2" s="529" t="s">
        <v>11129</v>
      </c>
      <c r="B2" s="529" t="s">
        <v>11130</v>
      </c>
      <c r="C2" s="529" t="s">
        <v>11131</v>
      </c>
      <c r="D2" s="529" t="s">
        <v>11132</v>
      </c>
      <c r="E2" s="529" t="s">
        <v>11133</v>
      </c>
      <c r="F2" s="529" t="s">
        <v>11134</v>
      </c>
      <c r="G2" s="529" t="s">
        <v>11135</v>
      </c>
      <c r="H2" s="530" t="s">
        <v>11136</v>
      </c>
      <c r="I2" s="531" t="s">
        <v>11137</v>
      </c>
      <c r="J2" s="530" t="s">
        <v>11138</v>
      </c>
      <c r="K2" s="532" t="s">
        <v>11139</v>
      </c>
      <c r="L2" s="530" t="s">
        <v>11140</v>
      </c>
      <c r="M2" s="424" t="s">
        <v>11141</v>
      </c>
      <c r="N2" s="530" t="s">
        <v>5971</v>
      </c>
      <c r="O2" s="530" t="s">
        <v>50</v>
      </c>
      <c r="P2" s="530" t="s">
        <v>11142</v>
      </c>
      <c r="Q2" s="530" t="s">
        <v>5974</v>
      </c>
      <c r="R2" s="530" t="s">
        <v>5976</v>
      </c>
      <c r="S2" s="530" t="str">
        <f>'77673'!BF1</f>
        <v>TARGET客版收缩膜</v>
      </c>
      <c r="T2" s="530" t="str">
        <f>'77673'!BG1</f>
        <v>TARGET客版收藏指南</v>
      </c>
      <c r="U2" s="530" t="s">
        <v>11143</v>
      </c>
      <c r="V2" s="425" t="s">
        <v>23</v>
      </c>
    </row>
    <row r="3" s="397" customFormat="1" ht="16" customHeight="1" spans="1:22">
      <c r="A3" s="426">
        <v>45726</v>
      </c>
      <c r="B3" s="427" t="s">
        <v>11144</v>
      </c>
      <c r="C3" s="429" t="s">
        <v>11145</v>
      </c>
      <c r="D3" s="428" t="s">
        <v>111</v>
      </c>
      <c r="E3" s="428">
        <v>80000</v>
      </c>
      <c r="F3" s="429" t="s">
        <v>11146</v>
      </c>
      <c r="G3" s="428" t="s">
        <v>11147</v>
      </c>
      <c r="H3" s="430">
        <f>E3</f>
        <v>80000</v>
      </c>
      <c r="I3" s="430"/>
      <c r="J3" s="430"/>
      <c r="K3" s="430"/>
      <c r="L3" s="430"/>
      <c r="M3" s="430"/>
      <c r="N3" s="430"/>
      <c r="O3" s="430"/>
      <c r="P3" s="430"/>
      <c r="Q3" s="430"/>
      <c r="R3" s="430"/>
      <c r="S3" s="430"/>
      <c r="T3" s="430"/>
      <c r="U3" s="430" t="s">
        <v>11148</v>
      </c>
      <c r="V3" s="432" t="s">
        <v>11149</v>
      </c>
    </row>
    <row r="4" s="397" customFormat="1" ht="15" customHeight="1" spans="1:22">
      <c r="A4" s="426">
        <v>45726</v>
      </c>
      <c r="B4" s="427" t="s">
        <v>11150</v>
      </c>
      <c r="C4" s="429" t="s">
        <v>11151</v>
      </c>
      <c r="D4" s="428" t="s">
        <v>111</v>
      </c>
      <c r="E4" s="428">
        <v>20000</v>
      </c>
      <c r="F4" s="429" t="s">
        <v>11152</v>
      </c>
      <c r="G4" s="428" t="s">
        <v>11153</v>
      </c>
      <c r="H4" s="430"/>
      <c r="I4" s="430"/>
      <c r="J4" s="430">
        <f>E4</f>
        <v>20000</v>
      </c>
      <c r="K4" s="430"/>
      <c r="L4" s="430"/>
      <c r="M4" s="430"/>
      <c r="N4" s="430"/>
      <c r="O4" s="430"/>
      <c r="P4" s="430"/>
      <c r="Q4" s="430"/>
      <c r="R4" s="430"/>
      <c r="S4" s="430"/>
      <c r="T4" s="430"/>
      <c r="U4" s="430" t="s">
        <v>11148</v>
      </c>
      <c r="V4" s="432" t="s">
        <v>11149</v>
      </c>
    </row>
    <row r="5" s="397" customFormat="1" ht="16" customHeight="1" spans="1:22">
      <c r="A5" s="426">
        <v>45726</v>
      </c>
      <c r="B5" s="427" t="s">
        <v>11154</v>
      </c>
      <c r="C5" s="429" t="s">
        <v>11155</v>
      </c>
      <c r="D5" s="428" t="s">
        <v>111</v>
      </c>
      <c r="E5" s="428">
        <v>150000</v>
      </c>
      <c r="F5" s="429" t="s">
        <v>11156</v>
      </c>
      <c r="G5" s="428" t="s">
        <v>11157</v>
      </c>
      <c r="H5" s="430"/>
      <c r="I5" s="430">
        <f>E5</f>
        <v>150000</v>
      </c>
      <c r="J5" s="430"/>
      <c r="K5" s="430"/>
      <c r="L5" s="430"/>
      <c r="M5" s="430"/>
      <c r="N5" s="430"/>
      <c r="O5" s="430"/>
      <c r="P5" s="430"/>
      <c r="Q5" s="430"/>
      <c r="R5" s="430"/>
      <c r="S5" s="430"/>
      <c r="T5" s="430"/>
      <c r="U5" s="430" t="s">
        <v>11148</v>
      </c>
      <c r="V5" s="432" t="s">
        <v>11158</v>
      </c>
    </row>
    <row r="6" s="397" customFormat="1" ht="16" customHeight="1" spans="1:22">
      <c r="A6" s="426">
        <v>45726</v>
      </c>
      <c r="B6" s="427" t="s">
        <v>11159</v>
      </c>
      <c r="C6" s="429" t="s">
        <v>11160</v>
      </c>
      <c r="D6" s="428" t="s">
        <v>111</v>
      </c>
      <c r="E6" s="428">
        <v>1500</v>
      </c>
      <c r="F6" s="429" t="s">
        <v>11161</v>
      </c>
      <c r="G6" s="428" t="s">
        <v>11147</v>
      </c>
      <c r="H6" s="430"/>
      <c r="I6" s="430"/>
      <c r="J6" s="430"/>
      <c r="K6" s="430"/>
      <c r="L6" s="430">
        <f>E6</f>
        <v>1500</v>
      </c>
      <c r="M6" s="430"/>
      <c r="N6" s="430"/>
      <c r="O6" s="430"/>
      <c r="P6" s="430"/>
      <c r="Q6" s="430"/>
      <c r="R6" s="430"/>
      <c r="S6" s="430"/>
      <c r="T6" s="430"/>
      <c r="U6" s="430" t="s">
        <v>11148</v>
      </c>
      <c r="V6" s="432" t="s">
        <v>11158</v>
      </c>
    </row>
    <row r="7" s="397" customFormat="1" ht="16" customHeight="1" spans="1:22">
      <c r="A7" s="426">
        <v>45736</v>
      </c>
      <c r="B7" s="427" t="s">
        <v>11162</v>
      </c>
      <c r="C7" s="429" t="s">
        <v>11145</v>
      </c>
      <c r="D7" s="428" t="s">
        <v>111</v>
      </c>
      <c r="E7" s="428">
        <v>40000</v>
      </c>
      <c r="F7" s="429" t="s">
        <v>11146</v>
      </c>
      <c r="G7" s="428" t="s">
        <v>11147</v>
      </c>
      <c r="H7" s="430">
        <v>40000</v>
      </c>
      <c r="I7" s="430"/>
      <c r="J7" s="430"/>
      <c r="K7" s="430"/>
      <c r="L7" s="430"/>
      <c r="M7" s="430"/>
      <c r="N7" s="430"/>
      <c r="O7" s="430"/>
      <c r="P7" s="430"/>
      <c r="Q7" s="430"/>
      <c r="R7" s="430"/>
      <c r="S7" s="430"/>
      <c r="T7" s="430"/>
      <c r="U7" s="430" t="s">
        <v>11148</v>
      </c>
      <c r="V7" s="432" t="s">
        <v>11149</v>
      </c>
    </row>
    <row r="8" s="397" customFormat="1" ht="16" customHeight="1" spans="1:22">
      <c r="A8" s="426">
        <v>45736</v>
      </c>
      <c r="B8" s="427" t="s">
        <v>11163</v>
      </c>
      <c r="C8" s="429" t="s">
        <v>11151</v>
      </c>
      <c r="D8" s="428" t="s">
        <v>111</v>
      </c>
      <c r="E8" s="428">
        <v>20000</v>
      </c>
      <c r="F8" s="429" t="s">
        <v>11152</v>
      </c>
      <c r="G8" s="428" t="s">
        <v>11153</v>
      </c>
      <c r="H8" s="430"/>
      <c r="I8" s="430"/>
      <c r="J8" s="430">
        <v>20000</v>
      </c>
      <c r="K8" s="430"/>
      <c r="L8" s="430"/>
      <c r="M8" s="430"/>
      <c r="N8" s="430"/>
      <c r="O8" s="430"/>
      <c r="P8" s="430"/>
      <c r="Q8" s="430"/>
      <c r="R8" s="430"/>
      <c r="S8" s="430"/>
      <c r="T8" s="430"/>
      <c r="U8" s="430" t="s">
        <v>11148</v>
      </c>
      <c r="V8" s="432" t="s">
        <v>11149</v>
      </c>
    </row>
    <row r="9" s="397" customFormat="1" ht="16" customHeight="1" spans="1:22">
      <c r="A9" s="426">
        <v>45736</v>
      </c>
      <c r="B9" s="427" t="s">
        <v>11164</v>
      </c>
      <c r="C9" s="429" t="s">
        <v>11155</v>
      </c>
      <c r="D9" s="428" t="s">
        <v>111</v>
      </c>
      <c r="E9" s="428">
        <v>50000</v>
      </c>
      <c r="F9" s="429" t="s">
        <v>11156</v>
      </c>
      <c r="G9" s="428" t="s">
        <v>11157</v>
      </c>
      <c r="H9" s="430"/>
      <c r="I9" s="430">
        <v>50000</v>
      </c>
      <c r="J9" s="430"/>
      <c r="K9" s="430"/>
      <c r="L9" s="430"/>
      <c r="M9" s="430"/>
      <c r="N9" s="430"/>
      <c r="O9" s="430"/>
      <c r="P9" s="430"/>
      <c r="Q9" s="430"/>
      <c r="R9" s="430"/>
      <c r="S9" s="430"/>
      <c r="T9" s="430"/>
      <c r="U9" s="430" t="s">
        <v>11148</v>
      </c>
      <c r="V9" s="432" t="s">
        <v>11158</v>
      </c>
    </row>
    <row r="10" s="397" customFormat="1" ht="16" customHeight="1" spans="1:22">
      <c r="A10" s="426">
        <v>45736</v>
      </c>
      <c r="B10" s="427" t="s">
        <v>11165</v>
      </c>
      <c r="C10" s="429" t="s">
        <v>11160</v>
      </c>
      <c r="D10" s="428" t="s">
        <v>111</v>
      </c>
      <c r="E10" s="428">
        <v>8000</v>
      </c>
      <c r="F10" s="429" t="s">
        <v>11161</v>
      </c>
      <c r="G10" s="428" t="s">
        <v>11147</v>
      </c>
      <c r="H10" s="430"/>
      <c r="I10" s="430"/>
      <c r="J10" s="430"/>
      <c r="K10" s="430"/>
      <c r="L10" s="430">
        <v>8000</v>
      </c>
      <c r="M10" s="430"/>
      <c r="N10" s="430"/>
      <c r="O10" s="430"/>
      <c r="P10" s="430"/>
      <c r="Q10" s="430"/>
      <c r="R10" s="430"/>
      <c r="S10" s="430"/>
      <c r="T10" s="430"/>
      <c r="U10" s="430" t="s">
        <v>11148</v>
      </c>
      <c r="V10" s="432" t="s">
        <v>11158</v>
      </c>
    </row>
    <row r="11" s="397" customFormat="1" ht="16" customHeight="1" spans="1:22">
      <c r="A11" s="426">
        <v>45736</v>
      </c>
      <c r="B11" s="427" t="s">
        <v>11166</v>
      </c>
      <c r="C11" s="429" t="s">
        <v>11167</v>
      </c>
      <c r="D11" s="428" t="s">
        <v>111</v>
      </c>
      <c r="E11" s="428">
        <v>2500</v>
      </c>
      <c r="F11" s="429" t="s">
        <v>11168</v>
      </c>
      <c r="G11" s="428" t="s">
        <v>11153</v>
      </c>
      <c r="H11" s="430"/>
      <c r="I11" s="430"/>
      <c r="J11" s="430"/>
      <c r="K11" s="430"/>
      <c r="L11" s="430"/>
      <c r="M11" s="430">
        <v>2500</v>
      </c>
      <c r="N11" s="430"/>
      <c r="O11" s="430"/>
      <c r="P11" s="430"/>
      <c r="Q11" s="430"/>
      <c r="R11" s="430"/>
      <c r="S11" s="430"/>
      <c r="T11" s="430"/>
      <c r="U11" s="430" t="s">
        <v>11148</v>
      </c>
      <c r="V11" s="432" t="s">
        <v>11158</v>
      </c>
    </row>
    <row r="12" s="397" customFormat="1" ht="16" customHeight="1" spans="1:22">
      <c r="A12" s="426">
        <v>45742</v>
      </c>
      <c r="B12" s="427" t="s">
        <v>11169</v>
      </c>
      <c r="C12" s="429" t="s">
        <v>11170</v>
      </c>
      <c r="D12" s="428" t="s">
        <v>11171</v>
      </c>
      <c r="E12" s="428">
        <v>20000</v>
      </c>
      <c r="F12" s="429" t="s">
        <v>11172</v>
      </c>
      <c r="G12" s="428" t="s">
        <v>11157</v>
      </c>
      <c r="H12" s="430"/>
      <c r="I12" s="430"/>
      <c r="J12" s="430"/>
      <c r="K12" s="430"/>
      <c r="L12" s="430"/>
      <c r="M12" s="430"/>
      <c r="N12" s="430">
        <v>20000</v>
      </c>
      <c r="O12" s="430"/>
      <c r="P12" s="430"/>
      <c r="Q12" s="430"/>
      <c r="R12" s="430"/>
      <c r="S12" s="430"/>
      <c r="T12" s="430"/>
      <c r="U12" s="430" t="s">
        <v>11173</v>
      </c>
      <c r="V12" s="432" t="s">
        <v>11174</v>
      </c>
    </row>
    <row r="13" s="397" customFormat="1" ht="16" customHeight="1" spans="1:22">
      <c r="A13" s="426">
        <v>45743</v>
      </c>
      <c r="B13" s="427" t="s">
        <v>11175</v>
      </c>
      <c r="C13" s="429" t="s">
        <v>11170</v>
      </c>
      <c r="D13" s="428" t="s">
        <v>11171</v>
      </c>
      <c r="E13" s="428">
        <v>20000</v>
      </c>
      <c r="F13" s="429" t="s">
        <v>11176</v>
      </c>
      <c r="G13" s="428" t="s">
        <v>11157</v>
      </c>
      <c r="H13" s="430"/>
      <c r="I13" s="430"/>
      <c r="J13" s="430"/>
      <c r="K13" s="430"/>
      <c r="L13" s="430"/>
      <c r="M13" s="430"/>
      <c r="N13" s="430"/>
      <c r="O13" s="430">
        <v>20000</v>
      </c>
      <c r="P13" s="430"/>
      <c r="Q13" s="430"/>
      <c r="R13" s="430"/>
      <c r="S13" s="430"/>
      <c r="T13" s="430"/>
      <c r="U13" s="430" t="s">
        <v>11173</v>
      </c>
      <c r="V13" s="432" t="s">
        <v>11174</v>
      </c>
    </row>
    <row r="14" s="397" customFormat="1" ht="16" customHeight="1" spans="1:22">
      <c r="A14" s="426">
        <v>45743</v>
      </c>
      <c r="B14" s="427" t="s">
        <v>11177</v>
      </c>
      <c r="C14" s="429"/>
      <c r="D14" s="428" t="s">
        <v>11171</v>
      </c>
      <c r="E14" s="428">
        <v>20000</v>
      </c>
      <c r="F14" s="429" t="s">
        <v>11172</v>
      </c>
      <c r="G14" s="428" t="s">
        <v>11147</v>
      </c>
      <c r="H14" s="430"/>
      <c r="I14" s="430"/>
      <c r="J14" s="430"/>
      <c r="K14" s="430"/>
      <c r="L14" s="430"/>
      <c r="M14" s="430"/>
      <c r="N14" s="430"/>
      <c r="O14" s="430"/>
      <c r="P14" s="430"/>
      <c r="Q14" s="430"/>
      <c r="R14" s="430"/>
      <c r="S14" s="430">
        <v>20000</v>
      </c>
      <c r="T14" s="430"/>
      <c r="U14" s="430" t="s">
        <v>11173</v>
      </c>
      <c r="V14" s="432" t="s">
        <v>11178</v>
      </c>
    </row>
    <row r="15" s="397" customFormat="1" ht="16" customHeight="1" spans="1:22">
      <c r="A15" s="426">
        <v>45742</v>
      </c>
      <c r="B15" s="427" t="s">
        <v>11179</v>
      </c>
      <c r="C15" s="429"/>
      <c r="D15" s="428" t="s">
        <v>11171</v>
      </c>
      <c r="E15" s="428">
        <v>20000</v>
      </c>
      <c r="F15" s="429" t="s">
        <v>11176</v>
      </c>
      <c r="G15" s="428" t="s">
        <v>11157</v>
      </c>
      <c r="H15" s="430"/>
      <c r="I15" s="430"/>
      <c r="J15" s="430"/>
      <c r="K15" s="430"/>
      <c r="L15" s="430"/>
      <c r="M15" s="430"/>
      <c r="N15" s="430"/>
      <c r="O15" s="430"/>
      <c r="P15" s="430"/>
      <c r="Q15" s="430"/>
      <c r="R15" s="430"/>
      <c r="S15" s="430"/>
      <c r="T15" s="430">
        <v>20000</v>
      </c>
      <c r="U15" s="430" t="s">
        <v>11173</v>
      </c>
      <c r="V15" s="432" t="s">
        <v>11178</v>
      </c>
    </row>
    <row r="16" s="397" customFormat="1" ht="16" customHeight="1" spans="1:22">
      <c r="A16" s="426">
        <v>45748</v>
      </c>
      <c r="B16" s="427">
        <v>1000026823</v>
      </c>
      <c r="C16" s="429" t="s">
        <v>11151</v>
      </c>
      <c r="D16" s="428" t="s">
        <v>111</v>
      </c>
      <c r="E16" s="428">
        <v>30000</v>
      </c>
      <c r="F16" s="429" t="s">
        <v>11152</v>
      </c>
      <c r="G16" s="428" t="s">
        <v>11153</v>
      </c>
      <c r="H16" s="430"/>
      <c r="I16" s="430"/>
      <c r="J16" s="430">
        <v>30000</v>
      </c>
      <c r="K16" s="430"/>
      <c r="L16" s="430"/>
      <c r="M16" s="430"/>
      <c r="N16" s="430"/>
      <c r="O16" s="430"/>
      <c r="P16" s="430"/>
      <c r="Q16" s="430"/>
      <c r="R16" s="430"/>
      <c r="S16" s="430"/>
      <c r="T16" s="430"/>
      <c r="U16" s="430" t="s">
        <v>11148</v>
      </c>
      <c r="V16" s="432" t="s">
        <v>11149</v>
      </c>
    </row>
    <row r="17" s="397" customFormat="1" ht="16" customHeight="1" spans="1:22">
      <c r="A17" s="426">
        <v>45748</v>
      </c>
      <c r="B17" s="427" t="s">
        <v>11180</v>
      </c>
      <c r="C17" s="429" t="s">
        <v>11160</v>
      </c>
      <c r="D17" s="428" t="s">
        <v>111</v>
      </c>
      <c r="E17" s="428">
        <v>7000</v>
      </c>
      <c r="F17" s="429" t="s">
        <v>11161</v>
      </c>
      <c r="G17" s="428" t="s">
        <v>11147</v>
      </c>
      <c r="H17" s="430"/>
      <c r="I17" s="430"/>
      <c r="J17" s="430"/>
      <c r="K17" s="430"/>
      <c r="L17" s="430">
        <v>7000</v>
      </c>
      <c r="M17" s="430"/>
      <c r="N17" s="430"/>
      <c r="O17" s="430"/>
      <c r="P17" s="430"/>
      <c r="Q17" s="430"/>
      <c r="R17" s="430"/>
      <c r="S17" s="430"/>
      <c r="T17" s="430"/>
      <c r="U17" s="430" t="s">
        <v>11148</v>
      </c>
      <c r="V17" s="432" t="s">
        <v>11158</v>
      </c>
    </row>
    <row r="18" s="397" customFormat="1" ht="16" customHeight="1" spans="1:22">
      <c r="A18" s="426">
        <v>45748</v>
      </c>
      <c r="B18" s="427" t="s">
        <v>11181</v>
      </c>
      <c r="C18" s="429" t="s">
        <v>11167</v>
      </c>
      <c r="D18" s="428" t="s">
        <v>111</v>
      </c>
      <c r="E18" s="428">
        <v>1000</v>
      </c>
      <c r="F18" s="429" t="s">
        <v>11168</v>
      </c>
      <c r="G18" s="428" t="s">
        <v>11153</v>
      </c>
      <c r="H18" s="430"/>
      <c r="I18" s="430"/>
      <c r="J18" s="430"/>
      <c r="K18" s="430"/>
      <c r="L18" s="430"/>
      <c r="M18" s="430">
        <v>1000</v>
      </c>
      <c r="N18" s="430"/>
      <c r="O18" s="430"/>
      <c r="P18" s="430"/>
      <c r="Q18" s="430"/>
      <c r="R18" s="430"/>
      <c r="S18" s="430"/>
      <c r="T18" s="430"/>
      <c r="U18" s="430" t="s">
        <v>11148</v>
      </c>
      <c r="V18" s="432" t="s">
        <v>11158</v>
      </c>
    </row>
    <row r="19" s="397" customFormat="1" ht="16" customHeight="1" spans="1:22">
      <c r="A19" s="426">
        <v>45770</v>
      </c>
      <c r="B19" s="427" t="s">
        <v>11182</v>
      </c>
      <c r="C19" s="429" t="s">
        <v>11183</v>
      </c>
      <c r="D19" s="428" t="s">
        <v>111</v>
      </c>
      <c r="E19" s="428">
        <v>20000</v>
      </c>
      <c r="F19" s="429" t="s">
        <v>11152</v>
      </c>
      <c r="G19" s="428" t="s">
        <v>11153</v>
      </c>
      <c r="H19" s="430"/>
      <c r="I19" s="430"/>
      <c r="J19" s="430">
        <v>20000</v>
      </c>
      <c r="K19" s="430"/>
      <c r="L19" s="430"/>
      <c r="M19" s="430"/>
      <c r="N19" s="430"/>
      <c r="O19" s="430"/>
      <c r="P19" s="430"/>
      <c r="Q19" s="430"/>
      <c r="R19" s="430"/>
      <c r="S19" s="430"/>
      <c r="T19" s="430"/>
      <c r="U19" s="430" t="s">
        <v>11148</v>
      </c>
      <c r="V19" s="432"/>
    </row>
    <row r="20" s="397" customFormat="1" ht="16" customHeight="1" spans="1:22">
      <c r="A20" s="426">
        <v>45770</v>
      </c>
      <c r="B20" s="427" t="s">
        <v>11184</v>
      </c>
      <c r="C20" s="429" t="s">
        <v>11183</v>
      </c>
      <c r="D20" s="428" t="s">
        <v>111</v>
      </c>
      <c r="E20" s="428">
        <v>20000</v>
      </c>
      <c r="F20" s="429" t="s">
        <v>11156</v>
      </c>
      <c r="G20" s="428" t="s">
        <v>11157</v>
      </c>
      <c r="H20" s="430"/>
      <c r="I20" s="430">
        <v>20000</v>
      </c>
      <c r="J20" s="430"/>
      <c r="K20" s="430"/>
      <c r="L20" s="430"/>
      <c r="M20" s="430"/>
      <c r="N20" s="430"/>
      <c r="O20" s="430"/>
      <c r="P20" s="430"/>
      <c r="Q20" s="430"/>
      <c r="R20" s="430"/>
      <c r="S20" s="430"/>
      <c r="T20" s="430"/>
      <c r="U20" s="430" t="s">
        <v>11148</v>
      </c>
      <c r="V20" s="432"/>
    </row>
    <row r="21" s="397" customFormat="1" ht="16" customHeight="1" spans="1:22">
      <c r="A21" s="426">
        <v>45770</v>
      </c>
      <c r="B21" s="427" t="s">
        <v>11185</v>
      </c>
      <c r="C21" s="429" t="s">
        <v>11183</v>
      </c>
      <c r="D21" s="428" t="s">
        <v>111</v>
      </c>
      <c r="E21" s="428">
        <v>2500</v>
      </c>
      <c r="F21" s="429" t="s">
        <v>11161</v>
      </c>
      <c r="G21" s="428" t="s">
        <v>11147</v>
      </c>
      <c r="H21" s="430"/>
      <c r="I21" s="430"/>
      <c r="J21" s="430"/>
      <c r="K21" s="430"/>
      <c r="L21" s="430">
        <v>2500</v>
      </c>
      <c r="M21" s="430"/>
      <c r="N21" s="430"/>
      <c r="O21" s="430"/>
      <c r="P21" s="430"/>
      <c r="Q21" s="430"/>
      <c r="R21" s="430"/>
      <c r="S21" s="430"/>
      <c r="T21" s="430"/>
      <c r="U21" s="430" t="s">
        <v>11148</v>
      </c>
      <c r="V21" s="432"/>
    </row>
    <row r="22" s="397" customFormat="1" ht="16" customHeight="1" spans="1:22">
      <c r="A22" s="426">
        <v>45770</v>
      </c>
      <c r="B22" s="427" t="s">
        <v>11186</v>
      </c>
      <c r="C22" s="429" t="s">
        <v>11183</v>
      </c>
      <c r="D22" s="428" t="s">
        <v>111</v>
      </c>
      <c r="E22" s="428">
        <v>4000</v>
      </c>
      <c r="F22" s="429" t="s">
        <v>11168</v>
      </c>
      <c r="G22" s="428" t="s">
        <v>11153</v>
      </c>
      <c r="H22" s="430"/>
      <c r="I22" s="430"/>
      <c r="J22" s="430"/>
      <c r="K22" s="430"/>
      <c r="L22" s="430"/>
      <c r="M22" s="430">
        <v>4000</v>
      </c>
      <c r="N22" s="430"/>
      <c r="O22" s="430"/>
      <c r="P22" s="430"/>
      <c r="Q22" s="430"/>
      <c r="R22" s="430"/>
      <c r="S22" s="430"/>
      <c r="T22" s="430"/>
      <c r="U22" s="430" t="s">
        <v>11148</v>
      </c>
      <c r="V22" s="432"/>
    </row>
    <row r="23" s="397" customFormat="1" ht="16" customHeight="1" spans="1:22">
      <c r="A23" s="426">
        <v>45784</v>
      </c>
      <c r="B23" s="427" t="s">
        <v>11187</v>
      </c>
      <c r="C23" s="429" t="s">
        <v>11183</v>
      </c>
      <c r="D23" s="428" t="s">
        <v>111</v>
      </c>
      <c r="E23" s="428">
        <v>5000</v>
      </c>
      <c r="F23" s="429" t="s">
        <v>11161</v>
      </c>
      <c r="G23" s="428" t="s">
        <v>11147</v>
      </c>
      <c r="H23" s="430"/>
      <c r="I23" s="430"/>
      <c r="J23" s="430"/>
      <c r="K23" s="430"/>
      <c r="L23" s="430">
        <v>5000</v>
      </c>
      <c r="M23" s="430"/>
      <c r="N23" s="430"/>
      <c r="O23" s="430"/>
      <c r="P23" s="430"/>
      <c r="Q23" s="430"/>
      <c r="R23" s="430"/>
      <c r="S23" s="430"/>
      <c r="T23" s="430"/>
      <c r="U23" s="430" t="s">
        <v>11148</v>
      </c>
      <c r="V23" s="432"/>
    </row>
    <row r="24" s="397" customFormat="1" ht="16" customHeight="1" spans="1:22">
      <c r="A24" s="426">
        <v>45784</v>
      </c>
      <c r="B24" s="427" t="s">
        <v>11188</v>
      </c>
      <c r="C24" s="429" t="s">
        <v>11183</v>
      </c>
      <c r="D24" s="428" t="s">
        <v>111</v>
      </c>
      <c r="E24" s="428">
        <v>20000</v>
      </c>
      <c r="F24" s="429" t="s">
        <v>11152</v>
      </c>
      <c r="G24" s="428" t="s">
        <v>11153</v>
      </c>
      <c r="H24" s="430"/>
      <c r="I24" s="430"/>
      <c r="J24" s="430">
        <v>20000</v>
      </c>
      <c r="K24" s="430"/>
      <c r="L24" s="430"/>
      <c r="M24" s="430"/>
      <c r="N24" s="430"/>
      <c r="O24" s="430"/>
      <c r="P24" s="430"/>
      <c r="Q24" s="430"/>
      <c r="R24" s="430"/>
      <c r="S24" s="430"/>
      <c r="T24" s="430"/>
      <c r="U24" s="430" t="s">
        <v>11148</v>
      </c>
      <c r="V24" s="432"/>
    </row>
    <row r="25" s="397" customFormat="1" ht="17" customHeight="1" spans="1:22">
      <c r="A25" s="426">
        <v>45784</v>
      </c>
      <c r="B25" s="427" t="s">
        <v>11189</v>
      </c>
      <c r="C25" s="429" t="s">
        <v>11183</v>
      </c>
      <c r="D25" s="428" t="s">
        <v>111</v>
      </c>
      <c r="E25" s="428">
        <v>4000</v>
      </c>
      <c r="F25" s="429" t="s">
        <v>11168</v>
      </c>
      <c r="G25" s="428" t="s">
        <v>11153</v>
      </c>
      <c r="H25" s="430"/>
      <c r="I25" s="430"/>
      <c r="J25" s="430"/>
      <c r="K25" s="430"/>
      <c r="L25" s="430"/>
      <c r="M25" s="430">
        <v>4000</v>
      </c>
      <c r="N25" s="430"/>
      <c r="O25" s="430"/>
      <c r="P25" s="430"/>
      <c r="Q25" s="430"/>
      <c r="R25" s="430"/>
      <c r="S25" s="430"/>
      <c r="T25" s="430"/>
      <c r="U25" s="430" t="s">
        <v>11148</v>
      </c>
      <c r="V25" s="432"/>
    </row>
    <row r="26" s="397" customFormat="1" ht="16" customHeight="1" spans="1:22">
      <c r="A26" s="426">
        <v>45789</v>
      </c>
      <c r="B26" s="427">
        <v>1000027752</v>
      </c>
      <c r="C26" s="436" t="s">
        <v>11190</v>
      </c>
      <c r="D26" s="428" t="s">
        <v>111</v>
      </c>
      <c r="E26" s="428">
        <v>402</v>
      </c>
      <c r="F26" s="429" t="s">
        <v>11161</v>
      </c>
      <c r="G26" s="428" t="s">
        <v>11147</v>
      </c>
      <c r="H26" s="430"/>
      <c r="I26" s="430"/>
      <c r="J26" s="430"/>
      <c r="K26" s="430"/>
      <c r="L26" s="430">
        <v>402</v>
      </c>
      <c r="M26" s="430"/>
      <c r="N26" s="430"/>
      <c r="O26" s="430"/>
      <c r="P26" s="430"/>
      <c r="Q26" s="430"/>
      <c r="R26" s="430"/>
      <c r="S26" s="430"/>
      <c r="T26" s="430"/>
      <c r="U26" s="430" t="s">
        <v>73</v>
      </c>
      <c r="V26" s="432"/>
    </row>
    <row r="27" s="397" customFormat="1" ht="16" customHeight="1" spans="1:22">
      <c r="A27" s="426">
        <v>45793</v>
      </c>
      <c r="B27" s="427" t="s">
        <v>11191</v>
      </c>
      <c r="C27" s="429" t="s">
        <v>11183</v>
      </c>
      <c r="D27" s="428" t="s">
        <v>111</v>
      </c>
      <c r="E27" s="428">
        <v>2500</v>
      </c>
      <c r="F27" s="429" t="s">
        <v>11161</v>
      </c>
      <c r="G27" s="428" t="s">
        <v>11147</v>
      </c>
      <c r="H27" s="430"/>
      <c r="I27" s="430"/>
      <c r="J27" s="430"/>
      <c r="K27" s="430"/>
      <c r="L27" s="430">
        <v>2500</v>
      </c>
      <c r="M27" s="430"/>
      <c r="N27" s="430"/>
      <c r="O27" s="430"/>
      <c r="P27" s="430"/>
      <c r="Q27" s="430"/>
      <c r="R27" s="430"/>
      <c r="S27" s="430"/>
      <c r="T27" s="430"/>
      <c r="U27" s="430" t="s">
        <v>11148</v>
      </c>
      <c r="V27" s="432" t="s">
        <v>11158</v>
      </c>
    </row>
    <row r="28" s="397" customFormat="1" ht="16" customHeight="1" spans="1:22">
      <c r="A28" s="426">
        <v>45793</v>
      </c>
      <c r="B28" s="427" t="s">
        <v>11192</v>
      </c>
      <c r="C28" s="429" t="s">
        <v>11183</v>
      </c>
      <c r="D28" s="428" t="s">
        <v>111</v>
      </c>
      <c r="E28" s="428">
        <v>1500</v>
      </c>
      <c r="F28" s="429" t="s">
        <v>11168</v>
      </c>
      <c r="G28" s="428" t="s">
        <v>11153</v>
      </c>
      <c r="H28" s="430"/>
      <c r="I28" s="430"/>
      <c r="J28" s="430"/>
      <c r="K28" s="430"/>
      <c r="L28" s="430"/>
      <c r="M28" s="430">
        <v>1500</v>
      </c>
      <c r="N28" s="430"/>
      <c r="O28" s="430"/>
      <c r="P28" s="430"/>
      <c r="Q28" s="430"/>
      <c r="R28" s="430"/>
      <c r="S28" s="430"/>
      <c r="T28" s="430"/>
      <c r="U28" s="430" t="s">
        <v>11148</v>
      </c>
      <c r="V28" s="432" t="s">
        <v>11158</v>
      </c>
    </row>
    <row r="29" s="397" customFormat="1" ht="16" customHeight="1" spans="1:22">
      <c r="A29" s="426">
        <v>45771</v>
      </c>
      <c r="B29" s="427" t="s">
        <v>11193</v>
      </c>
      <c r="C29" s="429" t="s">
        <v>11194</v>
      </c>
      <c r="D29" s="428">
        <v>77785</v>
      </c>
      <c r="E29" s="428">
        <v>20000</v>
      </c>
      <c r="F29" s="429" t="s">
        <v>11195</v>
      </c>
      <c r="G29" s="428"/>
      <c r="H29" s="430"/>
      <c r="I29" s="430"/>
      <c r="J29" s="430"/>
      <c r="K29" s="430"/>
      <c r="L29" s="430"/>
      <c r="M29" s="430"/>
      <c r="N29" s="430"/>
      <c r="O29" s="430"/>
      <c r="P29" s="430">
        <v>20000</v>
      </c>
      <c r="Q29" s="430"/>
      <c r="R29" s="430"/>
      <c r="S29" s="430"/>
      <c r="T29" s="430"/>
      <c r="U29" s="430" t="s">
        <v>11173</v>
      </c>
      <c r="V29" s="432" t="s">
        <v>11196</v>
      </c>
    </row>
    <row r="30" s="397" customFormat="1" ht="16" customHeight="1" spans="1:22">
      <c r="A30" s="426">
        <v>45806</v>
      </c>
      <c r="B30" s="427" t="s">
        <v>11197</v>
      </c>
      <c r="C30" s="429" t="s">
        <v>11183</v>
      </c>
      <c r="D30" s="428" t="s">
        <v>111</v>
      </c>
      <c r="E30" s="428">
        <v>80000</v>
      </c>
      <c r="F30" s="429" t="s">
        <v>11146</v>
      </c>
      <c r="G30" s="428" t="s">
        <v>11147</v>
      </c>
      <c r="H30" s="430">
        <v>80000</v>
      </c>
      <c r="I30" s="430"/>
      <c r="J30" s="430"/>
      <c r="K30" s="430"/>
      <c r="L30" s="430"/>
      <c r="M30" s="430"/>
      <c r="N30" s="430"/>
      <c r="O30" s="430"/>
      <c r="P30" s="430"/>
      <c r="Q30" s="430"/>
      <c r="R30" s="430"/>
      <c r="S30" s="430"/>
      <c r="T30" s="430"/>
      <c r="U30" s="430" t="s">
        <v>11148</v>
      </c>
      <c r="V30" s="432" t="s">
        <v>11149</v>
      </c>
    </row>
    <row r="31" s="397" customFormat="1" ht="16" customHeight="1" spans="1:22">
      <c r="A31" s="426">
        <v>45806</v>
      </c>
      <c r="B31" s="427" t="s">
        <v>11198</v>
      </c>
      <c r="C31" s="429" t="s">
        <v>11183</v>
      </c>
      <c r="D31" s="428" t="s">
        <v>111</v>
      </c>
      <c r="E31" s="428">
        <v>20000</v>
      </c>
      <c r="F31" s="429" t="s">
        <v>11152</v>
      </c>
      <c r="G31" s="428" t="s">
        <v>11153</v>
      </c>
      <c r="H31" s="430"/>
      <c r="I31" s="430"/>
      <c r="J31" s="430">
        <v>20000</v>
      </c>
      <c r="K31" s="430"/>
      <c r="L31" s="430"/>
      <c r="M31" s="430"/>
      <c r="N31" s="430"/>
      <c r="O31" s="430"/>
      <c r="P31" s="430"/>
      <c r="Q31" s="430"/>
      <c r="R31" s="430"/>
      <c r="S31" s="430"/>
      <c r="T31" s="430"/>
      <c r="U31" s="430" t="s">
        <v>11148</v>
      </c>
      <c r="V31" s="432" t="s">
        <v>11149</v>
      </c>
    </row>
    <row r="32" s="397" customFormat="1" ht="16" customHeight="1" spans="1:22">
      <c r="A32" s="426">
        <v>45806</v>
      </c>
      <c r="B32" s="427" t="s">
        <v>11199</v>
      </c>
      <c r="C32" s="429" t="s">
        <v>11183</v>
      </c>
      <c r="D32" s="428" t="s">
        <v>111</v>
      </c>
      <c r="E32" s="428">
        <v>150000</v>
      </c>
      <c r="F32" s="429" t="s">
        <v>11156</v>
      </c>
      <c r="G32" s="428" t="s">
        <v>11157</v>
      </c>
      <c r="H32" s="430"/>
      <c r="I32" s="430">
        <v>150000</v>
      </c>
      <c r="J32" s="430"/>
      <c r="K32" s="430"/>
      <c r="L32" s="430"/>
      <c r="M32" s="430"/>
      <c r="N32" s="430"/>
      <c r="O32" s="430"/>
      <c r="P32" s="430"/>
      <c r="Q32" s="430"/>
      <c r="R32" s="430"/>
      <c r="S32" s="430"/>
      <c r="T32" s="430"/>
      <c r="U32" s="430" t="s">
        <v>11148</v>
      </c>
      <c r="V32" s="432" t="s">
        <v>11158</v>
      </c>
    </row>
    <row r="33" s="397" customFormat="1" ht="16" customHeight="1" spans="1:22">
      <c r="A33" s="426">
        <v>45806</v>
      </c>
      <c r="B33" s="427" t="s">
        <v>11200</v>
      </c>
      <c r="C33" s="429" t="s">
        <v>11183</v>
      </c>
      <c r="D33" s="428" t="s">
        <v>111</v>
      </c>
      <c r="E33" s="428">
        <v>7000</v>
      </c>
      <c r="F33" s="429" t="s">
        <v>11161</v>
      </c>
      <c r="G33" s="428" t="s">
        <v>11147</v>
      </c>
      <c r="H33" s="430"/>
      <c r="I33" s="430"/>
      <c r="J33" s="430"/>
      <c r="K33" s="430"/>
      <c r="L33" s="430">
        <v>7000</v>
      </c>
      <c r="M33" s="430"/>
      <c r="N33" s="430"/>
      <c r="O33" s="430"/>
      <c r="P33" s="430"/>
      <c r="Q33" s="430"/>
      <c r="R33" s="430"/>
      <c r="S33" s="430"/>
      <c r="T33" s="430"/>
      <c r="U33" s="430" t="s">
        <v>11148</v>
      </c>
      <c r="V33" s="432" t="s">
        <v>11158</v>
      </c>
    </row>
    <row r="34" s="397" customFormat="1" ht="16" customHeight="1" spans="1:22">
      <c r="A34" s="426">
        <v>45806</v>
      </c>
      <c r="B34" s="427" t="s">
        <v>11201</v>
      </c>
      <c r="C34" s="429"/>
      <c r="D34" s="428" t="s">
        <v>11171</v>
      </c>
      <c r="E34" s="428">
        <v>22772</v>
      </c>
      <c r="F34" s="429" t="s">
        <v>11172</v>
      </c>
      <c r="G34" s="428" t="s">
        <v>11147</v>
      </c>
      <c r="H34" s="430"/>
      <c r="I34" s="430"/>
      <c r="J34" s="430"/>
      <c r="K34" s="430"/>
      <c r="L34" s="430"/>
      <c r="M34" s="430"/>
      <c r="N34" s="430"/>
      <c r="O34" s="430"/>
      <c r="P34" s="430"/>
      <c r="Q34" s="430"/>
      <c r="R34" s="430"/>
      <c r="S34" s="430">
        <v>22772</v>
      </c>
      <c r="T34" s="430"/>
      <c r="U34" s="430" t="s">
        <v>11173</v>
      </c>
      <c r="V34" s="432" t="s">
        <v>11202</v>
      </c>
    </row>
    <row r="35" s="397" customFormat="1" ht="16" customHeight="1" spans="1:22">
      <c r="A35" s="426">
        <v>45806</v>
      </c>
      <c r="B35" s="427" t="s">
        <v>11203</v>
      </c>
      <c r="C35" s="429"/>
      <c r="D35" s="428" t="s">
        <v>11171</v>
      </c>
      <c r="E35" s="428">
        <v>22772</v>
      </c>
      <c r="F35" s="429" t="s">
        <v>11176</v>
      </c>
      <c r="G35" s="428" t="s">
        <v>11157</v>
      </c>
      <c r="H35" s="430"/>
      <c r="I35" s="430"/>
      <c r="J35" s="430"/>
      <c r="K35" s="430"/>
      <c r="L35" s="430"/>
      <c r="M35" s="430"/>
      <c r="N35" s="430"/>
      <c r="O35" s="430"/>
      <c r="P35" s="430"/>
      <c r="Q35" s="430"/>
      <c r="R35" s="430"/>
      <c r="S35" s="430"/>
      <c r="T35" s="430">
        <v>22772</v>
      </c>
      <c r="U35" s="430" t="s">
        <v>11173</v>
      </c>
      <c r="V35" s="432" t="s">
        <v>11202</v>
      </c>
    </row>
    <row r="36" s="397" customFormat="1" ht="16" customHeight="1" spans="1:22">
      <c r="A36" s="426">
        <v>45811</v>
      </c>
      <c r="B36" s="427" t="s">
        <v>11204</v>
      </c>
      <c r="C36" s="429" t="s">
        <v>11194</v>
      </c>
      <c r="D36" s="428">
        <v>77785</v>
      </c>
      <c r="E36" s="428">
        <v>12000</v>
      </c>
      <c r="F36" s="429" t="s">
        <v>11195</v>
      </c>
      <c r="G36" s="428"/>
      <c r="H36" s="430"/>
      <c r="I36" s="430"/>
      <c r="J36" s="430"/>
      <c r="K36" s="430"/>
      <c r="L36" s="430"/>
      <c r="M36" s="430"/>
      <c r="N36" s="430"/>
      <c r="O36" s="430"/>
      <c r="P36" s="430">
        <v>12000</v>
      </c>
      <c r="Q36" s="430"/>
      <c r="R36" s="430"/>
      <c r="S36" s="430"/>
      <c r="T36" s="430"/>
      <c r="U36" s="430" t="s">
        <v>11173</v>
      </c>
      <c r="V36" s="432" t="s">
        <v>11205</v>
      </c>
    </row>
    <row r="37" s="397" customFormat="1" ht="16" customHeight="1" spans="1:22">
      <c r="A37" s="426">
        <v>45811</v>
      </c>
      <c r="B37" s="427" t="s">
        <v>11206</v>
      </c>
      <c r="C37" s="429" t="s">
        <v>11190</v>
      </c>
      <c r="D37" s="428" t="s">
        <v>11171</v>
      </c>
      <c r="E37" s="428">
        <v>20000</v>
      </c>
      <c r="F37" s="429" t="s">
        <v>11172</v>
      </c>
      <c r="G37" s="428"/>
      <c r="H37" s="430"/>
      <c r="I37" s="430"/>
      <c r="J37" s="430"/>
      <c r="K37" s="430"/>
      <c r="L37" s="430"/>
      <c r="M37" s="430"/>
      <c r="N37" s="430">
        <v>20000</v>
      </c>
      <c r="O37" s="430"/>
      <c r="P37" s="430"/>
      <c r="Q37" s="430"/>
      <c r="R37" s="430"/>
      <c r="S37" s="430"/>
      <c r="T37" s="430"/>
      <c r="U37" s="430" t="s">
        <v>11173</v>
      </c>
      <c r="V37" s="432" t="s">
        <v>11207</v>
      </c>
    </row>
    <row r="38" s="397" customFormat="1" ht="16" customHeight="1" spans="1:22">
      <c r="A38" s="426">
        <v>45811</v>
      </c>
      <c r="B38" s="427" t="s">
        <v>11208</v>
      </c>
      <c r="C38" s="429" t="s">
        <v>11190</v>
      </c>
      <c r="D38" s="428" t="s">
        <v>11171</v>
      </c>
      <c r="E38" s="428">
        <v>5000</v>
      </c>
      <c r="F38" s="429" t="s">
        <v>11176</v>
      </c>
      <c r="G38" s="428"/>
      <c r="H38" s="430"/>
      <c r="I38" s="430"/>
      <c r="J38" s="430"/>
      <c r="K38" s="430"/>
      <c r="L38" s="430"/>
      <c r="M38" s="430"/>
      <c r="N38" s="430"/>
      <c r="O38" s="430">
        <v>5000</v>
      </c>
      <c r="P38" s="430"/>
      <c r="Q38" s="430"/>
      <c r="R38" s="430"/>
      <c r="S38" s="430"/>
      <c r="T38" s="430"/>
      <c r="U38" s="430" t="s">
        <v>11173</v>
      </c>
      <c r="V38" s="432" t="s">
        <v>11209</v>
      </c>
    </row>
    <row r="39" s="397" customFormat="1" ht="16" customHeight="1" spans="1:22">
      <c r="A39" s="426">
        <v>45820</v>
      </c>
      <c r="B39" s="427" t="s">
        <v>11210</v>
      </c>
      <c r="C39" s="429" t="s">
        <v>11183</v>
      </c>
      <c r="D39" s="428" t="s">
        <v>111</v>
      </c>
      <c r="E39" s="428">
        <v>6000</v>
      </c>
      <c r="F39" s="429" t="s">
        <v>11161</v>
      </c>
      <c r="G39" s="428" t="s">
        <v>11147</v>
      </c>
      <c r="H39" s="430"/>
      <c r="I39" s="430"/>
      <c r="J39" s="430"/>
      <c r="K39" s="430"/>
      <c r="L39" s="430">
        <v>6000</v>
      </c>
      <c r="M39" s="430"/>
      <c r="N39" s="430"/>
      <c r="O39" s="430"/>
      <c r="P39" s="430"/>
      <c r="Q39" s="430"/>
      <c r="R39" s="430"/>
      <c r="S39" s="430"/>
      <c r="T39" s="430"/>
      <c r="U39" s="430" t="s">
        <v>11148</v>
      </c>
      <c r="V39" s="432"/>
    </row>
    <row r="40" s="397" customFormat="1" ht="16" customHeight="1" spans="1:22">
      <c r="A40" s="426">
        <v>45827</v>
      </c>
      <c r="B40" s="427" t="s">
        <v>11211</v>
      </c>
      <c r="C40" s="429" t="s">
        <v>11212</v>
      </c>
      <c r="D40" s="428" t="s">
        <v>11213</v>
      </c>
      <c r="E40" s="428">
        <v>29400</v>
      </c>
      <c r="F40" s="429" t="s">
        <v>11214</v>
      </c>
      <c r="G40" s="428" t="s">
        <v>11215</v>
      </c>
      <c r="H40" s="430"/>
      <c r="I40" s="430"/>
      <c r="J40" s="430"/>
      <c r="K40" s="430"/>
      <c r="L40" s="430"/>
      <c r="M40" s="430"/>
      <c r="N40" s="430"/>
      <c r="O40" s="430"/>
      <c r="P40" s="430"/>
      <c r="Q40" s="430"/>
      <c r="R40" s="430">
        <v>29400</v>
      </c>
      <c r="S40" s="430"/>
      <c r="T40" s="430"/>
      <c r="U40" s="430" t="s">
        <v>11173</v>
      </c>
      <c r="V40" s="432" t="s">
        <v>11216</v>
      </c>
    </row>
    <row r="41" s="397" customFormat="1" ht="16" customHeight="1" spans="1:22">
      <c r="A41" s="426">
        <v>45827</v>
      </c>
      <c r="B41" s="427" t="s">
        <v>11217</v>
      </c>
      <c r="C41" s="429" t="s">
        <v>11212</v>
      </c>
      <c r="D41" s="428" t="s">
        <v>11213</v>
      </c>
      <c r="E41" s="428">
        <v>29400</v>
      </c>
      <c r="F41" s="429" t="s">
        <v>11218</v>
      </c>
      <c r="G41" s="428" t="s">
        <v>11148</v>
      </c>
      <c r="H41" s="430"/>
      <c r="I41" s="430"/>
      <c r="J41" s="430"/>
      <c r="K41" s="430"/>
      <c r="L41" s="430"/>
      <c r="M41" s="430"/>
      <c r="N41" s="430"/>
      <c r="O41" s="430"/>
      <c r="P41" s="430"/>
      <c r="Q41" s="430">
        <v>29400</v>
      </c>
      <c r="R41" s="430"/>
      <c r="S41" s="430"/>
      <c r="T41" s="430"/>
      <c r="U41" s="430" t="s">
        <v>11173</v>
      </c>
      <c r="V41" s="432" t="s">
        <v>11216</v>
      </c>
    </row>
    <row r="42" s="397" customFormat="1" ht="16" customHeight="1" spans="1:22">
      <c r="A42" s="426">
        <v>45832</v>
      </c>
      <c r="B42" s="427" t="s">
        <v>11219</v>
      </c>
      <c r="C42" s="429" t="s">
        <v>11183</v>
      </c>
      <c r="D42" s="428" t="s">
        <v>111</v>
      </c>
      <c r="E42" s="428">
        <v>30000</v>
      </c>
      <c r="F42" s="429" t="s">
        <v>11146</v>
      </c>
      <c r="G42" s="428" t="s">
        <v>11147</v>
      </c>
      <c r="H42" s="430">
        <v>30000</v>
      </c>
      <c r="I42" s="430"/>
      <c r="J42" s="430"/>
      <c r="K42" s="430"/>
      <c r="L42" s="430"/>
      <c r="M42" s="430"/>
      <c r="N42" s="430"/>
      <c r="O42" s="430"/>
      <c r="P42" s="430"/>
      <c r="Q42" s="430"/>
      <c r="R42" s="430"/>
      <c r="S42" s="430"/>
      <c r="T42" s="430"/>
      <c r="U42" s="430" t="s">
        <v>11220</v>
      </c>
      <c r="V42" s="432" t="s">
        <v>11221</v>
      </c>
    </row>
    <row r="43" s="397" customFormat="1" ht="16" customHeight="1" spans="1:22">
      <c r="A43" s="426">
        <v>45832</v>
      </c>
      <c r="B43" s="427" t="s">
        <v>11222</v>
      </c>
      <c r="C43" s="429" t="s">
        <v>11183</v>
      </c>
      <c r="D43" s="428" t="s">
        <v>111</v>
      </c>
      <c r="E43" s="428">
        <v>20000</v>
      </c>
      <c r="F43" s="429" t="s">
        <v>11152</v>
      </c>
      <c r="G43" s="428" t="s">
        <v>11153</v>
      </c>
      <c r="H43" s="430"/>
      <c r="I43" s="430"/>
      <c r="J43" s="430">
        <v>20000</v>
      </c>
      <c r="K43" s="430"/>
      <c r="L43" s="430"/>
      <c r="M43" s="430"/>
      <c r="N43" s="430"/>
      <c r="O43" s="430"/>
      <c r="P43" s="430"/>
      <c r="Q43" s="430"/>
      <c r="R43" s="430"/>
      <c r="S43" s="430"/>
      <c r="T43" s="430"/>
      <c r="U43" s="430" t="s">
        <v>11220</v>
      </c>
      <c r="V43" s="432" t="s">
        <v>11221</v>
      </c>
    </row>
    <row r="44" s="397" customFormat="1" ht="16" customHeight="1" spans="1:22">
      <c r="A44" s="426">
        <v>45832</v>
      </c>
      <c r="B44" s="427" t="s">
        <v>11223</v>
      </c>
      <c r="C44" s="429" t="s">
        <v>11183</v>
      </c>
      <c r="D44" s="428" t="s">
        <v>111</v>
      </c>
      <c r="E44" s="428">
        <v>7000</v>
      </c>
      <c r="F44" s="429" t="s">
        <v>11161</v>
      </c>
      <c r="G44" s="428" t="s">
        <v>11147</v>
      </c>
      <c r="H44" s="430"/>
      <c r="I44" s="430"/>
      <c r="J44" s="430"/>
      <c r="K44" s="430"/>
      <c r="L44" s="430">
        <v>7000</v>
      </c>
      <c r="M44" s="430"/>
      <c r="N44" s="430"/>
      <c r="O44" s="430"/>
      <c r="P44" s="430"/>
      <c r="Q44" s="430"/>
      <c r="R44" s="430"/>
      <c r="S44" s="430"/>
      <c r="T44" s="430"/>
      <c r="U44" s="430" t="s">
        <v>11148</v>
      </c>
      <c r="V44" s="432" t="s">
        <v>11158</v>
      </c>
    </row>
    <row r="45" s="397" customFormat="1" ht="16" customHeight="1" spans="1:22">
      <c r="A45" s="426">
        <v>45842</v>
      </c>
      <c r="B45" s="427" t="s">
        <v>11224</v>
      </c>
      <c r="C45" s="429" t="s">
        <v>11183</v>
      </c>
      <c r="D45" s="428" t="s">
        <v>111</v>
      </c>
      <c r="E45" s="428">
        <v>30000</v>
      </c>
      <c r="F45" s="429" t="s">
        <v>11146</v>
      </c>
      <c r="G45" s="428" t="s">
        <v>11147</v>
      </c>
      <c r="H45" s="430">
        <v>30000</v>
      </c>
      <c r="I45" s="430"/>
      <c r="J45" s="430"/>
      <c r="K45" s="430"/>
      <c r="L45" s="430"/>
      <c r="M45" s="430"/>
      <c r="N45" s="430"/>
      <c r="O45" s="430"/>
      <c r="P45" s="430"/>
      <c r="Q45" s="430"/>
      <c r="R45" s="430"/>
      <c r="S45" s="430"/>
      <c r="T45" s="430"/>
      <c r="U45" s="430" t="s">
        <v>11220</v>
      </c>
      <c r="V45" s="432" t="s">
        <v>11221</v>
      </c>
    </row>
    <row r="46" s="397" customFormat="1" ht="16" customHeight="1" spans="1:22">
      <c r="A46" s="426">
        <v>45842</v>
      </c>
      <c r="B46" s="427" t="s">
        <v>11225</v>
      </c>
      <c r="C46" s="429" t="s">
        <v>11183</v>
      </c>
      <c r="D46" s="428" t="s">
        <v>111</v>
      </c>
      <c r="E46" s="428">
        <v>20000</v>
      </c>
      <c r="F46" s="429" t="s">
        <v>11152</v>
      </c>
      <c r="G46" s="428" t="s">
        <v>11153</v>
      </c>
      <c r="H46" s="430"/>
      <c r="I46" s="430"/>
      <c r="J46" s="430">
        <v>20000</v>
      </c>
      <c r="K46" s="430"/>
      <c r="L46" s="430"/>
      <c r="M46" s="430"/>
      <c r="N46" s="430"/>
      <c r="O46" s="430"/>
      <c r="P46" s="430"/>
      <c r="Q46" s="430"/>
      <c r="R46" s="430"/>
      <c r="S46" s="430"/>
      <c r="T46" s="430"/>
      <c r="U46" s="430" t="s">
        <v>11220</v>
      </c>
      <c r="V46" s="432" t="s">
        <v>11221</v>
      </c>
    </row>
    <row r="47" s="397" customFormat="1" ht="16" customHeight="1" spans="1:22">
      <c r="A47" s="426">
        <v>45842</v>
      </c>
      <c r="B47" s="427" t="s">
        <v>11226</v>
      </c>
      <c r="C47" s="429" t="s">
        <v>11183</v>
      </c>
      <c r="D47" s="428" t="s">
        <v>111</v>
      </c>
      <c r="E47" s="428">
        <v>5500</v>
      </c>
      <c r="F47" s="429" t="s">
        <v>11161</v>
      </c>
      <c r="G47" s="428" t="s">
        <v>11147</v>
      </c>
      <c r="H47" s="430"/>
      <c r="I47" s="430"/>
      <c r="J47" s="430"/>
      <c r="K47" s="430"/>
      <c r="L47" s="430">
        <v>5500</v>
      </c>
      <c r="M47" s="430"/>
      <c r="N47" s="430"/>
      <c r="O47" s="430"/>
      <c r="P47" s="430"/>
      <c r="Q47" s="430"/>
      <c r="R47" s="430"/>
      <c r="S47" s="430"/>
      <c r="T47" s="430"/>
      <c r="U47" s="430" t="s">
        <v>11148</v>
      </c>
      <c r="V47" s="432" t="s">
        <v>11158</v>
      </c>
    </row>
    <row r="48" s="397" customFormat="1" ht="16" customHeight="1" spans="1:22">
      <c r="A48" s="426">
        <v>45842</v>
      </c>
      <c r="B48" s="427" t="s">
        <v>11227</v>
      </c>
      <c r="C48" s="429" t="s">
        <v>11183</v>
      </c>
      <c r="D48" s="428" t="s">
        <v>111</v>
      </c>
      <c r="E48" s="428">
        <v>1000</v>
      </c>
      <c r="F48" s="429" t="s">
        <v>11168</v>
      </c>
      <c r="G48" s="428" t="s">
        <v>11153</v>
      </c>
      <c r="H48" s="430"/>
      <c r="I48" s="430"/>
      <c r="J48" s="430"/>
      <c r="K48" s="430"/>
      <c r="L48" s="430"/>
      <c r="M48" s="430">
        <v>1000</v>
      </c>
      <c r="N48" s="430"/>
      <c r="O48" s="430"/>
      <c r="P48" s="430"/>
      <c r="Q48" s="430"/>
      <c r="R48" s="430"/>
      <c r="S48" s="430"/>
      <c r="T48" s="430"/>
      <c r="U48" s="430" t="s">
        <v>11148</v>
      </c>
      <c r="V48" s="432" t="s">
        <v>11158</v>
      </c>
    </row>
    <row r="49" s="397" customFormat="1" ht="16" customHeight="1" spans="1:22">
      <c r="A49" s="426">
        <v>45842</v>
      </c>
      <c r="B49" s="427" t="s">
        <v>11228</v>
      </c>
      <c r="C49" s="429" t="s">
        <v>11183</v>
      </c>
      <c r="D49" s="428" t="s">
        <v>111</v>
      </c>
      <c r="E49" s="428">
        <v>40000</v>
      </c>
      <c r="F49" s="429" t="s">
        <v>11156</v>
      </c>
      <c r="G49" s="428" t="s">
        <v>11157</v>
      </c>
      <c r="H49" s="430"/>
      <c r="I49" s="430">
        <v>40000</v>
      </c>
      <c r="J49" s="430"/>
      <c r="K49" s="430"/>
      <c r="L49" s="430"/>
      <c r="M49" s="430"/>
      <c r="N49" s="430"/>
      <c r="O49" s="430"/>
      <c r="P49" s="430"/>
      <c r="Q49" s="430"/>
      <c r="R49" s="430"/>
      <c r="S49" s="430"/>
      <c r="T49" s="430"/>
      <c r="U49" s="430" t="s">
        <v>11148</v>
      </c>
      <c r="V49" s="432" t="s">
        <v>11158</v>
      </c>
    </row>
    <row r="50" s="397" customFormat="1" ht="16" customHeight="1" spans="1:22">
      <c r="A50" s="426">
        <v>45853</v>
      </c>
      <c r="B50" s="427" t="s">
        <v>11229</v>
      </c>
      <c r="C50" s="429" t="s">
        <v>11183</v>
      </c>
      <c r="D50" s="428" t="s">
        <v>111</v>
      </c>
      <c r="E50" s="428">
        <v>20000</v>
      </c>
      <c r="F50" s="429" t="s">
        <v>11146</v>
      </c>
      <c r="G50" s="428" t="s">
        <v>11147</v>
      </c>
      <c r="H50" s="430">
        <v>20000</v>
      </c>
      <c r="I50" s="430"/>
      <c r="J50" s="430"/>
      <c r="K50" s="430"/>
      <c r="L50" s="430"/>
      <c r="M50" s="430"/>
      <c r="N50" s="430"/>
      <c r="O50" s="430"/>
      <c r="P50" s="430"/>
      <c r="Q50" s="430"/>
      <c r="R50" s="430"/>
      <c r="S50" s="430"/>
      <c r="T50" s="430"/>
      <c r="U50" s="430" t="s">
        <v>11220</v>
      </c>
      <c r="V50" s="432" t="s">
        <v>11221</v>
      </c>
    </row>
    <row r="51" s="397" customFormat="1" ht="16" customHeight="1" spans="1:22">
      <c r="A51" s="426">
        <v>45853</v>
      </c>
      <c r="B51" s="427" t="s">
        <v>11230</v>
      </c>
      <c r="C51" s="429" t="s">
        <v>11183</v>
      </c>
      <c r="D51" s="428" t="s">
        <v>111</v>
      </c>
      <c r="E51" s="428">
        <v>30000</v>
      </c>
      <c r="F51" s="429" t="s">
        <v>11156</v>
      </c>
      <c r="G51" s="428" t="s">
        <v>11157</v>
      </c>
      <c r="H51" s="430"/>
      <c r="I51" s="430">
        <v>30000</v>
      </c>
      <c r="J51" s="430"/>
      <c r="K51" s="430"/>
      <c r="L51" s="430"/>
      <c r="M51" s="430"/>
      <c r="N51" s="430"/>
      <c r="O51" s="430"/>
      <c r="P51" s="430"/>
      <c r="Q51" s="430"/>
      <c r="R51" s="430"/>
      <c r="S51" s="430"/>
      <c r="T51" s="430"/>
      <c r="U51" s="430" t="s">
        <v>11148</v>
      </c>
      <c r="V51" s="432" t="s">
        <v>11158</v>
      </c>
    </row>
    <row r="52" s="397" customFormat="1" ht="16" customHeight="1" spans="1:22">
      <c r="A52" s="426">
        <v>45853</v>
      </c>
      <c r="B52" s="427" t="s">
        <v>11231</v>
      </c>
      <c r="C52" s="429" t="s">
        <v>11183</v>
      </c>
      <c r="D52" s="428" t="s">
        <v>111</v>
      </c>
      <c r="E52" s="428">
        <v>6000</v>
      </c>
      <c r="F52" s="429" t="s">
        <v>11161</v>
      </c>
      <c r="G52" s="428" t="s">
        <v>11147</v>
      </c>
      <c r="H52" s="430"/>
      <c r="I52" s="430"/>
      <c r="J52" s="430"/>
      <c r="K52" s="430"/>
      <c r="L52" s="430">
        <v>6000</v>
      </c>
      <c r="M52" s="430"/>
      <c r="N52" s="430"/>
      <c r="O52" s="430"/>
      <c r="P52" s="430"/>
      <c r="Q52" s="430"/>
      <c r="R52" s="430"/>
      <c r="S52" s="430"/>
      <c r="T52" s="430"/>
      <c r="U52" s="430" t="s">
        <v>11148</v>
      </c>
      <c r="V52" s="432" t="s">
        <v>11158</v>
      </c>
    </row>
    <row r="53" s="397" customFormat="1" ht="16" customHeight="1" spans="1:22">
      <c r="A53" s="426">
        <v>45853</v>
      </c>
      <c r="B53" s="427" t="s">
        <v>11232</v>
      </c>
      <c r="C53" s="429" t="s">
        <v>11183</v>
      </c>
      <c r="D53" s="428" t="s">
        <v>111</v>
      </c>
      <c r="E53" s="428">
        <v>2000</v>
      </c>
      <c r="F53" s="429" t="s">
        <v>11168</v>
      </c>
      <c r="G53" s="428" t="s">
        <v>11153</v>
      </c>
      <c r="H53" s="430"/>
      <c r="I53" s="430"/>
      <c r="J53" s="430"/>
      <c r="K53" s="430"/>
      <c r="L53" s="430"/>
      <c r="M53" s="430">
        <v>2000</v>
      </c>
      <c r="N53" s="430"/>
      <c r="O53" s="430"/>
      <c r="P53" s="430"/>
      <c r="Q53" s="430"/>
      <c r="R53" s="430"/>
      <c r="S53" s="430"/>
      <c r="T53" s="430"/>
      <c r="U53" s="430" t="s">
        <v>11148</v>
      </c>
      <c r="V53" s="432" t="s">
        <v>11158</v>
      </c>
    </row>
    <row r="54" s="397" customFormat="1" ht="16" customHeight="1" spans="1:22">
      <c r="A54" s="426">
        <v>45866</v>
      </c>
      <c r="B54" s="427" t="s">
        <v>11233</v>
      </c>
      <c r="C54" s="429" t="s">
        <v>11234</v>
      </c>
      <c r="D54" s="428" t="s">
        <v>11171</v>
      </c>
      <c r="E54" s="428">
        <v>24576</v>
      </c>
      <c r="F54" s="429" t="s">
        <v>11172</v>
      </c>
      <c r="G54" s="428" t="s">
        <v>11147</v>
      </c>
      <c r="H54" s="430"/>
      <c r="I54" s="430"/>
      <c r="J54" s="430"/>
      <c r="K54" s="430"/>
      <c r="L54" s="430"/>
      <c r="M54" s="430"/>
      <c r="N54" s="430"/>
      <c r="O54" s="430"/>
      <c r="P54" s="430"/>
      <c r="Q54" s="430"/>
      <c r="R54" s="430"/>
      <c r="S54" s="430">
        <v>24576</v>
      </c>
      <c r="T54" s="430"/>
      <c r="U54" s="430" t="s">
        <v>11220</v>
      </c>
      <c r="V54" s="432" t="s">
        <v>11235</v>
      </c>
    </row>
    <row r="55" s="397" customFormat="1" ht="16" customHeight="1" spans="1:22">
      <c r="A55" s="426">
        <v>45866</v>
      </c>
      <c r="B55" s="427" t="s">
        <v>11236</v>
      </c>
      <c r="C55" s="429" t="s">
        <v>11234</v>
      </c>
      <c r="D55" s="428" t="s">
        <v>11171</v>
      </c>
      <c r="E55" s="428">
        <v>24576</v>
      </c>
      <c r="F55" s="429" t="s">
        <v>11237</v>
      </c>
      <c r="G55" s="428"/>
      <c r="H55" s="430"/>
      <c r="I55" s="430"/>
      <c r="J55" s="430"/>
      <c r="K55" s="430"/>
      <c r="L55" s="430"/>
      <c r="M55" s="430"/>
      <c r="N55" s="430"/>
      <c r="O55" s="430"/>
      <c r="P55" s="430"/>
      <c r="Q55" s="430"/>
      <c r="R55" s="430"/>
      <c r="S55" s="430"/>
      <c r="T55" s="430">
        <v>24576</v>
      </c>
      <c r="U55" s="430" t="s">
        <v>73</v>
      </c>
      <c r="V55" s="432" t="s">
        <v>11235</v>
      </c>
    </row>
    <row r="56" s="397" customFormat="1" ht="16" customHeight="1" spans="1:22">
      <c r="A56" s="426">
        <v>45867</v>
      </c>
      <c r="B56" s="427" t="s">
        <v>11238</v>
      </c>
      <c r="C56" s="429" t="s">
        <v>11190</v>
      </c>
      <c r="D56" s="428">
        <v>77785</v>
      </c>
      <c r="E56" s="428">
        <v>3312</v>
      </c>
      <c r="F56" s="429" t="s">
        <v>11195</v>
      </c>
      <c r="G56" s="428" t="s">
        <v>11153</v>
      </c>
      <c r="H56" s="430"/>
      <c r="I56" s="430"/>
      <c r="J56" s="430"/>
      <c r="K56" s="430"/>
      <c r="L56" s="430"/>
      <c r="M56" s="430"/>
      <c r="N56" s="430"/>
      <c r="O56" s="430"/>
      <c r="P56" s="430">
        <v>3312</v>
      </c>
      <c r="Q56" s="430"/>
      <c r="R56" s="430"/>
      <c r="S56" s="430"/>
      <c r="T56" s="430"/>
      <c r="U56" s="430" t="s">
        <v>73</v>
      </c>
      <c r="V56" s="432"/>
    </row>
    <row r="57" s="397" customFormat="1" ht="16" customHeight="1" spans="1:22">
      <c r="A57" s="426">
        <v>45874</v>
      </c>
      <c r="B57" s="427" t="s">
        <v>11239</v>
      </c>
      <c r="C57" s="429" t="s">
        <v>11183</v>
      </c>
      <c r="D57" s="428" t="s">
        <v>111</v>
      </c>
      <c r="E57" s="428">
        <v>30000</v>
      </c>
      <c r="F57" s="429" t="s">
        <v>11152</v>
      </c>
      <c r="G57" s="428" t="s">
        <v>11153</v>
      </c>
      <c r="H57" s="430"/>
      <c r="I57" s="430"/>
      <c r="J57" s="430">
        <v>30000</v>
      </c>
      <c r="K57" s="430"/>
      <c r="L57" s="430"/>
      <c r="M57" s="430"/>
      <c r="N57" s="430"/>
      <c r="O57" s="430"/>
      <c r="P57" s="430"/>
      <c r="Q57" s="430"/>
      <c r="R57" s="430"/>
      <c r="S57" s="430"/>
      <c r="T57" s="430"/>
      <c r="U57" s="430" t="s">
        <v>11220</v>
      </c>
      <c r="V57" s="432" t="s">
        <v>11240</v>
      </c>
    </row>
    <row r="58" s="397" customFormat="1" ht="16" customHeight="1" spans="1:22">
      <c r="A58" s="426">
        <v>45874</v>
      </c>
      <c r="B58" s="427" t="s">
        <v>11241</v>
      </c>
      <c r="C58" s="429" t="s">
        <v>11183</v>
      </c>
      <c r="D58" s="428" t="s">
        <v>111</v>
      </c>
      <c r="E58" s="428">
        <v>40000</v>
      </c>
      <c r="F58" s="429" t="s">
        <v>11156</v>
      </c>
      <c r="G58" s="428" t="s">
        <v>11157</v>
      </c>
      <c r="H58" s="430"/>
      <c r="I58" s="430">
        <v>40000</v>
      </c>
      <c r="J58" s="430"/>
      <c r="K58" s="430"/>
      <c r="L58" s="430"/>
      <c r="M58" s="430"/>
      <c r="N58" s="430"/>
      <c r="O58" s="430"/>
      <c r="P58" s="430"/>
      <c r="Q58" s="430"/>
      <c r="R58" s="430"/>
      <c r="S58" s="430"/>
      <c r="T58" s="430"/>
      <c r="U58" s="430" t="s">
        <v>11148</v>
      </c>
      <c r="V58" s="432" t="s">
        <v>11221</v>
      </c>
    </row>
    <row r="59" s="397" customFormat="1" ht="16" customHeight="1" spans="1:22">
      <c r="A59" s="426">
        <v>45874</v>
      </c>
      <c r="B59" s="427" t="s">
        <v>11242</v>
      </c>
      <c r="C59" s="429" t="s">
        <v>11183</v>
      </c>
      <c r="D59" s="428" t="s">
        <v>111</v>
      </c>
      <c r="E59" s="428">
        <v>12000</v>
      </c>
      <c r="F59" s="429" t="s">
        <v>11161</v>
      </c>
      <c r="G59" s="428" t="s">
        <v>11147</v>
      </c>
      <c r="H59" s="430"/>
      <c r="I59" s="430"/>
      <c r="J59" s="430"/>
      <c r="K59" s="430"/>
      <c r="L59" s="430">
        <v>12000</v>
      </c>
      <c r="M59" s="430"/>
      <c r="N59" s="430"/>
      <c r="O59" s="430"/>
      <c r="P59" s="430"/>
      <c r="Q59" s="430"/>
      <c r="R59" s="430"/>
      <c r="S59" s="430"/>
      <c r="T59" s="430"/>
      <c r="U59" s="430" t="s">
        <v>11148</v>
      </c>
      <c r="V59" s="432" t="s">
        <v>11158</v>
      </c>
    </row>
    <row r="60" s="397" customFormat="1" ht="16" customHeight="1" spans="1:22">
      <c r="A60" s="426">
        <v>45874</v>
      </c>
      <c r="B60" s="427" t="s">
        <v>11243</v>
      </c>
      <c r="C60" s="429" t="s">
        <v>11183</v>
      </c>
      <c r="D60" s="428" t="s">
        <v>111</v>
      </c>
      <c r="E60" s="428">
        <v>6000</v>
      </c>
      <c r="F60" s="429" t="s">
        <v>11168</v>
      </c>
      <c r="G60" s="428" t="s">
        <v>11153</v>
      </c>
      <c r="H60" s="430"/>
      <c r="I60" s="430"/>
      <c r="J60" s="430"/>
      <c r="K60" s="430"/>
      <c r="L60" s="430"/>
      <c r="M60" s="430">
        <v>6000</v>
      </c>
      <c r="N60" s="430"/>
      <c r="O60" s="430"/>
      <c r="P60" s="430"/>
      <c r="Q60" s="430"/>
      <c r="R60" s="430"/>
      <c r="S60" s="430"/>
      <c r="T60" s="430"/>
      <c r="U60" s="430" t="s">
        <v>11148</v>
      </c>
      <c r="V60" s="432" t="s">
        <v>11158</v>
      </c>
    </row>
    <row r="61" s="397" customFormat="1" ht="16" customHeight="1" spans="1:22">
      <c r="A61" s="426">
        <v>45876</v>
      </c>
      <c r="B61" s="427" t="s">
        <v>11244</v>
      </c>
      <c r="C61" s="429" t="s">
        <v>11245</v>
      </c>
      <c r="D61" s="428">
        <v>77785</v>
      </c>
      <c r="E61" s="428">
        <v>5000</v>
      </c>
      <c r="F61" s="429" t="s">
        <v>11195</v>
      </c>
      <c r="G61" s="428" t="s">
        <v>73</v>
      </c>
      <c r="H61" s="430"/>
      <c r="I61" s="430"/>
      <c r="J61" s="430"/>
      <c r="K61" s="430"/>
      <c r="L61" s="430"/>
      <c r="M61" s="430"/>
      <c r="N61" s="430"/>
      <c r="O61" s="430"/>
      <c r="P61" s="430">
        <v>5000</v>
      </c>
      <c r="Q61" s="430"/>
      <c r="R61" s="430"/>
      <c r="S61" s="430"/>
      <c r="T61" s="430"/>
      <c r="U61" s="430" t="s">
        <v>11173</v>
      </c>
      <c r="V61" s="432" t="s">
        <v>11246</v>
      </c>
    </row>
    <row r="62" s="397" customFormat="1" ht="16" customHeight="1" spans="1:22">
      <c r="A62" s="426">
        <v>45882</v>
      </c>
      <c r="B62" s="427" t="s">
        <v>11247</v>
      </c>
      <c r="C62" s="429" t="s">
        <v>11248</v>
      </c>
      <c r="D62" s="428" t="s">
        <v>11171</v>
      </c>
      <c r="E62" s="428">
        <v>52056</v>
      </c>
      <c r="F62" s="429" t="s">
        <v>11172</v>
      </c>
      <c r="G62" s="428" t="s">
        <v>11147</v>
      </c>
      <c r="H62" s="430"/>
      <c r="I62" s="430"/>
      <c r="J62" s="430"/>
      <c r="K62" s="430"/>
      <c r="L62" s="430"/>
      <c r="M62" s="430"/>
      <c r="N62" s="430"/>
      <c r="O62" s="430"/>
      <c r="P62" s="430"/>
      <c r="Q62" s="430"/>
      <c r="R62" s="430"/>
      <c r="S62" s="430">
        <v>52056</v>
      </c>
      <c r="T62" s="430"/>
      <c r="U62" s="430" t="s">
        <v>11220</v>
      </c>
      <c r="V62" s="432" t="s">
        <v>11249</v>
      </c>
    </row>
    <row r="63" s="397" customFormat="1" ht="16" customHeight="1" spans="1:22">
      <c r="A63" s="426">
        <v>45882</v>
      </c>
      <c r="B63" s="427" t="s">
        <v>11250</v>
      </c>
      <c r="C63" s="429" t="s">
        <v>11248</v>
      </c>
      <c r="D63" s="428" t="s">
        <v>11171</v>
      </c>
      <c r="E63" s="428">
        <v>52056</v>
      </c>
      <c r="F63" s="429" t="s">
        <v>11237</v>
      </c>
      <c r="G63" s="428" t="s">
        <v>73</v>
      </c>
      <c r="H63" s="430"/>
      <c r="I63" s="430"/>
      <c r="J63" s="430"/>
      <c r="K63" s="430"/>
      <c r="L63" s="430"/>
      <c r="M63" s="430"/>
      <c r="N63" s="430"/>
      <c r="O63" s="430"/>
      <c r="P63" s="430"/>
      <c r="Q63" s="430"/>
      <c r="R63" s="430"/>
      <c r="S63" s="430"/>
      <c r="T63" s="430">
        <v>52056</v>
      </c>
      <c r="U63" s="430" t="s">
        <v>11173</v>
      </c>
      <c r="V63" s="432" t="s">
        <v>11249</v>
      </c>
    </row>
    <row r="64" s="397" customFormat="1" ht="16" customHeight="1" spans="1:22">
      <c r="A64" s="426">
        <v>45852</v>
      </c>
      <c r="B64" s="427" t="s">
        <v>11251</v>
      </c>
      <c r="C64" s="429" t="s">
        <v>11212</v>
      </c>
      <c r="D64" s="428" t="s">
        <v>11213</v>
      </c>
      <c r="E64" s="428">
        <v>27000</v>
      </c>
      <c r="F64" s="429" t="s">
        <v>11218</v>
      </c>
      <c r="G64" s="428" t="s">
        <v>73</v>
      </c>
      <c r="H64" s="430"/>
      <c r="I64" s="430"/>
      <c r="J64" s="430"/>
      <c r="K64" s="430"/>
      <c r="L64" s="430"/>
      <c r="M64" s="430"/>
      <c r="N64" s="430"/>
      <c r="O64" s="430"/>
      <c r="P64" s="430"/>
      <c r="Q64" s="430">
        <v>27000</v>
      </c>
      <c r="R64" s="430"/>
      <c r="S64" s="430"/>
      <c r="T64" s="430"/>
      <c r="U64" s="430" t="s">
        <v>11173</v>
      </c>
      <c r="V64" s="432" t="s">
        <v>11252</v>
      </c>
    </row>
    <row r="65" s="397" customFormat="1" ht="16" customHeight="1" spans="1:22">
      <c r="A65" s="426">
        <v>45852</v>
      </c>
      <c r="B65" s="427" t="s">
        <v>11253</v>
      </c>
      <c r="C65" s="429" t="s">
        <v>11212</v>
      </c>
      <c r="D65" s="428" t="s">
        <v>11213</v>
      </c>
      <c r="E65" s="428">
        <v>27000</v>
      </c>
      <c r="F65" s="429" t="s">
        <v>11254</v>
      </c>
      <c r="G65" s="428" t="s">
        <v>73</v>
      </c>
      <c r="H65" s="430"/>
      <c r="I65" s="430"/>
      <c r="J65" s="430"/>
      <c r="K65" s="430"/>
      <c r="L65" s="430"/>
      <c r="M65" s="430"/>
      <c r="N65" s="430"/>
      <c r="O65" s="430"/>
      <c r="P65" s="430"/>
      <c r="Q65" s="430"/>
      <c r="R65" s="430"/>
      <c r="S65" s="430"/>
      <c r="T65" s="430"/>
      <c r="U65" s="430" t="s">
        <v>11173</v>
      </c>
      <c r="V65" s="432" t="s">
        <v>11252</v>
      </c>
    </row>
    <row r="66" s="397" customFormat="1" ht="16" customHeight="1" spans="1:22">
      <c r="A66" s="426">
        <v>45852</v>
      </c>
      <c r="B66" s="427" t="s">
        <v>11255</v>
      </c>
      <c r="C66" s="429" t="s">
        <v>11212</v>
      </c>
      <c r="D66" s="428" t="s">
        <v>11213</v>
      </c>
      <c r="E66" s="428">
        <v>27000</v>
      </c>
      <c r="F66" s="429" t="s">
        <v>11256</v>
      </c>
      <c r="G66" s="428" t="s">
        <v>73</v>
      </c>
      <c r="H66" s="430"/>
      <c r="I66" s="430"/>
      <c r="J66" s="430"/>
      <c r="K66" s="430"/>
      <c r="L66" s="430"/>
      <c r="M66" s="430"/>
      <c r="N66" s="430"/>
      <c r="O66" s="430"/>
      <c r="P66" s="430"/>
      <c r="Q66" s="430"/>
      <c r="R66" s="430">
        <v>27000</v>
      </c>
      <c r="S66" s="430"/>
      <c r="T66" s="430"/>
      <c r="U66" s="430" t="s">
        <v>11173</v>
      </c>
      <c r="V66" s="432" t="s">
        <v>11252</v>
      </c>
    </row>
    <row r="67" s="397" customFormat="1" ht="16" customHeight="1" spans="1:22">
      <c r="A67" s="426">
        <v>45852</v>
      </c>
      <c r="B67" s="427" t="s">
        <v>11257</v>
      </c>
      <c r="C67" s="429" t="s">
        <v>11212</v>
      </c>
      <c r="D67" s="428" t="s">
        <v>11213</v>
      </c>
      <c r="E67" s="428">
        <v>5400</v>
      </c>
      <c r="F67" s="429" t="s">
        <v>11258</v>
      </c>
      <c r="G67" s="428" t="s">
        <v>73</v>
      </c>
      <c r="H67" s="430"/>
      <c r="I67" s="430"/>
      <c r="J67" s="430"/>
      <c r="K67" s="430"/>
      <c r="L67" s="430"/>
      <c r="M67" s="430"/>
      <c r="N67" s="430"/>
      <c r="O67" s="430"/>
      <c r="P67" s="430"/>
      <c r="Q67" s="430"/>
      <c r="R67" s="430"/>
      <c r="S67" s="430"/>
      <c r="T67" s="430"/>
      <c r="U67" s="430" t="s">
        <v>11173</v>
      </c>
      <c r="V67" s="432" t="s">
        <v>11252</v>
      </c>
    </row>
    <row r="68" s="397" customFormat="1" ht="16" customHeight="1" spans="1:22">
      <c r="A68" s="426">
        <v>45827</v>
      </c>
      <c r="B68" s="427" t="s">
        <v>11259</v>
      </c>
      <c r="C68" s="429" t="s">
        <v>11212</v>
      </c>
      <c r="D68" s="428" t="s">
        <v>11213</v>
      </c>
      <c r="E68" s="428">
        <v>48600</v>
      </c>
      <c r="F68" s="429" t="s">
        <v>11218</v>
      </c>
      <c r="G68" s="428" t="s">
        <v>73</v>
      </c>
      <c r="H68" s="430"/>
      <c r="I68" s="430"/>
      <c r="J68" s="430"/>
      <c r="K68" s="430"/>
      <c r="L68" s="430"/>
      <c r="M68" s="430"/>
      <c r="N68" s="430"/>
      <c r="O68" s="430"/>
      <c r="P68" s="430"/>
      <c r="Q68" s="430">
        <v>48600</v>
      </c>
      <c r="R68" s="430"/>
      <c r="S68" s="430"/>
      <c r="T68" s="430"/>
      <c r="U68" s="430" t="s">
        <v>11173</v>
      </c>
      <c r="V68" s="432" t="s">
        <v>11260</v>
      </c>
    </row>
    <row r="69" s="397" customFormat="1" ht="16" customHeight="1" spans="1:22">
      <c r="A69" s="426">
        <v>45827</v>
      </c>
      <c r="B69" s="427" t="s">
        <v>11261</v>
      </c>
      <c r="C69" s="429" t="s">
        <v>11212</v>
      </c>
      <c r="D69" s="428" t="s">
        <v>11213</v>
      </c>
      <c r="E69" s="428">
        <v>48600</v>
      </c>
      <c r="F69" s="429" t="s">
        <v>11256</v>
      </c>
      <c r="G69" s="428" t="s">
        <v>73</v>
      </c>
      <c r="H69" s="430"/>
      <c r="I69" s="430"/>
      <c r="J69" s="430"/>
      <c r="K69" s="430"/>
      <c r="L69" s="430"/>
      <c r="M69" s="430"/>
      <c r="N69" s="430"/>
      <c r="O69" s="430"/>
      <c r="P69" s="430"/>
      <c r="Q69" s="430"/>
      <c r="R69" s="430">
        <v>48600</v>
      </c>
      <c r="S69" s="430"/>
      <c r="T69" s="430"/>
      <c r="U69" s="430" t="s">
        <v>11173</v>
      </c>
      <c r="V69" s="432" t="s">
        <v>11260</v>
      </c>
    </row>
    <row r="70" s="397" customFormat="1" ht="16" customHeight="1" spans="1:22">
      <c r="A70" s="426">
        <v>45888</v>
      </c>
      <c r="B70" s="427">
        <v>1000031541</v>
      </c>
      <c r="C70" s="429" t="s">
        <v>11262</v>
      </c>
      <c r="D70" s="428" t="s">
        <v>111</v>
      </c>
      <c r="E70" s="428">
        <v>20000</v>
      </c>
      <c r="F70" s="429" t="s">
        <v>11146</v>
      </c>
      <c r="G70" s="428" t="s">
        <v>11147</v>
      </c>
      <c r="H70" s="430">
        <v>20000</v>
      </c>
      <c r="I70" s="430"/>
      <c r="J70" s="430"/>
      <c r="K70" s="430"/>
      <c r="L70" s="430"/>
      <c r="M70" s="430"/>
      <c r="N70" s="430"/>
      <c r="O70" s="430"/>
      <c r="P70" s="430"/>
      <c r="Q70" s="430"/>
      <c r="R70" s="430"/>
      <c r="S70" s="430"/>
      <c r="T70" s="430"/>
      <c r="U70" s="430" t="s">
        <v>11220</v>
      </c>
      <c r="V70" s="432"/>
    </row>
    <row r="71" s="397" customFormat="1" ht="16" customHeight="1" spans="1:22">
      <c r="A71" s="426">
        <v>45888</v>
      </c>
      <c r="B71" s="427">
        <v>1000031542</v>
      </c>
      <c r="C71" s="429" t="s">
        <v>11262</v>
      </c>
      <c r="D71" s="428" t="s">
        <v>111</v>
      </c>
      <c r="E71" s="428">
        <v>15000</v>
      </c>
      <c r="F71" s="429" t="s">
        <v>11161</v>
      </c>
      <c r="G71" s="428" t="s">
        <v>11147</v>
      </c>
      <c r="H71" s="430"/>
      <c r="I71" s="430"/>
      <c r="J71" s="430"/>
      <c r="K71" s="430"/>
      <c r="L71" s="430">
        <v>15000</v>
      </c>
      <c r="M71" s="430"/>
      <c r="N71" s="430"/>
      <c r="O71" s="430"/>
      <c r="P71" s="430"/>
      <c r="Q71" s="430"/>
      <c r="R71" s="430"/>
      <c r="S71" s="430"/>
      <c r="T71" s="430"/>
      <c r="U71" s="430" t="s">
        <v>11148</v>
      </c>
      <c r="V71" s="432"/>
    </row>
    <row r="72" s="397" customFormat="1" ht="16" customHeight="1" spans="1:22">
      <c r="A72" s="426">
        <v>45888</v>
      </c>
      <c r="B72" s="427">
        <v>1000031543</v>
      </c>
      <c r="C72" s="429" t="s">
        <v>11262</v>
      </c>
      <c r="D72" s="428" t="s">
        <v>111</v>
      </c>
      <c r="E72" s="428">
        <v>6000</v>
      </c>
      <c r="F72" s="429" t="s">
        <v>11168</v>
      </c>
      <c r="G72" s="428" t="s">
        <v>11153</v>
      </c>
      <c r="H72" s="430"/>
      <c r="I72" s="430"/>
      <c r="J72" s="430"/>
      <c r="K72" s="430"/>
      <c r="L72" s="430"/>
      <c r="M72" s="430">
        <v>6000</v>
      </c>
      <c r="N72" s="430"/>
      <c r="O72" s="430"/>
      <c r="P72" s="430"/>
      <c r="Q72" s="430"/>
      <c r="R72" s="430"/>
      <c r="S72" s="430"/>
      <c r="T72" s="430"/>
      <c r="U72" s="430" t="s">
        <v>11148</v>
      </c>
      <c r="V72" s="432"/>
    </row>
    <row r="73" s="397" customFormat="1" ht="16" customHeight="1" spans="1:22">
      <c r="A73" s="426">
        <v>45902</v>
      </c>
      <c r="B73" s="427" t="s">
        <v>11263</v>
      </c>
      <c r="C73" s="429" t="s">
        <v>11245</v>
      </c>
      <c r="D73" s="428">
        <v>77785</v>
      </c>
      <c r="E73" s="428">
        <v>12000</v>
      </c>
      <c r="F73" s="429" t="s">
        <v>11195</v>
      </c>
      <c r="G73" s="428" t="s">
        <v>73</v>
      </c>
      <c r="H73" s="430"/>
      <c r="I73" s="430"/>
      <c r="J73" s="430"/>
      <c r="K73" s="430"/>
      <c r="L73" s="430"/>
      <c r="M73" s="430"/>
      <c r="N73" s="430"/>
      <c r="O73" s="430"/>
      <c r="P73" s="430">
        <v>12000</v>
      </c>
      <c r="Q73" s="430"/>
      <c r="R73" s="430"/>
      <c r="S73" s="430"/>
      <c r="T73" s="430"/>
      <c r="U73" s="430" t="s">
        <v>11173</v>
      </c>
      <c r="V73" s="432" t="s">
        <v>11264</v>
      </c>
    </row>
    <row r="74" s="397" customFormat="1" ht="16" customHeight="1" spans="1:22">
      <c r="A74" s="426">
        <v>45897</v>
      </c>
      <c r="B74" s="427">
        <v>1000031589</v>
      </c>
      <c r="C74" s="429" t="s">
        <v>11183</v>
      </c>
      <c r="D74" s="428" t="s">
        <v>111</v>
      </c>
      <c r="E74" s="428">
        <v>30000</v>
      </c>
      <c r="F74" s="429" t="s">
        <v>11146</v>
      </c>
      <c r="G74" s="428" t="s">
        <v>11147</v>
      </c>
      <c r="H74" s="430">
        <v>30000</v>
      </c>
      <c r="I74" s="430"/>
      <c r="J74" s="430"/>
      <c r="K74" s="430"/>
      <c r="L74" s="430"/>
      <c r="M74" s="430"/>
      <c r="N74" s="430"/>
      <c r="O74" s="430"/>
      <c r="P74" s="430"/>
      <c r="Q74" s="430"/>
      <c r="R74" s="430"/>
      <c r="S74" s="430"/>
      <c r="T74" s="430"/>
      <c r="U74" s="430"/>
      <c r="V74" s="432" t="s">
        <v>11221</v>
      </c>
    </row>
    <row r="75" s="397" customFormat="1" ht="16" customHeight="1" spans="1:22">
      <c r="A75" s="426">
        <v>45897</v>
      </c>
      <c r="B75" s="427">
        <v>1000031590</v>
      </c>
      <c r="C75" s="429" t="s">
        <v>11183</v>
      </c>
      <c r="D75" s="428" t="s">
        <v>111</v>
      </c>
      <c r="E75" s="428">
        <v>20000</v>
      </c>
      <c r="F75" s="429" t="s">
        <v>11152</v>
      </c>
      <c r="G75" s="428" t="s">
        <v>11153</v>
      </c>
      <c r="H75" s="430"/>
      <c r="I75" s="430"/>
      <c r="J75" s="430">
        <v>20000</v>
      </c>
      <c r="K75" s="430"/>
      <c r="L75" s="430"/>
      <c r="M75" s="430"/>
      <c r="N75" s="430"/>
      <c r="O75" s="430"/>
      <c r="P75" s="430"/>
      <c r="Q75" s="430"/>
      <c r="R75" s="430"/>
      <c r="S75" s="430"/>
      <c r="T75" s="430"/>
      <c r="U75" s="430"/>
      <c r="V75" s="432" t="s">
        <v>11221</v>
      </c>
    </row>
    <row r="76" s="397" customFormat="1" ht="16" customHeight="1" spans="1:22">
      <c r="A76" s="426">
        <v>45897</v>
      </c>
      <c r="B76" s="427">
        <v>1000031591</v>
      </c>
      <c r="C76" s="429" t="s">
        <v>11183</v>
      </c>
      <c r="D76" s="428" t="s">
        <v>111</v>
      </c>
      <c r="E76" s="428">
        <v>50000</v>
      </c>
      <c r="F76" s="429" t="s">
        <v>11156</v>
      </c>
      <c r="G76" s="428" t="s">
        <v>11157</v>
      </c>
      <c r="H76" s="430"/>
      <c r="I76" s="430">
        <v>50000</v>
      </c>
      <c r="J76" s="430"/>
      <c r="K76" s="430"/>
      <c r="L76" s="430"/>
      <c r="M76" s="430"/>
      <c r="N76" s="430"/>
      <c r="O76" s="430"/>
      <c r="P76" s="430"/>
      <c r="Q76" s="430"/>
      <c r="R76" s="430"/>
      <c r="S76" s="430"/>
      <c r="T76" s="430"/>
      <c r="U76" s="430"/>
      <c r="V76" s="432" t="s">
        <v>11158</v>
      </c>
    </row>
    <row r="77" s="397" customFormat="1" ht="16" customHeight="1" spans="1:22">
      <c r="A77" s="426">
        <v>45897</v>
      </c>
      <c r="B77" s="427">
        <v>1000031592</v>
      </c>
      <c r="C77" s="429" t="s">
        <v>11183</v>
      </c>
      <c r="D77" s="428" t="s">
        <v>111</v>
      </c>
      <c r="E77" s="428">
        <v>15000</v>
      </c>
      <c r="F77" s="429" t="s">
        <v>11161</v>
      </c>
      <c r="G77" s="428" t="s">
        <v>11147</v>
      </c>
      <c r="H77" s="430"/>
      <c r="I77" s="430"/>
      <c r="J77" s="430"/>
      <c r="K77" s="430"/>
      <c r="L77" s="430">
        <v>15000</v>
      </c>
      <c r="M77" s="430"/>
      <c r="N77" s="430"/>
      <c r="O77" s="430"/>
      <c r="P77" s="430"/>
      <c r="Q77" s="430"/>
      <c r="R77" s="430"/>
      <c r="S77" s="430"/>
      <c r="T77" s="430"/>
      <c r="U77" s="430"/>
      <c r="V77" s="432" t="s">
        <v>11158</v>
      </c>
    </row>
    <row r="78" s="397" customFormat="1" ht="16" customHeight="1" spans="1:22">
      <c r="A78" s="426">
        <v>45897</v>
      </c>
      <c r="B78" s="427">
        <v>1000031593</v>
      </c>
      <c r="C78" s="429" t="s">
        <v>11183</v>
      </c>
      <c r="D78" s="428" t="s">
        <v>111</v>
      </c>
      <c r="E78" s="428">
        <v>3000</v>
      </c>
      <c r="F78" s="429" t="s">
        <v>11168</v>
      </c>
      <c r="G78" s="428" t="s">
        <v>11153</v>
      </c>
      <c r="H78" s="430"/>
      <c r="I78" s="430"/>
      <c r="J78" s="430"/>
      <c r="K78" s="430"/>
      <c r="L78" s="430"/>
      <c r="M78" s="430">
        <v>3000</v>
      </c>
      <c r="N78" s="430"/>
      <c r="O78" s="430"/>
      <c r="P78" s="430"/>
      <c r="Q78" s="430"/>
      <c r="R78" s="430"/>
      <c r="S78" s="430"/>
      <c r="T78" s="430"/>
      <c r="U78" s="430"/>
      <c r="V78" s="432" t="s">
        <v>11158</v>
      </c>
    </row>
    <row r="79" s="397" customFormat="1" ht="16" customHeight="1" spans="1:22">
      <c r="A79" s="426">
        <v>45904</v>
      </c>
      <c r="B79" s="427" t="s">
        <v>11265</v>
      </c>
      <c r="C79" s="429" t="s">
        <v>11212</v>
      </c>
      <c r="D79" s="428" t="s">
        <v>11171</v>
      </c>
      <c r="E79" s="428">
        <v>53000</v>
      </c>
      <c r="F79" s="429" t="s">
        <v>11172</v>
      </c>
      <c r="G79" s="428" t="s">
        <v>11147</v>
      </c>
      <c r="H79" s="430"/>
      <c r="I79" s="430"/>
      <c r="J79" s="430"/>
      <c r="K79" s="430"/>
      <c r="L79" s="430"/>
      <c r="M79" s="430"/>
      <c r="N79" s="430"/>
      <c r="O79" s="430"/>
      <c r="P79" s="430"/>
      <c r="Q79" s="430"/>
      <c r="R79" s="430"/>
      <c r="S79" s="430">
        <v>53000</v>
      </c>
      <c r="T79" s="430"/>
      <c r="U79" s="430" t="s">
        <v>11220</v>
      </c>
      <c r="V79" s="432" t="s">
        <v>11266</v>
      </c>
    </row>
    <row r="80" s="397" customFormat="1" ht="16" customHeight="1" spans="1:22">
      <c r="A80" s="426">
        <v>45904</v>
      </c>
      <c r="B80" s="427" t="s">
        <v>11267</v>
      </c>
      <c r="C80" s="429" t="s">
        <v>11212</v>
      </c>
      <c r="D80" s="428" t="s">
        <v>11171</v>
      </c>
      <c r="E80" s="428">
        <v>53000</v>
      </c>
      <c r="F80" s="429" t="s">
        <v>11237</v>
      </c>
      <c r="G80" s="428" t="s">
        <v>11157</v>
      </c>
      <c r="H80" s="430"/>
      <c r="I80" s="430"/>
      <c r="J80" s="430"/>
      <c r="K80" s="430"/>
      <c r="L80" s="430"/>
      <c r="M80" s="430"/>
      <c r="N80" s="430"/>
      <c r="O80" s="430"/>
      <c r="P80" s="430"/>
      <c r="Q80" s="430"/>
      <c r="R80" s="430"/>
      <c r="S80" s="430"/>
      <c r="T80" s="430">
        <v>53000</v>
      </c>
      <c r="U80" s="430" t="s">
        <v>73</v>
      </c>
      <c r="V80" s="432" t="s">
        <v>11266</v>
      </c>
    </row>
    <row r="81" s="397" customFormat="1" ht="16" customHeight="1" spans="1:22">
      <c r="A81" s="426">
        <v>45905</v>
      </c>
      <c r="B81" s="427" t="s">
        <v>11268</v>
      </c>
      <c r="C81" s="429"/>
      <c r="D81" s="428" t="s">
        <v>11269</v>
      </c>
      <c r="E81" s="428">
        <v>4800</v>
      </c>
      <c r="F81" s="429" t="s">
        <v>11270</v>
      </c>
      <c r="G81" s="428" t="s">
        <v>11153</v>
      </c>
      <c r="H81" s="430"/>
      <c r="I81" s="430"/>
      <c r="J81" s="430"/>
      <c r="K81" s="430"/>
      <c r="L81" s="430"/>
      <c r="M81" s="430"/>
      <c r="N81" s="430"/>
      <c r="O81" s="430"/>
      <c r="P81" s="430"/>
      <c r="Q81" s="430">
        <v>4800</v>
      </c>
      <c r="R81" s="430"/>
      <c r="S81" s="430"/>
      <c r="T81" s="430"/>
      <c r="U81" s="430" t="s">
        <v>11271</v>
      </c>
      <c r="V81" s="432" t="s">
        <v>11272</v>
      </c>
    </row>
    <row r="82" s="397" customFormat="1" ht="16" customHeight="1" spans="1:22">
      <c r="A82" s="426">
        <v>45905</v>
      </c>
      <c r="B82" s="427" t="s">
        <v>11273</v>
      </c>
      <c r="C82" s="429"/>
      <c r="D82" s="428" t="s">
        <v>11269</v>
      </c>
      <c r="E82" s="428">
        <v>4800</v>
      </c>
      <c r="F82" s="429" t="s">
        <v>11274</v>
      </c>
      <c r="G82" s="428" t="s">
        <v>11153</v>
      </c>
      <c r="H82" s="430"/>
      <c r="I82" s="430"/>
      <c r="J82" s="430"/>
      <c r="K82" s="430"/>
      <c r="L82" s="430"/>
      <c r="M82" s="430"/>
      <c r="N82" s="430"/>
      <c r="O82" s="430"/>
      <c r="P82" s="430"/>
      <c r="Q82" s="430"/>
      <c r="R82" s="430">
        <v>4800</v>
      </c>
      <c r="S82" s="430"/>
      <c r="T82" s="430"/>
      <c r="U82" s="430" t="s">
        <v>11271</v>
      </c>
      <c r="V82" s="432" t="s">
        <v>11272</v>
      </c>
    </row>
    <row r="83" s="397" customFormat="1" ht="16" customHeight="1" spans="1:22">
      <c r="A83" s="426">
        <v>45960</v>
      </c>
      <c r="B83" s="427" t="s">
        <v>11275</v>
      </c>
      <c r="C83" s="429" t="s">
        <v>11234</v>
      </c>
      <c r="D83" s="428" t="s">
        <v>11171</v>
      </c>
      <c r="E83" s="428">
        <v>20000</v>
      </c>
      <c r="F83" s="429" t="s">
        <v>11172</v>
      </c>
      <c r="G83" s="428" t="s">
        <v>11147</v>
      </c>
      <c r="H83" s="430"/>
      <c r="I83" s="430"/>
      <c r="J83" s="430"/>
      <c r="K83" s="430"/>
      <c r="L83" s="430"/>
      <c r="M83" s="430"/>
      <c r="N83" s="430"/>
      <c r="O83" s="430"/>
      <c r="P83" s="430"/>
      <c r="Q83" s="430"/>
      <c r="R83" s="430"/>
      <c r="S83" s="430">
        <v>20000</v>
      </c>
      <c r="T83" s="430"/>
      <c r="U83" s="430" t="s">
        <v>11276</v>
      </c>
      <c r="V83" s="432" t="s">
        <v>11277</v>
      </c>
    </row>
    <row r="84" s="397" customFormat="1" ht="16" customHeight="1" spans="1:22">
      <c r="A84" s="426">
        <v>45960</v>
      </c>
      <c r="B84" s="427" t="s">
        <v>11278</v>
      </c>
      <c r="C84" s="429" t="s">
        <v>11234</v>
      </c>
      <c r="D84" s="428" t="s">
        <v>11171</v>
      </c>
      <c r="E84" s="428">
        <v>15000</v>
      </c>
      <c r="F84" s="429" t="s">
        <v>11237</v>
      </c>
      <c r="G84" s="428" t="s">
        <v>11157</v>
      </c>
      <c r="H84" s="430"/>
      <c r="I84" s="430"/>
      <c r="J84" s="430"/>
      <c r="K84" s="430"/>
      <c r="L84" s="430"/>
      <c r="M84" s="430"/>
      <c r="N84" s="430"/>
      <c r="O84" s="430"/>
      <c r="P84" s="430"/>
      <c r="Q84" s="430"/>
      <c r="R84" s="430"/>
      <c r="S84" s="430"/>
      <c r="T84" s="430">
        <v>20000</v>
      </c>
      <c r="U84" s="430" t="s">
        <v>73</v>
      </c>
      <c r="V84" s="432" t="s">
        <v>11277</v>
      </c>
    </row>
    <row r="85" s="397" customFormat="1" ht="16" customHeight="1" spans="1:22">
      <c r="A85" s="426">
        <v>45926</v>
      </c>
      <c r="B85" s="427">
        <v>1000032519</v>
      </c>
      <c r="C85" s="429" t="s">
        <v>11183</v>
      </c>
      <c r="D85" s="428" t="s">
        <v>111</v>
      </c>
      <c r="E85" s="428">
        <v>80000</v>
      </c>
      <c r="F85" s="429" t="s">
        <v>11146</v>
      </c>
      <c r="G85" s="428" t="s">
        <v>11147</v>
      </c>
      <c r="H85" s="430">
        <v>80000</v>
      </c>
      <c r="I85" s="430"/>
      <c r="J85" s="430"/>
      <c r="K85" s="430"/>
      <c r="L85" s="430"/>
      <c r="M85" s="430"/>
      <c r="N85" s="430"/>
      <c r="O85" s="430"/>
      <c r="P85" s="430"/>
      <c r="Q85" s="430"/>
      <c r="R85" s="430"/>
      <c r="S85" s="430"/>
      <c r="T85" s="430"/>
      <c r="U85" s="430" t="s">
        <v>11220</v>
      </c>
      <c r="V85" s="432" t="s">
        <v>11221</v>
      </c>
    </row>
    <row r="86" s="397" customFormat="1" ht="16" customHeight="1" spans="1:22">
      <c r="A86" s="426">
        <v>45926</v>
      </c>
      <c r="B86" s="427">
        <v>1000032521</v>
      </c>
      <c r="C86" s="429" t="s">
        <v>11183</v>
      </c>
      <c r="D86" s="428" t="s">
        <v>111</v>
      </c>
      <c r="E86" s="428">
        <v>30000</v>
      </c>
      <c r="F86" s="429" t="s">
        <v>11152</v>
      </c>
      <c r="G86" s="428" t="s">
        <v>11153</v>
      </c>
      <c r="H86" s="430"/>
      <c r="I86" s="430"/>
      <c r="J86" s="430">
        <v>30000</v>
      </c>
      <c r="K86" s="430"/>
      <c r="L86" s="430"/>
      <c r="M86" s="430"/>
      <c r="N86" s="430"/>
      <c r="O86" s="430"/>
      <c r="P86" s="430"/>
      <c r="Q86" s="430"/>
      <c r="R86" s="430"/>
      <c r="S86" s="430"/>
      <c r="T86" s="430"/>
      <c r="U86" s="430" t="s">
        <v>11220</v>
      </c>
      <c r="V86" s="432" t="s">
        <v>11221</v>
      </c>
    </row>
    <row r="87" s="397" customFormat="1" ht="16" customHeight="1" spans="1:22">
      <c r="A87" s="426">
        <v>45926</v>
      </c>
      <c r="B87" s="427">
        <v>1000032523</v>
      </c>
      <c r="C87" s="429" t="s">
        <v>11183</v>
      </c>
      <c r="D87" s="428" t="s">
        <v>111</v>
      </c>
      <c r="E87" s="428">
        <v>200000</v>
      </c>
      <c r="F87" s="429" t="s">
        <v>11156</v>
      </c>
      <c r="G87" s="428" t="s">
        <v>11157</v>
      </c>
      <c r="H87" s="430"/>
      <c r="I87" s="430">
        <v>200000</v>
      </c>
      <c r="J87" s="430"/>
      <c r="K87" s="430"/>
      <c r="L87" s="430"/>
      <c r="M87" s="430"/>
      <c r="N87" s="430"/>
      <c r="O87" s="430"/>
      <c r="P87" s="430"/>
      <c r="Q87" s="430"/>
      <c r="R87" s="430"/>
      <c r="S87" s="430"/>
      <c r="T87" s="430"/>
      <c r="U87" s="430" t="s">
        <v>11148</v>
      </c>
      <c r="V87" s="432" t="s">
        <v>11158</v>
      </c>
    </row>
    <row r="88" s="397" customFormat="1" ht="16" customHeight="1" spans="1:22">
      <c r="A88" s="426">
        <v>45926</v>
      </c>
      <c r="B88" s="427">
        <v>1000032525</v>
      </c>
      <c r="C88" s="429" t="s">
        <v>11183</v>
      </c>
      <c r="D88" s="428" t="s">
        <v>111</v>
      </c>
      <c r="E88" s="428">
        <v>20000</v>
      </c>
      <c r="F88" s="429" t="s">
        <v>11161</v>
      </c>
      <c r="G88" s="428" t="s">
        <v>11147</v>
      </c>
      <c r="H88" s="430"/>
      <c r="I88" s="430"/>
      <c r="J88" s="430"/>
      <c r="K88" s="430"/>
      <c r="L88" s="430">
        <v>20000</v>
      </c>
      <c r="M88" s="430"/>
      <c r="N88" s="430"/>
      <c r="O88" s="430"/>
      <c r="P88" s="430"/>
      <c r="Q88" s="430"/>
      <c r="R88" s="430"/>
      <c r="S88" s="430"/>
      <c r="T88" s="430"/>
      <c r="U88" s="430" t="s">
        <v>11148</v>
      </c>
      <c r="V88" s="432" t="s">
        <v>11158</v>
      </c>
    </row>
    <row r="89" s="397" customFormat="1" ht="16" customHeight="1" spans="1:22">
      <c r="A89" s="426">
        <v>45926</v>
      </c>
      <c r="B89" s="427">
        <v>1000032527</v>
      </c>
      <c r="C89" s="429" t="s">
        <v>11183</v>
      </c>
      <c r="D89" s="428" t="s">
        <v>111</v>
      </c>
      <c r="E89" s="428">
        <v>2000</v>
      </c>
      <c r="F89" s="429" t="s">
        <v>11168</v>
      </c>
      <c r="G89" s="428" t="s">
        <v>11153</v>
      </c>
      <c r="H89" s="430"/>
      <c r="I89" s="430"/>
      <c r="J89" s="430"/>
      <c r="K89" s="430"/>
      <c r="L89" s="430"/>
      <c r="M89" s="430">
        <v>2000</v>
      </c>
      <c r="N89" s="430"/>
      <c r="O89" s="430"/>
      <c r="P89" s="430"/>
      <c r="Q89" s="430"/>
      <c r="R89" s="430"/>
      <c r="S89" s="430"/>
      <c r="T89" s="430"/>
      <c r="U89" s="430" t="s">
        <v>11148</v>
      </c>
      <c r="V89" s="432" t="s">
        <v>11158</v>
      </c>
    </row>
    <row r="90" s="397" customFormat="1" ht="16" customHeight="1" spans="1:22">
      <c r="A90" s="426">
        <v>45939</v>
      </c>
      <c r="B90" s="427">
        <v>1000032769</v>
      </c>
      <c r="C90" s="429" t="s">
        <v>11183</v>
      </c>
      <c r="D90" s="428" t="s">
        <v>111</v>
      </c>
      <c r="E90" s="428">
        <v>40000</v>
      </c>
      <c r="F90" s="429" t="s">
        <v>11146</v>
      </c>
      <c r="G90" s="428" t="s">
        <v>11147</v>
      </c>
      <c r="H90" s="430">
        <v>40000</v>
      </c>
      <c r="I90" s="430"/>
      <c r="J90" s="430"/>
      <c r="K90" s="430"/>
      <c r="L90" s="430"/>
      <c r="M90" s="430"/>
      <c r="N90" s="430"/>
      <c r="O90" s="430"/>
      <c r="P90" s="430"/>
      <c r="Q90" s="430"/>
      <c r="R90" s="430"/>
      <c r="S90" s="430"/>
      <c r="T90" s="430"/>
      <c r="U90" s="430" t="s">
        <v>11220</v>
      </c>
      <c r="V90" s="432"/>
    </row>
    <row r="91" s="397" customFormat="1" ht="16" customHeight="1" spans="1:22">
      <c r="A91" s="426">
        <v>45939</v>
      </c>
      <c r="B91" s="427">
        <v>1000032770</v>
      </c>
      <c r="C91" s="429" t="s">
        <v>11183</v>
      </c>
      <c r="D91" s="428" t="s">
        <v>111</v>
      </c>
      <c r="E91" s="428">
        <v>40000</v>
      </c>
      <c r="F91" s="429" t="s">
        <v>11152</v>
      </c>
      <c r="G91" s="428" t="s">
        <v>11153</v>
      </c>
      <c r="H91" s="430"/>
      <c r="I91" s="430"/>
      <c r="J91" s="430">
        <v>40000</v>
      </c>
      <c r="K91" s="430"/>
      <c r="L91" s="430"/>
      <c r="M91" s="430"/>
      <c r="N91" s="430"/>
      <c r="O91" s="430"/>
      <c r="P91" s="430"/>
      <c r="Q91" s="430"/>
      <c r="R91" s="430"/>
      <c r="S91" s="430"/>
      <c r="T91" s="430"/>
      <c r="U91" s="430" t="s">
        <v>11220</v>
      </c>
      <c r="V91" s="432"/>
    </row>
    <row r="92" s="397" customFormat="1" ht="16" customHeight="1" spans="1:22">
      <c r="A92" s="426">
        <v>45939</v>
      </c>
      <c r="B92" s="427">
        <v>1000032771</v>
      </c>
      <c r="C92" s="429" t="s">
        <v>11183</v>
      </c>
      <c r="D92" s="428" t="s">
        <v>111</v>
      </c>
      <c r="E92" s="428">
        <v>60000</v>
      </c>
      <c r="F92" s="429" t="s">
        <v>11156</v>
      </c>
      <c r="G92" s="428" t="s">
        <v>11157</v>
      </c>
      <c r="H92" s="430"/>
      <c r="I92" s="430">
        <v>60000</v>
      </c>
      <c r="J92" s="430"/>
      <c r="K92" s="430"/>
      <c r="L92" s="430"/>
      <c r="M92" s="430"/>
      <c r="N92" s="430"/>
      <c r="O92" s="430"/>
      <c r="P92" s="430"/>
      <c r="Q92" s="430"/>
      <c r="R92" s="430"/>
      <c r="S92" s="430"/>
      <c r="T92" s="430"/>
      <c r="U92" s="430" t="s">
        <v>11148</v>
      </c>
      <c r="V92" s="432"/>
    </row>
    <row r="93" s="397" customFormat="1" ht="16" customHeight="1" spans="1:22">
      <c r="A93" s="426">
        <v>45939</v>
      </c>
      <c r="B93" s="427">
        <v>1000032772</v>
      </c>
      <c r="C93" s="429" t="s">
        <v>11183</v>
      </c>
      <c r="D93" s="428" t="s">
        <v>111</v>
      </c>
      <c r="E93" s="428">
        <v>13000</v>
      </c>
      <c r="F93" s="429" t="s">
        <v>11161</v>
      </c>
      <c r="G93" s="428" t="s">
        <v>11147</v>
      </c>
      <c r="H93" s="430"/>
      <c r="I93" s="430"/>
      <c r="J93" s="430"/>
      <c r="K93" s="430"/>
      <c r="L93" s="430">
        <v>13000</v>
      </c>
      <c r="M93" s="430"/>
      <c r="N93" s="430"/>
      <c r="O93" s="430"/>
      <c r="P93" s="430"/>
      <c r="Q93" s="430"/>
      <c r="R93" s="430"/>
      <c r="S93" s="430"/>
      <c r="T93" s="430"/>
      <c r="U93" s="430" t="s">
        <v>11148</v>
      </c>
      <c r="V93" s="432"/>
    </row>
    <row r="94" s="397" customFormat="1" ht="16" customHeight="1" spans="1:22">
      <c r="A94" s="426">
        <v>45939</v>
      </c>
      <c r="B94" s="427">
        <v>1000032773</v>
      </c>
      <c r="C94" s="429" t="s">
        <v>11183</v>
      </c>
      <c r="D94" s="428" t="s">
        <v>111</v>
      </c>
      <c r="E94" s="428">
        <v>500</v>
      </c>
      <c r="F94" s="429" t="s">
        <v>11168</v>
      </c>
      <c r="G94" s="428" t="s">
        <v>11153</v>
      </c>
      <c r="H94" s="430"/>
      <c r="I94" s="430"/>
      <c r="J94" s="430"/>
      <c r="K94" s="430"/>
      <c r="L94" s="430"/>
      <c r="M94" s="430">
        <v>500</v>
      </c>
      <c r="N94" s="430"/>
      <c r="O94" s="430"/>
      <c r="P94" s="430"/>
      <c r="Q94" s="430"/>
      <c r="R94" s="430"/>
      <c r="S94" s="430"/>
      <c r="T94" s="430"/>
      <c r="U94" s="430" t="s">
        <v>11148</v>
      </c>
      <c r="V94" s="432"/>
    </row>
    <row r="95" s="397" customFormat="1" ht="16" customHeight="1" spans="1:22">
      <c r="A95" s="426">
        <v>45943</v>
      </c>
      <c r="B95" s="427" t="s">
        <v>11279</v>
      </c>
      <c r="C95" s="429" t="s">
        <v>11262</v>
      </c>
      <c r="D95" s="428" t="s">
        <v>111</v>
      </c>
      <c r="E95" s="429">
        <v>100000</v>
      </c>
      <c r="F95" s="429" t="s">
        <v>11146</v>
      </c>
      <c r="G95" s="428" t="s">
        <v>11147</v>
      </c>
      <c r="H95" s="430">
        <v>100000</v>
      </c>
      <c r="I95" s="430"/>
      <c r="J95" s="430"/>
      <c r="K95" s="430"/>
      <c r="L95" s="430"/>
      <c r="M95" s="430"/>
      <c r="N95" s="430"/>
      <c r="O95" s="430"/>
      <c r="P95" s="430"/>
      <c r="Q95" s="430"/>
      <c r="R95" s="430"/>
      <c r="S95" s="430"/>
      <c r="T95" s="430"/>
      <c r="U95" s="430" t="s">
        <v>11220</v>
      </c>
      <c r="V95" s="432" t="s">
        <v>11221</v>
      </c>
    </row>
    <row r="96" s="397" customFormat="1" ht="16" customHeight="1" spans="1:22">
      <c r="A96" s="426">
        <v>45943</v>
      </c>
      <c r="B96" s="427" t="s">
        <v>11280</v>
      </c>
      <c r="C96" s="429" t="s">
        <v>11262</v>
      </c>
      <c r="D96" s="428" t="s">
        <v>111</v>
      </c>
      <c r="E96" s="429">
        <v>100000</v>
      </c>
      <c r="F96" s="429" t="s">
        <v>11156</v>
      </c>
      <c r="G96" s="428" t="s">
        <v>11157</v>
      </c>
      <c r="H96" s="430"/>
      <c r="I96" s="430">
        <v>100000</v>
      </c>
      <c r="J96" s="430"/>
      <c r="K96" s="430"/>
      <c r="L96" s="430"/>
      <c r="M96" s="430"/>
      <c r="N96" s="430"/>
      <c r="O96" s="430"/>
      <c r="P96" s="430"/>
      <c r="Q96" s="430"/>
      <c r="R96" s="430"/>
      <c r="S96" s="430"/>
      <c r="T96" s="430"/>
      <c r="U96" s="430" t="s">
        <v>11148</v>
      </c>
      <c r="V96" s="432" t="s">
        <v>11158</v>
      </c>
    </row>
    <row r="97" s="397" customFormat="1" ht="16" customHeight="1" spans="1:22">
      <c r="A97" s="426">
        <v>45943</v>
      </c>
      <c r="B97" s="427" t="s">
        <v>11281</v>
      </c>
      <c r="C97" s="429" t="s">
        <v>11262</v>
      </c>
      <c r="D97" s="428" t="s">
        <v>111</v>
      </c>
      <c r="E97" s="429">
        <v>2500</v>
      </c>
      <c r="F97" s="429" t="s">
        <v>11161</v>
      </c>
      <c r="G97" s="428" t="s">
        <v>11147</v>
      </c>
      <c r="H97" s="430"/>
      <c r="I97" s="430"/>
      <c r="J97" s="430"/>
      <c r="K97" s="430"/>
      <c r="L97" s="430">
        <v>2500</v>
      </c>
      <c r="M97" s="430"/>
      <c r="N97" s="430"/>
      <c r="O97" s="430"/>
      <c r="P97" s="430"/>
      <c r="Q97" s="430"/>
      <c r="R97" s="430"/>
      <c r="S97" s="430"/>
      <c r="T97" s="430"/>
      <c r="U97" s="430" t="s">
        <v>11148</v>
      </c>
      <c r="V97" s="432" t="s">
        <v>11158</v>
      </c>
    </row>
    <row r="98" s="397" customFormat="1" ht="16" customHeight="1" spans="1:22">
      <c r="A98" s="426">
        <v>45953</v>
      </c>
      <c r="B98" s="427">
        <v>1000033308</v>
      </c>
      <c r="C98" s="429" t="s">
        <v>11183</v>
      </c>
      <c r="D98" s="428" t="s">
        <v>111</v>
      </c>
      <c r="E98" s="429">
        <v>200000</v>
      </c>
      <c r="F98" s="429" t="s">
        <v>11146</v>
      </c>
      <c r="G98" s="428" t="s">
        <v>11147</v>
      </c>
      <c r="H98" s="430">
        <v>200000</v>
      </c>
      <c r="I98" s="430"/>
      <c r="J98" s="430"/>
      <c r="K98" s="430"/>
      <c r="L98" s="430"/>
      <c r="M98" s="430"/>
      <c r="N98" s="430"/>
      <c r="O98" s="430"/>
      <c r="P98" s="430"/>
      <c r="Q98" s="430"/>
      <c r="R98" s="430"/>
      <c r="S98" s="430"/>
      <c r="T98" s="430"/>
      <c r="U98" s="430" t="s">
        <v>11220</v>
      </c>
      <c r="V98" s="432" t="s">
        <v>11221</v>
      </c>
    </row>
    <row r="99" s="397" customFormat="1" ht="16" customHeight="1" spans="1:22">
      <c r="A99" s="426">
        <v>45953</v>
      </c>
      <c r="B99" s="427">
        <v>1000033309</v>
      </c>
      <c r="C99" s="429" t="s">
        <v>11183</v>
      </c>
      <c r="D99" s="428" t="s">
        <v>111</v>
      </c>
      <c r="E99" s="429">
        <v>200000</v>
      </c>
      <c r="F99" s="429" t="s">
        <v>11156</v>
      </c>
      <c r="G99" s="428" t="s">
        <v>11157</v>
      </c>
      <c r="H99" s="430"/>
      <c r="I99" s="430">
        <v>200000</v>
      </c>
      <c r="J99" s="430"/>
      <c r="K99" s="430"/>
      <c r="L99" s="430"/>
      <c r="M99" s="430"/>
      <c r="N99" s="430"/>
      <c r="O99" s="430"/>
      <c r="P99" s="430"/>
      <c r="Q99" s="430"/>
      <c r="R99" s="430"/>
      <c r="S99" s="430"/>
      <c r="T99" s="430"/>
      <c r="U99" s="430" t="s">
        <v>11148</v>
      </c>
      <c r="V99" s="432" t="s">
        <v>11158</v>
      </c>
    </row>
    <row r="100" s="397" customFormat="1" ht="16" customHeight="1" spans="1:22">
      <c r="A100" s="426">
        <v>45953</v>
      </c>
      <c r="B100" s="427">
        <v>1000033310</v>
      </c>
      <c r="C100" s="429" t="s">
        <v>11183</v>
      </c>
      <c r="D100" s="428" t="s">
        <v>111</v>
      </c>
      <c r="E100" s="429">
        <v>20000</v>
      </c>
      <c r="F100" s="429" t="s">
        <v>11161</v>
      </c>
      <c r="G100" s="428" t="s">
        <v>11147</v>
      </c>
      <c r="H100" s="430"/>
      <c r="I100" s="430"/>
      <c r="J100" s="430"/>
      <c r="K100" s="430"/>
      <c r="L100" s="430">
        <v>20000</v>
      </c>
      <c r="M100" s="430"/>
      <c r="N100" s="430"/>
      <c r="O100" s="430"/>
      <c r="P100" s="430"/>
      <c r="Q100" s="430"/>
      <c r="R100" s="430"/>
      <c r="S100" s="430"/>
      <c r="T100" s="430"/>
      <c r="U100" s="430" t="s">
        <v>11148</v>
      </c>
      <c r="V100" s="432" t="s">
        <v>11158</v>
      </c>
    </row>
    <row r="101" s="397" customFormat="1" ht="16" customHeight="1" spans="1:22">
      <c r="A101" s="426">
        <v>45960</v>
      </c>
      <c r="B101" s="427">
        <v>1000033553</v>
      </c>
      <c r="C101" s="429" t="s">
        <v>11183</v>
      </c>
      <c r="D101" s="428" t="s">
        <v>111</v>
      </c>
      <c r="E101" s="428">
        <v>50000</v>
      </c>
      <c r="F101" s="429" t="s">
        <v>11146</v>
      </c>
      <c r="G101" s="428" t="s">
        <v>11147</v>
      </c>
      <c r="H101" s="430">
        <v>50000</v>
      </c>
      <c r="I101" s="430"/>
      <c r="J101" s="430"/>
      <c r="K101" s="430"/>
      <c r="L101" s="430"/>
      <c r="M101" s="430"/>
      <c r="N101" s="430"/>
      <c r="O101" s="430"/>
      <c r="P101" s="430"/>
      <c r="Q101" s="430"/>
      <c r="R101" s="430"/>
      <c r="S101" s="430"/>
      <c r="T101" s="430"/>
      <c r="U101" s="430" t="s">
        <v>11220</v>
      </c>
      <c r="V101" s="432" t="s">
        <v>11221</v>
      </c>
    </row>
    <row r="102" s="397" customFormat="1" ht="16" customHeight="1" spans="1:22">
      <c r="A102" s="426">
        <v>45960</v>
      </c>
      <c r="B102" s="427">
        <v>1000033554</v>
      </c>
      <c r="C102" s="429" t="s">
        <v>11183</v>
      </c>
      <c r="D102" s="428" t="s">
        <v>111</v>
      </c>
      <c r="E102" s="428">
        <v>50000</v>
      </c>
      <c r="F102" s="429" t="s">
        <v>11156</v>
      </c>
      <c r="G102" s="428" t="s">
        <v>11157</v>
      </c>
      <c r="H102" s="430"/>
      <c r="I102" s="430">
        <v>50000</v>
      </c>
      <c r="J102" s="430"/>
      <c r="K102" s="430"/>
      <c r="L102" s="430"/>
      <c r="M102" s="430"/>
      <c r="N102" s="430"/>
      <c r="O102" s="430"/>
      <c r="P102" s="430"/>
      <c r="Q102" s="430"/>
      <c r="R102" s="430"/>
      <c r="S102" s="430"/>
      <c r="T102" s="430"/>
      <c r="U102" s="430" t="s">
        <v>11148</v>
      </c>
      <c r="V102" s="432" t="s">
        <v>11158</v>
      </c>
    </row>
    <row r="103" s="397" customFormat="1" ht="16" customHeight="1" spans="1:22">
      <c r="A103" s="426">
        <v>45960</v>
      </c>
      <c r="B103" s="427">
        <v>1000033555</v>
      </c>
      <c r="C103" s="429" t="s">
        <v>11183</v>
      </c>
      <c r="D103" s="428" t="s">
        <v>111</v>
      </c>
      <c r="E103" s="428">
        <v>10000</v>
      </c>
      <c r="F103" s="429" t="s">
        <v>11161</v>
      </c>
      <c r="G103" s="428" t="s">
        <v>11147</v>
      </c>
      <c r="H103" s="430"/>
      <c r="I103" s="430"/>
      <c r="J103" s="430"/>
      <c r="K103" s="430"/>
      <c r="L103" s="430">
        <v>10000</v>
      </c>
      <c r="M103" s="430"/>
      <c r="N103" s="430"/>
      <c r="O103" s="430"/>
      <c r="P103" s="430"/>
      <c r="Q103" s="430"/>
      <c r="R103" s="430"/>
      <c r="S103" s="430"/>
      <c r="T103" s="430"/>
      <c r="U103" s="430" t="s">
        <v>11148</v>
      </c>
      <c r="V103" s="432" t="s">
        <v>11158</v>
      </c>
    </row>
    <row r="104" s="397" customFormat="1" ht="16" customHeight="1" spans="1:22">
      <c r="A104" s="426">
        <v>45960</v>
      </c>
      <c r="B104" s="427">
        <v>1000033556</v>
      </c>
      <c r="C104" s="429" t="s">
        <v>11183</v>
      </c>
      <c r="D104" s="428" t="s">
        <v>111</v>
      </c>
      <c r="E104" s="428">
        <v>500</v>
      </c>
      <c r="F104" s="429" t="s">
        <v>11168</v>
      </c>
      <c r="G104" s="428" t="s">
        <v>11153</v>
      </c>
      <c r="H104" s="430"/>
      <c r="I104" s="430"/>
      <c r="J104" s="430"/>
      <c r="K104" s="430"/>
      <c r="L104" s="430"/>
      <c r="M104" s="430">
        <v>500</v>
      </c>
      <c r="N104" s="430"/>
      <c r="O104" s="430"/>
      <c r="P104" s="430"/>
      <c r="Q104" s="430"/>
      <c r="R104" s="430"/>
      <c r="S104" s="430"/>
      <c r="T104" s="430"/>
      <c r="U104" s="430" t="s">
        <v>11148</v>
      </c>
      <c r="V104" s="432" t="s">
        <v>11158</v>
      </c>
    </row>
    <row r="105" s="397" customFormat="1" ht="16" customHeight="1" spans="1:22">
      <c r="A105" s="426">
        <v>45964</v>
      </c>
      <c r="B105" s="427" t="s">
        <v>11282</v>
      </c>
      <c r="C105" s="429" t="s">
        <v>11183</v>
      </c>
      <c r="D105" s="428" t="s">
        <v>111</v>
      </c>
      <c r="E105" s="428">
        <v>20000</v>
      </c>
      <c r="F105" s="429" t="s">
        <v>11161</v>
      </c>
      <c r="G105" s="428" t="s">
        <v>11147</v>
      </c>
      <c r="H105" s="430"/>
      <c r="I105" s="430"/>
      <c r="J105" s="430"/>
      <c r="K105" s="430"/>
      <c r="L105" s="430">
        <v>20000</v>
      </c>
      <c r="M105" s="430"/>
      <c r="N105" s="430"/>
      <c r="O105" s="430"/>
      <c r="P105" s="430"/>
      <c r="Q105" s="430"/>
      <c r="R105" s="430"/>
      <c r="S105" s="430"/>
      <c r="T105" s="430"/>
      <c r="U105" s="430" t="s">
        <v>11148</v>
      </c>
      <c r="V105" s="432" t="s">
        <v>11158</v>
      </c>
    </row>
    <row r="106" s="397" customFormat="1" ht="16" customHeight="1" spans="1:22">
      <c r="A106" s="426">
        <v>45960</v>
      </c>
      <c r="B106" s="427" t="s">
        <v>11283</v>
      </c>
      <c r="C106" s="429" t="s">
        <v>11234</v>
      </c>
      <c r="D106" s="428" t="s">
        <v>11171</v>
      </c>
      <c r="E106" s="428">
        <v>20000</v>
      </c>
      <c r="F106" s="429" t="s">
        <v>11172</v>
      </c>
      <c r="G106" s="428" t="s">
        <v>11147</v>
      </c>
      <c r="H106" s="430"/>
      <c r="I106" s="430"/>
      <c r="J106" s="430"/>
      <c r="K106" s="430"/>
      <c r="L106" s="430"/>
      <c r="M106" s="430"/>
      <c r="N106" s="430"/>
      <c r="O106" s="430"/>
      <c r="P106" s="430"/>
      <c r="Q106" s="430"/>
      <c r="R106" s="430"/>
      <c r="S106" s="430">
        <v>20000</v>
      </c>
      <c r="T106" s="430"/>
      <c r="U106" s="430" t="s">
        <v>11276</v>
      </c>
      <c r="V106" s="432" t="s">
        <v>11284</v>
      </c>
    </row>
    <row r="107" s="397" customFormat="1" ht="16" customHeight="1" spans="1:22">
      <c r="A107" s="426">
        <v>45960</v>
      </c>
      <c r="B107" s="427" t="s">
        <v>11285</v>
      </c>
      <c r="C107" s="429" t="s">
        <v>11234</v>
      </c>
      <c r="D107" s="428" t="s">
        <v>11171</v>
      </c>
      <c r="E107" s="428">
        <v>15000</v>
      </c>
      <c r="F107" s="429" t="s">
        <v>11237</v>
      </c>
      <c r="G107" s="428" t="s">
        <v>11157</v>
      </c>
      <c r="H107" s="430"/>
      <c r="I107" s="430"/>
      <c r="J107" s="430"/>
      <c r="K107" s="430"/>
      <c r="L107" s="430"/>
      <c r="M107" s="430"/>
      <c r="N107" s="430"/>
      <c r="O107" s="430"/>
      <c r="P107" s="430"/>
      <c r="Q107" s="430"/>
      <c r="R107" s="430"/>
      <c r="S107" s="430"/>
      <c r="T107" s="430">
        <v>15000</v>
      </c>
      <c r="U107" s="430" t="s">
        <v>73</v>
      </c>
      <c r="V107" s="432" t="s">
        <v>11286</v>
      </c>
    </row>
    <row r="108" s="397" customFormat="1" ht="16" customHeight="1" spans="1:22">
      <c r="A108" s="426">
        <v>45981</v>
      </c>
      <c r="B108" s="427">
        <v>1000034309</v>
      </c>
      <c r="C108" s="429" t="s">
        <v>11183</v>
      </c>
      <c r="D108" s="428" t="s">
        <v>111</v>
      </c>
      <c r="E108" s="428">
        <v>40000</v>
      </c>
      <c r="F108" s="429" t="s">
        <v>11152</v>
      </c>
      <c r="G108" s="428" t="s">
        <v>11153</v>
      </c>
      <c r="H108" s="430"/>
      <c r="I108" s="430"/>
      <c r="J108" s="430">
        <v>40000</v>
      </c>
      <c r="K108" s="430"/>
      <c r="L108" s="430"/>
      <c r="M108" s="430"/>
      <c r="N108" s="430"/>
      <c r="O108" s="430"/>
      <c r="P108" s="430"/>
      <c r="Q108" s="430"/>
      <c r="R108" s="430"/>
      <c r="S108" s="430"/>
      <c r="T108" s="430"/>
      <c r="U108" s="430" t="s">
        <v>11220</v>
      </c>
      <c r="V108" s="432" t="s">
        <v>11221</v>
      </c>
    </row>
    <row r="109" s="397" customFormat="1" ht="16" customHeight="1" spans="1:22">
      <c r="A109" s="426">
        <v>45981</v>
      </c>
      <c r="B109" s="427">
        <v>1000034310</v>
      </c>
      <c r="C109" s="429" t="s">
        <v>11183</v>
      </c>
      <c r="D109" s="428" t="s">
        <v>111</v>
      </c>
      <c r="E109" s="428">
        <v>50000</v>
      </c>
      <c r="F109" s="429" t="s">
        <v>11146</v>
      </c>
      <c r="G109" s="428" t="s">
        <v>11147</v>
      </c>
      <c r="H109" s="430">
        <v>50000</v>
      </c>
      <c r="I109" s="430"/>
      <c r="J109" s="430"/>
      <c r="K109" s="430"/>
      <c r="L109" s="430"/>
      <c r="M109" s="430"/>
      <c r="N109" s="430"/>
      <c r="O109" s="430"/>
      <c r="P109" s="430"/>
      <c r="Q109" s="430"/>
      <c r="R109" s="430"/>
      <c r="S109" s="430"/>
      <c r="T109" s="430"/>
      <c r="U109" s="430" t="s">
        <v>11220</v>
      </c>
      <c r="V109" s="432" t="s">
        <v>11221</v>
      </c>
    </row>
    <row r="110" s="397" customFormat="1" ht="16" customHeight="1" spans="1:22">
      <c r="A110" s="426">
        <v>45981</v>
      </c>
      <c r="B110" s="427">
        <v>1000034311</v>
      </c>
      <c r="C110" s="429" t="s">
        <v>11183</v>
      </c>
      <c r="D110" s="428" t="s">
        <v>111</v>
      </c>
      <c r="E110" s="428">
        <v>50000</v>
      </c>
      <c r="F110" s="429" t="s">
        <v>11156</v>
      </c>
      <c r="G110" s="428" t="s">
        <v>11157</v>
      </c>
      <c r="H110" s="430"/>
      <c r="I110" s="430">
        <v>50000</v>
      </c>
      <c r="J110" s="430"/>
      <c r="K110" s="430"/>
      <c r="L110" s="430"/>
      <c r="M110" s="430"/>
      <c r="N110" s="430"/>
      <c r="O110" s="430"/>
      <c r="P110" s="430"/>
      <c r="Q110" s="430"/>
      <c r="R110" s="430"/>
      <c r="S110" s="430"/>
      <c r="T110" s="430"/>
      <c r="U110" s="430" t="s">
        <v>11148</v>
      </c>
      <c r="V110" s="432" t="s">
        <v>11158</v>
      </c>
    </row>
    <row r="111" s="397" customFormat="1" ht="16" customHeight="1" spans="1:22">
      <c r="A111" s="426">
        <v>45981</v>
      </c>
      <c r="B111" s="427">
        <v>1000034312</v>
      </c>
      <c r="C111" s="429" t="s">
        <v>11183</v>
      </c>
      <c r="D111" s="428" t="s">
        <v>111</v>
      </c>
      <c r="E111" s="428">
        <v>4000</v>
      </c>
      <c r="F111" s="429" t="s">
        <v>11161</v>
      </c>
      <c r="G111" s="428" t="s">
        <v>11147</v>
      </c>
      <c r="H111" s="430"/>
      <c r="I111" s="430"/>
      <c r="J111" s="430"/>
      <c r="K111" s="430"/>
      <c r="L111" s="430">
        <v>4000</v>
      </c>
      <c r="M111" s="430"/>
      <c r="N111" s="430"/>
      <c r="O111" s="430"/>
      <c r="P111" s="430"/>
      <c r="Q111" s="430"/>
      <c r="R111" s="430"/>
      <c r="S111" s="430"/>
      <c r="T111" s="430"/>
      <c r="U111" s="430" t="s">
        <v>11148</v>
      </c>
      <c r="V111" s="432" t="s">
        <v>11158</v>
      </c>
    </row>
    <row r="112" s="397" customFormat="1" ht="16" customHeight="1" spans="1:22">
      <c r="A112" s="426">
        <v>45981</v>
      </c>
      <c r="B112" s="427">
        <v>1000034313</v>
      </c>
      <c r="C112" s="429" t="s">
        <v>11183</v>
      </c>
      <c r="D112" s="428" t="s">
        <v>111</v>
      </c>
      <c r="E112" s="428">
        <v>1500</v>
      </c>
      <c r="F112" s="429" t="s">
        <v>11168</v>
      </c>
      <c r="G112" s="428" t="s">
        <v>11153</v>
      </c>
      <c r="H112" s="430"/>
      <c r="I112" s="430"/>
      <c r="J112" s="430"/>
      <c r="K112" s="430"/>
      <c r="L112" s="430"/>
      <c r="M112" s="430">
        <v>1500</v>
      </c>
      <c r="N112" s="430"/>
      <c r="O112" s="430"/>
      <c r="P112" s="430"/>
      <c r="Q112" s="430"/>
      <c r="R112" s="430"/>
      <c r="S112" s="430"/>
      <c r="T112" s="430"/>
      <c r="U112" s="430" t="s">
        <v>11148</v>
      </c>
      <c r="V112" s="432" t="s">
        <v>11158</v>
      </c>
    </row>
    <row r="113" s="397" customFormat="1" ht="16" customHeight="1" spans="1:22">
      <c r="A113" s="426">
        <v>45989</v>
      </c>
      <c r="B113" s="427" t="s">
        <v>11287</v>
      </c>
      <c r="C113" s="429" t="s">
        <v>11234</v>
      </c>
      <c r="D113" s="428" t="s">
        <v>11171</v>
      </c>
      <c r="E113" s="428">
        <v>74752</v>
      </c>
      <c r="F113" s="429" t="s">
        <v>11172</v>
      </c>
      <c r="G113" s="428" t="s">
        <v>11147</v>
      </c>
      <c r="H113" s="430"/>
      <c r="I113" s="430"/>
      <c r="J113" s="430"/>
      <c r="K113" s="430"/>
      <c r="L113" s="430"/>
      <c r="M113" s="430"/>
      <c r="N113" s="430"/>
      <c r="O113" s="430"/>
      <c r="P113" s="430"/>
      <c r="Q113" s="430"/>
      <c r="R113" s="430"/>
      <c r="S113" s="430">
        <v>74752</v>
      </c>
      <c r="T113" s="430"/>
      <c r="U113" s="430" t="s">
        <v>11276</v>
      </c>
      <c r="V113" s="432" t="s">
        <v>11288</v>
      </c>
    </row>
    <row r="114" s="397" customFormat="1" ht="16" customHeight="1" spans="1:22">
      <c r="A114" s="426">
        <v>45989</v>
      </c>
      <c r="B114" s="427" t="s">
        <v>11289</v>
      </c>
      <c r="C114" s="429" t="s">
        <v>11234</v>
      </c>
      <c r="D114" s="428" t="s">
        <v>11171</v>
      </c>
      <c r="E114" s="428">
        <v>74752</v>
      </c>
      <c r="F114" s="429" t="s">
        <v>11237</v>
      </c>
      <c r="G114" s="428" t="s">
        <v>11157</v>
      </c>
      <c r="H114" s="430"/>
      <c r="I114" s="430"/>
      <c r="J114" s="430"/>
      <c r="K114" s="430"/>
      <c r="L114" s="430"/>
      <c r="M114" s="430"/>
      <c r="N114" s="430"/>
      <c r="O114" s="430"/>
      <c r="P114" s="430"/>
      <c r="Q114" s="430"/>
      <c r="R114" s="430"/>
      <c r="S114" s="430"/>
      <c r="T114" s="430">
        <v>74752</v>
      </c>
      <c r="U114" s="430" t="s">
        <v>73</v>
      </c>
      <c r="V114" s="432" t="s">
        <v>11288</v>
      </c>
    </row>
    <row r="115" s="397" customFormat="1" ht="16" customHeight="1" spans="1:22">
      <c r="A115" s="426">
        <v>45993</v>
      </c>
      <c r="B115" s="427">
        <v>1000034641</v>
      </c>
      <c r="C115" s="429" t="s">
        <v>11183</v>
      </c>
      <c r="D115" s="428" t="s">
        <v>111</v>
      </c>
      <c r="E115" s="428">
        <v>300000</v>
      </c>
      <c r="F115" s="429" t="s">
        <v>11146</v>
      </c>
      <c r="G115" s="428" t="s">
        <v>11147</v>
      </c>
      <c r="H115" s="430">
        <v>300000</v>
      </c>
      <c r="I115" s="430"/>
      <c r="J115" s="430"/>
      <c r="K115" s="430"/>
      <c r="L115" s="430"/>
      <c r="M115" s="430"/>
      <c r="N115" s="430"/>
      <c r="O115" s="430"/>
      <c r="P115" s="430"/>
      <c r="Q115" s="430"/>
      <c r="R115" s="430"/>
      <c r="S115" s="430"/>
      <c r="T115" s="430"/>
      <c r="U115" s="430" t="s">
        <v>11220</v>
      </c>
      <c r="V115" s="432" t="s">
        <v>11221</v>
      </c>
    </row>
    <row r="116" s="397" customFormat="1" ht="16" customHeight="1" spans="1:22">
      <c r="A116" s="426">
        <v>45993</v>
      </c>
      <c r="B116" s="427">
        <v>1000034642</v>
      </c>
      <c r="C116" s="429" t="s">
        <v>11183</v>
      </c>
      <c r="D116" s="428" t="s">
        <v>111</v>
      </c>
      <c r="E116" s="428">
        <v>60000</v>
      </c>
      <c r="F116" s="429" t="s">
        <v>11152</v>
      </c>
      <c r="G116" s="428" t="s">
        <v>11153</v>
      </c>
      <c r="H116" s="430"/>
      <c r="I116" s="430"/>
      <c r="J116" s="430">
        <v>60000</v>
      </c>
      <c r="K116" s="430"/>
      <c r="L116" s="430"/>
      <c r="M116" s="430"/>
      <c r="N116" s="430"/>
      <c r="O116" s="430"/>
      <c r="P116" s="430"/>
      <c r="Q116" s="430"/>
      <c r="R116" s="430"/>
      <c r="S116" s="430"/>
      <c r="T116" s="430"/>
      <c r="U116" s="430" t="s">
        <v>11220</v>
      </c>
      <c r="V116" s="432" t="s">
        <v>11221</v>
      </c>
    </row>
    <row r="117" s="397" customFormat="1" ht="16" customHeight="1" spans="1:22">
      <c r="A117" s="426">
        <v>45993</v>
      </c>
      <c r="B117" s="427">
        <v>1000034643</v>
      </c>
      <c r="C117" s="429" t="s">
        <v>11183</v>
      </c>
      <c r="D117" s="428" t="s">
        <v>111</v>
      </c>
      <c r="E117" s="428">
        <v>360000</v>
      </c>
      <c r="F117" s="429" t="s">
        <v>11156</v>
      </c>
      <c r="G117" s="428" t="s">
        <v>11157</v>
      </c>
      <c r="H117" s="430"/>
      <c r="I117" s="430">
        <v>360000</v>
      </c>
      <c r="J117" s="430"/>
      <c r="K117" s="430"/>
      <c r="L117" s="430"/>
      <c r="M117" s="430"/>
      <c r="N117" s="430"/>
      <c r="O117" s="430"/>
      <c r="P117" s="430"/>
      <c r="Q117" s="430"/>
      <c r="R117" s="430"/>
      <c r="S117" s="430"/>
      <c r="T117" s="430"/>
      <c r="U117" s="430" t="s">
        <v>11148</v>
      </c>
      <c r="V117" s="432" t="s">
        <v>11158</v>
      </c>
    </row>
    <row r="118" s="397" customFormat="1" ht="16" customHeight="1" spans="1:22">
      <c r="A118" s="426">
        <v>45993</v>
      </c>
      <c r="B118" s="427">
        <v>1000034644</v>
      </c>
      <c r="C118" s="429" t="s">
        <v>11183</v>
      </c>
      <c r="D118" s="428" t="s">
        <v>111</v>
      </c>
      <c r="E118" s="428">
        <v>31000</v>
      </c>
      <c r="F118" s="429" t="s">
        <v>11161</v>
      </c>
      <c r="G118" s="428" t="s">
        <v>11147</v>
      </c>
      <c r="H118" s="430"/>
      <c r="I118" s="430"/>
      <c r="J118" s="430"/>
      <c r="K118" s="430"/>
      <c r="L118" s="430">
        <v>31000</v>
      </c>
      <c r="M118" s="430"/>
      <c r="N118" s="430"/>
      <c r="O118" s="430"/>
      <c r="P118" s="430"/>
      <c r="Q118" s="430"/>
      <c r="R118" s="430"/>
      <c r="S118" s="430"/>
      <c r="T118" s="430"/>
      <c r="U118" s="430" t="s">
        <v>11148</v>
      </c>
      <c r="V118" s="432" t="s">
        <v>11158</v>
      </c>
    </row>
    <row r="119" s="397" customFormat="1" ht="16" customHeight="1" spans="1:22">
      <c r="A119" s="426">
        <v>45993</v>
      </c>
      <c r="B119" s="427">
        <v>1000034645</v>
      </c>
      <c r="C119" s="429" t="s">
        <v>11183</v>
      </c>
      <c r="D119" s="428" t="s">
        <v>111</v>
      </c>
      <c r="E119" s="428">
        <v>3000</v>
      </c>
      <c r="F119" s="429" t="s">
        <v>11168</v>
      </c>
      <c r="G119" s="428" t="s">
        <v>11153</v>
      </c>
      <c r="H119" s="430"/>
      <c r="I119" s="430"/>
      <c r="J119" s="430"/>
      <c r="K119" s="430"/>
      <c r="L119" s="430"/>
      <c r="M119" s="430">
        <v>3000</v>
      </c>
      <c r="N119" s="430"/>
      <c r="O119" s="430"/>
      <c r="P119" s="430"/>
      <c r="Q119" s="430"/>
      <c r="R119" s="430"/>
      <c r="S119" s="430"/>
      <c r="T119" s="430"/>
      <c r="U119" s="430" t="s">
        <v>11148</v>
      </c>
      <c r="V119" s="432" t="s">
        <v>11158</v>
      </c>
    </row>
    <row r="120" s="397" customFormat="1" ht="16" customHeight="1" spans="1:22">
      <c r="A120" s="426">
        <v>46006</v>
      </c>
      <c r="B120" s="427">
        <v>1000034955</v>
      </c>
      <c r="C120" s="429" t="s">
        <v>11183</v>
      </c>
      <c r="D120" s="428" t="s">
        <v>111</v>
      </c>
      <c r="E120" s="428">
        <v>20000</v>
      </c>
      <c r="F120" s="429" t="s">
        <v>11161</v>
      </c>
      <c r="G120" s="428" t="s">
        <v>11147</v>
      </c>
      <c r="H120" s="430"/>
      <c r="I120" s="430"/>
      <c r="J120" s="430"/>
      <c r="K120" s="430"/>
      <c r="L120" s="430">
        <v>20000</v>
      </c>
      <c r="M120" s="430"/>
      <c r="N120" s="430"/>
      <c r="O120" s="430"/>
      <c r="P120" s="430"/>
      <c r="Q120" s="430"/>
      <c r="R120" s="430"/>
      <c r="S120" s="430"/>
      <c r="T120" s="430"/>
      <c r="U120" s="430" t="s">
        <v>11148</v>
      </c>
      <c r="V120" s="432" t="s">
        <v>11158</v>
      </c>
    </row>
    <row r="121" s="397" customFormat="1" ht="16" customHeight="1" spans="1:22">
      <c r="A121" s="426">
        <v>46006</v>
      </c>
      <c r="B121" s="427">
        <v>1000034956</v>
      </c>
      <c r="C121" s="429" t="s">
        <v>11183</v>
      </c>
      <c r="D121" s="428" t="s">
        <v>111</v>
      </c>
      <c r="E121" s="428">
        <v>2000</v>
      </c>
      <c r="F121" s="429" t="s">
        <v>11168</v>
      </c>
      <c r="G121" s="428" t="s">
        <v>11153</v>
      </c>
      <c r="H121" s="430"/>
      <c r="I121" s="430"/>
      <c r="J121" s="430"/>
      <c r="K121" s="430"/>
      <c r="L121" s="430"/>
      <c r="M121" s="430">
        <v>2000</v>
      </c>
      <c r="N121" s="430"/>
      <c r="O121" s="430"/>
      <c r="P121" s="430"/>
      <c r="Q121" s="430"/>
      <c r="R121" s="430"/>
      <c r="S121" s="430"/>
      <c r="T121" s="430"/>
      <c r="U121" s="430" t="s">
        <v>11148</v>
      </c>
      <c r="V121" s="432" t="s">
        <v>11158</v>
      </c>
    </row>
    <row r="122" s="397" customFormat="1" ht="16" customHeight="1" spans="1:22">
      <c r="A122" s="426">
        <v>46010</v>
      </c>
      <c r="B122" s="427" t="s">
        <v>11290</v>
      </c>
      <c r="C122" s="429" t="s">
        <v>11234</v>
      </c>
      <c r="D122" s="428" t="s">
        <v>11171</v>
      </c>
      <c r="E122" s="428">
        <v>20000</v>
      </c>
      <c r="F122" s="429" t="s">
        <v>11172</v>
      </c>
      <c r="G122" s="428" t="s">
        <v>11147</v>
      </c>
      <c r="H122" s="430"/>
      <c r="I122" s="430"/>
      <c r="J122" s="430"/>
      <c r="K122" s="430"/>
      <c r="L122" s="430"/>
      <c r="M122" s="430"/>
      <c r="N122" s="430"/>
      <c r="O122" s="430"/>
      <c r="P122" s="430"/>
      <c r="Q122" s="430"/>
      <c r="R122" s="430"/>
      <c r="S122" s="430">
        <v>20000</v>
      </c>
      <c r="T122" s="430"/>
      <c r="U122" s="430" t="s">
        <v>11173</v>
      </c>
      <c r="V122" s="432" t="s">
        <v>11291</v>
      </c>
    </row>
    <row r="123" s="397" customFormat="1" ht="16" customHeight="1" spans="1:22">
      <c r="A123" s="426">
        <v>46010</v>
      </c>
      <c r="B123" s="427" t="s">
        <v>11292</v>
      </c>
      <c r="C123" s="429" t="s">
        <v>11234</v>
      </c>
      <c r="D123" s="428" t="s">
        <v>11171</v>
      </c>
      <c r="E123" s="428">
        <v>20000</v>
      </c>
      <c r="F123" s="429" t="s">
        <v>11237</v>
      </c>
      <c r="G123" s="428" t="s">
        <v>11157</v>
      </c>
      <c r="H123" s="430"/>
      <c r="I123" s="430"/>
      <c r="J123" s="430"/>
      <c r="K123" s="430"/>
      <c r="L123" s="430"/>
      <c r="M123" s="430"/>
      <c r="N123" s="430"/>
      <c r="O123" s="430"/>
      <c r="P123" s="430"/>
      <c r="Q123" s="430"/>
      <c r="R123" s="430"/>
      <c r="S123" s="430"/>
      <c r="T123" s="430">
        <v>20000</v>
      </c>
      <c r="U123" s="430" t="s">
        <v>11173</v>
      </c>
      <c r="V123" s="432" t="s">
        <v>11291</v>
      </c>
    </row>
    <row r="124" s="397" customFormat="1" ht="16" customHeight="1" spans="1:22">
      <c r="A124" s="426">
        <v>46022</v>
      </c>
      <c r="B124" s="427" t="s">
        <v>11293</v>
      </c>
      <c r="C124" s="429" t="s">
        <v>11234</v>
      </c>
      <c r="D124" s="428" t="s">
        <v>11171</v>
      </c>
      <c r="E124" s="428">
        <v>63252</v>
      </c>
      <c r="F124" s="429" t="s">
        <v>11172</v>
      </c>
      <c r="G124" s="428" t="s">
        <v>11147</v>
      </c>
      <c r="H124" s="430"/>
      <c r="I124" s="430"/>
      <c r="J124" s="430"/>
      <c r="K124" s="430"/>
      <c r="L124" s="430"/>
      <c r="M124" s="430"/>
      <c r="N124" s="430"/>
      <c r="O124" s="430"/>
      <c r="P124" s="430"/>
      <c r="Q124" s="430"/>
      <c r="R124" s="430"/>
      <c r="S124" s="430">
        <v>63252</v>
      </c>
      <c r="T124" s="430"/>
      <c r="U124" s="430" t="s">
        <v>11173</v>
      </c>
      <c r="V124" s="432" t="s">
        <v>11294</v>
      </c>
    </row>
    <row r="125" s="397" customFormat="1" ht="16" customHeight="1" spans="1:22">
      <c r="A125" s="426">
        <v>46022</v>
      </c>
      <c r="B125" s="427" t="s">
        <v>11295</v>
      </c>
      <c r="C125" s="429" t="s">
        <v>11234</v>
      </c>
      <c r="D125" s="428" t="s">
        <v>11171</v>
      </c>
      <c r="E125" s="428">
        <v>63252</v>
      </c>
      <c r="F125" s="429" t="s">
        <v>11237</v>
      </c>
      <c r="G125" s="428" t="s">
        <v>11157</v>
      </c>
      <c r="H125" s="430"/>
      <c r="I125" s="430"/>
      <c r="J125" s="430"/>
      <c r="K125" s="430"/>
      <c r="L125" s="430"/>
      <c r="M125" s="430"/>
      <c r="N125" s="430"/>
      <c r="O125" s="430"/>
      <c r="P125" s="430"/>
      <c r="Q125" s="430"/>
      <c r="R125" s="430"/>
      <c r="S125" s="430"/>
      <c r="T125" s="430">
        <v>63252</v>
      </c>
      <c r="U125" s="430" t="s">
        <v>11173</v>
      </c>
      <c r="V125" s="432" t="s">
        <v>11294</v>
      </c>
    </row>
    <row r="126" s="397" customFormat="1" ht="16" customHeight="1" spans="1:22">
      <c r="A126" s="426">
        <v>46022</v>
      </c>
      <c r="B126" s="427">
        <v>1000035552</v>
      </c>
      <c r="C126" s="429" t="s">
        <v>11183</v>
      </c>
      <c r="D126" s="428" t="s">
        <v>111</v>
      </c>
      <c r="E126" s="428">
        <v>150000</v>
      </c>
      <c r="F126" s="429" t="s">
        <v>11146</v>
      </c>
      <c r="G126" s="428" t="s">
        <v>11147</v>
      </c>
      <c r="H126" s="428">
        <v>150000</v>
      </c>
      <c r="I126" s="430"/>
      <c r="J126" s="430"/>
      <c r="K126" s="430"/>
      <c r="L126" s="430"/>
      <c r="M126" s="430"/>
      <c r="N126" s="430"/>
      <c r="O126" s="430"/>
      <c r="P126" s="430"/>
      <c r="Q126" s="430"/>
      <c r="R126" s="430"/>
      <c r="S126" s="430"/>
      <c r="T126" s="430"/>
      <c r="U126" s="430"/>
      <c r="V126" s="432"/>
    </row>
    <row r="127" s="397" customFormat="1" ht="16" customHeight="1" spans="1:22">
      <c r="A127" s="426">
        <v>46022</v>
      </c>
      <c r="B127" s="427">
        <v>1000035553</v>
      </c>
      <c r="C127" s="429" t="s">
        <v>11183</v>
      </c>
      <c r="D127" s="428" t="s">
        <v>111</v>
      </c>
      <c r="E127" s="428">
        <v>50000</v>
      </c>
      <c r="F127" s="429" t="s">
        <v>11152</v>
      </c>
      <c r="G127" s="428" t="s">
        <v>11153</v>
      </c>
      <c r="H127" s="430"/>
      <c r="I127" s="430"/>
      <c r="J127" s="428">
        <v>50000</v>
      </c>
      <c r="K127" s="428"/>
      <c r="L127" s="430"/>
      <c r="M127" s="430"/>
      <c r="N127" s="430"/>
      <c r="O127" s="430"/>
      <c r="P127" s="430"/>
      <c r="Q127" s="430"/>
      <c r="R127" s="430"/>
      <c r="S127" s="430"/>
      <c r="T127" s="430"/>
      <c r="U127" s="430"/>
      <c r="V127" s="432"/>
    </row>
    <row r="128" s="397" customFormat="1" ht="16" customHeight="1" spans="1:22">
      <c r="A128" s="426">
        <v>46022</v>
      </c>
      <c r="B128" s="427">
        <v>1000035554</v>
      </c>
      <c r="C128" s="429" t="s">
        <v>11183</v>
      </c>
      <c r="D128" s="428" t="s">
        <v>111</v>
      </c>
      <c r="E128" s="428">
        <v>200000</v>
      </c>
      <c r="F128" s="429" t="s">
        <v>11156</v>
      </c>
      <c r="G128" s="428" t="s">
        <v>11157</v>
      </c>
      <c r="H128" s="430"/>
      <c r="I128" s="428">
        <v>200000</v>
      </c>
      <c r="J128" s="430"/>
      <c r="K128" s="430"/>
      <c r="L128" s="430"/>
      <c r="M128" s="430"/>
      <c r="N128" s="430"/>
      <c r="O128" s="430"/>
      <c r="P128" s="430"/>
      <c r="Q128" s="430"/>
      <c r="R128" s="430"/>
      <c r="S128" s="430"/>
      <c r="T128" s="430"/>
      <c r="U128" s="430"/>
      <c r="V128" s="432"/>
    </row>
    <row r="129" s="397" customFormat="1" ht="16" customHeight="1" spans="1:22">
      <c r="A129" s="426">
        <v>46022</v>
      </c>
      <c r="B129" s="427">
        <v>1000035555</v>
      </c>
      <c r="C129" s="429" t="s">
        <v>11183</v>
      </c>
      <c r="D129" s="428" t="s">
        <v>111</v>
      </c>
      <c r="E129" s="428">
        <v>13000</v>
      </c>
      <c r="F129" s="429" t="s">
        <v>11161</v>
      </c>
      <c r="G129" s="428" t="s">
        <v>11147</v>
      </c>
      <c r="H129" s="430"/>
      <c r="I129" s="430"/>
      <c r="J129" s="430"/>
      <c r="K129" s="430"/>
      <c r="L129" s="428">
        <v>13000</v>
      </c>
      <c r="M129" s="430"/>
      <c r="N129" s="430"/>
      <c r="O129" s="430"/>
      <c r="P129" s="430"/>
      <c r="Q129" s="430"/>
      <c r="R129" s="430"/>
      <c r="S129" s="430"/>
      <c r="T129" s="430"/>
      <c r="U129" s="430"/>
      <c r="V129" s="432"/>
    </row>
    <row r="130" s="397" customFormat="1" ht="16" customHeight="1" spans="1:22">
      <c r="A130" s="426">
        <v>46022</v>
      </c>
      <c r="B130" s="427">
        <v>1000035556</v>
      </c>
      <c r="C130" s="429" t="s">
        <v>11183</v>
      </c>
      <c r="D130" s="428" t="s">
        <v>111</v>
      </c>
      <c r="E130" s="428">
        <v>1500</v>
      </c>
      <c r="F130" s="429" t="s">
        <v>11168</v>
      </c>
      <c r="G130" s="428" t="s">
        <v>11153</v>
      </c>
      <c r="H130" s="430"/>
      <c r="I130" s="430"/>
      <c r="J130" s="430"/>
      <c r="K130" s="430"/>
      <c r="L130" s="430"/>
      <c r="M130" s="428">
        <v>1500</v>
      </c>
      <c r="N130" s="430"/>
      <c r="O130" s="430"/>
      <c r="P130" s="430"/>
      <c r="Q130" s="430"/>
      <c r="R130" s="430"/>
      <c r="S130" s="430"/>
      <c r="T130" s="430"/>
      <c r="U130" s="430"/>
      <c r="V130" s="432"/>
    </row>
    <row r="131" s="397" customFormat="1" ht="16" customHeight="1" spans="1:22">
      <c r="A131" s="426">
        <v>46029</v>
      </c>
      <c r="B131" s="427" t="s">
        <v>11296</v>
      </c>
      <c r="C131" s="429" t="s">
        <v>11183</v>
      </c>
      <c r="D131" s="428" t="s">
        <v>11161</v>
      </c>
      <c r="E131" s="428">
        <v>25000</v>
      </c>
      <c r="F131" s="429" t="s">
        <v>11161</v>
      </c>
      <c r="G131" s="428" t="s">
        <v>11147</v>
      </c>
      <c r="H131" s="430"/>
      <c r="I131" s="430"/>
      <c r="J131" s="430"/>
      <c r="K131" s="430"/>
      <c r="L131" s="430">
        <v>25000</v>
      </c>
      <c r="M131" s="428"/>
      <c r="N131" s="430"/>
      <c r="O131" s="430"/>
      <c r="P131" s="430"/>
      <c r="Q131" s="430"/>
      <c r="R131" s="430"/>
      <c r="S131" s="430"/>
      <c r="T131" s="430"/>
      <c r="U131" s="430"/>
      <c r="V131" s="432"/>
    </row>
    <row r="132" s="397" customFormat="1" ht="16" customHeight="1" spans="1:22">
      <c r="A132" s="426">
        <v>46044</v>
      </c>
      <c r="B132" s="427">
        <v>1000036146</v>
      </c>
      <c r="C132" s="429" t="s">
        <v>11183</v>
      </c>
      <c r="D132" s="428" t="s">
        <v>111</v>
      </c>
      <c r="E132" s="428">
        <v>20000</v>
      </c>
      <c r="F132" s="429" t="s">
        <v>11161</v>
      </c>
      <c r="G132" s="428" t="s">
        <v>11147</v>
      </c>
      <c r="H132" s="430"/>
      <c r="I132" s="430"/>
      <c r="J132" s="430"/>
      <c r="K132" s="430"/>
      <c r="L132" s="430">
        <v>20000</v>
      </c>
      <c r="M132" s="428"/>
      <c r="N132" s="430"/>
      <c r="O132" s="430"/>
      <c r="P132" s="430"/>
      <c r="Q132" s="430"/>
      <c r="R132" s="430"/>
      <c r="S132" s="430"/>
      <c r="T132" s="430"/>
      <c r="U132" s="430" t="s">
        <v>11148</v>
      </c>
      <c r="V132" s="432" t="s">
        <v>11158</v>
      </c>
    </row>
    <row r="133" s="397" customFormat="1" ht="16" customHeight="1" spans="1:22">
      <c r="A133" s="426">
        <v>46063</v>
      </c>
      <c r="B133" s="427" t="s">
        <v>11297</v>
      </c>
      <c r="C133" s="429" t="s">
        <v>11298</v>
      </c>
      <c r="D133" s="428" t="s">
        <v>11299</v>
      </c>
      <c r="E133" s="428">
        <v>42004</v>
      </c>
      <c r="F133" s="429" t="s">
        <v>11172</v>
      </c>
      <c r="G133" s="428" t="s">
        <v>11147</v>
      </c>
      <c r="H133" s="430"/>
      <c r="I133" s="430"/>
      <c r="J133" s="430"/>
      <c r="K133" s="430"/>
      <c r="L133" s="430"/>
      <c r="M133" s="428"/>
      <c r="N133" s="430"/>
      <c r="O133" s="430"/>
      <c r="P133" s="430"/>
      <c r="Q133" s="430"/>
      <c r="R133" s="430"/>
      <c r="S133" s="430">
        <v>42004</v>
      </c>
      <c r="T133" s="430"/>
      <c r="U133" s="430" t="s">
        <v>11276</v>
      </c>
      <c r="V133" s="438" t="s">
        <v>11300</v>
      </c>
    </row>
    <row r="134" s="397" customFormat="1" ht="16" customHeight="1" spans="1:22">
      <c r="A134" s="426">
        <v>46063</v>
      </c>
      <c r="B134" s="427" t="s">
        <v>11301</v>
      </c>
      <c r="C134" s="429" t="s">
        <v>11298</v>
      </c>
      <c r="D134" s="428" t="s">
        <v>11299</v>
      </c>
      <c r="E134" s="428">
        <v>42004</v>
      </c>
      <c r="F134" s="429" t="s">
        <v>11237</v>
      </c>
      <c r="G134" s="428" t="s">
        <v>11157</v>
      </c>
      <c r="H134" s="430"/>
      <c r="I134" s="430"/>
      <c r="J134" s="430"/>
      <c r="K134" s="430"/>
      <c r="L134" s="430"/>
      <c r="M134" s="428"/>
      <c r="N134" s="430"/>
      <c r="O134" s="430"/>
      <c r="P134" s="430"/>
      <c r="Q134" s="430"/>
      <c r="R134" s="430"/>
      <c r="S134" s="430"/>
      <c r="T134" s="430">
        <v>42004</v>
      </c>
      <c r="U134" s="430" t="s">
        <v>73</v>
      </c>
      <c r="V134" s="438" t="s">
        <v>11300</v>
      </c>
    </row>
    <row r="135" s="397" customFormat="1" ht="16" customHeight="1" spans="1:22">
      <c r="A135" s="426">
        <v>46060</v>
      </c>
      <c r="B135" s="427" t="s">
        <v>11302</v>
      </c>
      <c r="C135" s="429" t="s">
        <v>11183</v>
      </c>
      <c r="D135" s="428" t="s">
        <v>111</v>
      </c>
      <c r="E135" s="428">
        <v>5000</v>
      </c>
      <c r="F135" s="429" t="s">
        <v>11161</v>
      </c>
      <c r="G135" s="428" t="s">
        <v>11147</v>
      </c>
      <c r="H135" s="430"/>
      <c r="I135" s="430"/>
      <c r="J135" s="430"/>
      <c r="K135" s="430"/>
      <c r="L135" s="430">
        <v>5000</v>
      </c>
      <c r="M135" s="428"/>
      <c r="N135" s="430"/>
      <c r="O135" s="430"/>
      <c r="P135" s="430"/>
      <c r="Q135" s="430"/>
      <c r="R135" s="430"/>
      <c r="S135" s="430"/>
      <c r="T135" s="430"/>
      <c r="U135" s="430" t="s">
        <v>11148</v>
      </c>
      <c r="V135" s="432" t="s">
        <v>11158</v>
      </c>
    </row>
    <row r="136" s="397" customFormat="1" ht="16" customHeight="1" spans="1:22">
      <c r="A136" s="426">
        <v>46083</v>
      </c>
      <c r="B136" s="427" t="s">
        <v>11303</v>
      </c>
      <c r="C136" s="429" t="s">
        <v>11183</v>
      </c>
      <c r="D136" s="428" t="s">
        <v>111</v>
      </c>
      <c r="E136" s="428">
        <v>50000</v>
      </c>
      <c r="F136" s="429" t="s">
        <v>11146</v>
      </c>
      <c r="G136" s="428" t="s">
        <v>11147</v>
      </c>
      <c r="H136" s="430">
        <v>50000</v>
      </c>
      <c r="I136" s="430"/>
      <c r="J136" s="430"/>
      <c r="K136" s="430"/>
      <c r="L136" s="430"/>
      <c r="M136" s="428"/>
      <c r="N136" s="430"/>
      <c r="O136" s="430"/>
      <c r="P136" s="430"/>
      <c r="Q136" s="430"/>
      <c r="R136" s="430"/>
      <c r="S136" s="430"/>
      <c r="T136" s="430"/>
      <c r="U136" s="430" t="s">
        <v>11220</v>
      </c>
      <c r="V136" s="432" t="s">
        <v>11221</v>
      </c>
    </row>
    <row r="137" s="397" customFormat="1" ht="16" customHeight="1" spans="1:22">
      <c r="A137" s="426">
        <v>46083</v>
      </c>
      <c r="B137" s="427" t="s">
        <v>11304</v>
      </c>
      <c r="C137" s="429" t="s">
        <v>11183</v>
      </c>
      <c r="D137" s="428" t="s">
        <v>111</v>
      </c>
      <c r="E137" s="428">
        <v>30000</v>
      </c>
      <c r="F137" s="429" t="s">
        <v>11152</v>
      </c>
      <c r="G137" s="428" t="s">
        <v>11153</v>
      </c>
      <c r="H137" s="430"/>
      <c r="I137" s="430"/>
      <c r="J137" s="430">
        <v>30000</v>
      </c>
      <c r="K137" s="430"/>
      <c r="L137" s="430"/>
      <c r="M137" s="428"/>
      <c r="N137" s="430"/>
      <c r="O137" s="430"/>
      <c r="P137" s="430"/>
      <c r="Q137" s="430"/>
      <c r="R137" s="430"/>
      <c r="S137" s="430"/>
      <c r="T137" s="430"/>
      <c r="U137" s="430" t="s">
        <v>11220</v>
      </c>
      <c r="V137" s="432" t="s">
        <v>11221</v>
      </c>
    </row>
    <row r="138" s="397" customFormat="1" ht="15" customHeight="1" spans="1:22">
      <c r="A138" s="426">
        <v>46083</v>
      </c>
      <c r="B138" s="427" t="s">
        <v>11305</v>
      </c>
      <c r="C138" s="429" t="s">
        <v>11183</v>
      </c>
      <c r="D138" s="428" t="s">
        <v>111</v>
      </c>
      <c r="E138" s="428">
        <v>100000</v>
      </c>
      <c r="F138" s="429" t="s">
        <v>11156</v>
      </c>
      <c r="G138" s="428" t="s">
        <v>11157</v>
      </c>
      <c r="H138" s="430"/>
      <c r="I138" s="430">
        <v>100000</v>
      </c>
      <c r="J138" s="430"/>
      <c r="K138" s="430"/>
      <c r="L138" s="430"/>
      <c r="M138" s="430"/>
      <c r="N138" s="430"/>
      <c r="O138" s="430"/>
      <c r="P138" s="430"/>
      <c r="Q138" s="430"/>
      <c r="R138" s="430"/>
      <c r="S138" s="430"/>
      <c r="T138" s="430"/>
      <c r="U138" s="430" t="s">
        <v>11148</v>
      </c>
      <c r="V138" s="432" t="s">
        <v>11158</v>
      </c>
    </row>
    <row r="139" s="397" customFormat="1" ht="16" customHeight="1" spans="1:22">
      <c r="A139" s="426">
        <v>46083</v>
      </c>
      <c r="B139" s="427" t="s">
        <v>11306</v>
      </c>
      <c r="C139" s="429" t="s">
        <v>11183</v>
      </c>
      <c r="D139" s="428" t="s">
        <v>111</v>
      </c>
      <c r="E139" s="428">
        <v>17000</v>
      </c>
      <c r="F139" s="429" t="s">
        <v>11161</v>
      </c>
      <c r="G139" s="428" t="s">
        <v>11147</v>
      </c>
      <c r="H139" s="430"/>
      <c r="I139" s="430"/>
      <c r="J139" s="430"/>
      <c r="K139" s="430"/>
      <c r="L139" s="430">
        <v>17000</v>
      </c>
      <c r="M139" s="430"/>
      <c r="N139" s="430"/>
      <c r="O139" s="430"/>
      <c r="P139" s="430"/>
      <c r="Q139" s="430"/>
      <c r="R139" s="430"/>
      <c r="S139" s="430"/>
      <c r="T139" s="430"/>
      <c r="U139" s="430" t="s">
        <v>11148</v>
      </c>
      <c r="V139" s="432" t="s">
        <v>11158</v>
      </c>
    </row>
    <row r="140" s="397" customFormat="1" ht="16" customHeight="1" spans="1:22">
      <c r="A140" s="426">
        <v>46098</v>
      </c>
      <c r="B140" s="427">
        <v>1000037667</v>
      </c>
      <c r="C140" s="429" t="s">
        <v>11183</v>
      </c>
      <c r="D140" s="428" t="s">
        <v>111</v>
      </c>
      <c r="E140" s="428">
        <v>50000</v>
      </c>
      <c r="F140" s="429" t="s">
        <v>11146</v>
      </c>
      <c r="G140" s="428" t="s">
        <v>11147</v>
      </c>
      <c r="H140" s="430">
        <v>50000</v>
      </c>
      <c r="I140" s="430"/>
      <c r="J140" s="430"/>
      <c r="K140" s="430"/>
      <c r="L140" s="430"/>
      <c r="M140" s="430"/>
      <c r="N140" s="430"/>
      <c r="O140" s="430"/>
      <c r="P140" s="430"/>
      <c r="Q140" s="430"/>
      <c r="R140" s="430"/>
      <c r="S140" s="430"/>
      <c r="T140" s="430"/>
      <c r="U140" s="430" t="s">
        <v>11220</v>
      </c>
      <c r="V140" s="432" t="s">
        <v>11221</v>
      </c>
    </row>
    <row r="141" s="397" customFormat="1" ht="16" customHeight="1" spans="1:22">
      <c r="A141" s="426">
        <v>46098</v>
      </c>
      <c r="B141" s="427">
        <v>1000037668</v>
      </c>
      <c r="C141" s="429" t="s">
        <v>11183</v>
      </c>
      <c r="D141" s="428" t="s">
        <v>111</v>
      </c>
      <c r="E141" s="428">
        <v>30000</v>
      </c>
      <c r="F141" s="429" t="s">
        <v>11152</v>
      </c>
      <c r="G141" s="428" t="s">
        <v>11153</v>
      </c>
      <c r="H141" s="430"/>
      <c r="I141" s="430"/>
      <c r="J141" s="430">
        <v>30000</v>
      </c>
      <c r="K141" s="430"/>
      <c r="L141" s="430"/>
      <c r="M141" s="430"/>
      <c r="N141" s="430"/>
      <c r="O141" s="430"/>
      <c r="P141" s="430"/>
      <c r="Q141" s="430"/>
      <c r="R141" s="430"/>
      <c r="S141" s="430"/>
      <c r="T141" s="430"/>
      <c r="U141" s="430" t="s">
        <v>11220</v>
      </c>
      <c r="V141" s="432" t="s">
        <v>11221</v>
      </c>
    </row>
    <row r="142" s="397" customFormat="1" ht="16" customHeight="1" spans="1:22">
      <c r="A142" s="426">
        <v>46098</v>
      </c>
      <c r="B142" s="427">
        <v>1000037669</v>
      </c>
      <c r="C142" s="429" t="s">
        <v>11183</v>
      </c>
      <c r="D142" s="428" t="s">
        <v>111</v>
      </c>
      <c r="E142" s="428">
        <v>100000</v>
      </c>
      <c r="F142" s="429" t="s">
        <v>11156</v>
      </c>
      <c r="G142" s="428" t="s">
        <v>11157</v>
      </c>
      <c r="H142" s="430"/>
      <c r="I142" s="430">
        <v>100000</v>
      </c>
      <c r="J142" s="430"/>
      <c r="K142" s="430"/>
      <c r="L142" s="430"/>
      <c r="M142" s="430"/>
      <c r="N142" s="430"/>
      <c r="O142" s="430"/>
      <c r="P142" s="430"/>
      <c r="Q142" s="430"/>
      <c r="R142" s="430"/>
      <c r="S142" s="430"/>
      <c r="T142" s="430"/>
      <c r="U142" s="430" t="s">
        <v>11148</v>
      </c>
      <c r="V142" s="432" t="s">
        <v>11158</v>
      </c>
    </row>
    <row r="143" s="397" customFormat="1" ht="16" customHeight="1" spans="1:22">
      <c r="A143" s="426">
        <v>46098</v>
      </c>
      <c r="B143" s="427">
        <v>1000037670</v>
      </c>
      <c r="C143" s="429" t="s">
        <v>11183</v>
      </c>
      <c r="D143" s="428" t="s">
        <v>111</v>
      </c>
      <c r="E143" s="428">
        <v>10000</v>
      </c>
      <c r="F143" s="429" t="s">
        <v>11161</v>
      </c>
      <c r="G143" s="428" t="s">
        <v>11147</v>
      </c>
      <c r="H143" s="430"/>
      <c r="I143" s="430"/>
      <c r="J143" s="430"/>
      <c r="K143" s="430"/>
      <c r="L143" s="430">
        <v>10000</v>
      </c>
      <c r="M143" s="430"/>
      <c r="N143" s="430"/>
      <c r="O143" s="430"/>
      <c r="P143" s="430"/>
      <c r="Q143" s="430"/>
      <c r="R143" s="430"/>
      <c r="S143" s="430"/>
      <c r="T143" s="430"/>
      <c r="U143" s="430" t="s">
        <v>11148</v>
      </c>
      <c r="V143" s="432" t="s">
        <v>11158</v>
      </c>
    </row>
    <row r="144" s="397" customFormat="1" ht="16" customHeight="1" spans="1:22">
      <c r="A144" s="426">
        <v>46098</v>
      </c>
      <c r="B144" s="427">
        <v>1000037671</v>
      </c>
      <c r="C144" s="429" t="s">
        <v>11183</v>
      </c>
      <c r="D144" s="428" t="s">
        <v>111</v>
      </c>
      <c r="E144" s="428">
        <v>2500</v>
      </c>
      <c r="F144" s="429" t="s">
        <v>11168</v>
      </c>
      <c r="G144" s="428" t="s">
        <v>11153</v>
      </c>
      <c r="H144" s="430"/>
      <c r="I144" s="430"/>
      <c r="J144" s="430"/>
      <c r="K144" s="430"/>
      <c r="L144" s="430"/>
      <c r="M144" s="430">
        <v>2500</v>
      </c>
      <c r="N144" s="430"/>
      <c r="O144" s="430"/>
      <c r="P144" s="430"/>
      <c r="Q144" s="430"/>
      <c r="R144" s="430"/>
      <c r="S144" s="430"/>
      <c r="T144" s="430"/>
      <c r="U144" s="430" t="s">
        <v>11148</v>
      </c>
      <c r="V144" s="432" t="s">
        <v>11158</v>
      </c>
    </row>
    <row r="145" s="397" customFormat="1" ht="16" customHeight="1" spans="1:22">
      <c r="A145" s="426">
        <v>46097</v>
      </c>
      <c r="B145" s="427"/>
      <c r="C145" s="429" t="s">
        <v>11212</v>
      </c>
      <c r="D145" s="428" t="s">
        <v>11171</v>
      </c>
      <c r="E145" s="428">
        <v>27996</v>
      </c>
      <c r="F145" s="429" t="s">
        <v>11172</v>
      </c>
      <c r="G145" s="428" t="s">
        <v>11147</v>
      </c>
      <c r="H145" s="430"/>
      <c r="I145" s="430"/>
      <c r="J145" s="430"/>
      <c r="K145" s="430"/>
      <c r="L145" s="430"/>
      <c r="M145" s="430"/>
      <c r="N145" s="430"/>
      <c r="O145" s="430"/>
      <c r="P145" s="430"/>
      <c r="Q145" s="430"/>
      <c r="R145" s="430"/>
      <c r="S145" s="428">
        <v>27996</v>
      </c>
      <c r="T145" s="430"/>
      <c r="U145" s="430" t="s">
        <v>11276</v>
      </c>
      <c r="V145" s="432" t="s">
        <v>11307</v>
      </c>
    </row>
    <row r="146" s="397" customFormat="1" ht="16" customHeight="1" spans="1:22">
      <c r="A146" s="426">
        <v>46097</v>
      </c>
      <c r="B146" s="427"/>
      <c r="C146" s="429" t="s">
        <v>11212</v>
      </c>
      <c r="D146" s="428" t="s">
        <v>11171</v>
      </c>
      <c r="E146" s="428">
        <v>27996</v>
      </c>
      <c r="F146" s="429" t="s">
        <v>11237</v>
      </c>
      <c r="G146" s="428" t="s">
        <v>11157</v>
      </c>
      <c r="H146" s="430"/>
      <c r="I146" s="430"/>
      <c r="J146" s="430"/>
      <c r="K146" s="430"/>
      <c r="L146" s="430"/>
      <c r="M146" s="430"/>
      <c r="N146" s="430"/>
      <c r="O146" s="430"/>
      <c r="P146" s="430"/>
      <c r="Q146" s="430"/>
      <c r="R146" s="430"/>
      <c r="S146" s="430"/>
      <c r="T146" s="428">
        <v>27996</v>
      </c>
      <c r="U146" s="533" t="s">
        <v>73</v>
      </c>
      <c r="V146" s="432" t="s">
        <v>11307</v>
      </c>
    </row>
    <row r="147" s="397" customFormat="1" ht="16" customHeight="1" spans="1:22">
      <c r="A147" s="426">
        <v>46128</v>
      </c>
      <c r="B147" s="427" t="s">
        <v>11308</v>
      </c>
      <c r="C147" s="429" t="s">
        <v>11183</v>
      </c>
      <c r="D147" s="428" t="s">
        <v>111</v>
      </c>
      <c r="E147" s="428">
        <v>50000</v>
      </c>
      <c r="F147" s="429" t="s">
        <v>11146</v>
      </c>
      <c r="G147" s="428" t="s">
        <v>11147</v>
      </c>
      <c r="H147" s="428">
        <v>50000</v>
      </c>
      <c r="I147" s="430"/>
      <c r="J147" s="430"/>
      <c r="K147" s="430"/>
      <c r="L147" s="430"/>
      <c r="M147" s="430"/>
      <c r="N147" s="430"/>
      <c r="O147" s="430"/>
      <c r="P147" s="430"/>
      <c r="Q147" s="430"/>
      <c r="R147" s="430"/>
      <c r="S147" s="430"/>
      <c r="T147" s="430"/>
      <c r="U147" s="533" t="s">
        <v>11220</v>
      </c>
      <c r="V147" s="432" t="s">
        <v>11221</v>
      </c>
    </row>
    <row r="148" s="397" customFormat="1" ht="16" customHeight="1" spans="1:22">
      <c r="A148" s="426">
        <v>46128</v>
      </c>
      <c r="B148" s="427" t="s">
        <v>11309</v>
      </c>
      <c r="C148" s="429" t="s">
        <v>11183</v>
      </c>
      <c r="D148" s="428" t="s">
        <v>111</v>
      </c>
      <c r="E148" s="428">
        <v>100000</v>
      </c>
      <c r="F148" s="429" t="s">
        <v>11152</v>
      </c>
      <c r="G148" s="428" t="s">
        <v>11153</v>
      </c>
      <c r="H148" s="430"/>
      <c r="I148" s="430"/>
      <c r="J148" s="428">
        <v>100000</v>
      </c>
      <c r="K148" s="428"/>
      <c r="L148" s="430"/>
      <c r="M148" s="430"/>
      <c r="N148" s="430"/>
      <c r="O148" s="430"/>
      <c r="P148" s="430"/>
      <c r="Q148" s="430"/>
      <c r="R148" s="430"/>
      <c r="S148" s="430"/>
      <c r="T148" s="430"/>
      <c r="U148" s="533" t="s">
        <v>11220</v>
      </c>
      <c r="V148" s="432" t="s">
        <v>11221</v>
      </c>
    </row>
    <row r="149" s="397" customFormat="1" ht="16" customHeight="1" spans="1:22">
      <c r="A149" s="426">
        <v>46128</v>
      </c>
      <c r="B149" s="427" t="s">
        <v>11310</v>
      </c>
      <c r="C149" s="429" t="s">
        <v>11183</v>
      </c>
      <c r="D149" s="428" t="s">
        <v>111</v>
      </c>
      <c r="E149" s="428">
        <v>150000</v>
      </c>
      <c r="F149" s="429" t="s">
        <v>11156</v>
      </c>
      <c r="G149" s="428" t="s">
        <v>11157</v>
      </c>
      <c r="H149" s="430"/>
      <c r="I149" s="428">
        <v>150000</v>
      </c>
      <c r="J149" s="430"/>
      <c r="K149" s="430"/>
      <c r="L149" s="430"/>
      <c r="M149" s="430"/>
      <c r="N149" s="430"/>
      <c r="O149" s="430"/>
      <c r="P149" s="430"/>
      <c r="Q149" s="430"/>
      <c r="R149" s="430"/>
      <c r="S149" s="430"/>
      <c r="T149" s="430"/>
      <c r="U149" s="533" t="s">
        <v>11148</v>
      </c>
      <c r="V149" s="432" t="s">
        <v>11158</v>
      </c>
    </row>
    <row r="150" s="397" customFormat="1" ht="16" customHeight="1" spans="1:22">
      <c r="A150" s="426">
        <v>46128</v>
      </c>
      <c r="B150" s="427" t="s">
        <v>11311</v>
      </c>
      <c r="C150" s="429" t="s">
        <v>11183</v>
      </c>
      <c r="D150" s="428" t="s">
        <v>111</v>
      </c>
      <c r="E150" s="428">
        <v>5000</v>
      </c>
      <c r="F150" s="429" t="s">
        <v>11161</v>
      </c>
      <c r="G150" s="428" t="s">
        <v>11147</v>
      </c>
      <c r="H150" s="430"/>
      <c r="I150" s="430"/>
      <c r="J150" s="430"/>
      <c r="K150" s="430"/>
      <c r="L150" s="428">
        <v>5000</v>
      </c>
      <c r="M150" s="430"/>
      <c r="N150" s="430"/>
      <c r="O150" s="430"/>
      <c r="P150" s="430"/>
      <c r="Q150" s="430"/>
      <c r="R150" s="430"/>
      <c r="S150" s="430"/>
      <c r="T150" s="430"/>
      <c r="U150" s="533" t="s">
        <v>11148</v>
      </c>
      <c r="V150" s="432" t="s">
        <v>11158</v>
      </c>
    </row>
    <row r="151" s="397" customFormat="1" ht="16" customHeight="1" spans="1:22">
      <c r="A151" s="426">
        <v>46128</v>
      </c>
      <c r="B151" s="427" t="s">
        <v>11312</v>
      </c>
      <c r="C151" s="429" t="s">
        <v>11183</v>
      </c>
      <c r="D151" s="428" t="s">
        <v>111</v>
      </c>
      <c r="E151" s="428">
        <v>4000</v>
      </c>
      <c r="F151" s="429" t="s">
        <v>11168</v>
      </c>
      <c r="G151" s="428" t="s">
        <v>11153</v>
      </c>
      <c r="H151" s="430"/>
      <c r="I151" s="430"/>
      <c r="J151" s="430"/>
      <c r="K151" s="430"/>
      <c r="L151" s="430"/>
      <c r="M151" s="428">
        <v>4000</v>
      </c>
      <c r="N151" s="430"/>
      <c r="O151" s="430"/>
      <c r="P151" s="430"/>
      <c r="Q151" s="430"/>
      <c r="R151" s="430"/>
      <c r="S151" s="430"/>
      <c r="T151" s="430"/>
      <c r="U151" s="533" t="s">
        <v>11148</v>
      </c>
      <c r="V151" s="432" t="s">
        <v>11158</v>
      </c>
    </row>
    <row r="152" s="397" customFormat="1" ht="16" customHeight="1" spans="1:22">
      <c r="A152" s="426">
        <v>46149</v>
      </c>
      <c r="B152" s="427" t="s">
        <v>11313</v>
      </c>
      <c r="C152" s="429" t="s">
        <v>11248</v>
      </c>
      <c r="D152" s="428" t="s">
        <v>11299</v>
      </c>
      <c r="E152" s="428">
        <v>122836</v>
      </c>
      <c r="F152" s="429" t="s">
        <v>11172</v>
      </c>
      <c r="G152" s="428" t="s">
        <v>11147</v>
      </c>
      <c r="H152" s="428"/>
      <c r="I152" s="430"/>
      <c r="J152" s="430"/>
      <c r="K152" s="430"/>
      <c r="L152" s="430"/>
      <c r="M152" s="430"/>
      <c r="N152" s="430"/>
      <c r="O152" s="430"/>
      <c r="P152" s="430"/>
      <c r="Q152" s="430"/>
      <c r="R152" s="430"/>
      <c r="S152" s="428">
        <v>122836</v>
      </c>
      <c r="T152" s="430"/>
      <c r="U152" s="430" t="s">
        <v>11276</v>
      </c>
      <c r="V152" s="432" t="s">
        <v>11314</v>
      </c>
    </row>
    <row r="153" s="397" customFormat="1" ht="16" customHeight="1" spans="1:22">
      <c r="A153" s="426">
        <v>46149</v>
      </c>
      <c r="B153" s="427" t="s">
        <v>11315</v>
      </c>
      <c r="C153" s="429" t="s">
        <v>11248</v>
      </c>
      <c r="D153" s="428" t="s">
        <v>11299</v>
      </c>
      <c r="E153" s="428">
        <v>122836</v>
      </c>
      <c r="F153" s="429" t="s">
        <v>11237</v>
      </c>
      <c r="G153" s="428" t="s">
        <v>11157</v>
      </c>
      <c r="H153" s="430"/>
      <c r="I153" s="428"/>
      <c r="J153" s="430"/>
      <c r="K153" s="430"/>
      <c r="L153" s="430"/>
      <c r="M153" s="430"/>
      <c r="N153" s="430"/>
      <c r="O153" s="430"/>
      <c r="P153" s="430"/>
      <c r="Q153" s="430"/>
      <c r="R153" s="430"/>
      <c r="S153" s="430"/>
      <c r="T153" s="428">
        <v>122836</v>
      </c>
      <c r="U153" s="430" t="s">
        <v>73</v>
      </c>
      <c r="V153" s="432" t="s">
        <v>11314</v>
      </c>
    </row>
    <row r="154" s="397" customFormat="1" ht="16" customHeight="1" spans="1:22">
      <c r="A154" s="426">
        <v>46151</v>
      </c>
      <c r="B154" s="427" t="s">
        <v>11316</v>
      </c>
      <c r="C154" s="429" t="s">
        <v>11183</v>
      </c>
      <c r="D154" s="428" t="s">
        <v>111</v>
      </c>
      <c r="E154" s="428">
        <v>50000</v>
      </c>
      <c r="F154" s="429" t="s">
        <v>11146</v>
      </c>
      <c r="G154" s="428" t="s">
        <v>11147</v>
      </c>
      <c r="H154" s="428">
        <v>50000</v>
      </c>
      <c r="I154" s="430"/>
      <c r="J154" s="430"/>
      <c r="K154" s="430"/>
      <c r="L154" s="430"/>
      <c r="M154" s="430"/>
      <c r="N154" s="430"/>
      <c r="O154" s="430"/>
      <c r="P154" s="430"/>
      <c r="Q154" s="430"/>
      <c r="R154" s="430"/>
      <c r="S154" s="430"/>
      <c r="T154" s="430"/>
      <c r="U154" s="430" t="s">
        <v>11220</v>
      </c>
      <c r="V154" s="432" t="s">
        <v>11221</v>
      </c>
    </row>
    <row r="155" s="397" customFormat="1" ht="16" customHeight="1" spans="1:22">
      <c r="A155" s="426">
        <v>46151</v>
      </c>
      <c r="B155" s="427" t="s">
        <v>11317</v>
      </c>
      <c r="C155" s="429" t="s">
        <v>11183</v>
      </c>
      <c r="D155" s="428" t="s">
        <v>111</v>
      </c>
      <c r="E155" s="428">
        <v>130000</v>
      </c>
      <c r="F155" s="429" t="s">
        <v>11152</v>
      </c>
      <c r="G155" s="428" t="s">
        <v>11153</v>
      </c>
      <c r="H155" s="430"/>
      <c r="I155" s="430"/>
      <c r="J155" s="428">
        <v>130000</v>
      </c>
      <c r="K155" s="428"/>
      <c r="L155" s="430"/>
      <c r="M155" s="430"/>
      <c r="N155" s="430"/>
      <c r="O155" s="430"/>
      <c r="P155" s="430"/>
      <c r="Q155" s="430"/>
      <c r="R155" s="430"/>
      <c r="S155" s="430"/>
      <c r="T155" s="430"/>
      <c r="U155" s="430" t="s">
        <v>11220</v>
      </c>
      <c r="V155" s="432" t="s">
        <v>11221</v>
      </c>
    </row>
    <row r="156" s="397" customFormat="1" ht="16" customHeight="1" spans="1:22">
      <c r="A156" s="426">
        <v>46151</v>
      </c>
      <c r="B156" s="427" t="s">
        <v>11318</v>
      </c>
      <c r="C156" s="429" t="s">
        <v>11183</v>
      </c>
      <c r="D156" s="428" t="s">
        <v>111</v>
      </c>
      <c r="E156" s="428">
        <v>200000</v>
      </c>
      <c r="F156" s="429" t="s">
        <v>11156</v>
      </c>
      <c r="G156" s="428" t="s">
        <v>11157</v>
      </c>
      <c r="H156" s="430"/>
      <c r="I156" s="428">
        <v>200000</v>
      </c>
      <c r="J156" s="430"/>
      <c r="K156" s="430"/>
      <c r="L156" s="430"/>
      <c r="M156" s="430"/>
      <c r="N156" s="430"/>
      <c r="O156" s="430"/>
      <c r="P156" s="430"/>
      <c r="Q156" s="430"/>
      <c r="R156" s="430"/>
      <c r="S156" s="430"/>
      <c r="T156" s="430"/>
      <c r="U156" s="430" t="s">
        <v>11148</v>
      </c>
      <c r="V156" s="432" t="s">
        <v>11158</v>
      </c>
    </row>
    <row r="157" s="397" customFormat="1" ht="16" customHeight="1" spans="1:22">
      <c r="A157" s="426">
        <v>46151</v>
      </c>
      <c r="B157" s="427" t="s">
        <v>11319</v>
      </c>
      <c r="C157" s="429" t="s">
        <v>11183</v>
      </c>
      <c r="D157" s="428" t="s">
        <v>111</v>
      </c>
      <c r="E157" s="428">
        <v>35000</v>
      </c>
      <c r="F157" s="429" t="s">
        <v>11161</v>
      </c>
      <c r="G157" s="428" t="s">
        <v>11147</v>
      </c>
      <c r="H157" s="430"/>
      <c r="I157" s="430"/>
      <c r="J157" s="430"/>
      <c r="K157" s="430"/>
      <c r="L157" s="428">
        <v>35000</v>
      </c>
      <c r="M157" s="430"/>
      <c r="N157" s="430"/>
      <c r="O157" s="430"/>
      <c r="P157" s="430"/>
      <c r="Q157" s="430"/>
      <c r="R157" s="430"/>
      <c r="S157" s="430"/>
      <c r="T157" s="430"/>
      <c r="U157" s="430" t="s">
        <v>11148</v>
      </c>
      <c r="V157" s="432" t="s">
        <v>11158</v>
      </c>
    </row>
    <row r="158" s="397" customFormat="1" ht="16" customHeight="1" spans="1:22">
      <c r="A158" s="426">
        <v>46151</v>
      </c>
      <c r="B158" s="427" t="s">
        <v>11320</v>
      </c>
      <c r="C158" s="429" t="s">
        <v>11183</v>
      </c>
      <c r="D158" s="428" t="s">
        <v>111</v>
      </c>
      <c r="E158" s="428">
        <v>4000</v>
      </c>
      <c r="F158" s="429" t="s">
        <v>11168</v>
      </c>
      <c r="G158" s="428" t="s">
        <v>11153</v>
      </c>
      <c r="H158" s="430"/>
      <c r="I158" s="430"/>
      <c r="J158" s="430"/>
      <c r="K158" s="430"/>
      <c r="L158" s="430"/>
      <c r="M158" s="428">
        <v>4000</v>
      </c>
      <c r="N158" s="430"/>
      <c r="O158" s="430"/>
      <c r="P158" s="430"/>
      <c r="Q158" s="430"/>
      <c r="R158" s="430"/>
      <c r="S158" s="430"/>
      <c r="T158" s="430"/>
      <c r="U158" s="430" t="s">
        <v>11148</v>
      </c>
      <c r="V158" s="432" t="s">
        <v>11158</v>
      </c>
    </row>
    <row r="159" s="397" customFormat="1" ht="16" customHeight="1" spans="1:22">
      <c r="A159" s="426">
        <v>46160</v>
      </c>
      <c r="B159" s="427" t="s">
        <v>11321</v>
      </c>
      <c r="C159" s="429" t="s">
        <v>11183</v>
      </c>
      <c r="D159" s="428" t="s">
        <v>111</v>
      </c>
      <c r="E159" s="428">
        <v>50000</v>
      </c>
      <c r="F159" s="429" t="s">
        <v>11146</v>
      </c>
      <c r="G159" s="428" t="s">
        <v>11147</v>
      </c>
      <c r="H159" s="428">
        <v>50000</v>
      </c>
      <c r="I159" s="430"/>
      <c r="J159" s="430"/>
      <c r="K159" s="430"/>
      <c r="L159" s="430"/>
      <c r="M159" s="428"/>
      <c r="N159" s="430"/>
      <c r="O159" s="430"/>
      <c r="P159" s="430"/>
      <c r="Q159" s="430"/>
      <c r="R159" s="430"/>
      <c r="S159" s="430"/>
      <c r="T159" s="430"/>
      <c r="U159" s="430" t="s">
        <v>11220</v>
      </c>
      <c r="V159" s="432" t="s">
        <v>11221</v>
      </c>
    </row>
    <row r="160" s="397" customFormat="1" ht="16" customHeight="1" spans="1:22">
      <c r="A160" s="426">
        <v>46160</v>
      </c>
      <c r="B160" s="427">
        <v>1000040285</v>
      </c>
      <c r="C160" s="429" t="s">
        <v>11183</v>
      </c>
      <c r="D160" s="428" t="s">
        <v>111</v>
      </c>
      <c r="E160" s="428">
        <v>50000</v>
      </c>
      <c r="F160" s="429" t="s">
        <v>11152</v>
      </c>
      <c r="G160" s="428" t="s">
        <v>11153</v>
      </c>
      <c r="H160" s="430"/>
      <c r="I160" s="430"/>
      <c r="J160" s="428">
        <v>50000</v>
      </c>
      <c r="K160" s="428"/>
      <c r="L160" s="430"/>
      <c r="M160" s="428"/>
      <c r="N160" s="430"/>
      <c r="O160" s="430"/>
      <c r="P160" s="430"/>
      <c r="Q160" s="430"/>
      <c r="R160" s="430"/>
      <c r="S160" s="430"/>
      <c r="T160" s="430"/>
      <c r="U160" s="430" t="s">
        <v>11220</v>
      </c>
      <c r="V160" s="432" t="s">
        <v>11221</v>
      </c>
    </row>
    <row r="161" s="397" customFormat="1" ht="16" customHeight="1" spans="1:22">
      <c r="A161" s="426">
        <v>46160</v>
      </c>
      <c r="B161" s="427">
        <v>1000040286</v>
      </c>
      <c r="C161" s="429" t="s">
        <v>11183</v>
      </c>
      <c r="D161" s="428" t="s">
        <v>111</v>
      </c>
      <c r="E161" s="428">
        <v>150000</v>
      </c>
      <c r="F161" s="429" t="s">
        <v>11156</v>
      </c>
      <c r="G161" s="428" t="s">
        <v>11157</v>
      </c>
      <c r="H161" s="430"/>
      <c r="I161" s="428">
        <v>150000</v>
      </c>
      <c r="J161" s="430"/>
      <c r="K161" s="430"/>
      <c r="L161" s="430"/>
      <c r="M161" s="428"/>
      <c r="N161" s="430"/>
      <c r="O161" s="430"/>
      <c r="P161" s="430"/>
      <c r="Q161" s="430"/>
      <c r="R161" s="430"/>
      <c r="S161" s="430"/>
      <c r="T161" s="430"/>
      <c r="U161" s="430" t="s">
        <v>11148</v>
      </c>
      <c r="V161" s="432" t="s">
        <v>11158</v>
      </c>
    </row>
    <row r="162" s="397" customFormat="1" ht="16" customHeight="1" spans="1:22">
      <c r="A162" s="426">
        <v>46160</v>
      </c>
      <c r="B162" s="427">
        <v>1000040287</v>
      </c>
      <c r="C162" s="429" t="s">
        <v>11183</v>
      </c>
      <c r="D162" s="428" t="s">
        <v>111</v>
      </c>
      <c r="E162" s="428">
        <v>10000</v>
      </c>
      <c r="F162" s="429" t="s">
        <v>11161</v>
      </c>
      <c r="G162" s="428" t="s">
        <v>11147</v>
      </c>
      <c r="H162" s="430"/>
      <c r="I162" s="430"/>
      <c r="J162" s="430"/>
      <c r="K162" s="430"/>
      <c r="L162" s="428">
        <v>10000</v>
      </c>
      <c r="M162" s="428"/>
      <c r="N162" s="430"/>
      <c r="O162" s="430"/>
      <c r="P162" s="430"/>
      <c r="Q162" s="430"/>
      <c r="R162" s="430"/>
      <c r="S162" s="430"/>
      <c r="T162" s="430"/>
      <c r="U162" s="430" t="s">
        <v>11148</v>
      </c>
      <c r="V162" s="432" t="s">
        <v>11158</v>
      </c>
    </row>
    <row r="163" s="397" customFormat="1" ht="16" customHeight="1" spans="1:22">
      <c r="A163" s="426">
        <v>46160</v>
      </c>
      <c r="B163" s="427">
        <v>1000040288</v>
      </c>
      <c r="C163" s="429" t="s">
        <v>11183</v>
      </c>
      <c r="D163" s="428" t="s">
        <v>111</v>
      </c>
      <c r="E163" s="428">
        <v>3000</v>
      </c>
      <c r="F163" s="429" t="s">
        <v>11168</v>
      </c>
      <c r="G163" s="428" t="s">
        <v>11153</v>
      </c>
      <c r="H163" s="430"/>
      <c r="I163" s="430"/>
      <c r="J163" s="430"/>
      <c r="K163" s="430"/>
      <c r="L163" s="430"/>
      <c r="M163" s="428">
        <v>3000</v>
      </c>
      <c r="N163" s="430"/>
      <c r="O163" s="430"/>
      <c r="P163" s="430"/>
      <c r="Q163" s="430"/>
      <c r="R163" s="430"/>
      <c r="S163" s="430"/>
      <c r="T163" s="430"/>
      <c r="U163" s="430" t="s">
        <v>11148</v>
      </c>
      <c r="V163" s="432" t="s">
        <v>11158</v>
      </c>
    </row>
    <row r="164" s="397" customFormat="1" ht="16" customHeight="1" spans="1:22">
      <c r="A164" s="426">
        <v>46174</v>
      </c>
      <c r="B164" s="427">
        <v>1000040831</v>
      </c>
      <c r="C164" s="429" t="s">
        <v>11262</v>
      </c>
      <c r="D164" s="428" t="s">
        <v>111</v>
      </c>
      <c r="E164" s="428">
        <v>50000</v>
      </c>
      <c r="F164" s="429" t="s">
        <v>11152</v>
      </c>
      <c r="G164" s="428" t="s">
        <v>11153</v>
      </c>
      <c r="H164" s="430"/>
      <c r="I164" s="430"/>
      <c r="J164" s="428">
        <v>50000</v>
      </c>
      <c r="K164" s="428"/>
      <c r="L164" s="430"/>
      <c r="M164" s="428"/>
      <c r="N164" s="430"/>
      <c r="O164" s="430"/>
      <c r="P164" s="430"/>
      <c r="Q164" s="430"/>
      <c r="R164" s="430"/>
      <c r="S164" s="430"/>
      <c r="T164" s="430"/>
      <c r="U164" s="430" t="s">
        <v>11220</v>
      </c>
      <c r="V164" s="432" t="s">
        <v>11221</v>
      </c>
    </row>
    <row r="165" s="397" customFormat="1" ht="16" customHeight="1" spans="1:22">
      <c r="A165" s="426">
        <v>46174</v>
      </c>
      <c r="B165" s="427">
        <v>1000040832</v>
      </c>
      <c r="C165" s="429" t="s">
        <v>11262</v>
      </c>
      <c r="D165" s="428" t="s">
        <v>111</v>
      </c>
      <c r="E165" s="428">
        <v>5000</v>
      </c>
      <c r="F165" s="429" t="s">
        <v>11161</v>
      </c>
      <c r="G165" s="428" t="s">
        <v>11147</v>
      </c>
      <c r="H165" s="430"/>
      <c r="I165" s="430"/>
      <c r="J165" s="430"/>
      <c r="K165" s="430"/>
      <c r="L165" s="428">
        <v>5000</v>
      </c>
      <c r="M165" s="428"/>
      <c r="N165" s="430"/>
      <c r="O165" s="430"/>
      <c r="P165" s="430"/>
      <c r="Q165" s="430"/>
      <c r="R165" s="430"/>
      <c r="S165" s="430"/>
      <c r="T165" s="430"/>
      <c r="U165" s="430" t="s">
        <v>11148</v>
      </c>
      <c r="V165" s="432" t="s">
        <v>11158</v>
      </c>
    </row>
    <row r="166" s="397" customFormat="1" ht="16" customHeight="1" spans="1:22">
      <c r="A166" s="426">
        <v>46174</v>
      </c>
      <c r="B166" s="427">
        <v>1000040833</v>
      </c>
      <c r="C166" s="429" t="s">
        <v>11262</v>
      </c>
      <c r="D166" s="428" t="s">
        <v>111</v>
      </c>
      <c r="E166" s="428">
        <v>3000</v>
      </c>
      <c r="F166" s="429" t="s">
        <v>11168</v>
      </c>
      <c r="G166" s="428" t="s">
        <v>11153</v>
      </c>
      <c r="H166" s="430"/>
      <c r="I166" s="430"/>
      <c r="J166" s="430"/>
      <c r="K166" s="430"/>
      <c r="L166" s="430"/>
      <c r="M166" s="428">
        <v>3000</v>
      </c>
      <c r="N166" s="430"/>
      <c r="O166" s="430"/>
      <c r="P166" s="430"/>
      <c r="Q166" s="430"/>
      <c r="R166" s="430"/>
      <c r="S166" s="430"/>
      <c r="T166" s="430"/>
      <c r="U166" s="430" t="s">
        <v>11148</v>
      </c>
      <c r="V166" s="432" t="s">
        <v>11158</v>
      </c>
    </row>
    <row r="167" s="397" customFormat="1" ht="16" customHeight="1" spans="1:22">
      <c r="A167" s="426">
        <v>46182</v>
      </c>
      <c r="B167" s="427">
        <v>1000041212</v>
      </c>
      <c r="C167" s="429" t="s">
        <v>11262</v>
      </c>
      <c r="D167" s="489" t="s">
        <v>111</v>
      </c>
      <c r="E167" s="428">
        <v>7000</v>
      </c>
      <c r="F167" s="471" t="s">
        <v>11161</v>
      </c>
      <c r="G167" s="489" t="s">
        <v>11147</v>
      </c>
      <c r="H167" s="430"/>
      <c r="I167" s="430"/>
      <c r="J167" s="430"/>
      <c r="K167" s="430"/>
      <c r="L167" s="428">
        <v>7000</v>
      </c>
      <c r="M167" s="428"/>
      <c r="N167" s="430"/>
      <c r="O167" s="430"/>
      <c r="P167" s="430"/>
      <c r="Q167" s="430"/>
      <c r="R167" s="430"/>
      <c r="S167" s="430"/>
      <c r="T167" s="430"/>
      <c r="U167" s="430" t="s">
        <v>11148</v>
      </c>
      <c r="V167" s="432" t="s">
        <v>11158</v>
      </c>
    </row>
    <row r="168" s="397" customFormat="1" ht="16" customHeight="1" spans="1:22">
      <c r="A168" s="426">
        <v>46185</v>
      </c>
      <c r="B168" s="427">
        <v>1000041375</v>
      </c>
      <c r="C168" s="429" t="s">
        <v>11262</v>
      </c>
      <c r="D168" s="489" t="s">
        <v>111</v>
      </c>
      <c r="E168" s="428">
        <v>2000</v>
      </c>
      <c r="F168" s="471" t="s">
        <v>11161</v>
      </c>
      <c r="G168" s="489" t="s">
        <v>11147</v>
      </c>
      <c r="H168" s="430"/>
      <c r="I168" s="430"/>
      <c r="J168" s="430"/>
      <c r="K168" s="430"/>
      <c r="L168" s="428">
        <v>2000</v>
      </c>
      <c r="M168" s="428"/>
      <c r="N168" s="430"/>
      <c r="O168" s="430"/>
      <c r="P168" s="430"/>
      <c r="Q168" s="430"/>
      <c r="R168" s="430"/>
      <c r="S168" s="430"/>
      <c r="T168" s="430"/>
      <c r="U168" s="430" t="s">
        <v>11148</v>
      </c>
      <c r="V168" s="432" t="s">
        <v>11158</v>
      </c>
    </row>
    <row r="169" s="397" customFormat="1" ht="16" customHeight="1" spans="1:22">
      <c r="A169" s="426">
        <v>46185</v>
      </c>
      <c r="B169" s="427">
        <v>1000041376</v>
      </c>
      <c r="C169" s="429" t="s">
        <v>11262</v>
      </c>
      <c r="D169" s="428" t="s">
        <v>111</v>
      </c>
      <c r="E169" s="428">
        <v>4000</v>
      </c>
      <c r="F169" s="429" t="s">
        <v>11168</v>
      </c>
      <c r="G169" s="428" t="s">
        <v>11153</v>
      </c>
      <c r="H169" s="430"/>
      <c r="I169" s="430"/>
      <c r="J169" s="430"/>
      <c r="K169" s="430"/>
      <c r="L169" s="430"/>
      <c r="M169" s="428">
        <v>4000</v>
      </c>
      <c r="N169" s="430"/>
      <c r="O169" s="430"/>
      <c r="P169" s="430"/>
      <c r="Q169" s="430"/>
      <c r="R169" s="430"/>
      <c r="S169" s="430"/>
      <c r="T169" s="430"/>
      <c r="U169" s="430" t="s">
        <v>11148</v>
      </c>
      <c r="V169" s="432" t="s">
        <v>11158</v>
      </c>
    </row>
    <row r="170" s="397" customFormat="1" ht="16" customHeight="1" spans="1:22">
      <c r="A170" s="426">
        <v>46206</v>
      </c>
      <c r="B170" s="427">
        <v>1000042207</v>
      </c>
      <c r="C170" s="429" t="s">
        <v>11262</v>
      </c>
      <c r="D170" s="428" t="s">
        <v>111</v>
      </c>
      <c r="E170" s="428">
        <v>12000</v>
      </c>
      <c r="F170" s="429" t="s">
        <v>11161</v>
      </c>
      <c r="G170" s="428" t="s">
        <v>11147</v>
      </c>
      <c r="H170" s="430"/>
      <c r="I170" s="430"/>
      <c r="J170" s="430"/>
      <c r="K170" s="430"/>
      <c r="L170" s="428">
        <v>12000</v>
      </c>
      <c r="M170" s="428"/>
      <c r="N170" s="430"/>
      <c r="O170" s="430"/>
      <c r="P170" s="430"/>
      <c r="Q170" s="430"/>
      <c r="R170" s="430"/>
      <c r="S170" s="430"/>
      <c r="T170" s="430"/>
      <c r="U170" s="430" t="s">
        <v>11148</v>
      </c>
      <c r="V170" s="432" t="s">
        <v>11158</v>
      </c>
    </row>
    <row r="171" s="397" customFormat="1" ht="16" customHeight="1" spans="1:22">
      <c r="A171" s="426">
        <v>46212</v>
      </c>
      <c r="B171" s="427">
        <v>1000042354</v>
      </c>
      <c r="C171" s="429" t="s">
        <v>11194</v>
      </c>
      <c r="D171" s="428">
        <v>77673</v>
      </c>
      <c r="E171" s="428">
        <v>20000</v>
      </c>
      <c r="F171" s="429" t="s">
        <v>11172</v>
      </c>
      <c r="G171" s="428" t="s">
        <v>11153</v>
      </c>
      <c r="H171" s="430"/>
      <c r="I171" s="430"/>
      <c r="J171" s="430"/>
      <c r="K171" s="428">
        <v>20000</v>
      </c>
      <c r="L171" s="430"/>
      <c r="M171" s="428"/>
      <c r="N171" s="430"/>
      <c r="O171" s="430"/>
      <c r="P171" s="430"/>
      <c r="Q171" s="430"/>
      <c r="R171" s="430"/>
      <c r="S171" s="430"/>
      <c r="T171" s="430"/>
      <c r="U171" s="430" t="s">
        <v>73</v>
      </c>
      <c r="V171" s="432" t="s">
        <v>11322</v>
      </c>
    </row>
    <row r="172" s="397" customFormat="1" ht="16" customHeight="1" spans="1:22">
      <c r="A172" s="426">
        <v>46219</v>
      </c>
      <c r="B172" s="427">
        <v>1000042739</v>
      </c>
      <c r="C172" s="429" t="s">
        <v>11262</v>
      </c>
      <c r="D172" s="428" t="s">
        <v>111</v>
      </c>
      <c r="E172" s="428">
        <v>80000</v>
      </c>
      <c r="F172" s="429" t="s">
        <v>11323</v>
      </c>
      <c r="G172" s="428" t="s">
        <v>11147</v>
      </c>
      <c r="H172" s="428">
        <v>80000</v>
      </c>
      <c r="I172" s="430"/>
      <c r="J172" s="430"/>
      <c r="K172" s="430"/>
      <c r="L172" s="430"/>
      <c r="M172" s="428"/>
      <c r="N172" s="430"/>
      <c r="O172" s="430"/>
      <c r="P172" s="430"/>
      <c r="Q172" s="430"/>
      <c r="R172" s="430"/>
      <c r="S172" s="430"/>
      <c r="T172" s="430"/>
      <c r="U172" s="430" t="s">
        <v>11220</v>
      </c>
      <c r="V172" s="432" t="s">
        <v>11221</v>
      </c>
    </row>
    <row r="173" s="397" customFormat="1" ht="16" customHeight="1" spans="1:22">
      <c r="A173" s="426">
        <v>46219</v>
      </c>
      <c r="B173" s="427">
        <v>1000042740</v>
      </c>
      <c r="C173" s="429" t="s">
        <v>11262</v>
      </c>
      <c r="D173" s="428" t="s">
        <v>111</v>
      </c>
      <c r="E173" s="428">
        <v>5000</v>
      </c>
      <c r="F173" s="429" t="s">
        <v>11161</v>
      </c>
      <c r="G173" s="428" t="s">
        <v>11147</v>
      </c>
      <c r="H173" s="430"/>
      <c r="I173" s="430"/>
      <c r="J173" s="430"/>
      <c r="K173" s="430"/>
      <c r="L173" s="428">
        <v>5000</v>
      </c>
      <c r="M173" s="428"/>
      <c r="N173" s="430"/>
      <c r="O173" s="430"/>
      <c r="P173" s="430"/>
      <c r="Q173" s="430"/>
      <c r="R173" s="430"/>
      <c r="S173" s="430"/>
      <c r="T173" s="430"/>
      <c r="U173" s="430" t="s">
        <v>11148</v>
      </c>
      <c r="V173" s="432" t="s">
        <v>11158</v>
      </c>
    </row>
    <row r="174" s="397" customFormat="1" ht="16" customHeight="1" spans="1:22">
      <c r="A174" s="426">
        <v>46219</v>
      </c>
      <c r="B174" s="427">
        <v>1000042741</v>
      </c>
      <c r="C174" s="429" t="s">
        <v>11262</v>
      </c>
      <c r="D174" s="428" t="s">
        <v>111</v>
      </c>
      <c r="E174" s="428">
        <v>2100</v>
      </c>
      <c r="F174" s="429" t="s">
        <v>11168</v>
      </c>
      <c r="G174" s="428" t="s">
        <v>11153</v>
      </c>
      <c r="H174" s="430"/>
      <c r="I174" s="430"/>
      <c r="J174" s="430"/>
      <c r="K174" s="430"/>
      <c r="L174" s="430"/>
      <c r="M174" s="428">
        <v>2100</v>
      </c>
      <c r="N174" s="430"/>
      <c r="O174" s="430"/>
      <c r="P174" s="430"/>
      <c r="Q174" s="430"/>
      <c r="R174" s="430"/>
      <c r="S174" s="430"/>
      <c r="T174" s="430"/>
      <c r="U174" s="430" t="s">
        <v>11148</v>
      </c>
      <c r="V174" s="432" t="s">
        <v>11158</v>
      </c>
    </row>
    <row r="175" s="398" customFormat="1" ht="16" customHeight="1" spans="1:22">
      <c r="A175" s="433">
        <v>46232</v>
      </c>
      <c r="B175" s="434">
        <v>1000043345</v>
      </c>
      <c r="C175" s="475" t="s">
        <v>11248</v>
      </c>
      <c r="D175" s="435" t="s">
        <v>11171</v>
      </c>
      <c r="E175" s="437">
        <v>18080</v>
      </c>
      <c r="F175" s="436" t="s">
        <v>11172</v>
      </c>
      <c r="G175" s="435" t="s">
        <v>11147</v>
      </c>
      <c r="H175" s="437"/>
      <c r="I175" s="437"/>
      <c r="J175" s="437"/>
      <c r="K175" s="437"/>
      <c r="L175" s="437"/>
      <c r="M175" s="435"/>
      <c r="N175" s="437"/>
      <c r="O175" s="437"/>
      <c r="P175" s="437"/>
      <c r="Q175" s="437"/>
      <c r="R175" s="437"/>
      <c r="S175" s="437">
        <v>18080</v>
      </c>
      <c r="U175" s="534" t="s">
        <v>11276</v>
      </c>
      <c r="V175" s="438" t="s">
        <v>11324</v>
      </c>
    </row>
    <row r="176" s="398" customFormat="1" ht="16" customHeight="1" spans="1:22">
      <c r="A176" s="433">
        <v>46232</v>
      </c>
      <c r="B176" s="434">
        <v>1000043346</v>
      </c>
      <c r="C176" s="475" t="s">
        <v>11248</v>
      </c>
      <c r="D176" s="435" t="s">
        <v>11171</v>
      </c>
      <c r="E176" s="437">
        <v>18080</v>
      </c>
      <c r="F176" s="436" t="s">
        <v>11237</v>
      </c>
      <c r="G176" s="435" t="s">
        <v>11157</v>
      </c>
      <c r="H176" s="535"/>
      <c r="I176" s="437"/>
      <c r="J176" s="437"/>
      <c r="K176" s="437"/>
      <c r="L176" s="437"/>
      <c r="M176" s="435"/>
      <c r="N176" s="437"/>
      <c r="O176" s="437"/>
      <c r="P176" s="437"/>
      <c r="Q176" s="437"/>
      <c r="R176" s="437"/>
      <c r="S176" s="437"/>
      <c r="T176" s="437">
        <v>18080</v>
      </c>
      <c r="U176" s="534" t="s">
        <v>73</v>
      </c>
      <c r="V176" s="438" t="s">
        <v>11324</v>
      </c>
    </row>
    <row r="177" s="398" customFormat="1" ht="16" customHeight="1" spans="1:22">
      <c r="A177" s="433">
        <v>46241</v>
      </c>
      <c r="B177" s="434">
        <v>1000043813</v>
      </c>
      <c r="C177" s="475" t="s">
        <v>11248</v>
      </c>
      <c r="D177" s="435" t="s">
        <v>11299</v>
      </c>
      <c r="E177" s="437">
        <v>20000</v>
      </c>
      <c r="F177" s="436" t="s">
        <v>11172</v>
      </c>
      <c r="G177" s="536" t="s">
        <v>11147</v>
      </c>
      <c r="H177" s="537"/>
      <c r="I177" s="538"/>
      <c r="J177" s="437"/>
      <c r="K177" s="437"/>
      <c r="L177" s="437"/>
      <c r="M177" s="435"/>
      <c r="N177" s="437"/>
      <c r="O177" s="437"/>
      <c r="P177" s="437"/>
      <c r="Q177" s="437"/>
      <c r="R177" s="437"/>
      <c r="S177" s="437">
        <v>20000</v>
      </c>
      <c r="T177" s="437"/>
      <c r="U177" s="437" t="s">
        <v>11325</v>
      </c>
      <c r="V177" s="438" t="s">
        <v>11326</v>
      </c>
    </row>
    <row r="178" s="398" customFormat="1" ht="16" customHeight="1" spans="1:22">
      <c r="A178" s="433">
        <v>46241</v>
      </c>
      <c r="B178" s="434">
        <v>1000043815</v>
      </c>
      <c r="C178" s="475" t="s">
        <v>11248</v>
      </c>
      <c r="D178" s="435" t="s">
        <v>11299</v>
      </c>
      <c r="E178" s="437">
        <v>20000</v>
      </c>
      <c r="F178" s="436" t="s">
        <v>11237</v>
      </c>
      <c r="G178" s="536" t="s">
        <v>11157</v>
      </c>
      <c r="H178" s="537"/>
      <c r="I178" s="538"/>
      <c r="J178" s="437"/>
      <c r="K178" s="437"/>
      <c r="L178" s="437"/>
      <c r="M178" s="435"/>
      <c r="N178" s="437"/>
      <c r="O178" s="437"/>
      <c r="P178" s="437"/>
      <c r="Q178" s="437"/>
      <c r="R178" s="437"/>
      <c r="S178" s="437"/>
      <c r="T178" s="437">
        <v>20000</v>
      </c>
      <c r="U178" s="437" t="s">
        <v>11276</v>
      </c>
      <c r="V178" s="438" t="s">
        <v>11326</v>
      </c>
    </row>
    <row r="179" s="398" customFormat="1" ht="16" customHeight="1" spans="1:22">
      <c r="A179" s="433"/>
      <c r="B179" s="434"/>
      <c r="C179" s="436"/>
      <c r="D179" s="435"/>
      <c r="E179" s="435"/>
      <c r="F179" s="436"/>
      <c r="G179" s="435"/>
      <c r="H179" s="478"/>
      <c r="I179" s="437"/>
      <c r="J179" s="437"/>
      <c r="K179" s="437"/>
      <c r="L179" s="437"/>
      <c r="M179" s="435"/>
      <c r="N179" s="437"/>
      <c r="O179" s="437"/>
      <c r="P179" s="437"/>
      <c r="Q179" s="437"/>
      <c r="R179" s="437"/>
      <c r="S179" s="437"/>
      <c r="T179" s="437"/>
      <c r="U179" s="437"/>
      <c r="V179" s="438"/>
    </row>
    <row r="180" s="398" customFormat="1" ht="16" customHeight="1" spans="1:22">
      <c r="A180" s="433"/>
      <c r="B180" s="434"/>
      <c r="C180" s="436"/>
      <c r="D180" s="435"/>
      <c r="E180" s="435"/>
      <c r="F180" s="436"/>
      <c r="G180" s="435"/>
      <c r="H180" s="437"/>
      <c r="I180" s="437"/>
      <c r="J180" s="437"/>
      <c r="K180" s="437"/>
      <c r="L180" s="437"/>
      <c r="M180" s="435"/>
      <c r="N180" s="437"/>
      <c r="O180" s="437"/>
      <c r="P180" s="437"/>
      <c r="Q180" s="437"/>
      <c r="R180" s="437"/>
      <c r="S180" s="437"/>
      <c r="T180" s="437"/>
      <c r="U180" s="437"/>
      <c r="V180" s="438"/>
    </row>
    <row r="181" s="402" customFormat="1" ht="16" customHeight="1" spans="1:22">
      <c r="A181" s="539"/>
      <c r="B181" s="540"/>
      <c r="C181" s="541"/>
      <c r="D181" s="482" t="s">
        <v>11327</v>
      </c>
      <c r="E181" s="542"/>
      <c r="F181" s="541"/>
      <c r="G181" s="542"/>
      <c r="H181" s="542">
        <v>265000</v>
      </c>
      <c r="I181" s="543">
        <v>35000</v>
      </c>
      <c r="J181" s="543"/>
      <c r="K181" s="543"/>
      <c r="L181" s="543">
        <f>26000+2260</f>
        <v>28260</v>
      </c>
      <c r="M181" s="543">
        <v>1770</v>
      </c>
      <c r="N181" s="543"/>
      <c r="O181" s="543"/>
      <c r="P181" s="543"/>
      <c r="Q181" s="543"/>
      <c r="R181" s="543"/>
      <c r="S181" s="543"/>
      <c r="T181" s="543"/>
      <c r="U181" s="543"/>
      <c r="V181" s="544"/>
    </row>
    <row r="182" s="402" customFormat="1" ht="16" customHeight="1" spans="1:22">
      <c r="A182" s="539"/>
      <c r="B182" s="540"/>
      <c r="C182" s="541"/>
      <c r="D182" s="482"/>
      <c r="E182" s="542"/>
      <c r="F182" s="541"/>
      <c r="G182" s="542"/>
      <c r="H182" s="542">
        <v>34016</v>
      </c>
      <c r="I182" s="543">
        <v>45974</v>
      </c>
      <c r="J182" s="543"/>
      <c r="K182" s="543"/>
      <c r="L182" s="543">
        <v>5678</v>
      </c>
      <c r="M182" s="543"/>
      <c r="N182" s="543"/>
      <c r="O182" s="543"/>
      <c r="P182" s="543"/>
      <c r="Q182" s="543"/>
      <c r="R182" s="543"/>
      <c r="S182" s="543"/>
      <c r="T182" s="543"/>
      <c r="U182" s="543"/>
      <c r="V182" s="544"/>
    </row>
    <row r="183" s="397" customFormat="1" ht="16" customHeight="1" spans="1:22">
      <c r="A183" s="426"/>
      <c r="B183" s="427"/>
      <c r="C183" s="429"/>
      <c r="D183" s="428"/>
      <c r="E183" s="428"/>
      <c r="F183" s="429"/>
      <c r="G183" s="428"/>
      <c r="H183" s="430"/>
      <c r="I183" s="430"/>
      <c r="J183" s="430"/>
      <c r="K183" s="430"/>
      <c r="L183" s="430"/>
      <c r="M183" s="430"/>
      <c r="N183" s="430"/>
      <c r="O183" s="430"/>
      <c r="P183" s="430"/>
      <c r="Q183" s="430"/>
      <c r="R183" s="430"/>
      <c r="S183" s="430"/>
      <c r="T183" s="430"/>
      <c r="U183" s="430"/>
      <c r="V183" s="432"/>
    </row>
    <row r="184" spans="1:22">
      <c r="A184" s="488"/>
      <c r="B184" s="428"/>
      <c r="C184" s="490"/>
      <c r="D184" s="490"/>
      <c r="E184" s="490"/>
      <c r="F184" s="492" t="s">
        <v>11328</v>
      </c>
      <c r="G184" s="492"/>
      <c r="H184" s="494"/>
      <c r="I184" s="494"/>
      <c r="J184" s="494"/>
      <c r="K184" s="494"/>
      <c r="L184" s="494"/>
      <c r="M184" s="494"/>
      <c r="N184" s="494">
        <v>93350</v>
      </c>
      <c r="O184" s="494">
        <v>108350</v>
      </c>
      <c r="P184" s="494">
        <v>58022</v>
      </c>
      <c r="Q184" s="494">
        <v>23550</v>
      </c>
      <c r="R184" s="494">
        <v>23550</v>
      </c>
      <c r="S184" s="494"/>
      <c r="T184" s="494"/>
      <c r="U184" s="494"/>
      <c r="V184" s="496"/>
    </row>
    <row r="185" spans="1:22">
      <c r="A185" s="497"/>
      <c r="B185" s="494"/>
      <c r="C185" s="494"/>
      <c r="D185" s="494"/>
      <c r="E185" s="494"/>
      <c r="F185" s="495"/>
      <c r="G185" s="494"/>
      <c r="H185" s="494"/>
      <c r="I185" s="494"/>
      <c r="J185" s="494"/>
      <c r="K185" s="494"/>
      <c r="L185" s="494"/>
      <c r="M185" s="494"/>
      <c r="N185" s="494"/>
      <c r="O185" s="494"/>
      <c r="P185" s="494"/>
      <c r="Q185" s="494"/>
      <c r="R185" s="494"/>
      <c r="S185" s="494"/>
      <c r="T185" s="494"/>
      <c r="U185" s="494"/>
      <c r="V185" s="496"/>
    </row>
    <row r="186" s="526" customFormat="1" spans="1:22">
      <c r="A186" s="499" t="s">
        <v>11329</v>
      </c>
      <c r="B186" s="500"/>
      <c r="C186" s="500"/>
      <c r="D186" s="500"/>
      <c r="E186" s="500"/>
      <c r="F186" s="500"/>
      <c r="G186" s="501"/>
      <c r="H186" s="502">
        <f>SUM(H3:H185)</f>
        <v>1929016</v>
      </c>
      <c r="I186" s="502">
        <f>SUM(I3:I185)</f>
        <v>2530974</v>
      </c>
      <c r="J186" s="502">
        <f>SUM(J3:J185)</f>
        <v>830000</v>
      </c>
      <c r="K186" s="502">
        <f>SUM(K3:K185)</f>
        <v>20000</v>
      </c>
      <c r="L186" s="502">
        <f t="shared" ref="L186:U186" si="0">SUM(L3:L185)</f>
        <v>445840</v>
      </c>
      <c r="M186" s="502">
        <f t="shared" si="0"/>
        <v>66370</v>
      </c>
      <c r="N186" s="502">
        <f t="shared" si="0"/>
        <v>133350</v>
      </c>
      <c r="O186" s="502">
        <f t="shared" si="0"/>
        <v>133350</v>
      </c>
      <c r="P186" s="502">
        <f t="shared" si="0"/>
        <v>110334</v>
      </c>
      <c r="Q186" s="502">
        <f t="shared" si="0"/>
        <v>133350</v>
      </c>
      <c r="R186" s="502">
        <f t="shared" si="0"/>
        <v>133350</v>
      </c>
      <c r="S186" s="502">
        <f t="shared" si="0"/>
        <v>601324</v>
      </c>
      <c r="T186" s="502">
        <f t="shared" si="0"/>
        <v>596324</v>
      </c>
      <c r="U186" s="502">
        <f t="shared" si="0"/>
        <v>0</v>
      </c>
      <c r="V186" s="545"/>
    </row>
    <row r="187" s="403" customFormat="1" spans="1:22">
      <c r="A187" s="504"/>
      <c r="B187" s="504"/>
      <c r="C187" s="504"/>
      <c r="D187" s="505"/>
      <c r="E187" s="504"/>
      <c r="F187" s="504"/>
      <c r="G187" s="504"/>
      <c r="H187" s="506"/>
      <c r="I187" s="506"/>
      <c r="J187" s="506"/>
      <c r="K187" s="506"/>
      <c r="L187" s="506"/>
      <c r="M187" s="506"/>
      <c r="N187" s="506"/>
      <c r="O187" s="506"/>
      <c r="P187" s="506"/>
      <c r="Q187" s="506"/>
      <c r="R187" s="506"/>
      <c r="S187" s="506"/>
      <c r="T187" s="506"/>
      <c r="U187" s="506"/>
      <c r="V187" s="507"/>
    </row>
    <row r="188" spans="1:22">
      <c r="A188" s="508"/>
      <c r="B188" s="509"/>
      <c r="C188" s="509"/>
      <c r="D188" s="509"/>
      <c r="E188" s="509"/>
      <c r="F188" s="509"/>
      <c r="G188" s="510"/>
      <c r="H188" s="511"/>
      <c r="I188" s="511"/>
      <c r="J188" s="511"/>
      <c r="K188" s="511"/>
      <c r="L188" s="511"/>
      <c r="M188" s="511"/>
      <c r="N188" s="511"/>
      <c r="O188" s="511"/>
      <c r="P188" s="511"/>
      <c r="Q188" s="511"/>
      <c r="R188" s="511"/>
      <c r="S188" s="511"/>
      <c r="T188" s="511"/>
      <c r="U188" s="511"/>
      <c r="V188" s="512"/>
    </row>
    <row r="189" s="526" customFormat="1" spans="1:22">
      <c r="A189" s="513" t="s">
        <v>11330</v>
      </c>
      <c r="B189" s="514"/>
      <c r="C189" s="514"/>
      <c r="D189" s="514"/>
      <c r="E189" s="514"/>
      <c r="F189" s="514"/>
      <c r="G189" s="515"/>
      <c r="H189" s="516">
        <f>'77673'!AR1542</f>
        <v>1940480</v>
      </c>
      <c r="I189" s="516">
        <f>'77673'!AU1542</f>
        <v>2546852</v>
      </c>
      <c r="J189" s="516">
        <f>'77673'!AS1542</f>
        <v>808210</v>
      </c>
      <c r="K189" s="516">
        <f>'77673'!AT1542</f>
        <v>21158</v>
      </c>
      <c r="L189" s="516">
        <f>'77673'!BH1542</f>
        <v>448849</v>
      </c>
      <c r="M189" s="516">
        <f>'77673'!BI1542</f>
        <v>67620</v>
      </c>
      <c r="N189" s="516">
        <f>'77673'!BA1542</f>
        <v>288150</v>
      </c>
      <c r="O189" s="516">
        <f>'77673'!BB1542</f>
        <v>288150</v>
      </c>
      <c r="P189" s="516">
        <f>'77673'!BN1542+'77711'!CA2145+'77711'!CC2145+'77711'!CD2145+'77711'!CE2145</f>
        <v>613638</v>
      </c>
      <c r="Q189" s="516">
        <f>'77673'!BA1542</f>
        <v>288150</v>
      </c>
      <c r="R189" s="516">
        <f>'77673'!BB1542</f>
        <v>288150</v>
      </c>
      <c r="S189" s="516">
        <f>'77673'!BF1542</f>
        <v>716432</v>
      </c>
      <c r="T189" s="516">
        <f>'77673'!BG1542</f>
        <v>716432</v>
      </c>
      <c r="U189" s="516"/>
      <c r="V189" s="546"/>
    </row>
    <row r="190" spans="1:22">
      <c r="A190" s="518"/>
      <c r="B190" s="518"/>
      <c r="C190" s="518"/>
      <c r="D190" s="518"/>
      <c r="E190" s="518"/>
      <c r="F190" s="519"/>
      <c r="G190" s="519"/>
      <c r="H190" s="511"/>
      <c r="I190" s="511"/>
      <c r="J190" s="511"/>
      <c r="K190" s="511"/>
      <c r="L190" s="511"/>
      <c r="M190" s="511"/>
      <c r="N190" s="511"/>
      <c r="O190" s="511"/>
      <c r="P190" s="511"/>
      <c r="Q190" s="511"/>
      <c r="R190" s="511"/>
      <c r="S190" s="511"/>
      <c r="T190" s="511"/>
      <c r="U190" s="511"/>
      <c r="V190" s="512"/>
    </row>
    <row r="191" spans="1:22">
      <c r="A191" s="520" t="s">
        <v>35</v>
      </c>
      <c r="B191" s="521"/>
      <c r="C191" s="521"/>
      <c r="D191" s="521"/>
      <c r="E191" s="521"/>
      <c r="F191" s="521"/>
      <c r="G191" s="522"/>
      <c r="H191" s="523">
        <f t="shared" ref="H191:K191" si="1">H186-H189</f>
        <v>-11464</v>
      </c>
      <c r="I191" s="523">
        <f t="shared" si="1"/>
        <v>-15878</v>
      </c>
      <c r="J191" s="523">
        <f t="shared" si="1"/>
        <v>21790</v>
      </c>
      <c r="K191" s="523">
        <f t="shared" si="1"/>
        <v>-1158</v>
      </c>
      <c r="L191" s="523">
        <f t="shared" ref="L191:V191" si="2">L186-L189</f>
        <v>-3009</v>
      </c>
      <c r="M191" s="523">
        <f t="shared" si="2"/>
        <v>-1250</v>
      </c>
      <c r="N191" s="523">
        <f t="shared" si="2"/>
        <v>-154800</v>
      </c>
      <c r="O191" s="523">
        <f t="shared" si="2"/>
        <v>-154800</v>
      </c>
      <c r="P191" s="523">
        <f t="shared" si="2"/>
        <v>-503304</v>
      </c>
      <c r="Q191" s="523">
        <f t="shared" si="2"/>
        <v>-154800</v>
      </c>
      <c r="R191" s="523">
        <f t="shared" si="2"/>
        <v>-154800</v>
      </c>
      <c r="S191" s="523">
        <f t="shared" si="2"/>
        <v>-115108</v>
      </c>
      <c r="T191" s="523">
        <f t="shared" si="2"/>
        <v>-120108</v>
      </c>
      <c r="U191" s="523">
        <f t="shared" si="2"/>
        <v>0</v>
      </c>
      <c r="V191" s="430"/>
    </row>
    <row r="192" s="527" customFormat="1" spans="1:22">
      <c r="A192" s="504"/>
      <c r="B192" s="504"/>
      <c r="C192" s="504"/>
      <c r="D192" s="505"/>
      <c r="E192" s="504"/>
      <c r="F192" s="504"/>
      <c r="G192" s="504"/>
      <c r="H192" s="506"/>
      <c r="I192" s="506"/>
      <c r="J192" s="506"/>
      <c r="K192" s="506"/>
      <c r="L192" s="506"/>
      <c r="M192" s="506"/>
      <c r="N192" s="506"/>
      <c r="O192" s="506"/>
      <c r="P192" s="506"/>
      <c r="Q192" s="506"/>
      <c r="R192" s="506"/>
      <c r="S192" s="506"/>
      <c r="T192" s="506"/>
      <c r="U192" s="506"/>
      <c r="V192" s="507"/>
    </row>
  </sheetData>
  <sheetProtection formatCells="0" formatColumns="0" formatRows="0" insertRows="0" insertColumns="0" insertHyperlinks="0" deleteColumns="0" deleteRows="0" sort="0" autoFilter="0" pivotTables="0"/>
  <autoFilter xmlns:etc="http://www.wps.cn/officeDocument/2017/etCustomData" ref="A2:XFD192" etc:filterBottomFollowUsedRange="0">
    <extLst/>
  </autoFilter>
  <mergeCells count="5">
    <mergeCell ref="A1:G1"/>
    <mergeCell ref="A186:G186"/>
    <mergeCell ref="A188:G188"/>
    <mergeCell ref="A189:G189"/>
    <mergeCell ref="A191:G191"/>
  </mergeCells>
  <conditionalFormatting sqref="L191:M191">
    <cfRule type="cellIs" dxfId="0" priority="2" operator="lessThan">
      <formula>0</formula>
    </cfRule>
  </conditionalFormatting>
  <conditionalFormatting sqref="H192:M192">
    <cfRule type="cellIs" dxfId="3" priority="1" operator="lessThan">
      <formula>0</formula>
    </cfRule>
  </conditionalFormatting>
  <conditionalFormatting sqref="A191:K191 N191:V191">
    <cfRule type="cellIs" dxfId="0" priority="3" operator="lessThan">
      <formula>0</formula>
    </cfRule>
  </conditionalFormatting>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45"/>
  <sheetViews>
    <sheetView workbookViewId="0">
      <pane xSplit="8" ySplit="2" topLeftCell="AU428" activePane="bottomRight" state="frozen"/>
      <selection/>
      <selection pane="topRight"/>
      <selection pane="bottomLeft"/>
      <selection pane="bottomRight" activeCell="C428" sqref="C428"/>
    </sheetView>
  </sheetViews>
  <sheetFormatPr defaultColWidth="9" defaultRowHeight="13.5"/>
  <cols>
    <col min="1" max="1" width="7.775" style="404" customWidth="1"/>
    <col min="2" max="2" width="10.325" style="404" customWidth="1"/>
    <col min="3" max="3" width="11.1333333333333" style="404" customWidth="1"/>
    <col min="4" max="4" width="15.55" style="404" customWidth="1"/>
    <col min="5" max="5" width="6.18333333333333" style="404" customWidth="1"/>
    <col min="6" max="6" width="18.6666666666667" style="404" customWidth="1"/>
    <col min="7" max="7" width="11.25" style="404" customWidth="1"/>
    <col min="8" max="8" width="4.2" style="404" customWidth="1"/>
    <col min="9" max="9" width="8.525" style="404" customWidth="1"/>
    <col min="10" max="10" width="7.525" style="404" customWidth="1"/>
    <col min="11" max="12" width="7.38333333333333" style="404" customWidth="1"/>
    <col min="13" max="13" width="7.75" style="404" customWidth="1"/>
    <col min="14" max="16" width="9.15833333333333" style="404" customWidth="1"/>
    <col min="17" max="17" width="9.025" style="404" customWidth="1"/>
    <col min="18" max="23" width="10.025" style="404" customWidth="1"/>
    <col min="24" max="25" width="8.43333333333333" style="404" customWidth="1"/>
    <col min="26" max="27" width="7.56666666666667" style="404" customWidth="1"/>
    <col min="28" max="28" width="9.00833333333333" style="404" customWidth="1"/>
    <col min="29" max="44" width="6.71666666666667" style="404" customWidth="1"/>
    <col min="45" max="47" width="7.525" style="404" customWidth="1"/>
    <col min="48" max="48" width="83.2666666666667" style="404" customWidth="1"/>
    <col min="49" max="16384" width="9" style="404"/>
  </cols>
  <sheetData>
    <row r="1" ht="34" customHeight="1" spans="1:48">
      <c r="A1" s="405" t="s">
        <v>11331</v>
      </c>
      <c r="B1" s="405"/>
      <c r="C1" s="405"/>
      <c r="D1" s="405"/>
      <c r="E1" s="405"/>
      <c r="F1" s="405"/>
      <c r="G1" s="405"/>
      <c r="H1" s="405"/>
      <c r="I1" s="405"/>
      <c r="J1" s="405"/>
      <c r="K1" s="405"/>
      <c r="L1" s="405"/>
      <c r="M1" s="405"/>
      <c r="N1" s="405"/>
      <c r="O1" s="405"/>
      <c r="P1" s="405"/>
      <c r="Q1" s="405"/>
      <c r="R1" s="405"/>
      <c r="S1" s="405"/>
      <c r="T1" s="405"/>
      <c r="U1" s="405"/>
      <c r="V1" s="405"/>
      <c r="W1" s="405"/>
      <c r="X1" s="405"/>
      <c r="Y1" s="405"/>
      <c r="Z1" s="405"/>
      <c r="AA1" s="405"/>
      <c r="AB1" s="405"/>
      <c r="AC1" s="406"/>
      <c r="AD1" s="406"/>
      <c r="AE1" s="406"/>
      <c r="AF1" s="406"/>
      <c r="AG1" s="406"/>
      <c r="AH1" s="406"/>
      <c r="AI1" s="406"/>
      <c r="AJ1" s="406"/>
      <c r="AK1" s="406"/>
      <c r="AL1" s="406"/>
      <c r="AM1" s="406"/>
      <c r="AN1" s="406"/>
      <c r="AO1" s="406"/>
      <c r="AP1" s="406"/>
      <c r="AQ1" s="406"/>
      <c r="AR1" s="406"/>
      <c r="AS1" s="405"/>
      <c r="AT1" s="405"/>
      <c r="AU1" s="405"/>
      <c r="AV1" s="405"/>
    </row>
    <row r="2" ht="60" customHeight="1" spans="1:48">
      <c r="A2" s="407" t="s">
        <v>11129</v>
      </c>
      <c r="B2" s="407" t="s">
        <v>11130</v>
      </c>
      <c r="C2" s="407" t="s">
        <v>11131</v>
      </c>
      <c r="D2" s="407" t="s">
        <v>11132</v>
      </c>
      <c r="E2" s="407" t="s">
        <v>11133</v>
      </c>
      <c r="F2" s="407" t="s">
        <v>11134</v>
      </c>
      <c r="G2" s="407" t="s">
        <v>11135</v>
      </c>
      <c r="H2" s="407" t="s">
        <v>11143</v>
      </c>
      <c r="I2" s="408" t="s">
        <v>11332</v>
      </c>
      <c r="J2" s="408" t="s">
        <v>11333</v>
      </c>
      <c r="K2" s="408" t="s">
        <v>11334</v>
      </c>
      <c r="L2" s="409" t="s">
        <v>11335</v>
      </c>
      <c r="M2" s="410" t="s">
        <v>11336</v>
      </c>
      <c r="N2" s="408" t="s">
        <v>5964</v>
      </c>
      <c r="O2" s="410" t="s">
        <v>5965</v>
      </c>
      <c r="P2" s="411" t="s">
        <v>5969</v>
      </c>
      <c r="Q2" s="408" t="s">
        <v>5970</v>
      </c>
      <c r="R2" s="409" t="s">
        <v>5973</v>
      </c>
      <c r="S2" s="409" t="s">
        <v>5974</v>
      </c>
      <c r="T2" s="409" t="s">
        <v>5976</v>
      </c>
      <c r="U2" s="409" t="s">
        <v>5977</v>
      </c>
      <c r="V2" s="412" t="s">
        <v>11337</v>
      </c>
      <c r="W2" s="413" t="s">
        <v>11338</v>
      </c>
      <c r="X2" s="414" t="s">
        <v>11339</v>
      </c>
      <c r="Y2" s="415" t="s">
        <v>11340</v>
      </c>
      <c r="Z2" s="416" t="s">
        <v>11341</v>
      </c>
      <c r="AA2" s="417" t="s">
        <v>11342</v>
      </c>
      <c r="AB2" s="418" t="s">
        <v>11343</v>
      </c>
      <c r="AC2" s="419" t="s">
        <v>11344</v>
      </c>
      <c r="AD2" s="420" t="s">
        <v>11345</v>
      </c>
      <c r="AE2" s="419" t="s">
        <v>11346</v>
      </c>
      <c r="AF2" s="419" t="s">
        <v>11347</v>
      </c>
      <c r="AG2" s="421" t="s">
        <v>11348</v>
      </c>
      <c r="AH2" s="421" t="s">
        <v>11349</v>
      </c>
      <c r="AI2" s="421" t="s">
        <v>11350</v>
      </c>
      <c r="AJ2" s="421" t="s">
        <v>11142</v>
      </c>
      <c r="AK2" s="422" t="s">
        <v>11351</v>
      </c>
      <c r="AL2" s="422" t="s">
        <v>11352</v>
      </c>
      <c r="AM2" s="421" t="s">
        <v>11353</v>
      </c>
      <c r="AN2" s="422" t="s">
        <v>11354</v>
      </c>
      <c r="AO2" s="409" t="s">
        <v>11355</v>
      </c>
      <c r="AP2" s="423" t="s">
        <v>11356</v>
      </c>
      <c r="AQ2" s="409" t="s">
        <v>11357</v>
      </c>
      <c r="AR2" s="409" t="s">
        <v>11358</v>
      </c>
      <c r="AS2" s="424" t="s">
        <v>11359</v>
      </c>
      <c r="AT2" s="424" t="s">
        <v>11360</v>
      </c>
      <c r="AU2" s="424" t="s">
        <v>11361</v>
      </c>
      <c r="AV2" s="425" t="s">
        <v>23</v>
      </c>
    </row>
    <row r="3" s="397" customFormat="1" ht="18" customHeight="1" spans="1:48">
      <c r="A3" s="426">
        <v>45722</v>
      </c>
      <c r="B3" s="427" t="s">
        <v>11362</v>
      </c>
      <c r="C3" s="428" t="s">
        <v>11170</v>
      </c>
      <c r="D3" s="428">
        <v>77731</v>
      </c>
      <c r="E3" s="428">
        <v>9276</v>
      </c>
      <c r="F3" s="429" t="s">
        <v>11363</v>
      </c>
      <c r="G3" s="428"/>
      <c r="H3" s="429" t="s">
        <v>73</v>
      </c>
      <c r="I3" s="430"/>
      <c r="J3" s="430"/>
      <c r="K3" s="430"/>
      <c r="L3" s="430"/>
      <c r="M3" s="430"/>
      <c r="N3" s="430"/>
      <c r="O3" s="430"/>
      <c r="P3" s="430"/>
      <c r="Q3" s="430"/>
      <c r="R3" s="430"/>
      <c r="S3" s="430"/>
      <c r="T3" s="430"/>
      <c r="U3" s="430"/>
      <c r="V3" s="430"/>
      <c r="W3" s="431"/>
      <c r="X3" s="431"/>
      <c r="Y3" s="431"/>
      <c r="Z3" s="431"/>
      <c r="AA3" s="431"/>
      <c r="AB3" s="431"/>
      <c r="AC3" s="430"/>
      <c r="AD3" s="430"/>
      <c r="AE3" s="430"/>
      <c r="AF3" s="430"/>
      <c r="AG3" s="430"/>
      <c r="AH3" s="430"/>
      <c r="AI3" s="430"/>
      <c r="AJ3" s="430"/>
      <c r="AK3" s="430"/>
      <c r="AL3" s="430"/>
      <c r="AM3" s="430"/>
      <c r="AN3" s="430"/>
      <c r="AO3" s="430"/>
      <c r="AP3" s="430"/>
      <c r="AQ3" s="430"/>
      <c r="AR3" s="430"/>
      <c r="AS3" s="430">
        <v>9276</v>
      </c>
      <c r="AT3" s="430"/>
      <c r="AU3" s="430"/>
      <c r="AV3" s="432" t="s">
        <v>11364</v>
      </c>
    </row>
    <row r="4" s="397" customFormat="1" ht="18" customHeight="1" spans="1:48">
      <c r="A4" s="426">
        <v>45722</v>
      </c>
      <c r="B4" s="427" t="s">
        <v>11365</v>
      </c>
      <c r="C4" s="428" t="s">
        <v>11170</v>
      </c>
      <c r="D4" s="428">
        <v>77731</v>
      </c>
      <c r="E4" s="428">
        <v>9276</v>
      </c>
      <c r="F4" s="429" t="s">
        <v>11366</v>
      </c>
      <c r="G4" s="428" t="s">
        <v>11153</v>
      </c>
      <c r="H4" s="429" t="s">
        <v>73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v>9276</v>
      </c>
      <c r="AU4" s="430"/>
      <c r="AV4" s="432" t="s">
        <v>11364</v>
      </c>
    </row>
    <row r="5" s="397" customFormat="1" ht="18" customHeight="1" spans="1:48">
      <c r="A5" s="426">
        <v>45722</v>
      </c>
      <c r="B5" s="427" t="s">
        <v>11367</v>
      </c>
      <c r="C5" s="428" t="s">
        <v>11170</v>
      </c>
      <c r="D5" s="428">
        <v>77731</v>
      </c>
      <c r="E5" s="428">
        <v>9276</v>
      </c>
      <c r="F5" s="429" t="s">
        <v>11368</v>
      </c>
      <c r="G5" s="428"/>
      <c r="H5" s="429" t="s">
        <v>73</v>
      </c>
      <c r="I5" s="430"/>
      <c r="J5" s="430"/>
      <c r="K5" s="430"/>
      <c r="L5" s="430"/>
      <c r="M5" s="430"/>
      <c r="N5" s="430"/>
      <c r="O5" s="430"/>
      <c r="P5" s="430"/>
      <c r="Q5" s="430"/>
      <c r="R5" s="430"/>
      <c r="S5" s="430"/>
      <c r="T5" s="430"/>
      <c r="U5" s="430"/>
      <c r="V5" s="430"/>
      <c r="W5" s="430"/>
      <c r="X5" s="430"/>
      <c r="Y5" s="430"/>
      <c r="Z5" s="430"/>
      <c r="AA5" s="430"/>
      <c r="AB5" s="430"/>
      <c r="AC5" s="430"/>
      <c r="AD5" s="430"/>
      <c r="AE5" s="430"/>
      <c r="AF5" s="430"/>
      <c r="AG5" s="430"/>
      <c r="AH5" s="430"/>
      <c r="AI5" s="430"/>
      <c r="AJ5" s="430"/>
      <c r="AK5" s="430"/>
      <c r="AL5" s="430"/>
      <c r="AM5" s="430"/>
      <c r="AN5" s="430"/>
      <c r="AO5" s="430"/>
      <c r="AP5" s="430"/>
      <c r="AQ5" s="430"/>
      <c r="AR5" s="430"/>
      <c r="AS5" s="430"/>
      <c r="AT5" s="430"/>
      <c r="AU5" s="430">
        <v>9276</v>
      </c>
      <c r="AV5" s="432" t="s">
        <v>11364</v>
      </c>
    </row>
    <row r="6" s="397" customFormat="1" ht="18" customHeight="1" spans="1:48">
      <c r="A6" s="426">
        <v>45726</v>
      </c>
      <c r="B6" s="427" t="s">
        <v>11369</v>
      </c>
      <c r="C6" s="428" t="s">
        <v>11183</v>
      </c>
      <c r="D6" s="428" t="s">
        <v>6084</v>
      </c>
      <c r="E6" s="428">
        <v>250000</v>
      </c>
      <c r="F6" s="429" t="s">
        <v>11146</v>
      </c>
      <c r="G6" s="428" t="s">
        <v>11147</v>
      </c>
      <c r="H6" s="429" t="s">
        <v>11148</v>
      </c>
      <c r="I6" s="430">
        <v>250000</v>
      </c>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2" t="s">
        <v>11370</v>
      </c>
    </row>
    <row r="7" s="397" customFormat="1" ht="18" customHeight="1" spans="1:48">
      <c r="A7" s="426">
        <v>45726</v>
      </c>
      <c r="B7" s="427" t="s">
        <v>11371</v>
      </c>
      <c r="C7" s="428" t="s">
        <v>11183</v>
      </c>
      <c r="D7" s="428" t="s">
        <v>6084</v>
      </c>
      <c r="E7" s="428">
        <v>30000</v>
      </c>
      <c r="F7" s="429" t="s">
        <v>11372</v>
      </c>
      <c r="G7" s="428" t="s">
        <v>11373</v>
      </c>
      <c r="H7" s="429" t="s">
        <v>11148</v>
      </c>
      <c r="I7" s="430"/>
      <c r="J7" s="430">
        <v>30000</v>
      </c>
      <c r="K7" s="430"/>
      <c r="L7" s="430"/>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2" t="s">
        <v>11370</v>
      </c>
    </row>
    <row r="8" s="397" customFormat="1" ht="18" customHeight="1" spans="1:48">
      <c r="A8" s="426">
        <v>45726</v>
      </c>
      <c r="B8" s="427" t="s">
        <v>11374</v>
      </c>
      <c r="C8" s="428" t="s">
        <v>11183</v>
      </c>
      <c r="D8" s="428" t="s">
        <v>6084</v>
      </c>
      <c r="E8" s="428">
        <v>400000</v>
      </c>
      <c r="F8" s="429" t="s">
        <v>11375</v>
      </c>
      <c r="G8" s="428" t="s">
        <v>11157</v>
      </c>
      <c r="H8" s="429" t="s">
        <v>11148</v>
      </c>
      <c r="I8" s="430"/>
      <c r="J8" s="430"/>
      <c r="K8" s="430"/>
      <c r="L8" s="430"/>
      <c r="M8" s="430"/>
      <c r="N8" s="430">
        <v>400000</v>
      </c>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2" t="s">
        <v>11376</v>
      </c>
    </row>
    <row r="9" s="397" customFormat="1" ht="18" customHeight="1" spans="1:48">
      <c r="A9" s="426">
        <v>45726</v>
      </c>
      <c r="B9" s="427" t="s">
        <v>11377</v>
      </c>
      <c r="C9" s="428" t="s">
        <v>11183</v>
      </c>
      <c r="D9" s="428" t="s">
        <v>11378</v>
      </c>
      <c r="E9" s="428">
        <v>2000</v>
      </c>
      <c r="F9" s="429" t="s">
        <v>11379</v>
      </c>
      <c r="G9" s="428" t="s">
        <v>11147</v>
      </c>
      <c r="H9" s="429" t="s">
        <v>11148</v>
      </c>
      <c r="I9" s="430"/>
      <c r="J9" s="430"/>
      <c r="K9" s="430"/>
      <c r="L9" s="430"/>
      <c r="M9" s="430"/>
      <c r="N9" s="430"/>
      <c r="O9" s="430"/>
      <c r="P9" s="430"/>
      <c r="Q9" s="430"/>
      <c r="R9" s="430"/>
      <c r="S9" s="430"/>
      <c r="T9" s="430"/>
      <c r="U9" s="430"/>
      <c r="V9" s="430"/>
      <c r="W9" s="430"/>
      <c r="X9" s="430"/>
      <c r="Y9" s="430"/>
      <c r="Z9" s="430">
        <v>2000</v>
      </c>
      <c r="AA9" s="430"/>
      <c r="AB9" s="430"/>
      <c r="AC9" s="430"/>
      <c r="AD9" s="430"/>
      <c r="AE9" s="430"/>
      <c r="AF9" s="430"/>
      <c r="AG9" s="430"/>
      <c r="AH9" s="430"/>
      <c r="AI9" s="430"/>
      <c r="AJ9" s="430"/>
      <c r="AK9" s="430"/>
      <c r="AL9" s="430"/>
      <c r="AM9" s="430"/>
      <c r="AN9" s="430"/>
      <c r="AO9" s="430"/>
      <c r="AP9" s="430"/>
      <c r="AQ9" s="430"/>
      <c r="AR9" s="430"/>
      <c r="AS9" s="430"/>
      <c r="AT9" s="430"/>
      <c r="AU9" s="430"/>
      <c r="AV9" s="432" t="s">
        <v>11376</v>
      </c>
    </row>
    <row r="10" s="397" customFormat="1" ht="18" customHeight="1" spans="1:48">
      <c r="A10" s="426">
        <v>45726</v>
      </c>
      <c r="B10" s="427" t="s">
        <v>11380</v>
      </c>
      <c r="C10" s="428" t="s">
        <v>11183</v>
      </c>
      <c r="D10" s="428" t="s">
        <v>11378</v>
      </c>
      <c r="E10" s="428">
        <v>500</v>
      </c>
      <c r="F10" s="429" t="s">
        <v>11381</v>
      </c>
      <c r="G10" s="428" t="s">
        <v>11373</v>
      </c>
      <c r="H10" s="429" t="s">
        <v>11148</v>
      </c>
      <c r="I10" s="430"/>
      <c r="J10" s="430"/>
      <c r="K10" s="430"/>
      <c r="L10" s="430"/>
      <c r="M10" s="430"/>
      <c r="N10" s="430"/>
      <c r="O10" s="430"/>
      <c r="P10" s="430"/>
      <c r="Q10" s="430"/>
      <c r="R10" s="430"/>
      <c r="S10" s="430"/>
      <c r="T10" s="430"/>
      <c r="U10" s="430"/>
      <c r="V10" s="430"/>
      <c r="W10" s="430"/>
      <c r="X10" s="430"/>
      <c r="Y10" s="430"/>
      <c r="Z10" s="430"/>
      <c r="AA10" s="430">
        <v>500</v>
      </c>
      <c r="AB10" s="430"/>
      <c r="AC10" s="430"/>
      <c r="AD10" s="430"/>
      <c r="AE10" s="430"/>
      <c r="AF10" s="430"/>
      <c r="AG10" s="430"/>
      <c r="AH10" s="430"/>
      <c r="AI10" s="430"/>
      <c r="AJ10" s="430"/>
      <c r="AK10" s="430"/>
      <c r="AL10" s="430"/>
      <c r="AM10" s="430"/>
      <c r="AN10" s="430"/>
      <c r="AO10" s="430"/>
      <c r="AP10" s="430"/>
      <c r="AQ10" s="430"/>
      <c r="AR10" s="430"/>
      <c r="AS10" s="430"/>
      <c r="AT10" s="430"/>
      <c r="AU10" s="430"/>
      <c r="AV10" s="432" t="s">
        <v>11376</v>
      </c>
    </row>
    <row r="11" s="397" customFormat="1" ht="18" customHeight="1" spans="1:48">
      <c r="A11" s="426">
        <v>45726</v>
      </c>
      <c r="B11" s="427" t="s">
        <v>11382</v>
      </c>
      <c r="C11" s="428" t="s">
        <v>11183</v>
      </c>
      <c r="D11" s="428" t="s">
        <v>6047</v>
      </c>
      <c r="E11" s="428">
        <v>80000</v>
      </c>
      <c r="F11" s="429" t="s">
        <v>11152</v>
      </c>
      <c r="G11" s="428" t="s">
        <v>11153</v>
      </c>
      <c r="H11" s="429" t="s">
        <v>11148</v>
      </c>
      <c r="I11" s="430"/>
      <c r="J11" s="430"/>
      <c r="K11" s="430"/>
      <c r="L11" s="430"/>
      <c r="M11" s="430">
        <v>80000</v>
      </c>
      <c r="N11" s="430"/>
      <c r="O11" s="430"/>
      <c r="P11" s="430"/>
      <c r="Q11" s="430"/>
      <c r="R11" s="430"/>
      <c r="S11" s="430"/>
      <c r="T11" s="430"/>
      <c r="U11" s="430"/>
      <c r="V11" s="430"/>
      <c r="W11" s="430"/>
      <c r="X11" s="430"/>
      <c r="Y11" s="430"/>
      <c r="Z11" s="430"/>
      <c r="AA11" s="430"/>
      <c r="AB11" s="430"/>
      <c r="AC11" s="430"/>
      <c r="AD11" s="430"/>
      <c r="AE11" s="430"/>
      <c r="AF11" s="430"/>
      <c r="AG11" s="430"/>
      <c r="AH11" s="430"/>
      <c r="AI11" s="430"/>
      <c r="AJ11" s="430"/>
      <c r="AK11" s="430"/>
      <c r="AL11" s="430"/>
      <c r="AM11" s="430"/>
      <c r="AN11" s="430"/>
      <c r="AO11" s="430"/>
      <c r="AP11" s="430"/>
      <c r="AQ11" s="430"/>
      <c r="AR11" s="430"/>
      <c r="AS11" s="430"/>
      <c r="AT11" s="430"/>
      <c r="AU11" s="430"/>
      <c r="AV11" s="432" t="s">
        <v>11383</v>
      </c>
    </row>
    <row r="12" s="397" customFormat="1" ht="18" customHeight="1" spans="1:48">
      <c r="A12" s="426">
        <v>45726</v>
      </c>
      <c r="B12" s="427" t="s">
        <v>11384</v>
      </c>
      <c r="C12" s="428" t="s">
        <v>11183</v>
      </c>
      <c r="D12" s="428" t="s">
        <v>6047</v>
      </c>
      <c r="E12" s="428">
        <v>180000</v>
      </c>
      <c r="F12" s="429" t="s">
        <v>11375</v>
      </c>
      <c r="G12" s="428" t="s">
        <v>11157</v>
      </c>
      <c r="H12" s="429" t="s">
        <v>11148</v>
      </c>
      <c r="I12" s="430"/>
      <c r="J12" s="430"/>
      <c r="K12" s="430"/>
      <c r="L12" s="430"/>
      <c r="M12" s="430"/>
      <c r="N12" s="430"/>
      <c r="O12" s="430">
        <v>180000</v>
      </c>
      <c r="P12" s="430"/>
      <c r="Q12" s="430"/>
      <c r="R12" s="430"/>
      <c r="S12" s="430"/>
      <c r="T12" s="430"/>
      <c r="U12" s="430"/>
      <c r="V12" s="430"/>
      <c r="W12" s="430"/>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2" t="s">
        <v>11385</v>
      </c>
    </row>
    <row r="13" s="397" customFormat="1" ht="18" customHeight="1" spans="1:48">
      <c r="A13" s="426">
        <v>45726</v>
      </c>
      <c r="B13" s="427" t="s">
        <v>11386</v>
      </c>
      <c r="C13" s="428" t="s">
        <v>11183</v>
      </c>
      <c r="D13" s="428" t="s">
        <v>6047</v>
      </c>
      <c r="E13" s="428">
        <v>1000</v>
      </c>
      <c r="F13" s="429" t="s">
        <v>11387</v>
      </c>
      <c r="G13" s="428" t="s">
        <v>73</v>
      </c>
      <c r="H13" s="429" t="s">
        <v>11148</v>
      </c>
      <c r="I13" s="430"/>
      <c r="J13" s="430"/>
      <c r="K13" s="430"/>
      <c r="L13" s="430"/>
      <c r="M13" s="430"/>
      <c r="N13" s="430"/>
      <c r="O13" s="430"/>
      <c r="P13" s="430"/>
      <c r="Q13" s="430"/>
      <c r="R13" s="430"/>
      <c r="S13" s="430"/>
      <c r="T13" s="430"/>
      <c r="U13" s="430"/>
      <c r="V13" s="430"/>
      <c r="W13" s="430"/>
      <c r="X13" s="430"/>
      <c r="Y13" s="430"/>
      <c r="Z13" s="430"/>
      <c r="AA13" s="430"/>
      <c r="AB13" s="430">
        <v>1000</v>
      </c>
      <c r="AC13" s="430"/>
      <c r="AD13" s="430"/>
      <c r="AE13" s="430"/>
      <c r="AF13" s="430"/>
      <c r="AG13" s="430"/>
      <c r="AH13" s="430"/>
      <c r="AI13" s="430"/>
      <c r="AJ13" s="430"/>
      <c r="AK13" s="430"/>
      <c r="AL13" s="430"/>
      <c r="AM13" s="430"/>
      <c r="AN13" s="430"/>
      <c r="AO13" s="430"/>
      <c r="AP13" s="430"/>
      <c r="AQ13" s="430"/>
      <c r="AR13" s="430"/>
      <c r="AS13" s="430"/>
      <c r="AT13" s="430"/>
      <c r="AU13" s="430"/>
      <c r="AV13" s="432" t="s">
        <v>11385</v>
      </c>
    </row>
    <row r="14" s="397" customFormat="1" ht="18" customHeight="1" spans="1:48">
      <c r="A14" s="426">
        <v>45736</v>
      </c>
      <c r="B14" s="427" t="s">
        <v>11388</v>
      </c>
      <c r="C14" s="428" t="s">
        <v>11183</v>
      </c>
      <c r="D14" s="428" t="s">
        <v>6084</v>
      </c>
      <c r="E14" s="428">
        <v>100000</v>
      </c>
      <c r="F14" s="429" t="s">
        <v>11146</v>
      </c>
      <c r="G14" s="428" t="s">
        <v>11147</v>
      </c>
      <c r="H14" s="429" t="s">
        <v>11148</v>
      </c>
      <c r="I14" s="430">
        <v>100000</v>
      </c>
      <c r="J14" s="430"/>
      <c r="K14" s="430"/>
      <c r="L14" s="430"/>
      <c r="M14" s="430"/>
      <c r="N14" s="430"/>
      <c r="O14" s="430"/>
      <c r="P14" s="430"/>
      <c r="Q14" s="430"/>
      <c r="R14" s="430"/>
      <c r="S14" s="430"/>
      <c r="T14" s="430"/>
      <c r="U14" s="430"/>
      <c r="V14" s="430"/>
      <c r="W14" s="430"/>
      <c r="X14" s="430"/>
      <c r="Y14" s="430"/>
      <c r="Z14" s="430"/>
      <c r="AA14" s="430"/>
      <c r="AB14" s="430"/>
      <c r="AC14" s="430"/>
      <c r="AD14" s="430"/>
      <c r="AE14" s="430"/>
      <c r="AF14" s="430"/>
      <c r="AG14" s="430"/>
      <c r="AH14" s="430"/>
      <c r="AI14" s="430"/>
      <c r="AJ14" s="430"/>
      <c r="AK14" s="430"/>
      <c r="AL14" s="430"/>
      <c r="AM14" s="430"/>
      <c r="AN14" s="430"/>
      <c r="AO14" s="430"/>
      <c r="AP14" s="430"/>
      <c r="AQ14" s="430"/>
      <c r="AR14" s="430"/>
      <c r="AS14" s="430"/>
      <c r="AT14" s="430"/>
      <c r="AU14" s="430"/>
      <c r="AV14" s="432" t="s">
        <v>11370</v>
      </c>
    </row>
    <row r="15" s="397" customFormat="1" ht="18" customHeight="1" spans="1:48">
      <c r="A15" s="426">
        <v>45736</v>
      </c>
      <c r="B15" s="427" t="s">
        <v>11389</v>
      </c>
      <c r="C15" s="428" t="s">
        <v>11183</v>
      </c>
      <c r="D15" s="428" t="s">
        <v>6084</v>
      </c>
      <c r="E15" s="428">
        <v>30000</v>
      </c>
      <c r="F15" s="429" t="s">
        <v>11372</v>
      </c>
      <c r="G15" s="428" t="s">
        <v>11373</v>
      </c>
      <c r="H15" s="429" t="s">
        <v>11148</v>
      </c>
      <c r="I15" s="430"/>
      <c r="J15" s="430">
        <v>30000</v>
      </c>
      <c r="K15" s="430"/>
      <c r="L15" s="430"/>
      <c r="M15" s="430"/>
      <c r="N15" s="430"/>
      <c r="O15" s="430"/>
      <c r="P15" s="430"/>
      <c r="Q15" s="430"/>
      <c r="R15" s="430"/>
      <c r="S15" s="430"/>
      <c r="T15" s="430"/>
      <c r="U15" s="430"/>
      <c r="V15" s="430"/>
      <c r="W15" s="430"/>
      <c r="X15" s="430"/>
      <c r="Y15" s="430"/>
      <c r="Z15" s="430"/>
      <c r="AA15" s="430"/>
      <c r="AB15" s="430"/>
      <c r="AC15" s="430"/>
      <c r="AD15" s="430"/>
      <c r="AE15" s="430"/>
      <c r="AF15" s="430"/>
      <c r="AG15" s="430"/>
      <c r="AH15" s="430"/>
      <c r="AI15" s="430"/>
      <c r="AJ15" s="430"/>
      <c r="AK15" s="430"/>
      <c r="AL15" s="430"/>
      <c r="AM15" s="430"/>
      <c r="AN15" s="430"/>
      <c r="AO15" s="430"/>
      <c r="AP15" s="430"/>
      <c r="AQ15" s="430"/>
      <c r="AR15" s="430"/>
      <c r="AS15" s="430"/>
      <c r="AT15" s="430"/>
      <c r="AU15" s="430"/>
      <c r="AV15" s="432" t="s">
        <v>11370</v>
      </c>
    </row>
    <row r="16" s="397" customFormat="1" ht="18" customHeight="1" spans="1:48">
      <c r="A16" s="426">
        <v>45736</v>
      </c>
      <c r="B16" s="427" t="s">
        <v>11390</v>
      </c>
      <c r="C16" s="428" t="s">
        <v>11183</v>
      </c>
      <c r="D16" s="428" t="s">
        <v>6084</v>
      </c>
      <c r="E16" s="428">
        <v>200000</v>
      </c>
      <c r="F16" s="429" t="s">
        <v>11391</v>
      </c>
      <c r="G16" s="428" t="s">
        <v>11373</v>
      </c>
      <c r="H16" s="429" t="s">
        <v>11148</v>
      </c>
      <c r="I16" s="430"/>
      <c r="J16" s="430"/>
      <c r="K16" s="430"/>
      <c r="L16" s="430"/>
      <c r="M16" s="430"/>
      <c r="N16" s="430">
        <v>200000</v>
      </c>
      <c r="O16" s="430"/>
      <c r="P16" s="430"/>
      <c r="Q16" s="430"/>
      <c r="R16" s="430"/>
      <c r="S16" s="430"/>
      <c r="T16" s="430"/>
      <c r="U16" s="430"/>
      <c r="V16" s="430"/>
      <c r="W16" s="430"/>
      <c r="X16" s="430"/>
      <c r="Y16" s="430"/>
      <c r="Z16" s="430"/>
      <c r="AA16" s="430"/>
      <c r="AB16" s="430"/>
      <c r="AC16" s="430"/>
      <c r="AD16" s="430"/>
      <c r="AE16" s="430"/>
      <c r="AF16" s="430"/>
      <c r="AG16" s="430"/>
      <c r="AH16" s="430"/>
      <c r="AI16" s="430"/>
      <c r="AJ16" s="430"/>
      <c r="AK16" s="430"/>
      <c r="AL16" s="430"/>
      <c r="AM16" s="430"/>
      <c r="AN16" s="430"/>
      <c r="AO16" s="430"/>
      <c r="AP16" s="430"/>
      <c r="AQ16" s="430"/>
      <c r="AR16" s="430"/>
      <c r="AS16" s="430"/>
      <c r="AT16" s="430"/>
      <c r="AU16" s="430"/>
      <c r="AV16" s="432" t="s">
        <v>11376</v>
      </c>
    </row>
    <row r="17" s="397" customFormat="1" ht="18" customHeight="1" spans="1:48">
      <c r="A17" s="426">
        <v>45736</v>
      </c>
      <c r="B17" s="427" t="s">
        <v>11392</v>
      </c>
      <c r="C17" s="428" t="s">
        <v>11183</v>
      </c>
      <c r="D17" s="428" t="s">
        <v>11378</v>
      </c>
      <c r="E17" s="428">
        <v>2000</v>
      </c>
      <c r="F17" s="429" t="s">
        <v>11379</v>
      </c>
      <c r="G17" s="428" t="s">
        <v>11147</v>
      </c>
      <c r="H17" s="429" t="s">
        <v>11148</v>
      </c>
      <c r="I17" s="430"/>
      <c r="J17" s="430"/>
      <c r="K17" s="430"/>
      <c r="L17" s="430"/>
      <c r="M17" s="430"/>
      <c r="N17" s="430"/>
      <c r="O17" s="430"/>
      <c r="P17" s="430"/>
      <c r="Q17" s="430"/>
      <c r="R17" s="430"/>
      <c r="S17" s="430"/>
      <c r="T17" s="430"/>
      <c r="U17" s="430"/>
      <c r="V17" s="430"/>
      <c r="W17" s="430"/>
      <c r="X17" s="430"/>
      <c r="Y17" s="430"/>
      <c r="Z17" s="430">
        <v>2000</v>
      </c>
      <c r="AA17" s="430"/>
      <c r="AB17" s="430"/>
      <c r="AC17" s="430"/>
      <c r="AD17" s="430"/>
      <c r="AE17" s="430"/>
      <c r="AF17" s="430"/>
      <c r="AG17" s="430"/>
      <c r="AH17" s="430"/>
      <c r="AI17" s="430"/>
      <c r="AJ17" s="430"/>
      <c r="AK17" s="430"/>
      <c r="AL17" s="430"/>
      <c r="AM17" s="430"/>
      <c r="AN17" s="430"/>
      <c r="AO17" s="430"/>
      <c r="AP17" s="430"/>
      <c r="AQ17" s="430"/>
      <c r="AR17" s="430"/>
      <c r="AS17" s="430"/>
      <c r="AT17" s="430"/>
      <c r="AU17" s="430"/>
      <c r="AV17" s="432" t="s">
        <v>11376</v>
      </c>
    </row>
    <row r="18" s="397" customFormat="1" ht="18" customHeight="1" spans="1:48">
      <c r="A18" s="426">
        <v>45736</v>
      </c>
      <c r="B18" s="427" t="s">
        <v>11393</v>
      </c>
      <c r="C18" s="428" t="s">
        <v>11183</v>
      </c>
      <c r="D18" s="428" t="s">
        <v>11378</v>
      </c>
      <c r="E18" s="428">
        <v>800</v>
      </c>
      <c r="F18" s="429" t="s">
        <v>11381</v>
      </c>
      <c r="G18" s="428" t="s">
        <v>11373</v>
      </c>
      <c r="H18" s="429" t="s">
        <v>11148</v>
      </c>
      <c r="I18" s="430"/>
      <c r="J18" s="430"/>
      <c r="K18" s="430"/>
      <c r="L18" s="430"/>
      <c r="M18" s="430"/>
      <c r="N18" s="430"/>
      <c r="O18" s="430"/>
      <c r="P18" s="430"/>
      <c r="Q18" s="430"/>
      <c r="R18" s="430"/>
      <c r="S18" s="430"/>
      <c r="T18" s="430"/>
      <c r="U18" s="430"/>
      <c r="V18" s="430"/>
      <c r="W18" s="430"/>
      <c r="X18" s="430"/>
      <c r="Y18" s="430"/>
      <c r="Z18" s="430"/>
      <c r="AA18" s="430">
        <v>800</v>
      </c>
      <c r="AB18" s="430"/>
      <c r="AC18" s="430"/>
      <c r="AD18" s="430"/>
      <c r="AE18" s="430"/>
      <c r="AF18" s="430"/>
      <c r="AG18" s="430"/>
      <c r="AH18" s="430"/>
      <c r="AI18" s="430"/>
      <c r="AJ18" s="430"/>
      <c r="AK18" s="430"/>
      <c r="AL18" s="430"/>
      <c r="AM18" s="430"/>
      <c r="AN18" s="430"/>
      <c r="AO18" s="430"/>
      <c r="AP18" s="430"/>
      <c r="AQ18" s="430"/>
      <c r="AR18" s="430"/>
      <c r="AS18" s="430"/>
      <c r="AT18" s="430"/>
      <c r="AU18" s="430"/>
      <c r="AV18" s="432" t="s">
        <v>11376</v>
      </c>
    </row>
    <row r="19" s="397" customFormat="1" ht="18" customHeight="1" spans="1:48">
      <c r="A19" s="426">
        <v>45736</v>
      </c>
      <c r="B19" s="427" t="s">
        <v>11394</v>
      </c>
      <c r="C19" s="428" t="s">
        <v>11183</v>
      </c>
      <c r="D19" s="428" t="s">
        <v>6166</v>
      </c>
      <c r="E19" s="428">
        <v>1241</v>
      </c>
      <c r="F19" s="429" t="s">
        <v>11395</v>
      </c>
      <c r="G19" s="428" t="s">
        <v>11373</v>
      </c>
      <c r="H19" s="429" t="s">
        <v>11148</v>
      </c>
      <c r="I19" s="430"/>
      <c r="J19" s="430"/>
      <c r="K19" s="430"/>
      <c r="L19" s="430"/>
      <c r="M19" s="430"/>
      <c r="N19" s="430"/>
      <c r="O19" s="430"/>
      <c r="P19" s="430"/>
      <c r="Q19" s="430"/>
      <c r="R19" s="430"/>
      <c r="S19" s="430"/>
      <c r="T19" s="430"/>
      <c r="U19" s="430"/>
      <c r="V19" s="430"/>
      <c r="W19" s="430"/>
      <c r="X19" s="430">
        <v>1241</v>
      </c>
      <c r="Y19" s="430"/>
      <c r="Z19" s="430"/>
      <c r="AA19" s="430"/>
      <c r="AB19" s="430"/>
      <c r="AC19" s="430"/>
      <c r="AD19" s="430"/>
      <c r="AE19" s="430"/>
      <c r="AF19" s="430"/>
      <c r="AG19" s="430"/>
      <c r="AH19" s="430"/>
      <c r="AI19" s="430"/>
      <c r="AJ19" s="430"/>
      <c r="AK19" s="430"/>
      <c r="AL19" s="430"/>
      <c r="AM19" s="430"/>
      <c r="AN19" s="430"/>
      <c r="AO19" s="430"/>
      <c r="AP19" s="430"/>
      <c r="AQ19" s="430"/>
      <c r="AR19" s="430"/>
      <c r="AS19" s="430"/>
      <c r="AT19" s="430"/>
      <c r="AU19" s="430"/>
      <c r="AV19" s="432" t="s">
        <v>11376</v>
      </c>
    </row>
    <row r="20" s="397" customFormat="1" ht="18" customHeight="1" spans="1:48">
      <c r="A20" s="426">
        <v>45736</v>
      </c>
      <c r="B20" s="427" t="s">
        <v>11396</v>
      </c>
      <c r="C20" s="428" t="s">
        <v>11183</v>
      </c>
      <c r="D20" s="428" t="s">
        <v>6047</v>
      </c>
      <c r="E20" s="428">
        <v>70000</v>
      </c>
      <c r="F20" s="429" t="s">
        <v>11152</v>
      </c>
      <c r="G20" s="428" t="s">
        <v>11153</v>
      </c>
      <c r="H20" s="429" t="s">
        <v>11148</v>
      </c>
      <c r="I20" s="430"/>
      <c r="J20" s="430"/>
      <c r="K20" s="430"/>
      <c r="L20" s="430"/>
      <c r="M20" s="430">
        <v>70000</v>
      </c>
      <c r="N20" s="430"/>
      <c r="O20" s="430"/>
      <c r="P20" s="430"/>
      <c r="Q20" s="430"/>
      <c r="R20" s="430"/>
      <c r="S20" s="430"/>
      <c r="T20" s="430"/>
      <c r="U20" s="430"/>
      <c r="V20" s="430"/>
      <c r="W20" s="430"/>
      <c r="X20" s="430"/>
      <c r="Y20" s="430"/>
      <c r="Z20" s="430"/>
      <c r="AA20" s="430"/>
      <c r="AB20" s="430"/>
      <c r="AC20" s="430"/>
      <c r="AD20" s="430"/>
      <c r="AE20" s="430"/>
      <c r="AF20" s="430"/>
      <c r="AG20" s="430"/>
      <c r="AH20" s="430"/>
      <c r="AI20" s="430"/>
      <c r="AJ20" s="430"/>
      <c r="AK20" s="430"/>
      <c r="AL20" s="430"/>
      <c r="AM20" s="430"/>
      <c r="AN20" s="430"/>
      <c r="AO20" s="430"/>
      <c r="AP20" s="430"/>
      <c r="AQ20" s="430"/>
      <c r="AR20" s="430"/>
      <c r="AS20" s="430"/>
      <c r="AT20" s="430"/>
      <c r="AU20" s="430"/>
      <c r="AV20" s="432" t="s">
        <v>11383</v>
      </c>
    </row>
    <row r="21" s="397" customFormat="1" ht="18" customHeight="1" spans="1:48">
      <c r="A21" s="426">
        <v>45736</v>
      </c>
      <c r="B21" s="427" t="s">
        <v>11397</v>
      </c>
      <c r="C21" s="428" t="s">
        <v>11183</v>
      </c>
      <c r="D21" s="428" t="s">
        <v>6047</v>
      </c>
      <c r="E21" s="428">
        <v>50000</v>
      </c>
      <c r="F21" s="429" t="s">
        <v>11375</v>
      </c>
      <c r="G21" s="428" t="s">
        <v>11157</v>
      </c>
      <c r="H21" s="429" t="s">
        <v>11148</v>
      </c>
      <c r="I21" s="430"/>
      <c r="J21" s="430"/>
      <c r="K21" s="430"/>
      <c r="L21" s="430"/>
      <c r="M21" s="430"/>
      <c r="N21" s="430"/>
      <c r="O21" s="430">
        <v>50000</v>
      </c>
      <c r="P21" s="430"/>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0"/>
      <c r="AN21" s="430"/>
      <c r="AO21" s="430"/>
      <c r="AP21" s="430"/>
      <c r="AQ21" s="430"/>
      <c r="AR21" s="430"/>
      <c r="AS21" s="430"/>
      <c r="AT21" s="430"/>
      <c r="AU21" s="430"/>
      <c r="AV21" s="432" t="s">
        <v>11385</v>
      </c>
    </row>
    <row r="22" s="397" customFormat="1" ht="18" customHeight="1" spans="1:48">
      <c r="A22" s="426">
        <v>45736</v>
      </c>
      <c r="B22" s="427" t="s">
        <v>11398</v>
      </c>
      <c r="C22" s="428" t="s">
        <v>11183</v>
      </c>
      <c r="D22" s="428" t="s">
        <v>6079</v>
      </c>
      <c r="E22" s="428">
        <v>300</v>
      </c>
      <c r="F22" s="429" t="s">
        <v>11399</v>
      </c>
      <c r="G22" s="428" t="s">
        <v>11153</v>
      </c>
      <c r="H22" s="429" t="s">
        <v>11148</v>
      </c>
      <c r="I22" s="430"/>
      <c r="J22" s="430"/>
      <c r="K22" s="430"/>
      <c r="L22" s="430"/>
      <c r="M22" s="430"/>
      <c r="N22" s="430"/>
      <c r="O22" s="430"/>
      <c r="P22" s="430"/>
      <c r="Q22" s="430"/>
      <c r="R22" s="430"/>
      <c r="S22" s="430"/>
      <c r="T22" s="430"/>
      <c r="U22" s="430"/>
      <c r="V22" s="430"/>
      <c r="W22" s="430"/>
      <c r="X22" s="430"/>
      <c r="Y22" s="430"/>
      <c r="Z22" s="430"/>
      <c r="AA22" s="430"/>
      <c r="AB22" s="430"/>
      <c r="AC22" s="430"/>
      <c r="AD22" s="430"/>
      <c r="AE22" s="430"/>
      <c r="AF22" s="430"/>
      <c r="AG22" s="430"/>
      <c r="AH22" s="430"/>
      <c r="AI22" s="430"/>
      <c r="AJ22" s="430"/>
      <c r="AK22" s="430"/>
      <c r="AL22" s="430"/>
      <c r="AM22" s="430"/>
      <c r="AN22" s="430"/>
      <c r="AO22" s="430">
        <v>300</v>
      </c>
      <c r="AP22" s="430"/>
      <c r="AQ22" s="430"/>
      <c r="AR22" s="430"/>
      <c r="AS22" s="430"/>
      <c r="AT22" s="430"/>
      <c r="AU22" s="430"/>
      <c r="AV22" s="432" t="s">
        <v>11385</v>
      </c>
    </row>
    <row r="23" s="397" customFormat="1" ht="18" customHeight="1" spans="1:48">
      <c r="A23" s="426">
        <v>45736</v>
      </c>
      <c r="B23" s="427" t="s">
        <v>11400</v>
      </c>
      <c r="C23" s="428" t="s">
        <v>11183</v>
      </c>
      <c r="D23" s="428" t="s">
        <v>6047</v>
      </c>
      <c r="E23" s="428">
        <v>2500</v>
      </c>
      <c r="F23" s="429" t="s">
        <v>11387</v>
      </c>
      <c r="G23" s="428" t="s">
        <v>11153</v>
      </c>
      <c r="H23" s="429" t="s">
        <v>11148</v>
      </c>
      <c r="I23" s="430"/>
      <c r="J23" s="430"/>
      <c r="K23" s="430"/>
      <c r="L23" s="430"/>
      <c r="M23" s="430"/>
      <c r="N23" s="430"/>
      <c r="O23" s="430"/>
      <c r="P23" s="430"/>
      <c r="Q23" s="430"/>
      <c r="R23" s="430"/>
      <c r="S23" s="430"/>
      <c r="T23" s="430"/>
      <c r="U23" s="430"/>
      <c r="V23" s="430"/>
      <c r="W23" s="430"/>
      <c r="X23" s="430"/>
      <c r="Y23" s="430"/>
      <c r="Z23" s="430"/>
      <c r="AA23" s="430"/>
      <c r="AB23" s="430">
        <v>2500</v>
      </c>
      <c r="AC23" s="430"/>
      <c r="AD23" s="430"/>
      <c r="AE23" s="430"/>
      <c r="AF23" s="430"/>
      <c r="AG23" s="430"/>
      <c r="AH23" s="430"/>
      <c r="AI23" s="430"/>
      <c r="AJ23" s="430"/>
      <c r="AK23" s="430"/>
      <c r="AL23" s="430"/>
      <c r="AM23" s="430"/>
      <c r="AN23" s="430"/>
      <c r="AO23" s="430"/>
      <c r="AP23" s="430"/>
      <c r="AQ23" s="430"/>
      <c r="AR23" s="430"/>
      <c r="AS23" s="430"/>
      <c r="AT23" s="430"/>
      <c r="AU23" s="430"/>
      <c r="AV23" s="432" t="s">
        <v>11385</v>
      </c>
    </row>
    <row r="24" s="397" customFormat="1" ht="18" customHeight="1" spans="1:48">
      <c r="A24" s="426">
        <v>45736</v>
      </c>
      <c r="B24" s="427" t="s">
        <v>11401</v>
      </c>
      <c r="C24" s="428" t="s">
        <v>11183</v>
      </c>
      <c r="D24" s="428" t="s">
        <v>6093</v>
      </c>
      <c r="E24" s="428">
        <v>2500</v>
      </c>
      <c r="F24" s="429" t="s">
        <v>11402</v>
      </c>
      <c r="G24" s="428" t="s">
        <v>11153</v>
      </c>
      <c r="H24" s="429" t="s">
        <v>11148</v>
      </c>
      <c r="I24" s="430"/>
      <c r="J24" s="430"/>
      <c r="K24" s="430"/>
      <c r="L24" s="430"/>
      <c r="M24" s="430"/>
      <c r="N24" s="430"/>
      <c r="O24" s="430"/>
      <c r="P24" s="430"/>
      <c r="Q24" s="430"/>
      <c r="R24" s="430"/>
      <c r="S24" s="430"/>
      <c r="T24" s="430"/>
      <c r="U24" s="430"/>
      <c r="V24" s="430"/>
      <c r="W24" s="430"/>
      <c r="X24" s="430"/>
      <c r="Y24" s="430">
        <v>2500</v>
      </c>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2" t="s">
        <v>11385</v>
      </c>
    </row>
    <row r="25" s="397" customFormat="1" ht="18" customHeight="1" spans="1:48">
      <c r="A25" s="426">
        <v>45722</v>
      </c>
      <c r="B25" s="427" t="s">
        <v>11403</v>
      </c>
      <c r="C25" s="428" t="s">
        <v>11170</v>
      </c>
      <c r="D25" s="428">
        <v>77731</v>
      </c>
      <c r="E25" s="428">
        <v>9348</v>
      </c>
      <c r="F25" s="429" t="s">
        <v>11404</v>
      </c>
      <c r="G25" s="428"/>
      <c r="H25" s="429" t="s">
        <v>73</v>
      </c>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v>9348</v>
      </c>
      <c r="AT25" s="430"/>
      <c r="AU25" s="430"/>
      <c r="AV25" s="432" t="s">
        <v>11405</v>
      </c>
    </row>
    <row r="26" s="397" customFormat="1" ht="18" customHeight="1" spans="1:48">
      <c r="A26" s="426">
        <v>45722</v>
      </c>
      <c r="B26" s="427" t="s">
        <v>11406</v>
      </c>
      <c r="C26" s="428" t="s">
        <v>11170</v>
      </c>
      <c r="D26" s="428">
        <v>77731</v>
      </c>
      <c r="E26" s="428">
        <v>9348</v>
      </c>
      <c r="F26" s="429" t="s">
        <v>11407</v>
      </c>
      <c r="G26" s="428" t="s">
        <v>11153</v>
      </c>
      <c r="H26" s="429" t="s">
        <v>73</v>
      </c>
      <c r="I26" s="430"/>
      <c r="J26" s="430"/>
      <c r="K26" s="430"/>
      <c r="L26" s="430"/>
      <c r="M26" s="430"/>
      <c r="N26" s="430"/>
      <c r="O26" s="430"/>
      <c r="P26" s="430"/>
      <c r="Q26" s="430"/>
      <c r="R26" s="430"/>
      <c r="S26" s="430"/>
      <c r="T26" s="430"/>
      <c r="U26" s="430"/>
      <c r="V26" s="430"/>
      <c r="W26" s="430"/>
      <c r="X26" s="430"/>
      <c r="Y26" s="430"/>
      <c r="Z26" s="430"/>
      <c r="AA26" s="430"/>
      <c r="AB26" s="430"/>
      <c r="AC26" s="430"/>
      <c r="AD26" s="430"/>
      <c r="AE26" s="430"/>
      <c r="AF26" s="430"/>
      <c r="AG26" s="430"/>
      <c r="AH26" s="430"/>
      <c r="AI26" s="430"/>
      <c r="AJ26" s="430"/>
      <c r="AK26" s="430"/>
      <c r="AL26" s="430"/>
      <c r="AM26" s="430"/>
      <c r="AN26" s="430"/>
      <c r="AO26" s="430"/>
      <c r="AP26" s="430"/>
      <c r="AQ26" s="430"/>
      <c r="AR26" s="430"/>
      <c r="AS26" s="430"/>
      <c r="AT26" s="430">
        <v>9348</v>
      </c>
      <c r="AU26" s="430"/>
      <c r="AV26" s="432" t="s">
        <v>11405</v>
      </c>
    </row>
    <row r="27" s="397" customFormat="1" ht="18" customHeight="1" spans="1:48">
      <c r="A27" s="426">
        <v>45722</v>
      </c>
      <c r="B27" s="427" t="s">
        <v>11408</v>
      </c>
      <c r="C27" s="428" t="s">
        <v>11170</v>
      </c>
      <c r="D27" s="428">
        <v>77731</v>
      </c>
      <c r="E27" s="428">
        <v>9348</v>
      </c>
      <c r="F27" s="429" t="s">
        <v>11409</v>
      </c>
      <c r="G27" s="428"/>
      <c r="H27" s="429" t="s">
        <v>73</v>
      </c>
      <c r="I27" s="430"/>
      <c r="J27" s="430"/>
      <c r="K27" s="430"/>
      <c r="L27" s="430"/>
      <c r="M27" s="430"/>
      <c r="N27" s="430"/>
      <c r="O27" s="430"/>
      <c r="P27" s="430"/>
      <c r="Q27" s="430"/>
      <c r="R27" s="430"/>
      <c r="S27" s="430"/>
      <c r="T27" s="430"/>
      <c r="U27" s="430"/>
      <c r="V27" s="430"/>
      <c r="W27" s="430"/>
      <c r="X27" s="430"/>
      <c r="Y27" s="430"/>
      <c r="Z27" s="430"/>
      <c r="AA27" s="430"/>
      <c r="AB27" s="430"/>
      <c r="AC27" s="430"/>
      <c r="AD27" s="430"/>
      <c r="AE27" s="430"/>
      <c r="AF27" s="430"/>
      <c r="AG27" s="430"/>
      <c r="AH27" s="430"/>
      <c r="AI27" s="430"/>
      <c r="AJ27" s="430"/>
      <c r="AK27" s="430"/>
      <c r="AL27" s="430"/>
      <c r="AM27" s="430"/>
      <c r="AN27" s="430"/>
      <c r="AO27" s="430"/>
      <c r="AP27" s="430"/>
      <c r="AQ27" s="430"/>
      <c r="AR27" s="430"/>
      <c r="AS27" s="430"/>
      <c r="AT27" s="430"/>
      <c r="AU27" s="430">
        <v>9348</v>
      </c>
      <c r="AV27" s="432" t="s">
        <v>11405</v>
      </c>
    </row>
    <row r="28" s="397" customFormat="1" ht="18" customHeight="1" spans="1:48">
      <c r="A28" s="426">
        <v>45736</v>
      </c>
      <c r="B28" s="427" t="s">
        <v>11410</v>
      </c>
      <c r="C28" s="428" t="s">
        <v>11248</v>
      </c>
      <c r="D28" s="428">
        <v>77731</v>
      </c>
      <c r="E28" s="428">
        <v>10000</v>
      </c>
      <c r="F28" s="429" t="s">
        <v>11404</v>
      </c>
      <c r="G28" s="428"/>
      <c r="H28" s="429" t="s">
        <v>11148</v>
      </c>
      <c r="I28" s="430"/>
      <c r="J28" s="430"/>
      <c r="K28" s="430"/>
      <c r="L28" s="430"/>
      <c r="M28" s="430"/>
      <c r="N28" s="430"/>
      <c r="O28" s="430"/>
      <c r="P28" s="430"/>
      <c r="Q28" s="430"/>
      <c r="R28" s="430"/>
      <c r="S28" s="430"/>
      <c r="T28" s="430"/>
      <c r="U28" s="430"/>
      <c r="V28" s="430"/>
      <c r="W28" s="430"/>
      <c r="X28" s="430"/>
      <c r="Y28" s="430"/>
      <c r="Z28" s="430"/>
      <c r="AA28" s="430"/>
      <c r="AB28" s="430"/>
      <c r="AC28" s="430"/>
      <c r="AD28" s="430"/>
      <c r="AE28" s="430"/>
      <c r="AF28" s="430"/>
      <c r="AG28" s="430"/>
      <c r="AH28" s="430"/>
      <c r="AI28" s="430"/>
      <c r="AJ28" s="430"/>
      <c r="AK28" s="430"/>
      <c r="AL28" s="430"/>
      <c r="AM28" s="430"/>
      <c r="AN28" s="430"/>
      <c r="AO28" s="430"/>
      <c r="AP28" s="430"/>
      <c r="AQ28" s="430"/>
      <c r="AR28" s="430"/>
      <c r="AS28" s="430">
        <v>10000</v>
      </c>
      <c r="AT28" s="430"/>
      <c r="AU28" s="430"/>
      <c r="AV28" s="432" t="s">
        <v>11411</v>
      </c>
    </row>
    <row r="29" s="397" customFormat="1" ht="18" customHeight="1" spans="1:48">
      <c r="A29" s="426">
        <v>45736</v>
      </c>
      <c r="B29" s="427" t="s">
        <v>11412</v>
      </c>
      <c r="C29" s="428" t="s">
        <v>11248</v>
      </c>
      <c r="D29" s="428">
        <v>77731</v>
      </c>
      <c r="E29" s="428">
        <v>5000</v>
      </c>
      <c r="F29" s="429" t="s">
        <v>11407</v>
      </c>
      <c r="G29" s="428" t="s">
        <v>11153</v>
      </c>
      <c r="H29" s="429" t="s">
        <v>11148</v>
      </c>
      <c r="I29" s="430"/>
      <c r="J29" s="430"/>
      <c r="K29" s="430"/>
      <c r="L29" s="430"/>
      <c r="M29" s="430"/>
      <c r="N29" s="430"/>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v>5000</v>
      </c>
      <c r="AU29" s="430"/>
      <c r="AV29" s="432" t="s">
        <v>11411</v>
      </c>
    </row>
    <row r="30" s="397" customFormat="1" ht="18" customHeight="1" spans="1:48">
      <c r="A30" s="426">
        <v>45736</v>
      </c>
      <c r="B30" s="427" t="s">
        <v>11413</v>
      </c>
      <c r="C30" s="428" t="s">
        <v>11248</v>
      </c>
      <c r="D30" s="428">
        <v>77731</v>
      </c>
      <c r="E30" s="428">
        <v>5000</v>
      </c>
      <c r="F30" s="429" t="s">
        <v>11409</v>
      </c>
      <c r="G30" s="428"/>
      <c r="H30" s="429" t="s">
        <v>11148</v>
      </c>
      <c r="I30" s="430"/>
      <c r="J30" s="430"/>
      <c r="K30" s="430"/>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430"/>
      <c r="AL30" s="430"/>
      <c r="AM30" s="430"/>
      <c r="AN30" s="430"/>
      <c r="AO30" s="430"/>
      <c r="AP30" s="430"/>
      <c r="AQ30" s="430"/>
      <c r="AR30" s="430"/>
      <c r="AS30" s="430"/>
      <c r="AT30" s="430"/>
      <c r="AU30" s="430">
        <v>5000</v>
      </c>
      <c r="AV30" s="432" t="s">
        <v>11411</v>
      </c>
    </row>
    <row r="31" s="397" customFormat="1" ht="18" customHeight="1" spans="1:48">
      <c r="A31" s="426">
        <v>45727</v>
      </c>
      <c r="B31" s="427" t="s">
        <v>11414</v>
      </c>
      <c r="C31" s="428" t="s">
        <v>11415</v>
      </c>
      <c r="D31" s="428" t="s">
        <v>11416</v>
      </c>
      <c r="E31" s="428">
        <v>7664</v>
      </c>
      <c r="F31" s="429" t="s">
        <v>11417</v>
      </c>
      <c r="G31" s="428" t="s">
        <v>11147</v>
      </c>
      <c r="H31" s="429" t="s">
        <v>11148</v>
      </c>
      <c r="I31" s="430"/>
      <c r="J31" s="430"/>
      <c r="K31" s="430"/>
      <c r="L31" s="430"/>
      <c r="M31" s="430"/>
      <c r="N31" s="430"/>
      <c r="O31" s="430"/>
      <c r="P31" s="430"/>
      <c r="Q31" s="430"/>
      <c r="R31" s="430"/>
      <c r="S31" s="430"/>
      <c r="T31" s="430"/>
      <c r="U31" s="430"/>
      <c r="V31" s="430"/>
      <c r="W31" s="430"/>
      <c r="X31" s="430"/>
      <c r="Y31" s="430"/>
      <c r="Z31" s="430"/>
      <c r="AA31" s="430"/>
      <c r="AB31" s="430"/>
      <c r="AC31" s="430">
        <v>7664</v>
      </c>
      <c r="AD31" s="430"/>
      <c r="AE31" s="430"/>
      <c r="AF31" s="430"/>
      <c r="AG31" s="430"/>
      <c r="AH31" s="430"/>
      <c r="AI31" s="430"/>
      <c r="AJ31" s="430"/>
      <c r="AK31" s="430"/>
      <c r="AL31" s="430"/>
      <c r="AM31" s="430"/>
      <c r="AN31" s="430"/>
      <c r="AO31" s="430"/>
      <c r="AP31" s="430"/>
      <c r="AQ31" s="430"/>
      <c r="AR31" s="430"/>
      <c r="AS31" s="430"/>
      <c r="AT31" s="430"/>
      <c r="AU31" s="430"/>
      <c r="AV31" s="432" t="s">
        <v>11418</v>
      </c>
    </row>
    <row r="32" s="397" customFormat="1" ht="18" customHeight="1" spans="1:48">
      <c r="A32" s="426">
        <v>45748</v>
      </c>
      <c r="B32" s="427" t="s">
        <v>11419</v>
      </c>
      <c r="C32" s="428" t="s">
        <v>11415</v>
      </c>
      <c r="D32" s="428" t="s">
        <v>11416</v>
      </c>
      <c r="E32" s="428">
        <v>2690</v>
      </c>
      <c r="F32" s="429" t="s">
        <v>11417</v>
      </c>
      <c r="G32" s="428" t="s">
        <v>11147</v>
      </c>
      <c r="H32" s="429" t="s">
        <v>11148</v>
      </c>
      <c r="I32" s="430"/>
      <c r="J32" s="430"/>
      <c r="K32" s="430"/>
      <c r="L32" s="430"/>
      <c r="M32" s="430"/>
      <c r="N32" s="430"/>
      <c r="O32" s="430"/>
      <c r="P32" s="430"/>
      <c r="Q32" s="430"/>
      <c r="R32" s="430"/>
      <c r="S32" s="430"/>
      <c r="T32" s="430"/>
      <c r="U32" s="430"/>
      <c r="V32" s="430"/>
      <c r="W32" s="430"/>
      <c r="X32" s="430"/>
      <c r="Y32" s="430"/>
      <c r="Z32" s="430"/>
      <c r="AA32" s="430"/>
      <c r="AB32" s="430"/>
      <c r="AC32" s="430">
        <v>2690</v>
      </c>
      <c r="AD32" s="430"/>
      <c r="AE32" s="430"/>
      <c r="AF32" s="430"/>
      <c r="AG32" s="430"/>
      <c r="AH32" s="430"/>
      <c r="AI32" s="430"/>
      <c r="AJ32" s="430"/>
      <c r="AK32" s="430"/>
      <c r="AL32" s="430"/>
      <c r="AM32" s="430"/>
      <c r="AN32" s="430"/>
      <c r="AO32" s="430"/>
      <c r="AP32" s="430"/>
      <c r="AQ32" s="430"/>
      <c r="AR32" s="430"/>
      <c r="AS32" s="430"/>
      <c r="AT32" s="430"/>
      <c r="AU32" s="430"/>
      <c r="AV32" s="432" t="s">
        <v>11420</v>
      </c>
    </row>
    <row r="33" s="397" customFormat="1" ht="18" customHeight="1" spans="1:48">
      <c r="A33" s="426">
        <v>45743</v>
      </c>
      <c r="B33" s="427" t="s">
        <v>11421</v>
      </c>
      <c r="C33" s="428" t="s">
        <v>11248</v>
      </c>
      <c r="D33" s="428">
        <v>77731</v>
      </c>
      <c r="E33" s="428">
        <v>20000</v>
      </c>
      <c r="F33" s="429" t="s">
        <v>11422</v>
      </c>
      <c r="G33" s="428" t="s">
        <v>11147</v>
      </c>
      <c r="H33" s="429" t="s">
        <v>11148</v>
      </c>
      <c r="I33" s="430"/>
      <c r="J33" s="430"/>
      <c r="K33" s="430">
        <v>20000</v>
      </c>
      <c r="L33" s="430"/>
      <c r="M33" s="430"/>
      <c r="N33" s="430"/>
      <c r="O33" s="430"/>
      <c r="P33" s="430"/>
      <c r="Q33" s="430"/>
      <c r="R33" s="430"/>
      <c r="S33" s="430"/>
      <c r="T33" s="430"/>
      <c r="U33" s="430"/>
      <c r="V33" s="430"/>
      <c r="W33" s="430"/>
      <c r="X33" s="430"/>
      <c r="Y33" s="430"/>
      <c r="Z33" s="430"/>
      <c r="AA33" s="430"/>
      <c r="AB33" s="430"/>
      <c r="AC33" s="430"/>
      <c r="AD33" s="430"/>
      <c r="AE33" s="430"/>
      <c r="AF33" s="430"/>
      <c r="AG33" s="430"/>
      <c r="AH33" s="430"/>
      <c r="AI33" s="430"/>
      <c r="AJ33" s="430"/>
      <c r="AK33" s="430"/>
      <c r="AL33" s="430"/>
      <c r="AM33" s="430"/>
      <c r="AN33" s="430"/>
      <c r="AO33" s="430"/>
      <c r="AP33" s="430"/>
      <c r="AQ33" s="430"/>
      <c r="AR33" s="430"/>
      <c r="AS33" s="430"/>
      <c r="AT33" s="430"/>
      <c r="AU33" s="430"/>
      <c r="AV33" s="432" t="s">
        <v>11405</v>
      </c>
    </row>
    <row r="34" s="397" customFormat="1" ht="18" customHeight="1" spans="1:48">
      <c r="A34" s="426">
        <v>45748</v>
      </c>
      <c r="B34" s="427" t="s">
        <v>11423</v>
      </c>
      <c r="C34" s="428" t="s">
        <v>11183</v>
      </c>
      <c r="D34" s="428" t="s">
        <v>6084</v>
      </c>
      <c r="E34" s="428">
        <v>100000</v>
      </c>
      <c r="F34" s="429" t="s">
        <v>11146</v>
      </c>
      <c r="G34" s="428" t="s">
        <v>11147</v>
      </c>
      <c r="H34" s="429" t="s">
        <v>11148</v>
      </c>
      <c r="I34" s="430">
        <v>100000</v>
      </c>
      <c r="J34" s="430"/>
      <c r="K34" s="430"/>
      <c r="L34" s="430"/>
      <c r="M34" s="430"/>
      <c r="N34" s="430"/>
      <c r="O34" s="430"/>
      <c r="P34" s="430"/>
      <c r="Q34" s="430"/>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2" t="s">
        <v>11370</v>
      </c>
    </row>
    <row r="35" s="397" customFormat="1" ht="18" customHeight="1" spans="1:48">
      <c r="A35" s="426">
        <v>45748</v>
      </c>
      <c r="B35" s="427" t="s">
        <v>11424</v>
      </c>
      <c r="C35" s="428" t="s">
        <v>11183</v>
      </c>
      <c r="D35" s="428" t="s">
        <v>6084</v>
      </c>
      <c r="E35" s="428">
        <v>20000</v>
      </c>
      <c r="F35" s="429" t="s">
        <v>11372</v>
      </c>
      <c r="G35" s="428" t="s">
        <v>11373</v>
      </c>
      <c r="H35" s="429" t="s">
        <v>11148</v>
      </c>
      <c r="I35" s="430"/>
      <c r="J35" s="430">
        <v>20000</v>
      </c>
      <c r="K35" s="430"/>
      <c r="L35" s="430"/>
      <c r="M35" s="430"/>
      <c r="N35" s="430"/>
      <c r="O35" s="430"/>
      <c r="P35" s="430"/>
      <c r="Q35" s="430"/>
      <c r="R35" s="430"/>
      <c r="S35" s="430"/>
      <c r="T35" s="430"/>
      <c r="U35" s="430"/>
      <c r="V35" s="430"/>
      <c r="W35" s="430"/>
      <c r="X35" s="430"/>
      <c r="Y35" s="430"/>
      <c r="Z35" s="430"/>
      <c r="AA35" s="430"/>
      <c r="AB35" s="430"/>
      <c r="AC35" s="430"/>
      <c r="AD35" s="430"/>
      <c r="AE35" s="430"/>
      <c r="AF35" s="430"/>
      <c r="AG35" s="430"/>
      <c r="AH35" s="430"/>
      <c r="AI35" s="430"/>
      <c r="AJ35" s="430"/>
      <c r="AK35" s="430"/>
      <c r="AL35" s="430"/>
      <c r="AM35" s="430"/>
      <c r="AN35" s="430"/>
      <c r="AO35" s="430"/>
      <c r="AP35" s="430"/>
      <c r="AQ35" s="430"/>
      <c r="AR35" s="430"/>
      <c r="AS35" s="430"/>
      <c r="AT35" s="430"/>
      <c r="AU35" s="430"/>
      <c r="AV35" s="432" t="s">
        <v>11370</v>
      </c>
    </row>
    <row r="36" s="397" customFormat="1" ht="18" customHeight="1" spans="1:48">
      <c r="A36" s="426">
        <v>45748</v>
      </c>
      <c r="B36" s="427" t="s">
        <v>11425</v>
      </c>
      <c r="C36" s="428" t="s">
        <v>11183</v>
      </c>
      <c r="D36" s="428" t="s">
        <v>6084</v>
      </c>
      <c r="E36" s="428">
        <v>100000</v>
      </c>
      <c r="F36" s="429" t="s">
        <v>11391</v>
      </c>
      <c r="G36" s="428" t="s">
        <v>11373</v>
      </c>
      <c r="H36" s="429" t="s">
        <v>11148</v>
      </c>
      <c r="I36" s="430"/>
      <c r="J36" s="430"/>
      <c r="K36" s="430"/>
      <c r="L36" s="430"/>
      <c r="M36" s="430"/>
      <c r="N36" s="430">
        <v>100000</v>
      </c>
      <c r="O36" s="430"/>
      <c r="P36" s="430"/>
      <c r="Q36" s="430"/>
      <c r="R36" s="430"/>
      <c r="S36" s="430"/>
      <c r="T36" s="430"/>
      <c r="U36" s="430"/>
      <c r="V36" s="430"/>
      <c r="W36" s="430"/>
      <c r="X36" s="430"/>
      <c r="Y36" s="430"/>
      <c r="Z36" s="430"/>
      <c r="AA36" s="430"/>
      <c r="AB36" s="430"/>
      <c r="AC36" s="430"/>
      <c r="AD36" s="430"/>
      <c r="AE36" s="430"/>
      <c r="AF36" s="430"/>
      <c r="AG36" s="430"/>
      <c r="AH36" s="430"/>
      <c r="AI36" s="430"/>
      <c r="AJ36" s="430"/>
      <c r="AK36" s="430"/>
      <c r="AL36" s="430"/>
      <c r="AM36" s="430"/>
      <c r="AN36" s="430"/>
      <c r="AO36" s="430"/>
      <c r="AP36" s="430"/>
      <c r="AQ36" s="430"/>
      <c r="AR36" s="430"/>
      <c r="AS36" s="430"/>
      <c r="AT36" s="430"/>
      <c r="AU36" s="430"/>
      <c r="AV36" s="432"/>
    </row>
    <row r="37" s="397" customFormat="1" ht="18" customHeight="1" spans="1:48">
      <c r="A37" s="426">
        <v>45748</v>
      </c>
      <c r="B37" s="427" t="s">
        <v>11426</v>
      </c>
      <c r="C37" s="428" t="s">
        <v>11183</v>
      </c>
      <c r="D37" s="428" t="s">
        <v>6166</v>
      </c>
      <c r="E37" s="428">
        <v>1000</v>
      </c>
      <c r="F37" s="429" t="s">
        <v>11427</v>
      </c>
      <c r="G37" s="428" t="s">
        <v>11147</v>
      </c>
      <c r="H37" s="429" t="s">
        <v>11148</v>
      </c>
      <c r="I37" s="430"/>
      <c r="J37" s="430"/>
      <c r="K37" s="430"/>
      <c r="L37" s="430"/>
      <c r="M37" s="430"/>
      <c r="N37" s="430"/>
      <c r="O37" s="430"/>
      <c r="P37" s="430"/>
      <c r="Q37" s="430"/>
      <c r="R37" s="430"/>
      <c r="S37" s="430"/>
      <c r="T37" s="430"/>
      <c r="U37" s="430"/>
      <c r="V37" s="430"/>
      <c r="W37" s="430">
        <v>1000</v>
      </c>
      <c r="X37" s="430"/>
      <c r="Y37" s="430"/>
      <c r="Z37" s="430"/>
      <c r="AA37" s="430"/>
      <c r="AB37" s="430"/>
      <c r="AC37" s="430"/>
      <c r="AD37" s="430"/>
      <c r="AE37" s="430"/>
      <c r="AF37" s="430"/>
      <c r="AG37" s="430"/>
      <c r="AH37" s="430"/>
      <c r="AI37" s="430"/>
      <c r="AJ37" s="430"/>
      <c r="AK37" s="430"/>
      <c r="AL37" s="430"/>
      <c r="AM37" s="430"/>
      <c r="AN37" s="430"/>
      <c r="AO37" s="430"/>
      <c r="AP37" s="430"/>
      <c r="AQ37" s="430"/>
      <c r="AR37" s="430"/>
      <c r="AS37" s="430"/>
      <c r="AT37" s="430"/>
      <c r="AU37" s="430"/>
      <c r="AV37" s="432"/>
    </row>
    <row r="38" s="397" customFormat="1" ht="18" customHeight="1" spans="1:48">
      <c r="A38" s="426">
        <v>45748</v>
      </c>
      <c r="B38" s="427" t="s">
        <v>11428</v>
      </c>
      <c r="C38" s="428" t="s">
        <v>11183</v>
      </c>
      <c r="D38" s="428" t="s">
        <v>6047</v>
      </c>
      <c r="E38" s="428">
        <v>80000</v>
      </c>
      <c r="F38" s="429" t="s">
        <v>11152</v>
      </c>
      <c r="G38" s="428" t="s">
        <v>11153</v>
      </c>
      <c r="H38" s="429" t="s">
        <v>11148</v>
      </c>
      <c r="I38" s="430"/>
      <c r="J38" s="430"/>
      <c r="K38" s="430"/>
      <c r="L38" s="430"/>
      <c r="M38" s="430">
        <v>80000</v>
      </c>
      <c r="N38" s="430"/>
      <c r="O38" s="430"/>
      <c r="P38" s="430"/>
      <c r="Q38" s="430"/>
      <c r="R38" s="430"/>
      <c r="S38" s="430"/>
      <c r="T38" s="430"/>
      <c r="U38" s="430"/>
      <c r="V38" s="430"/>
      <c r="W38" s="430"/>
      <c r="X38" s="430"/>
      <c r="Y38" s="430"/>
      <c r="Z38" s="430"/>
      <c r="AA38" s="430"/>
      <c r="AB38" s="430"/>
      <c r="AC38" s="430"/>
      <c r="AD38" s="430"/>
      <c r="AE38" s="430"/>
      <c r="AF38" s="430"/>
      <c r="AG38" s="430"/>
      <c r="AH38" s="430"/>
      <c r="AI38" s="430"/>
      <c r="AJ38" s="430"/>
      <c r="AK38" s="430"/>
      <c r="AL38" s="430"/>
      <c r="AM38" s="430"/>
      <c r="AN38" s="430"/>
      <c r="AO38" s="430"/>
      <c r="AP38" s="430"/>
      <c r="AQ38" s="430"/>
      <c r="AR38" s="430"/>
      <c r="AS38" s="430"/>
      <c r="AT38" s="430"/>
      <c r="AU38" s="430"/>
      <c r="AV38" s="432"/>
    </row>
    <row r="39" s="397" customFormat="1" ht="18" customHeight="1" spans="1:48">
      <c r="A39" s="426">
        <v>45748</v>
      </c>
      <c r="B39" s="427" t="s">
        <v>11429</v>
      </c>
      <c r="C39" s="428" t="s">
        <v>11183</v>
      </c>
      <c r="D39" s="428" t="s">
        <v>6047</v>
      </c>
      <c r="E39" s="428">
        <v>50000</v>
      </c>
      <c r="F39" s="429" t="s">
        <v>11375</v>
      </c>
      <c r="G39" s="428" t="s">
        <v>11157</v>
      </c>
      <c r="H39" s="429" t="s">
        <v>11148</v>
      </c>
      <c r="I39" s="430"/>
      <c r="J39" s="430"/>
      <c r="K39" s="430"/>
      <c r="L39" s="430"/>
      <c r="M39" s="430"/>
      <c r="N39" s="430"/>
      <c r="O39" s="430">
        <v>50000</v>
      </c>
      <c r="P39" s="430"/>
      <c r="Q39" s="430"/>
      <c r="R39" s="430"/>
      <c r="S39" s="430"/>
      <c r="T39" s="430"/>
      <c r="U39" s="430"/>
      <c r="V39" s="430"/>
      <c r="W39" s="430"/>
      <c r="X39" s="430"/>
      <c r="Y39" s="430"/>
      <c r="Z39" s="430"/>
      <c r="AA39" s="430"/>
      <c r="AB39" s="430"/>
      <c r="AC39" s="430"/>
      <c r="AD39" s="430"/>
      <c r="AE39" s="430"/>
      <c r="AF39" s="430"/>
      <c r="AG39" s="430"/>
      <c r="AH39" s="430"/>
      <c r="AI39" s="430"/>
      <c r="AJ39" s="430"/>
      <c r="AK39" s="430"/>
      <c r="AL39" s="430"/>
      <c r="AM39" s="430"/>
      <c r="AN39" s="430"/>
      <c r="AO39" s="430"/>
      <c r="AP39" s="430"/>
      <c r="AQ39" s="430"/>
      <c r="AR39" s="430"/>
      <c r="AS39" s="430"/>
      <c r="AT39" s="430"/>
      <c r="AU39" s="430"/>
      <c r="AV39" s="432"/>
    </row>
    <row r="40" s="397" customFormat="1" ht="18" customHeight="1" spans="1:48">
      <c r="A40" s="426">
        <v>45748</v>
      </c>
      <c r="B40" s="427" t="s">
        <v>11430</v>
      </c>
      <c r="C40" s="428" t="s">
        <v>11183</v>
      </c>
      <c r="D40" s="428" t="s">
        <v>6223</v>
      </c>
      <c r="E40" s="428">
        <v>300</v>
      </c>
      <c r="F40" s="429" t="s">
        <v>11431</v>
      </c>
      <c r="G40" s="428" t="s">
        <v>11153</v>
      </c>
      <c r="H40" s="429" t="s">
        <v>11148</v>
      </c>
      <c r="I40" s="430"/>
      <c r="J40" s="430"/>
      <c r="K40" s="430"/>
      <c r="L40" s="430"/>
      <c r="M40" s="430"/>
      <c r="N40" s="430"/>
      <c r="O40" s="430"/>
      <c r="P40" s="430"/>
      <c r="Q40" s="430"/>
      <c r="R40" s="430"/>
      <c r="S40" s="430"/>
      <c r="T40" s="430"/>
      <c r="U40" s="430"/>
      <c r="V40" s="430"/>
      <c r="W40" s="430"/>
      <c r="X40" s="430"/>
      <c r="Y40" s="430"/>
      <c r="Z40" s="430"/>
      <c r="AA40" s="430"/>
      <c r="AB40" s="430"/>
      <c r="AC40" s="430"/>
      <c r="AD40" s="430"/>
      <c r="AE40" s="430"/>
      <c r="AF40" s="430"/>
      <c r="AG40" s="430"/>
      <c r="AH40" s="430"/>
      <c r="AI40" s="430"/>
      <c r="AJ40" s="430"/>
      <c r="AK40" s="430"/>
      <c r="AL40" s="430"/>
      <c r="AM40" s="430"/>
      <c r="AN40" s="430"/>
      <c r="AO40" s="430"/>
      <c r="AP40" s="430"/>
      <c r="AQ40" s="430">
        <v>300</v>
      </c>
      <c r="AR40" s="430"/>
      <c r="AS40" s="430"/>
      <c r="AT40" s="430"/>
      <c r="AU40" s="430"/>
      <c r="AV40" s="432"/>
    </row>
    <row r="41" s="397" customFormat="1" ht="18" customHeight="1" spans="1:48">
      <c r="A41" s="426">
        <v>45748</v>
      </c>
      <c r="B41" s="427" t="s">
        <v>11432</v>
      </c>
      <c r="C41" s="428" t="s">
        <v>11183</v>
      </c>
      <c r="D41" s="428" t="s">
        <v>6093</v>
      </c>
      <c r="E41" s="428">
        <v>1000</v>
      </c>
      <c r="F41" s="429" t="s">
        <v>11402</v>
      </c>
      <c r="G41" s="428" t="s">
        <v>11153</v>
      </c>
      <c r="H41" s="429" t="s">
        <v>11148</v>
      </c>
      <c r="I41" s="430"/>
      <c r="J41" s="430"/>
      <c r="K41" s="430"/>
      <c r="L41" s="430"/>
      <c r="M41" s="430"/>
      <c r="N41" s="430"/>
      <c r="O41" s="430"/>
      <c r="P41" s="430"/>
      <c r="Q41" s="430"/>
      <c r="R41" s="430"/>
      <c r="S41" s="430"/>
      <c r="T41" s="430"/>
      <c r="U41" s="430"/>
      <c r="V41" s="430"/>
      <c r="W41" s="430"/>
      <c r="X41" s="430"/>
      <c r="Y41" s="430">
        <v>1000</v>
      </c>
      <c r="Z41" s="430"/>
      <c r="AA41" s="430"/>
      <c r="AB41" s="430"/>
      <c r="AC41" s="430"/>
      <c r="AD41" s="430"/>
      <c r="AE41" s="430"/>
      <c r="AF41" s="430"/>
      <c r="AG41" s="430"/>
      <c r="AH41" s="430"/>
      <c r="AI41" s="430"/>
      <c r="AJ41" s="430"/>
      <c r="AK41" s="430"/>
      <c r="AL41" s="430"/>
      <c r="AM41" s="430"/>
      <c r="AN41" s="430"/>
      <c r="AO41" s="430"/>
      <c r="AP41" s="430"/>
      <c r="AQ41" s="430"/>
      <c r="AR41" s="430"/>
      <c r="AS41" s="430"/>
      <c r="AT41" s="430"/>
      <c r="AU41" s="430"/>
      <c r="AV41" s="432"/>
    </row>
    <row r="42" s="397" customFormat="1" ht="18" customHeight="1" spans="1:48">
      <c r="A42" s="426">
        <v>45758</v>
      </c>
      <c r="B42" s="427" t="s">
        <v>11433</v>
      </c>
      <c r="C42" s="428" t="s">
        <v>11245</v>
      </c>
      <c r="D42" s="428" t="s">
        <v>11434</v>
      </c>
      <c r="E42" s="428">
        <v>33320</v>
      </c>
      <c r="F42" s="429" t="s">
        <v>11172</v>
      </c>
      <c r="G42" s="428" t="s">
        <v>11435</v>
      </c>
      <c r="H42" s="429"/>
      <c r="I42" s="430"/>
      <c r="J42" s="430"/>
      <c r="K42" s="430"/>
      <c r="L42" s="430"/>
      <c r="M42" s="430"/>
      <c r="N42" s="430"/>
      <c r="O42" s="430"/>
      <c r="P42" s="430"/>
      <c r="Q42" s="430"/>
      <c r="R42" s="430"/>
      <c r="S42" s="430"/>
      <c r="T42" s="430"/>
      <c r="U42" s="430"/>
      <c r="V42" s="430"/>
      <c r="W42" s="430"/>
      <c r="X42" s="430"/>
      <c r="Y42" s="430"/>
      <c r="Z42" s="430"/>
      <c r="AA42" s="430"/>
      <c r="AB42" s="430"/>
      <c r="AC42" s="430"/>
      <c r="AD42" s="430"/>
      <c r="AE42" s="430"/>
      <c r="AF42" s="430"/>
      <c r="AG42" s="430">
        <v>33320</v>
      </c>
      <c r="AH42" s="430"/>
      <c r="AI42" s="430"/>
      <c r="AJ42" s="430"/>
      <c r="AK42" s="430"/>
      <c r="AL42" s="430"/>
      <c r="AM42" s="430"/>
      <c r="AN42" s="430"/>
      <c r="AO42" s="430"/>
      <c r="AP42" s="430"/>
      <c r="AQ42" s="430"/>
      <c r="AR42" s="430"/>
      <c r="AS42" s="430"/>
      <c r="AT42" s="430"/>
      <c r="AU42" s="430"/>
      <c r="AV42" s="432" t="s">
        <v>11436</v>
      </c>
    </row>
    <row r="43" s="397" customFormat="1" ht="18" customHeight="1" spans="1:48">
      <c r="A43" s="426">
        <v>45758</v>
      </c>
      <c r="B43" s="427" t="s">
        <v>11437</v>
      </c>
      <c r="C43" s="428" t="s">
        <v>11245</v>
      </c>
      <c r="D43" s="428" t="s">
        <v>11434</v>
      </c>
      <c r="E43" s="428">
        <v>33320</v>
      </c>
      <c r="F43" s="429" t="s">
        <v>11237</v>
      </c>
      <c r="G43" s="428" t="s">
        <v>11435</v>
      </c>
      <c r="H43" s="429"/>
      <c r="I43" s="430"/>
      <c r="J43" s="430"/>
      <c r="K43" s="430"/>
      <c r="L43" s="430"/>
      <c r="M43" s="430"/>
      <c r="N43" s="430"/>
      <c r="O43" s="430"/>
      <c r="P43" s="430"/>
      <c r="Q43" s="430"/>
      <c r="R43" s="430"/>
      <c r="S43" s="430"/>
      <c r="T43" s="430"/>
      <c r="U43" s="430"/>
      <c r="V43" s="430"/>
      <c r="W43" s="430"/>
      <c r="X43" s="430"/>
      <c r="Y43" s="430"/>
      <c r="Z43" s="430"/>
      <c r="AA43" s="430"/>
      <c r="AB43" s="430"/>
      <c r="AC43" s="430"/>
      <c r="AD43" s="430"/>
      <c r="AE43" s="430"/>
      <c r="AF43" s="430"/>
      <c r="AG43" s="430"/>
      <c r="AH43" s="430">
        <v>33320</v>
      </c>
      <c r="AI43" s="430"/>
      <c r="AJ43" s="430"/>
      <c r="AK43" s="430"/>
      <c r="AL43" s="430"/>
      <c r="AM43" s="430"/>
      <c r="AN43" s="430"/>
      <c r="AO43" s="430"/>
      <c r="AP43" s="430"/>
      <c r="AQ43" s="430"/>
      <c r="AR43" s="430"/>
      <c r="AS43" s="430"/>
      <c r="AT43" s="430"/>
      <c r="AU43" s="430"/>
      <c r="AV43" s="432" t="s">
        <v>11436</v>
      </c>
    </row>
    <row r="44" s="397" customFormat="1" ht="18" customHeight="1" spans="1:48">
      <c r="A44" s="426">
        <v>45758</v>
      </c>
      <c r="B44" s="427" t="s">
        <v>11438</v>
      </c>
      <c r="C44" s="428" t="s">
        <v>11245</v>
      </c>
      <c r="D44" s="428" t="s">
        <v>11434</v>
      </c>
      <c r="E44" s="428">
        <v>1798</v>
      </c>
      <c r="F44" s="429" t="s">
        <v>11417</v>
      </c>
      <c r="G44" s="428" t="s">
        <v>11435</v>
      </c>
      <c r="H44" s="429"/>
      <c r="I44" s="430"/>
      <c r="J44" s="430"/>
      <c r="K44" s="430"/>
      <c r="L44" s="430"/>
      <c r="M44" s="430"/>
      <c r="N44" s="430"/>
      <c r="O44" s="430"/>
      <c r="P44" s="430"/>
      <c r="Q44" s="430"/>
      <c r="R44" s="430"/>
      <c r="S44" s="430"/>
      <c r="T44" s="430"/>
      <c r="U44" s="430"/>
      <c r="V44" s="430"/>
      <c r="W44" s="430"/>
      <c r="X44" s="430"/>
      <c r="Y44" s="430"/>
      <c r="Z44" s="430"/>
      <c r="AA44" s="430"/>
      <c r="AB44" s="430"/>
      <c r="AC44" s="430"/>
      <c r="AD44" s="430"/>
      <c r="AE44" s="430"/>
      <c r="AF44" s="430"/>
      <c r="AG44" s="430"/>
      <c r="AH44" s="430"/>
      <c r="AI44" s="430">
        <v>1798</v>
      </c>
      <c r="AJ44" s="430"/>
      <c r="AK44" s="430"/>
      <c r="AL44" s="430"/>
      <c r="AM44" s="430"/>
      <c r="AN44" s="430"/>
      <c r="AO44" s="430"/>
      <c r="AP44" s="430"/>
      <c r="AQ44" s="430"/>
      <c r="AR44" s="430"/>
      <c r="AS44" s="430"/>
      <c r="AT44" s="430"/>
      <c r="AU44" s="430"/>
      <c r="AV44" s="432" t="s">
        <v>11439</v>
      </c>
    </row>
    <row r="45" s="397" customFormat="1" ht="18" customHeight="1" spans="1:48">
      <c r="A45" s="426">
        <v>45770</v>
      </c>
      <c r="B45" s="427" t="s">
        <v>11440</v>
      </c>
      <c r="C45" s="428" t="s">
        <v>11190</v>
      </c>
      <c r="D45" s="428">
        <v>77731</v>
      </c>
      <c r="E45" s="428">
        <v>10000</v>
      </c>
      <c r="F45" s="429" t="s">
        <v>11404</v>
      </c>
      <c r="G45" s="428"/>
      <c r="H45" s="429"/>
      <c r="I45" s="430"/>
      <c r="J45" s="430"/>
      <c r="K45" s="430"/>
      <c r="L45" s="430"/>
      <c r="M45" s="430"/>
      <c r="N45" s="430"/>
      <c r="O45" s="430"/>
      <c r="P45" s="430"/>
      <c r="Q45" s="430"/>
      <c r="R45" s="430"/>
      <c r="S45" s="430"/>
      <c r="T45" s="430"/>
      <c r="U45" s="430"/>
      <c r="V45" s="430"/>
      <c r="W45" s="430"/>
      <c r="X45" s="430"/>
      <c r="Y45" s="430"/>
      <c r="Z45" s="430"/>
      <c r="AA45" s="430"/>
      <c r="AB45" s="430"/>
      <c r="AC45" s="430"/>
      <c r="AD45" s="430"/>
      <c r="AE45" s="430"/>
      <c r="AF45" s="430"/>
      <c r="AG45" s="430"/>
      <c r="AH45" s="430"/>
      <c r="AI45" s="430"/>
      <c r="AJ45" s="430"/>
      <c r="AK45" s="430"/>
      <c r="AL45" s="430"/>
      <c r="AM45" s="430"/>
      <c r="AN45" s="430"/>
      <c r="AO45" s="430"/>
      <c r="AP45" s="430"/>
      <c r="AQ45" s="430"/>
      <c r="AR45" s="430"/>
      <c r="AS45" s="430">
        <v>10000</v>
      </c>
      <c r="AT45" s="430"/>
      <c r="AU45" s="430"/>
      <c r="AV45" s="432" t="s">
        <v>11441</v>
      </c>
    </row>
    <row r="46" s="397" customFormat="1" ht="18" customHeight="1" spans="1:48">
      <c r="A46" s="426">
        <v>45770</v>
      </c>
      <c r="B46" s="427" t="s">
        <v>11442</v>
      </c>
      <c r="C46" s="428" t="s">
        <v>11190</v>
      </c>
      <c r="D46" s="428">
        <v>77731</v>
      </c>
      <c r="E46" s="428">
        <v>5000</v>
      </c>
      <c r="F46" s="429" t="s">
        <v>11407</v>
      </c>
      <c r="G46" s="428" t="s">
        <v>11153</v>
      </c>
      <c r="H46" s="429"/>
      <c r="I46" s="430"/>
      <c r="J46" s="430"/>
      <c r="K46" s="430"/>
      <c r="L46" s="430"/>
      <c r="M46" s="430"/>
      <c r="N46" s="430"/>
      <c r="O46" s="430"/>
      <c r="P46" s="430"/>
      <c r="Q46" s="430"/>
      <c r="R46" s="430"/>
      <c r="S46" s="430"/>
      <c r="T46" s="430"/>
      <c r="U46" s="430"/>
      <c r="V46" s="430"/>
      <c r="W46" s="430"/>
      <c r="X46" s="430"/>
      <c r="Y46" s="430"/>
      <c r="Z46" s="430"/>
      <c r="AA46" s="430"/>
      <c r="AB46" s="430"/>
      <c r="AC46" s="430"/>
      <c r="AD46" s="430"/>
      <c r="AE46" s="430"/>
      <c r="AF46" s="430"/>
      <c r="AG46" s="430"/>
      <c r="AH46" s="430"/>
      <c r="AI46" s="430"/>
      <c r="AJ46" s="430"/>
      <c r="AK46" s="430"/>
      <c r="AL46" s="430"/>
      <c r="AM46" s="430"/>
      <c r="AN46" s="430"/>
      <c r="AO46" s="430"/>
      <c r="AP46" s="430"/>
      <c r="AQ46" s="430"/>
      <c r="AR46" s="430"/>
      <c r="AS46" s="430"/>
      <c r="AT46" s="430">
        <v>5000</v>
      </c>
      <c r="AU46" s="430"/>
      <c r="AV46" s="432" t="s">
        <v>11441</v>
      </c>
    </row>
    <row r="47" s="397" customFormat="1" ht="18" customHeight="1" spans="1:48">
      <c r="A47" s="426">
        <v>45770</v>
      </c>
      <c r="B47" s="427" t="s">
        <v>11443</v>
      </c>
      <c r="C47" s="428" t="s">
        <v>11190</v>
      </c>
      <c r="D47" s="428">
        <v>77731</v>
      </c>
      <c r="E47" s="428">
        <v>5000</v>
      </c>
      <c r="F47" s="429" t="s">
        <v>11409</v>
      </c>
      <c r="G47" s="428"/>
      <c r="H47" s="429"/>
      <c r="I47" s="430"/>
      <c r="J47" s="430"/>
      <c r="K47" s="430"/>
      <c r="L47" s="430"/>
      <c r="M47" s="430"/>
      <c r="N47" s="430"/>
      <c r="O47" s="430"/>
      <c r="P47" s="430"/>
      <c r="Q47" s="430"/>
      <c r="R47" s="430"/>
      <c r="S47" s="430"/>
      <c r="T47" s="430"/>
      <c r="U47" s="430"/>
      <c r="V47" s="430"/>
      <c r="W47" s="430"/>
      <c r="X47" s="430"/>
      <c r="Y47" s="430"/>
      <c r="Z47" s="430"/>
      <c r="AA47" s="430"/>
      <c r="AB47" s="430"/>
      <c r="AC47" s="430"/>
      <c r="AD47" s="430"/>
      <c r="AE47" s="430"/>
      <c r="AF47" s="430"/>
      <c r="AG47" s="430"/>
      <c r="AH47" s="430"/>
      <c r="AI47" s="430"/>
      <c r="AJ47" s="430"/>
      <c r="AK47" s="430"/>
      <c r="AL47" s="430"/>
      <c r="AM47" s="430"/>
      <c r="AN47" s="430"/>
      <c r="AO47" s="430"/>
      <c r="AP47" s="430"/>
      <c r="AQ47" s="430"/>
      <c r="AR47" s="430"/>
      <c r="AS47" s="430"/>
      <c r="AT47" s="430"/>
      <c r="AU47" s="430">
        <v>5000</v>
      </c>
      <c r="AV47" s="432" t="s">
        <v>11441</v>
      </c>
    </row>
    <row r="48" s="397" customFormat="1" ht="18" customHeight="1" spans="1:48">
      <c r="A48" s="426">
        <v>45770</v>
      </c>
      <c r="B48" s="427" t="s">
        <v>11444</v>
      </c>
      <c r="C48" s="428" t="s">
        <v>11183</v>
      </c>
      <c r="D48" s="428" t="s">
        <v>6047</v>
      </c>
      <c r="E48" s="428">
        <v>180000</v>
      </c>
      <c r="F48" s="429" t="s">
        <v>11152</v>
      </c>
      <c r="G48" s="428" t="s">
        <v>11153</v>
      </c>
      <c r="H48" s="429" t="s">
        <v>11148</v>
      </c>
      <c r="I48" s="430"/>
      <c r="J48" s="430"/>
      <c r="K48" s="430"/>
      <c r="L48" s="430"/>
      <c r="M48" s="430">
        <v>180000</v>
      </c>
      <c r="N48" s="430"/>
      <c r="O48" s="430"/>
      <c r="P48" s="430"/>
      <c r="Q48" s="430"/>
      <c r="R48" s="430"/>
      <c r="S48" s="430"/>
      <c r="T48" s="430"/>
      <c r="U48" s="430"/>
      <c r="V48" s="430"/>
      <c r="W48" s="430"/>
      <c r="X48" s="430"/>
      <c r="Y48" s="430"/>
      <c r="Z48" s="430"/>
      <c r="AA48" s="430"/>
      <c r="AB48" s="430"/>
      <c r="AC48" s="430"/>
      <c r="AD48" s="430"/>
      <c r="AE48" s="430"/>
      <c r="AF48" s="430"/>
      <c r="AG48" s="430"/>
      <c r="AH48" s="430"/>
      <c r="AI48" s="430"/>
      <c r="AJ48" s="430"/>
      <c r="AK48" s="430"/>
      <c r="AL48" s="430"/>
      <c r="AM48" s="430"/>
      <c r="AN48" s="430"/>
      <c r="AO48" s="430"/>
      <c r="AP48" s="430"/>
      <c r="AQ48" s="430"/>
      <c r="AR48" s="430"/>
      <c r="AS48" s="430"/>
      <c r="AT48" s="430"/>
      <c r="AU48" s="430"/>
      <c r="AV48" s="432" t="s">
        <v>11383</v>
      </c>
    </row>
    <row r="49" s="397" customFormat="1" ht="18" customHeight="1" spans="1:48">
      <c r="A49" s="426">
        <v>45770</v>
      </c>
      <c r="B49" s="427" t="s">
        <v>11445</v>
      </c>
      <c r="C49" s="428" t="s">
        <v>11183</v>
      </c>
      <c r="D49" s="428" t="s">
        <v>6047</v>
      </c>
      <c r="E49" s="428">
        <v>200000</v>
      </c>
      <c r="F49" s="429" t="s">
        <v>11375</v>
      </c>
      <c r="G49" s="428" t="s">
        <v>11157</v>
      </c>
      <c r="H49" s="429" t="s">
        <v>11148</v>
      </c>
      <c r="I49" s="430"/>
      <c r="J49" s="430"/>
      <c r="K49" s="430"/>
      <c r="L49" s="430"/>
      <c r="M49" s="430"/>
      <c r="N49" s="430"/>
      <c r="O49" s="430">
        <v>200000</v>
      </c>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2" t="s">
        <v>11385</v>
      </c>
    </row>
    <row r="50" s="397" customFormat="1" ht="18" customHeight="1" spans="1:48">
      <c r="A50" s="426">
        <v>45770</v>
      </c>
      <c r="B50" s="427" t="s">
        <v>11446</v>
      </c>
      <c r="C50" s="428" t="s">
        <v>11183</v>
      </c>
      <c r="D50" s="428" t="s">
        <v>6047</v>
      </c>
      <c r="E50" s="428">
        <v>1500</v>
      </c>
      <c r="F50" s="429" t="s">
        <v>11387</v>
      </c>
      <c r="G50" s="428" t="s">
        <v>11153</v>
      </c>
      <c r="H50" s="429" t="s">
        <v>11148</v>
      </c>
      <c r="I50" s="430"/>
      <c r="J50" s="430"/>
      <c r="K50" s="430"/>
      <c r="L50" s="430"/>
      <c r="M50" s="430"/>
      <c r="N50" s="430"/>
      <c r="O50" s="430"/>
      <c r="P50" s="430"/>
      <c r="Q50" s="430"/>
      <c r="R50" s="430"/>
      <c r="S50" s="430"/>
      <c r="T50" s="430"/>
      <c r="U50" s="430"/>
      <c r="V50" s="430"/>
      <c r="W50" s="430"/>
      <c r="X50" s="430"/>
      <c r="Y50" s="430"/>
      <c r="Z50" s="430"/>
      <c r="AA50" s="430"/>
      <c r="AB50" s="430">
        <v>1500</v>
      </c>
      <c r="AC50" s="430"/>
      <c r="AD50" s="430"/>
      <c r="AE50" s="430"/>
      <c r="AF50" s="430"/>
      <c r="AG50" s="430"/>
      <c r="AH50" s="430"/>
      <c r="AI50" s="430"/>
      <c r="AJ50" s="430"/>
      <c r="AK50" s="430"/>
      <c r="AL50" s="430"/>
      <c r="AM50" s="430"/>
      <c r="AN50" s="430"/>
      <c r="AO50" s="430"/>
      <c r="AP50" s="430"/>
      <c r="AQ50" s="430"/>
      <c r="AR50" s="430"/>
      <c r="AS50" s="430"/>
      <c r="AT50" s="430"/>
      <c r="AU50" s="430"/>
      <c r="AV50" s="432" t="s">
        <v>11385</v>
      </c>
    </row>
    <row r="51" s="397" customFormat="1" ht="18" customHeight="1" spans="1:48">
      <c r="A51" s="426">
        <v>45770</v>
      </c>
      <c r="B51" s="427" t="s">
        <v>11447</v>
      </c>
      <c r="C51" s="428" t="s">
        <v>11183</v>
      </c>
      <c r="D51" s="428" t="s">
        <v>6093</v>
      </c>
      <c r="E51" s="428">
        <v>3000</v>
      </c>
      <c r="F51" s="429" t="s">
        <v>11402</v>
      </c>
      <c r="G51" s="428" t="s">
        <v>11153</v>
      </c>
      <c r="H51" s="429" t="s">
        <v>11148</v>
      </c>
      <c r="I51" s="430"/>
      <c r="J51" s="430"/>
      <c r="K51" s="430"/>
      <c r="L51" s="430"/>
      <c r="M51" s="430"/>
      <c r="N51" s="430"/>
      <c r="O51" s="430"/>
      <c r="P51" s="430"/>
      <c r="Q51" s="430"/>
      <c r="R51" s="430"/>
      <c r="S51" s="430"/>
      <c r="T51" s="430"/>
      <c r="U51" s="430"/>
      <c r="V51" s="430"/>
      <c r="W51" s="430"/>
      <c r="X51" s="430"/>
      <c r="Y51" s="430">
        <v>3000</v>
      </c>
      <c r="Z51" s="430"/>
      <c r="AA51" s="430"/>
      <c r="AB51" s="430"/>
      <c r="AC51" s="430"/>
      <c r="AD51" s="430"/>
      <c r="AE51" s="430"/>
      <c r="AF51" s="430"/>
      <c r="AG51" s="430"/>
      <c r="AH51" s="430"/>
      <c r="AI51" s="430"/>
      <c r="AJ51" s="430"/>
      <c r="AK51" s="430"/>
      <c r="AL51" s="430"/>
      <c r="AM51" s="430"/>
      <c r="AN51" s="430"/>
      <c r="AO51" s="430"/>
      <c r="AP51" s="430"/>
      <c r="AQ51" s="430"/>
      <c r="AR51" s="430"/>
      <c r="AS51" s="430"/>
      <c r="AT51" s="430"/>
      <c r="AU51" s="430"/>
      <c r="AV51" s="432" t="s">
        <v>11385</v>
      </c>
    </row>
    <row r="52" s="397" customFormat="1" ht="18" customHeight="1" spans="1:48">
      <c r="A52" s="426">
        <v>45770</v>
      </c>
      <c r="B52" s="427" t="s">
        <v>11448</v>
      </c>
      <c r="C52" s="428" t="s">
        <v>11183</v>
      </c>
      <c r="D52" s="428" t="s">
        <v>66</v>
      </c>
      <c r="E52" s="428">
        <v>376</v>
      </c>
      <c r="F52" s="429" t="s">
        <v>11449</v>
      </c>
      <c r="G52" s="428" t="s">
        <v>11153</v>
      </c>
      <c r="H52" s="429" t="s">
        <v>11148</v>
      </c>
      <c r="I52" s="430"/>
      <c r="J52" s="430"/>
      <c r="K52" s="430"/>
      <c r="L52" s="430"/>
      <c r="M52" s="430"/>
      <c r="N52" s="430"/>
      <c r="O52" s="430"/>
      <c r="P52" s="430"/>
      <c r="Q52" s="430"/>
      <c r="R52" s="430"/>
      <c r="S52" s="430"/>
      <c r="T52" s="430"/>
      <c r="U52" s="430"/>
      <c r="V52" s="430"/>
      <c r="W52" s="430"/>
      <c r="X52" s="430"/>
      <c r="Y52" s="430"/>
      <c r="Z52" s="430"/>
      <c r="AA52" s="430"/>
      <c r="AB52" s="430"/>
      <c r="AC52" s="430"/>
      <c r="AD52" s="430"/>
      <c r="AE52" s="430"/>
      <c r="AF52" s="430"/>
      <c r="AG52" s="430"/>
      <c r="AH52" s="430"/>
      <c r="AI52" s="430"/>
      <c r="AJ52" s="430"/>
      <c r="AK52" s="430"/>
      <c r="AL52" s="430"/>
      <c r="AM52" s="430"/>
      <c r="AN52" s="430"/>
      <c r="AO52" s="430"/>
      <c r="AP52" s="430"/>
      <c r="AQ52" s="430"/>
      <c r="AR52" s="430">
        <v>376</v>
      </c>
      <c r="AS52" s="430"/>
      <c r="AT52" s="430"/>
      <c r="AU52" s="430"/>
      <c r="AV52" s="432" t="s">
        <v>11450</v>
      </c>
    </row>
    <row r="53" s="397" customFormat="1" ht="18" customHeight="1" spans="1:48">
      <c r="A53" s="426">
        <v>45784</v>
      </c>
      <c r="B53" s="427" t="s">
        <v>11451</v>
      </c>
      <c r="C53" s="428" t="s">
        <v>11452</v>
      </c>
      <c r="D53" s="428" t="s">
        <v>6494</v>
      </c>
      <c r="E53" s="428">
        <v>300</v>
      </c>
      <c r="F53" s="429" t="s">
        <v>11453</v>
      </c>
      <c r="G53" s="428" t="s">
        <v>11373</v>
      </c>
      <c r="H53" s="429" t="s">
        <v>11148</v>
      </c>
      <c r="I53" s="430"/>
      <c r="J53" s="430"/>
      <c r="K53" s="430"/>
      <c r="L53" s="430"/>
      <c r="M53" s="430"/>
      <c r="N53" s="430"/>
      <c r="O53" s="430"/>
      <c r="P53" s="430"/>
      <c r="Q53" s="430"/>
      <c r="R53" s="430"/>
      <c r="S53" s="430"/>
      <c r="T53" s="430"/>
      <c r="U53" s="430"/>
      <c r="V53" s="430"/>
      <c r="W53" s="430"/>
      <c r="X53" s="430"/>
      <c r="Y53" s="430"/>
      <c r="Z53" s="430"/>
      <c r="AA53" s="430"/>
      <c r="AB53" s="430"/>
      <c r="AC53" s="430"/>
      <c r="AD53" s="430"/>
      <c r="AE53" s="430"/>
      <c r="AF53" s="430"/>
      <c r="AG53" s="430"/>
      <c r="AH53" s="430"/>
      <c r="AI53" s="430"/>
      <c r="AJ53" s="430"/>
      <c r="AK53" s="430"/>
      <c r="AL53" s="430"/>
      <c r="AM53" s="430">
        <v>300</v>
      </c>
      <c r="AN53" s="430"/>
      <c r="AO53" s="430"/>
      <c r="AP53" s="430"/>
      <c r="AQ53" s="430"/>
      <c r="AR53" s="430"/>
      <c r="AS53" s="430"/>
      <c r="AT53" s="430"/>
      <c r="AU53" s="430"/>
      <c r="AV53" s="432" t="s">
        <v>11376</v>
      </c>
    </row>
    <row r="54" s="397" customFormat="1" ht="18" customHeight="1" spans="1:48">
      <c r="A54" s="426">
        <v>45784</v>
      </c>
      <c r="B54" s="427">
        <v>1000027691</v>
      </c>
      <c r="C54" s="428" t="s">
        <v>11452</v>
      </c>
      <c r="D54" s="428" t="s">
        <v>6557</v>
      </c>
      <c r="E54" s="428">
        <v>300</v>
      </c>
      <c r="F54" s="429" t="s">
        <v>11454</v>
      </c>
      <c r="G54" s="428" t="s">
        <v>11373</v>
      </c>
      <c r="H54" s="429" t="s">
        <v>11148</v>
      </c>
      <c r="I54" s="430"/>
      <c r="J54" s="430"/>
      <c r="K54" s="430"/>
      <c r="L54" s="430"/>
      <c r="M54" s="430"/>
      <c r="N54" s="430"/>
      <c r="O54" s="430"/>
      <c r="P54" s="430"/>
      <c r="Q54" s="430"/>
      <c r="R54" s="430"/>
      <c r="S54" s="430"/>
      <c r="T54" s="430"/>
      <c r="U54" s="430"/>
      <c r="V54" s="430"/>
      <c r="W54" s="430"/>
      <c r="X54" s="430"/>
      <c r="Y54" s="430"/>
      <c r="Z54" s="430"/>
      <c r="AA54" s="430"/>
      <c r="AB54" s="430"/>
      <c r="AC54" s="430"/>
      <c r="AD54" s="430"/>
      <c r="AE54" s="430"/>
      <c r="AF54" s="430"/>
      <c r="AG54" s="430"/>
      <c r="AH54" s="430"/>
      <c r="AI54" s="430"/>
      <c r="AJ54" s="430"/>
      <c r="AK54" s="430"/>
      <c r="AL54" s="430"/>
      <c r="AM54" s="430"/>
      <c r="AN54" s="430">
        <v>300</v>
      </c>
      <c r="AO54" s="430"/>
      <c r="AP54" s="430"/>
      <c r="AQ54" s="430"/>
      <c r="AR54" s="430"/>
      <c r="AS54" s="430"/>
      <c r="AT54" s="430"/>
      <c r="AU54" s="430"/>
      <c r="AV54" s="432" t="s">
        <v>11455</v>
      </c>
    </row>
    <row r="55" s="397" customFormat="1" ht="18" customHeight="1" spans="1:48">
      <c r="A55" s="426">
        <v>45784</v>
      </c>
      <c r="B55" s="427" t="s">
        <v>11456</v>
      </c>
      <c r="C55" s="428" t="s">
        <v>11452</v>
      </c>
      <c r="D55" s="428" t="s">
        <v>11378</v>
      </c>
      <c r="E55" s="428">
        <v>1500</v>
      </c>
      <c r="F55" s="429" t="s">
        <v>11379</v>
      </c>
      <c r="G55" s="428" t="s">
        <v>11147</v>
      </c>
      <c r="H55" s="429" t="s">
        <v>11148</v>
      </c>
      <c r="I55" s="430"/>
      <c r="J55" s="430"/>
      <c r="K55" s="430"/>
      <c r="L55" s="430"/>
      <c r="M55" s="430"/>
      <c r="N55" s="430"/>
      <c r="O55" s="430"/>
      <c r="P55" s="430"/>
      <c r="Q55" s="430"/>
      <c r="R55" s="430"/>
      <c r="S55" s="430"/>
      <c r="T55" s="430"/>
      <c r="U55" s="430"/>
      <c r="V55" s="430"/>
      <c r="W55" s="430"/>
      <c r="X55" s="430"/>
      <c r="Y55" s="430"/>
      <c r="Z55" s="430">
        <v>1500</v>
      </c>
      <c r="AA55" s="430"/>
      <c r="AB55" s="430"/>
      <c r="AC55" s="430"/>
      <c r="AD55" s="430"/>
      <c r="AE55" s="430"/>
      <c r="AF55" s="430"/>
      <c r="AG55" s="430"/>
      <c r="AH55" s="430"/>
      <c r="AI55" s="430"/>
      <c r="AJ55" s="430"/>
      <c r="AK55" s="430"/>
      <c r="AL55" s="430"/>
      <c r="AM55" s="430"/>
      <c r="AN55" s="430"/>
      <c r="AO55" s="430"/>
      <c r="AP55" s="430"/>
      <c r="AQ55" s="430"/>
      <c r="AR55" s="430"/>
      <c r="AS55" s="430"/>
      <c r="AT55" s="430"/>
      <c r="AU55" s="430"/>
      <c r="AV55" s="432" t="s">
        <v>11376</v>
      </c>
    </row>
    <row r="56" s="397" customFormat="1" ht="18" customHeight="1" spans="1:48">
      <c r="A56" s="426">
        <v>45784</v>
      </c>
      <c r="B56" s="427" t="s">
        <v>11457</v>
      </c>
      <c r="C56" s="428" t="s">
        <v>11452</v>
      </c>
      <c r="D56" s="428" t="s">
        <v>11378</v>
      </c>
      <c r="E56" s="428">
        <v>800</v>
      </c>
      <c r="F56" s="429" t="s">
        <v>11381</v>
      </c>
      <c r="G56" s="428" t="s">
        <v>11373</v>
      </c>
      <c r="H56" s="429" t="s">
        <v>11148</v>
      </c>
      <c r="I56" s="430"/>
      <c r="J56" s="430"/>
      <c r="K56" s="430"/>
      <c r="L56" s="430"/>
      <c r="M56" s="430"/>
      <c r="N56" s="430"/>
      <c r="O56" s="430"/>
      <c r="P56" s="430"/>
      <c r="Q56" s="430"/>
      <c r="R56" s="430"/>
      <c r="S56" s="430"/>
      <c r="T56" s="430"/>
      <c r="U56" s="430"/>
      <c r="V56" s="430"/>
      <c r="W56" s="430"/>
      <c r="X56" s="430"/>
      <c r="Y56" s="430"/>
      <c r="Z56" s="430"/>
      <c r="AA56" s="430">
        <v>800</v>
      </c>
      <c r="AB56" s="430"/>
      <c r="AC56" s="430"/>
      <c r="AD56" s="430"/>
      <c r="AE56" s="430"/>
      <c r="AF56" s="430"/>
      <c r="AG56" s="430"/>
      <c r="AH56" s="430"/>
      <c r="AI56" s="430"/>
      <c r="AJ56" s="430"/>
      <c r="AK56" s="430"/>
      <c r="AL56" s="430"/>
      <c r="AM56" s="430"/>
      <c r="AN56" s="430"/>
      <c r="AO56" s="430"/>
      <c r="AP56" s="430"/>
      <c r="AQ56" s="430"/>
      <c r="AR56" s="430"/>
      <c r="AS56" s="430"/>
      <c r="AT56" s="430"/>
      <c r="AU56" s="430"/>
      <c r="AV56" s="432" t="s">
        <v>11376</v>
      </c>
    </row>
    <row r="57" s="397" customFormat="1" ht="18" customHeight="1" spans="1:48">
      <c r="A57" s="426">
        <v>45784</v>
      </c>
      <c r="B57" s="427" t="s">
        <v>11458</v>
      </c>
      <c r="C57" s="428" t="s">
        <v>11452</v>
      </c>
      <c r="D57" s="428" t="s">
        <v>6166</v>
      </c>
      <c r="E57" s="428">
        <v>500</v>
      </c>
      <c r="F57" s="429" t="s">
        <v>11427</v>
      </c>
      <c r="G57" s="428" t="s">
        <v>11147</v>
      </c>
      <c r="H57" s="429" t="s">
        <v>11148</v>
      </c>
      <c r="I57" s="430"/>
      <c r="J57" s="430"/>
      <c r="K57" s="430"/>
      <c r="L57" s="430"/>
      <c r="M57" s="430"/>
      <c r="N57" s="430"/>
      <c r="O57" s="430"/>
      <c r="P57" s="430"/>
      <c r="Q57" s="430"/>
      <c r="R57" s="430"/>
      <c r="S57" s="430"/>
      <c r="T57" s="430"/>
      <c r="U57" s="430"/>
      <c r="V57" s="430"/>
      <c r="W57" s="430">
        <v>500</v>
      </c>
      <c r="X57" s="430"/>
      <c r="Y57" s="430"/>
      <c r="Z57" s="430"/>
      <c r="AA57" s="430"/>
      <c r="AB57" s="430"/>
      <c r="AC57" s="430"/>
      <c r="AD57" s="430"/>
      <c r="AE57" s="430"/>
      <c r="AF57" s="430"/>
      <c r="AG57" s="430"/>
      <c r="AH57" s="430"/>
      <c r="AI57" s="430"/>
      <c r="AJ57" s="430"/>
      <c r="AK57" s="430"/>
      <c r="AL57" s="430"/>
      <c r="AM57" s="430"/>
      <c r="AN57" s="430"/>
      <c r="AO57" s="430"/>
      <c r="AP57" s="430"/>
      <c r="AQ57" s="430"/>
      <c r="AR57" s="430"/>
      <c r="AS57" s="430"/>
      <c r="AT57" s="430"/>
      <c r="AU57" s="430"/>
      <c r="AV57" s="432" t="s">
        <v>11376</v>
      </c>
    </row>
    <row r="58" s="397" customFormat="1" ht="18" customHeight="1" spans="1:48">
      <c r="A58" s="426">
        <v>45784</v>
      </c>
      <c r="B58" s="427" t="s">
        <v>11459</v>
      </c>
      <c r="C58" s="428" t="s">
        <v>11452</v>
      </c>
      <c r="D58" s="428" t="s">
        <v>6166</v>
      </c>
      <c r="E58" s="428">
        <v>500</v>
      </c>
      <c r="F58" s="429" t="s">
        <v>11395</v>
      </c>
      <c r="G58" s="428" t="s">
        <v>11373</v>
      </c>
      <c r="H58" s="429" t="s">
        <v>11148</v>
      </c>
      <c r="I58" s="430"/>
      <c r="J58" s="430"/>
      <c r="K58" s="430"/>
      <c r="L58" s="430"/>
      <c r="M58" s="430"/>
      <c r="N58" s="430"/>
      <c r="O58" s="430"/>
      <c r="P58" s="430"/>
      <c r="Q58" s="430"/>
      <c r="R58" s="430"/>
      <c r="S58" s="430"/>
      <c r="T58" s="430"/>
      <c r="U58" s="430"/>
      <c r="V58" s="430"/>
      <c r="W58" s="430"/>
      <c r="X58" s="430">
        <v>500</v>
      </c>
      <c r="Y58" s="430"/>
      <c r="Z58" s="430"/>
      <c r="AA58" s="430"/>
      <c r="AB58" s="430"/>
      <c r="AC58" s="430"/>
      <c r="AD58" s="430"/>
      <c r="AE58" s="430"/>
      <c r="AF58" s="430"/>
      <c r="AG58" s="430"/>
      <c r="AH58" s="430"/>
      <c r="AI58" s="430"/>
      <c r="AJ58" s="430"/>
      <c r="AK58" s="430"/>
      <c r="AL58" s="430"/>
      <c r="AM58" s="430"/>
      <c r="AN58" s="430"/>
      <c r="AO58" s="430"/>
      <c r="AP58" s="430"/>
      <c r="AQ58" s="430"/>
      <c r="AR58" s="430"/>
      <c r="AS58" s="430"/>
      <c r="AT58" s="430"/>
      <c r="AU58" s="430"/>
      <c r="AV58" s="432" t="s">
        <v>11376</v>
      </c>
    </row>
    <row r="59" s="397" customFormat="1" ht="18" customHeight="1" spans="1:48">
      <c r="A59" s="426">
        <v>45784</v>
      </c>
      <c r="B59" s="427" t="s">
        <v>11460</v>
      </c>
      <c r="C59" s="428" t="s">
        <v>11452</v>
      </c>
      <c r="D59" s="428" t="s">
        <v>6047</v>
      </c>
      <c r="E59" s="428">
        <v>1500</v>
      </c>
      <c r="F59" s="429" t="s">
        <v>11387</v>
      </c>
      <c r="G59" s="428" t="s">
        <v>11153</v>
      </c>
      <c r="H59" s="429" t="s">
        <v>11148</v>
      </c>
      <c r="I59" s="430"/>
      <c r="J59" s="430"/>
      <c r="K59" s="430"/>
      <c r="L59" s="430"/>
      <c r="M59" s="430"/>
      <c r="N59" s="430"/>
      <c r="O59" s="430"/>
      <c r="P59" s="430"/>
      <c r="Q59" s="430"/>
      <c r="R59" s="430"/>
      <c r="S59" s="430"/>
      <c r="T59" s="430"/>
      <c r="U59" s="430"/>
      <c r="V59" s="430"/>
      <c r="W59" s="430"/>
      <c r="X59" s="430"/>
      <c r="Y59" s="430"/>
      <c r="Z59" s="430"/>
      <c r="AA59" s="430"/>
      <c r="AB59" s="430">
        <v>1500</v>
      </c>
      <c r="AC59" s="430"/>
      <c r="AD59" s="430"/>
      <c r="AE59" s="430"/>
      <c r="AF59" s="430"/>
      <c r="AG59" s="430"/>
      <c r="AH59" s="430"/>
      <c r="AI59" s="430"/>
      <c r="AJ59" s="430"/>
      <c r="AK59" s="430"/>
      <c r="AL59" s="430"/>
      <c r="AM59" s="430"/>
      <c r="AN59" s="430"/>
      <c r="AO59" s="430"/>
      <c r="AP59" s="430"/>
      <c r="AQ59" s="430"/>
      <c r="AR59" s="430"/>
      <c r="AS59" s="430"/>
      <c r="AT59" s="430"/>
      <c r="AU59" s="430"/>
      <c r="AV59" s="432" t="s">
        <v>11385</v>
      </c>
    </row>
    <row r="60" s="397" customFormat="1" ht="18" customHeight="1" spans="1:48">
      <c r="A60" s="426">
        <v>45784</v>
      </c>
      <c r="B60" s="427" t="s">
        <v>11461</v>
      </c>
      <c r="C60" s="428" t="s">
        <v>11452</v>
      </c>
      <c r="D60" s="428" t="s">
        <v>6093</v>
      </c>
      <c r="E60" s="428">
        <v>2000</v>
      </c>
      <c r="F60" s="429" t="s">
        <v>11402</v>
      </c>
      <c r="G60" s="428" t="s">
        <v>11153</v>
      </c>
      <c r="H60" s="429" t="s">
        <v>11148</v>
      </c>
      <c r="I60" s="430"/>
      <c r="J60" s="430"/>
      <c r="K60" s="430"/>
      <c r="L60" s="430"/>
      <c r="M60" s="430"/>
      <c r="N60" s="430"/>
      <c r="O60" s="430"/>
      <c r="P60" s="430"/>
      <c r="Q60" s="430"/>
      <c r="R60" s="430"/>
      <c r="S60" s="430"/>
      <c r="T60" s="430"/>
      <c r="U60" s="430"/>
      <c r="V60" s="430"/>
      <c r="W60" s="430"/>
      <c r="X60" s="430"/>
      <c r="Y60" s="430">
        <v>2000</v>
      </c>
      <c r="Z60" s="430"/>
      <c r="AA60" s="430"/>
      <c r="AB60" s="430"/>
      <c r="AC60" s="430"/>
      <c r="AD60" s="430"/>
      <c r="AE60" s="430"/>
      <c r="AF60" s="430"/>
      <c r="AG60" s="430"/>
      <c r="AH60" s="430"/>
      <c r="AI60" s="430"/>
      <c r="AJ60" s="430"/>
      <c r="AK60" s="430"/>
      <c r="AL60" s="430"/>
      <c r="AM60" s="430"/>
      <c r="AN60" s="430"/>
      <c r="AO60" s="430"/>
      <c r="AP60" s="430"/>
      <c r="AQ60" s="430"/>
      <c r="AR60" s="430"/>
      <c r="AS60" s="430"/>
      <c r="AT60" s="430"/>
      <c r="AU60" s="430"/>
      <c r="AV60" s="432" t="s">
        <v>11385</v>
      </c>
    </row>
    <row r="61" s="397" customFormat="1" ht="18" customHeight="1" spans="1:48">
      <c r="A61" s="426">
        <v>45793</v>
      </c>
      <c r="B61" s="427" t="s">
        <v>11462</v>
      </c>
      <c r="C61" s="428" t="s">
        <v>11194</v>
      </c>
      <c r="D61" s="428" t="s">
        <v>11416</v>
      </c>
      <c r="E61" s="428">
        <v>5038</v>
      </c>
      <c r="F61" s="429" t="s">
        <v>11417</v>
      </c>
      <c r="G61" s="428" t="s">
        <v>11147</v>
      </c>
      <c r="H61" s="429" t="s">
        <v>11148</v>
      </c>
      <c r="I61" s="430"/>
      <c r="J61" s="430"/>
      <c r="K61" s="430"/>
      <c r="L61" s="430"/>
      <c r="M61" s="430"/>
      <c r="N61" s="430"/>
      <c r="O61" s="430"/>
      <c r="P61" s="430"/>
      <c r="Q61" s="430"/>
      <c r="R61" s="430"/>
      <c r="S61" s="430"/>
      <c r="T61" s="430"/>
      <c r="U61" s="430"/>
      <c r="V61" s="430"/>
      <c r="W61" s="430"/>
      <c r="X61" s="430"/>
      <c r="Y61" s="430"/>
      <c r="Z61" s="430"/>
      <c r="AA61" s="430"/>
      <c r="AB61" s="430"/>
      <c r="AC61" s="430">
        <v>5038</v>
      </c>
      <c r="AD61" s="430"/>
      <c r="AE61" s="430"/>
      <c r="AF61" s="430"/>
      <c r="AG61" s="430"/>
      <c r="AH61" s="430"/>
      <c r="AI61" s="430"/>
      <c r="AJ61" s="430"/>
      <c r="AK61" s="430"/>
      <c r="AL61" s="430"/>
      <c r="AM61" s="430"/>
      <c r="AN61" s="430"/>
      <c r="AO61" s="430"/>
      <c r="AP61" s="430"/>
      <c r="AQ61" s="430"/>
      <c r="AR61" s="430"/>
      <c r="AS61" s="430"/>
      <c r="AT61" s="430"/>
      <c r="AU61" s="430"/>
      <c r="AV61" s="432" t="s">
        <v>11463</v>
      </c>
    </row>
    <row r="62" s="397" customFormat="1" ht="18" customHeight="1" spans="1:48">
      <c r="A62" s="426">
        <v>45793</v>
      </c>
      <c r="B62" s="427" t="s">
        <v>11464</v>
      </c>
      <c r="C62" s="428" t="s">
        <v>11194</v>
      </c>
      <c r="D62" s="428" t="s">
        <v>11416</v>
      </c>
      <c r="E62" s="428">
        <v>8814</v>
      </c>
      <c r="F62" s="429" t="s">
        <v>11417</v>
      </c>
      <c r="G62" s="428" t="s">
        <v>11147</v>
      </c>
      <c r="H62" s="429" t="s">
        <v>11148</v>
      </c>
      <c r="I62" s="430"/>
      <c r="J62" s="430"/>
      <c r="K62" s="430"/>
      <c r="L62" s="430"/>
      <c r="M62" s="430"/>
      <c r="N62" s="430"/>
      <c r="O62" s="430"/>
      <c r="P62" s="430"/>
      <c r="Q62" s="430"/>
      <c r="R62" s="430"/>
      <c r="S62" s="430"/>
      <c r="T62" s="430"/>
      <c r="U62" s="430"/>
      <c r="V62" s="430"/>
      <c r="W62" s="430"/>
      <c r="X62" s="430"/>
      <c r="Y62" s="430"/>
      <c r="Z62" s="430"/>
      <c r="AA62" s="430"/>
      <c r="AB62" s="430"/>
      <c r="AC62" s="430">
        <v>8814</v>
      </c>
      <c r="AD62" s="430"/>
      <c r="AE62" s="430"/>
      <c r="AF62" s="430"/>
      <c r="AG62" s="430"/>
      <c r="AH62" s="430"/>
      <c r="AI62" s="430"/>
      <c r="AJ62" s="430"/>
      <c r="AK62" s="430"/>
      <c r="AL62" s="430"/>
      <c r="AM62" s="430"/>
      <c r="AN62" s="430"/>
      <c r="AO62" s="430"/>
      <c r="AP62" s="430"/>
      <c r="AQ62" s="430"/>
      <c r="AR62" s="430"/>
      <c r="AS62" s="430"/>
      <c r="AT62" s="430"/>
      <c r="AU62" s="430"/>
      <c r="AV62" s="432" t="s">
        <v>11465</v>
      </c>
    </row>
    <row r="63" s="397" customFormat="1" ht="18" customHeight="1" spans="1:48">
      <c r="A63" s="426">
        <v>45798</v>
      </c>
      <c r="B63" s="427" t="s">
        <v>11466</v>
      </c>
      <c r="C63" s="428" t="s">
        <v>11194</v>
      </c>
      <c r="D63" s="428" t="s">
        <v>11416</v>
      </c>
      <c r="E63" s="428">
        <v>1398</v>
      </c>
      <c r="F63" s="429" t="s">
        <v>11417</v>
      </c>
      <c r="G63" s="428" t="s">
        <v>11147</v>
      </c>
      <c r="H63" s="429" t="s">
        <v>11148</v>
      </c>
      <c r="I63" s="430"/>
      <c r="J63" s="430"/>
      <c r="K63" s="430"/>
      <c r="L63" s="430"/>
      <c r="M63" s="430"/>
      <c r="N63" s="430"/>
      <c r="O63" s="430"/>
      <c r="P63" s="430"/>
      <c r="Q63" s="430"/>
      <c r="R63" s="430"/>
      <c r="S63" s="430"/>
      <c r="T63" s="430"/>
      <c r="U63" s="430"/>
      <c r="V63" s="430"/>
      <c r="W63" s="430"/>
      <c r="X63" s="430"/>
      <c r="Y63" s="430"/>
      <c r="Z63" s="430"/>
      <c r="AA63" s="430"/>
      <c r="AB63" s="430"/>
      <c r="AC63" s="430">
        <v>1398</v>
      </c>
      <c r="AD63" s="430"/>
      <c r="AE63" s="430"/>
      <c r="AF63" s="430"/>
      <c r="AG63" s="430"/>
      <c r="AH63" s="430"/>
      <c r="AI63" s="430"/>
      <c r="AJ63" s="430"/>
      <c r="AK63" s="430"/>
      <c r="AL63" s="430"/>
      <c r="AM63" s="430"/>
      <c r="AN63" s="430"/>
      <c r="AO63" s="430"/>
      <c r="AP63" s="430"/>
      <c r="AQ63" s="430"/>
      <c r="AR63" s="430"/>
      <c r="AS63" s="430"/>
      <c r="AT63" s="430"/>
      <c r="AU63" s="430"/>
      <c r="AV63" s="432" t="s">
        <v>11467</v>
      </c>
    </row>
    <row r="64" s="397" customFormat="1" ht="18" customHeight="1" spans="1:48">
      <c r="A64" s="426">
        <v>45793</v>
      </c>
      <c r="B64" s="427" t="s">
        <v>11468</v>
      </c>
      <c r="C64" s="428" t="s">
        <v>11183</v>
      </c>
      <c r="D64" s="428" t="s">
        <v>6084</v>
      </c>
      <c r="E64" s="428">
        <v>200000</v>
      </c>
      <c r="F64" s="429" t="s">
        <v>11146</v>
      </c>
      <c r="G64" s="428" t="s">
        <v>11147</v>
      </c>
      <c r="H64" s="429" t="s">
        <v>11148</v>
      </c>
      <c r="I64" s="430">
        <v>200000</v>
      </c>
      <c r="J64" s="430"/>
      <c r="K64" s="430"/>
      <c r="L64" s="430"/>
      <c r="M64" s="430"/>
      <c r="N64" s="430"/>
      <c r="O64" s="430"/>
      <c r="P64" s="430"/>
      <c r="Q64" s="430"/>
      <c r="R64" s="430"/>
      <c r="S64" s="430"/>
      <c r="T64" s="430"/>
      <c r="U64" s="430"/>
      <c r="V64" s="430"/>
      <c r="W64" s="430"/>
      <c r="X64" s="430"/>
      <c r="Y64" s="430"/>
      <c r="Z64" s="430"/>
      <c r="AA64" s="430"/>
      <c r="AB64" s="430"/>
      <c r="AC64" s="430"/>
      <c r="AD64" s="430"/>
      <c r="AE64" s="430"/>
      <c r="AF64" s="430"/>
      <c r="AG64" s="430"/>
      <c r="AH64" s="430"/>
      <c r="AI64" s="430"/>
      <c r="AJ64" s="430"/>
      <c r="AK64" s="430"/>
      <c r="AL64" s="430"/>
      <c r="AM64" s="430"/>
      <c r="AN64" s="430"/>
      <c r="AO64" s="430"/>
      <c r="AP64" s="430"/>
      <c r="AQ64" s="430"/>
      <c r="AR64" s="430"/>
      <c r="AS64" s="430"/>
      <c r="AT64" s="430"/>
      <c r="AU64" s="430"/>
      <c r="AV64" s="432" t="s">
        <v>11370</v>
      </c>
    </row>
    <row r="65" s="397" customFormat="1" ht="18" customHeight="1" spans="1:48">
      <c r="A65" s="426">
        <v>45793</v>
      </c>
      <c r="B65" s="427" t="s">
        <v>11469</v>
      </c>
      <c r="C65" s="428" t="s">
        <v>11183</v>
      </c>
      <c r="D65" s="428" t="s">
        <v>6084</v>
      </c>
      <c r="E65" s="428">
        <v>20000</v>
      </c>
      <c r="F65" s="429" t="s">
        <v>11372</v>
      </c>
      <c r="G65" s="428" t="s">
        <v>11373</v>
      </c>
      <c r="H65" s="429" t="s">
        <v>11148</v>
      </c>
      <c r="I65" s="430"/>
      <c r="J65" s="430">
        <v>20000</v>
      </c>
      <c r="K65" s="430"/>
      <c r="L65" s="430"/>
      <c r="M65" s="430"/>
      <c r="N65" s="430"/>
      <c r="O65" s="430"/>
      <c r="P65" s="430"/>
      <c r="Q65" s="430"/>
      <c r="R65" s="430"/>
      <c r="S65" s="430"/>
      <c r="T65" s="430"/>
      <c r="U65" s="430"/>
      <c r="V65" s="430"/>
      <c r="W65" s="430"/>
      <c r="X65" s="430"/>
      <c r="Y65" s="430"/>
      <c r="Z65" s="430"/>
      <c r="AA65" s="430"/>
      <c r="AB65" s="430"/>
      <c r="AC65" s="430"/>
      <c r="AD65" s="430"/>
      <c r="AE65" s="430"/>
      <c r="AF65" s="430"/>
      <c r="AG65" s="430"/>
      <c r="AH65" s="430"/>
      <c r="AI65" s="430"/>
      <c r="AJ65" s="430"/>
      <c r="AK65" s="430"/>
      <c r="AL65" s="430"/>
      <c r="AM65" s="430"/>
      <c r="AN65" s="430"/>
      <c r="AO65" s="430"/>
      <c r="AP65" s="430"/>
      <c r="AQ65" s="430"/>
      <c r="AR65" s="430"/>
      <c r="AS65" s="430"/>
      <c r="AT65" s="430"/>
      <c r="AU65" s="430"/>
      <c r="AV65" s="432" t="s">
        <v>11370</v>
      </c>
    </row>
    <row r="66" s="397" customFormat="1" ht="18" customHeight="1" spans="1:48">
      <c r="A66" s="426">
        <v>45793</v>
      </c>
      <c r="B66" s="427" t="s">
        <v>11470</v>
      </c>
      <c r="C66" s="428" t="s">
        <v>11183</v>
      </c>
      <c r="D66" s="428" t="s">
        <v>6084</v>
      </c>
      <c r="E66" s="428">
        <v>300000</v>
      </c>
      <c r="F66" s="429" t="s">
        <v>11391</v>
      </c>
      <c r="G66" s="428" t="s">
        <v>11373</v>
      </c>
      <c r="H66" s="429" t="s">
        <v>11148</v>
      </c>
      <c r="I66" s="430"/>
      <c r="J66" s="430"/>
      <c r="K66" s="430"/>
      <c r="L66" s="430"/>
      <c r="M66" s="430"/>
      <c r="N66" s="430">
        <v>300000</v>
      </c>
      <c r="O66" s="430"/>
      <c r="P66" s="430"/>
      <c r="Q66" s="430"/>
      <c r="R66" s="430"/>
      <c r="S66" s="430"/>
      <c r="T66" s="430"/>
      <c r="U66" s="430"/>
      <c r="V66" s="430"/>
      <c r="W66" s="430"/>
      <c r="X66" s="430"/>
      <c r="Y66" s="430"/>
      <c r="Z66" s="430"/>
      <c r="AA66" s="430"/>
      <c r="AB66" s="430"/>
      <c r="AC66" s="430"/>
      <c r="AD66" s="430"/>
      <c r="AE66" s="430"/>
      <c r="AF66" s="430"/>
      <c r="AG66" s="430"/>
      <c r="AH66" s="430"/>
      <c r="AI66" s="430"/>
      <c r="AJ66" s="430"/>
      <c r="AK66" s="430"/>
      <c r="AL66" s="430"/>
      <c r="AM66" s="430"/>
      <c r="AN66" s="430"/>
      <c r="AO66" s="430"/>
      <c r="AP66" s="430"/>
      <c r="AQ66" s="430"/>
      <c r="AR66" s="430"/>
      <c r="AS66" s="430"/>
      <c r="AT66" s="430"/>
      <c r="AU66" s="430"/>
      <c r="AV66" s="432" t="s">
        <v>11376</v>
      </c>
    </row>
    <row r="67" s="397" customFormat="1" ht="18" customHeight="1" spans="1:48">
      <c r="A67" s="426">
        <v>45793</v>
      </c>
      <c r="B67" s="427" t="s">
        <v>11471</v>
      </c>
      <c r="C67" s="428" t="s">
        <v>11183</v>
      </c>
      <c r="D67" s="428" t="s">
        <v>11378</v>
      </c>
      <c r="E67" s="428">
        <v>2500</v>
      </c>
      <c r="F67" s="429" t="s">
        <v>11379</v>
      </c>
      <c r="G67" s="428" t="s">
        <v>11147</v>
      </c>
      <c r="H67" s="429" t="s">
        <v>11148</v>
      </c>
      <c r="I67" s="430"/>
      <c r="J67" s="430"/>
      <c r="K67" s="430"/>
      <c r="L67" s="430"/>
      <c r="M67" s="430"/>
      <c r="N67" s="430"/>
      <c r="O67" s="430"/>
      <c r="P67" s="430"/>
      <c r="Q67" s="430"/>
      <c r="R67" s="430"/>
      <c r="S67" s="430"/>
      <c r="T67" s="430"/>
      <c r="U67" s="430"/>
      <c r="V67" s="430"/>
      <c r="W67" s="430"/>
      <c r="X67" s="430"/>
      <c r="Y67" s="430"/>
      <c r="Z67" s="430">
        <v>2500</v>
      </c>
      <c r="AA67" s="430"/>
      <c r="AB67" s="430"/>
      <c r="AC67" s="430"/>
      <c r="AD67" s="430"/>
      <c r="AE67" s="430"/>
      <c r="AF67" s="430"/>
      <c r="AG67" s="430"/>
      <c r="AH67" s="430"/>
      <c r="AI67" s="430"/>
      <c r="AJ67" s="430"/>
      <c r="AK67" s="430"/>
      <c r="AL67" s="430"/>
      <c r="AM67" s="430"/>
      <c r="AN67" s="430"/>
      <c r="AO67" s="430"/>
      <c r="AP67" s="430"/>
      <c r="AQ67" s="430"/>
      <c r="AR67" s="430"/>
      <c r="AS67" s="430"/>
      <c r="AT67" s="430"/>
      <c r="AU67" s="430"/>
      <c r="AV67" s="432" t="s">
        <v>11376</v>
      </c>
    </row>
    <row r="68" s="397" customFormat="1" ht="18" customHeight="1" spans="1:48">
      <c r="A68" s="426">
        <v>45793</v>
      </c>
      <c r="B68" s="427" t="s">
        <v>11472</v>
      </c>
      <c r="C68" s="428" t="s">
        <v>11183</v>
      </c>
      <c r="D68" s="428" t="s">
        <v>6166</v>
      </c>
      <c r="E68" s="428">
        <v>500</v>
      </c>
      <c r="F68" s="429" t="s">
        <v>11395</v>
      </c>
      <c r="G68" s="428" t="s">
        <v>11373</v>
      </c>
      <c r="H68" s="429" t="s">
        <v>11148</v>
      </c>
      <c r="I68" s="430"/>
      <c r="J68" s="430"/>
      <c r="K68" s="430"/>
      <c r="L68" s="430"/>
      <c r="M68" s="430"/>
      <c r="N68" s="430"/>
      <c r="O68" s="430"/>
      <c r="P68" s="430"/>
      <c r="Q68" s="430"/>
      <c r="R68" s="430"/>
      <c r="S68" s="430"/>
      <c r="T68" s="430"/>
      <c r="U68" s="430"/>
      <c r="V68" s="430"/>
      <c r="W68" s="430"/>
      <c r="X68" s="430">
        <v>500</v>
      </c>
      <c r="Y68" s="430"/>
      <c r="Z68" s="430"/>
      <c r="AA68" s="430"/>
      <c r="AB68" s="430"/>
      <c r="AC68" s="430"/>
      <c r="AD68" s="430"/>
      <c r="AE68" s="430"/>
      <c r="AF68" s="430"/>
      <c r="AG68" s="430"/>
      <c r="AH68" s="430"/>
      <c r="AI68" s="430"/>
      <c r="AJ68" s="430"/>
      <c r="AK68" s="430"/>
      <c r="AL68" s="430"/>
      <c r="AM68" s="430"/>
      <c r="AN68" s="430"/>
      <c r="AO68" s="430"/>
      <c r="AP68" s="430"/>
      <c r="AQ68" s="430"/>
      <c r="AR68" s="430"/>
      <c r="AS68" s="430"/>
      <c r="AT68" s="430"/>
      <c r="AU68" s="430"/>
      <c r="AV68" s="432" t="s">
        <v>11376</v>
      </c>
    </row>
    <row r="69" s="397" customFormat="1" ht="18" customHeight="1" spans="1:48">
      <c r="A69" s="426">
        <v>45793</v>
      </c>
      <c r="B69" s="427" t="s">
        <v>11473</v>
      </c>
      <c r="C69" s="428" t="s">
        <v>11183</v>
      </c>
      <c r="D69" s="428" t="s">
        <v>6047</v>
      </c>
      <c r="E69" s="428">
        <v>1000</v>
      </c>
      <c r="F69" s="429" t="s">
        <v>11387</v>
      </c>
      <c r="G69" s="428" t="s">
        <v>11153</v>
      </c>
      <c r="H69" s="429" t="s">
        <v>11148</v>
      </c>
      <c r="I69" s="430"/>
      <c r="J69" s="430"/>
      <c r="K69" s="430"/>
      <c r="L69" s="430"/>
      <c r="M69" s="430"/>
      <c r="N69" s="430"/>
      <c r="O69" s="430"/>
      <c r="P69" s="430"/>
      <c r="Q69" s="430"/>
      <c r="R69" s="430"/>
      <c r="S69" s="430"/>
      <c r="T69" s="430"/>
      <c r="U69" s="430"/>
      <c r="V69" s="430"/>
      <c r="W69" s="430"/>
      <c r="X69" s="430"/>
      <c r="Y69" s="430"/>
      <c r="Z69" s="430"/>
      <c r="AA69" s="430"/>
      <c r="AB69" s="430">
        <v>1000</v>
      </c>
      <c r="AC69" s="430"/>
      <c r="AD69" s="430"/>
      <c r="AE69" s="430"/>
      <c r="AF69" s="430"/>
      <c r="AG69" s="430"/>
      <c r="AH69" s="430"/>
      <c r="AI69" s="430"/>
      <c r="AJ69" s="430"/>
      <c r="AK69" s="430"/>
      <c r="AL69" s="430"/>
      <c r="AM69" s="430"/>
      <c r="AN69" s="430"/>
      <c r="AO69" s="430"/>
      <c r="AP69" s="430"/>
      <c r="AQ69" s="430"/>
      <c r="AR69" s="430"/>
      <c r="AS69" s="430"/>
      <c r="AT69" s="430"/>
      <c r="AU69" s="430"/>
      <c r="AV69" s="432" t="s">
        <v>11385</v>
      </c>
    </row>
    <row r="70" s="397" customFormat="1" ht="18" customHeight="1" spans="1:48">
      <c r="A70" s="426">
        <v>45793</v>
      </c>
      <c r="B70" s="427" t="s">
        <v>11474</v>
      </c>
      <c r="C70" s="428" t="s">
        <v>11183</v>
      </c>
      <c r="D70" s="428" t="s">
        <v>6093</v>
      </c>
      <c r="E70" s="428">
        <v>2000</v>
      </c>
      <c r="F70" s="429" t="s">
        <v>11402</v>
      </c>
      <c r="G70" s="428" t="s">
        <v>11153</v>
      </c>
      <c r="H70" s="429" t="s">
        <v>11148</v>
      </c>
      <c r="I70" s="430"/>
      <c r="J70" s="430"/>
      <c r="K70" s="430"/>
      <c r="L70" s="430"/>
      <c r="M70" s="430"/>
      <c r="N70" s="430"/>
      <c r="O70" s="430"/>
      <c r="P70" s="430"/>
      <c r="Q70" s="430"/>
      <c r="R70" s="430"/>
      <c r="S70" s="430"/>
      <c r="T70" s="430"/>
      <c r="U70" s="430"/>
      <c r="V70" s="430"/>
      <c r="W70" s="430"/>
      <c r="X70" s="430"/>
      <c r="Y70" s="430">
        <v>2000</v>
      </c>
      <c r="Z70" s="430"/>
      <c r="AA70" s="430"/>
      <c r="AB70" s="430"/>
      <c r="AC70" s="430"/>
      <c r="AD70" s="430"/>
      <c r="AE70" s="430"/>
      <c r="AF70" s="430"/>
      <c r="AG70" s="430"/>
      <c r="AH70" s="430"/>
      <c r="AI70" s="430"/>
      <c r="AJ70" s="430"/>
      <c r="AK70" s="430"/>
      <c r="AL70" s="430"/>
      <c r="AM70" s="430"/>
      <c r="AN70" s="430"/>
      <c r="AO70" s="430"/>
      <c r="AP70" s="430"/>
      <c r="AQ70" s="430"/>
      <c r="AR70" s="430"/>
      <c r="AS70" s="430"/>
      <c r="AT70" s="430"/>
      <c r="AU70" s="430"/>
      <c r="AV70" s="432" t="s">
        <v>11385</v>
      </c>
    </row>
    <row r="71" s="397" customFormat="1" ht="18" customHeight="1" spans="1:48">
      <c r="A71" s="426">
        <v>45806</v>
      </c>
      <c r="B71" s="427" t="s">
        <v>11475</v>
      </c>
      <c r="C71" s="428" t="s">
        <v>11183</v>
      </c>
      <c r="D71" s="428" t="s">
        <v>6084</v>
      </c>
      <c r="E71" s="428">
        <v>200000</v>
      </c>
      <c r="F71" s="429" t="s">
        <v>11146</v>
      </c>
      <c r="G71" s="428" t="s">
        <v>11147</v>
      </c>
      <c r="H71" s="429" t="s">
        <v>11148</v>
      </c>
      <c r="I71" s="430">
        <v>200000</v>
      </c>
      <c r="J71" s="430"/>
      <c r="K71" s="430"/>
      <c r="L71" s="430"/>
      <c r="M71" s="430"/>
      <c r="N71" s="430"/>
      <c r="O71" s="430"/>
      <c r="P71" s="430"/>
      <c r="Q71" s="430"/>
      <c r="R71" s="430"/>
      <c r="S71" s="430"/>
      <c r="T71" s="430"/>
      <c r="U71" s="430"/>
      <c r="V71" s="430"/>
      <c r="W71" s="430"/>
      <c r="X71" s="430"/>
      <c r="Y71" s="430"/>
      <c r="Z71" s="430"/>
      <c r="AA71" s="430"/>
      <c r="AB71" s="430"/>
      <c r="AC71" s="430"/>
      <c r="AD71" s="430"/>
      <c r="AE71" s="430"/>
      <c r="AF71" s="430"/>
      <c r="AG71" s="430"/>
      <c r="AH71" s="430"/>
      <c r="AI71" s="430"/>
      <c r="AJ71" s="430"/>
      <c r="AK71" s="430"/>
      <c r="AL71" s="430"/>
      <c r="AM71" s="430"/>
      <c r="AN71" s="430"/>
      <c r="AO71" s="430"/>
      <c r="AP71" s="430"/>
      <c r="AQ71" s="430"/>
      <c r="AR71" s="430"/>
      <c r="AS71" s="430"/>
      <c r="AT71" s="430"/>
      <c r="AU71" s="430"/>
      <c r="AV71" s="432" t="s">
        <v>11370</v>
      </c>
    </row>
    <row r="72" s="397" customFormat="1" ht="18" customHeight="1" spans="1:48">
      <c r="A72" s="426">
        <v>45806</v>
      </c>
      <c r="B72" s="427" t="s">
        <v>11476</v>
      </c>
      <c r="C72" s="428" t="s">
        <v>11183</v>
      </c>
      <c r="D72" s="428" t="s">
        <v>6084</v>
      </c>
      <c r="E72" s="428">
        <v>100000</v>
      </c>
      <c r="F72" s="429" t="s">
        <v>11391</v>
      </c>
      <c r="G72" s="428" t="s">
        <v>11373</v>
      </c>
      <c r="H72" s="429" t="s">
        <v>11148</v>
      </c>
      <c r="I72" s="430"/>
      <c r="J72" s="430"/>
      <c r="K72" s="430"/>
      <c r="L72" s="430"/>
      <c r="M72" s="430"/>
      <c r="N72" s="430">
        <v>100000</v>
      </c>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2" t="s">
        <v>11376</v>
      </c>
    </row>
    <row r="73" s="397" customFormat="1" ht="18" customHeight="1" spans="1:48">
      <c r="A73" s="426">
        <v>45806</v>
      </c>
      <c r="B73" s="427" t="s">
        <v>11477</v>
      </c>
      <c r="C73" s="428" t="s">
        <v>11183</v>
      </c>
      <c r="D73" s="428" t="s">
        <v>6166</v>
      </c>
      <c r="E73" s="428">
        <v>1000</v>
      </c>
      <c r="F73" s="429" t="s">
        <v>11427</v>
      </c>
      <c r="G73" s="428" t="s">
        <v>11147</v>
      </c>
      <c r="H73" s="429" t="s">
        <v>11148</v>
      </c>
      <c r="I73" s="430"/>
      <c r="J73" s="430"/>
      <c r="K73" s="430"/>
      <c r="L73" s="430"/>
      <c r="M73" s="430"/>
      <c r="N73" s="430"/>
      <c r="O73" s="430"/>
      <c r="P73" s="430"/>
      <c r="Q73" s="430"/>
      <c r="R73" s="430"/>
      <c r="S73" s="430"/>
      <c r="T73" s="430"/>
      <c r="U73" s="430"/>
      <c r="V73" s="430"/>
      <c r="W73" s="430">
        <v>1000</v>
      </c>
      <c r="X73" s="430"/>
      <c r="Y73" s="430"/>
      <c r="Z73" s="430"/>
      <c r="AA73" s="430"/>
      <c r="AB73" s="430"/>
      <c r="AC73" s="430"/>
      <c r="AD73" s="430"/>
      <c r="AE73" s="430"/>
      <c r="AF73" s="430"/>
      <c r="AG73" s="430"/>
      <c r="AH73" s="430"/>
      <c r="AI73" s="430"/>
      <c r="AJ73" s="430"/>
      <c r="AK73" s="430"/>
      <c r="AL73" s="430"/>
      <c r="AM73" s="430"/>
      <c r="AN73" s="430"/>
      <c r="AO73" s="430"/>
      <c r="AP73" s="430"/>
      <c r="AQ73" s="430"/>
      <c r="AR73" s="430"/>
      <c r="AS73" s="430"/>
      <c r="AT73" s="430"/>
      <c r="AU73" s="430"/>
      <c r="AV73" s="432" t="s">
        <v>11376</v>
      </c>
    </row>
    <row r="74" s="397" customFormat="1" ht="18" customHeight="1" spans="1:48">
      <c r="A74" s="426">
        <v>45806</v>
      </c>
      <c r="B74" s="427" t="s">
        <v>11478</v>
      </c>
      <c r="C74" s="428" t="s">
        <v>11183</v>
      </c>
      <c r="D74" s="428" t="s">
        <v>11378</v>
      </c>
      <c r="E74" s="428">
        <v>1500</v>
      </c>
      <c r="F74" s="429" t="s">
        <v>11379</v>
      </c>
      <c r="G74" s="428" t="s">
        <v>11147</v>
      </c>
      <c r="H74" s="429" t="s">
        <v>11148</v>
      </c>
      <c r="I74" s="430"/>
      <c r="J74" s="430"/>
      <c r="K74" s="430"/>
      <c r="L74" s="430"/>
      <c r="M74" s="430"/>
      <c r="N74" s="430"/>
      <c r="O74" s="430"/>
      <c r="P74" s="430"/>
      <c r="Q74" s="430"/>
      <c r="R74" s="430"/>
      <c r="S74" s="430"/>
      <c r="T74" s="430"/>
      <c r="U74" s="430"/>
      <c r="V74" s="430"/>
      <c r="W74" s="430"/>
      <c r="X74" s="430"/>
      <c r="Y74" s="430"/>
      <c r="Z74" s="430">
        <v>1500</v>
      </c>
      <c r="AA74" s="430"/>
      <c r="AB74" s="430"/>
      <c r="AC74" s="430"/>
      <c r="AD74" s="430"/>
      <c r="AE74" s="430"/>
      <c r="AF74" s="430"/>
      <c r="AG74" s="430"/>
      <c r="AH74" s="430"/>
      <c r="AI74" s="430"/>
      <c r="AJ74" s="430"/>
      <c r="AK74" s="430"/>
      <c r="AL74" s="430"/>
      <c r="AM74" s="430"/>
      <c r="AN74" s="430"/>
      <c r="AO74" s="430"/>
      <c r="AP74" s="430"/>
      <c r="AQ74" s="430"/>
      <c r="AR74" s="430"/>
      <c r="AS74" s="430"/>
      <c r="AT74" s="430"/>
      <c r="AU74" s="430"/>
      <c r="AV74" s="432" t="s">
        <v>11376</v>
      </c>
    </row>
    <row r="75" s="397" customFormat="1" ht="18" customHeight="1" spans="1:48">
      <c r="A75" s="426">
        <v>45806</v>
      </c>
      <c r="B75" s="427" t="s">
        <v>11479</v>
      </c>
      <c r="C75" s="428" t="s">
        <v>11183</v>
      </c>
      <c r="D75" s="428" t="s">
        <v>6047</v>
      </c>
      <c r="E75" s="428">
        <v>100000</v>
      </c>
      <c r="F75" s="429" t="s">
        <v>11152</v>
      </c>
      <c r="G75" s="428" t="s">
        <v>11153</v>
      </c>
      <c r="H75" s="429" t="s">
        <v>11148</v>
      </c>
      <c r="I75" s="430"/>
      <c r="J75" s="430"/>
      <c r="K75" s="430"/>
      <c r="L75" s="430"/>
      <c r="M75" s="430">
        <v>100000</v>
      </c>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0"/>
      <c r="AQ75" s="430"/>
      <c r="AR75" s="430"/>
      <c r="AS75" s="430"/>
      <c r="AT75" s="430"/>
      <c r="AU75" s="430"/>
      <c r="AV75" s="432" t="s">
        <v>11383</v>
      </c>
    </row>
    <row r="76" s="397" customFormat="1" ht="18" customHeight="1" spans="1:48">
      <c r="A76" s="426">
        <v>45806</v>
      </c>
      <c r="B76" s="427" t="s">
        <v>11480</v>
      </c>
      <c r="C76" s="428" t="s">
        <v>11183</v>
      </c>
      <c r="D76" s="428" t="s">
        <v>6047</v>
      </c>
      <c r="E76" s="428">
        <v>150000</v>
      </c>
      <c r="F76" s="429" t="s">
        <v>11375</v>
      </c>
      <c r="G76" s="428" t="s">
        <v>11157</v>
      </c>
      <c r="H76" s="429" t="s">
        <v>11148</v>
      </c>
      <c r="I76" s="430"/>
      <c r="J76" s="430"/>
      <c r="K76" s="430"/>
      <c r="L76" s="430"/>
      <c r="M76" s="430"/>
      <c r="N76" s="430"/>
      <c r="O76" s="430">
        <v>150000</v>
      </c>
      <c r="P76" s="430"/>
      <c r="Q76" s="430"/>
      <c r="R76" s="430"/>
      <c r="S76" s="430"/>
      <c r="T76" s="430"/>
      <c r="U76" s="430"/>
      <c r="V76" s="430"/>
      <c r="W76" s="430"/>
      <c r="X76" s="430"/>
      <c r="Y76" s="430"/>
      <c r="Z76" s="430"/>
      <c r="AA76" s="430"/>
      <c r="AB76" s="430"/>
      <c r="AC76" s="430"/>
      <c r="AD76" s="430"/>
      <c r="AE76" s="430"/>
      <c r="AF76" s="430"/>
      <c r="AG76" s="430"/>
      <c r="AH76" s="430"/>
      <c r="AI76" s="430"/>
      <c r="AJ76" s="430"/>
      <c r="AK76" s="430"/>
      <c r="AL76" s="430"/>
      <c r="AM76" s="430"/>
      <c r="AN76" s="430"/>
      <c r="AO76" s="430"/>
      <c r="AP76" s="430"/>
      <c r="AQ76" s="430"/>
      <c r="AR76" s="430"/>
      <c r="AS76" s="430"/>
      <c r="AT76" s="430"/>
      <c r="AU76" s="430"/>
      <c r="AV76" s="432" t="s">
        <v>11385</v>
      </c>
    </row>
    <row r="77" s="397" customFormat="1" ht="18" customHeight="1" spans="1:48">
      <c r="A77" s="426">
        <v>45806</v>
      </c>
      <c r="B77" s="427" t="s">
        <v>11481</v>
      </c>
      <c r="C77" s="428" t="s">
        <v>11183</v>
      </c>
      <c r="D77" s="428" t="s">
        <v>6223</v>
      </c>
      <c r="E77" s="428">
        <v>200</v>
      </c>
      <c r="F77" s="429" t="s">
        <v>11431</v>
      </c>
      <c r="G77" s="428" t="s">
        <v>11153</v>
      </c>
      <c r="H77" s="429" t="s">
        <v>11148</v>
      </c>
      <c r="I77" s="430"/>
      <c r="J77" s="430"/>
      <c r="K77" s="430"/>
      <c r="L77" s="430"/>
      <c r="M77" s="430"/>
      <c r="N77" s="430"/>
      <c r="O77" s="430"/>
      <c r="P77" s="430"/>
      <c r="Q77" s="430"/>
      <c r="R77" s="430"/>
      <c r="S77" s="430"/>
      <c r="T77" s="430"/>
      <c r="U77" s="430"/>
      <c r="V77" s="430"/>
      <c r="W77" s="430"/>
      <c r="X77" s="430"/>
      <c r="Y77" s="430"/>
      <c r="Z77" s="430"/>
      <c r="AA77" s="430"/>
      <c r="AB77" s="430"/>
      <c r="AC77" s="430"/>
      <c r="AD77" s="430"/>
      <c r="AE77" s="430"/>
      <c r="AF77" s="430"/>
      <c r="AG77" s="430"/>
      <c r="AH77" s="430"/>
      <c r="AI77" s="430"/>
      <c r="AJ77" s="430"/>
      <c r="AK77" s="430"/>
      <c r="AL77" s="430"/>
      <c r="AM77" s="430"/>
      <c r="AN77" s="430"/>
      <c r="AO77" s="430"/>
      <c r="AP77" s="430"/>
      <c r="AQ77" s="430">
        <v>200</v>
      </c>
      <c r="AR77" s="430"/>
      <c r="AS77" s="430"/>
      <c r="AT77" s="430"/>
      <c r="AU77" s="430"/>
      <c r="AV77" s="432" t="s">
        <v>11385</v>
      </c>
    </row>
    <row r="78" s="397" customFormat="1" ht="18" customHeight="1" spans="1:48">
      <c r="A78" s="426">
        <v>45806</v>
      </c>
      <c r="B78" s="427" t="s">
        <v>11482</v>
      </c>
      <c r="C78" s="428" t="s">
        <v>11183</v>
      </c>
      <c r="D78" s="428" t="s">
        <v>6093</v>
      </c>
      <c r="E78" s="428">
        <v>2500</v>
      </c>
      <c r="F78" s="429" t="s">
        <v>11402</v>
      </c>
      <c r="G78" s="428" t="s">
        <v>11153</v>
      </c>
      <c r="H78" s="429" t="s">
        <v>11148</v>
      </c>
      <c r="I78" s="430"/>
      <c r="J78" s="430"/>
      <c r="K78" s="430"/>
      <c r="L78" s="430"/>
      <c r="M78" s="430"/>
      <c r="N78" s="430"/>
      <c r="O78" s="430"/>
      <c r="P78" s="430"/>
      <c r="Q78" s="430"/>
      <c r="R78" s="430"/>
      <c r="S78" s="430"/>
      <c r="T78" s="430"/>
      <c r="U78" s="430"/>
      <c r="V78" s="430"/>
      <c r="W78" s="430"/>
      <c r="X78" s="430"/>
      <c r="Y78" s="430">
        <v>2500</v>
      </c>
      <c r="Z78" s="430"/>
      <c r="AA78" s="430"/>
      <c r="AB78" s="430"/>
      <c r="AC78" s="430"/>
      <c r="AD78" s="430"/>
      <c r="AE78" s="430"/>
      <c r="AF78" s="430"/>
      <c r="AG78" s="430"/>
      <c r="AH78" s="430"/>
      <c r="AI78" s="430"/>
      <c r="AJ78" s="430"/>
      <c r="AK78" s="430"/>
      <c r="AL78" s="430"/>
      <c r="AM78" s="430"/>
      <c r="AN78" s="430"/>
      <c r="AO78" s="430"/>
      <c r="AP78" s="430"/>
      <c r="AQ78" s="430"/>
      <c r="AR78" s="430"/>
      <c r="AS78" s="430"/>
      <c r="AT78" s="430"/>
      <c r="AU78" s="430"/>
      <c r="AV78" s="432" t="s">
        <v>11385</v>
      </c>
    </row>
    <row r="79" s="397" customFormat="1" ht="18" customHeight="1" spans="1:48">
      <c r="A79" s="426">
        <v>45806</v>
      </c>
      <c r="B79" s="427" t="s">
        <v>11483</v>
      </c>
      <c r="C79" s="428" t="s">
        <v>11183</v>
      </c>
      <c r="D79" s="428" t="s">
        <v>6047</v>
      </c>
      <c r="E79" s="428">
        <v>500</v>
      </c>
      <c r="F79" s="429" t="s">
        <v>11387</v>
      </c>
      <c r="G79" s="428" t="s">
        <v>11153</v>
      </c>
      <c r="H79" s="429" t="s">
        <v>11148</v>
      </c>
      <c r="I79" s="430"/>
      <c r="J79" s="430"/>
      <c r="K79" s="430"/>
      <c r="L79" s="430"/>
      <c r="M79" s="430"/>
      <c r="N79" s="430"/>
      <c r="O79" s="430"/>
      <c r="P79" s="430"/>
      <c r="Q79" s="430"/>
      <c r="R79" s="430"/>
      <c r="S79" s="430"/>
      <c r="T79" s="430"/>
      <c r="U79" s="430"/>
      <c r="V79" s="430"/>
      <c r="W79" s="430"/>
      <c r="X79" s="430"/>
      <c r="Y79" s="430"/>
      <c r="Z79" s="430"/>
      <c r="AA79" s="430"/>
      <c r="AB79" s="430">
        <v>500</v>
      </c>
      <c r="AC79" s="430"/>
      <c r="AD79" s="430"/>
      <c r="AE79" s="430"/>
      <c r="AF79" s="430"/>
      <c r="AG79" s="430"/>
      <c r="AH79" s="430"/>
      <c r="AI79" s="430"/>
      <c r="AJ79" s="430"/>
      <c r="AK79" s="430"/>
      <c r="AL79" s="430"/>
      <c r="AM79" s="430"/>
      <c r="AN79" s="430"/>
      <c r="AO79" s="430"/>
      <c r="AP79" s="430"/>
      <c r="AQ79" s="430"/>
      <c r="AR79" s="430"/>
      <c r="AS79" s="430"/>
      <c r="AT79" s="430"/>
      <c r="AU79" s="430"/>
      <c r="AV79" s="432" t="s">
        <v>11385</v>
      </c>
    </row>
    <row r="80" s="397" customFormat="1" ht="18" customHeight="1" spans="1:48">
      <c r="A80" s="426">
        <v>45806</v>
      </c>
      <c r="B80" s="427" t="s">
        <v>11484</v>
      </c>
      <c r="C80" s="428" t="s">
        <v>11194</v>
      </c>
      <c r="D80" s="428" t="s">
        <v>11416</v>
      </c>
      <c r="E80" s="428">
        <v>5638</v>
      </c>
      <c r="F80" s="429" t="s">
        <v>11417</v>
      </c>
      <c r="G80" s="428" t="s">
        <v>11147</v>
      </c>
      <c r="H80" s="429" t="s">
        <v>11148</v>
      </c>
      <c r="I80" s="430"/>
      <c r="J80" s="430"/>
      <c r="K80" s="430"/>
      <c r="L80" s="430"/>
      <c r="M80" s="430"/>
      <c r="N80" s="430"/>
      <c r="O80" s="430"/>
      <c r="P80" s="430"/>
      <c r="Q80" s="430"/>
      <c r="R80" s="430"/>
      <c r="S80" s="430"/>
      <c r="T80" s="430"/>
      <c r="U80" s="430"/>
      <c r="V80" s="430"/>
      <c r="W80" s="430"/>
      <c r="X80" s="430"/>
      <c r="Y80" s="430"/>
      <c r="Z80" s="430"/>
      <c r="AA80" s="430"/>
      <c r="AB80" s="430"/>
      <c r="AC80" s="430">
        <v>5638</v>
      </c>
      <c r="AD80" s="430"/>
      <c r="AE80" s="430"/>
      <c r="AF80" s="430"/>
      <c r="AG80" s="430"/>
      <c r="AH80" s="430"/>
      <c r="AI80" s="430"/>
      <c r="AJ80" s="430"/>
      <c r="AK80" s="430"/>
      <c r="AL80" s="430"/>
      <c r="AM80" s="430"/>
      <c r="AN80" s="430"/>
      <c r="AO80" s="430"/>
      <c r="AP80" s="430"/>
      <c r="AQ80" s="430"/>
      <c r="AR80" s="430"/>
      <c r="AS80" s="430"/>
      <c r="AT80" s="430"/>
      <c r="AU80" s="430"/>
      <c r="AV80" s="432" t="s">
        <v>11485</v>
      </c>
    </row>
    <row r="81" s="397" customFormat="1" ht="18" customHeight="1" spans="1:48">
      <c r="A81" s="426">
        <v>45817</v>
      </c>
      <c r="B81" s="427" t="s">
        <v>11486</v>
      </c>
      <c r="C81" s="428" t="s">
        <v>11194</v>
      </c>
      <c r="D81" s="428" t="s">
        <v>11416</v>
      </c>
      <c r="E81" s="428">
        <v>3392</v>
      </c>
      <c r="F81" s="429" t="s">
        <v>11417</v>
      </c>
      <c r="G81" s="428" t="s">
        <v>11147</v>
      </c>
      <c r="H81" s="429" t="s">
        <v>11148</v>
      </c>
      <c r="I81" s="430"/>
      <c r="J81" s="430"/>
      <c r="K81" s="430"/>
      <c r="L81" s="430"/>
      <c r="M81" s="430"/>
      <c r="N81" s="430"/>
      <c r="O81" s="430"/>
      <c r="P81" s="430"/>
      <c r="Q81" s="430"/>
      <c r="R81" s="430"/>
      <c r="S81" s="430"/>
      <c r="T81" s="430"/>
      <c r="U81" s="430"/>
      <c r="V81" s="430"/>
      <c r="W81" s="430"/>
      <c r="X81" s="430"/>
      <c r="Y81" s="430"/>
      <c r="Z81" s="430"/>
      <c r="AA81" s="430"/>
      <c r="AB81" s="430"/>
      <c r="AC81" s="430">
        <v>3392</v>
      </c>
      <c r="AD81" s="430"/>
      <c r="AE81" s="430"/>
      <c r="AF81" s="430"/>
      <c r="AG81" s="430"/>
      <c r="AH81" s="430"/>
      <c r="AI81" s="430"/>
      <c r="AJ81" s="430"/>
      <c r="AK81" s="430"/>
      <c r="AL81" s="430"/>
      <c r="AM81" s="430"/>
      <c r="AN81" s="430"/>
      <c r="AO81" s="430"/>
      <c r="AP81" s="430"/>
      <c r="AQ81" s="430"/>
      <c r="AR81" s="430"/>
      <c r="AS81" s="430"/>
      <c r="AT81" s="430"/>
      <c r="AU81" s="430"/>
      <c r="AV81" s="432" t="s">
        <v>11487</v>
      </c>
    </row>
    <row r="82" s="397" customFormat="1" ht="18" customHeight="1" spans="1:48">
      <c r="A82" s="426">
        <v>45820</v>
      </c>
      <c r="B82" s="427" t="s">
        <v>11488</v>
      </c>
      <c r="C82" s="428" t="s">
        <v>11194</v>
      </c>
      <c r="D82" s="428" t="s">
        <v>11416</v>
      </c>
      <c r="E82" s="428">
        <v>4768</v>
      </c>
      <c r="F82" s="429" t="s">
        <v>11417</v>
      </c>
      <c r="G82" s="428" t="s">
        <v>11147</v>
      </c>
      <c r="H82" s="429" t="s">
        <v>11148</v>
      </c>
      <c r="I82" s="430"/>
      <c r="J82" s="430"/>
      <c r="K82" s="430"/>
      <c r="L82" s="430"/>
      <c r="M82" s="430"/>
      <c r="N82" s="430"/>
      <c r="O82" s="430"/>
      <c r="P82" s="430"/>
      <c r="Q82" s="430"/>
      <c r="R82" s="430"/>
      <c r="S82" s="430"/>
      <c r="T82" s="430"/>
      <c r="U82" s="430"/>
      <c r="V82" s="430"/>
      <c r="W82" s="430"/>
      <c r="X82" s="430"/>
      <c r="Y82" s="430"/>
      <c r="Z82" s="430"/>
      <c r="AA82" s="430"/>
      <c r="AB82" s="430"/>
      <c r="AC82" s="430">
        <v>4768</v>
      </c>
      <c r="AD82" s="430"/>
      <c r="AE82" s="430"/>
      <c r="AF82" s="430"/>
      <c r="AG82" s="430"/>
      <c r="AH82" s="430"/>
      <c r="AI82" s="430"/>
      <c r="AJ82" s="430"/>
      <c r="AK82" s="430"/>
      <c r="AL82" s="430"/>
      <c r="AM82" s="430"/>
      <c r="AN82" s="430"/>
      <c r="AO82" s="430"/>
      <c r="AP82" s="430"/>
      <c r="AQ82" s="430"/>
      <c r="AR82" s="430"/>
      <c r="AS82" s="430"/>
      <c r="AT82" s="430"/>
      <c r="AU82" s="430"/>
      <c r="AV82" s="432"/>
    </row>
    <row r="83" s="397" customFormat="1" ht="18" customHeight="1" spans="1:48">
      <c r="A83" s="426">
        <v>45771</v>
      </c>
      <c r="B83" s="427" t="s">
        <v>11193</v>
      </c>
      <c r="C83" s="428" t="s">
        <v>11194</v>
      </c>
      <c r="D83" s="428">
        <v>77785</v>
      </c>
      <c r="E83" s="428">
        <v>20000</v>
      </c>
      <c r="F83" s="429" t="s">
        <v>11195</v>
      </c>
      <c r="G83" s="428"/>
      <c r="H83" s="429"/>
      <c r="I83" s="430"/>
      <c r="J83" s="430"/>
      <c r="K83" s="430"/>
      <c r="L83" s="430"/>
      <c r="M83" s="430"/>
      <c r="N83" s="430"/>
      <c r="O83" s="430"/>
      <c r="P83" s="430"/>
      <c r="Q83" s="430"/>
      <c r="R83" s="430"/>
      <c r="S83" s="430"/>
      <c r="T83" s="430"/>
      <c r="U83" s="430"/>
      <c r="V83" s="430"/>
      <c r="W83" s="430"/>
      <c r="X83" s="430"/>
      <c r="Y83" s="430"/>
      <c r="Z83" s="430"/>
      <c r="AA83" s="430"/>
      <c r="AB83" s="430"/>
      <c r="AC83" s="430"/>
      <c r="AD83" s="430"/>
      <c r="AE83" s="430"/>
      <c r="AF83" s="430"/>
      <c r="AG83" s="430"/>
      <c r="AH83" s="430"/>
      <c r="AI83" s="430"/>
      <c r="AJ83" s="430">
        <v>20000</v>
      </c>
      <c r="AK83" s="430"/>
      <c r="AL83" s="430"/>
      <c r="AM83" s="430"/>
      <c r="AN83" s="430"/>
      <c r="AO83" s="430"/>
      <c r="AP83" s="430"/>
      <c r="AQ83" s="430"/>
      <c r="AR83" s="430"/>
      <c r="AS83" s="430"/>
      <c r="AT83" s="430"/>
      <c r="AU83" s="430"/>
      <c r="AV83" s="432" t="s">
        <v>11196</v>
      </c>
    </row>
    <row r="84" s="397" customFormat="1" ht="18" customHeight="1" spans="1:48">
      <c r="A84" s="426">
        <v>45811</v>
      </c>
      <c r="B84" s="427" t="s">
        <v>11204</v>
      </c>
      <c r="C84" s="428" t="s">
        <v>11194</v>
      </c>
      <c r="D84" s="428">
        <v>77785</v>
      </c>
      <c r="E84" s="428">
        <v>12000</v>
      </c>
      <c r="F84" s="429" t="s">
        <v>11195</v>
      </c>
      <c r="G84" s="428"/>
      <c r="H84" s="429"/>
      <c r="I84" s="430"/>
      <c r="J84" s="430"/>
      <c r="K84" s="430"/>
      <c r="L84" s="430"/>
      <c r="M84" s="430"/>
      <c r="N84" s="430"/>
      <c r="O84" s="430"/>
      <c r="P84" s="430"/>
      <c r="Q84" s="430"/>
      <c r="R84" s="430"/>
      <c r="S84" s="430"/>
      <c r="T84" s="430"/>
      <c r="U84" s="430"/>
      <c r="V84" s="430"/>
      <c r="W84" s="430"/>
      <c r="X84" s="430"/>
      <c r="Y84" s="430"/>
      <c r="Z84" s="430"/>
      <c r="AA84" s="430"/>
      <c r="AB84" s="430"/>
      <c r="AC84" s="430"/>
      <c r="AD84" s="430"/>
      <c r="AE84" s="430"/>
      <c r="AF84" s="430"/>
      <c r="AG84" s="430"/>
      <c r="AH84" s="430"/>
      <c r="AI84" s="430"/>
      <c r="AJ84" s="430">
        <v>12000</v>
      </c>
      <c r="AK84" s="430"/>
      <c r="AL84" s="430"/>
      <c r="AM84" s="430"/>
      <c r="AN84" s="430"/>
      <c r="AO84" s="430"/>
      <c r="AP84" s="430"/>
      <c r="AQ84" s="430"/>
      <c r="AR84" s="430"/>
      <c r="AS84" s="430"/>
      <c r="AT84" s="430"/>
      <c r="AU84" s="430"/>
      <c r="AV84" s="432" t="s">
        <v>11205</v>
      </c>
    </row>
    <row r="85" s="397" customFormat="1" ht="18" customHeight="1" spans="1:48">
      <c r="A85" s="426">
        <v>45820</v>
      </c>
      <c r="B85" s="427" t="s">
        <v>11489</v>
      </c>
      <c r="C85" s="428" t="s">
        <v>11183</v>
      </c>
      <c r="D85" s="428" t="s">
        <v>6084</v>
      </c>
      <c r="E85" s="428">
        <v>200000</v>
      </c>
      <c r="F85" s="429" t="s">
        <v>11146</v>
      </c>
      <c r="G85" s="428" t="s">
        <v>11147</v>
      </c>
      <c r="H85" s="429" t="s">
        <v>11148</v>
      </c>
      <c r="I85" s="430">
        <v>200000</v>
      </c>
      <c r="J85" s="430"/>
      <c r="K85" s="430"/>
      <c r="L85" s="430"/>
      <c r="M85" s="430"/>
      <c r="N85" s="430"/>
      <c r="O85" s="430"/>
      <c r="P85" s="430"/>
      <c r="Q85" s="430"/>
      <c r="R85" s="430"/>
      <c r="S85" s="430"/>
      <c r="T85" s="430"/>
      <c r="U85" s="430"/>
      <c r="V85" s="430"/>
      <c r="W85" s="430"/>
      <c r="X85" s="430"/>
      <c r="Y85" s="430"/>
      <c r="Z85" s="430"/>
      <c r="AA85" s="430"/>
      <c r="AB85" s="430"/>
      <c r="AC85" s="430"/>
      <c r="AD85" s="430"/>
      <c r="AE85" s="430"/>
      <c r="AF85" s="430"/>
      <c r="AG85" s="430"/>
      <c r="AH85" s="430"/>
      <c r="AI85" s="430"/>
      <c r="AJ85" s="430"/>
      <c r="AK85" s="430"/>
      <c r="AL85" s="430"/>
      <c r="AM85" s="430"/>
      <c r="AN85" s="430"/>
      <c r="AO85" s="430"/>
      <c r="AP85" s="430"/>
      <c r="AQ85" s="430"/>
      <c r="AR85" s="430"/>
      <c r="AS85" s="430"/>
      <c r="AT85" s="430"/>
      <c r="AU85" s="430"/>
      <c r="AV85" s="432"/>
    </row>
    <row r="86" s="397" customFormat="1" ht="18" customHeight="1" spans="1:48">
      <c r="A86" s="426">
        <v>45820</v>
      </c>
      <c r="B86" s="427" t="s">
        <v>11490</v>
      </c>
      <c r="C86" s="428" t="s">
        <v>11183</v>
      </c>
      <c r="D86" s="428" t="s">
        <v>6084</v>
      </c>
      <c r="E86" s="428">
        <v>250000</v>
      </c>
      <c r="F86" s="429" t="s">
        <v>11391</v>
      </c>
      <c r="G86" s="428" t="s">
        <v>11373</v>
      </c>
      <c r="H86" s="429" t="s">
        <v>11148</v>
      </c>
      <c r="I86" s="430"/>
      <c r="J86" s="430"/>
      <c r="K86" s="430"/>
      <c r="L86" s="430"/>
      <c r="M86" s="430"/>
      <c r="N86" s="430">
        <v>250000</v>
      </c>
      <c r="O86" s="430"/>
      <c r="P86" s="430"/>
      <c r="Q86" s="430"/>
      <c r="R86" s="430"/>
      <c r="S86" s="430"/>
      <c r="T86" s="430"/>
      <c r="U86" s="430"/>
      <c r="V86" s="430"/>
      <c r="W86" s="430"/>
      <c r="X86" s="430"/>
      <c r="Y86" s="430"/>
      <c r="Z86" s="430"/>
      <c r="AA86" s="430"/>
      <c r="AB86" s="430"/>
      <c r="AC86" s="430"/>
      <c r="AD86" s="430"/>
      <c r="AE86" s="430"/>
      <c r="AF86" s="430"/>
      <c r="AG86" s="430"/>
      <c r="AH86" s="430"/>
      <c r="AI86" s="430"/>
      <c r="AJ86" s="430"/>
      <c r="AK86" s="430"/>
      <c r="AL86" s="430"/>
      <c r="AM86" s="430"/>
      <c r="AN86" s="430"/>
      <c r="AO86" s="430"/>
      <c r="AP86" s="430"/>
      <c r="AQ86" s="430"/>
      <c r="AR86" s="430"/>
      <c r="AS86" s="430"/>
      <c r="AT86" s="430"/>
      <c r="AU86" s="430"/>
      <c r="AV86" s="432"/>
    </row>
    <row r="87" s="397" customFormat="1" ht="18" customHeight="1" spans="1:48">
      <c r="A87" s="426">
        <v>45820</v>
      </c>
      <c r="B87" s="427" t="s">
        <v>11491</v>
      </c>
      <c r="C87" s="428" t="s">
        <v>11183</v>
      </c>
      <c r="D87" s="428" t="s">
        <v>6166</v>
      </c>
      <c r="E87" s="428">
        <v>500</v>
      </c>
      <c r="F87" s="429" t="s">
        <v>11427</v>
      </c>
      <c r="G87" s="428" t="s">
        <v>11147</v>
      </c>
      <c r="H87" s="429" t="s">
        <v>11148</v>
      </c>
      <c r="I87" s="430"/>
      <c r="J87" s="430"/>
      <c r="K87" s="430"/>
      <c r="L87" s="430"/>
      <c r="M87" s="430"/>
      <c r="N87" s="430"/>
      <c r="O87" s="430"/>
      <c r="P87" s="430"/>
      <c r="Q87" s="430"/>
      <c r="R87" s="430"/>
      <c r="S87" s="430"/>
      <c r="T87" s="430"/>
      <c r="U87" s="430"/>
      <c r="V87" s="430"/>
      <c r="W87" s="430">
        <v>500</v>
      </c>
      <c r="X87" s="430"/>
      <c r="Y87" s="430"/>
      <c r="Z87" s="430"/>
      <c r="AA87" s="430"/>
      <c r="AB87" s="430"/>
      <c r="AC87" s="430"/>
      <c r="AD87" s="430"/>
      <c r="AE87" s="430"/>
      <c r="AF87" s="430"/>
      <c r="AG87" s="430"/>
      <c r="AH87" s="430"/>
      <c r="AI87" s="430"/>
      <c r="AJ87" s="430"/>
      <c r="AK87" s="430"/>
      <c r="AL87" s="430"/>
      <c r="AM87" s="430"/>
      <c r="AN87" s="430"/>
      <c r="AO87" s="430"/>
      <c r="AP87" s="430"/>
      <c r="AQ87" s="430"/>
      <c r="AR87" s="430"/>
      <c r="AS87" s="430"/>
      <c r="AT87" s="430"/>
      <c r="AU87" s="430"/>
      <c r="AV87" s="432"/>
    </row>
    <row r="88" s="397" customFormat="1" ht="18" customHeight="1" spans="1:48">
      <c r="A88" s="426">
        <v>45820</v>
      </c>
      <c r="B88" s="427" t="s">
        <v>11492</v>
      </c>
      <c r="C88" s="428" t="s">
        <v>11183</v>
      </c>
      <c r="D88" s="428" t="s">
        <v>11493</v>
      </c>
      <c r="E88" s="428">
        <v>300</v>
      </c>
      <c r="F88" s="429" t="s">
        <v>11494</v>
      </c>
      <c r="G88" s="428" t="s">
        <v>11373</v>
      </c>
      <c r="H88" s="429" t="s">
        <v>11148</v>
      </c>
      <c r="I88" s="430"/>
      <c r="J88" s="430"/>
      <c r="K88" s="430"/>
      <c r="L88" s="430"/>
      <c r="M88" s="430"/>
      <c r="N88" s="430"/>
      <c r="O88" s="430"/>
      <c r="P88" s="430"/>
      <c r="Q88" s="430"/>
      <c r="R88" s="430"/>
      <c r="S88" s="430"/>
      <c r="T88" s="430"/>
      <c r="U88" s="430"/>
      <c r="V88" s="430"/>
      <c r="W88" s="430"/>
      <c r="X88" s="430"/>
      <c r="Y88" s="430"/>
      <c r="Z88" s="430"/>
      <c r="AA88" s="430"/>
      <c r="AB88" s="430"/>
      <c r="AC88" s="430"/>
      <c r="AD88" s="430"/>
      <c r="AE88" s="430"/>
      <c r="AF88" s="430"/>
      <c r="AG88" s="430"/>
      <c r="AH88" s="430"/>
      <c r="AI88" s="430"/>
      <c r="AJ88" s="430"/>
      <c r="AK88" s="430"/>
      <c r="AL88" s="430"/>
      <c r="AM88" s="430"/>
      <c r="AN88" s="430"/>
      <c r="AO88" s="430"/>
      <c r="AP88" s="430">
        <v>300</v>
      </c>
      <c r="AQ88" s="430"/>
      <c r="AR88" s="430"/>
      <c r="AS88" s="430"/>
      <c r="AT88" s="430"/>
      <c r="AU88" s="430"/>
      <c r="AV88" s="432"/>
    </row>
    <row r="89" s="397" customFormat="1" ht="18" customHeight="1" spans="1:48">
      <c r="A89" s="426">
        <v>45820</v>
      </c>
      <c r="B89" s="427" t="s">
        <v>11495</v>
      </c>
      <c r="C89" s="428" t="s">
        <v>11183</v>
      </c>
      <c r="D89" s="428" t="s">
        <v>6047</v>
      </c>
      <c r="E89" s="428">
        <v>50000</v>
      </c>
      <c r="F89" s="429" t="s">
        <v>11375</v>
      </c>
      <c r="G89" s="428" t="s">
        <v>11157</v>
      </c>
      <c r="H89" s="429" t="s">
        <v>11148</v>
      </c>
      <c r="I89" s="430"/>
      <c r="J89" s="430"/>
      <c r="K89" s="430"/>
      <c r="L89" s="430"/>
      <c r="M89" s="430"/>
      <c r="N89" s="430"/>
      <c r="O89" s="430">
        <v>50000</v>
      </c>
      <c r="P89" s="430"/>
      <c r="Q89" s="430"/>
      <c r="R89" s="430"/>
      <c r="S89" s="430"/>
      <c r="T89" s="430"/>
      <c r="U89" s="430"/>
      <c r="V89" s="430"/>
      <c r="W89" s="430"/>
      <c r="X89" s="430"/>
      <c r="Y89" s="430"/>
      <c r="Z89" s="430"/>
      <c r="AA89" s="430"/>
      <c r="AB89" s="430"/>
      <c r="AC89" s="430"/>
      <c r="AD89" s="430"/>
      <c r="AE89" s="430"/>
      <c r="AF89" s="430"/>
      <c r="AG89" s="430"/>
      <c r="AH89" s="430"/>
      <c r="AI89" s="430"/>
      <c r="AJ89" s="430"/>
      <c r="AK89" s="430"/>
      <c r="AL89" s="430"/>
      <c r="AM89" s="430"/>
      <c r="AN89" s="430"/>
      <c r="AO89" s="430"/>
      <c r="AP89" s="430"/>
      <c r="AQ89" s="430"/>
      <c r="AR89" s="430"/>
      <c r="AS89" s="430"/>
      <c r="AT89" s="430"/>
      <c r="AU89" s="430"/>
      <c r="AV89" s="432"/>
    </row>
    <row r="90" s="397" customFormat="1" ht="18" customHeight="1" spans="1:48">
      <c r="A90" s="426">
        <v>45820</v>
      </c>
      <c r="B90" s="427" t="s">
        <v>11496</v>
      </c>
      <c r="C90" s="428" t="s">
        <v>11183</v>
      </c>
      <c r="D90" s="428" t="s">
        <v>6093</v>
      </c>
      <c r="E90" s="428">
        <v>500</v>
      </c>
      <c r="F90" s="429" t="s">
        <v>11402</v>
      </c>
      <c r="G90" s="428" t="s">
        <v>11153</v>
      </c>
      <c r="H90" s="429" t="s">
        <v>11148</v>
      </c>
      <c r="I90" s="430"/>
      <c r="J90" s="430"/>
      <c r="K90" s="430"/>
      <c r="L90" s="430"/>
      <c r="M90" s="430"/>
      <c r="N90" s="430"/>
      <c r="O90" s="430"/>
      <c r="P90" s="430"/>
      <c r="Q90" s="430"/>
      <c r="R90" s="430"/>
      <c r="S90" s="430"/>
      <c r="T90" s="430"/>
      <c r="U90" s="430"/>
      <c r="V90" s="430"/>
      <c r="W90" s="430"/>
      <c r="X90" s="430"/>
      <c r="Y90" s="430">
        <v>500</v>
      </c>
      <c r="Z90" s="430"/>
      <c r="AA90" s="430"/>
      <c r="AB90" s="430"/>
      <c r="AC90" s="430"/>
      <c r="AD90" s="430"/>
      <c r="AE90" s="430"/>
      <c r="AF90" s="430"/>
      <c r="AG90" s="430"/>
      <c r="AH90" s="430"/>
      <c r="AI90" s="430"/>
      <c r="AJ90" s="430"/>
      <c r="AK90" s="430"/>
      <c r="AL90" s="430"/>
      <c r="AM90" s="430"/>
      <c r="AN90" s="430"/>
      <c r="AO90" s="430"/>
      <c r="AP90" s="430"/>
      <c r="AQ90" s="430"/>
      <c r="AR90" s="430"/>
      <c r="AS90" s="430"/>
      <c r="AT90" s="430"/>
      <c r="AU90" s="430"/>
      <c r="AV90" s="432"/>
    </row>
    <row r="91" s="397" customFormat="1" ht="18" customHeight="1" spans="1:48">
      <c r="A91" s="426">
        <v>45820</v>
      </c>
      <c r="B91" s="427" t="s">
        <v>11497</v>
      </c>
      <c r="C91" s="428" t="s">
        <v>11183</v>
      </c>
      <c r="D91" s="428" t="s">
        <v>66</v>
      </c>
      <c r="E91" s="428">
        <v>100</v>
      </c>
      <c r="F91" s="429" t="s">
        <v>11449</v>
      </c>
      <c r="G91" s="428" t="s">
        <v>11153</v>
      </c>
      <c r="H91" s="429" t="s">
        <v>11148</v>
      </c>
      <c r="I91" s="430"/>
      <c r="J91" s="430"/>
      <c r="K91" s="430"/>
      <c r="L91" s="430"/>
      <c r="M91" s="430"/>
      <c r="N91" s="430"/>
      <c r="O91" s="430"/>
      <c r="P91" s="430"/>
      <c r="Q91" s="430"/>
      <c r="R91" s="430"/>
      <c r="S91" s="430"/>
      <c r="T91" s="430"/>
      <c r="U91" s="430"/>
      <c r="V91" s="430"/>
      <c r="W91" s="430"/>
      <c r="X91" s="430"/>
      <c r="Y91" s="430"/>
      <c r="Z91" s="430"/>
      <c r="AA91" s="430"/>
      <c r="AB91" s="430"/>
      <c r="AC91" s="430"/>
      <c r="AD91" s="430"/>
      <c r="AE91" s="430"/>
      <c r="AF91" s="430"/>
      <c r="AG91" s="430"/>
      <c r="AH91" s="430"/>
      <c r="AI91" s="430"/>
      <c r="AJ91" s="430"/>
      <c r="AK91" s="430"/>
      <c r="AL91" s="430"/>
      <c r="AM91" s="430"/>
      <c r="AN91" s="430"/>
      <c r="AO91" s="430"/>
      <c r="AP91" s="430"/>
      <c r="AQ91" s="430"/>
      <c r="AR91" s="430">
        <v>100</v>
      </c>
      <c r="AS91" s="430"/>
      <c r="AT91" s="430"/>
      <c r="AU91" s="430"/>
      <c r="AV91" s="432"/>
    </row>
    <row r="92" s="397" customFormat="1" ht="18" customHeight="1" spans="1:48">
      <c r="A92" s="426">
        <v>45827</v>
      </c>
      <c r="B92" s="427" t="s">
        <v>11217</v>
      </c>
      <c r="C92" s="428" t="s">
        <v>11212</v>
      </c>
      <c r="D92" s="428" t="s">
        <v>11213</v>
      </c>
      <c r="E92" s="428">
        <v>29400</v>
      </c>
      <c r="F92" s="429" t="s">
        <v>11218</v>
      </c>
      <c r="G92" s="428" t="s">
        <v>11498</v>
      </c>
      <c r="H92" s="429" t="s">
        <v>11148</v>
      </c>
      <c r="I92" s="430"/>
      <c r="J92" s="430"/>
      <c r="K92" s="430"/>
      <c r="L92" s="430"/>
      <c r="M92" s="430"/>
      <c r="N92" s="430"/>
      <c r="O92" s="430"/>
      <c r="P92" s="430"/>
      <c r="Q92" s="430"/>
      <c r="R92" s="430"/>
      <c r="S92" s="430">
        <v>29400</v>
      </c>
      <c r="T92" s="430"/>
      <c r="U92" s="430"/>
      <c r="V92" s="430"/>
      <c r="W92" s="430"/>
      <c r="X92" s="430"/>
      <c r="Y92" s="430"/>
      <c r="Z92" s="430"/>
      <c r="AA92" s="430"/>
      <c r="AB92" s="430"/>
      <c r="AC92" s="430"/>
      <c r="AD92" s="430"/>
      <c r="AE92" s="430"/>
      <c r="AF92" s="430"/>
      <c r="AG92" s="430"/>
      <c r="AH92" s="430"/>
      <c r="AI92" s="430"/>
      <c r="AJ92" s="430"/>
      <c r="AK92" s="430"/>
      <c r="AL92" s="430"/>
      <c r="AM92" s="430"/>
      <c r="AN92" s="430"/>
      <c r="AO92" s="430"/>
      <c r="AP92" s="430"/>
      <c r="AQ92" s="430"/>
      <c r="AR92" s="430"/>
      <c r="AS92" s="430"/>
      <c r="AT92" s="430"/>
      <c r="AU92" s="430"/>
      <c r="AV92" s="432" t="s">
        <v>11216</v>
      </c>
    </row>
    <row r="93" s="397" customFormat="1" ht="18" customHeight="1" spans="1:48">
      <c r="A93" s="426">
        <v>45827</v>
      </c>
      <c r="B93" s="427" t="s">
        <v>11499</v>
      </c>
      <c r="C93" s="428" t="s">
        <v>11212</v>
      </c>
      <c r="D93" s="428" t="s">
        <v>11213</v>
      </c>
      <c r="E93" s="428">
        <v>29400</v>
      </c>
      <c r="F93" s="429" t="s">
        <v>11254</v>
      </c>
      <c r="G93" s="428" t="s">
        <v>11153</v>
      </c>
      <c r="H93" s="429" t="s">
        <v>11148</v>
      </c>
      <c r="I93" s="430"/>
      <c r="J93" s="430"/>
      <c r="K93" s="430"/>
      <c r="L93" s="430"/>
      <c r="M93" s="430"/>
      <c r="N93" s="430"/>
      <c r="O93" s="430"/>
      <c r="P93" s="430"/>
      <c r="Q93" s="430"/>
      <c r="R93" s="430"/>
      <c r="S93" s="430"/>
      <c r="T93" s="430"/>
      <c r="U93" s="430">
        <v>29400</v>
      </c>
      <c r="V93" s="430"/>
      <c r="W93" s="430"/>
      <c r="X93" s="430"/>
      <c r="Y93" s="430"/>
      <c r="Z93" s="430"/>
      <c r="AA93" s="430"/>
      <c r="AB93" s="430"/>
      <c r="AC93" s="430"/>
      <c r="AD93" s="430"/>
      <c r="AE93" s="430"/>
      <c r="AF93" s="430"/>
      <c r="AG93" s="430"/>
      <c r="AH93" s="430"/>
      <c r="AI93" s="430"/>
      <c r="AJ93" s="430"/>
      <c r="AK93" s="430"/>
      <c r="AL93" s="430"/>
      <c r="AM93" s="430"/>
      <c r="AN93" s="430"/>
      <c r="AO93" s="430"/>
      <c r="AP93" s="430"/>
      <c r="AQ93" s="430"/>
      <c r="AR93" s="430"/>
      <c r="AS93" s="430"/>
      <c r="AT93" s="430"/>
      <c r="AU93" s="430"/>
      <c r="AV93" s="432" t="s">
        <v>11216</v>
      </c>
    </row>
    <row r="94" s="397" customFormat="1" ht="18" customHeight="1" spans="1:48">
      <c r="A94" s="426">
        <v>45827</v>
      </c>
      <c r="B94" s="427" t="s">
        <v>11211</v>
      </c>
      <c r="C94" s="428" t="s">
        <v>11212</v>
      </c>
      <c r="D94" s="428" t="s">
        <v>11213</v>
      </c>
      <c r="E94" s="428">
        <v>29400</v>
      </c>
      <c r="F94" s="429" t="s">
        <v>11256</v>
      </c>
      <c r="G94" s="428" t="s">
        <v>11215</v>
      </c>
      <c r="H94" s="429" t="s">
        <v>11148</v>
      </c>
      <c r="I94" s="430"/>
      <c r="J94" s="430"/>
      <c r="K94" s="430"/>
      <c r="L94" s="430"/>
      <c r="M94" s="430"/>
      <c r="N94" s="430"/>
      <c r="O94" s="430"/>
      <c r="P94" s="430"/>
      <c r="Q94" s="430"/>
      <c r="R94" s="430"/>
      <c r="S94" s="430"/>
      <c r="T94" s="430"/>
      <c r="U94" s="430"/>
      <c r="V94" s="430"/>
      <c r="W94" s="430"/>
      <c r="X94" s="430"/>
      <c r="Y94" s="430"/>
      <c r="Z94" s="430"/>
      <c r="AA94" s="430"/>
      <c r="AB94" s="430"/>
      <c r="AC94" s="430"/>
      <c r="AD94" s="430"/>
      <c r="AE94" s="430"/>
      <c r="AF94" s="430"/>
      <c r="AG94" s="430"/>
      <c r="AH94" s="430"/>
      <c r="AI94" s="430"/>
      <c r="AJ94" s="430"/>
      <c r="AK94" s="430"/>
      <c r="AL94" s="430"/>
      <c r="AM94" s="430"/>
      <c r="AN94" s="430"/>
      <c r="AO94" s="430"/>
      <c r="AP94" s="430"/>
      <c r="AQ94" s="430"/>
      <c r="AR94" s="430"/>
      <c r="AS94" s="430"/>
      <c r="AT94" s="430"/>
      <c r="AU94" s="430"/>
      <c r="AV94" s="432" t="s">
        <v>11216</v>
      </c>
    </row>
    <row r="95" s="397" customFormat="1" ht="18" customHeight="1" spans="1:48">
      <c r="A95" s="426">
        <v>45827</v>
      </c>
      <c r="B95" s="427" t="s">
        <v>11500</v>
      </c>
      <c r="C95" s="428" t="s">
        <v>11212</v>
      </c>
      <c r="D95" s="428" t="s">
        <v>11213</v>
      </c>
      <c r="E95" s="428">
        <v>88200</v>
      </c>
      <c r="F95" s="429" t="s">
        <v>11501</v>
      </c>
      <c r="G95" s="428" t="s">
        <v>11502</v>
      </c>
      <c r="H95" s="429" t="s">
        <v>11148</v>
      </c>
      <c r="I95" s="430"/>
      <c r="J95" s="430"/>
      <c r="K95" s="430"/>
      <c r="L95" s="430"/>
      <c r="M95" s="430"/>
      <c r="N95" s="430"/>
      <c r="O95" s="430"/>
      <c r="P95" s="430"/>
      <c r="Q95" s="430"/>
      <c r="R95" s="430"/>
      <c r="S95" s="430"/>
      <c r="T95" s="430">
        <v>88200</v>
      </c>
      <c r="U95" s="430"/>
      <c r="V95" s="430"/>
      <c r="W95" s="430"/>
      <c r="X95" s="430"/>
      <c r="Y95" s="430"/>
      <c r="Z95" s="430"/>
      <c r="AA95" s="430"/>
      <c r="AB95" s="430"/>
      <c r="AC95" s="430"/>
      <c r="AD95" s="430"/>
      <c r="AE95" s="430"/>
      <c r="AF95" s="430"/>
      <c r="AG95" s="430"/>
      <c r="AH95" s="430"/>
      <c r="AI95" s="430"/>
      <c r="AJ95" s="430"/>
      <c r="AK95" s="430"/>
      <c r="AL95" s="430"/>
      <c r="AM95" s="430"/>
      <c r="AN95" s="430"/>
      <c r="AO95" s="430"/>
      <c r="AP95" s="430"/>
      <c r="AQ95" s="430"/>
      <c r="AR95" s="430"/>
      <c r="AS95" s="430"/>
      <c r="AT95" s="430"/>
      <c r="AU95" s="430"/>
      <c r="AV95" s="432" t="s">
        <v>11216</v>
      </c>
    </row>
    <row r="96" s="397" customFormat="1" ht="18" customHeight="1" spans="1:48">
      <c r="A96" s="426">
        <v>45827</v>
      </c>
      <c r="B96" s="427" t="s">
        <v>11503</v>
      </c>
      <c r="C96" s="428" t="s">
        <v>11212</v>
      </c>
      <c r="D96" s="428" t="s">
        <v>11213</v>
      </c>
      <c r="E96" s="428">
        <v>5880</v>
      </c>
      <c r="F96" s="429" t="s">
        <v>11258</v>
      </c>
      <c r="G96" s="428" t="s">
        <v>11153</v>
      </c>
      <c r="H96" s="429" t="s">
        <v>11148</v>
      </c>
      <c r="I96" s="430"/>
      <c r="J96" s="430"/>
      <c r="K96" s="430"/>
      <c r="L96" s="430"/>
      <c r="M96" s="430"/>
      <c r="N96" s="430"/>
      <c r="O96" s="430"/>
      <c r="P96" s="430"/>
      <c r="Q96" s="430"/>
      <c r="R96" s="430"/>
      <c r="S96" s="430"/>
      <c r="T96" s="430"/>
      <c r="U96" s="430"/>
      <c r="V96" s="430">
        <v>5880</v>
      </c>
      <c r="W96" s="430"/>
      <c r="X96" s="430"/>
      <c r="Y96" s="430"/>
      <c r="Z96" s="430"/>
      <c r="AA96" s="430"/>
      <c r="AB96" s="430"/>
      <c r="AC96" s="430"/>
      <c r="AD96" s="430"/>
      <c r="AE96" s="430"/>
      <c r="AF96" s="430"/>
      <c r="AG96" s="430"/>
      <c r="AH96" s="430"/>
      <c r="AI96" s="430"/>
      <c r="AJ96" s="430"/>
      <c r="AK96" s="430"/>
      <c r="AL96" s="430"/>
      <c r="AM96" s="430"/>
      <c r="AN96" s="430"/>
      <c r="AO96" s="430"/>
      <c r="AP96" s="430"/>
      <c r="AQ96" s="430"/>
      <c r="AR96" s="430"/>
      <c r="AS96" s="430"/>
      <c r="AT96" s="430"/>
      <c r="AU96" s="430"/>
      <c r="AV96" s="432" t="s">
        <v>11216</v>
      </c>
    </row>
    <row r="97" s="397" customFormat="1" ht="18" customHeight="1" spans="1:48">
      <c r="A97" s="426">
        <v>45828</v>
      </c>
      <c r="B97" s="427" t="s">
        <v>11504</v>
      </c>
      <c r="C97" s="428" t="s">
        <v>11505</v>
      </c>
      <c r="D97" s="428" t="s">
        <v>11416</v>
      </c>
      <c r="E97" s="428">
        <v>1809</v>
      </c>
      <c r="F97" s="429" t="s">
        <v>11417</v>
      </c>
      <c r="G97" s="428" t="s">
        <v>11173</v>
      </c>
      <c r="H97" s="429" t="s">
        <v>11148</v>
      </c>
      <c r="I97" s="430"/>
      <c r="J97" s="430"/>
      <c r="K97" s="430"/>
      <c r="L97" s="430"/>
      <c r="M97" s="430"/>
      <c r="N97" s="430"/>
      <c r="O97" s="430"/>
      <c r="P97" s="430"/>
      <c r="Q97" s="430"/>
      <c r="R97" s="430"/>
      <c r="S97" s="430"/>
      <c r="T97" s="430"/>
      <c r="U97" s="430"/>
      <c r="V97" s="430"/>
      <c r="W97" s="430"/>
      <c r="X97" s="430"/>
      <c r="Y97" s="430"/>
      <c r="Z97" s="430"/>
      <c r="AA97" s="430"/>
      <c r="AB97" s="430"/>
      <c r="AC97" s="430">
        <v>1809</v>
      </c>
      <c r="AD97" s="430"/>
      <c r="AE97" s="430"/>
      <c r="AF97" s="430"/>
      <c r="AG97" s="430"/>
      <c r="AH97" s="430"/>
      <c r="AI97" s="430"/>
      <c r="AJ97" s="430"/>
      <c r="AK97" s="430"/>
      <c r="AL97" s="430"/>
      <c r="AM97" s="430"/>
      <c r="AN97" s="430"/>
      <c r="AO97" s="430"/>
      <c r="AP97" s="430"/>
      <c r="AQ97" s="430"/>
      <c r="AR97" s="430"/>
      <c r="AS97" s="430"/>
      <c r="AT97" s="430"/>
      <c r="AU97" s="430"/>
      <c r="AV97" s="432" t="s">
        <v>11506</v>
      </c>
    </row>
    <row r="98" s="397" customFormat="1" ht="18" customHeight="1" spans="1:48">
      <c r="A98" s="426">
        <v>45832</v>
      </c>
      <c r="B98" s="427" t="s">
        <v>11507</v>
      </c>
      <c r="C98" s="428" t="s">
        <v>11183</v>
      </c>
      <c r="D98" s="428" t="s">
        <v>6084</v>
      </c>
      <c r="E98" s="428">
        <v>200000</v>
      </c>
      <c r="F98" s="429" t="s">
        <v>11146</v>
      </c>
      <c r="G98" s="428" t="s">
        <v>11147</v>
      </c>
      <c r="H98" s="429" t="s">
        <v>11148</v>
      </c>
      <c r="I98" s="430">
        <v>200000</v>
      </c>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2" t="s">
        <v>11370</v>
      </c>
    </row>
    <row r="99" s="397" customFormat="1" ht="18" customHeight="1" spans="1:48">
      <c r="A99" s="426">
        <v>45832</v>
      </c>
      <c r="B99" s="427" t="s">
        <v>11508</v>
      </c>
      <c r="C99" s="428" t="s">
        <v>11183</v>
      </c>
      <c r="D99" s="428" t="s">
        <v>6084</v>
      </c>
      <c r="E99" s="428">
        <v>250000</v>
      </c>
      <c r="F99" s="429" t="s">
        <v>11391</v>
      </c>
      <c r="G99" s="428" t="s">
        <v>11373</v>
      </c>
      <c r="H99" s="429" t="s">
        <v>11220</v>
      </c>
      <c r="I99" s="430"/>
      <c r="J99" s="430"/>
      <c r="K99" s="430"/>
      <c r="L99" s="430"/>
      <c r="M99" s="430"/>
      <c r="N99" s="430">
        <v>250000</v>
      </c>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2" t="s">
        <v>11509</v>
      </c>
    </row>
    <row r="100" s="397" customFormat="1" ht="18" customHeight="1" spans="1:48">
      <c r="A100" s="426">
        <v>45832</v>
      </c>
      <c r="B100" s="427" t="s">
        <v>11510</v>
      </c>
      <c r="C100" s="428" t="s">
        <v>11183</v>
      </c>
      <c r="D100" s="428" t="s">
        <v>11378</v>
      </c>
      <c r="E100" s="428">
        <v>4000</v>
      </c>
      <c r="F100" s="429" t="s">
        <v>11379</v>
      </c>
      <c r="G100" s="428" t="s">
        <v>11147</v>
      </c>
      <c r="H100" s="429" t="s">
        <v>11148</v>
      </c>
      <c r="I100" s="430"/>
      <c r="J100" s="430"/>
      <c r="K100" s="430"/>
      <c r="L100" s="430"/>
      <c r="M100" s="430"/>
      <c r="N100" s="430"/>
      <c r="O100" s="430"/>
      <c r="P100" s="430"/>
      <c r="Q100" s="430"/>
      <c r="R100" s="430"/>
      <c r="S100" s="430"/>
      <c r="T100" s="430"/>
      <c r="U100" s="430"/>
      <c r="V100" s="430"/>
      <c r="W100" s="430"/>
      <c r="X100" s="430"/>
      <c r="Y100" s="430"/>
      <c r="Z100" s="430">
        <v>4000</v>
      </c>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2" t="s">
        <v>11376</v>
      </c>
    </row>
    <row r="101" s="397" customFormat="1" ht="18" customHeight="1" spans="1:48">
      <c r="A101" s="426">
        <v>45832</v>
      </c>
      <c r="B101" s="427" t="s">
        <v>11511</v>
      </c>
      <c r="C101" s="428" t="s">
        <v>11183</v>
      </c>
      <c r="D101" s="428" t="s">
        <v>6166</v>
      </c>
      <c r="E101" s="428">
        <v>1158</v>
      </c>
      <c r="F101" s="429" t="s">
        <v>11395</v>
      </c>
      <c r="G101" s="428" t="s">
        <v>11373</v>
      </c>
      <c r="H101" s="429" t="s">
        <v>11148</v>
      </c>
      <c r="I101" s="430"/>
      <c r="J101" s="430"/>
      <c r="K101" s="430"/>
      <c r="L101" s="430"/>
      <c r="M101" s="430"/>
      <c r="N101" s="430"/>
      <c r="O101" s="430"/>
      <c r="P101" s="430"/>
      <c r="Q101" s="430"/>
      <c r="R101" s="430"/>
      <c r="S101" s="430"/>
      <c r="T101" s="430"/>
      <c r="U101" s="430"/>
      <c r="V101" s="430"/>
      <c r="W101" s="430"/>
      <c r="X101" s="430">
        <v>1158</v>
      </c>
      <c r="Y101" s="430"/>
      <c r="Z101" s="430"/>
      <c r="AA101" s="430"/>
      <c r="AB101" s="430"/>
      <c r="AC101" s="430"/>
      <c r="AD101" s="430"/>
      <c r="AE101" s="430"/>
      <c r="AF101" s="430"/>
      <c r="AG101" s="430"/>
      <c r="AH101" s="430"/>
      <c r="AI101" s="430"/>
      <c r="AJ101" s="430"/>
      <c r="AK101" s="430"/>
      <c r="AL101" s="430"/>
      <c r="AM101" s="430"/>
      <c r="AN101" s="430"/>
      <c r="AO101" s="430"/>
      <c r="AP101" s="430"/>
      <c r="AQ101" s="430"/>
      <c r="AR101" s="430"/>
      <c r="AS101" s="430"/>
      <c r="AT101" s="430"/>
      <c r="AU101" s="430"/>
      <c r="AV101" s="432" t="s">
        <v>11376</v>
      </c>
    </row>
    <row r="102" s="397" customFormat="1" ht="18" customHeight="1" spans="1:48">
      <c r="A102" s="426">
        <v>45832</v>
      </c>
      <c r="B102" s="427" t="s">
        <v>11512</v>
      </c>
      <c r="C102" s="428" t="s">
        <v>11183</v>
      </c>
      <c r="D102" s="428" t="s">
        <v>6166</v>
      </c>
      <c r="E102" s="428">
        <v>600</v>
      </c>
      <c r="F102" s="429" t="s">
        <v>11427</v>
      </c>
      <c r="G102" s="428" t="s">
        <v>11147</v>
      </c>
      <c r="H102" s="429" t="s">
        <v>11148</v>
      </c>
      <c r="I102" s="430"/>
      <c r="J102" s="430"/>
      <c r="K102" s="430"/>
      <c r="L102" s="430"/>
      <c r="M102" s="430"/>
      <c r="N102" s="430"/>
      <c r="O102" s="430"/>
      <c r="P102" s="430"/>
      <c r="Q102" s="430"/>
      <c r="R102" s="430"/>
      <c r="S102" s="430"/>
      <c r="T102" s="430"/>
      <c r="U102" s="430"/>
      <c r="V102" s="430"/>
      <c r="W102" s="430">
        <v>600</v>
      </c>
      <c r="X102" s="430"/>
      <c r="Y102" s="430"/>
      <c r="Z102" s="430"/>
      <c r="AA102" s="430"/>
      <c r="AB102" s="430"/>
      <c r="AC102" s="430"/>
      <c r="AD102" s="430"/>
      <c r="AE102" s="430"/>
      <c r="AF102" s="430"/>
      <c r="AG102" s="430"/>
      <c r="AH102" s="430"/>
      <c r="AI102" s="430"/>
      <c r="AJ102" s="430"/>
      <c r="AK102" s="430"/>
      <c r="AL102" s="430"/>
      <c r="AM102" s="430"/>
      <c r="AN102" s="430"/>
      <c r="AO102" s="430"/>
      <c r="AP102" s="430"/>
      <c r="AQ102" s="430"/>
      <c r="AR102" s="430"/>
      <c r="AS102" s="430"/>
      <c r="AT102" s="430"/>
      <c r="AU102" s="430"/>
      <c r="AV102" s="432" t="s">
        <v>11376</v>
      </c>
    </row>
    <row r="103" s="397" customFormat="1" ht="18" customHeight="1" spans="1:48">
      <c r="A103" s="426">
        <v>45832</v>
      </c>
      <c r="B103" s="427" t="s">
        <v>11513</v>
      </c>
      <c r="C103" s="428" t="s">
        <v>11183</v>
      </c>
      <c r="D103" s="428" t="s">
        <v>6047</v>
      </c>
      <c r="E103" s="428">
        <v>100000</v>
      </c>
      <c r="F103" s="429" t="s">
        <v>11152</v>
      </c>
      <c r="G103" s="428" t="s">
        <v>11153</v>
      </c>
      <c r="H103" s="429" t="s">
        <v>11148</v>
      </c>
      <c r="I103" s="430"/>
      <c r="J103" s="430"/>
      <c r="K103" s="430"/>
      <c r="L103" s="430"/>
      <c r="M103" s="430">
        <v>100000</v>
      </c>
      <c r="N103" s="430"/>
      <c r="O103" s="430"/>
      <c r="P103" s="430"/>
      <c r="Q103" s="430"/>
      <c r="R103" s="430"/>
      <c r="S103" s="430"/>
      <c r="T103" s="430"/>
      <c r="U103" s="430"/>
      <c r="V103" s="430"/>
      <c r="W103" s="430"/>
      <c r="X103" s="430"/>
      <c r="Y103" s="430"/>
      <c r="Z103" s="430"/>
      <c r="AA103" s="430"/>
      <c r="AB103" s="430"/>
      <c r="AC103" s="430"/>
      <c r="AD103" s="430"/>
      <c r="AE103" s="430"/>
      <c r="AF103" s="430"/>
      <c r="AG103" s="430"/>
      <c r="AH103" s="430"/>
      <c r="AI103" s="430"/>
      <c r="AJ103" s="430"/>
      <c r="AK103" s="430"/>
      <c r="AL103" s="430"/>
      <c r="AM103" s="430"/>
      <c r="AN103" s="430"/>
      <c r="AO103" s="430"/>
      <c r="AP103" s="430"/>
      <c r="AQ103" s="430"/>
      <c r="AR103" s="430"/>
      <c r="AS103" s="430"/>
      <c r="AT103" s="430"/>
      <c r="AU103" s="430"/>
      <c r="AV103" s="432" t="s">
        <v>11383</v>
      </c>
    </row>
    <row r="104" s="397" customFormat="1" ht="18" customHeight="1" spans="1:48">
      <c r="A104" s="426">
        <v>45832</v>
      </c>
      <c r="B104" s="427" t="s">
        <v>11514</v>
      </c>
      <c r="C104" s="428" t="s">
        <v>11183</v>
      </c>
      <c r="D104" s="428" t="s">
        <v>6047</v>
      </c>
      <c r="E104" s="428">
        <v>150000</v>
      </c>
      <c r="F104" s="429" t="s">
        <v>11375</v>
      </c>
      <c r="G104" s="428" t="s">
        <v>11157</v>
      </c>
      <c r="H104" s="429" t="s">
        <v>11220</v>
      </c>
      <c r="I104" s="430"/>
      <c r="J104" s="430"/>
      <c r="K104" s="430"/>
      <c r="L104" s="430"/>
      <c r="M104" s="430"/>
      <c r="N104" s="430"/>
      <c r="O104" s="430">
        <v>150000</v>
      </c>
      <c r="P104" s="430"/>
      <c r="Q104" s="430"/>
      <c r="R104" s="430"/>
      <c r="S104" s="430"/>
      <c r="T104" s="430"/>
      <c r="U104" s="430"/>
      <c r="V104" s="430"/>
      <c r="W104" s="430"/>
      <c r="X104" s="430"/>
      <c r="Y104" s="430"/>
      <c r="Z104" s="430"/>
      <c r="AA104" s="430"/>
      <c r="AB104" s="430"/>
      <c r="AC104" s="430"/>
      <c r="AD104" s="430"/>
      <c r="AE104" s="430"/>
      <c r="AF104" s="430"/>
      <c r="AG104" s="430"/>
      <c r="AH104" s="430"/>
      <c r="AI104" s="430"/>
      <c r="AJ104" s="430"/>
      <c r="AK104" s="430"/>
      <c r="AL104" s="430"/>
      <c r="AM104" s="430"/>
      <c r="AN104" s="430"/>
      <c r="AO104" s="430"/>
      <c r="AP104" s="430"/>
      <c r="AQ104" s="430"/>
      <c r="AR104" s="430"/>
      <c r="AS104" s="430"/>
      <c r="AT104" s="430"/>
      <c r="AU104" s="430"/>
      <c r="AV104" s="432" t="s">
        <v>11515</v>
      </c>
    </row>
    <row r="105" s="397" customFormat="1" ht="18" customHeight="1" spans="1:48">
      <c r="A105" s="426">
        <v>45832</v>
      </c>
      <c r="B105" s="427" t="s">
        <v>11516</v>
      </c>
      <c r="C105" s="428" t="s">
        <v>11183</v>
      </c>
      <c r="D105" s="428" t="s">
        <v>6047</v>
      </c>
      <c r="E105" s="428">
        <v>600</v>
      </c>
      <c r="F105" s="429" t="s">
        <v>11387</v>
      </c>
      <c r="G105" s="428" t="s">
        <v>11153</v>
      </c>
      <c r="H105" s="429" t="s">
        <v>11148</v>
      </c>
      <c r="I105" s="430"/>
      <c r="J105" s="430"/>
      <c r="K105" s="430"/>
      <c r="L105" s="430"/>
      <c r="M105" s="430"/>
      <c r="N105" s="430"/>
      <c r="O105" s="430"/>
      <c r="P105" s="430"/>
      <c r="Q105" s="430"/>
      <c r="R105" s="430"/>
      <c r="S105" s="430"/>
      <c r="T105" s="430"/>
      <c r="U105" s="430"/>
      <c r="V105" s="430"/>
      <c r="W105" s="430"/>
      <c r="X105" s="430"/>
      <c r="Y105" s="430"/>
      <c r="Z105" s="430"/>
      <c r="AA105" s="430"/>
      <c r="AB105" s="430">
        <v>600</v>
      </c>
      <c r="AC105" s="430"/>
      <c r="AD105" s="430"/>
      <c r="AE105" s="430"/>
      <c r="AF105" s="430"/>
      <c r="AG105" s="430"/>
      <c r="AH105" s="430"/>
      <c r="AI105" s="430"/>
      <c r="AJ105" s="430"/>
      <c r="AK105" s="430"/>
      <c r="AL105" s="430"/>
      <c r="AM105" s="430"/>
      <c r="AN105" s="430"/>
      <c r="AO105" s="430"/>
      <c r="AP105" s="430"/>
      <c r="AQ105" s="430"/>
      <c r="AR105" s="430"/>
      <c r="AS105" s="430"/>
      <c r="AT105" s="430"/>
      <c r="AU105" s="430"/>
      <c r="AV105" s="432" t="s">
        <v>11385</v>
      </c>
    </row>
    <row r="106" s="397" customFormat="1" ht="18" customHeight="1" spans="1:48">
      <c r="A106" s="426">
        <v>45832</v>
      </c>
      <c r="B106" s="427" t="s">
        <v>11517</v>
      </c>
      <c r="C106" s="428" t="s">
        <v>11183</v>
      </c>
      <c r="D106" s="428" t="s">
        <v>6093</v>
      </c>
      <c r="E106" s="428">
        <v>1500</v>
      </c>
      <c r="F106" s="429" t="s">
        <v>11402</v>
      </c>
      <c r="G106" s="428" t="s">
        <v>11153</v>
      </c>
      <c r="H106" s="429" t="s">
        <v>11148</v>
      </c>
      <c r="I106" s="430"/>
      <c r="J106" s="430"/>
      <c r="K106" s="430"/>
      <c r="L106" s="430"/>
      <c r="M106" s="430"/>
      <c r="N106" s="430"/>
      <c r="O106" s="430"/>
      <c r="P106" s="430"/>
      <c r="Q106" s="430"/>
      <c r="R106" s="430"/>
      <c r="S106" s="430"/>
      <c r="T106" s="430"/>
      <c r="U106" s="430"/>
      <c r="V106" s="430"/>
      <c r="W106" s="430"/>
      <c r="X106" s="430"/>
      <c r="Y106" s="430">
        <v>1500</v>
      </c>
      <c r="Z106" s="430"/>
      <c r="AA106" s="430"/>
      <c r="AB106" s="430"/>
      <c r="AC106" s="430"/>
      <c r="AD106" s="430"/>
      <c r="AE106" s="430"/>
      <c r="AF106" s="430"/>
      <c r="AG106" s="430"/>
      <c r="AH106" s="430"/>
      <c r="AI106" s="430"/>
      <c r="AJ106" s="430"/>
      <c r="AK106" s="430"/>
      <c r="AL106" s="430"/>
      <c r="AM106" s="430"/>
      <c r="AN106" s="430"/>
      <c r="AO106" s="430"/>
      <c r="AP106" s="430"/>
      <c r="AQ106" s="430"/>
      <c r="AR106" s="430"/>
      <c r="AS106" s="430"/>
      <c r="AT106" s="430"/>
      <c r="AU106" s="430"/>
      <c r="AV106" s="432" t="s">
        <v>11385</v>
      </c>
    </row>
    <row r="107" s="397" customFormat="1" ht="18" customHeight="1" spans="1:48">
      <c r="A107" s="426">
        <v>45842</v>
      </c>
      <c r="B107" s="427" t="s">
        <v>11518</v>
      </c>
      <c r="C107" s="428" t="s">
        <v>11183</v>
      </c>
      <c r="D107" s="428" t="s">
        <v>6084</v>
      </c>
      <c r="E107" s="428">
        <v>20000</v>
      </c>
      <c r="F107" s="429" t="s">
        <v>11372</v>
      </c>
      <c r="G107" s="428" t="s">
        <v>11373</v>
      </c>
      <c r="H107" s="429" t="s">
        <v>11148</v>
      </c>
      <c r="I107" s="430"/>
      <c r="J107" s="430">
        <v>20000</v>
      </c>
      <c r="K107" s="430"/>
      <c r="L107" s="430"/>
      <c r="M107" s="430"/>
      <c r="N107" s="430"/>
      <c r="O107" s="430"/>
      <c r="P107" s="430"/>
      <c r="Q107" s="430"/>
      <c r="R107" s="430"/>
      <c r="S107" s="430"/>
      <c r="T107" s="430"/>
      <c r="U107" s="430"/>
      <c r="V107" s="430"/>
      <c r="W107" s="430"/>
      <c r="X107" s="430"/>
      <c r="Y107" s="430"/>
      <c r="Z107" s="430"/>
      <c r="AA107" s="430"/>
      <c r="AB107" s="430"/>
      <c r="AC107" s="430"/>
      <c r="AD107" s="430"/>
      <c r="AE107" s="430"/>
      <c r="AF107" s="430"/>
      <c r="AG107" s="430"/>
      <c r="AH107" s="430"/>
      <c r="AI107" s="430"/>
      <c r="AJ107" s="430"/>
      <c r="AK107" s="430"/>
      <c r="AL107" s="430"/>
      <c r="AM107" s="430"/>
      <c r="AN107" s="430"/>
      <c r="AO107" s="430"/>
      <c r="AP107" s="430"/>
      <c r="AQ107" s="430"/>
      <c r="AR107" s="430"/>
      <c r="AS107" s="430"/>
      <c r="AT107" s="430"/>
      <c r="AU107" s="430"/>
      <c r="AV107" s="432" t="s">
        <v>11370</v>
      </c>
    </row>
    <row r="108" s="397" customFormat="1" ht="18" customHeight="1" spans="1:48">
      <c r="A108" s="426">
        <v>45842</v>
      </c>
      <c r="B108" s="427" t="s">
        <v>11519</v>
      </c>
      <c r="C108" s="428" t="s">
        <v>11183</v>
      </c>
      <c r="D108" s="428" t="s">
        <v>6084</v>
      </c>
      <c r="E108" s="428">
        <v>100000</v>
      </c>
      <c r="F108" s="429" t="s">
        <v>11391</v>
      </c>
      <c r="G108" s="428" t="s">
        <v>11373</v>
      </c>
      <c r="H108" s="429" t="s">
        <v>11220</v>
      </c>
      <c r="I108" s="430"/>
      <c r="J108" s="430"/>
      <c r="K108" s="430"/>
      <c r="L108" s="430"/>
      <c r="M108" s="430"/>
      <c r="N108" s="430">
        <v>100000</v>
      </c>
      <c r="O108" s="430"/>
      <c r="P108" s="430"/>
      <c r="Q108" s="430"/>
      <c r="R108" s="430"/>
      <c r="S108" s="430"/>
      <c r="T108" s="430"/>
      <c r="U108" s="430"/>
      <c r="V108" s="430"/>
      <c r="W108" s="430"/>
      <c r="X108" s="430"/>
      <c r="Y108" s="430"/>
      <c r="Z108" s="430"/>
      <c r="AA108" s="430"/>
      <c r="AB108" s="430"/>
      <c r="AC108" s="430"/>
      <c r="AD108" s="430"/>
      <c r="AE108" s="430"/>
      <c r="AF108" s="430"/>
      <c r="AG108" s="430"/>
      <c r="AH108" s="430"/>
      <c r="AI108" s="430"/>
      <c r="AJ108" s="430"/>
      <c r="AK108" s="430"/>
      <c r="AL108" s="430"/>
      <c r="AM108" s="430"/>
      <c r="AN108" s="430"/>
      <c r="AO108" s="430"/>
      <c r="AP108" s="430"/>
      <c r="AQ108" s="430"/>
      <c r="AR108" s="430"/>
      <c r="AS108" s="430"/>
      <c r="AT108" s="430"/>
      <c r="AU108" s="430"/>
      <c r="AV108" s="432" t="s">
        <v>11509</v>
      </c>
    </row>
    <row r="109" s="397" customFormat="1" ht="18" customHeight="1" spans="1:48">
      <c r="A109" s="426">
        <v>45842</v>
      </c>
      <c r="B109" s="427" t="s">
        <v>11520</v>
      </c>
      <c r="C109" s="428" t="s">
        <v>11183</v>
      </c>
      <c r="D109" s="428" t="s">
        <v>11378</v>
      </c>
      <c r="E109" s="428">
        <v>500</v>
      </c>
      <c r="F109" s="429" t="s">
        <v>11379</v>
      </c>
      <c r="G109" s="428" t="s">
        <v>11147</v>
      </c>
      <c r="H109" s="429" t="s">
        <v>11148</v>
      </c>
      <c r="I109" s="430"/>
      <c r="J109" s="430"/>
      <c r="K109" s="430"/>
      <c r="L109" s="430"/>
      <c r="M109" s="430"/>
      <c r="N109" s="430"/>
      <c r="O109" s="430"/>
      <c r="P109" s="430"/>
      <c r="Q109" s="430"/>
      <c r="R109" s="430"/>
      <c r="S109" s="430"/>
      <c r="T109" s="430"/>
      <c r="U109" s="430"/>
      <c r="V109" s="430"/>
      <c r="W109" s="430"/>
      <c r="X109" s="430"/>
      <c r="Y109" s="430"/>
      <c r="Z109" s="430">
        <v>500</v>
      </c>
      <c r="AA109" s="430"/>
      <c r="AB109" s="430"/>
      <c r="AC109" s="430"/>
      <c r="AD109" s="430"/>
      <c r="AE109" s="430"/>
      <c r="AF109" s="430"/>
      <c r="AG109" s="430"/>
      <c r="AH109" s="430"/>
      <c r="AI109" s="430"/>
      <c r="AJ109" s="430"/>
      <c r="AK109" s="430"/>
      <c r="AL109" s="430"/>
      <c r="AM109" s="430"/>
      <c r="AN109" s="430"/>
      <c r="AO109" s="430"/>
      <c r="AP109" s="430"/>
      <c r="AQ109" s="430"/>
      <c r="AR109" s="430"/>
      <c r="AS109" s="430"/>
      <c r="AT109" s="430"/>
      <c r="AU109" s="430"/>
      <c r="AV109" s="432" t="s">
        <v>11376</v>
      </c>
    </row>
    <row r="110" s="397" customFormat="1" ht="18" customHeight="1" spans="1:48">
      <c r="A110" s="426">
        <v>45842</v>
      </c>
      <c r="B110" s="427" t="s">
        <v>11521</v>
      </c>
      <c r="C110" s="428" t="s">
        <v>11183</v>
      </c>
      <c r="D110" s="428" t="s">
        <v>6047</v>
      </c>
      <c r="E110" s="428">
        <v>1000</v>
      </c>
      <c r="F110" s="429" t="s">
        <v>11387</v>
      </c>
      <c r="G110" s="428" t="s">
        <v>11153</v>
      </c>
      <c r="H110" s="429" t="s">
        <v>11148</v>
      </c>
      <c r="I110" s="430"/>
      <c r="J110" s="430"/>
      <c r="K110" s="430"/>
      <c r="L110" s="430"/>
      <c r="M110" s="430"/>
      <c r="N110" s="430"/>
      <c r="O110" s="430"/>
      <c r="P110" s="430"/>
      <c r="Q110" s="430"/>
      <c r="R110" s="430"/>
      <c r="S110" s="430"/>
      <c r="T110" s="430"/>
      <c r="U110" s="430"/>
      <c r="V110" s="430"/>
      <c r="W110" s="430"/>
      <c r="X110" s="430"/>
      <c r="Y110" s="430"/>
      <c r="Z110" s="430"/>
      <c r="AA110" s="430"/>
      <c r="AB110" s="430">
        <v>1000</v>
      </c>
      <c r="AC110" s="430"/>
      <c r="AD110" s="430"/>
      <c r="AE110" s="430"/>
      <c r="AF110" s="430"/>
      <c r="AG110" s="430"/>
      <c r="AH110" s="430"/>
      <c r="AI110" s="430"/>
      <c r="AJ110" s="430"/>
      <c r="AK110" s="430"/>
      <c r="AL110" s="430"/>
      <c r="AM110" s="430"/>
      <c r="AN110" s="430"/>
      <c r="AO110" s="430"/>
      <c r="AP110" s="430"/>
      <c r="AQ110" s="430"/>
      <c r="AR110" s="430"/>
      <c r="AS110" s="430"/>
      <c r="AT110" s="430"/>
      <c r="AU110" s="430"/>
      <c r="AV110" s="432" t="s">
        <v>11385</v>
      </c>
    </row>
    <row r="111" s="397" customFormat="1" ht="18" customHeight="1" spans="1:48">
      <c r="A111" s="426">
        <v>45838</v>
      </c>
      <c r="B111" s="427" t="s">
        <v>11522</v>
      </c>
      <c r="C111" s="428" t="s">
        <v>11245</v>
      </c>
      <c r="D111" s="428">
        <v>77785</v>
      </c>
      <c r="E111" s="428">
        <v>24000</v>
      </c>
      <c r="F111" s="429" t="s">
        <v>11172</v>
      </c>
      <c r="G111" s="428"/>
      <c r="H111" s="429"/>
      <c r="I111" s="430"/>
      <c r="J111" s="430"/>
      <c r="K111" s="430"/>
      <c r="L111" s="430">
        <v>24000</v>
      </c>
      <c r="M111" s="430"/>
      <c r="N111" s="430"/>
      <c r="O111" s="430"/>
      <c r="P111" s="430"/>
      <c r="Q111" s="430"/>
      <c r="R111" s="430"/>
      <c r="S111" s="430"/>
      <c r="T111" s="430"/>
      <c r="U111" s="430"/>
      <c r="V111" s="430"/>
      <c r="W111" s="430"/>
      <c r="X111" s="430"/>
      <c r="Y111" s="430"/>
      <c r="Z111" s="430"/>
      <c r="AA111" s="430"/>
      <c r="AB111" s="430"/>
      <c r="AC111" s="430"/>
      <c r="AD111" s="430"/>
      <c r="AE111" s="430"/>
      <c r="AF111" s="430"/>
      <c r="AG111" s="430"/>
      <c r="AH111" s="430"/>
      <c r="AI111" s="430"/>
      <c r="AJ111" s="430"/>
      <c r="AK111" s="430"/>
      <c r="AL111" s="430"/>
      <c r="AM111" s="430"/>
      <c r="AN111" s="430"/>
      <c r="AO111" s="430"/>
      <c r="AP111" s="430"/>
      <c r="AQ111" s="430"/>
      <c r="AR111" s="430"/>
      <c r="AS111" s="430"/>
      <c r="AT111" s="430"/>
      <c r="AU111" s="430"/>
      <c r="AV111" s="432" t="s">
        <v>11523</v>
      </c>
    </row>
    <row r="112" s="397" customFormat="1" ht="18" customHeight="1" spans="1:48">
      <c r="A112" s="426">
        <v>45853</v>
      </c>
      <c r="B112" s="427" t="s">
        <v>11524</v>
      </c>
      <c r="C112" s="428" t="s">
        <v>11183</v>
      </c>
      <c r="D112" s="428" t="s">
        <v>6084</v>
      </c>
      <c r="E112" s="428">
        <v>100000</v>
      </c>
      <c r="F112" s="429" t="s">
        <v>11146</v>
      </c>
      <c r="G112" s="428" t="s">
        <v>11147</v>
      </c>
      <c r="H112" s="429" t="s">
        <v>11148</v>
      </c>
      <c r="I112" s="430">
        <v>100000</v>
      </c>
      <c r="J112" s="430"/>
      <c r="K112" s="430"/>
      <c r="L112" s="430"/>
      <c r="M112" s="430"/>
      <c r="N112" s="430"/>
      <c r="O112" s="430"/>
      <c r="P112" s="430"/>
      <c r="Q112" s="430"/>
      <c r="R112" s="430"/>
      <c r="S112" s="430"/>
      <c r="T112" s="430"/>
      <c r="U112" s="430"/>
      <c r="V112" s="430"/>
      <c r="W112" s="430"/>
      <c r="X112" s="430"/>
      <c r="Y112" s="430"/>
      <c r="Z112" s="430"/>
      <c r="AA112" s="430"/>
      <c r="AB112" s="430"/>
      <c r="AC112" s="430"/>
      <c r="AD112" s="430"/>
      <c r="AE112" s="430"/>
      <c r="AF112" s="430"/>
      <c r="AG112" s="430"/>
      <c r="AH112" s="430"/>
      <c r="AI112" s="430"/>
      <c r="AJ112" s="430"/>
      <c r="AK112" s="430"/>
      <c r="AL112" s="430"/>
      <c r="AM112" s="430"/>
      <c r="AN112" s="430"/>
      <c r="AO112" s="430"/>
      <c r="AP112" s="430"/>
      <c r="AQ112" s="430"/>
      <c r="AR112" s="430"/>
      <c r="AS112" s="430"/>
      <c r="AT112" s="430"/>
      <c r="AU112" s="430"/>
      <c r="AV112" s="432" t="s">
        <v>11370</v>
      </c>
    </row>
    <row r="113" s="397" customFormat="1" ht="18" customHeight="1" spans="1:48">
      <c r="A113" s="426">
        <v>45853</v>
      </c>
      <c r="B113" s="427" t="s">
        <v>11525</v>
      </c>
      <c r="C113" s="428" t="s">
        <v>11183</v>
      </c>
      <c r="D113" s="428" t="s">
        <v>6084</v>
      </c>
      <c r="E113" s="428">
        <v>20000</v>
      </c>
      <c r="F113" s="429" t="s">
        <v>11372</v>
      </c>
      <c r="G113" s="428" t="s">
        <v>11373</v>
      </c>
      <c r="H113" s="429" t="s">
        <v>11148</v>
      </c>
      <c r="I113" s="430"/>
      <c r="J113" s="430">
        <v>20000</v>
      </c>
      <c r="K113" s="430"/>
      <c r="L113" s="430"/>
      <c r="M113" s="430"/>
      <c r="N113" s="430"/>
      <c r="O113" s="430"/>
      <c r="P113" s="430"/>
      <c r="Q113" s="430"/>
      <c r="R113" s="430"/>
      <c r="S113" s="430"/>
      <c r="T113" s="430"/>
      <c r="U113" s="430"/>
      <c r="V113" s="430"/>
      <c r="W113" s="430"/>
      <c r="X113" s="430"/>
      <c r="Y113" s="430"/>
      <c r="Z113" s="430"/>
      <c r="AA113" s="430"/>
      <c r="AB113" s="430"/>
      <c r="AC113" s="430"/>
      <c r="AD113" s="430"/>
      <c r="AE113" s="430"/>
      <c r="AF113" s="430"/>
      <c r="AG113" s="430"/>
      <c r="AH113" s="430"/>
      <c r="AI113" s="430"/>
      <c r="AJ113" s="430"/>
      <c r="AK113" s="430"/>
      <c r="AL113" s="430"/>
      <c r="AM113" s="430"/>
      <c r="AN113" s="430"/>
      <c r="AO113" s="430"/>
      <c r="AP113" s="430"/>
      <c r="AQ113" s="430"/>
      <c r="AR113" s="430"/>
      <c r="AS113" s="430"/>
      <c r="AT113" s="430"/>
      <c r="AU113" s="430"/>
      <c r="AV113" s="432" t="s">
        <v>11370</v>
      </c>
    </row>
    <row r="114" s="397" customFormat="1" ht="18" customHeight="1" spans="1:48">
      <c r="A114" s="426">
        <v>45853</v>
      </c>
      <c r="B114" s="427" t="s">
        <v>11526</v>
      </c>
      <c r="C114" s="428" t="s">
        <v>11183</v>
      </c>
      <c r="D114" s="428" t="s">
        <v>6084</v>
      </c>
      <c r="E114" s="428">
        <v>200000</v>
      </c>
      <c r="F114" s="429" t="s">
        <v>11391</v>
      </c>
      <c r="G114" s="428" t="s">
        <v>11373</v>
      </c>
      <c r="H114" s="429" t="s">
        <v>11220</v>
      </c>
      <c r="I114" s="430"/>
      <c r="J114" s="430"/>
      <c r="K114" s="430"/>
      <c r="L114" s="430"/>
      <c r="M114" s="430"/>
      <c r="N114" s="430">
        <v>200000</v>
      </c>
      <c r="O114" s="430"/>
      <c r="P114" s="430"/>
      <c r="Q114" s="430"/>
      <c r="R114" s="430"/>
      <c r="S114" s="430"/>
      <c r="T114" s="430"/>
      <c r="U114" s="430"/>
      <c r="V114" s="430"/>
      <c r="W114" s="430"/>
      <c r="X114" s="430"/>
      <c r="Y114" s="430"/>
      <c r="Z114" s="430"/>
      <c r="AA114" s="430"/>
      <c r="AB114" s="430"/>
      <c r="AC114" s="430"/>
      <c r="AD114" s="430"/>
      <c r="AE114" s="430"/>
      <c r="AF114" s="430"/>
      <c r="AG114" s="430"/>
      <c r="AH114" s="430"/>
      <c r="AI114" s="430"/>
      <c r="AJ114" s="430"/>
      <c r="AK114" s="430"/>
      <c r="AL114" s="430"/>
      <c r="AM114" s="430"/>
      <c r="AN114" s="430"/>
      <c r="AO114" s="430"/>
      <c r="AP114" s="430"/>
      <c r="AQ114" s="430"/>
      <c r="AR114" s="430"/>
      <c r="AS114" s="430"/>
      <c r="AT114" s="430"/>
      <c r="AU114" s="430"/>
      <c r="AV114" s="432" t="s">
        <v>11509</v>
      </c>
    </row>
    <row r="115" s="397" customFormat="1" ht="18" customHeight="1" spans="1:48">
      <c r="A115" s="426">
        <v>45853</v>
      </c>
      <c r="B115" s="427" t="s">
        <v>11527</v>
      </c>
      <c r="C115" s="428" t="s">
        <v>11183</v>
      </c>
      <c r="D115" s="428" t="s">
        <v>11378</v>
      </c>
      <c r="E115" s="428">
        <v>500</v>
      </c>
      <c r="F115" s="429" t="s">
        <v>11379</v>
      </c>
      <c r="G115" s="428" t="s">
        <v>11147</v>
      </c>
      <c r="H115" s="429" t="s">
        <v>11148</v>
      </c>
      <c r="I115" s="430"/>
      <c r="J115" s="430"/>
      <c r="K115" s="430"/>
      <c r="L115" s="430"/>
      <c r="M115" s="430"/>
      <c r="N115" s="430"/>
      <c r="O115" s="430"/>
      <c r="P115" s="430"/>
      <c r="Q115" s="430"/>
      <c r="R115" s="430"/>
      <c r="S115" s="430"/>
      <c r="T115" s="430"/>
      <c r="U115" s="430"/>
      <c r="V115" s="430"/>
      <c r="W115" s="430"/>
      <c r="X115" s="430"/>
      <c r="Y115" s="430"/>
      <c r="Z115" s="430">
        <v>500</v>
      </c>
      <c r="AA115" s="430"/>
      <c r="AB115" s="430"/>
      <c r="AC115" s="430"/>
      <c r="AD115" s="430"/>
      <c r="AE115" s="430"/>
      <c r="AF115" s="430"/>
      <c r="AG115" s="430"/>
      <c r="AH115" s="430"/>
      <c r="AI115" s="430"/>
      <c r="AJ115" s="430"/>
      <c r="AK115" s="430"/>
      <c r="AL115" s="430"/>
      <c r="AM115" s="430"/>
      <c r="AN115" s="430"/>
      <c r="AO115" s="430"/>
      <c r="AP115" s="430"/>
      <c r="AQ115" s="430"/>
      <c r="AR115" s="430"/>
      <c r="AS115" s="430"/>
      <c r="AT115" s="430"/>
      <c r="AU115" s="430"/>
      <c r="AV115" s="432" t="s">
        <v>11376</v>
      </c>
    </row>
    <row r="116" s="397" customFormat="1" ht="18" customHeight="1" spans="1:48">
      <c r="A116" s="426">
        <v>45853</v>
      </c>
      <c r="B116" s="427" t="s">
        <v>11528</v>
      </c>
      <c r="C116" s="428" t="s">
        <v>11183</v>
      </c>
      <c r="D116" s="428" t="s">
        <v>6047</v>
      </c>
      <c r="E116" s="428">
        <v>1000</v>
      </c>
      <c r="F116" s="429" t="s">
        <v>11387</v>
      </c>
      <c r="G116" s="428" t="s">
        <v>11153</v>
      </c>
      <c r="H116" s="429" t="s">
        <v>11148</v>
      </c>
      <c r="I116" s="430"/>
      <c r="J116" s="430"/>
      <c r="K116" s="430"/>
      <c r="L116" s="430"/>
      <c r="M116" s="430"/>
      <c r="N116" s="430"/>
      <c r="O116" s="430"/>
      <c r="P116" s="430"/>
      <c r="Q116" s="430"/>
      <c r="R116" s="430"/>
      <c r="S116" s="430"/>
      <c r="T116" s="430"/>
      <c r="U116" s="430"/>
      <c r="V116" s="430"/>
      <c r="W116" s="430"/>
      <c r="X116" s="430"/>
      <c r="Y116" s="430"/>
      <c r="Z116" s="430"/>
      <c r="AA116" s="430"/>
      <c r="AB116" s="430">
        <v>1000</v>
      </c>
      <c r="AC116" s="430"/>
      <c r="AD116" s="430"/>
      <c r="AE116" s="430"/>
      <c r="AF116" s="430"/>
      <c r="AG116" s="430"/>
      <c r="AH116" s="430"/>
      <c r="AI116" s="430"/>
      <c r="AJ116" s="430"/>
      <c r="AK116" s="430"/>
      <c r="AL116" s="430"/>
      <c r="AM116" s="430"/>
      <c r="AN116" s="430"/>
      <c r="AO116" s="430"/>
      <c r="AP116" s="430"/>
      <c r="AQ116" s="430"/>
      <c r="AR116" s="430"/>
      <c r="AS116" s="430"/>
      <c r="AT116" s="430"/>
      <c r="AU116" s="430"/>
      <c r="AV116" s="432" t="s">
        <v>11385</v>
      </c>
    </row>
    <row r="117" s="397" customFormat="1" ht="18" customHeight="1" spans="1:48">
      <c r="A117" s="426"/>
      <c r="B117" s="427"/>
      <c r="C117" s="428" t="s">
        <v>11529</v>
      </c>
      <c r="D117" s="428">
        <v>77731</v>
      </c>
      <c r="E117" s="428">
        <v>101272</v>
      </c>
      <c r="F117" s="429" t="s">
        <v>11422</v>
      </c>
      <c r="G117" s="428" t="s">
        <v>11147</v>
      </c>
      <c r="H117" s="429" t="s">
        <v>11148</v>
      </c>
      <c r="I117" s="430"/>
      <c r="J117" s="430"/>
      <c r="K117" s="430"/>
      <c r="L117" s="430"/>
      <c r="M117" s="430"/>
      <c r="N117" s="430"/>
      <c r="O117" s="430"/>
      <c r="P117" s="430"/>
      <c r="Q117" s="430"/>
      <c r="R117" s="430"/>
      <c r="S117" s="430"/>
      <c r="T117" s="430"/>
      <c r="U117" s="430"/>
      <c r="V117" s="430"/>
      <c r="W117" s="430"/>
      <c r="X117" s="430"/>
      <c r="Y117" s="430"/>
      <c r="Z117" s="430"/>
      <c r="AA117" s="430"/>
      <c r="AB117" s="430"/>
      <c r="AC117" s="430"/>
      <c r="AD117" s="430"/>
      <c r="AE117" s="430"/>
      <c r="AF117" s="430"/>
      <c r="AG117" s="430"/>
      <c r="AH117" s="430"/>
      <c r="AI117" s="430"/>
      <c r="AJ117" s="430"/>
      <c r="AK117" s="430"/>
      <c r="AL117" s="430"/>
      <c r="AM117" s="430"/>
      <c r="AN117" s="430"/>
      <c r="AO117" s="430"/>
      <c r="AP117" s="430"/>
      <c r="AQ117" s="430"/>
      <c r="AR117" s="430"/>
      <c r="AS117" s="430"/>
      <c r="AT117" s="430"/>
      <c r="AU117" s="430"/>
      <c r="AV117" s="432"/>
    </row>
    <row r="118" s="397" customFormat="1" ht="18" customHeight="1" spans="1:48">
      <c r="A118" s="426"/>
      <c r="B118" s="427"/>
      <c r="C118" s="428" t="s">
        <v>11529</v>
      </c>
      <c r="D118" s="428">
        <v>77721</v>
      </c>
      <c r="E118" s="428"/>
      <c r="F118" s="429"/>
      <c r="G118" s="428"/>
      <c r="H118" s="429"/>
      <c r="I118" s="430"/>
      <c r="J118" s="430"/>
      <c r="K118" s="430"/>
      <c r="L118" s="430"/>
      <c r="M118" s="430"/>
      <c r="N118" s="430"/>
      <c r="O118" s="430"/>
      <c r="P118" s="430"/>
      <c r="Q118" s="430"/>
      <c r="R118" s="430"/>
      <c r="S118" s="430">
        <v>385650</v>
      </c>
      <c r="T118" s="430"/>
      <c r="U118" s="430"/>
      <c r="V118" s="430"/>
      <c r="W118" s="430"/>
      <c r="X118" s="430"/>
      <c r="Y118" s="430"/>
      <c r="Z118" s="430"/>
      <c r="AA118" s="430"/>
      <c r="AB118" s="430"/>
      <c r="AC118" s="430"/>
      <c r="AD118" s="430"/>
      <c r="AE118" s="430"/>
      <c r="AF118" s="430"/>
      <c r="AG118" s="430"/>
      <c r="AH118" s="430"/>
      <c r="AI118" s="430"/>
      <c r="AJ118" s="430"/>
      <c r="AK118" s="430"/>
      <c r="AL118" s="430"/>
      <c r="AM118" s="430"/>
      <c r="AN118" s="430"/>
      <c r="AO118" s="430"/>
      <c r="AP118" s="430"/>
      <c r="AQ118" s="430"/>
      <c r="AR118" s="430"/>
      <c r="AS118" s="430"/>
      <c r="AT118" s="430"/>
      <c r="AU118" s="430"/>
      <c r="AV118" s="432"/>
    </row>
    <row r="119" s="397" customFormat="1" ht="18" customHeight="1" spans="1:48">
      <c r="A119" s="426"/>
      <c r="B119" s="427"/>
      <c r="C119" s="428" t="s">
        <v>11530</v>
      </c>
      <c r="D119" s="428">
        <v>77782</v>
      </c>
      <c r="E119" s="428">
        <v>10000</v>
      </c>
      <c r="F119" s="429" t="s">
        <v>11172</v>
      </c>
      <c r="G119" s="428" t="s">
        <v>11173</v>
      </c>
      <c r="H119" s="429"/>
      <c r="I119" s="430"/>
      <c r="J119" s="430"/>
      <c r="K119" s="430"/>
      <c r="L119" s="430"/>
      <c r="M119" s="430"/>
      <c r="N119" s="430"/>
      <c r="O119" s="430"/>
      <c r="P119" s="430"/>
      <c r="Q119" s="430"/>
      <c r="R119" s="430"/>
      <c r="S119" s="430"/>
      <c r="T119" s="430"/>
      <c r="U119" s="430"/>
      <c r="V119" s="430"/>
      <c r="W119" s="430"/>
      <c r="X119" s="430"/>
      <c r="Y119" s="430"/>
      <c r="Z119" s="430"/>
      <c r="AA119" s="430"/>
      <c r="AB119" s="430"/>
      <c r="AC119" s="430"/>
      <c r="AD119" s="430"/>
      <c r="AE119" s="430"/>
      <c r="AF119" s="430"/>
      <c r="AG119" s="430">
        <v>10000</v>
      </c>
      <c r="AH119" s="430"/>
      <c r="AI119" s="430"/>
      <c r="AJ119" s="430"/>
      <c r="AK119" s="430"/>
      <c r="AL119" s="430"/>
      <c r="AM119" s="430"/>
      <c r="AN119" s="430"/>
      <c r="AO119" s="430"/>
      <c r="AP119" s="430"/>
      <c r="AQ119" s="430"/>
      <c r="AR119" s="430"/>
      <c r="AS119" s="430"/>
      <c r="AT119" s="430"/>
      <c r="AU119" s="430"/>
      <c r="AV119" s="432"/>
    </row>
    <row r="120" s="397" customFormat="1" ht="18" customHeight="1" spans="1:48">
      <c r="A120" s="426">
        <v>45840</v>
      </c>
      <c r="B120" s="427" t="s">
        <v>11531</v>
      </c>
      <c r="C120" s="428" t="s">
        <v>11245</v>
      </c>
      <c r="D120" s="428" t="s">
        <v>11434</v>
      </c>
      <c r="E120" s="428">
        <v>10000</v>
      </c>
      <c r="F120" s="429" t="s">
        <v>11237</v>
      </c>
      <c r="G120" s="428" t="s">
        <v>11157</v>
      </c>
      <c r="H120" s="429"/>
      <c r="I120" s="430"/>
      <c r="J120" s="430"/>
      <c r="K120" s="430"/>
      <c r="L120" s="430"/>
      <c r="M120" s="430"/>
      <c r="N120" s="430"/>
      <c r="O120" s="430"/>
      <c r="P120" s="430"/>
      <c r="Q120" s="430"/>
      <c r="R120" s="430"/>
      <c r="S120" s="430"/>
      <c r="T120" s="430"/>
      <c r="U120" s="430"/>
      <c r="V120" s="430"/>
      <c r="W120" s="430"/>
      <c r="X120" s="430"/>
      <c r="Y120" s="430"/>
      <c r="Z120" s="430"/>
      <c r="AA120" s="430"/>
      <c r="AB120" s="430"/>
      <c r="AC120" s="430"/>
      <c r="AD120" s="430"/>
      <c r="AE120" s="430"/>
      <c r="AF120" s="430"/>
      <c r="AG120" s="430"/>
      <c r="AH120" s="430">
        <v>10000</v>
      </c>
      <c r="AI120" s="430"/>
      <c r="AJ120" s="430"/>
      <c r="AK120" s="430"/>
      <c r="AL120" s="430"/>
      <c r="AM120" s="430"/>
      <c r="AN120" s="430"/>
      <c r="AO120" s="430"/>
      <c r="AP120" s="430"/>
      <c r="AQ120" s="430"/>
      <c r="AR120" s="430"/>
      <c r="AS120" s="430"/>
      <c r="AT120" s="430"/>
      <c r="AU120" s="430"/>
      <c r="AV120" s="432" t="s">
        <v>11532</v>
      </c>
    </row>
    <row r="121" s="397" customFormat="1" ht="18" customHeight="1" spans="1:48">
      <c r="A121" s="426">
        <v>45840</v>
      </c>
      <c r="B121" s="427" t="s">
        <v>11533</v>
      </c>
      <c r="C121" s="428" t="s">
        <v>11245</v>
      </c>
      <c r="D121" s="428" t="s">
        <v>11434</v>
      </c>
      <c r="E121" s="428">
        <v>500</v>
      </c>
      <c r="F121" s="429" t="s">
        <v>11417</v>
      </c>
      <c r="G121" s="428" t="s">
        <v>11153</v>
      </c>
      <c r="H121" s="429"/>
      <c r="I121" s="430"/>
      <c r="J121" s="430"/>
      <c r="K121" s="430"/>
      <c r="L121" s="430"/>
      <c r="M121" s="430"/>
      <c r="N121" s="430"/>
      <c r="O121" s="430"/>
      <c r="P121" s="430"/>
      <c r="Q121" s="430"/>
      <c r="R121" s="430"/>
      <c r="S121" s="430"/>
      <c r="T121" s="430"/>
      <c r="U121" s="430"/>
      <c r="V121" s="430"/>
      <c r="W121" s="430"/>
      <c r="X121" s="430"/>
      <c r="Y121" s="430"/>
      <c r="Z121" s="430"/>
      <c r="AA121" s="430"/>
      <c r="AB121" s="430"/>
      <c r="AC121" s="430"/>
      <c r="AD121" s="430"/>
      <c r="AE121" s="430"/>
      <c r="AF121" s="430"/>
      <c r="AG121" s="430"/>
      <c r="AH121" s="430"/>
      <c r="AI121" s="430">
        <v>500</v>
      </c>
      <c r="AJ121" s="430"/>
      <c r="AK121" s="430"/>
      <c r="AL121" s="430"/>
      <c r="AM121" s="430"/>
      <c r="AN121" s="430"/>
      <c r="AO121" s="430"/>
      <c r="AP121" s="430"/>
      <c r="AQ121" s="430"/>
      <c r="AR121" s="430"/>
      <c r="AS121" s="430"/>
      <c r="AT121" s="430"/>
      <c r="AU121" s="430"/>
      <c r="AV121" s="432" t="s">
        <v>11532</v>
      </c>
    </row>
    <row r="122" s="397" customFormat="1" ht="18" customHeight="1" spans="1:48">
      <c r="A122" s="426">
        <v>45777</v>
      </c>
      <c r="B122" s="427">
        <v>1000027554</v>
      </c>
      <c r="C122" s="428" t="s">
        <v>11190</v>
      </c>
      <c r="D122" s="428">
        <v>77731</v>
      </c>
      <c r="E122" s="428">
        <v>3000</v>
      </c>
      <c r="F122" s="429" t="s">
        <v>11404</v>
      </c>
      <c r="G122" s="428"/>
      <c r="H122" s="429"/>
      <c r="I122" s="430"/>
      <c r="J122" s="430"/>
      <c r="K122" s="430"/>
      <c r="L122" s="430"/>
      <c r="M122" s="430"/>
      <c r="N122" s="430"/>
      <c r="O122" s="430"/>
      <c r="P122" s="430"/>
      <c r="Q122" s="430"/>
      <c r="R122" s="430"/>
      <c r="S122" s="430"/>
      <c r="T122" s="430"/>
      <c r="U122" s="430"/>
      <c r="V122" s="430"/>
      <c r="W122" s="430"/>
      <c r="X122" s="430"/>
      <c r="Y122" s="430"/>
      <c r="Z122" s="430"/>
      <c r="AA122" s="430"/>
      <c r="AB122" s="430"/>
      <c r="AC122" s="430"/>
      <c r="AD122" s="430"/>
      <c r="AE122" s="430"/>
      <c r="AF122" s="430"/>
      <c r="AG122" s="430"/>
      <c r="AH122" s="430"/>
      <c r="AI122" s="430"/>
      <c r="AJ122" s="430"/>
      <c r="AK122" s="430"/>
      <c r="AL122" s="430"/>
      <c r="AM122" s="430"/>
      <c r="AN122" s="430"/>
      <c r="AO122" s="430"/>
      <c r="AP122" s="430"/>
      <c r="AQ122" s="430"/>
      <c r="AR122" s="430"/>
      <c r="AS122" s="430">
        <v>3000</v>
      </c>
      <c r="AT122" s="430"/>
      <c r="AU122" s="430"/>
      <c r="AV122" s="432" t="s">
        <v>11534</v>
      </c>
    </row>
    <row r="123" s="397" customFormat="1" ht="18" customHeight="1" spans="1:48">
      <c r="A123" s="426">
        <v>45777</v>
      </c>
      <c r="B123" s="427">
        <v>1000027555</v>
      </c>
      <c r="C123" s="428" t="s">
        <v>11190</v>
      </c>
      <c r="D123" s="428">
        <v>77731</v>
      </c>
      <c r="E123" s="428">
        <v>3000</v>
      </c>
      <c r="F123" s="429" t="s">
        <v>11407</v>
      </c>
      <c r="G123" s="428"/>
      <c r="H123" s="429"/>
      <c r="I123" s="430"/>
      <c r="J123" s="430"/>
      <c r="K123" s="430"/>
      <c r="L123" s="430"/>
      <c r="M123" s="430"/>
      <c r="N123" s="430"/>
      <c r="O123" s="430"/>
      <c r="P123" s="430"/>
      <c r="Q123" s="430"/>
      <c r="R123" s="430"/>
      <c r="S123" s="430"/>
      <c r="T123" s="430"/>
      <c r="U123" s="430"/>
      <c r="V123" s="430"/>
      <c r="W123" s="430"/>
      <c r="X123" s="430"/>
      <c r="Y123" s="430"/>
      <c r="Z123" s="430"/>
      <c r="AA123" s="430"/>
      <c r="AB123" s="430"/>
      <c r="AC123" s="430"/>
      <c r="AD123" s="430"/>
      <c r="AE123" s="430"/>
      <c r="AF123" s="430"/>
      <c r="AG123" s="430"/>
      <c r="AH123" s="430"/>
      <c r="AI123" s="430"/>
      <c r="AJ123" s="430"/>
      <c r="AK123" s="430"/>
      <c r="AL123" s="430"/>
      <c r="AM123" s="430"/>
      <c r="AN123" s="430"/>
      <c r="AO123" s="430"/>
      <c r="AP123" s="430"/>
      <c r="AQ123" s="430"/>
      <c r="AR123" s="430"/>
      <c r="AS123" s="430"/>
      <c r="AT123" s="430">
        <v>3000</v>
      </c>
      <c r="AU123" s="430"/>
      <c r="AV123" s="432" t="s">
        <v>11534</v>
      </c>
    </row>
    <row r="124" s="397" customFormat="1" ht="18" customHeight="1" spans="1:48">
      <c r="A124" s="426">
        <v>45777</v>
      </c>
      <c r="B124" s="427">
        <v>1000027556</v>
      </c>
      <c r="C124" s="428" t="s">
        <v>11190</v>
      </c>
      <c r="D124" s="428">
        <v>77731</v>
      </c>
      <c r="E124" s="428">
        <v>3000</v>
      </c>
      <c r="F124" s="429" t="s">
        <v>11409</v>
      </c>
      <c r="G124" s="428"/>
      <c r="H124" s="429"/>
      <c r="I124" s="430"/>
      <c r="J124" s="430"/>
      <c r="K124" s="430"/>
      <c r="L124" s="430"/>
      <c r="M124" s="430"/>
      <c r="N124" s="430"/>
      <c r="O124" s="430"/>
      <c r="P124" s="430"/>
      <c r="Q124" s="430"/>
      <c r="R124" s="430"/>
      <c r="S124" s="430"/>
      <c r="T124" s="430"/>
      <c r="U124" s="430"/>
      <c r="V124" s="430"/>
      <c r="W124" s="430"/>
      <c r="X124" s="430"/>
      <c r="Y124" s="430"/>
      <c r="Z124" s="430"/>
      <c r="AA124" s="430"/>
      <c r="AB124" s="430"/>
      <c r="AC124" s="430"/>
      <c r="AD124" s="430"/>
      <c r="AE124" s="430"/>
      <c r="AF124" s="430"/>
      <c r="AG124" s="430"/>
      <c r="AH124" s="430"/>
      <c r="AI124" s="430"/>
      <c r="AJ124" s="430"/>
      <c r="AK124" s="430"/>
      <c r="AL124" s="430"/>
      <c r="AM124" s="430"/>
      <c r="AN124" s="430"/>
      <c r="AO124" s="430"/>
      <c r="AP124" s="430"/>
      <c r="AQ124" s="430"/>
      <c r="AR124" s="430"/>
      <c r="AS124" s="430"/>
      <c r="AT124" s="430"/>
      <c r="AU124" s="430">
        <v>3000</v>
      </c>
      <c r="AV124" s="432" t="s">
        <v>11534</v>
      </c>
    </row>
    <row r="125" s="397" customFormat="1" ht="18" customHeight="1" spans="1:48">
      <c r="A125" s="426">
        <v>45803</v>
      </c>
      <c r="B125" s="427">
        <v>1000028384</v>
      </c>
      <c r="C125" s="428" t="s">
        <v>11190</v>
      </c>
      <c r="D125" s="428">
        <v>77731</v>
      </c>
      <c r="E125" s="428">
        <v>1008</v>
      </c>
      <c r="F125" s="429" t="s">
        <v>11404</v>
      </c>
      <c r="G125" s="428"/>
      <c r="H125" s="429"/>
      <c r="I125" s="430"/>
      <c r="J125" s="430"/>
      <c r="K125" s="430"/>
      <c r="L125" s="430"/>
      <c r="M125" s="430"/>
      <c r="N125" s="430"/>
      <c r="O125" s="430"/>
      <c r="P125" s="430"/>
      <c r="Q125" s="430"/>
      <c r="R125" s="430"/>
      <c r="S125" s="430"/>
      <c r="T125" s="430"/>
      <c r="U125" s="430"/>
      <c r="V125" s="430"/>
      <c r="W125" s="430"/>
      <c r="X125" s="430"/>
      <c r="Y125" s="430"/>
      <c r="Z125" s="430"/>
      <c r="AA125" s="430"/>
      <c r="AB125" s="430"/>
      <c r="AC125" s="430"/>
      <c r="AD125" s="430"/>
      <c r="AE125" s="430"/>
      <c r="AF125" s="430"/>
      <c r="AG125" s="430"/>
      <c r="AH125" s="430"/>
      <c r="AI125" s="430"/>
      <c r="AJ125" s="430"/>
      <c r="AK125" s="430"/>
      <c r="AL125" s="430"/>
      <c r="AM125" s="430"/>
      <c r="AN125" s="430"/>
      <c r="AO125" s="430"/>
      <c r="AP125" s="430"/>
      <c r="AQ125" s="430"/>
      <c r="AR125" s="430"/>
      <c r="AS125" s="430">
        <v>1008</v>
      </c>
      <c r="AT125" s="430"/>
      <c r="AU125" s="430"/>
      <c r="AV125" s="432" t="s">
        <v>11535</v>
      </c>
    </row>
    <row r="126" s="397" customFormat="1" ht="18" customHeight="1" spans="1:48">
      <c r="A126" s="426">
        <v>45803</v>
      </c>
      <c r="B126" s="427">
        <v>1000028387</v>
      </c>
      <c r="C126" s="428" t="s">
        <v>11190</v>
      </c>
      <c r="D126" s="428">
        <v>77731</v>
      </c>
      <c r="E126" s="428">
        <v>1008</v>
      </c>
      <c r="F126" s="429" t="s">
        <v>11407</v>
      </c>
      <c r="G126" s="428"/>
      <c r="H126" s="429"/>
      <c r="I126" s="430"/>
      <c r="J126" s="430"/>
      <c r="K126" s="430"/>
      <c r="L126" s="430"/>
      <c r="M126" s="430"/>
      <c r="N126" s="430"/>
      <c r="O126" s="430"/>
      <c r="P126" s="430"/>
      <c r="Q126" s="430"/>
      <c r="R126" s="430"/>
      <c r="S126" s="430"/>
      <c r="T126" s="430"/>
      <c r="U126" s="430"/>
      <c r="V126" s="430"/>
      <c r="W126" s="430"/>
      <c r="X126" s="430"/>
      <c r="Y126" s="430"/>
      <c r="Z126" s="430"/>
      <c r="AA126" s="430"/>
      <c r="AB126" s="430"/>
      <c r="AC126" s="430"/>
      <c r="AD126" s="430"/>
      <c r="AE126" s="430"/>
      <c r="AF126" s="430"/>
      <c r="AG126" s="430"/>
      <c r="AH126" s="430"/>
      <c r="AI126" s="430"/>
      <c r="AJ126" s="430"/>
      <c r="AK126" s="430"/>
      <c r="AL126" s="430"/>
      <c r="AM126" s="430"/>
      <c r="AN126" s="430"/>
      <c r="AO126" s="430"/>
      <c r="AP126" s="430"/>
      <c r="AQ126" s="430"/>
      <c r="AR126" s="430"/>
      <c r="AS126" s="430"/>
      <c r="AT126" s="430">
        <v>1008</v>
      </c>
      <c r="AU126" s="430"/>
      <c r="AV126" s="432" t="s">
        <v>11535</v>
      </c>
    </row>
    <row r="127" s="397" customFormat="1" ht="18" customHeight="1" spans="1:48">
      <c r="A127" s="426">
        <v>45803</v>
      </c>
      <c r="B127" s="427">
        <v>1000028386</v>
      </c>
      <c r="C127" s="428" t="s">
        <v>11190</v>
      </c>
      <c r="D127" s="428">
        <v>77731</v>
      </c>
      <c r="E127" s="428">
        <v>1008</v>
      </c>
      <c r="F127" s="429" t="s">
        <v>11409</v>
      </c>
      <c r="G127" s="428"/>
      <c r="H127" s="429"/>
      <c r="I127" s="430"/>
      <c r="J127" s="430"/>
      <c r="K127" s="430"/>
      <c r="L127" s="430"/>
      <c r="M127" s="430"/>
      <c r="N127" s="430"/>
      <c r="O127" s="430"/>
      <c r="P127" s="430"/>
      <c r="Q127" s="430"/>
      <c r="R127" s="430"/>
      <c r="S127" s="430"/>
      <c r="T127" s="430"/>
      <c r="U127" s="430"/>
      <c r="V127" s="430"/>
      <c r="W127" s="430"/>
      <c r="X127" s="430"/>
      <c r="Y127" s="430"/>
      <c r="Z127" s="430"/>
      <c r="AA127" s="430"/>
      <c r="AB127" s="430"/>
      <c r="AC127" s="430"/>
      <c r="AD127" s="430"/>
      <c r="AE127" s="430"/>
      <c r="AF127" s="430"/>
      <c r="AG127" s="430"/>
      <c r="AH127" s="430"/>
      <c r="AI127" s="430"/>
      <c r="AJ127" s="430"/>
      <c r="AK127" s="430"/>
      <c r="AL127" s="430"/>
      <c r="AM127" s="430"/>
      <c r="AN127" s="430"/>
      <c r="AO127" s="430"/>
      <c r="AP127" s="430"/>
      <c r="AQ127" s="430"/>
      <c r="AR127" s="430"/>
      <c r="AS127" s="430"/>
      <c r="AT127" s="430"/>
      <c r="AU127" s="430">
        <v>1008</v>
      </c>
      <c r="AV127" s="432" t="s">
        <v>11535</v>
      </c>
    </row>
    <row r="128" s="397" customFormat="1" ht="18" customHeight="1" spans="1:48">
      <c r="A128" s="426">
        <v>45842</v>
      </c>
      <c r="B128" s="427" t="s">
        <v>11536</v>
      </c>
      <c r="C128" s="428" t="s">
        <v>11190</v>
      </c>
      <c r="D128" s="428">
        <v>77731</v>
      </c>
      <c r="E128" s="428">
        <v>22908</v>
      </c>
      <c r="F128" s="429" t="s">
        <v>11404</v>
      </c>
      <c r="G128" s="428"/>
      <c r="H128" s="429"/>
      <c r="I128" s="430"/>
      <c r="J128" s="430"/>
      <c r="K128" s="430"/>
      <c r="L128" s="430"/>
      <c r="M128" s="430"/>
      <c r="N128" s="430"/>
      <c r="O128" s="430"/>
      <c r="P128" s="430"/>
      <c r="Q128" s="430"/>
      <c r="R128" s="430"/>
      <c r="S128" s="430"/>
      <c r="T128" s="430"/>
      <c r="U128" s="430"/>
      <c r="V128" s="430"/>
      <c r="W128" s="430"/>
      <c r="X128" s="430"/>
      <c r="Y128" s="430"/>
      <c r="Z128" s="430"/>
      <c r="AA128" s="430"/>
      <c r="AB128" s="430"/>
      <c r="AC128" s="430"/>
      <c r="AD128" s="430"/>
      <c r="AE128" s="430"/>
      <c r="AF128" s="430"/>
      <c r="AG128" s="430"/>
      <c r="AH128" s="430"/>
      <c r="AI128" s="430"/>
      <c r="AJ128" s="430"/>
      <c r="AK128" s="430"/>
      <c r="AL128" s="430"/>
      <c r="AM128" s="430"/>
      <c r="AN128" s="430"/>
      <c r="AO128" s="430"/>
      <c r="AP128" s="430"/>
      <c r="AQ128" s="430"/>
      <c r="AR128" s="430"/>
      <c r="AS128" s="430">
        <v>22908</v>
      </c>
      <c r="AT128" s="430"/>
      <c r="AU128" s="430"/>
      <c r="AV128" s="432" t="s">
        <v>11537</v>
      </c>
    </row>
    <row r="129" s="397" customFormat="1" ht="18" customHeight="1" spans="1:48">
      <c r="A129" s="426">
        <v>45842</v>
      </c>
      <c r="B129" s="427" t="s">
        <v>11538</v>
      </c>
      <c r="C129" s="428" t="s">
        <v>11190</v>
      </c>
      <c r="D129" s="428">
        <v>77731</v>
      </c>
      <c r="E129" s="428">
        <v>22908</v>
      </c>
      <c r="F129" s="429" t="s">
        <v>11407</v>
      </c>
      <c r="G129" s="428"/>
      <c r="H129" s="429"/>
      <c r="I129" s="430"/>
      <c r="J129" s="430"/>
      <c r="K129" s="430"/>
      <c r="L129" s="430"/>
      <c r="M129" s="430"/>
      <c r="N129" s="430"/>
      <c r="O129" s="430"/>
      <c r="P129" s="430"/>
      <c r="Q129" s="430"/>
      <c r="R129" s="430"/>
      <c r="S129" s="430"/>
      <c r="T129" s="430"/>
      <c r="U129" s="430"/>
      <c r="V129" s="430"/>
      <c r="W129" s="430"/>
      <c r="X129" s="430"/>
      <c r="Y129" s="430"/>
      <c r="Z129" s="430"/>
      <c r="AA129" s="430"/>
      <c r="AB129" s="430"/>
      <c r="AC129" s="430"/>
      <c r="AD129" s="430"/>
      <c r="AE129" s="430"/>
      <c r="AF129" s="430"/>
      <c r="AG129" s="430"/>
      <c r="AH129" s="430"/>
      <c r="AI129" s="430"/>
      <c r="AJ129" s="430"/>
      <c r="AK129" s="430"/>
      <c r="AL129" s="430"/>
      <c r="AM129" s="430"/>
      <c r="AN129" s="430"/>
      <c r="AO129" s="430"/>
      <c r="AP129" s="430"/>
      <c r="AQ129" s="430"/>
      <c r="AR129" s="430"/>
      <c r="AS129" s="430"/>
      <c r="AT129" s="430">
        <v>22908</v>
      </c>
      <c r="AU129" s="430"/>
      <c r="AV129" s="432" t="s">
        <v>11537</v>
      </c>
    </row>
    <row r="130" s="397" customFormat="1" ht="18" customHeight="1" spans="1:48">
      <c r="A130" s="426">
        <v>45842</v>
      </c>
      <c r="B130" s="427" t="s">
        <v>11539</v>
      </c>
      <c r="C130" s="428" t="s">
        <v>11190</v>
      </c>
      <c r="D130" s="428">
        <v>77731</v>
      </c>
      <c r="E130" s="428">
        <v>22908</v>
      </c>
      <c r="F130" s="429" t="s">
        <v>11409</v>
      </c>
      <c r="G130" s="428"/>
      <c r="H130" s="429"/>
      <c r="I130" s="430"/>
      <c r="J130" s="430"/>
      <c r="K130" s="430"/>
      <c r="L130" s="430"/>
      <c r="M130" s="430"/>
      <c r="N130" s="430"/>
      <c r="O130" s="430"/>
      <c r="P130" s="430"/>
      <c r="Q130" s="430"/>
      <c r="R130" s="430"/>
      <c r="S130" s="430"/>
      <c r="T130" s="430"/>
      <c r="U130" s="430"/>
      <c r="V130" s="430"/>
      <c r="W130" s="430"/>
      <c r="X130" s="430"/>
      <c r="Y130" s="430"/>
      <c r="Z130" s="430"/>
      <c r="AA130" s="430"/>
      <c r="AB130" s="430"/>
      <c r="AC130" s="430"/>
      <c r="AD130" s="430"/>
      <c r="AE130" s="430"/>
      <c r="AF130" s="430"/>
      <c r="AG130" s="430"/>
      <c r="AH130" s="430"/>
      <c r="AI130" s="430"/>
      <c r="AJ130" s="430"/>
      <c r="AK130" s="430"/>
      <c r="AL130" s="430"/>
      <c r="AM130" s="430"/>
      <c r="AN130" s="430"/>
      <c r="AO130" s="430"/>
      <c r="AP130" s="430"/>
      <c r="AQ130" s="430"/>
      <c r="AR130" s="430"/>
      <c r="AS130" s="430"/>
      <c r="AT130" s="430"/>
      <c r="AU130" s="430">
        <v>22908</v>
      </c>
      <c r="AV130" s="432" t="s">
        <v>11537</v>
      </c>
    </row>
    <row r="131" s="397" customFormat="1" ht="18" customHeight="1" spans="1:48">
      <c r="A131" s="426">
        <v>45842</v>
      </c>
      <c r="B131" s="427" t="s">
        <v>11540</v>
      </c>
      <c r="C131" s="428" t="s">
        <v>11190</v>
      </c>
      <c r="D131" s="428">
        <v>77731</v>
      </c>
      <c r="E131" s="428">
        <v>45816</v>
      </c>
      <c r="F131" s="429" t="s">
        <v>11422</v>
      </c>
      <c r="G131" s="428"/>
      <c r="H131" s="429"/>
      <c r="I131" s="430"/>
      <c r="J131" s="430"/>
      <c r="K131" s="430">
        <v>45816</v>
      </c>
      <c r="L131" s="430"/>
      <c r="M131" s="430"/>
      <c r="N131" s="430"/>
      <c r="O131" s="430"/>
      <c r="P131" s="430"/>
      <c r="Q131" s="430"/>
      <c r="R131" s="430"/>
      <c r="S131" s="430"/>
      <c r="T131" s="430"/>
      <c r="U131" s="430"/>
      <c r="V131" s="430"/>
      <c r="W131" s="430"/>
      <c r="X131" s="430"/>
      <c r="Y131" s="430"/>
      <c r="Z131" s="430"/>
      <c r="AA131" s="430"/>
      <c r="AB131" s="430"/>
      <c r="AC131" s="430"/>
      <c r="AD131" s="430"/>
      <c r="AE131" s="430"/>
      <c r="AF131" s="430"/>
      <c r="AG131" s="430"/>
      <c r="AH131" s="430"/>
      <c r="AI131" s="430"/>
      <c r="AJ131" s="430"/>
      <c r="AK131" s="430"/>
      <c r="AL131" s="430"/>
      <c r="AM131" s="430"/>
      <c r="AN131" s="430"/>
      <c r="AO131" s="430"/>
      <c r="AP131" s="430"/>
      <c r="AQ131" s="430"/>
      <c r="AR131" s="430"/>
      <c r="AS131" s="430"/>
      <c r="AT131" s="430"/>
      <c r="AU131" s="430"/>
      <c r="AV131" s="432" t="s">
        <v>11537</v>
      </c>
    </row>
    <row r="132" s="397" customFormat="1" ht="18" customHeight="1" spans="1:48">
      <c r="A132" s="426">
        <v>45859</v>
      </c>
      <c r="B132" s="427" t="s">
        <v>11541</v>
      </c>
      <c r="C132" s="428" t="s">
        <v>11190</v>
      </c>
      <c r="D132" s="428">
        <v>77731</v>
      </c>
      <c r="E132" s="428">
        <v>10000</v>
      </c>
      <c r="F132" s="429" t="s">
        <v>11404</v>
      </c>
      <c r="G132" s="428"/>
      <c r="H132" s="429"/>
      <c r="I132" s="430"/>
      <c r="J132" s="430"/>
      <c r="K132" s="430"/>
      <c r="L132" s="430"/>
      <c r="M132" s="430"/>
      <c r="N132" s="430"/>
      <c r="O132" s="430"/>
      <c r="P132" s="430"/>
      <c r="Q132" s="430"/>
      <c r="R132" s="430"/>
      <c r="S132" s="430"/>
      <c r="T132" s="430"/>
      <c r="U132" s="430"/>
      <c r="V132" s="430"/>
      <c r="W132" s="430"/>
      <c r="X132" s="430"/>
      <c r="Y132" s="430"/>
      <c r="Z132" s="430"/>
      <c r="AA132" s="430"/>
      <c r="AB132" s="430"/>
      <c r="AC132" s="430"/>
      <c r="AD132" s="430"/>
      <c r="AE132" s="430"/>
      <c r="AF132" s="430"/>
      <c r="AG132" s="430"/>
      <c r="AH132" s="430"/>
      <c r="AI132" s="430"/>
      <c r="AJ132" s="430"/>
      <c r="AK132" s="430"/>
      <c r="AL132" s="430"/>
      <c r="AM132" s="430"/>
      <c r="AN132" s="430"/>
      <c r="AO132" s="430"/>
      <c r="AP132" s="430"/>
      <c r="AQ132" s="430"/>
      <c r="AR132" s="430"/>
      <c r="AS132" s="430">
        <v>10000</v>
      </c>
      <c r="AT132" s="430"/>
      <c r="AU132" s="430"/>
      <c r="AV132" s="432" t="s">
        <v>11542</v>
      </c>
    </row>
    <row r="133" s="397" customFormat="1" ht="18" customHeight="1" spans="1:48">
      <c r="A133" s="426">
        <v>45859</v>
      </c>
      <c r="B133" s="427" t="s">
        <v>11543</v>
      </c>
      <c r="C133" s="428" t="s">
        <v>11190</v>
      </c>
      <c r="D133" s="428">
        <v>77731</v>
      </c>
      <c r="E133" s="428">
        <v>5000</v>
      </c>
      <c r="F133" s="429" t="s">
        <v>11407</v>
      </c>
      <c r="G133" s="428"/>
      <c r="H133" s="429"/>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c r="AK133" s="430"/>
      <c r="AL133" s="430"/>
      <c r="AM133" s="430"/>
      <c r="AN133" s="430"/>
      <c r="AO133" s="430"/>
      <c r="AP133" s="430"/>
      <c r="AQ133" s="430"/>
      <c r="AR133" s="430"/>
      <c r="AS133" s="430"/>
      <c r="AT133" s="430">
        <v>5000</v>
      </c>
      <c r="AU133" s="430"/>
      <c r="AV133" s="432" t="s">
        <v>11542</v>
      </c>
    </row>
    <row r="134" s="397" customFormat="1" ht="18" customHeight="1" spans="1:48">
      <c r="A134" s="426">
        <v>45859</v>
      </c>
      <c r="B134" s="427" t="s">
        <v>11544</v>
      </c>
      <c r="C134" s="428" t="s">
        <v>11190</v>
      </c>
      <c r="D134" s="428">
        <v>77731</v>
      </c>
      <c r="E134" s="428">
        <v>5000</v>
      </c>
      <c r="F134" s="429" t="s">
        <v>11409</v>
      </c>
      <c r="G134" s="428"/>
      <c r="H134" s="429"/>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c r="AK134" s="430"/>
      <c r="AL134" s="430"/>
      <c r="AM134" s="430"/>
      <c r="AN134" s="430"/>
      <c r="AO134" s="430"/>
      <c r="AP134" s="430"/>
      <c r="AQ134" s="430"/>
      <c r="AR134" s="430"/>
      <c r="AS134" s="430"/>
      <c r="AT134" s="430"/>
      <c r="AU134" s="430">
        <v>5000</v>
      </c>
      <c r="AV134" s="432" t="s">
        <v>11542</v>
      </c>
    </row>
    <row r="135" s="397" customFormat="1" ht="18" customHeight="1" spans="1:48">
      <c r="A135" s="426">
        <v>45867</v>
      </c>
      <c r="B135" s="427" t="s">
        <v>11238</v>
      </c>
      <c r="C135" s="428" t="s">
        <v>11190</v>
      </c>
      <c r="D135" s="428">
        <v>77785</v>
      </c>
      <c r="E135" s="428">
        <v>3312</v>
      </c>
      <c r="F135" s="429" t="s">
        <v>11195</v>
      </c>
      <c r="G135" s="428" t="s">
        <v>11153</v>
      </c>
      <c r="H135" s="429" t="s">
        <v>73</v>
      </c>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v>3312</v>
      </c>
      <c r="AK135" s="430"/>
      <c r="AL135" s="430"/>
      <c r="AM135" s="430"/>
      <c r="AN135" s="430"/>
      <c r="AO135" s="430"/>
      <c r="AP135" s="430"/>
      <c r="AQ135" s="430"/>
      <c r="AR135" s="430"/>
      <c r="AS135" s="430"/>
      <c r="AT135" s="430"/>
      <c r="AU135" s="430"/>
      <c r="AV135" s="432" t="s">
        <v>11240</v>
      </c>
    </row>
    <row r="136" s="397" customFormat="1" ht="18" customHeight="1" spans="1:48">
      <c r="A136" s="426">
        <v>45874</v>
      </c>
      <c r="B136" s="427" t="s">
        <v>11545</v>
      </c>
      <c r="C136" s="428" t="s">
        <v>11183</v>
      </c>
      <c r="D136" s="428" t="s">
        <v>6084</v>
      </c>
      <c r="E136" s="428">
        <v>50000</v>
      </c>
      <c r="F136" s="429" t="s">
        <v>11146</v>
      </c>
      <c r="G136" s="428" t="s">
        <v>11147</v>
      </c>
      <c r="H136" s="429" t="s">
        <v>11148</v>
      </c>
      <c r="I136" s="430">
        <v>50000</v>
      </c>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c r="AK136" s="430"/>
      <c r="AL136" s="430"/>
      <c r="AM136" s="430"/>
      <c r="AN136" s="430"/>
      <c r="AO136" s="430"/>
      <c r="AP136" s="430"/>
      <c r="AQ136" s="430"/>
      <c r="AR136" s="430"/>
      <c r="AS136" s="430"/>
      <c r="AT136" s="430"/>
      <c r="AU136" s="430"/>
      <c r="AV136" s="432" t="s">
        <v>11370</v>
      </c>
    </row>
    <row r="137" s="397" customFormat="1" ht="18" customHeight="1" spans="1:48">
      <c r="A137" s="426">
        <v>45874</v>
      </c>
      <c r="B137" s="427" t="s">
        <v>11546</v>
      </c>
      <c r="C137" s="428" t="s">
        <v>11183</v>
      </c>
      <c r="D137" s="428" t="s">
        <v>6084</v>
      </c>
      <c r="E137" s="428">
        <v>70000</v>
      </c>
      <c r="F137" s="429" t="s">
        <v>11391</v>
      </c>
      <c r="G137" s="428" t="s">
        <v>11373</v>
      </c>
      <c r="H137" s="429" t="s">
        <v>11220</v>
      </c>
      <c r="I137" s="430"/>
      <c r="J137" s="430"/>
      <c r="K137" s="430"/>
      <c r="L137" s="430"/>
      <c r="M137" s="430"/>
      <c r="N137" s="430">
        <v>70000</v>
      </c>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0"/>
      <c r="AS137" s="430"/>
      <c r="AT137" s="430"/>
      <c r="AU137" s="430"/>
      <c r="AV137" s="432" t="s">
        <v>11509</v>
      </c>
    </row>
    <row r="138" s="397" customFormat="1" ht="18" customHeight="1" spans="1:48">
      <c r="A138" s="426">
        <v>45874</v>
      </c>
      <c r="B138" s="427" t="s">
        <v>11547</v>
      </c>
      <c r="C138" s="428" t="s">
        <v>11183</v>
      </c>
      <c r="D138" s="428" t="s">
        <v>11378</v>
      </c>
      <c r="E138" s="428">
        <v>3800</v>
      </c>
      <c r="F138" s="429" t="s">
        <v>11379</v>
      </c>
      <c r="G138" s="428" t="s">
        <v>11147</v>
      </c>
      <c r="H138" s="429" t="s">
        <v>11148</v>
      </c>
      <c r="I138" s="430"/>
      <c r="J138" s="430"/>
      <c r="K138" s="430"/>
      <c r="L138" s="430"/>
      <c r="M138" s="430"/>
      <c r="N138" s="430"/>
      <c r="O138" s="430"/>
      <c r="P138" s="430"/>
      <c r="Q138" s="430"/>
      <c r="R138" s="430"/>
      <c r="S138" s="430"/>
      <c r="T138" s="430"/>
      <c r="U138" s="430"/>
      <c r="V138" s="430"/>
      <c r="W138" s="430"/>
      <c r="X138" s="430"/>
      <c r="Y138" s="430"/>
      <c r="Z138" s="430">
        <v>3800</v>
      </c>
      <c r="AA138" s="430"/>
      <c r="AB138" s="430"/>
      <c r="AC138" s="430"/>
      <c r="AD138" s="430"/>
      <c r="AE138" s="430"/>
      <c r="AF138" s="430"/>
      <c r="AG138" s="430"/>
      <c r="AH138" s="430"/>
      <c r="AI138" s="430"/>
      <c r="AJ138" s="430"/>
      <c r="AK138" s="430"/>
      <c r="AL138" s="430"/>
      <c r="AM138" s="430"/>
      <c r="AN138" s="430"/>
      <c r="AO138" s="430"/>
      <c r="AP138" s="430"/>
      <c r="AQ138" s="430"/>
      <c r="AR138" s="430"/>
      <c r="AS138" s="430"/>
      <c r="AT138" s="430"/>
      <c r="AU138" s="430"/>
      <c r="AV138" s="432" t="s">
        <v>11376</v>
      </c>
    </row>
    <row r="139" s="397" customFormat="1" ht="18" customHeight="1" spans="1:48">
      <c r="A139" s="426">
        <v>45874</v>
      </c>
      <c r="B139" s="427" t="s">
        <v>11548</v>
      </c>
      <c r="C139" s="428" t="s">
        <v>11183</v>
      </c>
      <c r="D139" s="428" t="s">
        <v>11378</v>
      </c>
      <c r="E139" s="428">
        <v>500</v>
      </c>
      <c r="F139" s="429" t="s">
        <v>11381</v>
      </c>
      <c r="G139" s="428" t="s">
        <v>11373</v>
      </c>
      <c r="H139" s="429" t="s">
        <v>11148</v>
      </c>
      <c r="I139" s="430"/>
      <c r="J139" s="430"/>
      <c r="K139" s="430"/>
      <c r="L139" s="430"/>
      <c r="M139" s="430"/>
      <c r="N139" s="430"/>
      <c r="O139" s="430"/>
      <c r="P139" s="430"/>
      <c r="Q139" s="430"/>
      <c r="R139" s="430"/>
      <c r="S139" s="430"/>
      <c r="T139" s="430"/>
      <c r="U139" s="430"/>
      <c r="V139" s="430"/>
      <c r="W139" s="430"/>
      <c r="X139" s="430"/>
      <c r="Y139" s="430"/>
      <c r="Z139" s="430"/>
      <c r="AA139" s="430">
        <v>500</v>
      </c>
      <c r="AB139" s="430"/>
      <c r="AC139" s="430"/>
      <c r="AD139" s="430"/>
      <c r="AE139" s="430"/>
      <c r="AF139" s="430"/>
      <c r="AG139" s="430"/>
      <c r="AH139" s="430"/>
      <c r="AI139" s="430"/>
      <c r="AJ139" s="430"/>
      <c r="AK139" s="430"/>
      <c r="AL139" s="430"/>
      <c r="AM139" s="430"/>
      <c r="AN139" s="430"/>
      <c r="AO139" s="430"/>
      <c r="AP139" s="430"/>
      <c r="AQ139" s="430"/>
      <c r="AR139" s="430"/>
      <c r="AS139" s="430"/>
      <c r="AT139" s="430"/>
      <c r="AU139" s="430"/>
      <c r="AV139" s="432" t="s">
        <v>11376</v>
      </c>
    </row>
    <row r="140" s="397" customFormat="1" ht="18" customHeight="1" spans="1:48">
      <c r="A140" s="426">
        <v>45874</v>
      </c>
      <c r="B140" s="427" t="s">
        <v>11549</v>
      </c>
      <c r="C140" s="428" t="s">
        <v>11183</v>
      </c>
      <c r="D140" s="428" t="s">
        <v>6047</v>
      </c>
      <c r="E140" s="428">
        <v>40000</v>
      </c>
      <c r="F140" s="429" t="s">
        <v>11152</v>
      </c>
      <c r="G140" s="428" t="s">
        <v>11153</v>
      </c>
      <c r="H140" s="429" t="s">
        <v>11148</v>
      </c>
      <c r="I140" s="430"/>
      <c r="J140" s="430"/>
      <c r="K140" s="430"/>
      <c r="L140" s="430"/>
      <c r="M140" s="430">
        <v>40000</v>
      </c>
      <c r="N140" s="430"/>
      <c r="O140" s="430"/>
      <c r="P140" s="430"/>
      <c r="Q140" s="430"/>
      <c r="R140" s="430"/>
      <c r="S140" s="430"/>
      <c r="T140" s="430"/>
      <c r="U140" s="430"/>
      <c r="V140" s="430"/>
      <c r="W140" s="430"/>
      <c r="X140" s="430"/>
      <c r="Y140" s="430"/>
      <c r="Z140" s="430"/>
      <c r="AA140" s="430"/>
      <c r="AB140" s="430"/>
      <c r="AC140" s="430"/>
      <c r="AD140" s="430"/>
      <c r="AE140" s="430"/>
      <c r="AF140" s="430"/>
      <c r="AG140" s="430"/>
      <c r="AH140" s="430"/>
      <c r="AI140" s="430"/>
      <c r="AJ140" s="430"/>
      <c r="AK140" s="430"/>
      <c r="AL140" s="430"/>
      <c r="AM140" s="430"/>
      <c r="AN140" s="430"/>
      <c r="AO140" s="430"/>
      <c r="AP140" s="430"/>
      <c r="AQ140" s="430"/>
      <c r="AR140" s="430"/>
      <c r="AS140" s="430"/>
      <c r="AT140" s="430"/>
      <c r="AU140" s="430"/>
      <c r="AV140" s="432" t="s">
        <v>11383</v>
      </c>
    </row>
    <row r="141" s="397" customFormat="1" ht="18" customHeight="1" spans="1:48">
      <c r="A141" s="426">
        <v>45874</v>
      </c>
      <c r="B141" s="427" t="s">
        <v>11550</v>
      </c>
      <c r="C141" s="428" t="s">
        <v>11183</v>
      </c>
      <c r="D141" s="428" t="s">
        <v>6047</v>
      </c>
      <c r="E141" s="428">
        <v>2000</v>
      </c>
      <c r="F141" s="429" t="s">
        <v>11387</v>
      </c>
      <c r="G141" s="428" t="s">
        <v>11153</v>
      </c>
      <c r="H141" s="429" t="s">
        <v>11148</v>
      </c>
      <c r="I141" s="430"/>
      <c r="J141" s="430"/>
      <c r="K141" s="430"/>
      <c r="L141" s="430"/>
      <c r="M141" s="430"/>
      <c r="N141" s="430"/>
      <c r="O141" s="430"/>
      <c r="P141" s="430"/>
      <c r="Q141" s="430"/>
      <c r="R141" s="430"/>
      <c r="S141" s="430"/>
      <c r="T141" s="430"/>
      <c r="U141" s="430"/>
      <c r="V141" s="430"/>
      <c r="W141" s="430"/>
      <c r="X141" s="430"/>
      <c r="Y141" s="430"/>
      <c r="Z141" s="430"/>
      <c r="AA141" s="430"/>
      <c r="AB141" s="430">
        <v>2000</v>
      </c>
      <c r="AC141" s="430"/>
      <c r="AD141" s="430"/>
      <c r="AE141" s="430"/>
      <c r="AF141" s="430"/>
      <c r="AG141" s="430"/>
      <c r="AH141" s="430"/>
      <c r="AI141" s="430"/>
      <c r="AJ141" s="430"/>
      <c r="AK141" s="430"/>
      <c r="AL141" s="430"/>
      <c r="AM141" s="430"/>
      <c r="AN141" s="430"/>
      <c r="AO141" s="430"/>
      <c r="AP141" s="430"/>
      <c r="AQ141" s="430"/>
      <c r="AR141" s="430"/>
      <c r="AS141" s="430"/>
      <c r="AT141" s="430"/>
      <c r="AU141" s="430"/>
      <c r="AV141" s="432" t="s">
        <v>11385</v>
      </c>
    </row>
    <row r="142" s="397" customFormat="1" ht="18" customHeight="1" spans="1:48">
      <c r="A142" s="426">
        <v>45874</v>
      </c>
      <c r="B142" s="427" t="s">
        <v>11551</v>
      </c>
      <c r="C142" s="428" t="s">
        <v>11183</v>
      </c>
      <c r="D142" s="428" t="s">
        <v>6093</v>
      </c>
      <c r="E142" s="428">
        <v>2900</v>
      </c>
      <c r="F142" s="429" t="s">
        <v>11402</v>
      </c>
      <c r="G142" s="428" t="s">
        <v>11153</v>
      </c>
      <c r="H142" s="429" t="s">
        <v>11148</v>
      </c>
      <c r="I142" s="430"/>
      <c r="J142" s="430"/>
      <c r="K142" s="430"/>
      <c r="L142" s="430"/>
      <c r="M142" s="430"/>
      <c r="N142" s="430"/>
      <c r="O142" s="430"/>
      <c r="P142" s="430"/>
      <c r="Q142" s="430"/>
      <c r="R142" s="430"/>
      <c r="S142" s="430"/>
      <c r="T142" s="430"/>
      <c r="U142" s="430"/>
      <c r="V142" s="430"/>
      <c r="W142" s="430"/>
      <c r="X142" s="430"/>
      <c r="Y142" s="430">
        <v>2900</v>
      </c>
      <c r="Z142" s="430"/>
      <c r="AA142" s="430"/>
      <c r="AB142" s="430"/>
      <c r="AC142" s="430"/>
      <c r="AD142" s="430"/>
      <c r="AE142" s="430"/>
      <c r="AF142" s="430"/>
      <c r="AG142" s="430"/>
      <c r="AH142" s="430"/>
      <c r="AI142" s="430"/>
      <c r="AJ142" s="430"/>
      <c r="AK142" s="430"/>
      <c r="AL142" s="430"/>
      <c r="AM142" s="430"/>
      <c r="AN142" s="430"/>
      <c r="AO142" s="430"/>
      <c r="AP142" s="430"/>
      <c r="AQ142" s="430"/>
      <c r="AR142" s="430"/>
      <c r="AS142" s="430"/>
      <c r="AT142" s="430"/>
      <c r="AU142" s="430"/>
      <c r="AV142" s="432" t="s">
        <v>11385</v>
      </c>
    </row>
    <row r="143" s="397" customFormat="1" ht="18" customHeight="1" spans="1:48">
      <c r="A143" s="426">
        <v>45866</v>
      </c>
      <c r="B143" s="427" t="s">
        <v>11552</v>
      </c>
      <c r="C143" s="428" t="s">
        <v>11553</v>
      </c>
      <c r="D143" s="428" t="s">
        <v>11213</v>
      </c>
      <c r="E143" s="428">
        <v>20000</v>
      </c>
      <c r="F143" s="429" t="s">
        <v>11554</v>
      </c>
      <c r="G143" s="428" t="s">
        <v>73</v>
      </c>
      <c r="H143" s="429" t="s">
        <v>73</v>
      </c>
      <c r="I143" s="430"/>
      <c r="J143" s="430"/>
      <c r="K143" s="430"/>
      <c r="L143" s="430"/>
      <c r="M143" s="430"/>
      <c r="N143" s="430"/>
      <c r="O143" s="430"/>
      <c r="P143" s="430"/>
      <c r="Q143" s="430"/>
      <c r="R143" s="430"/>
      <c r="S143" s="430">
        <v>20000</v>
      </c>
      <c r="T143" s="430"/>
      <c r="U143" s="430"/>
      <c r="V143" s="430"/>
      <c r="W143" s="430"/>
      <c r="X143" s="430"/>
      <c r="Y143" s="430"/>
      <c r="Z143" s="430"/>
      <c r="AA143" s="430"/>
      <c r="AB143" s="430"/>
      <c r="AC143" s="430"/>
      <c r="AD143" s="430"/>
      <c r="AE143" s="430"/>
      <c r="AF143" s="430"/>
      <c r="AG143" s="430"/>
      <c r="AH143" s="430"/>
      <c r="AI143" s="430"/>
      <c r="AJ143" s="430"/>
      <c r="AK143" s="430"/>
      <c r="AL143" s="430"/>
      <c r="AM143" s="430"/>
      <c r="AN143" s="430"/>
      <c r="AO143" s="430"/>
      <c r="AP143" s="430"/>
      <c r="AQ143" s="430"/>
      <c r="AR143" s="430"/>
      <c r="AS143" s="430"/>
      <c r="AT143" s="430"/>
      <c r="AU143" s="430"/>
      <c r="AV143" s="432" t="s">
        <v>11555</v>
      </c>
    </row>
    <row r="144" s="397" customFormat="1" ht="18" customHeight="1" spans="1:48">
      <c r="A144" s="426">
        <v>45852</v>
      </c>
      <c r="B144" s="427" t="s">
        <v>11556</v>
      </c>
      <c r="C144" s="428" t="s">
        <v>11553</v>
      </c>
      <c r="D144" s="428" t="s">
        <v>11213</v>
      </c>
      <c r="E144" s="428">
        <v>81000</v>
      </c>
      <c r="F144" s="429" t="s">
        <v>11501</v>
      </c>
      <c r="G144" s="428" t="s">
        <v>73</v>
      </c>
      <c r="H144" s="429" t="s">
        <v>73</v>
      </c>
      <c r="I144" s="430"/>
      <c r="J144" s="430"/>
      <c r="K144" s="430"/>
      <c r="L144" s="430"/>
      <c r="M144" s="430"/>
      <c r="N144" s="430"/>
      <c r="O144" s="430"/>
      <c r="P144" s="430"/>
      <c r="Q144" s="430"/>
      <c r="R144" s="430"/>
      <c r="S144" s="430"/>
      <c r="T144" s="430">
        <v>81000</v>
      </c>
      <c r="U144" s="430"/>
      <c r="V144" s="430"/>
      <c r="W144" s="430"/>
      <c r="X144" s="430"/>
      <c r="Y144" s="430"/>
      <c r="Z144" s="430"/>
      <c r="AA144" s="430"/>
      <c r="AB144" s="430"/>
      <c r="AC144" s="430"/>
      <c r="AD144" s="430"/>
      <c r="AE144" s="430"/>
      <c r="AF144" s="430"/>
      <c r="AG144" s="430"/>
      <c r="AH144" s="430"/>
      <c r="AI144" s="430"/>
      <c r="AJ144" s="430"/>
      <c r="AK144" s="430"/>
      <c r="AL144" s="430"/>
      <c r="AM144" s="430"/>
      <c r="AN144" s="430"/>
      <c r="AO144" s="430"/>
      <c r="AP144" s="430"/>
      <c r="AQ144" s="430"/>
      <c r="AR144" s="430"/>
      <c r="AS144" s="430"/>
      <c r="AT144" s="430"/>
      <c r="AU144" s="430"/>
      <c r="AV144" s="432" t="s">
        <v>11252</v>
      </c>
    </row>
    <row r="145" s="397" customFormat="1" ht="18" customHeight="1" spans="1:48">
      <c r="A145" s="426">
        <v>45827</v>
      </c>
      <c r="B145" s="427" t="s">
        <v>11557</v>
      </c>
      <c r="C145" s="428" t="s">
        <v>11553</v>
      </c>
      <c r="D145" s="428" t="s">
        <v>11213</v>
      </c>
      <c r="E145" s="428">
        <v>145800</v>
      </c>
      <c r="F145" s="429" t="s">
        <v>11501</v>
      </c>
      <c r="G145" s="428" t="s">
        <v>73</v>
      </c>
      <c r="H145" s="429" t="s">
        <v>73</v>
      </c>
      <c r="I145" s="430"/>
      <c r="J145" s="430"/>
      <c r="K145" s="430"/>
      <c r="L145" s="430"/>
      <c r="M145" s="430"/>
      <c r="N145" s="430"/>
      <c r="O145" s="430"/>
      <c r="P145" s="430"/>
      <c r="Q145" s="430"/>
      <c r="R145" s="430"/>
      <c r="S145" s="430"/>
      <c r="T145" s="430">
        <v>145800</v>
      </c>
      <c r="U145" s="430"/>
      <c r="V145" s="430"/>
      <c r="W145" s="430"/>
      <c r="X145" s="430"/>
      <c r="Y145" s="430"/>
      <c r="Z145" s="430"/>
      <c r="AA145" s="430"/>
      <c r="AB145" s="430"/>
      <c r="AC145" s="430"/>
      <c r="AD145" s="430"/>
      <c r="AE145" s="430"/>
      <c r="AF145" s="430"/>
      <c r="AG145" s="430"/>
      <c r="AH145" s="430"/>
      <c r="AI145" s="430"/>
      <c r="AJ145" s="430"/>
      <c r="AK145" s="430"/>
      <c r="AL145" s="430"/>
      <c r="AM145" s="430"/>
      <c r="AN145" s="430"/>
      <c r="AO145" s="430"/>
      <c r="AP145" s="430"/>
      <c r="AQ145" s="430"/>
      <c r="AR145" s="430"/>
      <c r="AS145" s="430"/>
      <c r="AT145" s="430"/>
      <c r="AU145" s="430"/>
      <c r="AV145" s="432" t="s">
        <v>11260</v>
      </c>
    </row>
    <row r="146" s="397" customFormat="1" ht="18" customHeight="1" spans="1:48">
      <c r="A146" s="426">
        <v>45876</v>
      </c>
      <c r="B146" s="427" t="s">
        <v>11244</v>
      </c>
      <c r="C146" s="428" t="s">
        <v>11245</v>
      </c>
      <c r="D146" s="428">
        <v>77785</v>
      </c>
      <c r="E146" s="428">
        <v>5000</v>
      </c>
      <c r="F146" s="429" t="s">
        <v>11195</v>
      </c>
      <c r="G146" s="428" t="s">
        <v>73</v>
      </c>
      <c r="H146" s="429" t="s">
        <v>73</v>
      </c>
      <c r="I146" s="430"/>
      <c r="J146" s="430"/>
      <c r="K146" s="430"/>
      <c r="L146" s="430"/>
      <c r="M146" s="430"/>
      <c r="N146" s="430"/>
      <c r="O146" s="430"/>
      <c r="P146" s="430"/>
      <c r="Q146" s="430"/>
      <c r="R146" s="430"/>
      <c r="S146" s="430"/>
      <c r="T146" s="430"/>
      <c r="U146" s="430"/>
      <c r="V146" s="430"/>
      <c r="W146" s="430"/>
      <c r="X146" s="430"/>
      <c r="Y146" s="430"/>
      <c r="Z146" s="430"/>
      <c r="AA146" s="430"/>
      <c r="AB146" s="430"/>
      <c r="AC146" s="430"/>
      <c r="AD146" s="430"/>
      <c r="AE146" s="430"/>
      <c r="AF146" s="430"/>
      <c r="AG146" s="430"/>
      <c r="AH146" s="430"/>
      <c r="AI146" s="430"/>
      <c r="AJ146" s="430">
        <v>5000</v>
      </c>
      <c r="AK146" s="430"/>
      <c r="AL146" s="430"/>
      <c r="AM146" s="430"/>
      <c r="AN146" s="430"/>
      <c r="AO146" s="430"/>
      <c r="AP146" s="430"/>
      <c r="AQ146" s="430"/>
      <c r="AR146" s="430"/>
      <c r="AS146" s="430"/>
      <c r="AT146" s="430"/>
      <c r="AU146" s="430"/>
      <c r="AV146" s="432" t="s">
        <v>11558</v>
      </c>
    </row>
    <row r="147" s="397" customFormat="1" ht="18" customHeight="1" spans="1:48">
      <c r="A147" s="426">
        <v>45883</v>
      </c>
      <c r="B147" s="427" t="s">
        <v>11559</v>
      </c>
      <c r="C147" s="428" t="s">
        <v>11245</v>
      </c>
      <c r="D147" s="428" t="s">
        <v>11560</v>
      </c>
      <c r="E147" s="428">
        <v>1000</v>
      </c>
      <c r="F147" s="429" t="s">
        <v>11417</v>
      </c>
      <c r="G147" s="428" t="s">
        <v>73</v>
      </c>
      <c r="H147" s="429" t="s">
        <v>73</v>
      </c>
      <c r="I147" s="430"/>
      <c r="J147" s="430"/>
      <c r="K147" s="430"/>
      <c r="L147" s="430"/>
      <c r="M147" s="430"/>
      <c r="N147" s="430"/>
      <c r="O147" s="430"/>
      <c r="P147" s="430"/>
      <c r="Q147" s="430"/>
      <c r="R147" s="430"/>
      <c r="S147" s="430"/>
      <c r="T147" s="430"/>
      <c r="U147" s="430"/>
      <c r="V147" s="430"/>
      <c r="W147" s="430"/>
      <c r="X147" s="430"/>
      <c r="Y147" s="430"/>
      <c r="Z147" s="430"/>
      <c r="AA147" s="430"/>
      <c r="AB147" s="430"/>
      <c r="AC147" s="430"/>
      <c r="AD147" s="430"/>
      <c r="AE147" s="430"/>
      <c r="AF147" s="430"/>
      <c r="AG147" s="430"/>
      <c r="AH147" s="430"/>
      <c r="AI147" s="430"/>
      <c r="AJ147" s="430"/>
      <c r="AK147" s="430"/>
      <c r="AL147" s="430"/>
      <c r="AM147" s="430"/>
      <c r="AN147" s="430"/>
      <c r="AO147" s="430"/>
      <c r="AP147" s="430"/>
      <c r="AQ147" s="430"/>
      <c r="AR147" s="430"/>
      <c r="AS147" s="430"/>
      <c r="AT147" s="430"/>
      <c r="AU147" s="430"/>
      <c r="AV147" s="432" t="s">
        <v>11561</v>
      </c>
    </row>
    <row r="148" s="397" customFormat="1" ht="18" customHeight="1" spans="1:48">
      <c r="A148" s="426">
        <v>45827</v>
      </c>
      <c r="B148" s="427" t="s">
        <v>11562</v>
      </c>
      <c r="C148" s="429" t="s">
        <v>11212</v>
      </c>
      <c r="D148" s="428" t="s">
        <v>11213</v>
      </c>
      <c r="E148" s="428">
        <v>9720</v>
      </c>
      <c r="F148" s="429" t="s">
        <v>11258</v>
      </c>
      <c r="G148" s="428" t="s">
        <v>73</v>
      </c>
      <c r="H148" s="428" t="s">
        <v>73</v>
      </c>
      <c r="I148" s="430"/>
      <c r="J148" s="430"/>
      <c r="K148" s="430"/>
      <c r="L148" s="430"/>
      <c r="M148" s="430"/>
      <c r="N148" s="430"/>
      <c r="O148" s="430"/>
      <c r="P148" s="430"/>
      <c r="Q148" s="430"/>
      <c r="R148" s="430"/>
      <c r="S148" s="430"/>
      <c r="T148" s="430"/>
      <c r="U148" s="430"/>
      <c r="V148" s="430">
        <v>9720</v>
      </c>
      <c r="W148" s="430"/>
      <c r="X148" s="430"/>
      <c r="Y148" s="430"/>
      <c r="Z148" s="430"/>
      <c r="AA148" s="430"/>
      <c r="AB148" s="430"/>
      <c r="AC148" s="430"/>
      <c r="AD148" s="430"/>
      <c r="AE148" s="430"/>
      <c r="AF148" s="430"/>
      <c r="AG148" s="430"/>
      <c r="AH148" s="430"/>
      <c r="AI148" s="430"/>
      <c r="AJ148" s="430"/>
      <c r="AK148" s="430"/>
      <c r="AL148" s="430"/>
      <c r="AM148" s="430"/>
      <c r="AN148" s="430"/>
      <c r="AO148" s="430"/>
      <c r="AP148" s="430"/>
      <c r="AQ148" s="430"/>
      <c r="AR148" s="430"/>
      <c r="AS148" s="430"/>
      <c r="AT148" s="430"/>
      <c r="AU148" s="430"/>
      <c r="AV148" s="432" t="s">
        <v>11260</v>
      </c>
    </row>
    <row r="149" s="397" customFormat="1" ht="18" customHeight="1" spans="1:48">
      <c r="A149" s="426">
        <v>45827</v>
      </c>
      <c r="B149" s="427">
        <v>1000029129</v>
      </c>
      <c r="C149" s="429" t="s">
        <v>11212</v>
      </c>
      <c r="D149" s="428" t="s">
        <v>11213</v>
      </c>
      <c r="E149" s="428">
        <v>48600</v>
      </c>
      <c r="F149" s="429" t="s">
        <v>11254</v>
      </c>
      <c r="G149" s="428" t="s">
        <v>73</v>
      </c>
      <c r="H149" s="428" t="s">
        <v>73</v>
      </c>
      <c r="I149" s="430"/>
      <c r="J149" s="430"/>
      <c r="K149" s="430"/>
      <c r="L149" s="430"/>
      <c r="M149" s="430"/>
      <c r="N149" s="430"/>
      <c r="O149" s="430"/>
      <c r="P149" s="430"/>
      <c r="Q149" s="430"/>
      <c r="R149" s="430"/>
      <c r="S149" s="430"/>
      <c r="T149" s="430"/>
      <c r="U149" s="430">
        <v>48600</v>
      </c>
      <c r="V149" s="430"/>
      <c r="W149" s="430"/>
      <c r="X149" s="430"/>
      <c r="Y149" s="430"/>
      <c r="Z149" s="430"/>
      <c r="AA149" s="430"/>
      <c r="AB149" s="430"/>
      <c r="AC149" s="430"/>
      <c r="AD149" s="430"/>
      <c r="AE149" s="430"/>
      <c r="AF149" s="430"/>
      <c r="AG149" s="430"/>
      <c r="AH149" s="430"/>
      <c r="AI149" s="430"/>
      <c r="AJ149" s="430"/>
      <c r="AK149" s="430"/>
      <c r="AL149" s="430"/>
      <c r="AM149" s="430"/>
      <c r="AN149" s="430"/>
      <c r="AO149" s="430"/>
      <c r="AP149" s="430"/>
      <c r="AQ149" s="430"/>
      <c r="AR149" s="430"/>
      <c r="AS149" s="430"/>
      <c r="AT149" s="430"/>
      <c r="AU149" s="430"/>
      <c r="AV149" s="432" t="s">
        <v>11563</v>
      </c>
    </row>
    <row r="150" s="397" customFormat="1" ht="18" customHeight="1" spans="1:48">
      <c r="A150" s="426">
        <v>45852</v>
      </c>
      <c r="B150" s="427">
        <v>1000030016</v>
      </c>
      <c r="C150" s="429" t="s">
        <v>11212</v>
      </c>
      <c r="D150" s="428" t="s">
        <v>11213</v>
      </c>
      <c r="E150" s="428">
        <v>27000</v>
      </c>
      <c r="F150" s="429" t="s">
        <v>11254</v>
      </c>
      <c r="G150" s="428" t="s">
        <v>73</v>
      </c>
      <c r="H150" s="428" t="s">
        <v>73</v>
      </c>
      <c r="I150" s="430"/>
      <c r="J150" s="430"/>
      <c r="K150" s="430"/>
      <c r="L150" s="430"/>
      <c r="M150" s="430"/>
      <c r="N150" s="430"/>
      <c r="O150" s="430"/>
      <c r="P150" s="430"/>
      <c r="Q150" s="430"/>
      <c r="R150" s="430"/>
      <c r="S150" s="430"/>
      <c r="T150" s="430"/>
      <c r="U150" s="430">
        <v>27000</v>
      </c>
      <c r="V150" s="430"/>
      <c r="W150" s="430"/>
      <c r="X150" s="430"/>
      <c r="Y150" s="430"/>
      <c r="Z150" s="430"/>
      <c r="AA150" s="430"/>
      <c r="AB150" s="430"/>
      <c r="AC150" s="430"/>
      <c r="AD150" s="430"/>
      <c r="AE150" s="430"/>
      <c r="AF150" s="430"/>
      <c r="AG150" s="430"/>
      <c r="AH150" s="430"/>
      <c r="AI150" s="430"/>
      <c r="AJ150" s="430"/>
      <c r="AK150" s="430"/>
      <c r="AL150" s="430"/>
      <c r="AM150" s="430"/>
      <c r="AN150" s="430"/>
      <c r="AO150" s="430"/>
      <c r="AP150" s="430"/>
      <c r="AQ150" s="430"/>
      <c r="AR150" s="430"/>
      <c r="AS150" s="430"/>
      <c r="AT150" s="430"/>
      <c r="AU150" s="430"/>
      <c r="AV150" s="432" t="s">
        <v>11564</v>
      </c>
    </row>
    <row r="151" s="397" customFormat="1" ht="18" customHeight="1" spans="1:48">
      <c r="A151" s="426">
        <v>45852</v>
      </c>
      <c r="B151" s="427" t="s">
        <v>11257</v>
      </c>
      <c r="C151" s="429" t="s">
        <v>11212</v>
      </c>
      <c r="D151" s="428" t="s">
        <v>11213</v>
      </c>
      <c r="E151" s="428">
        <v>5400</v>
      </c>
      <c r="F151" s="429" t="s">
        <v>11258</v>
      </c>
      <c r="G151" s="428" t="s">
        <v>73</v>
      </c>
      <c r="H151" s="428" t="s">
        <v>73</v>
      </c>
      <c r="I151" s="430"/>
      <c r="J151" s="430"/>
      <c r="K151" s="430"/>
      <c r="L151" s="430"/>
      <c r="M151" s="430"/>
      <c r="N151" s="430"/>
      <c r="O151" s="430"/>
      <c r="P151" s="430"/>
      <c r="Q151" s="430"/>
      <c r="R151" s="430"/>
      <c r="S151" s="430"/>
      <c r="T151" s="430"/>
      <c r="U151" s="430"/>
      <c r="V151" s="430">
        <v>5400</v>
      </c>
      <c r="W151" s="430"/>
      <c r="X151" s="430"/>
      <c r="Y151" s="430"/>
      <c r="Z151" s="430"/>
      <c r="AA151" s="430"/>
      <c r="AB151" s="430"/>
      <c r="AC151" s="430"/>
      <c r="AD151" s="430"/>
      <c r="AE151" s="430"/>
      <c r="AF151" s="430"/>
      <c r="AG151" s="430"/>
      <c r="AH151" s="430"/>
      <c r="AI151" s="430"/>
      <c r="AJ151" s="430"/>
      <c r="AK151" s="430"/>
      <c r="AL151" s="430"/>
      <c r="AM151" s="430"/>
      <c r="AN151" s="430"/>
      <c r="AO151" s="430"/>
      <c r="AP151" s="430"/>
      <c r="AQ151" s="430"/>
      <c r="AR151" s="430"/>
      <c r="AS151" s="430"/>
      <c r="AT151" s="430"/>
      <c r="AU151" s="430"/>
      <c r="AV151" s="432" t="s">
        <v>11252</v>
      </c>
    </row>
    <row r="152" s="397" customFormat="1" ht="18" customHeight="1" spans="1:48">
      <c r="A152" s="426">
        <v>45888</v>
      </c>
      <c r="B152" s="427">
        <v>1000031538</v>
      </c>
      <c r="C152" s="428" t="s">
        <v>11262</v>
      </c>
      <c r="D152" s="428" t="s">
        <v>6084</v>
      </c>
      <c r="E152" s="428">
        <v>150000</v>
      </c>
      <c r="F152" s="429" t="s">
        <v>11146</v>
      </c>
      <c r="G152" s="428" t="s">
        <v>11147</v>
      </c>
      <c r="H152" s="429" t="s">
        <v>11148</v>
      </c>
      <c r="I152" s="430">
        <v>150000</v>
      </c>
      <c r="J152" s="430"/>
      <c r="K152" s="430"/>
      <c r="L152" s="430"/>
      <c r="M152" s="430"/>
      <c r="N152" s="430"/>
      <c r="O152" s="430"/>
      <c r="P152" s="430"/>
      <c r="Q152" s="430"/>
      <c r="R152" s="430"/>
      <c r="S152" s="430"/>
      <c r="T152" s="430"/>
      <c r="U152" s="430"/>
      <c r="V152" s="430"/>
      <c r="W152" s="430"/>
      <c r="X152" s="430"/>
      <c r="Y152" s="430"/>
      <c r="Z152" s="430"/>
      <c r="AA152" s="430"/>
      <c r="AB152" s="430"/>
      <c r="AC152" s="430"/>
      <c r="AD152" s="430"/>
      <c r="AE152" s="430"/>
      <c r="AF152" s="430"/>
      <c r="AG152" s="430"/>
      <c r="AH152" s="430"/>
      <c r="AI152" s="430"/>
      <c r="AJ152" s="430"/>
      <c r="AK152" s="430"/>
      <c r="AL152" s="430"/>
      <c r="AM152" s="430"/>
      <c r="AN152" s="430"/>
      <c r="AO152" s="430"/>
      <c r="AP152" s="430"/>
      <c r="AQ152" s="430"/>
      <c r="AR152" s="430"/>
      <c r="AS152" s="430"/>
      <c r="AT152" s="430"/>
      <c r="AU152" s="430"/>
      <c r="AV152" s="432" t="s">
        <v>11370</v>
      </c>
    </row>
    <row r="153" s="397" customFormat="1" ht="18" customHeight="1" spans="1:48">
      <c r="A153" s="426">
        <v>45888</v>
      </c>
      <c r="B153" s="427">
        <v>1000031539</v>
      </c>
      <c r="C153" s="428" t="s">
        <v>11262</v>
      </c>
      <c r="D153" s="428" t="s">
        <v>6084</v>
      </c>
      <c r="E153" s="428">
        <v>200000</v>
      </c>
      <c r="F153" s="429" t="s">
        <v>11391</v>
      </c>
      <c r="G153" s="428" t="s">
        <v>11373</v>
      </c>
      <c r="H153" s="429" t="s">
        <v>11220</v>
      </c>
      <c r="I153" s="430"/>
      <c r="J153" s="430"/>
      <c r="K153" s="430"/>
      <c r="L153" s="430"/>
      <c r="M153" s="430"/>
      <c r="N153" s="430">
        <v>200000</v>
      </c>
      <c r="O153" s="430"/>
      <c r="P153" s="430"/>
      <c r="Q153" s="430"/>
      <c r="R153" s="430"/>
      <c r="S153" s="430"/>
      <c r="T153" s="430"/>
      <c r="U153" s="430"/>
      <c r="V153" s="430"/>
      <c r="W153" s="430"/>
      <c r="X153" s="430"/>
      <c r="Y153" s="430"/>
      <c r="Z153" s="430"/>
      <c r="AA153" s="430"/>
      <c r="AB153" s="430"/>
      <c r="AC153" s="430"/>
      <c r="AD153" s="430"/>
      <c r="AE153" s="430"/>
      <c r="AF153" s="430"/>
      <c r="AG153" s="430"/>
      <c r="AH153" s="430"/>
      <c r="AI153" s="430"/>
      <c r="AJ153" s="430"/>
      <c r="AK153" s="430"/>
      <c r="AL153" s="430"/>
      <c r="AM153" s="430"/>
      <c r="AN153" s="430"/>
      <c r="AO153" s="430"/>
      <c r="AP153" s="430"/>
      <c r="AQ153" s="430"/>
      <c r="AR153" s="430"/>
      <c r="AS153" s="430"/>
      <c r="AT153" s="430"/>
      <c r="AU153" s="430"/>
      <c r="AV153" s="432" t="s">
        <v>11509</v>
      </c>
    </row>
    <row r="154" s="397" customFormat="1" ht="18" customHeight="1" spans="1:48">
      <c r="A154" s="426">
        <v>45888</v>
      </c>
      <c r="B154" s="427">
        <v>1000031540</v>
      </c>
      <c r="C154" s="428" t="s">
        <v>11262</v>
      </c>
      <c r="D154" s="428" t="s">
        <v>11378</v>
      </c>
      <c r="E154" s="428">
        <v>6500</v>
      </c>
      <c r="F154" s="429" t="s">
        <v>11379</v>
      </c>
      <c r="G154" s="428" t="s">
        <v>11147</v>
      </c>
      <c r="H154" s="429" t="s">
        <v>11148</v>
      </c>
      <c r="I154" s="430"/>
      <c r="J154" s="430"/>
      <c r="K154" s="430"/>
      <c r="L154" s="430"/>
      <c r="M154" s="430"/>
      <c r="N154" s="430"/>
      <c r="O154" s="430"/>
      <c r="P154" s="430"/>
      <c r="Q154" s="430"/>
      <c r="R154" s="430"/>
      <c r="S154" s="430"/>
      <c r="T154" s="430"/>
      <c r="U154" s="430"/>
      <c r="V154" s="430"/>
      <c r="W154" s="430"/>
      <c r="X154" s="430"/>
      <c r="Y154" s="430"/>
      <c r="Z154" s="430">
        <v>6500</v>
      </c>
      <c r="AA154" s="430"/>
      <c r="AB154" s="430"/>
      <c r="AC154" s="430"/>
      <c r="AD154" s="430"/>
      <c r="AE154" s="430"/>
      <c r="AF154" s="430"/>
      <c r="AG154" s="430"/>
      <c r="AH154" s="430"/>
      <c r="AI154" s="430"/>
      <c r="AJ154" s="430"/>
      <c r="AK154" s="430"/>
      <c r="AL154" s="430"/>
      <c r="AM154" s="430"/>
      <c r="AN154" s="430"/>
      <c r="AO154" s="430"/>
      <c r="AP154" s="430"/>
      <c r="AQ154" s="430"/>
      <c r="AR154" s="430"/>
      <c r="AS154" s="430"/>
      <c r="AT154" s="430"/>
      <c r="AU154" s="430"/>
      <c r="AV154" s="432" t="s">
        <v>11376</v>
      </c>
    </row>
    <row r="155" s="397" customFormat="1" ht="18" customHeight="1" spans="1:48">
      <c r="A155" s="426">
        <v>45888</v>
      </c>
      <c r="B155" s="427">
        <v>1000031544</v>
      </c>
      <c r="C155" s="428" t="s">
        <v>11262</v>
      </c>
      <c r="D155" s="428" t="s">
        <v>6047</v>
      </c>
      <c r="E155" s="428">
        <v>500</v>
      </c>
      <c r="F155" s="429" t="s">
        <v>11387</v>
      </c>
      <c r="G155" s="428" t="s">
        <v>11153</v>
      </c>
      <c r="H155" s="429" t="s">
        <v>11148</v>
      </c>
      <c r="I155" s="430"/>
      <c r="J155" s="430"/>
      <c r="K155" s="430"/>
      <c r="L155" s="430"/>
      <c r="M155" s="430"/>
      <c r="N155" s="430"/>
      <c r="O155" s="430"/>
      <c r="P155" s="430"/>
      <c r="Q155" s="430"/>
      <c r="R155" s="430"/>
      <c r="S155" s="430"/>
      <c r="T155" s="430"/>
      <c r="U155" s="430"/>
      <c r="V155" s="430"/>
      <c r="W155" s="430"/>
      <c r="X155" s="430"/>
      <c r="Y155" s="430"/>
      <c r="Z155" s="430"/>
      <c r="AA155" s="430"/>
      <c r="AB155" s="430">
        <v>500</v>
      </c>
      <c r="AC155" s="430"/>
      <c r="AD155" s="430"/>
      <c r="AE155" s="430"/>
      <c r="AF155" s="430"/>
      <c r="AG155" s="430"/>
      <c r="AH155" s="430"/>
      <c r="AI155" s="430"/>
      <c r="AJ155" s="430"/>
      <c r="AK155" s="430"/>
      <c r="AL155" s="430"/>
      <c r="AM155" s="430"/>
      <c r="AN155" s="430"/>
      <c r="AO155" s="430"/>
      <c r="AP155" s="430"/>
      <c r="AQ155" s="430"/>
      <c r="AR155" s="430"/>
      <c r="AS155" s="430"/>
      <c r="AT155" s="430"/>
      <c r="AU155" s="430"/>
      <c r="AV155" s="432" t="s">
        <v>11385</v>
      </c>
    </row>
    <row r="156" s="397" customFormat="1" ht="18" customHeight="1" spans="1:48">
      <c r="A156" s="426">
        <v>45888</v>
      </c>
      <c r="B156" s="427">
        <v>1000031545</v>
      </c>
      <c r="C156" s="428" t="s">
        <v>11262</v>
      </c>
      <c r="D156" s="428" t="s">
        <v>6093</v>
      </c>
      <c r="E156" s="428">
        <v>1500</v>
      </c>
      <c r="F156" s="429" t="s">
        <v>11402</v>
      </c>
      <c r="G156" s="428" t="s">
        <v>11153</v>
      </c>
      <c r="H156" s="429" t="s">
        <v>11148</v>
      </c>
      <c r="I156" s="430"/>
      <c r="J156" s="430"/>
      <c r="K156" s="430"/>
      <c r="L156" s="430"/>
      <c r="M156" s="430"/>
      <c r="N156" s="430"/>
      <c r="O156" s="430"/>
      <c r="P156" s="430"/>
      <c r="Q156" s="430"/>
      <c r="R156" s="430"/>
      <c r="S156" s="430"/>
      <c r="T156" s="430"/>
      <c r="U156" s="430"/>
      <c r="V156" s="430"/>
      <c r="W156" s="430"/>
      <c r="X156" s="430"/>
      <c r="Y156" s="430">
        <v>1500</v>
      </c>
      <c r="Z156" s="430"/>
      <c r="AA156" s="430"/>
      <c r="AB156" s="430"/>
      <c r="AC156" s="430"/>
      <c r="AD156" s="430"/>
      <c r="AE156" s="430"/>
      <c r="AF156" s="430"/>
      <c r="AG156" s="430"/>
      <c r="AH156" s="430"/>
      <c r="AI156" s="430"/>
      <c r="AJ156" s="430"/>
      <c r="AK156" s="430"/>
      <c r="AL156" s="430"/>
      <c r="AM156" s="430"/>
      <c r="AN156" s="430"/>
      <c r="AO156" s="430"/>
      <c r="AP156" s="430"/>
      <c r="AQ156" s="430"/>
      <c r="AR156" s="430"/>
      <c r="AS156" s="430"/>
      <c r="AT156" s="430"/>
      <c r="AU156" s="430"/>
      <c r="AV156" s="432" t="s">
        <v>11385</v>
      </c>
    </row>
    <row r="157" s="397" customFormat="1" ht="18" customHeight="1" spans="1:48">
      <c r="A157" s="426">
        <v>45897</v>
      </c>
      <c r="B157" s="427" t="s">
        <v>11565</v>
      </c>
      <c r="C157" s="428" t="s">
        <v>11194</v>
      </c>
      <c r="D157" s="428" t="s">
        <v>11416</v>
      </c>
      <c r="E157" s="428">
        <v>7491</v>
      </c>
      <c r="F157" s="429" t="s">
        <v>11417</v>
      </c>
      <c r="G157" s="428" t="s">
        <v>73</v>
      </c>
      <c r="H157" s="429" t="s">
        <v>11148</v>
      </c>
      <c r="I157" s="430"/>
      <c r="J157" s="430"/>
      <c r="K157" s="430"/>
      <c r="L157" s="430"/>
      <c r="M157" s="430"/>
      <c r="N157" s="430"/>
      <c r="O157" s="430"/>
      <c r="P157" s="430"/>
      <c r="Q157" s="430"/>
      <c r="R157" s="430"/>
      <c r="S157" s="430"/>
      <c r="T157" s="430"/>
      <c r="U157" s="430"/>
      <c r="V157" s="430"/>
      <c r="W157" s="430"/>
      <c r="X157" s="430"/>
      <c r="Y157" s="430"/>
      <c r="Z157" s="430"/>
      <c r="AA157" s="430"/>
      <c r="AB157" s="430"/>
      <c r="AC157" s="430">
        <v>7491</v>
      </c>
      <c r="AD157" s="430"/>
      <c r="AE157" s="430"/>
      <c r="AF157" s="430"/>
      <c r="AG157" s="430"/>
      <c r="AH157" s="430"/>
      <c r="AI157" s="430"/>
      <c r="AJ157" s="430"/>
      <c r="AK157" s="430"/>
      <c r="AL157" s="430"/>
      <c r="AM157" s="430"/>
      <c r="AN157" s="430"/>
      <c r="AO157" s="430"/>
      <c r="AP157" s="430"/>
      <c r="AQ157" s="430"/>
      <c r="AR157" s="430"/>
      <c r="AS157" s="430"/>
      <c r="AT157" s="430"/>
      <c r="AU157" s="430"/>
      <c r="AV157" s="432" t="s">
        <v>11566</v>
      </c>
    </row>
    <row r="158" s="397" customFormat="1" ht="18" customHeight="1" spans="1:48">
      <c r="A158" s="426">
        <v>45897</v>
      </c>
      <c r="B158" s="427" t="s">
        <v>11567</v>
      </c>
      <c r="C158" s="428" t="s">
        <v>11194</v>
      </c>
      <c r="D158" s="428" t="s">
        <v>11416</v>
      </c>
      <c r="E158" s="428">
        <v>2687</v>
      </c>
      <c r="F158" s="429" t="s">
        <v>11417</v>
      </c>
      <c r="G158" s="428" t="s">
        <v>73</v>
      </c>
      <c r="H158" s="429" t="s">
        <v>11148</v>
      </c>
      <c r="I158" s="430"/>
      <c r="J158" s="430"/>
      <c r="K158" s="430"/>
      <c r="L158" s="430"/>
      <c r="M158" s="430"/>
      <c r="N158" s="430"/>
      <c r="O158" s="430"/>
      <c r="P158" s="430"/>
      <c r="Q158" s="430"/>
      <c r="R158" s="430"/>
      <c r="S158" s="430"/>
      <c r="T158" s="430"/>
      <c r="U158" s="430"/>
      <c r="V158" s="430"/>
      <c r="W158" s="430"/>
      <c r="X158" s="430"/>
      <c r="Y158" s="430"/>
      <c r="Z158" s="430"/>
      <c r="AA158" s="430"/>
      <c r="AB158" s="430"/>
      <c r="AC158" s="430">
        <v>2687</v>
      </c>
      <c r="AD158" s="430"/>
      <c r="AE158" s="430"/>
      <c r="AF158" s="430"/>
      <c r="AG158" s="430"/>
      <c r="AH158" s="430"/>
      <c r="AI158" s="430"/>
      <c r="AJ158" s="430"/>
      <c r="AK158" s="430"/>
      <c r="AL158" s="430"/>
      <c r="AM158" s="430"/>
      <c r="AN158" s="430"/>
      <c r="AO158" s="430"/>
      <c r="AP158" s="430"/>
      <c r="AQ158" s="430"/>
      <c r="AR158" s="430"/>
      <c r="AS158" s="430"/>
      <c r="AT158" s="430"/>
      <c r="AU158" s="430"/>
      <c r="AV158" s="432" t="s">
        <v>11566</v>
      </c>
    </row>
    <row r="159" s="398" customFormat="1" ht="18" customHeight="1" spans="1:48">
      <c r="A159" s="433">
        <v>46051</v>
      </c>
      <c r="B159" s="434" t="s">
        <v>11263</v>
      </c>
      <c r="C159" s="435" t="s">
        <v>11245</v>
      </c>
      <c r="D159" s="435">
        <v>77785</v>
      </c>
      <c r="E159" s="435">
        <v>12000</v>
      </c>
      <c r="F159" s="436" t="s">
        <v>11195</v>
      </c>
      <c r="G159" s="435" t="s">
        <v>73</v>
      </c>
      <c r="H159" s="436" t="s">
        <v>73</v>
      </c>
      <c r="I159" s="437"/>
      <c r="J159" s="437"/>
      <c r="K159" s="437"/>
      <c r="L159" s="437"/>
      <c r="M159" s="437"/>
      <c r="N159" s="437"/>
      <c r="O159" s="437"/>
      <c r="P159" s="437"/>
      <c r="Q159" s="437"/>
      <c r="R159" s="437"/>
      <c r="S159" s="437"/>
      <c r="T159" s="437"/>
      <c r="U159" s="437"/>
      <c r="V159" s="437"/>
      <c r="W159" s="437"/>
      <c r="X159" s="437"/>
      <c r="Y159" s="437"/>
      <c r="Z159" s="437"/>
      <c r="AA159" s="437"/>
      <c r="AB159" s="437"/>
      <c r="AC159" s="437"/>
      <c r="AD159" s="437"/>
      <c r="AE159" s="437"/>
      <c r="AF159" s="437"/>
      <c r="AG159" s="437"/>
      <c r="AH159" s="437"/>
      <c r="AI159" s="437"/>
      <c r="AJ159" s="437">
        <v>12000</v>
      </c>
      <c r="AK159" s="437"/>
      <c r="AL159" s="437"/>
      <c r="AM159" s="437"/>
      <c r="AN159" s="437"/>
      <c r="AO159" s="437"/>
      <c r="AP159" s="437"/>
      <c r="AQ159" s="437"/>
      <c r="AR159" s="437"/>
      <c r="AS159" s="437"/>
      <c r="AT159" s="437"/>
      <c r="AU159" s="437"/>
      <c r="AV159" s="438" t="s">
        <v>11264</v>
      </c>
    </row>
    <row r="160" s="397" customFormat="1" ht="18" customHeight="1" spans="1:48">
      <c r="A160" s="426">
        <v>45904</v>
      </c>
      <c r="B160" s="427" t="s">
        <v>11568</v>
      </c>
      <c r="C160" s="428" t="s">
        <v>11194</v>
      </c>
      <c r="D160" s="428" t="s">
        <v>11416</v>
      </c>
      <c r="E160" s="428">
        <v>3971</v>
      </c>
      <c r="F160" s="429" t="s">
        <v>11417</v>
      </c>
      <c r="G160" s="428" t="s">
        <v>73</v>
      </c>
      <c r="H160" s="429" t="s">
        <v>11148</v>
      </c>
      <c r="I160" s="430"/>
      <c r="J160" s="430"/>
      <c r="K160" s="430"/>
      <c r="L160" s="430"/>
      <c r="M160" s="430"/>
      <c r="N160" s="430"/>
      <c r="O160" s="430"/>
      <c r="P160" s="430"/>
      <c r="Q160" s="430"/>
      <c r="R160" s="430"/>
      <c r="S160" s="430"/>
      <c r="T160" s="430"/>
      <c r="U160" s="430"/>
      <c r="V160" s="430"/>
      <c r="W160" s="430"/>
      <c r="X160" s="430"/>
      <c r="Y160" s="430"/>
      <c r="Z160" s="430"/>
      <c r="AA160" s="430"/>
      <c r="AB160" s="430"/>
      <c r="AC160" s="428">
        <v>3971</v>
      </c>
      <c r="AD160" s="428"/>
      <c r="AE160" s="430"/>
      <c r="AF160" s="430"/>
      <c r="AG160" s="430"/>
      <c r="AH160" s="430"/>
      <c r="AI160" s="430"/>
      <c r="AJ160" s="430"/>
      <c r="AK160" s="430"/>
      <c r="AL160" s="430"/>
      <c r="AM160" s="430"/>
      <c r="AN160" s="430"/>
      <c r="AO160" s="430"/>
      <c r="AP160" s="430"/>
      <c r="AQ160" s="430"/>
      <c r="AR160" s="430"/>
      <c r="AS160" s="430"/>
      <c r="AT160" s="430"/>
      <c r="AU160" s="430"/>
      <c r="AV160" s="432"/>
    </row>
    <row r="161" s="397" customFormat="1" ht="18" customHeight="1" spans="1:48">
      <c r="A161" s="426">
        <v>45910</v>
      </c>
      <c r="B161" s="427">
        <v>1000031583</v>
      </c>
      <c r="C161" s="428" t="s">
        <v>11183</v>
      </c>
      <c r="D161" s="428" t="s">
        <v>6084</v>
      </c>
      <c r="E161" s="428">
        <v>200000</v>
      </c>
      <c r="F161" s="429" t="s">
        <v>11146</v>
      </c>
      <c r="G161" s="428" t="s">
        <v>11147</v>
      </c>
      <c r="H161" s="429" t="s">
        <v>11148</v>
      </c>
      <c r="I161" s="430">
        <v>200000</v>
      </c>
      <c r="J161" s="430"/>
      <c r="K161" s="430"/>
      <c r="L161" s="430"/>
      <c r="M161" s="430"/>
      <c r="N161" s="430"/>
      <c r="O161" s="430"/>
      <c r="P161" s="430"/>
      <c r="Q161" s="430"/>
      <c r="R161" s="430"/>
      <c r="S161" s="430"/>
      <c r="T161" s="430"/>
      <c r="U161" s="430"/>
      <c r="V161" s="430"/>
      <c r="W161" s="430"/>
      <c r="X161" s="430"/>
      <c r="Y161" s="430"/>
      <c r="Z161" s="430"/>
      <c r="AA161" s="430"/>
      <c r="AB161" s="430"/>
      <c r="AC161" s="428"/>
      <c r="AD161" s="428"/>
      <c r="AE161" s="430"/>
      <c r="AF161" s="430"/>
      <c r="AG161" s="430"/>
      <c r="AH161" s="430"/>
      <c r="AI161" s="430"/>
      <c r="AJ161" s="430"/>
      <c r="AK161" s="430"/>
      <c r="AL161" s="430"/>
      <c r="AM161" s="430"/>
      <c r="AN161" s="430"/>
      <c r="AO161" s="430"/>
      <c r="AP161" s="430"/>
      <c r="AQ161" s="430"/>
      <c r="AR161" s="430"/>
      <c r="AS161" s="430"/>
      <c r="AT161" s="430"/>
      <c r="AU161" s="430"/>
      <c r="AV161" s="432" t="s">
        <v>11370</v>
      </c>
    </row>
    <row r="162" s="397" customFormat="1" ht="18" customHeight="1" spans="1:48">
      <c r="A162" s="426">
        <v>45897</v>
      </c>
      <c r="B162" s="427">
        <v>1000031584</v>
      </c>
      <c r="C162" s="428" t="s">
        <v>11183</v>
      </c>
      <c r="D162" s="428" t="s">
        <v>6084</v>
      </c>
      <c r="E162" s="428">
        <v>30000</v>
      </c>
      <c r="F162" s="429" t="s">
        <v>11372</v>
      </c>
      <c r="G162" s="428" t="s">
        <v>11373</v>
      </c>
      <c r="H162" s="429" t="s">
        <v>11148</v>
      </c>
      <c r="I162" s="430"/>
      <c r="J162" s="430">
        <v>30000</v>
      </c>
      <c r="K162" s="430"/>
      <c r="L162" s="430"/>
      <c r="M162" s="430"/>
      <c r="N162" s="430"/>
      <c r="O162" s="430"/>
      <c r="P162" s="430"/>
      <c r="Q162" s="430"/>
      <c r="R162" s="430"/>
      <c r="S162" s="430"/>
      <c r="T162" s="430"/>
      <c r="U162" s="430"/>
      <c r="V162" s="430"/>
      <c r="W162" s="430"/>
      <c r="X162" s="430"/>
      <c r="Y162" s="430"/>
      <c r="Z162" s="430"/>
      <c r="AA162" s="430"/>
      <c r="AB162" s="430"/>
      <c r="AC162" s="428"/>
      <c r="AD162" s="428"/>
      <c r="AE162" s="430"/>
      <c r="AF162" s="430"/>
      <c r="AG162" s="430"/>
      <c r="AH162" s="430"/>
      <c r="AI162" s="430"/>
      <c r="AJ162" s="430"/>
      <c r="AK162" s="430"/>
      <c r="AL162" s="430"/>
      <c r="AM162" s="430"/>
      <c r="AN162" s="430"/>
      <c r="AO162" s="430"/>
      <c r="AP162" s="430"/>
      <c r="AQ162" s="430"/>
      <c r="AR162" s="430"/>
      <c r="AS162" s="430"/>
      <c r="AT162" s="430"/>
      <c r="AU162" s="430"/>
      <c r="AV162" s="432" t="s">
        <v>11370</v>
      </c>
    </row>
    <row r="163" s="397" customFormat="1" ht="18" customHeight="1" spans="1:48">
      <c r="A163" s="426">
        <v>45897</v>
      </c>
      <c r="B163" s="427">
        <v>1000031585</v>
      </c>
      <c r="C163" s="428" t="s">
        <v>11183</v>
      </c>
      <c r="D163" s="428" t="s">
        <v>6084</v>
      </c>
      <c r="E163" s="428">
        <v>300000</v>
      </c>
      <c r="F163" s="429" t="s">
        <v>11391</v>
      </c>
      <c r="G163" s="428" t="s">
        <v>11373</v>
      </c>
      <c r="H163" s="429" t="s">
        <v>11220</v>
      </c>
      <c r="I163" s="430"/>
      <c r="J163" s="430"/>
      <c r="K163" s="430"/>
      <c r="L163" s="430"/>
      <c r="M163" s="430"/>
      <c r="N163" s="430">
        <v>300000</v>
      </c>
      <c r="O163" s="430"/>
      <c r="P163" s="430"/>
      <c r="Q163" s="430"/>
      <c r="R163" s="430"/>
      <c r="S163" s="430"/>
      <c r="T163" s="430"/>
      <c r="U163" s="430"/>
      <c r="V163" s="430"/>
      <c r="W163" s="430"/>
      <c r="X163" s="430"/>
      <c r="Y163" s="430"/>
      <c r="Z163" s="430"/>
      <c r="AA163" s="430"/>
      <c r="AB163" s="430"/>
      <c r="AC163" s="428"/>
      <c r="AD163" s="428"/>
      <c r="AE163" s="430"/>
      <c r="AF163" s="430"/>
      <c r="AG163" s="430"/>
      <c r="AH163" s="430"/>
      <c r="AI163" s="430"/>
      <c r="AJ163" s="430"/>
      <c r="AK163" s="430"/>
      <c r="AL163" s="430"/>
      <c r="AM163" s="430"/>
      <c r="AN163" s="430"/>
      <c r="AO163" s="430"/>
      <c r="AP163" s="430"/>
      <c r="AQ163" s="430"/>
      <c r="AR163" s="430"/>
      <c r="AS163" s="430"/>
      <c r="AT163" s="430"/>
      <c r="AU163" s="430"/>
      <c r="AV163" s="432" t="s">
        <v>11509</v>
      </c>
    </row>
    <row r="164" s="397" customFormat="1" ht="18" customHeight="1" spans="1:48">
      <c r="A164" s="426">
        <v>45897</v>
      </c>
      <c r="B164" s="427">
        <v>1000031586</v>
      </c>
      <c r="C164" s="428" t="s">
        <v>11183</v>
      </c>
      <c r="D164" s="428" t="s">
        <v>11378</v>
      </c>
      <c r="E164" s="428">
        <v>1000</v>
      </c>
      <c r="F164" s="429" t="s">
        <v>11379</v>
      </c>
      <c r="G164" s="428" t="s">
        <v>11147</v>
      </c>
      <c r="H164" s="429" t="s">
        <v>11148</v>
      </c>
      <c r="I164" s="430"/>
      <c r="J164" s="430"/>
      <c r="K164" s="430"/>
      <c r="L164" s="430"/>
      <c r="M164" s="430"/>
      <c r="N164" s="430"/>
      <c r="O164" s="430"/>
      <c r="P164" s="430"/>
      <c r="Q164" s="430"/>
      <c r="R164" s="430"/>
      <c r="S164" s="430"/>
      <c r="T164" s="430"/>
      <c r="U164" s="430"/>
      <c r="V164" s="430"/>
      <c r="W164" s="430"/>
      <c r="X164" s="430"/>
      <c r="Y164" s="430"/>
      <c r="Z164" s="430">
        <v>1000</v>
      </c>
      <c r="AA164" s="430"/>
      <c r="AB164" s="430"/>
      <c r="AC164" s="428"/>
      <c r="AD164" s="428"/>
      <c r="AE164" s="430"/>
      <c r="AF164" s="430"/>
      <c r="AG164" s="430"/>
      <c r="AH164" s="430"/>
      <c r="AI164" s="430"/>
      <c r="AJ164" s="430"/>
      <c r="AK164" s="430"/>
      <c r="AL164" s="430"/>
      <c r="AM164" s="430"/>
      <c r="AN164" s="430"/>
      <c r="AO164" s="430"/>
      <c r="AP164" s="430"/>
      <c r="AQ164" s="430"/>
      <c r="AR164" s="430"/>
      <c r="AS164" s="430"/>
      <c r="AT164" s="430"/>
      <c r="AU164" s="430"/>
      <c r="AV164" s="432" t="s">
        <v>11376</v>
      </c>
    </row>
    <row r="165" s="397" customFormat="1" ht="18" customHeight="1" spans="1:48">
      <c r="A165" s="426">
        <v>45897</v>
      </c>
      <c r="B165" s="427">
        <v>1000031587</v>
      </c>
      <c r="C165" s="428" t="s">
        <v>11183</v>
      </c>
      <c r="D165" s="428" t="s">
        <v>11378</v>
      </c>
      <c r="E165" s="428">
        <v>1500</v>
      </c>
      <c r="F165" s="429" t="s">
        <v>11381</v>
      </c>
      <c r="G165" s="428" t="s">
        <v>11373</v>
      </c>
      <c r="H165" s="429" t="s">
        <v>11148</v>
      </c>
      <c r="I165" s="430"/>
      <c r="J165" s="430"/>
      <c r="K165" s="430"/>
      <c r="L165" s="430"/>
      <c r="M165" s="430"/>
      <c r="N165" s="430"/>
      <c r="O165" s="430"/>
      <c r="P165" s="430"/>
      <c r="Q165" s="430"/>
      <c r="R165" s="430"/>
      <c r="S165" s="430"/>
      <c r="T165" s="430"/>
      <c r="U165" s="430"/>
      <c r="V165" s="430"/>
      <c r="W165" s="430"/>
      <c r="X165" s="430"/>
      <c r="Y165" s="430"/>
      <c r="Z165" s="430"/>
      <c r="AA165" s="430">
        <v>1500</v>
      </c>
      <c r="AB165" s="430"/>
      <c r="AC165" s="428"/>
      <c r="AD165" s="428"/>
      <c r="AE165" s="430"/>
      <c r="AF165" s="430"/>
      <c r="AG165" s="430"/>
      <c r="AH165" s="430"/>
      <c r="AI165" s="430"/>
      <c r="AJ165" s="430"/>
      <c r="AK165" s="430"/>
      <c r="AL165" s="430"/>
      <c r="AM165" s="430"/>
      <c r="AN165" s="430"/>
      <c r="AO165" s="430"/>
      <c r="AP165" s="430"/>
      <c r="AQ165" s="430"/>
      <c r="AR165" s="430"/>
      <c r="AS165" s="430"/>
      <c r="AT165" s="430"/>
      <c r="AU165" s="430"/>
      <c r="AV165" s="432" t="s">
        <v>11376</v>
      </c>
    </row>
    <row r="166" s="397" customFormat="1" ht="18" customHeight="1" spans="1:48">
      <c r="A166" s="426">
        <v>45897</v>
      </c>
      <c r="B166" s="427">
        <v>1000031588</v>
      </c>
      <c r="C166" s="428" t="s">
        <v>11183</v>
      </c>
      <c r="D166" s="428" t="s">
        <v>6166</v>
      </c>
      <c r="E166" s="428">
        <v>500</v>
      </c>
      <c r="F166" s="429" t="s">
        <v>11427</v>
      </c>
      <c r="G166" s="428" t="s">
        <v>11147</v>
      </c>
      <c r="H166" s="429" t="s">
        <v>11148</v>
      </c>
      <c r="I166" s="430"/>
      <c r="J166" s="430"/>
      <c r="K166" s="430"/>
      <c r="L166" s="430"/>
      <c r="M166" s="430"/>
      <c r="N166" s="430"/>
      <c r="O166" s="430"/>
      <c r="P166" s="430"/>
      <c r="Q166" s="430"/>
      <c r="R166" s="430"/>
      <c r="S166" s="430"/>
      <c r="T166" s="430"/>
      <c r="U166" s="430"/>
      <c r="V166" s="430"/>
      <c r="W166" s="430">
        <v>500</v>
      </c>
      <c r="X166" s="430"/>
      <c r="Y166" s="430"/>
      <c r="Z166" s="430"/>
      <c r="AA166" s="430"/>
      <c r="AB166" s="430"/>
      <c r="AC166" s="428"/>
      <c r="AD166" s="428"/>
      <c r="AE166" s="430"/>
      <c r="AF166" s="430"/>
      <c r="AG166" s="430"/>
      <c r="AH166" s="430"/>
      <c r="AI166" s="430"/>
      <c r="AJ166" s="430"/>
      <c r="AK166" s="430"/>
      <c r="AL166" s="430"/>
      <c r="AM166" s="430"/>
      <c r="AN166" s="430"/>
      <c r="AO166" s="430"/>
      <c r="AP166" s="430"/>
      <c r="AQ166" s="430"/>
      <c r="AR166" s="430"/>
      <c r="AS166" s="430"/>
      <c r="AT166" s="430"/>
      <c r="AU166" s="430"/>
      <c r="AV166" s="432" t="s">
        <v>11376</v>
      </c>
    </row>
    <row r="167" s="397" customFormat="1" ht="18" customHeight="1" spans="1:48">
      <c r="A167" s="426">
        <v>45897</v>
      </c>
      <c r="B167" s="427">
        <v>1000031594</v>
      </c>
      <c r="C167" s="428" t="s">
        <v>11183</v>
      </c>
      <c r="D167" s="428" t="s">
        <v>6047</v>
      </c>
      <c r="E167" s="428">
        <v>80000</v>
      </c>
      <c r="F167" s="429" t="s">
        <v>11152</v>
      </c>
      <c r="G167" s="428" t="s">
        <v>11153</v>
      </c>
      <c r="H167" s="429" t="s">
        <v>11148</v>
      </c>
      <c r="I167" s="430"/>
      <c r="J167" s="430"/>
      <c r="K167" s="430"/>
      <c r="L167" s="430"/>
      <c r="M167" s="430">
        <v>80000</v>
      </c>
      <c r="N167" s="430"/>
      <c r="O167" s="430"/>
      <c r="P167" s="430"/>
      <c r="Q167" s="430"/>
      <c r="R167" s="430"/>
      <c r="S167" s="430"/>
      <c r="T167" s="430"/>
      <c r="U167" s="430"/>
      <c r="V167" s="430"/>
      <c r="W167" s="430"/>
      <c r="X167" s="430"/>
      <c r="Y167" s="430"/>
      <c r="Z167" s="430"/>
      <c r="AA167" s="430"/>
      <c r="AB167" s="430"/>
      <c r="AC167" s="428"/>
      <c r="AD167" s="428"/>
      <c r="AE167" s="430"/>
      <c r="AF167" s="430"/>
      <c r="AG167" s="430"/>
      <c r="AH167" s="430"/>
      <c r="AI167" s="430"/>
      <c r="AJ167" s="430"/>
      <c r="AK167" s="430"/>
      <c r="AL167" s="430"/>
      <c r="AM167" s="430"/>
      <c r="AN167" s="430"/>
      <c r="AO167" s="430"/>
      <c r="AP167" s="430"/>
      <c r="AQ167" s="430"/>
      <c r="AR167" s="430"/>
      <c r="AS167" s="430"/>
      <c r="AT167" s="430"/>
      <c r="AU167" s="430"/>
      <c r="AV167" s="432" t="s">
        <v>11383</v>
      </c>
    </row>
    <row r="168" s="397" customFormat="1" ht="18" customHeight="1" spans="1:48">
      <c r="A168" s="426">
        <v>45897</v>
      </c>
      <c r="B168" s="427">
        <v>1000031595</v>
      </c>
      <c r="C168" s="428" t="s">
        <v>11183</v>
      </c>
      <c r="D168" s="428" t="s">
        <v>6047</v>
      </c>
      <c r="E168" s="428">
        <v>150000</v>
      </c>
      <c r="F168" s="429" t="s">
        <v>11375</v>
      </c>
      <c r="G168" s="428" t="s">
        <v>11157</v>
      </c>
      <c r="H168" s="429" t="s">
        <v>11220</v>
      </c>
      <c r="I168" s="430"/>
      <c r="J168" s="430"/>
      <c r="K168" s="430"/>
      <c r="L168" s="430"/>
      <c r="M168" s="430"/>
      <c r="N168" s="430"/>
      <c r="O168" s="430">
        <v>150000</v>
      </c>
      <c r="P168" s="430"/>
      <c r="Q168" s="430"/>
      <c r="R168" s="430"/>
      <c r="S168" s="430"/>
      <c r="T168" s="430"/>
      <c r="U168" s="430"/>
      <c r="V168" s="430"/>
      <c r="W168" s="430"/>
      <c r="X168" s="430"/>
      <c r="Y168" s="430"/>
      <c r="Z168" s="430"/>
      <c r="AA168" s="430"/>
      <c r="AB168" s="430"/>
      <c r="AC168" s="428"/>
      <c r="AD168" s="428"/>
      <c r="AE168" s="430"/>
      <c r="AF168" s="430"/>
      <c r="AG168" s="430"/>
      <c r="AH168" s="430"/>
      <c r="AI168" s="430"/>
      <c r="AJ168" s="430"/>
      <c r="AK168" s="430"/>
      <c r="AL168" s="430"/>
      <c r="AM168" s="430"/>
      <c r="AN168" s="430"/>
      <c r="AO168" s="430"/>
      <c r="AP168" s="430"/>
      <c r="AQ168" s="430"/>
      <c r="AR168" s="430"/>
      <c r="AS168" s="430"/>
      <c r="AT168" s="430"/>
      <c r="AU168" s="430"/>
      <c r="AV168" s="432" t="s">
        <v>11515</v>
      </c>
    </row>
    <row r="169" s="397" customFormat="1" ht="18" customHeight="1" spans="1:48">
      <c r="A169" s="426">
        <v>45897</v>
      </c>
      <c r="B169" s="427">
        <v>1000031596</v>
      </c>
      <c r="C169" s="428" t="s">
        <v>11183</v>
      </c>
      <c r="D169" s="428" t="s">
        <v>6047</v>
      </c>
      <c r="E169" s="428">
        <v>1000</v>
      </c>
      <c r="F169" s="429" t="s">
        <v>11387</v>
      </c>
      <c r="G169" s="428" t="s">
        <v>11153</v>
      </c>
      <c r="H169" s="429" t="s">
        <v>11148</v>
      </c>
      <c r="I169" s="430"/>
      <c r="J169" s="430"/>
      <c r="K169" s="430"/>
      <c r="L169" s="430"/>
      <c r="M169" s="430"/>
      <c r="N169" s="430"/>
      <c r="O169" s="430"/>
      <c r="P169" s="430"/>
      <c r="Q169" s="430"/>
      <c r="R169" s="430"/>
      <c r="S169" s="430"/>
      <c r="T169" s="430"/>
      <c r="U169" s="430"/>
      <c r="V169" s="430"/>
      <c r="W169" s="430"/>
      <c r="X169" s="430"/>
      <c r="Y169" s="430"/>
      <c r="Z169" s="430"/>
      <c r="AA169" s="430"/>
      <c r="AB169" s="430">
        <v>1000</v>
      </c>
      <c r="AC169" s="428"/>
      <c r="AD169" s="428"/>
      <c r="AE169" s="430"/>
      <c r="AF169" s="430"/>
      <c r="AG169" s="430"/>
      <c r="AH169" s="430"/>
      <c r="AI169" s="430"/>
      <c r="AJ169" s="430"/>
      <c r="AK169" s="430"/>
      <c r="AL169" s="430"/>
      <c r="AM169" s="430"/>
      <c r="AN169" s="430"/>
      <c r="AO169" s="430"/>
      <c r="AP169" s="430"/>
      <c r="AQ169" s="430"/>
      <c r="AR169" s="430"/>
      <c r="AS169" s="430"/>
      <c r="AT169" s="430"/>
      <c r="AU169" s="430"/>
      <c r="AV169" s="432" t="s">
        <v>11385</v>
      </c>
    </row>
    <row r="170" s="397" customFormat="1" ht="18" customHeight="1" spans="1:48">
      <c r="A170" s="426">
        <v>45897</v>
      </c>
      <c r="B170" s="427">
        <v>1000031597</v>
      </c>
      <c r="C170" s="428" t="s">
        <v>11183</v>
      </c>
      <c r="D170" s="428" t="s">
        <v>6093</v>
      </c>
      <c r="E170" s="428">
        <v>2000</v>
      </c>
      <c r="F170" s="429" t="s">
        <v>11402</v>
      </c>
      <c r="G170" s="428" t="s">
        <v>11153</v>
      </c>
      <c r="H170" s="429" t="s">
        <v>11148</v>
      </c>
      <c r="I170" s="430"/>
      <c r="J170" s="430"/>
      <c r="K170" s="430"/>
      <c r="L170" s="430"/>
      <c r="M170" s="430"/>
      <c r="N170" s="430"/>
      <c r="O170" s="430"/>
      <c r="P170" s="430"/>
      <c r="Q170" s="430"/>
      <c r="R170" s="430"/>
      <c r="S170" s="430"/>
      <c r="T170" s="430"/>
      <c r="U170" s="430"/>
      <c r="V170" s="430"/>
      <c r="W170" s="430"/>
      <c r="X170" s="430"/>
      <c r="Y170" s="430">
        <v>2000</v>
      </c>
      <c r="Z170" s="430"/>
      <c r="AA170" s="430"/>
      <c r="AB170" s="430"/>
      <c r="AC170" s="428"/>
      <c r="AD170" s="428"/>
      <c r="AE170" s="430"/>
      <c r="AF170" s="430"/>
      <c r="AG170" s="430"/>
      <c r="AH170" s="430"/>
      <c r="AI170" s="430"/>
      <c r="AJ170" s="430"/>
      <c r="AK170" s="430"/>
      <c r="AL170" s="430"/>
      <c r="AM170" s="430"/>
      <c r="AN170" s="430"/>
      <c r="AO170" s="430"/>
      <c r="AP170" s="430"/>
      <c r="AQ170" s="430"/>
      <c r="AR170" s="430"/>
      <c r="AS170" s="430"/>
      <c r="AT170" s="430"/>
      <c r="AU170" s="430"/>
      <c r="AV170" s="432" t="s">
        <v>11385</v>
      </c>
    </row>
    <row r="171" s="397" customFormat="1" ht="18" customHeight="1" spans="1:48">
      <c r="A171" s="426">
        <v>45905</v>
      </c>
      <c r="B171" s="427" t="s">
        <v>11569</v>
      </c>
      <c r="C171" s="428" t="s">
        <v>11245</v>
      </c>
      <c r="D171" s="428" t="s">
        <v>11269</v>
      </c>
      <c r="E171" s="428">
        <v>4800</v>
      </c>
      <c r="F171" s="429" t="s">
        <v>11570</v>
      </c>
      <c r="G171" s="428" t="s">
        <v>11153</v>
      </c>
      <c r="H171" s="429" t="s">
        <v>11271</v>
      </c>
      <c r="I171" s="430"/>
      <c r="J171" s="430"/>
      <c r="K171" s="430"/>
      <c r="L171" s="430"/>
      <c r="M171" s="430"/>
      <c r="N171" s="430"/>
      <c r="O171" s="430"/>
      <c r="P171" s="430"/>
      <c r="Q171" s="430"/>
      <c r="R171" s="430"/>
      <c r="S171" s="430"/>
      <c r="T171" s="430"/>
      <c r="U171" s="430">
        <v>4800</v>
      </c>
      <c r="V171" s="430"/>
      <c r="W171" s="430"/>
      <c r="X171" s="430"/>
      <c r="Y171" s="430"/>
      <c r="Z171" s="430"/>
      <c r="AA171" s="430"/>
      <c r="AB171" s="430"/>
      <c r="AC171" s="428"/>
      <c r="AD171" s="428"/>
      <c r="AE171" s="430"/>
      <c r="AF171" s="430"/>
      <c r="AG171" s="430"/>
      <c r="AH171" s="430"/>
      <c r="AI171" s="430"/>
      <c r="AJ171" s="430"/>
      <c r="AK171" s="430"/>
      <c r="AL171" s="430"/>
      <c r="AM171" s="430"/>
      <c r="AN171" s="430"/>
      <c r="AO171" s="430"/>
      <c r="AP171" s="430"/>
      <c r="AQ171" s="430"/>
      <c r="AR171" s="430"/>
      <c r="AS171" s="430"/>
      <c r="AT171" s="430"/>
      <c r="AU171" s="430"/>
      <c r="AV171" s="432" t="s">
        <v>11272</v>
      </c>
    </row>
    <row r="172" s="397" customFormat="1" ht="18" customHeight="1" spans="1:48">
      <c r="A172" s="426">
        <v>45905</v>
      </c>
      <c r="B172" s="427" t="s">
        <v>11571</v>
      </c>
      <c r="C172" s="428" t="s">
        <v>11245</v>
      </c>
      <c r="D172" s="428" t="s">
        <v>11269</v>
      </c>
      <c r="E172" s="428">
        <v>14400</v>
      </c>
      <c r="F172" s="429" t="s">
        <v>11572</v>
      </c>
      <c r="G172" s="428" t="s">
        <v>11153</v>
      </c>
      <c r="H172" s="429" t="s">
        <v>11271</v>
      </c>
      <c r="I172" s="430"/>
      <c r="J172" s="430"/>
      <c r="K172" s="430"/>
      <c r="L172" s="430"/>
      <c r="M172" s="430"/>
      <c r="N172" s="430"/>
      <c r="O172" s="430"/>
      <c r="P172" s="430"/>
      <c r="Q172" s="430"/>
      <c r="R172" s="430"/>
      <c r="S172" s="430"/>
      <c r="T172" s="430">
        <v>14400</v>
      </c>
      <c r="U172" s="430"/>
      <c r="V172" s="430"/>
      <c r="W172" s="430"/>
      <c r="X172" s="430"/>
      <c r="Y172" s="430"/>
      <c r="Z172" s="430"/>
      <c r="AA172" s="430"/>
      <c r="AB172" s="430"/>
      <c r="AC172" s="428"/>
      <c r="AD172" s="428"/>
      <c r="AE172" s="430"/>
      <c r="AF172" s="430"/>
      <c r="AG172" s="430"/>
      <c r="AH172" s="430"/>
      <c r="AI172" s="430"/>
      <c r="AJ172" s="430"/>
      <c r="AK172" s="430"/>
      <c r="AL172" s="430"/>
      <c r="AM172" s="430"/>
      <c r="AN172" s="430"/>
      <c r="AO172" s="430"/>
      <c r="AP172" s="430"/>
      <c r="AQ172" s="430"/>
      <c r="AR172" s="430"/>
      <c r="AS172" s="430"/>
      <c r="AT172" s="430"/>
      <c r="AU172" s="430"/>
      <c r="AV172" s="432" t="s">
        <v>11272</v>
      </c>
    </row>
    <row r="173" s="397" customFormat="1" ht="18" customHeight="1" spans="1:48">
      <c r="A173" s="426">
        <v>45905</v>
      </c>
      <c r="B173" s="427" t="s">
        <v>11573</v>
      </c>
      <c r="C173" s="428" t="s">
        <v>11245</v>
      </c>
      <c r="D173" s="428" t="s">
        <v>11269</v>
      </c>
      <c r="E173" s="428">
        <v>960</v>
      </c>
      <c r="F173" s="429" t="s">
        <v>11417</v>
      </c>
      <c r="G173" s="428" t="s">
        <v>11153</v>
      </c>
      <c r="H173" s="429" t="s">
        <v>11271</v>
      </c>
      <c r="I173" s="430"/>
      <c r="J173" s="430"/>
      <c r="K173" s="430"/>
      <c r="L173" s="430"/>
      <c r="M173" s="430"/>
      <c r="N173" s="430"/>
      <c r="O173" s="430"/>
      <c r="P173" s="430"/>
      <c r="Q173" s="430"/>
      <c r="R173" s="430"/>
      <c r="S173" s="430"/>
      <c r="T173" s="430"/>
      <c r="U173" s="430"/>
      <c r="V173" s="430">
        <v>960</v>
      </c>
      <c r="W173" s="430"/>
      <c r="X173" s="430"/>
      <c r="Y173" s="430"/>
      <c r="Z173" s="430"/>
      <c r="AA173" s="430"/>
      <c r="AB173" s="430"/>
      <c r="AC173" s="428"/>
      <c r="AD173" s="428"/>
      <c r="AE173" s="430"/>
      <c r="AF173" s="430"/>
      <c r="AG173" s="430"/>
      <c r="AH173" s="430"/>
      <c r="AI173" s="430"/>
      <c r="AJ173" s="430"/>
      <c r="AK173" s="430"/>
      <c r="AL173" s="430"/>
      <c r="AM173" s="430"/>
      <c r="AN173" s="430"/>
      <c r="AO173" s="430"/>
      <c r="AP173" s="430"/>
      <c r="AQ173" s="430"/>
      <c r="AR173" s="430"/>
      <c r="AS173" s="430"/>
      <c r="AT173" s="430"/>
      <c r="AU173" s="430"/>
      <c r="AV173" s="432" t="s">
        <v>11272</v>
      </c>
    </row>
    <row r="174" s="397" customFormat="1" ht="18" customHeight="1" spans="1:48">
      <c r="A174" s="426">
        <v>45908</v>
      </c>
      <c r="B174" s="427" t="s">
        <v>11574</v>
      </c>
      <c r="C174" s="428" t="s">
        <v>11245</v>
      </c>
      <c r="D174" s="428" t="s">
        <v>11269</v>
      </c>
      <c r="E174" s="428">
        <v>14400</v>
      </c>
      <c r="F174" s="429" t="s">
        <v>11575</v>
      </c>
      <c r="G174" s="428" t="s">
        <v>11153</v>
      </c>
      <c r="H174" s="429" t="s">
        <v>11271</v>
      </c>
      <c r="I174" s="430"/>
      <c r="J174" s="430"/>
      <c r="K174" s="430"/>
      <c r="L174" s="430"/>
      <c r="M174" s="430"/>
      <c r="N174" s="430"/>
      <c r="O174" s="430"/>
      <c r="P174" s="430"/>
      <c r="Q174" s="430"/>
      <c r="R174" s="430"/>
      <c r="S174" s="430">
        <v>14400</v>
      </c>
      <c r="T174" s="430"/>
      <c r="U174" s="430"/>
      <c r="V174" s="430"/>
      <c r="W174" s="430"/>
      <c r="X174" s="430"/>
      <c r="Y174" s="430"/>
      <c r="Z174" s="430"/>
      <c r="AA174" s="430"/>
      <c r="AB174" s="430"/>
      <c r="AC174" s="428"/>
      <c r="AD174" s="428"/>
      <c r="AE174" s="430"/>
      <c r="AF174" s="430"/>
      <c r="AG174" s="430"/>
      <c r="AH174" s="430"/>
      <c r="AI174" s="430"/>
      <c r="AJ174" s="430"/>
      <c r="AK174" s="430"/>
      <c r="AL174" s="430"/>
      <c r="AM174" s="430"/>
      <c r="AN174" s="430"/>
      <c r="AO174" s="430"/>
      <c r="AP174" s="430"/>
      <c r="AQ174" s="430"/>
      <c r="AR174" s="430"/>
      <c r="AS174" s="430"/>
      <c r="AT174" s="430"/>
      <c r="AU174" s="430"/>
      <c r="AV174" s="432" t="s">
        <v>11272</v>
      </c>
    </row>
    <row r="175" s="397" customFormat="1" ht="18" customHeight="1" spans="1:48">
      <c r="A175" s="426">
        <v>45905</v>
      </c>
      <c r="B175" s="427" t="s">
        <v>11576</v>
      </c>
      <c r="C175" s="428" t="s">
        <v>11190</v>
      </c>
      <c r="D175" s="428">
        <v>77785</v>
      </c>
      <c r="E175" s="428">
        <v>720</v>
      </c>
      <c r="F175" s="429" t="s">
        <v>11195</v>
      </c>
      <c r="G175" s="428" t="s">
        <v>11271</v>
      </c>
      <c r="H175" s="429" t="s">
        <v>73</v>
      </c>
      <c r="I175" s="430"/>
      <c r="J175" s="430"/>
      <c r="K175" s="430"/>
      <c r="L175" s="430"/>
      <c r="M175" s="430"/>
      <c r="N175" s="430"/>
      <c r="O175" s="430"/>
      <c r="P175" s="430"/>
      <c r="Q175" s="430"/>
      <c r="R175" s="430"/>
      <c r="S175" s="430"/>
      <c r="T175" s="430"/>
      <c r="U175" s="430"/>
      <c r="V175" s="430"/>
      <c r="W175" s="430"/>
      <c r="X175" s="430"/>
      <c r="Y175" s="430"/>
      <c r="Z175" s="430"/>
      <c r="AA175" s="430"/>
      <c r="AB175" s="430"/>
      <c r="AC175" s="428"/>
      <c r="AD175" s="428"/>
      <c r="AE175" s="430"/>
      <c r="AF175" s="430"/>
      <c r="AG175" s="430"/>
      <c r="AH175" s="430"/>
      <c r="AI175" s="430"/>
      <c r="AJ175" s="430">
        <v>720</v>
      </c>
      <c r="AK175" s="430"/>
      <c r="AL175" s="430"/>
      <c r="AM175" s="430"/>
      <c r="AN175" s="430"/>
      <c r="AO175" s="430"/>
      <c r="AP175" s="430"/>
      <c r="AQ175" s="430"/>
      <c r="AR175" s="430"/>
      <c r="AS175" s="430"/>
      <c r="AT175" s="430"/>
      <c r="AU175" s="430"/>
      <c r="AV175" s="432" t="s">
        <v>11577</v>
      </c>
    </row>
    <row r="176" s="397" customFormat="1" ht="18" customHeight="1" spans="1:48">
      <c r="A176" s="426">
        <v>45912</v>
      </c>
      <c r="B176" s="427" t="s">
        <v>11578</v>
      </c>
      <c r="C176" s="428" t="s">
        <v>11194</v>
      </c>
      <c r="D176" s="428" t="s">
        <v>11416</v>
      </c>
      <c r="E176" s="428">
        <v>18780</v>
      </c>
      <c r="F176" s="429" t="s">
        <v>11417</v>
      </c>
      <c r="G176" s="428" t="s">
        <v>11147</v>
      </c>
      <c r="H176" s="429" t="s">
        <v>11148</v>
      </c>
      <c r="I176" s="430"/>
      <c r="J176" s="430"/>
      <c r="K176" s="430"/>
      <c r="L176" s="430"/>
      <c r="M176" s="430"/>
      <c r="N176" s="430"/>
      <c r="O176" s="430"/>
      <c r="P176" s="430"/>
      <c r="Q176" s="430"/>
      <c r="R176" s="430"/>
      <c r="S176" s="430"/>
      <c r="T176" s="430"/>
      <c r="U176" s="430"/>
      <c r="V176" s="430"/>
      <c r="W176" s="430"/>
      <c r="X176" s="430"/>
      <c r="Y176" s="430"/>
      <c r="Z176" s="430"/>
      <c r="AA176" s="430"/>
      <c r="AB176" s="430"/>
      <c r="AC176" s="428">
        <v>18780</v>
      </c>
      <c r="AD176" s="428"/>
      <c r="AE176" s="430"/>
      <c r="AF176" s="430"/>
      <c r="AG176" s="430"/>
      <c r="AH176" s="430"/>
      <c r="AI176" s="430"/>
      <c r="AJ176" s="430"/>
      <c r="AK176" s="430"/>
      <c r="AL176" s="430"/>
      <c r="AM176" s="430"/>
      <c r="AN176" s="430"/>
      <c r="AO176" s="430"/>
      <c r="AP176" s="430"/>
      <c r="AQ176" s="430"/>
      <c r="AR176" s="430"/>
      <c r="AS176" s="430"/>
      <c r="AT176" s="430"/>
      <c r="AU176" s="430"/>
      <c r="AV176" s="432" t="s">
        <v>11579</v>
      </c>
    </row>
    <row r="177" s="397" customFormat="1" ht="18" customHeight="1" spans="1:48">
      <c r="A177" s="426">
        <v>45912</v>
      </c>
      <c r="B177" s="427" t="s">
        <v>11580</v>
      </c>
      <c r="C177" s="428" t="s">
        <v>11194</v>
      </c>
      <c r="D177" s="428" t="s">
        <v>11416</v>
      </c>
      <c r="E177" s="428">
        <v>2689</v>
      </c>
      <c r="F177" s="429" t="s">
        <v>11417</v>
      </c>
      <c r="G177" s="428" t="s">
        <v>11147</v>
      </c>
      <c r="H177" s="429" t="s">
        <v>11148</v>
      </c>
      <c r="I177" s="430"/>
      <c r="J177" s="430"/>
      <c r="K177" s="430"/>
      <c r="L177" s="430"/>
      <c r="M177" s="430"/>
      <c r="N177" s="430"/>
      <c r="O177" s="430"/>
      <c r="P177" s="430"/>
      <c r="Q177" s="430"/>
      <c r="R177" s="430"/>
      <c r="S177" s="430"/>
      <c r="T177" s="430"/>
      <c r="U177" s="430"/>
      <c r="V177" s="430"/>
      <c r="W177" s="430"/>
      <c r="X177" s="430"/>
      <c r="Y177" s="430"/>
      <c r="Z177" s="430"/>
      <c r="AA177" s="430"/>
      <c r="AB177" s="430"/>
      <c r="AC177" s="428">
        <v>2689</v>
      </c>
      <c r="AD177" s="428"/>
      <c r="AE177" s="430"/>
      <c r="AF177" s="430"/>
      <c r="AG177" s="430"/>
      <c r="AH177" s="430"/>
      <c r="AI177" s="430"/>
      <c r="AJ177" s="430"/>
      <c r="AK177" s="430"/>
      <c r="AL177" s="430"/>
      <c r="AM177" s="430"/>
      <c r="AN177" s="430"/>
      <c r="AO177" s="430"/>
      <c r="AP177" s="430"/>
      <c r="AQ177" s="430"/>
      <c r="AR177" s="430"/>
      <c r="AS177" s="430"/>
      <c r="AT177" s="430"/>
      <c r="AU177" s="430"/>
      <c r="AV177" s="432" t="s">
        <v>11581</v>
      </c>
    </row>
    <row r="178" s="397" customFormat="1" ht="18" customHeight="1" spans="1:48">
      <c r="A178" s="426">
        <v>45919</v>
      </c>
      <c r="B178" s="427" t="s">
        <v>11582</v>
      </c>
      <c r="C178" s="429" t="s">
        <v>11190</v>
      </c>
      <c r="D178" s="428">
        <v>77731</v>
      </c>
      <c r="E178" s="428">
        <v>10000</v>
      </c>
      <c r="F178" s="429" t="s">
        <v>11404</v>
      </c>
      <c r="G178" s="428" t="s">
        <v>11271</v>
      </c>
      <c r="H178" s="429" t="s">
        <v>73</v>
      </c>
      <c r="I178" s="430"/>
      <c r="J178" s="430"/>
      <c r="K178" s="430"/>
      <c r="L178" s="430"/>
      <c r="M178" s="430"/>
      <c r="N178" s="430"/>
      <c r="O178" s="430"/>
      <c r="P178" s="430"/>
      <c r="Q178" s="430"/>
      <c r="R178" s="430"/>
      <c r="S178" s="430"/>
      <c r="T178" s="430"/>
      <c r="U178" s="430"/>
      <c r="V178" s="430"/>
      <c r="W178" s="430"/>
      <c r="X178" s="430"/>
      <c r="Y178" s="430"/>
      <c r="Z178" s="430"/>
      <c r="AA178" s="430"/>
      <c r="AB178" s="430"/>
      <c r="AC178" s="428"/>
      <c r="AD178" s="428"/>
      <c r="AE178" s="430"/>
      <c r="AF178" s="430"/>
      <c r="AG178" s="430"/>
      <c r="AH178" s="430"/>
      <c r="AI178" s="430"/>
      <c r="AJ178" s="430"/>
      <c r="AK178" s="430"/>
      <c r="AL178" s="430"/>
      <c r="AM178" s="430"/>
      <c r="AN178" s="430"/>
      <c r="AO178" s="430"/>
      <c r="AP178" s="430"/>
      <c r="AQ178" s="430"/>
      <c r="AR178" s="430"/>
      <c r="AS178" s="430">
        <v>10000</v>
      </c>
      <c r="AT178" s="430"/>
      <c r="AU178" s="430"/>
      <c r="AV178" s="432"/>
    </row>
    <row r="179" s="397" customFormat="1" ht="18" customHeight="1" spans="1:48">
      <c r="A179" s="426">
        <v>45919</v>
      </c>
      <c r="B179" s="427" t="s">
        <v>11583</v>
      </c>
      <c r="C179" s="429" t="s">
        <v>11190</v>
      </c>
      <c r="D179" s="428">
        <v>77731</v>
      </c>
      <c r="E179" s="428">
        <v>8940</v>
      </c>
      <c r="F179" s="429" t="s">
        <v>11407</v>
      </c>
      <c r="G179" s="428" t="s">
        <v>11153</v>
      </c>
      <c r="H179" s="429" t="s">
        <v>73</v>
      </c>
      <c r="I179" s="430"/>
      <c r="J179" s="430"/>
      <c r="K179" s="430"/>
      <c r="L179" s="430"/>
      <c r="M179" s="430"/>
      <c r="N179" s="430"/>
      <c r="O179" s="430"/>
      <c r="P179" s="430"/>
      <c r="Q179" s="430"/>
      <c r="R179" s="430"/>
      <c r="S179" s="430"/>
      <c r="T179" s="430"/>
      <c r="U179" s="430"/>
      <c r="V179" s="430"/>
      <c r="W179" s="430"/>
      <c r="X179" s="430"/>
      <c r="Y179" s="430"/>
      <c r="Z179" s="430"/>
      <c r="AA179" s="430"/>
      <c r="AB179" s="430"/>
      <c r="AC179" s="428"/>
      <c r="AD179" s="428"/>
      <c r="AE179" s="430"/>
      <c r="AF179" s="430"/>
      <c r="AG179" s="430"/>
      <c r="AH179" s="430"/>
      <c r="AI179" s="430"/>
      <c r="AJ179" s="430"/>
      <c r="AK179" s="430"/>
      <c r="AL179" s="430"/>
      <c r="AM179" s="430"/>
      <c r="AN179" s="430"/>
      <c r="AO179" s="430"/>
      <c r="AP179" s="430"/>
      <c r="AQ179" s="430"/>
      <c r="AR179" s="430"/>
      <c r="AS179" s="430"/>
      <c r="AT179" s="430">
        <v>8940</v>
      </c>
      <c r="AU179" s="430"/>
      <c r="AV179" s="432"/>
    </row>
    <row r="180" s="397" customFormat="1" ht="18" customHeight="1" spans="1:48">
      <c r="A180" s="426">
        <v>45919</v>
      </c>
      <c r="B180" s="427" t="s">
        <v>11584</v>
      </c>
      <c r="C180" s="429" t="s">
        <v>11190</v>
      </c>
      <c r="D180" s="428">
        <v>77731</v>
      </c>
      <c r="E180" s="428">
        <v>8940</v>
      </c>
      <c r="F180" s="429" t="s">
        <v>11409</v>
      </c>
      <c r="G180" s="428" t="s">
        <v>11271</v>
      </c>
      <c r="H180" s="429" t="s">
        <v>73</v>
      </c>
      <c r="I180" s="430"/>
      <c r="J180" s="430"/>
      <c r="K180" s="430"/>
      <c r="L180" s="430"/>
      <c r="M180" s="430"/>
      <c r="N180" s="430"/>
      <c r="O180" s="430"/>
      <c r="P180" s="430"/>
      <c r="Q180" s="430"/>
      <c r="R180" s="430"/>
      <c r="S180" s="430"/>
      <c r="T180" s="430"/>
      <c r="U180" s="430"/>
      <c r="V180" s="430"/>
      <c r="W180" s="430"/>
      <c r="X180" s="430"/>
      <c r="Y180" s="430"/>
      <c r="Z180" s="430"/>
      <c r="AA180" s="430"/>
      <c r="AB180" s="430"/>
      <c r="AC180" s="428"/>
      <c r="AD180" s="428"/>
      <c r="AE180" s="430"/>
      <c r="AF180" s="430"/>
      <c r="AG180" s="430"/>
      <c r="AH180" s="430"/>
      <c r="AI180" s="430"/>
      <c r="AJ180" s="430"/>
      <c r="AK180" s="430"/>
      <c r="AL180" s="430"/>
      <c r="AM180" s="430"/>
      <c r="AN180" s="430"/>
      <c r="AO180" s="430"/>
      <c r="AP180" s="430"/>
      <c r="AQ180" s="430"/>
      <c r="AR180" s="430"/>
      <c r="AS180" s="430"/>
      <c r="AT180" s="430"/>
      <c r="AU180" s="430">
        <v>8940</v>
      </c>
      <c r="AV180" s="432"/>
    </row>
    <row r="181" s="398" customFormat="1" ht="18" customHeight="1" spans="1:48">
      <c r="A181" s="433">
        <v>45925</v>
      </c>
      <c r="B181" s="434" t="s">
        <v>11585</v>
      </c>
      <c r="C181" s="435" t="s">
        <v>11194</v>
      </c>
      <c r="D181" s="435" t="s">
        <v>11416</v>
      </c>
      <c r="E181" s="435">
        <v>1680</v>
      </c>
      <c r="F181" s="436" t="s">
        <v>11417</v>
      </c>
      <c r="G181" s="435" t="s">
        <v>11147</v>
      </c>
      <c r="H181" s="436" t="s">
        <v>11148</v>
      </c>
      <c r="I181" s="437"/>
      <c r="J181" s="437"/>
      <c r="K181" s="437"/>
      <c r="L181" s="437"/>
      <c r="M181" s="437"/>
      <c r="N181" s="437"/>
      <c r="O181" s="437"/>
      <c r="P181" s="437"/>
      <c r="Q181" s="437"/>
      <c r="R181" s="437"/>
      <c r="S181" s="437"/>
      <c r="T181" s="437"/>
      <c r="U181" s="437"/>
      <c r="V181" s="437"/>
      <c r="W181" s="437"/>
      <c r="X181" s="437"/>
      <c r="Y181" s="437"/>
      <c r="Z181" s="437"/>
      <c r="AA181" s="437"/>
      <c r="AB181" s="437"/>
      <c r="AC181" s="437">
        <v>1680</v>
      </c>
      <c r="AD181" s="437"/>
      <c r="AE181" s="435"/>
      <c r="AF181" s="435"/>
      <c r="AG181" s="437"/>
      <c r="AH181" s="437"/>
      <c r="AI181" s="437"/>
      <c r="AJ181" s="437"/>
      <c r="AK181" s="437"/>
      <c r="AL181" s="437"/>
      <c r="AM181" s="437"/>
      <c r="AN181" s="437"/>
      <c r="AO181" s="437"/>
      <c r="AP181" s="437"/>
      <c r="AQ181" s="437"/>
      <c r="AR181" s="437"/>
      <c r="AS181" s="437"/>
      <c r="AT181" s="437"/>
      <c r="AU181" s="437"/>
      <c r="AV181" s="438" t="s">
        <v>11586</v>
      </c>
    </row>
    <row r="182" s="397" customFormat="1" ht="18" customHeight="1" spans="1:48">
      <c r="A182" s="426">
        <v>45926</v>
      </c>
      <c r="B182" s="427" t="s">
        <v>11587</v>
      </c>
      <c r="C182" s="428" t="s">
        <v>11588</v>
      </c>
      <c r="D182" s="428" t="s">
        <v>11589</v>
      </c>
      <c r="E182" s="428">
        <v>1250</v>
      </c>
      <c r="F182" s="429" t="s">
        <v>11417</v>
      </c>
      <c r="G182" s="428" t="s">
        <v>11153</v>
      </c>
      <c r="H182" s="429"/>
      <c r="I182" s="430"/>
      <c r="J182" s="430"/>
      <c r="K182" s="430"/>
      <c r="L182" s="430"/>
      <c r="M182" s="430"/>
      <c r="N182" s="430"/>
      <c r="O182" s="430"/>
      <c r="P182" s="430"/>
      <c r="Q182" s="430"/>
      <c r="R182" s="430"/>
      <c r="S182" s="430"/>
      <c r="T182" s="430"/>
      <c r="U182" s="430"/>
      <c r="V182" s="430"/>
      <c r="W182" s="430"/>
      <c r="X182" s="430"/>
      <c r="Y182" s="430"/>
      <c r="Z182" s="430"/>
      <c r="AA182" s="430"/>
      <c r="AB182" s="430"/>
      <c r="AC182" s="428"/>
      <c r="AD182" s="428"/>
      <c r="AE182" s="430">
        <v>1250</v>
      </c>
      <c r="AF182" s="430"/>
      <c r="AG182" s="430"/>
      <c r="AH182" s="430"/>
      <c r="AI182" s="430"/>
      <c r="AJ182" s="430"/>
      <c r="AK182" s="430"/>
      <c r="AL182" s="430"/>
      <c r="AM182" s="430"/>
      <c r="AN182" s="430"/>
      <c r="AO182" s="430"/>
      <c r="AP182" s="430"/>
      <c r="AQ182" s="430"/>
      <c r="AR182" s="430"/>
      <c r="AS182" s="430"/>
      <c r="AT182" s="430"/>
      <c r="AU182" s="430"/>
      <c r="AV182" s="432" t="s">
        <v>11590</v>
      </c>
    </row>
    <row r="183" s="397" customFormat="1" ht="18" customHeight="1" spans="1:48">
      <c r="A183" s="426">
        <v>45926</v>
      </c>
      <c r="B183" s="427">
        <v>1000032510</v>
      </c>
      <c r="C183" s="428" t="s">
        <v>11183</v>
      </c>
      <c r="D183" s="428" t="s">
        <v>6084</v>
      </c>
      <c r="E183" s="428">
        <v>400000</v>
      </c>
      <c r="F183" s="429" t="s">
        <v>11146</v>
      </c>
      <c r="G183" s="428" t="s">
        <v>11147</v>
      </c>
      <c r="H183" s="429" t="s">
        <v>11148</v>
      </c>
      <c r="I183" s="430">
        <v>400000</v>
      </c>
      <c r="J183" s="430"/>
      <c r="K183" s="430"/>
      <c r="L183" s="430"/>
      <c r="M183" s="430"/>
      <c r="N183" s="430"/>
      <c r="O183" s="430"/>
      <c r="P183" s="430"/>
      <c r="Q183" s="430"/>
      <c r="R183" s="430"/>
      <c r="S183" s="430"/>
      <c r="T183" s="430"/>
      <c r="U183" s="430"/>
      <c r="V183" s="430"/>
      <c r="W183" s="430"/>
      <c r="X183" s="430"/>
      <c r="Y183" s="430"/>
      <c r="Z183" s="430"/>
      <c r="AA183" s="430"/>
      <c r="AB183" s="430"/>
      <c r="AC183" s="428"/>
      <c r="AD183" s="428"/>
      <c r="AE183" s="430"/>
      <c r="AF183" s="430"/>
      <c r="AG183" s="430"/>
      <c r="AH183" s="430"/>
      <c r="AI183" s="430"/>
      <c r="AJ183" s="430"/>
      <c r="AK183" s="430"/>
      <c r="AL183" s="430"/>
      <c r="AM183" s="430"/>
      <c r="AN183" s="430"/>
      <c r="AO183" s="430"/>
      <c r="AP183" s="430"/>
      <c r="AQ183" s="430"/>
      <c r="AR183" s="430"/>
      <c r="AS183" s="430"/>
      <c r="AT183" s="430"/>
      <c r="AU183" s="430"/>
      <c r="AV183" s="432" t="s">
        <v>11370</v>
      </c>
    </row>
    <row r="184" s="397" customFormat="1" ht="18" customHeight="1" spans="1:48">
      <c r="A184" s="426">
        <v>45926</v>
      </c>
      <c r="B184" s="427">
        <v>1000032512</v>
      </c>
      <c r="C184" s="428" t="s">
        <v>11183</v>
      </c>
      <c r="D184" s="428" t="s">
        <v>6084</v>
      </c>
      <c r="E184" s="428">
        <v>40000</v>
      </c>
      <c r="F184" s="429" t="s">
        <v>11372</v>
      </c>
      <c r="G184" s="428" t="s">
        <v>11373</v>
      </c>
      <c r="H184" s="429" t="s">
        <v>11148</v>
      </c>
      <c r="I184" s="430"/>
      <c r="J184" s="430">
        <v>40000</v>
      </c>
      <c r="K184" s="430"/>
      <c r="L184" s="430"/>
      <c r="M184" s="430"/>
      <c r="N184" s="430"/>
      <c r="O184" s="430"/>
      <c r="P184" s="430"/>
      <c r="Q184" s="430"/>
      <c r="R184" s="430"/>
      <c r="S184" s="430"/>
      <c r="T184" s="430"/>
      <c r="U184" s="430"/>
      <c r="V184" s="430"/>
      <c r="W184" s="430"/>
      <c r="X184" s="430"/>
      <c r="Y184" s="430"/>
      <c r="Z184" s="430"/>
      <c r="AA184" s="430"/>
      <c r="AB184" s="430"/>
      <c r="AC184" s="428"/>
      <c r="AD184" s="428"/>
      <c r="AE184" s="430"/>
      <c r="AF184" s="430"/>
      <c r="AG184" s="430"/>
      <c r="AH184" s="430"/>
      <c r="AI184" s="430"/>
      <c r="AJ184" s="430"/>
      <c r="AK184" s="430"/>
      <c r="AL184" s="430"/>
      <c r="AM184" s="430"/>
      <c r="AN184" s="430"/>
      <c r="AO184" s="430"/>
      <c r="AP184" s="430"/>
      <c r="AQ184" s="430"/>
      <c r="AR184" s="430"/>
      <c r="AS184" s="430"/>
      <c r="AT184" s="430"/>
      <c r="AU184" s="430"/>
      <c r="AV184" s="432" t="s">
        <v>11370</v>
      </c>
    </row>
    <row r="185" s="397" customFormat="1" ht="18" customHeight="1" spans="1:48">
      <c r="A185" s="426">
        <v>45926</v>
      </c>
      <c r="B185" s="427">
        <v>1000032513</v>
      </c>
      <c r="C185" s="428" t="s">
        <v>11183</v>
      </c>
      <c r="D185" s="428" t="s">
        <v>6084</v>
      </c>
      <c r="E185" s="428">
        <v>450000</v>
      </c>
      <c r="F185" s="429" t="s">
        <v>11391</v>
      </c>
      <c r="G185" s="428" t="s">
        <v>11373</v>
      </c>
      <c r="H185" s="429" t="s">
        <v>11220</v>
      </c>
      <c r="I185" s="430"/>
      <c r="J185" s="430"/>
      <c r="K185" s="430"/>
      <c r="L185" s="430"/>
      <c r="M185" s="430"/>
      <c r="N185" s="430">
        <v>450000</v>
      </c>
      <c r="O185" s="430"/>
      <c r="P185" s="430"/>
      <c r="Q185" s="430"/>
      <c r="R185" s="430"/>
      <c r="S185" s="430"/>
      <c r="T185" s="430"/>
      <c r="U185" s="430"/>
      <c r="V185" s="430"/>
      <c r="W185" s="430"/>
      <c r="X185" s="430"/>
      <c r="Y185" s="430"/>
      <c r="Z185" s="430"/>
      <c r="AA185" s="430"/>
      <c r="AB185" s="430"/>
      <c r="AC185" s="428"/>
      <c r="AD185" s="428"/>
      <c r="AE185" s="430"/>
      <c r="AF185" s="430"/>
      <c r="AG185" s="430"/>
      <c r="AH185" s="430"/>
      <c r="AI185" s="430"/>
      <c r="AJ185" s="430"/>
      <c r="AK185" s="430"/>
      <c r="AL185" s="430"/>
      <c r="AM185" s="430"/>
      <c r="AN185" s="430"/>
      <c r="AO185" s="430"/>
      <c r="AP185" s="430"/>
      <c r="AQ185" s="430"/>
      <c r="AR185" s="430"/>
      <c r="AS185" s="430"/>
      <c r="AT185" s="430"/>
      <c r="AU185" s="430"/>
      <c r="AV185" s="432" t="s">
        <v>11509</v>
      </c>
    </row>
    <row r="186" s="397" customFormat="1" ht="18" customHeight="1" spans="1:48">
      <c r="A186" s="426">
        <v>45926</v>
      </c>
      <c r="B186" s="427">
        <v>1000032515</v>
      </c>
      <c r="C186" s="428" t="s">
        <v>11183</v>
      </c>
      <c r="D186" s="428" t="s">
        <v>11378</v>
      </c>
      <c r="E186" s="428">
        <v>2000</v>
      </c>
      <c r="F186" s="429" t="s">
        <v>11379</v>
      </c>
      <c r="G186" s="428" t="s">
        <v>11147</v>
      </c>
      <c r="H186" s="429" t="s">
        <v>11148</v>
      </c>
      <c r="I186" s="430"/>
      <c r="J186" s="430"/>
      <c r="K186" s="430"/>
      <c r="L186" s="430"/>
      <c r="M186" s="430"/>
      <c r="N186" s="430"/>
      <c r="O186" s="430"/>
      <c r="P186" s="430"/>
      <c r="Q186" s="430"/>
      <c r="R186" s="430"/>
      <c r="S186" s="430"/>
      <c r="T186" s="430"/>
      <c r="U186" s="430"/>
      <c r="V186" s="430"/>
      <c r="W186" s="430"/>
      <c r="X186" s="430"/>
      <c r="Y186" s="430"/>
      <c r="Z186" s="430">
        <v>2000</v>
      </c>
      <c r="AA186" s="430"/>
      <c r="AB186" s="430"/>
      <c r="AC186" s="428"/>
      <c r="AD186" s="428"/>
      <c r="AE186" s="430"/>
      <c r="AF186" s="430"/>
      <c r="AG186" s="430"/>
      <c r="AH186" s="430"/>
      <c r="AI186" s="430"/>
      <c r="AJ186" s="430"/>
      <c r="AK186" s="430"/>
      <c r="AL186" s="430"/>
      <c r="AM186" s="430"/>
      <c r="AN186" s="430"/>
      <c r="AO186" s="430"/>
      <c r="AP186" s="430"/>
      <c r="AQ186" s="430"/>
      <c r="AR186" s="430"/>
      <c r="AS186" s="430"/>
      <c r="AT186" s="430"/>
      <c r="AU186" s="430"/>
      <c r="AV186" s="432" t="s">
        <v>11376</v>
      </c>
    </row>
    <row r="187" s="397" customFormat="1" ht="18" customHeight="1" spans="1:48">
      <c r="A187" s="426">
        <v>45926</v>
      </c>
      <c r="B187" s="427">
        <v>1000032516</v>
      </c>
      <c r="C187" s="428" t="s">
        <v>11183</v>
      </c>
      <c r="D187" s="428" t="s">
        <v>11378</v>
      </c>
      <c r="E187" s="428">
        <v>1800</v>
      </c>
      <c r="F187" s="429" t="s">
        <v>11381</v>
      </c>
      <c r="G187" s="428" t="s">
        <v>11373</v>
      </c>
      <c r="H187" s="429" t="s">
        <v>11148</v>
      </c>
      <c r="I187" s="430"/>
      <c r="J187" s="430"/>
      <c r="K187" s="430"/>
      <c r="L187" s="430"/>
      <c r="M187" s="430"/>
      <c r="N187" s="430"/>
      <c r="O187" s="430"/>
      <c r="P187" s="430"/>
      <c r="Q187" s="430"/>
      <c r="R187" s="430"/>
      <c r="S187" s="430"/>
      <c r="T187" s="430"/>
      <c r="U187" s="430"/>
      <c r="V187" s="430"/>
      <c r="W187" s="430"/>
      <c r="X187" s="430"/>
      <c r="Y187" s="430"/>
      <c r="Z187" s="430"/>
      <c r="AA187" s="430">
        <v>1800</v>
      </c>
      <c r="AB187" s="430"/>
      <c r="AC187" s="428"/>
      <c r="AD187" s="428"/>
      <c r="AE187" s="430"/>
      <c r="AF187" s="430"/>
      <c r="AG187" s="430"/>
      <c r="AH187" s="430"/>
      <c r="AI187" s="430"/>
      <c r="AJ187" s="430"/>
      <c r="AK187" s="430"/>
      <c r="AL187" s="430"/>
      <c r="AM187" s="430"/>
      <c r="AN187" s="430"/>
      <c r="AO187" s="430"/>
      <c r="AP187" s="430"/>
      <c r="AQ187" s="430"/>
      <c r="AR187" s="430"/>
      <c r="AS187" s="430"/>
      <c r="AT187" s="430"/>
      <c r="AU187" s="430"/>
      <c r="AV187" s="432" t="s">
        <v>11376</v>
      </c>
    </row>
    <row r="188" s="397" customFormat="1" ht="18" customHeight="1" spans="1:48">
      <c r="A188" s="426">
        <v>45926</v>
      </c>
      <c r="B188" s="427">
        <v>1000032518</v>
      </c>
      <c r="C188" s="428" t="s">
        <v>11183</v>
      </c>
      <c r="D188" s="428" t="s">
        <v>6166</v>
      </c>
      <c r="E188" s="428">
        <v>2500</v>
      </c>
      <c r="F188" s="429" t="s">
        <v>11427</v>
      </c>
      <c r="G188" s="428" t="s">
        <v>11147</v>
      </c>
      <c r="H188" s="429" t="s">
        <v>11148</v>
      </c>
      <c r="I188" s="430"/>
      <c r="J188" s="430"/>
      <c r="K188" s="430"/>
      <c r="L188" s="430"/>
      <c r="M188" s="430"/>
      <c r="N188" s="430"/>
      <c r="O188" s="430"/>
      <c r="P188" s="430"/>
      <c r="Q188" s="430"/>
      <c r="R188" s="430"/>
      <c r="S188" s="430"/>
      <c r="T188" s="430"/>
      <c r="U188" s="430"/>
      <c r="V188" s="430"/>
      <c r="W188" s="430">
        <v>2500</v>
      </c>
      <c r="X188" s="430"/>
      <c r="Y188" s="430"/>
      <c r="Z188" s="430"/>
      <c r="AA188" s="430"/>
      <c r="AB188" s="430"/>
      <c r="AC188" s="428"/>
      <c r="AD188" s="428"/>
      <c r="AE188" s="430"/>
      <c r="AF188" s="430"/>
      <c r="AG188" s="430"/>
      <c r="AH188" s="430"/>
      <c r="AI188" s="430"/>
      <c r="AJ188" s="430"/>
      <c r="AK188" s="430"/>
      <c r="AL188" s="430"/>
      <c r="AM188" s="430"/>
      <c r="AN188" s="430"/>
      <c r="AO188" s="430"/>
      <c r="AP188" s="430"/>
      <c r="AQ188" s="430"/>
      <c r="AR188" s="430"/>
      <c r="AS188" s="430"/>
      <c r="AT188" s="430"/>
      <c r="AU188" s="430"/>
      <c r="AV188" s="432" t="s">
        <v>11376</v>
      </c>
    </row>
    <row r="189" s="397" customFormat="1" ht="18" customHeight="1" spans="1:48">
      <c r="A189" s="426">
        <v>45926</v>
      </c>
      <c r="B189" s="427">
        <v>1000032529</v>
      </c>
      <c r="C189" s="428" t="s">
        <v>11183</v>
      </c>
      <c r="D189" s="428" t="s">
        <v>6047</v>
      </c>
      <c r="E189" s="428">
        <v>250000</v>
      </c>
      <c r="F189" s="429" t="s">
        <v>11152</v>
      </c>
      <c r="G189" s="428" t="s">
        <v>11153</v>
      </c>
      <c r="H189" s="429" t="s">
        <v>11148</v>
      </c>
      <c r="I189" s="430"/>
      <c r="J189" s="430"/>
      <c r="K189" s="430"/>
      <c r="L189" s="430"/>
      <c r="M189" s="430">
        <v>250000</v>
      </c>
      <c r="N189" s="430"/>
      <c r="O189" s="430"/>
      <c r="P189" s="430"/>
      <c r="Q189" s="430"/>
      <c r="R189" s="430"/>
      <c r="S189" s="430"/>
      <c r="T189" s="430"/>
      <c r="U189" s="430"/>
      <c r="V189" s="430"/>
      <c r="W189" s="430"/>
      <c r="X189" s="430"/>
      <c r="Y189" s="430"/>
      <c r="Z189" s="430"/>
      <c r="AA189" s="430"/>
      <c r="AB189" s="430"/>
      <c r="AC189" s="428"/>
      <c r="AD189" s="428"/>
      <c r="AE189" s="430"/>
      <c r="AF189" s="430"/>
      <c r="AG189" s="430"/>
      <c r="AH189" s="430"/>
      <c r="AI189" s="430"/>
      <c r="AJ189" s="430"/>
      <c r="AK189" s="430"/>
      <c r="AL189" s="430"/>
      <c r="AM189" s="430"/>
      <c r="AN189" s="430"/>
      <c r="AO189" s="430"/>
      <c r="AP189" s="430"/>
      <c r="AQ189" s="430"/>
      <c r="AR189" s="430"/>
      <c r="AS189" s="430"/>
      <c r="AT189" s="430"/>
      <c r="AU189" s="430"/>
      <c r="AV189" s="432" t="s">
        <v>11383</v>
      </c>
    </row>
    <row r="190" s="397" customFormat="1" ht="18" customHeight="1" spans="1:48">
      <c r="A190" s="426">
        <v>45926</v>
      </c>
      <c r="B190" s="427">
        <v>1000032530</v>
      </c>
      <c r="C190" s="428" t="s">
        <v>11183</v>
      </c>
      <c r="D190" s="428" t="s">
        <v>6047</v>
      </c>
      <c r="E190" s="428">
        <v>250000</v>
      </c>
      <c r="F190" s="429" t="s">
        <v>11375</v>
      </c>
      <c r="G190" s="428" t="s">
        <v>11157</v>
      </c>
      <c r="H190" s="429" t="s">
        <v>11220</v>
      </c>
      <c r="I190" s="430"/>
      <c r="J190" s="430"/>
      <c r="K190" s="430"/>
      <c r="L190" s="430"/>
      <c r="M190" s="430"/>
      <c r="N190" s="430"/>
      <c r="O190" s="430">
        <v>250000</v>
      </c>
      <c r="P190" s="430"/>
      <c r="Q190" s="430"/>
      <c r="R190" s="430"/>
      <c r="S190" s="430"/>
      <c r="T190" s="430"/>
      <c r="U190" s="430"/>
      <c r="V190" s="430"/>
      <c r="W190" s="430"/>
      <c r="X190" s="430"/>
      <c r="Y190" s="430"/>
      <c r="Z190" s="430"/>
      <c r="AA190" s="430"/>
      <c r="AB190" s="430"/>
      <c r="AC190" s="428"/>
      <c r="AD190" s="428"/>
      <c r="AE190" s="430"/>
      <c r="AF190" s="430"/>
      <c r="AG190" s="430"/>
      <c r="AH190" s="430"/>
      <c r="AI190" s="430"/>
      <c r="AJ190" s="430"/>
      <c r="AK190" s="430"/>
      <c r="AL190" s="430"/>
      <c r="AM190" s="430"/>
      <c r="AN190" s="430"/>
      <c r="AO190" s="430"/>
      <c r="AP190" s="430"/>
      <c r="AQ190" s="430"/>
      <c r="AR190" s="430"/>
      <c r="AS190" s="430"/>
      <c r="AT190" s="430"/>
      <c r="AU190" s="430"/>
      <c r="AV190" s="432" t="s">
        <v>11515</v>
      </c>
    </row>
    <row r="191" s="397" customFormat="1" ht="18" customHeight="1" spans="1:48">
      <c r="A191" s="426">
        <v>45926</v>
      </c>
      <c r="B191" s="427">
        <v>1000032531</v>
      </c>
      <c r="C191" s="428" t="s">
        <v>11183</v>
      </c>
      <c r="D191" s="428" t="s">
        <v>6047</v>
      </c>
      <c r="E191" s="428">
        <v>3000</v>
      </c>
      <c r="F191" s="429" t="s">
        <v>11387</v>
      </c>
      <c r="G191" s="428" t="s">
        <v>11153</v>
      </c>
      <c r="H191" s="429" t="s">
        <v>11148</v>
      </c>
      <c r="I191" s="430"/>
      <c r="J191" s="430"/>
      <c r="K191" s="430"/>
      <c r="L191" s="430"/>
      <c r="M191" s="430"/>
      <c r="N191" s="430"/>
      <c r="O191" s="430"/>
      <c r="P191" s="430"/>
      <c r="Q191" s="430"/>
      <c r="R191" s="430"/>
      <c r="S191" s="430"/>
      <c r="T191" s="430"/>
      <c r="U191" s="430"/>
      <c r="V191" s="430"/>
      <c r="W191" s="430"/>
      <c r="X191" s="430"/>
      <c r="Y191" s="430"/>
      <c r="Z191" s="430"/>
      <c r="AA191" s="430"/>
      <c r="AB191" s="430">
        <v>3000</v>
      </c>
      <c r="AC191" s="428"/>
      <c r="AD191" s="428"/>
      <c r="AE191" s="430"/>
      <c r="AF191" s="430"/>
      <c r="AG191" s="430"/>
      <c r="AH191" s="430"/>
      <c r="AI191" s="430"/>
      <c r="AJ191" s="430"/>
      <c r="AK191" s="430"/>
      <c r="AL191" s="430"/>
      <c r="AM191" s="430"/>
      <c r="AN191" s="430"/>
      <c r="AO191" s="430"/>
      <c r="AP191" s="430"/>
      <c r="AQ191" s="430"/>
      <c r="AR191" s="430"/>
      <c r="AS191" s="430"/>
      <c r="AT191" s="430"/>
      <c r="AU191" s="430"/>
      <c r="AV191" s="432" t="s">
        <v>11385</v>
      </c>
    </row>
    <row r="192" s="397" customFormat="1" ht="18" customHeight="1" spans="1:48">
      <c r="A192" s="426">
        <v>45926</v>
      </c>
      <c r="B192" s="427">
        <v>1000032533</v>
      </c>
      <c r="C192" s="428" t="s">
        <v>11183</v>
      </c>
      <c r="D192" s="428" t="s">
        <v>6093</v>
      </c>
      <c r="E192" s="428">
        <v>2500</v>
      </c>
      <c r="F192" s="429" t="s">
        <v>11402</v>
      </c>
      <c r="G192" s="428" t="s">
        <v>11153</v>
      </c>
      <c r="H192" s="429" t="s">
        <v>11148</v>
      </c>
      <c r="I192" s="430"/>
      <c r="J192" s="430"/>
      <c r="K192" s="430"/>
      <c r="L192" s="430"/>
      <c r="M192" s="430"/>
      <c r="N192" s="430"/>
      <c r="O192" s="430"/>
      <c r="P192" s="430"/>
      <c r="Q192" s="430"/>
      <c r="R192" s="430"/>
      <c r="S192" s="430"/>
      <c r="T192" s="430"/>
      <c r="U192" s="430"/>
      <c r="V192" s="430"/>
      <c r="W192" s="430"/>
      <c r="X192" s="430"/>
      <c r="Y192" s="430">
        <v>2500</v>
      </c>
      <c r="Z192" s="430"/>
      <c r="AA192" s="430"/>
      <c r="AB192" s="430"/>
      <c r="AC192" s="428"/>
      <c r="AD192" s="428"/>
      <c r="AE192" s="430"/>
      <c r="AF192" s="430"/>
      <c r="AG192" s="430"/>
      <c r="AH192" s="430"/>
      <c r="AI192" s="430"/>
      <c r="AJ192" s="430"/>
      <c r="AK192" s="430"/>
      <c r="AL192" s="430"/>
      <c r="AM192" s="430"/>
      <c r="AN192" s="430"/>
      <c r="AO192" s="430"/>
      <c r="AP192" s="430"/>
      <c r="AQ192" s="430"/>
      <c r="AR192" s="430"/>
      <c r="AS192" s="430"/>
      <c r="AT192" s="430"/>
      <c r="AU192" s="430"/>
      <c r="AV192" s="432" t="s">
        <v>11385</v>
      </c>
    </row>
    <row r="193" s="397" customFormat="1" ht="18" customHeight="1" spans="1:48">
      <c r="A193" s="426">
        <v>45926</v>
      </c>
      <c r="B193" s="427">
        <v>1000032535</v>
      </c>
      <c r="C193" s="428" t="s">
        <v>11183</v>
      </c>
      <c r="D193" s="428" t="s">
        <v>6223</v>
      </c>
      <c r="E193" s="428">
        <v>100</v>
      </c>
      <c r="F193" s="429" t="s">
        <v>11431</v>
      </c>
      <c r="G193" s="428" t="s">
        <v>11153</v>
      </c>
      <c r="H193" s="429" t="s">
        <v>11148</v>
      </c>
      <c r="I193" s="430"/>
      <c r="J193" s="430"/>
      <c r="K193" s="430"/>
      <c r="L193" s="430"/>
      <c r="M193" s="430"/>
      <c r="N193" s="430"/>
      <c r="O193" s="430"/>
      <c r="P193" s="430"/>
      <c r="Q193" s="430"/>
      <c r="R193" s="430"/>
      <c r="S193" s="430"/>
      <c r="T193" s="430"/>
      <c r="U193" s="430"/>
      <c r="V193" s="430"/>
      <c r="W193" s="430"/>
      <c r="X193" s="430"/>
      <c r="Y193" s="430"/>
      <c r="Z193" s="430"/>
      <c r="AA193" s="430"/>
      <c r="AB193" s="430"/>
      <c r="AC193" s="428"/>
      <c r="AD193" s="428"/>
      <c r="AE193" s="430"/>
      <c r="AF193" s="430"/>
      <c r="AG193" s="430"/>
      <c r="AH193" s="430"/>
      <c r="AI193" s="430"/>
      <c r="AJ193" s="430"/>
      <c r="AK193" s="430"/>
      <c r="AL193" s="430"/>
      <c r="AM193" s="430"/>
      <c r="AN193" s="430"/>
      <c r="AO193" s="430"/>
      <c r="AP193" s="430"/>
      <c r="AQ193" s="430">
        <v>100</v>
      </c>
      <c r="AR193" s="430"/>
      <c r="AS193" s="430"/>
      <c r="AT193" s="430"/>
      <c r="AU193" s="430"/>
      <c r="AV193" s="432" t="s">
        <v>11385</v>
      </c>
    </row>
    <row r="194" s="397" customFormat="1" ht="18" customHeight="1" spans="1:48">
      <c r="A194" s="426">
        <v>45930</v>
      </c>
      <c r="B194" s="427" t="s">
        <v>11591</v>
      </c>
      <c r="C194" s="428" t="s">
        <v>11194</v>
      </c>
      <c r="D194" s="428" t="s">
        <v>11416</v>
      </c>
      <c r="E194" s="428">
        <v>2820</v>
      </c>
      <c r="F194" s="429" t="s">
        <v>11417</v>
      </c>
      <c r="G194" s="428" t="s">
        <v>11147</v>
      </c>
      <c r="H194" s="429" t="s">
        <v>11148</v>
      </c>
      <c r="I194" s="430"/>
      <c r="J194" s="430"/>
      <c r="K194" s="430"/>
      <c r="L194" s="430"/>
      <c r="M194" s="430"/>
      <c r="N194" s="430"/>
      <c r="O194" s="430"/>
      <c r="P194" s="430"/>
      <c r="Q194" s="430"/>
      <c r="R194" s="430"/>
      <c r="S194" s="430"/>
      <c r="T194" s="430"/>
      <c r="U194" s="430"/>
      <c r="V194" s="430"/>
      <c r="W194" s="430"/>
      <c r="X194" s="430"/>
      <c r="Y194" s="430"/>
      <c r="Z194" s="430"/>
      <c r="AA194" s="430"/>
      <c r="AB194" s="430"/>
      <c r="AC194" s="430">
        <v>2820</v>
      </c>
      <c r="AD194" s="430"/>
      <c r="AE194" s="428"/>
      <c r="AF194" s="428"/>
      <c r="AG194" s="430"/>
      <c r="AH194" s="430"/>
      <c r="AI194" s="430"/>
      <c r="AJ194" s="430"/>
      <c r="AK194" s="430"/>
      <c r="AL194" s="430"/>
      <c r="AM194" s="430"/>
      <c r="AN194" s="430"/>
      <c r="AO194" s="430"/>
      <c r="AP194" s="430"/>
      <c r="AQ194" s="430"/>
      <c r="AR194" s="430"/>
      <c r="AS194" s="430"/>
      <c r="AT194" s="430"/>
      <c r="AU194" s="430"/>
      <c r="AV194" s="432" t="s">
        <v>11592</v>
      </c>
    </row>
    <row r="195" s="397" customFormat="1" ht="18" customHeight="1" spans="1:48">
      <c r="A195" s="426">
        <v>45926</v>
      </c>
      <c r="B195" s="427" t="s">
        <v>11593</v>
      </c>
      <c r="C195" s="429" t="s">
        <v>11245</v>
      </c>
      <c r="D195" s="428" t="s">
        <v>11434</v>
      </c>
      <c r="E195" s="428">
        <v>12500</v>
      </c>
      <c r="F195" s="429" t="s">
        <v>11237</v>
      </c>
      <c r="G195" s="428" t="s">
        <v>11157</v>
      </c>
      <c r="H195" s="429"/>
      <c r="I195" s="430"/>
      <c r="J195" s="430"/>
      <c r="K195" s="430"/>
      <c r="L195" s="430"/>
      <c r="M195" s="430"/>
      <c r="N195" s="430"/>
      <c r="O195" s="430"/>
      <c r="P195" s="430"/>
      <c r="Q195" s="430"/>
      <c r="R195" s="430"/>
      <c r="S195" s="430"/>
      <c r="T195" s="430"/>
      <c r="U195" s="430"/>
      <c r="V195" s="430"/>
      <c r="W195" s="430"/>
      <c r="X195" s="430"/>
      <c r="Y195" s="430"/>
      <c r="Z195" s="430"/>
      <c r="AA195" s="430"/>
      <c r="AB195" s="430"/>
      <c r="AC195" s="430"/>
      <c r="AD195" s="430"/>
      <c r="AE195" s="428"/>
      <c r="AF195" s="428"/>
      <c r="AG195" s="430"/>
      <c r="AH195" s="430">
        <v>12500</v>
      </c>
      <c r="AI195" s="430"/>
      <c r="AJ195" s="430"/>
      <c r="AK195" s="430"/>
      <c r="AL195" s="430"/>
      <c r="AM195" s="430"/>
      <c r="AN195" s="430"/>
      <c r="AO195" s="430"/>
      <c r="AP195" s="430"/>
      <c r="AQ195" s="430"/>
      <c r="AR195" s="430"/>
      <c r="AS195" s="430"/>
      <c r="AT195" s="430"/>
      <c r="AU195" s="430"/>
      <c r="AV195" s="439" t="s">
        <v>11594</v>
      </c>
    </row>
    <row r="196" s="397" customFormat="1" ht="18" customHeight="1" spans="1:48">
      <c r="A196" s="426">
        <v>45939</v>
      </c>
      <c r="B196" s="427">
        <v>1000032764</v>
      </c>
      <c r="C196" s="428" t="s">
        <v>11183</v>
      </c>
      <c r="D196" s="428" t="s">
        <v>6084</v>
      </c>
      <c r="E196" s="428">
        <v>300000</v>
      </c>
      <c r="F196" s="429" t="s">
        <v>11146</v>
      </c>
      <c r="G196" s="428" t="s">
        <v>11147</v>
      </c>
      <c r="H196" s="429" t="s">
        <v>11148</v>
      </c>
      <c r="I196" s="430">
        <v>300000</v>
      </c>
      <c r="J196" s="430"/>
      <c r="K196" s="430"/>
      <c r="L196" s="430"/>
      <c r="M196" s="430"/>
      <c r="N196" s="430"/>
      <c r="O196" s="430"/>
      <c r="P196" s="430"/>
      <c r="Q196" s="430"/>
      <c r="R196" s="430"/>
      <c r="S196" s="430"/>
      <c r="T196" s="430"/>
      <c r="U196" s="430"/>
      <c r="V196" s="430"/>
      <c r="W196" s="430"/>
      <c r="X196" s="430"/>
      <c r="Y196" s="430"/>
      <c r="Z196" s="430"/>
      <c r="AA196" s="430"/>
      <c r="AB196" s="430"/>
      <c r="AC196" s="430"/>
      <c r="AD196" s="430"/>
      <c r="AE196" s="428"/>
      <c r="AF196" s="428"/>
      <c r="AG196" s="430"/>
      <c r="AH196" s="430"/>
      <c r="AI196" s="430"/>
      <c r="AJ196" s="430"/>
      <c r="AK196" s="430"/>
      <c r="AL196" s="430"/>
      <c r="AM196" s="430"/>
      <c r="AN196" s="430"/>
      <c r="AO196" s="430"/>
      <c r="AP196" s="430"/>
      <c r="AQ196" s="430"/>
      <c r="AR196" s="430"/>
      <c r="AS196" s="430"/>
      <c r="AT196" s="430"/>
      <c r="AU196" s="430"/>
      <c r="AV196" s="432" t="s">
        <v>11370</v>
      </c>
    </row>
    <row r="197" s="397" customFormat="1" ht="18" customHeight="1" spans="1:48">
      <c r="A197" s="426">
        <v>45939</v>
      </c>
      <c r="B197" s="427">
        <v>1000032765</v>
      </c>
      <c r="C197" s="428" t="s">
        <v>11183</v>
      </c>
      <c r="D197" s="428" t="s">
        <v>6084</v>
      </c>
      <c r="E197" s="428">
        <v>20000</v>
      </c>
      <c r="F197" s="429" t="s">
        <v>11372</v>
      </c>
      <c r="G197" s="428" t="s">
        <v>11373</v>
      </c>
      <c r="H197" s="429" t="s">
        <v>11148</v>
      </c>
      <c r="I197" s="430"/>
      <c r="J197" s="430">
        <v>20000</v>
      </c>
      <c r="K197" s="430"/>
      <c r="L197" s="430"/>
      <c r="M197" s="430"/>
      <c r="N197" s="430"/>
      <c r="O197" s="430"/>
      <c r="P197" s="430"/>
      <c r="Q197" s="430"/>
      <c r="R197" s="430"/>
      <c r="S197" s="430"/>
      <c r="T197" s="430"/>
      <c r="U197" s="430"/>
      <c r="V197" s="430"/>
      <c r="W197" s="430"/>
      <c r="X197" s="430"/>
      <c r="Y197" s="430"/>
      <c r="Z197" s="430"/>
      <c r="AA197" s="430"/>
      <c r="AB197" s="430"/>
      <c r="AC197" s="430"/>
      <c r="AD197" s="430"/>
      <c r="AE197" s="428"/>
      <c r="AF197" s="428"/>
      <c r="AG197" s="430"/>
      <c r="AH197" s="430"/>
      <c r="AI197" s="430"/>
      <c r="AJ197" s="430"/>
      <c r="AK197" s="430"/>
      <c r="AL197" s="430"/>
      <c r="AM197" s="430"/>
      <c r="AN197" s="430"/>
      <c r="AO197" s="430"/>
      <c r="AP197" s="430"/>
      <c r="AQ197" s="430"/>
      <c r="AR197" s="430"/>
      <c r="AS197" s="430"/>
      <c r="AT197" s="430"/>
      <c r="AU197" s="430"/>
      <c r="AV197" s="432" t="s">
        <v>11370</v>
      </c>
    </row>
    <row r="198" s="397" customFormat="1" ht="18" customHeight="1" spans="1:48">
      <c r="A198" s="426">
        <v>45939</v>
      </c>
      <c r="B198" s="427">
        <v>1000032766</v>
      </c>
      <c r="C198" s="428" t="s">
        <v>11183</v>
      </c>
      <c r="D198" s="428" t="s">
        <v>6084</v>
      </c>
      <c r="E198" s="428">
        <v>300000</v>
      </c>
      <c r="F198" s="429" t="s">
        <v>11391</v>
      </c>
      <c r="G198" s="428" t="s">
        <v>11373</v>
      </c>
      <c r="H198" s="429" t="s">
        <v>11220</v>
      </c>
      <c r="I198" s="430"/>
      <c r="J198" s="430"/>
      <c r="K198" s="430"/>
      <c r="L198" s="430"/>
      <c r="M198" s="430"/>
      <c r="N198" s="430">
        <v>300000</v>
      </c>
      <c r="O198" s="430"/>
      <c r="P198" s="430"/>
      <c r="Q198" s="430"/>
      <c r="R198" s="430"/>
      <c r="S198" s="430"/>
      <c r="T198" s="430"/>
      <c r="U198" s="430"/>
      <c r="V198" s="430"/>
      <c r="W198" s="430"/>
      <c r="X198" s="430"/>
      <c r="Y198" s="430"/>
      <c r="Z198" s="430"/>
      <c r="AA198" s="430"/>
      <c r="AB198" s="430"/>
      <c r="AC198" s="430"/>
      <c r="AD198" s="430"/>
      <c r="AE198" s="428"/>
      <c r="AF198" s="428"/>
      <c r="AG198" s="430"/>
      <c r="AH198" s="430"/>
      <c r="AI198" s="430"/>
      <c r="AJ198" s="430"/>
      <c r="AK198" s="430"/>
      <c r="AL198" s="430"/>
      <c r="AM198" s="430"/>
      <c r="AN198" s="430"/>
      <c r="AO198" s="430"/>
      <c r="AP198" s="430"/>
      <c r="AQ198" s="430"/>
      <c r="AR198" s="430"/>
      <c r="AS198" s="430"/>
      <c r="AT198" s="430"/>
      <c r="AU198" s="430"/>
      <c r="AV198" s="432" t="s">
        <v>11509</v>
      </c>
    </row>
    <row r="199" s="397" customFormat="1" ht="18" customHeight="1" spans="1:48">
      <c r="A199" s="426">
        <v>45939</v>
      </c>
      <c r="B199" s="427">
        <v>1000032767</v>
      </c>
      <c r="C199" s="428" t="s">
        <v>11183</v>
      </c>
      <c r="D199" s="428" t="s">
        <v>11378</v>
      </c>
      <c r="E199" s="428">
        <v>2000</v>
      </c>
      <c r="F199" s="429" t="s">
        <v>11379</v>
      </c>
      <c r="G199" s="428" t="s">
        <v>11147</v>
      </c>
      <c r="H199" s="429" t="s">
        <v>11148</v>
      </c>
      <c r="I199" s="430"/>
      <c r="J199" s="430"/>
      <c r="K199" s="430"/>
      <c r="L199" s="430"/>
      <c r="M199" s="430"/>
      <c r="N199" s="430"/>
      <c r="O199" s="430"/>
      <c r="P199" s="430"/>
      <c r="Q199" s="430"/>
      <c r="R199" s="430"/>
      <c r="S199" s="430"/>
      <c r="T199" s="430"/>
      <c r="U199" s="430"/>
      <c r="V199" s="430"/>
      <c r="W199" s="430"/>
      <c r="X199" s="430"/>
      <c r="Y199" s="430"/>
      <c r="Z199" s="430">
        <v>2000</v>
      </c>
      <c r="AA199" s="430"/>
      <c r="AB199" s="430"/>
      <c r="AC199" s="430"/>
      <c r="AD199" s="430"/>
      <c r="AE199" s="428"/>
      <c r="AF199" s="428"/>
      <c r="AG199" s="430"/>
      <c r="AH199" s="430"/>
      <c r="AI199" s="430"/>
      <c r="AJ199" s="430"/>
      <c r="AK199" s="430"/>
      <c r="AL199" s="430"/>
      <c r="AM199" s="430"/>
      <c r="AN199" s="430"/>
      <c r="AO199" s="430"/>
      <c r="AP199" s="430"/>
      <c r="AQ199" s="430"/>
      <c r="AR199" s="430"/>
      <c r="AS199" s="430"/>
      <c r="AT199" s="430"/>
      <c r="AU199" s="430"/>
      <c r="AV199" s="432" t="s">
        <v>11376</v>
      </c>
    </row>
    <row r="200" s="397" customFormat="1" ht="18" customHeight="1" spans="1:48">
      <c r="A200" s="426">
        <v>45939</v>
      </c>
      <c r="B200" s="427">
        <v>1000032768</v>
      </c>
      <c r="C200" s="428" t="s">
        <v>11183</v>
      </c>
      <c r="D200" s="428" t="s">
        <v>6166</v>
      </c>
      <c r="E200" s="428">
        <v>500</v>
      </c>
      <c r="F200" s="429" t="s">
        <v>11427</v>
      </c>
      <c r="G200" s="428" t="s">
        <v>11147</v>
      </c>
      <c r="H200" s="429" t="s">
        <v>11148</v>
      </c>
      <c r="I200" s="430"/>
      <c r="J200" s="430"/>
      <c r="K200" s="430"/>
      <c r="L200" s="430"/>
      <c r="M200" s="430"/>
      <c r="N200" s="430"/>
      <c r="O200" s="430"/>
      <c r="P200" s="430"/>
      <c r="Q200" s="430"/>
      <c r="R200" s="430"/>
      <c r="S200" s="430"/>
      <c r="T200" s="430"/>
      <c r="U200" s="430"/>
      <c r="V200" s="430"/>
      <c r="W200" s="430">
        <v>500</v>
      </c>
      <c r="X200" s="430"/>
      <c r="Y200" s="430"/>
      <c r="Z200" s="430"/>
      <c r="AA200" s="430"/>
      <c r="AB200" s="430"/>
      <c r="AC200" s="430"/>
      <c r="AD200" s="430"/>
      <c r="AE200" s="428"/>
      <c r="AF200" s="428"/>
      <c r="AG200" s="430"/>
      <c r="AH200" s="430"/>
      <c r="AI200" s="430"/>
      <c r="AJ200" s="430"/>
      <c r="AK200" s="430"/>
      <c r="AL200" s="430"/>
      <c r="AM200" s="430"/>
      <c r="AN200" s="430"/>
      <c r="AO200" s="430"/>
      <c r="AP200" s="430"/>
      <c r="AQ200" s="430"/>
      <c r="AR200" s="430"/>
      <c r="AS200" s="430"/>
      <c r="AT200" s="430"/>
      <c r="AU200" s="430"/>
      <c r="AV200" s="432" t="s">
        <v>11376</v>
      </c>
    </row>
    <row r="201" s="397" customFormat="1" ht="18" customHeight="1" spans="1:48">
      <c r="A201" s="426">
        <v>45939</v>
      </c>
      <c r="B201" s="427">
        <v>1000032774</v>
      </c>
      <c r="C201" s="428" t="s">
        <v>11183</v>
      </c>
      <c r="D201" s="428" t="s">
        <v>6047</v>
      </c>
      <c r="E201" s="428">
        <v>100000</v>
      </c>
      <c r="F201" s="429" t="s">
        <v>11152</v>
      </c>
      <c r="G201" s="428" t="s">
        <v>11153</v>
      </c>
      <c r="H201" s="429" t="s">
        <v>11148</v>
      </c>
      <c r="I201" s="430"/>
      <c r="J201" s="430"/>
      <c r="K201" s="430"/>
      <c r="L201" s="430"/>
      <c r="M201" s="430">
        <v>100000</v>
      </c>
      <c r="N201" s="430"/>
      <c r="O201" s="430"/>
      <c r="P201" s="430"/>
      <c r="Q201" s="430"/>
      <c r="R201" s="430"/>
      <c r="S201" s="430"/>
      <c r="T201" s="430"/>
      <c r="U201" s="430"/>
      <c r="V201" s="430"/>
      <c r="W201" s="430"/>
      <c r="X201" s="430"/>
      <c r="Y201" s="430"/>
      <c r="Z201" s="430"/>
      <c r="AA201" s="430"/>
      <c r="AB201" s="430"/>
      <c r="AC201" s="430"/>
      <c r="AD201" s="430"/>
      <c r="AE201" s="428"/>
      <c r="AF201" s="428"/>
      <c r="AG201" s="430"/>
      <c r="AH201" s="430"/>
      <c r="AI201" s="430"/>
      <c r="AJ201" s="430"/>
      <c r="AK201" s="430"/>
      <c r="AL201" s="430"/>
      <c r="AM201" s="430"/>
      <c r="AN201" s="430"/>
      <c r="AO201" s="430"/>
      <c r="AP201" s="430"/>
      <c r="AQ201" s="430"/>
      <c r="AR201" s="430"/>
      <c r="AS201" s="430"/>
      <c r="AT201" s="430"/>
      <c r="AU201" s="430"/>
      <c r="AV201" s="432" t="s">
        <v>11383</v>
      </c>
    </row>
    <row r="202" s="397" customFormat="1" ht="18" customHeight="1" spans="1:48">
      <c r="A202" s="426">
        <v>45939</v>
      </c>
      <c r="B202" s="427">
        <v>1000032775</v>
      </c>
      <c r="C202" s="428" t="s">
        <v>11183</v>
      </c>
      <c r="D202" s="428" t="s">
        <v>6047</v>
      </c>
      <c r="E202" s="428">
        <v>250000</v>
      </c>
      <c r="F202" s="429" t="s">
        <v>11375</v>
      </c>
      <c r="G202" s="428" t="s">
        <v>11157</v>
      </c>
      <c r="H202" s="429" t="s">
        <v>11220</v>
      </c>
      <c r="I202" s="430"/>
      <c r="J202" s="430"/>
      <c r="K202" s="430"/>
      <c r="L202" s="430"/>
      <c r="M202" s="430"/>
      <c r="N202" s="430"/>
      <c r="O202" s="430">
        <v>250000</v>
      </c>
      <c r="P202" s="430"/>
      <c r="Q202" s="430"/>
      <c r="R202" s="430"/>
      <c r="S202" s="430"/>
      <c r="T202" s="430"/>
      <c r="U202" s="430"/>
      <c r="V202" s="430"/>
      <c r="W202" s="430"/>
      <c r="X202" s="430"/>
      <c r="Y202" s="430"/>
      <c r="Z202" s="430"/>
      <c r="AA202" s="430"/>
      <c r="AB202" s="430"/>
      <c r="AC202" s="430"/>
      <c r="AD202" s="430"/>
      <c r="AE202" s="428"/>
      <c r="AF202" s="428"/>
      <c r="AG202" s="430"/>
      <c r="AH202" s="430"/>
      <c r="AI202" s="430"/>
      <c r="AJ202" s="430"/>
      <c r="AK202" s="430"/>
      <c r="AL202" s="430"/>
      <c r="AM202" s="430"/>
      <c r="AN202" s="430"/>
      <c r="AO202" s="430"/>
      <c r="AP202" s="430"/>
      <c r="AQ202" s="430"/>
      <c r="AR202" s="430"/>
      <c r="AS202" s="430"/>
      <c r="AT202" s="430"/>
      <c r="AU202" s="430"/>
      <c r="AV202" s="432" t="s">
        <v>11515</v>
      </c>
    </row>
    <row r="203" s="397" customFormat="1" ht="18" customHeight="1" spans="1:48">
      <c r="A203" s="426">
        <v>45939</v>
      </c>
      <c r="B203" s="427">
        <v>1000032776</v>
      </c>
      <c r="C203" s="428" t="s">
        <v>11183</v>
      </c>
      <c r="D203" s="428" t="s">
        <v>6047</v>
      </c>
      <c r="E203" s="428">
        <v>2500</v>
      </c>
      <c r="F203" s="429" t="s">
        <v>11387</v>
      </c>
      <c r="G203" s="428" t="s">
        <v>11153</v>
      </c>
      <c r="H203" s="429" t="s">
        <v>11148</v>
      </c>
      <c r="I203" s="430"/>
      <c r="J203" s="430"/>
      <c r="K203" s="430"/>
      <c r="L203" s="430"/>
      <c r="M203" s="430"/>
      <c r="N203" s="430"/>
      <c r="O203" s="430"/>
      <c r="P203" s="430"/>
      <c r="Q203" s="430"/>
      <c r="R203" s="430"/>
      <c r="S203" s="430"/>
      <c r="T203" s="430"/>
      <c r="U203" s="430"/>
      <c r="V203" s="430"/>
      <c r="W203" s="430"/>
      <c r="X203" s="430"/>
      <c r="Y203" s="430"/>
      <c r="Z203" s="430"/>
      <c r="AA203" s="430"/>
      <c r="AB203" s="430">
        <v>2500</v>
      </c>
      <c r="AC203" s="430"/>
      <c r="AD203" s="430"/>
      <c r="AE203" s="428"/>
      <c r="AF203" s="428"/>
      <c r="AG203" s="430"/>
      <c r="AH203" s="430"/>
      <c r="AI203" s="430"/>
      <c r="AJ203" s="430"/>
      <c r="AK203" s="430"/>
      <c r="AL203" s="430"/>
      <c r="AM203" s="430"/>
      <c r="AN203" s="430"/>
      <c r="AO203" s="430"/>
      <c r="AP203" s="430"/>
      <c r="AQ203" s="430"/>
      <c r="AR203" s="430"/>
      <c r="AS203" s="430"/>
      <c r="AT203" s="430"/>
      <c r="AU203" s="430"/>
      <c r="AV203" s="432" t="s">
        <v>11385</v>
      </c>
    </row>
    <row r="204" s="397" customFormat="1" ht="18" customHeight="1" spans="1:48">
      <c r="A204" s="426">
        <v>45939</v>
      </c>
      <c r="B204" s="427">
        <v>1000032777</v>
      </c>
      <c r="C204" s="428" t="s">
        <v>11183</v>
      </c>
      <c r="D204" s="428" t="s">
        <v>6093</v>
      </c>
      <c r="E204" s="428">
        <v>3500</v>
      </c>
      <c r="F204" s="429" t="s">
        <v>11402</v>
      </c>
      <c r="G204" s="428" t="s">
        <v>11153</v>
      </c>
      <c r="H204" s="429" t="s">
        <v>11148</v>
      </c>
      <c r="I204" s="430"/>
      <c r="J204" s="430"/>
      <c r="K204" s="430"/>
      <c r="L204" s="430"/>
      <c r="M204" s="430"/>
      <c r="N204" s="430"/>
      <c r="O204" s="430"/>
      <c r="P204" s="430"/>
      <c r="Q204" s="430"/>
      <c r="R204" s="430"/>
      <c r="S204" s="430"/>
      <c r="T204" s="430"/>
      <c r="U204" s="430"/>
      <c r="V204" s="430"/>
      <c r="W204" s="430"/>
      <c r="X204" s="430"/>
      <c r="Y204" s="430">
        <v>3500</v>
      </c>
      <c r="Z204" s="430"/>
      <c r="AA204" s="430"/>
      <c r="AB204" s="430"/>
      <c r="AC204" s="430"/>
      <c r="AD204" s="430"/>
      <c r="AE204" s="428"/>
      <c r="AF204" s="428"/>
      <c r="AG204" s="430"/>
      <c r="AH204" s="430"/>
      <c r="AI204" s="430"/>
      <c r="AJ204" s="430"/>
      <c r="AK204" s="430"/>
      <c r="AL204" s="430"/>
      <c r="AM204" s="430"/>
      <c r="AN204" s="430"/>
      <c r="AO204" s="430"/>
      <c r="AP204" s="430"/>
      <c r="AQ204" s="430"/>
      <c r="AR204" s="430"/>
      <c r="AS204" s="430"/>
      <c r="AT204" s="430"/>
      <c r="AU204" s="430"/>
      <c r="AV204" s="432" t="s">
        <v>11385</v>
      </c>
    </row>
    <row r="205" s="397" customFormat="1" ht="18" customHeight="1" spans="1:48">
      <c r="A205" s="426">
        <v>45939</v>
      </c>
      <c r="B205" s="427">
        <v>1000032778</v>
      </c>
      <c r="C205" s="428" t="s">
        <v>11183</v>
      </c>
      <c r="D205" s="428" t="s">
        <v>6223</v>
      </c>
      <c r="E205" s="428">
        <v>120</v>
      </c>
      <c r="F205" s="429" t="s">
        <v>11431</v>
      </c>
      <c r="G205" s="428" t="s">
        <v>11153</v>
      </c>
      <c r="H205" s="429" t="s">
        <v>11148</v>
      </c>
      <c r="I205" s="430"/>
      <c r="J205" s="430"/>
      <c r="K205" s="430"/>
      <c r="L205" s="430"/>
      <c r="M205" s="430"/>
      <c r="N205" s="430"/>
      <c r="O205" s="430"/>
      <c r="P205" s="430"/>
      <c r="Q205" s="430"/>
      <c r="R205" s="430"/>
      <c r="S205" s="430"/>
      <c r="T205" s="430"/>
      <c r="U205" s="430"/>
      <c r="V205" s="430"/>
      <c r="W205" s="430"/>
      <c r="X205" s="430"/>
      <c r="Y205" s="430"/>
      <c r="Z205" s="430"/>
      <c r="AA205" s="430"/>
      <c r="AB205" s="430"/>
      <c r="AC205" s="430"/>
      <c r="AD205" s="430"/>
      <c r="AE205" s="428"/>
      <c r="AF205" s="428"/>
      <c r="AG205" s="430"/>
      <c r="AH205" s="430"/>
      <c r="AI205" s="430"/>
      <c r="AJ205" s="430"/>
      <c r="AK205" s="430"/>
      <c r="AL205" s="430"/>
      <c r="AM205" s="430"/>
      <c r="AN205" s="430"/>
      <c r="AO205" s="430"/>
      <c r="AP205" s="430"/>
      <c r="AQ205" s="430">
        <v>120</v>
      </c>
      <c r="AR205" s="430"/>
      <c r="AS205" s="430"/>
      <c r="AT205" s="430"/>
      <c r="AU205" s="430"/>
      <c r="AV205" s="432" t="s">
        <v>11385</v>
      </c>
    </row>
    <row r="206" s="397" customFormat="1" ht="18" customHeight="1" spans="1:48">
      <c r="A206" s="426">
        <v>45943</v>
      </c>
      <c r="B206" s="427" t="s">
        <v>11595</v>
      </c>
      <c r="C206" s="428" t="s">
        <v>11262</v>
      </c>
      <c r="D206" s="428" t="s">
        <v>6084</v>
      </c>
      <c r="E206" s="428">
        <v>30000</v>
      </c>
      <c r="F206" s="429" t="s">
        <v>11372</v>
      </c>
      <c r="G206" s="428" t="s">
        <v>11373</v>
      </c>
      <c r="H206" s="429" t="s">
        <v>11148</v>
      </c>
      <c r="I206" s="430"/>
      <c r="J206" s="430">
        <v>30000</v>
      </c>
      <c r="K206" s="430"/>
      <c r="L206" s="430"/>
      <c r="M206" s="430"/>
      <c r="N206" s="430"/>
      <c r="O206" s="430"/>
      <c r="P206" s="430"/>
      <c r="Q206" s="430"/>
      <c r="R206" s="430"/>
      <c r="S206" s="430"/>
      <c r="T206" s="430"/>
      <c r="U206" s="430"/>
      <c r="V206" s="430"/>
      <c r="W206" s="430"/>
      <c r="X206" s="430"/>
      <c r="Y206" s="430"/>
      <c r="Z206" s="430"/>
      <c r="AA206" s="430"/>
      <c r="AB206" s="430"/>
      <c r="AC206" s="430"/>
      <c r="AD206" s="430"/>
      <c r="AE206" s="428"/>
      <c r="AF206" s="428"/>
      <c r="AG206" s="430"/>
      <c r="AH206" s="430"/>
      <c r="AI206" s="430"/>
      <c r="AJ206" s="430"/>
      <c r="AK206" s="430"/>
      <c r="AL206" s="430"/>
      <c r="AM206" s="430"/>
      <c r="AN206" s="430"/>
      <c r="AO206" s="430"/>
      <c r="AP206" s="430"/>
      <c r="AQ206" s="430"/>
      <c r="AR206" s="430"/>
      <c r="AS206" s="430"/>
      <c r="AT206" s="430"/>
      <c r="AU206" s="430"/>
      <c r="AV206" s="432" t="s">
        <v>11370</v>
      </c>
    </row>
    <row r="207" s="397" customFormat="1" ht="18" customHeight="1" spans="1:48">
      <c r="A207" s="426">
        <v>45943</v>
      </c>
      <c r="B207" s="427" t="s">
        <v>11596</v>
      </c>
      <c r="C207" s="428" t="s">
        <v>11262</v>
      </c>
      <c r="D207" s="428" t="s">
        <v>6166</v>
      </c>
      <c r="E207" s="428">
        <v>1300</v>
      </c>
      <c r="F207" s="429" t="s">
        <v>11395</v>
      </c>
      <c r="G207" s="428" t="s">
        <v>11373</v>
      </c>
      <c r="H207" s="429" t="s">
        <v>11148</v>
      </c>
      <c r="I207" s="430"/>
      <c r="J207" s="430"/>
      <c r="K207" s="430"/>
      <c r="L207" s="430"/>
      <c r="M207" s="430"/>
      <c r="N207" s="430"/>
      <c r="O207" s="430"/>
      <c r="P207" s="430"/>
      <c r="Q207" s="430"/>
      <c r="R207" s="430"/>
      <c r="S207" s="430"/>
      <c r="T207" s="430"/>
      <c r="U207" s="430"/>
      <c r="V207" s="430"/>
      <c r="W207" s="430"/>
      <c r="X207" s="430">
        <v>1300</v>
      </c>
      <c r="Y207" s="430"/>
      <c r="Z207" s="430"/>
      <c r="AA207" s="430"/>
      <c r="AB207" s="430"/>
      <c r="AC207" s="430"/>
      <c r="AD207" s="430"/>
      <c r="AE207" s="428"/>
      <c r="AF207" s="428"/>
      <c r="AG207" s="430"/>
      <c r="AH207" s="430"/>
      <c r="AI207" s="430"/>
      <c r="AJ207" s="430"/>
      <c r="AK207" s="430"/>
      <c r="AL207" s="430"/>
      <c r="AM207" s="430"/>
      <c r="AN207" s="430"/>
      <c r="AO207" s="430"/>
      <c r="AP207" s="430"/>
      <c r="AQ207" s="430"/>
      <c r="AR207" s="430"/>
      <c r="AS207" s="430"/>
      <c r="AT207" s="430"/>
      <c r="AU207" s="430"/>
      <c r="AV207" s="432" t="s">
        <v>11376</v>
      </c>
    </row>
    <row r="208" s="397" customFormat="1" ht="18" customHeight="1" spans="1:48">
      <c r="A208" s="426">
        <v>45943</v>
      </c>
      <c r="B208" s="427" t="s">
        <v>11597</v>
      </c>
      <c r="C208" s="428" t="s">
        <v>11262</v>
      </c>
      <c r="D208" s="428" t="s">
        <v>6047</v>
      </c>
      <c r="E208" s="428">
        <v>100000</v>
      </c>
      <c r="F208" s="429" t="s">
        <v>11152</v>
      </c>
      <c r="G208" s="428" t="s">
        <v>11153</v>
      </c>
      <c r="H208" s="429" t="s">
        <v>11148</v>
      </c>
      <c r="I208" s="430"/>
      <c r="J208" s="430"/>
      <c r="K208" s="430"/>
      <c r="L208" s="430"/>
      <c r="M208" s="430">
        <v>100000</v>
      </c>
      <c r="N208" s="430"/>
      <c r="O208" s="430"/>
      <c r="P208" s="430"/>
      <c r="Q208" s="430"/>
      <c r="R208" s="430"/>
      <c r="S208" s="430"/>
      <c r="T208" s="430"/>
      <c r="U208" s="430"/>
      <c r="V208" s="430"/>
      <c r="W208" s="430"/>
      <c r="X208" s="430"/>
      <c r="Y208" s="430"/>
      <c r="Z208" s="430"/>
      <c r="AA208" s="430"/>
      <c r="AB208" s="430"/>
      <c r="AC208" s="430"/>
      <c r="AD208" s="430"/>
      <c r="AE208" s="428"/>
      <c r="AF208" s="428"/>
      <c r="AG208" s="430"/>
      <c r="AH208" s="430"/>
      <c r="AI208" s="430"/>
      <c r="AJ208" s="430"/>
      <c r="AK208" s="430"/>
      <c r="AL208" s="430"/>
      <c r="AM208" s="430"/>
      <c r="AN208" s="430"/>
      <c r="AO208" s="430"/>
      <c r="AP208" s="430"/>
      <c r="AQ208" s="430"/>
      <c r="AR208" s="430"/>
      <c r="AS208" s="430"/>
      <c r="AT208" s="430"/>
      <c r="AU208" s="430"/>
      <c r="AV208" s="432" t="s">
        <v>11383</v>
      </c>
    </row>
    <row r="209" s="397" customFormat="1" ht="18" customHeight="1" spans="1:48">
      <c r="A209" s="426">
        <v>45943</v>
      </c>
      <c r="B209" s="427" t="s">
        <v>11598</v>
      </c>
      <c r="C209" s="428" t="s">
        <v>11262</v>
      </c>
      <c r="D209" s="428" t="s">
        <v>6093</v>
      </c>
      <c r="E209" s="428">
        <v>4500</v>
      </c>
      <c r="F209" s="429" t="s">
        <v>11402</v>
      </c>
      <c r="G209" s="428" t="s">
        <v>11153</v>
      </c>
      <c r="H209" s="429" t="s">
        <v>11148</v>
      </c>
      <c r="I209" s="430"/>
      <c r="J209" s="430"/>
      <c r="K209" s="430"/>
      <c r="L209" s="430"/>
      <c r="M209" s="430"/>
      <c r="N209" s="430"/>
      <c r="O209" s="430"/>
      <c r="P209" s="430"/>
      <c r="Q209" s="430"/>
      <c r="R209" s="430"/>
      <c r="S209" s="430"/>
      <c r="T209" s="430"/>
      <c r="U209" s="430"/>
      <c r="V209" s="430"/>
      <c r="W209" s="430"/>
      <c r="X209" s="430"/>
      <c r="Y209" s="430">
        <v>4500</v>
      </c>
      <c r="Z209" s="430"/>
      <c r="AA209" s="430"/>
      <c r="AB209" s="430"/>
      <c r="AC209" s="430"/>
      <c r="AD209" s="430"/>
      <c r="AE209" s="428"/>
      <c r="AF209" s="428"/>
      <c r="AG209" s="430"/>
      <c r="AH209" s="430"/>
      <c r="AI209" s="430"/>
      <c r="AJ209" s="430"/>
      <c r="AK209" s="430"/>
      <c r="AL209" s="430"/>
      <c r="AM209" s="430"/>
      <c r="AN209" s="430"/>
      <c r="AO209" s="430"/>
      <c r="AP209" s="430"/>
      <c r="AQ209" s="430"/>
      <c r="AR209" s="430"/>
      <c r="AS209" s="430"/>
      <c r="AT209" s="430"/>
      <c r="AU209" s="430"/>
      <c r="AV209" s="432" t="s">
        <v>11385</v>
      </c>
    </row>
    <row r="210" s="397" customFormat="1" ht="18" customHeight="1" spans="1:48">
      <c r="A210" s="426">
        <v>45943</v>
      </c>
      <c r="B210" s="427" t="s">
        <v>11599</v>
      </c>
      <c r="C210" s="429" t="s">
        <v>11190</v>
      </c>
      <c r="D210" s="428">
        <v>77731</v>
      </c>
      <c r="E210" s="428">
        <v>10000</v>
      </c>
      <c r="F210" s="429" t="s">
        <v>11404</v>
      </c>
      <c r="G210" s="428" t="s">
        <v>11271</v>
      </c>
      <c r="H210" s="429" t="s">
        <v>73</v>
      </c>
      <c r="I210" s="430"/>
      <c r="J210" s="430"/>
      <c r="K210" s="430"/>
      <c r="L210" s="430"/>
      <c r="M210" s="430"/>
      <c r="N210" s="430"/>
      <c r="O210" s="430"/>
      <c r="P210" s="430"/>
      <c r="Q210" s="430"/>
      <c r="R210" s="430"/>
      <c r="S210" s="430"/>
      <c r="T210" s="430"/>
      <c r="U210" s="430"/>
      <c r="V210" s="430"/>
      <c r="W210" s="430"/>
      <c r="X210" s="430"/>
      <c r="Y210" s="430"/>
      <c r="Z210" s="430"/>
      <c r="AA210" s="430"/>
      <c r="AB210" s="430"/>
      <c r="AC210" s="428"/>
      <c r="AD210" s="428"/>
      <c r="AE210" s="430"/>
      <c r="AF210" s="430"/>
      <c r="AG210" s="430"/>
      <c r="AH210" s="430"/>
      <c r="AI210" s="430"/>
      <c r="AJ210" s="430"/>
      <c r="AK210" s="430"/>
      <c r="AL210" s="430"/>
      <c r="AM210" s="430"/>
      <c r="AN210" s="430"/>
      <c r="AO210" s="430"/>
      <c r="AP210" s="430"/>
      <c r="AQ210" s="430"/>
      <c r="AR210" s="430"/>
      <c r="AS210" s="430">
        <v>10000</v>
      </c>
      <c r="AT210" s="430"/>
      <c r="AU210" s="430"/>
      <c r="AV210" s="432" t="s">
        <v>11600</v>
      </c>
    </row>
    <row r="211" s="397" customFormat="1" ht="18" customHeight="1" spans="1:48">
      <c r="A211" s="426">
        <v>45943</v>
      </c>
      <c r="B211" s="427" t="s">
        <v>11601</v>
      </c>
      <c r="C211" s="429" t="s">
        <v>11190</v>
      </c>
      <c r="D211" s="428">
        <v>77731</v>
      </c>
      <c r="E211" s="428">
        <v>5000</v>
      </c>
      <c r="F211" s="429" t="s">
        <v>11407</v>
      </c>
      <c r="G211" s="428" t="s">
        <v>11153</v>
      </c>
      <c r="H211" s="429" t="s">
        <v>11148</v>
      </c>
      <c r="I211" s="430"/>
      <c r="J211" s="430"/>
      <c r="K211" s="430"/>
      <c r="L211" s="430"/>
      <c r="M211" s="430"/>
      <c r="N211" s="430"/>
      <c r="O211" s="430"/>
      <c r="P211" s="430"/>
      <c r="Q211" s="430"/>
      <c r="R211" s="430"/>
      <c r="S211" s="430"/>
      <c r="T211" s="430"/>
      <c r="U211" s="430"/>
      <c r="V211" s="430"/>
      <c r="W211" s="430"/>
      <c r="X211" s="430"/>
      <c r="Y211" s="430"/>
      <c r="Z211" s="430"/>
      <c r="AA211" s="430"/>
      <c r="AB211" s="430"/>
      <c r="AC211" s="428"/>
      <c r="AD211" s="428"/>
      <c r="AE211" s="430"/>
      <c r="AF211" s="430"/>
      <c r="AG211" s="430"/>
      <c r="AH211" s="430"/>
      <c r="AI211" s="430"/>
      <c r="AJ211" s="430"/>
      <c r="AK211" s="430"/>
      <c r="AL211" s="430"/>
      <c r="AM211" s="430"/>
      <c r="AN211" s="430"/>
      <c r="AO211" s="430"/>
      <c r="AP211" s="430"/>
      <c r="AQ211" s="430"/>
      <c r="AR211" s="430"/>
      <c r="AS211" s="430"/>
      <c r="AT211" s="430">
        <v>5000</v>
      </c>
      <c r="AU211" s="430"/>
      <c r="AV211" s="432" t="s">
        <v>11600</v>
      </c>
    </row>
    <row r="212" s="397" customFormat="1" ht="18" customHeight="1" spans="1:48">
      <c r="A212" s="426">
        <v>45943</v>
      </c>
      <c r="B212" s="427" t="s">
        <v>11602</v>
      </c>
      <c r="C212" s="429" t="s">
        <v>11190</v>
      </c>
      <c r="D212" s="428">
        <v>77731</v>
      </c>
      <c r="E212" s="428">
        <v>5000</v>
      </c>
      <c r="F212" s="429" t="s">
        <v>11409</v>
      </c>
      <c r="G212" s="428" t="s">
        <v>11271</v>
      </c>
      <c r="H212" s="429" t="s">
        <v>73</v>
      </c>
      <c r="I212" s="430"/>
      <c r="J212" s="430"/>
      <c r="K212" s="430"/>
      <c r="L212" s="430"/>
      <c r="M212" s="430"/>
      <c r="N212" s="430"/>
      <c r="O212" s="430"/>
      <c r="P212" s="430"/>
      <c r="Q212" s="430"/>
      <c r="R212" s="430"/>
      <c r="S212" s="430"/>
      <c r="T212" s="430"/>
      <c r="U212" s="430"/>
      <c r="V212" s="430"/>
      <c r="W212" s="430"/>
      <c r="X212" s="430"/>
      <c r="Y212" s="430"/>
      <c r="Z212" s="430"/>
      <c r="AA212" s="430"/>
      <c r="AB212" s="430"/>
      <c r="AC212" s="428"/>
      <c r="AD212" s="428"/>
      <c r="AE212" s="430"/>
      <c r="AF212" s="430"/>
      <c r="AG212" s="430"/>
      <c r="AH212" s="430"/>
      <c r="AI212" s="430"/>
      <c r="AJ212" s="430"/>
      <c r="AK212" s="430"/>
      <c r="AL212" s="430"/>
      <c r="AM212" s="430"/>
      <c r="AN212" s="430"/>
      <c r="AO212" s="430"/>
      <c r="AP212" s="430"/>
      <c r="AQ212" s="430"/>
      <c r="AR212" s="430"/>
      <c r="AS212" s="430"/>
      <c r="AT212" s="430"/>
      <c r="AU212" s="430">
        <v>5000</v>
      </c>
      <c r="AV212" s="432" t="s">
        <v>11600</v>
      </c>
    </row>
    <row r="213" s="398" customFormat="1" ht="19" customHeight="1" spans="1:48">
      <c r="A213" s="433">
        <v>45960</v>
      </c>
      <c r="B213" s="434" t="s">
        <v>11603</v>
      </c>
      <c r="C213" s="435" t="s">
        <v>11194</v>
      </c>
      <c r="D213" s="435" t="s">
        <v>11416</v>
      </c>
      <c r="E213" s="435">
        <v>3720</v>
      </c>
      <c r="F213" s="436" t="s">
        <v>11417</v>
      </c>
      <c r="G213" s="435" t="s">
        <v>11147</v>
      </c>
      <c r="H213" s="436" t="s">
        <v>11148</v>
      </c>
      <c r="I213" s="437"/>
      <c r="J213" s="437"/>
      <c r="K213" s="437"/>
      <c r="L213" s="437"/>
      <c r="M213" s="437"/>
      <c r="N213" s="437"/>
      <c r="O213" s="437"/>
      <c r="P213" s="437"/>
      <c r="Q213" s="437"/>
      <c r="R213" s="437"/>
      <c r="S213" s="437"/>
      <c r="T213" s="437"/>
      <c r="U213" s="437"/>
      <c r="V213" s="437"/>
      <c r="W213" s="437"/>
      <c r="X213" s="437"/>
      <c r="Y213" s="437"/>
      <c r="Z213" s="437"/>
      <c r="AA213" s="437"/>
      <c r="AB213" s="437"/>
      <c r="AC213" s="437">
        <v>3720</v>
      </c>
      <c r="AD213" s="437"/>
      <c r="AE213" s="435"/>
      <c r="AF213" s="435"/>
      <c r="AG213" s="437"/>
      <c r="AH213" s="437"/>
      <c r="AI213" s="437"/>
      <c r="AJ213" s="437"/>
      <c r="AK213" s="437"/>
      <c r="AL213" s="437"/>
      <c r="AM213" s="437"/>
      <c r="AN213" s="437"/>
      <c r="AO213" s="437"/>
      <c r="AP213" s="437"/>
      <c r="AQ213" s="437"/>
      <c r="AR213" s="437"/>
      <c r="AS213" s="437"/>
      <c r="AT213" s="437"/>
      <c r="AU213" s="437"/>
      <c r="AV213" s="438" t="s">
        <v>11604</v>
      </c>
    </row>
    <row r="214" s="397" customFormat="1" ht="18" customHeight="1" spans="1:48">
      <c r="A214" s="426">
        <v>45951</v>
      </c>
      <c r="B214" s="427" t="s">
        <v>11605</v>
      </c>
      <c r="C214" s="429" t="s">
        <v>11190</v>
      </c>
      <c r="D214" s="428">
        <v>77731</v>
      </c>
      <c r="E214" s="428">
        <v>10000</v>
      </c>
      <c r="F214" s="429" t="s">
        <v>11404</v>
      </c>
      <c r="G214" s="428" t="s">
        <v>11271</v>
      </c>
      <c r="H214" s="429" t="s">
        <v>73</v>
      </c>
      <c r="I214" s="430"/>
      <c r="J214" s="430"/>
      <c r="K214" s="430"/>
      <c r="L214" s="430"/>
      <c r="M214" s="430"/>
      <c r="N214" s="430"/>
      <c r="O214" s="430"/>
      <c r="P214" s="430"/>
      <c r="Q214" s="430"/>
      <c r="R214" s="430"/>
      <c r="S214" s="430"/>
      <c r="T214" s="430"/>
      <c r="U214" s="430"/>
      <c r="V214" s="430"/>
      <c r="W214" s="430"/>
      <c r="X214" s="430"/>
      <c r="Y214" s="430"/>
      <c r="Z214" s="430"/>
      <c r="AA214" s="430"/>
      <c r="AB214" s="430"/>
      <c r="AC214" s="428"/>
      <c r="AD214" s="428"/>
      <c r="AE214" s="430"/>
      <c r="AF214" s="430"/>
      <c r="AG214" s="430"/>
      <c r="AH214" s="430"/>
      <c r="AI214" s="430"/>
      <c r="AJ214" s="430"/>
      <c r="AK214" s="430"/>
      <c r="AL214" s="430"/>
      <c r="AM214" s="430"/>
      <c r="AN214" s="430"/>
      <c r="AO214" s="430"/>
      <c r="AP214" s="430"/>
      <c r="AQ214" s="430"/>
      <c r="AR214" s="430"/>
      <c r="AS214" s="430">
        <v>10000</v>
      </c>
      <c r="AT214" s="430"/>
      <c r="AU214" s="430"/>
      <c r="AV214" s="432" t="s">
        <v>11606</v>
      </c>
    </row>
    <row r="215" s="397" customFormat="1" ht="18" customHeight="1" spans="1:48">
      <c r="A215" s="426">
        <v>45951</v>
      </c>
      <c r="B215" s="427" t="s">
        <v>11607</v>
      </c>
      <c r="C215" s="429" t="s">
        <v>11190</v>
      </c>
      <c r="D215" s="428">
        <v>77731</v>
      </c>
      <c r="E215" s="428">
        <v>5000</v>
      </c>
      <c r="F215" s="429" t="s">
        <v>11407</v>
      </c>
      <c r="G215" s="428" t="s">
        <v>11153</v>
      </c>
      <c r="H215" s="429" t="s">
        <v>11148</v>
      </c>
      <c r="I215" s="430"/>
      <c r="J215" s="430"/>
      <c r="K215" s="430"/>
      <c r="L215" s="430"/>
      <c r="M215" s="430"/>
      <c r="N215" s="430"/>
      <c r="O215" s="430"/>
      <c r="P215" s="430"/>
      <c r="Q215" s="430"/>
      <c r="R215" s="430"/>
      <c r="S215" s="430"/>
      <c r="T215" s="430"/>
      <c r="U215" s="430"/>
      <c r="V215" s="430"/>
      <c r="W215" s="430"/>
      <c r="X215" s="430"/>
      <c r="Y215" s="430"/>
      <c r="Z215" s="430"/>
      <c r="AA215" s="430"/>
      <c r="AB215" s="430"/>
      <c r="AC215" s="428"/>
      <c r="AD215" s="428"/>
      <c r="AE215" s="430"/>
      <c r="AF215" s="430"/>
      <c r="AG215" s="430"/>
      <c r="AH215" s="430"/>
      <c r="AI215" s="430"/>
      <c r="AJ215" s="430"/>
      <c r="AK215" s="430"/>
      <c r="AL215" s="430"/>
      <c r="AM215" s="430"/>
      <c r="AN215" s="430"/>
      <c r="AO215" s="430"/>
      <c r="AP215" s="430"/>
      <c r="AQ215" s="430"/>
      <c r="AR215" s="430"/>
      <c r="AS215" s="430"/>
      <c r="AT215" s="430">
        <v>5000</v>
      </c>
      <c r="AU215" s="430"/>
      <c r="AV215" s="432" t="s">
        <v>11606</v>
      </c>
    </row>
    <row r="216" s="397" customFormat="1" ht="18" customHeight="1" spans="1:48">
      <c r="A216" s="426">
        <v>45951</v>
      </c>
      <c r="B216" s="427" t="s">
        <v>11608</v>
      </c>
      <c r="C216" s="429" t="s">
        <v>11190</v>
      </c>
      <c r="D216" s="428">
        <v>77731</v>
      </c>
      <c r="E216" s="428">
        <v>5000</v>
      </c>
      <c r="F216" s="429" t="s">
        <v>11409</v>
      </c>
      <c r="G216" s="428" t="s">
        <v>11271</v>
      </c>
      <c r="H216" s="429" t="s">
        <v>73</v>
      </c>
      <c r="I216" s="430"/>
      <c r="J216" s="430"/>
      <c r="K216" s="430"/>
      <c r="L216" s="430"/>
      <c r="M216" s="430"/>
      <c r="N216" s="430"/>
      <c r="O216" s="430"/>
      <c r="P216" s="430"/>
      <c r="Q216" s="430"/>
      <c r="R216" s="430"/>
      <c r="S216" s="430"/>
      <c r="T216" s="430"/>
      <c r="U216" s="430"/>
      <c r="V216" s="430"/>
      <c r="W216" s="430"/>
      <c r="X216" s="430"/>
      <c r="Y216" s="430"/>
      <c r="Z216" s="430"/>
      <c r="AA216" s="430"/>
      <c r="AB216" s="430"/>
      <c r="AC216" s="428"/>
      <c r="AD216" s="428"/>
      <c r="AE216" s="430"/>
      <c r="AF216" s="430"/>
      <c r="AG216" s="430"/>
      <c r="AH216" s="430"/>
      <c r="AI216" s="430"/>
      <c r="AJ216" s="430"/>
      <c r="AK216" s="430"/>
      <c r="AL216" s="430"/>
      <c r="AM216" s="430"/>
      <c r="AN216" s="430"/>
      <c r="AO216" s="430"/>
      <c r="AP216" s="430"/>
      <c r="AQ216" s="430"/>
      <c r="AR216" s="430"/>
      <c r="AS216" s="430"/>
      <c r="AT216" s="430"/>
      <c r="AU216" s="430">
        <v>5000</v>
      </c>
      <c r="AV216" s="432" t="s">
        <v>11606</v>
      </c>
    </row>
    <row r="217" s="397" customFormat="1" ht="18" customHeight="1" spans="1:48">
      <c r="A217" s="426">
        <v>45951</v>
      </c>
      <c r="B217" s="427" t="s">
        <v>11609</v>
      </c>
      <c r="C217" s="429" t="s">
        <v>11190</v>
      </c>
      <c r="D217" s="428">
        <v>77785</v>
      </c>
      <c r="E217" s="428">
        <v>1000</v>
      </c>
      <c r="F217" s="429" t="s">
        <v>11195</v>
      </c>
      <c r="G217" s="428" t="s">
        <v>11271</v>
      </c>
      <c r="H217" s="429" t="s">
        <v>73</v>
      </c>
      <c r="I217" s="430"/>
      <c r="J217" s="430"/>
      <c r="K217" s="430"/>
      <c r="L217" s="430"/>
      <c r="M217" s="430"/>
      <c r="N217" s="430"/>
      <c r="O217" s="430"/>
      <c r="P217" s="430"/>
      <c r="Q217" s="430"/>
      <c r="R217" s="430"/>
      <c r="S217" s="430"/>
      <c r="T217" s="430"/>
      <c r="U217" s="430"/>
      <c r="V217" s="430"/>
      <c r="W217" s="430"/>
      <c r="X217" s="430"/>
      <c r="Y217" s="430"/>
      <c r="Z217" s="430"/>
      <c r="AA217" s="430"/>
      <c r="AB217" s="430"/>
      <c r="AC217" s="428"/>
      <c r="AD217" s="428"/>
      <c r="AE217" s="430"/>
      <c r="AF217" s="430"/>
      <c r="AG217" s="430"/>
      <c r="AH217" s="430"/>
      <c r="AI217" s="430"/>
      <c r="AJ217" s="430">
        <v>1000</v>
      </c>
      <c r="AK217" s="430"/>
      <c r="AL217" s="430"/>
      <c r="AM217" s="430"/>
      <c r="AN217" s="430"/>
      <c r="AO217" s="430"/>
      <c r="AP217" s="430"/>
      <c r="AQ217" s="430"/>
      <c r="AR217" s="430"/>
      <c r="AS217" s="430"/>
      <c r="AT217" s="430"/>
      <c r="AU217" s="430"/>
      <c r="AV217" s="432" t="s">
        <v>11610</v>
      </c>
    </row>
    <row r="218" s="397" customFormat="1" ht="18" customHeight="1" spans="1:48">
      <c r="A218" s="426">
        <v>45953</v>
      </c>
      <c r="B218" s="427">
        <v>1000033303</v>
      </c>
      <c r="C218" s="429" t="s">
        <v>11183</v>
      </c>
      <c r="D218" s="428" t="s">
        <v>6084</v>
      </c>
      <c r="E218" s="428">
        <v>500000</v>
      </c>
      <c r="F218" s="429" t="s">
        <v>11146</v>
      </c>
      <c r="G218" s="428" t="s">
        <v>11147</v>
      </c>
      <c r="H218" s="429" t="s">
        <v>11148</v>
      </c>
      <c r="I218" s="430">
        <v>500000</v>
      </c>
      <c r="J218" s="430"/>
      <c r="K218" s="430"/>
      <c r="L218" s="430"/>
      <c r="M218" s="430"/>
      <c r="N218" s="430"/>
      <c r="O218" s="430"/>
      <c r="P218" s="430"/>
      <c r="Q218" s="430"/>
      <c r="R218" s="430"/>
      <c r="S218" s="430"/>
      <c r="T218" s="430"/>
      <c r="U218" s="430"/>
      <c r="V218" s="430"/>
      <c r="W218" s="430"/>
      <c r="X218" s="430"/>
      <c r="Y218" s="430"/>
      <c r="Z218" s="430"/>
      <c r="AA218" s="430"/>
      <c r="AB218" s="430"/>
      <c r="AC218" s="428"/>
      <c r="AD218" s="428"/>
      <c r="AE218" s="430"/>
      <c r="AF218" s="430"/>
      <c r="AG218" s="430"/>
      <c r="AH218" s="430"/>
      <c r="AI218" s="430"/>
      <c r="AJ218" s="430"/>
      <c r="AK218" s="430"/>
      <c r="AL218" s="430"/>
      <c r="AM218" s="430"/>
      <c r="AN218" s="430"/>
      <c r="AO218" s="430"/>
      <c r="AP218" s="430"/>
      <c r="AQ218" s="430"/>
      <c r="AR218" s="430"/>
      <c r="AS218" s="430"/>
      <c r="AT218" s="430"/>
      <c r="AU218" s="430"/>
      <c r="AV218" s="432" t="s">
        <v>11370</v>
      </c>
    </row>
    <row r="219" s="397" customFormat="1" ht="18" customHeight="1" spans="1:48">
      <c r="A219" s="426">
        <v>45953</v>
      </c>
      <c r="B219" s="427">
        <v>1000033304</v>
      </c>
      <c r="C219" s="429" t="s">
        <v>11183</v>
      </c>
      <c r="D219" s="428" t="s">
        <v>6084</v>
      </c>
      <c r="E219" s="428">
        <v>20000</v>
      </c>
      <c r="F219" s="429" t="s">
        <v>11372</v>
      </c>
      <c r="G219" s="428" t="s">
        <v>11373</v>
      </c>
      <c r="H219" s="429" t="s">
        <v>11148</v>
      </c>
      <c r="I219" s="430"/>
      <c r="J219" s="430">
        <v>20000</v>
      </c>
      <c r="K219" s="430"/>
      <c r="L219" s="430"/>
      <c r="M219" s="430"/>
      <c r="N219" s="430"/>
      <c r="O219" s="430"/>
      <c r="P219" s="430"/>
      <c r="Q219" s="430"/>
      <c r="R219" s="430"/>
      <c r="S219" s="430"/>
      <c r="T219" s="430"/>
      <c r="U219" s="430"/>
      <c r="V219" s="430"/>
      <c r="W219" s="430"/>
      <c r="X219" s="430"/>
      <c r="Y219" s="430"/>
      <c r="Z219" s="430"/>
      <c r="AA219" s="430"/>
      <c r="AB219" s="430"/>
      <c r="AC219" s="428"/>
      <c r="AD219" s="428"/>
      <c r="AE219" s="430"/>
      <c r="AF219" s="430"/>
      <c r="AG219" s="430"/>
      <c r="AH219" s="430"/>
      <c r="AI219" s="430"/>
      <c r="AJ219" s="430"/>
      <c r="AK219" s="430"/>
      <c r="AL219" s="430"/>
      <c r="AM219" s="430"/>
      <c r="AN219" s="430"/>
      <c r="AO219" s="430"/>
      <c r="AP219" s="430"/>
      <c r="AQ219" s="430"/>
      <c r="AR219" s="430"/>
      <c r="AS219" s="430"/>
      <c r="AT219" s="430"/>
      <c r="AU219" s="430"/>
      <c r="AV219" s="432" t="s">
        <v>11370</v>
      </c>
    </row>
    <row r="220" s="397" customFormat="1" ht="18" customHeight="1" spans="1:48">
      <c r="A220" s="426">
        <v>45953</v>
      </c>
      <c r="B220" s="427">
        <v>1000033305</v>
      </c>
      <c r="C220" s="429" t="s">
        <v>11183</v>
      </c>
      <c r="D220" s="428" t="s">
        <v>6084</v>
      </c>
      <c r="E220" s="428">
        <v>600000</v>
      </c>
      <c r="F220" s="429" t="s">
        <v>11391</v>
      </c>
      <c r="G220" s="428" t="s">
        <v>11373</v>
      </c>
      <c r="H220" s="429" t="s">
        <v>11220</v>
      </c>
      <c r="I220" s="430"/>
      <c r="J220" s="430"/>
      <c r="K220" s="430"/>
      <c r="L220" s="430"/>
      <c r="M220" s="430"/>
      <c r="N220" s="430">
        <v>600000</v>
      </c>
      <c r="O220" s="430"/>
      <c r="P220" s="430"/>
      <c r="Q220" s="430"/>
      <c r="R220" s="430"/>
      <c r="S220" s="430"/>
      <c r="T220" s="430"/>
      <c r="U220" s="430"/>
      <c r="V220" s="430"/>
      <c r="W220" s="430"/>
      <c r="X220" s="430"/>
      <c r="Y220" s="430"/>
      <c r="Z220" s="430"/>
      <c r="AA220" s="430"/>
      <c r="AB220" s="430"/>
      <c r="AC220" s="428"/>
      <c r="AD220" s="428"/>
      <c r="AE220" s="430"/>
      <c r="AF220" s="430"/>
      <c r="AG220" s="430"/>
      <c r="AH220" s="430"/>
      <c r="AI220" s="430"/>
      <c r="AJ220" s="430"/>
      <c r="AK220" s="430"/>
      <c r="AL220" s="430"/>
      <c r="AM220" s="430"/>
      <c r="AN220" s="430"/>
      <c r="AO220" s="430"/>
      <c r="AP220" s="430"/>
      <c r="AQ220" s="430"/>
      <c r="AR220" s="430"/>
      <c r="AS220" s="430"/>
      <c r="AT220" s="430"/>
      <c r="AU220" s="430"/>
      <c r="AV220" s="432" t="s">
        <v>11509</v>
      </c>
    </row>
    <row r="221" s="397" customFormat="1" ht="18" customHeight="1" spans="1:48">
      <c r="A221" s="426">
        <v>45953</v>
      </c>
      <c r="B221" s="427">
        <v>1000033306</v>
      </c>
      <c r="C221" s="429" t="s">
        <v>11183</v>
      </c>
      <c r="D221" s="428" t="s">
        <v>11378</v>
      </c>
      <c r="E221" s="428">
        <v>2000</v>
      </c>
      <c r="F221" s="429" t="s">
        <v>11379</v>
      </c>
      <c r="G221" s="428" t="s">
        <v>11147</v>
      </c>
      <c r="H221" s="429" t="s">
        <v>11148</v>
      </c>
      <c r="I221" s="430"/>
      <c r="J221" s="430"/>
      <c r="K221" s="430"/>
      <c r="L221" s="430"/>
      <c r="M221" s="430"/>
      <c r="N221" s="430"/>
      <c r="O221" s="430"/>
      <c r="P221" s="430"/>
      <c r="Q221" s="430"/>
      <c r="R221" s="430"/>
      <c r="S221" s="430"/>
      <c r="T221" s="430"/>
      <c r="U221" s="430"/>
      <c r="V221" s="430"/>
      <c r="W221" s="430"/>
      <c r="X221" s="430"/>
      <c r="Y221" s="430"/>
      <c r="Z221" s="430">
        <v>2000</v>
      </c>
      <c r="AA221" s="430"/>
      <c r="AB221" s="430"/>
      <c r="AC221" s="428"/>
      <c r="AD221" s="428"/>
      <c r="AE221" s="430"/>
      <c r="AF221" s="430"/>
      <c r="AG221" s="430"/>
      <c r="AH221" s="430"/>
      <c r="AI221" s="430"/>
      <c r="AJ221" s="430"/>
      <c r="AK221" s="430"/>
      <c r="AL221" s="430"/>
      <c r="AM221" s="430"/>
      <c r="AN221" s="430"/>
      <c r="AO221" s="430"/>
      <c r="AP221" s="430"/>
      <c r="AQ221" s="430"/>
      <c r="AR221" s="430"/>
      <c r="AS221" s="430"/>
      <c r="AT221" s="430"/>
      <c r="AU221" s="430"/>
      <c r="AV221" s="432" t="s">
        <v>11376</v>
      </c>
    </row>
    <row r="222" s="397" customFormat="1" ht="18" customHeight="1" spans="1:48">
      <c r="A222" s="426">
        <v>45953</v>
      </c>
      <c r="B222" s="427">
        <v>1000033307</v>
      </c>
      <c r="C222" s="429" t="s">
        <v>11183</v>
      </c>
      <c r="D222" s="428" t="s">
        <v>6166</v>
      </c>
      <c r="E222" s="428">
        <v>1000</v>
      </c>
      <c r="F222" s="429" t="s">
        <v>11427</v>
      </c>
      <c r="G222" s="428" t="s">
        <v>11147</v>
      </c>
      <c r="H222" s="429" t="s">
        <v>11148</v>
      </c>
      <c r="I222" s="430"/>
      <c r="J222" s="430"/>
      <c r="K222" s="430"/>
      <c r="L222" s="430"/>
      <c r="M222" s="430"/>
      <c r="N222" s="430"/>
      <c r="O222" s="430"/>
      <c r="P222" s="430"/>
      <c r="Q222" s="430"/>
      <c r="R222" s="430"/>
      <c r="S222" s="430"/>
      <c r="T222" s="430"/>
      <c r="U222" s="430"/>
      <c r="V222" s="430"/>
      <c r="W222" s="430">
        <v>1000</v>
      </c>
      <c r="X222" s="430"/>
      <c r="Y222" s="430"/>
      <c r="Z222" s="430"/>
      <c r="AA222" s="430"/>
      <c r="AB222" s="430"/>
      <c r="AC222" s="428"/>
      <c r="AD222" s="428"/>
      <c r="AE222" s="430"/>
      <c r="AF222" s="430"/>
      <c r="AG222" s="430"/>
      <c r="AH222" s="430"/>
      <c r="AI222" s="430"/>
      <c r="AJ222" s="430"/>
      <c r="AK222" s="430"/>
      <c r="AL222" s="430"/>
      <c r="AM222" s="430"/>
      <c r="AN222" s="430"/>
      <c r="AO222" s="430"/>
      <c r="AP222" s="430"/>
      <c r="AQ222" s="430"/>
      <c r="AR222" s="430"/>
      <c r="AS222" s="430"/>
      <c r="AT222" s="430"/>
      <c r="AU222" s="430"/>
      <c r="AV222" s="432" t="s">
        <v>11376</v>
      </c>
    </row>
    <row r="223" s="397" customFormat="1" ht="18" customHeight="1" spans="1:48">
      <c r="A223" s="426">
        <v>45953</v>
      </c>
      <c r="B223" s="427">
        <v>1000033311</v>
      </c>
      <c r="C223" s="429" t="s">
        <v>11183</v>
      </c>
      <c r="D223" s="428" t="s">
        <v>6047</v>
      </c>
      <c r="E223" s="428">
        <v>50000</v>
      </c>
      <c r="F223" s="429" t="s">
        <v>11152</v>
      </c>
      <c r="G223" s="428" t="s">
        <v>11153</v>
      </c>
      <c r="H223" s="429" t="s">
        <v>11148</v>
      </c>
      <c r="I223" s="430"/>
      <c r="J223" s="430"/>
      <c r="K223" s="430"/>
      <c r="L223" s="430"/>
      <c r="M223" s="430">
        <v>50000</v>
      </c>
      <c r="N223" s="430"/>
      <c r="O223" s="430"/>
      <c r="P223" s="430"/>
      <c r="Q223" s="430"/>
      <c r="R223" s="430"/>
      <c r="S223" s="430"/>
      <c r="T223" s="430"/>
      <c r="U223" s="430"/>
      <c r="V223" s="430"/>
      <c r="W223" s="430"/>
      <c r="X223" s="430"/>
      <c r="Y223" s="430"/>
      <c r="Z223" s="430"/>
      <c r="AA223" s="430"/>
      <c r="AB223" s="430"/>
      <c r="AC223" s="428"/>
      <c r="AD223" s="428"/>
      <c r="AE223" s="430"/>
      <c r="AF223" s="430"/>
      <c r="AG223" s="430"/>
      <c r="AH223" s="430"/>
      <c r="AI223" s="430"/>
      <c r="AJ223" s="430"/>
      <c r="AK223" s="430"/>
      <c r="AL223" s="430"/>
      <c r="AM223" s="430"/>
      <c r="AN223" s="430"/>
      <c r="AO223" s="430"/>
      <c r="AP223" s="430"/>
      <c r="AQ223" s="430"/>
      <c r="AR223" s="430"/>
      <c r="AS223" s="430"/>
      <c r="AT223" s="430"/>
      <c r="AU223" s="430"/>
      <c r="AV223" s="432" t="s">
        <v>11383</v>
      </c>
    </row>
    <row r="224" s="397" customFormat="1" ht="18" customHeight="1" spans="1:48">
      <c r="A224" s="426">
        <v>45953</v>
      </c>
      <c r="B224" s="427">
        <v>1000033312</v>
      </c>
      <c r="C224" s="429" t="s">
        <v>11183</v>
      </c>
      <c r="D224" s="428" t="s">
        <v>6093</v>
      </c>
      <c r="E224" s="428">
        <v>2500</v>
      </c>
      <c r="F224" s="429" t="s">
        <v>11402</v>
      </c>
      <c r="G224" s="428" t="s">
        <v>11153</v>
      </c>
      <c r="H224" s="429" t="s">
        <v>11148</v>
      </c>
      <c r="I224" s="430"/>
      <c r="J224" s="430"/>
      <c r="K224" s="430"/>
      <c r="L224" s="430"/>
      <c r="M224" s="430"/>
      <c r="N224" s="430"/>
      <c r="O224" s="430"/>
      <c r="P224" s="430"/>
      <c r="Q224" s="430"/>
      <c r="R224" s="430"/>
      <c r="S224" s="430"/>
      <c r="T224" s="430"/>
      <c r="U224" s="430"/>
      <c r="V224" s="430"/>
      <c r="W224" s="430"/>
      <c r="X224" s="430"/>
      <c r="Y224" s="430">
        <v>2500</v>
      </c>
      <c r="Z224" s="430"/>
      <c r="AA224" s="430"/>
      <c r="AB224" s="430"/>
      <c r="AC224" s="428"/>
      <c r="AD224" s="428"/>
      <c r="AE224" s="430"/>
      <c r="AF224" s="430"/>
      <c r="AG224" s="430"/>
      <c r="AH224" s="430"/>
      <c r="AI224" s="430"/>
      <c r="AJ224" s="430"/>
      <c r="AK224" s="430"/>
      <c r="AL224" s="430"/>
      <c r="AM224" s="430"/>
      <c r="AN224" s="430"/>
      <c r="AO224" s="430"/>
      <c r="AP224" s="430"/>
      <c r="AQ224" s="430"/>
      <c r="AR224" s="430"/>
      <c r="AS224" s="430"/>
      <c r="AT224" s="430"/>
      <c r="AU224" s="430"/>
      <c r="AV224" s="432" t="s">
        <v>11385</v>
      </c>
    </row>
    <row r="225" s="397" customFormat="1" ht="18" customHeight="1" spans="1:48">
      <c r="A225" s="426">
        <v>45953</v>
      </c>
      <c r="B225" s="427" t="s">
        <v>11611</v>
      </c>
      <c r="C225" s="429" t="s">
        <v>11298</v>
      </c>
      <c r="D225" s="428">
        <v>77785</v>
      </c>
      <c r="E225" s="428">
        <v>9464</v>
      </c>
      <c r="F225" s="429" t="s">
        <v>11612</v>
      </c>
      <c r="G225" s="428" t="s">
        <v>11147</v>
      </c>
      <c r="H225" s="429" t="s">
        <v>73</v>
      </c>
      <c r="I225" s="430"/>
      <c r="J225" s="430"/>
      <c r="K225" s="430"/>
      <c r="L225" s="430"/>
      <c r="M225" s="430"/>
      <c r="N225" s="430"/>
      <c r="O225" s="430"/>
      <c r="P225" s="430"/>
      <c r="Q225" s="430"/>
      <c r="R225" s="430"/>
      <c r="S225" s="430"/>
      <c r="T225" s="430"/>
      <c r="U225" s="430"/>
      <c r="V225" s="430"/>
      <c r="W225" s="430"/>
      <c r="X225" s="430"/>
      <c r="Y225" s="430"/>
      <c r="Z225" s="430"/>
      <c r="AA225" s="430"/>
      <c r="AB225" s="430"/>
      <c r="AC225" s="428"/>
      <c r="AD225" s="428"/>
      <c r="AE225" s="430"/>
      <c r="AF225" s="430"/>
      <c r="AG225" s="430"/>
      <c r="AH225" s="430"/>
      <c r="AI225" s="430"/>
      <c r="AJ225" s="430">
        <v>9464</v>
      </c>
      <c r="AK225" s="430"/>
      <c r="AL225" s="430"/>
      <c r="AM225" s="430"/>
      <c r="AN225" s="430"/>
      <c r="AO225" s="430"/>
      <c r="AP225" s="430"/>
      <c r="AQ225" s="430"/>
      <c r="AR225" s="430"/>
      <c r="AS225" s="430"/>
      <c r="AT225" s="430"/>
      <c r="AU225" s="430"/>
      <c r="AV225" s="432" t="s">
        <v>11613</v>
      </c>
    </row>
    <row r="226" s="397" customFormat="1" ht="18" customHeight="1" spans="1:48">
      <c r="A226" s="426">
        <v>45953</v>
      </c>
      <c r="B226" s="427" t="s">
        <v>11611</v>
      </c>
      <c r="C226" s="429" t="s">
        <v>11298</v>
      </c>
      <c r="D226" s="428" t="s">
        <v>11614</v>
      </c>
      <c r="E226" s="428">
        <v>1183</v>
      </c>
      <c r="F226" s="429" t="s">
        <v>11417</v>
      </c>
      <c r="G226" s="428" t="s">
        <v>11147</v>
      </c>
      <c r="H226" s="429" t="s">
        <v>73</v>
      </c>
      <c r="I226" s="430"/>
      <c r="J226" s="430"/>
      <c r="K226" s="430"/>
      <c r="L226" s="430"/>
      <c r="M226" s="430"/>
      <c r="N226" s="430"/>
      <c r="O226" s="430"/>
      <c r="P226" s="430"/>
      <c r="Q226" s="430"/>
      <c r="R226" s="430"/>
      <c r="S226" s="430"/>
      <c r="T226" s="430"/>
      <c r="U226" s="430"/>
      <c r="V226" s="430"/>
      <c r="W226" s="430"/>
      <c r="X226" s="430"/>
      <c r="Y226" s="430"/>
      <c r="Z226" s="430"/>
      <c r="AA226" s="430"/>
      <c r="AB226" s="430"/>
      <c r="AC226" s="428"/>
      <c r="AD226" s="428"/>
      <c r="AE226" s="430"/>
      <c r="AF226" s="430"/>
      <c r="AG226" s="430"/>
      <c r="AH226" s="430"/>
      <c r="AI226" s="430">
        <v>1183</v>
      </c>
      <c r="AJ226" s="430"/>
      <c r="AK226" s="430"/>
      <c r="AL226" s="430"/>
      <c r="AM226" s="430"/>
      <c r="AN226" s="430"/>
      <c r="AO226" s="430"/>
      <c r="AP226" s="430"/>
      <c r="AQ226" s="430"/>
      <c r="AR226" s="430"/>
      <c r="AS226" s="430"/>
      <c r="AT226" s="430"/>
      <c r="AU226" s="430"/>
      <c r="AV226" s="432" t="s">
        <v>11613</v>
      </c>
    </row>
    <row r="227" s="397" customFormat="1" ht="18" customHeight="1" spans="1:48">
      <c r="A227" s="426">
        <v>45954</v>
      </c>
      <c r="B227" s="427" t="s">
        <v>11615</v>
      </c>
      <c r="C227" s="429" t="s">
        <v>11298</v>
      </c>
      <c r="D227" s="428">
        <v>77731</v>
      </c>
      <c r="E227" s="428">
        <v>13848</v>
      </c>
      <c r="F227" s="429" t="s">
        <v>11404</v>
      </c>
      <c r="G227" s="428" t="s">
        <v>11271</v>
      </c>
      <c r="H227" s="429" t="s">
        <v>73</v>
      </c>
      <c r="I227" s="430"/>
      <c r="J227" s="430"/>
      <c r="K227" s="430"/>
      <c r="L227" s="430"/>
      <c r="M227" s="430"/>
      <c r="N227" s="430"/>
      <c r="O227" s="430"/>
      <c r="P227" s="430"/>
      <c r="Q227" s="430"/>
      <c r="R227" s="430"/>
      <c r="S227" s="430"/>
      <c r="T227" s="430"/>
      <c r="U227" s="430"/>
      <c r="V227" s="430"/>
      <c r="W227" s="430"/>
      <c r="X227" s="430"/>
      <c r="Y227" s="430"/>
      <c r="Z227" s="430"/>
      <c r="AA227" s="430"/>
      <c r="AB227" s="430"/>
      <c r="AC227" s="428"/>
      <c r="AD227" s="428"/>
      <c r="AE227" s="430"/>
      <c r="AF227" s="430"/>
      <c r="AG227" s="430"/>
      <c r="AH227" s="430"/>
      <c r="AI227" s="430"/>
      <c r="AJ227" s="430"/>
      <c r="AK227" s="430"/>
      <c r="AL227" s="430"/>
      <c r="AM227" s="430"/>
      <c r="AN227" s="430"/>
      <c r="AO227" s="430"/>
      <c r="AP227" s="430"/>
      <c r="AQ227" s="430"/>
      <c r="AR227" s="430"/>
      <c r="AS227" s="430">
        <v>13848</v>
      </c>
      <c r="AT227" s="430"/>
      <c r="AU227" s="430"/>
      <c r="AV227" s="432" t="s">
        <v>11616</v>
      </c>
    </row>
    <row r="228" s="397" customFormat="1" ht="18" customHeight="1" spans="1:48">
      <c r="A228" s="426">
        <v>45954</v>
      </c>
      <c r="B228" s="427" t="s">
        <v>11615</v>
      </c>
      <c r="C228" s="429" t="s">
        <v>11298</v>
      </c>
      <c r="D228" s="428">
        <v>77731</v>
      </c>
      <c r="E228" s="428">
        <v>13848</v>
      </c>
      <c r="F228" s="429" t="s">
        <v>11407</v>
      </c>
      <c r="G228" s="428" t="s">
        <v>11153</v>
      </c>
      <c r="H228" s="429" t="s">
        <v>73</v>
      </c>
      <c r="I228" s="430"/>
      <c r="J228" s="430"/>
      <c r="K228" s="430"/>
      <c r="L228" s="430"/>
      <c r="M228" s="430"/>
      <c r="N228" s="430"/>
      <c r="O228" s="430"/>
      <c r="P228" s="430"/>
      <c r="Q228" s="430"/>
      <c r="R228" s="430"/>
      <c r="S228" s="430"/>
      <c r="T228" s="430"/>
      <c r="U228" s="430"/>
      <c r="V228" s="430"/>
      <c r="W228" s="430"/>
      <c r="X228" s="430"/>
      <c r="Y228" s="430"/>
      <c r="Z228" s="430"/>
      <c r="AA228" s="430"/>
      <c r="AB228" s="430"/>
      <c r="AC228" s="428"/>
      <c r="AD228" s="428"/>
      <c r="AE228" s="430"/>
      <c r="AF228" s="430"/>
      <c r="AG228" s="430"/>
      <c r="AH228" s="430"/>
      <c r="AI228" s="430"/>
      <c r="AJ228" s="430"/>
      <c r="AK228" s="430"/>
      <c r="AL228" s="430"/>
      <c r="AM228" s="430"/>
      <c r="AN228" s="430"/>
      <c r="AO228" s="430"/>
      <c r="AP228" s="430"/>
      <c r="AQ228" s="430"/>
      <c r="AR228" s="430"/>
      <c r="AS228" s="430"/>
      <c r="AT228" s="430">
        <v>13848</v>
      </c>
      <c r="AU228" s="430"/>
      <c r="AV228" s="432" t="s">
        <v>11616</v>
      </c>
    </row>
    <row r="229" s="397" customFormat="1" ht="18" customHeight="1" spans="1:48">
      <c r="A229" s="426">
        <v>45954</v>
      </c>
      <c r="B229" s="427" t="s">
        <v>11615</v>
      </c>
      <c r="C229" s="429" t="s">
        <v>11298</v>
      </c>
      <c r="D229" s="428">
        <v>77731</v>
      </c>
      <c r="E229" s="428">
        <v>13848</v>
      </c>
      <c r="F229" s="429" t="s">
        <v>11409</v>
      </c>
      <c r="G229" s="428" t="s">
        <v>11271</v>
      </c>
      <c r="H229" s="429" t="s">
        <v>73</v>
      </c>
      <c r="I229" s="430"/>
      <c r="J229" s="430"/>
      <c r="K229" s="430"/>
      <c r="L229" s="430"/>
      <c r="M229" s="430"/>
      <c r="N229" s="430"/>
      <c r="O229" s="430"/>
      <c r="P229" s="430"/>
      <c r="Q229" s="430"/>
      <c r="R229" s="430"/>
      <c r="S229" s="430"/>
      <c r="T229" s="430"/>
      <c r="U229" s="430"/>
      <c r="V229" s="430"/>
      <c r="W229" s="430"/>
      <c r="X229" s="430"/>
      <c r="Y229" s="430"/>
      <c r="Z229" s="430"/>
      <c r="AA229" s="430"/>
      <c r="AB229" s="430"/>
      <c r="AC229" s="428"/>
      <c r="AD229" s="428"/>
      <c r="AE229" s="430"/>
      <c r="AF229" s="430"/>
      <c r="AG229" s="430"/>
      <c r="AH229" s="430"/>
      <c r="AI229" s="430"/>
      <c r="AJ229" s="430"/>
      <c r="AK229" s="430"/>
      <c r="AL229" s="430"/>
      <c r="AM229" s="430"/>
      <c r="AN229" s="430"/>
      <c r="AO229" s="430"/>
      <c r="AP229" s="430"/>
      <c r="AQ229" s="430"/>
      <c r="AR229" s="430"/>
      <c r="AS229" s="430"/>
      <c r="AT229" s="430"/>
      <c r="AU229" s="430">
        <v>13848</v>
      </c>
      <c r="AV229" s="432" t="s">
        <v>11616</v>
      </c>
    </row>
    <row r="230" s="397" customFormat="1" ht="18" customHeight="1" spans="1:48">
      <c r="A230" s="426">
        <v>45954</v>
      </c>
      <c r="B230" s="427" t="s">
        <v>11617</v>
      </c>
      <c r="C230" s="429" t="s">
        <v>11298</v>
      </c>
      <c r="D230" s="428">
        <v>77731</v>
      </c>
      <c r="E230" s="428">
        <v>27696</v>
      </c>
      <c r="F230" s="429" t="s">
        <v>11422</v>
      </c>
      <c r="G230" s="428" t="s">
        <v>11153</v>
      </c>
      <c r="H230" s="429" t="s">
        <v>73</v>
      </c>
      <c r="I230" s="430"/>
      <c r="J230" s="430"/>
      <c r="K230" s="430">
        <v>27696</v>
      </c>
      <c r="L230" s="430"/>
      <c r="M230" s="430"/>
      <c r="N230" s="430"/>
      <c r="O230" s="430"/>
      <c r="P230" s="430"/>
      <c r="Q230" s="430"/>
      <c r="R230" s="430"/>
      <c r="S230" s="430"/>
      <c r="T230" s="430"/>
      <c r="U230" s="430"/>
      <c r="V230" s="430"/>
      <c r="W230" s="430"/>
      <c r="X230" s="430"/>
      <c r="Y230" s="430"/>
      <c r="Z230" s="430"/>
      <c r="AA230" s="430"/>
      <c r="AB230" s="430"/>
      <c r="AC230" s="428"/>
      <c r="AD230" s="428"/>
      <c r="AE230" s="430"/>
      <c r="AF230" s="430"/>
      <c r="AG230" s="430"/>
      <c r="AH230" s="430"/>
      <c r="AI230" s="430"/>
      <c r="AJ230" s="430"/>
      <c r="AK230" s="430"/>
      <c r="AL230" s="430"/>
      <c r="AM230" s="430"/>
      <c r="AN230" s="430"/>
      <c r="AO230" s="430"/>
      <c r="AP230" s="430"/>
      <c r="AQ230" s="430"/>
      <c r="AR230" s="430"/>
      <c r="AS230" s="430"/>
      <c r="AT230" s="430"/>
      <c r="AU230" s="430"/>
      <c r="AV230" s="432" t="s">
        <v>11618</v>
      </c>
    </row>
    <row r="231" s="397" customFormat="1" ht="18" customHeight="1" spans="1:48">
      <c r="A231" s="426">
        <v>45960</v>
      </c>
      <c r="B231" s="427" t="s">
        <v>11619</v>
      </c>
      <c r="C231" s="429" t="s">
        <v>11194</v>
      </c>
      <c r="D231" s="428" t="s">
        <v>11416</v>
      </c>
      <c r="E231" s="428">
        <v>15780</v>
      </c>
      <c r="F231" s="429" t="s">
        <v>11417</v>
      </c>
      <c r="G231" s="428" t="s">
        <v>11147</v>
      </c>
      <c r="H231" s="429" t="s">
        <v>11148</v>
      </c>
      <c r="I231" s="430"/>
      <c r="J231" s="430"/>
      <c r="K231" s="430"/>
      <c r="L231" s="430"/>
      <c r="M231" s="430"/>
      <c r="N231" s="430"/>
      <c r="O231" s="430"/>
      <c r="P231" s="430"/>
      <c r="Q231" s="430"/>
      <c r="R231" s="430"/>
      <c r="S231" s="430"/>
      <c r="T231" s="430"/>
      <c r="U231" s="430"/>
      <c r="V231" s="430"/>
      <c r="W231" s="430"/>
      <c r="X231" s="430"/>
      <c r="Y231" s="430"/>
      <c r="Z231" s="430"/>
      <c r="AA231" s="430"/>
      <c r="AB231" s="430"/>
      <c r="AC231" s="428">
        <v>15780</v>
      </c>
      <c r="AD231" s="428"/>
      <c r="AE231" s="430"/>
      <c r="AF231" s="430"/>
      <c r="AG231" s="430"/>
      <c r="AH231" s="430"/>
      <c r="AI231" s="430"/>
      <c r="AJ231" s="430"/>
      <c r="AK231" s="430"/>
      <c r="AL231" s="430"/>
      <c r="AM231" s="430"/>
      <c r="AN231" s="430"/>
      <c r="AO231" s="430"/>
      <c r="AP231" s="430"/>
      <c r="AQ231" s="430"/>
      <c r="AR231" s="430"/>
      <c r="AS231" s="430"/>
      <c r="AT231" s="430"/>
      <c r="AU231" s="430"/>
      <c r="AV231" s="438" t="s">
        <v>11620</v>
      </c>
    </row>
    <row r="232" s="397" customFormat="1" ht="18" customHeight="1" spans="1:48">
      <c r="A232" s="426">
        <v>45960</v>
      </c>
      <c r="B232" s="427">
        <v>1000033547</v>
      </c>
      <c r="C232" s="429" t="s">
        <v>11183</v>
      </c>
      <c r="D232" s="428" t="s">
        <v>6084</v>
      </c>
      <c r="E232" s="428">
        <v>500000</v>
      </c>
      <c r="F232" s="429" t="s">
        <v>11146</v>
      </c>
      <c r="G232" s="428" t="s">
        <v>11147</v>
      </c>
      <c r="H232" s="429" t="s">
        <v>11148</v>
      </c>
      <c r="I232" s="430">
        <v>500000</v>
      </c>
      <c r="J232" s="430"/>
      <c r="K232" s="430"/>
      <c r="L232" s="430"/>
      <c r="M232" s="430"/>
      <c r="N232" s="430"/>
      <c r="O232" s="430"/>
      <c r="P232" s="430"/>
      <c r="Q232" s="430"/>
      <c r="R232" s="430"/>
      <c r="S232" s="430"/>
      <c r="T232" s="430"/>
      <c r="U232" s="430"/>
      <c r="V232" s="430"/>
      <c r="W232" s="430"/>
      <c r="X232" s="430"/>
      <c r="Y232" s="430"/>
      <c r="Z232" s="430"/>
      <c r="AA232" s="430"/>
      <c r="AB232" s="430"/>
      <c r="AC232" s="428"/>
      <c r="AD232" s="428"/>
      <c r="AE232" s="430"/>
      <c r="AF232" s="430"/>
      <c r="AG232" s="430"/>
      <c r="AH232" s="430"/>
      <c r="AI232" s="430"/>
      <c r="AJ232" s="430"/>
      <c r="AK232" s="430"/>
      <c r="AL232" s="430"/>
      <c r="AM232" s="430"/>
      <c r="AN232" s="430"/>
      <c r="AO232" s="430"/>
      <c r="AP232" s="430"/>
      <c r="AQ232" s="430"/>
      <c r="AR232" s="430"/>
      <c r="AS232" s="430"/>
      <c r="AT232" s="430"/>
      <c r="AU232" s="430"/>
      <c r="AV232" s="432" t="s">
        <v>11370</v>
      </c>
    </row>
    <row r="233" s="397" customFormat="1" ht="18" customHeight="1" spans="1:48">
      <c r="A233" s="426">
        <v>45960</v>
      </c>
      <c r="B233" s="427">
        <v>1000033548</v>
      </c>
      <c r="C233" s="429" t="s">
        <v>11183</v>
      </c>
      <c r="D233" s="428" t="s">
        <v>6084</v>
      </c>
      <c r="E233" s="428">
        <v>20000</v>
      </c>
      <c r="F233" s="429" t="s">
        <v>11372</v>
      </c>
      <c r="G233" s="428" t="s">
        <v>11373</v>
      </c>
      <c r="H233" s="429" t="s">
        <v>11148</v>
      </c>
      <c r="I233" s="430"/>
      <c r="J233" s="437">
        <v>20000</v>
      </c>
      <c r="K233" s="430"/>
      <c r="L233" s="430"/>
      <c r="M233" s="430"/>
      <c r="N233" s="430"/>
      <c r="O233" s="430"/>
      <c r="P233" s="430"/>
      <c r="Q233" s="430"/>
      <c r="R233" s="430"/>
      <c r="S233" s="430"/>
      <c r="T233" s="430"/>
      <c r="U233" s="430"/>
      <c r="V233" s="430"/>
      <c r="W233" s="430"/>
      <c r="X233" s="430"/>
      <c r="Y233" s="430"/>
      <c r="Z233" s="430"/>
      <c r="AA233" s="430"/>
      <c r="AB233" s="430"/>
      <c r="AC233" s="428"/>
      <c r="AD233" s="428"/>
      <c r="AE233" s="430"/>
      <c r="AF233" s="430"/>
      <c r="AG233" s="430"/>
      <c r="AH233" s="430"/>
      <c r="AI233" s="430"/>
      <c r="AJ233" s="430"/>
      <c r="AK233" s="430"/>
      <c r="AL233" s="430"/>
      <c r="AM233" s="430"/>
      <c r="AN233" s="430"/>
      <c r="AO233" s="430"/>
      <c r="AP233" s="430"/>
      <c r="AQ233" s="430"/>
      <c r="AR233" s="430"/>
      <c r="AS233" s="430"/>
      <c r="AT233" s="430"/>
      <c r="AU233" s="430"/>
      <c r="AV233" s="432" t="s">
        <v>11370</v>
      </c>
    </row>
    <row r="234" s="397" customFormat="1" ht="18" customHeight="1" spans="1:48">
      <c r="A234" s="426">
        <v>45960</v>
      </c>
      <c r="B234" s="427">
        <v>1000033549</v>
      </c>
      <c r="C234" s="429" t="s">
        <v>11183</v>
      </c>
      <c r="D234" s="428" t="s">
        <v>6084</v>
      </c>
      <c r="E234" s="428">
        <v>600000</v>
      </c>
      <c r="F234" s="429" t="s">
        <v>11391</v>
      </c>
      <c r="G234" s="428" t="s">
        <v>11373</v>
      </c>
      <c r="H234" s="429" t="s">
        <v>11220</v>
      </c>
      <c r="I234" s="430"/>
      <c r="J234" s="430"/>
      <c r="K234" s="430"/>
      <c r="L234" s="430"/>
      <c r="M234" s="430"/>
      <c r="N234" s="430">
        <v>600000</v>
      </c>
      <c r="O234" s="430"/>
      <c r="P234" s="430"/>
      <c r="Q234" s="430"/>
      <c r="R234" s="430"/>
      <c r="S234" s="430"/>
      <c r="T234" s="430"/>
      <c r="U234" s="430"/>
      <c r="V234" s="430"/>
      <c r="W234" s="430"/>
      <c r="X234" s="430"/>
      <c r="Y234" s="430"/>
      <c r="Z234" s="430"/>
      <c r="AA234" s="430"/>
      <c r="AB234" s="430"/>
      <c r="AC234" s="428"/>
      <c r="AD234" s="428"/>
      <c r="AE234" s="430"/>
      <c r="AF234" s="430"/>
      <c r="AG234" s="430"/>
      <c r="AH234" s="430"/>
      <c r="AI234" s="430"/>
      <c r="AJ234" s="430"/>
      <c r="AK234" s="430"/>
      <c r="AL234" s="430"/>
      <c r="AM234" s="430"/>
      <c r="AN234" s="430"/>
      <c r="AO234" s="430"/>
      <c r="AP234" s="430"/>
      <c r="AQ234" s="430"/>
      <c r="AR234" s="430"/>
      <c r="AS234" s="430"/>
      <c r="AT234" s="430"/>
      <c r="AU234" s="430"/>
      <c r="AV234" s="432" t="s">
        <v>11509</v>
      </c>
    </row>
    <row r="235" s="397" customFormat="1" ht="18" customHeight="1" spans="1:48">
      <c r="A235" s="426">
        <v>45960</v>
      </c>
      <c r="B235" s="427">
        <v>1000033550</v>
      </c>
      <c r="C235" s="429" t="s">
        <v>11183</v>
      </c>
      <c r="D235" s="428" t="s">
        <v>11378</v>
      </c>
      <c r="E235" s="428">
        <v>2000</v>
      </c>
      <c r="F235" s="429" t="s">
        <v>11379</v>
      </c>
      <c r="G235" s="428" t="s">
        <v>11147</v>
      </c>
      <c r="H235" s="429" t="s">
        <v>11148</v>
      </c>
      <c r="I235" s="430"/>
      <c r="J235" s="430"/>
      <c r="K235" s="430"/>
      <c r="L235" s="430"/>
      <c r="M235" s="430"/>
      <c r="N235" s="430"/>
      <c r="O235" s="430"/>
      <c r="P235" s="430"/>
      <c r="Q235" s="430"/>
      <c r="R235" s="430"/>
      <c r="S235" s="430"/>
      <c r="T235" s="430"/>
      <c r="U235" s="430"/>
      <c r="V235" s="430"/>
      <c r="W235" s="430"/>
      <c r="X235" s="430"/>
      <c r="Y235" s="430"/>
      <c r="Z235" s="430">
        <v>2000</v>
      </c>
      <c r="AA235" s="430"/>
      <c r="AB235" s="430"/>
      <c r="AC235" s="428"/>
      <c r="AD235" s="428"/>
      <c r="AE235" s="430"/>
      <c r="AF235" s="430"/>
      <c r="AG235" s="430"/>
      <c r="AH235" s="430"/>
      <c r="AI235" s="430"/>
      <c r="AJ235" s="430"/>
      <c r="AK235" s="430"/>
      <c r="AL235" s="430"/>
      <c r="AM235" s="430"/>
      <c r="AN235" s="430"/>
      <c r="AO235" s="430"/>
      <c r="AP235" s="430"/>
      <c r="AQ235" s="430"/>
      <c r="AR235" s="430"/>
      <c r="AS235" s="430"/>
      <c r="AT235" s="430"/>
      <c r="AU235" s="430"/>
      <c r="AV235" s="432" t="s">
        <v>11376</v>
      </c>
    </row>
    <row r="236" s="397" customFormat="1" ht="18" customHeight="1" spans="1:48">
      <c r="A236" s="426">
        <v>45960</v>
      </c>
      <c r="B236" s="427">
        <v>1000033551</v>
      </c>
      <c r="C236" s="429" t="s">
        <v>11183</v>
      </c>
      <c r="D236" s="428" t="s">
        <v>11378</v>
      </c>
      <c r="E236" s="428">
        <v>500</v>
      </c>
      <c r="F236" s="429" t="s">
        <v>11381</v>
      </c>
      <c r="G236" s="428" t="s">
        <v>11373</v>
      </c>
      <c r="H236" s="429" t="s">
        <v>11148</v>
      </c>
      <c r="I236" s="430"/>
      <c r="J236" s="430"/>
      <c r="K236" s="430"/>
      <c r="L236" s="430"/>
      <c r="M236" s="430"/>
      <c r="N236" s="430"/>
      <c r="O236" s="430"/>
      <c r="P236" s="430"/>
      <c r="Q236" s="430"/>
      <c r="R236" s="430"/>
      <c r="S236" s="430"/>
      <c r="T236" s="430"/>
      <c r="U236" s="430"/>
      <c r="V236" s="430"/>
      <c r="W236" s="430"/>
      <c r="X236" s="430"/>
      <c r="Y236" s="430"/>
      <c r="Z236" s="430"/>
      <c r="AA236" s="430">
        <v>500</v>
      </c>
      <c r="AB236" s="430"/>
      <c r="AC236" s="428"/>
      <c r="AD236" s="428"/>
      <c r="AE236" s="430"/>
      <c r="AF236" s="430"/>
      <c r="AG236" s="430"/>
      <c r="AH236" s="430"/>
      <c r="AI236" s="430"/>
      <c r="AJ236" s="430"/>
      <c r="AK236" s="430"/>
      <c r="AL236" s="430"/>
      <c r="AM236" s="430"/>
      <c r="AN236" s="430"/>
      <c r="AO236" s="430"/>
      <c r="AP236" s="430"/>
      <c r="AQ236" s="430"/>
      <c r="AR236" s="430"/>
      <c r="AS236" s="430"/>
      <c r="AT236" s="430"/>
      <c r="AU236" s="430"/>
      <c r="AV236" s="432" t="s">
        <v>11376</v>
      </c>
    </row>
    <row r="237" s="397" customFormat="1" ht="18" customHeight="1" spans="1:48">
      <c r="A237" s="426">
        <v>45960</v>
      </c>
      <c r="B237" s="427">
        <v>1000033552</v>
      </c>
      <c r="C237" s="429" t="s">
        <v>11183</v>
      </c>
      <c r="D237" s="428" t="s">
        <v>6166</v>
      </c>
      <c r="E237" s="428">
        <v>500</v>
      </c>
      <c r="F237" s="429" t="s">
        <v>11427</v>
      </c>
      <c r="G237" s="428" t="s">
        <v>11147</v>
      </c>
      <c r="H237" s="429" t="s">
        <v>11148</v>
      </c>
      <c r="I237" s="430"/>
      <c r="J237" s="430"/>
      <c r="K237" s="430"/>
      <c r="L237" s="430"/>
      <c r="M237" s="430"/>
      <c r="N237" s="430"/>
      <c r="O237" s="430"/>
      <c r="P237" s="430"/>
      <c r="Q237" s="430"/>
      <c r="R237" s="430"/>
      <c r="S237" s="430"/>
      <c r="T237" s="430"/>
      <c r="U237" s="430"/>
      <c r="V237" s="430"/>
      <c r="W237" s="430">
        <v>500</v>
      </c>
      <c r="X237" s="430"/>
      <c r="Y237" s="430"/>
      <c r="Z237" s="430"/>
      <c r="AA237" s="430"/>
      <c r="AB237" s="430"/>
      <c r="AC237" s="428"/>
      <c r="AD237" s="428"/>
      <c r="AE237" s="430"/>
      <c r="AF237" s="430"/>
      <c r="AG237" s="430"/>
      <c r="AH237" s="430"/>
      <c r="AI237" s="430"/>
      <c r="AJ237" s="430"/>
      <c r="AK237" s="430"/>
      <c r="AL237" s="430"/>
      <c r="AM237" s="430"/>
      <c r="AN237" s="430"/>
      <c r="AO237" s="430"/>
      <c r="AP237" s="430"/>
      <c r="AQ237" s="430"/>
      <c r="AR237" s="430"/>
      <c r="AS237" s="430"/>
      <c r="AT237" s="430"/>
      <c r="AU237" s="430"/>
      <c r="AV237" s="432" t="s">
        <v>11376</v>
      </c>
    </row>
    <row r="238" s="397" customFormat="1" ht="18" customHeight="1" spans="1:48">
      <c r="A238" s="426">
        <v>45960</v>
      </c>
      <c r="B238" s="427">
        <v>1000033557</v>
      </c>
      <c r="C238" s="429" t="s">
        <v>11183</v>
      </c>
      <c r="D238" s="428" t="s">
        <v>6093</v>
      </c>
      <c r="E238" s="428">
        <v>3000</v>
      </c>
      <c r="F238" s="429" t="s">
        <v>11402</v>
      </c>
      <c r="G238" s="428" t="s">
        <v>11153</v>
      </c>
      <c r="H238" s="429" t="s">
        <v>11148</v>
      </c>
      <c r="I238" s="430"/>
      <c r="J238" s="430"/>
      <c r="K238" s="430"/>
      <c r="L238" s="430"/>
      <c r="M238" s="430"/>
      <c r="N238" s="430"/>
      <c r="O238" s="430"/>
      <c r="P238" s="430"/>
      <c r="Q238" s="430"/>
      <c r="R238" s="430"/>
      <c r="S238" s="430"/>
      <c r="T238" s="430"/>
      <c r="U238" s="430"/>
      <c r="V238" s="430"/>
      <c r="W238" s="430"/>
      <c r="X238" s="430"/>
      <c r="Y238" s="430">
        <v>3000</v>
      </c>
      <c r="Z238" s="430"/>
      <c r="AA238" s="430"/>
      <c r="AB238" s="430"/>
      <c r="AC238" s="428"/>
      <c r="AD238" s="428"/>
      <c r="AE238" s="430"/>
      <c r="AF238" s="430"/>
      <c r="AG238" s="430"/>
      <c r="AH238" s="430"/>
      <c r="AI238" s="430"/>
      <c r="AJ238" s="430"/>
      <c r="AK238" s="430"/>
      <c r="AL238" s="430"/>
      <c r="AM238" s="430"/>
      <c r="AN238" s="430"/>
      <c r="AO238" s="430"/>
      <c r="AP238" s="430"/>
      <c r="AQ238" s="430"/>
      <c r="AR238" s="430"/>
      <c r="AS238" s="430"/>
      <c r="AT238" s="430"/>
      <c r="AU238" s="430"/>
      <c r="AV238" s="432" t="s">
        <v>11385</v>
      </c>
    </row>
    <row r="239" s="397" customFormat="1" ht="18" customHeight="1" spans="1:48">
      <c r="A239" s="426">
        <v>45964</v>
      </c>
      <c r="B239" s="427" t="s">
        <v>11621</v>
      </c>
      <c r="C239" s="429" t="s">
        <v>11183</v>
      </c>
      <c r="D239" s="428" t="s">
        <v>6093</v>
      </c>
      <c r="E239" s="428">
        <v>3000</v>
      </c>
      <c r="F239" s="429" t="s">
        <v>11402</v>
      </c>
      <c r="G239" s="428" t="s">
        <v>11153</v>
      </c>
      <c r="H239" s="429" t="s">
        <v>11148</v>
      </c>
      <c r="I239" s="430"/>
      <c r="J239" s="430"/>
      <c r="K239" s="430"/>
      <c r="L239" s="430"/>
      <c r="M239" s="430"/>
      <c r="N239" s="430"/>
      <c r="O239" s="430"/>
      <c r="P239" s="430"/>
      <c r="Q239" s="430"/>
      <c r="R239" s="430"/>
      <c r="S239" s="430"/>
      <c r="T239" s="430"/>
      <c r="U239" s="430"/>
      <c r="V239" s="430"/>
      <c r="W239" s="430"/>
      <c r="X239" s="430"/>
      <c r="Y239" s="430">
        <v>3000</v>
      </c>
      <c r="Z239" s="430"/>
      <c r="AA239" s="430"/>
      <c r="AB239" s="430"/>
      <c r="AC239" s="428"/>
      <c r="AD239" s="428"/>
      <c r="AE239" s="430"/>
      <c r="AF239" s="430"/>
      <c r="AG239" s="430"/>
      <c r="AH239" s="430"/>
      <c r="AI239" s="430"/>
      <c r="AJ239" s="430"/>
      <c r="AK239" s="430"/>
      <c r="AL239" s="430"/>
      <c r="AM239" s="430"/>
      <c r="AN239" s="430"/>
      <c r="AO239" s="430"/>
      <c r="AP239" s="430"/>
      <c r="AQ239" s="430"/>
      <c r="AR239" s="430"/>
      <c r="AS239" s="430"/>
      <c r="AT239" s="430"/>
      <c r="AU239" s="430"/>
      <c r="AV239" s="432"/>
    </row>
    <row r="240" s="397" customFormat="1" ht="18" customHeight="1" spans="1:48">
      <c r="A240" s="426">
        <v>45964</v>
      </c>
      <c r="B240" s="427" t="s">
        <v>11622</v>
      </c>
      <c r="C240" s="429" t="s">
        <v>11183</v>
      </c>
      <c r="D240" s="428" t="s">
        <v>6047</v>
      </c>
      <c r="E240" s="428">
        <v>500</v>
      </c>
      <c r="F240" s="429" t="s">
        <v>11387</v>
      </c>
      <c r="G240" s="428" t="s">
        <v>11153</v>
      </c>
      <c r="H240" s="429" t="s">
        <v>11148</v>
      </c>
      <c r="I240" s="430"/>
      <c r="J240" s="430"/>
      <c r="K240" s="430"/>
      <c r="L240" s="430"/>
      <c r="M240" s="430"/>
      <c r="N240" s="430"/>
      <c r="O240" s="430"/>
      <c r="P240" s="430"/>
      <c r="Q240" s="430"/>
      <c r="R240" s="430"/>
      <c r="S240" s="430"/>
      <c r="T240" s="430"/>
      <c r="U240" s="430"/>
      <c r="V240" s="430"/>
      <c r="W240" s="430"/>
      <c r="X240" s="430"/>
      <c r="Y240" s="430"/>
      <c r="Z240" s="430"/>
      <c r="AA240" s="430"/>
      <c r="AB240" s="430">
        <v>500</v>
      </c>
      <c r="AC240" s="428"/>
      <c r="AD240" s="428"/>
      <c r="AE240" s="430"/>
      <c r="AF240" s="430"/>
      <c r="AG240" s="430"/>
      <c r="AH240" s="430"/>
      <c r="AI240" s="430"/>
      <c r="AJ240" s="430"/>
      <c r="AK240" s="430"/>
      <c r="AL240" s="430"/>
      <c r="AM240" s="430"/>
      <c r="AN240" s="430"/>
      <c r="AO240" s="430"/>
      <c r="AP240" s="430"/>
      <c r="AQ240" s="430"/>
      <c r="AR240" s="430"/>
      <c r="AS240" s="430"/>
      <c r="AT240" s="430"/>
      <c r="AU240" s="430"/>
      <c r="AV240" s="432"/>
    </row>
    <row r="241" s="397" customFormat="1" ht="18" customHeight="1" spans="1:48">
      <c r="A241" s="426">
        <v>45965</v>
      </c>
      <c r="B241" s="427" t="s">
        <v>11623</v>
      </c>
      <c r="C241" s="429" t="s">
        <v>11194</v>
      </c>
      <c r="D241" s="428" t="s">
        <v>11416</v>
      </c>
      <c r="E241" s="428">
        <v>21660</v>
      </c>
      <c r="F241" s="429" t="s">
        <v>11417</v>
      </c>
      <c r="G241" s="428" t="s">
        <v>11147</v>
      </c>
      <c r="H241" s="429" t="s">
        <v>11148</v>
      </c>
      <c r="I241" s="430"/>
      <c r="J241" s="430"/>
      <c r="K241" s="430"/>
      <c r="L241" s="430"/>
      <c r="M241" s="430"/>
      <c r="N241" s="430"/>
      <c r="O241" s="430"/>
      <c r="P241" s="430"/>
      <c r="Q241" s="430"/>
      <c r="R241" s="430"/>
      <c r="S241" s="430"/>
      <c r="T241" s="430"/>
      <c r="U241" s="430"/>
      <c r="V241" s="430"/>
      <c r="W241" s="430"/>
      <c r="X241" s="430"/>
      <c r="Y241" s="430"/>
      <c r="Z241" s="430"/>
      <c r="AA241" s="430"/>
      <c r="AB241" s="430"/>
      <c r="AC241" s="428">
        <v>21660</v>
      </c>
      <c r="AD241" s="428"/>
      <c r="AE241" s="430"/>
      <c r="AF241" s="430"/>
      <c r="AG241" s="430"/>
      <c r="AH241" s="430"/>
      <c r="AI241" s="430"/>
      <c r="AJ241" s="430"/>
      <c r="AK241" s="430"/>
      <c r="AL241" s="430"/>
      <c r="AM241" s="430"/>
      <c r="AN241" s="430"/>
      <c r="AO241" s="430"/>
      <c r="AP241" s="430"/>
      <c r="AQ241" s="430"/>
      <c r="AR241" s="430"/>
      <c r="AS241" s="430"/>
      <c r="AT241" s="430"/>
      <c r="AU241" s="430"/>
      <c r="AV241" s="432" t="s">
        <v>11604</v>
      </c>
    </row>
    <row r="242" s="397" customFormat="1" ht="18" customHeight="1" spans="1:48">
      <c r="A242" s="426">
        <v>45968</v>
      </c>
      <c r="B242" s="427" t="s">
        <v>11624</v>
      </c>
      <c r="C242" s="429" t="s">
        <v>11245</v>
      </c>
      <c r="D242" s="428" t="s">
        <v>11434</v>
      </c>
      <c r="E242" s="428">
        <v>43100</v>
      </c>
      <c r="F242" s="429" t="s">
        <v>11172</v>
      </c>
      <c r="G242" s="428" t="s">
        <v>11435</v>
      </c>
      <c r="H242" s="429" t="s">
        <v>73</v>
      </c>
      <c r="I242" s="430"/>
      <c r="J242" s="430"/>
      <c r="K242" s="430"/>
      <c r="L242" s="430"/>
      <c r="M242" s="430"/>
      <c r="N242" s="430"/>
      <c r="O242" s="430"/>
      <c r="P242" s="430"/>
      <c r="Q242" s="430"/>
      <c r="R242" s="430"/>
      <c r="S242" s="430"/>
      <c r="T242" s="430"/>
      <c r="U242" s="430"/>
      <c r="V242" s="430"/>
      <c r="W242" s="430"/>
      <c r="X242" s="430"/>
      <c r="Y242" s="430"/>
      <c r="Z242" s="430"/>
      <c r="AA242" s="430"/>
      <c r="AB242" s="430"/>
      <c r="AC242" s="428"/>
      <c r="AD242" s="428"/>
      <c r="AE242" s="430"/>
      <c r="AF242" s="430"/>
      <c r="AG242" s="430">
        <v>43100</v>
      </c>
      <c r="AH242" s="430"/>
      <c r="AI242" s="430"/>
      <c r="AJ242" s="430"/>
      <c r="AK242" s="430"/>
      <c r="AL242" s="430"/>
      <c r="AM242" s="430"/>
      <c r="AN242" s="430"/>
      <c r="AO242" s="430"/>
      <c r="AP242" s="430"/>
      <c r="AQ242" s="430"/>
      <c r="AR242" s="430"/>
      <c r="AS242" s="430"/>
      <c r="AT242" s="430"/>
      <c r="AU242" s="430"/>
      <c r="AV242" s="432" t="s">
        <v>11625</v>
      </c>
    </row>
    <row r="243" s="397" customFormat="1" ht="18" customHeight="1" spans="1:48">
      <c r="A243" s="426">
        <v>45968</v>
      </c>
      <c r="B243" s="427" t="s">
        <v>11626</v>
      </c>
      <c r="C243" s="429" t="s">
        <v>11245</v>
      </c>
      <c r="D243" s="428" t="s">
        <v>11434</v>
      </c>
      <c r="E243" s="428">
        <v>34100</v>
      </c>
      <c r="F243" s="429" t="s">
        <v>11237</v>
      </c>
      <c r="G243" s="428" t="s">
        <v>11435</v>
      </c>
      <c r="H243" s="429" t="s">
        <v>73</v>
      </c>
      <c r="I243" s="430"/>
      <c r="J243" s="430"/>
      <c r="K243" s="430"/>
      <c r="L243" s="430"/>
      <c r="M243" s="430"/>
      <c r="N243" s="430"/>
      <c r="O243" s="430"/>
      <c r="P243" s="430"/>
      <c r="Q243" s="430"/>
      <c r="R243" s="430"/>
      <c r="S243" s="430"/>
      <c r="T243" s="430"/>
      <c r="U243" s="430"/>
      <c r="V243" s="430"/>
      <c r="W243" s="430"/>
      <c r="X243" s="430"/>
      <c r="Y243" s="430"/>
      <c r="Z243" s="430"/>
      <c r="AA243" s="430"/>
      <c r="AB243" s="430"/>
      <c r="AC243" s="428"/>
      <c r="AD243" s="428"/>
      <c r="AE243" s="430"/>
      <c r="AF243" s="430"/>
      <c r="AG243" s="430"/>
      <c r="AH243" s="430">
        <v>34100</v>
      </c>
      <c r="AI243" s="430"/>
      <c r="AJ243" s="430"/>
      <c r="AK243" s="430"/>
      <c r="AL243" s="430"/>
      <c r="AM243" s="430"/>
      <c r="AN243" s="430"/>
      <c r="AO243" s="430"/>
      <c r="AP243" s="430"/>
      <c r="AQ243" s="430"/>
      <c r="AR243" s="430"/>
      <c r="AS243" s="430"/>
      <c r="AT243" s="430"/>
      <c r="AU243" s="430"/>
      <c r="AV243" s="432" t="s">
        <v>11627</v>
      </c>
    </row>
    <row r="244" s="397" customFormat="1" ht="18" customHeight="1" spans="1:48">
      <c r="A244" s="426">
        <v>45968</v>
      </c>
      <c r="B244" s="427" t="s">
        <v>11628</v>
      </c>
      <c r="C244" s="429" t="s">
        <v>11245</v>
      </c>
      <c r="D244" s="428" t="s">
        <v>11434</v>
      </c>
      <c r="E244" s="428">
        <v>1524</v>
      </c>
      <c r="F244" s="429" t="s">
        <v>11417</v>
      </c>
      <c r="G244" s="428" t="s">
        <v>11435</v>
      </c>
      <c r="H244" s="429" t="s">
        <v>73</v>
      </c>
      <c r="I244" s="430"/>
      <c r="J244" s="430"/>
      <c r="K244" s="430"/>
      <c r="L244" s="430"/>
      <c r="M244" s="430"/>
      <c r="N244" s="430"/>
      <c r="O244" s="430"/>
      <c r="P244" s="430"/>
      <c r="Q244" s="430"/>
      <c r="R244" s="430"/>
      <c r="S244" s="430"/>
      <c r="T244" s="430"/>
      <c r="U244" s="430"/>
      <c r="V244" s="430"/>
      <c r="W244" s="430"/>
      <c r="X244" s="430"/>
      <c r="Y244" s="430"/>
      <c r="Z244" s="430"/>
      <c r="AA244" s="430"/>
      <c r="AB244" s="430"/>
      <c r="AC244" s="428"/>
      <c r="AD244" s="428"/>
      <c r="AE244" s="430"/>
      <c r="AF244" s="430"/>
      <c r="AG244" s="430"/>
      <c r="AH244" s="430"/>
      <c r="AI244" s="430">
        <v>1524</v>
      </c>
      <c r="AJ244" s="430"/>
      <c r="AK244" s="430"/>
      <c r="AL244" s="430"/>
      <c r="AM244" s="430"/>
      <c r="AN244" s="430"/>
      <c r="AO244" s="430"/>
      <c r="AP244" s="430"/>
      <c r="AQ244" s="430"/>
      <c r="AR244" s="430"/>
      <c r="AS244" s="430"/>
      <c r="AT244" s="430"/>
      <c r="AU244" s="430"/>
      <c r="AV244" s="432" t="s">
        <v>11629</v>
      </c>
    </row>
    <row r="245" s="397" customFormat="1" ht="18" customHeight="1" spans="1:48">
      <c r="A245" s="426">
        <v>45981</v>
      </c>
      <c r="B245" s="427">
        <v>1000034303</v>
      </c>
      <c r="C245" s="429" t="s">
        <v>11183</v>
      </c>
      <c r="D245" s="428" t="s">
        <v>6084</v>
      </c>
      <c r="E245" s="428">
        <v>100000</v>
      </c>
      <c r="F245" s="429" t="s">
        <v>11146</v>
      </c>
      <c r="G245" s="428" t="s">
        <v>11147</v>
      </c>
      <c r="H245" s="429" t="s">
        <v>11148</v>
      </c>
      <c r="I245" s="430">
        <v>100000</v>
      </c>
      <c r="J245" s="430"/>
      <c r="K245" s="430"/>
      <c r="L245" s="430"/>
      <c r="M245" s="430"/>
      <c r="N245" s="430"/>
      <c r="O245" s="430"/>
      <c r="P245" s="430"/>
      <c r="Q245" s="430"/>
      <c r="R245" s="430"/>
      <c r="S245" s="430"/>
      <c r="T245" s="430"/>
      <c r="U245" s="430"/>
      <c r="V245" s="430"/>
      <c r="W245" s="430"/>
      <c r="X245" s="430"/>
      <c r="Y245" s="430"/>
      <c r="Z245" s="430"/>
      <c r="AA245" s="430"/>
      <c r="AB245" s="430"/>
      <c r="AC245" s="428"/>
      <c r="AD245" s="428"/>
      <c r="AE245" s="430"/>
      <c r="AF245" s="430"/>
      <c r="AG245" s="430"/>
      <c r="AH245" s="430"/>
      <c r="AI245" s="430"/>
      <c r="AJ245" s="430"/>
      <c r="AK245" s="430"/>
      <c r="AL245" s="430"/>
      <c r="AM245" s="430"/>
      <c r="AN245" s="430"/>
      <c r="AO245" s="430"/>
      <c r="AP245" s="430"/>
      <c r="AQ245" s="430"/>
      <c r="AR245" s="430"/>
      <c r="AS245" s="430"/>
      <c r="AT245" s="430"/>
      <c r="AU245" s="430"/>
      <c r="AV245" s="432"/>
    </row>
    <row r="246" s="397" customFormat="1" ht="18" customHeight="1" spans="1:48">
      <c r="A246" s="426">
        <v>45981</v>
      </c>
      <c r="B246" s="427">
        <v>1000034304</v>
      </c>
      <c r="C246" s="429" t="s">
        <v>11183</v>
      </c>
      <c r="D246" s="428" t="s">
        <v>6084</v>
      </c>
      <c r="E246" s="428">
        <v>20000</v>
      </c>
      <c r="F246" s="429" t="s">
        <v>11372</v>
      </c>
      <c r="G246" s="428" t="s">
        <v>11373</v>
      </c>
      <c r="H246" s="429" t="s">
        <v>11148</v>
      </c>
      <c r="I246" s="430"/>
      <c r="J246" s="430">
        <v>20000</v>
      </c>
      <c r="K246" s="430"/>
      <c r="L246" s="430"/>
      <c r="M246" s="430"/>
      <c r="N246" s="430"/>
      <c r="O246" s="430"/>
      <c r="P246" s="430"/>
      <c r="Q246" s="430"/>
      <c r="R246" s="430"/>
      <c r="S246" s="430"/>
      <c r="T246" s="430"/>
      <c r="U246" s="430"/>
      <c r="V246" s="430"/>
      <c r="W246" s="430"/>
      <c r="X246" s="430"/>
      <c r="Y246" s="430"/>
      <c r="Z246" s="430"/>
      <c r="AA246" s="430"/>
      <c r="AB246" s="430"/>
      <c r="AC246" s="428"/>
      <c r="AD246" s="428"/>
      <c r="AE246" s="430"/>
      <c r="AF246" s="430"/>
      <c r="AG246" s="430"/>
      <c r="AH246" s="430"/>
      <c r="AI246" s="430"/>
      <c r="AJ246" s="430"/>
      <c r="AK246" s="430"/>
      <c r="AL246" s="430"/>
      <c r="AM246" s="430"/>
      <c r="AN246" s="430"/>
      <c r="AO246" s="430"/>
      <c r="AP246" s="430"/>
      <c r="AQ246" s="430"/>
      <c r="AR246" s="430"/>
      <c r="AS246" s="430"/>
      <c r="AT246" s="430"/>
      <c r="AU246" s="430"/>
      <c r="AV246" s="432"/>
    </row>
    <row r="247" s="397" customFormat="1" ht="18" customHeight="1" spans="1:48">
      <c r="A247" s="426">
        <v>45981</v>
      </c>
      <c r="B247" s="427">
        <v>1000034305</v>
      </c>
      <c r="C247" s="429" t="s">
        <v>11183</v>
      </c>
      <c r="D247" s="428" t="s">
        <v>6084</v>
      </c>
      <c r="E247" s="428">
        <v>150000</v>
      </c>
      <c r="F247" s="429" t="s">
        <v>11391</v>
      </c>
      <c r="G247" s="428" t="s">
        <v>11373</v>
      </c>
      <c r="H247" s="429" t="s">
        <v>11220</v>
      </c>
      <c r="I247" s="430"/>
      <c r="J247" s="430"/>
      <c r="K247" s="430"/>
      <c r="L247" s="430"/>
      <c r="M247" s="430"/>
      <c r="N247" s="430">
        <v>150000</v>
      </c>
      <c r="O247" s="430"/>
      <c r="P247" s="430"/>
      <c r="Q247" s="430"/>
      <c r="R247" s="430"/>
      <c r="S247" s="430"/>
      <c r="T247" s="430"/>
      <c r="U247" s="430"/>
      <c r="V247" s="430"/>
      <c r="W247" s="430"/>
      <c r="X247" s="430"/>
      <c r="Y247" s="430"/>
      <c r="Z247" s="430"/>
      <c r="AA247" s="430"/>
      <c r="AB247" s="430"/>
      <c r="AC247" s="428"/>
      <c r="AD247" s="428"/>
      <c r="AE247" s="430"/>
      <c r="AF247" s="430"/>
      <c r="AG247" s="430"/>
      <c r="AH247" s="430"/>
      <c r="AI247" s="430"/>
      <c r="AJ247" s="430"/>
      <c r="AK247" s="430"/>
      <c r="AL247" s="430"/>
      <c r="AM247" s="430"/>
      <c r="AN247" s="430"/>
      <c r="AO247" s="430"/>
      <c r="AP247" s="430"/>
      <c r="AQ247" s="430"/>
      <c r="AR247" s="430"/>
      <c r="AS247" s="430"/>
      <c r="AT247" s="430"/>
      <c r="AU247" s="430"/>
      <c r="AV247" s="432"/>
    </row>
    <row r="248" s="397" customFormat="1" ht="18" customHeight="1" spans="1:48">
      <c r="A248" s="426">
        <v>45981</v>
      </c>
      <c r="B248" s="427">
        <v>1000034306</v>
      </c>
      <c r="C248" s="429" t="s">
        <v>11183</v>
      </c>
      <c r="D248" s="428" t="s">
        <v>11378</v>
      </c>
      <c r="E248" s="428">
        <v>7000</v>
      </c>
      <c r="F248" s="429" t="s">
        <v>11379</v>
      </c>
      <c r="G248" s="428" t="s">
        <v>11147</v>
      </c>
      <c r="H248" s="429" t="s">
        <v>11148</v>
      </c>
      <c r="I248" s="430"/>
      <c r="J248" s="430"/>
      <c r="K248" s="430"/>
      <c r="L248" s="430"/>
      <c r="M248" s="430"/>
      <c r="N248" s="430"/>
      <c r="O248" s="430"/>
      <c r="P248" s="430"/>
      <c r="Q248" s="430"/>
      <c r="R248" s="430"/>
      <c r="S248" s="430"/>
      <c r="T248" s="430"/>
      <c r="U248" s="430"/>
      <c r="V248" s="430"/>
      <c r="W248" s="430"/>
      <c r="X248" s="430"/>
      <c r="Y248" s="430"/>
      <c r="Z248" s="430">
        <v>7000</v>
      </c>
      <c r="AA248" s="430"/>
      <c r="AB248" s="430"/>
      <c r="AC248" s="428"/>
      <c r="AD248" s="428"/>
      <c r="AE248" s="430"/>
      <c r="AF248" s="430"/>
      <c r="AG248" s="430"/>
      <c r="AH248" s="430"/>
      <c r="AI248" s="430"/>
      <c r="AJ248" s="430"/>
      <c r="AK248" s="430"/>
      <c r="AL248" s="430"/>
      <c r="AM248" s="430"/>
      <c r="AN248" s="430"/>
      <c r="AO248" s="430"/>
      <c r="AP248" s="430"/>
      <c r="AQ248" s="430"/>
      <c r="AR248" s="430"/>
      <c r="AS248" s="430"/>
      <c r="AT248" s="430"/>
      <c r="AU248" s="430"/>
      <c r="AV248" s="432"/>
    </row>
    <row r="249" s="397" customFormat="1" ht="18" customHeight="1" spans="1:48">
      <c r="A249" s="426">
        <v>45981</v>
      </c>
      <c r="B249" s="427">
        <v>1000034307</v>
      </c>
      <c r="C249" s="429" t="s">
        <v>11183</v>
      </c>
      <c r="D249" s="428" t="s">
        <v>11378</v>
      </c>
      <c r="E249" s="428">
        <v>500</v>
      </c>
      <c r="F249" s="429" t="s">
        <v>11381</v>
      </c>
      <c r="G249" s="428" t="s">
        <v>11373</v>
      </c>
      <c r="H249" s="429" t="s">
        <v>11148</v>
      </c>
      <c r="I249" s="430"/>
      <c r="J249" s="430"/>
      <c r="K249" s="430"/>
      <c r="L249" s="430"/>
      <c r="M249" s="430"/>
      <c r="N249" s="430"/>
      <c r="O249" s="430"/>
      <c r="P249" s="430"/>
      <c r="Q249" s="430"/>
      <c r="R249" s="430"/>
      <c r="S249" s="430"/>
      <c r="T249" s="430"/>
      <c r="U249" s="430"/>
      <c r="V249" s="430"/>
      <c r="W249" s="430"/>
      <c r="X249" s="430"/>
      <c r="Y249" s="430"/>
      <c r="Z249" s="430"/>
      <c r="AA249" s="430">
        <v>500</v>
      </c>
      <c r="AB249" s="430"/>
      <c r="AC249" s="428"/>
      <c r="AD249" s="428"/>
      <c r="AE249" s="430"/>
      <c r="AF249" s="430"/>
      <c r="AG249" s="430"/>
      <c r="AH249" s="430"/>
      <c r="AI249" s="430"/>
      <c r="AJ249" s="430"/>
      <c r="AK249" s="430"/>
      <c r="AL249" s="430"/>
      <c r="AM249" s="430"/>
      <c r="AN249" s="430"/>
      <c r="AO249" s="430"/>
      <c r="AP249" s="430"/>
      <c r="AQ249" s="430"/>
      <c r="AR249" s="430"/>
      <c r="AS249" s="430"/>
      <c r="AT249" s="430"/>
      <c r="AU249" s="430"/>
      <c r="AV249" s="432"/>
    </row>
    <row r="250" s="397" customFormat="1" ht="18" customHeight="1" spans="1:48">
      <c r="A250" s="426">
        <v>45981</v>
      </c>
      <c r="B250" s="427">
        <v>1000034308</v>
      </c>
      <c r="C250" s="429" t="s">
        <v>11183</v>
      </c>
      <c r="D250" s="428" t="s">
        <v>6166</v>
      </c>
      <c r="E250" s="428">
        <v>500</v>
      </c>
      <c r="F250" s="429" t="s">
        <v>11427</v>
      </c>
      <c r="G250" s="428" t="s">
        <v>11147</v>
      </c>
      <c r="H250" s="429" t="s">
        <v>11148</v>
      </c>
      <c r="I250" s="430"/>
      <c r="J250" s="430"/>
      <c r="K250" s="430"/>
      <c r="L250" s="430"/>
      <c r="M250" s="430"/>
      <c r="N250" s="430"/>
      <c r="O250" s="430"/>
      <c r="P250" s="430"/>
      <c r="Q250" s="430"/>
      <c r="R250" s="430"/>
      <c r="S250" s="430"/>
      <c r="T250" s="430"/>
      <c r="U250" s="430"/>
      <c r="V250" s="430"/>
      <c r="W250" s="430">
        <v>500</v>
      </c>
      <c r="X250" s="430"/>
      <c r="Y250" s="430"/>
      <c r="Z250" s="430"/>
      <c r="AA250" s="430"/>
      <c r="AB250" s="430"/>
      <c r="AC250" s="428"/>
      <c r="AD250" s="428"/>
      <c r="AE250" s="430"/>
      <c r="AF250" s="430"/>
      <c r="AG250" s="430"/>
      <c r="AH250" s="430"/>
      <c r="AI250" s="430"/>
      <c r="AJ250" s="430"/>
      <c r="AK250" s="430"/>
      <c r="AL250" s="430"/>
      <c r="AM250" s="430"/>
      <c r="AN250" s="430"/>
      <c r="AO250" s="430"/>
      <c r="AP250" s="430"/>
      <c r="AQ250" s="430"/>
      <c r="AR250" s="430"/>
      <c r="AS250" s="430"/>
      <c r="AT250" s="430"/>
      <c r="AU250" s="430"/>
      <c r="AV250" s="432"/>
    </row>
    <row r="251" s="397" customFormat="1" ht="18" customHeight="1" spans="1:48">
      <c r="A251" s="426">
        <v>45981</v>
      </c>
      <c r="B251" s="427">
        <v>1000034314</v>
      </c>
      <c r="C251" s="429" t="s">
        <v>11183</v>
      </c>
      <c r="D251" s="428" t="s">
        <v>6047</v>
      </c>
      <c r="E251" s="428">
        <v>100000</v>
      </c>
      <c r="F251" s="429" t="s">
        <v>11152</v>
      </c>
      <c r="G251" s="428" t="s">
        <v>11153</v>
      </c>
      <c r="H251" s="429" t="s">
        <v>11148</v>
      </c>
      <c r="I251" s="430"/>
      <c r="J251" s="430"/>
      <c r="K251" s="430"/>
      <c r="L251" s="430"/>
      <c r="M251" s="430">
        <v>100000</v>
      </c>
      <c r="N251" s="430"/>
      <c r="O251" s="430"/>
      <c r="P251" s="430"/>
      <c r="Q251" s="430"/>
      <c r="R251" s="430"/>
      <c r="S251" s="430"/>
      <c r="T251" s="430"/>
      <c r="U251" s="430"/>
      <c r="V251" s="430"/>
      <c r="W251" s="430"/>
      <c r="X251" s="430"/>
      <c r="Y251" s="430"/>
      <c r="Z251" s="430"/>
      <c r="AA251" s="430"/>
      <c r="AB251" s="430"/>
      <c r="AC251" s="428"/>
      <c r="AD251" s="428"/>
      <c r="AE251" s="430"/>
      <c r="AF251" s="430"/>
      <c r="AG251" s="430"/>
      <c r="AH251" s="430"/>
      <c r="AI251" s="430"/>
      <c r="AJ251" s="430"/>
      <c r="AK251" s="430"/>
      <c r="AL251" s="430"/>
      <c r="AM251" s="430"/>
      <c r="AN251" s="430"/>
      <c r="AO251" s="430"/>
      <c r="AP251" s="430"/>
      <c r="AQ251" s="430"/>
      <c r="AR251" s="430"/>
      <c r="AS251" s="430"/>
      <c r="AT251" s="430"/>
      <c r="AU251" s="430"/>
      <c r="AV251" s="432"/>
    </row>
    <row r="252" s="397" customFormat="1" ht="18" customHeight="1" spans="1:48">
      <c r="A252" s="426">
        <v>45981</v>
      </c>
      <c r="B252" s="427">
        <v>1000034315</v>
      </c>
      <c r="C252" s="429" t="s">
        <v>11183</v>
      </c>
      <c r="D252" s="428" t="s">
        <v>6223</v>
      </c>
      <c r="E252" s="428">
        <v>300</v>
      </c>
      <c r="F252" s="429" t="s">
        <v>11431</v>
      </c>
      <c r="G252" s="428" t="s">
        <v>11153</v>
      </c>
      <c r="H252" s="429" t="s">
        <v>11148</v>
      </c>
      <c r="I252" s="430"/>
      <c r="J252" s="430"/>
      <c r="K252" s="430"/>
      <c r="L252" s="430"/>
      <c r="M252" s="430"/>
      <c r="N252" s="430"/>
      <c r="O252" s="430"/>
      <c r="P252" s="430"/>
      <c r="Q252" s="430"/>
      <c r="R252" s="430"/>
      <c r="S252" s="430"/>
      <c r="T252" s="430"/>
      <c r="U252" s="430"/>
      <c r="V252" s="430"/>
      <c r="W252" s="430"/>
      <c r="X252" s="430"/>
      <c r="Y252" s="430"/>
      <c r="Z252" s="430"/>
      <c r="AA252" s="430"/>
      <c r="AB252" s="430"/>
      <c r="AC252" s="428"/>
      <c r="AD252" s="428"/>
      <c r="AE252" s="430"/>
      <c r="AF252" s="430"/>
      <c r="AG252" s="430"/>
      <c r="AH252" s="430"/>
      <c r="AI252" s="430"/>
      <c r="AJ252" s="430"/>
      <c r="AK252" s="430"/>
      <c r="AL252" s="430"/>
      <c r="AM252" s="430"/>
      <c r="AN252" s="430"/>
      <c r="AO252" s="430"/>
      <c r="AP252" s="430"/>
      <c r="AQ252" s="430">
        <v>300</v>
      </c>
      <c r="AR252" s="430"/>
      <c r="AS252" s="430"/>
      <c r="AT252" s="430"/>
      <c r="AU252" s="430"/>
      <c r="AV252" s="432"/>
    </row>
    <row r="253" s="397" customFormat="1" ht="18" customHeight="1" spans="1:48">
      <c r="A253" s="426">
        <v>45981</v>
      </c>
      <c r="B253" s="427">
        <v>1000034316</v>
      </c>
      <c r="C253" s="429" t="s">
        <v>11183</v>
      </c>
      <c r="D253" s="428" t="s">
        <v>6093</v>
      </c>
      <c r="E253" s="428">
        <v>2500</v>
      </c>
      <c r="F253" s="429" t="s">
        <v>11402</v>
      </c>
      <c r="G253" s="428" t="s">
        <v>11153</v>
      </c>
      <c r="H253" s="429" t="s">
        <v>11148</v>
      </c>
      <c r="I253" s="430"/>
      <c r="J253" s="430"/>
      <c r="K253" s="430"/>
      <c r="L253" s="430"/>
      <c r="M253" s="430"/>
      <c r="N253" s="430"/>
      <c r="O253" s="430"/>
      <c r="P253" s="430"/>
      <c r="Q253" s="430"/>
      <c r="R253" s="430"/>
      <c r="S253" s="430"/>
      <c r="T253" s="430"/>
      <c r="U253" s="430"/>
      <c r="V253" s="430"/>
      <c r="W253" s="430"/>
      <c r="X253" s="430"/>
      <c r="Y253" s="430">
        <v>2500</v>
      </c>
      <c r="Z253" s="430"/>
      <c r="AA253" s="430"/>
      <c r="AB253" s="430"/>
      <c r="AC253" s="428"/>
      <c r="AD253" s="428"/>
      <c r="AE253" s="430"/>
      <c r="AF253" s="430"/>
      <c r="AG253" s="430"/>
      <c r="AH253" s="430"/>
      <c r="AI253" s="430"/>
      <c r="AJ253" s="430"/>
      <c r="AK253" s="430"/>
      <c r="AL253" s="430"/>
      <c r="AM253" s="430"/>
      <c r="AN253" s="430"/>
      <c r="AO253" s="430"/>
      <c r="AP253" s="430"/>
      <c r="AQ253" s="430"/>
      <c r="AR253" s="430"/>
      <c r="AS253" s="430"/>
      <c r="AT253" s="430"/>
      <c r="AU253" s="430"/>
      <c r="AV253" s="432"/>
    </row>
    <row r="254" s="397" customFormat="1" ht="18" customHeight="1" spans="1:48">
      <c r="A254" s="426">
        <v>45981</v>
      </c>
      <c r="B254" s="427">
        <v>1000034317</v>
      </c>
      <c r="C254" s="429" t="s">
        <v>11183</v>
      </c>
      <c r="D254" s="428" t="s">
        <v>6047</v>
      </c>
      <c r="E254" s="428">
        <v>1000</v>
      </c>
      <c r="F254" s="429" t="s">
        <v>11387</v>
      </c>
      <c r="G254" s="428" t="s">
        <v>11153</v>
      </c>
      <c r="H254" s="429" t="s">
        <v>11148</v>
      </c>
      <c r="I254" s="430"/>
      <c r="J254" s="430"/>
      <c r="K254" s="430"/>
      <c r="L254" s="430"/>
      <c r="M254" s="430"/>
      <c r="N254" s="430"/>
      <c r="O254" s="430"/>
      <c r="P254" s="430"/>
      <c r="Q254" s="430"/>
      <c r="R254" s="430"/>
      <c r="S254" s="430"/>
      <c r="T254" s="430"/>
      <c r="U254" s="430"/>
      <c r="V254" s="430"/>
      <c r="W254" s="430"/>
      <c r="X254" s="430"/>
      <c r="Y254" s="430"/>
      <c r="Z254" s="430"/>
      <c r="AA254" s="430"/>
      <c r="AB254" s="430">
        <v>1000</v>
      </c>
      <c r="AC254" s="428"/>
      <c r="AD254" s="428"/>
      <c r="AE254" s="430"/>
      <c r="AF254" s="430"/>
      <c r="AG254" s="430"/>
      <c r="AH254" s="430"/>
      <c r="AI254" s="430"/>
      <c r="AJ254" s="430"/>
      <c r="AK254" s="430"/>
      <c r="AL254" s="430"/>
      <c r="AM254" s="430"/>
      <c r="AN254" s="430"/>
      <c r="AO254" s="430"/>
      <c r="AP254" s="430"/>
      <c r="AQ254" s="430"/>
      <c r="AR254" s="430"/>
      <c r="AS254" s="430"/>
      <c r="AT254" s="430"/>
      <c r="AU254" s="430"/>
      <c r="AV254" s="432"/>
    </row>
    <row r="255" s="397" customFormat="1" ht="18" customHeight="1" spans="1:48">
      <c r="A255" s="426">
        <v>45980</v>
      </c>
      <c r="B255" s="427" t="s">
        <v>11630</v>
      </c>
      <c r="C255" s="429" t="s">
        <v>11212</v>
      </c>
      <c r="D255" s="428" t="s">
        <v>11213</v>
      </c>
      <c r="E255" s="428">
        <v>64800</v>
      </c>
      <c r="F255" s="429" t="s">
        <v>11254</v>
      </c>
      <c r="G255" s="428" t="s">
        <v>11153</v>
      </c>
      <c r="H255" s="429" t="s">
        <v>73</v>
      </c>
      <c r="I255" s="430"/>
      <c r="J255" s="430"/>
      <c r="K255" s="430"/>
      <c r="L255" s="430"/>
      <c r="M255" s="430"/>
      <c r="N255" s="430"/>
      <c r="O255" s="430"/>
      <c r="P255" s="430"/>
      <c r="Q255" s="430"/>
      <c r="R255" s="430"/>
      <c r="S255" s="430"/>
      <c r="T255" s="430"/>
      <c r="U255" s="430">
        <v>64800</v>
      </c>
      <c r="V255" s="430"/>
      <c r="W255" s="430"/>
      <c r="X255" s="430"/>
      <c r="Y255" s="430"/>
      <c r="Z255" s="430"/>
      <c r="AA255" s="430"/>
      <c r="AB255" s="430"/>
      <c r="AC255" s="428"/>
      <c r="AD255" s="428"/>
      <c r="AE255" s="430"/>
      <c r="AF255" s="430"/>
      <c r="AG255" s="430"/>
      <c r="AH255" s="430"/>
      <c r="AI255" s="430"/>
      <c r="AJ255" s="430"/>
      <c r="AK255" s="430"/>
      <c r="AL255" s="430"/>
      <c r="AM255" s="430"/>
      <c r="AN255" s="430"/>
      <c r="AO255" s="430"/>
      <c r="AP255" s="430"/>
      <c r="AQ255" s="430"/>
      <c r="AR255" s="430"/>
      <c r="AS255" s="430"/>
      <c r="AT255" s="430"/>
      <c r="AU255" s="430"/>
      <c r="AV255" s="432"/>
    </row>
    <row r="256" s="397" customFormat="1" ht="18" customHeight="1" spans="1:48">
      <c r="A256" s="426">
        <v>45980</v>
      </c>
      <c r="B256" s="427" t="s">
        <v>11631</v>
      </c>
      <c r="C256" s="429" t="s">
        <v>11212</v>
      </c>
      <c r="D256" s="428" t="s">
        <v>11213</v>
      </c>
      <c r="E256" s="428">
        <v>12960</v>
      </c>
      <c r="F256" s="429" t="s">
        <v>11258</v>
      </c>
      <c r="G256" s="428" t="s">
        <v>11153</v>
      </c>
      <c r="H256" s="429" t="s">
        <v>73</v>
      </c>
      <c r="I256" s="430"/>
      <c r="J256" s="430"/>
      <c r="K256" s="430"/>
      <c r="L256" s="430"/>
      <c r="M256" s="430"/>
      <c r="N256" s="430"/>
      <c r="O256" s="430"/>
      <c r="P256" s="430"/>
      <c r="Q256" s="430"/>
      <c r="R256" s="430"/>
      <c r="S256" s="430"/>
      <c r="T256" s="430"/>
      <c r="U256" s="430"/>
      <c r="V256" s="430">
        <v>12960</v>
      </c>
      <c r="W256" s="430"/>
      <c r="X256" s="430"/>
      <c r="Y256" s="430"/>
      <c r="Z256" s="430"/>
      <c r="AA256" s="430"/>
      <c r="AB256" s="430"/>
      <c r="AC256" s="428"/>
      <c r="AD256" s="428"/>
      <c r="AE256" s="430"/>
      <c r="AF256" s="430"/>
      <c r="AG256" s="430"/>
      <c r="AH256" s="430"/>
      <c r="AI256" s="430"/>
      <c r="AJ256" s="430"/>
      <c r="AK256" s="430"/>
      <c r="AL256" s="430"/>
      <c r="AM256" s="430"/>
      <c r="AN256" s="430"/>
      <c r="AO256" s="430"/>
      <c r="AP256" s="430"/>
      <c r="AQ256" s="430"/>
      <c r="AR256" s="430"/>
      <c r="AS256" s="430"/>
      <c r="AT256" s="430"/>
      <c r="AU256" s="430"/>
      <c r="AV256" s="432"/>
    </row>
    <row r="257" s="397" customFormat="1" ht="18" customHeight="1" spans="1:48">
      <c r="A257" s="426">
        <v>45980</v>
      </c>
      <c r="B257" s="427" t="s">
        <v>11632</v>
      </c>
      <c r="C257" s="429" t="s">
        <v>11212</v>
      </c>
      <c r="D257" s="428" t="s">
        <v>11213</v>
      </c>
      <c r="E257" s="428">
        <v>194400</v>
      </c>
      <c r="F257" s="429" t="s">
        <v>11501</v>
      </c>
      <c r="G257" s="428" t="s">
        <v>11153</v>
      </c>
      <c r="H257" s="429" t="s">
        <v>73</v>
      </c>
      <c r="I257" s="430"/>
      <c r="J257" s="430"/>
      <c r="K257" s="430"/>
      <c r="L257" s="430"/>
      <c r="M257" s="430"/>
      <c r="N257" s="430"/>
      <c r="O257" s="430"/>
      <c r="P257" s="430"/>
      <c r="Q257" s="430"/>
      <c r="R257" s="430"/>
      <c r="S257" s="430">
        <v>194400</v>
      </c>
      <c r="T257" s="430">
        <v>194400</v>
      </c>
      <c r="U257" s="430"/>
      <c r="V257" s="430"/>
      <c r="W257" s="430"/>
      <c r="X257" s="430"/>
      <c r="Y257" s="430"/>
      <c r="Z257" s="430"/>
      <c r="AA257" s="430"/>
      <c r="AB257" s="430"/>
      <c r="AC257" s="428"/>
      <c r="AD257" s="428"/>
      <c r="AE257" s="430"/>
      <c r="AF257" s="430"/>
      <c r="AG257" s="430"/>
      <c r="AH257" s="430"/>
      <c r="AI257" s="430"/>
      <c r="AJ257" s="430"/>
      <c r="AK257" s="430"/>
      <c r="AL257" s="430"/>
      <c r="AM257" s="430"/>
      <c r="AN257" s="430"/>
      <c r="AO257" s="430"/>
      <c r="AP257" s="430"/>
      <c r="AQ257" s="430"/>
      <c r="AR257" s="430"/>
      <c r="AS257" s="430"/>
      <c r="AT257" s="430"/>
      <c r="AU257" s="430"/>
      <c r="AV257" s="432"/>
    </row>
    <row r="258" s="397" customFormat="1" ht="19" customHeight="1" spans="1:48">
      <c r="A258" s="426">
        <v>45993</v>
      </c>
      <c r="B258" s="427">
        <v>1000034636</v>
      </c>
      <c r="C258" s="428" t="s">
        <v>11183</v>
      </c>
      <c r="D258" s="428" t="s">
        <v>6084</v>
      </c>
      <c r="E258" s="428">
        <v>200000</v>
      </c>
      <c r="F258" s="429" t="s">
        <v>11146</v>
      </c>
      <c r="G258" s="428" t="s">
        <v>11147</v>
      </c>
      <c r="H258" s="429" t="s">
        <v>11148</v>
      </c>
      <c r="I258" s="430">
        <v>200000</v>
      </c>
      <c r="J258" s="430"/>
      <c r="K258" s="430"/>
      <c r="L258" s="430"/>
      <c r="M258" s="430"/>
      <c r="N258" s="430"/>
      <c r="O258" s="430"/>
      <c r="P258" s="430"/>
      <c r="Q258" s="430"/>
      <c r="R258" s="430"/>
      <c r="S258" s="430"/>
      <c r="T258" s="430"/>
      <c r="U258" s="430"/>
      <c r="V258" s="430"/>
      <c r="W258" s="430"/>
      <c r="X258" s="430"/>
      <c r="Y258" s="430"/>
      <c r="Z258" s="430"/>
      <c r="AA258" s="430"/>
      <c r="AB258" s="430"/>
      <c r="AC258" s="430"/>
      <c r="AD258" s="430"/>
      <c r="AE258" s="428"/>
      <c r="AF258" s="428"/>
      <c r="AG258" s="430"/>
      <c r="AH258" s="430"/>
      <c r="AI258" s="430"/>
      <c r="AJ258" s="430"/>
      <c r="AK258" s="430"/>
      <c r="AL258" s="430"/>
      <c r="AM258" s="430"/>
      <c r="AN258" s="430"/>
      <c r="AO258" s="430"/>
      <c r="AP258" s="430"/>
      <c r="AQ258" s="430"/>
      <c r="AR258" s="430"/>
      <c r="AS258" s="430"/>
      <c r="AT258" s="430"/>
      <c r="AU258" s="430"/>
      <c r="AV258" s="432" t="s">
        <v>11370</v>
      </c>
    </row>
    <row r="259" s="397" customFormat="1" ht="19" customHeight="1" spans="1:48">
      <c r="A259" s="426">
        <v>45993</v>
      </c>
      <c r="B259" s="427">
        <v>1000034637</v>
      </c>
      <c r="C259" s="428" t="s">
        <v>11183</v>
      </c>
      <c r="D259" s="428" t="s">
        <v>6084</v>
      </c>
      <c r="E259" s="428">
        <v>20000</v>
      </c>
      <c r="F259" s="429" t="s">
        <v>11372</v>
      </c>
      <c r="G259" s="428" t="s">
        <v>11373</v>
      </c>
      <c r="H259" s="429" t="s">
        <v>11148</v>
      </c>
      <c r="I259" s="430"/>
      <c r="J259" s="430">
        <v>20000</v>
      </c>
      <c r="K259" s="430"/>
      <c r="L259" s="430"/>
      <c r="M259" s="430"/>
      <c r="N259" s="430"/>
      <c r="O259" s="430"/>
      <c r="P259" s="430"/>
      <c r="Q259" s="430"/>
      <c r="R259" s="430"/>
      <c r="S259" s="430"/>
      <c r="T259" s="430"/>
      <c r="U259" s="430"/>
      <c r="V259" s="430"/>
      <c r="W259" s="430"/>
      <c r="X259" s="430"/>
      <c r="Y259" s="430"/>
      <c r="Z259" s="430"/>
      <c r="AA259" s="430"/>
      <c r="AB259" s="430"/>
      <c r="AC259" s="430"/>
      <c r="AD259" s="430"/>
      <c r="AE259" s="428"/>
      <c r="AF259" s="428"/>
      <c r="AG259" s="430"/>
      <c r="AH259" s="430"/>
      <c r="AI259" s="430"/>
      <c r="AJ259" s="430"/>
      <c r="AK259" s="430"/>
      <c r="AL259" s="430"/>
      <c r="AM259" s="430"/>
      <c r="AN259" s="430"/>
      <c r="AO259" s="430"/>
      <c r="AP259" s="430"/>
      <c r="AQ259" s="430"/>
      <c r="AR259" s="430"/>
      <c r="AS259" s="430"/>
      <c r="AT259" s="430"/>
      <c r="AU259" s="430"/>
      <c r="AV259" s="432" t="s">
        <v>11370</v>
      </c>
    </row>
    <row r="260" s="397" customFormat="1" ht="19" customHeight="1" spans="1:48">
      <c r="A260" s="426">
        <v>45993</v>
      </c>
      <c r="B260" s="427">
        <v>1000034638</v>
      </c>
      <c r="C260" s="428" t="s">
        <v>11183</v>
      </c>
      <c r="D260" s="428" t="s">
        <v>6084</v>
      </c>
      <c r="E260" s="428">
        <v>300000</v>
      </c>
      <c r="F260" s="429" t="s">
        <v>11391</v>
      </c>
      <c r="G260" s="428" t="s">
        <v>11373</v>
      </c>
      <c r="H260" s="429" t="s">
        <v>11220</v>
      </c>
      <c r="I260" s="430"/>
      <c r="J260" s="430"/>
      <c r="K260" s="430"/>
      <c r="L260" s="430"/>
      <c r="M260" s="430"/>
      <c r="N260" s="430">
        <v>300000</v>
      </c>
      <c r="O260" s="430"/>
      <c r="P260" s="430"/>
      <c r="Q260" s="430"/>
      <c r="R260" s="430"/>
      <c r="S260" s="430"/>
      <c r="T260" s="430"/>
      <c r="U260" s="430"/>
      <c r="V260" s="430"/>
      <c r="W260" s="430"/>
      <c r="X260" s="430"/>
      <c r="Y260" s="430"/>
      <c r="Z260" s="430"/>
      <c r="AA260" s="430"/>
      <c r="AB260" s="430"/>
      <c r="AC260" s="430"/>
      <c r="AD260" s="430"/>
      <c r="AE260" s="428"/>
      <c r="AF260" s="428"/>
      <c r="AG260" s="430"/>
      <c r="AH260" s="430"/>
      <c r="AI260" s="430"/>
      <c r="AJ260" s="430"/>
      <c r="AK260" s="430"/>
      <c r="AL260" s="430"/>
      <c r="AM260" s="430"/>
      <c r="AN260" s="430"/>
      <c r="AO260" s="430"/>
      <c r="AP260" s="430"/>
      <c r="AQ260" s="430"/>
      <c r="AR260" s="430"/>
      <c r="AS260" s="430"/>
      <c r="AT260" s="430"/>
      <c r="AU260" s="430"/>
      <c r="AV260" s="432" t="s">
        <v>11509</v>
      </c>
    </row>
    <row r="261" s="397" customFormat="1" ht="19" customHeight="1" spans="1:48">
      <c r="A261" s="426">
        <v>45993</v>
      </c>
      <c r="B261" s="427">
        <v>1000034639</v>
      </c>
      <c r="C261" s="428" t="s">
        <v>11183</v>
      </c>
      <c r="D261" s="428" t="s">
        <v>11378</v>
      </c>
      <c r="E261" s="428">
        <v>3500</v>
      </c>
      <c r="F261" s="429" t="s">
        <v>11379</v>
      </c>
      <c r="G261" s="428" t="s">
        <v>11147</v>
      </c>
      <c r="H261" s="429" t="s">
        <v>11148</v>
      </c>
      <c r="I261" s="430"/>
      <c r="J261" s="430"/>
      <c r="K261" s="430"/>
      <c r="L261" s="430"/>
      <c r="M261" s="430"/>
      <c r="N261" s="430"/>
      <c r="O261" s="430"/>
      <c r="P261" s="430"/>
      <c r="Q261" s="430"/>
      <c r="R261" s="430"/>
      <c r="S261" s="430"/>
      <c r="T261" s="430"/>
      <c r="U261" s="430"/>
      <c r="V261" s="430"/>
      <c r="W261" s="430"/>
      <c r="X261" s="430"/>
      <c r="Y261" s="430"/>
      <c r="Z261" s="430">
        <v>3500</v>
      </c>
      <c r="AA261" s="430"/>
      <c r="AB261" s="430"/>
      <c r="AC261" s="430"/>
      <c r="AD261" s="430"/>
      <c r="AE261" s="428"/>
      <c r="AF261" s="428"/>
      <c r="AG261" s="430"/>
      <c r="AH261" s="430"/>
      <c r="AI261" s="430"/>
      <c r="AJ261" s="430"/>
      <c r="AK261" s="430"/>
      <c r="AL261" s="430"/>
      <c r="AM261" s="430"/>
      <c r="AN261" s="430"/>
      <c r="AO261" s="430"/>
      <c r="AP261" s="430"/>
      <c r="AQ261" s="430"/>
      <c r="AR261" s="430"/>
      <c r="AS261" s="430"/>
      <c r="AT261" s="430"/>
      <c r="AU261" s="430"/>
      <c r="AV261" s="432" t="s">
        <v>11376</v>
      </c>
    </row>
    <row r="262" s="397" customFormat="1" ht="19" customHeight="1" spans="1:48">
      <c r="A262" s="426">
        <v>45993</v>
      </c>
      <c r="B262" s="427">
        <v>1000034640</v>
      </c>
      <c r="C262" s="428" t="s">
        <v>11183</v>
      </c>
      <c r="D262" s="428" t="s">
        <v>6166</v>
      </c>
      <c r="E262" s="428">
        <v>3000</v>
      </c>
      <c r="F262" s="429" t="s">
        <v>11427</v>
      </c>
      <c r="G262" s="428" t="s">
        <v>11147</v>
      </c>
      <c r="H262" s="429" t="s">
        <v>11148</v>
      </c>
      <c r="I262" s="430"/>
      <c r="J262" s="430"/>
      <c r="K262" s="430"/>
      <c r="L262" s="430"/>
      <c r="M262" s="430"/>
      <c r="N262" s="430"/>
      <c r="O262" s="430"/>
      <c r="P262" s="430"/>
      <c r="Q262" s="430"/>
      <c r="R262" s="430"/>
      <c r="S262" s="430"/>
      <c r="T262" s="430"/>
      <c r="U262" s="430"/>
      <c r="V262" s="430"/>
      <c r="W262" s="430">
        <v>3000</v>
      </c>
      <c r="X262" s="430"/>
      <c r="Y262" s="430"/>
      <c r="Z262" s="430"/>
      <c r="AA262" s="430"/>
      <c r="AB262" s="430"/>
      <c r="AC262" s="430"/>
      <c r="AD262" s="430"/>
      <c r="AE262" s="428"/>
      <c r="AF262" s="428"/>
      <c r="AG262" s="430"/>
      <c r="AH262" s="430"/>
      <c r="AI262" s="430"/>
      <c r="AJ262" s="430"/>
      <c r="AK262" s="430"/>
      <c r="AL262" s="430"/>
      <c r="AM262" s="430"/>
      <c r="AN262" s="430"/>
      <c r="AO262" s="430"/>
      <c r="AP262" s="430"/>
      <c r="AQ262" s="430"/>
      <c r="AR262" s="430"/>
      <c r="AS262" s="430"/>
      <c r="AT262" s="430"/>
      <c r="AU262" s="430"/>
      <c r="AV262" s="432" t="s">
        <v>11376</v>
      </c>
    </row>
    <row r="263" s="397" customFormat="1" ht="19" customHeight="1" spans="1:48">
      <c r="A263" s="426">
        <v>45993</v>
      </c>
      <c r="B263" s="427">
        <v>1000034646</v>
      </c>
      <c r="C263" s="428" t="s">
        <v>11183</v>
      </c>
      <c r="D263" s="428" t="s">
        <v>6047</v>
      </c>
      <c r="E263" s="428">
        <v>150000</v>
      </c>
      <c r="F263" s="429" t="s">
        <v>11152</v>
      </c>
      <c r="G263" s="428" t="s">
        <v>11153</v>
      </c>
      <c r="H263" s="429" t="s">
        <v>11148</v>
      </c>
      <c r="I263" s="430"/>
      <c r="J263" s="430"/>
      <c r="K263" s="430"/>
      <c r="L263" s="430"/>
      <c r="M263" s="430">
        <v>150000</v>
      </c>
      <c r="N263" s="430"/>
      <c r="O263" s="430"/>
      <c r="P263" s="430"/>
      <c r="Q263" s="430"/>
      <c r="R263" s="430"/>
      <c r="S263" s="430"/>
      <c r="T263" s="430"/>
      <c r="U263" s="430"/>
      <c r="V263" s="430"/>
      <c r="W263" s="430"/>
      <c r="X263" s="430"/>
      <c r="Y263" s="430"/>
      <c r="Z263" s="430"/>
      <c r="AA263" s="430"/>
      <c r="AB263" s="430"/>
      <c r="AC263" s="430"/>
      <c r="AD263" s="430"/>
      <c r="AE263" s="428"/>
      <c r="AF263" s="428"/>
      <c r="AG263" s="430"/>
      <c r="AH263" s="430"/>
      <c r="AI263" s="430"/>
      <c r="AJ263" s="430"/>
      <c r="AK263" s="430"/>
      <c r="AL263" s="430"/>
      <c r="AM263" s="430"/>
      <c r="AN263" s="430"/>
      <c r="AO263" s="430"/>
      <c r="AP263" s="430"/>
      <c r="AQ263" s="430"/>
      <c r="AR263" s="430"/>
      <c r="AS263" s="430"/>
      <c r="AT263" s="430"/>
      <c r="AU263" s="430"/>
      <c r="AV263" s="432" t="s">
        <v>11383</v>
      </c>
    </row>
    <row r="264" s="397" customFormat="1" ht="19" customHeight="1" spans="1:48">
      <c r="A264" s="426">
        <v>45993</v>
      </c>
      <c r="B264" s="427">
        <v>1000034647</v>
      </c>
      <c r="C264" s="428" t="s">
        <v>11183</v>
      </c>
      <c r="D264" s="428" t="s">
        <v>6047</v>
      </c>
      <c r="E264" s="428">
        <v>150000</v>
      </c>
      <c r="F264" s="429" t="s">
        <v>11375</v>
      </c>
      <c r="G264" s="428" t="s">
        <v>11157</v>
      </c>
      <c r="H264" s="429" t="s">
        <v>11220</v>
      </c>
      <c r="I264" s="430"/>
      <c r="J264" s="430"/>
      <c r="K264" s="430"/>
      <c r="L264" s="430"/>
      <c r="M264" s="430"/>
      <c r="N264" s="430"/>
      <c r="O264" s="430">
        <v>150000</v>
      </c>
      <c r="P264" s="430"/>
      <c r="Q264" s="430"/>
      <c r="R264" s="430"/>
      <c r="S264" s="430"/>
      <c r="T264" s="430"/>
      <c r="U264" s="430"/>
      <c r="V264" s="430"/>
      <c r="W264" s="430"/>
      <c r="X264" s="430"/>
      <c r="Y264" s="430"/>
      <c r="Z264" s="430"/>
      <c r="AA264" s="430"/>
      <c r="AB264" s="430"/>
      <c r="AC264" s="430"/>
      <c r="AD264" s="430"/>
      <c r="AE264" s="428"/>
      <c r="AF264" s="428"/>
      <c r="AG264" s="430"/>
      <c r="AH264" s="430"/>
      <c r="AI264" s="430"/>
      <c r="AJ264" s="430"/>
      <c r="AK264" s="430"/>
      <c r="AL264" s="430"/>
      <c r="AM264" s="430"/>
      <c r="AN264" s="430"/>
      <c r="AO264" s="430"/>
      <c r="AP264" s="430"/>
      <c r="AQ264" s="430"/>
      <c r="AR264" s="430"/>
      <c r="AS264" s="430"/>
      <c r="AT264" s="430"/>
      <c r="AU264" s="430"/>
      <c r="AV264" s="432" t="s">
        <v>11515</v>
      </c>
    </row>
    <row r="265" s="397" customFormat="1" ht="19" customHeight="1" spans="1:48">
      <c r="A265" s="426">
        <v>45993</v>
      </c>
      <c r="B265" s="427">
        <v>1000034648</v>
      </c>
      <c r="C265" s="428" t="s">
        <v>11183</v>
      </c>
      <c r="D265" s="428" t="s">
        <v>6093</v>
      </c>
      <c r="E265" s="428">
        <v>5000</v>
      </c>
      <c r="F265" s="429" t="s">
        <v>11402</v>
      </c>
      <c r="G265" s="428" t="s">
        <v>11153</v>
      </c>
      <c r="H265" s="429" t="s">
        <v>11148</v>
      </c>
      <c r="I265" s="430"/>
      <c r="J265" s="430"/>
      <c r="K265" s="430"/>
      <c r="L265" s="430"/>
      <c r="M265" s="430"/>
      <c r="N265" s="430"/>
      <c r="O265" s="430"/>
      <c r="P265" s="430"/>
      <c r="Q265" s="430"/>
      <c r="R265" s="430"/>
      <c r="S265" s="430"/>
      <c r="T265" s="430"/>
      <c r="U265" s="430"/>
      <c r="V265" s="430"/>
      <c r="W265" s="430"/>
      <c r="X265" s="430"/>
      <c r="Y265" s="430">
        <v>5000</v>
      </c>
      <c r="Z265" s="430"/>
      <c r="AA265" s="430"/>
      <c r="AB265" s="430"/>
      <c r="AC265" s="430"/>
      <c r="AD265" s="430"/>
      <c r="AE265" s="428"/>
      <c r="AF265" s="428"/>
      <c r="AG265" s="430"/>
      <c r="AH265" s="430"/>
      <c r="AI265" s="430"/>
      <c r="AJ265" s="430"/>
      <c r="AK265" s="430"/>
      <c r="AL265" s="430"/>
      <c r="AM265" s="430"/>
      <c r="AN265" s="430"/>
      <c r="AO265" s="430"/>
      <c r="AP265" s="430"/>
      <c r="AQ265" s="430"/>
      <c r="AR265" s="430"/>
      <c r="AS265" s="430"/>
      <c r="AT265" s="430"/>
      <c r="AU265" s="430"/>
      <c r="AV265" s="432" t="s">
        <v>11385</v>
      </c>
    </row>
    <row r="266" s="397" customFormat="1" ht="19" customHeight="1" spans="1:48">
      <c r="A266" s="426">
        <v>45993</v>
      </c>
      <c r="B266" s="427">
        <v>1000034649</v>
      </c>
      <c r="C266" s="428" t="s">
        <v>11183</v>
      </c>
      <c r="D266" s="428" t="s">
        <v>6047</v>
      </c>
      <c r="E266" s="428">
        <v>1500</v>
      </c>
      <c r="F266" s="429" t="s">
        <v>11387</v>
      </c>
      <c r="G266" s="428" t="s">
        <v>11153</v>
      </c>
      <c r="H266" s="429" t="s">
        <v>11148</v>
      </c>
      <c r="I266" s="430"/>
      <c r="J266" s="430"/>
      <c r="K266" s="430"/>
      <c r="L266" s="430"/>
      <c r="M266" s="430"/>
      <c r="N266" s="430"/>
      <c r="O266" s="430"/>
      <c r="P266" s="430"/>
      <c r="Q266" s="430"/>
      <c r="R266" s="430"/>
      <c r="S266" s="430"/>
      <c r="T266" s="430"/>
      <c r="U266" s="430"/>
      <c r="V266" s="430"/>
      <c r="W266" s="430"/>
      <c r="X266" s="430"/>
      <c r="Y266" s="430"/>
      <c r="Z266" s="430"/>
      <c r="AA266" s="430"/>
      <c r="AB266" s="430">
        <v>1500</v>
      </c>
      <c r="AC266" s="430"/>
      <c r="AD266" s="430"/>
      <c r="AE266" s="428"/>
      <c r="AF266" s="428"/>
      <c r="AG266" s="430"/>
      <c r="AH266" s="430"/>
      <c r="AI266" s="430"/>
      <c r="AJ266" s="430"/>
      <c r="AK266" s="430"/>
      <c r="AL266" s="430"/>
      <c r="AM266" s="430"/>
      <c r="AN266" s="430"/>
      <c r="AO266" s="430"/>
      <c r="AP266" s="430"/>
      <c r="AQ266" s="430"/>
      <c r="AR266" s="430"/>
      <c r="AS266" s="430"/>
      <c r="AT266" s="430"/>
      <c r="AU266" s="430"/>
      <c r="AV266" s="432" t="s">
        <v>11385</v>
      </c>
    </row>
    <row r="267" s="397" customFormat="1" ht="19" customHeight="1" spans="1:48">
      <c r="A267" s="426">
        <v>45996</v>
      </c>
      <c r="B267" s="427" t="s">
        <v>11633</v>
      </c>
      <c r="C267" s="428" t="s">
        <v>11190</v>
      </c>
      <c r="D267" s="428">
        <v>77785</v>
      </c>
      <c r="E267" s="428">
        <v>2934</v>
      </c>
      <c r="F267" s="429" t="s">
        <v>11612</v>
      </c>
      <c r="G267" s="428" t="s">
        <v>11153</v>
      </c>
      <c r="H267" s="429" t="s">
        <v>11220</v>
      </c>
      <c r="I267" s="430"/>
      <c r="J267" s="430"/>
      <c r="K267" s="430"/>
      <c r="L267" s="430"/>
      <c r="M267" s="430"/>
      <c r="N267" s="430"/>
      <c r="O267" s="430"/>
      <c r="P267" s="430"/>
      <c r="Q267" s="430"/>
      <c r="R267" s="430"/>
      <c r="S267" s="430"/>
      <c r="T267" s="430"/>
      <c r="U267" s="430"/>
      <c r="V267" s="430"/>
      <c r="W267" s="430"/>
      <c r="X267" s="430"/>
      <c r="Y267" s="430"/>
      <c r="Z267" s="430"/>
      <c r="AA267" s="430"/>
      <c r="AB267" s="430"/>
      <c r="AC267" s="430"/>
      <c r="AD267" s="430"/>
      <c r="AE267" s="428"/>
      <c r="AF267" s="428"/>
      <c r="AG267" s="430"/>
      <c r="AH267" s="430"/>
      <c r="AI267" s="430"/>
      <c r="AJ267" s="430">
        <v>2934</v>
      </c>
      <c r="AK267" s="430"/>
      <c r="AL267" s="430"/>
      <c r="AM267" s="430"/>
      <c r="AN267" s="430"/>
      <c r="AO267" s="430"/>
      <c r="AP267" s="430"/>
      <c r="AQ267" s="430"/>
      <c r="AR267" s="430"/>
      <c r="AS267" s="430"/>
      <c r="AT267" s="430"/>
      <c r="AU267" s="430"/>
      <c r="AV267" s="432" t="s">
        <v>11634</v>
      </c>
    </row>
    <row r="268" s="397" customFormat="1" ht="19" customHeight="1" spans="1:48">
      <c r="A268" s="426">
        <v>45996</v>
      </c>
      <c r="B268" s="427" t="s">
        <v>11635</v>
      </c>
      <c r="C268" s="428" t="s">
        <v>11190</v>
      </c>
      <c r="D268" s="428">
        <v>77731</v>
      </c>
      <c r="E268" s="428">
        <v>10000</v>
      </c>
      <c r="F268" s="429" t="s">
        <v>11404</v>
      </c>
      <c r="G268" s="428" t="s">
        <v>11271</v>
      </c>
      <c r="H268" s="429" t="s">
        <v>73</v>
      </c>
      <c r="I268" s="430"/>
      <c r="J268" s="430"/>
      <c r="K268" s="430"/>
      <c r="L268" s="430"/>
      <c r="M268" s="430"/>
      <c r="N268" s="430"/>
      <c r="O268" s="430"/>
      <c r="P268" s="430"/>
      <c r="Q268" s="430"/>
      <c r="R268" s="430"/>
      <c r="S268" s="430"/>
      <c r="T268" s="430"/>
      <c r="U268" s="430"/>
      <c r="V268" s="430"/>
      <c r="W268" s="430"/>
      <c r="X268" s="430"/>
      <c r="Y268" s="430"/>
      <c r="Z268" s="430"/>
      <c r="AA268" s="430"/>
      <c r="AB268" s="430"/>
      <c r="AC268" s="430"/>
      <c r="AD268" s="430"/>
      <c r="AE268" s="428"/>
      <c r="AF268" s="428"/>
      <c r="AG268" s="430"/>
      <c r="AH268" s="430"/>
      <c r="AI268" s="430"/>
      <c r="AJ268" s="430"/>
      <c r="AK268" s="430"/>
      <c r="AL268" s="430"/>
      <c r="AM268" s="430"/>
      <c r="AN268" s="430"/>
      <c r="AO268" s="430"/>
      <c r="AP268" s="430"/>
      <c r="AQ268" s="430"/>
      <c r="AR268" s="430"/>
      <c r="AS268" s="430">
        <v>10000</v>
      </c>
      <c r="AT268" s="430"/>
      <c r="AU268" s="430"/>
      <c r="AV268" s="432" t="s">
        <v>11636</v>
      </c>
    </row>
    <row r="269" s="397" customFormat="1" ht="19" customHeight="1" spans="1:48">
      <c r="A269" s="426">
        <v>45996</v>
      </c>
      <c r="B269" s="427" t="s">
        <v>11637</v>
      </c>
      <c r="C269" s="428" t="s">
        <v>11190</v>
      </c>
      <c r="D269" s="428">
        <v>77731</v>
      </c>
      <c r="E269" s="428">
        <v>7212</v>
      </c>
      <c r="F269" s="429" t="s">
        <v>11407</v>
      </c>
      <c r="G269" s="428" t="s">
        <v>11153</v>
      </c>
      <c r="H269" s="429" t="s">
        <v>11220</v>
      </c>
      <c r="I269" s="430"/>
      <c r="J269" s="430"/>
      <c r="K269" s="430"/>
      <c r="L269" s="430"/>
      <c r="M269" s="430"/>
      <c r="N269" s="430"/>
      <c r="O269" s="430"/>
      <c r="P269" s="430"/>
      <c r="Q269" s="430"/>
      <c r="R269" s="430"/>
      <c r="S269" s="430"/>
      <c r="T269" s="430"/>
      <c r="U269" s="430"/>
      <c r="V269" s="430"/>
      <c r="W269" s="430"/>
      <c r="X269" s="430"/>
      <c r="Y269" s="430"/>
      <c r="Z269" s="430"/>
      <c r="AA269" s="430"/>
      <c r="AB269" s="430"/>
      <c r="AC269" s="430"/>
      <c r="AD269" s="430"/>
      <c r="AE269" s="428"/>
      <c r="AF269" s="428"/>
      <c r="AG269" s="430"/>
      <c r="AH269" s="430"/>
      <c r="AI269" s="430"/>
      <c r="AJ269" s="430"/>
      <c r="AK269" s="430"/>
      <c r="AL269" s="430"/>
      <c r="AM269" s="430"/>
      <c r="AN269" s="430"/>
      <c r="AO269" s="430"/>
      <c r="AP269" s="430"/>
      <c r="AQ269" s="430"/>
      <c r="AR269" s="430"/>
      <c r="AS269" s="430"/>
      <c r="AT269" s="430">
        <v>7212</v>
      </c>
      <c r="AU269" s="430"/>
      <c r="AV269" s="432" t="s">
        <v>11636</v>
      </c>
    </row>
    <row r="270" s="397" customFormat="1" ht="19" customHeight="1" spans="1:48">
      <c r="A270" s="426">
        <v>45996</v>
      </c>
      <c r="B270" s="427" t="s">
        <v>11638</v>
      </c>
      <c r="C270" s="428" t="s">
        <v>11190</v>
      </c>
      <c r="D270" s="428">
        <v>77731</v>
      </c>
      <c r="E270" s="428">
        <v>7212</v>
      </c>
      <c r="F270" s="429" t="s">
        <v>11409</v>
      </c>
      <c r="G270" s="428" t="s">
        <v>11271</v>
      </c>
      <c r="H270" s="429" t="s">
        <v>73</v>
      </c>
      <c r="I270" s="430"/>
      <c r="J270" s="430"/>
      <c r="K270" s="430"/>
      <c r="L270" s="430"/>
      <c r="M270" s="430"/>
      <c r="N270" s="430"/>
      <c r="O270" s="430"/>
      <c r="P270" s="430"/>
      <c r="Q270" s="430"/>
      <c r="R270" s="430"/>
      <c r="S270" s="430"/>
      <c r="T270" s="430"/>
      <c r="U270" s="430"/>
      <c r="V270" s="430"/>
      <c r="W270" s="430"/>
      <c r="X270" s="430"/>
      <c r="Y270" s="430"/>
      <c r="Z270" s="430"/>
      <c r="AA270" s="430"/>
      <c r="AB270" s="430"/>
      <c r="AC270" s="430"/>
      <c r="AD270" s="430"/>
      <c r="AE270" s="428"/>
      <c r="AF270" s="428"/>
      <c r="AG270" s="430"/>
      <c r="AH270" s="430"/>
      <c r="AI270" s="430"/>
      <c r="AJ270" s="430"/>
      <c r="AK270" s="430"/>
      <c r="AL270" s="430"/>
      <c r="AM270" s="430"/>
      <c r="AN270" s="430"/>
      <c r="AO270" s="430"/>
      <c r="AP270" s="430"/>
      <c r="AQ270" s="430"/>
      <c r="AR270" s="430"/>
      <c r="AS270" s="430"/>
      <c r="AT270" s="430"/>
      <c r="AU270" s="430">
        <v>7212</v>
      </c>
      <c r="AV270" s="432" t="s">
        <v>11636</v>
      </c>
    </row>
    <row r="271" s="397" customFormat="1" ht="19" customHeight="1" spans="1:48">
      <c r="A271" s="426">
        <v>46006</v>
      </c>
      <c r="B271" s="427">
        <v>1000034954</v>
      </c>
      <c r="C271" s="428" t="s">
        <v>11183</v>
      </c>
      <c r="D271" s="428" t="s">
        <v>11378</v>
      </c>
      <c r="E271" s="428">
        <v>1000</v>
      </c>
      <c r="F271" s="429" t="s">
        <v>11379</v>
      </c>
      <c r="G271" s="428" t="s">
        <v>11147</v>
      </c>
      <c r="H271" s="429" t="s">
        <v>11148</v>
      </c>
      <c r="I271" s="430"/>
      <c r="J271" s="430"/>
      <c r="K271" s="430"/>
      <c r="L271" s="430"/>
      <c r="M271" s="430"/>
      <c r="N271" s="430"/>
      <c r="O271" s="430"/>
      <c r="P271" s="430"/>
      <c r="Q271" s="430"/>
      <c r="R271" s="430"/>
      <c r="S271" s="430"/>
      <c r="T271" s="430"/>
      <c r="U271" s="430"/>
      <c r="V271" s="430"/>
      <c r="W271" s="430"/>
      <c r="X271" s="430"/>
      <c r="Y271" s="430"/>
      <c r="Z271" s="430">
        <v>1000</v>
      </c>
      <c r="AA271" s="430"/>
      <c r="AB271" s="430"/>
      <c r="AC271" s="430"/>
      <c r="AD271" s="430"/>
      <c r="AE271" s="428"/>
      <c r="AF271" s="428"/>
      <c r="AG271" s="430"/>
      <c r="AH271" s="430"/>
      <c r="AI271" s="430"/>
      <c r="AJ271" s="430"/>
      <c r="AK271" s="430"/>
      <c r="AL271" s="430"/>
      <c r="AM271" s="430"/>
      <c r="AN271" s="430"/>
      <c r="AO271" s="430"/>
      <c r="AP271" s="430"/>
      <c r="AQ271" s="430"/>
      <c r="AR271" s="430"/>
      <c r="AS271" s="430"/>
      <c r="AT271" s="430"/>
      <c r="AU271" s="430"/>
      <c r="AV271" s="432" t="s">
        <v>11376</v>
      </c>
    </row>
    <row r="272" s="397" customFormat="1" ht="19" customHeight="1" spans="1:48">
      <c r="A272" s="426">
        <v>46006</v>
      </c>
      <c r="B272" s="427">
        <v>1000034957</v>
      </c>
      <c r="C272" s="428" t="s">
        <v>11183</v>
      </c>
      <c r="D272" s="428" t="s">
        <v>6047</v>
      </c>
      <c r="E272" s="428">
        <v>80000</v>
      </c>
      <c r="F272" s="429" t="s">
        <v>11152</v>
      </c>
      <c r="G272" s="428" t="s">
        <v>11153</v>
      </c>
      <c r="H272" s="429" t="s">
        <v>11148</v>
      </c>
      <c r="I272" s="430"/>
      <c r="J272" s="430"/>
      <c r="K272" s="430"/>
      <c r="L272" s="430"/>
      <c r="M272" s="430">
        <v>80000</v>
      </c>
      <c r="N272" s="430"/>
      <c r="O272" s="430"/>
      <c r="P272" s="430"/>
      <c r="Q272" s="430"/>
      <c r="R272" s="430"/>
      <c r="S272" s="430"/>
      <c r="T272" s="430"/>
      <c r="U272" s="430"/>
      <c r="V272" s="430"/>
      <c r="W272" s="430"/>
      <c r="X272" s="430"/>
      <c r="Y272" s="430"/>
      <c r="Z272" s="430"/>
      <c r="AA272" s="430"/>
      <c r="AB272" s="430"/>
      <c r="AC272" s="430"/>
      <c r="AD272" s="430"/>
      <c r="AE272" s="428"/>
      <c r="AF272" s="428"/>
      <c r="AG272" s="430"/>
      <c r="AH272" s="430"/>
      <c r="AI272" s="430"/>
      <c r="AJ272" s="430"/>
      <c r="AK272" s="430"/>
      <c r="AL272" s="430"/>
      <c r="AM272" s="430"/>
      <c r="AN272" s="430"/>
      <c r="AO272" s="430"/>
      <c r="AP272" s="430"/>
      <c r="AQ272" s="430"/>
      <c r="AR272" s="430"/>
      <c r="AS272" s="430"/>
      <c r="AT272" s="430"/>
      <c r="AU272" s="430"/>
      <c r="AV272" s="432" t="s">
        <v>11383</v>
      </c>
    </row>
    <row r="273" s="397" customFormat="1" ht="19" customHeight="1" spans="1:48">
      <c r="A273" s="426">
        <v>46006</v>
      </c>
      <c r="B273" s="427">
        <v>1000034958</v>
      </c>
      <c r="C273" s="428" t="s">
        <v>11183</v>
      </c>
      <c r="D273" s="428" t="s">
        <v>6047</v>
      </c>
      <c r="E273" s="428">
        <v>80000</v>
      </c>
      <c r="F273" s="429" t="s">
        <v>11375</v>
      </c>
      <c r="G273" s="428" t="s">
        <v>11157</v>
      </c>
      <c r="H273" s="429" t="s">
        <v>11220</v>
      </c>
      <c r="I273" s="430"/>
      <c r="J273" s="430"/>
      <c r="K273" s="430"/>
      <c r="L273" s="430"/>
      <c r="M273" s="430"/>
      <c r="N273" s="430"/>
      <c r="O273" s="430">
        <v>80000</v>
      </c>
      <c r="P273" s="430"/>
      <c r="Q273" s="430"/>
      <c r="R273" s="430"/>
      <c r="S273" s="430"/>
      <c r="T273" s="430"/>
      <c r="U273" s="430"/>
      <c r="V273" s="430"/>
      <c r="W273" s="430"/>
      <c r="X273" s="430"/>
      <c r="Y273" s="430"/>
      <c r="Z273" s="430"/>
      <c r="AA273" s="430"/>
      <c r="AB273" s="430"/>
      <c r="AC273" s="430"/>
      <c r="AD273" s="430"/>
      <c r="AE273" s="428"/>
      <c r="AF273" s="428"/>
      <c r="AG273" s="430"/>
      <c r="AH273" s="430"/>
      <c r="AI273" s="430"/>
      <c r="AJ273" s="430"/>
      <c r="AK273" s="430"/>
      <c r="AL273" s="430"/>
      <c r="AM273" s="430"/>
      <c r="AN273" s="430"/>
      <c r="AO273" s="430"/>
      <c r="AP273" s="430"/>
      <c r="AQ273" s="430"/>
      <c r="AR273" s="430"/>
      <c r="AS273" s="430"/>
      <c r="AT273" s="430"/>
      <c r="AU273" s="430"/>
      <c r="AV273" s="432" t="s">
        <v>11515</v>
      </c>
    </row>
    <row r="274" s="397" customFormat="1" ht="19" customHeight="1" spans="1:48">
      <c r="A274" s="426">
        <v>46006</v>
      </c>
      <c r="B274" s="427">
        <v>1000034959</v>
      </c>
      <c r="C274" s="428" t="s">
        <v>11183</v>
      </c>
      <c r="D274" s="428" t="s">
        <v>6093</v>
      </c>
      <c r="E274" s="428">
        <v>2500</v>
      </c>
      <c r="F274" s="429" t="s">
        <v>11402</v>
      </c>
      <c r="G274" s="428" t="s">
        <v>11153</v>
      </c>
      <c r="H274" s="429" t="s">
        <v>11148</v>
      </c>
      <c r="I274" s="430"/>
      <c r="J274" s="430"/>
      <c r="K274" s="430"/>
      <c r="L274" s="430"/>
      <c r="M274" s="430"/>
      <c r="N274" s="430"/>
      <c r="O274" s="430"/>
      <c r="P274" s="430"/>
      <c r="Q274" s="430"/>
      <c r="R274" s="430"/>
      <c r="S274" s="430"/>
      <c r="T274" s="430"/>
      <c r="U274" s="430"/>
      <c r="V274" s="430"/>
      <c r="W274" s="430"/>
      <c r="X274" s="430"/>
      <c r="Y274" s="430">
        <v>2500</v>
      </c>
      <c r="Z274" s="430"/>
      <c r="AA274" s="430"/>
      <c r="AB274" s="430"/>
      <c r="AC274" s="430"/>
      <c r="AD274" s="430"/>
      <c r="AE274" s="428"/>
      <c r="AF274" s="428"/>
      <c r="AG274" s="430"/>
      <c r="AH274" s="430"/>
      <c r="AI274" s="430"/>
      <c r="AJ274" s="430"/>
      <c r="AK274" s="430"/>
      <c r="AL274" s="430"/>
      <c r="AM274" s="430"/>
      <c r="AN274" s="430"/>
      <c r="AO274" s="430"/>
      <c r="AP274" s="430"/>
      <c r="AQ274" s="430"/>
      <c r="AR274" s="430"/>
      <c r="AS274" s="430"/>
      <c r="AT274" s="430"/>
      <c r="AU274" s="430"/>
      <c r="AV274" s="432" t="s">
        <v>11385</v>
      </c>
    </row>
    <row r="275" s="397" customFormat="1" ht="19" customHeight="1" spans="1:48">
      <c r="A275" s="426">
        <v>46006</v>
      </c>
      <c r="B275" s="427">
        <v>1000034960</v>
      </c>
      <c r="C275" s="428" t="s">
        <v>11183</v>
      </c>
      <c r="D275" s="428" t="s">
        <v>6047</v>
      </c>
      <c r="E275" s="428">
        <v>2000</v>
      </c>
      <c r="F275" s="429" t="s">
        <v>11387</v>
      </c>
      <c r="G275" s="428" t="s">
        <v>11153</v>
      </c>
      <c r="H275" s="429" t="s">
        <v>11148</v>
      </c>
      <c r="I275" s="430"/>
      <c r="J275" s="430"/>
      <c r="K275" s="430"/>
      <c r="L275" s="430"/>
      <c r="M275" s="430"/>
      <c r="N275" s="430"/>
      <c r="O275" s="430"/>
      <c r="P275" s="430"/>
      <c r="Q275" s="430"/>
      <c r="R275" s="430"/>
      <c r="S275" s="430"/>
      <c r="T275" s="430"/>
      <c r="U275" s="430"/>
      <c r="V275" s="430"/>
      <c r="W275" s="430"/>
      <c r="X275" s="430"/>
      <c r="Y275" s="430"/>
      <c r="Z275" s="430"/>
      <c r="AA275" s="430"/>
      <c r="AB275" s="430">
        <v>2000</v>
      </c>
      <c r="AC275" s="430"/>
      <c r="AD275" s="430"/>
      <c r="AE275" s="428"/>
      <c r="AF275" s="428"/>
      <c r="AG275" s="430"/>
      <c r="AH275" s="430"/>
      <c r="AI275" s="430"/>
      <c r="AJ275" s="430"/>
      <c r="AK275" s="430"/>
      <c r="AL275" s="430"/>
      <c r="AM275" s="430"/>
      <c r="AN275" s="430"/>
      <c r="AO275" s="430"/>
      <c r="AP275" s="430"/>
      <c r="AQ275" s="430"/>
      <c r="AR275" s="430"/>
      <c r="AS275" s="430"/>
      <c r="AT275" s="430"/>
      <c r="AU275" s="430"/>
      <c r="AV275" s="432" t="s">
        <v>11385</v>
      </c>
    </row>
    <row r="276" s="397" customFormat="1" ht="19" customHeight="1" spans="1:48">
      <c r="A276" s="426">
        <v>46008</v>
      </c>
      <c r="B276" s="427" t="s">
        <v>11639</v>
      </c>
      <c r="C276" s="428" t="s">
        <v>11245</v>
      </c>
      <c r="D276" s="428" t="s">
        <v>11434</v>
      </c>
      <c r="E276" s="428">
        <v>10000</v>
      </c>
      <c r="F276" s="429" t="s">
        <v>11237</v>
      </c>
      <c r="G276" s="428" t="s">
        <v>11435</v>
      </c>
      <c r="H276" s="429" t="s">
        <v>11271</v>
      </c>
      <c r="I276" s="430"/>
      <c r="J276" s="430"/>
      <c r="K276" s="430"/>
      <c r="L276" s="430"/>
      <c r="M276" s="430"/>
      <c r="N276" s="430"/>
      <c r="O276" s="430"/>
      <c r="P276" s="430"/>
      <c r="Q276" s="430"/>
      <c r="R276" s="430"/>
      <c r="S276" s="430"/>
      <c r="T276" s="430"/>
      <c r="U276" s="430"/>
      <c r="V276" s="430"/>
      <c r="W276" s="430"/>
      <c r="X276" s="430"/>
      <c r="Y276" s="430"/>
      <c r="Z276" s="430"/>
      <c r="AA276" s="430"/>
      <c r="AB276" s="430"/>
      <c r="AC276" s="430"/>
      <c r="AD276" s="430"/>
      <c r="AE276" s="428"/>
      <c r="AF276" s="428"/>
      <c r="AG276" s="430"/>
      <c r="AH276" s="430"/>
      <c r="AI276" s="430"/>
      <c r="AJ276" s="430"/>
      <c r="AK276" s="430"/>
      <c r="AL276" s="430"/>
      <c r="AM276" s="430"/>
      <c r="AN276" s="430"/>
      <c r="AO276" s="430"/>
      <c r="AP276" s="430"/>
      <c r="AQ276" s="430"/>
      <c r="AR276" s="430"/>
      <c r="AS276" s="430"/>
      <c r="AT276" s="430"/>
      <c r="AU276" s="430"/>
      <c r="AV276" s="432" t="s">
        <v>11640</v>
      </c>
    </row>
    <row r="277" s="397" customFormat="1" ht="19" customHeight="1" spans="1:48">
      <c r="A277" s="426">
        <v>46008</v>
      </c>
      <c r="B277" s="427" t="s">
        <v>11641</v>
      </c>
      <c r="C277" s="428" t="s">
        <v>11245</v>
      </c>
      <c r="D277" s="428" t="s">
        <v>11434</v>
      </c>
      <c r="E277" s="428">
        <v>500</v>
      </c>
      <c r="F277" s="429" t="s">
        <v>11417</v>
      </c>
      <c r="G277" s="428" t="s">
        <v>11435</v>
      </c>
      <c r="H277" s="429" t="s">
        <v>11271</v>
      </c>
      <c r="I277" s="430"/>
      <c r="J277" s="430"/>
      <c r="K277" s="430"/>
      <c r="L277" s="430"/>
      <c r="M277" s="430"/>
      <c r="N277" s="430"/>
      <c r="O277" s="430"/>
      <c r="P277" s="430"/>
      <c r="Q277" s="430"/>
      <c r="R277" s="430"/>
      <c r="S277" s="430"/>
      <c r="T277" s="430"/>
      <c r="U277" s="430"/>
      <c r="V277" s="430"/>
      <c r="W277" s="430"/>
      <c r="X277" s="430"/>
      <c r="Y277" s="430"/>
      <c r="Z277" s="430"/>
      <c r="AA277" s="430"/>
      <c r="AB277" s="430"/>
      <c r="AC277" s="430"/>
      <c r="AD277" s="430"/>
      <c r="AE277" s="428"/>
      <c r="AF277" s="428"/>
      <c r="AG277" s="430"/>
      <c r="AH277" s="430"/>
      <c r="AI277" s="430"/>
      <c r="AJ277" s="430"/>
      <c r="AK277" s="430"/>
      <c r="AL277" s="430"/>
      <c r="AM277" s="430"/>
      <c r="AN277" s="430"/>
      <c r="AO277" s="430"/>
      <c r="AP277" s="430"/>
      <c r="AQ277" s="430"/>
      <c r="AR277" s="430"/>
      <c r="AS277" s="430"/>
      <c r="AT277" s="430"/>
      <c r="AU277" s="430"/>
      <c r="AV277" s="432" t="s">
        <v>11642</v>
      </c>
    </row>
    <row r="278" s="397" customFormat="1" ht="19" customHeight="1" spans="1:48">
      <c r="A278" s="426">
        <v>46009</v>
      </c>
      <c r="B278" s="427" t="s">
        <v>11643</v>
      </c>
      <c r="C278" s="428" t="s">
        <v>11194</v>
      </c>
      <c r="D278" s="428" t="s">
        <v>11416</v>
      </c>
      <c r="E278" s="428">
        <v>6120</v>
      </c>
      <c r="F278" s="429" t="s">
        <v>11417</v>
      </c>
      <c r="G278" s="428" t="s">
        <v>11147</v>
      </c>
      <c r="H278" s="429" t="s">
        <v>11148</v>
      </c>
      <c r="I278" s="430"/>
      <c r="J278" s="430"/>
      <c r="K278" s="430"/>
      <c r="L278" s="430"/>
      <c r="M278" s="430"/>
      <c r="N278" s="430"/>
      <c r="O278" s="430"/>
      <c r="P278" s="430"/>
      <c r="Q278" s="430"/>
      <c r="R278" s="430"/>
      <c r="S278" s="430"/>
      <c r="T278" s="430"/>
      <c r="U278" s="430"/>
      <c r="V278" s="430"/>
      <c r="W278" s="430"/>
      <c r="X278" s="430"/>
      <c r="Y278" s="430"/>
      <c r="Z278" s="430"/>
      <c r="AA278" s="430"/>
      <c r="AB278" s="430"/>
      <c r="AC278" s="430">
        <v>6120</v>
      </c>
      <c r="AD278" s="430"/>
      <c r="AE278" s="428"/>
      <c r="AF278" s="428"/>
      <c r="AG278" s="430"/>
      <c r="AH278" s="430"/>
      <c r="AI278" s="430"/>
      <c r="AJ278" s="430"/>
      <c r="AK278" s="430"/>
      <c r="AL278" s="430"/>
      <c r="AM278" s="430"/>
      <c r="AN278" s="430"/>
      <c r="AO278" s="430"/>
      <c r="AP278" s="430"/>
      <c r="AQ278" s="430"/>
      <c r="AR278" s="430"/>
      <c r="AS278" s="430"/>
      <c r="AT278" s="430"/>
      <c r="AU278" s="430"/>
      <c r="AV278" s="432" t="s">
        <v>11644</v>
      </c>
    </row>
    <row r="279" s="397" customFormat="1" ht="19" customHeight="1" spans="1:48">
      <c r="A279" s="426">
        <v>46022</v>
      </c>
      <c r="B279" s="427">
        <v>1000035545</v>
      </c>
      <c r="C279" s="428" t="s">
        <v>11183</v>
      </c>
      <c r="D279" s="428" t="s">
        <v>6084</v>
      </c>
      <c r="E279" s="428">
        <v>300000</v>
      </c>
      <c r="F279" s="429" t="s">
        <v>11146</v>
      </c>
      <c r="G279" s="428" t="s">
        <v>11147</v>
      </c>
      <c r="H279" s="429" t="s">
        <v>11148</v>
      </c>
      <c r="I279" s="428">
        <v>300000</v>
      </c>
      <c r="J279" s="430"/>
      <c r="K279" s="430"/>
      <c r="L279" s="430"/>
      <c r="M279" s="430"/>
      <c r="N279" s="430"/>
      <c r="O279" s="430"/>
      <c r="P279" s="430"/>
      <c r="Q279" s="430"/>
      <c r="R279" s="430"/>
      <c r="S279" s="430"/>
      <c r="T279" s="430"/>
      <c r="U279" s="430"/>
      <c r="V279" s="430"/>
      <c r="W279" s="430"/>
      <c r="X279" s="430"/>
      <c r="Y279" s="430"/>
      <c r="Z279" s="430"/>
      <c r="AA279" s="430"/>
      <c r="AB279" s="430"/>
      <c r="AC279" s="430"/>
      <c r="AD279" s="430"/>
      <c r="AE279" s="428"/>
      <c r="AF279" s="428"/>
      <c r="AG279" s="430"/>
      <c r="AH279" s="430"/>
      <c r="AI279" s="430"/>
      <c r="AJ279" s="430"/>
      <c r="AK279" s="430"/>
      <c r="AL279" s="430"/>
      <c r="AM279" s="430"/>
      <c r="AN279" s="430"/>
      <c r="AO279" s="430"/>
      <c r="AP279" s="430"/>
      <c r="AQ279" s="430"/>
      <c r="AR279" s="430"/>
      <c r="AS279" s="430"/>
      <c r="AT279" s="430"/>
      <c r="AU279" s="430"/>
      <c r="AV279" s="432"/>
    </row>
    <row r="280" s="397" customFormat="1" ht="19" customHeight="1" spans="1:48">
      <c r="A280" s="426">
        <v>46022</v>
      </c>
      <c r="B280" s="427">
        <v>1000035546</v>
      </c>
      <c r="C280" s="428" t="s">
        <v>11183</v>
      </c>
      <c r="D280" s="428" t="s">
        <v>6084</v>
      </c>
      <c r="E280" s="428">
        <v>20000</v>
      </c>
      <c r="F280" s="429" t="s">
        <v>11372</v>
      </c>
      <c r="G280" s="428" t="s">
        <v>11373</v>
      </c>
      <c r="H280" s="429" t="s">
        <v>11148</v>
      </c>
      <c r="I280" s="430"/>
      <c r="J280" s="428">
        <v>20000</v>
      </c>
      <c r="K280" s="430"/>
      <c r="L280" s="430"/>
      <c r="M280" s="430"/>
      <c r="N280" s="430"/>
      <c r="O280" s="430"/>
      <c r="P280" s="430"/>
      <c r="Q280" s="430"/>
      <c r="R280" s="430"/>
      <c r="S280" s="430"/>
      <c r="T280" s="430"/>
      <c r="U280" s="430"/>
      <c r="V280" s="430"/>
      <c r="W280" s="430"/>
      <c r="X280" s="430"/>
      <c r="Y280" s="430"/>
      <c r="Z280" s="430"/>
      <c r="AA280" s="430"/>
      <c r="AB280" s="430"/>
      <c r="AC280" s="430"/>
      <c r="AD280" s="430"/>
      <c r="AE280" s="428"/>
      <c r="AF280" s="428"/>
      <c r="AG280" s="430"/>
      <c r="AH280" s="430"/>
      <c r="AI280" s="430"/>
      <c r="AJ280" s="430"/>
      <c r="AK280" s="430"/>
      <c r="AL280" s="430"/>
      <c r="AM280" s="430"/>
      <c r="AN280" s="430"/>
      <c r="AO280" s="430"/>
      <c r="AP280" s="430"/>
      <c r="AQ280" s="430"/>
      <c r="AR280" s="430"/>
      <c r="AS280" s="430"/>
      <c r="AT280" s="430"/>
      <c r="AU280" s="430"/>
      <c r="AV280" s="432"/>
    </row>
    <row r="281" s="397" customFormat="1" ht="19" customHeight="1" spans="1:48">
      <c r="A281" s="426">
        <v>46022</v>
      </c>
      <c r="B281" s="427">
        <v>1000035547</v>
      </c>
      <c r="C281" s="428" t="s">
        <v>11183</v>
      </c>
      <c r="D281" s="428" t="s">
        <v>6084</v>
      </c>
      <c r="E281" s="428">
        <v>350000</v>
      </c>
      <c r="F281" s="429" t="s">
        <v>11391</v>
      </c>
      <c r="G281" s="428" t="s">
        <v>11373</v>
      </c>
      <c r="H281" s="429" t="s">
        <v>11220</v>
      </c>
      <c r="I281" s="430"/>
      <c r="J281" s="430"/>
      <c r="K281" s="430"/>
      <c r="L281" s="430"/>
      <c r="M281" s="430"/>
      <c r="N281" s="428">
        <v>350000</v>
      </c>
      <c r="O281" s="430"/>
      <c r="P281" s="430"/>
      <c r="Q281" s="430"/>
      <c r="R281" s="430"/>
      <c r="S281" s="430"/>
      <c r="T281" s="430"/>
      <c r="U281" s="430"/>
      <c r="V281" s="430"/>
      <c r="W281" s="430"/>
      <c r="X281" s="430"/>
      <c r="Y281" s="430"/>
      <c r="Z281" s="430"/>
      <c r="AA281" s="430"/>
      <c r="AB281" s="430"/>
      <c r="AC281" s="430"/>
      <c r="AD281" s="430"/>
      <c r="AE281" s="428"/>
      <c r="AF281" s="428"/>
      <c r="AG281" s="430"/>
      <c r="AH281" s="430"/>
      <c r="AI281" s="430"/>
      <c r="AJ281" s="430"/>
      <c r="AK281" s="430"/>
      <c r="AL281" s="430"/>
      <c r="AM281" s="430"/>
      <c r="AN281" s="430"/>
      <c r="AO281" s="430"/>
      <c r="AP281" s="430"/>
      <c r="AQ281" s="430"/>
      <c r="AR281" s="430"/>
      <c r="AS281" s="430"/>
      <c r="AT281" s="430"/>
      <c r="AU281" s="430"/>
      <c r="AV281" s="432"/>
    </row>
    <row r="282" s="397" customFormat="1" ht="19" customHeight="1" spans="1:48">
      <c r="A282" s="426">
        <v>46022</v>
      </c>
      <c r="B282" s="427">
        <v>1000035548</v>
      </c>
      <c r="C282" s="428" t="s">
        <v>11183</v>
      </c>
      <c r="D282" s="428" t="s">
        <v>11493</v>
      </c>
      <c r="E282" s="428">
        <v>200</v>
      </c>
      <c r="F282" s="429" t="s">
        <v>11494</v>
      </c>
      <c r="G282" s="428" t="s">
        <v>11373</v>
      </c>
      <c r="H282" s="429" t="s">
        <v>11148</v>
      </c>
      <c r="I282" s="430"/>
      <c r="J282" s="430"/>
      <c r="K282" s="430"/>
      <c r="L282" s="430"/>
      <c r="M282" s="430"/>
      <c r="N282" s="430"/>
      <c r="O282" s="430"/>
      <c r="P282" s="430"/>
      <c r="Q282" s="430"/>
      <c r="R282" s="430"/>
      <c r="S282" s="430"/>
      <c r="T282" s="430"/>
      <c r="U282" s="430"/>
      <c r="V282" s="430"/>
      <c r="W282" s="430"/>
      <c r="X282" s="430"/>
      <c r="Y282" s="430"/>
      <c r="Z282" s="430"/>
      <c r="AA282" s="430"/>
      <c r="AB282" s="430"/>
      <c r="AC282" s="430"/>
      <c r="AD282" s="430"/>
      <c r="AE282" s="428"/>
      <c r="AF282" s="428"/>
      <c r="AG282" s="430"/>
      <c r="AH282" s="430"/>
      <c r="AI282" s="430"/>
      <c r="AJ282" s="430"/>
      <c r="AK282" s="430"/>
      <c r="AL282" s="430"/>
      <c r="AM282" s="430"/>
      <c r="AN282" s="430"/>
      <c r="AO282" s="430"/>
      <c r="AP282" s="428">
        <v>200</v>
      </c>
      <c r="AQ282" s="430"/>
      <c r="AR282" s="430"/>
      <c r="AS282" s="430"/>
      <c r="AT282" s="430"/>
      <c r="AU282" s="430"/>
      <c r="AV282" s="432"/>
    </row>
    <row r="283" s="397" customFormat="1" ht="19" customHeight="1" spans="1:48">
      <c r="A283" s="426">
        <v>46022</v>
      </c>
      <c r="B283" s="427">
        <v>1000035549</v>
      </c>
      <c r="C283" s="428" t="s">
        <v>11183</v>
      </c>
      <c r="D283" s="428" t="s">
        <v>11378</v>
      </c>
      <c r="E283" s="428">
        <v>4500</v>
      </c>
      <c r="F283" s="429" t="s">
        <v>11379</v>
      </c>
      <c r="G283" s="428" t="s">
        <v>11147</v>
      </c>
      <c r="H283" s="429" t="s">
        <v>11148</v>
      </c>
      <c r="I283" s="430"/>
      <c r="J283" s="430"/>
      <c r="K283" s="430"/>
      <c r="L283" s="430"/>
      <c r="M283" s="430"/>
      <c r="N283" s="430"/>
      <c r="O283" s="430"/>
      <c r="P283" s="430"/>
      <c r="Q283" s="430"/>
      <c r="R283" s="430"/>
      <c r="S283" s="430"/>
      <c r="T283" s="430"/>
      <c r="U283" s="430"/>
      <c r="V283" s="430"/>
      <c r="W283" s="430"/>
      <c r="X283" s="430"/>
      <c r="Y283" s="430"/>
      <c r="Z283" s="428">
        <v>4500</v>
      </c>
      <c r="AA283" s="430"/>
      <c r="AB283" s="430"/>
      <c r="AC283" s="430"/>
      <c r="AD283" s="430"/>
      <c r="AE283" s="428"/>
      <c r="AF283" s="428"/>
      <c r="AG283" s="430"/>
      <c r="AH283" s="430"/>
      <c r="AI283" s="430"/>
      <c r="AJ283" s="430"/>
      <c r="AK283" s="430"/>
      <c r="AL283" s="430"/>
      <c r="AM283" s="430"/>
      <c r="AN283" s="430"/>
      <c r="AO283" s="430"/>
      <c r="AP283" s="430"/>
      <c r="AQ283" s="430"/>
      <c r="AR283" s="430"/>
      <c r="AS283" s="430"/>
      <c r="AT283" s="430"/>
      <c r="AU283" s="430"/>
      <c r="AV283" s="432"/>
    </row>
    <row r="284" s="397" customFormat="1" ht="19" customHeight="1" spans="1:48">
      <c r="A284" s="426">
        <v>46022</v>
      </c>
      <c r="B284" s="427">
        <v>1000035550</v>
      </c>
      <c r="C284" s="428" t="s">
        <v>11183</v>
      </c>
      <c r="D284" s="428" t="s">
        <v>6166</v>
      </c>
      <c r="E284" s="428">
        <v>500</v>
      </c>
      <c r="F284" s="429" t="s">
        <v>11427</v>
      </c>
      <c r="G284" s="428" t="s">
        <v>11147</v>
      </c>
      <c r="H284" s="429" t="s">
        <v>11148</v>
      </c>
      <c r="I284" s="430"/>
      <c r="J284" s="430"/>
      <c r="K284" s="430"/>
      <c r="L284" s="430"/>
      <c r="M284" s="430"/>
      <c r="N284" s="430"/>
      <c r="O284" s="430"/>
      <c r="P284" s="430"/>
      <c r="Q284" s="430"/>
      <c r="R284" s="430"/>
      <c r="S284" s="430"/>
      <c r="T284" s="430"/>
      <c r="U284" s="430"/>
      <c r="V284" s="430"/>
      <c r="W284" s="428">
        <v>500</v>
      </c>
      <c r="X284" s="430"/>
      <c r="Y284" s="430"/>
      <c r="Z284" s="430"/>
      <c r="AA284" s="430"/>
      <c r="AB284" s="430"/>
      <c r="AC284" s="430"/>
      <c r="AD284" s="430"/>
      <c r="AE284" s="428"/>
      <c r="AF284" s="428"/>
      <c r="AG284" s="430"/>
      <c r="AH284" s="430"/>
      <c r="AI284" s="430"/>
      <c r="AJ284" s="430"/>
      <c r="AK284" s="430"/>
      <c r="AL284" s="430"/>
      <c r="AM284" s="430"/>
      <c r="AN284" s="430"/>
      <c r="AO284" s="430"/>
      <c r="AP284" s="430"/>
      <c r="AQ284" s="430"/>
      <c r="AR284" s="430"/>
      <c r="AS284" s="430"/>
      <c r="AT284" s="430"/>
      <c r="AU284" s="430"/>
      <c r="AV284" s="432"/>
    </row>
    <row r="285" s="397" customFormat="1" ht="19" customHeight="1" spans="1:48">
      <c r="A285" s="426">
        <v>46022</v>
      </c>
      <c r="B285" s="427">
        <v>1000035551</v>
      </c>
      <c r="C285" s="428" t="s">
        <v>11183</v>
      </c>
      <c r="D285" s="428" t="s">
        <v>6166</v>
      </c>
      <c r="E285" s="428">
        <v>500</v>
      </c>
      <c r="F285" s="429" t="s">
        <v>11395</v>
      </c>
      <c r="G285" s="428" t="s">
        <v>11373</v>
      </c>
      <c r="H285" s="429" t="s">
        <v>11148</v>
      </c>
      <c r="I285" s="430"/>
      <c r="J285" s="430"/>
      <c r="K285" s="430"/>
      <c r="L285" s="430"/>
      <c r="M285" s="430"/>
      <c r="N285" s="430"/>
      <c r="O285" s="430"/>
      <c r="P285" s="430"/>
      <c r="Q285" s="430"/>
      <c r="R285" s="430"/>
      <c r="S285" s="430"/>
      <c r="T285" s="430"/>
      <c r="U285" s="430"/>
      <c r="V285" s="430"/>
      <c r="W285" s="430"/>
      <c r="X285" s="428">
        <v>500</v>
      </c>
      <c r="Y285" s="430"/>
      <c r="Z285" s="430"/>
      <c r="AA285" s="428"/>
      <c r="AB285" s="430"/>
      <c r="AC285" s="430"/>
      <c r="AD285" s="430"/>
      <c r="AE285" s="428"/>
      <c r="AF285" s="428"/>
      <c r="AG285" s="430"/>
      <c r="AH285" s="430"/>
      <c r="AI285" s="430"/>
      <c r="AJ285" s="430"/>
      <c r="AK285" s="430"/>
      <c r="AL285" s="430"/>
      <c r="AM285" s="430"/>
      <c r="AN285" s="430"/>
      <c r="AO285" s="430"/>
      <c r="AP285" s="430"/>
      <c r="AQ285" s="430"/>
      <c r="AR285" s="430"/>
      <c r="AS285" s="430"/>
      <c r="AT285" s="430"/>
      <c r="AU285" s="430"/>
      <c r="AV285" s="432"/>
    </row>
    <row r="286" s="397" customFormat="1" ht="19" customHeight="1" spans="1:48">
      <c r="A286" s="426">
        <v>46022</v>
      </c>
      <c r="B286" s="427">
        <v>1000035557</v>
      </c>
      <c r="C286" s="428" t="s">
        <v>11183</v>
      </c>
      <c r="D286" s="428" t="s">
        <v>6047</v>
      </c>
      <c r="E286" s="428">
        <v>50000</v>
      </c>
      <c r="F286" s="429" t="s">
        <v>11152</v>
      </c>
      <c r="G286" s="428" t="s">
        <v>11153</v>
      </c>
      <c r="H286" s="429" t="s">
        <v>11148</v>
      </c>
      <c r="I286" s="430"/>
      <c r="J286" s="430"/>
      <c r="K286" s="430"/>
      <c r="L286" s="430"/>
      <c r="M286" s="428">
        <v>50000</v>
      </c>
      <c r="N286" s="430"/>
      <c r="O286" s="430"/>
      <c r="P286" s="430"/>
      <c r="Q286" s="430"/>
      <c r="R286" s="430"/>
      <c r="S286" s="430"/>
      <c r="T286" s="430"/>
      <c r="U286" s="430"/>
      <c r="V286" s="430"/>
      <c r="W286" s="430"/>
      <c r="X286" s="430"/>
      <c r="Y286" s="430"/>
      <c r="Z286" s="430"/>
      <c r="AA286" s="430"/>
      <c r="AB286" s="430"/>
      <c r="AC286" s="430"/>
      <c r="AD286" s="430"/>
      <c r="AE286" s="428"/>
      <c r="AF286" s="428"/>
      <c r="AG286" s="430"/>
      <c r="AH286" s="430"/>
      <c r="AI286" s="430"/>
      <c r="AJ286" s="430"/>
      <c r="AK286" s="430"/>
      <c r="AL286" s="430"/>
      <c r="AM286" s="430"/>
      <c r="AN286" s="430"/>
      <c r="AO286" s="430"/>
      <c r="AP286" s="430"/>
      <c r="AQ286" s="430"/>
      <c r="AR286" s="430"/>
      <c r="AS286" s="430"/>
      <c r="AT286" s="430"/>
      <c r="AU286" s="430"/>
      <c r="AV286" s="432"/>
    </row>
    <row r="287" s="397" customFormat="1" ht="19" customHeight="1" spans="1:48">
      <c r="A287" s="426">
        <v>46022</v>
      </c>
      <c r="B287" s="427">
        <v>1000035558</v>
      </c>
      <c r="C287" s="428" t="s">
        <v>11183</v>
      </c>
      <c r="D287" s="428" t="s">
        <v>6093</v>
      </c>
      <c r="E287" s="428">
        <v>3500</v>
      </c>
      <c r="F287" s="429" t="s">
        <v>11402</v>
      </c>
      <c r="G287" s="428" t="s">
        <v>11153</v>
      </c>
      <c r="H287" s="429" t="s">
        <v>11148</v>
      </c>
      <c r="I287" s="430"/>
      <c r="J287" s="430"/>
      <c r="K287" s="430"/>
      <c r="L287" s="430"/>
      <c r="M287" s="430"/>
      <c r="N287" s="430"/>
      <c r="O287" s="430"/>
      <c r="P287" s="430"/>
      <c r="Q287" s="430"/>
      <c r="R287" s="430"/>
      <c r="S287" s="430"/>
      <c r="T287" s="430"/>
      <c r="U287" s="430"/>
      <c r="V287" s="430"/>
      <c r="W287" s="430"/>
      <c r="X287" s="430"/>
      <c r="Y287" s="428">
        <v>3500</v>
      </c>
      <c r="Z287" s="430"/>
      <c r="AA287" s="430"/>
      <c r="AB287" s="430"/>
      <c r="AC287" s="430"/>
      <c r="AD287" s="430"/>
      <c r="AE287" s="428"/>
      <c r="AF287" s="428"/>
      <c r="AG287" s="430"/>
      <c r="AH287" s="430"/>
      <c r="AI287" s="430"/>
      <c r="AJ287" s="430"/>
      <c r="AK287" s="430"/>
      <c r="AL287" s="430"/>
      <c r="AM287" s="430"/>
      <c r="AN287" s="430"/>
      <c r="AO287" s="430"/>
      <c r="AP287" s="430"/>
      <c r="AQ287" s="430"/>
      <c r="AR287" s="430"/>
      <c r="AS287" s="430"/>
      <c r="AT287" s="430"/>
      <c r="AU287" s="430"/>
      <c r="AV287" s="432"/>
    </row>
    <row r="288" s="397" customFormat="1" ht="19" customHeight="1" spans="1:48">
      <c r="A288" s="426">
        <v>46029</v>
      </c>
      <c r="B288" s="427" t="s">
        <v>11645</v>
      </c>
      <c r="C288" s="428" t="s">
        <v>11183</v>
      </c>
      <c r="D288" s="428" t="s">
        <v>6047</v>
      </c>
      <c r="E288" s="428">
        <v>50000</v>
      </c>
      <c r="F288" s="429" t="s">
        <v>11375</v>
      </c>
      <c r="G288" s="428" t="s">
        <v>11157</v>
      </c>
      <c r="H288" s="429" t="s">
        <v>11220</v>
      </c>
      <c r="I288" s="430"/>
      <c r="J288" s="430"/>
      <c r="K288" s="430"/>
      <c r="L288" s="430"/>
      <c r="M288" s="430"/>
      <c r="N288" s="430"/>
      <c r="O288" s="430">
        <v>50000</v>
      </c>
      <c r="P288" s="430"/>
      <c r="Q288" s="430"/>
      <c r="R288" s="430"/>
      <c r="S288" s="430"/>
      <c r="T288" s="430"/>
      <c r="U288" s="430"/>
      <c r="V288" s="430"/>
      <c r="W288" s="430"/>
      <c r="X288" s="430"/>
      <c r="Y288" s="428"/>
      <c r="Z288" s="430"/>
      <c r="AA288" s="430"/>
      <c r="AB288" s="430"/>
      <c r="AC288" s="430"/>
      <c r="AD288" s="430"/>
      <c r="AE288" s="428"/>
      <c r="AF288" s="428"/>
      <c r="AG288" s="430"/>
      <c r="AH288" s="430"/>
      <c r="AI288" s="430"/>
      <c r="AJ288" s="430"/>
      <c r="AK288" s="430"/>
      <c r="AL288" s="430"/>
      <c r="AM288" s="430"/>
      <c r="AN288" s="430"/>
      <c r="AO288" s="430"/>
      <c r="AP288" s="430"/>
      <c r="AQ288" s="430"/>
      <c r="AR288" s="430"/>
      <c r="AS288" s="430"/>
      <c r="AT288" s="430"/>
      <c r="AU288" s="430"/>
      <c r="AV288" s="432"/>
    </row>
    <row r="289" s="397" customFormat="1" ht="19" customHeight="1" spans="1:48">
      <c r="A289" s="426">
        <v>46029</v>
      </c>
      <c r="B289" s="427" t="s">
        <v>11646</v>
      </c>
      <c r="C289" s="428" t="s">
        <v>11183</v>
      </c>
      <c r="D289" s="428" t="s">
        <v>6223</v>
      </c>
      <c r="E289" s="428">
        <v>200</v>
      </c>
      <c r="F289" s="429" t="s">
        <v>11431</v>
      </c>
      <c r="G289" s="428" t="s">
        <v>11153</v>
      </c>
      <c r="H289" s="429" t="s">
        <v>11148</v>
      </c>
      <c r="I289" s="430"/>
      <c r="J289" s="430"/>
      <c r="K289" s="430"/>
      <c r="L289" s="430"/>
      <c r="M289" s="430"/>
      <c r="N289" s="430"/>
      <c r="O289" s="430"/>
      <c r="P289" s="430"/>
      <c r="Q289" s="430"/>
      <c r="R289" s="430"/>
      <c r="S289" s="430"/>
      <c r="T289" s="430"/>
      <c r="U289" s="430"/>
      <c r="V289" s="430"/>
      <c r="W289" s="430"/>
      <c r="X289" s="430"/>
      <c r="Y289" s="428"/>
      <c r="Z289" s="430"/>
      <c r="AA289" s="430"/>
      <c r="AB289" s="430"/>
      <c r="AC289" s="430"/>
      <c r="AD289" s="430"/>
      <c r="AE289" s="428"/>
      <c r="AF289" s="428"/>
      <c r="AG289" s="430"/>
      <c r="AH289" s="430"/>
      <c r="AI289" s="430"/>
      <c r="AJ289" s="430"/>
      <c r="AK289" s="430"/>
      <c r="AL289" s="430"/>
      <c r="AM289" s="430"/>
      <c r="AN289" s="430"/>
      <c r="AO289" s="430"/>
      <c r="AP289" s="430"/>
      <c r="AQ289" s="430">
        <v>200</v>
      </c>
      <c r="AR289" s="430"/>
      <c r="AS289" s="430"/>
      <c r="AT289" s="430"/>
      <c r="AU289" s="430"/>
      <c r="AV289" s="432"/>
    </row>
    <row r="290" s="397" customFormat="1" ht="19" customHeight="1" spans="1:48">
      <c r="A290" s="426">
        <v>46029</v>
      </c>
      <c r="B290" s="427" t="s">
        <v>11647</v>
      </c>
      <c r="C290" s="428" t="s">
        <v>11183</v>
      </c>
      <c r="D290" s="428" t="s">
        <v>6093</v>
      </c>
      <c r="E290" s="428">
        <v>2000</v>
      </c>
      <c r="F290" s="429" t="s">
        <v>11402</v>
      </c>
      <c r="G290" s="428" t="s">
        <v>11153</v>
      </c>
      <c r="H290" s="429" t="s">
        <v>11148</v>
      </c>
      <c r="I290" s="430"/>
      <c r="J290" s="430"/>
      <c r="K290" s="430"/>
      <c r="L290" s="430"/>
      <c r="M290" s="430"/>
      <c r="N290" s="430"/>
      <c r="O290" s="430"/>
      <c r="P290" s="430"/>
      <c r="Q290" s="430"/>
      <c r="R290" s="430"/>
      <c r="S290" s="430"/>
      <c r="T290" s="430"/>
      <c r="U290" s="430"/>
      <c r="V290" s="430"/>
      <c r="W290" s="430"/>
      <c r="X290" s="430"/>
      <c r="Y290" s="428">
        <v>2000</v>
      </c>
      <c r="Z290" s="430"/>
      <c r="AA290" s="430"/>
      <c r="AB290" s="430"/>
      <c r="AC290" s="430"/>
      <c r="AD290" s="430"/>
      <c r="AE290" s="428"/>
      <c r="AF290" s="428"/>
      <c r="AG290" s="430"/>
      <c r="AH290" s="430"/>
      <c r="AI290" s="430"/>
      <c r="AJ290" s="430"/>
      <c r="AK290" s="430"/>
      <c r="AL290" s="430"/>
      <c r="AM290" s="430"/>
      <c r="AN290" s="430"/>
      <c r="AO290" s="430"/>
      <c r="AP290" s="430"/>
      <c r="AQ290" s="430"/>
      <c r="AR290" s="430"/>
      <c r="AS290" s="430"/>
      <c r="AT290" s="430"/>
      <c r="AU290" s="430"/>
      <c r="AV290" s="432"/>
    </row>
    <row r="291" s="397" customFormat="1" ht="19" customHeight="1" spans="1:48">
      <c r="A291" s="426">
        <v>46029</v>
      </c>
      <c r="B291" s="427" t="s">
        <v>11648</v>
      </c>
      <c r="C291" s="428" t="s">
        <v>11183</v>
      </c>
      <c r="D291" s="428" t="s">
        <v>6047</v>
      </c>
      <c r="E291" s="428">
        <v>500</v>
      </c>
      <c r="F291" s="429" t="s">
        <v>11387</v>
      </c>
      <c r="G291" s="428" t="s">
        <v>11153</v>
      </c>
      <c r="H291" s="429" t="s">
        <v>11148</v>
      </c>
      <c r="I291" s="430"/>
      <c r="J291" s="430"/>
      <c r="K291" s="430"/>
      <c r="L291" s="430"/>
      <c r="M291" s="430"/>
      <c r="N291" s="430"/>
      <c r="O291" s="430"/>
      <c r="P291" s="430"/>
      <c r="Q291" s="430"/>
      <c r="R291" s="430"/>
      <c r="S291" s="430"/>
      <c r="T291" s="430"/>
      <c r="U291" s="430"/>
      <c r="V291" s="430"/>
      <c r="W291" s="430"/>
      <c r="X291" s="430"/>
      <c r="Y291" s="428"/>
      <c r="Z291" s="430"/>
      <c r="AA291" s="430"/>
      <c r="AB291" s="430">
        <v>500</v>
      </c>
      <c r="AC291" s="430"/>
      <c r="AD291" s="430"/>
      <c r="AE291" s="428"/>
      <c r="AF291" s="428"/>
      <c r="AG291" s="430"/>
      <c r="AH291" s="430"/>
      <c r="AI291" s="430"/>
      <c r="AJ291" s="430"/>
      <c r="AK291" s="430"/>
      <c r="AL291" s="430"/>
      <c r="AM291" s="430"/>
      <c r="AN291" s="430"/>
      <c r="AO291" s="430"/>
      <c r="AP291" s="430"/>
      <c r="AQ291" s="430"/>
      <c r="AR291" s="430"/>
      <c r="AS291" s="430"/>
      <c r="AT291" s="430"/>
      <c r="AU291" s="430"/>
      <c r="AV291" s="432"/>
    </row>
    <row r="292" s="397" customFormat="1" ht="19" customHeight="1" spans="1:48">
      <c r="A292" s="426">
        <v>46044</v>
      </c>
      <c r="B292" s="427">
        <v>1000036143</v>
      </c>
      <c r="C292" s="428" t="s">
        <v>11183</v>
      </c>
      <c r="D292" s="428" t="s">
        <v>6084</v>
      </c>
      <c r="E292" s="428">
        <v>150000</v>
      </c>
      <c r="F292" s="429" t="s">
        <v>11146</v>
      </c>
      <c r="G292" s="428" t="s">
        <v>11147</v>
      </c>
      <c r="H292" s="429" t="s">
        <v>11148</v>
      </c>
      <c r="I292" s="430">
        <v>150000</v>
      </c>
      <c r="J292" s="430"/>
      <c r="K292" s="430"/>
      <c r="L292" s="430"/>
      <c r="M292" s="430"/>
      <c r="N292" s="430"/>
      <c r="O292" s="430"/>
      <c r="P292" s="430"/>
      <c r="Q292" s="430"/>
      <c r="R292" s="430"/>
      <c r="S292" s="430"/>
      <c r="T292" s="430"/>
      <c r="U292" s="430"/>
      <c r="V292" s="430"/>
      <c r="W292" s="430"/>
      <c r="X292" s="430"/>
      <c r="Y292" s="428"/>
      <c r="Z292" s="430"/>
      <c r="AA292" s="430"/>
      <c r="AB292" s="430"/>
      <c r="AC292" s="430"/>
      <c r="AD292" s="430"/>
      <c r="AE292" s="428"/>
      <c r="AF292" s="428"/>
      <c r="AG292" s="430"/>
      <c r="AH292" s="430"/>
      <c r="AI292" s="430"/>
      <c r="AJ292" s="430"/>
      <c r="AK292" s="430"/>
      <c r="AL292" s="430"/>
      <c r="AM292" s="430"/>
      <c r="AN292" s="430"/>
      <c r="AO292" s="430"/>
      <c r="AP292" s="430"/>
      <c r="AQ292" s="430"/>
      <c r="AR292" s="430"/>
      <c r="AS292" s="430"/>
      <c r="AT292" s="430"/>
      <c r="AU292" s="430"/>
      <c r="AV292" s="432" t="s">
        <v>11370</v>
      </c>
    </row>
    <row r="293" s="397" customFormat="1" ht="19" customHeight="1" spans="1:48">
      <c r="A293" s="426">
        <v>46044</v>
      </c>
      <c r="B293" s="427">
        <v>1000036144</v>
      </c>
      <c r="C293" s="428" t="s">
        <v>11183</v>
      </c>
      <c r="D293" s="428" t="s">
        <v>6084</v>
      </c>
      <c r="E293" s="428">
        <v>200000</v>
      </c>
      <c r="F293" s="429" t="s">
        <v>11391</v>
      </c>
      <c r="G293" s="428" t="s">
        <v>11373</v>
      </c>
      <c r="H293" s="429" t="s">
        <v>11220</v>
      </c>
      <c r="I293" s="430"/>
      <c r="J293" s="430"/>
      <c r="K293" s="430"/>
      <c r="L293" s="430"/>
      <c r="M293" s="430"/>
      <c r="N293" s="430">
        <v>200000</v>
      </c>
      <c r="O293" s="430"/>
      <c r="P293" s="430"/>
      <c r="Q293" s="430"/>
      <c r="R293" s="430"/>
      <c r="S293" s="430"/>
      <c r="T293" s="430"/>
      <c r="U293" s="430"/>
      <c r="V293" s="430"/>
      <c r="W293" s="430"/>
      <c r="X293" s="430"/>
      <c r="Y293" s="428"/>
      <c r="Z293" s="430"/>
      <c r="AA293" s="430"/>
      <c r="AB293" s="430"/>
      <c r="AC293" s="430"/>
      <c r="AD293" s="430"/>
      <c r="AE293" s="428"/>
      <c r="AF293" s="428"/>
      <c r="AG293" s="430"/>
      <c r="AH293" s="430"/>
      <c r="AI293" s="430"/>
      <c r="AJ293" s="430"/>
      <c r="AK293" s="430"/>
      <c r="AL293" s="430"/>
      <c r="AM293" s="430"/>
      <c r="AN293" s="430"/>
      <c r="AO293" s="430"/>
      <c r="AP293" s="430"/>
      <c r="AQ293" s="430"/>
      <c r="AR293" s="430"/>
      <c r="AS293" s="430"/>
      <c r="AT293" s="430"/>
      <c r="AU293" s="430"/>
      <c r="AV293" s="432" t="s">
        <v>11509</v>
      </c>
    </row>
    <row r="294" s="397" customFormat="1" ht="19" customHeight="1" spans="1:48">
      <c r="A294" s="426">
        <v>46044</v>
      </c>
      <c r="B294" s="427">
        <v>1000036145</v>
      </c>
      <c r="C294" s="428" t="s">
        <v>11183</v>
      </c>
      <c r="D294" s="428" t="s">
        <v>11378</v>
      </c>
      <c r="E294" s="428">
        <v>3000</v>
      </c>
      <c r="F294" s="429" t="s">
        <v>11379</v>
      </c>
      <c r="G294" s="428" t="s">
        <v>11147</v>
      </c>
      <c r="H294" s="429" t="s">
        <v>11148</v>
      </c>
      <c r="I294" s="430"/>
      <c r="J294" s="430"/>
      <c r="K294" s="430"/>
      <c r="L294" s="430"/>
      <c r="M294" s="430"/>
      <c r="N294" s="430"/>
      <c r="O294" s="430"/>
      <c r="P294" s="430"/>
      <c r="Q294" s="430"/>
      <c r="R294" s="430"/>
      <c r="S294" s="430"/>
      <c r="T294" s="430"/>
      <c r="U294" s="430"/>
      <c r="V294" s="430"/>
      <c r="W294" s="430"/>
      <c r="X294" s="430"/>
      <c r="Y294" s="428"/>
      <c r="Z294" s="430">
        <v>3000</v>
      </c>
      <c r="AA294" s="430"/>
      <c r="AB294" s="430"/>
      <c r="AC294" s="430"/>
      <c r="AD294" s="430"/>
      <c r="AE294" s="428"/>
      <c r="AF294" s="428"/>
      <c r="AG294" s="430"/>
      <c r="AH294" s="430"/>
      <c r="AI294" s="430"/>
      <c r="AJ294" s="430"/>
      <c r="AK294" s="430"/>
      <c r="AL294" s="430"/>
      <c r="AM294" s="430"/>
      <c r="AN294" s="430"/>
      <c r="AO294" s="430"/>
      <c r="AP294" s="430"/>
      <c r="AQ294" s="430"/>
      <c r="AR294" s="430"/>
      <c r="AS294" s="430"/>
      <c r="AT294" s="430"/>
      <c r="AU294" s="430"/>
      <c r="AV294" s="432" t="s">
        <v>11376</v>
      </c>
    </row>
    <row r="295" s="397" customFormat="1" ht="19" customHeight="1" spans="1:48">
      <c r="A295" s="426">
        <v>46044</v>
      </c>
      <c r="B295" s="427">
        <v>1000036147</v>
      </c>
      <c r="C295" s="428" t="s">
        <v>11183</v>
      </c>
      <c r="D295" s="428" t="s">
        <v>6047</v>
      </c>
      <c r="E295" s="428">
        <v>100000</v>
      </c>
      <c r="F295" s="429" t="s">
        <v>11152</v>
      </c>
      <c r="G295" s="428" t="s">
        <v>11153</v>
      </c>
      <c r="H295" s="429" t="s">
        <v>11148</v>
      </c>
      <c r="I295" s="430"/>
      <c r="J295" s="430"/>
      <c r="K295" s="430"/>
      <c r="L295" s="430"/>
      <c r="M295" s="430">
        <v>100000</v>
      </c>
      <c r="N295" s="430"/>
      <c r="O295" s="430"/>
      <c r="P295" s="430"/>
      <c r="Q295" s="430"/>
      <c r="R295" s="430"/>
      <c r="S295" s="430"/>
      <c r="T295" s="430"/>
      <c r="U295" s="430"/>
      <c r="V295" s="430"/>
      <c r="W295" s="430"/>
      <c r="X295" s="430"/>
      <c r="Y295" s="428"/>
      <c r="Z295" s="430"/>
      <c r="AA295" s="430"/>
      <c r="AB295" s="430"/>
      <c r="AC295" s="430"/>
      <c r="AD295" s="430"/>
      <c r="AE295" s="428"/>
      <c r="AF295" s="428"/>
      <c r="AG295" s="430"/>
      <c r="AH295" s="430"/>
      <c r="AI295" s="430"/>
      <c r="AJ295" s="430"/>
      <c r="AK295" s="430"/>
      <c r="AL295" s="430"/>
      <c r="AM295" s="430"/>
      <c r="AN295" s="430"/>
      <c r="AO295" s="430"/>
      <c r="AP295" s="430"/>
      <c r="AQ295" s="430"/>
      <c r="AR295" s="430"/>
      <c r="AS295" s="430"/>
      <c r="AT295" s="430"/>
      <c r="AU295" s="430"/>
      <c r="AV295" s="432" t="s">
        <v>11383</v>
      </c>
    </row>
    <row r="296" s="397" customFormat="1" ht="19" customHeight="1" spans="1:48">
      <c r="A296" s="426">
        <v>46044</v>
      </c>
      <c r="B296" s="427">
        <v>1000036148</v>
      </c>
      <c r="C296" s="428" t="s">
        <v>11183</v>
      </c>
      <c r="D296" s="428" t="s">
        <v>6047</v>
      </c>
      <c r="E296" s="428">
        <v>100000</v>
      </c>
      <c r="F296" s="429" t="s">
        <v>11375</v>
      </c>
      <c r="G296" s="428" t="s">
        <v>11157</v>
      </c>
      <c r="H296" s="429" t="s">
        <v>11220</v>
      </c>
      <c r="I296" s="430"/>
      <c r="J296" s="430"/>
      <c r="K296" s="430"/>
      <c r="L296" s="430"/>
      <c r="M296" s="430"/>
      <c r="N296" s="430"/>
      <c r="O296" s="430">
        <v>100000</v>
      </c>
      <c r="P296" s="430"/>
      <c r="Q296" s="430"/>
      <c r="R296" s="430"/>
      <c r="S296" s="430"/>
      <c r="T296" s="430"/>
      <c r="U296" s="430"/>
      <c r="V296" s="430"/>
      <c r="W296" s="430"/>
      <c r="X296" s="430"/>
      <c r="Y296" s="428"/>
      <c r="Z296" s="430"/>
      <c r="AA296" s="430"/>
      <c r="AB296" s="430"/>
      <c r="AC296" s="430"/>
      <c r="AD296" s="430"/>
      <c r="AE296" s="428"/>
      <c r="AF296" s="428"/>
      <c r="AG296" s="430"/>
      <c r="AH296" s="430"/>
      <c r="AI296" s="430"/>
      <c r="AJ296" s="430"/>
      <c r="AK296" s="430"/>
      <c r="AL296" s="430"/>
      <c r="AM296" s="430"/>
      <c r="AN296" s="430"/>
      <c r="AO296" s="430"/>
      <c r="AP296" s="430"/>
      <c r="AQ296" s="430"/>
      <c r="AR296" s="430"/>
      <c r="AS296" s="430"/>
      <c r="AT296" s="430"/>
      <c r="AU296" s="430"/>
      <c r="AV296" s="432" t="s">
        <v>11515</v>
      </c>
    </row>
    <row r="297" s="397" customFormat="1" ht="19" customHeight="1" spans="1:48">
      <c r="A297" s="426">
        <v>46044</v>
      </c>
      <c r="B297" s="427">
        <v>1000036149</v>
      </c>
      <c r="C297" s="428" t="s">
        <v>11183</v>
      </c>
      <c r="D297" s="428" t="s">
        <v>6093</v>
      </c>
      <c r="E297" s="428">
        <v>1000</v>
      </c>
      <c r="F297" s="429" t="s">
        <v>11402</v>
      </c>
      <c r="G297" s="428" t="s">
        <v>11153</v>
      </c>
      <c r="H297" s="429" t="s">
        <v>11148</v>
      </c>
      <c r="I297" s="430"/>
      <c r="J297" s="430"/>
      <c r="K297" s="430"/>
      <c r="L297" s="430"/>
      <c r="M297" s="430"/>
      <c r="N297" s="430"/>
      <c r="O297" s="430"/>
      <c r="P297" s="430"/>
      <c r="Q297" s="430"/>
      <c r="R297" s="430"/>
      <c r="S297" s="430"/>
      <c r="T297" s="430"/>
      <c r="U297" s="430"/>
      <c r="V297" s="430"/>
      <c r="W297" s="430"/>
      <c r="X297" s="430"/>
      <c r="Y297" s="428">
        <v>1000</v>
      </c>
      <c r="Z297" s="430"/>
      <c r="AA297" s="430"/>
      <c r="AB297" s="430"/>
      <c r="AC297" s="430"/>
      <c r="AD297" s="430"/>
      <c r="AE297" s="428"/>
      <c r="AF297" s="428"/>
      <c r="AG297" s="430"/>
      <c r="AH297" s="430"/>
      <c r="AI297" s="430"/>
      <c r="AJ297" s="430"/>
      <c r="AK297" s="430"/>
      <c r="AL297" s="430"/>
      <c r="AM297" s="430"/>
      <c r="AN297" s="430"/>
      <c r="AO297" s="430"/>
      <c r="AP297" s="430"/>
      <c r="AQ297" s="430"/>
      <c r="AR297" s="430"/>
      <c r="AS297" s="430"/>
      <c r="AT297" s="430"/>
      <c r="AU297" s="430"/>
      <c r="AV297" s="432" t="s">
        <v>11385</v>
      </c>
    </row>
    <row r="298" s="398" customFormat="1" ht="19" customHeight="1" spans="1:48">
      <c r="A298" s="433">
        <v>46051</v>
      </c>
      <c r="B298" s="434" t="s">
        <v>11649</v>
      </c>
      <c r="C298" s="436" t="s">
        <v>11245</v>
      </c>
      <c r="D298" s="435">
        <v>77785</v>
      </c>
      <c r="E298" s="435">
        <v>10008</v>
      </c>
      <c r="F298" s="436" t="s">
        <v>11195</v>
      </c>
      <c r="G298" s="435" t="s">
        <v>11153</v>
      </c>
      <c r="H298" s="436" t="s">
        <v>73</v>
      </c>
      <c r="I298" s="437"/>
      <c r="J298" s="437"/>
      <c r="K298" s="437"/>
      <c r="L298" s="437"/>
      <c r="M298" s="437"/>
      <c r="N298" s="437"/>
      <c r="O298" s="437"/>
      <c r="P298" s="437"/>
      <c r="Q298" s="437"/>
      <c r="R298" s="437"/>
      <c r="S298" s="437"/>
      <c r="T298" s="437"/>
      <c r="U298" s="437"/>
      <c r="V298" s="437"/>
      <c r="W298" s="437"/>
      <c r="X298" s="437"/>
      <c r="Y298" s="435"/>
      <c r="Z298" s="437"/>
      <c r="AA298" s="437"/>
      <c r="AB298" s="437"/>
      <c r="AC298" s="437"/>
      <c r="AD298" s="437"/>
      <c r="AE298" s="435"/>
      <c r="AF298" s="435"/>
      <c r="AG298" s="437"/>
      <c r="AH298" s="437"/>
      <c r="AI298" s="437"/>
      <c r="AJ298" s="435">
        <v>10008</v>
      </c>
      <c r="AK298" s="435"/>
      <c r="AL298" s="435"/>
      <c r="AM298" s="437"/>
      <c r="AN298" s="437"/>
      <c r="AO298" s="437"/>
      <c r="AP298" s="437"/>
      <c r="AQ298" s="437"/>
      <c r="AR298" s="437"/>
      <c r="AS298" s="437"/>
      <c r="AT298" s="437"/>
      <c r="AU298" s="437"/>
      <c r="AV298" s="438" t="s">
        <v>11650</v>
      </c>
    </row>
    <row r="299" s="397" customFormat="1" ht="19" customHeight="1" spans="1:48">
      <c r="A299" s="426">
        <v>46060</v>
      </c>
      <c r="B299" s="427" t="s">
        <v>11651</v>
      </c>
      <c r="C299" s="428" t="s">
        <v>11183</v>
      </c>
      <c r="D299" s="428" t="s">
        <v>11378</v>
      </c>
      <c r="E299" s="428">
        <v>4000</v>
      </c>
      <c r="F299" s="429" t="s">
        <v>11379</v>
      </c>
      <c r="G299" s="428" t="s">
        <v>11147</v>
      </c>
      <c r="H299" s="429" t="s">
        <v>11148</v>
      </c>
      <c r="I299" s="430"/>
      <c r="J299" s="430"/>
      <c r="K299" s="430"/>
      <c r="L299" s="430"/>
      <c r="M299" s="430"/>
      <c r="N299" s="430"/>
      <c r="O299" s="430"/>
      <c r="P299" s="430"/>
      <c r="Q299" s="430"/>
      <c r="R299" s="430"/>
      <c r="S299" s="430"/>
      <c r="T299" s="430"/>
      <c r="U299" s="430"/>
      <c r="V299" s="430"/>
      <c r="W299" s="430"/>
      <c r="X299" s="430"/>
      <c r="Y299" s="428"/>
      <c r="Z299" s="430">
        <v>4000</v>
      </c>
      <c r="AA299" s="430"/>
      <c r="AB299" s="430"/>
      <c r="AC299" s="430"/>
      <c r="AD299" s="430"/>
      <c r="AE299" s="428"/>
      <c r="AF299" s="428"/>
      <c r="AG299" s="430"/>
      <c r="AH299" s="430"/>
      <c r="AI299" s="430"/>
      <c r="AJ299" s="430"/>
      <c r="AK299" s="430"/>
      <c r="AL299" s="430"/>
      <c r="AM299" s="430"/>
      <c r="AN299" s="430"/>
      <c r="AO299" s="430"/>
      <c r="AP299" s="430"/>
      <c r="AQ299" s="430"/>
      <c r="AR299" s="430"/>
      <c r="AS299" s="430"/>
      <c r="AT299" s="430"/>
      <c r="AU299" s="430"/>
      <c r="AV299" s="432"/>
    </row>
    <row r="300" s="397" customFormat="1" ht="19" customHeight="1" spans="1:48">
      <c r="A300" s="426">
        <v>46060</v>
      </c>
      <c r="B300" s="427" t="s">
        <v>11652</v>
      </c>
      <c r="C300" s="428" t="s">
        <v>11183</v>
      </c>
      <c r="D300" s="428" t="s">
        <v>6093</v>
      </c>
      <c r="E300" s="428">
        <v>4000</v>
      </c>
      <c r="F300" s="429" t="s">
        <v>11402</v>
      </c>
      <c r="G300" s="428" t="s">
        <v>11153</v>
      </c>
      <c r="H300" s="429" t="s">
        <v>11148</v>
      </c>
      <c r="I300" s="430"/>
      <c r="J300" s="430"/>
      <c r="K300" s="430"/>
      <c r="L300" s="430"/>
      <c r="M300" s="430"/>
      <c r="N300" s="430"/>
      <c r="O300" s="430"/>
      <c r="P300" s="430"/>
      <c r="Q300" s="430"/>
      <c r="R300" s="430"/>
      <c r="S300" s="430"/>
      <c r="T300" s="430"/>
      <c r="U300" s="430"/>
      <c r="V300" s="430"/>
      <c r="W300" s="430"/>
      <c r="X300" s="430"/>
      <c r="Y300" s="428">
        <v>4000</v>
      </c>
      <c r="Z300" s="430"/>
      <c r="AA300" s="430"/>
      <c r="AB300" s="430"/>
      <c r="AC300" s="430"/>
      <c r="AD300" s="430"/>
      <c r="AE300" s="428"/>
      <c r="AF300" s="428"/>
      <c r="AG300" s="430"/>
      <c r="AH300" s="430"/>
      <c r="AI300" s="430"/>
      <c r="AJ300" s="430"/>
      <c r="AK300" s="430"/>
      <c r="AL300" s="430"/>
      <c r="AM300" s="430"/>
      <c r="AN300" s="430"/>
      <c r="AO300" s="430"/>
      <c r="AP300" s="430"/>
      <c r="AQ300" s="430"/>
      <c r="AR300" s="430"/>
      <c r="AS300" s="430"/>
      <c r="AT300" s="430"/>
      <c r="AU300" s="430"/>
      <c r="AV300" s="432"/>
    </row>
    <row r="301" s="397" customFormat="1" ht="19" customHeight="1" spans="1:48">
      <c r="A301" s="426">
        <v>46083</v>
      </c>
      <c r="B301" s="427" t="s">
        <v>11653</v>
      </c>
      <c r="C301" s="428" t="s">
        <v>11183</v>
      </c>
      <c r="D301" s="428" t="s">
        <v>6084</v>
      </c>
      <c r="E301" s="428">
        <v>300000</v>
      </c>
      <c r="F301" s="429" t="s">
        <v>11146</v>
      </c>
      <c r="G301" s="428" t="s">
        <v>11147</v>
      </c>
      <c r="H301" s="429" t="s">
        <v>11148</v>
      </c>
      <c r="I301" s="430">
        <v>300000</v>
      </c>
      <c r="J301" s="430"/>
      <c r="K301" s="430"/>
      <c r="L301" s="430"/>
      <c r="M301" s="430"/>
      <c r="N301" s="430"/>
      <c r="O301" s="430"/>
      <c r="P301" s="430"/>
      <c r="Q301" s="430"/>
      <c r="R301" s="430"/>
      <c r="S301" s="430"/>
      <c r="T301" s="430"/>
      <c r="U301" s="430"/>
      <c r="V301" s="430"/>
      <c r="W301" s="430"/>
      <c r="X301" s="430"/>
      <c r="Y301" s="428"/>
      <c r="Z301" s="430"/>
      <c r="AA301" s="430"/>
      <c r="AB301" s="430"/>
      <c r="AC301" s="430"/>
      <c r="AD301" s="430"/>
      <c r="AE301" s="428"/>
      <c r="AF301" s="428"/>
      <c r="AG301" s="430"/>
      <c r="AH301" s="430"/>
      <c r="AI301" s="430"/>
      <c r="AJ301" s="430"/>
      <c r="AK301" s="430"/>
      <c r="AL301" s="430"/>
      <c r="AM301" s="430"/>
      <c r="AN301" s="430"/>
      <c r="AO301" s="430"/>
      <c r="AP301" s="430"/>
      <c r="AQ301" s="430"/>
      <c r="AR301" s="430"/>
      <c r="AS301" s="430"/>
      <c r="AT301" s="430"/>
      <c r="AU301" s="430"/>
      <c r="AV301" s="432"/>
    </row>
    <row r="302" s="397" customFormat="1" ht="19" customHeight="1" spans="1:48">
      <c r="A302" s="426">
        <v>46083</v>
      </c>
      <c r="B302" s="427" t="s">
        <v>11654</v>
      </c>
      <c r="C302" s="428" t="s">
        <v>11183</v>
      </c>
      <c r="D302" s="428" t="s">
        <v>6084</v>
      </c>
      <c r="E302" s="428">
        <v>400000</v>
      </c>
      <c r="F302" s="429" t="s">
        <v>11391</v>
      </c>
      <c r="G302" s="428" t="s">
        <v>11373</v>
      </c>
      <c r="H302" s="429" t="s">
        <v>11220</v>
      </c>
      <c r="I302" s="430"/>
      <c r="J302" s="430"/>
      <c r="K302" s="430"/>
      <c r="L302" s="430"/>
      <c r="M302" s="430"/>
      <c r="N302" s="430">
        <v>400000</v>
      </c>
      <c r="O302" s="430"/>
      <c r="P302" s="430"/>
      <c r="Q302" s="430"/>
      <c r="R302" s="430"/>
      <c r="S302" s="430"/>
      <c r="T302" s="430"/>
      <c r="U302" s="430"/>
      <c r="V302" s="430"/>
      <c r="W302" s="430"/>
      <c r="X302" s="430"/>
      <c r="Y302" s="428"/>
      <c r="Z302" s="430"/>
      <c r="AA302" s="430"/>
      <c r="AB302" s="430"/>
      <c r="AC302" s="430"/>
      <c r="AD302" s="430"/>
      <c r="AE302" s="428"/>
      <c r="AF302" s="428"/>
      <c r="AG302" s="430"/>
      <c r="AH302" s="430"/>
      <c r="AI302" s="430"/>
      <c r="AJ302" s="430"/>
      <c r="AK302" s="430"/>
      <c r="AL302" s="430"/>
      <c r="AM302" s="430"/>
      <c r="AN302" s="430"/>
      <c r="AO302" s="430"/>
      <c r="AP302" s="430"/>
      <c r="AQ302" s="430"/>
      <c r="AR302" s="430"/>
      <c r="AS302" s="430"/>
      <c r="AT302" s="430"/>
      <c r="AU302" s="430"/>
      <c r="AV302" s="432"/>
    </row>
    <row r="303" s="397" customFormat="1" ht="19" customHeight="1" spans="1:48">
      <c r="A303" s="426">
        <v>46083</v>
      </c>
      <c r="B303" s="427" t="s">
        <v>11655</v>
      </c>
      <c r="C303" s="428" t="s">
        <v>11183</v>
      </c>
      <c r="D303" s="428" t="s">
        <v>11378</v>
      </c>
      <c r="E303" s="428">
        <v>6000</v>
      </c>
      <c r="F303" s="429" t="s">
        <v>11379</v>
      </c>
      <c r="G303" s="428" t="s">
        <v>11147</v>
      </c>
      <c r="H303" s="429" t="s">
        <v>11148</v>
      </c>
      <c r="I303" s="430"/>
      <c r="J303" s="430"/>
      <c r="K303" s="430"/>
      <c r="L303" s="430"/>
      <c r="M303" s="430"/>
      <c r="N303" s="430"/>
      <c r="O303" s="430"/>
      <c r="P303" s="430"/>
      <c r="Q303" s="430"/>
      <c r="R303" s="430"/>
      <c r="S303" s="430"/>
      <c r="T303" s="430"/>
      <c r="U303" s="430"/>
      <c r="V303" s="430"/>
      <c r="W303" s="430"/>
      <c r="X303" s="430"/>
      <c r="Y303" s="428"/>
      <c r="Z303" s="430">
        <v>6000</v>
      </c>
      <c r="AA303" s="430"/>
      <c r="AB303" s="430"/>
      <c r="AC303" s="430"/>
      <c r="AD303" s="430"/>
      <c r="AE303" s="428"/>
      <c r="AF303" s="428"/>
      <c r="AG303" s="430"/>
      <c r="AH303" s="430"/>
      <c r="AI303" s="430"/>
      <c r="AJ303" s="430"/>
      <c r="AK303" s="430"/>
      <c r="AL303" s="430"/>
      <c r="AM303" s="430"/>
      <c r="AN303" s="430"/>
      <c r="AO303" s="430"/>
      <c r="AP303" s="430"/>
      <c r="AQ303" s="430"/>
      <c r="AR303" s="430"/>
      <c r="AS303" s="430"/>
      <c r="AT303" s="430"/>
      <c r="AU303" s="430"/>
      <c r="AV303" s="432"/>
    </row>
    <row r="304" s="397" customFormat="1" ht="19" customHeight="1" spans="1:48">
      <c r="A304" s="426">
        <v>46083</v>
      </c>
      <c r="B304" s="427" t="s">
        <v>11656</v>
      </c>
      <c r="C304" s="428" t="s">
        <v>11183</v>
      </c>
      <c r="D304" s="428" t="s">
        <v>6166</v>
      </c>
      <c r="E304" s="428">
        <v>500</v>
      </c>
      <c r="F304" s="429" t="s">
        <v>11427</v>
      </c>
      <c r="G304" s="428" t="s">
        <v>11147</v>
      </c>
      <c r="H304" s="429" t="s">
        <v>11148</v>
      </c>
      <c r="I304" s="430"/>
      <c r="J304" s="430"/>
      <c r="K304" s="430"/>
      <c r="L304" s="430"/>
      <c r="M304" s="430"/>
      <c r="N304" s="430"/>
      <c r="O304" s="430"/>
      <c r="P304" s="430"/>
      <c r="Q304" s="430"/>
      <c r="R304" s="430"/>
      <c r="S304" s="430"/>
      <c r="T304" s="430"/>
      <c r="U304" s="430"/>
      <c r="V304" s="430"/>
      <c r="W304" s="430">
        <v>500</v>
      </c>
      <c r="X304" s="430"/>
      <c r="Y304" s="428"/>
      <c r="Z304" s="430"/>
      <c r="AA304" s="430"/>
      <c r="AB304" s="430"/>
      <c r="AC304" s="430"/>
      <c r="AD304" s="430"/>
      <c r="AE304" s="428"/>
      <c r="AF304" s="428"/>
      <c r="AG304" s="430"/>
      <c r="AH304" s="430"/>
      <c r="AI304" s="430"/>
      <c r="AJ304" s="430"/>
      <c r="AK304" s="430"/>
      <c r="AL304" s="430"/>
      <c r="AM304" s="430"/>
      <c r="AN304" s="430"/>
      <c r="AO304" s="430"/>
      <c r="AP304" s="430"/>
      <c r="AQ304" s="430"/>
      <c r="AR304" s="430"/>
      <c r="AS304" s="430"/>
      <c r="AT304" s="430"/>
      <c r="AU304" s="430"/>
      <c r="AV304" s="432"/>
    </row>
    <row r="305" s="397" customFormat="1" ht="19" customHeight="1" spans="1:48">
      <c r="A305" s="426">
        <v>46083</v>
      </c>
      <c r="B305" s="427" t="s">
        <v>11657</v>
      </c>
      <c r="C305" s="428" t="s">
        <v>11183</v>
      </c>
      <c r="D305" s="428" t="s">
        <v>6166</v>
      </c>
      <c r="E305" s="428">
        <v>500</v>
      </c>
      <c r="F305" s="429" t="s">
        <v>11395</v>
      </c>
      <c r="G305" s="428" t="s">
        <v>11373</v>
      </c>
      <c r="H305" s="429" t="s">
        <v>11148</v>
      </c>
      <c r="I305" s="430"/>
      <c r="J305" s="430"/>
      <c r="K305" s="430"/>
      <c r="L305" s="430"/>
      <c r="M305" s="430"/>
      <c r="N305" s="430"/>
      <c r="O305" s="430"/>
      <c r="P305" s="430"/>
      <c r="Q305" s="430"/>
      <c r="R305" s="430"/>
      <c r="S305" s="430"/>
      <c r="T305" s="430"/>
      <c r="U305" s="430"/>
      <c r="V305" s="430"/>
      <c r="W305" s="430"/>
      <c r="X305" s="430">
        <v>500</v>
      </c>
      <c r="Y305" s="428"/>
      <c r="Z305" s="430"/>
      <c r="AA305" s="430"/>
      <c r="AB305" s="430"/>
      <c r="AC305" s="430"/>
      <c r="AD305" s="430"/>
      <c r="AE305" s="428"/>
      <c r="AF305" s="428"/>
      <c r="AG305" s="430"/>
      <c r="AH305" s="430"/>
      <c r="AI305" s="430"/>
      <c r="AJ305" s="430"/>
      <c r="AK305" s="430"/>
      <c r="AL305" s="430"/>
      <c r="AM305" s="430"/>
      <c r="AN305" s="430"/>
      <c r="AO305" s="430"/>
      <c r="AP305" s="430"/>
      <c r="AQ305" s="430"/>
      <c r="AR305" s="430"/>
      <c r="AS305" s="430"/>
      <c r="AT305" s="430"/>
      <c r="AU305" s="430"/>
      <c r="AV305" s="432"/>
    </row>
    <row r="306" s="397" customFormat="1" ht="19" customHeight="1" spans="1:48">
      <c r="A306" s="426">
        <v>46083</v>
      </c>
      <c r="B306" s="427" t="s">
        <v>11658</v>
      </c>
      <c r="C306" s="428" t="s">
        <v>11183</v>
      </c>
      <c r="D306" s="428" t="s">
        <v>6047</v>
      </c>
      <c r="E306" s="428">
        <v>200000</v>
      </c>
      <c r="F306" s="429" t="s">
        <v>11152</v>
      </c>
      <c r="G306" s="428" t="s">
        <v>11153</v>
      </c>
      <c r="H306" s="429" t="s">
        <v>11148</v>
      </c>
      <c r="I306" s="430"/>
      <c r="J306" s="430"/>
      <c r="K306" s="430"/>
      <c r="L306" s="430"/>
      <c r="M306" s="430">
        <v>200000</v>
      </c>
      <c r="N306" s="430"/>
      <c r="O306" s="430"/>
      <c r="P306" s="430"/>
      <c r="Q306" s="430"/>
      <c r="R306" s="430"/>
      <c r="S306" s="430"/>
      <c r="T306" s="430"/>
      <c r="U306" s="430"/>
      <c r="V306" s="430"/>
      <c r="W306" s="430"/>
      <c r="X306" s="430"/>
      <c r="Y306" s="428"/>
      <c r="Z306" s="430"/>
      <c r="AA306" s="430"/>
      <c r="AB306" s="430"/>
      <c r="AC306" s="430"/>
      <c r="AD306" s="430"/>
      <c r="AE306" s="428"/>
      <c r="AF306" s="428"/>
      <c r="AG306" s="430"/>
      <c r="AH306" s="430"/>
      <c r="AI306" s="430"/>
      <c r="AJ306" s="430"/>
      <c r="AK306" s="430"/>
      <c r="AL306" s="430"/>
      <c r="AM306" s="430"/>
      <c r="AN306" s="430"/>
      <c r="AO306" s="430"/>
      <c r="AP306" s="430"/>
      <c r="AQ306" s="430"/>
      <c r="AR306" s="430"/>
      <c r="AS306" s="430"/>
      <c r="AT306" s="430"/>
      <c r="AU306" s="430"/>
      <c r="AV306" s="432"/>
    </row>
    <row r="307" s="397" customFormat="1" ht="19" customHeight="1" spans="1:48">
      <c r="A307" s="426">
        <v>46083</v>
      </c>
      <c r="B307" s="427" t="s">
        <v>11659</v>
      </c>
      <c r="C307" s="428" t="s">
        <v>11183</v>
      </c>
      <c r="D307" s="428" t="s">
        <v>6047</v>
      </c>
      <c r="E307" s="428">
        <v>200000</v>
      </c>
      <c r="F307" s="429" t="s">
        <v>11375</v>
      </c>
      <c r="G307" s="428" t="s">
        <v>11157</v>
      </c>
      <c r="H307" s="429" t="s">
        <v>11220</v>
      </c>
      <c r="I307" s="430"/>
      <c r="J307" s="430"/>
      <c r="K307" s="430"/>
      <c r="L307" s="430"/>
      <c r="M307" s="430"/>
      <c r="N307" s="430"/>
      <c r="O307" s="430">
        <v>200000</v>
      </c>
      <c r="P307" s="430"/>
      <c r="Q307" s="430"/>
      <c r="R307" s="430"/>
      <c r="S307" s="430"/>
      <c r="T307" s="430"/>
      <c r="U307" s="430"/>
      <c r="V307" s="430"/>
      <c r="W307" s="430"/>
      <c r="X307" s="430"/>
      <c r="Y307" s="428"/>
      <c r="Z307" s="430"/>
      <c r="AA307" s="430"/>
      <c r="AB307" s="430"/>
      <c r="AC307" s="430"/>
      <c r="AD307" s="430"/>
      <c r="AE307" s="428"/>
      <c r="AF307" s="428"/>
      <c r="AG307" s="430"/>
      <c r="AH307" s="430"/>
      <c r="AI307" s="430"/>
      <c r="AJ307" s="430"/>
      <c r="AK307" s="430"/>
      <c r="AL307" s="430"/>
      <c r="AM307" s="430"/>
      <c r="AN307" s="430"/>
      <c r="AO307" s="430"/>
      <c r="AP307" s="430"/>
      <c r="AQ307" s="430"/>
      <c r="AR307" s="430"/>
      <c r="AS307" s="430"/>
      <c r="AT307" s="430"/>
      <c r="AU307" s="430"/>
      <c r="AV307" s="432"/>
    </row>
    <row r="308" s="397" customFormat="1" ht="19" customHeight="1" spans="1:48">
      <c r="A308" s="426">
        <v>46083</v>
      </c>
      <c r="B308" s="427" t="s">
        <v>11660</v>
      </c>
      <c r="C308" s="428" t="s">
        <v>11183</v>
      </c>
      <c r="D308" s="428" t="s">
        <v>6047</v>
      </c>
      <c r="E308" s="428">
        <v>800</v>
      </c>
      <c r="F308" s="429" t="s">
        <v>11387</v>
      </c>
      <c r="G308" s="428" t="s">
        <v>11153</v>
      </c>
      <c r="H308" s="429" t="s">
        <v>11148</v>
      </c>
      <c r="I308" s="430"/>
      <c r="J308" s="430"/>
      <c r="K308" s="430"/>
      <c r="L308" s="430"/>
      <c r="M308" s="430"/>
      <c r="N308" s="430"/>
      <c r="O308" s="430"/>
      <c r="P308" s="430"/>
      <c r="Q308" s="430"/>
      <c r="R308" s="430"/>
      <c r="S308" s="430"/>
      <c r="T308" s="430"/>
      <c r="U308" s="430"/>
      <c r="V308" s="430"/>
      <c r="W308" s="430"/>
      <c r="X308" s="430"/>
      <c r="Y308" s="428"/>
      <c r="Z308" s="430"/>
      <c r="AA308" s="430"/>
      <c r="AB308" s="430">
        <v>800</v>
      </c>
      <c r="AC308" s="430"/>
      <c r="AD308" s="430"/>
      <c r="AE308" s="428"/>
      <c r="AF308" s="428"/>
      <c r="AG308" s="430"/>
      <c r="AH308" s="430"/>
      <c r="AI308" s="430"/>
      <c r="AJ308" s="430"/>
      <c r="AK308" s="430"/>
      <c r="AL308" s="430"/>
      <c r="AM308" s="430"/>
      <c r="AN308" s="430"/>
      <c r="AO308" s="430"/>
      <c r="AP308" s="430"/>
      <c r="AQ308" s="430"/>
      <c r="AR308" s="430"/>
      <c r="AS308" s="430"/>
      <c r="AT308" s="430"/>
      <c r="AU308" s="430"/>
      <c r="AV308" s="432"/>
    </row>
    <row r="309" s="397" customFormat="1" ht="19" customHeight="1" spans="1:48">
      <c r="A309" s="426">
        <v>46083</v>
      </c>
      <c r="B309" s="427" t="s">
        <v>11661</v>
      </c>
      <c r="C309" s="428" t="s">
        <v>11183</v>
      </c>
      <c r="D309" s="428" t="s">
        <v>6093</v>
      </c>
      <c r="E309" s="428">
        <v>2000</v>
      </c>
      <c r="F309" s="429" t="s">
        <v>11402</v>
      </c>
      <c r="G309" s="428" t="s">
        <v>11153</v>
      </c>
      <c r="H309" s="429" t="s">
        <v>11148</v>
      </c>
      <c r="I309" s="430"/>
      <c r="J309" s="430"/>
      <c r="K309" s="430"/>
      <c r="L309" s="430"/>
      <c r="M309" s="430"/>
      <c r="N309" s="430"/>
      <c r="O309" s="430"/>
      <c r="P309" s="430"/>
      <c r="Q309" s="430"/>
      <c r="R309" s="430"/>
      <c r="S309" s="430"/>
      <c r="T309" s="430"/>
      <c r="U309" s="430"/>
      <c r="V309" s="430"/>
      <c r="W309" s="430"/>
      <c r="X309" s="430"/>
      <c r="Y309" s="428">
        <v>2000</v>
      </c>
      <c r="Z309" s="430"/>
      <c r="AA309" s="430"/>
      <c r="AB309" s="430"/>
      <c r="AC309" s="430"/>
      <c r="AD309" s="430"/>
      <c r="AE309" s="428"/>
      <c r="AF309" s="428"/>
      <c r="AG309" s="430"/>
      <c r="AH309" s="430"/>
      <c r="AI309" s="430"/>
      <c r="AJ309" s="430"/>
      <c r="AK309" s="430"/>
      <c r="AL309" s="430"/>
      <c r="AM309" s="430"/>
      <c r="AN309" s="430"/>
      <c r="AO309" s="430"/>
      <c r="AP309" s="430"/>
      <c r="AQ309" s="430"/>
      <c r="AR309" s="430"/>
      <c r="AS309" s="430"/>
      <c r="AT309" s="430"/>
      <c r="AU309" s="430"/>
      <c r="AV309" s="432"/>
    </row>
    <row r="310" s="397" customFormat="1" ht="19" customHeight="1" spans="1:48">
      <c r="A310" s="426">
        <v>45882</v>
      </c>
      <c r="B310" s="427" t="s">
        <v>11559</v>
      </c>
      <c r="C310" s="428"/>
      <c r="D310" s="428" t="s">
        <v>11560</v>
      </c>
      <c r="E310" s="428">
        <v>1000</v>
      </c>
      <c r="F310" s="429" t="s">
        <v>11417</v>
      </c>
      <c r="G310" s="428" t="s">
        <v>11147</v>
      </c>
      <c r="H310" s="429" t="s">
        <v>73</v>
      </c>
      <c r="I310" s="430"/>
      <c r="J310" s="430"/>
      <c r="K310" s="430"/>
      <c r="L310" s="430"/>
      <c r="M310" s="430"/>
      <c r="N310" s="430"/>
      <c r="O310" s="430"/>
      <c r="P310" s="430"/>
      <c r="Q310" s="430"/>
      <c r="R310" s="430"/>
      <c r="S310" s="430"/>
      <c r="T310" s="430"/>
      <c r="U310" s="430"/>
      <c r="V310" s="430"/>
      <c r="W310" s="430"/>
      <c r="X310" s="430"/>
      <c r="Y310" s="428"/>
      <c r="Z310" s="430"/>
      <c r="AA310" s="430"/>
      <c r="AB310" s="430"/>
      <c r="AC310" s="430"/>
      <c r="AD310" s="430"/>
      <c r="AE310" s="428"/>
      <c r="AF310" s="428">
        <v>1000</v>
      </c>
      <c r="AG310" s="430"/>
      <c r="AH310" s="430"/>
      <c r="AI310" s="430"/>
      <c r="AJ310" s="430"/>
      <c r="AK310" s="430"/>
      <c r="AL310" s="430"/>
      <c r="AM310" s="430"/>
      <c r="AN310" s="430"/>
      <c r="AO310" s="430"/>
      <c r="AP310" s="430"/>
      <c r="AQ310" s="430"/>
      <c r="AR310" s="430"/>
      <c r="AS310" s="430"/>
      <c r="AT310" s="430"/>
      <c r="AU310" s="430"/>
      <c r="AV310" s="432" t="s">
        <v>11561</v>
      </c>
    </row>
    <row r="311" s="397" customFormat="1" ht="19" customHeight="1" spans="1:48">
      <c r="A311" s="426">
        <v>45951</v>
      </c>
      <c r="B311" s="427" t="s">
        <v>11662</v>
      </c>
      <c r="C311" s="428" t="s">
        <v>11663</v>
      </c>
      <c r="D311" s="428" t="s">
        <v>11560</v>
      </c>
      <c r="E311" s="428">
        <v>500</v>
      </c>
      <c r="F311" s="429" t="s">
        <v>11417</v>
      </c>
      <c r="G311" s="428" t="s">
        <v>11147</v>
      </c>
      <c r="H311" s="429" t="s">
        <v>73</v>
      </c>
      <c r="I311" s="430"/>
      <c r="J311" s="430"/>
      <c r="K311" s="430"/>
      <c r="L311" s="430"/>
      <c r="M311" s="430"/>
      <c r="N311" s="430"/>
      <c r="O311" s="430"/>
      <c r="P311" s="430"/>
      <c r="Q311" s="430"/>
      <c r="R311" s="430"/>
      <c r="S311" s="430"/>
      <c r="T311" s="430"/>
      <c r="U311" s="430"/>
      <c r="V311" s="430"/>
      <c r="W311" s="430"/>
      <c r="X311" s="430"/>
      <c r="Y311" s="428"/>
      <c r="Z311" s="430"/>
      <c r="AA311" s="430"/>
      <c r="AB311" s="430"/>
      <c r="AC311" s="430"/>
      <c r="AD311" s="430"/>
      <c r="AE311" s="428"/>
      <c r="AF311" s="428">
        <v>500</v>
      </c>
      <c r="AG311" s="430"/>
      <c r="AH311" s="430"/>
      <c r="AI311" s="430"/>
      <c r="AJ311" s="430"/>
      <c r="AK311" s="430"/>
      <c r="AL311" s="430"/>
      <c r="AM311" s="430"/>
      <c r="AN311" s="430"/>
      <c r="AO311" s="430"/>
      <c r="AP311" s="430"/>
      <c r="AQ311" s="430"/>
      <c r="AR311" s="430"/>
      <c r="AS311" s="430"/>
      <c r="AT311" s="430"/>
      <c r="AU311" s="430"/>
      <c r="AV311" s="432" t="s">
        <v>11664</v>
      </c>
    </row>
    <row r="312" s="397" customFormat="1" ht="19" customHeight="1" spans="1:48">
      <c r="A312" s="426">
        <v>45960</v>
      </c>
      <c r="B312" s="427" t="s">
        <v>11615</v>
      </c>
      <c r="C312" s="428" t="s">
        <v>11663</v>
      </c>
      <c r="D312" s="428" t="s">
        <v>11560</v>
      </c>
      <c r="E312" s="428">
        <v>1671</v>
      </c>
      <c r="F312" s="429" t="s">
        <v>11417</v>
      </c>
      <c r="G312" s="428" t="s">
        <v>11153</v>
      </c>
      <c r="H312" s="429" t="s">
        <v>73</v>
      </c>
      <c r="I312" s="430"/>
      <c r="J312" s="430"/>
      <c r="K312" s="430"/>
      <c r="L312" s="430"/>
      <c r="M312" s="430"/>
      <c r="N312" s="430"/>
      <c r="O312" s="430"/>
      <c r="P312" s="430"/>
      <c r="Q312" s="430"/>
      <c r="R312" s="430"/>
      <c r="S312" s="430"/>
      <c r="T312" s="430"/>
      <c r="U312" s="430"/>
      <c r="V312" s="430"/>
      <c r="W312" s="430"/>
      <c r="X312" s="430"/>
      <c r="Y312" s="428"/>
      <c r="Z312" s="430"/>
      <c r="AA312" s="430"/>
      <c r="AB312" s="430"/>
      <c r="AC312" s="430"/>
      <c r="AD312" s="430"/>
      <c r="AE312" s="428"/>
      <c r="AF312" s="428">
        <v>1671</v>
      </c>
      <c r="AG312" s="430"/>
      <c r="AH312" s="430"/>
      <c r="AI312" s="430"/>
      <c r="AJ312" s="430"/>
      <c r="AK312" s="430"/>
      <c r="AL312" s="430"/>
      <c r="AM312" s="430"/>
      <c r="AN312" s="430"/>
      <c r="AO312" s="430"/>
      <c r="AP312" s="430"/>
      <c r="AQ312" s="430"/>
      <c r="AR312" s="430"/>
      <c r="AS312" s="430"/>
      <c r="AT312" s="430"/>
      <c r="AU312" s="430"/>
      <c r="AV312" s="432" t="s">
        <v>11665</v>
      </c>
    </row>
    <row r="313" s="397" customFormat="1" ht="19" customHeight="1" spans="1:48">
      <c r="A313" s="426">
        <v>45972</v>
      </c>
      <c r="B313" s="427" t="s">
        <v>11666</v>
      </c>
      <c r="C313" s="428" t="s">
        <v>11663</v>
      </c>
      <c r="D313" s="428" t="s">
        <v>11560</v>
      </c>
      <c r="E313" s="428">
        <v>944</v>
      </c>
      <c r="F313" s="429" t="s">
        <v>11417</v>
      </c>
      <c r="G313" s="428" t="s">
        <v>11153</v>
      </c>
      <c r="H313" s="429" t="s">
        <v>73</v>
      </c>
      <c r="I313" s="430"/>
      <c r="J313" s="430"/>
      <c r="K313" s="430"/>
      <c r="L313" s="430"/>
      <c r="M313" s="430"/>
      <c r="N313" s="430"/>
      <c r="O313" s="430"/>
      <c r="P313" s="430"/>
      <c r="Q313" s="430"/>
      <c r="R313" s="430"/>
      <c r="S313" s="430"/>
      <c r="T313" s="430"/>
      <c r="U313" s="430"/>
      <c r="V313" s="430"/>
      <c r="W313" s="430"/>
      <c r="X313" s="430"/>
      <c r="Y313" s="428"/>
      <c r="Z313" s="430"/>
      <c r="AA313" s="430"/>
      <c r="AB313" s="430"/>
      <c r="AC313" s="430"/>
      <c r="AD313" s="430"/>
      <c r="AE313" s="428"/>
      <c r="AF313" s="428">
        <v>944</v>
      </c>
      <c r="AG313" s="430"/>
      <c r="AH313" s="430"/>
      <c r="AI313" s="430"/>
      <c r="AJ313" s="430"/>
      <c r="AK313" s="430"/>
      <c r="AL313" s="430"/>
      <c r="AM313" s="430"/>
      <c r="AN313" s="430"/>
      <c r="AO313" s="430"/>
      <c r="AP313" s="430"/>
      <c r="AQ313" s="430"/>
      <c r="AR313" s="430"/>
      <c r="AS313" s="430"/>
      <c r="AT313" s="430"/>
      <c r="AU313" s="430"/>
      <c r="AV313" s="432" t="s">
        <v>11667</v>
      </c>
    </row>
    <row r="314" s="397" customFormat="1" ht="19" customHeight="1" spans="1:48">
      <c r="A314" s="426">
        <v>45978</v>
      </c>
      <c r="B314" s="427" t="s">
        <v>11668</v>
      </c>
      <c r="C314" s="428" t="s">
        <v>11663</v>
      </c>
      <c r="D314" s="428" t="s">
        <v>11416</v>
      </c>
      <c r="E314" s="428">
        <v>600</v>
      </c>
      <c r="F314" s="429" t="s">
        <v>11417</v>
      </c>
      <c r="G314" s="428" t="s">
        <v>11147</v>
      </c>
      <c r="H314" s="429" t="s">
        <v>11148</v>
      </c>
      <c r="I314" s="430"/>
      <c r="J314" s="430"/>
      <c r="K314" s="430"/>
      <c r="L314" s="430"/>
      <c r="M314" s="430"/>
      <c r="N314" s="430"/>
      <c r="O314" s="430"/>
      <c r="P314" s="430"/>
      <c r="Q314" s="430"/>
      <c r="R314" s="430"/>
      <c r="S314" s="430"/>
      <c r="T314" s="430"/>
      <c r="U314" s="430"/>
      <c r="V314" s="430"/>
      <c r="W314" s="430"/>
      <c r="X314" s="430"/>
      <c r="Y314" s="428"/>
      <c r="Z314" s="430"/>
      <c r="AA314" s="430"/>
      <c r="AB314" s="430"/>
      <c r="AC314" s="430">
        <v>600</v>
      </c>
      <c r="AD314" s="430"/>
      <c r="AE314" s="428"/>
      <c r="AF314" s="428"/>
      <c r="AG314" s="430"/>
      <c r="AH314" s="430"/>
      <c r="AI314" s="430"/>
      <c r="AJ314" s="430"/>
      <c r="AK314" s="430"/>
      <c r="AL314" s="430"/>
      <c r="AM314" s="430"/>
      <c r="AN314" s="430"/>
      <c r="AO314" s="430"/>
      <c r="AP314" s="430"/>
      <c r="AQ314" s="430"/>
      <c r="AR314" s="430"/>
      <c r="AS314" s="430"/>
      <c r="AT314" s="430"/>
      <c r="AU314" s="430"/>
      <c r="AV314" s="432" t="s">
        <v>11669</v>
      </c>
    </row>
    <row r="315" s="397" customFormat="1" ht="19" customHeight="1" spans="1:48">
      <c r="A315" s="426">
        <v>45985</v>
      </c>
      <c r="B315" s="427" t="s">
        <v>11670</v>
      </c>
      <c r="C315" s="428" t="s">
        <v>11663</v>
      </c>
      <c r="D315" s="428" t="s">
        <v>11416</v>
      </c>
      <c r="E315" s="428">
        <v>500</v>
      </c>
      <c r="F315" s="429" t="s">
        <v>11417</v>
      </c>
      <c r="G315" s="428" t="s">
        <v>11153</v>
      </c>
      <c r="H315" s="429" t="s">
        <v>73</v>
      </c>
      <c r="I315" s="430"/>
      <c r="J315" s="430"/>
      <c r="K315" s="430"/>
      <c r="L315" s="430"/>
      <c r="M315" s="430"/>
      <c r="N315" s="430"/>
      <c r="O315" s="430"/>
      <c r="P315" s="430"/>
      <c r="Q315" s="430"/>
      <c r="R315" s="430"/>
      <c r="S315" s="430"/>
      <c r="T315" s="430"/>
      <c r="U315" s="430"/>
      <c r="V315" s="430"/>
      <c r="W315" s="430"/>
      <c r="X315" s="430"/>
      <c r="Y315" s="428"/>
      <c r="Z315" s="430"/>
      <c r="AA315" s="430"/>
      <c r="AB315" s="430"/>
      <c r="AC315" s="430"/>
      <c r="AD315" s="430">
        <v>500</v>
      </c>
      <c r="AE315" s="428"/>
      <c r="AF315" s="428"/>
      <c r="AG315" s="430"/>
      <c r="AH315" s="430"/>
      <c r="AI315" s="430"/>
      <c r="AJ315" s="430"/>
      <c r="AK315" s="430"/>
      <c r="AL315" s="430"/>
      <c r="AM315" s="430"/>
      <c r="AN315" s="430"/>
      <c r="AO315" s="430"/>
      <c r="AP315" s="430"/>
      <c r="AQ315" s="430"/>
      <c r="AR315" s="430"/>
      <c r="AS315" s="430"/>
      <c r="AT315" s="430"/>
      <c r="AU315" s="430"/>
      <c r="AV315" s="440" t="s">
        <v>11671</v>
      </c>
    </row>
    <row r="316" s="397" customFormat="1" ht="19" customHeight="1" spans="1:48">
      <c r="A316" s="426">
        <v>46064</v>
      </c>
      <c r="B316" s="427" t="s">
        <v>11672</v>
      </c>
      <c r="C316" s="428" t="s">
        <v>11663</v>
      </c>
      <c r="D316" s="428" t="s">
        <v>11416</v>
      </c>
      <c r="E316" s="428">
        <v>2460</v>
      </c>
      <c r="F316" s="429" t="s">
        <v>11417</v>
      </c>
      <c r="G316" s="428" t="s">
        <v>11147</v>
      </c>
      <c r="H316" s="429" t="s">
        <v>11148</v>
      </c>
      <c r="I316" s="430"/>
      <c r="J316" s="430"/>
      <c r="K316" s="430"/>
      <c r="L316" s="430"/>
      <c r="M316" s="430"/>
      <c r="N316" s="430"/>
      <c r="O316" s="430"/>
      <c r="P316" s="430"/>
      <c r="Q316" s="430"/>
      <c r="R316" s="430"/>
      <c r="S316" s="430"/>
      <c r="T316" s="430"/>
      <c r="U316" s="430"/>
      <c r="V316" s="430"/>
      <c r="W316" s="430"/>
      <c r="X316" s="430"/>
      <c r="Y316" s="428"/>
      <c r="Z316" s="430"/>
      <c r="AA316" s="430"/>
      <c r="AB316" s="430"/>
      <c r="AC316" s="430">
        <v>2460</v>
      </c>
      <c r="AD316" s="430"/>
      <c r="AE316" s="428"/>
      <c r="AF316" s="428"/>
      <c r="AG316" s="430"/>
      <c r="AH316" s="430"/>
      <c r="AI316" s="430"/>
      <c r="AJ316" s="430"/>
      <c r="AK316" s="430"/>
      <c r="AL316" s="430"/>
      <c r="AM316" s="430"/>
      <c r="AN316" s="430"/>
      <c r="AO316" s="430"/>
      <c r="AP316" s="430"/>
      <c r="AQ316" s="430"/>
      <c r="AR316" s="430"/>
      <c r="AS316" s="430"/>
      <c r="AT316" s="430"/>
      <c r="AU316" s="430"/>
      <c r="AV316" s="432" t="s">
        <v>11673</v>
      </c>
    </row>
    <row r="317" s="397" customFormat="1" ht="19" customHeight="1" spans="1:48">
      <c r="A317" s="426">
        <v>46083</v>
      </c>
      <c r="B317" s="427" t="s">
        <v>11674</v>
      </c>
      <c r="C317" s="428" t="s">
        <v>11663</v>
      </c>
      <c r="D317" s="428" t="s">
        <v>11416</v>
      </c>
      <c r="E317" s="428">
        <v>500</v>
      </c>
      <c r="F317" s="429" t="s">
        <v>11417</v>
      </c>
      <c r="G317" s="428" t="s">
        <v>11153</v>
      </c>
      <c r="H317" s="429" t="s">
        <v>73</v>
      </c>
      <c r="I317" s="430"/>
      <c r="J317" s="430"/>
      <c r="K317" s="430"/>
      <c r="L317" s="430"/>
      <c r="M317" s="430"/>
      <c r="N317" s="430"/>
      <c r="O317" s="430"/>
      <c r="P317" s="430"/>
      <c r="Q317" s="430"/>
      <c r="R317" s="430"/>
      <c r="S317" s="430"/>
      <c r="T317" s="430"/>
      <c r="U317" s="430"/>
      <c r="V317" s="430"/>
      <c r="W317" s="430"/>
      <c r="X317" s="430"/>
      <c r="Y317" s="428"/>
      <c r="Z317" s="430"/>
      <c r="AA317" s="430"/>
      <c r="AB317" s="430"/>
      <c r="AC317" s="430"/>
      <c r="AD317" s="430">
        <v>500</v>
      </c>
      <c r="AE317" s="428"/>
      <c r="AF317" s="428"/>
      <c r="AG317" s="430"/>
      <c r="AH317" s="430"/>
      <c r="AI317" s="430"/>
      <c r="AJ317" s="430"/>
      <c r="AK317" s="430"/>
      <c r="AL317" s="430"/>
      <c r="AM317" s="430"/>
      <c r="AN317" s="430"/>
      <c r="AO317" s="430"/>
      <c r="AP317" s="430"/>
      <c r="AQ317" s="430"/>
      <c r="AR317" s="430"/>
      <c r="AS317" s="430"/>
      <c r="AT317" s="430"/>
      <c r="AU317" s="430"/>
      <c r="AV317" s="432" t="s">
        <v>11675</v>
      </c>
    </row>
    <row r="318" s="397" customFormat="1" ht="19" customHeight="1" spans="1:48">
      <c r="A318" s="426">
        <v>46087</v>
      </c>
      <c r="B318" s="427" t="s">
        <v>11676</v>
      </c>
      <c r="C318" s="428"/>
      <c r="D318" s="428">
        <v>77731</v>
      </c>
      <c r="E318" s="428">
        <v>29952</v>
      </c>
      <c r="F318" s="429" t="s">
        <v>11404</v>
      </c>
      <c r="G318" s="428" t="s">
        <v>11271</v>
      </c>
      <c r="H318" s="429" t="s">
        <v>73</v>
      </c>
      <c r="I318" s="430"/>
      <c r="J318" s="430"/>
      <c r="K318" s="430"/>
      <c r="L318" s="430"/>
      <c r="M318" s="430"/>
      <c r="N318" s="430"/>
      <c r="O318" s="430"/>
      <c r="P318" s="430"/>
      <c r="Q318" s="430"/>
      <c r="R318" s="430"/>
      <c r="S318" s="430"/>
      <c r="T318" s="430"/>
      <c r="U318" s="430"/>
      <c r="V318" s="430"/>
      <c r="W318" s="430"/>
      <c r="X318" s="430"/>
      <c r="Y318" s="428"/>
      <c r="Z318" s="430"/>
      <c r="AA318" s="430"/>
      <c r="AB318" s="430"/>
      <c r="AC318" s="430"/>
      <c r="AD318" s="430"/>
      <c r="AE318" s="428"/>
      <c r="AF318" s="428"/>
      <c r="AG318" s="430"/>
      <c r="AH318" s="430"/>
      <c r="AI318" s="430"/>
      <c r="AJ318" s="430"/>
      <c r="AK318" s="430"/>
      <c r="AL318" s="430"/>
      <c r="AM318" s="430"/>
      <c r="AN318" s="430"/>
      <c r="AO318" s="430"/>
      <c r="AP318" s="430"/>
      <c r="AQ318" s="430"/>
      <c r="AR318" s="430"/>
      <c r="AS318" s="428">
        <v>29952</v>
      </c>
      <c r="AT318" s="430"/>
      <c r="AU318" s="430"/>
      <c r="AV318" s="432" t="s">
        <v>11677</v>
      </c>
    </row>
    <row r="319" s="397" customFormat="1" ht="19" customHeight="1" spans="1:48">
      <c r="A319" s="426">
        <v>46087</v>
      </c>
      <c r="B319" s="427" t="s">
        <v>11678</v>
      </c>
      <c r="C319" s="428"/>
      <c r="D319" s="428">
        <v>77731</v>
      </c>
      <c r="E319" s="428">
        <v>29952</v>
      </c>
      <c r="F319" s="429" t="s">
        <v>11407</v>
      </c>
      <c r="G319" s="428" t="s">
        <v>11153</v>
      </c>
      <c r="H319" s="429" t="s">
        <v>73</v>
      </c>
      <c r="I319" s="430"/>
      <c r="J319" s="430"/>
      <c r="K319" s="430"/>
      <c r="L319" s="430"/>
      <c r="M319" s="430"/>
      <c r="N319" s="430"/>
      <c r="O319" s="430"/>
      <c r="P319" s="430"/>
      <c r="Q319" s="430"/>
      <c r="R319" s="430"/>
      <c r="S319" s="430"/>
      <c r="T319" s="430"/>
      <c r="U319" s="430"/>
      <c r="V319" s="430"/>
      <c r="W319" s="430"/>
      <c r="X319" s="430"/>
      <c r="Y319" s="428"/>
      <c r="Z319" s="430"/>
      <c r="AA319" s="430"/>
      <c r="AB319" s="430"/>
      <c r="AC319" s="430"/>
      <c r="AD319" s="430"/>
      <c r="AE319" s="428"/>
      <c r="AF319" s="428"/>
      <c r="AG319" s="430"/>
      <c r="AH319" s="430"/>
      <c r="AI319" s="430"/>
      <c r="AJ319" s="430"/>
      <c r="AK319" s="430"/>
      <c r="AL319" s="430"/>
      <c r="AM319" s="430"/>
      <c r="AN319" s="430"/>
      <c r="AO319" s="430"/>
      <c r="AP319" s="430"/>
      <c r="AQ319" s="430"/>
      <c r="AR319" s="430"/>
      <c r="AS319" s="430"/>
      <c r="AT319" s="428">
        <v>29952</v>
      </c>
      <c r="AU319" s="430"/>
      <c r="AV319" s="432" t="s">
        <v>11677</v>
      </c>
    </row>
    <row r="320" s="397" customFormat="1" ht="19" customHeight="1" spans="1:48">
      <c r="A320" s="426">
        <v>46087</v>
      </c>
      <c r="B320" s="427" t="s">
        <v>11679</v>
      </c>
      <c r="C320" s="428"/>
      <c r="D320" s="428">
        <v>77731</v>
      </c>
      <c r="E320" s="428">
        <v>29952</v>
      </c>
      <c r="F320" s="429" t="s">
        <v>11409</v>
      </c>
      <c r="G320" s="428" t="s">
        <v>11271</v>
      </c>
      <c r="H320" s="429" t="s">
        <v>73</v>
      </c>
      <c r="I320" s="430"/>
      <c r="J320" s="430"/>
      <c r="K320" s="430"/>
      <c r="L320" s="430"/>
      <c r="M320" s="430"/>
      <c r="N320" s="430"/>
      <c r="O320" s="430"/>
      <c r="P320" s="430"/>
      <c r="Q320" s="430"/>
      <c r="R320" s="430"/>
      <c r="S320" s="430"/>
      <c r="T320" s="430"/>
      <c r="U320" s="430"/>
      <c r="V320" s="430"/>
      <c r="W320" s="430"/>
      <c r="X320" s="430"/>
      <c r="Y320" s="428"/>
      <c r="Z320" s="430"/>
      <c r="AA320" s="430"/>
      <c r="AB320" s="430"/>
      <c r="AC320" s="430"/>
      <c r="AD320" s="430"/>
      <c r="AE320" s="428"/>
      <c r="AF320" s="428"/>
      <c r="AG320" s="430"/>
      <c r="AH320" s="430"/>
      <c r="AI320" s="430"/>
      <c r="AJ320" s="430"/>
      <c r="AK320" s="430"/>
      <c r="AL320" s="430"/>
      <c r="AM320" s="430"/>
      <c r="AN320" s="430"/>
      <c r="AO320" s="430"/>
      <c r="AP320" s="430"/>
      <c r="AQ320" s="430"/>
      <c r="AR320" s="430"/>
      <c r="AS320" s="430"/>
      <c r="AT320" s="430"/>
      <c r="AU320" s="428">
        <v>29952</v>
      </c>
      <c r="AV320" s="432" t="s">
        <v>11677</v>
      </c>
    </row>
    <row r="321" s="397" customFormat="1" ht="19" customHeight="1" spans="1:48">
      <c r="A321" s="426">
        <v>46087</v>
      </c>
      <c r="B321" s="427" t="s">
        <v>11680</v>
      </c>
      <c r="C321" s="428"/>
      <c r="D321" s="428">
        <v>77731</v>
      </c>
      <c r="E321" s="428">
        <v>59904</v>
      </c>
      <c r="F321" s="429" t="s">
        <v>11422</v>
      </c>
      <c r="G321" s="428" t="s">
        <v>11373</v>
      </c>
      <c r="H321" s="429" t="s">
        <v>73</v>
      </c>
      <c r="I321" s="430"/>
      <c r="J321" s="430"/>
      <c r="K321" s="430">
        <f>E321</f>
        <v>59904</v>
      </c>
      <c r="L321" s="430"/>
      <c r="M321" s="430"/>
      <c r="N321" s="430"/>
      <c r="O321" s="430"/>
      <c r="P321" s="430"/>
      <c r="Q321" s="430"/>
      <c r="R321" s="430"/>
      <c r="S321" s="430"/>
      <c r="T321" s="430"/>
      <c r="U321" s="430"/>
      <c r="V321" s="430"/>
      <c r="W321" s="430"/>
      <c r="X321" s="430"/>
      <c r="Y321" s="428"/>
      <c r="Z321" s="430"/>
      <c r="AA321" s="430"/>
      <c r="AB321" s="430"/>
      <c r="AC321" s="430"/>
      <c r="AD321" s="430"/>
      <c r="AE321" s="428"/>
      <c r="AF321" s="428"/>
      <c r="AG321" s="430"/>
      <c r="AH321" s="430"/>
      <c r="AI321" s="430"/>
      <c r="AJ321" s="430"/>
      <c r="AK321" s="430"/>
      <c r="AL321" s="430"/>
      <c r="AM321" s="430"/>
      <c r="AN321" s="430"/>
      <c r="AO321" s="430"/>
      <c r="AP321" s="430"/>
      <c r="AQ321" s="430"/>
      <c r="AR321" s="430"/>
      <c r="AS321" s="430"/>
      <c r="AT321" s="430"/>
      <c r="AU321" s="430"/>
      <c r="AV321" s="432" t="s">
        <v>11681</v>
      </c>
    </row>
    <row r="322" s="397" customFormat="1" ht="19" customHeight="1" spans="1:48">
      <c r="A322" s="426">
        <v>46094</v>
      </c>
      <c r="B322" s="427" t="s">
        <v>11682</v>
      </c>
      <c r="C322" s="428" t="s">
        <v>11663</v>
      </c>
      <c r="D322" s="428" t="s">
        <v>11416</v>
      </c>
      <c r="E322" s="428">
        <v>2460</v>
      </c>
      <c r="F322" s="429" t="s">
        <v>11417</v>
      </c>
      <c r="G322" s="428" t="s">
        <v>11147</v>
      </c>
      <c r="H322" s="429" t="s">
        <v>11148</v>
      </c>
      <c r="I322" s="430"/>
      <c r="J322" s="430"/>
      <c r="K322" s="430"/>
      <c r="L322" s="430"/>
      <c r="M322" s="430"/>
      <c r="N322" s="430"/>
      <c r="O322" s="430"/>
      <c r="P322" s="430"/>
      <c r="Q322" s="430"/>
      <c r="R322" s="430"/>
      <c r="S322" s="430"/>
      <c r="T322" s="430"/>
      <c r="U322" s="430"/>
      <c r="V322" s="430"/>
      <c r="W322" s="430"/>
      <c r="X322" s="430"/>
      <c r="Y322" s="428"/>
      <c r="Z322" s="430"/>
      <c r="AA322" s="430"/>
      <c r="AB322" s="430"/>
      <c r="AC322" s="430">
        <v>2460</v>
      </c>
      <c r="AD322" s="430"/>
      <c r="AE322" s="428"/>
      <c r="AF322" s="428"/>
      <c r="AG322" s="430"/>
      <c r="AH322" s="430"/>
      <c r="AI322" s="430"/>
      <c r="AJ322" s="430"/>
      <c r="AK322" s="430"/>
      <c r="AL322" s="430"/>
      <c r="AM322" s="430"/>
      <c r="AN322" s="430"/>
      <c r="AO322" s="430"/>
      <c r="AP322" s="430"/>
      <c r="AQ322" s="430"/>
      <c r="AR322" s="430"/>
      <c r="AS322" s="430"/>
      <c r="AT322" s="430"/>
      <c r="AU322" s="430"/>
      <c r="AV322" s="432" t="s">
        <v>11683</v>
      </c>
    </row>
    <row r="323" s="397" customFormat="1" ht="19" customHeight="1" spans="1:48">
      <c r="A323" s="426">
        <v>46098</v>
      </c>
      <c r="B323" s="427">
        <v>1000037662</v>
      </c>
      <c r="C323" s="428" t="s">
        <v>11183</v>
      </c>
      <c r="D323" s="428" t="s">
        <v>6084</v>
      </c>
      <c r="E323" s="428">
        <v>200000</v>
      </c>
      <c r="F323" s="429" t="s">
        <v>11146</v>
      </c>
      <c r="G323" s="428" t="s">
        <v>11147</v>
      </c>
      <c r="H323" s="429" t="s">
        <v>11148</v>
      </c>
      <c r="I323" s="430">
        <v>200000</v>
      </c>
      <c r="J323" s="430"/>
      <c r="K323" s="430"/>
      <c r="L323" s="430"/>
      <c r="M323" s="430"/>
      <c r="N323" s="430"/>
      <c r="O323" s="430"/>
      <c r="P323" s="430"/>
      <c r="Q323" s="430"/>
      <c r="R323" s="430"/>
      <c r="S323" s="430"/>
      <c r="T323" s="430"/>
      <c r="U323" s="430"/>
      <c r="V323" s="430"/>
      <c r="W323" s="430"/>
      <c r="X323" s="430"/>
      <c r="Y323" s="430"/>
      <c r="Z323" s="430"/>
      <c r="AA323" s="430"/>
      <c r="AB323" s="430"/>
      <c r="AC323" s="430"/>
      <c r="AD323" s="430"/>
      <c r="AE323" s="428"/>
      <c r="AF323" s="428"/>
      <c r="AG323" s="430"/>
      <c r="AH323" s="430"/>
      <c r="AI323" s="430"/>
      <c r="AJ323" s="430"/>
      <c r="AK323" s="430"/>
      <c r="AL323" s="430"/>
      <c r="AM323" s="430"/>
      <c r="AN323" s="430"/>
      <c r="AO323" s="430"/>
      <c r="AP323" s="430"/>
      <c r="AQ323" s="430"/>
      <c r="AR323" s="430"/>
      <c r="AS323" s="430"/>
      <c r="AT323" s="430"/>
      <c r="AU323" s="430"/>
      <c r="AV323" s="432" t="s">
        <v>11370</v>
      </c>
    </row>
    <row r="324" s="397" customFormat="1" ht="19" customHeight="1" spans="1:48">
      <c r="A324" s="426">
        <v>46098</v>
      </c>
      <c r="B324" s="427">
        <v>1000037663</v>
      </c>
      <c r="C324" s="428" t="s">
        <v>11183</v>
      </c>
      <c r="D324" s="428" t="s">
        <v>6084</v>
      </c>
      <c r="E324" s="428">
        <v>200000</v>
      </c>
      <c r="F324" s="429" t="s">
        <v>11391</v>
      </c>
      <c r="G324" s="428" t="s">
        <v>11373</v>
      </c>
      <c r="H324" s="429" t="s">
        <v>11220</v>
      </c>
      <c r="I324" s="430"/>
      <c r="J324" s="430"/>
      <c r="K324" s="430"/>
      <c r="L324" s="430"/>
      <c r="M324" s="430"/>
      <c r="N324" s="430">
        <v>200000</v>
      </c>
      <c r="O324" s="430"/>
      <c r="P324" s="430"/>
      <c r="Q324" s="430"/>
      <c r="R324" s="430"/>
      <c r="S324" s="430"/>
      <c r="T324" s="430"/>
      <c r="U324" s="430"/>
      <c r="V324" s="430"/>
      <c r="W324" s="430"/>
      <c r="X324" s="430"/>
      <c r="Y324" s="430"/>
      <c r="Z324" s="430"/>
      <c r="AA324" s="430"/>
      <c r="AB324" s="430"/>
      <c r="AC324" s="430"/>
      <c r="AD324" s="430"/>
      <c r="AE324" s="428"/>
      <c r="AF324" s="428"/>
      <c r="AG324" s="430"/>
      <c r="AH324" s="430"/>
      <c r="AI324" s="430"/>
      <c r="AJ324" s="430"/>
      <c r="AK324" s="430"/>
      <c r="AL324" s="430"/>
      <c r="AM324" s="430"/>
      <c r="AN324" s="430"/>
      <c r="AO324" s="430"/>
      <c r="AP324" s="430"/>
      <c r="AQ324" s="430"/>
      <c r="AR324" s="430"/>
      <c r="AS324" s="430"/>
      <c r="AT324" s="430"/>
      <c r="AU324" s="430"/>
      <c r="AV324" s="432" t="s">
        <v>11509</v>
      </c>
    </row>
    <row r="325" s="397" customFormat="1" ht="19" customHeight="1" spans="1:48">
      <c r="A325" s="426">
        <v>46098</v>
      </c>
      <c r="B325" s="427">
        <v>1000037665</v>
      </c>
      <c r="C325" s="428" t="s">
        <v>11183</v>
      </c>
      <c r="D325" s="428" t="s">
        <v>11378</v>
      </c>
      <c r="E325" s="428">
        <v>3000</v>
      </c>
      <c r="F325" s="429" t="s">
        <v>11379</v>
      </c>
      <c r="G325" s="428" t="s">
        <v>11147</v>
      </c>
      <c r="H325" s="429" t="s">
        <v>11148</v>
      </c>
      <c r="I325" s="430"/>
      <c r="J325" s="430"/>
      <c r="K325" s="430"/>
      <c r="L325" s="430"/>
      <c r="M325" s="430"/>
      <c r="N325" s="430"/>
      <c r="O325" s="430"/>
      <c r="P325" s="430"/>
      <c r="Q325" s="430"/>
      <c r="R325" s="430"/>
      <c r="S325" s="430"/>
      <c r="T325" s="430"/>
      <c r="U325" s="430"/>
      <c r="V325" s="430"/>
      <c r="W325" s="430"/>
      <c r="X325" s="430"/>
      <c r="Y325" s="430"/>
      <c r="Z325" s="430">
        <v>3000</v>
      </c>
      <c r="AA325" s="430"/>
      <c r="AB325" s="430"/>
      <c r="AC325" s="430"/>
      <c r="AD325" s="430"/>
      <c r="AE325" s="428"/>
      <c r="AF325" s="428"/>
      <c r="AG325" s="430"/>
      <c r="AH325" s="430"/>
      <c r="AI325" s="430"/>
      <c r="AJ325" s="430"/>
      <c r="AK325" s="430"/>
      <c r="AL325" s="430"/>
      <c r="AM325" s="430"/>
      <c r="AN325" s="430"/>
      <c r="AO325" s="430"/>
      <c r="AP325" s="430"/>
      <c r="AQ325" s="430"/>
      <c r="AR325" s="430"/>
      <c r="AS325" s="430"/>
      <c r="AT325" s="430"/>
      <c r="AU325" s="430"/>
      <c r="AV325" s="432" t="s">
        <v>11376</v>
      </c>
    </row>
    <row r="326" s="397" customFormat="1" ht="19" customHeight="1" spans="1:48">
      <c r="A326" s="426">
        <v>46098</v>
      </c>
      <c r="B326" s="427">
        <v>1000037666</v>
      </c>
      <c r="C326" s="428" t="s">
        <v>11183</v>
      </c>
      <c r="D326" s="428" t="s">
        <v>6166</v>
      </c>
      <c r="E326" s="428">
        <v>1500</v>
      </c>
      <c r="F326" s="429" t="s">
        <v>11427</v>
      </c>
      <c r="G326" s="428" t="s">
        <v>11147</v>
      </c>
      <c r="H326" s="429" t="s">
        <v>11148</v>
      </c>
      <c r="I326" s="430"/>
      <c r="J326" s="430"/>
      <c r="K326" s="430"/>
      <c r="L326" s="430"/>
      <c r="M326" s="430"/>
      <c r="N326" s="430"/>
      <c r="O326" s="430"/>
      <c r="P326" s="430"/>
      <c r="Q326" s="430"/>
      <c r="R326" s="430"/>
      <c r="S326" s="430"/>
      <c r="T326" s="430"/>
      <c r="U326" s="430"/>
      <c r="V326" s="430"/>
      <c r="W326" s="430">
        <v>1500</v>
      </c>
      <c r="X326" s="430"/>
      <c r="Y326" s="430"/>
      <c r="Z326" s="430"/>
      <c r="AA326" s="430"/>
      <c r="AB326" s="430"/>
      <c r="AC326" s="430"/>
      <c r="AD326" s="430"/>
      <c r="AE326" s="428"/>
      <c r="AF326" s="428"/>
      <c r="AG326" s="430"/>
      <c r="AH326" s="430"/>
      <c r="AI326" s="430"/>
      <c r="AJ326" s="430"/>
      <c r="AK326" s="430"/>
      <c r="AL326" s="430"/>
      <c r="AM326" s="430"/>
      <c r="AN326" s="430"/>
      <c r="AO326" s="430"/>
      <c r="AP326" s="430"/>
      <c r="AQ326" s="430"/>
      <c r="AR326" s="430"/>
      <c r="AS326" s="430"/>
      <c r="AT326" s="430"/>
      <c r="AU326" s="430"/>
      <c r="AV326" s="432" t="s">
        <v>11376</v>
      </c>
    </row>
    <row r="327" s="397" customFormat="1" ht="19" customHeight="1" spans="1:48">
      <c r="A327" s="426">
        <v>46098</v>
      </c>
      <c r="B327" s="427">
        <v>1000037672</v>
      </c>
      <c r="C327" s="428" t="s">
        <v>11183</v>
      </c>
      <c r="D327" s="428" t="s">
        <v>6047</v>
      </c>
      <c r="E327" s="428">
        <v>180000</v>
      </c>
      <c r="F327" s="429" t="s">
        <v>11152</v>
      </c>
      <c r="G327" s="428" t="s">
        <v>11153</v>
      </c>
      <c r="H327" s="429" t="s">
        <v>11148</v>
      </c>
      <c r="I327" s="430"/>
      <c r="J327" s="430"/>
      <c r="K327" s="430"/>
      <c r="L327" s="430"/>
      <c r="M327" s="430">
        <v>180000</v>
      </c>
      <c r="N327" s="430"/>
      <c r="O327" s="430"/>
      <c r="P327" s="430"/>
      <c r="Q327" s="430"/>
      <c r="R327" s="430"/>
      <c r="S327" s="430"/>
      <c r="T327" s="430"/>
      <c r="U327" s="430"/>
      <c r="V327" s="430"/>
      <c r="W327" s="430"/>
      <c r="X327" s="430"/>
      <c r="Y327" s="430"/>
      <c r="Z327" s="430"/>
      <c r="AA327" s="430"/>
      <c r="AB327" s="430"/>
      <c r="AC327" s="430"/>
      <c r="AD327" s="430"/>
      <c r="AE327" s="428"/>
      <c r="AF327" s="428"/>
      <c r="AG327" s="430"/>
      <c r="AH327" s="430"/>
      <c r="AI327" s="430"/>
      <c r="AJ327" s="430"/>
      <c r="AK327" s="430"/>
      <c r="AL327" s="430"/>
      <c r="AM327" s="430"/>
      <c r="AN327" s="430"/>
      <c r="AO327" s="430"/>
      <c r="AP327" s="430"/>
      <c r="AQ327" s="430"/>
      <c r="AR327" s="430"/>
      <c r="AS327" s="430"/>
      <c r="AT327" s="430"/>
      <c r="AU327" s="430"/>
      <c r="AV327" s="432" t="s">
        <v>11383</v>
      </c>
    </row>
    <row r="328" s="397" customFormat="1" ht="19" customHeight="1" spans="1:48">
      <c r="A328" s="426">
        <v>46098</v>
      </c>
      <c r="B328" s="427">
        <v>1000037673</v>
      </c>
      <c r="C328" s="428" t="s">
        <v>11183</v>
      </c>
      <c r="D328" s="428" t="s">
        <v>6047</v>
      </c>
      <c r="E328" s="428">
        <v>40000</v>
      </c>
      <c r="F328" s="429" t="s">
        <v>11375</v>
      </c>
      <c r="G328" s="428" t="s">
        <v>11157</v>
      </c>
      <c r="H328" s="429" t="s">
        <v>11220</v>
      </c>
      <c r="I328" s="430"/>
      <c r="J328" s="430"/>
      <c r="K328" s="430"/>
      <c r="L328" s="430"/>
      <c r="M328" s="430"/>
      <c r="N328" s="430"/>
      <c r="O328" s="430">
        <v>40000</v>
      </c>
      <c r="P328" s="430"/>
      <c r="Q328" s="430"/>
      <c r="R328" s="430"/>
      <c r="S328" s="430"/>
      <c r="T328" s="430"/>
      <c r="U328" s="430"/>
      <c r="V328" s="430"/>
      <c r="W328" s="430"/>
      <c r="X328" s="430"/>
      <c r="Y328" s="430"/>
      <c r="Z328" s="430"/>
      <c r="AA328" s="430"/>
      <c r="AB328" s="430"/>
      <c r="AC328" s="430"/>
      <c r="AD328" s="430"/>
      <c r="AE328" s="428"/>
      <c r="AF328" s="428"/>
      <c r="AG328" s="430"/>
      <c r="AH328" s="430"/>
      <c r="AI328" s="430"/>
      <c r="AJ328" s="430"/>
      <c r="AK328" s="430"/>
      <c r="AL328" s="430"/>
      <c r="AM328" s="430"/>
      <c r="AN328" s="430"/>
      <c r="AO328" s="430"/>
      <c r="AP328" s="430"/>
      <c r="AQ328" s="430"/>
      <c r="AR328" s="430"/>
      <c r="AS328" s="430"/>
      <c r="AT328" s="430"/>
      <c r="AU328" s="430"/>
      <c r="AV328" s="432" t="s">
        <v>11515</v>
      </c>
    </row>
    <row r="329" s="397" customFormat="1" ht="19" customHeight="1" spans="1:48">
      <c r="A329" s="426">
        <v>46098</v>
      </c>
      <c r="B329" s="427">
        <v>1000037674</v>
      </c>
      <c r="C329" s="428" t="s">
        <v>11183</v>
      </c>
      <c r="D329" s="428" t="s">
        <v>6047</v>
      </c>
      <c r="E329" s="428">
        <v>5500</v>
      </c>
      <c r="F329" s="429" t="s">
        <v>11387</v>
      </c>
      <c r="G329" s="428" t="s">
        <v>11153</v>
      </c>
      <c r="H329" s="429" t="s">
        <v>11148</v>
      </c>
      <c r="I329" s="430"/>
      <c r="J329" s="430"/>
      <c r="K329" s="430"/>
      <c r="L329" s="430"/>
      <c r="M329" s="430"/>
      <c r="N329" s="430"/>
      <c r="O329" s="430"/>
      <c r="P329" s="430"/>
      <c r="Q329" s="430"/>
      <c r="R329" s="430"/>
      <c r="S329" s="430"/>
      <c r="T329" s="430"/>
      <c r="U329" s="430"/>
      <c r="V329" s="430"/>
      <c r="W329" s="430"/>
      <c r="X329" s="430"/>
      <c r="Y329" s="430"/>
      <c r="Z329" s="430"/>
      <c r="AA329" s="430"/>
      <c r="AB329" s="430">
        <v>5500</v>
      </c>
      <c r="AC329" s="430"/>
      <c r="AD329" s="430"/>
      <c r="AE329" s="428"/>
      <c r="AF329" s="428"/>
      <c r="AG329" s="430"/>
      <c r="AH329" s="430"/>
      <c r="AI329" s="430"/>
      <c r="AJ329" s="430"/>
      <c r="AK329" s="430"/>
      <c r="AL329" s="430"/>
      <c r="AM329" s="430"/>
      <c r="AN329" s="430"/>
      <c r="AO329" s="430"/>
      <c r="AP329" s="430"/>
      <c r="AQ329" s="430"/>
      <c r="AR329" s="430"/>
      <c r="AS329" s="430"/>
      <c r="AT329" s="430"/>
      <c r="AU329" s="430"/>
      <c r="AV329" s="432" t="s">
        <v>11385</v>
      </c>
    </row>
    <row r="330" s="397" customFormat="1" ht="19" customHeight="1" spans="1:48">
      <c r="A330" s="426">
        <v>46098</v>
      </c>
      <c r="B330" s="427">
        <v>1000037675</v>
      </c>
      <c r="C330" s="428" t="s">
        <v>11183</v>
      </c>
      <c r="D330" s="428" t="s">
        <v>6093</v>
      </c>
      <c r="E330" s="428">
        <v>5500</v>
      </c>
      <c r="F330" s="429" t="s">
        <v>11402</v>
      </c>
      <c r="G330" s="428" t="s">
        <v>11153</v>
      </c>
      <c r="H330" s="429" t="s">
        <v>11148</v>
      </c>
      <c r="I330" s="430"/>
      <c r="J330" s="430"/>
      <c r="K330" s="430"/>
      <c r="L330" s="430"/>
      <c r="M330" s="430"/>
      <c r="N330" s="430"/>
      <c r="O330" s="430"/>
      <c r="P330" s="430"/>
      <c r="Q330" s="430"/>
      <c r="R330" s="430"/>
      <c r="S330" s="430"/>
      <c r="T330" s="430"/>
      <c r="U330" s="430"/>
      <c r="V330" s="430"/>
      <c r="W330" s="430"/>
      <c r="X330" s="430"/>
      <c r="Y330" s="430">
        <v>5500</v>
      </c>
      <c r="Z330" s="430"/>
      <c r="AA330" s="430"/>
      <c r="AB330" s="430"/>
      <c r="AC330" s="430"/>
      <c r="AD330" s="430"/>
      <c r="AE330" s="428"/>
      <c r="AF330" s="428"/>
      <c r="AG330" s="430"/>
      <c r="AH330" s="430"/>
      <c r="AI330" s="430"/>
      <c r="AJ330" s="430"/>
      <c r="AK330" s="430"/>
      <c r="AL330" s="430"/>
      <c r="AM330" s="430"/>
      <c r="AN330" s="430"/>
      <c r="AO330" s="430"/>
      <c r="AP330" s="430"/>
      <c r="AQ330" s="430"/>
      <c r="AR330" s="430"/>
      <c r="AS330" s="430"/>
      <c r="AT330" s="430"/>
      <c r="AU330" s="430"/>
      <c r="AV330" s="432" t="s">
        <v>11385</v>
      </c>
    </row>
    <row r="331" s="398" customFormat="1" ht="19" customHeight="1" spans="1:48">
      <c r="A331" s="433">
        <v>46099</v>
      </c>
      <c r="B331" s="434" t="s">
        <v>11684</v>
      </c>
      <c r="C331" s="436" t="s">
        <v>11245</v>
      </c>
      <c r="D331" s="435">
        <v>77785</v>
      </c>
      <c r="E331" s="435">
        <v>5000</v>
      </c>
      <c r="F331" s="436" t="s">
        <v>11612</v>
      </c>
      <c r="G331" s="435" t="s">
        <v>11153</v>
      </c>
      <c r="H331" s="436" t="s">
        <v>11276</v>
      </c>
      <c r="I331" s="437"/>
      <c r="J331" s="437"/>
      <c r="K331" s="437"/>
      <c r="L331" s="437"/>
      <c r="M331" s="437"/>
      <c r="N331" s="437"/>
      <c r="O331" s="437"/>
      <c r="P331" s="437"/>
      <c r="Q331" s="437"/>
      <c r="R331" s="437"/>
      <c r="S331" s="437"/>
      <c r="T331" s="437"/>
      <c r="U331" s="437"/>
      <c r="V331" s="437"/>
      <c r="W331" s="437"/>
      <c r="X331" s="437"/>
      <c r="Y331" s="437"/>
      <c r="Z331" s="437"/>
      <c r="AA331" s="437"/>
      <c r="AB331" s="437"/>
      <c r="AC331" s="437"/>
      <c r="AD331" s="437"/>
      <c r="AE331" s="435"/>
      <c r="AF331" s="435"/>
      <c r="AG331" s="437"/>
      <c r="AH331" s="437"/>
      <c r="AI331" s="437"/>
      <c r="AJ331" s="435">
        <v>5000</v>
      </c>
      <c r="AK331" s="435"/>
      <c r="AL331" s="435"/>
      <c r="AM331" s="437"/>
      <c r="AN331" s="437"/>
      <c r="AO331" s="437"/>
      <c r="AP331" s="437"/>
      <c r="AQ331" s="437"/>
      <c r="AR331" s="437"/>
      <c r="AS331" s="437"/>
      <c r="AT331" s="437"/>
      <c r="AU331" s="437"/>
      <c r="AV331" s="438" t="s">
        <v>11685</v>
      </c>
    </row>
    <row r="332" s="398" customFormat="1" ht="19" customHeight="1" spans="1:48">
      <c r="A332" s="433">
        <v>46101</v>
      </c>
      <c r="B332" s="434" t="s">
        <v>11686</v>
      </c>
      <c r="C332" s="436" t="s">
        <v>11687</v>
      </c>
      <c r="D332" s="435" t="s">
        <v>11416</v>
      </c>
      <c r="E332" s="435">
        <v>1620</v>
      </c>
      <c r="F332" s="436" t="s">
        <v>11417</v>
      </c>
      <c r="G332" s="435" t="s">
        <v>11147</v>
      </c>
      <c r="H332" s="436" t="s">
        <v>11148</v>
      </c>
      <c r="I332" s="437"/>
      <c r="J332" s="437"/>
      <c r="K332" s="437"/>
      <c r="L332" s="437"/>
      <c r="M332" s="437"/>
      <c r="N332" s="437"/>
      <c r="O332" s="437"/>
      <c r="P332" s="437"/>
      <c r="Q332" s="437"/>
      <c r="R332" s="437"/>
      <c r="S332" s="437"/>
      <c r="T332" s="437"/>
      <c r="U332" s="437"/>
      <c r="V332" s="437"/>
      <c r="W332" s="437"/>
      <c r="X332" s="437"/>
      <c r="Y332" s="437"/>
      <c r="Z332" s="437"/>
      <c r="AA332" s="437"/>
      <c r="AB332" s="437"/>
      <c r="AC332" s="437">
        <v>1620</v>
      </c>
      <c r="AD332" s="437"/>
      <c r="AE332" s="435"/>
      <c r="AF332" s="435"/>
      <c r="AG332" s="437"/>
      <c r="AH332" s="437"/>
      <c r="AI332" s="437"/>
      <c r="AJ332" s="437"/>
      <c r="AK332" s="437"/>
      <c r="AL332" s="437"/>
      <c r="AM332" s="437"/>
      <c r="AN332" s="437"/>
      <c r="AO332" s="437"/>
      <c r="AP332" s="437"/>
      <c r="AQ332" s="437"/>
      <c r="AR332" s="437"/>
      <c r="AS332" s="437"/>
      <c r="AT332" s="437"/>
      <c r="AU332" s="437"/>
      <c r="AV332" s="438" t="s">
        <v>11688</v>
      </c>
    </row>
    <row r="333" s="397" customFormat="1" ht="19" customHeight="1" spans="1:48">
      <c r="A333" s="426">
        <v>46107</v>
      </c>
      <c r="B333" s="427" t="s">
        <v>11615</v>
      </c>
      <c r="C333" s="428" t="s">
        <v>11248</v>
      </c>
      <c r="D333" s="428" t="s">
        <v>11560</v>
      </c>
      <c r="E333" s="428">
        <v>817</v>
      </c>
      <c r="F333" s="429" t="s">
        <v>11417</v>
      </c>
      <c r="G333" s="428" t="s">
        <v>11153</v>
      </c>
      <c r="H333" s="429" t="s">
        <v>73</v>
      </c>
      <c r="I333" s="430"/>
      <c r="J333" s="430"/>
      <c r="K333" s="430"/>
      <c r="L333" s="430"/>
      <c r="M333" s="430"/>
      <c r="N333" s="430"/>
      <c r="O333" s="430"/>
      <c r="P333" s="430"/>
      <c r="Q333" s="430"/>
      <c r="R333" s="430"/>
      <c r="S333" s="430"/>
      <c r="T333" s="430"/>
      <c r="U333" s="430"/>
      <c r="V333" s="430"/>
      <c r="W333" s="430"/>
      <c r="X333" s="430"/>
      <c r="Y333" s="430"/>
      <c r="Z333" s="430"/>
      <c r="AA333" s="430"/>
      <c r="AB333" s="430"/>
      <c r="AC333" s="430"/>
      <c r="AD333" s="430"/>
      <c r="AE333" s="428"/>
      <c r="AF333" s="428">
        <f>E333</f>
        <v>817</v>
      </c>
      <c r="AG333" s="430"/>
      <c r="AH333" s="430"/>
      <c r="AI333" s="430"/>
      <c r="AJ333" s="430"/>
      <c r="AK333" s="430"/>
      <c r="AL333" s="430"/>
      <c r="AM333" s="430"/>
      <c r="AN333" s="430"/>
      <c r="AO333" s="430"/>
      <c r="AP333" s="430"/>
      <c r="AQ333" s="430"/>
      <c r="AR333" s="430"/>
      <c r="AS333" s="430"/>
      <c r="AT333" s="430"/>
      <c r="AU333" s="430"/>
      <c r="AV333" s="432" t="s">
        <v>11689</v>
      </c>
    </row>
    <row r="334" s="397" customFormat="1" ht="19" customHeight="1" spans="1:48">
      <c r="A334" s="426">
        <v>46108</v>
      </c>
      <c r="B334" s="427">
        <v>1000037970</v>
      </c>
      <c r="C334" s="428" t="s">
        <v>106</v>
      </c>
      <c r="D334" s="428" t="s">
        <v>11416</v>
      </c>
      <c r="E334" s="428">
        <v>6900</v>
      </c>
      <c r="F334" s="429" t="s">
        <v>11417</v>
      </c>
      <c r="G334" s="428" t="s">
        <v>11147</v>
      </c>
      <c r="H334" s="429" t="s">
        <v>11148</v>
      </c>
      <c r="I334" s="428"/>
      <c r="J334" s="430"/>
      <c r="K334" s="430"/>
      <c r="L334" s="430"/>
      <c r="M334" s="430"/>
      <c r="N334" s="430"/>
      <c r="O334" s="430"/>
      <c r="P334" s="430"/>
      <c r="Q334" s="430"/>
      <c r="R334" s="430"/>
      <c r="S334" s="430"/>
      <c r="T334" s="430"/>
      <c r="U334" s="430"/>
      <c r="V334" s="430"/>
      <c r="W334" s="430"/>
      <c r="X334" s="430"/>
      <c r="Y334" s="430"/>
      <c r="Z334" s="430"/>
      <c r="AA334" s="430"/>
      <c r="AB334" s="430"/>
      <c r="AC334" s="430">
        <f>E334</f>
        <v>6900</v>
      </c>
      <c r="AD334" s="430"/>
      <c r="AE334" s="428"/>
      <c r="AF334" s="428"/>
      <c r="AG334" s="430"/>
      <c r="AH334" s="430"/>
      <c r="AI334" s="430"/>
      <c r="AJ334" s="430"/>
      <c r="AK334" s="430"/>
      <c r="AL334" s="430"/>
      <c r="AM334" s="430"/>
      <c r="AN334" s="430"/>
      <c r="AO334" s="430"/>
      <c r="AP334" s="430"/>
      <c r="AQ334" s="430"/>
      <c r="AR334" s="430"/>
      <c r="AS334" s="430"/>
      <c r="AT334" s="430"/>
      <c r="AU334" s="430"/>
      <c r="AV334" s="432" t="s">
        <v>11690</v>
      </c>
    </row>
    <row r="335" s="397" customFormat="1" ht="19" customHeight="1" spans="1:48">
      <c r="A335" s="426">
        <v>46119</v>
      </c>
      <c r="B335" s="427" t="s">
        <v>11615</v>
      </c>
      <c r="C335" s="429" t="s">
        <v>11248</v>
      </c>
      <c r="D335" s="428" t="s">
        <v>11560</v>
      </c>
      <c r="E335" s="428">
        <v>882</v>
      </c>
      <c r="F335" s="429" t="s">
        <v>11417</v>
      </c>
      <c r="G335" s="428" t="s">
        <v>11153</v>
      </c>
      <c r="H335" s="429" t="s">
        <v>73</v>
      </c>
      <c r="I335" s="430"/>
      <c r="J335" s="430"/>
      <c r="K335" s="430"/>
      <c r="L335" s="430"/>
      <c r="M335" s="430"/>
      <c r="N335" s="430"/>
      <c r="O335" s="430"/>
      <c r="P335" s="430"/>
      <c r="Q335" s="430"/>
      <c r="R335" s="430"/>
      <c r="S335" s="430"/>
      <c r="T335" s="430"/>
      <c r="U335" s="430"/>
      <c r="V335" s="430"/>
      <c r="W335" s="430"/>
      <c r="X335" s="430"/>
      <c r="Y335" s="430"/>
      <c r="Z335" s="430"/>
      <c r="AA335" s="430"/>
      <c r="AB335" s="430"/>
      <c r="AC335" s="430"/>
      <c r="AD335" s="430"/>
      <c r="AE335" s="428"/>
      <c r="AF335" s="428">
        <f>E335</f>
        <v>882</v>
      </c>
      <c r="AG335" s="430"/>
      <c r="AH335" s="430"/>
      <c r="AI335" s="430"/>
      <c r="AJ335" s="430"/>
      <c r="AK335" s="430"/>
      <c r="AL335" s="430"/>
      <c r="AM335" s="430"/>
      <c r="AN335" s="430"/>
      <c r="AO335" s="430"/>
      <c r="AP335" s="430"/>
      <c r="AQ335" s="430"/>
      <c r="AR335" s="430"/>
      <c r="AS335" s="430"/>
      <c r="AT335" s="430"/>
      <c r="AU335" s="430"/>
      <c r="AV335" s="432" t="s">
        <v>11691</v>
      </c>
    </row>
    <row r="336" s="397" customFormat="1" ht="19" customHeight="1" spans="1:48">
      <c r="A336" s="426">
        <v>46122</v>
      </c>
      <c r="B336" s="427" t="s">
        <v>11692</v>
      </c>
      <c r="C336" s="429" t="s">
        <v>11693</v>
      </c>
      <c r="D336" s="428" t="s">
        <v>11434</v>
      </c>
      <c r="E336" s="428">
        <v>54150</v>
      </c>
      <c r="F336" s="429" t="s">
        <v>11694</v>
      </c>
      <c r="G336" s="428" t="s">
        <v>11435</v>
      </c>
      <c r="H336" s="429" t="s">
        <v>11271</v>
      </c>
      <c r="I336" s="430"/>
      <c r="J336" s="430"/>
      <c r="K336" s="430"/>
      <c r="L336" s="430"/>
      <c r="M336" s="430"/>
      <c r="N336" s="430"/>
      <c r="O336" s="430"/>
      <c r="P336" s="430"/>
      <c r="Q336" s="430"/>
      <c r="R336" s="430"/>
      <c r="S336" s="430"/>
      <c r="T336" s="430"/>
      <c r="U336" s="430"/>
      <c r="V336" s="430"/>
      <c r="W336" s="430"/>
      <c r="X336" s="430"/>
      <c r="Y336" s="430"/>
      <c r="Z336" s="430"/>
      <c r="AA336" s="430"/>
      <c r="AB336" s="430"/>
      <c r="AC336" s="430"/>
      <c r="AD336" s="430"/>
      <c r="AE336" s="428"/>
      <c r="AF336" s="428"/>
      <c r="AG336" s="428">
        <v>54150</v>
      </c>
      <c r="AH336" s="430"/>
      <c r="AI336" s="430"/>
      <c r="AJ336" s="430"/>
      <c r="AK336" s="430"/>
      <c r="AL336" s="430"/>
      <c r="AM336" s="430"/>
      <c r="AN336" s="430"/>
      <c r="AO336" s="430"/>
      <c r="AP336" s="430"/>
      <c r="AQ336" s="430"/>
      <c r="AR336" s="430"/>
      <c r="AS336" s="430"/>
      <c r="AT336" s="430"/>
      <c r="AU336" s="430"/>
      <c r="AV336" s="441" t="s">
        <v>11695</v>
      </c>
    </row>
    <row r="337" s="397" customFormat="1" ht="19" customHeight="1" spans="1:48">
      <c r="A337" s="426">
        <v>46122</v>
      </c>
      <c r="B337" s="427" t="s">
        <v>11696</v>
      </c>
      <c r="C337" s="429" t="s">
        <v>11693</v>
      </c>
      <c r="D337" s="428" t="s">
        <v>11434</v>
      </c>
      <c r="E337" s="428">
        <v>54150</v>
      </c>
      <c r="F337" s="429" t="s">
        <v>11697</v>
      </c>
      <c r="G337" s="428" t="s">
        <v>11157</v>
      </c>
      <c r="H337" s="429" t="s">
        <v>11271</v>
      </c>
      <c r="I337" s="430"/>
      <c r="J337" s="430"/>
      <c r="K337" s="430"/>
      <c r="L337" s="430"/>
      <c r="M337" s="430"/>
      <c r="N337" s="430"/>
      <c r="O337" s="430"/>
      <c r="P337" s="430"/>
      <c r="Q337" s="430"/>
      <c r="R337" s="430"/>
      <c r="S337" s="430"/>
      <c r="T337" s="430"/>
      <c r="U337" s="430"/>
      <c r="V337" s="430"/>
      <c r="W337" s="430"/>
      <c r="X337" s="430"/>
      <c r="Y337" s="430"/>
      <c r="Z337" s="430"/>
      <c r="AA337" s="430"/>
      <c r="AB337" s="430"/>
      <c r="AC337" s="430"/>
      <c r="AD337" s="430"/>
      <c r="AE337" s="428"/>
      <c r="AF337" s="428"/>
      <c r="AG337" s="430"/>
      <c r="AH337" s="428">
        <v>54150</v>
      </c>
      <c r="AI337" s="430"/>
      <c r="AJ337" s="430"/>
      <c r="AK337" s="430"/>
      <c r="AL337" s="430"/>
      <c r="AM337" s="430"/>
      <c r="AN337" s="430"/>
      <c r="AO337" s="430"/>
      <c r="AP337" s="430"/>
      <c r="AQ337" s="430"/>
      <c r="AR337" s="430"/>
      <c r="AS337" s="430"/>
      <c r="AT337" s="430"/>
      <c r="AU337" s="430"/>
      <c r="AV337" s="442" t="s">
        <v>11698</v>
      </c>
    </row>
    <row r="338" s="397" customFormat="1" ht="18" customHeight="1" spans="1:48">
      <c r="A338" s="426">
        <v>46122</v>
      </c>
      <c r="B338" s="427" t="s">
        <v>11699</v>
      </c>
      <c r="C338" s="429" t="s">
        <v>11693</v>
      </c>
      <c r="D338" s="428" t="s">
        <v>11434</v>
      </c>
      <c r="E338" s="428">
        <v>2166</v>
      </c>
      <c r="F338" s="429" t="s">
        <v>11417</v>
      </c>
      <c r="G338" s="428" t="s">
        <v>11435</v>
      </c>
      <c r="H338" s="429" t="s">
        <v>11271</v>
      </c>
      <c r="I338" s="430"/>
      <c r="J338" s="430"/>
      <c r="K338" s="430"/>
      <c r="L338" s="430"/>
      <c r="M338" s="430"/>
      <c r="N338" s="430"/>
      <c r="O338" s="430"/>
      <c r="P338" s="430"/>
      <c r="Q338" s="430"/>
      <c r="R338" s="430"/>
      <c r="S338" s="430"/>
      <c r="T338" s="430"/>
      <c r="U338" s="430"/>
      <c r="V338" s="430"/>
      <c r="W338" s="430"/>
      <c r="X338" s="430"/>
      <c r="Y338" s="430"/>
      <c r="Z338" s="430"/>
      <c r="AA338" s="430"/>
      <c r="AB338" s="430"/>
      <c r="AC338" s="430"/>
      <c r="AD338" s="430"/>
      <c r="AE338" s="430"/>
      <c r="AF338" s="430"/>
      <c r="AG338" s="430"/>
      <c r="AH338" s="430"/>
      <c r="AI338" s="428">
        <v>2166</v>
      </c>
      <c r="AJ338" s="430"/>
      <c r="AK338" s="430"/>
      <c r="AL338" s="430"/>
      <c r="AM338" s="430"/>
      <c r="AN338" s="430"/>
      <c r="AO338" s="430"/>
      <c r="AP338" s="430"/>
      <c r="AQ338" s="430"/>
      <c r="AR338" s="430"/>
      <c r="AS338" s="430"/>
      <c r="AT338" s="430"/>
      <c r="AU338" s="430"/>
      <c r="AV338" s="442" t="s">
        <v>11700</v>
      </c>
    </row>
    <row r="339" s="397" customFormat="1" ht="18" customHeight="1" spans="1:48">
      <c r="A339" s="426">
        <v>46122</v>
      </c>
      <c r="B339" s="427" t="s">
        <v>11701</v>
      </c>
      <c r="C339" s="429" t="s">
        <v>11194</v>
      </c>
      <c r="D339" s="428" t="s">
        <v>11416</v>
      </c>
      <c r="E339" s="428">
        <v>2700</v>
      </c>
      <c r="F339" s="429" t="s">
        <v>11417</v>
      </c>
      <c r="G339" s="428" t="s">
        <v>11147</v>
      </c>
      <c r="H339" s="429" t="s">
        <v>11148</v>
      </c>
      <c r="I339" s="428"/>
      <c r="J339" s="430"/>
      <c r="K339" s="430"/>
      <c r="L339" s="430"/>
      <c r="M339" s="430"/>
      <c r="N339" s="430"/>
      <c r="O339" s="430"/>
      <c r="P339" s="430"/>
      <c r="Q339" s="430"/>
      <c r="R339" s="430"/>
      <c r="S339" s="430"/>
      <c r="T339" s="430"/>
      <c r="U339" s="430"/>
      <c r="V339" s="430"/>
      <c r="W339" s="430"/>
      <c r="X339" s="430"/>
      <c r="Y339" s="430"/>
      <c r="Z339" s="430"/>
      <c r="AA339" s="430"/>
      <c r="AB339" s="430"/>
      <c r="AC339" s="428">
        <v>2700</v>
      </c>
      <c r="AD339" s="428"/>
      <c r="AE339" s="430"/>
      <c r="AF339" s="430"/>
      <c r="AG339" s="430"/>
      <c r="AH339" s="430"/>
      <c r="AI339" s="428"/>
      <c r="AJ339" s="430"/>
      <c r="AK339" s="430"/>
      <c r="AL339" s="430"/>
      <c r="AM339" s="430"/>
      <c r="AN339" s="430"/>
      <c r="AO339" s="430"/>
      <c r="AP339" s="430"/>
      <c r="AQ339" s="430"/>
      <c r="AR339" s="430"/>
      <c r="AS339" s="430"/>
      <c r="AT339" s="430"/>
      <c r="AU339" s="430"/>
      <c r="AV339" s="432" t="s">
        <v>11702</v>
      </c>
    </row>
    <row r="340" s="397" customFormat="1" ht="18" customHeight="1" spans="1:48">
      <c r="A340" s="426">
        <v>46126</v>
      </c>
      <c r="B340" s="427" t="s">
        <v>11703</v>
      </c>
      <c r="C340" s="429" t="s">
        <v>11194</v>
      </c>
      <c r="D340" s="428" t="s">
        <v>11416</v>
      </c>
      <c r="E340" s="428">
        <v>500</v>
      </c>
      <c r="F340" s="429" t="s">
        <v>11417</v>
      </c>
      <c r="G340" s="428" t="s">
        <v>11153</v>
      </c>
      <c r="H340" s="429" t="s">
        <v>73</v>
      </c>
      <c r="I340" s="428"/>
      <c r="J340" s="430"/>
      <c r="K340" s="430"/>
      <c r="L340" s="430"/>
      <c r="M340" s="430"/>
      <c r="N340" s="430"/>
      <c r="O340" s="430"/>
      <c r="P340" s="430"/>
      <c r="Q340" s="430"/>
      <c r="R340" s="430"/>
      <c r="S340" s="430"/>
      <c r="T340" s="430"/>
      <c r="U340" s="430"/>
      <c r="V340" s="430"/>
      <c r="W340" s="430"/>
      <c r="X340" s="430"/>
      <c r="Y340" s="430"/>
      <c r="Z340" s="430"/>
      <c r="AA340" s="430"/>
      <c r="AB340" s="430"/>
      <c r="AC340" s="428"/>
      <c r="AD340" s="428">
        <v>500</v>
      </c>
      <c r="AE340" s="430"/>
      <c r="AF340" s="430"/>
      <c r="AG340" s="430"/>
      <c r="AH340" s="430"/>
      <c r="AI340" s="428"/>
      <c r="AJ340" s="430"/>
      <c r="AK340" s="430"/>
      <c r="AL340" s="430"/>
      <c r="AM340" s="430"/>
      <c r="AN340" s="430"/>
      <c r="AO340" s="430"/>
      <c r="AP340" s="430"/>
      <c r="AQ340" s="430"/>
      <c r="AR340" s="430"/>
      <c r="AS340" s="430"/>
      <c r="AT340" s="430"/>
      <c r="AU340" s="430"/>
      <c r="AV340" s="443" t="s">
        <v>11704</v>
      </c>
    </row>
    <row r="341" s="397" customFormat="1" ht="18" customHeight="1" spans="1:48">
      <c r="A341" s="426">
        <v>46128</v>
      </c>
      <c r="B341" s="427" t="s">
        <v>11705</v>
      </c>
      <c r="C341" s="429" t="s">
        <v>11183</v>
      </c>
      <c r="D341" s="428" t="s">
        <v>6084</v>
      </c>
      <c r="E341" s="428">
        <v>250000</v>
      </c>
      <c r="F341" s="429" t="s">
        <v>11146</v>
      </c>
      <c r="G341" s="428" t="s">
        <v>11147</v>
      </c>
      <c r="H341" s="429" t="s">
        <v>11148</v>
      </c>
      <c r="I341" s="428">
        <v>250000</v>
      </c>
      <c r="J341" s="430"/>
      <c r="K341" s="430"/>
      <c r="L341" s="430"/>
      <c r="M341" s="430"/>
      <c r="N341" s="430"/>
      <c r="O341" s="430"/>
      <c r="P341" s="430"/>
      <c r="Q341" s="430"/>
      <c r="R341" s="430"/>
      <c r="S341" s="430"/>
      <c r="T341" s="430"/>
      <c r="U341" s="430"/>
      <c r="V341" s="430"/>
      <c r="W341" s="430"/>
      <c r="X341" s="430"/>
      <c r="Y341" s="430"/>
      <c r="Z341" s="430"/>
      <c r="AA341" s="430"/>
      <c r="AB341" s="430"/>
      <c r="AC341" s="428"/>
      <c r="AD341" s="428"/>
      <c r="AE341" s="430"/>
      <c r="AF341" s="430"/>
      <c r="AG341" s="430"/>
      <c r="AH341" s="430"/>
      <c r="AI341" s="428"/>
      <c r="AJ341" s="430"/>
      <c r="AK341" s="430"/>
      <c r="AL341" s="430"/>
      <c r="AM341" s="430"/>
      <c r="AN341" s="430"/>
      <c r="AO341" s="430"/>
      <c r="AP341" s="430"/>
      <c r="AQ341" s="430"/>
      <c r="AR341" s="430"/>
      <c r="AS341" s="430"/>
      <c r="AT341" s="430"/>
      <c r="AU341" s="430"/>
      <c r="AV341" s="432" t="s">
        <v>11370</v>
      </c>
    </row>
    <row r="342" s="397" customFormat="1" ht="18" customHeight="1" spans="1:48">
      <c r="A342" s="426">
        <v>46128</v>
      </c>
      <c r="B342" s="427" t="s">
        <v>11706</v>
      </c>
      <c r="C342" s="429" t="s">
        <v>11183</v>
      </c>
      <c r="D342" s="428" t="s">
        <v>6084</v>
      </c>
      <c r="E342" s="428">
        <v>40000</v>
      </c>
      <c r="F342" s="429" t="s">
        <v>11372</v>
      </c>
      <c r="G342" s="428" t="s">
        <v>11373</v>
      </c>
      <c r="H342" s="429" t="s">
        <v>11148</v>
      </c>
      <c r="I342" s="428"/>
      <c r="J342" s="428">
        <v>40000</v>
      </c>
      <c r="K342" s="430"/>
      <c r="L342" s="430"/>
      <c r="M342" s="430"/>
      <c r="N342" s="430"/>
      <c r="O342" s="430"/>
      <c r="P342" s="430"/>
      <c r="Q342" s="430"/>
      <c r="R342" s="430"/>
      <c r="S342" s="430"/>
      <c r="T342" s="430"/>
      <c r="U342" s="430"/>
      <c r="V342" s="430"/>
      <c r="W342" s="430"/>
      <c r="X342" s="430"/>
      <c r="Y342" s="430"/>
      <c r="Z342" s="430"/>
      <c r="AA342" s="430"/>
      <c r="AB342" s="430"/>
      <c r="AC342" s="428"/>
      <c r="AD342" s="428"/>
      <c r="AE342" s="430"/>
      <c r="AF342" s="430"/>
      <c r="AG342" s="430"/>
      <c r="AH342" s="430"/>
      <c r="AI342" s="428"/>
      <c r="AJ342" s="430"/>
      <c r="AK342" s="430"/>
      <c r="AL342" s="430"/>
      <c r="AM342" s="430"/>
      <c r="AN342" s="430"/>
      <c r="AO342" s="430"/>
      <c r="AP342" s="430"/>
      <c r="AQ342" s="430"/>
      <c r="AR342" s="430"/>
      <c r="AS342" s="430"/>
      <c r="AT342" s="430"/>
      <c r="AU342" s="430"/>
      <c r="AV342" s="432" t="s">
        <v>11370</v>
      </c>
    </row>
    <row r="343" s="397" customFormat="1" ht="18" customHeight="1" spans="1:48">
      <c r="A343" s="426">
        <v>46128</v>
      </c>
      <c r="B343" s="427" t="s">
        <v>11707</v>
      </c>
      <c r="C343" s="429" t="s">
        <v>11183</v>
      </c>
      <c r="D343" s="428" t="s">
        <v>6084</v>
      </c>
      <c r="E343" s="428">
        <v>300000</v>
      </c>
      <c r="F343" s="429" t="s">
        <v>11391</v>
      </c>
      <c r="G343" s="428" t="s">
        <v>11373</v>
      </c>
      <c r="H343" s="429" t="s">
        <v>11220</v>
      </c>
      <c r="I343" s="428"/>
      <c r="J343" s="430"/>
      <c r="K343" s="430"/>
      <c r="L343" s="430"/>
      <c r="M343" s="430"/>
      <c r="N343" s="428">
        <v>300000</v>
      </c>
      <c r="O343" s="430"/>
      <c r="P343" s="430"/>
      <c r="Q343" s="430"/>
      <c r="R343" s="430"/>
      <c r="S343" s="430"/>
      <c r="T343" s="430"/>
      <c r="U343" s="430"/>
      <c r="V343" s="430"/>
      <c r="W343" s="430"/>
      <c r="X343" s="430"/>
      <c r="Y343" s="430"/>
      <c r="Z343" s="430"/>
      <c r="AA343" s="430"/>
      <c r="AB343" s="430"/>
      <c r="AC343" s="428"/>
      <c r="AD343" s="428"/>
      <c r="AE343" s="430"/>
      <c r="AF343" s="430"/>
      <c r="AG343" s="430"/>
      <c r="AH343" s="430"/>
      <c r="AI343" s="428"/>
      <c r="AJ343" s="430"/>
      <c r="AK343" s="430"/>
      <c r="AL343" s="430"/>
      <c r="AM343" s="430"/>
      <c r="AN343" s="430"/>
      <c r="AO343" s="430"/>
      <c r="AP343" s="430"/>
      <c r="AQ343" s="430"/>
      <c r="AR343" s="430"/>
      <c r="AS343" s="430"/>
      <c r="AT343" s="430"/>
      <c r="AU343" s="430"/>
      <c r="AV343" s="432" t="s">
        <v>11509</v>
      </c>
    </row>
    <row r="344" s="397" customFormat="1" ht="18" customHeight="1" spans="1:48">
      <c r="A344" s="426">
        <v>46128</v>
      </c>
      <c r="B344" s="427" t="s">
        <v>11708</v>
      </c>
      <c r="C344" s="429" t="s">
        <v>11183</v>
      </c>
      <c r="D344" s="428" t="s">
        <v>11378</v>
      </c>
      <c r="E344" s="428">
        <v>2000</v>
      </c>
      <c r="F344" s="429" t="s">
        <v>11379</v>
      </c>
      <c r="G344" s="428" t="s">
        <v>11147</v>
      </c>
      <c r="H344" s="429" t="s">
        <v>11148</v>
      </c>
      <c r="I344" s="428"/>
      <c r="J344" s="430"/>
      <c r="K344" s="430"/>
      <c r="L344" s="430"/>
      <c r="M344" s="430"/>
      <c r="N344" s="430"/>
      <c r="O344" s="430"/>
      <c r="P344" s="430"/>
      <c r="Q344" s="430"/>
      <c r="R344" s="430"/>
      <c r="S344" s="430"/>
      <c r="T344" s="430"/>
      <c r="U344" s="430"/>
      <c r="V344" s="430"/>
      <c r="W344" s="430"/>
      <c r="X344" s="430"/>
      <c r="Y344" s="430"/>
      <c r="Z344" s="428">
        <v>2000</v>
      </c>
      <c r="AA344" s="430"/>
      <c r="AB344" s="430"/>
      <c r="AC344" s="428"/>
      <c r="AD344" s="428"/>
      <c r="AE344" s="430"/>
      <c r="AF344" s="430"/>
      <c r="AG344" s="430"/>
      <c r="AH344" s="430"/>
      <c r="AI344" s="428"/>
      <c r="AJ344" s="430"/>
      <c r="AK344" s="430"/>
      <c r="AL344" s="430"/>
      <c r="AM344" s="430"/>
      <c r="AN344" s="430"/>
      <c r="AO344" s="430"/>
      <c r="AP344" s="430"/>
      <c r="AQ344" s="430"/>
      <c r="AR344" s="430"/>
      <c r="AS344" s="430"/>
      <c r="AT344" s="430"/>
      <c r="AU344" s="430"/>
      <c r="AV344" s="432" t="s">
        <v>11376</v>
      </c>
    </row>
    <row r="345" s="397" customFormat="1" ht="18" customHeight="1" spans="1:48">
      <c r="A345" s="426">
        <v>46128</v>
      </c>
      <c r="B345" s="427" t="s">
        <v>11709</v>
      </c>
      <c r="C345" s="429" t="s">
        <v>11183</v>
      </c>
      <c r="D345" s="428" t="s">
        <v>6166</v>
      </c>
      <c r="E345" s="428">
        <v>1500</v>
      </c>
      <c r="F345" s="429" t="s">
        <v>11427</v>
      </c>
      <c r="G345" s="428" t="s">
        <v>11147</v>
      </c>
      <c r="H345" s="429" t="s">
        <v>11148</v>
      </c>
      <c r="I345" s="428"/>
      <c r="J345" s="430"/>
      <c r="K345" s="430"/>
      <c r="L345" s="430"/>
      <c r="M345" s="430"/>
      <c r="N345" s="430"/>
      <c r="O345" s="430"/>
      <c r="P345" s="430"/>
      <c r="Q345" s="430"/>
      <c r="R345" s="430"/>
      <c r="S345" s="430"/>
      <c r="T345" s="430"/>
      <c r="U345" s="430"/>
      <c r="V345" s="430"/>
      <c r="W345" s="428">
        <v>1500</v>
      </c>
      <c r="X345" s="430"/>
      <c r="Y345" s="430"/>
      <c r="Z345" s="430"/>
      <c r="AA345" s="430"/>
      <c r="AB345" s="430"/>
      <c r="AC345" s="428"/>
      <c r="AD345" s="428"/>
      <c r="AE345" s="430"/>
      <c r="AF345" s="430"/>
      <c r="AG345" s="430"/>
      <c r="AH345" s="430"/>
      <c r="AI345" s="428"/>
      <c r="AJ345" s="430"/>
      <c r="AK345" s="430"/>
      <c r="AL345" s="430"/>
      <c r="AM345" s="430"/>
      <c r="AN345" s="430"/>
      <c r="AO345" s="430"/>
      <c r="AP345" s="430"/>
      <c r="AQ345" s="430"/>
      <c r="AR345" s="430"/>
      <c r="AS345" s="430"/>
      <c r="AT345" s="430"/>
      <c r="AU345" s="430"/>
      <c r="AV345" s="432" t="s">
        <v>11376</v>
      </c>
    </row>
    <row r="346" s="397" customFormat="1" ht="18" customHeight="1" spans="1:48">
      <c r="A346" s="426">
        <v>46128</v>
      </c>
      <c r="B346" s="427" t="s">
        <v>11710</v>
      </c>
      <c r="C346" s="429" t="s">
        <v>11183</v>
      </c>
      <c r="D346" s="428" t="s">
        <v>11378</v>
      </c>
      <c r="E346" s="428">
        <v>672</v>
      </c>
      <c r="F346" s="429" t="s">
        <v>11381</v>
      </c>
      <c r="G346" s="428" t="s">
        <v>11373</v>
      </c>
      <c r="H346" s="429" t="s">
        <v>11148</v>
      </c>
      <c r="I346" s="428"/>
      <c r="J346" s="430"/>
      <c r="K346" s="430"/>
      <c r="L346" s="430"/>
      <c r="M346" s="430"/>
      <c r="N346" s="430"/>
      <c r="O346" s="430"/>
      <c r="P346" s="430"/>
      <c r="Q346" s="430"/>
      <c r="R346" s="430"/>
      <c r="S346" s="430"/>
      <c r="T346" s="430"/>
      <c r="U346" s="430"/>
      <c r="V346" s="430"/>
      <c r="W346" s="430"/>
      <c r="X346" s="430"/>
      <c r="Y346" s="430"/>
      <c r="Z346" s="430"/>
      <c r="AA346" s="428">
        <v>672</v>
      </c>
      <c r="AB346" s="430"/>
      <c r="AC346" s="428"/>
      <c r="AD346" s="428"/>
      <c r="AE346" s="430"/>
      <c r="AF346" s="430"/>
      <c r="AG346" s="430"/>
      <c r="AH346" s="430"/>
      <c r="AI346" s="428"/>
      <c r="AJ346" s="430"/>
      <c r="AK346" s="430"/>
      <c r="AL346" s="430"/>
      <c r="AM346" s="430"/>
      <c r="AN346" s="430"/>
      <c r="AO346" s="430"/>
      <c r="AP346" s="430"/>
      <c r="AQ346" s="430"/>
      <c r="AR346" s="430"/>
      <c r="AS346" s="430"/>
      <c r="AT346" s="430"/>
      <c r="AU346" s="430"/>
      <c r="AV346" s="432" t="s">
        <v>11376</v>
      </c>
    </row>
    <row r="347" s="397" customFormat="1" ht="18" customHeight="1" spans="1:48">
      <c r="A347" s="426">
        <v>46128</v>
      </c>
      <c r="B347" s="427" t="s">
        <v>11711</v>
      </c>
      <c r="C347" s="429" t="s">
        <v>11183</v>
      </c>
      <c r="D347" s="428" t="s">
        <v>6047</v>
      </c>
      <c r="E347" s="428">
        <v>300000</v>
      </c>
      <c r="F347" s="429" t="s">
        <v>11152</v>
      </c>
      <c r="G347" s="428" t="s">
        <v>11153</v>
      </c>
      <c r="H347" s="429" t="s">
        <v>11148</v>
      </c>
      <c r="I347" s="428"/>
      <c r="J347" s="430"/>
      <c r="K347" s="430"/>
      <c r="L347" s="430"/>
      <c r="M347" s="428">
        <v>300000</v>
      </c>
      <c r="N347" s="430"/>
      <c r="O347" s="430"/>
      <c r="P347" s="430"/>
      <c r="Q347" s="430"/>
      <c r="R347" s="430"/>
      <c r="S347" s="430"/>
      <c r="T347" s="430"/>
      <c r="U347" s="430"/>
      <c r="V347" s="430"/>
      <c r="W347" s="430"/>
      <c r="X347" s="430"/>
      <c r="Y347" s="430"/>
      <c r="Z347" s="430"/>
      <c r="AA347" s="430"/>
      <c r="AB347" s="430"/>
      <c r="AC347" s="428"/>
      <c r="AD347" s="428"/>
      <c r="AE347" s="430"/>
      <c r="AF347" s="430"/>
      <c r="AG347" s="430"/>
      <c r="AH347" s="430"/>
      <c r="AI347" s="428"/>
      <c r="AJ347" s="430"/>
      <c r="AK347" s="430"/>
      <c r="AL347" s="430"/>
      <c r="AM347" s="430"/>
      <c r="AN347" s="430"/>
      <c r="AO347" s="430"/>
      <c r="AP347" s="430"/>
      <c r="AQ347" s="430"/>
      <c r="AR347" s="430"/>
      <c r="AS347" s="430"/>
      <c r="AT347" s="430"/>
      <c r="AU347" s="430"/>
      <c r="AV347" s="432" t="s">
        <v>11383</v>
      </c>
    </row>
    <row r="348" s="397" customFormat="1" ht="18" customHeight="1" spans="1:48">
      <c r="A348" s="426">
        <v>46128</v>
      </c>
      <c r="B348" s="427" t="s">
        <v>11712</v>
      </c>
      <c r="C348" s="429" t="s">
        <v>11183</v>
      </c>
      <c r="D348" s="428" t="s">
        <v>6047</v>
      </c>
      <c r="E348" s="428">
        <v>350000</v>
      </c>
      <c r="F348" s="429" t="s">
        <v>11375</v>
      </c>
      <c r="G348" s="428" t="s">
        <v>11157</v>
      </c>
      <c r="H348" s="429" t="s">
        <v>11220</v>
      </c>
      <c r="I348" s="428"/>
      <c r="J348" s="430"/>
      <c r="K348" s="430"/>
      <c r="L348" s="430"/>
      <c r="M348" s="430"/>
      <c r="N348" s="430"/>
      <c r="O348" s="428">
        <v>350000</v>
      </c>
      <c r="P348" s="428"/>
      <c r="Q348" s="430"/>
      <c r="R348" s="430"/>
      <c r="S348" s="430"/>
      <c r="T348" s="430"/>
      <c r="U348" s="430"/>
      <c r="V348" s="430"/>
      <c r="W348" s="430"/>
      <c r="X348" s="430"/>
      <c r="Y348" s="430"/>
      <c r="Z348" s="430"/>
      <c r="AA348" s="430"/>
      <c r="AB348" s="430"/>
      <c r="AC348" s="428"/>
      <c r="AD348" s="428"/>
      <c r="AE348" s="430"/>
      <c r="AF348" s="430"/>
      <c r="AG348" s="430"/>
      <c r="AH348" s="430"/>
      <c r="AI348" s="428"/>
      <c r="AJ348" s="430"/>
      <c r="AK348" s="430"/>
      <c r="AL348" s="430"/>
      <c r="AM348" s="430"/>
      <c r="AN348" s="430"/>
      <c r="AO348" s="430"/>
      <c r="AP348" s="430"/>
      <c r="AQ348" s="430"/>
      <c r="AR348" s="430"/>
      <c r="AS348" s="430"/>
      <c r="AT348" s="430"/>
      <c r="AU348" s="430"/>
      <c r="AV348" s="432" t="s">
        <v>11515</v>
      </c>
    </row>
    <row r="349" s="397" customFormat="1" ht="18" customHeight="1" spans="1:48">
      <c r="A349" s="426">
        <v>46128</v>
      </c>
      <c r="B349" s="427" t="s">
        <v>11713</v>
      </c>
      <c r="C349" s="429" t="s">
        <v>11183</v>
      </c>
      <c r="D349" s="428" t="s">
        <v>6047</v>
      </c>
      <c r="E349" s="428">
        <v>4500</v>
      </c>
      <c r="F349" s="429" t="s">
        <v>11387</v>
      </c>
      <c r="G349" s="428" t="s">
        <v>11153</v>
      </c>
      <c r="H349" s="429" t="s">
        <v>11148</v>
      </c>
      <c r="I349" s="428"/>
      <c r="J349" s="430"/>
      <c r="K349" s="430"/>
      <c r="L349" s="430"/>
      <c r="M349" s="430"/>
      <c r="N349" s="430"/>
      <c r="O349" s="430"/>
      <c r="P349" s="430"/>
      <c r="Q349" s="430"/>
      <c r="R349" s="430"/>
      <c r="S349" s="430"/>
      <c r="T349" s="430"/>
      <c r="U349" s="430"/>
      <c r="V349" s="430"/>
      <c r="W349" s="430"/>
      <c r="X349" s="430"/>
      <c r="Y349" s="430"/>
      <c r="Z349" s="430"/>
      <c r="AA349" s="430"/>
      <c r="AB349" s="428">
        <v>4500</v>
      </c>
      <c r="AC349" s="428"/>
      <c r="AD349" s="428"/>
      <c r="AE349" s="430"/>
      <c r="AF349" s="430"/>
      <c r="AG349" s="430"/>
      <c r="AH349" s="430"/>
      <c r="AI349" s="428"/>
      <c r="AJ349" s="430"/>
      <c r="AK349" s="430"/>
      <c r="AL349" s="430"/>
      <c r="AM349" s="430"/>
      <c r="AN349" s="430"/>
      <c r="AO349" s="430"/>
      <c r="AP349" s="430"/>
      <c r="AQ349" s="430"/>
      <c r="AR349" s="430"/>
      <c r="AS349" s="430"/>
      <c r="AT349" s="430"/>
      <c r="AU349" s="430"/>
      <c r="AV349" s="432" t="s">
        <v>11385</v>
      </c>
    </row>
    <row r="350" s="397" customFormat="1" ht="18" customHeight="1" spans="1:48">
      <c r="A350" s="426">
        <v>46128</v>
      </c>
      <c r="B350" s="427" t="s">
        <v>11714</v>
      </c>
      <c r="C350" s="429" t="s">
        <v>11183</v>
      </c>
      <c r="D350" s="428" t="s">
        <v>6093</v>
      </c>
      <c r="E350" s="428">
        <v>17000</v>
      </c>
      <c r="F350" s="429" t="s">
        <v>11402</v>
      </c>
      <c r="G350" s="428" t="s">
        <v>11153</v>
      </c>
      <c r="H350" s="429" t="s">
        <v>11148</v>
      </c>
      <c r="I350" s="428"/>
      <c r="J350" s="430"/>
      <c r="K350" s="430"/>
      <c r="L350" s="430"/>
      <c r="M350" s="430"/>
      <c r="N350" s="430"/>
      <c r="O350" s="430"/>
      <c r="P350" s="430"/>
      <c r="Q350" s="430"/>
      <c r="R350" s="430"/>
      <c r="S350" s="430"/>
      <c r="T350" s="430"/>
      <c r="U350" s="430"/>
      <c r="V350" s="430"/>
      <c r="W350" s="430"/>
      <c r="X350" s="430"/>
      <c r="Y350" s="428">
        <v>17000</v>
      </c>
      <c r="Z350" s="430"/>
      <c r="AA350" s="430"/>
      <c r="AB350" s="430"/>
      <c r="AC350" s="428"/>
      <c r="AD350" s="428"/>
      <c r="AE350" s="430"/>
      <c r="AF350" s="430"/>
      <c r="AG350" s="430"/>
      <c r="AH350" s="430"/>
      <c r="AI350" s="428"/>
      <c r="AJ350" s="430"/>
      <c r="AK350" s="430"/>
      <c r="AL350" s="430"/>
      <c r="AM350" s="430"/>
      <c r="AN350" s="430"/>
      <c r="AO350" s="430"/>
      <c r="AP350" s="430"/>
      <c r="AQ350" s="430"/>
      <c r="AR350" s="430"/>
      <c r="AS350" s="430"/>
      <c r="AT350" s="430"/>
      <c r="AU350" s="430"/>
      <c r="AV350" s="432" t="s">
        <v>11385</v>
      </c>
    </row>
    <row r="351" s="397" customFormat="1" ht="18" customHeight="1" spans="1:48">
      <c r="A351" s="426">
        <v>46128</v>
      </c>
      <c r="B351" s="427" t="s">
        <v>11715</v>
      </c>
      <c r="C351" s="429" t="s">
        <v>11183</v>
      </c>
      <c r="D351" s="428" t="s">
        <v>6223</v>
      </c>
      <c r="E351" s="428">
        <v>328</v>
      </c>
      <c r="F351" s="429" t="s">
        <v>11431</v>
      </c>
      <c r="G351" s="428" t="s">
        <v>11153</v>
      </c>
      <c r="H351" s="429" t="s">
        <v>11148</v>
      </c>
      <c r="I351" s="428"/>
      <c r="J351" s="430"/>
      <c r="K351" s="430"/>
      <c r="L351" s="430"/>
      <c r="M351" s="430"/>
      <c r="N351" s="430"/>
      <c r="O351" s="430"/>
      <c r="P351" s="430"/>
      <c r="Q351" s="430"/>
      <c r="R351" s="430"/>
      <c r="S351" s="430"/>
      <c r="T351" s="430"/>
      <c r="U351" s="430"/>
      <c r="V351" s="430"/>
      <c r="W351" s="430"/>
      <c r="X351" s="430"/>
      <c r="Y351" s="430"/>
      <c r="Z351" s="430"/>
      <c r="AA351" s="430"/>
      <c r="AB351" s="430"/>
      <c r="AC351" s="428"/>
      <c r="AD351" s="428"/>
      <c r="AE351" s="430"/>
      <c r="AF351" s="430"/>
      <c r="AG351" s="430"/>
      <c r="AH351" s="430"/>
      <c r="AI351" s="428"/>
      <c r="AJ351" s="430"/>
      <c r="AK351" s="430"/>
      <c r="AL351" s="430"/>
      <c r="AM351" s="430"/>
      <c r="AN351" s="430"/>
      <c r="AO351" s="430"/>
      <c r="AP351" s="430"/>
      <c r="AQ351" s="428">
        <v>328</v>
      </c>
      <c r="AR351" s="430"/>
      <c r="AS351" s="430"/>
      <c r="AT351" s="430"/>
      <c r="AU351" s="430"/>
      <c r="AV351" s="432" t="s">
        <v>11385</v>
      </c>
    </row>
    <row r="352" s="397" customFormat="1" ht="18" customHeight="1" spans="1:48">
      <c r="A352" s="444">
        <v>46133</v>
      </c>
      <c r="B352" s="445" t="s">
        <v>11716</v>
      </c>
      <c r="C352" s="446" t="s">
        <v>11194</v>
      </c>
      <c r="D352" s="447" t="s">
        <v>11416</v>
      </c>
      <c r="E352" s="447">
        <v>500</v>
      </c>
      <c r="F352" s="446" t="s">
        <v>11417</v>
      </c>
      <c r="G352" s="447" t="s">
        <v>11153</v>
      </c>
      <c r="H352" s="446" t="s">
        <v>73</v>
      </c>
      <c r="I352" s="447"/>
      <c r="J352" s="448"/>
      <c r="K352" s="448"/>
      <c r="L352" s="448"/>
      <c r="M352" s="448"/>
      <c r="N352" s="448"/>
      <c r="O352" s="448"/>
      <c r="P352" s="448"/>
      <c r="Q352" s="448"/>
      <c r="R352" s="448"/>
      <c r="S352" s="448"/>
      <c r="T352" s="448"/>
      <c r="U352" s="448"/>
      <c r="V352" s="448"/>
      <c r="W352" s="448"/>
      <c r="X352" s="448"/>
      <c r="Y352" s="448"/>
      <c r="Z352" s="448"/>
      <c r="AA352" s="448"/>
      <c r="AB352" s="448"/>
      <c r="AC352" s="447"/>
      <c r="AD352" s="447">
        <v>500</v>
      </c>
      <c r="AE352" s="448"/>
      <c r="AF352" s="448"/>
      <c r="AG352" s="448"/>
      <c r="AH352" s="448"/>
      <c r="AI352" s="447"/>
      <c r="AJ352" s="448"/>
      <c r="AK352" s="448"/>
      <c r="AL352" s="448"/>
      <c r="AM352" s="448"/>
      <c r="AN352" s="448"/>
      <c r="AO352" s="448"/>
      <c r="AP352" s="448"/>
      <c r="AQ352" s="447"/>
      <c r="AR352" s="448"/>
      <c r="AS352" s="448"/>
      <c r="AT352" s="448"/>
      <c r="AU352" s="448"/>
      <c r="AV352" s="449" t="s">
        <v>11717</v>
      </c>
    </row>
    <row r="353" s="399" customFormat="1" ht="18" customHeight="1" spans="1:48">
      <c r="A353" s="426">
        <v>46134</v>
      </c>
      <c r="B353" s="427">
        <v>1000039045</v>
      </c>
      <c r="C353" s="429" t="s">
        <v>11190</v>
      </c>
      <c r="D353" s="428">
        <v>77731</v>
      </c>
      <c r="E353" s="428">
        <v>22236</v>
      </c>
      <c r="F353" s="429" t="s">
        <v>11404</v>
      </c>
      <c r="G353" s="428" t="s">
        <v>11271</v>
      </c>
      <c r="H353" s="429" t="s">
        <v>73</v>
      </c>
      <c r="I353" s="428"/>
      <c r="J353" s="430"/>
      <c r="K353" s="430"/>
      <c r="L353" s="430"/>
      <c r="M353" s="430"/>
      <c r="N353" s="430"/>
      <c r="O353" s="430"/>
      <c r="P353" s="430"/>
      <c r="Q353" s="430"/>
      <c r="R353" s="430"/>
      <c r="S353" s="430"/>
      <c r="T353" s="430"/>
      <c r="U353" s="430"/>
      <c r="V353" s="430"/>
      <c r="W353" s="430"/>
      <c r="X353" s="430"/>
      <c r="Y353" s="430"/>
      <c r="Z353" s="430"/>
      <c r="AA353" s="430"/>
      <c r="AB353" s="430"/>
      <c r="AC353" s="428"/>
      <c r="AD353" s="428"/>
      <c r="AE353" s="430"/>
      <c r="AF353" s="430"/>
      <c r="AG353" s="430"/>
      <c r="AH353" s="430"/>
      <c r="AI353" s="428"/>
      <c r="AJ353" s="430"/>
      <c r="AK353" s="430"/>
      <c r="AL353" s="430"/>
      <c r="AM353" s="430"/>
      <c r="AN353" s="430"/>
      <c r="AO353" s="430"/>
      <c r="AP353" s="430"/>
      <c r="AQ353" s="428"/>
      <c r="AR353" s="430"/>
      <c r="AS353" s="428">
        <v>22236</v>
      </c>
      <c r="AT353" s="430"/>
      <c r="AU353" s="430"/>
      <c r="AV353" s="432" t="s">
        <v>11718</v>
      </c>
    </row>
    <row r="354" s="399" customFormat="1" ht="18" customHeight="1" spans="1:48">
      <c r="A354" s="426">
        <v>46134</v>
      </c>
      <c r="B354" s="427">
        <v>1000039046</v>
      </c>
      <c r="C354" s="429" t="s">
        <v>11190</v>
      </c>
      <c r="D354" s="428">
        <v>77731</v>
      </c>
      <c r="E354" s="428">
        <v>22236</v>
      </c>
      <c r="F354" s="429" t="s">
        <v>11407</v>
      </c>
      <c r="G354" s="428" t="s">
        <v>11153</v>
      </c>
      <c r="H354" s="429" t="s">
        <v>11220</v>
      </c>
      <c r="I354" s="428"/>
      <c r="J354" s="430"/>
      <c r="K354" s="430"/>
      <c r="L354" s="428"/>
      <c r="M354" s="430"/>
      <c r="N354" s="430"/>
      <c r="O354" s="430"/>
      <c r="P354" s="430"/>
      <c r="Q354" s="430"/>
      <c r="R354" s="430"/>
      <c r="S354" s="430"/>
      <c r="T354" s="430"/>
      <c r="U354" s="430"/>
      <c r="V354" s="430"/>
      <c r="W354" s="430"/>
      <c r="X354" s="430"/>
      <c r="Y354" s="430"/>
      <c r="Z354" s="430"/>
      <c r="AA354" s="430"/>
      <c r="AB354" s="430"/>
      <c r="AC354" s="428"/>
      <c r="AD354" s="428"/>
      <c r="AE354" s="430"/>
      <c r="AF354" s="430"/>
      <c r="AG354" s="430"/>
      <c r="AH354" s="430"/>
      <c r="AI354" s="428"/>
      <c r="AJ354" s="430"/>
      <c r="AK354" s="430"/>
      <c r="AL354" s="430"/>
      <c r="AM354" s="430"/>
      <c r="AN354" s="430"/>
      <c r="AO354" s="430"/>
      <c r="AP354" s="430"/>
      <c r="AQ354" s="428"/>
      <c r="AR354" s="430"/>
      <c r="AS354" s="430"/>
      <c r="AT354" s="428">
        <v>22236</v>
      </c>
      <c r="AU354" s="430"/>
      <c r="AV354" s="432" t="s">
        <v>11718</v>
      </c>
    </row>
    <row r="355" s="399" customFormat="1" ht="18" customHeight="1" spans="1:48">
      <c r="A355" s="426">
        <v>46134</v>
      </c>
      <c r="B355" s="427">
        <v>1000039047</v>
      </c>
      <c r="C355" s="429" t="s">
        <v>11190</v>
      </c>
      <c r="D355" s="428">
        <v>77731</v>
      </c>
      <c r="E355" s="428">
        <v>22236</v>
      </c>
      <c r="F355" s="429" t="s">
        <v>11409</v>
      </c>
      <c r="G355" s="428" t="s">
        <v>11271</v>
      </c>
      <c r="H355" s="429" t="s">
        <v>73</v>
      </c>
      <c r="I355" s="428"/>
      <c r="J355" s="430"/>
      <c r="K355" s="430"/>
      <c r="L355" s="430"/>
      <c r="M355" s="430"/>
      <c r="N355" s="430"/>
      <c r="O355" s="430"/>
      <c r="P355" s="430"/>
      <c r="Q355" s="430"/>
      <c r="R355" s="430"/>
      <c r="S355" s="430"/>
      <c r="T355" s="430"/>
      <c r="U355" s="430"/>
      <c r="V355" s="430"/>
      <c r="W355" s="430"/>
      <c r="X355" s="430"/>
      <c r="Y355" s="430"/>
      <c r="Z355" s="430"/>
      <c r="AA355" s="430"/>
      <c r="AB355" s="430"/>
      <c r="AC355" s="428"/>
      <c r="AD355" s="428"/>
      <c r="AE355" s="430"/>
      <c r="AF355" s="430"/>
      <c r="AG355" s="430"/>
      <c r="AH355" s="430"/>
      <c r="AI355" s="428"/>
      <c r="AJ355" s="430"/>
      <c r="AK355" s="430"/>
      <c r="AL355" s="430"/>
      <c r="AM355" s="430"/>
      <c r="AN355" s="430"/>
      <c r="AO355" s="430"/>
      <c r="AP355" s="430"/>
      <c r="AQ355" s="428"/>
      <c r="AR355" s="430"/>
      <c r="AS355" s="430"/>
      <c r="AT355" s="430"/>
      <c r="AU355" s="428">
        <v>22236</v>
      </c>
      <c r="AV355" s="432" t="s">
        <v>11718</v>
      </c>
    </row>
    <row r="356" s="399" customFormat="1" ht="18" customHeight="1" spans="1:48">
      <c r="A356" s="426">
        <v>46134</v>
      </c>
      <c r="B356" s="427" t="s">
        <v>11719</v>
      </c>
      <c r="C356" s="429" t="s">
        <v>11190</v>
      </c>
      <c r="D356" s="428">
        <v>77785</v>
      </c>
      <c r="E356" s="428">
        <v>5622</v>
      </c>
      <c r="F356" s="429" t="s">
        <v>11612</v>
      </c>
      <c r="G356" s="428" t="s">
        <v>11153</v>
      </c>
      <c r="H356" s="429" t="s">
        <v>11276</v>
      </c>
      <c r="I356" s="428"/>
      <c r="J356" s="430"/>
      <c r="K356" s="430"/>
      <c r="L356" s="430"/>
      <c r="M356" s="430"/>
      <c r="N356" s="430"/>
      <c r="O356" s="430"/>
      <c r="P356" s="430"/>
      <c r="Q356" s="430"/>
      <c r="R356" s="430"/>
      <c r="S356" s="430"/>
      <c r="T356" s="430"/>
      <c r="U356" s="430"/>
      <c r="V356" s="430"/>
      <c r="W356" s="430"/>
      <c r="X356" s="430"/>
      <c r="Y356" s="430"/>
      <c r="Z356" s="430"/>
      <c r="AA356" s="430"/>
      <c r="AB356" s="430"/>
      <c r="AC356" s="428"/>
      <c r="AD356" s="428"/>
      <c r="AE356" s="430"/>
      <c r="AF356" s="430"/>
      <c r="AG356" s="430"/>
      <c r="AH356" s="430"/>
      <c r="AI356" s="428"/>
      <c r="AJ356" s="428">
        <v>5622</v>
      </c>
      <c r="AK356" s="428"/>
      <c r="AL356" s="428"/>
      <c r="AM356" s="430"/>
      <c r="AN356" s="430"/>
      <c r="AO356" s="430"/>
      <c r="AP356" s="430"/>
      <c r="AQ356" s="428"/>
      <c r="AR356" s="430"/>
      <c r="AS356" s="430"/>
      <c r="AT356" s="430"/>
      <c r="AU356" s="430"/>
      <c r="AV356" s="432"/>
    </row>
    <row r="357" s="399" customFormat="1" ht="18" customHeight="1" spans="1:48">
      <c r="A357" s="426">
        <v>46136</v>
      </c>
      <c r="B357" s="427">
        <v>1000039240</v>
      </c>
      <c r="C357" s="429" t="s">
        <v>11245</v>
      </c>
      <c r="D357" s="428">
        <v>77785</v>
      </c>
      <c r="E357" s="428">
        <v>6000</v>
      </c>
      <c r="F357" s="429" t="s">
        <v>11612</v>
      </c>
      <c r="G357" s="428" t="s">
        <v>11720</v>
      </c>
      <c r="H357" s="429" t="s">
        <v>10568</v>
      </c>
      <c r="I357" s="428"/>
      <c r="J357" s="430"/>
      <c r="K357" s="430"/>
      <c r="L357" s="430"/>
      <c r="M357" s="430"/>
      <c r="N357" s="430"/>
      <c r="O357" s="430"/>
      <c r="P357" s="430"/>
      <c r="Q357" s="430"/>
      <c r="R357" s="430"/>
      <c r="S357" s="430"/>
      <c r="T357" s="430"/>
      <c r="U357" s="430"/>
      <c r="V357" s="430"/>
      <c r="W357" s="430"/>
      <c r="X357" s="430"/>
      <c r="Y357" s="430"/>
      <c r="Z357" s="430"/>
      <c r="AA357" s="430"/>
      <c r="AB357" s="430"/>
      <c r="AC357" s="428"/>
      <c r="AD357" s="428"/>
      <c r="AE357" s="430"/>
      <c r="AF357" s="430"/>
      <c r="AG357" s="430"/>
      <c r="AH357" s="430"/>
      <c r="AI357" s="428"/>
      <c r="AJ357" s="430">
        <v>6000</v>
      </c>
      <c r="AK357" s="430"/>
      <c r="AL357" s="430"/>
      <c r="AM357" s="430"/>
      <c r="AN357" s="430"/>
      <c r="AO357" s="430"/>
      <c r="AP357" s="430"/>
      <c r="AQ357" s="428"/>
      <c r="AR357" s="430"/>
      <c r="AS357" s="430"/>
      <c r="AT357" s="430"/>
      <c r="AU357" s="430"/>
      <c r="AV357" s="439" t="s">
        <v>11721</v>
      </c>
    </row>
    <row r="358" s="397" customFormat="1" ht="18" customHeight="1" spans="1:48">
      <c r="A358" s="450">
        <v>46140</v>
      </c>
      <c r="B358" s="451" t="s">
        <v>11722</v>
      </c>
      <c r="C358" s="429" t="s">
        <v>11245</v>
      </c>
      <c r="D358" s="452" t="s">
        <v>11434</v>
      </c>
      <c r="E358" s="452">
        <v>10000</v>
      </c>
      <c r="F358" s="453" t="s">
        <v>11237</v>
      </c>
      <c r="G358" s="452" t="s">
        <v>11157</v>
      </c>
      <c r="H358" s="453" t="s">
        <v>11271</v>
      </c>
      <c r="I358" s="431"/>
      <c r="J358" s="431"/>
      <c r="K358" s="431"/>
      <c r="L358" s="431"/>
      <c r="M358" s="431"/>
      <c r="N358" s="431"/>
      <c r="O358" s="431"/>
      <c r="P358" s="431"/>
      <c r="Q358" s="431"/>
      <c r="R358" s="431"/>
      <c r="S358" s="431"/>
      <c r="T358" s="431"/>
      <c r="U358" s="431"/>
      <c r="V358" s="431"/>
      <c r="W358" s="431"/>
      <c r="X358" s="431"/>
      <c r="Y358" s="431"/>
      <c r="Z358" s="431"/>
      <c r="AA358" s="431"/>
      <c r="AB358" s="431"/>
      <c r="AC358" s="431"/>
      <c r="AD358" s="431"/>
      <c r="AE358" s="431"/>
      <c r="AF358" s="431"/>
      <c r="AG358" s="431"/>
      <c r="AH358" s="452">
        <v>10000</v>
      </c>
      <c r="AI358" s="431"/>
      <c r="AJ358" s="431"/>
      <c r="AK358" s="431"/>
      <c r="AL358" s="431"/>
      <c r="AM358" s="431"/>
      <c r="AN358" s="431"/>
      <c r="AO358" s="431"/>
      <c r="AP358" s="431"/>
      <c r="AQ358" s="431"/>
      <c r="AR358" s="431"/>
      <c r="AS358" s="431"/>
      <c r="AT358" s="431"/>
      <c r="AU358" s="431"/>
      <c r="AV358" s="454" t="s">
        <v>11723</v>
      </c>
    </row>
    <row r="359" s="397" customFormat="1" ht="18" customHeight="1" spans="1:48">
      <c r="A359" s="450">
        <v>46151</v>
      </c>
      <c r="B359" s="451" t="s">
        <v>11724</v>
      </c>
      <c r="C359" s="429" t="s">
        <v>11194</v>
      </c>
      <c r="D359" s="452" t="s">
        <v>11416</v>
      </c>
      <c r="E359" s="452">
        <v>6780</v>
      </c>
      <c r="F359" s="453" t="s">
        <v>11417</v>
      </c>
      <c r="G359" s="452" t="s">
        <v>11147</v>
      </c>
      <c r="H359" s="453" t="s">
        <v>11148</v>
      </c>
      <c r="I359" s="431"/>
      <c r="J359" s="431"/>
      <c r="K359" s="431"/>
      <c r="L359" s="431"/>
      <c r="M359" s="431"/>
      <c r="N359" s="431"/>
      <c r="O359" s="431"/>
      <c r="P359" s="431"/>
      <c r="Q359" s="431"/>
      <c r="R359" s="431"/>
      <c r="S359" s="431"/>
      <c r="T359" s="431"/>
      <c r="U359" s="431"/>
      <c r="V359" s="431"/>
      <c r="W359" s="431"/>
      <c r="X359" s="431"/>
      <c r="Y359" s="431"/>
      <c r="Z359" s="431"/>
      <c r="AA359" s="431"/>
      <c r="AB359" s="431"/>
      <c r="AC359" s="452">
        <v>6780</v>
      </c>
      <c r="AD359" s="431"/>
      <c r="AE359" s="431"/>
      <c r="AF359" s="431"/>
      <c r="AG359" s="431"/>
      <c r="AH359" s="452"/>
      <c r="AI359" s="431"/>
      <c r="AJ359" s="431"/>
      <c r="AK359" s="431"/>
      <c r="AL359" s="431"/>
      <c r="AM359" s="431"/>
      <c r="AN359" s="431"/>
      <c r="AO359" s="431"/>
      <c r="AP359" s="431"/>
      <c r="AQ359" s="431"/>
      <c r="AR359" s="431"/>
      <c r="AS359" s="431"/>
      <c r="AT359" s="431"/>
      <c r="AU359" s="431"/>
      <c r="AV359" s="454" t="s">
        <v>11725</v>
      </c>
    </row>
    <row r="360" s="397" customFormat="1" ht="18" customHeight="1" spans="1:48">
      <c r="A360" s="455">
        <v>46151</v>
      </c>
      <c r="B360" s="456" t="s">
        <v>11726</v>
      </c>
      <c r="C360" s="429" t="s">
        <v>11183</v>
      </c>
      <c r="D360" s="457" t="s">
        <v>6084</v>
      </c>
      <c r="E360" s="457">
        <v>300000</v>
      </c>
      <c r="F360" s="458" t="s">
        <v>11323</v>
      </c>
      <c r="G360" s="457" t="s">
        <v>11147</v>
      </c>
      <c r="H360" s="458" t="s">
        <v>11148</v>
      </c>
      <c r="I360" s="457">
        <v>300000</v>
      </c>
      <c r="J360" s="459"/>
      <c r="K360" s="459"/>
      <c r="L360" s="459"/>
      <c r="M360" s="459"/>
      <c r="N360" s="459"/>
      <c r="O360" s="459"/>
      <c r="P360" s="459"/>
      <c r="Q360" s="459"/>
      <c r="R360" s="459"/>
      <c r="S360" s="459"/>
      <c r="T360" s="459"/>
      <c r="U360" s="459"/>
      <c r="V360" s="459"/>
      <c r="W360" s="459"/>
      <c r="X360" s="459"/>
      <c r="Y360" s="459"/>
      <c r="Z360" s="459"/>
      <c r="AA360" s="459"/>
      <c r="AB360" s="459"/>
      <c r="AC360" s="459"/>
      <c r="AD360" s="459"/>
      <c r="AE360" s="459"/>
      <c r="AF360" s="459"/>
      <c r="AG360" s="459"/>
      <c r="AH360" s="457"/>
      <c r="AI360" s="459"/>
      <c r="AJ360" s="459"/>
      <c r="AK360" s="459"/>
      <c r="AL360" s="459"/>
      <c r="AM360" s="459"/>
      <c r="AN360" s="459"/>
      <c r="AO360" s="459"/>
      <c r="AP360" s="459"/>
      <c r="AQ360" s="459"/>
      <c r="AR360" s="459"/>
      <c r="AS360" s="459"/>
      <c r="AT360" s="459"/>
      <c r="AU360" s="459"/>
      <c r="AV360" s="460" t="s">
        <v>11370</v>
      </c>
    </row>
    <row r="361" s="399" customFormat="1" ht="18" customHeight="1" spans="1:48">
      <c r="A361" s="426">
        <v>46151</v>
      </c>
      <c r="B361" s="427" t="s">
        <v>11727</v>
      </c>
      <c r="C361" s="429" t="s">
        <v>11183</v>
      </c>
      <c r="D361" s="428" t="s">
        <v>6084</v>
      </c>
      <c r="E361" s="428">
        <v>30000</v>
      </c>
      <c r="F361" s="429" t="s">
        <v>11728</v>
      </c>
      <c r="G361" s="428" t="s">
        <v>11373</v>
      </c>
      <c r="H361" s="429" t="s">
        <v>11148</v>
      </c>
      <c r="I361" s="430"/>
      <c r="J361" s="428">
        <v>30000</v>
      </c>
      <c r="K361" s="430"/>
      <c r="L361" s="430"/>
      <c r="M361" s="430"/>
      <c r="N361" s="430"/>
      <c r="O361" s="430"/>
      <c r="P361" s="430"/>
      <c r="Q361" s="430"/>
      <c r="R361" s="430"/>
      <c r="S361" s="430"/>
      <c r="T361" s="430"/>
      <c r="U361" s="430"/>
      <c r="V361" s="430"/>
      <c r="W361" s="430"/>
      <c r="X361" s="430"/>
      <c r="Y361" s="430"/>
      <c r="Z361" s="430"/>
      <c r="AA361" s="430"/>
      <c r="AB361" s="430"/>
      <c r="AC361" s="430"/>
      <c r="AD361" s="430"/>
      <c r="AE361" s="430"/>
      <c r="AF361" s="430"/>
      <c r="AG361" s="430"/>
      <c r="AH361" s="428"/>
      <c r="AI361" s="430"/>
      <c r="AJ361" s="430"/>
      <c r="AK361" s="430"/>
      <c r="AL361" s="430"/>
      <c r="AM361" s="430"/>
      <c r="AN361" s="430"/>
      <c r="AO361" s="430"/>
      <c r="AP361" s="430"/>
      <c r="AQ361" s="430"/>
      <c r="AR361" s="430"/>
      <c r="AS361" s="430"/>
      <c r="AT361" s="430"/>
      <c r="AU361" s="430"/>
      <c r="AV361" s="432" t="s">
        <v>11370</v>
      </c>
    </row>
    <row r="362" s="399" customFormat="1" ht="18" customHeight="1" spans="1:48">
      <c r="A362" s="426">
        <v>46151</v>
      </c>
      <c r="B362" s="427" t="s">
        <v>11729</v>
      </c>
      <c r="C362" s="429" t="s">
        <v>11183</v>
      </c>
      <c r="D362" s="428" t="s">
        <v>6084</v>
      </c>
      <c r="E362" s="428">
        <v>400000</v>
      </c>
      <c r="F362" s="429" t="s">
        <v>11730</v>
      </c>
      <c r="G362" s="428" t="s">
        <v>11373</v>
      </c>
      <c r="H362" s="429" t="s">
        <v>11276</v>
      </c>
      <c r="I362" s="430"/>
      <c r="J362" s="430"/>
      <c r="K362" s="430"/>
      <c r="L362" s="430"/>
      <c r="M362" s="430"/>
      <c r="N362" s="428">
        <v>400000</v>
      </c>
      <c r="O362" s="430"/>
      <c r="P362" s="430"/>
      <c r="Q362" s="430"/>
      <c r="R362" s="430"/>
      <c r="S362" s="430"/>
      <c r="T362" s="430"/>
      <c r="U362" s="430"/>
      <c r="V362" s="430"/>
      <c r="W362" s="430"/>
      <c r="X362" s="430"/>
      <c r="Y362" s="430"/>
      <c r="Z362" s="430"/>
      <c r="AA362" s="430"/>
      <c r="AB362" s="430"/>
      <c r="AC362" s="430"/>
      <c r="AD362" s="430"/>
      <c r="AE362" s="430"/>
      <c r="AF362" s="430"/>
      <c r="AG362" s="430"/>
      <c r="AH362" s="428"/>
      <c r="AI362" s="430"/>
      <c r="AJ362" s="430"/>
      <c r="AK362" s="430"/>
      <c r="AL362" s="430"/>
      <c r="AM362" s="430"/>
      <c r="AN362" s="430"/>
      <c r="AO362" s="430"/>
      <c r="AP362" s="430"/>
      <c r="AQ362" s="430"/>
      <c r="AR362" s="430"/>
      <c r="AS362" s="430"/>
      <c r="AT362" s="430"/>
      <c r="AU362" s="430"/>
      <c r="AV362" s="432" t="s">
        <v>11731</v>
      </c>
    </row>
    <row r="363" s="399" customFormat="1" ht="18" customHeight="1" spans="1:48">
      <c r="A363" s="426">
        <v>46151</v>
      </c>
      <c r="B363" s="427" t="s">
        <v>11732</v>
      </c>
      <c r="C363" s="429" t="s">
        <v>11183</v>
      </c>
      <c r="D363" s="428" t="s">
        <v>11378</v>
      </c>
      <c r="E363" s="428">
        <v>4000</v>
      </c>
      <c r="F363" s="429" t="s">
        <v>11379</v>
      </c>
      <c r="G363" s="428" t="s">
        <v>11147</v>
      </c>
      <c r="H363" s="429" t="s">
        <v>11148</v>
      </c>
      <c r="I363" s="430"/>
      <c r="J363" s="430"/>
      <c r="K363" s="430"/>
      <c r="L363" s="430"/>
      <c r="M363" s="430"/>
      <c r="N363" s="430"/>
      <c r="O363" s="430"/>
      <c r="P363" s="430"/>
      <c r="Q363" s="430"/>
      <c r="R363" s="430"/>
      <c r="S363" s="430"/>
      <c r="T363" s="430"/>
      <c r="U363" s="430"/>
      <c r="V363" s="430"/>
      <c r="W363" s="430"/>
      <c r="X363" s="430"/>
      <c r="Y363" s="430"/>
      <c r="Z363" s="428">
        <v>4000</v>
      </c>
      <c r="AA363" s="430"/>
      <c r="AB363" s="430"/>
      <c r="AC363" s="430"/>
      <c r="AD363" s="430"/>
      <c r="AE363" s="430"/>
      <c r="AF363" s="430"/>
      <c r="AG363" s="430"/>
      <c r="AH363" s="428"/>
      <c r="AI363" s="430"/>
      <c r="AJ363" s="430"/>
      <c r="AK363" s="430"/>
      <c r="AL363" s="430"/>
      <c r="AM363" s="430"/>
      <c r="AN363" s="430"/>
      <c r="AO363" s="430"/>
      <c r="AP363" s="430"/>
      <c r="AQ363" s="430"/>
      <c r="AR363" s="430"/>
      <c r="AS363" s="430"/>
      <c r="AT363" s="430"/>
      <c r="AU363" s="430"/>
      <c r="AV363" s="432" t="s">
        <v>11376</v>
      </c>
    </row>
    <row r="364" s="399" customFormat="1" ht="18" customHeight="1" spans="1:48">
      <c r="A364" s="426">
        <v>46151</v>
      </c>
      <c r="B364" s="427" t="s">
        <v>11733</v>
      </c>
      <c r="C364" s="429" t="s">
        <v>11183</v>
      </c>
      <c r="D364" s="428" t="s">
        <v>6047</v>
      </c>
      <c r="E364" s="428">
        <v>200000</v>
      </c>
      <c r="F364" s="429" t="s">
        <v>11734</v>
      </c>
      <c r="G364" s="428" t="s">
        <v>11153</v>
      </c>
      <c r="H364" s="429" t="s">
        <v>11148</v>
      </c>
      <c r="I364" s="430"/>
      <c r="J364" s="430"/>
      <c r="K364" s="430"/>
      <c r="L364" s="430"/>
      <c r="M364" s="428">
        <v>200000</v>
      </c>
      <c r="N364" s="430"/>
      <c r="O364" s="430"/>
      <c r="P364" s="430"/>
      <c r="Q364" s="430"/>
      <c r="R364" s="430"/>
      <c r="S364" s="430"/>
      <c r="T364" s="430"/>
      <c r="U364" s="430"/>
      <c r="V364" s="430"/>
      <c r="W364" s="430"/>
      <c r="X364" s="430"/>
      <c r="Y364" s="430"/>
      <c r="Z364" s="430"/>
      <c r="AA364" s="430"/>
      <c r="AB364" s="430"/>
      <c r="AC364" s="430"/>
      <c r="AD364" s="430"/>
      <c r="AE364" s="430"/>
      <c r="AF364" s="430"/>
      <c r="AG364" s="430"/>
      <c r="AH364" s="428"/>
      <c r="AI364" s="430"/>
      <c r="AJ364" s="430"/>
      <c r="AK364" s="430"/>
      <c r="AL364" s="430"/>
      <c r="AM364" s="430"/>
      <c r="AN364" s="430"/>
      <c r="AO364" s="430"/>
      <c r="AP364" s="430"/>
      <c r="AQ364" s="430"/>
      <c r="AR364" s="430"/>
      <c r="AS364" s="430"/>
      <c r="AT364" s="430"/>
      <c r="AU364" s="430"/>
      <c r="AV364" s="432" t="s">
        <v>11383</v>
      </c>
    </row>
    <row r="365" s="399" customFormat="1" ht="18" customHeight="1" spans="1:48">
      <c r="A365" s="426">
        <v>46151</v>
      </c>
      <c r="B365" s="427" t="s">
        <v>11735</v>
      </c>
      <c r="C365" s="429" t="s">
        <v>11183</v>
      </c>
      <c r="D365" s="428" t="s">
        <v>6047</v>
      </c>
      <c r="E365" s="428">
        <v>200000</v>
      </c>
      <c r="F365" s="429" t="s">
        <v>11736</v>
      </c>
      <c r="G365" s="428" t="s">
        <v>11157</v>
      </c>
      <c r="H365" s="429" t="s">
        <v>11276</v>
      </c>
      <c r="I365" s="430"/>
      <c r="J365" s="430"/>
      <c r="K365" s="430"/>
      <c r="L365" s="430"/>
      <c r="M365" s="430"/>
      <c r="N365" s="430"/>
      <c r="O365" s="428">
        <v>200000</v>
      </c>
      <c r="P365" s="428"/>
      <c r="Q365" s="430"/>
      <c r="R365" s="430"/>
      <c r="S365" s="430"/>
      <c r="T365" s="430"/>
      <c r="U365" s="430"/>
      <c r="V365" s="430"/>
      <c r="W365" s="430"/>
      <c r="X365" s="430"/>
      <c r="Y365" s="430"/>
      <c r="Z365" s="430"/>
      <c r="AA365" s="430"/>
      <c r="AB365" s="430"/>
      <c r="AC365" s="430"/>
      <c r="AD365" s="430"/>
      <c r="AE365" s="430"/>
      <c r="AF365" s="430"/>
      <c r="AG365" s="430"/>
      <c r="AH365" s="428"/>
      <c r="AI365" s="430"/>
      <c r="AJ365" s="430"/>
      <c r="AK365" s="430"/>
      <c r="AL365" s="430"/>
      <c r="AM365" s="430"/>
      <c r="AN365" s="430"/>
      <c r="AO365" s="430"/>
      <c r="AP365" s="430"/>
      <c r="AQ365" s="430"/>
      <c r="AR365" s="430"/>
      <c r="AS365" s="430"/>
      <c r="AT365" s="430"/>
      <c r="AU365" s="430"/>
      <c r="AV365" s="432" t="s">
        <v>11737</v>
      </c>
    </row>
    <row r="366" s="399" customFormat="1" ht="18" customHeight="1" spans="1:48">
      <c r="A366" s="426">
        <v>46151</v>
      </c>
      <c r="B366" s="427" t="s">
        <v>11738</v>
      </c>
      <c r="C366" s="429" t="s">
        <v>11183</v>
      </c>
      <c r="D366" s="428" t="s">
        <v>6047</v>
      </c>
      <c r="E366" s="428">
        <v>3500</v>
      </c>
      <c r="F366" s="429" t="s">
        <v>11387</v>
      </c>
      <c r="G366" s="428" t="s">
        <v>11153</v>
      </c>
      <c r="H366" s="429" t="s">
        <v>11148</v>
      </c>
      <c r="I366" s="430"/>
      <c r="J366" s="430"/>
      <c r="K366" s="430"/>
      <c r="L366" s="430"/>
      <c r="M366" s="430"/>
      <c r="N366" s="430"/>
      <c r="O366" s="430"/>
      <c r="P366" s="430"/>
      <c r="Q366" s="430"/>
      <c r="R366" s="430"/>
      <c r="S366" s="430"/>
      <c r="T366" s="430"/>
      <c r="U366" s="430"/>
      <c r="V366" s="430"/>
      <c r="W366" s="430"/>
      <c r="X366" s="430"/>
      <c r="Y366" s="430"/>
      <c r="Z366" s="430"/>
      <c r="AA366" s="430"/>
      <c r="AB366" s="428">
        <v>3500</v>
      </c>
      <c r="AC366" s="430"/>
      <c r="AD366" s="430"/>
      <c r="AE366" s="430"/>
      <c r="AF366" s="430"/>
      <c r="AG366" s="430"/>
      <c r="AH366" s="428"/>
      <c r="AI366" s="430"/>
      <c r="AJ366" s="430"/>
      <c r="AK366" s="430"/>
      <c r="AL366" s="430"/>
      <c r="AM366" s="430"/>
      <c r="AN366" s="430"/>
      <c r="AO366" s="430"/>
      <c r="AP366" s="430"/>
      <c r="AQ366" s="430"/>
      <c r="AR366" s="430"/>
      <c r="AS366" s="430"/>
      <c r="AT366" s="430"/>
      <c r="AU366" s="430"/>
      <c r="AV366" s="432" t="s">
        <v>11385</v>
      </c>
    </row>
    <row r="367" s="399" customFormat="1" ht="18" customHeight="1" spans="1:48">
      <c r="A367" s="426">
        <v>46151</v>
      </c>
      <c r="B367" s="427" t="s">
        <v>11739</v>
      </c>
      <c r="C367" s="429" t="s">
        <v>11183</v>
      </c>
      <c r="D367" s="428" t="s">
        <v>6093</v>
      </c>
      <c r="E367" s="428">
        <v>6000</v>
      </c>
      <c r="F367" s="429" t="s">
        <v>11402</v>
      </c>
      <c r="G367" s="428" t="s">
        <v>11153</v>
      </c>
      <c r="H367" s="429" t="s">
        <v>11148</v>
      </c>
      <c r="I367" s="430"/>
      <c r="J367" s="430"/>
      <c r="K367" s="430"/>
      <c r="L367" s="430"/>
      <c r="M367" s="430"/>
      <c r="N367" s="430"/>
      <c r="O367" s="430"/>
      <c r="P367" s="430"/>
      <c r="Q367" s="430"/>
      <c r="R367" s="430"/>
      <c r="S367" s="430"/>
      <c r="T367" s="430"/>
      <c r="U367" s="430"/>
      <c r="V367" s="430"/>
      <c r="W367" s="430"/>
      <c r="X367" s="430"/>
      <c r="Y367" s="428">
        <v>6000</v>
      </c>
      <c r="Z367" s="430"/>
      <c r="AA367" s="430"/>
      <c r="AB367" s="430"/>
      <c r="AC367" s="430"/>
      <c r="AD367" s="430"/>
      <c r="AE367" s="430"/>
      <c r="AF367" s="430"/>
      <c r="AG367" s="430"/>
      <c r="AH367" s="428"/>
      <c r="AI367" s="430"/>
      <c r="AJ367" s="430"/>
      <c r="AK367" s="430"/>
      <c r="AL367" s="430"/>
      <c r="AM367" s="430"/>
      <c r="AN367" s="430"/>
      <c r="AO367" s="430"/>
      <c r="AP367" s="430"/>
      <c r="AQ367" s="430"/>
      <c r="AR367" s="430"/>
      <c r="AS367" s="430"/>
      <c r="AT367" s="430"/>
      <c r="AU367" s="430"/>
      <c r="AV367" s="432" t="s">
        <v>11385</v>
      </c>
    </row>
    <row r="368" s="399" customFormat="1" ht="18" customHeight="1" spans="1:48">
      <c r="A368" s="426">
        <v>46153</v>
      </c>
      <c r="B368" s="461" t="s">
        <v>11740</v>
      </c>
      <c r="C368" s="429" t="s">
        <v>11248</v>
      </c>
      <c r="D368" s="428" t="s">
        <v>11560</v>
      </c>
      <c r="E368" s="428">
        <v>1347</v>
      </c>
      <c r="F368" s="429" t="s">
        <v>11417</v>
      </c>
      <c r="G368" s="428" t="s">
        <v>11153</v>
      </c>
      <c r="H368" s="429" t="s">
        <v>73</v>
      </c>
      <c r="I368" s="430"/>
      <c r="J368" s="430"/>
      <c r="K368" s="430"/>
      <c r="L368" s="430"/>
      <c r="M368" s="430"/>
      <c r="N368" s="430"/>
      <c r="O368" s="430"/>
      <c r="P368" s="430"/>
      <c r="Q368" s="430"/>
      <c r="R368" s="430"/>
      <c r="S368" s="430"/>
      <c r="T368" s="430"/>
      <c r="U368" s="430"/>
      <c r="V368" s="430"/>
      <c r="W368" s="430"/>
      <c r="X368" s="430"/>
      <c r="Y368" s="430"/>
      <c r="Z368" s="430"/>
      <c r="AA368" s="430"/>
      <c r="AB368" s="430"/>
      <c r="AC368" s="430"/>
      <c r="AD368" s="430"/>
      <c r="AE368" s="430"/>
      <c r="AF368" s="428">
        <v>1347</v>
      </c>
      <c r="AG368" s="430"/>
      <c r="AH368" s="428"/>
      <c r="AI368" s="430"/>
      <c r="AJ368" s="430"/>
      <c r="AK368" s="430"/>
      <c r="AL368" s="430"/>
      <c r="AM368" s="430"/>
      <c r="AN368" s="430"/>
      <c r="AO368" s="430"/>
      <c r="AP368" s="430"/>
      <c r="AQ368" s="430"/>
      <c r="AR368" s="430"/>
      <c r="AS368" s="430"/>
      <c r="AT368" s="430"/>
      <c r="AU368" s="430"/>
      <c r="AV368" s="432" t="s">
        <v>11741</v>
      </c>
    </row>
    <row r="369" s="399" customFormat="1" ht="18" customHeight="1" spans="1:48">
      <c r="A369" s="426">
        <v>46154</v>
      </c>
      <c r="B369" s="461" t="s">
        <v>11742</v>
      </c>
      <c r="C369" s="429" t="s">
        <v>11194</v>
      </c>
      <c r="D369" s="428" t="s">
        <v>11416</v>
      </c>
      <c r="E369" s="428">
        <v>4380</v>
      </c>
      <c r="F369" s="429" t="s">
        <v>11417</v>
      </c>
      <c r="G369" s="428" t="s">
        <v>11147</v>
      </c>
      <c r="H369" s="429" t="s">
        <v>11148</v>
      </c>
      <c r="I369" s="430"/>
      <c r="J369" s="430"/>
      <c r="K369" s="430"/>
      <c r="L369" s="430"/>
      <c r="M369" s="430"/>
      <c r="N369" s="430"/>
      <c r="O369" s="430"/>
      <c r="P369" s="430"/>
      <c r="Q369" s="430"/>
      <c r="R369" s="430"/>
      <c r="S369" s="430"/>
      <c r="T369" s="430"/>
      <c r="U369" s="430"/>
      <c r="V369" s="430"/>
      <c r="W369" s="430"/>
      <c r="X369" s="430"/>
      <c r="Y369" s="430"/>
      <c r="Z369" s="430"/>
      <c r="AA369" s="430"/>
      <c r="AB369" s="430"/>
      <c r="AC369" s="428">
        <v>4380</v>
      </c>
      <c r="AD369" s="430"/>
      <c r="AE369" s="430"/>
      <c r="AF369" s="428"/>
      <c r="AG369" s="430"/>
      <c r="AH369" s="428"/>
      <c r="AI369" s="430"/>
      <c r="AJ369" s="430"/>
      <c r="AK369" s="430"/>
      <c r="AL369" s="430"/>
      <c r="AM369" s="430"/>
      <c r="AN369" s="430"/>
      <c r="AO369" s="430"/>
      <c r="AP369" s="430"/>
      <c r="AQ369" s="430"/>
      <c r="AR369" s="430"/>
      <c r="AS369" s="430"/>
      <c r="AT369" s="430"/>
      <c r="AU369" s="430"/>
      <c r="AV369" s="432" t="s">
        <v>11743</v>
      </c>
    </row>
    <row r="370" s="399" customFormat="1" ht="18" customHeight="1" spans="1:48">
      <c r="A370" s="426">
        <v>46160</v>
      </c>
      <c r="B370" s="461" t="s">
        <v>11744</v>
      </c>
      <c r="C370" s="429" t="s">
        <v>11183</v>
      </c>
      <c r="D370" s="428" t="s">
        <v>6084</v>
      </c>
      <c r="E370" s="428">
        <v>300000</v>
      </c>
      <c r="F370" s="429" t="s">
        <v>11323</v>
      </c>
      <c r="G370" s="428" t="s">
        <v>11147</v>
      </c>
      <c r="H370" s="429" t="s">
        <v>11148</v>
      </c>
      <c r="I370" s="428">
        <v>300000</v>
      </c>
      <c r="J370" s="430"/>
      <c r="K370" s="430"/>
      <c r="L370" s="430"/>
      <c r="M370" s="430"/>
      <c r="N370" s="430"/>
      <c r="O370" s="430"/>
      <c r="P370" s="430"/>
      <c r="Q370" s="430"/>
      <c r="R370" s="430"/>
      <c r="S370" s="430"/>
      <c r="T370" s="430"/>
      <c r="U370" s="430"/>
      <c r="V370" s="430"/>
      <c r="W370" s="430"/>
      <c r="X370" s="430"/>
      <c r="Y370" s="430"/>
      <c r="Z370" s="430"/>
      <c r="AA370" s="430"/>
      <c r="AB370" s="430"/>
      <c r="AC370" s="428"/>
      <c r="AD370" s="430"/>
      <c r="AE370" s="430"/>
      <c r="AF370" s="428"/>
      <c r="AG370" s="430"/>
      <c r="AH370" s="428"/>
      <c r="AI370" s="430"/>
      <c r="AJ370" s="430"/>
      <c r="AK370" s="430"/>
      <c r="AL370" s="430"/>
      <c r="AM370" s="430"/>
      <c r="AN370" s="430"/>
      <c r="AO370" s="430"/>
      <c r="AP370" s="430"/>
      <c r="AQ370" s="430"/>
      <c r="AR370" s="430"/>
      <c r="AS370" s="430"/>
      <c r="AT370" s="430"/>
      <c r="AU370" s="430"/>
      <c r="AV370" s="432" t="s">
        <v>11370</v>
      </c>
    </row>
    <row r="371" s="399" customFormat="1" ht="18" customHeight="1" spans="1:48">
      <c r="A371" s="426">
        <v>46160</v>
      </c>
      <c r="B371" s="461" t="s">
        <v>11745</v>
      </c>
      <c r="C371" s="429" t="s">
        <v>11183</v>
      </c>
      <c r="D371" s="428" t="s">
        <v>6084</v>
      </c>
      <c r="E371" s="428">
        <v>30000</v>
      </c>
      <c r="F371" s="429" t="s">
        <v>11728</v>
      </c>
      <c r="G371" s="428" t="s">
        <v>11373</v>
      </c>
      <c r="H371" s="429" t="s">
        <v>11148</v>
      </c>
      <c r="I371" s="430"/>
      <c r="J371" s="428">
        <v>30000</v>
      </c>
      <c r="K371" s="430"/>
      <c r="L371" s="430"/>
      <c r="M371" s="430"/>
      <c r="N371" s="430"/>
      <c r="O371" s="430"/>
      <c r="P371" s="430"/>
      <c r="Q371" s="430"/>
      <c r="R371" s="430"/>
      <c r="S371" s="430"/>
      <c r="T371" s="430"/>
      <c r="U371" s="430"/>
      <c r="V371" s="430"/>
      <c r="W371" s="430"/>
      <c r="X371" s="430"/>
      <c r="Y371" s="430"/>
      <c r="Z371" s="430"/>
      <c r="AA371" s="430"/>
      <c r="AB371" s="430"/>
      <c r="AC371" s="428"/>
      <c r="AD371" s="430"/>
      <c r="AE371" s="430"/>
      <c r="AF371" s="428"/>
      <c r="AG371" s="430"/>
      <c r="AH371" s="428"/>
      <c r="AI371" s="430"/>
      <c r="AJ371" s="430"/>
      <c r="AK371" s="430"/>
      <c r="AL371" s="430"/>
      <c r="AM371" s="430"/>
      <c r="AN371" s="430"/>
      <c r="AO371" s="430"/>
      <c r="AP371" s="430"/>
      <c r="AQ371" s="430"/>
      <c r="AR371" s="430"/>
      <c r="AS371" s="430"/>
      <c r="AT371" s="430"/>
      <c r="AU371" s="430"/>
      <c r="AV371" s="432" t="s">
        <v>11370</v>
      </c>
    </row>
    <row r="372" s="399" customFormat="1" ht="18" customHeight="1" spans="1:48">
      <c r="A372" s="426">
        <v>46160</v>
      </c>
      <c r="B372" s="461" t="s">
        <v>11746</v>
      </c>
      <c r="C372" s="429" t="s">
        <v>11183</v>
      </c>
      <c r="D372" s="428" t="s">
        <v>6084</v>
      </c>
      <c r="E372" s="428">
        <v>400000</v>
      </c>
      <c r="F372" s="429" t="s">
        <v>11730</v>
      </c>
      <c r="G372" s="428" t="s">
        <v>11373</v>
      </c>
      <c r="H372" s="429" t="s">
        <v>11276</v>
      </c>
      <c r="I372" s="430"/>
      <c r="J372" s="430"/>
      <c r="K372" s="430"/>
      <c r="L372" s="430"/>
      <c r="M372" s="430"/>
      <c r="N372" s="428">
        <v>400000</v>
      </c>
      <c r="O372" s="430"/>
      <c r="P372" s="430"/>
      <c r="Q372" s="430"/>
      <c r="R372" s="430"/>
      <c r="S372" s="430"/>
      <c r="T372" s="430"/>
      <c r="U372" s="430"/>
      <c r="V372" s="430"/>
      <c r="W372" s="430"/>
      <c r="X372" s="430"/>
      <c r="Y372" s="430"/>
      <c r="Z372" s="430"/>
      <c r="AA372" s="430"/>
      <c r="AB372" s="430"/>
      <c r="AC372" s="428"/>
      <c r="AD372" s="430"/>
      <c r="AE372" s="430"/>
      <c r="AF372" s="428"/>
      <c r="AG372" s="430"/>
      <c r="AH372" s="428"/>
      <c r="AI372" s="430"/>
      <c r="AJ372" s="430"/>
      <c r="AK372" s="430"/>
      <c r="AL372" s="430"/>
      <c r="AM372" s="430"/>
      <c r="AN372" s="430"/>
      <c r="AO372" s="430"/>
      <c r="AP372" s="430"/>
      <c r="AQ372" s="430"/>
      <c r="AR372" s="430"/>
      <c r="AS372" s="430"/>
      <c r="AT372" s="430"/>
      <c r="AU372" s="430"/>
      <c r="AV372" s="432" t="s">
        <v>11731</v>
      </c>
    </row>
    <row r="373" s="399" customFormat="1" ht="18" customHeight="1" spans="1:48">
      <c r="A373" s="426">
        <v>46160</v>
      </c>
      <c r="B373" s="461" t="s">
        <v>11747</v>
      </c>
      <c r="C373" s="429" t="s">
        <v>11183</v>
      </c>
      <c r="D373" s="428" t="s">
        <v>6166</v>
      </c>
      <c r="E373" s="428">
        <v>1496</v>
      </c>
      <c r="F373" s="429" t="s">
        <v>11395</v>
      </c>
      <c r="G373" s="428" t="s">
        <v>11373</v>
      </c>
      <c r="H373" s="429" t="s">
        <v>11148</v>
      </c>
      <c r="I373" s="430"/>
      <c r="J373" s="430"/>
      <c r="K373" s="430"/>
      <c r="L373" s="430"/>
      <c r="M373" s="430"/>
      <c r="N373" s="430"/>
      <c r="O373" s="430"/>
      <c r="P373" s="430"/>
      <c r="Q373" s="430"/>
      <c r="R373" s="430"/>
      <c r="S373" s="430"/>
      <c r="T373" s="430"/>
      <c r="U373" s="430"/>
      <c r="V373" s="430"/>
      <c r="W373" s="430"/>
      <c r="X373" s="428">
        <v>1496</v>
      </c>
      <c r="Y373" s="430"/>
      <c r="Z373" s="430"/>
      <c r="AA373" s="430"/>
      <c r="AB373" s="430"/>
      <c r="AC373" s="428"/>
      <c r="AD373" s="430"/>
      <c r="AE373" s="430"/>
      <c r="AF373" s="428"/>
      <c r="AG373" s="430"/>
      <c r="AH373" s="428"/>
      <c r="AI373" s="430"/>
      <c r="AJ373" s="430"/>
      <c r="AK373" s="430"/>
      <c r="AL373" s="430"/>
      <c r="AM373" s="430"/>
      <c r="AN373" s="430"/>
      <c r="AO373" s="430"/>
      <c r="AP373" s="430"/>
      <c r="AQ373" s="430"/>
      <c r="AR373" s="430"/>
      <c r="AS373" s="430"/>
      <c r="AT373" s="430"/>
      <c r="AU373" s="430"/>
      <c r="AV373" s="432" t="s">
        <v>11376</v>
      </c>
    </row>
    <row r="374" s="399" customFormat="1" ht="18" customHeight="1" spans="1:48">
      <c r="A374" s="426">
        <v>46160</v>
      </c>
      <c r="B374" s="461" t="s">
        <v>11748</v>
      </c>
      <c r="C374" s="429" t="s">
        <v>11183</v>
      </c>
      <c r="D374" s="428" t="s">
        <v>6047</v>
      </c>
      <c r="E374" s="428">
        <v>300000</v>
      </c>
      <c r="F374" s="429" t="s">
        <v>11734</v>
      </c>
      <c r="G374" s="428" t="s">
        <v>11153</v>
      </c>
      <c r="H374" s="429" t="s">
        <v>11148</v>
      </c>
      <c r="I374" s="430"/>
      <c r="J374" s="430"/>
      <c r="K374" s="430"/>
      <c r="L374" s="430"/>
      <c r="M374" s="428">
        <v>300000</v>
      </c>
      <c r="N374" s="430"/>
      <c r="O374" s="430"/>
      <c r="P374" s="430"/>
      <c r="Q374" s="430"/>
      <c r="R374" s="430"/>
      <c r="S374" s="430"/>
      <c r="T374" s="430"/>
      <c r="U374" s="430"/>
      <c r="V374" s="430"/>
      <c r="W374" s="430"/>
      <c r="X374" s="430"/>
      <c r="Y374" s="430"/>
      <c r="Z374" s="430"/>
      <c r="AA374" s="430"/>
      <c r="AB374" s="430"/>
      <c r="AC374" s="428"/>
      <c r="AD374" s="430"/>
      <c r="AE374" s="430"/>
      <c r="AF374" s="428"/>
      <c r="AG374" s="430"/>
      <c r="AH374" s="428"/>
      <c r="AI374" s="430"/>
      <c r="AJ374" s="430"/>
      <c r="AK374" s="430"/>
      <c r="AL374" s="430"/>
      <c r="AM374" s="430"/>
      <c r="AN374" s="430"/>
      <c r="AO374" s="430"/>
      <c r="AP374" s="430"/>
      <c r="AQ374" s="430"/>
      <c r="AR374" s="430"/>
      <c r="AS374" s="430"/>
      <c r="AT374" s="430"/>
      <c r="AU374" s="430"/>
      <c r="AV374" s="432" t="s">
        <v>11383</v>
      </c>
    </row>
    <row r="375" s="399" customFormat="1" ht="18" customHeight="1" spans="1:48">
      <c r="A375" s="426">
        <v>46160</v>
      </c>
      <c r="B375" s="461" t="s">
        <v>11749</v>
      </c>
      <c r="C375" s="429" t="s">
        <v>11183</v>
      </c>
      <c r="D375" s="428" t="s">
        <v>6047</v>
      </c>
      <c r="E375" s="428">
        <v>300000</v>
      </c>
      <c r="F375" s="429" t="s">
        <v>11736</v>
      </c>
      <c r="G375" s="428" t="s">
        <v>11157</v>
      </c>
      <c r="H375" s="429" t="s">
        <v>11276</v>
      </c>
      <c r="I375" s="430"/>
      <c r="J375" s="430"/>
      <c r="K375" s="430"/>
      <c r="L375" s="430"/>
      <c r="M375" s="430"/>
      <c r="N375" s="430"/>
      <c r="O375" s="428">
        <v>300000</v>
      </c>
      <c r="P375" s="428"/>
      <c r="Q375" s="430"/>
      <c r="R375" s="430"/>
      <c r="S375" s="430"/>
      <c r="T375" s="430"/>
      <c r="U375" s="430"/>
      <c r="V375" s="430"/>
      <c r="W375" s="430"/>
      <c r="X375" s="430"/>
      <c r="Y375" s="430"/>
      <c r="Z375" s="430"/>
      <c r="AA375" s="430"/>
      <c r="AB375" s="430"/>
      <c r="AC375" s="428"/>
      <c r="AD375" s="430"/>
      <c r="AE375" s="430"/>
      <c r="AF375" s="428"/>
      <c r="AG375" s="430"/>
      <c r="AH375" s="428"/>
      <c r="AI375" s="430"/>
      <c r="AJ375" s="430"/>
      <c r="AK375" s="430"/>
      <c r="AL375" s="430"/>
      <c r="AM375" s="430"/>
      <c r="AN375" s="430"/>
      <c r="AO375" s="430"/>
      <c r="AP375" s="430"/>
      <c r="AQ375" s="430"/>
      <c r="AR375" s="430"/>
      <c r="AS375" s="430"/>
      <c r="AT375" s="430"/>
      <c r="AU375" s="430"/>
      <c r="AV375" s="432" t="s">
        <v>11737</v>
      </c>
    </row>
    <row r="376" s="399" customFormat="1" ht="18" customHeight="1" spans="1:48">
      <c r="A376" s="426">
        <v>46160</v>
      </c>
      <c r="B376" s="461" t="s">
        <v>11750</v>
      </c>
      <c r="C376" s="429" t="s">
        <v>11183</v>
      </c>
      <c r="D376" s="428" t="s">
        <v>6047</v>
      </c>
      <c r="E376" s="428">
        <v>3000</v>
      </c>
      <c r="F376" s="429" t="s">
        <v>11387</v>
      </c>
      <c r="G376" s="428" t="s">
        <v>11153</v>
      </c>
      <c r="H376" s="429" t="s">
        <v>11148</v>
      </c>
      <c r="I376" s="430"/>
      <c r="J376" s="430"/>
      <c r="K376" s="430"/>
      <c r="L376" s="430"/>
      <c r="M376" s="430"/>
      <c r="N376" s="430"/>
      <c r="O376" s="430"/>
      <c r="P376" s="430"/>
      <c r="Q376" s="430"/>
      <c r="R376" s="430"/>
      <c r="S376" s="430"/>
      <c r="T376" s="430"/>
      <c r="U376" s="430"/>
      <c r="V376" s="430"/>
      <c r="W376" s="430"/>
      <c r="X376" s="430"/>
      <c r="Y376" s="430"/>
      <c r="Z376" s="430"/>
      <c r="AA376" s="430"/>
      <c r="AB376" s="428">
        <v>3000</v>
      </c>
      <c r="AC376" s="428"/>
      <c r="AD376" s="430"/>
      <c r="AE376" s="430"/>
      <c r="AF376" s="428"/>
      <c r="AG376" s="430"/>
      <c r="AH376" s="428"/>
      <c r="AI376" s="430"/>
      <c r="AJ376" s="430"/>
      <c r="AK376" s="430"/>
      <c r="AL376" s="430"/>
      <c r="AM376" s="430"/>
      <c r="AN376" s="430"/>
      <c r="AO376" s="430"/>
      <c r="AP376" s="430"/>
      <c r="AQ376" s="430"/>
      <c r="AR376" s="430"/>
      <c r="AS376" s="430"/>
      <c r="AT376" s="430"/>
      <c r="AU376" s="430"/>
      <c r="AV376" s="432" t="s">
        <v>11385</v>
      </c>
    </row>
    <row r="377" s="399" customFormat="1" ht="18" customHeight="1" spans="1:48">
      <c r="A377" s="426">
        <v>46160</v>
      </c>
      <c r="B377" s="461" t="s">
        <v>11751</v>
      </c>
      <c r="C377" s="429" t="s">
        <v>11183</v>
      </c>
      <c r="D377" s="428" t="s">
        <v>6093</v>
      </c>
      <c r="E377" s="428">
        <v>3000</v>
      </c>
      <c r="F377" s="429" t="s">
        <v>11402</v>
      </c>
      <c r="G377" s="428" t="s">
        <v>11153</v>
      </c>
      <c r="H377" s="429" t="s">
        <v>11148</v>
      </c>
      <c r="I377" s="430"/>
      <c r="J377" s="430"/>
      <c r="K377" s="430"/>
      <c r="L377" s="430"/>
      <c r="M377" s="430"/>
      <c r="N377" s="430"/>
      <c r="O377" s="430"/>
      <c r="P377" s="430"/>
      <c r="Q377" s="430"/>
      <c r="R377" s="430"/>
      <c r="S377" s="430"/>
      <c r="T377" s="430"/>
      <c r="U377" s="430"/>
      <c r="V377" s="430"/>
      <c r="W377" s="430"/>
      <c r="X377" s="430"/>
      <c r="Y377" s="428">
        <v>3000</v>
      </c>
      <c r="Z377" s="430"/>
      <c r="AA377" s="430"/>
      <c r="AB377" s="430"/>
      <c r="AC377" s="428"/>
      <c r="AD377" s="430"/>
      <c r="AE377" s="430"/>
      <c r="AF377" s="428"/>
      <c r="AG377" s="430"/>
      <c r="AH377" s="428"/>
      <c r="AI377" s="430"/>
      <c r="AJ377" s="430"/>
      <c r="AK377" s="430"/>
      <c r="AL377" s="430"/>
      <c r="AM377" s="430"/>
      <c r="AN377" s="430"/>
      <c r="AO377" s="430"/>
      <c r="AP377" s="430"/>
      <c r="AQ377" s="430"/>
      <c r="AR377" s="430"/>
      <c r="AS377" s="430"/>
      <c r="AT377" s="430"/>
      <c r="AU377" s="430"/>
      <c r="AV377" s="432" t="s">
        <v>11385</v>
      </c>
    </row>
    <row r="378" s="400" customFormat="1" ht="18" customHeight="1" spans="1:48">
      <c r="A378" s="444">
        <v>46160</v>
      </c>
      <c r="B378" s="445" t="s">
        <v>11752</v>
      </c>
      <c r="C378" s="446" t="s">
        <v>11183</v>
      </c>
      <c r="D378" s="447" t="s">
        <v>66</v>
      </c>
      <c r="E378" s="447">
        <v>100</v>
      </c>
      <c r="F378" s="446" t="s">
        <v>11449</v>
      </c>
      <c r="G378" s="447" t="s">
        <v>11153</v>
      </c>
      <c r="H378" s="446" t="s">
        <v>11148</v>
      </c>
      <c r="I378" s="448"/>
      <c r="J378" s="448"/>
      <c r="K378" s="448"/>
      <c r="L378" s="448"/>
      <c r="M378" s="448"/>
      <c r="N378" s="448"/>
      <c r="O378" s="448"/>
      <c r="P378" s="448"/>
      <c r="Q378" s="448"/>
      <c r="R378" s="448"/>
      <c r="S378" s="448"/>
      <c r="T378" s="448"/>
      <c r="U378" s="448"/>
      <c r="V378" s="448"/>
      <c r="W378" s="448"/>
      <c r="X378" s="448"/>
      <c r="Y378" s="448"/>
      <c r="Z378" s="448"/>
      <c r="AA378" s="448"/>
      <c r="AB378" s="448"/>
      <c r="AC378" s="448"/>
      <c r="AD378" s="448"/>
      <c r="AE378" s="448"/>
      <c r="AF378" s="448"/>
      <c r="AG378" s="448"/>
      <c r="AH378" s="447"/>
      <c r="AI378" s="448"/>
      <c r="AJ378" s="448"/>
      <c r="AK378" s="448"/>
      <c r="AL378" s="448"/>
      <c r="AM378" s="448"/>
      <c r="AN378" s="448"/>
      <c r="AO378" s="448"/>
      <c r="AP378" s="448"/>
      <c r="AQ378" s="448"/>
      <c r="AR378" s="447">
        <v>100</v>
      </c>
      <c r="AS378" s="448"/>
      <c r="AT378" s="448"/>
      <c r="AU378" s="448"/>
      <c r="AV378" s="449" t="s">
        <v>11450</v>
      </c>
    </row>
    <row r="379" s="401" customFormat="1" ht="16" customHeight="1" spans="1:48">
      <c r="A379" s="462">
        <v>46162</v>
      </c>
      <c r="B379" s="463">
        <v>1000040258</v>
      </c>
      <c r="C379" s="464" t="s">
        <v>11194</v>
      </c>
      <c r="D379" s="465" t="s">
        <v>11753</v>
      </c>
      <c r="E379" s="465">
        <v>3209</v>
      </c>
      <c r="F379" s="464" t="s">
        <v>11754</v>
      </c>
      <c r="G379" s="465" t="s">
        <v>11147</v>
      </c>
      <c r="H379" s="466" t="s">
        <v>11148</v>
      </c>
      <c r="I379" s="466"/>
      <c r="J379" s="466"/>
      <c r="K379" s="466"/>
      <c r="L379" s="465"/>
      <c r="M379" s="466"/>
      <c r="N379" s="466"/>
      <c r="O379" s="466"/>
      <c r="P379" s="466"/>
      <c r="Q379" s="466"/>
      <c r="R379" s="466"/>
      <c r="S379" s="466"/>
      <c r="T379" s="466"/>
      <c r="AV379" s="467" t="s">
        <v>11755</v>
      </c>
    </row>
    <row r="380" s="401" customFormat="1" ht="16" customHeight="1" spans="1:48">
      <c r="A380" s="462">
        <v>46162</v>
      </c>
      <c r="B380" s="463">
        <v>1000040260</v>
      </c>
      <c r="C380" s="464" t="s">
        <v>11194</v>
      </c>
      <c r="D380" s="465">
        <v>77785</v>
      </c>
      <c r="E380" s="465">
        <v>83024</v>
      </c>
      <c r="F380" s="464" t="s">
        <v>11254</v>
      </c>
      <c r="G380" s="465" t="s">
        <v>11147</v>
      </c>
      <c r="H380" s="466" t="s">
        <v>11148</v>
      </c>
      <c r="I380" s="466"/>
      <c r="J380" s="466"/>
      <c r="K380" s="466"/>
      <c r="L380" s="465"/>
      <c r="M380" s="466"/>
      <c r="N380" s="466"/>
      <c r="O380" s="465"/>
      <c r="P380" s="465"/>
      <c r="Q380" s="466"/>
      <c r="R380" s="466"/>
      <c r="S380" s="466"/>
      <c r="T380" s="466"/>
      <c r="AJ380" s="465">
        <v>83024</v>
      </c>
      <c r="AK380" s="465"/>
      <c r="AL380" s="465">
        <v>3209</v>
      </c>
      <c r="AM380" s="401"/>
      <c r="AN380" s="401"/>
      <c r="AO380" s="401"/>
      <c r="AP380" s="401"/>
      <c r="AQ380" s="401"/>
      <c r="AR380" s="401"/>
      <c r="AS380" s="401"/>
      <c r="AT380" s="401"/>
      <c r="AV380" s="467" t="s">
        <v>11756</v>
      </c>
    </row>
    <row r="381" s="401" customFormat="1" ht="16" customHeight="1" spans="1:48">
      <c r="A381" s="462">
        <v>46162</v>
      </c>
      <c r="B381" s="463">
        <v>1000040262</v>
      </c>
      <c r="C381" s="464" t="s">
        <v>11194</v>
      </c>
      <c r="D381" s="465">
        <v>77785</v>
      </c>
      <c r="E381" s="465">
        <v>166048</v>
      </c>
      <c r="F381" s="464" t="s">
        <v>11757</v>
      </c>
      <c r="G381" s="465" t="s">
        <v>11147</v>
      </c>
      <c r="H381" s="466" t="s">
        <v>11148</v>
      </c>
      <c r="I381" s="466"/>
      <c r="J381" s="466"/>
      <c r="K381" s="466"/>
      <c r="L381" s="465"/>
      <c r="M381" s="466"/>
      <c r="N381" s="466"/>
      <c r="O381" s="466"/>
      <c r="P381" s="466"/>
      <c r="Q381" s="466"/>
      <c r="R381" s="466"/>
      <c r="S381" s="466"/>
      <c r="T381" s="466"/>
      <c r="AK381" s="465">
        <v>166048</v>
      </c>
      <c r="AL381" s="465"/>
      <c r="AM381" s="401"/>
      <c r="AN381" s="401"/>
      <c r="AO381" s="401"/>
      <c r="AP381" s="401"/>
      <c r="AQ381" s="401"/>
      <c r="AR381" s="401"/>
      <c r="AS381" s="401"/>
      <c r="AT381" s="401"/>
      <c r="AV381" s="467" t="s">
        <v>11756</v>
      </c>
    </row>
    <row r="382" s="397" customFormat="1" ht="18" customHeight="1" spans="1:48">
      <c r="A382" s="450">
        <v>46169</v>
      </c>
      <c r="B382" s="451" t="s">
        <v>11758</v>
      </c>
      <c r="C382" s="453" t="s">
        <v>11194</v>
      </c>
      <c r="D382" s="452" t="s">
        <v>11416</v>
      </c>
      <c r="E382" s="452">
        <v>3360</v>
      </c>
      <c r="F382" s="453" t="s">
        <v>11417</v>
      </c>
      <c r="G382" s="452" t="s">
        <v>11147</v>
      </c>
      <c r="H382" s="453" t="s">
        <v>11148</v>
      </c>
      <c r="I382" s="431"/>
      <c r="J382" s="431"/>
      <c r="K382" s="431"/>
      <c r="L382" s="431"/>
      <c r="M382" s="431"/>
      <c r="N382" s="431"/>
      <c r="O382" s="431"/>
      <c r="P382" s="431"/>
      <c r="Q382" s="431"/>
      <c r="R382" s="431"/>
      <c r="S382" s="431"/>
      <c r="T382" s="431"/>
      <c r="U382" s="431"/>
      <c r="V382" s="431"/>
      <c r="W382" s="431"/>
      <c r="X382" s="431"/>
      <c r="Y382" s="431"/>
      <c r="Z382" s="431"/>
      <c r="AA382" s="431"/>
      <c r="AB382" s="431"/>
      <c r="AC382" s="452">
        <v>3360</v>
      </c>
      <c r="AD382" s="431"/>
      <c r="AE382" s="431"/>
      <c r="AF382" s="431"/>
      <c r="AG382" s="431"/>
      <c r="AH382" s="452"/>
      <c r="AI382" s="431"/>
      <c r="AJ382" s="431"/>
      <c r="AK382" s="431"/>
      <c r="AL382" s="431"/>
      <c r="AM382" s="431"/>
      <c r="AN382" s="431"/>
      <c r="AO382" s="431"/>
      <c r="AP382" s="431"/>
      <c r="AQ382" s="431"/>
      <c r="AR382" s="452"/>
      <c r="AS382" s="431"/>
      <c r="AT382" s="431"/>
      <c r="AU382" s="431"/>
      <c r="AV382" s="454" t="s">
        <v>11759</v>
      </c>
    </row>
    <row r="383" s="397" customFormat="1" ht="18" customHeight="1" spans="1:48">
      <c r="A383" s="450">
        <v>46174</v>
      </c>
      <c r="B383" s="451">
        <v>1000040834</v>
      </c>
      <c r="C383" s="429" t="s">
        <v>11262</v>
      </c>
      <c r="D383" s="452" t="s">
        <v>11378</v>
      </c>
      <c r="E383" s="452">
        <v>4000</v>
      </c>
      <c r="F383" s="453" t="s">
        <v>11379</v>
      </c>
      <c r="G383" s="452" t="s">
        <v>11147</v>
      </c>
      <c r="H383" s="453" t="s">
        <v>11148</v>
      </c>
      <c r="I383" s="431"/>
      <c r="J383" s="431"/>
      <c r="K383" s="431"/>
      <c r="L383" s="431"/>
      <c r="M383" s="431"/>
      <c r="N383" s="431"/>
      <c r="O383" s="431"/>
      <c r="P383" s="431"/>
      <c r="Q383" s="431"/>
      <c r="R383" s="431"/>
      <c r="S383" s="431"/>
      <c r="T383" s="431"/>
      <c r="U383" s="431"/>
      <c r="V383" s="431"/>
      <c r="W383" s="431"/>
      <c r="X383" s="431"/>
      <c r="Y383" s="431"/>
      <c r="Z383" s="452">
        <v>4000</v>
      </c>
      <c r="AA383" s="431"/>
      <c r="AB383" s="431"/>
      <c r="AC383" s="452"/>
      <c r="AD383" s="431"/>
      <c r="AE383" s="431"/>
      <c r="AF383" s="431"/>
      <c r="AG383" s="431"/>
      <c r="AH383" s="452"/>
      <c r="AI383" s="431"/>
      <c r="AJ383" s="431"/>
      <c r="AK383" s="431"/>
      <c r="AL383" s="431"/>
      <c r="AM383" s="431"/>
      <c r="AN383" s="431"/>
      <c r="AO383" s="431"/>
      <c r="AP383" s="431"/>
      <c r="AQ383" s="431"/>
      <c r="AR383" s="452"/>
      <c r="AS383" s="431"/>
      <c r="AT383" s="431"/>
      <c r="AU383" s="431"/>
      <c r="AV383" s="454" t="s">
        <v>11376</v>
      </c>
    </row>
    <row r="384" s="397" customFormat="1" ht="18" customHeight="1" spans="1:48">
      <c r="A384" s="450">
        <v>46174</v>
      </c>
      <c r="B384" s="451">
        <v>1000040835</v>
      </c>
      <c r="C384" s="429" t="s">
        <v>11262</v>
      </c>
      <c r="D384" s="452" t="s">
        <v>6166</v>
      </c>
      <c r="E384" s="452">
        <v>1000</v>
      </c>
      <c r="F384" s="453" t="s">
        <v>11427</v>
      </c>
      <c r="G384" s="452" t="s">
        <v>11147</v>
      </c>
      <c r="H384" s="453" t="s">
        <v>11148</v>
      </c>
      <c r="I384" s="431"/>
      <c r="J384" s="431"/>
      <c r="K384" s="431"/>
      <c r="L384" s="431"/>
      <c r="M384" s="431"/>
      <c r="N384" s="431"/>
      <c r="O384" s="431"/>
      <c r="P384" s="431"/>
      <c r="Q384" s="431"/>
      <c r="R384" s="431"/>
      <c r="S384" s="431"/>
      <c r="T384" s="431"/>
      <c r="U384" s="431"/>
      <c r="V384" s="431"/>
      <c r="W384" s="452">
        <v>1000</v>
      </c>
      <c r="X384" s="431"/>
      <c r="Y384" s="431"/>
      <c r="Z384" s="431"/>
      <c r="AA384" s="431"/>
      <c r="AB384" s="431"/>
      <c r="AC384" s="452"/>
      <c r="AD384" s="431"/>
      <c r="AE384" s="431"/>
      <c r="AF384" s="431"/>
      <c r="AG384" s="431"/>
      <c r="AH384" s="452"/>
      <c r="AI384" s="431"/>
      <c r="AJ384" s="431"/>
      <c r="AK384" s="431"/>
      <c r="AL384" s="431"/>
      <c r="AM384" s="431"/>
      <c r="AN384" s="431"/>
      <c r="AO384" s="431"/>
      <c r="AP384" s="431"/>
      <c r="AQ384" s="431"/>
      <c r="AR384" s="452"/>
      <c r="AS384" s="431"/>
      <c r="AT384" s="431"/>
      <c r="AU384" s="431"/>
      <c r="AV384" s="454" t="s">
        <v>11376</v>
      </c>
    </row>
    <row r="385" s="397" customFormat="1" ht="18" customHeight="1" spans="1:48">
      <c r="A385" s="450">
        <v>46174</v>
      </c>
      <c r="B385" s="451">
        <v>1000040836</v>
      </c>
      <c r="C385" s="429" t="s">
        <v>11262</v>
      </c>
      <c r="D385" s="452" t="s">
        <v>6047</v>
      </c>
      <c r="E385" s="452">
        <v>1000</v>
      </c>
      <c r="F385" s="453" t="s">
        <v>11387</v>
      </c>
      <c r="G385" s="452" t="s">
        <v>11153</v>
      </c>
      <c r="H385" s="453" t="s">
        <v>11148</v>
      </c>
      <c r="I385" s="431"/>
      <c r="J385" s="431"/>
      <c r="K385" s="431"/>
      <c r="L385" s="431"/>
      <c r="M385" s="431"/>
      <c r="N385" s="431"/>
      <c r="O385" s="431"/>
      <c r="P385" s="431"/>
      <c r="Q385" s="431"/>
      <c r="R385" s="431"/>
      <c r="S385" s="431"/>
      <c r="T385" s="431"/>
      <c r="U385" s="431"/>
      <c r="V385" s="431"/>
      <c r="W385" s="431"/>
      <c r="X385" s="431"/>
      <c r="Y385" s="431"/>
      <c r="Z385" s="431"/>
      <c r="AA385" s="452"/>
      <c r="AB385" s="452">
        <v>1000</v>
      </c>
      <c r="AC385" s="452"/>
      <c r="AD385" s="431"/>
      <c r="AE385" s="431"/>
      <c r="AF385" s="431"/>
      <c r="AG385" s="431"/>
      <c r="AH385" s="452"/>
      <c r="AI385" s="431"/>
      <c r="AJ385" s="431"/>
      <c r="AK385" s="431"/>
      <c r="AL385" s="431"/>
      <c r="AM385" s="431"/>
      <c r="AN385" s="431"/>
      <c r="AO385" s="431"/>
      <c r="AP385" s="431"/>
      <c r="AQ385" s="431"/>
      <c r="AR385" s="452"/>
      <c r="AS385" s="431"/>
      <c r="AT385" s="431"/>
      <c r="AU385" s="431"/>
      <c r="AV385" s="454" t="s">
        <v>11385</v>
      </c>
    </row>
    <row r="386" s="397" customFormat="1" ht="18" customHeight="1" spans="1:48">
      <c r="A386" s="450">
        <v>46174</v>
      </c>
      <c r="B386" s="451">
        <v>1000040837</v>
      </c>
      <c r="C386" s="429" t="s">
        <v>11262</v>
      </c>
      <c r="D386" s="452" t="s">
        <v>6093</v>
      </c>
      <c r="E386" s="452">
        <v>5000</v>
      </c>
      <c r="F386" s="453" t="s">
        <v>11402</v>
      </c>
      <c r="G386" s="452" t="s">
        <v>11153</v>
      </c>
      <c r="H386" s="453" t="s">
        <v>11148</v>
      </c>
      <c r="I386" s="431"/>
      <c r="J386" s="431"/>
      <c r="K386" s="431"/>
      <c r="L386" s="431"/>
      <c r="M386" s="431"/>
      <c r="N386" s="431"/>
      <c r="O386" s="431"/>
      <c r="P386" s="431"/>
      <c r="Q386" s="431"/>
      <c r="R386" s="431"/>
      <c r="S386" s="431"/>
      <c r="T386" s="431"/>
      <c r="U386" s="431"/>
      <c r="V386" s="431"/>
      <c r="W386" s="431"/>
      <c r="X386" s="431"/>
      <c r="Y386" s="452">
        <v>5000</v>
      </c>
      <c r="Z386" s="431"/>
      <c r="AA386" s="431"/>
      <c r="AB386" s="431"/>
      <c r="AC386" s="452"/>
      <c r="AD386" s="431"/>
      <c r="AE386" s="431"/>
      <c r="AF386" s="431"/>
      <c r="AG386" s="431"/>
      <c r="AH386" s="452"/>
      <c r="AI386" s="431"/>
      <c r="AJ386" s="431"/>
      <c r="AK386" s="431"/>
      <c r="AL386" s="431"/>
      <c r="AM386" s="431"/>
      <c r="AN386" s="431"/>
      <c r="AO386" s="431"/>
      <c r="AP386" s="431"/>
      <c r="AQ386" s="431"/>
      <c r="AR386" s="452"/>
      <c r="AS386" s="431"/>
      <c r="AT386" s="431"/>
      <c r="AU386" s="431"/>
      <c r="AV386" s="454" t="s">
        <v>11385</v>
      </c>
    </row>
    <row r="387" s="397" customFormat="1" ht="18" customHeight="1" spans="1:48">
      <c r="A387" s="450">
        <v>46176</v>
      </c>
      <c r="B387" s="451">
        <v>1000040924</v>
      </c>
      <c r="C387" s="429" t="s">
        <v>11194</v>
      </c>
      <c r="D387" s="452" t="s">
        <v>11416</v>
      </c>
      <c r="E387" s="452">
        <v>2880</v>
      </c>
      <c r="F387" s="453" t="s">
        <v>11417</v>
      </c>
      <c r="G387" s="452" t="s">
        <v>11147</v>
      </c>
      <c r="H387" s="453" t="s">
        <v>11148</v>
      </c>
      <c r="I387" s="431"/>
      <c r="J387" s="431"/>
      <c r="K387" s="431"/>
      <c r="L387" s="431"/>
      <c r="M387" s="431"/>
      <c r="N387" s="431"/>
      <c r="O387" s="431"/>
      <c r="P387" s="431"/>
      <c r="Q387" s="431"/>
      <c r="R387" s="431"/>
      <c r="S387" s="431"/>
      <c r="T387" s="431"/>
      <c r="U387" s="431"/>
      <c r="V387" s="431"/>
      <c r="W387" s="431"/>
      <c r="X387" s="431"/>
      <c r="Y387" s="431"/>
      <c r="Z387" s="431"/>
      <c r="AA387" s="431"/>
      <c r="AB387" s="431"/>
      <c r="AC387" s="452"/>
      <c r="AD387" s="452">
        <v>2880</v>
      </c>
      <c r="AE387" s="431"/>
      <c r="AF387" s="431"/>
      <c r="AG387" s="431"/>
      <c r="AH387" s="452"/>
      <c r="AI387" s="431"/>
      <c r="AJ387" s="431"/>
      <c r="AK387" s="431"/>
      <c r="AL387" s="431"/>
      <c r="AM387" s="431"/>
      <c r="AN387" s="431"/>
      <c r="AO387" s="431"/>
      <c r="AP387" s="431"/>
      <c r="AQ387" s="431"/>
      <c r="AR387" s="452"/>
      <c r="AS387" s="431"/>
      <c r="AT387" s="431"/>
      <c r="AU387" s="431"/>
      <c r="AV387" s="454" t="s">
        <v>11760</v>
      </c>
    </row>
    <row r="388" s="397" customFormat="1" ht="18" customHeight="1" spans="1:48">
      <c r="A388" s="450">
        <v>46178</v>
      </c>
      <c r="B388" s="451">
        <v>1000041067</v>
      </c>
      <c r="C388" s="429" t="s">
        <v>11262</v>
      </c>
      <c r="D388" s="452" t="s">
        <v>11378</v>
      </c>
      <c r="E388" s="452">
        <v>5000</v>
      </c>
      <c r="F388" s="453" t="s">
        <v>11379</v>
      </c>
      <c r="G388" s="452" t="s">
        <v>11147</v>
      </c>
      <c r="H388" s="453" t="s">
        <v>11148</v>
      </c>
      <c r="I388" s="431"/>
      <c r="J388" s="431"/>
      <c r="K388" s="431"/>
      <c r="L388" s="431"/>
      <c r="M388" s="431"/>
      <c r="N388" s="431"/>
      <c r="O388" s="431"/>
      <c r="P388" s="431"/>
      <c r="Q388" s="431"/>
      <c r="R388" s="431"/>
      <c r="S388" s="431"/>
      <c r="T388" s="431"/>
      <c r="U388" s="431"/>
      <c r="V388" s="431"/>
      <c r="W388" s="431"/>
      <c r="X388" s="431"/>
      <c r="Y388" s="431"/>
      <c r="Z388" s="452">
        <v>5000</v>
      </c>
      <c r="AA388" s="431"/>
      <c r="AB388" s="431"/>
      <c r="AC388" s="452"/>
      <c r="AD388" s="452"/>
      <c r="AE388" s="431"/>
      <c r="AF388" s="431"/>
      <c r="AG388" s="431"/>
      <c r="AH388" s="452"/>
      <c r="AI388" s="431"/>
      <c r="AJ388" s="431"/>
      <c r="AK388" s="431"/>
      <c r="AL388" s="431"/>
      <c r="AM388" s="431"/>
      <c r="AN388" s="431"/>
      <c r="AO388" s="431"/>
      <c r="AP388" s="431"/>
      <c r="AQ388" s="431"/>
      <c r="AR388" s="452"/>
      <c r="AS388" s="431"/>
      <c r="AT388" s="431"/>
      <c r="AU388" s="431"/>
      <c r="AV388" s="454" t="s">
        <v>11376</v>
      </c>
    </row>
    <row r="389" s="397" customFormat="1" ht="18" customHeight="1" spans="1:48">
      <c r="A389" s="450">
        <v>46178</v>
      </c>
      <c r="B389" s="451">
        <v>1000041068</v>
      </c>
      <c r="C389" s="429" t="s">
        <v>11262</v>
      </c>
      <c r="D389" s="452" t="s">
        <v>6093</v>
      </c>
      <c r="E389" s="452">
        <v>5000</v>
      </c>
      <c r="F389" s="453" t="s">
        <v>11402</v>
      </c>
      <c r="G389" s="452" t="s">
        <v>11153</v>
      </c>
      <c r="H389" s="453" t="s">
        <v>11148</v>
      </c>
      <c r="I389" s="431"/>
      <c r="J389" s="431"/>
      <c r="K389" s="431"/>
      <c r="L389" s="431"/>
      <c r="M389" s="431"/>
      <c r="N389" s="431"/>
      <c r="O389" s="431"/>
      <c r="P389" s="431"/>
      <c r="Q389" s="431"/>
      <c r="R389" s="431"/>
      <c r="S389" s="431"/>
      <c r="T389" s="431"/>
      <c r="U389" s="431"/>
      <c r="V389" s="431"/>
      <c r="W389" s="431"/>
      <c r="X389" s="431"/>
      <c r="Y389" s="452">
        <v>5000</v>
      </c>
      <c r="Z389" s="431"/>
      <c r="AA389" s="431"/>
      <c r="AB389" s="431"/>
      <c r="AC389" s="452"/>
      <c r="AD389" s="452"/>
      <c r="AE389" s="431"/>
      <c r="AF389" s="431"/>
      <c r="AG389" s="431"/>
      <c r="AH389" s="452"/>
      <c r="AI389" s="431"/>
      <c r="AJ389" s="431"/>
      <c r="AK389" s="431"/>
      <c r="AL389" s="431"/>
      <c r="AM389" s="431"/>
      <c r="AN389" s="431"/>
      <c r="AO389" s="431"/>
      <c r="AP389" s="431"/>
      <c r="AQ389" s="431"/>
      <c r="AR389" s="452"/>
      <c r="AS389" s="431"/>
      <c r="AT389" s="431"/>
      <c r="AU389" s="431"/>
      <c r="AV389" s="454" t="s">
        <v>11385</v>
      </c>
    </row>
    <row r="390" s="397" customFormat="1" ht="18" customHeight="1" spans="1:48">
      <c r="A390" s="450">
        <v>46182</v>
      </c>
      <c r="B390" s="451">
        <v>1000041209</v>
      </c>
      <c r="C390" s="429" t="s">
        <v>11262</v>
      </c>
      <c r="D390" s="452" t="s">
        <v>6084</v>
      </c>
      <c r="E390" s="465">
        <v>300000</v>
      </c>
      <c r="F390" s="468" t="s">
        <v>11761</v>
      </c>
      <c r="G390" s="469" t="s">
        <v>11147</v>
      </c>
      <c r="H390" s="453" t="s">
        <v>11148</v>
      </c>
      <c r="I390" s="465">
        <v>300000</v>
      </c>
      <c r="J390" s="431"/>
      <c r="K390" s="431"/>
      <c r="L390" s="431"/>
      <c r="M390" s="431"/>
      <c r="N390" s="431"/>
      <c r="O390" s="431"/>
      <c r="P390" s="431"/>
      <c r="Q390" s="431"/>
      <c r="R390" s="431"/>
      <c r="S390" s="431"/>
      <c r="T390" s="431"/>
      <c r="U390" s="431"/>
      <c r="V390" s="431"/>
      <c r="W390" s="431"/>
      <c r="X390" s="431"/>
      <c r="Y390" s="452"/>
      <c r="Z390" s="431"/>
      <c r="AA390" s="431"/>
      <c r="AB390" s="431"/>
      <c r="AC390" s="452"/>
      <c r="AD390" s="452"/>
      <c r="AE390" s="431"/>
      <c r="AF390" s="431"/>
      <c r="AG390" s="431"/>
      <c r="AH390" s="452"/>
      <c r="AI390" s="431"/>
      <c r="AJ390" s="431"/>
      <c r="AK390" s="431"/>
      <c r="AL390" s="431"/>
      <c r="AM390" s="431"/>
      <c r="AN390" s="431"/>
      <c r="AO390" s="431"/>
      <c r="AP390" s="431"/>
      <c r="AQ390" s="431"/>
      <c r="AR390" s="452"/>
      <c r="AS390" s="431"/>
      <c r="AT390" s="431"/>
      <c r="AU390" s="431"/>
      <c r="AV390" s="470" t="s">
        <v>11762</v>
      </c>
    </row>
    <row r="391" s="397" customFormat="1" ht="18" customHeight="1" spans="1:48">
      <c r="A391" s="450">
        <v>46182</v>
      </c>
      <c r="B391" s="451">
        <v>1000041210</v>
      </c>
      <c r="C391" s="429" t="s">
        <v>11262</v>
      </c>
      <c r="D391" s="452" t="s">
        <v>6084</v>
      </c>
      <c r="E391" s="465">
        <v>300000</v>
      </c>
      <c r="F391" s="468" t="s">
        <v>11730</v>
      </c>
      <c r="G391" s="469" t="s">
        <v>11373</v>
      </c>
      <c r="H391" s="468" t="s">
        <v>11276</v>
      </c>
      <c r="I391" s="431"/>
      <c r="J391" s="431"/>
      <c r="K391" s="431"/>
      <c r="L391" s="431"/>
      <c r="M391" s="431"/>
      <c r="N391" s="465">
        <v>300000</v>
      </c>
      <c r="O391" s="431"/>
      <c r="P391" s="431"/>
      <c r="Q391" s="431"/>
      <c r="R391" s="431"/>
      <c r="S391" s="431"/>
      <c r="T391" s="431"/>
      <c r="U391" s="431"/>
      <c r="V391" s="431"/>
      <c r="W391" s="431"/>
      <c r="X391" s="431"/>
      <c r="Y391" s="452"/>
      <c r="Z391" s="431"/>
      <c r="AA391" s="431"/>
      <c r="AB391" s="431"/>
      <c r="AC391" s="452"/>
      <c r="AD391" s="452"/>
      <c r="AE391" s="431"/>
      <c r="AF391" s="431"/>
      <c r="AG391" s="431"/>
      <c r="AH391" s="452"/>
      <c r="AI391" s="431"/>
      <c r="AJ391" s="431"/>
      <c r="AK391" s="431"/>
      <c r="AL391" s="431"/>
      <c r="AM391" s="431"/>
      <c r="AN391" s="431"/>
      <c r="AO391" s="431"/>
      <c r="AP391" s="431"/>
      <c r="AQ391" s="431"/>
      <c r="AR391" s="452"/>
      <c r="AS391" s="431"/>
      <c r="AT391" s="431"/>
      <c r="AU391" s="431"/>
      <c r="AV391" s="470" t="s">
        <v>11763</v>
      </c>
    </row>
    <row r="392" s="397" customFormat="1" ht="18" customHeight="1" spans="1:48">
      <c r="A392" s="450">
        <v>46182</v>
      </c>
      <c r="B392" s="451">
        <v>1000041211</v>
      </c>
      <c r="C392" s="429" t="s">
        <v>11262</v>
      </c>
      <c r="D392" s="469" t="s">
        <v>6166</v>
      </c>
      <c r="E392" s="465">
        <v>500</v>
      </c>
      <c r="F392" s="468" t="s">
        <v>11395</v>
      </c>
      <c r="G392" s="469" t="s">
        <v>11373</v>
      </c>
      <c r="H392" s="453" t="s">
        <v>11148</v>
      </c>
      <c r="I392" s="431"/>
      <c r="J392" s="431"/>
      <c r="K392" s="431"/>
      <c r="L392" s="431"/>
      <c r="M392" s="431"/>
      <c r="N392" s="431"/>
      <c r="O392" s="431"/>
      <c r="P392" s="431"/>
      <c r="Q392" s="431"/>
      <c r="R392" s="431"/>
      <c r="S392" s="431"/>
      <c r="T392" s="431"/>
      <c r="U392" s="431"/>
      <c r="V392" s="431"/>
      <c r="W392" s="431"/>
      <c r="X392" s="465">
        <v>500</v>
      </c>
      <c r="Y392" s="452"/>
      <c r="Z392" s="431"/>
      <c r="AA392" s="431"/>
      <c r="AB392" s="431"/>
      <c r="AC392" s="452"/>
      <c r="AD392" s="452"/>
      <c r="AE392" s="431"/>
      <c r="AF392" s="431"/>
      <c r="AG392" s="431"/>
      <c r="AH392" s="452"/>
      <c r="AI392" s="431"/>
      <c r="AJ392" s="431"/>
      <c r="AK392" s="431"/>
      <c r="AL392" s="431"/>
      <c r="AM392" s="431"/>
      <c r="AN392" s="431"/>
      <c r="AO392" s="431"/>
      <c r="AP392" s="431"/>
      <c r="AQ392" s="431"/>
      <c r="AR392" s="452"/>
      <c r="AS392" s="431"/>
      <c r="AT392" s="431"/>
      <c r="AU392" s="431"/>
      <c r="AV392" s="470" t="s">
        <v>11764</v>
      </c>
    </row>
    <row r="393" s="397" customFormat="1" ht="18" customHeight="1" spans="1:48">
      <c r="A393" s="450">
        <v>46182</v>
      </c>
      <c r="B393" s="451">
        <v>1000041213</v>
      </c>
      <c r="C393" s="429" t="s">
        <v>11262</v>
      </c>
      <c r="D393" s="469" t="s">
        <v>6047</v>
      </c>
      <c r="E393" s="465">
        <v>3000</v>
      </c>
      <c r="F393" s="468" t="s">
        <v>11387</v>
      </c>
      <c r="G393" s="452" t="s">
        <v>11153</v>
      </c>
      <c r="H393" s="453" t="s">
        <v>11148</v>
      </c>
      <c r="I393" s="431"/>
      <c r="J393" s="431"/>
      <c r="K393" s="431"/>
      <c r="L393" s="431"/>
      <c r="M393" s="431"/>
      <c r="N393" s="431"/>
      <c r="O393" s="431"/>
      <c r="P393" s="431"/>
      <c r="Q393" s="431"/>
      <c r="R393" s="431"/>
      <c r="S393" s="431"/>
      <c r="T393" s="431"/>
      <c r="U393" s="431"/>
      <c r="V393" s="431"/>
      <c r="W393" s="431"/>
      <c r="X393" s="431"/>
      <c r="Y393" s="452"/>
      <c r="Z393" s="431"/>
      <c r="AA393" s="431"/>
      <c r="AB393" s="465">
        <v>3000</v>
      </c>
      <c r="AC393" s="452"/>
      <c r="AD393" s="452"/>
      <c r="AE393" s="431"/>
      <c r="AF393" s="431"/>
      <c r="AG393" s="431"/>
      <c r="AH393" s="452"/>
      <c r="AI393" s="431"/>
      <c r="AJ393" s="431"/>
      <c r="AK393" s="431"/>
      <c r="AL393" s="431"/>
      <c r="AM393" s="431"/>
      <c r="AN393" s="431"/>
      <c r="AO393" s="431"/>
      <c r="AP393" s="431"/>
      <c r="AQ393" s="431"/>
      <c r="AR393" s="452"/>
      <c r="AS393" s="431"/>
      <c r="AT393" s="431"/>
      <c r="AU393" s="431"/>
      <c r="AV393" s="470" t="s">
        <v>11765</v>
      </c>
    </row>
    <row r="394" s="397" customFormat="1" ht="18" customHeight="1" spans="1:48">
      <c r="A394" s="450">
        <v>46184</v>
      </c>
      <c r="B394" s="451">
        <v>1000041274</v>
      </c>
      <c r="C394" s="429" t="s">
        <v>11194</v>
      </c>
      <c r="D394" s="452" t="s">
        <v>11416</v>
      </c>
      <c r="E394" s="452">
        <v>1260</v>
      </c>
      <c r="F394" s="453" t="s">
        <v>11417</v>
      </c>
      <c r="G394" s="452" t="s">
        <v>11147</v>
      </c>
      <c r="H394" s="453" t="s">
        <v>11148</v>
      </c>
      <c r="I394" s="431"/>
      <c r="J394" s="431"/>
      <c r="K394" s="431"/>
      <c r="L394" s="431"/>
      <c r="M394" s="431"/>
      <c r="N394" s="431"/>
      <c r="O394" s="431"/>
      <c r="P394" s="431"/>
      <c r="Q394" s="431"/>
      <c r="R394" s="431"/>
      <c r="S394" s="431"/>
      <c r="T394" s="431"/>
      <c r="U394" s="431"/>
      <c r="V394" s="431"/>
      <c r="W394" s="431"/>
      <c r="X394" s="431"/>
      <c r="Y394" s="431"/>
      <c r="Z394" s="431"/>
      <c r="AA394" s="431"/>
      <c r="AB394" s="431"/>
      <c r="AC394" s="452">
        <v>1260</v>
      </c>
      <c r="AD394" s="431"/>
      <c r="AE394" s="431"/>
      <c r="AF394" s="431"/>
      <c r="AG394" s="431"/>
      <c r="AH394" s="452"/>
      <c r="AI394" s="431"/>
      <c r="AJ394" s="431"/>
      <c r="AK394" s="431"/>
      <c r="AL394" s="431"/>
      <c r="AM394" s="431"/>
      <c r="AN394" s="431"/>
      <c r="AO394" s="431"/>
      <c r="AP394" s="431"/>
      <c r="AQ394" s="431"/>
      <c r="AR394" s="452"/>
      <c r="AS394" s="431"/>
      <c r="AT394" s="431"/>
      <c r="AU394" s="431"/>
      <c r="AV394" s="470" t="s">
        <v>11766</v>
      </c>
    </row>
    <row r="395" s="397" customFormat="1" ht="18" customHeight="1" spans="1:48">
      <c r="A395" s="450">
        <v>46185</v>
      </c>
      <c r="B395" s="451">
        <v>1000041373</v>
      </c>
      <c r="C395" s="429" t="s">
        <v>11262</v>
      </c>
      <c r="D395" s="452" t="s">
        <v>6047</v>
      </c>
      <c r="E395" s="452">
        <v>2500</v>
      </c>
      <c r="F395" s="453" t="s">
        <v>11387</v>
      </c>
      <c r="G395" s="452" t="s">
        <v>11153</v>
      </c>
      <c r="H395" s="453" t="s">
        <v>11148</v>
      </c>
      <c r="I395" s="431"/>
      <c r="J395" s="431"/>
      <c r="K395" s="431"/>
      <c r="L395" s="431"/>
      <c r="M395" s="431"/>
      <c r="N395" s="431"/>
      <c r="O395" s="431"/>
      <c r="P395" s="431"/>
      <c r="Q395" s="431"/>
      <c r="R395" s="431"/>
      <c r="S395" s="431"/>
      <c r="T395" s="431"/>
      <c r="U395" s="431"/>
      <c r="V395" s="431"/>
      <c r="W395" s="431"/>
      <c r="X395" s="431"/>
      <c r="Y395" s="431"/>
      <c r="Z395" s="431"/>
      <c r="AA395" s="431"/>
      <c r="AB395" s="452">
        <v>2500</v>
      </c>
      <c r="AC395" s="452"/>
      <c r="AD395" s="431"/>
      <c r="AE395" s="431"/>
      <c r="AF395" s="431"/>
      <c r="AG395" s="431"/>
      <c r="AH395" s="452"/>
      <c r="AI395" s="431"/>
      <c r="AJ395" s="431"/>
      <c r="AK395" s="431"/>
      <c r="AL395" s="431"/>
      <c r="AM395" s="431"/>
      <c r="AN395" s="431"/>
      <c r="AO395" s="431"/>
      <c r="AP395" s="431"/>
      <c r="AQ395" s="431"/>
      <c r="AR395" s="452"/>
      <c r="AS395" s="431"/>
      <c r="AT395" s="431"/>
      <c r="AU395" s="431"/>
      <c r="AV395" s="470" t="s">
        <v>11385</v>
      </c>
    </row>
    <row r="396" s="397" customFormat="1" ht="18" customHeight="1" spans="1:48">
      <c r="A396" s="450">
        <v>46185</v>
      </c>
      <c r="B396" s="451">
        <v>1000041374</v>
      </c>
      <c r="C396" s="429" t="s">
        <v>11262</v>
      </c>
      <c r="D396" s="452" t="s">
        <v>11378</v>
      </c>
      <c r="E396" s="452">
        <v>2000</v>
      </c>
      <c r="F396" s="453" t="s">
        <v>11379</v>
      </c>
      <c r="G396" s="452" t="s">
        <v>11147</v>
      </c>
      <c r="H396" s="453" t="s">
        <v>11148</v>
      </c>
      <c r="I396" s="431"/>
      <c r="J396" s="431"/>
      <c r="K396" s="431"/>
      <c r="L396" s="431"/>
      <c r="M396" s="431"/>
      <c r="N396" s="431"/>
      <c r="O396" s="431"/>
      <c r="P396" s="431"/>
      <c r="Q396" s="431"/>
      <c r="R396" s="431"/>
      <c r="S396" s="431"/>
      <c r="T396" s="431"/>
      <c r="U396" s="431"/>
      <c r="V396" s="431"/>
      <c r="W396" s="431"/>
      <c r="X396" s="431"/>
      <c r="Y396" s="431"/>
      <c r="Z396" s="452">
        <v>2000</v>
      </c>
      <c r="AA396" s="431"/>
      <c r="AB396" s="431"/>
      <c r="AC396" s="452"/>
      <c r="AD396" s="431"/>
      <c r="AE396" s="431"/>
      <c r="AF396" s="431"/>
      <c r="AG396" s="431"/>
      <c r="AH396" s="452"/>
      <c r="AI396" s="431"/>
      <c r="AJ396" s="431"/>
      <c r="AK396" s="431"/>
      <c r="AL396" s="431"/>
      <c r="AM396" s="431"/>
      <c r="AN396" s="431"/>
      <c r="AO396" s="431"/>
      <c r="AP396" s="431"/>
      <c r="AQ396" s="431"/>
      <c r="AR396" s="452"/>
      <c r="AS396" s="431"/>
      <c r="AT396" s="431"/>
      <c r="AU396" s="431"/>
      <c r="AV396" s="470" t="s">
        <v>11376</v>
      </c>
    </row>
    <row r="397" s="397" customFormat="1" ht="18" customHeight="1" spans="1:48">
      <c r="A397" s="450">
        <v>46189</v>
      </c>
      <c r="B397" s="451">
        <v>1000041488</v>
      </c>
      <c r="C397" s="429" t="s">
        <v>11194</v>
      </c>
      <c r="D397" s="452">
        <v>77785</v>
      </c>
      <c r="E397" s="452">
        <v>20000</v>
      </c>
      <c r="F397" s="453" t="s">
        <v>11612</v>
      </c>
      <c r="G397" s="452" t="s">
        <v>11153</v>
      </c>
      <c r="H397" s="453" t="s">
        <v>11148</v>
      </c>
      <c r="I397" s="431"/>
      <c r="J397" s="431"/>
      <c r="K397" s="431"/>
      <c r="L397" s="431"/>
      <c r="M397" s="431"/>
      <c r="N397" s="431"/>
      <c r="O397" s="431"/>
      <c r="P397" s="431"/>
      <c r="Q397" s="431"/>
      <c r="R397" s="431"/>
      <c r="S397" s="431"/>
      <c r="T397" s="431"/>
      <c r="U397" s="431"/>
      <c r="V397" s="431"/>
      <c r="W397" s="431"/>
      <c r="X397" s="431"/>
      <c r="Y397" s="431"/>
      <c r="Z397" s="452"/>
      <c r="AA397" s="431"/>
      <c r="AB397" s="431"/>
      <c r="AC397" s="452"/>
      <c r="AD397" s="431"/>
      <c r="AE397" s="431"/>
      <c r="AF397" s="431"/>
      <c r="AG397" s="431"/>
      <c r="AH397" s="452"/>
      <c r="AI397" s="431"/>
      <c r="AJ397" s="452">
        <v>20000</v>
      </c>
      <c r="AK397" s="431"/>
      <c r="AL397" s="431"/>
      <c r="AM397" s="431"/>
      <c r="AN397" s="431"/>
      <c r="AO397" s="431"/>
      <c r="AP397" s="431"/>
      <c r="AQ397" s="431"/>
      <c r="AR397" s="452"/>
      <c r="AS397" s="431"/>
      <c r="AT397" s="431"/>
      <c r="AU397" s="431"/>
      <c r="AV397" s="470" t="s">
        <v>11322</v>
      </c>
    </row>
    <row r="398" s="397" customFormat="1" ht="18" customHeight="1" spans="1:48">
      <c r="A398" s="450">
        <v>46195</v>
      </c>
      <c r="B398" s="452">
        <v>1000041625</v>
      </c>
      <c r="C398" s="429" t="s">
        <v>11194</v>
      </c>
      <c r="D398" s="452" t="s">
        <v>11416</v>
      </c>
      <c r="E398" s="452">
        <v>4185</v>
      </c>
      <c r="F398" s="453" t="s">
        <v>11417</v>
      </c>
      <c r="G398" s="452" t="s">
        <v>11147</v>
      </c>
      <c r="H398" s="453" t="s">
        <v>11148</v>
      </c>
      <c r="I398" s="431"/>
      <c r="J398" s="431"/>
      <c r="K398" s="431"/>
      <c r="L398" s="431"/>
      <c r="M398" s="431"/>
      <c r="N398" s="431"/>
      <c r="O398" s="431"/>
      <c r="P398" s="431"/>
      <c r="Q398" s="431"/>
      <c r="R398" s="431"/>
      <c r="S398" s="431"/>
      <c r="T398" s="431"/>
      <c r="U398" s="431"/>
      <c r="V398" s="431"/>
      <c r="W398" s="431"/>
      <c r="X398" s="431"/>
      <c r="Y398" s="431"/>
      <c r="Z398" s="452"/>
      <c r="AA398" s="431"/>
      <c r="AB398" s="431"/>
      <c r="AC398" s="452">
        <v>4185</v>
      </c>
      <c r="AD398" s="431"/>
      <c r="AE398" s="431"/>
      <c r="AF398" s="431"/>
      <c r="AG398" s="431"/>
      <c r="AH398" s="452"/>
      <c r="AI398" s="431"/>
      <c r="AJ398" s="452"/>
      <c r="AK398" s="431"/>
      <c r="AL398" s="431"/>
      <c r="AM398" s="431"/>
      <c r="AN398" s="431"/>
      <c r="AO398" s="431"/>
      <c r="AP398" s="431"/>
      <c r="AQ398" s="431"/>
      <c r="AR398" s="452"/>
      <c r="AS398" s="431"/>
      <c r="AT398" s="431"/>
      <c r="AU398" s="431"/>
      <c r="AV398" s="470" t="s">
        <v>11767</v>
      </c>
    </row>
    <row r="399" s="397" customFormat="1" ht="18" customHeight="1" spans="1:48">
      <c r="A399" s="450">
        <v>46197</v>
      </c>
      <c r="B399" s="452">
        <v>1000041699</v>
      </c>
      <c r="C399" s="429" t="s">
        <v>11194</v>
      </c>
      <c r="D399" s="452" t="s">
        <v>11416</v>
      </c>
      <c r="E399" s="452">
        <v>3615</v>
      </c>
      <c r="F399" s="453" t="s">
        <v>11417</v>
      </c>
      <c r="G399" s="452" t="s">
        <v>11147</v>
      </c>
      <c r="H399" s="468" t="s">
        <v>11148</v>
      </c>
      <c r="I399" s="431"/>
      <c r="J399" s="431"/>
      <c r="K399" s="431"/>
      <c r="L399" s="431"/>
      <c r="M399" s="431"/>
      <c r="N399" s="431"/>
      <c r="O399" s="431"/>
      <c r="P399" s="431"/>
      <c r="Q399" s="431"/>
      <c r="R399" s="431"/>
      <c r="S399" s="431"/>
      <c r="T399" s="431"/>
      <c r="U399" s="431"/>
      <c r="V399" s="431"/>
      <c r="W399" s="431"/>
      <c r="X399" s="431"/>
      <c r="Y399" s="431"/>
      <c r="Z399" s="452"/>
      <c r="AA399" s="431"/>
      <c r="AB399" s="431"/>
      <c r="AC399" s="452">
        <v>3615</v>
      </c>
      <c r="AD399" s="431"/>
      <c r="AE399" s="431"/>
      <c r="AF399" s="431"/>
      <c r="AG399" s="431"/>
      <c r="AH399" s="452"/>
      <c r="AI399" s="431"/>
      <c r="AJ399" s="452"/>
      <c r="AK399" s="431"/>
      <c r="AL399" s="431"/>
      <c r="AM399" s="431"/>
      <c r="AN399" s="431"/>
      <c r="AO399" s="431"/>
      <c r="AP399" s="431"/>
      <c r="AQ399" s="431"/>
      <c r="AR399" s="452"/>
      <c r="AS399" s="431"/>
      <c r="AT399" s="431"/>
      <c r="AU399" s="431"/>
      <c r="AV399" s="470" t="s">
        <v>11768</v>
      </c>
    </row>
    <row r="400" s="397" customFormat="1" ht="18" customHeight="1" spans="1:48">
      <c r="A400" s="450">
        <v>46199</v>
      </c>
      <c r="B400" s="452">
        <v>1000041762</v>
      </c>
      <c r="C400" s="471" t="s">
        <v>11190</v>
      </c>
      <c r="D400" s="452">
        <v>77731</v>
      </c>
      <c r="E400" s="452">
        <v>10000</v>
      </c>
      <c r="F400" s="453" t="s">
        <v>11769</v>
      </c>
      <c r="G400" s="452" t="s">
        <v>11271</v>
      </c>
      <c r="H400" s="468" t="s">
        <v>11271</v>
      </c>
      <c r="I400" s="431"/>
      <c r="J400" s="431"/>
      <c r="K400" s="431"/>
      <c r="L400" s="431"/>
      <c r="M400" s="431"/>
      <c r="N400" s="431"/>
      <c r="O400" s="431"/>
      <c r="P400" s="431"/>
      <c r="Q400" s="431"/>
      <c r="R400" s="431"/>
      <c r="S400" s="431"/>
      <c r="T400" s="431"/>
      <c r="U400" s="431"/>
      <c r="V400" s="431"/>
      <c r="W400" s="431"/>
      <c r="X400" s="431"/>
      <c r="Y400" s="431"/>
      <c r="Z400" s="452"/>
      <c r="AA400" s="431"/>
      <c r="AB400" s="431"/>
      <c r="AC400" s="452"/>
      <c r="AD400" s="431"/>
      <c r="AE400" s="431"/>
      <c r="AF400" s="431"/>
      <c r="AG400" s="431"/>
      <c r="AH400" s="452"/>
      <c r="AI400" s="431"/>
      <c r="AJ400" s="452"/>
      <c r="AK400" s="431"/>
      <c r="AL400" s="431"/>
      <c r="AM400" s="431"/>
      <c r="AN400" s="431"/>
      <c r="AO400" s="431"/>
      <c r="AP400" s="431"/>
      <c r="AQ400" s="431"/>
      <c r="AR400" s="452"/>
      <c r="AS400" s="452">
        <v>10000</v>
      </c>
      <c r="AT400" s="431"/>
      <c r="AU400" s="431"/>
      <c r="AV400" s="470" t="s">
        <v>11770</v>
      </c>
    </row>
    <row r="401" s="397" customFormat="1" ht="18" customHeight="1" spans="1:48">
      <c r="A401" s="450">
        <v>46199</v>
      </c>
      <c r="B401" s="452">
        <v>1000041763</v>
      </c>
      <c r="C401" s="471" t="s">
        <v>11190</v>
      </c>
      <c r="D401" s="452">
        <v>77731</v>
      </c>
      <c r="E401" s="452">
        <v>5000</v>
      </c>
      <c r="F401" s="453" t="s">
        <v>11407</v>
      </c>
      <c r="G401" s="452" t="s">
        <v>11153</v>
      </c>
      <c r="H401" s="468" t="s">
        <v>11271</v>
      </c>
      <c r="I401" s="431"/>
      <c r="J401" s="431"/>
      <c r="K401" s="431"/>
      <c r="L401" s="431"/>
      <c r="M401" s="431"/>
      <c r="N401" s="431"/>
      <c r="O401" s="431"/>
      <c r="P401" s="431"/>
      <c r="Q401" s="431"/>
      <c r="R401" s="431"/>
      <c r="S401" s="431"/>
      <c r="T401" s="431"/>
      <c r="U401" s="431"/>
      <c r="V401" s="431"/>
      <c r="W401" s="431"/>
      <c r="X401" s="431"/>
      <c r="Y401" s="431"/>
      <c r="Z401" s="452"/>
      <c r="AA401" s="431"/>
      <c r="AB401" s="431"/>
      <c r="AC401" s="452"/>
      <c r="AD401" s="431"/>
      <c r="AE401" s="431"/>
      <c r="AF401" s="431"/>
      <c r="AG401" s="431"/>
      <c r="AH401" s="452"/>
      <c r="AI401" s="431"/>
      <c r="AJ401" s="452"/>
      <c r="AK401" s="431"/>
      <c r="AL401" s="431"/>
      <c r="AM401" s="431"/>
      <c r="AN401" s="431"/>
      <c r="AO401" s="431"/>
      <c r="AP401" s="431"/>
      <c r="AQ401" s="431"/>
      <c r="AR401" s="452"/>
      <c r="AS401" s="431"/>
      <c r="AT401" s="452">
        <v>5000</v>
      </c>
      <c r="AU401" s="431"/>
      <c r="AV401" s="470" t="s">
        <v>11770</v>
      </c>
    </row>
    <row r="402" s="397" customFormat="1" ht="18" customHeight="1" spans="1:48">
      <c r="A402" s="450">
        <v>46199</v>
      </c>
      <c r="B402" s="452">
        <v>1000041764</v>
      </c>
      <c r="C402" s="471" t="s">
        <v>11190</v>
      </c>
      <c r="D402" s="452">
        <v>77731</v>
      </c>
      <c r="E402" s="452">
        <v>5000</v>
      </c>
      <c r="F402" s="453" t="s">
        <v>11409</v>
      </c>
      <c r="G402" s="452" t="s">
        <v>11271</v>
      </c>
      <c r="H402" s="468" t="s">
        <v>11271</v>
      </c>
      <c r="I402" s="431"/>
      <c r="J402" s="431"/>
      <c r="K402" s="431"/>
      <c r="L402" s="431"/>
      <c r="M402" s="431"/>
      <c r="N402" s="431"/>
      <c r="O402" s="431"/>
      <c r="P402" s="431"/>
      <c r="Q402" s="431"/>
      <c r="R402" s="431"/>
      <c r="S402" s="431"/>
      <c r="T402" s="431"/>
      <c r="U402" s="431"/>
      <c r="V402" s="431"/>
      <c r="W402" s="431"/>
      <c r="X402" s="431"/>
      <c r="Y402" s="431"/>
      <c r="Z402" s="452"/>
      <c r="AA402" s="431"/>
      <c r="AB402" s="431"/>
      <c r="AC402" s="452"/>
      <c r="AD402" s="431"/>
      <c r="AE402" s="431"/>
      <c r="AF402" s="431"/>
      <c r="AG402" s="431"/>
      <c r="AH402" s="452"/>
      <c r="AI402" s="431"/>
      <c r="AJ402" s="452"/>
      <c r="AK402" s="431"/>
      <c r="AL402" s="431"/>
      <c r="AM402" s="431"/>
      <c r="AN402" s="431"/>
      <c r="AO402" s="431"/>
      <c r="AP402" s="431"/>
      <c r="AQ402" s="431"/>
      <c r="AR402" s="452"/>
      <c r="AS402" s="431"/>
      <c r="AT402" s="431"/>
      <c r="AU402" s="452">
        <v>5000</v>
      </c>
      <c r="AV402" s="470" t="s">
        <v>11770</v>
      </c>
    </row>
    <row r="403" s="397" customFormat="1" ht="18" customHeight="1" spans="1:48">
      <c r="A403" s="450">
        <v>46199</v>
      </c>
      <c r="B403" s="452">
        <v>1000041814</v>
      </c>
      <c r="C403" s="471" t="s">
        <v>11262</v>
      </c>
      <c r="D403" s="452" t="s">
        <v>6166</v>
      </c>
      <c r="E403" s="452">
        <v>7000</v>
      </c>
      <c r="F403" s="453" t="s">
        <v>11427</v>
      </c>
      <c r="G403" s="452" t="s">
        <v>11147</v>
      </c>
      <c r="H403" s="468" t="s">
        <v>11148</v>
      </c>
      <c r="I403" s="431"/>
      <c r="J403" s="431"/>
      <c r="K403" s="431"/>
      <c r="L403" s="431"/>
      <c r="M403" s="431"/>
      <c r="N403" s="431"/>
      <c r="O403" s="431"/>
      <c r="P403" s="431"/>
      <c r="Q403" s="431"/>
      <c r="R403" s="431"/>
      <c r="S403" s="431"/>
      <c r="T403" s="431"/>
      <c r="U403" s="431"/>
      <c r="V403" s="431"/>
      <c r="W403" s="452">
        <v>7000</v>
      </c>
      <c r="X403" s="431"/>
      <c r="Y403" s="431"/>
      <c r="Z403" s="452"/>
      <c r="AA403" s="431"/>
      <c r="AB403" s="431"/>
      <c r="AC403" s="452"/>
      <c r="AD403" s="431"/>
      <c r="AE403" s="431"/>
      <c r="AF403" s="431"/>
      <c r="AG403" s="431"/>
      <c r="AH403" s="452"/>
      <c r="AI403" s="431"/>
      <c r="AJ403" s="452"/>
      <c r="AK403" s="431"/>
      <c r="AL403" s="431"/>
      <c r="AM403" s="431"/>
      <c r="AN403" s="431"/>
      <c r="AO403" s="431"/>
      <c r="AP403" s="431"/>
      <c r="AQ403" s="431"/>
      <c r="AR403" s="452"/>
      <c r="AS403" s="431"/>
      <c r="AT403" s="431"/>
      <c r="AU403" s="452"/>
      <c r="AV403" s="470" t="s">
        <v>11376</v>
      </c>
    </row>
    <row r="404" s="397" customFormat="1" ht="18" customHeight="1" spans="1:48">
      <c r="A404" s="450">
        <v>46199</v>
      </c>
      <c r="B404" s="452">
        <v>1000041815</v>
      </c>
      <c r="C404" s="471" t="s">
        <v>11262</v>
      </c>
      <c r="D404" s="452" t="s">
        <v>6166</v>
      </c>
      <c r="E404" s="452">
        <v>500</v>
      </c>
      <c r="F404" s="453" t="s">
        <v>11395</v>
      </c>
      <c r="G404" s="452" t="s">
        <v>11373</v>
      </c>
      <c r="H404" s="468" t="s">
        <v>11148</v>
      </c>
      <c r="I404" s="431"/>
      <c r="J404" s="431"/>
      <c r="K404" s="431"/>
      <c r="L404" s="431"/>
      <c r="M404" s="431"/>
      <c r="N404" s="431"/>
      <c r="O404" s="431"/>
      <c r="P404" s="431"/>
      <c r="Q404" s="431"/>
      <c r="R404" s="431"/>
      <c r="S404" s="431"/>
      <c r="T404" s="431"/>
      <c r="U404" s="431"/>
      <c r="V404" s="431"/>
      <c r="W404" s="431"/>
      <c r="X404" s="452">
        <v>500</v>
      </c>
      <c r="Y404" s="431"/>
      <c r="Z404" s="452"/>
      <c r="AA404" s="431"/>
      <c r="AB404" s="431"/>
      <c r="AC404" s="452"/>
      <c r="AD404" s="431"/>
      <c r="AE404" s="431"/>
      <c r="AF404" s="431"/>
      <c r="AG404" s="431"/>
      <c r="AH404" s="452"/>
      <c r="AI404" s="431"/>
      <c r="AJ404" s="452"/>
      <c r="AK404" s="431"/>
      <c r="AL404" s="431"/>
      <c r="AM404" s="431"/>
      <c r="AN404" s="431"/>
      <c r="AO404" s="431"/>
      <c r="AP404" s="431"/>
      <c r="AQ404" s="431"/>
      <c r="AR404" s="452"/>
      <c r="AS404" s="431"/>
      <c r="AT404" s="431"/>
      <c r="AU404" s="452"/>
      <c r="AV404" s="470" t="s">
        <v>11376</v>
      </c>
    </row>
    <row r="405" s="397" customFormat="1" ht="18" customHeight="1" spans="1:48">
      <c r="A405" s="450">
        <v>46203</v>
      </c>
      <c r="B405" s="452">
        <v>1000041961</v>
      </c>
      <c r="C405" s="471" t="s">
        <v>11194</v>
      </c>
      <c r="D405" s="452" t="s">
        <v>11416</v>
      </c>
      <c r="E405" s="452">
        <v>1305</v>
      </c>
      <c r="F405" s="453" t="s">
        <v>11417</v>
      </c>
      <c r="G405" s="452" t="s">
        <v>11147</v>
      </c>
      <c r="H405" s="468" t="s">
        <v>11148</v>
      </c>
      <c r="I405" s="431"/>
      <c r="J405" s="431"/>
      <c r="K405" s="431"/>
      <c r="L405" s="431"/>
      <c r="M405" s="431"/>
      <c r="N405" s="431"/>
      <c r="O405" s="431"/>
      <c r="P405" s="431"/>
      <c r="Q405" s="431"/>
      <c r="R405" s="431"/>
      <c r="S405" s="431"/>
      <c r="T405" s="431"/>
      <c r="U405" s="431"/>
      <c r="V405" s="431"/>
      <c r="W405" s="431"/>
      <c r="X405" s="452"/>
      <c r="Y405" s="431"/>
      <c r="Z405" s="452"/>
      <c r="AA405" s="431"/>
      <c r="AB405" s="431"/>
      <c r="AC405" s="452">
        <v>1305</v>
      </c>
      <c r="AD405" s="431"/>
      <c r="AE405" s="431"/>
      <c r="AF405" s="431"/>
      <c r="AG405" s="431"/>
      <c r="AH405" s="452"/>
      <c r="AI405" s="431"/>
      <c r="AJ405" s="452"/>
      <c r="AK405" s="431"/>
      <c r="AL405" s="431"/>
      <c r="AM405" s="431"/>
      <c r="AN405" s="431"/>
      <c r="AO405" s="431"/>
      <c r="AP405" s="431"/>
      <c r="AQ405" s="431"/>
      <c r="AR405" s="452"/>
      <c r="AS405" s="431"/>
      <c r="AT405" s="431"/>
      <c r="AU405" s="452"/>
      <c r="AV405" s="470" t="s">
        <v>11771</v>
      </c>
    </row>
    <row r="406" s="397" customFormat="1" ht="18" customHeight="1" spans="1:48">
      <c r="A406" s="450">
        <v>46206</v>
      </c>
      <c r="B406" s="452">
        <v>1000042205</v>
      </c>
      <c r="C406" s="471" t="s">
        <v>11262</v>
      </c>
      <c r="D406" s="452" t="s">
        <v>6093</v>
      </c>
      <c r="E406" s="452">
        <v>4500</v>
      </c>
      <c r="F406" s="453" t="s">
        <v>11402</v>
      </c>
      <c r="G406" s="452" t="s">
        <v>11153</v>
      </c>
      <c r="H406" s="468" t="s">
        <v>11148</v>
      </c>
      <c r="I406" s="431"/>
      <c r="J406" s="431"/>
      <c r="K406" s="431"/>
      <c r="L406" s="431"/>
      <c r="M406" s="431"/>
      <c r="N406" s="431"/>
      <c r="O406" s="431"/>
      <c r="P406" s="431"/>
      <c r="Q406" s="431"/>
      <c r="R406" s="431"/>
      <c r="S406" s="431"/>
      <c r="T406" s="431"/>
      <c r="U406" s="431"/>
      <c r="V406" s="431"/>
      <c r="W406" s="431"/>
      <c r="X406" s="452"/>
      <c r="Y406" s="452">
        <v>4500</v>
      </c>
      <c r="Z406" s="452"/>
      <c r="AA406" s="431"/>
      <c r="AB406" s="431"/>
      <c r="AC406" s="452"/>
      <c r="AD406" s="431"/>
      <c r="AE406" s="431"/>
      <c r="AF406" s="431"/>
      <c r="AG406" s="431"/>
      <c r="AH406" s="452"/>
      <c r="AI406" s="431"/>
      <c r="AJ406" s="452"/>
      <c r="AK406" s="431"/>
      <c r="AL406" s="431"/>
      <c r="AM406" s="431"/>
      <c r="AN406" s="431"/>
      <c r="AO406" s="431"/>
      <c r="AP406" s="431"/>
      <c r="AQ406" s="431"/>
      <c r="AR406" s="452"/>
      <c r="AS406" s="431"/>
      <c r="AT406" s="431"/>
      <c r="AU406" s="452"/>
      <c r="AV406" s="470" t="s">
        <v>11385</v>
      </c>
    </row>
    <row r="407" s="397" customFormat="1" ht="18" customHeight="1" spans="1:48">
      <c r="A407" s="450">
        <v>46206</v>
      </c>
      <c r="B407" s="452">
        <v>1000042206</v>
      </c>
      <c r="C407" s="471" t="s">
        <v>11262</v>
      </c>
      <c r="D407" s="452" t="s">
        <v>6084</v>
      </c>
      <c r="E407" s="452">
        <v>320000</v>
      </c>
      <c r="F407" s="453" t="s">
        <v>11730</v>
      </c>
      <c r="G407" s="452" t="s">
        <v>11373</v>
      </c>
      <c r="H407" s="468" t="s">
        <v>11276</v>
      </c>
      <c r="I407" s="431"/>
      <c r="J407" s="431"/>
      <c r="K407" s="431"/>
      <c r="L407" s="431"/>
      <c r="M407" s="431"/>
      <c r="N407" s="452">
        <v>320000</v>
      </c>
      <c r="O407" s="431"/>
      <c r="P407" s="431"/>
      <c r="Q407" s="431"/>
      <c r="R407" s="431"/>
      <c r="S407" s="431"/>
      <c r="T407" s="431"/>
      <c r="U407" s="431"/>
      <c r="V407" s="431"/>
      <c r="W407" s="431"/>
      <c r="X407" s="452"/>
      <c r="Y407" s="431"/>
      <c r="Z407" s="452"/>
      <c r="AA407" s="431"/>
      <c r="AB407" s="431"/>
      <c r="AC407" s="452"/>
      <c r="AD407" s="431"/>
      <c r="AE407" s="431"/>
      <c r="AF407" s="431"/>
      <c r="AG407" s="431"/>
      <c r="AH407" s="452"/>
      <c r="AI407" s="431"/>
      <c r="AJ407" s="452"/>
      <c r="AK407" s="431"/>
      <c r="AL407" s="431"/>
      <c r="AM407" s="431"/>
      <c r="AN407" s="431"/>
      <c r="AO407" s="431"/>
      <c r="AP407" s="431"/>
      <c r="AQ407" s="431"/>
      <c r="AR407" s="452"/>
      <c r="AS407" s="431"/>
      <c r="AT407" s="431"/>
      <c r="AU407" s="452"/>
      <c r="AV407" s="470" t="s">
        <v>11731</v>
      </c>
    </row>
    <row r="408" s="397" customFormat="1" ht="18" customHeight="1" spans="1:48">
      <c r="A408" s="450">
        <v>46206</v>
      </c>
      <c r="B408" s="452">
        <v>1000042208</v>
      </c>
      <c r="C408" s="471" t="s">
        <v>11262</v>
      </c>
      <c r="D408" s="452" t="s">
        <v>6047</v>
      </c>
      <c r="E408" s="452">
        <v>500</v>
      </c>
      <c r="F408" s="453" t="s">
        <v>11387</v>
      </c>
      <c r="G408" s="452" t="s">
        <v>11153</v>
      </c>
      <c r="H408" s="468" t="s">
        <v>11148</v>
      </c>
      <c r="I408" s="431"/>
      <c r="J408" s="431"/>
      <c r="K408" s="431"/>
      <c r="L408" s="431"/>
      <c r="M408" s="431"/>
      <c r="N408" s="431"/>
      <c r="O408" s="431"/>
      <c r="P408" s="431"/>
      <c r="Q408" s="431"/>
      <c r="R408" s="431"/>
      <c r="S408" s="431"/>
      <c r="T408" s="431"/>
      <c r="U408" s="431"/>
      <c r="V408" s="431"/>
      <c r="W408" s="431"/>
      <c r="X408" s="452"/>
      <c r="Y408" s="431"/>
      <c r="Z408" s="452"/>
      <c r="AA408" s="431"/>
      <c r="AB408" s="452">
        <v>500</v>
      </c>
      <c r="AC408" s="452"/>
      <c r="AD408" s="431"/>
      <c r="AE408" s="431"/>
      <c r="AF408" s="431"/>
      <c r="AG408" s="431"/>
      <c r="AH408" s="452"/>
      <c r="AI408" s="431"/>
      <c r="AJ408" s="452"/>
      <c r="AK408" s="431"/>
      <c r="AL408" s="431"/>
      <c r="AM408" s="431"/>
      <c r="AN408" s="431"/>
      <c r="AO408" s="431"/>
      <c r="AP408" s="431"/>
      <c r="AQ408" s="431"/>
      <c r="AR408" s="452"/>
      <c r="AS408" s="431"/>
      <c r="AT408" s="431"/>
      <c r="AU408" s="452"/>
      <c r="AV408" s="470" t="s">
        <v>11385</v>
      </c>
    </row>
    <row r="409" s="397" customFormat="1" ht="18" customHeight="1" spans="1:48">
      <c r="A409" s="450">
        <v>46206</v>
      </c>
      <c r="B409" s="452">
        <v>1000042209</v>
      </c>
      <c r="C409" s="471" t="s">
        <v>11194</v>
      </c>
      <c r="D409" s="452" t="s">
        <v>11416</v>
      </c>
      <c r="E409" s="452">
        <v>1905</v>
      </c>
      <c r="F409" s="453" t="s">
        <v>11417</v>
      </c>
      <c r="G409" s="452" t="s">
        <v>11147</v>
      </c>
      <c r="H409" s="468" t="s">
        <v>11148</v>
      </c>
      <c r="I409" s="431"/>
      <c r="J409" s="431"/>
      <c r="K409" s="431"/>
      <c r="L409" s="431"/>
      <c r="M409" s="431"/>
      <c r="N409" s="431"/>
      <c r="O409" s="431"/>
      <c r="P409" s="431"/>
      <c r="Q409" s="431"/>
      <c r="R409" s="431"/>
      <c r="S409" s="431"/>
      <c r="T409" s="431"/>
      <c r="U409" s="431"/>
      <c r="V409" s="431"/>
      <c r="W409" s="431"/>
      <c r="X409" s="452"/>
      <c r="Y409" s="431"/>
      <c r="Z409" s="452"/>
      <c r="AA409" s="431"/>
      <c r="AB409" s="431"/>
      <c r="AC409" s="452">
        <v>1905</v>
      </c>
      <c r="AD409" s="431"/>
      <c r="AE409" s="431"/>
      <c r="AF409" s="431"/>
      <c r="AG409" s="431"/>
      <c r="AH409" s="452"/>
      <c r="AI409" s="431"/>
      <c r="AJ409" s="452"/>
      <c r="AK409" s="431"/>
      <c r="AL409" s="431"/>
      <c r="AM409" s="431"/>
      <c r="AN409" s="431"/>
      <c r="AO409" s="431"/>
      <c r="AP409" s="431"/>
      <c r="AQ409" s="431"/>
      <c r="AR409" s="452"/>
      <c r="AS409" s="431"/>
      <c r="AT409" s="431"/>
      <c r="AU409" s="452"/>
      <c r="AV409" s="470" t="s">
        <v>11772</v>
      </c>
    </row>
    <row r="410" s="397" customFormat="1" ht="18" customHeight="1" spans="1:48">
      <c r="A410" s="450">
        <v>46209</v>
      </c>
      <c r="B410" s="452">
        <v>1000042243</v>
      </c>
      <c r="C410" s="471" t="s">
        <v>11194</v>
      </c>
      <c r="D410" s="452" t="s">
        <v>11416</v>
      </c>
      <c r="E410" s="452">
        <v>3285</v>
      </c>
      <c r="F410" s="453" t="s">
        <v>11417</v>
      </c>
      <c r="G410" s="452" t="s">
        <v>11147</v>
      </c>
      <c r="H410" s="468" t="s">
        <v>11148</v>
      </c>
      <c r="I410" s="431"/>
      <c r="J410" s="431"/>
      <c r="K410" s="431"/>
      <c r="L410" s="431"/>
      <c r="M410" s="431"/>
      <c r="N410" s="431"/>
      <c r="O410" s="431"/>
      <c r="P410" s="431"/>
      <c r="Q410" s="431"/>
      <c r="R410" s="431"/>
      <c r="S410" s="431"/>
      <c r="T410" s="431"/>
      <c r="U410" s="431"/>
      <c r="V410" s="431"/>
      <c r="W410" s="431"/>
      <c r="X410" s="452"/>
      <c r="Y410" s="431"/>
      <c r="Z410" s="452"/>
      <c r="AA410" s="431"/>
      <c r="AB410" s="431"/>
      <c r="AC410" s="452">
        <v>3285</v>
      </c>
      <c r="AD410" s="431"/>
      <c r="AE410" s="431"/>
      <c r="AF410" s="431"/>
      <c r="AG410" s="431"/>
      <c r="AH410" s="452"/>
      <c r="AI410" s="431"/>
      <c r="AJ410" s="452"/>
      <c r="AK410" s="431"/>
      <c r="AL410" s="431"/>
      <c r="AM410" s="431"/>
      <c r="AN410" s="431"/>
      <c r="AO410" s="431"/>
      <c r="AP410" s="431"/>
      <c r="AQ410" s="431"/>
      <c r="AR410" s="452"/>
      <c r="AS410" s="431"/>
      <c r="AT410" s="431"/>
      <c r="AU410" s="452"/>
      <c r="AV410" s="470" t="s">
        <v>11773</v>
      </c>
    </row>
    <row r="411" s="397" customFormat="1" ht="18" customHeight="1" spans="1:48">
      <c r="A411" s="450">
        <v>46210</v>
      </c>
      <c r="B411" s="452">
        <v>1000042301</v>
      </c>
      <c r="C411" s="471" t="s">
        <v>11262</v>
      </c>
      <c r="D411" s="452" t="s">
        <v>11493</v>
      </c>
      <c r="E411" s="452">
        <v>151</v>
      </c>
      <c r="F411" s="453" t="s">
        <v>11494</v>
      </c>
      <c r="G411" s="452" t="s">
        <v>11373</v>
      </c>
      <c r="H411" s="468" t="s">
        <v>11148</v>
      </c>
      <c r="I411" s="431"/>
      <c r="J411" s="431"/>
      <c r="K411" s="431"/>
      <c r="L411" s="431"/>
      <c r="M411" s="431"/>
      <c r="N411" s="431"/>
      <c r="O411" s="431"/>
      <c r="P411" s="431"/>
      <c r="Q411" s="431"/>
      <c r="R411" s="431"/>
      <c r="S411" s="431"/>
      <c r="T411" s="431"/>
      <c r="U411" s="431"/>
      <c r="V411" s="431"/>
      <c r="W411" s="431"/>
      <c r="X411" s="452"/>
      <c r="Y411" s="431"/>
      <c r="Z411" s="452"/>
      <c r="AA411" s="431"/>
      <c r="AB411" s="431"/>
      <c r="AC411" s="452"/>
      <c r="AD411" s="431"/>
      <c r="AE411" s="431"/>
      <c r="AF411" s="431"/>
      <c r="AG411" s="431"/>
      <c r="AH411" s="452"/>
      <c r="AI411" s="431"/>
      <c r="AJ411" s="452"/>
      <c r="AK411" s="431"/>
      <c r="AL411" s="431"/>
      <c r="AM411" s="431"/>
      <c r="AN411" s="431"/>
      <c r="AO411" s="431"/>
      <c r="AP411" s="452">
        <v>151</v>
      </c>
      <c r="AQ411" s="431"/>
      <c r="AR411" s="452"/>
      <c r="AS411" s="431"/>
      <c r="AT411" s="431"/>
      <c r="AU411" s="452"/>
      <c r="AV411" s="470" t="s">
        <v>11376</v>
      </c>
    </row>
    <row r="412" s="397" customFormat="1" ht="18" customHeight="1" spans="1:48">
      <c r="A412" s="450">
        <v>46212</v>
      </c>
      <c r="B412" s="452">
        <v>1000042355</v>
      </c>
      <c r="C412" s="471" t="s">
        <v>11194</v>
      </c>
      <c r="D412" s="452">
        <v>77711</v>
      </c>
      <c r="E412" s="452">
        <v>40000</v>
      </c>
      <c r="F412" s="453" t="s">
        <v>11172</v>
      </c>
      <c r="G412" s="452" t="s">
        <v>11373</v>
      </c>
      <c r="H412" s="468" t="s">
        <v>73</v>
      </c>
      <c r="I412" s="431"/>
      <c r="J412" s="431"/>
      <c r="K412" s="452">
        <v>40000</v>
      </c>
      <c r="L412" s="431"/>
      <c r="M412" s="431"/>
      <c r="N412" s="431"/>
      <c r="O412" s="431"/>
      <c r="P412" s="431"/>
      <c r="Q412" s="431"/>
      <c r="R412" s="431"/>
      <c r="S412" s="431"/>
      <c r="T412" s="431"/>
      <c r="U412" s="431"/>
      <c r="V412" s="431"/>
      <c r="W412" s="431"/>
      <c r="X412" s="452"/>
      <c r="Y412" s="431"/>
      <c r="Z412" s="452"/>
      <c r="AA412" s="431"/>
      <c r="AB412" s="431"/>
      <c r="AC412" s="452"/>
      <c r="AD412" s="431"/>
      <c r="AE412" s="431"/>
      <c r="AF412" s="431"/>
      <c r="AG412" s="431"/>
      <c r="AH412" s="452"/>
      <c r="AI412" s="431"/>
      <c r="AJ412" s="452"/>
      <c r="AK412" s="431"/>
      <c r="AL412" s="431"/>
      <c r="AM412" s="431"/>
      <c r="AN412" s="431"/>
      <c r="AO412" s="431"/>
      <c r="AP412" s="431"/>
      <c r="AQ412" s="431"/>
      <c r="AR412" s="452"/>
      <c r="AS412" s="431"/>
      <c r="AT412" s="431"/>
      <c r="AU412" s="452"/>
      <c r="AV412" s="470" t="s">
        <v>11322</v>
      </c>
    </row>
    <row r="413" s="397" customFormat="1" ht="18" customHeight="1" spans="1:48">
      <c r="A413" s="450">
        <v>46216</v>
      </c>
      <c r="B413" s="452">
        <v>1000042561</v>
      </c>
      <c r="C413" s="471" t="s">
        <v>11194</v>
      </c>
      <c r="D413" s="452" t="s">
        <v>11416</v>
      </c>
      <c r="E413" s="452">
        <v>840</v>
      </c>
      <c r="F413" s="453" t="s">
        <v>11417</v>
      </c>
      <c r="G413" s="452" t="s">
        <v>11147</v>
      </c>
      <c r="H413" s="468" t="s">
        <v>11148</v>
      </c>
      <c r="I413" s="431"/>
      <c r="J413" s="431"/>
      <c r="K413" s="452"/>
      <c r="L413" s="431"/>
      <c r="M413" s="431"/>
      <c r="N413" s="431"/>
      <c r="O413" s="431"/>
      <c r="P413" s="431"/>
      <c r="Q413" s="431"/>
      <c r="R413" s="431"/>
      <c r="S413" s="431"/>
      <c r="T413" s="431"/>
      <c r="U413" s="431"/>
      <c r="V413" s="431"/>
      <c r="W413" s="431"/>
      <c r="X413" s="452"/>
      <c r="Y413" s="431"/>
      <c r="Z413" s="452"/>
      <c r="AA413" s="431"/>
      <c r="AB413" s="431"/>
      <c r="AC413" s="452">
        <v>840</v>
      </c>
      <c r="AD413" s="431"/>
      <c r="AE413" s="431"/>
      <c r="AF413" s="431"/>
      <c r="AG413" s="431"/>
      <c r="AH413" s="452"/>
      <c r="AI413" s="431"/>
      <c r="AJ413" s="452"/>
      <c r="AK413" s="431"/>
      <c r="AL413" s="431"/>
      <c r="AM413" s="431"/>
      <c r="AN413" s="431"/>
      <c r="AO413" s="431"/>
      <c r="AP413" s="431"/>
      <c r="AQ413" s="431"/>
      <c r="AR413" s="452"/>
      <c r="AS413" s="431"/>
      <c r="AT413" s="431"/>
      <c r="AU413" s="452"/>
      <c r="AV413" s="470" t="s">
        <v>11774</v>
      </c>
    </row>
    <row r="414" s="397" customFormat="1" ht="18" customHeight="1" spans="1:48">
      <c r="A414" s="450">
        <v>46217</v>
      </c>
      <c r="B414" s="452">
        <v>1000042627</v>
      </c>
      <c r="C414" s="471" t="s">
        <v>11194</v>
      </c>
      <c r="D414" s="452" t="s">
        <v>11416</v>
      </c>
      <c r="E414" s="431">
        <v>3300</v>
      </c>
      <c r="F414" s="453" t="s">
        <v>11417</v>
      </c>
      <c r="G414" s="452" t="s">
        <v>11147</v>
      </c>
      <c r="H414" s="468" t="s">
        <v>11148</v>
      </c>
      <c r="I414" s="431"/>
      <c r="J414" s="431"/>
      <c r="K414" s="452"/>
      <c r="L414" s="431"/>
      <c r="M414" s="431"/>
      <c r="N414" s="431"/>
      <c r="O414" s="431"/>
      <c r="P414" s="431"/>
      <c r="Q414" s="431"/>
      <c r="R414" s="431"/>
      <c r="S414" s="431"/>
      <c r="T414" s="431"/>
      <c r="U414" s="431"/>
      <c r="V414" s="431"/>
      <c r="W414" s="431"/>
      <c r="X414" s="452"/>
      <c r="Y414" s="431"/>
      <c r="Z414" s="452"/>
      <c r="AA414" s="431"/>
      <c r="AB414" s="431"/>
      <c r="AC414" s="431">
        <v>3300</v>
      </c>
      <c r="AD414" s="431"/>
      <c r="AE414" s="431"/>
      <c r="AF414" s="431"/>
      <c r="AG414" s="431"/>
      <c r="AH414" s="452"/>
      <c r="AI414" s="431"/>
      <c r="AJ414" s="452"/>
      <c r="AK414" s="431"/>
      <c r="AL414" s="431"/>
      <c r="AM414" s="431"/>
      <c r="AN414" s="431"/>
      <c r="AO414" s="431"/>
      <c r="AP414" s="431"/>
      <c r="AQ414" s="431"/>
      <c r="AR414" s="452"/>
      <c r="AS414" s="431"/>
      <c r="AT414" s="431"/>
      <c r="AU414" s="452"/>
      <c r="AV414" s="472" t="s">
        <v>11775</v>
      </c>
    </row>
    <row r="415" s="397" customFormat="1" ht="18" customHeight="1" spans="1:48">
      <c r="A415" s="450">
        <v>46219</v>
      </c>
      <c r="B415" s="452">
        <v>1000042730</v>
      </c>
      <c r="C415" s="429" t="s">
        <v>11262</v>
      </c>
      <c r="D415" s="452" t="s">
        <v>6084</v>
      </c>
      <c r="E415" s="431">
        <v>300000</v>
      </c>
      <c r="F415" s="453" t="s">
        <v>11323</v>
      </c>
      <c r="G415" s="452" t="s">
        <v>11147</v>
      </c>
      <c r="H415" s="468" t="s">
        <v>11148</v>
      </c>
      <c r="I415" s="431">
        <v>300000</v>
      </c>
      <c r="J415" s="431"/>
      <c r="K415" s="452"/>
      <c r="L415" s="431"/>
      <c r="M415" s="431"/>
      <c r="N415" s="431"/>
      <c r="O415" s="431"/>
      <c r="P415" s="431"/>
      <c r="Q415" s="431"/>
      <c r="R415" s="431"/>
      <c r="S415" s="431"/>
      <c r="T415" s="431"/>
      <c r="U415" s="431"/>
      <c r="V415" s="431"/>
      <c r="W415" s="431"/>
      <c r="X415" s="452"/>
      <c r="Y415" s="431"/>
      <c r="Z415" s="452"/>
      <c r="AA415" s="431"/>
      <c r="AB415" s="431"/>
      <c r="AC415" s="431"/>
      <c r="AD415" s="431"/>
      <c r="AE415" s="431"/>
      <c r="AF415" s="431"/>
      <c r="AG415" s="431"/>
      <c r="AH415" s="452"/>
      <c r="AI415" s="431"/>
      <c r="AJ415" s="452"/>
      <c r="AK415" s="431"/>
      <c r="AL415" s="431"/>
      <c r="AM415" s="431"/>
      <c r="AN415" s="431"/>
      <c r="AO415" s="431"/>
      <c r="AP415" s="431"/>
      <c r="AQ415" s="431"/>
      <c r="AR415" s="452"/>
      <c r="AS415" s="431"/>
      <c r="AT415" s="431"/>
      <c r="AU415" s="452"/>
      <c r="AV415" s="472" t="s">
        <v>11370</v>
      </c>
    </row>
    <row r="416" s="397" customFormat="1" ht="18" customHeight="1" spans="1:48">
      <c r="A416" s="450">
        <v>46219</v>
      </c>
      <c r="B416" s="452">
        <v>1000042733</v>
      </c>
      <c r="C416" s="429" t="s">
        <v>11262</v>
      </c>
      <c r="D416" s="452" t="s">
        <v>6084</v>
      </c>
      <c r="E416" s="431">
        <v>40000</v>
      </c>
      <c r="F416" s="453" t="s">
        <v>11730</v>
      </c>
      <c r="G416" s="452" t="s">
        <v>11373</v>
      </c>
      <c r="H416" s="468" t="s">
        <v>11276</v>
      </c>
      <c r="I416" s="431"/>
      <c r="J416" s="431"/>
      <c r="K416" s="452"/>
      <c r="L416" s="431"/>
      <c r="M416" s="431"/>
      <c r="N416" s="431">
        <v>40000</v>
      </c>
      <c r="O416" s="431"/>
      <c r="P416" s="431"/>
      <c r="Q416" s="431"/>
      <c r="R416" s="431"/>
      <c r="S416" s="431"/>
      <c r="T416" s="431"/>
      <c r="U416" s="431"/>
      <c r="V416" s="431"/>
      <c r="W416" s="431"/>
      <c r="X416" s="452"/>
      <c r="Y416" s="431"/>
      <c r="Z416" s="452"/>
      <c r="AA416" s="431"/>
      <c r="AB416" s="431"/>
      <c r="AC416" s="431"/>
      <c r="AD416" s="431"/>
      <c r="AE416" s="431"/>
      <c r="AF416" s="431"/>
      <c r="AG416" s="431"/>
      <c r="AH416" s="452"/>
      <c r="AI416" s="431"/>
      <c r="AJ416" s="452"/>
      <c r="AK416" s="431"/>
      <c r="AL416" s="431"/>
      <c r="AM416" s="431"/>
      <c r="AN416" s="431"/>
      <c r="AO416" s="431"/>
      <c r="AP416" s="431"/>
      <c r="AQ416" s="431"/>
      <c r="AR416" s="452"/>
      <c r="AS416" s="431"/>
      <c r="AT416" s="431"/>
      <c r="AU416" s="452"/>
      <c r="AV416" s="472" t="s">
        <v>11731</v>
      </c>
    </row>
    <row r="417" s="397" customFormat="1" ht="18" customHeight="1" spans="1:49">
      <c r="A417" s="450">
        <v>46219</v>
      </c>
      <c r="B417" s="452">
        <v>1000042734</v>
      </c>
      <c r="C417" s="429" t="s">
        <v>11262</v>
      </c>
      <c r="D417" s="452" t="s">
        <v>11378</v>
      </c>
      <c r="E417" s="431">
        <v>500</v>
      </c>
      <c r="F417" s="453" t="s">
        <v>11379</v>
      </c>
      <c r="G417" s="452" t="s">
        <v>11147</v>
      </c>
      <c r="H417" s="468" t="s">
        <v>11148</v>
      </c>
      <c r="I417" s="431"/>
      <c r="J417" s="431"/>
      <c r="K417" s="452"/>
      <c r="L417" s="431"/>
      <c r="M417" s="431"/>
      <c r="N417" s="431"/>
      <c r="O417" s="431"/>
      <c r="P417" s="431"/>
      <c r="Q417" s="431"/>
      <c r="R417" s="431"/>
      <c r="S417" s="431"/>
      <c r="T417" s="431"/>
      <c r="U417" s="431"/>
      <c r="V417" s="431"/>
      <c r="W417" s="431"/>
      <c r="X417" s="452"/>
      <c r="Y417" s="431"/>
      <c r="Z417" s="431">
        <v>500</v>
      </c>
      <c r="AA417" s="431"/>
      <c r="AB417" s="431"/>
      <c r="AC417" s="431"/>
      <c r="AD417" s="431"/>
      <c r="AE417" s="431"/>
      <c r="AF417" s="431"/>
      <c r="AG417" s="431"/>
      <c r="AH417" s="452"/>
      <c r="AI417" s="431"/>
      <c r="AJ417" s="452"/>
      <c r="AK417" s="431"/>
      <c r="AL417" s="431"/>
      <c r="AM417" s="431"/>
      <c r="AN417" s="431"/>
      <c r="AO417" s="431"/>
      <c r="AP417" s="431"/>
      <c r="AQ417" s="431"/>
      <c r="AR417" s="452"/>
      <c r="AS417" s="431"/>
      <c r="AT417" s="431"/>
      <c r="AU417" s="452"/>
      <c r="AV417" s="472" t="s">
        <v>11376</v>
      </c>
    </row>
    <row r="418" s="397" customFormat="1" ht="18" customHeight="1" spans="1:49">
      <c r="A418" s="450">
        <v>46219</v>
      </c>
      <c r="B418" s="452">
        <v>1000042735</v>
      </c>
      <c r="C418" s="429" t="s">
        <v>11262</v>
      </c>
      <c r="D418" s="452" t="s">
        <v>6166</v>
      </c>
      <c r="E418" s="431">
        <v>4200</v>
      </c>
      <c r="F418" s="453" t="s">
        <v>11427</v>
      </c>
      <c r="G418" s="452" t="s">
        <v>11147</v>
      </c>
      <c r="H418" s="468" t="s">
        <v>11148</v>
      </c>
      <c r="I418" s="431"/>
      <c r="J418" s="431"/>
      <c r="K418" s="452"/>
      <c r="L418" s="431"/>
      <c r="M418" s="431"/>
      <c r="N418" s="431"/>
      <c r="O418" s="431"/>
      <c r="P418" s="431"/>
      <c r="Q418" s="431"/>
      <c r="R418" s="431"/>
      <c r="S418" s="431"/>
      <c r="T418" s="431"/>
      <c r="U418" s="431"/>
      <c r="V418" s="431"/>
      <c r="W418" s="431">
        <v>4200</v>
      </c>
      <c r="X418" s="452"/>
      <c r="Y418" s="431"/>
      <c r="Z418" s="452"/>
      <c r="AA418" s="431"/>
      <c r="AB418" s="431"/>
      <c r="AC418" s="431"/>
      <c r="AD418" s="431"/>
      <c r="AE418" s="431"/>
      <c r="AF418" s="431"/>
      <c r="AG418" s="431"/>
      <c r="AH418" s="452"/>
      <c r="AI418" s="431"/>
      <c r="AJ418" s="452"/>
      <c r="AK418" s="431"/>
      <c r="AL418" s="431"/>
      <c r="AM418" s="431"/>
      <c r="AN418" s="431"/>
      <c r="AO418" s="431"/>
      <c r="AP418" s="431"/>
      <c r="AQ418" s="431"/>
      <c r="AR418" s="452"/>
      <c r="AS418" s="431"/>
      <c r="AT418" s="431"/>
      <c r="AU418" s="452"/>
      <c r="AV418" s="472" t="s">
        <v>11376</v>
      </c>
    </row>
    <row r="419" s="397" customFormat="1" ht="18" customHeight="1" spans="1:49">
      <c r="A419" s="450">
        <v>46219</v>
      </c>
      <c r="B419" s="452">
        <v>1000042736</v>
      </c>
      <c r="C419" s="429" t="s">
        <v>11262</v>
      </c>
      <c r="D419" s="452" t="s">
        <v>6047</v>
      </c>
      <c r="E419" s="431">
        <v>60000</v>
      </c>
      <c r="F419" s="453" t="s">
        <v>11736</v>
      </c>
      <c r="G419" s="452" t="s">
        <v>11157</v>
      </c>
      <c r="H419" s="468" t="s">
        <v>11276</v>
      </c>
      <c r="I419" s="431"/>
      <c r="J419" s="431"/>
      <c r="K419" s="452"/>
      <c r="L419" s="431"/>
      <c r="M419" s="431"/>
      <c r="N419" s="431"/>
      <c r="O419" s="431">
        <v>60000</v>
      </c>
      <c r="P419" s="431"/>
      <c r="Q419" s="431"/>
      <c r="R419" s="431"/>
      <c r="S419" s="431"/>
      <c r="T419" s="431"/>
      <c r="U419" s="431"/>
      <c r="V419" s="431"/>
      <c r="W419" s="431"/>
      <c r="X419" s="452"/>
      <c r="Y419" s="431"/>
      <c r="Z419" s="452"/>
      <c r="AA419" s="431"/>
      <c r="AB419" s="431"/>
      <c r="AC419" s="431"/>
      <c r="AD419" s="431"/>
      <c r="AE419" s="431"/>
      <c r="AF419" s="431"/>
      <c r="AG419" s="431"/>
      <c r="AH419" s="452"/>
      <c r="AI419" s="431"/>
      <c r="AJ419" s="452"/>
      <c r="AK419" s="431"/>
      <c r="AL419" s="431"/>
      <c r="AM419" s="431"/>
      <c r="AN419" s="431"/>
      <c r="AO419" s="431"/>
      <c r="AP419" s="431"/>
      <c r="AQ419" s="431"/>
      <c r="AR419" s="452"/>
      <c r="AS419" s="431"/>
      <c r="AT419" s="431"/>
      <c r="AU419" s="452"/>
      <c r="AV419" s="472" t="s">
        <v>11737</v>
      </c>
    </row>
    <row r="420" s="397" customFormat="1" ht="18" customHeight="1" spans="1:49">
      <c r="A420" s="450">
        <v>46219</v>
      </c>
      <c r="B420" s="452">
        <v>1000042737</v>
      </c>
      <c r="C420" s="429" t="s">
        <v>11262</v>
      </c>
      <c r="D420" s="452" t="s">
        <v>6047</v>
      </c>
      <c r="E420" s="431">
        <v>790</v>
      </c>
      <c r="F420" s="453" t="s">
        <v>11387</v>
      </c>
      <c r="G420" s="452" t="s">
        <v>11153</v>
      </c>
      <c r="H420" s="468" t="s">
        <v>11148</v>
      </c>
      <c r="I420" s="431"/>
      <c r="J420" s="431"/>
      <c r="K420" s="452"/>
      <c r="L420" s="431"/>
      <c r="M420" s="431"/>
      <c r="N420" s="431"/>
      <c r="O420" s="431"/>
      <c r="P420" s="431"/>
      <c r="Q420" s="431"/>
      <c r="R420" s="431"/>
      <c r="S420" s="431"/>
      <c r="T420" s="431"/>
      <c r="U420" s="431"/>
      <c r="V420" s="431"/>
      <c r="W420" s="431"/>
      <c r="X420" s="452"/>
      <c r="Y420" s="431"/>
      <c r="Z420" s="452"/>
      <c r="AA420" s="431"/>
      <c r="AB420" s="431">
        <v>790</v>
      </c>
      <c r="AC420" s="431"/>
      <c r="AD420" s="431"/>
      <c r="AE420" s="431"/>
      <c r="AF420" s="431"/>
      <c r="AG420" s="431"/>
      <c r="AH420" s="452"/>
      <c r="AI420" s="431"/>
      <c r="AJ420" s="452"/>
      <c r="AK420" s="431"/>
      <c r="AL420" s="431"/>
      <c r="AM420" s="431"/>
      <c r="AN420" s="431"/>
      <c r="AO420" s="431"/>
      <c r="AP420" s="431"/>
      <c r="AQ420" s="431"/>
      <c r="AR420" s="452"/>
      <c r="AS420" s="431"/>
      <c r="AT420" s="431"/>
      <c r="AU420" s="452"/>
      <c r="AV420" s="472" t="s">
        <v>11385</v>
      </c>
    </row>
    <row r="421" s="397" customFormat="1" ht="18" customHeight="1" spans="1:49">
      <c r="A421" s="450">
        <v>46219</v>
      </c>
      <c r="B421" s="452">
        <v>1000042738</v>
      </c>
      <c r="C421" s="429" t="s">
        <v>11262</v>
      </c>
      <c r="D421" s="452" t="s">
        <v>6093</v>
      </c>
      <c r="E421" s="431">
        <v>1000</v>
      </c>
      <c r="F421" s="453" t="s">
        <v>11402</v>
      </c>
      <c r="G421" s="452" t="s">
        <v>11153</v>
      </c>
      <c r="H421" s="468" t="s">
        <v>11148</v>
      </c>
      <c r="I421" s="431"/>
      <c r="J421" s="431"/>
      <c r="K421" s="452"/>
      <c r="L421" s="431"/>
      <c r="M421" s="431"/>
      <c r="N421" s="431"/>
      <c r="O421" s="431"/>
      <c r="P421" s="431"/>
      <c r="Q421" s="431"/>
      <c r="R421" s="431"/>
      <c r="S421" s="431"/>
      <c r="T421" s="431"/>
      <c r="U421" s="431"/>
      <c r="V421" s="431"/>
      <c r="W421" s="431"/>
      <c r="X421" s="452"/>
      <c r="Y421" s="431">
        <v>1000</v>
      </c>
      <c r="Z421" s="452"/>
      <c r="AA421" s="431"/>
      <c r="AB421" s="431"/>
      <c r="AC421" s="431"/>
      <c r="AD421" s="431"/>
      <c r="AE421" s="431"/>
      <c r="AF421" s="431"/>
      <c r="AG421" s="431"/>
      <c r="AH421" s="452"/>
      <c r="AI421" s="431"/>
      <c r="AJ421" s="452"/>
      <c r="AK421" s="431"/>
      <c r="AL421" s="431"/>
      <c r="AM421" s="431"/>
      <c r="AN421" s="431"/>
      <c r="AO421" s="431"/>
      <c r="AP421" s="431"/>
      <c r="AQ421" s="431"/>
      <c r="AR421" s="452"/>
      <c r="AS421" s="431"/>
      <c r="AT421" s="431"/>
      <c r="AU421" s="452"/>
      <c r="AV421" s="472" t="s">
        <v>11385</v>
      </c>
    </row>
    <row r="422" s="397" customFormat="1" ht="18" customHeight="1" spans="1:49">
      <c r="A422" s="450">
        <v>46223</v>
      </c>
      <c r="B422" s="452">
        <v>1000042890</v>
      </c>
      <c r="C422" s="471" t="s">
        <v>11194</v>
      </c>
      <c r="D422" s="452" t="s">
        <v>11416</v>
      </c>
      <c r="E422" s="452">
        <v>8895</v>
      </c>
      <c r="F422" s="453" t="s">
        <v>11417</v>
      </c>
      <c r="G422" s="452" t="s">
        <v>11147</v>
      </c>
      <c r="H422" s="468" t="s">
        <v>11148</v>
      </c>
      <c r="I422" s="431"/>
      <c r="J422" s="431"/>
      <c r="K422" s="452"/>
      <c r="L422" s="431"/>
      <c r="M422" s="431"/>
      <c r="N422" s="431"/>
      <c r="O422" s="431"/>
      <c r="P422" s="431"/>
      <c r="Q422" s="431"/>
      <c r="R422" s="431"/>
      <c r="S422" s="431"/>
      <c r="T422" s="431"/>
      <c r="U422" s="431"/>
      <c r="V422" s="431"/>
      <c r="W422" s="431"/>
      <c r="X422" s="452"/>
      <c r="Y422" s="431"/>
      <c r="Z422" s="452"/>
      <c r="AA422" s="431"/>
      <c r="AB422" s="431"/>
      <c r="AC422" s="452">
        <v>8895</v>
      </c>
      <c r="AD422" s="431"/>
      <c r="AE422" s="431"/>
      <c r="AF422" s="431"/>
      <c r="AG422" s="431"/>
      <c r="AH422" s="452"/>
      <c r="AI422" s="431"/>
      <c r="AJ422" s="452"/>
      <c r="AK422" s="431"/>
      <c r="AL422" s="431"/>
      <c r="AM422" s="431"/>
      <c r="AN422" s="431"/>
      <c r="AO422" s="431"/>
      <c r="AP422" s="431"/>
      <c r="AQ422" s="431"/>
      <c r="AR422" s="452"/>
      <c r="AS422" s="431"/>
      <c r="AT422" s="431"/>
      <c r="AU422" s="452"/>
      <c r="AV422" s="470" t="s">
        <v>11776</v>
      </c>
    </row>
    <row r="423" s="397" customFormat="1" ht="18" customHeight="1" spans="1:49">
      <c r="A423" s="450">
        <v>46225</v>
      </c>
      <c r="B423" s="452">
        <v>1000042956</v>
      </c>
      <c r="C423" s="471" t="s">
        <v>11194</v>
      </c>
      <c r="D423" s="452" t="s">
        <v>11416</v>
      </c>
      <c r="E423" s="452">
        <v>600</v>
      </c>
      <c r="F423" s="453" t="s">
        <v>11417</v>
      </c>
      <c r="G423" s="452" t="s">
        <v>11147</v>
      </c>
      <c r="H423" s="468" t="s">
        <v>11148</v>
      </c>
      <c r="I423" s="431"/>
      <c r="J423" s="431"/>
      <c r="K423" s="452"/>
      <c r="L423" s="431"/>
      <c r="M423" s="431"/>
      <c r="N423" s="431"/>
      <c r="O423" s="431"/>
      <c r="P423" s="431"/>
      <c r="Q423" s="431"/>
      <c r="R423" s="431"/>
      <c r="S423" s="431"/>
      <c r="T423" s="431"/>
      <c r="U423" s="431"/>
      <c r="V423" s="431"/>
      <c r="W423" s="431"/>
      <c r="X423" s="452"/>
      <c r="Y423" s="431"/>
      <c r="Z423" s="452"/>
      <c r="AA423" s="431"/>
      <c r="AB423" s="431"/>
      <c r="AC423" s="452">
        <v>600</v>
      </c>
      <c r="AD423" s="431"/>
      <c r="AE423" s="431"/>
      <c r="AF423" s="431"/>
      <c r="AG423" s="431"/>
      <c r="AH423" s="452"/>
      <c r="AI423" s="431"/>
      <c r="AJ423" s="452"/>
      <c r="AK423" s="431"/>
      <c r="AL423" s="431"/>
      <c r="AM423" s="431"/>
      <c r="AN423" s="431"/>
      <c r="AO423" s="431"/>
      <c r="AP423" s="431"/>
      <c r="AQ423" s="431"/>
      <c r="AR423" s="452"/>
      <c r="AS423" s="431"/>
      <c r="AT423" s="431"/>
      <c r="AU423" s="452"/>
      <c r="AV423" s="470" t="s">
        <v>11777</v>
      </c>
    </row>
    <row r="424" s="397" customFormat="1" ht="18" customHeight="1" spans="1:49">
      <c r="A424" s="450">
        <v>46226</v>
      </c>
      <c r="B424" s="452">
        <v>1000043062</v>
      </c>
      <c r="C424" s="471" t="s">
        <v>11245</v>
      </c>
      <c r="D424" s="452" t="s">
        <v>11778</v>
      </c>
      <c r="E424" s="452">
        <v>20000</v>
      </c>
      <c r="F424" s="453" t="s">
        <v>11237</v>
      </c>
      <c r="G424" s="452" t="s">
        <v>11157</v>
      </c>
      <c r="H424" s="468" t="s">
        <v>73</v>
      </c>
      <c r="I424" s="431"/>
      <c r="J424" s="431"/>
      <c r="K424" s="452"/>
      <c r="L424" s="431"/>
      <c r="M424" s="431"/>
      <c r="N424" s="431"/>
      <c r="O424" s="431"/>
      <c r="P424" s="452">
        <v>20000</v>
      </c>
      <c r="Q424" s="431"/>
      <c r="R424" s="431"/>
      <c r="S424" s="431"/>
      <c r="T424" s="431"/>
      <c r="U424" s="431"/>
      <c r="V424" s="431"/>
      <c r="W424" s="431"/>
      <c r="X424" s="452"/>
      <c r="Y424" s="431"/>
      <c r="Z424" s="452"/>
      <c r="AA424" s="431"/>
      <c r="AB424" s="431"/>
      <c r="AC424" s="452"/>
      <c r="AD424" s="431"/>
      <c r="AE424" s="431"/>
      <c r="AF424" s="431"/>
      <c r="AG424" s="431"/>
      <c r="AH424" s="452"/>
      <c r="AI424" s="431"/>
      <c r="AJ424" s="452"/>
      <c r="AK424" s="431"/>
      <c r="AL424" s="431"/>
      <c r="AM424" s="431"/>
      <c r="AN424" s="431"/>
      <c r="AO424" s="431"/>
      <c r="AP424" s="431"/>
      <c r="AQ424" s="431"/>
      <c r="AR424" s="452"/>
      <c r="AS424" s="431"/>
      <c r="AT424" s="431"/>
      <c r="AU424" s="452"/>
      <c r="AV424" s="470" t="s">
        <v>11779</v>
      </c>
    </row>
    <row r="425" s="397" customFormat="1" ht="18" customHeight="1" spans="1:49">
      <c r="A425" s="450">
        <v>46231</v>
      </c>
      <c r="B425" s="451" t="s">
        <v>11615</v>
      </c>
      <c r="C425" s="471" t="s">
        <v>11248</v>
      </c>
      <c r="D425" s="452" t="s">
        <v>11560</v>
      </c>
      <c r="E425" s="431">
        <v>1934</v>
      </c>
      <c r="F425" s="453" t="s">
        <v>11417</v>
      </c>
      <c r="G425" s="452" t="s">
        <v>11153</v>
      </c>
      <c r="H425" s="468" t="s">
        <v>73</v>
      </c>
      <c r="I425" s="431"/>
      <c r="J425" s="431"/>
      <c r="K425" s="452"/>
      <c r="L425" s="431"/>
      <c r="M425" s="431"/>
      <c r="N425" s="431"/>
      <c r="O425" s="431"/>
      <c r="P425" s="452"/>
      <c r="Q425" s="431"/>
      <c r="R425" s="431"/>
      <c r="S425" s="431"/>
      <c r="T425" s="431"/>
      <c r="U425" s="431"/>
      <c r="V425" s="431"/>
      <c r="W425" s="431"/>
      <c r="X425" s="452"/>
      <c r="Y425" s="431"/>
      <c r="Z425" s="452"/>
      <c r="AA425" s="431"/>
      <c r="AB425" s="431"/>
      <c r="AC425" s="452"/>
      <c r="AD425" s="431"/>
      <c r="AE425" s="431"/>
      <c r="AF425" s="431">
        <v>1934</v>
      </c>
      <c r="AG425" s="431"/>
      <c r="AH425" s="452"/>
      <c r="AI425" s="431"/>
      <c r="AJ425" s="452"/>
      <c r="AK425" s="431"/>
      <c r="AL425" s="431"/>
      <c r="AM425" s="431"/>
      <c r="AN425" s="431"/>
      <c r="AO425" s="431"/>
      <c r="AP425" s="431"/>
      <c r="AQ425" s="431"/>
      <c r="AR425" s="452"/>
      <c r="AS425" s="431"/>
      <c r="AT425" s="431"/>
      <c r="AU425" s="452"/>
      <c r="AV425" s="470" t="s">
        <v>11780</v>
      </c>
    </row>
    <row r="426" s="397" customFormat="1" ht="18" customHeight="1" spans="1:49">
      <c r="A426" s="450">
        <v>46233</v>
      </c>
      <c r="B426" s="452">
        <v>1000043379</v>
      </c>
      <c r="C426" s="471" t="s">
        <v>106</v>
      </c>
      <c r="D426" s="452" t="s">
        <v>11416</v>
      </c>
      <c r="E426" s="431">
        <v>5625</v>
      </c>
      <c r="F426" s="468" t="s">
        <v>11417</v>
      </c>
      <c r="G426" s="452" t="s">
        <v>11147</v>
      </c>
      <c r="H426" s="468" t="s">
        <v>11148</v>
      </c>
      <c r="I426" s="431"/>
      <c r="J426" s="431"/>
      <c r="K426" s="452"/>
      <c r="L426" s="431"/>
      <c r="M426" s="431"/>
      <c r="N426" s="431"/>
      <c r="O426" s="431"/>
      <c r="P426" s="452"/>
      <c r="Q426" s="431"/>
      <c r="R426" s="431"/>
      <c r="S426" s="431"/>
      <c r="T426" s="431"/>
      <c r="U426" s="431"/>
      <c r="V426" s="431"/>
      <c r="W426" s="431"/>
      <c r="X426" s="452"/>
      <c r="Y426" s="431"/>
      <c r="Z426" s="452"/>
      <c r="AA426" s="431"/>
      <c r="AB426" s="431"/>
      <c r="AC426" s="431">
        <v>5625</v>
      </c>
      <c r="AD426" s="431"/>
      <c r="AE426" s="431"/>
      <c r="AF426" s="431"/>
      <c r="AG426" s="431"/>
      <c r="AH426" s="452"/>
      <c r="AI426" s="431"/>
      <c r="AJ426" s="452"/>
      <c r="AK426" s="431"/>
      <c r="AL426" s="431"/>
      <c r="AM426" s="431"/>
      <c r="AN426" s="431"/>
      <c r="AO426" s="431"/>
      <c r="AP426" s="431"/>
      <c r="AQ426" s="431"/>
      <c r="AR426" s="452"/>
      <c r="AS426" s="431"/>
      <c r="AT426" s="431"/>
      <c r="AU426" s="452"/>
      <c r="AV426" s="470" t="s">
        <v>11781</v>
      </c>
    </row>
    <row r="427" s="397" customFormat="1" ht="18" customHeight="1" spans="1:49">
      <c r="A427" s="450">
        <v>46238</v>
      </c>
      <c r="B427" s="452">
        <v>1000043632</v>
      </c>
      <c r="C427" s="471" t="s">
        <v>106</v>
      </c>
      <c r="D427" s="452" t="s">
        <v>11416</v>
      </c>
      <c r="E427" s="452">
        <v>4575</v>
      </c>
      <c r="F427" s="453" t="s">
        <v>11417</v>
      </c>
      <c r="G427" s="452" t="s">
        <v>11147</v>
      </c>
      <c r="H427" s="468" t="s">
        <v>11148</v>
      </c>
      <c r="I427" s="431"/>
      <c r="J427" s="431"/>
      <c r="K427" s="452"/>
      <c r="L427" s="431"/>
      <c r="M427" s="431"/>
      <c r="N427" s="431"/>
      <c r="O427" s="431"/>
      <c r="P427" s="452"/>
      <c r="Q427" s="431"/>
      <c r="R427" s="431"/>
      <c r="S427" s="431"/>
      <c r="T427" s="431"/>
      <c r="U427" s="431"/>
      <c r="V427" s="431"/>
      <c r="W427" s="431"/>
      <c r="X427" s="452"/>
      <c r="Y427" s="431"/>
      <c r="Z427" s="452"/>
      <c r="AA427" s="431"/>
      <c r="AB427" s="431"/>
      <c r="AC427" s="452">
        <v>4575</v>
      </c>
      <c r="AD427" s="431"/>
      <c r="AE427" s="431"/>
      <c r="AF427" s="431"/>
      <c r="AG427" s="431"/>
      <c r="AH427" s="452"/>
      <c r="AI427" s="431"/>
      <c r="AJ427" s="452"/>
      <c r="AK427" s="431"/>
      <c r="AL427" s="431"/>
      <c r="AM427" s="431"/>
      <c r="AN427" s="431"/>
      <c r="AO427" s="431"/>
      <c r="AP427" s="431"/>
      <c r="AQ427" s="431"/>
      <c r="AR427" s="452"/>
      <c r="AS427" s="431"/>
      <c r="AT427" s="431"/>
      <c r="AU427" s="452"/>
      <c r="AV427" s="470" t="s">
        <v>11782</v>
      </c>
    </row>
    <row r="428" s="398" customFormat="1" ht="18" customHeight="1" spans="1:49">
      <c r="A428" s="473">
        <v>46245</v>
      </c>
      <c r="B428" s="474">
        <v>1000043879</v>
      </c>
      <c r="C428" s="475" t="s">
        <v>106</v>
      </c>
      <c r="D428" s="474" t="s">
        <v>11416</v>
      </c>
      <c r="E428" s="474">
        <v>5565</v>
      </c>
      <c r="F428" s="476" t="s">
        <v>11417</v>
      </c>
      <c r="G428" s="474" t="s">
        <v>11147</v>
      </c>
      <c r="H428" s="477" t="s">
        <v>11148</v>
      </c>
      <c r="I428" s="478"/>
      <c r="J428" s="478"/>
      <c r="K428" s="474"/>
      <c r="L428" s="478"/>
      <c r="M428" s="478"/>
      <c r="N428" s="478"/>
      <c r="O428" s="478"/>
      <c r="P428" s="474"/>
      <c r="Q428" s="478"/>
      <c r="R428" s="478"/>
      <c r="S428" s="478"/>
      <c r="T428" s="478"/>
      <c r="U428" s="478"/>
      <c r="V428" s="478"/>
      <c r="W428" s="478"/>
      <c r="X428" s="474"/>
      <c r="Y428" s="478"/>
      <c r="Z428" s="474"/>
      <c r="AA428" s="478"/>
      <c r="AB428" s="478"/>
      <c r="AC428" s="474">
        <v>5565</v>
      </c>
      <c r="AD428" s="478"/>
      <c r="AE428" s="478"/>
      <c r="AF428" s="478"/>
      <c r="AG428" s="478"/>
      <c r="AH428" s="474"/>
      <c r="AI428" s="478"/>
      <c r="AJ428" s="474"/>
      <c r="AK428" s="478"/>
      <c r="AL428" s="478"/>
      <c r="AM428" s="478"/>
      <c r="AN428" s="478"/>
      <c r="AO428" s="478"/>
      <c r="AP428" s="478"/>
      <c r="AQ428" s="478"/>
      <c r="AR428" s="474"/>
      <c r="AS428" s="478"/>
      <c r="AT428" s="478"/>
      <c r="AU428" s="474"/>
      <c r="AV428" s="479" t="s">
        <v>11783</v>
      </c>
    </row>
    <row r="429" s="398" customFormat="1" ht="18" customHeight="1" spans="1:49">
      <c r="A429" s="473">
        <v>46247</v>
      </c>
      <c r="B429" s="474">
        <v>1000044021</v>
      </c>
      <c r="C429" s="475" t="s">
        <v>11190</v>
      </c>
      <c r="D429" s="474">
        <v>77785</v>
      </c>
      <c r="E429" s="474">
        <v>3000</v>
      </c>
      <c r="F429" s="476" t="s">
        <v>11612</v>
      </c>
      <c r="G429" s="474" t="s">
        <v>11720</v>
      </c>
      <c r="H429" s="477" t="s">
        <v>11276</v>
      </c>
      <c r="I429" s="478"/>
      <c r="J429" s="478"/>
      <c r="K429" s="474"/>
      <c r="L429" s="478"/>
      <c r="M429" s="478"/>
      <c r="N429" s="478"/>
      <c r="O429" s="478"/>
      <c r="P429" s="474"/>
      <c r="Q429" s="478"/>
      <c r="R429" s="478"/>
      <c r="S429" s="478"/>
      <c r="T429" s="478"/>
      <c r="U429" s="478"/>
      <c r="V429" s="478"/>
      <c r="W429" s="478"/>
      <c r="X429" s="474"/>
      <c r="Y429" s="478"/>
      <c r="Z429" s="474"/>
      <c r="AA429" s="478"/>
      <c r="AB429" s="478"/>
      <c r="AC429" s="474"/>
      <c r="AD429" s="478"/>
      <c r="AE429" s="478"/>
      <c r="AF429" s="478"/>
      <c r="AG429" s="478"/>
      <c r="AH429" s="474"/>
      <c r="AI429" s="478"/>
      <c r="AJ429" s="474">
        <v>3000</v>
      </c>
      <c r="AK429" s="478"/>
      <c r="AL429" s="478"/>
      <c r="AM429" s="478"/>
      <c r="AN429" s="478"/>
      <c r="AO429" s="478"/>
      <c r="AP429" s="478"/>
      <c r="AQ429" s="478"/>
      <c r="AR429" s="474"/>
      <c r="AS429" s="478"/>
      <c r="AT429" s="478"/>
      <c r="AU429" s="474"/>
      <c r="AV429" s="479" t="s">
        <v>11784</v>
      </c>
      <c r="AW429" s="398" t="s">
        <v>11785</v>
      </c>
    </row>
    <row r="430" s="398" customFormat="1" ht="18" customHeight="1" spans="1:49">
      <c r="A430" s="473">
        <v>46251</v>
      </c>
      <c r="B430" s="474">
        <v>1000044119</v>
      </c>
      <c r="C430" s="475" t="s">
        <v>11245</v>
      </c>
      <c r="D430" s="474">
        <v>77785</v>
      </c>
      <c r="E430" s="474">
        <v>8502</v>
      </c>
      <c r="F430" s="476" t="s">
        <v>11195</v>
      </c>
      <c r="G430" s="474" t="s">
        <v>11153</v>
      </c>
      <c r="H430" s="477" t="s">
        <v>73</v>
      </c>
      <c r="I430" s="478"/>
      <c r="J430" s="478"/>
      <c r="K430" s="474"/>
      <c r="L430" s="478"/>
      <c r="M430" s="478"/>
      <c r="N430" s="478"/>
      <c r="O430" s="478"/>
      <c r="P430" s="474"/>
      <c r="Q430" s="478"/>
      <c r="R430" s="478"/>
      <c r="S430" s="478"/>
      <c r="T430" s="478"/>
      <c r="U430" s="478"/>
      <c r="V430" s="478"/>
      <c r="W430" s="478"/>
      <c r="X430" s="474"/>
      <c r="Y430" s="478"/>
      <c r="Z430" s="474"/>
      <c r="AA430" s="478"/>
      <c r="AB430" s="478"/>
      <c r="AC430" s="474"/>
      <c r="AD430" s="478"/>
      <c r="AE430" s="478"/>
      <c r="AF430" s="478"/>
      <c r="AG430" s="478"/>
      <c r="AH430" s="474"/>
      <c r="AI430" s="478"/>
      <c r="AJ430" s="474">
        <v>8502</v>
      </c>
      <c r="AK430" s="478"/>
      <c r="AL430" s="478"/>
      <c r="AM430" s="478"/>
      <c r="AN430" s="478"/>
      <c r="AO430" s="478"/>
      <c r="AP430" s="478"/>
      <c r="AQ430" s="478"/>
      <c r="AR430" s="474"/>
      <c r="AS430" s="478"/>
      <c r="AT430" s="478"/>
      <c r="AU430" s="474"/>
      <c r="AV430" s="479" t="s">
        <v>11786</v>
      </c>
    </row>
    <row r="431" s="398" customFormat="1" ht="18" customHeight="1" spans="1:49">
      <c r="A431" s="473"/>
      <c r="B431" s="474"/>
      <c r="C431" s="475"/>
      <c r="D431" s="474"/>
      <c r="E431" s="474"/>
      <c r="F431" s="476"/>
      <c r="G431" s="474"/>
      <c r="H431" s="477"/>
      <c r="I431" s="478"/>
      <c r="J431" s="478"/>
      <c r="K431" s="474"/>
      <c r="L431" s="478"/>
      <c r="M431" s="478"/>
      <c r="N431" s="478"/>
      <c r="O431" s="478"/>
      <c r="P431" s="474"/>
      <c r="Q431" s="478"/>
      <c r="R431" s="478"/>
      <c r="S431" s="478"/>
      <c r="T431" s="478"/>
      <c r="U431" s="478"/>
      <c r="V431" s="478"/>
      <c r="W431" s="478"/>
      <c r="X431" s="474"/>
      <c r="Y431" s="478"/>
      <c r="Z431" s="474"/>
      <c r="AA431" s="478"/>
      <c r="AB431" s="478"/>
      <c r="AC431" s="474"/>
      <c r="AD431" s="478"/>
      <c r="AE431" s="478"/>
      <c r="AF431" s="478"/>
      <c r="AG431" s="478"/>
      <c r="AH431" s="474"/>
      <c r="AI431" s="478"/>
      <c r="AJ431" s="474"/>
      <c r="AK431" s="478"/>
      <c r="AL431" s="478"/>
      <c r="AM431" s="478"/>
      <c r="AN431" s="478"/>
      <c r="AO431" s="478"/>
      <c r="AP431" s="478"/>
      <c r="AQ431" s="478"/>
      <c r="AR431" s="474"/>
      <c r="AS431" s="478"/>
      <c r="AT431" s="478"/>
      <c r="AU431" s="474"/>
      <c r="AV431" s="479"/>
    </row>
    <row r="432" s="397" customFormat="1" ht="18" customHeight="1" spans="1:49">
      <c r="A432" s="450"/>
      <c r="B432" s="451"/>
      <c r="C432" s="429"/>
      <c r="D432" s="452"/>
      <c r="E432" s="452"/>
      <c r="F432" s="453"/>
      <c r="G432" s="452"/>
      <c r="H432" s="453"/>
      <c r="I432" s="431"/>
      <c r="J432" s="431"/>
      <c r="K432" s="431"/>
      <c r="L432" s="431"/>
      <c r="M432" s="431"/>
      <c r="N432" s="431"/>
      <c r="O432" s="431"/>
      <c r="P432" s="431"/>
      <c r="Q432" s="431"/>
      <c r="R432" s="431"/>
      <c r="S432" s="431"/>
      <c r="T432" s="431"/>
      <c r="U432" s="431"/>
      <c r="V432" s="431"/>
      <c r="W432" s="431"/>
      <c r="X432" s="431"/>
      <c r="Y432" s="431"/>
      <c r="Z432" s="431"/>
      <c r="AA432" s="431"/>
      <c r="AB432" s="431"/>
      <c r="AC432" s="431"/>
      <c r="AD432" s="431"/>
      <c r="AE432" s="431"/>
      <c r="AF432" s="431"/>
      <c r="AG432" s="431"/>
      <c r="AH432" s="452"/>
      <c r="AI432" s="431"/>
      <c r="AJ432" s="431"/>
      <c r="AK432" s="431"/>
      <c r="AL432" s="431"/>
      <c r="AM432" s="431"/>
      <c r="AN432" s="431"/>
      <c r="AO432" s="431"/>
      <c r="AP432" s="431"/>
      <c r="AQ432" s="431"/>
      <c r="AR432" s="452"/>
      <c r="AS432" s="431"/>
      <c r="AT432" s="431"/>
      <c r="AU432" s="431"/>
      <c r="AV432" s="454"/>
    </row>
    <row r="433" s="402" customFormat="1" ht="18" customHeight="1" spans="1:48">
      <c r="A433" s="480"/>
      <c r="B433" s="481"/>
      <c r="C433" s="482" t="s">
        <v>11327</v>
      </c>
      <c r="D433" s="483"/>
      <c r="E433" s="483"/>
      <c r="F433" s="484"/>
      <c r="G433" s="483"/>
      <c r="H433" s="484"/>
      <c r="I433" s="485">
        <v>733000</v>
      </c>
      <c r="J433" s="485"/>
      <c r="K433" s="485"/>
      <c r="L433" s="485"/>
      <c r="M433" s="485">
        <v>167000</v>
      </c>
      <c r="N433" s="485">
        <v>780000</v>
      </c>
      <c r="O433" s="485">
        <v>40000</v>
      </c>
      <c r="P433" s="485"/>
      <c r="Q433" s="485"/>
      <c r="R433" s="485"/>
      <c r="S433" s="485"/>
      <c r="T433" s="485"/>
      <c r="U433" s="485"/>
      <c r="V433" s="485"/>
      <c r="W433" s="485"/>
      <c r="X433" s="485"/>
      <c r="Y433" s="485">
        <v>5800</v>
      </c>
      <c r="Z433" s="485">
        <v>11050</v>
      </c>
      <c r="AA433" s="485"/>
      <c r="AB433" s="485">
        <v>1600</v>
      </c>
      <c r="AC433" s="485"/>
      <c r="AD433" s="485"/>
      <c r="AE433" s="485"/>
      <c r="AF433" s="485"/>
      <c r="AG433" s="485"/>
      <c r="AH433" s="483"/>
      <c r="AI433" s="485"/>
      <c r="AJ433" s="485"/>
      <c r="AK433" s="485"/>
      <c r="AL433" s="485"/>
      <c r="AM433" s="485"/>
      <c r="AN433" s="485"/>
      <c r="AO433" s="485"/>
      <c r="AP433" s="485"/>
      <c r="AQ433" s="485"/>
      <c r="AR433" s="483"/>
      <c r="AS433" s="485"/>
      <c r="AT433" s="485"/>
      <c r="AU433" s="485"/>
      <c r="AV433" s="486"/>
    </row>
    <row r="434" s="402" customFormat="1" ht="18" customHeight="1" spans="1:48">
      <c r="A434" s="480"/>
      <c r="B434" s="481"/>
      <c r="C434" s="487"/>
      <c r="D434" s="483"/>
      <c r="E434" s="483"/>
      <c r="F434" s="484"/>
      <c r="G434" s="483"/>
      <c r="H434" s="484"/>
      <c r="I434" s="485">
        <v>356000</v>
      </c>
      <c r="J434" s="485"/>
      <c r="K434" s="485"/>
      <c r="L434" s="485"/>
      <c r="M434" s="485">
        <v>43000</v>
      </c>
      <c r="N434" s="485">
        <v>360000</v>
      </c>
      <c r="O434" s="485">
        <v>44000</v>
      </c>
      <c r="P434" s="485"/>
      <c r="Q434" s="485"/>
      <c r="R434" s="485"/>
      <c r="S434" s="485"/>
      <c r="T434" s="485"/>
      <c r="U434" s="485"/>
      <c r="V434" s="485"/>
      <c r="W434" s="485"/>
      <c r="X434" s="485"/>
      <c r="Y434" s="485">
        <v>1320</v>
      </c>
      <c r="Z434" s="485">
        <v>8600</v>
      </c>
      <c r="AA434" s="485"/>
      <c r="AB434" s="485">
        <v>930</v>
      </c>
      <c r="AC434" s="485"/>
      <c r="AD434" s="485"/>
      <c r="AE434" s="485"/>
      <c r="AF434" s="485"/>
      <c r="AG434" s="485"/>
      <c r="AH434" s="483"/>
      <c r="AI434" s="485"/>
      <c r="AJ434" s="485"/>
      <c r="AK434" s="485"/>
      <c r="AL434" s="485"/>
      <c r="AM434" s="485"/>
      <c r="AN434" s="485"/>
      <c r="AO434" s="485"/>
      <c r="AP434" s="485"/>
      <c r="AQ434" s="485"/>
      <c r="AR434" s="483"/>
      <c r="AS434" s="485"/>
      <c r="AT434" s="485"/>
      <c r="AU434" s="485"/>
      <c r="AV434" s="486"/>
    </row>
    <row r="435" s="397" customFormat="1" ht="18" customHeight="1" spans="1:48">
      <c r="A435" s="450"/>
      <c r="B435" s="451"/>
      <c r="C435" s="452"/>
      <c r="D435" s="452">
        <v>77803</v>
      </c>
      <c r="E435" s="452">
        <v>1000</v>
      </c>
      <c r="F435" s="453"/>
      <c r="G435" s="452"/>
      <c r="H435" s="453"/>
      <c r="I435" s="431"/>
      <c r="J435" s="431"/>
      <c r="K435" s="431"/>
      <c r="L435" s="431"/>
      <c r="M435" s="431"/>
      <c r="N435" s="431"/>
      <c r="O435" s="431"/>
      <c r="P435" s="431"/>
      <c r="Q435" s="431">
        <v>500000</v>
      </c>
      <c r="R435" s="431">
        <v>138154</v>
      </c>
      <c r="S435" s="431"/>
      <c r="T435" s="431">
        <v>70650</v>
      </c>
      <c r="U435" s="431">
        <v>11450</v>
      </c>
      <c r="V435" s="431">
        <v>6630</v>
      </c>
      <c r="W435" s="431"/>
      <c r="X435" s="431"/>
      <c r="Y435" s="431"/>
      <c r="Z435" s="431"/>
      <c r="AA435" s="431"/>
      <c r="AB435" s="431"/>
      <c r="AC435" s="431"/>
      <c r="AD435" s="431"/>
      <c r="AE435" s="431"/>
      <c r="AF435" s="431"/>
      <c r="AG435" s="431"/>
      <c r="AH435" s="431"/>
      <c r="AI435" s="431">
        <v>1000</v>
      </c>
      <c r="AJ435" s="431"/>
      <c r="AK435" s="431"/>
      <c r="AL435" s="431"/>
      <c r="AM435" s="431"/>
      <c r="AN435" s="431"/>
      <c r="AO435" s="431"/>
      <c r="AP435" s="431"/>
      <c r="AQ435" s="431"/>
      <c r="AR435" s="431"/>
      <c r="AS435" s="431"/>
      <c r="AT435" s="431"/>
      <c r="AU435" s="431"/>
      <c r="AV435" s="454"/>
    </row>
    <row r="436" spans="1:48">
      <c r="A436" s="488"/>
      <c r="B436" s="489" t="s">
        <v>11787</v>
      </c>
      <c r="C436" s="490"/>
      <c r="D436" s="491" t="s">
        <v>6079</v>
      </c>
      <c r="E436" s="490"/>
      <c r="F436" s="492"/>
      <c r="G436" s="493" t="s">
        <v>11153</v>
      </c>
      <c r="H436" s="492"/>
      <c r="I436" s="494"/>
      <c r="J436" s="494"/>
      <c r="K436" s="494"/>
      <c r="L436" s="494"/>
      <c r="M436" s="494"/>
      <c r="N436" s="494"/>
      <c r="O436" s="494"/>
      <c r="P436" s="494"/>
      <c r="Q436" s="494"/>
      <c r="R436" s="494"/>
      <c r="S436" s="494"/>
      <c r="T436" s="494"/>
      <c r="U436" s="494"/>
      <c r="V436" s="494"/>
      <c r="W436" s="494"/>
      <c r="X436" s="494"/>
      <c r="Y436" s="494"/>
      <c r="Z436" s="494"/>
      <c r="AA436" s="494"/>
      <c r="AB436" s="494"/>
      <c r="AC436" s="495"/>
      <c r="AD436" s="495"/>
      <c r="AE436" s="495"/>
      <c r="AF436" s="495"/>
      <c r="AG436" s="495"/>
      <c r="AH436" s="495"/>
      <c r="AI436" s="495"/>
      <c r="AJ436" s="495"/>
      <c r="AK436" s="495"/>
      <c r="AL436" s="495"/>
      <c r="AM436" s="495"/>
      <c r="AN436" s="495"/>
      <c r="AO436" s="495"/>
      <c r="AP436" s="495"/>
      <c r="AQ436" s="495">
        <v>281</v>
      </c>
      <c r="AR436" s="495"/>
      <c r="AS436" s="495"/>
      <c r="AT436" s="495"/>
      <c r="AU436" s="494"/>
      <c r="AV436" s="496"/>
    </row>
    <row r="437" spans="1:48">
      <c r="A437" s="497"/>
      <c r="B437" s="494"/>
      <c r="C437" s="494"/>
      <c r="D437" s="498"/>
      <c r="E437" s="498"/>
      <c r="F437" s="495"/>
      <c r="G437" s="498"/>
      <c r="H437" s="495"/>
      <c r="I437" s="494"/>
      <c r="J437" s="494"/>
      <c r="K437" s="494"/>
      <c r="L437" s="494"/>
      <c r="M437" s="494"/>
      <c r="N437" s="494"/>
      <c r="O437" s="494"/>
      <c r="P437" s="494"/>
      <c r="Q437" s="494"/>
      <c r="R437" s="494"/>
      <c r="S437" s="494"/>
      <c r="T437" s="494"/>
      <c r="U437" s="494"/>
      <c r="V437" s="494"/>
      <c r="W437" s="494"/>
      <c r="X437" s="494"/>
      <c r="Y437" s="494"/>
      <c r="Z437" s="494"/>
      <c r="AA437" s="494"/>
      <c r="AB437" s="494"/>
      <c r="AC437" s="495"/>
      <c r="AD437" s="495"/>
      <c r="AE437" s="495"/>
      <c r="AF437" s="495"/>
      <c r="AG437" s="495"/>
      <c r="AH437" s="495"/>
      <c r="AI437" s="495"/>
      <c r="AJ437" s="495"/>
      <c r="AK437" s="495"/>
      <c r="AL437" s="495"/>
      <c r="AM437" s="495"/>
      <c r="AN437" s="495"/>
      <c r="AO437" s="495"/>
      <c r="AP437" s="495"/>
      <c r="AQ437" s="495"/>
      <c r="AR437" s="495"/>
      <c r="AS437" s="495"/>
      <c r="AT437" s="495"/>
      <c r="AU437" s="494"/>
      <c r="AV437" s="496"/>
    </row>
    <row r="438" spans="1:48">
      <c r="A438" s="499" t="s">
        <v>11329</v>
      </c>
      <c r="B438" s="500"/>
      <c r="C438" s="500"/>
      <c r="D438" s="500"/>
      <c r="E438" s="500"/>
      <c r="F438" s="500"/>
      <c r="G438" s="501"/>
      <c r="H438" s="500"/>
      <c r="I438" s="502">
        <f>SUM(I3:I437)</f>
        <v>7239000</v>
      </c>
      <c r="J438" s="502">
        <f>SUM(J3:J437)</f>
        <v>460000</v>
      </c>
      <c r="K438" s="502">
        <f t="shared" ref="K438:P438" si="0">SUM(K3:K437)</f>
        <v>193416</v>
      </c>
      <c r="L438" s="502">
        <f t="shared" si="0"/>
        <v>24000</v>
      </c>
      <c r="M438" s="502">
        <f t="shared" si="0"/>
        <v>3100000</v>
      </c>
      <c r="N438" s="502">
        <f t="shared" si="0"/>
        <v>8920000</v>
      </c>
      <c r="O438" s="502">
        <f t="shared" si="0"/>
        <v>3094000</v>
      </c>
      <c r="P438" s="502">
        <f t="shared" si="0"/>
        <v>20000</v>
      </c>
      <c r="Q438" s="502">
        <f t="shared" ref="Q438:AE438" si="1">SUM(Q3:Q437)</f>
        <v>500000</v>
      </c>
      <c r="R438" s="502">
        <f t="shared" si="1"/>
        <v>138154</v>
      </c>
      <c r="S438" s="502">
        <f t="shared" si="1"/>
        <v>643850</v>
      </c>
      <c r="T438" s="502">
        <f t="shared" si="1"/>
        <v>594450</v>
      </c>
      <c r="U438" s="502">
        <f t="shared" si="1"/>
        <v>186050</v>
      </c>
      <c r="V438" s="502">
        <f t="shared" si="1"/>
        <v>41550</v>
      </c>
      <c r="W438" s="502">
        <f t="shared" si="1"/>
        <v>28300</v>
      </c>
      <c r="X438" s="502">
        <f t="shared" si="1"/>
        <v>8195</v>
      </c>
      <c r="Y438" s="502">
        <f t="shared" si="1"/>
        <v>117020</v>
      </c>
      <c r="Z438" s="502">
        <f t="shared" si="1"/>
        <v>102950</v>
      </c>
      <c r="AA438" s="502">
        <f t="shared" si="1"/>
        <v>7572</v>
      </c>
      <c r="AB438" s="502">
        <f t="shared" si="1"/>
        <v>52720</v>
      </c>
      <c r="AC438" s="502">
        <f t="shared" si="1"/>
        <v>204824</v>
      </c>
      <c r="AD438" s="502">
        <f t="shared" si="1"/>
        <v>4880</v>
      </c>
      <c r="AE438" s="502">
        <f t="shared" si="1"/>
        <v>1250</v>
      </c>
      <c r="AF438" s="502">
        <f t="shared" ref="AF438:AU438" si="2">SUM(AF3:AF437)</f>
        <v>9095</v>
      </c>
      <c r="AG438" s="502">
        <f t="shared" si="2"/>
        <v>140570</v>
      </c>
      <c r="AH438" s="502">
        <f t="shared" si="2"/>
        <v>154070</v>
      </c>
      <c r="AI438" s="502">
        <f t="shared" si="2"/>
        <v>8171</v>
      </c>
      <c r="AJ438" s="502">
        <f t="shared" si="2"/>
        <v>207586</v>
      </c>
      <c r="AK438" s="502">
        <f t="shared" si="2"/>
        <v>166048</v>
      </c>
      <c r="AL438" s="502">
        <f t="shared" si="2"/>
        <v>3209</v>
      </c>
      <c r="AM438" s="502">
        <f t="shared" si="2"/>
        <v>300</v>
      </c>
      <c r="AN438" s="502">
        <f t="shared" si="2"/>
        <v>300</v>
      </c>
      <c r="AO438" s="502">
        <f t="shared" si="2"/>
        <v>300</v>
      </c>
      <c r="AP438" s="502">
        <f t="shared" si="2"/>
        <v>651</v>
      </c>
      <c r="AQ438" s="502">
        <f t="shared" si="2"/>
        <v>1829</v>
      </c>
      <c r="AR438" s="502">
        <f t="shared" si="2"/>
        <v>576</v>
      </c>
      <c r="AS438" s="502">
        <f t="shared" si="2"/>
        <v>191576</v>
      </c>
      <c r="AT438" s="502">
        <f t="shared" si="2"/>
        <v>157728</v>
      </c>
      <c r="AU438" s="502">
        <f t="shared" si="2"/>
        <v>157728</v>
      </c>
      <c r="AV438" s="503"/>
    </row>
    <row r="439" s="403" customFormat="1" spans="1:48">
      <c r="A439" s="504"/>
      <c r="B439" s="504"/>
      <c r="C439" s="504"/>
      <c r="D439" s="505" t="s">
        <v>11788</v>
      </c>
      <c r="E439" s="504"/>
      <c r="F439" s="504"/>
      <c r="G439" s="504"/>
      <c r="H439" s="504"/>
      <c r="I439" s="506">
        <f>I438+251343</f>
        <v>7490343</v>
      </c>
      <c r="J439" s="506"/>
      <c r="K439" s="506"/>
      <c r="L439" s="506"/>
      <c r="M439" s="506">
        <f>M438+505213</f>
        <v>3605213</v>
      </c>
      <c r="N439" s="506"/>
      <c r="O439" s="506"/>
      <c r="P439" s="506"/>
      <c r="Q439" s="506"/>
      <c r="R439" s="506"/>
      <c r="S439" s="506"/>
      <c r="T439" s="506"/>
      <c r="U439" s="506"/>
      <c r="V439" s="506"/>
      <c r="W439" s="506"/>
      <c r="X439" s="506">
        <f>8195+2010</f>
        <v>10205</v>
      </c>
      <c r="Y439" s="506"/>
      <c r="Z439" s="506"/>
      <c r="AA439" s="506">
        <f>7572+2639</f>
        <v>10211</v>
      </c>
      <c r="AB439" s="506"/>
      <c r="AC439" s="506"/>
      <c r="AD439" s="506"/>
      <c r="AE439" s="506"/>
      <c r="AF439" s="506"/>
      <c r="AG439" s="506"/>
      <c r="AH439" s="506"/>
      <c r="AI439" s="506"/>
      <c r="AJ439" s="506"/>
      <c r="AK439" s="506"/>
      <c r="AL439" s="506"/>
      <c r="AM439" s="506"/>
      <c r="AN439" s="506"/>
      <c r="AO439" s="506"/>
      <c r="AP439" s="506"/>
      <c r="AQ439" s="506"/>
      <c r="AR439" s="506"/>
      <c r="AS439" s="506"/>
      <c r="AT439" s="506"/>
      <c r="AU439" s="506"/>
      <c r="AV439" s="507"/>
    </row>
    <row r="440" spans="1:48">
      <c r="A440" s="508"/>
      <c r="B440" s="509"/>
      <c r="C440" s="509"/>
      <c r="D440" s="509"/>
      <c r="E440" s="509"/>
      <c r="F440" s="509"/>
      <c r="G440" s="510"/>
      <c r="H440" s="509"/>
      <c r="I440" s="511"/>
      <c r="J440" s="511"/>
      <c r="K440" s="511"/>
      <c r="L440" s="511"/>
      <c r="M440" s="511"/>
      <c r="N440" s="511"/>
      <c r="O440" s="511"/>
      <c r="P440" s="511"/>
      <c r="Q440" s="511"/>
      <c r="R440" s="511"/>
      <c r="S440" s="511"/>
      <c r="T440" s="511"/>
      <c r="U440" s="511"/>
      <c r="V440" s="511"/>
      <c r="W440" s="511"/>
      <c r="X440" s="511"/>
      <c r="Y440" s="511"/>
      <c r="Z440" s="511"/>
      <c r="AA440" s="511"/>
      <c r="AB440" s="511"/>
      <c r="AC440" s="511"/>
      <c r="AD440" s="511"/>
      <c r="AE440" s="511"/>
      <c r="AF440" s="511"/>
      <c r="AG440" s="511"/>
      <c r="AH440" s="511"/>
      <c r="AI440" s="511"/>
      <c r="AJ440" s="511"/>
      <c r="AK440" s="511"/>
      <c r="AL440" s="511"/>
      <c r="AM440" s="511"/>
      <c r="AN440" s="511"/>
      <c r="AO440" s="511"/>
      <c r="AP440" s="511"/>
      <c r="AQ440" s="511"/>
      <c r="AR440" s="511"/>
      <c r="AS440" s="511"/>
      <c r="AT440" s="511"/>
      <c r="AU440" s="511"/>
      <c r="AV440" s="512"/>
    </row>
    <row r="441" spans="1:48">
      <c r="A441" s="513" t="s">
        <v>11330</v>
      </c>
      <c r="B441" s="514"/>
      <c r="C441" s="514"/>
      <c r="D441" s="514"/>
      <c r="E441" s="514"/>
      <c r="F441" s="514"/>
      <c r="G441" s="515"/>
      <c r="H441" s="514"/>
      <c r="I441" s="516">
        <f>'77711'!AP2145</f>
        <v>7314164</v>
      </c>
      <c r="J441" s="516">
        <f>'77711'!AS2145</f>
        <v>443533</v>
      </c>
      <c r="K441" s="516">
        <f>'77711'!AQ2145</f>
        <v>743944</v>
      </c>
      <c r="L441" s="516">
        <f>'77711'!AR2145</f>
        <v>52044</v>
      </c>
      <c r="M441" s="516">
        <f>'77711'!AT2145</f>
        <v>3103971</v>
      </c>
      <c r="N441" s="516">
        <f>'77711'!AU2145</f>
        <v>9157687</v>
      </c>
      <c r="O441" s="516">
        <f>'77711'!AV2145</f>
        <v>3103335</v>
      </c>
      <c r="P441" s="516">
        <f>'77711'!AZ2145</f>
        <v>66950</v>
      </c>
      <c r="Q441" s="516">
        <f>'77711'!BB2145</f>
        <v>643001.562500001</v>
      </c>
      <c r="R441" s="516">
        <f>'77711'!BE2145</f>
        <v>155658</v>
      </c>
      <c r="S441" s="516">
        <f>'77711'!BF2145</f>
        <v>854850</v>
      </c>
      <c r="T441" s="516">
        <f>'77711'!BH2145</f>
        <v>854850</v>
      </c>
      <c r="U441" s="516">
        <f>'77711'!BI2145</f>
        <v>276050</v>
      </c>
      <c r="V441" s="516">
        <f>'77711'!BJ2145</f>
        <v>59550</v>
      </c>
      <c r="W441" s="516">
        <f>'77711'!BK2145</f>
        <v>28411</v>
      </c>
      <c r="X441" s="516">
        <f>'77711'!BL2145</f>
        <v>7828</v>
      </c>
      <c r="Y441" s="516">
        <f>'77711'!BM2145</f>
        <v>117237</v>
      </c>
      <c r="Z441" s="516">
        <f>'77711'!BN2145</f>
        <v>103973</v>
      </c>
      <c r="AA441" s="516">
        <f>'77711'!BO2145</f>
        <v>7632</v>
      </c>
      <c r="AB441" s="516">
        <f>'77711'!BP2145</f>
        <v>52769</v>
      </c>
      <c r="AC441" s="516">
        <f>'77711'!BQ2145</f>
        <v>207684</v>
      </c>
      <c r="AD441" s="516">
        <f>'77711'!BR2145</f>
        <v>3546</v>
      </c>
      <c r="AE441" s="516">
        <f>'77711'!BS2145</f>
        <v>87962</v>
      </c>
      <c r="AF441" s="516">
        <f>'77711'!BT2145</f>
        <v>51703</v>
      </c>
      <c r="AG441" s="516">
        <f>'77711'!BV2145</f>
        <v>157606</v>
      </c>
      <c r="AH441" s="516">
        <f>'77711'!BW2145</f>
        <v>183356</v>
      </c>
      <c r="AI441" s="516">
        <f>'77711'!BX2145</f>
        <v>9626.24</v>
      </c>
      <c r="AJ441" s="516">
        <f>'77711'!BZ2145+'77711'!CB2145+'77711'!CC2145+'77711'!CD2145+'77711'!CD2145+'77711'!CE2145</f>
        <v>455580</v>
      </c>
      <c r="AK441" s="516">
        <f>'77711'!BG2145</f>
        <v>174856</v>
      </c>
      <c r="AL441" s="516">
        <f>'77711'!CH2145</f>
        <v>3209</v>
      </c>
      <c r="AM441" s="516">
        <f>'77711'!CN2145</f>
        <v>0</v>
      </c>
      <c r="AN441" s="516">
        <f>'77711'!CL2145</f>
        <v>124</v>
      </c>
      <c r="AO441" s="516">
        <f>'77711'!CM2145</f>
        <v>300</v>
      </c>
      <c r="AP441" s="516">
        <f>'77711'!CO2145</f>
        <v>651</v>
      </c>
      <c r="AQ441" s="516">
        <f>'77711'!CP2145</f>
        <v>1820</v>
      </c>
      <c r="AR441" s="516">
        <f>'77711'!CJ2145+'77711'!CI2145</f>
        <v>516</v>
      </c>
      <c r="AS441" s="516">
        <f>'77711'!CR2145</f>
        <v>610904</v>
      </c>
      <c r="AT441" s="516">
        <f>'77711'!CS2145</f>
        <v>610904</v>
      </c>
      <c r="AU441" s="516">
        <f>'77711'!CT2145</f>
        <v>610904</v>
      </c>
      <c r="AV441" s="517"/>
    </row>
    <row r="442" spans="1:48">
      <c r="A442" s="518"/>
      <c r="B442" s="518"/>
      <c r="C442" s="518"/>
      <c r="D442" s="518"/>
      <c r="E442" s="518"/>
      <c r="F442" s="519"/>
      <c r="G442" s="519"/>
      <c r="H442" s="519"/>
      <c r="I442" s="511"/>
      <c r="J442" s="511"/>
      <c r="K442" s="511"/>
      <c r="L442" s="511"/>
      <c r="M442" s="511"/>
      <c r="N442" s="511"/>
      <c r="O442" s="511"/>
      <c r="P442" s="511"/>
      <c r="Q442" s="511"/>
      <c r="R442" s="511"/>
      <c r="S442" s="511"/>
      <c r="T442" s="511"/>
      <c r="U442" s="511"/>
      <c r="V442" s="511"/>
      <c r="W442" s="511"/>
      <c r="X442" s="511"/>
      <c r="Y442" s="511"/>
      <c r="Z442" s="511"/>
      <c r="AA442" s="511"/>
      <c r="AB442" s="511"/>
      <c r="AC442" s="511"/>
      <c r="AD442" s="511"/>
      <c r="AE442" s="511"/>
      <c r="AF442" s="511"/>
      <c r="AG442" s="511"/>
      <c r="AH442" s="511"/>
      <c r="AI442" s="511"/>
      <c r="AJ442" s="511"/>
      <c r="AK442" s="511"/>
      <c r="AL442" s="511"/>
      <c r="AM442" s="511"/>
      <c r="AN442" s="511"/>
      <c r="AO442" s="511"/>
      <c r="AP442" s="511"/>
      <c r="AQ442" s="511"/>
      <c r="AR442" s="511"/>
      <c r="AS442" s="511"/>
      <c r="AT442" s="511"/>
      <c r="AU442" s="511"/>
      <c r="AV442" s="512"/>
    </row>
    <row r="443" spans="1:48">
      <c r="A443" s="520" t="s">
        <v>35</v>
      </c>
      <c r="B443" s="521"/>
      <c r="C443" s="521"/>
      <c r="D443" s="521"/>
      <c r="E443" s="521"/>
      <c r="F443" s="521"/>
      <c r="G443" s="522"/>
      <c r="H443" s="521"/>
      <c r="I443" s="523">
        <f>I438-I441</f>
        <v>-75164</v>
      </c>
      <c r="J443" s="523">
        <f>J438-J441</f>
        <v>16467</v>
      </c>
      <c r="K443" s="523">
        <f t="shared" ref="K443:P443" si="3">K438-K441</f>
        <v>-550528</v>
      </c>
      <c r="L443" s="523">
        <f t="shared" si="3"/>
        <v>-28044</v>
      </c>
      <c r="M443" s="523">
        <f t="shared" si="3"/>
        <v>-3971</v>
      </c>
      <c r="N443" s="523">
        <f t="shared" si="3"/>
        <v>-237687</v>
      </c>
      <c r="O443" s="523">
        <f t="shared" si="3"/>
        <v>-9335</v>
      </c>
      <c r="P443" s="523">
        <f t="shared" si="3"/>
        <v>-46950</v>
      </c>
      <c r="Q443" s="523">
        <f t="shared" ref="Q443:AU443" si="4">Q438-Q441</f>
        <v>-143001.562500001</v>
      </c>
      <c r="R443" s="523">
        <f t="shared" si="4"/>
        <v>-17504</v>
      </c>
      <c r="S443" s="523">
        <f t="shared" si="4"/>
        <v>-211000</v>
      </c>
      <c r="T443" s="523">
        <f t="shared" si="4"/>
        <v>-260400</v>
      </c>
      <c r="U443" s="523">
        <f t="shared" si="4"/>
        <v>-90000</v>
      </c>
      <c r="V443" s="523">
        <f t="shared" si="4"/>
        <v>-18000</v>
      </c>
      <c r="W443" s="523">
        <f t="shared" si="4"/>
        <v>-111</v>
      </c>
      <c r="X443" s="523">
        <f t="shared" si="4"/>
        <v>367</v>
      </c>
      <c r="Y443" s="523">
        <f t="shared" si="4"/>
        <v>-217</v>
      </c>
      <c r="Z443" s="523">
        <f t="shared" si="4"/>
        <v>-1023</v>
      </c>
      <c r="AA443" s="523">
        <f t="shared" si="4"/>
        <v>-60</v>
      </c>
      <c r="AB443" s="523">
        <f t="shared" si="4"/>
        <v>-49</v>
      </c>
      <c r="AC443" s="523">
        <f t="shared" si="4"/>
        <v>-2860</v>
      </c>
      <c r="AD443" s="523">
        <f t="shared" si="4"/>
        <v>1334</v>
      </c>
      <c r="AE443" s="523">
        <f t="shared" si="4"/>
        <v>-86712</v>
      </c>
      <c r="AF443" s="523">
        <f t="shared" si="4"/>
        <v>-42608</v>
      </c>
      <c r="AG443" s="523">
        <f t="shared" si="4"/>
        <v>-17036</v>
      </c>
      <c r="AH443" s="523">
        <f t="shared" si="4"/>
        <v>-29286</v>
      </c>
      <c r="AI443" s="523">
        <f t="shared" si="4"/>
        <v>-1455.24</v>
      </c>
      <c r="AJ443" s="523">
        <f t="shared" si="4"/>
        <v>-247994</v>
      </c>
      <c r="AK443" s="523">
        <f t="shared" si="4"/>
        <v>-8808</v>
      </c>
      <c r="AL443" s="523">
        <f t="shared" si="4"/>
        <v>0</v>
      </c>
      <c r="AM443" s="523">
        <f t="shared" si="4"/>
        <v>300</v>
      </c>
      <c r="AN443" s="523">
        <f t="shared" si="4"/>
        <v>176</v>
      </c>
      <c r="AO443" s="523">
        <f t="shared" si="4"/>
        <v>0</v>
      </c>
      <c r="AP443" s="523">
        <f t="shared" si="4"/>
        <v>0</v>
      </c>
      <c r="AQ443" s="523">
        <f t="shared" si="4"/>
        <v>9</v>
      </c>
      <c r="AR443" s="523">
        <f t="shared" si="4"/>
        <v>60</v>
      </c>
      <c r="AS443" s="523">
        <f t="shared" si="4"/>
        <v>-419328</v>
      </c>
      <c r="AT443" s="523">
        <f t="shared" si="4"/>
        <v>-453176</v>
      </c>
      <c r="AU443" s="523">
        <f t="shared" si="4"/>
        <v>-453176</v>
      </c>
      <c r="AV443" s="430"/>
    </row>
    <row r="444" spans="1:48">
      <c r="K444" s="404" t="s">
        <v>11529</v>
      </c>
      <c r="P444" s="404" t="s">
        <v>11529</v>
      </c>
      <c r="Q444" s="404" t="s">
        <v>11529</v>
      </c>
      <c r="R444" s="404" t="s">
        <v>11529</v>
      </c>
      <c r="W444" s="397"/>
      <c r="AO444" s="524" t="s">
        <v>11789</v>
      </c>
      <c r="AQ444" s="524" t="s">
        <v>11790</v>
      </c>
    </row>
    <row r="445" s="403" customFormat="1" spans="1:48">
      <c r="A445" s="504"/>
      <c r="B445" s="504"/>
      <c r="C445" s="504"/>
      <c r="D445" s="505" t="s">
        <v>35</v>
      </c>
      <c r="E445" s="504"/>
      <c r="F445" s="504"/>
      <c r="G445" s="504"/>
      <c r="H445" s="504"/>
      <c r="I445" s="506"/>
      <c r="J445" s="506"/>
      <c r="K445" s="506"/>
      <c r="L445" s="506"/>
      <c r="M445" s="506"/>
      <c r="N445" s="506"/>
      <c r="O445" s="506"/>
      <c r="P445" s="506"/>
      <c r="Q445" s="506"/>
      <c r="R445" s="506"/>
      <c r="S445" s="506"/>
      <c r="T445" s="506"/>
      <c r="U445" s="506"/>
      <c r="V445" s="506"/>
      <c r="W445" s="506"/>
      <c r="X445" s="506"/>
      <c r="Y445" s="506"/>
      <c r="Z445" s="506"/>
      <c r="AA445" s="506"/>
      <c r="AB445" s="506"/>
      <c r="AC445" s="506"/>
      <c r="AD445" s="506"/>
      <c r="AE445" s="506"/>
      <c r="AF445" s="506"/>
      <c r="AG445" s="506"/>
      <c r="AH445" s="506"/>
      <c r="AI445" s="506"/>
      <c r="AJ445" s="506"/>
      <c r="AK445" s="506"/>
      <c r="AL445" s="506"/>
      <c r="AM445" s="506"/>
      <c r="AN445" s="506"/>
      <c r="AO445" s="506"/>
      <c r="AP445" s="506"/>
      <c r="AQ445" s="506"/>
      <c r="AR445" s="506"/>
      <c r="AS445" s="506"/>
      <c r="AT445" s="506"/>
      <c r="AU445" s="506"/>
      <c r="AV445" s="507"/>
    </row>
  </sheetData>
  <sheetProtection formatCells="0" formatColumns="0" formatRows="0" insertRows="0" insertColumns="0" insertHyperlinks="0" deleteColumns="0" deleteRows="0" sort="0" autoFilter="0" pivotTables="0"/>
  <autoFilter xmlns:etc="http://www.wps.cn/officeDocument/2017/etCustomData" ref="A2:AV445" etc:filterBottomFollowUsedRange="1">
    <extLst/>
  </autoFilter>
  <mergeCells count="5">
    <mergeCell ref="A1:H1"/>
    <mergeCell ref="A438:H438"/>
    <mergeCell ref="A440:H440"/>
    <mergeCell ref="A441:H441"/>
    <mergeCell ref="A443:H443"/>
  </mergeCells>
  <conditionalFormatting sqref="G443">
    <cfRule type="cellIs" dxfId="0" priority="3" operator="lessThan">
      <formula>0</formula>
    </cfRule>
  </conditionalFormatting>
  <conditionalFormatting sqref="X443:Y443">
    <cfRule type="cellIs" dxfId="0" priority="8" operator="lessThan">
      <formula>0</formula>
    </cfRule>
  </conditionalFormatting>
  <conditionalFormatting sqref="Z443:AA443">
    <cfRule type="cellIs" dxfId="0" priority="7" operator="lessThan">
      <formula>0</formula>
    </cfRule>
  </conditionalFormatting>
  <conditionalFormatting sqref="AB443">
    <cfRule type="cellIs" dxfId="0" priority="6" operator="lessThan">
      <formula>0</formula>
    </cfRule>
  </conditionalFormatting>
  <conditionalFormatting sqref="AD443">
    <cfRule type="cellIs" dxfId="0" priority="2" operator="lessThan">
      <formula>0</formula>
    </cfRule>
  </conditionalFormatting>
  <conditionalFormatting sqref="AM443:AN443">
    <cfRule type="cellIs" dxfId="0" priority="4" operator="lessThan">
      <formula>0</formula>
    </cfRule>
  </conditionalFormatting>
  <conditionalFormatting sqref="I445:AA445">
    <cfRule type="cellIs" dxfId="3" priority="1" operator="lessThan">
      <formula>0</formula>
    </cfRule>
  </conditionalFormatting>
  <conditionalFormatting sqref="A443:F443 H443:W443 AC443 AE443:AL443 AO443:AV443">
    <cfRule type="cellIs" dxfId="0" priority="11" operator="lessThan">
      <formula>0</formula>
    </cfRule>
  </conditionalFormatting>
  <pageMargins left="0.699305555555556" right="0.699305555555556" top="0.75" bottom="0.75" header="0.3" footer="0.3"/>
  <pageSetup paperSize="9" orientation="portrait"/>
  <headerFooter/>
  <ignoredErrors>
    <ignoredError sqref="B336:B382"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W88"/>
  <sheetViews>
    <sheetView showGridLines="0" zoomScale="70" zoomScaleNormal="70" workbookViewId="0">
      <pane xSplit="5" ySplit="6" topLeftCell="AB7" activePane="bottomRight" state="frozen"/>
      <selection/>
      <selection pane="topRight"/>
      <selection pane="bottomLeft"/>
      <selection pane="bottomRight" activeCell="AC28" sqref="AC28:AD28"/>
    </sheetView>
  </sheetViews>
  <sheetFormatPr defaultColWidth="8.85833333333333" defaultRowHeight="14.25"/>
  <cols>
    <col min="1" max="1" width="10.7166666666667" style="328" customWidth="1"/>
    <col min="2" max="2" width="17.9166666666667" style="328" customWidth="1"/>
    <col min="3" max="3" width="15.65" style="328" customWidth="1"/>
    <col min="4" max="5" width="9.00833333333333" style="328" customWidth="1"/>
    <col min="6" max="36" width="15.0833333333333" style="328" customWidth="1"/>
    <col min="37" max="38" width="17.2666666666667" style="328" customWidth="1"/>
    <col min="39" max="39" width="13.0916666666667" style="328" customWidth="1"/>
    <col min="40" max="40" width="14.325" style="328" customWidth="1"/>
    <col min="41" max="42" width="17.2666666666667" style="328" customWidth="1"/>
    <col min="43" max="43" width="22.75" style="328" customWidth="1"/>
    <col min="44" max="44" width="8.85833333333333" style="328"/>
    <col min="45" max="45" width="10.15" style="328" customWidth="1"/>
    <col min="46" max="46" width="7.28333333333333" style="328" customWidth="1"/>
    <col min="47" max="47" width="9.45" style="328" customWidth="1"/>
    <col min="48" max="16384" width="8.85833333333333" style="328"/>
  </cols>
  <sheetData>
    <row r="1" s="327" customFormat="1" ht="21" customHeight="1" spans="1:49">
      <c r="A1" s="331"/>
      <c r="B1" s="332" t="s">
        <v>11791</v>
      </c>
      <c r="C1" s="332"/>
      <c r="D1" s="332"/>
      <c r="E1" s="333"/>
      <c r="F1" s="333" t="s">
        <v>11792</v>
      </c>
      <c r="G1" s="333" t="s">
        <v>11792</v>
      </c>
      <c r="H1" s="333" t="s">
        <v>11793</v>
      </c>
      <c r="I1" s="333" t="s">
        <v>11794</v>
      </c>
      <c r="J1" s="333" t="s">
        <v>11795</v>
      </c>
      <c r="K1" s="333" t="s">
        <v>11796</v>
      </c>
      <c r="L1" s="333" t="s">
        <v>11797</v>
      </c>
      <c r="M1" s="333" t="s">
        <v>11797</v>
      </c>
      <c r="N1" s="333" t="s">
        <v>11798</v>
      </c>
      <c r="O1" s="333" t="s">
        <v>11799</v>
      </c>
      <c r="P1" s="333" t="s">
        <v>11800</v>
      </c>
      <c r="Q1" s="333" t="s">
        <v>11801</v>
      </c>
      <c r="R1" s="333" t="s">
        <v>11801</v>
      </c>
      <c r="S1" s="333" t="s">
        <v>11802</v>
      </c>
      <c r="T1" s="333" t="s">
        <v>11803</v>
      </c>
      <c r="U1" s="333" t="s">
        <v>11803</v>
      </c>
      <c r="V1" s="333" t="s">
        <v>11804</v>
      </c>
      <c r="W1" s="333" t="s">
        <v>11805</v>
      </c>
      <c r="X1" s="333" t="s">
        <v>11805</v>
      </c>
      <c r="Y1" s="333" t="s">
        <v>11806</v>
      </c>
      <c r="Z1" s="333" t="s">
        <v>11806</v>
      </c>
      <c r="AA1" s="333" t="s">
        <v>11807</v>
      </c>
      <c r="AB1" s="333" t="s">
        <v>11807</v>
      </c>
      <c r="AC1" s="333" t="s">
        <v>11808</v>
      </c>
      <c r="AD1" s="333" t="s">
        <v>11808</v>
      </c>
      <c r="AE1" s="333" t="s">
        <v>11809</v>
      </c>
      <c r="AF1" s="333" t="s">
        <v>11809</v>
      </c>
      <c r="AG1" s="333" t="s">
        <v>11810</v>
      </c>
      <c r="AH1" s="333" t="s">
        <v>11810</v>
      </c>
      <c r="AI1" s="333" t="s">
        <v>11811</v>
      </c>
      <c r="AJ1" s="333" t="s">
        <v>11811</v>
      </c>
      <c r="AK1" s="334"/>
      <c r="AL1" s="334"/>
      <c r="AM1" s="334"/>
      <c r="AN1" s="334"/>
      <c r="AO1" s="334"/>
      <c r="AP1" s="334"/>
      <c r="AQ1" s="335"/>
      <c r="AW1" s="331"/>
    </row>
    <row r="2" s="327" customFormat="1" ht="21" customHeight="1" spans="1:49">
      <c r="A2" s="331"/>
      <c r="B2" s="332" t="s">
        <v>11812</v>
      </c>
      <c r="C2" s="332"/>
      <c r="D2" s="332"/>
      <c r="E2" s="333"/>
      <c r="F2" s="336">
        <v>45708</v>
      </c>
      <c r="G2" s="336">
        <v>45708</v>
      </c>
      <c r="H2" s="336">
        <v>45755</v>
      </c>
      <c r="I2" s="336">
        <v>45791</v>
      </c>
      <c r="J2" s="336">
        <v>45800</v>
      </c>
      <c r="K2" s="336">
        <v>45819</v>
      </c>
      <c r="L2" s="336">
        <v>45828</v>
      </c>
      <c r="M2" s="336">
        <v>45828</v>
      </c>
      <c r="N2" s="336">
        <v>45852</v>
      </c>
      <c r="O2" s="336">
        <v>45887</v>
      </c>
      <c r="P2" s="336">
        <v>45896</v>
      </c>
      <c r="Q2" s="336">
        <v>45904</v>
      </c>
      <c r="R2" s="336">
        <v>45904</v>
      </c>
      <c r="S2" s="336">
        <v>45929</v>
      </c>
      <c r="T2" s="336">
        <v>45950</v>
      </c>
      <c r="U2" s="336">
        <v>45950</v>
      </c>
      <c r="V2" s="336">
        <v>45959</v>
      </c>
      <c r="W2" s="336">
        <v>45988</v>
      </c>
      <c r="X2" s="336">
        <v>45988</v>
      </c>
      <c r="Y2" s="336">
        <v>46010</v>
      </c>
      <c r="Z2" s="336">
        <v>46010</v>
      </c>
      <c r="AA2" s="336">
        <v>46079</v>
      </c>
      <c r="AB2" s="336">
        <v>46079</v>
      </c>
      <c r="AC2" s="336">
        <v>46106</v>
      </c>
      <c r="AD2" s="336">
        <v>46106</v>
      </c>
      <c r="AE2" s="336">
        <v>46154</v>
      </c>
      <c r="AF2" s="336">
        <v>46154</v>
      </c>
      <c r="AG2" s="336">
        <v>46185</v>
      </c>
      <c r="AH2" s="336">
        <v>46185</v>
      </c>
      <c r="AI2" s="336">
        <v>46210</v>
      </c>
      <c r="AJ2" s="336">
        <v>46210</v>
      </c>
      <c r="AK2" s="337"/>
      <c r="AL2" s="337"/>
      <c r="AM2" s="337"/>
      <c r="AN2" s="337"/>
      <c r="AO2" s="337"/>
      <c r="AP2" s="337"/>
      <c r="AQ2" s="335"/>
      <c r="AW2" s="331"/>
    </row>
    <row r="3" s="327" customFormat="1" ht="21" customHeight="1" spans="1:49">
      <c r="A3" s="331"/>
      <c r="B3" s="332" t="s">
        <v>11813</v>
      </c>
      <c r="C3" s="332"/>
      <c r="D3" s="332"/>
      <c r="E3" s="333"/>
      <c r="F3" s="336">
        <v>45757</v>
      </c>
      <c r="G3" s="336">
        <v>45757</v>
      </c>
      <c r="H3" s="336">
        <v>45797</v>
      </c>
      <c r="I3" s="336">
        <v>45838</v>
      </c>
      <c r="J3" s="336">
        <v>45845</v>
      </c>
      <c r="K3" s="336">
        <v>45856</v>
      </c>
      <c r="L3" s="336">
        <v>45877</v>
      </c>
      <c r="M3" s="336">
        <v>45877</v>
      </c>
      <c r="N3" s="336">
        <v>45891</v>
      </c>
      <c r="O3" s="336">
        <v>45925</v>
      </c>
      <c r="P3" s="336">
        <v>45930</v>
      </c>
      <c r="Q3" s="336">
        <v>45945</v>
      </c>
      <c r="R3" s="336">
        <v>45945</v>
      </c>
      <c r="S3" s="336">
        <v>45966</v>
      </c>
      <c r="T3" s="336">
        <v>45991</v>
      </c>
      <c r="U3" s="336">
        <v>45991</v>
      </c>
      <c r="V3" s="336">
        <v>46001</v>
      </c>
      <c r="W3" s="336">
        <v>46032</v>
      </c>
      <c r="X3" s="336">
        <v>46032</v>
      </c>
      <c r="Y3" s="336">
        <v>46055</v>
      </c>
      <c r="Z3" s="336">
        <v>46055</v>
      </c>
      <c r="AA3" s="336">
        <v>46127</v>
      </c>
      <c r="AB3" s="336">
        <v>46127</v>
      </c>
      <c r="AC3" s="336">
        <v>46157</v>
      </c>
      <c r="AD3" s="336">
        <v>46157</v>
      </c>
      <c r="AE3" s="336">
        <v>46191</v>
      </c>
      <c r="AF3" s="336">
        <v>46191</v>
      </c>
      <c r="AG3" s="336">
        <v>46266</v>
      </c>
      <c r="AH3" s="336">
        <v>46266</v>
      </c>
      <c r="AI3" s="336">
        <v>46255</v>
      </c>
      <c r="AJ3" s="336">
        <v>46255</v>
      </c>
      <c r="AK3" s="338" t="s">
        <v>11814</v>
      </c>
      <c r="AL3" s="338" t="s">
        <v>11815</v>
      </c>
      <c r="AM3" s="338"/>
      <c r="AN3" s="338"/>
      <c r="AO3" s="337"/>
      <c r="AP3" s="337"/>
      <c r="AQ3" s="335"/>
      <c r="AW3" s="331"/>
    </row>
    <row r="4" s="328" customFormat="1" ht="30" spans="1:49">
      <c r="A4" s="339"/>
      <c r="B4" s="340" t="s">
        <v>11816</v>
      </c>
      <c r="C4" s="341" t="s">
        <v>11816</v>
      </c>
      <c r="D4" s="342" t="s">
        <v>11817</v>
      </c>
      <c r="E4" s="343" t="s">
        <v>11818</v>
      </c>
      <c r="F4" s="344" t="s">
        <v>11819</v>
      </c>
      <c r="G4" s="345" t="s">
        <v>11820</v>
      </c>
      <c r="H4" s="346" t="s">
        <v>11820</v>
      </c>
      <c r="I4" s="344" t="s">
        <v>11819</v>
      </c>
      <c r="J4" s="346" t="s">
        <v>11820</v>
      </c>
      <c r="K4" s="347" t="s">
        <v>11819</v>
      </c>
      <c r="L4" s="347" t="s">
        <v>11819</v>
      </c>
      <c r="M4" s="346" t="s">
        <v>11820</v>
      </c>
      <c r="N4" s="347" t="s">
        <v>11819</v>
      </c>
      <c r="O4" s="346" t="s">
        <v>11819</v>
      </c>
      <c r="P4" s="347" t="s">
        <v>11819</v>
      </c>
      <c r="Q4" s="347" t="s">
        <v>11819</v>
      </c>
      <c r="R4" s="346" t="s">
        <v>11820</v>
      </c>
      <c r="S4" s="346" t="s">
        <v>11820</v>
      </c>
      <c r="T4" s="347" t="s">
        <v>11819</v>
      </c>
      <c r="U4" s="346" t="s">
        <v>11820</v>
      </c>
      <c r="V4" s="346" t="s">
        <v>11819</v>
      </c>
      <c r="W4" s="346" t="s">
        <v>11819</v>
      </c>
      <c r="X4" s="346" t="s">
        <v>11820</v>
      </c>
      <c r="Y4" s="346" t="s">
        <v>11819</v>
      </c>
      <c r="Z4" s="346" t="s">
        <v>11820</v>
      </c>
      <c r="AA4" s="346" t="s">
        <v>11819</v>
      </c>
      <c r="AB4" s="346" t="s">
        <v>11820</v>
      </c>
      <c r="AC4" s="346" t="s">
        <v>11819</v>
      </c>
      <c r="AD4" s="346" t="s">
        <v>11820</v>
      </c>
      <c r="AE4" s="346" t="s">
        <v>11819</v>
      </c>
      <c r="AF4" s="346" t="s">
        <v>11820</v>
      </c>
      <c r="AG4" s="346" t="s">
        <v>11819</v>
      </c>
      <c r="AH4" s="346" t="s">
        <v>11820</v>
      </c>
      <c r="AI4" s="346" t="s">
        <v>11819</v>
      </c>
      <c r="AJ4" s="346" t="s">
        <v>11820</v>
      </c>
      <c r="AK4" s="347" t="s">
        <v>11821</v>
      </c>
      <c r="AL4" s="346" t="s">
        <v>11822</v>
      </c>
      <c r="AM4" s="348" t="s">
        <v>11823</v>
      </c>
      <c r="AN4" s="349" t="s">
        <v>11824</v>
      </c>
      <c r="AO4" s="346" t="s">
        <v>11825</v>
      </c>
      <c r="AP4" s="346" t="s">
        <v>11826</v>
      </c>
      <c r="AQ4" s="350" t="s">
        <v>11827</v>
      </c>
    </row>
    <row r="5" s="328" customFormat="1" ht="36" customHeight="1" spans="1:49">
      <c r="A5" s="351"/>
      <c r="B5" s="352"/>
      <c r="C5" s="353" t="s">
        <v>11828</v>
      </c>
      <c r="D5" s="354"/>
      <c r="E5" s="354"/>
      <c r="F5" s="355">
        <v>800000</v>
      </c>
      <c r="G5" s="355">
        <v>300000</v>
      </c>
      <c r="H5" s="355">
        <v>300000</v>
      </c>
      <c r="I5" s="355">
        <v>700000</v>
      </c>
      <c r="J5" s="355">
        <v>300000</v>
      </c>
      <c r="K5" s="355">
        <v>400000</v>
      </c>
      <c r="L5" s="355">
        <v>300000</v>
      </c>
      <c r="M5" s="355">
        <v>300000</v>
      </c>
      <c r="N5" s="355">
        <v>300000</v>
      </c>
      <c r="O5" s="355">
        <v>300000</v>
      </c>
      <c r="P5" s="355">
        <v>400000</v>
      </c>
      <c r="Q5" s="355">
        <v>400000</v>
      </c>
      <c r="R5" s="355">
        <v>300000</v>
      </c>
      <c r="S5" s="355">
        <v>300000</v>
      </c>
      <c r="T5" s="355">
        <v>800000</v>
      </c>
      <c r="U5" s="355">
        <v>200000</v>
      </c>
      <c r="V5" s="355">
        <v>800000</v>
      </c>
      <c r="W5" s="355">
        <v>800000</v>
      </c>
      <c r="X5" s="355">
        <v>200000</v>
      </c>
      <c r="Y5" s="355">
        <v>500000</v>
      </c>
      <c r="Z5" s="355">
        <v>300000</v>
      </c>
      <c r="AA5" s="355">
        <v>650000</v>
      </c>
      <c r="AB5" s="355">
        <v>350000</v>
      </c>
      <c r="AC5" s="355">
        <v>700000</v>
      </c>
      <c r="AD5" s="355">
        <v>800000</v>
      </c>
      <c r="AE5" s="355">
        <v>500000</v>
      </c>
      <c r="AF5" s="355">
        <v>500000</v>
      </c>
      <c r="AG5" s="355">
        <v>600000</v>
      </c>
      <c r="AH5" s="355">
        <v>500000</v>
      </c>
      <c r="AI5" s="355">
        <v>1200000</v>
      </c>
      <c r="AJ5" s="355">
        <v>0</v>
      </c>
      <c r="AK5" s="356">
        <f>F5+Q5+I5+K5+L5+N5+O5+P5+T5+V5+W5+Y5+AA5+AC5+AE5+AG5+AI5</f>
        <v>10150000</v>
      </c>
      <c r="AL5" s="356">
        <f>G5+R5+H5+J5+M5+S5+U5+X5+Z5+AB5+AD5+AF5+AH5+AJ5</f>
        <v>4650000</v>
      </c>
      <c r="AM5" s="355">
        <f>'77711'!AN2145</f>
        <v>9909631</v>
      </c>
      <c r="AN5" s="355">
        <f>'77711'!AO2145</f>
        <v>4453681</v>
      </c>
      <c r="AO5" s="355">
        <f>AK5-AM5</f>
        <v>240369</v>
      </c>
      <c r="AP5" s="355">
        <f>AL5-AN5</f>
        <v>196319</v>
      </c>
      <c r="AQ5" s="357" t="s">
        <v>11829</v>
      </c>
      <c r="AR5" s="358" t="s">
        <v>11830</v>
      </c>
      <c r="AS5" s="359" t="s">
        <v>11831</v>
      </c>
      <c r="AT5" s="360" t="s">
        <v>11832</v>
      </c>
      <c r="AU5" s="361" t="s">
        <v>6004</v>
      </c>
    </row>
    <row r="6" s="328" customFormat="1" ht="15" customHeight="1" spans="1:49">
      <c r="A6" s="362" t="s">
        <v>11833</v>
      </c>
      <c r="B6" s="350" t="s">
        <v>11834</v>
      </c>
      <c r="C6" s="363"/>
      <c r="D6" s="364"/>
      <c r="E6" s="364"/>
      <c r="F6" s="364"/>
      <c r="G6" s="365"/>
      <c r="H6" s="365"/>
      <c r="I6" s="365"/>
      <c r="J6" s="365"/>
      <c r="K6" s="365"/>
      <c r="L6" s="365"/>
      <c r="M6" s="365"/>
      <c r="N6" s="365"/>
      <c r="O6" s="365"/>
      <c r="P6" s="365"/>
      <c r="Q6" s="365"/>
      <c r="R6" s="365"/>
      <c r="S6" s="365"/>
      <c r="T6" s="365"/>
      <c r="U6" s="365"/>
      <c r="V6" s="365"/>
      <c r="W6" s="365"/>
      <c r="X6" s="365"/>
      <c r="Y6" s="365"/>
      <c r="Z6" s="365"/>
      <c r="AA6" s="365"/>
      <c r="AB6" s="365"/>
      <c r="AC6" s="365"/>
      <c r="AD6" s="365"/>
      <c r="AE6" s="365"/>
      <c r="AF6" s="365"/>
      <c r="AG6" s="365"/>
      <c r="AH6" s="365"/>
      <c r="AI6" s="365"/>
      <c r="AJ6" s="365"/>
      <c r="AK6" s="365"/>
      <c r="AL6" s="365"/>
      <c r="AM6" s="365"/>
      <c r="AN6" s="365"/>
      <c r="AO6" s="365"/>
      <c r="AP6" s="365"/>
      <c r="AQ6" s="350"/>
      <c r="AR6" s="366"/>
      <c r="AS6" s="366"/>
      <c r="AT6" s="366"/>
      <c r="AU6" s="366"/>
    </row>
    <row r="7" s="329" customFormat="1" ht="21" customHeight="1" spans="1:49">
      <c r="A7" s="367" t="s">
        <v>11835</v>
      </c>
      <c r="B7" s="368" t="s">
        <v>11836</v>
      </c>
      <c r="C7" s="355">
        <v>1585110</v>
      </c>
      <c r="D7" s="369">
        <v>0.014520202020202</v>
      </c>
      <c r="E7" s="369">
        <v>0.0209034792368126</v>
      </c>
      <c r="F7" s="370">
        <v>107330</v>
      </c>
      <c r="G7" s="288"/>
      <c r="H7" s="355">
        <v>37620</v>
      </c>
      <c r="I7" s="355">
        <v>60990</v>
      </c>
      <c r="J7" s="355">
        <v>37630</v>
      </c>
      <c r="K7" s="355">
        <v>34840</v>
      </c>
      <c r="L7" s="370">
        <v>63770</v>
      </c>
      <c r="M7" s="288"/>
      <c r="N7" s="355">
        <v>26130</v>
      </c>
      <c r="O7" s="355">
        <v>26140</v>
      </c>
      <c r="P7" s="355">
        <v>34850</v>
      </c>
      <c r="Q7" s="370">
        <f>VLOOKUP(B7,[1]Summary!$B:$U,20,FALSE)</f>
        <v>72470</v>
      </c>
      <c r="R7" s="288"/>
      <c r="S7" s="355">
        <f>$R$5*$E7*6</f>
        <v>37626.2626262627</v>
      </c>
      <c r="T7" s="370">
        <v>94780</v>
      </c>
      <c r="U7" s="288"/>
      <c r="V7" s="355">
        <v>69700</v>
      </c>
      <c r="W7" s="370">
        <v>94780</v>
      </c>
      <c r="X7" s="288"/>
      <c r="Y7" s="371">
        <v>81190</v>
      </c>
      <c r="Z7" s="288"/>
      <c r="AA7" s="371">
        <v>100520</v>
      </c>
      <c r="AB7" s="288"/>
      <c r="AC7" s="274">
        <v>199800</v>
      </c>
      <c r="AD7" s="274"/>
      <c r="AE7" s="371">
        <v>131680</v>
      </c>
      <c r="AF7" s="288"/>
      <c r="AG7" s="370">
        <v>142570</v>
      </c>
      <c r="AH7" s="288"/>
      <c r="AI7" s="370">
        <v>130690</v>
      </c>
      <c r="AJ7" s="288"/>
      <c r="AK7" s="372">
        <f>SUM(F7:AJ7)</f>
        <v>1585106.26262626</v>
      </c>
      <c r="AL7" s="372"/>
      <c r="AM7" s="355"/>
      <c r="AN7" s="355"/>
      <c r="AO7" s="355">
        <f>$AO$5*D7*6</f>
        <v>20941.2386363636</v>
      </c>
      <c r="AP7" s="355">
        <f>$AP$5*E7*6</f>
        <v>24622.5008417509</v>
      </c>
      <c r="AQ7" s="373" t="s">
        <v>11837</v>
      </c>
      <c r="AR7" s="366" t="s">
        <v>11838</v>
      </c>
      <c r="AS7" s="366">
        <f>50000+7000+5000+5000+7000+3000+3000+40000+20000+20000+40000+15000+5000+8000+5000+5000+76000+60000+20000</f>
        <v>394000</v>
      </c>
      <c r="AT7" s="366">
        <f>1500+300+300+300+400+700</f>
        <v>3500</v>
      </c>
      <c r="AU7" s="374">
        <f>600+200</f>
        <v>800</v>
      </c>
    </row>
    <row r="8" s="329" customFormat="1" ht="21" customHeight="1" spans="1:49">
      <c r="A8" s="375"/>
      <c r="B8" s="368" t="s">
        <v>11839</v>
      </c>
      <c r="C8" s="355">
        <v>949630</v>
      </c>
      <c r="D8" s="369">
        <v>0.014520202020202</v>
      </c>
      <c r="E8" s="369"/>
      <c r="F8" s="370">
        <v>69700</v>
      </c>
      <c r="G8" s="288"/>
      <c r="H8" s="355">
        <v>0</v>
      </c>
      <c r="I8" s="355">
        <v>60990</v>
      </c>
      <c r="J8" s="355">
        <v>0</v>
      </c>
      <c r="K8" s="355">
        <v>34850</v>
      </c>
      <c r="L8" s="370">
        <v>26130</v>
      </c>
      <c r="M8" s="288"/>
      <c r="N8" s="355">
        <v>26140</v>
      </c>
      <c r="O8" s="355">
        <v>26130</v>
      </c>
      <c r="P8" s="355">
        <v>34850</v>
      </c>
      <c r="Q8" s="370">
        <f>VLOOKUP(B8,[1]Summary!$B:$U,20,FALSE)</f>
        <v>34850</v>
      </c>
      <c r="R8" s="288"/>
      <c r="S8" s="355">
        <f t="shared" ref="S8:S39" si="0">$R$5*$E8*6</f>
        <v>0</v>
      </c>
      <c r="T8" s="370">
        <v>69700</v>
      </c>
      <c r="U8" s="288"/>
      <c r="V8" s="355">
        <v>69700</v>
      </c>
      <c r="W8" s="370">
        <v>69690</v>
      </c>
      <c r="X8" s="288"/>
      <c r="Y8" s="371">
        <v>43560</v>
      </c>
      <c r="Z8" s="288"/>
      <c r="AA8" s="371">
        <v>56630</v>
      </c>
      <c r="AB8" s="288"/>
      <c r="AC8" s="274">
        <v>76230</v>
      </c>
      <c r="AD8" s="274"/>
      <c r="AE8" s="371">
        <v>54450</v>
      </c>
      <c r="AF8" s="288"/>
      <c r="AG8" s="370">
        <v>65340</v>
      </c>
      <c r="AH8" s="288"/>
      <c r="AI8" s="370">
        <v>130690</v>
      </c>
      <c r="AJ8" s="288"/>
      <c r="AK8" s="372">
        <f t="shared" ref="AK8:AK39" si="1">SUM(F8:AJ8)</f>
        <v>949630</v>
      </c>
      <c r="AL8" s="372"/>
      <c r="AM8" s="355"/>
      <c r="AN8" s="355"/>
      <c r="AO8" s="355">
        <f t="shared" ref="AO8:AO39" si="2">$AO$5*D8*6</f>
        <v>20941.2386363636</v>
      </c>
      <c r="AP8" s="355">
        <f t="shared" ref="AP8:AP39" si="3">$AP$5*E8*6</f>
        <v>0</v>
      </c>
      <c r="AQ8" s="373" t="s">
        <v>11840</v>
      </c>
      <c r="AR8" s="376" t="s">
        <v>11841</v>
      </c>
      <c r="AS8" s="366">
        <f>'77711'!CU2145</f>
        <v>385170.24</v>
      </c>
      <c r="AT8" s="366">
        <f>'77711'!CV2145</f>
        <v>3316</v>
      </c>
      <c r="AU8" s="366">
        <f>'77711'!CW2145</f>
        <v>446</v>
      </c>
    </row>
    <row r="9" s="329" customFormat="1" ht="21" customHeight="1" spans="1:49">
      <c r="A9" s="375"/>
      <c r="B9" s="368" t="s">
        <v>11842</v>
      </c>
      <c r="C9" s="355">
        <v>949630</v>
      </c>
      <c r="D9" s="369">
        <v>0.014520202020202</v>
      </c>
      <c r="E9" s="369"/>
      <c r="F9" s="370">
        <v>69700</v>
      </c>
      <c r="G9" s="288"/>
      <c r="H9" s="355">
        <v>0</v>
      </c>
      <c r="I9" s="355">
        <v>60990</v>
      </c>
      <c r="J9" s="355">
        <v>0</v>
      </c>
      <c r="K9" s="355">
        <v>34850</v>
      </c>
      <c r="L9" s="370">
        <v>26130</v>
      </c>
      <c r="M9" s="288"/>
      <c r="N9" s="355">
        <v>26140</v>
      </c>
      <c r="O9" s="355">
        <v>26130</v>
      </c>
      <c r="P9" s="355">
        <v>34850</v>
      </c>
      <c r="Q9" s="370">
        <f>VLOOKUP(B9,[1]Summary!$B:$U,20,FALSE)</f>
        <v>34850</v>
      </c>
      <c r="R9" s="288"/>
      <c r="S9" s="355">
        <f t="shared" si="0"/>
        <v>0</v>
      </c>
      <c r="T9" s="370">
        <v>69700</v>
      </c>
      <c r="U9" s="288"/>
      <c r="V9" s="355">
        <v>69700</v>
      </c>
      <c r="W9" s="370">
        <v>69690</v>
      </c>
      <c r="X9" s="288"/>
      <c r="Y9" s="371">
        <v>43560</v>
      </c>
      <c r="Z9" s="288"/>
      <c r="AA9" s="371">
        <v>56630</v>
      </c>
      <c r="AB9" s="288"/>
      <c r="AC9" s="274">
        <v>76230</v>
      </c>
      <c r="AD9" s="274"/>
      <c r="AE9" s="371">
        <v>54450</v>
      </c>
      <c r="AF9" s="288"/>
      <c r="AG9" s="370">
        <v>65340</v>
      </c>
      <c r="AH9" s="288"/>
      <c r="AI9" s="370">
        <v>130690</v>
      </c>
      <c r="AJ9" s="288"/>
      <c r="AK9" s="372">
        <f t="shared" si="1"/>
        <v>949630</v>
      </c>
      <c r="AL9" s="372"/>
      <c r="AM9" s="355"/>
      <c r="AN9" s="355"/>
      <c r="AO9" s="355">
        <f t="shared" si="2"/>
        <v>20941.2386363636</v>
      </c>
      <c r="AP9" s="355">
        <f t="shared" si="3"/>
        <v>0</v>
      </c>
      <c r="AQ9" s="373" t="s">
        <v>11840</v>
      </c>
      <c r="AR9" s="376" t="s">
        <v>11843</v>
      </c>
      <c r="AS9" s="366">
        <f>AS7-AS8</f>
        <v>8829.76000000001</v>
      </c>
      <c r="AT9" s="366">
        <f>AT7-AT8</f>
        <v>184</v>
      </c>
      <c r="AU9" s="366">
        <f>AU7-AU8</f>
        <v>354</v>
      </c>
    </row>
    <row r="10" s="329" customFormat="1" ht="21" customHeight="1" spans="1:49">
      <c r="A10" s="375"/>
      <c r="B10" s="368" t="s">
        <v>11844</v>
      </c>
      <c r="C10" s="355">
        <v>949630</v>
      </c>
      <c r="D10" s="369">
        <v>0.014520202020202</v>
      </c>
      <c r="E10" s="369"/>
      <c r="F10" s="370">
        <v>69700</v>
      </c>
      <c r="G10" s="288"/>
      <c r="H10" s="355">
        <v>0</v>
      </c>
      <c r="I10" s="355">
        <v>60990</v>
      </c>
      <c r="J10" s="355">
        <v>0</v>
      </c>
      <c r="K10" s="355">
        <v>34850</v>
      </c>
      <c r="L10" s="370">
        <v>26130</v>
      </c>
      <c r="M10" s="288"/>
      <c r="N10" s="355">
        <v>26140</v>
      </c>
      <c r="O10" s="355">
        <v>26130</v>
      </c>
      <c r="P10" s="355">
        <v>34850</v>
      </c>
      <c r="Q10" s="370">
        <f>VLOOKUP(B10,[1]Summary!$B:$U,20,FALSE)</f>
        <v>34850</v>
      </c>
      <c r="R10" s="288"/>
      <c r="S10" s="355">
        <f t="shared" si="0"/>
        <v>0</v>
      </c>
      <c r="T10" s="370">
        <v>69700</v>
      </c>
      <c r="U10" s="288"/>
      <c r="V10" s="355">
        <v>69700</v>
      </c>
      <c r="W10" s="370">
        <v>69690</v>
      </c>
      <c r="X10" s="288"/>
      <c r="Y10" s="371">
        <v>43560</v>
      </c>
      <c r="Z10" s="288"/>
      <c r="AA10" s="371">
        <v>56630</v>
      </c>
      <c r="AB10" s="288"/>
      <c r="AC10" s="274">
        <v>76230</v>
      </c>
      <c r="AD10" s="274"/>
      <c r="AE10" s="371">
        <v>54450</v>
      </c>
      <c r="AF10" s="288"/>
      <c r="AG10" s="370">
        <v>65340</v>
      </c>
      <c r="AH10" s="288"/>
      <c r="AI10" s="370">
        <v>130690</v>
      </c>
      <c r="AJ10" s="288"/>
      <c r="AK10" s="372">
        <f t="shared" si="1"/>
        <v>949630</v>
      </c>
      <c r="AL10" s="372"/>
      <c r="AM10" s="355"/>
      <c r="AN10" s="355"/>
      <c r="AO10" s="355">
        <f t="shared" si="2"/>
        <v>20941.2386363636</v>
      </c>
      <c r="AP10" s="355">
        <f t="shared" si="3"/>
        <v>0</v>
      </c>
      <c r="AQ10" s="373" t="s">
        <v>11840</v>
      </c>
      <c r="AR10" s="328"/>
      <c r="AS10" s="328"/>
      <c r="AT10" s="328"/>
    </row>
    <row r="11" s="329" customFormat="1" ht="21" customHeight="1" spans="1:49">
      <c r="A11" s="375"/>
      <c r="B11" s="368" t="s">
        <v>11845</v>
      </c>
      <c r="C11" s="355">
        <v>1530180</v>
      </c>
      <c r="D11" s="369">
        <v>0.014520202020202</v>
      </c>
      <c r="E11" s="369">
        <v>0.0209034792368126</v>
      </c>
      <c r="F11" s="370">
        <v>107330</v>
      </c>
      <c r="G11" s="288"/>
      <c r="H11" s="355">
        <v>37620</v>
      </c>
      <c r="I11" s="355">
        <v>60990</v>
      </c>
      <c r="J11" s="355">
        <v>37630</v>
      </c>
      <c r="K11" s="355">
        <v>34840</v>
      </c>
      <c r="L11" s="370">
        <v>63770</v>
      </c>
      <c r="M11" s="288"/>
      <c r="N11" s="355">
        <v>26130</v>
      </c>
      <c r="O11" s="355">
        <v>26140</v>
      </c>
      <c r="P11" s="355">
        <v>34850</v>
      </c>
      <c r="Q11" s="370">
        <f>VLOOKUP(B11,[1]Summary!$B:$U,20,FALSE)</f>
        <v>72470</v>
      </c>
      <c r="R11" s="288"/>
      <c r="S11" s="355">
        <f t="shared" si="0"/>
        <v>37626.2626262627</v>
      </c>
      <c r="T11" s="370">
        <v>94780</v>
      </c>
      <c r="U11" s="288"/>
      <c r="V11" s="355">
        <v>69700</v>
      </c>
      <c r="W11" s="370">
        <v>94780</v>
      </c>
      <c r="X11" s="288"/>
      <c r="Y11" s="371">
        <v>81190</v>
      </c>
      <c r="Z11" s="288"/>
      <c r="AA11" s="371">
        <v>100520</v>
      </c>
      <c r="AB11" s="288"/>
      <c r="AC11" s="274">
        <v>186990</v>
      </c>
      <c r="AD11" s="274"/>
      <c r="AE11" s="371">
        <v>122520</v>
      </c>
      <c r="AF11" s="288"/>
      <c r="AG11" s="370">
        <v>131590</v>
      </c>
      <c r="AH11" s="288"/>
      <c r="AI11" s="370">
        <v>108710</v>
      </c>
      <c r="AJ11" s="288"/>
      <c r="AK11" s="372">
        <f t="shared" si="1"/>
        <v>1530176.26262626</v>
      </c>
      <c r="AL11" s="372"/>
      <c r="AM11" s="355"/>
      <c r="AN11" s="355"/>
      <c r="AO11" s="355">
        <f t="shared" si="2"/>
        <v>20941.2386363636</v>
      </c>
      <c r="AP11" s="355">
        <f t="shared" si="3"/>
        <v>24622.5008417509</v>
      </c>
      <c r="AQ11" s="373" t="s">
        <v>11837</v>
      </c>
      <c r="AR11" s="328"/>
      <c r="AS11" s="328"/>
      <c r="AT11" s="328"/>
    </row>
    <row r="12" s="329" customFormat="1" ht="21" customHeight="1" spans="1:49">
      <c r="A12" s="375"/>
      <c r="B12" s="368" t="s">
        <v>11846</v>
      </c>
      <c r="C12" s="355">
        <v>1555010</v>
      </c>
      <c r="D12" s="369">
        <v>0.0150989057239057</v>
      </c>
      <c r="E12" s="369">
        <v>0.0209034792368126</v>
      </c>
      <c r="F12" s="370">
        <v>110110</v>
      </c>
      <c r="G12" s="288"/>
      <c r="H12" s="355">
        <v>37620</v>
      </c>
      <c r="I12" s="355">
        <v>63420</v>
      </c>
      <c r="J12" s="355">
        <v>37620</v>
      </c>
      <c r="K12" s="355">
        <v>36240</v>
      </c>
      <c r="L12" s="370">
        <v>64810</v>
      </c>
      <c r="M12" s="288"/>
      <c r="N12" s="355">
        <v>27170</v>
      </c>
      <c r="O12" s="355">
        <v>27180</v>
      </c>
      <c r="P12" s="355">
        <v>36240</v>
      </c>
      <c r="Q12" s="370">
        <f>VLOOKUP(B12,[1]Summary!$B:$U,20,FALSE)</f>
        <v>73860</v>
      </c>
      <c r="R12" s="288"/>
      <c r="S12" s="355">
        <f t="shared" si="0"/>
        <v>37626.2626262627</v>
      </c>
      <c r="T12" s="370">
        <v>97560</v>
      </c>
      <c r="U12" s="288"/>
      <c r="V12" s="355">
        <v>72470</v>
      </c>
      <c r="W12" s="370">
        <v>97560</v>
      </c>
      <c r="X12" s="288"/>
      <c r="Y12" s="371">
        <v>82920</v>
      </c>
      <c r="Z12" s="288"/>
      <c r="AA12" s="371">
        <v>102790</v>
      </c>
      <c r="AB12" s="288"/>
      <c r="AC12" s="274">
        <v>186980</v>
      </c>
      <c r="AD12" s="274"/>
      <c r="AE12" s="371">
        <v>122530</v>
      </c>
      <c r="AF12" s="288"/>
      <c r="AG12" s="370">
        <v>131590</v>
      </c>
      <c r="AH12" s="288"/>
      <c r="AI12" s="370">
        <v>108710</v>
      </c>
      <c r="AJ12" s="288"/>
      <c r="AK12" s="372">
        <f t="shared" si="1"/>
        <v>1555006.26262626</v>
      </c>
      <c r="AL12" s="372"/>
      <c r="AM12" s="355"/>
      <c r="AN12" s="355"/>
      <c r="AO12" s="355">
        <f t="shared" si="2"/>
        <v>21775.8532196969</v>
      </c>
      <c r="AP12" s="355">
        <f t="shared" si="3"/>
        <v>24622.5008417509</v>
      </c>
      <c r="AQ12" s="373" t="s">
        <v>11837</v>
      </c>
      <c r="AR12" s="328"/>
      <c r="AS12" s="328"/>
      <c r="AT12" s="328"/>
    </row>
    <row r="13" s="329" customFormat="1" ht="21" customHeight="1" spans="1:49">
      <c r="A13" s="375"/>
      <c r="B13" s="368" t="s">
        <v>11847</v>
      </c>
      <c r="C13" s="355">
        <v>919530</v>
      </c>
      <c r="D13" s="369">
        <v>0.0150989057239057</v>
      </c>
      <c r="E13" s="369"/>
      <c r="F13" s="370">
        <v>72480</v>
      </c>
      <c r="G13" s="288"/>
      <c r="H13" s="355">
        <v>0</v>
      </c>
      <c r="I13" s="355">
        <v>63420</v>
      </c>
      <c r="J13" s="355">
        <v>0</v>
      </c>
      <c r="K13" s="355">
        <v>36230</v>
      </c>
      <c r="L13" s="370">
        <v>27180</v>
      </c>
      <c r="M13" s="288"/>
      <c r="N13" s="355">
        <v>27180</v>
      </c>
      <c r="O13" s="355">
        <v>27180</v>
      </c>
      <c r="P13" s="355">
        <v>36230</v>
      </c>
      <c r="Q13" s="370">
        <f>VLOOKUP(B13,[1]Summary!$B:$U,20,FALSE)</f>
        <v>36240</v>
      </c>
      <c r="R13" s="288"/>
      <c r="S13" s="355">
        <f t="shared" si="0"/>
        <v>0</v>
      </c>
      <c r="T13" s="370">
        <v>72480</v>
      </c>
      <c r="U13" s="288"/>
      <c r="V13" s="355">
        <v>72470</v>
      </c>
      <c r="W13" s="370">
        <v>72480</v>
      </c>
      <c r="X13" s="288"/>
      <c r="Y13" s="371">
        <v>45290</v>
      </c>
      <c r="Z13" s="288"/>
      <c r="AA13" s="371">
        <v>58890</v>
      </c>
      <c r="AB13" s="288"/>
      <c r="AC13" s="274">
        <v>63410</v>
      </c>
      <c r="AD13" s="274"/>
      <c r="AE13" s="371">
        <v>45300</v>
      </c>
      <c r="AF13" s="288"/>
      <c r="AG13" s="370">
        <v>54360</v>
      </c>
      <c r="AH13" s="288"/>
      <c r="AI13" s="370">
        <v>108710</v>
      </c>
      <c r="AJ13" s="288"/>
      <c r="AK13" s="372">
        <f t="shared" si="1"/>
        <v>919530</v>
      </c>
      <c r="AL13" s="372"/>
      <c r="AM13" s="355"/>
      <c r="AN13" s="355"/>
      <c r="AO13" s="355">
        <f t="shared" si="2"/>
        <v>21775.8532196969</v>
      </c>
      <c r="AP13" s="355">
        <f t="shared" si="3"/>
        <v>0</v>
      </c>
      <c r="AQ13" s="373" t="s">
        <v>11840</v>
      </c>
      <c r="AR13" s="328"/>
      <c r="AS13" s="328"/>
      <c r="AT13" s="328"/>
    </row>
    <row r="14" s="329" customFormat="1" ht="21" customHeight="1" spans="1:49">
      <c r="A14" s="375"/>
      <c r="B14" s="368" t="s">
        <v>11848</v>
      </c>
      <c r="C14" s="355">
        <v>919530</v>
      </c>
      <c r="D14" s="369">
        <v>0.0150989057239057</v>
      </c>
      <c r="E14" s="369"/>
      <c r="F14" s="370">
        <v>72480</v>
      </c>
      <c r="G14" s="288"/>
      <c r="H14" s="355">
        <v>0</v>
      </c>
      <c r="I14" s="355">
        <v>63420</v>
      </c>
      <c r="J14" s="355">
        <v>0</v>
      </c>
      <c r="K14" s="355">
        <v>36230</v>
      </c>
      <c r="L14" s="370">
        <v>27180</v>
      </c>
      <c r="M14" s="288"/>
      <c r="N14" s="355">
        <v>27180</v>
      </c>
      <c r="O14" s="355">
        <v>27180</v>
      </c>
      <c r="P14" s="355">
        <v>36230</v>
      </c>
      <c r="Q14" s="370">
        <f>VLOOKUP(B14,[1]Summary!$B:$U,20,FALSE)</f>
        <v>36240</v>
      </c>
      <c r="R14" s="288"/>
      <c r="S14" s="355">
        <f t="shared" si="0"/>
        <v>0</v>
      </c>
      <c r="T14" s="370">
        <v>72480</v>
      </c>
      <c r="U14" s="288"/>
      <c r="V14" s="355">
        <v>72470</v>
      </c>
      <c r="W14" s="370">
        <v>72480</v>
      </c>
      <c r="X14" s="288"/>
      <c r="Y14" s="371">
        <v>45290</v>
      </c>
      <c r="Z14" s="288"/>
      <c r="AA14" s="371">
        <v>58890</v>
      </c>
      <c r="AB14" s="288"/>
      <c r="AC14" s="274">
        <v>63410</v>
      </c>
      <c r="AD14" s="274"/>
      <c r="AE14" s="371">
        <v>45300</v>
      </c>
      <c r="AF14" s="288"/>
      <c r="AG14" s="370">
        <v>54360</v>
      </c>
      <c r="AH14" s="288"/>
      <c r="AI14" s="370">
        <v>108710</v>
      </c>
      <c r="AJ14" s="288"/>
      <c r="AK14" s="372">
        <f t="shared" si="1"/>
        <v>919530</v>
      </c>
      <c r="AL14" s="372"/>
      <c r="AM14" s="355"/>
      <c r="AN14" s="355"/>
      <c r="AO14" s="355">
        <f t="shared" si="2"/>
        <v>21775.8532196969</v>
      </c>
      <c r="AP14" s="355">
        <f t="shared" si="3"/>
        <v>0</v>
      </c>
      <c r="AQ14" s="373" t="s">
        <v>11840</v>
      </c>
      <c r="AR14" s="328"/>
      <c r="AS14" s="328"/>
      <c r="AT14" s="328"/>
    </row>
    <row r="15" s="329" customFormat="1" ht="21" customHeight="1" spans="1:49">
      <c r="A15" s="375"/>
      <c r="B15" s="368" t="s">
        <v>11849</v>
      </c>
      <c r="C15" s="355">
        <v>864600</v>
      </c>
      <c r="D15" s="369">
        <v>0.0150989057239057</v>
      </c>
      <c r="E15" s="369"/>
      <c r="F15" s="370">
        <v>72480</v>
      </c>
      <c r="G15" s="288"/>
      <c r="H15" s="355">
        <v>0</v>
      </c>
      <c r="I15" s="355">
        <v>63420</v>
      </c>
      <c r="J15" s="355">
        <v>0</v>
      </c>
      <c r="K15" s="355">
        <v>36230</v>
      </c>
      <c r="L15" s="370">
        <v>27180</v>
      </c>
      <c r="M15" s="288"/>
      <c r="N15" s="355">
        <v>27180</v>
      </c>
      <c r="O15" s="355">
        <v>27180</v>
      </c>
      <c r="P15" s="355">
        <v>36230</v>
      </c>
      <c r="Q15" s="370">
        <f>VLOOKUP(B15,[1]Summary!$B:$U,20,FALSE)</f>
        <v>36240</v>
      </c>
      <c r="R15" s="288"/>
      <c r="S15" s="355">
        <f t="shared" si="0"/>
        <v>0</v>
      </c>
      <c r="T15" s="370">
        <v>72480</v>
      </c>
      <c r="U15" s="288"/>
      <c r="V15" s="355">
        <v>72470</v>
      </c>
      <c r="W15" s="370">
        <v>72480</v>
      </c>
      <c r="X15" s="288"/>
      <c r="Y15" s="371">
        <v>45290</v>
      </c>
      <c r="Z15" s="288"/>
      <c r="AA15" s="371">
        <v>58890</v>
      </c>
      <c r="AB15" s="288"/>
      <c r="AC15" s="274">
        <v>50600</v>
      </c>
      <c r="AD15" s="274"/>
      <c r="AE15" s="371">
        <v>36140</v>
      </c>
      <c r="AF15" s="288"/>
      <c r="AG15" s="370">
        <v>43370</v>
      </c>
      <c r="AH15" s="288"/>
      <c r="AI15" s="370">
        <v>86740</v>
      </c>
      <c r="AJ15" s="288"/>
      <c r="AK15" s="372">
        <f t="shared" si="1"/>
        <v>864600</v>
      </c>
      <c r="AL15" s="372"/>
      <c r="AM15" s="355"/>
      <c r="AN15" s="355"/>
      <c r="AO15" s="355">
        <f t="shared" si="2"/>
        <v>21775.8532196969</v>
      </c>
      <c r="AP15" s="355">
        <f t="shared" si="3"/>
        <v>0</v>
      </c>
      <c r="AQ15" s="373" t="s">
        <v>11840</v>
      </c>
      <c r="AR15" s="328"/>
      <c r="AS15" s="328"/>
      <c r="AT15" s="328"/>
    </row>
    <row r="16" s="329" customFormat="1" ht="21" customHeight="1" spans="1:49">
      <c r="A16" s="375"/>
      <c r="B16" s="368" t="s">
        <v>11850</v>
      </c>
      <c r="C16" s="355">
        <v>733700</v>
      </c>
      <c r="D16" s="369">
        <v>0.0120475589225589</v>
      </c>
      <c r="E16" s="369"/>
      <c r="F16" s="370">
        <v>57830</v>
      </c>
      <c r="G16" s="288"/>
      <c r="H16" s="355">
        <v>0</v>
      </c>
      <c r="I16" s="355">
        <v>50600</v>
      </c>
      <c r="J16" s="355">
        <v>0</v>
      </c>
      <c r="K16" s="355">
        <v>28920</v>
      </c>
      <c r="L16" s="370">
        <v>21680</v>
      </c>
      <c r="M16" s="288"/>
      <c r="N16" s="355">
        <v>21690</v>
      </c>
      <c r="O16" s="355">
        <v>21680</v>
      </c>
      <c r="P16" s="355">
        <v>28920</v>
      </c>
      <c r="Q16" s="370">
        <f>VLOOKUP(B16,[1]Summary!$B:$U,20,FALSE)</f>
        <v>28910</v>
      </c>
      <c r="R16" s="288"/>
      <c r="S16" s="355">
        <f t="shared" si="0"/>
        <v>0</v>
      </c>
      <c r="T16" s="370">
        <v>57830</v>
      </c>
      <c r="U16" s="288"/>
      <c r="V16" s="355">
        <v>57830</v>
      </c>
      <c r="W16" s="370">
        <v>57830</v>
      </c>
      <c r="X16" s="288"/>
      <c r="Y16" s="371">
        <v>36140</v>
      </c>
      <c r="Z16" s="288"/>
      <c r="AA16" s="371">
        <v>46990</v>
      </c>
      <c r="AB16" s="288"/>
      <c r="AC16" s="274">
        <v>50600</v>
      </c>
      <c r="AD16" s="274"/>
      <c r="AE16" s="371">
        <v>36140</v>
      </c>
      <c r="AF16" s="288"/>
      <c r="AG16" s="370">
        <v>43370</v>
      </c>
      <c r="AH16" s="288"/>
      <c r="AI16" s="370">
        <v>86740</v>
      </c>
      <c r="AJ16" s="288"/>
      <c r="AK16" s="372">
        <f t="shared" si="1"/>
        <v>733700</v>
      </c>
      <c r="AL16" s="372"/>
      <c r="AM16" s="355"/>
      <c r="AN16" s="355"/>
      <c r="AO16" s="355">
        <f t="shared" si="2"/>
        <v>17375.1581439394</v>
      </c>
      <c r="AP16" s="355">
        <f t="shared" si="3"/>
        <v>0</v>
      </c>
      <c r="AQ16" s="373" t="s">
        <v>11840</v>
      </c>
      <c r="AR16" s="328"/>
      <c r="AS16" s="328"/>
      <c r="AT16" s="328"/>
    </row>
    <row r="17" s="329" customFormat="1" ht="21" customHeight="1" spans="1:46">
      <c r="A17" s="375"/>
      <c r="B17" s="368" t="s">
        <v>11851</v>
      </c>
      <c r="C17" s="355">
        <v>733700</v>
      </c>
      <c r="D17" s="369">
        <v>0.0120475589225589</v>
      </c>
      <c r="E17" s="369"/>
      <c r="F17" s="370">
        <v>57830</v>
      </c>
      <c r="G17" s="288"/>
      <c r="H17" s="355">
        <v>0</v>
      </c>
      <c r="I17" s="355">
        <v>50600</v>
      </c>
      <c r="J17" s="355">
        <v>0</v>
      </c>
      <c r="K17" s="355">
        <v>28920</v>
      </c>
      <c r="L17" s="370">
        <v>21680</v>
      </c>
      <c r="M17" s="288"/>
      <c r="N17" s="355">
        <v>21690</v>
      </c>
      <c r="O17" s="355">
        <v>21680</v>
      </c>
      <c r="P17" s="355">
        <v>28920</v>
      </c>
      <c r="Q17" s="370">
        <f>VLOOKUP(B17,[1]Summary!$B:$U,20,FALSE)</f>
        <v>28910</v>
      </c>
      <c r="R17" s="288"/>
      <c r="S17" s="355">
        <f t="shared" si="0"/>
        <v>0</v>
      </c>
      <c r="T17" s="370">
        <v>57830</v>
      </c>
      <c r="U17" s="288"/>
      <c r="V17" s="355">
        <v>57830</v>
      </c>
      <c r="W17" s="370">
        <v>57830</v>
      </c>
      <c r="X17" s="288"/>
      <c r="Y17" s="371">
        <v>36140</v>
      </c>
      <c r="Z17" s="288"/>
      <c r="AA17" s="371">
        <v>46990</v>
      </c>
      <c r="AB17" s="288"/>
      <c r="AC17" s="274">
        <v>50600</v>
      </c>
      <c r="AD17" s="274"/>
      <c r="AE17" s="371">
        <v>36140</v>
      </c>
      <c r="AF17" s="288"/>
      <c r="AG17" s="370">
        <v>43370</v>
      </c>
      <c r="AH17" s="288"/>
      <c r="AI17" s="370">
        <v>86740</v>
      </c>
      <c r="AJ17" s="288"/>
      <c r="AK17" s="372">
        <f t="shared" si="1"/>
        <v>733700</v>
      </c>
      <c r="AL17" s="372"/>
      <c r="AM17" s="355"/>
      <c r="AN17" s="355"/>
      <c r="AO17" s="355">
        <f t="shared" si="2"/>
        <v>17375.1581439394</v>
      </c>
      <c r="AP17" s="355">
        <f t="shared" si="3"/>
        <v>0</v>
      </c>
      <c r="AQ17" s="373" t="s">
        <v>11840</v>
      </c>
      <c r="AR17" s="328"/>
      <c r="AS17" s="328"/>
      <c r="AT17" s="328"/>
    </row>
    <row r="18" s="329" customFormat="1" ht="21" customHeight="1" spans="1:46">
      <c r="A18" s="375"/>
      <c r="B18" s="368" t="s">
        <v>11852</v>
      </c>
      <c r="C18" s="355">
        <v>1428210</v>
      </c>
      <c r="D18" s="369">
        <v>0.0120475589225589</v>
      </c>
      <c r="E18" s="369">
        <v>0.0242003367003367</v>
      </c>
      <c r="F18" s="370">
        <v>101390</v>
      </c>
      <c r="G18" s="288"/>
      <c r="H18" s="355">
        <v>43560</v>
      </c>
      <c r="I18" s="355">
        <v>50600</v>
      </c>
      <c r="J18" s="355">
        <v>43560</v>
      </c>
      <c r="K18" s="355">
        <v>28920</v>
      </c>
      <c r="L18" s="370">
        <v>65250</v>
      </c>
      <c r="M18" s="288"/>
      <c r="N18" s="355">
        <v>21680</v>
      </c>
      <c r="O18" s="355">
        <v>21690</v>
      </c>
      <c r="P18" s="355">
        <v>28910</v>
      </c>
      <c r="Q18" s="370">
        <f>VLOOKUP(B18,[1]Summary!$B:$U,20,FALSE)</f>
        <v>72480</v>
      </c>
      <c r="R18" s="288"/>
      <c r="S18" s="355">
        <f t="shared" si="0"/>
        <v>43560.6060606061</v>
      </c>
      <c r="T18" s="370">
        <v>86860</v>
      </c>
      <c r="U18" s="288"/>
      <c r="V18" s="355">
        <v>57830</v>
      </c>
      <c r="W18" s="370">
        <v>86870</v>
      </c>
      <c r="X18" s="288"/>
      <c r="Y18" s="371">
        <v>79700</v>
      </c>
      <c r="Z18" s="288"/>
      <c r="AA18" s="371">
        <v>97810</v>
      </c>
      <c r="AB18" s="288"/>
      <c r="AC18" s="274">
        <v>175350</v>
      </c>
      <c r="AD18" s="274"/>
      <c r="AE18" s="371">
        <v>114110</v>
      </c>
      <c r="AF18" s="288"/>
      <c r="AG18" s="370">
        <v>121340</v>
      </c>
      <c r="AH18" s="288"/>
      <c r="AI18" s="370">
        <v>86740</v>
      </c>
      <c r="AJ18" s="288"/>
      <c r="AK18" s="372">
        <f t="shared" si="1"/>
        <v>1428210.60606061</v>
      </c>
      <c r="AL18" s="372"/>
      <c r="AM18" s="355"/>
      <c r="AN18" s="355"/>
      <c r="AO18" s="355">
        <f t="shared" si="2"/>
        <v>17375.1581439394</v>
      </c>
      <c r="AP18" s="355">
        <f t="shared" si="3"/>
        <v>28505.9154040404</v>
      </c>
      <c r="AQ18" s="373" t="s">
        <v>11837</v>
      </c>
      <c r="AR18" s="328"/>
      <c r="AS18" s="328"/>
      <c r="AT18" s="328"/>
    </row>
    <row r="19" s="329" customFormat="1" ht="21" customHeight="1" spans="1:46">
      <c r="A19" s="375"/>
      <c r="B19" s="368" t="s">
        <v>11853</v>
      </c>
      <c r="C19" s="355">
        <v>3224990</v>
      </c>
      <c r="D19" s="369">
        <v>0.0374579124579124</v>
      </c>
      <c r="E19" s="369">
        <v>0.0338278619528619</v>
      </c>
      <c r="F19" s="370">
        <v>240690</v>
      </c>
      <c r="G19" s="288"/>
      <c r="H19" s="355">
        <v>60890</v>
      </c>
      <c r="I19" s="355">
        <v>157330</v>
      </c>
      <c r="J19" s="355">
        <v>60890</v>
      </c>
      <c r="K19" s="355">
        <v>89900</v>
      </c>
      <c r="L19" s="370">
        <v>128310</v>
      </c>
      <c r="M19" s="288"/>
      <c r="N19" s="355">
        <v>67420</v>
      </c>
      <c r="O19" s="355">
        <v>67430</v>
      </c>
      <c r="P19" s="355">
        <v>89900</v>
      </c>
      <c r="Q19" s="370">
        <f>VLOOKUP(B19,[1]Summary!$B:$U,20,FALSE)</f>
        <v>150790</v>
      </c>
      <c r="R19" s="288"/>
      <c r="S19" s="355">
        <f t="shared" si="0"/>
        <v>60890.1515151514</v>
      </c>
      <c r="T19" s="370">
        <v>220390</v>
      </c>
      <c r="U19" s="288"/>
      <c r="V19" s="355">
        <v>179800</v>
      </c>
      <c r="W19" s="370">
        <v>220390</v>
      </c>
      <c r="X19" s="288"/>
      <c r="Y19" s="371">
        <v>173260</v>
      </c>
      <c r="Z19" s="288"/>
      <c r="AA19" s="371">
        <v>217130</v>
      </c>
      <c r="AB19" s="288"/>
      <c r="AC19" s="274">
        <v>319690</v>
      </c>
      <c r="AD19" s="274"/>
      <c r="AE19" s="371">
        <v>213860</v>
      </c>
      <c r="AF19" s="288"/>
      <c r="AG19" s="370">
        <v>236330</v>
      </c>
      <c r="AH19" s="288"/>
      <c r="AI19" s="370">
        <v>269700</v>
      </c>
      <c r="AJ19" s="288"/>
      <c r="AK19" s="372">
        <f t="shared" si="1"/>
        <v>3224990.15151515</v>
      </c>
      <c r="AL19" s="372"/>
      <c r="AM19" s="355"/>
      <c r="AN19" s="355"/>
      <c r="AO19" s="355">
        <f t="shared" si="2"/>
        <v>54022.3257575757</v>
      </c>
      <c r="AP19" s="355">
        <f t="shared" si="3"/>
        <v>39846.3121843434</v>
      </c>
      <c r="AQ19" s="373" t="s">
        <v>11837</v>
      </c>
      <c r="AR19" s="328"/>
      <c r="AS19" s="328"/>
      <c r="AT19" s="328"/>
    </row>
    <row r="20" s="329" customFormat="1" ht="21" customHeight="1" spans="1:46">
      <c r="A20" s="375"/>
      <c r="B20" s="368" t="s">
        <v>11854</v>
      </c>
      <c r="C20" s="355">
        <v>3224990</v>
      </c>
      <c r="D20" s="369">
        <v>0.0374579124579124</v>
      </c>
      <c r="E20" s="369">
        <v>0.0338278619528619</v>
      </c>
      <c r="F20" s="370">
        <v>240690</v>
      </c>
      <c r="G20" s="288"/>
      <c r="H20" s="355">
        <v>60890</v>
      </c>
      <c r="I20" s="355">
        <v>157330</v>
      </c>
      <c r="J20" s="355">
        <v>60890</v>
      </c>
      <c r="K20" s="355">
        <v>89900</v>
      </c>
      <c r="L20" s="370">
        <v>128310</v>
      </c>
      <c r="M20" s="288"/>
      <c r="N20" s="355">
        <v>67420</v>
      </c>
      <c r="O20" s="355">
        <v>67430</v>
      </c>
      <c r="P20" s="355">
        <v>89900</v>
      </c>
      <c r="Q20" s="370">
        <f>VLOOKUP(B20,[1]Summary!$B:$U,20,FALSE)</f>
        <v>150790</v>
      </c>
      <c r="R20" s="288"/>
      <c r="S20" s="355">
        <f t="shared" si="0"/>
        <v>60890.1515151514</v>
      </c>
      <c r="T20" s="370">
        <v>220390</v>
      </c>
      <c r="U20" s="288"/>
      <c r="V20" s="355">
        <v>179800</v>
      </c>
      <c r="W20" s="370">
        <v>220390</v>
      </c>
      <c r="X20" s="288"/>
      <c r="Y20" s="371">
        <v>173260</v>
      </c>
      <c r="Z20" s="288"/>
      <c r="AA20" s="371">
        <v>217130</v>
      </c>
      <c r="AB20" s="288"/>
      <c r="AC20" s="274">
        <v>319690</v>
      </c>
      <c r="AD20" s="274"/>
      <c r="AE20" s="371">
        <v>213860</v>
      </c>
      <c r="AF20" s="288"/>
      <c r="AG20" s="370">
        <v>236330</v>
      </c>
      <c r="AH20" s="288"/>
      <c r="AI20" s="370">
        <v>269700</v>
      </c>
      <c r="AJ20" s="288"/>
      <c r="AK20" s="372">
        <f t="shared" si="1"/>
        <v>3224990.15151515</v>
      </c>
      <c r="AL20" s="372"/>
      <c r="AM20" s="355"/>
      <c r="AN20" s="355"/>
      <c r="AO20" s="355">
        <f t="shared" si="2"/>
        <v>54022.3257575757</v>
      </c>
      <c r="AP20" s="355">
        <f t="shared" si="3"/>
        <v>39846.3121843434</v>
      </c>
      <c r="AQ20" s="373" t="s">
        <v>11837</v>
      </c>
      <c r="AR20" s="328"/>
      <c r="AS20" s="328"/>
      <c r="AT20" s="328"/>
    </row>
    <row r="21" s="329" customFormat="1" ht="21" customHeight="1" spans="1:46">
      <c r="A21" s="375"/>
      <c r="B21" s="368" t="s">
        <v>11855</v>
      </c>
      <c r="C21" s="355">
        <v>3224990</v>
      </c>
      <c r="D21" s="369">
        <v>0.0374579124579124</v>
      </c>
      <c r="E21" s="369">
        <v>0.0338278619528619</v>
      </c>
      <c r="F21" s="370">
        <v>240690</v>
      </c>
      <c r="G21" s="288"/>
      <c r="H21" s="355">
        <v>60890</v>
      </c>
      <c r="I21" s="355">
        <v>157330</v>
      </c>
      <c r="J21" s="355">
        <v>60890</v>
      </c>
      <c r="K21" s="355">
        <v>89900</v>
      </c>
      <c r="L21" s="370">
        <v>128310</v>
      </c>
      <c r="M21" s="288"/>
      <c r="N21" s="355">
        <v>67420</v>
      </c>
      <c r="O21" s="355">
        <v>67430</v>
      </c>
      <c r="P21" s="355">
        <v>89900</v>
      </c>
      <c r="Q21" s="370">
        <f>VLOOKUP(B21,[1]Summary!$B:$U,20,FALSE)</f>
        <v>150790</v>
      </c>
      <c r="R21" s="288"/>
      <c r="S21" s="355">
        <f t="shared" si="0"/>
        <v>60890.1515151514</v>
      </c>
      <c r="T21" s="370">
        <v>220390</v>
      </c>
      <c r="U21" s="288"/>
      <c r="V21" s="355">
        <v>179800</v>
      </c>
      <c r="W21" s="370">
        <v>220390</v>
      </c>
      <c r="X21" s="288"/>
      <c r="Y21" s="371">
        <v>173260</v>
      </c>
      <c r="Z21" s="288"/>
      <c r="AA21" s="371">
        <v>217130</v>
      </c>
      <c r="AB21" s="288"/>
      <c r="AC21" s="274">
        <v>319690</v>
      </c>
      <c r="AD21" s="274"/>
      <c r="AE21" s="371">
        <v>213860</v>
      </c>
      <c r="AF21" s="288"/>
      <c r="AG21" s="370">
        <v>236330</v>
      </c>
      <c r="AH21" s="288"/>
      <c r="AI21" s="370">
        <v>269700</v>
      </c>
      <c r="AJ21" s="288"/>
      <c r="AK21" s="372">
        <f t="shared" si="1"/>
        <v>3224990.15151515</v>
      </c>
      <c r="AL21" s="372"/>
      <c r="AM21" s="355"/>
      <c r="AN21" s="355"/>
      <c r="AO21" s="355">
        <f t="shared" si="2"/>
        <v>54022.3257575757</v>
      </c>
      <c r="AP21" s="355">
        <f t="shared" si="3"/>
        <v>39846.3121843434</v>
      </c>
      <c r="AQ21" s="373" t="s">
        <v>11837</v>
      </c>
      <c r="AR21" s="328"/>
      <c r="AS21" s="328"/>
      <c r="AT21" s="328"/>
    </row>
    <row r="22" s="329" customFormat="1" ht="21" customHeight="1" spans="1:46">
      <c r="A22" s="375"/>
      <c r="B22" s="368" t="s">
        <v>11856</v>
      </c>
      <c r="C22" s="355">
        <v>3224990</v>
      </c>
      <c r="D22" s="369">
        <v>0.0374579124579124</v>
      </c>
      <c r="E22" s="369">
        <v>0.0338278619528619</v>
      </c>
      <c r="F22" s="370">
        <v>240690</v>
      </c>
      <c r="G22" s="288"/>
      <c r="H22" s="355">
        <v>60890</v>
      </c>
      <c r="I22" s="355">
        <v>157330</v>
      </c>
      <c r="J22" s="355">
        <v>60890</v>
      </c>
      <c r="K22" s="355">
        <v>89900</v>
      </c>
      <c r="L22" s="370">
        <v>128310</v>
      </c>
      <c r="M22" s="288"/>
      <c r="N22" s="355">
        <v>67420</v>
      </c>
      <c r="O22" s="355">
        <v>67430</v>
      </c>
      <c r="P22" s="355">
        <v>89900</v>
      </c>
      <c r="Q22" s="370">
        <f>VLOOKUP(B22,[1]Summary!$B:$U,20,FALSE)</f>
        <v>150790</v>
      </c>
      <c r="R22" s="288"/>
      <c r="S22" s="355">
        <f t="shared" si="0"/>
        <v>60890.1515151514</v>
      </c>
      <c r="T22" s="370">
        <v>220390</v>
      </c>
      <c r="U22" s="288"/>
      <c r="V22" s="355">
        <v>179800</v>
      </c>
      <c r="W22" s="370">
        <v>220390</v>
      </c>
      <c r="X22" s="288"/>
      <c r="Y22" s="371">
        <v>173260</v>
      </c>
      <c r="Z22" s="288"/>
      <c r="AA22" s="371">
        <v>217130</v>
      </c>
      <c r="AB22" s="288"/>
      <c r="AC22" s="274">
        <v>319690</v>
      </c>
      <c r="AD22" s="274"/>
      <c r="AE22" s="371">
        <v>213860</v>
      </c>
      <c r="AF22" s="288"/>
      <c r="AG22" s="370">
        <v>236330</v>
      </c>
      <c r="AH22" s="288"/>
      <c r="AI22" s="370">
        <v>269700</v>
      </c>
      <c r="AJ22" s="288"/>
      <c r="AK22" s="372">
        <f t="shared" si="1"/>
        <v>3224990.15151515</v>
      </c>
      <c r="AL22" s="372"/>
      <c r="AM22" s="355"/>
      <c r="AN22" s="355"/>
      <c r="AO22" s="355">
        <f t="shared" si="2"/>
        <v>54022.3257575757</v>
      </c>
      <c r="AP22" s="355">
        <f t="shared" si="3"/>
        <v>39846.3121843434</v>
      </c>
      <c r="AQ22" s="373" t="s">
        <v>11837</v>
      </c>
      <c r="AR22" s="328"/>
      <c r="AS22" s="328"/>
      <c r="AT22" s="328"/>
    </row>
    <row r="23" s="329" customFormat="1" ht="21" customHeight="1" spans="1:46">
      <c r="A23" s="375"/>
      <c r="B23" s="368" t="s">
        <v>11857</v>
      </c>
      <c r="C23" s="355">
        <v>3411400</v>
      </c>
      <c r="D23" s="369">
        <v>0.0374579124579124</v>
      </c>
      <c r="E23" s="369">
        <v>0.0405092592592593</v>
      </c>
      <c r="F23" s="370">
        <v>252720</v>
      </c>
      <c r="G23" s="288"/>
      <c r="H23" s="355">
        <v>72920</v>
      </c>
      <c r="I23" s="355">
        <v>157320</v>
      </c>
      <c r="J23" s="355">
        <v>72920</v>
      </c>
      <c r="K23" s="355">
        <v>89900</v>
      </c>
      <c r="L23" s="370">
        <v>140340</v>
      </c>
      <c r="M23" s="288"/>
      <c r="N23" s="355">
        <v>67420</v>
      </c>
      <c r="O23" s="355">
        <v>67420</v>
      </c>
      <c r="P23" s="355">
        <v>89900</v>
      </c>
      <c r="Q23" s="370">
        <f>VLOOKUP(B23,[1]Summary!$B:$U,20,FALSE)</f>
        <v>162820</v>
      </c>
      <c r="R23" s="288"/>
      <c r="S23" s="355">
        <f t="shared" si="0"/>
        <v>72916.6666666667</v>
      </c>
      <c r="T23" s="370">
        <v>228400</v>
      </c>
      <c r="U23" s="288"/>
      <c r="V23" s="355">
        <v>179800</v>
      </c>
      <c r="W23" s="370">
        <v>228410</v>
      </c>
      <c r="X23" s="288"/>
      <c r="Y23" s="371">
        <v>185290</v>
      </c>
      <c r="Z23" s="288"/>
      <c r="AA23" s="371">
        <v>231160</v>
      </c>
      <c r="AB23" s="288"/>
      <c r="AC23" s="274">
        <v>351770</v>
      </c>
      <c r="AD23" s="274"/>
      <c r="AE23" s="371">
        <v>233900</v>
      </c>
      <c r="AF23" s="288"/>
      <c r="AG23" s="370">
        <v>256370</v>
      </c>
      <c r="AH23" s="288"/>
      <c r="AI23" s="370">
        <v>269700</v>
      </c>
      <c r="AJ23" s="288"/>
      <c r="AK23" s="372">
        <f t="shared" si="1"/>
        <v>3411396.66666667</v>
      </c>
      <c r="AL23" s="372"/>
      <c r="AM23" s="355"/>
      <c r="AN23" s="355"/>
      <c r="AO23" s="355">
        <f t="shared" si="2"/>
        <v>54022.3257575757</v>
      </c>
      <c r="AP23" s="355">
        <f t="shared" si="3"/>
        <v>47716.4236111112</v>
      </c>
      <c r="AQ23" s="373" t="s">
        <v>11837</v>
      </c>
      <c r="AR23" s="328"/>
      <c r="AS23" s="328"/>
      <c r="AT23" s="328"/>
    </row>
    <row r="24" s="329" customFormat="1" ht="21" customHeight="1" spans="1:46">
      <c r="A24" s="375"/>
      <c r="B24" s="368" t="s">
        <v>11858</v>
      </c>
      <c r="C24" s="355">
        <v>3412200</v>
      </c>
      <c r="D24" s="369">
        <v>0.0374579124579124</v>
      </c>
      <c r="E24" s="369">
        <v>0.0405092592592593</v>
      </c>
      <c r="F24" s="370">
        <v>252720</v>
      </c>
      <c r="G24" s="288"/>
      <c r="H24" s="355">
        <v>73220</v>
      </c>
      <c r="I24" s="355">
        <v>157620</v>
      </c>
      <c r="J24" s="355">
        <v>72920</v>
      </c>
      <c r="K24" s="355">
        <v>89900</v>
      </c>
      <c r="L24" s="370">
        <v>140340</v>
      </c>
      <c r="M24" s="288"/>
      <c r="N24" s="355">
        <v>67420</v>
      </c>
      <c r="O24" s="355">
        <v>67420</v>
      </c>
      <c r="P24" s="355">
        <v>89900</v>
      </c>
      <c r="Q24" s="370">
        <f>VLOOKUP(B24,[1]Summary!$B:$U,20,FALSE)</f>
        <v>162820</v>
      </c>
      <c r="R24" s="288"/>
      <c r="S24" s="355">
        <f t="shared" si="0"/>
        <v>72916.6666666667</v>
      </c>
      <c r="T24" s="370">
        <v>228400</v>
      </c>
      <c r="U24" s="288"/>
      <c r="V24" s="355">
        <v>179800</v>
      </c>
      <c r="W24" s="370">
        <v>228610</v>
      </c>
      <c r="X24" s="288"/>
      <c r="Y24" s="371">
        <v>185290</v>
      </c>
      <c r="Z24" s="288"/>
      <c r="AA24" s="371">
        <v>231160</v>
      </c>
      <c r="AB24" s="288"/>
      <c r="AC24" s="274">
        <v>351770</v>
      </c>
      <c r="AD24" s="274"/>
      <c r="AE24" s="371">
        <v>233900</v>
      </c>
      <c r="AF24" s="288"/>
      <c r="AG24" s="370">
        <v>256370</v>
      </c>
      <c r="AH24" s="288"/>
      <c r="AI24" s="370">
        <v>269700</v>
      </c>
      <c r="AJ24" s="288"/>
      <c r="AK24" s="372">
        <f t="shared" si="1"/>
        <v>3412196.66666667</v>
      </c>
      <c r="AL24" s="372"/>
      <c r="AM24" s="355"/>
      <c r="AN24" s="355"/>
      <c r="AO24" s="355">
        <f t="shared" si="2"/>
        <v>54022.3257575757</v>
      </c>
      <c r="AP24" s="355">
        <f t="shared" si="3"/>
        <v>47716.4236111112</v>
      </c>
      <c r="AQ24" s="373" t="s">
        <v>11837</v>
      </c>
      <c r="AR24" s="328"/>
      <c r="AS24" s="328"/>
      <c r="AT24" s="328"/>
    </row>
    <row r="25" s="329" customFormat="1" ht="21" customHeight="1" spans="1:46">
      <c r="A25" s="375"/>
      <c r="B25" s="377" t="s">
        <v>11859</v>
      </c>
      <c r="C25" s="355">
        <v>3414900</v>
      </c>
      <c r="D25" s="369">
        <v>0.0374579124579124</v>
      </c>
      <c r="E25" s="369">
        <v>0.0405092592592593</v>
      </c>
      <c r="F25" s="370">
        <v>254220</v>
      </c>
      <c r="G25" s="288"/>
      <c r="H25" s="355">
        <v>72920</v>
      </c>
      <c r="I25" s="355">
        <v>157320</v>
      </c>
      <c r="J25" s="355">
        <v>72920</v>
      </c>
      <c r="K25" s="355">
        <v>89900</v>
      </c>
      <c r="L25" s="370">
        <v>140340</v>
      </c>
      <c r="M25" s="288"/>
      <c r="N25" s="355">
        <v>67420</v>
      </c>
      <c r="O25" s="355">
        <v>67420</v>
      </c>
      <c r="P25" s="355">
        <v>89900</v>
      </c>
      <c r="Q25" s="370">
        <f>VLOOKUP(B25,[1]Summary!$B:$U,20,FALSE)</f>
        <v>162820</v>
      </c>
      <c r="R25" s="288"/>
      <c r="S25" s="355">
        <f t="shared" si="0"/>
        <v>72916.6666666667</v>
      </c>
      <c r="T25" s="370">
        <v>228400</v>
      </c>
      <c r="U25" s="288"/>
      <c r="V25" s="355">
        <v>180100</v>
      </c>
      <c r="W25" s="370">
        <v>228710</v>
      </c>
      <c r="X25" s="288"/>
      <c r="Y25" s="371">
        <v>185590</v>
      </c>
      <c r="Z25" s="288"/>
      <c r="AA25" s="371">
        <v>231160</v>
      </c>
      <c r="AB25" s="288"/>
      <c r="AC25" s="274">
        <v>351770</v>
      </c>
      <c r="AD25" s="274"/>
      <c r="AE25" s="371">
        <v>234300</v>
      </c>
      <c r="AF25" s="288"/>
      <c r="AG25" s="370">
        <v>257070</v>
      </c>
      <c r="AH25" s="288"/>
      <c r="AI25" s="370">
        <v>269700</v>
      </c>
      <c r="AJ25" s="288"/>
      <c r="AK25" s="372">
        <f t="shared" si="1"/>
        <v>3414896.66666667</v>
      </c>
      <c r="AL25" s="372"/>
      <c r="AM25" s="355"/>
      <c r="AN25" s="355"/>
      <c r="AO25" s="355">
        <f t="shared" si="2"/>
        <v>54022.3257575757</v>
      </c>
      <c r="AP25" s="355">
        <f t="shared" si="3"/>
        <v>47716.4236111112</v>
      </c>
      <c r="AQ25" s="373" t="s">
        <v>11860</v>
      </c>
      <c r="AR25" s="328"/>
      <c r="AS25" s="328"/>
      <c r="AT25" s="328"/>
    </row>
    <row r="26" s="329" customFormat="1" ht="21" customHeight="1" spans="1:46">
      <c r="A26" s="375"/>
      <c r="B26" s="377" t="s">
        <v>11861</v>
      </c>
      <c r="C26" s="355">
        <v>3414900</v>
      </c>
      <c r="D26" s="369">
        <v>0.0374579124579124</v>
      </c>
      <c r="E26" s="369">
        <v>0.0405092592592593</v>
      </c>
      <c r="F26" s="370">
        <v>254220</v>
      </c>
      <c r="G26" s="288"/>
      <c r="H26" s="355">
        <v>72920</v>
      </c>
      <c r="I26" s="355">
        <v>157320</v>
      </c>
      <c r="J26" s="355">
        <v>72920</v>
      </c>
      <c r="K26" s="355">
        <v>89900</v>
      </c>
      <c r="L26" s="370">
        <v>140340</v>
      </c>
      <c r="M26" s="288"/>
      <c r="N26" s="355">
        <v>67420</v>
      </c>
      <c r="O26" s="355">
        <v>67420</v>
      </c>
      <c r="P26" s="355">
        <v>89900</v>
      </c>
      <c r="Q26" s="370">
        <f>VLOOKUP(B26,[1]Summary!$B:$U,20,FALSE)</f>
        <v>162820</v>
      </c>
      <c r="R26" s="288"/>
      <c r="S26" s="355">
        <f t="shared" si="0"/>
        <v>72916.6666666667</v>
      </c>
      <c r="T26" s="370">
        <v>228400</v>
      </c>
      <c r="U26" s="288"/>
      <c r="V26" s="355">
        <v>180100</v>
      </c>
      <c r="W26" s="370">
        <v>228710</v>
      </c>
      <c r="X26" s="288"/>
      <c r="Y26" s="371">
        <v>185590</v>
      </c>
      <c r="Z26" s="288"/>
      <c r="AA26" s="371">
        <v>231160</v>
      </c>
      <c r="AB26" s="288"/>
      <c r="AC26" s="274">
        <v>351770</v>
      </c>
      <c r="AD26" s="274"/>
      <c r="AE26" s="371">
        <v>234300</v>
      </c>
      <c r="AF26" s="288"/>
      <c r="AG26" s="370">
        <v>257070</v>
      </c>
      <c r="AH26" s="288"/>
      <c r="AI26" s="370">
        <v>269700</v>
      </c>
      <c r="AJ26" s="288"/>
      <c r="AK26" s="372">
        <f t="shared" si="1"/>
        <v>3414896.66666667</v>
      </c>
      <c r="AL26" s="372"/>
      <c r="AM26" s="355"/>
      <c r="AN26" s="355"/>
      <c r="AO26" s="355">
        <f t="shared" si="2"/>
        <v>54022.3257575757</v>
      </c>
      <c r="AP26" s="355">
        <f t="shared" si="3"/>
        <v>47716.4236111112</v>
      </c>
      <c r="AQ26" s="373" t="s">
        <v>11860</v>
      </c>
      <c r="AR26" s="328"/>
      <c r="AS26" s="328"/>
      <c r="AT26" s="328"/>
    </row>
    <row r="27" s="329" customFormat="1" ht="21" customHeight="1" spans="1:46">
      <c r="A27" s="375"/>
      <c r="B27" s="368" t="s">
        <v>11862</v>
      </c>
      <c r="C27" s="355">
        <v>3664760</v>
      </c>
      <c r="D27" s="369">
        <v>0.041087962962963</v>
      </c>
      <c r="E27" s="369">
        <v>0.0416666666666667</v>
      </c>
      <c r="F27" s="370">
        <v>272230</v>
      </c>
      <c r="G27" s="288"/>
      <c r="H27" s="355">
        <v>75000</v>
      </c>
      <c r="I27" s="355">
        <v>172570</v>
      </c>
      <c r="J27" s="355">
        <v>75000</v>
      </c>
      <c r="K27" s="355">
        <v>98610</v>
      </c>
      <c r="L27" s="370">
        <v>148960</v>
      </c>
      <c r="M27" s="288"/>
      <c r="N27" s="355">
        <v>73950</v>
      </c>
      <c r="O27" s="355">
        <v>73960</v>
      </c>
      <c r="P27" s="355">
        <v>98610</v>
      </c>
      <c r="Q27" s="370">
        <f>VLOOKUP(B27,[1]Summary!$B:$U,20,FALSE)</f>
        <v>173610</v>
      </c>
      <c r="R27" s="288"/>
      <c r="S27" s="355">
        <f t="shared" si="0"/>
        <v>75000.0000000001</v>
      </c>
      <c r="T27" s="370">
        <v>247230</v>
      </c>
      <c r="U27" s="288"/>
      <c r="V27" s="355">
        <v>197220</v>
      </c>
      <c r="W27" s="370">
        <v>247220</v>
      </c>
      <c r="X27" s="288"/>
      <c r="Y27" s="371">
        <v>198270</v>
      </c>
      <c r="Z27" s="288"/>
      <c r="AA27" s="371">
        <v>247740</v>
      </c>
      <c r="AB27" s="288"/>
      <c r="AC27" s="274">
        <v>372570</v>
      </c>
      <c r="AD27" s="274"/>
      <c r="AE27" s="371">
        <v>248260</v>
      </c>
      <c r="AF27" s="288"/>
      <c r="AG27" s="370">
        <v>272920</v>
      </c>
      <c r="AH27" s="288"/>
      <c r="AI27" s="370">
        <v>295830</v>
      </c>
      <c r="AJ27" s="288"/>
      <c r="AK27" s="372">
        <f t="shared" si="1"/>
        <v>3664760</v>
      </c>
      <c r="AL27" s="372"/>
      <c r="AM27" s="355"/>
      <c r="AN27" s="355"/>
      <c r="AO27" s="355">
        <f t="shared" si="2"/>
        <v>59257.6354166667</v>
      </c>
      <c r="AP27" s="355">
        <f t="shared" si="3"/>
        <v>49079.75</v>
      </c>
      <c r="AQ27" s="373" t="s">
        <v>11837</v>
      </c>
      <c r="AR27" s="328"/>
      <c r="AS27" s="328"/>
      <c r="AT27" s="328"/>
    </row>
    <row r="28" s="329" customFormat="1" ht="21" customHeight="1" spans="1:46">
      <c r="A28" s="375"/>
      <c r="B28" s="368" t="s">
        <v>11863</v>
      </c>
      <c r="C28" s="355">
        <v>3664760</v>
      </c>
      <c r="D28" s="369">
        <v>0.041087962962963</v>
      </c>
      <c r="E28" s="369">
        <v>0.0416666666666667</v>
      </c>
      <c r="F28" s="370">
        <v>272230</v>
      </c>
      <c r="G28" s="288"/>
      <c r="H28" s="355">
        <v>75000</v>
      </c>
      <c r="I28" s="355">
        <v>172570</v>
      </c>
      <c r="J28" s="355">
        <v>75000</v>
      </c>
      <c r="K28" s="355">
        <v>98610</v>
      </c>
      <c r="L28" s="370">
        <v>148960</v>
      </c>
      <c r="M28" s="288"/>
      <c r="N28" s="355">
        <v>73950</v>
      </c>
      <c r="O28" s="355">
        <v>73960</v>
      </c>
      <c r="P28" s="355">
        <v>98610</v>
      </c>
      <c r="Q28" s="370">
        <f>VLOOKUP(B28,[1]Summary!$B:$U,20,FALSE)</f>
        <v>173610</v>
      </c>
      <c r="R28" s="288"/>
      <c r="S28" s="355">
        <f t="shared" si="0"/>
        <v>75000.0000000001</v>
      </c>
      <c r="T28" s="370">
        <v>247230</v>
      </c>
      <c r="U28" s="288"/>
      <c r="V28" s="355">
        <v>197220</v>
      </c>
      <c r="W28" s="370">
        <v>247220</v>
      </c>
      <c r="X28" s="288"/>
      <c r="Y28" s="371">
        <v>198270</v>
      </c>
      <c r="Z28" s="288"/>
      <c r="AA28" s="371">
        <v>247740</v>
      </c>
      <c r="AB28" s="288"/>
      <c r="AC28" s="274">
        <v>372570</v>
      </c>
      <c r="AD28" s="274"/>
      <c r="AE28" s="371">
        <v>248260</v>
      </c>
      <c r="AF28" s="288"/>
      <c r="AG28" s="370">
        <v>272920</v>
      </c>
      <c r="AH28" s="288"/>
      <c r="AI28" s="370">
        <v>295830</v>
      </c>
      <c r="AJ28" s="288"/>
      <c r="AK28" s="372">
        <f t="shared" si="1"/>
        <v>3664760</v>
      </c>
      <c r="AL28" s="372"/>
      <c r="AM28" s="355"/>
      <c r="AN28" s="355"/>
      <c r="AO28" s="355">
        <f t="shared" si="2"/>
        <v>59257.6354166667</v>
      </c>
      <c r="AP28" s="355">
        <f t="shared" si="3"/>
        <v>49079.75</v>
      </c>
      <c r="AQ28" s="373" t="s">
        <v>11837</v>
      </c>
      <c r="AR28" s="328"/>
      <c r="AS28" s="328"/>
      <c r="AT28" s="328"/>
    </row>
    <row r="29" s="329" customFormat="1" ht="21" customHeight="1" spans="1:46">
      <c r="A29" s="375"/>
      <c r="B29" s="368" t="s">
        <v>11864</v>
      </c>
      <c r="C29" s="355">
        <v>3664760</v>
      </c>
      <c r="D29" s="369">
        <v>0.041087962962963</v>
      </c>
      <c r="E29" s="369">
        <v>0.0416666666666667</v>
      </c>
      <c r="F29" s="370">
        <v>272230</v>
      </c>
      <c r="G29" s="288"/>
      <c r="H29" s="355">
        <v>75000</v>
      </c>
      <c r="I29" s="355">
        <v>172570</v>
      </c>
      <c r="J29" s="355">
        <v>75000</v>
      </c>
      <c r="K29" s="355">
        <v>98610</v>
      </c>
      <c r="L29" s="370">
        <v>148960</v>
      </c>
      <c r="M29" s="288"/>
      <c r="N29" s="355">
        <v>73950</v>
      </c>
      <c r="O29" s="355">
        <v>73960</v>
      </c>
      <c r="P29" s="355">
        <v>98610</v>
      </c>
      <c r="Q29" s="370">
        <f>VLOOKUP(B29,[1]Summary!$B:$U,20,FALSE)</f>
        <v>173610</v>
      </c>
      <c r="R29" s="288"/>
      <c r="S29" s="355">
        <f t="shared" si="0"/>
        <v>75000.0000000001</v>
      </c>
      <c r="T29" s="370">
        <v>247230</v>
      </c>
      <c r="U29" s="288"/>
      <c r="V29" s="355">
        <v>197220</v>
      </c>
      <c r="W29" s="370">
        <v>247220</v>
      </c>
      <c r="X29" s="288"/>
      <c r="Y29" s="371">
        <v>198270</v>
      </c>
      <c r="Z29" s="288"/>
      <c r="AA29" s="371">
        <v>247740</v>
      </c>
      <c r="AB29" s="288"/>
      <c r="AC29" s="274">
        <v>372570</v>
      </c>
      <c r="AD29" s="274"/>
      <c r="AE29" s="371">
        <v>248260</v>
      </c>
      <c r="AF29" s="288"/>
      <c r="AG29" s="370">
        <v>272920</v>
      </c>
      <c r="AH29" s="288"/>
      <c r="AI29" s="370">
        <v>295830</v>
      </c>
      <c r="AJ29" s="288"/>
      <c r="AK29" s="372">
        <f t="shared" si="1"/>
        <v>3664760</v>
      </c>
      <c r="AL29" s="372"/>
      <c r="AM29" s="355"/>
      <c r="AN29" s="355"/>
      <c r="AO29" s="355">
        <f t="shared" si="2"/>
        <v>59257.6354166667</v>
      </c>
      <c r="AP29" s="355">
        <f t="shared" si="3"/>
        <v>49079.75</v>
      </c>
      <c r="AQ29" s="373" t="s">
        <v>11837</v>
      </c>
      <c r="AR29" s="328"/>
      <c r="AS29" s="328"/>
      <c r="AT29" s="328"/>
    </row>
    <row r="30" s="329" customFormat="1" ht="21" customHeight="1" spans="1:46">
      <c r="A30" s="375"/>
      <c r="B30" s="368" t="s">
        <v>11865</v>
      </c>
      <c r="C30" s="355">
        <v>3664760</v>
      </c>
      <c r="D30" s="369">
        <v>0.041087962962963</v>
      </c>
      <c r="E30" s="369">
        <v>0.0416666666666667</v>
      </c>
      <c r="F30" s="370">
        <v>272230</v>
      </c>
      <c r="G30" s="288"/>
      <c r="H30" s="355">
        <v>75000</v>
      </c>
      <c r="I30" s="355">
        <v>172570</v>
      </c>
      <c r="J30" s="355">
        <v>75000</v>
      </c>
      <c r="K30" s="355">
        <v>98610</v>
      </c>
      <c r="L30" s="370">
        <v>148960</v>
      </c>
      <c r="M30" s="288"/>
      <c r="N30" s="355">
        <v>73950</v>
      </c>
      <c r="O30" s="355">
        <v>73960</v>
      </c>
      <c r="P30" s="355">
        <v>98610</v>
      </c>
      <c r="Q30" s="370">
        <f>VLOOKUP(B30,[1]Summary!$B:$U,20,FALSE)</f>
        <v>173610</v>
      </c>
      <c r="R30" s="288"/>
      <c r="S30" s="355">
        <f t="shared" si="0"/>
        <v>75000.0000000001</v>
      </c>
      <c r="T30" s="370">
        <v>247230</v>
      </c>
      <c r="U30" s="288"/>
      <c r="V30" s="355">
        <v>197220</v>
      </c>
      <c r="W30" s="370">
        <v>247220</v>
      </c>
      <c r="X30" s="288"/>
      <c r="Y30" s="371">
        <v>198270</v>
      </c>
      <c r="Z30" s="288"/>
      <c r="AA30" s="371">
        <v>247740</v>
      </c>
      <c r="AB30" s="288"/>
      <c r="AC30" s="274">
        <v>372570</v>
      </c>
      <c r="AD30" s="274"/>
      <c r="AE30" s="371">
        <v>248260</v>
      </c>
      <c r="AF30" s="288"/>
      <c r="AG30" s="370">
        <v>272920</v>
      </c>
      <c r="AH30" s="288"/>
      <c r="AI30" s="370">
        <v>295830</v>
      </c>
      <c r="AJ30" s="288"/>
      <c r="AK30" s="372">
        <f t="shared" si="1"/>
        <v>3664760</v>
      </c>
      <c r="AL30" s="372"/>
      <c r="AM30" s="355"/>
      <c r="AN30" s="355"/>
      <c r="AO30" s="355">
        <f t="shared" si="2"/>
        <v>59257.6354166667</v>
      </c>
      <c r="AP30" s="355">
        <f t="shared" si="3"/>
        <v>49079.75</v>
      </c>
      <c r="AQ30" s="373" t="s">
        <v>11837</v>
      </c>
      <c r="AR30" s="328"/>
      <c r="AS30" s="328"/>
      <c r="AT30" s="328"/>
    </row>
    <row r="31" s="329" customFormat="1" ht="21" customHeight="1" spans="1:46">
      <c r="A31" s="375"/>
      <c r="B31" s="378" t="s">
        <v>11866</v>
      </c>
      <c r="C31" s="355">
        <v>1474830</v>
      </c>
      <c r="D31" s="369">
        <v>0.0104517396184063</v>
      </c>
      <c r="E31" s="369">
        <v>0.014520202020202</v>
      </c>
      <c r="F31" s="370">
        <v>126310</v>
      </c>
      <c r="G31" s="288"/>
      <c r="H31" s="355">
        <v>33140</v>
      </c>
      <c r="I31" s="355">
        <v>48890</v>
      </c>
      <c r="J31" s="355">
        <v>31140</v>
      </c>
      <c r="K31" s="355">
        <v>30080</v>
      </c>
      <c r="L31" s="370">
        <v>49950</v>
      </c>
      <c r="M31" s="288"/>
      <c r="N31" s="355">
        <v>21820</v>
      </c>
      <c r="O31" s="355">
        <v>22810</v>
      </c>
      <c r="P31" s="355">
        <v>25080</v>
      </c>
      <c r="Q31" s="370">
        <f>VLOOKUP(B31,[1]Summary!$B:$U,20,FALSE)</f>
        <v>71220</v>
      </c>
      <c r="R31" s="288"/>
      <c r="S31" s="355">
        <f t="shared" si="0"/>
        <v>26136.3636363636</v>
      </c>
      <c r="T31" s="370">
        <v>107590</v>
      </c>
      <c r="U31" s="288"/>
      <c r="V31" s="355">
        <v>65170</v>
      </c>
      <c r="W31" s="370">
        <v>72590</v>
      </c>
      <c r="X31" s="288"/>
      <c r="Y31" s="371">
        <v>65500</v>
      </c>
      <c r="Z31" s="288"/>
      <c r="AA31" s="371">
        <v>76250</v>
      </c>
      <c r="AB31" s="288"/>
      <c r="AC31" s="274">
        <v>136020</v>
      </c>
      <c r="AD31" s="274"/>
      <c r="AE31" s="371">
        <v>161800</v>
      </c>
      <c r="AF31" s="288"/>
      <c r="AG31" s="370">
        <v>152080</v>
      </c>
      <c r="AH31" s="288"/>
      <c r="AI31" s="370">
        <v>95250</v>
      </c>
      <c r="AJ31" s="288"/>
      <c r="AK31" s="372">
        <f t="shared" si="1"/>
        <v>1418826.36363636</v>
      </c>
      <c r="AL31" s="372"/>
      <c r="AM31" s="355"/>
      <c r="AN31" s="355"/>
      <c r="AO31" s="355">
        <f t="shared" si="2"/>
        <v>15073.6452020202</v>
      </c>
      <c r="AP31" s="355">
        <f t="shared" si="3"/>
        <v>17103.5492424242</v>
      </c>
      <c r="AQ31" s="373" t="s">
        <v>11867</v>
      </c>
      <c r="AR31" s="328"/>
      <c r="AS31" s="328"/>
      <c r="AT31" s="328"/>
    </row>
    <row r="32" s="329" customFormat="1" ht="21" customHeight="1" spans="1:46">
      <c r="A32" s="375"/>
      <c r="B32" s="368" t="s">
        <v>11868</v>
      </c>
      <c r="C32" s="355">
        <v>1080830</v>
      </c>
      <c r="D32" s="369">
        <v>0.0104517396184063</v>
      </c>
      <c r="E32" s="369">
        <v>0.014520202020202</v>
      </c>
      <c r="F32" s="370">
        <v>76310</v>
      </c>
      <c r="G32" s="288"/>
      <c r="H32" s="355">
        <v>26140</v>
      </c>
      <c r="I32" s="355">
        <v>43890</v>
      </c>
      <c r="J32" s="355">
        <v>26140</v>
      </c>
      <c r="K32" s="355">
        <v>25080</v>
      </c>
      <c r="L32" s="370">
        <v>44950</v>
      </c>
      <c r="M32" s="288"/>
      <c r="N32" s="355">
        <v>18820</v>
      </c>
      <c r="O32" s="355">
        <v>18810</v>
      </c>
      <c r="P32" s="355">
        <v>25080</v>
      </c>
      <c r="Q32" s="370">
        <f>VLOOKUP(B32,[1]Summary!$B:$U,20,FALSE)</f>
        <v>51220</v>
      </c>
      <c r="R32" s="288"/>
      <c r="S32" s="355">
        <f t="shared" si="0"/>
        <v>26136.3636363636</v>
      </c>
      <c r="T32" s="370">
        <v>67590</v>
      </c>
      <c r="U32" s="288"/>
      <c r="V32" s="355">
        <v>50170</v>
      </c>
      <c r="W32" s="370">
        <v>67590</v>
      </c>
      <c r="X32" s="288"/>
      <c r="Y32" s="371">
        <v>57500</v>
      </c>
      <c r="Z32" s="288"/>
      <c r="AA32" s="371">
        <v>71250</v>
      </c>
      <c r="AB32" s="288"/>
      <c r="AC32" s="274">
        <v>131020</v>
      </c>
      <c r="AD32" s="274"/>
      <c r="AE32" s="371">
        <v>85800</v>
      </c>
      <c r="AF32" s="288"/>
      <c r="AG32" s="370">
        <v>92080</v>
      </c>
      <c r="AH32" s="288"/>
      <c r="AI32" s="370">
        <v>75250</v>
      </c>
      <c r="AJ32" s="288"/>
      <c r="AK32" s="372">
        <f t="shared" si="1"/>
        <v>1080826.36363636</v>
      </c>
      <c r="AL32" s="372"/>
      <c r="AM32" s="355"/>
      <c r="AN32" s="355"/>
      <c r="AO32" s="355">
        <f t="shared" si="2"/>
        <v>15073.6452020202</v>
      </c>
      <c r="AP32" s="355">
        <f t="shared" si="3"/>
        <v>17103.5492424242</v>
      </c>
      <c r="AQ32" s="373" t="s">
        <v>11837</v>
      </c>
      <c r="AR32" s="328"/>
      <c r="AS32" s="328"/>
      <c r="AT32" s="328"/>
    </row>
    <row r="33" s="329" customFormat="1" ht="21" customHeight="1" spans="1:46">
      <c r="A33" s="375"/>
      <c r="B33" s="368" t="s">
        <v>11869</v>
      </c>
      <c r="C33" s="355">
        <v>636520</v>
      </c>
      <c r="D33" s="369">
        <v>0.0104517396184063</v>
      </c>
      <c r="E33" s="369"/>
      <c r="F33" s="370">
        <v>50170</v>
      </c>
      <c r="G33" s="288"/>
      <c r="H33" s="355">
        <v>0</v>
      </c>
      <c r="I33" s="355">
        <v>43900</v>
      </c>
      <c r="J33" s="355">
        <v>0</v>
      </c>
      <c r="K33" s="355">
        <v>25080</v>
      </c>
      <c r="L33" s="370">
        <v>18820</v>
      </c>
      <c r="M33" s="288"/>
      <c r="N33" s="355">
        <v>18810</v>
      </c>
      <c r="O33" s="355">
        <v>18810</v>
      </c>
      <c r="P33" s="355">
        <v>25090</v>
      </c>
      <c r="Q33" s="370">
        <f>VLOOKUP(B33,[1]Summary!$B:$U,20,FALSE)</f>
        <v>25080</v>
      </c>
      <c r="R33" s="288"/>
      <c r="S33" s="355">
        <f t="shared" si="0"/>
        <v>0</v>
      </c>
      <c r="T33" s="370">
        <v>50170</v>
      </c>
      <c r="U33" s="288"/>
      <c r="V33" s="355">
        <v>50170</v>
      </c>
      <c r="W33" s="370">
        <v>50170</v>
      </c>
      <c r="X33" s="288"/>
      <c r="Y33" s="371">
        <v>31350</v>
      </c>
      <c r="Z33" s="288"/>
      <c r="AA33" s="371">
        <v>40760</v>
      </c>
      <c r="AB33" s="288"/>
      <c r="AC33" s="274">
        <v>43900</v>
      </c>
      <c r="AD33" s="274"/>
      <c r="AE33" s="371">
        <v>31360</v>
      </c>
      <c r="AF33" s="288"/>
      <c r="AG33" s="370">
        <v>37620</v>
      </c>
      <c r="AH33" s="288"/>
      <c r="AI33" s="370">
        <v>75260</v>
      </c>
      <c r="AJ33" s="288"/>
      <c r="AK33" s="372">
        <f t="shared" si="1"/>
        <v>636520</v>
      </c>
      <c r="AL33" s="372"/>
      <c r="AM33" s="355"/>
      <c r="AN33" s="355"/>
      <c r="AO33" s="355">
        <f t="shared" si="2"/>
        <v>15073.6452020202</v>
      </c>
      <c r="AP33" s="355">
        <f t="shared" si="3"/>
        <v>0</v>
      </c>
      <c r="AQ33" s="373" t="s">
        <v>11870</v>
      </c>
      <c r="AR33" s="328"/>
      <c r="AS33" s="328"/>
      <c r="AT33" s="328"/>
    </row>
    <row r="34" s="329" customFormat="1" ht="21" customHeight="1" spans="1:46">
      <c r="A34" s="375"/>
      <c r="B34" s="368" t="s">
        <v>11871</v>
      </c>
      <c r="C34" s="355">
        <v>663220</v>
      </c>
      <c r="D34" s="369">
        <v>0.0108901515151515</v>
      </c>
      <c r="E34" s="369"/>
      <c r="F34" s="370">
        <v>52280</v>
      </c>
      <c r="G34" s="288"/>
      <c r="H34" s="355">
        <v>0</v>
      </c>
      <c r="I34" s="355">
        <v>45740</v>
      </c>
      <c r="J34" s="355">
        <v>0</v>
      </c>
      <c r="K34" s="355">
        <v>26130</v>
      </c>
      <c r="L34" s="370">
        <v>19600</v>
      </c>
      <c r="M34" s="288"/>
      <c r="N34" s="355">
        <v>19610</v>
      </c>
      <c r="O34" s="355">
        <v>19600</v>
      </c>
      <c r="P34" s="355">
        <v>26140</v>
      </c>
      <c r="Q34" s="370">
        <f>VLOOKUP(B34,[1]Summary!$B:$U,20,FALSE)</f>
        <v>26130</v>
      </c>
      <c r="R34" s="288"/>
      <c r="S34" s="355">
        <f t="shared" si="0"/>
        <v>0</v>
      </c>
      <c r="T34" s="370">
        <v>52270</v>
      </c>
      <c r="U34" s="288"/>
      <c r="V34" s="355">
        <v>52280</v>
      </c>
      <c r="W34" s="370">
        <v>52270</v>
      </c>
      <c r="X34" s="288"/>
      <c r="Y34" s="371">
        <v>32670</v>
      </c>
      <c r="Z34" s="288"/>
      <c r="AA34" s="371">
        <v>42470</v>
      </c>
      <c r="AB34" s="288"/>
      <c r="AC34" s="274">
        <v>45740</v>
      </c>
      <c r="AD34" s="274"/>
      <c r="AE34" s="371">
        <v>32670</v>
      </c>
      <c r="AF34" s="288"/>
      <c r="AG34" s="370">
        <v>39210</v>
      </c>
      <c r="AH34" s="288"/>
      <c r="AI34" s="370">
        <v>78410</v>
      </c>
      <c r="AJ34" s="288"/>
      <c r="AK34" s="372">
        <f t="shared" si="1"/>
        <v>663220</v>
      </c>
      <c r="AL34" s="372"/>
      <c r="AM34" s="355"/>
      <c r="AN34" s="355"/>
      <c r="AO34" s="355">
        <f t="shared" si="2"/>
        <v>15705.9289772727</v>
      </c>
      <c r="AP34" s="355">
        <f t="shared" si="3"/>
        <v>0</v>
      </c>
      <c r="AQ34" s="373" t="s">
        <v>11870</v>
      </c>
      <c r="AR34" s="328"/>
      <c r="AS34" s="328"/>
      <c r="AT34" s="328"/>
    </row>
    <row r="35" s="329" customFormat="1" ht="21" customHeight="1" spans="1:46">
      <c r="A35" s="375"/>
      <c r="B35" s="368" t="s">
        <v>11872</v>
      </c>
      <c r="C35" s="355">
        <v>476590</v>
      </c>
      <c r="D35" s="369">
        <v>0.00536616161616162</v>
      </c>
      <c r="E35" s="369">
        <v>0.00536616161616162</v>
      </c>
      <c r="F35" s="370">
        <v>35430</v>
      </c>
      <c r="G35" s="288"/>
      <c r="H35" s="355">
        <v>9660</v>
      </c>
      <c r="I35" s="355">
        <v>22540</v>
      </c>
      <c r="J35" s="355">
        <v>9660</v>
      </c>
      <c r="K35" s="355">
        <v>12880</v>
      </c>
      <c r="L35" s="370">
        <v>19330</v>
      </c>
      <c r="M35" s="288"/>
      <c r="N35" s="355">
        <v>9660</v>
      </c>
      <c r="O35" s="355">
        <v>9660</v>
      </c>
      <c r="P35" s="355">
        <v>12880</v>
      </c>
      <c r="Q35" s="370">
        <f>VLOOKUP(B35,[1]Summary!$B:$U,20,FALSE)</f>
        <v>22540</v>
      </c>
      <c r="R35" s="288"/>
      <c r="S35" s="355">
        <f t="shared" si="0"/>
        <v>9659.09090909092</v>
      </c>
      <c r="T35" s="370">
        <v>32210</v>
      </c>
      <c r="U35" s="288"/>
      <c r="V35" s="355">
        <v>25760</v>
      </c>
      <c r="W35" s="370">
        <v>32210</v>
      </c>
      <c r="X35" s="288"/>
      <c r="Y35" s="371">
        <v>25760</v>
      </c>
      <c r="Z35" s="288"/>
      <c r="AA35" s="371">
        <v>32200</v>
      </c>
      <c r="AB35" s="288"/>
      <c r="AC35" s="274">
        <v>48300</v>
      </c>
      <c r="AD35" s="274"/>
      <c r="AE35" s="371">
        <v>32190</v>
      </c>
      <c r="AF35" s="288"/>
      <c r="AG35" s="370">
        <v>35420</v>
      </c>
      <c r="AH35" s="288"/>
      <c r="AI35" s="370">
        <v>38640</v>
      </c>
      <c r="AJ35" s="288"/>
      <c r="AK35" s="372">
        <f t="shared" si="1"/>
        <v>476589.090909091</v>
      </c>
      <c r="AL35" s="372"/>
      <c r="AM35" s="355"/>
      <c r="AN35" s="355"/>
      <c r="AO35" s="355">
        <f t="shared" si="2"/>
        <v>7739.15340909091</v>
      </c>
      <c r="AP35" s="355">
        <f t="shared" si="3"/>
        <v>6320.8768939394</v>
      </c>
      <c r="AQ35" s="373" t="s">
        <v>11837</v>
      </c>
      <c r="AR35" s="328"/>
      <c r="AS35" s="328"/>
      <c r="AT35" s="328"/>
    </row>
    <row r="36" s="329" customFormat="1" ht="21" customHeight="1" spans="1:46">
      <c r="A36" s="375"/>
      <c r="B36" s="368" t="s">
        <v>11873</v>
      </c>
      <c r="C36" s="355">
        <v>1108330</v>
      </c>
      <c r="D36" s="369">
        <v>0.0108901515151515</v>
      </c>
      <c r="E36" s="369">
        <v>0.014520202020202</v>
      </c>
      <c r="F36" s="370">
        <v>78410</v>
      </c>
      <c r="G36" s="288"/>
      <c r="H36" s="355">
        <v>26440</v>
      </c>
      <c r="I36" s="355">
        <v>46040</v>
      </c>
      <c r="J36" s="355">
        <v>26140</v>
      </c>
      <c r="K36" s="355">
        <v>26130</v>
      </c>
      <c r="L36" s="370">
        <v>45740</v>
      </c>
      <c r="M36" s="288"/>
      <c r="N36" s="355">
        <v>19600</v>
      </c>
      <c r="O36" s="355">
        <v>19600</v>
      </c>
      <c r="P36" s="355">
        <v>26140</v>
      </c>
      <c r="Q36" s="370">
        <f>VLOOKUP(B36,[1]Summary!$B:$U,20,FALSE)</f>
        <v>52270</v>
      </c>
      <c r="R36" s="288"/>
      <c r="S36" s="355">
        <f t="shared" si="0"/>
        <v>26136.3636363636</v>
      </c>
      <c r="T36" s="370">
        <v>69700</v>
      </c>
      <c r="U36" s="288"/>
      <c r="V36" s="355">
        <v>52270</v>
      </c>
      <c r="W36" s="370">
        <v>69900</v>
      </c>
      <c r="X36" s="288"/>
      <c r="Y36" s="371">
        <v>58800</v>
      </c>
      <c r="Z36" s="288"/>
      <c r="AA36" s="371">
        <v>72970</v>
      </c>
      <c r="AB36" s="288"/>
      <c r="AC36" s="274">
        <v>132860</v>
      </c>
      <c r="AD36" s="274"/>
      <c r="AE36" s="371">
        <v>87120</v>
      </c>
      <c r="AF36" s="288"/>
      <c r="AG36" s="370">
        <v>93650</v>
      </c>
      <c r="AH36" s="288"/>
      <c r="AI36" s="370">
        <v>78410</v>
      </c>
      <c r="AJ36" s="288"/>
      <c r="AK36" s="372">
        <f t="shared" si="1"/>
        <v>1108326.36363636</v>
      </c>
      <c r="AL36" s="372"/>
      <c r="AM36" s="355"/>
      <c r="AN36" s="355"/>
      <c r="AO36" s="355">
        <f t="shared" si="2"/>
        <v>15705.9289772727</v>
      </c>
      <c r="AP36" s="355">
        <f t="shared" si="3"/>
        <v>17103.5492424242</v>
      </c>
      <c r="AQ36" s="373" t="s">
        <v>11837</v>
      </c>
      <c r="AR36" s="328"/>
      <c r="AS36" s="328"/>
      <c r="AT36" s="328"/>
    </row>
    <row r="37" s="329" customFormat="1" ht="21" customHeight="1" spans="1:46">
      <c r="A37" s="375"/>
      <c r="B37" s="368" t="s">
        <v>11874</v>
      </c>
      <c r="C37" s="355">
        <v>1107530</v>
      </c>
      <c r="D37" s="369">
        <v>0.0108901515151515</v>
      </c>
      <c r="E37" s="369">
        <v>0.014520202020202</v>
      </c>
      <c r="F37" s="370">
        <v>78410</v>
      </c>
      <c r="G37" s="288"/>
      <c r="H37" s="355">
        <v>26140</v>
      </c>
      <c r="I37" s="355">
        <v>45740</v>
      </c>
      <c r="J37" s="355">
        <v>26140</v>
      </c>
      <c r="K37" s="355">
        <v>26130</v>
      </c>
      <c r="L37" s="370">
        <v>45740</v>
      </c>
      <c r="M37" s="288"/>
      <c r="N37" s="355">
        <v>19600</v>
      </c>
      <c r="O37" s="355">
        <v>19600</v>
      </c>
      <c r="P37" s="355">
        <v>26140</v>
      </c>
      <c r="Q37" s="370">
        <f>VLOOKUP(B37,[1]Summary!$B:$U,20,FALSE)</f>
        <v>52270</v>
      </c>
      <c r="R37" s="288"/>
      <c r="S37" s="355">
        <f t="shared" si="0"/>
        <v>26136.3636363636</v>
      </c>
      <c r="T37" s="370">
        <v>69700</v>
      </c>
      <c r="U37" s="288"/>
      <c r="V37" s="355">
        <v>52270</v>
      </c>
      <c r="W37" s="370">
        <v>69700</v>
      </c>
      <c r="X37" s="288"/>
      <c r="Y37" s="371">
        <v>58800</v>
      </c>
      <c r="Z37" s="288"/>
      <c r="AA37" s="371">
        <v>72970</v>
      </c>
      <c r="AB37" s="288"/>
      <c r="AC37" s="274">
        <v>132860</v>
      </c>
      <c r="AD37" s="274"/>
      <c r="AE37" s="371">
        <v>87120</v>
      </c>
      <c r="AF37" s="288"/>
      <c r="AG37" s="370">
        <v>93650</v>
      </c>
      <c r="AH37" s="288"/>
      <c r="AI37" s="370">
        <v>78410</v>
      </c>
      <c r="AJ37" s="288"/>
      <c r="AK37" s="372">
        <f t="shared" si="1"/>
        <v>1107526.36363636</v>
      </c>
      <c r="AL37" s="372"/>
      <c r="AM37" s="355"/>
      <c r="AN37" s="355"/>
      <c r="AO37" s="355">
        <f t="shared" si="2"/>
        <v>15705.9289772727</v>
      </c>
      <c r="AP37" s="355">
        <f t="shared" si="3"/>
        <v>17103.5492424242</v>
      </c>
      <c r="AQ37" s="373" t="s">
        <v>11837</v>
      </c>
      <c r="AR37" s="328"/>
      <c r="AS37" s="328"/>
      <c r="AT37" s="328"/>
    </row>
    <row r="38" s="329" customFormat="1" ht="21" customHeight="1" spans="1:46">
      <c r="A38" s="375"/>
      <c r="B38" s="368" t="s">
        <v>11875</v>
      </c>
      <c r="C38" s="355">
        <v>1203370</v>
      </c>
      <c r="D38" s="369">
        <v>0.0108901515151515</v>
      </c>
      <c r="E38" s="369">
        <v>0.0193602693602694</v>
      </c>
      <c r="F38" s="370">
        <v>87130</v>
      </c>
      <c r="G38" s="288"/>
      <c r="H38" s="355">
        <v>34840</v>
      </c>
      <c r="I38" s="355">
        <v>45740</v>
      </c>
      <c r="J38" s="355">
        <v>34850</v>
      </c>
      <c r="K38" s="355">
        <v>26140</v>
      </c>
      <c r="L38" s="370">
        <v>54450</v>
      </c>
      <c r="M38" s="288"/>
      <c r="N38" s="355">
        <v>19600</v>
      </c>
      <c r="O38" s="355">
        <v>19600</v>
      </c>
      <c r="P38" s="355">
        <v>26140</v>
      </c>
      <c r="Q38" s="370">
        <f>VLOOKUP(B38,[1]Summary!$B:$U,20,FALSE)</f>
        <v>60980</v>
      </c>
      <c r="R38" s="288"/>
      <c r="S38" s="355">
        <f t="shared" si="0"/>
        <v>34848.4848484849</v>
      </c>
      <c r="T38" s="370">
        <v>75510</v>
      </c>
      <c r="U38" s="288"/>
      <c r="V38" s="355">
        <v>52270</v>
      </c>
      <c r="W38" s="370">
        <v>75510</v>
      </c>
      <c r="X38" s="288"/>
      <c r="Y38" s="371">
        <v>67510</v>
      </c>
      <c r="Z38" s="288"/>
      <c r="AA38" s="371">
        <v>83130</v>
      </c>
      <c r="AB38" s="288"/>
      <c r="AC38" s="274">
        <v>138670</v>
      </c>
      <c r="AD38" s="274"/>
      <c r="AE38" s="371">
        <v>90750</v>
      </c>
      <c r="AF38" s="288"/>
      <c r="AG38" s="370">
        <v>97290</v>
      </c>
      <c r="AH38" s="288"/>
      <c r="AI38" s="370">
        <v>78410</v>
      </c>
      <c r="AJ38" s="288"/>
      <c r="AK38" s="372">
        <f t="shared" si="1"/>
        <v>1203368.48484848</v>
      </c>
      <c r="AL38" s="372"/>
      <c r="AM38" s="355"/>
      <c r="AN38" s="355"/>
      <c r="AO38" s="355">
        <f t="shared" si="2"/>
        <v>15705.9289772727</v>
      </c>
      <c r="AP38" s="355">
        <f t="shared" si="3"/>
        <v>22804.7323232324</v>
      </c>
      <c r="AQ38" s="373" t="s">
        <v>11837</v>
      </c>
      <c r="AR38" s="328"/>
      <c r="AS38" s="328"/>
      <c r="AT38" s="328"/>
    </row>
    <row r="39" s="329" customFormat="1" ht="21" customHeight="1" spans="1:46">
      <c r="A39" s="375"/>
      <c r="B39" s="368" t="s">
        <v>11876</v>
      </c>
      <c r="C39" s="355">
        <v>1203370</v>
      </c>
      <c r="D39" s="369">
        <v>0.0108901515151515</v>
      </c>
      <c r="E39" s="369">
        <v>0.0193602693602694</v>
      </c>
      <c r="F39" s="370">
        <v>87130</v>
      </c>
      <c r="G39" s="288"/>
      <c r="H39" s="355">
        <v>34840</v>
      </c>
      <c r="I39" s="355">
        <v>45740</v>
      </c>
      <c r="J39" s="355">
        <v>34850</v>
      </c>
      <c r="K39" s="355">
        <v>26140</v>
      </c>
      <c r="L39" s="370">
        <v>54450</v>
      </c>
      <c r="M39" s="288"/>
      <c r="N39" s="355">
        <v>19600</v>
      </c>
      <c r="O39" s="355">
        <v>19600</v>
      </c>
      <c r="P39" s="355">
        <v>26140</v>
      </c>
      <c r="Q39" s="370">
        <f>VLOOKUP(B39,[1]Summary!$B:$U,20,FALSE)</f>
        <v>60980</v>
      </c>
      <c r="R39" s="288"/>
      <c r="S39" s="355">
        <f t="shared" si="0"/>
        <v>34848.4848484849</v>
      </c>
      <c r="T39" s="370">
        <v>75510</v>
      </c>
      <c r="U39" s="288"/>
      <c r="V39" s="355">
        <v>52270</v>
      </c>
      <c r="W39" s="370">
        <v>75510</v>
      </c>
      <c r="X39" s="288"/>
      <c r="Y39" s="371">
        <v>67510</v>
      </c>
      <c r="Z39" s="288"/>
      <c r="AA39" s="371">
        <v>83130</v>
      </c>
      <c r="AB39" s="288"/>
      <c r="AC39" s="274">
        <v>138670</v>
      </c>
      <c r="AD39" s="274"/>
      <c r="AE39" s="371">
        <v>90750</v>
      </c>
      <c r="AF39" s="288"/>
      <c r="AG39" s="370">
        <v>97290</v>
      </c>
      <c r="AH39" s="288"/>
      <c r="AI39" s="370">
        <v>78410</v>
      </c>
      <c r="AJ39" s="288"/>
      <c r="AK39" s="372">
        <f t="shared" si="1"/>
        <v>1203368.48484848</v>
      </c>
      <c r="AL39" s="372"/>
      <c r="AM39" s="355"/>
      <c r="AN39" s="355"/>
      <c r="AO39" s="355">
        <f t="shared" si="2"/>
        <v>15705.9289772727</v>
      </c>
      <c r="AP39" s="355">
        <f t="shared" si="3"/>
        <v>22804.7323232324</v>
      </c>
      <c r="AQ39" s="373" t="s">
        <v>11837</v>
      </c>
      <c r="AR39" s="328"/>
      <c r="AS39" s="328"/>
      <c r="AT39" s="328"/>
    </row>
    <row r="40" s="329" customFormat="1" ht="21" customHeight="1" spans="1:46">
      <c r="A40" s="375"/>
      <c r="B40" s="368" t="s">
        <v>11877</v>
      </c>
      <c r="C40" s="355">
        <v>1203370</v>
      </c>
      <c r="D40" s="369">
        <v>0.0108901515151515</v>
      </c>
      <c r="E40" s="369">
        <v>0.0193602693602694</v>
      </c>
      <c r="F40" s="370">
        <v>87130</v>
      </c>
      <c r="G40" s="288"/>
      <c r="H40" s="355">
        <v>34840</v>
      </c>
      <c r="I40" s="355">
        <v>45740</v>
      </c>
      <c r="J40" s="355">
        <v>34850</v>
      </c>
      <c r="K40" s="355">
        <v>26140</v>
      </c>
      <c r="L40" s="370">
        <v>54450</v>
      </c>
      <c r="M40" s="288"/>
      <c r="N40" s="355">
        <v>19600</v>
      </c>
      <c r="O40" s="355">
        <v>19600</v>
      </c>
      <c r="P40" s="355">
        <v>26140</v>
      </c>
      <c r="Q40" s="370">
        <f>VLOOKUP(B40,[1]Summary!$B:$U,20,FALSE)</f>
        <v>60980</v>
      </c>
      <c r="R40" s="288"/>
      <c r="S40" s="355">
        <f t="shared" ref="S40:S80" si="4">$R$5*$E40*6</f>
        <v>34848.4848484849</v>
      </c>
      <c r="T40" s="370">
        <v>75510</v>
      </c>
      <c r="U40" s="288"/>
      <c r="V40" s="355">
        <v>52270</v>
      </c>
      <c r="W40" s="370">
        <v>75510</v>
      </c>
      <c r="X40" s="288"/>
      <c r="Y40" s="371">
        <v>67510</v>
      </c>
      <c r="Z40" s="288"/>
      <c r="AA40" s="371">
        <v>83130</v>
      </c>
      <c r="AB40" s="288"/>
      <c r="AC40" s="274">
        <v>138670</v>
      </c>
      <c r="AD40" s="274"/>
      <c r="AE40" s="371">
        <v>90750</v>
      </c>
      <c r="AF40" s="288"/>
      <c r="AG40" s="370">
        <v>97290</v>
      </c>
      <c r="AH40" s="288"/>
      <c r="AI40" s="370">
        <v>78410</v>
      </c>
      <c r="AJ40" s="288"/>
      <c r="AK40" s="372">
        <f t="shared" ref="AK40:AK80" si="5">SUM(F40:AJ40)</f>
        <v>1203368.48484848</v>
      </c>
      <c r="AL40" s="372"/>
      <c r="AM40" s="355"/>
      <c r="AN40" s="355"/>
      <c r="AO40" s="355">
        <f t="shared" ref="AO40:AO80" si="6">$AO$5*D40*6</f>
        <v>15705.9289772727</v>
      </c>
      <c r="AP40" s="355">
        <f t="shared" ref="AP40:AP80" si="7">$AP$5*E40*6</f>
        <v>22804.7323232324</v>
      </c>
      <c r="AQ40" s="373" t="s">
        <v>11837</v>
      </c>
      <c r="AR40" s="328"/>
      <c r="AS40" s="328"/>
      <c r="AT40" s="328"/>
    </row>
    <row r="41" s="329" customFormat="1" ht="21" customHeight="1" spans="1:46">
      <c r="A41" s="375"/>
      <c r="B41" s="377" t="s">
        <v>11878</v>
      </c>
      <c r="C41" s="355">
        <v>1229190</v>
      </c>
      <c r="D41" s="369">
        <v>0.0108901515151515</v>
      </c>
      <c r="E41" s="369">
        <v>0.020131874298541</v>
      </c>
      <c r="F41" s="370">
        <v>90020</v>
      </c>
      <c r="G41" s="288"/>
      <c r="H41" s="355">
        <v>36530</v>
      </c>
      <c r="I41" s="355">
        <v>46040</v>
      </c>
      <c r="J41" s="355">
        <v>36240</v>
      </c>
      <c r="K41" s="355">
        <v>26130</v>
      </c>
      <c r="L41" s="370">
        <v>55840</v>
      </c>
      <c r="M41" s="288"/>
      <c r="N41" s="355">
        <v>19610</v>
      </c>
      <c r="O41" s="355">
        <v>19600</v>
      </c>
      <c r="P41" s="355">
        <v>26140</v>
      </c>
      <c r="Q41" s="370">
        <f>VLOOKUP(B41,[1]Summary!$B:$U,20,FALSE)</f>
        <v>62370</v>
      </c>
      <c r="R41" s="288"/>
      <c r="S41" s="355">
        <f t="shared" si="4"/>
        <v>36237.3737373738</v>
      </c>
      <c r="T41" s="370">
        <v>76430</v>
      </c>
      <c r="U41" s="288"/>
      <c r="V41" s="355">
        <v>52570</v>
      </c>
      <c r="W41" s="370">
        <v>76930</v>
      </c>
      <c r="X41" s="288"/>
      <c r="Y41" s="371">
        <v>69210</v>
      </c>
      <c r="Z41" s="288"/>
      <c r="AA41" s="371">
        <v>84750</v>
      </c>
      <c r="AB41" s="288"/>
      <c r="AC41" s="274">
        <v>142370</v>
      </c>
      <c r="AD41" s="274"/>
      <c r="AE41" s="371">
        <v>93470</v>
      </c>
      <c r="AF41" s="288"/>
      <c r="AG41" s="370">
        <v>100300</v>
      </c>
      <c r="AH41" s="288"/>
      <c r="AI41" s="370">
        <v>78400</v>
      </c>
      <c r="AJ41" s="288"/>
      <c r="AK41" s="372">
        <f t="shared" si="5"/>
        <v>1229187.37373737</v>
      </c>
      <c r="AL41" s="372"/>
      <c r="AM41" s="355"/>
      <c r="AN41" s="355"/>
      <c r="AO41" s="355">
        <f t="shared" si="6"/>
        <v>15705.9289772727</v>
      </c>
      <c r="AP41" s="355">
        <f t="shared" si="7"/>
        <v>23713.6165824916</v>
      </c>
      <c r="AQ41" s="373" t="s">
        <v>11860</v>
      </c>
      <c r="AR41" s="328"/>
      <c r="AS41" s="328"/>
      <c r="AT41" s="328"/>
    </row>
    <row r="42" s="329" customFormat="1" ht="21" customHeight="1" spans="1:46">
      <c r="A42" s="375"/>
      <c r="B42" s="368" t="s">
        <v>11879</v>
      </c>
      <c r="C42" s="355">
        <v>663220</v>
      </c>
      <c r="D42" s="369">
        <v>0.0108901515151515</v>
      </c>
      <c r="E42" s="369"/>
      <c r="F42" s="370">
        <v>52280</v>
      </c>
      <c r="G42" s="288"/>
      <c r="H42" s="355">
        <v>0</v>
      </c>
      <c r="I42" s="355">
        <v>45740</v>
      </c>
      <c r="J42" s="355">
        <v>0</v>
      </c>
      <c r="K42" s="355">
        <v>26130</v>
      </c>
      <c r="L42" s="370">
        <v>19600</v>
      </c>
      <c r="M42" s="288"/>
      <c r="N42" s="355">
        <v>19610</v>
      </c>
      <c r="O42" s="355">
        <v>19600</v>
      </c>
      <c r="P42" s="355">
        <v>26140</v>
      </c>
      <c r="Q42" s="370">
        <f>VLOOKUP(B42,[1]Summary!$B:$U,20,FALSE)</f>
        <v>26130</v>
      </c>
      <c r="R42" s="288"/>
      <c r="S42" s="355">
        <f t="shared" si="4"/>
        <v>0</v>
      </c>
      <c r="T42" s="370">
        <v>52270</v>
      </c>
      <c r="U42" s="288"/>
      <c r="V42" s="355">
        <v>52280</v>
      </c>
      <c r="W42" s="370">
        <v>52270</v>
      </c>
      <c r="X42" s="288"/>
      <c r="Y42" s="371">
        <v>32670</v>
      </c>
      <c r="Z42" s="288"/>
      <c r="AA42" s="371">
        <v>42470</v>
      </c>
      <c r="AB42" s="288"/>
      <c r="AC42" s="274">
        <v>45740</v>
      </c>
      <c r="AD42" s="274"/>
      <c r="AE42" s="371">
        <v>32670</v>
      </c>
      <c r="AF42" s="288"/>
      <c r="AG42" s="370">
        <v>39210</v>
      </c>
      <c r="AH42" s="288"/>
      <c r="AI42" s="370">
        <v>78410</v>
      </c>
      <c r="AJ42" s="288"/>
      <c r="AK42" s="372">
        <f t="shared" si="5"/>
        <v>663220</v>
      </c>
      <c r="AL42" s="372"/>
      <c r="AM42" s="355"/>
      <c r="AN42" s="355"/>
      <c r="AO42" s="355">
        <f t="shared" si="6"/>
        <v>15705.9289772727</v>
      </c>
      <c r="AP42" s="355">
        <f t="shared" si="7"/>
        <v>0</v>
      </c>
      <c r="AQ42" s="373" t="s">
        <v>11870</v>
      </c>
      <c r="AR42" s="328"/>
      <c r="AS42" s="328"/>
      <c r="AT42" s="328"/>
    </row>
    <row r="43" s="329" customFormat="1" ht="21" customHeight="1" spans="1:46">
      <c r="A43" s="375"/>
      <c r="B43" s="368" t="s">
        <v>11880</v>
      </c>
      <c r="C43" s="355">
        <v>663220</v>
      </c>
      <c r="D43" s="369">
        <v>0.0108901515151515</v>
      </c>
      <c r="E43" s="369"/>
      <c r="F43" s="370">
        <v>52280</v>
      </c>
      <c r="G43" s="288"/>
      <c r="H43" s="355">
        <v>0</v>
      </c>
      <c r="I43" s="355">
        <v>45740</v>
      </c>
      <c r="J43" s="355">
        <v>0</v>
      </c>
      <c r="K43" s="355">
        <v>26130</v>
      </c>
      <c r="L43" s="370">
        <v>19600</v>
      </c>
      <c r="M43" s="288"/>
      <c r="N43" s="355">
        <v>19610</v>
      </c>
      <c r="O43" s="355">
        <v>19600</v>
      </c>
      <c r="P43" s="355">
        <v>26140</v>
      </c>
      <c r="Q43" s="370">
        <f>VLOOKUP(B43,[1]Summary!$B:$U,20,FALSE)</f>
        <v>26130</v>
      </c>
      <c r="R43" s="288"/>
      <c r="S43" s="355">
        <f t="shared" si="4"/>
        <v>0</v>
      </c>
      <c r="T43" s="370">
        <v>52270</v>
      </c>
      <c r="U43" s="288"/>
      <c r="V43" s="355">
        <v>52280</v>
      </c>
      <c r="W43" s="370">
        <v>52270</v>
      </c>
      <c r="X43" s="288"/>
      <c r="Y43" s="371">
        <v>32670</v>
      </c>
      <c r="Z43" s="288"/>
      <c r="AA43" s="371">
        <v>42470</v>
      </c>
      <c r="AB43" s="288"/>
      <c r="AC43" s="274">
        <v>45740</v>
      </c>
      <c r="AD43" s="274"/>
      <c r="AE43" s="371">
        <v>32670</v>
      </c>
      <c r="AF43" s="288"/>
      <c r="AG43" s="370">
        <v>39210</v>
      </c>
      <c r="AH43" s="288"/>
      <c r="AI43" s="370">
        <v>78410</v>
      </c>
      <c r="AJ43" s="288"/>
      <c r="AK43" s="372">
        <f t="shared" si="5"/>
        <v>663220</v>
      </c>
      <c r="AL43" s="372"/>
      <c r="AM43" s="355"/>
      <c r="AN43" s="355"/>
      <c r="AO43" s="355">
        <f t="shared" si="6"/>
        <v>15705.9289772727</v>
      </c>
      <c r="AP43" s="355">
        <f t="shared" si="7"/>
        <v>0</v>
      </c>
      <c r="AQ43" s="373" t="s">
        <v>11870</v>
      </c>
      <c r="AR43" s="328"/>
      <c r="AS43" s="328"/>
      <c r="AT43" s="328"/>
    </row>
    <row r="44" s="329" customFormat="1" ht="21" customHeight="1" spans="1:46">
      <c r="A44" s="375"/>
      <c r="B44" s="368" t="s">
        <v>11881</v>
      </c>
      <c r="C44" s="355">
        <v>663220</v>
      </c>
      <c r="D44" s="369">
        <v>0.0108901515151515</v>
      </c>
      <c r="E44" s="369"/>
      <c r="F44" s="370">
        <v>52280</v>
      </c>
      <c r="G44" s="288"/>
      <c r="H44" s="355">
        <v>0</v>
      </c>
      <c r="I44" s="355">
        <v>45740</v>
      </c>
      <c r="J44" s="355">
        <v>0</v>
      </c>
      <c r="K44" s="355">
        <v>26130</v>
      </c>
      <c r="L44" s="370">
        <v>19600</v>
      </c>
      <c r="M44" s="288"/>
      <c r="N44" s="355">
        <v>19610</v>
      </c>
      <c r="O44" s="355">
        <v>19600</v>
      </c>
      <c r="P44" s="355">
        <v>26140</v>
      </c>
      <c r="Q44" s="370">
        <f>VLOOKUP(B44,[1]Summary!$B:$U,20,FALSE)</f>
        <v>26130</v>
      </c>
      <c r="R44" s="288"/>
      <c r="S44" s="355">
        <f t="shared" si="4"/>
        <v>0</v>
      </c>
      <c r="T44" s="370">
        <v>52270</v>
      </c>
      <c r="U44" s="288"/>
      <c r="V44" s="355">
        <v>52280</v>
      </c>
      <c r="W44" s="370">
        <v>52270</v>
      </c>
      <c r="X44" s="288"/>
      <c r="Y44" s="371">
        <v>32670</v>
      </c>
      <c r="Z44" s="288"/>
      <c r="AA44" s="371">
        <v>42470</v>
      </c>
      <c r="AB44" s="288"/>
      <c r="AC44" s="274">
        <v>45740</v>
      </c>
      <c r="AD44" s="274"/>
      <c r="AE44" s="371">
        <v>32670</v>
      </c>
      <c r="AF44" s="288"/>
      <c r="AG44" s="370">
        <v>39210</v>
      </c>
      <c r="AH44" s="288"/>
      <c r="AI44" s="370">
        <v>78410</v>
      </c>
      <c r="AJ44" s="288"/>
      <c r="AK44" s="372">
        <f t="shared" si="5"/>
        <v>663220</v>
      </c>
      <c r="AL44" s="372"/>
      <c r="AM44" s="355"/>
      <c r="AN44" s="355"/>
      <c r="AO44" s="355">
        <f t="shared" si="6"/>
        <v>15705.9289772727</v>
      </c>
      <c r="AP44" s="355">
        <f t="shared" si="7"/>
        <v>0</v>
      </c>
      <c r="AQ44" s="373" t="s">
        <v>11870</v>
      </c>
      <c r="AR44" s="328"/>
      <c r="AS44" s="328"/>
      <c r="AT44" s="328"/>
    </row>
    <row r="45" s="329" customFormat="1" ht="21" customHeight="1" spans="1:46">
      <c r="A45" s="375"/>
      <c r="B45" s="368" t="s">
        <v>11882</v>
      </c>
      <c r="C45" s="355">
        <v>1225690</v>
      </c>
      <c r="D45" s="369">
        <v>0.0108901515151515</v>
      </c>
      <c r="E45" s="369">
        <v>0.020131874298541</v>
      </c>
      <c r="F45" s="370">
        <v>88520</v>
      </c>
      <c r="G45" s="288"/>
      <c r="H45" s="355">
        <v>36530</v>
      </c>
      <c r="I45" s="355">
        <v>46040</v>
      </c>
      <c r="J45" s="355">
        <v>36240</v>
      </c>
      <c r="K45" s="355">
        <v>26130</v>
      </c>
      <c r="L45" s="370">
        <v>55840</v>
      </c>
      <c r="M45" s="288"/>
      <c r="N45" s="355">
        <v>19610</v>
      </c>
      <c r="O45" s="355">
        <v>19600</v>
      </c>
      <c r="P45" s="355">
        <v>26140</v>
      </c>
      <c r="Q45" s="370">
        <f>VLOOKUP(B45,[1]Summary!$B:$U,20,FALSE)</f>
        <v>62370</v>
      </c>
      <c r="R45" s="288"/>
      <c r="S45" s="355">
        <f t="shared" si="4"/>
        <v>36237.3737373738</v>
      </c>
      <c r="T45" s="370">
        <v>76430</v>
      </c>
      <c r="U45" s="288"/>
      <c r="V45" s="355">
        <v>52270</v>
      </c>
      <c r="W45" s="370">
        <v>76630</v>
      </c>
      <c r="X45" s="288"/>
      <c r="Y45" s="371">
        <v>68910</v>
      </c>
      <c r="Z45" s="288"/>
      <c r="AA45" s="371">
        <v>84750</v>
      </c>
      <c r="AB45" s="288"/>
      <c r="AC45" s="274">
        <v>142370</v>
      </c>
      <c r="AD45" s="274"/>
      <c r="AE45" s="371">
        <v>93070</v>
      </c>
      <c r="AF45" s="288"/>
      <c r="AG45" s="370">
        <v>99600</v>
      </c>
      <c r="AH45" s="288"/>
      <c r="AI45" s="370">
        <v>78400</v>
      </c>
      <c r="AJ45" s="288"/>
      <c r="AK45" s="372">
        <f t="shared" si="5"/>
        <v>1225687.37373737</v>
      </c>
      <c r="AL45" s="372"/>
      <c r="AM45" s="355"/>
      <c r="AN45" s="355"/>
      <c r="AO45" s="355">
        <f t="shared" si="6"/>
        <v>15705.9289772727</v>
      </c>
      <c r="AP45" s="355">
        <f t="shared" si="7"/>
        <v>23713.6165824916</v>
      </c>
      <c r="AQ45" s="373" t="s">
        <v>11837</v>
      </c>
      <c r="AR45" s="328"/>
      <c r="AS45" s="328"/>
      <c r="AT45" s="328"/>
    </row>
    <row r="46" s="329" customFormat="1" ht="21" customHeight="1" spans="1:46">
      <c r="A46" s="375"/>
      <c r="B46" s="368" t="s">
        <v>11883</v>
      </c>
      <c r="C46" s="355">
        <v>1224890</v>
      </c>
      <c r="D46" s="369">
        <v>0.0108901515151515</v>
      </c>
      <c r="E46" s="369">
        <v>0.020131874298541</v>
      </c>
      <c r="F46" s="370">
        <v>88520</v>
      </c>
      <c r="G46" s="288"/>
      <c r="H46" s="355">
        <v>36230</v>
      </c>
      <c r="I46" s="355">
        <v>45740</v>
      </c>
      <c r="J46" s="355">
        <v>36240</v>
      </c>
      <c r="K46" s="355">
        <v>26130</v>
      </c>
      <c r="L46" s="370">
        <v>55840</v>
      </c>
      <c r="M46" s="288"/>
      <c r="N46" s="355">
        <v>19610</v>
      </c>
      <c r="O46" s="355">
        <v>19600</v>
      </c>
      <c r="P46" s="355">
        <v>26140</v>
      </c>
      <c r="Q46" s="370">
        <f>VLOOKUP(B46,[1]Summary!$B:$U,20,FALSE)</f>
        <v>62370</v>
      </c>
      <c r="R46" s="288"/>
      <c r="S46" s="355">
        <f t="shared" si="4"/>
        <v>36237.3737373738</v>
      </c>
      <c r="T46" s="370">
        <v>76430</v>
      </c>
      <c r="U46" s="288"/>
      <c r="V46" s="355">
        <v>52270</v>
      </c>
      <c r="W46" s="370">
        <v>76430</v>
      </c>
      <c r="X46" s="288"/>
      <c r="Y46" s="371">
        <v>68910</v>
      </c>
      <c r="Z46" s="288"/>
      <c r="AA46" s="371">
        <v>84750</v>
      </c>
      <c r="AB46" s="288"/>
      <c r="AC46" s="274">
        <v>142370</v>
      </c>
      <c r="AD46" s="274"/>
      <c r="AE46" s="371">
        <v>93070</v>
      </c>
      <c r="AF46" s="288"/>
      <c r="AG46" s="370">
        <v>99600</v>
      </c>
      <c r="AH46" s="288"/>
      <c r="AI46" s="370">
        <v>78400</v>
      </c>
      <c r="AJ46" s="288"/>
      <c r="AK46" s="372">
        <f t="shared" si="5"/>
        <v>1224887.37373737</v>
      </c>
      <c r="AL46" s="372"/>
      <c r="AM46" s="355"/>
      <c r="AN46" s="355"/>
      <c r="AO46" s="355">
        <f t="shared" si="6"/>
        <v>15705.9289772727</v>
      </c>
      <c r="AP46" s="355">
        <f t="shared" si="7"/>
        <v>23713.6165824916</v>
      </c>
      <c r="AQ46" s="373" t="s">
        <v>11837</v>
      </c>
      <c r="AR46" s="328"/>
      <c r="AS46" s="328"/>
      <c r="AT46" s="328"/>
    </row>
    <row r="47" s="329" customFormat="1" ht="21" customHeight="1" spans="1:46">
      <c r="A47" s="375"/>
      <c r="B47" s="368" t="s">
        <v>11884</v>
      </c>
      <c r="C47" s="355">
        <v>816780</v>
      </c>
      <c r="D47" s="369">
        <v>0.00783880471380471</v>
      </c>
      <c r="E47" s="369">
        <v>0.00841750841750842</v>
      </c>
      <c r="F47" s="370">
        <v>52780</v>
      </c>
      <c r="G47" s="288"/>
      <c r="H47" s="355">
        <v>15150</v>
      </c>
      <c r="I47" s="355">
        <v>32930</v>
      </c>
      <c r="J47" s="355">
        <v>15150</v>
      </c>
      <c r="K47" s="355">
        <v>18810</v>
      </c>
      <c r="L47" s="370">
        <v>29260</v>
      </c>
      <c r="M47" s="288"/>
      <c r="N47" s="355">
        <v>14110</v>
      </c>
      <c r="O47" s="355">
        <v>14110</v>
      </c>
      <c r="P47" s="355">
        <v>18820</v>
      </c>
      <c r="Q47" s="370">
        <f>VLOOKUP(B47,[1]Summary!$B:$U,20,FALSE)</f>
        <v>33960</v>
      </c>
      <c r="R47" s="288"/>
      <c r="S47" s="355">
        <f t="shared" si="4"/>
        <v>15151.5151515152</v>
      </c>
      <c r="T47" s="370">
        <v>47730</v>
      </c>
      <c r="U47" s="288"/>
      <c r="V47" s="355">
        <v>37630</v>
      </c>
      <c r="W47" s="370">
        <v>47720</v>
      </c>
      <c r="X47" s="288"/>
      <c r="Y47" s="371">
        <v>38670</v>
      </c>
      <c r="Z47" s="288"/>
      <c r="AA47" s="371">
        <v>48250</v>
      </c>
      <c r="AB47" s="288"/>
      <c r="AC47" s="274">
        <v>106000</v>
      </c>
      <c r="AD47" s="274"/>
      <c r="AE47" s="371">
        <v>70550</v>
      </c>
      <c r="AF47" s="288"/>
      <c r="AG47" s="370">
        <v>77430</v>
      </c>
      <c r="AH47" s="288"/>
      <c r="AI47" s="370">
        <v>82570</v>
      </c>
      <c r="AJ47" s="288"/>
      <c r="AK47" s="372">
        <f t="shared" si="5"/>
        <v>816781.515151515</v>
      </c>
      <c r="AL47" s="372"/>
      <c r="AM47" s="355"/>
      <c r="AN47" s="355"/>
      <c r="AO47" s="355">
        <f t="shared" si="6"/>
        <v>11305.2339015151</v>
      </c>
      <c r="AP47" s="355">
        <f t="shared" si="7"/>
        <v>9915.10101010101</v>
      </c>
      <c r="AQ47" s="373" t="s">
        <v>11837</v>
      </c>
      <c r="AR47" s="328"/>
      <c r="AS47" s="328"/>
      <c r="AT47" s="328"/>
    </row>
    <row r="48" s="329" customFormat="1" ht="21" customHeight="1" spans="1:46">
      <c r="A48" s="375"/>
      <c r="B48" s="368" t="s">
        <v>11885</v>
      </c>
      <c r="C48" s="355">
        <v>816780</v>
      </c>
      <c r="D48" s="369">
        <v>0.00783880471380471</v>
      </c>
      <c r="E48" s="369">
        <v>0.00841750841750842</v>
      </c>
      <c r="F48" s="370">
        <v>52780</v>
      </c>
      <c r="G48" s="288"/>
      <c r="H48" s="355">
        <v>15150</v>
      </c>
      <c r="I48" s="355">
        <v>32930</v>
      </c>
      <c r="J48" s="355">
        <v>15150</v>
      </c>
      <c r="K48" s="355">
        <v>18810</v>
      </c>
      <c r="L48" s="370">
        <v>29260</v>
      </c>
      <c r="M48" s="288"/>
      <c r="N48" s="355">
        <v>14110</v>
      </c>
      <c r="O48" s="355">
        <v>14110</v>
      </c>
      <c r="P48" s="355">
        <v>18820</v>
      </c>
      <c r="Q48" s="370">
        <f>VLOOKUP(B48,[1]Summary!$B:$U,20,FALSE)</f>
        <v>33960</v>
      </c>
      <c r="R48" s="288"/>
      <c r="S48" s="355">
        <f t="shared" si="4"/>
        <v>15151.5151515152</v>
      </c>
      <c r="T48" s="370">
        <v>47730</v>
      </c>
      <c r="U48" s="288"/>
      <c r="V48" s="355">
        <v>37630</v>
      </c>
      <c r="W48" s="370">
        <v>47720</v>
      </c>
      <c r="X48" s="288"/>
      <c r="Y48" s="371">
        <v>38670</v>
      </c>
      <c r="Z48" s="288"/>
      <c r="AA48" s="371">
        <v>48250</v>
      </c>
      <c r="AB48" s="288"/>
      <c r="AC48" s="274">
        <v>106000</v>
      </c>
      <c r="AD48" s="274"/>
      <c r="AE48" s="371">
        <v>70550</v>
      </c>
      <c r="AF48" s="288"/>
      <c r="AG48" s="370">
        <v>77430</v>
      </c>
      <c r="AH48" s="288"/>
      <c r="AI48" s="370">
        <v>82570</v>
      </c>
      <c r="AJ48" s="288"/>
      <c r="AK48" s="372">
        <f t="shared" si="5"/>
        <v>816781.515151515</v>
      </c>
      <c r="AL48" s="372"/>
      <c r="AM48" s="355"/>
      <c r="AN48" s="355"/>
      <c r="AO48" s="355">
        <f t="shared" si="6"/>
        <v>11305.2339015151</v>
      </c>
      <c r="AP48" s="355">
        <f t="shared" si="7"/>
        <v>9915.10101010101</v>
      </c>
      <c r="AQ48" s="373" t="s">
        <v>11837</v>
      </c>
      <c r="AR48" s="328"/>
      <c r="AS48" s="328"/>
      <c r="AT48" s="328"/>
    </row>
    <row r="49" s="329" customFormat="1" ht="21" customHeight="1" spans="1:46">
      <c r="A49" s="375"/>
      <c r="B49" s="368" t="s">
        <v>11886</v>
      </c>
      <c r="C49" s="355">
        <v>817580</v>
      </c>
      <c r="D49" s="369">
        <v>0.00783880471380471</v>
      </c>
      <c r="E49" s="369">
        <v>0.00841750841750842</v>
      </c>
      <c r="F49" s="370">
        <v>52780</v>
      </c>
      <c r="G49" s="288"/>
      <c r="H49" s="355">
        <v>15450</v>
      </c>
      <c r="I49" s="355">
        <v>33230</v>
      </c>
      <c r="J49" s="355">
        <v>15150</v>
      </c>
      <c r="K49" s="355">
        <v>18210</v>
      </c>
      <c r="L49" s="370">
        <v>29260</v>
      </c>
      <c r="M49" s="288"/>
      <c r="N49" s="355">
        <v>14110</v>
      </c>
      <c r="O49" s="355">
        <v>14710</v>
      </c>
      <c r="P49" s="355">
        <v>18820</v>
      </c>
      <c r="Q49" s="370">
        <f>VLOOKUP(B49,[1]Summary!$B:$U,20,FALSE)</f>
        <v>33960</v>
      </c>
      <c r="R49" s="288"/>
      <c r="S49" s="355">
        <f t="shared" si="4"/>
        <v>15151.5151515152</v>
      </c>
      <c r="T49" s="370">
        <v>47730</v>
      </c>
      <c r="U49" s="288"/>
      <c r="V49" s="355">
        <v>37630</v>
      </c>
      <c r="W49" s="370">
        <v>47920</v>
      </c>
      <c r="X49" s="288"/>
      <c r="Y49" s="371">
        <v>38670</v>
      </c>
      <c r="Z49" s="288"/>
      <c r="AA49" s="371">
        <v>48250</v>
      </c>
      <c r="AB49" s="288"/>
      <c r="AC49" s="274">
        <v>106000</v>
      </c>
      <c r="AD49" s="274"/>
      <c r="AE49" s="371">
        <v>70550</v>
      </c>
      <c r="AF49" s="288"/>
      <c r="AG49" s="370">
        <v>77430</v>
      </c>
      <c r="AH49" s="288"/>
      <c r="AI49" s="370">
        <v>82570</v>
      </c>
      <c r="AJ49" s="288"/>
      <c r="AK49" s="372">
        <f t="shared" si="5"/>
        <v>817581.515151515</v>
      </c>
      <c r="AL49" s="372"/>
      <c r="AM49" s="355"/>
      <c r="AN49" s="355"/>
      <c r="AO49" s="355">
        <f t="shared" si="6"/>
        <v>11305.2339015151</v>
      </c>
      <c r="AP49" s="355">
        <f t="shared" si="7"/>
        <v>9915.10101010101</v>
      </c>
      <c r="AQ49" s="373" t="s">
        <v>11837</v>
      </c>
      <c r="AR49" s="328"/>
      <c r="AS49" s="328"/>
      <c r="AT49" s="328"/>
    </row>
    <row r="50" s="329" customFormat="1" ht="21" customHeight="1" spans="1:46">
      <c r="A50" s="375"/>
      <c r="B50" s="378" t="s">
        <v>11887</v>
      </c>
      <c r="C50" s="355">
        <v>1215080</v>
      </c>
      <c r="D50" s="369">
        <v>0.00783880471380471</v>
      </c>
      <c r="E50" s="369">
        <v>0.00841750841750842</v>
      </c>
      <c r="F50" s="370">
        <v>102780</v>
      </c>
      <c r="G50" s="288"/>
      <c r="H50" s="355">
        <v>22450</v>
      </c>
      <c r="I50" s="355">
        <v>39730</v>
      </c>
      <c r="J50" s="355">
        <v>20150</v>
      </c>
      <c r="K50" s="355">
        <v>23810</v>
      </c>
      <c r="L50" s="370">
        <v>34260</v>
      </c>
      <c r="M50" s="288"/>
      <c r="N50" s="355">
        <v>17110</v>
      </c>
      <c r="O50" s="355">
        <v>18110</v>
      </c>
      <c r="P50" s="355">
        <v>18820</v>
      </c>
      <c r="Q50" s="370">
        <f>VLOOKUP(B50,[1]Summary!$B:$U,20,FALSE)</f>
        <v>53960</v>
      </c>
      <c r="R50" s="288"/>
      <c r="S50" s="355">
        <f t="shared" si="4"/>
        <v>15151.5151515152</v>
      </c>
      <c r="T50" s="370">
        <v>87730</v>
      </c>
      <c r="U50" s="288"/>
      <c r="V50" s="355">
        <v>52930</v>
      </c>
      <c r="W50" s="370">
        <v>53220</v>
      </c>
      <c r="X50" s="288"/>
      <c r="Y50" s="371">
        <v>46970</v>
      </c>
      <c r="Z50" s="288"/>
      <c r="AA50" s="371">
        <v>53250</v>
      </c>
      <c r="AB50" s="288"/>
      <c r="AC50" s="274">
        <v>111000</v>
      </c>
      <c r="AD50" s="274"/>
      <c r="AE50" s="371">
        <v>146950</v>
      </c>
      <c r="AF50" s="288"/>
      <c r="AG50" s="370">
        <v>138130</v>
      </c>
      <c r="AH50" s="288"/>
      <c r="AI50" s="370">
        <v>102570</v>
      </c>
      <c r="AJ50" s="288"/>
      <c r="AK50" s="372">
        <f t="shared" si="5"/>
        <v>1159081.51515152</v>
      </c>
      <c r="AL50" s="372"/>
      <c r="AM50" s="355"/>
      <c r="AN50" s="355"/>
      <c r="AO50" s="355">
        <f t="shared" si="6"/>
        <v>11305.2339015151</v>
      </c>
      <c r="AP50" s="355">
        <f t="shared" si="7"/>
        <v>9915.10101010101</v>
      </c>
      <c r="AQ50" s="373" t="s">
        <v>11888</v>
      </c>
      <c r="AR50" s="328"/>
      <c r="AS50" s="328"/>
      <c r="AT50" s="328"/>
    </row>
    <row r="51" s="329" customFormat="1" ht="21" customHeight="1" spans="1:46">
      <c r="A51" s="375"/>
      <c r="B51" s="368" t="s">
        <v>11889</v>
      </c>
      <c r="C51" s="355">
        <v>950320</v>
      </c>
      <c r="D51" s="369">
        <v>0.00968013468013468</v>
      </c>
      <c r="E51" s="369">
        <v>0.00968013468013468</v>
      </c>
      <c r="F51" s="370">
        <v>63890</v>
      </c>
      <c r="G51" s="288"/>
      <c r="H51" s="355">
        <v>17430</v>
      </c>
      <c r="I51" s="355">
        <v>40650</v>
      </c>
      <c r="J51" s="355">
        <v>17430</v>
      </c>
      <c r="K51" s="355">
        <v>23230</v>
      </c>
      <c r="L51" s="370">
        <v>34850</v>
      </c>
      <c r="M51" s="288"/>
      <c r="N51" s="355">
        <v>17420</v>
      </c>
      <c r="O51" s="355">
        <v>17430</v>
      </c>
      <c r="P51" s="355">
        <v>23230</v>
      </c>
      <c r="Q51" s="370">
        <f>VLOOKUP(B51,[1]Summary!$B:$U,20,FALSE)</f>
        <v>40660</v>
      </c>
      <c r="R51" s="288"/>
      <c r="S51" s="355">
        <f t="shared" si="4"/>
        <v>17424.2424242424</v>
      </c>
      <c r="T51" s="370">
        <v>58080</v>
      </c>
      <c r="U51" s="288"/>
      <c r="V51" s="355">
        <v>46470</v>
      </c>
      <c r="W51" s="370">
        <v>58080</v>
      </c>
      <c r="X51" s="288"/>
      <c r="Y51" s="371">
        <v>46460</v>
      </c>
      <c r="Z51" s="288"/>
      <c r="AA51" s="371">
        <v>58080</v>
      </c>
      <c r="AB51" s="288"/>
      <c r="AC51" s="274">
        <v>120650</v>
      </c>
      <c r="AD51" s="274"/>
      <c r="AE51" s="371">
        <v>79700</v>
      </c>
      <c r="AF51" s="288"/>
      <c r="AG51" s="370">
        <v>86580</v>
      </c>
      <c r="AH51" s="288"/>
      <c r="AI51" s="370">
        <v>82580</v>
      </c>
      <c r="AJ51" s="288"/>
      <c r="AK51" s="372">
        <f t="shared" si="5"/>
        <v>950324.242424242</v>
      </c>
      <c r="AL51" s="372"/>
      <c r="AM51" s="355"/>
      <c r="AN51" s="355"/>
      <c r="AO51" s="355">
        <f t="shared" si="6"/>
        <v>13960.8257575758</v>
      </c>
      <c r="AP51" s="355">
        <f t="shared" si="7"/>
        <v>11402.3661616162</v>
      </c>
      <c r="AQ51" s="373" t="s">
        <v>11837</v>
      </c>
      <c r="AR51" s="328"/>
      <c r="AS51" s="328"/>
      <c r="AT51" s="328"/>
    </row>
    <row r="52" s="329" customFormat="1" ht="21" customHeight="1" spans="1:46">
      <c r="A52" s="375"/>
      <c r="B52" s="377" t="s">
        <v>11890</v>
      </c>
      <c r="C52" s="355">
        <v>953820</v>
      </c>
      <c r="D52" s="369">
        <v>0.00968013468013468</v>
      </c>
      <c r="E52" s="369">
        <v>0.00968013468013468</v>
      </c>
      <c r="F52" s="370">
        <v>65390</v>
      </c>
      <c r="G52" s="288"/>
      <c r="H52" s="355">
        <v>17430</v>
      </c>
      <c r="I52" s="355">
        <v>40650</v>
      </c>
      <c r="J52" s="355">
        <v>17430</v>
      </c>
      <c r="K52" s="355">
        <v>23230</v>
      </c>
      <c r="L52" s="370">
        <v>34850</v>
      </c>
      <c r="M52" s="288"/>
      <c r="N52" s="355">
        <v>17420</v>
      </c>
      <c r="O52" s="355">
        <v>17430</v>
      </c>
      <c r="P52" s="355">
        <v>23230</v>
      </c>
      <c r="Q52" s="370">
        <f>VLOOKUP(B52,[1]Summary!$B:$U,20,FALSE)</f>
        <v>40660</v>
      </c>
      <c r="R52" s="288"/>
      <c r="S52" s="355">
        <f t="shared" si="4"/>
        <v>17424.2424242424</v>
      </c>
      <c r="T52" s="370">
        <v>58080</v>
      </c>
      <c r="U52" s="288"/>
      <c r="V52" s="355">
        <v>46770</v>
      </c>
      <c r="W52" s="370">
        <v>58380</v>
      </c>
      <c r="X52" s="288"/>
      <c r="Y52" s="371">
        <v>46760</v>
      </c>
      <c r="Z52" s="288"/>
      <c r="AA52" s="371">
        <v>58080</v>
      </c>
      <c r="AB52" s="288"/>
      <c r="AC52" s="274">
        <v>120650</v>
      </c>
      <c r="AD52" s="274"/>
      <c r="AE52" s="371">
        <v>80100</v>
      </c>
      <c r="AF52" s="288"/>
      <c r="AG52" s="370">
        <v>87280</v>
      </c>
      <c r="AH52" s="288"/>
      <c r="AI52" s="370">
        <v>82580</v>
      </c>
      <c r="AJ52" s="288"/>
      <c r="AK52" s="372">
        <f t="shared" si="5"/>
        <v>953824.242424242</v>
      </c>
      <c r="AL52" s="372"/>
      <c r="AM52" s="355"/>
      <c r="AN52" s="355"/>
      <c r="AO52" s="355">
        <f t="shared" si="6"/>
        <v>13960.8257575758</v>
      </c>
      <c r="AP52" s="355">
        <f t="shared" si="7"/>
        <v>11402.3661616162</v>
      </c>
      <c r="AQ52" s="373" t="s">
        <v>11860</v>
      </c>
      <c r="AR52" s="328"/>
      <c r="AS52" s="328"/>
      <c r="AT52" s="328"/>
    </row>
    <row r="53" s="329" customFormat="1" ht="21" customHeight="1" spans="1:46">
      <c r="A53" s="375"/>
      <c r="B53" s="377" t="s">
        <v>11891</v>
      </c>
      <c r="C53" s="355">
        <v>953820</v>
      </c>
      <c r="D53" s="369">
        <v>0.00968013468013468</v>
      </c>
      <c r="E53" s="369">
        <v>0.00968013468013468</v>
      </c>
      <c r="F53" s="370">
        <v>65390</v>
      </c>
      <c r="G53" s="288"/>
      <c r="H53" s="355">
        <v>17430</v>
      </c>
      <c r="I53" s="355">
        <v>40650</v>
      </c>
      <c r="J53" s="355">
        <v>17430</v>
      </c>
      <c r="K53" s="355">
        <v>23230</v>
      </c>
      <c r="L53" s="370">
        <v>34850</v>
      </c>
      <c r="M53" s="288"/>
      <c r="N53" s="355">
        <v>17420</v>
      </c>
      <c r="O53" s="355">
        <v>17430</v>
      </c>
      <c r="P53" s="355">
        <v>23230</v>
      </c>
      <c r="Q53" s="370">
        <f>VLOOKUP(B53,[1]Summary!$B:$U,20,FALSE)</f>
        <v>40660</v>
      </c>
      <c r="R53" s="288"/>
      <c r="S53" s="355">
        <f t="shared" si="4"/>
        <v>17424.2424242424</v>
      </c>
      <c r="T53" s="370">
        <v>58080</v>
      </c>
      <c r="U53" s="288"/>
      <c r="V53" s="355">
        <v>46770</v>
      </c>
      <c r="W53" s="370">
        <v>58380</v>
      </c>
      <c r="X53" s="288"/>
      <c r="Y53" s="371">
        <v>46760</v>
      </c>
      <c r="Z53" s="288"/>
      <c r="AA53" s="371">
        <v>58080</v>
      </c>
      <c r="AB53" s="288"/>
      <c r="AC53" s="274">
        <v>120650</v>
      </c>
      <c r="AD53" s="274"/>
      <c r="AE53" s="371">
        <v>80100</v>
      </c>
      <c r="AF53" s="288"/>
      <c r="AG53" s="370">
        <v>87280</v>
      </c>
      <c r="AH53" s="288"/>
      <c r="AI53" s="370">
        <v>82580</v>
      </c>
      <c r="AJ53" s="288"/>
      <c r="AK53" s="372">
        <f t="shared" si="5"/>
        <v>953824.242424242</v>
      </c>
      <c r="AL53" s="372"/>
      <c r="AM53" s="355"/>
      <c r="AN53" s="355"/>
      <c r="AO53" s="355">
        <f t="shared" si="6"/>
        <v>13960.8257575758</v>
      </c>
      <c r="AP53" s="355">
        <f t="shared" si="7"/>
        <v>11402.3661616162</v>
      </c>
      <c r="AQ53" s="373" t="s">
        <v>11860</v>
      </c>
      <c r="AR53" s="328"/>
      <c r="AS53" s="328"/>
      <c r="AT53" s="328"/>
    </row>
    <row r="54" s="329" customFormat="1" ht="21" customHeight="1" spans="1:46">
      <c r="A54" s="375"/>
      <c r="B54" s="368" t="s">
        <v>11892</v>
      </c>
      <c r="C54" s="355">
        <v>1033383</v>
      </c>
      <c r="D54" s="369">
        <v>0.00783880471380471</v>
      </c>
      <c r="E54" s="369">
        <v>0.00841750841750842</v>
      </c>
      <c r="F54" s="370">
        <v>52780</v>
      </c>
      <c r="G54" s="288"/>
      <c r="H54" s="355">
        <v>15150</v>
      </c>
      <c r="I54" s="355">
        <v>32930</v>
      </c>
      <c r="J54" s="355">
        <v>15150</v>
      </c>
      <c r="K54" s="355">
        <v>18810</v>
      </c>
      <c r="L54" s="370">
        <v>29260</v>
      </c>
      <c r="M54" s="288"/>
      <c r="N54" s="355">
        <v>14110</v>
      </c>
      <c r="O54" s="355">
        <v>14110</v>
      </c>
      <c r="P54" s="355">
        <v>18820</v>
      </c>
      <c r="Q54" s="370">
        <f>VLOOKUP(B54,[1]Summary!$B:$U,20,FALSE)</f>
        <v>33960</v>
      </c>
      <c r="R54" s="288"/>
      <c r="S54" s="355">
        <f t="shared" si="4"/>
        <v>15151.5151515152</v>
      </c>
      <c r="T54" s="370">
        <v>47730</v>
      </c>
      <c r="U54" s="288"/>
      <c r="V54" s="355">
        <v>37630</v>
      </c>
      <c r="W54" s="370">
        <v>47720</v>
      </c>
      <c r="X54" s="288"/>
      <c r="Y54" s="371">
        <v>38670</v>
      </c>
      <c r="Z54" s="288"/>
      <c r="AA54" s="371">
        <v>48250</v>
      </c>
      <c r="AB54" s="288"/>
      <c r="AC54" s="274">
        <v>192210</v>
      </c>
      <c r="AD54" s="274"/>
      <c r="AE54" s="371">
        <v>126160</v>
      </c>
      <c r="AF54" s="288"/>
      <c r="AG54" s="370">
        <v>119133</v>
      </c>
      <c r="AH54" s="288"/>
      <c r="AI54" s="370">
        <v>115650</v>
      </c>
      <c r="AJ54" s="288"/>
      <c r="AK54" s="372">
        <f t="shared" si="5"/>
        <v>1033384.51515152</v>
      </c>
      <c r="AL54" s="372"/>
      <c r="AM54" s="355"/>
      <c r="AN54" s="355"/>
      <c r="AO54" s="355">
        <f t="shared" si="6"/>
        <v>11305.2339015151</v>
      </c>
      <c r="AP54" s="355">
        <f t="shared" si="7"/>
        <v>9915.10101010101</v>
      </c>
      <c r="AQ54" s="373" t="s">
        <v>11837</v>
      </c>
      <c r="AR54" s="328"/>
      <c r="AS54" s="328"/>
      <c r="AT54" s="328"/>
    </row>
    <row r="55" s="329" customFormat="1" ht="21" customHeight="1" spans="1:46">
      <c r="A55" s="375"/>
      <c r="B55" s="368" t="s">
        <v>11893</v>
      </c>
      <c r="C55" s="355">
        <v>1033383</v>
      </c>
      <c r="D55" s="369">
        <v>0.00783880471380471</v>
      </c>
      <c r="E55" s="369">
        <v>0.00841750841750842</v>
      </c>
      <c r="F55" s="370">
        <v>52780</v>
      </c>
      <c r="G55" s="288"/>
      <c r="H55" s="355">
        <v>15150</v>
      </c>
      <c r="I55" s="355">
        <v>32930</v>
      </c>
      <c r="J55" s="355">
        <v>15150</v>
      </c>
      <c r="K55" s="355">
        <v>18810</v>
      </c>
      <c r="L55" s="370">
        <v>29260</v>
      </c>
      <c r="M55" s="288"/>
      <c r="N55" s="355">
        <v>14110</v>
      </c>
      <c r="O55" s="355">
        <v>14110</v>
      </c>
      <c r="P55" s="355">
        <v>18820</v>
      </c>
      <c r="Q55" s="370">
        <f>VLOOKUP(B55,[1]Summary!$B:$U,20,FALSE)</f>
        <v>33960</v>
      </c>
      <c r="R55" s="288"/>
      <c r="S55" s="355">
        <f t="shared" si="4"/>
        <v>15151.5151515152</v>
      </c>
      <c r="T55" s="370">
        <v>47730</v>
      </c>
      <c r="U55" s="288"/>
      <c r="V55" s="355">
        <v>37630</v>
      </c>
      <c r="W55" s="370">
        <v>47720</v>
      </c>
      <c r="X55" s="288"/>
      <c r="Y55" s="371">
        <v>38670</v>
      </c>
      <c r="Z55" s="288"/>
      <c r="AA55" s="371">
        <v>48250</v>
      </c>
      <c r="AB55" s="288"/>
      <c r="AC55" s="274">
        <v>192210</v>
      </c>
      <c r="AD55" s="274"/>
      <c r="AE55" s="371">
        <v>126160</v>
      </c>
      <c r="AF55" s="288"/>
      <c r="AG55" s="370">
        <v>119133</v>
      </c>
      <c r="AH55" s="288"/>
      <c r="AI55" s="370">
        <v>115650</v>
      </c>
      <c r="AJ55" s="288"/>
      <c r="AK55" s="372">
        <f t="shared" si="5"/>
        <v>1033384.51515152</v>
      </c>
      <c r="AL55" s="372"/>
      <c r="AM55" s="355"/>
      <c r="AN55" s="355"/>
      <c r="AO55" s="355">
        <f t="shared" si="6"/>
        <v>11305.2339015151</v>
      </c>
      <c r="AP55" s="355">
        <f t="shared" si="7"/>
        <v>9915.10101010101</v>
      </c>
      <c r="AQ55" s="373" t="s">
        <v>11837</v>
      </c>
      <c r="AR55" s="328"/>
      <c r="AS55" s="328"/>
      <c r="AT55" s="328"/>
    </row>
    <row r="56" s="329" customFormat="1" ht="21" customHeight="1" spans="1:46">
      <c r="A56" s="375"/>
      <c r="B56" s="368" t="s">
        <v>11894</v>
      </c>
      <c r="C56" s="355">
        <v>1033383</v>
      </c>
      <c r="D56" s="369">
        <v>0.00783880471380471</v>
      </c>
      <c r="E56" s="369">
        <v>0.00841750841750842</v>
      </c>
      <c r="F56" s="370">
        <v>52780</v>
      </c>
      <c r="G56" s="288"/>
      <c r="H56" s="355">
        <v>15150</v>
      </c>
      <c r="I56" s="355">
        <v>32930</v>
      </c>
      <c r="J56" s="355">
        <v>15150</v>
      </c>
      <c r="K56" s="355">
        <v>18810</v>
      </c>
      <c r="L56" s="370">
        <v>29260</v>
      </c>
      <c r="M56" s="288"/>
      <c r="N56" s="355">
        <v>14110</v>
      </c>
      <c r="O56" s="355">
        <v>14110</v>
      </c>
      <c r="P56" s="355">
        <v>18820</v>
      </c>
      <c r="Q56" s="370">
        <f>VLOOKUP(B56,[1]Summary!$B:$U,20,FALSE)</f>
        <v>33960</v>
      </c>
      <c r="R56" s="288"/>
      <c r="S56" s="355">
        <f t="shared" si="4"/>
        <v>15151.5151515152</v>
      </c>
      <c r="T56" s="370">
        <v>47730</v>
      </c>
      <c r="U56" s="288"/>
      <c r="V56" s="355">
        <v>37630</v>
      </c>
      <c r="W56" s="370">
        <v>47720</v>
      </c>
      <c r="X56" s="288"/>
      <c r="Y56" s="371">
        <v>38670</v>
      </c>
      <c r="Z56" s="288"/>
      <c r="AA56" s="371">
        <v>48250</v>
      </c>
      <c r="AB56" s="288"/>
      <c r="AC56" s="274">
        <v>192210</v>
      </c>
      <c r="AD56" s="274"/>
      <c r="AE56" s="371">
        <v>126160</v>
      </c>
      <c r="AF56" s="288"/>
      <c r="AG56" s="370">
        <v>119133</v>
      </c>
      <c r="AH56" s="288"/>
      <c r="AI56" s="370">
        <v>115650</v>
      </c>
      <c r="AJ56" s="288"/>
      <c r="AK56" s="372">
        <f t="shared" si="5"/>
        <v>1033384.51515152</v>
      </c>
      <c r="AL56" s="372"/>
      <c r="AM56" s="355"/>
      <c r="AN56" s="355"/>
      <c r="AO56" s="355">
        <f t="shared" si="6"/>
        <v>11305.2339015151</v>
      </c>
      <c r="AP56" s="355">
        <f t="shared" si="7"/>
        <v>9915.10101010101</v>
      </c>
      <c r="AQ56" s="373" t="s">
        <v>11837</v>
      </c>
      <c r="AR56" s="328"/>
      <c r="AS56" s="328"/>
      <c r="AT56" s="328"/>
    </row>
    <row r="57" s="329" customFormat="1" ht="21" customHeight="1" spans="1:46">
      <c r="A57" s="375"/>
      <c r="B57" s="378" t="s">
        <v>11895</v>
      </c>
      <c r="C57" s="355">
        <v>1243740</v>
      </c>
      <c r="D57" s="369">
        <v>0.00783880471380471</v>
      </c>
      <c r="E57" s="369">
        <v>0.00841750841750842</v>
      </c>
      <c r="F57" s="370">
        <v>102780</v>
      </c>
      <c r="G57" s="288"/>
      <c r="H57" s="355">
        <v>22150</v>
      </c>
      <c r="I57" s="355">
        <v>37930</v>
      </c>
      <c r="J57" s="355">
        <v>20150</v>
      </c>
      <c r="K57" s="355">
        <v>23810</v>
      </c>
      <c r="L57" s="370">
        <v>34260</v>
      </c>
      <c r="M57" s="288"/>
      <c r="N57" s="355">
        <v>17110</v>
      </c>
      <c r="O57" s="355">
        <v>18110</v>
      </c>
      <c r="P57" s="355">
        <v>18820</v>
      </c>
      <c r="Q57" s="370">
        <f>VLOOKUP(B57,[1]Summary!$B:$U,20,FALSE)</f>
        <v>53960</v>
      </c>
      <c r="R57" s="288"/>
      <c r="S57" s="355">
        <f t="shared" si="4"/>
        <v>15151.5151515152</v>
      </c>
      <c r="T57" s="370">
        <v>87730</v>
      </c>
      <c r="U57" s="288"/>
      <c r="V57" s="355">
        <v>52630</v>
      </c>
      <c r="W57" s="370">
        <v>52720</v>
      </c>
      <c r="X57" s="288"/>
      <c r="Y57" s="371">
        <v>46670</v>
      </c>
      <c r="Z57" s="288"/>
      <c r="AA57" s="371">
        <v>53250</v>
      </c>
      <c r="AB57" s="288"/>
      <c r="AC57" s="274">
        <v>125640</v>
      </c>
      <c r="AD57" s="274"/>
      <c r="AE57" s="371">
        <v>155710</v>
      </c>
      <c r="AF57" s="288"/>
      <c r="AG57" s="370">
        <v>96580</v>
      </c>
      <c r="AH57" s="288"/>
      <c r="AI57" s="370">
        <v>152580</v>
      </c>
      <c r="AJ57" s="288"/>
      <c r="AK57" s="372">
        <f t="shared" si="5"/>
        <v>1187741.51515152</v>
      </c>
      <c r="AL57" s="372"/>
      <c r="AM57" s="355"/>
      <c r="AN57" s="355"/>
      <c r="AO57" s="355">
        <f t="shared" si="6"/>
        <v>11305.2339015151</v>
      </c>
      <c r="AP57" s="355">
        <f t="shared" si="7"/>
        <v>9915.10101010101</v>
      </c>
      <c r="AQ57" s="373" t="s">
        <v>11888</v>
      </c>
      <c r="AR57" s="328"/>
      <c r="AS57" s="328"/>
      <c r="AT57" s="328"/>
    </row>
    <row r="58" s="329" customFormat="1" ht="21" customHeight="1" spans="1:46">
      <c r="A58" s="375"/>
      <c r="B58" s="368" t="s">
        <v>11896</v>
      </c>
      <c r="C58" s="355">
        <v>519850</v>
      </c>
      <c r="D58" s="369">
        <v>0.00561167227833894</v>
      </c>
      <c r="E58" s="369">
        <v>0.00638327721661055</v>
      </c>
      <c r="F58" s="370">
        <v>38430</v>
      </c>
      <c r="G58" s="288"/>
      <c r="H58" s="355">
        <v>11490</v>
      </c>
      <c r="I58" s="355">
        <v>23570</v>
      </c>
      <c r="J58" s="355">
        <v>11490</v>
      </c>
      <c r="K58" s="355">
        <v>13470</v>
      </c>
      <c r="L58" s="370">
        <v>21590</v>
      </c>
      <c r="M58" s="288"/>
      <c r="N58" s="355">
        <v>10100</v>
      </c>
      <c r="O58" s="355">
        <v>10100</v>
      </c>
      <c r="P58" s="355">
        <v>13470</v>
      </c>
      <c r="Q58" s="370">
        <f>VLOOKUP(B58,[1]Summary!$B:$U,20,FALSE)</f>
        <v>24960</v>
      </c>
      <c r="R58" s="288"/>
      <c r="S58" s="355">
        <f t="shared" si="4"/>
        <v>11489.898989899</v>
      </c>
      <c r="T58" s="370">
        <v>34590</v>
      </c>
      <c r="U58" s="288"/>
      <c r="V58" s="355">
        <v>26940</v>
      </c>
      <c r="W58" s="370">
        <v>34590</v>
      </c>
      <c r="X58" s="288"/>
      <c r="Y58" s="371">
        <v>28330</v>
      </c>
      <c r="Z58" s="288"/>
      <c r="AA58" s="371">
        <v>35290</v>
      </c>
      <c r="AB58" s="288"/>
      <c r="AC58" s="274">
        <v>54210</v>
      </c>
      <c r="AD58" s="274"/>
      <c r="AE58" s="371">
        <v>35980</v>
      </c>
      <c r="AF58" s="288"/>
      <c r="AG58" s="370">
        <v>39360</v>
      </c>
      <c r="AH58" s="288"/>
      <c r="AI58" s="370">
        <v>40400</v>
      </c>
      <c r="AJ58" s="288"/>
      <c r="AK58" s="372">
        <f t="shared" si="5"/>
        <v>519849.898989899</v>
      </c>
      <c r="AL58" s="372"/>
      <c r="AM58" s="355"/>
      <c r="AN58" s="355"/>
      <c r="AO58" s="355">
        <f t="shared" si="6"/>
        <v>8093.23232323232</v>
      </c>
      <c r="AP58" s="355">
        <f t="shared" si="7"/>
        <v>7518.9515993266</v>
      </c>
      <c r="AQ58" s="373" t="s">
        <v>11837</v>
      </c>
      <c r="AR58" s="328"/>
      <c r="AS58" s="328"/>
      <c r="AT58" s="328"/>
    </row>
    <row r="59" s="329" customFormat="1" ht="21" customHeight="1" spans="1:46">
      <c r="A59" s="375"/>
      <c r="B59" s="368" t="s">
        <v>11897</v>
      </c>
      <c r="C59" s="355">
        <v>519850</v>
      </c>
      <c r="D59" s="369">
        <v>0.00561167227833894</v>
      </c>
      <c r="E59" s="369">
        <v>0.00638327721661055</v>
      </c>
      <c r="F59" s="370">
        <v>38430</v>
      </c>
      <c r="G59" s="288"/>
      <c r="H59" s="355">
        <v>11490</v>
      </c>
      <c r="I59" s="355">
        <v>23570</v>
      </c>
      <c r="J59" s="355">
        <v>11490</v>
      </c>
      <c r="K59" s="355">
        <v>13470</v>
      </c>
      <c r="L59" s="370">
        <v>21590</v>
      </c>
      <c r="M59" s="288"/>
      <c r="N59" s="355">
        <v>10100</v>
      </c>
      <c r="O59" s="355">
        <v>10100</v>
      </c>
      <c r="P59" s="355">
        <v>13470</v>
      </c>
      <c r="Q59" s="370">
        <f>VLOOKUP(B59,[1]Summary!$B:$U,20,FALSE)</f>
        <v>24960</v>
      </c>
      <c r="R59" s="288"/>
      <c r="S59" s="355">
        <f t="shared" si="4"/>
        <v>11489.898989899</v>
      </c>
      <c r="T59" s="370">
        <v>34590</v>
      </c>
      <c r="U59" s="288"/>
      <c r="V59" s="355">
        <v>26940</v>
      </c>
      <c r="W59" s="370">
        <v>34590</v>
      </c>
      <c r="X59" s="288"/>
      <c r="Y59" s="371">
        <v>28330</v>
      </c>
      <c r="Z59" s="288"/>
      <c r="AA59" s="371">
        <v>35290</v>
      </c>
      <c r="AB59" s="288"/>
      <c r="AC59" s="274">
        <v>54210</v>
      </c>
      <c r="AD59" s="274"/>
      <c r="AE59" s="371">
        <v>35980</v>
      </c>
      <c r="AF59" s="288"/>
      <c r="AG59" s="370">
        <v>39360</v>
      </c>
      <c r="AH59" s="288"/>
      <c r="AI59" s="370">
        <v>40400</v>
      </c>
      <c r="AJ59" s="288"/>
      <c r="AK59" s="372">
        <f t="shared" si="5"/>
        <v>519849.898989899</v>
      </c>
      <c r="AL59" s="372"/>
      <c r="AM59" s="355"/>
      <c r="AN59" s="355"/>
      <c r="AO59" s="355">
        <f t="shared" si="6"/>
        <v>8093.23232323232</v>
      </c>
      <c r="AP59" s="355">
        <f t="shared" si="7"/>
        <v>7518.9515993266</v>
      </c>
      <c r="AQ59" s="373" t="s">
        <v>11837</v>
      </c>
      <c r="AR59" s="328"/>
      <c r="AS59" s="328"/>
      <c r="AT59" s="328"/>
    </row>
    <row r="60" s="329" customFormat="1" ht="21" customHeight="1" spans="1:46">
      <c r="A60" s="375"/>
      <c r="B60" s="368" t="s">
        <v>11898</v>
      </c>
      <c r="C60" s="355">
        <v>519850</v>
      </c>
      <c r="D60" s="369">
        <v>0.00561167227833894</v>
      </c>
      <c r="E60" s="369">
        <v>0.00638327721661055</v>
      </c>
      <c r="F60" s="370">
        <v>38430</v>
      </c>
      <c r="G60" s="288"/>
      <c r="H60" s="355">
        <v>11490</v>
      </c>
      <c r="I60" s="355">
        <v>23570</v>
      </c>
      <c r="J60" s="355">
        <v>11490</v>
      </c>
      <c r="K60" s="355">
        <v>13470</v>
      </c>
      <c r="L60" s="370">
        <v>21590</v>
      </c>
      <c r="M60" s="288"/>
      <c r="N60" s="355">
        <v>10100</v>
      </c>
      <c r="O60" s="355">
        <v>10100</v>
      </c>
      <c r="P60" s="355">
        <v>13470</v>
      </c>
      <c r="Q60" s="370">
        <f>VLOOKUP(B60,[1]Summary!$B:$U,20,FALSE)</f>
        <v>24960</v>
      </c>
      <c r="R60" s="288"/>
      <c r="S60" s="355">
        <f t="shared" si="4"/>
        <v>11489.898989899</v>
      </c>
      <c r="T60" s="370">
        <v>34590</v>
      </c>
      <c r="U60" s="288"/>
      <c r="V60" s="355">
        <v>26940</v>
      </c>
      <c r="W60" s="370">
        <v>34590</v>
      </c>
      <c r="X60" s="288"/>
      <c r="Y60" s="371">
        <v>28330</v>
      </c>
      <c r="Z60" s="288"/>
      <c r="AA60" s="371">
        <v>35290</v>
      </c>
      <c r="AB60" s="288"/>
      <c r="AC60" s="274">
        <v>54210</v>
      </c>
      <c r="AD60" s="274"/>
      <c r="AE60" s="371">
        <v>35980</v>
      </c>
      <c r="AF60" s="288"/>
      <c r="AG60" s="370">
        <v>39360</v>
      </c>
      <c r="AH60" s="288"/>
      <c r="AI60" s="370">
        <v>40400</v>
      </c>
      <c r="AJ60" s="288"/>
      <c r="AK60" s="372">
        <f t="shared" si="5"/>
        <v>519849.898989899</v>
      </c>
      <c r="AL60" s="372"/>
      <c r="AM60" s="355"/>
      <c r="AN60" s="355"/>
      <c r="AO60" s="355">
        <f t="shared" si="6"/>
        <v>8093.23232323232</v>
      </c>
      <c r="AP60" s="355">
        <f t="shared" si="7"/>
        <v>7518.9515993266</v>
      </c>
      <c r="AQ60" s="373" t="s">
        <v>11837</v>
      </c>
      <c r="AR60" s="328"/>
      <c r="AS60" s="328"/>
      <c r="AT60" s="328"/>
    </row>
    <row r="61" s="329" customFormat="1" ht="21" customHeight="1" spans="1:46">
      <c r="A61" s="375"/>
      <c r="B61" s="368" t="s">
        <v>11899</v>
      </c>
      <c r="C61" s="355">
        <v>515760</v>
      </c>
      <c r="D61" s="369">
        <v>0.00580808080808081</v>
      </c>
      <c r="E61" s="369">
        <v>0.00580808080808081</v>
      </c>
      <c r="F61" s="370">
        <v>38340</v>
      </c>
      <c r="G61" s="288"/>
      <c r="H61" s="355">
        <v>10450</v>
      </c>
      <c r="I61" s="355">
        <v>24400</v>
      </c>
      <c r="J61" s="355">
        <v>10450</v>
      </c>
      <c r="K61" s="355">
        <v>13940</v>
      </c>
      <c r="L61" s="370">
        <v>20910</v>
      </c>
      <c r="M61" s="288"/>
      <c r="N61" s="355">
        <v>10450</v>
      </c>
      <c r="O61" s="355">
        <v>10460</v>
      </c>
      <c r="P61" s="355">
        <v>13940</v>
      </c>
      <c r="Q61" s="370">
        <f>VLOOKUP(B61,[1]Summary!$B:$U,20,FALSE)</f>
        <v>24390</v>
      </c>
      <c r="R61" s="288"/>
      <c r="S61" s="355">
        <f t="shared" si="4"/>
        <v>10454.5454545455</v>
      </c>
      <c r="T61" s="370">
        <v>34850</v>
      </c>
      <c r="U61" s="288"/>
      <c r="V61" s="355">
        <v>27870</v>
      </c>
      <c r="W61" s="370">
        <v>34850</v>
      </c>
      <c r="X61" s="288"/>
      <c r="Y61" s="371">
        <v>27880</v>
      </c>
      <c r="Z61" s="288"/>
      <c r="AA61" s="371">
        <v>34850</v>
      </c>
      <c r="AB61" s="288"/>
      <c r="AC61" s="274">
        <v>52270</v>
      </c>
      <c r="AD61" s="274"/>
      <c r="AE61" s="371">
        <v>34850</v>
      </c>
      <c r="AF61" s="288"/>
      <c r="AG61" s="370">
        <v>38330</v>
      </c>
      <c r="AH61" s="288"/>
      <c r="AI61" s="370">
        <v>41820</v>
      </c>
      <c r="AJ61" s="288"/>
      <c r="AK61" s="372">
        <f t="shared" si="5"/>
        <v>515754.545454546</v>
      </c>
      <c r="AL61" s="372"/>
      <c r="AM61" s="355"/>
      <c r="AN61" s="355"/>
      <c r="AO61" s="355">
        <f t="shared" si="6"/>
        <v>8376.49545454546</v>
      </c>
      <c r="AP61" s="355">
        <f t="shared" si="7"/>
        <v>6841.4196969697</v>
      </c>
      <c r="AQ61" s="373" t="s">
        <v>11837</v>
      </c>
      <c r="AR61" s="328"/>
      <c r="AS61" s="328"/>
      <c r="AT61" s="328"/>
    </row>
    <row r="62" s="329" customFormat="1" ht="21" customHeight="1" spans="1:46">
      <c r="A62" s="375"/>
      <c r="B62" s="368" t="s">
        <v>11900</v>
      </c>
      <c r="C62" s="355">
        <v>515760</v>
      </c>
      <c r="D62" s="369">
        <v>0.00580808080808081</v>
      </c>
      <c r="E62" s="369">
        <v>0.00580808080808081</v>
      </c>
      <c r="F62" s="370">
        <v>38340</v>
      </c>
      <c r="G62" s="288"/>
      <c r="H62" s="355">
        <v>10450</v>
      </c>
      <c r="I62" s="355">
        <v>24400</v>
      </c>
      <c r="J62" s="355">
        <v>10450</v>
      </c>
      <c r="K62" s="355">
        <v>13940</v>
      </c>
      <c r="L62" s="370">
        <v>20910</v>
      </c>
      <c r="M62" s="288"/>
      <c r="N62" s="355">
        <v>10450</v>
      </c>
      <c r="O62" s="355">
        <v>10460</v>
      </c>
      <c r="P62" s="355">
        <v>13940</v>
      </c>
      <c r="Q62" s="370">
        <f>VLOOKUP(B62,[1]Summary!$B:$U,20,FALSE)</f>
        <v>24390</v>
      </c>
      <c r="R62" s="288"/>
      <c r="S62" s="355">
        <f t="shared" si="4"/>
        <v>10454.5454545455</v>
      </c>
      <c r="T62" s="370">
        <v>34850</v>
      </c>
      <c r="U62" s="288"/>
      <c r="V62" s="355">
        <v>27870</v>
      </c>
      <c r="W62" s="370">
        <v>34850</v>
      </c>
      <c r="X62" s="288"/>
      <c r="Y62" s="371">
        <v>27880</v>
      </c>
      <c r="Z62" s="288"/>
      <c r="AA62" s="371">
        <v>34850</v>
      </c>
      <c r="AB62" s="288"/>
      <c r="AC62" s="274">
        <v>52270</v>
      </c>
      <c r="AD62" s="274"/>
      <c r="AE62" s="371">
        <v>34850</v>
      </c>
      <c r="AF62" s="288"/>
      <c r="AG62" s="370">
        <v>38330</v>
      </c>
      <c r="AH62" s="288"/>
      <c r="AI62" s="370">
        <v>41820</v>
      </c>
      <c r="AJ62" s="288"/>
      <c r="AK62" s="372">
        <f t="shared" si="5"/>
        <v>515754.545454546</v>
      </c>
      <c r="AL62" s="372"/>
      <c r="AM62" s="355"/>
      <c r="AN62" s="355"/>
      <c r="AO62" s="355">
        <f t="shared" si="6"/>
        <v>8376.49545454546</v>
      </c>
      <c r="AP62" s="355">
        <f t="shared" si="7"/>
        <v>6841.4196969697</v>
      </c>
      <c r="AQ62" s="373" t="s">
        <v>11837</v>
      </c>
      <c r="AR62" s="328"/>
      <c r="AS62" s="328"/>
      <c r="AT62" s="328"/>
    </row>
    <row r="63" s="329" customFormat="1" ht="21" customHeight="1" spans="1:46">
      <c r="A63" s="375"/>
      <c r="B63" s="377" t="s">
        <v>11901</v>
      </c>
      <c r="C63" s="355">
        <v>520060</v>
      </c>
      <c r="D63" s="369">
        <v>0.00580808080808081</v>
      </c>
      <c r="E63" s="369">
        <v>0.00580808080808081</v>
      </c>
      <c r="F63" s="370">
        <v>39840</v>
      </c>
      <c r="G63" s="288"/>
      <c r="H63" s="355">
        <v>10750</v>
      </c>
      <c r="I63" s="355">
        <v>24700</v>
      </c>
      <c r="J63" s="355">
        <v>10450</v>
      </c>
      <c r="K63" s="355">
        <v>13940</v>
      </c>
      <c r="L63" s="370">
        <v>20910</v>
      </c>
      <c r="M63" s="288"/>
      <c r="N63" s="355">
        <v>10450</v>
      </c>
      <c r="O63" s="355">
        <v>10460</v>
      </c>
      <c r="P63" s="355">
        <v>13940</v>
      </c>
      <c r="Q63" s="370">
        <f>VLOOKUP(B63,[1]Summary!$B:$U,20,FALSE)</f>
        <v>24390</v>
      </c>
      <c r="R63" s="288"/>
      <c r="S63" s="355">
        <f t="shared" si="4"/>
        <v>10454.5454545455</v>
      </c>
      <c r="T63" s="370">
        <v>34850</v>
      </c>
      <c r="U63" s="288"/>
      <c r="V63" s="355">
        <v>28170</v>
      </c>
      <c r="W63" s="370">
        <v>35350</v>
      </c>
      <c r="X63" s="288"/>
      <c r="Y63" s="371">
        <v>28180</v>
      </c>
      <c r="Z63" s="288"/>
      <c r="AA63" s="371">
        <v>34850</v>
      </c>
      <c r="AB63" s="288"/>
      <c r="AC63" s="274">
        <v>52270</v>
      </c>
      <c r="AD63" s="274"/>
      <c r="AE63" s="371">
        <v>35250</v>
      </c>
      <c r="AF63" s="288"/>
      <c r="AG63" s="370">
        <v>39030</v>
      </c>
      <c r="AH63" s="288"/>
      <c r="AI63" s="370">
        <v>41820</v>
      </c>
      <c r="AJ63" s="288"/>
      <c r="AK63" s="372">
        <f t="shared" si="5"/>
        <v>520054.545454546</v>
      </c>
      <c r="AL63" s="372"/>
      <c r="AM63" s="355"/>
      <c r="AN63" s="355"/>
      <c r="AO63" s="355">
        <f t="shared" si="6"/>
        <v>8376.49545454546</v>
      </c>
      <c r="AP63" s="355">
        <f t="shared" si="7"/>
        <v>6841.4196969697</v>
      </c>
      <c r="AQ63" s="373" t="s">
        <v>11860</v>
      </c>
      <c r="AR63" s="328"/>
      <c r="AS63" s="328"/>
      <c r="AT63" s="328"/>
    </row>
    <row r="64" s="329" customFormat="1" ht="21" customHeight="1" spans="1:46">
      <c r="A64" s="375"/>
      <c r="B64" s="368" t="s">
        <v>11902</v>
      </c>
      <c r="C64" s="355">
        <v>515760</v>
      </c>
      <c r="D64" s="369">
        <v>0.00580808080808081</v>
      </c>
      <c r="E64" s="369">
        <v>0.00580808080808081</v>
      </c>
      <c r="F64" s="370">
        <v>38340</v>
      </c>
      <c r="G64" s="288"/>
      <c r="H64" s="355">
        <v>10450</v>
      </c>
      <c r="I64" s="355">
        <v>24400</v>
      </c>
      <c r="J64" s="355">
        <v>10450</v>
      </c>
      <c r="K64" s="355">
        <v>13940</v>
      </c>
      <c r="L64" s="370">
        <v>20910</v>
      </c>
      <c r="M64" s="288"/>
      <c r="N64" s="355">
        <v>10450</v>
      </c>
      <c r="O64" s="355">
        <v>10460</v>
      </c>
      <c r="P64" s="355">
        <v>13940</v>
      </c>
      <c r="Q64" s="370">
        <f>VLOOKUP(B64,[1]Summary!$B:$U,20,FALSE)</f>
        <v>24390</v>
      </c>
      <c r="R64" s="288"/>
      <c r="S64" s="355">
        <f t="shared" si="4"/>
        <v>10454.5454545455</v>
      </c>
      <c r="T64" s="370">
        <v>34850</v>
      </c>
      <c r="U64" s="288"/>
      <c r="V64" s="355">
        <v>27870</v>
      </c>
      <c r="W64" s="370">
        <v>34850</v>
      </c>
      <c r="X64" s="288"/>
      <c r="Y64" s="371">
        <v>27880</v>
      </c>
      <c r="Z64" s="288"/>
      <c r="AA64" s="371">
        <v>34850</v>
      </c>
      <c r="AB64" s="288"/>
      <c r="AC64" s="274">
        <v>52270</v>
      </c>
      <c r="AD64" s="274"/>
      <c r="AE64" s="371">
        <v>34850</v>
      </c>
      <c r="AF64" s="288"/>
      <c r="AG64" s="370">
        <v>38330</v>
      </c>
      <c r="AH64" s="288"/>
      <c r="AI64" s="370">
        <v>41820</v>
      </c>
      <c r="AJ64" s="288"/>
      <c r="AK64" s="372">
        <f t="shared" si="5"/>
        <v>515754.545454546</v>
      </c>
      <c r="AL64" s="372"/>
      <c r="AM64" s="355"/>
      <c r="AN64" s="355"/>
      <c r="AO64" s="355">
        <f t="shared" si="6"/>
        <v>8376.49545454546</v>
      </c>
      <c r="AP64" s="355">
        <f t="shared" si="7"/>
        <v>6841.4196969697</v>
      </c>
      <c r="AQ64" s="373" t="s">
        <v>11837</v>
      </c>
      <c r="AR64" s="328"/>
      <c r="AS64" s="328"/>
      <c r="AT64" s="328"/>
    </row>
    <row r="65" s="329" customFormat="1" ht="21" customHeight="1" spans="1:46">
      <c r="A65" s="375"/>
      <c r="B65" s="368" t="s">
        <v>11903</v>
      </c>
      <c r="C65" s="355">
        <v>515760</v>
      </c>
      <c r="D65" s="369">
        <v>0.00580808080808081</v>
      </c>
      <c r="E65" s="369">
        <v>0.00580808080808081</v>
      </c>
      <c r="F65" s="370">
        <v>38340</v>
      </c>
      <c r="G65" s="288"/>
      <c r="H65" s="355">
        <v>10450</v>
      </c>
      <c r="I65" s="355">
        <v>24400</v>
      </c>
      <c r="J65" s="355">
        <v>10450</v>
      </c>
      <c r="K65" s="355">
        <v>13940</v>
      </c>
      <c r="L65" s="370">
        <v>20910</v>
      </c>
      <c r="M65" s="288"/>
      <c r="N65" s="355">
        <v>10450</v>
      </c>
      <c r="O65" s="355">
        <v>10460</v>
      </c>
      <c r="P65" s="355">
        <v>13940</v>
      </c>
      <c r="Q65" s="370">
        <f>VLOOKUP(B65,[1]Summary!$B:$U,20,FALSE)</f>
        <v>24390</v>
      </c>
      <c r="R65" s="288"/>
      <c r="S65" s="355">
        <f t="shared" si="4"/>
        <v>10454.5454545455</v>
      </c>
      <c r="T65" s="370">
        <v>34850</v>
      </c>
      <c r="U65" s="288"/>
      <c r="V65" s="355">
        <v>27870</v>
      </c>
      <c r="W65" s="370">
        <v>34850</v>
      </c>
      <c r="X65" s="288"/>
      <c r="Y65" s="371">
        <v>27880</v>
      </c>
      <c r="Z65" s="288"/>
      <c r="AA65" s="371">
        <v>34850</v>
      </c>
      <c r="AB65" s="288"/>
      <c r="AC65" s="274">
        <v>52270</v>
      </c>
      <c r="AD65" s="274"/>
      <c r="AE65" s="371">
        <v>34850</v>
      </c>
      <c r="AF65" s="288"/>
      <c r="AG65" s="370">
        <v>38330</v>
      </c>
      <c r="AH65" s="288"/>
      <c r="AI65" s="370">
        <v>41820</v>
      </c>
      <c r="AJ65" s="288"/>
      <c r="AK65" s="372">
        <f t="shared" si="5"/>
        <v>515754.545454546</v>
      </c>
      <c r="AL65" s="372"/>
      <c r="AM65" s="355"/>
      <c r="AN65" s="355"/>
      <c r="AO65" s="355">
        <f t="shared" si="6"/>
        <v>8376.49545454546</v>
      </c>
      <c r="AP65" s="355">
        <f t="shared" si="7"/>
        <v>6841.4196969697</v>
      </c>
      <c r="AQ65" s="373" t="s">
        <v>11837</v>
      </c>
      <c r="AR65" s="328"/>
      <c r="AS65" s="328"/>
      <c r="AT65" s="328"/>
    </row>
    <row r="66" s="329" customFormat="1" ht="21" customHeight="1" spans="1:46">
      <c r="A66" s="375"/>
      <c r="B66" s="368" t="s">
        <v>11904</v>
      </c>
      <c r="C66" s="355">
        <v>477390</v>
      </c>
      <c r="D66" s="369">
        <v>0.00536616161616162</v>
      </c>
      <c r="E66" s="369">
        <v>0.00536616161616162</v>
      </c>
      <c r="F66" s="370">
        <v>35430</v>
      </c>
      <c r="G66" s="288"/>
      <c r="H66" s="355">
        <v>9660</v>
      </c>
      <c r="I66" s="355">
        <v>22540</v>
      </c>
      <c r="J66" s="355">
        <v>9660</v>
      </c>
      <c r="K66" s="355">
        <v>13480</v>
      </c>
      <c r="L66" s="370">
        <v>19330</v>
      </c>
      <c r="M66" s="288"/>
      <c r="N66" s="355">
        <v>9660</v>
      </c>
      <c r="O66" s="355">
        <v>9660</v>
      </c>
      <c r="P66" s="355">
        <v>12880</v>
      </c>
      <c r="Q66" s="370">
        <f>VLOOKUP(B66,[1]Summary!$B:$U,20,FALSE)</f>
        <v>22540</v>
      </c>
      <c r="R66" s="288"/>
      <c r="S66" s="355">
        <f t="shared" si="4"/>
        <v>9659.09090909092</v>
      </c>
      <c r="T66" s="370">
        <v>32210</v>
      </c>
      <c r="U66" s="288"/>
      <c r="V66" s="355">
        <v>25760</v>
      </c>
      <c r="W66" s="370">
        <v>32410</v>
      </c>
      <c r="X66" s="288"/>
      <c r="Y66" s="371">
        <v>25760</v>
      </c>
      <c r="Z66" s="288"/>
      <c r="AA66" s="371">
        <v>32200</v>
      </c>
      <c r="AB66" s="288"/>
      <c r="AC66" s="274">
        <v>48300</v>
      </c>
      <c r="AD66" s="274"/>
      <c r="AE66" s="371">
        <v>32190</v>
      </c>
      <c r="AF66" s="288"/>
      <c r="AG66" s="370">
        <v>35420</v>
      </c>
      <c r="AH66" s="288"/>
      <c r="AI66" s="370">
        <v>38640</v>
      </c>
      <c r="AJ66" s="288"/>
      <c r="AK66" s="372">
        <f t="shared" si="5"/>
        <v>477389.090909091</v>
      </c>
      <c r="AL66" s="372"/>
      <c r="AM66" s="355"/>
      <c r="AN66" s="355"/>
      <c r="AO66" s="355">
        <f t="shared" si="6"/>
        <v>7739.15340909091</v>
      </c>
      <c r="AP66" s="355">
        <f t="shared" si="7"/>
        <v>6320.8768939394</v>
      </c>
      <c r="AQ66" s="373" t="s">
        <v>11837</v>
      </c>
      <c r="AR66" s="328"/>
      <c r="AS66" s="328"/>
      <c r="AT66" s="328"/>
    </row>
    <row r="67" s="329" customFormat="1" ht="21" customHeight="1" spans="1:46">
      <c r="A67" s="375"/>
      <c r="B67" s="368" t="s">
        <v>11905</v>
      </c>
      <c r="C67" s="355">
        <v>476590</v>
      </c>
      <c r="D67" s="369">
        <v>0.00536616161616162</v>
      </c>
      <c r="E67" s="369">
        <v>0.00536616161616162</v>
      </c>
      <c r="F67" s="370">
        <v>35430</v>
      </c>
      <c r="G67" s="288"/>
      <c r="H67" s="355">
        <v>9660</v>
      </c>
      <c r="I67" s="355">
        <v>22540</v>
      </c>
      <c r="J67" s="355">
        <v>9660</v>
      </c>
      <c r="K67" s="355">
        <v>12880</v>
      </c>
      <c r="L67" s="370">
        <v>19330</v>
      </c>
      <c r="M67" s="288"/>
      <c r="N67" s="355">
        <v>9660</v>
      </c>
      <c r="O67" s="355">
        <v>9660</v>
      </c>
      <c r="P67" s="355">
        <v>12880</v>
      </c>
      <c r="Q67" s="370">
        <f>VLOOKUP(B67,[1]Summary!$B:$U,20,FALSE)</f>
        <v>22540</v>
      </c>
      <c r="R67" s="288"/>
      <c r="S67" s="355">
        <f t="shared" si="4"/>
        <v>9659.09090909092</v>
      </c>
      <c r="T67" s="370">
        <v>32210</v>
      </c>
      <c r="U67" s="288"/>
      <c r="V67" s="355">
        <v>25760</v>
      </c>
      <c r="W67" s="370">
        <v>32210</v>
      </c>
      <c r="X67" s="288"/>
      <c r="Y67" s="371">
        <v>25760</v>
      </c>
      <c r="Z67" s="288"/>
      <c r="AA67" s="371">
        <v>32200</v>
      </c>
      <c r="AB67" s="288"/>
      <c r="AC67" s="274">
        <v>48300</v>
      </c>
      <c r="AD67" s="274"/>
      <c r="AE67" s="371">
        <v>32190</v>
      </c>
      <c r="AF67" s="288"/>
      <c r="AG67" s="370">
        <v>35420</v>
      </c>
      <c r="AH67" s="288"/>
      <c r="AI67" s="370">
        <v>38640</v>
      </c>
      <c r="AJ67" s="288"/>
      <c r="AK67" s="372">
        <f t="shared" si="5"/>
        <v>476589.090909091</v>
      </c>
      <c r="AL67" s="372"/>
      <c r="AM67" s="355"/>
      <c r="AN67" s="355"/>
      <c r="AO67" s="355">
        <f t="shared" si="6"/>
        <v>7739.15340909091</v>
      </c>
      <c r="AP67" s="355">
        <f t="shared" si="7"/>
        <v>6320.8768939394</v>
      </c>
      <c r="AQ67" s="373" t="s">
        <v>11837</v>
      </c>
      <c r="AR67" s="328"/>
      <c r="AS67" s="328"/>
      <c r="AT67" s="328"/>
    </row>
    <row r="68" s="329" customFormat="1" ht="21" customHeight="1" spans="1:46">
      <c r="A68" s="375"/>
      <c r="B68" s="368" t="s">
        <v>11906</v>
      </c>
      <c r="C68" s="355">
        <v>476590</v>
      </c>
      <c r="D68" s="369">
        <v>0.00536616161616162</v>
      </c>
      <c r="E68" s="369">
        <v>0.00536616161616162</v>
      </c>
      <c r="F68" s="370">
        <v>35430</v>
      </c>
      <c r="G68" s="288"/>
      <c r="H68" s="355">
        <v>9660</v>
      </c>
      <c r="I68" s="355">
        <v>22540</v>
      </c>
      <c r="J68" s="355">
        <v>9660</v>
      </c>
      <c r="K68" s="355">
        <v>12880</v>
      </c>
      <c r="L68" s="370">
        <v>19330</v>
      </c>
      <c r="M68" s="288"/>
      <c r="N68" s="355">
        <v>9660</v>
      </c>
      <c r="O68" s="355">
        <v>9660</v>
      </c>
      <c r="P68" s="355">
        <v>12880</v>
      </c>
      <c r="Q68" s="370">
        <f>VLOOKUP(B68,[1]Summary!$B:$U,20,FALSE)</f>
        <v>22540</v>
      </c>
      <c r="R68" s="288"/>
      <c r="S68" s="355">
        <f t="shared" si="4"/>
        <v>9659.09090909092</v>
      </c>
      <c r="T68" s="370">
        <v>32210</v>
      </c>
      <c r="U68" s="288"/>
      <c r="V68" s="355">
        <v>25760</v>
      </c>
      <c r="W68" s="370">
        <v>32210</v>
      </c>
      <c r="X68" s="288"/>
      <c r="Y68" s="371">
        <v>25760</v>
      </c>
      <c r="Z68" s="288"/>
      <c r="AA68" s="371">
        <v>32200</v>
      </c>
      <c r="AB68" s="288"/>
      <c r="AC68" s="274">
        <v>48300</v>
      </c>
      <c r="AD68" s="274"/>
      <c r="AE68" s="371">
        <v>32190</v>
      </c>
      <c r="AF68" s="288"/>
      <c r="AG68" s="370">
        <v>35420</v>
      </c>
      <c r="AH68" s="288"/>
      <c r="AI68" s="370">
        <v>38640</v>
      </c>
      <c r="AJ68" s="288"/>
      <c r="AK68" s="372">
        <f t="shared" si="5"/>
        <v>476589.090909091</v>
      </c>
      <c r="AL68" s="372"/>
      <c r="AM68" s="355"/>
      <c r="AN68" s="355"/>
      <c r="AO68" s="355">
        <f t="shared" si="6"/>
        <v>7739.15340909091</v>
      </c>
      <c r="AP68" s="355">
        <f t="shared" si="7"/>
        <v>6320.8768939394</v>
      </c>
      <c r="AQ68" s="373" t="s">
        <v>11837</v>
      </c>
      <c r="AR68" s="328"/>
      <c r="AS68" s="328"/>
      <c r="AT68" s="328"/>
    </row>
    <row r="69" s="329" customFormat="1" ht="21" customHeight="1" spans="1:46">
      <c r="A69" s="375"/>
      <c r="B69" s="378" t="s">
        <v>11907</v>
      </c>
      <c r="C69" s="355">
        <v>705840</v>
      </c>
      <c r="D69" s="369">
        <v>0.00347222222222222</v>
      </c>
      <c r="E69" s="369">
        <v>0.00347222222222222</v>
      </c>
      <c r="F69" s="370">
        <v>74420</v>
      </c>
      <c r="G69" s="288"/>
      <c r="H69" s="355">
        <v>13250</v>
      </c>
      <c r="I69" s="355">
        <v>19580</v>
      </c>
      <c r="J69" s="355">
        <v>11250</v>
      </c>
      <c r="K69" s="355">
        <v>13340</v>
      </c>
      <c r="L69" s="370">
        <v>17500</v>
      </c>
      <c r="M69" s="288"/>
      <c r="N69" s="355">
        <v>9250</v>
      </c>
      <c r="O69" s="355">
        <v>10250</v>
      </c>
      <c r="P69" s="355">
        <v>8330</v>
      </c>
      <c r="Q69" s="370">
        <f>VLOOKUP(B69,[1]Summary!$B:$U,20,FALSE)</f>
        <v>34580</v>
      </c>
      <c r="R69" s="288"/>
      <c r="S69" s="355">
        <f t="shared" si="4"/>
        <v>6250</v>
      </c>
      <c r="T69" s="370">
        <v>60840</v>
      </c>
      <c r="U69" s="288"/>
      <c r="V69" s="355">
        <v>31960</v>
      </c>
      <c r="W69" s="370">
        <v>26140</v>
      </c>
      <c r="X69" s="288"/>
      <c r="Y69" s="371">
        <v>24960</v>
      </c>
      <c r="Z69" s="288"/>
      <c r="AA69" s="371">
        <v>25840</v>
      </c>
      <c r="AB69" s="288"/>
      <c r="AC69" s="274">
        <v>36250</v>
      </c>
      <c r="AD69" s="274"/>
      <c r="AE69" s="371">
        <v>97230</v>
      </c>
      <c r="AF69" s="288"/>
      <c r="AG69" s="370">
        <v>83620</v>
      </c>
      <c r="AH69" s="288"/>
      <c r="AI69" s="370">
        <v>45000</v>
      </c>
      <c r="AJ69" s="288"/>
      <c r="AK69" s="372">
        <f t="shared" si="5"/>
        <v>649840</v>
      </c>
      <c r="AL69" s="372"/>
      <c r="AM69" s="355"/>
      <c r="AN69" s="355"/>
      <c r="AO69" s="355">
        <f t="shared" si="6"/>
        <v>5007.6875</v>
      </c>
      <c r="AP69" s="355">
        <f t="shared" si="7"/>
        <v>4089.97916666666</v>
      </c>
      <c r="AQ69" s="373" t="s">
        <v>11908</v>
      </c>
      <c r="AR69" s="328"/>
      <c r="AS69" s="328"/>
      <c r="AT69" s="328"/>
    </row>
    <row r="70" s="329" customFormat="1" ht="21" customHeight="1" spans="1:46">
      <c r="A70" s="375"/>
      <c r="B70" s="368" t="s">
        <v>11909</v>
      </c>
      <c r="C70" s="355">
        <v>308340</v>
      </c>
      <c r="D70" s="369">
        <v>0.00347222222222222</v>
      </c>
      <c r="E70" s="369">
        <v>0.00347222222222222</v>
      </c>
      <c r="F70" s="370">
        <v>22920</v>
      </c>
      <c r="G70" s="288"/>
      <c r="H70" s="355">
        <v>6250</v>
      </c>
      <c r="I70" s="355">
        <v>14580</v>
      </c>
      <c r="J70" s="355">
        <v>6250</v>
      </c>
      <c r="K70" s="355">
        <v>8340</v>
      </c>
      <c r="L70" s="370">
        <v>12500</v>
      </c>
      <c r="M70" s="288"/>
      <c r="N70" s="355">
        <v>6250</v>
      </c>
      <c r="O70" s="355">
        <v>6250</v>
      </c>
      <c r="P70" s="355">
        <v>8330</v>
      </c>
      <c r="Q70" s="370">
        <f>VLOOKUP(B70,[1]Summary!$B:$U,20,FALSE)</f>
        <v>14580</v>
      </c>
      <c r="R70" s="288"/>
      <c r="S70" s="355">
        <f t="shared" si="4"/>
        <v>6250</v>
      </c>
      <c r="T70" s="370">
        <v>20840</v>
      </c>
      <c r="U70" s="288"/>
      <c r="V70" s="355">
        <v>16660</v>
      </c>
      <c r="W70" s="370">
        <v>20840</v>
      </c>
      <c r="X70" s="288"/>
      <c r="Y70" s="371">
        <v>16660</v>
      </c>
      <c r="Z70" s="288"/>
      <c r="AA70" s="371">
        <v>20840</v>
      </c>
      <c r="AB70" s="288"/>
      <c r="AC70" s="274">
        <v>31250</v>
      </c>
      <c r="AD70" s="274"/>
      <c r="AE70" s="371">
        <v>20830</v>
      </c>
      <c r="AF70" s="288"/>
      <c r="AG70" s="370">
        <v>22920</v>
      </c>
      <c r="AH70" s="288"/>
      <c r="AI70" s="370">
        <v>25000</v>
      </c>
      <c r="AJ70" s="288"/>
      <c r="AK70" s="372">
        <f t="shared" si="5"/>
        <v>308340</v>
      </c>
      <c r="AL70" s="372"/>
      <c r="AM70" s="355"/>
      <c r="AN70" s="355"/>
      <c r="AO70" s="355">
        <f t="shared" si="6"/>
        <v>5007.6875</v>
      </c>
      <c r="AP70" s="355">
        <f t="shared" si="7"/>
        <v>4089.97916666666</v>
      </c>
      <c r="AQ70" s="373" t="s">
        <v>11837</v>
      </c>
      <c r="AR70" s="328"/>
      <c r="AS70" s="328"/>
      <c r="AT70" s="328"/>
    </row>
    <row r="71" s="329" customFormat="1" ht="21" customHeight="1" spans="1:46">
      <c r="A71" s="375"/>
      <c r="B71" s="368" t="s">
        <v>11910</v>
      </c>
      <c r="C71" s="355">
        <v>516850</v>
      </c>
      <c r="D71" s="369">
        <v>0.0120475589225589</v>
      </c>
      <c r="E71" s="369"/>
      <c r="F71" s="370">
        <v>57830</v>
      </c>
      <c r="G71" s="288"/>
      <c r="H71" s="355">
        <v>0</v>
      </c>
      <c r="I71" s="355">
        <v>50600</v>
      </c>
      <c r="J71" s="355">
        <v>0</v>
      </c>
      <c r="K71" s="355">
        <v>28920</v>
      </c>
      <c r="L71" s="370">
        <v>21680</v>
      </c>
      <c r="M71" s="288"/>
      <c r="N71" s="355">
        <v>21690</v>
      </c>
      <c r="O71" s="355">
        <v>21680</v>
      </c>
      <c r="P71" s="355">
        <v>28920</v>
      </c>
      <c r="Q71" s="370">
        <f>VLOOKUP(B71,[1]Summary!$B:$U,20,FALSE)</f>
        <v>28910</v>
      </c>
      <c r="R71" s="288"/>
      <c r="S71" s="355">
        <f t="shared" si="4"/>
        <v>0</v>
      </c>
      <c r="T71" s="370">
        <v>57830</v>
      </c>
      <c r="U71" s="288"/>
      <c r="V71" s="355">
        <v>57830</v>
      </c>
      <c r="W71" s="370">
        <v>57830</v>
      </c>
      <c r="X71" s="288"/>
      <c r="Y71" s="371">
        <v>36140</v>
      </c>
      <c r="Z71" s="288"/>
      <c r="AA71" s="371">
        <v>46990</v>
      </c>
      <c r="AB71" s="288"/>
      <c r="AC71" s="274">
        <v>0</v>
      </c>
      <c r="AD71" s="274"/>
      <c r="AE71" s="371">
        <v>0</v>
      </c>
      <c r="AF71" s="288"/>
      <c r="AG71" s="370">
        <v>0</v>
      </c>
      <c r="AH71" s="288"/>
      <c r="AI71" s="370">
        <v>0</v>
      </c>
      <c r="AJ71" s="288"/>
      <c r="AK71" s="372">
        <f t="shared" si="5"/>
        <v>516850</v>
      </c>
      <c r="AL71" s="372"/>
      <c r="AM71" s="355"/>
      <c r="AN71" s="355"/>
      <c r="AO71" s="355">
        <f t="shared" si="6"/>
        <v>17375.1581439394</v>
      </c>
      <c r="AP71" s="355">
        <f t="shared" si="7"/>
        <v>0</v>
      </c>
      <c r="AQ71" s="373" t="s">
        <v>11840</v>
      </c>
      <c r="AR71" s="328"/>
      <c r="AS71" s="328"/>
      <c r="AT71" s="328"/>
    </row>
    <row r="72" s="329" customFormat="1" ht="21" customHeight="1" spans="1:46">
      <c r="A72" s="375"/>
      <c r="B72" s="368" t="s">
        <v>11911</v>
      </c>
      <c r="C72" s="355">
        <v>413830</v>
      </c>
      <c r="D72" s="369"/>
      <c r="E72" s="369">
        <v>0.0242003367003367</v>
      </c>
      <c r="F72" s="370">
        <v>43570</v>
      </c>
      <c r="G72" s="288"/>
      <c r="H72" s="355">
        <v>43560</v>
      </c>
      <c r="I72" s="355"/>
      <c r="J72" s="355">
        <v>43560</v>
      </c>
      <c r="K72" s="355">
        <v>0</v>
      </c>
      <c r="L72" s="370">
        <v>43560</v>
      </c>
      <c r="M72" s="288"/>
      <c r="N72" s="355">
        <v>0</v>
      </c>
      <c r="O72" s="355">
        <v>0</v>
      </c>
      <c r="P72" s="355">
        <v>0</v>
      </c>
      <c r="Q72" s="370">
        <f>VLOOKUP(B72,[1]Summary!$B:$U,20,FALSE)</f>
        <v>43560</v>
      </c>
      <c r="R72" s="288"/>
      <c r="S72" s="355">
        <f t="shared" si="4"/>
        <v>43560.6060606061</v>
      </c>
      <c r="T72" s="370">
        <v>29040</v>
      </c>
      <c r="U72" s="288"/>
      <c r="V72" s="355">
        <v>0</v>
      </c>
      <c r="W72" s="370">
        <v>29040</v>
      </c>
      <c r="X72" s="288"/>
      <c r="Y72" s="371">
        <v>43560</v>
      </c>
      <c r="Z72" s="288"/>
      <c r="AA72" s="371">
        <v>50820</v>
      </c>
      <c r="AB72" s="288"/>
      <c r="AC72" s="274">
        <v>0</v>
      </c>
      <c r="AD72" s="274"/>
      <c r="AE72" s="371">
        <v>0</v>
      </c>
      <c r="AF72" s="288"/>
      <c r="AG72" s="370">
        <v>0</v>
      </c>
      <c r="AH72" s="288"/>
      <c r="AI72" s="370">
        <v>0</v>
      </c>
      <c r="AJ72" s="288"/>
      <c r="AK72" s="372">
        <f t="shared" si="5"/>
        <v>413830.606060606</v>
      </c>
      <c r="AL72" s="372"/>
      <c r="AM72" s="355"/>
      <c r="AN72" s="355"/>
      <c r="AO72" s="355">
        <f t="shared" si="6"/>
        <v>0</v>
      </c>
      <c r="AP72" s="355">
        <f t="shared" si="7"/>
        <v>28505.9154040404</v>
      </c>
      <c r="AQ72" s="373" t="s">
        <v>11912</v>
      </c>
      <c r="AR72" s="379"/>
      <c r="AS72" s="380"/>
      <c r="AT72" s="380"/>
    </row>
    <row r="73" s="329" customFormat="1" ht="21" customHeight="1" spans="1:46">
      <c r="A73" s="375"/>
      <c r="B73" s="368" t="s">
        <v>11913</v>
      </c>
      <c r="C73" s="355">
        <v>516850</v>
      </c>
      <c r="D73" s="369">
        <v>0.0120475589225589</v>
      </c>
      <c r="E73" s="369"/>
      <c r="F73" s="370">
        <v>57830</v>
      </c>
      <c r="G73" s="288"/>
      <c r="H73" s="355">
        <v>0</v>
      </c>
      <c r="I73" s="355">
        <v>50600</v>
      </c>
      <c r="J73" s="355">
        <v>0</v>
      </c>
      <c r="K73" s="355">
        <v>28920</v>
      </c>
      <c r="L73" s="370">
        <v>21680</v>
      </c>
      <c r="M73" s="288"/>
      <c r="N73" s="355">
        <v>21690</v>
      </c>
      <c r="O73" s="355">
        <v>21680</v>
      </c>
      <c r="P73" s="355">
        <v>28920</v>
      </c>
      <c r="Q73" s="370">
        <f>VLOOKUP(B73,[1]Summary!$B:$U,20,FALSE)</f>
        <v>28910</v>
      </c>
      <c r="R73" s="288"/>
      <c r="S73" s="355">
        <f t="shared" si="4"/>
        <v>0</v>
      </c>
      <c r="T73" s="370">
        <v>57830</v>
      </c>
      <c r="U73" s="288"/>
      <c r="V73" s="355">
        <v>57830</v>
      </c>
      <c r="W73" s="370">
        <v>57830</v>
      </c>
      <c r="X73" s="288"/>
      <c r="Y73" s="371">
        <v>36140</v>
      </c>
      <c r="Z73" s="288"/>
      <c r="AA73" s="371">
        <v>46990</v>
      </c>
      <c r="AB73" s="288"/>
      <c r="AC73" s="274">
        <v>0</v>
      </c>
      <c r="AD73" s="274"/>
      <c r="AE73" s="371">
        <v>0</v>
      </c>
      <c r="AF73" s="288"/>
      <c r="AG73" s="370">
        <v>0</v>
      </c>
      <c r="AH73" s="288"/>
      <c r="AI73" s="370">
        <v>0</v>
      </c>
      <c r="AJ73" s="288"/>
      <c r="AK73" s="372">
        <f t="shared" si="5"/>
        <v>516850</v>
      </c>
      <c r="AL73" s="372"/>
      <c r="AM73" s="355"/>
      <c r="AN73" s="355"/>
      <c r="AO73" s="355">
        <f t="shared" si="6"/>
        <v>17375.1581439394</v>
      </c>
      <c r="AP73" s="355">
        <f t="shared" si="7"/>
        <v>0</v>
      </c>
      <c r="AQ73" s="373" t="s">
        <v>11840</v>
      </c>
      <c r="AR73" s="328"/>
      <c r="AS73" s="328"/>
      <c r="AT73" s="328"/>
    </row>
    <row r="74" s="329" customFormat="1" ht="21" customHeight="1" spans="1:46">
      <c r="A74" s="375"/>
      <c r="B74" s="368" t="s">
        <v>11914</v>
      </c>
      <c r="C74" s="355">
        <v>413830</v>
      </c>
      <c r="D74" s="369"/>
      <c r="E74" s="369">
        <v>0.0242003367003367</v>
      </c>
      <c r="F74" s="370">
        <v>43570</v>
      </c>
      <c r="G74" s="288"/>
      <c r="H74" s="355">
        <v>43560</v>
      </c>
      <c r="I74" s="355"/>
      <c r="J74" s="355">
        <v>43560</v>
      </c>
      <c r="K74" s="355">
        <v>0</v>
      </c>
      <c r="L74" s="370">
        <v>43560</v>
      </c>
      <c r="M74" s="288"/>
      <c r="N74" s="355">
        <v>0</v>
      </c>
      <c r="O74" s="355">
        <v>0</v>
      </c>
      <c r="P74" s="355">
        <v>0</v>
      </c>
      <c r="Q74" s="370">
        <f>VLOOKUP(B74,[1]Summary!$B:$U,20,FALSE)</f>
        <v>43560</v>
      </c>
      <c r="R74" s="288"/>
      <c r="S74" s="355">
        <f t="shared" si="4"/>
        <v>43560.6060606061</v>
      </c>
      <c r="T74" s="370">
        <v>29040</v>
      </c>
      <c r="U74" s="288"/>
      <c r="V74" s="355">
        <v>0</v>
      </c>
      <c r="W74" s="370">
        <v>29040</v>
      </c>
      <c r="X74" s="288"/>
      <c r="Y74" s="371">
        <v>43560</v>
      </c>
      <c r="Z74" s="288"/>
      <c r="AA74" s="371">
        <v>50820</v>
      </c>
      <c r="AB74" s="288"/>
      <c r="AC74" s="274">
        <v>0</v>
      </c>
      <c r="AD74" s="274"/>
      <c r="AE74" s="371">
        <v>0</v>
      </c>
      <c r="AF74" s="288"/>
      <c r="AG74" s="370">
        <v>0</v>
      </c>
      <c r="AH74" s="288"/>
      <c r="AI74" s="370">
        <v>0</v>
      </c>
      <c r="AJ74" s="288"/>
      <c r="AK74" s="372">
        <f t="shared" si="5"/>
        <v>413830.606060606</v>
      </c>
      <c r="AL74" s="372"/>
      <c r="AM74" s="355"/>
      <c r="AN74" s="355"/>
      <c r="AO74" s="355">
        <f t="shared" si="6"/>
        <v>0</v>
      </c>
      <c r="AP74" s="355">
        <f t="shared" si="7"/>
        <v>28505.9154040404</v>
      </c>
      <c r="AQ74" s="373" t="s">
        <v>11912</v>
      </c>
      <c r="AR74" s="379"/>
      <c r="AS74" s="380"/>
      <c r="AT74" s="380"/>
    </row>
    <row r="75" s="329" customFormat="1" ht="21" customHeight="1" spans="1:46">
      <c r="A75" s="375"/>
      <c r="B75" s="368" t="s">
        <v>11915</v>
      </c>
      <c r="C75" s="355">
        <v>516850</v>
      </c>
      <c r="D75" s="369">
        <v>0.0120475589225589</v>
      </c>
      <c r="E75" s="369"/>
      <c r="F75" s="370">
        <v>57830</v>
      </c>
      <c r="G75" s="288"/>
      <c r="H75" s="355">
        <v>0</v>
      </c>
      <c r="I75" s="355">
        <v>50600</v>
      </c>
      <c r="J75" s="355">
        <v>0</v>
      </c>
      <c r="K75" s="355">
        <v>28920</v>
      </c>
      <c r="L75" s="370">
        <v>21680</v>
      </c>
      <c r="M75" s="288"/>
      <c r="N75" s="355">
        <v>21690</v>
      </c>
      <c r="O75" s="355">
        <v>21680</v>
      </c>
      <c r="P75" s="355">
        <v>28920</v>
      </c>
      <c r="Q75" s="370">
        <f>VLOOKUP(B75,[1]Summary!$B:$U,20,FALSE)</f>
        <v>28910</v>
      </c>
      <c r="R75" s="288"/>
      <c r="S75" s="355">
        <f t="shared" si="4"/>
        <v>0</v>
      </c>
      <c r="T75" s="370">
        <v>57830</v>
      </c>
      <c r="U75" s="288"/>
      <c r="V75" s="355">
        <v>57830</v>
      </c>
      <c r="W75" s="370">
        <v>57830</v>
      </c>
      <c r="X75" s="288"/>
      <c r="Y75" s="371">
        <v>36140</v>
      </c>
      <c r="Z75" s="288"/>
      <c r="AA75" s="371">
        <v>46990</v>
      </c>
      <c r="AB75" s="288"/>
      <c r="AC75" s="274">
        <v>0</v>
      </c>
      <c r="AD75" s="274"/>
      <c r="AE75" s="371">
        <v>0</v>
      </c>
      <c r="AF75" s="288"/>
      <c r="AG75" s="370">
        <v>0</v>
      </c>
      <c r="AH75" s="288"/>
      <c r="AI75" s="370">
        <v>0</v>
      </c>
      <c r="AJ75" s="288"/>
      <c r="AK75" s="372">
        <f t="shared" si="5"/>
        <v>516850</v>
      </c>
      <c r="AL75" s="372"/>
      <c r="AM75" s="355"/>
      <c r="AN75" s="355"/>
      <c r="AO75" s="355">
        <f t="shared" si="6"/>
        <v>17375.1581439394</v>
      </c>
      <c r="AP75" s="355">
        <f t="shared" si="7"/>
        <v>0</v>
      </c>
      <c r="AQ75" s="373" t="s">
        <v>11840</v>
      </c>
      <c r="AR75" s="328"/>
      <c r="AS75" s="328"/>
      <c r="AT75" s="328"/>
    </row>
    <row r="76" s="329" customFormat="1" ht="21" customHeight="1" spans="1:46">
      <c r="A76" s="375"/>
      <c r="B76" s="368" t="s">
        <v>11916</v>
      </c>
      <c r="C76" s="355">
        <v>413830</v>
      </c>
      <c r="D76" s="369"/>
      <c r="E76" s="369">
        <v>0.0242003367003367</v>
      </c>
      <c r="F76" s="370">
        <v>43570</v>
      </c>
      <c r="G76" s="288"/>
      <c r="H76" s="355">
        <v>43560</v>
      </c>
      <c r="I76" s="355"/>
      <c r="J76" s="355">
        <v>43560</v>
      </c>
      <c r="K76" s="355">
        <v>0</v>
      </c>
      <c r="L76" s="370">
        <v>43560</v>
      </c>
      <c r="M76" s="288"/>
      <c r="N76" s="355">
        <v>0</v>
      </c>
      <c r="O76" s="355">
        <v>0</v>
      </c>
      <c r="P76" s="355">
        <v>0</v>
      </c>
      <c r="Q76" s="370">
        <f>VLOOKUP(B76,[1]Summary!$B:$U,20,FALSE)</f>
        <v>43560</v>
      </c>
      <c r="R76" s="288"/>
      <c r="S76" s="355">
        <f t="shared" si="4"/>
        <v>43560.6060606061</v>
      </c>
      <c r="T76" s="370">
        <v>29040</v>
      </c>
      <c r="U76" s="288"/>
      <c r="V76" s="355">
        <v>0</v>
      </c>
      <c r="W76" s="370">
        <v>29040</v>
      </c>
      <c r="X76" s="288"/>
      <c r="Y76" s="371">
        <v>43560</v>
      </c>
      <c r="Z76" s="288"/>
      <c r="AA76" s="371">
        <v>50820</v>
      </c>
      <c r="AB76" s="288"/>
      <c r="AC76" s="274">
        <v>0</v>
      </c>
      <c r="AD76" s="274"/>
      <c r="AE76" s="371">
        <v>0</v>
      </c>
      <c r="AF76" s="288"/>
      <c r="AG76" s="370">
        <v>0</v>
      </c>
      <c r="AH76" s="288"/>
      <c r="AI76" s="370">
        <v>0</v>
      </c>
      <c r="AJ76" s="288"/>
      <c r="AK76" s="372">
        <f t="shared" si="5"/>
        <v>413830.606060606</v>
      </c>
      <c r="AL76" s="372"/>
      <c r="AM76" s="355"/>
      <c r="AN76" s="355"/>
      <c r="AO76" s="355">
        <f t="shared" si="6"/>
        <v>0</v>
      </c>
      <c r="AP76" s="355">
        <f t="shared" si="7"/>
        <v>28505.9154040404</v>
      </c>
      <c r="AQ76" s="373" t="s">
        <v>11912</v>
      </c>
      <c r="AR76" s="379"/>
      <c r="AS76" s="380"/>
      <c r="AT76" s="380"/>
    </row>
    <row r="77" s="329" customFormat="1" ht="21" customHeight="1" spans="1:46">
      <c r="A77" s="375"/>
      <c r="B77" s="368" t="s">
        <v>11917</v>
      </c>
      <c r="C77" s="355">
        <v>516850</v>
      </c>
      <c r="D77" s="369">
        <v>0.0120475589225589</v>
      </c>
      <c r="E77" s="369"/>
      <c r="F77" s="370">
        <v>57830</v>
      </c>
      <c r="G77" s="288"/>
      <c r="H77" s="355">
        <v>0</v>
      </c>
      <c r="I77" s="355">
        <v>50600</v>
      </c>
      <c r="J77" s="355">
        <v>0</v>
      </c>
      <c r="K77" s="355">
        <v>28920</v>
      </c>
      <c r="L77" s="370">
        <v>21680</v>
      </c>
      <c r="M77" s="288"/>
      <c r="N77" s="355">
        <v>21690</v>
      </c>
      <c r="O77" s="355">
        <v>21680</v>
      </c>
      <c r="P77" s="355">
        <v>28920</v>
      </c>
      <c r="Q77" s="370">
        <f>VLOOKUP(B77,[1]Summary!$B:$U,20,FALSE)</f>
        <v>28910</v>
      </c>
      <c r="R77" s="288"/>
      <c r="S77" s="355">
        <f t="shared" si="4"/>
        <v>0</v>
      </c>
      <c r="T77" s="370">
        <v>57830</v>
      </c>
      <c r="U77" s="288"/>
      <c r="V77" s="355">
        <v>57830</v>
      </c>
      <c r="W77" s="370">
        <v>57830</v>
      </c>
      <c r="X77" s="288"/>
      <c r="Y77" s="371">
        <v>36140</v>
      </c>
      <c r="Z77" s="288"/>
      <c r="AA77" s="371">
        <v>46990</v>
      </c>
      <c r="AB77" s="288"/>
      <c r="AC77" s="274">
        <v>0</v>
      </c>
      <c r="AD77" s="274"/>
      <c r="AE77" s="371">
        <v>0</v>
      </c>
      <c r="AF77" s="288"/>
      <c r="AG77" s="370">
        <v>0</v>
      </c>
      <c r="AH77" s="288"/>
      <c r="AI77" s="370">
        <v>0</v>
      </c>
      <c r="AJ77" s="288"/>
      <c r="AK77" s="372">
        <f t="shared" si="5"/>
        <v>516850</v>
      </c>
      <c r="AL77" s="372"/>
      <c r="AM77" s="355"/>
      <c r="AN77" s="355"/>
      <c r="AO77" s="355">
        <f t="shared" si="6"/>
        <v>17375.1581439394</v>
      </c>
      <c r="AP77" s="355">
        <f t="shared" si="7"/>
        <v>0</v>
      </c>
      <c r="AQ77" s="373" t="s">
        <v>11840</v>
      </c>
      <c r="AR77" s="328"/>
      <c r="AS77" s="328"/>
      <c r="AT77" s="328"/>
    </row>
    <row r="78" s="329" customFormat="1" ht="21" customHeight="1" spans="1:46">
      <c r="A78" s="375"/>
      <c r="B78" s="368" t="s">
        <v>11918</v>
      </c>
      <c r="C78" s="355">
        <v>413830</v>
      </c>
      <c r="D78" s="369"/>
      <c r="E78" s="369">
        <v>0.0242003367003367</v>
      </c>
      <c r="F78" s="370">
        <v>43570</v>
      </c>
      <c r="G78" s="288"/>
      <c r="H78" s="355">
        <v>43560</v>
      </c>
      <c r="I78" s="355"/>
      <c r="J78" s="355">
        <v>43560</v>
      </c>
      <c r="K78" s="355">
        <v>0</v>
      </c>
      <c r="L78" s="370">
        <v>43560</v>
      </c>
      <c r="M78" s="288"/>
      <c r="N78" s="355">
        <v>0</v>
      </c>
      <c r="O78" s="355">
        <v>0</v>
      </c>
      <c r="P78" s="355">
        <v>0</v>
      </c>
      <c r="Q78" s="370">
        <f>VLOOKUP(B78,[1]Summary!$B:$U,20,FALSE)</f>
        <v>43560</v>
      </c>
      <c r="R78" s="288"/>
      <c r="S78" s="355">
        <f t="shared" si="4"/>
        <v>43560.6060606061</v>
      </c>
      <c r="T78" s="370">
        <v>29040</v>
      </c>
      <c r="U78" s="288"/>
      <c r="V78" s="355">
        <v>0</v>
      </c>
      <c r="W78" s="370">
        <v>29040</v>
      </c>
      <c r="X78" s="288"/>
      <c r="Y78" s="371">
        <v>43560</v>
      </c>
      <c r="Z78" s="288"/>
      <c r="AA78" s="371">
        <v>50820</v>
      </c>
      <c r="AB78" s="288"/>
      <c r="AC78" s="274">
        <v>0</v>
      </c>
      <c r="AD78" s="274"/>
      <c r="AE78" s="371">
        <v>0</v>
      </c>
      <c r="AF78" s="288"/>
      <c r="AG78" s="370">
        <v>0</v>
      </c>
      <c r="AH78" s="288"/>
      <c r="AI78" s="370">
        <v>0</v>
      </c>
      <c r="AJ78" s="288"/>
      <c r="AK78" s="372">
        <f t="shared" si="5"/>
        <v>413830.606060606</v>
      </c>
      <c r="AL78" s="372"/>
      <c r="AM78" s="355"/>
      <c r="AN78" s="355"/>
      <c r="AO78" s="355">
        <f t="shared" si="6"/>
        <v>0</v>
      </c>
      <c r="AP78" s="355">
        <f t="shared" si="7"/>
        <v>28505.9154040404</v>
      </c>
      <c r="AQ78" s="373" t="s">
        <v>11912</v>
      </c>
      <c r="AR78" s="379"/>
      <c r="AS78" s="380"/>
      <c r="AT78" s="380"/>
    </row>
    <row r="79" s="329" customFormat="1" ht="21" customHeight="1" spans="1:46">
      <c r="A79" s="375"/>
      <c r="B79" s="368" t="s">
        <v>11919</v>
      </c>
      <c r="C79" s="355">
        <v>516850</v>
      </c>
      <c r="D79" s="369">
        <v>0.0120475589225589</v>
      </c>
      <c r="E79" s="369"/>
      <c r="F79" s="370">
        <v>57830</v>
      </c>
      <c r="G79" s="288"/>
      <c r="H79" s="355">
        <v>0</v>
      </c>
      <c r="I79" s="355">
        <v>50600</v>
      </c>
      <c r="J79" s="355">
        <v>0</v>
      </c>
      <c r="K79" s="355">
        <v>28920</v>
      </c>
      <c r="L79" s="370">
        <v>21680</v>
      </c>
      <c r="M79" s="288"/>
      <c r="N79" s="355">
        <v>21690</v>
      </c>
      <c r="O79" s="355">
        <v>21680</v>
      </c>
      <c r="P79" s="355">
        <v>28920</v>
      </c>
      <c r="Q79" s="370">
        <f>VLOOKUP(B79,[1]Summary!$B:$U,20,FALSE)</f>
        <v>28910</v>
      </c>
      <c r="R79" s="288"/>
      <c r="S79" s="355">
        <f t="shared" si="4"/>
        <v>0</v>
      </c>
      <c r="T79" s="370">
        <v>57830</v>
      </c>
      <c r="U79" s="288"/>
      <c r="V79" s="355">
        <v>57830</v>
      </c>
      <c r="W79" s="370">
        <v>57830</v>
      </c>
      <c r="X79" s="288"/>
      <c r="Y79" s="371">
        <v>36140</v>
      </c>
      <c r="Z79" s="288"/>
      <c r="AA79" s="371">
        <v>46990</v>
      </c>
      <c r="AB79" s="288"/>
      <c r="AC79" s="274">
        <v>0</v>
      </c>
      <c r="AD79" s="274"/>
      <c r="AE79" s="371">
        <v>0</v>
      </c>
      <c r="AF79" s="288"/>
      <c r="AG79" s="370">
        <v>0</v>
      </c>
      <c r="AH79" s="288"/>
      <c r="AI79" s="370">
        <v>0</v>
      </c>
      <c r="AJ79" s="288"/>
      <c r="AK79" s="372">
        <f t="shared" si="5"/>
        <v>516850</v>
      </c>
      <c r="AL79" s="372"/>
      <c r="AM79" s="355"/>
      <c r="AN79" s="355"/>
      <c r="AO79" s="355">
        <f t="shared" si="6"/>
        <v>17375.1581439394</v>
      </c>
      <c r="AP79" s="355">
        <f t="shared" si="7"/>
        <v>0</v>
      </c>
      <c r="AQ79" s="373" t="s">
        <v>11840</v>
      </c>
      <c r="AR79" s="328"/>
      <c r="AS79" s="328"/>
      <c r="AT79" s="328"/>
    </row>
    <row r="80" s="329" customFormat="1" ht="21" customHeight="1" spans="1:46">
      <c r="A80" s="375"/>
      <c r="B80" s="368" t="s">
        <v>11920</v>
      </c>
      <c r="C80" s="355">
        <v>413830</v>
      </c>
      <c r="D80" s="369"/>
      <c r="E80" s="369">
        <v>0.0242003367003367</v>
      </c>
      <c r="F80" s="370">
        <v>43570</v>
      </c>
      <c r="G80" s="288"/>
      <c r="H80" s="355">
        <v>43560</v>
      </c>
      <c r="I80" s="355"/>
      <c r="J80" s="355">
        <v>43560</v>
      </c>
      <c r="K80" s="355">
        <v>0</v>
      </c>
      <c r="L80" s="370">
        <v>43560</v>
      </c>
      <c r="M80" s="288"/>
      <c r="N80" s="355">
        <v>0</v>
      </c>
      <c r="O80" s="355">
        <v>0</v>
      </c>
      <c r="P80" s="355">
        <v>0</v>
      </c>
      <c r="Q80" s="370">
        <f>VLOOKUP(B80,[1]Summary!$B:$U,20,FALSE)</f>
        <v>43560</v>
      </c>
      <c r="R80" s="288"/>
      <c r="S80" s="355">
        <f t="shared" si="4"/>
        <v>43560.6060606061</v>
      </c>
      <c r="T80" s="370">
        <v>29040</v>
      </c>
      <c r="U80" s="288"/>
      <c r="V80" s="355"/>
      <c r="W80" s="370">
        <v>29040</v>
      </c>
      <c r="X80" s="288"/>
      <c r="Y80" s="371">
        <v>43560</v>
      </c>
      <c r="Z80" s="288"/>
      <c r="AA80" s="371">
        <v>50820</v>
      </c>
      <c r="AB80" s="288"/>
      <c r="AC80" s="274">
        <v>0</v>
      </c>
      <c r="AD80" s="274"/>
      <c r="AE80" s="371">
        <v>0</v>
      </c>
      <c r="AF80" s="288"/>
      <c r="AG80" s="370">
        <v>0</v>
      </c>
      <c r="AH80" s="288"/>
      <c r="AI80" s="370">
        <v>0</v>
      </c>
      <c r="AJ80" s="288"/>
      <c r="AK80" s="372">
        <f t="shared" si="5"/>
        <v>413830.606060606</v>
      </c>
      <c r="AL80" s="372"/>
      <c r="AM80" s="381"/>
      <c r="AN80" s="381"/>
      <c r="AO80" s="355">
        <f t="shared" si="6"/>
        <v>0</v>
      </c>
      <c r="AP80" s="355">
        <f t="shared" si="7"/>
        <v>28505.9154040404</v>
      </c>
      <c r="AQ80" s="373" t="s">
        <v>11912</v>
      </c>
      <c r="AR80" s="379"/>
      <c r="AS80" s="380"/>
      <c r="AT80" s="380"/>
    </row>
    <row r="81" s="330" customFormat="1" ht="23.1" customHeight="1" spans="1:46">
      <c r="A81" s="382"/>
      <c r="B81" s="383" t="s">
        <v>11921</v>
      </c>
      <c r="C81" s="384">
        <f t="shared" ref="C81:K81" si="8">SUM(C7:C80)</f>
        <v>92267119</v>
      </c>
      <c r="D81" s="385">
        <f t="shared" si="8"/>
        <v>1.02146464646465</v>
      </c>
      <c r="E81" s="385">
        <f t="shared" si="8"/>
        <v>1.02146464646465</v>
      </c>
      <c r="F81" s="384">
        <f t="shared" si="8"/>
        <v>6952560</v>
      </c>
      <c r="G81" s="384">
        <f t="shared" si="8"/>
        <v>0</v>
      </c>
      <c r="H81" s="384">
        <f t="shared" si="8"/>
        <v>1868680</v>
      </c>
      <c r="I81" s="384">
        <f t="shared" si="8"/>
        <v>4313890</v>
      </c>
      <c r="J81" s="384">
        <f t="shared" si="8"/>
        <v>1858660</v>
      </c>
      <c r="K81" s="384">
        <f t="shared" si="8"/>
        <v>2471470</v>
      </c>
      <c r="L81" s="384"/>
      <c r="M81" s="384"/>
      <c r="N81" s="384"/>
      <c r="O81" s="384"/>
      <c r="P81" s="384"/>
      <c r="Q81" s="384"/>
      <c r="R81" s="384"/>
      <c r="S81" s="384"/>
      <c r="T81" s="384"/>
      <c r="U81" s="384"/>
      <c r="V81" s="384"/>
      <c r="W81" s="384"/>
      <c r="X81" s="384"/>
      <c r="Y81" s="384"/>
      <c r="Z81" s="384"/>
      <c r="AA81" s="384"/>
      <c r="AB81" s="384"/>
      <c r="AC81" s="384"/>
      <c r="AD81" s="384"/>
      <c r="AE81" s="384"/>
      <c r="AF81" s="384"/>
      <c r="AG81" s="384"/>
      <c r="AH81" s="384"/>
      <c r="AI81" s="384"/>
      <c r="AJ81" s="384"/>
      <c r="AK81" s="384">
        <f t="shared" ref="AK81:AM81" si="9">SUM(AK7:AK80)</f>
        <v>92043065.3636364</v>
      </c>
      <c r="AL81" s="384">
        <f t="shared" si="9"/>
        <v>0</v>
      </c>
      <c r="AM81" s="386">
        <f>SUM(AM5:AN5)</f>
        <v>14363312</v>
      </c>
      <c r="AN81" s="387"/>
      <c r="AO81" s="384">
        <f>SUM(AO7:AO80)</f>
        <v>1473170.61363636</v>
      </c>
      <c r="AP81" s="384">
        <f>SUM(AP7:AP80)</f>
        <v>1203197.50757576</v>
      </c>
      <c r="AQ81" s="388"/>
      <c r="AS81" s="389"/>
    </row>
    <row r="82" s="330" customFormat="1" ht="69.75" customHeight="1" spans="1:46">
      <c r="A82" s="303" t="s">
        <v>11922</v>
      </c>
      <c r="B82" s="304"/>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c r="AA82" s="305"/>
      <c r="AB82" s="305"/>
      <c r="AC82" s="305"/>
      <c r="AD82" s="305"/>
      <c r="AE82" s="305"/>
      <c r="AF82" s="305"/>
      <c r="AG82" s="305"/>
      <c r="AH82" s="305"/>
      <c r="AI82" s="305"/>
      <c r="AJ82" s="305"/>
      <c r="AK82" s="305"/>
      <c r="AL82" s="305"/>
      <c r="AM82" s="305"/>
      <c r="AN82" s="305"/>
      <c r="AO82" s="305"/>
      <c r="AP82" s="305"/>
      <c r="AQ82" s="304"/>
      <c r="AR82" s="328"/>
      <c r="AS82" s="328"/>
      <c r="AT82" s="328"/>
    </row>
    <row r="83" s="330" customFormat="1" ht="21.75" customHeight="1" spans="1:46">
      <c r="A83" s="390"/>
      <c r="B83" s="390"/>
      <c r="D83" s="391"/>
      <c r="E83" s="391"/>
      <c r="F83" s="392"/>
      <c r="G83" s="392"/>
      <c r="H83" s="392"/>
      <c r="I83" s="392"/>
      <c r="J83" s="392"/>
      <c r="K83" s="392"/>
      <c r="L83" s="392"/>
      <c r="M83" s="392"/>
      <c r="N83" s="392"/>
      <c r="O83" s="392"/>
      <c r="P83" s="392"/>
      <c r="Q83" s="392"/>
      <c r="R83" s="392"/>
      <c r="S83" s="392"/>
      <c r="T83" s="392"/>
      <c r="U83" s="392"/>
      <c r="V83" s="392"/>
      <c r="W83" s="392"/>
      <c r="X83" s="392"/>
      <c r="Y83" s="392"/>
      <c r="Z83" s="392"/>
      <c r="AA83" s="392"/>
      <c r="AB83" s="392"/>
      <c r="AC83" s="392"/>
      <c r="AD83" s="392"/>
      <c r="AE83" s="392"/>
      <c r="AF83" s="392"/>
      <c r="AG83" s="392"/>
      <c r="AH83" s="392"/>
      <c r="AI83" s="392"/>
      <c r="AJ83" s="392"/>
      <c r="AK83" s="392"/>
      <c r="AL83" s="392"/>
      <c r="AM83" s="392"/>
      <c r="AN83" s="392"/>
      <c r="AO83" s="392"/>
      <c r="AP83" s="392"/>
      <c r="AQ83" s="391"/>
      <c r="AR83" s="389"/>
      <c r="AS83" s="389"/>
    </row>
    <row r="84" s="330" customFormat="1" ht="21" customHeight="1" spans="1:46">
      <c r="A84" s="393"/>
      <c r="B84" s="393"/>
      <c r="C84" s="393"/>
      <c r="D84" s="393"/>
      <c r="E84" s="393"/>
      <c r="F84" s="394"/>
      <c r="G84" s="394"/>
      <c r="H84" s="394"/>
      <c r="I84" s="394"/>
      <c r="J84" s="394"/>
      <c r="K84" s="394"/>
      <c r="L84" s="394"/>
      <c r="M84" s="394"/>
      <c r="N84" s="394"/>
      <c r="O84" s="394"/>
      <c r="P84" s="394"/>
      <c r="Q84" s="394"/>
      <c r="R84" s="394"/>
      <c r="S84" s="394"/>
      <c r="T84" s="394"/>
      <c r="U84" s="394"/>
      <c r="V84" s="394"/>
      <c r="W84" s="394"/>
      <c r="X84" s="394"/>
      <c r="Y84" s="394"/>
      <c r="Z84" s="394"/>
      <c r="AA84" s="394"/>
      <c r="AB84" s="394"/>
      <c r="AC84" s="394"/>
      <c r="AD84" s="394"/>
      <c r="AE84" s="394"/>
      <c r="AF84" s="394"/>
      <c r="AG84" s="394"/>
      <c r="AH84" s="394"/>
      <c r="AI84" s="394"/>
      <c r="AJ84" s="394"/>
      <c r="AK84" s="394"/>
      <c r="AL84" s="394"/>
      <c r="AM84" s="394"/>
      <c r="AN84" s="394"/>
      <c r="AO84" s="394"/>
      <c r="AP84" s="394"/>
      <c r="AQ84" s="393"/>
      <c r="AR84" s="395"/>
      <c r="AS84" s="395"/>
    </row>
    <row r="85" s="330" customFormat="1" ht="21" customHeight="1" spans="1:46">
      <c r="A85" s="330" t="s">
        <v>11923</v>
      </c>
      <c r="D85" s="330" t="s">
        <v>11924</v>
      </c>
      <c r="F85" s="392"/>
      <c r="G85" s="392"/>
      <c r="H85" s="392"/>
      <c r="I85" s="392"/>
      <c r="J85" s="392"/>
      <c r="K85" s="392"/>
      <c r="L85" s="392"/>
      <c r="M85" s="392"/>
      <c r="N85" s="392"/>
      <c r="O85" s="392"/>
      <c r="P85" s="392"/>
      <c r="Q85" s="392"/>
      <c r="R85" s="392"/>
      <c r="S85" s="392"/>
      <c r="T85" s="392"/>
      <c r="U85" s="392"/>
      <c r="V85" s="392"/>
      <c r="W85" s="392"/>
      <c r="X85" s="392"/>
      <c r="Y85" s="392"/>
      <c r="Z85" s="392"/>
      <c r="AA85" s="392"/>
      <c r="AB85" s="392"/>
      <c r="AC85" s="392"/>
      <c r="AD85" s="392"/>
      <c r="AE85" s="392"/>
      <c r="AF85" s="392"/>
      <c r="AG85" s="392"/>
      <c r="AH85" s="392"/>
      <c r="AI85" s="392"/>
      <c r="AJ85" s="392"/>
      <c r="AK85" s="392"/>
      <c r="AL85" s="392"/>
      <c r="AM85" s="392"/>
      <c r="AN85" s="392"/>
      <c r="AO85" s="392"/>
      <c r="AP85" s="392"/>
      <c r="AR85" s="395"/>
      <c r="AS85" s="395"/>
    </row>
    <row r="86" s="330" customFormat="1" ht="21" customHeight="1" spans="1:46">
      <c r="F86" s="392"/>
      <c r="G86" s="392"/>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2"/>
      <c r="AF86" s="392"/>
      <c r="AG86" s="392"/>
      <c r="AH86" s="392"/>
      <c r="AI86" s="392"/>
      <c r="AJ86" s="392"/>
      <c r="AK86" s="392"/>
      <c r="AL86" s="392"/>
      <c r="AM86" s="392"/>
      <c r="AN86" s="392"/>
      <c r="AO86" s="392"/>
      <c r="AP86" s="392"/>
      <c r="AR86" s="395"/>
      <c r="AS86" s="395"/>
    </row>
    <row r="87" s="330" customFormat="1" ht="21" customHeight="1" spans="1:46">
      <c r="F87" s="392"/>
      <c r="G87" s="392"/>
      <c r="H87" s="392"/>
      <c r="I87" s="392"/>
      <c r="J87" s="392"/>
      <c r="K87" s="392"/>
      <c r="L87" s="392"/>
      <c r="M87" s="392"/>
      <c r="N87" s="392"/>
      <c r="O87" s="392"/>
      <c r="P87" s="392"/>
      <c r="Q87" s="392"/>
      <c r="R87" s="392"/>
      <c r="S87" s="392"/>
      <c r="T87" s="392"/>
      <c r="U87" s="392"/>
      <c r="V87" s="392"/>
      <c r="W87" s="392"/>
      <c r="X87" s="392"/>
      <c r="Y87" s="392"/>
      <c r="Z87" s="392"/>
      <c r="AA87" s="392"/>
      <c r="AB87" s="392"/>
      <c r="AC87" s="392"/>
      <c r="AD87" s="392"/>
      <c r="AE87" s="392"/>
      <c r="AF87" s="392"/>
      <c r="AG87" s="392"/>
      <c r="AH87" s="392"/>
      <c r="AI87" s="392"/>
      <c r="AJ87" s="392"/>
      <c r="AK87" s="392"/>
      <c r="AL87" s="392"/>
      <c r="AM87" s="392"/>
      <c r="AN87" s="392"/>
      <c r="AO87" s="392"/>
      <c r="AP87" s="392"/>
      <c r="AR87" s="395"/>
      <c r="AS87" s="395"/>
    </row>
    <row r="88" s="330" customFormat="1" ht="15" spans="1:46">
      <c r="A88" s="396" t="s">
        <v>11925</v>
      </c>
      <c r="B88" s="396"/>
      <c r="C88" s="396"/>
      <c r="D88" s="396" t="s">
        <v>11925</v>
      </c>
      <c r="E88" s="396"/>
      <c r="F88" s="392"/>
      <c r="G88" s="392"/>
      <c r="H88" s="392"/>
      <c r="I88" s="392"/>
      <c r="J88" s="392"/>
      <c r="K88" s="392"/>
      <c r="L88" s="392"/>
      <c r="M88" s="392"/>
      <c r="N88" s="392"/>
      <c r="O88" s="392"/>
      <c r="P88" s="392"/>
      <c r="Q88" s="392"/>
      <c r="R88" s="392"/>
      <c r="S88" s="392"/>
      <c r="T88" s="392"/>
      <c r="U88" s="392"/>
      <c r="V88" s="392"/>
      <c r="W88" s="392"/>
      <c r="X88" s="392"/>
      <c r="Y88" s="392"/>
      <c r="Z88" s="392"/>
      <c r="AA88" s="392"/>
      <c r="AB88" s="392"/>
      <c r="AC88" s="392"/>
      <c r="AD88" s="392"/>
      <c r="AE88" s="392"/>
      <c r="AF88" s="392"/>
      <c r="AG88" s="392"/>
      <c r="AH88" s="392"/>
      <c r="AI88" s="392"/>
      <c r="AJ88" s="392"/>
      <c r="AK88" s="392"/>
      <c r="AL88" s="392"/>
      <c r="AM88" s="392"/>
      <c r="AN88" s="392"/>
      <c r="AO88" s="392"/>
      <c r="AP88" s="392"/>
      <c r="AR88" s="395"/>
      <c r="AS88" s="395"/>
    </row>
  </sheetData>
  <sheetProtection formatCells="0" formatColumns="0" formatRows="0" insertRows="0" insertColumns="0" insertHyperlinks="0" deleteColumns="0" deleteRows="0" sort="0" autoFilter="0" pivotTables="0"/>
  <mergeCells count="891">
    <mergeCell ref="F7:G7"/>
    <mergeCell ref="L7:M7"/>
    <mergeCell ref="Q7:R7"/>
    <mergeCell ref="T7:U7"/>
    <mergeCell ref="W7:X7"/>
    <mergeCell ref="Y7:Z7"/>
    <mergeCell ref="AA7:AB7"/>
    <mergeCell ref="AC7:AD7"/>
    <mergeCell ref="AE7:AF7"/>
    <mergeCell ref="AG7:AH7"/>
    <mergeCell ref="AI7:AJ7"/>
    <mergeCell ref="AK7:AL7"/>
    <mergeCell ref="F8:G8"/>
    <mergeCell ref="L8:M8"/>
    <mergeCell ref="Q8:R8"/>
    <mergeCell ref="T8:U8"/>
    <mergeCell ref="W8:X8"/>
    <mergeCell ref="Y8:Z8"/>
    <mergeCell ref="AA8:AB8"/>
    <mergeCell ref="AC8:AD8"/>
    <mergeCell ref="AE8:AF8"/>
    <mergeCell ref="AG8:AH8"/>
    <mergeCell ref="AI8:AJ8"/>
    <mergeCell ref="AK8:AL8"/>
    <mergeCell ref="F9:G9"/>
    <mergeCell ref="L9:M9"/>
    <mergeCell ref="Q9:R9"/>
    <mergeCell ref="T9:U9"/>
    <mergeCell ref="W9:X9"/>
    <mergeCell ref="Y9:Z9"/>
    <mergeCell ref="AA9:AB9"/>
    <mergeCell ref="AC9:AD9"/>
    <mergeCell ref="AE9:AF9"/>
    <mergeCell ref="AG9:AH9"/>
    <mergeCell ref="AI9:AJ9"/>
    <mergeCell ref="AK9:AL9"/>
    <mergeCell ref="F10:G10"/>
    <mergeCell ref="L10:M10"/>
    <mergeCell ref="Q10:R10"/>
    <mergeCell ref="T10:U10"/>
    <mergeCell ref="W10:X10"/>
    <mergeCell ref="Y10:Z10"/>
    <mergeCell ref="AA10:AB10"/>
    <mergeCell ref="AC10:AD10"/>
    <mergeCell ref="AE10:AF10"/>
    <mergeCell ref="AG10:AH10"/>
    <mergeCell ref="AI10:AJ10"/>
    <mergeCell ref="AK10:AL10"/>
    <mergeCell ref="F11:G11"/>
    <mergeCell ref="L11:M11"/>
    <mergeCell ref="Q11:R11"/>
    <mergeCell ref="T11:U11"/>
    <mergeCell ref="W11:X11"/>
    <mergeCell ref="Y11:Z11"/>
    <mergeCell ref="AA11:AB11"/>
    <mergeCell ref="AC11:AD11"/>
    <mergeCell ref="AE11:AF11"/>
    <mergeCell ref="AG11:AH11"/>
    <mergeCell ref="AI11:AJ11"/>
    <mergeCell ref="AK11:AL11"/>
    <mergeCell ref="F12:G12"/>
    <mergeCell ref="L12:M12"/>
    <mergeCell ref="Q12:R12"/>
    <mergeCell ref="T12:U12"/>
    <mergeCell ref="W12:X12"/>
    <mergeCell ref="Y12:Z12"/>
    <mergeCell ref="AA12:AB12"/>
    <mergeCell ref="AC12:AD12"/>
    <mergeCell ref="AE12:AF12"/>
    <mergeCell ref="AG12:AH12"/>
    <mergeCell ref="AI12:AJ12"/>
    <mergeCell ref="AK12:AL12"/>
    <mergeCell ref="F13:G13"/>
    <mergeCell ref="L13:M13"/>
    <mergeCell ref="Q13:R13"/>
    <mergeCell ref="T13:U13"/>
    <mergeCell ref="W13:X13"/>
    <mergeCell ref="Y13:Z13"/>
    <mergeCell ref="AA13:AB13"/>
    <mergeCell ref="AC13:AD13"/>
    <mergeCell ref="AE13:AF13"/>
    <mergeCell ref="AG13:AH13"/>
    <mergeCell ref="AI13:AJ13"/>
    <mergeCell ref="AK13:AL13"/>
    <mergeCell ref="F14:G14"/>
    <mergeCell ref="L14:M14"/>
    <mergeCell ref="Q14:R14"/>
    <mergeCell ref="T14:U14"/>
    <mergeCell ref="W14:X14"/>
    <mergeCell ref="Y14:Z14"/>
    <mergeCell ref="AA14:AB14"/>
    <mergeCell ref="AC14:AD14"/>
    <mergeCell ref="AE14:AF14"/>
    <mergeCell ref="AG14:AH14"/>
    <mergeCell ref="AI14:AJ14"/>
    <mergeCell ref="AK14:AL14"/>
    <mergeCell ref="F15:G15"/>
    <mergeCell ref="L15:M15"/>
    <mergeCell ref="Q15:R15"/>
    <mergeCell ref="T15:U15"/>
    <mergeCell ref="W15:X15"/>
    <mergeCell ref="Y15:Z15"/>
    <mergeCell ref="AA15:AB15"/>
    <mergeCell ref="AC15:AD15"/>
    <mergeCell ref="AE15:AF15"/>
    <mergeCell ref="AG15:AH15"/>
    <mergeCell ref="AI15:AJ15"/>
    <mergeCell ref="AK15:AL15"/>
    <mergeCell ref="F16:G16"/>
    <mergeCell ref="L16:M16"/>
    <mergeCell ref="Q16:R16"/>
    <mergeCell ref="T16:U16"/>
    <mergeCell ref="W16:X16"/>
    <mergeCell ref="Y16:Z16"/>
    <mergeCell ref="AA16:AB16"/>
    <mergeCell ref="AC16:AD16"/>
    <mergeCell ref="AE16:AF16"/>
    <mergeCell ref="AG16:AH16"/>
    <mergeCell ref="AI16:AJ16"/>
    <mergeCell ref="AK16:AL16"/>
    <mergeCell ref="F17:G17"/>
    <mergeCell ref="L17:M17"/>
    <mergeCell ref="Q17:R17"/>
    <mergeCell ref="T17:U17"/>
    <mergeCell ref="W17:X17"/>
    <mergeCell ref="Y17:Z17"/>
    <mergeCell ref="AA17:AB17"/>
    <mergeCell ref="AC17:AD17"/>
    <mergeCell ref="AE17:AF17"/>
    <mergeCell ref="AG17:AH17"/>
    <mergeCell ref="AI17:AJ17"/>
    <mergeCell ref="AK17:AL17"/>
    <mergeCell ref="F18:G18"/>
    <mergeCell ref="L18:M18"/>
    <mergeCell ref="Q18:R18"/>
    <mergeCell ref="T18:U18"/>
    <mergeCell ref="W18:X18"/>
    <mergeCell ref="Y18:Z18"/>
    <mergeCell ref="AA18:AB18"/>
    <mergeCell ref="AC18:AD18"/>
    <mergeCell ref="AE18:AF18"/>
    <mergeCell ref="AG18:AH18"/>
    <mergeCell ref="AI18:AJ18"/>
    <mergeCell ref="AK18:AL18"/>
    <mergeCell ref="F19:G19"/>
    <mergeCell ref="L19:M19"/>
    <mergeCell ref="Q19:R19"/>
    <mergeCell ref="T19:U19"/>
    <mergeCell ref="W19:X19"/>
    <mergeCell ref="Y19:Z19"/>
    <mergeCell ref="AA19:AB19"/>
    <mergeCell ref="AC19:AD19"/>
    <mergeCell ref="AE19:AF19"/>
    <mergeCell ref="AG19:AH19"/>
    <mergeCell ref="AI19:AJ19"/>
    <mergeCell ref="AK19:AL19"/>
    <mergeCell ref="F20:G20"/>
    <mergeCell ref="L20:M20"/>
    <mergeCell ref="Q20:R20"/>
    <mergeCell ref="T20:U20"/>
    <mergeCell ref="W20:X20"/>
    <mergeCell ref="Y20:Z20"/>
    <mergeCell ref="AA20:AB20"/>
    <mergeCell ref="AC20:AD20"/>
    <mergeCell ref="AE20:AF20"/>
    <mergeCell ref="AG20:AH20"/>
    <mergeCell ref="AI20:AJ20"/>
    <mergeCell ref="AK20:AL20"/>
    <mergeCell ref="F21:G21"/>
    <mergeCell ref="L21:M21"/>
    <mergeCell ref="Q21:R21"/>
    <mergeCell ref="T21:U21"/>
    <mergeCell ref="W21:X21"/>
    <mergeCell ref="Y21:Z21"/>
    <mergeCell ref="AA21:AB21"/>
    <mergeCell ref="AC21:AD21"/>
    <mergeCell ref="AE21:AF21"/>
    <mergeCell ref="AG21:AH21"/>
    <mergeCell ref="AI21:AJ21"/>
    <mergeCell ref="AK21:AL21"/>
    <mergeCell ref="F22:G22"/>
    <mergeCell ref="L22:M22"/>
    <mergeCell ref="Q22:R22"/>
    <mergeCell ref="T22:U22"/>
    <mergeCell ref="W22:X22"/>
    <mergeCell ref="Y22:Z22"/>
    <mergeCell ref="AA22:AB22"/>
    <mergeCell ref="AC22:AD22"/>
    <mergeCell ref="AE22:AF22"/>
    <mergeCell ref="AG22:AH22"/>
    <mergeCell ref="AI22:AJ22"/>
    <mergeCell ref="AK22:AL22"/>
    <mergeCell ref="F23:G23"/>
    <mergeCell ref="L23:M23"/>
    <mergeCell ref="Q23:R23"/>
    <mergeCell ref="T23:U23"/>
    <mergeCell ref="W23:X23"/>
    <mergeCell ref="Y23:Z23"/>
    <mergeCell ref="AA23:AB23"/>
    <mergeCell ref="AC23:AD23"/>
    <mergeCell ref="AE23:AF23"/>
    <mergeCell ref="AG23:AH23"/>
    <mergeCell ref="AI23:AJ23"/>
    <mergeCell ref="AK23:AL23"/>
    <mergeCell ref="F24:G24"/>
    <mergeCell ref="L24:M24"/>
    <mergeCell ref="Q24:R24"/>
    <mergeCell ref="T24:U24"/>
    <mergeCell ref="W24:X24"/>
    <mergeCell ref="Y24:Z24"/>
    <mergeCell ref="AA24:AB24"/>
    <mergeCell ref="AC24:AD24"/>
    <mergeCell ref="AE24:AF24"/>
    <mergeCell ref="AG24:AH24"/>
    <mergeCell ref="AI24:AJ24"/>
    <mergeCell ref="AK24:AL24"/>
    <mergeCell ref="F25:G25"/>
    <mergeCell ref="L25:M25"/>
    <mergeCell ref="Q25:R25"/>
    <mergeCell ref="T25:U25"/>
    <mergeCell ref="W25:X25"/>
    <mergeCell ref="Y25:Z25"/>
    <mergeCell ref="AA25:AB25"/>
    <mergeCell ref="AC25:AD25"/>
    <mergeCell ref="AE25:AF25"/>
    <mergeCell ref="AG25:AH25"/>
    <mergeCell ref="AI25:AJ25"/>
    <mergeCell ref="AK25:AL25"/>
    <mergeCell ref="F26:G26"/>
    <mergeCell ref="L26:M26"/>
    <mergeCell ref="Q26:R26"/>
    <mergeCell ref="T26:U26"/>
    <mergeCell ref="W26:X26"/>
    <mergeCell ref="Y26:Z26"/>
    <mergeCell ref="AA26:AB26"/>
    <mergeCell ref="AC26:AD26"/>
    <mergeCell ref="AE26:AF26"/>
    <mergeCell ref="AG26:AH26"/>
    <mergeCell ref="AI26:AJ26"/>
    <mergeCell ref="AK26:AL26"/>
    <mergeCell ref="F27:G27"/>
    <mergeCell ref="L27:M27"/>
    <mergeCell ref="Q27:R27"/>
    <mergeCell ref="T27:U27"/>
    <mergeCell ref="W27:X27"/>
    <mergeCell ref="Y27:Z27"/>
    <mergeCell ref="AA27:AB27"/>
    <mergeCell ref="AC27:AD27"/>
    <mergeCell ref="AE27:AF27"/>
    <mergeCell ref="AG27:AH27"/>
    <mergeCell ref="AI27:AJ27"/>
    <mergeCell ref="AK27:AL27"/>
    <mergeCell ref="F28:G28"/>
    <mergeCell ref="L28:M28"/>
    <mergeCell ref="Q28:R28"/>
    <mergeCell ref="T28:U28"/>
    <mergeCell ref="W28:X28"/>
    <mergeCell ref="Y28:Z28"/>
    <mergeCell ref="AA28:AB28"/>
    <mergeCell ref="AC28:AD28"/>
    <mergeCell ref="AE28:AF28"/>
    <mergeCell ref="AG28:AH28"/>
    <mergeCell ref="AI28:AJ28"/>
    <mergeCell ref="AK28:AL28"/>
    <mergeCell ref="F29:G29"/>
    <mergeCell ref="L29:M29"/>
    <mergeCell ref="Q29:R29"/>
    <mergeCell ref="T29:U29"/>
    <mergeCell ref="W29:X29"/>
    <mergeCell ref="Y29:Z29"/>
    <mergeCell ref="AA29:AB29"/>
    <mergeCell ref="AC29:AD29"/>
    <mergeCell ref="AE29:AF29"/>
    <mergeCell ref="AG29:AH29"/>
    <mergeCell ref="AI29:AJ29"/>
    <mergeCell ref="AK29:AL29"/>
    <mergeCell ref="F30:G30"/>
    <mergeCell ref="L30:M30"/>
    <mergeCell ref="Q30:R30"/>
    <mergeCell ref="T30:U30"/>
    <mergeCell ref="W30:X30"/>
    <mergeCell ref="Y30:Z30"/>
    <mergeCell ref="AA30:AB30"/>
    <mergeCell ref="AC30:AD30"/>
    <mergeCell ref="AE30:AF30"/>
    <mergeCell ref="AG30:AH30"/>
    <mergeCell ref="AI30:AJ30"/>
    <mergeCell ref="AK30:AL30"/>
    <mergeCell ref="F31:G31"/>
    <mergeCell ref="L31:M31"/>
    <mergeCell ref="Q31:R31"/>
    <mergeCell ref="T31:U31"/>
    <mergeCell ref="W31:X31"/>
    <mergeCell ref="Y31:Z31"/>
    <mergeCell ref="AA31:AB31"/>
    <mergeCell ref="AC31:AD31"/>
    <mergeCell ref="AE31:AF31"/>
    <mergeCell ref="AG31:AH31"/>
    <mergeCell ref="AI31:AJ31"/>
    <mergeCell ref="AK31:AL31"/>
    <mergeCell ref="F32:G32"/>
    <mergeCell ref="L32:M32"/>
    <mergeCell ref="Q32:R32"/>
    <mergeCell ref="T32:U32"/>
    <mergeCell ref="W32:X32"/>
    <mergeCell ref="Y32:Z32"/>
    <mergeCell ref="AA32:AB32"/>
    <mergeCell ref="AC32:AD32"/>
    <mergeCell ref="AE32:AF32"/>
    <mergeCell ref="AG32:AH32"/>
    <mergeCell ref="AI32:AJ32"/>
    <mergeCell ref="AK32:AL32"/>
    <mergeCell ref="F33:G33"/>
    <mergeCell ref="L33:M33"/>
    <mergeCell ref="Q33:R33"/>
    <mergeCell ref="T33:U33"/>
    <mergeCell ref="W33:X33"/>
    <mergeCell ref="Y33:Z33"/>
    <mergeCell ref="AA33:AB33"/>
    <mergeCell ref="AC33:AD33"/>
    <mergeCell ref="AE33:AF33"/>
    <mergeCell ref="AG33:AH33"/>
    <mergeCell ref="AI33:AJ33"/>
    <mergeCell ref="AK33:AL33"/>
    <mergeCell ref="F34:G34"/>
    <mergeCell ref="L34:M34"/>
    <mergeCell ref="Q34:R34"/>
    <mergeCell ref="T34:U34"/>
    <mergeCell ref="W34:X34"/>
    <mergeCell ref="Y34:Z34"/>
    <mergeCell ref="AA34:AB34"/>
    <mergeCell ref="AC34:AD34"/>
    <mergeCell ref="AE34:AF34"/>
    <mergeCell ref="AG34:AH34"/>
    <mergeCell ref="AI34:AJ34"/>
    <mergeCell ref="AK34:AL34"/>
    <mergeCell ref="F35:G35"/>
    <mergeCell ref="L35:M35"/>
    <mergeCell ref="Q35:R35"/>
    <mergeCell ref="T35:U35"/>
    <mergeCell ref="W35:X35"/>
    <mergeCell ref="Y35:Z35"/>
    <mergeCell ref="AA35:AB35"/>
    <mergeCell ref="AC35:AD35"/>
    <mergeCell ref="AE35:AF35"/>
    <mergeCell ref="AG35:AH35"/>
    <mergeCell ref="AI35:AJ35"/>
    <mergeCell ref="AK35:AL35"/>
    <mergeCell ref="F36:G36"/>
    <mergeCell ref="L36:M36"/>
    <mergeCell ref="Q36:R36"/>
    <mergeCell ref="T36:U36"/>
    <mergeCell ref="W36:X36"/>
    <mergeCell ref="Y36:Z36"/>
    <mergeCell ref="AA36:AB36"/>
    <mergeCell ref="AC36:AD36"/>
    <mergeCell ref="AE36:AF36"/>
    <mergeCell ref="AG36:AH36"/>
    <mergeCell ref="AI36:AJ36"/>
    <mergeCell ref="AK36:AL36"/>
    <mergeCell ref="F37:G37"/>
    <mergeCell ref="L37:M37"/>
    <mergeCell ref="Q37:R37"/>
    <mergeCell ref="T37:U37"/>
    <mergeCell ref="W37:X37"/>
    <mergeCell ref="Y37:Z37"/>
    <mergeCell ref="AA37:AB37"/>
    <mergeCell ref="AC37:AD37"/>
    <mergeCell ref="AE37:AF37"/>
    <mergeCell ref="AG37:AH37"/>
    <mergeCell ref="AI37:AJ37"/>
    <mergeCell ref="AK37:AL37"/>
    <mergeCell ref="F38:G38"/>
    <mergeCell ref="L38:M38"/>
    <mergeCell ref="Q38:R38"/>
    <mergeCell ref="T38:U38"/>
    <mergeCell ref="W38:X38"/>
    <mergeCell ref="Y38:Z38"/>
    <mergeCell ref="AA38:AB38"/>
    <mergeCell ref="AC38:AD38"/>
    <mergeCell ref="AE38:AF38"/>
    <mergeCell ref="AG38:AH38"/>
    <mergeCell ref="AI38:AJ38"/>
    <mergeCell ref="AK38:AL38"/>
    <mergeCell ref="F39:G39"/>
    <mergeCell ref="L39:M39"/>
    <mergeCell ref="Q39:R39"/>
    <mergeCell ref="T39:U39"/>
    <mergeCell ref="W39:X39"/>
    <mergeCell ref="Y39:Z39"/>
    <mergeCell ref="AA39:AB39"/>
    <mergeCell ref="AC39:AD39"/>
    <mergeCell ref="AE39:AF39"/>
    <mergeCell ref="AG39:AH39"/>
    <mergeCell ref="AI39:AJ39"/>
    <mergeCell ref="AK39:AL39"/>
    <mergeCell ref="F40:G40"/>
    <mergeCell ref="L40:M40"/>
    <mergeCell ref="Q40:R40"/>
    <mergeCell ref="T40:U40"/>
    <mergeCell ref="W40:X40"/>
    <mergeCell ref="Y40:Z40"/>
    <mergeCell ref="AA40:AB40"/>
    <mergeCell ref="AC40:AD40"/>
    <mergeCell ref="AE40:AF40"/>
    <mergeCell ref="AG40:AH40"/>
    <mergeCell ref="AI40:AJ40"/>
    <mergeCell ref="AK40:AL40"/>
    <mergeCell ref="F41:G41"/>
    <mergeCell ref="L41:M41"/>
    <mergeCell ref="Q41:R41"/>
    <mergeCell ref="T41:U41"/>
    <mergeCell ref="W41:X41"/>
    <mergeCell ref="Y41:Z41"/>
    <mergeCell ref="AA41:AB41"/>
    <mergeCell ref="AC41:AD41"/>
    <mergeCell ref="AE41:AF41"/>
    <mergeCell ref="AG41:AH41"/>
    <mergeCell ref="AI41:AJ41"/>
    <mergeCell ref="AK41:AL41"/>
    <mergeCell ref="F42:G42"/>
    <mergeCell ref="L42:M42"/>
    <mergeCell ref="Q42:R42"/>
    <mergeCell ref="T42:U42"/>
    <mergeCell ref="W42:X42"/>
    <mergeCell ref="Y42:Z42"/>
    <mergeCell ref="AA42:AB42"/>
    <mergeCell ref="AC42:AD42"/>
    <mergeCell ref="AE42:AF42"/>
    <mergeCell ref="AG42:AH42"/>
    <mergeCell ref="AI42:AJ42"/>
    <mergeCell ref="AK42:AL42"/>
    <mergeCell ref="F43:G43"/>
    <mergeCell ref="L43:M43"/>
    <mergeCell ref="Q43:R43"/>
    <mergeCell ref="T43:U43"/>
    <mergeCell ref="W43:X43"/>
    <mergeCell ref="Y43:Z43"/>
    <mergeCell ref="AA43:AB43"/>
    <mergeCell ref="AC43:AD43"/>
    <mergeCell ref="AE43:AF43"/>
    <mergeCell ref="AG43:AH43"/>
    <mergeCell ref="AI43:AJ43"/>
    <mergeCell ref="AK43:AL43"/>
    <mergeCell ref="F44:G44"/>
    <mergeCell ref="L44:M44"/>
    <mergeCell ref="Q44:R44"/>
    <mergeCell ref="T44:U44"/>
    <mergeCell ref="W44:X44"/>
    <mergeCell ref="Y44:Z44"/>
    <mergeCell ref="AA44:AB44"/>
    <mergeCell ref="AC44:AD44"/>
    <mergeCell ref="AE44:AF44"/>
    <mergeCell ref="AG44:AH44"/>
    <mergeCell ref="AI44:AJ44"/>
    <mergeCell ref="AK44:AL44"/>
    <mergeCell ref="F45:G45"/>
    <mergeCell ref="L45:M45"/>
    <mergeCell ref="Q45:R45"/>
    <mergeCell ref="T45:U45"/>
    <mergeCell ref="W45:X45"/>
    <mergeCell ref="Y45:Z45"/>
    <mergeCell ref="AA45:AB45"/>
    <mergeCell ref="AC45:AD45"/>
    <mergeCell ref="AE45:AF45"/>
    <mergeCell ref="AG45:AH45"/>
    <mergeCell ref="AI45:AJ45"/>
    <mergeCell ref="AK45:AL45"/>
    <mergeCell ref="F46:G46"/>
    <mergeCell ref="L46:M46"/>
    <mergeCell ref="Q46:R46"/>
    <mergeCell ref="T46:U46"/>
    <mergeCell ref="W46:X46"/>
    <mergeCell ref="Y46:Z46"/>
    <mergeCell ref="AA46:AB46"/>
    <mergeCell ref="AC46:AD46"/>
    <mergeCell ref="AE46:AF46"/>
    <mergeCell ref="AG46:AH46"/>
    <mergeCell ref="AI46:AJ46"/>
    <mergeCell ref="AK46:AL46"/>
    <mergeCell ref="F47:G47"/>
    <mergeCell ref="L47:M47"/>
    <mergeCell ref="Q47:R47"/>
    <mergeCell ref="T47:U47"/>
    <mergeCell ref="W47:X47"/>
    <mergeCell ref="Y47:Z47"/>
    <mergeCell ref="AA47:AB47"/>
    <mergeCell ref="AC47:AD47"/>
    <mergeCell ref="AE47:AF47"/>
    <mergeCell ref="AG47:AH47"/>
    <mergeCell ref="AI47:AJ47"/>
    <mergeCell ref="AK47:AL47"/>
    <mergeCell ref="F48:G48"/>
    <mergeCell ref="L48:M48"/>
    <mergeCell ref="Q48:R48"/>
    <mergeCell ref="T48:U48"/>
    <mergeCell ref="W48:X48"/>
    <mergeCell ref="Y48:Z48"/>
    <mergeCell ref="AA48:AB48"/>
    <mergeCell ref="AC48:AD48"/>
    <mergeCell ref="AE48:AF48"/>
    <mergeCell ref="AG48:AH48"/>
    <mergeCell ref="AI48:AJ48"/>
    <mergeCell ref="AK48:AL48"/>
    <mergeCell ref="F49:G49"/>
    <mergeCell ref="L49:M49"/>
    <mergeCell ref="Q49:R49"/>
    <mergeCell ref="T49:U49"/>
    <mergeCell ref="W49:X49"/>
    <mergeCell ref="Y49:Z49"/>
    <mergeCell ref="AA49:AB49"/>
    <mergeCell ref="AC49:AD49"/>
    <mergeCell ref="AE49:AF49"/>
    <mergeCell ref="AG49:AH49"/>
    <mergeCell ref="AI49:AJ49"/>
    <mergeCell ref="AK49:AL49"/>
    <mergeCell ref="F50:G50"/>
    <mergeCell ref="L50:M50"/>
    <mergeCell ref="Q50:R50"/>
    <mergeCell ref="T50:U50"/>
    <mergeCell ref="W50:X50"/>
    <mergeCell ref="Y50:Z50"/>
    <mergeCell ref="AA50:AB50"/>
    <mergeCell ref="AC50:AD50"/>
    <mergeCell ref="AE50:AF50"/>
    <mergeCell ref="AG50:AH50"/>
    <mergeCell ref="AI50:AJ50"/>
    <mergeCell ref="AK50:AL50"/>
    <mergeCell ref="F51:G51"/>
    <mergeCell ref="L51:M51"/>
    <mergeCell ref="Q51:R51"/>
    <mergeCell ref="T51:U51"/>
    <mergeCell ref="W51:X51"/>
    <mergeCell ref="Y51:Z51"/>
    <mergeCell ref="AA51:AB51"/>
    <mergeCell ref="AC51:AD51"/>
    <mergeCell ref="AE51:AF51"/>
    <mergeCell ref="AG51:AH51"/>
    <mergeCell ref="AI51:AJ51"/>
    <mergeCell ref="AK51:AL51"/>
    <mergeCell ref="F52:G52"/>
    <mergeCell ref="L52:M52"/>
    <mergeCell ref="Q52:R52"/>
    <mergeCell ref="T52:U52"/>
    <mergeCell ref="W52:X52"/>
    <mergeCell ref="Y52:Z52"/>
    <mergeCell ref="AA52:AB52"/>
    <mergeCell ref="AC52:AD52"/>
    <mergeCell ref="AE52:AF52"/>
    <mergeCell ref="AG52:AH52"/>
    <mergeCell ref="AI52:AJ52"/>
    <mergeCell ref="AK52:AL52"/>
    <mergeCell ref="F53:G53"/>
    <mergeCell ref="L53:M53"/>
    <mergeCell ref="Q53:R53"/>
    <mergeCell ref="T53:U53"/>
    <mergeCell ref="W53:X53"/>
    <mergeCell ref="Y53:Z53"/>
    <mergeCell ref="AA53:AB53"/>
    <mergeCell ref="AC53:AD53"/>
    <mergeCell ref="AE53:AF53"/>
    <mergeCell ref="AG53:AH53"/>
    <mergeCell ref="AI53:AJ53"/>
    <mergeCell ref="AK53:AL53"/>
    <mergeCell ref="F54:G54"/>
    <mergeCell ref="L54:M54"/>
    <mergeCell ref="Q54:R54"/>
    <mergeCell ref="T54:U54"/>
    <mergeCell ref="W54:X54"/>
    <mergeCell ref="Y54:Z54"/>
    <mergeCell ref="AA54:AB54"/>
    <mergeCell ref="AC54:AD54"/>
    <mergeCell ref="AE54:AF54"/>
    <mergeCell ref="AG54:AH54"/>
    <mergeCell ref="AI54:AJ54"/>
    <mergeCell ref="AK54:AL54"/>
    <mergeCell ref="F55:G55"/>
    <mergeCell ref="L55:M55"/>
    <mergeCell ref="Q55:R55"/>
    <mergeCell ref="T55:U55"/>
    <mergeCell ref="W55:X55"/>
    <mergeCell ref="Y55:Z55"/>
    <mergeCell ref="AA55:AB55"/>
    <mergeCell ref="AC55:AD55"/>
    <mergeCell ref="AE55:AF55"/>
    <mergeCell ref="AG55:AH55"/>
    <mergeCell ref="AI55:AJ55"/>
    <mergeCell ref="AK55:AL55"/>
    <mergeCell ref="F56:G56"/>
    <mergeCell ref="L56:M56"/>
    <mergeCell ref="Q56:R56"/>
    <mergeCell ref="T56:U56"/>
    <mergeCell ref="W56:X56"/>
    <mergeCell ref="Y56:Z56"/>
    <mergeCell ref="AA56:AB56"/>
    <mergeCell ref="AC56:AD56"/>
    <mergeCell ref="AE56:AF56"/>
    <mergeCell ref="AG56:AH56"/>
    <mergeCell ref="AI56:AJ56"/>
    <mergeCell ref="AK56:AL56"/>
    <mergeCell ref="F57:G57"/>
    <mergeCell ref="L57:M57"/>
    <mergeCell ref="Q57:R57"/>
    <mergeCell ref="T57:U57"/>
    <mergeCell ref="W57:X57"/>
    <mergeCell ref="Y57:Z57"/>
    <mergeCell ref="AA57:AB57"/>
    <mergeCell ref="AC57:AD57"/>
    <mergeCell ref="AE57:AF57"/>
    <mergeCell ref="AG57:AH57"/>
    <mergeCell ref="AI57:AJ57"/>
    <mergeCell ref="AK57:AL57"/>
    <mergeCell ref="F58:G58"/>
    <mergeCell ref="L58:M58"/>
    <mergeCell ref="Q58:R58"/>
    <mergeCell ref="T58:U58"/>
    <mergeCell ref="W58:X58"/>
    <mergeCell ref="Y58:Z58"/>
    <mergeCell ref="AA58:AB58"/>
    <mergeCell ref="AC58:AD58"/>
    <mergeCell ref="AE58:AF58"/>
    <mergeCell ref="AG58:AH58"/>
    <mergeCell ref="AI58:AJ58"/>
    <mergeCell ref="AK58:AL58"/>
    <mergeCell ref="F59:G59"/>
    <mergeCell ref="L59:M59"/>
    <mergeCell ref="Q59:R59"/>
    <mergeCell ref="T59:U59"/>
    <mergeCell ref="W59:X59"/>
    <mergeCell ref="Y59:Z59"/>
    <mergeCell ref="AA59:AB59"/>
    <mergeCell ref="AC59:AD59"/>
    <mergeCell ref="AE59:AF59"/>
    <mergeCell ref="AG59:AH59"/>
    <mergeCell ref="AI59:AJ59"/>
    <mergeCell ref="AK59:AL59"/>
    <mergeCell ref="F60:G60"/>
    <mergeCell ref="L60:M60"/>
    <mergeCell ref="Q60:R60"/>
    <mergeCell ref="T60:U60"/>
    <mergeCell ref="W60:X60"/>
    <mergeCell ref="Y60:Z60"/>
    <mergeCell ref="AA60:AB60"/>
    <mergeCell ref="AC60:AD60"/>
    <mergeCell ref="AE60:AF60"/>
    <mergeCell ref="AG60:AH60"/>
    <mergeCell ref="AI60:AJ60"/>
    <mergeCell ref="AK60:AL60"/>
    <mergeCell ref="F61:G61"/>
    <mergeCell ref="L61:M61"/>
    <mergeCell ref="Q61:R61"/>
    <mergeCell ref="T61:U61"/>
    <mergeCell ref="W61:X61"/>
    <mergeCell ref="Y61:Z61"/>
    <mergeCell ref="AA61:AB61"/>
    <mergeCell ref="AC61:AD61"/>
    <mergeCell ref="AE61:AF61"/>
    <mergeCell ref="AG61:AH61"/>
    <mergeCell ref="AI61:AJ61"/>
    <mergeCell ref="AK61:AL61"/>
    <mergeCell ref="F62:G62"/>
    <mergeCell ref="L62:M62"/>
    <mergeCell ref="Q62:R62"/>
    <mergeCell ref="T62:U62"/>
    <mergeCell ref="W62:X62"/>
    <mergeCell ref="Y62:Z62"/>
    <mergeCell ref="AA62:AB62"/>
    <mergeCell ref="AC62:AD62"/>
    <mergeCell ref="AE62:AF62"/>
    <mergeCell ref="AG62:AH62"/>
    <mergeCell ref="AI62:AJ62"/>
    <mergeCell ref="AK62:AL62"/>
    <mergeCell ref="F63:G63"/>
    <mergeCell ref="L63:M63"/>
    <mergeCell ref="Q63:R63"/>
    <mergeCell ref="T63:U63"/>
    <mergeCell ref="W63:X63"/>
    <mergeCell ref="Y63:Z63"/>
    <mergeCell ref="AA63:AB63"/>
    <mergeCell ref="AC63:AD63"/>
    <mergeCell ref="AE63:AF63"/>
    <mergeCell ref="AG63:AH63"/>
    <mergeCell ref="AI63:AJ63"/>
    <mergeCell ref="AK63:AL63"/>
    <mergeCell ref="F64:G64"/>
    <mergeCell ref="L64:M64"/>
    <mergeCell ref="Q64:R64"/>
    <mergeCell ref="T64:U64"/>
    <mergeCell ref="W64:X64"/>
    <mergeCell ref="Y64:Z64"/>
    <mergeCell ref="AA64:AB64"/>
    <mergeCell ref="AC64:AD64"/>
    <mergeCell ref="AE64:AF64"/>
    <mergeCell ref="AG64:AH64"/>
    <mergeCell ref="AI64:AJ64"/>
    <mergeCell ref="AK64:AL64"/>
    <mergeCell ref="F65:G65"/>
    <mergeCell ref="L65:M65"/>
    <mergeCell ref="Q65:R65"/>
    <mergeCell ref="T65:U65"/>
    <mergeCell ref="W65:X65"/>
    <mergeCell ref="Y65:Z65"/>
    <mergeCell ref="AA65:AB65"/>
    <mergeCell ref="AC65:AD65"/>
    <mergeCell ref="AE65:AF65"/>
    <mergeCell ref="AG65:AH65"/>
    <mergeCell ref="AI65:AJ65"/>
    <mergeCell ref="AK65:AL65"/>
    <mergeCell ref="F66:G66"/>
    <mergeCell ref="L66:M66"/>
    <mergeCell ref="Q66:R66"/>
    <mergeCell ref="T66:U66"/>
    <mergeCell ref="W66:X66"/>
    <mergeCell ref="Y66:Z66"/>
    <mergeCell ref="AA66:AB66"/>
    <mergeCell ref="AC66:AD66"/>
    <mergeCell ref="AE66:AF66"/>
    <mergeCell ref="AG66:AH66"/>
    <mergeCell ref="AI66:AJ66"/>
    <mergeCell ref="AK66:AL66"/>
    <mergeCell ref="F67:G67"/>
    <mergeCell ref="L67:M67"/>
    <mergeCell ref="Q67:R67"/>
    <mergeCell ref="T67:U67"/>
    <mergeCell ref="W67:X67"/>
    <mergeCell ref="Y67:Z67"/>
    <mergeCell ref="AA67:AB67"/>
    <mergeCell ref="AC67:AD67"/>
    <mergeCell ref="AE67:AF67"/>
    <mergeCell ref="AG67:AH67"/>
    <mergeCell ref="AI67:AJ67"/>
    <mergeCell ref="AK67:AL67"/>
    <mergeCell ref="F68:G68"/>
    <mergeCell ref="L68:M68"/>
    <mergeCell ref="Q68:R68"/>
    <mergeCell ref="T68:U68"/>
    <mergeCell ref="W68:X68"/>
    <mergeCell ref="Y68:Z68"/>
    <mergeCell ref="AA68:AB68"/>
    <mergeCell ref="AC68:AD68"/>
    <mergeCell ref="AE68:AF68"/>
    <mergeCell ref="AG68:AH68"/>
    <mergeCell ref="AI68:AJ68"/>
    <mergeCell ref="AK68:AL68"/>
    <mergeCell ref="F69:G69"/>
    <mergeCell ref="L69:M69"/>
    <mergeCell ref="Q69:R69"/>
    <mergeCell ref="T69:U69"/>
    <mergeCell ref="W69:X69"/>
    <mergeCell ref="Y69:Z69"/>
    <mergeCell ref="AA69:AB69"/>
    <mergeCell ref="AC69:AD69"/>
    <mergeCell ref="AE69:AF69"/>
    <mergeCell ref="AG69:AH69"/>
    <mergeCell ref="AI69:AJ69"/>
    <mergeCell ref="AK69:AL69"/>
    <mergeCell ref="F70:G70"/>
    <mergeCell ref="L70:M70"/>
    <mergeCell ref="Q70:R70"/>
    <mergeCell ref="T70:U70"/>
    <mergeCell ref="W70:X70"/>
    <mergeCell ref="Y70:Z70"/>
    <mergeCell ref="AA70:AB70"/>
    <mergeCell ref="AC70:AD70"/>
    <mergeCell ref="AE70:AF70"/>
    <mergeCell ref="AG70:AH70"/>
    <mergeCell ref="AI70:AJ70"/>
    <mergeCell ref="AK70:AL70"/>
    <mergeCell ref="F71:G71"/>
    <mergeCell ref="L71:M71"/>
    <mergeCell ref="Q71:R71"/>
    <mergeCell ref="T71:U71"/>
    <mergeCell ref="W71:X71"/>
    <mergeCell ref="Y71:Z71"/>
    <mergeCell ref="AA71:AB71"/>
    <mergeCell ref="AC71:AD71"/>
    <mergeCell ref="AE71:AF71"/>
    <mergeCell ref="AG71:AH71"/>
    <mergeCell ref="AI71:AJ71"/>
    <mergeCell ref="AK71:AL71"/>
    <mergeCell ref="F72:G72"/>
    <mergeCell ref="L72:M72"/>
    <mergeCell ref="Q72:R72"/>
    <mergeCell ref="T72:U72"/>
    <mergeCell ref="W72:X72"/>
    <mergeCell ref="Y72:Z72"/>
    <mergeCell ref="AA72:AB72"/>
    <mergeCell ref="AC72:AD72"/>
    <mergeCell ref="AE72:AF72"/>
    <mergeCell ref="AG72:AH72"/>
    <mergeCell ref="AI72:AJ72"/>
    <mergeCell ref="AK72:AL72"/>
    <mergeCell ref="F73:G73"/>
    <mergeCell ref="L73:M73"/>
    <mergeCell ref="Q73:R73"/>
    <mergeCell ref="T73:U73"/>
    <mergeCell ref="W73:X73"/>
    <mergeCell ref="Y73:Z73"/>
    <mergeCell ref="AA73:AB73"/>
    <mergeCell ref="AC73:AD73"/>
    <mergeCell ref="AE73:AF73"/>
    <mergeCell ref="AG73:AH73"/>
    <mergeCell ref="AI73:AJ73"/>
    <mergeCell ref="AK73:AL73"/>
    <mergeCell ref="F74:G74"/>
    <mergeCell ref="L74:M74"/>
    <mergeCell ref="Q74:R74"/>
    <mergeCell ref="T74:U74"/>
    <mergeCell ref="W74:X74"/>
    <mergeCell ref="Y74:Z74"/>
    <mergeCell ref="AA74:AB74"/>
    <mergeCell ref="AC74:AD74"/>
    <mergeCell ref="AE74:AF74"/>
    <mergeCell ref="AG74:AH74"/>
    <mergeCell ref="AI74:AJ74"/>
    <mergeCell ref="AK74:AL74"/>
    <mergeCell ref="F75:G75"/>
    <mergeCell ref="L75:M75"/>
    <mergeCell ref="Q75:R75"/>
    <mergeCell ref="T75:U75"/>
    <mergeCell ref="W75:X75"/>
    <mergeCell ref="Y75:Z75"/>
    <mergeCell ref="AA75:AB75"/>
    <mergeCell ref="AC75:AD75"/>
    <mergeCell ref="AE75:AF75"/>
    <mergeCell ref="AG75:AH75"/>
    <mergeCell ref="AI75:AJ75"/>
    <mergeCell ref="AK75:AL75"/>
    <mergeCell ref="F76:G76"/>
    <mergeCell ref="L76:M76"/>
    <mergeCell ref="Q76:R76"/>
    <mergeCell ref="T76:U76"/>
    <mergeCell ref="W76:X76"/>
    <mergeCell ref="Y76:Z76"/>
    <mergeCell ref="AA76:AB76"/>
    <mergeCell ref="AC76:AD76"/>
    <mergeCell ref="AE76:AF76"/>
    <mergeCell ref="AG76:AH76"/>
    <mergeCell ref="AI76:AJ76"/>
    <mergeCell ref="AK76:AL76"/>
    <mergeCell ref="F77:G77"/>
    <mergeCell ref="L77:M77"/>
    <mergeCell ref="Q77:R77"/>
    <mergeCell ref="T77:U77"/>
    <mergeCell ref="W77:X77"/>
    <mergeCell ref="Y77:Z77"/>
    <mergeCell ref="AA77:AB77"/>
    <mergeCell ref="AC77:AD77"/>
    <mergeCell ref="AE77:AF77"/>
    <mergeCell ref="AG77:AH77"/>
    <mergeCell ref="AI77:AJ77"/>
    <mergeCell ref="AK77:AL77"/>
    <mergeCell ref="F78:G78"/>
    <mergeCell ref="L78:M78"/>
    <mergeCell ref="Q78:R78"/>
    <mergeCell ref="T78:U78"/>
    <mergeCell ref="W78:X78"/>
    <mergeCell ref="Y78:Z78"/>
    <mergeCell ref="AA78:AB78"/>
    <mergeCell ref="AC78:AD78"/>
    <mergeCell ref="AE78:AF78"/>
    <mergeCell ref="AG78:AH78"/>
    <mergeCell ref="AI78:AJ78"/>
    <mergeCell ref="AK78:AL78"/>
    <mergeCell ref="F79:G79"/>
    <mergeCell ref="L79:M79"/>
    <mergeCell ref="Q79:R79"/>
    <mergeCell ref="T79:U79"/>
    <mergeCell ref="W79:X79"/>
    <mergeCell ref="Y79:Z79"/>
    <mergeCell ref="AA79:AB79"/>
    <mergeCell ref="AC79:AD79"/>
    <mergeCell ref="AE79:AF79"/>
    <mergeCell ref="AG79:AH79"/>
    <mergeCell ref="AI79:AJ79"/>
    <mergeCell ref="AK79:AL79"/>
    <mergeCell ref="F80:G80"/>
    <mergeCell ref="L80:M80"/>
    <mergeCell ref="Q80:R80"/>
    <mergeCell ref="T80:U80"/>
    <mergeCell ref="W80:X80"/>
    <mergeCell ref="Y80:Z80"/>
    <mergeCell ref="AA80:AB80"/>
    <mergeCell ref="AC80:AD80"/>
    <mergeCell ref="AE80:AF80"/>
    <mergeCell ref="AG80:AH80"/>
    <mergeCell ref="AI80:AJ80"/>
    <mergeCell ref="AK80:AL80"/>
    <mergeCell ref="AM81:AN81"/>
    <mergeCell ref="A82:AQ82"/>
    <mergeCell ref="A7:A80"/>
  </mergeCells>
  <printOptions horizontalCentered="1"/>
  <pageMargins left="0" right="0" top="0.393700787401575" bottom="0.393700787401575" header="0" footer="0"/>
  <pageSetup paperSize="9" scale="16" fitToHeight="3" orientation="portrait" horizontalDpi="1200" verticalDpi="12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1"/>
  <sheetViews>
    <sheetView zoomScale="70" zoomScaleNormal="70" workbookViewId="0">
      <pane xSplit="5" ySplit="4" topLeftCell="S57" activePane="bottomRight" state="frozen"/>
      <selection/>
      <selection pane="topRight"/>
      <selection pane="bottomLeft"/>
      <selection pane="bottomRight" activeCell="D57" sqref="D57"/>
    </sheetView>
  </sheetViews>
  <sheetFormatPr defaultColWidth="8.85833333333333" defaultRowHeight="14.25"/>
  <cols>
    <col min="1" max="1" width="18.7166666666667" style="254" customWidth="1"/>
    <col min="2" max="2" width="33.7" style="254" customWidth="1"/>
    <col min="3" max="3" width="16.1416666666667" style="254" customWidth="1"/>
    <col min="4" max="4" width="25" style="254" customWidth="1"/>
    <col min="5" max="5" width="34.2833333333333" style="254" customWidth="1"/>
    <col min="6" max="16" width="16.2833333333333" style="254" hidden="1" customWidth="1"/>
    <col min="17" max="18" width="18.0333333333333" style="254" hidden="1" customWidth="1"/>
    <col min="19" max="29" width="18.0333333333333" style="254" customWidth="1"/>
    <col min="30" max="30" width="5.89166666666667" style="254" customWidth="1"/>
    <col min="31" max="31" width="22.7166666666667" style="254" customWidth="1"/>
    <col min="32" max="33" width="14.325" style="254" customWidth="1"/>
    <col min="34" max="34" width="8.96666666666667" style="254"/>
    <col min="35" max="35" width="8.85833333333333" style="254"/>
    <col min="36" max="36" width="18" style="254" customWidth="1"/>
    <col min="37" max="37" width="12.8583333333333" style="254" customWidth="1"/>
    <col min="38" max="38" width="12" style="254"/>
    <col min="39" max="16384" width="8.85833333333333" style="254"/>
  </cols>
  <sheetData>
    <row r="1" s="253" customFormat="1" ht="52" customHeight="1" spans="1:37">
      <c r="A1" s="256"/>
      <c r="B1" s="257"/>
      <c r="C1" s="258"/>
      <c r="D1" s="259" t="s">
        <v>11926</v>
      </c>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60"/>
      <c r="AH1" s="261"/>
      <c r="AI1" s="261"/>
      <c r="AJ1" s="261"/>
    </row>
    <row r="2" s="254" customFormat="1" ht="36" customHeight="1" spans="1:37">
      <c r="A2" s="262"/>
      <c r="B2" s="263"/>
      <c r="C2" s="264"/>
      <c r="D2" s="265"/>
      <c r="E2" s="266" t="s">
        <v>11927</v>
      </c>
      <c r="F2" s="267">
        <v>45708</v>
      </c>
      <c r="G2" s="267">
        <v>45755</v>
      </c>
      <c r="H2" s="267">
        <v>45785</v>
      </c>
      <c r="I2" s="267">
        <v>45791</v>
      </c>
      <c r="J2" s="267">
        <v>45800</v>
      </c>
      <c r="K2" s="267">
        <v>45819</v>
      </c>
      <c r="L2" s="267">
        <v>45828</v>
      </c>
      <c r="M2" s="267">
        <v>45852</v>
      </c>
      <c r="N2" s="267">
        <v>45870</v>
      </c>
      <c r="O2" s="267">
        <v>45887</v>
      </c>
      <c r="P2" s="267">
        <v>45896</v>
      </c>
      <c r="Q2" s="267">
        <v>45904</v>
      </c>
      <c r="R2" s="267">
        <v>45929</v>
      </c>
      <c r="S2" s="267">
        <v>45950</v>
      </c>
      <c r="T2" s="267">
        <v>45959</v>
      </c>
      <c r="U2" s="267">
        <v>45988</v>
      </c>
      <c r="V2" s="267">
        <v>46010</v>
      </c>
      <c r="W2" s="267">
        <v>46021</v>
      </c>
      <c r="X2" s="267">
        <v>46079</v>
      </c>
      <c r="Y2" s="267">
        <v>46106</v>
      </c>
      <c r="Z2" s="267">
        <v>46154</v>
      </c>
      <c r="AA2" s="267">
        <v>46185</v>
      </c>
      <c r="AB2" s="267">
        <v>46239</v>
      </c>
      <c r="AC2" s="267"/>
      <c r="AD2" s="267"/>
      <c r="AE2" s="268"/>
      <c r="AF2" s="269"/>
      <c r="AG2" s="269"/>
    </row>
    <row r="3" s="254" customFormat="1" ht="36" customHeight="1" spans="1:37">
      <c r="A3" s="262"/>
      <c r="B3" s="263"/>
      <c r="C3" s="264"/>
      <c r="D3" s="265"/>
      <c r="E3" s="270" t="s">
        <v>11928</v>
      </c>
      <c r="F3" s="267">
        <v>45757</v>
      </c>
      <c r="G3" s="267">
        <v>45797</v>
      </c>
      <c r="H3" s="267">
        <v>45838</v>
      </c>
      <c r="I3" s="267">
        <v>45838</v>
      </c>
      <c r="J3" s="267">
        <v>45845</v>
      </c>
      <c r="K3" s="267">
        <v>45856</v>
      </c>
      <c r="L3" s="267">
        <v>45877</v>
      </c>
      <c r="M3" s="267">
        <v>45891</v>
      </c>
      <c r="N3" s="267">
        <v>45905</v>
      </c>
      <c r="O3" s="267">
        <v>45925</v>
      </c>
      <c r="P3" s="267">
        <v>45930</v>
      </c>
      <c r="Q3" s="267">
        <v>45945</v>
      </c>
      <c r="R3" s="267">
        <v>45966</v>
      </c>
      <c r="S3" s="267">
        <v>45991</v>
      </c>
      <c r="T3" s="267">
        <v>46001</v>
      </c>
      <c r="U3" s="267">
        <v>46032</v>
      </c>
      <c r="V3" s="267">
        <v>46055</v>
      </c>
      <c r="W3" s="267">
        <v>46063</v>
      </c>
      <c r="X3" s="267">
        <v>46127</v>
      </c>
      <c r="Y3" s="267">
        <v>46157</v>
      </c>
      <c r="Z3" s="267">
        <v>46191</v>
      </c>
      <c r="AA3" s="271">
        <v>46266</v>
      </c>
      <c r="AB3" s="271">
        <v>46305</v>
      </c>
      <c r="AC3" s="267"/>
      <c r="AD3" s="267"/>
      <c r="AE3" s="268"/>
      <c r="AF3" s="269"/>
      <c r="AG3" s="269"/>
    </row>
    <row r="4" s="254" customFormat="1" ht="36" customHeight="1" spans="1:37">
      <c r="A4" s="262"/>
      <c r="B4" s="263"/>
      <c r="C4" s="272"/>
      <c r="D4" s="265"/>
      <c r="E4" s="266" t="s">
        <v>11929</v>
      </c>
      <c r="F4" s="273" t="s">
        <v>11792</v>
      </c>
      <c r="G4" s="273" t="s">
        <v>11793</v>
      </c>
      <c r="H4" s="273" t="s">
        <v>11930</v>
      </c>
      <c r="I4" s="273" t="s">
        <v>11794</v>
      </c>
      <c r="J4" s="273" t="s">
        <v>11795</v>
      </c>
      <c r="K4" s="273" t="s">
        <v>11796</v>
      </c>
      <c r="L4" s="273" t="s">
        <v>11797</v>
      </c>
      <c r="M4" s="273" t="s">
        <v>11798</v>
      </c>
      <c r="N4" s="273" t="s">
        <v>11931</v>
      </c>
      <c r="O4" s="273" t="s">
        <v>11799</v>
      </c>
      <c r="P4" s="273" t="s">
        <v>11800</v>
      </c>
      <c r="Q4" s="273" t="s">
        <v>11801</v>
      </c>
      <c r="R4" s="273" t="s">
        <v>11802</v>
      </c>
      <c r="S4" s="273" t="s">
        <v>11803</v>
      </c>
      <c r="T4" s="273" t="s">
        <v>11804</v>
      </c>
      <c r="U4" s="273" t="s">
        <v>11805</v>
      </c>
      <c r="V4" s="273" t="s">
        <v>11806</v>
      </c>
      <c r="W4" s="273" t="s">
        <v>11932</v>
      </c>
      <c r="X4" s="273" t="s">
        <v>11807</v>
      </c>
      <c r="Y4" s="273" t="s">
        <v>11808</v>
      </c>
      <c r="Z4" s="267" t="s">
        <v>11809</v>
      </c>
      <c r="AA4" s="267" t="s">
        <v>11810</v>
      </c>
      <c r="AB4" s="267" t="s">
        <v>11933</v>
      </c>
      <c r="AC4" s="267"/>
      <c r="AD4" s="273"/>
      <c r="AE4" s="274" t="s">
        <v>11934</v>
      </c>
      <c r="AF4" s="275" t="s">
        <v>11935</v>
      </c>
      <c r="AG4" s="275" t="s">
        <v>35</v>
      </c>
    </row>
    <row r="5" s="254" customFormat="1" ht="36" customHeight="1" spans="1:37">
      <c r="A5" s="262"/>
      <c r="B5" s="263" t="s">
        <v>11936</v>
      </c>
      <c r="C5" s="276"/>
      <c r="D5" s="265"/>
      <c r="E5" s="266" t="s">
        <v>11937</v>
      </c>
      <c r="F5" s="273">
        <v>200000</v>
      </c>
      <c r="G5" s="273"/>
      <c r="H5" s="273">
        <v>100000</v>
      </c>
      <c r="I5" s="273">
        <v>50000</v>
      </c>
      <c r="J5" s="273">
        <v>50000</v>
      </c>
      <c r="K5" s="273">
        <v>50000</v>
      </c>
      <c r="L5" s="273">
        <v>20000</v>
      </c>
      <c r="M5" s="273">
        <v>26000</v>
      </c>
      <c r="N5" s="273">
        <v>60000</v>
      </c>
      <c r="O5" s="273">
        <v>50000</v>
      </c>
      <c r="P5" s="273">
        <v>60000</v>
      </c>
      <c r="Q5" s="273">
        <v>150000</v>
      </c>
      <c r="R5" s="273">
        <v>200000</v>
      </c>
      <c r="S5" s="273">
        <v>300000</v>
      </c>
      <c r="T5" s="273">
        <v>0</v>
      </c>
      <c r="U5" s="273">
        <v>400000</v>
      </c>
      <c r="V5" s="273">
        <v>300000</v>
      </c>
      <c r="W5" s="273">
        <v>0</v>
      </c>
      <c r="X5" s="273">
        <v>300000</v>
      </c>
      <c r="Y5" s="273">
        <v>200000</v>
      </c>
      <c r="Z5" s="273">
        <v>200000</v>
      </c>
      <c r="AA5" s="273">
        <v>200000</v>
      </c>
      <c r="AB5" s="273">
        <v>100000</v>
      </c>
      <c r="AC5" s="273"/>
      <c r="AD5" s="273"/>
      <c r="AE5" s="274">
        <f>SUM(F5:AD5)</f>
        <v>3016000</v>
      </c>
      <c r="AF5" s="269">
        <f>'77673'!AN1542</f>
        <v>2859384</v>
      </c>
      <c r="AG5" s="269">
        <f>AE5-AF5</f>
        <v>156616</v>
      </c>
    </row>
    <row r="6" s="254" customFormat="1" ht="36" customHeight="1" spans="1:37">
      <c r="A6" s="262"/>
      <c r="B6" s="263" t="s">
        <v>11938</v>
      </c>
      <c r="C6" s="276"/>
      <c r="D6" s="265"/>
      <c r="E6" s="266" t="s">
        <v>11939</v>
      </c>
      <c r="F6" s="273">
        <v>20000</v>
      </c>
      <c r="G6" s="273"/>
      <c r="H6" s="273"/>
      <c r="I6" s="273">
        <v>10000</v>
      </c>
      <c r="J6" s="273"/>
      <c r="K6" s="273"/>
      <c r="L6" s="273">
        <v>50000</v>
      </c>
      <c r="M6" s="273"/>
      <c r="N6" s="273">
        <v>40000</v>
      </c>
      <c r="O6" s="273">
        <v>55000</v>
      </c>
      <c r="P6" s="273">
        <v>20000</v>
      </c>
      <c r="Q6" s="273">
        <v>20000</v>
      </c>
      <c r="R6" s="273"/>
      <c r="S6" s="273"/>
      <c r="T6" s="273">
        <v>60000</v>
      </c>
      <c r="U6" s="273">
        <v>50000</v>
      </c>
      <c r="V6" s="273">
        <v>169678</v>
      </c>
      <c r="W6" s="273">
        <v>20006</v>
      </c>
      <c r="X6" s="273">
        <v>220004</v>
      </c>
      <c r="Y6" s="273">
        <v>0</v>
      </c>
      <c r="Z6" s="273">
        <v>50000</v>
      </c>
      <c r="AA6" s="273">
        <v>-50000</v>
      </c>
      <c r="AB6" s="273">
        <v>200000</v>
      </c>
      <c r="AC6" s="273"/>
      <c r="AD6" s="273"/>
      <c r="AE6" s="274">
        <f>SUM(F6:AD6)</f>
        <v>934688</v>
      </c>
      <c r="AF6" s="269">
        <f>'77673'!AP1542</f>
        <v>716432</v>
      </c>
      <c r="AG6" s="269">
        <f>AE6-AF6</f>
        <v>218256</v>
      </c>
    </row>
    <row r="7" s="254" customFormat="1" ht="36" customHeight="1" spans="1:37">
      <c r="A7" s="262"/>
      <c r="B7" s="263" t="s">
        <v>11940</v>
      </c>
      <c r="C7" s="276"/>
      <c r="D7" s="265"/>
      <c r="E7" s="266" t="s">
        <v>11937</v>
      </c>
      <c r="F7" s="273">
        <v>50000</v>
      </c>
      <c r="G7" s="273"/>
      <c r="H7" s="273">
        <v>-20600</v>
      </c>
      <c r="I7" s="273"/>
      <c r="J7" s="273"/>
      <c r="K7" s="273"/>
      <c r="L7" s="273">
        <v>35000</v>
      </c>
      <c r="M7" s="273">
        <v>40600</v>
      </c>
      <c r="N7" s="273">
        <v>5400</v>
      </c>
      <c r="O7" s="273"/>
      <c r="P7" s="273"/>
      <c r="Q7" s="273">
        <v>0</v>
      </c>
      <c r="R7" s="273"/>
      <c r="S7" s="273"/>
      <c r="T7" s="273">
        <v>0</v>
      </c>
      <c r="U7" s="273">
        <v>50000</v>
      </c>
      <c r="V7" s="273">
        <v>85000</v>
      </c>
      <c r="W7" s="273">
        <v>0</v>
      </c>
      <c r="X7" s="273">
        <v>0</v>
      </c>
      <c r="Y7" s="273">
        <v>0</v>
      </c>
      <c r="Z7" s="273">
        <v>0</v>
      </c>
      <c r="AA7" s="273">
        <v>0</v>
      </c>
      <c r="AB7" s="273">
        <v>0</v>
      </c>
      <c r="AC7" s="273"/>
      <c r="AD7" s="273"/>
      <c r="AE7" s="274">
        <f>SUM(F7:AD7)</f>
        <v>245400</v>
      </c>
      <c r="AF7" s="269">
        <f>'77673'!AO1542</f>
        <v>245400</v>
      </c>
      <c r="AG7" s="269">
        <f>AE7-AF7</f>
        <v>0</v>
      </c>
    </row>
    <row r="8" s="254" customFormat="1" ht="36" customHeight="1" spans="1:37">
      <c r="A8" s="262"/>
      <c r="B8" s="263" t="s">
        <v>11941</v>
      </c>
      <c r="C8" s="263"/>
      <c r="D8" s="265"/>
      <c r="E8" s="266" t="s">
        <v>11937</v>
      </c>
      <c r="F8" s="273">
        <v>0</v>
      </c>
      <c r="G8" s="273">
        <v>10725</v>
      </c>
      <c r="H8" s="273">
        <v>11025</v>
      </c>
      <c r="I8" s="273"/>
      <c r="J8" s="273"/>
      <c r="K8" s="273"/>
      <c r="L8" s="273"/>
      <c r="M8" s="273"/>
      <c r="N8" s="273">
        <v>-3600</v>
      </c>
      <c r="O8" s="273"/>
      <c r="P8" s="273"/>
      <c r="Q8" s="273">
        <v>9600</v>
      </c>
      <c r="R8" s="273"/>
      <c r="S8" s="273"/>
      <c r="T8" s="273">
        <v>0</v>
      </c>
      <c r="U8" s="273">
        <v>6200</v>
      </c>
      <c r="V8" s="273">
        <v>1800</v>
      </c>
      <c r="W8" s="273">
        <v>0</v>
      </c>
      <c r="X8" s="273">
        <v>0</v>
      </c>
      <c r="Y8" s="273">
        <v>0</v>
      </c>
      <c r="Z8" s="273">
        <v>7000</v>
      </c>
      <c r="AA8" s="273">
        <v>0</v>
      </c>
      <c r="AB8" s="273">
        <v>0</v>
      </c>
      <c r="AC8" s="273"/>
      <c r="AD8" s="273"/>
      <c r="AE8" s="274">
        <f>SUM(F8:AD8)</f>
        <v>42750</v>
      </c>
      <c r="AF8" s="269">
        <f>'77673'!AQ1542</f>
        <v>31950</v>
      </c>
      <c r="AG8" s="269">
        <f>AE8-AF8</f>
        <v>10800</v>
      </c>
    </row>
    <row r="9" s="254" customFormat="1" ht="36" customHeight="1" spans="1:37">
      <c r="A9" s="262"/>
      <c r="B9" s="263"/>
      <c r="C9" s="263"/>
      <c r="D9" s="265"/>
      <c r="E9" s="270" t="s">
        <v>11934</v>
      </c>
      <c r="F9" s="273">
        <f t="shared" ref="F9:W9" si="0">SUM(F5:F8)</f>
        <v>270000</v>
      </c>
      <c r="G9" s="273">
        <f t="shared" si="0"/>
        <v>10725</v>
      </c>
      <c r="H9" s="273">
        <f t="shared" si="0"/>
        <v>90425</v>
      </c>
      <c r="I9" s="273">
        <f t="shared" si="0"/>
        <v>60000</v>
      </c>
      <c r="J9" s="273">
        <f t="shared" si="0"/>
        <v>50000</v>
      </c>
      <c r="K9" s="273">
        <f t="shared" si="0"/>
        <v>50000</v>
      </c>
      <c r="L9" s="273">
        <f t="shared" si="0"/>
        <v>105000</v>
      </c>
      <c r="M9" s="273">
        <f t="shared" si="0"/>
        <v>66600</v>
      </c>
      <c r="N9" s="273">
        <f t="shared" si="0"/>
        <v>101800</v>
      </c>
      <c r="O9" s="273">
        <f t="shared" si="0"/>
        <v>105000</v>
      </c>
      <c r="P9" s="273">
        <f t="shared" si="0"/>
        <v>80000</v>
      </c>
      <c r="Q9" s="273">
        <f t="shared" si="0"/>
        <v>179600</v>
      </c>
      <c r="R9" s="273">
        <f t="shared" si="0"/>
        <v>200000</v>
      </c>
      <c r="S9" s="273">
        <f t="shared" si="0"/>
        <v>300000</v>
      </c>
      <c r="T9" s="273">
        <f t="shared" si="0"/>
        <v>60000</v>
      </c>
      <c r="U9" s="273">
        <f t="shared" si="0"/>
        <v>506200</v>
      </c>
      <c r="V9" s="273">
        <f t="shared" ref="V9:X9" si="1">SUM(V5:V8)</f>
        <v>556478</v>
      </c>
      <c r="W9" s="273">
        <f t="shared" si="1"/>
        <v>20006</v>
      </c>
      <c r="X9" s="273">
        <f t="shared" ref="X9:AB9" si="2">SUM(X5:X8)</f>
        <v>520004</v>
      </c>
      <c r="Y9" s="273">
        <f t="shared" si="2"/>
        <v>200000</v>
      </c>
      <c r="Z9" s="273">
        <f t="shared" si="2"/>
        <v>257000</v>
      </c>
      <c r="AA9" s="273">
        <f t="shared" si="2"/>
        <v>150000</v>
      </c>
      <c r="AB9" s="273">
        <f t="shared" si="2"/>
        <v>300000</v>
      </c>
      <c r="AC9" s="273"/>
      <c r="AD9" s="273"/>
      <c r="AE9" s="274">
        <f>SUM(AE5:AE8)</f>
        <v>4238838</v>
      </c>
      <c r="AF9" s="274">
        <f>SUM(AF5:AF8)</f>
        <v>3853166</v>
      </c>
      <c r="AG9" s="274">
        <f>SUM(AG5:AG8)</f>
        <v>385672</v>
      </c>
    </row>
    <row r="10" s="254" customFormat="1" ht="15" customHeight="1" spans="1:37">
      <c r="A10" s="277" t="s">
        <v>11833</v>
      </c>
      <c r="B10" s="278" t="s">
        <v>11834</v>
      </c>
      <c r="C10" s="278" t="s">
        <v>11942</v>
      </c>
      <c r="D10" s="279" t="s">
        <v>11943</v>
      </c>
      <c r="E10" s="280" t="s">
        <v>11944</v>
      </c>
      <c r="F10" s="281"/>
      <c r="G10" s="281"/>
      <c r="H10" s="281"/>
      <c r="I10" s="281"/>
      <c r="J10" s="281"/>
      <c r="K10" s="281"/>
      <c r="L10" s="281"/>
      <c r="M10" s="281"/>
      <c r="N10" s="281"/>
      <c r="O10" s="281"/>
      <c r="P10" s="281"/>
      <c r="Q10" s="281"/>
      <c r="R10" s="281"/>
      <c r="S10" s="281"/>
      <c r="T10" s="281"/>
      <c r="U10" s="281"/>
      <c r="V10" s="281"/>
      <c r="W10" s="281">
        <v>0</v>
      </c>
      <c r="X10" s="281"/>
      <c r="Y10" s="281"/>
      <c r="Z10" s="281"/>
      <c r="AA10" s="281"/>
      <c r="AB10" s="281"/>
      <c r="AC10" s="281"/>
      <c r="AD10" s="281"/>
      <c r="AE10" s="281"/>
      <c r="AF10" s="278"/>
      <c r="AG10" s="282"/>
    </row>
    <row r="11" s="255" customFormat="1" ht="21" customHeight="1" spans="1:37">
      <c r="A11" s="283"/>
      <c r="B11" s="284" t="s">
        <v>11945</v>
      </c>
      <c r="C11" s="285" t="s">
        <v>11946</v>
      </c>
      <c r="D11" s="285" t="s">
        <v>11947</v>
      </c>
      <c r="E11" s="286" t="s">
        <v>11948</v>
      </c>
      <c r="F11" s="287">
        <v>270000</v>
      </c>
      <c r="G11" s="287">
        <v>10725</v>
      </c>
      <c r="H11" s="287">
        <v>90425</v>
      </c>
      <c r="I11" s="287">
        <v>60000</v>
      </c>
      <c r="J11" s="287">
        <v>50000</v>
      </c>
      <c r="K11" s="287">
        <v>50000</v>
      </c>
      <c r="L11" s="287">
        <v>105000</v>
      </c>
      <c r="M11" s="287">
        <v>66600</v>
      </c>
      <c r="N11" s="287">
        <v>101800</v>
      </c>
      <c r="O11" s="287">
        <v>105000</v>
      </c>
      <c r="P11" s="287">
        <v>80000</v>
      </c>
      <c r="Q11" s="287">
        <v>179600</v>
      </c>
      <c r="R11" s="287">
        <v>200000</v>
      </c>
      <c r="S11" s="287">
        <v>300000</v>
      </c>
      <c r="T11" s="287">
        <v>60000</v>
      </c>
      <c r="U11" s="287">
        <v>506200</v>
      </c>
      <c r="V11" s="287">
        <v>556480</v>
      </c>
      <c r="W11" s="287">
        <v>20010</v>
      </c>
      <c r="X11" s="287">
        <v>520000</v>
      </c>
      <c r="Y11" s="287">
        <v>200000</v>
      </c>
      <c r="Z11" s="287">
        <v>257000</v>
      </c>
      <c r="AA11" s="287">
        <v>50000</v>
      </c>
      <c r="AB11" s="287">
        <v>300000</v>
      </c>
      <c r="AC11" s="287"/>
      <c r="AD11" s="287"/>
      <c r="AE11" s="288">
        <f t="shared" ref="AE11:AE25" si="3">SUM(F11:AD11)</f>
        <v>4138840</v>
      </c>
      <c r="AF11" s="289" t="s">
        <v>11949</v>
      </c>
      <c r="AG11" s="290"/>
      <c r="AH11" s="291">
        <v>3</v>
      </c>
      <c r="AI11" s="292"/>
      <c r="AJ11" s="293"/>
      <c r="AK11" s="293"/>
    </row>
    <row r="12" s="255" customFormat="1" ht="21" customHeight="1" spans="1:37">
      <c r="A12" s="283"/>
      <c r="B12" s="285" t="s">
        <v>11950</v>
      </c>
      <c r="C12" s="285" t="s">
        <v>11951</v>
      </c>
      <c r="D12" s="285" t="s">
        <v>73</v>
      </c>
      <c r="E12" s="286" t="s">
        <v>11952</v>
      </c>
      <c r="F12" s="287">
        <v>270000</v>
      </c>
      <c r="G12" s="287">
        <v>10725</v>
      </c>
      <c r="H12" s="287">
        <v>90425</v>
      </c>
      <c r="I12" s="287">
        <v>60000</v>
      </c>
      <c r="J12" s="287">
        <v>50000</v>
      </c>
      <c r="K12" s="287">
        <v>50000</v>
      </c>
      <c r="L12" s="287">
        <v>105000</v>
      </c>
      <c r="M12" s="287">
        <v>66600</v>
      </c>
      <c r="N12" s="287">
        <v>101800</v>
      </c>
      <c r="O12" s="287">
        <v>105000</v>
      </c>
      <c r="P12" s="287">
        <v>80000</v>
      </c>
      <c r="Q12" s="287">
        <v>179600</v>
      </c>
      <c r="R12" s="287">
        <v>200000</v>
      </c>
      <c r="S12" s="287">
        <v>300000</v>
      </c>
      <c r="T12" s="287">
        <v>60000</v>
      </c>
      <c r="U12" s="287">
        <v>506400</v>
      </c>
      <c r="V12" s="287">
        <v>556480</v>
      </c>
      <c r="W12" s="287">
        <v>20010</v>
      </c>
      <c r="X12" s="287">
        <v>520000</v>
      </c>
      <c r="Y12" s="287">
        <v>200000</v>
      </c>
      <c r="Z12" s="287">
        <v>257000</v>
      </c>
      <c r="AA12" s="287">
        <v>0</v>
      </c>
      <c r="AB12" s="287">
        <v>300000</v>
      </c>
      <c r="AC12" s="287"/>
      <c r="AD12" s="287"/>
      <c r="AE12" s="288">
        <f t="shared" si="3"/>
        <v>4089040</v>
      </c>
      <c r="AF12" s="289" t="s">
        <v>11949</v>
      </c>
      <c r="AG12" s="290"/>
      <c r="AH12" s="291">
        <v>4</v>
      </c>
      <c r="AI12" s="292"/>
      <c r="AJ12" s="293"/>
      <c r="AK12" s="293"/>
    </row>
    <row r="13" s="255" customFormat="1" ht="21" customHeight="1" spans="1:37">
      <c r="A13" s="283"/>
      <c r="B13" s="285" t="s">
        <v>11953</v>
      </c>
      <c r="C13" s="285" t="s">
        <v>11954</v>
      </c>
      <c r="D13" s="285" t="s">
        <v>73</v>
      </c>
      <c r="E13" s="286" t="s">
        <v>11955</v>
      </c>
      <c r="F13" s="287">
        <v>270000</v>
      </c>
      <c r="G13" s="287">
        <v>10725</v>
      </c>
      <c r="H13" s="287">
        <v>90425</v>
      </c>
      <c r="I13" s="287">
        <v>60000</v>
      </c>
      <c r="J13" s="287">
        <v>50000</v>
      </c>
      <c r="K13" s="287">
        <v>50000</v>
      </c>
      <c r="L13" s="287">
        <v>105000</v>
      </c>
      <c r="M13" s="287">
        <v>66600</v>
      </c>
      <c r="N13" s="287">
        <v>101800</v>
      </c>
      <c r="O13" s="287">
        <v>105000</v>
      </c>
      <c r="P13" s="287">
        <v>80000</v>
      </c>
      <c r="Q13" s="287">
        <v>179600</v>
      </c>
      <c r="R13" s="287">
        <v>200000</v>
      </c>
      <c r="S13" s="287">
        <v>300000</v>
      </c>
      <c r="T13" s="287">
        <v>60000</v>
      </c>
      <c r="U13" s="287">
        <v>506200</v>
      </c>
      <c r="V13" s="287">
        <v>556480</v>
      </c>
      <c r="W13" s="287">
        <v>20010</v>
      </c>
      <c r="X13" s="287">
        <v>520000</v>
      </c>
      <c r="Y13" s="287">
        <v>200000</v>
      </c>
      <c r="Z13" s="287">
        <v>257000</v>
      </c>
      <c r="AA13" s="287">
        <v>150000</v>
      </c>
      <c r="AB13" s="287">
        <v>300000</v>
      </c>
      <c r="AC13" s="287"/>
      <c r="AD13" s="287"/>
      <c r="AE13" s="288">
        <f t="shared" si="3"/>
        <v>4238840</v>
      </c>
      <c r="AF13" s="289" t="s">
        <v>11949</v>
      </c>
      <c r="AG13" s="290"/>
      <c r="AH13" s="291">
        <v>5</v>
      </c>
      <c r="AI13" s="292"/>
      <c r="AJ13" s="293"/>
      <c r="AK13" s="293"/>
    </row>
    <row r="14" s="255" customFormat="1" ht="21" customHeight="1" spans="1:37">
      <c r="A14" s="283"/>
      <c r="B14" s="285" t="s">
        <v>11956</v>
      </c>
      <c r="C14" s="285"/>
      <c r="D14" s="285" t="s">
        <v>73</v>
      </c>
      <c r="E14" s="286" t="s">
        <v>11957</v>
      </c>
      <c r="F14" s="287">
        <v>270000</v>
      </c>
      <c r="G14" s="287">
        <v>10725</v>
      </c>
      <c r="H14" s="287">
        <v>90425</v>
      </c>
      <c r="I14" s="287">
        <v>60000</v>
      </c>
      <c r="J14" s="287">
        <v>50000</v>
      </c>
      <c r="K14" s="287">
        <v>50000</v>
      </c>
      <c r="L14" s="287">
        <v>105000</v>
      </c>
      <c r="M14" s="287">
        <v>66600</v>
      </c>
      <c r="N14" s="287">
        <v>101800</v>
      </c>
      <c r="O14" s="287">
        <v>105000</v>
      </c>
      <c r="P14" s="287">
        <v>80000</v>
      </c>
      <c r="Q14" s="287">
        <v>179600</v>
      </c>
      <c r="R14" s="287">
        <v>200000</v>
      </c>
      <c r="S14" s="287">
        <v>300000</v>
      </c>
      <c r="T14" s="287">
        <v>60000</v>
      </c>
      <c r="U14" s="287">
        <v>506200</v>
      </c>
      <c r="V14" s="287">
        <v>556480</v>
      </c>
      <c r="W14" s="287">
        <v>20010</v>
      </c>
      <c r="X14" s="287">
        <v>520000</v>
      </c>
      <c r="Y14" s="287">
        <v>200000</v>
      </c>
      <c r="Z14" s="287">
        <v>257000</v>
      </c>
      <c r="AA14" s="287">
        <v>150000</v>
      </c>
      <c r="AB14" s="287">
        <v>300000</v>
      </c>
      <c r="AC14" s="287"/>
      <c r="AD14" s="287"/>
      <c r="AE14" s="288">
        <f t="shared" si="3"/>
        <v>4238840</v>
      </c>
      <c r="AF14" s="289" t="s">
        <v>11949</v>
      </c>
      <c r="AG14" s="290"/>
      <c r="AH14" s="291">
        <v>6</v>
      </c>
      <c r="AI14" s="292"/>
      <c r="AJ14" s="293"/>
      <c r="AK14" s="293"/>
    </row>
    <row r="15" s="255" customFormat="1" ht="21" customHeight="1" spans="1:37">
      <c r="A15" s="283"/>
      <c r="B15" s="285" t="s">
        <v>11958</v>
      </c>
      <c r="C15" s="285" t="s">
        <v>11959</v>
      </c>
      <c r="D15" s="285" t="s">
        <v>11960</v>
      </c>
      <c r="E15" s="286" t="s">
        <v>11961</v>
      </c>
      <c r="F15" s="287">
        <v>20000</v>
      </c>
      <c r="G15" s="287"/>
      <c r="H15" s="287"/>
      <c r="I15" s="287">
        <v>10000</v>
      </c>
      <c r="J15" s="287"/>
      <c r="K15" s="287"/>
      <c r="L15" s="287">
        <v>50000</v>
      </c>
      <c r="M15" s="287"/>
      <c r="N15" s="287">
        <v>40000</v>
      </c>
      <c r="O15" s="287">
        <v>55000</v>
      </c>
      <c r="P15" s="287">
        <v>20000</v>
      </c>
      <c r="Q15" s="287">
        <v>20000</v>
      </c>
      <c r="R15" s="287"/>
      <c r="S15" s="287"/>
      <c r="T15" s="287">
        <v>60000</v>
      </c>
      <c r="U15" s="287">
        <v>50000</v>
      </c>
      <c r="V15" s="287">
        <v>169680</v>
      </c>
      <c r="W15" s="287">
        <v>20010</v>
      </c>
      <c r="X15" s="287">
        <v>220000</v>
      </c>
      <c r="Y15" s="287">
        <v>0</v>
      </c>
      <c r="Z15" s="287">
        <v>50000</v>
      </c>
      <c r="AA15" s="287">
        <v>0</v>
      </c>
      <c r="AB15" s="287">
        <v>200000</v>
      </c>
      <c r="AC15" s="287"/>
      <c r="AD15" s="287"/>
      <c r="AE15" s="288">
        <f t="shared" si="3"/>
        <v>984690</v>
      </c>
      <c r="AF15" s="289" t="s">
        <v>11962</v>
      </c>
      <c r="AG15" s="290"/>
      <c r="AH15" s="291">
        <v>7</v>
      </c>
      <c r="AI15" s="292"/>
      <c r="AJ15" s="293"/>
      <c r="AK15" s="293"/>
    </row>
    <row r="16" s="255" customFormat="1" ht="21" customHeight="1" spans="1:37">
      <c r="A16" s="283"/>
      <c r="B16" s="284" t="s">
        <v>11963</v>
      </c>
      <c r="C16" s="285" t="s">
        <v>11964</v>
      </c>
      <c r="D16" s="285" t="s">
        <v>11965</v>
      </c>
      <c r="E16" s="286" t="s">
        <v>11948</v>
      </c>
      <c r="F16" s="287">
        <v>20000</v>
      </c>
      <c r="G16" s="287"/>
      <c r="H16" s="287"/>
      <c r="I16" s="287">
        <v>10000</v>
      </c>
      <c r="J16" s="287"/>
      <c r="K16" s="287"/>
      <c r="L16" s="287">
        <v>50000</v>
      </c>
      <c r="M16" s="287"/>
      <c r="N16" s="287">
        <v>40000</v>
      </c>
      <c r="O16" s="287">
        <v>55000</v>
      </c>
      <c r="P16" s="287">
        <v>20000</v>
      </c>
      <c r="Q16" s="287">
        <v>20000</v>
      </c>
      <c r="R16" s="287"/>
      <c r="S16" s="287"/>
      <c r="T16" s="287">
        <v>60000</v>
      </c>
      <c r="U16" s="287">
        <v>50000</v>
      </c>
      <c r="V16" s="287">
        <v>169680</v>
      </c>
      <c r="W16" s="287">
        <v>20010</v>
      </c>
      <c r="X16" s="287">
        <v>220000</v>
      </c>
      <c r="Y16" s="287">
        <v>0</v>
      </c>
      <c r="Z16" s="287">
        <v>50000</v>
      </c>
      <c r="AA16" s="287">
        <v>0</v>
      </c>
      <c r="AB16" s="287">
        <v>200000</v>
      </c>
      <c r="AC16" s="287"/>
      <c r="AD16" s="287"/>
      <c r="AE16" s="288">
        <f t="shared" si="3"/>
        <v>984690</v>
      </c>
      <c r="AF16" s="289" t="s">
        <v>11962</v>
      </c>
      <c r="AG16" s="290"/>
      <c r="AH16" s="291">
        <v>8</v>
      </c>
      <c r="AI16" s="292"/>
      <c r="AJ16" s="293"/>
      <c r="AK16" s="293"/>
    </row>
    <row r="17" s="255" customFormat="1" ht="21" customHeight="1" spans="1:37">
      <c r="A17" s="283"/>
      <c r="B17" s="284" t="s">
        <v>11966</v>
      </c>
      <c r="C17" s="285" t="s">
        <v>11967</v>
      </c>
      <c r="D17" s="285" t="s">
        <v>11965</v>
      </c>
      <c r="E17" s="286" t="s">
        <v>11948</v>
      </c>
      <c r="F17" s="287">
        <v>20000</v>
      </c>
      <c r="G17" s="287"/>
      <c r="H17" s="287"/>
      <c r="I17" s="287">
        <v>10000</v>
      </c>
      <c r="J17" s="287"/>
      <c r="K17" s="287"/>
      <c r="L17" s="287">
        <v>50000</v>
      </c>
      <c r="M17" s="287"/>
      <c r="N17" s="287">
        <v>40000</v>
      </c>
      <c r="O17" s="287">
        <v>55000</v>
      </c>
      <c r="P17" s="287">
        <v>20000</v>
      </c>
      <c r="Q17" s="287">
        <v>20000</v>
      </c>
      <c r="R17" s="287"/>
      <c r="S17" s="287"/>
      <c r="T17" s="287">
        <v>60000</v>
      </c>
      <c r="U17" s="287">
        <v>50000</v>
      </c>
      <c r="V17" s="287">
        <v>169680</v>
      </c>
      <c r="W17" s="287">
        <v>20010</v>
      </c>
      <c r="X17" s="287">
        <v>220000</v>
      </c>
      <c r="Y17" s="287">
        <v>0</v>
      </c>
      <c r="Z17" s="287">
        <v>50000</v>
      </c>
      <c r="AA17" s="287">
        <v>0</v>
      </c>
      <c r="AB17" s="287">
        <v>200000</v>
      </c>
      <c r="AC17" s="287"/>
      <c r="AD17" s="287"/>
      <c r="AE17" s="288">
        <f t="shared" si="3"/>
        <v>984690</v>
      </c>
      <c r="AF17" s="289" t="s">
        <v>11962</v>
      </c>
      <c r="AG17" s="290"/>
      <c r="AH17" s="291">
        <v>9</v>
      </c>
      <c r="AI17" s="292"/>
      <c r="AJ17" s="293"/>
      <c r="AK17" s="293"/>
    </row>
    <row r="18" s="255" customFormat="1" ht="21" customHeight="1" spans="1:37">
      <c r="A18" s="283"/>
      <c r="B18" s="285" t="s">
        <v>11968</v>
      </c>
      <c r="C18" s="285" t="s">
        <v>11969</v>
      </c>
      <c r="D18" s="285" t="s">
        <v>11970</v>
      </c>
      <c r="E18" s="286" t="s">
        <v>11971</v>
      </c>
      <c r="F18" s="287">
        <v>20000</v>
      </c>
      <c r="G18" s="287"/>
      <c r="H18" s="287"/>
      <c r="I18" s="287">
        <v>10000</v>
      </c>
      <c r="J18" s="287"/>
      <c r="K18" s="287"/>
      <c r="L18" s="287">
        <v>50000</v>
      </c>
      <c r="M18" s="287"/>
      <c r="N18" s="287">
        <v>40000</v>
      </c>
      <c r="O18" s="287">
        <v>55000</v>
      </c>
      <c r="P18" s="287">
        <v>20000</v>
      </c>
      <c r="Q18" s="287">
        <v>20000</v>
      </c>
      <c r="R18" s="287"/>
      <c r="S18" s="287"/>
      <c r="T18" s="287">
        <v>60000</v>
      </c>
      <c r="U18" s="287">
        <v>50000</v>
      </c>
      <c r="V18" s="287">
        <v>169680</v>
      </c>
      <c r="W18" s="287">
        <v>20010</v>
      </c>
      <c r="X18" s="287">
        <v>220000</v>
      </c>
      <c r="Y18" s="287">
        <v>0</v>
      </c>
      <c r="Z18" s="287">
        <v>0</v>
      </c>
      <c r="AA18" s="287">
        <v>0</v>
      </c>
      <c r="AB18" s="287">
        <v>0</v>
      </c>
      <c r="AC18" s="287"/>
      <c r="AD18" s="287"/>
      <c r="AE18" s="288">
        <f t="shared" si="3"/>
        <v>734690</v>
      </c>
      <c r="AF18" s="289" t="s">
        <v>11962</v>
      </c>
      <c r="AG18" s="290"/>
      <c r="AH18" s="291">
        <v>1</v>
      </c>
      <c r="AI18" s="292"/>
      <c r="AJ18" s="293"/>
      <c r="AK18" s="293"/>
    </row>
    <row r="19" s="255" customFormat="1" ht="21" customHeight="1" spans="1:37">
      <c r="A19" s="283"/>
      <c r="B19" s="285" t="s">
        <v>11972</v>
      </c>
      <c r="C19" s="285" t="s">
        <v>11973</v>
      </c>
      <c r="D19" s="285" t="s">
        <v>11974</v>
      </c>
      <c r="E19" s="286" t="s">
        <v>11975</v>
      </c>
      <c r="F19" s="287">
        <v>20000</v>
      </c>
      <c r="G19" s="287"/>
      <c r="H19" s="287"/>
      <c r="I19" s="287">
        <v>10000</v>
      </c>
      <c r="J19" s="287"/>
      <c r="K19" s="287"/>
      <c r="L19" s="287">
        <v>50000</v>
      </c>
      <c r="M19" s="287"/>
      <c r="N19" s="287">
        <v>40000</v>
      </c>
      <c r="O19" s="287">
        <v>55000</v>
      </c>
      <c r="P19" s="287">
        <v>20000</v>
      </c>
      <c r="Q19" s="287">
        <v>20000</v>
      </c>
      <c r="R19" s="287"/>
      <c r="S19" s="287"/>
      <c r="T19" s="287">
        <v>60000</v>
      </c>
      <c r="U19" s="287">
        <v>50000</v>
      </c>
      <c r="V19" s="287">
        <v>169680</v>
      </c>
      <c r="W19" s="287">
        <v>20010</v>
      </c>
      <c r="X19" s="287">
        <v>220000</v>
      </c>
      <c r="Y19" s="287">
        <v>0</v>
      </c>
      <c r="Z19" s="287">
        <v>50000</v>
      </c>
      <c r="AA19" s="287">
        <v>0</v>
      </c>
      <c r="AB19" s="287">
        <v>200000</v>
      </c>
      <c r="AC19" s="287"/>
      <c r="AD19" s="287"/>
      <c r="AE19" s="288">
        <f t="shared" si="3"/>
        <v>984690</v>
      </c>
      <c r="AF19" s="289" t="s">
        <v>11962</v>
      </c>
      <c r="AG19" s="290"/>
      <c r="AH19" s="291">
        <v>2</v>
      </c>
      <c r="AI19" s="292"/>
      <c r="AJ19" s="293"/>
      <c r="AK19" s="293"/>
    </row>
    <row r="20" s="255" customFormat="1" ht="21" customHeight="1" spans="1:37">
      <c r="A20" s="283"/>
      <c r="B20" s="285" t="s">
        <v>11976</v>
      </c>
      <c r="C20" s="285" t="s">
        <v>11977</v>
      </c>
      <c r="D20" s="285" t="s">
        <v>11960</v>
      </c>
      <c r="E20" s="286" t="s">
        <v>11961</v>
      </c>
      <c r="F20" s="287">
        <v>50000</v>
      </c>
      <c r="G20" s="287">
        <v>10725</v>
      </c>
      <c r="H20" s="287">
        <v>-9575</v>
      </c>
      <c r="I20" s="287"/>
      <c r="J20" s="287"/>
      <c r="K20" s="287"/>
      <c r="L20" s="287">
        <v>35000</v>
      </c>
      <c r="M20" s="287">
        <v>40600</v>
      </c>
      <c r="N20" s="287">
        <v>1800</v>
      </c>
      <c r="O20" s="287"/>
      <c r="P20" s="287"/>
      <c r="Q20" s="287">
        <v>9600</v>
      </c>
      <c r="R20" s="287"/>
      <c r="S20" s="287"/>
      <c r="T20" s="287"/>
      <c r="U20" s="287">
        <v>56200</v>
      </c>
      <c r="V20" s="287">
        <v>86800</v>
      </c>
      <c r="W20" s="287">
        <v>0</v>
      </c>
      <c r="X20" s="287"/>
      <c r="Y20" s="287">
        <v>0</v>
      </c>
      <c r="Z20" s="287">
        <v>7000</v>
      </c>
      <c r="AA20" s="287">
        <v>0</v>
      </c>
      <c r="AB20" s="287">
        <v>0</v>
      </c>
      <c r="AC20" s="287"/>
      <c r="AD20" s="287"/>
      <c r="AE20" s="288">
        <f t="shared" si="3"/>
        <v>288150</v>
      </c>
      <c r="AF20" s="289" t="s">
        <v>11978</v>
      </c>
      <c r="AG20" s="290"/>
      <c r="AH20" s="291">
        <v>3</v>
      </c>
      <c r="AI20" s="292"/>
      <c r="AJ20" s="293"/>
      <c r="AK20" s="293"/>
    </row>
    <row r="21" s="255" customFormat="1" ht="21" customHeight="1" spans="1:37">
      <c r="A21" s="283"/>
      <c r="B21" s="285" t="s">
        <v>11979</v>
      </c>
      <c r="C21" s="285" t="s">
        <v>11980</v>
      </c>
      <c r="D21" s="285" t="s">
        <v>11960</v>
      </c>
      <c r="E21" s="286" t="s">
        <v>11961</v>
      </c>
      <c r="F21" s="287">
        <v>50000</v>
      </c>
      <c r="G21" s="287">
        <v>10725</v>
      </c>
      <c r="H21" s="287">
        <v>-9575</v>
      </c>
      <c r="I21" s="287"/>
      <c r="J21" s="287"/>
      <c r="K21" s="287"/>
      <c r="L21" s="287">
        <v>35000</v>
      </c>
      <c r="M21" s="287">
        <v>40600</v>
      </c>
      <c r="N21" s="287">
        <v>1800</v>
      </c>
      <c r="O21" s="287"/>
      <c r="P21" s="287"/>
      <c r="Q21" s="287">
        <v>9600</v>
      </c>
      <c r="R21" s="287"/>
      <c r="S21" s="287"/>
      <c r="T21" s="287"/>
      <c r="U21" s="287">
        <v>56200</v>
      </c>
      <c r="V21" s="287">
        <v>86800</v>
      </c>
      <c r="W21" s="287">
        <v>0</v>
      </c>
      <c r="X21" s="287"/>
      <c r="Y21" s="287">
        <v>0</v>
      </c>
      <c r="Z21" s="287">
        <v>7000</v>
      </c>
      <c r="AA21" s="287">
        <v>0</v>
      </c>
      <c r="AB21" s="287">
        <v>0</v>
      </c>
      <c r="AC21" s="287"/>
      <c r="AD21" s="287"/>
      <c r="AE21" s="288">
        <f t="shared" si="3"/>
        <v>288150</v>
      </c>
      <c r="AF21" s="289" t="s">
        <v>11978</v>
      </c>
      <c r="AG21" s="290"/>
      <c r="AH21" s="291">
        <v>4</v>
      </c>
      <c r="AI21" s="292"/>
      <c r="AJ21" s="293"/>
      <c r="AK21" s="293"/>
    </row>
    <row r="22" s="255" customFormat="1" ht="21" customHeight="1" spans="1:37">
      <c r="A22" s="283"/>
      <c r="B22" s="284" t="s">
        <v>11981</v>
      </c>
      <c r="C22" s="285" t="s">
        <v>11982</v>
      </c>
      <c r="D22" s="285" t="s">
        <v>11965</v>
      </c>
      <c r="E22" s="286" t="s">
        <v>11948</v>
      </c>
      <c r="F22" s="287">
        <v>50000</v>
      </c>
      <c r="G22" s="287">
        <v>10725</v>
      </c>
      <c r="H22" s="287">
        <v>-9575</v>
      </c>
      <c r="I22" s="287"/>
      <c r="J22" s="287"/>
      <c r="K22" s="287"/>
      <c r="L22" s="287">
        <v>35000</v>
      </c>
      <c r="M22" s="287">
        <v>40600</v>
      </c>
      <c r="N22" s="287">
        <v>1800</v>
      </c>
      <c r="O22" s="287"/>
      <c r="P22" s="287"/>
      <c r="Q22" s="287">
        <v>9600</v>
      </c>
      <c r="R22" s="287"/>
      <c r="S22" s="287"/>
      <c r="T22" s="287"/>
      <c r="U22" s="287">
        <v>56200</v>
      </c>
      <c r="V22" s="287">
        <v>86800</v>
      </c>
      <c r="W22" s="287">
        <v>0</v>
      </c>
      <c r="X22" s="287"/>
      <c r="Y22" s="287">
        <v>0</v>
      </c>
      <c r="Z22" s="287">
        <v>7000</v>
      </c>
      <c r="AA22" s="287">
        <v>0</v>
      </c>
      <c r="AB22" s="287">
        <v>0</v>
      </c>
      <c r="AC22" s="287"/>
      <c r="AD22" s="287"/>
      <c r="AE22" s="288">
        <f t="shared" si="3"/>
        <v>288150</v>
      </c>
      <c r="AF22" s="289" t="s">
        <v>11978</v>
      </c>
      <c r="AG22" s="290"/>
      <c r="AH22" s="291">
        <v>5</v>
      </c>
      <c r="AI22" s="292"/>
      <c r="AJ22" s="293"/>
      <c r="AK22" s="293"/>
    </row>
    <row r="23" s="255" customFormat="1" ht="21" customHeight="1" spans="1:37">
      <c r="A23" s="283"/>
      <c r="B23" s="285" t="s">
        <v>11983</v>
      </c>
      <c r="C23" s="285" t="s">
        <v>11984</v>
      </c>
      <c r="D23" s="285" t="s">
        <v>11970</v>
      </c>
      <c r="E23" s="286" t="s">
        <v>11971</v>
      </c>
      <c r="F23" s="287">
        <v>50000</v>
      </c>
      <c r="G23" s="287"/>
      <c r="H23" s="287">
        <v>-9575</v>
      </c>
      <c r="I23" s="287"/>
      <c r="J23" s="287"/>
      <c r="K23" s="287"/>
      <c r="L23" s="287">
        <v>35000</v>
      </c>
      <c r="M23" s="287">
        <v>40600</v>
      </c>
      <c r="N23" s="287">
        <v>1800</v>
      </c>
      <c r="O23" s="287"/>
      <c r="P23" s="287"/>
      <c r="Q23" s="287"/>
      <c r="R23" s="287"/>
      <c r="S23" s="287"/>
      <c r="T23" s="287"/>
      <c r="U23" s="287">
        <v>50000</v>
      </c>
      <c r="V23" s="287">
        <v>85000</v>
      </c>
      <c r="W23" s="287">
        <v>0</v>
      </c>
      <c r="X23" s="287"/>
      <c r="Y23" s="287">
        <v>0</v>
      </c>
      <c r="Z23" s="287">
        <v>0</v>
      </c>
      <c r="AA23" s="287">
        <v>0</v>
      </c>
      <c r="AB23" s="287">
        <v>0</v>
      </c>
      <c r="AC23" s="287"/>
      <c r="AD23" s="287"/>
      <c r="AE23" s="288">
        <f t="shared" si="3"/>
        <v>252825</v>
      </c>
      <c r="AF23" s="289" t="s">
        <v>11985</v>
      </c>
      <c r="AG23" s="290"/>
      <c r="AH23" s="291">
        <v>6</v>
      </c>
      <c r="AI23" s="292"/>
      <c r="AJ23" s="293"/>
      <c r="AK23" s="293"/>
    </row>
    <row r="24" s="255" customFormat="1" ht="21" customHeight="1" spans="1:37">
      <c r="A24" s="283"/>
      <c r="B24" s="285" t="s">
        <v>11986</v>
      </c>
      <c r="C24" s="285" t="s">
        <v>11987</v>
      </c>
      <c r="D24" s="285" t="s">
        <v>11970</v>
      </c>
      <c r="E24" s="286" t="s">
        <v>11971</v>
      </c>
      <c r="F24" s="287">
        <v>0</v>
      </c>
      <c r="G24" s="287">
        <v>10725</v>
      </c>
      <c r="H24" s="287">
        <v>11025</v>
      </c>
      <c r="I24" s="287"/>
      <c r="J24" s="287"/>
      <c r="K24" s="287"/>
      <c r="L24" s="287"/>
      <c r="M24" s="287"/>
      <c r="N24" s="287">
        <v>-3600</v>
      </c>
      <c r="O24" s="287"/>
      <c r="P24" s="287"/>
      <c r="Q24" s="287">
        <v>9600</v>
      </c>
      <c r="R24" s="287"/>
      <c r="S24" s="287"/>
      <c r="T24" s="287"/>
      <c r="U24" s="287">
        <v>6200</v>
      </c>
      <c r="V24" s="287">
        <v>1800</v>
      </c>
      <c r="W24" s="287">
        <v>0</v>
      </c>
      <c r="X24" s="287"/>
      <c r="Y24" s="287">
        <v>0</v>
      </c>
      <c r="Z24" s="287">
        <v>0</v>
      </c>
      <c r="AA24" s="287">
        <v>0</v>
      </c>
      <c r="AB24" s="287">
        <v>0</v>
      </c>
      <c r="AC24" s="287"/>
      <c r="AD24" s="287"/>
      <c r="AE24" s="288">
        <f t="shared" si="3"/>
        <v>35750</v>
      </c>
      <c r="AF24" s="289" t="s">
        <v>11988</v>
      </c>
      <c r="AG24" s="290"/>
      <c r="AH24" s="291">
        <v>7</v>
      </c>
      <c r="AI24" s="292"/>
      <c r="AJ24" s="293"/>
      <c r="AK24" s="293"/>
    </row>
    <row r="25" s="255" customFormat="1" ht="21" customHeight="1" spans="1:37">
      <c r="A25" s="283"/>
      <c r="B25" s="285" t="s">
        <v>11989</v>
      </c>
      <c r="C25" s="285" t="s">
        <v>11990</v>
      </c>
      <c r="D25" s="285" t="s">
        <v>11991</v>
      </c>
      <c r="E25" s="286" t="s">
        <v>11992</v>
      </c>
      <c r="F25" s="287">
        <v>50000</v>
      </c>
      <c r="G25" s="287">
        <v>10725</v>
      </c>
      <c r="H25" s="287">
        <v>-9575</v>
      </c>
      <c r="I25" s="287"/>
      <c r="J25" s="287"/>
      <c r="K25" s="287"/>
      <c r="L25" s="287">
        <v>35000</v>
      </c>
      <c r="M25" s="287">
        <v>40600</v>
      </c>
      <c r="N25" s="287">
        <v>1800</v>
      </c>
      <c r="O25" s="287"/>
      <c r="P25" s="287"/>
      <c r="Q25" s="287">
        <v>9600</v>
      </c>
      <c r="R25" s="287"/>
      <c r="S25" s="287"/>
      <c r="T25" s="287"/>
      <c r="U25" s="287">
        <v>56200</v>
      </c>
      <c r="V25" s="287">
        <v>86800</v>
      </c>
      <c r="W25" s="287">
        <v>0</v>
      </c>
      <c r="X25" s="287"/>
      <c r="Y25" s="287">
        <v>0</v>
      </c>
      <c r="Z25" s="287">
        <v>7000</v>
      </c>
      <c r="AA25" s="287">
        <v>0</v>
      </c>
      <c r="AB25" s="287">
        <v>0</v>
      </c>
      <c r="AC25" s="287"/>
      <c r="AD25" s="287"/>
      <c r="AE25" s="288">
        <f t="shared" si="3"/>
        <v>288150</v>
      </c>
      <c r="AF25" s="289" t="s">
        <v>11978</v>
      </c>
      <c r="AG25" s="290"/>
      <c r="AH25" s="291">
        <v>8</v>
      </c>
      <c r="AI25" s="292"/>
      <c r="AJ25" s="293"/>
      <c r="AK25" s="293"/>
    </row>
    <row r="26" s="253" customFormat="1" ht="23.1" customHeight="1" spans="1:37">
      <c r="A26" s="294"/>
      <c r="B26" s="295" t="s">
        <v>11921</v>
      </c>
      <c r="C26" s="296"/>
      <c r="D26" s="297"/>
      <c r="E26" s="296"/>
      <c r="F26" s="298">
        <f>SUM(F11:F25)</f>
        <v>1430000</v>
      </c>
      <c r="G26" s="298"/>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299">
        <f>AE11+AE15+AE20+AE23+AE24+AE25</f>
        <v>5988405</v>
      </c>
      <c r="AF26" s="300"/>
      <c r="AG26" s="295"/>
      <c r="AH26" s="301"/>
      <c r="AJ26" s="302"/>
    </row>
    <row r="27" s="253" customFormat="1" ht="69.75" customHeight="1" spans="1:37">
      <c r="A27" s="303" t="s">
        <v>11993</v>
      </c>
      <c r="B27" s="304"/>
      <c r="C27" s="304"/>
      <c r="D27" s="304"/>
      <c r="E27" s="304"/>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c r="AF27" s="304"/>
      <c r="AG27" s="304"/>
      <c r="AH27" s="306"/>
      <c r="AJ27" s="302"/>
    </row>
    <row r="28" s="253" customFormat="1" ht="21.75" customHeight="1" spans="1:37">
      <c r="A28" s="307"/>
      <c r="B28" s="307"/>
      <c r="C28" s="308"/>
      <c r="D28" s="308"/>
      <c r="E28" s="309"/>
      <c r="F28" s="310"/>
      <c r="G28" s="310"/>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1"/>
      <c r="AF28" s="310"/>
      <c r="AG28" s="312"/>
      <c r="AH28" s="313"/>
      <c r="AI28" s="302"/>
      <c r="AJ28" s="302"/>
    </row>
    <row r="29" s="253" customFormat="1" ht="21" customHeight="1" spans="1:37">
      <c r="A29" s="313"/>
      <c r="B29" s="313"/>
      <c r="C29" s="313"/>
      <c r="D29" s="313"/>
      <c r="E29" s="313"/>
      <c r="F29" s="313"/>
      <c r="G29" s="313"/>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4"/>
      <c r="AF29" s="313"/>
      <c r="AG29" s="313"/>
      <c r="AH29" s="313"/>
      <c r="AI29" s="315"/>
      <c r="AJ29" s="315"/>
    </row>
    <row r="30" s="253" customFormat="1" ht="21" customHeight="1" spans="1:37">
      <c r="A30" s="316" t="s">
        <v>11994</v>
      </c>
      <c r="B30" s="317" t="s">
        <v>11995</v>
      </c>
      <c r="C30" s="317" t="s">
        <v>11996</v>
      </c>
      <c r="D30" s="317" t="s">
        <v>11134</v>
      </c>
      <c r="E30" s="316" t="s">
        <v>11133</v>
      </c>
      <c r="F30" s="316" t="s">
        <v>11997</v>
      </c>
      <c r="G30" s="316" t="s">
        <v>11998</v>
      </c>
      <c r="H30" s="318"/>
      <c r="I30" s="318"/>
      <c r="J30" s="318"/>
      <c r="K30" s="318"/>
      <c r="L30" s="318"/>
      <c r="M30" s="318"/>
      <c r="N30" s="318"/>
      <c r="O30" s="318"/>
      <c r="P30" s="318"/>
      <c r="Q30" s="318"/>
      <c r="R30" s="318"/>
      <c r="S30" s="318"/>
      <c r="T30" s="318"/>
      <c r="U30" s="318"/>
      <c r="V30" s="318"/>
      <c r="W30" s="318"/>
      <c r="X30" s="318"/>
      <c r="Y30" s="318"/>
      <c r="Z30" s="318"/>
      <c r="AA30" s="318"/>
      <c r="AB30" s="318"/>
      <c r="AC30" s="318"/>
      <c r="AD30" s="318"/>
      <c r="AE30" s="318"/>
      <c r="AF30" s="311"/>
      <c r="AH30" s="255"/>
      <c r="AI30" s="255"/>
      <c r="AJ30" s="315"/>
      <c r="AK30" s="315"/>
    </row>
    <row r="31" s="253" customFormat="1" ht="21" customHeight="1" spans="1:37">
      <c r="A31" s="319">
        <v>45981</v>
      </c>
      <c r="B31" s="320" t="s">
        <v>11999</v>
      </c>
      <c r="C31" s="320">
        <v>77673</v>
      </c>
      <c r="D31" s="321" t="s">
        <v>12000</v>
      </c>
      <c r="E31" s="320">
        <v>1000</v>
      </c>
      <c r="F31" s="319">
        <v>45636</v>
      </c>
      <c r="G31" s="319">
        <v>45700</v>
      </c>
      <c r="H31" s="322"/>
      <c r="I31" s="322"/>
      <c r="J31" s="322"/>
      <c r="K31" s="322"/>
      <c r="L31" s="322"/>
      <c r="M31" s="322"/>
      <c r="N31" s="322"/>
      <c r="O31" s="322"/>
      <c r="P31" s="322"/>
      <c r="Q31" s="322"/>
      <c r="R31" s="322"/>
      <c r="S31" s="322"/>
      <c r="T31" s="322"/>
      <c r="U31" s="322"/>
      <c r="V31" s="322"/>
      <c r="W31" s="322"/>
      <c r="X31" s="322"/>
      <c r="Y31" s="322"/>
      <c r="Z31" s="322"/>
      <c r="AA31" s="322"/>
      <c r="AB31" s="322"/>
      <c r="AC31" s="322"/>
      <c r="AD31" s="322"/>
      <c r="AE31" s="322"/>
      <c r="AF31" s="311"/>
      <c r="AH31" s="255"/>
      <c r="AI31" s="255"/>
      <c r="AJ31" s="315"/>
      <c r="AK31" s="315"/>
    </row>
    <row r="32" s="253" customFormat="1" ht="21" customHeight="1" spans="1:37">
      <c r="A32" s="319">
        <v>46015</v>
      </c>
      <c r="B32" s="320" t="s">
        <v>12001</v>
      </c>
      <c r="C32" s="320">
        <v>77673</v>
      </c>
      <c r="D32" s="321" t="s">
        <v>12000</v>
      </c>
      <c r="E32" s="320">
        <v>60000</v>
      </c>
      <c r="F32" s="319">
        <v>45667</v>
      </c>
      <c r="G32" s="319">
        <v>45700</v>
      </c>
      <c r="H32" s="322"/>
      <c r="I32" s="322"/>
      <c r="J32" s="322"/>
      <c r="K32" s="322"/>
      <c r="L32" s="322"/>
      <c r="M32" s="322"/>
      <c r="N32" s="322"/>
      <c r="O32" s="322"/>
      <c r="P32" s="322"/>
      <c r="Q32" s="322"/>
      <c r="R32" s="322"/>
      <c r="S32" s="322"/>
      <c r="T32" s="322"/>
      <c r="U32" s="322"/>
      <c r="V32" s="322"/>
      <c r="W32" s="322"/>
      <c r="X32" s="322"/>
      <c r="Y32" s="322"/>
      <c r="Z32" s="322"/>
      <c r="AA32" s="322"/>
      <c r="AB32" s="322"/>
      <c r="AC32" s="322"/>
      <c r="AD32" s="322"/>
      <c r="AE32" s="322"/>
      <c r="AF32" s="311"/>
      <c r="AH32" s="255"/>
      <c r="AI32" s="255"/>
      <c r="AJ32" s="315"/>
      <c r="AK32" s="315"/>
    </row>
    <row r="33" s="253" customFormat="1" ht="21" customHeight="1" spans="1:37">
      <c r="A33" s="319">
        <v>45677</v>
      </c>
      <c r="B33" s="320" t="s">
        <v>12002</v>
      </c>
      <c r="C33" s="320">
        <v>77673</v>
      </c>
      <c r="D33" s="321" t="s">
        <v>12000</v>
      </c>
      <c r="E33" s="320">
        <v>100000</v>
      </c>
      <c r="F33" s="319">
        <v>45708</v>
      </c>
      <c r="G33" s="319">
        <v>45720</v>
      </c>
      <c r="H33" s="322"/>
      <c r="I33" s="322"/>
      <c r="J33" s="322"/>
      <c r="K33" s="322"/>
      <c r="L33" s="322"/>
      <c r="M33" s="322"/>
      <c r="N33" s="322"/>
      <c r="O33" s="322"/>
      <c r="P33" s="322"/>
      <c r="Q33" s="322"/>
      <c r="R33" s="322"/>
      <c r="S33" s="322"/>
      <c r="T33" s="322"/>
      <c r="U33" s="322"/>
      <c r="V33" s="322"/>
      <c r="W33" s="322"/>
      <c r="X33" s="322"/>
      <c r="Y33" s="322"/>
      <c r="Z33" s="322"/>
      <c r="AA33" s="322"/>
      <c r="AB33" s="322"/>
      <c r="AC33" s="322"/>
      <c r="AD33" s="322"/>
      <c r="AE33" s="322"/>
      <c r="AF33" s="311"/>
      <c r="AH33" s="255"/>
      <c r="AI33" s="255"/>
      <c r="AJ33" s="315"/>
      <c r="AK33" s="315"/>
    </row>
    <row r="34" s="253" customFormat="1" ht="21" customHeight="1" spans="1:37">
      <c r="A34" s="319">
        <v>45714</v>
      </c>
      <c r="B34" s="320" t="s">
        <v>12003</v>
      </c>
      <c r="C34" s="320">
        <v>77673</v>
      </c>
      <c r="D34" s="321" t="s">
        <v>12000</v>
      </c>
      <c r="E34" s="320">
        <v>200000</v>
      </c>
      <c r="F34" s="319">
        <v>45729</v>
      </c>
      <c r="G34" s="319">
        <v>45738</v>
      </c>
      <c r="H34" s="322"/>
      <c r="I34" s="322"/>
      <c r="J34" s="322"/>
      <c r="K34" s="322"/>
      <c r="L34" s="322"/>
      <c r="M34" s="322"/>
      <c r="N34" s="322"/>
      <c r="O34" s="322"/>
      <c r="P34" s="322"/>
      <c r="Q34" s="322"/>
      <c r="R34" s="322"/>
      <c r="S34" s="322"/>
      <c r="T34" s="322"/>
      <c r="U34" s="322"/>
      <c r="V34" s="322"/>
      <c r="W34" s="322"/>
      <c r="X34" s="322"/>
      <c r="Y34" s="322"/>
      <c r="Z34" s="322"/>
      <c r="AA34" s="322"/>
      <c r="AB34" s="322"/>
      <c r="AC34" s="322"/>
      <c r="AD34" s="322"/>
      <c r="AE34" s="322"/>
      <c r="AF34" s="311"/>
      <c r="AH34" s="255"/>
      <c r="AI34" s="255"/>
      <c r="AJ34" s="315"/>
      <c r="AK34" s="315"/>
    </row>
    <row r="35" s="253" customFormat="1" ht="21" customHeight="1" spans="1:37">
      <c r="A35" s="319">
        <v>45743</v>
      </c>
      <c r="B35" s="320" t="s">
        <v>12004</v>
      </c>
      <c r="C35" s="320">
        <v>77673</v>
      </c>
      <c r="D35" s="321" t="s">
        <v>12000</v>
      </c>
      <c r="E35" s="320">
        <v>50000</v>
      </c>
      <c r="F35" s="319">
        <v>45761</v>
      </c>
      <c r="G35" s="319">
        <v>45786</v>
      </c>
      <c r="AF35" s="311"/>
      <c r="AH35" s="255"/>
      <c r="AI35" s="255"/>
      <c r="AJ35" s="315"/>
      <c r="AK35" s="315"/>
    </row>
    <row r="36" s="253" customFormat="1" ht="21" customHeight="1" spans="1:37">
      <c r="A36" s="319">
        <v>45791</v>
      </c>
      <c r="B36" s="320" t="s">
        <v>12005</v>
      </c>
      <c r="C36" s="320">
        <v>77673</v>
      </c>
      <c r="D36" s="321" t="s">
        <v>12000</v>
      </c>
      <c r="E36" s="320">
        <v>50000</v>
      </c>
      <c r="F36" s="319">
        <v>45809</v>
      </c>
      <c r="G36" s="319">
        <v>45806</v>
      </c>
      <c r="AF36" s="311"/>
      <c r="AH36" s="255"/>
      <c r="AI36" s="255"/>
      <c r="AJ36" s="315"/>
      <c r="AK36" s="315"/>
    </row>
    <row r="37" s="253" customFormat="1" ht="21" customHeight="1" spans="1:37">
      <c r="A37" s="319">
        <v>45804</v>
      </c>
      <c r="B37" s="320" t="s">
        <v>12006</v>
      </c>
      <c r="C37" s="320">
        <v>77673</v>
      </c>
      <c r="D37" s="321" t="s">
        <v>12000</v>
      </c>
      <c r="E37" s="320">
        <v>120000</v>
      </c>
      <c r="F37" s="319">
        <v>45822</v>
      </c>
      <c r="G37" s="319">
        <v>45820</v>
      </c>
      <c r="AF37" s="311"/>
      <c r="AH37" s="255"/>
      <c r="AI37" s="255"/>
      <c r="AJ37" s="315"/>
      <c r="AK37" s="315"/>
    </row>
    <row r="38" s="253" customFormat="1" ht="21" customHeight="1" spans="1:37">
      <c r="A38" s="319">
        <v>45828</v>
      </c>
      <c r="B38" s="320" t="s">
        <v>12007</v>
      </c>
      <c r="C38" s="320">
        <v>77673</v>
      </c>
      <c r="D38" s="321" t="s">
        <v>12000</v>
      </c>
      <c r="E38" s="320">
        <v>100000</v>
      </c>
      <c r="F38" s="319">
        <v>45846</v>
      </c>
      <c r="G38" s="319">
        <v>45847</v>
      </c>
      <c r="AF38" s="311"/>
      <c r="AH38" s="255"/>
      <c r="AI38" s="255"/>
      <c r="AJ38" s="315"/>
      <c r="AK38" s="315"/>
    </row>
    <row r="39" s="253" customFormat="1" ht="21" customHeight="1" spans="1:37">
      <c r="A39" s="319">
        <v>45838</v>
      </c>
      <c r="B39" s="320" t="s">
        <v>12008</v>
      </c>
      <c r="C39" s="320">
        <v>77673</v>
      </c>
      <c r="D39" s="321" t="s">
        <v>12000</v>
      </c>
      <c r="E39" s="320">
        <v>50000</v>
      </c>
      <c r="F39" s="319">
        <v>45856</v>
      </c>
      <c r="G39" s="319">
        <v>45869</v>
      </c>
      <c r="AF39" s="311"/>
      <c r="AH39" s="255"/>
      <c r="AI39" s="255"/>
      <c r="AJ39" s="315"/>
      <c r="AK39" s="315"/>
    </row>
    <row r="40" s="253" customFormat="1" ht="21" customHeight="1" spans="1:37">
      <c r="A40" s="319">
        <v>45866</v>
      </c>
      <c r="B40" s="320" t="s">
        <v>12009</v>
      </c>
      <c r="C40" s="320">
        <v>77673</v>
      </c>
      <c r="D40" s="321" t="s">
        <v>12000</v>
      </c>
      <c r="E40" s="320">
        <v>30000</v>
      </c>
      <c r="F40" s="319">
        <v>45884</v>
      </c>
      <c r="G40" s="319">
        <v>45884</v>
      </c>
      <c r="AF40" s="311"/>
      <c r="AH40" s="255"/>
      <c r="AI40" s="255"/>
      <c r="AJ40" s="315"/>
      <c r="AK40" s="315"/>
    </row>
    <row r="41" s="253" customFormat="1" ht="21" customHeight="1" spans="1:37">
      <c r="A41" s="319">
        <v>45870</v>
      </c>
      <c r="B41" s="320" t="s">
        <v>12010</v>
      </c>
      <c r="C41" s="320">
        <v>77673</v>
      </c>
      <c r="D41" s="321" t="s">
        <v>12000</v>
      </c>
      <c r="E41" s="320">
        <v>80000</v>
      </c>
      <c r="F41" s="319">
        <v>45888</v>
      </c>
      <c r="G41" s="319">
        <v>45884</v>
      </c>
      <c r="AF41" s="311"/>
      <c r="AH41" s="255"/>
      <c r="AI41" s="255"/>
      <c r="AJ41" s="315"/>
      <c r="AK41" s="315"/>
    </row>
    <row r="42" s="253" customFormat="1" ht="21" customHeight="1" spans="1:37">
      <c r="A42" s="319">
        <v>45888</v>
      </c>
      <c r="B42" s="320" t="s">
        <v>12011</v>
      </c>
      <c r="C42" s="320">
        <v>77673</v>
      </c>
      <c r="D42" s="321" t="s">
        <v>12000</v>
      </c>
      <c r="E42" s="320">
        <v>100000</v>
      </c>
      <c r="F42" s="319">
        <v>45906</v>
      </c>
      <c r="G42" s="319">
        <v>45896</v>
      </c>
      <c r="AF42" s="311"/>
      <c r="AH42" s="255"/>
      <c r="AI42" s="255"/>
      <c r="AJ42" s="315"/>
      <c r="AK42" s="315"/>
    </row>
    <row r="43" s="253" customFormat="1" ht="21" customHeight="1" spans="1:37">
      <c r="A43" s="319">
        <v>45895</v>
      </c>
      <c r="B43" s="320" t="s">
        <v>12012</v>
      </c>
      <c r="C43" s="320">
        <v>77673</v>
      </c>
      <c r="D43" s="321" t="s">
        <v>12000</v>
      </c>
      <c r="E43" s="320">
        <v>60000</v>
      </c>
      <c r="F43" s="319">
        <v>45913</v>
      </c>
      <c r="G43" s="319">
        <v>45910</v>
      </c>
      <c r="AF43" s="311"/>
      <c r="AH43" s="255"/>
      <c r="AI43" s="255"/>
      <c r="AJ43" s="315"/>
      <c r="AK43" s="315"/>
    </row>
    <row r="44" s="253" customFormat="1" ht="21" customHeight="1" spans="1:37">
      <c r="A44" s="319">
        <v>45904</v>
      </c>
      <c r="B44" s="320" t="s">
        <v>12013</v>
      </c>
      <c r="C44" s="320">
        <v>77673</v>
      </c>
      <c r="D44" s="321" t="s">
        <v>12000</v>
      </c>
      <c r="E44" s="320">
        <v>250000</v>
      </c>
      <c r="F44" s="319">
        <v>45922</v>
      </c>
      <c r="G44" s="319">
        <v>45918</v>
      </c>
      <c r="AF44" s="311"/>
      <c r="AH44" s="255"/>
      <c r="AI44" s="255"/>
      <c r="AJ44" s="315"/>
      <c r="AK44" s="315"/>
    </row>
    <row r="45" s="253" customFormat="1" ht="21" customHeight="1" spans="1:37">
      <c r="A45" s="319">
        <v>45925</v>
      </c>
      <c r="B45" s="320" t="s">
        <v>12014</v>
      </c>
      <c r="C45" s="320">
        <v>77673</v>
      </c>
      <c r="D45" s="321" t="s">
        <v>12000</v>
      </c>
      <c r="E45" s="320">
        <v>180000</v>
      </c>
      <c r="F45" s="319">
        <v>45943</v>
      </c>
      <c r="G45" s="319"/>
      <c r="AF45" s="311"/>
      <c r="AH45" s="255"/>
      <c r="AI45" s="255"/>
      <c r="AJ45" s="315"/>
      <c r="AK45" s="315"/>
    </row>
    <row r="46" s="253" customFormat="1" ht="21" customHeight="1" spans="1:37">
      <c r="A46" s="319">
        <v>45950</v>
      </c>
      <c r="B46" s="320" t="s">
        <v>12015</v>
      </c>
      <c r="C46" s="320">
        <v>77673</v>
      </c>
      <c r="D46" s="321" t="s">
        <v>12000</v>
      </c>
      <c r="E46" s="320">
        <v>350000</v>
      </c>
      <c r="F46" s="319">
        <v>45968</v>
      </c>
      <c r="G46" s="319"/>
      <c r="AF46" s="311"/>
      <c r="AH46" s="255"/>
      <c r="AI46" s="255"/>
      <c r="AJ46" s="315"/>
      <c r="AK46" s="315"/>
    </row>
    <row r="47" s="253" customFormat="1" ht="21" customHeight="1" spans="1:37">
      <c r="A47" s="319">
        <v>45987</v>
      </c>
      <c r="B47" s="320" t="s">
        <v>12016</v>
      </c>
      <c r="C47" s="320">
        <v>77673</v>
      </c>
      <c r="D47" s="321" t="s">
        <v>12000</v>
      </c>
      <c r="E47" s="320">
        <v>600000</v>
      </c>
      <c r="F47" s="319"/>
      <c r="G47" s="319"/>
      <c r="AF47" s="311"/>
      <c r="AH47" s="255"/>
      <c r="AI47" s="255"/>
      <c r="AJ47" s="315"/>
      <c r="AK47" s="315"/>
    </row>
    <row r="48" s="253" customFormat="1" ht="21" customHeight="1" spans="1:37">
      <c r="A48" s="319">
        <v>46016</v>
      </c>
      <c r="B48" s="320" t="s">
        <v>12017</v>
      </c>
      <c r="C48" s="320">
        <v>77673</v>
      </c>
      <c r="D48" s="321" t="s">
        <v>12000</v>
      </c>
      <c r="E48" s="320">
        <v>500000</v>
      </c>
      <c r="F48" s="319"/>
      <c r="G48" s="319"/>
      <c r="AF48" s="311"/>
      <c r="AH48" s="255"/>
      <c r="AI48" s="255"/>
      <c r="AJ48" s="315"/>
      <c r="AK48" s="315"/>
    </row>
    <row r="49" s="253" customFormat="1" ht="21" customHeight="1" spans="1:37">
      <c r="A49" s="319">
        <v>46031</v>
      </c>
      <c r="B49" s="320" t="s">
        <v>12018</v>
      </c>
      <c r="C49" s="320">
        <v>77673</v>
      </c>
      <c r="D49" s="321" t="s">
        <v>12000</v>
      </c>
      <c r="E49" s="320">
        <v>500000</v>
      </c>
      <c r="F49" s="319"/>
      <c r="G49" s="319"/>
      <c r="AF49" s="311"/>
      <c r="AH49" s="255"/>
      <c r="AI49" s="255"/>
      <c r="AJ49" s="315"/>
      <c r="AK49" s="315"/>
    </row>
    <row r="50" s="253" customFormat="1" ht="21" customHeight="1" spans="1:37">
      <c r="A50" s="319">
        <v>46059</v>
      </c>
      <c r="B50" s="320" t="s">
        <v>12019</v>
      </c>
      <c r="C50" s="320">
        <v>77673</v>
      </c>
      <c r="D50" s="321" t="s">
        <v>12000</v>
      </c>
      <c r="E50" s="320">
        <v>300000</v>
      </c>
      <c r="F50" s="319"/>
      <c r="G50" s="319"/>
      <c r="AF50" s="311"/>
      <c r="AH50" s="255"/>
      <c r="AI50" s="255"/>
      <c r="AJ50" s="315"/>
      <c r="AK50" s="315"/>
    </row>
    <row r="51" s="253" customFormat="1" ht="21" customHeight="1" spans="1:37">
      <c r="A51" s="319">
        <v>46100</v>
      </c>
      <c r="B51" s="323" t="s">
        <v>12020</v>
      </c>
      <c r="C51" s="320">
        <v>77673</v>
      </c>
      <c r="D51" s="321" t="s">
        <v>12000</v>
      </c>
      <c r="E51" s="320">
        <v>150000</v>
      </c>
      <c r="F51" s="319"/>
      <c r="G51" s="319"/>
      <c r="AF51" s="311"/>
      <c r="AH51" s="255"/>
      <c r="AI51" s="255"/>
      <c r="AJ51" s="315"/>
      <c r="AK51" s="315"/>
    </row>
    <row r="52" s="253" customFormat="1" ht="21" customHeight="1" spans="1:37">
      <c r="A52" s="319">
        <v>46128</v>
      </c>
      <c r="B52" s="320" t="s">
        <v>12021</v>
      </c>
      <c r="C52" s="320">
        <v>77673</v>
      </c>
      <c r="D52" s="321" t="s">
        <v>12000</v>
      </c>
      <c r="E52" s="320">
        <v>300000</v>
      </c>
      <c r="F52" s="319"/>
      <c r="G52" s="319"/>
      <c r="AF52" s="311"/>
      <c r="AH52" s="255"/>
      <c r="AI52" s="255"/>
      <c r="AJ52" s="315"/>
      <c r="AK52" s="315"/>
    </row>
    <row r="53" s="253" customFormat="1" ht="21" customHeight="1" spans="1:37">
      <c r="A53" s="319">
        <v>46158</v>
      </c>
      <c r="B53" s="320" t="s">
        <v>12022</v>
      </c>
      <c r="C53" s="320">
        <v>77673</v>
      </c>
      <c r="D53" s="321" t="s">
        <v>12000</v>
      </c>
      <c r="E53" s="320">
        <v>200000</v>
      </c>
      <c r="F53" s="319"/>
      <c r="G53" s="319"/>
      <c r="AF53" s="311"/>
      <c r="AH53" s="255"/>
      <c r="AI53" s="255"/>
      <c r="AJ53" s="315"/>
      <c r="AK53" s="315"/>
    </row>
    <row r="54" s="253" customFormat="1" ht="21" customHeight="1" spans="1:37">
      <c r="A54" s="319">
        <v>46170</v>
      </c>
      <c r="B54" s="320" t="s">
        <v>12023</v>
      </c>
      <c r="C54" s="320">
        <v>77673</v>
      </c>
      <c r="D54" s="321" t="s">
        <v>12000</v>
      </c>
      <c r="E54" s="320">
        <v>200000</v>
      </c>
      <c r="F54" s="319"/>
      <c r="G54" s="319"/>
      <c r="AF54" s="311"/>
      <c r="AH54" s="255"/>
      <c r="AI54" s="255"/>
      <c r="AJ54" s="315"/>
      <c r="AK54" s="315"/>
    </row>
    <row r="55" s="253" customFormat="1" ht="21" customHeight="1" spans="1:37">
      <c r="A55" s="319">
        <v>46188</v>
      </c>
      <c r="B55" s="320" t="s">
        <v>12024</v>
      </c>
      <c r="C55" s="320">
        <v>77673</v>
      </c>
      <c r="D55" s="321" t="s">
        <v>12025</v>
      </c>
      <c r="E55" s="320">
        <v>150000</v>
      </c>
      <c r="F55" s="319"/>
      <c r="G55" s="319"/>
      <c r="AF55" s="311"/>
      <c r="AH55" s="255"/>
      <c r="AI55" s="255"/>
      <c r="AJ55" s="315"/>
      <c r="AK55" s="315"/>
    </row>
    <row r="56" s="253" customFormat="1" ht="21" customHeight="1" spans="1:37">
      <c r="A56" s="319">
        <v>46204</v>
      </c>
      <c r="B56" s="320" t="s">
        <v>12026</v>
      </c>
      <c r="C56" s="320">
        <v>77673</v>
      </c>
      <c r="D56" s="321" t="s">
        <v>12025</v>
      </c>
      <c r="E56" s="320">
        <v>1200000</v>
      </c>
      <c r="F56" s="319"/>
      <c r="G56" s="319"/>
      <c r="AF56" s="311"/>
      <c r="AH56" s="255"/>
      <c r="AI56" s="255"/>
      <c r="AJ56" s="315"/>
      <c r="AK56" s="315"/>
    </row>
    <row r="57" s="253" customFormat="1" ht="21" customHeight="1" spans="1:37">
      <c r="A57" s="324">
        <v>46231</v>
      </c>
      <c r="B57" s="325" t="s">
        <v>12027</v>
      </c>
      <c r="C57" s="325">
        <v>77673</v>
      </c>
      <c r="D57" s="326" t="s">
        <v>12025</v>
      </c>
      <c r="E57" s="325">
        <v>1612000</v>
      </c>
      <c r="F57" s="324"/>
      <c r="G57" s="319"/>
      <c r="AF57" s="311"/>
      <c r="AH57" s="255"/>
      <c r="AI57" s="255"/>
      <c r="AJ57" s="315"/>
      <c r="AK57" s="315"/>
    </row>
    <row r="58" s="253" customFormat="1" ht="21" customHeight="1" spans="1:37">
      <c r="A58" s="324"/>
      <c r="B58" s="325"/>
      <c r="C58" s="325"/>
      <c r="D58" s="326"/>
      <c r="E58" s="325"/>
      <c r="F58" s="324"/>
      <c r="G58" s="319"/>
      <c r="AF58" s="311"/>
      <c r="AH58" s="255"/>
      <c r="AI58" s="255"/>
      <c r="AJ58" s="315"/>
      <c r="AK58" s="315"/>
    </row>
    <row r="59" s="253" customFormat="1" ht="21" customHeight="1" spans="1:37">
      <c r="A59" s="319"/>
      <c r="B59" s="320"/>
      <c r="C59" s="320"/>
      <c r="D59" s="321"/>
      <c r="E59" s="320"/>
      <c r="F59" s="320"/>
      <c r="G59" s="320"/>
      <c r="AF59" s="311"/>
      <c r="AH59" s="255"/>
      <c r="AI59" s="255"/>
      <c r="AJ59" s="315"/>
      <c r="AK59" s="315"/>
    </row>
    <row r="60" s="253" customFormat="1" ht="21" customHeight="1" spans="1:37">
      <c r="A60" s="320"/>
      <c r="B60" s="320"/>
      <c r="C60" s="320"/>
      <c r="D60" s="321" t="s">
        <v>11934</v>
      </c>
      <c r="E60" s="320">
        <f>SUM(E31:E59)</f>
        <v>7493000</v>
      </c>
      <c r="F60" s="320"/>
      <c r="G60" s="320"/>
      <c r="AF60" s="311"/>
      <c r="AH60" s="255"/>
      <c r="AI60" s="255"/>
      <c r="AJ60" s="315"/>
      <c r="AK60" s="315"/>
    </row>
    <row r="61" s="253" customFormat="1" ht="21" customHeight="1" spans="1:37">
      <c r="A61" s="320"/>
      <c r="B61" s="320"/>
      <c r="C61" s="320"/>
      <c r="D61" s="321" t="s">
        <v>12028</v>
      </c>
      <c r="E61" s="320">
        <f>E60-SUM(AE9)</f>
        <v>3254162</v>
      </c>
      <c r="F61" s="320"/>
      <c r="G61" s="320"/>
      <c r="AF61" s="311"/>
      <c r="AH61" s="255"/>
      <c r="AI61" s="255"/>
      <c r="AJ61" s="315"/>
      <c r="AK61" s="315"/>
    </row>
  </sheetData>
  <sheetProtection formatCells="0" formatColumns="0" formatRows="0" insertRows="0" insertColumns="0" insertHyperlinks="0" deleteColumns="0" deleteRows="0" sort="0" autoFilter="0" pivotTables="0"/>
  <autoFilter xmlns:etc="http://www.wps.cn/officeDocument/2017/etCustomData" ref="A1:AK27" etc:filterBottomFollowUsedRange="0">
    <extLst/>
  </autoFilter>
  <mergeCells count="18">
    <mergeCell ref="D1:AG1"/>
    <mergeCell ref="AF11:AG11"/>
    <mergeCell ref="AF12:AG12"/>
    <mergeCell ref="AF13:AG13"/>
    <mergeCell ref="AF14:AG14"/>
    <mergeCell ref="AF15:AG15"/>
    <mergeCell ref="AF16:AG16"/>
    <mergeCell ref="AF17:AG17"/>
    <mergeCell ref="AF18:AG18"/>
    <mergeCell ref="AF19:AG19"/>
    <mergeCell ref="AF20:AG20"/>
    <mergeCell ref="AF21:AG21"/>
    <mergeCell ref="AF22:AG22"/>
    <mergeCell ref="AF23:AG23"/>
    <mergeCell ref="AF24:AG24"/>
    <mergeCell ref="AF25:AG25"/>
    <mergeCell ref="A27:AH27"/>
    <mergeCell ref="A11:A25"/>
  </mergeCells>
  <pageMargins left="0.75" right="0.75" top="1" bottom="1" header="0.5" footer="0.5"/>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H134"/>
  <sheetViews>
    <sheetView zoomScale="80" zoomScaleNormal="80" workbookViewId="0">
      <pane xSplit="6" ySplit="1" topLeftCell="K148" activePane="bottomRight" state="frozen"/>
      <selection/>
      <selection pane="topRight"/>
      <selection pane="bottomLeft"/>
      <selection pane="bottomRight" activeCell="F148" sqref="F148"/>
    </sheetView>
  </sheetViews>
  <sheetFormatPr defaultColWidth="9" defaultRowHeight="13.5"/>
  <cols>
    <col min="1" max="1" width="11.8916666666667" customWidth="1"/>
    <col min="4" max="4" width="17.4416666666667" customWidth="1"/>
    <col min="5" max="5" width="13.1333333333333" customWidth="1"/>
    <col min="6" max="6" width="16.8916666666667" customWidth="1"/>
    <col min="7" max="7" width="17.5" customWidth="1"/>
    <col min="13" max="13" width="13.7583333333333" customWidth="1"/>
    <col min="14" max="14" width="12" customWidth="1"/>
    <col min="67" max="67" width="10.025"/>
  </cols>
  <sheetData>
    <row r="1" s="2" customFormat="1" ht="38" customHeight="1" spans="1:99">
      <c r="A1" s="17" t="s">
        <v>0</v>
      </c>
      <c r="B1" s="18" t="s">
        <v>1</v>
      </c>
      <c r="C1" s="19" t="s">
        <v>4</v>
      </c>
      <c r="D1" s="18" t="s">
        <v>3</v>
      </c>
      <c r="E1" s="18" t="s">
        <v>24</v>
      </c>
      <c r="F1" s="18" t="s">
        <v>7</v>
      </c>
      <c r="G1" s="18" t="s">
        <v>5</v>
      </c>
      <c r="H1" s="18" t="s">
        <v>6</v>
      </c>
      <c r="I1" s="18" t="s">
        <v>8</v>
      </c>
      <c r="J1" s="18" t="s">
        <v>9</v>
      </c>
      <c r="K1" s="18" t="s">
        <v>10</v>
      </c>
      <c r="L1" s="18" t="s">
        <v>11</v>
      </c>
      <c r="M1" s="20" t="s">
        <v>25</v>
      </c>
      <c r="N1" s="21" t="s">
        <v>26</v>
      </c>
      <c r="O1" s="22" t="s">
        <v>12029</v>
      </c>
      <c r="P1" s="23" t="s">
        <v>14</v>
      </c>
      <c r="Q1" s="22" t="s">
        <v>12030</v>
      </c>
      <c r="R1" s="18" t="s">
        <v>16</v>
      </c>
      <c r="S1" s="24" t="s">
        <v>28</v>
      </c>
      <c r="T1" s="18" t="s">
        <v>2</v>
      </c>
      <c r="U1" s="23" t="s">
        <v>15</v>
      </c>
      <c r="V1" s="23" t="s">
        <v>32</v>
      </c>
      <c r="W1" s="25" t="s">
        <v>17</v>
      </c>
      <c r="X1" s="25" t="s">
        <v>19</v>
      </c>
      <c r="Y1" s="26" t="s">
        <v>34</v>
      </c>
      <c r="Z1" s="26" t="s">
        <v>35</v>
      </c>
      <c r="AA1" s="26" t="s">
        <v>37</v>
      </c>
      <c r="AB1" s="26" t="s">
        <v>38</v>
      </c>
      <c r="AC1" s="25" t="s">
        <v>12031</v>
      </c>
      <c r="AD1" s="27" t="s">
        <v>12032</v>
      </c>
      <c r="AE1" s="27" t="s">
        <v>12033</v>
      </c>
      <c r="AF1" s="27" t="s">
        <v>12034</v>
      </c>
      <c r="AG1" s="27" t="s">
        <v>12035</v>
      </c>
      <c r="AH1" s="27" t="s">
        <v>12036</v>
      </c>
      <c r="AI1" s="27" t="s">
        <v>12037</v>
      </c>
      <c r="AJ1" s="27" t="s">
        <v>12038</v>
      </c>
      <c r="AK1" s="27" t="s">
        <v>12039</v>
      </c>
      <c r="AL1" s="28" t="s">
        <v>12040</v>
      </c>
      <c r="AM1" s="27" t="s">
        <v>12041</v>
      </c>
      <c r="AN1" s="27" t="s">
        <v>12042</v>
      </c>
      <c r="AO1" s="27" t="s">
        <v>12043</v>
      </c>
      <c r="AP1" s="27" t="s">
        <v>12044</v>
      </c>
      <c r="AQ1" s="27" t="s">
        <v>12045</v>
      </c>
      <c r="AR1" s="27" t="s">
        <v>12046</v>
      </c>
      <c r="AS1" s="27" t="s">
        <v>12047</v>
      </c>
      <c r="AT1" s="29" t="s">
        <v>12048</v>
      </c>
      <c r="AU1" s="27" t="s">
        <v>12049</v>
      </c>
      <c r="AV1" s="27" t="s">
        <v>12050</v>
      </c>
      <c r="AW1" s="27" t="s">
        <v>12051</v>
      </c>
      <c r="AX1" s="27" t="s">
        <v>12052</v>
      </c>
      <c r="AY1" s="30" t="s">
        <v>23</v>
      </c>
    </row>
    <row r="2" s="3" customFormat="1" ht="31" customHeight="1" spans="1:99">
      <c r="A2" s="31">
        <v>45756</v>
      </c>
      <c r="B2" s="32" t="s">
        <v>12053</v>
      </c>
      <c r="C2" s="33" t="s">
        <v>12054</v>
      </c>
      <c r="D2" s="3">
        <v>4500163069</v>
      </c>
      <c r="E2" s="33"/>
      <c r="F2" s="3" t="s">
        <v>12055</v>
      </c>
      <c r="G2" s="34" t="s">
        <v>6043</v>
      </c>
      <c r="H2" s="34" t="s">
        <v>6110</v>
      </c>
      <c r="I2" s="34">
        <v>500</v>
      </c>
      <c r="J2" s="34">
        <v>0</v>
      </c>
      <c r="K2" s="34">
        <v>50</v>
      </c>
      <c r="L2" s="35">
        <f t="shared" ref="L2:L59" si="0">I2/K2</f>
        <v>10</v>
      </c>
      <c r="M2" s="36">
        <v>45807</v>
      </c>
      <c r="N2" s="36">
        <v>45803</v>
      </c>
      <c r="O2" s="37"/>
      <c r="P2" s="37"/>
      <c r="Q2" s="34"/>
      <c r="R2" s="38">
        <v>45756</v>
      </c>
      <c r="S2" s="38" t="s">
        <v>70</v>
      </c>
      <c r="T2" s="38" t="s">
        <v>70</v>
      </c>
      <c r="U2" s="38"/>
      <c r="V2" s="39" t="s">
        <v>12056</v>
      </c>
      <c r="W2" s="40" t="s">
        <v>217</v>
      </c>
      <c r="X2" s="40">
        <v>0.95</v>
      </c>
      <c r="Y2" s="41">
        <f t="shared" ref="Y2:Y7" si="1">X2*I2</f>
        <v>475</v>
      </c>
      <c r="Z2" s="34"/>
      <c r="AA2" s="34" t="s">
        <v>6043</v>
      </c>
      <c r="AB2" s="42"/>
      <c r="AC2" s="43"/>
      <c r="AD2" s="43"/>
      <c r="AE2" s="44"/>
      <c r="AF2" s="45"/>
      <c r="AG2" s="46"/>
      <c r="AH2" s="45"/>
      <c r="AI2" s="45"/>
      <c r="AJ2" s="34"/>
      <c r="AK2" s="4">
        <f>I2</f>
        <v>500</v>
      </c>
      <c r="AO2" s="3">
        <f>I2</f>
        <v>500</v>
      </c>
      <c r="AP2" s="4"/>
      <c r="AQ2" s="4">
        <f>I2</f>
        <v>500</v>
      </c>
      <c r="AR2" s="47"/>
      <c r="BB2" s="3">
        <f>I2/25</f>
        <v>20</v>
      </c>
      <c r="BX2" s="48"/>
      <c r="BY2" s="48"/>
      <c r="BZ2" s="48"/>
      <c r="CA2" s="48"/>
      <c r="CB2" s="48"/>
      <c r="CC2" s="48"/>
      <c r="CG2" s="48"/>
      <c r="CH2" s="48"/>
      <c r="CI2" s="48"/>
      <c r="CJ2" s="48"/>
      <c r="CK2" s="48"/>
      <c r="CL2" s="48"/>
    </row>
    <row r="3" s="4" customFormat="1" ht="31" customHeight="1" spans="1:99">
      <c r="A3" s="31">
        <v>45707</v>
      </c>
      <c r="B3" s="32" t="s">
        <v>153</v>
      </c>
      <c r="C3" s="33" t="s">
        <v>154</v>
      </c>
      <c r="D3" s="3">
        <v>4500157858</v>
      </c>
      <c r="E3" s="34">
        <v>5200006149</v>
      </c>
      <c r="F3" s="3" t="s">
        <v>12057</v>
      </c>
      <c r="G3" s="49" t="s">
        <v>156</v>
      </c>
      <c r="H3" s="33" t="s">
        <v>102</v>
      </c>
      <c r="I3" s="33">
        <v>1200</v>
      </c>
      <c r="J3" s="33">
        <v>0</v>
      </c>
      <c r="K3" s="33">
        <v>4</v>
      </c>
      <c r="L3" s="50">
        <f t="shared" si="0"/>
        <v>300</v>
      </c>
      <c r="M3" s="36">
        <v>45803</v>
      </c>
      <c r="N3" s="36">
        <v>45799</v>
      </c>
      <c r="O3" s="51"/>
      <c r="P3" s="51"/>
      <c r="Q3" s="33"/>
      <c r="R3" s="52">
        <v>45707</v>
      </c>
      <c r="S3" s="52" t="s">
        <v>70</v>
      </c>
      <c r="T3" s="52">
        <v>45737</v>
      </c>
      <c r="U3" s="52"/>
      <c r="V3" s="53" t="s">
        <v>12058</v>
      </c>
      <c r="W3" s="54" t="s">
        <v>6155</v>
      </c>
      <c r="X3" s="40">
        <v>5.03</v>
      </c>
      <c r="Y3" s="55">
        <f t="shared" si="1"/>
        <v>6036</v>
      </c>
      <c r="Z3" s="33"/>
      <c r="AA3" s="54" t="s">
        <v>156</v>
      </c>
      <c r="AB3" s="33"/>
      <c r="AC3" s="33"/>
      <c r="AD3" s="33"/>
      <c r="AE3" s="56"/>
      <c r="AF3" s="56">
        <f>AE3-I3</f>
        <v>-1200</v>
      </c>
      <c r="AG3" s="57"/>
      <c r="AH3" s="33"/>
      <c r="AI3" s="33"/>
      <c r="AJ3" s="4">
        <f>I3</f>
        <v>1200</v>
      </c>
      <c r="AO3" s="4">
        <f>I3</f>
        <v>1200</v>
      </c>
      <c r="AP3" s="4">
        <f>I3</f>
        <v>1200</v>
      </c>
      <c r="AR3" s="4">
        <f>I3</f>
        <v>1200</v>
      </c>
      <c r="AT3" s="4">
        <f>I3/4</f>
        <v>300</v>
      </c>
    </row>
    <row r="4" s="3" customFormat="1" ht="31" customHeight="1" spans="1:99">
      <c r="A4" s="31">
        <v>45775</v>
      </c>
      <c r="B4" s="32" t="s">
        <v>6755</v>
      </c>
      <c r="C4" s="33" t="s">
        <v>399</v>
      </c>
      <c r="D4" s="3">
        <v>4500165161</v>
      </c>
      <c r="E4" s="33" t="s">
        <v>12059</v>
      </c>
      <c r="F4" s="3" t="s">
        <v>12060</v>
      </c>
      <c r="G4" s="34" t="s">
        <v>6360</v>
      </c>
      <c r="H4" s="34"/>
      <c r="I4" s="34">
        <v>4002</v>
      </c>
      <c r="J4" s="34">
        <v>0</v>
      </c>
      <c r="K4" s="34">
        <v>6</v>
      </c>
      <c r="L4" s="35">
        <f t="shared" si="0"/>
        <v>667</v>
      </c>
      <c r="M4" s="36">
        <v>45813</v>
      </c>
      <c r="N4" s="36">
        <v>45810</v>
      </c>
      <c r="O4" s="37"/>
      <c r="P4" s="37"/>
      <c r="Q4" s="34"/>
      <c r="R4" s="38">
        <v>45785</v>
      </c>
      <c r="S4" s="38" t="s">
        <v>70</v>
      </c>
      <c r="T4" s="38" t="s">
        <v>6342</v>
      </c>
      <c r="U4" s="38"/>
      <c r="V4" s="40" t="s">
        <v>12061</v>
      </c>
      <c r="W4" s="40" t="s">
        <v>2037</v>
      </c>
      <c r="X4" s="40">
        <v>8.1</v>
      </c>
      <c r="Y4" s="41">
        <f t="shared" si="1"/>
        <v>32416.2</v>
      </c>
      <c r="Z4" s="34"/>
      <c r="AA4" s="34"/>
      <c r="AB4" s="42"/>
      <c r="AC4" s="42"/>
      <c r="AD4" s="34"/>
      <c r="AE4" s="58"/>
      <c r="AF4" s="34">
        <f>AE4-I4</f>
        <v>-4002</v>
      </c>
      <c r="AG4" s="59"/>
      <c r="AH4" s="34"/>
      <c r="AI4" s="34"/>
      <c r="AJ4" s="34"/>
      <c r="AK4" s="4">
        <f>I4</f>
        <v>4002</v>
      </c>
      <c r="AO4" s="3">
        <f>I4</f>
        <v>4002</v>
      </c>
      <c r="AQ4" s="3">
        <f>I4</f>
        <v>4002</v>
      </c>
      <c r="AT4" s="47">
        <f>I4/24*2</f>
        <v>333.5</v>
      </c>
      <c r="AU4" s="47"/>
      <c r="BO4" s="3">
        <f>I4</f>
        <v>4002</v>
      </c>
      <c r="CG4" s="48"/>
      <c r="CH4" s="48"/>
      <c r="CI4" s="48"/>
      <c r="CJ4" s="48"/>
      <c r="CK4" s="48"/>
      <c r="CL4" s="48"/>
      <c r="CP4" s="48"/>
      <c r="CQ4" s="48"/>
      <c r="CR4" s="48"/>
      <c r="CS4" s="48"/>
      <c r="CT4" s="48"/>
      <c r="CU4" s="48"/>
    </row>
    <row r="5" s="4" customFormat="1" ht="31" customHeight="1" spans="1:99">
      <c r="A5" s="31">
        <v>45775</v>
      </c>
      <c r="B5" s="32" t="s">
        <v>6755</v>
      </c>
      <c r="C5" s="33" t="s">
        <v>399</v>
      </c>
      <c r="D5" s="4">
        <v>4500165161</v>
      </c>
      <c r="E5" s="33">
        <v>5200006637</v>
      </c>
      <c r="F5" s="4" t="s">
        <v>12060</v>
      </c>
      <c r="G5" s="49" t="s">
        <v>476</v>
      </c>
      <c r="H5" s="33" t="s">
        <v>477</v>
      </c>
      <c r="I5" s="33">
        <v>4002</v>
      </c>
      <c r="J5" s="33">
        <v>0</v>
      </c>
      <c r="K5" s="33">
        <v>6</v>
      </c>
      <c r="L5" s="50">
        <f t="shared" si="0"/>
        <v>667</v>
      </c>
      <c r="M5" s="54">
        <v>45813</v>
      </c>
      <c r="N5" s="54">
        <v>45810</v>
      </c>
      <c r="O5" s="51"/>
      <c r="P5" s="51"/>
      <c r="Q5" s="33"/>
      <c r="R5" s="52">
        <v>45785</v>
      </c>
      <c r="S5" s="52" t="s">
        <v>70</v>
      </c>
      <c r="T5" s="52" t="s">
        <v>753</v>
      </c>
      <c r="U5" s="52"/>
      <c r="V5" s="32" t="s">
        <v>12062</v>
      </c>
      <c r="W5" s="54" t="s">
        <v>2037</v>
      </c>
      <c r="X5" s="60">
        <v>8.1</v>
      </c>
      <c r="Y5" s="55">
        <f t="shared" si="1"/>
        <v>32416.2</v>
      </c>
      <c r="Z5" s="33"/>
      <c r="AA5" s="61" t="s">
        <v>12063</v>
      </c>
      <c r="AB5" s="33"/>
      <c r="AC5" s="33"/>
      <c r="AD5" s="33"/>
      <c r="AE5" s="56"/>
      <c r="AF5" s="56">
        <f>AE5-I5</f>
        <v>-4002</v>
      </c>
      <c r="AG5" s="57"/>
      <c r="AH5" s="33"/>
      <c r="AI5" s="33"/>
      <c r="AJ5" s="4">
        <f>I5</f>
        <v>4002</v>
      </c>
      <c r="AO5" s="4">
        <f>I5</f>
        <v>4002</v>
      </c>
      <c r="AP5" s="4">
        <f>I5</f>
        <v>4002</v>
      </c>
      <c r="AR5" s="4">
        <f>I5</f>
        <v>4002</v>
      </c>
      <c r="BA5" s="62">
        <f>I5</f>
        <v>4002</v>
      </c>
    </row>
    <row r="6" s="5" customFormat="1" ht="31" customHeight="1" spans="1:99">
      <c r="A6" s="63">
        <v>45796</v>
      </c>
      <c r="B6" s="64" t="s">
        <v>12064</v>
      </c>
      <c r="C6" s="65" t="s">
        <v>98</v>
      </c>
      <c r="D6" s="5">
        <v>4500166848</v>
      </c>
      <c r="E6" s="65" t="s">
        <v>12065</v>
      </c>
      <c r="F6" s="5" t="s">
        <v>12066</v>
      </c>
      <c r="G6" s="66" t="s">
        <v>6166</v>
      </c>
      <c r="H6" s="67" t="s">
        <v>6094</v>
      </c>
      <c r="I6" s="67">
        <v>1300</v>
      </c>
      <c r="J6" s="67">
        <v>0</v>
      </c>
      <c r="K6" s="67">
        <v>13</v>
      </c>
      <c r="L6" s="68">
        <f t="shared" si="0"/>
        <v>100</v>
      </c>
      <c r="M6" s="69">
        <v>45832</v>
      </c>
      <c r="N6" s="69">
        <v>45828</v>
      </c>
      <c r="O6" s="70"/>
      <c r="P6" s="70"/>
      <c r="Q6" s="67"/>
      <c r="R6" s="71"/>
      <c r="S6" s="71"/>
      <c r="T6" s="72"/>
      <c r="U6" s="72"/>
      <c r="V6" s="73" t="s">
        <v>12067</v>
      </c>
      <c r="W6" s="74" t="s">
        <v>658</v>
      </c>
      <c r="X6" s="75">
        <v>0.5426</v>
      </c>
      <c r="Y6" s="76">
        <f t="shared" si="1"/>
        <v>705.38</v>
      </c>
      <c r="Z6" s="67"/>
      <c r="AA6" s="61"/>
      <c r="AB6" s="77"/>
      <c r="AC6" s="77"/>
      <c r="AD6" s="67"/>
      <c r="AE6" s="78"/>
      <c r="AF6" s="67"/>
      <c r="AG6" s="79"/>
      <c r="AH6" s="67"/>
      <c r="AI6" s="67"/>
      <c r="AJ6" s="61">
        <f>I6</f>
        <v>1300</v>
      </c>
      <c r="AK6" s="61"/>
      <c r="AP6" s="61"/>
      <c r="AQ6" s="61"/>
      <c r="AS6" s="61"/>
      <c r="AT6" s="80"/>
      <c r="AU6" s="80"/>
      <c r="CG6" s="81"/>
      <c r="CH6" s="81"/>
      <c r="CI6" s="81"/>
      <c r="CJ6" s="81"/>
      <c r="CK6" s="81"/>
      <c r="CL6" s="81"/>
      <c r="CP6" s="81"/>
      <c r="CQ6" s="81"/>
      <c r="CR6" s="81"/>
      <c r="CS6" s="81"/>
      <c r="CT6" s="81"/>
      <c r="CU6" s="81"/>
    </row>
    <row r="7" s="3" customFormat="1" ht="31" customHeight="1" spans="1:99">
      <c r="A7" s="31">
        <v>45775</v>
      </c>
      <c r="B7" s="32" t="s">
        <v>6755</v>
      </c>
      <c r="C7" s="33" t="s">
        <v>399</v>
      </c>
      <c r="D7" s="3">
        <v>4500165161</v>
      </c>
      <c r="E7" s="33" t="s">
        <v>12059</v>
      </c>
      <c r="F7" s="3" t="s">
        <v>12068</v>
      </c>
      <c r="G7" s="34" t="s">
        <v>6120</v>
      </c>
      <c r="H7" s="34" t="s">
        <v>6094</v>
      </c>
      <c r="I7" s="34">
        <v>6006</v>
      </c>
      <c r="J7" s="34">
        <v>0</v>
      </c>
      <c r="K7" s="34">
        <v>13</v>
      </c>
      <c r="L7" s="35">
        <f t="shared" si="0"/>
        <v>462</v>
      </c>
      <c r="M7" s="36">
        <v>45813</v>
      </c>
      <c r="N7" s="36">
        <v>45810</v>
      </c>
      <c r="O7" s="37" t="s">
        <v>12069</v>
      </c>
      <c r="P7" s="37"/>
      <c r="Q7" s="34"/>
      <c r="R7" s="38">
        <v>45785</v>
      </c>
      <c r="S7" s="38" t="s">
        <v>70</v>
      </c>
      <c r="T7" s="38" t="s">
        <v>6342</v>
      </c>
      <c r="U7" s="38"/>
      <c r="V7" s="40" t="s">
        <v>12070</v>
      </c>
      <c r="W7" s="40" t="s">
        <v>2037</v>
      </c>
      <c r="X7" s="40">
        <v>1.16</v>
      </c>
      <c r="Y7" s="41">
        <f t="shared" si="1"/>
        <v>6966.96</v>
      </c>
      <c r="Z7" s="34"/>
      <c r="AA7" s="34" t="s">
        <v>6093</v>
      </c>
      <c r="AB7" s="42" t="s">
        <v>82</v>
      </c>
      <c r="AC7" s="42"/>
      <c r="AD7" s="34"/>
      <c r="AE7" s="58"/>
      <c r="AF7" s="34">
        <f>AE7-I7</f>
        <v>-6006</v>
      </c>
      <c r="AG7" s="59"/>
      <c r="AH7" s="34"/>
      <c r="AI7" s="34"/>
      <c r="AJ7" s="34"/>
      <c r="AK7" s="4">
        <f>I7</f>
        <v>6006</v>
      </c>
      <c r="AO7" s="3">
        <f>I7</f>
        <v>6006</v>
      </c>
      <c r="AQ7" s="3">
        <f>I7</f>
        <v>6006</v>
      </c>
      <c r="AT7" s="47">
        <f>I7/24</f>
        <v>250.25</v>
      </c>
      <c r="AU7" s="47"/>
      <c r="BC7" s="3">
        <f>I7/13</f>
        <v>462</v>
      </c>
      <c r="CG7" s="48"/>
      <c r="CH7" s="48"/>
      <c r="CI7" s="48"/>
      <c r="CJ7" s="48"/>
      <c r="CK7" s="48"/>
      <c r="CL7" s="48"/>
      <c r="CP7" s="48"/>
      <c r="CQ7" s="48"/>
      <c r="CR7" s="48"/>
      <c r="CS7" s="48"/>
      <c r="CT7" s="48"/>
      <c r="CU7" s="48"/>
    </row>
    <row r="8" s="3" customFormat="1" ht="31" customHeight="1" spans="1:99">
      <c r="A8" s="31">
        <v>45775</v>
      </c>
      <c r="B8" s="32" t="s">
        <v>6755</v>
      </c>
      <c r="C8" s="33" t="s">
        <v>399</v>
      </c>
      <c r="D8" s="3">
        <v>4500165161</v>
      </c>
      <c r="E8" s="33" t="s">
        <v>12059</v>
      </c>
      <c r="F8" s="3" t="s">
        <v>12071</v>
      </c>
      <c r="G8" s="34" t="s">
        <v>6467</v>
      </c>
      <c r="H8" s="34" t="s">
        <v>6080</v>
      </c>
      <c r="I8" s="34">
        <v>3000</v>
      </c>
      <c r="J8" s="34">
        <v>0</v>
      </c>
      <c r="K8" s="34">
        <v>30</v>
      </c>
      <c r="L8" s="35">
        <f t="shared" si="0"/>
        <v>100</v>
      </c>
      <c r="M8" s="36">
        <v>45813</v>
      </c>
      <c r="N8" s="36">
        <v>45810</v>
      </c>
      <c r="O8" s="37" t="s">
        <v>12069</v>
      </c>
      <c r="P8" s="37"/>
      <c r="Q8" s="34"/>
      <c r="R8" s="38">
        <v>45785</v>
      </c>
      <c r="S8" s="38" t="s">
        <v>70</v>
      </c>
      <c r="T8" s="38" t="s">
        <v>6342</v>
      </c>
      <c r="U8" s="38"/>
      <c r="V8" s="40" t="s">
        <v>12072</v>
      </c>
      <c r="W8" s="40" t="s">
        <v>2037</v>
      </c>
      <c r="X8" s="40">
        <v>35.1</v>
      </c>
      <c r="Y8" s="41">
        <f>X8*L8</f>
        <v>3510</v>
      </c>
      <c r="Z8" s="34"/>
      <c r="AA8" s="67" t="s">
        <v>12063</v>
      </c>
      <c r="AB8" s="42"/>
      <c r="AC8" s="42"/>
      <c r="AD8" s="34"/>
      <c r="AE8" s="58"/>
      <c r="AF8" s="34">
        <f>AE8-I8</f>
        <v>-3000</v>
      </c>
      <c r="AG8" s="59"/>
      <c r="AH8" s="34"/>
      <c r="AI8" s="34"/>
      <c r="AJ8" s="34"/>
      <c r="AK8" s="4">
        <f>I8</f>
        <v>3000</v>
      </c>
      <c r="AO8" s="3">
        <f>I8</f>
        <v>3000</v>
      </c>
      <c r="AQ8" s="3">
        <f>I8</f>
        <v>3000</v>
      </c>
      <c r="AT8" s="47">
        <f>I8/24</f>
        <v>125</v>
      </c>
      <c r="AU8" s="47"/>
      <c r="BX8" s="3">
        <f>I8/30</f>
        <v>100</v>
      </c>
      <c r="CG8" s="48"/>
      <c r="CH8" s="48"/>
      <c r="CI8" s="48"/>
      <c r="CJ8" s="48"/>
      <c r="CK8" s="48"/>
      <c r="CL8" s="48"/>
      <c r="CP8" s="48"/>
      <c r="CQ8" s="48"/>
      <c r="CR8" s="48"/>
      <c r="CS8" s="48"/>
      <c r="CT8" s="48"/>
      <c r="CU8" s="48"/>
    </row>
    <row r="9" s="6" customFormat="1" ht="31" customHeight="1" spans="1:99">
      <c r="A9" s="82">
        <v>45798</v>
      </c>
      <c r="B9" s="83" t="s">
        <v>120</v>
      </c>
      <c r="C9" s="84" t="s">
        <v>98</v>
      </c>
      <c r="D9" s="6">
        <v>4500167444</v>
      </c>
      <c r="E9" s="84">
        <v>5200006828</v>
      </c>
      <c r="F9" s="6" t="s">
        <v>12073</v>
      </c>
      <c r="G9" s="85" t="s">
        <v>6128</v>
      </c>
      <c r="H9" s="85" t="s">
        <v>6126</v>
      </c>
      <c r="I9" s="85">
        <v>1500</v>
      </c>
      <c r="J9" s="85">
        <v>0</v>
      </c>
      <c r="K9" s="85">
        <v>12</v>
      </c>
      <c r="L9" s="86">
        <f t="shared" si="0"/>
        <v>125</v>
      </c>
      <c r="M9" s="87">
        <v>45843</v>
      </c>
      <c r="N9" s="88">
        <v>45848</v>
      </c>
      <c r="O9" s="89" t="s">
        <v>12074</v>
      </c>
      <c r="P9" s="89"/>
      <c r="Q9" s="85"/>
      <c r="R9" s="90">
        <v>45798</v>
      </c>
      <c r="S9" s="91" t="s">
        <v>70</v>
      </c>
      <c r="T9" s="92" t="s">
        <v>70</v>
      </c>
      <c r="U9" s="93"/>
      <c r="V9" s="94" t="s">
        <v>12075</v>
      </c>
      <c r="W9" s="95" t="s">
        <v>125</v>
      </c>
      <c r="X9" s="94">
        <v>1.3094</v>
      </c>
      <c r="Y9" s="96">
        <f>X9*I9</f>
        <v>1964.1</v>
      </c>
      <c r="Z9" s="85"/>
      <c r="AA9" s="97" t="s">
        <v>6128</v>
      </c>
      <c r="AB9" s="98"/>
      <c r="AC9" s="98"/>
      <c r="AD9" s="99"/>
      <c r="AE9" s="99"/>
      <c r="AF9" s="99"/>
      <c r="AG9" s="100"/>
      <c r="AH9" s="99"/>
      <c r="AI9" s="99"/>
      <c r="AJ9" s="85">
        <f>I9*2</f>
        <v>3000</v>
      </c>
      <c r="AM9" s="6">
        <f>I9*2</f>
        <v>3000</v>
      </c>
      <c r="AP9" s="101">
        <f>I9*2</f>
        <v>3000</v>
      </c>
      <c r="AT9" s="102">
        <f>I9/24*2</f>
        <v>125</v>
      </c>
      <c r="AU9" s="102"/>
      <c r="CF9" s="103"/>
      <c r="CG9" s="103"/>
      <c r="CH9" s="103"/>
      <c r="CI9" s="103"/>
      <c r="CJ9" s="103"/>
      <c r="CK9" s="103"/>
      <c r="CO9" s="103"/>
      <c r="CP9" s="103"/>
      <c r="CQ9" s="103"/>
      <c r="CR9" s="103"/>
      <c r="CS9" s="103"/>
      <c r="CT9" s="103"/>
    </row>
    <row r="10" s="3" customFormat="1" ht="31" customHeight="1" spans="1:99">
      <c r="A10" s="104">
        <v>45801</v>
      </c>
      <c r="B10" s="32" t="s">
        <v>7043</v>
      </c>
      <c r="C10" s="33" t="s">
        <v>278</v>
      </c>
      <c r="D10" s="3">
        <v>4500167852</v>
      </c>
      <c r="E10" s="33"/>
      <c r="F10" s="3" t="s">
        <v>12076</v>
      </c>
      <c r="G10" s="34" t="s">
        <v>6093</v>
      </c>
      <c r="H10" s="34" t="s">
        <v>6094</v>
      </c>
      <c r="I10" s="34">
        <v>3120</v>
      </c>
      <c r="J10" s="34">
        <v>0</v>
      </c>
      <c r="K10" s="34">
        <v>13</v>
      </c>
      <c r="L10" s="35">
        <f t="shared" si="0"/>
        <v>240</v>
      </c>
      <c r="M10" s="36">
        <v>45822</v>
      </c>
      <c r="N10" s="36" t="s">
        <v>4877</v>
      </c>
      <c r="O10" s="37"/>
      <c r="P10" s="37"/>
      <c r="Q10" s="34"/>
      <c r="R10" s="52" t="s">
        <v>454</v>
      </c>
      <c r="S10" s="52" t="s">
        <v>70</v>
      </c>
      <c r="T10" s="38" t="s">
        <v>70</v>
      </c>
      <c r="U10" s="105"/>
      <c r="V10" s="40" t="s">
        <v>12077</v>
      </c>
      <c r="W10" s="40" t="s">
        <v>283</v>
      </c>
      <c r="X10" s="40">
        <v>0.9116</v>
      </c>
      <c r="Y10" s="41">
        <f>X10*I10</f>
        <v>2844.192</v>
      </c>
      <c r="Z10" s="34"/>
      <c r="AA10" s="4"/>
      <c r="AB10" s="34"/>
      <c r="AC10" s="34"/>
      <c r="AD10" s="34"/>
      <c r="AE10" s="34"/>
      <c r="AF10" s="58">
        <f>AE10-I10</f>
        <v>-3120</v>
      </c>
      <c r="AG10" s="106"/>
      <c r="AH10" s="34"/>
      <c r="AI10" s="34"/>
      <c r="AJ10" s="34"/>
      <c r="AK10" s="4">
        <f>I10</f>
        <v>3120</v>
      </c>
      <c r="AL10" s="3">
        <f>I10</f>
        <v>3120</v>
      </c>
      <c r="AQ10" s="4">
        <f>I10</f>
        <v>3120</v>
      </c>
      <c r="AS10" s="4"/>
      <c r="AT10" s="47"/>
      <c r="AU10" s="47"/>
      <c r="CG10" s="48"/>
      <c r="CH10" s="48"/>
      <c r="CI10" s="48"/>
      <c r="CJ10" s="48"/>
      <c r="CK10" s="48"/>
      <c r="CL10" s="48"/>
      <c r="CP10" s="48"/>
      <c r="CQ10" s="48"/>
      <c r="CR10" s="48"/>
      <c r="CS10" s="48"/>
      <c r="CT10" s="48"/>
      <c r="CU10" s="48"/>
    </row>
    <row r="11" s="7" customFormat="1" ht="31" customHeight="1" spans="1:99">
      <c r="A11" s="31">
        <v>45827</v>
      </c>
      <c r="B11" s="32" t="s">
        <v>325</v>
      </c>
      <c r="C11" s="33" t="s">
        <v>98</v>
      </c>
      <c r="D11" s="4">
        <v>4500170548</v>
      </c>
      <c r="E11" s="33" t="s">
        <v>12078</v>
      </c>
      <c r="F11" s="4" t="s">
        <v>12079</v>
      </c>
      <c r="G11" s="49" t="s">
        <v>249</v>
      </c>
      <c r="H11" s="33" t="s">
        <v>250</v>
      </c>
      <c r="I11" s="33">
        <v>1232</v>
      </c>
      <c r="J11" s="33">
        <v>0</v>
      </c>
      <c r="K11" s="33">
        <v>4</v>
      </c>
      <c r="L11" s="50">
        <f t="shared" si="0"/>
        <v>308</v>
      </c>
      <c r="M11" s="54">
        <v>45884</v>
      </c>
      <c r="N11" s="54">
        <v>45880</v>
      </c>
      <c r="O11" s="107">
        <v>45884</v>
      </c>
      <c r="P11" s="51"/>
      <c r="Q11" s="51"/>
      <c r="R11" s="33"/>
      <c r="S11" s="52"/>
      <c r="T11" s="52"/>
      <c r="U11" s="52"/>
      <c r="V11" s="52"/>
      <c r="W11" s="52"/>
      <c r="X11" s="32" t="s">
        <v>1258</v>
      </c>
      <c r="Y11" s="54" t="s">
        <v>252</v>
      </c>
      <c r="Z11" s="60">
        <v>2.8095</v>
      </c>
      <c r="AA11" s="55">
        <f>Z11*I11</f>
        <v>3461.304</v>
      </c>
      <c r="AB11" s="33"/>
      <c r="AC11" s="4"/>
      <c r="AD11" s="33"/>
      <c r="AE11" s="33"/>
      <c r="AF11" s="33"/>
      <c r="AG11" s="56"/>
      <c r="AH11" s="56">
        <f>AG11-I11</f>
        <v>-1232</v>
      </c>
      <c r="AI11" s="57"/>
      <c r="AJ11" s="33"/>
      <c r="AK11" s="33"/>
      <c r="AL11" s="4"/>
      <c r="AM11" s="4"/>
      <c r="AN11" s="4">
        <f>I11</f>
        <v>1232</v>
      </c>
      <c r="AO11" s="4"/>
      <c r="AP11" s="4"/>
      <c r="AQ11" s="4"/>
      <c r="AR11" s="4"/>
      <c r="AS11" s="4"/>
      <c r="AT11" s="4">
        <f>I11</f>
        <v>1232</v>
      </c>
      <c r="AU11" s="4"/>
      <c r="AV11" s="4">
        <f>I11</f>
        <v>1232</v>
      </c>
      <c r="AW11" s="4"/>
      <c r="AX11" s="4"/>
      <c r="AY11" s="4"/>
      <c r="AZ11" s="4"/>
      <c r="BA11" s="4"/>
      <c r="BB11" s="4"/>
      <c r="BC11" s="4"/>
      <c r="BD11" s="4"/>
      <c r="BE11" s="4"/>
      <c r="BF11" s="4">
        <f>I11</f>
        <v>1232</v>
      </c>
      <c r="BG11" s="4">
        <f>I11</f>
        <v>1232</v>
      </c>
      <c r="BH11" s="4"/>
      <c r="BI11" s="4"/>
      <c r="BJ11" s="4"/>
      <c r="BK11" s="4"/>
      <c r="BL11" s="4"/>
    </row>
    <row r="12" s="4" customFormat="1" ht="31" customHeight="1" spans="1:99">
      <c r="A12" s="31">
        <v>45827</v>
      </c>
      <c r="B12" s="32" t="s">
        <v>325</v>
      </c>
      <c r="C12" s="33" t="s">
        <v>98</v>
      </c>
      <c r="D12" s="4">
        <v>4500170526</v>
      </c>
      <c r="E12" s="33" t="s">
        <v>12080</v>
      </c>
      <c r="F12" s="4" t="s">
        <v>12081</v>
      </c>
      <c r="G12" s="49" t="s">
        <v>249</v>
      </c>
      <c r="H12" s="33" t="s">
        <v>250</v>
      </c>
      <c r="I12" s="33">
        <v>3780</v>
      </c>
      <c r="J12" s="33">
        <v>0</v>
      </c>
      <c r="K12" s="33">
        <v>4</v>
      </c>
      <c r="L12" s="50">
        <f t="shared" si="0"/>
        <v>945</v>
      </c>
      <c r="M12" s="54">
        <v>45868</v>
      </c>
      <c r="N12" s="54">
        <v>45864</v>
      </c>
      <c r="O12" s="107">
        <v>45868</v>
      </c>
      <c r="P12" s="51"/>
      <c r="Q12" s="51">
        <f>VLOOKUP(D12,取消单!$D$12:$O$12,12,FALSE)</f>
        <v>45868</v>
      </c>
      <c r="R12" s="33"/>
      <c r="S12" s="52" t="s">
        <v>454</v>
      </c>
      <c r="T12" s="52" t="s">
        <v>104</v>
      </c>
      <c r="U12" s="52" t="s">
        <v>454</v>
      </c>
      <c r="V12" s="52"/>
      <c r="W12" s="52"/>
      <c r="X12" s="32" t="s">
        <v>1470</v>
      </c>
      <c r="Y12" s="54" t="s">
        <v>252</v>
      </c>
      <c r="Z12" s="60">
        <v>2.8063</v>
      </c>
      <c r="AA12" s="55">
        <f>Z12*I12</f>
        <v>10607.814</v>
      </c>
      <c r="AB12" s="33"/>
      <c r="AD12" s="33"/>
      <c r="AE12" s="33"/>
      <c r="AF12" s="33"/>
      <c r="AG12" s="56"/>
      <c r="AH12" s="56">
        <f>AG12-I12</f>
        <v>-3780</v>
      </c>
      <c r="AI12" s="57"/>
      <c r="AJ12" s="33"/>
      <c r="AK12" s="33"/>
      <c r="AN12" s="4">
        <f>I12</f>
        <v>3780</v>
      </c>
      <c r="AT12" s="4">
        <f>I12</f>
        <v>3780</v>
      </c>
      <c r="AV12" s="4">
        <f>I12/4</f>
        <v>945</v>
      </c>
      <c r="BF12" s="4">
        <f>I12</f>
        <v>3780</v>
      </c>
      <c r="BG12" s="4">
        <f>I12</f>
        <v>3780</v>
      </c>
    </row>
    <row r="13" s="3" customFormat="1" ht="31" customHeight="1" spans="1:99">
      <c r="A13" s="31">
        <v>45826</v>
      </c>
      <c r="B13" s="32" t="s">
        <v>143</v>
      </c>
      <c r="C13" s="33" t="s">
        <v>98</v>
      </c>
      <c r="D13" s="3">
        <v>4500170460</v>
      </c>
      <c r="E13" s="33" t="s">
        <v>12082</v>
      </c>
      <c r="F13" s="3" t="s">
        <v>12083</v>
      </c>
      <c r="G13" s="34" t="s">
        <v>6771</v>
      </c>
      <c r="H13" s="34" t="s">
        <v>6033</v>
      </c>
      <c r="I13" s="34">
        <v>1376</v>
      </c>
      <c r="J13" s="34">
        <v>0</v>
      </c>
      <c r="K13" s="34">
        <v>16</v>
      </c>
      <c r="L13" s="35">
        <f t="shared" si="0"/>
        <v>86</v>
      </c>
      <c r="M13" s="36">
        <v>45869</v>
      </c>
      <c r="N13" s="36" t="s">
        <v>12084</v>
      </c>
      <c r="O13" s="37"/>
      <c r="P13" s="37"/>
      <c r="Q13" s="34"/>
      <c r="R13" s="38" t="s">
        <v>7064</v>
      </c>
      <c r="S13" s="52" t="s">
        <v>70</v>
      </c>
      <c r="T13" s="38" t="s">
        <v>148</v>
      </c>
      <c r="U13" s="38"/>
      <c r="V13" s="108" t="s">
        <v>12085</v>
      </c>
      <c r="W13" s="40" t="s">
        <v>106</v>
      </c>
      <c r="X13" s="109">
        <v>0.5252</v>
      </c>
      <c r="Y13" s="41">
        <f>X13*I13</f>
        <v>722.6752</v>
      </c>
      <c r="Z13" s="34"/>
      <c r="AA13" s="61" t="s">
        <v>12063</v>
      </c>
      <c r="AB13" s="42"/>
      <c r="AC13" s="42"/>
      <c r="AD13" s="34"/>
      <c r="AE13" s="58"/>
      <c r="AF13" s="34">
        <f>AE13-I13</f>
        <v>-1376</v>
      </c>
      <c r="AG13" s="59"/>
      <c r="AH13" s="34"/>
      <c r="AI13" s="34"/>
      <c r="AJ13" s="34">
        <f>I13</f>
        <v>1376</v>
      </c>
      <c r="AK13" s="4"/>
      <c r="AL13" s="3">
        <f t="shared" ref="AL13:AL20" si="2">I13</f>
        <v>1376</v>
      </c>
      <c r="AN13" s="48"/>
      <c r="AQ13" s="4">
        <f>I13*2</f>
        <v>2752</v>
      </c>
      <c r="AU13" s="47">
        <f>I13/24</f>
        <v>57.3333333333333</v>
      </c>
      <c r="AV13" s="47"/>
      <c r="CH13" s="48"/>
      <c r="CI13" s="48"/>
      <c r="CJ13" s="48"/>
      <c r="CK13" s="48"/>
      <c r="CL13" s="48"/>
      <c r="CP13" s="48"/>
      <c r="CQ13" s="48"/>
      <c r="CR13" s="48"/>
      <c r="CS13" s="48"/>
      <c r="CT13" s="48"/>
      <c r="CU13" s="48"/>
    </row>
    <row r="14" s="3" customFormat="1" ht="31" customHeight="1" spans="1:99">
      <c r="A14" s="31">
        <v>45826</v>
      </c>
      <c r="B14" s="32" t="s">
        <v>143</v>
      </c>
      <c r="C14" s="33" t="s">
        <v>98</v>
      </c>
      <c r="D14" s="3">
        <v>4500170460</v>
      </c>
      <c r="E14" s="33" t="s">
        <v>12086</v>
      </c>
      <c r="F14" s="3" t="s">
        <v>12087</v>
      </c>
      <c r="G14" s="34" t="s">
        <v>6771</v>
      </c>
      <c r="H14" s="34" t="s">
        <v>6033</v>
      </c>
      <c r="I14" s="34">
        <v>1056</v>
      </c>
      <c r="J14" s="34">
        <v>0</v>
      </c>
      <c r="K14" s="34">
        <v>16</v>
      </c>
      <c r="L14" s="35">
        <f t="shared" si="0"/>
        <v>66</v>
      </c>
      <c r="M14" s="36">
        <v>45869</v>
      </c>
      <c r="N14" s="36" t="s">
        <v>12084</v>
      </c>
      <c r="O14" s="37"/>
      <c r="P14" s="37"/>
      <c r="Q14" s="34"/>
      <c r="R14" s="38" t="s">
        <v>7064</v>
      </c>
      <c r="S14" s="52" t="s">
        <v>70</v>
      </c>
      <c r="T14" s="38" t="s">
        <v>148</v>
      </c>
      <c r="U14" s="38"/>
      <c r="V14" s="108" t="s">
        <v>12085</v>
      </c>
      <c r="W14" s="40" t="s">
        <v>106</v>
      </c>
      <c r="X14" s="109">
        <v>0.5252</v>
      </c>
      <c r="Y14" s="41">
        <f>X14*I14</f>
        <v>554.6112</v>
      </c>
      <c r="Z14" s="34"/>
      <c r="AA14" s="61" t="s">
        <v>12063</v>
      </c>
      <c r="AB14" s="42"/>
      <c r="AC14" s="42"/>
      <c r="AD14" s="34"/>
      <c r="AE14" s="58"/>
      <c r="AF14" s="34">
        <f>AE14-I14</f>
        <v>-1056</v>
      </c>
      <c r="AG14" s="59"/>
      <c r="AH14" s="34"/>
      <c r="AI14" s="34"/>
      <c r="AJ14" s="34">
        <f>I14</f>
        <v>1056</v>
      </c>
      <c r="AK14" s="4"/>
      <c r="AL14" s="3">
        <f t="shared" si="2"/>
        <v>1056</v>
      </c>
      <c r="AN14" s="48"/>
      <c r="AQ14" s="4">
        <f>I14*2</f>
        <v>2112</v>
      </c>
      <c r="AU14" s="47">
        <f>I14/24</f>
        <v>44</v>
      </c>
      <c r="AV14" s="47"/>
      <c r="CH14" s="48"/>
      <c r="CI14" s="48"/>
      <c r="CJ14" s="48"/>
      <c r="CK14" s="48"/>
      <c r="CL14" s="48"/>
      <c r="CP14" s="48"/>
      <c r="CQ14" s="48"/>
      <c r="CR14" s="48"/>
      <c r="CS14" s="48"/>
      <c r="CT14" s="48"/>
      <c r="CU14" s="48"/>
    </row>
    <row r="15" s="3" customFormat="1" ht="31" customHeight="1" spans="1:99">
      <c r="A15" s="31">
        <v>45826</v>
      </c>
      <c r="B15" s="32" t="s">
        <v>143</v>
      </c>
      <c r="C15" s="33" t="s">
        <v>98</v>
      </c>
      <c r="D15" s="3">
        <v>4500170460</v>
      </c>
      <c r="E15" s="33" t="s">
        <v>12088</v>
      </c>
      <c r="F15" s="3" t="s">
        <v>12089</v>
      </c>
      <c r="G15" s="34" t="s">
        <v>6771</v>
      </c>
      <c r="H15" s="34" t="s">
        <v>6033</v>
      </c>
      <c r="I15" s="34">
        <v>1152</v>
      </c>
      <c r="J15" s="34">
        <v>0</v>
      </c>
      <c r="K15" s="34">
        <v>16</v>
      </c>
      <c r="L15" s="35">
        <f t="shared" si="0"/>
        <v>72</v>
      </c>
      <c r="M15" s="36">
        <v>45869</v>
      </c>
      <c r="N15" s="36" t="s">
        <v>12084</v>
      </c>
      <c r="O15" s="37"/>
      <c r="P15" s="37"/>
      <c r="Q15" s="34"/>
      <c r="R15" s="38" t="s">
        <v>7064</v>
      </c>
      <c r="S15" s="52" t="s">
        <v>70</v>
      </c>
      <c r="T15" s="38" t="s">
        <v>148</v>
      </c>
      <c r="U15" s="38"/>
      <c r="V15" s="108" t="s">
        <v>12085</v>
      </c>
      <c r="W15" s="40" t="s">
        <v>106</v>
      </c>
      <c r="X15" s="109">
        <v>0.5252</v>
      </c>
      <c r="Y15" s="41">
        <f>X15*I15</f>
        <v>605.0304</v>
      </c>
      <c r="Z15" s="34"/>
      <c r="AA15" s="61" t="s">
        <v>12063</v>
      </c>
      <c r="AB15" s="42"/>
      <c r="AC15" s="42"/>
      <c r="AD15" s="34"/>
      <c r="AE15" s="58"/>
      <c r="AF15" s="34">
        <f>AE15-I15</f>
        <v>-1152</v>
      </c>
      <c r="AG15" s="59"/>
      <c r="AH15" s="34"/>
      <c r="AI15" s="34"/>
      <c r="AJ15" s="34">
        <f>I15</f>
        <v>1152</v>
      </c>
      <c r="AK15" s="4"/>
      <c r="AL15" s="3">
        <f t="shared" si="2"/>
        <v>1152</v>
      </c>
      <c r="AN15" s="48"/>
      <c r="AQ15" s="4">
        <f>I15*2</f>
        <v>2304</v>
      </c>
      <c r="AU15" s="47">
        <f>I15/24</f>
        <v>48</v>
      </c>
      <c r="AV15" s="47"/>
      <c r="CH15" s="48"/>
      <c r="CI15" s="48"/>
      <c r="CJ15" s="48"/>
      <c r="CK15" s="48"/>
      <c r="CL15" s="48"/>
      <c r="CP15" s="48"/>
      <c r="CQ15" s="48"/>
      <c r="CR15" s="48"/>
      <c r="CS15" s="48"/>
      <c r="CT15" s="48"/>
      <c r="CU15" s="48"/>
    </row>
    <row r="16" s="3" customFormat="1" ht="31" customHeight="1" spans="1:99">
      <c r="A16" s="31">
        <v>45826</v>
      </c>
      <c r="B16" s="32" t="s">
        <v>143</v>
      </c>
      <c r="C16" s="33" t="s">
        <v>98</v>
      </c>
      <c r="D16" s="3">
        <v>4500170460</v>
      </c>
      <c r="E16" s="33" t="s">
        <v>12090</v>
      </c>
      <c r="F16" s="3" t="s">
        <v>12091</v>
      </c>
      <c r="G16" s="34" t="s">
        <v>6771</v>
      </c>
      <c r="H16" s="34" t="s">
        <v>6033</v>
      </c>
      <c r="I16" s="34">
        <v>592</v>
      </c>
      <c r="J16" s="34">
        <v>0</v>
      </c>
      <c r="K16" s="34">
        <v>16</v>
      </c>
      <c r="L16" s="35">
        <f t="shared" si="0"/>
        <v>37</v>
      </c>
      <c r="M16" s="36">
        <v>45869</v>
      </c>
      <c r="N16" s="36" t="s">
        <v>12084</v>
      </c>
      <c r="O16" s="37"/>
      <c r="P16" s="37"/>
      <c r="Q16" s="34"/>
      <c r="R16" s="38" t="s">
        <v>7064</v>
      </c>
      <c r="S16" s="52" t="s">
        <v>70</v>
      </c>
      <c r="T16" s="38" t="s">
        <v>148</v>
      </c>
      <c r="U16" s="38"/>
      <c r="V16" s="108" t="s">
        <v>12085</v>
      </c>
      <c r="W16" s="40" t="s">
        <v>106</v>
      </c>
      <c r="X16" s="109">
        <v>0.5252</v>
      </c>
      <c r="Y16" s="41">
        <f>X16*I16</f>
        <v>310.9184</v>
      </c>
      <c r="Z16" s="34"/>
      <c r="AA16" s="61" t="s">
        <v>12063</v>
      </c>
      <c r="AB16" s="42"/>
      <c r="AC16" s="42"/>
      <c r="AD16" s="34"/>
      <c r="AE16" s="58"/>
      <c r="AF16" s="34">
        <f>AE16-I16</f>
        <v>-592</v>
      </c>
      <c r="AG16" s="59"/>
      <c r="AH16" s="34"/>
      <c r="AI16" s="34"/>
      <c r="AJ16" s="34">
        <f>I16</f>
        <v>592</v>
      </c>
      <c r="AK16" s="4"/>
      <c r="AL16" s="3">
        <f t="shared" si="2"/>
        <v>592</v>
      </c>
      <c r="AN16" s="48"/>
      <c r="AQ16" s="4">
        <f>I16*2</f>
        <v>1184</v>
      </c>
      <c r="AU16" s="47">
        <f>I16/24</f>
        <v>24.6666666666667</v>
      </c>
      <c r="AV16" s="47"/>
      <c r="CH16" s="48"/>
      <c r="CI16" s="48"/>
      <c r="CJ16" s="48"/>
      <c r="CK16" s="48"/>
      <c r="CL16" s="48"/>
      <c r="CP16" s="48"/>
      <c r="CQ16" s="48"/>
      <c r="CR16" s="48"/>
      <c r="CS16" s="48"/>
      <c r="CT16" s="48"/>
      <c r="CU16" s="48"/>
    </row>
    <row r="17" s="7" customFormat="1" ht="31" customHeight="1" spans="1:99">
      <c r="A17" s="31">
        <v>45826</v>
      </c>
      <c r="B17" s="32" t="s">
        <v>143</v>
      </c>
      <c r="C17" s="33" t="s">
        <v>98</v>
      </c>
      <c r="D17" s="4">
        <v>4500170460</v>
      </c>
      <c r="E17" s="33" t="s">
        <v>12082</v>
      </c>
      <c r="F17" s="4" t="s">
        <v>12092</v>
      </c>
      <c r="G17" s="49" t="s">
        <v>207</v>
      </c>
      <c r="H17" s="33" t="s">
        <v>102</v>
      </c>
      <c r="I17" s="33">
        <v>272</v>
      </c>
      <c r="J17" s="33">
        <v>0</v>
      </c>
      <c r="K17" s="33">
        <v>4</v>
      </c>
      <c r="L17" s="50">
        <f t="shared" si="0"/>
        <v>68</v>
      </c>
      <c r="M17" s="54">
        <v>45880</v>
      </c>
      <c r="N17" s="54">
        <v>45876</v>
      </c>
      <c r="O17" s="110">
        <v>45887</v>
      </c>
      <c r="P17" s="51"/>
      <c r="Q17" s="110"/>
      <c r="R17" s="33"/>
      <c r="S17" s="52" t="s">
        <v>147</v>
      </c>
      <c r="T17" s="52" t="s">
        <v>70</v>
      </c>
      <c r="U17" s="52" t="s">
        <v>1393</v>
      </c>
      <c r="V17" s="52"/>
      <c r="W17" s="52"/>
      <c r="X17" s="32" t="s">
        <v>12093</v>
      </c>
      <c r="Y17" s="54" t="s">
        <v>106</v>
      </c>
      <c r="Z17" s="60">
        <v>2.5402</v>
      </c>
      <c r="AA17" s="55">
        <f>Z17*I17</f>
        <v>690.9344</v>
      </c>
      <c r="AB17" s="33"/>
      <c r="AC17" s="33" t="s">
        <v>207</v>
      </c>
      <c r="AD17" s="33" t="s">
        <v>82</v>
      </c>
      <c r="AE17" s="33"/>
      <c r="AF17" s="33"/>
      <c r="AG17" s="56"/>
      <c r="AH17" s="56">
        <f>AG17-I17</f>
        <v>-272</v>
      </c>
      <c r="AI17" s="57"/>
      <c r="AJ17" s="33"/>
      <c r="AK17" s="33"/>
      <c r="AL17" s="4">
        <f t="shared" si="2"/>
        <v>272</v>
      </c>
      <c r="AM17" s="4"/>
      <c r="AN17" s="4"/>
      <c r="AO17" s="4"/>
      <c r="AP17" s="4">
        <f>I17</f>
        <v>272</v>
      </c>
      <c r="AQ17" s="4"/>
      <c r="AR17" s="4">
        <f>I17</f>
        <v>272</v>
      </c>
      <c r="AS17" s="4"/>
      <c r="AT17" s="4">
        <f>I17</f>
        <v>272</v>
      </c>
      <c r="AU17" s="4"/>
      <c r="AV17" s="4"/>
      <c r="AW17" s="4"/>
      <c r="AX17" s="4"/>
      <c r="AY17" s="4"/>
      <c r="AZ17" s="4"/>
      <c r="BA17" s="4"/>
      <c r="BB17" s="4"/>
      <c r="BC17" s="4"/>
      <c r="BD17" s="4"/>
      <c r="BE17" s="4"/>
      <c r="BF17" s="4"/>
      <c r="BG17" s="4"/>
      <c r="BH17" s="4"/>
      <c r="BI17" s="4"/>
      <c r="BJ17" s="4"/>
      <c r="BK17" s="4"/>
      <c r="BL17" s="4"/>
    </row>
    <row r="18" s="7" customFormat="1" ht="31" customHeight="1" spans="1:99">
      <c r="A18" s="31">
        <v>45826</v>
      </c>
      <c r="B18" s="32" t="s">
        <v>143</v>
      </c>
      <c r="C18" s="33" t="s">
        <v>98</v>
      </c>
      <c r="D18" s="4">
        <v>4500170460</v>
      </c>
      <c r="E18" s="33" t="s">
        <v>12086</v>
      </c>
      <c r="F18" s="4" t="s">
        <v>12094</v>
      </c>
      <c r="G18" s="49" t="s">
        <v>207</v>
      </c>
      <c r="H18" s="33" t="s">
        <v>102</v>
      </c>
      <c r="I18" s="33">
        <v>208</v>
      </c>
      <c r="J18" s="33">
        <v>0</v>
      </c>
      <c r="K18" s="33">
        <v>4</v>
      </c>
      <c r="L18" s="50">
        <f t="shared" si="0"/>
        <v>52</v>
      </c>
      <c r="M18" s="54">
        <v>45880</v>
      </c>
      <c r="N18" s="54">
        <v>45876</v>
      </c>
      <c r="O18" s="110">
        <v>45887</v>
      </c>
      <c r="P18" s="51"/>
      <c r="Q18" s="110"/>
      <c r="R18" s="33"/>
      <c r="S18" s="52" t="s">
        <v>147</v>
      </c>
      <c r="T18" s="52" t="s">
        <v>70</v>
      </c>
      <c r="U18" s="52" t="s">
        <v>1393</v>
      </c>
      <c r="V18" s="52"/>
      <c r="W18" s="52"/>
      <c r="X18" s="32" t="s">
        <v>12093</v>
      </c>
      <c r="Y18" s="54" t="s">
        <v>106</v>
      </c>
      <c r="Z18" s="60">
        <v>2.5402</v>
      </c>
      <c r="AA18" s="55">
        <f>Z18*I18</f>
        <v>528.3616</v>
      </c>
      <c r="AB18" s="33"/>
      <c r="AC18" s="33" t="s">
        <v>207</v>
      </c>
      <c r="AD18" s="33" t="s">
        <v>82</v>
      </c>
      <c r="AE18" s="33"/>
      <c r="AF18" s="33"/>
      <c r="AG18" s="56"/>
      <c r="AH18" s="56">
        <f>AG18-I18</f>
        <v>-208</v>
      </c>
      <c r="AI18" s="57"/>
      <c r="AJ18" s="33"/>
      <c r="AK18" s="33"/>
      <c r="AL18" s="4">
        <f t="shared" si="2"/>
        <v>208</v>
      </c>
      <c r="AM18" s="4"/>
      <c r="AN18" s="4"/>
      <c r="AO18" s="4"/>
      <c r="AP18" s="4">
        <f>I18</f>
        <v>208</v>
      </c>
      <c r="AQ18" s="4"/>
      <c r="AR18" s="4">
        <f>I18</f>
        <v>208</v>
      </c>
      <c r="AS18" s="4"/>
      <c r="AT18" s="4">
        <f>I18</f>
        <v>208</v>
      </c>
      <c r="AU18" s="4"/>
      <c r="AV18" s="4"/>
      <c r="AW18" s="4"/>
      <c r="AX18" s="4"/>
      <c r="AY18" s="4"/>
      <c r="AZ18" s="4"/>
      <c r="BA18" s="4"/>
      <c r="BB18" s="4"/>
      <c r="BC18" s="4"/>
      <c r="BD18" s="4"/>
      <c r="BE18" s="4"/>
      <c r="BF18" s="4"/>
      <c r="BG18" s="4"/>
      <c r="BH18" s="4"/>
      <c r="BI18" s="4"/>
      <c r="BJ18" s="4"/>
      <c r="BK18" s="4"/>
      <c r="BL18" s="4"/>
    </row>
    <row r="19" s="7" customFormat="1" ht="31" customHeight="1" spans="1:99">
      <c r="A19" s="31">
        <v>45826</v>
      </c>
      <c r="B19" s="32" t="s">
        <v>143</v>
      </c>
      <c r="C19" s="33" t="s">
        <v>98</v>
      </c>
      <c r="D19" s="4">
        <v>4500170460</v>
      </c>
      <c r="E19" s="33" t="s">
        <v>12088</v>
      </c>
      <c r="F19" s="4" t="s">
        <v>12095</v>
      </c>
      <c r="G19" s="49" t="s">
        <v>207</v>
      </c>
      <c r="H19" s="33" t="s">
        <v>102</v>
      </c>
      <c r="I19" s="33">
        <v>228</v>
      </c>
      <c r="J19" s="33">
        <v>0</v>
      </c>
      <c r="K19" s="33">
        <v>4</v>
      </c>
      <c r="L19" s="50">
        <f t="shared" si="0"/>
        <v>57</v>
      </c>
      <c r="M19" s="54">
        <v>45880</v>
      </c>
      <c r="N19" s="54">
        <v>45876</v>
      </c>
      <c r="O19" s="110">
        <v>45887</v>
      </c>
      <c r="P19" s="51"/>
      <c r="Q19" s="110"/>
      <c r="R19" s="33"/>
      <c r="S19" s="52" t="s">
        <v>147</v>
      </c>
      <c r="T19" s="52" t="s">
        <v>70</v>
      </c>
      <c r="U19" s="52" t="s">
        <v>1393</v>
      </c>
      <c r="V19" s="52"/>
      <c r="W19" s="52"/>
      <c r="X19" s="32" t="s">
        <v>12093</v>
      </c>
      <c r="Y19" s="54" t="s">
        <v>106</v>
      </c>
      <c r="Z19" s="60">
        <v>2.5402</v>
      </c>
      <c r="AA19" s="55">
        <f>Z19*I19</f>
        <v>579.1656</v>
      </c>
      <c r="AB19" s="33"/>
      <c r="AC19" s="33" t="s">
        <v>207</v>
      </c>
      <c r="AD19" s="33" t="s">
        <v>82</v>
      </c>
      <c r="AE19" s="33"/>
      <c r="AF19" s="33"/>
      <c r="AG19" s="56"/>
      <c r="AH19" s="56">
        <f t="shared" ref="AH19:AH25" si="3">AG19-I19</f>
        <v>-228</v>
      </c>
      <c r="AI19" s="57"/>
      <c r="AJ19" s="33"/>
      <c r="AK19" s="33"/>
      <c r="AL19" s="4">
        <f t="shared" si="2"/>
        <v>228</v>
      </c>
      <c r="AM19" s="4"/>
      <c r="AN19" s="4"/>
      <c r="AO19" s="4"/>
      <c r="AP19" s="4">
        <f>I19</f>
        <v>228</v>
      </c>
      <c r="AQ19" s="4"/>
      <c r="AR19" s="4">
        <f>I19</f>
        <v>228</v>
      </c>
      <c r="AS19" s="4"/>
      <c r="AT19" s="4">
        <f>I19</f>
        <v>228</v>
      </c>
      <c r="AU19" s="4"/>
      <c r="AV19" s="4"/>
      <c r="AW19" s="4"/>
      <c r="AX19" s="4"/>
      <c r="AY19" s="4"/>
      <c r="AZ19" s="4"/>
      <c r="BA19" s="4"/>
      <c r="BB19" s="4"/>
      <c r="BC19" s="4"/>
      <c r="BD19" s="4"/>
      <c r="BE19" s="4"/>
      <c r="BF19" s="4"/>
      <c r="BG19" s="4"/>
      <c r="BH19" s="4"/>
      <c r="BI19" s="4"/>
      <c r="BJ19" s="4"/>
      <c r="BK19" s="4"/>
      <c r="BL19" s="4"/>
    </row>
    <row r="20" s="7" customFormat="1" ht="31" customHeight="1" spans="1:99">
      <c r="A20" s="31">
        <v>45826</v>
      </c>
      <c r="B20" s="32" t="s">
        <v>143</v>
      </c>
      <c r="C20" s="33" t="s">
        <v>98</v>
      </c>
      <c r="D20" s="4">
        <v>4500170460</v>
      </c>
      <c r="E20" s="33" t="s">
        <v>12090</v>
      </c>
      <c r="F20" s="4" t="s">
        <v>12096</v>
      </c>
      <c r="G20" s="49" t="s">
        <v>207</v>
      </c>
      <c r="H20" s="33" t="s">
        <v>102</v>
      </c>
      <c r="I20" s="33">
        <v>112</v>
      </c>
      <c r="J20" s="33">
        <v>0</v>
      </c>
      <c r="K20" s="33">
        <v>4</v>
      </c>
      <c r="L20" s="50">
        <f t="shared" si="0"/>
        <v>28</v>
      </c>
      <c r="M20" s="54">
        <v>45880</v>
      </c>
      <c r="N20" s="54">
        <v>45876</v>
      </c>
      <c r="O20" s="110">
        <v>45887</v>
      </c>
      <c r="P20" s="51"/>
      <c r="Q20" s="110"/>
      <c r="R20" s="33"/>
      <c r="S20" s="52" t="s">
        <v>147</v>
      </c>
      <c r="T20" s="52" t="s">
        <v>70</v>
      </c>
      <c r="U20" s="52" t="s">
        <v>1393</v>
      </c>
      <c r="V20" s="52"/>
      <c r="W20" s="52"/>
      <c r="X20" s="32" t="s">
        <v>12093</v>
      </c>
      <c r="Y20" s="54" t="s">
        <v>106</v>
      </c>
      <c r="Z20" s="60">
        <v>2.5402</v>
      </c>
      <c r="AA20" s="55">
        <f>Z20*I20</f>
        <v>284.5024</v>
      </c>
      <c r="AB20" s="33"/>
      <c r="AC20" s="33" t="s">
        <v>207</v>
      </c>
      <c r="AD20" s="33" t="s">
        <v>82</v>
      </c>
      <c r="AE20" s="33"/>
      <c r="AF20" s="33"/>
      <c r="AG20" s="56"/>
      <c r="AH20" s="56">
        <f t="shared" si="3"/>
        <v>-112</v>
      </c>
      <c r="AI20" s="57"/>
      <c r="AJ20" s="33"/>
      <c r="AK20" s="33"/>
      <c r="AL20" s="4">
        <f t="shared" si="2"/>
        <v>112</v>
      </c>
      <c r="AM20" s="4"/>
      <c r="AN20" s="4"/>
      <c r="AO20" s="4"/>
      <c r="AP20" s="4">
        <f>I20</f>
        <v>112</v>
      </c>
      <c r="AQ20" s="4"/>
      <c r="AR20" s="4">
        <f>I20</f>
        <v>112</v>
      </c>
      <c r="AS20" s="4"/>
      <c r="AT20" s="4">
        <f>I20</f>
        <v>112</v>
      </c>
      <c r="AU20" s="4"/>
      <c r="AV20" s="4"/>
      <c r="AW20" s="4"/>
      <c r="AX20" s="4"/>
      <c r="AY20" s="4"/>
      <c r="AZ20" s="4"/>
      <c r="BA20" s="4"/>
      <c r="BB20" s="4"/>
      <c r="BC20" s="4"/>
      <c r="BD20" s="4"/>
      <c r="BE20" s="4"/>
      <c r="BF20" s="4"/>
      <c r="BG20" s="4"/>
      <c r="BH20" s="4"/>
      <c r="BI20" s="4"/>
      <c r="BJ20" s="4"/>
      <c r="BK20" s="4"/>
      <c r="BL20" s="4"/>
    </row>
    <row r="21" s="3" customFormat="1" ht="31" customHeight="1" spans="1:99">
      <c r="A21" s="31">
        <v>45678</v>
      </c>
      <c r="B21" s="53" t="s">
        <v>1492</v>
      </c>
      <c r="C21" s="33" t="s">
        <v>98</v>
      </c>
      <c r="D21" s="3">
        <v>4500156320</v>
      </c>
      <c r="E21" s="33"/>
      <c r="F21" s="3" t="s">
        <v>12097</v>
      </c>
      <c r="G21" s="34" t="s">
        <v>909</v>
      </c>
      <c r="H21" s="34" t="s">
        <v>830</v>
      </c>
      <c r="I21" s="34">
        <v>72</v>
      </c>
      <c r="J21" s="34">
        <v>0</v>
      </c>
      <c r="K21" s="34">
        <v>1</v>
      </c>
      <c r="L21" s="35">
        <f t="shared" si="0"/>
        <v>72</v>
      </c>
      <c r="M21" s="111" t="e">
        <f>VLOOKUP(D21,'77673'!D:N,12,FALSE)</f>
        <v>#N/A</v>
      </c>
      <c r="N21" s="111" t="e">
        <f t="shared" ref="N21:N29" si="4">M21-4</f>
        <v>#N/A</v>
      </c>
      <c r="O21" s="37"/>
      <c r="P21" s="37"/>
      <c r="Q21" s="34"/>
      <c r="R21" s="38" t="s">
        <v>454</v>
      </c>
      <c r="S21" s="38" t="s">
        <v>70</v>
      </c>
      <c r="T21" s="38" t="s">
        <v>70</v>
      </c>
      <c r="U21" s="38"/>
      <c r="V21" s="112" t="s">
        <v>910</v>
      </c>
      <c r="W21" s="40" t="s">
        <v>911</v>
      </c>
      <c r="X21" s="40">
        <v>0</v>
      </c>
      <c r="Y21" s="41">
        <f t="shared" ref="Y21:Y29" si="5">X21*L21</f>
        <v>0</v>
      </c>
      <c r="Z21" s="34"/>
      <c r="AA21" s="113" t="s">
        <v>1498</v>
      </c>
      <c r="AB21" s="42" t="s">
        <v>82</v>
      </c>
      <c r="AC21" s="42"/>
      <c r="AD21" s="34"/>
      <c r="AE21" s="58"/>
      <c r="AF21" s="34">
        <v>0</v>
      </c>
      <c r="AG21" s="59"/>
      <c r="AH21" s="34"/>
      <c r="AI21" s="34"/>
      <c r="AJ21" s="34">
        <v>0</v>
      </c>
      <c r="AN21" s="48"/>
      <c r="AU21" s="47"/>
      <c r="AV21" s="47"/>
      <c r="CH21" s="48"/>
      <c r="CI21" s="48"/>
      <c r="CJ21" s="48"/>
      <c r="CK21" s="48"/>
      <c r="CL21" s="48"/>
      <c r="CP21" s="48"/>
      <c r="CQ21" s="48"/>
      <c r="CR21" s="48"/>
      <c r="CS21" s="48"/>
      <c r="CT21" s="48"/>
      <c r="CU21" s="48"/>
    </row>
    <row r="22" s="3" customFormat="1" ht="31" customHeight="1" spans="1:99">
      <c r="A22" s="31">
        <v>45678</v>
      </c>
      <c r="B22" s="53" t="s">
        <v>1492</v>
      </c>
      <c r="C22" s="33" t="s">
        <v>98</v>
      </c>
      <c r="D22" s="3">
        <v>4500156320</v>
      </c>
      <c r="E22" s="33"/>
      <c r="F22" s="3" t="s">
        <v>12097</v>
      </c>
      <c r="G22" s="34">
        <v>77711</v>
      </c>
      <c r="H22" s="34" t="s">
        <v>6033</v>
      </c>
      <c r="I22" s="34">
        <v>5400</v>
      </c>
      <c r="J22" s="34">
        <v>0</v>
      </c>
      <c r="K22" s="34">
        <v>75</v>
      </c>
      <c r="L22" s="35">
        <f t="shared" si="0"/>
        <v>72</v>
      </c>
      <c r="M22" s="111" t="e">
        <f>VLOOKUP(D22,'77673'!D:N,12,FALSE)</f>
        <v>#N/A</v>
      </c>
      <c r="N22" s="111" t="e">
        <f t="shared" si="4"/>
        <v>#N/A</v>
      </c>
      <c r="O22" s="37"/>
      <c r="P22" s="37"/>
      <c r="Q22" s="34"/>
      <c r="R22" s="52" t="s">
        <v>454</v>
      </c>
      <c r="S22" s="52" t="s">
        <v>70</v>
      </c>
      <c r="T22" s="38" t="s">
        <v>70</v>
      </c>
      <c r="U22" s="38"/>
      <c r="V22" s="108"/>
      <c r="W22" s="40" t="s">
        <v>911</v>
      </c>
      <c r="X22" s="40">
        <v>762.5</v>
      </c>
      <c r="Y22" s="41">
        <f t="shared" si="5"/>
        <v>54900</v>
      </c>
      <c r="Z22" s="34"/>
      <c r="AA22" s="113" t="s">
        <v>1498</v>
      </c>
      <c r="AB22" s="42" t="s">
        <v>82</v>
      </c>
      <c r="AC22" s="42"/>
      <c r="AD22" s="34"/>
      <c r="AE22" s="58"/>
      <c r="AF22" s="34">
        <f t="shared" ref="AF22:AF27" si="6">AE22-I22</f>
        <v>-5400</v>
      </c>
      <c r="AG22" s="59"/>
      <c r="AH22" s="34"/>
      <c r="AI22" s="34"/>
      <c r="AJ22" s="34">
        <f>I22*3</f>
        <v>16200</v>
      </c>
      <c r="AN22" s="48"/>
      <c r="AU22" s="47">
        <f>I22/48*3</f>
        <v>337.5</v>
      </c>
      <c r="AV22" s="47"/>
      <c r="AX22" s="3">
        <f>AJ22</f>
        <v>16200</v>
      </c>
      <c r="AY22" s="3">
        <f>AJ22</f>
        <v>16200</v>
      </c>
      <c r="AZ22" s="3">
        <f t="shared" ref="AZ22:AZ27" si="7">I22</f>
        <v>5400</v>
      </c>
      <c r="BA22" s="3">
        <f>I22/5</f>
        <v>1080</v>
      </c>
      <c r="CH22" s="48"/>
      <c r="CI22" s="48"/>
      <c r="CJ22" s="48"/>
      <c r="CK22" s="48"/>
      <c r="CL22" s="48"/>
      <c r="CP22" s="48"/>
      <c r="CQ22" s="48"/>
      <c r="CR22" s="48"/>
      <c r="CS22" s="48"/>
      <c r="CT22" s="48"/>
      <c r="CU22" s="48"/>
    </row>
    <row r="23" s="3" customFormat="1" ht="31" customHeight="1" spans="1:99">
      <c r="A23" s="31">
        <v>45820</v>
      </c>
      <c r="B23" s="32" t="s">
        <v>12098</v>
      </c>
      <c r="C23" s="33" t="s">
        <v>98</v>
      </c>
      <c r="D23" s="3">
        <v>4500169801</v>
      </c>
      <c r="E23" s="33">
        <v>794696</v>
      </c>
      <c r="F23" s="3" t="s">
        <v>12099</v>
      </c>
      <c r="G23" s="34" t="s">
        <v>6166</v>
      </c>
      <c r="H23" s="34" t="s">
        <v>6094</v>
      </c>
      <c r="I23" s="34">
        <v>11544</v>
      </c>
      <c r="J23" s="34">
        <v>0</v>
      </c>
      <c r="K23" s="34">
        <v>13</v>
      </c>
      <c r="L23" s="35">
        <f t="shared" si="0"/>
        <v>888</v>
      </c>
      <c r="M23" s="36">
        <v>45863</v>
      </c>
      <c r="N23" s="111" t="s">
        <v>12100</v>
      </c>
      <c r="O23" s="37"/>
      <c r="P23" s="37"/>
      <c r="Q23" s="34"/>
      <c r="R23" s="38">
        <v>45824</v>
      </c>
      <c r="S23" s="38" t="s">
        <v>70</v>
      </c>
      <c r="T23" s="38" t="s">
        <v>454</v>
      </c>
      <c r="U23" s="38"/>
      <c r="V23" s="108" t="s">
        <v>12101</v>
      </c>
      <c r="W23" s="40" t="s">
        <v>209</v>
      </c>
      <c r="X23" s="109">
        <v>0.5667</v>
      </c>
      <c r="Y23" s="41">
        <f>X23*I23</f>
        <v>6541.9848</v>
      </c>
      <c r="Z23" s="34"/>
      <c r="AA23" s="34" t="s">
        <v>6166</v>
      </c>
      <c r="AB23" s="42" t="s">
        <v>82</v>
      </c>
      <c r="AC23" s="42"/>
      <c r="AD23" s="34"/>
      <c r="AE23" s="58"/>
      <c r="AF23" s="34">
        <f t="shared" si="6"/>
        <v>-11544</v>
      </c>
      <c r="AG23" s="59"/>
      <c r="AH23" s="34"/>
      <c r="AI23" s="34"/>
      <c r="AJ23" s="4">
        <f>I23</f>
        <v>11544</v>
      </c>
      <c r="AK23" s="4"/>
      <c r="AN23" s="48"/>
      <c r="AO23" s="3">
        <f>I23</f>
        <v>11544</v>
      </c>
      <c r="AQ23" s="4">
        <f>I23</f>
        <v>11544</v>
      </c>
      <c r="AU23" s="114">
        <f>I23/24</f>
        <v>481</v>
      </c>
      <c r="AV23" s="47"/>
      <c r="BB23" s="3">
        <f>I23/13</f>
        <v>888</v>
      </c>
      <c r="CH23" s="48"/>
      <c r="CI23" s="48"/>
      <c r="CJ23" s="48"/>
      <c r="CK23" s="48"/>
      <c r="CL23" s="48"/>
      <c r="CP23" s="48"/>
      <c r="CQ23" s="48"/>
      <c r="CR23" s="48"/>
      <c r="CS23" s="48"/>
      <c r="CT23" s="48"/>
      <c r="CU23" s="48"/>
    </row>
    <row r="24" s="4" customFormat="1" ht="31" customHeight="1" spans="1:99">
      <c r="A24" s="31">
        <v>45678</v>
      </c>
      <c r="B24" s="32" t="s">
        <v>1492</v>
      </c>
      <c r="C24" s="33" t="s">
        <v>98</v>
      </c>
      <c r="D24" s="4">
        <v>4500156321</v>
      </c>
      <c r="E24" s="115" t="s">
        <v>12102</v>
      </c>
      <c r="F24" s="4" t="s">
        <v>12103</v>
      </c>
      <c r="G24" s="49" t="s">
        <v>909</v>
      </c>
      <c r="H24" s="33" t="s">
        <v>830</v>
      </c>
      <c r="I24" s="33">
        <v>72</v>
      </c>
      <c r="J24" s="33">
        <v>0</v>
      </c>
      <c r="K24" s="33">
        <v>1</v>
      </c>
      <c r="L24" s="50">
        <f t="shared" si="0"/>
        <v>72</v>
      </c>
      <c r="M24" s="111">
        <v>45912</v>
      </c>
      <c r="N24" s="111">
        <f t="shared" si="4"/>
        <v>45908</v>
      </c>
      <c r="O24" s="110">
        <v>45915</v>
      </c>
      <c r="P24" s="51"/>
      <c r="Q24" s="51"/>
      <c r="R24" s="33"/>
      <c r="S24" s="52" t="s">
        <v>454</v>
      </c>
      <c r="T24" s="52" t="s">
        <v>70</v>
      </c>
      <c r="U24" s="52" t="s">
        <v>454</v>
      </c>
      <c r="V24" s="52"/>
      <c r="W24" s="116"/>
      <c r="X24" s="117" t="s">
        <v>1653</v>
      </c>
      <c r="Y24" s="54" t="s">
        <v>911</v>
      </c>
      <c r="Z24" s="60">
        <v>0</v>
      </c>
      <c r="AA24" s="55">
        <f>Z24*L24</f>
        <v>0</v>
      </c>
      <c r="AB24" s="33"/>
      <c r="AC24" s="118" t="s">
        <v>1498</v>
      </c>
      <c r="AD24" s="33" t="s">
        <v>82</v>
      </c>
      <c r="AE24" s="33"/>
      <c r="AF24" s="33"/>
      <c r="AG24" s="56"/>
      <c r="AH24" s="56">
        <f t="shared" si="3"/>
        <v>-72</v>
      </c>
      <c r="AI24" s="57"/>
      <c r="AJ24" s="33"/>
      <c r="AK24" s="33"/>
      <c r="AM24" s="4">
        <v>0</v>
      </c>
    </row>
    <row r="25" s="4" customFormat="1" ht="31" customHeight="1" spans="1:99">
      <c r="A25" s="31">
        <v>45678</v>
      </c>
      <c r="B25" s="32" t="s">
        <v>1492</v>
      </c>
      <c r="C25" s="33" t="s">
        <v>98</v>
      </c>
      <c r="D25" s="4">
        <v>4500156321</v>
      </c>
      <c r="E25" s="115" t="s">
        <v>12102</v>
      </c>
      <c r="F25" s="4" t="s">
        <v>12103</v>
      </c>
      <c r="G25" s="49">
        <v>77673</v>
      </c>
      <c r="H25" s="33" t="s">
        <v>112</v>
      </c>
      <c r="I25" s="33">
        <v>5400</v>
      </c>
      <c r="J25" s="33">
        <v>0</v>
      </c>
      <c r="K25" s="33">
        <v>75</v>
      </c>
      <c r="L25" s="50">
        <f t="shared" si="0"/>
        <v>72</v>
      </c>
      <c r="M25" s="111">
        <v>45912</v>
      </c>
      <c r="N25" s="111">
        <f t="shared" si="4"/>
        <v>45908</v>
      </c>
      <c r="O25" s="110">
        <v>45915</v>
      </c>
      <c r="P25" s="51"/>
      <c r="Q25" s="51"/>
      <c r="R25" s="33"/>
      <c r="S25" s="52" t="s">
        <v>454</v>
      </c>
      <c r="T25" s="52" t="s">
        <v>70</v>
      </c>
      <c r="U25" s="52" t="s">
        <v>454</v>
      </c>
      <c r="V25" s="52"/>
      <c r="W25" s="119"/>
      <c r="X25" s="120"/>
      <c r="Y25" s="54" t="s">
        <v>911</v>
      </c>
      <c r="Z25" s="60">
        <v>762.5</v>
      </c>
      <c r="AA25" s="55">
        <f>Z25*L25</f>
        <v>54900</v>
      </c>
      <c r="AB25" s="33"/>
      <c r="AC25" s="118" t="s">
        <v>1498</v>
      </c>
      <c r="AD25" s="33" t="s">
        <v>82</v>
      </c>
      <c r="AE25" s="33"/>
      <c r="AF25" s="33"/>
      <c r="AG25" s="56"/>
      <c r="AH25" s="56">
        <f t="shared" si="3"/>
        <v>-5400</v>
      </c>
      <c r="AI25" s="57"/>
      <c r="AJ25" s="33"/>
      <c r="AK25" s="33"/>
      <c r="AM25" s="4">
        <f>I25</f>
        <v>5400</v>
      </c>
      <c r="AX25" s="4">
        <f>I25</f>
        <v>5400</v>
      </c>
      <c r="AY25" s="4">
        <f>I25</f>
        <v>5400</v>
      </c>
      <c r="AZ25" s="121">
        <f t="shared" si="7"/>
        <v>5400</v>
      </c>
      <c r="BA25" s="121">
        <f>I25</f>
        <v>5400</v>
      </c>
      <c r="BB25" s="121">
        <f>I25/5</f>
        <v>1080</v>
      </c>
    </row>
    <row r="26" s="3" customFormat="1" ht="31" customHeight="1" spans="1:99">
      <c r="A26" s="31">
        <v>45678</v>
      </c>
      <c r="B26" s="53" t="s">
        <v>1492</v>
      </c>
      <c r="C26" s="33" t="s">
        <v>98</v>
      </c>
      <c r="D26" s="3">
        <v>4500156321</v>
      </c>
      <c r="E26" s="115" t="s">
        <v>12102</v>
      </c>
      <c r="F26" s="3" t="s">
        <v>12103</v>
      </c>
      <c r="G26" s="34" t="s">
        <v>909</v>
      </c>
      <c r="H26" s="34" t="s">
        <v>830</v>
      </c>
      <c r="I26" s="34">
        <v>72</v>
      </c>
      <c r="J26" s="34">
        <v>0</v>
      </c>
      <c r="K26" s="34">
        <v>1</v>
      </c>
      <c r="L26" s="35">
        <f t="shared" si="0"/>
        <v>72</v>
      </c>
      <c r="M26" s="111">
        <v>45912</v>
      </c>
      <c r="N26" s="111">
        <f t="shared" si="4"/>
        <v>45908</v>
      </c>
      <c r="O26" s="37"/>
      <c r="P26" s="37"/>
      <c r="Q26" s="34"/>
      <c r="R26" s="38">
        <v>45832</v>
      </c>
      <c r="S26" s="38" t="s">
        <v>70</v>
      </c>
      <c r="T26" s="38" t="s">
        <v>70</v>
      </c>
      <c r="U26" s="38"/>
      <c r="V26" s="117" t="s">
        <v>1653</v>
      </c>
      <c r="W26" s="40" t="s">
        <v>911</v>
      </c>
      <c r="X26" s="40">
        <v>0</v>
      </c>
      <c r="Y26" s="41">
        <f t="shared" si="5"/>
        <v>0</v>
      </c>
      <c r="Z26" s="34"/>
      <c r="AA26" s="113" t="s">
        <v>1498</v>
      </c>
      <c r="AB26" s="42" t="s">
        <v>82</v>
      </c>
      <c r="AC26" s="42"/>
      <c r="AD26" s="34"/>
      <c r="AE26" s="58"/>
      <c r="AF26" s="34">
        <f t="shared" si="6"/>
        <v>-72</v>
      </c>
      <c r="AG26" s="59"/>
      <c r="AH26" s="34"/>
      <c r="AI26" s="34"/>
      <c r="AJ26" s="34"/>
      <c r="AN26" s="48"/>
      <c r="AU26" s="122"/>
      <c r="AV26" s="47"/>
      <c r="CF26" s="48"/>
      <c r="CG26" s="48"/>
      <c r="CH26" s="48"/>
      <c r="CI26" s="48"/>
      <c r="CJ26" s="48"/>
      <c r="CN26" s="48"/>
      <c r="CO26" s="48"/>
      <c r="CP26" s="48"/>
      <c r="CQ26" s="48"/>
      <c r="CR26" s="48"/>
      <c r="CS26" s="48"/>
    </row>
    <row r="27" s="3" customFormat="1" ht="31" customHeight="1" spans="1:99">
      <c r="A27" s="31">
        <v>45678</v>
      </c>
      <c r="B27" s="53" t="s">
        <v>1492</v>
      </c>
      <c r="C27" s="33" t="s">
        <v>98</v>
      </c>
      <c r="D27" s="3">
        <v>4500156321</v>
      </c>
      <c r="E27" s="115" t="s">
        <v>12102</v>
      </c>
      <c r="F27" s="3" t="s">
        <v>12103</v>
      </c>
      <c r="G27" s="34">
        <v>77711</v>
      </c>
      <c r="H27" s="34" t="s">
        <v>6033</v>
      </c>
      <c r="I27" s="34">
        <v>5400</v>
      </c>
      <c r="J27" s="34">
        <v>0</v>
      </c>
      <c r="K27" s="34">
        <v>75</v>
      </c>
      <c r="L27" s="35">
        <f t="shared" si="0"/>
        <v>72</v>
      </c>
      <c r="M27" s="111">
        <v>45912</v>
      </c>
      <c r="N27" s="111">
        <f t="shared" si="4"/>
        <v>45908</v>
      </c>
      <c r="O27" s="37"/>
      <c r="P27" s="37"/>
      <c r="Q27" s="34"/>
      <c r="R27" s="38">
        <v>45832</v>
      </c>
      <c r="S27" s="52" t="s">
        <v>70</v>
      </c>
      <c r="T27" s="38" t="s">
        <v>70</v>
      </c>
      <c r="U27" s="38"/>
      <c r="V27" s="120"/>
      <c r="W27" s="40" t="s">
        <v>911</v>
      </c>
      <c r="X27" s="40">
        <v>762.5</v>
      </c>
      <c r="Y27" s="41">
        <f t="shared" si="5"/>
        <v>54900</v>
      </c>
      <c r="Z27" s="34"/>
      <c r="AA27" s="113" t="s">
        <v>1498</v>
      </c>
      <c r="AB27" s="42" t="s">
        <v>82</v>
      </c>
      <c r="AC27" s="42"/>
      <c r="AD27" s="34"/>
      <c r="AE27" s="58"/>
      <c r="AF27" s="34">
        <f t="shared" si="6"/>
        <v>-5400</v>
      </c>
      <c r="AG27" s="59"/>
      <c r="AH27" s="34"/>
      <c r="AI27" s="34"/>
      <c r="AJ27" s="34">
        <f>I27*3</f>
        <v>16200</v>
      </c>
      <c r="AN27" s="48"/>
      <c r="AU27" s="122">
        <f>I27/24*2</f>
        <v>450</v>
      </c>
      <c r="AV27" s="47"/>
      <c r="AX27" s="3">
        <f>AJ27</f>
        <v>16200</v>
      </c>
      <c r="AY27" s="3">
        <f>AJ27</f>
        <v>16200</v>
      </c>
      <c r="AZ27" s="3">
        <f t="shared" si="7"/>
        <v>5400</v>
      </c>
      <c r="BA27" s="3">
        <f>I27/5</f>
        <v>1080</v>
      </c>
      <c r="CF27" s="48"/>
      <c r="CG27" s="48"/>
      <c r="CH27" s="48"/>
      <c r="CI27" s="48"/>
      <c r="CJ27" s="48"/>
      <c r="CN27" s="48"/>
      <c r="CO27" s="48"/>
      <c r="CP27" s="48"/>
      <c r="CQ27" s="48"/>
      <c r="CR27" s="48"/>
      <c r="CS27" s="48"/>
    </row>
    <row r="28" s="3" customFormat="1" ht="31" customHeight="1" spans="1:99">
      <c r="A28" s="31">
        <v>45678</v>
      </c>
      <c r="B28" s="53" t="s">
        <v>1492</v>
      </c>
      <c r="C28" s="33" t="s">
        <v>98</v>
      </c>
      <c r="D28" s="3">
        <v>4500156320</v>
      </c>
      <c r="E28" s="115" t="s">
        <v>12104</v>
      </c>
      <c r="F28" s="3" t="s">
        <v>12097</v>
      </c>
      <c r="G28" s="34" t="s">
        <v>909</v>
      </c>
      <c r="H28" s="34" t="s">
        <v>830</v>
      </c>
      <c r="I28" s="34">
        <v>72</v>
      </c>
      <c r="J28" s="34">
        <v>0</v>
      </c>
      <c r="K28" s="34">
        <v>1</v>
      </c>
      <c r="L28" s="35">
        <f t="shared" si="0"/>
        <v>72</v>
      </c>
      <c r="M28" s="111">
        <v>45924</v>
      </c>
      <c r="N28" s="111">
        <f t="shared" si="4"/>
        <v>45920</v>
      </c>
      <c r="O28" s="37"/>
      <c r="P28" s="37"/>
      <c r="Q28" s="34"/>
      <c r="R28" s="38">
        <v>45832</v>
      </c>
      <c r="S28" s="38" t="s">
        <v>70</v>
      </c>
      <c r="T28" s="38" t="s">
        <v>70</v>
      </c>
      <c r="U28" s="38"/>
      <c r="V28" s="123" t="s">
        <v>1653</v>
      </c>
      <c r="W28" s="40" t="s">
        <v>911</v>
      </c>
      <c r="X28" s="40">
        <v>0</v>
      </c>
      <c r="Y28" s="41">
        <f t="shared" si="5"/>
        <v>0</v>
      </c>
      <c r="Z28" s="34"/>
      <c r="AA28" s="113" t="s">
        <v>1498</v>
      </c>
      <c r="AB28" s="42" t="s">
        <v>82</v>
      </c>
      <c r="AC28" s="42"/>
      <c r="AD28" s="34"/>
      <c r="AE28" s="58"/>
      <c r="AF28" s="34">
        <v>0</v>
      </c>
      <c r="AG28" s="59"/>
      <c r="AH28" s="34"/>
      <c r="AI28" s="34"/>
      <c r="AJ28" s="34"/>
      <c r="AN28" s="48"/>
      <c r="AU28" s="122"/>
      <c r="AV28" s="47"/>
      <c r="CF28" s="48"/>
      <c r="CG28" s="48"/>
      <c r="CH28" s="48"/>
      <c r="CI28" s="48"/>
      <c r="CJ28" s="48"/>
      <c r="CN28" s="48"/>
      <c r="CO28" s="48"/>
      <c r="CP28" s="48"/>
      <c r="CQ28" s="48"/>
      <c r="CR28" s="48"/>
      <c r="CS28" s="48"/>
    </row>
    <row r="29" s="3" customFormat="1" ht="31" customHeight="1" spans="1:99">
      <c r="A29" s="31">
        <v>45678</v>
      </c>
      <c r="B29" s="53" t="s">
        <v>1492</v>
      </c>
      <c r="C29" s="33" t="s">
        <v>98</v>
      </c>
      <c r="D29" s="3">
        <v>4500156320</v>
      </c>
      <c r="E29" s="115" t="s">
        <v>12104</v>
      </c>
      <c r="F29" s="3" t="s">
        <v>12097</v>
      </c>
      <c r="G29" s="34">
        <v>77711</v>
      </c>
      <c r="H29" s="34" t="s">
        <v>6033</v>
      </c>
      <c r="I29" s="34">
        <v>5400</v>
      </c>
      <c r="J29" s="34">
        <v>0</v>
      </c>
      <c r="K29" s="34">
        <v>75</v>
      </c>
      <c r="L29" s="35">
        <f t="shared" si="0"/>
        <v>72</v>
      </c>
      <c r="M29" s="111">
        <v>45924</v>
      </c>
      <c r="N29" s="111">
        <f t="shared" si="4"/>
        <v>45920</v>
      </c>
      <c r="O29" s="37"/>
      <c r="P29" s="37"/>
      <c r="Q29" s="34"/>
      <c r="R29" s="38">
        <v>45832</v>
      </c>
      <c r="S29" s="52" t="s">
        <v>70</v>
      </c>
      <c r="T29" s="38" t="s">
        <v>70</v>
      </c>
      <c r="U29" s="38"/>
      <c r="V29" s="124"/>
      <c r="W29" s="40" t="s">
        <v>911</v>
      </c>
      <c r="X29" s="40">
        <v>762.5</v>
      </c>
      <c r="Y29" s="41">
        <f t="shared" si="5"/>
        <v>54900</v>
      </c>
      <c r="Z29" s="34"/>
      <c r="AA29" s="113" t="s">
        <v>1498</v>
      </c>
      <c r="AB29" s="42" t="s">
        <v>82</v>
      </c>
      <c r="AC29" s="42"/>
      <c r="AD29" s="34"/>
      <c r="AE29" s="58"/>
      <c r="AF29" s="34">
        <f>AE29-I29</f>
        <v>-5400</v>
      </c>
      <c r="AG29" s="59"/>
      <c r="AH29" s="34"/>
      <c r="AI29" s="34"/>
      <c r="AJ29" s="34">
        <f>I29*3</f>
        <v>16200</v>
      </c>
      <c r="AN29" s="48"/>
      <c r="AU29" s="122">
        <f>I29/24*2</f>
        <v>450</v>
      </c>
      <c r="AV29" s="47"/>
      <c r="AX29" s="3">
        <f>AJ29</f>
        <v>16200</v>
      </c>
      <c r="AY29" s="3">
        <f>AJ29</f>
        <v>16200</v>
      </c>
      <c r="AZ29" s="3">
        <f t="shared" ref="AZ29:AZ33" si="8">I29</f>
        <v>5400</v>
      </c>
      <c r="BA29" s="3">
        <f>I29/5</f>
        <v>1080</v>
      </c>
      <c r="CF29" s="48"/>
      <c r="CG29" s="48"/>
      <c r="CH29" s="48"/>
      <c r="CI29" s="48"/>
      <c r="CJ29" s="48"/>
      <c r="CN29" s="48"/>
      <c r="CO29" s="48"/>
      <c r="CP29" s="48"/>
      <c r="CQ29" s="48"/>
      <c r="CR29" s="48"/>
      <c r="CS29" s="48"/>
    </row>
    <row r="30" s="4" customFormat="1" ht="31" customHeight="1" spans="1:99">
      <c r="A30" s="31">
        <v>45678</v>
      </c>
      <c r="B30" s="32" t="s">
        <v>1492</v>
      </c>
      <c r="C30" s="33" t="s">
        <v>98</v>
      </c>
      <c r="D30" s="3">
        <v>4500156320</v>
      </c>
      <c r="E30" s="115" t="s">
        <v>12104</v>
      </c>
      <c r="F30" s="3" t="s">
        <v>12097</v>
      </c>
      <c r="G30" s="49" t="s">
        <v>909</v>
      </c>
      <c r="H30" s="33" t="s">
        <v>830</v>
      </c>
      <c r="I30" s="34">
        <v>72</v>
      </c>
      <c r="J30" s="34">
        <v>0</v>
      </c>
      <c r="K30" s="34">
        <v>1</v>
      </c>
      <c r="L30" s="35">
        <f t="shared" si="0"/>
        <v>72</v>
      </c>
      <c r="M30" s="125">
        <v>45924</v>
      </c>
      <c r="N30" s="125">
        <v>45920</v>
      </c>
      <c r="O30" s="110">
        <v>45912</v>
      </c>
      <c r="P30" s="51"/>
      <c r="Q30" s="51"/>
      <c r="R30" s="33"/>
      <c r="S30" s="52" t="s">
        <v>454</v>
      </c>
      <c r="T30" s="52" t="s">
        <v>70</v>
      </c>
      <c r="U30" s="52" t="s">
        <v>454</v>
      </c>
      <c r="V30" s="52"/>
      <c r="W30" s="116"/>
      <c r="X30" s="123" t="s">
        <v>1653</v>
      </c>
      <c r="Y30" s="54" t="s">
        <v>911</v>
      </c>
      <c r="Z30" s="60">
        <v>0</v>
      </c>
      <c r="AA30" s="55">
        <f t="shared" ref="AA30:AA33" si="9">Z30*L30</f>
        <v>0</v>
      </c>
      <c r="AB30" s="33"/>
      <c r="AC30" s="118" t="s">
        <v>1498</v>
      </c>
      <c r="AD30" s="33" t="s">
        <v>82</v>
      </c>
      <c r="AE30" s="33"/>
      <c r="AF30" s="33"/>
      <c r="AG30" s="56"/>
      <c r="AH30" s="56">
        <f t="shared" ref="AH30:AH33" si="10">AG30-I30</f>
        <v>-72</v>
      </c>
      <c r="AI30" s="57"/>
      <c r="AJ30" s="33"/>
      <c r="AK30" s="33"/>
      <c r="AM30" s="4">
        <v>0</v>
      </c>
    </row>
    <row r="31" s="4" customFormat="1" ht="31" customHeight="1" spans="1:99">
      <c r="A31" s="31">
        <v>45678</v>
      </c>
      <c r="B31" s="32" t="s">
        <v>1492</v>
      </c>
      <c r="C31" s="33" t="s">
        <v>98</v>
      </c>
      <c r="D31" s="3">
        <v>4500156320</v>
      </c>
      <c r="E31" s="115" t="s">
        <v>12104</v>
      </c>
      <c r="F31" s="3" t="s">
        <v>12097</v>
      </c>
      <c r="G31" s="51">
        <v>77673</v>
      </c>
      <c r="H31" s="33" t="s">
        <v>112</v>
      </c>
      <c r="I31" s="34">
        <v>5400</v>
      </c>
      <c r="J31" s="34">
        <v>0</v>
      </c>
      <c r="K31" s="34">
        <v>75</v>
      </c>
      <c r="L31" s="35">
        <f t="shared" si="0"/>
        <v>72</v>
      </c>
      <c r="M31" s="125">
        <v>45924</v>
      </c>
      <c r="N31" s="125">
        <v>45920</v>
      </c>
      <c r="O31" s="110">
        <v>45912</v>
      </c>
      <c r="P31" s="51"/>
      <c r="Q31" s="51"/>
      <c r="R31" s="33"/>
      <c r="S31" s="52" t="s">
        <v>454</v>
      </c>
      <c r="T31" s="52" t="s">
        <v>70</v>
      </c>
      <c r="U31" s="52" t="s">
        <v>454</v>
      </c>
      <c r="V31" s="52"/>
      <c r="W31" s="119"/>
      <c r="X31" s="124"/>
      <c r="Y31" s="54" t="s">
        <v>911</v>
      </c>
      <c r="Z31" s="60">
        <v>762.5</v>
      </c>
      <c r="AA31" s="55">
        <f t="shared" si="9"/>
        <v>54900</v>
      </c>
      <c r="AB31" s="33"/>
      <c r="AC31" s="118" t="s">
        <v>1498</v>
      </c>
      <c r="AD31" s="33" t="s">
        <v>82</v>
      </c>
      <c r="AE31" s="33"/>
      <c r="AF31" s="33"/>
      <c r="AG31" s="56"/>
      <c r="AH31" s="56">
        <f t="shared" si="10"/>
        <v>-5400</v>
      </c>
      <c r="AI31" s="57"/>
      <c r="AJ31" s="33"/>
      <c r="AK31" s="33"/>
      <c r="AM31" s="4">
        <f>I31</f>
        <v>5400</v>
      </c>
      <c r="AX31" s="4">
        <f>I31</f>
        <v>5400</v>
      </c>
      <c r="AY31" s="4">
        <f>I31</f>
        <v>5400</v>
      </c>
      <c r="AZ31" s="121">
        <f t="shared" si="8"/>
        <v>5400</v>
      </c>
      <c r="BA31" s="121">
        <f>I31</f>
        <v>5400</v>
      </c>
      <c r="BB31" s="121">
        <f>I31/5</f>
        <v>1080</v>
      </c>
    </row>
    <row r="32" s="4" customFormat="1" ht="31" customHeight="1" spans="1:99">
      <c r="A32" s="31">
        <v>45678</v>
      </c>
      <c r="B32" s="32" t="s">
        <v>1492</v>
      </c>
      <c r="C32" s="33" t="s">
        <v>98</v>
      </c>
      <c r="D32" s="4">
        <v>4500156327</v>
      </c>
      <c r="E32" s="115" t="s">
        <v>12105</v>
      </c>
      <c r="F32" s="4" t="s">
        <v>12106</v>
      </c>
      <c r="G32" s="49" t="s">
        <v>909</v>
      </c>
      <c r="H32" s="33" t="s">
        <v>830</v>
      </c>
      <c r="I32" s="33">
        <v>72</v>
      </c>
      <c r="J32" s="33">
        <v>0</v>
      </c>
      <c r="K32" s="33">
        <v>1</v>
      </c>
      <c r="L32" s="50">
        <f t="shared" si="0"/>
        <v>72</v>
      </c>
      <c r="M32" s="111">
        <v>45906</v>
      </c>
      <c r="N32" s="111">
        <v>45902</v>
      </c>
      <c r="O32" s="110">
        <v>45902</v>
      </c>
      <c r="P32" s="51"/>
      <c r="Q32" s="51"/>
      <c r="R32" s="33"/>
      <c r="S32" s="52" t="s">
        <v>454</v>
      </c>
      <c r="T32" s="52" t="s">
        <v>70</v>
      </c>
      <c r="U32" s="52" t="s">
        <v>454</v>
      </c>
      <c r="V32" s="52"/>
      <c r="W32" s="116"/>
      <c r="X32" s="126" t="s">
        <v>1599</v>
      </c>
      <c r="Y32" s="54" t="s">
        <v>911</v>
      </c>
      <c r="Z32" s="60">
        <v>0</v>
      </c>
      <c r="AA32" s="55">
        <f t="shared" si="9"/>
        <v>0</v>
      </c>
      <c r="AB32" s="33"/>
      <c r="AC32" s="118" t="s">
        <v>1498</v>
      </c>
      <c r="AD32" s="33" t="s">
        <v>82</v>
      </c>
      <c r="AE32" s="33"/>
      <c r="AF32" s="33"/>
      <c r="AG32" s="56"/>
      <c r="AH32" s="56">
        <f t="shared" si="10"/>
        <v>-72</v>
      </c>
      <c r="AI32" s="57"/>
      <c r="AJ32" s="33"/>
      <c r="AK32" s="33"/>
      <c r="AM32" s="4">
        <v>0</v>
      </c>
    </row>
    <row r="33" s="4" customFormat="1" ht="31" customHeight="1" spans="1:97">
      <c r="A33" s="31">
        <v>45678</v>
      </c>
      <c r="B33" s="32" t="s">
        <v>1492</v>
      </c>
      <c r="C33" s="33" t="s">
        <v>98</v>
      </c>
      <c r="D33" s="4">
        <v>4500156327</v>
      </c>
      <c r="E33" s="115" t="s">
        <v>12105</v>
      </c>
      <c r="F33" s="4" t="s">
        <v>12106</v>
      </c>
      <c r="G33" s="49">
        <v>77673</v>
      </c>
      <c r="H33" s="33" t="s">
        <v>112</v>
      </c>
      <c r="I33" s="33">
        <v>5400</v>
      </c>
      <c r="J33" s="33">
        <v>0</v>
      </c>
      <c r="K33" s="33">
        <v>75</v>
      </c>
      <c r="L33" s="50">
        <f t="shared" si="0"/>
        <v>72</v>
      </c>
      <c r="M33" s="111">
        <v>45906</v>
      </c>
      <c r="N33" s="111">
        <v>45902</v>
      </c>
      <c r="O33" s="110">
        <v>45902</v>
      </c>
      <c r="P33" s="51"/>
      <c r="Q33" s="51"/>
      <c r="R33" s="33"/>
      <c r="S33" s="52" t="s">
        <v>454</v>
      </c>
      <c r="T33" s="52" t="s">
        <v>70</v>
      </c>
      <c r="U33" s="52" t="s">
        <v>454</v>
      </c>
      <c r="V33" s="52"/>
      <c r="W33" s="119"/>
      <c r="X33" s="126"/>
      <c r="Y33" s="54" t="s">
        <v>911</v>
      </c>
      <c r="Z33" s="60">
        <v>762.5</v>
      </c>
      <c r="AA33" s="55">
        <f t="shared" si="9"/>
        <v>54900</v>
      </c>
      <c r="AB33" s="33"/>
      <c r="AC33" s="118" t="s">
        <v>1498</v>
      </c>
      <c r="AD33" s="33" t="s">
        <v>82</v>
      </c>
      <c r="AE33" s="33"/>
      <c r="AF33" s="33"/>
      <c r="AG33" s="56"/>
      <c r="AH33" s="56">
        <f t="shared" si="10"/>
        <v>-5400</v>
      </c>
      <c r="AI33" s="57"/>
      <c r="AJ33" s="33"/>
      <c r="AK33" s="33"/>
      <c r="AM33" s="4">
        <f>I33</f>
        <v>5400</v>
      </c>
      <c r="AX33" s="4">
        <f>I33</f>
        <v>5400</v>
      </c>
      <c r="AY33" s="4">
        <f>I33</f>
        <v>5400</v>
      </c>
      <c r="AZ33" s="121">
        <f t="shared" si="8"/>
        <v>5400</v>
      </c>
      <c r="BA33" s="121">
        <f>I33</f>
        <v>5400</v>
      </c>
      <c r="BB33" s="121">
        <f>I33/5</f>
        <v>1080</v>
      </c>
    </row>
    <row r="34" s="3" customFormat="1" ht="31" customHeight="1" spans="1:97">
      <c r="A34" s="31">
        <v>45678</v>
      </c>
      <c r="B34" s="53" t="s">
        <v>1492</v>
      </c>
      <c r="C34" s="33" t="s">
        <v>98</v>
      </c>
      <c r="D34" s="3">
        <v>4500156327</v>
      </c>
      <c r="E34" s="115" t="s">
        <v>12105</v>
      </c>
      <c r="F34" s="3" t="s">
        <v>12106</v>
      </c>
      <c r="G34" s="34" t="s">
        <v>909</v>
      </c>
      <c r="H34" s="34" t="s">
        <v>830</v>
      </c>
      <c r="I34" s="34">
        <v>72</v>
      </c>
      <c r="J34" s="34">
        <v>0</v>
      </c>
      <c r="K34" s="34">
        <v>1</v>
      </c>
      <c r="L34" s="35">
        <f t="shared" si="0"/>
        <v>72</v>
      </c>
      <c r="M34" s="111">
        <v>45906</v>
      </c>
      <c r="N34" s="111">
        <f t="shared" ref="N34:N43" si="11">M34-4</f>
        <v>45902</v>
      </c>
      <c r="O34" s="37"/>
      <c r="P34" s="37"/>
      <c r="Q34" s="34"/>
      <c r="R34" s="38">
        <v>45832</v>
      </c>
      <c r="S34" s="38" t="s">
        <v>70</v>
      </c>
      <c r="T34" s="38" t="s">
        <v>70</v>
      </c>
      <c r="U34" s="38"/>
      <c r="V34" s="126" t="s">
        <v>1599</v>
      </c>
      <c r="W34" s="40" t="s">
        <v>911</v>
      </c>
      <c r="X34" s="40">
        <v>0</v>
      </c>
      <c r="Y34" s="41">
        <f t="shared" ref="Y34:Y39" si="12">X34*L34</f>
        <v>0</v>
      </c>
      <c r="Z34" s="34"/>
      <c r="AA34" s="113" t="s">
        <v>1498</v>
      </c>
      <c r="AB34" s="42" t="s">
        <v>82</v>
      </c>
      <c r="AC34" s="42"/>
      <c r="AD34" s="34"/>
      <c r="AE34" s="58"/>
      <c r="AF34" s="34">
        <f t="shared" ref="AF34:AF39" si="13">AE34-I34</f>
        <v>-72</v>
      </c>
      <c r="AG34" s="59"/>
      <c r="AH34" s="34"/>
      <c r="AI34" s="34"/>
      <c r="AJ34" s="34"/>
      <c r="AN34" s="48"/>
      <c r="AU34" s="122"/>
      <c r="AV34" s="47"/>
      <c r="CF34" s="48"/>
      <c r="CG34" s="48"/>
      <c r="CH34" s="48"/>
      <c r="CI34" s="48"/>
      <c r="CJ34" s="48"/>
      <c r="CN34" s="48"/>
      <c r="CO34" s="48"/>
      <c r="CP34" s="48"/>
      <c r="CQ34" s="48"/>
      <c r="CR34" s="48"/>
      <c r="CS34" s="48"/>
    </row>
    <row r="35" s="3" customFormat="1" ht="31" customHeight="1" spans="1:97">
      <c r="A35" s="31">
        <v>45678</v>
      </c>
      <c r="B35" s="53" t="s">
        <v>1492</v>
      </c>
      <c r="C35" s="33" t="s">
        <v>98</v>
      </c>
      <c r="D35" s="3">
        <v>4500156327</v>
      </c>
      <c r="E35" s="115" t="s">
        <v>12105</v>
      </c>
      <c r="F35" s="3" t="s">
        <v>12106</v>
      </c>
      <c r="G35" s="34">
        <v>77711</v>
      </c>
      <c r="H35" s="34" t="s">
        <v>6033</v>
      </c>
      <c r="I35" s="34">
        <v>5400</v>
      </c>
      <c r="J35" s="34">
        <v>0</v>
      </c>
      <c r="K35" s="34">
        <v>75</v>
      </c>
      <c r="L35" s="35">
        <f t="shared" si="0"/>
        <v>72</v>
      </c>
      <c r="M35" s="111">
        <v>45906</v>
      </c>
      <c r="N35" s="111">
        <f t="shared" si="11"/>
        <v>45902</v>
      </c>
      <c r="O35" s="37"/>
      <c r="P35" s="37"/>
      <c r="Q35" s="34"/>
      <c r="R35" s="38">
        <v>45832</v>
      </c>
      <c r="S35" s="52" t="s">
        <v>70</v>
      </c>
      <c r="T35" s="38" t="s">
        <v>70</v>
      </c>
      <c r="U35" s="38"/>
      <c r="V35" s="126"/>
      <c r="W35" s="40" t="s">
        <v>911</v>
      </c>
      <c r="X35" s="40">
        <v>762.5</v>
      </c>
      <c r="Y35" s="41">
        <f t="shared" si="12"/>
        <v>54900</v>
      </c>
      <c r="Z35" s="34"/>
      <c r="AA35" s="113" t="s">
        <v>1498</v>
      </c>
      <c r="AB35" s="42" t="s">
        <v>82</v>
      </c>
      <c r="AC35" s="42"/>
      <c r="AD35" s="34"/>
      <c r="AE35" s="58"/>
      <c r="AF35" s="34">
        <f t="shared" si="13"/>
        <v>-5400</v>
      </c>
      <c r="AG35" s="59"/>
      <c r="AH35" s="34"/>
      <c r="AI35" s="34"/>
      <c r="AJ35" s="34">
        <f>I35*3</f>
        <v>16200</v>
      </c>
      <c r="AN35" s="48"/>
      <c r="AU35" s="122">
        <f>I35/24*2</f>
        <v>450</v>
      </c>
      <c r="AV35" s="47"/>
      <c r="AX35" s="3">
        <f>AJ35</f>
        <v>16200</v>
      </c>
      <c r="AY35" s="3">
        <f>AJ35</f>
        <v>16200</v>
      </c>
      <c r="AZ35" s="3">
        <f t="shared" ref="AZ35:AZ39" si="14">I35</f>
        <v>5400</v>
      </c>
      <c r="BA35" s="3">
        <f>I35/5</f>
        <v>1080</v>
      </c>
      <c r="CF35" s="48"/>
      <c r="CG35" s="48"/>
      <c r="CH35" s="48"/>
      <c r="CI35" s="48"/>
      <c r="CJ35" s="48"/>
      <c r="CN35" s="48"/>
      <c r="CO35" s="48"/>
      <c r="CP35" s="48"/>
      <c r="CQ35" s="48"/>
      <c r="CR35" s="48"/>
      <c r="CS35" s="48"/>
    </row>
    <row r="36" s="4" customFormat="1" ht="31" customHeight="1" spans="1:97">
      <c r="A36" s="31">
        <v>45678</v>
      </c>
      <c r="B36" s="32" t="s">
        <v>1492</v>
      </c>
      <c r="C36" s="33" t="s">
        <v>98</v>
      </c>
      <c r="D36" s="4">
        <v>4500156329</v>
      </c>
      <c r="E36" s="115" t="s">
        <v>12107</v>
      </c>
      <c r="F36" s="4" t="s">
        <v>12108</v>
      </c>
      <c r="G36" s="49" t="s">
        <v>909</v>
      </c>
      <c r="H36" s="33" t="s">
        <v>830</v>
      </c>
      <c r="I36" s="33">
        <v>72</v>
      </c>
      <c r="J36" s="33">
        <v>0</v>
      </c>
      <c r="K36" s="33">
        <v>1</v>
      </c>
      <c r="L36" s="50">
        <f t="shared" si="0"/>
        <v>72</v>
      </c>
      <c r="M36" s="111">
        <v>45919</v>
      </c>
      <c r="N36" s="111">
        <f t="shared" si="11"/>
        <v>45915</v>
      </c>
      <c r="O36" s="110">
        <v>45924</v>
      </c>
      <c r="P36" s="51"/>
      <c r="Q36" s="51"/>
      <c r="R36" s="33"/>
      <c r="S36" s="52" t="s">
        <v>454</v>
      </c>
      <c r="T36" s="52" t="s">
        <v>70</v>
      </c>
      <c r="U36" s="52" t="s">
        <v>454</v>
      </c>
      <c r="V36" s="52"/>
      <c r="W36" s="116"/>
      <c r="X36" s="117" t="s">
        <v>12109</v>
      </c>
      <c r="Y36" s="54" t="s">
        <v>911</v>
      </c>
      <c r="Z36" s="60">
        <v>0</v>
      </c>
      <c r="AA36" s="55">
        <f t="shared" ref="AA36:AA41" si="15">Z36*L36</f>
        <v>0</v>
      </c>
      <c r="AB36" s="33"/>
      <c r="AC36" s="118" t="s">
        <v>1498</v>
      </c>
      <c r="AD36" s="33" t="s">
        <v>82</v>
      </c>
      <c r="AE36" s="33"/>
      <c r="AF36" s="33"/>
      <c r="AG36" s="56"/>
      <c r="AH36" s="56">
        <f t="shared" ref="AH36:AH41" si="16">AG36-I36</f>
        <v>-72</v>
      </c>
      <c r="AI36" s="57"/>
      <c r="AJ36" s="33"/>
      <c r="AK36" s="33"/>
      <c r="AM36" s="4">
        <v>0</v>
      </c>
    </row>
    <row r="37" s="4" customFormat="1" ht="31" customHeight="1" spans="1:97">
      <c r="A37" s="31">
        <v>45678</v>
      </c>
      <c r="B37" s="32" t="s">
        <v>1492</v>
      </c>
      <c r="C37" s="33" t="s">
        <v>98</v>
      </c>
      <c r="D37" s="4">
        <v>4500156329</v>
      </c>
      <c r="E37" s="115" t="s">
        <v>12107</v>
      </c>
      <c r="F37" s="4" t="s">
        <v>12108</v>
      </c>
      <c r="G37" s="49">
        <v>77673</v>
      </c>
      <c r="H37" s="33" t="s">
        <v>112</v>
      </c>
      <c r="I37" s="33">
        <v>5400</v>
      </c>
      <c r="J37" s="33">
        <v>0</v>
      </c>
      <c r="K37" s="33">
        <v>75</v>
      </c>
      <c r="L37" s="50">
        <f t="shared" si="0"/>
        <v>72</v>
      </c>
      <c r="M37" s="111">
        <v>45919</v>
      </c>
      <c r="N37" s="111">
        <f t="shared" si="11"/>
        <v>45915</v>
      </c>
      <c r="O37" s="110">
        <v>45924</v>
      </c>
      <c r="P37" s="51"/>
      <c r="Q37" s="51"/>
      <c r="R37" s="33"/>
      <c r="S37" s="52" t="s">
        <v>454</v>
      </c>
      <c r="T37" s="52" t="s">
        <v>70</v>
      </c>
      <c r="U37" s="52" t="s">
        <v>454</v>
      </c>
      <c r="V37" s="52"/>
      <c r="W37" s="119"/>
      <c r="X37" s="120"/>
      <c r="Y37" s="54" t="s">
        <v>911</v>
      </c>
      <c r="Z37" s="60">
        <v>762.5</v>
      </c>
      <c r="AA37" s="55">
        <f t="shared" si="15"/>
        <v>54900</v>
      </c>
      <c r="AB37" s="33"/>
      <c r="AC37" s="118" t="s">
        <v>1498</v>
      </c>
      <c r="AD37" s="33" t="s">
        <v>82</v>
      </c>
      <c r="AE37" s="33"/>
      <c r="AF37" s="33"/>
      <c r="AG37" s="56"/>
      <c r="AH37" s="56">
        <f t="shared" si="16"/>
        <v>-5400</v>
      </c>
      <c r="AI37" s="57"/>
      <c r="AJ37" s="33"/>
      <c r="AK37" s="33"/>
      <c r="AM37" s="4">
        <f>I37</f>
        <v>5400</v>
      </c>
      <c r="AX37" s="4">
        <f>I37</f>
        <v>5400</v>
      </c>
      <c r="AY37" s="4">
        <f>I37</f>
        <v>5400</v>
      </c>
      <c r="AZ37" s="121">
        <f t="shared" si="14"/>
        <v>5400</v>
      </c>
      <c r="BA37" s="121">
        <f>I37</f>
        <v>5400</v>
      </c>
      <c r="BB37" s="121">
        <f>I37/5</f>
        <v>1080</v>
      </c>
    </row>
    <row r="38" s="3" customFormat="1" ht="31" customHeight="1" spans="1:97">
      <c r="A38" s="31">
        <v>45678</v>
      </c>
      <c r="B38" s="53" t="s">
        <v>1492</v>
      </c>
      <c r="C38" s="33" t="s">
        <v>98</v>
      </c>
      <c r="D38" s="3">
        <v>4500156329</v>
      </c>
      <c r="E38" s="115" t="s">
        <v>12107</v>
      </c>
      <c r="F38" s="3" t="s">
        <v>12108</v>
      </c>
      <c r="G38" s="34" t="s">
        <v>909</v>
      </c>
      <c r="H38" s="34" t="s">
        <v>830</v>
      </c>
      <c r="I38" s="34">
        <v>72</v>
      </c>
      <c r="J38" s="34">
        <v>0</v>
      </c>
      <c r="K38" s="34">
        <v>1</v>
      </c>
      <c r="L38" s="35">
        <f t="shared" si="0"/>
        <v>72</v>
      </c>
      <c r="M38" s="111">
        <v>45919</v>
      </c>
      <c r="N38" s="111">
        <f t="shared" si="11"/>
        <v>45915</v>
      </c>
      <c r="O38" s="37"/>
      <c r="P38" s="37"/>
      <c r="Q38" s="34"/>
      <c r="R38" s="38">
        <v>45832</v>
      </c>
      <c r="S38" s="38" t="s">
        <v>70</v>
      </c>
      <c r="T38" s="38" t="s">
        <v>70</v>
      </c>
      <c r="U38" s="38"/>
      <c r="V38" s="117" t="s">
        <v>12109</v>
      </c>
      <c r="W38" s="40" t="s">
        <v>911</v>
      </c>
      <c r="X38" s="40">
        <v>0</v>
      </c>
      <c r="Y38" s="41">
        <f t="shared" si="12"/>
        <v>0</v>
      </c>
      <c r="Z38" s="34"/>
      <c r="AA38" s="113" t="s">
        <v>1498</v>
      </c>
      <c r="AB38" s="42" t="s">
        <v>82</v>
      </c>
      <c r="AC38" s="34"/>
      <c r="AD38" s="34"/>
      <c r="AE38" s="58"/>
      <c r="AF38" s="34">
        <v>0</v>
      </c>
      <c r="AG38" s="59"/>
      <c r="AH38" s="34"/>
      <c r="AI38" s="34"/>
      <c r="AJ38" s="34"/>
      <c r="AN38" s="48"/>
      <c r="AU38" s="122"/>
      <c r="AV38" s="47"/>
      <c r="CF38" s="48"/>
      <c r="CG38" s="48"/>
      <c r="CH38" s="48"/>
      <c r="CI38" s="48"/>
      <c r="CJ38" s="48"/>
      <c r="CN38" s="48"/>
      <c r="CO38" s="48"/>
      <c r="CP38" s="48"/>
      <c r="CQ38" s="48"/>
      <c r="CR38" s="48"/>
      <c r="CS38" s="48"/>
    </row>
    <row r="39" s="3" customFormat="1" ht="31" customHeight="1" spans="1:97">
      <c r="A39" s="31">
        <v>45678</v>
      </c>
      <c r="B39" s="53" t="s">
        <v>1492</v>
      </c>
      <c r="C39" s="33" t="s">
        <v>98</v>
      </c>
      <c r="D39" s="3">
        <v>4500156329</v>
      </c>
      <c r="E39" s="115" t="s">
        <v>12107</v>
      </c>
      <c r="F39" s="3" t="s">
        <v>12108</v>
      </c>
      <c r="G39" s="34">
        <v>77711</v>
      </c>
      <c r="H39" s="34" t="s">
        <v>6033</v>
      </c>
      <c r="I39" s="34">
        <v>5400</v>
      </c>
      <c r="J39" s="34">
        <v>0</v>
      </c>
      <c r="K39" s="34">
        <v>75</v>
      </c>
      <c r="L39" s="35">
        <f t="shared" si="0"/>
        <v>72</v>
      </c>
      <c r="M39" s="111">
        <v>45919</v>
      </c>
      <c r="N39" s="111">
        <f t="shared" si="11"/>
        <v>45915</v>
      </c>
      <c r="O39" s="37"/>
      <c r="P39" s="37"/>
      <c r="Q39" s="34"/>
      <c r="R39" s="38">
        <v>45832</v>
      </c>
      <c r="S39" s="52" t="s">
        <v>70</v>
      </c>
      <c r="T39" s="38" t="s">
        <v>70</v>
      </c>
      <c r="U39" s="38"/>
      <c r="V39" s="120"/>
      <c r="W39" s="40" t="s">
        <v>911</v>
      </c>
      <c r="X39" s="40">
        <v>762.5</v>
      </c>
      <c r="Y39" s="41">
        <f t="shared" si="12"/>
        <v>54900</v>
      </c>
      <c r="Z39" s="34"/>
      <c r="AA39" s="113" t="s">
        <v>1498</v>
      </c>
      <c r="AB39" s="42" t="s">
        <v>82</v>
      </c>
      <c r="AC39" s="34"/>
      <c r="AD39" s="34"/>
      <c r="AE39" s="58"/>
      <c r="AF39" s="34">
        <f t="shared" si="13"/>
        <v>-5400</v>
      </c>
      <c r="AG39" s="59"/>
      <c r="AH39" s="34"/>
      <c r="AI39" s="34"/>
      <c r="AJ39" s="34">
        <f>I39*3</f>
        <v>16200</v>
      </c>
      <c r="AN39" s="48"/>
      <c r="AU39" s="122">
        <f>I39/24*2</f>
        <v>450</v>
      </c>
      <c r="AV39" s="47"/>
      <c r="AX39" s="3">
        <f>AJ39</f>
        <v>16200</v>
      </c>
      <c r="AY39" s="3">
        <f>AJ39</f>
        <v>16200</v>
      </c>
      <c r="AZ39" s="3">
        <f t="shared" si="14"/>
        <v>5400</v>
      </c>
      <c r="BA39" s="3">
        <f>I39/5</f>
        <v>1080</v>
      </c>
      <c r="CF39" s="48"/>
      <c r="CG39" s="48"/>
      <c r="CH39" s="48"/>
      <c r="CI39" s="48"/>
      <c r="CJ39" s="48"/>
      <c r="CN39" s="48"/>
      <c r="CO39" s="48"/>
      <c r="CP39" s="48"/>
      <c r="CQ39" s="48"/>
      <c r="CR39" s="48"/>
      <c r="CS39" s="48"/>
    </row>
    <row r="40" s="4" customFormat="1" ht="31" customHeight="1" spans="1:97">
      <c r="A40" s="31">
        <v>45678</v>
      </c>
      <c r="B40" s="32" t="s">
        <v>1492</v>
      </c>
      <c r="C40" s="33" t="s">
        <v>98</v>
      </c>
      <c r="D40" s="4">
        <v>4500156331</v>
      </c>
      <c r="E40" s="115" t="s">
        <v>12110</v>
      </c>
      <c r="F40" s="4" t="s">
        <v>12111</v>
      </c>
      <c r="G40" s="49" t="s">
        <v>909</v>
      </c>
      <c r="H40" s="33" t="s">
        <v>830</v>
      </c>
      <c r="I40" s="33">
        <v>72</v>
      </c>
      <c r="J40" s="33">
        <v>0</v>
      </c>
      <c r="K40" s="33">
        <v>1</v>
      </c>
      <c r="L40" s="50">
        <f t="shared" si="0"/>
        <v>72</v>
      </c>
      <c r="M40" s="111">
        <v>45915</v>
      </c>
      <c r="N40" s="111">
        <f t="shared" si="11"/>
        <v>45911</v>
      </c>
      <c r="O40" s="110">
        <v>45919</v>
      </c>
      <c r="P40" s="51"/>
      <c r="Q40" s="51"/>
      <c r="R40" s="33"/>
      <c r="S40" s="52" t="s">
        <v>454</v>
      </c>
      <c r="T40" s="52" t="s">
        <v>70</v>
      </c>
      <c r="U40" s="52" t="s">
        <v>454</v>
      </c>
      <c r="V40" s="52"/>
      <c r="W40" s="116"/>
      <c r="X40" s="123" t="s">
        <v>1653</v>
      </c>
      <c r="Y40" s="54" t="s">
        <v>911</v>
      </c>
      <c r="Z40" s="60">
        <v>0</v>
      </c>
      <c r="AA40" s="55">
        <f t="shared" si="15"/>
        <v>0</v>
      </c>
      <c r="AB40" s="33"/>
      <c r="AC40" s="118" t="s">
        <v>1498</v>
      </c>
      <c r="AD40" s="33" t="s">
        <v>82</v>
      </c>
      <c r="AE40" s="33"/>
      <c r="AF40" s="33"/>
      <c r="AG40" s="56"/>
      <c r="AH40" s="56">
        <f t="shared" si="16"/>
        <v>-72</v>
      </c>
      <c r="AI40" s="57"/>
      <c r="AJ40" s="33"/>
      <c r="AK40" s="33"/>
      <c r="AM40" s="4">
        <v>0</v>
      </c>
    </row>
    <row r="41" s="4" customFormat="1" ht="31" customHeight="1" spans="1:97">
      <c r="A41" s="31">
        <v>45678</v>
      </c>
      <c r="B41" s="32" t="s">
        <v>1492</v>
      </c>
      <c r="C41" s="33" t="s">
        <v>98</v>
      </c>
      <c r="D41" s="4">
        <v>4500156331</v>
      </c>
      <c r="E41" s="115" t="s">
        <v>12110</v>
      </c>
      <c r="F41" s="4" t="s">
        <v>12111</v>
      </c>
      <c r="G41" s="49">
        <v>77673</v>
      </c>
      <c r="H41" s="33" t="s">
        <v>112</v>
      </c>
      <c r="I41" s="33">
        <v>5400</v>
      </c>
      <c r="J41" s="33">
        <v>0</v>
      </c>
      <c r="K41" s="33">
        <v>75</v>
      </c>
      <c r="L41" s="50">
        <f t="shared" si="0"/>
        <v>72</v>
      </c>
      <c r="M41" s="111">
        <v>45915</v>
      </c>
      <c r="N41" s="111">
        <f t="shared" si="11"/>
        <v>45911</v>
      </c>
      <c r="O41" s="110">
        <v>45919</v>
      </c>
      <c r="P41" s="51"/>
      <c r="Q41" s="51"/>
      <c r="R41" s="33"/>
      <c r="S41" s="52" t="s">
        <v>454</v>
      </c>
      <c r="T41" s="52" t="s">
        <v>70</v>
      </c>
      <c r="U41" s="52" t="s">
        <v>454</v>
      </c>
      <c r="V41" s="52"/>
      <c r="W41" s="119"/>
      <c r="X41" s="124"/>
      <c r="Y41" s="54" t="s">
        <v>911</v>
      </c>
      <c r="Z41" s="60">
        <v>762.5</v>
      </c>
      <c r="AA41" s="55">
        <f t="shared" si="15"/>
        <v>54900</v>
      </c>
      <c r="AB41" s="33"/>
      <c r="AC41" s="118" t="s">
        <v>1498</v>
      </c>
      <c r="AD41" s="33" t="s">
        <v>82</v>
      </c>
      <c r="AE41" s="33"/>
      <c r="AF41" s="33"/>
      <c r="AG41" s="56"/>
      <c r="AH41" s="56">
        <f t="shared" si="16"/>
        <v>-5400</v>
      </c>
      <c r="AI41" s="57"/>
      <c r="AJ41" s="33"/>
      <c r="AK41" s="33"/>
      <c r="AM41" s="4">
        <f>I41</f>
        <v>5400</v>
      </c>
      <c r="AX41" s="4">
        <f>I41</f>
        <v>5400</v>
      </c>
      <c r="AY41" s="4">
        <f>I41</f>
        <v>5400</v>
      </c>
      <c r="AZ41" s="121">
        <f t="shared" ref="AZ41:AZ45" si="17">I41</f>
        <v>5400</v>
      </c>
      <c r="BA41" s="121">
        <f>I41</f>
        <v>5400</v>
      </c>
      <c r="BB41" s="121">
        <f>I41/5</f>
        <v>1080</v>
      </c>
    </row>
    <row r="42" s="3" customFormat="1" ht="31" customHeight="1" spans="1:97">
      <c r="A42" s="31">
        <v>45678</v>
      </c>
      <c r="B42" s="53" t="s">
        <v>1492</v>
      </c>
      <c r="C42" s="33" t="s">
        <v>98</v>
      </c>
      <c r="D42" s="3">
        <v>4500156331</v>
      </c>
      <c r="E42" s="115" t="s">
        <v>12110</v>
      </c>
      <c r="F42" s="3" t="s">
        <v>12111</v>
      </c>
      <c r="G42" s="34" t="s">
        <v>909</v>
      </c>
      <c r="H42" s="34" t="s">
        <v>830</v>
      </c>
      <c r="I42" s="34">
        <v>72</v>
      </c>
      <c r="J42" s="34">
        <v>0</v>
      </c>
      <c r="K42" s="34">
        <v>1</v>
      </c>
      <c r="L42" s="35">
        <f t="shared" si="0"/>
        <v>72</v>
      </c>
      <c r="M42" s="111">
        <v>45915</v>
      </c>
      <c r="N42" s="111">
        <f t="shared" si="11"/>
        <v>45911</v>
      </c>
      <c r="O42" s="37"/>
      <c r="P42" s="37"/>
      <c r="Q42" s="34"/>
      <c r="R42" s="38">
        <v>45832</v>
      </c>
      <c r="S42" s="38" t="s">
        <v>70</v>
      </c>
      <c r="T42" s="38" t="s">
        <v>70</v>
      </c>
      <c r="U42" s="38"/>
      <c r="V42" s="117" t="s">
        <v>1653</v>
      </c>
      <c r="W42" s="40" t="s">
        <v>911</v>
      </c>
      <c r="X42" s="40">
        <v>0</v>
      </c>
      <c r="Y42" s="41">
        <f t="shared" ref="Y42:Y49" si="18">X42*L42</f>
        <v>0</v>
      </c>
      <c r="Z42" s="34"/>
      <c r="AA42" s="113" t="s">
        <v>1498</v>
      </c>
      <c r="AB42" s="42" t="s">
        <v>82</v>
      </c>
      <c r="AC42" s="34"/>
      <c r="AD42" s="34"/>
      <c r="AE42" s="58"/>
      <c r="AF42" s="34">
        <v>0</v>
      </c>
      <c r="AG42" s="59"/>
      <c r="AH42" s="34"/>
      <c r="AI42" s="34"/>
      <c r="AJ42" s="34"/>
      <c r="AN42" s="48"/>
      <c r="AU42" s="122"/>
      <c r="AV42" s="47"/>
      <c r="CF42" s="48"/>
      <c r="CG42" s="48"/>
      <c r="CH42" s="48"/>
      <c r="CI42" s="48"/>
      <c r="CJ42" s="48"/>
      <c r="CN42" s="48"/>
      <c r="CO42" s="48"/>
      <c r="CP42" s="48"/>
      <c r="CQ42" s="48"/>
      <c r="CR42" s="48"/>
      <c r="CS42" s="48"/>
    </row>
    <row r="43" s="3" customFormat="1" ht="31" customHeight="1" spans="1:97">
      <c r="A43" s="31">
        <v>45678</v>
      </c>
      <c r="B43" s="53" t="s">
        <v>1492</v>
      </c>
      <c r="C43" s="33" t="s">
        <v>98</v>
      </c>
      <c r="D43" s="3">
        <v>4500156331</v>
      </c>
      <c r="E43" s="115" t="s">
        <v>12110</v>
      </c>
      <c r="F43" s="3" t="s">
        <v>12111</v>
      </c>
      <c r="G43" s="34">
        <v>77711</v>
      </c>
      <c r="H43" s="34" t="s">
        <v>6033</v>
      </c>
      <c r="I43" s="34">
        <v>5400</v>
      </c>
      <c r="J43" s="34">
        <v>0</v>
      </c>
      <c r="K43" s="34">
        <v>75</v>
      </c>
      <c r="L43" s="35">
        <f t="shared" si="0"/>
        <v>72</v>
      </c>
      <c r="M43" s="111">
        <v>45915</v>
      </c>
      <c r="N43" s="111">
        <f t="shared" si="11"/>
        <v>45911</v>
      </c>
      <c r="O43" s="37"/>
      <c r="P43" s="37"/>
      <c r="Q43" s="34"/>
      <c r="R43" s="38">
        <v>45832</v>
      </c>
      <c r="S43" s="52" t="s">
        <v>70</v>
      </c>
      <c r="T43" s="38" t="s">
        <v>70</v>
      </c>
      <c r="U43" s="38"/>
      <c r="V43" s="120"/>
      <c r="W43" s="40" t="s">
        <v>911</v>
      </c>
      <c r="X43" s="40">
        <v>762.5</v>
      </c>
      <c r="Y43" s="41">
        <f t="shared" si="18"/>
        <v>54900</v>
      </c>
      <c r="Z43" s="34"/>
      <c r="AA43" s="113" t="s">
        <v>1498</v>
      </c>
      <c r="AB43" s="42" t="s">
        <v>82</v>
      </c>
      <c r="AC43" s="34"/>
      <c r="AD43" s="34"/>
      <c r="AE43" s="58"/>
      <c r="AF43" s="34">
        <f t="shared" ref="AF43:AF49" si="19">AE43-I43</f>
        <v>-5400</v>
      </c>
      <c r="AG43" s="59"/>
      <c r="AH43" s="34"/>
      <c r="AI43" s="34"/>
      <c r="AJ43" s="34">
        <f>I43*3</f>
        <v>16200</v>
      </c>
      <c r="AN43" s="48"/>
      <c r="AU43" s="122">
        <f>I43/24*2</f>
        <v>450</v>
      </c>
      <c r="AV43" s="47"/>
      <c r="AX43" s="3">
        <f>AJ43</f>
        <v>16200</v>
      </c>
      <c r="AY43" s="3">
        <f>AJ43</f>
        <v>16200</v>
      </c>
      <c r="AZ43" s="3">
        <f t="shared" si="17"/>
        <v>5400</v>
      </c>
      <c r="BA43" s="3">
        <f>I43/5</f>
        <v>1080</v>
      </c>
      <c r="CF43" s="48"/>
      <c r="CG43" s="48"/>
      <c r="CH43" s="48"/>
      <c r="CI43" s="48"/>
      <c r="CJ43" s="48"/>
      <c r="CN43" s="48"/>
      <c r="CO43" s="48"/>
      <c r="CP43" s="48"/>
      <c r="CQ43" s="48"/>
      <c r="CR43" s="48"/>
      <c r="CS43" s="48"/>
    </row>
    <row r="44" s="4" customFormat="1" ht="31" customHeight="1" spans="1:97">
      <c r="A44" s="31">
        <v>45678</v>
      </c>
      <c r="B44" s="32" t="s">
        <v>1492</v>
      </c>
      <c r="C44" s="33" t="s">
        <v>98</v>
      </c>
      <c r="D44" s="4">
        <v>4500156333</v>
      </c>
      <c r="E44" s="115" t="s">
        <v>12112</v>
      </c>
      <c r="F44" s="4" t="s">
        <v>12113</v>
      </c>
      <c r="G44" s="49" t="s">
        <v>909</v>
      </c>
      <c r="H44" s="33" t="s">
        <v>830</v>
      </c>
      <c r="I44" s="33">
        <v>72</v>
      </c>
      <c r="J44" s="33">
        <v>0</v>
      </c>
      <c r="K44" s="33">
        <v>1</v>
      </c>
      <c r="L44" s="50">
        <f t="shared" si="0"/>
        <v>72</v>
      </c>
      <c r="M44" s="125">
        <v>45915</v>
      </c>
      <c r="N44" s="125">
        <v>45911</v>
      </c>
      <c r="O44" s="110">
        <v>45919</v>
      </c>
      <c r="P44" s="51"/>
      <c r="Q44" s="51"/>
      <c r="R44" s="33"/>
      <c r="S44" s="52" t="s">
        <v>454</v>
      </c>
      <c r="T44" s="52" t="s">
        <v>70</v>
      </c>
      <c r="U44" s="52" t="s">
        <v>454</v>
      </c>
      <c r="V44" s="52"/>
      <c r="W44" s="116"/>
      <c r="X44" s="123" t="s">
        <v>1599</v>
      </c>
      <c r="Y44" s="54" t="s">
        <v>911</v>
      </c>
      <c r="Z44" s="60">
        <v>0</v>
      </c>
      <c r="AA44" s="55">
        <f>Z44*L44</f>
        <v>0</v>
      </c>
      <c r="AB44" s="33"/>
      <c r="AC44" s="118" t="s">
        <v>1498</v>
      </c>
      <c r="AD44" s="33" t="s">
        <v>82</v>
      </c>
      <c r="AE44" s="33"/>
      <c r="AF44" s="33"/>
      <c r="AG44" s="56"/>
      <c r="AH44" s="56">
        <f>AG44-I44</f>
        <v>-72</v>
      </c>
      <c r="AI44" s="57"/>
      <c r="AJ44" s="33"/>
      <c r="AK44" s="33"/>
      <c r="AM44" s="4">
        <v>0</v>
      </c>
    </row>
    <row r="45" s="4" customFormat="1" ht="31" customHeight="1" spans="1:97">
      <c r="A45" s="31">
        <v>45678</v>
      </c>
      <c r="B45" s="32" t="s">
        <v>1492</v>
      </c>
      <c r="C45" s="33" t="s">
        <v>98</v>
      </c>
      <c r="D45" s="4">
        <v>4500156333</v>
      </c>
      <c r="E45" s="115" t="s">
        <v>12112</v>
      </c>
      <c r="F45" s="4" t="s">
        <v>12113</v>
      </c>
      <c r="G45" s="49">
        <v>77673</v>
      </c>
      <c r="H45" s="33" t="s">
        <v>112</v>
      </c>
      <c r="I45" s="33">
        <v>5400</v>
      </c>
      <c r="J45" s="33">
        <v>0</v>
      </c>
      <c r="K45" s="33">
        <v>75</v>
      </c>
      <c r="L45" s="50">
        <f t="shared" si="0"/>
        <v>72</v>
      </c>
      <c r="M45" s="125">
        <v>45915</v>
      </c>
      <c r="N45" s="125">
        <v>45911</v>
      </c>
      <c r="O45" s="110">
        <v>45919</v>
      </c>
      <c r="P45" s="51"/>
      <c r="Q45" s="51"/>
      <c r="R45" s="33"/>
      <c r="S45" s="52" t="s">
        <v>454</v>
      </c>
      <c r="T45" s="52" t="s">
        <v>70</v>
      </c>
      <c r="U45" s="52" t="s">
        <v>454</v>
      </c>
      <c r="V45" s="52"/>
      <c r="W45" s="119"/>
      <c r="X45" s="124"/>
      <c r="Y45" s="54" t="s">
        <v>911</v>
      </c>
      <c r="Z45" s="60">
        <v>762.5</v>
      </c>
      <c r="AA45" s="55">
        <f>Z45*L45</f>
        <v>54900</v>
      </c>
      <c r="AB45" s="33"/>
      <c r="AC45" s="118" t="s">
        <v>1498</v>
      </c>
      <c r="AD45" s="33" t="s">
        <v>82</v>
      </c>
      <c r="AE45" s="33"/>
      <c r="AF45" s="33"/>
      <c r="AG45" s="56"/>
      <c r="AH45" s="56">
        <f>AG45-I45</f>
        <v>-5400</v>
      </c>
      <c r="AI45" s="57"/>
      <c r="AJ45" s="33"/>
      <c r="AK45" s="33"/>
      <c r="AM45" s="4">
        <f>I45</f>
        <v>5400</v>
      </c>
      <c r="AX45" s="4">
        <f>I45</f>
        <v>5400</v>
      </c>
      <c r="AY45" s="4">
        <f>I45</f>
        <v>5400</v>
      </c>
      <c r="AZ45" s="121">
        <f t="shared" si="17"/>
        <v>5400</v>
      </c>
      <c r="BA45" s="121">
        <f>I45</f>
        <v>5400</v>
      </c>
      <c r="BB45" s="121">
        <f>I45/5</f>
        <v>1080</v>
      </c>
    </row>
    <row r="46" s="3" customFormat="1" ht="31" customHeight="1" spans="1:97">
      <c r="A46" s="31">
        <v>45678</v>
      </c>
      <c r="B46" s="53" t="s">
        <v>1492</v>
      </c>
      <c r="C46" s="33" t="s">
        <v>98</v>
      </c>
      <c r="D46" s="3">
        <v>4500156333</v>
      </c>
      <c r="E46" s="115" t="s">
        <v>12112</v>
      </c>
      <c r="F46" s="3" t="s">
        <v>12113</v>
      </c>
      <c r="G46" s="34" t="s">
        <v>909</v>
      </c>
      <c r="H46" s="34" t="s">
        <v>830</v>
      </c>
      <c r="I46" s="34">
        <v>72</v>
      </c>
      <c r="J46" s="34">
        <v>0</v>
      </c>
      <c r="K46" s="34">
        <v>1</v>
      </c>
      <c r="L46" s="35">
        <f t="shared" si="0"/>
        <v>72</v>
      </c>
      <c r="M46" s="125">
        <v>45915</v>
      </c>
      <c r="N46" s="125">
        <v>45911</v>
      </c>
      <c r="O46" s="37"/>
      <c r="P46" s="37"/>
      <c r="Q46" s="34"/>
      <c r="R46" s="38">
        <v>45832</v>
      </c>
      <c r="S46" s="38" t="s">
        <v>70</v>
      </c>
      <c r="T46" s="38" t="s">
        <v>70</v>
      </c>
      <c r="U46" s="38"/>
      <c r="V46" s="123" t="s">
        <v>1599</v>
      </c>
      <c r="W46" s="40" t="s">
        <v>911</v>
      </c>
      <c r="X46" s="40">
        <v>0</v>
      </c>
      <c r="Y46" s="41">
        <f t="shared" si="18"/>
        <v>0</v>
      </c>
      <c r="Z46" s="34"/>
      <c r="AA46" s="113" t="s">
        <v>1498</v>
      </c>
      <c r="AB46" s="42" t="s">
        <v>82</v>
      </c>
      <c r="AC46" s="34"/>
      <c r="AD46" s="34"/>
      <c r="AE46" s="58"/>
      <c r="AF46" s="34">
        <v>0</v>
      </c>
      <c r="AG46" s="59"/>
      <c r="AH46" s="34"/>
      <c r="AI46" s="34"/>
      <c r="AJ46" s="34"/>
      <c r="AN46" s="48"/>
      <c r="AU46" s="122"/>
      <c r="AV46" s="47"/>
      <c r="CF46" s="48"/>
      <c r="CG46" s="48"/>
      <c r="CH46" s="48"/>
      <c r="CI46" s="48"/>
      <c r="CJ46" s="48"/>
      <c r="CN46" s="48"/>
      <c r="CO46" s="48"/>
      <c r="CP46" s="48"/>
      <c r="CQ46" s="48"/>
      <c r="CR46" s="48"/>
      <c r="CS46" s="48"/>
    </row>
    <row r="47" s="3" customFormat="1" ht="31" customHeight="1" spans="1:97">
      <c r="A47" s="31">
        <v>45678</v>
      </c>
      <c r="B47" s="53" t="s">
        <v>1492</v>
      </c>
      <c r="C47" s="33" t="s">
        <v>98</v>
      </c>
      <c r="D47" s="3">
        <v>4500156333</v>
      </c>
      <c r="E47" s="115" t="s">
        <v>12112</v>
      </c>
      <c r="F47" s="3" t="s">
        <v>12113</v>
      </c>
      <c r="G47" s="34">
        <v>77711</v>
      </c>
      <c r="H47" s="34" t="s">
        <v>6033</v>
      </c>
      <c r="I47" s="34">
        <v>5400</v>
      </c>
      <c r="J47" s="34">
        <v>0</v>
      </c>
      <c r="K47" s="34">
        <v>75</v>
      </c>
      <c r="L47" s="35">
        <f t="shared" si="0"/>
        <v>72</v>
      </c>
      <c r="M47" s="125">
        <v>45915</v>
      </c>
      <c r="N47" s="125">
        <v>45911</v>
      </c>
      <c r="O47" s="37"/>
      <c r="P47" s="37"/>
      <c r="Q47" s="34"/>
      <c r="R47" s="38">
        <v>45832</v>
      </c>
      <c r="S47" s="52" t="s">
        <v>70</v>
      </c>
      <c r="T47" s="38" t="s">
        <v>70</v>
      </c>
      <c r="U47" s="38"/>
      <c r="V47" s="124"/>
      <c r="W47" s="40" t="s">
        <v>911</v>
      </c>
      <c r="X47" s="40">
        <v>762.5</v>
      </c>
      <c r="Y47" s="41">
        <f t="shared" si="18"/>
        <v>54900</v>
      </c>
      <c r="Z47" s="34"/>
      <c r="AA47" s="113" t="s">
        <v>1498</v>
      </c>
      <c r="AB47" s="42" t="s">
        <v>82</v>
      </c>
      <c r="AC47" s="34"/>
      <c r="AD47" s="34"/>
      <c r="AE47" s="58"/>
      <c r="AF47" s="34">
        <f t="shared" si="19"/>
        <v>-5400</v>
      </c>
      <c r="AG47" s="59"/>
      <c r="AH47" s="34"/>
      <c r="AI47" s="34"/>
      <c r="AJ47" s="34">
        <f>I47*3</f>
        <v>16200</v>
      </c>
      <c r="AN47" s="48"/>
      <c r="AU47" s="122">
        <f t="shared" ref="AU47:AU52" si="20">I47/24*2</f>
        <v>450</v>
      </c>
      <c r="AV47" s="47"/>
      <c r="AX47" s="3">
        <f>AJ47</f>
        <v>16200</v>
      </c>
      <c r="AY47" s="3">
        <f>AJ47</f>
        <v>16200</v>
      </c>
      <c r="AZ47" s="3">
        <f t="shared" ref="AZ47:AZ51" si="21">I47</f>
        <v>5400</v>
      </c>
      <c r="BA47" s="3">
        <f>I47/5</f>
        <v>1080</v>
      </c>
      <c r="CF47" s="48"/>
      <c r="CG47" s="48"/>
      <c r="CH47" s="48"/>
      <c r="CI47" s="48"/>
      <c r="CJ47" s="48"/>
      <c r="CN47" s="48"/>
      <c r="CO47" s="48"/>
      <c r="CP47" s="48"/>
      <c r="CQ47" s="48"/>
      <c r="CR47" s="48"/>
      <c r="CS47" s="48"/>
    </row>
    <row r="48" s="3" customFormat="1" ht="31" customHeight="1" spans="1:97">
      <c r="A48" s="31">
        <v>45678</v>
      </c>
      <c r="B48" s="53" t="s">
        <v>1492</v>
      </c>
      <c r="C48" s="33" t="s">
        <v>98</v>
      </c>
      <c r="D48" s="3">
        <v>4500156317</v>
      </c>
      <c r="E48" s="115" t="s">
        <v>12114</v>
      </c>
      <c r="F48" s="3" t="s">
        <v>12115</v>
      </c>
      <c r="G48" s="34" t="s">
        <v>909</v>
      </c>
      <c r="H48" s="34" t="s">
        <v>830</v>
      </c>
      <c r="I48" s="34">
        <v>72</v>
      </c>
      <c r="J48" s="34">
        <v>0</v>
      </c>
      <c r="K48" s="34">
        <v>1</v>
      </c>
      <c r="L48" s="35">
        <f t="shared" si="0"/>
        <v>72</v>
      </c>
      <c r="M48" s="111">
        <v>45902</v>
      </c>
      <c r="N48" s="111">
        <f t="shared" ref="N48:N53" si="22">M48-4</f>
        <v>45898</v>
      </c>
      <c r="O48" s="37"/>
      <c r="P48" s="37"/>
      <c r="Q48" s="34"/>
      <c r="R48" s="38" t="s">
        <v>12116</v>
      </c>
      <c r="S48" s="38" t="s">
        <v>70</v>
      </c>
      <c r="T48" s="38" t="s">
        <v>70</v>
      </c>
      <c r="U48" s="38"/>
      <c r="V48" s="123" t="s">
        <v>1599</v>
      </c>
      <c r="W48" s="40" t="s">
        <v>911</v>
      </c>
      <c r="X48" s="40">
        <v>0</v>
      </c>
      <c r="Y48" s="41">
        <f t="shared" si="18"/>
        <v>0</v>
      </c>
      <c r="Z48" s="34"/>
      <c r="AA48" s="113" t="s">
        <v>1498</v>
      </c>
      <c r="AB48" s="42" t="s">
        <v>82</v>
      </c>
      <c r="AC48" s="42"/>
      <c r="AD48" s="34"/>
      <c r="AE48" s="58"/>
      <c r="AF48" s="34">
        <f t="shared" si="19"/>
        <v>-72</v>
      </c>
      <c r="AG48" s="59"/>
      <c r="AH48" s="34"/>
      <c r="AI48" s="34"/>
      <c r="AJ48" s="34"/>
      <c r="AN48" s="48"/>
      <c r="AU48" s="122"/>
      <c r="AV48" s="47"/>
      <c r="CF48" s="48"/>
      <c r="CG48" s="48"/>
      <c r="CH48" s="48"/>
      <c r="CI48" s="48"/>
      <c r="CJ48" s="48"/>
      <c r="CN48" s="48"/>
      <c r="CO48" s="48"/>
      <c r="CP48" s="48"/>
      <c r="CQ48" s="48"/>
      <c r="CR48" s="48"/>
      <c r="CS48" s="48"/>
    </row>
    <row r="49" s="3" customFormat="1" ht="31" customHeight="1" spans="1:99">
      <c r="A49" s="31">
        <v>45678</v>
      </c>
      <c r="B49" s="53" t="s">
        <v>1492</v>
      </c>
      <c r="C49" s="33" t="s">
        <v>98</v>
      </c>
      <c r="D49" s="3">
        <v>4500156317</v>
      </c>
      <c r="E49" s="115" t="s">
        <v>12114</v>
      </c>
      <c r="F49" s="3" t="s">
        <v>12115</v>
      </c>
      <c r="G49" s="34">
        <v>77711</v>
      </c>
      <c r="H49" s="34" t="s">
        <v>6033</v>
      </c>
      <c r="I49" s="34">
        <v>5400</v>
      </c>
      <c r="J49" s="34">
        <v>0</v>
      </c>
      <c r="K49" s="34">
        <v>75</v>
      </c>
      <c r="L49" s="35">
        <f t="shared" si="0"/>
        <v>72</v>
      </c>
      <c r="M49" s="111">
        <v>45902</v>
      </c>
      <c r="N49" s="111">
        <f t="shared" si="22"/>
        <v>45898</v>
      </c>
      <c r="O49" s="37"/>
      <c r="P49" s="37"/>
      <c r="Q49" s="34"/>
      <c r="R49" s="38">
        <v>45832</v>
      </c>
      <c r="S49" s="52" t="s">
        <v>70</v>
      </c>
      <c r="T49" s="38" t="s">
        <v>70</v>
      </c>
      <c r="U49" s="38"/>
      <c r="V49" s="124"/>
      <c r="W49" s="40" t="s">
        <v>911</v>
      </c>
      <c r="X49" s="40">
        <v>762.5</v>
      </c>
      <c r="Y49" s="41">
        <f t="shared" si="18"/>
        <v>54900</v>
      </c>
      <c r="Z49" s="34"/>
      <c r="AA49" s="113" t="s">
        <v>1498</v>
      </c>
      <c r="AB49" s="42" t="s">
        <v>82</v>
      </c>
      <c r="AC49" s="42"/>
      <c r="AD49" s="34"/>
      <c r="AE49" s="58"/>
      <c r="AF49" s="34">
        <f t="shared" si="19"/>
        <v>-5400</v>
      </c>
      <c r="AG49" s="59"/>
      <c r="AH49" s="34"/>
      <c r="AI49" s="34"/>
      <c r="AJ49" s="34">
        <f>I49*3</f>
        <v>16200</v>
      </c>
      <c r="AN49" s="48"/>
      <c r="AU49" s="122">
        <f t="shared" si="20"/>
        <v>450</v>
      </c>
      <c r="AV49" s="47"/>
      <c r="AX49" s="3">
        <f>AJ49</f>
        <v>16200</v>
      </c>
      <c r="AY49" s="3">
        <f>AJ49</f>
        <v>16200</v>
      </c>
      <c r="AZ49" s="3">
        <f t="shared" si="21"/>
        <v>5400</v>
      </c>
      <c r="BA49" s="3">
        <f>I49/5</f>
        <v>1080</v>
      </c>
      <c r="CF49" s="48"/>
      <c r="CG49" s="48"/>
      <c r="CH49" s="48"/>
      <c r="CI49" s="48"/>
      <c r="CJ49" s="48"/>
      <c r="CN49" s="48"/>
      <c r="CO49" s="48"/>
      <c r="CP49" s="48"/>
      <c r="CQ49" s="48"/>
      <c r="CR49" s="48"/>
      <c r="CS49" s="48"/>
    </row>
    <row r="50" s="4" customFormat="1" ht="31" customHeight="1" spans="1:99">
      <c r="A50" s="31">
        <v>45678</v>
      </c>
      <c r="B50" s="32" t="s">
        <v>1492</v>
      </c>
      <c r="C50" s="33" t="s">
        <v>98</v>
      </c>
      <c r="D50" s="4">
        <v>4500156317</v>
      </c>
      <c r="E50" s="115" t="s">
        <v>12114</v>
      </c>
      <c r="F50" s="4" t="s">
        <v>12115</v>
      </c>
      <c r="G50" s="49" t="s">
        <v>909</v>
      </c>
      <c r="H50" s="33" t="s">
        <v>830</v>
      </c>
      <c r="I50" s="33">
        <v>72</v>
      </c>
      <c r="J50" s="33">
        <v>0</v>
      </c>
      <c r="K50" s="33">
        <v>1</v>
      </c>
      <c r="L50" s="50">
        <f t="shared" si="0"/>
        <v>72</v>
      </c>
      <c r="M50" s="125">
        <v>45902</v>
      </c>
      <c r="N50" s="125">
        <v>45898</v>
      </c>
      <c r="O50" s="110">
        <v>45912</v>
      </c>
      <c r="P50" s="51"/>
      <c r="Q50" s="51"/>
      <c r="R50" s="33"/>
      <c r="S50" s="52">
        <v>45827</v>
      </c>
      <c r="T50" s="52" t="s">
        <v>70</v>
      </c>
      <c r="U50" s="52" t="s">
        <v>70</v>
      </c>
      <c r="V50" s="52"/>
      <c r="W50" s="52"/>
      <c r="X50" s="123" t="s">
        <v>1599</v>
      </c>
      <c r="Y50" s="54" t="s">
        <v>911</v>
      </c>
      <c r="Z50" s="60">
        <v>0</v>
      </c>
      <c r="AA50" s="55">
        <f>Z50*L50</f>
        <v>0</v>
      </c>
      <c r="AB50" s="33"/>
      <c r="AC50" s="118" t="s">
        <v>1498</v>
      </c>
      <c r="AD50" s="33" t="s">
        <v>82</v>
      </c>
      <c r="AE50" s="33"/>
      <c r="AF50" s="33"/>
      <c r="AG50" s="56"/>
      <c r="AH50" s="56">
        <f t="shared" ref="AH50:AH54" si="23">AG50-I50</f>
        <v>-72</v>
      </c>
      <c r="AI50" s="57"/>
      <c r="AJ50" s="33"/>
      <c r="AK50" s="33"/>
      <c r="AM50" s="4">
        <v>0</v>
      </c>
    </row>
    <row r="51" s="4" customFormat="1" ht="31" customHeight="1" spans="1:99">
      <c r="A51" s="31">
        <v>45678</v>
      </c>
      <c r="B51" s="32" t="s">
        <v>1492</v>
      </c>
      <c r="C51" s="33" t="s">
        <v>98</v>
      </c>
      <c r="D51" s="4">
        <v>4500156317</v>
      </c>
      <c r="E51" s="115" t="s">
        <v>12114</v>
      </c>
      <c r="F51" s="4" t="s">
        <v>12115</v>
      </c>
      <c r="G51" s="49">
        <v>77673</v>
      </c>
      <c r="H51" s="33" t="s">
        <v>112</v>
      </c>
      <c r="I51" s="33">
        <v>5400</v>
      </c>
      <c r="J51" s="33">
        <v>0</v>
      </c>
      <c r="K51" s="33">
        <v>75</v>
      </c>
      <c r="L51" s="50">
        <f t="shared" si="0"/>
        <v>72</v>
      </c>
      <c r="M51" s="125">
        <v>45902</v>
      </c>
      <c r="N51" s="125">
        <v>45898</v>
      </c>
      <c r="O51" s="110">
        <v>45912</v>
      </c>
      <c r="P51" s="51"/>
      <c r="Q51" s="51"/>
      <c r="R51" s="33"/>
      <c r="S51" s="52">
        <v>45827</v>
      </c>
      <c r="T51" s="52" t="s">
        <v>70</v>
      </c>
      <c r="U51" s="52" t="s">
        <v>70</v>
      </c>
      <c r="V51" s="52"/>
      <c r="W51" s="52"/>
      <c r="X51" s="124"/>
      <c r="Y51" s="54" t="s">
        <v>911</v>
      </c>
      <c r="Z51" s="60">
        <v>762.5</v>
      </c>
      <c r="AA51" s="55">
        <f>Z51*L51</f>
        <v>54900</v>
      </c>
      <c r="AB51" s="33"/>
      <c r="AC51" s="118" t="s">
        <v>1498</v>
      </c>
      <c r="AD51" s="33" t="s">
        <v>82</v>
      </c>
      <c r="AE51" s="33"/>
      <c r="AF51" s="33"/>
      <c r="AG51" s="56"/>
      <c r="AH51" s="56">
        <f t="shared" si="23"/>
        <v>-5400</v>
      </c>
      <c r="AI51" s="57"/>
      <c r="AJ51" s="33"/>
      <c r="AK51" s="33"/>
      <c r="AM51" s="4">
        <f>I51</f>
        <v>5400</v>
      </c>
      <c r="AX51" s="4">
        <f>I51</f>
        <v>5400</v>
      </c>
      <c r="AY51" s="4">
        <f>I51</f>
        <v>5400</v>
      </c>
      <c r="AZ51" s="121">
        <f t="shared" si="21"/>
        <v>5400</v>
      </c>
      <c r="BA51" s="121">
        <f>I51</f>
        <v>5400</v>
      </c>
      <c r="BB51" s="121">
        <f>I51/5</f>
        <v>1080</v>
      </c>
    </row>
    <row r="52" s="3" customFormat="1" ht="31" customHeight="1" spans="1:99">
      <c r="A52" s="31">
        <v>45854</v>
      </c>
      <c r="B52" s="32" t="s">
        <v>325</v>
      </c>
      <c r="C52" s="33" t="s">
        <v>98</v>
      </c>
      <c r="D52" s="4">
        <v>4500173996</v>
      </c>
      <c r="E52" s="33" t="s">
        <v>12117</v>
      </c>
      <c r="F52" s="3" t="s">
        <v>12118</v>
      </c>
      <c r="G52" s="34" t="s">
        <v>6084</v>
      </c>
      <c r="H52" s="34" t="s">
        <v>6069</v>
      </c>
      <c r="I52" s="34">
        <v>15000</v>
      </c>
      <c r="J52" s="34">
        <v>0</v>
      </c>
      <c r="K52" s="34">
        <v>25</v>
      </c>
      <c r="L52" s="35">
        <f t="shared" si="0"/>
        <v>600</v>
      </c>
      <c r="M52" s="36">
        <v>45889</v>
      </c>
      <c r="N52" s="36">
        <v>45885</v>
      </c>
      <c r="O52" s="37"/>
      <c r="P52" s="37"/>
      <c r="Q52" s="34"/>
      <c r="R52" s="38" t="s">
        <v>454</v>
      </c>
      <c r="S52" s="116" t="s">
        <v>104</v>
      </c>
      <c r="T52" s="38" t="s">
        <v>454</v>
      </c>
      <c r="U52" s="38"/>
      <c r="V52" s="112" t="s">
        <v>7336</v>
      </c>
      <c r="W52" s="40" t="s">
        <v>252</v>
      </c>
      <c r="X52" s="109">
        <v>0.5543</v>
      </c>
      <c r="Y52" s="41">
        <f>X52*I52</f>
        <v>8314.5</v>
      </c>
      <c r="Z52" s="34"/>
      <c r="AA52" s="4" t="s">
        <v>6084</v>
      </c>
      <c r="AB52" s="127" t="s">
        <v>82</v>
      </c>
      <c r="AC52" s="42"/>
      <c r="AD52" s="34"/>
      <c r="AE52" s="58"/>
      <c r="AF52" s="34">
        <f t="shared" ref="AF52:AF56" si="24">AE52-I52</f>
        <v>-15000</v>
      </c>
      <c r="AG52" s="59"/>
      <c r="AH52" s="34"/>
      <c r="AI52" s="34"/>
      <c r="AJ52" s="34">
        <f>I52</f>
        <v>15000</v>
      </c>
      <c r="AK52" s="4"/>
      <c r="AL52" s="3">
        <f t="shared" ref="AL52:AL54" si="25">I52</f>
        <v>15000</v>
      </c>
      <c r="AQ52" s="4">
        <f>I52*2</f>
        <v>30000</v>
      </c>
      <c r="AU52" s="122">
        <f t="shared" si="20"/>
        <v>1250</v>
      </c>
      <c r="AV52" s="47"/>
      <c r="BE52" s="3">
        <f>I52/25</f>
        <v>600</v>
      </c>
      <c r="CF52" s="48"/>
      <c r="CG52" s="48"/>
      <c r="CH52" s="48"/>
      <c r="CI52" s="48"/>
      <c r="CJ52" s="48"/>
      <c r="CN52" s="48"/>
      <c r="CO52" s="48"/>
      <c r="CP52" s="48"/>
      <c r="CQ52" s="48"/>
      <c r="CR52" s="48"/>
      <c r="CS52" s="48"/>
    </row>
    <row r="53" s="8" customFormat="1" ht="31" customHeight="1" spans="1:99">
      <c r="A53" s="128">
        <v>45848</v>
      </c>
      <c r="B53" s="129" t="s">
        <v>12119</v>
      </c>
      <c r="C53" s="130"/>
      <c r="D53" s="9" t="s">
        <v>12120</v>
      </c>
      <c r="E53" s="130" t="s">
        <v>12121</v>
      </c>
      <c r="G53" s="131" t="s">
        <v>6063</v>
      </c>
      <c r="H53" s="131" t="s">
        <v>6064</v>
      </c>
      <c r="I53" s="131">
        <v>119856</v>
      </c>
      <c r="J53" s="131">
        <v>0</v>
      </c>
      <c r="K53" s="131">
        <v>16</v>
      </c>
      <c r="L53" s="132">
        <f t="shared" si="0"/>
        <v>7491</v>
      </c>
      <c r="M53" s="133">
        <v>45877</v>
      </c>
      <c r="N53" s="133">
        <f t="shared" si="22"/>
        <v>45873</v>
      </c>
      <c r="O53" s="134"/>
      <c r="P53" s="134" t="s">
        <v>12122</v>
      </c>
      <c r="Q53" s="131"/>
      <c r="R53" s="135" t="s">
        <v>12123</v>
      </c>
      <c r="S53" s="136" t="s">
        <v>70</v>
      </c>
      <c r="T53" s="136" t="s">
        <v>70</v>
      </c>
      <c r="U53" s="136"/>
      <c r="V53" s="137" t="s">
        <v>12124</v>
      </c>
      <c r="W53" s="138" t="s">
        <v>12121</v>
      </c>
      <c r="X53" s="138"/>
      <c r="Y53" s="139"/>
      <c r="Z53" s="131"/>
      <c r="AA53" s="129" t="s">
        <v>6063</v>
      </c>
      <c r="AB53" s="9" t="s">
        <v>82</v>
      </c>
      <c r="AC53" s="140"/>
      <c r="AD53" s="131"/>
      <c r="AE53" s="141"/>
      <c r="AF53" s="131"/>
      <c r="AG53" s="142"/>
      <c r="AH53" s="131"/>
      <c r="AI53" s="131"/>
      <c r="AJ53" s="9">
        <f>I53</f>
        <v>119856</v>
      </c>
      <c r="AK53" s="9"/>
      <c r="AL53" s="8">
        <f t="shared" si="25"/>
        <v>119856</v>
      </c>
      <c r="AN53" s="143"/>
      <c r="AQ53" s="9">
        <f>I53</f>
        <v>119856</v>
      </c>
      <c r="AR53" s="9"/>
      <c r="AS53" s="9"/>
      <c r="AU53" s="9"/>
      <c r="AV53" s="9"/>
      <c r="AW53" s="144">
        <f>I53/48</f>
        <v>2497</v>
      </c>
      <c r="AX53" s="145"/>
      <c r="BJ53" s="8">
        <f>I53/16</f>
        <v>7491</v>
      </c>
      <c r="CE53" s="8">
        <f>BJ53+BI53+BH53+BG53</f>
        <v>7491</v>
      </c>
      <c r="CF53" s="8">
        <f>BU53+BV53+BW53+BX53+BY53+CA53+BZ53</f>
        <v>0</v>
      </c>
      <c r="CG53" s="8">
        <f>BS53+BT53</f>
        <v>0</v>
      </c>
      <c r="CH53" s="143"/>
      <c r="CI53" s="143"/>
      <c r="CJ53" s="143"/>
      <c r="CK53" s="143"/>
      <c r="CL53" s="143"/>
      <c r="CP53" s="143"/>
      <c r="CQ53" s="143"/>
      <c r="CR53" s="143"/>
      <c r="CS53" s="143"/>
      <c r="CT53" s="143"/>
      <c r="CU53" s="143"/>
    </row>
    <row r="54" s="9" customFormat="1" ht="31" customHeight="1" spans="1:99">
      <c r="A54" s="128">
        <v>45828</v>
      </c>
      <c r="B54" s="130" t="s">
        <v>12125</v>
      </c>
      <c r="C54" s="130"/>
      <c r="D54" s="9" t="s">
        <v>12126</v>
      </c>
      <c r="E54" s="9" t="s">
        <v>12121</v>
      </c>
      <c r="G54" s="146" t="s">
        <v>101</v>
      </c>
      <c r="H54" s="130" t="s">
        <v>102</v>
      </c>
      <c r="I54" s="130">
        <v>23536</v>
      </c>
      <c r="J54" s="130">
        <v>0</v>
      </c>
      <c r="K54" s="130">
        <v>4</v>
      </c>
      <c r="L54" s="147">
        <f t="shared" si="0"/>
        <v>5884</v>
      </c>
      <c r="M54" s="148">
        <v>45908</v>
      </c>
      <c r="N54" s="148">
        <v>45904</v>
      </c>
      <c r="O54" s="149">
        <v>45880</v>
      </c>
      <c r="P54" s="134" t="s">
        <v>12122</v>
      </c>
      <c r="Q54" s="149"/>
      <c r="R54" s="130"/>
      <c r="S54" s="150">
        <v>45876</v>
      </c>
      <c r="T54" s="150" t="s">
        <v>70</v>
      </c>
      <c r="U54" s="150" t="s">
        <v>5905</v>
      </c>
      <c r="V54" s="150"/>
      <c r="W54" s="150"/>
      <c r="X54" s="129" t="s">
        <v>12127</v>
      </c>
      <c r="Y54" s="151" t="s">
        <v>12121</v>
      </c>
      <c r="Z54" s="152"/>
      <c r="AA54" s="153"/>
      <c r="AB54" s="130"/>
      <c r="AC54" s="130" t="s">
        <v>101</v>
      </c>
      <c r="AD54" s="130" t="s">
        <v>82</v>
      </c>
      <c r="AE54" s="130"/>
      <c r="AF54" s="130"/>
      <c r="AG54" s="154"/>
      <c r="AH54" s="154">
        <f t="shared" si="23"/>
        <v>-23536</v>
      </c>
      <c r="AI54" s="155"/>
      <c r="AJ54" s="130"/>
      <c r="AK54" s="130"/>
      <c r="AL54" s="9">
        <f t="shared" si="25"/>
        <v>23536</v>
      </c>
      <c r="AP54" s="9">
        <f>I54</f>
        <v>23536</v>
      </c>
      <c r="AR54" s="9">
        <f>I54</f>
        <v>23536</v>
      </c>
      <c r="AT54" s="9">
        <f>I54</f>
        <v>23536</v>
      </c>
      <c r="AV54" s="9">
        <f>I54/4</f>
        <v>5884</v>
      </c>
    </row>
    <row r="55" s="8" customFormat="1" ht="31" customHeight="1" spans="1:99">
      <c r="A55" s="128">
        <v>45904</v>
      </c>
      <c r="B55" s="129" t="s">
        <v>827</v>
      </c>
      <c r="C55" s="130" t="s">
        <v>524</v>
      </c>
      <c r="D55" s="8">
        <v>4500178828</v>
      </c>
      <c r="E55" s="130">
        <v>7950903135</v>
      </c>
      <c r="F55" s="8" t="s">
        <v>12128</v>
      </c>
      <c r="G55" s="131" t="s">
        <v>829</v>
      </c>
      <c r="H55" s="131" t="s">
        <v>830</v>
      </c>
      <c r="I55" s="131">
        <v>64</v>
      </c>
      <c r="J55" s="131">
        <v>0</v>
      </c>
      <c r="K55" s="131">
        <v>1</v>
      </c>
      <c r="L55" s="132">
        <f t="shared" si="0"/>
        <v>64</v>
      </c>
      <c r="M55" s="133">
        <v>45940</v>
      </c>
      <c r="N55" s="133">
        <v>45936</v>
      </c>
      <c r="O55" s="134"/>
      <c r="P55" s="134"/>
      <c r="Q55" s="131"/>
      <c r="R55" s="136">
        <v>45904</v>
      </c>
      <c r="S55" s="136" t="s">
        <v>70</v>
      </c>
      <c r="T55" s="136" t="s">
        <v>1968</v>
      </c>
      <c r="U55" s="136"/>
      <c r="V55" s="156" t="s">
        <v>1969</v>
      </c>
      <c r="W55" s="138" t="s">
        <v>529</v>
      </c>
      <c r="X55" s="138">
        <v>0</v>
      </c>
      <c r="Y55" s="139">
        <f>X55*J55</f>
        <v>0</v>
      </c>
      <c r="Z55" s="131"/>
      <c r="AA55" s="131" t="s">
        <v>829</v>
      </c>
      <c r="AB55" s="140" t="s">
        <v>82</v>
      </c>
      <c r="AC55" s="140"/>
      <c r="AD55" s="131"/>
      <c r="AE55" s="141"/>
      <c r="AF55" s="131">
        <f t="shared" si="24"/>
        <v>-64</v>
      </c>
      <c r="AG55" s="142"/>
      <c r="AH55" s="131"/>
      <c r="AI55" s="131"/>
      <c r="AJ55" s="131"/>
      <c r="AK55" s="9"/>
      <c r="AQ55" s="9"/>
      <c r="AS55" s="9"/>
      <c r="AW55" s="144"/>
      <c r="AX55" s="145"/>
      <c r="CH55" s="143"/>
      <c r="CI55" s="143"/>
      <c r="CJ55" s="143"/>
      <c r="CK55" s="143"/>
      <c r="CL55" s="143"/>
      <c r="CP55" s="143"/>
      <c r="CQ55" s="143"/>
      <c r="CR55" s="143"/>
      <c r="CS55" s="143"/>
      <c r="CT55" s="143"/>
      <c r="CU55" s="143"/>
    </row>
    <row r="56" s="8" customFormat="1" ht="31" customHeight="1" spans="1:99">
      <c r="A56" s="128">
        <v>45904</v>
      </c>
      <c r="B56" s="129" t="s">
        <v>827</v>
      </c>
      <c r="C56" s="130" t="s">
        <v>524</v>
      </c>
      <c r="D56" s="8">
        <v>4500178828</v>
      </c>
      <c r="E56" s="130">
        <v>7950903135</v>
      </c>
      <c r="F56" s="8" t="s">
        <v>12128</v>
      </c>
      <c r="G56" s="131">
        <v>77711</v>
      </c>
      <c r="H56" s="131" t="s">
        <v>6033</v>
      </c>
      <c r="I56" s="131">
        <v>4800</v>
      </c>
      <c r="J56" s="131">
        <v>0</v>
      </c>
      <c r="K56" s="131">
        <v>75</v>
      </c>
      <c r="L56" s="132">
        <f t="shared" si="0"/>
        <v>64</v>
      </c>
      <c r="M56" s="133">
        <v>45940</v>
      </c>
      <c r="N56" s="133">
        <v>45936</v>
      </c>
      <c r="O56" s="134"/>
      <c r="P56" s="134"/>
      <c r="Q56" s="131"/>
      <c r="R56" s="136">
        <v>45904</v>
      </c>
      <c r="S56" s="136" t="s">
        <v>70</v>
      </c>
      <c r="T56" s="136" t="s">
        <v>1968</v>
      </c>
      <c r="U56" s="136"/>
      <c r="V56" s="156" t="s">
        <v>1969</v>
      </c>
      <c r="W56" s="138" t="s">
        <v>529</v>
      </c>
      <c r="X56" s="138">
        <v>596.7236</v>
      </c>
      <c r="Y56" s="139">
        <f>X56*L56</f>
        <v>38190.3104</v>
      </c>
      <c r="Z56" s="131"/>
      <c r="AA56" s="131" t="s">
        <v>829</v>
      </c>
      <c r="AB56" s="140" t="s">
        <v>82</v>
      </c>
      <c r="AC56" s="140"/>
      <c r="AD56" s="131"/>
      <c r="AE56" s="141"/>
      <c r="AF56" s="131">
        <f t="shared" si="24"/>
        <v>-4800</v>
      </c>
      <c r="AG56" s="142"/>
      <c r="AH56" s="131"/>
      <c r="AI56" s="131"/>
      <c r="AJ56" s="131">
        <f>I56*3</f>
        <v>14400</v>
      </c>
      <c r="AK56" s="9"/>
      <c r="AQ56" s="9"/>
      <c r="AS56" s="9"/>
      <c r="AW56" s="144"/>
      <c r="AX56" s="145"/>
      <c r="AZ56" s="8">
        <f>I56</f>
        <v>4800</v>
      </c>
      <c r="BA56" s="8">
        <f>I56</f>
        <v>4800</v>
      </c>
      <c r="BB56" s="8">
        <f>I56</f>
        <v>4800</v>
      </c>
      <c r="BC56" s="8">
        <f>I56/5</f>
        <v>960</v>
      </c>
      <c r="CH56" s="143"/>
      <c r="CI56" s="143"/>
      <c r="CJ56" s="143"/>
      <c r="CK56" s="143"/>
      <c r="CL56" s="143"/>
      <c r="CP56" s="143"/>
      <c r="CQ56" s="143"/>
      <c r="CR56" s="143"/>
      <c r="CS56" s="143"/>
      <c r="CT56" s="143"/>
      <c r="CU56" s="143"/>
    </row>
    <row r="57" s="8" customFormat="1" ht="31" customHeight="1" spans="1:99">
      <c r="A57" s="157">
        <v>45904</v>
      </c>
      <c r="B57" s="129" t="s">
        <v>827</v>
      </c>
      <c r="C57" s="130" t="s">
        <v>524</v>
      </c>
      <c r="D57" s="8">
        <v>4500178828</v>
      </c>
      <c r="E57" s="130">
        <v>7950903135</v>
      </c>
      <c r="F57" s="8" t="s">
        <v>12128</v>
      </c>
      <c r="G57" s="131" t="s">
        <v>829</v>
      </c>
      <c r="H57" s="130" t="s">
        <v>830</v>
      </c>
      <c r="I57" s="130">
        <v>64</v>
      </c>
      <c r="J57" s="130">
        <v>0</v>
      </c>
      <c r="K57" s="130">
        <v>1</v>
      </c>
      <c r="L57" s="147">
        <f t="shared" si="0"/>
        <v>64</v>
      </c>
      <c r="M57" s="151">
        <v>45940</v>
      </c>
      <c r="N57" s="151">
        <v>45936</v>
      </c>
      <c r="O57" s="134"/>
      <c r="P57" s="134"/>
      <c r="Q57" s="131"/>
      <c r="R57" s="136"/>
      <c r="S57" s="135">
        <v>45904</v>
      </c>
      <c r="T57" s="135" t="s">
        <v>70</v>
      </c>
      <c r="U57" s="136" t="s">
        <v>1968</v>
      </c>
      <c r="V57" s="135"/>
      <c r="W57" s="138"/>
      <c r="X57" s="138" t="s">
        <v>1969</v>
      </c>
      <c r="Y57" s="139" t="s">
        <v>529</v>
      </c>
      <c r="Z57" s="152">
        <v>0</v>
      </c>
      <c r="AA57" s="153">
        <f>Z57*L57</f>
        <v>0</v>
      </c>
      <c r="AB57" s="130"/>
      <c r="AC57" s="130" t="s">
        <v>829</v>
      </c>
      <c r="AD57" s="158" t="s">
        <v>82</v>
      </c>
      <c r="AE57" s="141"/>
      <c r="AF57" s="131"/>
      <c r="AG57" s="142"/>
      <c r="AH57" s="154">
        <f t="shared" ref="AH57:AH61" si="26">AG57-I57</f>
        <v>-64</v>
      </c>
      <c r="AI57" s="131"/>
      <c r="AJ57" s="131"/>
      <c r="AK57" s="9"/>
      <c r="AL57" s="9"/>
      <c r="AP57" s="9"/>
      <c r="AQ57" s="9"/>
      <c r="AR57" s="9"/>
      <c r="AS57" s="9"/>
      <c r="AT57" s="9"/>
      <c r="AU57" s="9"/>
      <c r="AV57" s="9"/>
      <c r="CF57" s="143"/>
      <c r="CG57" s="143"/>
      <c r="CH57" s="143"/>
      <c r="CI57" s="143"/>
      <c r="CJ57" s="143"/>
      <c r="CN57" s="143"/>
      <c r="CO57" s="143"/>
      <c r="CP57" s="143"/>
      <c r="CQ57" s="143"/>
      <c r="CR57" s="143"/>
      <c r="CS57" s="143"/>
    </row>
    <row r="58" s="8" customFormat="1" ht="31" customHeight="1" spans="1:99">
      <c r="A58" s="157">
        <v>45904</v>
      </c>
      <c r="B58" s="129" t="s">
        <v>827</v>
      </c>
      <c r="C58" s="130" t="s">
        <v>524</v>
      </c>
      <c r="D58" s="8">
        <v>4500178828</v>
      </c>
      <c r="E58" s="130">
        <v>7950903135</v>
      </c>
      <c r="F58" s="8" t="s">
        <v>12128</v>
      </c>
      <c r="G58" s="131">
        <v>77673</v>
      </c>
      <c r="H58" s="130" t="s">
        <v>112</v>
      </c>
      <c r="I58" s="131">
        <v>4800</v>
      </c>
      <c r="J58" s="131">
        <v>0</v>
      </c>
      <c r="K58" s="131">
        <v>75</v>
      </c>
      <c r="L58" s="132">
        <f t="shared" si="0"/>
        <v>64</v>
      </c>
      <c r="M58" s="151">
        <v>45940</v>
      </c>
      <c r="N58" s="151">
        <v>45936</v>
      </c>
      <c r="O58" s="134"/>
      <c r="P58" s="134"/>
      <c r="Q58" s="131"/>
      <c r="R58" s="136"/>
      <c r="S58" s="135">
        <v>45904</v>
      </c>
      <c r="T58" s="135" t="s">
        <v>70</v>
      </c>
      <c r="U58" s="136" t="s">
        <v>1968</v>
      </c>
      <c r="V58" s="135"/>
      <c r="W58" s="138"/>
      <c r="X58" s="138" t="s">
        <v>1969</v>
      </c>
      <c r="Y58" s="139" t="s">
        <v>529</v>
      </c>
      <c r="Z58" s="152">
        <v>596.7236</v>
      </c>
      <c r="AA58" s="153">
        <f>Z58*L58</f>
        <v>38190.3104</v>
      </c>
      <c r="AB58" s="130"/>
      <c r="AC58" s="130" t="s">
        <v>829</v>
      </c>
      <c r="AD58" s="158" t="s">
        <v>82</v>
      </c>
      <c r="AE58" s="141"/>
      <c r="AF58" s="131"/>
      <c r="AG58" s="142"/>
      <c r="AH58" s="154">
        <f t="shared" si="26"/>
        <v>-4800</v>
      </c>
      <c r="AI58" s="131"/>
      <c r="AJ58" s="131"/>
      <c r="AK58" s="9"/>
      <c r="AL58" s="9"/>
      <c r="AM58" s="9"/>
      <c r="AO58" s="8">
        <f>I58</f>
        <v>4800</v>
      </c>
      <c r="AP58" s="9"/>
      <c r="AQ58" s="9"/>
      <c r="AR58" s="9"/>
      <c r="AS58" s="9"/>
      <c r="AT58" s="9"/>
      <c r="AU58" s="9"/>
      <c r="AV58" s="9"/>
      <c r="AX58" s="8">
        <f>I58</f>
        <v>4800</v>
      </c>
      <c r="AY58" s="8">
        <f>I58</f>
        <v>4800</v>
      </c>
      <c r="AZ58" s="8">
        <f>I58</f>
        <v>4800</v>
      </c>
      <c r="BA58" s="8">
        <f>I58</f>
        <v>4800</v>
      </c>
      <c r="BB58" s="8">
        <f>I58/5</f>
        <v>960</v>
      </c>
      <c r="CF58" s="143"/>
      <c r="CG58" s="143"/>
      <c r="CH58" s="143"/>
      <c r="CI58" s="143"/>
      <c r="CJ58" s="143"/>
      <c r="CN58" s="143"/>
      <c r="CO58" s="143"/>
      <c r="CP58" s="143"/>
      <c r="CQ58" s="143"/>
      <c r="CR58" s="143"/>
      <c r="CS58" s="143"/>
    </row>
    <row r="59" s="8" customFormat="1" ht="31" customHeight="1" spans="1:99">
      <c r="A59" s="128">
        <v>45904</v>
      </c>
      <c r="B59" s="129" t="s">
        <v>12119</v>
      </c>
      <c r="C59" s="130" t="s">
        <v>98</v>
      </c>
      <c r="D59" s="8" t="s">
        <v>12129</v>
      </c>
      <c r="E59" s="130" t="s">
        <v>12121</v>
      </c>
      <c r="G59" s="131" t="s">
        <v>6063</v>
      </c>
      <c r="H59" s="131" t="s">
        <v>6064</v>
      </c>
      <c r="I59" s="131">
        <v>0</v>
      </c>
      <c r="J59" s="131">
        <v>0</v>
      </c>
      <c r="K59" s="131">
        <v>0</v>
      </c>
      <c r="L59" s="132" t="e">
        <f t="shared" si="0"/>
        <v>#DIV/0!</v>
      </c>
      <c r="M59" s="133">
        <v>45945</v>
      </c>
      <c r="N59" s="133">
        <v>45943</v>
      </c>
      <c r="O59" s="134"/>
      <c r="P59" s="134"/>
      <c r="Q59" s="131"/>
      <c r="R59" s="136" t="s">
        <v>7064</v>
      </c>
      <c r="S59" s="136" t="s">
        <v>70</v>
      </c>
      <c r="T59" s="136" t="s">
        <v>148</v>
      </c>
      <c r="U59" s="136"/>
      <c r="V59" s="156" t="s">
        <v>12130</v>
      </c>
      <c r="W59" s="138" t="s">
        <v>12121</v>
      </c>
      <c r="X59" s="138"/>
      <c r="Y59" s="139"/>
      <c r="Z59" s="131"/>
      <c r="AA59" s="131"/>
      <c r="AB59" s="140"/>
      <c r="AC59" s="140"/>
      <c r="AD59" s="131"/>
      <c r="AE59" s="141"/>
      <c r="AF59" s="131">
        <f>AE59-I59</f>
        <v>0</v>
      </c>
      <c r="AG59" s="142"/>
      <c r="AH59" s="131"/>
      <c r="AI59" s="131"/>
      <c r="AJ59" s="131">
        <f>I59</f>
        <v>0</v>
      </c>
      <c r="AK59" s="9"/>
      <c r="AL59" s="8">
        <f t="shared" ref="AL59:AL65" si="27">I59</f>
        <v>0</v>
      </c>
      <c r="AQ59" s="8">
        <f t="shared" ref="AQ59:AQ62" si="28">I59</f>
        <v>0</v>
      </c>
      <c r="AR59" s="9"/>
      <c r="AS59" s="9"/>
      <c r="AW59" s="144">
        <f>I59/24</f>
        <v>0</v>
      </c>
      <c r="AX59" s="145"/>
      <c r="BJ59" s="8">
        <f>I59/16</f>
        <v>0</v>
      </c>
      <c r="CH59" s="143"/>
      <c r="CI59" s="143"/>
      <c r="CJ59" s="143"/>
      <c r="CK59" s="143"/>
      <c r="CL59" s="143"/>
      <c r="CP59" s="143"/>
      <c r="CQ59" s="143"/>
      <c r="CR59" s="143"/>
      <c r="CS59" s="143"/>
      <c r="CT59" s="143"/>
      <c r="CU59" s="143"/>
    </row>
    <row r="60" s="8" customFormat="1" ht="31" customHeight="1" spans="1:99">
      <c r="A60" s="157">
        <v>45904</v>
      </c>
      <c r="B60" s="129" t="s">
        <v>12119</v>
      </c>
      <c r="C60" s="130" t="s">
        <v>98</v>
      </c>
      <c r="D60" s="8" t="s">
        <v>12129</v>
      </c>
      <c r="E60" s="130" t="s">
        <v>12121</v>
      </c>
      <c r="G60" s="131" t="s">
        <v>101</v>
      </c>
      <c r="H60" s="130" t="s">
        <v>102</v>
      </c>
      <c r="I60" s="130">
        <v>0</v>
      </c>
      <c r="J60" s="130">
        <v>0</v>
      </c>
      <c r="K60" s="130">
        <v>0</v>
      </c>
      <c r="L60" s="147">
        <v>0</v>
      </c>
      <c r="M60" s="151">
        <v>45945</v>
      </c>
      <c r="N60" s="151">
        <v>45943</v>
      </c>
      <c r="O60" s="134"/>
      <c r="P60" s="134"/>
      <c r="Q60" s="131"/>
      <c r="R60" s="136"/>
      <c r="S60" s="136" t="s">
        <v>12131</v>
      </c>
      <c r="T60" s="136" t="s">
        <v>70</v>
      </c>
      <c r="U60" s="136" t="s">
        <v>5905</v>
      </c>
      <c r="V60" s="156"/>
      <c r="W60" s="138"/>
      <c r="X60" s="138" t="s">
        <v>12132</v>
      </c>
      <c r="Y60" s="139" t="s">
        <v>12121</v>
      </c>
      <c r="Z60" s="152"/>
      <c r="AA60" s="153"/>
      <c r="AB60" s="140"/>
      <c r="AC60" s="130" t="s">
        <v>101</v>
      </c>
      <c r="AD60" s="130" t="s">
        <v>82</v>
      </c>
      <c r="AE60" s="141"/>
      <c r="AF60" s="131"/>
      <c r="AG60" s="131"/>
      <c r="AH60" s="131">
        <f t="shared" si="26"/>
        <v>0</v>
      </c>
      <c r="AI60" s="131"/>
      <c r="AJ60" s="131"/>
      <c r="AK60" s="9"/>
      <c r="AL60" s="9">
        <f t="shared" si="27"/>
        <v>0</v>
      </c>
      <c r="AN60" s="9"/>
      <c r="AP60" s="9">
        <f>I60</f>
        <v>0</v>
      </c>
      <c r="AQ60" s="9"/>
      <c r="AR60" s="9">
        <f t="shared" ref="AR60:AR66" si="29">I60</f>
        <v>0</v>
      </c>
      <c r="AS60" s="9"/>
      <c r="AT60" s="9">
        <f t="shared" ref="AT60:AT65" si="30">I60</f>
        <v>0</v>
      </c>
      <c r="AU60" s="9"/>
      <c r="AV60" s="9">
        <f>I60/4</f>
        <v>0</v>
      </c>
      <c r="BF60" s="9"/>
      <c r="BG60" s="9"/>
      <c r="CF60" s="143"/>
      <c r="CG60" s="143"/>
      <c r="CH60" s="143"/>
      <c r="CI60" s="143"/>
      <c r="CJ60" s="143"/>
      <c r="CN60" s="143"/>
      <c r="CO60" s="143"/>
      <c r="CP60" s="143"/>
      <c r="CQ60" s="143"/>
      <c r="CR60" s="143"/>
      <c r="CS60" s="143"/>
    </row>
    <row r="61" s="8" customFormat="1" ht="31" customHeight="1" spans="1:99">
      <c r="A61" s="157">
        <v>45912</v>
      </c>
      <c r="B61" s="129" t="s">
        <v>169</v>
      </c>
      <c r="C61" s="130" t="s">
        <v>170</v>
      </c>
      <c r="D61" s="8">
        <v>4500179455</v>
      </c>
      <c r="E61" s="130"/>
      <c r="F61" s="8" t="s">
        <v>12133</v>
      </c>
      <c r="G61" s="131" t="s">
        <v>172</v>
      </c>
      <c r="H61" s="130" t="s">
        <v>112</v>
      </c>
      <c r="I61" s="130">
        <v>10000</v>
      </c>
      <c r="J61" s="130">
        <v>0</v>
      </c>
      <c r="K61" s="130">
        <v>2</v>
      </c>
      <c r="L61" s="147">
        <f t="shared" ref="L61:L82" si="31">I61/K61</f>
        <v>5000</v>
      </c>
      <c r="M61" s="151">
        <v>45996</v>
      </c>
      <c r="N61" s="151">
        <v>45992</v>
      </c>
      <c r="O61" s="134"/>
      <c r="P61" s="134"/>
      <c r="Q61" s="131"/>
      <c r="R61" s="136"/>
      <c r="S61" s="136" t="s">
        <v>454</v>
      </c>
      <c r="T61" s="135" t="s">
        <v>70</v>
      </c>
      <c r="U61" s="150" t="s">
        <v>1980</v>
      </c>
      <c r="V61" s="156"/>
      <c r="W61" s="138"/>
      <c r="X61" s="138" t="s">
        <v>2070</v>
      </c>
      <c r="Y61" s="139" t="s">
        <v>2071</v>
      </c>
      <c r="Z61" s="152">
        <v>4.2472</v>
      </c>
      <c r="AA61" s="153">
        <f t="shared" ref="AA61:AA65" si="32">Z61*I61</f>
        <v>42472</v>
      </c>
      <c r="AB61" s="140"/>
      <c r="AC61" s="130" t="s">
        <v>172</v>
      </c>
      <c r="AD61" s="130" t="s">
        <v>82</v>
      </c>
      <c r="AE61" s="141"/>
      <c r="AF61" s="131"/>
      <c r="AG61" s="142"/>
      <c r="AH61" s="154">
        <f t="shared" si="26"/>
        <v>-10000</v>
      </c>
      <c r="AI61" s="140"/>
      <c r="AJ61" s="140"/>
      <c r="AK61" s="9"/>
      <c r="AL61" s="159">
        <f t="shared" si="27"/>
        <v>10000</v>
      </c>
      <c r="AP61" s="9"/>
      <c r="AQ61" s="9">
        <f t="shared" si="28"/>
        <v>10000</v>
      </c>
      <c r="AR61" s="9">
        <f t="shared" si="29"/>
        <v>10000</v>
      </c>
      <c r="AS61" s="9"/>
      <c r="AT61" s="9">
        <f t="shared" si="30"/>
        <v>10000</v>
      </c>
      <c r="AU61" s="145"/>
      <c r="AV61" s="9"/>
      <c r="AW61" s="9"/>
      <c r="BD61" s="9"/>
      <c r="BE61" s="9"/>
      <c r="CF61" s="143"/>
      <c r="CG61" s="143"/>
      <c r="CH61" s="143"/>
      <c r="CI61" s="143"/>
      <c r="CJ61" s="143"/>
      <c r="CN61" s="143"/>
      <c r="CO61" s="143"/>
      <c r="CP61" s="143"/>
      <c r="CQ61" s="143"/>
      <c r="CR61" s="143"/>
      <c r="CS61" s="143"/>
    </row>
    <row r="62" s="8" customFormat="1" ht="31" customHeight="1" spans="1:99">
      <c r="A62" s="128">
        <v>45912</v>
      </c>
      <c r="B62" s="129" t="s">
        <v>12119</v>
      </c>
      <c r="C62" s="130" t="s">
        <v>98</v>
      </c>
      <c r="D62" s="8" t="s">
        <v>12134</v>
      </c>
      <c r="E62" s="130" t="s">
        <v>12121</v>
      </c>
      <c r="G62" s="131" t="s">
        <v>6063</v>
      </c>
      <c r="H62" s="131" t="s">
        <v>6064</v>
      </c>
      <c r="I62" s="131">
        <v>300000</v>
      </c>
      <c r="J62" s="131">
        <v>0</v>
      </c>
      <c r="K62" s="131">
        <v>16</v>
      </c>
      <c r="L62" s="132">
        <f t="shared" si="31"/>
        <v>18750</v>
      </c>
      <c r="M62" s="133">
        <v>45958</v>
      </c>
      <c r="N62" s="133">
        <v>45954</v>
      </c>
      <c r="O62" s="134"/>
      <c r="P62" s="134" t="s">
        <v>12135</v>
      </c>
      <c r="Q62" s="131"/>
      <c r="R62" s="136" t="s">
        <v>454</v>
      </c>
      <c r="S62" s="136" t="s">
        <v>12136</v>
      </c>
      <c r="T62" s="136" t="s">
        <v>148</v>
      </c>
      <c r="U62" s="136"/>
      <c r="V62" s="156" t="s">
        <v>12124</v>
      </c>
      <c r="W62" s="138" t="s">
        <v>12121</v>
      </c>
      <c r="X62" s="160"/>
      <c r="Y62" s="139"/>
      <c r="Z62" s="131"/>
      <c r="AA62" s="131"/>
      <c r="AB62" s="140"/>
      <c r="AC62" s="140"/>
      <c r="AD62" s="131"/>
      <c r="AE62" s="141"/>
      <c r="AF62" s="131">
        <f t="shared" ref="AF62:AF67" si="33">AE62-I62</f>
        <v>-300000</v>
      </c>
      <c r="AG62" s="142"/>
      <c r="AH62" s="131"/>
      <c r="AI62" s="131"/>
      <c r="AJ62" s="131">
        <f>I62</f>
        <v>300000</v>
      </c>
      <c r="AK62" s="9"/>
      <c r="AL62" s="8">
        <f t="shared" si="27"/>
        <v>300000</v>
      </c>
      <c r="AQ62" s="8">
        <f t="shared" si="28"/>
        <v>300000</v>
      </c>
      <c r="AS62" s="9"/>
      <c r="AW62" s="144">
        <f t="shared" ref="AW62:AW67" si="34">I62/24</f>
        <v>12500</v>
      </c>
      <c r="AX62" s="145"/>
      <c r="BJ62" s="8">
        <f>I62/16</f>
        <v>18750</v>
      </c>
      <c r="CE62" s="8">
        <f>BJ62+BI62+BH62+BG62</f>
        <v>18750</v>
      </c>
      <c r="CF62" s="8">
        <f>BU62+BV62+BW62+BX62+BY62+CA62+BZ62</f>
        <v>0</v>
      </c>
      <c r="CG62" s="8">
        <f>BS62+BT62</f>
        <v>0</v>
      </c>
      <c r="CH62" s="143"/>
      <c r="CI62" s="143"/>
      <c r="CJ62" s="143"/>
      <c r="CK62" s="143"/>
      <c r="CL62" s="143"/>
      <c r="CP62" s="143"/>
      <c r="CQ62" s="143"/>
      <c r="CR62" s="143"/>
      <c r="CS62" s="143"/>
      <c r="CT62" s="143"/>
      <c r="CU62" s="143"/>
    </row>
    <row r="63" s="10" customFormat="1" ht="31" customHeight="1" spans="1:99">
      <c r="A63" s="161">
        <v>45915</v>
      </c>
      <c r="B63" s="162" t="s">
        <v>2033</v>
      </c>
      <c r="C63" s="163" t="s">
        <v>399</v>
      </c>
      <c r="D63" s="10">
        <v>4500179469</v>
      </c>
      <c r="E63" s="163">
        <v>5200007748</v>
      </c>
      <c r="F63" s="10" t="s">
        <v>12137</v>
      </c>
      <c r="G63" s="164" t="s">
        <v>385</v>
      </c>
      <c r="H63" s="163" t="s">
        <v>112</v>
      </c>
      <c r="I63" s="163">
        <v>5000</v>
      </c>
      <c r="J63" s="163">
        <v>0</v>
      </c>
      <c r="K63" s="163">
        <v>4</v>
      </c>
      <c r="L63" s="165">
        <f t="shared" si="31"/>
        <v>1250</v>
      </c>
      <c r="M63" s="166">
        <v>45993</v>
      </c>
      <c r="N63" s="166">
        <v>45989</v>
      </c>
      <c r="O63" s="167"/>
      <c r="P63" s="167"/>
      <c r="Q63" s="164"/>
      <c r="R63" s="168"/>
      <c r="S63" s="168"/>
      <c r="T63" s="169"/>
      <c r="U63" s="170"/>
      <c r="V63" s="171"/>
      <c r="W63" s="172"/>
      <c r="X63" s="172" t="s">
        <v>2036</v>
      </c>
      <c r="Y63" s="173" t="s">
        <v>2037</v>
      </c>
      <c r="Z63" s="174">
        <v>4.1739</v>
      </c>
      <c r="AA63" s="175">
        <f t="shared" si="32"/>
        <v>20869.5</v>
      </c>
      <c r="AB63" s="176"/>
      <c r="AC63" s="163"/>
      <c r="AD63" s="163"/>
      <c r="AE63" s="177"/>
      <c r="AF63" s="164"/>
      <c r="AG63" s="178"/>
      <c r="AH63" s="179"/>
      <c r="AI63" s="164"/>
      <c r="AJ63" s="164"/>
      <c r="AK63" s="180"/>
      <c r="AL63" s="181">
        <f t="shared" si="27"/>
        <v>5000</v>
      </c>
      <c r="AP63" s="180"/>
      <c r="AQ63" s="180"/>
      <c r="AR63" s="180"/>
      <c r="AS63" s="180"/>
      <c r="AT63" s="180"/>
      <c r="AU63" s="182"/>
      <c r="AV63" s="180"/>
      <c r="AW63" s="180"/>
      <c r="BD63" s="180"/>
      <c r="BE63" s="180"/>
      <c r="CF63" s="183"/>
      <c r="CG63" s="183"/>
      <c r="CH63" s="183"/>
      <c r="CI63" s="183"/>
      <c r="CJ63" s="183"/>
      <c r="CN63" s="183"/>
      <c r="CO63" s="183"/>
      <c r="CP63" s="183"/>
      <c r="CQ63" s="183"/>
      <c r="CR63" s="183"/>
      <c r="CS63" s="183"/>
    </row>
    <row r="64" s="8" customFormat="1" ht="31" customHeight="1" spans="1:99">
      <c r="A64" s="157">
        <v>45896</v>
      </c>
      <c r="B64" s="129" t="s">
        <v>1544</v>
      </c>
      <c r="C64" s="130" t="s">
        <v>257</v>
      </c>
      <c r="D64" s="8">
        <v>4500177872</v>
      </c>
      <c r="E64" s="130">
        <v>4400505157</v>
      </c>
      <c r="F64" s="8" t="s">
        <v>12138</v>
      </c>
      <c r="G64" s="131" t="s">
        <v>164</v>
      </c>
      <c r="H64" s="130" t="s">
        <v>112</v>
      </c>
      <c r="I64" s="130">
        <v>1504</v>
      </c>
      <c r="J64" s="130">
        <v>0</v>
      </c>
      <c r="K64" s="130">
        <v>8</v>
      </c>
      <c r="L64" s="147">
        <f t="shared" si="31"/>
        <v>188</v>
      </c>
      <c r="M64" s="151">
        <v>45950</v>
      </c>
      <c r="N64" s="151">
        <v>45946</v>
      </c>
      <c r="O64" s="134"/>
      <c r="P64" s="134"/>
      <c r="Q64" s="131"/>
      <c r="R64" s="136"/>
      <c r="S64" s="136">
        <v>45896</v>
      </c>
      <c r="T64" s="136" t="s">
        <v>70</v>
      </c>
      <c r="U64" s="136" t="s">
        <v>1943</v>
      </c>
      <c r="V64" s="156"/>
      <c r="W64" s="138"/>
      <c r="X64" s="138" t="s">
        <v>12139</v>
      </c>
      <c r="Y64" s="139" t="s">
        <v>1549</v>
      </c>
      <c r="Z64" s="152">
        <v>4.3748</v>
      </c>
      <c r="AA64" s="153">
        <f t="shared" si="32"/>
        <v>6579.6992</v>
      </c>
      <c r="AB64" s="140"/>
      <c r="AC64" s="9" t="s">
        <v>164</v>
      </c>
      <c r="AD64" s="158" t="s">
        <v>82</v>
      </c>
      <c r="AE64" s="141"/>
      <c r="AF64" s="131"/>
      <c r="AG64" s="142"/>
      <c r="AH64" s="154">
        <f t="shared" ref="AH64:AH69" si="35">AG64-I64</f>
        <v>-1504</v>
      </c>
      <c r="AI64" s="131"/>
      <c r="AJ64" s="131"/>
      <c r="AK64" s="9"/>
      <c r="AL64" s="9">
        <f t="shared" si="27"/>
        <v>1504</v>
      </c>
      <c r="AP64" s="9"/>
      <c r="AQ64" s="9"/>
      <c r="AR64" s="9"/>
      <c r="AS64" s="9"/>
      <c r="AT64" s="9">
        <f t="shared" si="30"/>
        <v>1504</v>
      </c>
      <c r="AU64" s="9"/>
      <c r="AV64" s="9"/>
      <c r="AW64" s="9">
        <f>I64/4</f>
        <v>376</v>
      </c>
      <c r="BD64" s="9">
        <f>I64</f>
        <v>1504</v>
      </c>
      <c r="BE64" s="9">
        <f>I64</f>
        <v>1504</v>
      </c>
      <c r="CF64" s="143"/>
      <c r="CG64" s="143"/>
      <c r="CH64" s="143"/>
      <c r="CI64" s="143"/>
      <c r="CJ64" s="143"/>
      <c r="CN64" s="143"/>
      <c r="CO64" s="143"/>
      <c r="CP64" s="143"/>
      <c r="CQ64" s="143"/>
      <c r="CR64" s="143"/>
      <c r="CS64" s="143"/>
    </row>
    <row r="65" s="11" customFormat="1" ht="31" customHeight="1" spans="1:101">
      <c r="A65" s="157">
        <v>45896</v>
      </c>
      <c r="B65" s="129" t="s">
        <v>169</v>
      </c>
      <c r="C65" s="130" t="s">
        <v>170</v>
      </c>
      <c r="D65" s="8">
        <v>4500177985</v>
      </c>
      <c r="E65" s="130">
        <v>2700954663</v>
      </c>
      <c r="F65" s="8" t="s">
        <v>12140</v>
      </c>
      <c r="G65" s="131" t="s">
        <v>172</v>
      </c>
      <c r="H65" s="130" t="s">
        <v>112</v>
      </c>
      <c r="I65" s="130">
        <v>5000</v>
      </c>
      <c r="J65" s="130">
        <v>0</v>
      </c>
      <c r="K65" s="130">
        <v>2</v>
      </c>
      <c r="L65" s="147">
        <f t="shared" si="31"/>
        <v>2500</v>
      </c>
      <c r="M65" s="151">
        <v>45940</v>
      </c>
      <c r="N65" s="151">
        <v>45936</v>
      </c>
      <c r="O65" s="134" t="s">
        <v>12141</v>
      </c>
      <c r="P65" s="134" t="s">
        <v>12142</v>
      </c>
      <c r="Q65" s="134" t="s">
        <v>113</v>
      </c>
      <c r="R65" s="136"/>
      <c r="S65" s="135">
        <v>45896</v>
      </c>
      <c r="T65" s="135" t="s">
        <v>70</v>
      </c>
      <c r="U65" s="136" t="s">
        <v>1980</v>
      </c>
      <c r="V65" s="135"/>
      <c r="W65" s="138"/>
      <c r="X65" s="138" t="s">
        <v>2070</v>
      </c>
      <c r="Y65" s="139" t="s">
        <v>2071</v>
      </c>
      <c r="Z65" s="152">
        <v>4.2525</v>
      </c>
      <c r="AA65" s="153">
        <f t="shared" si="32"/>
        <v>21262.5</v>
      </c>
      <c r="AB65" s="130"/>
      <c r="AC65" s="131" t="s">
        <v>172</v>
      </c>
      <c r="AD65" s="158" t="s">
        <v>82</v>
      </c>
      <c r="AE65" s="141"/>
      <c r="AF65" s="131"/>
      <c r="AG65" s="131">
        <f>4976+24</f>
        <v>5000</v>
      </c>
      <c r="AH65" s="154">
        <f t="shared" si="35"/>
        <v>0</v>
      </c>
      <c r="AI65" s="131"/>
      <c r="AJ65" s="131"/>
      <c r="AK65" s="9"/>
      <c r="AL65" s="159">
        <f t="shared" si="27"/>
        <v>5000</v>
      </c>
      <c r="AM65" s="9"/>
      <c r="AP65" s="9"/>
      <c r="AQ65" s="9">
        <f t="shared" ref="AQ65:AQ69" si="36">I65</f>
        <v>5000</v>
      </c>
      <c r="AR65" s="9">
        <f t="shared" si="29"/>
        <v>5000</v>
      </c>
      <c r="AT65" s="9">
        <f t="shared" si="30"/>
        <v>5000</v>
      </c>
      <c r="AU65" s="9"/>
      <c r="AY65" s="13"/>
      <c r="AZ65" s="13"/>
      <c r="BC65" s="9"/>
      <c r="BD65" s="13"/>
      <c r="BG65" s="13"/>
      <c r="CF65" s="143"/>
      <c r="CG65" s="143"/>
      <c r="CH65" s="143"/>
      <c r="CI65" s="143"/>
      <c r="CJ65" s="143"/>
      <c r="CN65" s="143"/>
      <c r="CO65" s="143"/>
      <c r="CP65" s="143"/>
      <c r="CQ65" s="143"/>
      <c r="CR65" s="143"/>
      <c r="CS65" s="143"/>
    </row>
    <row r="66" s="8" customFormat="1" ht="31" customHeight="1" spans="1:101">
      <c r="A66" s="128">
        <v>45926</v>
      </c>
      <c r="B66" s="129" t="s">
        <v>135</v>
      </c>
      <c r="C66" s="130" t="s">
        <v>128</v>
      </c>
      <c r="D66" s="8">
        <v>4500180534</v>
      </c>
      <c r="E66" s="130">
        <v>21184019</v>
      </c>
      <c r="F66" s="8" t="s">
        <v>12143</v>
      </c>
      <c r="G66" s="131" t="s">
        <v>6093</v>
      </c>
      <c r="H66" s="131" t="s">
        <v>6094</v>
      </c>
      <c r="I66" s="131">
        <v>12597</v>
      </c>
      <c r="J66" s="131">
        <v>0</v>
      </c>
      <c r="K66" s="131">
        <v>13</v>
      </c>
      <c r="L66" s="132">
        <f t="shared" si="31"/>
        <v>969</v>
      </c>
      <c r="M66" s="133">
        <v>45971</v>
      </c>
      <c r="N66" s="133">
        <v>45967</v>
      </c>
      <c r="O66" s="134"/>
      <c r="P66" s="134"/>
      <c r="Q66" s="131"/>
      <c r="R66" s="136">
        <v>45940</v>
      </c>
      <c r="S66" s="136" t="s">
        <v>104</v>
      </c>
      <c r="T66" s="136" t="s">
        <v>12144</v>
      </c>
      <c r="U66" s="136"/>
      <c r="V66" s="156" t="s">
        <v>6288</v>
      </c>
      <c r="W66" s="138" t="s">
        <v>133</v>
      </c>
      <c r="X66" s="138">
        <v>0.9348</v>
      </c>
      <c r="Y66" s="139">
        <f t="shared" ref="Y66:Y74" si="37">X66*I66</f>
        <v>11775.6756</v>
      </c>
      <c r="Z66" s="131"/>
      <c r="AA66" s="129" t="s">
        <v>6093</v>
      </c>
      <c r="AB66" s="140" t="s">
        <v>82</v>
      </c>
      <c r="AC66" s="140"/>
      <c r="AD66" s="131"/>
      <c r="AE66" s="141"/>
      <c r="AF66" s="131">
        <f t="shared" si="33"/>
        <v>-12597</v>
      </c>
      <c r="AG66" s="142"/>
      <c r="AH66" s="131"/>
      <c r="AI66" s="131"/>
      <c r="AJ66" s="131"/>
      <c r="AK66" s="9">
        <f>I66</f>
        <v>12597</v>
      </c>
      <c r="AP66" s="8">
        <f>I66</f>
        <v>12597</v>
      </c>
      <c r="AR66" s="184">
        <f t="shared" si="29"/>
        <v>12597</v>
      </c>
      <c r="AS66" s="9"/>
      <c r="AW66" s="185">
        <f t="shared" si="34"/>
        <v>524.875</v>
      </c>
      <c r="AX66" s="145"/>
      <c r="BF66" s="8">
        <f>I66/13</f>
        <v>969</v>
      </c>
      <c r="CE66" s="8">
        <f>BJ66+BI66+BH66+BG66+BO66</f>
        <v>0</v>
      </c>
      <c r="CF66" s="8">
        <f>BU66+BV66+BW66+BX66+BY66+CA66+BZ66</f>
        <v>0</v>
      </c>
      <c r="CG66" s="8">
        <f>BS66+BT66</f>
        <v>0</v>
      </c>
      <c r="CH66" s="143"/>
      <c r="CI66" s="143"/>
      <c r="CJ66" s="143"/>
      <c r="CK66" s="143"/>
      <c r="CL66" s="143"/>
      <c r="CP66" s="143"/>
      <c r="CQ66" s="143"/>
      <c r="CR66" s="143"/>
      <c r="CS66" s="143"/>
      <c r="CT66" s="143"/>
      <c r="CU66" s="143"/>
    </row>
    <row r="67" s="8" customFormat="1" ht="31" customHeight="1" spans="1:101">
      <c r="A67" s="128">
        <v>45946</v>
      </c>
      <c r="B67" s="129" t="s">
        <v>325</v>
      </c>
      <c r="C67" s="130" t="s">
        <v>98</v>
      </c>
      <c r="D67" s="8">
        <v>4500182103</v>
      </c>
      <c r="E67" s="130" t="s">
        <v>12145</v>
      </c>
      <c r="F67" s="8" t="s">
        <v>12146</v>
      </c>
      <c r="G67" s="131" t="s">
        <v>6084</v>
      </c>
      <c r="H67" s="131" t="s">
        <v>6069</v>
      </c>
      <c r="I67" s="131">
        <v>26500</v>
      </c>
      <c r="J67" s="131">
        <v>0</v>
      </c>
      <c r="K67" s="131">
        <v>25</v>
      </c>
      <c r="L67" s="132">
        <f t="shared" si="31"/>
        <v>1060</v>
      </c>
      <c r="M67" s="133">
        <v>45992</v>
      </c>
      <c r="N67" s="133">
        <f>M67-4</f>
        <v>45988</v>
      </c>
      <c r="O67" s="134"/>
      <c r="P67" s="134"/>
      <c r="Q67" s="131"/>
      <c r="R67" s="136" t="s">
        <v>454</v>
      </c>
      <c r="S67" s="136" t="s">
        <v>104</v>
      </c>
      <c r="T67" s="136" t="s">
        <v>12147</v>
      </c>
      <c r="U67" s="136"/>
      <c r="V67" s="156" t="s">
        <v>12148</v>
      </c>
      <c r="W67" s="138" t="s">
        <v>252</v>
      </c>
      <c r="X67" s="160">
        <v>0.5488</v>
      </c>
      <c r="Y67" s="139">
        <f t="shared" si="37"/>
        <v>14543.2</v>
      </c>
      <c r="Z67" s="131"/>
      <c r="AA67" s="131" t="s">
        <v>6084</v>
      </c>
      <c r="AB67" s="140" t="s">
        <v>82</v>
      </c>
      <c r="AC67" s="140"/>
      <c r="AD67" s="131"/>
      <c r="AE67" s="141"/>
      <c r="AF67" s="131">
        <f t="shared" si="33"/>
        <v>-26500</v>
      </c>
      <c r="AG67" s="142"/>
      <c r="AH67" s="131"/>
      <c r="AI67" s="131"/>
      <c r="AJ67" s="131">
        <f t="shared" ref="AJ67:AJ80" si="38">I67</f>
        <v>26500</v>
      </c>
      <c r="AK67" s="9"/>
      <c r="AL67" s="8">
        <f t="shared" ref="AL67:AL74" si="39">I67</f>
        <v>26500</v>
      </c>
      <c r="AQ67" s="8">
        <f t="shared" si="36"/>
        <v>26500</v>
      </c>
      <c r="AR67" s="9"/>
      <c r="AS67" s="9"/>
      <c r="AW67" s="144">
        <f t="shared" si="34"/>
        <v>1104.16666666667</v>
      </c>
      <c r="AX67" s="145"/>
      <c r="BH67" s="8">
        <f>I67/25</f>
        <v>1060</v>
      </c>
      <c r="CF67" s="8">
        <f>BK67+BJ67+BI67+BH67+BP67</f>
        <v>1060</v>
      </c>
      <c r="CG67" s="8">
        <f>BV67+BW67+BX67+BY67+BZ67+CB67+CA67</f>
        <v>0</v>
      </c>
      <c r="CH67" s="8">
        <f>BT67+BU67</f>
        <v>0</v>
      </c>
      <c r="CI67" s="143"/>
      <c r="CJ67" s="143"/>
      <c r="CK67" s="143"/>
      <c r="CL67" s="143"/>
      <c r="CM67" s="143"/>
      <c r="CQ67" s="143"/>
      <c r="CR67" s="143"/>
      <c r="CS67" s="143"/>
      <c r="CT67" s="143"/>
      <c r="CU67" s="143"/>
      <c r="CV67" s="143"/>
    </row>
    <row r="68" s="11" customFormat="1" ht="34" customHeight="1" spans="1:101">
      <c r="A68" s="157">
        <v>45946</v>
      </c>
      <c r="B68" s="129" t="s">
        <v>325</v>
      </c>
      <c r="C68" s="130" t="s">
        <v>98</v>
      </c>
      <c r="D68" s="8">
        <v>4500182103</v>
      </c>
      <c r="E68" s="130" t="s">
        <v>12145</v>
      </c>
      <c r="F68" s="8" t="s">
        <v>12149</v>
      </c>
      <c r="G68" s="131" t="s">
        <v>249</v>
      </c>
      <c r="H68" s="130" t="s">
        <v>250</v>
      </c>
      <c r="I68" s="130">
        <v>10516</v>
      </c>
      <c r="J68" s="130">
        <v>0</v>
      </c>
      <c r="K68" s="130">
        <v>4</v>
      </c>
      <c r="L68" s="147">
        <f t="shared" si="31"/>
        <v>2629</v>
      </c>
      <c r="M68" s="151">
        <v>45992</v>
      </c>
      <c r="N68" s="151">
        <f>M68-4</f>
        <v>45988</v>
      </c>
      <c r="O68" s="134"/>
      <c r="P68" s="134"/>
      <c r="Q68" s="131"/>
      <c r="R68" s="186"/>
      <c r="S68" s="150" t="s">
        <v>454</v>
      </c>
      <c r="T68" s="150" t="s">
        <v>70</v>
      </c>
      <c r="U68" s="150" t="s">
        <v>454</v>
      </c>
      <c r="V68" s="150" t="s">
        <v>70</v>
      </c>
      <c r="W68" s="138"/>
      <c r="X68" s="138" t="s">
        <v>12150</v>
      </c>
      <c r="Y68" s="139" t="s">
        <v>252</v>
      </c>
      <c r="Z68" s="152">
        <v>2.7832</v>
      </c>
      <c r="AA68" s="153">
        <f>Z68*I68</f>
        <v>29268.1312</v>
      </c>
      <c r="AB68" s="131"/>
      <c r="AC68" s="130" t="s">
        <v>249</v>
      </c>
      <c r="AD68" s="130" t="s">
        <v>82</v>
      </c>
      <c r="AE68" s="131"/>
      <c r="AF68" s="131"/>
      <c r="AG68" s="131"/>
      <c r="AH68" s="131">
        <f t="shared" si="35"/>
        <v>-10516</v>
      </c>
      <c r="AI68" s="131"/>
      <c r="AJ68" s="131"/>
      <c r="AK68" s="9"/>
      <c r="AL68" s="9"/>
      <c r="AM68" s="8"/>
      <c r="AN68" s="9">
        <f>I68</f>
        <v>10516</v>
      </c>
      <c r="AO68" s="8"/>
      <c r="AP68" s="9"/>
      <c r="AQ68" s="9"/>
      <c r="AR68" s="9"/>
      <c r="AS68" s="9"/>
      <c r="AT68" s="9"/>
      <c r="AU68" s="145"/>
      <c r="AV68" s="187"/>
      <c r="AW68" s="8"/>
      <c r="AX68" s="8"/>
      <c r="AY68" s="8"/>
      <c r="AZ68" s="9"/>
      <c r="BA68" s="9"/>
      <c r="BB68" s="8">
        <f>I68</f>
        <v>10516</v>
      </c>
      <c r="BC68" s="8">
        <f>I68</f>
        <v>10516</v>
      </c>
      <c r="BD68" s="9">
        <f>I68/4</f>
        <v>2629</v>
      </c>
      <c r="BE68" s="9"/>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143"/>
      <c r="CG68" s="143"/>
      <c r="CH68" s="143"/>
      <c r="CI68" s="143"/>
      <c r="CJ68" s="143"/>
      <c r="CK68" s="8"/>
      <c r="CL68" s="8"/>
      <c r="CM68" s="8"/>
      <c r="CN68" s="143"/>
      <c r="CO68" s="143"/>
      <c r="CP68" s="143"/>
      <c r="CQ68" s="143"/>
      <c r="CR68" s="143"/>
      <c r="CS68" s="143"/>
    </row>
    <row r="69" s="11" customFormat="1" ht="31" customHeight="1" spans="1:101">
      <c r="A69" s="157">
        <v>45965</v>
      </c>
      <c r="B69" s="129" t="s">
        <v>2454</v>
      </c>
      <c r="C69" s="130" t="s">
        <v>782</v>
      </c>
      <c r="D69" s="8">
        <v>4500184399</v>
      </c>
      <c r="E69" s="130"/>
      <c r="F69" s="8" t="s">
        <v>12151</v>
      </c>
      <c r="G69" s="131" t="s">
        <v>68</v>
      </c>
      <c r="H69" s="130" t="s">
        <v>112</v>
      </c>
      <c r="I69" s="130">
        <v>72</v>
      </c>
      <c r="J69" s="130">
        <v>0</v>
      </c>
      <c r="K69" s="130">
        <v>12</v>
      </c>
      <c r="L69" s="147">
        <f t="shared" si="31"/>
        <v>6</v>
      </c>
      <c r="M69" s="151">
        <v>46013</v>
      </c>
      <c r="N69" s="151">
        <v>46009</v>
      </c>
      <c r="O69" s="134"/>
      <c r="P69" s="134"/>
      <c r="Q69" s="131"/>
      <c r="R69" s="186"/>
      <c r="S69" s="186" t="s">
        <v>454</v>
      </c>
      <c r="T69" s="150" t="s">
        <v>70</v>
      </c>
      <c r="U69" s="150" t="s">
        <v>2456</v>
      </c>
      <c r="V69" s="138"/>
      <c r="W69" s="138"/>
      <c r="X69" s="138" t="s">
        <v>2457</v>
      </c>
      <c r="Y69" s="139" t="s">
        <v>340</v>
      </c>
      <c r="Z69" s="152">
        <v>4.1623</v>
      </c>
      <c r="AA69" s="153">
        <f>Z69*I69</f>
        <v>299.6856</v>
      </c>
      <c r="AB69" s="131"/>
      <c r="AC69" s="130" t="s">
        <v>184</v>
      </c>
      <c r="AD69" s="130" t="s">
        <v>82</v>
      </c>
      <c r="AE69" s="131"/>
      <c r="AF69" s="131"/>
      <c r="AG69" s="131"/>
      <c r="AH69" s="188">
        <f t="shared" si="35"/>
        <v>-72</v>
      </c>
      <c r="AI69" s="131"/>
      <c r="AJ69" s="131"/>
      <c r="AK69" s="9"/>
      <c r="AL69" s="9">
        <f t="shared" si="39"/>
        <v>72</v>
      </c>
      <c r="AM69" s="8"/>
      <c r="AN69" s="9"/>
      <c r="AO69" s="8"/>
      <c r="AP69" s="9"/>
      <c r="AQ69" s="9">
        <f t="shared" si="36"/>
        <v>72</v>
      </c>
      <c r="AR69" s="9">
        <f>I69</f>
        <v>72</v>
      </c>
      <c r="AS69" s="9"/>
      <c r="AT69" s="9">
        <f>I69</f>
        <v>72</v>
      </c>
      <c r="AU69" s="145"/>
      <c r="AV69" s="187"/>
      <c r="AW69" s="8"/>
      <c r="AX69" s="8"/>
      <c r="AY69" s="8"/>
      <c r="AZ69" s="9"/>
      <c r="BA69" s="9"/>
      <c r="BB69" s="8"/>
      <c r="BC69" s="8"/>
      <c r="BD69" s="9"/>
      <c r="BE69" s="9"/>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143"/>
      <c r="CG69" s="143"/>
      <c r="CH69" s="143"/>
      <c r="CI69" s="143"/>
      <c r="CJ69" s="143"/>
      <c r="CK69" s="8"/>
      <c r="CL69" s="8"/>
      <c r="CM69" s="8"/>
      <c r="CN69" s="143"/>
      <c r="CO69" s="143"/>
      <c r="CP69" s="143"/>
      <c r="CQ69" s="143"/>
      <c r="CR69" s="143"/>
      <c r="CS69" s="143"/>
    </row>
    <row r="70" s="8" customFormat="1" ht="31" customHeight="1" spans="1:101">
      <c r="A70" s="128">
        <v>45965</v>
      </c>
      <c r="B70" s="129" t="s">
        <v>2454</v>
      </c>
      <c r="C70" s="130" t="s">
        <v>782</v>
      </c>
      <c r="D70" s="8">
        <v>4500184399</v>
      </c>
      <c r="E70" s="130"/>
      <c r="F70" s="8" t="s">
        <v>12152</v>
      </c>
      <c r="G70" s="131" t="s">
        <v>6276</v>
      </c>
      <c r="H70" s="131" t="s">
        <v>6277</v>
      </c>
      <c r="I70" s="131">
        <v>300</v>
      </c>
      <c r="J70" s="131">
        <v>0</v>
      </c>
      <c r="K70" s="131">
        <v>50</v>
      </c>
      <c r="L70" s="132">
        <f t="shared" si="31"/>
        <v>6</v>
      </c>
      <c r="M70" s="133">
        <v>46009</v>
      </c>
      <c r="N70" s="133">
        <v>46006</v>
      </c>
      <c r="O70" s="134"/>
      <c r="P70" s="134"/>
      <c r="Q70" s="131"/>
      <c r="R70" s="136" t="s">
        <v>454</v>
      </c>
      <c r="S70" s="136" t="s">
        <v>70</v>
      </c>
      <c r="T70" s="136" t="s">
        <v>6279</v>
      </c>
      <c r="U70" s="136"/>
      <c r="V70" s="156" t="s">
        <v>8272</v>
      </c>
      <c r="W70" s="138" t="s">
        <v>340</v>
      </c>
      <c r="X70" s="138">
        <v>0.9292</v>
      </c>
      <c r="Y70" s="139">
        <v>464.6</v>
      </c>
      <c r="Z70" s="131"/>
      <c r="AA70" s="131" t="s">
        <v>6276</v>
      </c>
      <c r="AB70" s="140" t="s">
        <v>82</v>
      </c>
      <c r="AC70" s="140"/>
      <c r="AD70" s="129"/>
      <c r="AE70" s="141"/>
      <c r="AF70" s="131">
        <f t="shared" ref="AF70:AF80" si="40">AE70-I70</f>
        <v>-300</v>
      </c>
      <c r="AG70" s="142"/>
      <c r="AH70" s="131"/>
      <c r="AI70" s="131"/>
      <c r="AJ70" s="131"/>
      <c r="AK70" s="9">
        <v>500</v>
      </c>
      <c r="AR70" s="9"/>
      <c r="AW70" s="144">
        <v>41.6666666666667</v>
      </c>
      <c r="AX70" s="145"/>
      <c r="BN70" s="8">
        <f>I70</f>
        <v>300</v>
      </c>
      <c r="BO70" s="8">
        <v>500</v>
      </c>
      <c r="BP70" s="8">
        <v>20</v>
      </c>
      <c r="CF70" s="8">
        <v>20</v>
      </c>
      <c r="CG70" s="8">
        <v>0</v>
      </c>
      <c r="CH70" s="8">
        <v>0</v>
      </c>
      <c r="CI70" s="143"/>
      <c r="CJ70" s="143"/>
      <c r="CK70" s="143"/>
      <c r="CL70" s="143"/>
      <c r="CM70" s="143"/>
      <c r="CQ70" s="143"/>
      <c r="CR70" s="143"/>
      <c r="CS70" s="143"/>
      <c r="CT70" s="143"/>
      <c r="CU70" s="143"/>
      <c r="CV70" s="143"/>
    </row>
    <row r="71" s="8" customFormat="1" ht="31" customHeight="1" spans="1:101">
      <c r="A71" s="128">
        <v>45965</v>
      </c>
      <c r="B71" s="129" t="s">
        <v>143</v>
      </c>
      <c r="C71" s="130" t="s">
        <v>98</v>
      </c>
      <c r="D71" s="8">
        <v>4500184391</v>
      </c>
      <c r="E71" s="130" t="s">
        <v>12153</v>
      </c>
      <c r="F71" s="8" t="s">
        <v>12154</v>
      </c>
      <c r="G71" s="131" t="s">
        <v>6063</v>
      </c>
      <c r="H71" s="131" t="s">
        <v>6064</v>
      </c>
      <c r="I71" s="131">
        <v>25920</v>
      </c>
      <c r="J71" s="131">
        <v>0</v>
      </c>
      <c r="K71" s="131">
        <v>16</v>
      </c>
      <c r="L71" s="132">
        <f t="shared" si="31"/>
        <v>1620</v>
      </c>
      <c r="M71" s="133">
        <v>46013</v>
      </c>
      <c r="N71" s="133">
        <v>46009</v>
      </c>
      <c r="O71" s="134"/>
      <c r="P71" s="134"/>
      <c r="Q71" s="131"/>
      <c r="R71" s="136" t="s">
        <v>7064</v>
      </c>
      <c r="S71" s="136" t="s">
        <v>70</v>
      </c>
      <c r="T71" s="136" t="s">
        <v>148</v>
      </c>
      <c r="U71" s="136"/>
      <c r="V71" s="156" t="s">
        <v>7065</v>
      </c>
      <c r="W71" s="138" t="s">
        <v>106</v>
      </c>
      <c r="X71" s="138">
        <v>0.5837</v>
      </c>
      <c r="Y71" s="139">
        <f t="shared" si="37"/>
        <v>15129.504</v>
      </c>
      <c r="Z71" s="131"/>
      <c r="AA71" s="131" t="s">
        <v>6063</v>
      </c>
      <c r="AB71" s="140" t="s">
        <v>82</v>
      </c>
      <c r="AC71" s="140"/>
      <c r="AD71" s="129"/>
      <c r="AE71" s="141"/>
      <c r="AF71" s="131">
        <f t="shared" si="40"/>
        <v>-25920</v>
      </c>
      <c r="AG71" s="142"/>
      <c r="AH71" s="131"/>
      <c r="AI71" s="131"/>
      <c r="AJ71" s="131">
        <f t="shared" si="38"/>
        <v>25920</v>
      </c>
      <c r="AK71" s="9"/>
      <c r="AL71" s="8">
        <f t="shared" si="39"/>
        <v>25920</v>
      </c>
      <c r="AQ71" s="8">
        <f t="shared" ref="AQ71:AQ82" si="41">I71</f>
        <v>25920</v>
      </c>
      <c r="AR71" s="9"/>
      <c r="AW71" s="144">
        <f t="shared" ref="AW71:AW80" si="42">I71/24</f>
        <v>1080</v>
      </c>
      <c r="AX71" s="145"/>
      <c r="BK71" s="8">
        <f t="shared" ref="BK71:BK74" si="43">I71/16</f>
        <v>1620</v>
      </c>
      <c r="CG71" s="8">
        <f t="shared" ref="CG71:CG80" si="44">BK71+BJ71+BI71+BH71+BQ71</f>
        <v>1620</v>
      </c>
      <c r="CH71" s="8">
        <f t="shared" ref="CH71:CH80" si="45">BW71+BX71+BY71+BZ71+CA71+CC71+CB71</f>
        <v>0</v>
      </c>
      <c r="CI71" s="8">
        <f t="shared" ref="CI71:CI80" si="46">BU71+BV71</f>
        <v>0</v>
      </c>
      <c r="CJ71" s="143"/>
      <c r="CK71" s="143"/>
      <c r="CL71" s="143"/>
      <c r="CM71" s="143"/>
      <c r="CN71" s="143"/>
      <c r="CR71" s="143"/>
      <c r="CS71" s="143"/>
      <c r="CT71" s="143"/>
      <c r="CU71" s="143"/>
      <c r="CV71" s="143"/>
      <c r="CW71" s="143"/>
    </row>
    <row r="72" s="8" customFormat="1" ht="31" customHeight="1" spans="1:101">
      <c r="A72" s="128">
        <v>45965</v>
      </c>
      <c r="B72" s="129" t="s">
        <v>143</v>
      </c>
      <c r="C72" s="130" t="s">
        <v>98</v>
      </c>
      <c r="D72" s="8">
        <v>4500184391</v>
      </c>
      <c r="E72" s="130" t="s">
        <v>12155</v>
      </c>
      <c r="F72" s="8" t="s">
        <v>12156</v>
      </c>
      <c r="G72" s="131" t="s">
        <v>6063</v>
      </c>
      <c r="H72" s="131" t="s">
        <v>6064</v>
      </c>
      <c r="I72" s="131">
        <v>21120</v>
      </c>
      <c r="J72" s="131">
        <v>0</v>
      </c>
      <c r="K72" s="131">
        <v>16</v>
      </c>
      <c r="L72" s="132">
        <f t="shared" si="31"/>
        <v>1320</v>
      </c>
      <c r="M72" s="133">
        <v>46013</v>
      </c>
      <c r="N72" s="133">
        <v>46009</v>
      </c>
      <c r="O72" s="134"/>
      <c r="P72" s="134"/>
      <c r="Q72" s="131"/>
      <c r="R72" s="136" t="s">
        <v>7064</v>
      </c>
      <c r="S72" s="136" t="s">
        <v>70</v>
      </c>
      <c r="T72" s="136" t="s">
        <v>148</v>
      </c>
      <c r="U72" s="136"/>
      <c r="V72" s="156" t="s">
        <v>7065</v>
      </c>
      <c r="W72" s="138" t="s">
        <v>106</v>
      </c>
      <c r="X72" s="138">
        <v>0.5837</v>
      </c>
      <c r="Y72" s="139">
        <f t="shared" si="37"/>
        <v>12327.744</v>
      </c>
      <c r="Z72" s="131"/>
      <c r="AA72" s="131" t="s">
        <v>6063</v>
      </c>
      <c r="AB72" s="140" t="s">
        <v>82</v>
      </c>
      <c r="AC72" s="140"/>
      <c r="AD72" s="129"/>
      <c r="AE72" s="141"/>
      <c r="AF72" s="131">
        <f t="shared" si="40"/>
        <v>-21120</v>
      </c>
      <c r="AG72" s="142"/>
      <c r="AH72" s="131"/>
      <c r="AI72" s="131"/>
      <c r="AJ72" s="131">
        <f t="shared" si="38"/>
        <v>21120</v>
      </c>
      <c r="AK72" s="9"/>
      <c r="AL72" s="8">
        <f t="shared" si="39"/>
        <v>21120</v>
      </c>
      <c r="AQ72" s="8">
        <f t="shared" si="41"/>
        <v>21120</v>
      </c>
      <c r="AR72" s="9"/>
      <c r="AW72" s="144">
        <f t="shared" si="42"/>
        <v>880</v>
      </c>
      <c r="AX72" s="145"/>
      <c r="BK72" s="8">
        <f t="shared" si="43"/>
        <v>1320</v>
      </c>
      <c r="CG72" s="8">
        <f t="shared" si="44"/>
        <v>1320</v>
      </c>
      <c r="CH72" s="8">
        <f t="shared" si="45"/>
        <v>0</v>
      </c>
      <c r="CI72" s="8">
        <f t="shared" si="46"/>
        <v>0</v>
      </c>
      <c r="CJ72" s="143"/>
      <c r="CK72" s="143"/>
      <c r="CL72" s="143"/>
      <c r="CM72" s="143"/>
      <c r="CN72" s="143"/>
      <c r="CR72" s="143"/>
      <c r="CS72" s="143"/>
      <c r="CT72" s="143"/>
      <c r="CU72" s="143"/>
      <c r="CV72" s="143"/>
      <c r="CW72" s="143"/>
    </row>
    <row r="73" s="8" customFormat="1" ht="31" customHeight="1" spans="1:101">
      <c r="A73" s="128">
        <v>45965</v>
      </c>
      <c r="B73" s="129" t="s">
        <v>143</v>
      </c>
      <c r="C73" s="130" t="s">
        <v>98</v>
      </c>
      <c r="D73" s="8">
        <v>4500184387</v>
      </c>
      <c r="E73" s="130" t="s">
        <v>12157</v>
      </c>
      <c r="F73" s="8" t="s">
        <v>12158</v>
      </c>
      <c r="G73" s="131" t="s">
        <v>6063</v>
      </c>
      <c r="H73" s="131" t="s">
        <v>6064</v>
      </c>
      <c r="I73" s="131">
        <v>74880</v>
      </c>
      <c r="J73" s="131">
        <v>0</v>
      </c>
      <c r="K73" s="131">
        <v>16</v>
      </c>
      <c r="L73" s="132">
        <f t="shared" si="31"/>
        <v>4680</v>
      </c>
      <c r="M73" s="133">
        <v>46003</v>
      </c>
      <c r="N73" s="133">
        <v>45999</v>
      </c>
      <c r="O73" s="134"/>
      <c r="P73" s="134"/>
      <c r="Q73" s="131"/>
      <c r="R73" s="136" t="s">
        <v>7064</v>
      </c>
      <c r="S73" s="136" t="s">
        <v>70</v>
      </c>
      <c r="T73" s="136" t="s">
        <v>148</v>
      </c>
      <c r="U73" s="136"/>
      <c r="V73" s="156" t="s">
        <v>7065</v>
      </c>
      <c r="W73" s="138" t="s">
        <v>106</v>
      </c>
      <c r="X73" s="138">
        <v>0.5783</v>
      </c>
      <c r="Y73" s="139">
        <f t="shared" si="37"/>
        <v>43303.104</v>
      </c>
      <c r="Z73" s="131"/>
      <c r="AA73" s="131" t="s">
        <v>6063</v>
      </c>
      <c r="AB73" s="140" t="s">
        <v>82</v>
      </c>
      <c r="AC73" s="140"/>
      <c r="AD73" s="131"/>
      <c r="AE73" s="141"/>
      <c r="AF73" s="131">
        <f t="shared" si="40"/>
        <v>-74880</v>
      </c>
      <c r="AG73" s="142"/>
      <c r="AH73" s="131"/>
      <c r="AI73" s="131"/>
      <c r="AJ73" s="131">
        <f t="shared" si="38"/>
        <v>74880</v>
      </c>
      <c r="AK73" s="9"/>
      <c r="AL73" s="8">
        <f t="shared" si="39"/>
        <v>74880</v>
      </c>
      <c r="AQ73" s="8">
        <f t="shared" si="41"/>
        <v>74880</v>
      </c>
      <c r="AR73" s="9"/>
      <c r="AW73" s="144">
        <f t="shared" si="42"/>
        <v>3120</v>
      </c>
      <c r="AX73" s="145"/>
      <c r="BK73" s="8">
        <f t="shared" si="43"/>
        <v>4680</v>
      </c>
      <c r="CG73" s="8">
        <f t="shared" si="44"/>
        <v>4680</v>
      </c>
      <c r="CH73" s="8">
        <f t="shared" si="45"/>
        <v>0</v>
      </c>
      <c r="CI73" s="8">
        <f t="shared" si="46"/>
        <v>0</v>
      </c>
      <c r="CJ73" s="143"/>
      <c r="CK73" s="143"/>
      <c r="CL73" s="143"/>
      <c r="CM73" s="143"/>
      <c r="CN73" s="143"/>
      <c r="CR73" s="143"/>
      <c r="CS73" s="143"/>
      <c r="CT73" s="143"/>
      <c r="CU73" s="143"/>
      <c r="CV73" s="143"/>
      <c r="CW73" s="143"/>
    </row>
    <row r="74" s="8" customFormat="1" ht="31" customHeight="1" spans="1:101">
      <c r="A74" s="128">
        <v>45960</v>
      </c>
      <c r="B74" s="129" t="s">
        <v>143</v>
      </c>
      <c r="C74" s="130" t="s">
        <v>98</v>
      </c>
      <c r="D74" s="8">
        <v>4500183718</v>
      </c>
      <c r="E74" s="130" t="s">
        <v>12159</v>
      </c>
      <c r="F74" s="8" t="s">
        <v>12160</v>
      </c>
      <c r="G74" s="131" t="s">
        <v>6063</v>
      </c>
      <c r="H74" s="131" t="s">
        <v>6064</v>
      </c>
      <c r="I74" s="131">
        <v>33600</v>
      </c>
      <c r="J74" s="131">
        <v>0</v>
      </c>
      <c r="K74" s="131">
        <v>16</v>
      </c>
      <c r="L74" s="132">
        <f t="shared" si="31"/>
        <v>2100</v>
      </c>
      <c r="M74" s="133">
        <v>46001</v>
      </c>
      <c r="N74" s="133">
        <v>45997</v>
      </c>
      <c r="O74" s="134"/>
      <c r="P74" s="134"/>
      <c r="Q74" s="131"/>
      <c r="R74" s="136" t="s">
        <v>7064</v>
      </c>
      <c r="S74" s="136" t="s">
        <v>70</v>
      </c>
      <c r="T74" s="136" t="s">
        <v>148</v>
      </c>
      <c r="U74" s="136"/>
      <c r="V74" s="156" t="s">
        <v>7065</v>
      </c>
      <c r="W74" s="138" t="s">
        <v>106</v>
      </c>
      <c r="X74" s="138">
        <v>0.5783</v>
      </c>
      <c r="Y74" s="139">
        <f t="shared" si="37"/>
        <v>19430.88</v>
      </c>
      <c r="Z74" s="131"/>
      <c r="AA74" s="131" t="s">
        <v>6063</v>
      </c>
      <c r="AB74" s="140" t="s">
        <v>82</v>
      </c>
      <c r="AC74" s="140"/>
      <c r="AD74" s="131"/>
      <c r="AE74" s="141"/>
      <c r="AF74" s="131">
        <f t="shared" si="40"/>
        <v>-33600</v>
      </c>
      <c r="AG74" s="142"/>
      <c r="AH74" s="131"/>
      <c r="AI74" s="131"/>
      <c r="AJ74" s="131">
        <f t="shared" si="38"/>
        <v>33600</v>
      </c>
      <c r="AK74" s="9"/>
      <c r="AL74" s="8">
        <f t="shared" si="39"/>
        <v>33600</v>
      </c>
      <c r="AQ74" s="8">
        <f t="shared" si="41"/>
        <v>33600</v>
      </c>
      <c r="AR74" s="9"/>
      <c r="AS74" s="9"/>
      <c r="AW74" s="144">
        <f t="shared" si="42"/>
        <v>1400</v>
      </c>
      <c r="AX74" s="145"/>
      <c r="BK74" s="8">
        <f t="shared" si="43"/>
        <v>2100</v>
      </c>
      <c r="CG74" s="8">
        <f t="shared" si="44"/>
        <v>2100</v>
      </c>
      <c r="CH74" s="8">
        <f t="shared" si="45"/>
        <v>0</v>
      </c>
      <c r="CI74" s="8">
        <f t="shared" si="46"/>
        <v>0</v>
      </c>
      <c r="CJ74" s="143"/>
      <c r="CK74" s="143"/>
      <c r="CL74" s="143"/>
      <c r="CM74" s="143"/>
      <c r="CN74" s="143"/>
      <c r="CR74" s="143"/>
      <c r="CS74" s="143"/>
      <c r="CT74" s="143"/>
      <c r="CU74" s="143"/>
      <c r="CV74" s="143"/>
      <c r="CW74" s="143"/>
    </row>
    <row r="75" s="8" customFormat="1" ht="31" customHeight="1" spans="1:101">
      <c r="A75" s="128">
        <v>45957</v>
      </c>
      <c r="B75" s="129" t="s">
        <v>6431</v>
      </c>
      <c r="C75" s="130" t="s">
        <v>98</v>
      </c>
      <c r="D75" s="8">
        <v>4500183277</v>
      </c>
      <c r="E75" s="130" t="s">
        <v>12161</v>
      </c>
      <c r="F75" s="8" t="s">
        <v>12162</v>
      </c>
      <c r="G75" s="131" t="s">
        <v>6423</v>
      </c>
      <c r="H75" s="131" t="s">
        <v>6424</v>
      </c>
      <c r="I75" s="131">
        <v>9648</v>
      </c>
      <c r="J75" s="131">
        <v>0</v>
      </c>
      <c r="K75" s="131">
        <v>48</v>
      </c>
      <c r="L75" s="132">
        <f t="shared" si="31"/>
        <v>201</v>
      </c>
      <c r="M75" s="133">
        <v>45992</v>
      </c>
      <c r="N75" s="133">
        <v>45988</v>
      </c>
      <c r="O75" s="134" t="s">
        <v>12163</v>
      </c>
      <c r="P75" s="134"/>
      <c r="Q75" s="131"/>
      <c r="R75" s="136" t="s">
        <v>12164</v>
      </c>
      <c r="S75" s="136" t="s">
        <v>70</v>
      </c>
      <c r="T75" s="136" t="s">
        <v>70</v>
      </c>
      <c r="U75" s="136"/>
      <c r="V75" s="156" t="s">
        <v>12165</v>
      </c>
      <c r="W75" s="138" t="s">
        <v>1723</v>
      </c>
      <c r="X75" s="160">
        <v>0.544</v>
      </c>
      <c r="Y75" s="139">
        <f t="shared" ref="Y75:Y80" si="47">I75*X75</f>
        <v>5248.512</v>
      </c>
      <c r="Z75" s="131"/>
      <c r="AA75" s="131" t="s">
        <v>6423</v>
      </c>
      <c r="AB75" s="140" t="s">
        <v>82</v>
      </c>
      <c r="AC75" s="140"/>
      <c r="AD75" s="131"/>
      <c r="AE75" s="141"/>
      <c r="AF75" s="131">
        <f t="shared" si="40"/>
        <v>-9648</v>
      </c>
      <c r="AG75" s="142"/>
      <c r="AH75" s="131"/>
      <c r="AI75" s="131"/>
      <c r="AJ75" s="131">
        <f t="shared" si="38"/>
        <v>9648</v>
      </c>
      <c r="AK75" s="184"/>
      <c r="AQ75" s="9">
        <f t="shared" si="41"/>
        <v>9648</v>
      </c>
      <c r="AR75" s="9"/>
      <c r="AS75" s="9"/>
      <c r="AW75" s="144">
        <f t="shared" si="42"/>
        <v>402</v>
      </c>
      <c r="AX75" s="145">
        <f t="shared" ref="AX75:AX80" si="48">I75</f>
        <v>9648</v>
      </c>
      <c r="CG75" s="8">
        <f t="shared" si="44"/>
        <v>0</v>
      </c>
      <c r="CH75" s="8">
        <f t="shared" si="45"/>
        <v>0</v>
      </c>
      <c r="CI75" s="8">
        <f t="shared" si="46"/>
        <v>0</v>
      </c>
      <c r="CJ75" s="143"/>
      <c r="CK75" s="143"/>
      <c r="CL75" s="143"/>
      <c r="CM75" s="143"/>
      <c r="CN75" s="143"/>
      <c r="CR75" s="143"/>
      <c r="CS75" s="143"/>
      <c r="CT75" s="143"/>
      <c r="CU75" s="143"/>
      <c r="CV75" s="143"/>
      <c r="CW75" s="143"/>
    </row>
    <row r="76" s="8" customFormat="1" ht="31" customHeight="1" spans="1:101">
      <c r="A76" s="128">
        <v>45957</v>
      </c>
      <c r="B76" s="129" t="s">
        <v>6431</v>
      </c>
      <c r="C76" s="130" t="s">
        <v>98</v>
      </c>
      <c r="D76" s="8">
        <v>4500183277</v>
      </c>
      <c r="E76" s="130" t="s">
        <v>12166</v>
      </c>
      <c r="F76" s="8" t="s">
        <v>12167</v>
      </c>
      <c r="G76" s="131" t="s">
        <v>6423</v>
      </c>
      <c r="H76" s="131" t="s">
        <v>6424</v>
      </c>
      <c r="I76" s="131">
        <v>22800</v>
      </c>
      <c r="J76" s="131">
        <v>0</v>
      </c>
      <c r="K76" s="131">
        <v>48</v>
      </c>
      <c r="L76" s="132">
        <f t="shared" si="31"/>
        <v>475</v>
      </c>
      <c r="M76" s="133">
        <v>45992</v>
      </c>
      <c r="N76" s="133">
        <v>45988</v>
      </c>
      <c r="O76" s="134" t="s">
        <v>12163</v>
      </c>
      <c r="P76" s="134"/>
      <c r="Q76" s="131"/>
      <c r="R76" s="136" t="s">
        <v>12164</v>
      </c>
      <c r="S76" s="136" t="s">
        <v>70</v>
      </c>
      <c r="T76" s="136" t="s">
        <v>70</v>
      </c>
      <c r="U76" s="136"/>
      <c r="V76" s="156" t="s">
        <v>12165</v>
      </c>
      <c r="W76" s="138" t="s">
        <v>1723</v>
      </c>
      <c r="X76" s="160">
        <v>0.544</v>
      </c>
      <c r="Y76" s="139">
        <f t="shared" si="47"/>
        <v>12403.2</v>
      </c>
      <c r="Z76" s="131"/>
      <c r="AA76" s="131" t="s">
        <v>6423</v>
      </c>
      <c r="AB76" s="140" t="s">
        <v>82</v>
      </c>
      <c r="AC76" s="140"/>
      <c r="AD76" s="131"/>
      <c r="AE76" s="141"/>
      <c r="AF76" s="131">
        <f t="shared" si="40"/>
        <v>-22800</v>
      </c>
      <c r="AG76" s="142"/>
      <c r="AH76" s="131"/>
      <c r="AI76" s="131"/>
      <c r="AJ76" s="131">
        <f t="shared" si="38"/>
        <v>22800</v>
      </c>
      <c r="AK76" s="184"/>
      <c r="AQ76" s="9">
        <f t="shared" si="41"/>
        <v>22800</v>
      </c>
      <c r="AR76" s="9"/>
      <c r="AS76" s="9"/>
      <c r="AW76" s="144">
        <f t="shared" si="42"/>
        <v>950</v>
      </c>
      <c r="AX76" s="145">
        <f t="shared" si="48"/>
        <v>22800</v>
      </c>
      <c r="CG76" s="8">
        <f t="shared" si="44"/>
        <v>0</v>
      </c>
      <c r="CH76" s="8">
        <f t="shared" si="45"/>
        <v>0</v>
      </c>
      <c r="CI76" s="8">
        <f t="shared" si="46"/>
        <v>0</v>
      </c>
      <c r="CJ76" s="143"/>
      <c r="CK76" s="143"/>
      <c r="CL76" s="143"/>
      <c r="CM76" s="143"/>
      <c r="CN76" s="143"/>
      <c r="CR76" s="143"/>
      <c r="CS76" s="143"/>
      <c r="CT76" s="143"/>
      <c r="CU76" s="143"/>
      <c r="CV76" s="143"/>
      <c r="CW76" s="143"/>
    </row>
    <row r="77" s="8" customFormat="1" ht="31" customHeight="1" spans="1:101">
      <c r="A77" s="128">
        <v>45944</v>
      </c>
      <c r="B77" s="129" t="s">
        <v>6431</v>
      </c>
      <c r="C77" s="130" t="s">
        <v>98</v>
      </c>
      <c r="D77" s="8">
        <v>4500181793</v>
      </c>
      <c r="E77" s="130" t="s">
        <v>12168</v>
      </c>
      <c r="F77" s="8" t="s">
        <v>12169</v>
      </c>
      <c r="G77" s="131" t="s">
        <v>6423</v>
      </c>
      <c r="H77" s="131" t="s">
        <v>6424</v>
      </c>
      <c r="I77" s="131">
        <v>10368</v>
      </c>
      <c r="J77" s="131">
        <v>0</v>
      </c>
      <c r="K77" s="131">
        <v>48</v>
      </c>
      <c r="L77" s="132">
        <f t="shared" si="31"/>
        <v>216</v>
      </c>
      <c r="M77" s="133">
        <v>45992</v>
      </c>
      <c r="N77" s="133">
        <f t="shared" ref="N77:N80" si="49">M77-4</f>
        <v>45988</v>
      </c>
      <c r="O77" s="134" t="s">
        <v>12170</v>
      </c>
      <c r="P77" s="134"/>
      <c r="Q77" s="131"/>
      <c r="R77" s="136" t="s">
        <v>12164</v>
      </c>
      <c r="S77" s="136" t="s">
        <v>70</v>
      </c>
      <c r="T77" s="136" t="s">
        <v>70</v>
      </c>
      <c r="U77" s="136"/>
      <c r="V77" s="189" t="s">
        <v>12171</v>
      </c>
      <c r="W77" s="138" t="s">
        <v>1723</v>
      </c>
      <c r="X77" s="160">
        <v>0.5847</v>
      </c>
      <c r="Y77" s="139">
        <f t="shared" si="47"/>
        <v>6062.1696</v>
      </c>
      <c r="Z77" s="131"/>
      <c r="AA77" s="131" t="s">
        <v>6423</v>
      </c>
      <c r="AB77" s="140" t="s">
        <v>82</v>
      </c>
      <c r="AC77" s="140"/>
      <c r="AD77" s="131"/>
      <c r="AE77" s="141"/>
      <c r="AF77" s="131">
        <f t="shared" si="40"/>
        <v>-10368</v>
      </c>
      <c r="AG77" s="142"/>
      <c r="AH77" s="131"/>
      <c r="AI77" s="131"/>
      <c r="AJ77" s="131">
        <f t="shared" si="38"/>
        <v>10368</v>
      </c>
      <c r="AK77" s="9"/>
      <c r="AQ77" s="9">
        <f t="shared" si="41"/>
        <v>10368</v>
      </c>
      <c r="AR77" s="9"/>
      <c r="AS77" s="9"/>
      <c r="AW77" s="144">
        <f t="shared" si="42"/>
        <v>432</v>
      </c>
      <c r="AX77" s="145">
        <f t="shared" si="48"/>
        <v>10368</v>
      </c>
      <c r="CG77" s="8">
        <f t="shared" si="44"/>
        <v>0</v>
      </c>
      <c r="CH77" s="8">
        <f t="shared" si="45"/>
        <v>0</v>
      </c>
      <c r="CI77" s="8">
        <f t="shared" si="46"/>
        <v>0</v>
      </c>
      <c r="CJ77" s="143"/>
      <c r="CK77" s="143"/>
      <c r="CL77" s="143"/>
      <c r="CM77" s="143"/>
      <c r="CN77" s="143"/>
      <c r="CR77" s="143"/>
      <c r="CS77" s="143"/>
      <c r="CT77" s="143"/>
      <c r="CU77" s="143"/>
      <c r="CV77" s="143"/>
      <c r="CW77" s="143"/>
    </row>
    <row r="78" s="8" customFormat="1" ht="31" customHeight="1" spans="1:101">
      <c r="A78" s="128">
        <v>45944</v>
      </c>
      <c r="B78" s="129" t="s">
        <v>6431</v>
      </c>
      <c r="C78" s="130" t="s">
        <v>98</v>
      </c>
      <c r="D78" s="8">
        <v>4500181793</v>
      </c>
      <c r="E78" s="130" t="s">
        <v>12172</v>
      </c>
      <c r="F78" s="8" t="s">
        <v>12173</v>
      </c>
      <c r="G78" s="131" t="s">
        <v>6423</v>
      </c>
      <c r="H78" s="131" t="s">
        <v>6424</v>
      </c>
      <c r="I78" s="131">
        <v>576</v>
      </c>
      <c r="J78" s="131">
        <v>0</v>
      </c>
      <c r="K78" s="131">
        <v>48</v>
      </c>
      <c r="L78" s="132">
        <f t="shared" si="31"/>
        <v>12</v>
      </c>
      <c r="M78" s="133">
        <v>45992</v>
      </c>
      <c r="N78" s="133">
        <f t="shared" si="49"/>
        <v>45988</v>
      </c>
      <c r="O78" s="134" t="s">
        <v>12170</v>
      </c>
      <c r="P78" s="134"/>
      <c r="Q78" s="131"/>
      <c r="R78" s="136" t="s">
        <v>12164</v>
      </c>
      <c r="S78" s="136" t="s">
        <v>70</v>
      </c>
      <c r="T78" s="136" t="s">
        <v>70</v>
      </c>
      <c r="U78" s="136"/>
      <c r="V78" s="189" t="s">
        <v>12171</v>
      </c>
      <c r="W78" s="138" t="s">
        <v>1723</v>
      </c>
      <c r="X78" s="160">
        <v>0.5847</v>
      </c>
      <c r="Y78" s="139">
        <f t="shared" si="47"/>
        <v>336.7872</v>
      </c>
      <c r="Z78" s="131"/>
      <c r="AA78" s="131" t="s">
        <v>6423</v>
      </c>
      <c r="AB78" s="140" t="s">
        <v>82</v>
      </c>
      <c r="AC78" s="140"/>
      <c r="AD78" s="131"/>
      <c r="AE78" s="141"/>
      <c r="AF78" s="131">
        <f t="shared" si="40"/>
        <v>-576</v>
      </c>
      <c r="AG78" s="142"/>
      <c r="AH78" s="131"/>
      <c r="AI78" s="131"/>
      <c r="AJ78" s="131">
        <f t="shared" si="38"/>
        <v>576</v>
      </c>
      <c r="AK78" s="9"/>
      <c r="AQ78" s="9">
        <f t="shared" si="41"/>
        <v>576</v>
      </c>
      <c r="AR78" s="9"/>
      <c r="AS78" s="9"/>
      <c r="AW78" s="144">
        <f t="shared" si="42"/>
        <v>24</v>
      </c>
      <c r="AX78" s="145">
        <f t="shared" si="48"/>
        <v>576</v>
      </c>
      <c r="CG78" s="8">
        <f t="shared" si="44"/>
        <v>0</v>
      </c>
      <c r="CH78" s="8">
        <f t="shared" si="45"/>
        <v>0</v>
      </c>
      <c r="CI78" s="8">
        <f t="shared" si="46"/>
        <v>0</v>
      </c>
      <c r="CJ78" s="143"/>
      <c r="CK78" s="143"/>
      <c r="CL78" s="143"/>
      <c r="CM78" s="143"/>
      <c r="CN78" s="143"/>
      <c r="CR78" s="143"/>
      <c r="CS78" s="143"/>
      <c r="CT78" s="143"/>
      <c r="CU78" s="143"/>
      <c r="CV78" s="143"/>
      <c r="CW78" s="143"/>
    </row>
    <row r="79" s="8" customFormat="1" ht="31" customHeight="1" spans="1:101">
      <c r="A79" s="128">
        <v>45951</v>
      </c>
      <c r="B79" s="129" t="s">
        <v>6431</v>
      </c>
      <c r="C79" s="130" t="s">
        <v>98</v>
      </c>
      <c r="D79" s="8">
        <v>4500182514</v>
      </c>
      <c r="E79" s="130" t="s">
        <v>12174</v>
      </c>
      <c r="F79" s="8" t="s">
        <v>12175</v>
      </c>
      <c r="G79" s="131" t="s">
        <v>6423</v>
      </c>
      <c r="H79" s="131" t="s">
        <v>6424</v>
      </c>
      <c r="I79" s="131">
        <v>23904</v>
      </c>
      <c r="J79" s="131">
        <v>0</v>
      </c>
      <c r="K79" s="131">
        <v>48</v>
      </c>
      <c r="L79" s="132">
        <f t="shared" si="31"/>
        <v>498</v>
      </c>
      <c r="M79" s="133">
        <v>45995</v>
      </c>
      <c r="N79" s="133">
        <v>45992</v>
      </c>
      <c r="O79" s="134" t="s">
        <v>12170</v>
      </c>
      <c r="P79" s="134"/>
      <c r="Q79" s="131"/>
      <c r="R79" s="136" t="s">
        <v>12164</v>
      </c>
      <c r="S79" s="136" t="s">
        <v>70</v>
      </c>
      <c r="T79" s="136" t="s">
        <v>70</v>
      </c>
      <c r="U79" s="136"/>
      <c r="V79" s="156" t="s">
        <v>12176</v>
      </c>
      <c r="W79" s="138" t="s">
        <v>1723</v>
      </c>
      <c r="X79" s="160">
        <v>0.5804</v>
      </c>
      <c r="Y79" s="139">
        <f t="shared" si="47"/>
        <v>13873.8816</v>
      </c>
      <c r="Z79" s="131"/>
      <c r="AA79" s="131" t="s">
        <v>6423</v>
      </c>
      <c r="AB79" s="140" t="s">
        <v>82</v>
      </c>
      <c r="AC79" s="140"/>
      <c r="AD79" s="131"/>
      <c r="AE79" s="141"/>
      <c r="AF79" s="131">
        <f t="shared" si="40"/>
        <v>-23904</v>
      </c>
      <c r="AG79" s="142"/>
      <c r="AH79" s="131"/>
      <c r="AI79" s="131"/>
      <c r="AJ79" s="131">
        <f t="shared" si="38"/>
        <v>23904</v>
      </c>
      <c r="AK79" s="9"/>
      <c r="AQ79" s="9">
        <f t="shared" si="41"/>
        <v>23904</v>
      </c>
      <c r="AR79" s="9"/>
      <c r="AS79" s="9"/>
      <c r="AW79" s="144">
        <f t="shared" si="42"/>
        <v>996</v>
      </c>
      <c r="AX79" s="145">
        <f t="shared" si="48"/>
        <v>23904</v>
      </c>
      <c r="CG79" s="8">
        <f t="shared" si="44"/>
        <v>0</v>
      </c>
      <c r="CH79" s="8">
        <f t="shared" si="45"/>
        <v>0</v>
      </c>
      <c r="CI79" s="8">
        <f t="shared" si="46"/>
        <v>0</v>
      </c>
      <c r="CJ79" s="143"/>
      <c r="CK79" s="143"/>
      <c r="CL79" s="143"/>
      <c r="CM79" s="143"/>
      <c r="CN79" s="143"/>
      <c r="CR79" s="143"/>
      <c r="CS79" s="143"/>
      <c r="CT79" s="143"/>
      <c r="CU79" s="143"/>
      <c r="CV79" s="143"/>
      <c r="CW79" s="143"/>
    </row>
    <row r="80" s="8" customFormat="1" ht="31" customHeight="1" spans="1:101">
      <c r="A80" s="128">
        <v>45944</v>
      </c>
      <c r="B80" s="129" t="s">
        <v>6431</v>
      </c>
      <c r="C80" s="130" t="s">
        <v>98</v>
      </c>
      <c r="D80" s="8">
        <v>4500181787</v>
      </c>
      <c r="E80" s="130" t="s">
        <v>12177</v>
      </c>
      <c r="F80" s="8" t="s">
        <v>12178</v>
      </c>
      <c r="G80" s="131" t="s">
        <v>6423</v>
      </c>
      <c r="H80" s="131" t="s">
        <v>6424</v>
      </c>
      <c r="I80" s="131">
        <v>30096</v>
      </c>
      <c r="J80" s="190">
        <v>8</v>
      </c>
      <c r="K80" s="131">
        <v>48</v>
      </c>
      <c r="L80" s="132">
        <f t="shared" si="31"/>
        <v>627</v>
      </c>
      <c r="M80" s="191">
        <v>45992</v>
      </c>
      <c r="N80" s="191">
        <f t="shared" si="49"/>
        <v>45988</v>
      </c>
      <c r="O80" s="134" t="s">
        <v>12170</v>
      </c>
      <c r="P80" s="134"/>
      <c r="Q80" s="131"/>
      <c r="R80" s="136" t="s">
        <v>12164</v>
      </c>
      <c r="S80" s="136" t="s">
        <v>70</v>
      </c>
      <c r="T80" s="136" t="s">
        <v>70</v>
      </c>
      <c r="U80" s="136"/>
      <c r="V80" s="189" t="s">
        <v>12179</v>
      </c>
      <c r="W80" s="138" t="s">
        <v>1723</v>
      </c>
      <c r="X80" s="160">
        <v>0.5804</v>
      </c>
      <c r="Y80" s="139">
        <f t="shared" si="47"/>
        <v>17467.7184</v>
      </c>
      <c r="Z80" s="131"/>
      <c r="AA80" s="131" t="s">
        <v>6423</v>
      </c>
      <c r="AB80" s="140" t="s">
        <v>82</v>
      </c>
      <c r="AC80" s="140"/>
      <c r="AD80" s="131"/>
      <c r="AE80" s="141"/>
      <c r="AF80" s="131">
        <f t="shared" si="40"/>
        <v>-30096</v>
      </c>
      <c r="AG80" s="142"/>
      <c r="AH80" s="131"/>
      <c r="AI80" s="131"/>
      <c r="AJ80" s="131">
        <f t="shared" si="38"/>
        <v>30096</v>
      </c>
      <c r="AK80" s="9"/>
      <c r="AQ80" s="9">
        <f t="shared" si="41"/>
        <v>30096</v>
      </c>
      <c r="AR80" s="9"/>
      <c r="AS80" s="9"/>
      <c r="AW80" s="144">
        <f t="shared" si="42"/>
        <v>1254</v>
      </c>
      <c r="AX80" s="145">
        <f t="shared" si="48"/>
        <v>30096</v>
      </c>
      <c r="CG80" s="8">
        <f t="shared" si="44"/>
        <v>0</v>
      </c>
      <c r="CH80" s="8">
        <f t="shared" si="45"/>
        <v>0</v>
      </c>
      <c r="CI80" s="8">
        <f t="shared" si="46"/>
        <v>0</v>
      </c>
      <c r="CJ80" s="143"/>
      <c r="CK80" s="143"/>
      <c r="CL80" s="143"/>
      <c r="CM80" s="143"/>
      <c r="CN80" s="143"/>
      <c r="CR80" s="143"/>
      <c r="CS80" s="143"/>
      <c r="CT80" s="143"/>
      <c r="CU80" s="143"/>
      <c r="CV80" s="143"/>
      <c r="CW80" s="143"/>
    </row>
    <row r="81" s="8" customFormat="1" ht="31" customHeight="1" spans="1:102">
      <c r="A81" s="128">
        <v>45971</v>
      </c>
      <c r="B81" s="129" t="s">
        <v>1642</v>
      </c>
      <c r="C81" s="130" t="s">
        <v>723</v>
      </c>
      <c r="D81" s="8">
        <v>4500185103</v>
      </c>
      <c r="E81" s="130" t="s">
        <v>12180</v>
      </c>
      <c r="F81" s="8" t="s">
        <v>12181</v>
      </c>
      <c r="G81" s="131" t="s">
        <v>6040</v>
      </c>
      <c r="H81" s="131" t="s">
        <v>6041</v>
      </c>
      <c r="I81" s="131">
        <v>780</v>
      </c>
      <c r="J81" s="131">
        <v>0</v>
      </c>
      <c r="K81" s="131">
        <v>52</v>
      </c>
      <c r="L81" s="132">
        <f t="shared" si="31"/>
        <v>15</v>
      </c>
      <c r="M81" s="191">
        <v>46048</v>
      </c>
      <c r="N81" s="191">
        <v>46044</v>
      </c>
      <c r="O81" s="134"/>
      <c r="P81" s="134"/>
      <c r="Q81" s="131"/>
      <c r="R81" s="136">
        <v>45971</v>
      </c>
      <c r="S81" s="136" t="s">
        <v>70</v>
      </c>
      <c r="T81" s="136" t="s">
        <v>8679</v>
      </c>
      <c r="U81" s="136"/>
      <c r="V81" s="156" t="s">
        <v>12182</v>
      </c>
      <c r="W81" s="138" t="s">
        <v>1793</v>
      </c>
      <c r="X81" s="160">
        <v>0.9003</v>
      </c>
      <c r="Y81" s="139">
        <f>X81*I81</f>
        <v>702.234</v>
      </c>
      <c r="Z81" s="131"/>
      <c r="AA81" s="192" t="s">
        <v>6040</v>
      </c>
      <c r="AB81" s="193" t="s">
        <v>82</v>
      </c>
      <c r="AC81" s="140"/>
      <c r="AD81" s="129"/>
      <c r="AE81" s="194">
        <v>1</v>
      </c>
      <c r="AF81" s="141"/>
      <c r="AG81" s="131">
        <f>AF81-I81</f>
        <v>-780</v>
      </c>
      <c r="AH81" s="142"/>
      <c r="AI81" s="131" t="s">
        <v>2368</v>
      </c>
      <c r="AJ81" s="131"/>
      <c r="AK81" s="131"/>
      <c r="AL81" s="9">
        <f>I81</f>
        <v>780</v>
      </c>
      <c r="AQ81" s="8">
        <f t="shared" si="41"/>
        <v>780</v>
      </c>
      <c r="AS81" s="184">
        <f>I81</f>
        <v>780</v>
      </c>
      <c r="AX81" s="144">
        <f>I81/24</f>
        <v>32.5</v>
      </c>
      <c r="AY81" s="145"/>
      <c r="BH81" s="8">
        <f>I81/13</f>
        <v>60</v>
      </c>
      <c r="CH81" s="8">
        <f>BL81+BK81+BJ81+BI81+BR81</f>
        <v>0</v>
      </c>
      <c r="CI81" s="8">
        <f>BX81+BY81+BZ81+CA81+CB81+CD81+CC81</f>
        <v>0</v>
      </c>
      <c r="CJ81" s="8">
        <f>BV81+BW81</f>
        <v>0</v>
      </c>
      <c r="CK81" s="143"/>
      <c r="CL81" s="143"/>
      <c r="CM81" s="143"/>
      <c r="CN81" s="143"/>
      <c r="CO81" s="143"/>
      <c r="CS81" s="143"/>
      <c r="CT81" s="143"/>
      <c r="CU81" s="143"/>
      <c r="CV81" s="143"/>
      <c r="CW81" s="143"/>
      <c r="CX81" s="143"/>
    </row>
    <row r="82" s="11" customFormat="1" ht="31" customHeight="1" spans="1:102">
      <c r="A82" s="157">
        <v>45971</v>
      </c>
      <c r="B82" s="129" t="s">
        <v>1642</v>
      </c>
      <c r="C82" s="130" t="s">
        <v>723</v>
      </c>
      <c r="D82" s="8">
        <v>4500185103</v>
      </c>
      <c r="E82" s="130" t="s">
        <v>12180</v>
      </c>
      <c r="F82" s="8" t="s">
        <v>12183</v>
      </c>
      <c r="G82" s="131" t="s">
        <v>111</v>
      </c>
      <c r="H82" s="130" t="s">
        <v>112</v>
      </c>
      <c r="I82" s="130">
        <v>400</v>
      </c>
      <c r="J82" s="130">
        <v>0</v>
      </c>
      <c r="K82" s="130">
        <v>16</v>
      </c>
      <c r="L82" s="147">
        <f t="shared" si="31"/>
        <v>25</v>
      </c>
      <c r="M82" s="151">
        <v>46048</v>
      </c>
      <c r="N82" s="151">
        <v>46044</v>
      </c>
      <c r="O82" s="134"/>
      <c r="P82" s="134"/>
      <c r="Q82" s="131"/>
      <c r="R82" s="186"/>
      <c r="S82" s="186">
        <v>45971</v>
      </c>
      <c r="T82" s="150" t="s">
        <v>70</v>
      </c>
      <c r="U82" s="150" t="s">
        <v>2986</v>
      </c>
      <c r="V82" s="138"/>
      <c r="W82" s="138"/>
      <c r="X82" s="138" t="s">
        <v>12184</v>
      </c>
      <c r="Y82" s="139" t="s">
        <v>1793</v>
      </c>
      <c r="Z82" s="152">
        <v>4.3451</v>
      </c>
      <c r="AA82" s="153">
        <f>Z82*I82</f>
        <v>1738.04</v>
      </c>
      <c r="AB82" s="131"/>
      <c r="AC82" s="131" t="s">
        <v>111</v>
      </c>
      <c r="AD82" s="130" t="s">
        <v>82</v>
      </c>
      <c r="AE82" s="131"/>
      <c r="AF82" s="131"/>
      <c r="AG82" s="131"/>
      <c r="AH82" s="131"/>
      <c r="AI82" s="188">
        <f>AH82-I82</f>
        <v>-400</v>
      </c>
      <c r="AJ82" s="131"/>
      <c r="AK82" s="131" t="s">
        <v>2368</v>
      </c>
      <c r="AL82" s="9"/>
      <c r="AM82" s="9">
        <f>I82</f>
        <v>400</v>
      </c>
      <c r="AO82" s="9"/>
      <c r="AQ82" s="9">
        <f t="shared" si="41"/>
        <v>400</v>
      </c>
      <c r="AR82" s="9"/>
      <c r="AS82" s="9">
        <f>I82</f>
        <v>400</v>
      </c>
      <c r="AT82" s="9"/>
      <c r="AU82" s="9">
        <f>I82</f>
        <v>400</v>
      </c>
      <c r="AV82" s="145"/>
      <c r="AW82" s="187"/>
      <c r="BA82" s="9"/>
      <c r="BB82" s="9"/>
      <c r="BE82" s="9">
        <f>I82/4</f>
        <v>100</v>
      </c>
      <c r="BF82" s="9"/>
      <c r="BK82" s="13"/>
      <c r="CG82" s="143"/>
      <c r="CH82" s="143"/>
      <c r="CI82" s="143"/>
      <c r="CJ82" s="143"/>
      <c r="CK82" s="143"/>
      <c r="CO82" s="143"/>
      <c r="CP82" s="143"/>
      <c r="CQ82" s="143"/>
      <c r="CR82" s="143"/>
      <c r="CS82" s="143"/>
      <c r="CT82" s="143"/>
    </row>
    <row r="83" s="8" customFormat="1" ht="31" customHeight="1" spans="1:102">
      <c r="A83" s="128">
        <v>46038</v>
      </c>
      <c r="B83" s="129" t="s">
        <v>12185</v>
      </c>
      <c r="C83" s="130" t="s">
        <v>128</v>
      </c>
      <c r="D83" s="8" t="s">
        <v>12186</v>
      </c>
      <c r="E83" s="130" t="s">
        <v>12186</v>
      </c>
      <c r="G83" s="131" t="s">
        <v>6093</v>
      </c>
      <c r="H83" s="131" t="s">
        <v>7359</v>
      </c>
      <c r="I83" s="131">
        <v>0</v>
      </c>
      <c r="J83" s="131">
        <v>0</v>
      </c>
      <c r="K83" s="131">
        <v>0</v>
      </c>
      <c r="L83" s="132">
        <v>0</v>
      </c>
      <c r="M83" s="191">
        <v>46093</v>
      </c>
      <c r="N83" s="191">
        <v>46090</v>
      </c>
      <c r="O83" s="134" t="s">
        <v>12122</v>
      </c>
      <c r="P83" s="134"/>
      <c r="Q83" s="131"/>
      <c r="R83" s="136"/>
      <c r="S83" s="136"/>
      <c r="T83" s="136"/>
      <c r="U83" s="136"/>
      <c r="V83" s="156" t="s">
        <v>12187</v>
      </c>
      <c r="W83" s="138" t="s">
        <v>3206</v>
      </c>
      <c r="X83" s="160"/>
      <c r="Y83" s="139"/>
      <c r="Z83" s="131"/>
      <c r="AA83" s="192"/>
      <c r="AB83" s="193" t="s">
        <v>8372</v>
      </c>
      <c r="AC83" s="140"/>
      <c r="AD83" s="129"/>
      <c r="AE83" s="194"/>
      <c r="AF83" s="141"/>
      <c r="AG83" s="131"/>
      <c r="AH83" s="142"/>
      <c r="AI83" s="131"/>
      <c r="AJ83" s="131"/>
      <c r="AK83" s="131"/>
      <c r="AL83" s="9">
        <f t="shared" ref="AL83:AL88" si="50">I83</f>
        <v>0</v>
      </c>
      <c r="AS83" s="184"/>
      <c r="AX83" s="144"/>
      <c r="AY83" s="145"/>
      <c r="CK83" s="143"/>
      <c r="CL83" s="143"/>
      <c r="CM83" s="143"/>
      <c r="CN83" s="143"/>
      <c r="CO83" s="143"/>
      <c r="CS83" s="143"/>
      <c r="CT83" s="143"/>
      <c r="CU83" s="143"/>
      <c r="CV83" s="143"/>
      <c r="CW83" s="143"/>
      <c r="CX83" s="143"/>
    </row>
    <row r="84" s="11" customFormat="1" ht="31" customHeight="1" spans="1:102">
      <c r="A84" s="157">
        <v>46038</v>
      </c>
      <c r="B84" s="129" t="s">
        <v>325</v>
      </c>
      <c r="C84" s="130" t="s">
        <v>98</v>
      </c>
      <c r="D84" s="8">
        <v>4500191621</v>
      </c>
      <c r="E84" s="130" t="s">
        <v>12188</v>
      </c>
      <c r="F84" s="8" t="s">
        <v>12189</v>
      </c>
      <c r="G84" s="131" t="s">
        <v>249</v>
      </c>
      <c r="H84" s="130" t="s">
        <v>250</v>
      </c>
      <c r="I84" s="130">
        <v>5000</v>
      </c>
      <c r="J84" s="130">
        <v>0</v>
      </c>
      <c r="K84" s="130">
        <v>4</v>
      </c>
      <c r="L84" s="147">
        <f>I84/K84</f>
        <v>1250</v>
      </c>
      <c r="M84" s="151">
        <v>46112</v>
      </c>
      <c r="N84" s="151">
        <v>46108</v>
      </c>
      <c r="O84" s="134"/>
      <c r="P84" s="134"/>
      <c r="Q84" s="131"/>
      <c r="R84" s="186" t="s">
        <v>454</v>
      </c>
      <c r="S84" s="186" t="s">
        <v>104</v>
      </c>
      <c r="T84" s="150" t="s">
        <v>3215</v>
      </c>
      <c r="U84" s="150"/>
      <c r="V84" s="138"/>
      <c r="W84" s="138" t="s">
        <v>2770</v>
      </c>
      <c r="X84" s="138" t="s">
        <v>252</v>
      </c>
      <c r="Y84" s="139">
        <v>2.7734</v>
      </c>
      <c r="Z84" s="152">
        <f t="shared" ref="Z84:Z87" si="51">Y84*I84</f>
        <v>13867</v>
      </c>
      <c r="AA84" s="153"/>
      <c r="AB84" s="131" t="s">
        <v>249</v>
      </c>
      <c r="AC84" s="131" t="s">
        <v>82</v>
      </c>
      <c r="AD84" s="130"/>
      <c r="AE84" s="131"/>
      <c r="AF84" s="131"/>
      <c r="AG84" s="131"/>
      <c r="AH84" s="131"/>
      <c r="AI84" s="188"/>
      <c r="AJ84" s="131"/>
      <c r="AK84" s="131"/>
      <c r="AL84" s="9"/>
      <c r="AM84" s="9"/>
      <c r="AN84" s="11">
        <f>I84</f>
        <v>5000</v>
      </c>
      <c r="AO84" s="9"/>
      <c r="AQ84" s="9"/>
      <c r="AR84" s="9"/>
      <c r="AS84" s="9"/>
      <c r="AT84" s="9">
        <f>I84</f>
        <v>5000</v>
      </c>
      <c r="AU84" s="9"/>
      <c r="AV84" s="145"/>
      <c r="AW84" s="187"/>
      <c r="BA84" s="9"/>
      <c r="BB84" s="9">
        <f>I84</f>
        <v>5000</v>
      </c>
      <c r="BC84" s="11">
        <f>I84</f>
        <v>5000</v>
      </c>
      <c r="BD84" s="11">
        <f>I84/4</f>
        <v>1250</v>
      </c>
      <c r="BE84" s="9"/>
      <c r="BF84" s="9"/>
      <c r="BK84" s="13"/>
      <c r="CG84" s="143"/>
      <c r="CH84" s="143"/>
      <c r="CI84" s="143"/>
      <c r="CJ84" s="143"/>
      <c r="CK84" s="143"/>
      <c r="CO84" s="143"/>
      <c r="CP84" s="143"/>
      <c r="CQ84" s="143"/>
      <c r="CR84" s="143"/>
      <c r="CS84" s="143"/>
      <c r="CT84" s="143"/>
    </row>
    <row r="85" s="11" customFormat="1" ht="31" customHeight="1" spans="1:102">
      <c r="A85" s="157">
        <v>46052</v>
      </c>
      <c r="B85" s="129" t="s">
        <v>120</v>
      </c>
      <c r="C85" s="130" t="s">
        <v>98</v>
      </c>
      <c r="D85" s="8">
        <v>4500192818</v>
      </c>
      <c r="E85" s="130">
        <v>5200008873</v>
      </c>
      <c r="F85" s="8" t="s">
        <v>12190</v>
      </c>
      <c r="G85" s="131" t="s">
        <v>123</v>
      </c>
      <c r="H85" s="130" t="s">
        <v>112</v>
      </c>
      <c r="I85" s="195">
        <v>2496</v>
      </c>
      <c r="J85" s="130">
        <v>0</v>
      </c>
      <c r="K85" s="130">
        <v>12</v>
      </c>
      <c r="L85" s="147">
        <f>I85/K85</f>
        <v>208</v>
      </c>
      <c r="M85" s="151">
        <v>46104</v>
      </c>
      <c r="N85" s="151">
        <v>46100</v>
      </c>
      <c r="O85" s="134"/>
      <c r="P85" s="131"/>
      <c r="Q85" s="186" t="s">
        <v>12191</v>
      </c>
      <c r="R85" s="186">
        <v>46052</v>
      </c>
      <c r="S85" s="150" t="s">
        <v>70</v>
      </c>
      <c r="T85" s="150" t="s">
        <v>70</v>
      </c>
      <c r="U85" s="150"/>
      <c r="V85" s="138"/>
      <c r="W85" s="138" t="s">
        <v>12192</v>
      </c>
      <c r="X85" s="138" t="s">
        <v>1640</v>
      </c>
      <c r="Y85" s="152">
        <v>2.4974</v>
      </c>
      <c r="Z85" s="153">
        <f t="shared" si="51"/>
        <v>6233.5104</v>
      </c>
      <c r="AA85" s="131"/>
      <c r="AB85" s="130" t="s">
        <v>68</v>
      </c>
      <c r="AC85" s="130" t="s">
        <v>82</v>
      </c>
      <c r="AD85" s="131"/>
      <c r="AE85" s="131"/>
      <c r="AF85" s="131"/>
      <c r="AG85" s="131"/>
      <c r="AH85" s="131">
        <f>AG85-I85</f>
        <v>-2496</v>
      </c>
      <c r="AI85" s="131"/>
      <c r="AJ85" s="131"/>
      <c r="AK85" s="9"/>
      <c r="AL85" s="9">
        <f t="shared" si="50"/>
        <v>2496</v>
      </c>
      <c r="AM85" s="9"/>
      <c r="AN85" s="9"/>
      <c r="AO85" s="8"/>
      <c r="AP85" s="9">
        <f>I85</f>
        <v>2496</v>
      </c>
      <c r="AQ85" s="9"/>
      <c r="AR85" s="9">
        <f>I85</f>
        <v>2496</v>
      </c>
      <c r="AS85" s="9"/>
      <c r="AT85" s="9">
        <f>I85</f>
        <v>2496</v>
      </c>
      <c r="AU85" s="145"/>
      <c r="AV85" s="8"/>
      <c r="AW85" s="8"/>
      <c r="AX85" s="8"/>
      <c r="AY85" s="8"/>
      <c r="AZ85" s="9"/>
      <c r="BA85" s="9"/>
      <c r="BB85" s="8"/>
      <c r="BC85" s="8"/>
      <c r="BD85" s="9"/>
      <c r="BE85" s="9"/>
      <c r="BF85" s="8"/>
      <c r="BG85" s="9"/>
      <c r="BH85" s="9"/>
      <c r="BI85" s="8"/>
      <c r="BJ85" s="8"/>
      <c r="BK85" s="8"/>
      <c r="BL85" s="8"/>
      <c r="BM85" s="8"/>
      <c r="BN85" s="187"/>
      <c r="BO85" s="8"/>
      <c r="BP85" s="8"/>
      <c r="BQ85" s="8"/>
      <c r="BR85" s="8"/>
      <c r="BS85" s="8"/>
      <c r="BT85" s="8"/>
      <c r="BU85" s="8"/>
      <c r="BV85" s="8"/>
      <c r="BW85" s="8"/>
      <c r="BX85" s="8"/>
      <c r="BY85" s="8"/>
      <c r="BZ85" s="8"/>
      <c r="CA85" s="8"/>
      <c r="CB85" s="8"/>
      <c r="CC85" s="8"/>
      <c r="CD85" s="8"/>
      <c r="CE85" s="8"/>
      <c r="CF85" s="143"/>
      <c r="CG85" s="143"/>
      <c r="CH85" s="143"/>
      <c r="CI85" s="143"/>
      <c r="CJ85" s="143"/>
      <c r="CK85" s="8"/>
      <c r="CL85" s="8"/>
      <c r="CM85" s="8"/>
      <c r="CN85" s="143"/>
      <c r="CO85" s="143"/>
      <c r="CP85" s="143"/>
      <c r="CQ85" s="143"/>
      <c r="CR85" s="143"/>
      <c r="CS85" s="143"/>
    </row>
    <row r="86" s="11" customFormat="1" ht="31" customHeight="1" spans="1:102">
      <c r="A86" s="157">
        <v>46052</v>
      </c>
      <c r="B86" s="129" t="s">
        <v>120</v>
      </c>
      <c r="C86" s="130" t="s">
        <v>98</v>
      </c>
      <c r="D86" s="8">
        <v>4500192106</v>
      </c>
      <c r="E86" s="130">
        <v>5200008751</v>
      </c>
      <c r="F86" s="8" t="s">
        <v>12193</v>
      </c>
      <c r="G86" s="131" t="s">
        <v>123</v>
      </c>
      <c r="H86" s="130" t="s">
        <v>112</v>
      </c>
      <c r="I86" s="195">
        <v>2496</v>
      </c>
      <c r="J86" s="130">
        <v>0</v>
      </c>
      <c r="K86" s="130">
        <v>12</v>
      </c>
      <c r="L86" s="147">
        <f>I86/K86</f>
        <v>208</v>
      </c>
      <c r="M86" s="151">
        <v>46104</v>
      </c>
      <c r="N86" s="151">
        <v>46100</v>
      </c>
      <c r="O86" s="134"/>
      <c r="P86" s="131"/>
      <c r="Q86" s="186"/>
      <c r="R86" s="186">
        <v>46052</v>
      </c>
      <c r="S86" s="150" t="s">
        <v>70</v>
      </c>
      <c r="T86" s="150" t="s">
        <v>70</v>
      </c>
      <c r="U86" s="150"/>
      <c r="V86" s="138"/>
      <c r="W86" s="138" t="s">
        <v>2193</v>
      </c>
      <c r="X86" s="138" t="s">
        <v>125</v>
      </c>
      <c r="Y86" s="152">
        <v>2.4941</v>
      </c>
      <c r="Z86" s="153">
        <f t="shared" si="51"/>
        <v>6225.2736</v>
      </c>
      <c r="AA86" s="131"/>
      <c r="AB86" s="130" t="s">
        <v>68</v>
      </c>
      <c r="AC86" s="130" t="s">
        <v>82</v>
      </c>
      <c r="AD86" s="131"/>
      <c r="AE86" s="131"/>
      <c r="AF86" s="131"/>
      <c r="AG86" s="131"/>
      <c r="AH86" s="131">
        <f>AG86-I86</f>
        <v>-2496</v>
      </c>
      <c r="AI86" s="131"/>
      <c r="AJ86" s="131"/>
      <c r="AK86" s="9"/>
      <c r="AL86" s="9">
        <f t="shared" si="50"/>
        <v>2496</v>
      </c>
      <c r="AM86" s="9"/>
      <c r="AN86" s="9"/>
      <c r="AO86" s="8"/>
      <c r="AP86" s="9">
        <f>I86</f>
        <v>2496</v>
      </c>
      <c r="AQ86" s="9"/>
      <c r="AR86" s="9">
        <f>I86</f>
        <v>2496</v>
      </c>
      <c r="AS86" s="9"/>
      <c r="AT86" s="9">
        <f>I86</f>
        <v>2496</v>
      </c>
      <c r="AU86" s="145"/>
      <c r="AV86" s="8"/>
      <c r="AW86" s="8"/>
      <c r="AX86" s="8"/>
      <c r="AY86" s="8"/>
      <c r="AZ86" s="9"/>
      <c r="BA86" s="9"/>
      <c r="BB86" s="8"/>
      <c r="BC86" s="8"/>
      <c r="BD86" s="9"/>
      <c r="BE86" s="9"/>
      <c r="BF86" s="8"/>
      <c r="BG86" s="9"/>
      <c r="BH86" s="9"/>
      <c r="BI86" s="8"/>
      <c r="BJ86" s="8"/>
      <c r="BK86" s="8"/>
      <c r="BL86" s="8"/>
      <c r="BM86" s="8"/>
      <c r="BN86" s="187"/>
      <c r="BO86" s="8"/>
      <c r="BP86" s="8"/>
      <c r="BQ86" s="8"/>
      <c r="BR86" s="8"/>
      <c r="BS86" s="8"/>
      <c r="BT86" s="8"/>
      <c r="BU86" s="8"/>
      <c r="BV86" s="8"/>
      <c r="BW86" s="8"/>
      <c r="BX86" s="8"/>
      <c r="BY86" s="8"/>
      <c r="BZ86" s="8"/>
      <c r="CA86" s="8"/>
      <c r="CB86" s="8"/>
      <c r="CC86" s="8"/>
      <c r="CD86" s="8"/>
      <c r="CE86" s="8"/>
      <c r="CF86" s="143"/>
      <c r="CG86" s="143"/>
      <c r="CH86" s="143"/>
      <c r="CI86" s="143"/>
      <c r="CJ86" s="143"/>
      <c r="CK86" s="8"/>
      <c r="CL86" s="8"/>
      <c r="CM86" s="8"/>
      <c r="CN86" s="143"/>
      <c r="CO86" s="143"/>
      <c r="CP86" s="143"/>
      <c r="CQ86" s="143"/>
      <c r="CR86" s="143"/>
      <c r="CS86" s="143"/>
    </row>
    <row r="87" s="12" customFormat="1" ht="31" customHeight="1" spans="1:102">
      <c r="A87" s="157">
        <v>46107</v>
      </c>
      <c r="B87" s="129" t="s">
        <v>2545</v>
      </c>
      <c r="C87" s="130" t="s">
        <v>2286</v>
      </c>
      <c r="D87" s="8">
        <v>4500198815</v>
      </c>
      <c r="E87" s="130" t="s">
        <v>12194</v>
      </c>
      <c r="F87" s="8" t="s">
        <v>12195</v>
      </c>
      <c r="G87" s="131" t="s">
        <v>68</v>
      </c>
      <c r="H87" s="130" t="s">
        <v>112</v>
      </c>
      <c r="I87" s="195">
        <v>5004</v>
      </c>
      <c r="J87" s="130">
        <v>0</v>
      </c>
      <c r="K87" s="130">
        <v>12</v>
      </c>
      <c r="L87" s="147">
        <f t="shared" ref="L87:L118" si="52">I87/K87</f>
        <v>417</v>
      </c>
      <c r="M87" s="151">
        <v>46218</v>
      </c>
      <c r="N87" s="151">
        <v>46214</v>
      </c>
      <c r="O87" s="134" t="s">
        <v>12196</v>
      </c>
      <c r="P87" s="131"/>
      <c r="Q87" s="186"/>
      <c r="R87" s="186"/>
      <c r="S87" s="150"/>
      <c r="T87" s="186"/>
      <c r="U87" s="150"/>
      <c r="V87" s="138"/>
      <c r="W87" s="138" t="s">
        <v>12197</v>
      </c>
      <c r="X87" s="139" t="s">
        <v>3571</v>
      </c>
      <c r="Y87" s="196">
        <v>4.2567</v>
      </c>
      <c r="Z87" s="153">
        <f t="shared" si="51"/>
        <v>21300.5268</v>
      </c>
      <c r="AA87" s="131"/>
      <c r="AB87" s="130"/>
      <c r="AC87" s="130"/>
      <c r="AD87" s="131"/>
      <c r="AE87" s="131"/>
      <c r="AF87" s="131"/>
      <c r="AG87" s="131"/>
      <c r="AH87" s="188"/>
      <c r="AI87" s="131"/>
      <c r="AJ87" s="131"/>
      <c r="AK87" s="9"/>
      <c r="AL87" s="9">
        <f t="shared" si="50"/>
        <v>5004</v>
      </c>
      <c r="AM87" s="9"/>
      <c r="AN87" s="9"/>
      <c r="AO87" s="8"/>
      <c r="AP87" s="9"/>
      <c r="AQ87" s="9"/>
      <c r="AR87" s="9"/>
      <c r="AS87" s="9"/>
      <c r="AT87" s="9"/>
      <c r="AU87" s="145"/>
      <c r="AV87" s="187"/>
      <c r="AW87" s="8"/>
      <c r="AX87" s="8"/>
      <c r="AY87" s="8"/>
      <c r="AZ87" s="8"/>
      <c r="BA87" s="9"/>
      <c r="BB87" s="9"/>
      <c r="BC87" s="8"/>
      <c r="BD87" s="8"/>
      <c r="BE87" s="9"/>
      <c r="BF87" s="9"/>
      <c r="BG87" s="8"/>
      <c r="BH87" s="9"/>
      <c r="BI87" s="9"/>
      <c r="BJ87" s="8"/>
      <c r="BK87" s="8"/>
      <c r="BL87" s="8"/>
      <c r="BM87" s="8"/>
      <c r="BN87" s="187"/>
      <c r="BO87" s="8"/>
      <c r="BP87" s="8"/>
      <c r="BQ87" s="8"/>
      <c r="BR87" s="8"/>
      <c r="BS87" s="8"/>
      <c r="BT87" s="8"/>
      <c r="BU87" s="8"/>
      <c r="BV87" s="8"/>
      <c r="BW87" s="8"/>
      <c r="BX87" s="8"/>
      <c r="BY87" s="8"/>
      <c r="BZ87" s="8"/>
      <c r="CA87" s="8"/>
      <c r="CB87" s="8"/>
      <c r="CC87" s="8"/>
      <c r="CD87" s="8"/>
      <c r="CE87" s="8"/>
      <c r="CF87" s="143"/>
      <c r="CG87" s="143"/>
      <c r="CH87" s="143"/>
      <c r="CI87" s="143"/>
      <c r="CJ87" s="143"/>
      <c r="CK87" s="8"/>
      <c r="CL87" s="8"/>
      <c r="CM87" s="8"/>
      <c r="CN87" s="143"/>
      <c r="CO87" s="143"/>
      <c r="CP87" s="143"/>
      <c r="CQ87" s="143"/>
      <c r="CR87" s="143"/>
      <c r="CS87" s="143"/>
    </row>
    <row r="88" s="12" customFormat="1" ht="31" customHeight="1" spans="1:102">
      <c r="A88" s="157">
        <v>46107</v>
      </c>
      <c r="B88" s="129" t="s">
        <v>2545</v>
      </c>
      <c r="C88" s="130" t="s">
        <v>2286</v>
      </c>
      <c r="D88" s="8">
        <v>4500198815</v>
      </c>
      <c r="E88" s="130" t="s">
        <v>12194</v>
      </c>
      <c r="F88" s="8" t="s">
        <v>12198</v>
      </c>
      <c r="G88" s="131" t="s">
        <v>6040</v>
      </c>
      <c r="H88" s="131" t="s">
        <v>6041</v>
      </c>
      <c r="I88" s="131">
        <v>10036</v>
      </c>
      <c r="J88" s="131">
        <v>0</v>
      </c>
      <c r="K88" s="131">
        <v>52</v>
      </c>
      <c r="L88" s="132">
        <f t="shared" si="52"/>
        <v>193</v>
      </c>
      <c r="M88" s="133">
        <v>46218</v>
      </c>
      <c r="N88" s="133">
        <v>46214</v>
      </c>
      <c r="O88" s="134" t="s">
        <v>12196</v>
      </c>
      <c r="P88" s="134"/>
      <c r="Q88" s="131"/>
      <c r="R88" s="186"/>
      <c r="S88" s="186"/>
      <c r="T88" s="186"/>
      <c r="U88" s="186"/>
      <c r="V88" s="138" t="s">
        <v>12197</v>
      </c>
      <c r="W88" s="138" t="s">
        <v>3571</v>
      </c>
      <c r="X88" s="197">
        <v>0.9331</v>
      </c>
      <c r="Y88" s="139">
        <f>I88*X88</f>
        <v>9364.5916</v>
      </c>
      <c r="Z88" s="131"/>
      <c r="AA88" s="131"/>
      <c r="AB88" s="131"/>
      <c r="AC88" s="131"/>
      <c r="AD88" s="131"/>
      <c r="AE88" s="131"/>
      <c r="AF88" s="131"/>
      <c r="AG88" s="131"/>
      <c r="AH88" s="198"/>
      <c r="AI88" s="131"/>
      <c r="AJ88" s="131"/>
      <c r="AK88" s="186"/>
      <c r="AL88" s="9">
        <f t="shared" si="50"/>
        <v>10036</v>
      </c>
      <c r="AM88" s="8"/>
      <c r="AN88" s="8"/>
      <c r="AO88" s="143"/>
      <c r="AP88" s="8"/>
      <c r="AQ88" s="8"/>
      <c r="AR88" s="8"/>
      <c r="AS88" s="8"/>
      <c r="AT88" s="143"/>
      <c r="AU88" s="8"/>
      <c r="AV88" s="8"/>
      <c r="AW88" s="8"/>
      <c r="AX88" s="8"/>
      <c r="AY88" s="144"/>
      <c r="AZ88" s="9"/>
      <c r="BA88" s="9"/>
      <c r="BB88" s="8"/>
      <c r="BC88" s="8"/>
      <c r="BD88" s="9"/>
      <c r="BE88" s="9"/>
      <c r="BF88" s="8"/>
      <c r="BG88" s="9"/>
      <c r="BH88" s="9"/>
      <c r="BI88" s="8"/>
      <c r="BJ88" s="8"/>
      <c r="BK88" s="8"/>
      <c r="BL88" s="187"/>
      <c r="BM88" s="8"/>
      <c r="BN88" s="187"/>
      <c r="BO88" s="8"/>
      <c r="BP88" s="8"/>
      <c r="BQ88" s="8"/>
      <c r="BR88" s="8"/>
      <c r="BS88" s="8"/>
      <c r="BT88" s="8"/>
      <c r="BU88" s="8"/>
      <c r="BV88" s="8"/>
      <c r="BW88" s="8"/>
      <c r="BX88" s="8"/>
      <c r="BY88" s="8"/>
      <c r="BZ88" s="8"/>
      <c r="CA88" s="8"/>
      <c r="CB88" s="8"/>
      <c r="CC88" s="8"/>
      <c r="CD88" s="8"/>
      <c r="CE88" s="8"/>
      <c r="CF88" s="143"/>
      <c r="CG88" s="143"/>
      <c r="CH88" s="143"/>
      <c r="CI88" s="143"/>
      <c r="CJ88" s="143"/>
      <c r="CK88" s="8">
        <f t="shared" ref="CK88:CK92" si="53">BM88+BL88+BK88+BJ88+BS88+BN88</f>
        <v>0</v>
      </c>
      <c r="CL88" s="8">
        <f>CA88+CB88+CC88+CD88+CE88+CG88+CF88</f>
        <v>0</v>
      </c>
      <c r="CM88" s="8">
        <f>BY88+BZ88</f>
        <v>0</v>
      </c>
      <c r="CN88" s="143"/>
      <c r="CO88" s="143"/>
      <c r="CP88" s="143"/>
      <c r="CQ88" s="143"/>
      <c r="CR88" s="143"/>
      <c r="CS88" s="143"/>
      <c r="CT88" s="199"/>
      <c r="CU88" s="199"/>
      <c r="CV88" s="199"/>
      <c r="CW88" s="199"/>
      <c r="CX88" s="199"/>
    </row>
    <row r="89" s="11" customFormat="1" ht="31" customHeight="1" spans="1:102">
      <c r="A89" s="157">
        <v>46112</v>
      </c>
      <c r="B89" s="129" t="s">
        <v>120</v>
      </c>
      <c r="C89" s="130" t="s">
        <v>98</v>
      </c>
      <c r="D89" s="8" t="s">
        <v>3850</v>
      </c>
      <c r="E89" s="130" t="s">
        <v>3851</v>
      </c>
      <c r="F89" s="8" t="s">
        <v>12199</v>
      </c>
      <c r="G89" s="131" t="s">
        <v>6125</v>
      </c>
      <c r="H89" s="131" t="s">
        <v>6126</v>
      </c>
      <c r="I89" s="200">
        <v>540</v>
      </c>
      <c r="J89" s="131">
        <v>0</v>
      </c>
      <c r="K89" s="131">
        <v>12</v>
      </c>
      <c r="L89" s="132">
        <f t="shared" si="52"/>
        <v>45</v>
      </c>
      <c r="M89" s="133">
        <v>46157</v>
      </c>
      <c r="N89" s="133">
        <v>46153</v>
      </c>
      <c r="O89" s="134"/>
      <c r="P89" s="131"/>
      <c r="Q89" s="186"/>
      <c r="R89" s="186">
        <v>46112</v>
      </c>
      <c r="S89" s="186" t="s">
        <v>70</v>
      </c>
      <c r="T89" s="186" t="s">
        <v>70</v>
      </c>
      <c r="U89" s="150"/>
      <c r="V89" s="138" t="s">
        <v>12200</v>
      </c>
      <c r="W89" s="139" t="s">
        <v>1507</v>
      </c>
      <c r="X89" s="138">
        <v>1.2871</v>
      </c>
      <c r="Y89" s="139">
        <f t="shared" ref="Y89:Y92" si="54">X89*I89</f>
        <v>695.034</v>
      </c>
      <c r="Z89" s="201"/>
      <c r="AA89" s="131" t="s">
        <v>6128</v>
      </c>
      <c r="AB89" s="131" t="s">
        <v>82</v>
      </c>
      <c r="AC89" s="130"/>
      <c r="AD89" s="131"/>
      <c r="AE89" s="129"/>
      <c r="AF89" s="131"/>
      <c r="AG89" s="131">
        <f t="shared" ref="AG89:AG92" si="55">AF89-I89</f>
        <v>-540</v>
      </c>
      <c r="AH89" s="188"/>
      <c r="AI89" s="131"/>
      <c r="AJ89" s="131"/>
      <c r="AK89" s="131">
        <f t="shared" ref="AK89:AK91" si="56">I89*2</f>
        <v>1080</v>
      </c>
      <c r="AL89" s="9"/>
      <c r="AM89" s="9"/>
      <c r="AN89" s="9">
        <f t="shared" ref="AN89:AN91" si="57">I89*2</f>
        <v>1080</v>
      </c>
      <c r="AO89" s="8"/>
      <c r="AP89" s="9"/>
      <c r="AQ89" s="8"/>
      <c r="AR89" s="9">
        <f t="shared" ref="AR89:AR91" si="58">I89*2</f>
        <v>1080</v>
      </c>
      <c r="AS89" s="9"/>
      <c r="AT89" s="9"/>
      <c r="AU89" s="145"/>
      <c r="AV89" s="8"/>
      <c r="AW89" s="8"/>
      <c r="AX89" s="8"/>
      <c r="AY89" s="144">
        <f t="shared" ref="AY89:AY91" si="59">I89/24*2</f>
        <v>45</v>
      </c>
      <c r="AZ89" s="9"/>
      <c r="BA89" s="9"/>
      <c r="BB89" s="8"/>
      <c r="BC89" s="8"/>
      <c r="BD89" s="9"/>
      <c r="BE89" s="9"/>
      <c r="BF89" s="8"/>
      <c r="BG89" s="9"/>
      <c r="BH89" s="9"/>
      <c r="BI89" s="8"/>
      <c r="BJ89" s="8"/>
      <c r="BK89" s="8"/>
      <c r="BL89" s="8"/>
      <c r="BM89" s="8"/>
      <c r="BN89" s="187"/>
      <c r="BO89" s="8"/>
      <c r="BP89" s="8"/>
      <c r="BQ89" s="8"/>
      <c r="BR89" s="8"/>
      <c r="BS89" s="8"/>
      <c r="BT89" s="8"/>
      <c r="BU89" s="8"/>
      <c r="BV89" s="8"/>
      <c r="BW89" s="8"/>
      <c r="BX89" s="8"/>
      <c r="BY89" s="8"/>
      <c r="BZ89" s="8"/>
      <c r="CA89" s="8"/>
      <c r="CB89" s="8"/>
      <c r="CC89" s="8"/>
      <c r="CD89" s="8"/>
      <c r="CE89" s="8"/>
      <c r="CF89" s="143"/>
      <c r="CG89" s="143"/>
      <c r="CH89" s="8">
        <f t="shared" ref="CH89:CH91" si="60">I89</f>
        <v>540</v>
      </c>
      <c r="CI89" s="8">
        <f t="shared" ref="CI89:CI91" si="61">I89</f>
        <v>540</v>
      </c>
      <c r="CJ89" s="8">
        <f t="shared" ref="CJ89:CJ91" si="62">I89</f>
        <v>540</v>
      </c>
      <c r="CK89" s="8">
        <f t="shared" si="53"/>
        <v>0</v>
      </c>
      <c r="CL89" s="8">
        <v>0</v>
      </c>
      <c r="CM89" s="8">
        <v>0</v>
      </c>
      <c r="CN89" s="143"/>
      <c r="CO89" s="143"/>
      <c r="CP89" s="143"/>
      <c r="CQ89" s="143"/>
      <c r="CR89" s="143"/>
      <c r="CS89" s="143"/>
      <c r="CT89" s="199"/>
      <c r="CU89" s="199"/>
      <c r="CV89" s="199"/>
      <c r="CW89" s="199"/>
      <c r="CX89" s="199"/>
    </row>
    <row r="90" s="13" customFormat="1" ht="31" customHeight="1" spans="1:102">
      <c r="A90" s="157">
        <v>46086</v>
      </c>
      <c r="B90" s="129" t="s">
        <v>120</v>
      </c>
      <c r="C90" s="33" t="s">
        <v>98</v>
      </c>
      <c r="D90" s="8">
        <v>4500195406</v>
      </c>
      <c r="E90" s="130">
        <v>5200009175</v>
      </c>
      <c r="F90" s="8" t="s">
        <v>12201</v>
      </c>
      <c r="G90" s="131" t="s">
        <v>6125</v>
      </c>
      <c r="H90" s="131" t="s">
        <v>8008</v>
      </c>
      <c r="I90" s="131">
        <v>19992</v>
      </c>
      <c r="J90" s="131">
        <v>0</v>
      </c>
      <c r="K90" s="131">
        <v>12</v>
      </c>
      <c r="L90" s="132">
        <f t="shared" si="52"/>
        <v>1666</v>
      </c>
      <c r="M90" s="133">
        <v>46139</v>
      </c>
      <c r="N90" s="133">
        <v>46135</v>
      </c>
      <c r="O90" s="134" t="s">
        <v>12202</v>
      </c>
      <c r="P90" s="134" t="s">
        <v>113</v>
      </c>
      <c r="Q90" s="131"/>
      <c r="R90" s="186">
        <v>46086</v>
      </c>
      <c r="S90" s="186" t="s">
        <v>70</v>
      </c>
      <c r="T90" s="186" t="s">
        <v>70</v>
      </c>
      <c r="U90" s="186"/>
      <c r="V90" s="138" t="s">
        <v>12203</v>
      </c>
      <c r="W90" s="139" t="s">
        <v>125</v>
      </c>
      <c r="X90" s="138">
        <v>1.2782</v>
      </c>
      <c r="Y90" s="139">
        <f t="shared" si="54"/>
        <v>25553.7744</v>
      </c>
      <c r="Z90" s="131"/>
      <c r="AA90" s="131" t="s">
        <v>6128</v>
      </c>
      <c r="AB90" s="131" t="s">
        <v>82</v>
      </c>
      <c r="AC90" s="131"/>
      <c r="AD90" s="129"/>
      <c r="AE90" s="129">
        <v>1</v>
      </c>
      <c r="AF90" s="131">
        <f>15600+4392</f>
        <v>19992</v>
      </c>
      <c r="AG90" s="131">
        <f t="shared" si="55"/>
        <v>0</v>
      </c>
      <c r="AH90" s="131"/>
      <c r="AI90" s="131"/>
      <c r="AJ90" s="131"/>
      <c r="AK90" s="131">
        <f t="shared" si="56"/>
        <v>39984</v>
      </c>
      <c r="AL90" s="9"/>
      <c r="AM90" s="8"/>
      <c r="AN90" s="9">
        <f t="shared" si="57"/>
        <v>39984</v>
      </c>
      <c r="AO90" s="202"/>
      <c r="AP90" s="8"/>
      <c r="AQ90" s="9"/>
      <c r="AR90" s="9">
        <f t="shared" si="58"/>
        <v>39984</v>
      </c>
      <c r="AS90" s="9"/>
      <c r="AT90" s="143"/>
      <c r="AU90" s="9"/>
      <c r="AV90" s="9"/>
      <c r="AW90" s="9"/>
      <c r="AX90" s="9"/>
      <c r="AY90" s="144">
        <f t="shared" si="59"/>
        <v>1666</v>
      </c>
      <c r="AZ90" s="145"/>
      <c r="BA90" s="9"/>
      <c r="BB90" s="9"/>
      <c r="BC90" s="9"/>
      <c r="BD90" s="9"/>
      <c r="BE90" s="9"/>
      <c r="BF90" s="9"/>
      <c r="BG90" s="9"/>
      <c r="BH90" s="9"/>
      <c r="BI90" s="9"/>
      <c r="BJ90" s="9"/>
      <c r="BK90" s="9"/>
      <c r="BL90" s="9"/>
      <c r="BM90" s="9"/>
      <c r="BN90" s="9"/>
      <c r="BO90" s="9"/>
      <c r="BP90" s="8"/>
      <c r="BQ90" s="9"/>
      <c r="BR90" s="9"/>
      <c r="BS90" s="9"/>
      <c r="BT90" s="143"/>
      <c r="BU90" s="9"/>
      <c r="BV90" s="143"/>
      <c r="BW90" s="9"/>
      <c r="BX90" s="9"/>
      <c r="BY90" s="9"/>
      <c r="BZ90" s="9"/>
      <c r="CA90" s="9"/>
      <c r="CB90" s="9"/>
      <c r="CC90" s="9"/>
      <c r="CD90" s="9"/>
      <c r="CE90" s="9"/>
      <c r="CF90" s="9"/>
      <c r="CG90" s="9"/>
      <c r="CH90" s="8">
        <f t="shared" si="60"/>
        <v>19992</v>
      </c>
      <c r="CI90" s="8">
        <f t="shared" si="61"/>
        <v>19992</v>
      </c>
      <c r="CJ90" s="8">
        <f t="shared" si="62"/>
        <v>19992</v>
      </c>
      <c r="CK90" s="8">
        <f t="shared" si="53"/>
        <v>0</v>
      </c>
      <c r="CL90" s="8">
        <v>0</v>
      </c>
      <c r="CM90" s="8">
        <v>0</v>
      </c>
      <c r="CN90" s="143"/>
      <c r="CO90" s="143"/>
      <c r="CP90" s="143"/>
      <c r="CT90" s="143"/>
      <c r="CU90" s="143"/>
      <c r="CV90" s="143"/>
      <c r="CW90" s="143"/>
      <c r="CX90" s="143"/>
    </row>
    <row r="91" s="13" customFormat="1" ht="31" customHeight="1" spans="1:102">
      <c r="A91" s="157">
        <v>46086</v>
      </c>
      <c r="B91" s="129" t="s">
        <v>120</v>
      </c>
      <c r="C91" s="130" t="s">
        <v>98</v>
      </c>
      <c r="D91" s="8">
        <v>4500195402</v>
      </c>
      <c r="E91" s="130">
        <v>5200009175</v>
      </c>
      <c r="F91" s="8" t="s">
        <v>12204</v>
      </c>
      <c r="G91" s="131" t="s">
        <v>6125</v>
      </c>
      <c r="H91" s="131" t="s">
        <v>6126</v>
      </c>
      <c r="I91" s="190">
        <v>9996</v>
      </c>
      <c r="J91" s="131">
        <v>0</v>
      </c>
      <c r="K91" s="131">
        <v>12</v>
      </c>
      <c r="L91" s="132">
        <f t="shared" si="52"/>
        <v>833</v>
      </c>
      <c r="M91" s="133">
        <v>46132</v>
      </c>
      <c r="N91" s="133">
        <v>46128</v>
      </c>
      <c r="O91" s="134" t="s">
        <v>12202</v>
      </c>
      <c r="P91" s="134" t="s">
        <v>113</v>
      </c>
      <c r="Q91" s="131"/>
      <c r="R91" s="186">
        <v>46086</v>
      </c>
      <c r="S91" s="186" t="s">
        <v>70</v>
      </c>
      <c r="T91" s="186" t="s">
        <v>70</v>
      </c>
      <c r="U91" s="186"/>
      <c r="V91" s="138" t="s">
        <v>12205</v>
      </c>
      <c r="W91" s="139" t="s">
        <v>125</v>
      </c>
      <c r="X91" s="138">
        <v>1.2559</v>
      </c>
      <c r="Y91" s="139">
        <f t="shared" si="54"/>
        <v>12553.9764</v>
      </c>
      <c r="Z91" s="131"/>
      <c r="AA91" s="131" t="s">
        <v>6128</v>
      </c>
      <c r="AB91" s="131" t="s">
        <v>82</v>
      </c>
      <c r="AC91" s="131"/>
      <c r="AD91" s="129"/>
      <c r="AE91" s="129" t="s">
        <v>12206</v>
      </c>
      <c r="AF91" s="131">
        <v>9996</v>
      </c>
      <c r="AG91" s="131">
        <f t="shared" si="55"/>
        <v>0</v>
      </c>
      <c r="AH91" s="131"/>
      <c r="AI91" s="131"/>
      <c r="AJ91" s="131"/>
      <c r="AK91" s="131">
        <f t="shared" si="56"/>
        <v>19992</v>
      </c>
      <c r="AL91" s="8"/>
      <c r="AM91" s="8"/>
      <c r="AN91" s="9">
        <f t="shared" si="57"/>
        <v>19992</v>
      </c>
      <c r="AO91" s="202"/>
      <c r="AP91" s="9"/>
      <c r="AQ91" s="8"/>
      <c r="AR91" s="9">
        <f t="shared" si="58"/>
        <v>19992</v>
      </c>
      <c r="AS91" s="9"/>
      <c r="AT91" s="143"/>
      <c r="AU91" s="9"/>
      <c r="AV91" s="9"/>
      <c r="AW91" s="9"/>
      <c r="AX91" s="9"/>
      <c r="AY91" s="144">
        <f t="shared" si="59"/>
        <v>833</v>
      </c>
      <c r="AZ91" s="145"/>
      <c r="BA91" s="9"/>
      <c r="BB91" s="9"/>
      <c r="BC91" s="9"/>
      <c r="BD91" s="9"/>
      <c r="BE91" s="9"/>
      <c r="BF91" s="9"/>
      <c r="BG91" s="9"/>
      <c r="BH91" s="9"/>
      <c r="BI91" s="9"/>
      <c r="BJ91" s="8"/>
      <c r="BK91" s="9"/>
      <c r="BL91" s="9"/>
      <c r="BM91" s="9"/>
      <c r="BN91" s="9"/>
      <c r="BO91" s="9"/>
      <c r="BP91" s="9"/>
      <c r="BQ91" s="9"/>
      <c r="BR91" s="9"/>
      <c r="BS91" s="9"/>
      <c r="BT91" s="143"/>
      <c r="BU91" s="9"/>
      <c r="BV91" s="143"/>
      <c r="BW91" s="9"/>
      <c r="BX91" s="9"/>
      <c r="BY91" s="9"/>
      <c r="BZ91" s="9"/>
      <c r="CA91" s="9"/>
      <c r="CB91" s="9"/>
      <c r="CC91" s="9"/>
      <c r="CD91" s="9"/>
      <c r="CE91" s="9"/>
      <c r="CF91" s="9"/>
      <c r="CG91" s="9"/>
      <c r="CH91" s="8">
        <f t="shared" si="60"/>
        <v>9996</v>
      </c>
      <c r="CI91" s="8">
        <f t="shared" si="61"/>
        <v>9996</v>
      </c>
      <c r="CJ91" s="8">
        <f t="shared" si="62"/>
        <v>9996</v>
      </c>
      <c r="CK91" s="8">
        <f t="shared" si="53"/>
        <v>0</v>
      </c>
      <c r="CL91" s="8">
        <v>0</v>
      </c>
      <c r="CM91" s="8">
        <v>0</v>
      </c>
      <c r="CN91" s="143"/>
      <c r="CO91" s="143"/>
      <c r="CP91" s="143"/>
      <c r="CT91" s="143"/>
      <c r="CU91" s="143"/>
      <c r="CV91" s="143"/>
      <c r="CW91" s="143"/>
      <c r="CX91" s="143"/>
    </row>
    <row r="92" s="13" customFormat="1" ht="32" customHeight="1" spans="1:102">
      <c r="A92" s="157">
        <v>46044</v>
      </c>
      <c r="B92" s="129" t="s">
        <v>1838</v>
      </c>
      <c r="C92" s="130" t="s">
        <v>524</v>
      </c>
      <c r="D92" s="8">
        <v>4500192091</v>
      </c>
      <c r="E92" s="130"/>
      <c r="F92" s="8" t="s">
        <v>12207</v>
      </c>
      <c r="G92" s="131" t="s">
        <v>6043</v>
      </c>
      <c r="H92" s="131" t="s">
        <v>6110</v>
      </c>
      <c r="I92" s="131">
        <v>1500</v>
      </c>
      <c r="J92" s="131">
        <v>0</v>
      </c>
      <c r="K92" s="131">
        <v>50</v>
      </c>
      <c r="L92" s="132">
        <f t="shared" si="52"/>
        <v>30</v>
      </c>
      <c r="M92" s="133">
        <v>46101</v>
      </c>
      <c r="N92" s="191" t="s">
        <v>12208</v>
      </c>
      <c r="O92" s="134"/>
      <c r="P92" s="134"/>
      <c r="Q92" s="131"/>
      <c r="R92" s="186" t="s">
        <v>454</v>
      </c>
      <c r="S92" s="186" t="s">
        <v>70</v>
      </c>
      <c r="T92" s="186" t="s">
        <v>454</v>
      </c>
      <c r="U92" s="186"/>
      <c r="V92" s="138" t="s">
        <v>12209</v>
      </c>
      <c r="W92" s="138" t="s">
        <v>943</v>
      </c>
      <c r="X92" s="138">
        <v>0.924</v>
      </c>
      <c r="Y92" s="139">
        <f t="shared" si="54"/>
        <v>1386</v>
      </c>
      <c r="Z92" s="131"/>
      <c r="AA92" s="129" t="s">
        <v>6043</v>
      </c>
      <c r="AB92" s="131" t="s">
        <v>82</v>
      </c>
      <c r="AC92" s="131"/>
      <c r="AD92" s="129"/>
      <c r="AE92" s="131">
        <v>1</v>
      </c>
      <c r="AF92" s="131"/>
      <c r="AG92" s="131">
        <f t="shared" si="55"/>
        <v>-1500</v>
      </c>
      <c r="AH92" s="131"/>
      <c r="AI92" s="131"/>
      <c r="AJ92" s="131"/>
      <c r="AK92" s="131"/>
      <c r="AL92" s="9">
        <f t="shared" ref="AL92:AL96" si="63">I92</f>
        <v>1500</v>
      </c>
      <c r="AM92" s="8"/>
      <c r="AN92" s="8"/>
      <c r="AO92" s="143"/>
      <c r="AP92" s="8"/>
      <c r="AQ92" s="8">
        <f t="shared" ref="AQ92:AQ96" si="64">I92</f>
        <v>1500</v>
      </c>
      <c r="AR92" s="8"/>
      <c r="AS92" s="9">
        <f>I92</f>
        <v>1500</v>
      </c>
      <c r="AT92" s="143"/>
      <c r="AU92" s="9"/>
      <c r="AV92" s="9"/>
      <c r="AW92" s="9"/>
      <c r="AX92" s="9"/>
      <c r="AY92" s="144">
        <f>I92/24</f>
        <v>62.5</v>
      </c>
      <c r="AZ92" s="145"/>
      <c r="BA92" s="8"/>
      <c r="BB92" s="8"/>
      <c r="BC92" s="8"/>
      <c r="BD92" s="8"/>
      <c r="BE92" s="8"/>
      <c r="BF92" s="8"/>
      <c r="BG92" s="8"/>
      <c r="BH92" s="8"/>
      <c r="BI92" s="8"/>
      <c r="BJ92" s="8"/>
      <c r="BK92" s="8"/>
      <c r="BL92" s="8">
        <f>I92/25</f>
        <v>60</v>
      </c>
      <c r="BM92" s="9"/>
      <c r="BN92" s="9"/>
      <c r="BO92" s="9"/>
      <c r="BP92" s="9"/>
      <c r="BQ92" s="9"/>
      <c r="BR92" s="9"/>
      <c r="BS92" s="9"/>
      <c r="BT92" s="143"/>
      <c r="BU92" s="9"/>
      <c r="BV92" s="143"/>
      <c r="BW92" s="9"/>
      <c r="BX92" s="9"/>
      <c r="BY92" s="9"/>
      <c r="BZ92" s="9"/>
      <c r="CA92" s="9"/>
      <c r="CB92" s="9"/>
      <c r="CC92" s="9"/>
      <c r="CD92" s="9"/>
      <c r="CE92" s="9"/>
      <c r="CF92" s="9"/>
      <c r="CG92" s="9"/>
      <c r="CH92" s="9"/>
      <c r="CI92" s="9"/>
      <c r="CJ92" s="9"/>
      <c r="CK92" s="8">
        <f t="shared" si="53"/>
        <v>60</v>
      </c>
      <c r="CL92" s="8">
        <f t="shared" ref="CL92:CL98" si="65">CA92+CB92+CC92+CD92+CE92+CG92+CF92</f>
        <v>0</v>
      </c>
      <c r="CM92" s="8">
        <f t="shared" ref="CM92:CM98" si="66">BY92+BZ92</f>
        <v>0</v>
      </c>
      <c r="CN92" s="203"/>
      <c r="CO92" s="203"/>
      <c r="CP92" s="203"/>
      <c r="CQ92" s="204"/>
      <c r="CR92" s="204"/>
      <c r="CS92" s="204"/>
      <c r="CT92" s="203"/>
      <c r="CU92" s="203"/>
      <c r="CV92" s="203"/>
      <c r="CW92" s="203"/>
      <c r="CX92" s="203"/>
    </row>
    <row r="93" s="11" customFormat="1" ht="31" customHeight="1" spans="1:102">
      <c r="A93" s="157">
        <v>46044</v>
      </c>
      <c r="B93" s="129" t="s">
        <v>1838</v>
      </c>
      <c r="C93" s="130" t="s">
        <v>524</v>
      </c>
      <c r="D93" s="8">
        <v>4500192091</v>
      </c>
      <c r="E93" s="130"/>
      <c r="F93" s="8" t="s">
        <v>12210</v>
      </c>
      <c r="G93" s="146" t="s">
        <v>68</v>
      </c>
      <c r="H93" s="130" t="s">
        <v>112</v>
      </c>
      <c r="I93" s="195">
        <v>1200</v>
      </c>
      <c r="J93" s="130">
        <v>0</v>
      </c>
      <c r="K93" s="130">
        <v>12</v>
      </c>
      <c r="L93" s="147">
        <f t="shared" si="52"/>
        <v>100</v>
      </c>
      <c r="M93" s="151">
        <v>46101</v>
      </c>
      <c r="N93" s="148" t="s">
        <v>12208</v>
      </c>
      <c r="O93" s="134"/>
      <c r="P93" s="131"/>
      <c r="Q93" s="186"/>
      <c r="R93" s="186" t="s">
        <v>454</v>
      </c>
      <c r="S93" s="150" t="s">
        <v>70</v>
      </c>
      <c r="T93" s="150" t="s">
        <v>454</v>
      </c>
      <c r="U93" s="150"/>
      <c r="V93" s="138"/>
      <c r="W93" s="138" t="s">
        <v>12211</v>
      </c>
      <c r="X93" s="138" t="s">
        <v>943</v>
      </c>
      <c r="Y93" s="138">
        <v>4.1185</v>
      </c>
      <c r="Z93" s="139">
        <f t="shared" ref="Z93:Z96" si="67">Y93*I93</f>
        <v>4942.2</v>
      </c>
      <c r="AA93" s="131"/>
      <c r="AB93" s="130" t="s">
        <v>184</v>
      </c>
      <c r="AC93" s="130" t="s">
        <v>82</v>
      </c>
      <c r="AD93" s="131"/>
      <c r="AE93" s="131"/>
      <c r="AF93" s="131">
        <v>1</v>
      </c>
      <c r="AG93" s="131"/>
      <c r="AH93" s="131">
        <f t="shared" ref="AH93:AH96" si="68">AG93-I93</f>
        <v>-1200</v>
      </c>
      <c r="AI93" s="131"/>
      <c r="AJ93" s="131"/>
      <c r="AK93" s="9"/>
      <c r="AL93" s="9">
        <f t="shared" si="63"/>
        <v>1200</v>
      </c>
      <c r="AM93" s="9"/>
      <c r="AN93" s="9"/>
      <c r="AO93" s="8"/>
      <c r="AP93" s="9"/>
      <c r="AQ93" s="9">
        <f t="shared" si="64"/>
        <v>1200</v>
      </c>
      <c r="AR93" s="9">
        <f t="shared" ref="AR93:AR96" si="69">I93</f>
        <v>1200</v>
      </c>
      <c r="AS93" s="9"/>
      <c r="AT93" s="9">
        <f t="shared" ref="AT93:AT96" si="70">I93</f>
        <v>1200</v>
      </c>
      <c r="AU93" s="145"/>
      <c r="AV93" s="8"/>
      <c r="AW93" s="8"/>
      <c r="AX93" s="8"/>
      <c r="AY93" s="8"/>
      <c r="AZ93" s="8"/>
      <c r="BA93" s="9"/>
      <c r="BB93" s="9"/>
      <c r="BC93" s="8"/>
      <c r="BD93" s="8"/>
      <c r="BE93" s="9"/>
      <c r="BF93" s="9"/>
      <c r="BG93" s="8"/>
      <c r="BH93" s="9"/>
      <c r="BI93" s="9"/>
      <c r="BJ93" s="8"/>
      <c r="BK93" s="8"/>
      <c r="BL93" s="8"/>
      <c r="BM93" s="8"/>
      <c r="BN93" s="187"/>
      <c r="BO93" s="8"/>
      <c r="BP93" s="8"/>
      <c r="BQ93" s="8"/>
      <c r="BR93" s="8"/>
      <c r="BS93" s="8"/>
      <c r="BT93" s="8"/>
      <c r="BU93" s="8"/>
      <c r="BV93" s="8"/>
      <c r="BW93" s="8"/>
      <c r="BX93" s="8"/>
      <c r="BY93" s="8"/>
      <c r="BZ93" s="8"/>
      <c r="CA93" s="8"/>
      <c r="CB93" s="8"/>
      <c r="CC93" s="8"/>
      <c r="CD93" s="8"/>
      <c r="CE93" s="8"/>
      <c r="CF93" s="143"/>
      <c r="CG93" s="143"/>
      <c r="CH93" s="143"/>
      <c r="CI93" s="143"/>
      <c r="CJ93" s="143"/>
      <c r="CK93" s="8"/>
      <c r="CL93" s="8"/>
      <c r="CM93" s="8"/>
      <c r="CN93" s="143"/>
      <c r="CO93" s="143"/>
      <c r="CP93" s="143"/>
      <c r="CQ93" s="143"/>
      <c r="CR93" s="143"/>
      <c r="CS93" s="143"/>
    </row>
    <row r="94" s="13" customFormat="1" ht="31" customHeight="1" spans="1:102">
      <c r="A94" s="157">
        <v>46135</v>
      </c>
      <c r="B94" s="129" t="s">
        <v>325</v>
      </c>
      <c r="C94" s="130" t="s">
        <v>98</v>
      </c>
      <c r="D94" s="8" t="s">
        <v>12212</v>
      </c>
      <c r="E94" s="130" t="s">
        <v>12213</v>
      </c>
      <c r="F94" s="8" t="s">
        <v>12214</v>
      </c>
      <c r="G94" s="131" t="s">
        <v>6084</v>
      </c>
      <c r="H94" s="131" t="s">
        <v>6085</v>
      </c>
      <c r="I94" s="190">
        <v>6550</v>
      </c>
      <c r="J94" s="131">
        <v>0</v>
      </c>
      <c r="K94" s="131">
        <v>25</v>
      </c>
      <c r="L94" s="132">
        <f t="shared" si="52"/>
        <v>262</v>
      </c>
      <c r="M94" s="133">
        <v>46199</v>
      </c>
      <c r="N94" s="133">
        <v>46195</v>
      </c>
      <c r="O94" s="134"/>
      <c r="P94" s="134"/>
      <c r="Q94" s="131"/>
      <c r="R94" s="186" t="s">
        <v>454</v>
      </c>
      <c r="S94" s="186" t="s">
        <v>104</v>
      </c>
      <c r="T94" s="186" t="s">
        <v>12215</v>
      </c>
      <c r="U94" s="186"/>
      <c r="V94" s="138" t="s">
        <v>9635</v>
      </c>
      <c r="W94" s="139" t="s">
        <v>252</v>
      </c>
      <c r="X94" s="138">
        <v>0.5777</v>
      </c>
      <c r="Y94" s="139">
        <f t="shared" ref="Y94:Y98" si="71">X94*I94</f>
        <v>3783.935</v>
      </c>
      <c r="Z94" s="131"/>
      <c r="AA94" s="131" t="s">
        <v>6084</v>
      </c>
      <c r="AB94" s="131" t="s">
        <v>82</v>
      </c>
      <c r="AC94" s="131"/>
      <c r="AD94" s="129"/>
      <c r="AE94" s="129"/>
      <c r="AF94" s="131"/>
      <c r="AG94" s="131">
        <f t="shared" ref="AG94:AG98" si="72">AF94-I94</f>
        <v>-6550</v>
      </c>
      <c r="AH94" s="131"/>
      <c r="AI94" s="131"/>
      <c r="AJ94" s="131"/>
      <c r="AK94" s="131">
        <f>I94</f>
        <v>6550</v>
      </c>
      <c r="AL94" s="8"/>
      <c r="AM94" s="8">
        <f>I94</f>
        <v>6550</v>
      </c>
      <c r="AN94" s="9"/>
      <c r="AO94" s="202"/>
      <c r="AP94" s="9"/>
      <c r="AQ94" s="8"/>
      <c r="AR94" s="9">
        <f t="shared" si="69"/>
        <v>6550</v>
      </c>
      <c r="AS94" s="9"/>
      <c r="AT94" s="143"/>
      <c r="AU94" s="9"/>
      <c r="AV94" s="9"/>
      <c r="AW94" s="9"/>
      <c r="AX94" s="9"/>
      <c r="AY94" s="144">
        <f>I94/48</f>
        <v>136.458333333333</v>
      </c>
      <c r="AZ94" s="145"/>
      <c r="BA94" s="9"/>
      <c r="BB94" s="9"/>
      <c r="BC94" s="9"/>
      <c r="BD94" s="9"/>
      <c r="BE94" s="9"/>
      <c r="BF94" s="9"/>
      <c r="BG94" s="9"/>
      <c r="BH94" s="9"/>
      <c r="BI94" s="9"/>
      <c r="BJ94" s="8">
        <f>I94/25</f>
        <v>262</v>
      </c>
      <c r="BK94" s="9"/>
      <c r="BL94" s="9"/>
      <c r="BM94" s="9"/>
      <c r="BN94" s="9"/>
      <c r="BO94" s="9"/>
      <c r="BP94" s="9"/>
      <c r="BQ94" s="9"/>
      <c r="BR94" s="9"/>
      <c r="BS94" s="9"/>
      <c r="BT94" s="143"/>
      <c r="BU94" s="9"/>
      <c r="BV94" s="143"/>
      <c r="BW94" s="9"/>
      <c r="BX94" s="9"/>
      <c r="BY94" s="9"/>
      <c r="BZ94" s="9"/>
      <c r="CA94" s="9"/>
      <c r="CB94" s="9"/>
      <c r="CC94" s="9"/>
      <c r="CD94" s="9"/>
      <c r="CE94" s="9"/>
      <c r="CF94" s="9"/>
      <c r="CG94" s="9"/>
      <c r="CH94" s="8"/>
      <c r="CI94" s="8"/>
      <c r="CJ94" s="8"/>
      <c r="CK94" s="8">
        <f t="shared" ref="CK94:CK98" si="73">BM94+BL94+BK94+BJ94+BS94+BN94</f>
        <v>262</v>
      </c>
      <c r="CL94" s="8">
        <f t="shared" si="65"/>
        <v>0</v>
      </c>
      <c r="CM94" s="8">
        <f t="shared" si="66"/>
        <v>0</v>
      </c>
      <c r="CN94" s="143"/>
      <c r="CO94" s="143"/>
      <c r="CP94" s="143"/>
      <c r="CT94" s="143"/>
      <c r="CU94" s="143"/>
      <c r="CV94" s="143"/>
      <c r="CW94" s="143"/>
      <c r="CX94" s="143"/>
    </row>
    <row r="95" s="11" customFormat="1" ht="31" customHeight="1" spans="1:102">
      <c r="A95" s="157">
        <v>46101</v>
      </c>
      <c r="B95" s="129" t="s">
        <v>3729</v>
      </c>
      <c r="C95" s="130" t="s">
        <v>278</v>
      </c>
      <c r="D95" s="8">
        <v>4500197232</v>
      </c>
      <c r="E95" s="130" t="s">
        <v>5361</v>
      </c>
      <c r="F95" s="8" t="s">
        <v>12216</v>
      </c>
      <c r="G95" s="146" t="s">
        <v>518</v>
      </c>
      <c r="H95" s="130" t="s">
        <v>477</v>
      </c>
      <c r="I95" s="200">
        <v>1704</v>
      </c>
      <c r="J95" s="131">
        <v>0</v>
      </c>
      <c r="K95" s="131">
        <v>6</v>
      </c>
      <c r="L95" s="132">
        <f t="shared" si="52"/>
        <v>284</v>
      </c>
      <c r="M95" s="151">
        <v>46157</v>
      </c>
      <c r="N95" s="151">
        <v>46153</v>
      </c>
      <c r="O95" s="134"/>
      <c r="P95" s="131" t="s">
        <v>113</v>
      </c>
      <c r="Q95" s="186"/>
      <c r="R95" s="186" t="s">
        <v>463</v>
      </c>
      <c r="S95" s="150" t="s">
        <v>104</v>
      </c>
      <c r="T95" s="186" t="s">
        <v>3732</v>
      </c>
      <c r="U95" s="150"/>
      <c r="V95" s="138"/>
      <c r="W95" s="138" t="s">
        <v>12217</v>
      </c>
      <c r="X95" s="139" t="s">
        <v>3734</v>
      </c>
      <c r="Y95" s="196">
        <v>6.8326</v>
      </c>
      <c r="Z95" s="153">
        <f t="shared" si="67"/>
        <v>11642.7504</v>
      </c>
      <c r="AA95" s="131"/>
      <c r="AB95" s="130" t="s">
        <v>480</v>
      </c>
      <c r="AC95" s="130" t="s">
        <v>82</v>
      </c>
      <c r="AD95" s="131"/>
      <c r="AE95" s="131"/>
      <c r="AF95" s="131"/>
      <c r="AG95" s="131"/>
      <c r="AH95" s="188">
        <f t="shared" si="68"/>
        <v>-1704</v>
      </c>
      <c r="AI95" s="205">
        <v>46153</v>
      </c>
      <c r="AJ95" s="131"/>
      <c r="AK95" s="9"/>
      <c r="AL95" s="9">
        <f t="shared" si="63"/>
        <v>1704</v>
      </c>
      <c r="AM95" s="9"/>
      <c r="AN95" s="9"/>
      <c r="AO95" s="8"/>
      <c r="AP95" s="9"/>
      <c r="AQ95" s="9">
        <f t="shared" si="64"/>
        <v>1704</v>
      </c>
      <c r="AR95" s="9">
        <f t="shared" si="69"/>
        <v>1704</v>
      </c>
      <c r="AS95" s="9"/>
      <c r="AT95" s="9">
        <f t="shared" si="70"/>
        <v>1704</v>
      </c>
      <c r="AU95" s="145"/>
      <c r="AV95" s="187"/>
      <c r="AW95" s="8"/>
      <c r="AX95" s="8"/>
      <c r="AY95" s="8"/>
      <c r="AZ95" s="8"/>
      <c r="BA95" s="9"/>
      <c r="BB95" s="9"/>
      <c r="BC95" s="8"/>
      <c r="BD95" s="8"/>
      <c r="BE95" s="9"/>
      <c r="BF95" s="9"/>
      <c r="BG95" s="8"/>
      <c r="BH95" s="9"/>
      <c r="BI95" s="9"/>
      <c r="BJ95" s="8"/>
      <c r="BK95" s="8">
        <f>I95</f>
        <v>1704</v>
      </c>
      <c r="BL95" s="8"/>
      <c r="BM95" s="8"/>
      <c r="BN95" s="187"/>
      <c r="BO95" s="8"/>
      <c r="BP95" s="8"/>
      <c r="BQ95" s="8"/>
      <c r="BR95" s="8"/>
      <c r="BS95" s="8"/>
      <c r="BT95" s="8"/>
      <c r="BU95" s="8"/>
      <c r="BV95" s="8"/>
      <c r="BW95" s="8"/>
      <c r="BX95" s="8"/>
      <c r="BY95" s="8"/>
      <c r="BZ95" s="8"/>
      <c r="CA95" s="8"/>
      <c r="CB95" s="8"/>
      <c r="CC95" s="8"/>
      <c r="CD95" s="8"/>
      <c r="CE95" s="8"/>
      <c r="CF95" s="143"/>
      <c r="CG95" s="143"/>
      <c r="CH95" s="143"/>
      <c r="CI95" s="143"/>
      <c r="CJ95" s="143"/>
      <c r="CK95" s="8"/>
      <c r="CL95" s="8"/>
      <c r="CM95" s="8"/>
      <c r="CN95" s="143"/>
      <c r="CO95" s="143"/>
      <c r="CP95" s="143"/>
      <c r="CQ95" s="143"/>
      <c r="CR95" s="143"/>
      <c r="CS95" s="143"/>
    </row>
    <row r="96" s="11" customFormat="1" ht="31" customHeight="1" spans="1:102">
      <c r="A96" s="157">
        <v>46101</v>
      </c>
      <c r="B96" s="129" t="s">
        <v>3729</v>
      </c>
      <c r="C96" s="130" t="s">
        <v>278</v>
      </c>
      <c r="D96" s="8">
        <v>4500197232</v>
      </c>
      <c r="E96" s="130" t="s">
        <v>5361</v>
      </c>
      <c r="F96" s="8" t="s">
        <v>12218</v>
      </c>
      <c r="G96" s="146" t="s">
        <v>68</v>
      </c>
      <c r="H96" s="130" t="s">
        <v>69</v>
      </c>
      <c r="I96" s="195">
        <v>2556</v>
      </c>
      <c r="J96" s="130">
        <v>0</v>
      </c>
      <c r="K96" s="130">
        <v>12</v>
      </c>
      <c r="L96" s="147">
        <f t="shared" si="52"/>
        <v>213</v>
      </c>
      <c r="M96" s="151">
        <v>46157</v>
      </c>
      <c r="N96" s="151">
        <v>46153</v>
      </c>
      <c r="O96" s="134"/>
      <c r="P96" s="131" t="s">
        <v>113</v>
      </c>
      <c r="Q96" s="186"/>
      <c r="R96" s="186" t="s">
        <v>463</v>
      </c>
      <c r="S96" s="150" t="s">
        <v>104</v>
      </c>
      <c r="T96" s="186" t="s">
        <v>3732</v>
      </c>
      <c r="U96" s="150"/>
      <c r="V96" s="138"/>
      <c r="W96" s="138" t="s">
        <v>12219</v>
      </c>
      <c r="X96" s="139" t="s">
        <v>3734</v>
      </c>
      <c r="Y96" s="196">
        <v>4.2622</v>
      </c>
      <c r="Z96" s="153">
        <f t="shared" si="67"/>
        <v>10894.1832</v>
      </c>
      <c r="AA96" s="131"/>
      <c r="AB96" s="130" t="s">
        <v>184</v>
      </c>
      <c r="AC96" s="130" t="s">
        <v>82</v>
      </c>
      <c r="AD96" s="131"/>
      <c r="AE96" s="131"/>
      <c r="AF96" s="131"/>
      <c r="AG96" s="131">
        <v>2556</v>
      </c>
      <c r="AH96" s="188">
        <f t="shared" si="68"/>
        <v>0</v>
      </c>
      <c r="AI96" s="206">
        <v>46150</v>
      </c>
      <c r="AJ96" s="131" t="s">
        <v>2368</v>
      </c>
      <c r="AK96" s="9"/>
      <c r="AL96" s="9">
        <f t="shared" si="63"/>
        <v>2556</v>
      </c>
      <c r="AM96" s="9"/>
      <c r="AN96" s="9"/>
      <c r="AO96" s="8"/>
      <c r="AP96" s="9"/>
      <c r="AQ96" s="9">
        <f t="shared" si="64"/>
        <v>2556</v>
      </c>
      <c r="AR96" s="9">
        <f t="shared" si="69"/>
        <v>2556</v>
      </c>
      <c r="AS96" s="9"/>
      <c r="AT96" s="9">
        <f t="shared" si="70"/>
        <v>2556</v>
      </c>
      <c r="AU96" s="145"/>
      <c r="AV96" s="187"/>
      <c r="AW96" s="8"/>
      <c r="AX96" s="8"/>
      <c r="AY96" s="8"/>
      <c r="AZ96" s="8"/>
      <c r="BA96" s="9"/>
      <c r="BB96" s="9"/>
      <c r="BC96" s="8"/>
      <c r="BD96" s="8"/>
      <c r="BE96" s="9"/>
      <c r="BF96" s="9"/>
      <c r="BG96" s="8"/>
      <c r="BH96" s="9"/>
      <c r="BI96" s="9"/>
      <c r="BJ96" s="8"/>
      <c r="BK96" s="8"/>
      <c r="BL96" s="8"/>
      <c r="BM96" s="8"/>
      <c r="BN96" s="187"/>
      <c r="BO96" s="8"/>
      <c r="BP96" s="8"/>
      <c r="BQ96" s="8"/>
      <c r="BR96" s="8"/>
      <c r="BS96" s="8"/>
      <c r="BT96" s="8"/>
      <c r="BU96" s="8"/>
      <c r="BV96" s="8"/>
      <c r="BW96" s="8"/>
      <c r="BX96" s="8"/>
      <c r="BY96" s="8"/>
      <c r="BZ96" s="8"/>
      <c r="CA96" s="8"/>
      <c r="CB96" s="8"/>
      <c r="CC96" s="8"/>
      <c r="CD96" s="8"/>
      <c r="CE96" s="8"/>
      <c r="CF96" s="143"/>
      <c r="CG96" s="143"/>
      <c r="CH96" s="143"/>
      <c r="CI96" s="143"/>
      <c r="CJ96" s="143"/>
      <c r="CK96" s="8"/>
      <c r="CL96" s="8"/>
      <c r="CM96" s="8"/>
      <c r="CN96" s="143"/>
      <c r="CO96" s="143"/>
      <c r="CP96" s="143"/>
      <c r="CQ96" s="143"/>
      <c r="CR96" s="143"/>
      <c r="CS96" s="143"/>
    </row>
    <row r="97" s="13" customFormat="1" ht="30" customHeight="1" spans="1:103">
      <c r="A97" s="157">
        <v>46101</v>
      </c>
      <c r="B97" s="129" t="s">
        <v>3729</v>
      </c>
      <c r="C97" s="130" t="s">
        <v>278</v>
      </c>
      <c r="D97" s="8">
        <v>4500197232</v>
      </c>
      <c r="E97" s="130" t="s">
        <v>5361</v>
      </c>
      <c r="F97" s="8" t="s">
        <v>12220</v>
      </c>
      <c r="G97" s="131" t="s">
        <v>6365</v>
      </c>
      <c r="H97" s="131" t="s">
        <v>6126</v>
      </c>
      <c r="I97" s="131">
        <v>5400</v>
      </c>
      <c r="J97" s="131">
        <v>0</v>
      </c>
      <c r="K97" s="131">
        <v>12</v>
      </c>
      <c r="L97" s="132">
        <f t="shared" si="52"/>
        <v>450</v>
      </c>
      <c r="M97" s="133">
        <v>46157</v>
      </c>
      <c r="N97" s="133">
        <v>46153</v>
      </c>
      <c r="O97" s="134"/>
      <c r="P97" s="134" t="s">
        <v>113</v>
      </c>
      <c r="Q97" s="131"/>
      <c r="R97" s="186" t="s">
        <v>463</v>
      </c>
      <c r="S97" s="186" t="s">
        <v>104</v>
      </c>
      <c r="T97" s="186" t="s">
        <v>12221</v>
      </c>
      <c r="U97" s="186"/>
      <c r="V97" s="138" t="s">
        <v>12222</v>
      </c>
      <c r="W97" s="138" t="s">
        <v>3734</v>
      </c>
      <c r="X97" s="197">
        <v>2.1422</v>
      </c>
      <c r="Y97" s="139">
        <f t="shared" si="71"/>
        <v>11567.88</v>
      </c>
      <c r="Z97" s="131"/>
      <c r="AA97" s="131" t="s">
        <v>6368</v>
      </c>
      <c r="AB97" s="131" t="s">
        <v>82</v>
      </c>
      <c r="AC97" s="131"/>
      <c r="AD97" s="131"/>
      <c r="AE97" s="131"/>
      <c r="AF97" s="131">
        <v>5400</v>
      </c>
      <c r="AG97" s="131">
        <f t="shared" si="72"/>
        <v>0</v>
      </c>
      <c r="AH97" s="131"/>
      <c r="AI97" s="131" t="s">
        <v>454</v>
      </c>
      <c r="AJ97" s="131"/>
      <c r="AK97" s="131"/>
      <c r="AL97" s="8">
        <f>I97*2</f>
        <v>10800</v>
      </c>
      <c r="AM97" s="8"/>
      <c r="AN97" s="8"/>
      <c r="AO97" s="143"/>
      <c r="AP97" s="8"/>
      <c r="AQ97" s="8">
        <f>I97*2</f>
        <v>10800</v>
      </c>
      <c r="AR97" s="8"/>
      <c r="AS97" s="9">
        <f>I97*2</f>
        <v>10800</v>
      </c>
      <c r="AT97" s="143"/>
      <c r="AU97" s="8"/>
      <c r="AV97" s="8"/>
      <c r="AW97" s="8"/>
      <c r="AX97" s="8"/>
      <c r="AY97" s="207">
        <f>I97/24*2</f>
        <v>450</v>
      </c>
      <c r="AZ97" s="145"/>
      <c r="BA97" s="9"/>
      <c r="BB97" s="9"/>
      <c r="BC97" s="9"/>
      <c r="BD97" s="9"/>
      <c r="BE97" s="9"/>
      <c r="BF97" s="9"/>
      <c r="BG97" s="9"/>
      <c r="BH97" s="9"/>
      <c r="BI97" s="8"/>
      <c r="BJ97" s="9"/>
      <c r="BK97" s="9"/>
      <c r="BL97" s="9"/>
      <c r="BM97" s="9"/>
      <c r="BN97" s="9"/>
      <c r="BO97" s="9"/>
      <c r="BP97" s="9"/>
      <c r="BQ97" s="9"/>
      <c r="BR97" s="9"/>
      <c r="BS97" s="9"/>
      <c r="BT97" s="143"/>
      <c r="BU97" s="9"/>
      <c r="BV97" s="143"/>
      <c r="BW97" s="9"/>
      <c r="BX97" s="9"/>
      <c r="BY97" s="9"/>
      <c r="BZ97" s="9"/>
      <c r="CA97" s="9"/>
      <c r="CB97" s="9"/>
      <c r="CC97" s="9"/>
      <c r="CD97" s="9"/>
      <c r="CE97" s="9"/>
      <c r="CF97" s="9"/>
      <c r="CG97" s="9"/>
      <c r="CH97" s="9">
        <f>I97</f>
        <v>5400</v>
      </c>
      <c r="CI97" s="9">
        <f>I97</f>
        <v>5400</v>
      </c>
      <c r="CJ97" s="9">
        <f>I97</f>
        <v>5400</v>
      </c>
      <c r="CK97" s="8">
        <f t="shared" si="73"/>
        <v>0</v>
      </c>
      <c r="CL97" s="8">
        <f t="shared" si="65"/>
        <v>0</v>
      </c>
      <c r="CM97" s="8">
        <f t="shared" si="66"/>
        <v>0</v>
      </c>
      <c r="CN97" s="143"/>
      <c r="CO97" s="143"/>
      <c r="CP97" s="143"/>
      <c r="CT97" s="143"/>
      <c r="CU97" s="143"/>
      <c r="CV97" s="143"/>
      <c r="CW97" s="143"/>
      <c r="CX97" s="143"/>
    </row>
    <row r="98" s="13" customFormat="1" ht="30" customHeight="1" spans="1:103">
      <c r="A98" s="157">
        <v>46101</v>
      </c>
      <c r="B98" s="129" t="s">
        <v>3729</v>
      </c>
      <c r="C98" s="130" t="s">
        <v>278</v>
      </c>
      <c r="D98" s="8">
        <v>4500197232</v>
      </c>
      <c r="E98" s="130" t="s">
        <v>5361</v>
      </c>
      <c r="F98" s="8" t="s">
        <v>12216</v>
      </c>
      <c r="G98" s="131" t="s">
        <v>6337</v>
      </c>
      <c r="H98" s="131" t="s">
        <v>477</v>
      </c>
      <c r="I98" s="190">
        <v>1704</v>
      </c>
      <c r="J98" s="131">
        <v>0</v>
      </c>
      <c r="K98" s="131">
        <v>6</v>
      </c>
      <c r="L98" s="132">
        <f t="shared" si="52"/>
        <v>284</v>
      </c>
      <c r="M98" s="133">
        <v>46157</v>
      </c>
      <c r="N98" s="133">
        <v>46153</v>
      </c>
      <c r="O98" s="134"/>
      <c r="P98" s="134" t="s">
        <v>113</v>
      </c>
      <c r="Q98" s="131"/>
      <c r="R98" s="186" t="s">
        <v>463</v>
      </c>
      <c r="S98" s="186" t="s">
        <v>104</v>
      </c>
      <c r="T98" s="186" t="s">
        <v>12221</v>
      </c>
      <c r="U98" s="186"/>
      <c r="V98" s="138" t="s">
        <v>12217</v>
      </c>
      <c r="W98" s="138" t="s">
        <v>3734</v>
      </c>
      <c r="X98" s="197">
        <v>6.8326</v>
      </c>
      <c r="Y98" s="139">
        <f t="shared" si="71"/>
        <v>11642.7504</v>
      </c>
      <c r="Z98" s="131"/>
      <c r="AA98" s="131" t="s">
        <v>480</v>
      </c>
      <c r="AB98" s="131" t="s">
        <v>82</v>
      </c>
      <c r="AC98" s="131"/>
      <c r="AD98" s="131"/>
      <c r="AE98" s="131"/>
      <c r="AF98" s="131">
        <v>1704</v>
      </c>
      <c r="AG98" s="131">
        <f t="shared" si="72"/>
        <v>0</v>
      </c>
      <c r="AH98" s="205">
        <v>46153</v>
      </c>
      <c r="AI98" s="131" t="s">
        <v>2368</v>
      </c>
      <c r="AJ98" s="131"/>
      <c r="AK98" s="131"/>
      <c r="AL98" s="9">
        <f>I98*2</f>
        <v>3408</v>
      </c>
      <c r="AM98" s="8"/>
      <c r="AN98" s="8"/>
      <c r="AO98" s="143"/>
      <c r="AP98" s="8"/>
      <c r="AQ98" s="8">
        <f>I98*2</f>
        <v>3408</v>
      </c>
      <c r="AR98" s="8"/>
      <c r="AS98" s="9">
        <f>I98*2</f>
        <v>3408</v>
      </c>
      <c r="AT98" s="143"/>
      <c r="AU98" s="8"/>
      <c r="AV98" s="8"/>
      <c r="AW98" s="8"/>
      <c r="AX98" s="8"/>
      <c r="AY98" s="207">
        <f>I98/24*2</f>
        <v>142</v>
      </c>
      <c r="AZ98" s="145"/>
      <c r="BA98" s="9"/>
      <c r="BB98" s="9"/>
      <c r="BC98" s="9"/>
      <c r="BD98" s="9"/>
      <c r="BE98" s="9"/>
      <c r="BF98" s="9"/>
      <c r="BG98" s="9"/>
      <c r="BH98" s="9"/>
      <c r="BI98" s="8"/>
      <c r="BJ98" s="9"/>
      <c r="BK98" s="9"/>
      <c r="BL98" s="9"/>
      <c r="BM98" s="9"/>
      <c r="BN98" s="9"/>
      <c r="BO98" s="9"/>
      <c r="BP98" s="9"/>
      <c r="BQ98" s="9"/>
      <c r="BR98" s="9"/>
      <c r="BS98" s="9"/>
      <c r="BT98" s="143"/>
      <c r="BU98" s="8">
        <f>I98</f>
        <v>1704</v>
      </c>
      <c r="BV98" s="143"/>
      <c r="BW98" s="9"/>
      <c r="BX98" s="9"/>
      <c r="BY98" s="9"/>
      <c r="BZ98" s="9"/>
      <c r="CA98" s="9"/>
      <c r="CB98" s="9"/>
      <c r="CC98" s="9"/>
      <c r="CD98" s="9"/>
      <c r="CE98" s="9"/>
      <c r="CF98" s="9"/>
      <c r="CG98" s="9"/>
      <c r="CH98" s="8"/>
      <c r="CI98" s="8"/>
      <c r="CJ98" s="8"/>
      <c r="CK98" s="8">
        <f t="shared" si="73"/>
        <v>0</v>
      </c>
      <c r="CL98" s="8">
        <f t="shared" si="65"/>
        <v>0</v>
      </c>
      <c r="CM98" s="8">
        <f t="shared" si="66"/>
        <v>0</v>
      </c>
      <c r="CN98" s="143"/>
      <c r="CO98" s="143"/>
      <c r="CP98" s="143"/>
      <c r="CT98" s="143"/>
      <c r="CU98" s="143"/>
      <c r="CV98" s="143"/>
      <c r="CW98" s="143"/>
      <c r="CX98" s="143"/>
    </row>
    <row r="99" s="11" customFormat="1" ht="31" customHeight="1" spans="1:103">
      <c r="A99" s="157">
        <v>46161</v>
      </c>
      <c r="B99" s="208" t="s">
        <v>12119</v>
      </c>
      <c r="C99" s="209" t="s">
        <v>98</v>
      </c>
      <c r="D99" s="210" t="s">
        <v>12223</v>
      </c>
      <c r="E99" s="209" t="s">
        <v>12121</v>
      </c>
      <c r="F99" s="210" t="s">
        <v>12224</v>
      </c>
      <c r="G99" s="209" t="s">
        <v>5002</v>
      </c>
      <c r="H99" s="209"/>
      <c r="I99" s="209">
        <v>0</v>
      </c>
      <c r="J99" s="209">
        <v>0</v>
      </c>
      <c r="K99" s="209">
        <v>0</v>
      </c>
      <c r="L99" s="209">
        <v>0</v>
      </c>
      <c r="M99" s="211">
        <v>46217</v>
      </c>
      <c r="N99" s="211">
        <v>46213</v>
      </c>
      <c r="O99" s="212" t="s">
        <v>5006</v>
      </c>
      <c r="P99" s="209" t="s">
        <v>12225</v>
      </c>
      <c r="Q99" s="213"/>
      <c r="R99" s="213">
        <v>46161</v>
      </c>
      <c r="S99" s="213" t="s">
        <v>70</v>
      </c>
      <c r="T99" s="213" t="s">
        <v>5905</v>
      </c>
      <c r="U99" s="213"/>
      <c r="V99" s="208"/>
      <c r="W99" s="208" t="s">
        <v>12226</v>
      </c>
      <c r="X99" s="214" t="s">
        <v>12121</v>
      </c>
      <c r="Y99" s="215"/>
      <c r="Z99" s="214"/>
      <c r="AA99" s="209"/>
      <c r="AB99" s="209"/>
      <c r="AC99" s="209"/>
      <c r="AD99" s="209"/>
      <c r="AE99" s="209"/>
      <c r="AF99" s="209"/>
      <c r="AG99" s="209"/>
      <c r="AH99" s="212"/>
      <c r="AI99" s="209"/>
      <c r="AJ99" s="209"/>
      <c r="AK99" s="210"/>
      <c r="AL99" s="216">
        <f t="shared" ref="AL99:AL108" si="74">I99</f>
        <v>0</v>
      </c>
      <c r="AM99" s="210"/>
      <c r="AN99" s="210"/>
      <c r="AO99" s="210"/>
      <c r="AP99" s="210"/>
      <c r="AQ99" s="210"/>
      <c r="AR99" s="210"/>
      <c r="AS99" s="210"/>
      <c r="AT99" s="210"/>
      <c r="AU99" s="217"/>
      <c r="AV99" s="210"/>
      <c r="AW99" s="210"/>
      <c r="AX99" s="210"/>
      <c r="AY99" s="210"/>
      <c r="AZ99" s="210"/>
      <c r="BA99" s="210"/>
      <c r="BB99" s="210"/>
      <c r="BC99" s="210"/>
      <c r="BD99" s="210"/>
      <c r="BE99" s="210"/>
      <c r="BF99" s="210"/>
      <c r="BG99" s="210"/>
      <c r="BH99" s="210"/>
      <c r="BI99" s="210"/>
      <c r="BJ99" s="210"/>
      <c r="BK99" s="210"/>
      <c r="BL99" s="210"/>
      <c r="BM99" s="218"/>
      <c r="BN99" s="218"/>
      <c r="BO99" s="218"/>
      <c r="BP99" s="218"/>
      <c r="BQ99" s="218"/>
      <c r="BR99" s="218"/>
      <c r="BS99" s="218"/>
      <c r="BT99" s="218"/>
      <c r="BU99" s="218"/>
      <c r="BV99" s="218"/>
      <c r="BW99" s="218"/>
      <c r="BX99" s="218"/>
      <c r="BY99" s="218"/>
      <c r="BZ99" s="218"/>
      <c r="CA99" s="218"/>
      <c r="CB99" s="218"/>
      <c r="CC99" s="218"/>
      <c r="CD99" s="218"/>
      <c r="CE99" s="218"/>
      <c r="CF99" s="219"/>
      <c r="CG99" s="219"/>
      <c r="CH99" s="219"/>
      <c r="CI99" s="219"/>
      <c r="CJ99" s="219"/>
      <c r="CK99" s="218"/>
      <c r="CL99" s="218"/>
      <c r="CM99" s="218"/>
      <c r="CN99" s="219"/>
      <c r="CO99" s="219"/>
      <c r="CP99" s="219"/>
      <c r="CQ99" s="219"/>
      <c r="CR99" s="219"/>
      <c r="CS99" s="219"/>
      <c r="CT99" s="201"/>
    </row>
    <row r="100" s="11" customFormat="1" ht="31" customHeight="1" spans="1:103">
      <c r="A100" s="157">
        <v>46161</v>
      </c>
      <c r="B100" s="208" t="s">
        <v>12119</v>
      </c>
      <c r="C100" s="209" t="s">
        <v>98</v>
      </c>
      <c r="D100" s="210" t="s">
        <v>12223</v>
      </c>
      <c r="E100" s="209" t="s">
        <v>12121</v>
      </c>
      <c r="F100" s="210" t="s">
        <v>12227</v>
      </c>
      <c r="G100" s="209" t="s">
        <v>5002</v>
      </c>
      <c r="H100" s="209"/>
      <c r="I100" s="209">
        <v>0</v>
      </c>
      <c r="J100" s="209">
        <v>0</v>
      </c>
      <c r="K100" s="209">
        <v>0</v>
      </c>
      <c r="L100" s="209">
        <v>0</v>
      </c>
      <c r="M100" s="211">
        <v>46244</v>
      </c>
      <c r="N100" s="211">
        <v>46240</v>
      </c>
      <c r="O100" s="212"/>
      <c r="P100" s="209" t="s">
        <v>12225</v>
      </c>
      <c r="Q100" s="213"/>
      <c r="R100" s="213">
        <v>46161</v>
      </c>
      <c r="S100" s="213" t="s">
        <v>70</v>
      </c>
      <c r="T100" s="213" t="s">
        <v>5905</v>
      </c>
      <c r="U100" s="213"/>
      <c r="V100" s="208"/>
      <c r="W100" s="208" t="s">
        <v>12226</v>
      </c>
      <c r="X100" s="214" t="s">
        <v>12121</v>
      </c>
      <c r="Y100" s="215"/>
      <c r="Z100" s="214"/>
      <c r="AA100" s="209"/>
      <c r="AB100" s="209"/>
      <c r="AC100" s="209"/>
      <c r="AD100" s="209"/>
      <c r="AE100" s="209"/>
      <c r="AF100" s="209"/>
      <c r="AG100" s="209"/>
      <c r="AH100" s="212"/>
      <c r="AI100" s="209"/>
      <c r="AJ100" s="209"/>
      <c r="AK100" s="210"/>
      <c r="AL100" s="210">
        <f t="shared" si="74"/>
        <v>0</v>
      </c>
      <c r="AM100" s="210"/>
      <c r="AN100" s="210"/>
      <c r="AO100" s="210"/>
      <c r="AP100" s="210"/>
      <c r="AQ100" s="210"/>
      <c r="AR100" s="210"/>
      <c r="AS100" s="210"/>
      <c r="AT100" s="210"/>
      <c r="AU100" s="217"/>
      <c r="AV100" s="210"/>
      <c r="AW100" s="210"/>
      <c r="AX100" s="210"/>
      <c r="AY100" s="210"/>
      <c r="AZ100" s="210"/>
      <c r="BA100" s="210"/>
      <c r="BB100" s="210"/>
      <c r="BC100" s="210"/>
      <c r="BD100" s="210"/>
      <c r="BE100" s="210"/>
      <c r="BF100" s="210"/>
      <c r="BG100" s="210"/>
      <c r="BH100" s="210"/>
      <c r="BI100" s="210"/>
      <c r="BJ100" s="210"/>
      <c r="BK100" s="210"/>
      <c r="BL100" s="210"/>
      <c r="BM100" s="218"/>
      <c r="BN100" s="218"/>
      <c r="BO100" s="218"/>
      <c r="BP100" s="218"/>
      <c r="BQ100" s="218"/>
      <c r="BR100" s="218"/>
      <c r="BS100" s="218"/>
      <c r="BT100" s="218"/>
      <c r="BU100" s="218"/>
      <c r="BV100" s="218"/>
      <c r="BW100" s="218"/>
      <c r="BX100" s="218"/>
      <c r="BY100" s="218"/>
      <c r="BZ100" s="218"/>
      <c r="CA100" s="218"/>
      <c r="CB100" s="218"/>
      <c r="CC100" s="218"/>
      <c r="CD100" s="218"/>
      <c r="CE100" s="218"/>
      <c r="CF100" s="219"/>
      <c r="CG100" s="219"/>
      <c r="CH100" s="219"/>
      <c r="CI100" s="219"/>
      <c r="CJ100" s="219"/>
      <c r="CK100" s="218"/>
      <c r="CL100" s="218"/>
      <c r="CM100" s="218"/>
      <c r="CN100" s="219"/>
      <c r="CO100" s="219"/>
      <c r="CP100" s="219"/>
      <c r="CQ100" s="219"/>
      <c r="CR100" s="219"/>
      <c r="CS100" s="219"/>
      <c r="CT100" s="201"/>
    </row>
    <row r="101" s="11" customFormat="1" ht="31" customHeight="1" spans="1:103">
      <c r="A101" s="157">
        <v>46161</v>
      </c>
      <c r="B101" s="208" t="s">
        <v>12119</v>
      </c>
      <c r="C101" s="209" t="s">
        <v>98</v>
      </c>
      <c r="D101" s="210" t="s">
        <v>12223</v>
      </c>
      <c r="E101" s="209" t="s">
        <v>12121</v>
      </c>
      <c r="F101" s="210" t="s">
        <v>12228</v>
      </c>
      <c r="G101" s="209" t="s">
        <v>5002</v>
      </c>
      <c r="H101" s="209"/>
      <c r="I101" s="209">
        <v>0</v>
      </c>
      <c r="J101" s="209">
        <v>0</v>
      </c>
      <c r="K101" s="209">
        <v>0</v>
      </c>
      <c r="L101" s="209">
        <v>0</v>
      </c>
      <c r="M101" s="211">
        <v>46244</v>
      </c>
      <c r="N101" s="211">
        <v>46240</v>
      </c>
      <c r="O101" s="212"/>
      <c r="P101" s="209" t="s">
        <v>12225</v>
      </c>
      <c r="Q101" s="213"/>
      <c r="R101" s="213">
        <v>46161</v>
      </c>
      <c r="S101" s="213" t="s">
        <v>70</v>
      </c>
      <c r="T101" s="213" t="s">
        <v>5905</v>
      </c>
      <c r="U101" s="213"/>
      <c r="V101" s="208"/>
      <c r="W101" s="208" t="s">
        <v>12226</v>
      </c>
      <c r="X101" s="214" t="s">
        <v>12121</v>
      </c>
      <c r="Y101" s="215"/>
      <c r="Z101" s="214"/>
      <c r="AA101" s="209"/>
      <c r="AB101" s="209"/>
      <c r="AC101" s="209"/>
      <c r="AD101" s="209"/>
      <c r="AE101" s="209"/>
      <c r="AF101" s="209"/>
      <c r="AG101" s="209"/>
      <c r="AH101" s="212"/>
      <c r="AI101" s="209"/>
      <c r="AJ101" s="209"/>
      <c r="AK101" s="210"/>
      <c r="AL101" s="210">
        <f t="shared" si="74"/>
        <v>0</v>
      </c>
      <c r="AM101" s="210"/>
      <c r="AN101" s="210"/>
      <c r="AO101" s="210"/>
      <c r="AP101" s="210"/>
      <c r="AQ101" s="210"/>
      <c r="AR101" s="210"/>
      <c r="AS101" s="210"/>
      <c r="AT101" s="210"/>
      <c r="AU101" s="217"/>
      <c r="AV101" s="210"/>
      <c r="AW101" s="210"/>
      <c r="AX101" s="210"/>
      <c r="AY101" s="210"/>
      <c r="AZ101" s="210"/>
      <c r="BA101" s="210"/>
      <c r="BB101" s="210"/>
      <c r="BC101" s="210"/>
      <c r="BD101" s="210"/>
      <c r="BE101" s="210"/>
      <c r="BF101" s="210"/>
      <c r="BG101" s="210"/>
      <c r="BH101" s="210"/>
      <c r="BI101" s="210"/>
      <c r="BJ101" s="210"/>
      <c r="BK101" s="210"/>
      <c r="BL101" s="210"/>
      <c r="BM101" s="218"/>
      <c r="BN101" s="218"/>
      <c r="BO101" s="218"/>
      <c r="BP101" s="218"/>
      <c r="BQ101" s="218"/>
      <c r="BR101" s="218"/>
      <c r="BS101" s="218"/>
      <c r="BT101" s="218"/>
      <c r="BU101" s="218"/>
      <c r="BV101" s="218"/>
      <c r="BW101" s="218"/>
      <c r="BX101" s="218"/>
      <c r="BY101" s="218"/>
      <c r="BZ101" s="218"/>
      <c r="CA101" s="218"/>
      <c r="CB101" s="218"/>
      <c r="CC101" s="218"/>
      <c r="CD101" s="218"/>
      <c r="CE101" s="218"/>
      <c r="CF101" s="219"/>
      <c r="CG101" s="219"/>
      <c r="CH101" s="219"/>
      <c r="CI101" s="219"/>
      <c r="CJ101" s="219"/>
      <c r="CK101" s="218"/>
      <c r="CL101" s="218"/>
      <c r="CM101" s="218"/>
      <c r="CN101" s="219"/>
      <c r="CO101" s="219"/>
      <c r="CP101" s="219"/>
      <c r="CQ101" s="219"/>
      <c r="CR101" s="219"/>
      <c r="CS101" s="219"/>
      <c r="CT101" s="201"/>
    </row>
    <row r="102" s="11" customFormat="1" ht="31" customHeight="1" spans="1:103">
      <c r="A102" s="157">
        <v>46161</v>
      </c>
      <c r="B102" s="208" t="s">
        <v>12119</v>
      </c>
      <c r="C102" s="209" t="s">
        <v>98</v>
      </c>
      <c r="D102" s="210" t="s">
        <v>12223</v>
      </c>
      <c r="E102" s="209" t="s">
        <v>12121</v>
      </c>
      <c r="F102" s="210" t="s">
        <v>12229</v>
      </c>
      <c r="G102" s="209" t="s">
        <v>5002</v>
      </c>
      <c r="H102" s="209"/>
      <c r="I102" s="209">
        <v>0</v>
      </c>
      <c r="J102" s="209">
        <v>0</v>
      </c>
      <c r="K102" s="209">
        <v>0</v>
      </c>
      <c r="L102" s="209">
        <v>0</v>
      </c>
      <c r="M102" s="211">
        <v>46262</v>
      </c>
      <c r="N102" s="211">
        <v>46258</v>
      </c>
      <c r="O102" s="212"/>
      <c r="P102" s="209" t="s">
        <v>12225</v>
      </c>
      <c r="Q102" s="213"/>
      <c r="R102" s="213">
        <v>46161</v>
      </c>
      <c r="S102" s="213" t="s">
        <v>70</v>
      </c>
      <c r="T102" s="213" t="s">
        <v>5905</v>
      </c>
      <c r="U102" s="213"/>
      <c r="V102" s="208"/>
      <c r="W102" s="208" t="s">
        <v>12226</v>
      </c>
      <c r="X102" s="214" t="s">
        <v>12121</v>
      </c>
      <c r="Y102" s="215"/>
      <c r="Z102" s="214"/>
      <c r="AA102" s="209"/>
      <c r="AB102" s="209"/>
      <c r="AC102" s="209"/>
      <c r="AD102" s="209"/>
      <c r="AE102" s="209"/>
      <c r="AF102" s="209"/>
      <c r="AG102" s="209"/>
      <c r="AH102" s="212">
        <f t="shared" ref="AH102:AH104" si="75">AG102-I102</f>
        <v>0</v>
      </c>
      <c r="AI102" s="209"/>
      <c r="AJ102" s="209"/>
      <c r="AK102" s="210"/>
      <c r="AL102" s="218">
        <f t="shared" si="74"/>
        <v>0</v>
      </c>
      <c r="AM102" s="210"/>
      <c r="AN102" s="210"/>
      <c r="AO102" s="210"/>
      <c r="AP102" s="210"/>
      <c r="AQ102" s="210"/>
      <c r="AR102" s="210"/>
      <c r="AS102" s="210"/>
      <c r="AT102" s="210"/>
      <c r="AU102" s="217"/>
      <c r="AV102" s="210"/>
      <c r="AW102" s="210"/>
      <c r="AX102" s="210"/>
      <c r="AY102" s="210"/>
      <c r="AZ102" s="210"/>
      <c r="BA102" s="210"/>
      <c r="BB102" s="210"/>
      <c r="BC102" s="210"/>
      <c r="BD102" s="210"/>
      <c r="BE102" s="210"/>
      <c r="BF102" s="210"/>
      <c r="BG102" s="210"/>
      <c r="BH102" s="210"/>
      <c r="BI102" s="210"/>
      <c r="BJ102" s="210"/>
      <c r="BK102" s="210"/>
      <c r="BL102" s="210"/>
      <c r="BM102" s="218"/>
      <c r="BN102" s="218"/>
      <c r="BO102" s="218"/>
      <c r="BP102" s="218"/>
      <c r="BQ102" s="218"/>
      <c r="BR102" s="218"/>
      <c r="BS102" s="218"/>
      <c r="BT102" s="218"/>
      <c r="BU102" s="218"/>
      <c r="BV102" s="218"/>
      <c r="BW102" s="218"/>
      <c r="BX102" s="218"/>
      <c r="BY102" s="218"/>
      <c r="BZ102" s="218"/>
      <c r="CA102" s="218"/>
      <c r="CB102" s="218"/>
      <c r="CC102" s="218"/>
      <c r="CD102" s="218"/>
      <c r="CE102" s="218"/>
      <c r="CF102" s="219"/>
      <c r="CG102" s="219"/>
      <c r="CH102" s="219"/>
      <c r="CI102" s="219"/>
      <c r="CJ102" s="219"/>
      <c r="CK102" s="218"/>
      <c r="CL102" s="218"/>
      <c r="CM102" s="218"/>
      <c r="CN102" s="219"/>
      <c r="CO102" s="219"/>
      <c r="CP102" s="219"/>
      <c r="CQ102" s="219"/>
      <c r="CR102" s="219"/>
      <c r="CS102" s="219"/>
      <c r="CT102" s="201"/>
    </row>
    <row r="103" s="11" customFormat="1" ht="31" customHeight="1" spans="1:103">
      <c r="A103" s="157">
        <v>46161</v>
      </c>
      <c r="B103" s="208" t="s">
        <v>12119</v>
      </c>
      <c r="C103" s="209" t="s">
        <v>98</v>
      </c>
      <c r="D103" s="210" t="s">
        <v>12223</v>
      </c>
      <c r="E103" s="209" t="s">
        <v>12121</v>
      </c>
      <c r="F103" s="210" t="s">
        <v>12230</v>
      </c>
      <c r="G103" s="209" t="s">
        <v>5002</v>
      </c>
      <c r="H103" s="209"/>
      <c r="I103" s="209">
        <v>0</v>
      </c>
      <c r="J103" s="209">
        <v>0</v>
      </c>
      <c r="K103" s="209">
        <v>0</v>
      </c>
      <c r="L103" s="209">
        <v>0</v>
      </c>
      <c r="M103" s="211">
        <v>46262</v>
      </c>
      <c r="N103" s="211">
        <v>46258</v>
      </c>
      <c r="O103" s="212"/>
      <c r="P103" s="209" t="s">
        <v>12225</v>
      </c>
      <c r="Q103" s="213"/>
      <c r="R103" s="213">
        <v>46161</v>
      </c>
      <c r="S103" s="213" t="s">
        <v>70</v>
      </c>
      <c r="T103" s="213" t="s">
        <v>5905</v>
      </c>
      <c r="U103" s="213"/>
      <c r="V103" s="208"/>
      <c r="W103" s="208" t="s">
        <v>12226</v>
      </c>
      <c r="X103" s="214" t="s">
        <v>12121</v>
      </c>
      <c r="Y103" s="215"/>
      <c r="Z103" s="214"/>
      <c r="AA103" s="209"/>
      <c r="AB103" s="209"/>
      <c r="AC103" s="209"/>
      <c r="AD103" s="209"/>
      <c r="AE103" s="209"/>
      <c r="AF103" s="209"/>
      <c r="AG103" s="209"/>
      <c r="AH103" s="212">
        <f t="shared" si="75"/>
        <v>0</v>
      </c>
      <c r="AI103" s="209"/>
      <c r="AJ103" s="209"/>
      <c r="AK103" s="210"/>
      <c r="AL103" s="218">
        <f t="shared" si="74"/>
        <v>0</v>
      </c>
      <c r="AM103" s="210"/>
      <c r="AN103" s="210"/>
      <c r="AO103" s="210"/>
      <c r="AP103" s="210"/>
      <c r="AQ103" s="210"/>
      <c r="AR103" s="210"/>
      <c r="AS103" s="210"/>
      <c r="AT103" s="210"/>
      <c r="AU103" s="217"/>
      <c r="AV103" s="210"/>
      <c r="AW103" s="210"/>
      <c r="AX103" s="210"/>
      <c r="AY103" s="210"/>
      <c r="AZ103" s="210"/>
      <c r="BA103" s="210"/>
      <c r="BB103" s="210"/>
      <c r="BC103" s="210"/>
      <c r="BD103" s="210"/>
      <c r="BE103" s="210"/>
      <c r="BF103" s="210"/>
      <c r="BG103" s="210"/>
      <c r="BH103" s="210"/>
      <c r="BI103" s="210"/>
      <c r="BJ103" s="210"/>
      <c r="BK103" s="210"/>
      <c r="BL103" s="210"/>
      <c r="BM103" s="218"/>
      <c r="BN103" s="218"/>
      <c r="BO103" s="218"/>
      <c r="BP103" s="218"/>
      <c r="BQ103" s="218"/>
      <c r="BR103" s="218"/>
      <c r="BS103" s="218"/>
      <c r="BT103" s="218"/>
      <c r="BU103" s="218"/>
      <c r="BV103" s="218"/>
      <c r="BW103" s="218"/>
      <c r="BX103" s="218"/>
      <c r="BY103" s="218"/>
      <c r="BZ103" s="218"/>
      <c r="CA103" s="218"/>
      <c r="CB103" s="218"/>
      <c r="CC103" s="218"/>
      <c r="CD103" s="218"/>
      <c r="CE103" s="218"/>
      <c r="CF103" s="219"/>
      <c r="CG103" s="219"/>
      <c r="CH103" s="219"/>
      <c r="CI103" s="219"/>
      <c r="CJ103" s="219"/>
      <c r="CK103" s="218"/>
      <c r="CL103" s="218"/>
      <c r="CM103" s="218"/>
      <c r="CN103" s="219"/>
      <c r="CO103" s="219"/>
      <c r="CP103" s="219"/>
      <c r="CQ103" s="219"/>
      <c r="CR103" s="219"/>
      <c r="CS103" s="219"/>
      <c r="CT103" s="201"/>
    </row>
    <row r="104" s="11" customFormat="1" ht="31" customHeight="1" spans="1:103">
      <c r="A104" s="157">
        <v>46161</v>
      </c>
      <c r="B104" s="208" t="s">
        <v>12119</v>
      </c>
      <c r="C104" s="209" t="s">
        <v>98</v>
      </c>
      <c r="D104" s="210" t="s">
        <v>12223</v>
      </c>
      <c r="E104" s="209" t="s">
        <v>12121</v>
      </c>
      <c r="F104" s="210" t="s">
        <v>12231</v>
      </c>
      <c r="G104" s="209" t="s">
        <v>5002</v>
      </c>
      <c r="H104" s="209"/>
      <c r="I104" s="209">
        <v>0</v>
      </c>
      <c r="J104" s="209">
        <v>0</v>
      </c>
      <c r="K104" s="209">
        <v>0</v>
      </c>
      <c r="L104" s="209">
        <v>0</v>
      </c>
      <c r="M104" s="211">
        <v>46265</v>
      </c>
      <c r="N104" s="211">
        <v>46261</v>
      </c>
      <c r="O104" s="212"/>
      <c r="P104" s="209" t="s">
        <v>12225</v>
      </c>
      <c r="Q104" s="213"/>
      <c r="R104" s="213">
        <v>46161</v>
      </c>
      <c r="S104" s="213" t="s">
        <v>70</v>
      </c>
      <c r="T104" s="213" t="s">
        <v>5905</v>
      </c>
      <c r="U104" s="213"/>
      <c r="V104" s="208"/>
      <c r="W104" s="208" t="s">
        <v>12226</v>
      </c>
      <c r="X104" s="214" t="s">
        <v>12121</v>
      </c>
      <c r="Y104" s="215"/>
      <c r="Z104" s="214"/>
      <c r="AA104" s="209"/>
      <c r="AB104" s="209"/>
      <c r="AC104" s="209"/>
      <c r="AD104" s="209"/>
      <c r="AE104" s="209"/>
      <c r="AF104" s="209"/>
      <c r="AG104" s="209"/>
      <c r="AH104" s="212">
        <f t="shared" si="75"/>
        <v>0</v>
      </c>
      <c r="AI104" s="209"/>
      <c r="AJ104" s="209"/>
      <c r="AK104" s="210"/>
      <c r="AL104" s="210">
        <f t="shared" si="74"/>
        <v>0</v>
      </c>
      <c r="AM104" s="210"/>
      <c r="AN104" s="210"/>
      <c r="AO104" s="210"/>
      <c r="AP104" s="210"/>
      <c r="AQ104" s="210"/>
      <c r="AR104" s="210"/>
      <c r="AS104" s="210"/>
      <c r="AT104" s="210"/>
      <c r="AU104" s="217"/>
      <c r="AV104" s="210"/>
      <c r="AW104" s="210"/>
      <c r="AX104" s="210"/>
      <c r="AY104" s="210"/>
      <c r="AZ104" s="210"/>
      <c r="BA104" s="210"/>
      <c r="BB104" s="210"/>
      <c r="BC104" s="210"/>
      <c r="BD104" s="210"/>
      <c r="BE104" s="210"/>
      <c r="BF104" s="210"/>
      <c r="BG104" s="210"/>
      <c r="BH104" s="210"/>
      <c r="BI104" s="210"/>
      <c r="BJ104" s="210"/>
      <c r="BK104" s="210"/>
      <c r="BL104" s="210"/>
      <c r="BM104" s="218"/>
      <c r="BN104" s="218"/>
      <c r="BO104" s="218"/>
      <c r="BP104" s="218"/>
      <c r="BQ104" s="218"/>
      <c r="BR104" s="218"/>
      <c r="BS104" s="218"/>
      <c r="BT104" s="218"/>
      <c r="BU104" s="218"/>
      <c r="BV104" s="218"/>
      <c r="BW104" s="218"/>
      <c r="BX104" s="218"/>
      <c r="BY104" s="218"/>
      <c r="BZ104" s="218"/>
      <c r="CA104" s="218"/>
      <c r="CB104" s="218"/>
      <c r="CC104" s="218"/>
      <c r="CD104" s="218"/>
      <c r="CE104" s="218"/>
      <c r="CF104" s="219"/>
      <c r="CG104" s="219"/>
      <c r="CH104" s="219"/>
      <c r="CI104" s="219"/>
      <c r="CJ104" s="219"/>
      <c r="CK104" s="218"/>
      <c r="CL104" s="218"/>
      <c r="CM104" s="218"/>
      <c r="CN104" s="219"/>
      <c r="CO104" s="219"/>
      <c r="CP104" s="219"/>
      <c r="CQ104" s="219"/>
      <c r="CR104" s="219"/>
      <c r="CS104" s="219"/>
      <c r="CT104" s="201"/>
    </row>
    <row r="105" s="11" customFormat="1" ht="31" customHeight="1" spans="1:103">
      <c r="A105" s="157">
        <v>46161</v>
      </c>
      <c r="B105" s="208" t="s">
        <v>12119</v>
      </c>
      <c r="C105" s="209" t="s">
        <v>98</v>
      </c>
      <c r="D105" s="210" t="s">
        <v>12223</v>
      </c>
      <c r="E105" s="209" t="s">
        <v>12121</v>
      </c>
      <c r="F105" s="210" t="s">
        <v>12232</v>
      </c>
      <c r="G105" s="209" t="s">
        <v>5002</v>
      </c>
      <c r="H105" s="209"/>
      <c r="I105" s="209">
        <v>0</v>
      </c>
      <c r="J105" s="209">
        <v>0</v>
      </c>
      <c r="K105" s="209">
        <v>0</v>
      </c>
      <c r="L105" s="209">
        <v>0</v>
      </c>
      <c r="M105" s="211">
        <v>46266</v>
      </c>
      <c r="N105" s="211">
        <v>46262</v>
      </c>
      <c r="O105" s="212"/>
      <c r="P105" s="209" t="s">
        <v>12225</v>
      </c>
      <c r="Q105" s="213"/>
      <c r="R105" s="213">
        <v>46161</v>
      </c>
      <c r="S105" s="213" t="s">
        <v>70</v>
      </c>
      <c r="T105" s="213" t="s">
        <v>5905</v>
      </c>
      <c r="U105" s="213"/>
      <c r="V105" s="208"/>
      <c r="W105" s="208" t="s">
        <v>12226</v>
      </c>
      <c r="X105" s="214" t="s">
        <v>12121</v>
      </c>
      <c r="Y105" s="215"/>
      <c r="Z105" s="214"/>
      <c r="AA105" s="209"/>
      <c r="AB105" s="209"/>
      <c r="AC105" s="209"/>
      <c r="AD105" s="209"/>
      <c r="AE105" s="209"/>
      <c r="AF105" s="209"/>
      <c r="AG105" s="209"/>
      <c r="AH105" s="212"/>
      <c r="AI105" s="209"/>
      <c r="AJ105" s="209"/>
      <c r="AK105" s="210"/>
      <c r="AL105" s="210">
        <f t="shared" si="74"/>
        <v>0</v>
      </c>
      <c r="AM105" s="210"/>
      <c r="AN105" s="210"/>
      <c r="AO105" s="210"/>
      <c r="AP105" s="210"/>
      <c r="AQ105" s="210"/>
      <c r="AR105" s="210"/>
      <c r="AS105" s="210"/>
      <c r="AT105" s="210"/>
      <c r="AU105" s="217"/>
      <c r="AV105" s="210"/>
      <c r="AW105" s="210"/>
      <c r="AX105" s="210"/>
      <c r="AY105" s="210"/>
      <c r="AZ105" s="210"/>
      <c r="BA105" s="210"/>
      <c r="BB105" s="210"/>
      <c r="BC105" s="210"/>
      <c r="BD105" s="210"/>
      <c r="BE105" s="210"/>
      <c r="BF105" s="210"/>
      <c r="BG105" s="210"/>
      <c r="BH105" s="210"/>
      <c r="BI105" s="210"/>
      <c r="BJ105" s="210"/>
      <c r="BK105" s="210"/>
      <c r="BL105" s="210"/>
      <c r="BM105" s="218"/>
      <c r="BN105" s="218"/>
      <c r="BO105" s="218"/>
      <c r="BP105" s="218"/>
      <c r="BQ105" s="218"/>
      <c r="BR105" s="218"/>
      <c r="BS105" s="218"/>
      <c r="BT105" s="218"/>
      <c r="BU105" s="218"/>
      <c r="BV105" s="218"/>
      <c r="BW105" s="218"/>
      <c r="BX105" s="218"/>
      <c r="BY105" s="218"/>
      <c r="BZ105" s="218"/>
      <c r="CA105" s="218"/>
      <c r="CB105" s="218"/>
      <c r="CC105" s="218"/>
      <c r="CD105" s="218"/>
      <c r="CE105" s="218"/>
      <c r="CF105" s="219"/>
      <c r="CG105" s="219"/>
      <c r="CH105" s="219"/>
      <c r="CI105" s="219"/>
      <c r="CJ105" s="219"/>
      <c r="CK105" s="218"/>
      <c r="CL105" s="218"/>
      <c r="CM105" s="218"/>
      <c r="CN105" s="219"/>
      <c r="CO105" s="219"/>
      <c r="CP105" s="219"/>
      <c r="CQ105" s="219"/>
      <c r="CR105" s="219"/>
      <c r="CS105" s="219"/>
      <c r="CT105" s="201"/>
    </row>
    <row r="106" s="11" customFormat="1" ht="31" customHeight="1" spans="1:103">
      <c r="A106" s="157">
        <v>46161</v>
      </c>
      <c r="B106" s="208" t="s">
        <v>12119</v>
      </c>
      <c r="C106" s="209" t="s">
        <v>98</v>
      </c>
      <c r="D106" s="210" t="s">
        <v>12223</v>
      </c>
      <c r="E106" s="209" t="s">
        <v>12121</v>
      </c>
      <c r="F106" s="210" t="s">
        <v>12233</v>
      </c>
      <c r="G106" s="209" t="s">
        <v>5002</v>
      </c>
      <c r="H106" s="209"/>
      <c r="I106" s="209">
        <v>0</v>
      </c>
      <c r="J106" s="209">
        <v>0</v>
      </c>
      <c r="K106" s="209">
        <v>0</v>
      </c>
      <c r="L106" s="209">
        <v>0</v>
      </c>
      <c r="M106" s="211">
        <v>46269</v>
      </c>
      <c r="N106" s="211">
        <v>46265</v>
      </c>
      <c r="O106" s="212"/>
      <c r="P106" s="209" t="s">
        <v>12225</v>
      </c>
      <c r="Q106" s="213"/>
      <c r="R106" s="213">
        <v>46161</v>
      </c>
      <c r="S106" s="213" t="s">
        <v>70</v>
      </c>
      <c r="T106" s="213" t="s">
        <v>5905</v>
      </c>
      <c r="U106" s="213"/>
      <c r="V106" s="208"/>
      <c r="W106" s="208" t="s">
        <v>12226</v>
      </c>
      <c r="X106" s="214" t="s">
        <v>12121</v>
      </c>
      <c r="Y106" s="215"/>
      <c r="Z106" s="214"/>
      <c r="AA106" s="209"/>
      <c r="AB106" s="209"/>
      <c r="AC106" s="209"/>
      <c r="AD106" s="209"/>
      <c r="AE106" s="209"/>
      <c r="AF106" s="209"/>
      <c r="AG106" s="209"/>
      <c r="AH106" s="212"/>
      <c r="AI106" s="209"/>
      <c r="AJ106" s="209"/>
      <c r="AK106" s="210"/>
      <c r="AL106" s="210">
        <f t="shared" si="74"/>
        <v>0</v>
      </c>
      <c r="AM106" s="210"/>
      <c r="AN106" s="210"/>
      <c r="AO106" s="210"/>
      <c r="AP106" s="210"/>
      <c r="AQ106" s="210"/>
      <c r="AR106" s="210"/>
      <c r="AS106" s="210"/>
      <c r="AT106" s="210"/>
      <c r="AU106" s="217"/>
      <c r="AV106" s="210"/>
      <c r="AW106" s="210"/>
      <c r="AX106" s="210"/>
      <c r="AY106" s="210"/>
      <c r="AZ106" s="210"/>
      <c r="BA106" s="210"/>
      <c r="BB106" s="210"/>
      <c r="BC106" s="210"/>
      <c r="BD106" s="210"/>
      <c r="BE106" s="210"/>
      <c r="BF106" s="210"/>
      <c r="BG106" s="210"/>
      <c r="BH106" s="210"/>
      <c r="BI106" s="210"/>
      <c r="BJ106" s="210"/>
      <c r="BK106" s="210"/>
      <c r="BL106" s="210"/>
      <c r="BM106" s="218"/>
      <c r="BN106" s="218"/>
      <c r="BO106" s="218"/>
      <c r="BP106" s="218"/>
      <c r="BQ106" s="218"/>
      <c r="BR106" s="218"/>
      <c r="BS106" s="218"/>
      <c r="BT106" s="218"/>
      <c r="BU106" s="218"/>
      <c r="BV106" s="218"/>
      <c r="BW106" s="218"/>
      <c r="BX106" s="218"/>
      <c r="BY106" s="218"/>
      <c r="BZ106" s="218"/>
      <c r="CA106" s="218"/>
      <c r="CB106" s="218"/>
      <c r="CC106" s="218"/>
      <c r="CD106" s="218"/>
      <c r="CE106" s="218"/>
      <c r="CF106" s="219"/>
      <c r="CG106" s="219"/>
      <c r="CH106" s="219"/>
      <c r="CI106" s="219"/>
      <c r="CJ106" s="219"/>
      <c r="CK106" s="218"/>
      <c r="CL106" s="218"/>
      <c r="CM106" s="218"/>
      <c r="CN106" s="219"/>
      <c r="CO106" s="219"/>
      <c r="CP106" s="219"/>
      <c r="CQ106" s="219"/>
      <c r="CR106" s="219"/>
      <c r="CS106" s="219"/>
      <c r="CT106" s="201"/>
    </row>
    <row r="107" s="11" customFormat="1" ht="31" customHeight="1" spans="1:103">
      <c r="A107" s="157">
        <v>46161</v>
      </c>
      <c r="B107" s="208" t="s">
        <v>12119</v>
      </c>
      <c r="C107" s="209" t="s">
        <v>98</v>
      </c>
      <c r="D107" s="210" t="s">
        <v>12223</v>
      </c>
      <c r="E107" s="209" t="s">
        <v>12121</v>
      </c>
      <c r="F107" s="210" t="s">
        <v>12234</v>
      </c>
      <c r="G107" s="209" t="s">
        <v>5002</v>
      </c>
      <c r="H107" s="209"/>
      <c r="I107" s="209">
        <v>0</v>
      </c>
      <c r="J107" s="209">
        <v>0</v>
      </c>
      <c r="K107" s="209">
        <v>0</v>
      </c>
      <c r="L107" s="209">
        <v>0</v>
      </c>
      <c r="M107" s="211">
        <v>46279</v>
      </c>
      <c r="N107" s="211">
        <v>46275</v>
      </c>
      <c r="O107" s="212"/>
      <c r="P107" s="209" t="s">
        <v>12225</v>
      </c>
      <c r="Q107" s="213"/>
      <c r="R107" s="213">
        <v>46161</v>
      </c>
      <c r="S107" s="213" t="s">
        <v>70</v>
      </c>
      <c r="T107" s="213" t="s">
        <v>5905</v>
      </c>
      <c r="U107" s="213"/>
      <c r="V107" s="208"/>
      <c r="W107" s="208" t="s">
        <v>12226</v>
      </c>
      <c r="X107" s="214" t="s">
        <v>12121</v>
      </c>
      <c r="Y107" s="215"/>
      <c r="Z107" s="214"/>
      <c r="AA107" s="209"/>
      <c r="AB107" s="209"/>
      <c r="AC107" s="209"/>
      <c r="AD107" s="209"/>
      <c r="AE107" s="209"/>
      <c r="AF107" s="209"/>
      <c r="AG107" s="209"/>
      <c r="AH107" s="212"/>
      <c r="AI107" s="209"/>
      <c r="AJ107" s="209"/>
      <c r="AK107" s="210"/>
      <c r="AL107" s="210">
        <f t="shared" si="74"/>
        <v>0</v>
      </c>
      <c r="AM107" s="210"/>
      <c r="AN107" s="210"/>
      <c r="AO107" s="210"/>
      <c r="AP107" s="210"/>
      <c r="AQ107" s="210"/>
      <c r="AR107" s="210"/>
      <c r="AS107" s="210"/>
      <c r="AT107" s="210"/>
      <c r="AU107" s="217"/>
      <c r="AV107" s="210"/>
      <c r="AW107" s="210"/>
      <c r="AX107" s="210"/>
      <c r="AY107" s="210"/>
      <c r="AZ107" s="210"/>
      <c r="BA107" s="210"/>
      <c r="BB107" s="210"/>
      <c r="BC107" s="210"/>
      <c r="BD107" s="210"/>
      <c r="BE107" s="210"/>
      <c r="BF107" s="210"/>
      <c r="BG107" s="210"/>
      <c r="BH107" s="210"/>
      <c r="BI107" s="210"/>
      <c r="BJ107" s="210"/>
      <c r="BK107" s="210"/>
      <c r="BL107" s="210"/>
      <c r="BM107" s="218"/>
      <c r="BN107" s="218"/>
      <c r="BO107" s="218"/>
      <c r="BP107" s="218"/>
      <c r="BQ107" s="218"/>
      <c r="BR107" s="218"/>
      <c r="BS107" s="218"/>
      <c r="BT107" s="218"/>
      <c r="BU107" s="218"/>
      <c r="BV107" s="218"/>
      <c r="BW107" s="218"/>
      <c r="BX107" s="218"/>
      <c r="BY107" s="218"/>
      <c r="BZ107" s="218"/>
      <c r="CA107" s="218"/>
      <c r="CB107" s="218"/>
      <c r="CC107" s="218"/>
      <c r="CD107" s="218"/>
      <c r="CE107" s="218"/>
      <c r="CF107" s="219"/>
      <c r="CG107" s="219"/>
      <c r="CH107" s="219"/>
      <c r="CI107" s="219"/>
      <c r="CJ107" s="219"/>
      <c r="CK107" s="218"/>
      <c r="CL107" s="218"/>
      <c r="CM107" s="218"/>
      <c r="CN107" s="219"/>
      <c r="CO107" s="219"/>
      <c r="CP107" s="219"/>
      <c r="CQ107" s="219"/>
      <c r="CR107" s="219"/>
      <c r="CS107" s="219"/>
      <c r="CT107" s="201"/>
    </row>
    <row r="108" s="11" customFormat="1" ht="31" customHeight="1" spans="1:103">
      <c r="A108" s="157">
        <v>46161</v>
      </c>
      <c r="B108" s="208" t="s">
        <v>12119</v>
      </c>
      <c r="C108" s="209" t="s">
        <v>98</v>
      </c>
      <c r="D108" s="210" t="s">
        <v>12223</v>
      </c>
      <c r="E108" s="209" t="s">
        <v>12121</v>
      </c>
      <c r="F108" s="210" t="s">
        <v>12235</v>
      </c>
      <c r="G108" s="209" t="s">
        <v>5002</v>
      </c>
      <c r="H108" s="209"/>
      <c r="I108" s="209">
        <v>0</v>
      </c>
      <c r="J108" s="209">
        <v>0</v>
      </c>
      <c r="K108" s="209">
        <v>0</v>
      </c>
      <c r="L108" s="209">
        <v>0</v>
      </c>
      <c r="M108" s="211">
        <v>46281</v>
      </c>
      <c r="N108" s="211">
        <v>46277</v>
      </c>
      <c r="O108" s="212"/>
      <c r="P108" s="209" t="s">
        <v>12225</v>
      </c>
      <c r="Q108" s="213"/>
      <c r="R108" s="213">
        <v>46161</v>
      </c>
      <c r="S108" s="213" t="s">
        <v>70</v>
      </c>
      <c r="T108" s="213" t="s">
        <v>5905</v>
      </c>
      <c r="U108" s="213"/>
      <c r="V108" s="208"/>
      <c r="W108" s="208" t="s">
        <v>12226</v>
      </c>
      <c r="X108" s="214" t="s">
        <v>12121</v>
      </c>
      <c r="Y108" s="215"/>
      <c r="Z108" s="214"/>
      <c r="AA108" s="209"/>
      <c r="AB108" s="209"/>
      <c r="AC108" s="209"/>
      <c r="AD108" s="209"/>
      <c r="AE108" s="209"/>
      <c r="AF108" s="209"/>
      <c r="AG108" s="209"/>
      <c r="AH108" s="212"/>
      <c r="AI108" s="209"/>
      <c r="AJ108" s="209"/>
      <c r="AK108" s="210"/>
      <c r="AL108" s="210">
        <f t="shared" si="74"/>
        <v>0</v>
      </c>
      <c r="AM108" s="210"/>
      <c r="AN108" s="210"/>
      <c r="AO108" s="210"/>
      <c r="AP108" s="210"/>
      <c r="AQ108" s="210"/>
      <c r="AR108" s="210"/>
      <c r="AS108" s="210"/>
      <c r="AT108" s="210"/>
      <c r="AU108" s="217"/>
      <c r="AV108" s="210"/>
      <c r="AW108" s="210"/>
      <c r="AX108" s="210"/>
      <c r="AY108" s="210"/>
      <c r="AZ108" s="210"/>
      <c r="BA108" s="210"/>
      <c r="BB108" s="210"/>
      <c r="BC108" s="210"/>
      <c r="BD108" s="210"/>
      <c r="BE108" s="210"/>
      <c r="BF108" s="210"/>
      <c r="BG108" s="210"/>
      <c r="BH108" s="210"/>
      <c r="BI108" s="210"/>
      <c r="BJ108" s="210"/>
      <c r="BK108" s="210"/>
      <c r="BL108" s="210"/>
      <c r="BM108" s="218"/>
      <c r="BN108" s="218"/>
      <c r="BO108" s="218"/>
      <c r="BP108" s="218"/>
      <c r="BQ108" s="218"/>
      <c r="BR108" s="218"/>
      <c r="BS108" s="218"/>
      <c r="BT108" s="218"/>
      <c r="BU108" s="218"/>
      <c r="BV108" s="218"/>
      <c r="BW108" s="218"/>
      <c r="BX108" s="218"/>
      <c r="BY108" s="218"/>
      <c r="BZ108" s="218"/>
      <c r="CA108" s="218"/>
      <c r="CB108" s="218"/>
      <c r="CC108" s="218"/>
      <c r="CD108" s="218"/>
      <c r="CE108" s="218"/>
      <c r="CF108" s="219"/>
      <c r="CG108" s="219"/>
      <c r="CH108" s="219"/>
      <c r="CI108" s="219"/>
      <c r="CJ108" s="219"/>
      <c r="CK108" s="218"/>
      <c r="CL108" s="218"/>
      <c r="CM108" s="218"/>
      <c r="CN108" s="219"/>
      <c r="CO108" s="219"/>
      <c r="CP108" s="219"/>
      <c r="CQ108" s="219"/>
      <c r="CR108" s="219"/>
      <c r="CS108" s="219"/>
      <c r="CT108" s="201"/>
    </row>
    <row r="109" s="13" customFormat="1" ht="31" customHeight="1" spans="1:103">
      <c r="A109" s="157">
        <v>46161</v>
      </c>
      <c r="B109" s="208" t="s">
        <v>12119</v>
      </c>
      <c r="C109" s="209" t="s">
        <v>98</v>
      </c>
      <c r="D109" s="210" t="s">
        <v>12223</v>
      </c>
      <c r="E109" s="209" t="s">
        <v>12121</v>
      </c>
      <c r="F109" s="210" t="s">
        <v>12224</v>
      </c>
      <c r="G109" s="209" t="s">
        <v>10273</v>
      </c>
      <c r="H109" s="209"/>
      <c r="I109" s="209">
        <v>0</v>
      </c>
      <c r="J109" s="209">
        <v>0</v>
      </c>
      <c r="K109" s="209">
        <v>0</v>
      </c>
      <c r="L109" s="209">
        <v>0</v>
      </c>
      <c r="M109" s="211">
        <v>46217</v>
      </c>
      <c r="N109" s="211">
        <v>46213</v>
      </c>
      <c r="O109" s="212" t="s">
        <v>12236</v>
      </c>
      <c r="P109" s="209" t="s">
        <v>12225</v>
      </c>
      <c r="Q109" s="213"/>
      <c r="R109" s="213">
        <v>46161</v>
      </c>
      <c r="S109" s="213" t="s">
        <v>70</v>
      </c>
      <c r="T109" s="213" t="s">
        <v>5905</v>
      </c>
      <c r="U109" s="213"/>
      <c r="V109" s="208" t="s">
        <v>12226</v>
      </c>
      <c r="W109" s="214" t="s">
        <v>12121</v>
      </c>
      <c r="X109" s="208"/>
      <c r="Y109" s="214"/>
      <c r="Z109" s="210"/>
      <c r="AA109" s="208"/>
      <c r="AB109" s="209"/>
      <c r="AC109" s="209"/>
      <c r="AD109" s="209"/>
      <c r="AE109" s="208"/>
      <c r="AF109" s="209"/>
      <c r="AG109" s="209"/>
      <c r="AH109" s="212"/>
      <c r="AI109" s="209"/>
      <c r="AJ109" s="209"/>
      <c r="AK109" s="210"/>
      <c r="AL109" s="210"/>
      <c r="AM109" s="210"/>
      <c r="AN109" s="210"/>
      <c r="AO109" s="220"/>
      <c r="AP109" s="210"/>
      <c r="AQ109" s="210"/>
      <c r="AR109" s="210"/>
      <c r="AS109" s="210"/>
      <c r="AT109" s="210"/>
      <c r="AU109" s="217"/>
      <c r="AV109" s="210"/>
      <c r="AW109" s="210"/>
      <c r="AX109" s="210"/>
      <c r="AY109" s="221"/>
      <c r="AZ109" s="210"/>
      <c r="BA109" s="210"/>
      <c r="BB109" s="210"/>
      <c r="BC109" s="210"/>
      <c r="BD109" s="210"/>
      <c r="BE109" s="210"/>
      <c r="BF109" s="210"/>
      <c r="BG109" s="210"/>
      <c r="BH109" s="210"/>
      <c r="BI109" s="210"/>
      <c r="BJ109" s="210"/>
      <c r="BK109" s="210"/>
      <c r="BL109" s="210"/>
      <c r="BM109" s="210"/>
      <c r="BN109" s="210"/>
      <c r="BO109" s="210"/>
      <c r="BP109" s="210"/>
      <c r="BQ109" s="210"/>
      <c r="BR109" s="210"/>
      <c r="BS109" s="210"/>
      <c r="BT109" s="210"/>
      <c r="BU109" s="210"/>
      <c r="BV109" s="210"/>
      <c r="BW109" s="210"/>
      <c r="BX109" s="210"/>
      <c r="BY109" s="210"/>
      <c r="BZ109" s="210"/>
      <c r="CA109" s="210"/>
      <c r="CB109" s="210"/>
      <c r="CC109" s="210"/>
      <c r="CD109" s="210"/>
      <c r="CE109" s="210"/>
      <c r="CF109" s="220"/>
      <c r="CG109" s="220"/>
      <c r="CH109" s="210"/>
      <c r="CI109" s="210"/>
      <c r="CJ109" s="210"/>
      <c r="CK109" s="210"/>
      <c r="CL109" s="210"/>
      <c r="CM109" s="210"/>
      <c r="CN109" s="219"/>
      <c r="CO109" s="219"/>
      <c r="CP109" s="219"/>
      <c r="CQ109" s="219"/>
      <c r="CR109" s="219"/>
      <c r="CS109" s="219"/>
      <c r="CT109" s="219"/>
      <c r="CU109" s="219"/>
      <c r="CV109" s="219"/>
      <c r="CW109" s="219"/>
      <c r="CX109" s="219"/>
      <c r="CY109" s="9"/>
    </row>
    <row r="110" s="13" customFormat="1" ht="31" customHeight="1" spans="1:103">
      <c r="A110" s="157">
        <v>46161</v>
      </c>
      <c r="B110" s="208" t="s">
        <v>12119</v>
      </c>
      <c r="C110" s="209" t="s">
        <v>98</v>
      </c>
      <c r="D110" s="210" t="s">
        <v>12223</v>
      </c>
      <c r="E110" s="209" t="s">
        <v>12121</v>
      </c>
      <c r="F110" s="210" t="s">
        <v>12227</v>
      </c>
      <c r="G110" s="209" t="s">
        <v>10273</v>
      </c>
      <c r="H110" s="209"/>
      <c r="I110" s="209">
        <v>0</v>
      </c>
      <c r="J110" s="209">
        <v>0</v>
      </c>
      <c r="K110" s="209">
        <v>0</v>
      </c>
      <c r="L110" s="209">
        <v>0</v>
      </c>
      <c r="M110" s="211">
        <v>46244</v>
      </c>
      <c r="N110" s="211">
        <v>46240</v>
      </c>
      <c r="O110" s="212"/>
      <c r="P110" s="209" t="s">
        <v>12225</v>
      </c>
      <c r="Q110" s="213"/>
      <c r="R110" s="213">
        <v>46161</v>
      </c>
      <c r="S110" s="213" t="s">
        <v>70</v>
      </c>
      <c r="T110" s="213" t="s">
        <v>5905</v>
      </c>
      <c r="U110" s="213"/>
      <c r="V110" s="208" t="s">
        <v>12226</v>
      </c>
      <c r="W110" s="214" t="s">
        <v>12121</v>
      </c>
      <c r="X110" s="208"/>
      <c r="Y110" s="214"/>
      <c r="Z110" s="210"/>
      <c r="AA110" s="208"/>
      <c r="AB110" s="209"/>
      <c r="AC110" s="209"/>
      <c r="AD110" s="209"/>
      <c r="AE110" s="208"/>
      <c r="AF110" s="209"/>
      <c r="AG110" s="209">
        <f>AF110-I110</f>
        <v>0</v>
      </c>
      <c r="AH110" s="212"/>
      <c r="AI110" s="209"/>
      <c r="AJ110" s="209"/>
      <c r="AK110" s="222">
        <f t="shared" ref="AK110:AK118" si="76">I110*2</f>
        <v>0</v>
      </c>
      <c r="AL110" s="210"/>
      <c r="AM110" s="210"/>
      <c r="AN110" s="210"/>
      <c r="AO110" s="220"/>
      <c r="AP110" s="210"/>
      <c r="AQ110" s="210"/>
      <c r="AR110" s="210"/>
      <c r="AS110" s="210"/>
      <c r="AT110" s="210"/>
      <c r="AU110" s="217"/>
      <c r="AV110" s="210"/>
      <c r="AW110" s="210"/>
      <c r="AX110" s="210"/>
      <c r="AY110" s="221"/>
      <c r="AZ110" s="210"/>
      <c r="BA110" s="210"/>
      <c r="BB110" s="210"/>
      <c r="BC110" s="210"/>
      <c r="BD110" s="210"/>
      <c r="BE110" s="210"/>
      <c r="BF110" s="210"/>
      <c r="BG110" s="210"/>
      <c r="BH110" s="210"/>
      <c r="BI110" s="210"/>
      <c r="BJ110" s="210"/>
      <c r="BK110" s="210"/>
      <c r="BL110" s="210"/>
      <c r="BM110" s="210"/>
      <c r="BN110" s="210"/>
      <c r="BO110" s="210"/>
      <c r="BP110" s="210"/>
      <c r="BQ110" s="210"/>
      <c r="BR110" s="210"/>
      <c r="BS110" s="210"/>
      <c r="BT110" s="210"/>
      <c r="BU110" s="210"/>
      <c r="BV110" s="210"/>
      <c r="BW110" s="210"/>
      <c r="BX110" s="210"/>
      <c r="BY110" s="210"/>
      <c r="BZ110" s="210"/>
      <c r="CA110" s="210"/>
      <c r="CB110" s="210"/>
      <c r="CC110" s="210"/>
      <c r="CD110" s="210"/>
      <c r="CE110" s="210"/>
      <c r="CF110" s="220"/>
      <c r="CG110" s="220"/>
      <c r="CH110" s="210"/>
      <c r="CI110" s="210"/>
      <c r="CJ110" s="210"/>
      <c r="CK110" s="210">
        <f>BM110+BL110+BK110+BJ110+BS110+BN110</f>
        <v>0</v>
      </c>
      <c r="CL110" s="210">
        <f>CA110+CB110+CC110+CD110+CE110+CG110+CF110</f>
        <v>0</v>
      </c>
      <c r="CM110" s="210">
        <f>BY110+BZ110</f>
        <v>0</v>
      </c>
      <c r="CN110" s="219"/>
      <c r="CO110" s="219"/>
      <c r="CP110" s="219"/>
      <c r="CQ110" s="219"/>
      <c r="CR110" s="219"/>
      <c r="CS110" s="219"/>
      <c r="CT110" s="219"/>
      <c r="CU110" s="219"/>
      <c r="CV110" s="219"/>
      <c r="CW110" s="219"/>
      <c r="CX110" s="219"/>
      <c r="CY110" s="9"/>
    </row>
    <row r="111" s="13" customFormat="1" ht="31" customHeight="1" spans="1:103">
      <c r="A111" s="157">
        <v>46161</v>
      </c>
      <c r="B111" s="208" t="s">
        <v>12119</v>
      </c>
      <c r="C111" s="209" t="s">
        <v>98</v>
      </c>
      <c r="D111" s="210" t="s">
        <v>12223</v>
      </c>
      <c r="E111" s="209" t="s">
        <v>12121</v>
      </c>
      <c r="F111" s="210" t="s">
        <v>12228</v>
      </c>
      <c r="G111" s="209" t="s">
        <v>10273</v>
      </c>
      <c r="H111" s="209"/>
      <c r="I111" s="209">
        <v>0</v>
      </c>
      <c r="J111" s="209">
        <v>0</v>
      </c>
      <c r="K111" s="209">
        <v>0</v>
      </c>
      <c r="L111" s="209">
        <v>0</v>
      </c>
      <c r="M111" s="211">
        <v>46244</v>
      </c>
      <c r="N111" s="211">
        <v>46240</v>
      </c>
      <c r="O111" s="212"/>
      <c r="P111" s="209" t="s">
        <v>12225</v>
      </c>
      <c r="Q111" s="213"/>
      <c r="R111" s="213">
        <v>46161</v>
      </c>
      <c r="S111" s="213" t="s">
        <v>70</v>
      </c>
      <c r="T111" s="213" t="s">
        <v>5905</v>
      </c>
      <c r="U111" s="213"/>
      <c r="V111" s="208" t="s">
        <v>12226</v>
      </c>
      <c r="W111" s="214" t="s">
        <v>12121</v>
      </c>
      <c r="X111" s="208"/>
      <c r="Y111" s="214"/>
      <c r="Z111" s="210"/>
      <c r="AA111" s="208"/>
      <c r="AB111" s="209"/>
      <c r="AC111" s="209"/>
      <c r="AD111" s="209"/>
      <c r="AE111" s="208"/>
      <c r="AF111" s="209"/>
      <c r="AG111" s="209">
        <f>AF111-I111</f>
        <v>0</v>
      </c>
      <c r="AH111" s="212"/>
      <c r="AI111" s="209"/>
      <c r="AJ111" s="209"/>
      <c r="AK111" s="222">
        <f t="shared" si="76"/>
        <v>0</v>
      </c>
      <c r="AL111" s="210"/>
      <c r="AM111" s="210"/>
      <c r="AN111" s="210"/>
      <c r="AO111" s="220"/>
      <c r="AP111" s="210"/>
      <c r="AQ111" s="210"/>
      <c r="AR111" s="210"/>
      <c r="AS111" s="210"/>
      <c r="AT111" s="210"/>
      <c r="AU111" s="217"/>
      <c r="AV111" s="210"/>
      <c r="AW111" s="210"/>
      <c r="AX111" s="210"/>
      <c r="AY111" s="221"/>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c r="BU111" s="210"/>
      <c r="BV111" s="210"/>
      <c r="BW111" s="210"/>
      <c r="BX111" s="210"/>
      <c r="BY111" s="210"/>
      <c r="BZ111" s="210"/>
      <c r="CA111" s="210"/>
      <c r="CB111" s="210"/>
      <c r="CC111" s="210"/>
      <c r="CD111" s="210"/>
      <c r="CE111" s="210"/>
      <c r="CF111" s="220"/>
      <c r="CG111" s="220"/>
      <c r="CH111" s="210"/>
      <c r="CI111" s="210"/>
      <c r="CJ111" s="210"/>
      <c r="CK111" s="210">
        <f>BM111+BL111+BK111+BJ111+BS111+BN111</f>
        <v>0</v>
      </c>
      <c r="CL111" s="210">
        <f>CA111+CB111+CC111+CD111+CE111+CG111+CF111</f>
        <v>0</v>
      </c>
      <c r="CM111" s="210">
        <f>BY111+BZ111</f>
        <v>0</v>
      </c>
      <c r="CN111" s="219"/>
      <c r="CO111" s="219"/>
      <c r="CP111" s="219"/>
      <c r="CQ111" s="219"/>
      <c r="CR111" s="219"/>
      <c r="CS111" s="219"/>
      <c r="CT111" s="219"/>
      <c r="CU111" s="219"/>
      <c r="CV111" s="219"/>
      <c r="CW111" s="219"/>
      <c r="CX111" s="219"/>
      <c r="CY111" s="9"/>
    </row>
    <row r="112" s="13" customFormat="1" ht="31" customHeight="1" spans="1:103">
      <c r="A112" s="157">
        <v>46161</v>
      </c>
      <c r="B112" s="208" t="s">
        <v>12119</v>
      </c>
      <c r="C112" s="209" t="s">
        <v>98</v>
      </c>
      <c r="D112" s="210" t="s">
        <v>12223</v>
      </c>
      <c r="E112" s="209" t="s">
        <v>12121</v>
      </c>
      <c r="F112" s="210" t="s">
        <v>12230</v>
      </c>
      <c r="G112" s="209" t="s">
        <v>10273</v>
      </c>
      <c r="H112" s="209"/>
      <c r="I112" s="209">
        <v>0</v>
      </c>
      <c r="J112" s="209">
        <v>0</v>
      </c>
      <c r="K112" s="209">
        <v>0</v>
      </c>
      <c r="L112" s="209">
        <v>0</v>
      </c>
      <c r="M112" s="211">
        <v>46262</v>
      </c>
      <c r="N112" s="211">
        <v>46258</v>
      </c>
      <c r="O112" s="212"/>
      <c r="P112" s="209" t="s">
        <v>12225</v>
      </c>
      <c r="Q112" s="213"/>
      <c r="R112" s="213">
        <v>46161</v>
      </c>
      <c r="S112" s="213" t="s">
        <v>70</v>
      </c>
      <c r="T112" s="213" t="s">
        <v>5905</v>
      </c>
      <c r="U112" s="213"/>
      <c r="V112" s="208" t="s">
        <v>12226</v>
      </c>
      <c r="W112" s="214" t="s">
        <v>12121</v>
      </c>
      <c r="X112" s="208"/>
      <c r="Y112" s="214"/>
      <c r="Z112" s="210"/>
      <c r="AA112" s="208"/>
      <c r="AB112" s="209"/>
      <c r="AC112" s="209"/>
      <c r="AD112" s="209"/>
      <c r="AE112" s="208"/>
      <c r="AF112" s="209"/>
      <c r="AG112" s="209"/>
      <c r="AH112" s="212"/>
      <c r="AI112" s="209"/>
      <c r="AJ112" s="209"/>
      <c r="AK112" s="222">
        <f t="shared" si="76"/>
        <v>0</v>
      </c>
      <c r="AL112" s="210"/>
      <c r="AM112" s="210"/>
      <c r="AN112" s="210"/>
      <c r="AO112" s="220"/>
      <c r="AP112" s="210"/>
      <c r="AQ112" s="210"/>
      <c r="AR112" s="210"/>
      <c r="AS112" s="210"/>
      <c r="AT112" s="210"/>
      <c r="AU112" s="217"/>
      <c r="AV112" s="210"/>
      <c r="AW112" s="210"/>
      <c r="AX112" s="210"/>
      <c r="AY112" s="221"/>
      <c r="AZ112" s="210"/>
      <c r="BA112" s="210"/>
      <c r="BB112" s="210"/>
      <c r="BC112" s="210"/>
      <c r="BD112" s="210"/>
      <c r="BE112" s="210"/>
      <c r="BF112" s="210"/>
      <c r="BG112" s="210"/>
      <c r="BH112" s="210"/>
      <c r="BI112" s="210"/>
      <c r="BJ112" s="210"/>
      <c r="BK112" s="210"/>
      <c r="BL112" s="210"/>
      <c r="BM112" s="210"/>
      <c r="BN112" s="210"/>
      <c r="BO112" s="210"/>
      <c r="BP112" s="210"/>
      <c r="BQ112" s="210"/>
      <c r="BR112" s="210"/>
      <c r="BS112" s="210"/>
      <c r="BT112" s="210"/>
      <c r="BU112" s="210"/>
      <c r="BV112" s="210"/>
      <c r="BW112" s="210"/>
      <c r="BX112" s="210"/>
      <c r="BY112" s="210"/>
      <c r="BZ112" s="210"/>
      <c r="CA112" s="210"/>
      <c r="CB112" s="210"/>
      <c r="CC112" s="210"/>
      <c r="CD112" s="210"/>
      <c r="CE112" s="210"/>
      <c r="CF112" s="220"/>
      <c r="CG112" s="220"/>
      <c r="CH112" s="210"/>
      <c r="CI112" s="210"/>
      <c r="CJ112" s="210"/>
      <c r="CK112" s="210"/>
      <c r="CL112" s="210"/>
      <c r="CM112" s="210"/>
      <c r="CN112" s="219"/>
      <c r="CO112" s="219"/>
      <c r="CP112" s="219"/>
      <c r="CQ112" s="219"/>
      <c r="CR112" s="219"/>
      <c r="CS112" s="219"/>
      <c r="CT112" s="219"/>
      <c r="CU112" s="219"/>
      <c r="CV112" s="219"/>
      <c r="CW112" s="219"/>
      <c r="CX112" s="219"/>
      <c r="CY112" s="9"/>
    </row>
    <row r="113" s="13" customFormat="1" ht="31" customHeight="1" spans="1:112">
      <c r="A113" s="157">
        <v>46161</v>
      </c>
      <c r="B113" s="208" t="s">
        <v>12119</v>
      </c>
      <c r="C113" s="209" t="s">
        <v>98</v>
      </c>
      <c r="D113" s="210" t="s">
        <v>12223</v>
      </c>
      <c r="E113" s="209" t="s">
        <v>12121</v>
      </c>
      <c r="F113" s="210" t="s">
        <v>12229</v>
      </c>
      <c r="G113" s="209" t="s">
        <v>10273</v>
      </c>
      <c r="H113" s="209"/>
      <c r="I113" s="209">
        <v>0</v>
      </c>
      <c r="J113" s="209">
        <v>0</v>
      </c>
      <c r="K113" s="209">
        <v>0</v>
      </c>
      <c r="L113" s="209">
        <v>0</v>
      </c>
      <c r="M113" s="211">
        <v>46262</v>
      </c>
      <c r="N113" s="211">
        <v>46258</v>
      </c>
      <c r="O113" s="212"/>
      <c r="P113" s="209" t="s">
        <v>12225</v>
      </c>
      <c r="Q113" s="213"/>
      <c r="R113" s="213">
        <v>46161</v>
      </c>
      <c r="S113" s="213" t="s">
        <v>70</v>
      </c>
      <c r="T113" s="213" t="s">
        <v>5905</v>
      </c>
      <c r="U113" s="213"/>
      <c r="V113" s="208" t="s">
        <v>12226</v>
      </c>
      <c r="W113" s="214" t="s">
        <v>12121</v>
      </c>
      <c r="X113" s="208"/>
      <c r="Y113" s="214"/>
      <c r="Z113" s="210"/>
      <c r="AA113" s="208"/>
      <c r="AB113" s="209"/>
      <c r="AC113" s="209"/>
      <c r="AD113" s="209"/>
      <c r="AE113" s="208"/>
      <c r="AF113" s="209"/>
      <c r="AG113" s="209"/>
      <c r="AH113" s="212"/>
      <c r="AI113" s="209"/>
      <c r="AJ113" s="209"/>
      <c r="AK113" s="222">
        <f t="shared" si="76"/>
        <v>0</v>
      </c>
      <c r="AL113" s="210"/>
      <c r="AM113" s="210"/>
      <c r="AN113" s="210"/>
      <c r="AO113" s="220"/>
      <c r="AP113" s="210"/>
      <c r="AQ113" s="210"/>
      <c r="AR113" s="210"/>
      <c r="AS113" s="210"/>
      <c r="AT113" s="210"/>
      <c r="AU113" s="217"/>
      <c r="AV113" s="210"/>
      <c r="AW113" s="210"/>
      <c r="AX113" s="210"/>
      <c r="AY113" s="221"/>
      <c r="AZ113" s="210"/>
      <c r="BA113" s="210"/>
      <c r="BB113" s="210"/>
      <c r="BC113" s="210"/>
      <c r="BD113" s="210"/>
      <c r="BE113" s="210"/>
      <c r="BF113" s="210"/>
      <c r="BG113" s="210"/>
      <c r="BH113" s="210"/>
      <c r="BI113" s="210"/>
      <c r="BJ113" s="210"/>
      <c r="BK113" s="210"/>
      <c r="BL113" s="210"/>
      <c r="BM113" s="210"/>
      <c r="BN113" s="210"/>
      <c r="BO113" s="210"/>
      <c r="BP113" s="210"/>
      <c r="BQ113" s="210"/>
      <c r="BR113" s="210"/>
      <c r="BS113" s="210"/>
      <c r="BT113" s="210"/>
      <c r="BU113" s="210"/>
      <c r="BV113" s="210"/>
      <c r="BW113" s="210"/>
      <c r="BX113" s="210"/>
      <c r="BY113" s="210"/>
      <c r="BZ113" s="210"/>
      <c r="CA113" s="210"/>
      <c r="CB113" s="210"/>
      <c r="CC113" s="210"/>
      <c r="CD113" s="210"/>
      <c r="CE113" s="210"/>
      <c r="CF113" s="220"/>
      <c r="CG113" s="220"/>
      <c r="CH113" s="210"/>
      <c r="CI113" s="210"/>
      <c r="CJ113" s="210"/>
      <c r="CK113" s="210"/>
      <c r="CL113" s="210"/>
      <c r="CM113" s="210"/>
      <c r="CN113" s="219"/>
      <c r="CO113" s="219"/>
      <c r="CP113" s="219"/>
      <c r="CQ113" s="219"/>
      <c r="CR113" s="219"/>
      <c r="CS113" s="219"/>
      <c r="CT113" s="219"/>
      <c r="CU113" s="219"/>
      <c r="CV113" s="219"/>
      <c r="CW113" s="219"/>
      <c r="CX113" s="219"/>
      <c r="CY113" s="9"/>
    </row>
    <row r="114" s="13" customFormat="1" ht="31" customHeight="1" spans="1:112">
      <c r="A114" s="157">
        <v>46161</v>
      </c>
      <c r="B114" s="208" t="s">
        <v>12119</v>
      </c>
      <c r="C114" s="209" t="s">
        <v>98</v>
      </c>
      <c r="D114" s="210" t="s">
        <v>12223</v>
      </c>
      <c r="E114" s="209" t="s">
        <v>12121</v>
      </c>
      <c r="F114" s="210" t="s">
        <v>12231</v>
      </c>
      <c r="G114" s="209" t="s">
        <v>10273</v>
      </c>
      <c r="H114" s="209"/>
      <c r="I114" s="209">
        <v>0</v>
      </c>
      <c r="J114" s="209">
        <v>0</v>
      </c>
      <c r="K114" s="209">
        <v>0</v>
      </c>
      <c r="L114" s="209">
        <v>0</v>
      </c>
      <c r="M114" s="211">
        <v>46265</v>
      </c>
      <c r="N114" s="211">
        <v>46261</v>
      </c>
      <c r="O114" s="212"/>
      <c r="P114" s="209" t="s">
        <v>12225</v>
      </c>
      <c r="Q114" s="213"/>
      <c r="R114" s="213">
        <v>46161</v>
      </c>
      <c r="S114" s="213" t="s">
        <v>70</v>
      </c>
      <c r="T114" s="213" t="s">
        <v>5905</v>
      </c>
      <c r="U114" s="213"/>
      <c r="V114" s="208" t="s">
        <v>12226</v>
      </c>
      <c r="W114" s="214" t="s">
        <v>12121</v>
      </c>
      <c r="X114" s="208"/>
      <c r="Y114" s="214"/>
      <c r="Z114" s="210"/>
      <c r="AA114" s="208"/>
      <c r="AB114" s="209"/>
      <c r="AC114" s="209"/>
      <c r="AD114" s="209"/>
      <c r="AE114" s="208"/>
      <c r="AF114" s="209"/>
      <c r="AG114" s="209"/>
      <c r="AH114" s="212"/>
      <c r="AI114" s="209"/>
      <c r="AJ114" s="209"/>
      <c r="AK114" s="222">
        <f t="shared" si="76"/>
        <v>0</v>
      </c>
      <c r="AL114" s="210"/>
      <c r="AM114" s="210"/>
      <c r="AN114" s="210"/>
      <c r="AO114" s="220"/>
      <c r="AP114" s="210"/>
      <c r="AQ114" s="210"/>
      <c r="AR114" s="210"/>
      <c r="AS114" s="210"/>
      <c r="AT114" s="210"/>
      <c r="AU114" s="217"/>
      <c r="AV114" s="210"/>
      <c r="AW114" s="210"/>
      <c r="AX114" s="210"/>
      <c r="AY114" s="221"/>
      <c r="AZ114" s="210"/>
      <c r="BA114" s="210"/>
      <c r="BB114" s="210"/>
      <c r="BC114" s="210"/>
      <c r="BD114" s="210"/>
      <c r="BE114" s="210"/>
      <c r="BF114" s="210"/>
      <c r="BG114" s="210"/>
      <c r="BH114" s="210"/>
      <c r="BI114" s="210"/>
      <c r="BJ114" s="210"/>
      <c r="BK114" s="210"/>
      <c r="BL114" s="210"/>
      <c r="BM114" s="210"/>
      <c r="BN114" s="210"/>
      <c r="BO114" s="210"/>
      <c r="BP114" s="210"/>
      <c r="BQ114" s="210"/>
      <c r="BR114" s="210"/>
      <c r="BS114" s="210"/>
      <c r="BT114" s="210"/>
      <c r="BU114" s="210"/>
      <c r="BV114" s="210"/>
      <c r="BW114" s="210"/>
      <c r="BX114" s="210"/>
      <c r="BY114" s="210"/>
      <c r="BZ114" s="210"/>
      <c r="CA114" s="210"/>
      <c r="CB114" s="210"/>
      <c r="CC114" s="210"/>
      <c r="CD114" s="210"/>
      <c r="CE114" s="210"/>
      <c r="CF114" s="220"/>
      <c r="CG114" s="220"/>
      <c r="CH114" s="210"/>
      <c r="CI114" s="210"/>
      <c r="CJ114" s="210"/>
      <c r="CK114" s="210"/>
      <c r="CL114" s="210"/>
      <c r="CM114" s="210"/>
      <c r="CN114" s="219"/>
      <c r="CO114" s="219"/>
      <c r="CP114" s="219"/>
      <c r="CQ114" s="219"/>
      <c r="CR114" s="219"/>
      <c r="CS114" s="219"/>
      <c r="CT114" s="219"/>
      <c r="CU114" s="219"/>
      <c r="CV114" s="219"/>
      <c r="CW114" s="219"/>
      <c r="CX114" s="219"/>
      <c r="CY114" s="9"/>
    </row>
    <row r="115" s="13" customFormat="1" ht="31" customHeight="1" spans="1:112">
      <c r="A115" s="157">
        <v>46161</v>
      </c>
      <c r="B115" s="208" t="s">
        <v>12119</v>
      </c>
      <c r="C115" s="209" t="s">
        <v>98</v>
      </c>
      <c r="D115" s="210" t="s">
        <v>12223</v>
      </c>
      <c r="E115" s="209" t="s">
        <v>12121</v>
      </c>
      <c r="F115" s="210" t="s">
        <v>12232</v>
      </c>
      <c r="G115" s="209" t="s">
        <v>10273</v>
      </c>
      <c r="H115" s="209"/>
      <c r="I115" s="209">
        <v>0</v>
      </c>
      <c r="J115" s="209">
        <v>0</v>
      </c>
      <c r="K115" s="209">
        <v>0</v>
      </c>
      <c r="L115" s="209">
        <v>0</v>
      </c>
      <c r="M115" s="211">
        <v>46266</v>
      </c>
      <c r="N115" s="211">
        <v>46262</v>
      </c>
      <c r="O115" s="212"/>
      <c r="P115" s="209" t="s">
        <v>12225</v>
      </c>
      <c r="Q115" s="213"/>
      <c r="R115" s="213">
        <v>46161</v>
      </c>
      <c r="S115" s="213" t="s">
        <v>70</v>
      </c>
      <c r="T115" s="213" t="s">
        <v>5905</v>
      </c>
      <c r="U115" s="213"/>
      <c r="V115" s="208" t="s">
        <v>12226</v>
      </c>
      <c r="W115" s="214" t="s">
        <v>12121</v>
      </c>
      <c r="X115" s="208"/>
      <c r="Y115" s="214"/>
      <c r="Z115" s="210"/>
      <c r="AA115" s="208"/>
      <c r="AB115" s="209"/>
      <c r="AC115" s="209"/>
      <c r="AD115" s="209"/>
      <c r="AE115" s="208"/>
      <c r="AF115" s="209"/>
      <c r="AG115" s="209"/>
      <c r="AH115" s="212"/>
      <c r="AI115" s="209"/>
      <c r="AJ115" s="209"/>
      <c r="AK115" s="222">
        <f t="shared" si="76"/>
        <v>0</v>
      </c>
      <c r="AL115" s="210"/>
      <c r="AM115" s="210"/>
      <c r="AN115" s="210"/>
      <c r="AO115" s="220"/>
      <c r="AP115" s="210"/>
      <c r="AQ115" s="210"/>
      <c r="AR115" s="210"/>
      <c r="AS115" s="210"/>
      <c r="AT115" s="210"/>
      <c r="AU115" s="217"/>
      <c r="AV115" s="210"/>
      <c r="AW115" s="210"/>
      <c r="AX115" s="210"/>
      <c r="AY115" s="221"/>
      <c r="AZ115" s="210"/>
      <c r="BA115" s="210"/>
      <c r="BB115" s="210"/>
      <c r="BC115" s="210"/>
      <c r="BD115" s="210"/>
      <c r="BE115" s="210"/>
      <c r="BF115" s="210"/>
      <c r="BG115" s="210"/>
      <c r="BH115" s="210"/>
      <c r="BI115" s="210"/>
      <c r="BJ115" s="210"/>
      <c r="BK115" s="210"/>
      <c r="BL115" s="210"/>
      <c r="BM115" s="210"/>
      <c r="BN115" s="210"/>
      <c r="BO115" s="210"/>
      <c r="BP115" s="210"/>
      <c r="BQ115" s="210"/>
      <c r="BR115" s="210"/>
      <c r="BS115" s="210"/>
      <c r="BT115" s="210"/>
      <c r="BU115" s="210"/>
      <c r="BV115" s="210"/>
      <c r="BW115" s="210"/>
      <c r="BX115" s="210"/>
      <c r="BY115" s="210"/>
      <c r="BZ115" s="210"/>
      <c r="CA115" s="210"/>
      <c r="CB115" s="210"/>
      <c r="CC115" s="210"/>
      <c r="CD115" s="210"/>
      <c r="CE115" s="210"/>
      <c r="CF115" s="220"/>
      <c r="CG115" s="220"/>
      <c r="CH115" s="210"/>
      <c r="CI115" s="210"/>
      <c r="CJ115" s="210"/>
      <c r="CK115" s="210"/>
      <c r="CL115" s="210"/>
      <c r="CM115" s="210"/>
      <c r="CN115" s="219"/>
      <c r="CO115" s="219"/>
      <c r="CP115" s="219"/>
      <c r="CQ115" s="219"/>
      <c r="CR115" s="219"/>
      <c r="CS115" s="219"/>
      <c r="CT115" s="219"/>
      <c r="CU115" s="219"/>
      <c r="CV115" s="219"/>
      <c r="CW115" s="219"/>
      <c r="CX115" s="219"/>
      <c r="CY115" s="9"/>
    </row>
    <row r="116" s="13" customFormat="1" ht="31" customHeight="1" spans="1:112">
      <c r="A116" s="157">
        <v>46161</v>
      </c>
      <c r="B116" s="208" t="s">
        <v>12119</v>
      </c>
      <c r="C116" s="209" t="s">
        <v>98</v>
      </c>
      <c r="D116" s="210" t="s">
        <v>12223</v>
      </c>
      <c r="E116" s="209" t="s">
        <v>12121</v>
      </c>
      <c r="F116" s="210" t="s">
        <v>12233</v>
      </c>
      <c r="G116" s="209" t="s">
        <v>10273</v>
      </c>
      <c r="H116" s="209"/>
      <c r="I116" s="209">
        <v>0</v>
      </c>
      <c r="J116" s="209">
        <v>0</v>
      </c>
      <c r="K116" s="209">
        <v>0</v>
      </c>
      <c r="L116" s="209">
        <v>0</v>
      </c>
      <c r="M116" s="211">
        <v>46269</v>
      </c>
      <c r="N116" s="211">
        <v>46265</v>
      </c>
      <c r="O116" s="212"/>
      <c r="P116" s="209" t="s">
        <v>12225</v>
      </c>
      <c r="Q116" s="213"/>
      <c r="R116" s="213">
        <v>46161</v>
      </c>
      <c r="S116" s="213" t="s">
        <v>70</v>
      </c>
      <c r="T116" s="213" t="s">
        <v>5905</v>
      </c>
      <c r="U116" s="213"/>
      <c r="V116" s="208" t="s">
        <v>12226</v>
      </c>
      <c r="W116" s="214" t="s">
        <v>12121</v>
      </c>
      <c r="X116" s="208"/>
      <c r="Y116" s="214"/>
      <c r="Z116" s="210"/>
      <c r="AA116" s="208"/>
      <c r="AB116" s="209"/>
      <c r="AC116" s="209"/>
      <c r="AD116" s="209"/>
      <c r="AE116" s="208"/>
      <c r="AF116" s="209"/>
      <c r="AG116" s="209"/>
      <c r="AH116" s="212"/>
      <c r="AI116" s="209"/>
      <c r="AJ116" s="209"/>
      <c r="AK116" s="222">
        <f t="shared" si="76"/>
        <v>0</v>
      </c>
      <c r="AL116" s="210"/>
      <c r="AM116" s="210"/>
      <c r="AN116" s="210"/>
      <c r="AO116" s="220"/>
      <c r="AP116" s="210"/>
      <c r="AQ116" s="210"/>
      <c r="AR116" s="210"/>
      <c r="AS116" s="210"/>
      <c r="AT116" s="210"/>
      <c r="AU116" s="217"/>
      <c r="AV116" s="210"/>
      <c r="AW116" s="210"/>
      <c r="AX116" s="210"/>
      <c r="AY116" s="221"/>
      <c r="AZ116" s="210"/>
      <c r="BA116" s="210"/>
      <c r="BB116" s="210"/>
      <c r="BC116" s="210"/>
      <c r="BD116" s="210"/>
      <c r="BE116" s="210"/>
      <c r="BF116" s="210"/>
      <c r="BG116" s="210"/>
      <c r="BH116" s="210"/>
      <c r="BI116" s="210"/>
      <c r="BJ116" s="210"/>
      <c r="BK116" s="210"/>
      <c r="BL116" s="210"/>
      <c r="BM116" s="210"/>
      <c r="BN116" s="210"/>
      <c r="BO116" s="210"/>
      <c r="BP116" s="210"/>
      <c r="BQ116" s="210"/>
      <c r="BR116" s="210"/>
      <c r="BS116" s="210"/>
      <c r="BT116" s="210"/>
      <c r="BU116" s="210"/>
      <c r="BV116" s="210"/>
      <c r="BW116" s="210"/>
      <c r="BX116" s="210"/>
      <c r="BY116" s="210"/>
      <c r="BZ116" s="210"/>
      <c r="CA116" s="210"/>
      <c r="CB116" s="210"/>
      <c r="CC116" s="210"/>
      <c r="CD116" s="210"/>
      <c r="CE116" s="210"/>
      <c r="CF116" s="220"/>
      <c r="CG116" s="220"/>
      <c r="CH116" s="210"/>
      <c r="CI116" s="210"/>
      <c r="CJ116" s="210"/>
      <c r="CK116" s="210"/>
      <c r="CL116" s="210"/>
      <c r="CM116" s="210"/>
      <c r="CN116" s="219"/>
      <c r="CO116" s="219"/>
      <c r="CP116" s="219"/>
      <c r="CQ116" s="219"/>
      <c r="CR116" s="219"/>
      <c r="CS116" s="219"/>
      <c r="CT116" s="219"/>
      <c r="CU116" s="219"/>
      <c r="CV116" s="219"/>
      <c r="CW116" s="219"/>
      <c r="CX116" s="219"/>
      <c r="CY116" s="9"/>
    </row>
    <row r="117" s="13" customFormat="1" ht="31" customHeight="1" spans="1:112">
      <c r="A117" s="157">
        <v>46161</v>
      </c>
      <c r="B117" s="208" t="s">
        <v>12119</v>
      </c>
      <c r="C117" s="209" t="s">
        <v>98</v>
      </c>
      <c r="D117" s="210" t="s">
        <v>12223</v>
      </c>
      <c r="E117" s="209" t="s">
        <v>12121</v>
      </c>
      <c r="F117" s="210" t="s">
        <v>12234</v>
      </c>
      <c r="G117" s="209" t="s">
        <v>10273</v>
      </c>
      <c r="H117" s="209"/>
      <c r="I117" s="209">
        <v>0</v>
      </c>
      <c r="J117" s="209">
        <v>0</v>
      </c>
      <c r="K117" s="209">
        <v>0</v>
      </c>
      <c r="L117" s="209">
        <v>0</v>
      </c>
      <c r="M117" s="211">
        <v>46279</v>
      </c>
      <c r="N117" s="211">
        <v>46275</v>
      </c>
      <c r="O117" s="212"/>
      <c r="P117" s="209" t="s">
        <v>12225</v>
      </c>
      <c r="Q117" s="213"/>
      <c r="R117" s="213">
        <v>46161</v>
      </c>
      <c r="S117" s="213" t="s">
        <v>70</v>
      </c>
      <c r="T117" s="213" t="s">
        <v>5905</v>
      </c>
      <c r="U117" s="213"/>
      <c r="V117" s="208" t="s">
        <v>12226</v>
      </c>
      <c r="W117" s="214" t="s">
        <v>12121</v>
      </c>
      <c r="X117" s="208"/>
      <c r="Y117" s="214"/>
      <c r="Z117" s="210"/>
      <c r="AA117" s="208"/>
      <c r="AB117" s="209"/>
      <c r="AC117" s="209"/>
      <c r="AD117" s="209"/>
      <c r="AE117" s="208"/>
      <c r="AF117" s="209"/>
      <c r="AG117" s="209"/>
      <c r="AH117" s="212"/>
      <c r="AI117" s="209"/>
      <c r="AJ117" s="209"/>
      <c r="AK117" s="222">
        <f t="shared" si="76"/>
        <v>0</v>
      </c>
      <c r="AL117" s="210"/>
      <c r="AM117" s="210"/>
      <c r="AN117" s="210"/>
      <c r="AO117" s="220"/>
      <c r="AP117" s="210"/>
      <c r="AQ117" s="210"/>
      <c r="AR117" s="210"/>
      <c r="AS117" s="210"/>
      <c r="AT117" s="210"/>
      <c r="AU117" s="217"/>
      <c r="AV117" s="210"/>
      <c r="AW117" s="210"/>
      <c r="AX117" s="210"/>
      <c r="AY117" s="221"/>
      <c r="AZ117" s="210"/>
      <c r="BA117" s="210"/>
      <c r="BB117" s="210"/>
      <c r="BC117" s="210"/>
      <c r="BD117" s="210"/>
      <c r="BE117" s="210"/>
      <c r="BF117" s="210"/>
      <c r="BG117" s="210"/>
      <c r="BH117" s="210"/>
      <c r="BI117" s="210"/>
      <c r="BJ117" s="210"/>
      <c r="BK117" s="210"/>
      <c r="BL117" s="210"/>
      <c r="BM117" s="210"/>
      <c r="BN117" s="210"/>
      <c r="BO117" s="210"/>
      <c r="BP117" s="210"/>
      <c r="BQ117" s="210"/>
      <c r="BR117" s="210"/>
      <c r="BS117" s="210"/>
      <c r="BT117" s="210"/>
      <c r="BU117" s="210"/>
      <c r="BV117" s="210"/>
      <c r="BW117" s="210"/>
      <c r="BX117" s="210"/>
      <c r="BY117" s="210"/>
      <c r="BZ117" s="210"/>
      <c r="CA117" s="210"/>
      <c r="CB117" s="210"/>
      <c r="CC117" s="210"/>
      <c r="CD117" s="210"/>
      <c r="CE117" s="210"/>
      <c r="CF117" s="220"/>
      <c r="CG117" s="220"/>
      <c r="CH117" s="210"/>
      <c r="CI117" s="210"/>
      <c r="CJ117" s="210"/>
      <c r="CK117" s="210"/>
      <c r="CL117" s="210"/>
      <c r="CM117" s="210"/>
      <c r="CN117" s="219"/>
      <c r="CO117" s="219"/>
      <c r="CP117" s="219"/>
      <c r="CQ117" s="219"/>
      <c r="CR117" s="219"/>
      <c r="CS117" s="219"/>
      <c r="CT117" s="219"/>
      <c r="CU117" s="219"/>
      <c r="CV117" s="219"/>
      <c r="CW117" s="219"/>
      <c r="CX117" s="219"/>
      <c r="CY117" s="9"/>
    </row>
    <row r="118" s="13" customFormat="1" ht="31" customHeight="1" spans="1:112">
      <c r="A118" s="157">
        <v>46161</v>
      </c>
      <c r="B118" s="208" t="s">
        <v>12119</v>
      </c>
      <c r="C118" s="209" t="s">
        <v>98</v>
      </c>
      <c r="D118" s="210" t="s">
        <v>12223</v>
      </c>
      <c r="E118" s="209" t="s">
        <v>12121</v>
      </c>
      <c r="F118" s="210" t="s">
        <v>12235</v>
      </c>
      <c r="G118" s="209" t="s">
        <v>10273</v>
      </c>
      <c r="H118" s="209"/>
      <c r="I118" s="209">
        <v>0</v>
      </c>
      <c r="J118" s="209">
        <v>0</v>
      </c>
      <c r="K118" s="209">
        <v>0</v>
      </c>
      <c r="L118" s="209">
        <v>0</v>
      </c>
      <c r="M118" s="223">
        <v>46281</v>
      </c>
      <c r="N118" s="211">
        <v>46277</v>
      </c>
      <c r="O118" s="212"/>
      <c r="P118" s="209" t="s">
        <v>12225</v>
      </c>
      <c r="Q118" s="213"/>
      <c r="R118" s="213">
        <v>46161</v>
      </c>
      <c r="S118" s="213" t="s">
        <v>70</v>
      </c>
      <c r="T118" s="213" t="s">
        <v>5905</v>
      </c>
      <c r="U118" s="213"/>
      <c r="V118" s="208" t="s">
        <v>12226</v>
      </c>
      <c r="W118" s="214" t="s">
        <v>12121</v>
      </c>
      <c r="X118" s="208"/>
      <c r="Y118" s="214"/>
      <c r="Z118" s="210"/>
      <c r="AA118" s="208"/>
      <c r="AB118" s="209"/>
      <c r="AC118" s="209"/>
      <c r="AD118" s="209"/>
      <c r="AE118" s="208"/>
      <c r="AF118" s="209"/>
      <c r="AG118" s="209"/>
      <c r="AH118" s="212"/>
      <c r="AI118" s="209"/>
      <c r="AJ118" s="209"/>
      <c r="AK118" s="222">
        <f t="shared" si="76"/>
        <v>0</v>
      </c>
      <c r="AL118" s="210"/>
      <c r="AM118" s="210"/>
      <c r="AN118" s="210"/>
      <c r="AO118" s="220"/>
      <c r="AP118" s="210"/>
      <c r="AQ118" s="210"/>
      <c r="AR118" s="210"/>
      <c r="AS118" s="210"/>
      <c r="AT118" s="210"/>
      <c r="AU118" s="217"/>
      <c r="AV118" s="210"/>
      <c r="AW118" s="210"/>
      <c r="AX118" s="210"/>
      <c r="AY118" s="221"/>
      <c r="AZ118" s="210"/>
      <c r="BA118" s="210"/>
      <c r="BB118" s="210"/>
      <c r="BC118" s="210"/>
      <c r="BD118" s="210"/>
      <c r="BE118" s="210"/>
      <c r="BF118" s="210"/>
      <c r="BG118" s="210"/>
      <c r="BH118" s="210"/>
      <c r="BI118" s="210"/>
      <c r="BJ118" s="210"/>
      <c r="BK118" s="210"/>
      <c r="BL118" s="210"/>
      <c r="BM118" s="210"/>
      <c r="BN118" s="210"/>
      <c r="BO118" s="210"/>
      <c r="BP118" s="210"/>
      <c r="BQ118" s="210"/>
      <c r="BR118" s="210"/>
      <c r="BS118" s="210"/>
      <c r="BT118" s="210"/>
      <c r="BU118" s="210"/>
      <c r="BV118" s="210"/>
      <c r="BW118" s="210"/>
      <c r="BX118" s="210"/>
      <c r="BY118" s="210"/>
      <c r="BZ118" s="210"/>
      <c r="CA118" s="210"/>
      <c r="CB118" s="210"/>
      <c r="CC118" s="210"/>
      <c r="CD118" s="210"/>
      <c r="CE118" s="210"/>
      <c r="CF118" s="220"/>
      <c r="CG118" s="220"/>
      <c r="CH118" s="210"/>
      <c r="CI118" s="210"/>
      <c r="CJ118" s="210"/>
      <c r="CK118" s="210"/>
      <c r="CL118" s="210"/>
      <c r="CM118" s="210"/>
      <c r="CN118" s="219"/>
      <c r="CO118" s="219"/>
      <c r="CP118" s="219"/>
      <c r="CQ118" s="219"/>
      <c r="CR118" s="219"/>
      <c r="CS118" s="219"/>
      <c r="CT118" s="219"/>
      <c r="CU118" s="219"/>
      <c r="CV118" s="219"/>
      <c r="CW118" s="219"/>
      <c r="CX118" s="219"/>
      <c r="CY118" s="9"/>
    </row>
    <row r="119" s="13" customFormat="1" ht="30" customHeight="1" spans="1:112">
      <c r="A119" s="157">
        <v>46101</v>
      </c>
      <c r="B119" s="208" t="s">
        <v>3729</v>
      </c>
      <c r="C119" s="209" t="s">
        <v>278</v>
      </c>
      <c r="D119" s="210">
        <v>4500197232</v>
      </c>
      <c r="E119" s="209" t="s">
        <v>3879</v>
      </c>
      <c r="F119" s="210" t="s">
        <v>12237</v>
      </c>
      <c r="G119" s="209" t="s">
        <v>6337</v>
      </c>
      <c r="H119" s="209" t="s">
        <v>477</v>
      </c>
      <c r="I119" s="209">
        <v>570</v>
      </c>
      <c r="J119" s="209">
        <v>0</v>
      </c>
      <c r="K119" s="209">
        <v>6</v>
      </c>
      <c r="L119" s="224">
        <f t="shared" ref="L119:L134" si="77">I119/K119</f>
        <v>95</v>
      </c>
      <c r="M119" s="225">
        <v>46205</v>
      </c>
      <c r="N119" s="225">
        <v>46202</v>
      </c>
      <c r="O119" s="212"/>
      <c r="P119" s="212" t="s">
        <v>113</v>
      </c>
      <c r="Q119" s="209"/>
      <c r="R119" s="213" t="s">
        <v>463</v>
      </c>
      <c r="S119" s="213" t="s">
        <v>104</v>
      </c>
      <c r="T119" s="213" t="s">
        <v>9256</v>
      </c>
      <c r="U119" s="213"/>
      <c r="V119" s="226"/>
      <c r="W119" s="227" t="s">
        <v>12238</v>
      </c>
      <c r="X119" s="208" t="s">
        <v>3734</v>
      </c>
      <c r="Y119" s="228">
        <v>7.1628</v>
      </c>
      <c r="Z119" s="214">
        <f t="shared" ref="Z119:Z126" si="78">Y119*I119</f>
        <v>4082.796</v>
      </c>
      <c r="AB119" s="209"/>
      <c r="AC119" s="209" t="s">
        <v>480</v>
      </c>
      <c r="AD119" s="209" t="s">
        <v>82</v>
      </c>
      <c r="AE119" s="209"/>
      <c r="AF119" s="209"/>
      <c r="AG119" s="208">
        <v>1</v>
      </c>
      <c r="AH119" s="222">
        <v>570</v>
      </c>
      <c r="AI119" s="209">
        <f t="shared" ref="AI119:AI126" si="79">AH119-I119</f>
        <v>0</v>
      </c>
      <c r="AJ119" s="229">
        <v>46153</v>
      </c>
      <c r="AK119" s="209" t="s">
        <v>2368</v>
      </c>
      <c r="AL119" s="209"/>
      <c r="AM119" s="209"/>
      <c r="AN119" s="210">
        <f t="shared" ref="AN119:AN122" si="80">I119*2</f>
        <v>1140</v>
      </c>
      <c r="AO119" s="210"/>
      <c r="AP119" s="210"/>
      <c r="AQ119" s="220"/>
      <c r="AR119" s="210"/>
      <c r="AS119" s="210">
        <f t="shared" ref="AS119:AS122" si="81">I119*2</f>
        <v>1140</v>
      </c>
      <c r="AT119" s="210"/>
      <c r="AU119" s="210">
        <f t="shared" ref="AU119:AU122" si="82">I119*2</f>
        <v>1140</v>
      </c>
      <c r="AV119" s="220"/>
      <c r="AW119" s="210"/>
      <c r="AX119" s="210"/>
      <c r="AY119" s="210"/>
      <c r="AZ119" s="210"/>
      <c r="BA119" s="221">
        <f t="shared" ref="BA119:BA122" si="83">I119/24*2</f>
        <v>47.5</v>
      </c>
      <c r="BB119" s="217"/>
      <c r="BC119" s="210"/>
      <c r="BD119" s="210"/>
      <c r="BE119" s="210"/>
      <c r="BG119" s="210"/>
      <c r="BH119" s="210"/>
      <c r="BI119" s="210"/>
      <c r="BJ119" s="210"/>
      <c r="BK119" s="210"/>
      <c r="BL119" s="210"/>
      <c r="BM119" s="210"/>
      <c r="BN119" s="210"/>
      <c r="BO119" s="210"/>
      <c r="BP119" s="210"/>
      <c r="BQ119" s="210"/>
      <c r="BR119" s="210"/>
      <c r="BS119" s="210"/>
      <c r="BT119" s="210"/>
      <c r="BU119" s="210"/>
      <c r="BV119" s="210"/>
      <c r="BW119" s="220"/>
      <c r="BX119" s="210"/>
      <c r="BY119" s="220"/>
      <c r="BZ119" s="220"/>
      <c r="CA119" s="220">
        <f t="shared" ref="CA119:CA122" si="84">I119</f>
        <v>570</v>
      </c>
      <c r="CB119" s="220"/>
      <c r="CC119" s="210"/>
      <c r="CD119" s="210"/>
      <c r="CF119" s="210"/>
      <c r="CG119" s="210"/>
      <c r="CH119" s="210"/>
      <c r="CI119" s="210"/>
      <c r="CJ119" s="210"/>
      <c r="CK119" s="210"/>
      <c r="CL119" s="210"/>
      <c r="CM119" s="210"/>
      <c r="CN119" s="210"/>
      <c r="CO119" s="210"/>
      <c r="CP119" s="210"/>
      <c r="CQ119" s="210"/>
      <c r="CR119" s="210">
        <f t="shared" ref="CR119:CR122" si="85">BP119+BO119+BN119+BM119+BV119+BQ119</f>
        <v>0</v>
      </c>
      <c r="CS119" s="210">
        <f>CH119+CI119+CJ119+CK119+CL119+CN119+CM119</f>
        <v>0</v>
      </c>
      <c r="CT119" s="210">
        <f>CF119+CG119</f>
        <v>0</v>
      </c>
      <c r="CU119" s="220"/>
      <c r="CV119" s="220"/>
      <c r="CW119" s="220"/>
      <c r="CX119" s="9"/>
      <c r="CY119" s="9"/>
      <c r="CZ119" s="9"/>
      <c r="DA119" s="220"/>
      <c r="DB119" s="220"/>
      <c r="DC119" s="220"/>
      <c r="DD119" s="220"/>
      <c r="DE119" s="220"/>
      <c r="DF119" s="9"/>
    </row>
    <row r="120" s="13" customFormat="1" ht="31" customHeight="1" spans="1:112">
      <c r="A120" s="157">
        <v>46164</v>
      </c>
      <c r="B120" s="208" t="s">
        <v>549</v>
      </c>
      <c r="C120" s="209" t="s">
        <v>154</v>
      </c>
      <c r="D120" s="210">
        <v>4500208520</v>
      </c>
      <c r="E120" s="209" t="s">
        <v>12239</v>
      </c>
      <c r="F120" s="210" t="s">
        <v>12240</v>
      </c>
      <c r="G120" s="209" t="s">
        <v>6337</v>
      </c>
      <c r="H120" s="209" t="s">
        <v>477</v>
      </c>
      <c r="I120" s="230">
        <v>1008</v>
      </c>
      <c r="J120" s="209">
        <v>0</v>
      </c>
      <c r="K120" s="209">
        <v>6</v>
      </c>
      <c r="L120" s="224">
        <f t="shared" si="77"/>
        <v>168</v>
      </c>
      <c r="M120" s="211">
        <v>46216</v>
      </c>
      <c r="N120" s="211">
        <v>46212</v>
      </c>
      <c r="O120" s="212"/>
      <c r="P120" s="209"/>
      <c r="Q120" s="213"/>
      <c r="R120" s="213" t="s">
        <v>463</v>
      </c>
      <c r="S120" s="213" t="s">
        <v>104</v>
      </c>
      <c r="T120" s="213" t="s">
        <v>12241</v>
      </c>
      <c r="U120" s="231"/>
      <c r="V120" s="14"/>
      <c r="W120" s="232" t="s">
        <v>12242</v>
      </c>
      <c r="X120" s="214" t="s">
        <v>428</v>
      </c>
      <c r="Y120" s="208">
        <v>7.0192</v>
      </c>
      <c r="Z120" s="214">
        <f t="shared" si="78"/>
        <v>7075.3536</v>
      </c>
      <c r="AB120" s="210"/>
      <c r="AC120" s="209" t="s">
        <v>480</v>
      </c>
      <c r="AD120" s="209" t="s">
        <v>82</v>
      </c>
      <c r="AE120" s="209"/>
      <c r="AF120" s="209"/>
      <c r="AG120" s="208"/>
      <c r="AH120" s="209"/>
      <c r="AI120" s="209">
        <f t="shared" si="79"/>
        <v>-1008</v>
      </c>
      <c r="AJ120" s="212"/>
      <c r="AK120" s="209"/>
      <c r="AL120" s="209"/>
      <c r="AM120" s="210"/>
      <c r="AN120" s="210">
        <f t="shared" si="80"/>
        <v>2016</v>
      </c>
      <c r="AO120" s="210"/>
      <c r="AP120" s="210"/>
      <c r="AQ120" s="220"/>
      <c r="AR120" s="210"/>
      <c r="AS120" s="210">
        <f t="shared" si="81"/>
        <v>2016</v>
      </c>
      <c r="AT120" s="210"/>
      <c r="AU120" s="210">
        <f t="shared" si="82"/>
        <v>2016</v>
      </c>
      <c r="AV120" s="210"/>
      <c r="AW120" s="217"/>
      <c r="AX120" s="210"/>
      <c r="AY120" s="210"/>
      <c r="AZ120" s="210"/>
      <c r="BA120" s="221">
        <f t="shared" si="83"/>
        <v>84</v>
      </c>
      <c r="BB120" s="210"/>
      <c r="BC120" s="210"/>
      <c r="BD120" s="210"/>
      <c r="BE120" s="210"/>
      <c r="BG120" s="210"/>
      <c r="BH120" s="210"/>
      <c r="BI120" s="210"/>
      <c r="BJ120" s="210"/>
      <c r="BK120" s="210"/>
      <c r="BL120" s="210"/>
      <c r="BM120" s="210"/>
      <c r="BN120" s="210"/>
      <c r="BO120" s="210"/>
      <c r="BP120" s="210"/>
      <c r="BQ120" s="210"/>
      <c r="BR120" s="210"/>
      <c r="BS120" s="210"/>
      <c r="BT120" s="210"/>
      <c r="BU120" s="210"/>
      <c r="BV120" s="210"/>
      <c r="BW120" s="210"/>
      <c r="BX120" s="210"/>
      <c r="BY120" s="210"/>
      <c r="BZ120" s="210"/>
      <c r="CA120" s="220">
        <f t="shared" si="84"/>
        <v>1008</v>
      </c>
      <c r="CB120" s="210"/>
      <c r="CC120" s="210"/>
      <c r="CD120" s="210"/>
      <c r="CF120" s="210"/>
      <c r="CG120" s="210"/>
      <c r="CH120" s="210"/>
      <c r="CI120" s="210"/>
      <c r="CJ120" s="210"/>
      <c r="CK120" s="210"/>
      <c r="CL120" s="210"/>
      <c r="CM120" s="220"/>
      <c r="CN120" s="220"/>
      <c r="CO120" s="210"/>
      <c r="CP120" s="210"/>
      <c r="CQ120" s="210"/>
      <c r="CR120" s="210">
        <f t="shared" si="85"/>
        <v>0</v>
      </c>
      <c r="CS120" s="210">
        <v>0</v>
      </c>
      <c r="CT120" s="210">
        <v>0</v>
      </c>
      <c r="CU120" s="220"/>
      <c r="CV120" s="220"/>
      <c r="CW120" s="220"/>
      <c r="CX120" s="220"/>
      <c r="CY120" s="220"/>
      <c r="CZ120" s="220"/>
      <c r="DA120" s="220"/>
      <c r="DB120" s="220"/>
      <c r="DC120" s="220"/>
      <c r="DD120" s="220"/>
      <c r="DE120" s="220"/>
      <c r="DF120" s="9"/>
    </row>
    <row r="121" s="13" customFormat="1" ht="31" customHeight="1" spans="1:112">
      <c r="A121" s="157">
        <v>46164</v>
      </c>
      <c r="B121" s="208" t="s">
        <v>549</v>
      </c>
      <c r="C121" s="209" t="s">
        <v>399</v>
      </c>
      <c r="D121" s="210">
        <v>4500208520</v>
      </c>
      <c r="E121" s="209" t="s">
        <v>10147</v>
      </c>
      <c r="F121" s="210" t="s">
        <v>12243</v>
      </c>
      <c r="G121" s="209" t="s">
        <v>6337</v>
      </c>
      <c r="H121" s="209" t="s">
        <v>477</v>
      </c>
      <c r="I121" s="230">
        <v>912</v>
      </c>
      <c r="J121" s="209">
        <v>0</v>
      </c>
      <c r="K121" s="209">
        <v>6</v>
      </c>
      <c r="L121" s="224">
        <f t="shared" si="77"/>
        <v>152</v>
      </c>
      <c r="M121" s="211">
        <v>46216</v>
      </c>
      <c r="N121" s="211">
        <v>46212</v>
      </c>
      <c r="O121" s="212"/>
      <c r="P121" s="209"/>
      <c r="Q121" s="213"/>
      <c r="R121" s="213" t="s">
        <v>463</v>
      </c>
      <c r="S121" s="213" t="s">
        <v>104</v>
      </c>
      <c r="T121" s="213" t="s">
        <v>12241</v>
      </c>
      <c r="U121" s="231"/>
      <c r="V121" s="14"/>
      <c r="W121" s="232" t="s">
        <v>12242</v>
      </c>
      <c r="X121" s="214" t="s">
        <v>428</v>
      </c>
      <c r="Y121" s="208">
        <v>7.3574</v>
      </c>
      <c r="Z121" s="214">
        <f t="shared" si="78"/>
        <v>6709.9488</v>
      </c>
      <c r="AB121" s="210"/>
      <c r="AC121" s="209" t="s">
        <v>480</v>
      </c>
      <c r="AD121" s="209" t="s">
        <v>82</v>
      </c>
      <c r="AE121" s="209"/>
      <c r="AF121" s="209"/>
      <c r="AG121" s="208"/>
      <c r="AH121" s="209"/>
      <c r="AI121" s="209">
        <f t="shared" si="79"/>
        <v>-912</v>
      </c>
      <c r="AJ121" s="212"/>
      <c r="AK121" s="209"/>
      <c r="AL121" s="209"/>
      <c r="AM121" s="210"/>
      <c r="AN121" s="210">
        <f t="shared" si="80"/>
        <v>1824</v>
      </c>
      <c r="AO121" s="210"/>
      <c r="AP121" s="210"/>
      <c r="AQ121" s="220"/>
      <c r="AR121" s="210"/>
      <c r="AS121" s="210">
        <f t="shared" si="81"/>
        <v>1824</v>
      </c>
      <c r="AT121" s="210"/>
      <c r="AU121" s="210">
        <f t="shared" si="82"/>
        <v>1824</v>
      </c>
      <c r="AV121" s="210"/>
      <c r="AW121" s="217"/>
      <c r="AX121" s="210"/>
      <c r="AY121" s="210"/>
      <c r="AZ121" s="210"/>
      <c r="BA121" s="221">
        <f t="shared" si="83"/>
        <v>76</v>
      </c>
      <c r="BB121" s="210"/>
      <c r="BC121" s="210"/>
      <c r="BD121" s="210"/>
      <c r="BE121" s="210"/>
      <c r="BG121" s="210"/>
      <c r="BH121" s="210"/>
      <c r="BI121" s="210"/>
      <c r="BJ121" s="210"/>
      <c r="BK121" s="210"/>
      <c r="BL121" s="210"/>
      <c r="BM121" s="210"/>
      <c r="BN121" s="210"/>
      <c r="BO121" s="210"/>
      <c r="BP121" s="210"/>
      <c r="BQ121" s="210"/>
      <c r="BR121" s="210"/>
      <c r="BS121" s="210"/>
      <c r="BT121" s="210"/>
      <c r="BU121" s="210"/>
      <c r="BV121" s="210"/>
      <c r="BW121" s="210"/>
      <c r="BX121" s="210"/>
      <c r="BY121" s="210"/>
      <c r="BZ121" s="210"/>
      <c r="CA121" s="220">
        <f t="shared" si="84"/>
        <v>912</v>
      </c>
      <c r="CB121" s="210"/>
      <c r="CC121" s="210"/>
      <c r="CD121" s="210"/>
      <c r="CF121" s="210"/>
      <c r="CG121" s="210"/>
      <c r="CH121" s="210"/>
      <c r="CI121" s="210"/>
      <c r="CJ121" s="210"/>
      <c r="CK121" s="210"/>
      <c r="CL121" s="210"/>
      <c r="CM121" s="220"/>
      <c r="CN121" s="220"/>
      <c r="CO121" s="210"/>
      <c r="CP121" s="210"/>
      <c r="CQ121" s="210"/>
      <c r="CR121" s="210">
        <f t="shared" si="85"/>
        <v>0</v>
      </c>
      <c r="CS121" s="210">
        <v>0</v>
      </c>
      <c r="CT121" s="210">
        <v>0</v>
      </c>
      <c r="CU121" s="220"/>
      <c r="CV121" s="220"/>
      <c r="CW121" s="220"/>
      <c r="CX121" s="220"/>
      <c r="CY121" s="220"/>
      <c r="CZ121" s="220"/>
      <c r="DA121" s="220"/>
      <c r="DB121" s="220"/>
      <c r="DC121" s="220"/>
      <c r="DD121" s="220"/>
      <c r="DE121" s="220"/>
      <c r="DF121" s="9"/>
    </row>
    <row r="122" s="13" customFormat="1" ht="31" customHeight="1" spans="1:112">
      <c r="A122" s="157">
        <v>46160</v>
      </c>
      <c r="B122" s="208" t="s">
        <v>1922</v>
      </c>
      <c r="C122" s="209" t="s">
        <v>278</v>
      </c>
      <c r="D122" s="210" t="s">
        <v>5360</v>
      </c>
      <c r="E122" s="209" t="s">
        <v>5361</v>
      </c>
      <c r="F122" s="210" t="s">
        <v>12244</v>
      </c>
      <c r="G122" s="209" t="s">
        <v>6337</v>
      </c>
      <c r="H122" s="209" t="s">
        <v>477</v>
      </c>
      <c r="I122" s="230">
        <v>1704</v>
      </c>
      <c r="J122" s="209">
        <v>0</v>
      </c>
      <c r="K122" s="209">
        <v>6</v>
      </c>
      <c r="L122" s="224">
        <f t="shared" si="77"/>
        <v>284</v>
      </c>
      <c r="M122" s="211">
        <v>46240</v>
      </c>
      <c r="N122" s="211">
        <v>46237</v>
      </c>
      <c r="O122" s="212"/>
      <c r="P122" s="209"/>
      <c r="Q122" s="213"/>
      <c r="R122" s="213" t="s">
        <v>463</v>
      </c>
      <c r="S122" s="213" t="s">
        <v>104</v>
      </c>
      <c r="T122" s="213" t="s">
        <v>12245</v>
      </c>
      <c r="U122" s="213"/>
      <c r="V122" s="226"/>
      <c r="W122" s="208" t="s">
        <v>12246</v>
      </c>
      <c r="X122" s="214" t="s">
        <v>466</v>
      </c>
      <c r="Y122" s="208">
        <v>7.0192</v>
      </c>
      <c r="Z122" s="214">
        <f t="shared" si="78"/>
        <v>11960.7168</v>
      </c>
      <c r="AB122" s="210"/>
      <c r="AC122" s="209" t="s">
        <v>480</v>
      </c>
      <c r="AD122" s="209" t="s">
        <v>82</v>
      </c>
      <c r="AE122" s="209"/>
      <c r="AF122" s="209"/>
      <c r="AG122" s="208"/>
      <c r="AH122" s="209"/>
      <c r="AI122" s="209">
        <f t="shared" si="79"/>
        <v>-1704</v>
      </c>
      <c r="AJ122" s="212"/>
      <c r="AK122" s="209"/>
      <c r="AL122" s="209"/>
      <c r="AM122" s="210"/>
      <c r="AN122" s="210">
        <f t="shared" si="80"/>
        <v>3408</v>
      </c>
      <c r="AO122" s="210"/>
      <c r="AP122" s="210"/>
      <c r="AQ122" s="220"/>
      <c r="AR122" s="210"/>
      <c r="AS122" s="210">
        <f t="shared" si="81"/>
        <v>3408</v>
      </c>
      <c r="AT122" s="210"/>
      <c r="AU122" s="210">
        <f t="shared" si="82"/>
        <v>3408</v>
      </c>
      <c r="AV122" s="210"/>
      <c r="AW122" s="217"/>
      <c r="AX122" s="210"/>
      <c r="AY122" s="210"/>
      <c r="AZ122" s="210"/>
      <c r="BA122" s="221">
        <f t="shared" si="83"/>
        <v>142</v>
      </c>
      <c r="BB122" s="210"/>
      <c r="BC122" s="210"/>
      <c r="BD122" s="210"/>
      <c r="BE122" s="210"/>
      <c r="BG122" s="210"/>
      <c r="BH122" s="210"/>
      <c r="BI122" s="210"/>
      <c r="BJ122" s="210"/>
      <c r="BK122" s="210"/>
      <c r="BL122" s="210"/>
      <c r="BM122" s="210"/>
      <c r="BN122" s="210"/>
      <c r="BO122" s="210"/>
      <c r="BP122" s="210"/>
      <c r="BQ122" s="210"/>
      <c r="BR122" s="210"/>
      <c r="BS122" s="210"/>
      <c r="BT122" s="210"/>
      <c r="BU122" s="210"/>
      <c r="BV122" s="210"/>
      <c r="BW122" s="210"/>
      <c r="BX122" s="210"/>
      <c r="BY122" s="210"/>
      <c r="BZ122" s="210"/>
      <c r="CA122" s="220">
        <f t="shared" si="84"/>
        <v>1704</v>
      </c>
      <c r="CB122" s="210"/>
      <c r="CC122" s="210"/>
      <c r="CD122" s="210"/>
      <c r="CF122" s="210"/>
      <c r="CG122" s="210"/>
      <c r="CH122" s="210"/>
      <c r="CI122" s="210"/>
      <c r="CJ122" s="210"/>
      <c r="CK122" s="210"/>
      <c r="CL122" s="210"/>
      <c r="CM122" s="220"/>
      <c r="CN122" s="220"/>
      <c r="CO122" s="210"/>
      <c r="CP122" s="210"/>
      <c r="CQ122" s="210"/>
      <c r="CR122" s="210">
        <f t="shared" si="85"/>
        <v>0</v>
      </c>
      <c r="CS122" s="210">
        <f>CH122+CI122+CJ122+CK122+CL122+CN122+CM122</f>
        <v>0</v>
      </c>
      <c r="CT122" s="210">
        <f>CF122+CG122</f>
        <v>0</v>
      </c>
      <c r="CU122" s="219"/>
      <c r="CV122" s="219"/>
      <c r="CW122" s="219"/>
      <c r="CX122" s="219"/>
      <c r="CY122" s="219"/>
      <c r="CZ122" s="219"/>
      <c r="DA122" s="219"/>
      <c r="DB122" s="219"/>
      <c r="DC122" s="219"/>
      <c r="DD122" s="219"/>
      <c r="DE122" s="219"/>
      <c r="DF122" s="9"/>
    </row>
    <row r="123" s="11" customFormat="1" ht="31" customHeight="1" spans="1:112">
      <c r="A123" s="157">
        <v>46160</v>
      </c>
      <c r="B123" s="208" t="s">
        <v>1922</v>
      </c>
      <c r="C123" s="209" t="s">
        <v>278</v>
      </c>
      <c r="D123" s="210" t="s">
        <v>5360</v>
      </c>
      <c r="E123" s="209" t="s">
        <v>5361</v>
      </c>
      <c r="F123" s="210" t="s">
        <v>12244</v>
      </c>
      <c r="G123" s="209" t="s">
        <v>518</v>
      </c>
      <c r="H123" s="209" t="s">
        <v>477</v>
      </c>
      <c r="I123" s="230">
        <v>1704</v>
      </c>
      <c r="J123" s="209">
        <v>0</v>
      </c>
      <c r="K123" s="209">
        <v>6</v>
      </c>
      <c r="L123" s="224">
        <f t="shared" si="77"/>
        <v>284</v>
      </c>
      <c r="M123" s="211">
        <v>46240</v>
      </c>
      <c r="N123" s="211">
        <v>46237</v>
      </c>
      <c r="O123" s="212" t="s">
        <v>12247</v>
      </c>
      <c r="P123" s="209"/>
      <c r="Q123" s="213"/>
      <c r="R123" s="213" t="s">
        <v>463</v>
      </c>
      <c r="S123" s="213" t="s">
        <v>104</v>
      </c>
      <c r="T123" s="213" t="s">
        <v>5364</v>
      </c>
      <c r="U123" s="213"/>
      <c r="V123" s="208"/>
      <c r="W123" s="208" t="s">
        <v>12248</v>
      </c>
      <c r="X123" s="214" t="s">
        <v>466</v>
      </c>
      <c r="Y123" s="215">
        <v>7.0192</v>
      </c>
      <c r="Z123" s="214">
        <f t="shared" si="78"/>
        <v>11960.7168</v>
      </c>
      <c r="AA123" s="218"/>
      <c r="AB123" s="209"/>
      <c r="AC123" s="209" t="s">
        <v>480</v>
      </c>
      <c r="AD123" s="209" t="s">
        <v>82</v>
      </c>
      <c r="AE123" s="209"/>
      <c r="AF123" s="209"/>
      <c r="AG123" s="209"/>
      <c r="AH123" s="209"/>
      <c r="AI123" s="209">
        <f t="shared" si="79"/>
        <v>-1704</v>
      </c>
      <c r="AJ123" s="209"/>
      <c r="AK123" s="209"/>
      <c r="AL123" s="210"/>
      <c r="AM123" s="210">
        <f t="shared" ref="AM123:AM126" si="86">I123</f>
        <v>1704</v>
      </c>
      <c r="AN123" s="210"/>
      <c r="AO123" s="210"/>
      <c r="AP123" s="210"/>
      <c r="AQ123" s="210"/>
      <c r="AR123" s="210">
        <f t="shared" ref="AR123:AR126" si="87">I123</f>
        <v>1704</v>
      </c>
      <c r="AS123" s="210">
        <f t="shared" ref="AS123:AS126" si="88">I123</f>
        <v>1704</v>
      </c>
      <c r="AT123" s="210"/>
      <c r="AU123" s="210">
        <f t="shared" ref="AU123:AU126" si="89">I123</f>
        <v>1704</v>
      </c>
      <c r="AV123" s="217"/>
      <c r="AW123" s="210"/>
      <c r="AX123" s="210"/>
      <c r="AY123" s="210"/>
      <c r="AZ123" s="210"/>
      <c r="BA123" s="210"/>
      <c r="BB123" s="210"/>
      <c r="BC123" s="210"/>
      <c r="BD123" s="210"/>
      <c r="BE123" s="210"/>
      <c r="BF123" s="210"/>
      <c r="BG123" s="210"/>
      <c r="BH123" s="210"/>
      <c r="BI123" s="210"/>
      <c r="BJ123" s="210"/>
      <c r="BK123" s="210"/>
      <c r="BL123" s="210">
        <f t="shared" ref="BL123:BL126" si="90">I123</f>
        <v>1704</v>
      </c>
      <c r="BM123" s="210"/>
      <c r="BN123" s="218"/>
      <c r="BO123" s="218"/>
      <c r="BP123" s="218"/>
      <c r="BQ123" s="218"/>
      <c r="BR123" s="218"/>
      <c r="BS123" s="218"/>
      <c r="BT123" s="218"/>
      <c r="BU123" s="218"/>
      <c r="BV123" s="218"/>
      <c r="BW123" s="218"/>
      <c r="BX123" s="218"/>
      <c r="BY123" s="218"/>
      <c r="BZ123" s="218"/>
      <c r="CA123" s="218"/>
      <c r="CB123" s="218"/>
      <c r="CC123" s="218"/>
      <c r="CD123" s="218"/>
      <c r="CE123" s="218"/>
      <c r="CF123" s="219"/>
      <c r="CG123" s="219"/>
      <c r="CH123" s="219"/>
      <c r="CI123" s="219"/>
      <c r="CJ123" s="219"/>
      <c r="CK123" s="218"/>
      <c r="CL123" s="218"/>
      <c r="CM123" s="218"/>
      <c r="CN123" s="219"/>
      <c r="CO123" s="219"/>
      <c r="CP123" s="219"/>
      <c r="CQ123" s="219"/>
      <c r="CR123" s="219"/>
      <c r="CS123" s="219"/>
      <c r="CT123" s="201"/>
    </row>
    <row r="124" s="11" customFormat="1" ht="31" customHeight="1" spans="1:112">
      <c r="A124" s="157">
        <v>46101</v>
      </c>
      <c r="B124" s="208" t="s">
        <v>3729</v>
      </c>
      <c r="C124" s="209" t="s">
        <v>278</v>
      </c>
      <c r="D124" s="210">
        <v>4500197232</v>
      </c>
      <c r="E124" s="209" t="s">
        <v>3879</v>
      </c>
      <c r="F124" s="210" t="s">
        <v>12237</v>
      </c>
      <c r="G124" s="233" t="s">
        <v>518</v>
      </c>
      <c r="H124" s="209" t="s">
        <v>477</v>
      </c>
      <c r="I124" s="230">
        <v>570</v>
      </c>
      <c r="J124" s="209">
        <v>0</v>
      </c>
      <c r="K124" s="209">
        <v>6</v>
      </c>
      <c r="L124" s="224">
        <f t="shared" si="77"/>
        <v>95</v>
      </c>
      <c r="M124" s="211">
        <v>46205</v>
      </c>
      <c r="N124" s="211">
        <v>46202</v>
      </c>
      <c r="O124" s="212"/>
      <c r="P124" s="212" t="s">
        <v>113</v>
      </c>
      <c r="Q124" s="213"/>
      <c r="R124" s="213" t="s">
        <v>463</v>
      </c>
      <c r="S124" s="213" t="s">
        <v>104</v>
      </c>
      <c r="T124" s="213" t="s">
        <v>3881</v>
      </c>
      <c r="U124" s="213"/>
      <c r="V124" s="208"/>
      <c r="W124" s="208" t="s">
        <v>12249</v>
      </c>
      <c r="X124" s="214" t="s">
        <v>3734</v>
      </c>
      <c r="Y124" s="234">
        <v>7.1628</v>
      </c>
      <c r="Z124" s="214">
        <f t="shared" si="78"/>
        <v>4082.796</v>
      </c>
      <c r="AA124" s="210"/>
      <c r="AB124" s="209"/>
      <c r="AC124" s="209" t="s">
        <v>480</v>
      </c>
      <c r="AD124" s="209" t="s">
        <v>82</v>
      </c>
      <c r="AE124" s="209"/>
      <c r="AF124" s="209"/>
      <c r="AG124" s="209">
        <v>1</v>
      </c>
      <c r="AH124" s="209"/>
      <c r="AI124" s="212">
        <f t="shared" si="79"/>
        <v>-570</v>
      </c>
      <c r="AJ124" s="229">
        <v>46153</v>
      </c>
      <c r="AK124" s="209"/>
      <c r="AL124" s="210"/>
      <c r="AM124" s="210">
        <f t="shared" si="86"/>
        <v>570</v>
      </c>
      <c r="AN124" s="210"/>
      <c r="AO124" s="210"/>
      <c r="AP124" s="210"/>
      <c r="AQ124" s="210"/>
      <c r="AR124" s="210">
        <f t="shared" si="87"/>
        <v>570</v>
      </c>
      <c r="AS124" s="210">
        <f t="shared" si="88"/>
        <v>570</v>
      </c>
      <c r="AT124" s="210"/>
      <c r="AU124" s="210">
        <f t="shared" si="89"/>
        <v>570</v>
      </c>
      <c r="AV124" s="217"/>
      <c r="AW124" s="210"/>
      <c r="AX124" s="210"/>
      <c r="AY124" s="210"/>
      <c r="AZ124" s="210"/>
      <c r="BA124" s="210"/>
      <c r="BB124" s="210"/>
      <c r="BC124" s="210"/>
      <c r="BD124" s="210"/>
      <c r="BE124" s="210"/>
      <c r="BF124" s="210"/>
      <c r="BG124" s="210"/>
      <c r="BH124" s="210"/>
      <c r="BI124" s="210"/>
      <c r="BJ124" s="210"/>
      <c r="BK124" s="210"/>
      <c r="BL124" s="210">
        <f t="shared" si="90"/>
        <v>570</v>
      </c>
      <c r="BM124" s="210"/>
      <c r="BN124" s="210"/>
      <c r="BO124" s="210"/>
      <c r="BP124" s="210"/>
      <c r="BQ124" s="210"/>
      <c r="BR124" s="210"/>
      <c r="BS124" s="210"/>
      <c r="BT124" s="210"/>
      <c r="BU124" s="210"/>
      <c r="BV124" s="210"/>
      <c r="BW124" s="210"/>
      <c r="BX124" s="210"/>
      <c r="BY124" s="210"/>
      <c r="BZ124" s="210"/>
      <c r="CA124" s="210"/>
      <c r="CB124" s="210"/>
      <c r="CC124" s="210"/>
      <c r="CD124" s="210"/>
      <c r="CE124" s="210"/>
      <c r="CF124" s="220"/>
      <c r="CG124" s="220"/>
      <c r="CH124" s="220"/>
      <c r="CI124" s="220"/>
      <c r="CJ124" s="220"/>
      <c r="CK124" s="210"/>
      <c r="CL124" s="210"/>
      <c r="CM124" s="210"/>
      <c r="CN124" s="220"/>
      <c r="CO124" s="220"/>
      <c r="CP124" s="220"/>
      <c r="CQ124" s="220"/>
      <c r="CR124" s="220"/>
      <c r="CS124" s="220"/>
    </row>
    <row r="125" s="11" customFormat="1" ht="31" customHeight="1" spans="1:112">
      <c r="A125" s="157">
        <v>46164</v>
      </c>
      <c r="B125" s="208" t="s">
        <v>549</v>
      </c>
      <c r="C125" s="209" t="s">
        <v>154</v>
      </c>
      <c r="D125" s="210">
        <v>4500208520</v>
      </c>
      <c r="E125" s="209" t="s">
        <v>12239</v>
      </c>
      <c r="F125" s="210" t="s">
        <v>12240</v>
      </c>
      <c r="G125" s="209" t="s">
        <v>518</v>
      </c>
      <c r="H125" s="209" t="s">
        <v>477</v>
      </c>
      <c r="I125" s="230">
        <v>1008</v>
      </c>
      <c r="J125" s="209">
        <v>0</v>
      </c>
      <c r="K125" s="209">
        <v>6</v>
      </c>
      <c r="L125" s="224">
        <f t="shared" si="77"/>
        <v>168</v>
      </c>
      <c r="M125" s="211">
        <v>46216</v>
      </c>
      <c r="N125" s="211">
        <v>46213</v>
      </c>
      <c r="O125" s="212" t="s">
        <v>12250</v>
      </c>
      <c r="P125" s="209"/>
      <c r="Q125" s="213"/>
      <c r="R125" s="213" t="s">
        <v>463</v>
      </c>
      <c r="S125" s="213" t="s">
        <v>104</v>
      </c>
      <c r="T125" s="213" t="s">
        <v>12251</v>
      </c>
      <c r="U125" s="213"/>
      <c r="V125" s="208"/>
      <c r="W125" s="208" t="s">
        <v>12252</v>
      </c>
      <c r="X125" s="214" t="s">
        <v>428</v>
      </c>
      <c r="Y125" s="215">
        <v>7.0192</v>
      </c>
      <c r="Z125" s="214">
        <f t="shared" si="78"/>
        <v>7075.3536</v>
      </c>
      <c r="AA125" s="210"/>
      <c r="AB125" s="209"/>
      <c r="AC125" s="209" t="s">
        <v>480</v>
      </c>
      <c r="AD125" s="209" t="s">
        <v>82</v>
      </c>
      <c r="AE125" s="209"/>
      <c r="AF125" s="209"/>
      <c r="AG125" s="209"/>
      <c r="AH125" s="208"/>
      <c r="AI125" s="209">
        <f t="shared" si="79"/>
        <v>-1008</v>
      </c>
      <c r="AJ125" s="209"/>
      <c r="AK125" s="209"/>
      <c r="AL125" s="210"/>
      <c r="AM125" s="210">
        <f t="shared" si="86"/>
        <v>1008</v>
      </c>
      <c r="AN125" s="210"/>
      <c r="AO125" s="210"/>
      <c r="AP125" s="210"/>
      <c r="AQ125" s="210"/>
      <c r="AR125" s="210">
        <f t="shared" si="87"/>
        <v>1008</v>
      </c>
      <c r="AS125" s="210">
        <f t="shared" si="88"/>
        <v>1008</v>
      </c>
      <c r="AT125" s="210"/>
      <c r="AU125" s="210">
        <f t="shared" si="89"/>
        <v>1008</v>
      </c>
      <c r="AV125" s="217"/>
      <c r="AW125" s="210"/>
      <c r="AX125" s="210"/>
      <c r="AY125" s="210"/>
      <c r="AZ125" s="210"/>
      <c r="BA125" s="210"/>
      <c r="BB125" s="210"/>
      <c r="BC125" s="210"/>
      <c r="BD125" s="210"/>
      <c r="BE125" s="210"/>
      <c r="BF125" s="210"/>
      <c r="BG125" s="210"/>
      <c r="BH125" s="210"/>
      <c r="BI125" s="210"/>
      <c r="BJ125" s="210"/>
      <c r="BK125" s="210"/>
      <c r="BL125" s="210">
        <f t="shared" si="90"/>
        <v>1008</v>
      </c>
      <c r="BM125" s="210"/>
      <c r="BN125" s="210"/>
      <c r="BO125" s="210"/>
      <c r="BP125" s="210"/>
      <c r="BQ125" s="210"/>
      <c r="BR125" s="210"/>
      <c r="BS125" s="210"/>
      <c r="BT125" s="210"/>
      <c r="BU125" s="210"/>
      <c r="BV125" s="210"/>
      <c r="BW125" s="210"/>
      <c r="BX125" s="210"/>
      <c r="BY125" s="210"/>
      <c r="BZ125" s="210"/>
      <c r="CA125" s="210"/>
      <c r="CB125" s="210"/>
      <c r="CC125" s="210"/>
      <c r="CD125" s="210"/>
      <c r="CE125" s="210"/>
      <c r="CF125" s="220"/>
      <c r="CG125" s="220"/>
      <c r="CH125" s="220"/>
      <c r="CI125" s="220"/>
      <c r="CJ125" s="220"/>
      <c r="CK125" s="210"/>
      <c r="CL125" s="210"/>
      <c r="CM125" s="210"/>
      <c r="CN125" s="220"/>
      <c r="CO125" s="220"/>
      <c r="CP125" s="220"/>
      <c r="CQ125" s="220"/>
      <c r="CR125" s="220"/>
      <c r="CS125" s="220"/>
      <c r="CT125" s="201"/>
    </row>
    <row r="126" s="11" customFormat="1" ht="31" customHeight="1" spans="1:112">
      <c r="A126" s="157">
        <v>46164</v>
      </c>
      <c r="B126" s="208" t="s">
        <v>549</v>
      </c>
      <c r="C126" s="209" t="s">
        <v>399</v>
      </c>
      <c r="D126" s="210">
        <v>4500208520</v>
      </c>
      <c r="E126" s="209" t="s">
        <v>10147</v>
      </c>
      <c r="F126" s="210" t="s">
        <v>12243</v>
      </c>
      <c r="G126" s="209" t="s">
        <v>518</v>
      </c>
      <c r="H126" s="209" t="s">
        <v>477</v>
      </c>
      <c r="I126" s="230">
        <v>912</v>
      </c>
      <c r="J126" s="209">
        <v>0</v>
      </c>
      <c r="K126" s="209">
        <v>6</v>
      </c>
      <c r="L126" s="224">
        <f t="shared" si="77"/>
        <v>152</v>
      </c>
      <c r="M126" s="211">
        <v>46216</v>
      </c>
      <c r="N126" s="211">
        <v>46213</v>
      </c>
      <c r="O126" s="212" t="s">
        <v>12250</v>
      </c>
      <c r="P126" s="209"/>
      <c r="Q126" s="213"/>
      <c r="R126" s="213" t="s">
        <v>463</v>
      </c>
      <c r="S126" s="213" t="s">
        <v>104</v>
      </c>
      <c r="T126" s="213" t="s">
        <v>12251</v>
      </c>
      <c r="U126" s="213"/>
      <c r="V126" s="208"/>
      <c r="W126" s="208" t="s">
        <v>12242</v>
      </c>
      <c r="X126" s="214" t="s">
        <v>428</v>
      </c>
      <c r="Y126" s="215">
        <v>7.3574</v>
      </c>
      <c r="Z126" s="214">
        <f t="shared" si="78"/>
        <v>6709.9488</v>
      </c>
      <c r="AA126" s="210"/>
      <c r="AB126" s="209"/>
      <c r="AC126" s="209" t="s">
        <v>480</v>
      </c>
      <c r="AD126" s="209" t="s">
        <v>82</v>
      </c>
      <c r="AE126" s="209"/>
      <c r="AF126" s="209"/>
      <c r="AG126" s="209"/>
      <c r="AH126" s="208"/>
      <c r="AI126" s="209">
        <f t="shared" si="79"/>
        <v>-912</v>
      </c>
      <c r="AJ126" s="209"/>
      <c r="AK126" s="209"/>
      <c r="AL126" s="210"/>
      <c r="AM126" s="210">
        <f t="shared" si="86"/>
        <v>912</v>
      </c>
      <c r="AN126" s="210"/>
      <c r="AO126" s="210"/>
      <c r="AP126" s="210"/>
      <c r="AQ126" s="210"/>
      <c r="AR126" s="210">
        <f t="shared" si="87"/>
        <v>912</v>
      </c>
      <c r="AS126" s="210">
        <f t="shared" si="88"/>
        <v>912</v>
      </c>
      <c r="AT126" s="210"/>
      <c r="AU126" s="210">
        <f t="shared" si="89"/>
        <v>912</v>
      </c>
      <c r="AV126" s="217"/>
      <c r="AW126" s="210"/>
      <c r="AX126" s="210"/>
      <c r="AY126" s="210"/>
      <c r="AZ126" s="210"/>
      <c r="BA126" s="210"/>
      <c r="BB126" s="210"/>
      <c r="BC126" s="210"/>
      <c r="BD126" s="210"/>
      <c r="BE126" s="210"/>
      <c r="BF126" s="210"/>
      <c r="BG126" s="210"/>
      <c r="BH126" s="210"/>
      <c r="BI126" s="210"/>
      <c r="BJ126" s="210"/>
      <c r="BK126" s="210"/>
      <c r="BL126" s="210">
        <f t="shared" si="90"/>
        <v>912</v>
      </c>
      <c r="BM126" s="210"/>
      <c r="BN126" s="210"/>
      <c r="BO126" s="210"/>
      <c r="BP126" s="210"/>
      <c r="BQ126" s="210"/>
      <c r="BR126" s="210"/>
      <c r="BS126" s="210"/>
      <c r="BT126" s="210"/>
      <c r="BU126" s="210"/>
      <c r="BV126" s="210"/>
      <c r="BW126" s="210"/>
      <c r="BX126" s="210"/>
      <c r="BY126" s="210"/>
      <c r="BZ126" s="210"/>
      <c r="CA126" s="210"/>
      <c r="CB126" s="210"/>
      <c r="CC126" s="210"/>
      <c r="CD126" s="210"/>
      <c r="CE126" s="210"/>
      <c r="CF126" s="220"/>
      <c r="CG126" s="220"/>
      <c r="CH126" s="220"/>
      <c r="CI126" s="220"/>
      <c r="CJ126" s="220"/>
      <c r="CK126" s="210"/>
      <c r="CL126" s="210"/>
      <c r="CM126" s="210"/>
      <c r="CN126" s="220"/>
      <c r="CO126" s="220"/>
      <c r="CP126" s="220"/>
      <c r="CQ126" s="220"/>
      <c r="CR126" s="220"/>
      <c r="CS126" s="220"/>
      <c r="CT126" s="201"/>
    </row>
    <row r="127" s="14" customFormat="1" ht="31" customHeight="1" spans="1:112">
      <c r="A127" s="235">
        <v>46217</v>
      </c>
      <c r="B127" s="236" t="s">
        <v>2206</v>
      </c>
      <c r="C127" s="237" t="s">
        <v>1343</v>
      </c>
      <c r="D127" s="238" t="s">
        <v>12253</v>
      </c>
      <c r="E127" s="237" t="s">
        <v>12254</v>
      </c>
      <c r="F127" s="238" t="s">
        <v>12255</v>
      </c>
      <c r="G127" s="237" t="s">
        <v>6276</v>
      </c>
      <c r="H127" s="237" t="s">
        <v>6277</v>
      </c>
      <c r="I127" s="239">
        <v>50</v>
      </c>
      <c r="J127" s="237">
        <v>0</v>
      </c>
      <c r="K127" s="237">
        <v>50</v>
      </c>
      <c r="L127" s="240">
        <f t="shared" si="77"/>
        <v>1</v>
      </c>
      <c r="M127" s="241">
        <v>46255</v>
      </c>
      <c r="N127" s="241">
        <v>46251</v>
      </c>
      <c r="O127" s="242"/>
      <c r="P127" s="237"/>
      <c r="Q127" s="243"/>
      <c r="R127" s="243"/>
      <c r="S127" s="243"/>
      <c r="T127" s="243"/>
      <c r="U127" s="243"/>
      <c r="V127" s="243"/>
      <c r="W127" s="244"/>
      <c r="X127" s="236" t="s">
        <v>12256</v>
      </c>
      <c r="Y127" s="245" t="s">
        <v>230</v>
      </c>
      <c r="Z127" s="236">
        <v>0.9572</v>
      </c>
      <c r="AA127" s="245">
        <f t="shared" ref="AA127:AA134" si="91">Z127*I127</f>
        <v>47.86</v>
      </c>
      <c r="AB127" s="244"/>
      <c r="AC127" s="238"/>
      <c r="AD127" s="237"/>
      <c r="AE127" s="237"/>
      <c r="AF127" s="237"/>
      <c r="AG127" s="237"/>
      <c r="AH127" s="236"/>
      <c r="AI127" s="208"/>
      <c r="AJ127" s="246"/>
      <c r="AK127" s="242"/>
      <c r="AL127" s="237"/>
      <c r="AM127" s="237"/>
      <c r="AN127" s="237"/>
      <c r="AO127" s="238"/>
      <c r="AP127" s="238"/>
      <c r="AQ127" s="238"/>
      <c r="AR127" s="247"/>
      <c r="AS127" s="238"/>
      <c r="AT127" s="238"/>
      <c r="AU127" s="238"/>
      <c r="AV127" s="238"/>
      <c r="AW127" s="238"/>
      <c r="AX127" s="248"/>
      <c r="AY127" s="238"/>
      <c r="AZ127" s="238"/>
      <c r="BA127" s="238"/>
      <c r="BB127" s="249"/>
      <c r="BC127" s="238"/>
      <c r="BD127" s="238"/>
      <c r="BE127" s="238"/>
      <c r="BF127" s="238"/>
      <c r="BH127" s="238"/>
      <c r="BI127" s="238"/>
      <c r="BJ127" s="238"/>
      <c r="BK127" s="238"/>
      <c r="BL127" s="238"/>
      <c r="BM127" s="238"/>
      <c r="BN127" s="238"/>
      <c r="BO127" s="238"/>
      <c r="BP127" s="238"/>
      <c r="BQ127" s="238"/>
      <c r="BR127" s="238"/>
      <c r="BS127" s="238"/>
      <c r="BT127" s="238"/>
      <c r="BU127" s="238"/>
      <c r="BV127" s="238"/>
      <c r="BW127" s="238"/>
      <c r="BX127" s="238"/>
      <c r="BY127" s="238"/>
      <c r="BZ127" s="238"/>
      <c r="CA127" s="247"/>
      <c r="CC127" s="238"/>
      <c r="CD127" s="238"/>
      <c r="CE127" s="238"/>
      <c r="CF127" s="238"/>
      <c r="CG127" s="238"/>
      <c r="CI127" s="238"/>
      <c r="CJ127" s="238"/>
      <c r="CK127" s="238"/>
      <c r="CL127" s="238"/>
      <c r="CM127" s="238"/>
      <c r="CN127" s="238"/>
      <c r="CO127" s="238"/>
      <c r="CP127" s="247"/>
      <c r="CQ127" s="247"/>
      <c r="CR127" s="238"/>
      <c r="CS127" s="238"/>
      <c r="CT127" s="238"/>
      <c r="CU127" s="238"/>
      <c r="CV127" s="238"/>
      <c r="CW127" s="238"/>
      <c r="CX127" s="247"/>
      <c r="CY127" s="247"/>
      <c r="CZ127" s="247"/>
      <c r="DA127" s="247"/>
      <c r="DB127" s="247"/>
      <c r="DC127" s="247"/>
      <c r="DD127" s="247"/>
      <c r="DE127" s="247"/>
      <c r="DF127" s="247"/>
      <c r="DG127" s="247"/>
      <c r="DH127" s="247"/>
    </row>
    <row r="128" s="11" customFormat="1" ht="31" customHeight="1" spans="1:112">
      <c r="A128" s="157">
        <v>46217</v>
      </c>
      <c r="B128" s="208" t="s">
        <v>2206</v>
      </c>
      <c r="C128" s="209" t="s">
        <v>1343</v>
      </c>
      <c r="D128" s="210">
        <v>4500216491</v>
      </c>
      <c r="E128" s="209" t="s">
        <v>12254</v>
      </c>
      <c r="F128" s="210" t="s">
        <v>12257</v>
      </c>
      <c r="G128" s="209" t="s">
        <v>101</v>
      </c>
      <c r="H128" s="209" t="s">
        <v>102</v>
      </c>
      <c r="I128" s="230">
        <v>48</v>
      </c>
      <c r="J128" s="209">
        <v>0</v>
      </c>
      <c r="K128" s="209">
        <v>4</v>
      </c>
      <c r="L128" s="224">
        <f t="shared" si="77"/>
        <v>12</v>
      </c>
      <c r="M128" s="211">
        <v>46255</v>
      </c>
      <c r="N128" s="211">
        <v>46251</v>
      </c>
      <c r="O128" s="212"/>
      <c r="P128" s="209"/>
      <c r="Q128" s="213"/>
      <c r="R128" s="213"/>
      <c r="S128" s="213"/>
      <c r="T128" s="213"/>
      <c r="U128" s="213"/>
      <c r="V128" s="213"/>
      <c r="W128" s="208"/>
      <c r="X128" s="208" t="s">
        <v>12258</v>
      </c>
      <c r="Y128" s="214" t="s">
        <v>230</v>
      </c>
      <c r="Z128" s="215">
        <v>4.5181</v>
      </c>
      <c r="AA128" s="214">
        <f t="shared" si="91"/>
        <v>216.8688</v>
      </c>
      <c r="AB128" s="210"/>
      <c r="AC128" s="209"/>
      <c r="AD128" s="209"/>
      <c r="AE128" s="209"/>
      <c r="AF128" s="209"/>
      <c r="AG128" s="209"/>
      <c r="AH128" s="209"/>
      <c r="AI128" s="208"/>
      <c r="AJ128" s="212"/>
      <c r="AK128" s="209"/>
      <c r="AL128" s="209"/>
      <c r="AM128" s="210"/>
      <c r="AN128" s="210">
        <f t="shared" ref="AN128:AN134" si="92">I128</f>
        <v>48</v>
      </c>
      <c r="AO128" s="210"/>
      <c r="AP128" s="210"/>
      <c r="AQ128" s="210"/>
      <c r="AR128" s="210"/>
      <c r="AS128" s="210"/>
      <c r="AT128" s="210"/>
      <c r="AU128" s="210"/>
      <c r="AV128" s="210"/>
      <c r="AW128" s="210"/>
      <c r="AX128" s="217"/>
      <c r="AY128" s="210"/>
      <c r="AZ128" s="210"/>
      <c r="BA128" s="210"/>
      <c r="BB128" s="210"/>
      <c r="BC128" s="210"/>
      <c r="BD128" s="210"/>
      <c r="BE128" s="210"/>
      <c r="BF128" s="210"/>
      <c r="BG128" s="210"/>
      <c r="BH128" s="210"/>
      <c r="BI128" s="210"/>
      <c r="BJ128" s="210"/>
      <c r="BK128" s="210"/>
      <c r="BL128" s="210"/>
      <c r="BM128" s="210"/>
      <c r="BN128" s="210"/>
      <c r="BO128" s="210"/>
      <c r="BP128" s="210"/>
      <c r="BQ128" s="210"/>
      <c r="BR128" s="210"/>
      <c r="BS128" s="210"/>
      <c r="BT128" s="210"/>
      <c r="BU128" s="210"/>
      <c r="BV128" s="210"/>
      <c r="BW128" s="210"/>
      <c r="BX128" s="210"/>
      <c r="BY128" s="210"/>
      <c r="BZ128" s="210"/>
      <c r="CA128" s="210"/>
      <c r="CB128" s="210"/>
      <c r="CC128" s="210"/>
      <c r="CD128" s="210"/>
      <c r="CE128" s="210"/>
      <c r="CF128" s="210"/>
      <c r="CG128" s="210"/>
      <c r="CH128" s="220"/>
      <c r="CI128" s="220"/>
      <c r="CJ128" s="220"/>
      <c r="CK128" s="220"/>
      <c r="CL128" s="220"/>
      <c r="CM128" s="210"/>
      <c r="CN128" s="210"/>
      <c r="CO128" s="210"/>
      <c r="CP128" s="220"/>
      <c r="CQ128" s="220"/>
      <c r="CR128" s="220"/>
      <c r="CS128" s="220"/>
      <c r="CT128" s="220"/>
      <c r="CU128" s="220"/>
    </row>
    <row r="129" s="15" customFormat="1" ht="31" customHeight="1" spans="1:112">
      <c r="A129" s="157">
        <v>46230</v>
      </c>
      <c r="B129" s="208" t="s">
        <v>139</v>
      </c>
      <c r="C129" s="209" t="s">
        <v>76</v>
      </c>
      <c r="D129" s="210">
        <v>4500211292</v>
      </c>
      <c r="E129" s="209">
        <v>21750152</v>
      </c>
      <c r="F129" s="210" t="s">
        <v>12259</v>
      </c>
      <c r="G129" s="209" t="s">
        <v>68</v>
      </c>
      <c r="H129" s="209" t="s">
        <v>69</v>
      </c>
      <c r="I129" s="230">
        <v>132</v>
      </c>
      <c r="J129" s="209">
        <v>0</v>
      </c>
      <c r="K129" s="209">
        <v>12</v>
      </c>
      <c r="L129" s="224">
        <f t="shared" si="77"/>
        <v>11</v>
      </c>
      <c r="M129" s="211">
        <v>46272</v>
      </c>
      <c r="N129" s="225" t="s">
        <v>12260</v>
      </c>
      <c r="O129" s="212"/>
      <c r="P129" s="209"/>
      <c r="Q129" s="213"/>
      <c r="R129" s="213" t="s">
        <v>454</v>
      </c>
      <c r="S129" s="213" t="s">
        <v>104</v>
      </c>
      <c r="T129" s="213" t="s">
        <v>12261</v>
      </c>
      <c r="U129" s="213"/>
      <c r="V129" s="213"/>
      <c r="W129" s="208"/>
      <c r="X129" s="208" t="s">
        <v>12262</v>
      </c>
      <c r="Y129" s="214" t="s">
        <v>3206</v>
      </c>
      <c r="Z129" s="215">
        <v>4.4711</v>
      </c>
      <c r="AA129" s="214">
        <f t="shared" si="91"/>
        <v>590.1852</v>
      </c>
      <c r="AB129" s="210"/>
      <c r="AC129" s="209"/>
      <c r="AD129" s="209" t="s">
        <v>68</v>
      </c>
      <c r="AE129" s="209" t="s">
        <v>82</v>
      </c>
      <c r="AF129" s="209"/>
      <c r="AG129" s="209"/>
      <c r="AH129" s="209"/>
      <c r="AI129" s="208"/>
      <c r="AJ129" s="209">
        <f t="shared" ref="AJ129:AJ134" si="93">AI129-I129</f>
        <v>-132</v>
      </c>
      <c r="AK129" s="209"/>
      <c r="AL129" s="209"/>
      <c r="AM129" s="210"/>
      <c r="AN129" s="210">
        <f t="shared" si="92"/>
        <v>132</v>
      </c>
      <c r="AO129" s="210"/>
      <c r="AP129" s="210"/>
      <c r="AQ129" s="210"/>
      <c r="AR129" s="210">
        <f>I129</f>
        <v>132</v>
      </c>
      <c r="AS129" s="210"/>
      <c r="AT129" s="210"/>
      <c r="AU129" s="210">
        <f t="shared" ref="AU129:AU134" si="94">I129</f>
        <v>132</v>
      </c>
      <c r="AV129" s="210"/>
      <c r="AW129" s="210">
        <f>I129</f>
        <v>132</v>
      </c>
      <c r="AX129" s="217"/>
      <c r="AY129" s="210"/>
      <c r="AZ129" s="210"/>
      <c r="BA129" s="210"/>
      <c r="BB129" s="210"/>
      <c r="BC129" s="210"/>
      <c r="BD129" s="210"/>
      <c r="BE129" s="210"/>
      <c r="BF129" s="210"/>
      <c r="BG129" s="210"/>
      <c r="BH129" s="210"/>
      <c r="BI129" s="210"/>
      <c r="BJ129" s="210"/>
      <c r="BK129" s="210"/>
      <c r="BL129" s="210"/>
      <c r="BM129" s="210"/>
      <c r="BN129" s="210"/>
      <c r="BO129" s="210"/>
      <c r="BP129" s="218"/>
      <c r="BQ129" s="218"/>
      <c r="BR129" s="218"/>
      <c r="BS129" s="218"/>
      <c r="BT129" s="218"/>
      <c r="BU129" s="218"/>
      <c r="BV129" s="218"/>
      <c r="BW129" s="218"/>
      <c r="BX129" s="218"/>
      <c r="BY129" s="218"/>
      <c r="BZ129" s="218"/>
      <c r="CA129" s="218"/>
      <c r="CB129" s="218"/>
      <c r="CC129" s="218"/>
      <c r="CD129" s="218"/>
      <c r="CE129" s="218"/>
      <c r="CF129" s="218"/>
      <c r="CG129" s="218"/>
      <c r="CH129" s="219"/>
      <c r="CI129" s="219"/>
      <c r="CJ129" s="219"/>
      <c r="CK129" s="219"/>
      <c r="CL129" s="219"/>
      <c r="CM129" s="218"/>
      <c r="CN129" s="218"/>
      <c r="CO129" s="218"/>
      <c r="CP129" s="219"/>
      <c r="CQ129" s="219"/>
      <c r="CR129" s="219"/>
      <c r="CS129" s="219"/>
      <c r="CT129" s="219"/>
      <c r="CU129" s="219"/>
    </row>
    <row r="130" s="15" customFormat="1" ht="31" customHeight="1" spans="1:112">
      <c r="A130" s="157">
        <v>46230</v>
      </c>
      <c r="B130" s="208" t="s">
        <v>135</v>
      </c>
      <c r="C130" s="209" t="s">
        <v>128</v>
      </c>
      <c r="D130" s="210">
        <v>4500211288</v>
      </c>
      <c r="E130" s="209">
        <v>21750148</v>
      </c>
      <c r="F130" s="210" t="s">
        <v>12263</v>
      </c>
      <c r="G130" s="209" t="s">
        <v>68</v>
      </c>
      <c r="H130" s="209" t="s">
        <v>69</v>
      </c>
      <c r="I130" s="230">
        <v>1368</v>
      </c>
      <c r="J130" s="209">
        <v>0</v>
      </c>
      <c r="K130" s="209">
        <v>12</v>
      </c>
      <c r="L130" s="224">
        <f t="shared" si="77"/>
        <v>114</v>
      </c>
      <c r="M130" s="211">
        <v>46272</v>
      </c>
      <c r="N130" s="225" t="s">
        <v>12260</v>
      </c>
      <c r="O130" s="212"/>
      <c r="P130" s="209"/>
      <c r="Q130" s="213"/>
      <c r="R130" s="213" t="s">
        <v>454</v>
      </c>
      <c r="S130" s="213" t="s">
        <v>104</v>
      </c>
      <c r="T130" s="213" t="s">
        <v>12261</v>
      </c>
      <c r="U130" s="213"/>
      <c r="V130" s="213"/>
      <c r="W130" s="208"/>
      <c r="X130" s="208" t="s">
        <v>12264</v>
      </c>
      <c r="Y130" s="214" t="s">
        <v>3206</v>
      </c>
      <c r="Z130" s="215">
        <v>4.4711</v>
      </c>
      <c r="AA130" s="214">
        <f t="shared" si="91"/>
        <v>6116.4648</v>
      </c>
      <c r="AB130" s="210"/>
      <c r="AC130" s="209"/>
      <c r="AD130" s="209" t="s">
        <v>68</v>
      </c>
      <c r="AE130" s="209" t="s">
        <v>82</v>
      </c>
      <c r="AF130" s="209"/>
      <c r="AG130" s="209"/>
      <c r="AH130" s="209"/>
      <c r="AI130" s="208"/>
      <c r="AJ130" s="209">
        <f t="shared" si="93"/>
        <v>-1368</v>
      </c>
      <c r="AK130" s="209"/>
      <c r="AL130" s="209"/>
      <c r="AM130" s="210"/>
      <c r="AN130" s="210">
        <f t="shared" si="92"/>
        <v>1368</v>
      </c>
      <c r="AO130" s="210"/>
      <c r="AP130" s="210"/>
      <c r="AQ130" s="210"/>
      <c r="AR130" s="210">
        <f>I130</f>
        <v>1368</v>
      </c>
      <c r="AS130" s="210"/>
      <c r="AT130" s="210"/>
      <c r="AU130" s="210">
        <f t="shared" si="94"/>
        <v>1368</v>
      </c>
      <c r="AV130" s="210"/>
      <c r="AW130" s="210">
        <f>I130</f>
        <v>1368</v>
      </c>
      <c r="AX130" s="217"/>
      <c r="AY130" s="210"/>
      <c r="AZ130" s="210"/>
      <c r="BA130" s="210"/>
      <c r="BB130" s="210"/>
      <c r="BC130" s="210"/>
      <c r="BD130" s="210"/>
      <c r="BE130" s="210"/>
      <c r="BF130" s="210"/>
      <c r="BG130" s="210"/>
      <c r="BH130" s="210"/>
      <c r="BI130" s="210"/>
      <c r="BJ130" s="210"/>
      <c r="BK130" s="210"/>
      <c r="BL130" s="210"/>
      <c r="BM130" s="210"/>
      <c r="BN130" s="210"/>
      <c r="BO130" s="210"/>
      <c r="BP130" s="218"/>
      <c r="BQ130" s="218"/>
      <c r="BR130" s="218"/>
      <c r="BS130" s="218"/>
      <c r="BT130" s="218"/>
      <c r="BU130" s="218"/>
      <c r="BV130" s="218"/>
      <c r="BW130" s="218"/>
      <c r="BX130" s="218"/>
      <c r="BY130" s="218"/>
      <c r="BZ130" s="218"/>
      <c r="CA130" s="218"/>
      <c r="CB130" s="218"/>
      <c r="CC130" s="218"/>
      <c r="CD130" s="218"/>
      <c r="CE130" s="218"/>
      <c r="CF130" s="218"/>
      <c r="CG130" s="218"/>
      <c r="CH130" s="219"/>
      <c r="CI130" s="219"/>
      <c r="CJ130" s="219"/>
      <c r="CK130" s="219"/>
      <c r="CL130" s="219"/>
      <c r="CM130" s="218"/>
      <c r="CN130" s="218"/>
      <c r="CO130" s="218"/>
      <c r="CP130" s="219"/>
      <c r="CQ130" s="219"/>
      <c r="CR130" s="219"/>
      <c r="CS130" s="219"/>
      <c r="CT130" s="219"/>
      <c r="CU130" s="219"/>
    </row>
    <row r="131" s="16" customFormat="1" ht="31" customHeight="1" spans="1:112">
      <c r="A131" s="235">
        <v>46211</v>
      </c>
      <c r="B131" s="236" t="s">
        <v>12265</v>
      </c>
      <c r="C131" s="237" t="s">
        <v>98</v>
      </c>
      <c r="D131" s="250">
        <v>4500215323</v>
      </c>
      <c r="E131" s="242">
        <v>224277</v>
      </c>
      <c r="F131" s="238" t="s">
        <v>12266</v>
      </c>
      <c r="G131" s="237" t="s">
        <v>12267</v>
      </c>
      <c r="H131" s="209" t="s">
        <v>12268</v>
      </c>
      <c r="I131" s="239">
        <v>192</v>
      </c>
      <c r="J131" s="237">
        <v>0</v>
      </c>
      <c r="K131" s="237">
        <v>48</v>
      </c>
      <c r="L131" s="240">
        <f t="shared" si="77"/>
        <v>4</v>
      </c>
      <c r="M131" s="241">
        <v>46275</v>
      </c>
      <c r="N131" s="251" t="s">
        <v>12269</v>
      </c>
      <c r="O131" s="242" t="s">
        <v>2368</v>
      </c>
      <c r="P131" s="237"/>
      <c r="Q131" s="243"/>
      <c r="R131" s="213">
        <v>46225</v>
      </c>
      <c r="S131" s="213" t="s">
        <v>70</v>
      </c>
      <c r="T131" s="243" t="s">
        <v>12270</v>
      </c>
      <c r="U131" s="243"/>
      <c r="V131" s="236" t="s">
        <v>12271</v>
      </c>
      <c r="W131" s="236"/>
      <c r="X131" s="236" t="s">
        <v>12272</v>
      </c>
      <c r="Y131" s="245" t="s">
        <v>12273</v>
      </c>
      <c r="Z131" s="236">
        <v>0.612</v>
      </c>
      <c r="AA131" s="245">
        <f t="shared" si="91"/>
        <v>117.504</v>
      </c>
      <c r="AB131" s="236"/>
      <c r="AC131" s="238"/>
      <c r="AD131" s="237" t="s">
        <v>12274</v>
      </c>
      <c r="AE131" s="237"/>
      <c r="AF131" s="237"/>
      <c r="AG131" s="237"/>
      <c r="AH131" s="236"/>
      <c r="AI131" s="208"/>
      <c r="AJ131" s="209">
        <f t="shared" si="93"/>
        <v>-192</v>
      </c>
      <c r="AK131" s="242"/>
      <c r="AL131" s="237"/>
      <c r="AM131" s="237"/>
      <c r="AN131" s="252">
        <f t="shared" si="92"/>
        <v>192</v>
      </c>
      <c r="AO131" s="238"/>
      <c r="AP131" s="238">
        <f t="shared" ref="AP131:AP134" si="95">I131</f>
        <v>192</v>
      </c>
      <c r="AQ131" s="238"/>
      <c r="AR131" s="247"/>
      <c r="AS131" s="238"/>
      <c r="AT131" s="238"/>
      <c r="AU131" s="210">
        <f t="shared" si="94"/>
        <v>192</v>
      </c>
      <c r="AV131" s="238"/>
      <c r="AW131" s="238"/>
      <c r="AX131" s="248"/>
      <c r="AY131" s="238"/>
      <c r="AZ131" s="238"/>
      <c r="BA131" s="238"/>
      <c r="BB131" s="221">
        <f t="shared" ref="BB131:BB134" si="96">I131/24</f>
        <v>8</v>
      </c>
      <c r="BC131" s="238"/>
      <c r="BD131" s="238"/>
      <c r="BE131" s="238"/>
      <c r="BF131" s="238"/>
      <c r="BG131" s="238"/>
      <c r="BH131" s="238"/>
      <c r="BI131" s="238"/>
      <c r="BJ131" s="238"/>
      <c r="BK131" s="238"/>
      <c r="BL131" s="238"/>
      <c r="BM131" s="238"/>
      <c r="BN131" s="238"/>
      <c r="BO131" s="238"/>
      <c r="BP131" s="238"/>
      <c r="BQ131" s="238"/>
      <c r="BR131" s="238"/>
      <c r="BS131" s="238"/>
      <c r="BT131" s="238"/>
      <c r="BU131" s="238">
        <f t="shared" ref="BU131:BU134" si="97">I131/24</f>
        <v>8</v>
      </c>
      <c r="BV131" s="238"/>
      <c r="BW131" s="238"/>
      <c r="BX131" s="238"/>
      <c r="BY131" s="238"/>
      <c r="BZ131" s="238"/>
      <c r="CA131" s="247"/>
      <c r="CB131" s="238"/>
      <c r="CC131" s="238"/>
      <c r="CD131" s="238"/>
      <c r="CE131" s="238"/>
      <c r="CF131" s="238"/>
      <c r="CG131" s="238"/>
      <c r="CH131" s="238"/>
      <c r="CI131" s="238"/>
      <c r="CJ131" s="238"/>
      <c r="CK131" s="238"/>
      <c r="CL131" s="238"/>
      <c r="CM131" s="238"/>
      <c r="CN131" s="238"/>
      <c r="CO131" s="238"/>
      <c r="CP131" s="247"/>
      <c r="CQ131" s="247"/>
      <c r="CR131" s="238"/>
      <c r="CS131" s="238"/>
      <c r="CT131" s="238"/>
      <c r="CU131" s="238"/>
      <c r="CV131" s="238"/>
      <c r="CW131" s="238"/>
      <c r="CX131" s="247"/>
      <c r="CY131" s="247"/>
      <c r="CZ131" s="247"/>
      <c r="DA131" s="247"/>
      <c r="DB131" s="247"/>
      <c r="DC131" s="247"/>
      <c r="DD131" s="247"/>
      <c r="DE131" s="247"/>
      <c r="DF131" s="247"/>
      <c r="DG131" s="247"/>
      <c r="DH131" s="247"/>
    </row>
    <row r="132" s="16" customFormat="1" ht="31" customHeight="1" spans="1:112">
      <c r="A132" s="235">
        <v>46211</v>
      </c>
      <c r="B132" s="236" t="s">
        <v>12265</v>
      </c>
      <c r="C132" s="237" t="s">
        <v>98</v>
      </c>
      <c r="D132" s="250">
        <v>4500215323</v>
      </c>
      <c r="E132" s="242">
        <v>224647</v>
      </c>
      <c r="F132" s="238" t="s">
        <v>12275</v>
      </c>
      <c r="G132" s="237" t="s">
        <v>12267</v>
      </c>
      <c r="H132" s="209" t="s">
        <v>12268</v>
      </c>
      <c r="I132" s="239">
        <v>192</v>
      </c>
      <c r="J132" s="237">
        <v>0</v>
      </c>
      <c r="K132" s="237">
        <v>48</v>
      </c>
      <c r="L132" s="240">
        <f t="shared" si="77"/>
        <v>4</v>
      </c>
      <c r="M132" s="241">
        <v>46275</v>
      </c>
      <c r="N132" s="251" t="s">
        <v>12269</v>
      </c>
      <c r="O132" s="242" t="s">
        <v>2368</v>
      </c>
      <c r="P132" s="237"/>
      <c r="Q132" s="243"/>
      <c r="R132" s="213">
        <v>46225</v>
      </c>
      <c r="S132" s="213" t="s">
        <v>70</v>
      </c>
      <c r="T132" s="243" t="s">
        <v>12270</v>
      </c>
      <c r="U132" s="243"/>
      <c r="V132" s="236" t="s">
        <v>12271</v>
      </c>
      <c r="W132" s="236"/>
      <c r="X132" s="236" t="s">
        <v>12272</v>
      </c>
      <c r="Y132" s="245" t="s">
        <v>12273</v>
      </c>
      <c r="Z132" s="236">
        <v>0.612</v>
      </c>
      <c r="AA132" s="245">
        <f t="shared" si="91"/>
        <v>117.504</v>
      </c>
      <c r="AB132" s="236"/>
      <c r="AC132" s="238"/>
      <c r="AD132" s="237" t="s">
        <v>12274</v>
      </c>
      <c r="AE132" s="237"/>
      <c r="AF132" s="237"/>
      <c r="AG132" s="237"/>
      <c r="AH132" s="236"/>
      <c r="AI132" s="208"/>
      <c r="AJ132" s="209">
        <f t="shared" si="93"/>
        <v>-192</v>
      </c>
      <c r="AK132" s="242"/>
      <c r="AL132" s="237"/>
      <c r="AM132" s="237"/>
      <c r="AN132" s="252">
        <f t="shared" si="92"/>
        <v>192</v>
      </c>
      <c r="AO132" s="238"/>
      <c r="AP132" s="238">
        <f t="shared" si="95"/>
        <v>192</v>
      </c>
      <c r="AQ132" s="238"/>
      <c r="AR132" s="247"/>
      <c r="AS132" s="238"/>
      <c r="AT132" s="238"/>
      <c r="AU132" s="210">
        <f t="shared" si="94"/>
        <v>192</v>
      </c>
      <c r="AV132" s="238"/>
      <c r="AW132" s="238"/>
      <c r="AX132" s="248"/>
      <c r="AY132" s="238"/>
      <c r="AZ132" s="238"/>
      <c r="BA132" s="238"/>
      <c r="BB132" s="221">
        <f t="shared" si="96"/>
        <v>8</v>
      </c>
      <c r="BC132" s="238"/>
      <c r="BD132" s="238"/>
      <c r="BE132" s="238"/>
      <c r="BF132" s="238"/>
      <c r="BG132" s="238"/>
      <c r="BH132" s="238"/>
      <c r="BI132" s="238"/>
      <c r="BJ132" s="238"/>
      <c r="BK132" s="238"/>
      <c r="BL132" s="238"/>
      <c r="BM132" s="238"/>
      <c r="BN132" s="238"/>
      <c r="BO132" s="238"/>
      <c r="BP132" s="238"/>
      <c r="BQ132" s="238"/>
      <c r="BR132" s="238"/>
      <c r="BS132" s="238"/>
      <c r="BT132" s="238"/>
      <c r="BU132" s="238">
        <f t="shared" si="97"/>
        <v>8</v>
      </c>
      <c r="BV132" s="238"/>
      <c r="BW132" s="238"/>
      <c r="BX132" s="238"/>
      <c r="BY132" s="238"/>
      <c r="BZ132" s="238"/>
      <c r="CA132" s="247"/>
      <c r="CB132" s="238"/>
      <c r="CC132" s="238"/>
      <c r="CD132" s="238"/>
      <c r="CE132" s="238"/>
      <c r="CF132" s="238"/>
      <c r="CG132" s="238"/>
      <c r="CH132" s="238"/>
      <c r="CI132" s="238"/>
      <c r="CJ132" s="238"/>
      <c r="CK132" s="238"/>
      <c r="CL132" s="238"/>
      <c r="CM132" s="238"/>
      <c r="CN132" s="238"/>
      <c r="CO132" s="238"/>
      <c r="CP132" s="247"/>
      <c r="CQ132" s="247"/>
      <c r="CR132" s="238"/>
      <c r="CS132" s="238"/>
      <c r="CT132" s="238"/>
      <c r="CU132" s="238"/>
      <c r="CV132" s="238"/>
      <c r="CW132" s="238"/>
      <c r="CX132" s="247"/>
      <c r="CY132" s="247"/>
      <c r="CZ132" s="247"/>
      <c r="DA132" s="247"/>
      <c r="DB132" s="247"/>
      <c r="DC132" s="247"/>
      <c r="DD132" s="247"/>
      <c r="DE132" s="247"/>
      <c r="DF132" s="247"/>
      <c r="DG132" s="247"/>
      <c r="DH132" s="247"/>
    </row>
    <row r="133" s="16" customFormat="1" ht="31" customHeight="1" spans="1:112">
      <c r="A133" s="235">
        <v>46211</v>
      </c>
      <c r="B133" s="236" t="s">
        <v>12265</v>
      </c>
      <c r="C133" s="237" t="s">
        <v>98</v>
      </c>
      <c r="D133" s="250">
        <v>4500215323</v>
      </c>
      <c r="E133" s="242">
        <v>224648</v>
      </c>
      <c r="F133" s="238" t="s">
        <v>12276</v>
      </c>
      <c r="G133" s="237" t="s">
        <v>12267</v>
      </c>
      <c r="H133" s="209" t="s">
        <v>12268</v>
      </c>
      <c r="I133" s="239">
        <v>192</v>
      </c>
      <c r="J133" s="237">
        <v>0</v>
      </c>
      <c r="K133" s="237">
        <v>48</v>
      </c>
      <c r="L133" s="240">
        <f t="shared" si="77"/>
        <v>4</v>
      </c>
      <c r="M133" s="241">
        <v>46289</v>
      </c>
      <c r="N133" s="251" t="s">
        <v>12269</v>
      </c>
      <c r="O133" s="242" t="s">
        <v>2368</v>
      </c>
      <c r="P133" s="237"/>
      <c r="Q133" s="243"/>
      <c r="R133" s="213">
        <v>46225</v>
      </c>
      <c r="S133" s="213" t="s">
        <v>70</v>
      </c>
      <c r="T133" s="243" t="s">
        <v>12270</v>
      </c>
      <c r="U133" s="243"/>
      <c r="V133" s="236" t="s">
        <v>12271</v>
      </c>
      <c r="W133" s="236"/>
      <c r="X133" s="236" t="s">
        <v>12272</v>
      </c>
      <c r="Y133" s="245" t="s">
        <v>12273</v>
      </c>
      <c r="Z133" s="236">
        <v>0.612</v>
      </c>
      <c r="AA133" s="245">
        <f t="shared" si="91"/>
        <v>117.504</v>
      </c>
      <c r="AB133" s="236"/>
      <c r="AC133" s="238"/>
      <c r="AD133" s="237" t="s">
        <v>12274</v>
      </c>
      <c r="AE133" s="237"/>
      <c r="AF133" s="237"/>
      <c r="AG133" s="237"/>
      <c r="AH133" s="236"/>
      <c r="AI133" s="208"/>
      <c r="AJ133" s="209">
        <f t="shared" si="93"/>
        <v>-192</v>
      </c>
      <c r="AK133" s="242"/>
      <c r="AL133" s="237"/>
      <c r="AM133" s="237"/>
      <c r="AN133" s="252">
        <f t="shared" si="92"/>
        <v>192</v>
      </c>
      <c r="AO133" s="238"/>
      <c r="AP133" s="238">
        <f t="shared" si="95"/>
        <v>192</v>
      </c>
      <c r="AQ133" s="238"/>
      <c r="AR133" s="247"/>
      <c r="AS133" s="238"/>
      <c r="AT133" s="238"/>
      <c r="AU133" s="210">
        <f t="shared" si="94"/>
        <v>192</v>
      </c>
      <c r="AV133" s="238"/>
      <c r="AW133" s="238"/>
      <c r="AX133" s="248"/>
      <c r="AY133" s="238"/>
      <c r="AZ133" s="238"/>
      <c r="BA133" s="238"/>
      <c r="BB133" s="221">
        <f t="shared" si="96"/>
        <v>8</v>
      </c>
      <c r="BC133" s="238"/>
      <c r="BD133" s="238"/>
      <c r="BE133" s="238"/>
      <c r="BF133" s="238"/>
      <c r="BG133" s="238"/>
      <c r="BH133" s="238"/>
      <c r="BI133" s="238"/>
      <c r="BJ133" s="238"/>
      <c r="BK133" s="238"/>
      <c r="BL133" s="238"/>
      <c r="BM133" s="238"/>
      <c r="BN133" s="238"/>
      <c r="BO133" s="238"/>
      <c r="BP133" s="238"/>
      <c r="BQ133" s="238"/>
      <c r="BR133" s="238"/>
      <c r="BS133" s="238"/>
      <c r="BT133" s="238"/>
      <c r="BU133" s="238">
        <f t="shared" si="97"/>
        <v>8</v>
      </c>
      <c r="BV133" s="238"/>
      <c r="BW133" s="238"/>
      <c r="BX133" s="238"/>
      <c r="BY133" s="238"/>
      <c r="BZ133" s="238"/>
      <c r="CA133" s="247"/>
      <c r="CB133" s="238"/>
      <c r="CC133" s="238"/>
      <c r="CD133" s="238"/>
      <c r="CE133" s="238"/>
      <c r="CF133" s="238"/>
      <c r="CG133" s="238"/>
      <c r="CH133" s="238"/>
      <c r="CI133" s="238"/>
      <c r="CJ133" s="238"/>
      <c r="CK133" s="238"/>
      <c r="CL133" s="238"/>
      <c r="CM133" s="238"/>
      <c r="CN133" s="238"/>
      <c r="CO133" s="238"/>
      <c r="CP133" s="247"/>
      <c r="CQ133" s="247"/>
      <c r="CR133" s="238"/>
      <c r="CS133" s="238"/>
      <c r="CT133" s="238"/>
      <c r="CU133" s="238"/>
      <c r="CV133" s="238"/>
      <c r="CW133" s="238"/>
      <c r="CX133" s="247"/>
      <c r="CY133" s="247"/>
      <c r="CZ133" s="247"/>
      <c r="DA133" s="247"/>
      <c r="DB133" s="247"/>
      <c r="DC133" s="247"/>
      <c r="DD133" s="247"/>
      <c r="DE133" s="247"/>
      <c r="DF133" s="247"/>
      <c r="DG133" s="247"/>
      <c r="DH133" s="247"/>
    </row>
    <row r="134" s="16" customFormat="1" ht="31" customHeight="1" spans="1:112">
      <c r="A134" s="235">
        <v>46211</v>
      </c>
      <c r="B134" s="236" t="s">
        <v>12265</v>
      </c>
      <c r="C134" s="237" t="s">
        <v>98</v>
      </c>
      <c r="D134" s="250">
        <v>4500215323</v>
      </c>
      <c r="E134" s="242">
        <v>224649</v>
      </c>
      <c r="F134" s="238" t="s">
        <v>12277</v>
      </c>
      <c r="G134" s="237" t="s">
        <v>12267</v>
      </c>
      <c r="H134" s="209" t="s">
        <v>12268</v>
      </c>
      <c r="I134" s="239">
        <v>192</v>
      </c>
      <c r="J134" s="237">
        <v>0</v>
      </c>
      <c r="K134" s="237">
        <v>48</v>
      </c>
      <c r="L134" s="240">
        <f t="shared" si="77"/>
        <v>4</v>
      </c>
      <c r="M134" s="241">
        <v>46289</v>
      </c>
      <c r="N134" s="251" t="s">
        <v>12269</v>
      </c>
      <c r="O134" s="242" t="s">
        <v>2368</v>
      </c>
      <c r="P134" s="237"/>
      <c r="Q134" s="243"/>
      <c r="R134" s="213">
        <v>46225</v>
      </c>
      <c r="S134" s="213" t="s">
        <v>70</v>
      </c>
      <c r="T134" s="243" t="s">
        <v>12270</v>
      </c>
      <c r="U134" s="243"/>
      <c r="V134" s="236" t="s">
        <v>12271</v>
      </c>
      <c r="W134" s="236"/>
      <c r="X134" s="236" t="s">
        <v>12272</v>
      </c>
      <c r="Y134" s="245" t="s">
        <v>12273</v>
      </c>
      <c r="Z134" s="236">
        <v>0.612</v>
      </c>
      <c r="AA134" s="245">
        <f t="shared" si="91"/>
        <v>117.504</v>
      </c>
      <c r="AB134" s="236"/>
      <c r="AC134" s="238"/>
      <c r="AD134" s="237" t="s">
        <v>12274</v>
      </c>
      <c r="AE134" s="237"/>
      <c r="AF134" s="237"/>
      <c r="AG134" s="237"/>
      <c r="AH134" s="236"/>
      <c r="AI134" s="208"/>
      <c r="AJ134" s="209">
        <f t="shared" si="93"/>
        <v>-192</v>
      </c>
      <c r="AK134" s="242"/>
      <c r="AL134" s="237"/>
      <c r="AM134" s="237"/>
      <c r="AN134" s="252">
        <f t="shared" si="92"/>
        <v>192</v>
      </c>
      <c r="AO134" s="238"/>
      <c r="AP134" s="238">
        <f t="shared" si="95"/>
        <v>192</v>
      </c>
      <c r="AQ134" s="238"/>
      <c r="AR134" s="247"/>
      <c r="AS134" s="238"/>
      <c r="AT134" s="238"/>
      <c r="AU134" s="210">
        <f t="shared" si="94"/>
        <v>192</v>
      </c>
      <c r="AV134" s="238"/>
      <c r="AW134" s="238"/>
      <c r="AX134" s="248"/>
      <c r="AY134" s="238"/>
      <c r="AZ134" s="238"/>
      <c r="BA134" s="238"/>
      <c r="BB134" s="221">
        <f t="shared" si="96"/>
        <v>8</v>
      </c>
      <c r="BC134" s="238"/>
      <c r="BD134" s="238"/>
      <c r="BE134" s="238"/>
      <c r="BF134" s="238"/>
      <c r="BG134" s="238"/>
      <c r="BH134" s="238"/>
      <c r="BI134" s="238"/>
      <c r="BJ134" s="238"/>
      <c r="BK134" s="238"/>
      <c r="BL134" s="238"/>
      <c r="BM134" s="238"/>
      <c r="BN134" s="238"/>
      <c r="BO134" s="238"/>
      <c r="BP134" s="238"/>
      <c r="BQ134" s="238"/>
      <c r="BR134" s="238"/>
      <c r="BS134" s="238"/>
      <c r="BT134" s="238"/>
      <c r="BU134" s="238">
        <f t="shared" si="97"/>
        <v>8</v>
      </c>
      <c r="BV134" s="238"/>
      <c r="BW134" s="238"/>
      <c r="BX134" s="238"/>
      <c r="BY134" s="238"/>
      <c r="BZ134" s="238"/>
      <c r="CA134" s="247"/>
      <c r="CB134" s="238"/>
      <c r="CC134" s="238"/>
      <c r="CD134" s="238"/>
      <c r="CE134" s="238"/>
      <c r="CF134" s="238"/>
      <c r="CG134" s="238"/>
      <c r="CH134" s="238"/>
      <c r="CI134" s="238"/>
      <c r="CJ134" s="238"/>
      <c r="CK134" s="238"/>
      <c r="CL134" s="238"/>
      <c r="CM134" s="238"/>
      <c r="CN134" s="238"/>
      <c r="CO134" s="238"/>
      <c r="CP134" s="247"/>
      <c r="CQ134" s="247"/>
      <c r="CR134" s="238"/>
      <c r="CS134" s="238"/>
      <c r="CT134" s="238"/>
      <c r="CU134" s="238"/>
      <c r="CV134" s="238"/>
      <c r="CW134" s="238"/>
      <c r="CX134" s="247"/>
      <c r="CY134" s="247"/>
      <c r="CZ134" s="247"/>
      <c r="DA134" s="247"/>
      <c r="DB134" s="247"/>
      <c r="DC134" s="247"/>
      <c r="DD134" s="247"/>
      <c r="DE134" s="247"/>
      <c r="DF134" s="247"/>
      <c r="DG134" s="247"/>
      <c r="DH134" s="247"/>
    </row>
  </sheetData>
  <sheetProtection formatCells="0" formatColumns="0" formatRows="0" insertRows="0" insertColumns="0" insertHyperlinks="0" deleteColumns="0" deleteRows="0" sort="0" autoFilter="0" pivotTables="0"/>
  <autoFilter xmlns:etc="http://www.wps.cn/officeDocument/2017/etCustomData" ref="A1:CX134" etc:filterBottomFollowUsedRange="0">
    <extLst/>
  </autoFilter>
  <mergeCells count="15">
    <mergeCell ref="V21:V22"/>
    <mergeCell ref="V26:V27"/>
    <mergeCell ref="V28:V29"/>
    <mergeCell ref="V34:V35"/>
    <mergeCell ref="V38:V39"/>
    <mergeCell ref="V42:V43"/>
    <mergeCell ref="V46:V47"/>
    <mergeCell ref="V48:V49"/>
    <mergeCell ref="X24:X25"/>
    <mergeCell ref="X30:X31"/>
    <mergeCell ref="X32:X33"/>
    <mergeCell ref="X36:X37"/>
    <mergeCell ref="X40:X41"/>
    <mergeCell ref="X44:X45"/>
    <mergeCell ref="X50:X51"/>
  </mergeCells>
  <conditionalFormatting sqref="V1">
    <cfRule type="cellIs" dxfId="0" priority="2525" operator="equal">
      <formula>"未完成"</formula>
    </cfRule>
  </conditionalFormatting>
  <conditionalFormatting sqref="Y1:AB1">
    <cfRule type="cellIs" dxfId="1" priority="2526" operator="equal">
      <formula>"未完成"</formula>
    </cfRule>
    <cfRule type="cellIs" dxfId="0" priority="2527" operator="equal">
      <formula>"未完成"</formula>
    </cfRule>
  </conditionalFormatting>
  <conditionalFormatting sqref="S2">
    <cfRule type="cellIs" dxfId="0" priority="1287" operator="equal">
      <formula>"欠"</formula>
    </cfRule>
  </conditionalFormatting>
  <conditionalFormatting sqref="AD2">
    <cfRule type="cellIs" dxfId="0" priority="1288" operator="equal">
      <formula>"未完成"</formula>
    </cfRule>
  </conditionalFormatting>
  <conditionalFormatting sqref="AH2:AI2">
    <cfRule type="cellIs" dxfId="0" priority="1290" operator="equal">
      <formula>"未完成"</formula>
    </cfRule>
    <cfRule type="cellIs" dxfId="1" priority="1289" operator="equal">
      <formula>"未完成"</formula>
    </cfRule>
  </conditionalFormatting>
  <conditionalFormatting sqref="AJ2">
    <cfRule type="cellIs" dxfId="0" priority="1291" operator="equal">
      <formula>"欠"</formula>
    </cfRule>
  </conditionalFormatting>
  <conditionalFormatting sqref="R3">
    <cfRule type="cellIs" dxfId="0" priority="1285" operator="equal">
      <formula>"欠"</formula>
    </cfRule>
  </conditionalFormatting>
  <conditionalFormatting sqref="S3">
    <cfRule type="cellIs" dxfId="0" priority="1284" operator="equal">
      <formula>"欠"</formula>
    </cfRule>
  </conditionalFormatting>
  <conditionalFormatting sqref="T3:U3">
    <cfRule type="cellIs" dxfId="0" priority="1281" operator="equal">
      <formula>"欠"</formula>
    </cfRule>
  </conditionalFormatting>
  <conditionalFormatting sqref="AD3">
    <cfRule type="cellIs" dxfId="0" priority="1280" operator="equal">
      <formula>"未完成"</formula>
    </cfRule>
  </conditionalFormatting>
  <conditionalFormatting sqref="AH3:AI3">
    <cfRule type="cellIs" dxfId="0" priority="1283" operator="equal">
      <formula>"未完成"</formula>
    </cfRule>
    <cfRule type="cellIs" dxfId="1" priority="1282" operator="equal">
      <formula>"未完成"</formula>
    </cfRule>
  </conditionalFormatting>
  <conditionalFormatting sqref="R4">
    <cfRule type="cellIs" dxfId="0" priority="1277" operator="equal">
      <formula>"欠"</formula>
    </cfRule>
  </conditionalFormatting>
  <conditionalFormatting sqref="S4">
    <cfRule type="cellIs" dxfId="0" priority="1278" operator="equal">
      <formula>"欠"</formula>
    </cfRule>
  </conditionalFormatting>
  <conditionalFormatting sqref="T4:U4">
    <cfRule type="cellIs" dxfId="0" priority="1276" operator="equal">
      <formula>"欠"</formula>
    </cfRule>
  </conditionalFormatting>
  <conditionalFormatting sqref="AD4">
    <cfRule type="cellIs" dxfId="0" priority="1273" operator="equal">
      <formula>"未完成"</formula>
    </cfRule>
  </conditionalFormatting>
  <conditionalFormatting sqref="AH4:AI4">
    <cfRule type="cellIs" dxfId="0" priority="1275" operator="equal">
      <formula>"未完成"</formula>
    </cfRule>
    <cfRule type="cellIs" dxfId="1" priority="1274" operator="equal">
      <formula>"未完成"</formula>
    </cfRule>
  </conditionalFormatting>
  <conditionalFormatting sqref="AJ4">
    <cfRule type="cellIs" dxfId="0" priority="1279" operator="equal">
      <formula>"欠"</formula>
    </cfRule>
  </conditionalFormatting>
  <conditionalFormatting sqref="R5">
    <cfRule type="cellIs" dxfId="0" priority="1272" operator="equal">
      <formula>"欠"</formula>
    </cfRule>
  </conditionalFormatting>
  <conditionalFormatting sqref="S5">
    <cfRule type="cellIs" dxfId="0" priority="1271" operator="equal">
      <formula>"欠"</formula>
    </cfRule>
  </conditionalFormatting>
  <conditionalFormatting sqref="T5">
    <cfRule type="cellIs" dxfId="0" priority="1270" operator="equal">
      <formula>"欠"</formula>
    </cfRule>
  </conditionalFormatting>
  <conditionalFormatting sqref="U5">
    <cfRule type="cellIs" dxfId="0" priority="1269" operator="equal">
      <formula>"欠"</formula>
    </cfRule>
  </conditionalFormatting>
  <conditionalFormatting sqref="AD5">
    <cfRule type="cellIs" dxfId="0" priority="1266" operator="equal">
      <formula>"未完成"</formula>
    </cfRule>
  </conditionalFormatting>
  <conditionalFormatting sqref="AH5:AI5">
    <cfRule type="cellIs" dxfId="0" priority="1268" operator="equal">
      <formula>"未完成"</formula>
    </cfRule>
    <cfRule type="cellIs" dxfId="1" priority="1267" operator="equal">
      <formula>"未完成"</formula>
    </cfRule>
  </conditionalFormatting>
  <conditionalFormatting sqref="R6">
    <cfRule type="cellIs" dxfId="0" priority="1265" operator="equal">
      <formula>"欠"</formula>
    </cfRule>
  </conditionalFormatting>
  <conditionalFormatting sqref="S6">
    <cfRule type="cellIs" dxfId="0" priority="1259" operator="equal">
      <formula>"欠"</formula>
    </cfRule>
  </conditionalFormatting>
  <conditionalFormatting sqref="T6">
    <cfRule type="cellIs" dxfId="0" priority="1258" operator="equal">
      <formula>"欠"</formula>
    </cfRule>
  </conditionalFormatting>
  <conditionalFormatting sqref="U6">
    <cfRule type="cellIs" dxfId="0" priority="1260" operator="equal">
      <formula>"欠"</formula>
    </cfRule>
  </conditionalFormatting>
  <conditionalFormatting sqref="AD6">
    <cfRule type="cellIs" dxfId="0" priority="1261" operator="equal">
      <formula>"未完成"</formula>
    </cfRule>
  </conditionalFormatting>
  <conditionalFormatting sqref="AH6:AI6">
    <cfRule type="cellIs" dxfId="0" priority="1263" operator="equal">
      <formula>"未完成"</formula>
    </cfRule>
    <cfRule type="cellIs" dxfId="1" priority="1262" operator="equal">
      <formula>"未完成"</formula>
    </cfRule>
  </conditionalFormatting>
  <conditionalFormatting sqref="AJ6">
    <cfRule type="cellIs" dxfId="0" priority="1264" operator="equal">
      <formula>"欠"</formula>
    </cfRule>
  </conditionalFormatting>
  <conditionalFormatting sqref="R9">
    <cfRule type="cellIs" dxfId="0" priority="1245" operator="equal">
      <formula>"欠"</formula>
    </cfRule>
  </conditionalFormatting>
  <conditionalFormatting sqref="S9">
    <cfRule type="cellIs" dxfId="0" priority="1244" operator="equal">
      <formula>"欠"</formula>
    </cfRule>
  </conditionalFormatting>
  <conditionalFormatting sqref="T9">
    <cfRule type="cellIs" dxfId="0" priority="1246" operator="equal">
      <formula>"欠"</formula>
    </cfRule>
  </conditionalFormatting>
  <conditionalFormatting sqref="U9">
    <cfRule type="cellIs" dxfId="0" priority="1247" operator="equal">
      <formula>"欠"</formula>
    </cfRule>
  </conditionalFormatting>
  <conditionalFormatting sqref="AD9">
    <cfRule type="cellIs" dxfId="0" priority="1248" operator="equal">
      <formula>"未完成"</formula>
    </cfRule>
  </conditionalFormatting>
  <conditionalFormatting sqref="AH9:AI9">
    <cfRule type="cellIs" dxfId="0" priority="1250" operator="equal">
      <formula>"未完成"</formula>
    </cfRule>
    <cfRule type="cellIs" dxfId="1" priority="1249" operator="equal">
      <formula>"未完成"</formula>
    </cfRule>
  </conditionalFormatting>
  <conditionalFormatting sqref="R10">
    <cfRule type="cellIs" dxfId="0" priority="1239" operator="equal">
      <formula>"欠"</formula>
    </cfRule>
  </conditionalFormatting>
  <conditionalFormatting sqref="S10">
    <cfRule type="cellIs" dxfId="0" priority="1237" operator="equal">
      <formula>"欠"</formula>
    </cfRule>
  </conditionalFormatting>
  <conditionalFormatting sqref="T10">
    <cfRule type="cellIs" dxfId="0" priority="1236" operator="equal">
      <formula>"欠"</formula>
    </cfRule>
  </conditionalFormatting>
  <conditionalFormatting sqref="U10">
    <cfRule type="cellIs" dxfId="0" priority="1240" operator="equal">
      <formula>"欠"</formula>
    </cfRule>
  </conditionalFormatting>
  <conditionalFormatting sqref="AD10">
    <cfRule type="cellIs" dxfId="0" priority="1241" operator="equal">
      <formula>"未完成"</formula>
    </cfRule>
  </conditionalFormatting>
  <conditionalFormatting sqref="AH10:AI10">
    <cfRule type="cellIs" dxfId="0" priority="1243" operator="equal">
      <formula>"未完成"</formula>
    </cfRule>
    <cfRule type="cellIs" dxfId="1" priority="1242" operator="equal">
      <formula>"未完成"</formula>
    </cfRule>
  </conditionalFormatting>
  <conditionalFormatting sqref="AJ10">
    <cfRule type="cellIs" dxfId="0" priority="1238" operator="equal">
      <formula>"欠"</formula>
    </cfRule>
  </conditionalFormatting>
  <conditionalFormatting sqref="S11">
    <cfRule type="cellIs" dxfId="0" priority="1234" operator="equal">
      <formula>"欠"</formula>
    </cfRule>
  </conditionalFormatting>
  <conditionalFormatting sqref="T11">
    <cfRule type="cellIs" dxfId="0" priority="1233" operator="equal">
      <formula>"欠"</formula>
    </cfRule>
  </conditionalFormatting>
  <conditionalFormatting sqref="U11">
    <cfRule type="cellIs" dxfId="0" priority="1235" operator="equal">
      <formula>"欠"</formula>
    </cfRule>
  </conditionalFormatting>
  <conditionalFormatting sqref="V11:W11">
    <cfRule type="cellIs" dxfId="0" priority="1232" operator="equal">
      <formula>"欠"</formula>
    </cfRule>
  </conditionalFormatting>
  <conditionalFormatting sqref="AF11">
    <cfRule type="cellIs" dxfId="0" priority="1229" operator="equal">
      <formula>"未完成"</formula>
    </cfRule>
  </conditionalFormatting>
  <conditionalFormatting sqref="AJ11:AK11">
    <cfRule type="cellIs" dxfId="0" priority="1231" operator="equal">
      <formula>"未完成"</formula>
    </cfRule>
    <cfRule type="cellIs" dxfId="1" priority="1230" operator="equal">
      <formula>"未完成"</formula>
    </cfRule>
  </conditionalFormatting>
  <conditionalFormatting sqref="S12">
    <cfRule type="cellIs" dxfId="0" priority="1223" operator="equal">
      <formula>"欠"</formula>
    </cfRule>
  </conditionalFormatting>
  <conditionalFormatting sqref="T12">
    <cfRule type="cellIs" dxfId="0" priority="1224" operator="equal">
      <formula>"欠"</formula>
    </cfRule>
  </conditionalFormatting>
  <conditionalFormatting sqref="U12">
    <cfRule type="cellIs" dxfId="0" priority="1222" operator="equal">
      <formula>"欠"</formula>
    </cfRule>
  </conditionalFormatting>
  <conditionalFormatting sqref="V12:W12">
    <cfRule type="cellIs" dxfId="0" priority="1225" operator="equal">
      <formula>"欠"</formula>
    </cfRule>
  </conditionalFormatting>
  <conditionalFormatting sqref="AF12">
    <cfRule type="cellIs" dxfId="0" priority="1226" operator="equal">
      <formula>"未完成"</formula>
    </cfRule>
  </conditionalFormatting>
  <conditionalFormatting sqref="AJ12:AK12">
    <cfRule type="cellIs" dxfId="0" priority="1228" operator="equal">
      <formula>"未完成"</formula>
    </cfRule>
    <cfRule type="cellIs" dxfId="1" priority="1227" operator="equal">
      <formula>"未完成"</formula>
    </cfRule>
  </conditionalFormatting>
  <conditionalFormatting sqref="V17:W17">
    <cfRule type="cellIs" dxfId="0" priority="1213" operator="equal">
      <formula>"欠"</formula>
    </cfRule>
  </conditionalFormatting>
  <conditionalFormatting sqref="AF17">
    <cfRule type="cellIs" dxfId="0" priority="1201" operator="equal">
      <formula>"未完成"</formula>
    </cfRule>
  </conditionalFormatting>
  <conditionalFormatting sqref="AJ17:AK17">
    <cfRule type="cellIs" dxfId="0" priority="1209" operator="equal">
      <formula>"未完成"</formula>
    </cfRule>
    <cfRule type="cellIs" dxfId="1" priority="1205" operator="equal">
      <formula>"未完成"</formula>
    </cfRule>
  </conditionalFormatting>
  <conditionalFormatting sqref="V18:W18">
    <cfRule type="cellIs" dxfId="0" priority="1212" operator="equal">
      <formula>"欠"</formula>
    </cfRule>
  </conditionalFormatting>
  <conditionalFormatting sqref="AF18">
    <cfRule type="cellIs" dxfId="0" priority="1200" operator="equal">
      <formula>"未完成"</formula>
    </cfRule>
  </conditionalFormatting>
  <conditionalFormatting sqref="AJ18:AK18">
    <cfRule type="cellIs" dxfId="0" priority="1208" operator="equal">
      <formula>"未完成"</formula>
    </cfRule>
    <cfRule type="cellIs" dxfId="1" priority="1204" operator="equal">
      <formula>"未完成"</formula>
    </cfRule>
  </conditionalFormatting>
  <conditionalFormatting sqref="V19:W19">
    <cfRule type="cellIs" dxfId="0" priority="1211" operator="equal">
      <formula>"欠"</formula>
    </cfRule>
  </conditionalFormatting>
  <conditionalFormatting sqref="AF19">
    <cfRule type="cellIs" dxfId="0" priority="1199" operator="equal">
      <formula>"未完成"</formula>
    </cfRule>
  </conditionalFormatting>
  <conditionalFormatting sqref="AJ19:AK19">
    <cfRule type="cellIs" dxfId="0" priority="1207" operator="equal">
      <formula>"未完成"</formula>
    </cfRule>
    <cfRule type="cellIs" dxfId="1" priority="1203" operator="equal">
      <formula>"未完成"</formula>
    </cfRule>
  </conditionalFormatting>
  <conditionalFormatting sqref="V20:W20">
    <cfRule type="cellIs" dxfId="0" priority="1210" operator="equal">
      <formula>"欠"</formula>
    </cfRule>
  </conditionalFormatting>
  <conditionalFormatting sqref="AF20">
    <cfRule type="cellIs" dxfId="0" priority="1198" operator="equal">
      <formula>"未完成"</formula>
    </cfRule>
  </conditionalFormatting>
  <conditionalFormatting sqref="AJ20:AK20">
    <cfRule type="cellIs" dxfId="0" priority="1206" operator="equal">
      <formula>"未完成"</formula>
    </cfRule>
    <cfRule type="cellIs" dxfId="1" priority="1202" operator="equal">
      <formula>"未完成"</formula>
    </cfRule>
  </conditionalFormatting>
  <conditionalFormatting sqref="R21">
    <cfRule type="cellIs" dxfId="0" priority="1191" operator="equal">
      <formula>"欠"</formula>
    </cfRule>
  </conditionalFormatting>
  <conditionalFormatting sqref="S21">
    <cfRule type="cellIs" dxfId="0" priority="1190" operator="equal">
      <formula>"欠"</formula>
    </cfRule>
  </conditionalFormatting>
  <conditionalFormatting sqref="AJ21">
    <cfRule type="cellIs" dxfId="0" priority="1188" operator="equal">
      <formula>"欠"</formula>
    </cfRule>
  </conditionalFormatting>
  <conditionalFormatting sqref="R22">
    <cfRule type="cellIs" dxfId="0" priority="1187" operator="equal">
      <formula>"欠"</formula>
    </cfRule>
  </conditionalFormatting>
  <conditionalFormatting sqref="S22">
    <cfRule type="cellIs" dxfId="0" priority="1186" operator="equal">
      <formula>"欠"</formula>
    </cfRule>
  </conditionalFormatting>
  <conditionalFormatting sqref="AJ22">
    <cfRule type="cellIs" dxfId="0" priority="1185" operator="equal">
      <formula>"欠"</formula>
    </cfRule>
  </conditionalFormatting>
  <conditionalFormatting sqref="R23">
    <cfRule type="cellIs" dxfId="0" priority="1178" operator="equal">
      <formula>"欠"</formula>
    </cfRule>
  </conditionalFormatting>
  <conditionalFormatting sqref="S23">
    <cfRule type="cellIs" dxfId="0" priority="1177" operator="equal">
      <formula>"欠"</formula>
    </cfRule>
  </conditionalFormatting>
  <conditionalFormatting sqref="T23">
    <cfRule type="cellIs" dxfId="0" priority="1179" operator="equal">
      <formula>"欠"</formula>
    </cfRule>
  </conditionalFormatting>
  <conditionalFormatting sqref="U23">
    <cfRule type="cellIs" dxfId="0" priority="1183" operator="equal">
      <formula>"欠"</formula>
    </cfRule>
  </conditionalFormatting>
  <conditionalFormatting sqref="AD23">
    <cfRule type="cellIs" dxfId="0" priority="1184" operator="equal">
      <formula>"未完成"</formula>
    </cfRule>
  </conditionalFormatting>
  <conditionalFormatting sqref="AH23:AI23">
    <cfRule type="cellIs" dxfId="0" priority="1182" operator="equal">
      <formula>"未完成"</formula>
    </cfRule>
    <cfRule type="cellIs" dxfId="1" priority="1181" operator="equal">
      <formula>"未完成"</formula>
    </cfRule>
  </conditionalFormatting>
  <conditionalFormatting sqref="AJ23">
    <cfRule type="cellIs" dxfId="0" priority="1180" operator="equal">
      <formula>"欠"</formula>
    </cfRule>
  </conditionalFormatting>
  <conditionalFormatting sqref="S26">
    <cfRule type="cellIs" dxfId="0" priority="1166" operator="equal">
      <formula>"欠"</formula>
    </cfRule>
  </conditionalFormatting>
  <conditionalFormatting sqref="AJ26">
    <cfRule type="cellIs" dxfId="0" priority="1164" operator="equal">
      <formula>"欠"</formula>
    </cfRule>
  </conditionalFormatting>
  <conditionalFormatting sqref="S27">
    <cfRule type="cellIs" dxfId="0" priority="1163" operator="equal">
      <formula>"欠"</formula>
    </cfRule>
  </conditionalFormatting>
  <conditionalFormatting sqref="AJ27">
    <cfRule type="cellIs" dxfId="0" priority="1162" operator="equal">
      <formula>"欠"</formula>
    </cfRule>
  </conditionalFormatting>
  <conditionalFormatting sqref="S28">
    <cfRule type="cellIs" dxfId="0" priority="1156" operator="equal">
      <formula>"欠"</formula>
    </cfRule>
  </conditionalFormatting>
  <conditionalFormatting sqref="AJ28">
    <cfRule type="cellIs" dxfId="0" priority="1154" operator="equal">
      <formula>"欠"</formula>
    </cfRule>
  </conditionalFormatting>
  <conditionalFormatting sqref="S29">
    <cfRule type="cellIs" dxfId="0" priority="1153" operator="equal">
      <formula>"欠"</formula>
    </cfRule>
  </conditionalFormatting>
  <conditionalFormatting sqref="AJ29">
    <cfRule type="cellIs" dxfId="0" priority="1152" operator="equal">
      <formula>"欠"</formula>
    </cfRule>
  </conditionalFormatting>
  <conditionalFormatting sqref="S34">
    <cfRule type="cellIs" dxfId="0" priority="1135" operator="equal">
      <formula>"欠"</formula>
    </cfRule>
  </conditionalFormatting>
  <conditionalFormatting sqref="AJ34">
    <cfRule type="cellIs" dxfId="0" priority="1130" operator="equal">
      <formula>"欠"</formula>
    </cfRule>
  </conditionalFormatting>
  <conditionalFormatting sqref="S35">
    <cfRule type="cellIs" dxfId="0" priority="1129" operator="equal">
      <formula>"欠"</formula>
    </cfRule>
  </conditionalFormatting>
  <conditionalFormatting sqref="AJ35">
    <cfRule type="cellIs" dxfId="0" priority="1128" operator="equal">
      <formula>"欠"</formula>
    </cfRule>
  </conditionalFormatting>
  <conditionalFormatting sqref="S38">
    <cfRule type="cellIs" dxfId="0" priority="1115" operator="equal">
      <formula>"欠"</formula>
    </cfRule>
  </conditionalFormatting>
  <conditionalFormatting sqref="AJ38">
    <cfRule type="cellIs" dxfId="0" priority="1111" operator="equal">
      <formula>"欠"</formula>
    </cfRule>
  </conditionalFormatting>
  <conditionalFormatting sqref="S39">
    <cfRule type="cellIs" dxfId="0" priority="1110" operator="equal">
      <formula>"欠"</formula>
    </cfRule>
  </conditionalFormatting>
  <conditionalFormatting sqref="AJ39">
    <cfRule type="cellIs" dxfId="0" priority="1109" operator="equal">
      <formula>"欠"</formula>
    </cfRule>
  </conditionalFormatting>
  <conditionalFormatting sqref="S42">
    <cfRule type="cellIs" dxfId="0" priority="1096" operator="equal">
      <formula>"欠"</formula>
    </cfRule>
  </conditionalFormatting>
  <conditionalFormatting sqref="AJ42">
    <cfRule type="cellIs" dxfId="0" priority="1092" operator="equal">
      <formula>"欠"</formula>
    </cfRule>
  </conditionalFormatting>
  <conditionalFormatting sqref="S43">
    <cfRule type="cellIs" dxfId="0" priority="1091" operator="equal">
      <formula>"欠"</formula>
    </cfRule>
  </conditionalFormatting>
  <conditionalFormatting sqref="AJ43">
    <cfRule type="cellIs" dxfId="0" priority="1090" operator="equal">
      <formula>"欠"</formula>
    </cfRule>
  </conditionalFormatting>
  <conditionalFormatting sqref="V45:W45">
    <cfRule type="cellIs" dxfId="0" priority="1085" operator="equal">
      <formula>"欠"</formula>
    </cfRule>
  </conditionalFormatting>
  <conditionalFormatting sqref="S46">
    <cfRule type="cellIs" dxfId="0" priority="1076" operator="equal">
      <formula>"欠"</formula>
    </cfRule>
  </conditionalFormatting>
  <conditionalFormatting sqref="AJ46">
    <cfRule type="cellIs" dxfId="0" priority="1072" operator="equal">
      <formula>"欠"</formula>
    </cfRule>
  </conditionalFormatting>
  <conditionalFormatting sqref="S47">
    <cfRule type="cellIs" dxfId="0" priority="1071" operator="equal">
      <formula>"欠"</formula>
    </cfRule>
  </conditionalFormatting>
  <conditionalFormatting sqref="AJ47">
    <cfRule type="cellIs" dxfId="0" priority="1070" operator="equal">
      <formula>"欠"</formula>
    </cfRule>
  </conditionalFormatting>
  <conditionalFormatting sqref="R48">
    <cfRule type="cellIs" dxfId="0" priority="1055" operator="equal">
      <formula>"欠"</formula>
    </cfRule>
  </conditionalFormatting>
  <conditionalFormatting sqref="S48">
    <cfRule type="cellIs" dxfId="0" priority="1064" operator="equal">
      <formula>"欠"</formula>
    </cfRule>
  </conditionalFormatting>
  <conditionalFormatting sqref="AH48:AI48">
    <cfRule type="cellIs" dxfId="0" priority="1067" operator="equal">
      <formula>"未完成"</formula>
    </cfRule>
    <cfRule type="cellIs" dxfId="1" priority="1066" operator="equal">
      <formula>"未完成"</formula>
    </cfRule>
  </conditionalFormatting>
  <conditionalFormatting sqref="AJ48">
    <cfRule type="cellIs" dxfId="0" priority="1062" operator="equal">
      <formula>"欠"</formula>
    </cfRule>
  </conditionalFormatting>
  <conditionalFormatting sqref="R49">
    <cfRule type="cellIs" dxfId="0" priority="1056" operator="equal">
      <formula>"欠"</formula>
    </cfRule>
  </conditionalFormatting>
  <conditionalFormatting sqref="S49">
    <cfRule type="cellIs" dxfId="0" priority="1061" operator="equal">
      <formula>"欠"</formula>
    </cfRule>
  </conditionalFormatting>
  <conditionalFormatting sqref="AH49:AI49">
    <cfRule type="cellIs" dxfId="0" priority="1060" operator="equal">
      <formula>"未完成"</formula>
    </cfRule>
    <cfRule type="cellIs" dxfId="1" priority="1059" operator="equal">
      <formula>"未完成"</formula>
    </cfRule>
  </conditionalFormatting>
  <conditionalFormatting sqref="AJ49">
    <cfRule type="cellIs" dxfId="0" priority="1058" operator="equal">
      <formula>"欠"</formula>
    </cfRule>
  </conditionalFormatting>
  <conditionalFormatting sqref="R52">
    <cfRule type="cellIs" dxfId="0" priority="1039" operator="equal">
      <formula>"欠"</formula>
    </cfRule>
  </conditionalFormatting>
  <conditionalFormatting sqref="S52">
    <cfRule type="cellIs" dxfId="0" priority="1040" operator="equal">
      <formula>"欠"</formula>
    </cfRule>
  </conditionalFormatting>
  <conditionalFormatting sqref="T52">
    <cfRule type="cellIs" dxfId="0" priority="1041" operator="equal">
      <formula>"欠"</formula>
    </cfRule>
    <cfRule type="containsText" dxfId="0" priority="1038" operator="between" text="欠">
      <formula>NOT(ISERROR(SEARCH("欠",T52)))</formula>
    </cfRule>
  </conditionalFormatting>
  <conditionalFormatting sqref="U52">
    <cfRule type="cellIs" dxfId="0" priority="1043" operator="equal">
      <formula>"欠"</formula>
    </cfRule>
  </conditionalFormatting>
  <conditionalFormatting sqref="AD52">
    <cfRule type="cellIs" dxfId="0" priority="1044" operator="equal">
      <formula>"未完成"</formula>
    </cfRule>
  </conditionalFormatting>
  <conditionalFormatting sqref="AH52:AI52">
    <cfRule type="cellIs" dxfId="0" priority="1046" operator="equal">
      <formula>"未完成"</formula>
    </cfRule>
    <cfRule type="cellIs" dxfId="1" priority="1045" operator="equal">
      <formula>"未完成"</formula>
    </cfRule>
  </conditionalFormatting>
  <conditionalFormatting sqref="AJ52">
    <cfRule type="cellIs" dxfId="0" priority="1042" operator="equal">
      <formula>"欠"</formula>
    </cfRule>
  </conditionalFormatting>
  <conditionalFormatting sqref="R53">
    <cfRule type="cellIs" dxfId="0" priority="1033" operator="equal">
      <formula>"欠"</formula>
    </cfRule>
  </conditionalFormatting>
  <conditionalFormatting sqref="S53">
    <cfRule type="cellIs" dxfId="0" priority="1032" operator="equal">
      <formula>"欠"</formula>
    </cfRule>
  </conditionalFormatting>
  <conditionalFormatting sqref="T53">
    <cfRule type="cellIs" dxfId="0" priority="1031" operator="equal">
      <formula>"欠"</formula>
    </cfRule>
    <cfRule type="containsText" dxfId="0" priority="1029" operator="between" text="欠">
      <formula>NOT(ISERROR(SEARCH("欠",T53)))</formula>
    </cfRule>
  </conditionalFormatting>
  <conditionalFormatting sqref="U53">
    <cfRule type="cellIs" dxfId="0" priority="1034" operator="equal">
      <formula>"欠"</formula>
    </cfRule>
  </conditionalFormatting>
  <conditionalFormatting sqref="AD53">
    <cfRule type="cellIs" dxfId="0" priority="1035" operator="equal">
      <formula>"未完成"</formula>
    </cfRule>
  </conditionalFormatting>
  <conditionalFormatting sqref="AH53:AI53">
    <cfRule type="cellIs" dxfId="0" priority="1037" operator="equal">
      <formula>"未完成"</formula>
    </cfRule>
    <cfRule type="cellIs" dxfId="1" priority="1036" operator="equal">
      <formula>"未完成"</formula>
    </cfRule>
  </conditionalFormatting>
  <conditionalFormatting sqref="AJ53">
    <cfRule type="cellIs" dxfId="0" priority="1030" operator="equal">
      <formula>"欠"</formula>
    </cfRule>
  </conditionalFormatting>
  <conditionalFormatting sqref="S54:V54">
    <cfRule type="cellIs" dxfId="0" priority="1022" operator="equal">
      <formula>"欠"</formula>
    </cfRule>
  </conditionalFormatting>
  <conditionalFormatting sqref="U54">
    <cfRule type="containsText" dxfId="0" priority="1021" operator="between" text="欠">
      <formula>NOT(ISERROR(SEARCH("欠",U54)))</formula>
    </cfRule>
  </conditionalFormatting>
  <conditionalFormatting sqref="W54">
    <cfRule type="cellIs" dxfId="0" priority="1023" operator="equal">
      <formula>"欠"</formula>
    </cfRule>
  </conditionalFormatting>
  <conditionalFormatting sqref="AF54">
    <cfRule type="cellIs" dxfId="0" priority="1024" operator="equal">
      <formula>"未完成"</formula>
    </cfRule>
  </conditionalFormatting>
  <conditionalFormatting sqref="AJ54">
    <cfRule type="cellIs" dxfId="0" priority="1026" operator="equal">
      <formula>"未完成"</formula>
    </cfRule>
    <cfRule type="cellIs" dxfId="1" priority="1025" operator="equal">
      <formula>"未完成"</formula>
    </cfRule>
  </conditionalFormatting>
  <conditionalFormatting sqref="AK54">
    <cfRule type="cellIs" dxfId="0" priority="1028" operator="equal">
      <formula>"未完成"</formula>
    </cfRule>
    <cfRule type="cellIs" dxfId="1" priority="1027" operator="equal">
      <formula>"未完成"</formula>
    </cfRule>
  </conditionalFormatting>
  <conditionalFormatting sqref="U55">
    <cfRule type="cellIs" dxfId="0" priority="1010" operator="equal">
      <formula>"欠"</formula>
    </cfRule>
  </conditionalFormatting>
  <conditionalFormatting sqref="AD55">
    <cfRule type="cellIs" dxfId="0" priority="1013" operator="equal">
      <formula>"未完成"</formula>
    </cfRule>
  </conditionalFormatting>
  <conditionalFormatting sqref="AH55:AI55">
    <cfRule type="cellIs" dxfId="0" priority="1017" operator="equal">
      <formula>"未完成"</formula>
    </cfRule>
    <cfRule type="cellIs" dxfId="1" priority="1015" operator="equal">
      <formula>"未完成"</formula>
    </cfRule>
  </conditionalFormatting>
  <conditionalFormatting sqref="AJ55">
    <cfRule type="cellIs" dxfId="0" priority="1018" operator="equal">
      <formula>"欠"</formula>
    </cfRule>
  </conditionalFormatting>
  <conditionalFormatting sqref="U56">
    <cfRule type="cellIs" dxfId="0" priority="1009" operator="equal">
      <formula>"欠"</formula>
    </cfRule>
  </conditionalFormatting>
  <conditionalFormatting sqref="AD56">
    <cfRule type="cellIs" dxfId="0" priority="1012" operator="equal">
      <formula>"未完成"</formula>
    </cfRule>
  </conditionalFormatting>
  <conditionalFormatting sqref="AH56:AI56">
    <cfRule type="cellIs" dxfId="0" priority="1016" operator="equal">
      <formula>"未完成"</formula>
    </cfRule>
    <cfRule type="cellIs" dxfId="1" priority="1014" operator="equal">
      <formula>"未完成"</formula>
    </cfRule>
  </conditionalFormatting>
  <conditionalFormatting sqref="AJ56">
    <cfRule type="cellIs" dxfId="0" priority="1020" operator="equal">
      <formula>"欠"</formula>
    </cfRule>
  </conditionalFormatting>
  <conditionalFormatting sqref="R59">
    <cfRule type="cellIs" dxfId="0" priority="995" operator="equal">
      <formula>"欠"</formula>
    </cfRule>
  </conditionalFormatting>
  <conditionalFormatting sqref="S59">
    <cfRule type="cellIs" dxfId="0" priority="994" operator="equal">
      <formula>"欠"</formula>
    </cfRule>
  </conditionalFormatting>
  <conditionalFormatting sqref="T59">
    <cfRule type="cellIs" dxfId="0" priority="993" operator="equal">
      <formula>"欠"</formula>
    </cfRule>
    <cfRule type="containsText" dxfId="0" priority="992" operator="between" text="欠">
      <formula>NOT(ISERROR(SEARCH("欠",T59)))</formula>
    </cfRule>
  </conditionalFormatting>
  <conditionalFormatting sqref="U59">
    <cfRule type="cellIs" dxfId="0" priority="988" operator="equal">
      <formula>"欠"</formula>
    </cfRule>
  </conditionalFormatting>
  <conditionalFormatting sqref="AD59">
    <cfRule type="cellIs" dxfId="0" priority="989" operator="equal">
      <formula>"未完成"</formula>
    </cfRule>
  </conditionalFormatting>
  <conditionalFormatting sqref="AH59">
    <cfRule type="cellIs" dxfId="0" priority="991" operator="equal">
      <formula>"未完成"</formula>
    </cfRule>
    <cfRule type="cellIs" dxfId="1" priority="990" operator="equal">
      <formula>"未完成"</formula>
    </cfRule>
  </conditionalFormatting>
  <conditionalFormatting sqref="AI59">
    <cfRule type="cellIs" dxfId="0" priority="997" operator="equal">
      <formula>"未完成"</formula>
    </cfRule>
    <cfRule type="cellIs" dxfId="1" priority="996" operator="equal">
      <formula>"未完成"</formula>
    </cfRule>
  </conditionalFormatting>
  <conditionalFormatting sqref="R60">
    <cfRule type="cellIs" dxfId="0" priority="985" operator="equal">
      <formula>"欠"</formula>
    </cfRule>
  </conditionalFormatting>
  <conditionalFormatting sqref="S60">
    <cfRule type="cellIs" dxfId="0" priority="980" operator="equal">
      <formula>"欠"</formula>
    </cfRule>
    <cfRule type="containsText" dxfId="0" priority="977" operator="between" text="欠">
      <formula>NOT(ISERROR(SEARCH("欠",S60)))</formula>
    </cfRule>
  </conditionalFormatting>
  <conditionalFormatting sqref="T60">
    <cfRule type="cellIs" dxfId="0" priority="979" operator="equal">
      <formula>"欠"</formula>
    </cfRule>
  </conditionalFormatting>
  <conditionalFormatting sqref="U60">
    <cfRule type="containsText" dxfId="0" priority="981" operator="between" text="欠">
      <formula>NOT(ISERROR(SEARCH("欠",U60)))</formula>
    </cfRule>
    <cfRule type="cellIs" dxfId="0" priority="978" operator="equal">
      <formula>"欠"</formula>
    </cfRule>
  </conditionalFormatting>
  <conditionalFormatting sqref="AI60">
    <cfRule type="cellIs" dxfId="0" priority="984" operator="equal">
      <formula>"未完成"</formula>
    </cfRule>
    <cfRule type="cellIs" dxfId="1" priority="983" operator="equal">
      <formula>"未完成"</formula>
    </cfRule>
  </conditionalFormatting>
  <conditionalFormatting sqref="AJ60">
    <cfRule type="cellIs" dxfId="0" priority="982" operator="equal">
      <formula>"欠"</formula>
    </cfRule>
  </conditionalFormatting>
  <conditionalFormatting sqref="R61">
    <cfRule type="cellIs" dxfId="0" priority="975" operator="equal">
      <formula>"欠"</formula>
    </cfRule>
  </conditionalFormatting>
  <conditionalFormatting sqref="S61">
    <cfRule type="containsText" dxfId="0" priority="968" operator="between" text="欠">
      <formula>NOT(ISERROR(SEARCH("欠",S61)))</formula>
    </cfRule>
    <cfRule type="cellIs" dxfId="0" priority="967" operator="equal">
      <formula>"欠"</formula>
    </cfRule>
  </conditionalFormatting>
  <conditionalFormatting sqref="T61">
    <cfRule type="cellIs" dxfId="0" priority="976" operator="equal">
      <formula>"欠"</formula>
    </cfRule>
  </conditionalFormatting>
  <conditionalFormatting sqref="U61">
    <cfRule type="cellIs" dxfId="0" priority="971" operator="equal">
      <formula>"欠"</formula>
    </cfRule>
    <cfRule type="containsText" dxfId="2" priority="970" operator="between" text="欠">
      <formula>NOT(ISERROR(SEARCH("欠",U61)))</formula>
    </cfRule>
    <cfRule type="containsText" dxfId="0" priority="969" operator="between" text="欠">
      <formula>NOT(ISERROR(SEARCH("欠",U61)))</formula>
    </cfRule>
  </conditionalFormatting>
  <conditionalFormatting sqref="AI61">
    <cfRule type="cellIs" dxfId="0" priority="974" operator="equal">
      <formula>"未完成"</formula>
    </cfRule>
    <cfRule type="cellIs" dxfId="1" priority="973" operator="equal">
      <formula>"未完成"</formula>
    </cfRule>
  </conditionalFormatting>
  <conditionalFormatting sqref="AJ61">
    <cfRule type="cellIs" dxfId="0" priority="972" operator="equal">
      <formula>"欠"</formula>
    </cfRule>
  </conditionalFormatting>
  <conditionalFormatting sqref="S62">
    <cfRule type="cellIs" dxfId="0" priority="963" operator="equal">
      <formula>"欠"</formula>
    </cfRule>
  </conditionalFormatting>
  <conditionalFormatting sqref="T62">
    <cfRule type="cellIs" dxfId="0" priority="962" operator="equal">
      <formula>"欠"</formula>
    </cfRule>
    <cfRule type="containsText" dxfId="0" priority="961" operator="between" text="欠">
      <formula>NOT(ISERROR(SEARCH("欠",T62)))</formula>
    </cfRule>
  </conditionalFormatting>
  <conditionalFormatting sqref="AD62">
    <cfRule type="cellIs" dxfId="0" priority="964" operator="equal">
      <formula>"未完成"</formula>
    </cfRule>
  </conditionalFormatting>
  <conditionalFormatting sqref="AH62:AI62">
    <cfRule type="cellIs" dxfId="0" priority="966" operator="equal">
      <formula>"未完成"</formula>
    </cfRule>
    <cfRule type="cellIs" dxfId="1" priority="965" operator="equal">
      <formula>"未完成"</formula>
    </cfRule>
  </conditionalFormatting>
  <conditionalFormatting sqref="R63">
    <cfRule type="cellIs" dxfId="0" priority="956" operator="equal">
      <formula>"欠"</formula>
    </cfRule>
  </conditionalFormatting>
  <conditionalFormatting sqref="S63">
    <cfRule type="cellIs" dxfId="0" priority="949" operator="equal">
      <formula>"欠"</formula>
    </cfRule>
    <cfRule type="containsText" dxfId="0" priority="948" operator="between" text="欠">
      <formula>NOT(ISERROR(SEARCH("欠",S63)))</formula>
    </cfRule>
  </conditionalFormatting>
  <conditionalFormatting sqref="T63">
    <cfRule type="cellIs" dxfId="0" priority="957" operator="equal">
      <formula>"欠"</formula>
    </cfRule>
  </conditionalFormatting>
  <conditionalFormatting sqref="U63">
    <cfRule type="cellIs" dxfId="0" priority="952" operator="equal">
      <formula>"欠"</formula>
    </cfRule>
    <cfRule type="containsText" dxfId="2" priority="951" operator="between" text="欠">
      <formula>NOT(ISERROR(SEARCH("欠",U63)))</formula>
    </cfRule>
    <cfRule type="containsText" dxfId="0" priority="950" operator="between" text="欠">
      <formula>NOT(ISERROR(SEARCH("欠",U63)))</formula>
    </cfRule>
  </conditionalFormatting>
  <conditionalFormatting sqref="AI63">
    <cfRule type="cellIs" dxfId="0" priority="955" operator="equal">
      <formula>"未完成"</formula>
    </cfRule>
    <cfRule type="cellIs" dxfId="1" priority="954" operator="equal">
      <formula>"未完成"</formula>
    </cfRule>
  </conditionalFormatting>
  <conditionalFormatting sqref="AJ63">
    <cfRule type="cellIs" dxfId="0" priority="953" operator="equal">
      <formula>"欠"</formula>
    </cfRule>
  </conditionalFormatting>
  <conditionalFormatting sqref="R64">
    <cfRule type="cellIs" dxfId="0" priority="947" operator="equal">
      <formula>"欠"</formula>
    </cfRule>
  </conditionalFormatting>
  <conditionalFormatting sqref="S64">
    <cfRule type="cellIs" dxfId="0" priority="946" operator="equal">
      <formula>"欠"</formula>
    </cfRule>
    <cfRule type="containsText" dxfId="0" priority="938" operator="between" text="欠">
      <formula>NOT(ISERROR(SEARCH("欠",S64)))</formula>
    </cfRule>
  </conditionalFormatting>
  <conditionalFormatting sqref="T64">
    <cfRule type="cellIs" dxfId="0" priority="942" operator="equal">
      <formula>"欠"</formula>
    </cfRule>
    <cfRule type="containsText" dxfId="0" priority="941" operator="between" text="欠">
      <formula>NOT(ISERROR(SEARCH("欠",T64)))</formula>
    </cfRule>
  </conditionalFormatting>
  <conditionalFormatting sqref="U64">
    <cfRule type="cellIs" dxfId="0" priority="940" operator="equal">
      <formula>"欠"</formula>
    </cfRule>
    <cfRule type="containsText" dxfId="0" priority="939" operator="between" text="欠">
      <formula>NOT(ISERROR(SEARCH("欠",U64)))</formula>
    </cfRule>
  </conditionalFormatting>
  <conditionalFormatting sqref="AI64">
    <cfRule type="cellIs" dxfId="0" priority="945" operator="equal">
      <formula>"未完成"</formula>
    </cfRule>
    <cfRule type="cellIs" dxfId="1" priority="944" operator="equal">
      <formula>"未完成"</formula>
    </cfRule>
  </conditionalFormatting>
  <conditionalFormatting sqref="AJ64">
    <cfRule type="cellIs" dxfId="0" priority="943" operator="equal">
      <formula>"欠"</formula>
    </cfRule>
  </conditionalFormatting>
  <conditionalFormatting sqref="R65">
    <cfRule type="cellIs" dxfId="0" priority="937" operator="equal">
      <formula>"欠"</formula>
    </cfRule>
  </conditionalFormatting>
  <conditionalFormatting sqref="S65:T65">
    <cfRule type="cellIs" dxfId="0" priority="932" operator="equal">
      <formula>"欠"</formula>
    </cfRule>
  </conditionalFormatting>
  <conditionalFormatting sqref="S65">
    <cfRule type="containsText" dxfId="0" priority="929" operator="between" text="欠">
      <formula>NOT(ISERROR(SEARCH("欠",S65)))</formula>
    </cfRule>
  </conditionalFormatting>
  <conditionalFormatting sqref="U65">
    <cfRule type="cellIs" dxfId="0" priority="934" operator="equal">
      <formula>"欠"</formula>
    </cfRule>
    <cfRule type="containsText" dxfId="0" priority="930" operator="between" text="欠">
      <formula>NOT(ISERROR(SEARCH("欠",U65)))</formula>
    </cfRule>
  </conditionalFormatting>
  <conditionalFormatting sqref="V65">
    <cfRule type="cellIs" dxfId="0" priority="931" operator="equal">
      <formula>"欠"</formula>
    </cfRule>
  </conditionalFormatting>
  <conditionalFormatting sqref="AI65">
    <cfRule type="cellIs" dxfId="0" priority="936" operator="equal">
      <formula>"未完成"</formula>
    </cfRule>
    <cfRule type="cellIs" dxfId="1" priority="935" operator="equal">
      <formula>"未完成"</formula>
    </cfRule>
  </conditionalFormatting>
  <conditionalFormatting sqref="AJ65">
    <cfRule type="cellIs" dxfId="0" priority="933" operator="equal">
      <formula>"欠"</formula>
    </cfRule>
  </conditionalFormatting>
  <conditionalFormatting sqref="R66">
    <cfRule type="cellIs" dxfId="0" priority="919" operator="equal">
      <formula>"欠"</formula>
    </cfRule>
    <cfRule type="containsText" dxfId="0" priority="918" operator="between" text="欠">
      <formula>NOT(ISERROR(SEARCH("欠",R66)))</formula>
    </cfRule>
  </conditionalFormatting>
  <conditionalFormatting sqref="S66">
    <cfRule type="cellIs" dxfId="0" priority="927" operator="equal">
      <formula>"欠"</formula>
    </cfRule>
  </conditionalFormatting>
  <conditionalFormatting sqref="T66">
    <cfRule type="cellIs" dxfId="0" priority="926" operator="equal">
      <formula>"欠"</formula>
    </cfRule>
    <cfRule type="containsText" dxfId="0" priority="925" operator="between" text="欠">
      <formula>NOT(ISERROR(SEARCH("欠",T66)))</formula>
    </cfRule>
  </conditionalFormatting>
  <conditionalFormatting sqref="U66">
    <cfRule type="cellIs" dxfId="0" priority="921" operator="equal">
      <formula>"欠"</formula>
    </cfRule>
  </conditionalFormatting>
  <conditionalFormatting sqref="AD66">
    <cfRule type="cellIs" dxfId="0" priority="922" operator="equal">
      <formula>"未完成"</formula>
    </cfRule>
  </conditionalFormatting>
  <conditionalFormatting sqref="AF66">
    <cfRule type="cellIs" dxfId="0" priority="920" operator="equal">
      <formula>"未完成"</formula>
    </cfRule>
  </conditionalFormatting>
  <conditionalFormatting sqref="AH66:AI66">
    <cfRule type="cellIs" dxfId="0" priority="924" operator="equal">
      <formula>"未完成"</formula>
    </cfRule>
    <cfRule type="cellIs" dxfId="1" priority="923" operator="equal">
      <formula>"未完成"</formula>
    </cfRule>
  </conditionalFormatting>
  <conditionalFormatting sqref="AJ66">
    <cfRule type="cellIs" dxfId="0" priority="928" operator="equal">
      <formula>"欠"</formula>
    </cfRule>
  </conditionalFormatting>
  <conditionalFormatting sqref="R67">
    <cfRule type="cellIs" dxfId="0" priority="914" operator="equal">
      <formula>"欠"</formula>
    </cfRule>
    <cfRule type="containsText" dxfId="0" priority="909" operator="between" text="欠">
      <formula>NOT(ISERROR(SEARCH("欠",R67)))</formula>
    </cfRule>
  </conditionalFormatting>
  <conditionalFormatting sqref="S67">
    <cfRule type="cellIs" dxfId="0" priority="915" operator="equal">
      <formula>"欠"</formula>
    </cfRule>
  </conditionalFormatting>
  <conditionalFormatting sqref="T67">
    <cfRule type="cellIs" dxfId="0" priority="908" operator="equal">
      <formula>"欠"</formula>
    </cfRule>
    <cfRule type="containsText" dxfId="0" priority="907" operator="between" text="欠">
      <formula>NOT(ISERROR(SEARCH("欠",T67)))</formula>
    </cfRule>
  </conditionalFormatting>
  <conditionalFormatting sqref="U67">
    <cfRule type="cellIs" dxfId="0" priority="910" operator="equal">
      <formula>"欠"</formula>
    </cfRule>
  </conditionalFormatting>
  <conditionalFormatting sqref="AD67">
    <cfRule type="cellIs" dxfId="0" priority="911" operator="equal">
      <formula>"未完成"</formula>
    </cfRule>
  </conditionalFormatting>
  <conditionalFormatting sqref="AH67:AI67">
    <cfRule type="cellIs" dxfId="0" priority="913" operator="equal">
      <formula>"未完成"</formula>
    </cfRule>
    <cfRule type="cellIs" dxfId="1" priority="912" operator="equal">
      <formula>"未完成"</formula>
    </cfRule>
  </conditionalFormatting>
  <conditionalFormatting sqref="AJ67">
    <cfRule type="cellIs" dxfId="0" priority="916" operator="equal">
      <formula>"欠"</formula>
    </cfRule>
  </conditionalFormatting>
  <conditionalFormatting sqref="R68">
    <cfRule type="cellIs" dxfId="0" priority="904" operator="equal">
      <formula>"欠"</formula>
    </cfRule>
  </conditionalFormatting>
  <conditionalFormatting sqref="S68">
    <cfRule type="cellIs" dxfId="0" priority="899" operator="equal">
      <formula>"欠"</formula>
    </cfRule>
    <cfRule type="containsText" dxfId="0" priority="898" operator="between" text="欠">
      <formula>NOT(ISERROR(SEARCH("欠",S68)))</formula>
    </cfRule>
  </conditionalFormatting>
  <conditionalFormatting sqref="T68:U68">
    <cfRule type="cellIs" dxfId="0" priority="906" operator="equal">
      <formula>"欠"</formula>
    </cfRule>
  </conditionalFormatting>
  <conditionalFormatting sqref="U68">
    <cfRule type="containsText" dxfId="0" priority="905" operator="between" text="欠">
      <formula>NOT(ISERROR(SEARCH("欠",U68)))</formula>
    </cfRule>
  </conditionalFormatting>
  <conditionalFormatting sqref="V68">
    <cfRule type="cellIs" dxfId="0" priority="900" operator="equal">
      <formula>"欠"</formula>
    </cfRule>
  </conditionalFormatting>
  <conditionalFormatting sqref="AI68">
    <cfRule type="cellIs" dxfId="0" priority="903" operator="equal">
      <formula>"未完成"</formula>
    </cfRule>
    <cfRule type="cellIs" dxfId="1" priority="902" operator="equal">
      <formula>"未完成"</formula>
    </cfRule>
  </conditionalFormatting>
  <conditionalFormatting sqref="AJ68">
    <cfRule type="cellIs" dxfId="0" priority="901" operator="equal">
      <formula>"欠"</formula>
    </cfRule>
  </conditionalFormatting>
  <conditionalFormatting sqref="R69">
    <cfRule type="cellIs" dxfId="0" priority="896" operator="equal">
      <formula>"欠"</formula>
    </cfRule>
  </conditionalFormatting>
  <conditionalFormatting sqref="S69">
    <cfRule type="cellIs" dxfId="0" priority="889" operator="equal">
      <formula>"欠"</formula>
    </cfRule>
    <cfRule type="containsText" dxfId="0" priority="888" operator="between" text="欠">
      <formula>NOT(ISERROR(SEARCH("欠",S69)))</formula>
    </cfRule>
  </conditionalFormatting>
  <conditionalFormatting sqref="T69">
    <cfRule type="cellIs" dxfId="0" priority="897" operator="equal">
      <formula>"欠"</formula>
    </cfRule>
  </conditionalFormatting>
  <conditionalFormatting sqref="U69">
    <cfRule type="cellIs" dxfId="0" priority="892" operator="equal">
      <formula>"欠"</formula>
    </cfRule>
    <cfRule type="containsText" dxfId="2" priority="891" operator="between" text="欠">
      <formula>NOT(ISERROR(SEARCH("欠",U69)))</formula>
    </cfRule>
    <cfRule type="containsText" dxfId="0" priority="890" operator="between" text="欠">
      <formula>NOT(ISERROR(SEARCH("欠",U69)))</formula>
    </cfRule>
  </conditionalFormatting>
  <conditionalFormatting sqref="AI69">
    <cfRule type="cellIs" dxfId="0" priority="895" operator="equal">
      <formula>"未完成"</formula>
    </cfRule>
    <cfRule type="cellIs" dxfId="1" priority="894" operator="equal">
      <formula>"未完成"</formula>
    </cfRule>
  </conditionalFormatting>
  <conditionalFormatting sqref="AJ69">
    <cfRule type="cellIs" dxfId="0" priority="893" operator="equal">
      <formula>"欠"</formula>
    </cfRule>
  </conditionalFormatting>
  <conditionalFormatting sqref="R70">
    <cfRule type="cellIs" dxfId="0" priority="880" operator="equal">
      <formula>"欠"</formula>
    </cfRule>
    <cfRule type="containsText" dxfId="0" priority="879" operator="between" text="欠">
      <formula>NOT(ISERROR(SEARCH("欠",R70)))</formula>
    </cfRule>
  </conditionalFormatting>
  <conditionalFormatting sqref="S70">
    <cfRule type="cellIs" dxfId="0" priority="887" operator="equal">
      <formula>"欠"</formula>
    </cfRule>
  </conditionalFormatting>
  <conditionalFormatting sqref="T70">
    <cfRule type="cellIs" dxfId="0" priority="881" operator="equal">
      <formula>"欠"</formula>
    </cfRule>
  </conditionalFormatting>
  <conditionalFormatting sqref="U70">
    <cfRule type="cellIs" dxfId="0" priority="882" operator="equal">
      <formula>"欠"</formula>
    </cfRule>
  </conditionalFormatting>
  <conditionalFormatting sqref="AF70">
    <cfRule type="cellIs" dxfId="0" priority="886" operator="equal">
      <formula>"未完成"</formula>
    </cfRule>
  </conditionalFormatting>
  <conditionalFormatting sqref="AH70:AI70">
    <cfRule type="cellIs" dxfId="0" priority="884" operator="equal">
      <formula>"未完成"</formula>
    </cfRule>
    <cfRule type="cellIs" dxfId="1" priority="883" operator="equal">
      <formula>"未完成"</formula>
    </cfRule>
  </conditionalFormatting>
  <conditionalFormatting sqref="AJ70">
    <cfRule type="cellIs" dxfId="0" priority="885" operator="equal">
      <formula>"欠"</formula>
    </cfRule>
  </conditionalFormatting>
  <conditionalFormatting sqref="R73">
    <cfRule type="cellIs" dxfId="0" priority="859" operator="equal">
      <formula>"欠"</formula>
    </cfRule>
    <cfRule type="containsText" dxfId="0" priority="858" operator="between" text="欠">
      <formula>NOT(ISERROR(SEARCH("欠",R73)))</formula>
    </cfRule>
  </conditionalFormatting>
  <conditionalFormatting sqref="S73">
    <cfRule type="cellIs" dxfId="0" priority="861" operator="equal">
      <formula>"欠"</formula>
    </cfRule>
  </conditionalFormatting>
  <conditionalFormatting sqref="T73">
    <cfRule type="cellIs" dxfId="0" priority="865" operator="equal">
      <formula>"欠"</formula>
    </cfRule>
    <cfRule type="containsText" dxfId="0" priority="864" operator="between" text="欠">
      <formula>NOT(ISERROR(SEARCH("欠",T73)))</formula>
    </cfRule>
  </conditionalFormatting>
  <conditionalFormatting sqref="U73">
    <cfRule type="cellIs" dxfId="0" priority="856" operator="equal">
      <formula>"欠"</formula>
    </cfRule>
  </conditionalFormatting>
  <conditionalFormatting sqref="AF73">
    <cfRule type="cellIs" dxfId="0" priority="860" operator="equal">
      <formula>"未完成"</formula>
    </cfRule>
  </conditionalFormatting>
  <conditionalFormatting sqref="AH73:AI73">
    <cfRule type="cellIs" dxfId="0" priority="855" operator="equal">
      <formula>"未完成"</formula>
    </cfRule>
    <cfRule type="cellIs" dxfId="1" priority="854" operator="equal">
      <formula>"未完成"</formula>
    </cfRule>
  </conditionalFormatting>
  <conditionalFormatting sqref="R74">
    <cfRule type="cellIs" dxfId="0" priority="846" operator="equal">
      <formula>"欠"</formula>
    </cfRule>
    <cfRule type="containsText" dxfId="0" priority="845" operator="between" text="欠">
      <formula>NOT(ISERROR(SEARCH("欠",R74)))</formula>
    </cfRule>
  </conditionalFormatting>
  <conditionalFormatting sqref="S74">
    <cfRule type="cellIs" dxfId="0" priority="848" operator="equal">
      <formula>"欠"</formula>
    </cfRule>
  </conditionalFormatting>
  <conditionalFormatting sqref="T74">
    <cfRule type="cellIs" dxfId="0" priority="853" operator="equal">
      <formula>"欠"</formula>
    </cfRule>
    <cfRule type="containsText" dxfId="0" priority="852" operator="between" text="欠">
      <formula>NOT(ISERROR(SEARCH("欠",T74)))</formula>
    </cfRule>
  </conditionalFormatting>
  <conditionalFormatting sqref="U74">
    <cfRule type="cellIs" dxfId="0" priority="851" operator="equal">
      <formula>"欠"</formula>
    </cfRule>
  </conditionalFormatting>
  <conditionalFormatting sqref="AF74">
    <cfRule type="cellIs" dxfId="0" priority="847" operator="equal">
      <formula>"未完成"</formula>
    </cfRule>
  </conditionalFormatting>
  <conditionalFormatting sqref="AH74:AI74">
    <cfRule type="cellIs" dxfId="0" priority="843" operator="equal">
      <formula>"未完成"</formula>
    </cfRule>
    <cfRule type="cellIs" dxfId="1" priority="842" operator="equal">
      <formula>"未完成"</formula>
    </cfRule>
  </conditionalFormatting>
  <conditionalFormatting sqref="R79:T79">
    <cfRule type="cellIs" dxfId="0" priority="821" operator="equal">
      <formula>"欠"</formula>
    </cfRule>
  </conditionalFormatting>
  <conditionalFormatting sqref="R79">
    <cfRule type="containsText" dxfId="0" priority="817" operator="between" text="欠">
      <formula>NOT(ISERROR(SEARCH("欠",R79)))</formula>
    </cfRule>
  </conditionalFormatting>
  <conditionalFormatting sqref="T79">
    <cfRule type="containsText" dxfId="0" priority="820" operator="between" text="欠">
      <formula>NOT(ISERROR(SEARCH("欠",T79)))</formula>
    </cfRule>
  </conditionalFormatting>
  <conditionalFormatting sqref="U79">
    <cfRule type="cellIs" dxfId="0" priority="812" operator="equal">
      <formula>"欠"</formula>
    </cfRule>
  </conditionalFormatting>
  <conditionalFormatting sqref="AD79">
    <cfRule type="cellIs" dxfId="0" priority="813" operator="equal">
      <formula>"未完成"</formula>
    </cfRule>
  </conditionalFormatting>
  <conditionalFormatting sqref="AF79">
    <cfRule type="cellIs" dxfId="0" priority="818" operator="equal">
      <formula>"未完成"</formula>
    </cfRule>
  </conditionalFormatting>
  <conditionalFormatting sqref="AH79:AI79">
    <cfRule type="cellIs" dxfId="0" priority="815" operator="equal">
      <formula>"未完成"</formula>
    </cfRule>
    <cfRule type="cellIs" dxfId="1" priority="814" operator="equal">
      <formula>"未完成"</formula>
    </cfRule>
  </conditionalFormatting>
  <conditionalFormatting sqref="R80:T80">
    <cfRule type="cellIs" dxfId="0" priority="811" operator="equal">
      <formula>"欠"</formula>
    </cfRule>
  </conditionalFormatting>
  <conditionalFormatting sqref="R80">
    <cfRule type="containsText" dxfId="0" priority="803" operator="between" text="欠">
      <formula>NOT(ISERROR(SEARCH("欠",R80)))</formula>
    </cfRule>
  </conditionalFormatting>
  <conditionalFormatting sqref="T80">
    <cfRule type="containsText" dxfId="0" priority="810" operator="between" text="欠">
      <formula>NOT(ISERROR(SEARCH("欠",T80)))</formula>
    </cfRule>
  </conditionalFormatting>
  <conditionalFormatting sqref="U80">
    <cfRule type="cellIs" dxfId="0" priority="805" operator="equal">
      <formula>"欠"</formula>
    </cfRule>
  </conditionalFormatting>
  <conditionalFormatting sqref="AD80">
    <cfRule type="cellIs" dxfId="0" priority="806" operator="equal">
      <formula>"未完成"</formula>
    </cfRule>
  </conditionalFormatting>
  <conditionalFormatting sqref="AF80">
    <cfRule type="cellIs" dxfId="0" priority="804" operator="equal">
      <formula>"未完成"</formula>
    </cfRule>
  </conditionalFormatting>
  <conditionalFormatting sqref="AH80:AI80">
    <cfRule type="cellIs" dxfId="0" priority="808" operator="equal">
      <formula>"未完成"</formula>
    </cfRule>
    <cfRule type="cellIs" dxfId="1" priority="807" operator="equal">
      <formula>"未完成"</formula>
    </cfRule>
  </conditionalFormatting>
  <conditionalFormatting sqref="R81">
    <cfRule type="cellIs" dxfId="0" priority="795" operator="equal">
      <formula>"欠"</formula>
    </cfRule>
    <cfRule type="containsText" dxfId="0" priority="791" operator="between" text="欠">
      <formula>NOT(ISERROR(SEARCH("欠",R81)))</formula>
    </cfRule>
  </conditionalFormatting>
  <conditionalFormatting sqref="S81">
    <cfRule type="cellIs" dxfId="0" priority="790" operator="equal">
      <formula>"欠"</formula>
    </cfRule>
  </conditionalFormatting>
  <conditionalFormatting sqref="T81">
    <cfRule type="cellIs" dxfId="0" priority="800" operator="equal">
      <formula>"欠"</formula>
    </cfRule>
    <cfRule type="containsText" dxfId="0" priority="799" operator="between" text="欠">
      <formula>NOT(ISERROR(SEARCH("欠",T81)))</formula>
    </cfRule>
  </conditionalFormatting>
  <conditionalFormatting sqref="U81">
    <cfRule type="cellIs" dxfId="0" priority="792" operator="equal">
      <formula>"欠"</formula>
    </cfRule>
  </conditionalFormatting>
  <conditionalFormatting sqref="AG81">
    <cfRule type="cellIs" dxfId="0" priority="797" operator="equal">
      <formula>"未完成"</formula>
    </cfRule>
  </conditionalFormatting>
  <conditionalFormatting sqref="AI81:AJ81">
    <cfRule type="cellIs" dxfId="0" priority="794" operator="equal">
      <formula>"未完成"</formula>
    </cfRule>
    <cfRule type="cellIs" dxfId="1" priority="793" operator="equal">
      <formula>"未完成"</formula>
    </cfRule>
  </conditionalFormatting>
  <conditionalFormatting sqref="AK81">
    <cfRule type="cellIs" dxfId="0" priority="801" operator="equal">
      <formula>"欠"</formula>
    </cfRule>
  </conditionalFormatting>
  <conditionalFormatting sqref="R82">
    <cfRule type="cellIs" dxfId="0" priority="788" operator="equal">
      <formula>"欠"</formula>
    </cfRule>
  </conditionalFormatting>
  <conditionalFormatting sqref="S82">
    <cfRule type="containsText" dxfId="0" priority="780" operator="between" text="欠">
      <formula>NOT(ISERROR(SEARCH("欠",S82)))</formula>
    </cfRule>
    <cfRule type="cellIs" dxfId="0" priority="781" operator="equal">
      <formula>"欠"</formula>
    </cfRule>
  </conditionalFormatting>
  <conditionalFormatting sqref="T82">
    <cfRule type="cellIs" dxfId="0" priority="789" operator="equal">
      <formula>"欠"</formula>
    </cfRule>
  </conditionalFormatting>
  <conditionalFormatting sqref="U82">
    <cfRule type="containsText" dxfId="0" priority="782" operator="between" text="欠">
      <formula>NOT(ISERROR(SEARCH("欠",U82)))</formula>
    </cfRule>
    <cfRule type="containsText" dxfId="2" priority="783" operator="between" text="欠">
      <formula>NOT(ISERROR(SEARCH("欠",U82)))</formula>
    </cfRule>
    <cfRule type="cellIs" dxfId="0" priority="784" operator="equal">
      <formula>"欠"</formula>
    </cfRule>
  </conditionalFormatting>
  <conditionalFormatting sqref="AJ82">
    <cfRule type="cellIs" dxfId="1" priority="786" operator="equal">
      <formula>"未完成"</formula>
    </cfRule>
    <cfRule type="cellIs" dxfId="0" priority="787" operator="equal">
      <formula>"未完成"</formula>
    </cfRule>
  </conditionalFormatting>
  <conditionalFormatting sqref="AK82">
    <cfRule type="cellIs" dxfId="0" priority="785" operator="equal">
      <formula>"欠"</formula>
    </cfRule>
  </conditionalFormatting>
  <conditionalFormatting sqref="R83">
    <cfRule type="containsText" dxfId="0" priority="757" operator="between" text="欠">
      <formula>NOT(ISERROR(SEARCH("欠",R83)))</formula>
    </cfRule>
    <cfRule type="cellIs" dxfId="0" priority="761" operator="equal">
      <formula>"欠"</formula>
    </cfRule>
  </conditionalFormatting>
  <conditionalFormatting sqref="S83">
    <cfRule type="cellIs" dxfId="0" priority="756" operator="equal">
      <formula>"欠"</formula>
    </cfRule>
  </conditionalFormatting>
  <conditionalFormatting sqref="T83">
    <cfRule type="containsText" dxfId="0" priority="763" operator="between" text="欠">
      <formula>NOT(ISERROR(SEARCH("欠",T83)))</formula>
    </cfRule>
    <cfRule type="cellIs" dxfId="0" priority="764" operator="equal">
      <formula>"欠"</formula>
    </cfRule>
  </conditionalFormatting>
  <conditionalFormatting sqref="U83">
    <cfRule type="cellIs" dxfId="0" priority="758" operator="equal">
      <formula>"欠"</formula>
    </cfRule>
  </conditionalFormatting>
  <conditionalFormatting sqref="AG83">
    <cfRule type="cellIs" dxfId="0" priority="762" operator="equal">
      <formula>"未完成"</formula>
    </cfRule>
  </conditionalFormatting>
  <conditionalFormatting sqref="AI83:AJ83">
    <cfRule type="cellIs" dxfId="1" priority="759" operator="equal">
      <formula>"未完成"</formula>
    </cfRule>
    <cfRule type="cellIs" dxfId="0" priority="760" operator="equal">
      <formula>"未完成"</formula>
    </cfRule>
  </conditionalFormatting>
  <conditionalFormatting sqref="AK83">
    <cfRule type="cellIs" dxfId="0" priority="765" operator="equal">
      <formula>"欠"</formula>
    </cfRule>
  </conditionalFormatting>
  <conditionalFormatting sqref="R84">
    <cfRule type="cellIs" dxfId="0" priority="743" operator="equal">
      <formula>"欠"</formula>
    </cfRule>
  </conditionalFormatting>
  <conditionalFormatting sqref="S84">
    <cfRule type="containsText" dxfId="0" priority="735" operator="between" text="欠">
      <formula>NOT(ISERROR(SEARCH("欠",S84)))</formula>
    </cfRule>
    <cfRule type="cellIs" dxfId="0" priority="736" operator="equal">
      <formula>"欠"</formula>
    </cfRule>
  </conditionalFormatting>
  <conditionalFormatting sqref="T84">
    <cfRule type="cellIs" dxfId="0" priority="744" operator="equal">
      <formula>"欠"</formula>
    </cfRule>
  </conditionalFormatting>
  <conditionalFormatting sqref="U84">
    <cfRule type="containsText" dxfId="0" priority="737" operator="between" text="欠">
      <formula>NOT(ISERROR(SEARCH("欠",U84)))</formula>
    </cfRule>
    <cfRule type="containsText" dxfId="2" priority="738" operator="between" text="欠">
      <formula>NOT(ISERROR(SEARCH("欠",U84)))</formula>
    </cfRule>
    <cfRule type="cellIs" dxfId="0" priority="739" operator="equal">
      <formula>"欠"</formula>
    </cfRule>
  </conditionalFormatting>
  <conditionalFormatting sqref="AJ84">
    <cfRule type="cellIs" dxfId="1" priority="741" operator="equal">
      <formula>"未完成"</formula>
    </cfRule>
    <cfRule type="cellIs" dxfId="0" priority="742" operator="equal">
      <formula>"未完成"</formula>
    </cfRule>
  </conditionalFormatting>
  <conditionalFormatting sqref="AK84">
    <cfRule type="cellIs" dxfId="0" priority="740" operator="equal">
      <formula>"欠"</formula>
    </cfRule>
  </conditionalFormatting>
  <conditionalFormatting sqref="Q85">
    <cfRule type="cellIs" dxfId="0" priority="733" operator="equal">
      <formula>"欠"</formula>
    </cfRule>
  </conditionalFormatting>
  <conditionalFormatting sqref="R85">
    <cfRule type="cellIs" dxfId="0" priority="726" operator="equal">
      <formula>"欠"</formula>
    </cfRule>
    <cfRule type="containsText" dxfId="0" priority="725" operator="between" text="欠">
      <formula>NOT(ISERROR(SEARCH("欠",R85)))</formula>
    </cfRule>
  </conditionalFormatting>
  <conditionalFormatting sqref="S85">
    <cfRule type="cellIs" dxfId="0" priority="734" operator="equal">
      <formula>"欠"</formula>
    </cfRule>
  </conditionalFormatting>
  <conditionalFormatting sqref="T85">
    <cfRule type="cellIs" dxfId="0" priority="728" operator="equal">
      <formula>"欠"</formula>
    </cfRule>
    <cfRule type="containsText" dxfId="0" priority="727" operator="between" text="欠">
      <formula>NOT(ISERROR(SEARCH("欠",T85)))</formula>
    </cfRule>
  </conditionalFormatting>
  <conditionalFormatting sqref="U85">
    <cfRule type="cellIs" dxfId="0" priority="729" operator="equal">
      <formula>"欠"</formula>
    </cfRule>
  </conditionalFormatting>
  <conditionalFormatting sqref="AI85">
    <cfRule type="cellIs" dxfId="0" priority="732" operator="equal">
      <formula>"未完成"</formula>
    </cfRule>
    <cfRule type="cellIs" dxfId="1" priority="731" operator="equal">
      <formula>"未完成"</formula>
    </cfRule>
  </conditionalFormatting>
  <conditionalFormatting sqref="AJ85">
    <cfRule type="cellIs" dxfId="0" priority="730" operator="equal">
      <formula>"欠"</formula>
    </cfRule>
  </conditionalFormatting>
  <conditionalFormatting sqref="Q86">
    <cfRule type="cellIs" dxfId="0" priority="723" operator="equal">
      <formula>"欠"</formula>
    </cfRule>
  </conditionalFormatting>
  <conditionalFormatting sqref="R86">
    <cfRule type="containsText" dxfId="0" priority="715" operator="between" text="欠">
      <formula>NOT(ISERROR(SEARCH("欠",R86)))</formula>
    </cfRule>
    <cfRule type="cellIs" dxfId="0" priority="716" operator="equal">
      <formula>"欠"</formula>
    </cfRule>
  </conditionalFormatting>
  <conditionalFormatting sqref="S86">
    <cfRule type="cellIs" dxfId="0" priority="724" operator="equal">
      <formula>"欠"</formula>
    </cfRule>
  </conditionalFormatting>
  <conditionalFormatting sqref="T86">
    <cfRule type="containsText" dxfId="0" priority="717" operator="between" text="欠">
      <formula>NOT(ISERROR(SEARCH("欠",T86)))</formula>
    </cfRule>
    <cfRule type="cellIs" dxfId="0" priority="718" operator="equal">
      <formula>"欠"</formula>
    </cfRule>
  </conditionalFormatting>
  <conditionalFormatting sqref="U86">
    <cfRule type="cellIs" dxfId="0" priority="719" operator="equal">
      <formula>"欠"</formula>
    </cfRule>
  </conditionalFormatting>
  <conditionalFormatting sqref="AI86">
    <cfRule type="cellIs" dxfId="1" priority="721" operator="equal">
      <formula>"未完成"</formula>
    </cfRule>
    <cfRule type="cellIs" dxfId="0" priority="722" operator="equal">
      <formula>"未完成"</formula>
    </cfRule>
  </conditionalFormatting>
  <conditionalFormatting sqref="AJ86">
    <cfRule type="cellIs" dxfId="0" priority="720" operator="equal">
      <formula>"欠"</formula>
    </cfRule>
  </conditionalFormatting>
  <conditionalFormatting sqref="Q87">
    <cfRule type="cellIs" dxfId="0" priority="681" operator="equal">
      <formula>"欠"</formula>
    </cfRule>
  </conditionalFormatting>
  <conditionalFormatting sqref="R87">
    <cfRule type="cellIs" dxfId="0" priority="683" operator="equal">
      <formula>"欠"</formula>
    </cfRule>
    <cfRule type="containsText" dxfId="0" priority="682" operator="between" text="欠">
      <formula>NOT(ISERROR(SEARCH("欠",R87)))</formula>
    </cfRule>
  </conditionalFormatting>
  <conditionalFormatting sqref="S87">
    <cfRule type="cellIs" dxfId="0" priority="673" operator="equal">
      <formula>"欠"</formula>
    </cfRule>
  </conditionalFormatting>
  <conditionalFormatting sqref="T87">
    <cfRule type="cellIs" dxfId="0" priority="676" operator="equal">
      <formula>"欠"</formula>
    </cfRule>
    <cfRule type="containsText" dxfId="0" priority="675" operator="between" text="欠">
      <formula>NOT(ISERROR(SEARCH("欠",T87)))</formula>
    </cfRule>
  </conditionalFormatting>
  <conditionalFormatting sqref="U87">
    <cfRule type="cellIs" dxfId="0" priority="677" operator="equal">
      <formula>"欠"</formula>
    </cfRule>
  </conditionalFormatting>
  <conditionalFormatting sqref="AF87">
    <cfRule type="cellIs" dxfId="0" priority="674" operator="equal">
      <formula>"未完成"</formula>
    </cfRule>
  </conditionalFormatting>
  <conditionalFormatting sqref="AI87">
    <cfRule type="cellIs" dxfId="0" priority="680" operator="equal">
      <formula>"未完成"</formula>
    </cfRule>
    <cfRule type="cellIs" dxfId="1" priority="679" operator="equal">
      <formula>"未完成"</formula>
    </cfRule>
  </conditionalFormatting>
  <conditionalFormatting sqref="AJ87">
    <cfRule type="cellIs" dxfId="0" priority="678" operator="equal">
      <formula>"欠"</formula>
    </cfRule>
  </conditionalFormatting>
  <conditionalFormatting sqref="R88">
    <cfRule type="containsText" dxfId="0" priority="662" operator="between" text="欠">
      <formula>NOT(ISERROR(SEARCH("欠",R88)))</formula>
    </cfRule>
    <cfRule type="cellIs" dxfId="0" priority="667" operator="equal">
      <formula>"欠"</formula>
    </cfRule>
  </conditionalFormatting>
  <conditionalFormatting sqref="S88">
    <cfRule type="cellIs" dxfId="0" priority="666" operator="equal">
      <formula>"欠"</formula>
    </cfRule>
  </conditionalFormatting>
  <conditionalFormatting sqref="T88">
    <cfRule type="containsText" dxfId="0" priority="664" operator="between" text="欠">
      <formula>NOT(ISERROR(SEARCH("欠",T88)))</formula>
    </cfRule>
    <cfRule type="cellIs" dxfId="0" priority="665" operator="equal">
      <formula>"欠"</formula>
    </cfRule>
  </conditionalFormatting>
  <conditionalFormatting sqref="U88">
    <cfRule type="cellIs" dxfId="0" priority="671" operator="equal">
      <formula>"欠"</formula>
    </cfRule>
  </conditionalFormatting>
  <conditionalFormatting sqref="AD88:AE88">
    <cfRule type="cellIs" dxfId="0" priority="672" operator="equal">
      <formula>"未完成"</formula>
    </cfRule>
  </conditionalFormatting>
  <conditionalFormatting sqref="AI88:AJ88">
    <cfRule type="cellIs" dxfId="1" priority="669" operator="equal">
      <formula>"未完成"</formula>
    </cfRule>
    <cfRule type="cellIs" dxfId="0" priority="670" operator="equal">
      <formula>"未完成"</formula>
    </cfRule>
  </conditionalFormatting>
  <conditionalFormatting sqref="AK88">
    <cfRule type="cellIs" dxfId="0" priority="668" operator="equal">
      <formula>"欠"</formula>
    </cfRule>
  </conditionalFormatting>
  <conditionalFormatting sqref="Q89">
    <cfRule type="cellIs" dxfId="0" priority="659" operator="equal">
      <formula>"欠"</formula>
    </cfRule>
  </conditionalFormatting>
  <conditionalFormatting sqref="R89">
    <cfRule type="containsText" dxfId="0" priority="649" operator="between" text="欠">
      <formula>NOT(ISERROR(SEARCH("欠",R89)))</formula>
    </cfRule>
    <cfRule type="cellIs" dxfId="0" priority="650" operator="equal">
      <formula>"欠"</formula>
    </cfRule>
  </conditionalFormatting>
  <conditionalFormatting sqref="S89">
    <cfRule type="cellIs" dxfId="0" priority="653" operator="equal">
      <formula>"欠"</formula>
    </cfRule>
  </conditionalFormatting>
  <conditionalFormatting sqref="T89">
    <cfRule type="containsText" dxfId="0" priority="651" operator="between" text="欠">
      <formula>NOT(ISERROR(SEARCH("欠",T89)))</formula>
    </cfRule>
    <cfRule type="cellIs" dxfId="0" priority="652" operator="equal">
      <formula>"欠"</formula>
    </cfRule>
  </conditionalFormatting>
  <conditionalFormatting sqref="U89">
    <cfRule type="cellIs" dxfId="0" priority="655" operator="equal">
      <formula>"欠"</formula>
    </cfRule>
  </conditionalFormatting>
  <conditionalFormatting sqref="AF89">
    <cfRule type="cellIs" dxfId="0" priority="654" operator="equal">
      <formula>"未完成"</formula>
    </cfRule>
  </conditionalFormatting>
  <conditionalFormatting sqref="AG89">
    <cfRule type="cellIs" dxfId="0" priority="660" operator="equal">
      <formula>"未完成"</formula>
    </cfRule>
  </conditionalFormatting>
  <conditionalFormatting sqref="AI89">
    <cfRule type="cellIs" dxfId="1" priority="657" operator="equal">
      <formula>"未完成"</formula>
    </cfRule>
    <cfRule type="cellIs" dxfId="0" priority="658" operator="equal">
      <formula>"未完成"</formula>
    </cfRule>
  </conditionalFormatting>
  <conditionalFormatting sqref="AJ89">
    <cfRule type="cellIs" dxfId="0" priority="656" operator="equal">
      <formula>"欠"</formula>
    </cfRule>
  </conditionalFormatting>
  <conditionalFormatting sqref="AK89">
    <cfRule type="cellIs" dxfId="0" priority="661" operator="equal">
      <formula>"欠"</formula>
    </cfRule>
  </conditionalFormatting>
  <conditionalFormatting sqref="R90">
    <cfRule type="cellIs" dxfId="0" priority="640" operator="equal">
      <formula>"欠"</formula>
    </cfRule>
    <cfRule type="containsText" dxfId="0" priority="639" operator="between" text="欠">
      <formula>NOT(ISERROR(SEARCH("欠",R90)))</formula>
    </cfRule>
  </conditionalFormatting>
  <conditionalFormatting sqref="S90">
    <cfRule type="cellIs" dxfId="0" priority="641" operator="equal">
      <formula>"欠"</formula>
    </cfRule>
  </conditionalFormatting>
  <conditionalFormatting sqref="T90">
    <cfRule type="cellIs" dxfId="0" priority="643" operator="equal">
      <formula>"欠"</formula>
    </cfRule>
    <cfRule type="containsText" dxfId="0" priority="642" operator="between" text="欠">
      <formula>NOT(ISERROR(SEARCH("欠",T90)))</formula>
    </cfRule>
  </conditionalFormatting>
  <conditionalFormatting sqref="U90">
    <cfRule type="cellIs" dxfId="0" priority="644" operator="equal">
      <formula>"欠"</formula>
    </cfRule>
  </conditionalFormatting>
  <conditionalFormatting sqref="AG90">
    <cfRule type="cellIs" dxfId="0" priority="647" operator="equal">
      <formula>"未完成"</formula>
    </cfRule>
  </conditionalFormatting>
  <conditionalFormatting sqref="AI90:AJ90">
    <cfRule type="cellIs" dxfId="0" priority="646" operator="equal">
      <formula>"未完成"</formula>
    </cfRule>
    <cfRule type="cellIs" dxfId="1" priority="645" operator="equal">
      <formula>"未完成"</formula>
    </cfRule>
  </conditionalFormatting>
  <conditionalFormatting sqref="AK90">
    <cfRule type="cellIs" dxfId="0" priority="648" operator="equal">
      <formula>"欠"</formula>
    </cfRule>
  </conditionalFormatting>
  <conditionalFormatting sqref="R91">
    <cfRule type="containsText" dxfId="0" priority="628" operator="between" text="欠">
      <formula>NOT(ISERROR(SEARCH("欠",R91)))</formula>
    </cfRule>
    <cfRule type="cellIs" dxfId="0" priority="629" operator="equal">
      <formula>"欠"</formula>
    </cfRule>
  </conditionalFormatting>
  <conditionalFormatting sqref="S91">
    <cfRule type="cellIs" dxfId="0" priority="630" operator="equal">
      <formula>"欠"</formula>
    </cfRule>
  </conditionalFormatting>
  <conditionalFormatting sqref="T91">
    <cfRule type="containsText" dxfId="0" priority="631" operator="between" text="欠">
      <formula>NOT(ISERROR(SEARCH("欠",T91)))</formula>
    </cfRule>
    <cfRule type="cellIs" dxfId="0" priority="632" operator="equal">
      <formula>"欠"</formula>
    </cfRule>
  </conditionalFormatting>
  <conditionalFormatting sqref="U91">
    <cfRule type="cellIs" dxfId="0" priority="634" operator="equal">
      <formula>"欠"</formula>
    </cfRule>
  </conditionalFormatting>
  <conditionalFormatting sqref="AG91">
    <cfRule type="cellIs" dxfId="0" priority="637" operator="equal">
      <formula>"未完成"</formula>
    </cfRule>
  </conditionalFormatting>
  <conditionalFormatting sqref="AI91:AJ91">
    <cfRule type="cellIs" dxfId="1" priority="635" operator="equal">
      <formula>"未完成"</formula>
    </cfRule>
    <cfRule type="cellIs" dxfId="0" priority="636" operator="equal">
      <formula>"未完成"</formula>
    </cfRule>
  </conditionalFormatting>
  <conditionalFormatting sqref="AK91">
    <cfRule type="cellIs" dxfId="0" priority="633" operator="equal">
      <formula>"欠"</formula>
    </cfRule>
  </conditionalFormatting>
  <conditionalFormatting sqref="R92">
    <cfRule type="containsText" dxfId="0" priority="598" operator="between" text="欠">
      <formula>NOT(ISERROR(SEARCH("欠",R92)))</formula>
    </cfRule>
    <cfRule type="cellIs" dxfId="0" priority="599" operator="equal">
      <formula>"欠"</formula>
    </cfRule>
  </conditionalFormatting>
  <conditionalFormatting sqref="S92">
    <cfRule type="cellIs" dxfId="0" priority="596" operator="equal">
      <formula>"欠"</formula>
    </cfRule>
  </conditionalFormatting>
  <conditionalFormatting sqref="T92">
    <cfRule type="cellIs" dxfId="0" priority="597" operator="equal">
      <formula>"欠"</formula>
    </cfRule>
  </conditionalFormatting>
  <conditionalFormatting sqref="U92">
    <cfRule type="cellIs" dxfId="0" priority="600" operator="equal">
      <formula>"欠"</formula>
    </cfRule>
  </conditionalFormatting>
  <conditionalFormatting sqref="AG92">
    <cfRule type="cellIs" dxfId="0" priority="604" operator="equal">
      <formula>"未完成"</formula>
    </cfRule>
  </conditionalFormatting>
  <conditionalFormatting sqref="AI92:AJ92">
    <cfRule type="cellIs" dxfId="1" priority="601" operator="equal">
      <formula>"未完成"</formula>
    </cfRule>
    <cfRule type="cellIs" dxfId="0" priority="602" operator="equal">
      <formula>"未完成"</formula>
    </cfRule>
  </conditionalFormatting>
  <conditionalFormatting sqref="AK92">
    <cfRule type="cellIs" dxfId="0" priority="603" operator="equal">
      <formula>"欠"</formula>
    </cfRule>
  </conditionalFormatting>
  <conditionalFormatting sqref="Q93">
    <cfRule type="cellIs" dxfId="0" priority="593" operator="equal">
      <formula>"欠"</formula>
    </cfRule>
  </conditionalFormatting>
  <conditionalFormatting sqref="R93">
    <cfRule type="cellIs" dxfId="0" priority="586" operator="equal">
      <formula>"欠"</formula>
    </cfRule>
    <cfRule type="containsText" dxfId="0" priority="585" operator="between" text="欠">
      <formula>NOT(ISERROR(SEARCH("欠",R93)))</formula>
    </cfRule>
  </conditionalFormatting>
  <conditionalFormatting sqref="S93">
    <cfRule type="cellIs" dxfId="0" priority="594" operator="equal">
      <formula>"欠"</formula>
    </cfRule>
  </conditionalFormatting>
  <conditionalFormatting sqref="T93">
    <cfRule type="cellIs" dxfId="0" priority="588" operator="equal">
      <formula>"欠"</formula>
    </cfRule>
    <cfRule type="containsText" dxfId="0" priority="587" operator="between" text="欠">
      <formula>NOT(ISERROR(SEARCH("欠",T93)))</formula>
    </cfRule>
  </conditionalFormatting>
  <conditionalFormatting sqref="U93">
    <cfRule type="cellIs" dxfId="0" priority="589" operator="equal">
      <formula>"欠"</formula>
    </cfRule>
  </conditionalFormatting>
  <conditionalFormatting sqref="AI93">
    <cfRule type="cellIs" dxfId="0" priority="592" operator="equal">
      <formula>"未完成"</formula>
    </cfRule>
    <cfRule type="cellIs" dxfId="1" priority="591" operator="equal">
      <formula>"未完成"</formula>
    </cfRule>
  </conditionalFormatting>
  <conditionalFormatting sqref="AJ93">
    <cfRule type="cellIs" dxfId="0" priority="590" operator="equal">
      <formula>"欠"</formula>
    </cfRule>
  </conditionalFormatting>
  <conditionalFormatting sqref="R94">
    <cfRule type="containsText" dxfId="0" priority="606" operator="between" text="欠">
      <formula>NOT(ISERROR(SEARCH("欠",R94)))</formula>
    </cfRule>
    <cfRule type="cellIs" dxfId="0" priority="607" operator="equal">
      <formula>"欠"</formula>
    </cfRule>
  </conditionalFormatting>
  <conditionalFormatting sqref="S94">
    <cfRule type="cellIs" dxfId="0" priority="608" operator="equal">
      <formula>"欠"</formula>
    </cfRule>
  </conditionalFormatting>
  <conditionalFormatting sqref="T94">
    <cfRule type="containsText" dxfId="0" priority="609" operator="between" text="欠">
      <formula>NOT(ISERROR(SEARCH("欠",T94)))</formula>
    </cfRule>
    <cfRule type="cellIs" dxfId="0" priority="610" operator="equal">
      <formula>"欠"</formula>
    </cfRule>
  </conditionalFormatting>
  <conditionalFormatting sqref="U94">
    <cfRule type="cellIs" dxfId="0" priority="612" operator="equal">
      <formula>"欠"</formula>
    </cfRule>
  </conditionalFormatting>
  <conditionalFormatting sqref="AG94">
    <cfRule type="cellIs" dxfId="0" priority="615" operator="equal">
      <formula>"未完成"</formula>
    </cfRule>
  </conditionalFormatting>
  <conditionalFormatting sqref="AI94:AJ94">
    <cfRule type="cellIs" dxfId="1" priority="613" operator="equal">
      <formula>"未完成"</formula>
    </cfRule>
    <cfRule type="cellIs" dxfId="0" priority="614" operator="equal">
      <formula>"未完成"</formula>
    </cfRule>
  </conditionalFormatting>
  <conditionalFormatting sqref="AK94">
    <cfRule type="cellIs" dxfId="0" priority="611" operator="equal">
      <formula>"欠"</formula>
    </cfRule>
  </conditionalFormatting>
  <conditionalFormatting sqref="Q95">
    <cfRule type="cellIs" dxfId="0" priority="579" operator="equal">
      <formula>"欠"</formula>
    </cfRule>
  </conditionalFormatting>
  <conditionalFormatting sqref="R95">
    <cfRule type="containsText" dxfId="0" priority="583" operator="between" text="欠">
      <formula>NOT(ISERROR(SEARCH("欠",R95)))</formula>
    </cfRule>
    <cfRule type="cellIs" dxfId="0" priority="584" operator="equal">
      <formula>"欠"</formula>
    </cfRule>
  </conditionalFormatting>
  <conditionalFormatting sqref="S95">
    <cfRule type="cellIs" dxfId="0" priority="580" operator="equal">
      <formula>"欠"</formula>
    </cfRule>
  </conditionalFormatting>
  <conditionalFormatting sqref="T95">
    <cfRule type="containsText" dxfId="0" priority="581" operator="between" text="欠">
      <formula>NOT(ISERROR(SEARCH("欠",T95)))</formula>
    </cfRule>
    <cfRule type="cellIs" dxfId="0" priority="582" operator="equal">
      <formula>"欠"</formula>
    </cfRule>
  </conditionalFormatting>
  <conditionalFormatting sqref="U95">
    <cfRule type="cellIs" dxfId="0" priority="575" operator="equal">
      <formula>"欠"</formula>
    </cfRule>
  </conditionalFormatting>
  <conditionalFormatting sqref="AI95">
    <cfRule type="cellIs" dxfId="1" priority="577" operator="equal">
      <formula>"未完成"</formula>
    </cfRule>
    <cfRule type="cellIs" dxfId="0" priority="578" operator="equal">
      <formula>"未完成"</formula>
    </cfRule>
  </conditionalFormatting>
  <conditionalFormatting sqref="AJ95">
    <cfRule type="cellIs" dxfId="0" priority="576" operator="equal">
      <formula>"欠"</formula>
    </cfRule>
  </conditionalFormatting>
  <conditionalFormatting sqref="Q96">
    <cfRule type="cellIs" dxfId="0" priority="569" operator="equal">
      <formula>"欠"</formula>
    </cfRule>
  </conditionalFormatting>
  <conditionalFormatting sqref="R96">
    <cfRule type="containsText" dxfId="0" priority="573" operator="between" text="欠">
      <formula>NOT(ISERROR(SEARCH("欠",R96)))</formula>
    </cfRule>
    <cfRule type="cellIs" dxfId="0" priority="574" operator="equal">
      <formula>"欠"</formula>
    </cfRule>
  </conditionalFormatting>
  <conditionalFormatting sqref="S96">
    <cfRule type="cellIs" dxfId="0" priority="570" operator="equal">
      <formula>"欠"</formula>
    </cfRule>
  </conditionalFormatting>
  <conditionalFormatting sqref="T96">
    <cfRule type="containsText" dxfId="0" priority="571" operator="between" text="欠">
      <formula>NOT(ISERROR(SEARCH("欠",T96)))</formula>
    </cfRule>
    <cfRule type="cellIs" dxfId="0" priority="572" operator="equal">
      <formula>"欠"</formula>
    </cfRule>
  </conditionalFormatting>
  <conditionalFormatting sqref="U96">
    <cfRule type="cellIs" dxfId="0" priority="565" operator="equal">
      <formula>"欠"</formula>
    </cfRule>
  </conditionalFormatting>
  <conditionalFormatting sqref="AF96">
    <cfRule type="cellIs" dxfId="0" priority="564" operator="equal">
      <formula>"未完成"</formula>
    </cfRule>
  </conditionalFormatting>
  <conditionalFormatting sqref="AI96">
    <cfRule type="cellIs" dxfId="1" priority="567" operator="equal">
      <formula>"未完成"</formula>
    </cfRule>
    <cfRule type="cellIs" dxfId="0" priority="568" operator="equal">
      <formula>"未完成"</formula>
    </cfRule>
  </conditionalFormatting>
  <conditionalFormatting sqref="AJ96">
    <cfRule type="cellIs" dxfId="0" priority="566" operator="equal">
      <formula>"欠"</formula>
    </cfRule>
  </conditionalFormatting>
  <conditionalFormatting sqref="Q99">
    <cfRule type="cellIs" dxfId="0" priority="550" operator="equal">
      <formula>"欠"</formula>
    </cfRule>
  </conditionalFormatting>
  <conditionalFormatting sqref="R99">
    <cfRule type="cellIs" dxfId="0" priority="552" operator="equal">
      <formula>"欠"</formula>
    </cfRule>
    <cfRule type="containsText" dxfId="0" priority="551" operator="between" text="欠">
      <formula>NOT(ISERROR(SEARCH("欠",R99)))</formula>
    </cfRule>
  </conditionalFormatting>
  <conditionalFormatting sqref="S99">
    <cfRule type="cellIs" dxfId="0" priority="553" operator="equal">
      <formula>"欠"</formula>
    </cfRule>
  </conditionalFormatting>
  <conditionalFormatting sqref="T99">
    <cfRule type="cellIs" dxfId="0" priority="543" operator="equal">
      <formula>"欠"</formula>
    </cfRule>
    <cfRule type="containsText" dxfId="0" priority="542" operator="between" text="欠">
      <formula>NOT(ISERROR(SEARCH("欠",T99)))</formula>
    </cfRule>
  </conditionalFormatting>
  <conditionalFormatting sqref="U99">
    <cfRule type="cellIs" dxfId="0" priority="545" operator="equal">
      <formula>"欠"</formula>
    </cfRule>
    <cfRule type="containsText" dxfId="0" priority="544" operator="between" text="欠">
      <formula>NOT(ISERROR(SEARCH("欠",U99)))</formula>
    </cfRule>
  </conditionalFormatting>
  <conditionalFormatting sqref="AF99">
    <cfRule type="cellIs" dxfId="0" priority="546" operator="equal">
      <formula>"未完成"</formula>
    </cfRule>
  </conditionalFormatting>
  <conditionalFormatting sqref="AI99">
    <cfRule type="cellIs" dxfId="0" priority="549" operator="equal">
      <formula>"未完成"</formula>
    </cfRule>
    <cfRule type="cellIs" dxfId="1" priority="548" operator="equal">
      <formula>"未完成"</formula>
    </cfRule>
  </conditionalFormatting>
  <conditionalFormatting sqref="AJ99">
    <cfRule type="cellIs" dxfId="0" priority="547" operator="equal">
      <formula>"欠"</formula>
    </cfRule>
  </conditionalFormatting>
  <conditionalFormatting sqref="Q100">
    <cfRule type="cellIs" dxfId="0" priority="538" operator="equal">
      <formula>"欠"</formula>
    </cfRule>
  </conditionalFormatting>
  <conditionalFormatting sqref="AF100">
    <cfRule type="cellIs" dxfId="0" priority="526" operator="equal">
      <formula>"未完成"</formula>
    </cfRule>
  </conditionalFormatting>
  <conditionalFormatting sqref="AI100">
    <cfRule type="cellIs" dxfId="0" priority="535" operator="equal">
      <formula>"未完成"</formula>
    </cfRule>
    <cfRule type="cellIs" dxfId="1" priority="532" operator="equal">
      <formula>"未完成"</formula>
    </cfRule>
  </conditionalFormatting>
  <conditionalFormatting sqref="AJ100">
    <cfRule type="cellIs" dxfId="0" priority="529" operator="equal">
      <formula>"欠"</formula>
    </cfRule>
  </conditionalFormatting>
  <conditionalFormatting sqref="Q101">
    <cfRule type="cellIs" dxfId="0" priority="537" operator="equal">
      <formula>"欠"</formula>
    </cfRule>
  </conditionalFormatting>
  <conditionalFormatting sqref="AF101">
    <cfRule type="cellIs" dxfId="0" priority="525" operator="equal">
      <formula>"未完成"</formula>
    </cfRule>
  </conditionalFormatting>
  <conditionalFormatting sqref="AI101">
    <cfRule type="cellIs" dxfId="0" priority="534" operator="equal">
      <formula>"未完成"</formula>
    </cfRule>
    <cfRule type="cellIs" dxfId="1" priority="531" operator="equal">
      <formula>"未完成"</formula>
    </cfRule>
  </conditionalFormatting>
  <conditionalFormatting sqref="AJ101">
    <cfRule type="cellIs" dxfId="0" priority="528" operator="equal">
      <formula>"欠"</formula>
    </cfRule>
  </conditionalFormatting>
  <conditionalFormatting sqref="Q102">
    <cfRule type="cellIs" dxfId="0" priority="514" operator="equal">
      <formula>"欠"</formula>
    </cfRule>
  </conditionalFormatting>
  <conditionalFormatting sqref="AF102">
    <cfRule type="cellIs" dxfId="0" priority="502" operator="equal">
      <formula>"未完成"</formula>
    </cfRule>
  </conditionalFormatting>
  <conditionalFormatting sqref="AI102">
    <cfRule type="cellIs" dxfId="0" priority="511" operator="equal">
      <formula>"未完成"</formula>
    </cfRule>
    <cfRule type="cellIs" dxfId="1" priority="508" operator="equal">
      <formula>"未完成"</formula>
    </cfRule>
  </conditionalFormatting>
  <conditionalFormatting sqref="AJ102">
    <cfRule type="cellIs" dxfId="0" priority="505" operator="equal">
      <formula>"欠"</formula>
    </cfRule>
  </conditionalFormatting>
  <conditionalFormatting sqref="Q103">
    <cfRule type="cellIs" dxfId="0" priority="515" operator="equal">
      <formula>"欠"</formula>
    </cfRule>
  </conditionalFormatting>
  <conditionalFormatting sqref="AF103">
    <cfRule type="cellIs" dxfId="0" priority="503" operator="equal">
      <formula>"未完成"</formula>
    </cfRule>
  </conditionalFormatting>
  <conditionalFormatting sqref="AI103">
    <cfRule type="cellIs" dxfId="0" priority="512" operator="equal">
      <formula>"未完成"</formula>
    </cfRule>
    <cfRule type="cellIs" dxfId="1" priority="509" operator="equal">
      <formula>"未完成"</formula>
    </cfRule>
  </conditionalFormatting>
  <conditionalFormatting sqref="AJ103">
    <cfRule type="cellIs" dxfId="0" priority="506" operator="equal">
      <formula>"欠"</formula>
    </cfRule>
  </conditionalFormatting>
  <conditionalFormatting sqref="Q104">
    <cfRule type="cellIs" dxfId="0" priority="487" operator="equal">
      <formula>"欠"</formula>
    </cfRule>
  </conditionalFormatting>
  <conditionalFormatting sqref="AF104">
    <cfRule type="cellIs" dxfId="0" priority="475" operator="equal">
      <formula>"未完成"</formula>
    </cfRule>
  </conditionalFormatting>
  <conditionalFormatting sqref="AI104">
    <cfRule type="cellIs" dxfId="0" priority="484" operator="equal">
      <formula>"未完成"</formula>
    </cfRule>
    <cfRule type="cellIs" dxfId="1" priority="481" operator="equal">
      <formula>"未完成"</formula>
    </cfRule>
  </conditionalFormatting>
  <conditionalFormatting sqref="AJ104">
    <cfRule type="cellIs" dxfId="0" priority="478" operator="equal">
      <formula>"欠"</formula>
    </cfRule>
  </conditionalFormatting>
  <conditionalFormatting sqref="Q105">
    <cfRule type="cellIs" dxfId="0" priority="486" operator="equal">
      <formula>"欠"</formula>
    </cfRule>
  </conditionalFormatting>
  <conditionalFormatting sqref="AF105">
    <cfRule type="cellIs" dxfId="0" priority="474" operator="equal">
      <formula>"未完成"</formula>
    </cfRule>
  </conditionalFormatting>
  <conditionalFormatting sqref="AI105">
    <cfRule type="cellIs" dxfId="0" priority="483" operator="equal">
      <formula>"未完成"</formula>
    </cfRule>
    <cfRule type="cellIs" dxfId="1" priority="480" operator="equal">
      <formula>"未完成"</formula>
    </cfRule>
  </conditionalFormatting>
  <conditionalFormatting sqref="AJ105">
    <cfRule type="cellIs" dxfId="0" priority="477" operator="equal">
      <formula>"欠"</formula>
    </cfRule>
  </conditionalFormatting>
  <conditionalFormatting sqref="Q106">
    <cfRule type="cellIs" dxfId="0" priority="466" operator="equal">
      <formula>"欠"</formula>
    </cfRule>
  </conditionalFormatting>
  <conditionalFormatting sqref="R106">
    <cfRule type="cellIs" dxfId="0" priority="468" operator="equal">
      <formula>"欠"</formula>
    </cfRule>
    <cfRule type="containsText" dxfId="0" priority="467" operator="between" text="欠">
      <formula>NOT(ISERROR(SEARCH("欠",R106)))</formula>
    </cfRule>
  </conditionalFormatting>
  <conditionalFormatting sqref="S106">
    <cfRule type="cellIs" dxfId="0" priority="469" operator="equal">
      <formula>"欠"</formula>
    </cfRule>
  </conditionalFormatting>
  <conditionalFormatting sqref="T106">
    <cfRule type="cellIs" dxfId="0" priority="454" operator="equal">
      <formula>"欠"</formula>
    </cfRule>
    <cfRule type="containsText" dxfId="0" priority="453" operator="between" text="欠">
      <formula>NOT(ISERROR(SEARCH("欠",T106)))</formula>
    </cfRule>
  </conditionalFormatting>
  <conditionalFormatting sqref="U106">
    <cfRule type="cellIs" dxfId="0" priority="456" operator="equal">
      <formula>"欠"</formula>
    </cfRule>
    <cfRule type="containsText" dxfId="0" priority="455" operator="between" text="欠">
      <formula>NOT(ISERROR(SEARCH("欠",U106)))</formula>
    </cfRule>
  </conditionalFormatting>
  <conditionalFormatting sqref="AF106">
    <cfRule type="cellIs" dxfId="0" priority="458" operator="equal">
      <formula>"未完成"</formula>
    </cfRule>
  </conditionalFormatting>
  <conditionalFormatting sqref="AI106">
    <cfRule type="cellIs" dxfId="0" priority="464" operator="equal">
      <formula>"未完成"</formula>
    </cfRule>
    <cfRule type="cellIs" dxfId="1" priority="462" operator="equal">
      <formula>"未完成"</formula>
    </cfRule>
  </conditionalFormatting>
  <conditionalFormatting sqref="AJ106">
    <cfRule type="cellIs" dxfId="0" priority="460" operator="equal">
      <formula>"欠"</formula>
    </cfRule>
  </conditionalFormatting>
  <conditionalFormatting sqref="Q107">
    <cfRule type="cellIs" dxfId="0" priority="449" operator="equal">
      <formula>"欠"</formula>
    </cfRule>
  </conditionalFormatting>
  <conditionalFormatting sqref="R107">
    <cfRule type="cellIs" dxfId="0" priority="451" operator="equal">
      <formula>"欠"</formula>
    </cfRule>
    <cfRule type="containsText" dxfId="0" priority="450" operator="between" text="欠">
      <formula>NOT(ISERROR(SEARCH("欠",R107)))</formula>
    </cfRule>
  </conditionalFormatting>
  <conditionalFormatting sqref="S107">
    <cfRule type="cellIs" dxfId="0" priority="452" operator="equal">
      <formula>"欠"</formula>
    </cfRule>
  </conditionalFormatting>
  <conditionalFormatting sqref="T107">
    <cfRule type="cellIs" dxfId="0" priority="437" operator="equal">
      <formula>"欠"</formula>
    </cfRule>
    <cfRule type="containsText" dxfId="0" priority="436" operator="between" text="欠">
      <formula>NOT(ISERROR(SEARCH("欠",T107)))</formula>
    </cfRule>
  </conditionalFormatting>
  <conditionalFormatting sqref="U107">
    <cfRule type="cellIs" dxfId="0" priority="439" operator="equal">
      <formula>"欠"</formula>
    </cfRule>
    <cfRule type="containsText" dxfId="0" priority="438" operator="between" text="欠">
      <formula>NOT(ISERROR(SEARCH("欠",U107)))</formula>
    </cfRule>
  </conditionalFormatting>
  <conditionalFormatting sqref="AF107">
    <cfRule type="cellIs" dxfId="0" priority="441" operator="equal">
      <formula>"未完成"</formula>
    </cfRule>
  </conditionalFormatting>
  <conditionalFormatting sqref="AI107">
    <cfRule type="cellIs" dxfId="0" priority="447" operator="equal">
      <formula>"未完成"</formula>
    </cfRule>
    <cfRule type="cellIs" dxfId="1" priority="445" operator="equal">
      <formula>"未完成"</formula>
    </cfRule>
  </conditionalFormatting>
  <conditionalFormatting sqref="AJ107">
    <cfRule type="cellIs" dxfId="0" priority="443" operator="equal">
      <formula>"欠"</formula>
    </cfRule>
  </conditionalFormatting>
  <conditionalFormatting sqref="Q108">
    <cfRule type="cellIs" dxfId="0" priority="432" operator="equal">
      <formula>"欠"</formula>
    </cfRule>
  </conditionalFormatting>
  <conditionalFormatting sqref="R108">
    <cfRule type="cellIs" dxfId="0" priority="434" operator="equal">
      <formula>"欠"</formula>
    </cfRule>
    <cfRule type="containsText" dxfId="0" priority="433" operator="between" text="欠">
      <formula>NOT(ISERROR(SEARCH("欠",R108)))</formula>
    </cfRule>
  </conditionalFormatting>
  <conditionalFormatting sqref="S108">
    <cfRule type="cellIs" dxfId="0" priority="435" operator="equal">
      <formula>"欠"</formula>
    </cfRule>
  </conditionalFormatting>
  <conditionalFormatting sqref="T108">
    <cfRule type="cellIs" dxfId="0" priority="425" operator="equal">
      <formula>"欠"</formula>
    </cfRule>
    <cfRule type="containsText" dxfId="0" priority="424" operator="between" text="欠">
      <formula>NOT(ISERROR(SEARCH("欠",T108)))</formula>
    </cfRule>
  </conditionalFormatting>
  <conditionalFormatting sqref="U108">
    <cfRule type="cellIs" dxfId="0" priority="427" operator="equal">
      <formula>"欠"</formula>
    </cfRule>
    <cfRule type="containsText" dxfId="0" priority="426" operator="between" text="欠">
      <formula>NOT(ISERROR(SEARCH("欠",U108)))</formula>
    </cfRule>
  </conditionalFormatting>
  <conditionalFormatting sqref="AF108">
    <cfRule type="cellIs" dxfId="0" priority="428" operator="equal">
      <formula>"未完成"</formula>
    </cfRule>
  </conditionalFormatting>
  <conditionalFormatting sqref="AI108">
    <cfRule type="cellIs" dxfId="0" priority="431" operator="equal">
      <formula>"未完成"</formula>
    </cfRule>
    <cfRule type="cellIs" dxfId="1" priority="430" operator="equal">
      <formula>"未完成"</formula>
    </cfRule>
  </conditionalFormatting>
  <conditionalFormatting sqref="AJ108">
    <cfRule type="cellIs" dxfId="0" priority="429" operator="equal">
      <formula>"欠"</formula>
    </cfRule>
  </conditionalFormatting>
  <conditionalFormatting sqref="Q109">
    <cfRule type="cellIs" dxfId="0" priority="422" operator="equal">
      <formula>"欠"</formula>
    </cfRule>
  </conditionalFormatting>
  <conditionalFormatting sqref="R109">
    <cfRule type="cellIs" dxfId="0" priority="413" operator="equal">
      <formula>"欠"</formula>
    </cfRule>
    <cfRule type="containsText" dxfId="0" priority="412" operator="between" text="欠">
      <formula>NOT(ISERROR(SEARCH("欠",R109)))</formula>
    </cfRule>
  </conditionalFormatting>
  <conditionalFormatting sqref="S109">
    <cfRule type="cellIs" dxfId="0" priority="415" operator="equal">
      <formula>"欠"</formula>
    </cfRule>
  </conditionalFormatting>
  <conditionalFormatting sqref="T109">
    <cfRule type="cellIs" dxfId="0" priority="416" operator="equal">
      <formula>"欠"</formula>
    </cfRule>
    <cfRule type="containsText" dxfId="0" priority="414" operator="between" text="欠">
      <formula>NOT(ISERROR(SEARCH("欠",T109)))</formula>
    </cfRule>
  </conditionalFormatting>
  <conditionalFormatting sqref="U109">
    <cfRule type="cellIs" dxfId="0" priority="418" operator="equal">
      <formula>"欠"</formula>
    </cfRule>
  </conditionalFormatting>
  <conditionalFormatting sqref="AF109">
    <cfRule type="cellIs" dxfId="0" priority="417" operator="equal">
      <formula>"未完成"</formula>
    </cfRule>
  </conditionalFormatting>
  <conditionalFormatting sqref="AG109">
    <cfRule type="cellIs" dxfId="0" priority="423" operator="equal">
      <formula>"未完成"</formula>
    </cfRule>
  </conditionalFormatting>
  <conditionalFormatting sqref="AI109">
    <cfRule type="cellIs" dxfId="0" priority="421" operator="equal">
      <formula>"未完成"</formula>
    </cfRule>
    <cfRule type="cellIs" dxfId="1" priority="420" operator="equal">
      <formula>"未完成"</formula>
    </cfRule>
  </conditionalFormatting>
  <conditionalFormatting sqref="AJ109">
    <cfRule type="cellIs" dxfId="0" priority="419" operator="equal">
      <formula>"欠"</formula>
    </cfRule>
  </conditionalFormatting>
  <conditionalFormatting sqref="Q110">
    <cfRule type="cellIs" dxfId="0" priority="407" operator="equal">
      <formula>"欠"</formula>
    </cfRule>
  </conditionalFormatting>
  <conditionalFormatting sqref="R110">
    <cfRule type="cellIs" dxfId="0" priority="383" operator="equal">
      <formula>"欠"</formula>
    </cfRule>
    <cfRule type="containsText" dxfId="0" priority="382" operator="between" text="欠">
      <formula>NOT(ISERROR(SEARCH("欠",R110)))</formula>
    </cfRule>
  </conditionalFormatting>
  <conditionalFormatting sqref="S110">
    <cfRule type="cellIs" dxfId="0" priority="384" operator="equal">
      <formula>"欠"</formula>
    </cfRule>
  </conditionalFormatting>
  <conditionalFormatting sqref="T110">
    <cfRule type="cellIs" dxfId="0" priority="381" operator="equal">
      <formula>"欠"</formula>
    </cfRule>
    <cfRule type="containsText" dxfId="2" priority="380" operator="between" text="欠">
      <formula>NOT(ISERROR(SEARCH("欠",T110)))</formula>
    </cfRule>
    <cfRule type="containsText" dxfId="0" priority="379" operator="between" text="欠">
      <formula>NOT(ISERROR(SEARCH("欠",T110)))</formula>
    </cfRule>
  </conditionalFormatting>
  <conditionalFormatting sqref="U110">
    <cfRule type="cellIs" dxfId="0" priority="395" operator="equal">
      <formula>"欠"</formula>
    </cfRule>
  </conditionalFormatting>
  <conditionalFormatting sqref="AF110">
    <cfRule type="cellIs" dxfId="0" priority="392" operator="equal">
      <formula>"未完成"</formula>
    </cfRule>
  </conditionalFormatting>
  <conditionalFormatting sqref="AI110">
    <cfRule type="cellIs" dxfId="0" priority="404" operator="equal">
      <formula>"未完成"</formula>
    </cfRule>
    <cfRule type="cellIs" dxfId="1" priority="401" operator="equal">
      <formula>"未完成"</formula>
    </cfRule>
  </conditionalFormatting>
  <conditionalFormatting sqref="AJ110">
    <cfRule type="cellIs" dxfId="0" priority="398" operator="equal">
      <formula>"欠"</formula>
    </cfRule>
  </conditionalFormatting>
  <conditionalFormatting sqref="Q111">
    <cfRule type="cellIs" dxfId="0" priority="406" operator="equal">
      <formula>"欠"</formula>
    </cfRule>
  </conditionalFormatting>
  <conditionalFormatting sqref="R111:U111">
    <cfRule type="cellIs" dxfId="0" priority="411" operator="equal">
      <formula>"欠"</formula>
    </cfRule>
  </conditionalFormatting>
  <conditionalFormatting sqref="U111">
    <cfRule type="cellIs" dxfId="0" priority="394" operator="equal">
      <formula>"欠"</formula>
    </cfRule>
  </conditionalFormatting>
  <conditionalFormatting sqref="AF111">
    <cfRule type="cellIs" dxfId="0" priority="391" operator="equal">
      <formula>"未完成"</formula>
    </cfRule>
  </conditionalFormatting>
  <conditionalFormatting sqref="AI111">
    <cfRule type="cellIs" dxfId="0" priority="403" operator="equal">
      <formula>"未完成"</formula>
    </cfRule>
    <cfRule type="cellIs" dxfId="1" priority="400" operator="equal">
      <formula>"未完成"</formula>
    </cfRule>
  </conditionalFormatting>
  <conditionalFormatting sqref="AJ111">
    <cfRule type="cellIs" dxfId="0" priority="397" operator="equal">
      <formula>"欠"</formula>
    </cfRule>
  </conditionalFormatting>
  <conditionalFormatting sqref="Q112">
    <cfRule type="cellIs" dxfId="0" priority="372" operator="equal">
      <formula>"欠"</formula>
    </cfRule>
  </conditionalFormatting>
  <conditionalFormatting sqref="U112">
    <cfRule type="cellIs" dxfId="0" priority="360" operator="equal">
      <formula>"欠"</formula>
    </cfRule>
  </conditionalFormatting>
  <conditionalFormatting sqref="AF112">
    <cfRule type="cellIs" dxfId="0" priority="357" operator="equal">
      <formula>"未完成"</formula>
    </cfRule>
  </conditionalFormatting>
  <conditionalFormatting sqref="AG112">
    <cfRule type="cellIs" dxfId="0" priority="375" operator="equal">
      <formula>"未完成"</formula>
    </cfRule>
  </conditionalFormatting>
  <conditionalFormatting sqref="AI112">
    <cfRule type="cellIs" dxfId="0" priority="369" operator="equal">
      <formula>"未完成"</formula>
    </cfRule>
    <cfRule type="cellIs" dxfId="1" priority="366" operator="equal">
      <formula>"未完成"</formula>
    </cfRule>
  </conditionalFormatting>
  <conditionalFormatting sqref="AJ112">
    <cfRule type="cellIs" dxfId="0" priority="363" operator="equal">
      <formula>"欠"</formula>
    </cfRule>
  </conditionalFormatting>
  <conditionalFormatting sqref="Q113">
    <cfRule type="cellIs" dxfId="0" priority="371" operator="equal">
      <formula>"欠"</formula>
    </cfRule>
  </conditionalFormatting>
  <conditionalFormatting sqref="U113">
    <cfRule type="cellIs" dxfId="0" priority="359" operator="equal">
      <formula>"欠"</formula>
    </cfRule>
  </conditionalFormatting>
  <conditionalFormatting sqref="AF113">
    <cfRule type="cellIs" dxfId="0" priority="356" operator="equal">
      <formula>"未完成"</formula>
    </cfRule>
  </conditionalFormatting>
  <conditionalFormatting sqref="AG113">
    <cfRule type="cellIs" dxfId="0" priority="374" operator="equal">
      <formula>"未完成"</formula>
    </cfRule>
  </conditionalFormatting>
  <conditionalFormatting sqref="AI113">
    <cfRule type="cellIs" dxfId="0" priority="368" operator="equal">
      <formula>"未完成"</formula>
    </cfRule>
    <cfRule type="cellIs" dxfId="1" priority="365" operator="equal">
      <formula>"未完成"</formula>
    </cfRule>
  </conditionalFormatting>
  <conditionalFormatting sqref="AJ113">
    <cfRule type="cellIs" dxfId="0" priority="362" operator="equal">
      <formula>"欠"</formula>
    </cfRule>
  </conditionalFormatting>
  <conditionalFormatting sqref="Q114">
    <cfRule type="cellIs" dxfId="0" priority="339" operator="equal">
      <formula>"欠"</formula>
    </cfRule>
  </conditionalFormatting>
  <conditionalFormatting sqref="U114">
    <cfRule type="cellIs" dxfId="0" priority="327" operator="equal">
      <formula>"欠"</formula>
    </cfRule>
  </conditionalFormatting>
  <conditionalFormatting sqref="AF114">
    <cfRule type="cellIs" dxfId="0" priority="324" operator="equal">
      <formula>"未完成"</formula>
    </cfRule>
  </conditionalFormatting>
  <conditionalFormatting sqref="AG114">
    <cfRule type="cellIs" dxfId="0" priority="342" operator="equal">
      <formula>"未完成"</formula>
    </cfRule>
  </conditionalFormatting>
  <conditionalFormatting sqref="AI114">
    <cfRule type="cellIs" dxfId="0" priority="336" operator="equal">
      <formula>"未完成"</formula>
    </cfRule>
    <cfRule type="cellIs" dxfId="1" priority="333" operator="equal">
      <formula>"未完成"</formula>
    </cfRule>
  </conditionalFormatting>
  <conditionalFormatting sqref="AJ114">
    <cfRule type="cellIs" dxfId="0" priority="330" operator="equal">
      <formula>"欠"</formula>
    </cfRule>
  </conditionalFormatting>
  <conditionalFormatting sqref="Q115">
    <cfRule type="cellIs" dxfId="0" priority="338" operator="equal">
      <formula>"欠"</formula>
    </cfRule>
  </conditionalFormatting>
  <conditionalFormatting sqref="U115">
    <cfRule type="cellIs" dxfId="0" priority="326" operator="equal">
      <formula>"欠"</formula>
    </cfRule>
  </conditionalFormatting>
  <conditionalFormatting sqref="AF115">
    <cfRule type="cellIs" dxfId="0" priority="323" operator="equal">
      <formula>"未完成"</formula>
    </cfRule>
  </conditionalFormatting>
  <conditionalFormatting sqref="AG115">
    <cfRule type="cellIs" dxfId="0" priority="341" operator="equal">
      <formula>"未完成"</formula>
    </cfRule>
  </conditionalFormatting>
  <conditionalFormatting sqref="AI115">
    <cfRule type="cellIs" dxfId="0" priority="335" operator="equal">
      <formula>"未完成"</formula>
    </cfRule>
    <cfRule type="cellIs" dxfId="1" priority="332" operator="equal">
      <formula>"未完成"</formula>
    </cfRule>
  </conditionalFormatting>
  <conditionalFormatting sqref="AJ115">
    <cfRule type="cellIs" dxfId="0" priority="329" operator="equal">
      <formula>"欠"</formula>
    </cfRule>
  </conditionalFormatting>
  <conditionalFormatting sqref="Q116">
    <cfRule type="cellIs" dxfId="0" priority="314" operator="equal">
      <formula>"欠"</formula>
    </cfRule>
  </conditionalFormatting>
  <conditionalFormatting sqref="R116">
    <cfRule type="cellIs" dxfId="0" priority="299" operator="equal">
      <formula>"欠"</formula>
    </cfRule>
    <cfRule type="containsText" dxfId="0" priority="298" operator="between" text="欠">
      <formula>NOT(ISERROR(SEARCH("欠",R116)))</formula>
    </cfRule>
  </conditionalFormatting>
  <conditionalFormatting sqref="S116">
    <cfRule type="cellIs" dxfId="0" priority="301" operator="equal">
      <formula>"欠"</formula>
    </cfRule>
  </conditionalFormatting>
  <conditionalFormatting sqref="T116">
    <cfRule type="cellIs" dxfId="0" priority="302" operator="equal">
      <formula>"欠"</formula>
    </cfRule>
    <cfRule type="containsText" dxfId="0" priority="300" operator="between" text="欠">
      <formula>NOT(ISERROR(SEARCH("欠",T116)))</formula>
    </cfRule>
  </conditionalFormatting>
  <conditionalFormatting sqref="U116">
    <cfRule type="cellIs" dxfId="0" priority="306" operator="equal">
      <formula>"欠"</formula>
    </cfRule>
  </conditionalFormatting>
  <conditionalFormatting sqref="AF116">
    <cfRule type="cellIs" dxfId="0" priority="304" operator="equal">
      <formula>"未完成"</formula>
    </cfRule>
  </conditionalFormatting>
  <conditionalFormatting sqref="AG116">
    <cfRule type="cellIs" dxfId="0" priority="316" operator="equal">
      <formula>"未完成"</formula>
    </cfRule>
  </conditionalFormatting>
  <conditionalFormatting sqref="AI116">
    <cfRule type="cellIs" dxfId="0" priority="312" operator="equal">
      <formula>"未完成"</formula>
    </cfRule>
    <cfRule type="cellIs" dxfId="1" priority="310" operator="equal">
      <formula>"未完成"</formula>
    </cfRule>
  </conditionalFormatting>
  <conditionalFormatting sqref="AJ116">
    <cfRule type="cellIs" dxfId="0" priority="308" operator="equal">
      <formula>"欠"</formula>
    </cfRule>
  </conditionalFormatting>
  <conditionalFormatting sqref="Q117">
    <cfRule type="cellIs" dxfId="0" priority="293" operator="equal">
      <formula>"欠"</formula>
    </cfRule>
  </conditionalFormatting>
  <conditionalFormatting sqref="U117">
    <cfRule type="cellIs" dxfId="0" priority="285" operator="equal">
      <formula>"欠"</formula>
    </cfRule>
  </conditionalFormatting>
  <conditionalFormatting sqref="AF117">
    <cfRule type="cellIs" dxfId="0" priority="283" operator="equal">
      <formula>"未完成"</formula>
    </cfRule>
  </conditionalFormatting>
  <conditionalFormatting sqref="AG117">
    <cfRule type="cellIs" dxfId="0" priority="295" operator="equal">
      <formula>"未完成"</formula>
    </cfRule>
  </conditionalFormatting>
  <conditionalFormatting sqref="AI117">
    <cfRule type="cellIs" dxfId="0" priority="291" operator="equal">
      <formula>"未完成"</formula>
    </cfRule>
    <cfRule type="cellIs" dxfId="1" priority="289" operator="equal">
      <formula>"未完成"</formula>
    </cfRule>
  </conditionalFormatting>
  <conditionalFormatting sqref="AJ117">
    <cfRule type="cellIs" dxfId="0" priority="287" operator="equal">
      <formula>"欠"</formula>
    </cfRule>
  </conditionalFormatting>
  <conditionalFormatting sqref="R119">
    <cfRule type="containsText" dxfId="3" priority="261" operator="between" text="欠">
      <formula>NOT(ISERROR(SEARCH("欠",R119)))</formula>
    </cfRule>
    <cfRule type="containsText" dxfId="0" priority="269" operator="between" text="欠">
      <formula>NOT(ISERROR(SEARCH("欠",R119)))</formula>
    </cfRule>
    <cfRule type="cellIs" dxfId="0" priority="270" operator="equal">
      <formula>"欠"</formula>
    </cfRule>
  </conditionalFormatting>
  <conditionalFormatting sqref="S119">
    <cfRule type="cellIs" dxfId="0" priority="271" operator="equal">
      <formula>"欠"</formula>
    </cfRule>
  </conditionalFormatting>
  <conditionalFormatting sqref="T119">
    <cfRule type="containsText" dxfId="3" priority="260" operator="between" text="欠">
      <formula>NOT(ISERROR(SEARCH("欠",T119)))</formula>
    </cfRule>
    <cfRule type="containsText" dxfId="0" priority="267" operator="between" text="欠">
      <formula>NOT(ISERROR(SEARCH("欠",T119)))</formula>
    </cfRule>
    <cfRule type="cellIs" dxfId="0" priority="268" operator="equal">
      <formula>"欠"</formula>
    </cfRule>
  </conditionalFormatting>
  <conditionalFormatting sqref="U119">
    <cfRule type="cellIs" dxfId="0" priority="275" operator="equal">
      <formula>"欠"</formula>
    </cfRule>
  </conditionalFormatting>
  <conditionalFormatting sqref="V119">
    <cfRule type="containsText" dxfId="3" priority="262" operator="between" text="欠">
      <formula>NOT(ISERROR(SEARCH("欠",V119)))</formula>
    </cfRule>
    <cfRule type="containsText" dxfId="3" priority="264" operator="between" text="未安排">
      <formula>NOT(ISERROR(SEARCH("未安排",V119)))</formula>
    </cfRule>
    <cfRule type="cellIs" dxfId="3" priority="265" operator="equal">
      <formula>"否"</formula>
    </cfRule>
  </conditionalFormatting>
  <conditionalFormatting sqref="AA119">
    <cfRule type="containsText" dxfId="3" priority="266" operator="between" text="否">
      <formula>NOT(ISERROR(SEARCH("否",AA119)))</formula>
    </cfRule>
  </conditionalFormatting>
  <conditionalFormatting sqref="AF119">
    <cfRule type="cellIs" dxfId="0" priority="276" operator="equal">
      <formula>"未完成"</formula>
    </cfRule>
  </conditionalFormatting>
  <conditionalFormatting sqref="AG119">
    <cfRule type="cellIs" dxfId="0" priority="272" operator="equal">
      <formula>"未完成"</formula>
    </cfRule>
  </conditionalFormatting>
  <conditionalFormatting sqref="AI119">
    <cfRule type="cellIs" dxfId="0" priority="277" operator="equal">
      <formula>"未完成"</formula>
    </cfRule>
  </conditionalFormatting>
  <conditionalFormatting sqref="AK119:AL119">
    <cfRule type="cellIs" dxfId="1" priority="273" operator="equal">
      <formula>"未完成"</formula>
    </cfRule>
    <cfRule type="cellIs" dxfId="0" priority="274" operator="equal">
      <formula>"未完成"</formula>
    </cfRule>
  </conditionalFormatting>
  <conditionalFormatting sqref="Q120">
    <cfRule type="cellIs" dxfId="0" priority="255" operator="equal">
      <formula>"欠"</formula>
    </cfRule>
  </conditionalFormatting>
  <conditionalFormatting sqref="U120">
    <cfRule type="cellIs" dxfId="0" priority="251" operator="equal">
      <formula>"欠"</formula>
    </cfRule>
  </conditionalFormatting>
  <conditionalFormatting sqref="AH120">
    <cfRule type="cellIs" dxfId="0" priority="250" operator="equal">
      <formula>"未完成"</formula>
    </cfRule>
  </conditionalFormatting>
  <conditionalFormatting sqref="AK120">
    <cfRule type="cellIs" dxfId="0" priority="254" operator="equal">
      <formula>"未完成"</formula>
    </cfRule>
    <cfRule type="cellIs" dxfId="1" priority="253" operator="equal">
      <formula>"未完成"</formula>
    </cfRule>
  </conditionalFormatting>
  <conditionalFormatting sqref="AL120">
    <cfRule type="cellIs" dxfId="0" priority="252" operator="equal">
      <formula>"欠"</formula>
    </cfRule>
  </conditionalFormatting>
  <conditionalFormatting sqref="Q121">
    <cfRule type="cellIs" dxfId="0" priority="249" operator="equal">
      <formula>"欠"</formula>
    </cfRule>
  </conditionalFormatting>
  <conditionalFormatting sqref="U121">
    <cfRule type="cellIs" dxfId="0" priority="245" operator="equal">
      <formula>"欠"</formula>
    </cfRule>
  </conditionalFormatting>
  <conditionalFormatting sqref="AH121">
    <cfRule type="cellIs" dxfId="0" priority="244" operator="equal">
      <formula>"未完成"</formula>
    </cfRule>
  </conditionalFormatting>
  <conditionalFormatting sqref="AK121">
    <cfRule type="cellIs" dxfId="1" priority="247" operator="equal">
      <formula>"未完成"</formula>
    </cfRule>
    <cfRule type="cellIs" dxfId="0" priority="248" operator="equal">
      <formula>"未完成"</formula>
    </cfRule>
  </conditionalFormatting>
  <conditionalFormatting sqref="AL121">
    <cfRule type="cellIs" dxfId="0" priority="246" operator="equal">
      <formula>"欠"</formula>
    </cfRule>
  </conditionalFormatting>
  <conditionalFormatting sqref="Q122">
    <cfRule type="cellIs" dxfId="0" priority="232" operator="equal">
      <formula>"欠"</formula>
    </cfRule>
  </conditionalFormatting>
  <conditionalFormatting sqref="R122">
    <cfRule type="cellIs" dxfId="0" priority="215" operator="equal">
      <formula>"欠"</formula>
    </cfRule>
    <cfRule type="containsText" dxfId="0" priority="214" operator="between" text="欠">
      <formula>NOT(ISERROR(SEARCH("欠",R122)))</formula>
    </cfRule>
    <cfRule type="containsText" dxfId="3" priority="206" operator="between" text="欠">
      <formula>NOT(ISERROR(SEARCH("欠",R122)))</formula>
    </cfRule>
  </conditionalFormatting>
  <conditionalFormatting sqref="S122">
    <cfRule type="cellIs" dxfId="0" priority="233" operator="equal">
      <formula>"欠"</formula>
    </cfRule>
  </conditionalFormatting>
  <conditionalFormatting sqref="T122">
    <cfRule type="cellIs" dxfId="0" priority="226" operator="equal">
      <formula>"欠"</formula>
    </cfRule>
    <cfRule type="containsText" dxfId="0" priority="225" operator="between" text="欠">
      <formula>NOT(ISERROR(SEARCH("欠",T122)))</formula>
    </cfRule>
    <cfRule type="containsText" dxfId="3" priority="208" operator="between" text="欠">
      <formula>NOT(ISERROR(SEARCH("欠",T122)))</formula>
    </cfRule>
  </conditionalFormatting>
  <conditionalFormatting sqref="U122">
    <cfRule type="cellIs" dxfId="0" priority="228" operator="equal">
      <formula>"欠"</formula>
    </cfRule>
  </conditionalFormatting>
  <conditionalFormatting sqref="V122">
    <cfRule type="cellIs" dxfId="3" priority="210" operator="equal">
      <formula>"否"</formula>
    </cfRule>
    <cfRule type="containsText" dxfId="3" priority="209" operator="between" text="未安排">
      <formula>NOT(ISERROR(SEARCH("未安排",V122)))</formula>
    </cfRule>
    <cfRule type="containsText" dxfId="3" priority="207" operator="between" text="欠">
      <formula>NOT(ISERROR(SEARCH("欠",V122)))</formula>
    </cfRule>
  </conditionalFormatting>
  <conditionalFormatting sqref="AA122">
    <cfRule type="containsText" dxfId="3" priority="211" operator="between" text="否">
      <formula>NOT(ISERROR(SEARCH("否",AA122)))</formula>
    </cfRule>
  </conditionalFormatting>
  <conditionalFormatting sqref="AH122">
    <cfRule type="cellIs" dxfId="0" priority="227" operator="equal">
      <formula>"未完成"</formula>
    </cfRule>
  </conditionalFormatting>
  <conditionalFormatting sqref="AK122">
    <cfRule type="cellIs" dxfId="0" priority="231" operator="equal">
      <formula>"未完成"</formula>
    </cfRule>
    <cfRule type="cellIs" dxfId="1" priority="230" operator="equal">
      <formula>"未完成"</formula>
    </cfRule>
  </conditionalFormatting>
  <conditionalFormatting sqref="AL122">
    <cfRule type="cellIs" dxfId="0" priority="229" operator="equal">
      <formula>"欠"</formula>
    </cfRule>
  </conditionalFormatting>
  <conditionalFormatting sqref="Q123">
    <cfRule type="cellIs" dxfId="0" priority="200" operator="equal">
      <formula>"欠"</formula>
    </cfRule>
  </conditionalFormatting>
  <conditionalFormatting sqref="R123">
    <cfRule type="containsText" dxfId="3" priority="170" operator="between" text="欠">
      <formula>NOT(ISERROR(SEARCH("欠",R123)))</formula>
    </cfRule>
    <cfRule type="containsText" dxfId="0" priority="192" operator="between" text="欠">
      <formula>NOT(ISERROR(SEARCH("欠",R123)))</formula>
    </cfRule>
    <cfRule type="cellIs" dxfId="0" priority="193" operator="equal">
      <formula>"欠"</formula>
    </cfRule>
  </conditionalFormatting>
  <conditionalFormatting sqref="S123">
    <cfRule type="cellIs" dxfId="0" priority="204" operator="equal">
      <formula>"欠"</formula>
    </cfRule>
  </conditionalFormatting>
  <conditionalFormatting sqref="T123">
    <cfRule type="containsText" dxfId="3" priority="172" operator="between" text="欠">
      <formula>NOT(ISERROR(SEARCH("欠",T123)))</formula>
    </cfRule>
    <cfRule type="containsText" dxfId="0" priority="201" operator="between" text="欠">
      <formula>NOT(ISERROR(SEARCH("欠",T123)))</formula>
    </cfRule>
    <cfRule type="containsText" dxfId="2" priority="202" operator="between" text="欠">
      <formula>NOT(ISERROR(SEARCH("欠",T123)))</formula>
    </cfRule>
    <cfRule type="cellIs" dxfId="0" priority="203" operator="equal">
      <formula>"欠"</formula>
    </cfRule>
  </conditionalFormatting>
  <conditionalFormatting sqref="U123">
    <cfRule type="containsText" dxfId="0" priority="179" operator="between" text="欠">
      <formula>NOT(ISERROR(SEARCH("欠",U123)))</formula>
    </cfRule>
    <cfRule type="cellIs" dxfId="0" priority="196" operator="equal">
      <formula>"欠"</formula>
    </cfRule>
  </conditionalFormatting>
  <conditionalFormatting sqref="V123">
    <cfRule type="containsText" dxfId="3" priority="171" operator="between" text="欠">
      <formula>NOT(ISERROR(SEARCH("欠",V123)))</formula>
    </cfRule>
    <cfRule type="containsText" dxfId="3" priority="173" operator="between" text="未安排">
      <formula>NOT(ISERROR(SEARCH("未安排",V123)))</formula>
    </cfRule>
  </conditionalFormatting>
  <conditionalFormatting sqref="AA123">
    <cfRule type="containsText" dxfId="3" priority="169" operator="between" text="欠">
      <formula>NOT(ISERROR(SEARCH("欠",AA123)))</formula>
    </cfRule>
    <cfRule type="containsText" dxfId="3" priority="174" operator="between" text="否">
      <formula>NOT(ISERROR(SEARCH("否",AA123)))</formula>
    </cfRule>
  </conditionalFormatting>
  <conditionalFormatting sqref="AG123">
    <cfRule type="cellIs" dxfId="0" priority="195" operator="equal">
      <formula>"未完成"</formula>
    </cfRule>
  </conditionalFormatting>
  <conditionalFormatting sqref="AJ123">
    <cfRule type="cellIs" dxfId="1" priority="198" operator="equal">
      <formula>"未完成"</formula>
    </cfRule>
    <cfRule type="cellIs" dxfId="0" priority="199" operator="equal">
      <formula>"未完成"</formula>
    </cfRule>
  </conditionalFormatting>
  <conditionalFormatting sqref="AK123">
    <cfRule type="cellIs" dxfId="0" priority="197" operator="equal">
      <formula>"欠"</formula>
    </cfRule>
  </conditionalFormatting>
  <conditionalFormatting sqref="Q124">
    <cfRule type="cellIs" dxfId="0" priority="163" operator="equal">
      <formula>"欠"</formula>
    </cfRule>
  </conditionalFormatting>
  <conditionalFormatting sqref="R124">
    <cfRule type="containsText" dxfId="3" priority="153" operator="between" text="欠">
      <formula>NOT(ISERROR(SEARCH("欠",R124)))</formula>
    </cfRule>
    <cfRule type="containsText" dxfId="0" priority="167" operator="between" text="欠">
      <formula>NOT(ISERROR(SEARCH("欠",R124)))</formula>
    </cfRule>
    <cfRule type="cellIs" dxfId="0" priority="168" operator="equal">
      <formula>"欠"</formula>
    </cfRule>
  </conditionalFormatting>
  <conditionalFormatting sqref="S124">
    <cfRule type="cellIs" dxfId="0" priority="164" operator="equal">
      <formula>"欠"</formula>
    </cfRule>
  </conditionalFormatting>
  <conditionalFormatting sqref="T124">
    <cfRule type="containsText" dxfId="3" priority="155" operator="between" text="欠">
      <formula>NOT(ISERROR(SEARCH("欠",T124)))</formula>
    </cfRule>
    <cfRule type="containsText" dxfId="0" priority="165" operator="between" text="欠">
      <formula>NOT(ISERROR(SEARCH("欠",T124)))</formula>
    </cfRule>
    <cfRule type="cellIs" dxfId="0" priority="166" operator="equal">
      <formula>"欠"</formula>
    </cfRule>
  </conditionalFormatting>
  <conditionalFormatting sqref="U124">
    <cfRule type="cellIs" dxfId="0" priority="159" operator="equal">
      <formula>"欠"</formula>
    </cfRule>
  </conditionalFormatting>
  <conditionalFormatting sqref="V124">
    <cfRule type="containsText" dxfId="3" priority="154" operator="between" text="欠">
      <formula>NOT(ISERROR(SEARCH("欠",V124)))</formula>
    </cfRule>
    <cfRule type="containsText" dxfId="3" priority="156" operator="between" text="未安排">
      <formula>NOT(ISERROR(SEARCH("未安排",V124)))</formula>
    </cfRule>
  </conditionalFormatting>
  <conditionalFormatting sqref="AA124">
    <cfRule type="containsText" dxfId="3" priority="152" operator="between" text="欠">
      <formula>NOT(ISERROR(SEARCH("欠",AA124)))</formula>
    </cfRule>
    <cfRule type="containsText" dxfId="3" priority="157" operator="between" text="否">
      <formula>NOT(ISERROR(SEARCH("否",AA124)))</formula>
    </cfRule>
  </conditionalFormatting>
  <conditionalFormatting sqref="AG124">
    <cfRule type="cellIs" dxfId="0" priority="158" operator="equal">
      <formula>"未完成"</formula>
    </cfRule>
  </conditionalFormatting>
  <conditionalFormatting sqref="AJ124">
    <cfRule type="cellIs" dxfId="1" priority="161" operator="equal">
      <formula>"未完成"</formula>
    </cfRule>
    <cfRule type="cellIs" dxfId="0" priority="162" operator="equal">
      <formula>"未完成"</formula>
    </cfRule>
  </conditionalFormatting>
  <conditionalFormatting sqref="AK124">
    <cfRule type="cellIs" dxfId="0" priority="160" operator="equal">
      <formula>"欠"</formula>
    </cfRule>
  </conditionalFormatting>
  <conditionalFormatting sqref="Q125">
    <cfRule type="cellIs" dxfId="0" priority="145" operator="equal">
      <formula>"欠"</formula>
    </cfRule>
  </conditionalFormatting>
  <conditionalFormatting sqref="U125">
    <cfRule type="cellIs" dxfId="0" priority="141" operator="equal">
      <formula>"欠"</formula>
    </cfRule>
  </conditionalFormatting>
  <conditionalFormatting sqref="AG125">
    <cfRule type="cellIs" dxfId="0" priority="140" operator="equal">
      <formula>"未完成"</formula>
    </cfRule>
  </conditionalFormatting>
  <conditionalFormatting sqref="AJ125">
    <cfRule type="cellIs" dxfId="0" priority="144" operator="equal">
      <formula>"未完成"</formula>
    </cfRule>
    <cfRule type="cellIs" dxfId="1" priority="143" operator="equal">
      <formula>"未完成"</formula>
    </cfRule>
  </conditionalFormatting>
  <conditionalFormatting sqref="AK125">
    <cfRule type="cellIs" dxfId="0" priority="142" operator="equal">
      <formula>"欠"</formula>
    </cfRule>
  </conditionalFormatting>
  <conditionalFormatting sqref="Q126">
    <cfRule type="cellIs" dxfId="0" priority="139" operator="equal">
      <formula>"欠"</formula>
    </cfRule>
  </conditionalFormatting>
  <conditionalFormatting sqref="U126">
    <cfRule type="cellIs" dxfId="0" priority="135" operator="equal">
      <formula>"欠"</formula>
    </cfRule>
  </conditionalFormatting>
  <conditionalFormatting sqref="AG126">
    <cfRule type="cellIs" dxfId="0" priority="134" operator="equal">
      <formula>"未完成"</formula>
    </cfRule>
  </conditionalFormatting>
  <conditionalFormatting sqref="AJ126">
    <cfRule type="cellIs" dxfId="0" priority="138" operator="equal">
      <formula>"未完成"</formula>
    </cfRule>
    <cfRule type="cellIs" dxfId="1" priority="137" operator="equal">
      <formula>"未完成"</formula>
    </cfRule>
  </conditionalFormatting>
  <conditionalFormatting sqref="AK126">
    <cfRule type="cellIs" dxfId="0" priority="136" operator="equal">
      <formula>"欠"</formula>
    </cfRule>
  </conditionalFormatting>
  <conditionalFormatting sqref="Q127">
    <cfRule type="cellIs" dxfId="0" priority="125" operator="equal">
      <formula>"欠"</formula>
    </cfRule>
  </conditionalFormatting>
  <conditionalFormatting sqref="R127">
    <cfRule type="cellIs" dxfId="0" priority="116" operator="equal">
      <formula>"欠"</formula>
    </cfRule>
    <cfRule type="containsText" dxfId="0" priority="115" operator="between" text="欠">
      <formula>NOT(ISERROR(SEARCH("欠",R127)))</formula>
    </cfRule>
    <cfRule type="containsText" dxfId="3" priority="110" operator="between" text="欠">
      <formula>NOT(ISERROR(SEARCH("欠",R127)))</formula>
    </cfRule>
  </conditionalFormatting>
  <conditionalFormatting sqref="S127">
    <cfRule type="cellIs" dxfId="0" priority="118" operator="equal">
      <formula>"欠"</formula>
    </cfRule>
  </conditionalFormatting>
  <conditionalFormatting sqref="T127:U127">
    <cfRule type="cellIs" dxfId="0" priority="119" operator="equal">
      <formula>"欠"</formula>
    </cfRule>
    <cfRule type="containsText" dxfId="0" priority="117" operator="between" text="欠">
      <formula>NOT(ISERROR(SEARCH("欠",T127)))</formula>
    </cfRule>
    <cfRule type="containsText" dxfId="3" priority="109" operator="between" text="欠">
      <formula>NOT(ISERROR(SEARCH("欠",T127)))</formula>
    </cfRule>
  </conditionalFormatting>
  <conditionalFormatting sqref="V127">
    <cfRule type="cellIs" dxfId="0" priority="121" operator="equal">
      <formula>"欠"</formula>
    </cfRule>
  </conditionalFormatting>
  <conditionalFormatting sqref="W127">
    <cfRule type="cellIs" dxfId="3" priority="113" operator="equal">
      <formula>"否"</formula>
    </cfRule>
    <cfRule type="containsText" dxfId="3" priority="112" operator="between" text="未安排">
      <formula>NOT(ISERROR(SEARCH("未安排",W127)))</formula>
    </cfRule>
    <cfRule type="containsText" dxfId="3" priority="111" operator="between" text="欠">
      <formula>NOT(ISERROR(SEARCH("欠",W127)))</formula>
    </cfRule>
  </conditionalFormatting>
  <conditionalFormatting sqref="AB127">
    <cfRule type="containsText" dxfId="3" priority="114" operator="between" text="否">
      <formula>NOT(ISERROR(SEARCH("否",AB127)))</formula>
    </cfRule>
    <cfRule type="containsText" dxfId="3" priority="108" operator="between" text="欠">
      <formula>NOT(ISERROR(SEARCH("欠",AB127)))</formula>
    </cfRule>
  </conditionalFormatting>
  <conditionalFormatting sqref="AI127">
    <cfRule type="cellIs" dxfId="0" priority="120" operator="equal">
      <formula>"未完成"</formula>
    </cfRule>
  </conditionalFormatting>
  <conditionalFormatting sqref="AJ127">
    <cfRule type="cellIs" dxfId="0" priority="126" operator="equal">
      <formula>"未完成"</formula>
    </cfRule>
  </conditionalFormatting>
  <conditionalFormatting sqref="AL127">
    <cfRule type="cellIs" dxfId="0" priority="124" operator="equal">
      <formula>"未完成"</formula>
    </cfRule>
    <cfRule type="cellIs" dxfId="1" priority="123" operator="equal">
      <formula>"未完成"</formula>
    </cfRule>
  </conditionalFormatting>
  <conditionalFormatting sqref="AM127">
    <cfRule type="cellIs" dxfId="0" priority="122" operator="equal">
      <formula>"欠"</formula>
    </cfRule>
  </conditionalFormatting>
  <conditionalFormatting sqref="Q128">
    <cfRule type="cellIs" dxfId="0" priority="104" operator="equal">
      <formula>"欠"</formula>
    </cfRule>
  </conditionalFormatting>
  <conditionalFormatting sqref="R128">
    <cfRule type="cellIs" dxfId="0" priority="106" operator="equal">
      <formula>"欠"</formula>
    </cfRule>
    <cfRule type="containsText" dxfId="0" priority="105" operator="between" text="欠">
      <formula>NOT(ISERROR(SEARCH("欠",R128)))</formula>
    </cfRule>
    <cfRule type="containsText" dxfId="3" priority="91" operator="between" text="欠">
      <formula>NOT(ISERROR(SEARCH("欠",R128)))</formula>
    </cfRule>
  </conditionalFormatting>
  <conditionalFormatting sqref="S128">
    <cfRule type="cellIs" dxfId="0" priority="107" operator="equal">
      <formula>"欠"</formula>
    </cfRule>
  </conditionalFormatting>
  <conditionalFormatting sqref="T128:U128">
    <cfRule type="containsText" dxfId="3" priority="93" operator="between" text="欠">
      <formula>NOT(ISERROR(SEARCH("欠",T128)))</formula>
    </cfRule>
  </conditionalFormatting>
  <conditionalFormatting sqref="V128">
    <cfRule type="cellIs" dxfId="0" priority="97" operator="equal">
      <formula>"欠"</formula>
    </cfRule>
    <cfRule type="containsText" dxfId="0" priority="96" operator="between" text="欠">
      <formula>NOT(ISERROR(SEARCH("欠",V128)))</formula>
    </cfRule>
  </conditionalFormatting>
  <conditionalFormatting sqref="W128">
    <cfRule type="containsText" dxfId="3" priority="94" operator="between" text="未安排">
      <formula>NOT(ISERROR(SEARCH("未安排",W128)))</formula>
    </cfRule>
    <cfRule type="containsText" dxfId="3" priority="92" operator="between" text="欠">
      <formula>NOT(ISERROR(SEARCH("欠",W128)))</formula>
    </cfRule>
  </conditionalFormatting>
  <conditionalFormatting sqref="AB128">
    <cfRule type="containsText" dxfId="3" priority="95" operator="between" text="否">
      <formula>NOT(ISERROR(SEARCH("否",AB128)))</formula>
    </cfRule>
    <cfRule type="containsText" dxfId="3" priority="90" operator="between" text="欠">
      <formula>NOT(ISERROR(SEARCH("欠",AB128)))</formula>
    </cfRule>
  </conditionalFormatting>
  <conditionalFormatting sqref="AH128">
    <cfRule type="cellIs" dxfId="0" priority="100" operator="equal">
      <formula>"未完成"</formula>
    </cfRule>
  </conditionalFormatting>
  <conditionalFormatting sqref="AK128">
    <cfRule type="cellIs" dxfId="0" priority="103" operator="equal">
      <formula>"未完成"</formula>
    </cfRule>
    <cfRule type="cellIs" dxfId="1" priority="102" operator="equal">
      <formula>"未完成"</formula>
    </cfRule>
  </conditionalFormatting>
  <conditionalFormatting sqref="AL128">
    <cfRule type="cellIs" dxfId="0" priority="101" operator="equal">
      <formula>"欠"</formula>
    </cfRule>
  </conditionalFormatting>
  <conditionalFormatting sqref="Q129">
    <cfRule type="cellIs" dxfId="0" priority="81" operator="equal">
      <formula>"欠"</formula>
    </cfRule>
  </conditionalFormatting>
  <conditionalFormatting sqref="R129">
    <cfRule type="containsText" dxfId="0" priority="88" operator="between" text="欠">
      <formula>NOT(ISERROR(SEARCH("欠",R129)))</formula>
    </cfRule>
    <cfRule type="cellIs" dxfId="0" priority="73" operator="equal">
      <formula>"欠"</formula>
    </cfRule>
    <cfRule type="containsText" dxfId="3" priority="67" operator="between" text="欠">
      <formula>NOT(ISERROR(SEARCH("欠",R129)))</formula>
    </cfRule>
  </conditionalFormatting>
  <conditionalFormatting sqref="S129">
    <cfRule type="cellIs" dxfId="0" priority="87" operator="equal">
      <formula>"欠"</formula>
    </cfRule>
  </conditionalFormatting>
  <conditionalFormatting sqref="T129:U129">
    <cfRule type="containsText" dxfId="0" priority="89" operator="between" text="欠">
      <formula>NOT(ISERROR(SEARCH("欠",T129)))</formula>
    </cfRule>
    <cfRule type="cellIs" dxfId="0" priority="75" operator="equal">
      <formula>"欠"</formula>
    </cfRule>
    <cfRule type="containsText" dxfId="3" priority="66" operator="between" text="欠">
      <formula>NOT(ISERROR(SEARCH("欠",T129)))</formula>
    </cfRule>
  </conditionalFormatting>
  <conditionalFormatting sqref="V129">
    <cfRule type="cellIs" dxfId="0" priority="77" operator="equal">
      <formula>"欠"</formula>
    </cfRule>
  </conditionalFormatting>
  <conditionalFormatting sqref="W129">
    <cfRule type="cellIs" dxfId="3" priority="70" operator="equal">
      <formula>"否"</formula>
    </cfRule>
    <cfRule type="containsText" dxfId="3" priority="69" operator="between" text="未安排">
      <formula>NOT(ISERROR(SEARCH("未安排",W129)))</formula>
    </cfRule>
    <cfRule type="containsText" dxfId="3" priority="68" operator="between" text="欠">
      <formula>NOT(ISERROR(SEARCH("欠",W129)))</formula>
    </cfRule>
  </conditionalFormatting>
  <conditionalFormatting sqref="AB129">
    <cfRule type="containsText" dxfId="3" priority="71" operator="between" text="否">
      <formula>NOT(ISERROR(SEARCH("否",AB129)))</formula>
    </cfRule>
    <cfRule type="containsText" dxfId="3" priority="65" operator="between" text="欠">
      <formula>NOT(ISERROR(SEARCH("欠",AB129)))</formula>
    </cfRule>
  </conditionalFormatting>
  <conditionalFormatting sqref="AI129">
    <cfRule type="cellIs" dxfId="0" priority="76" operator="equal">
      <formula>"未完成"</formula>
    </cfRule>
  </conditionalFormatting>
  <conditionalFormatting sqref="AJ129">
    <cfRule type="cellIs" dxfId="0" priority="82" operator="equal">
      <formula>"未完成"</formula>
    </cfRule>
  </conditionalFormatting>
  <conditionalFormatting sqref="AL129">
    <cfRule type="cellIs" dxfId="0" priority="80" operator="equal">
      <formula>"未完成"</formula>
    </cfRule>
    <cfRule type="cellIs" dxfId="1" priority="79" operator="equal">
      <formula>"未完成"</formula>
    </cfRule>
  </conditionalFormatting>
  <conditionalFormatting sqref="AM129">
    <cfRule type="cellIs" dxfId="0" priority="78" operator="equal">
      <formula>"欠"</formula>
    </cfRule>
  </conditionalFormatting>
  <conditionalFormatting sqref="Q130">
    <cfRule type="cellIs" dxfId="0" priority="56" operator="equal">
      <formula>"欠"</formula>
    </cfRule>
  </conditionalFormatting>
  <conditionalFormatting sqref="R130">
    <cfRule type="containsText" dxfId="0" priority="63" operator="between" text="欠">
      <formula>NOT(ISERROR(SEARCH("欠",R130)))</formula>
    </cfRule>
    <cfRule type="cellIs" dxfId="0" priority="48" operator="equal">
      <formula>"欠"</formula>
    </cfRule>
    <cfRule type="containsText" dxfId="3" priority="42" operator="between" text="欠">
      <formula>NOT(ISERROR(SEARCH("欠",R130)))</formula>
    </cfRule>
  </conditionalFormatting>
  <conditionalFormatting sqref="S130">
    <cfRule type="cellIs" dxfId="0" priority="62" operator="equal">
      <formula>"欠"</formula>
    </cfRule>
  </conditionalFormatting>
  <conditionalFormatting sqref="T130:U130">
    <cfRule type="containsText" dxfId="0" priority="64" operator="between" text="欠">
      <formula>NOT(ISERROR(SEARCH("欠",T130)))</formula>
    </cfRule>
    <cfRule type="cellIs" dxfId="0" priority="50" operator="equal">
      <formula>"欠"</formula>
    </cfRule>
    <cfRule type="containsText" dxfId="3" priority="41" operator="between" text="欠">
      <formula>NOT(ISERROR(SEARCH("欠",T130)))</formula>
    </cfRule>
  </conditionalFormatting>
  <conditionalFormatting sqref="V130">
    <cfRule type="cellIs" dxfId="0" priority="52" operator="equal">
      <formula>"欠"</formula>
    </cfRule>
  </conditionalFormatting>
  <conditionalFormatting sqref="W130">
    <cfRule type="cellIs" dxfId="3" priority="45" operator="equal">
      <formula>"否"</formula>
    </cfRule>
    <cfRule type="containsText" dxfId="3" priority="44" operator="between" text="未安排">
      <formula>NOT(ISERROR(SEARCH("未安排",W130)))</formula>
    </cfRule>
    <cfRule type="containsText" dxfId="3" priority="43" operator="between" text="欠">
      <formula>NOT(ISERROR(SEARCH("欠",W130)))</formula>
    </cfRule>
  </conditionalFormatting>
  <conditionalFormatting sqref="AB130">
    <cfRule type="containsText" dxfId="3" priority="46" operator="between" text="否">
      <formula>NOT(ISERROR(SEARCH("否",AB130)))</formula>
    </cfRule>
    <cfRule type="containsText" dxfId="3" priority="40" operator="between" text="欠">
      <formula>NOT(ISERROR(SEARCH("欠",AB130)))</formula>
    </cfRule>
  </conditionalFormatting>
  <conditionalFormatting sqref="AI130">
    <cfRule type="cellIs" dxfId="0" priority="51" operator="equal">
      <formula>"未完成"</formula>
    </cfRule>
  </conditionalFormatting>
  <conditionalFormatting sqref="AJ130">
    <cfRule type="cellIs" dxfId="0" priority="57" operator="equal">
      <formula>"未完成"</formula>
    </cfRule>
  </conditionalFormatting>
  <conditionalFormatting sqref="AL130">
    <cfRule type="cellIs" dxfId="0" priority="55" operator="equal">
      <formula>"未完成"</formula>
    </cfRule>
    <cfRule type="cellIs" dxfId="1" priority="54" operator="equal">
      <formula>"未完成"</formula>
    </cfRule>
  </conditionalFormatting>
  <conditionalFormatting sqref="AM130">
    <cfRule type="cellIs" dxfId="0" priority="53" operator="equal">
      <formula>"欠"</formula>
    </cfRule>
  </conditionalFormatting>
  <conditionalFormatting sqref="T134:U134">
    <cfRule type="cellIs" dxfId="0" priority="10" operator="equal">
      <formula>"欠"</formula>
    </cfRule>
    <cfRule type="containsText" dxfId="2" priority="9" operator="between" text="欠">
      <formula>NOT(ISERROR(SEARCH("欠",T134)))</formula>
    </cfRule>
    <cfRule type="containsText" dxfId="0" priority="8" operator="between" text="欠">
      <formula>NOT(ISERROR(SEARCH("欠",T134)))</formula>
    </cfRule>
  </conditionalFormatting>
  <conditionalFormatting sqref="Q100:Q101">
    <cfRule type="cellIs" dxfId="0" priority="536" operator="equal">
      <formula>"欠"</formula>
    </cfRule>
  </conditionalFormatting>
  <conditionalFormatting sqref="Q102:Q103">
    <cfRule type="cellIs" dxfId="0" priority="516" operator="equal">
      <formula>"欠"</formula>
    </cfRule>
  </conditionalFormatting>
  <conditionalFormatting sqref="Q104:Q105">
    <cfRule type="cellIs" dxfId="0" priority="488" operator="equal">
      <formula>"欠"</formula>
    </cfRule>
  </conditionalFormatting>
  <conditionalFormatting sqref="Q110:Q111">
    <cfRule type="cellIs" dxfId="0" priority="405" operator="equal">
      <formula>"欠"</formula>
    </cfRule>
  </conditionalFormatting>
  <conditionalFormatting sqref="Q112:Q113">
    <cfRule type="cellIs" dxfId="0" priority="373" operator="equal">
      <formula>"欠"</formula>
    </cfRule>
  </conditionalFormatting>
  <conditionalFormatting sqref="Q114:Q115">
    <cfRule type="cellIs" dxfId="0" priority="340" operator="equal">
      <formula>"欠"</formula>
    </cfRule>
  </conditionalFormatting>
  <conditionalFormatting sqref="Q117:Q118">
    <cfRule type="cellIs" dxfId="0" priority="294" operator="equal">
      <formula>"欠"</formula>
    </cfRule>
  </conditionalFormatting>
  <conditionalFormatting sqref="Q131:Q132">
    <cfRule type="cellIs" dxfId="0" priority="37" operator="equal">
      <formula>"欠"</formula>
    </cfRule>
  </conditionalFormatting>
  <conditionalFormatting sqref="Q133:Q134">
    <cfRule type="cellIs" dxfId="0" priority="17" operator="equal">
      <formula>"欠"</formula>
    </cfRule>
  </conditionalFormatting>
  <conditionalFormatting sqref="R7:R8">
    <cfRule type="cellIs" dxfId="0" priority="1255" operator="equal">
      <formula>"欠"</formula>
    </cfRule>
  </conditionalFormatting>
  <conditionalFormatting sqref="R13:R16">
    <cfRule type="cellIs" dxfId="0" priority="1219" operator="equal">
      <formula>"欠"</formula>
    </cfRule>
  </conditionalFormatting>
  <conditionalFormatting sqref="R26:R27">
    <cfRule type="cellIs" dxfId="0" priority="1160" operator="equal">
      <formula>"欠"</formula>
    </cfRule>
  </conditionalFormatting>
  <conditionalFormatting sqref="R28:R29">
    <cfRule type="cellIs" dxfId="0" priority="1150" operator="equal">
      <formula>"欠"</formula>
    </cfRule>
  </conditionalFormatting>
  <conditionalFormatting sqref="R34:R35">
    <cfRule type="cellIs" dxfId="0" priority="1126" operator="equal">
      <formula>"欠"</formula>
    </cfRule>
  </conditionalFormatting>
  <conditionalFormatting sqref="R38:R39">
    <cfRule type="cellIs" dxfId="0" priority="1107" operator="equal">
      <formula>"欠"</formula>
    </cfRule>
  </conditionalFormatting>
  <conditionalFormatting sqref="R42:R43">
    <cfRule type="cellIs" dxfId="0" priority="1088" operator="equal">
      <formula>"欠"</formula>
    </cfRule>
  </conditionalFormatting>
  <conditionalFormatting sqref="R46:R47">
    <cfRule type="cellIs" dxfId="0" priority="1068" operator="equal">
      <formula>"欠"</formula>
    </cfRule>
  </conditionalFormatting>
  <conditionalFormatting sqref="R57:R58">
    <cfRule type="cellIs" dxfId="0" priority="1006" operator="equal">
      <formula>"欠"</formula>
    </cfRule>
  </conditionalFormatting>
  <conditionalFormatting sqref="R71:R72">
    <cfRule type="cellIs" dxfId="0" priority="871" operator="equal">
      <formula>"欠"</formula>
    </cfRule>
    <cfRule type="containsText" dxfId="0" priority="870" operator="between" text="欠">
      <formula>NOT(ISERROR(SEARCH("欠",R71)))</formula>
    </cfRule>
  </conditionalFormatting>
  <conditionalFormatting sqref="R75:R76">
    <cfRule type="containsText" dxfId="0" priority="837" operator="between" text="欠">
      <formula>NOT(ISERROR(SEARCH("欠",R75)))</formula>
    </cfRule>
  </conditionalFormatting>
  <conditionalFormatting sqref="R77:R78">
    <cfRule type="containsText" dxfId="0" priority="823" operator="between" text="欠">
      <formula>NOT(ISERROR(SEARCH("欠",R77)))</formula>
    </cfRule>
  </conditionalFormatting>
  <conditionalFormatting sqref="R97:R98">
    <cfRule type="cellIs" dxfId="0" priority="557" operator="equal">
      <formula>"欠"</formula>
    </cfRule>
    <cfRule type="containsText" dxfId="0" priority="556" operator="between" text="欠">
      <formula>NOT(ISERROR(SEARCH("欠",R97)))</formula>
    </cfRule>
  </conditionalFormatting>
  <conditionalFormatting sqref="R100:R101">
    <cfRule type="cellIs" dxfId="0" priority="540" operator="equal">
      <formula>"欠"</formula>
    </cfRule>
    <cfRule type="containsText" dxfId="0" priority="539" operator="between" text="欠">
      <formula>NOT(ISERROR(SEARCH("欠",R100)))</formula>
    </cfRule>
  </conditionalFormatting>
  <conditionalFormatting sqref="R102:R103">
    <cfRule type="cellIs" dxfId="0" priority="518" operator="equal">
      <formula>"欠"</formula>
    </cfRule>
    <cfRule type="containsText" dxfId="0" priority="517" operator="between" text="欠">
      <formula>NOT(ISERROR(SEARCH("欠",R102)))</formula>
    </cfRule>
  </conditionalFormatting>
  <conditionalFormatting sqref="R104:R105">
    <cfRule type="cellIs" dxfId="0" priority="490" operator="equal">
      <formula>"欠"</formula>
    </cfRule>
    <cfRule type="containsText" dxfId="0" priority="489" operator="between" text="欠">
      <formula>NOT(ISERROR(SEARCH("欠",R104)))</formula>
    </cfRule>
  </conditionalFormatting>
  <conditionalFormatting sqref="R110:R111">
    <cfRule type="cellIs" dxfId="0" priority="386" operator="equal">
      <formula>"欠"</formula>
    </cfRule>
    <cfRule type="containsText" dxfId="0" priority="385" operator="between" text="欠">
      <formula>NOT(ISERROR(SEARCH("欠",R110)))</formula>
    </cfRule>
  </conditionalFormatting>
  <conditionalFormatting sqref="R112:R113">
    <cfRule type="cellIs" dxfId="0" priority="352" operator="equal">
      <formula>"欠"</formula>
    </cfRule>
    <cfRule type="containsText" dxfId="0" priority="351" operator="between" text="欠">
      <formula>NOT(ISERROR(SEARCH("欠",R112)))</formula>
    </cfRule>
  </conditionalFormatting>
  <conditionalFormatting sqref="R114:R115">
    <cfRule type="cellIs" dxfId="0" priority="319" operator="equal">
      <formula>"欠"</formula>
    </cfRule>
    <cfRule type="containsText" dxfId="0" priority="318" operator="between" text="欠">
      <formula>NOT(ISERROR(SEARCH("欠",R114)))</formula>
    </cfRule>
  </conditionalFormatting>
  <conditionalFormatting sqref="R117:R118">
    <cfRule type="containsText" dxfId="0" priority="278" operator="between" text="欠">
      <formula>NOT(ISERROR(SEARCH("欠",R117)))</formula>
    </cfRule>
    <cfRule type="cellIs" dxfId="0" priority="279" operator="equal">
      <formula>"欠"</formula>
    </cfRule>
  </conditionalFormatting>
  <conditionalFormatting sqref="R120:R121">
    <cfRule type="containsText" dxfId="3" priority="235" operator="between" text="欠">
      <formula>NOT(ISERROR(SEARCH("欠",R120)))</formula>
    </cfRule>
    <cfRule type="containsText" dxfId="0" priority="257" operator="between" text="欠">
      <formula>NOT(ISERROR(SEARCH("欠",R120)))</formula>
    </cfRule>
    <cfRule type="cellIs" dxfId="0" priority="258" operator="equal">
      <formula>"欠"</formula>
    </cfRule>
  </conditionalFormatting>
  <conditionalFormatting sqref="R125:R126">
    <cfRule type="cellIs" dxfId="0" priority="151" operator="equal">
      <formula>"欠"</formula>
    </cfRule>
    <cfRule type="containsText" dxfId="0" priority="150" operator="between" text="欠">
      <formula>NOT(ISERROR(SEARCH("欠",R125)))</formula>
    </cfRule>
    <cfRule type="containsText" dxfId="3" priority="129" operator="between" text="欠">
      <formula>NOT(ISERROR(SEARCH("欠",R125)))</formula>
    </cfRule>
  </conditionalFormatting>
  <conditionalFormatting sqref="R131:R132">
    <cfRule type="cellIs" dxfId="0" priority="28" operator="equal">
      <formula>"欠"</formula>
    </cfRule>
    <cfRule type="containsText" dxfId="0" priority="27" operator="between" text="欠">
      <formula>NOT(ISERROR(SEARCH("欠",R131)))</formula>
    </cfRule>
    <cfRule type="containsText" dxfId="3" priority="22" operator="between" text="欠">
      <formula>NOT(ISERROR(SEARCH("欠",R131)))</formula>
    </cfRule>
  </conditionalFormatting>
  <conditionalFormatting sqref="R133:R134">
    <cfRule type="containsText" dxfId="3" priority="3" operator="between" text="欠">
      <formula>NOT(ISERROR(SEARCH("欠",R133)))</formula>
    </cfRule>
  </conditionalFormatting>
  <conditionalFormatting sqref="S7:S8">
    <cfRule type="cellIs" dxfId="0" priority="1256" operator="equal">
      <formula>"欠"</formula>
    </cfRule>
  </conditionalFormatting>
  <conditionalFormatting sqref="S13:S16">
    <cfRule type="cellIs" dxfId="0" priority="1221" operator="equal">
      <formula>"欠"</formula>
    </cfRule>
  </conditionalFormatting>
  <conditionalFormatting sqref="S17:S20">
    <cfRule type="cellIs" dxfId="0" priority="1196" operator="equal">
      <formula>"欠"</formula>
    </cfRule>
  </conditionalFormatting>
  <conditionalFormatting sqref="S24:S25">
    <cfRule type="cellIs" dxfId="0" priority="1173" operator="equal">
      <formula>"欠"</formula>
    </cfRule>
  </conditionalFormatting>
  <conditionalFormatting sqref="S30:S31">
    <cfRule type="cellIs" dxfId="0" priority="1146" operator="equal">
      <formula>"欠"</formula>
    </cfRule>
  </conditionalFormatting>
  <conditionalFormatting sqref="S32:S33">
    <cfRule type="cellIs" dxfId="0" priority="1139" operator="equal">
      <formula>"欠"</formula>
    </cfRule>
  </conditionalFormatting>
  <conditionalFormatting sqref="S36:S37">
    <cfRule type="cellIs" dxfId="0" priority="1122" operator="equal">
      <formula>"欠"</formula>
    </cfRule>
  </conditionalFormatting>
  <conditionalFormatting sqref="S40:S41">
    <cfRule type="cellIs" dxfId="0" priority="1103" operator="equal">
      <formula>"欠"</formula>
    </cfRule>
  </conditionalFormatting>
  <conditionalFormatting sqref="S44:S45">
    <cfRule type="cellIs" dxfId="0" priority="1083" operator="equal">
      <formula>"欠"</formula>
    </cfRule>
  </conditionalFormatting>
  <conditionalFormatting sqref="S50:S51">
    <cfRule type="cellIs" dxfId="0" priority="1051" operator="equal">
      <formula>"欠"</formula>
    </cfRule>
  </conditionalFormatting>
  <conditionalFormatting sqref="S55:S56">
    <cfRule type="cellIs" dxfId="0" priority="1019" operator="equal">
      <formula>"欠"</formula>
    </cfRule>
  </conditionalFormatting>
  <conditionalFormatting sqref="S57:S58">
    <cfRule type="containsText" dxfId="0" priority="998" operator="between" text="欠">
      <formula>NOT(ISERROR(SEARCH("欠",S57)))</formula>
    </cfRule>
  </conditionalFormatting>
  <conditionalFormatting sqref="S71:S72">
    <cfRule type="cellIs" dxfId="0" priority="873" operator="equal">
      <formula>"欠"</formula>
    </cfRule>
  </conditionalFormatting>
  <conditionalFormatting sqref="S97:S98">
    <cfRule type="cellIs" dxfId="0" priority="558" operator="equal">
      <formula>"欠"</formula>
    </cfRule>
  </conditionalFormatting>
  <conditionalFormatting sqref="S100:S101">
    <cfRule type="cellIs" dxfId="0" priority="541" operator="equal">
      <formula>"欠"</formula>
    </cfRule>
  </conditionalFormatting>
  <conditionalFormatting sqref="S102:S103">
    <cfRule type="cellIs" dxfId="0" priority="519" operator="equal">
      <formula>"欠"</formula>
    </cfRule>
  </conditionalFormatting>
  <conditionalFormatting sqref="S104:S105">
    <cfRule type="cellIs" dxfId="0" priority="491" operator="equal">
      <formula>"欠"</formula>
    </cfRule>
  </conditionalFormatting>
  <conditionalFormatting sqref="S110:S111">
    <cfRule type="cellIs" dxfId="0" priority="388" operator="equal">
      <formula>"欠"</formula>
    </cfRule>
  </conditionalFormatting>
  <conditionalFormatting sqref="S112:S113">
    <cfRule type="cellIs" dxfId="0" priority="354" operator="equal">
      <formula>"欠"</formula>
    </cfRule>
  </conditionalFormatting>
  <conditionalFormatting sqref="S114:S115">
    <cfRule type="cellIs" dxfId="0" priority="321" operator="equal">
      <formula>"欠"</formula>
    </cfRule>
  </conditionalFormatting>
  <conditionalFormatting sqref="S117:S118">
    <cfRule type="cellIs" dxfId="0" priority="281" operator="equal">
      <formula>"欠"</formula>
    </cfRule>
  </conditionalFormatting>
  <conditionalFormatting sqref="S120:S121">
    <cfRule type="cellIs" dxfId="0" priority="256" operator="equal">
      <formula>"欠"</formula>
    </cfRule>
  </conditionalFormatting>
  <conditionalFormatting sqref="S125:S126">
    <cfRule type="cellIs" dxfId="0" priority="149" operator="equal">
      <formula>"欠"</formula>
    </cfRule>
  </conditionalFormatting>
  <conditionalFormatting sqref="S131:S132">
    <cfRule type="cellIs" dxfId="0" priority="30" operator="equal">
      <formula>"欠"</formula>
    </cfRule>
  </conditionalFormatting>
  <conditionalFormatting sqref="S133:S134">
    <cfRule type="cellIs" dxfId="0" priority="11" operator="equal">
      <formula>"欠"</formula>
    </cfRule>
  </conditionalFormatting>
  <conditionalFormatting sqref="T13:T16">
    <cfRule type="cellIs" dxfId="0" priority="1220" operator="equal">
      <formula>"欠"</formula>
    </cfRule>
  </conditionalFormatting>
  <conditionalFormatting sqref="T17:T20">
    <cfRule type="cellIs" dxfId="0" priority="1197" operator="equal">
      <formula>"欠"</formula>
    </cfRule>
  </conditionalFormatting>
  <conditionalFormatting sqref="T24:T25">
    <cfRule type="cellIs" dxfId="0" priority="1172" operator="equal">
      <formula>"欠"</formula>
    </cfRule>
  </conditionalFormatting>
  <conditionalFormatting sqref="T26:T27">
    <cfRule type="containsText" dxfId="0" priority="1161" operator="between" text="欠">
      <formula>NOT(ISERROR(SEARCH("欠",T26)))</formula>
    </cfRule>
  </conditionalFormatting>
  <conditionalFormatting sqref="T28:T29">
    <cfRule type="containsText" dxfId="0" priority="1151" operator="between" text="欠">
      <formula>NOT(ISERROR(SEARCH("欠",T28)))</formula>
    </cfRule>
  </conditionalFormatting>
  <conditionalFormatting sqref="T30:T31">
    <cfRule type="cellIs" dxfId="0" priority="1145" operator="equal">
      <formula>"欠"</formula>
    </cfRule>
  </conditionalFormatting>
  <conditionalFormatting sqref="T32:T33">
    <cfRule type="cellIs" dxfId="0" priority="1138" operator="equal">
      <formula>"欠"</formula>
    </cfRule>
  </conditionalFormatting>
  <conditionalFormatting sqref="T34:T35">
    <cfRule type="containsText" dxfId="0" priority="1127" operator="between" text="欠">
      <formula>NOT(ISERROR(SEARCH("欠",T34)))</formula>
    </cfRule>
  </conditionalFormatting>
  <conditionalFormatting sqref="T36:T37">
    <cfRule type="cellIs" dxfId="0" priority="1121" operator="equal">
      <formula>"欠"</formula>
    </cfRule>
  </conditionalFormatting>
  <conditionalFormatting sqref="T38:T39">
    <cfRule type="containsText" dxfId="0" priority="1108" operator="between" text="欠">
      <formula>NOT(ISERROR(SEARCH("欠",T38)))</formula>
    </cfRule>
  </conditionalFormatting>
  <conditionalFormatting sqref="T40:T41">
    <cfRule type="cellIs" dxfId="0" priority="1102" operator="equal">
      <formula>"欠"</formula>
    </cfRule>
  </conditionalFormatting>
  <conditionalFormatting sqref="T42:T43">
    <cfRule type="containsText" dxfId="0" priority="1089" operator="between" text="欠">
      <formula>NOT(ISERROR(SEARCH("欠",T42)))</formula>
    </cfRule>
  </conditionalFormatting>
  <conditionalFormatting sqref="T44:T45">
    <cfRule type="cellIs" dxfId="0" priority="1082" operator="equal">
      <formula>"欠"</formula>
    </cfRule>
  </conditionalFormatting>
  <conditionalFormatting sqref="T46:T47">
    <cfRule type="containsText" dxfId="0" priority="1069" operator="between" text="欠">
      <formula>NOT(ISERROR(SEARCH("欠",T46)))</formula>
    </cfRule>
  </conditionalFormatting>
  <conditionalFormatting sqref="T48:T49">
    <cfRule type="containsText" dxfId="0" priority="1057" operator="between" text="欠">
      <formula>NOT(ISERROR(SEARCH("欠",T48)))</formula>
    </cfRule>
  </conditionalFormatting>
  <conditionalFormatting sqref="T50:T51">
    <cfRule type="cellIs" dxfId="0" priority="1050" operator="equal">
      <formula>"欠"</formula>
    </cfRule>
  </conditionalFormatting>
  <conditionalFormatting sqref="T55:T56">
    <cfRule type="containsText" dxfId="0" priority="1008" operator="between" text="欠">
      <formula>NOT(ISERROR(SEARCH("欠",T55)))</formula>
    </cfRule>
  </conditionalFormatting>
  <conditionalFormatting sqref="T71:T72">
    <cfRule type="cellIs" dxfId="0" priority="877" operator="equal">
      <formula>"欠"</formula>
    </cfRule>
    <cfRule type="containsText" dxfId="0" priority="876" operator="between" text="欠">
      <formula>NOT(ISERROR(SEARCH("欠",T71)))</formula>
    </cfRule>
  </conditionalFormatting>
  <conditionalFormatting sqref="T75:T76">
    <cfRule type="containsText" dxfId="0" priority="840" operator="between" text="欠">
      <formula>NOT(ISERROR(SEARCH("欠",T75)))</formula>
    </cfRule>
  </conditionalFormatting>
  <conditionalFormatting sqref="T77:T78">
    <cfRule type="containsText" dxfId="0" priority="830" operator="between" text="欠">
      <formula>NOT(ISERROR(SEARCH("欠",T77)))</formula>
    </cfRule>
  </conditionalFormatting>
  <conditionalFormatting sqref="T97:T98">
    <cfRule type="cellIs" dxfId="0" priority="555" operator="equal">
      <formula>"欠"</formula>
    </cfRule>
    <cfRule type="containsText" dxfId="0" priority="554" operator="between" text="欠">
      <formula>NOT(ISERROR(SEARCH("欠",T97)))</formula>
    </cfRule>
  </conditionalFormatting>
  <conditionalFormatting sqref="T100:T101">
    <cfRule type="cellIs" dxfId="0" priority="521" operator="equal">
      <formula>"欠"</formula>
    </cfRule>
    <cfRule type="containsText" dxfId="0" priority="520" operator="between" text="欠">
      <formula>NOT(ISERROR(SEARCH("欠",T100)))</formula>
    </cfRule>
  </conditionalFormatting>
  <conditionalFormatting sqref="T102:T103">
    <cfRule type="cellIs" dxfId="0" priority="498" operator="equal">
      <formula>"欠"</formula>
    </cfRule>
    <cfRule type="containsText" dxfId="2" priority="497" operator="between" text="欠">
      <formula>NOT(ISERROR(SEARCH("欠",T102)))</formula>
    </cfRule>
    <cfRule type="containsText" dxfId="0" priority="496" operator="between" text="欠">
      <formula>NOT(ISERROR(SEARCH("欠",T102)))</formula>
    </cfRule>
  </conditionalFormatting>
  <conditionalFormatting sqref="T104:T105">
    <cfRule type="cellIs" dxfId="0" priority="471" operator="equal">
      <formula>"欠"</formula>
    </cfRule>
    <cfRule type="containsText" dxfId="0" priority="470" operator="between" text="欠">
      <formula>NOT(ISERROR(SEARCH("欠",T104)))</formula>
    </cfRule>
  </conditionalFormatting>
  <conditionalFormatting sqref="T110:T111">
    <cfRule type="cellIs" dxfId="0" priority="389" operator="equal">
      <formula>"欠"</formula>
    </cfRule>
    <cfRule type="containsText" dxfId="0" priority="387" operator="between" text="欠">
      <formula>NOT(ISERROR(SEARCH("欠",T110)))</formula>
    </cfRule>
  </conditionalFormatting>
  <conditionalFormatting sqref="T112:T113">
    <cfRule type="cellIs" dxfId="0" priority="355" operator="equal">
      <formula>"欠"</formula>
    </cfRule>
    <cfRule type="containsText" dxfId="0" priority="353" operator="between" text="欠">
      <formula>NOT(ISERROR(SEARCH("欠",T112)))</formula>
    </cfRule>
    <cfRule type="containsText" dxfId="2" priority="346" operator="between" text="欠">
      <formula>NOT(ISERROR(SEARCH("欠",T112)))</formula>
    </cfRule>
  </conditionalFormatting>
  <conditionalFormatting sqref="T114:T115">
    <cfRule type="cellIs" dxfId="0" priority="322" operator="equal">
      <formula>"欠"</formula>
    </cfRule>
    <cfRule type="containsText" dxfId="0" priority="320" operator="between" text="欠">
      <formula>NOT(ISERROR(SEARCH("欠",T114)))</formula>
    </cfRule>
  </conditionalFormatting>
  <conditionalFormatting sqref="T117:T118">
    <cfRule type="containsText" dxfId="0" priority="280" operator="between" text="欠">
      <formula>NOT(ISERROR(SEARCH("欠",T117)))</formula>
    </cfRule>
    <cfRule type="cellIs" dxfId="0" priority="282" operator="equal">
      <formula>"欠"</formula>
    </cfRule>
  </conditionalFormatting>
  <conditionalFormatting sqref="T120:T121">
    <cfRule type="containsText" dxfId="3" priority="234" operator="between" text="欠">
      <formula>NOT(ISERROR(SEARCH("欠",T120)))</formula>
    </cfRule>
    <cfRule type="containsText" dxfId="0" priority="241" operator="between" text="欠">
      <formula>NOT(ISERROR(SEARCH("欠",T120)))</formula>
    </cfRule>
    <cfRule type="containsText" dxfId="2" priority="242" operator="between" text="欠">
      <formula>NOT(ISERROR(SEARCH("欠",T120)))</formula>
    </cfRule>
    <cfRule type="cellIs" dxfId="0" priority="243" operator="equal">
      <formula>"欠"</formula>
    </cfRule>
  </conditionalFormatting>
  <conditionalFormatting sqref="T125:T126">
    <cfRule type="cellIs" dxfId="0" priority="148" operator="equal">
      <formula>"欠"</formula>
    </cfRule>
    <cfRule type="containsText" dxfId="2" priority="147" operator="between" text="欠">
      <formula>NOT(ISERROR(SEARCH("欠",T125)))</formula>
    </cfRule>
    <cfRule type="containsText" dxfId="0" priority="146" operator="between" text="欠">
      <formula>NOT(ISERROR(SEARCH("欠",T125)))</formula>
    </cfRule>
    <cfRule type="containsText" dxfId="3" priority="131" operator="between" text="欠">
      <formula>NOT(ISERROR(SEARCH("欠",T125)))</formula>
    </cfRule>
  </conditionalFormatting>
  <conditionalFormatting sqref="U13:U16">
    <cfRule type="cellIs" dxfId="0" priority="1217" operator="equal">
      <formula>"欠"</formula>
    </cfRule>
  </conditionalFormatting>
  <conditionalFormatting sqref="U17:U20">
    <cfRule type="cellIs" dxfId="0" priority="1195" operator="equal">
      <formula>"欠"</formula>
    </cfRule>
  </conditionalFormatting>
  <conditionalFormatting sqref="U24:U25">
    <cfRule type="containsText" dxfId="2" priority="1170" operator="between" text="欠">
      <formula>NOT(ISERROR(SEARCH("欠",U24)))</formula>
    </cfRule>
  </conditionalFormatting>
  <conditionalFormatting sqref="U30:U31">
    <cfRule type="containsText" dxfId="2" priority="1143" operator="between" text="欠">
      <formula>NOT(ISERROR(SEARCH("欠",U30)))</formula>
    </cfRule>
  </conditionalFormatting>
  <conditionalFormatting sqref="U32:U33">
    <cfRule type="containsText" dxfId="2" priority="1136" operator="between" text="欠">
      <formula>NOT(ISERROR(SEARCH("欠",U32)))</formula>
    </cfRule>
  </conditionalFormatting>
  <conditionalFormatting sqref="U36:U37">
    <cfRule type="containsText" dxfId="2" priority="1119" operator="between" text="欠">
      <formula>NOT(ISERROR(SEARCH("欠",U36)))</formula>
    </cfRule>
  </conditionalFormatting>
  <conditionalFormatting sqref="U40:U41">
    <cfRule type="containsText" dxfId="2" priority="1100" operator="between" text="欠">
      <formula>NOT(ISERROR(SEARCH("欠",U40)))</formula>
    </cfRule>
  </conditionalFormatting>
  <conditionalFormatting sqref="U44:U45">
    <cfRule type="containsText" dxfId="2" priority="1080" operator="between" text="欠">
      <formula>NOT(ISERROR(SEARCH("欠",U44)))</formula>
    </cfRule>
  </conditionalFormatting>
  <conditionalFormatting sqref="U50:U51">
    <cfRule type="containsText" dxfId="2" priority="1047" operator="between" text="欠">
      <formula>NOT(ISERROR(SEARCH("欠",U50)))</formula>
    </cfRule>
  </conditionalFormatting>
  <conditionalFormatting sqref="U57:U58">
    <cfRule type="cellIs" dxfId="0" priority="1003" operator="equal">
      <formula>"欠"</formula>
    </cfRule>
    <cfRule type="containsText" dxfId="0" priority="999" operator="between" text="欠">
      <formula>NOT(ISERROR(SEARCH("欠",U57)))</formula>
    </cfRule>
  </conditionalFormatting>
  <conditionalFormatting sqref="U71:U72">
    <cfRule type="cellIs" dxfId="0" priority="866" operator="equal">
      <formula>"欠"</formula>
    </cfRule>
  </conditionalFormatting>
  <conditionalFormatting sqref="U75:U76">
    <cfRule type="cellIs" dxfId="0" priority="832" operator="equal">
      <formula>"欠"</formula>
    </cfRule>
  </conditionalFormatting>
  <conditionalFormatting sqref="U77:U78">
    <cfRule type="cellIs" dxfId="0" priority="825" operator="equal">
      <formula>"欠"</formula>
    </cfRule>
  </conditionalFormatting>
  <conditionalFormatting sqref="U97:U98">
    <cfRule type="cellIs" dxfId="0" priority="561" operator="equal">
      <formula>"欠"</formula>
    </cfRule>
  </conditionalFormatting>
  <conditionalFormatting sqref="U100:U101">
    <cfRule type="cellIs" dxfId="0" priority="523" operator="equal">
      <formula>"欠"</formula>
    </cfRule>
    <cfRule type="containsText" dxfId="0" priority="522" operator="between" text="欠">
      <formula>NOT(ISERROR(SEARCH("欠",U100)))</formula>
    </cfRule>
  </conditionalFormatting>
  <conditionalFormatting sqref="U102:U103">
    <cfRule type="cellIs" dxfId="0" priority="495" operator="equal">
      <formula>"欠"</formula>
    </cfRule>
    <cfRule type="containsText" dxfId="0" priority="494" operator="between" text="欠">
      <formula>NOT(ISERROR(SEARCH("欠",U102)))</formula>
    </cfRule>
  </conditionalFormatting>
  <conditionalFormatting sqref="U104:U105">
    <cfRule type="cellIs" dxfId="0" priority="473" operator="equal">
      <formula>"欠"</formula>
    </cfRule>
    <cfRule type="containsText" dxfId="0" priority="472" operator="between" text="欠">
      <formula>NOT(ISERROR(SEARCH("欠",U104)))</formula>
    </cfRule>
  </conditionalFormatting>
  <conditionalFormatting sqref="U110:U111">
    <cfRule type="cellIs" dxfId="0" priority="393" operator="equal">
      <formula>"欠"</formula>
    </cfRule>
  </conditionalFormatting>
  <conditionalFormatting sqref="U112:U113">
    <cfRule type="cellIs" dxfId="0" priority="361" operator="equal">
      <formula>"欠"</formula>
    </cfRule>
  </conditionalFormatting>
  <conditionalFormatting sqref="U114:U115">
    <cfRule type="cellIs" dxfId="0" priority="328" operator="equal">
      <formula>"欠"</formula>
    </cfRule>
  </conditionalFormatting>
  <conditionalFormatting sqref="U117:U118">
    <cfRule type="cellIs" dxfId="0" priority="286" operator="equal">
      <formula>"欠"</formula>
    </cfRule>
  </conditionalFormatting>
  <conditionalFormatting sqref="V57:V58">
    <cfRule type="cellIs" dxfId="0" priority="1000" operator="equal">
      <formula>"欠"</formula>
    </cfRule>
  </conditionalFormatting>
  <conditionalFormatting sqref="V120:V121">
    <cfRule type="containsText" dxfId="3" priority="236" operator="between" text="欠">
      <formula>NOT(ISERROR(SEARCH("欠",V120)))</formula>
    </cfRule>
    <cfRule type="containsText" dxfId="3" priority="238" operator="between" text="未安排">
      <formula>NOT(ISERROR(SEARCH("未安排",V120)))</formula>
    </cfRule>
    <cfRule type="cellIs" dxfId="3" priority="239" operator="equal">
      <formula>"否"</formula>
    </cfRule>
  </conditionalFormatting>
  <conditionalFormatting sqref="V125:V126">
    <cfRule type="containsText" dxfId="3" priority="132" operator="between" text="未安排">
      <formula>NOT(ISERROR(SEARCH("未安排",V125)))</formula>
    </cfRule>
    <cfRule type="containsText" dxfId="3" priority="130" operator="between" text="欠">
      <formula>NOT(ISERROR(SEARCH("欠",V125)))</formula>
    </cfRule>
  </conditionalFormatting>
  <conditionalFormatting sqref="V131:V132">
    <cfRule type="cellIs" dxfId="0" priority="33" operator="equal">
      <formula>"欠"</formula>
    </cfRule>
  </conditionalFormatting>
  <conditionalFormatting sqref="V133:V134">
    <cfRule type="cellIs" dxfId="0" priority="13" operator="equal">
      <formula>"欠"</formula>
    </cfRule>
  </conditionalFormatting>
  <conditionalFormatting sqref="W50:W51">
    <cfRule type="cellIs" dxfId="0" priority="1048" operator="equal">
      <formula>"欠"</formula>
    </cfRule>
  </conditionalFormatting>
  <conditionalFormatting sqref="W131:W132">
    <cfRule type="cellIs" dxfId="3" priority="25" operator="equal">
      <formula>"否"</formula>
    </cfRule>
    <cfRule type="containsText" dxfId="3" priority="24" operator="between" text="未安排">
      <formula>NOT(ISERROR(SEARCH("未安排",W131)))</formula>
    </cfRule>
    <cfRule type="containsText" dxfId="3" priority="23" operator="between" text="欠">
      <formula>NOT(ISERROR(SEARCH("欠",W131)))</formula>
    </cfRule>
  </conditionalFormatting>
  <conditionalFormatting sqref="W133:W134">
    <cfRule type="cellIs" dxfId="3" priority="6" operator="equal">
      <formula>"否"</formula>
    </cfRule>
    <cfRule type="containsText" dxfId="3" priority="5" operator="between" text="未安排">
      <formula>NOT(ISERROR(SEARCH("未安排",W133)))</formula>
    </cfRule>
    <cfRule type="containsText" dxfId="3" priority="4" operator="between" text="欠">
      <formula>NOT(ISERROR(SEARCH("欠",W133)))</formula>
    </cfRule>
  </conditionalFormatting>
  <conditionalFormatting sqref="AA120:AA121">
    <cfRule type="containsText" dxfId="3" priority="240" operator="between" text="否">
      <formula>NOT(ISERROR(SEARCH("否",AA120)))</formula>
    </cfRule>
  </conditionalFormatting>
  <conditionalFormatting sqref="AA125:AA126">
    <cfRule type="containsText" dxfId="3" priority="133" operator="between" text="否">
      <formula>NOT(ISERROR(SEARCH("否",AA125)))</formula>
    </cfRule>
    <cfRule type="containsText" dxfId="3" priority="128" operator="between" text="欠">
      <formula>NOT(ISERROR(SEARCH("欠",AA125)))</formula>
    </cfRule>
  </conditionalFormatting>
  <conditionalFormatting sqref="AB131:AB132">
    <cfRule type="containsText" dxfId="3" priority="26" operator="between" text="否">
      <formula>NOT(ISERROR(SEARCH("否",AB131)))</formula>
    </cfRule>
    <cfRule type="containsText" dxfId="3" priority="20" operator="between" text="欠">
      <formula>NOT(ISERROR(SEARCH("欠",AB131)))</formula>
    </cfRule>
  </conditionalFormatting>
  <conditionalFormatting sqref="AB133:AB134">
    <cfRule type="containsText" dxfId="3" priority="7" operator="between" text="否">
      <formula>NOT(ISERROR(SEARCH("否",AB133)))</formula>
    </cfRule>
    <cfRule type="containsText" dxfId="3" priority="1" operator="between" text="欠">
      <formula>NOT(ISERROR(SEARCH("欠",AB133)))</formula>
    </cfRule>
  </conditionalFormatting>
  <conditionalFormatting sqref="AD7:AD8">
    <cfRule type="cellIs" dxfId="0" priority="1251" operator="equal">
      <formula>"未完成"</formula>
    </cfRule>
  </conditionalFormatting>
  <conditionalFormatting sqref="AD13:AD16">
    <cfRule type="cellIs" dxfId="0" priority="1218" operator="equal">
      <formula>"未完成"</formula>
    </cfRule>
  </conditionalFormatting>
  <conditionalFormatting sqref="AD21:AD22">
    <cfRule type="cellIs" dxfId="0" priority="1192" operator="equal">
      <formula>"未完成"</formula>
    </cfRule>
  </conditionalFormatting>
  <conditionalFormatting sqref="AD26:AD27">
    <cfRule type="cellIs" dxfId="0" priority="1167" operator="equal">
      <formula>"未完成"</formula>
    </cfRule>
  </conditionalFormatting>
  <conditionalFormatting sqref="AD28:AD29">
    <cfRule type="cellIs" dxfId="0" priority="1157" operator="equal">
      <formula>"未完成"</formula>
    </cfRule>
  </conditionalFormatting>
  <conditionalFormatting sqref="AD34:AD35">
    <cfRule type="cellIs" dxfId="0" priority="1131" operator="equal">
      <formula>"未完成"</formula>
    </cfRule>
  </conditionalFormatting>
  <conditionalFormatting sqref="AD38:AD39">
    <cfRule type="cellIs" dxfId="0" priority="1116" operator="equal">
      <formula>"未完成"</formula>
    </cfRule>
  </conditionalFormatting>
  <conditionalFormatting sqref="AD42:AD43">
    <cfRule type="cellIs" dxfId="0" priority="1097" operator="equal">
      <formula>"未完成"</formula>
    </cfRule>
  </conditionalFormatting>
  <conditionalFormatting sqref="AD46:AD47">
    <cfRule type="cellIs" dxfId="0" priority="1077" operator="equal">
      <formula>"未完成"</formula>
    </cfRule>
  </conditionalFormatting>
  <conditionalFormatting sqref="AD48:AD49">
    <cfRule type="cellIs" dxfId="0" priority="1065" operator="equal">
      <formula>"未完成"</formula>
    </cfRule>
  </conditionalFormatting>
  <conditionalFormatting sqref="AD75:AD76">
    <cfRule type="cellIs" dxfId="0" priority="833" operator="equal">
      <formula>"未完成"</formula>
    </cfRule>
  </conditionalFormatting>
  <conditionalFormatting sqref="AD77:AD78">
    <cfRule type="cellIs" dxfId="0" priority="826" operator="equal">
      <formula>"未完成"</formula>
    </cfRule>
  </conditionalFormatting>
  <conditionalFormatting sqref="AF24:AF25">
    <cfRule type="cellIs" dxfId="0" priority="1174" operator="equal">
      <formula>"未完成"</formula>
    </cfRule>
  </conditionalFormatting>
  <conditionalFormatting sqref="AF30:AF31">
    <cfRule type="cellIs" dxfId="0" priority="1147" operator="equal">
      <formula>"未完成"</formula>
    </cfRule>
  </conditionalFormatting>
  <conditionalFormatting sqref="AF32:AF33">
    <cfRule type="cellIs" dxfId="0" priority="1140" operator="equal">
      <formula>"未完成"</formula>
    </cfRule>
  </conditionalFormatting>
  <conditionalFormatting sqref="AF36:AF37">
    <cfRule type="cellIs" dxfId="0" priority="1123" operator="equal">
      <formula>"未完成"</formula>
    </cfRule>
  </conditionalFormatting>
  <conditionalFormatting sqref="AF40:AF41">
    <cfRule type="cellIs" dxfId="0" priority="1104" operator="equal">
      <formula>"未完成"</formula>
    </cfRule>
  </conditionalFormatting>
  <conditionalFormatting sqref="AF44:AF45">
    <cfRule type="cellIs" dxfId="0" priority="1084" operator="equal">
      <formula>"未完成"</formula>
    </cfRule>
  </conditionalFormatting>
  <conditionalFormatting sqref="AF50:AF51">
    <cfRule type="cellIs" dxfId="0" priority="1052" operator="equal">
      <formula>"未完成"</formula>
    </cfRule>
  </conditionalFormatting>
  <conditionalFormatting sqref="AF71:AF72">
    <cfRule type="cellIs" dxfId="0" priority="872" operator="equal">
      <formula>"未完成"</formula>
    </cfRule>
  </conditionalFormatting>
  <conditionalFormatting sqref="AF75:AF76">
    <cfRule type="cellIs" dxfId="0" priority="838" operator="equal">
      <formula>"未完成"</formula>
    </cfRule>
  </conditionalFormatting>
  <conditionalFormatting sqref="AF77:AF78">
    <cfRule type="cellIs" dxfId="0" priority="824" operator="equal">
      <formula>"未完成"</formula>
    </cfRule>
  </conditionalFormatting>
  <conditionalFormatting sqref="AF100:AF101">
    <cfRule type="cellIs" dxfId="0" priority="524" operator="equal">
      <formula>"未完成"</formula>
    </cfRule>
  </conditionalFormatting>
  <conditionalFormatting sqref="AF102:AF103">
    <cfRule type="cellIs" dxfId="0" priority="504" operator="equal">
      <formula>"未完成"</formula>
    </cfRule>
  </conditionalFormatting>
  <conditionalFormatting sqref="AF104:AF105">
    <cfRule type="cellIs" dxfId="0" priority="476" operator="equal">
      <formula>"未完成"</formula>
    </cfRule>
  </conditionalFormatting>
  <conditionalFormatting sqref="AF110:AF111">
    <cfRule type="cellIs" dxfId="0" priority="390" operator="equal">
      <formula>"未完成"</formula>
    </cfRule>
  </conditionalFormatting>
  <conditionalFormatting sqref="AF112:AF113">
    <cfRule type="cellIs" dxfId="0" priority="358" operator="equal">
      <formula>"未完成"</formula>
    </cfRule>
  </conditionalFormatting>
  <conditionalFormatting sqref="AF114:AF115">
    <cfRule type="cellIs" dxfId="0" priority="325" operator="equal">
      <formula>"未完成"</formula>
    </cfRule>
  </conditionalFormatting>
  <conditionalFormatting sqref="AF117:AF118">
    <cfRule type="cellIs" dxfId="0" priority="284" operator="equal">
      <formula>"未完成"</formula>
    </cfRule>
  </conditionalFormatting>
  <conditionalFormatting sqref="AG97:AG98">
    <cfRule type="cellIs" dxfId="0" priority="563" operator="equal">
      <formula>"未完成"</formula>
    </cfRule>
  </conditionalFormatting>
  <conditionalFormatting sqref="AG110:AG111">
    <cfRule type="cellIs" dxfId="0" priority="409" operator="equal">
      <formula>"未完成"</formula>
    </cfRule>
  </conditionalFormatting>
  <conditionalFormatting sqref="AG112:AG113">
    <cfRule type="cellIs" dxfId="0" priority="377" operator="equal">
      <formula>"未完成"</formula>
    </cfRule>
  </conditionalFormatting>
  <conditionalFormatting sqref="AG114:AG115">
    <cfRule type="cellIs" dxfId="0" priority="343" operator="equal">
      <formula>"未完成"</formula>
    </cfRule>
  </conditionalFormatting>
  <conditionalFormatting sqref="AG117:AG118">
    <cfRule type="cellIs" dxfId="0" priority="296" operator="equal">
      <formula>"未完成"</formula>
    </cfRule>
  </conditionalFormatting>
  <conditionalFormatting sqref="AI57:AI58">
    <cfRule type="cellIs" dxfId="0" priority="1005" operator="equal">
      <formula>"未完成"</formula>
    </cfRule>
    <cfRule type="cellIs" dxfId="1" priority="1004" operator="equal">
      <formula>"未完成"</formula>
    </cfRule>
  </conditionalFormatting>
  <conditionalFormatting sqref="AI100:AI101">
    <cfRule type="cellIs" dxfId="0" priority="533" operator="equal">
      <formula>"未完成"</formula>
    </cfRule>
    <cfRule type="cellIs" dxfId="1" priority="530" operator="equal">
      <formula>"未完成"</formula>
    </cfRule>
  </conditionalFormatting>
  <conditionalFormatting sqref="AI102:AI103">
    <cfRule type="cellIs" dxfId="0" priority="513" operator="equal">
      <formula>"未完成"</formula>
    </cfRule>
    <cfRule type="cellIs" dxfId="1" priority="510" operator="equal">
      <formula>"未完成"</formula>
    </cfRule>
  </conditionalFormatting>
  <conditionalFormatting sqref="AI104:AI105">
    <cfRule type="cellIs" dxfId="0" priority="485" operator="equal">
      <formula>"未完成"</formula>
    </cfRule>
    <cfRule type="cellIs" dxfId="1" priority="482" operator="equal">
      <formula>"未完成"</formula>
    </cfRule>
  </conditionalFormatting>
  <conditionalFormatting sqref="AI110:AI111">
    <cfRule type="cellIs" dxfId="0" priority="402" operator="equal">
      <formula>"未完成"</formula>
    </cfRule>
    <cfRule type="cellIs" dxfId="1" priority="399" operator="equal">
      <formula>"未完成"</formula>
    </cfRule>
  </conditionalFormatting>
  <conditionalFormatting sqref="AI112:AI113">
    <cfRule type="cellIs" dxfId="0" priority="370" operator="equal">
      <formula>"未完成"</formula>
    </cfRule>
    <cfRule type="cellIs" dxfId="1" priority="367" operator="equal">
      <formula>"未完成"</formula>
    </cfRule>
  </conditionalFormatting>
  <conditionalFormatting sqref="AI114:AI115">
    <cfRule type="cellIs" dxfId="0" priority="337" operator="equal">
      <formula>"未完成"</formula>
    </cfRule>
    <cfRule type="cellIs" dxfId="1" priority="334" operator="equal">
      <formula>"未完成"</formula>
    </cfRule>
  </conditionalFormatting>
  <conditionalFormatting sqref="AI117:AI118">
    <cfRule type="cellIs" dxfId="1" priority="290" operator="equal">
      <formula>"未完成"</formula>
    </cfRule>
    <cfRule type="cellIs" dxfId="0" priority="292" operator="equal">
      <formula>"未完成"</formula>
    </cfRule>
  </conditionalFormatting>
  <conditionalFormatting sqref="AI120:AI121">
    <cfRule type="cellIs" dxfId="0" priority="259" operator="equal">
      <formula>"未完成"</formula>
    </cfRule>
  </conditionalFormatting>
  <conditionalFormatting sqref="AI131:AI132">
    <cfRule type="cellIs" dxfId="0" priority="32" operator="equal">
      <formula>"未完成"</formula>
    </cfRule>
  </conditionalFormatting>
  <conditionalFormatting sqref="AI133:AI134">
    <cfRule type="cellIs" dxfId="0" priority="12" operator="equal">
      <formula>"未完成"</formula>
    </cfRule>
  </conditionalFormatting>
  <conditionalFormatting sqref="AJ7:AJ8">
    <cfRule type="cellIs" dxfId="0" priority="1257" operator="equal">
      <formula>"欠"</formula>
    </cfRule>
  </conditionalFormatting>
  <conditionalFormatting sqref="AJ13:AJ16">
    <cfRule type="cellIs" dxfId="0" priority="1214" operator="equal">
      <formula>"欠"</formula>
    </cfRule>
  </conditionalFormatting>
  <conditionalFormatting sqref="AJ57:AJ58">
    <cfRule type="cellIs" dxfId="0" priority="1002" operator="equal">
      <formula>"欠"</formula>
    </cfRule>
  </conditionalFormatting>
  <conditionalFormatting sqref="AJ100:AJ101">
    <cfRule type="cellIs" dxfId="0" priority="527" operator="equal">
      <formula>"欠"</formula>
    </cfRule>
  </conditionalFormatting>
  <conditionalFormatting sqref="AJ102:AJ103">
    <cfRule type="cellIs" dxfId="0" priority="507" operator="equal">
      <formula>"欠"</formula>
    </cfRule>
  </conditionalFormatting>
  <conditionalFormatting sqref="AJ104:AJ105">
    <cfRule type="cellIs" dxfId="0" priority="479" operator="equal">
      <formula>"欠"</formula>
    </cfRule>
  </conditionalFormatting>
  <conditionalFormatting sqref="AJ110:AJ111">
    <cfRule type="cellIs" dxfId="0" priority="396" operator="equal">
      <formula>"欠"</formula>
    </cfRule>
  </conditionalFormatting>
  <conditionalFormatting sqref="AJ112:AJ113">
    <cfRule type="cellIs" dxfId="0" priority="364" operator="equal">
      <formula>"欠"</formula>
    </cfRule>
  </conditionalFormatting>
  <conditionalFormatting sqref="AJ114:AJ115">
    <cfRule type="cellIs" dxfId="0" priority="331" operator="equal">
      <formula>"欠"</formula>
    </cfRule>
  </conditionalFormatting>
  <conditionalFormatting sqref="AJ117:AJ118">
    <cfRule type="cellIs" dxfId="0" priority="288" operator="equal">
      <formula>"欠"</formula>
    </cfRule>
  </conditionalFormatting>
  <conditionalFormatting sqref="AJ131:AJ132">
    <cfRule type="cellIs" dxfId="0" priority="38" operator="equal">
      <formula>"未完成"</formula>
    </cfRule>
  </conditionalFormatting>
  <conditionalFormatting sqref="AJ133:AJ134">
    <cfRule type="cellIs" dxfId="0" priority="18" operator="equal">
      <formula>"未完成"</formula>
    </cfRule>
  </conditionalFormatting>
  <conditionalFormatting sqref="AL131:AL132">
    <cfRule type="cellIs" dxfId="0" priority="36" operator="equal">
      <formula>"未完成"</formula>
    </cfRule>
    <cfRule type="cellIs" dxfId="1" priority="35" operator="equal">
      <formula>"未完成"</formula>
    </cfRule>
  </conditionalFormatting>
  <conditionalFormatting sqref="AL133:AL134">
    <cfRule type="cellIs" dxfId="0" priority="16" operator="equal">
      <formula>"未完成"</formula>
    </cfRule>
    <cfRule type="cellIs" dxfId="1" priority="15" operator="equal">
      <formula>"未完成"</formula>
    </cfRule>
  </conditionalFormatting>
  <conditionalFormatting sqref="AM131:AM132">
    <cfRule type="cellIs" dxfId="0" priority="34" operator="equal">
      <formula>"欠"</formula>
    </cfRule>
  </conditionalFormatting>
  <conditionalFormatting sqref="AM133:AM134">
    <cfRule type="cellIs" dxfId="0" priority="14" operator="equal">
      <formula>"欠"</formula>
    </cfRule>
  </conditionalFormatting>
  <conditionalFormatting sqref="AC1 W1:X1">
    <cfRule type="cellIs" dxfId="0" priority="2528" operator="equal">
      <formula>"欠"</formula>
    </cfRule>
  </conditionalFormatting>
  <conditionalFormatting sqref="R2 T2:U2">
    <cfRule type="cellIs" dxfId="0" priority="1286" operator="equal">
      <formula>"欠"</formula>
    </cfRule>
  </conditionalFormatting>
  <conditionalFormatting sqref="T7:U8">
    <cfRule type="cellIs" dxfId="0" priority="1254" operator="equal">
      <formula>"欠"</formula>
    </cfRule>
  </conditionalFormatting>
  <conditionalFormatting sqref="AH7:AI8">
    <cfRule type="cellIs" dxfId="0" priority="1253" operator="equal">
      <formula>"未完成"</formula>
    </cfRule>
    <cfRule type="cellIs" dxfId="1" priority="1252" operator="equal">
      <formula>"未完成"</formula>
    </cfRule>
  </conditionalFormatting>
  <conditionalFormatting sqref="AH13:AI16">
    <cfRule type="cellIs" dxfId="0" priority="1216" operator="equal">
      <formula>"未完成"</formula>
    </cfRule>
    <cfRule type="cellIs" dxfId="1" priority="1215" operator="equal">
      <formula>"未完成"</formula>
    </cfRule>
  </conditionalFormatting>
  <conditionalFormatting sqref="T21:U22">
    <cfRule type="cellIs" dxfId="0" priority="1189" operator="equal">
      <formula>"欠"</formula>
    </cfRule>
  </conditionalFormatting>
  <conditionalFormatting sqref="AH21:AI22">
    <cfRule type="cellIs" dxfId="0" priority="1194" operator="equal">
      <formula>"未完成"</formula>
    </cfRule>
    <cfRule type="cellIs" dxfId="1" priority="1193" operator="equal">
      <formula>"未完成"</formula>
    </cfRule>
  </conditionalFormatting>
  <conditionalFormatting sqref="U24:W25">
    <cfRule type="cellIs" dxfId="0" priority="1171" operator="equal">
      <formula>"欠"</formula>
    </cfRule>
  </conditionalFormatting>
  <conditionalFormatting sqref="AJ24:AK25">
    <cfRule type="cellIs" dxfId="0" priority="1176" operator="equal">
      <formula>"未完成"</formula>
    </cfRule>
    <cfRule type="cellIs" dxfId="1" priority="1175" operator="equal">
      <formula>"未完成"</formula>
    </cfRule>
  </conditionalFormatting>
  <conditionalFormatting sqref="T26:U27">
    <cfRule type="cellIs" dxfId="0" priority="1165" operator="equal">
      <formula>"欠"</formula>
    </cfRule>
  </conditionalFormatting>
  <conditionalFormatting sqref="AH26:AI27">
    <cfRule type="cellIs" dxfId="0" priority="1169" operator="equal">
      <formula>"未完成"</formula>
    </cfRule>
    <cfRule type="cellIs" dxfId="1" priority="1168" operator="equal">
      <formula>"未完成"</formula>
    </cfRule>
  </conditionalFormatting>
  <conditionalFormatting sqref="T28:U29">
    <cfRule type="cellIs" dxfId="0" priority="1155" operator="equal">
      <formula>"欠"</formula>
    </cfRule>
  </conditionalFormatting>
  <conditionalFormatting sqref="AH28:AI29">
    <cfRule type="cellIs" dxfId="0" priority="1159" operator="equal">
      <formula>"未完成"</formula>
    </cfRule>
    <cfRule type="cellIs" dxfId="1" priority="1158" operator="equal">
      <formula>"未完成"</formula>
    </cfRule>
  </conditionalFormatting>
  <conditionalFormatting sqref="U30:W31">
    <cfRule type="cellIs" dxfId="0" priority="1144" operator="equal">
      <formula>"欠"</formula>
    </cfRule>
  </conditionalFormatting>
  <conditionalFormatting sqref="AJ30:AK31">
    <cfRule type="cellIs" dxfId="0" priority="1149" operator="equal">
      <formula>"未完成"</formula>
    </cfRule>
    <cfRule type="cellIs" dxfId="1" priority="1148" operator="equal">
      <formula>"未完成"</formula>
    </cfRule>
  </conditionalFormatting>
  <conditionalFormatting sqref="U32:W33">
    <cfRule type="cellIs" dxfId="0" priority="1137" operator="equal">
      <formula>"欠"</formula>
    </cfRule>
  </conditionalFormatting>
  <conditionalFormatting sqref="AJ32:AK33">
    <cfRule type="cellIs" dxfId="0" priority="1142" operator="equal">
      <formula>"未完成"</formula>
    </cfRule>
    <cfRule type="cellIs" dxfId="1" priority="1141" operator="equal">
      <formula>"未完成"</formula>
    </cfRule>
  </conditionalFormatting>
  <conditionalFormatting sqref="T34:U35">
    <cfRule type="cellIs" dxfId="0" priority="1134" operator="equal">
      <formula>"欠"</formula>
    </cfRule>
  </conditionalFormatting>
  <conditionalFormatting sqref="AH34:AI35">
    <cfRule type="cellIs" dxfId="0" priority="1133" operator="equal">
      <formula>"未完成"</formula>
    </cfRule>
    <cfRule type="cellIs" dxfId="1" priority="1132" operator="equal">
      <formula>"未完成"</formula>
    </cfRule>
  </conditionalFormatting>
  <conditionalFormatting sqref="U36:W37">
    <cfRule type="cellIs" dxfId="0" priority="1120" operator="equal">
      <formula>"欠"</formula>
    </cfRule>
  </conditionalFormatting>
  <conditionalFormatting sqref="AJ36:AK37">
    <cfRule type="cellIs" dxfId="0" priority="1125" operator="equal">
      <formula>"未完成"</formula>
    </cfRule>
    <cfRule type="cellIs" dxfId="1" priority="1124" operator="equal">
      <formula>"未完成"</formula>
    </cfRule>
  </conditionalFormatting>
  <conditionalFormatting sqref="T38:U39">
    <cfRule type="cellIs" dxfId="0" priority="1114" operator="equal">
      <formula>"欠"</formula>
    </cfRule>
  </conditionalFormatting>
  <conditionalFormatting sqref="AE38:AF39">
    <cfRule type="cellIs" dxfId="0" priority="1118" operator="equal">
      <formula>"未完成"</formula>
    </cfRule>
    <cfRule type="cellIs" dxfId="1" priority="1117" operator="equal">
      <formula>"未完成"</formula>
    </cfRule>
  </conditionalFormatting>
  <conditionalFormatting sqref="AH38:AI39">
    <cfRule type="cellIs" dxfId="0" priority="1113" operator="equal">
      <formula>"未完成"</formula>
    </cfRule>
    <cfRule type="cellIs" dxfId="1" priority="1112" operator="equal">
      <formula>"未完成"</formula>
    </cfRule>
  </conditionalFormatting>
  <conditionalFormatting sqref="U40:W41">
    <cfRule type="cellIs" dxfId="0" priority="1101" operator="equal">
      <formula>"欠"</formula>
    </cfRule>
  </conditionalFormatting>
  <conditionalFormatting sqref="AJ40:AK41">
    <cfRule type="cellIs" dxfId="0" priority="1106" operator="equal">
      <formula>"未完成"</formula>
    </cfRule>
    <cfRule type="cellIs" dxfId="1" priority="1105" operator="equal">
      <formula>"未完成"</formula>
    </cfRule>
  </conditionalFormatting>
  <conditionalFormatting sqref="T42:U43">
    <cfRule type="cellIs" dxfId="0" priority="1095" operator="equal">
      <formula>"欠"</formula>
    </cfRule>
  </conditionalFormatting>
  <conditionalFormatting sqref="AE42:AF43">
    <cfRule type="cellIs" dxfId="0" priority="1099" operator="equal">
      <formula>"未完成"</formula>
    </cfRule>
    <cfRule type="cellIs" dxfId="1" priority="1098" operator="equal">
      <formula>"未完成"</formula>
    </cfRule>
  </conditionalFormatting>
  <conditionalFormatting sqref="AH42:AI43">
    <cfRule type="cellIs" dxfId="0" priority="1094" operator="equal">
      <formula>"未完成"</formula>
    </cfRule>
    <cfRule type="cellIs" dxfId="1" priority="1093" operator="equal">
      <formula>"未完成"</formula>
    </cfRule>
  </conditionalFormatting>
  <conditionalFormatting sqref="U44:W44 U45">
    <cfRule type="cellIs" dxfId="0" priority="1081" operator="equal">
      <formula>"欠"</formula>
    </cfRule>
  </conditionalFormatting>
  <conditionalFormatting sqref="AJ44:AK45">
    <cfRule type="cellIs" dxfId="0" priority="1087" operator="equal">
      <formula>"未完成"</formula>
    </cfRule>
    <cfRule type="cellIs" dxfId="1" priority="1086" operator="equal">
      <formula>"未完成"</formula>
    </cfRule>
  </conditionalFormatting>
  <conditionalFormatting sqref="T46:U47">
    <cfRule type="cellIs" dxfId="0" priority="1075" operator="equal">
      <formula>"欠"</formula>
    </cfRule>
  </conditionalFormatting>
  <conditionalFormatting sqref="AE46:AF47">
    <cfRule type="cellIs" dxfId="0" priority="1079" operator="equal">
      <formula>"未完成"</formula>
    </cfRule>
    <cfRule type="cellIs" dxfId="1" priority="1078" operator="equal">
      <formula>"未完成"</formula>
    </cfRule>
  </conditionalFormatting>
  <conditionalFormatting sqref="AH46:AI47">
    <cfRule type="cellIs" dxfId="0" priority="1074" operator="equal">
      <formula>"未完成"</formula>
    </cfRule>
    <cfRule type="cellIs" dxfId="1" priority="1073" operator="equal">
      <formula>"未完成"</formula>
    </cfRule>
  </conditionalFormatting>
  <conditionalFormatting sqref="T48:U49">
    <cfRule type="cellIs" dxfId="0" priority="1063" operator="equal">
      <formula>"欠"</formula>
    </cfRule>
  </conditionalFormatting>
  <conditionalFormatting sqref="U50:V51">
    <cfRule type="cellIs" dxfId="0" priority="1049" operator="equal">
      <formula>"欠"</formula>
    </cfRule>
  </conditionalFormatting>
  <conditionalFormatting sqref="AJ50:AK51">
    <cfRule type="cellIs" dxfId="0" priority="1054" operator="equal">
      <formula>"未完成"</formula>
    </cfRule>
    <cfRule type="cellIs" dxfId="1" priority="1053" operator="equal">
      <formula>"未完成"</formula>
    </cfRule>
  </conditionalFormatting>
  <conditionalFormatting sqref="R55:R56 T55:T56">
    <cfRule type="cellIs" dxfId="0" priority="1011" operator="equal">
      <formula>"欠"</formula>
    </cfRule>
    <cfRule type="containsText" dxfId="0" priority="1007" operator="between" text="欠">
      <formula>NOT(ISERROR(SEARCH("欠",R55)))</formula>
    </cfRule>
  </conditionalFormatting>
  <conditionalFormatting sqref="S57:T58">
    <cfRule type="cellIs" dxfId="0" priority="1001" operator="equal">
      <formula>"欠"</formula>
    </cfRule>
  </conditionalFormatting>
  <conditionalFormatting sqref="R59 T59">
    <cfRule type="containsText" dxfId="0" priority="986" operator="between" text="欠">
      <formula>NOT(ISERROR(SEARCH("欠",R59)))</formula>
    </cfRule>
  </conditionalFormatting>
  <conditionalFormatting sqref="R62 U62">
    <cfRule type="cellIs" dxfId="0" priority="960" operator="equal">
      <formula>"欠"</formula>
    </cfRule>
  </conditionalFormatting>
  <conditionalFormatting sqref="T62 R62">
    <cfRule type="containsText" dxfId="0" priority="958" operator="between" text="欠">
      <formula>NOT(ISERROR(SEARCH("欠",R62)))</formula>
    </cfRule>
  </conditionalFormatting>
  <conditionalFormatting sqref="T71:T72 R71:R72">
    <cfRule type="containsText" dxfId="0" priority="874" operator="between" text="欠">
      <formula>NOT(ISERROR(SEARCH("欠",R71)))</formula>
    </cfRule>
  </conditionalFormatting>
  <conditionalFormatting sqref="AH71:AI72">
    <cfRule type="cellIs" dxfId="0" priority="868" operator="equal">
      <formula>"未完成"</formula>
    </cfRule>
    <cfRule type="cellIs" dxfId="1" priority="867" operator="equal">
      <formula>"未完成"</formula>
    </cfRule>
  </conditionalFormatting>
  <conditionalFormatting sqref="T73 R73">
    <cfRule type="containsText" dxfId="0" priority="862" operator="between" text="欠">
      <formula>NOT(ISERROR(SEARCH("欠",R73)))</formula>
    </cfRule>
  </conditionalFormatting>
  <conditionalFormatting sqref="R74 T74">
    <cfRule type="containsText" dxfId="0" priority="849" operator="between" text="欠">
      <formula>NOT(ISERROR(SEARCH("欠",R74)))</formula>
    </cfRule>
  </conditionalFormatting>
  <conditionalFormatting sqref="R75:T76">
    <cfRule type="cellIs" dxfId="0" priority="841" operator="equal">
      <formula>"欠"</formula>
    </cfRule>
  </conditionalFormatting>
  <conditionalFormatting sqref="R75:R76 T75:T76">
    <cfRule type="containsText" dxfId="0" priority="839" operator="between" text="欠">
      <formula>NOT(ISERROR(SEARCH("欠",R75)))</formula>
    </cfRule>
  </conditionalFormatting>
  <conditionalFormatting sqref="AH75:AI76">
    <cfRule type="cellIs" dxfId="0" priority="835" operator="equal">
      <formula>"未完成"</formula>
    </cfRule>
    <cfRule type="cellIs" dxfId="1" priority="834" operator="equal">
      <formula>"未完成"</formula>
    </cfRule>
  </conditionalFormatting>
  <conditionalFormatting sqref="R77:T78">
    <cfRule type="cellIs" dxfId="0" priority="831" operator="equal">
      <formula>"欠"</formula>
    </cfRule>
  </conditionalFormatting>
  <conditionalFormatting sqref="T77:T78 R77:R78">
    <cfRule type="containsText" dxfId="0" priority="829" operator="between" text="欠">
      <formula>NOT(ISERROR(SEARCH("欠",R77)))</formula>
    </cfRule>
  </conditionalFormatting>
  <conditionalFormatting sqref="AH77:AI78">
    <cfRule type="cellIs" dxfId="0" priority="828" operator="equal">
      <formula>"未完成"</formula>
    </cfRule>
    <cfRule type="cellIs" dxfId="1" priority="827" operator="equal">
      <formula>"未完成"</formula>
    </cfRule>
  </conditionalFormatting>
  <conditionalFormatting sqref="T79 R79">
    <cfRule type="containsText" dxfId="0" priority="819" operator="between" text="欠">
      <formula>NOT(ISERROR(SEARCH("欠",R79)))</formula>
    </cfRule>
  </conditionalFormatting>
  <conditionalFormatting sqref="T80 R80">
    <cfRule type="containsText" dxfId="0" priority="809" operator="between" text="欠">
      <formula>NOT(ISERROR(SEARCH("欠",R80)))</formula>
    </cfRule>
  </conditionalFormatting>
  <conditionalFormatting sqref="R88 T88">
    <cfRule type="containsText" dxfId="0" priority="663" operator="between" text="欠">
      <formula>NOT(ISERROR(SEARCH("欠",R88)))</formula>
    </cfRule>
  </conditionalFormatting>
  <conditionalFormatting sqref="T90 R90">
    <cfRule type="containsText" dxfId="0" priority="638" operator="between" text="欠">
      <formula>NOT(ISERROR(SEARCH("欠",R90)))</formula>
    </cfRule>
  </conditionalFormatting>
  <conditionalFormatting sqref="T91 R91">
    <cfRule type="containsText" dxfId="0" priority="627" operator="between" text="欠">
      <formula>NOT(ISERROR(SEARCH("欠",R91)))</formula>
    </cfRule>
  </conditionalFormatting>
  <conditionalFormatting sqref="R92 T92">
    <cfRule type="containsText" dxfId="0" priority="595" operator="between" text="欠">
      <formula>NOT(ISERROR(SEARCH("欠",R92)))</formula>
    </cfRule>
  </conditionalFormatting>
  <conditionalFormatting sqref="T94 R94">
    <cfRule type="containsText" dxfId="0" priority="605" operator="between" text="欠">
      <formula>NOT(ISERROR(SEARCH("欠",R94)))</formula>
    </cfRule>
  </conditionalFormatting>
  <conditionalFormatting sqref="AD97:AE98">
    <cfRule type="cellIs" dxfId="0" priority="562" operator="equal">
      <formula>"未完成"</formula>
    </cfRule>
  </conditionalFormatting>
  <conditionalFormatting sqref="AI97:AJ98">
    <cfRule type="cellIs" dxfId="0" priority="560" operator="equal">
      <formula>"未完成"</formula>
    </cfRule>
    <cfRule type="cellIs" dxfId="1" priority="559" operator="equal">
      <formula>"未完成"</formula>
    </cfRule>
  </conditionalFormatting>
  <conditionalFormatting sqref="R111 T111">
    <cfRule type="containsText" dxfId="0" priority="410" operator="between" text="欠">
      <formula>NOT(ISERROR(SEARCH("欠",R111)))</formula>
    </cfRule>
  </conditionalFormatting>
  <conditionalFormatting sqref="R112:R113 T112:T113">
    <cfRule type="containsText" dxfId="0" priority="378" operator="between" text="欠">
      <formula>NOT(ISERROR(SEARCH("欠",R112)))</formula>
    </cfRule>
  </conditionalFormatting>
  <conditionalFormatting sqref="R114:R115 T114:T115">
    <cfRule type="containsText" dxfId="0" priority="344" operator="between" text="欠">
      <formula>NOT(ISERROR(SEARCH("欠",R114)))</formula>
    </cfRule>
  </conditionalFormatting>
  <conditionalFormatting sqref="R116 T116">
    <cfRule type="containsText" dxfId="0" priority="317" operator="between" text="欠">
      <formula>NOT(ISERROR(SEARCH("欠",R116)))</formula>
    </cfRule>
  </conditionalFormatting>
  <conditionalFormatting sqref="R117:R118 T117:T118">
    <cfRule type="containsText" dxfId="0" priority="297" operator="between" text="欠">
      <formula>NOT(ISERROR(SEARCH("欠",R117)))</formula>
    </cfRule>
  </conditionalFormatting>
  <conditionalFormatting sqref="R127 T127:U127">
    <cfRule type="containsText" dxfId="0" priority="127" operator="between" text="欠">
      <formula>NOT(ISERROR(SEARCH("欠",R127)))</formula>
    </cfRule>
  </conditionalFormatting>
  <conditionalFormatting sqref="R131 T131:U131 R132 T132:U132">
    <cfRule type="containsText" dxfId="0" priority="39" operator="between" text="欠">
      <formula>NOT(ISERROR(SEARCH("欠",R131)))</formula>
    </cfRule>
  </conditionalFormatting>
  <conditionalFormatting sqref="T131:U132">
    <cfRule type="cellIs" dxfId="0" priority="31" operator="equal">
      <formula>"欠"</formula>
    </cfRule>
    <cfRule type="containsText" dxfId="0" priority="29" operator="between" text="欠">
      <formula>NOT(ISERROR(SEARCH("欠",T131)))</formula>
    </cfRule>
    <cfRule type="containsText" dxfId="3" priority="21" operator="between" text="欠">
      <formula>NOT(ISERROR(SEARCH("欠",T131)))</formula>
    </cfRule>
  </conditionalFormatting>
  <conditionalFormatting sqref="R133:R134 T133:U134">
    <cfRule type="containsText" dxfId="0" priority="19" operator="between" text="欠">
      <formula>NOT(ISERROR(SEARCH("欠",R133)))</formula>
    </cfRule>
  </conditionalFormatting>
  <conditionalFormatting sqref="T133:U134">
    <cfRule type="containsText" dxfId="3" priority="2" operator="between" text="欠">
      <formula>NOT(ISERROR(SEARCH("欠",T133)))</formula>
    </cfRule>
  </conditionalFormatting>
  <dataValidations count="1">
    <dataValidation type="list" allowBlank="1" showInputMessage="1" showErrorMessage="1" sqref="AF54 AD59 AD62 AE84:AF84 AE87:AF87 AG93 AF123:AG123 AF124 AD2:AD10 AD13:AD16 AD21:AD23 AD26:AD29 AD34:AD35 AD38:AD39 AD42:AD43 AD46:AD49 AD52:AD53 AD55:AD56 AD66:AD67 AD75:AD80 AE95:AE96 AF11:AF12 AF17:AF20 AF24:AF25 AF30:AF33 AF36:AF37 AF40:AF41 AF44:AF45 AF50:AF51 AF88:AF89 AF109:AF118 AH120:AH122 AE99:AF108 AF85:AG86 AF125:AG126 AG128:AH130">
      <formula1>"未完成,已完成,OK"</formula1>
    </dataValidation>
  </dataValidations>
  <pageMargins left="0.75" right="0.75" top="1" bottom="1" header="0.5" footer="0.5"/>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4"/>
  <sheetViews>
    <sheetView zoomScale="85" zoomScaleNormal="85" topLeftCell="Y432" workbookViewId="0">
      <selection activeCell="Y432" sqref="Y432:AB432"/>
    </sheetView>
  </sheetViews>
  <sheetFormatPr defaultColWidth="9" defaultRowHeight="13.5"/>
  <cols>
    <col min="1" max="1" width="25.125" customWidth="1"/>
    <col min="7" max="7" width="23.275" customWidth="1"/>
    <col min="8" max="8" width="25.8916666666667" customWidth="1"/>
    <col min="11" max="11" width="15.3" customWidth="1"/>
    <col min="12" max="12" width="16.6083333333333" customWidth="1"/>
  </cols>
  <sheetData>
    <row r="1" spans="1:13">
      <c r="A1" t="s">
        <v>11836</v>
      </c>
      <c r="B1">
        <f>VLOOKUP(A1,'77711半成品MA'!B5:C80,2,0)</f>
        <v>1585110</v>
      </c>
      <c r="C1">
        <v>1585110</v>
      </c>
      <c r="G1" t="s">
        <v>11836</v>
      </c>
      <c r="H1">
        <f>IF(A1=G1,1,0)</f>
        <v>1</v>
      </c>
      <c r="I1">
        <v>1585110</v>
      </c>
      <c r="K1" s="1" t="s">
        <v>11836</v>
      </c>
      <c r="L1">
        <f>_xlfn.XLOOKUP(K1,'77711半成品MA'!B7:B80,'77711半成品MA'!C7:C80)</f>
        <v>1585110</v>
      </c>
      <c r="M1">
        <v>1585110</v>
      </c>
    </row>
    <row r="2" spans="1:13">
      <c r="A2" t="s">
        <v>11839</v>
      </c>
      <c r="B2">
        <f>VLOOKUP(A2,'77711半成品MA'!B6:C81,2,0)</f>
        <v>949630</v>
      </c>
      <c r="C2">
        <v>949630</v>
      </c>
      <c r="G2" t="s">
        <v>11839</v>
      </c>
      <c r="H2">
        <f t="shared" ref="H2:H33" si="0">IF(A2=G2,1,0)</f>
        <v>1</v>
      </c>
      <c r="I2">
        <v>949630</v>
      </c>
      <c r="K2" s="1" t="s">
        <v>11839</v>
      </c>
      <c r="L2">
        <f>_xlfn.XLOOKUP(K2,'77711半成品MA'!B8:B81,'77711半成品MA'!C8:C81)</f>
        <v>949630</v>
      </c>
      <c r="M2">
        <v>949630</v>
      </c>
    </row>
    <row r="3" spans="1:13">
      <c r="A3" t="s">
        <v>11842</v>
      </c>
      <c r="B3">
        <f>VLOOKUP(A3,'77711半成品MA'!B7:C82,2,0)</f>
        <v>949630</v>
      </c>
      <c r="C3">
        <v>949630</v>
      </c>
      <c r="G3" t="s">
        <v>11842</v>
      </c>
      <c r="H3">
        <f t="shared" si="0"/>
        <v>1</v>
      </c>
      <c r="I3">
        <v>949630</v>
      </c>
      <c r="K3" s="1" t="s">
        <v>11842</v>
      </c>
      <c r="L3">
        <f>_xlfn.XLOOKUP(K3,'77711半成品MA'!B9:B82,'77711半成品MA'!C9:C82)</f>
        <v>949630</v>
      </c>
      <c r="M3">
        <v>949630</v>
      </c>
    </row>
    <row r="4" spans="1:13">
      <c r="A4" t="s">
        <v>11844</v>
      </c>
      <c r="B4">
        <f>VLOOKUP(A4,'77711半成品MA'!B8:C83,2,0)</f>
        <v>949630</v>
      </c>
      <c r="C4">
        <v>949630</v>
      </c>
      <c r="G4" t="s">
        <v>11851</v>
      </c>
      <c r="H4">
        <f t="shared" si="0"/>
        <v>0</v>
      </c>
      <c r="I4">
        <f>_xlfn.XLOOKUP(G4,A1:A64,C1:C64)</f>
        <v>733700</v>
      </c>
      <c r="K4" s="1" t="s">
        <v>11844</v>
      </c>
      <c r="L4">
        <f>_xlfn.XLOOKUP(K4,'77711半成品MA'!B10:B83,'77711半成品MA'!C10:C83)</f>
        <v>949630</v>
      </c>
      <c r="M4">
        <v>949630</v>
      </c>
    </row>
    <row r="5" spans="1:13">
      <c r="A5" t="s">
        <v>11845</v>
      </c>
      <c r="B5">
        <f>VLOOKUP(A5,'77711半成品MA'!B9:C84,2,0)</f>
        <v>1530180</v>
      </c>
      <c r="C5">
        <v>1530180</v>
      </c>
      <c r="G5" t="s">
        <v>11852</v>
      </c>
      <c r="H5">
        <f t="shared" si="0"/>
        <v>0</v>
      </c>
      <c r="I5">
        <f t="shared" ref="I5:I36" si="1">_xlfn.XLOOKUP(G5,A2:A65,C2:C65)</f>
        <v>1428210</v>
      </c>
      <c r="K5" s="1" t="s">
        <v>11845</v>
      </c>
      <c r="L5">
        <f>_xlfn.XLOOKUP(K5,'77711半成品MA'!B11:B84,'77711半成品MA'!C11:C84)</f>
        <v>1530180</v>
      </c>
      <c r="M5">
        <v>1530180</v>
      </c>
    </row>
    <row r="6" spans="1:13">
      <c r="A6" t="s">
        <v>11846</v>
      </c>
      <c r="B6">
        <f>VLOOKUP(A6,'77711半成品MA'!B10:C85,2,0)</f>
        <v>1555010</v>
      </c>
      <c r="C6">
        <v>1555010</v>
      </c>
      <c r="G6" t="s">
        <v>11853</v>
      </c>
      <c r="H6">
        <f t="shared" si="0"/>
        <v>0</v>
      </c>
      <c r="I6">
        <f t="shared" si="1"/>
        <v>3224990</v>
      </c>
      <c r="K6" s="1" t="s">
        <v>11846</v>
      </c>
      <c r="L6">
        <f>_xlfn.XLOOKUP(K6,'77711半成品MA'!B12:B85,'77711半成品MA'!C12:C85)</f>
        <v>1555010</v>
      </c>
      <c r="M6">
        <v>1555010</v>
      </c>
    </row>
    <row r="7" spans="1:13">
      <c r="A7" t="s">
        <v>11851</v>
      </c>
      <c r="B7">
        <f>VLOOKUP(A7,'77711半成品MA'!B11:C86,2,0)</f>
        <v>733700</v>
      </c>
      <c r="C7">
        <v>733700</v>
      </c>
      <c r="G7" t="s">
        <v>11854</v>
      </c>
      <c r="H7">
        <f t="shared" si="0"/>
        <v>0</v>
      </c>
      <c r="I7">
        <f t="shared" si="1"/>
        <v>3224990</v>
      </c>
      <c r="K7" s="1" t="s">
        <v>11847</v>
      </c>
      <c r="L7">
        <f>_xlfn.XLOOKUP(K7,'77711半成品MA'!B13:B86,'77711半成品MA'!C13:C86)</f>
        <v>919530</v>
      </c>
      <c r="M7">
        <v>919530</v>
      </c>
    </row>
    <row r="8" spans="1:13">
      <c r="A8" t="s">
        <v>11852</v>
      </c>
      <c r="B8">
        <f>VLOOKUP(A8,'77711半成品MA'!B12:C87,2,0)</f>
        <v>1428210</v>
      </c>
      <c r="C8">
        <v>1428210</v>
      </c>
      <c r="G8" t="s">
        <v>11855</v>
      </c>
      <c r="H8">
        <f t="shared" si="0"/>
        <v>0</v>
      </c>
      <c r="I8">
        <f t="shared" si="1"/>
        <v>3224990</v>
      </c>
      <c r="K8" s="1" t="s">
        <v>11848</v>
      </c>
      <c r="L8">
        <f>_xlfn.XLOOKUP(K8,'77711半成品MA'!B14:B87,'77711半成品MA'!C14:C87)</f>
        <v>919530</v>
      </c>
      <c r="M8">
        <v>919530</v>
      </c>
    </row>
    <row r="9" spans="1:13">
      <c r="A9" t="s">
        <v>11853</v>
      </c>
      <c r="B9">
        <f>VLOOKUP(A9,'77711半成品MA'!B13:C88,2,0)</f>
        <v>3224990</v>
      </c>
      <c r="C9">
        <v>3224990</v>
      </c>
      <c r="G9" t="s">
        <v>11856</v>
      </c>
      <c r="H9">
        <f t="shared" si="0"/>
        <v>0</v>
      </c>
      <c r="I9">
        <f t="shared" si="1"/>
        <v>3224990</v>
      </c>
      <c r="K9" s="1" t="s">
        <v>11849</v>
      </c>
      <c r="L9">
        <f>_xlfn.XLOOKUP(K9,'77711半成品MA'!B15:B88,'77711半成品MA'!C15:C88)</f>
        <v>864600</v>
      </c>
      <c r="M9">
        <v>864600</v>
      </c>
    </row>
    <row r="10" spans="1:13">
      <c r="A10" t="s">
        <v>11854</v>
      </c>
      <c r="B10">
        <f>VLOOKUP(A10,'77711半成品MA'!B14:C89,2,0)</f>
        <v>3224990</v>
      </c>
      <c r="C10">
        <v>3224990</v>
      </c>
      <c r="G10" t="s">
        <v>11857</v>
      </c>
      <c r="H10">
        <f t="shared" si="0"/>
        <v>0</v>
      </c>
      <c r="I10">
        <f t="shared" si="1"/>
        <v>3411400</v>
      </c>
      <c r="K10" s="1" t="s">
        <v>11850</v>
      </c>
      <c r="L10">
        <f>_xlfn.XLOOKUP(K10,'77711半成品MA'!B16:B89,'77711半成品MA'!C16:C89)</f>
        <v>733700</v>
      </c>
      <c r="M10">
        <v>733700</v>
      </c>
    </row>
    <row r="11" spans="1:13">
      <c r="A11" t="s">
        <v>11855</v>
      </c>
      <c r="B11">
        <f>VLOOKUP(A11,'77711半成品MA'!B15:C90,2,0)</f>
        <v>3224990</v>
      </c>
      <c r="C11">
        <v>3224990</v>
      </c>
      <c r="G11" t="s">
        <v>11858</v>
      </c>
      <c r="H11">
        <f t="shared" si="0"/>
        <v>0</v>
      </c>
      <c r="I11">
        <f t="shared" si="1"/>
        <v>3412200</v>
      </c>
      <c r="K11" s="1" t="s">
        <v>11851</v>
      </c>
      <c r="L11">
        <f>_xlfn.XLOOKUP(K11,'77711半成品MA'!B17:B90,'77711半成品MA'!C17:C90)</f>
        <v>733700</v>
      </c>
      <c r="M11">
        <v>733700</v>
      </c>
    </row>
    <row r="12" spans="1:13">
      <c r="A12" t="s">
        <v>11856</v>
      </c>
      <c r="B12">
        <f>VLOOKUP(A12,'77711半成品MA'!B16:C91,2,0)</f>
        <v>3224990</v>
      </c>
      <c r="C12">
        <v>3224990</v>
      </c>
      <c r="G12" t="s">
        <v>11859</v>
      </c>
      <c r="H12">
        <f t="shared" si="0"/>
        <v>0</v>
      </c>
      <c r="I12">
        <f t="shared" si="1"/>
        <v>3414900</v>
      </c>
      <c r="K12" s="1" t="s">
        <v>11852</v>
      </c>
      <c r="L12">
        <f>_xlfn.XLOOKUP(K12,'77711半成品MA'!B18:B91,'77711半成品MA'!C18:C91)</f>
        <v>1428210</v>
      </c>
      <c r="M12">
        <v>1428210</v>
      </c>
    </row>
    <row r="13" spans="1:13">
      <c r="A13" t="s">
        <v>11857</v>
      </c>
      <c r="B13">
        <f>VLOOKUP(A13,'77711半成品MA'!B17:C92,2,0)</f>
        <v>3411400</v>
      </c>
      <c r="C13">
        <v>3411400</v>
      </c>
      <c r="G13" t="s">
        <v>11861</v>
      </c>
      <c r="H13">
        <f t="shared" si="0"/>
        <v>0</v>
      </c>
      <c r="I13">
        <f t="shared" si="1"/>
        <v>3414900</v>
      </c>
      <c r="K13" s="1" t="s">
        <v>11853</v>
      </c>
      <c r="L13">
        <f>_xlfn.XLOOKUP(K13,'77711半成品MA'!B19:B92,'77711半成品MA'!C19:C92)</f>
        <v>3224990</v>
      </c>
      <c r="M13">
        <v>3224990</v>
      </c>
    </row>
    <row r="14" spans="1:13">
      <c r="A14" t="s">
        <v>11858</v>
      </c>
      <c r="B14">
        <f>VLOOKUP(A14,'77711半成品MA'!B18:C93,2,0)</f>
        <v>3412200</v>
      </c>
      <c r="C14">
        <v>3412200</v>
      </c>
      <c r="G14" t="s">
        <v>11862</v>
      </c>
      <c r="H14">
        <f t="shared" si="0"/>
        <v>0</v>
      </c>
      <c r="I14">
        <f t="shared" si="1"/>
        <v>3664760</v>
      </c>
      <c r="K14" s="1" t="s">
        <v>11854</v>
      </c>
      <c r="L14">
        <f>_xlfn.XLOOKUP(K14,'77711半成品MA'!B20:B93,'77711半成品MA'!C20:C93)</f>
        <v>3224990</v>
      </c>
      <c r="M14">
        <v>3224990</v>
      </c>
    </row>
    <row r="15" spans="1:13">
      <c r="A15" t="s">
        <v>11859</v>
      </c>
      <c r="B15">
        <f>VLOOKUP(A15,'77711半成品MA'!B19:C94,2,0)</f>
        <v>3414900</v>
      </c>
      <c r="C15">
        <v>3414900</v>
      </c>
      <c r="G15" t="s">
        <v>11863</v>
      </c>
      <c r="H15">
        <f t="shared" si="0"/>
        <v>0</v>
      </c>
      <c r="I15">
        <f t="shared" si="1"/>
        <v>3664760</v>
      </c>
      <c r="K15" s="1" t="s">
        <v>11855</v>
      </c>
      <c r="L15">
        <f>_xlfn.XLOOKUP(K15,'77711半成品MA'!B21:B94,'77711半成品MA'!C21:C94)</f>
        <v>3224990</v>
      </c>
      <c r="M15">
        <v>3224990</v>
      </c>
    </row>
    <row r="16" spans="1:13">
      <c r="A16" t="s">
        <v>11861</v>
      </c>
      <c r="B16">
        <f>VLOOKUP(A16,'77711半成品MA'!B20:C95,2,0)</f>
        <v>3414900</v>
      </c>
      <c r="C16">
        <v>3414900</v>
      </c>
      <c r="G16" t="s">
        <v>11864</v>
      </c>
      <c r="H16">
        <f t="shared" si="0"/>
        <v>0</v>
      </c>
      <c r="I16">
        <f t="shared" si="1"/>
        <v>3664760</v>
      </c>
      <c r="K16" s="1" t="s">
        <v>11856</v>
      </c>
      <c r="L16">
        <f>_xlfn.XLOOKUP(K16,'77711半成品MA'!B22:B95,'77711半成品MA'!C22:C95)</f>
        <v>3224990</v>
      </c>
      <c r="M16">
        <v>3224990</v>
      </c>
    </row>
    <row r="17" spans="1:13">
      <c r="A17" t="s">
        <v>11862</v>
      </c>
      <c r="B17">
        <f>VLOOKUP(A17,'77711半成品MA'!B21:C96,2,0)</f>
        <v>3664760</v>
      </c>
      <c r="C17">
        <v>3664760</v>
      </c>
      <c r="G17" t="s">
        <v>11865</v>
      </c>
      <c r="H17">
        <f t="shared" si="0"/>
        <v>0</v>
      </c>
      <c r="I17">
        <f t="shared" si="1"/>
        <v>3664760</v>
      </c>
      <c r="K17" s="1" t="s">
        <v>11857</v>
      </c>
      <c r="L17">
        <f>_xlfn.XLOOKUP(K17,'77711半成品MA'!B23:B96,'77711半成品MA'!C23:C96)</f>
        <v>3411400</v>
      </c>
      <c r="M17">
        <v>3411400</v>
      </c>
    </row>
    <row r="18" spans="1:13">
      <c r="A18" t="s">
        <v>11863</v>
      </c>
      <c r="B18">
        <f>VLOOKUP(A18,'77711半成品MA'!B22:C97,2,0)</f>
        <v>3664760</v>
      </c>
      <c r="C18">
        <v>3664760</v>
      </c>
      <c r="G18" t="s">
        <v>11866</v>
      </c>
      <c r="H18">
        <f t="shared" si="0"/>
        <v>0</v>
      </c>
      <c r="I18">
        <f t="shared" si="1"/>
        <v>1474830</v>
      </c>
      <c r="K18" s="1" t="s">
        <v>11858</v>
      </c>
      <c r="L18">
        <f>_xlfn.XLOOKUP(K18,'77711半成品MA'!B24:B97,'77711半成品MA'!C24:C97)</f>
        <v>3412200</v>
      </c>
      <c r="M18">
        <v>3412200</v>
      </c>
    </row>
    <row r="19" spans="1:13">
      <c r="A19" t="s">
        <v>11864</v>
      </c>
      <c r="B19">
        <f>VLOOKUP(A19,'77711半成品MA'!B23:C98,2,0)</f>
        <v>3664760</v>
      </c>
      <c r="C19">
        <v>3664760</v>
      </c>
      <c r="G19" t="s">
        <v>11868</v>
      </c>
      <c r="H19">
        <f t="shared" si="0"/>
        <v>0</v>
      </c>
      <c r="I19">
        <f t="shared" si="1"/>
        <v>1080830</v>
      </c>
      <c r="K19" s="1" t="s">
        <v>11859</v>
      </c>
      <c r="L19">
        <f>_xlfn.XLOOKUP(K19,'77711半成品MA'!B25:B98,'77711半成品MA'!C25:C98)</f>
        <v>3414900</v>
      </c>
      <c r="M19">
        <v>3414900</v>
      </c>
    </row>
    <row r="20" spans="1:13">
      <c r="A20" t="s">
        <v>11865</v>
      </c>
      <c r="B20">
        <f>VLOOKUP(A20,'77711半成品MA'!B24:C99,2,0)</f>
        <v>3664760</v>
      </c>
      <c r="C20">
        <v>3664760</v>
      </c>
      <c r="G20" t="s">
        <v>11869</v>
      </c>
      <c r="H20">
        <f t="shared" si="0"/>
        <v>0</v>
      </c>
      <c r="I20">
        <f t="shared" si="1"/>
        <v>636520</v>
      </c>
      <c r="K20" s="1" t="s">
        <v>11861</v>
      </c>
      <c r="L20">
        <f>_xlfn.XLOOKUP(K20,'77711半成品MA'!B26:B99,'77711半成品MA'!C26:C99)</f>
        <v>3414900</v>
      </c>
      <c r="M20">
        <v>3414900</v>
      </c>
    </row>
    <row r="21" spans="1:13">
      <c r="A21" t="s">
        <v>11866</v>
      </c>
      <c r="B21">
        <f>VLOOKUP(A21,'77711半成品MA'!B25:C100,2,0)</f>
        <v>1474830</v>
      </c>
      <c r="C21">
        <v>1474830</v>
      </c>
      <c r="G21" t="s">
        <v>11871</v>
      </c>
      <c r="H21">
        <f t="shared" si="0"/>
        <v>0</v>
      </c>
      <c r="I21">
        <f t="shared" si="1"/>
        <v>663220</v>
      </c>
      <c r="K21" s="1" t="s">
        <v>11862</v>
      </c>
      <c r="L21">
        <f>_xlfn.XLOOKUP(K21,'77711半成品MA'!B27:B100,'77711半成品MA'!C27:C100)</f>
        <v>3664760</v>
      </c>
      <c r="M21">
        <v>3664760</v>
      </c>
    </row>
    <row r="22" spans="1:13">
      <c r="A22" t="s">
        <v>11868</v>
      </c>
      <c r="B22">
        <f>VLOOKUP(A22,'77711半成品MA'!B26:C101,2,0)</f>
        <v>1080830</v>
      </c>
      <c r="C22">
        <v>1080830</v>
      </c>
      <c r="G22" t="s">
        <v>11876</v>
      </c>
      <c r="H22">
        <f t="shared" si="0"/>
        <v>0</v>
      </c>
      <c r="I22">
        <f t="shared" si="1"/>
        <v>1203370</v>
      </c>
      <c r="K22" s="1" t="s">
        <v>11863</v>
      </c>
      <c r="L22">
        <f>_xlfn.XLOOKUP(K22,'77711半成品MA'!B28:B101,'77711半成品MA'!C28:C101)</f>
        <v>3664760</v>
      </c>
      <c r="M22">
        <v>3664760</v>
      </c>
    </row>
    <row r="23" spans="1:13">
      <c r="A23" t="s">
        <v>11869</v>
      </c>
      <c r="B23">
        <f>VLOOKUP(A23,'77711半成品MA'!B27:C102,2,0)</f>
        <v>636520</v>
      </c>
      <c r="C23">
        <v>636520</v>
      </c>
      <c r="G23" t="s">
        <v>11877</v>
      </c>
      <c r="H23">
        <f t="shared" si="0"/>
        <v>0</v>
      </c>
      <c r="I23">
        <f t="shared" si="1"/>
        <v>1203370</v>
      </c>
      <c r="K23" s="1" t="s">
        <v>11864</v>
      </c>
      <c r="L23">
        <f>_xlfn.XLOOKUP(K23,'77711半成品MA'!B29:B102,'77711半成品MA'!C29:C102)</f>
        <v>3664760</v>
      </c>
      <c r="M23">
        <v>3664760</v>
      </c>
    </row>
    <row r="24" spans="1:13">
      <c r="A24" t="s">
        <v>11871</v>
      </c>
      <c r="B24">
        <f>VLOOKUP(A24,'77711半成品MA'!B28:C103,2,0)</f>
        <v>663220</v>
      </c>
      <c r="C24">
        <v>663220</v>
      </c>
      <c r="G24" t="s">
        <v>11881</v>
      </c>
      <c r="H24">
        <f t="shared" si="0"/>
        <v>0</v>
      </c>
      <c r="I24">
        <f t="shared" si="1"/>
        <v>663220</v>
      </c>
      <c r="K24" s="1" t="s">
        <v>11865</v>
      </c>
      <c r="L24">
        <f>_xlfn.XLOOKUP(K24,'77711半成品MA'!B30:B103,'77711半成品MA'!C30:C103)</f>
        <v>3664760</v>
      </c>
      <c r="M24">
        <v>3664760</v>
      </c>
    </row>
    <row r="25" spans="1:13">
      <c r="A25" t="s">
        <v>11872</v>
      </c>
      <c r="B25">
        <f>VLOOKUP(A25,'77711半成品MA'!B29:C104,2,0)</f>
        <v>476590</v>
      </c>
      <c r="C25">
        <v>476590</v>
      </c>
      <c r="G25" t="s">
        <v>11884</v>
      </c>
      <c r="H25">
        <f t="shared" si="0"/>
        <v>0</v>
      </c>
      <c r="I25">
        <f t="shared" si="1"/>
        <v>816780</v>
      </c>
      <c r="K25" s="1" t="s">
        <v>11866</v>
      </c>
      <c r="L25">
        <f>_xlfn.XLOOKUP(K25,'77711半成品MA'!B31:B104,'77711半成品MA'!C31:C104)</f>
        <v>1474830</v>
      </c>
      <c r="M25">
        <v>1474830</v>
      </c>
    </row>
    <row r="26" spans="1:13">
      <c r="A26" t="s">
        <v>11876</v>
      </c>
      <c r="B26">
        <f>VLOOKUP(A26,'77711半成品MA'!B30:C105,2,0)</f>
        <v>1203370</v>
      </c>
      <c r="C26">
        <v>1203370</v>
      </c>
      <c r="G26" t="s">
        <v>11885</v>
      </c>
      <c r="H26">
        <f t="shared" si="0"/>
        <v>0</v>
      </c>
      <c r="I26">
        <f t="shared" si="1"/>
        <v>816780</v>
      </c>
      <c r="K26" s="1" t="s">
        <v>11868</v>
      </c>
      <c r="L26">
        <f>_xlfn.XLOOKUP(K26,'77711半成品MA'!B32:B105,'77711半成品MA'!C32:C105)</f>
        <v>1080830</v>
      </c>
      <c r="M26">
        <v>1080830</v>
      </c>
    </row>
    <row r="27" spans="1:13">
      <c r="A27" t="s">
        <v>11877</v>
      </c>
      <c r="B27">
        <f>VLOOKUP(A27,'77711半成品MA'!B31:C106,2,0)</f>
        <v>1203370</v>
      </c>
      <c r="C27">
        <v>1203370</v>
      </c>
      <c r="G27" t="s">
        <v>11886</v>
      </c>
      <c r="H27">
        <f t="shared" si="0"/>
        <v>0</v>
      </c>
      <c r="I27">
        <f t="shared" si="1"/>
        <v>817580</v>
      </c>
      <c r="K27" s="1" t="s">
        <v>11869</v>
      </c>
      <c r="L27">
        <f>_xlfn.XLOOKUP(K27,'77711半成品MA'!B33:B106,'77711半成品MA'!C33:C106)</f>
        <v>636520</v>
      </c>
      <c r="M27">
        <v>636520</v>
      </c>
    </row>
    <row r="28" spans="1:13">
      <c r="A28" t="s">
        <v>11879</v>
      </c>
      <c r="B28">
        <f>VLOOKUP(A28,'77711半成品MA'!B32:C107,2,0)</f>
        <v>663220</v>
      </c>
      <c r="C28">
        <v>663220</v>
      </c>
      <c r="G28" t="s">
        <v>11887</v>
      </c>
      <c r="H28">
        <f t="shared" si="0"/>
        <v>0</v>
      </c>
      <c r="I28">
        <f t="shared" si="1"/>
        <v>1215080</v>
      </c>
      <c r="K28" s="1" t="s">
        <v>11871</v>
      </c>
      <c r="L28">
        <f>_xlfn.XLOOKUP(K28,'77711半成品MA'!B34:B107,'77711半成品MA'!C34:C107)</f>
        <v>663220</v>
      </c>
      <c r="M28">
        <v>663220</v>
      </c>
    </row>
    <row r="29" spans="1:13">
      <c r="A29" t="s">
        <v>11880</v>
      </c>
      <c r="B29">
        <f>VLOOKUP(A29,'77711半成品MA'!B33:C108,2,0)</f>
        <v>663220</v>
      </c>
      <c r="C29">
        <v>663220</v>
      </c>
      <c r="G29" t="s">
        <v>11890</v>
      </c>
      <c r="H29">
        <f t="shared" si="0"/>
        <v>0</v>
      </c>
      <c r="I29">
        <f t="shared" si="1"/>
        <v>953820</v>
      </c>
      <c r="K29" s="1" t="s">
        <v>11872</v>
      </c>
      <c r="L29">
        <f>_xlfn.XLOOKUP(K29,'77711半成品MA'!B35:B108,'77711半成品MA'!C35:C108)</f>
        <v>476590</v>
      </c>
      <c r="M29">
        <v>476590</v>
      </c>
    </row>
    <row r="30" spans="1:13">
      <c r="A30" t="s">
        <v>11881</v>
      </c>
      <c r="B30">
        <f>VLOOKUP(A30,'77711半成品MA'!B34:C109,2,0)</f>
        <v>663220</v>
      </c>
      <c r="C30">
        <v>663220</v>
      </c>
      <c r="G30" t="s">
        <v>11891</v>
      </c>
      <c r="H30">
        <f t="shared" si="0"/>
        <v>0</v>
      </c>
      <c r="I30">
        <f t="shared" si="1"/>
        <v>953820</v>
      </c>
      <c r="K30" s="1" t="s">
        <v>11873</v>
      </c>
      <c r="L30">
        <f>_xlfn.XLOOKUP(K30,'77711半成品MA'!B36:B109,'77711半成品MA'!C36:C109)</f>
        <v>1108330</v>
      </c>
      <c r="M30">
        <v>1108330</v>
      </c>
    </row>
    <row r="31" spans="1:13">
      <c r="A31" t="s">
        <v>11884</v>
      </c>
      <c r="B31">
        <f>VLOOKUP(A31,'77711半成品MA'!B35:C110,2,0)</f>
        <v>816780</v>
      </c>
      <c r="C31">
        <v>816780</v>
      </c>
      <c r="G31" t="s">
        <v>11892</v>
      </c>
      <c r="H31">
        <f t="shared" si="0"/>
        <v>0</v>
      </c>
      <c r="I31">
        <f t="shared" si="1"/>
        <v>1033383</v>
      </c>
      <c r="K31" s="1" t="s">
        <v>11874</v>
      </c>
      <c r="L31">
        <f>_xlfn.XLOOKUP(K31,'77711半成品MA'!B37:B110,'77711半成品MA'!C37:C110)</f>
        <v>1107530</v>
      </c>
      <c r="M31">
        <v>1107530</v>
      </c>
    </row>
    <row r="32" spans="1:13">
      <c r="A32" t="s">
        <v>11885</v>
      </c>
      <c r="B32">
        <f>VLOOKUP(A32,'77711半成品MA'!B36:C111,2,0)</f>
        <v>816780</v>
      </c>
      <c r="C32">
        <v>816780</v>
      </c>
      <c r="G32" t="s">
        <v>11893</v>
      </c>
      <c r="H32">
        <f t="shared" si="0"/>
        <v>0</v>
      </c>
      <c r="I32">
        <f t="shared" si="1"/>
        <v>1033383</v>
      </c>
      <c r="K32" s="1" t="s">
        <v>11875</v>
      </c>
      <c r="L32">
        <f>_xlfn.XLOOKUP(K32,'77711半成品MA'!B38:B111,'77711半成品MA'!C38:C111)</f>
        <v>1203370</v>
      </c>
      <c r="M32">
        <v>1203370</v>
      </c>
    </row>
    <row r="33" spans="1:13">
      <c r="A33" t="s">
        <v>11886</v>
      </c>
      <c r="B33">
        <f>VLOOKUP(A33,'77711半成品MA'!B37:C112,2,0)</f>
        <v>817580</v>
      </c>
      <c r="C33">
        <v>817580</v>
      </c>
      <c r="G33" t="s">
        <v>11894</v>
      </c>
      <c r="H33">
        <f t="shared" si="0"/>
        <v>0</v>
      </c>
      <c r="I33">
        <f t="shared" si="1"/>
        <v>1033383</v>
      </c>
      <c r="K33" s="1" t="s">
        <v>11876</v>
      </c>
      <c r="L33">
        <f>_xlfn.XLOOKUP(K33,'77711半成品MA'!B39:B112,'77711半成品MA'!C39:C112)</f>
        <v>1203370</v>
      </c>
      <c r="M33">
        <v>1203370</v>
      </c>
    </row>
    <row r="34" spans="1:13">
      <c r="A34" t="s">
        <v>11887</v>
      </c>
      <c r="B34">
        <f>VLOOKUP(A34,'77711半成品MA'!B38:C113,2,0)</f>
        <v>1215080</v>
      </c>
      <c r="C34">
        <v>1215080</v>
      </c>
      <c r="G34" t="s">
        <v>11895</v>
      </c>
      <c r="H34">
        <f t="shared" ref="H34:H54" si="2">IF(A34=G34,1,0)</f>
        <v>0</v>
      </c>
      <c r="I34">
        <f t="shared" si="1"/>
        <v>1243740</v>
      </c>
      <c r="K34" s="1" t="s">
        <v>11877</v>
      </c>
      <c r="L34">
        <f>_xlfn.XLOOKUP(K34,'77711半成品MA'!B40:B113,'77711半成品MA'!C40:C113)</f>
        <v>1203370</v>
      </c>
      <c r="M34">
        <v>1203370</v>
      </c>
    </row>
    <row r="35" spans="1:13">
      <c r="A35" t="s">
        <v>11889</v>
      </c>
      <c r="B35">
        <f>VLOOKUP(A35,'77711半成品MA'!B39:C114,2,0)</f>
        <v>950320</v>
      </c>
      <c r="C35">
        <v>950320</v>
      </c>
      <c r="G35" t="s">
        <v>11896</v>
      </c>
      <c r="H35">
        <f t="shared" si="2"/>
        <v>0</v>
      </c>
      <c r="I35">
        <f t="shared" si="1"/>
        <v>519850</v>
      </c>
      <c r="K35" s="1" t="s">
        <v>11878</v>
      </c>
      <c r="L35">
        <f>_xlfn.XLOOKUP(K35,'77711半成品MA'!B41:B114,'77711半成品MA'!C41:C114)</f>
        <v>1229190</v>
      </c>
      <c r="M35">
        <v>1229190</v>
      </c>
    </row>
    <row r="36" spans="1:13">
      <c r="A36" t="s">
        <v>11890</v>
      </c>
      <c r="B36">
        <f>VLOOKUP(A36,'77711半成品MA'!B40:C115,2,0)</f>
        <v>953820</v>
      </c>
      <c r="C36">
        <v>953820</v>
      </c>
      <c r="G36" t="s">
        <v>11897</v>
      </c>
      <c r="H36">
        <f t="shared" si="2"/>
        <v>0</v>
      </c>
      <c r="I36">
        <f t="shared" si="1"/>
        <v>519850</v>
      </c>
      <c r="K36" s="1" t="s">
        <v>11879</v>
      </c>
      <c r="L36">
        <f>_xlfn.XLOOKUP(K36,'77711半成品MA'!B42:B115,'77711半成品MA'!C42:C115)</f>
        <v>663220</v>
      </c>
      <c r="M36">
        <v>663220</v>
      </c>
    </row>
    <row r="37" spans="1:13">
      <c r="A37" t="s">
        <v>11891</v>
      </c>
      <c r="B37">
        <f>VLOOKUP(A37,'77711半成品MA'!B41:C116,2,0)</f>
        <v>953820</v>
      </c>
      <c r="C37">
        <v>953820</v>
      </c>
      <c r="G37" t="s">
        <v>11898</v>
      </c>
      <c r="H37">
        <f t="shared" si="2"/>
        <v>0</v>
      </c>
      <c r="I37">
        <f t="shared" ref="I37:I54" si="3">_xlfn.XLOOKUP(G37,A34:A97,C34:C97)</f>
        <v>519850</v>
      </c>
      <c r="K37" s="1" t="s">
        <v>11880</v>
      </c>
      <c r="L37">
        <f>_xlfn.XLOOKUP(K37,'77711半成品MA'!B43:B116,'77711半成品MA'!C43:C116)</f>
        <v>663220</v>
      </c>
      <c r="M37">
        <v>663220</v>
      </c>
    </row>
    <row r="38" spans="1:13">
      <c r="A38" t="s">
        <v>11892</v>
      </c>
      <c r="B38">
        <f>VLOOKUP(A38,'77711半成品MA'!B42:C117,2,0)</f>
        <v>1033383</v>
      </c>
      <c r="C38">
        <v>1033383</v>
      </c>
      <c r="G38" t="s">
        <v>11899</v>
      </c>
      <c r="H38">
        <f t="shared" si="2"/>
        <v>0</v>
      </c>
      <c r="I38">
        <f t="shared" si="3"/>
        <v>515760</v>
      </c>
      <c r="K38" s="1" t="s">
        <v>11881</v>
      </c>
      <c r="L38">
        <f>_xlfn.XLOOKUP(K38,'77711半成品MA'!B44:B117,'77711半成品MA'!C44:C117)</f>
        <v>663220</v>
      </c>
      <c r="M38">
        <v>663220</v>
      </c>
    </row>
    <row r="39" spans="1:13">
      <c r="A39" t="s">
        <v>11893</v>
      </c>
      <c r="B39">
        <f>VLOOKUP(A39,'77711半成品MA'!B43:C118,2,0)</f>
        <v>1033383</v>
      </c>
      <c r="C39">
        <v>1033383</v>
      </c>
      <c r="G39" t="s">
        <v>11900</v>
      </c>
      <c r="H39">
        <f t="shared" si="2"/>
        <v>0</v>
      </c>
      <c r="I39">
        <f t="shared" si="3"/>
        <v>515760</v>
      </c>
      <c r="K39" s="1" t="s">
        <v>11882</v>
      </c>
      <c r="L39">
        <f>_xlfn.XLOOKUP(K39,'77711半成品MA'!B45:B118,'77711半成品MA'!C45:C118)</f>
        <v>1225690</v>
      </c>
      <c r="M39">
        <v>1225690</v>
      </c>
    </row>
    <row r="40" spans="1:13">
      <c r="A40" t="s">
        <v>11894</v>
      </c>
      <c r="B40">
        <f>VLOOKUP(A40,'77711半成品MA'!B44:C119,2,0)</f>
        <v>1033383</v>
      </c>
      <c r="C40">
        <v>1033383</v>
      </c>
      <c r="G40" t="s">
        <v>11901</v>
      </c>
      <c r="H40">
        <f t="shared" si="2"/>
        <v>0</v>
      </c>
      <c r="I40">
        <f t="shared" si="3"/>
        <v>520060</v>
      </c>
      <c r="K40" s="1" t="s">
        <v>11883</v>
      </c>
      <c r="L40">
        <f>_xlfn.XLOOKUP(K40,'77711半成品MA'!B46:B119,'77711半成品MA'!C46:C119)</f>
        <v>1224890</v>
      </c>
      <c r="M40">
        <v>1224890</v>
      </c>
    </row>
    <row r="41" spans="1:13">
      <c r="A41" t="s">
        <v>11895</v>
      </c>
      <c r="B41">
        <f>VLOOKUP(A41,'77711半成品MA'!B45:C120,2,0)</f>
        <v>1243740</v>
      </c>
      <c r="C41">
        <v>1243740</v>
      </c>
      <c r="G41" t="s">
        <v>11905</v>
      </c>
      <c r="H41">
        <f t="shared" si="2"/>
        <v>0</v>
      </c>
      <c r="I41">
        <f t="shared" si="3"/>
        <v>476590</v>
      </c>
      <c r="K41" s="1" t="s">
        <v>11884</v>
      </c>
      <c r="L41">
        <f>_xlfn.XLOOKUP(K41,'77711半成品MA'!B47:B120,'77711半成品MA'!C47:C120)</f>
        <v>816780</v>
      </c>
      <c r="M41">
        <v>816780</v>
      </c>
    </row>
    <row r="42" spans="1:13">
      <c r="A42" t="s">
        <v>11896</v>
      </c>
      <c r="B42">
        <f>VLOOKUP(A42,'77711半成品MA'!B46:C121,2,0)</f>
        <v>519850</v>
      </c>
      <c r="C42">
        <v>519850</v>
      </c>
      <c r="G42" t="s">
        <v>11906</v>
      </c>
      <c r="H42">
        <f t="shared" si="2"/>
        <v>0</v>
      </c>
      <c r="I42">
        <f t="shared" si="3"/>
        <v>476590</v>
      </c>
      <c r="K42" s="1" t="s">
        <v>11885</v>
      </c>
      <c r="L42">
        <f>_xlfn.XLOOKUP(K42,'77711半成品MA'!B48:B121,'77711半成品MA'!C48:C121)</f>
        <v>816780</v>
      </c>
      <c r="M42">
        <v>816780</v>
      </c>
    </row>
    <row r="43" spans="1:13">
      <c r="A43" t="s">
        <v>11897</v>
      </c>
      <c r="B43">
        <f>VLOOKUP(A43,'77711半成品MA'!B47:C122,2,0)</f>
        <v>519850</v>
      </c>
      <c r="C43">
        <v>519850</v>
      </c>
      <c r="G43" t="s">
        <v>11907</v>
      </c>
      <c r="H43">
        <f t="shared" si="2"/>
        <v>0</v>
      </c>
      <c r="I43">
        <f t="shared" si="3"/>
        <v>705840</v>
      </c>
      <c r="K43" s="1" t="s">
        <v>11886</v>
      </c>
      <c r="L43">
        <f>_xlfn.XLOOKUP(K43,'77711半成品MA'!B49:B122,'77711半成品MA'!C49:C122)</f>
        <v>817580</v>
      </c>
      <c r="M43">
        <v>817580</v>
      </c>
    </row>
    <row r="44" spans="1:13">
      <c r="A44" t="s">
        <v>11898</v>
      </c>
      <c r="B44">
        <f>VLOOKUP(A44,'77711半成品MA'!B48:C123,2,0)</f>
        <v>519850</v>
      </c>
      <c r="C44">
        <v>519850</v>
      </c>
      <c r="G44" t="s">
        <v>11909</v>
      </c>
      <c r="H44">
        <f t="shared" si="2"/>
        <v>0</v>
      </c>
      <c r="I44">
        <f t="shared" si="3"/>
        <v>308340</v>
      </c>
      <c r="K44" s="1" t="s">
        <v>11887</v>
      </c>
      <c r="L44">
        <f>_xlfn.XLOOKUP(K44,'77711半成品MA'!B50:B123,'77711半成品MA'!C50:C123)</f>
        <v>1215080</v>
      </c>
      <c r="M44">
        <v>1215080</v>
      </c>
    </row>
    <row r="45" spans="1:13">
      <c r="A45" t="s">
        <v>11899</v>
      </c>
      <c r="B45">
        <f>VLOOKUP(A45,'77711半成品MA'!B49:C124,2,0)</f>
        <v>515760</v>
      </c>
      <c r="C45">
        <v>515760</v>
      </c>
      <c r="G45" t="s">
        <v>11910</v>
      </c>
      <c r="H45">
        <f t="shared" si="2"/>
        <v>0</v>
      </c>
      <c r="I45">
        <f t="shared" si="3"/>
        <v>516850</v>
      </c>
      <c r="K45" s="1" t="s">
        <v>11889</v>
      </c>
      <c r="L45">
        <f>_xlfn.XLOOKUP(K45,'77711半成品MA'!B51:B124,'77711半成品MA'!C51:C124)</f>
        <v>950320</v>
      </c>
      <c r="M45">
        <v>950320</v>
      </c>
    </row>
    <row r="46" spans="1:13">
      <c r="A46" t="s">
        <v>11900</v>
      </c>
      <c r="B46">
        <f>VLOOKUP(A46,'77711半成品MA'!B50:C125,2,0)</f>
        <v>515760</v>
      </c>
      <c r="C46">
        <v>515760</v>
      </c>
      <c r="G46" t="s">
        <v>11911</v>
      </c>
      <c r="H46">
        <f t="shared" si="2"/>
        <v>0</v>
      </c>
      <c r="I46">
        <f t="shared" si="3"/>
        <v>413830</v>
      </c>
      <c r="K46" s="1" t="s">
        <v>11890</v>
      </c>
      <c r="L46">
        <f>_xlfn.XLOOKUP(K46,'77711半成品MA'!B52:B125,'77711半成品MA'!C52:C125)</f>
        <v>953820</v>
      </c>
      <c r="M46">
        <v>953820</v>
      </c>
    </row>
    <row r="47" spans="1:13">
      <c r="A47" t="s">
        <v>11901</v>
      </c>
      <c r="B47">
        <f>VLOOKUP(A47,'77711半成品MA'!B51:C126,2,0)</f>
        <v>520060</v>
      </c>
      <c r="C47">
        <v>520060</v>
      </c>
      <c r="G47" t="s">
        <v>11913</v>
      </c>
      <c r="H47">
        <f t="shared" si="2"/>
        <v>0</v>
      </c>
      <c r="I47">
        <f t="shared" si="3"/>
        <v>516850</v>
      </c>
      <c r="K47" s="1" t="s">
        <v>11891</v>
      </c>
      <c r="L47">
        <f>_xlfn.XLOOKUP(K47,'77711半成品MA'!B53:B126,'77711半成品MA'!C53:C126)</f>
        <v>953820</v>
      </c>
      <c r="M47">
        <v>953820</v>
      </c>
    </row>
    <row r="48" spans="1:13">
      <c r="A48" t="s">
        <v>11902</v>
      </c>
      <c r="B48">
        <f>VLOOKUP(A48,'77711半成品MA'!B52:C127,2,0)</f>
        <v>515760</v>
      </c>
      <c r="C48">
        <v>515760</v>
      </c>
      <c r="G48" t="s">
        <v>11914</v>
      </c>
      <c r="H48">
        <f t="shared" si="2"/>
        <v>0</v>
      </c>
      <c r="I48">
        <f t="shared" si="3"/>
        <v>413830</v>
      </c>
      <c r="K48" s="1" t="s">
        <v>11892</v>
      </c>
      <c r="L48">
        <f>_xlfn.XLOOKUP(K48,'77711半成品MA'!B54:B127,'77711半成品MA'!C54:C127)</f>
        <v>1033383</v>
      </c>
      <c r="M48">
        <v>1033383</v>
      </c>
    </row>
    <row r="49" spans="1:13">
      <c r="A49" t="s">
        <v>11903</v>
      </c>
      <c r="B49">
        <f>VLOOKUP(A49,'77711半成品MA'!B53:C128,2,0)</f>
        <v>515760</v>
      </c>
      <c r="C49">
        <v>515760</v>
      </c>
      <c r="G49" t="s">
        <v>11915</v>
      </c>
      <c r="H49">
        <f t="shared" si="2"/>
        <v>0</v>
      </c>
      <c r="I49">
        <f t="shared" si="3"/>
        <v>516850</v>
      </c>
      <c r="K49" s="1" t="s">
        <v>11893</v>
      </c>
      <c r="L49">
        <f>_xlfn.XLOOKUP(K49,'77711半成品MA'!B55:B128,'77711半成品MA'!C55:C128)</f>
        <v>1033383</v>
      </c>
      <c r="M49">
        <v>1033383</v>
      </c>
    </row>
    <row r="50" spans="1:13">
      <c r="A50" t="s">
        <v>11904</v>
      </c>
      <c r="B50">
        <f>VLOOKUP(A50,'77711半成品MA'!B54:C129,2,0)</f>
        <v>477390</v>
      </c>
      <c r="C50">
        <v>477390</v>
      </c>
      <c r="G50" t="s">
        <v>11916</v>
      </c>
      <c r="H50">
        <f t="shared" si="2"/>
        <v>0</v>
      </c>
      <c r="I50">
        <f t="shared" si="3"/>
        <v>413830</v>
      </c>
      <c r="K50" s="1" t="s">
        <v>11894</v>
      </c>
      <c r="L50">
        <f>_xlfn.XLOOKUP(K50,'77711半成品MA'!B56:B129,'77711半成品MA'!C56:C129)</f>
        <v>1033383</v>
      </c>
      <c r="M50">
        <v>1033383</v>
      </c>
    </row>
    <row r="51" spans="1:13">
      <c r="A51" t="s">
        <v>11905</v>
      </c>
      <c r="B51">
        <f>VLOOKUP(A51,'77711半成品MA'!B55:C130,2,0)</f>
        <v>476590</v>
      </c>
      <c r="C51">
        <v>476590</v>
      </c>
      <c r="G51" t="s">
        <v>11917</v>
      </c>
      <c r="H51">
        <f t="shared" si="2"/>
        <v>0</v>
      </c>
      <c r="I51">
        <f t="shared" si="3"/>
        <v>516850</v>
      </c>
      <c r="K51" s="1" t="s">
        <v>11895</v>
      </c>
      <c r="L51">
        <f>_xlfn.XLOOKUP(K51,'77711半成品MA'!B57:B130,'77711半成品MA'!C57:C130)</f>
        <v>1243740</v>
      </c>
      <c r="M51">
        <v>1243740</v>
      </c>
    </row>
    <row r="52" spans="1:13">
      <c r="A52" t="s">
        <v>11906</v>
      </c>
      <c r="B52">
        <f>VLOOKUP(A52,'77711半成品MA'!B56:C131,2,0)</f>
        <v>476590</v>
      </c>
      <c r="C52">
        <v>476590</v>
      </c>
      <c r="G52" t="s">
        <v>11918</v>
      </c>
      <c r="H52">
        <f t="shared" si="2"/>
        <v>0</v>
      </c>
      <c r="I52">
        <f t="shared" si="3"/>
        <v>413830</v>
      </c>
      <c r="K52" s="1" t="s">
        <v>11896</v>
      </c>
      <c r="L52">
        <f>_xlfn.XLOOKUP(K52,'77711半成品MA'!B58:B131,'77711半成品MA'!C58:C131)</f>
        <v>519850</v>
      </c>
      <c r="M52">
        <v>519850</v>
      </c>
    </row>
    <row r="53" spans="1:13">
      <c r="A53" t="s">
        <v>11907</v>
      </c>
      <c r="B53">
        <f>VLOOKUP(A53,'77711半成品MA'!B57:C132,2,0)</f>
        <v>705840</v>
      </c>
      <c r="C53">
        <v>705840</v>
      </c>
      <c r="G53" t="s">
        <v>11919</v>
      </c>
      <c r="H53">
        <f t="shared" si="2"/>
        <v>0</v>
      </c>
      <c r="I53">
        <f t="shared" si="3"/>
        <v>516850</v>
      </c>
      <c r="K53" s="1" t="s">
        <v>11897</v>
      </c>
      <c r="L53">
        <f>_xlfn.XLOOKUP(K53,'77711半成品MA'!B59:B132,'77711半成品MA'!C59:C132)</f>
        <v>519850</v>
      </c>
      <c r="M53">
        <v>519850</v>
      </c>
    </row>
    <row r="54" spans="1:13">
      <c r="A54" t="s">
        <v>11909</v>
      </c>
      <c r="B54">
        <f>VLOOKUP(A54,'77711半成品MA'!B58:C133,2,0)</f>
        <v>308340</v>
      </c>
      <c r="C54">
        <v>308340</v>
      </c>
      <c r="G54" t="s">
        <v>11920</v>
      </c>
      <c r="H54">
        <f t="shared" si="2"/>
        <v>0</v>
      </c>
      <c r="I54">
        <f t="shared" si="3"/>
        <v>413830</v>
      </c>
      <c r="K54" s="1" t="s">
        <v>11898</v>
      </c>
      <c r="L54">
        <f>_xlfn.XLOOKUP(K54,'77711半成品MA'!B60:B133,'77711半成品MA'!C60:C133)</f>
        <v>519850</v>
      </c>
      <c r="M54">
        <v>519850</v>
      </c>
    </row>
    <row r="55" spans="1:13">
      <c r="A55" t="s">
        <v>11910</v>
      </c>
      <c r="B55">
        <f>VLOOKUP(A55,'77711半成品MA'!B59:C134,2,0)</f>
        <v>516850</v>
      </c>
      <c r="C55">
        <v>516850</v>
      </c>
      <c r="K55" s="1" t="s">
        <v>11899</v>
      </c>
      <c r="L55">
        <f>_xlfn.XLOOKUP(K55,'77711半成品MA'!B61:B134,'77711半成品MA'!C61:C134)</f>
        <v>515760</v>
      </c>
      <c r="M55">
        <v>515760</v>
      </c>
    </row>
    <row r="56" spans="1:13">
      <c r="A56" t="s">
        <v>11911</v>
      </c>
      <c r="B56">
        <f>VLOOKUP(A56,'77711半成品MA'!B60:C135,2,0)</f>
        <v>413830</v>
      </c>
      <c r="C56">
        <v>413830</v>
      </c>
      <c r="K56" s="1" t="s">
        <v>11900</v>
      </c>
      <c r="L56">
        <f>_xlfn.XLOOKUP(K56,'77711半成品MA'!B62:B135,'77711半成品MA'!C62:C135)</f>
        <v>515760</v>
      </c>
      <c r="M56">
        <v>515760</v>
      </c>
    </row>
    <row r="57" spans="1:13">
      <c r="A57" t="s">
        <v>11913</v>
      </c>
      <c r="B57">
        <f>VLOOKUP(A57,'77711半成品MA'!B61:C136,2,0)</f>
        <v>516850</v>
      </c>
      <c r="C57">
        <v>516850</v>
      </c>
      <c r="K57" s="1" t="s">
        <v>11901</v>
      </c>
      <c r="L57">
        <f>_xlfn.XLOOKUP(K57,'77711半成品MA'!B63:B136,'77711半成品MA'!C63:C136)</f>
        <v>520060</v>
      </c>
      <c r="M57">
        <v>520060</v>
      </c>
    </row>
    <row r="58" spans="1:13">
      <c r="A58" t="s">
        <v>11914</v>
      </c>
      <c r="B58">
        <f>VLOOKUP(A58,'77711半成品MA'!B62:C137,2,0)</f>
        <v>413830</v>
      </c>
      <c r="C58">
        <v>413830</v>
      </c>
      <c r="K58" s="1" t="s">
        <v>11902</v>
      </c>
      <c r="L58">
        <f>_xlfn.XLOOKUP(K58,'77711半成品MA'!B64:B137,'77711半成品MA'!C64:C137)</f>
        <v>515760</v>
      </c>
      <c r="M58">
        <v>515760</v>
      </c>
    </row>
    <row r="59" spans="1:13">
      <c r="A59" t="s">
        <v>11915</v>
      </c>
      <c r="B59">
        <f>VLOOKUP(A59,'77711半成品MA'!B63:C138,2,0)</f>
        <v>516850</v>
      </c>
      <c r="C59">
        <v>516850</v>
      </c>
      <c r="K59" s="1" t="s">
        <v>11903</v>
      </c>
      <c r="L59">
        <f>_xlfn.XLOOKUP(K59,'77711半成品MA'!B65:B138,'77711半成品MA'!C65:C138)</f>
        <v>515760</v>
      </c>
      <c r="M59">
        <v>515760</v>
      </c>
    </row>
    <row r="60" spans="1:13">
      <c r="A60" t="s">
        <v>11916</v>
      </c>
      <c r="B60">
        <f>VLOOKUP(A60,'77711半成品MA'!B64:C139,2,0)</f>
        <v>413830</v>
      </c>
      <c r="C60">
        <v>413830</v>
      </c>
      <c r="K60" s="1" t="s">
        <v>11904</v>
      </c>
      <c r="L60">
        <f>_xlfn.XLOOKUP(K60,'77711半成品MA'!B66:B139,'77711半成品MA'!C66:C139)</f>
        <v>477390</v>
      </c>
      <c r="M60">
        <v>477390</v>
      </c>
    </row>
    <row r="61" spans="1:13">
      <c r="A61" t="s">
        <v>11917</v>
      </c>
      <c r="B61">
        <f>VLOOKUP(A61,'77711半成品MA'!B65:C140,2,0)</f>
        <v>516850</v>
      </c>
      <c r="C61">
        <v>516850</v>
      </c>
      <c r="K61" s="1" t="s">
        <v>11905</v>
      </c>
      <c r="L61">
        <f>_xlfn.XLOOKUP(K61,'77711半成品MA'!B67:B140,'77711半成品MA'!C67:C140)</f>
        <v>476590</v>
      </c>
      <c r="M61">
        <v>476590</v>
      </c>
    </row>
    <row r="62" spans="1:13">
      <c r="A62" t="s">
        <v>11918</v>
      </c>
      <c r="B62">
        <f>VLOOKUP(A62,'77711半成品MA'!B66:C141,2,0)</f>
        <v>413830</v>
      </c>
      <c r="C62">
        <v>413830</v>
      </c>
      <c r="K62" s="1" t="s">
        <v>11906</v>
      </c>
      <c r="L62">
        <f>_xlfn.XLOOKUP(K62,'77711半成品MA'!B68:B141,'77711半成品MA'!C68:C141)</f>
        <v>476590</v>
      </c>
      <c r="M62">
        <v>476590</v>
      </c>
    </row>
    <row r="63" spans="1:13">
      <c r="A63" t="s">
        <v>11919</v>
      </c>
      <c r="B63">
        <f>VLOOKUP(A63,'77711半成品MA'!B67:C142,2,0)</f>
        <v>516850</v>
      </c>
      <c r="C63">
        <v>516850</v>
      </c>
      <c r="K63" s="1" t="s">
        <v>11907</v>
      </c>
      <c r="L63">
        <f>_xlfn.XLOOKUP(K63,'77711半成品MA'!B69:B142,'77711半成品MA'!C69:C142)</f>
        <v>705840</v>
      </c>
      <c r="M63">
        <v>705840</v>
      </c>
    </row>
    <row r="64" spans="1:13">
      <c r="A64" t="s">
        <v>11920</v>
      </c>
      <c r="B64">
        <f>VLOOKUP(A64,'77711半成品MA'!B68:C143,2,0)</f>
        <v>413830</v>
      </c>
      <c r="C64">
        <v>413830</v>
      </c>
      <c r="K64" s="1" t="s">
        <v>11909</v>
      </c>
      <c r="L64">
        <f>_xlfn.XLOOKUP(K64,'77711半成品MA'!B70:B143,'77711半成品MA'!C70:C143)</f>
        <v>308340</v>
      </c>
      <c r="M64">
        <v>308340</v>
      </c>
    </row>
    <row r="65" spans="1:13">
      <c r="A65" t="s">
        <v>12278</v>
      </c>
      <c r="B65" t="e">
        <f>VLOOKUP(A65,'77711半成品MA'!B69:C144,2,0)</f>
        <v>#N/A</v>
      </c>
      <c r="K65" s="1" t="s">
        <v>11910</v>
      </c>
      <c r="L65">
        <f>_xlfn.XLOOKUP(K65,'77711半成品MA'!B71:B144,'77711半成品MA'!C71:C144)</f>
        <v>516850</v>
      </c>
      <c r="M65">
        <v>516850</v>
      </c>
    </row>
    <row r="66" spans="1:13">
      <c r="A66" t="s">
        <v>12279</v>
      </c>
      <c r="B66" t="e">
        <f>VLOOKUP(A66,'77711半成品MA'!B70:C145,2,0)</f>
        <v>#N/A</v>
      </c>
      <c r="K66" s="1" t="s">
        <v>11911</v>
      </c>
      <c r="L66">
        <f>_xlfn.XLOOKUP(K66,'77711半成品MA'!B72:B145,'77711半成品MA'!C72:C145)</f>
        <v>413830</v>
      </c>
      <c r="M66">
        <v>413830</v>
      </c>
    </row>
    <row r="67" spans="1:13">
      <c r="K67" s="1" t="s">
        <v>11913</v>
      </c>
      <c r="L67">
        <f>_xlfn.XLOOKUP(K67,'77711半成品MA'!B73:B146,'77711半成品MA'!C73:C146)</f>
        <v>516850</v>
      </c>
      <c r="M67">
        <v>516850</v>
      </c>
    </row>
    <row r="68" spans="1:13">
      <c r="K68" s="1" t="s">
        <v>11914</v>
      </c>
      <c r="L68">
        <f>_xlfn.XLOOKUP(K68,'77711半成品MA'!B74:B147,'77711半成品MA'!C74:C147)</f>
        <v>413830</v>
      </c>
      <c r="M68">
        <v>413830</v>
      </c>
    </row>
    <row r="69" spans="1:13">
      <c r="K69" s="1" t="s">
        <v>11915</v>
      </c>
      <c r="L69">
        <f>_xlfn.XLOOKUP(K69,'77711半成品MA'!B75:B148,'77711半成品MA'!C75:C148)</f>
        <v>516850</v>
      </c>
      <c r="M69">
        <v>516850</v>
      </c>
    </row>
    <row r="70" spans="1:13">
      <c r="K70" s="1" t="s">
        <v>11916</v>
      </c>
      <c r="L70">
        <f>_xlfn.XLOOKUP(K70,'77711半成品MA'!B76:B149,'77711半成品MA'!C76:C149)</f>
        <v>413830</v>
      </c>
      <c r="M70">
        <v>413830</v>
      </c>
    </row>
    <row r="71" spans="1:13">
      <c r="K71" s="1" t="s">
        <v>11917</v>
      </c>
      <c r="L71">
        <f>_xlfn.XLOOKUP(K71,'77711半成品MA'!B77:B150,'77711半成品MA'!C77:C150)</f>
        <v>516850</v>
      </c>
      <c r="M71">
        <v>516850</v>
      </c>
    </row>
    <row r="72" spans="1:13">
      <c r="K72" s="1" t="s">
        <v>11918</v>
      </c>
      <c r="L72">
        <f>_xlfn.XLOOKUP(K72,'77711半成品MA'!B78:B151,'77711半成品MA'!C78:C151)</f>
        <v>413830</v>
      </c>
      <c r="M72">
        <v>413830</v>
      </c>
    </row>
    <row r="73" spans="1:13">
      <c r="K73" s="1" t="s">
        <v>11919</v>
      </c>
      <c r="L73">
        <f>_xlfn.XLOOKUP(K73,'77711半成品MA'!B79:B152,'77711半成品MA'!C79:C152)</f>
        <v>516850</v>
      </c>
      <c r="M73">
        <v>516850</v>
      </c>
    </row>
    <row r="74" spans="1:13">
      <c r="K74" s="1" t="s">
        <v>11920</v>
      </c>
      <c r="L74">
        <f>_xlfn.XLOOKUP(K74,'77711半成品MA'!B80:B153,'77711半成品MA'!C80:C153)</f>
        <v>413830</v>
      </c>
      <c r="M74">
        <v>413830</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3" master="" otherUserPermission="edit">
    <arrUserId title="Range1" rangeCreator="" othersAccessPermission="edit">
      <userID accessPermission="edit">1475153551</userID>
      <userID accessPermission="edit">1474709007</userID>
      <userID accessPermission="edit">1851561945</userID>
      <userID accessPermission="edit">1715258932</userID>
      <userID accessPermission="edit">1850010794</userID>
    </arrUserId>
    <arrUserId title="Range2" rangeCreator="" othersAccessPermission="visible">
      <userID accessPermission="edit">1475153551</userID>
      <userID accessPermission="edit">1474709007</userID>
      <userID accessPermission="edit">1474966847</userID>
      <userID accessPermission="edit">1765212680</userID>
    </arrUserId>
  </rangeList>
  <rangeList sheetStid="26" master="" otherUserPermission="edit">
    <arrUserId title="Range1" rangeCreator="" othersAccessPermission="edit">
      <userID accessPermission="edit">1475153551</userID>
      <userID accessPermission="edit">1715258932</userID>
      <userID accessPermission="edit">1851561945</userID>
      <userID accessPermission="edit">1850010794</userID>
    </arrUserId>
    <arrUserId title="Range2" rangeCreator="" othersAccessPermission="visible">
      <userID accessPermission="edit">1475153551</userID>
      <userID accessPermission="edit">1474709007</userID>
      <userID accessPermission="edit">1765212680</userID>
      <userID accessPermission="edit">1474966847</userID>
    </arrUserId>
  </rangeList>
  <rangeList sheetStid="24" master="" otherUserPermission="edit"/>
  <rangeList sheetStid="30" master="" otherUserPermission="edit"/>
  <rangeList sheetStid="29" master="" otherUserPermission="edit"/>
  <rangeList sheetStid="18" master="" otherUserPermission="edit"/>
  <rangeList sheetStid="15" master="" otherUserPermission="edit"/>
  <rangeList sheetStid="31"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23">
    <commentChains s:ref="AL3" rgbClr="FF0000">
      <unresolved>
        <commentChain chainId="7c366587ee3f7e0a4fc42d8522a9a9fc735a2072">
          <item id="1d99a01d9e76e4d681c88619544ff59aabe97647" isNormal="1">
            <s:text>
              <s:r>
                <s:t xml:space="preserve">Administrator:
5/29 收到UPc贴纸144pcs</s:t>
              </s:r>
            </s:text>
          </item>
        </commentChain>
      </unresolved>
      <resolved/>
    </commentChains>
    <commentChains s:ref="AL7" rgbClr="FF0000">
      <unresolved>
        <commentChain chainId="35eedbc3103c2bccee76e4fccbc925b5e218c49a">
          <item id="ce75717287c806725589b4f3941a62ee85498658" isNormal="1">
            <s:text>
              <s:r>
                <s:t xml:space="preserve">Administrator:
3/21 上客供RFID贴纸616pcs
4/11 上粉色艾利贴纸154pcs
</s:t>
              </s:r>
            </s:text>
          </item>
        </commentChain>
      </unresolved>
      <resolved/>
    </commentChains>
    <commentChains s:ref="AI8" rgbClr="FF0000">
      <unresolved>
        <commentChain chainId="99cbb162e9ac536d2c6dce51a44f89e14e7af655">
          <item id="47c16723b4c9e89cc27b8184cf82b7f3783ca3ea" isNormal="1">
            <s:text>
              <s:r>
                <s:t xml:space="preserve">Administrator:
0000680 4/28 720pcs
没登记</s:t>
              </s:r>
            </s:text>
          </item>
        </commentChain>
      </unresolved>
      <resolved/>
    </commentChains>
    <commentChains s:ref="AI11" rgbClr="FF0000">
      <unresolved>
        <commentChain chainId="427f6ba04e737cf89183191267080182a34ebb8d">
          <item id="967235455c8e6b4caddda6bc83d93754987d196a" isNormal="1">
            <s:text>
              <s:r>
                <s:t xml:space="preserve">Administrator:
0000680 4/28 4548pcs华3B16</s:t>
              </s:r>
            </s:text>
          </item>
        </commentChain>
      </unresolved>
      <resolved/>
    </commentChains>
    <commentChains s:ref="AI12" rgbClr="FF0000">
      <unresolved>
        <commentChain chainId="f6066c19749f80643a9c32db8eec7cf66a658f72">
          <item id="de2b2fdcbecddab9c58074db162e59d105ad21ef" isNormal="1">
            <s:text>
              <s:r>
                <s:t xml:space="preserve">Administrator:
0000680 4/28 1800pcs
华3A16</s:t>
              </s:r>
            </s:text>
          </item>
        </commentChain>
      </unresolved>
      <resolved/>
    </commentChains>
    <commentChains s:ref="AL12" rgbClr="FF0000">
      <unresolved>
        <commentChain chainId="9996708044c2a842a3304d84836c9349ce3fe5d6">
          <item id="ac47d4cf5d8064ffcf9b3f8dbccaa0a30bfab1a4" isNormal="1">
            <s:text>
              <s:r>
                <s:t xml:space="preserve">Administrator:
4/3 上小纽扣电池警告语贴纸1800pcs
大纽扣警告语贴纸3600pcs
</s:t>
              </s:r>
            </s:text>
          </item>
        </commentChain>
      </unresolved>
      <resolved/>
    </commentChains>
    <commentChains s:ref="AI13" rgbClr="FF0000">
      <unresolved>
        <commentChain chainId="6b997df5b4ea97c7d44e903f1a1923fd5bd67576">
          <item id="33d824faa062ae765c5e86626378f3ee169822c9" isNormal="1">
            <s:text>
              <s:r>
                <s:t xml:space="preserve">Administrator:
0000662 5/6 3300pcs华一F11</s:t>
              </s:r>
            </s:text>
          </item>
        </commentChain>
      </unresolved>
      <resolved/>
    </commentChains>
    <commentChains s:ref="AL13" rgbClr="FF0000">
      <unresolved>
        <commentChain chainId="c2d3b7becd6b5182faf930c41cfab95b3ea29d5f">
          <item id="1cb6890880a6ff7231e7c2aac0d2317c3485af6d" isNormal="1">
            <s:text>
              <s:r>
                <s:t xml:space="preserve">Administrator:
4/11 上说明书纽扣电池警告贴纸6600pcs
收缩膜纽扣电池警告语贴纸3300pcs
4/17 上KM外箱贴纸275pcs</s:t>
              </s:r>
            </s:text>
          </item>
        </commentChain>
      </unresolved>
      <resolved/>
    </commentChains>
    <commentChains s:ref="AI14" rgbClr="FF0000">
      <unresolved>
        <commentChain chainId="9a627276ede316045632af47f77e375a4bf0a563">
          <item id="4603596cbe479b07a7322b6a59fe83ee9c8b9f3f" isNormal="1">
            <s:text>
              <s:r>
                <s:t xml:space="preserve">Administrator:
0000662 5/6 432pcs一F11</s:t>
              </s:r>
            </s:text>
          </item>
        </commentChain>
      </unresolved>
      <resolved/>
    </commentChains>
    <commentChains s:ref="AL14" rgbClr="FF0000">
      <unresolved>
        <commentChain chainId="6c3743023a4979c8ffb28eddd8e7aef21d97872a">
          <item id="d4df79365d7031160d3c87906b54ec2fd21b7be1" isNormal="1">
            <s:text>
              <s:r>
                <s:t xml:space="preserve">Administrator:
4/11 上说明书纽扣电池警告贴纸864pcs
收缩膜纽扣电池警告语贴纸432pcs
4/17 上KM外箱贴纸36pcs
</s:t>
              </s:r>
            </s:text>
          </item>
        </commentChain>
      </unresolved>
      <resolved/>
    </commentChains>
    <commentChains s:ref="AI15" rgbClr="FF0000">
      <unresolved>
        <commentChain chainId="33047d8237fa26b52e6ca7abbdee85847965461b">
          <item id="4246d55ab796d85e762cf13d3cac76b74fb35c60" isNormal="1">
            <s:text>
              <s:r>
                <s:t xml:space="preserve">Administrator:
0000655 5/7 512pcs因托盘卡纸未上需帮忙返工装-东莞验货 华一F3</s:t>
              </s:r>
            </s:text>
          </item>
        </commentChain>
      </unresolved>
      <resolved/>
    </commentChains>
    <commentChains s:ref="AL15" rgbClr="FF0000">
      <unresolved>
        <commentChain chainId="44c25d4dd7f72006b4d53eca76a3576844676ec7">
          <item id="0c3c3f5c70487b27ff0bcee56f2a9ea1b8687495" isNormal="1">
            <s:text>
              <s:r>
                <s:t xml:space="preserve">Administrator:
4/15 上客供RFID贴纸512pcs
</s:t>
              </s:r>
            </s:text>
          </item>
        </commentChain>
      </unresolved>
      <resolved/>
    </commentChains>
    <commentChains s:ref="AI16" rgbClr="FF0000">
      <unresolved>
        <commentChain chainId="27fc5c1cfd12aba4294f58a055a688eded395306">
          <item id="52af7cf170c73c00f9dcebbfdf39eec57d68688d" isNormal="1">
            <s:text>
              <s:r>
                <s:t xml:space="preserve">Administrator:
0000655 5/7 656pcs因托盘卡纸未上需帮忙返工装-东莞验货
华一F3</s:t>
              </s:r>
            </s:text>
          </item>
        </commentChain>
      </unresolved>
      <resolved/>
    </commentChains>
    <commentChains s:ref="AL16" rgbClr="FF0000">
      <unresolved>
        <commentChain chainId="8c7fe9d3938ae5c5f7b28539fa64ba304ea2e788">
          <item id="d0276f569b2baa3513582ce9a23d52a064da0770" isNormal="1">
            <s:text>
              <s:r>
                <s:t xml:space="preserve">Administrator:
4/15 上客供RFID贴纸656pcs
</s:t>
              </s:r>
            </s:text>
          </item>
        </commentChain>
      </unresolved>
      <resolved/>
    </commentChains>
    <commentChains s:ref="AI17" rgbClr="FF0000">
      <unresolved>
        <commentChain chainId="1a4912088e2df03ca0aaab1fb565e830344c3427">
          <item id="1da11a1a9f6ed9fe3d78b9e3bdbdaf691da5eb32" isNormal="1">
            <s:text>
              <s:r>
                <s:t xml:space="preserve">Administrator:
0000655 5/7 800pcs因托盘卡纸未上需帮忙返工装
华一F3</s:t>
              </s:r>
            </s:text>
          </item>
        </commentChain>
      </unresolved>
      <resolved/>
    </commentChains>
    <commentChains s:ref="AL17" rgbClr="FF0000">
      <unresolved>
        <commentChain chainId="46f7a61345209e1ad1d70c84c03561ea9e975bcf">
          <item id="399c204dc2f0d75f59e09a22938cf8e91f64c0c9" isNormal="1">
            <s:text>
              <s:r>
                <s:t xml:space="preserve">Administrator:
4/3 上WEEE通用黑色书纸带电池800pcs
4/15 上多语折叠警告语贴纸800pcs
</s:t>
              </s:r>
            </s:text>
          </item>
        </commentChain>
      </unresolved>
      <resolved/>
    </commentChains>
    <commentChains s:ref="AI18" rgbClr="FF0000">
      <unresolved>
        <commentChain chainId="3c0b701063caac6f385038c26fbecdee3bbe0c59">
          <item id="c50bba7c3eac60f2d3f2e51eb9afd9f34345f55c" isNormal="1">
            <s:text>
              <s:r>
                <s:t xml:space="preserve">Administrator:
0001028 5/9 3008pcs华3B9</s:t>
              </s:r>
            </s:text>
          </item>
        </commentChain>
      </unresolved>
      <resolved/>
    </commentChains>
    <commentChains s:ref="AL18" rgbClr="FF0000">
      <unresolved>
        <commentChain chainId="8258e57427bb74881ce2caffd2099243f7e1ed9d">
          <item id="2ac1b239057435471f4ecf39b710d7e067bd7153" isNormal="1">
            <s:text>
              <s:r>
                <s:t xml:space="preserve">Administrator:
4/30 上客版WEEE声明通用说明书(带电池)3008pcs</s:t>
              </s:r>
            </s:text>
          </item>
        </commentChain>
      </unresolved>
      <resolved/>
    </commentChains>
    <commentChains s:ref="AL20" rgbClr="FF0000">
      <unresolved>
        <commentChain chainId="d78d14eb23b7945669b9919258e7f1c2e17a771f">
          <item id="2d523702e861225f45671fcc6daeb417250b6f89" isNormal="1">
            <s:text>
              <s:r>
                <s:t xml:space="preserve">Administrator:
4/21 上UPC贴纸15396pcs
</s:t>
              </s:r>
            </s:text>
          </item>
        </commentChain>
      </unresolved>
      <resolved/>
    </commentChains>
    <commentChains s:ref="AI21" rgbClr="FF0000">
      <unresolved>
        <commentChain chainId="e4cee2b6139cab1aba34b340e58ad29d20ed225b">
          <item id="c432940bf600fbd5788840b9e8f1b1396562757e" isNormal="1">
            <s:text>
              <s:r>
                <s:t xml:space="preserve">Administrator:
0001023 5/13 760pcs莫4-B10</s:t>
              </s:r>
            </s:text>
          </item>
        </commentChain>
      </unresolved>
      <resolved/>
    </commentChains>
    <commentChains s:ref="AL21" rgbClr="FF0000">
      <unresolved>
        <commentChain chainId="20e827322627aeaa546fb9628f6835cb9d355f11">
          <item id="878efb82c5eb75ae0ed39873ce7561c1ccc1a698" isNormal="1">
            <s:text>
              <s:r>
                <s:t xml:space="preserve">Administrator:
4/15 上客供RFID贴纸760pcs
</s:t>
              </s:r>
            </s:text>
          </item>
        </commentChain>
      </unresolved>
      <resolved/>
    </commentChains>
    <commentChains s:ref="AI22" rgbClr="FF0000">
      <unresolved>
        <commentChain chainId="ebc3eeb10befbd32c9fe1bb07ee530e21078db15">
          <item id="6f7759e42cdbfaf5ace87f179417798bac8d5279" isNormal="1">
            <s:text>
              <s:r>
                <s:t xml:space="preserve">Administrator:
0001023 5/13 2768pcs
莫4-B10</s:t>
              </s:r>
            </s:text>
          </item>
        </commentChain>
      </unresolved>
      <resolved/>
    </commentChains>
    <commentChains s:ref="AL22" rgbClr="FF0000">
      <unresolved>
        <commentChain chainId="43b2609e513219867ba7d34d5da4364b5843828c">
          <item id="029af187085791c5fa88135835b3da7cb4eb82be" isNormal="1">
            <s:text>
              <s:r>
                <s:t xml:space="preserve">Administrator:
3/21 上客供RFID贴纸2768pcs
4/11 上粉色艾利贴纸692pcs
</s:t>
              </s:r>
            </s:text>
          </item>
        </commentChain>
      </unresolved>
      <resolved/>
    </commentChains>
    <commentChains s:ref="AI23" rgbClr="FF0000">
      <unresolved>
        <commentChain chainId="966bca667d75eedc196d52844928693547381547">
          <item id="1f1258167f4296aef30e9985806a1cc8f5fdee95" isNormal="1">
            <s:text>
              <s:r>
                <s:t xml:space="preserve">Administrator:
0001023 5/13 3560pcs
莫4-B10</s:t>
              </s:r>
            </s:text>
          </item>
        </commentChain>
      </unresolved>
      <resolved/>
    </commentChains>
    <commentChains s:ref="AL23" rgbClr="FF0000">
      <unresolved>
        <commentChain chainId="bd79a5c9e8e58af19552e6bf8b41f10587b90f2a">
          <item id="926db4ca3d9a19d1fb3b1e410e9beeaeafdff800" isNormal="1">
            <s:text>
              <s:r>
                <s:t xml:space="preserve">Administrator:
3/21 上客供RFID贴纸3560pcs
4/11 上粉色艾利贴纸890pcs
</s:t>
              </s:r>
            </s:text>
          </item>
        </commentChain>
      </unresolved>
      <resolved/>
    </commentChains>
    <commentChains s:ref="AI24" rgbClr="FF0000">
      <unresolved>
        <commentChain chainId="fc1b1f79a61084e9ffedb37737fec5a76736612d">
          <item id="65712817cf6519a9474b6d02fa0b9561f6381b1e" isNormal="1">
            <s:text>
              <s:r>
                <s:t xml:space="preserve">Administrator:
0001023 5/13 3344pcs
莫4-B10</s:t>
              </s:r>
            </s:text>
          </item>
        </commentChain>
      </unresolved>
      <resolved/>
    </commentChains>
    <commentChains s:ref="AL24" rgbClr="FF0000">
      <unresolved>
        <commentChain chainId="91e398906403b6e6e289ad826d5c15ffa71cfc99">
          <item id="435b4cfd693b0ada5f26168c591ee496bb176e19" isNormal="1">
            <s:text>
              <s:r>
                <s:t xml:space="preserve">Administrator:
3/21 上客供RFID贴纸3344pcs
4/11 上粉色艾利贴纸836pcs
</s:t>
              </s:r>
            </s:text>
          </item>
        </commentChain>
      </unresolved>
      <resolved/>
    </commentChains>
    <commentChains s:ref="AI25" rgbClr="FF0000">
      <unresolved>
        <commentChain chainId="3d88d354143d78769db01fb083c46cd23ad8a2b5">
          <item id="a4f4429be969ff5f5f038ecf2b4d6ef0351c4b75" isNormal="1">
            <s:text>
              <s:r>
                <s:t xml:space="preserve">Administrator:
0001019 5/13 2444pcs华一F5</s:t>
              </s:r>
            </s:text>
          </item>
        </commentChain>
      </unresolved>
      <resolved/>
    </commentChains>
    <commentChains s:ref="AL25" rgbClr="FF0000">
      <unresolved>
        <commentChain chainId="2a1a562bebf6d90191e8fe85dbeb1c5704a3b6a5">
          <item id="a6d2f57dba711d00b4ff8035df7682f48fe61057" isNormal="1">
            <s:text>
              <s:r>
                <s:t xml:space="preserve">Administrator:
4/30 多语警语折叠贴纸2444pcs
</s:t>
              </s:r>
            </s:text>
          </item>
        </commentChain>
      </unresolved>
      <resolved/>
    </commentChains>
    <commentChains s:ref="AI26" rgbClr="FF0000">
      <unresolved>
        <commentChain chainId="9040781984a0d7b232b608482a4d51b326e1fabf">
          <item id="bcace98007e444ea341bba34dd70d4fe496e3abf" isNormal="1">
            <s:text>
              <s:r>
                <s:t xml:space="preserve">Administrator:
0001003 5/16 108pcsA1楼B5</s:t>
              </s:r>
            </s:text>
          </item>
        </commentChain>
      </unresolved>
      <resolved/>
    </commentChains>
    <commentChains s:ref="AI27" rgbClr="FF0000">
      <unresolved>
        <commentChain chainId="cb1e0af28172166f57e3dbb13fef069617767b3d">
          <item id="1d5bcb7f9630eb8c0be6348c9d5d3061095e72f9" isNormal="1">
            <s:text>
              <s:r>
                <s:t xml:space="preserve">Administrator:
0001011 5/15 800pcs华3B12</s:t>
              </s:r>
            </s:text>
          </item>
        </commentChain>
      </unresolved>
      <resolved/>
    </commentChains>
    <commentChains s:ref="AI28" rgbClr="FF0000">
      <unresolved>
        <commentChain chainId="c9c5413c2c94df77c767d0c6f5d5ecc5335ca65c">
          <item id="0027a73f10c54ecd6285878535f74868bcb08d6f" isNormal="1">
            <s:text>
              <s:r>
                <s:t xml:space="preserve">Administrator:
0001011 5/15 600pcs
华3B12</s:t>
              </s:r>
            </s:text>
          </item>
        </commentChain>
      </unresolved>
      <resolved/>
    </commentChains>
    <commentChains s:ref="AI29" rgbClr="FF0000">
      <unresolved>
        <commentChain chainId="1b4b2b584c7e82881fafd8b729d1b8e2869b5f55">
          <item id="b58e486a9a741de2c345c52130d8e94a5566f277" isNormal="1">
            <s:text>
              <s:r>
                <s:t xml:space="preserve">Administrator:
0001002 5/16 608pcs莫4B4</s:t>
              </s:r>
            </s:text>
          </item>
        </commentChain>
      </unresolved>
      <resolved/>
    </commentChains>
    <commentChains s:ref="AL29" rgbClr="FF0000">
      <unresolved>
        <commentChain chainId="23aa6785dd60e08adbe036f6d245e009534c00ff">
          <item id="30296ae980681b64a86b21f6685da7594bcc13c3" isNormal="1">
            <s:text>
              <s:r>
                <s:t xml:space="preserve">Administrator:
4/14 上客供警语贴纸632pcs
客供电池 警语贴纸630pcs
客供中文警告说明书630pcs
</s:t>
              </s:r>
            </s:text>
          </item>
        </commentChain>
      </unresolved>
      <resolved/>
    </commentChains>
    <commentChains s:ref="AI30" rgbClr="FF0000">
      <unresolved>
        <commentChain chainId="3d637c29a14c1f873e90fb861c38dff76f12bc9c">
          <item id="06b0640d93d4b7b7e06bb91d2fcb88ce8f9941c0" isNormal="1">
            <s:text>
              <s:r>
                <s:t xml:space="preserve">Administrator:
0001003 5/16 240pcs莫4B4</s:t>
              </s:r>
            </s:text>
          </item>
        </commentChain>
      </unresolved>
      <resolved/>
    </commentChains>
    <commentChains s:ref="AL30" rgbClr="FF0000">
      <unresolved>
        <commentChain chainId="cf873317e2dbe7f1fce429842fc1e473cca44f59">
          <item id="69ef9df32563adafde2723fbe7364e32d0e65533" isNormal="1">
            <s:text>
              <s:r>
                <s:t xml:space="preserve">Administrator:
4/14 上警语贴纸240pcs</s:t>
              </s:r>
            </s:text>
          </item>
        </commentChain>
      </unresolved>
      <resolved/>
    </commentChains>
    <commentChains s:ref="AL31" rgbClr="FF0000">
      <unresolved>
        <commentChain chainId="092caa4cab01c6ea619fcc52b2e7cec6249d065f">
          <item id="2ec802e8140e8da569198e40e944576bdcfc33ea" isNormal="1">
            <s:text>
              <s:r>
                <s:t xml:space="preserve">Administrator:
4/21 上进口商贴纸720pcs</s:t>
              </s:r>
            </s:text>
          </item>
        </commentChain>
      </unresolved>
      <resolved/>
    </commentChains>
    <commentChains s:ref="AI32" rgbClr="FF0000">
      <unresolved>
        <commentChain chainId="e0563234a977f90381fc371a0983e8946a6edff8">
          <item id="2b6d5ae3ba0043ffc12cef2b9c634ff781ea3f0d" isNormal="1">
            <s:text>
              <s:r>
                <s:t xml:space="preserve">Administrator:
0001002 5/16 10pcs莫4B9</s:t>
              </s:r>
            </s:text>
          </item>
        </commentChain>
      </unresolved>
      <resolved/>
    </commentChains>
    <commentChains s:ref="AL32" rgbClr="FF0000">
      <unresolved>
        <commentChain chainId="5a79eeb9db731c4045f60b5bfddaa878d1ff34b6">
          <item id="438dce82d277a630db12bd4cccfc4a1bbf513fc1" isNormal="1">
            <s:text>
              <s:r>
                <s:t xml:space="preserve">Administrator:
4/10 上外箱黄色贴纸20pcs</s:t>
              </s:r>
            </s:text>
          </item>
        </commentChain>
      </unresolved>
      <resolved/>
    </commentChains>
    <commentChains s:ref="AI33" rgbClr="FF0000">
      <unresolved>
        <commentChain chainId="b54e75bbeb85aa33a87ae5b482bcd29706eaecba">
          <item id="c9a3309fdf892a525ba6f69a2a274b64d52ed98a" isNormal="1">
            <s:text>
              <s:r>
                <s:t xml:space="preserve">Administrator:
0001002 5/16 1968pcs
莫4B9
0001001 5/17 28pcs兴信</s:t>
              </s:r>
            </s:text>
          </item>
        </commentChain>
      </unresolved>
      <resolved/>
    </commentChains>
    <commentChains s:ref="AI34" rgbClr="FF0000">
      <unresolved>
        <commentChain chainId="e51b14922d8ccac9f40c9505f8991ef4fe0f0d09">
          <item id="69a363995bf164b26c0741cf59ed2e920e30f429" isNormal="1">
            <s:text>
              <s:r>
                <s:t xml:space="preserve">Administrator:
0001002 5/16 912pcs莫4B4</s:t>
              </s:r>
            </s:text>
          </item>
        </commentChain>
      </unresolved>
      <resolved/>
    </commentChains>
    <commentChains s:ref="AL34" rgbClr="FF0000">
      <unresolved>
        <commentChain chainId="5e50a812d4b4fdf83c4b3fd9b5cc0046d3ad2ff4">
          <item id="b1f37250e80ce76b9d71b5ba3d6c7a3e9789468a" isNormal="1">
            <s:text>
              <s:r>
                <s:t xml:space="preserve">Administrator:
4/15 上客供RFID贴纸912pcs
</s:t>
              </s:r>
            </s:text>
          </item>
        </commentChain>
      </unresolved>
      <resolved/>
    </commentChains>
    <commentChains s:ref="AI35" rgbClr="FF0000">
      <unresolved>
        <commentChain chainId="5b87bdda94ee003122bf8ff6a88dce8f8949849a">
          <item id="e2db0078a97cc512b6db7e3136c99c6b26ee5d6c" isNormal="1">
            <s:text>
              <s:r>
                <s:t xml:space="preserve">Administrator:
0001003 5/16 240pcs莫4C4</s:t>
              </s:r>
            </s:text>
          </item>
        </commentChain>
      </unresolved>
      <resolved/>
    </commentChains>
    <commentChains s:ref="AL35" rgbClr="FF0000">
      <unresolved>
        <commentChain chainId="9c4a82b97161c05065347dab5d65868d9b44c46c">
          <item id="ca7ed735486607301b58e567ed53873f0361687d" isNormal="1">
            <s:text>
              <s:r>
                <s:t xml:space="preserve">Administrator:
4/16 上警告语/客人进口商地址贴纸240pcs
4/21 WEEE__带电池走货北欧六
语通用黑白说明书240pcs</s:t>
              </s:r>
            </s:text>
          </item>
        </commentChain>
      </unresolved>
      <resolved/>
    </commentChains>
    <commentChains s:ref="AI38" rgbClr="FF0000">
      <unresolved>
        <commentChain chainId="fd3613d7fbaf887e6fbd32ec9f14d742bf126e54">
          <item id="13ac52d65bd600a57b8c6fa68ea9b79b52d9f25a" isNormal="1">
            <s:text>
              <s:r>
                <s:t xml:space="preserve">Administrator:
0001084 5/21 3000pcs华3B15
0000922 5/21 8pcs华3B15</s:t>
              </s:r>
            </s:text>
          </item>
        </commentChain>
      </unresolved>
      <resolved/>
    </commentChains>
    <commentChains s:ref="AL38" rgbClr="FF0000">
      <unresolved>
        <commentChain chainId="cd142b9d0d8137473a3d9a0ebf32474f47af1e35">
          <item id="98e3e8691187b58256b81757d6b1bb84aa25d26b" isNormal="1">
            <s:text>
              <s:r>
                <s:t xml:space="preserve">Administrator:
4/15 上WEEE声明通用说明书带电池3008pcs</s:t>
              </s:r>
            </s:text>
          </item>
        </commentChain>
      </unresolved>
      <resolved/>
    </commentChains>
    <commentChains s:ref="AI39" rgbClr="FF0000">
      <unresolved>
        <commentChain chainId="354335b86ec2037c526ada28eb64617f4092f126">
          <item id="28bf73d180d064494b2daab0e1d26d6206c1bbd9" isNormal="1">
            <s:text>
              <s:r>
                <s:t xml:space="preserve">Administrator:
0001084 5/21 1504pcs直走</s:t>
              </s:r>
            </s:text>
          </item>
        </commentChain>
      </unresolved>
      <resolved/>
    </commentChains>
    <commentChains s:ref="AL39" rgbClr="FF0000">
      <unresolved>
        <commentChain chainId="de16f27f535dab4635e75dd332020e5762e052ac">
          <item id="eda6d3afe1ae546fa7723ee00c9c66aa04107736" isNormal="1">
            <s:text>
              <s:r>
                <s:t xml:space="preserve">Administrator:
4/15 上WEEE声明通用说明书带电池1504pcs
</s:t>
              </s:r>
            </s:text>
          </item>
        </commentChain>
      </unresolved>
      <resolved/>
    </commentChains>
    <commentChains s:ref="AI40" rgbClr="FF0000">
      <unresolved>
        <commentChain chainId="651fcee584c64ae8b152a4590c99462c33a8dbdd">
          <item id="4274c9e0ee6d7f93b31ce25ce351c92bf1d74846" isNormal="1">
            <s:text>
              <s:r>
                <s:t xml:space="preserve">Administrator:
0001001 5/17 1104pcs华3B14</s:t>
              </s:r>
            </s:text>
          </item>
        </commentChain>
      </unresolved>
      <resolved/>
    </commentChains>
    <commentChains s:ref="AL40" rgbClr="FF0000">
      <unresolved>
        <commentChain chainId="0be2d4a73063fa537023167d39b517a8d705e54c">
          <item id="70a2ecf7f8776fd9a64fb48130c547ee426e6f09" isNormal="1">
            <s:text>
              <s:r>
                <s:t xml:space="preserve">Administrator:
4/30 上UPC贴纸1104pcs</s:t>
              </s:r>
            </s:text>
          </item>
        </commentChain>
      </unresolved>
      <resolved/>
    </commentChains>
    <commentChains s:ref="AL41" rgbClr="FF0000">
      <unresolved>
        <commentChain chainId="50aed8593dd6f864ac66cdd3b2bf8c041955be23">
          <item id="5ce82f2a10cbe79c39f59e696fbd258f36c1a8aa" isNormal="1">
            <s:text>
              <s:r>
                <s:t xml:space="preserve">Administrator:
3/21 上客供RFID贴纸4960pcs
4/11 上粉色艾利贴纸1240pcs
</s:t>
              </s:r>
            </s:text>
          </item>
        </commentChain>
      </unresolved>
      <resolved/>
    </commentChains>
    <commentChains s:ref="AI42" rgbClr="FF0000">
      <unresolved>
        <commentChain chainId="302f26661882944a491eed405c67c957fc17d45e">
          <item id="6ca0d2da2cb9ee72ec523840982847df2a14e194" isNormal="1">
            <s:text>
              <s:r>
                <s:t xml:space="preserve">Administrator:
0001001 5/17 4112pcs华3A10</s:t>
              </s:r>
            </s:text>
          </item>
        </commentChain>
      </unresolved>
      <resolved/>
    </commentChains>
    <commentChains s:ref="AL42" rgbClr="FF0000">
      <unresolved>
        <commentChain chainId="307a5bdd9a20259c425074cdf69b5c98ff236b16">
          <item id="5a58279283ac913a54a40c36e0f37668e8a17379" isNormal="1">
            <s:text>
              <s:r>
                <s:t xml:space="preserve">Administrator:
3/21 上客供RFID贴纸4112pcs
4/11 上粉色艾利贴纸1028pcs
</s:t>
              </s:r>
            </s:text>
          </item>
        </commentChain>
      </unresolved>
      <resolved/>
    </commentChains>
    <commentChains s:ref="AL43" rgbClr="FF0000">
      <unresolved>
        <commentChain chainId="76ae78462d5d5b6e5993f40e434735428dd0d043">
          <item id="b4c58750f5c3b96043cb9c7ea24a47a68e0ccea9" isNormal="1">
            <s:text>
              <s:r>
                <s:t xml:space="preserve">Administrator:
4/15 上大黄圆防盗贴纸2656pcs</s:t>
              </s:r>
            </s:text>
          </item>
        </commentChain>
      </unresolved>
      <resolved/>
    </commentChains>
    <commentChains s:ref="AI44" rgbClr="FF0000">
      <unresolved>
        <commentChain chainId="63f0b4e432733cfbf7f4d088bcc397419a58ff82">
          <item id="0f5d2c2f7b6c59e426e259efa740e0ddc180d437" isNormal="1">
            <s:text>
              <s:r>
                <s:t xml:space="preserve">Administrator:
0000995 5/19 592pcs
0000993 6/20 16pcs华3B6</s:t>
              </s:r>
            </s:text>
          </item>
        </commentChain>
      </unresolved>
      <resolved/>
    </commentChains>
    <commentChains s:ref="AL44" rgbClr="FF0000">
      <unresolved>
        <commentChain chainId="e3a19d9f36b5fcab7eb0dd2de64506370e364e27">
          <item id="d468fccc207dcce5248d87bad3d93104cfba6479" isNormal="1">
            <s:text>
              <s:r>
                <s:t xml:space="preserve">Administrator:
4/15 上客供RFID贴纸608pcs
</s:t>
              </s:r>
            </s:text>
          </item>
        </commentChain>
      </unresolved>
      <resolved/>
    </commentChains>
    <commentChains s:ref="AI45" rgbClr="FF0000">
      <unresolved>
        <commentChain chainId="645ac1d94f715545beb17c528940315c0fe27ccf">
          <item id="ebd4a28410704d9735a02dc22024881afff6724f" isNormal="1">
            <s:text>
              <s:r>
                <s:t xml:space="preserve">Administrator:
0000995 5/19 600pcs
0000993 6/20 8pcs
华3B6</s:t>
              </s:r>
            </s:text>
          </item>
        </commentChain>
      </unresolved>
      <resolved/>
    </commentChains>
    <commentChains s:ref="AL45" rgbClr="FF0000">
      <unresolved>
        <commentChain chainId="d2af0d8f565c89f306b7c758e4d2ad201bd1dc36">
          <item id="90cc8f42b681d1cb6d394bb8673162960a4103e4" isNormal="1">
            <s:text>
              <s:r>
                <s:t xml:space="preserve">Administrator:
4/15 上客供RFID贴纸608pcs
</s:t>
              </s:r>
            </s:text>
          </item>
        </commentChain>
      </unresolved>
      <resolved/>
    </commentChains>
    <commentChains s:ref="AI46" rgbClr="FF0000">
      <unresolved>
        <commentChain chainId="c25b0e80f7f53781e9568500de0d819cf296eb5c">
          <item id="4309fbe9687e86fdb9cc740e89b58c69642f7117" isNormal="1">
            <s:text>
              <s:r>
                <s:t xml:space="preserve">Administrator:
0000995 5/19 608pcs
0000993 6/20 8pcs华3B5</s:t>
              </s:r>
            </s:text>
          </item>
        </commentChain>
      </unresolved>
      <resolved/>
    </commentChains>
    <commentChains s:ref="AL46" rgbClr="FF0000">
      <unresolved>
        <commentChain chainId="3cdb87f4c5eba2832fbbaa7ca5e36fe59d60d40e">
          <item id="13b70a0734e3698a34356d7e99f6bcd665fffb02" isNormal="1">
            <s:text>
              <s:r>
                <s:t xml:space="preserve">Administrator:
4/15 上客供RFID贴纸616pcs
</s:t>
              </s:r>
            </s:text>
          </item>
        </commentChain>
      </unresolved>
      <resolved/>
    </commentChains>
    <commentChains s:ref="AI47" rgbClr="FF0000">
      <unresolved>
        <commentChain chainId="7e18d44e36529eafd9971c164bc0bf2dc41a4d4e">
          <item id="4cccdbbef9936a197715959a5a378a59b73fa809" isNormal="1">
            <s:text>
              <s:r>
                <s:t xml:space="preserve">Administrator:
0000995 5/19 792pcs
</s:t>
              </s:r>
            </s:text>
          </item>
        </commentChain>
      </unresolved>
      <resolved/>
    </commentChains>
    <commentChains s:ref="AL47" rgbClr="FF0000">
      <unresolved>
        <commentChain chainId="0542569d6dceffc1b4a4670009ea0b56c12aea7f">
          <item id="c4c6dc2a8a9e2ead3996496b3578013515b57314" isNormal="1">
            <s:text>
              <s:r>
                <s:t xml:space="preserve">Administrator:
4/15 上客供RFID贴纸792pcs
</s:t>
              </s:r>
            </s:text>
          </item>
        </commentChain>
      </unresolved>
      <resolved/>
    </commentChains>
    <commentChains s:ref="AI48" rgbClr="FF0000">
      <unresolved>
        <commentChain chainId="4dd6454196c2ca006bb57326ad7bbfc764665744">
          <item id="0da2eb804c1440cc67ecb7f3408ad2b868585d4f" isNormal="1">
            <s:text>
              <s:r>
                <s:t xml:space="preserve">Administrator:
0000995 5/19 740pcs
0000993 6/20 4pcs
华3B6</s:t>
              </s:r>
            </s:text>
          </item>
        </commentChain>
      </unresolved>
      <resolved/>
    </commentChains>
    <commentChains s:ref="AL48" rgbClr="FF0000">
      <unresolved>
        <commentChain chainId="c3b085802cefa67e3df09d2d807620af1dc725ed">
          <item id="6c70c21d4349fa11a10d13d529239be6de5e34bb" isNormal="1">
            <s:text>
              <s:r>
                <s:t xml:space="preserve">Administrator:
4/15 上客供RFID贴纸744pcs
</s:t>
              </s:r>
            </s:text>
          </item>
        </commentChain>
      </unresolved>
      <resolved/>
    </commentChains>
    <commentChains s:ref="AI49" rgbClr="FF0000">
      <unresolved>
        <commentChain chainId="ae2c156fae55f2f00f69eac04536ffff32d3371c">
          <item id="fe85786a999e67b4a0b9b68a8bed44ff086f1514" isNormal="1">
            <s:text>
              <s:r>
                <s:t xml:space="preserve">Administrator:
0001003 5/16 252pcs莫4C4</s:t>
              </s:r>
            </s:text>
          </item>
        </commentChain>
      </unresolved>
      <resolved/>
    </commentChains>
    <commentChains s:ref="AL49" rgbClr="FF0000">
      <unresolved>
        <commentChain chainId="53c7bded8df7d74e4e28bc1b03892f6c5e9c3ac4">
          <item id="59b9693fdbf5945e292fec13cfee61eb45bc5869" isNormal="1">
            <s:text>
              <s:r>
                <s:t xml:space="preserve">Administrator:
4/28 上警示语贴纸252pcs
5/6 带纽扣电池走货北欧六语通用黑白电池说明书252pcs</s:t>
              </s:r>
            </s:text>
          </item>
        </commentChain>
      </unresolved>
      <resolved/>
    </commentChains>
    <commentChains s:ref="AI50" rgbClr="FF0000">
      <unresolved>
        <commentChain chainId="1dbc28becf0d8922ffedd9d2f472469e670fcab3">
          <item id="37282efb304ac4a886385fad74ffdcf1e743a09b" isNormal="1">
            <s:text>
              <s:r>
                <s:t xml:space="preserve">Administrator:
0000922 5/21 3352pcs华3A30</s:t>
              </s:r>
            </s:text>
          </item>
        </commentChain>
      </unresolved>
      <resolved/>
    </commentChains>
    <commentChains s:ref="AL50" rgbClr="FF0000">
      <unresolved>
        <commentChain chainId="77541d063da26d5324072e8bcf08899ffab9302e">
          <item id="4783e82c2eccd3bd6ecde925ef040f075ebd1136" isNormal="1">
            <s:text>
              <s:r>
                <s:t xml:space="preserve">Administrator:
4/25 WEEE电池垃圾桶的回收声明说明书3352pcs
4/30 多语警语折叠贴纸3352pcs</s:t>
              </s:r>
            </s:text>
          </item>
        </commentChain>
      </unresolved>
      <resolved/>
    </commentChains>
    <commentChains s:ref="AI51" rgbClr="FF0000">
      <unresolved>
        <commentChain chainId="ed93587ab64aaa71f1e4dfb18713055a29ee7aeb">
          <item id="dbe5e66f9408026c731452949abdfb9ea0a0f897" isNormal="1">
            <s:text>
              <s:r>
                <s:t xml:space="preserve">Administrator:
0000922 5/21 2040pcs华3B16
0000915 5/22 24pcs</s:t>
              </s:r>
            </s:text>
          </item>
        </commentChain>
      </unresolved>
      <resolved/>
    </commentChains>
    <commentChains s:ref="AI52" rgbClr="FF0000">
      <unresolved>
        <commentChain chainId="133e30d75e1e31d6a225e48c3c176f4d8a4f74e7">
          <item id="b151a1dac6837a91d29a27d38d1dcf4308ab8893" isNormal="1">
            <s:text>
              <s:r>
                <s:t xml:space="preserve">Administrator:
0000922 5/21 2976pcs华3B16
0000915 5/22 32pcs</s:t>
              </s:r>
            </s:text>
          </item>
        </commentChain>
      </unresolved>
      <resolved/>
    </commentChains>
    <commentChains s:ref="AL52" rgbClr="FF0000">
      <unresolved>
        <commentChain chainId="a2978cc8c6fe685e38b18e7fb83cba380f3ccc16">
          <item id="e5a6dd6db4f58dfa34bddddb21a67ec99060ecea" isNormal="1">
            <s:text>
              <s:r>
                <s:t xml:space="preserve">Administrator:
4/25 上2国语言电池说明书3008pcs
5/9 上UPC条码贴纸3008pcs</s:t>
              </s:r>
            </s:text>
          </item>
        </commentChain>
      </unresolved>
      <resolved/>
    </commentChains>
    <commentChains s:ref="AI53" rgbClr="FF0000">
      <unresolved>
        <commentChain chainId="e8529bb2e93ba161ea1e7f056f2bd43119871dc4">
          <item id="061fe599a83987ddabda002e4b0d5955737aa81b" isNormal="1">
            <s:text>
              <s:r>
                <s:t xml:space="preserve">Administrator:
0001069 5/24 1608pcs华3B15</s:t>
              </s:r>
            </s:text>
          </item>
        </commentChain>
      </unresolved>
      <resolved/>
    </commentChains>
    <commentChains s:ref="AL53" rgbClr="FF0000">
      <unresolved>
        <commentChain chainId="8cb6f451a73f99974ff94fe7cb2e264b65432f15">
          <item id="4b324fb7e43cfca61ad8e43cc25599666a17f6a9" isNormal="1">
            <s:text>
              <s:r>
                <s:t xml:space="preserve">Administrator:
4/30 上UPC贴纸1608pcs</s:t>
              </s:r>
            </s:text>
          </item>
        </commentChain>
      </unresolved>
      <resolved/>
    </commentChains>
    <commentChains s:ref="AI54" rgbClr="FF0000">
      <unresolved>
        <commentChain chainId="8566754ae8fc0e3922007c20fd264183d5c0b59f">
          <item id="94333b30a7518bd969e075a3f8b8296814d6abff" isNormal="1">
            <s:text>
              <s:r>
                <s:t xml:space="preserve">Administrator:
0001076 5/23 6000pcs华一F3</s:t>
              </s:r>
            </s:text>
          </item>
        </commentChain>
      </unresolved>
      <resolved/>
    </commentChains>
    <commentChains s:ref="AI55" rgbClr="FF0000">
      <unresolved>
        <commentChain chainId="435acdc9472d44c9fb7c2ea7ed24d4b5b8b1e3c0">
          <item id="cd9ba586853248ac5a73648b2b309610365a5655" isNormal="1">
            <s:text>
              <s:r>
                <s:t xml:space="preserve">Administrator:
0001076 5/23 1000pcs华3B14</s:t>
              </s:r>
            </s:text>
          </item>
        </commentChain>
      </unresolved>
      <resolved/>
    </commentChains>
    <commentChains s:ref="AL55" rgbClr="FF0000">
      <unresolved>
        <commentChain chainId="cb5747b5d8071dd62809247f92926066bfd25fd1">
          <item id="71b6d623931fb96ba6c8e41038c0d20f557342af" isNormal="1">
            <s:text>
              <s:r>
                <s:t xml:space="preserve">Administrator:
4/15 上WEEE声明通用说明书带电池1000pcs
</s:t>
              </s:r>
            </s:text>
          </item>
        </commentChain>
      </unresolved>
      <resolved/>
    </commentChains>
    <commentChains s:ref="AI56" rgbClr="FF0000">
      <unresolved>
        <commentChain chainId="a158b71a3fdfdef02684fdcda318364a7be949a3">
          <item id="5f086574f209bcd1afe4dd85498acd45d73d41a8" isNormal="1">
            <s:text>
              <s:r>
                <s:t xml:space="preserve">Administrator:
0001070 5/24 360pcs华3B8</s:t>
              </s:r>
            </s:text>
          </item>
        </commentChain>
      </unresolved>
      <resolved/>
    </commentChains>
    <commentChains s:ref="AL56" rgbClr="FF0000">
      <unresolved>
        <commentChain chainId="3d03b9392edd2a84d6bb1669dfa68ad6ecb88525">
          <item id="3b76a9f6f96950369c9b280b8bccbbc45503ccf8" isNormal="1">
            <s:text>
              <s:r>
                <s:t xml:space="preserve">Administrator:
4/25 上UPC条码贴纸360pcs
进口商贴纸360pcs
</s:t>
              </s:r>
            </s:text>
          </item>
        </commentChain>
      </unresolved>
      <resolved/>
    </commentChains>
    <commentChains s:ref="AI57" rgbClr="FF0000">
      <unresolved>
        <commentChain chainId="70fc30f97c326f919ee296aa251d7c983af513b0">
          <item id="ff6c91c7074d8956536c20bc66156f3c6076b062" isNormal="1">
            <s:text>
              <s:r>
                <s:t xml:space="preserve">Administrator:
0001070 5/24 396pcs华3B8</s:t>
              </s:r>
            </s:text>
          </item>
        </commentChain>
      </unresolved>
      <resolved/>
    </commentChains>
    <commentChains s:ref="AL57" rgbClr="FF0000">
      <unresolved>
        <commentChain chainId="ebe229a3a84609f73736e197b08bfec58f8df2b0">
          <item id="1554d6e705dc563958a046ecb9b303c6c932825d" isNormal="1">
            <s:text>
              <s:r>
                <s:t xml:space="preserve">Administrator:
4/25 上UPC条码贴纸396pcs
进口商贴纸396pcs</s:t>
              </s:r>
            </s:text>
          </item>
        </commentChain>
      </unresolved>
      <resolved/>
    </commentChains>
    <commentChains s:ref="AI58" rgbClr="FF0000">
      <unresolved>
        <commentChain chainId="c664c463633cf58a97c5682efb14c1bd1c6707e9">
          <item id="2ba6213939a27610d557d83ce9af0e6231f0a501" isNormal="1">
            <s:text>
              <s:r>
                <s:t xml:space="preserve">Administrator:
0001070 5/24 540pcs华3B14</s:t>
              </s:r>
            </s:text>
          </item>
        </commentChain>
      </unresolved>
      <resolved/>
    </commentChains>
    <commentChains s:ref="AL58" rgbClr="FF0000">
      <unresolved>
        <commentChain chainId="83fb5e5ace9e38d8fb372cbf0c43df66c75bef4d">
          <item id="04877aa900970cb1192b45e8ab68d20cd52878f7" isNormal="1">
            <s:text>
              <s:r>
                <s:t xml:space="preserve">Administrator:
4/25 上UPC条码贴纸540pcs
进口商贴纸540pcs
</s:t>
              </s:r>
            </s:text>
          </item>
        </commentChain>
      </unresolved>
      <resolved/>
    </commentChains>
    <commentChains s:ref="AI59" rgbClr="FF0000">
      <unresolved>
        <commentChain chainId="aa9be8c604b99072e99aea90dadde4dc12ac2b9c">
          <item id="05df861e00d892a624b204000c282c1faa4be205" isNormal="1">
            <s:text>
              <s:r>
                <s:t xml:space="preserve">Administrator:
0000915 5/22 640pcs</s:t>
              </s:r>
            </s:text>
          </item>
        </commentChain>
      </unresolved>
      <resolved/>
    </commentChains>
    <commentChains s:ref="AI60" rgbClr="FF0000">
      <unresolved>
        <commentChain chainId="ca4d143df4fec9728d56079d89d1c79c0daa3328">
          <item id="b9282f191c104a71ce1c6c6ee29955b649966094" isNormal="1">
            <s:text>
              <s:r>
                <s:t xml:space="preserve">Administrator:
0000915 5/22 1440pcs
</s:t>
              </s:r>
            </s:text>
          </item>
        </commentChain>
      </unresolved>
      <resolved/>
    </commentChains>
    <commentChains s:ref="AI61" rgbClr="FF0000">
      <unresolved>
        <commentChain chainId="3f9a9bcc822f54a623d5458a9b5209e071e40354">
          <item id="6c781dcd97206e9fc7ab061269b4fd53afe7295a" isNormal="1">
            <s:text>
              <s:r>
                <s:t xml:space="preserve">Administrator:
2000722 5/27 3304pcs华3A24</s:t>
              </s:r>
            </s:text>
          </item>
        </commentChain>
      </unresolved>
      <resolved/>
    </commentChains>
    <commentChains s:ref="AL61" rgbClr="FF0000">
      <unresolved>
        <commentChain chainId="12deee46effdcc92f95aa375c1b1dca09fc43903">
          <item id="8449481e5afc632fa01ec5cd8ff0968a89e26cda" isNormal="1">
            <s:text>
              <s:r>
                <s:t xml:space="preserve">Administrator:
3/21 上客供RFID贴纸3304pcs
4/11 上粉色艾利贴纸826pcs</s:t>
              </s:r>
            </s:text>
          </item>
        </commentChain>
      </unresolved>
      <resolved/>
    </commentChains>
    <commentChains s:ref="AI62" rgbClr="FF0000">
      <unresolved>
        <commentChain chainId="c587a42648095acf096b776824f018100dfe7c14">
          <item id="828da956a9508644eabedddfb65bf7c9fc84b9de" isNormal="1">
            <s:text>
              <s:r>
                <s:t xml:space="preserve">Administrator:
2000722 5/27 3320pcs
华3A24</s:t>
              </s:r>
            </s:text>
          </item>
        </commentChain>
      </unresolved>
      <resolved/>
    </commentChains>
    <commentChains s:ref="AL62" rgbClr="FF0000">
      <unresolved>
        <commentChain chainId="8e4d4fe511a4481685c0d9c54f15d82340054003">
          <item id="625c752ad73910b70409495657bc7934ad5ee4f4" isNormal="1">
            <s:text>
              <s:r>
                <s:t xml:space="preserve">Administrator:
3/21 上客供RFID贴纸3320pcs
4/11 上粉色艾利贴纸830pcs
</s:t>
              </s:r>
            </s:text>
          </item>
        </commentChain>
      </unresolved>
      <resolved/>
    </commentChains>
    <commentChains s:ref="AI63" rgbClr="FF0000">
      <unresolved>
        <commentChain chainId="59779bdb569e1b4f6587f4a35fcfcf8d01905ec0">
          <item id="5d96276e8b463bfa8af260e7cbb51a089ee34028" isNormal="1">
            <s:text>
              <s:r>
                <s:t xml:space="preserve">Administrator:
2000713 5/28 912pcs华3B11</s:t>
              </s:r>
            </s:text>
          </item>
        </commentChain>
      </unresolved>
      <resolved/>
    </commentChains>
    <commentChains s:ref="AL63" rgbClr="FF0000">
      <unresolved>
        <commentChain chainId="71722c1d3aa5b4c61034653d84cb648a10277778">
          <item id="ee2f369fb970c87228711e5da2cff04f40894807" isNormal="1">
            <s:text>
              <s:r>
                <s:t xml:space="preserve">Administrator:
4/15 上客供RFID贴纸912pcs
</s:t>
              </s:r>
            </s:text>
          </item>
        </commentChain>
      </unresolved>
      <resolved/>
    </commentChains>
    <commentChains s:ref="AI64" rgbClr="FF0000">
      <unresolved>
        <commentChain chainId="e15f37301e133dc3ddd597594629891b4e9360d0">
          <item id="f449a8d2910973d0d5d9afee1f5db9328beb1efa" isNormal="1">
            <s:text>
              <s:r>
                <s:t xml:space="preserve">Administrator:
2000726 5/26 196pcs莫4B8
2000720 5/27 4pcs
兴信</s:t>
              </s:r>
            </s:text>
          </item>
        </commentChain>
      </unresolved>
      <resolved/>
    </commentChains>
    <commentChains s:ref="AM64" rgbClr="FF0000">
      <unresolved>
        <commentChain chainId="2de59d66ba59b4bfaf14ecc2046b1d5c72754126">
          <item id="fff9a66b045319391aa45453c66f4978c078e408" isNormal="1">
            <s:text>
              <s:r>
                <s:t xml:space="preserve">Administrator:
5/12 上挪威语警语贴纸200pcs
5/12 带纽扣电池走货北欧六语通用黑白电池说明书200pcs</s:t>
              </s:r>
            </s:text>
          </item>
        </commentChain>
      </unresolved>
      <resolved/>
    </commentChains>
    <commentChains s:ref="AI65" rgbClr="FF0000">
      <unresolved>
        <commentChain chainId="f32066a756c1cff683a4bf4970bdccc4a73f0b17">
          <item id="dbe56ae2d431386234fb8e28a86c1982c7b377b6" isNormal="1">
            <s:text>
              <s:r>
                <s:t xml:space="preserve">Administrator:
2000720 5/27 240pcs
华3B9</s:t>
              </s:r>
            </s:text>
          </item>
        </commentChain>
      </unresolved>
      <resolved/>
    </commentChains>
    <commentChains s:ref="AL65" rgbClr="FF0000">
      <unresolved>
        <commentChain chainId="59eb0f4cae643062bc1756a4240225c7c56bb6fb">
          <item id="0b818baa5b0ec02144d44d1c25ff5286e678ac96" isNormal="1">
            <s:text>
              <s:r>
                <s:t xml:space="preserve">Administrator:
4/21 带纽扣电池走货北欧六语通用黑白电池说明书240pcs
4/25 上警告语贴纸240pcs</s:t>
              </s:r>
            </s:text>
          </item>
        </commentChain>
      </unresolved>
      <resolved/>
    </commentChains>
    <commentChains s:ref="AI66" rgbClr="FF0000">
      <unresolved>
        <commentChain chainId="e246ce817a6f6fb6184de81da0d6d67693fd2433">
          <item id="5c9a2cd9a9f770b708af715b27a00a0f6287d49a" isNormal="1">
            <s:text>
              <s:r>
                <s:t xml:space="preserve">Administrator:
2000707 5/28 800pcs华一B2</s:t>
              </s:r>
            </s:text>
          </item>
        </commentChain>
      </unresolved>
      <resolved/>
    </commentChains>
    <commentChains s:ref="AI67" rgbClr="FF0000">
      <unresolved>
        <commentChain chainId="aa5eca110a02fc2959a30ae495f87fe7fc4e0236">
          <item id="fcb8cae174b9640a1f4afd4177033a29834e1301" isNormal="1">
            <s:text>
              <s:r>
                <s:t xml:space="preserve">Administrator:
2000713 5/28 1200pcs直走</s:t>
              </s:r>
            </s:text>
          </item>
        </commentChain>
      </unresolved>
      <resolved/>
    </commentChains>
    <commentChains s:ref="AL67" rgbClr="FF0000">
      <unresolved>
        <commentChain chainId="044a68489f77067a331b018f70c10b8692b86952">
          <item id="dde43eddc0dfd0066d9706c910a1b5e1c44ccb1a" isNormal="1">
            <s:text>
              <s:r>
                <s:t xml:space="preserve">Administrator:
5/6 上多语警语折叠贴纸1200pcs
5/12 30L WEEE带电池走货说明书1200pcs
5/14 5L（PL+HU+CZ+SK+RO )贴纸1200pcs
</s:t>
              </s:r>
            </s:text>
          </item>
        </commentChain>
      </unresolved>
      <resolved/>
    </commentChains>
    <commentChains s:ref="AI68" rgbClr="FF0000">
      <unresolved>
        <commentChain chainId="89564831fff9a19e775e81a40f69cf92a7080c90">
          <item id="149532474b3b0a3506a1a8eebb93c89616ee2bdb" isNormal="1">
            <s:text>
              <s:r>
                <s:t xml:space="preserve">Administrator:
2000707 5/28 540pcs兴信</s:t>
              </s:r>
            </s:text>
          </item>
        </commentChain>
      </unresolved>
      <resolved/>
    </commentChains>
    <commentChains s:ref="AL68" rgbClr="FF0000">
      <unresolved>
        <commentChain chainId="86a028dd42fd0bc6d1bd357ecf84e1aef2ba1eb3">
          <item id="6255b02b563f175bd47ffa8207af738a37085926" isNormal="1">
            <s:text>
              <s:r>
                <s:t xml:space="preserve">Administrator:
5/7 WEEE 带电池走货 通用30L 说明书540pcs
德语警告语贴纸540pcs
 产品图片贴纸540pcs</s:t>
              </s:r>
            </s:text>
          </item>
        </commentChain>
      </unresolved>
      <resolved/>
    </commentChains>
    <commentChains s:ref="AI69" rgbClr="FF0000">
      <unresolved>
        <commentChain chainId="1f0559db6224de1eb0e52b8fef4d0bb8e6545a8b">
          <item id="038fd64e75d6b94dab9d4b471610dd64daca3621" isNormal="1">
            <s:text>
              <s:r>
                <s:t xml:space="preserve">Administrator:
2000720 5/27 1104pcs华3A18</s:t>
              </s:r>
            </s:text>
          </item>
        </commentChain>
      </unresolved>
      <resolved/>
    </commentChains>
    <commentChains s:ref="AL69" rgbClr="FF0000">
      <unresolved>
        <commentChain chainId="e67acd61c16fc6031b294d452eb14e66a243ff4c">
          <item id="88f18463b28f63682a4386901ef3d1230123e11f" isNormal="1">
            <s:text>
              <s:r>
                <s:t xml:space="preserve">Administrator:
4/15 上客供RFID贴纸1104pcs
</s:t>
              </s:r>
            </s:text>
          </item>
        </commentChain>
      </unresolved>
      <resolved/>
    </commentChains>
    <commentChains s:ref="AI70" rgbClr="FF0000">
      <unresolved>
        <commentChain chainId="42c065febeae2d3971195253bb5759393813204b">
          <item id="15cd7dfb88eb50c28306f1f977605fa7ef75897a" isNormal="1">
            <s:text>
              <s:r>
                <s:t xml:space="preserve">Administrator:
2000682 5/26 240pcs华3B14</s:t>
              </s:r>
            </s:text>
          </item>
        </commentChain>
      </unresolved>
      <resolved/>
    </commentChains>
    <commentChains s:ref="AL70" rgbClr="FF0000">
      <unresolved>
        <commentChain chainId="a734b508259fc679323f1b63bdf69ef3c128349e">
          <item id="2e45b8693e65df420516202bc8b0e44f54d415b1" isNormal="1">
            <s:text>
              <s:r>
                <s:t xml:space="preserve">Administrator:
4/21 上西班牙环保标/邮箱贴纸240pcs</s:t>
              </s:r>
            </s:text>
          </item>
        </commentChain>
      </unresolved>
      <resolved/>
    </commentChains>
    <commentChains s:ref="AI71" rgbClr="FF0000">
      <unresolved>
        <commentChain chainId="ee6e50e5204aa8befe93c6be5343aba5ae87740f">
          <item id="d4cc0cc419895ae28fa1debf4e908c2892ee5fa0" isNormal="1">
            <s:text>
              <s:r>
                <s:t xml:space="preserve">Administrator:
2000720 5/27 156pcs
华3B9</s:t>
              </s:r>
            </s:text>
          </item>
        </commentChain>
      </unresolved>
      <resolved/>
    </commentChains>
    <commentChains s:ref="AL71" rgbClr="FF0000">
      <unresolved>
        <commentChain chainId="594e718c5b283677ffbb38cd8c9778f9d5b73d9e">
          <item id="2fe00c1b06a26182e95a21ad55a764525497f426" isNormal="1">
            <s:text>
              <s:r>
                <s:t xml:space="preserve">Administrator:
5/7 上客人白色CALLABEL贴纸156pcs
</s:t>
              </s:r>
            </s:text>
          </item>
        </commentChain>
      </unresolved>
      <resolved/>
    </commentChains>
    <commentChains s:ref="AI72" rgbClr="FF0000">
      <unresolved>
        <commentChain chainId="529f0325cb4f166017155d6ccf106533479ecad7">
          <item id="fd9e72b74b74df47bbdf29b75189ef0dac02f976" isNormal="1">
            <s:text>
              <s:r>
                <s:t xml:space="preserve">Administrator:
2002571 6/2 320pcs华3B4</s:t>
              </s:r>
            </s:text>
          </item>
        </commentChain>
      </unresolved>
      <resolved/>
    </commentChains>
    <commentChains s:ref="AL72" rgbClr="FF0000">
      <unresolved>
        <commentChain chainId="ae39f5eab85d57f38329926359e68f3010f404a9">
          <item id="0f956fb457b3135cff43a191f90dcfd3ff2d303b" isNormal="1">
            <s:text>
              <s:r>
                <s:t xml:space="preserve">Administrator:
5/14 上WEE
E电池垃圾桶的回收声明说明书320pcs
5/14 上警语贴纸320pcs</s:t>
              </s:r>
            </s:text>
          </item>
        </commentChain>
      </unresolved>
      <resolved/>
    </commentChains>
    <commentChains s:ref="AI73" rgbClr="FF0000">
      <unresolved>
        <commentChain chainId="e2eeb6a80760be791f7464fb5475882c49e79993">
          <item id="857c1886b54c7e84b3d5132f2b1790b8511316a1" isNormal="1">
            <s:text>
              <s:r>
                <s:t xml:space="preserve">Administrator:
2002440 6/2 12pcs华3B14</s:t>
              </s:r>
            </s:text>
          </item>
        </commentChain>
      </unresolved>
      <resolved/>
    </commentChains>
    <commentChains s:ref="AI74" rgbClr="FF0000">
      <unresolved>
        <commentChain chainId="f497caef367b3f5a6c15dc8e667bfaface0000a3">
          <item id="f9dd3dfd50939bbec4aef19604b392e0a791e92a" isNormal="1">
            <s:text>
              <s:r>
                <s:t xml:space="preserve">Administrator:
2002440 6/2 300pcs华3A16
</s:t>
              </s:r>
            </s:text>
          </item>
        </commentChain>
      </unresolved>
      <resolved/>
    </commentChains>
    <commentChains s:ref="AI75" rgbClr="FF0000">
      <unresolved>
        <commentChain chainId="f418569d9ea1b661104d0336aadc609d6ef77fc8">
          <item id="b00bcbf2b696e5e04d5484d42fb49a1df33019f8" isNormal="1">
            <s:text>
              <s:r>
                <s:t xml:space="preserve">Administrator:
2002440 6/2 960pcs华3B11
</s:t>
              </s:r>
            </s:text>
          </item>
        </commentChain>
      </unresolved>
      <resolved/>
    </commentChains>
    <commentChains s:ref="AL75" rgbClr="FF0000">
      <unresolved>
        <commentChain chainId="2029c5b0946e1ce1ebd6ea5935e9da6af6382fc8">
          <item id="8f5f3669acfd4dac89374a39a0af3c05f2d4f50b" isNormal="1">
            <s:text>
              <s:r>
                <s:t xml:space="preserve">Administrator:
5/16 警告语/进口商贴纸960pcs
带纽扣电池走货北欧六语通用黑白电池说
 明书960pcs</s:t>
              </s:r>
            </s:text>
          </item>
        </commentChain>
      </unresolved>
      <resolved/>
    </commentChains>
    <commentChains s:ref="AI76" rgbClr="FF0000">
      <unresolved>
        <commentChain chainId="428f14dfc5429059a557f08e1e41a9bd2df2134b">
          <item id="98790e8bbd37c49b18c2232df54fc50c1f44d308" isNormal="1">
            <s:text>
              <s:r>
                <s:t xml:space="preserve">Administrator:
2000720 5/27 504pcs
华3A26</s:t>
              </s:r>
            </s:text>
          </item>
        </commentChain>
      </unresolved>
      <resolved/>
    </commentChains>
    <commentChains s:ref="AL76" rgbClr="FF0000">
      <unresolved>
        <commentChain chainId="81481ea6d0a7d6d4de4e421f35d400fe364b098d">
          <item id="2cace63445e49e7e917b383111863f3ce829ca36" isNormal="1">
            <s:text>
              <s:r>
                <s:t xml:space="preserve">Administrator:
4/25 上包装电池警告语贴纸504pcs
包装+说明书电池警告语贴纸1008pcs</s:t>
              </s:r>
            </s:text>
          </item>
        </commentChain>
      </unresolved>
      <resolved/>
    </commentChains>
    <commentChains s:ref="AI77" rgbClr="FF0000">
      <unresolved>
        <commentChain chainId="c67eb5fd08c2cab2628dade7a2ea2962948cfbea">
          <item id="3f585ae98c3570f99ba8c47a089b79e3554dca0f" isNormal="1">
            <s:text>
              <s:r>
                <s:t xml:space="preserve">Administrator:
0001069 5/24 1500pcs华3B16</s:t>
              </s:r>
            </s:text>
          </item>
        </commentChain>
      </unresolved>
      <resolved/>
    </commentChains>
    <commentChains s:ref="AL77" rgbClr="FF0000">
      <unresolved>
        <commentChain chainId="9e42ead776f803cace70be39250d278b130d7abd">
          <item id="5d26d737086c042c9e5a676361268005f8bf61bf" isNormal="1">
            <s:text>
              <s:r>
                <s:t xml:space="preserve">Administrator:
5/12 上说明书纽扣电池警告语贴纸1500pcs
收缩膜纽扣电池警告语贴纸1500pcs
白色防盗贴纸1500pcs
KM单外箱贴纸125pcs</s:t>
              </s:r>
            </s:text>
          </item>
        </commentChain>
      </unresolved>
      <resolved/>
    </commentChains>
    <commentChains s:ref="AI78" rgbClr="FF0000">
      <unresolved>
        <commentChain chainId="c8319bc99d1c2c6c82461a57c3cb1cdc10917f33">
          <item id="6d5aa4fd1347cafafb899ed55c4155edbb904b0a" isNormal="1">
            <s:text>
              <s:r>
                <s:t xml:space="preserve">Administrator:
2002555 6/4 168pcs兴信</s:t>
              </s:r>
            </s:text>
          </item>
        </commentChain>
      </unresolved>
      <resolved/>
    </commentChains>
    <commentChains s:ref="AI79" rgbClr="FF0000">
      <unresolved>
        <commentChain chainId="47d337c8866ed017f96603c7af751fa1ad256619">
          <item id="0ecc9ce5c59893312581907a69e868d6992ef927" isNormal="1">
            <s:text>
              <s:r>
                <s:t xml:space="preserve">Administrator:
2002555 6/4 20 王付健
2002552 6/4 6680pcs王1-B1</s:t>
              </s:r>
            </s:text>
          </item>
        </commentChain>
      </unresolved>
      <resolved/>
    </commentChains>
    <commentChains s:ref="AL79" rgbClr="FF0000">
      <unresolved>
        <commentChain chainId="10419afe288f5aaba77e4650eb3b445a4c70a3b7">
          <item id="4192613ac17537d4fc526ba6dd6306ff84613f53" isNormal="1">
            <s:text>
              <s:r>
                <s:t xml:space="preserve">Administrator:
5/14 WEEE电池垃圾桶的回收声明说明书6700pcs
5/26 上可折叠语贴纸6700pcs
</s:t>
              </s:r>
            </s:text>
          </item>
        </commentChain>
      </unresolved>
      <resolved/>
    </commentChains>
    <commentChains s:ref="AI80" rgbClr="FF0000">
      <unresolved>
        <commentChain chainId="fc0e628ffa422f8f07a762c777bd69e140488370">
          <item id="7b88d68e16ecfea557942a5a59d3989f0f32ce6e" isNormal="1">
            <s:text>
              <s:r>
                <s:t xml:space="preserve">Administrator:
2002571 6/2 1600pcs华3B12</s:t>
              </s:r>
            </s:text>
          </item>
        </commentChain>
      </unresolved>
      <resolved/>
    </commentChains>
    <commentChains s:ref="AL80" rgbClr="FF0000">
      <unresolved>
        <commentChain chainId="3dac0d6235d8693b19038ee9e98ebc2aa144fa0c">
          <item id="eecf69918f3675ad9859217796c8e08bef80f756" isNormal="1">
            <s:text>
              <s:r>
                <s:t xml:space="preserve">Administrator:
5/14 上进口含意大利环保贴纸3040pcs
5/14 上展示架条码贴纸180pcs
5/27 收到展示架条码贴纸220pcs</s:t>
              </s:r>
            </s:text>
          </item>
        </commentChain>
      </unresolved>
      <resolved/>
    </commentChains>
    <commentChains s:ref="AI81" rgbClr="FF0000">
      <unresolved>
        <commentChain chainId="14097183ae8614431dbae219355cc02f353d8e18">
          <item id="ba2d64d9b59ddfa017c87ccb131b59d75fc4a091" isNormal="1">
            <s:text>
              <s:r>
                <s:t xml:space="preserve">Administrator:
2002392 6/5 480pcs 王 1-A5</s:t>
              </s:r>
            </s:text>
          </item>
        </commentChain>
      </unresolved>
      <resolved/>
    </commentChains>
    <commentChains s:ref="AL81" rgbClr="FF0000">
      <unresolved>
        <commentChain chainId="917290fa42cf13adfd6f799ae2c12973b46754e8">
          <item id="f99ec491063ce6bc590221c8100dd7f770782cf5" isNormal="1">
            <s:text>
              <s:r>
                <s:t xml:space="preserve">Administrator:
5/20 上PDQ进口商贴纸160pcs</s:t>
              </s:r>
            </s:text>
          </item>
        </commentChain>
      </unresolved>
      <resolved/>
    </commentChains>
    <commentChains s:ref="AI82" rgbClr="FF0000">
      <unresolved>
        <commentChain chainId="b716348ac685754aacccb097748da64edefb2cc2">
          <item id="b5141dc2de4ea67dd411907d5af5ac45969a9f06" isNormal="1">
            <s:text>
              <s:r>
                <s:t xml:space="preserve">Administrator:
2002369 6/5 1800pcs
王 1-A4</s:t>
              </s:r>
            </s:text>
          </item>
        </commentChain>
      </unresolved>
      <resolved/>
    </commentChains>
    <commentChains s:ref="AL82" rgbClr="FF0000">
      <unresolved>
        <commentChain chainId="0213aa427587392e3d6ba274d825c34b57cf7502">
          <item id="9c40c40cde9c32e3798d54810d3009c8c987b815" isNormal="1">
            <s:text>
              <s:r>
                <s:t xml:space="preserve">Administrator:
5/14 上进口商贴纸1800pcs</s:t>
              </s:r>
            </s:text>
          </item>
        </commentChain>
      </unresolved>
      <resolved/>
    </commentChains>
    <commentChains s:ref="AI83" rgbClr="FF0000">
      <unresolved>
        <commentChain chainId="8399a252975cc087d61244bba593313da3cac6bd">
          <item id="47a149ddb4876df0ceb9e64f980cc531d58ec5ff" isNormal="1">
            <s:text>
              <s:r>
                <s:t xml:space="preserve">Administrator:
2002530 6/6 504PCS
 WANG 1-A8</s:t>
              </s:r>
            </s:text>
          </item>
        </commentChain>
      </unresolved>
      <resolved/>
    </commentChains>
    <commentChains s:ref="AL83" rgbClr="FF0000">
      <unresolved>
        <commentChain chainId="25682bf760d9f2ac5417f797221ecd144d00c93a">
          <item id="fa4cc87069664aa7f19ab9ec0f834b44fec326d3" isNormal="1">
            <s:text>
              <s:r>
                <s:t xml:space="preserve">Administrator:
5/19 上亚马逊外箱贴纸42pcs
5/20 上UPC贴纸504pcs
5/26 上可折叠语贴纸504pcs
</s:t>
              </s:r>
            </s:text>
          </item>
        </commentChain>
      </unresolved>
      <resolved/>
    </commentChains>
    <commentChains s:ref="AI84" rgbClr="FF0000">
      <unresolved>
        <commentChain chainId="cd32f8ef977b11b05f42943812fad1c22c009ad0">
          <item id="6e940ec42de25f6ce49a8657fe0fa2d80a9e6c1c" isNormal="1">
            <s:text>
              <s:r>
                <s:t xml:space="preserve">Administrator:
2002510 6/7 504pcs华 3B16</s:t>
              </s:r>
            </s:text>
          </item>
        </commentChain>
      </unresolved>
      <resolved/>
    </commentChains>
    <commentChains s:ref="AL84" rgbClr="FF0000">
      <unresolved>
        <commentChain chainId="fb7f7a06ef477c0008cb6670e9677b10b045eb7d">
          <item id="c0dca3d85bebb14b985aeba66a3d94cce9fb8147" isNormal="1">
            <s:text>
              <s:r>
                <s:t xml:space="preserve">Administrator:
5/14 WEEE带电池 走货欧洲30L通用黑白说明书504pcs</s:t>
              </s:r>
            </s:text>
          </item>
        </commentChain>
      </unresolved>
      <resolved/>
    </commentChains>
    <commentChains s:ref="AI85" rgbClr="FF0000">
      <unresolved>
        <commentChain chainId="c52859a0831c2cd7cfd8b58df98afe8203c26a4f">
          <item id="53a52823fede775df1d6387837210f00b0aa02b5" isNormal="1">
            <s:text>
              <s:r>
                <s:t xml:space="preserve">Administrator:
2002496 6/14 48pcs</s:t>
              </s:r>
            </s:text>
          </item>
        </commentChain>
      </unresolved>
      <resolved/>
    </commentChains>
    <commentChains s:ref="AI86" rgbClr="FF0000">
      <unresolved>
        <commentChain chainId="d3f811cae1c3a42aeeaa411813822999a6a3a7dd">
          <item id="2a01fbcef9ded6214d2f8f2757f7dc12085bb737" isNormal="1">
            <s:text>
              <s:r>
                <s:t xml:space="preserve">Administrator:
2002297 6/9 728pcs莫
2002262 6/11 4pcsa</s:t>
              </s:r>
            </s:text>
          </item>
        </commentChain>
      </unresolved>
      <resolved/>
    </commentChains>
    <commentChains s:ref="AL86" rgbClr="FF0000">
      <unresolved>
        <commentChain chainId="514ea596f08752f8188f521faa11983c036699f1">
          <item id="d9fd6a4787ce085663e220fa922de97fb08cdc8f" isNormal="1">
            <s:text>
              <s:r>
                <s:t xml:space="preserve">Administrator:
5/12 上客供RFID 贴纸732pcs</s:t>
              </s:r>
            </s:text>
          </item>
        </commentChain>
      </unresolved>
      <resolved/>
    </commentChains>
    <commentChains s:ref="AI87" rgbClr="FF0000">
      <unresolved>
        <commentChain chainId="af8dfad77883a7554bffb9fe4eb3f52678c3a821">
          <item id="4266529b9dcc1ba0ef3a34045d9a2e36103713ad" isNormal="1">
            <s:text>
              <s:r>
                <s:t xml:space="preserve">Administrator:
2002297 6/9 740pcs莫</s:t>
              </s:r>
            </s:text>
          </item>
        </commentChain>
      </unresolved>
      <resolved/>
    </commentChains>
    <commentChains s:ref="AL87" rgbClr="FF0000">
      <unresolved>
        <commentChain chainId="ac5f01bcc5c4970bf198107fb03701e0df2aa0c0">
          <item id="7c085ed3340a238b64974e80b99569d65cb49f07" isNormal="1">
            <s:text>
              <s:r>
                <s:t xml:space="preserve">Administrator:
5/12 上客供RFID贴纸740pcs
</s:t>
              </s:r>
            </s:text>
          </item>
        </commentChain>
      </unresolved>
      <resolved/>
    </commentChains>
    <commentChains s:ref="AI88" rgbClr="FF0000">
      <unresolved>
        <commentChain chainId="4745b01149def431482ac527456ab9f0bf22b21d">
          <item id="023e39842a2493084100a47d754cae101fe16423" isNormal="1">
            <s:text>
              <s:r>
                <s:t xml:space="preserve">Administrator:
2002297 6/9 652pcs莫
2002262 6/11 4pcs</s:t>
              </s:r>
            </s:text>
          </item>
        </commentChain>
      </unresolved>
      <resolved/>
    </commentChains>
    <commentChains s:ref="AL88" rgbClr="FF0000">
      <unresolved>
        <commentChain chainId="3c373e81dbc8f827ce40d8be6d5e28ba4e4b3014">
          <item id="e42d6dcc78a17a4bf87a71511c49b9837942e71f" isNormal="1">
            <s:text>
              <s:r>
                <s:t xml:space="preserve">Administrator:
5/12 上客供RFID贴纸656pcs
</s:t>
              </s:r>
            </s:text>
          </item>
        </commentChain>
      </unresolved>
      <resolved/>
    </commentChains>
    <commentChains s:ref="AI89" rgbClr="FF0000">
      <unresolved>
        <commentChain chainId="335e07ffaa87845dac307b76688c076e97e4c712">
          <item id="582afa0d9f53c9cebdf5b0c877493a80c030c841" isNormal="1">
            <s:text>
              <s:r>
                <s:t xml:space="preserve">Administrator:
2002297 6/9 836pcs莫
2002262 6/11 12pcs</s:t>
              </s:r>
            </s:text>
          </item>
        </commentChain>
      </unresolved>
      <resolved/>
    </commentChains>
    <commentChains s:ref="AL89" rgbClr="FF0000">
      <unresolved>
        <commentChain chainId="7b18e3b52d6b9568b5e8f8acbf40c48dfea37726">
          <item id="c2957d9f7b4324a85a22505a628d6a0ce78225b8" isNormal="1">
            <s:text>
              <s:r>
                <s:t xml:space="preserve">Administrator:
5/12 上客供RFID贴纸848pcs</s:t>
              </s:r>
            </s:text>
          </item>
        </commentChain>
      </unresolved>
      <resolved/>
    </commentChains>
    <commentChains s:ref="AI90" rgbClr="FF0000">
      <unresolved>
        <commentChain chainId="1b0ef0949ad8becd9ae0cda550381ae7b3e87227">
          <item id="36c0ad657ab60d88f6f7481ef1765dfd85506f57" isNormal="1">
            <s:text>
              <s:r>
                <s:t xml:space="preserve">Administrator:
2002297 6/9 792pcs莫
2002262 6/11 4pcs</s:t>
              </s:r>
            </s:text>
          </item>
        </commentChain>
      </unresolved>
      <resolved/>
    </commentChains>
    <commentChains s:ref="AL90" rgbClr="FF0000">
      <unresolved>
        <commentChain chainId="dbe0aa327222ac8381cb34d8ca9ca240ac031ac7">
          <item id="7ff8387820f67ea4d000bd0bc53225d7e88373ac" isNormal="1">
            <s:text>
              <s:r>
                <s:t xml:space="preserve">Administrator:
5/12 上客供RFID贴纸796pcs</s:t>
              </s:r>
            </s:text>
          </item>
        </commentChain>
      </unresolved>
      <resolved/>
    </commentChains>
    <commentChains s:ref="AI91" rgbClr="FF0000">
      <unresolved>
        <commentChain chainId="db60040ce5d6294c9baf03724965c2381323a2f8">
          <item id="5ee0a38f602750246959f4371ddb3d1e1eb62b06" isNormal="1">
            <s:text>
              <s:r>
                <s:t xml:space="preserve">Administrator:
2002308 6/7 512pcs直走</s:t>
              </s:r>
            </s:text>
          </item>
        </commentChain>
      </unresolved>
      <resolved/>
    </commentChains>
    <commentChains s:ref="AL91" rgbClr="FF0000">
      <unresolved>
        <commentChain chainId="2ec6989d8a2b65edf2600ec2282afae2b5716b6e">
          <item id="e262051fcb7e1fcec804d321424c0f4dafb7c500" isNormal="1">
            <s:text>
              <s:r>
                <s:t xml:space="preserve">Administrator:
5/14 WEEE电池垃圾桶的回收声明说明书512pcs
</s:t>
              </s:r>
            </s:text>
          </item>
        </commentChain>
      </unresolved>
      <resolved/>
    </commentChains>
    <commentChains s:ref="AI92" rgbClr="FF0000">
      <unresolved>
        <commentChain chainId="a744907390d0ee4a603e559bcd283832cebdc5b0">
          <item id="536ef1fad102b34c2834446065b4b7809cc8421d" isNormal="1">
            <s:text>
              <s:r>
                <s:t xml:space="preserve">Administrator:
2002523 6/6 480pcs 王1-A9</s:t>
              </s:r>
            </s:text>
          </item>
        </commentChain>
      </unresolved>
      <resolved/>
    </commentChains>
    <commentChains s:ref="AL92" rgbClr="FF0000">
      <unresolved>
        <commentChain chainId="1e174da7550522def23abb6ab335a280375a50ff">
          <item id="df892e104f5f316a1c87497cc2b035613ecf0723" isNormal="1">
            <s:text>
              <s:r>
                <s:t xml:space="preserve">Administrator:
5/9 上彩盒+收缩膜进口商贴纸600pcs
5/19 上说明书480pcs
5/21 上彩盒+收缩膜进口商贴纸480pcs补订
</s:t>
              </s:r>
            </s:text>
          </item>
        </commentChain>
      </unresolved>
      <resolved/>
    </commentChains>
    <commentChains s:ref="AI93" rgbClr="FF0000">
      <unresolved>
        <commentChain chainId="985140bbf54bbca8c0097247de10391afd0c57fe">
          <item id="a5cea1de4dc07ce66079ff77f6bd500aee24b9c8" isNormal="1">
            <s:text>
              <s:r>
                <s:t xml:space="preserve">Administrator:
2002541 6/5 540pcs</s:t>
              </s:r>
            </s:text>
          </item>
        </commentChain>
      </unresolved>
      <resolved/>
    </commentChains>
    <commentChains s:ref="AL93" rgbClr="FF0000">
      <unresolved>
        <commentChain chainId="791b2e8f0060d8bbb866e3b7e2c93d0b046b7508">
          <item id="acc5d61cfbe1c8738183cbe646bfc6a2452e413c" isNormal="1">
            <s:text>
              <s:r>
                <s:t xml:space="preserve">Administrator:
5/9 上意大利环保标通用地址贴纸540pcs
6/10 上30LWEEE说明书540pcs</s:t>
              </s:r>
            </s:text>
          </item>
        </commentChain>
      </unresolved>
      <resolved/>
    </commentChains>
    <commentChains s:ref="AL95" rgbClr="FF0000">
      <unresolved>
        <commentChain chainId="623a5c90fdf0ed37a2f1987be5445c985e30584f">
          <item id="6036629a0ff9a855b416ecb302b021d03d592ee2" isNormal="1">
            <s:text>
              <s:r>
                <s:t xml:space="preserve">Administrator:
4/14 上客供警语贴纸1240pcs
客供电池 警语贴纸1242pcs
客供中文警告说明书630pcs</s:t>
              </s:r>
            </s:text>
          </item>
        </commentChain>
      </unresolved>
      <resolved/>
    </commentChains>
    <commentChains s:ref="AI96" rgbClr="FF0000">
      <unresolved>
        <commentChain chainId="81e9b0391e504035d1a9839703f34ff1e1acc439">
          <item id="18be074a409d584c43f0baf452769a1158bf72d7" isNormal="1">
            <s:text>
              <s:r>
                <s:t xml:space="preserve">Administrator:
2002280 6/9 1800pcs直走</s:t>
              </s:r>
            </s:text>
          </item>
        </commentChain>
      </unresolved>
      <resolved/>
    </commentChains>
    <commentChains s:ref="AL96" rgbClr="FF0000">
      <unresolved>
        <commentChain chainId="affe3f6b6bc96388d94c1ac52bf84aa3caac6b89">
          <item id="21bf1a07b39932269b0c32e7c0f6a44bcbfa2879" isNormal="1">
            <s:text>
              <s:r>
                <s:t xml:space="preserve">Administrator:
5/21 上保证书1800pcs
6/29 上外箱贴纸150pcs
进口商贴纸1800pcs
产品贴纸1800pcs
UPC贴纸1800pcs
说明书1800pcs</s:t>
              </s:r>
            </s:text>
          </item>
        </commentChain>
      </unresolved>
      <resolved/>
    </commentChains>
    <commentChains s:ref="AI98" rgbClr="FF0000">
      <unresolved>
        <commentChain chainId="8309e9b70e2a1d5ff2fe6b26179df64626b7d905">
          <item id="f5d6a907e3033d1a768547105f40058b726c41f4" isNormal="1">
            <s:text>
              <s:r>
                <s:t xml:space="preserve">Administrator:
2000727 5/26 1440pcs送回半成品东莞混装</s:t>
              </s:r>
            </s:text>
          </item>
        </commentChain>
      </unresolved>
      <resolved/>
    </commentChains>
    <commentChains s:ref="AI99" rgbClr="FF0000">
      <unresolved>
        <commentChain chainId="97764af5571101f06e80e70d10aa4520c70c300e">
          <item id="fedcbd95459d7a481e23570285020472efdbabd0" isNormal="1">
            <s:text>
              <s:r>
                <s:t xml:space="preserve">Administrator:
2002276 6/9 976pcs罗3B8
2002267 6/10 24pcs
华3B8</s:t>
              </s:r>
            </s:text>
          </item>
        </commentChain>
      </unresolved>
      <resolved/>
    </commentChains>
    <commentChains s:ref="AL99" rgbClr="FF0000">
      <unresolved>
        <commentChain chainId="006fbc1a53009556590b064de9f1a7a6147b522c">
          <item id="d85152ccd6b94fb4e56eab22ff9aef77db4df616" isNormal="1">
            <s:text>
              <s:r>
                <s:t xml:space="preserve">Administrator:
5/14 WEEE电池垃圾桶的回收声明说明书1000pcs</s:t>
              </s:r>
            </s:text>
          </item>
        </commentChain>
      </unresolved>
      <resolved/>
    </commentChains>
    <commentChains s:ref="AI100" rgbClr="FF0000">
      <unresolved>
        <commentChain chainId="b3c5f73e2f0875560f04e681a19522d56e3e15ca">
          <item id="380438191744842330cb7e8b68cddcf899b88849" isNormal="1">
            <s:text>
              <s:r>
                <s:t xml:space="preserve">Administrator:
2002287 6/10 480pcs华3B12
2002262 6/11 12pcs华3B12</s:t>
              </s:r>
            </s:text>
          </item>
        </commentChain>
      </unresolved>
      <resolved/>
    </commentChains>
    <commentChains s:ref="AL100" rgbClr="FF0000">
      <unresolved>
        <commentChain chainId="a80ab6c49445c112e33dd4fd760266a0369c0096">
          <item id="adec16ac483467f08e2d0c1f09c509defb732dc0" isNormal="1">
            <s:text>
              <s:r>
                <s:t xml:space="preserve">Administrator:
5/12 亚马逊外箱贴纸41pcs
5/26 上可折叠语贴纸492pcs
5/12 上UPc贴纸492pcs</s:t>
              </s:r>
            </s:text>
          </item>
        </commentChain>
      </unresolved>
      <resolved/>
    </commentChains>
    <commentChains s:ref="AI101" rgbClr="FF0000">
      <unresolved>
        <commentChain chainId="e1045eda4f875279aa49f6cc7022e79b17d69b17">
          <item id="9ad7062481848c07d51cc3289a2bdd34eac3baf5" isNormal="1">
            <s:text>
              <s:r>
                <s:t xml:space="preserve">Administrator:
2002287 6/10 480pcs华3B12
2002262 6/11 12pcs华3B12</s:t>
              </s:r>
            </s:text>
          </item>
        </commentChain>
      </unresolved>
      <resolved/>
    </commentChains>
    <commentChains s:ref="AL101" rgbClr="FF0000">
      <unresolved>
        <commentChain chainId="e6474000379d1ed18d9c64bc9e8f1033b676e384">
          <item id="bf0f25a404e9e0e4f635f878ec337e128fb57e4a" isNormal="1">
            <s:text>
              <s:r>
                <s:t xml:space="preserve">Administrator:
5/12 亚马逊外箱贴纸41pcs
5/26 上可折叠语贴纸492pcs
5/12 上UPc贴纸492pcs
</s:t>
              </s:r>
            </s:text>
          </item>
        </commentChain>
      </unresolved>
      <resolved/>
    </commentChains>
    <commentChains s:ref="AI102" rgbClr="FF0000">
      <unresolved>
        <commentChain chainId="96a12b1fe97483c42051c3c9b1f9dc7e485b9782">
          <item id="f4244ec7360ee5facca2a54923d0f300d0a0f82c" isNormal="1">
            <s:text>
              <s:r>
                <s:t xml:space="preserve">Administrator:
2002287 6/10 1380pcs华3A23</s:t>
              </s:r>
            </s:text>
          </item>
        </commentChain>
      </unresolved>
      <resolved/>
    </commentChains>
    <commentChains s:ref="AL102" rgbClr="FF0000">
      <unresolved>
        <commentChain chainId="ebbd51e9b54c2ffc91f526bc0935be55ab9223d1">
          <item id="fe369aae4c6406efabdd93d21f1a4574e3e84331" isNormal="1">
            <s:text>
              <s:r>
                <s:t xml:space="preserve">Administrator:
5/19 上亚马逊外箱贴纸115pcs
5/26 上可折叠语贴纸1380pcs
5/12 上UPc贴纸1380pcs</s:t>
              </s:r>
            </s:text>
          </item>
        </commentChain>
      </unresolved>
      <resolved/>
    </commentChains>
    <commentChains s:ref="AI103" rgbClr="FF0000">
      <unresolved>
        <commentChain chainId="74b412d89c6d1447655245838dc957ec529d90cb">
          <item id="06a637baba0f3c77de3fd82673246c0af758c883" isNormal="1">
            <s:text>
              <s:r>
                <s:t xml:space="preserve">Administrator:
2002287 6/10 756pcs华3B14</s:t>
              </s:r>
            </s:text>
          </item>
        </commentChain>
      </unresolved>
      <resolved/>
    </commentChains>
    <commentChains s:ref="AL103" rgbClr="FF0000">
      <unresolved>
        <commentChain chainId="760bbd32cc2fde4e15f7a8061abee25477cd0c82">
          <item id="b409d9938a48fe57662b71385233d0d58586c103" isNormal="1">
            <s:text>
              <s:r>
                <s:t xml:space="preserve">Administrator:
5/19 上亚马逊外箱贴纸115pcs
5/26 上可折叠语贴纸756pcs
5/12 上UPc贴纸756pcs</s:t>
              </s:r>
            </s:text>
          </item>
        </commentChain>
      </unresolved>
      <resolved/>
    </commentChains>
    <commentChains s:ref="AI104" rgbClr="FF0000">
      <unresolved>
        <commentChain chainId="11448bd28d733e6da99133f4e9e657d065cb358f">
          <item id="4fa83ad6a80713f64d54c5aac0aaf9044e0fb8bb" isNormal="1">
            <s:text>
              <s:r>
                <s:t xml:space="preserve">Administrator:
2002287 6/10 492pcs华3B12</s:t>
              </s:r>
            </s:text>
          </item>
        </commentChain>
      </unresolved>
      <resolved/>
    </commentChains>
    <commentChains s:ref="AL104" rgbClr="FF0000">
      <unresolved>
        <commentChain chainId="dc1ec28ac5fdab345e50532dd945c15bf4a4b88d">
          <item id="41a284872ab6cf79e00f62c7f804e6bde4961344" isNormal="1">
            <s:text>
              <s:r>
                <s:t xml:space="preserve">Administrator:
5/19 上亚马逊外箱贴纸115pcs
5/26 上可折叠语贴纸492pcs
5/12 上UPc贴纸292pcs</s:t>
              </s:r>
            </s:text>
          </item>
        </commentChain>
      </unresolved>
      <resolved/>
    </commentChains>
    <commentChains s:ref="AI105" rgbClr="FF0000">
      <unresolved>
        <commentChain chainId="45ab85fb391e5cf94cf5ac06bbcb0881ad2c5568">
          <item id="8dc43f7a1121becd26f3e35e4787a5ffe13a95c6" isNormal="1">
            <s:text>
              <s:r>
                <s:t xml:space="preserve">Administrator:
2002465 5/29 504pcs莫4B9 送回半成品车间混凝</s:t>
              </s:r>
            </s:text>
          </item>
        </commentChain>
      </unresolved>
      <resolved/>
    </commentChains>
    <commentChains s:ref="AL105" rgbClr="FF0000">
      <unresolved>
        <commentChain chainId="2a44328a02a1262b7eea607f466dfeb448a20eb1">
          <item id="cfa586792c7d4cab2ef0633c07256da7ae0683f4" isNormal="1">
            <s:text>
              <s:r>
                <s:t xml:space="preserve">Administrator:
5/19 上UPC贴纸504pcs</s:t>
              </s:r>
            </s:text>
          </item>
        </commentChain>
      </unresolved>
      <resolved/>
    </commentChains>
    <commentChains s:ref="AI106" rgbClr="FF0000">
      <unresolved>
        <commentChain chainId="c2f663e96215ab5f9488a027f8d5a6acecbdacdd">
          <item id="0d7c238266c2611eea34dcff1d8da6990ef987e1" isNormal="1">
            <s:text>
              <s:r>
                <s:t xml:space="preserve">Administrator:
2002267 6/10 240pcs
华3B14</s:t>
              </s:r>
            </s:text>
          </item>
        </commentChain>
      </unresolved>
      <resolved/>
    </commentChains>
    <commentChains s:ref="AL106" rgbClr="FF0000">
      <unresolved>
        <commentChain chainId="aafafef333def3fe02e712b7c58ebec50a6aed59">
          <item id="9449269bf21a74212c3e586c039a2a3b6c6c17c9" isNormal="1">
            <s:text>
              <s:r>
                <s:t xml:space="preserve">Administrator:
5/26 上可折叠语贴纸240pcs</s:t>
              </s:r>
            </s:text>
          </item>
        </commentChain>
      </unresolved>
      <resolved/>
    </commentChains>
    <commentChains s:ref="AI107" rgbClr="FF0000">
      <unresolved>
        <commentChain chainId="7c99981e5f77f057d3c7c64ff8bdafa9f7c21879">
          <item id="30eebab573e2cced7a8657c2396e4e4a9607ddb4" isNormal="1">
            <s:text>
              <s:r>
                <s:t xml:space="preserve">Administrator:
2002500 6/10 1200pcs华一B2</s:t>
              </s:r>
            </s:text>
          </item>
        </commentChain>
      </unresolved>
      <resolved/>
    </commentChains>
    <commentChains s:ref="AL107" rgbClr="FF0000">
      <unresolved>
        <commentChain chainId="9a2d398b3e3568ff0e86df3e85653dae274e64d7">
          <item id="5f5da334298a4c0d9679a77f1fee0294a818f877" isNormal="1">
            <s:text>
              <s:r>
                <s:t xml:space="preserve">Administrator:
5/21 上进口商贴纸1200pcs</s:t>
              </s:r>
            </s:text>
          </item>
        </commentChain>
      </unresolved>
      <resolved/>
    </commentChains>
    <commentChains s:ref="AI110" rgbClr="FF0000">
      <unresolved>
        <commentChain chainId="5793a23e2ccc05cc307b5f0cb900fb9bead11466">
          <item id="9c04e0fd1823496d61e4b3006bdd04029ad4b143" isNormal="1">
            <s:text>
              <s:r>
                <s:t xml:space="preserve">Administrator:
2002516 6/9 792pcs
罗 3B15</s:t>
              </s:r>
            </s:text>
          </item>
        </commentChain>
      </unresolved>
      <resolved/>
    </commentChains>
    <commentChains s:ref="AL110" rgbClr="FF0000">
      <unresolved>
        <commentChain chainId="1207edad67259780dbf0f78935df3885f4fa4300">
          <item id="3e82febe6ac5117d3e2b31ce79351b7286954a78" isNormal="1">
            <s:text>
              <s:r>
                <s:t xml:space="preserve">Administrator:
5/27 上进口商贴纸792pcs</s:t>
              </s:r>
            </s:text>
          </item>
        </commentChain>
      </unresolved>
      <resolved/>
    </commentChains>
    <commentChains s:ref="AI111" rgbClr="FF0000">
      <unresolved>
        <commentChain chainId="c139d120e78c679aa4afcd9bc669e94d3a9784b5">
          <item id="43c7db2079814b88158b4c5f6ebc51b61ccdc6f2" isNormal="1">
            <s:text>
              <s:r>
                <s:t xml:space="preserve">Administrator:
2002487 6/12 48pcs华3B14</s:t>
              </s:r>
            </s:text>
          </item>
        </commentChain>
      </unresolved>
      <resolved/>
    </commentChains>
    <commentChains s:ref="AI112" rgbClr="FF0000">
      <unresolved>
        <commentChain chainId="025268ba87fe5100b698684b94d273e82be9cb53">
          <item id="ab6faf9463bfadc24f14c58fa566b24cc7008947" isNormal="1">
            <s:text>
              <s:r>
                <s:t xml:space="preserve">Administrator:
2002487 6/12 16pcs
华3B14</s:t>
              </s:r>
            </s:text>
          </item>
        </commentChain>
      </unresolved>
      <resolved/>
    </commentChains>
    <commentChains s:ref="AI113" rgbClr="FF0000">
      <unresolved>
        <commentChain chainId="69efb57c9a5a770600b20e5e49d25a785f848c9b">
          <item id="c81787661095d68282247486c4d8ae08b3cd2fb0" isNormal="1">
            <s:text>
              <s:r>
                <s:t xml:space="preserve">Administrator:
2002487 6/12 128pcs
华3B14</s:t>
              </s:r>
            </s:text>
          </item>
        </commentChain>
      </unresolved>
      <resolved/>
    </commentChains>
    <commentChains s:ref="AI114" rgbClr="FF0000">
      <unresolved>
        <commentChain chainId="f2073a169894ca4d246a428603398db9e405d5c7">
          <item id="51ca7635b172d30f5a2336463ea2074e6f347347" isNormal="1">
            <s:text>
              <s:r>
                <s:t xml:space="preserve">Administrator:
2002489 6/1184pcs
w华3B4</s:t>
              </s:r>
            </s:text>
          </item>
        </commentChain>
      </unresolved>
      <resolved/>
    </commentChains>
    <commentChains s:ref="AI116" rgbClr="FF0000">
      <unresolved>
        <commentChain chainId="91e583cebdbc50890521d16b23e6a752ed84619a">
          <item id="c60fc59635478fdcc6676bb967ade56cb6177602" isNormal="1">
            <s:text>
              <s:r>
                <s:t xml:space="preserve">Administrator:
2002489 6/12 1644pcs华3B2</s:t>
              </s:r>
            </s:text>
          </item>
        </commentChain>
      </unresolved>
      <resolved/>
    </commentChains>
    <commentChains s:ref="AL116" rgbClr="FF0000">
      <unresolved>
        <commentChain chainId="dbde0851d02005b2ed70b0c976c007efe6cf923f">
          <item id="ff35a05131a60d059bb830551b8c79839a760061" isNormal="1">
            <s:text>
              <s:r>
                <s:t xml:space="preserve">Administrator:
5/19 上进口商贴纸1644pcs</s:t>
              </s:r>
            </s:text>
          </item>
        </commentChain>
      </unresolved>
      <resolved/>
    </commentChains>
    <commentChains s:ref="AI117" rgbClr="FF0000">
      <unresolved>
        <commentChain chainId="75660c9654ae130be2cb6671ade547ce712838e5">
          <item id="5d08ec982168a2a64387c0e2a1d13db0fd76e69a" isNormal="1">
            <s:text>
              <s:r>
                <s:t xml:space="preserve">Administrator:
2002507 6/11 1184pcs华3A10</s:t>
              </s:r>
            </s:text>
          </item>
        </commentChain>
      </unresolved>
      <resolved/>
    </commentChains>
    <commentChains s:ref="AL117" rgbClr="FF0000">
      <unresolved>
        <commentChain chainId="462f92ce840a046d8f17c26dc5016690d82e3447">
          <item id="6a3c4a116b9311448beaee31f8bed43225c09d28" isNormal="1">
            <s:text>
              <s:r>
                <s:t xml:space="preserve">Administrator:
5/12 上客供RFID贴纸1184pcs</s:t>
              </s:r>
            </s:text>
          </item>
        </commentChain>
      </unresolved>
      <resolved/>
    </commentChains>
    <commentChains s:ref="AI118" rgbClr="FF0000">
      <unresolved>
        <commentChain chainId="d5d96822d5905b499fe65f705c81930cea01c609">
          <item id="904da23ce681133a011ed99e46be339a1e0f5d9d" isNormal="1">
            <s:text>
              <s:r>
                <s:t xml:space="preserve">Administrator:
2002507 6/11 980pcs华3A12</s:t>
              </s:r>
            </s:text>
          </item>
        </commentChain>
      </unresolved>
      <resolved/>
    </commentChains>
    <commentChains s:ref="AL118" rgbClr="FF0000">
      <unresolved>
        <commentChain chainId="fbdbcb3192ab4bd596d46f0356fa968767a7b499">
          <item id="8e53537e64b3baaf434642e5527319dbe421d02e" isNormal="1">
            <s:text>
              <s:r>
                <s:t xml:space="preserve">Administrator:
5/12 上客供RFID贴纸980pcs</s:t>
              </s:r>
            </s:text>
          </item>
        </commentChain>
      </unresolved>
      <resolved/>
    </commentChains>
    <commentChains s:ref="AI119" rgbClr="FF0000">
      <unresolved>
        <commentChain chainId="ae7e83b7c45e316477ae4e90aac940cd3a5fd61f">
          <item id="39afe0db6bd66f1660b17ba1ea7dcb79e411f3d3" isNormal="1">
            <s:text>
              <s:r>
                <s:t xml:space="preserve">Administrator:
2002500 6/10 1880pcs 华一B2</s:t>
              </s:r>
            </s:text>
          </item>
        </commentChain>
      </unresolved>
      <resolved/>
    </commentChains>
    <commentChains s:ref="AL119" rgbClr="FF0000">
      <unresolved>
        <commentChain chainId="44028b1c3555fa7df155225fa8b876512e528461">
          <item id="cc9df25b9e0de6d0b9a00493c265d11786921525" isNormal="1">
            <s:text>
              <s:r>
                <s:t xml:space="preserve">Administrator:
5/26 上多语警语折叠贴纸2000pcs
5/27 上WEEE电池垃圾桶的回收声明说明书2000pcs</s:t>
              </s:r>
            </s:text>
          </item>
        </commentChain>
      </unresolved>
      <resolved/>
    </commentChains>
    <commentChains s:ref="AI120" rgbClr="FF0000">
      <unresolved>
        <commentChain chainId="eef3c0264b5a43e99fcf62e9b21339e15e44d9de">
          <item id="b9231708a9bb45103400d085a8f030df8ad66a32" isNormal="1">
            <s:text>
              <s:r>
                <s:t xml:space="preserve">Administrator:
2002507 6/11 1996pcs华3A14</s:t>
              </s:r>
            </s:text>
          </item>
        </commentChain>
      </unresolved>
      <resolved/>
    </commentChains>
    <commentChains s:ref="AL120" rgbClr="FF0000">
      <unresolved>
        <commentChain chainId="30dce6a08b3cb79455b836f377040762b9339813">
          <item id="3135d9ff562d305a4fd8d376efb3f2a55cb94692" isNormal="1">
            <s:text>
              <s:r>
                <s:t xml:space="preserve">Administrator:
5/26 上UPC贴纸1996pcs</s:t>
              </s:r>
            </s:text>
          </item>
        </commentChain>
      </unresolved>
      <resolved/>
    </commentChains>
    <commentChains s:ref="AI121" rgbClr="FF0000">
      <unresolved>
        <commentChain chainId="4fab138cebedd1db7c79f2bde9164f41079831bf">
          <item id="f1915e3f0aaa1ef7170a487210d87d60c2c58c5e" isNormal="1">
            <s:text>
              <s:r>
                <s:t xml:space="preserve">Administrator:
2002500 6/10 3000pcs华一B1</s:t>
              </s:r>
            </s:text>
          </item>
        </commentChain>
      </unresolved>
      <resolved/>
    </commentChains>
    <commentChains s:ref="AL121" rgbClr="FF0000">
      <unresolved>
        <commentChain chainId="a094768a757325bbf55f26943c2f10e622505436">
          <item id="ba90553afa6d92ad30b62230eed9f424d1ca2e90" isNormal="1">
            <s:text>
              <s:r>
                <s:t xml:space="preserve">Administrator:
5/26 WEEE电池通用30L说明书（带电池）3000pcs</s:t>
              </s:r>
            </s:text>
          </item>
        </commentChain>
      </unresolved>
      <resolved/>
    </commentChains>
    <commentChains s:ref="AI122" rgbClr="FF0000">
      <unresolved>
        <commentChain chainId="499782360e11154d7b79fbaa6820775ad7aae741">
          <item id="8b8f9ff6ffa2dbc283dd7d535a71c3922d4e296a" isNormal="1">
            <s:text>
              <s:r>
                <s:t xml:space="preserve">Administrator:
2002507 6/11 504pcs华3A15</s:t>
              </s:r>
            </s:text>
          </item>
        </commentChain>
      </unresolved>
      <resolved/>
    </commentChains>
    <commentChains s:ref="AL122" rgbClr="FF0000">
      <unresolved>
        <commentChain chainId="a0f58509e09902a952acf4862cd49b55e8436b58">
          <item id="3d0a0cdeb46e159161483adb542a1001ba40baca" isNormal="1">
            <s:text>
              <s:r>
                <s:t xml:space="preserve">Administrator:
5/7 上WEEE带电池走货-说明书504pcs
客人款号EAN条码贴纸504pcs</s:t>
              </s:r>
            </s:text>
          </item>
        </commentChain>
      </unresolved>
      <resolved/>
    </commentChains>
    <commentChains s:ref="AI123" rgbClr="FF0000">
      <unresolved>
        <commentChain chainId="115db2b72a8cb7aecc99a6410b66b5107759013d">
          <item id="3ef9f473fd3e9fff92ae36db48376f4c30cdd1d0" isNormal="1">
            <s:text>
              <s:r>
                <s:t xml:space="preserve">Administrator:
2002487 6/12 640pcs
华3B16</s:t>
              </s:r>
            </s:text>
          </item>
        </commentChain>
      </unresolved>
      <resolved/>
    </commentChains>
    <commentChains s:ref="AL123" rgbClr="FF0000">
      <unresolved>
        <commentChain chainId="fb02877da18534070101e81b16ca582dffc46b56">
          <item id="f440f5891e4f71f5a9220a9c51e04b5acf0fa39d" isNormal="1">
            <s:text>
              <s:r>
                <s:t xml:space="preserve">Administrator:
5/24 上进口商贴纸640pcs
说明书贴纸640pcs</s:t>
              </s:r>
            </s:text>
          </item>
        </commentChain>
      </unresolved>
      <resolved/>
    </commentChains>
    <commentChains s:ref="AI124" rgbClr="FF0000">
      <unresolved>
        <commentChain chainId="ae3525e0e03c696e165063cbe9e984694e40e2a7">
          <item id="bcff0dba87bc2a4d71ffba2df7df3ef0199ef609" isNormal="1">
            <s:text>
              <s:r>
                <s:t xml:space="preserve">Administrator:
2002155 6/17 26pcs张全 一楼
</s:t>
              </s:r>
            </s:text>
          </item>
        </commentChain>
      </unresolved>
      <resolved/>
    </commentChains>
    <commentChains s:ref="AI125" rgbClr="FF0000">
      <unresolved>
        <commentChain chainId="84ae93dfc1ae00abf7a60178499655124257f047">
          <item id="f2d6f0c1fdbf137b732e269bb35054c84308343f" isNormal="1">
            <s:text>
              <s:r>
                <s:t xml:space="preserve">Administrator:
2002475 6/16 240pcs华3B2</s:t>
              </s:r>
            </s:text>
          </item>
        </commentChain>
      </unresolved>
      <resolved/>
    </commentChains>
    <commentChains s:ref="AI126" rgbClr="FF0000">
      <unresolved>
        <commentChain chainId="a3129f85f8a36c7057e72ec1cbaec58779df88e5">
          <item id="326fa0c05e25c5d42d8f5866805b1473fb06e731" isNormal="1">
            <s:text>
              <s:r>
                <s:t xml:space="preserve">Administrator:
2002475 6/16 432pcs
华3B4</s:t>
              </s:r>
            </s:text>
          </item>
        </commentChain>
      </unresolved>
      <resolved/>
    </commentChains>
    <commentChains s:ref="AI127" rgbClr="FF0000">
      <unresolved>
        <commentChain chainId="75d0223bd7686a6cefff463d606e50aadd1ea3c6">
          <item id="21c15b5882b582b4b75e9b70b89c47ba2eec8868" isNormal="1">
            <s:text>
              <s:r>
                <s:t xml:space="preserve">Administrator:
20024852 6/17 512pcs华3B10</s:t>
              </s:r>
            </s:text>
          </item>
        </commentChain>
      </unresolved>
      <resolved/>
    </commentChains>
    <commentChains s:ref="AI128" rgbClr="FF0000">
      <unresolved>
        <commentChain chainId="7ca47934f5b908fd6dcce0123a777718b410aea6">
          <item id="2996876dd18856bbc68cd92c00111247df94467b" isNormal="1">
            <s:text>
              <s:r>
                <s:t xml:space="preserve">Administrator:
2000830 6/18 840pcs莫4B4</s:t>
              </s:r>
            </s:text>
          </item>
        </commentChain>
      </unresolved>
      <resolved/>
    </commentChains>
    <commentChains s:ref="AI129" rgbClr="FF0000">
      <unresolved>
        <commentChain chainId="5fe97b89efc3dbe823c2c0ba6b9985c7099cc21f">
          <item id="49b3dd65032122642c7403f91837962e16a42490" isNormal="1">
            <s:text>
              <s:r>
                <s:t xml:space="preserve">Administrator:
2002183 6/19 8pcs
直走
2002139 6/19 2964pcs直走</s:t>
              </s:r>
            </s:text>
          </item>
        </commentChain>
      </unresolved>
      <resolved/>
    </commentChains>
    <commentChains s:ref="AL129" rgbClr="FF0000">
      <unresolved>
        <commentChain chainId="f7d68e8f265aaea2665d44ea05583ed9698fe52a">
          <item id="80ab2453c1209258136d075f55e1f1478ea87b27" isNormal="1">
            <s:text>
              <s:r>
                <s:t xml:space="preserve">Administrator:
5/30 上客供外箱条码贴纸750pcs
</s:t>
              </s:r>
            </s:text>
          </item>
        </commentChain>
      </unresolved>
      <resolved/>
    </commentChains>
    <commentChains s:ref="AI130" rgbClr="FF0000">
      <unresolved>
        <commentChain chainId="64c118f8c8268a25b43a67e81a515f74652a478b">
          <item id="bb348fd2442a9128ec407dcea502284f83863d14" isNormal="1">
            <s:text>
              <s:r>
                <s:t xml:space="preserve">Administrator:
2002475 6/16 2160pcs
华一B3</s:t>
              </s:r>
            </s:text>
          </item>
        </commentChain>
      </unresolved>
      <resolved/>
    </commentChains>
    <commentChains s:ref="AL130" rgbClr="FF0000">
      <unresolved>
        <commentChain chainId="1fc547c28b5c9d9f035868d742a061ae3c3d93c0">
          <item id="cc831589e0d730c39e4310e2060e125d73a11b5b" isNormal="1">
            <s:text>
              <s:r>
                <s:t xml:space="preserve">Administrator:
5/30 上客供外箱条码贴纸545pcs
</s:t>
              </s:r>
            </s:text>
          </item>
        </commentChain>
      </unresolved>
      <resolved/>
    </commentChains>
    <commentChains s:ref="AI131" rgbClr="FF0000">
      <unresolved>
        <commentChain chainId="de3f951294bf09654cd1bd81457c87d8cc0e3020">
          <item id="57ffebb3e95616ecab5b704554860b751050946a" isNormal="1">
            <s:text>
              <s:r>
                <s:t xml:space="preserve">Administrator:
2002482 6/17 1000pcs华3A23</s:t>
              </s:r>
            </s:text>
          </item>
        </commentChain>
      </unresolved>
      <resolved/>
    </commentChains>
    <commentChains s:ref="AL131" rgbClr="FF0000">
      <unresolved>
        <commentChain chainId="7373c4735f3640711bf884af500625f5aa3562e8">
          <item id="8643e670eded4aa2a118f444546f4bb400f31111" isNormal="1">
            <s:text>
              <s:r>
                <s:t xml:space="preserve">Administrator:
5/6 上多语警语折叠贴纸1000pcs
5/12 上多语版WEEE电池垃圾桶的回收声明说明书1000pcs
6/14 上多语折叠警告语贴纸1000pcs因贴纸有问题重订</s:t>
              </s:r>
            </s:text>
          </item>
        </commentChain>
      </unresolved>
      <resolved/>
    </commentChains>
    <commentChains s:ref="AI132" rgbClr="FF0000">
      <unresolved>
        <commentChain chainId="f236bd56696a1fed8231a6df6b6936177e231528">
          <item id="5dfb0be9727dd2f0082a41bb876bfe22a6556455" isNormal="1">
            <s:text>
              <s:r>
                <s:t xml:space="preserve">Administrator:
2002183 6/19 16pcs
华3A29
2002144 6/19 2996pcs华3A29</s:t>
              </s:r>
            </s:text>
          </item>
        </commentChain>
      </unresolved>
      <resolved/>
    </commentChains>
    <commentChains s:ref="AL132" rgbClr="FF0000">
      <unresolved>
        <commentChain chainId="64530709e3c2924a0efdaedcfc0588b004c6672c">
          <item id="66c7ca958cf6909c894c1fd9a3d83ef5e05ff850" isNormal="1">
            <s:text>
              <s:r>
                <s:t xml:space="preserve">Administrator:
5/30 上客供外箱条码贴纸761pcs</s:t>
              </s:r>
            </s:text>
          </item>
        </commentChain>
      </unresolved>
      <resolved/>
    </commentChains>
    <commentChains s:ref="AI133" rgbClr="FF0000">
      <unresolved>
        <commentChain chainId="3088f88aa217024c531b9737b7a8972669d42a0f">
          <item id="e06051b13ecbe0a901e637e0e96222d19f3b7741" isNormal="1">
            <s:text>
              <s:r>
                <s:t xml:space="preserve">Administrator:
2000836 6/21 3180pcs王1-A8-B8</s:t>
              </s:r>
            </s:text>
          </item>
        </commentChain>
      </unresolved>
      <resolved/>
    </commentChains>
    <commentChains s:ref="AL133" rgbClr="FF0000">
      <unresolved>
        <commentChain chainId="bb9cda15560b4f2a27283d625bdac12d1c49ab6f">
          <item id="54e6bffdcc5447e009060ffc7fe38d47827aa058" isNormal="1">
            <s:text>
              <s:r>
                <s:t xml:space="preserve">Administrator:
6/11 上多语折叠贴纸3180pcs</s:t>
              </s:r>
            </s:text>
          </item>
        </commentChain>
      </unresolved>
      <resolved/>
    </commentChains>
    <commentChains s:ref="AI134" rgbClr="FF0000">
      <unresolved>
        <commentChain chainId="87f1c8f635adb466478d4a8b24c4115279987b42">
          <item id="1d4b759da24f5f7e4d01c594819702f7364e9be0" isNormal="1">
            <s:text>
              <s:r>
                <s:t xml:space="preserve">Administrator:
2002500 6/10 600pcs华一B3</s:t>
              </s:r>
            </s:text>
          </item>
        </commentChain>
      </unresolved>
      <resolved/>
    </commentChains>
    <commentChains s:ref="AL134" rgbClr="FF0000">
      <unresolved>
        <commentChain chainId="93f027b310ee39c28d5454c378b91a49d7d6b2d6">
          <item id="13d3e012271c171f7a5ff46cb63532c87054355f" isNormal="1">
            <s:text>
              <s:r>
                <s:t xml:space="preserve">Administrator:
5/21 上警告语/信息翻译贴纸600pcs
带纽扣电池走货北欧六语通用黑白电池说明书600pcs
1 袋子警告语贴纸1800pcs
1 袋子警告语贴纸600pcs</s:t>
              </s:r>
            </s:text>
          </item>
        </commentChain>
      </unresolved>
      <resolved/>
    </commentChains>
    <commentChains s:ref="AI135" rgbClr="FF0000">
      <unresolved>
        <commentChain chainId="9d7db5e986174f0a97f24e7389af1e4c7fc1c2b4">
          <item id="dce163eca6c9fe20cedae136c552e6258cc220fd" isNormal="1">
            <s:text>
              <s:r>
                <s:t xml:space="preserve">Administrator:
2000845 6/20 788pcs华3A25</s:t>
              </s:r>
            </s:text>
          </item>
        </commentChain>
      </unresolved>
      <resolved/>
    </commentChains>
    <commentChains s:ref="AL135" rgbClr="FF0000">
      <unresolved>
        <commentChain chainId="0bce9e5fb4a568d84989694d3bbb13acc37ddedc">
          <item id="9cca68281945634dde1e5a73a4dab8b239b999df" isNormal="1">
            <s:text>
              <s:r>
                <s:t xml:space="preserve">Administrator:
5/12 上客供RFID贴纸788pcs</s:t>
              </s:r>
            </s:text>
          </item>
        </commentChain>
      </unresolved>
      <resolved/>
    </commentChains>
    <commentChains s:ref="AI136" rgbClr="FF0000">
      <unresolved>
        <commentChain chainId="c71d65862f499c9275473570af1651d7bae11690">
          <item id="682ef546ab4e863eb23c3b638a71e992fced918f" isNormal="1">
            <s:text>
              <s:r>
                <s:t xml:space="preserve">Administrator:
2000845 6/20 788pcs华3A25
</s:t>
              </s:r>
            </s:text>
          </item>
        </commentChain>
      </unresolved>
      <resolved/>
    </commentChains>
    <commentChains s:ref="AL136" rgbClr="FF0000">
      <unresolved>
        <commentChain chainId="9a330ca6c810cfc129ef74312ac969867dba9363">
          <item id="0174ceaccbaf69e012a347ef89bc709f4bd38b6c" isNormal="1">
            <s:text>
              <s:r>
                <s:t xml:space="preserve">Administrator:
5/12 上客供RFID贴纸788pcs</s:t>
              </s:r>
            </s:text>
          </item>
        </commentChain>
      </unresolved>
      <resolved/>
    </commentChains>
    <commentChains s:ref="AI137" rgbClr="FF0000">
      <unresolved>
        <commentChain chainId="844422b825a0e67f2bc21fcd1937abbcba84922d">
          <item id="9cc30cb574f7ffeac1f89f0cf895b6a2b0642fa4" isNormal="1">
            <s:text>
              <s:r>
                <s:t xml:space="preserve">Administrator:
2000845 6/20 948pcs华3A25
</s:t>
              </s:r>
            </s:text>
          </item>
        </commentChain>
      </unresolved>
      <resolved/>
    </commentChains>
    <commentChains s:ref="AL137" rgbClr="FF0000">
      <unresolved>
        <commentChain chainId="041778d51af5f22f04678153910b1a32ae0a7f5d">
          <item id="d7d5ef7e30379aa2a0d4ac0d3dc56b9d7887454f" isNormal="1">
            <s:text>
              <s:r>
                <s:t xml:space="preserve">Administrator:
5/12 上客供RFID贴纸948pcs</s:t>
              </s:r>
            </s:text>
          </item>
        </commentChain>
      </unresolved>
      <resolved/>
    </commentChains>
    <commentChains s:ref="AI138" rgbClr="FF0000">
      <unresolved>
        <commentChain chainId="4427599002fceac6c2259f6f6d0c0bfa36f66c38">
          <item id="c583732865e873e71f633e9fb3915a76d0aebbdf" isNormal="1">
            <s:text>
              <s:r>
                <s:t xml:space="preserve">Administrator:
2000845 6/20 1144pcs华3A25
</s:t>
              </s:r>
            </s:text>
          </item>
        </commentChain>
      </unresolved>
      <resolved/>
    </commentChains>
    <commentChains s:ref="AL138" rgbClr="FF0000">
      <unresolved>
        <commentChain chainId="a1e658927c7d9424265b154c60fa72f460aa83ec">
          <item id="e58bb4a9318b291d779434d5d7deb2628df1f7e9" isNormal="1">
            <s:text>
              <s:r>
                <s:t xml:space="preserve">Administrator:
5/12 上客供RFID贴纸1144pcs</s:t>
              </s:r>
            </s:text>
          </item>
        </commentChain>
      </unresolved>
      <resolved/>
    </commentChains>
    <commentChains s:ref="AI139" rgbClr="FF0000">
      <unresolved>
        <commentChain chainId="52ca00af5291741c19affef136b16fcdd74e48f4">
          <item id="e4a11ca5ce51daea817fc375cf3ee5ab47781d52" isNormal="1">
            <s:text>
              <s:r>
                <s:t xml:space="preserve">Administrator:
2000832 6/19 1220pcs华3A17</s:t>
              </s:r>
            </s:text>
          </item>
        </commentChain>
      </unresolved>
      <resolved/>
    </commentChains>
    <commentChains s:ref="AL139" rgbClr="FF0000">
      <unresolved>
        <commentChain chainId="f1d78fb2e15b282be5b2ef41cfdf794b9e4c6651">
          <item id="c458b0f70e2bddb065adcc41e5f52b47b79fe2c0" isNormal="1">
            <s:text>
              <s:r>
                <s:t xml:space="preserve">Administrator:
5/12 上客供RFID贴纸1220pcs</s:t>
              </s:r>
            </s:text>
          </item>
        </commentChain>
      </unresolved>
      <resolved/>
    </commentChains>
    <commentChains s:ref="AI140" rgbClr="FF0000">
      <unresolved>
        <commentChain chainId="90ec08f3824dea2f3be3e24e9ba9c2c696dfc8f4">
          <item id="20bb4d57db2ea404967a2e34f24c5e87402c7ac2" isNormal="1">
            <s:text>
              <s:r>
                <s:t xml:space="preserve">Administrator:
2000836 6/21 540pcs王1-A4</s:t>
              </s:r>
            </s:text>
          </item>
        </commentChain>
      </unresolved>
      <resolved/>
    </commentChains>
    <commentChains s:ref="AL140" rgbClr="FF0000">
      <unresolved>
        <commentChain chainId="0cb51ea344eca7ce9a3a64cd258b0b6c3b581e0a">
          <item id="52a06644149244da4b40e8d1f0a079eb536bbb85" isNormal="1">
            <s:text>
              <s:r>
                <s:t xml:space="preserve">Administrator:
5/26 上德语警告语贴纸540pcs
WEEE 带电池走货540pcs
5/30 上客供价格贴纸540pcs
6/13 Kinderherz 2025 Logo贴纸540pcs</s:t>
              </s:r>
            </s:text>
          </item>
        </commentChain>
      </unresolved>
      <resolved/>
    </commentChains>
    <commentChains s:ref="AI141" rgbClr="FF0000">
      <unresolved>
        <commentChain chainId="63eb49ac0a0770383777c151241a76f7725a92f1">
          <item id="ff01fcc5a1613c5025abbdfd50bf1e5c58eb3d2b" isNormal="1">
            <s:text>
              <s:r>
                <s:t xml:space="preserve">Administrator:
20000836 6/21 640pcs王1-A3</s:t>
              </s:r>
            </s:text>
          </item>
        </commentChain>
      </unresolved>
      <resolved/>
    </commentChains>
    <commentChains s:ref="AL141" rgbClr="FF0000">
      <unresolved>
        <commentChain chainId="86006bb75a2ec2a40af2f1f1778b625d93eb3539">
          <item id="c90e1335d85299c467808a160e76a5c18f67840a" isNormal="1">
            <s:text>
              <s:r>
                <s:t xml:space="preserve">Administrator:
5/30 上警语/进口商贴纸640pcs
</s:t>
              </s:r>
            </s:text>
          </item>
        </commentChain>
      </unresolved>
      <resolved/>
    </commentChains>
    <commentChains s:ref="AI142" rgbClr="FF0000">
      <unresolved>
        <commentChain chainId="ec48bf03ec04ef203ac6d14bcf0a1f5c7324f52d">
          <item id="4d111ee4182ab6583ee2ee3bbc80c8be97f89d9d" isNormal="1">
            <s:text>
              <s:r>
                <s:t xml:space="preserve">Administrator:
2000845 6/20 656pcs直走</s:t>
              </s:r>
            </s:text>
          </item>
        </commentChain>
      </unresolved>
      <resolved/>
    </commentChains>
    <commentChains s:ref="AL142" rgbClr="FF0000">
      <unresolved>
        <commentChain chainId="d776d5432f1cb49773c6d588d897b526fe892599">
          <item id="2e5fc632ad5e4a2f009265fe81782890144a2de8" isNormal="1">
            <s:text>
              <s:r>
                <s:t xml:space="preserve">Administrator:
5/29 上进口商贴纸656pcs</s:t>
              </s:r>
            </s:text>
          </item>
        </commentChain>
      </unresolved>
      <resolved/>
    </commentChains>
    <commentChains s:ref="AI143" rgbClr="FF0000">
      <unresolved>
        <commentChain chainId="b35541929e98139c0ab9264f149669c04e9f3607">
          <item id="58be7e9b8835a7d97497daf38a6865298bdfa069" isNormal="1">
            <s:text>
              <s:r>
                <s:t xml:space="preserve">Administrator:
2002189 6/19 4704pcs华3A7
2002061 6/20 32pcs</s:t>
              </s:r>
            </s:text>
          </item>
        </commentChain>
      </unresolved>
      <resolved/>
    </commentChains>
    <commentChains s:ref="AI144" rgbClr="FF0000">
      <unresolved>
        <commentChain chainId="b8dce799b6ecc5fbb4c7c5a9da14d5e194e005ce">
          <item id="7f3c69fb1f9aa5872f90468af667886c160204d3" isNormal="1">
            <s:text>
              <s:r>
                <s:t xml:space="preserve">Administrator:
2002189 6/19 4544pcs
华3A7
2002061 6/20 192pcs华3A7</s:t>
              </s:r>
            </s:text>
          </item>
        </commentChain>
      </unresolved>
      <resolved/>
    </commentChains>
    <commentChains s:ref="AI145" rgbClr="FF0000">
      <unresolved>
        <commentChain chainId="b195b824a93d9148842bfc80ccace9e164cfe0a1">
          <item id="b0758a989a67055107e8647a9ced60fcbbf73213" isNormal="1">
            <s:text>
              <s:r>
                <s:t xml:space="preserve">Administrator:
2000836 6/21 420pcs王1-A4</s:t>
              </s:r>
            </s:text>
          </item>
        </commentChain>
      </unresolved>
      <resolved/>
    </commentChains>
    <commentChains s:ref="AL145" rgbClr="FF0000">
      <unresolved>
        <commentChain chainId="ecfaac5da07a1c7cc5ba378cfe9510f9ed01b164">
          <item id="b2b9995567f7a4564caec613728130cc47aabdb8" isNormal="1">
            <s:text>
              <s:r>
                <s:t xml:space="preserve">Administrator:
6/10 上进口商贴纸420pcs
UPC贴纸420pcs</s:t>
              </s:r>
            </s:text>
          </item>
        </commentChain>
      </unresolved>
      <resolved/>
    </commentChains>
    <commentChains s:ref="AI146" rgbClr="FF0000">
      <unresolved>
        <commentChain chainId="acf7c35856662156526149e1328c678bc708cd6f">
          <item id="f1d009d2578c4dba7e62631bf882328d2eca5024" isNormal="1">
            <s:text>
              <s:r>
                <s:t xml:space="preserve">Administrator:
2001675 6/24 1602pcs王3-C6</s:t>
              </s:r>
            </s:text>
          </item>
        </commentChain>
      </unresolved>
      <resolved/>
    </commentChains>
    <commentChains s:ref="AL146" rgbClr="FF0000">
      <unresolved>
        <commentChain chainId="eebb08880dba0cd5de41f00bdc3717e9a053a6b0">
          <item id="dee621ae08157a49649c46eb610720cf772fe210" isNormal="1">
            <s:text>
              <s:r>
                <s:t xml:space="preserve">Administrator:
6/11 上3C贴纸2100pcs三个同PO共用</s:t>
              </s:r>
            </s:text>
          </item>
        </commentChain>
      </unresolved>
      <resolved/>
    </commentChains>
    <commentChains s:ref="AI147" rgbClr="FF0000">
      <unresolved>
        <commentChain chainId="6c70efb75e6a5f5fd46f5a5899ab1a20f0e5d0cd">
          <item id="69c6b15d38c29260ac0398f8517464de1e477f51" isNormal="1">
            <s:text>
              <s:r>
                <s:t xml:space="preserve">Administrator:
2001675 6/24 96pcs
王3-C6</s:t>
              </s:r>
            </s:text>
          </item>
        </commentChain>
      </unresolved>
      <resolved/>
    </commentChains>
    <commentChains s:ref="AI148" rgbClr="FF0000">
      <unresolved>
        <commentChain chainId="eccd09beb2244190f820a87368b608f98d077417">
          <item id="07bc5d95e818c6ad6d5817a064e0c4d478b5093f" isNormal="1">
            <s:text>
              <s:r>
                <s:t xml:space="preserve">Administrator:
3001817 6/26 1828pcs
3001777 6/27 24pcs华3A21</s:t>
              </s:r>
            </s:text>
          </item>
        </commentChain>
      </unresolved>
      <resolved/>
    </commentChains>
    <commentChains s:ref="AL148" rgbClr="FF0000">
      <unresolved>
        <commentChain chainId="5d1f5359d19b9f253a2334c9b47557261cf167b5">
          <item id="2797b7831898ce5ee8ef5037f1c49723900ca1ed" isNormal="1">
            <s:text>
              <s:r>
                <s:t xml:space="preserve">Administrator:
5/26 上多语警语折叠贴纸1852pcs
5/27 上WEEE电池垃圾桶的回收声明说明书1852pcs
</s:t>
              </s:r>
            </s:text>
          </item>
        </commentChain>
      </unresolved>
      <resolved/>
    </commentChains>
    <commentChains s:ref="AI149" rgbClr="FF0000">
      <unresolved>
        <commentChain chainId="dd1288ebada4b5b3f3df2be266acad4e6d4d81f3">
          <item id="abd7762144bb67b80b650b2ce0088a25b043b8c6" isNormal="1">
            <s:text>
              <s:r>
                <s:t xml:space="preserve">Administrator:
2001647 6/28 504pcs莫3B8</s:t>
              </s:r>
            </s:text>
          </item>
        </commentChain>
      </unresolved>
      <resolved/>
    </commentChains>
    <commentChains s:ref="AL149" rgbClr="FF0000">
      <unresolved>
        <commentChain chainId="c52bc81f966f4a06364724ecfaf8835f0d495831">
          <item id="76c7839e372df8eba5b51bf533c92daf96f03718" isNormal="1">
            <s:text>
              <s:r>
                <s:t xml:space="preserve">Administrator:
6/13 上进口商贴纸504pcs
UPC贴纸504pcs</s:t>
              </s:r>
            </s:text>
          </item>
        </commentChain>
      </unresolved>
      <resolved/>
    </commentChains>
    <commentChains s:ref="AI150" rgbClr="FF0000">
      <unresolved>
        <commentChain chainId="46f21a7ee834dc163acfc5178271ec075af6fcaf">
          <item id="8112750e50d6df26f99407c14cfe435339878758" isNormal="1">
            <s:text>
              <s:r>
                <s:t xml:space="preserve">Administrator:
2001643 6/27 1000pcs华3B15</s:t>
              </s:r>
            </s:text>
          </item>
        </commentChain>
      </unresolved>
      <resolved/>
    </commentChains>
    <commentChains s:ref="AL150" rgbClr="FF0000">
      <unresolved>
        <commentChain chainId="bb27abda72f39905c6602d0697eeb49ca56e8cf3">
          <item id="027b1be401ac9d28a2de2244f8f77f66d751313c" isNormal="1">
            <s:text>
              <s:r>
                <s:t xml:space="preserve">Administrator:
6/10 上4国警告贴纸1000pcs</s:t>
              </s:r>
            </s:text>
          </item>
        </commentChain>
      </unresolved>
      <resolved/>
    </commentChains>
    <commentChains s:ref="AI151" rgbClr="FF0000">
      <unresolved>
        <commentChain chainId="7fcb5d6322c5043a493a1e40d9ec92ee2b85904e">
          <item id="5d0ab9cb7628b84c74e447f2da1de9a43ffd8783" isNormal="1">
            <s:text>
              <s:r>
                <s:t xml:space="preserve">Administrator:
2001658 6/25 828pcs王1-A9</s:t>
              </s:r>
            </s:text>
          </item>
        </commentChain>
      </unresolved>
      <resolved/>
    </commentChains>
    <commentChains s:ref="AL151" rgbClr="FF0000">
      <unresolved>
        <commentChain chainId="5aedcdf038fd7dc0f575247194c65f914333ba10">
          <item id="9a7dec55f2dc924cc8c19d7197c739b3bfd2d6fb" isNormal="1">
            <s:text>
              <s:r>
                <s:t xml:space="preserve">Administrator:
5/30 上UPC贴纸828pcs</s:t>
              </s:r>
            </s:text>
          </item>
        </commentChain>
      </unresolved>
      <resolved/>
    </commentChains>
    <commentChains s:ref="AI152" rgbClr="FF0000">
      <unresolved>
        <commentChain chainId="864395f079f745635ba27ce0b077283ace7def6e">
          <item id="6c117422255118e9b338c01d98f659e42a8b743b" isNormal="1">
            <s:text>
              <s:r>
                <s:t xml:space="preserve">Administrator:
2001658 6/25 3384pcs
王1-B</s:t>
              </s:r>
            </s:text>
          </item>
        </commentChain>
      </unresolved>
      <resolved/>
    </commentChains>
    <commentChains s:ref="AL152" rgbClr="FF0000">
      <unresolved>
        <commentChain chainId="c3ef042c3e8a6548270a921cce0b3341b4c1af25">
          <item id="5b539fd1f357cfac00ed07e33ca83cfeeb1e14ac" isNormal="1">
            <s:text>
              <s:r>
                <s:t xml:space="preserve">Administrator:
6/3 上UPC贴纸3384pcs</s:t>
              </s:r>
            </s:text>
          </item>
        </commentChain>
      </unresolved>
      <resolved/>
    </commentChains>
    <commentChains s:ref="AI153" rgbClr="FF0000">
      <unresolved>
        <commentChain chainId="8025454e1bdc2e5464cb00163ce292d3a112fd9b">
          <item id="94fe9895ba334182887b0d38b1a2a9560825200c" isNormal="1">
            <s:text>
              <s:r>
                <s:t xml:space="preserve">Administrator:
2001647 6/28 120pcs华3A24</s:t>
              </s:r>
            </s:text>
          </item>
        </commentChain>
      </unresolved>
      <resolved/>
    </commentChains>
    <commentChains s:ref="AL153" rgbClr="FF0000">
      <unresolved>
        <commentChain chainId="89b91569f1f3de0ea3567705ef70fff884270e91">
          <item id="1f5363281128472db27cd471f6c8f13b8117957f" isNormal="1">
            <s:text>
              <s:r>
                <s:t xml:space="preserve">Administrator:
6/13 上UPC贴纸120pcs</s:t>
              </s:r>
            </s:text>
          </item>
        </commentChain>
      </unresolved>
      <resolved/>
    </commentChains>
    <commentChains s:ref="AI154" rgbClr="FF0000">
      <unresolved>
        <commentChain chainId="aedcde2e67e1a57c9f2e7cd99aa6215ed3be6bff">
          <item id="3a0dd4b07752c88f5cf09b173ac6a2bec64a80df" isNormal="1">
            <s:text>
              <s:r>
                <s:t xml:space="preserve">Administrator:
3001839 6/25 560pcs
华3B12
3001809 6/26 48pcs</s:t>
              </s:r>
            </s:text>
          </item>
        </commentChain>
      </unresolved>
      <resolved/>
    </commentChains>
    <commentChains s:ref="AI155" rgbClr="FF0000">
      <unresolved>
        <commentChain chainId="efd3aaf02969c2baaab274b5e0996bdf8354c4ac">
          <item id="cb20877eb23e00844852ed32073e14db20efddfc" isNormal="1">
            <s:text>
              <s:r>
                <s:t xml:space="preserve">Administrator:
3001786 6/26 1404pcs华3B9</s:t>
              </s:r>
            </s:text>
          </item>
        </commentChain>
      </unresolved>
      <resolved/>
    </commentChains>
    <commentChains s:ref="AL155" rgbClr="FF0000">
      <unresolved>
        <commentChain chainId="288ab40ce09ee3cd4148886d3fdf2b909980c116">
          <item id="63278cfc197170ce212531e4745b6704a773b927" isNormal="1">
            <s:text>
              <s:r>
                <s:t xml:space="preserve">Administrator:
5/12 上客供RFID贴纸1408pcs</s:t>
              </s:r>
            </s:text>
          </item>
        </commentChain>
      </unresolved>
      <resolved/>
    </commentChains>
    <commentChains s:ref="AI156" rgbClr="FF0000">
      <unresolved>
        <commentChain chainId="b4c3ffac66ac9559d649b449875806010796aed7">
          <item id="ae4b709ca79239ec89b4e59a2b3a2a7bf9a4a6f8" isNormal="1">
            <s:text>
              <s:r>
                <s:t xml:space="preserve">Administrator:
3001839 6/25 344pcs华3A27
3001777 6/27 4pcs华3A27</s:t>
              </s:r>
            </s:text>
          </item>
        </commentChain>
      </unresolved>
      <resolved/>
    </commentChains>
    <commentChains s:ref="AL156" rgbClr="FF0000">
      <unresolved>
        <commentChain chainId="f891bdb8ea5b26720b74586d4ad2c627cd9657b1">
          <item id="fba43fa131484ba6c83b262eda23d1ed401ade73" isNormal="1">
            <s:text>
              <s:r>
                <s:t xml:space="preserve">Administrator:
6/4 上欧洲通用30L WEEE_带电池走货声明书348pcs</s:t>
              </s:r>
            </s:text>
          </item>
        </commentChain>
      </unresolved>
      <resolved/>
    </commentChains>
    <commentChains s:ref="AI157" rgbClr="FF0000">
      <unresolved>
        <commentChain chainId="d4632b8a8a8e49dd265c6c0541772b9c1f3fcf59">
          <item id="09f543f925254dfb6436dd20c1297082b1db45a5" isNormal="1">
            <s:text>
              <s:r>
                <s:t xml:space="preserve">Administrator:
3001839 6/25 168pcs
兴信</s:t>
              </s:r>
            </s:text>
          </item>
        </commentChain>
      </unresolved>
      <resolved/>
    </commentChains>
    <commentChains s:ref="AI158" rgbClr="FF0000">
      <unresolved>
        <commentChain chainId="ac4b3a8ded2193d312b3f705d4e4c6f008a851ae">
          <item id="4539491bb4c1dac0300b3144b7e95baa7c6a79af" isNormal="1">
            <s:text>
              <s:r>
                <s:t xml:space="preserve">Administrator:
3001839 6/25 512pcs
华3B13
3001809 6/26 48pcs
</s:t>
              </s:r>
            </s:text>
          </item>
        </commentChain>
      </unresolved>
      <resolved/>
    </commentChains>
    <commentChains s:ref="AI159" rgbClr="FF0000">
      <unresolved>
        <commentChain chainId="53a77383e9e374e02524a97bf768a2a5430fa830">
          <item id="dc95d0b69e69d342ae317695b9b790225663a9fb" isNormal="1">
            <s:text>
              <s:r>
                <s:t xml:space="preserve">Administrator:
3001839 6/25 800pcs
华3B11</s:t>
              </s:r>
            </s:text>
          </item>
        </commentChain>
      </unresolved>
      <resolved/>
    </commentChains>
    <commentChains s:ref="AL159" rgbClr="FF0000">
      <unresolved>
        <commentChain chainId="3227857853709232fde9241bd099f835e61165a0">
          <item id="63cca4e1d53bf1d3d95772e91740a62938fe5028" isNormal="1">
            <s:text>
              <s:r>
                <s:t xml:space="preserve">Administrator:
6/10 上进口商贴纸800pcs</s:t>
              </s:r>
            </s:text>
          </item>
        </commentChain>
      </unresolved>
      <resolved/>
    </commentChains>
    <commentChains s:ref="AI160" rgbClr="FF0000">
      <unresolved>
        <commentChain chainId="e3ded1083059af909080d73a602e4e9f494faadc">
          <item id="e9617fac40feb70bb514214ed7fd22309019ecd2" isNormal="1">
            <s:text>
              <s:r>
                <s:t xml:space="preserve">Administrator:
3001817 6/26 100pcs</s:t>
              </s:r>
            </s:text>
          </item>
        </commentChain>
      </unresolved>
      <resolved/>
    </commentChains>
    <commentChains s:ref="AI161" rgbClr="FF0000">
      <unresolved>
        <commentChain chainId="0bee8b477a0d90bf4f5474dd428885e7fa1ca9a8">
          <item id="bd878d608ae2cc916a3a5179e5ff7eabce15469b" isNormal="1">
            <s:text>
              <s:r>
                <s:t xml:space="preserve">Administrator:
3001817 6/26 80pcs
</s:t>
              </s:r>
            </s:text>
          </item>
        </commentChain>
      </unresolved>
      <resolved/>
    </commentChains>
    <commentChains s:ref="AI163" rgbClr="FF0000">
      <unresolved>
        <commentChain chainId="107a1b3badc6b6c92da3dcc295661372b6802a0e">
          <item id="efc51abf38b1257409d7d6c2f149f08f6d60bbae" isNormal="1">
            <s:text>
              <s:r>
                <s:t xml:space="preserve">Administrator:
2002516 6/9 3600pcs
东莞混装</s:t>
              </s:r>
            </s:text>
          </item>
        </commentChain>
      </unresolved>
      <resolved/>
    </commentChains>
    <commentChains s:ref="AL163" rgbClr="FF0000">
      <unresolved>
        <commentChain chainId="634e87e4399a4482d1d94f40f531c33b2ae8877f">
          <item id="fc6b167c89de1247ad3c834d2f05a031159bdf7f" isNormal="1">
            <s:text>
              <s:r>
                <s:t xml:space="preserve">Administrator:
5/6 上多语警语折叠贴纸3600pcs
多语版WEEE电池垃圾桶的回收声明说明书3600pcs
6/14 收到多语折叠警告语贴纸3600pcs留车间返工</s:t>
              </s:r>
            </s:text>
          </item>
        </commentChain>
      </unresolved>
      <resolved/>
    </commentChains>
    <commentChains s:ref="AL166" rgbClr="FF0000">
      <unresolved>
        <commentChain chainId="7010c5ce44374d004717bf9b81e7573545a01599">
          <item id="75d7462f84484f74659978320ca49269093676ff" isNormal="1">
            <s:text>
              <s:r>
                <s:t xml:space="preserve">Administrator:
6/4 上欧洲通用30L WEEE_带电池走货声明书1002pcs
6/10 上德语意大利警告语贴纸1002pcs</s:t>
              </s:r>
            </s:text>
          </item>
        </commentChain>
      </unresolved>
      <resolved/>
    </commentChains>
    <commentChains s:ref="AI168" rgbClr="FF0000">
      <unresolved>
        <commentChain chainId="e84d8e07e76fb660eeb73d23e7ec457d3476b6c6">
          <item id="a8185fba1032b5aece0fa3d5b954278bc504e0bd" isNormal="1">
            <s:text>
              <s:r>
                <s:t xml:space="preserve">Administrator:
3001915 7/3 600pcs华3B2</s:t>
              </s:r>
            </s:text>
          </item>
        </commentChain>
      </unresolved>
      <resolved/>
    </commentChains>
    <commentChains s:ref="AL168" rgbClr="FF0000">
      <unresolved>
        <commentChain chainId="112e0010e51bea4691187d0ee9d85555b3f4ed15">
          <item id="8affd444e020a8d4e5c39eac4216dc5757ba2e50" isNormal="1">
            <s:text>
              <s:r>
                <s:t xml:space="preserve">Administrator:
6/21 上进口商贴纸600pcs</s:t>
              </s:r>
            </s:text>
          </item>
        </commentChain>
      </unresolved>
      <resolved/>
    </commentChains>
    <commentChains s:ref="AI169" rgbClr="FF0000">
      <unresolved>
        <commentChain chainId="df3ca1407edc6e73da6ac0abe7e116dd9ff62447">
          <item id="5a8302ffdc1843203f56ca8e92b2a72878deb12e" isNormal="1">
            <s:text>
              <s:r>
                <s:t xml:space="preserve">Administrator:
3001565 7/2 1676pcs
莫4A1
3001915 7/3 24pcs兴信</s:t>
              </s:r>
            </s:text>
          </item>
        </commentChain>
      </unresolved>
      <resolved/>
    </commentChains>
    <commentChains s:ref="AL169" rgbClr="FF0000">
      <unresolved>
        <commentChain chainId="70965a6e24ff4649b4eb98924ba225e35890cb18">
          <item id="b9b2e687aae831f20277614287070e00ab87b331" isNormal="1">
            <s:text>
              <s:r>
                <s:t xml:space="preserve">Administrator:
5/12 上客供RFID贴纸1700pcs</s:t>
              </s:r>
            </s:text>
          </item>
        </commentChain>
      </unresolved>
      <resolved/>
    </commentChains>
    <commentChains s:ref="AI170" rgbClr="FF0000">
      <unresolved>
        <commentChain chainId="ab667b09d2cadf79566632752aeaed979deddf16">
          <item id="7b5f29a3529d9bb72cf4794334d70222d423856e" isNormal="1">
            <s:text>
              <s:r>
                <s:t xml:space="preserve">Administrator:
3001366 6/28 4000pcs华3A26</s:t>
              </s:r>
            </s:text>
          </item>
        </commentChain>
      </unresolved>
      <resolved/>
    </commentChains>
    <commentChains s:ref="AL170" rgbClr="FF0000">
      <unresolved>
        <commentChain chainId="b834e0a0587d0965b6d3441c9bd8e536904a8aca">
          <item id="071838d43a8cde9f0ae34ef29f116bdaa621b36a" isNormal="1">
            <s:text>
              <s:r>
                <s:t xml:space="preserve">Administrator:
6/4 上欧洲通用30L WEEE_带电池走货声明书4000pcs
</s:t>
              </s:r>
            </s:text>
          </item>
        </commentChain>
      </unresolved>
      <resolved/>
    </commentChains>
    <commentChains s:ref="AI171" rgbClr="FF0000">
      <unresolved>
        <commentChain chainId="255259ea915f19a580d930acef8933de6ea42056">
          <item id="b63e4af26bdf3a51be5a8b21f42dadfda8abb960" isNormal="1">
            <s:text>
              <s:r>
                <s:t xml:space="preserve">Administrator:
3001592 6/30 3480pcs华3A26
3001915 7/3 24pcs华3A26</s:t>
              </s:r>
            </s:text>
          </item>
        </commentChain>
      </unresolved>
      <resolved/>
    </commentChains>
    <commentChains s:ref="AL171" rgbClr="FF0000">
      <unresolved>
        <commentChain chainId="1ee2d2485f14c1b01e22f19afcd9d4b8a177724f">
          <item id="aa80b59b7492fdff172b5749bbaf05758b743f5f" isNormal="1">
            <s:text>
              <s:r>
                <s:t xml:space="preserve">Administrator:
5/30 上WEEE说明书3504pcs
6/13 上2025LOGO贴纸3504pcs</s:t>
              </s:r>
            </s:text>
          </item>
        </commentChain>
      </unresolved>
      <resolved/>
    </commentChains>
    <commentChains s:ref="AI172" rgbClr="FF0000">
      <unresolved>
        <commentChain chainId="61b847fcfb9fc443959bb4c6ee227c734f927a0e">
          <item id="3bb4ce04d9e3766ca9cf5620af60c5730ff89eb1" isNormal="1">
            <s:text>
              <s:r>
                <s:t xml:space="preserve">Administrator:
3001366 6/28 1716pcs华3B15</s:t>
              </s:r>
            </s:text>
          </item>
        </commentChain>
      </unresolved>
      <resolved/>
    </commentChains>
    <commentChains s:ref="AI173" rgbClr="FF0000">
      <unresolved>
        <commentChain chainId="db0983c5e6f74356fdbdb16044cb82df8bae7a12">
          <item id="9847fbd8e409c09e26bbae5e3b2581a0251e03af" isNormal="1">
            <s:text>
              <s:r>
                <s:t xml:space="preserve">Administrator:
3001565 7/2 692pcs
莫4B8</s:t>
              </s:r>
            </s:text>
          </item>
        </commentChain>
      </unresolved>
      <resolved/>
    </commentChains>
    <commentChains s:ref="AI174" rgbClr="FF0000">
      <unresolved>
        <commentChain chainId="8a1b8ad23bf4aa4cd8bb78d47f6a6a046349857e">
          <item id="d17bc3af5ecf8b91cc1addaa4673ee84a8db36ee" isNormal="1">
            <s:text>
              <s:r>
                <s:t xml:space="preserve">Administrator:
2002523 6/6 1200pcs王1-A9</s:t>
              </s:r>
            </s:text>
          </item>
        </commentChain>
      </unresolved>
      <resolved/>
    </commentChains>
    <commentChains s:ref="AL174" rgbClr="FF0000">
      <unresolved>
        <commentChain chainId="89b7d265f9648b8cfb6327855b17b36669f8ea75">
          <item id="ff96e0d9d48e09f2e03371b17e542325568aa1d6" isNormal="1">
            <s:text>
              <s:r>
                <s:t xml:space="preserve">Administrator:
5/9 上彩盒+收缩膜进口商贴纸1500pcs
5/19 说明书1200pcs
5/21 上彩盒+收缩膜进口商贴纸1200pcs补订
5/22 上2-PDQ 彩色贴纸540pcs
收藏指南彩色贴纸540pcs
5/26 上收藏指南彩色贴纸1560pcs（62472/62474）共用</s:t>
              </s:r>
            </s:text>
          </item>
        </commentChain>
      </unresolved>
      <resolved/>
    </commentChains>
    <commentChains s:ref="AI175" rgbClr="FF0000">
      <unresolved>
        <commentChain chainId="ac256b064c37e868fcf7a0929ab5b49f06c3da22">
          <item id="b47497f28ee638366e8c58b7cf21d37381946a06" isNormal="1">
            <s:text>
              <s:r>
                <s:t xml:space="preserve">Administrator:
2002523 6/6 480pcs王1-A9</s:t>
              </s:r>
            </s:text>
          </item>
        </commentChain>
      </unresolved>
      <resolved/>
    </commentChains>
    <commentChains s:ref="AL175" rgbClr="FF0000">
      <unresolved>
        <commentChain chainId="d4d068249d328c020b6635bd6f0b12c16fedd4a9">
          <item id="d1c8ecc9aea9ffe9fb562fa81dc60d2612ecd7a0" isNormal="1">
            <s:text>
              <s:r>
                <s:t xml:space="preserve">Administrator:
5/9 上彩盒+收缩膜进口商贴纸600pcs
5/19 说明书480pcs
5/21 上彩盒+收缩膜进口商贴纸480pcs补订
</s:t>
              </s:r>
            </s:text>
          </item>
        </commentChain>
      </unresolved>
      <resolved/>
    </commentChains>
    <commentChains s:ref="AL176" rgbClr="FF0000">
      <unresolved>
        <commentChain chainId="0df1d4045495e3014680d6022592160ad36381d3">
          <item id="3ca45f6bda1f0cc04e7302fe0fe7674d8e4b90c9" isNormal="1">
            <s:text>
              <s:r>
                <s:t xml:space="preserve">Administrator:
6/4 上欧洲通用30L WEEE_带电池走货声明书240pcs
</s:t>
              </s:r>
            </s:text>
          </item>
        </commentChain>
      </unresolved>
      <resolved/>
    </commentChains>
    <commentChains s:ref="AI177" rgbClr="FF0000">
      <unresolved>
        <commentChain chainId="7bbcd4b5168c61754787bc008ae3ddcc132cf2ed">
          <item id="edeb3646a1f809bb009566a5dce48be8375af158" isNormal="1">
            <s:text>
              <s:r>
                <s:t xml:space="preserve">Administrator:
3001727 7/7 504pcs
B栋4A1</s:t>
              </s:r>
            </s:text>
          </item>
        </commentChain>
      </unresolved>
      <resolved/>
    </commentChains>
    <commentChains s:ref="AL177" rgbClr="FF0000">
      <unresolved>
        <commentChain chainId="6884bc31c6951cca4ba48df7621754b8c833f7a3">
          <item id="5b354ce648d2a79a881728e021d166a4676d88cc" isNormal="1">
            <s:text>
              <s:r>
                <s:t xml:space="preserve">Administrator:
6/5 上警语贴纸504pcs
6/4 上欧洲通用30L WEEE_带电池走货声明书504pcs
</s:t>
              </s:r>
            </s:text>
          </item>
        </commentChain>
      </unresolved>
      <resolved/>
    </commentChains>
    <commentChains s:ref="AI180" rgbClr="FF0000">
      <unresolved>
        <commentChain chainId="5fd25cc2578ea4055039c47f6c915fddc95fa1c1">
          <item id="3751c63713c48dd4b22486ae1af10c79624d611e" isNormal="1">
            <s:text>
              <s:r>
                <s:t xml:space="preserve">Administrator:
3001727 7/7 200pcs
B栋4A7</s:t>
              </s:r>
            </s:text>
          </item>
        </commentChain>
      </unresolved>
      <resolved/>
    </commentChains>
    <commentChains s:ref="AI181" rgbClr="FF0000">
      <unresolved>
        <commentChain chainId="ab9436f848e3107d1cf8fd91fffc07dc45a9dad8">
          <item id="b9f8a3166d0677dcc67c2a8c676b378da6b57abe" isNormal="1">
            <s:text>
              <s:r>
                <s:t xml:space="preserve">Administrator:
2001752 7/18 1512pcs
华1A4
2001732 7/19 7188pcs
直走</s:t>
              </s:r>
            </s:text>
          </item>
        </commentChain>
      </unresolved>
      <resolved/>
    </commentChains>
    <commentChains s:ref="AL181" rgbClr="FF0000">
      <unresolved>
        <commentChain chainId="546f42559a44dd2354464635c5840a378991af23">
          <item id="c99205afc9d9c36083039e57663d2dadfc530b66" isNormal="1">
            <s:text>
              <s:r>
                <s:t xml:space="preserve">Administrator:
6/25 上空白贴纸17400pcs
两个同PO共用</s:t>
              </s:r>
            </s:text>
          </item>
        </commentChain>
      </unresolved>
      <resolved/>
    </commentChains>
    <commentChains s:ref="AI182" rgbClr="FF0000">
      <unresolved>
        <commentChain chainId="4af1ed1c107ed8deb032f19a5ae037e7c6090adf">
          <item id="c3fd68fe6fe12da73b5e46ca5ec42aef3af4659b" isNormal="1">
            <s:text>
              <s:r>
                <s:t xml:space="preserve">Administrator:
3001727 7/7 504pcs B栋4B9
</s:t>
              </s:r>
            </s:text>
          </item>
        </commentChain>
      </unresolved>
      <resolved/>
    </commentChains>
    <commentChains s:ref="AL182" rgbClr="FF0000">
      <unresolved>
        <commentChain chainId="6aac19997b25639f2b6dc1583dd4eb7488ef6401">
          <item id="26887fb5f99d36ceea61800798bbe1ca03da429f" isNormal="1">
            <s:text>
              <s:r>
                <s:t xml:space="preserve">Administrator:
6/14 WEEE带电池走货欧洲30语通用黑白说明书 504pcs
 6/13 上邮包盒贴纸504pcs
6/26 上邮包盒贴纸462pcs</s:t>
              </s:r>
            </s:text>
          </item>
        </commentChain>
      </unresolved>
      <resolved/>
    </commentChains>
    <commentChains s:ref="AI183" rgbClr="FF0000">
      <unresolved>
        <commentChain chainId="8526eb85defc29dc0f0d2241955a73a2f6bca4ab">
          <item id="1a048aa8185d0ce3a8ff8fa92c11dd6ee674aec7" isNormal="1">
            <s:text>
              <s:r>
                <s:t xml:space="preserve">Administrator:
2001590 7/5 180pcs
B栋4A5</s:t>
              </s:r>
            </s:text>
          </item>
        </commentChain>
      </unresolved>
      <resolved/>
    </commentChains>
    <commentChains s:ref="AL183" rgbClr="FF0000">
      <unresolved>
        <commentChain chainId="ecf56f58e76f9f8387a5e9d29f1a326dec582c0d">
          <item id="710d55aee3765ddf512f638d3e63f9e70df983d2" isNormal="1">
            <s:text>
              <s:r>
                <s:t xml:space="preserve">Administrator:
6/17 UPC贴纸180pcs
</s:t>
              </s:r>
            </s:text>
          </item>
        </commentChain>
      </unresolved>
      <resolved/>
    </commentChains>
    <commentChains s:ref="AI184" rgbClr="FF0000">
      <unresolved>
        <commentChain chainId="984a932481f2bf228c0e9128774c7e73043100d3">
          <item id="0b3c7d3f2bcce84213dfa0bd25012f3fcabbb2f7" isNormal="1">
            <s:text>
              <s:r>
                <s:t xml:space="preserve">Administrator:
2001566 7/9 600pcs
</s:t>
              </s:r>
            </s:text>
          </item>
        </commentChain>
      </unresolved>
      <resolved/>
    </commentChains>
    <commentChains s:ref="AL184" rgbClr="FF0000">
      <unresolved>
        <commentChain chainId="3ccb26bab3e22f558077c21d373e1256d9b2aa8d">
          <item id="694dced4665ac4775e31616f0d833d5af4bf278e" isNormal="1">
            <s:text>
              <s:r>
                <s:t xml:space="preserve">Administrator:
6/13 上WEEE带电池走货欧洲 30 语通用黑白说明书600pcs</s:t>
              </s:r>
            </s:text>
          </item>
        </commentChain>
      </unresolved>
      <resolved/>
    </commentChains>
    <commentChains s:ref="AI185" rgbClr="FF0000">
      <unresolved>
        <commentChain chainId="ccb54ef3e24b18349957815507ad17f75816afab">
          <item id="e40e6606e63c4c94c20f033c28ceb2e3a5186834" isNormal="1">
            <s:text>
              <s:r>
                <s:t xml:space="preserve">Administrator:
2001590 7/5 240pcs
B栋4B7</s:t>
              </s:r>
            </s:text>
          </item>
        </commentChain>
      </unresolved>
      <resolved/>
    </commentChains>
    <commentChains s:ref="AL185" rgbClr="FF0000">
      <unresolved>
        <commentChain chainId="1a373221ebceb7ac802b955dc3c9f32724eb7de0">
          <item id="04329850d865fcc245926df3d6579490dc166246" isNormal="1">
            <s:text>
              <s:r>
                <s:t xml:space="preserve">Administrator:
6/17 UPC贴纸240pcs</s:t>
              </s:r>
            </s:text>
          </item>
        </commentChain>
      </unresolved>
      <resolved/>
    </commentChains>
    <commentChains s:ref="AI186" rgbClr="FF0000">
      <unresolved>
        <commentChain chainId="592529e0ade17bdc6cb8a29893951224a5be6bdd">
          <item id="3ad5cdfce87ba57006c619d52776cae3b1ca1b2a" isNormal="1">
            <s:text>
              <s:r>
                <s:t xml:space="preserve">Administrator:
2001590 7/5 120pcs
B栋4B7</s:t>
              </s:r>
            </s:text>
          </item>
        </commentChain>
      </unresolved>
      <resolved/>
    </commentChains>
    <commentChains s:ref="AL186" rgbClr="FF0000">
      <unresolved>
        <commentChain chainId="2c0f74cfb4ed30d3bb6a0f0e655e863ce1065fe9">
          <item id="404a761e216961ceab57fad48c05ca079c26f50f" isNormal="1">
            <s:text>
              <s:r>
                <s:t xml:space="preserve">Administrator:
6/17 UPC贴纸120pcs
</s:t>
              </s:r>
            </s:text>
          </item>
        </commentChain>
      </unresolved>
      <resolved/>
    </commentChains>
    <commentChains s:ref="AI189" rgbClr="FF0000">
      <unresolved>
        <commentChain chainId="ea7ec835820163ad79d6121c000b6e297e54b894">
          <item id="e655830a28832a47726e75e1e74ebe14a6826a70" isNormal="1">
            <s:text>
              <s:r>
                <s:t xml:space="preserve">Administrator:
2001566 7/9 1504pcs</s:t>
              </s:r>
            </s:text>
          </item>
        </commentChain>
      </unresolved>
      <resolved/>
    </commentChains>
    <commentChains s:ref="AL189" rgbClr="FF0000">
      <unresolved>
        <commentChain chainId="bc9fb2e3bf360eefdd0ece1c58018eb261ca6c0d">
          <item id="12ecdb68cf72b287a6dd11f5f6c12c922702f4f6" isNormal="1">
            <s:text>
              <s:r>
                <s:t xml:space="preserve">Administrator:
5/12 上客供RFID贴纸1504pcs</s:t>
              </s:r>
            </s:text>
          </item>
        </commentChain>
      </unresolved>
      <resolved/>
    </commentChains>
    <commentChains s:ref="AI190" rgbClr="FF0000">
      <unresolved>
        <commentChain chainId="32424dafd4b60a29b0f70cdcb3d2b8abc17a8183">
          <item id="beb5379673717ac94377281b24fce0bf49d47627" isNormal="1">
            <s:text>
              <s:r>
                <s:t xml:space="preserve">Administrator:
2001566 7/9 2328pcs
</s:t>
              </s:r>
            </s:text>
          </item>
        </commentChain>
      </unresolved>
      <resolved/>
    </commentChains>
    <commentChains s:ref="AI191" rgbClr="FF0000">
      <unresolved>
        <commentChain chainId="4491d179e6566d56ecefedd9172cc619a2cefe9b">
          <item id="d9262473f0b6786379c668e7707b25761b436cdf" isNormal="1">
            <s:text>
              <s:r>
                <s:t xml:space="preserve">Administrator:
2001590 7/5 492pcs B栋4B9</s:t>
              </s:r>
            </s:text>
          </item>
        </commentChain>
      </unresolved>
      <resolved/>
    </commentChains>
    <commentChains s:ref="AL191" rgbClr="FF0000">
      <unresolved>
        <commentChain chainId="403267c10ad7f3dab2de4a054aebd3544ba543d1">
          <item id="2a59d03a91b68757a54a039fdf78da621c3b2a58" isNormal="1">
            <s:text>
              <s:r>
                <s:t xml:space="preserve">Administrator:
5/30 上多语折叠贴492pcs
6/14 上UPC贴纸492pcs
6/10 上亚马逊外箱贴纸41pcs</s:t>
              </s:r>
            </s:text>
          </item>
        </commentChain>
      </unresolved>
      <resolved/>
    </commentChains>
    <commentChains s:ref="AI192" rgbClr="FF0000">
      <unresolved>
        <commentChain chainId="836bb49afa89b4bf75ce287f859005b16ac6b484">
          <item id="e0b077d6bfda4322a62d3c06f81cd0cc7b250178" isNormal="1">
            <s:text>
              <s:r>
                <s:t xml:space="preserve">Administrator:
2001563 7/8 252pcs 华1B2</s:t>
              </s:r>
            </s:text>
          </item>
        </commentChain>
      </unresolved>
      <resolved/>
    </commentChains>
    <commentChains s:ref="AL192" rgbClr="FF0000">
      <unresolved>
        <commentChain chainId="da9ca5ec1d3b7005110d81ce063b273f68f56ab1">
          <item id="1b194a66345e778698d1cc742940916d300fe485" isNormal="1">
            <s:text>
              <s:r>
                <s:t xml:space="preserve">Administrator:
5/7 上客人白色CALLABEL贴纸252pcs
7/3 上带电池走货说明书252pcs</s:t>
              </s:r>
            </s:text>
          </item>
        </commentChain>
      </unresolved>
      <resolved/>
    </commentChains>
    <commentChains s:ref="AI193" rgbClr="FF0000">
      <unresolved>
        <commentChain chainId="5d2ab3324861c0ec0d58092b985e9711ceef1eef">
          <item id="3f560ad00cb64d8924235758ace050fbbb27ac48" isNormal="1">
            <s:text>
              <s:r>
                <s:t xml:space="preserve">Administrator:
2001563 7/8 636pcs 华1B2
</s:t>
              </s:r>
            </s:text>
          </item>
        </commentChain>
      </unresolved>
      <resolved/>
    </commentChains>
    <commentChains s:ref="AI194" rgbClr="FF0000">
      <unresolved>
        <commentChain chainId="68c2069fec7066eeaec97b0ea664ecc39d2a8d9a">
          <item id="e4d4c082e7c8b57b82a8859d0f2f345238149fef" isNormal="1">
            <s:text>
              <s:r>
                <s:t xml:space="preserve">Administrator:
2001611 7/3 516pcs莫4A6</s:t>
              </s:r>
            </s:text>
          </item>
        </commentChain>
      </unresolved>
      <resolved/>
    </commentChains>
    <commentChains s:ref="AL194" rgbClr="FF0000">
      <unresolved>
        <commentChain chainId="57364c6721528d0dcafbf9f41fd5fd12b41af35a">
          <item id="24a53002f941b53c23244b144bd01bbe8a329465" isNormal="1">
            <s:text>
              <s:r>
                <s:t xml:space="preserve">Administrator:
6/23 上纸袋希腊警语贴纸1032pcs
WEEE30L带电走货电池说明书516pcs
客人警语贴纸516pcs</s:t>
              </s:r>
            </s:text>
          </item>
        </commentChain>
      </unresolved>
      <resolved/>
    </commentChains>
    <commentChains s:ref="AI195" rgbClr="FF0000">
      <unresolved>
        <commentChain chainId="0608dbbf4ace01c432cf8ae5512c6e87c4d8ae56">
          <item id="e4dd57cc34e48474502e6267fcc60277282a44bd" isNormal="1">
            <s:text>
              <s:r>
                <s:t xml:space="preserve">Administrator:
3001641 7/9 108pcs
3001534 7/11 12pcs
</s:t>
              </s:r>
            </s:text>
          </item>
        </commentChain>
      </unresolved>
      <resolved/>
    </commentChains>
    <commentChains s:ref="AL195" rgbClr="FF0000">
      <unresolved>
        <commentChain chainId="b144b54f72bce189f313c34868c4688ace51f7d2">
          <item id="15213d6a056686155eec91d98de0537dd9201af2" isNormal="1">
            <s:text>
              <s:r>
                <s:t xml:space="preserve">Administrator:
6/17 WEEE带电池走货欧洲30语通用黑白说明书120pcs
</s:t>
              </s:r>
            </s:text>
          </item>
        </commentChain>
      </unresolved>
      <resolved/>
    </commentChains>
    <commentChains s:ref="AI196" rgbClr="FF0000">
      <unresolved>
        <commentChain chainId="dafac94af3c511f9747e8ffe6b5bb3f6a500a32b">
          <item id="fbc1c13df6007c21a73756814fd8e63e61be3e19" isNormal="1">
            <s:text>
              <s:r>
                <s:t xml:space="preserve">Administrator:
3001698 7/8 1140pcs 华3A7</s:t>
              </s:r>
            </s:text>
          </item>
        </commentChain>
      </unresolved>
      <resolved/>
    </commentChains>
    <commentChains s:ref="AL196" rgbClr="FF0000">
      <unresolved>
        <commentChain chainId="96d51aa689cac61285ebf56e369cc23e82029e51">
          <item id="685152c49065701e776164ad8548ef570497ac4e" isNormal="1">
            <s:text>
              <s:r>
                <s:t xml:space="preserve">Administrator:
6/11 上客供RFID贴纸1140pcs</s:t>
              </s:r>
            </s:text>
          </item>
        </commentChain>
      </unresolved>
      <resolved/>
    </commentChains>
    <commentChains s:ref="AI197" rgbClr="FF0000">
      <unresolved>
        <commentChain chainId="17358ce2f67246021ad5e0b8695252ef1666ab77">
          <item id="5782d799a043ee18ecb6c32ab09362e35a4e443f" isNormal="1">
            <s:text>
              <s:r>
                <s:t xml:space="preserve">Administrator:
3001698 7/8 1248pcs
华3A8</s:t>
              </s:r>
            </s:text>
          </item>
        </commentChain>
      </unresolved>
      <resolved/>
    </commentChains>
    <commentChains s:ref="AL197" rgbClr="FF0000">
      <unresolved>
        <commentChain chainId="304916bee0c0ca45cb338403b1d42cb223a48c39">
          <item id="df405d34d46311b74d93dd1475a1cb1605091730" isNormal="1">
            <s:text>
              <s:r>
                <s:t xml:space="preserve">Administrator:
6/11 上客供RFID贴纸1248pcs
</s:t>
              </s:r>
            </s:text>
          </item>
        </commentChain>
      </unresolved>
      <resolved/>
    </commentChains>
    <commentChains s:ref="AI198" rgbClr="FF0000">
      <unresolved>
        <commentChain chainId="df77db8912241a104c51e5b896d6e179fd600a1a">
          <item id="1b53845bfb6e1e89e4de7c35ccfca8bfed847f08" isNormal="1">
            <s:text>
              <s:r>
                <s:t xml:space="preserve">Administrator:
3001698 7/8 1608pcs
华3A10</s:t>
              </s:r>
            </s:text>
          </item>
        </commentChain>
      </unresolved>
      <resolved/>
    </commentChains>
    <commentChains s:ref="AL198" rgbClr="FF0000">
      <unresolved>
        <commentChain chainId="b0cc3a1d386683db50bd130a3362633cd08cffb1">
          <item id="071f154c194968438a8488a0ee1b4c7921b63a98" isNormal="1">
            <s:text>
              <s:r>
                <s:t xml:space="preserve">Administrator:
6/11 上客供RFID贴纸1608pcs
</s:t>
              </s:r>
            </s:text>
          </item>
        </commentChain>
      </unresolved>
      <resolved/>
    </commentChains>
    <commentChains s:ref="AI199" rgbClr="FF0000">
      <unresolved>
        <commentChain chainId="478fa131a74a251a9fda8b6a278399b7c1e183e9">
          <item id="2fd5c04352a53ada5913cf00200945a7f952b5cf" isNormal="1">
            <s:text>
              <s:r>
                <s:t xml:space="preserve">Administrator:
3001698 7/8 1132pcs
华3A9</s:t>
              </s:r>
            </s:text>
          </item>
        </commentChain>
      </unresolved>
      <resolved/>
    </commentChains>
    <commentChains s:ref="AL199" rgbClr="FF0000">
      <unresolved>
        <commentChain chainId="0e8ff864c6f5beeb2991df8c07e3cba25285582e">
          <item id="491451db5000da0ef609f247a8e111338369c659" isNormal="1">
            <s:text>
              <s:r>
                <s:t xml:space="preserve">Administrator:
6/11 上客供RFID贴纸1132pcs
</s:t>
              </s:r>
            </s:text>
          </item>
        </commentChain>
      </unresolved>
      <resolved/>
    </commentChains>
    <commentChains s:ref="AI200" rgbClr="FF0000">
      <unresolved>
        <commentChain chainId="7b66a18eee2ef69ca63f262895c8da4991fc6f36">
          <item id="0c99ce09af7ba545501b513c68b4ddd26d5efa66" isNormal="1">
            <s:text>
              <s:r>
                <s:t xml:space="preserve">Administrator:
2001611 7/3 500pcs莫4B9</s:t>
              </s:r>
            </s:text>
          </item>
        </commentChain>
      </unresolved>
      <resolved/>
    </commentChains>
    <commentChains s:ref="AI201" rgbClr="FF0000">
      <unresolved>
        <commentChain chainId="8f5d96bad936c4b5a4ce98f01575e466f7db9048">
          <item id="3d553147f8976ffeb676fe1ac7cf3823701c4f71" isNormal="1">
            <s:text>
              <s:r>
                <s:t xml:space="preserve">Administrator:
3001675 7/9 996pcs</s:t>
              </s:r>
            </s:text>
          </item>
        </commentChain>
      </unresolved>
      <resolved/>
    </commentChains>
    <commentChains s:ref="AL206" rgbClr="FF0000">
      <unresolved>
        <commentChain chainId="383713cdcd9a35d117d5c02da14eeff67aeb6a5e">
          <item id="38d5d04ce98fc5668d483bbb3a759a5348c0644c" isNormal="1">
            <s:text>
              <s:r>
                <s:t xml:space="preserve">Administrator:
6/14 WEEE带电池走货欧洲30语通用黑白说明书 360pcs</s:t>
              </s:r>
            </s:text>
          </item>
        </commentChain>
      </unresolved>
      <resolved/>
    </commentChains>
    <commentChains s:ref="AI207" rgbClr="FF0000">
      <unresolved>
        <commentChain chainId="7dd15bfa8177aab84d23cdb783378f8358598279">
          <item id="144f978d856562ad26d14d206a37fa67dc39af16" isNormal="1">
            <s:text>
              <s:r>
                <s:t xml:space="preserve">Administrator:
3001527 7/11 360pcs</s:t>
              </s:r>
            </s:text>
          </item>
        </commentChain>
      </unresolved>
      <resolved/>
    </commentChains>
    <commentChains s:ref="AL207" rgbClr="FF0000">
      <unresolved>
        <commentChain chainId="cad79feb46572b26c50ef3c3925175c48aa3fd15">
          <item id="d3369f274a4635d5f8ec46db461cc54c76fbb9bf" isNormal="1">
            <s:text>
              <s:r>
                <s:t xml:space="preserve">Administrator:
6/17 WEEE带电池走货欧洲30语通用黑白说明书360pcs
6/18 上西班牙环保标/邮箱贴纸360pcs</s:t>
              </s:r>
            </s:text>
          </item>
        </commentChain>
      </unresolved>
      <resolved/>
    </commentChains>
    <commentChains s:ref="AL208" rgbClr="FF0000">
      <unresolved>
        <commentChain chainId="7c708bb90242254fb11ff6b66a9d3d8f484fdf43">
          <item id="438e5332f81e2f1f1d12cdef0686ca18ccfa556b" isNormal="1">
            <s:text>
              <s:r>
                <s:t xml:space="preserve">Administrator:
6/17 WEEE带电池走货欧洲30语通用黑白说明书300pcs
</s:t>
              </s:r>
            </s:text>
          </item>
        </commentChain>
      </unresolved>
      <resolved/>
    </commentChains>
    <commentChains s:ref="AL209" rgbClr="FF0000">
      <unresolved>
        <commentChain chainId="3f354a96c6534792e0b1120090f9aec976f714aa">
          <item id="91c14f96b34e4d85e2e603e51cb76e68df81eb29" isNormal="1">
            <s:text>
              <s:r>
                <s:t xml:space="preserve">Administrator:
6/17 WEEE带电池走货欧洲30语通用黑白说明书120pcs</s:t>
              </s:r>
            </s:text>
          </item>
        </commentChain>
      </unresolved>
      <resolved/>
    </commentChains>
    <commentChains s:ref="AL210" rgbClr="FF0000">
      <unresolved>
        <commentChain chainId="1dc801e10330ba4be7121691afbfc140406c6bf5">
          <item id="327eb34e360c212d98c4a222c13690c8419dfdf5" isNormal="1">
            <s:text>
              <s:r>
                <s:t xml:space="preserve">Administrator:
6/13 上WEEE带电池走货欧洲30语通用黑白说明书42pcs</s:t>
              </s:r>
            </s:text>
          </item>
        </commentChain>
      </unresolved>
      <resolved/>
    </commentChains>
    <commentChains s:ref="AI211" rgbClr="FF0000">
      <unresolved>
        <commentChain chainId="c70b8dbf7d7f3ad1b5d7fe183e83bd01cf02b81d">
          <item id="1aef4bcf59caba5160cc16e57c75b0c2031efebf" isNormal="1">
            <s:text>
              <s:r>
                <s:t xml:space="preserve">Administrator:
3001473 7/14 4pcs
华3A7
3001545 7/12 1868pcs华3A7</s:t>
              </s:r>
            </s:text>
          </item>
        </commentChain>
      </unresolved>
      <resolved/>
    </commentChains>
    <commentChains s:ref="AI212" rgbClr="FF0000">
      <unresolved>
        <commentChain chainId="7bffca0e03a230153bb23ff7e65e9fe9aca535d2">
          <item id="3745c9c364da2e5d3dbf8ffe2c5a219f2025205c" isNormal="1">
            <s:text>
              <s:r>
                <s:t xml:space="preserve">Administrator:
3001488 7/12 700pcs
华3A10
3001545 7/12 2108pcs华3A9
</s:t>
              </s:r>
            </s:text>
          </item>
        </commentChain>
      </unresolved>
      <resolved/>
    </commentChains>
    <commentChains s:ref="AI213" rgbClr="FF0000">
      <unresolved>
        <commentChain chainId="9f0ec7f52112ddc8b349a5f76a166e2fb1994f42">
          <item id="1b7276ad81bb427891cdd34fd8ee38925ab5dc15" isNormal="1">
            <s:text>
              <s:r>
                <s:t xml:space="preserve">Administrator:
3001624 7/10 496pcs
华3A18
3001534 7/11 16pcs
</s:t>
              </s:r>
            </s:text>
          </item>
        </commentChain>
      </unresolved>
      <resolved/>
    </commentChains>
    <commentChains s:ref="AL213" rgbClr="FF0000">
      <unresolved>
        <commentChain chainId="c4973f21e2909b6c130de721afd601cd1a8e7eea">
          <item id="4e2b4afe1fe114733f4add118f718896298bb3fc" isNormal="1">
            <s:text>
              <s:r>
                <s:t xml:space="preserve">Administrator:
6/13 上WEEE带电池走货欧洲30语通用黑白说明书2656pcs</s:t>
              </s:r>
            </s:text>
          </item>
        </commentChain>
      </unresolved>
      <resolved/>
    </commentChains>
    <commentChains s:ref="AI214" rgbClr="FF0000">
      <unresolved>
        <commentChain chainId="9c053b39631b9a7448ce791ccecff43f9fb9010d">
          <item id="c29467197fed041713164e28492f00cbc57e1d35" isNormal="1">
            <s:text>
              <s:r>
                <s:t xml:space="preserve">Administrator:
3001624 7/10 248pcs
华3B2</s:t>
              </s:r>
            </s:text>
          </item>
        </commentChain>
      </unresolved>
      <resolved/>
    </commentChains>
    <commentChains s:ref="AL214" rgbClr="FF0000">
      <unresolved>
        <commentChain chainId="c9fa1ed27b27bb7ec39b5f3147a95b83dbc3b592">
          <item id="a10b026cdc0c122cbdd6a942a594878e6bf20eb6" isNormal="1">
            <s:text>
              <s:r>
                <s:t xml:space="preserve">Administrator:
6/19 上客供RFID贴纸248pcs</s:t>
              </s:r>
            </s:text>
          </item>
        </commentChain>
      </unresolved>
      <resolved/>
    </commentChains>
    <commentChains s:ref="AI215" rgbClr="FF0000">
      <unresolved>
        <commentChain chainId="0b86bf3ad47194db8ef7ab5de25ab08cf7a4f134">
          <item id="f011fff1d7e43bdb4c4f68735b14fe3a03a0c652" isNormal="1">
            <s:text>
              <s:r>
                <s:t xml:space="preserve">Administrator:
3001534 7/11 588pcs
3001488 7/12 12pcs</s:t>
              </s:r>
            </s:text>
          </item>
        </commentChain>
      </unresolved>
      <resolved/>
    </commentChains>
    <commentChains s:ref="AL215" rgbClr="FF0000">
      <unresolved>
        <commentChain chainId="ff5e85dd38c5bafd02f23d9b85196224a6d64311">
          <item id="6da666c7b920954395d1596a5e9bb7511206e5ea" isNormal="1">
            <s:text>
              <s:r>
                <s:t xml:space="preserve">Administrator:
6/23 1张30L WEEE带电池走货说明书600pcs</s:t>
              </s:r>
            </s:text>
          </item>
        </commentChain>
      </unresolved>
      <resolved/>
    </commentChains>
    <commentChains s:ref="AI218" rgbClr="FF0000">
      <unresolved>
        <commentChain chainId="7a70096571dad9ad39032f2379e9190d885fcf27">
          <item id="66227fbf022a5eba6bd3c028bf81a22af1ee76a1" isNormal="1">
            <s:text>
              <s:r>
                <s:t xml:space="preserve">Administrator:
2001799 7/13 1488pcs华3B3</s:t>
              </s:r>
            </s:text>
          </item>
        </commentChain>
      </unresolved>
      <resolved/>
    </commentChains>
    <commentChains s:ref="AL218" rgbClr="FF0000">
      <unresolved>
        <commentChain chainId="3649e5a86e50328d08bf21a362654e7eaef00497">
          <item id="dd7e4fe9a8516a721897078eddc24bdf9c7aa0ad" isNormal="1">
            <s:text>
              <s:r>
                <s:t xml:space="preserve">Administrator:
6/24 上客供RFID贴纸1488pcs</s:t>
              </s:r>
            </s:text>
          </item>
        </commentChain>
      </unresolved>
      <resolved/>
    </commentChains>
    <commentChains s:ref="AI219" rgbClr="FF0000">
      <unresolved>
        <commentChain chainId="66fb5d4c34d1b50cde97e8ebff05903df4f0496a">
          <item id="f8d234af496abd483d84bfd8f28ff83f145443a7" isNormal="1">
            <s:text>
              <s:r>
                <s:t xml:space="preserve">Administrator:
2001799 7/13 1696pcs
华3A5</s:t>
              </s:r>
            </s:text>
          </item>
        </commentChain>
      </unresolved>
      <resolved/>
    </commentChains>
    <commentChains s:ref="AL219" rgbClr="FF0000">
      <unresolved>
        <commentChain chainId="25ccfbb9920ba2774890ff90a07a25439531b35b">
          <item id="75bfca305b0301e344c6b69293fe739996cd618d" isNormal="1">
            <s:text>
              <s:r>
                <s:t xml:space="preserve">Administrator:
6/24 上客供RFID贴纸1696pcs
</s:t>
              </s:r>
            </s:text>
          </item>
        </commentChain>
      </unresolved>
      <resolved/>
    </commentChains>
    <commentChains s:ref="AI220" rgbClr="FF0000">
      <unresolved>
        <commentChain chainId="1a83d7261b6778a44299dfeedf59718ba1e31043">
          <item id="c487a9199fe4f020dfab62aa596f4c13b90021f5" isNormal="1">
            <s:text>
              <s:r>
                <s:t xml:space="preserve">Administrator:
2001800 7/12 1808pcs华3B3</s:t>
              </s:r>
            </s:text>
          </item>
        </commentChain>
      </unresolved>
      <resolved/>
    </commentChains>
    <commentChains s:ref="AL220" rgbClr="FF0000">
      <unresolved>
        <commentChain chainId="ae126ccc7fe8b888e11e006da9777fc2b3ab8b5c">
          <item id="598ff69bdde89aa483f0187f1660355d8a5655ba" isNormal="1">
            <s:text>
              <s:r>
                <s:t xml:space="preserve">Administrator:
6/24 上客供RFID贴纸1808pcs
</s:t>
              </s:r>
            </s:text>
          </item>
        </commentChain>
      </unresolved>
      <resolved/>
    </commentChains>
    <commentChains s:ref="AI221" rgbClr="FF0000">
      <unresolved>
        <commentChain chainId="1d29d6605d07b02e3e269ac371f3f21288e5800c">
          <item id="e1981d55044306863bd729099033f18b9be1abc9" isNormal="1">
            <s:text>
              <s:r>
                <s:t xml:space="preserve">Administrator:
2001799 7/13 1408pcs
华3B3</s:t>
              </s:r>
            </s:text>
          </item>
        </commentChain>
      </unresolved>
      <resolved/>
    </commentChains>
    <commentChains s:ref="AL221" rgbClr="FF0000">
      <unresolved>
        <commentChain chainId="e6f51f2c7586cd6bb3c991c3052c15fbf65a85a2">
          <item id="eeaa7ec97b4d1c8947d453b99a29fe360f2b6c4f" isNormal="1">
            <s:text>
              <s:r>
                <s:t xml:space="preserve">Administrator:
6/24 上客供RFID贴纸1408pcs
</s:t>
              </s:r>
            </s:text>
          </item>
        </commentChain>
      </unresolved>
      <resolved/>
    </commentChains>
    <commentChains s:ref="AI222" rgbClr="FF0000">
      <unresolved>
        <commentChain chainId="55c6b85b00b4759cd0c6b4d91c212148881761f1">
          <item id="d84bed5cd28b9054847bd4d945c585f231acd215" isNormal="1">
            <s:text>
              <s:r>
                <s:t xml:space="preserve">Administrator:
2001805 7/12 1496pcs华1B1</s:t>
              </s:r>
            </s:text>
          </item>
        </commentChain>
      </unresolved>
      <resolved/>
    </commentChains>
    <commentChains s:ref="AL222" rgbClr="FF0000">
      <unresolved>
        <commentChain chainId="bdf77b5463170df3fd714474133ef3b314dd8bd5">
          <item id="d98eea568c82413c26a27fefa67f8ffa04a0a1c4" isNormal="1">
            <s:text>
              <s:r>
                <s:t xml:space="preserve">Administrator:
6/24 上客供RFID贴纸1496pcs
</s:t>
              </s:r>
            </s:text>
          </item>
        </commentChain>
      </unresolved>
      <resolved/>
    </commentChains>
    <commentChains s:ref="AI223" rgbClr="FF0000">
      <unresolved>
        <commentChain chainId="91b07f39221983d0bf40b8a987e33ecfc6055198">
          <item id="23ae54b03b023f35f7ffd61e5f5be5aa487ea7a4" isNormal="1">
            <s:text>
              <s:r>
                <s:t xml:space="preserve">Administrator:
2001805 7/12 1344pcs华1B1
</s:t>
              </s:r>
            </s:text>
          </item>
        </commentChain>
      </unresolved>
      <resolved/>
    </commentChains>
    <commentChains s:ref="AL223" rgbClr="FF0000">
      <unresolved>
        <commentChain chainId="cd48739d046595f55161fac06f7cc33439019027">
          <item id="1a9528bfc2993df3d6717d63a1f5ad1c9ea97aa8" isNormal="1">
            <s:text>
              <s:r>
                <s:t xml:space="preserve">Administrator:
6/19 上大黄圆防盗贴纸1344pcs
6/26 上WEEE带电池走货30L说明书1344pcs
</s:t>
              </s:r>
            </s:text>
          </item>
        </commentChain>
      </unresolved>
      <resolved/>
    </commentChains>
    <commentChains s:ref="AI224" rgbClr="FF0000">
      <unresolved>
        <commentChain chainId="689b9e26ed16e287eaf8328508678d4e47f5ecc8">
          <item id="abdf7443a7e0c90fd07cb821d6ca77f804445fb4" isNormal="1">
            <s:text>
              <s:r>
                <s:t xml:space="preserve">Administrator:
2001809 7/10 4800pcs</s:t>
              </s:r>
            </s:text>
          </item>
        </commentChain>
      </unresolved>
      <resolved/>
    </commentChains>
    <commentChains s:ref="AI226" rgbClr="FF0000">
      <unresolved>
        <commentChain chainId="70266a58f2ad6f3e7ce9e4a6d7c917d483c6675e">
          <item id="3e6f775c1069692d6124b32c5c047fc5dc09c8e7" isNormal="1">
            <s:text>
              <s:r>
                <s:t xml:space="preserve">Administrator:
3001488 7/12 2560pcs直走</s:t>
              </s:r>
            </s:text>
          </item>
        </commentChain>
      </unresolved>
      <resolved/>
    </commentChains>
    <commentChains s:ref="AI227" rgbClr="FF0000">
      <unresolved>
        <commentChain chainId="c4ea33b1f49282d7382c22e3507f19fb1128538c">
          <item id="d85292faefaf1d450d429722444ab11eb22340d7" isNormal="1">
            <s:text>
              <s:r>
                <s:t xml:space="preserve">Administrator:
2001807 7/12 5400pcs</s:t>
              </s:r>
            </s:text>
          </item>
        </commentChain>
      </unresolved>
      <resolved/>
    </commentChains>
    <commentChains s:ref="AI229" rgbClr="FF0000">
      <unresolved>
        <commentChain chainId="7af172700c5ebd590752038bec55ab8b8ded26ac">
          <item id="1479b7d2e8a5b6213953579edf0a3a5bf88bb03f" isNormal="1">
            <s:text>
              <s:r>
                <s:t xml:space="preserve">Administrator:
2001787 7/15 2652pcs 华3A24</s:t>
              </s:r>
            </s:text>
          </item>
        </commentChain>
      </unresolved>
      <resolved/>
    </commentChains>
    <commentChains s:ref="AL229" rgbClr="FF0000">
      <unresolved>
        <commentChain chainId="a521864de0f7b71acac9e603b44d35a13b99c863">
          <item id="1215caae5e85f6759e1e16beed6cd6fe666072a7" isNormal="1">
            <s:text>
              <s:r>
                <s:t xml:space="preserve">Administrator:
6/13 上进口商贴纸含客户条码11000pcs
6/10 上进口商贴纸/客户条码2652pcs</s:t>
              </s:r>
            </s:text>
          </item>
        </commentChain>
      </unresolved>
      <resolved/>
    </commentChains>
    <commentChains s:ref="AI230" rgbClr="FF0000">
      <unresolved>
        <commentChain chainId="5a8a350347313b446b888c65257e267f00417b9d">
          <item id="7deec794ab15408a2500214150e5c0e3c0dce899" isNormal="1">
            <s:text>
              <s:r>
                <s:t xml:space="preserve">Administrator:
2001610 7/3 360pcs</s:t>
              </s:r>
            </s:text>
          </item>
        </commentChain>
      </unresolved>
      <resolved/>
    </commentChains>
    <commentChains s:ref="AL230" rgbClr="FF0000">
      <unresolved>
        <commentChain chainId="c9816203880d4fd33495463ca569f78701e06e65">
          <item id="f16a5cda535a9405e003b5efb8e62be178124231" isNormal="1">
            <s:text>
              <s:r>
                <s:t xml:space="preserve">Administrator:
6/17 WEEE带电池走货欧洲30语通用黑白说明书360pcs
6/25 上意大利sorting logO含进口商贴纸360pcs</s:t>
              </s:r>
            </s:text>
          </item>
        </commentChain>
      </unresolved>
      <resolved/>
    </commentChains>
    <commentChains s:ref="AI232" rgbClr="FF0000">
      <unresolved>
        <commentChain chainId="09275134916b95d2e13aec6f1a323cb4ccfa078b">
          <item id="ef53f2d89e7c6bccc6ad554273daaedece2f374e" isNormal="1">
            <s:text>
              <s:r>
                <s:t xml:space="preserve">Administrator:
2001736 7/19 72pcs</s:t>
              </s:r>
            </s:text>
          </item>
        </commentChain>
      </unresolved>
      <resolved/>
    </commentChains>
    <commentChains s:ref="AI233" rgbClr="FF0000">
      <unresolved>
        <commentChain chainId="3ca9d643b55a05b1db24729504b258e09c5064cb">
          <item id="a9b05a60bfdec3192efff5ff6959e629b8e44fd8" isNormal="1">
            <s:text>
              <s:r>
                <s:t xml:space="preserve">Administrator:
2001736 7/19 1596pcs莫4B4</s:t>
              </s:r>
            </s:text>
          </item>
        </commentChain>
      </unresolved>
      <resolved/>
    </commentChains>
    <commentChains s:ref="AL233" rgbClr="FF0000">
      <unresolved>
        <commentChain chainId="144da896a09ddf52d05d3597319869d1959ac870">
          <item id="b59dd6d150f769f6fbc03879a35f96f7733ddfa6" isNormal="1">
            <s:text>
              <s:r>
                <s:t xml:space="preserve">Administrator:
6/23 上UPC贴纸1596pcs</s:t>
              </s:r>
            </s:text>
          </item>
        </commentChain>
      </unresolved>
      <resolved/>
    </commentChains>
    <commentChains s:ref="AI234" rgbClr="FF0000">
      <unresolved>
        <commentChain chainId="14db6dd5945bff6705a3d2d15ed50de10431e7c1">
          <item id="1b382d18f79cc5bbb1e74507faf662cfb4620e08" isNormal="1">
            <s:text>
              <s:r>
                <s:t xml:space="preserve">Administrator:
2001741 7/21 352pcs华3B8</s:t>
              </s:r>
            </s:text>
          </item>
        </commentChain>
      </unresolved>
      <resolved/>
    </commentChains>
    <commentChains s:ref="AL234" rgbClr="FF0000">
      <unresolved>
        <commentChain chainId="aa8fe172377a2bd3d3ba1ffbc17f77624565f5a5">
          <item id="3dbabe4ef79c2ed78f824fcc8d34ce584817421c" isNormal="1">
            <s:text>
              <s:r>
                <s:t xml:space="preserve">Administrator:
6/19 上客供RFID贴纸352pcs
</s:t>
              </s:r>
            </s:text>
          </item>
        </commentChain>
      </unresolved>
      <resolved/>
    </commentChains>
    <commentChains s:ref="AI235" rgbClr="FF0000">
      <unresolved>
        <commentChain chainId="11b2fea8148c454c1a4829fdb7fb8e025afb1d28">
          <item id="6ec7c4473b269802f0086f9cdef1a19fb7b36960" isNormal="1">
            <s:text>
              <s:r>
                <s:t xml:space="preserve">Administrator:
2001741 7/21 120pcs
华3B8</s:t>
              </s:r>
            </s:text>
          </item>
        </commentChain>
      </unresolved>
      <resolved/>
    </commentChains>
    <commentChains s:ref="AL235" rgbClr="FF0000">
      <unresolved>
        <commentChain chainId="f86ced3bdd0c8994f939e1a3df49abfcf38abde6">
          <item id="5cac3fe5a0548ade2bc06e6614ac4130a8b7e77e" isNormal="1">
            <s:text>
              <s:r>
                <s:t xml:space="preserve">Administrator:
6/19 上客供RFID贴纸120pcs
</s:t>
              </s:r>
            </s:text>
          </item>
        </commentChain>
      </unresolved>
      <resolved/>
    </commentChains>
    <commentChains s:ref="AI236" rgbClr="FF0000">
      <unresolved>
        <commentChain chainId="67a6c88c730da35090d8c9ed1cb90a18a37f1afe">
          <item id="ed2327a8b385529b980949c937aa44e48403a4aa" isNormal="1">
            <s:text>
              <s:r>
                <s:t xml:space="preserve">Administrator:
2001741 7/21 100pcs
华3B7</s:t>
              </s:r>
            </s:text>
          </item>
        </commentChain>
      </unresolved>
      <resolved/>
    </commentChains>
    <commentChains s:ref="AL236" rgbClr="FF0000">
      <unresolved>
        <commentChain chainId="ae23ef5df9071023154dd158360008b2549b5019">
          <item id="13d536944a4a7b6be68efe376d80f47c3a76a163" isNormal="1">
            <s:text>
              <s:r>
                <s:t xml:space="preserve">Administrator:
6/19 上客供RFID贴纸100pcs
</s:t>
              </s:r>
            </s:text>
          </item>
        </commentChain>
      </unresolved>
      <resolved/>
    </commentChains>
    <commentChains s:ref="AI237" rgbClr="FF0000">
      <unresolved>
        <commentChain chainId="51f8ab4b15424a6a823ca5f32ff0971e3665407b">
          <item id="99bbe2fa536a75cc40597d3c51af92c5dc13ea5a" isNormal="1">
            <s:text>
              <s:r>
                <s:t xml:space="preserve">Administrator:
2001736 7/19 2328pcs莫4B7</s:t>
              </s:r>
            </s:text>
          </item>
        </commentChain>
      </unresolved>
      <resolved/>
    </commentChains>
    <commentChains s:ref="AI238" rgbClr="FF0000">
      <unresolved>
        <commentChain chainId="86ce892a42dd2f1b5e21491f959a13896b4742dd">
          <item id="fb7164241a58a84ddd023ffc3c4c402937edac01" isNormal="1">
            <s:text>
              <s:r>
                <s:t xml:space="preserve">Administrator:
2001780 7/17 1896pcs 新仓库3-A2</s:t>
              </s:r>
            </s:text>
          </item>
        </commentChain>
      </unresolved>
      <resolved/>
    </commentChains>
    <commentChains s:ref="AI239" rgbClr="FF0000">
      <unresolved>
        <commentChain chainId="ff656ad9284b8802b3c088497415b92d9c8b7fc0">
          <item id="457f874f9362db790395ce9f71e7bef7e83423bf" isNormal="1">
            <s:text>
              <s:r>
                <s:t xml:space="preserve">Administrator:
2001773 7/16 1608pcs 新仓库9楼B7</s:t>
              </s:r>
            </s:text>
          </item>
        </commentChain>
      </unresolved>
      <resolved/>
    </commentChains>
    <commentChains s:ref="AL239" rgbClr="FF0000">
      <unresolved>
        <commentChain chainId="80ec08f31a7bcbc58e6a44ef3160f4f462e8e63d">
          <item id="77cca9f8a833ad21a5a96cb314d947786e90f276" isNormal="1">
            <s:text>
              <s:r>
                <s:t xml:space="preserve">Administrator:
6/4 上欧洲通用30L WEEE_带电池走货声明书1608pcs
</s:t>
              </s:r>
            </s:text>
          </item>
        </commentChain>
      </unresolved>
      <resolved/>
    </commentChains>
    <commentChains s:ref="AI240" rgbClr="FF0000">
      <unresolved>
        <commentChain chainId="dc0d9f329f14030b605de94b5baaf86f38990f80">
          <item id="1ff082895baea77ad3bbc3fcbefaab4d7059e4a9" isNormal="1">
            <s:text>
              <s:r>
                <s:t xml:space="preserve">Administrator:
2001784 7/14 120pcs
华3A32</s:t>
              </s:r>
            </s:text>
          </item>
        </commentChain>
      </unresolved>
      <resolved/>
    </commentChains>
    <commentChains s:ref="AL240" rgbClr="FF0000">
      <unresolved>
        <commentChain chainId="00c3a65d3c8d43f5432efae1e915d154d592e3a1">
          <item id="4b07b884b9261e9c626fd06244686ec24541eb1f" isNormal="1">
            <s:text>
              <s:r>
                <s:t xml:space="preserve">Administrator:
6/23 上UPC贴纸132pcs</s:t>
              </s:r>
            </s:text>
          </item>
        </commentChain>
      </unresolved>
      <resolved/>
    </commentChains>
    <commentChains s:ref="AI242" rgbClr="FF0000">
      <unresolved>
        <commentChain chainId="99f83351e4589af9d1b9967cf3dbc9d1339f7b13">
          <item id="74f8e1df359e4b8fb46e8f999e8ab6758ea05333" isNormal="1">
            <s:text>
              <s:r>
                <s:t xml:space="preserve">Administrator:
2001784 7/14 504pcs
华3B14</s:t>
              </s:r>
            </s:text>
          </item>
        </commentChain>
      </unresolved>
      <resolved/>
    </commentChains>
    <commentChains s:ref="AL242" rgbClr="FF0000">
      <unresolved>
        <commentChain chainId="dda93e5b48cf26efb7b9512c13523667a8fd8860">
          <item id="03355d5fbcab7b843e89343b5cd280dae90d1f2a" isNormal="1">
            <s:text>
              <s:r>
                <s:t xml:space="preserve">Administrator:
6/11 上多语折叠贴纸504pcs
6/17 WEEE带电池走货欧洲30语通用黑白说明书504pcs
</s:t>
              </s:r>
            </s:text>
          </item>
        </commentChain>
      </unresolved>
      <resolved/>
    </commentChains>
    <commentChains s:ref="AI243" rgbClr="FF0000">
      <unresolved>
        <commentChain chainId="74d01b4a64c53b3be5a010138a5b87e60e522151">
          <item id="64098932d56e66a7c5cc12f88a29409d19ce6219" isNormal="1">
            <s:text>
              <s:r>
                <s:t xml:space="preserve">Administrator:
2001752 7/18 2808pcs华1A2</s:t>
              </s:r>
            </s:text>
          </item>
        </commentChain>
      </unresolved>
      <resolved/>
    </commentChains>
    <commentChains s:ref="AI244" rgbClr="FF0000">
      <unresolved>
        <commentChain chainId="f2c8b5443dd0603b81dd6ad20839e8ce9b42a115">
          <item id="a77799064dfa6c1da3ff56746767a85689203d63" isNormal="1">
            <s:text>
              <s:r>
                <s:t xml:space="preserve">Administrator:
2001726 7/23 1564pcs
华3A9
2001705 7/23 4pcs华3A9</s:t>
              </s:r>
            </s:text>
          </item>
        </commentChain>
      </unresolved>
      <resolved/>
    </commentChains>
    <commentChains s:ref="AI245" rgbClr="FF0000">
      <unresolved>
        <commentChain chainId="797821e0893280412d5b0a568f096e1ff7a4c4f9">
          <item id="2328bda43844fa04302a1fa33879927bf4ae9ed0" isNormal="1">
            <s:text>
              <s:r>
                <s:t xml:space="preserve">Administrator:
2001726 7/23 2012pcs
华3A9
2001705 7/23 4pcs
华3A9</s:t>
              </s:r>
            </s:text>
          </item>
        </commentChain>
      </unresolved>
      <resolved/>
    </commentChains>
    <commentChains s:ref="AI246" rgbClr="FF0000">
      <unresolved>
        <commentChain chainId="87342a8fa8b6c4b94f6b46c34966c4ab1b021ec0">
          <item id="3864fbc14c85d30532bbfc67c4995761c14d8a52" isNormal="1">
            <s:text>
              <s:r>
                <s:t xml:space="preserve">Administrator:
2001726 7/23 2520pcs
华3A6</s:t>
              </s:r>
            </s:text>
          </item>
        </commentChain>
      </unresolved>
      <resolved/>
    </commentChains>
    <commentChains s:ref="AL246" rgbClr="FF0000">
      <unresolved>
        <commentChain chainId="03454039c421fa2888fbdc16892624c4051f121a">
          <item id="8e806b8558a93fb350ea139345dff9f00290d98c" isNormal="1">
            <s:text>
              <s:r>
                <s:t xml:space="preserve">Administrator:
6/24 上客供RFID贴纸2520pcs
</s:t>
              </s:r>
            </s:text>
          </item>
        </commentChain>
      </unresolved>
      <resolved/>
    </commentChains>
    <commentChains s:ref="AI247" rgbClr="FF0000">
      <unresolved>
        <commentChain chainId="53565ab27d88c72c11ad1dd0a8a0e50e566b8b0f">
          <item id="46cab61095939116b8603b92cce3488a938aef6f" isNormal="1">
            <s:text>
              <s:r>
                <s:t xml:space="preserve">Administrator:
2001726 7/23 2080pcs
华3A7
2001705 7/23 8pcs
华3A9</s:t>
              </s:r>
            </s:text>
          </item>
        </commentChain>
      </unresolved>
      <resolved/>
    </commentChains>
    <commentChains s:ref="AL247" rgbClr="FF0000">
      <unresolved>
        <commentChain chainId="e2f2ed3329c02f10a96f13f384ed9577ca62865f">
          <item id="a7ce874c5e7c86afb17b6bec0f550e6517cc804d" isNormal="1">
            <s:text>
              <s:r>
                <s:t xml:space="preserve">Administrator:
6/24 上客供RFID贴纸2088pcs
</s:t>
              </s:r>
            </s:text>
          </item>
        </commentChain>
      </unresolved>
      <resolved/>
    </commentChains>
    <commentChains s:ref="AI248" rgbClr="FF0000">
      <unresolved>
        <commentChain chainId="33e7d27af12d62f2b1b80120b1e7feadc3a8c5e8">
          <item id="844a258e92b9cfd0d04d989822ed3520ca9c1081" isNormal="1">
            <s:text>
              <s:r>
                <s:t xml:space="preserve">Administrator:
2001726 7/23 1896pcs
华3A9</s:t>
              </s:r>
            </s:text>
          </item>
        </commentChain>
      </unresolved>
      <resolved/>
    </commentChains>
    <commentChains s:ref="AI249" rgbClr="FF0000">
      <unresolved>
        <commentChain chainId="06d208d0b2d31fd7b4f83b4fa0e506cb0883c70d">
          <item id="d97c3de15e589a81247a45a3b5513dafa3f5467e" isNormal="1">
            <s:text>
              <s:r>
                <s:t xml:space="preserve">Administrator:
2001726 7/23 1876pcs
华3B4
2001705 7/23 4pcs
华3B4</s:t>
              </s:r>
            </s:text>
          </item>
        </commentChain>
      </unresolved>
      <resolved/>
    </commentChains>
    <commentChains s:ref="AI250" rgbClr="FF0000">
      <unresolved>
        <commentChain chainId="55fc0bb6a75ec7e3650a870920d2591a73dead5f">
          <item id="5b1007b6da12cc91e9f3b46c4429d1e9d8cf1af5" isNormal="1">
            <s:text>
              <s:r>
                <s:t xml:space="preserve">Administrator:
2001784 7/14 1880pcs华3B3</s:t>
              </s:r>
            </s:text>
          </item>
        </commentChain>
      </unresolved>
      <resolved/>
    </commentChains>
    <commentChains s:ref="AI251" rgbClr="FF0000">
      <unresolved>
        <commentChain chainId="e48fd499926496c956cdaca1866ac445929ac526">
          <item id="7da10872fe8322465d2e9f7edaf71ebae48d3157" isNormal="1">
            <s:text>
              <s:r>
                <s:t xml:space="preserve">Administrator:
2001784 7/14 1872pcs
华3B3</s:t>
              </s:r>
            </s:text>
          </item>
        </commentChain>
      </unresolved>
      <resolved/>
    </commentChains>
    <commentChains s:ref="AI252" rgbClr="FF0000">
      <unresolved>
        <commentChain chainId="06fd91e4b66d9e9a0347bc214fe8491a476ef201">
          <item id="b543fd00ff276a37eb8e067561d869299b54c3f1" isNormal="1">
            <s:text>
              <s:r>
                <s:t xml:space="preserve">Administrator:
3001513 7/14 1400pcs
华3A13
3001509 7/14 456pcs华3A13</s:t>
              </s:r>
            </s:text>
          </item>
        </commentChain>
      </unresolved>
      <resolved/>
    </commentChains>
    <commentChains s:ref="AL252" rgbClr="FF0000">
      <unresolved>
        <commentChain chainId="29529fe1bbd57e92a8ebfdca279e5109504e8deb">
          <item id="4d19e8749ea716cde8492b5d469f4de56c9b0fac" isNormal="1">
            <s:text>
              <s:r>
                <s:t xml:space="preserve">Administrator:
6/11 上客供RFID贴纸1856pcs
</s:t>
              </s:r>
            </s:text>
          </item>
        </commentChain>
      </unresolved>
      <resolved/>
    </commentChains>
    <commentChains s:ref="AI253" rgbClr="FF0000">
      <unresolved>
        <commentChain chainId="1b7e3826b9f38a77451b0aeb37b3a31e85e30fa1">
          <item id="c4c52cc965c397012b1ed9c4af7f08b81d5392de" isNormal="1">
            <s:text>
              <s:r>
                <s:t xml:space="preserve">Administrator:
3001473 7/14 4pcs
3001509 7/14 2228pcs华3A10</s:t>
              </s:r>
            </s:text>
          </item>
        </commentChain>
      </unresolved>
      <resolved/>
    </commentChains>
    <commentChains s:ref="AL253" rgbClr="FF0000">
      <unresolved>
        <commentChain chainId="f1a8cd0b8ceaf0633bde1a2989c54d50920c3fe4">
          <item id="44da48057b93bdae789d519260cf75d490e50ef0" isNormal="1">
            <s:text>
              <s:r>
                <s:t xml:space="preserve">Administrator:
6/11 上客供RFID贴纸2232pcs
</s:t>
              </s:r>
            </s:text>
          </item>
        </commentChain>
      </unresolved>
      <resolved/>
    </commentChains>
    <commentChains s:ref="AI254" rgbClr="FF0000">
      <unresolved>
        <commentChain chainId="dae9a5f3eb7afdd7641f917fd1e10856a9d856df">
          <item id="1f30c2c0d3035b7a5c73ae08536278e531dadfab" isNormal="1">
            <s:text>
              <s:r>
                <s:t xml:space="preserve">Administrator:
3001446 7/15 1564pcs 华3A6
3001415 7/17  4pcs </s:t>
              </s:r>
            </s:text>
          </item>
        </commentChain>
      </unresolved>
      <resolved/>
    </commentChains>
    <commentChains s:ref="AI255" rgbClr="FF0000">
      <unresolved>
        <commentChain chainId="04092030e1ff6e6ef9f3b0b6d5558c79b13c41fd">
          <item id="13307183ce5808ffa99e78d20214e8e351be43ce" isNormal="1">
            <s:text>
              <s:r>
                <s:t xml:space="preserve">Administrator:
3001446 7/15 2016pcs 华3A8</s:t>
              </s:r>
            </s:text>
          </item>
        </commentChain>
      </unresolved>
      <resolved/>
    </commentChains>
    <commentChains s:ref="AI256" rgbClr="FF0000">
      <unresolved>
        <commentChain chainId="c6ed794ef97d6cb8cb8753aaa992c1ef083633af">
          <item id="bd032614ad3f0724d195b8e9597db9089ff5be79" isNormal="1">
            <s:text>
              <s:r>
                <s:t xml:space="preserve">Administrator:
2001741 7/21 852pcs
华3B11 
备品 12pcs 补查货</s:t>
              </s:r>
            </s:text>
          </item>
        </commentChain>
      </unresolved>
      <resolved/>
    </commentChains>
    <commentChains s:ref="AL256" rgbClr="FF0000">
      <unresolved>
        <commentChain chainId="28ece8cb348469ce98a08d64174313689f65d467">
          <item id="429613dc20a00d6602674b8ed5db7ca581116a9b" isNormal="1">
            <s:text>
              <s:r>
                <s:t xml:space="preserve">Administrator:
7/1 上红色LOGO贴纸852pcs
包装贴纸852pcs
保证书852pcs
产品电池盖贴纸852pcs
说明书贴纸852pcS
7/21 收到UPC贴纸852pcs</s:t>
              </s:r>
            </s:text>
          </item>
        </commentChain>
      </unresolved>
      <resolved/>
    </commentChains>
    <commentChains s:ref="AI257" rgbClr="FF0000">
      <unresolved>
        <commentChain chainId="66f171660ddb163d5f5641f0b22302c07d6ebdb4">
          <item id="a4c0480a1662b2a45cec664d4fec61d1791165bd" isNormal="1">
            <s:text>
              <s:r>
                <s:t xml:space="preserve">Administrator:
2001807 7/12 1500pcs
2001782 7/14 600pcs
2001786 7/15 900pcs
2001731 7/19 2400pcs</s:t>
              </s:r>
            </s:text>
          </item>
        </commentChain>
      </unresolved>
      <resolved/>
    </commentChains>
    <commentChains s:ref="AI259" rgbClr="FF0000">
      <unresolved>
        <commentChain chainId="d521a6141315acaa31c95e0dedfd2a654d47ba56">
          <item id="4d02ec37fe2fa5e279e7b5d39399cac1494bbd25" isNormal="1">
            <s:text>
              <s:r>
                <s:t xml:space="preserve">Administrator:
2001701 7/28 2508pcs华1F7</s:t>
              </s:r>
            </s:text>
          </item>
        </commentChain>
      </unresolved>
      <resolved/>
    </commentChains>
    <commentChains s:ref="AL259" rgbClr="FF0000">
      <unresolved>
        <commentChain chainId="d51e09ef6773936e025d50b8857d4512a58e2b65">
          <item id="990505fc098651daa19708fdb5727a97f1075286" isNormal="1">
            <s:text>
              <s:r>
                <s:t xml:space="preserve">Administrator:
6/24 上客供外箱条码贴纸633pcs
</s:t>
              </s:r>
            </s:text>
          </item>
        </commentChain>
      </unresolved>
      <resolved/>
    </commentChains>
    <commentChains s:ref="AI260" rgbClr="FF0000">
      <unresolved>
        <commentChain chainId="e6c42ab4ab867ac8b2404bc6ded6b380d60daa76">
          <item id="b196a2fcd39f4320fd410a92f455b3c52cabb1a7" isNormal="1">
            <s:text>
              <s:r>
                <s:t xml:space="preserve">Administrator:
2001714 7/24 1800pcs</s:t>
              </s:r>
            </s:text>
          </item>
        </commentChain>
      </unresolved>
      <resolved/>
    </commentChains>
    <commentChains s:ref="AL260" rgbClr="FF0000">
      <unresolved>
        <commentChain chainId="e3482255b23d40e4754f42087e06cd56114ca0ab">
          <item id="26c74972342aa2db30ee7f525d248353aea307e4" isNormal="1">
            <s:text>
              <s:r>
                <s:t xml:space="preserve">Administrator:
7/5 上UPC条码贴纸1800pcs
说明书贴纸1800pcs
进口商贴纸1800pcs</s:t>
              </s:r>
            </s:text>
          </item>
        </commentChain>
      </unresolved>
      <resolved/>
    </commentChains>
    <commentChains s:ref="AL261" rgbClr="FF0000">
      <unresolved>
        <commentChain chainId="be0b45cbcfea07aca43d442b9d00c2336715912b">
          <item id="f578bbaec644d846a3bf74caec3e2dbfa0669874" isNormal="1">
            <s:text>
              <s:r>
                <s:t xml:space="preserve">Administrator:
6/23  WEEE带电池走货欧洲30语通用黑白说明书240pcs</s:t>
              </s:r>
            </s:text>
          </item>
        </commentChain>
      </unresolved>
      <resolved/>
    </commentChains>
    <commentChains s:ref="AI262" rgbClr="FF0000">
      <unresolved>
        <commentChain chainId="a89b60ba696c9fed5eb1acdac0010469acf58489">
          <item id="76aca9ef3a908376e4b9fb99610068921442764f" isNormal="1">
            <s:text>
              <s:r>
                <s:t xml:space="preserve">Administrator:
2001714 7/24 240pcs
</s:t>
              </s:r>
            </s:text>
          </item>
        </commentChain>
      </unresolved>
      <resolved/>
    </commentChains>
    <commentChains s:ref="AL262" rgbClr="FF0000">
      <unresolved>
        <commentChain chainId="152859a8b6b09b3ff9dca0c8df633d732d961455">
          <item id="dc12a78bfb4f72bf6f9c57a53b49b37b676ec633" isNormal="1">
            <s:text>
              <s:r>
                <s:t xml:space="preserve">Administrator:
7/3 上带电池走货说明书240pcs
警告语/进口商贴纸240pcs</s:t>
              </s:r>
            </s:text>
          </item>
        </commentChain>
      </unresolved>
      <resolved/>
    </commentChains>
    <commentChains s:ref="AI263" rgbClr="FF0000">
      <unresolved>
        <commentChain chainId="bc8e682423a5ba9ed9c20915b3f6ae6b45b0c824">
          <item id="d16e126fa8852d94d42ec5abdd8cf6a1b4333789" isNormal="1">
            <s:text>
              <s:r>
                <s:t xml:space="preserve">Administrator:
2001714 7/24 108pcs
</s:t>
              </s:r>
            </s:text>
          </item>
        </commentChain>
      </unresolved>
      <resolved/>
    </commentChains>
    <commentChains s:ref="AL263" rgbClr="FF0000">
      <unresolved>
        <commentChain chainId="b79e5485f21e8ce32dfe6ca32318de299d99b868">
          <item id="c084a8397180f0667ef8abdaa77ee68570de2bf2" isNormal="1">
            <s:text>
              <s:r>
                <s:t xml:space="preserve">Administrator:
6/30 上UPC贴纸108pcs</s:t>
              </s:r>
            </s:text>
          </item>
        </commentChain>
      </unresolved>
      <resolved/>
    </commentChains>
    <commentChains s:ref="AI264" rgbClr="FF0000">
      <unresolved>
        <commentChain chainId="7337444fae53069ca772ea9bf4d4ce503146071d">
          <item id="eda544c511b08ee75f56c20b018e81f56ebf51aa" isNormal="1">
            <s:text>
              <s:r>
                <s:t xml:space="preserve">Administrator:
2001701 7/28 520pcs华3B14</s:t>
              </s:r>
            </s:text>
          </item>
        </commentChain>
      </unresolved>
      <resolved/>
    </commentChains>
    <commentChains s:ref="AL264" rgbClr="FF0000">
      <unresolved>
        <commentChain chainId="ab103b8d473adb60f76c424d8dbb977831f142b6">
          <item id="87f4205527f65aeaf6bb9897b5b75390aab25830" isNormal="1">
            <s:text>
              <s:r>
                <s:t xml:space="preserve">Administrator:
6/17 WEEE带电池走货欧洲30语通用黑白说明书520pcs
6/18 上德语包装警告语贴纸520pcs
客人款号贴纸520pcs
Kinderherz 2025 logo 520pcs
6/23 WEEE带电池走货说明书520pcs</s:t>
              </s:r>
            </s:text>
          </item>
        </commentChain>
      </unresolved>
      <resolved/>
    </commentChains>
    <commentChains s:ref="AI265" rgbClr="FF0000">
      <unresolved>
        <commentChain chainId="31599b0b38097af2a475eb8704e962b5e73cc37e">
          <item id="aa9fd831c7b93200a23cb23b248511278657ea60" isNormal="1">
            <s:text>
              <s:r>
                <s:t xml:space="preserve">Administrator:
2001708 7/24 2832pcs</s:t>
              </s:r>
            </s:text>
          </item>
        </commentChain>
      </unresolved>
      <resolved/>
    </commentChains>
    <commentChains s:ref="AL265" rgbClr="FF0000">
      <unresolved>
        <commentChain chainId="3a0018b6c471fb19d332ef8623900f95ac30b2e8">
          <item id="33adb126d86f6fc60a4792e09613ade8ce7508a4" isNormal="1">
            <s:text>
              <s:r>
                <s:t xml:space="preserve">Administrator:
7/19 上WEEE 30L带电池走货说明书2832pcs</s:t>
              </s:r>
            </s:text>
          </item>
        </commentChain>
      </unresolved>
      <resolved/>
    </commentChains>
    <commentChains s:ref="AI266" rgbClr="FF0000">
      <unresolved>
        <commentChain chainId="a27ec8b56bbcad8e64e883d64f8822499209e536">
          <item id="1c3ac96eb333c4ec40b1faa14701915227048249" isNormal="1">
            <s:text>
              <s:r>
                <s:t xml:space="preserve">Administrator:
2001700 7/26 420pcs华3B10</s:t>
              </s:r>
            </s:text>
          </item>
        </commentChain>
      </unresolved>
      <resolved/>
    </commentChains>
    <commentChains s:ref="AL266" rgbClr="FF0000">
      <unresolved>
        <commentChain chainId="be9b5c2c9e1e309e7e7f3773a707957ab44d674e">
          <item id="8f78ab4f48dcfb63a2846829170596955b3b31d1" isNormal="1">
            <s:text>
              <s:r>
                <s:t xml:space="preserve">Administrator:
6/30 上进口商贴纸420pcs
UPC条码贴纸420pcs</s:t>
              </s:r>
            </s:text>
          </item>
        </commentChain>
      </unresolved>
      <resolved/>
    </commentChains>
    <commentChains s:ref="AI267" rgbClr="FF0000">
      <unresolved>
        <commentChain chainId="5a71aed8cc53afa840d51caa4c9622b8a7a79ceb">
          <item id="ad7a11c682a1c4c9b70d739c1a9f86a793295db9" isNormal="1">
            <s:text>
              <s:r>
                <s:t xml:space="preserve">Administrator:
2001700 7/26 120pcs
华3B8</s:t>
              </s:r>
            </s:text>
          </item>
        </commentChain>
      </unresolved>
      <resolved/>
    </commentChains>
    <commentChains s:ref="AI268" rgbClr="FF0000">
      <unresolved>
        <commentChain chainId="4c6837ec2a254523b7b307163af8ece0b52b86db">
          <item id="06316c65f09c936a9ff828503c5ed1e28876e718" isNormal="1">
            <s:text>
              <s:r>
                <s:t xml:space="preserve">Administrator:
2001701 7/28 3780pcs华1F9</s:t>
              </s:r>
            </s:text>
          </item>
        </commentChain>
      </unresolved>
      <resolved/>
    </commentChains>
    <commentChains s:ref="AL268" rgbClr="FF0000">
      <unresolved>
        <commentChain chainId="608bea008447e45c8b42115c3bdb5b82254b2d9a">
          <item id="e304cf339e095750779b48d02a8c94a3c6ef8da8" isNormal="1">
            <s:text>
              <s:r>
                <s:t xml:space="preserve">Administrator:
6/24 上客供RFID贴纸3780pcs
</s:t>
              </s:r>
            </s:text>
          </item>
        </commentChain>
      </unresolved>
      <resolved/>
    </commentChains>
    <commentChains s:ref="AI269" rgbClr="FF0000">
      <unresolved>
        <commentChain chainId="691bba6129b45924ab8a2be1e59b2338178a48ba">
          <item id="21f77645763b09a9f1f5fcf2bca11ea6a25aba84" isNormal="1">
            <s:text>
              <s:r>
                <s:t xml:space="preserve">Administrator:
2001701 7/28 1360pcs华3A28</s:t>
              </s:r>
            </s:text>
          </item>
        </commentChain>
      </unresolved>
      <resolved/>
    </commentChains>
    <commentChains s:ref="AI270" rgbClr="FF0000">
      <unresolved>
        <commentChain chainId="f669188e7039249560bdf3351b8e91e8f9dbc296">
          <item id="6184cdde3b557b603d17211556ac308d4573d0e6" isNormal="1">
            <s:text>
              <s:r>
                <s:t xml:space="preserve">Administrator:
2001837 7/30 1504pcs华3A9</s:t>
              </s:r>
            </s:text>
          </item>
        </commentChain>
      </unresolved>
      <resolved/>
    </commentChains>
    <commentChains s:ref="AL270" rgbClr="FF0000">
      <unresolved>
        <commentChain chainId="7de0a44332355f5a6bed8df2f2f74993e28cf47f">
          <item id="c801bf8521433eac6daac4dc568d3c1c5c0b6605" isNormal="1">
            <s:text>
              <s:r>
                <s:t xml:space="preserve">Administrator:
5/30 上WEEE说明书1504pcs
6/13 上2025LOGO贴纸1504pcs</s:t>
              </s:r>
            </s:text>
          </item>
        </commentChain>
      </unresolved>
      <resolved/>
    </commentChains>
    <commentChains s:ref="AI271" rgbClr="FF0000">
      <unresolved>
        <commentChain chainId="61d14f90007f38f3ea39f81690dd3e490ea62c59">
          <item id="6e574def2af6ef418d3612d096e5b1a91182d17c" isNormal="1">
            <s:text>
              <s:r>
                <s:t xml:space="preserve">Administrator:
2001727 7/23 828pcs华3B10</s:t>
              </s:r>
            </s:text>
          </item>
        </commentChain>
      </unresolved>
      <resolved/>
    </commentChains>
    <commentChains s:ref="AL271" rgbClr="FF0000">
      <unresolved>
        <commentChain chainId="fe76fa833b6a7dac58248055b1073fa7328b70eb">
          <item id="7a9992c5e1f07ecc3e52a36093e1c97b232e91ec" isNormal="1">
            <s:text>
              <s:r>
                <s:t xml:space="preserve">Administrator:
7/3 上UPC贴纸828pcs</s:t>
              </s:r>
            </s:text>
          </item>
        </commentChain>
      </unresolved>
      <resolved/>
    </commentChains>
    <commentChains s:ref="AI272" rgbClr="FF0000">
      <unresolved>
        <commentChain chainId="6789bfa753c80360fb40c94b1176d4935210314b">
          <item id="d53f0b920c3bdf06e3e7e6ba13324c5e51c63686" isNormal="1">
            <s:text>
              <s:r>
                <s:t xml:space="preserve">Administrator:
3002259 8/6 1200pcs华3B15</s:t>
              </s:r>
            </s:text>
          </item>
        </commentChain>
      </unresolved>
      <resolved/>
    </commentChains>
    <commentChains s:ref="AL272" rgbClr="FF0000">
      <unresolved>
        <commentChain chainId="b438f0d1bb4c92fb13c1cc0c3c284ce4f0f1d49d">
          <item id="8ca2a4af6e4b81ea91350860fa9fad73747e6ee5" isNormal="1">
            <s:text>
              <s:r>
                <s:t xml:space="preserve">Administrator:
6/23 上价格贴纸1200pcs
7/26 上客供外箱条码贴纸300pcs</s:t>
              </s:r>
            </s:text>
          </item>
        </commentChain>
      </unresolved>
      <resolved/>
    </commentChains>
    <commentChains s:ref="AI273" rgbClr="FF0000">
      <unresolved>
        <commentChain chainId="aedbf5b640bb3f47408d9f80875add24ff225fda">
          <item id="a188188faed56944c434a245fe550088e9fe53d9" isNormal="1">
            <s:text>
              <s:r>
                <s:t xml:space="preserve">Administrator:
3002064 7/31 3000pcs新仓1-A7</s:t>
              </s:r>
            </s:text>
          </item>
        </commentChain>
      </unresolved>
      <resolved/>
    </commentChains>
    <commentChains s:ref="AL273" rgbClr="FF0000">
      <unresolved>
        <commentChain chainId="8bae9dbf7af5887ff17c6ee7d9de520f49b6d378">
          <item id="a5b8bade3185f47b7107766b39ff21bd3de3d735" isNormal="1">
            <s:text>
              <s:r>
                <s:t xml:space="preserve">Administrator:
7/18 上客供价格贴纸3000pcs
</s:t>
              </s:r>
            </s:text>
          </item>
        </commentChain>
      </unresolved>
      <resolved/>
    </commentChains>
    <commentChains s:ref="AI274" rgbClr="FF0000">
      <unresolved>
        <commentChain chainId="b8362d5323c5a664d53bbeeb647e5099dbd33e7b">
          <item id="11a405f7cd42959cb02aff814431b8e1d91f969b" isNormal="1">
            <s:text>
              <s:r>
                <s:t xml:space="preserve">Administrator:
3002064 7/31 240pcs新仓1-A7</s:t>
              </s:r>
            </s:text>
          </item>
        </commentChain>
      </unresolved>
      <resolved/>
    </commentChains>
    <commentChains s:ref="AL274" rgbClr="FF0000">
      <unresolved>
        <commentChain chainId="ffeaa758007ad83fd46a51bab244baa192eba3d0">
          <item id="1ff92fc7958f2d1ebaa115030e3b0d5477a4f640" isNormal="1">
            <s:text>
              <s:r>
                <s:t xml:space="preserve">Administrator:
7/10 上客供价标贴纸256pcs
</s:t>
              </s:r>
            </s:text>
          </item>
        </commentChain>
      </unresolved>
      <resolved/>
    </commentChains>
    <commentChains s:ref="AI275" rgbClr="FF0000">
      <unresolved>
        <commentChain chainId="113eab643af8ec00a141246c4de50a32a6111aaa">
          <item id="614486c9731a815d1e0e285aa68366ef4b54e51c" isNormal="1">
            <s:text>
              <s:r>
                <s:t xml:space="preserve">Administrator:
3002370 8/4 1688pcs莫A栋一楼B8</s:t>
              </s:r>
            </s:text>
          </item>
        </commentChain>
      </unresolved>
      <resolved/>
    </commentChains>
    <commentChains s:ref="AL275" rgbClr="FF0000">
      <unresolved>
        <commentChain chainId="901c170ac2485b048d0a1551c3f7144cbed0926d">
          <item id="b7d8dec3cb95c116c588967c0d43d8535c411d5c" isNormal="1">
            <s:text>
              <s:r>
                <s:t xml:space="preserve">Administrator:
6/24 上客供RFID贴纸1688pcs
</s:t>
              </s:r>
            </s:text>
          </item>
        </commentChain>
      </unresolved>
      <resolved/>
    </commentChains>
    <commentChains s:ref="AI276" rgbClr="FF0000">
      <unresolved>
        <commentChain chainId="bc1b4780db93dd8b89ef47cda0b0e10aef41905b">
          <item id="9bcf51a17e8028d17d2bff9d23a3c28227fb8a28" isNormal="1">
            <s:text>
              <s:r>
                <s:t xml:space="preserve">Administrator:
3002370 8/4 1580pcs
A一楼B9</s:t>
              </s:r>
            </s:text>
          </item>
        </commentChain>
      </unresolved>
      <resolved/>
    </commentChains>
    <commentChains s:ref="AL276" rgbClr="FF0000">
      <unresolved>
        <commentChain chainId="7944f0a8916303ec286ef3a8ff9bbc6da31df657">
          <item id="7e3838dca0a5c92b6fd5d7974b852ab31edab741" isNormal="1">
            <s:text>
              <s:r>
                <s:t xml:space="preserve">Administrator:
6/24 上客供RFID贴纸1580pcs
</s:t>
              </s:r>
            </s:text>
          </item>
        </commentChain>
      </unresolved>
      <resolved/>
    </commentChains>
    <commentChains s:ref="AI277" rgbClr="FF0000">
      <unresolved>
        <commentChain chainId="2ed8826448659d1a6ab5e7e7f503cae790f7dbb1">
          <item id="74c50c36a960164d2a98f1040b0b92ea4a98b4d5" isNormal="1">
            <s:text>
              <s:r>
                <s:t xml:space="preserve">Administrator:
3002370 8/4 1680pcs
A一楼A16-10</s:t>
              </s:r>
            </s:text>
          </item>
        </commentChain>
      </unresolved>
      <resolved/>
    </commentChains>
    <commentChains s:ref="AL277" rgbClr="FF0000">
      <unresolved>
        <commentChain chainId="4ced5d260f51425163f80ebfd5bd6808ec65aae2">
          <item id="be462e5d4cd1ec00db5fc29ef8ed6c0cd1896667" isNormal="1">
            <s:text>
              <s:r>
                <s:t xml:space="preserve">Administrator:
6/24 上客供RFID贴纸1680pcs
</s:t>
              </s:r>
            </s:text>
          </item>
        </commentChain>
      </unresolved>
      <resolved/>
    </commentChains>
    <commentChains s:ref="AI278" rgbClr="FF0000">
      <unresolved>
        <commentChain chainId="26ece75ae920f0c713dd8684d09e675ae61714c7">
          <item id="dbeb7dbf5507f1b49503e82643f91b3d6a554975" isNormal="1">
            <s:text>
              <s:r>
                <s:t xml:space="preserve">Administrator:
3002370 8/4 1232pcs
A一楼A18-B8</s:t>
              </s:r>
            </s:text>
          </item>
        </commentChain>
      </unresolved>
      <resolved/>
    </commentChains>
    <commentChains s:ref="AL278" rgbClr="FF0000">
      <unresolved>
        <commentChain chainId="fa95a9b1c97c626d59a99a65eb5b11341206f6a7">
          <item id="4f788e941881176b689833b9339cacb6eb82f618" isNormal="1">
            <s:text>
              <s:r>
                <s:t xml:space="preserve">Administrator:
6/24 上客供RFID贴纸1232pcs
</s:t>
              </s:r>
            </s:text>
          </item>
        </commentChain>
      </unresolved>
      <resolved/>
    </commentChains>
    <commentChains s:ref="AI281" rgbClr="FF0000">
      <unresolved>
        <commentChain chainId="08410f848527f083ffc4951f30dfb3177a404a14">
          <item id="14bb35b5fe46a0b1ca3081694242ca9f54d8757e" isNormal="1">
            <s:text>
              <s:r>
                <s:t xml:space="preserve">Administrator:
2001859 8/2 300pcs</s:t>
              </s:r>
            </s:text>
          </item>
        </commentChain>
      </unresolved>
      <resolved/>
    </commentChains>
    <commentChains s:ref="AL281" rgbClr="FF0000">
      <unresolved>
        <commentChain chainId="ccb9e3e29ecbc2d57f8c30f2cffc82567f5eb258">
          <item id="e68695161f38ba90750dac92ec4ad4e14e415e8f" isNormal="1">
            <s:text>
              <s:r>
                <s:t xml:space="preserve">Administrator:
+WEEE带电池走货说明书北欧B版300pcs
7/11 上客人白色CATLABEL贴纸300pcs</s:t>
              </s:r>
            </s:text>
          </item>
        </commentChain>
      </unresolved>
      <resolved/>
    </commentChains>
    <commentChains s:ref="AI282" rgbClr="FF0000">
      <unresolved>
        <commentChain chainId="30a7e11485eb675c5eab12e58ad3cf92c32f53c6">
          <item id="4fca27f6c006fc975c325edfdde4619539251923" isNormal="1">
            <s:text>
              <s:r>
                <s:t xml:space="preserve">Administrator:
2001868 8/2 616pcs莫A1楼B6</s:t>
              </s:r>
            </s:text>
          </item>
        </commentChain>
      </unresolved>
      <resolved/>
    </commentChains>
    <commentChains s:ref="AL282" rgbClr="FF0000">
      <unresolved>
        <commentChain chainId="2d8ec04479085b6bd5bf10bb60011b6ccd2b04bc">
          <item id="17de59e410cbff875066b8c83f1c12c663914712" isNormal="1">
            <s:text>
              <s:r>
                <s:t xml:space="preserve">Administrator:
7/7 上进口商贴纸616pcs
UPC 贴纸616pcs</s:t>
              </s:r>
            </s:text>
          </item>
        </commentChain>
      </unresolved>
      <resolved/>
    </commentChains>
    <commentChains s:ref="AI283" rgbClr="FF0000">
      <unresolved>
        <commentChain chainId="dd0e63778abca64b51f866a54768d2842a6ff69a">
          <item id="52789686b8d67b1f5e4d278fdf94566ced91cf8a" isNormal="1">
            <s:text>
              <s:r>
                <s:t xml:space="preserve">Administrator:
2001853 8/1 996pcs新仓1-B6</s:t>
              </s:r>
            </s:text>
          </item>
        </commentChain>
      </unresolved>
      <resolved/>
    </commentChains>
    <commentChains s:ref="AL283" rgbClr="FF0000">
      <unresolved>
        <commentChain chainId="4ff3093415c08b962bb21d75c01af077747c721f">
          <item id="eecffb910fb12731b91947d5a8366f22af75a9c4" isNormal="1">
            <s:text>
              <s:r>
                <s:t xml:space="preserve">Administrator:
7/12 上产品贴纸996pcs
7/11 上进口商贴纸996pcs</s:t>
              </s:r>
            </s:text>
          </item>
        </commentChain>
      </unresolved>
      <resolved/>
    </commentChains>
    <commentChains s:ref="AI284" rgbClr="FF0000">
      <unresolved>
        <commentChain chainId="617653f46c989328af1a040c3e39e33ce1e5a82d">
          <item id="ec5e2b46678585b289231cab74e954d2c9af6c92" isNormal="1">
            <s:text>
              <s:r>
                <s:t xml:space="preserve">Administrator:
3002177 8/4 312pcs莫4B10</s:t>
              </s:r>
            </s:text>
          </item>
        </commentChain>
      </unresolved>
      <resolved/>
    </commentChains>
    <commentChains s:ref="AL284" rgbClr="FF0000">
      <unresolved>
        <commentChain chainId="b044e58d154e2f70269896c671da8a2bf43bb1b5">
          <item id="b97963029a1a8285da6f8ac1a1364034674c50e2" isNormal="1">
            <s:text>
              <s:r>
                <s:t xml:space="preserve">Administrator:
7/21 上UPC条码贴纸312pcs
进口商贴纸312pcs
保证书312pcs
</s:t>
              </s:r>
            </s:text>
          </item>
        </commentChain>
      </unresolved>
      <resolved/>
    </commentChains>
    <commentChains s:ref="AI285" rgbClr="FF0000">
      <unresolved>
        <commentChain chainId="873f2dfa1d0aa7266073e25bbd3a7f8b054f2410">
          <item id="ae6ca087fa7b87b96c8ee60deb8dcf9548f2f612" isNormal="1">
            <s:text>
              <s:r>
                <s:t xml:space="preserve">Administrator:
3002177 8/4 504pCS莫4B10</s:t>
              </s:r>
            </s:text>
          </item>
        </commentChain>
      </unresolved>
      <resolved/>
    </commentChains>
    <commentChains s:ref="AL285" rgbClr="FF0000">
      <unresolved>
        <commentChain chainId="f8b4d30ab626989a5b0200959dd0958c61cccd61">
          <item id="1d7272a744403db86eced63953cf00bf65dcfa1e" isNormal="1">
            <s:text>
              <s:r>
                <s:t xml:space="preserve">Administrator:
7/5 上进口商贴纸504pcs</s:t>
              </s:r>
            </s:text>
          </item>
        </commentChain>
      </unresolved>
      <resolved/>
    </commentChains>
    <commentChains s:ref="AI286" rgbClr="FF0000">
      <unresolved>
        <commentChain chainId="701f191627339fb398883e9fcec4d2fd96e544f6">
          <item id="e84ccb9d515ee536c4287c045cdce298c5f9ca4c" isNormal="1">
            <s:text>
              <s:r>
                <s:t xml:space="preserve">Administrator:
2001859 8/2 600pcs
</s:t>
              </s:r>
            </s:text>
          </item>
        </commentChain>
      </unresolved>
      <resolved/>
    </commentChains>
    <commentChains s:ref="AL286" rgbClr="FF0000">
      <unresolved>
        <commentChain chainId="6c349299ea5e4d1dfbd95cf35627ac496757b86d">
          <item id="bad498a652b2ebd91ac9dd8b1207455ac65d43ae" isNormal="1">
            <s:text>
              <s:r>
                <s:t xml:space="preserve">Administrator:
7/22 上UPC贴纸600pcs</s:t>
              </s:r>
            </s:text>
          </item>
        </commentChain>
      </unresolved>
      <resolved/>
    </commentChains>
    <commentChains s:ref="AI287" rgbClr="FF0000">
      <unresolved>
        <commentChain chainId="cceb0fff9e4e33f7b2751eb4bcb7d84aa816f69d">
          <item id="1b66f678809b0d91cec2f2e09d990685dcb9b65b" isNormal="1">
            <s:text>
              <s:r>
                <s:t xml:space="preserve">Administrator:
3002172 8/4 816pcs廖平1F4</s:t>
              </s:r>
            </s:text>
          </item>
        </commentChain>
      </unresolved>
      <resolved/>
    </commentChains>
    <commentChains s:ref="AL287" rgbClr="FF0000">
      <unresolved>
        <commentChain chainId="e0c624ab28fd39d71418e515694703c58a276c4e">
          <item id="86d9f48bf148bbbd5c92586eacf741899c3714cf" isNormal="1">
            <s:text>
              <s:r>
                <s:t xml:space="preserve">Administrator:
7/23 上日语警语贴纸2004pcs
说明书贴纸2004pcs
两个同PO共用</s:t>
              </s:r>
            </s:text>
          </item>
        </commentChain>
      </unresolved>
      <resolved/>
    </commentChains>
    <commentChains s:ref="AI288" rgbClr="FF0000">
      <unresolved>
        <commentChain chainId="7224888c381d78e3a90b3b05af43ed782e9ed714">
          <item id="9baab864d5608257fe9a2927e8f6086bc158b4c2" isNormal="1">
            <s:text>
              <s:r>
                <s:t xml:space="preserve">Administrator:
3002172 8/4 1188pcs
廖平1F4</s:t>
              </s:r>
            </s:text>
          </item>
        </commentChain>
      </unresolved>
      <resolved/>
    </commentChains>
    <commentChains s:ref="AI289" rgbClr="FF0000">
      <unresolved>
        <commentChain chainId="4872f05bf2611e4fa709b8e9efa59b1c2bda4703">
          <item id="aef343b00e015cd3090e6a37c083689fc032e7b4" isNormal="1">
            <s:text>
              <s:r>
                <s:t xml:space="preserve">Administrator:
3002246 8/8 644pcs
莫4C7</s:t>
              </s:r>
            </s:text>
          </item>
        </commentChain>
      </unresolved>
      <resolved/>
    </commentChains>
    <commentChains s:ref="AI290" rgbClr="FF0000">
      <unresolved>
        <commentChain chainId="42f34664718ff50a9a6a8450fde4ebb1a0c79c26">
          <item id="c9bf19160a5a972a453f4dd492a9f50035dc3a31" isNormal="1">
            <s:text>
              <s:r>
                <s:t xml:space="preserve">Administrator:
3002246 8/8 692pcs
莫4A6</s:t>
              </s:r>
            </s:text>
          </item>
        </commentChain>
      </unresolved>
      <resolved/>
    </commentChains>
    <commentChains s:ref="AI291" rgbClr="FF0000">
      <unresolved>
        <commentChain chainId="fde8273fd5989f9b45d70512738fbeb3be136e26">
          <item id="9cd8fff848257b163d59c7425c1ec24ad78928d3" isNormal="1">
            <s:text>
              <s:r>
                <s:t xml:space="preserve">Administrator:
3002246 8/8 116pcs
莫4B4</s:t>
              </s:r>
            </s:text>
          </item>
        </commentChain>
      </unresolved>
      <resolved/>
    </commentChains>
    <commentChains s:ref="AI292" rgbClr="FF0000">
      <unresolved>
        <commentChain chainId="61ad0a32a48f9bbe2cb6651dfb5fcb041460c2b2">
          <item id="7497409a2f96d0c8b0f3a69b11aac9bb31417732" isNormal="1">
            <s:text>
              <s:r>
                <s:t xml:space="preserve">Administrator:
3002172 8/4 192pcs
A栋一楼</s:t>
              </s:r>
            </s:text>
          </item>
        </commentChain>
      </unresolved>
      <resolved/>
    </commentChains>
    <commentChains s:ref="AI293" rgbClr="FF0000">
      <unresolved>
        <commentChain chainId="f76cec6f75826bf518ab49175f81ebd09bed187f">
          <item id="ce0553a119aaec1a51712b301d0e5a23d78ad3e8" isNormal="1">
            <s:text>
              <s:r>
                <s:t xml:space="preserve">Administrator:
3002259 8/6 196pcs华3A28</s:t>
              </s:r>
            </s:text>
          </item>
        </commentChain>
      </unresolved>
      <resolved/>
    </commentChains>
    <commentChains s:ref="AL293" rgbClr="FF0000">
      <unresolved>
        <commentChain chainId="91ce4d68028eed9041d394941abd9e1b92d050c5">
          <item id="6e7ea98f815968e413f6fad4a7ec5e5f6994b377" isNormal="1">
            <s:text>
              <s:r>
                <s:t xml:space="preserve">Administrator:
6/21 上UPC贴纸196pcs
7/26 上客供外箱条码贴纸49pcs</s:t>
              </s:r>
            </s:text>
          </item>
        </commentChain>
      </unresolved>
      <resolved/>
    </commentChains>
    <commentChains s:ref="AI294" rgbClr="FF0000">
      <unresolved>
        <commentChain chainId="4d1d2b082fbc2b71a87690440c2d8a6f48d40aa6">
          <item id="e081c45a58d0051872289173cbc8bb19f84775c8" isNormal="1">
            <s:text>
              <s:r>
                <s:t xml:space="preserve">Administrator:
3002172 8/4 744pcs
廖平1F4</s:t>
              </s:r>
            </s:text>
          </item>
        </commentChain>
      </unresolved>
      <resolved/>
    </commentChains>
    <commentChains s:ref="AI295" rgbClr="FF0000">
      <unresolved>
        <commentChain chainId="e7299f82d8fc532620c1ccbe7d336ae5f1442f73">
          <item id="67e71db841fddbc1696661bb36978b1daeb1cf93" isNormal="1">
            <s:text>
              <s:r>
                <s:t xml:space="preserve">Administrator:
3002180 8/5 2400pcs
A一楼C10
</s:t>
              </s:r>
            </s:text>
          </item>
        </commentChain>
      </unresolved>
      <resolved/>
    </commentChains>
    <commentChains s:ref="AL295" rgbClr="FF0000">
      <unresolved>
        <commentChain chainId="1940e48db882ceda670596addf737a41ca967a1b">
          <item id="737f07ee97c5248d812613254f88e7b09c071f1c" isNormal="1">
            <s:text>
              <s:r>
                <s:t xml:space="preserve">Administrator:
7/5 上小纽扣电池警告语贴纸1800pcs
7/5 上大纽扣电池警告语贴纸3600pcs
8/2 上小纽扣电池警告语贴纸600pcs
大纽扣电池警告语贴纸1200pcs</s:t>
              </s:r>
            </s:text>
          </item>
        </commentChain>
      </unresolved>
      <resolved/>
    </commentChains>
    <commentChains s:ref="AI296" rgbClr="FF0000">
      <unresolved>
        <commentChain chainId="83f678449c7c1f5f38b2abc0689f5105dbfbbf36">
          <item id="ab05e355a0ce3f92ee3b77ccfd9653c9b2d9bb9c" isNormal="1">
            <s:text>
              <s:r>
                <s:t xml:space="preserve">Administrator:
2001862 8/2 1800pcs</s:t>
              </s:r>
            </s:text>
          </item>
        </commentChain>
      </unresolved>
      <resolved/>
    </commentChains>
    <commentChains s:ref="AI297" rgbClr="FF0000">
      <unresolved>
        <commentChain chainId="747acd94e1ac332824cd16cef17cd0d09935dc7e">
          <item id="d19d21348d55e618f62f6780ca9a431a1783426c" isNormal="1">
            <s:text>
              <s:r>
                <s:t xml:space="preserve">Administrator:
2001878 8/9 492pcs直走</s:t>
              </s:r>
            </s:text>
          </item>
        </commentChain>
      </unresolved>
      <resolved/>
    </commentChains>
    <commentChains s:ref="AL297" rgbClr="FF0000">
      <unresolved>
        <commentChain chainId="eb2c6e2fb3c1852efa79b9723d849687be5ca1b3">
          <item id="7b6debd098a74802d05fcba82f81d7c11c1b8d07" isNormal="1">
            <s:text>
              <s:r>
                <s:t xml:space="preserve">Administrator:
7/3 上多语折叠警语贴纸1476pcs
三个同PO共用
7/5 上UPC贴纸1476pcs
四个同PO共用
7/11 上亚马逊外箱贴纸41pcs
8/2 上电池产品说明书492pcs</s:t>
              </s:r>
            </s:text>
          </item>
        </commentChain>
      </unresolved>
      <resolved/>
    </commentChains>
    <commentChains s:ref="AI298" rgbClr="FF0000">
      <unresolved>
        <commentChain chainId="13b69a294b5660596d978e0e2cde3222fcbe35f1">
          <item id="df8a038ba4ea8a4ac3d96beb77ee33e01131f54a" isNormal="1">
            <s:text>
              <s:r>
                <s:t xml:space="preserve">Administrator:
2001878 8/9 492pcs
华3A27</s:t>
              </s:r>
            </s:text>
          </item>
        </commentChain>
      </unresolved>
      <resolved/>
    </commentChains>
    <commentChains s:ref="AL298" rgbClr="FF0000">
      <unresolved>
        <commentChain chainId="6c5cdf5de2c6c11f5d29b5539dfbbb85f4bf0b20">
          <item id="4ab7f4c6d7fa90be6bcfafc533b762cc2ad515b2" isNormal="1">
            <s:text>
              <s:r>
                <s:t xml:space="preserve">Administrator:
7/11 上亚马逊外箱贴纸41pcs
8/2 上电池产品说明书492pcs
8/7 上德国贴纸1476pcs</s:t>
              </s:r>
            </s:text>
          </item>
        </commentChain>
      </unresolved>
      <resolved/>
    </commentChains>
    <commentChains s:ref="AI299" rgbClr="FF0000">
      <unresolved>
        <commentChain chainId="8dc8e64efb34d6822d5c16254063738611b2e591">
          <item id="f19c54a5e0eca411ceb52a597940cc6578449390" isNormal="1">
            <s:text>
              <s:r>
                <s:t xml:space="preserve">Administrator:
2001878 8/9 492pcs
华3A27</s:t>
              </s:r>
            </s:text>
          </item>
        </commentChain>
      </unresolved>
      <resolved/>
    </commentChains>
    <commentChains s:ref="AL299" rgbClr="FF0000">
      <unresolved>
        <commentChain chainId="e438b1ebc1f1016fc66cd9229b9068c566b1bdb4">
          <item id="6a3a0fb20d16a120ddc3b24d3be890b673f24a98" isNormal="1">
            <s:text>
              <s:r>
                <s:t xml:space="preserve">Administrator:
7/11 上亚马逊外箱贴纸41pcs
8/2 上电池产品说明书492pcs
</s:t>
              </s:r>
            </s:text>
          </item>
        </commentChain>
      </unresolved>
      <resolved/>
    </commentChains>
    <commentChains s:ref="AI300" rgbClr="FF0000">
      <unresolved>
        <commentChain chainId="5a3d88bc63c591646fc0f965a1cee15cac89e9f5">
          <item id="1665624e83f0df73d9770563ba16b5704a98b002" isNormal="1">
            <s:text>
              <s:r>
                <s:t xml:space="preserve">Administrator:
3002180 8/5 1824pcsA一楼B9</s:t>
              </s:r>
            </s:text>
          </item>
        </commentChain>
      </unresolved>
      <resolved/>
    </commentChains>
    <commentChains s:ref="AL300" rgbClr="FF0000">
      <unresolved>
        <commentChain chainId="fa5b3ef845cb6b3db1dee72b9a68286f700f5582">
          <item id="3d582fee00e08c5bb557890e09225be5cd5e54b7" isNormal="1">
            <s:text>
              <s:r>
                <s:t xml:space="preserve">Administrator:
7/3 上客供RFID贴纸1824pcs</s:t>
              </s:r>
            </s:text>
          </item>
        </commentChain>
      </unresolved>
      <resolved/>
    </commentChains>
    <commentChains s:ref="AI301" rgbClr="FF0000">
      <unresolved>
        <commentChain chainId="7dcf298c2fd04d9280e6c84cc15adc8cbea30fd1">
          <item id="fd164f2cae18861d8a6a13febdf9c8afbfba378a" isNormal="1">
            <s:text>
              <s:r>
                <s:t xml:space="preserve">Administrator:
3002180 8/5 2204pcs
A一楼B9
</s:t>
              </s:r>
            </s:text>
          </item>
        </commentChain>
      </unresolved>
      <resolved/>
    </commentChains>
    <commentChains s:ref="AL301" rgbClr="FF0000">
      <unresolved>
        <commentChain chainId="4f8f8556ca3b485b970939c21a950ae45206907c">
          <item id="3f9d6698d7d089010a7e88efd8f867ce1becd01b" isNormal="1">
            <s:text>
              <s:r>
                <s:t xml:space="preserve">Administrator:
7/3 上客供RFID贴纸2204pcs
</s:t>
              </s:r>
            </s:text>
          </item>
        </commentChain>
      </unresolved>
      <resolved/>
    </commentChains>
    <commentChains s:ref="AI302" rgbClr="FF0000">
      <unresolved>
        <commentChain chainId="4e131836425252a941ba49004d43a1002a14a1e6">
          <item id="0131e3979e6e417de53c01c7159fe811f76bf81f" isNormal="1">
            <s:text>
              <s:r>
                <s:t xml:space="preserve">Administrator:
3002246 8/8 504pcs莫4B9</s:t>
              </s:r>
            </s:text>
          </item>
        </commentChain>
      </unresolved>
      <resolved/>
    </commentChains>
    <commentChains s:ref="AL302" rgbClr="FF0000">
      <unresolved>
        <commentChain chainId="f10e969663ed55b88f8f8950f23691b45ce5de32">
          <item id="908ff1527997bd2dbf34a6e732bf2cc2c5b0b9a9" isNormal="1">
            <s:text>
              <s:r>
                <s:t xml:space="preserve">Administrator:
7/15 上警语贴纸504pcs
WEEE说明书欧洲EN+30L-B版"504pcs</s:t>
              </s:r>
            </s:text>
          </item>
        </commentChain>
      </unresolved>
      <resolved/>
    </commentChains>
    <commentChains s:ref="AI303" rgbClr="FF0000">
      <unresolved>
        <commentChain chainId="65ebb8d329eca9921810b2a68221b74d586233c0">
          <item id="937329878db2a16ec648174c211e87a64b226c7d" isNormal="1">
            <s:text>
              <s:r>
                <s:t xml:space="preserve">Administrator:
300222 8/8 2388pcs莫4C1</s:t>
              </s:r>
            </s:text>
          </item>
        </commentChain>
      </unresolved>
      <resolved/>
    </commentChains>
    <commentChains s:ref="AL303" rgbClr="FF0000">
      <unresolved>
        <commentChain chainId="18e9205b95874d851d5fba52a92ad190121a1b74">
          <item id="7c3fcb0bfe5a7f854bc51ea4c506ca0e5fa65604" isNormal="1">
            <s:text>
              <s:r>
                <s:t xml:space="preserve">Administrator:
7/21 上UPC贴纸2388pcs</s:t>
              </s:r>
            </s:text>
          </item>
        </commentChain>
      </unresolved>
      <resolved/>
    </commentChains>
    <commentChains s:ref="AI304" rgbClr="FF0000">
      <unresolved>
        <commentChain chainId="9821b632065fc5db839d0a31e4ca6879dacd03b9">
          <item id="4de81ab88d5bccdd53581d7b91d9001094a2deae" isNormal="1">
            <s:text>
              <s:r>
                <s:t xml:space="preserve">Administrator:
3002180 8/5 300pcs
A一楼B9</s:t>
              </s:r>
            </s:text>
          </item>
        </commentChain>
      </unresolved>
      <resolved/>
    </commentChains>
    <commentChains s:ref="AL304" rgbClr="FF0000">
      <unresolved>
        <commentChain chainId="108c0546b3a2786e7b8aab8749915453d7e0daf4">
          <item id="4c2a0c1b95ec244b55e76b088f4117c603cfc7f5" isNormal="1">
            <s:text>
              <s:r>
                <s:t xml:space="preserve">Administrator:
7/18 上保证书300pcs
UPC条码贴纸300pcs
进口商贴纸300pcs</s:t>
              </s:r>
            </s:text>
          </item>
        </commentChain>
      </unresolved>
      <resolved/>
    </commentChains>
    <commentChains s:ref="AI305" rgbClr="FF0000">
      <unresolved>
        <commentChain chainId="681dbafc90b17a75eb76c282d9e7d2d20ef3fe15">
          <item id="ee9546714ed3a01c4ff486cba4417b1f2bbdcccd" isNormal="1">
            <s:text>
              <s:r>
                <s:t xml:space="preserve">Administrator:
3002246 8/8 1172pcs
莫4B3</s:t>
              </s:r>
            </s:text>
          </item>
        </commentChain>
      </unresolved>
      <resolved/>
    </commentChains>
    <commentChains s:ref="AI306" rgbClr="FF0000">
      <unresolved>
        <commentChain chainId="8adba9d3bd96b6959db09c98b0d9fa4b10c0c424">
          <item id="ab95cbe0ff512444d789026fb937b4eba246e4f0" isNormal="1">
            <s:text>
              <s:r>
                <s:t xml:space="preserve">Administrator:
3002246 8/8 1172pcs
莫4B3</s:t>
              </s:r>
            </s:text>
          </item>
        </commentChain>
      </unresolved>
      <resolved/>
    </commentChains>
    <commentChains s:ref="AI307" rgbClr="FF0000">
      <unresolved>
        <commentChain chainId="bc2a153688db20f3fce600949fa9de8ef256ed67">
          <item id="1fb88609142806748dd97aab7cd829e1c2888da5" isNormal="1">
            <s:text>
              <s:r>
                <s:t xml:space="preserve">Administrator:
2001873 8/9 1952pcs华3B16</s:t>
              </s:r>
            </s:text>
          </item>
        </commentChain>
      </unresolved>
      <resolved/>
    </commentChains>
    <commentChains s:ref="AI308" rgbClr="FF0000">
      <unresolved>
        <commentChain chainId="989915740bb0831c3c384cab7b477a22a0b9a867">
          <item id="69500599f3f3f54c1c5eae952a9535bcc8cb028a" isNormal="1">
            <s:text>
              <s:r>
                <s:t xml:space="preserve">Administrator:
2001873 8/9 11052pcs
华</s:t>
              </s:r>
            </s:text>
          </item>
        </commentChain>
      </unresolved>
      <resolved/>
    </commentChains>
    <commentChains s:ref="AI309" rgbClr="FF0000">
      <unresolved>
        <commentChain chainId="c11bee6e1e4b6fda255004c1c13834d8db016904">
          <item id="fc8b11dd5730eea7493a5fcf5405d9167caed466" isNormal="1">
            <s:text>
              <s:r>
                <s:t xml:space="preserve">Administrator:
3002081 7/29 1480pcs华3A16</s:t>
              </s:r>
            </s:text>
          </item>
        </commentChain>
      </unresolved>
      <resolved/>
    </commentChains>
    <commentChains s:ref="AL309" rgbClr="FF0000">
      <unresolved>
        <commentChain chainId="553d2758390aab3aa55beec8d9041e4dbd92ae12">
          <item id="cc13a5821cfe347ab5637c023fb5627ba3a2b82f" isNormal="1">
            <s:text>
              <s:r>
                <s:t xml:space="preserve">Administrator:
6/24 上客供RFID贴纸1484pcs
</s:t>
              </s:r>
            </s:text>
          </item>
        </commentChain>
      </unresolved>
      <resolved/>
    </commentChains>
    <commentChains s:ref="AL311" rgbClr="FF0000">
      <unresolved>
        <commentChain chainId="6b51e6c3343442b8f5d97b6fc3f107565af74934">
          <item id="4aa785d7e041bad6649a69ee0574d983e5c56128" isNormal="1">
            <s:text>
              <s:r>
                <s:t xml:space="preserve">Administrator:
8/8 上多语WEEE黑白说明书100pcs</s:t>
              </s:r>
            </s:text>
          </item>
        </commentChain>
      </unresolved>
      <resolved/>
    </commentChains>
    <commentChains s:ref="AI312" rgbClr="FF0000">
      <unresolved>
        <commentChain chainId="dfc17c98edfe5dd8cd20b31abade23b2d09d5bee">
          <item id="04c8878f01526997c0de944cd1f310992092fb8a" isNormal="1">
            <s:text>
              <s:r>
                <s:t xml:space="preserve">Administrator:
2001905 8/12 120pcs新仓1-B6</s:t>
              </s:r>
            </s:text>
          </item>
        </commentChain>
      </unresolved>
      <resolved/>
    </commentChains>
    <commentChains s:ref="AL312" rgbClr="FF0000">
      <unresolved>
        <commentChain chainId="610cd42df636bf0368a00e6715dcf233d6a63cd7">
          <item id="d6e11f0ce08ef576c6a55f6200f59e4f0c165171" isNormal="1">
            <s:text>
              <s:r>
                <s:t xml:space="preserve">Administrator:
7/25 上UPC贴纸120pcs
</s:t>
              </s:r>
            </s:text>
          </item>
        </commentChain>
      </unresolved>
      <resolved/>
    </commentChains>
    <commentChains s:ref="AI313" rgbClr="FF0000">
      <unresolved>
        <commentChain chainId="234190ad558a91074159c13757b41627b3c650b7">
          <item id="7791bd53cd2bb7973466fe4e7220b4f0e1c16898" isNormal="1">
            <s:text>
              <s:r>
                <s:t xml:space="preserve">Administrator:
3002231 8/9 368pcs华3B13</s:t>
              </s:r>
            </s:text>
          </item>
        </commentChain>
      </unresolved>
      <resolved/>
    </commentChains>
    <commentChains s:ref="AL313" rgbClr="FF0000">
      <unresolved>
        <commentChain chainId="c085ff5057730475cdf54f1ff51aed0a671f04ae">
          <item id="c4205fa6f6b145e1ab4167fae8edfc7e3ba3fbe6" isNormal="1">
            <s:text>
              <s:r>
                <s:t xml:space="preserve">Administrator:
7/10 上客供警语贴纸376pcs
客供电池警告语贴纸376pcs
客供中文警告语说明书376pcs</s:t>
              </s:r>
            </s:text>
          </item>
        </commentChain>
      </unresolved>
      <resolved/>
    </commentChains>
    <commentChains s:ref="AI314" rgbClr="FF0000">
      <unresolved>
        <commentChain chainId="37a0b0c56cfdb3a627201b7c23b8fdce3f4f4074">
          <item id="4f9a266b767aa58223adbce2a824f0a24ca85e39" isNormal="1">
            <s:text>
              <s:r>
                <s:t xml:space="preserve">Administrator:
2001873 8/9 692pcs
华</s:t>
              </s:r>
            </s:text>
          </item>
        </commentChain>
      </unresolved>
      <resolved/>
    </commentChains>
    <commentChains s:ref="AI315" rgbClr="FF0000">
      <unresolved>
        <commentChain chainId="91bd6f7291d3497e63594e6031dc85bb65c467a7">
          <item id="137141e65bf3971851147e13340ba56d95e16bd2" isNormal="1">
            <s:text>
              <s:r>
                <s:t xml:space="preserve">Administrator:
2001873 8/9 1468pcs
华</s:t>
              </s:r>
            </s:text>
          </item>
        </commentChain>
      </unresolved>
      <resolved/>
    </commentChains>
    <commentChains s:ref="AL315" rgbClr="FF0000">
      <unresolved>
        <commentChain chainId="66c12be704ab73a657f15a7e3db57a4464e3f432">
          <item id="b12af53121da0dee427b1f363178e23ddf503d3f" isNormal="1">
            <s:text>
              <s:r>
                <s:t xml:space="preserve">Administrator:
7/3 上客供RFID贴纸1468pcs
</s:t>
              </s:r>
            </s:text>
          </item>
        </commentChain>
      </unresolved>
      <resolved/>
    </commentChains>
    <commentChains s:ref="AI316" rgbClr="FF0000">
      <unresolved>
        <commentChain chainId="357dad7acb7ea6e552452f915a7ac3fa4a5d5133">
          <item id="04cfc4af35590552a1087ece1993cb63cc6c7e81" isNormal="1">
            <s:text>
              <s:r>
                <s:t xml:space="preserve">Administrator:
2001873 8/9 1476pcs
华</s:t>
              </s:r>
            </s:text>
          </item>
        </commentChain>
      </unresolved>
      <resolved/>
    </commentChains>
    <commentChains s:ref="AL316" rgbClr="FF0000">
      <unresolved>
        <commentChain chainId="21d4873cc5e384440e1f09a67fe916a9e6c20d29">
          <item id="70bfc57346941f2050d7245e4c41b8a21d26db93" isNormal="1">
            <s:text>
              <s:r>
                <s:t xml:space="preserve">Administrator:
7/3 上客供RFID贴纸1476pcs</s:t>
              </s:r>
            </s:text>
          </item>
        </commentChain>
      </unresolved>
      <resolved/>
    </commentChains>
    <commentChains s:ref="AI317" rgbClr="FF0000">
      <unresolved>
        <commentChain chainId="cd4bdd30ec6dfa6d52296cda66b6c2133443febe">
          <item id="5083d63d1832a07396459deb19d008245d68d158" isNormal="1">
            <s:text>
              <s:r>
                <s:t xml:space="preserve">Administrator:
2001873 8/9 922pcs
华</s:t>
              </s:r>
            </s:text>
          </item>
        </commentChain>
      </unresolved>
      <resolved/>
    </commentChains>
    <commentChains s:ref="AL317" rgbClr="FF0000">
      <unresolved>
        <commentChain chainId="e0c8611970647cf76f29aa578e8d555c4b640999">
          <item id="1230f848709037a2c7efaf6670768b657c34ca47" isNormal="1">
            <s:text>
              <s:r>
                <s:t xml:space="preserve">Administrator:
7/3 上客供RFID贴纸992pcs</s:t>
              </s:r>
            </s:text>
          </item>
        </commentChain>
      </unresolved>
      <resolved/>
    </commentChains>
    <commentChains s:ref="AI318" rgbClr="FF0000">
      <unresolved>
        <commentChain chainId="075d0aac2426ad2d79afa1d3b69691b13a78baa1">
          <item id="58826b2df23cde54c2630a0216c0696e6354ca48" isNormal="1">
            <s:text>
              <s:r>
                <s:t xml:space="preserve">Administrator:
2001875 8/9 1276pcs华3A32</s:t>
              </s:r>
            </s:text>
          </item>
        </commentChain>
      </unresolved>
      <resolved/>
    </commentChains>
    <commentChains s:ref="AL318" rgbClr="FF0000">
      <unresolved>
        <commentChain chainId="f63e43dc270e0fa893cf2ce286cd2e3e3e9a1d6d">
          <item id="7f9f1852ab18f6839b944acdbeaa302c4a0f77bc" isNormal="1">
            <s:text>
              <s:r>
                <s:t xml:space="preserve">Administrator:
7/3 上客供RFID贴纸1276pcs</s:t>
              </s:r>
            </s:text>
          </item>
        </commentChain>
      </unresolved>
      <resolved/>
    </commentChains>
    <commentChains s:ref="AI319" rgbClr="FF0000">
      <unresolved>
        <commentChain chainId="6400edb9e3e62031f637b8a692eb6adc4d0b53d0">
          <item id="d65494760e12845c9f94b59615c74ab1fb041233" isNormal="1">
            <s:text>
              <s:r>
                <s:t xml:space="preserve">Administrator:
2001875 8/9 1200pcs
华3A32</s:t>
              </s:r>
            </s:text>
          </item>
        </commentChain>
      </unresolved>
      <resolved/>
    </commentChains>
    <commentChains s:ref="AL319" rgbClr="FF0000">
      <unresolved>
        <commentChain chainId="d3e570ae7d061b74d7834e3039cc9f8b4f573b9d">
          <item id="1a6da6809ea38c95ae3937378148ab9be293a359" isNormal="1">
            <s:text>
              <s:r>
                <s:t xml:space="preserve">Administrator:
7/3 上客供RFID贴纸1200pcs</s:t>
              </s:r>
            </s:text>
          </item>
        </commentChain>
      </unresolved>
      <resolved/>
    </commentChains>
    <commentChains s:ref="AI320" rgbClr="FF0000">
      <unresolved>
        <commentChain chainId="759bfe64d6bbe6c0574ad26512d23686288ed337">
          <item id="4f67ba570a7ef60629375bdcb0af89abdac8ec26" isNormal="1">
            <s:text>
              <s:r>
                <s:t xml:space="preserve">Administrator:
2001905 8/12 1264pcs新仓1-A10</s:t>
              </s:r>
            </s:text>
          </item>
        </commentChain>
      </unresolved>
      <resolved/>
    </commentChains>
    <commentChains s:ref="AL320" rgbClr="FF0000">
      <unresolved>
        <commentChain chainId="e81cf34858739c79762a803a587d62cce925f455">
          <item id="3669c62f4e77f540237c796819875cf239dab6de" isNormal="1">
            <s:text>
              <s:r>
                <s:t xml:space="preserve">Administrator:
7/28 上客供外箱条码贴纸319pcs
</s:t>
              </s:r>
            </s:text>
          </item>
        </commentChain>
      </unresolved>
      <resolved/>
    </commentChains>
    <commentChains s:ref="AI321" rgbClr="FF0000">
      <unresolved>
        <commentChain chainId="38a3791ddd09920b41f37322649a7edd09f17b8e">
          <item id="a035dd6bf6256d758dac584cfe3b6fa1c9e5cfd3" isNormal="1">
            <s:text>
              <s:r>
                <s:t xml:space="preserve">Administrator:
2001905 8/12 1692pcs新仓1-A10</s:t>
              </s:r>
            </s:text>
          </item>
        </commentChain>
      </unresolved>
      <resolved/>
    </commentChains>
    <commentChains s:ref="AL321" rgbClr="FF0000">
      <unresolved>
        <commentChain chainId="7069b31c65af32577a0209a49bdbd80f55f7be3e">
          <item id="34dd96834446ff1433a96852a5e81ddff348f050" isNormal="1">
            <s:text>
              <s:r>
                <s:t xml:space="preserve">Administrator:
7/28 上客供外箱条码贴纸427pcs
</s:t>
              </s:r>
            </s:text>
          </item>
        </commentChain>
      </unresolved>
      <resolved/>
    </commentChains>
    <commentChains s:ref="AI322" rgbClr="FF0000">
      <unresolved>
        <commentChain chainId="6399399002f89ea0f77ca24939e5cb69000b13f4">
          <item id="e729ebb673fb6fc080fb26bfd20a1ba32ec8fcd6" isNormal="1">
            <s:text>
              <s:r>
                <s:t xml:space="preserve">Administrator:
4000541 8/15 3864pcs华一F9
4000566 8/18 36pcs华一F9</s:t>
              </s:r>
            </s:text>
          </item>
        </commentChain>
      </unresolved>
      <resolved/>
    </commentChains>
    <commentChains s:ref="AL322" rgbClr="FF0000">
      <unresolved>
        <commentChain chainId="7f6bb141b993241afb49b303faca06c85e375cab">
          <item id="0bffbf5f0dc4cd5e06fcab39841d15b2d0bcd630" isNormal="1">
            <s:text>
              <s:r>
                <s:t xml:space="preserve">Administrator:
8/3 上UPC贴纸3900pcs
保证书3900pcs
产品贴纸3900pcs
包装贴纸3900pcs</s:t>
              </s:r>
            </s:text>
          </item>
        </commentChain>
      </unresolved>
      <resolved/>
    </commentChains>
    <commentChains s:ref="AI323" rgbClr="FF0000">
      <unresolved>
        <commentChain chainId="15553542a90b22de576e2a5a275282fff69dd073">
          <item id="f882eb2c163439c27384e31aaa6869919b9adaa1" isNormal="1">
            <s:text>
              <s:r>
                <s:t xml:space="preserve">Administrator:
3002222 8/8 144pcs
张泉</s:t>
              </s:r>
            </s:text>
          </item>
        </commentChain>
      </unresolved>
      <resolved/>
    </commentChains>
    <commentChains s:ref="AL323" rgbClr="FF0000">
      <unresolved>
        <commentChain chainId="f4b17c1834f78e526ab46bf3b1e06ee23fff42c2">
          <item id="76d83a765b1aa164acd0164657ec8aa41232a79e" isNormal="1">
            <s:text>
              <s:r>
                <s:t xml:space="preserve">Administrator:
8/1 上欧洲通用说明书EA+30L带电池走货144pcs
8/1 上客人警告语贴纸144pcs
SKU号码贴纸144pcs
</s:t>
              </s:r>
            </s:text>
          </item>
        </commentChain>
      </unresolved>
      <resolved/>
    </commentChains>
    <commentChains s:ref="AI325" rgbClr="FF0000">
      <unresolved>
        <commentChain chainId="51ab05a386b0aaa993390c82af0b2021562de0a4">
          <item id="cf3030f4d7d94ed6b5bc1b567859eeb9c3583019" isNormal="1">
            <s:text>
              <s:r>
                <s:t xml:space="preserve">Administrator:
3002222 8/8 540pcs张泉</s:t>
              </s:r>
            </s:text>
          </item>
        </commentChain>
      </unresolved>
      <resolved/>
    </commentChains>
    <commentChains s:ref="AL325" rgbClr="FF0000">
      <unresolved>
        <commentChain chainId="87d802ba9290d24f55e9dfc4ea2e28b2ee7bee66">
          <item id="d8c6de361dbd74d1ad77c5f26f8fc33263b82e67" isNormal="1">
            <s:text>
              <s:r>
                <s:t xml:space="preserve">Administrator:
8/1 上欧洲通用说明书EA+30L带电池走货540pcs
8/1 上客人警告语贴纸540pcs
SKU号码贴纸540pcs
</s:t>
              </s:r>
            </s:text>
          </item>
        </commentChain>
      </unresolved>
      <resolved/>
    </commentChains>
    <commentChains s:ref="AI327" rgbClr="FF0000">
      <unresolved>
        <commentChain chainId="0f814157e5418622697698139a38e2d0a6528381">
          <item id="312c5ceec680a963a1efbf1be7c516b84616eee5" isNormal="1">
            <s:text>
              <s:r>
                <s:t xml:space="preserve">Administrator:
3000509 8/18 192pcs
华3A27</s:t>
              </s:r>
            </s:text>
          </item>
        </commentChain>
      </unresolved>
      <resolved/>
    </commentChains>
    <commentChains s:ref="AL327" rgbClr="FF0000">
      <unresolved>
        <commentChain chainId="dd7a1d1968221cac06690c620808580ebadab851">
          <item id="c579c9b796c9f93a6724c4335ddcc0614d0af820" isNormal="1">
            <s:text>
              <s:r>
                <s:t xml:space="preserve">Administrator:
7/25 上包装+说明书电池警告语贴纸384pcs
UPC贴纸192pcs
8/11 上条码贴纸192pcs贴纸条码错需重新订购
8/15 上小警告语贴纸192pcs
</s:t>
              </s:r>
            </s:text>
          </item>
        </commentChain>
      </unresolved>
      <resolved/>
    </commentChains>
    <commentChains s:ref="AI328" rgbClr="FF0000">
      <unresolved>
        <commentChain chainId="937cf37cc0fd97efb8276424b267cb7d894583aa">
          <item id="ac2253a422fc5fa7799d8512efb78fb19be0cb48" isNormal="1">
            <s:text>
              <s:r>
                <s:t xml:space="preserve">Administrator:
3002250 8/5 640pcs
2001908 8/12 1960pcs张泉3-C
2001911 8/12 2800pcs张泉</s:t>
              </s:r>
            </s:text>
          </item>
        </commentChain>
      </unresolved>
      <resolved/>
    </commentChains>
    <commentChains s:ref="AI330" rgbClr="FF0000">
      <unresolved>
        <commentChain chainId="d82b6450821cd2c13236476113ebffa22b27f927">
          <item id="2b8c9e5c0a47f718235c112db3cfa877e56c00be" isNormal="1">
            <s:text>
              <s:r>
                <s:t xml:space="preserve">Administrator:
2001756 8/16 1736pcs华3A14</s:t>
              </s:r>
            </s:text>
          </item>
        </commentChain>
      </unresolved>
      <resolved/>
    </commentChains>
    <commentChains s:ref="AL330" rgbClr="FF0000">
      <unresolved>
        <commentChain chainId="e98343408ba75e750a40a10d85adcd10019e4b39">
          <item id="a2828ed9ad686301d9c8e781b2dbe53011b0afd1" isNormal="1">
            <s:text>
              <s:r>
                <s:t xml:space="preserve">Administrator:
8/18 上客供外箱条码贴纸438pcs</s:t>
              </s:r>
            </s:text>
          </item>
        </commentChain>
      </unresolved>
      <resolved/>
    </commentChains>
    <commentChains s:ref="AI331" rgbClr="FF0000">
      <unresolved>
        <commentChain chainId="c2805839a0327b9c6bf7eabf63494ae74e7ab62a">
          <item id="7cd6dacf03d16e63d067e4b1675efdd5a1ae23fa" isNormal="1">
            <s:text>
              <s:r>
                <s:t xml:space="preserve">Administrator:
4000640 8/20 84pcs
4000621 8/20 24276pcs</s:t>
              </s:r>
            </s:text>
          </item>
        </commentChain>
      </unresolved>
      <resolved/>
    </commentChains>
    <commentChains s:ref="AL331" rgbClr="FF0000">
      <unresolved>
        <commentChain chainId="abdb70fe379915b99786b4966d5ac2cb639e0967">
          <item id="71db93f7baa99caf279749fa3e4b874e5e5a7505" isNormal="1">
            <s:text>
              <s:r>
                <s:t xml:space="preserve">Administrator:
8/2 上客供亚马逊外箱贴纸2030pcs
</s:t>
              </s:r>
            </s:text>
          </item>
        </commentChain>
      </unresolved>
      <resolved/>
    </commentChains>
    <commentChains s:ref="AI332" rgbClr="FF0000">
      <unresolved>
        <commentChain chainId="b24a79468c2dce4e8927ebab62d323866bd181a7">
          <item id="dc35aaded55ec30713b7ecbda246c4accc528299" isNormal="1">
            <s:text>
              <s:r>
                <s:t xml:space="preserve">Administrator:
3000509 8/18 1300pcs
华3B10</s:t>
              </s:r>
            </s:text>
          </item>
        </commentChain>
      </unresolved>
      <resolved/>
    </commentChains>
    <commentChains s:ref="AL332" rgbClr="FF0000">
      <unresolved>
        <commentChain chainId="5304595b18d810019272c82e80f192c31451a0d0">
          <item id="f317c53638ca1f563bd6847f4a580c98e7df09de" isNormal="1">
            <s:text>
              <s:r>
                <s:t xml:space="preserve">Administrator:
7/24 上UPC条码贴纸1300pcs</s:t>
              </s:r>
            </s:text>
          </item>
        </commentChain>
      </unresolved>
      <resolved/>
    </commentChains>
    <commentChains s:ref="AI333" rgbClr="FF0000">
      <unresolved>
        <commentChain chainId="6fca7f8a6a74379977a315391947ce9f5398fa3d">
          <item id="6358c1a4563f29bb24f0dcfda3aeb0ba34b91b6c" isNormal="1">
            <s:text>
              <s:r>
                <s:t xml:space="preserve">Administrator:
3000509 8/18 1780pcs华一F7</s:t>
              </s:r>
            </s:text>
          </item>
        </commentChain>
      </unresolved>
      <resolved/>
    </commentChains>
    <commentChains s:ref="AL333" rgbClr="FF0000">
      <unresolved>
        <commentChain chainId="9bb0e3769e628ed470aa6fbc29300e4da1daa4a2">
          <item id="0442b58ceda6ab59c4e854a3db9b60f1da5853b1" isNormal="1">
            <s:text>
              <s:r>
                <s:t xml:space="preserve">Administrator:
6/24 上客供RFID贴纸1780pcs
</s:t>
              </s:r>
            </s:text>
          </item>
        </commentChain>
      </unresolved>
      <resolved/>
    </commentChains>
    <commentChains s:ref="AI334" rgbClr="FF0000">
      <unresolved>
        <commentChain chainId="6039ffb2cf883bbf2e2345ab6fc89760eaeae5b3">
          <item id="e63f1d3e1bc1308e57f2a29bb863f8ca28d5c1b8" isNormal="1">
            <s:text>
              <s:r>
                <s:t xml:space="preserve">Administrator:
3000517 8/19 1472pcs华3B8</s:t>
              </s:r>
            </s:text>
          </item>
        </commentChain>
      </unresolved>
      <resolved/>
    </commentChains>
    <commentChains s:ref="AL334" rgbClr="FF0000">
      <unresolved>
        <commentChain chainId="0d6f03cdb1556aa74aa847040b012051a68302c1">
          <item id="6aef700b9d2d5589d4eb46c294fb00e5cfc0736e" isNormal="1">
            <s:text>
              <s:r>
                <s:t xml:space="preserve">Administrator:
6/24 上客供RFID贴纸1472pcs
</s:t>
              </s:r>
            </s:text>
          </item>
        </commentChain>
      </unresolved>
      <resolved/>
    </commentChains>
    <commentChains s:ref="AI335" rgbClr="FF0000">
      <unresolved>
        <commentChain chainId="eaf04d2233aa777700399f9e6eafa7085a4571ca">
          <item id="66b8e23612429954630d5ac8355c61d269882f43" isNormal="1">
            <s:text>
              <s:r>
                <s:t xml:space="preserve">Administrator:
2001757 8/16 108pcs华3B13</s:t>
              </s:r>
            </s:text>
          </item>
        </commentChain>
      </unresolved>
      <resolved/>
    </commentChains>
    <commentChains s:ref="AL335" rgbClr="FF0000">
      <unresolved>
        <commentChain chainId="8e796a9f3334ccf96c865a153524445d2ffc3032">
          <item id="64ae938aef24fafedfde9a5a2000999edf385e95" isNormal="1">
            <s:text>
              <s:r>
                <s:t xml:space="preserve">Administrator:
7/11 上客人白色CATLABEL贴纸108pcs
+WEEE带电池走货说明书北欧B版108pcs</s:t>
              </s:r>
            </s:text>
          </item>
        </commentChain>
      </unresolved>
      <resolved/>
    </commentChains>
    <commentChains s:ref="AI336" rgbClr="FF0000">
      <unresolved>
        <commentChain chainId="15e0e0884eb5cab19f50b4cfae290127216719a6">
          <item id="ec452b5496434b9fc95a698c17816c240382b237" isNormal="1">
            <s:text>
              <s:r>
                <s:t xml:space="preserve">Administrator:
2001756 8/16 4320pcs华3A23
2001757 8/16 2112pcs华3A23</s:t>
              </s:r>
            </s:text>
          </item>
        </commentChain>
      </unresolved>
      <resolved/>
    </commentChains>
    <commentChains s:ref="AL336" rgbClr="FF0000">
      <unresolved>
        <commentChain chainId="0997e9c54f7c4bbb3189121d5354342566fb6c10">
          <item id="ef07c2a451c0faf228d1d265377a8a69e019aad0" isNormal="1">
            <s:text>
              <s:r>
                <s:t xml:space="preserve">Administrator:
 8/14 上客供外箱条码贴纸1624pcs
</s:t>
              </s:r>
            </s:text>
          </item>
        </commentChain>
      </unresolved>
      <resolved/>
    </commentChains>
    <commentChains s:ref="AI337" rgbClr="FF0000">
      <unresolved>
        <commentChain chainId="bf5b64d734f97bdc464a7fbc03f0974b2efdbb05">
          <item id="427d30edae52d4cae0cd25a2be8c4e319cc9b7cb" isNormal="1">
            <s:text>
              <s:r>
                <s:t xml:space="preserve">Administrator:
2001758 8/16 1350pcs华一F5</s:t>
              </s:r>
            </s:text>
          </item>
        </commentChain>
      </unresolved>
      <resolved/>
    </commentChains>
    <commentChains s:ref="AI338" rgbClr="FF0000">
      <unresolved>
        <commentChain chainId="637bd84fe4e09825f0cb422fb2bc70719bf2891a">
          <item id="501165e8641ffb9955d1dec11aec74f0260746c2" isNormal="1">
            <s:text>
              <s:r>
                <s:t xml:space="preserve">Administrator:
2001758 8/16 1350pcs华一F5
</s:t>
              </s:r>
            </s:text>
          </item>
        </commentChain>
      </unresolved>
      <resolved/>
    </commentChains>
    <commentChains s:ref="AI339" rgbClr="FF0000">
      <unresolved>
        <commentChain chainId="b50d094e554cd0c8d0786767e6d59749caefe205">
          <item id="560ac8adcf670bc7f8968d36f2a721a190041085" isNormal="1">
            <s:text>
              <s:r>
                <s:t xml:space="preserve">Administrator:
2001758 8/16 150pcs华3B14
</s:t>
              </s:r>
            </s:text>
          </item>
        </commentChain>
      </unresolved>
      <resolved/>
    </commentChains>
    <commentChains s:ref="AI340" rgbClr="FF0000">
      <unresolved>
        <commentChain chainId="b0b5715457abf53bfd46f8e194abcd508f7e9a13">
          <item id="bd6c8837364d949df56edd29da546d92efcd2ce2" isNormal="1">
            <s:text>
              <s:r>
                <s:t xml:space="preserve">Administrator:
2001758 8/16 150pcs华3B14</s:t>
              </s:r>
            </s:text>
          </item>
        </commentChain>
      </unresolved>
      <resolved/>
    </commentChains>
    <commentChains s:ref="AI341" rgbClr="FF0000">
      <unresolved>
        <commentChain chainId="4ac67513f5248cce9cdb7bf30c435760e327aaba">
          <item id="c241d4b13a567f8c32d5fa342b84d8b62111d272" isNormal="1">
            <s:text>
              <s:r>
                <s:t xml:space="preserve">Administrator:
2001944 8/15 1032pcs华一F4</s:t>
              </s:r>
            </s:text>
          </item>
        </commentChain>
      </unresolved>
      <resolved/>
    </commentChains>
    <commentChains s:ref="AL341" rgbClr="FF0000">
      <unresolved>
        <commentChain chainId="b825eaa155f5546e33bcd8b0c29ee9ac383d9071">
          <item id="7d090490b13fb4351c10888e3afb4145a32c5496" isNormal="1">
            <s:text>
              <s:r>
                <s:t xml:space="preserve">Administrator:
7/30 上说明书1032pcs</s:t>
              </s:r>
            </s:text>
          </item>
        </commentChain>
      </unresolved>
      <resolved/>
    </commentChains>
    <commentChains s:ref="AI342" rgbClr="FF0000">
      <unresolved>
        <commentChain chainId="da7b8a2682a2e2e8702ce9783346538c4ec65475">
          <item id="c5f6cb2f568d9b58bab7d29e68248858ef355673" isNormal="1">
            <s:text>
              <s:r>
                <s:t xml:space="preserve">Administrator:
3000507 8/21 2104pcs新仓1-A10</s:t>
              </s:r>
            </s:text>
          </item>
        </commentChain>
      </unresolved>
      <resolved/>
    </commentChains>
    <commentChains s:ref="AL342" rgbClr="FF0000">
      <unresolved>
        <commentChain chainId="649435b81fe8ec6b3cedd3b1bb0339f5b6853f84">
          <item id="e353cbaa878b6d54448fb5f55d79e965ff364c13" isNormal="1">
            <s:text>
              <s:r>
                <s:t xml:space="preserve">Administrator:
7/26 上WEEE声明带电池走货欧洲 30 语通用黑白说明书B版2104pcs</s:t>
              </s:r>
            </s:text>
          </item>
        </commentChain>
      </unresolved>
      <resolved/>
    </commentChains>
    <commentChains s:ref="AI343" rgbClr="FF0000">
      <unresolved>
        <commentChain chainId="be8bd2036e5283b67da90cf06c7289ca22b168cb">
          <item id="83187198de5d9bd5a245b1d1fd8da08826324087" isNormal="1">
            <s:text>
              <s:r>
                <s:t xml:space="preserve">Administrator:
3000509 8/18 608pcs
华3B13</s:t>
              </s:r>
            </s:text>
          </item>
        </commentChain>
      </unresolved>
      <resolved/>
    </commentChains>
    <commentChains s:ref="AL343" rgbClr="FF0000">
      <unresolved>
        <commentChain chainId="a817f92b137feae263a69529a4fbe3f7fd8574de">
          <item id="be26b3884177a803ca32309d8e89cf27a0f4b9c5" isNormal="1">
            <s:text>
              <s:r>
                <s:t xml:space="preserve">Administrator:
7/25 上包装+说明书电池警告语贴纸1216pcs
UPC贴纸608pcs
8/11 上条码贴纸608pcs贴纸条码错需重新订购
8/15 上小警告语贴纸608pcs</s:t>
              </s:r>
            </s:text>
          </item>
        </commentChain>
      </unresolved>
      <resolved/>
    </commentChains>
    <commentChains s:ref="AI344" rgbClr="FF0000">
      <unresolved>
        <commentChain chainId="3a7d9a7d64f045095e8526c9efdadddfae257cd4">
          <item id="3ac7a4710762e6297f19433b651a136ad2c9180d" isNormal="1">
            <s:text>
              <s:r>
                <s:t xml:space="preserve">Administrator:
2001305 8/21 2000pcs华3B12</s:t>
              </s:r>
            </s:text>
          </item>
        </commentChain>
      </unresolved>
      <resolved/>
    </commentChains>
    <commentChains s:ref="AL344" rgbClr="FF0000">
      <unresolved>
        <commentChain chainId="f1d79e4dc139651bc77880fed4e325f3f0156148">
          <item id="a65ca615e77616cf9e2283b8b1d269e0406aafc2" isNormal="1">
            <s:text>
              <s:r>
                <s:t xml:space="preserve">Administrator:
7/26 上WEEE声明带电池走货欧洲 30 语通用黑白说明书B版2000pcs
</s:t>
              </s:r>
            </s:text>
          </item>
        </commentChain>
      </unresolved>
      <resolved/>
    </commentChains>
    <commentChains s:ref="AI345" rgbClr="FF0000">
      <unresolved>
        <commentChain chainId="6141d0363e73bbdadf6597296d8235e53d39faad">
          <item id="88df6b67f767b773fd9e41bdea24b08fe2d13703" isNormal="1">
            <s:text>
              <s:r>
                <s:t xml:space="preserve">Administrator:
300501 8/20 1184pcs莫 A1 B7</s:t>
              </s:r>
            </s:text>
          </item>
        </commentChain>
      </unresolved>
      <resolved/>
    </commentChains>
    <commentChains s:ref="AL345" rgbClr="FF0000">
      <unresolved>
        <commentChain chainId="cc2779acf75a2a4f59eec8bae6b4a32495924fe0">
          <item id="17ad3e5cadd88128798b89e68d6412059091e58b" isNormal="1">
            <s:text>
              <s:r>
                <s:t xml:space="preserve">Administrator:
6/24 上客供RFID贴纸1184pcs
</s:t>
              </s:r>
            </s:text>
          </item>
        </commentChain>
      </unresolved>
      <resolved/>
    </commentChains>
    <commentChains s:ref="AI346" rgbClr="FF0000">
      <unresolved>
        <commentChain chainId="4676aea242e304bce62c018be24cbe2487e3d702">
          <item id="3336832ba59879535bebbda3f93a696f71082fe8" isNormal="1">
            <s:text>
              <s:r>
                <s:t xml:space="preserve">Administrator:
300501 8/20 1192pcs
莫 A1 B7
</s:t>
              </s:r>
            </s:text>
          </item>
        </commentChain>
      </unresolved>
      <resolved/>
    </commentChains>
    <commentChains s:ref="AL346" rgbClr="FF0000">
      <unresolved>
        <commentChain chainId="2b33e2720bb48feffbbdd20a19591be0215f8d51">
          <item id="ff22ef6d77ed07205a2f57b9f4bc017ac6a21829" isNormal="1">
            <s:text>
              <s:r>
                <s:t xml:space="preserve">Administrator:
6/24 上客供RFID贴纸1192pcs
</s:t>
              </s:r>
            </s:text>
          </item>
        </commentChain>
      </unresolved>
      <resolved/>
    </commentChains>
    <commentChains s:ref="AI347" rgbClr="FF0000">
      <unresolved>
        <commentChain chainId="ec59eb8e9a49983d64f815d1ebc2ebf0965fe3c2">
          <item id="8a0334dea8f918f086b584116b64467148961633" isNormal="1">
            <s:text>
              <s:r>
                <s:t xml:space="preserve">Administrator:
300501 8/20 500pcs
莫 A1 B7
</s:t>
              </s:r>
            </s:text>
          </item>
        </commentChain>
      </unresolved>
      <resolved/>
    </commentChains>
    <commentChains s:ref="AL347" rgbClr="FF0000">
      <unresolved>
        <commentChain chainId="3f20f27cae55c0bf0c4af274a56731dd7b4eecd0">
          <item id="ca21f1f0f4e326d21a79ef50fa4d3814ba7ef143" isNormal="1">
            <s:text>
              <s:r>
                <s:t xml:space="preserve">Administrator:
6/24 上客供RFID贴纸500pcs
</s:t>
              </s:r>
            </s:text>
          </item>
        </commentChain>
      </unresolved>
      <resolved/>
    </commentChains>
    <commentChains s:ref="AI348" rgbClr="FF0000">
      <unresolved>
        <commentChain chainId="dc159248a9d82f2d9647c78bf3f7a67a29309c47">
          <item id="08aac748697f7b761a92b2aa7775ec7ed80b5975" isNormal="1">
            <s:text>
              <s:r>
                <s:t xml:space="preserve">Administrator:
300501 8/20 500pcs莫 A1 B7
</s:t>
              </s:r>
            </s:text>
          </item>
        </commentChain>
      </unresolved>
      <resolved/>
    </commentChains>
    <commentChains s:ref="AL348" rgbClr="FF0000">
      <unresolved>
        <commentChain chainId="137941193517211b31007f4bb3bae0a1ef3e5c1e">
          <item id="ca6a993c1f9e8515a11981d6f78399cf9d3dac36" isNormal="1">
            <s:text>
              <s:r>
                <s:t xml:space="preserve">Administrator:
6/24 上客供RFID贴纸500pcs
</s:t>
              </s:r>
            </s:text>
          </item>
        </commentChain>
      </unresolved>
      <resolved/>
    </commentChains>
    <commentChains s:ref="AI349" rgbClr="FF0000">
      <unresolved>
        <commentChain chainId="103046162e505beb2b726b396ce29d109a2d9466">
          <item id="cafcfbcc86725e0030907d0923541201b02a482b" isNormal="1">
            <s:text>
              <s:r>
                <s:t xml:space="preserve">Administrator:
300501 8/20 500pcs莫 A1 B7
</s:t>
              </s:r>
            </s:text>
          </item>
        </commentChain>
      </unresolved>
      <resolved/>
    </commentChains>
    <commentChains s:ref="AL349" rgbClr="FF0000">
      <unresolved>
        <commentChain chainId="e37d24fb4dbb83ffeb147a6e145168cf72698df3">
          <item id="b4166b3a39e5cbca74f05626aa12a909319ddced" isNormal="1">
            <s:text>
              <s:r>
                <s:t xml:space="preserve">Administrator:
6/24 上客供RFID贴纸500pcs
</s:t>
              </s:r>
            </s:text>
          </item>
        </commentChain>
      </unresolved>
      <resolved/>
    </commentChains>
    <commentChains s:ref="AI350" rgbClr="FF0000">
      <unresolved>
        <commentChain chainId="08823092a8fab2e83d300c4a73fbf92961cd753f">
          <item id="ed68afed3f6b2fb867f16beef63b97c8a2362b8b" isNormal="1">
            <s:text>
              <s:r>
                <s:t xml:space="preserve">Administrator:
2001305 8/21 1440pcs
华3A19
2001310 8/22 1928pcs华3A8</s:t>
              </s:r>
            </s:text>
          </item>
        </commentChain>
      </unresolved>
      <resolved/>
    </commentChains>
    <commentChains s:ref="AL350" rgbClr="FF0000">
      <unresolved>
        <commentChain chainId="4712720448be32dab948155284779ea06de71366">
          <item id="f5d0c14cf3c7f463cd3a952f51f9f20ddf383e52" isNormal="1">
            <s:text>
              <s:r>
                <s:t xml:space="preserve">Administrator:
7/28 上客供外箱条码贴纸850pcs</s:t>
              </s:r>
            </s:text>
          </item>
        </commentChain>
      </unresolved>
      <resolved/>
    </commentChains>
    <commentChains s:ref="AI351" rgbClr="FF0000">
      <unresolved>
        <commentChain chainId="502a3ff56b3eb61ff9ddee3fb70b9861183b2db3">
          <item id="b1d6ae8e8cd90d3a3e2d9c3095c917b18f7111c1" isNormal="1">
            <s:text>
              <s:r>
                <s:t xml:space="preserve">Administrator:
3000506 8/21 1350pcs新仓1 -A3</s:t>
              </s:r>
            </s:text>
          </item>
        </commentChain>
      </unresolved>
      <resolved/>
    </commentChains>
    <commentChains s:ref="AL351" rgbClr="FF0000">
      <unresolved>
        <commentChain chainId="2d50100173b73de508ac8168e7c8ee840eba53b6">
          <item id="6672d0277246ba6001facbbc4162d6a39160213a" isNormal="1">
            <s:text>
              <s:r>
                <s:t xml:space="preserve">Administrator:
8/5 上UPC条码贴纸1350pcs
</s:t>
              </s:r>
            </s:text>
          </item>
        </commentChain>
      </unresolved>
      <resolved/>
    </commentChains>
    <commentChains s:ref="AL352" rgbClr="FF0000">
      <unresolved>
        <commentChain chainId="2b0f68b980cb86df2a3c3bb83b25cdb2d5782ff2">
          <item id="e68917aee3cc25dd68bce09887458cfef4a05899" isNormal="1">
            <s:text>
              <s:r>
                <s:t xml:space="preserve">Administrator:
8/5 上UPC条码贴纸150pcs</s:t>
              </s:r>
            </s:text>
          </item>
        </commentChain>
      </unresolved>
      <resolved/>
    </commentChains>
    <commentChains s:ref="AI353" rgbClr="FF0000">
      <unresolved>
        <commentChain chainId="bdbf5f14f7faba0629c423a8b096f1eb76603789">
          <item id="124ec0d31a6d2ae6f4a7f35bbea79b7bfd8148f5" isNormal="1">
            <s:text>
              <s:r>
                <s:t xml:space="preserve">Administrator:
3000510 8/18 2840pcs
2001761 8/16 2560pcs张泉</s:t>
              </s:r>
            </s:text>
          </item>
        </commentChain>
      </unresolved>
      <resolved/>
    </commentChains>
    <commentChains s:ref="AI355" rgbClr="FF0000">
      <unresolved>
        <commentChain chainId="22e44917a669b0e0ebcfd6de4047357ebc30c939">
          <item id="41f83dd5460e17fa94bd66e471f6894cedc4387c" isNormal="1">
            <s:text>
              <s:r>
                <s:t xml:space="preserve">Administrator:
3002257 1200pcs
张泉
3002225 8/8 150pcs张泉</s:t>
              </s:r>
            </s:text>
          </item>
        </commentChain>
      </unresolved>
      <resolved/>
    </commentChains>
    <commentChains s:ref="AI357" rgbClr="FF0000">
      <unresolved>
        <commentChain chainId="a2ab04bb76984f842c1f285cd5ba39080deac43e">
          <item id="077ae8e2bf6ce0f60415e495401683d34f6c8cfc" isNormal="1">
            <s:text>
              <s:r>
                <s:t xml:space="preserve">Administrator:
3000503 8/20 1920pcs
3000497 8/20 3160pcs
2001302 8/21 320pcs</s:t>
              </s:r>
            </s:text>
          </item>
        </commentChain>
      </unresolved>
      <resolved/>
    </commentChains>
    <commentChains s:ref="AI359" rgbClr="FF0000">
      <unresolved>
        <commentChain chainId="793f56c0c60726c29a94b2fd84759764c3d3e7ad">
          <item id="0b4f0beeac81d81524ae1541b4c62c9acf5274d4" isNormal="1">
            <s:text>
              <s:r>
                <s:t xml:space="preserve">Administrator:
3000083 8/23 1280pcs
3000079 8/23 2240pcs
3000087 8/25 1740pcs
4001016 8/26 140ｐｃｓ</s:t>
              </s:r>
            </s:text>
          </item>
        </commentChain>
      </unresolved>
      <resolved/>
    </commentChains>
    <commentChains s:ref="AI361" rgbClr="FF0000">
      <unresolved>
        <commentChain chainId="b60558873d473afbce53bd961eb37c7bdeb8911c">
          <item id="d533a8c4ac727465532a48770ad11eccbfac4990" isNormal="1">
            <s:text>
              <s:r>
                <s:t xml:space="preserve">Administrator:
3000083 8/23 2280pcs
3000079 8/23 3120pcs</s:t>
              </s:r>
            </s:text>
          </item>
        </commentChain>
      </unresolved>
      <resolved/>
    </commentChains>
    <commentChains s:ref="AI363" rgbClr="FF0000">
      <unresolved>
        <commentChain chainId="470a187aa6886f0f9db0c403ae5111a867b4e0ef">
          <item id="3f9b08ee70f5c334c7db695eb22573c945499268" isNormal="1">
            <s:text>
              <s:r>
                <s:t xml:space="preserve">Administrator:
2001302 8/21 3200pcs
2001309 8/22 2200pcs张泉</s:t>
              </s:r>
            </s:text>
          </item>
        </commentChain>
      </unresolved>
      <resolved/>
    </commentChains>
    <commentChains s:ref="AI365" rgbClr="FF0000">
      <unresolved>
        <commentChain chainId="ae8b71cdff274d72651b50ad1914515bf145ff15">
          <item id="657beadcfb7f834dfd82aa611653d65cf6016848" isNormal="1">
            <s:text>
              <s:r>
                <s:t xml:space="preserve">Administrator:
4000051 9/3 560pcs
4000388 9/5 32pcs
华一F4
3002580 9/5 16pcs华一F5</s:t>
              </s:r>
            </s:text>
          </item>
        </commentChain>
      </unresolved>
      <resolved/>
    </commentChains>
    <commentChains s:ref="AL365" rgbClr="FF0000">
      <unresolved>
        <commentChain chainId="09668aa6addc1c0b73804c10f65cb7f0c4e09bb1">
          <item id="6b5f5bccec22f322b7056016b4e54a054414c87c" isNormal="1">
            <s:text>
              <s:r>
                <s:t xml:space="preserve">Administrator:
7/26 上电池警告语贴纸1216pcs
UPC贴纸608pcs
8/11 上条码贴纸608pcs贴纸条码错需重新订购
8/26 上小警告语贴纸608pcs</s:t>
              </s:r>
            </s:text>
          </item>
        </commentChain>
      </unresolved>
      <resolved/>
    </commentChains>
    <commentChains s:ref="AI366" rgbClr="FF0000">
      <unresolved>
        <commentChain chainId="389325867257167df97ed754dabe4fb58fae8ac7">
          <item id="d4aa23ca57f64e2b6beead013081a440ee085631" isNormal="1">
            <s:text>
              <s:r>
                <s:t xml:space="preserve">Administrator:
4000050 9/2 176PCS华3B1
4000388 9/5 16pcs
华3B1</s:t>
              </s:r>
            </s:text>
          </item>
        </commentChain>
      </unresolved>
      <resolved/>
    </commentChains>
    <commentChains s:ref="AL366" rgbClr="FF0000">
      <unresolved>
        <commentChain chainId="d1f1f27364fe00241c63360dd290ac4a37010634">
          <item id="2010b2a9698e1ecd4c1cf67b31a9290a5a18c892" isNormal="1">
            <s:text>
              <s:r>
                <s:t xml:space="preserve">Administrator:
7/26 上电池警告语贴纸384pcs
UPC贴纸192pcs
8/11 上条码贴纸192pcs贴纸条码错需重新订购
8/26 上小警告语贴纸192pcs
</s:t>
              </s:r>
            </s:text>
          </item>
        </commentChain>
      </unresolved>
      <resolved/>
    </commentChains>
    <commentChains s:ref="AI367" rgbClr="FF0000">
      <unresolved>
        <commentChain chainId="6a4f67fb25f203b10c7113f0b69ec5dd842f227f">
          <item id="f72def6b83dfb9961fcfa6ea6febc879c97fb89d" isNormal="1">
            <s:text>
              <s:r>
                <s:t xml:space="preserve">Administrator:
4000064 9/1 1400PCS
华1F5
4000065 9/1 4200PCS
华1F5
4000112 9/1 4376PCS
华1F5
4000388 9/5 24pcs
华一F5</s:t>
              </s:r>
            </s:text>
          </item>
        </commentChain>
      </unresolved>
      <resolved/>
    </commentChains>
    <commentChains s:ref="AL367" rgbClr="FF0000">
      <unresolved>
        <commentChain chainId="f4d4b28d916fc3b2bf710e65b2bbf59feb460dba">
          <item id="32087eeedffc4ad3d2a91db2f6a1399d74af2458" isNormal="1">
            <s:text>
              <s:r>
                <s:t xml:space="preserve">Administrator:
8/3 上Event label贴纸2500pcs
8/26 上客供外箱条码贴纸2050pcs
</s:t>
              </s:r>
            </s:text>
          </item>
        </commentChain>
      </unresolved>
      <resolved/>
    </commentChains>
    <commentChains s:ref="BF367" rgbClr="FF0000">
      <unresolved>
        <commentChain chainId="15015aac771b7a6018d7feb61e3dac548667df0d">
          <item id="13c7f1f36b0e61c2bb02a73e0f51931275a7a9f4" isNormal="1">
            <s:text>
              <s:r>
                <s:t xml:space="preserve">RR:
新客版资料</s:t>
              </s:r>
            </s:text>
          </item>
        </commentChain>
      </unresolved>
      <resolved/>
    </commentChains>
    <commentChains s:ref="AI368" rgbClr="FF0000">
      <unresolved>
        <commentChain chainId="b6c84dec9bb02fc40855ce46a6542e264f6ed826">
          <item id="3a5a36f3646598e6de7cfbca26beaa7ac31c3367" isNormal="1">
            <s:text>
              <s:r>
                <s:t xml:space="preserve">Administrator:
2000343 9/1 500PCS 华3B7</s:t>
              </s:r>
            </s:text>
          </item>
        </commentChain>
      </unresolved>
      <resolved/>
    </commentChains>
    <commentChains s:ref="AL368" rgbClr="FF0000">
      <unresolved>
        <commentChain chainId="c74fc541c62ce2f4ae8a582d4f24e9404a7e535c">
          <item id="1bc36b4fafcf3d5153973b4eb991815a1fbd44f3" isNormal="1">
            <s:text>
              <s:r>
                <s:t xml:space="preserve">Administrator:
8/7 上客供RFID贴纸500pcs</s:t>
              </s:r>
            </s:text>
          </item>
        </commentChain>
      </unresolved>
      <resolved/>
    </commentChains>
    <commentChains s:ref="AI369" rgbClr="FF0000">
      <unresolved>
        <commentChain chainId="3d7c8ebcdbeb1a58481a54b9b387349e4d258517">
          <item id="a4a0ff95406091c06a68caf8955ea193635ba1fc" isNormal="1">
            <s:text>
              <s:r>
                <s:t xml:space="preserve">Administrator:
4000112 9/1 500pcs</s:t>
              </s:r>
            </s:text>
          </item>
        </commentChain>
      </unresolved>
      <resolved/>
    </commentChains>
    <commentChains s:ref="AL369" rgbClr="FF0000">
      <unresolved>
        <commentChain chainId="2407587fd7614c4f7849ac76fc3a74fd0d409a85">
          <item id="446878cee6f3e13fbb469c07ee59789878c500eb" isNormal="1">
            <s:text>
              <s:r>
                <s:t xml:space="preserve">Administrator:
8/7 上客供RFID贴纸500pcs
</s:t>
              </s:r>
            </s:text>
          </item>
        </commentChain>
      </unresolved>
      <resolved/>
    </commentChains>
    <commentChains s:ref="AI370" rgbClr="FF0000">
      <unresolved>
        <commentChain chainId="0e189df7b63c8228c932a6baeef15483cb7d1000">
          <item id="78733985c7d1be6686d8229d315551eca2da4f39" isNormal="1">
            <s:text>
              <s:r>
                <s:t xml:space="preserve">Administrator:
4000113 9/1 4976PCS 华3A23
4000388 9/5 24pcs
华3A23</s:t>
              </s:r>
            </s:text>
          </item>
        </commentChain>
      </unresolved>
      <resolved/>
    </commentChains>
    <commentChains s:ref="AL370" rgbClr="FF0000">
      <unresolved>
        <commentChain chainId="e8b672d6074b27242c1ece7b84c96b963e947762">
          <item id="6d3c95cc360a0b33f7a8b2806bf582873c834874" isNormal="1">
            <s:text>
              <s:r>
                <s:t xml:space="preserve">Administrator:
8/5 上WEEE电池通用30L说明书B版（带电池）
5000pcs原PO登记备注是74478
8/11 上WEEE电池通用30L说明书B版带电池走货说明书5000pcs</s:t>
              </s:r>
            </s:text>
          </item>
        </commentChain>
      </unresolved>
      <resolved/>
    </commentChains>
    <commentChains s:ref="AI371" rgbClr="FF0000">
      <unresolved>
        <commentChain chainId="b2bcbf86940e79d2ad7d061434fb2c371071babf">
          <item id="33e0f88a6ad30c8e011ae8e187cf75a5def96446" isNormal="1">
            <s:text>
              <s:r>
                <s:t xml:space="preserve">Administrator:
4000112 9/1 6048PCS 华3A19
4000113 9/1 944PCS 华3A19
4000388 9/5 192pcs
华3A19
3002580 9/5 16pcs华3A19</s:t>
              </s:r>
            </s:text>
          </item>
        </commentChain>
      </unresolved>
      <resolved/>
    </commentChains>
    <commentChains s:ref="AL371" rgbClr="FF0000">
      <unresolved>
        <commentChain chainId="079555b2edf6f7f55ee5238f3f9e40867950e836">
          <item id="7fe3fb13bdc5bf398e53bf52204764baf0d370ae" isNormal="1">
            <s:text>
              <s:r>
                <s:t xml:space="preserve">Administrator:
7/15 WEEE说明书欧洲EN+30L-B版"7200pcs</s:t>
              </s:r>
            </s:text>
          </item>
        </commentChain>
      </unresolved>
      <resolved/>
    </commentChains>
    <commentChains s:ref="AI372" rgbClr="FF0000">
      <unresolved>
        <commentChain chainId="af8f97c438b343be395fcd02689627b9281dbf18">
          <item id="63616c369412523a37159938b0890e3e13fe47f8" isNormal="1">
            <s:text>
              <s:r>
                <s:t xml:space="preserve">Administrator:
4000112 9/1 840PCS 华3B13</s:t>
              </s:r>
            </s:text>
          </item>
        </commentChain>
      </unresolved>
      <resolved/>
    </commentChains>
    <commentChains s:ref="AL372" rgbClr="FF0000">
      <unresolved>
        <commentChain chainId="565146195f1107163b705676e4e08020fc497579">
          <item id="e8c9123685cdee67ca6dc6d3fee73815d2838df7" isNormal="1">
            <s:text>
              <s:r>
                <s:t xml:space="preserve">Administrator:
8/3 上进口商贴纸840pcs</s:t>
              </s:r>
            </s:text>
          </item>
        </commentChain>
      </unresolved>
      <resolved/>
    </commentChains>
    <commentChains s:ref="AI373" rgbClr="FF0000">
      <unresolved>
        <commentChain chainId="486dc3d70358f97d0e14f0a872f37b54dabf7f53">
          <item id="74d6e44d15247cdbe9a470b5776f350262d627bf" isNormal="1">
            <s:text>
              <s:r>
                <s:t xml:space="preserve">Administrator:
2000346 9/3 234pcs
</s:t>
              </s:r>
            </s:text>
          </item>
        </commentChain>
      </unresolved>
      <resolved/>
    </commentChains>
    <commentChains s:ref="AL373" rgbClr="FF0000">
      <unresolved>
        <commentChain chainId="e63fac070c39841ab13dda1da2a6fcfd10b5bdf7">
          <item id="0837893a21ccb04e0cf52bc4b4c7131ba7a8094f" isNormal="1">
            <s:text>
              <s:r>
                <s:t xml:space="preserve">Administrator:
8/22 上KM单外箱贴纸39pcs
</s:t>
              </s:r>
            </s:text>
          </item>
        </commentChain>
      </unresolved>
      <resolved/>
    </commentChains>
    <commentChains s:ref="AI374" rgbClr="FF0000">
      <unresolved>
        <commentChain chainId="c7c3ee3fa7309a4c117ea63f344906633b6f75f4">
          <item id="7f3738ecd91064052245c8242000c00184da27d6" isNormal="1">
            <s:text>
              <s:r>
                <s:t xml:space="preserve">Administrator:
2000346 9/3 2166pcs
</s:t>
              </s:r>
            </s:text>
          </item>
        </commentChain>
      </unresolved>
      <resolved/>
    </commentChains>
    <commentChains s:ref="AL374" rgbClr="FF0000">
      <unresolved>
        <commentChain chainId="9721f044886350e1f22732973dcf69295630bb9b">
          <item id="a5ca66aa6d145bf40882bc807ab9da99286f98c6" isNormal="1">
            <s:text>
              <s:r>
                <s:t xml:space="preserve">Administrator:
8/22 上KM单外箱贴纸361pcs</s:t>
              </s:r>
            </s:text>
          </item>
        </commentChain>
      </unresolved>
      <resolved/>
    </commentChains>
    <commentChains s:ref="AI375" rgbClr="FF0000">
      <unresolved>
        <commentChain chainId="1f6e7b0998d2692f29298a4d4598483cb9ccad14">
          <item id="5545fec302d51fe5d5cc8a4db067a542ce621fef" isNormal="1">
            <s:text>
              <s:r>
                <s:t xml:space="preserve">Administrator:
4000017 9/3 1944pcs
4000388 9/5 48pcs华1F4</s:t>
              </s:r>
            </s:text>
          </item>
        </commentChain>
      </unresolved>
      <resolved/>
    </commentChains>
    <commentChains s:ref="AI376" rgbClr="FF0000">
      <unresolved>
        <commentChain chainId="63e579607e3593cbb272b9f358dc9cad0187256f">
          <item id="9cbb1c84c40f4f9edb6d42aea8b76477bde54954" isNormal="1">
            <s:text>
              <s:r>
                <s:t xml:space="preserve">Administrator:
4000051 9/3 560pcs</s:t>
              </s:r>
            </s:text>
          </item>
        </commentChain>
      </unresolved>
      <resolved/>
    </commentChains>
    <commentChains s:ref="AL376" rgbClr="FF0000">
      <unresolved>
        <commentChain chainId="2d5468c7a67e0955740d77e695e49f94aebbb460">
          <item id="a19001771f36a2e6ae8d8b4fa2377095763ebe12" isNormal="1">
            <s:text>
              <s:r>
                <s:t xml:space="preserve">Administrator:
8/13 上进口商贴纸560pcs</s:t>
              </s:r>
            </s:text>
          </item>
        </commentChain>
      </unresolved>
      <resolved/>
    </commentChains>
    <commentChains s:ref="AI377" rgbClr="FF0000">
      <unresolved>
        <commentChain chainId="4f355883f2bc9fa39963b99ac92417da82b1df46">
          <item id="5db91892992accabb1054026a7cf34457a1e4034" isNormal="1">
            <s:text>
              <s:r>
                <s:t xml:space="preserve">Administrator:
4001040 8/28 3520PCS
张泉
4001083 8/29 1880PCS
张泉</s:t>
              </s:r>
            </s:text>
          </item>
        </commentChain>
      </unresolved>
      <resolved/>
    </commentChains>
    <commentChains s:ref="AI379" rgbClr="FF0000">
      <unresolved>
        <commentChain chainId="841cf8ae7324522a9271d2bb3cdd19ad6c8618c3">
          <item id="c1eeed0367f0cdb8cd923f97e5f7f94943fab202" isNormal="1">
            <s:text>
              <s:r>
                <s:t xml:space="preserve">Administrator:
4001038 8/29 1920PCS
张泉
4001061 8/30 3480pcs张泉</s:t>
              </s:r>
            </s:text>
          </item>
        </commentChain>
      </unresolved>
      <resolved/>
    </commentChains>
    <commentChains s:ref="AI381" rgbClr="FF0000">
      <unresolved>
        <commentChain chainId="6e35a639257eb6ee782c8350b316a0adbc1bad7e">
          <item id="62b763504fe4926a0d1dbbeed8883424ef1f9fa5" isNormal="1">
            <s:text>
              <s:r>
                <s:t xml:space="preserve">Administrator:
4001061 8/30 2880pcs张泉
4001063 9/1 2520PCS</s:t>
              </s:r>
            </s:text>
          </item>
        </commentChain>
      </unresolved>
      <resolved/>
    </commentChains>
    <commentChains s:ref="AI383" rgbClr="FF0000">
      <unresolved>
        <commentChain chainId="4002966dca071cdf2b065d5a5f5a0c50a39cde02">
          <item id="09274d48269122a12a7f04a68a01f3e9761eb14f" isNormal="1">
            <s:text>
              <s:r>
                <s:t xml:space="preserve">Administrator:
4000050 9/2 2940PCS华一F5
4000388 9/5 4pcs
华一F4</s:t>
              </s:r>
            </s:text>
          </item>
        </commentChain>
      </unresolved>
      <resolved/>
    </commentChains>
    <commentChains s:ref="AL383" rgbClr="FF0000">
      <unresolved>
        <commentChain chainId="fe1927a339ae6bb9acca2c0a2d078d150774075e">
          <item id="18d15be5616ef27506245df38df83f2acd278fd7" isNormal="1">
            <s:text>
              <s:r>
                <s:t xml:space="preserve">Administrator:
8/18 上客供外箱条码贴纸743pcs
</s:t>
              </s:r>
            </s:text>
          </item>
        </commentChain>
      </unresolved>
      <resolved/>
    </commentChains>
    <commentChains s:ref="BF383" rgbClr="FF0000">
      <unresolved>
        <commentChain chainId="c6aaf7255c27020326acc9fadaa164e7ac3a8443">
          <item id="a15c27bb7abf85a5e679b98f8282011dcd00e163" isNormal="1">
            <s:text>
              <s:r>
                <s:t xml:space="preserve">RR:
新客版资料</s:t>
              </s:r>
            </s:text>
          </item>
        </commentChain>
      </unresolved>
      <resolved/>
    </commentChains>
    <commentChains s:ref="AI384" rgbClr="FF0000">
      <unresolved>
        <commentChain chainId="e11887a5222d2a5d8239fe67e845b4972d045fd1">
          <item id="12ba1d5e94d096b99efdc0f28f8f75ce27c445af" isNormal="1">
            <s:text>
              <s:r>
                <s:t xml:space="preserve">Administrator:
4000050 9/2 4608PCS
华一F5
4000388 9/5 24pcs
华一F5</s:t>
              </s:r>
            </s:text>
          </item>
        </commentChain>
      </unresolved>
      <resolved/>
    </commentChains>
    <commentChains s:ref="AL384" rgbClr="FF0000">
      <unresolved>
        <commentChain chainId="b3293b12166a68833c59641de063d2aacc65d931">
          <item id="1b1624d36eba816f0f3f620e91e9931352ff6819" isNormal="1">
            <s:text>
              <s:r>
                <s:t xml:space="preserve">Administrator:
8/26 上客供外箱条码贴纸1170pcs
</s:t>
              </s:r>
            </s:text>
          </item>
        </commentChain>
      </unresolved>
      <resolved/>
    </commentChains>
    <commentChains s:ref="BF384" rgbClr="FF0000">
      <unresolved>
        <commentChain chainId="b789958cbe29ce185514b2be0bf850b40b1141c1">
          <item id="d069eeafcf241b373c56bd9142814851cb9198ff" isNormal="1">
            <s:text>
              <s:r>
                <s:t xml:space="preserve">RR:
新客版资料</s:t>
              </s:r>
            </s:text>
          </item>
        </commentChain>
      </unresolved>
      <resolved/>
    </commentChains>
    <commentChains s:ref="AI385" rgbClr="FF0000">
      <unresolved>
        <commentChain chainId="24ebad87076dc80eaa241b306ca291707dc0cc08">
          <item id="0655219bbeb79e0fb96e662bea20dad4dc6afeec" isNormal="1">
            <s:text>
              <s:r>
                <s:t xml:space="preserve">Administrator:
4000112 9/1 500PCS
华3B13</s:t>
              </s:r>
            </s:text>
          </item>
        </commentChain>
      </unresolved>
      <resolved/>
    </commentChains>
    <commentChains s:ref="AL385" rgbClr="FF0000">
      <unresolved>
        <commentChain chainId="d0f5b4e04fa6a9c137614a8b3eb5af716d69a2e1">
          <item id="97cfc3f6ae6d5c1b135f8fbc6d8ea2386fb3db7c" isNormal="1">
            <s:text>
              <s:r>
                <s:t xml:space="preserve">Administrator:
8/7 上客供RFID贴纸500pcs
</s:t>
              </s:r>
            </s:text>
          </item>
        </commentChain>
      </unresolved>
      <resolved/>
    </commentChains>
    <commentChains s:ref="AI386" rgbClr="FF0000">
      <unresolved>
        <commentChain chainId="82d4a489371af6d3a66a078c2a4fab2f0353337d">
          <item id="953057770a371c0d46d6a151026e658b6fe57df0" isNormal="1">
            <s:text>
              <s:r>
                <s:t xml:space="preserve">Administrator:
2000346 9/3 500pcs</s:t>
              </s:r>
            </s:text>
          </item>
        </commentChain>
      </unresolved>
      <resolved/>
    </commentChains>
    <commentChains s:ref="AL386" rgbClr="FF0000">
      <unresolved>
        <commentChain chainId="6e27690173f7eb8685639dcbb1eba07aa4f1f087">
          <item id="fb772c199fb48cf81a72ab11ec462de7bb61d809" isNormal="1">
            <s:text>
              <s:r>
                <s:t xml:space="preserve">Administrator:
8/7 上客供RFID贴纸500pcs
</s:t>
              </s:r>
            </s:text>
          </item>
        </commentChain>
      </unresolved>
      <resolved/>
    </commentChains>
    <commentChains s:ref="AI387" rgbClr="FF0000">
      <unresolved>
        <commentChain chainId="cc9509f6ed89fb2d1016b543fc313265d30f22a1">
          <item id="718e3804a344ac64244ef17a453781394701c8fe" isNormal="1">
            <s:text>
              <s:r>
                <s:t xml:space="preserve">Administrator:
4000450 9/11 792pcs
华1F3
4000449 9/11 1284pcs华1F3
4000391 9/12 24pcs
华1F3</s:t>
              </s:r>
            </s:text>
          </item>
        </commentChain>
      </unresolved>
      <resolved/>
    </commentChains>
    <commentChains s:ref="AL387" rgbClr="FF0000">
      <unresolved>
        <commentChain chainId="6828e882f10070b4d4bf29e88ddacd3aaad62093">
          <item id="3ed78eee1eb24ccada6c7963481e3f574dc8bb9f" isNormal="1">
            <s:text>
              <s:r>
                <s:t xml:space="preserve">Administrator:
8/13 上价格贴纸3000pcs
两个同PO共用
8/21 上NJ客供外箱贴纸175pcs
NV 通用客供外箱贴纸175pcs</s:t>
              </s:r>
            </s:text>
          </item>
        </commentChain>
      </unresolved>
      <resolved/>
    </commentChains>
    <commentChains s:ref="AI388" rgbClr="FF0000">
      <unresolved>
        <commentChain chainId="304f4a26df9d8397f82f5766fd9d55e1e0f962b1">
          <item id="05e574ca1b553ee14431af4c9d1d4ca75a1998c3" isNormal="1">
            <s:text>
              <s:r>
                <s:t xml:space="preserve">Administrator:
4000449 9/11 900pcs
华1F3</s:t>
              </s:r>
            </s:text>
          </item>
        </commentChain>
      </unresolved>
      <resolved/>
    </commentChains>
    <commentChains s:ref="AL388" rgbClr="FF0000">
      <unresolved>
        <commentChain chainId="357d8331429184afcfcf20fc1afc06859c3c65a8">
          <item id="f3f389f9340e3674e1a9e1ac32491bbeefea72e2" isNormal="1">
            <s:text>
              <s:r>
                <s:t xml:space="preserve">Administrator:
8/21 上NJ客供外箱贴纸75pcs
NV 通用客供外箱贴纸75pcs
</s:t>
              </s:r>
            </s:text>
          </item>
        </commentChain>
      </unresolved>
      <resolved/>
    </commentChains>
    <commentChains s:ref="AI389" rgbClr="FF0000">
      <unresolved>
        <commentChain chainId="e7b5af61b401bae65112ccf11c2bf9fe5ffdbd2e">
          <item id="83cfc980e9310fff926398806cc3dfebcf079959" isNormal="1">
            <s:text>
              <s:r>
                <s:t xml:space="preserve">Administrator:
4000450 9/11 168pcs
华华3B14
4000391 9/12 24pcs
华兴</s:t>
              </s:r>
            </s:text>
          </item>
        </commentChain>
      </unresolved>
      <resolved/>
    </commentChains>
    <commentChains s:ref="AL389" rgbClr="FF0000">
      <unresolved>
        <commentChain chainId="11ff65e32a9f4059538288b37896d0b873df08d9">
          <item id="2c9310660c55a1421e5b8ee264172b8badab8e8e" isNormal="1">
            <s:text>
              <s:r>
                <s:t xml:space="preserve">Administrator:
8/18 上进口商贴纸180
UPC 贴纸180pcs
保证书180pcs
f</s:t>
              </s:r>
            </s:text>
          </item>
        </commentChain>
      </unresolved>
      <resolved/>
    </commentChains>
    <commentChains s:ref="AI390" rgbClr="FF0000">
      <unresolved>
        <commentChain chainId="a1973625bc39b7330b206038629c325ba86f2c21">
          <item id="f7a119bbb6ebf83774a5f1a1b6b515b9ea9a96b9" isNormal="1">
            <s:text>
              <s:r>
                <s:t xml:space="preserve">Administrator:
3000099 9/6 1560pcs</s:t>
              </s:r>
            </s:text>
          </item>
        </commentChain>
      </unresolved>
      <resolved/>
    </commentChains>
    <commentChains s:ref="AI392" rgbClr="FF0000">
      <unresolved>
        <commentChain chainId="c0090871428af057dc11828887e55cd8c8268429">
          <item id="22c15bf5f40e8e73831bf46408d41ab32df9da00" isNormal="1">
            <s:text>
              <s:r>
                <s:t xml:space="preserve">Administrator:
3000083 8/23 1200pcs
3000087 8/25 2720pcs
4001016 8/26 1480pcs</s:t>
              </s:r>
            </s:text>
          </item>
        </commentChain>
      </unresolved>
      <resolved/>
    </commentChains>
    <commentChains s:ref="AI394" rgbClr="FF0000">
      <unresolved>
        <commentChain chainId="13e1bfd7bb36dd5d7163a9fadb2fe5bc81994d28">
          <item id="7108c3ea865f42925bdb891e00518cc578dbf19f" isNormal="1">
            <s:text>
              <s:r>
                <s:t xml:space="preserve">Administrator:
4000051 9/3 504pcs
</s:t>
              </s:r>
            </s:text>
          </item>
        </commentChain>
      </unresolved>
      <resolved/>
    </commentChains>
    <commentChains s:ref="AL394" rgbClr="FF0000">
      <unresolved>
        <commentChain chainId="228a9918bbe59b9983c008854cbb0da88da19e40">
          <item id="82f017e2a634422fef2e5155220b43bc726e322f" isNormal="1">
            <s:text>
              <s:r>
                <s:t xml:space="preserve">Administrator:
8/13 上进口商贴纸504pcs
UPC贴纸504pcs</s:t>
              </s:r>
            </s:text>
          </item>
        </commentChain>
      </unresolved>
      <resolved/>
    </commentChains>
    <commentChains s:ref="AI395" rgbClr="FF0000">
      <unresolved>
        <commentChain chainId="0b02128f5927f28c0b79b5bc77223e9542501144">
          <item id="0c7b07a11302f91b91289dff1735d61503dfe465" isNormal="1">
            <s:text>
              <s:r>
                <s:t xml:space="preserve">Administrator:
2000389 9/10 7000pcs华1F5</s:t>
              </s:r>
            </s:text>
          </item>
        </commentChain>
      </unresolved>
      <resolved/>
    </commentChains>
    <commentChains s:ref="AL395" rgbClr="FF0000">
      <unresolved>
        <commentChain chainId="1f5a1cca8a7486b76ed382b9186fa6ac5dc0709e">
          <item id="0a6d57d15168790b94ed80e1526f8b8ce2f5881c" isNormal="1">
            <s:text>
              <s:r>
                <s:t xml:space="preserve">Administrator:
8/26 上客供外箱条码贴纸1768pcs
</s:t>
              </s:r>
            </s:text>
          </item>
        </commentChain>
      </unresolved>
      <resolved/>
    </commentChains>
    <commentChains s:ref="BF395" rgbClr="FF0000">
      <unresolved>
        <commentChain chainId="db3dca9635204617f3a8725cc7da5b676da5d4eb">
          <item id="681801d29e12fb011e56f37b1c55c652f625c879" isNormal="1">
            <s:text>
              <s:r>
                <s:t xml:space="preserve">RR:
新客版资料</s:t>
              </s:r>
            </s:text>
          </item>
        </commentChain>
      </unresolved>
      <resolved/>
    </commentChains>
    <commentChains s:ref="AI396" rgbClr="FF0000">
      <unresolved>
        <commentChain chainId="39209262d2ad0f25bf3e6e6748b6414cd871be4d">
          <item id="726cf696158aec4126e5b0d7189ea4ee2b01ccee" isNormal="1">
            <s:text>
              <s:r>
                <s:t xml:space="preserve">Administrator:
2000372 9/11 402pcs莫4B4</s:t>
              </s:r>
            </s:text>
          </item>
        </commentChain>
      </unresolved>
      <resolved/>
    </commentChains>
    <commentChains s:ref="AL396" rgbClr="FF0000">
      <unresolved>
        <commentChain chainId="b0260cbce4da8f866bdc17d263c012b698fad5d1">
          <item id="ed6818ba0bf4f23735f0585c964435defffe9820" isNormal="1">
            <s:text>
              <s:r>
                <s:t xml:space="preserve">Administrator:
9/3 上3C贴纸402pcs</s:t>
              </s:r>
            </s:text>
          </item>
        </commentChain>
      </unresolved>
      <resolved/>
    </commentChains>
    <commentChains s:ref="AI397" rgbClr="FF0000">
      <unresolved>
        <commentChain chainId="ab95faba0cabc1d9d350d5efd768c20a8cf00fb1">
          <item id="93f4478c5592a4f507916ce88c41ef5542de782e" isNormal="1">
            <s:text>
              <s:r>
                <s:t xml:space="preserve">Administrator:
3000100 9/8 1320pcs
3000099 9/6 4080pcs</s:t>
              </s:r>
            </s:text>
          </item>
        </commentChain>
      </unresolved>
      <resolved/>
    </commentChains>
    <commentChains s:ref="AI399" rgbClr="FF0000">
      <unresolved>
        <commentChain chainId="7b504c6202beeca6e78ae25eaa46f2910fd670f2">
          <item id="3394e0c1346ec1ccb91b8a45a95990ac003fdbbd" isNormal="1">
            <s:text>
              <s:r>
                <s:t xml:space="preserve">Administrator:
3000100 9/8 5400pcs</s:t>
              </s:r>
            </s:text>
          </item>
        </commentChain>
      </unresolved>
      <resolved/>
    </commentChains>
    <commentChains s:ref="AI401" rgbClr="FF0000">
      <unresolved>
        <commentChain chainId="d224e07eefdc8e6f94055f05947a616a27d24921">
          <item id="4671596d5406d81ea923205c0353958b8d94ec1d" isNormal="1">
            <s:text>
              <s:r>
                <s:t xml:space="preserve">Administrator:
3000103 9/8 960pcs
2000373 9/11 2970pcs
2000375 9/12 1470pcs</s:t>
              </s:r>
            </s:text>
          </item>
        </commentChain>
      </unresolved>
      <resolved/>
    </commentChains>
    <commentChains s:ref="AI403" rgbClr="FF0000">
      <unresolved>
        <commentChain chainId="670c6709881e5f1eafbc3a1c11aa5d564d623f94">
          <item id="d1e9d977e804a141ddd997ca058cea80151934c6" isNormal="1">
            <s:text>
              <s:r>
                <s:t xml:space="preserve">Administrator:
2000375 9/12 5100pcs
2000377 9/13 300pcs</s:t>
              </s:r>
            </s:text>
          </item>
        </commentChain>
      </unresolved>
      <resolved/>
    </commentChains>
    <commentChains s:ref="AI405" rgbClr="FF0000">
      <unresolved>
        <commentChain chainId="7c2455799016581f6c9bf9e9da2a8943a0e584d4">
          <item id="15f7c701d15c503561357b5a08c587c07420d0d1" isNormal="1">
            <s:text>
              <s:r>
                <s:t xml:space="preserve">Administrator:
4000450 9/11 4976pcs
华1F11
4000391 9/12 24pcs
华1F11</s:t>
              </s:r>
            </s:text>
          </item>
        </commentChain>
      </unresolved>
      <resolved/>
    </commentChains>
    <commentChains s:ref="AL405" rgbClr="FF0000">
      <unresolved>
        <commentChain chainId="3aca72bb7ad1c47d390053513a2096c37be26b81">
          <item id="a51dfda38625c30cf2ad27d5ec95832a9ae24fa0" isNormal="1">
            <s:text>
              <s:r>
                <s:t xml:space="preserve">Administrator:
9/2 客供外箱条码贴纸 1263pcs
</s:t>
              </s:r>
            </s:text>
          </item>
        </commentChain>
      </unresolved>
      <resolved/>
    </commentChains>
    <commentChains s:ref="BF405" rgbClr="FF0000">
      <unresolved>
        <commentChain chainId="20b0076e03c1ae9c1612727677f04018c41c84de">
          <item id="32eac75355ba46426b7531ea64301ad4355a74db" isNormal="1">
            <s:text>
              <s:r>
                <s:t xml:space="preserve">RR:
新客版资料</s:t>
              </s:r>
            </s:text>
          </item>
        </commentChain>
      </unresolved>
      <resolved/>
    </commentChains>
    <commentChains s:ref="AI406" rgbClr="FF0000">
      <unresolved>
        <commentChain chainId="7b17d438ada94701e33e4da7472fe57e3a2abab0">
          <item id="f903da49acf7ec0022e94988c9f44df53f0f5854" isNormal="1">
            <s:text>
              <s:r>
                <s:t xml:space="preserve">Administrator:
4000423 9/11 880pcs莫4A6
4000391 9/12 32pcs
莫4A6</s:t>
              </s:r>
            </s:text>
          </item>
        </commentChain>
      </unresolved>
      <resolved/>
    </commentChains>
    <commentChains s:ref="AL406" rgbClr="FF0000">
      <unresolved>
        <commentChain chainId="b2f1c356870f65847c555fd28fcc80f044a7913a">
          <item id="64e5580c6fda716f6eecb6572ed0d10b1fd57b62" isNormal="1">
            <s:text>
              <s:r>
                <s:t xml:space="preserve">Administrator:
8/27 客版可移动价格贴纸 912pcs</s:t>
              </s:r>
            </s:text>
          </item>
        </commentChain>
      </unresolved>
      <resolved/>
    </commentChains>
    <commentChains s:ref="AI407" rgbClr="FF0000">
      <unresolved>
        <commentChain chainId="d50d19abd2ced864308415ae6af126596a9abe20">
          <item id="9987f59abfeac823f7b93439602aab669bfe4019" isNormal="1">
            <s:text>
              <s:r>
                <s:t xml:space="preserve">Administrator:
4000450 9/11 2520pcs
华1F11
4000423 9/11 1448pcs华F11
4000391 9/12 32pcs
华1F11</s:t>
              </s:r>
            </s:text>
          </item>
        </commentChain>
      </unresolved>
      <resolved/>
    </commentChains>
    <commentChains s:ref="AL407" rgbClr="FF0000">
      <unresolved>
        <commentChain chainId="390f36e3fff8cef479497b5f291b304b2cb5d129">
          <item id="29927472d8af440e1084189d628ada698a0e1976" isNormal="1">
            <s:text>
              <s:r>
                <s:t xml:space="preserve">Administrator:
</s:t>
              </s:r>
            </s:text>
          </item>
        </commentChain>
      </unresolved>
      <resolved/>
    </commentChains>
    <commentChains s:ref="AI408" rgbClr="FF0000">
      <unresolved>
        <commentChain chainId="b37e19c679bd9849bc52a850c5a41b0acd54c010">
          <item id="0e44eb6174dfa5f3c7ffe624e0bd8de01cfeb4c3" isNormal="1">
            <s:text>
              <s:r>
                <s:t xml:space="preserve">Administrator:
4000423 9/11 1328pcs莫4C8
4000391 9/12 24pcs莫4C8</s:t>
              </s:r>
            </s:text>
          </item>
        </commentChain>
      </unresolved>
      <resolved/>
    </commentChains>
    <commentChains s:ref="AL408" rgbClr="FF0000">
      <unresolved>
        <commentChain chainId="f948a9e241339d716c22344d7de3b2edafd7d707">
          <item id="3b8761599fbae1360a9fb89e3922aeb39501cfad" isNormal="1">
            <s:text>
              <s:r>
                <s:t xml:space="preserve">Administrator:
8/18 上Kinderherz 2025 Logo贴纸1352pcs
WEEE带电池走货欧洲 30 语通用黑白说明书1352pcs
</s:t>
              </s:r>
            </s:text>
          </item>
        </commentChain>
      </unresolved>
      <resolved/>
    </commentChains>
    <commentChains s:ref="AI409" rgbClr="FF0000">
      <unresolved>
        <commentChain chainId="77921606527831e20edc2a05c4e9eae15d75879f">
          <item id="be89c654d5b8c7596368e2a776266a1df5376929" isNormal="1">
            <s:text>
              <s:r>
                <s:t xml:space="preserve">Administrator:
4000423 9/11 576pcs莫4B8
4000391 9/12 32pcs
莫4B8</s:t>
              </s:r>
            </s:text>
          </item>
        </commentChain>
      </unresolved>
      <resolved/>
    </commentChains>
    <commentChains s:ref="AL409" rgbClr="FF0000">
      <unresolved>
        <commentChain chainId="3d7f98b83588f8c6c3fe1920f09a60908d05ba37">
          <item id="d36aa58835d446c3cecc2b2be7c5d4e47a2d79e6" isNormal="1">
            <s:text>
              <s:r>
                <s:t xml:space="preserve">Administrator:
8/5 上UPC贴纸800pcs两个同PO共用
9/8 上小电池警告语贴纸800pcs
包装说明书电池警告语贴纸1600pcs
两个同PO共用</s:t>
              </s:r>
            </s:text>
          </item>
        </commentChain>
      </unresolved>
      <resolved/>
    </commentChains>
    <commentChains s:ref="AI410" rgbClr="FF0000">
      <unresolved>
        <commentChain chainId="5374569de04f5ced242a9cbd897dec33a1f4c065">
          <item id="cbaa2b58a7d9679d9fbb4ade874725118df00b9f" isNormal="1">
            <s:text>
              <s:r>
                <s:t xml:space="preserve">Administrator:
4000423 9/11 176pcs莫4C7
4000391 9/12 16pcs
莫4C7</s:t>
              </s:r>
            </s:text>
          </item>
        </commentChain>
      </unresolved>
      <resolved/>
    </commentChains>
    <commentChains s:ref="AI411" rgbClr="FF0000">
      <unresolved>
        <commentChain chainId="4afd7701978b6b3131df941facf1382541363fd6">
          <item id="947c501dfb77a807e8897f62ad5cb8e2c73b3708" isNormal="1">
            <s:text>
              <s:r>
                <s:t xml:space="preserve">Administrator:
4000391 9/12 4pcs华1F4
4000424 9/12 496pcs
华1F4</s:t>
              </s:r>
            </s:text>
          </item>
        </commentChain>
      </unresolved>
      <resolved/>
    </commentChains>
    <commentChains s:ref="AL411" rgbClr="FF0000">
      <unresolved>
        <commentChain chainId="8355cf1939b195228dda43e3597a82e52c6b3df5">
          <item id="e4cf2dd9a78a3be555d980e6768885cf76030db7" isNormal="1">
            <s:text>
              <s:r>
                <s:t xml:space="preserve">Administrator:
8/18 上客供RFID贴纸500pcs
</s:t>
              </s:r>
            </s:text>
          </item>
        </commentChain>
      </unresolved>
      <resolved/>
    </commentChains>
    <commentChains s:ref="AI412" rgbClr="FF0000">
      <unresolved>
        <commentChain chainId="9cdc96c790b67591b502a455f8eaf68c6d1e7af4">
          <item id="fd7073cb3022a4326b54b390b4cda0cad4b0d2a7" isNormal="1">
            <s:text>
              <s:r>
                <s:t xml:space="preserve">Administrator:
4000391 9/12 12pcs华1F4
4000424 9/12 488pcs
华1F4</s:t>
              </s:r>
            </s:text>
          </item>
        </commentChain>
      </unresolved>
      <resolved/>
    </commentChains>
    <commentChains s:ref="AL412" rgbClr="FF0000">
      <unresolved>
        <commentChain chainId="be95a46093add2aaeeb033655916872857bca08a">
          <item id="d4ad49ce35eeb2ddf9be252e779b66e388e87117" isNormal="1">
            <s:text>
              <s:r>
                <s:t xml:space="preserve">Administrator:
8/18 上客供RFID贴纸500pcs</s:t>
              </s:r>
            </s:text>
          </item>
        </commentChain>
      </unresolved>
      <resolved/>
    </commentChains>
    <commentChains s:ref="AI413" rgbClr="FF0000">
      <unresolved>
        <commentChain chainId="5185e54ad84c60f70af92c930abc371ea1623821">
          <item id="8a48d875e49866ed712ae1b0d6b0cb49bd55064d" isNormal="1">
            <s:text>
              <s:r>
                <s:t xml:space="preserve">Administrator:
4000391 9/12 8pcs
华1F4
4000424 9/12 492pcs
华1F4</s:t>
              </s:r>
            </s:text>
          </item>
        </commentChain>
      </unresolved>
      <resolved/>
    </commentChains>
    <commentChains s:ref="AL413" rgbClr="FF0000">
      <unresolved>
        <commentChain chainId="a36491a27425005f0e6d1f87b3831df631689c24">
          <item id="625778aa91e68b42a3023fc4e2d2c5c58c3df716" isNormal="1">
            <s:text>
              <s:r>
                <s:t xml:space="preserve">Administrator:
8/18 上客供RFID贴纸500pcs</s:t>
              </s:r>
            </s:text>
          </item>
        </commentChain>
      </unresolved>
      <resolved/>
    </commentChains>
    <commentChains s:ref="AI414" rgbClr="FF0000">
      <unresolved>
        <commentChain chainId="cfa8bc7681fab4dff8373523cd365c5b90ba6a52">
          <item id="70d88c2381750b1b2e2e492974b2af92edb1fd7d" isNormal="1">
            <s:text>
              <s:r>
                <s:t xml:space="preserve">Administrator:
4000914 9/18 4320pcs华1F12
4000923 9/20 24pcs
华一F12
4000920 9/19 5656pcs华一F12</s:t>
              </s:r>
            </s:text>
          </item>
        </commentChain>
      </unresolved>
      <resolved/>
    </commentChains>
    <commentChains s:ref="AL414" rgbClr="FF0000">
      <unresolved>
        <commentChain chainId="6c75fc8a46a7b95ae39e48c22651b76dcabc0ed7">
          <item id="716aba9ec3164db927469654e322a61654da1bec" isNormal="1">
            <s:text>
              <s:r>
                <s:t xml:space="preserve">Administrator:
9/2 客供外箱条码贴纸 2525pcs
</s:t>
              </s:r>
            </s:text>
          </item>
        </commentChain>
      </unresolved>
      <resolved/>
    </commentChains>
    <commentChains s:ref="BF414" rgbClr="FF0000">
      <unresolved>
        <commentChain chainId="fa9c30f25e2d65af908ac82c32966dd3579fd19c">
          <item id="be30b394ae698f85929e1855030ef0bb60a02bf7" isNormal="1">
            <s:text>
              <s:r>
                <s:t xml:space="preserve">RR:
新客版资料</s:t>
              </s:r>
            </s:text>
          </item>
        </commentChain>
      </unresolved>
      <resolved/>
    </commentChains>
    <commentChains s:ref="AI415" rgbClr="FF0000">
      <unresolved>
        <commentChain chainId="b9b349b762a58889be7c2770c5307fe87694be99">
          <item id="90399ae0ddbec6a40e3744e9b8871af60a68d5ef" isNormal="1">
            <s:text>
              <s:r>
                <s:t xml:space="preserve">Administrator:
4000910 9/17 6000pcs华1F5</s:t>
              </s:r>
            </s:text>
          </item>
        </commentChain>
      </unresolved>
      <resolved/>
    </commentChains>
    <commentChains s:ref="AI416" rgbClr="FF0000">
      <unresolved>
        <commentChain chainId="f087906b72772919c64d827300df7ea91ea0a0bd">
          <item id="984f418a7ebc6e73a5f720424e3426c2d9bfccc8" isNormal="1">
            <s:text>
              <s:r>
                <s:t xml:space="preserve">Administrator:
4000908 9/17 8000pcs华一F5</s:t>
              </s:r>
            </s:text>
          </item>
        </commentChain>
      </unresolved>
      <resolved/>
    </commentChains>
    <commentChains s:ref="AI417" rgbClr="FF0000">
      <unresolved>
        <commentChain chainId="d75e90f324598d3c7c766ce981fd559f83dbab30">
          <item id="b8234ea7d20fd27b44a8c4adf5f60669d9cf1236" isNormal="1">
            <s:text>
              <s:r>
                <s:t xml:space="preserve">Administrator:
4000910 9/17 1648pcs
华3B8</s:t>
              </s:r>
            </s:text>
          </item>
        </commentChain>
      </unresolved>
      <resolved/>
    </commentChains>
    <commentChains s:ref="AL417" rgbClr="FF0000">
      <unresolved>
        <commentChain chainId="f3479d585020c028f3b76f16907d2c01d881a65e">
          <item id="b4b654ac0f07ebdcc3710ce32801fd475f49198e" isNormal="1">
            <s:text>
              <s:r>
                <s:t xml:space="preserve">Administrator:
8/18 上Kinderherz 2025 Logo贴纸1648pcs
WEEE带电池走货欧洲 30 语通用黑白说明书1648pcs</s:t>
              </s:r>
            </s:text>
          </item>
        </commentChain>
      </unresolved>
      <resolved/>
    </commentChains>
    <commentChains s:ref="AI418" rgbClr="FF0000">
      <unresolved>
        <commentChain chainId="910ce72c0ce21b2c4083c40b6fe47ce99efe09d7">
          <item id="6def6bb5a690be233dfaf514acc014f14bc03a99" isNormal="1">
            <s:text>
              <s:r>
                <s:t xml:space="preserve">Administrator:
4000918 9/18 960pcs华1F5</s:t>
              </s:r>
            </s:text>
          </item>
        </commentChain>
      </unresolved>
      <resolved/>
    </commentChains>
    <commentChains s:ref="AL418" rgbClr="FF0000">
      <unresolved>
        <commentChain chainId="56db0e4c3cb3d318740b215bf6d1119ffa215151">
          <item id="d0c287441a2185d01572c97973ca77fd12db5fe3" isNormal="1">
            <s:text>
              <s:r>
                <s:t xml:space="preserve">Administrator:
8/28 进口商贴纸 1120pcs
WEEE带电池走货欧洲30语通用黑白说明书
1380pcs</s:t>
              </s:r>
            </s:text>
          </item>
        </commentChain>
      </unresolved>
      <resolved/>
    </commentChains>
    <commentChains s:ref="AI419" rgbClr="FF0000">
      <unresolved>
        <commentChain chainId="44dea26f642cc6d7f85020e522819b0fffdb9008">
          <item id="5b48537a99ec3f42073c481582c07e0a608728e4" isNormal="1">
            <s:text>
              <s:r>
                <s:t xml:space="preserve">Administrator:
4000923 9/20 420pcs
华3B14</s:t>
              </s:r>
            </s:text>
          </item>
        </commentChain>
      </unresolved>
      <resolved/>
    </commentChains>
    <commentChains s:ref="AL419" rgbClr="FF0000">
      <unresolved>
        <commentChain chainId="e5743c9a127edec26ae02dedd0a0da2bccb034ba">
          <item id="28f901020bc810fca890136132dd84d2368a8062" isNormal="1">
            <s:text>
              <s:r>
                <s:t xml:space="preserve">Administrator:
8/28 空白贴纸 420pcs</s:t>
              </s:r>
            </s:text>
          </item>
        </commentChain>
      </unresolved>
      <resolved/>
    </commentChains>
    <commentChains s:ref="AI420" rgbClr="FF0000">
      <unresolved>
        <commentChain chainId="28e7a8c289f13fe652dcb0eeb9399b0cc9c8974a">
          <item id="564b2958812895ef7479f308ff78110339a9441f" isNormal="1">
            <s:text>
              <s:r>
                <s:t xml:space="preserve">Administrator:
4000918 9/18 304pcs华1F3</s:t>
              </s:r>
            </s:text>
          </item>
        </commentChain>
      </unresolved>
      <resolved/>
    </commentChains>
    <commentChains s:ref="AI421" rgbClr="FF0000">
      <unresolved>
        <commentChain chainId="4d4c2439f94e99b8d88a5fac5e920e00609644fa">
          <item id="fbf34cefe937a99e9a7053f539114a11d687bdea" isNormal="1">
            <s:text>
              <s:r>
                <s:t xml:space="preserve">Administrator:
4000918 9/18 304pcs华1F4
</s:t>
              </s:r>
            </s:text>
          </item>
        </commentChain>
      </unresolved>
      <resolved/>
    </commentChains>
    <commentChains s:ref="AI422" rgbClr="FF0000">
      <unresolved>
        <commentChain chainId="28dcc326856147d8589e492bb74a5cbefd605970">
          <item id="bfcc76b35db98ddc2a30888ee818191a9c7a6842" isNormal="1">
            <s:text>
              <s:r>
                <s:t xml:space="preserve">Administrator:
4000923 9/20 1808pcs华一F3</s:t>
              </s:r>
            </s:text>
          </item>
        </commentChain>
      </unresolved>
      <resolved/>
    </commentChains>
    <commentChains s:ref="AI423" rgbClr="FF0000">
      <unresolved>
        <commentChain chainId="0562442f75b8697cefb0e7560035b81307b27242">
          <item id="a0ed3d7924d8ccb394e27716dd1a994a8c958834" isNormal="1">
            <s:text>
              <s:r>
                <s:t xml:space="preserve">Administrator:
4000910 9/17 1400pcs
华3A29</s:t>
              </s:r>
            </s:text>
          </item>
        </commentChain>
      </unresolved>
      <resolved/>
    </commentChains>
    <commentChains s:ref="AI424" rgbClr="FF0000">
      <unresolved>
        <commentChain chainId="e02e56d6ce7cd9873e5afd220ccb0c338089663c">
          <item id="c0945641ec2ea716d70eb4239c7f0cccb8b86138" isNormal="1">
            <s:text>
              <s:r>
                <s:t xml:space="preserve">Administrator:
4000303 9/20 9360pcs华一A5
5000301 9/19 10640pcs华一A5</s:t>
              </s:r>
            </s:text>
          </item>
        </commentChain>
      </unresolved>
      <resolved/>
    </commentChains>
    <commentChains s:ref="AL424" rgbClr="FF0000">
      <unresolved>
        <commentChain chainId="23dd3475121d0a318936eda2e489098a99fdc4d7">
          <item id="a3beefc6906e182003443d85d7c592bca4a5a49b" isNormal="1">
            <s:text>
              <s:r>
                <s:t xml:space="preserve">Administrator:
9/2 客供外箱条码贴纸 5050pcs
</s:t>
              </s:r>
            </s:text>
          </item>
        </commentChain>
      </unresolved>
      <resolved/>
    </commentChains>
    <commentChains s:ref="BF424" rgbClr="FF0000">
      <unresolved>
        <commentChain chainId="e690bea8dddf4411a6167c3763941dc917d60b6d">
          <item id="fc9dfbad8dcc287eb6809a4471a9c7525d49ef65" isNormal="1">
            <s:text>
              <s:r>
                <s:t xml:space="preserve">RR:
新客版资料</s:t>
              </s:r>
            </s:text>
          </item>
        </commentChain>
      </unresolved>
      <resolved/>
    </commentChains>
    <commentChains s:ref="AI425" rgbClr="FF0000">
      <unresolved>
        <commentChain chainId="f84882e377359e3d7037ccd98657686ea2d85d11">
          <item id="90dfca10dc04583a6735e39f5355e93b45458d53" isNormal="1">
            <s:text>
              <s:r>
                <s:t xml:space="preserve">Administrator:
4000923 9/20 282pcs
华3B8
4000930 9/22 18pcs华兴3B8</s:t>
              </s:r>
            </s:text>
          </item>
        </commentChain>
      </unresolved>
      <resolved/>
    </commentChains>
    <commentChains s:ref="AL425" rgbClr="FF0000">
      <unresolved>
        <commentChain chainId="3f3b9a90b49fb678db662bc2e7d9c42e3d498d39">
          <item id="9f97fcc0cffa5a281ad99587efe5b0324046fbbd" isNormal="1">
            <s:text>
              <s:r>
                <s:t xml:space="preserve">Administrator:
8/8 上客供电池警告语贴纸624
客供中文警告语贴纸624pcs</s:t>
              </s:r>
            </s:text>
          </item>
        </commentChain>
      </unresolved>
      <resolved/>
    </commentChains>
    <commentChains s:ref="AI426" rgbClr="FF0000">
      <unresolved>
        <commentChain chainId="17909811ed6ecc4b8b602f46ec4f25ec7c96c737">
          <item id="d232ecb47647fe4887d9cffc0bae24b9746bae14" isNormal="1">
            <s:text>
              <s:r>
                <s:t xml:space="preserve">Administrator:
4000923 9/20 2576pcs华3A23
4000921 9/19 5760pcs华3A23</s:t>
              </s:r>
            </s:text>
          </item>
        </commentChain>
      </unresolved>
      <resolved/>
    </commentChains>
    <commentChains s:ref="AL426" rgbClr="FF0000">
      <unresolved>
        <commentChain chainId="87b81cc6ffb810a5817115eaaf140398e164f6e3">
          <item id="e7d23f9c6ac9668480e35b4fb6a560e69381d8ca" isNormal="1">
            <s:text>
              <s:r>
                <s:t xml:space="preserve">Administrator:
7/26 上WEEE声明带电池走货欧洲 30 语通用黑白说明书B版8336pcs
7/26 上进口商贴纸8336pcs</s:t>
              </s:r>
            </s:text>
          </item>
        </commentChain>
      </unresolved>
      <resolved/>
    </commentChains>
    <commentChains s:ref="AI427" rgbClr="FF0000">
      <unresolved>
        <commentChain chainId="5840b83db99beb51c3d40fde6d05aaedce4799fc">
          <item id="daa55be1a31ba5f4dc65fcca9e401be515534d7d" isNormal="1">
            <s:text>
              <s:r>
                <s:t xml:space="preserve">Administrator:
4000933 9/24 1368pcs
华一F5</s:t>
              </s:r>
            </s:text>
          </item>
        </commentChain>
      </unresolved>
      <resolved/>
    </commentChains>
    <commentChains s:ref="AL427" rgbClr="FF0000">
      <unresolved>
        <commentChain chainId="762f7431dadf9ba8a1de83b7690b2460a969fa42">
          <item id="df32fa3f669ae452a47d88707706a73143d561c5" isNormal="1">
            <s:text>
              <s:r>
                <s:t xml:space="preserve">Administrator:
8/5 上3C贴纸1608pcs
两个同PO共用
9/18 上3C贴纸1368pcs</s:t>
              </s:r>
            </s:text>
          </item>
        </commentChain>
      </unresolved>
      <resolved/>
    </commentChains>
    <commentChains s:ref="AI428" rgbClr="FF0000">
      <unresolved>
        <commentChain chainId="97785818f8f18a7569f4f1eb9a8f1414c9ab85b3">
          <item id="d9659dc6e7ddf6835998a3c614a4ed5f0e574939" isNormal="1">
            <s:text>
              <s:r>
                <s:t xml:space="preserve">Administrator:
4000933 9/24 240pcs
华一F5</s:t>
              </s:r>
            </s:text>
          </item>
        </commentChain>
      </unresolved>
      <resolved/>
    </commentChains>
    <commentChains s:ref="AL428" rgbClr="FF0000">
      <unresolved>
        <commentChain chainId="7e7ab855eeec33c8d4f1c31ba0742c441412616d">
          <item id="62e7225953a60815255cb83e62d92eadbca330d9" isNormal="1">
            <s:text>
              <s:r>
                <s:t xml:space="preserve">Administrator:
9/18 上3C贴纸240pcs
</s:t>
              </s:r>
            </s:text>
          </item>
        </commentChain>
      </unresolved>
      <resolved/>
    </commentChains>
    <commentChains s:ref="AI429" rgbClr="FF0000">
      <unresolved>
        <commentChain chainId="adf54e9f18e13ee2fafdee2500bb9d4330ba6e73">
          <item id="cb7354a8393c749786882b7f3664e39831212632" isNormal="1">
            <s:text>
              <s:r>
                <s:t xml:space="preserve">Administrator:
5000327 9/24 544pcs华3A14</s:t>
              </s:r>
            </s:text>
          </item>
        </commentChain>
      </unresolved>
      <resolved/>
    </commentChains>
    <commentChains s:ref="AL429" rgbClr="FF0000">
      <unresolved>
        <commentChain chainId="1950efd14bb28470fb29a48b17ba3245af5b52c6">
          <item id="0bf88866d2f83df80a64c673831d957cab7ce045" isNormal="1">
            <s:text>
              <s:r>
                <s:t xml:space="preserve">Administrator:
8/18 上客供RFID贴纸544pcs</s:t>
              </s:r>
            </s:text>
          </item>
        </commentChain>
      </unresolved>
      <resolved/>
    </commentChains>
    <commentChains s:ref="AI430" rgbClr="FF0000">
      <unresolved>
        <commentChain chainId="6711c5ad4838748f251927de5b8185c8264dd20d">
          <item id="0ed5897b6df77e9f028df7e6c39fea4179ba3d2b" isNormal="1">
            <s:text>
              <s:r>
                <s:t xml:space="preserve">Administrator:
5000327 9/24 760pcs
华3A14</s:t>
              </s:r>
            </s:text>
          </item>
        </commentChain>
      </unresolved>
      <resolved/>
    </commentChains>
    <commentChains s:ref="AL430" rgbClr="FF0000">
      <unresolved>
        <commentChain chainId="8edc5e96fd7ded434626c4fa96b2a13823d60f6b">
          <item id="568abbbf4ca3ee7aa70c9ffbd4dd7d9c10697e6f" isNormal="1">
            <s:text>
              <s:r>
                <s:t xml:space="preserve">Administrator:
8/18 上客供RFID贴纸760pcs</s:t>
              </s:r>
            </s:text>
          </item>
        </commentChain>
      </unresolved>
      <resolved/>
    </commentChains>
    <commentChains s:ref="AI431" rgbClr="FF0000">
      <unresolved>
        <commentChain chainId="9d150ddbde9c53552eb1b18950b748edd665e31b">
          <item id="239ef0e57872d263fbd2747804fc5b83934d9e7a" isNormal="1">
            <s:text>
              <s:r>
                <s:t xml:space="preserve">Administrator:
4000933 9/24 3000pcs
华一F5</s:t>
              </s:r>
            </s:text>
          </item>
        </commentChain>
      </unresolved>
      <resolved/>
    </commentChains>
    <commentChains s:ref="AL431" rgbClr="FF0000">
      <unresolved>
        <commentChain chainId="149dd821e3cfd839fa561efeb8bd1448e10fec18">
          <item id="7d9a22cde0df864fc22c26bbcce2c4e81ec74399" isNormal="1">
            <s:text>
              <s:r>
                <s:t xml:space="preserve">Administrator:
9/5 客供外箱条码贴纸 758pcs</s:t>
              </s:r>
            </s:text>
          </item>
        </commentChain>
      </unresolved>
      <resolved/>
    </commentChains>
    <commentChains s:ref="AI432" rgbClr="FF0000">
      <unresolved>
        <commentChain chainId="4fb43c976952e9668d3f3ee4d00e715dc11b724f">
          <item id="a6376f7435f6f2e8244dac81e5c56c792abb8721" isNormal="1">
            <s:text>
              <s:r>
                <s:t xml:space="preserve">Administrator:
5000354 9/25 5856pcs
华一F11
5000370 9/26 128pcs
华一F11</s:t>
              </s:r>
            </s:text>
          </item>
        </commentChain>
      </unresolved>
      <resolved/>
    </commentChains>
    <commentChains s:ref="AL432" rgbClr="FF0000">
      <unresolved>
        <commentChain chainId="7aaa23548f0238c07c5d9d25b0be4df8c3043985">
          <item id="05ad1bfc7fa74c9dcf7a2e7e14d34c0f4c9a052a" isNormal="1">
            <s:text>
              <s:r>
                <s:t xml:space="preserve">Administrator:
8/27 2025logo贴纸 7480pcs</s:t>
              </s:r>
            </s:text>
          </item>
        </commentChain>
      </unresolved>
      <resolved/>
    </commentChains>
    <commentChains s:ref="AI433" rgbClr="FF0000">
      <unresolved>
        <commentChain chainId="f56dd80d01cc4c75326d80d00a4d5059bb57bea9">
          <item id="6074fd6951858735f9335e342ec8fae9328cbbfe" isNormal="1">
            <s:text>
              <s:r>
                <s:t xml:space="preserve">Administrator:
5000354 9/25 1772pcs华3B6</s:t>
              </s:r>
            </s:text>
          </item>
        </commentChain>
      </unresolved>
      <resolved/>
    </commentChains>
    <commentChains s:ref="AL433" rgbClr="FF0000">
      <unresolved>
        <commentChain chainId="390ad289e304720a3e75bcf24c96ce0c78527287">
          <item id="8ef6523384acb18b4cafc5befbbd998cd313a3df" isNormal="1">
            <s:text>
              <s:r>
                <s:t xml:space="preserve">Administrator:
8/29 客供RFID贴 1772pcs</s:t>
              </s:r>
            </s:text>
          </item>
        </commentChain>
      </unresolved>
      <resolved/>
    </commentChains>
    <commentChains s:ref="AI434" rgbClr="FF0000">
      <unresolved>
        <commentChain chainId="177a5e35a9a0af590b8228b234962947d1c53aae">
          <item id="e99df0280c3eef8a193b26c3a49f40ddc89e8547" isNormal="1">
            <s:text>
              <s:r>
                <s:t xml:space="preserve">Administrator:
5000354 9/25 1184pcs
华3B16</s:t>
              </s:r>
            </s:text>
          </item>
        </commentChain>
      </unresolved>
      <resolved/>
    </commentChains>
    <commentChains s:ref="AL434" rgbClr="FF0000">
      <unresolved>
        <commentChain chainId="cd8604a9a0260d56099934bf1e98e93ec202fa74">
          <item id="5f881e980514cd06d4bed4926310c15d368fe1e4" isNormal="1">
            <s:text>
              <s:r>
                <s:t xml:space="preserve">Administrator:
8/29 客供RFID贴 1184pcs
</s:t>
              </s:r>
            </s:text>
          </item>
        </commentChain>
      </unresolved>
      <resolved/>
    </commentChains>
    <commentChains s:ref="AI435" rgbClr="FF0000">
      <unresolved>
        <commentChain chainId="0de4ca601dd4e403ac9061211343ebcb413b5095">
          <item id="a518525a228034ff7ddb52c8b24a97fc1c058403" isNormal="1">
            <s:text>
              <s:r>
                <s:t xml:space="preserve">Administrator:
4000936 9/25 10000pcs华</s:t>
              </s:r>
            </s:text>
          </item>
        </commentChain>
      </unresolved>
      <resolved/>
    </commentChains>
    <commentChains s:ref="AL435" rgbClr="FF0000">
      <unresolved>
        <commentChain chainId="6044d9aa99528edc247fb8020b88d61605d91523">
          <item id="02f4376144a28197aafc1a518281aeb93872e3ce" isNormal="1">
            <s:text>
              <s:r>
                <s:t xml:space="preserve">Administrator:
9/5 客供外箱条码贴纸 2525pcs</s:t>
              </s:r>
            </s:text>
          </item>
        </commentChain>
      </unresolved>
      <resolved/>
    </commentChains>
    <commentChains s:ref="AI436" rgbClr="FF0000">
      <unresolved>
        <commentChain chainId="120bf0f203645a89e6331f7cd9afa972b990bdbe">
          <item id="79e0cca5cd946d876aba7ed7b2b9bfb48935ad4d" isNormal="1">
            <s:text>
              <s:r>
                <s:t xml:space="preserve">Administrator:
5000354 9/25 6512pcs
华3A29</s:t>
              </s:r>
            </s:text>
          </item>
        </commentChain>
      </unresolved>
      <resolved/>
    </commentChains>
    <commentChains s:ref="AL436" rgbClr="FF0000">
      <unresolved>
        <commentChain chainId="fae0a42ecac46a619602bb85f446fe2bef78acc2">
          <item id="70d2d8ee95edfac586c0ca9ad0ec0dec37086662" isNormal="1">
            <s:text>
              <s:r>
                <s:t xml:space="preserve">Administrator:
9/9 上客供RFID贴纸6512pcs
</s:t>
              </s:r>
            </s:text>
          </item>
        </commentChain>
      </unresolved>
      <resolved/>
    </commentChains>
    <commentChains s:ref="AI437" rgbClr="FF0000">
      <unresolved>
        <commentChain chainId="92ddbe640d9cc92ce996d68949ea83852fce0a4d">
          <item id="9d300dea1b3d780f3a34fe933263b539e79e4265" isNormal="1">
            <s:text>
              <s:r>
                <s:t xml:space="preserve">Administrator:
4000930 9/22 600pcs莫4B4</s:t>
              </s:r>
            </s:text>
          </item>
        </commentChain>
      </unresolved>
      <resolved/>
    </commentChains>
    <commentChains s:ref="AL437" rgbClr="FF0000">
      <unresolved>
        <commentChain chainId="5b0c9525cada8617955c1520aef11a824117c471">
          <item id="4812b3a694313ca124b4205028c9198f4fbe2ad4" isNormal="1">
            <s:text>
              <s:r>
                <s:t xml:space="preserve">Administrator:
9/11 进口商贴纸600pcs
UPC贴纸600pcs
</s:t>
              </s:r>
            </s:text>
          </item>
        </commentChain>
      </unresolved>
      <resolved/>
    </commentChains>
    <commentChains s:ref="AI438" rgbClr="FF0000">
      <unresolved>
        <commentChain chainId="052cd1ba0cdb845bf8d7e2662f9520ca0fd96de8">
          <item id="9f43da907f287d56a2d122df939c751785cf3525" isNormal="1">
            <s:text>
              <s:r>
                <s:t xml:space="preserve">Administrator:
5000327 9/24 500pcs
华3A14</s:t>
              </s:r>
            </s:text>
          </item>
        </commentChain>
      </unresolved>
      <resolved/>
    </commentChains>
    <commentChains s:ref="AL438" rgbClr="FF0000">
      <unresolved>
        <commentChain chainId="3c8a7b59fda9576c5ea98236b59efdb71c564684">
          <item id="83f234645f47173ca5c1f2e9bf9550916501c196" isNormal="1">
            <s:text>
              <s:r>
                <s:t xml:space="preserve">Administrator:
8/18 上客供RFID贴纸500pcs</s:t>
              </s:r>
            </s:text>
          </item>
        </commentChain>
      </unresolved>
      <resolved/>
    </commentChains>
    <commentChains s:ref="AI439" rgbClr="FF0000">
      <unresolved>
        <commentChain chainId="cc6b8d1249045d3880295b5c5cff85c12b85dcf3">
          <item id="ed32893f4b1ce01dc5b5fa059aefb635be3f43ba" isNormal="1">
            <s:text>
              <s:r>
                <s:t xml:space="preserve">Administrator:
4000933 9/24 368pcs
华一F4</s:t>
              </s:r>
            </s:text>
          </item>
        </commentChain>
      </unresolved>
      <resolved/>
    </commentChains>
    <commentChains s:ref="AL439" rgbClr="FF0000">
      <unresolved>
        <commentChain chainId="64636335fdf4a7d74f823de633dd64efe1966ee7">
          <item id="35b4dc6c1b8fd8bf9b9fed9068c3271db9da684d" isNormal="1">
            <s:text>
              <s:r>
                <s:t xml:space="preserve">Administrator:
7/16 上客供警语贴纸       384pcs
     上客供电池警语贴纸   384pcs
     上客供中文警告说明书  384pcs</s:t>
              </s:r>
            </s:text>
          </item>
        </commentChain>
      </unresolved>
      <resolved/>
    </commentChains>
    <commentChains s:ref="AI440" rgbClr="FF0000">
      <unresolved>
        <commentChain chainId="8392ef13c18bf8fc4b34fe0519884a878483842f">
          <item id="a58708d038eb5cb84737872511bd92067377d2bc" isNormal="1">
            <s:text>
              <s:r>
                <s:t xml:space="preserve">Administrator:
4000933 9/24 150pcs
华一F5</s:t>
              </s:r>
            </s:text>
          </item>
        </commentChain>
      </unresolved>
      <resolved/>
    </commentChains>
    <commentChains s:ref="AI441" rgbClr="FF0000">
      <unresolved>
        <commentChain chainId="1bd72903f18982966a8a9fe0cea2d784ad4ccbe5">
          <item id="cd97015ee89674de124a90e2b17d85b4d196b02b" isNormal="1">
            <s:text>
              <s:r>
                <s:t xml:space="preserve">Administrator:
4000933 9/24 1350pcs华一F5</s:t>
              </s:r>
            </s:text>
          </item>
        </commentChain>
      </unresolved>
      <resolved/>
    </commentChains>
    <commentChains s:ref="AI442" rgbClr="FF0000">
      <unresolved>
        <commentChain chainId="395db6c1490a15a273b6108b2f317a70dc72674d">
          <item id="8a9b99daaa606b3e4b45aa8f5087a037c3b3153c" isNormal="1">
            <s:text>
              <s:r>
                <s:t xml:space="preserve">Administrator:
4000944 9/26 528pcs直走</s:t>
              </s:r>
            </s:text>
          </item>
        </commentChain>
      </unresolved>
      <resolved/>
    </commentChains>
    <commentChains s:ref="AL442" rgbClr="FF0000">
      <unresolved>
        <commentChain chainId="9d5c529032a8bc5b969fed6c1d4cfe177ac90967">
          <item id="4f32845d35b0565bc7bd24b0176cd1204b3963cb" isNormal="1">
            <s:text>
              <s:r>
                <s:t xml:space="preserve">Administrator:
9/5 UPC贴纸528pcs
9/8 进口商贴纸 528pcs</s:t>
              </s:r>
            </s:text>
          </item>
        </commentChain>
      </unresolved>
      <resolved/>
    </commentChains>
    <commentChains s:ref="AI443" rgbClr="FF0000">
      <unresolved>
        <commentChain chainId="886146857c8e5d72ace87ff25e9cbeaff598b167">
          <item id="3263540536df864f14558d0d7e8513b28e15cbc1" isNormal="1">
            <s:text>
              <s:r>
                <s:t xml:space="preserve">Administrator:
5000370 9/26 3360pcs
华一F5
5000385 9/26 1416pcs华一F5
500030 9/26 24pcs华一F5</s:t>
              </s:r>
            </s:text>
          </item>
        </commentChain>
      </unresolved>
      <resolved/>
    </commentChains>
    <commentChains s:ref="AL443" rgbClr="FF0000">
      <unresolved>
        <commentChain chainId="803f17b9db164df5f9967ec403f5cddf0359ed08">
          <item id="a5aa69281a212b11ecce5a7885d03c049b32467d" isNormal="1">
            <s:text>
              <s:r>
                <s:t xml:space="preserve">Administrator:
9/8 进口商贴纸 4800pcs
9/8 产品贴纸 4800pcs
9/8 说明书 4800pcs
9/8 UPC贴纸 4800pcs
9/9 保证书4800pcs
9/13 外箱贴纸400pcs
</s:t>
              </s:r>
            </s:text>
          </item>
        </commentChain>
      </unresolved>
      <resolved/>
    </commentChains>
    <commentChains s:ref="AI444" rgbClr="FF0000">
      <unresolved>
        <commentChain chainId="3392955454925b494feea5da40261ecdc483a2ac">
          <item id="8075a70aa108a57b1a3eb597f59369f224e7c725" isNormal="1">
            <s:text>
              <s:r>
                <s:t xml:space="preserve">Administrator:
500030 9/26 4056pcs华一F11
</s:t>
              </s:r>
            </s:text>
          </item>
        </commentChain>
      </unresolved>
      <resolved/>
    </commentChains>
    <commentChains s:ref="AL444" rgbClr="FF0000">
      <unresolved>
        <commentChain chainId="68cc08df94cfcccc2e3b2c8b6bca575e6dd0eae6">
          <item id="6b38a3729780d8fb9067ffbbe55e1f0fa3c0a99b" isNormal="1">
            <s:text>
              <s:r>
                <s:t xml:space="preserve">Administrator:
9/5 客供外箱条码贴纸 1024pcs</s:t>
              </s:r>
            </s:text>
          </item>
        </commentChain>
      </unresolved>
      <resolved/>
    </commentChains>
    <commentChains s:ref="AI445" rgbClr="FF0000">
      <unresolved>
        <commentChain chainId="2c343db63db2f460caa79921693ef8e52f4e8cda">
          <item id="49cd41f8d8f7db79f48390ff379b9fa8e644e676" isNormal="1">
            <s:text>
              <s:r>
                <s:t xml:space="preserve">Administrator:
4000949 9/27 732pcs</s:t>
              </s:r>
            </s:text>
          </item>
        </commentChain>
      </unresolved>
      <resolved/>
    </commentChains>
    <commentChains s:ref="AL445" rgbClr="FF0000">
      <unresolved>
        <commentChain chainId="4bba04b9b7cce36b4cbe8f1f3bd6811909e0d13c">
          <item id="502a2e267b34cfe253c6372abd5d85409447aa13" isNormal="1">
            <s:text>
              <s:r>
                <s:t xml:space="preserve">Administrator:
9/2 WEEE电子产品说明书30L 732PCS
9/3 上亚马逊外箱贴纸122pcs
</s:t>
              </s:r>
            </s:text>
          </item>
        </commentChain>
      </unresolved>
      <resolved/>
    </commentChains>
    <commentChains s:ref="AI446" rgbClr="FF0000">
      <unresolved>
        <commentChain chainId="00c2e057fbe35a0c56b0257e8153ad1989659102">
          <item id="da11a77c9cb57709129d418da933b7fd825edd2f" isNormal="1">
            <s:text>
              <s:r>
                <s:t xml:space="preserve">Administrator:
4000949 9/27 504pcs
</s:t>
              </s:r>
            </s:text>
          </item>
        </commentChain>
      </unresolved>
      <resolved/>
    </commentChains>
    <commentChains s:ref="AL446" rgbClr="FF0000">
      <unresolved>
        <commentChain chainId="9db64f61331b2d2133eda14ef8c9bcced778f7e1">
          <item id="17869f2c2da4b232daa1623a9d6b1adb54d8376c" isNormal="1">
            <s:text>
              <s:r>
                <s:t xml:space="preserve">Administrator:
9/2 WEEE电子产品说明书30L 504PCS
9/3 上亚马逊外箱贴纸84pcs
</s:t>
              </s:r>
            </s:text>
          </item>
        </commentChain>
      </unresolved>
      <resolved/>
    </commentChains>
    <commentChains s:ref="AI447" rgbClr="FF0000">
      <unresolved>
        <commentChain chainId="6758466ab028487ee8f360a0f6cc7bd7f8f7698c">
          <item id="f15f3afb4626c625d3d6fab954992ba14cb6418f" isNormal="1">
            <s:text>
              <s:r>
                <s:t xml:space="preserve">Administrator:
4000949 9/27 504pcs</s:t>
              </s:r>
            </s:text>
          </item>
        </commentChain>
      </unresolved>
      <resolved/>
    </commentChains>
    <commentChains s:ref="AL447" rgbClr="FF0000">
      <unresolved>
        <commentChain chainId="02b8a962d16fc779058eef68c7841385faf8095c">
          <item id="b35ef5d98d3e40c89084ea88d91305fc420dc1a6" isNormal="1">
            <s:text>
              <s:r>
                <s:t xml:space="preserve">Administrator:
9/2 WEEE电子产品说明书30L 504PCS
9/3 上亚马逊外箱贴纸84pcs
</s:t>
              </s:r>
            </s:text>
          </item>
        </commentChain>
      </unresolved>
      <resolved/>
    </commentChains>
    <commentChains s:ref="AI448" rgbClr="FF0000">
      <unresolved>
        <commentChain chainId="b19dadc5b42dbc2aefc2626141d9fd2c60b884d7">
          <item id="34205492d3fc1b00e38d4a5260b27ea0f1fc780a" isNormal="1">
            <s:text>
              <s:r>
                <s:t xml:space="preserve">Administrator:
4000949 9/27 1056pcs</s:t>
              </s:r>
            </s:text>
          </item>
        </commentChain>
      </unresolved>
      <resolved/>
    </commentChains>
    <commentChains s:ref="AL448" rgbClr="FF0000">
      <unresolved>
        <commentChain chainId="2c2bbad818d8424a2f0a58a6dacda848f0526fda">
          <item id="d5a84eac7a665f3f9b64f4289c88c5122b5f1d0a" isNormal="1">
            <s:text>
              <s:r>
                <s:t xml:space="preserve">Administrator:
9/2 WEEE电子产品说明书30L 1056PCS
9/3 上亚马逊外箱贴纸176pcs
</s:t>
              </s:r>
            </s:text>
          </item>
        </commentChain>
      </unresolved>
      <resolved/>
    </commentChains>
    <commentChains s:ref="AI449" rgbClr="FF0000">
      <unresolved>
        <commentChain chainId="1c8f6a86f9c2727b4d4d55c2162b3e23ca50d324">
          <item id="e6a4e6264c89a81f2bd44e6912f9f2d33a703b78" isNormal="1">
            <s:text>
              <s:r>
                <s:t xml:space="preserve">Administrator:
4000949 9/27 516pcs</s:t>
              </s:r>
            </s:text>
          </item>
        </commentChain>
      </unresolved>
      <resolved/>
    </commentChains>
    <commentChains s:ref="AL449" rgbClr="FF0000">
      <unresolved>
        <commentChain chainId="31039ca758d9a345c74b617200075db57c6f308e">
          <item id="29dba22e4b03c2abc8008648a3d18d98cba3746c" isNormal="1">
            <s:text>
              <s:r>
                <s:t xml:space="preserve">Administrator:
9/2 WEEE电子产品说明书30L 516PCS
9/3 上亚马逊外箱贴纸86pcs
9/23 上Kinderherz 贴纸516pcs
</s:t>
              </s:r>
            </s:text>
          </item>
        </commentChain>
      </unresolved>
      <resolved/>
    </commentChains>
    <commentChains s:ref="AI450" rgbClr="FF0000">
      <unresolved>
        <commentChain chainId="1c3e413c3bf0d5d332295f2319807dfef15c15ad">
          <item id="afcab5f88f002057024cb18862c0a13a8f5173e6" isNormal="1">
            <s:text>
              <s:r>
                <s:t xml:space="preserve">Administrator:
4000949 9/27 816pcs</s:t>
              </s:r>
            </s:text>
          </item>
        </commentChain>
      </unresolved>
      <resolved/>
    </commentChains>
    <commentChains s:ref="AL450" rgbClr="FF0000">
      <unresolved>
        <commentChain chainId="cd5762e7120df020c4a56b851982944f013fabe0">
          <item id="6163303b4c5fd6d7bd83629e6e5be88da3d7e375" isNormal="1">
            <s:text>
              <s:r>
                <s:t xml:space="preserve">Administrator:
9/2 UPC贴纸 816pcs
9/2 获奖贴纸 816pcs
9/2 WEEE电子产品说明书30L 816PCS
9/3 上亚马逊外箱贴纸68pcs
9/9 上获奖贴纸600pcs补订
9/23 上Kinderherz 贴纸516pcs
</s:t>
              </s:r>
            </s:text>
          </item>
        </commentChain>
      </unresolved>
      <resolved/>
    </commentChains>
    <commentChains s:ref="AI451" rgbClr="FF0000">
      <unresolved>
        <commentChain chainId="c48a27ff4f7d00b58e2541756cdccd1e07139bdf">
          <item id="e87127bdaf215eb55850fa0806e21d8f82bf2ff7" isNormal="1">
            <s:text>
              <s:r>
                <s:t xml:space="preserve">Administrator:
4000949 9/27 432pcs</s:t>
              </s:r>
            </s:text>
          </item>
        </commentChain>
      </unresolved>
      <resolved/>
    </commentChains>
    <commentChains s:ref="AL451" rgbClr="FF0000">
      <unresolved>
        <commentChain chainId="046cb22b293b52b3a74f81357bb1286806870b42">
          <item id="aa634a7b1bc6ebda9bfb3f22893cabf1000bcab9" isNormal="1">
            <s:text>
              <s:r>
                <s:t xml:space="preserve">Administrator:
9/2 UPC贴纸 516pcs
9/2 WEEE电子产品说明书30L 516PCS
9/3 上亚马逊外箱贴纸43pcs
</s:t>
              </s:r>
            </s:text>
          </item>
        </commentChain>
      </unresolved>
      <resolved/>
    </commentChains>
    <commentChains s:ref="AI452" rgbClr="FF0000">
      <unresolved>
        <commentChain chainId="b53af98515c901e733f7c7431b906f6e0d80a5dc">
          <item id="7d08736efa94a806f05835f2768573ec01578b98" isNormal="1">
            <s:text>
              <s:r>
                <s:t xml:space="preserve">Administrator:
5000385 9/26 4000pcs莫4C6</s:t>
              </s:r>
            </s:text>
          </item>
        </commentChain>
      </unresolved>
      <resolved/>
    </commentChains>
    <commentChains s:ref="AL452" rgbClr="FF0000">
      <unresolved>
        <commentChain chainId="93297feb12a7e29b40d5adbbc7ad21d5a96f8132">
          <item id="5ff9e9ed05d8cd26bcd85f984c5befc480c1bde1" isNormal="1">
            <s:text>
              <s:r>
                <s:t xml:space="preserve">Administrator:
9/5 客户EAN 条码贴纸4000pcs
9/5 ZURU带电池版本30语WEEE 4000pcs
9/5 PDO数量贴纸 1000pcs
9/20 上PDQ数量贴纸1000pcs</s:t>
              </s:r>
            </s:text>
          </item>
        </commentChain>
      </unresolved>
      <resolved/>
    </commentChains>
    <commentChains s:ref="AI453" rgbClr="FF0000">
      <unresolved>
        <commentChain chainId="77e770eefdc1402ceee5bcce0eb02f536dc84237">
          <item id="6ea273703743930bc4d4c53713f488fc9a00d79e" isNormal="1">
            <s:text>
              <s:r>
                <s:t xml:space="preserve">Administrator:
4000944 9/26 432pcs
华3B13</s:t>
              </s:r>
            </s:text>
          </item>
        </commentChain>
      </unresolved>
      <resolved/>
    </commentChains>
    <commentChains s:ref="AL453" rgbClr="FF0000">
      <unresolved>
        <commentChain chainId="9a8c18d05bdaf89ef5c3c9237aba33cf5a8ac0ce">
          <item id="43a1a26d4613cc053b4e1ef53bf58465d9765647" isNormal="1">
            <s:text>
              <s:r>
                <s:t xml:space="preserve">Administrator:
9/5 客户警语贴纸 432pcs
9/5 ZURU带电池版本30语WEEE 432pcs</s:t>
              </s:r>
            </s:text>
          </item>
        </commentChain>
      </unresolved>
      <resolved/>
    </commentChains>
    <commentChains s:ref="AI454" rgbClr="FF0000">
      <unresolved>
        <commentChain chainId="c436d1605193ddf595bdd8b6d4de2bd9734866de">
          <item id="eea7a8ad1133f7778b102d8533ffcad24212264d" isNormal="1">
            <s:text>
              <s:r>
                <s:t xml:space="preserve">Administrator:
4000946 9/26 3920pcs
华3B12
4000944 9/26 7920pcs
华3B12</s:t>
              </s:r>
            </s:text>
          </item>
        </commentChain>
      </unresolved>
      <resolved/>
    </commentChains>
    <commentChains s:ref="AL454" rgbClr="FF0000">
      <unresolved>
        <commentChain chainId="f5f9cd054334bbd3596a216b2b37dde4bc04cfea">
          <item id="67076f02a28c51b989e7284d9e960acc4d349889" isNormal="1">
            <s:text>
              <s:r>
                <s:t xml:space="preserve">Administrator:
9/9 上客供RFID贴纸11840pcs
</s:t>
              </s:r>
            </s:text>
          </item>
        </commentChain>
      </unresolved>
      <resolved/>
    </commentChains>
    <commentChains s:ref="AI455" rgbClr="FF0000">
      <unresolved>
        <commentChain chainId="8c59a3b37c0217a47fd64f49093c08ba79d1d025">
          <item id="55386c11cd9e3837b6fce3534c2eddd87fbf2120" isNormal="1">
            <s:text>
              <s:r>
                <s:t xml:space="preserve">Administrator:
4000946 9/26 1440pcs华3B7
2000554 9/27 1440pcs
4000950 9/29 5144pcs华一F7
4000953 9/29 720pcs华一F7</s:t>
              </s:r>
            </s:text>
          </item>
        </commentChain>
      </unresolved>
      <resolved/>
    </commentChains>
    <commentChains s:ref="AL455" rgbClr="FF0000">
      <unresolved>
        <commentChain chainId="317aa345ee246b346d958eb8eee780340968e163">
          <item id="4507e7f8dd9bf6d3160eb04134af938c54b2e913" isNormal="1">
            <s:text>
              <s:r>
                <s:t xml:space="preserve">Administrator:
9/9 上客供RFID贴纸8744pcs
</s:t>
              </s:r>
            </s:text>
          </item>
        </commentChain>
      </unresolved>
      <resolved/>
    </commentChains>
    <commentChains s:ref="AI456" rgbClr="FF0000">
      <unresolved>
        <commentChain chainId="ddd60a245facf7d7140cfce7c3ecf9989402b535">
          <item id="667916964237dbe173371bdb3c72e3d4fcd643af" isNormal="1">
            <s:text>
              <s:r>
                <s:t xml:space="preserve">Administrator:
5000460 9/30 2400pcs
</s:t>
              </s:r>
            </s:text>
          </item>
        </commentChain>
      </unresolved>
      <resolved/>
    </commentChains>
    <commentChains s:ref="AL456" rgbClr="FF0000">
      <unresolved>
        <commentChain chainId="06cd6909f3a4ad2a49cd62be7c2d666b0ce25317">
          <item id="f77a50dbee0cb538e81d75d76214115604daf79d" isNormal="1">
            <s:text>
              <s:r>
                <s:t xml:space="preserve">Administrator:
9/2 b版WEEE通用电池走货说 2400pcs
9/9 上获奖贴纸2400pcs
</s:t>
              </s:r>
            </s:text>
          </item>
        </commentChain>
      </unresolved>
      <resolved/>
    </commentChains>
    <commentChains s:ref="AI457" rgbClr="FF0000">
      <unresolved>
        <commentChain chainId="3b23ac8d04861333bfc8a49c8d08f2547a022045">
          <item id="09a1ebc36a78c5e9d92c68b1778fb110b6f06763" isNormal="1">
            <s:text>
              <s:r>
                <s:t xml:space="preserve">Administrator:
5000460 9/30 800pcs
</s:t>
              </s:r>
            </s:text>
          </item>
        </commentChain>
      </unresolved>
      <resolved/>
    </commentChains>
    <commentChains s:ref="AL457" rgbClr="FF0000">
      <unresolved>
        <commentChain chainId="d0afeabf9304119f89a40b589e4cb3c1d6d09d12">
          <item id="0d1ba634879d1eacd9ceffbef6a15b73cba85a45" isNormal="1">
            <s:text>
              <s:r>
                <s:t xml:space="preserve">Administrator:
9/2 b版WEEE通用电池走货说 800pcs
</s:t>
              </s:r>
            </s:text>
          </item>
        </commentChain>
      </unresolved>
      <resolved/>
    </commentChains>
    <commentChains s:ref="AI458" rgbClr="FF0000">
      <unresolved>
        <commentChain chainId="4d48caa65970fa5dd7913c5321ece668eafea652">
          <item id="5d325ad1c46abaa29905555c064e0c4da95f74d1" isNormal="1">
            <s:text>
              <s:r>
                <s:t xml:space="preserve">Administrator:
4000953 9/29 5040pcs华一F5
4000955 9/30 4960pcs</s:t>
              </s:r>
            </s:text>
          </item>
        </commentChain>
      </unresolved>
      <resolved/>
    </commentChains>
    <commentChains s:ref="AL458" rgbClr="FF0000">
      <unresolved>
        <commentChain chainId="e3045f4f5748422727f0c817ace108b3b175111f">
          <item id="921b7729f67b86bd2e537be270a552501fd3777e" isNormal="1">
            <s:text>
              <s:r>
                <s:t xml:space="preserve">Administrator:
9/5 客供外箱条码贴纸 2525pcs
</s:t>
              </s:r>
            </s:text>
          </item>
        </commentChain>
      </unresolved>
      <resolved/>
    </commentChains>
    <commentChains s:ref="BF458" rgbClr="FF0000">
      <unresolved>
        <commentChain chainId="63df77c00590eeef4cce3f82d09c129f7d284b86">
          <item id="5688b4d79bb51e5d28ea4ff5d77193969b025095" isNormal="1">
            <s:text>
              <s:r>
                <s:t xml:space="preserve">RR:
新客版资料</s:t>
              </s:r>
            </s:text>
          </item>
        </commentChain>
      </unresolved>
      <resolved/>
    </commentChains>
    <commentChains s:ref="AI459" rgbClr="FF0000">
      <unresolved>
        <commentChain chainId="0defb36fb0a9a2540e0461af00ca45b90c5ba931">
          <item id="98418756c2156d3d31b0880fbf420c1c36e2a42e" isNormal="1">
            <s:text>
              <s:r>
                <s:t xml:space="preserve">Administrator:
4000958 10/8 512pcs
</s:t>
              </s:r>
            </s:text>
          </item>
        </commentChain>
      </unresolved>
      <resolved/>
    </commentChains>
    <commentChains s:ref="AI460" rgbClr="FF0000">
      <unresolved>
        <commentChain chainId="ff3d9716f4b455aab573e8268e9e4b1544f4c670">
          <item id="335bd92af21ba63fd90a311e3198c31cf8ddaa6c" isNormal="1">
            <s:text>
              <s:r>
                <s:t xml:space="preserve">Administrator:
4000958 10/8 492pcs
</s:t>
              </s:r>
            </s:text>
          </item>
        </commentChain>
      </unresolved>
      <resolved/>
    </commentChains>
    <commentChains s:ref="AL460" rgbClr="FF0000">
      <unresolved>
        <commentChain chainId="78dcec35f4ff631c788f4bb4209650f057a67d6c">
          <item id="39cf028ac28d20877672cfcfc8266d3af7c61753" isNormal="1">
            <s:text>
              <s:r>
                <s:t xml:space="preserve">Administrator:
9/9 上获奖贴纸492pcs
9/9 上UPC贴纸492PCS
WEEE电子产品说明书30L(带电池走货B版)492pcs
9/11 上多语折叠警告语贴纸492pcs
9/16 上亚马逊外箱贴纸41ｐｃｓ</s:t>
              </s:r>
            </s:text>
          </item>
        </commentChain>
      </unresolved>
      <resolved/>
    </commentChains>
    <commentChains s:ref="AI461" rgbClr="FF0000">
      <unresolved>
        <commentChain chainId="d09d0b38b1fcd708a5914bf0a87b47d90398c00c">
          <item id="618ae8ea26e8f3e326c5c214062a550fb6f51487" isNormal="1">
            <s:text>
              <s:r>
                <s:t xml:space="preserve">Administrator:
5000494 10/10 2000pcs华一F7</s:t>
              </s:r>
            </s:text>
          </item>
        </commentChain>
      </unresolved>
      <resolved/>
    </commentChains>
    <commentChains s:ref="AL461" rgbClr="FF0000">
      <unresolved>
        <commentChain chainId="6bc8ff32ec51b7d16fded8e9fbe840e66107bf01">
          <item id="9fea1a55e99bfeb5a568dd71423cdefa5ea6d2b8" isNormal="1">
            <s:text>
              <s:r>
                <s:t xml:space="preserve">Administrator:
9/13 上警告语/进口商贴纸2000pcs
WEEE说明书贴纸2000pcs
1语警告语贴纸6000ｐｃｓ
2语警告语贴纸2000ｐｃｓ</s:t>
              </s:r>
            </s:text>
          </item>
        </commentChain>
      </unresolved>
      <resolved/>
    </commentChains>
    <commentChains s:ref="AI462" rgbClr="FF0000">
      <unresolved>
        <commentChain chainId="83a7ca4973148eba62a2af12a9bf2915842722ae">
          <item id="4d91d90582a87a6fcb9eba380080be43d22bc550" isNormal="1">
            <s:text>
              <s:r>
                <s:t xml:space="preserve">Administrator:
4000958 10/8 1240pcs
</s:t>
              </s:r>
            </s:text>
          </item>
        </commentChain>
      </unresolved>
      <resolved/>
    </commentChains>
    <commentChains s:ref="AI463" rgbClr="FF0000">
      <unresolved>
        <commentChain chainId="fc773e7c2e08fd037c240c1b5a247d44435e9cb0">
          <item id="f0c29393d7582c69b70cb03498e022d6d555d09f" isNormal="1">
            <s:text>
              <s:r>
                <s:t xml:space="preserve">Administrator:
5000494 10/10 1968pcs华3B12
5000509 10/11 32pcs
华</s:t>
              </s:r>
            </s:text>
          </item>
        </commentChain>
      </unresolved>
      <resolved/>
    </commentChains>
    <commentChains s:ref="AI464" rgbClr="FF0000">
      <unresolved>
        <commentChain chainId="0ffd103f9fd4f71684e7005ff68280e233e15107">
          <item id="c2a3ce74a84ed3480a63898ccdc1dfaede3e7d30" isNormal="1">
            <s:text>
              <s:r>
                <s:t xml:space="preserve">Administrator:
5000494 10/10 2396pcs华一F7
5000509 10/11 4pcs华</s:t>
              </s:r>
            </s:text>
          </item>
        </commentChain>
      </unresolved>
      <resolved/>
    </commentChains>
    <commentChains s:ref="AL464" rgbClr="FF0000">
      <unresolved>
        <commentChain chainId="1574f1e83fb1c6b817c1e144c6ada06803172f7e">
          <item id="3612240c02dcdd58a51a6519206f49d4162a33a6" isNormal="1">
            <s:text>
              <s:r>
                <s:t xml:space="preserve">Administrator:
9/16 上WEEE_带电池走货 _ 说明书欧洲EN+30L-B版 2400pcs
9/16 上WEEE_带电池走货 _ 说明书欧洲EN+30L-B版 8000pcs多订
Kinderherz 2025 logo 2400ｐｃｓ</s:t>
              </s:r>
            </s:text>
          </item>
        </commentChain>
      </unresolved>
      <resolved/>
    </commentChains>
    <commentChains s:ref="AI465" rgbClr="FF0000">
      <unresolved>
        <commentChain chainId="7c1dc48418e106e4988372fac6b897b0f0ac25aa">
          <item id="6c031e16c7ca51c90936d72f77b2de3a24d27552" isNormal="1">
            <s:text>
              <s:r>
                <s:t xml:space="preserve">Administrator:
4000973 10/11 1504pcs
华一F4
</s:t>
              </s:r>
            </s:text>
          </item>
        </commentChain>
      </unresolved>
      <resolved/>
    </commentChains>
    <commentChains s:ref="AL465" rgbClr="FF0000">
      <unresolved>
        <commentChain chainId="a3de12fbb44466ac7d35557dbe0c7ad4873fb438">
          <item id="cedd8d990a0cc93949cb3125271ac975105c87a0" isNormal="1">
            <s:text>
              <s:r>
                <s:t xml:space="preserve">Administrator:
9/16 上WEEE_带电池走货 _ 说明书欧洲EN+30L-B版 1504pcs
10/8 上带电池走货说明书4800pcs(77872/78223)三个PO共用 补订</s:t>
              </s:r>
            </s:text>
          </item>
        </commentChain>
      </unresolved>
      <resolved/>
    </commentChains>
    <commentChains s:ref="AI466" rgbClr="FF0000">
      <unresolved>
        <commentChain chainId="3353e25d1e42ed864094caf2f27b713934d45109">
          <item id="75793e5672f434181e7212f958cfd5311c9d2c3c" isNormal="1">
            <s:text>
              <s:r>
                <s:t xml:space="preserve">Administrator:
4000971 10/11 1888pcs华一F9
4000973 10/11 32pcs
华一F9</s:t>
              </s:r>
            </s:text>
          </item>
        </commentChain>
      </unresolved>
      <resolved/>
    </commentChains>
    <commentChains s:ref="AI467" rgbClr="FF0000">
      <unresolved>
        <commentChain chainId="553ae23165aa9105e93b320c48e932dcc4341a1b">
          <item id="e69f7f705eb88afad31be83dcf08d5e4454896b7" isNormal="1">
            <s:text>
              <s:r>
                <s:t xml:space="preserve">Administrator:
4000971 10/11 1500pcs华3B17
</s:t>
              </s:r>
            </s:text>
          </item>
        </commentChain>
      </unresolved>
      <resolved/>
    </commentChains>
    <commentChains s:ref="AL467" rgbClr="FF0000">
      <unresolved>
        <commentChain chainId="c4f0a89ed6b4d6c1e970c6547c9226c18fae7ffb">
          <item id="419e2b226936b21696f8dd9558165a6285d190ce" isNormal="1">
            <s:text>
              <s:r>
                <s:t xml:space="preserve">Administrator:
9/11 进口商贴纸1500pcs</s:t>
              </s:r>
            </s:text>
          </item>
        </commentChain>
      </unresolved>
      <resolved/>
    </commentChains>
    <commentChains s:ref="AI468" rgbClr="FF0000">
      <unresolved>
        <commentChain chainId="698ca160dfd1cc059480a061306bb8cbc7b5b558">
          <item id="a1b7564c620f6db40c5df299abc21bdd9b03d0a1" isNormal="1">
            <s:text>
              <s:r>
                <s:t xml:space="preserve">Administrator:
4000971 10/11 3052pcs华一F5
4000964 10/10 4320pcs华一F11</s:t>
              </s:r>
            </s:text>
          </item>
        </commentChain>
      </unresolved>
      <resolved/>
    </commentChains>
    <commentChains s:ref="AL468" rgbClr="FF0000">
      <unresolved>
        <commentChain chainId="1cf42db73c6d48a5ea4863ff09dd386476e3acf1">
          <item id="a2eeaf82fa1a5d000790779398b1119578fbeee1" isNormal="1">
            <s:text>
              <s:r>
                <s:t xml:space="preserve">Administrator:
9/9 上客供RFID贴纸7372pcs
</s:t>
              </s:r>
            </s:text>
          </item>
        </commentChain>
      </unresolved>
      <resolved/>
    </commentChains>
    <commentChains s:ref="AI469" rgbClr="FF0000">
      <unresolved>
        <commentChain chainId="f0d11fffc162a4b66c10785c13549f3186d950ba">
          <item id="f91fb8485c66ca0372a6a7cac16e2aad1b4c0c16" isNormal="1">
            <s:text>
              <s:r>
                <s:t xml:space="preserve">Administrator:
4000971 10/11 1248pcs华3B16
</s:t>
              </s:r>
            </s:text>
          </item>
        </commentChain>
      </unresolved>
      <resolved/>
    </commentChains>
    <commentChains s:ref="AL469" rgbClr="FF0000">
      <unresolved>
        <commentChain chainId="a19f59233ba8cfcc1eb9cea4a80681e9c13651af">
          <item id="63b9d1d1bed7ad18cf8ef180e2538e8d705adb4e" isNormal="1">
            <s:text>
              <s:r>
                <s:t xml:space="preserve">Administrator:
9/9 上UPC贴纸1248PCS
WEEE电子产品说明书30L(带电池走货B版)1248pcs
9/11 上多语折叠警告语贴纸1248pcs
9/18 上亚马逊外箱贴纸104pcs</s:t>
              </s:r>
            </s:text>
          </item>
        </commentChain>
      </unresolved>
      <resolved/>
    </commentChains>
    <commentChains s:ref="AI470" rgbClr="FF0000">
      <unresolved>
        <commentChain chainId="02c46eabad042087ded3a9fcef0ed9f7999c254b">
          <item id="4fbcb50e43f14d5e36484710ed833078473d9d05" isNormal="1">
            <s:text>
              <s:r>
                <s:t xml:space="preserve">Administrator:
4000971 10/11 468pcs华3B14
4000973 10/11 24pcs华3B14</s:t>
              </s:r>
            </s:text>
          </item>
        </commentChain>
      </unresolved>
      <resolved/>
    </commentChains>
    <commentChains s:ref="AL470" rgbClr="FF0000">
      <unresolved>
        <commentChain chainId="79096f6fbf40fba7bad95b3548fadc0f0ce9bb65">
          <item id="33518fe9b88091db7d708d1b5a5ce17528b82e58" isNormal="1">
            <s:text>
              <s:r>
                <s:t xml:space="preserve">Administrator:
9/9 上获奖贴纸492pcs
9/9 上UPC贴纸492PCS
WEEE电子产品说明书30L(带电池走货B版)492pcs
9/11 上多语折叠警告语贴纸492pcs
9/18 上亚马逊外箱贴纸41pcs
9/23 上Kinderherz 贴纸492pcs</s:t>
              </s:r>
            </s:text>
          </item>
        </commentChain>
      </unresolved>
      <resolved/>
    </commentChains>
    <commentChains s:ref="AI471" rgbClr="FF0000">
      <unresolved>
        <commentChain chainId="9239bbc656cc1746ba335800632c59decf6ada4e">
          <item id="7ad3441323b5e4e960fde4ba8d0ee7a0a6c69f9a" isNormal="1">
            <s:text>
              <s:r>
                <s:t xml:space="preserve">Administrator:
4000958 10/8 504pcs</s:t>
              </s:r>
            </s:text>
          </item>
        </commentChain>
      </unresolved>
      <resolved/>
    </commentChains>
    <commentChains s:ref="AL471" rgbClr="FF0000">
      <unresolved>
        <commentChain chainId="029313f196ac21d5a3dd0dd281bdd6f0a88a3aff">
          <item id="d2ab2aa35a0dcb2a0c3ae748b9bf3214bd20feb4" isNormal="1">
            <s:text>
              <s:r>
                <s:t xml:space="preserve">Administrator:
9/9 上UPC贴纸504PCS
WEEE电子产品说明书30L(带电池走货B版)504pcs
9/11 上多语折叠警告语贴纸504pcs
9/18 上亚马逊外箱贴纸41pcs
</s:t>
              </s:r>
            </s:text>
          </item>
        </commentChain>
      </unresolved>
      <resolved/>
    </commentChains>
    <commentChains s:ref="AI472" rgbClr="FF0000">
      <unresolved>
        <commentChain chainId="40cfde012580c5dd266cbd456ff767ca376d19e2">
          <item id="aa10a6c9956610e2a41c5b13f196dff64eb99033" isNormal="1">
            <s:text>
              <s:r>
                <s:t xml:space="preserve">Administrator:
4000973 10/11 40pcs
4000962 10/10 4760pcsB栋三楼</s:t>
              </s:r>
            </s:text>
          </item>
        </commentChain>
      </unresolved>
      <resolved/>
    </commentChains>
    <commentChains s:ref="AL472" rgbClr="FF0000">
      <unresolved>
        <commentChain chainId="79680d14bb45b4c22ed901f7a4eab4a76d790c99">
          <item id="c175ac181d6e98085957d2579f2c5816a02f116c" isNormal="1">
            <s:text>
              <s:r>
                <s:t xml:space="preserve">Administrator:
9/13 上保证书4800pcs
产品贴纸4800pcs
说明书贴纸4800pcs
包装贴纸4800pcs</s:t>
              </s:r>
            </s:text>
          </item>
        </commentChain>
      </unresolved>
      <resolved/>
    </commentChains>
    <commentChains s:ref="AI474" rgbClr="FF0000">
      <unresolved>
        <commentChain chainId="a7e3ad69020236d70d611c19022c970973060c91">
          <item id="5bbb0135b5d3a51fdaa5891be43201fe42c85f2a" isNormal="1">
            <s:text>
              <s:r>
                <s:t xml:space="preserve">Administrator:
4000975 10/11 512pcs华一F4</s:t>
              </s:r>
            </s:text>
          </item>
        </commentChain>
      </unresolved>
      <resolved/>
    </commentChains>
    <commentChains s:ref="AL474" rgbClr="FF0000">
      <unresolved>
        <commentChain chainId="5263f3697d10dc7b7ec81a86b7549874fce0ee3d">
          <item id="bb513bb6caaac696a1439eabd88b98d052d3f3aa" isNormal="1">
            <s:text>
              <s:r>
                <s:t xml:space="preserve">Administrator:
9/20 上进口商贴纸512pcs
</s:t>
              </s:r>
            </s:text>
          </item>
        </commentChain>
      </unresolved>
      <resolved/>
    </commentChains>
    <commentChains s:ref="AI475" rgbClr="FF0000">
      <unresolved>
        <commentChain chainId="b3a77996bd40f7ff54e0ebf8be1ff8a76db75a83">
          <item id="475b956720a6f188e3a3c68f7ac6c6e2ef2046ce" isNormal="1">
            <s:text>
              <s:r>
                <s:t xml:space="preserve">Administrator:
用77606PO换单5000</s:t>
              </s:r>
            </s:text>
          </item>
        </commentChain>
      </unresolved>
      <resolved/>
    </commentChains>
    <commentChains s:ref="AL475" rgbClr="FF0000">
      <unresolved>
        <commentChain chainId="505b618f504053025355e95025b3bada75aace6a">
          <item id="674c5d1a77148d6b863b479934e44b3243e04cb8" isNormal="1">
            <s:text>
              <s:r>
                <s:t xml:space="preserve">Administrator:
10/24 上UPC贴纸5000pcs</s:t>
              </s:r>
            </s:text>
          </item>
        </commentChain>
      </unresolved>
      <resolved/>
    </commentChains>
    <commentChains s:ref="AI476" rgbClr="FF0000">
      <unresolved>
        <commentChain chainId="56be2264202a6258eb46be58f4ddf3ad8d77714b">
          <item id="7922f2e403f6705125fb11f0204d831b409056fc" isNormal="1">
            <s:text>
              <s:r>
                <s:t xml:space="preserve">Administrator:
4001004 10/20 1185pcs华3B12</s:t>
              </s:r>
            </s:text>
          </item>
        </commentChain>
      </unresolved>
      <resolved/>
    </commentChains>
    <commentChains s:ref="AL476" rgbClr="FF0000">
      <unresolved>
        <commentChain chainId="6102f1468d09657c0c41fe3706f3122a94b2dd77">
          <item id="17a21aca20b00a27504dde9e252b7978fa249cec" isNormal="1">
            <s:text>
              <s:r>
                <s:t xml:space="preserve">Administrator:
WEEE电子产品说明书30L(带电池走货B版)1182pcs
</s:t>
              </s:r>
            </s:text>
          </item>
        </commentChain>
      </unresolved>
      <resolved/>
    </commentChains>
    <commentChains s:ref="AI477" rgbClr="FF0000">
      <unresolved>
        <commentChain chainId="2bac52795dc4067535e2ff3a25f5a894222fdda2">
          <item id="7150e9f984a0d46fffd8a34adbd3234b5c3fe3e2" isNormal="1">
            <s:text>
              <s:r>
                <s:t xml:space="preserve">Administrator:
4001005 10/20 780pcs华3A20</s:t>
              </s:r>
            </s:text>
          </item>
        </commentChain>
      </unresolved>
      <resolved/>
    </commentChains>
    <commentChains s:ref="AL477" rgbClr="FF0000">
      <unresolved>
        <commentChain chainId="1883f067426add3cbf2fea203d1dd53b2801f0bd">
          <item id="58a4e0010de396d0b15ed76514f233626d4b9afd" isNormal="1">
            <s:text>
              <s:r>
                <s:t xml:space="preserve">Administrator:
WEEE电子产品说明书30L(带电池走货B版)780pcs
9/23 上Kinderherz 贴纸780pcs
</s:t>
              </s:r>
            </s:text>
          </item>
        </commentChain>
      </unresolved>
      <resolved/>
    </commentChains>
    <commentChains s:ref="AI478" rgbClr="FF0000">
      <unresolved>
        <commentChain chainId="32ed57bb03730d65fd383a80fb3bf83f0b26a0ca">
          <item id="4165323cec08e2a6b6c26ef84bac1dac6010d4a4" isNormal="1">
            <s:text>
              <s:r>
                <s:t xml:space="preserve">Administrator:
4001005 10/20 720pcs
华3A21</s:t>
              </s:r>
            </s:text>
          </item>
        </commentChain>
      </unresolved>
      <resolved/>
    </commentChains>
    <commentChains s:ref="AL478" rgbClr="FF0000">
      <unresolved>
        <commentChain chainId="4c51b4b433dd493ff2ed1b84b5bc87bd4fc380db">
          <item id="81241fbb746944df606003d2d96be9c3638977e9" isNormal="1">
            <s:text>
              <s:r>
                <s:t xml:space="preserve">Administrator:
WEEE电子产品说明书30L(带电池走货B版)720pcs
</s:t>
              </s:r>
            </s:text>
          </item>
        </commentChain>
      </unresolved>
      <resolved/>
    </commentChains>
    <commentChains s:ref="AI479" rgbClr="FF0000">
      <unresolved>
        <commentChain chainId="63972295f68a71237c1c74f188306ca974e8f386">
          <item id="36db74d6769d45d7b1e9f59a216a036f6c1721e7" isNormal="1">
            <s:text>
              <s:r>
                <s:t xml:space="preserve">Administrator:
4000988 10/16 7920pcs
华一F4-5-12
4000991 10/16 10080pcs华一F4-5-12
4000995 10/17 4840pcs
4000993 10/17 19440pcs华一B3. 一A4
4000996 10/18 720pcs华一B3</s:t>
              </s:r>
            </s:text>
          </item>
        </commentChain>
      </unresolved>
      <resolved/>
    </commentChains>
    <commentChains s:ref="AL479" rgbClr="FF0000">
      <unresolved>
        <commentChain chainId="aaad8e4c2ebb7afb724c9d51bf6ae02ac88d8713">
          <item id="0073f579037c1201783abfada20a5ebf043fc3fb" isNormal="1">
            <s:text>
              <s:r>
                <s:t xml:space="preserve">Administrator:
9/23 上客供外箱条码贴纸10858pcs
</s:t>
              </s:r>
            </s:text>
          </item>
        </commentChain>
      </unresolved>
      <resolved/>
    </commentChains>
    <commentChains s:ref="AI480" rgbClr="FF0000">
      <unresolved>
        <commentChain chainId="1a9e3771a1b94a4a1df0686a3f608913b14f7227">
          <item id="348a696f106225bb5f38bfd00d94b3c3ae21e9c3" isNormal="1">
            <s:text>
              <s:r>
                <s:t xml:space="preserve">Administrator:
4001006 10/21 352pcs
华一F5</s:t>
              </s:r>
            </s:text>
          </item>
        </commentChain>
      </unresolved>
      <resolved/>
    </commentChains>
    <commentChains s:ref="AI481" rgbClr="FF0000">
      <unresolved>
        <commentChain chainId="07926c2d7eb9173a530a57be3515370b3b5cab6c">
          <item id="792068a298ba9e06ea9ae5121a36f65343a85bf4" isNormal="1">
            <s:text>
              <s:r>
                <s:t xml:space="preserve">Administrator:
4001006 10/21 1748pcs华一F5</s:t>
              </s:r>
            </s:text>
          </item>
        </commentChain>
      </unresolved>
      <resolved/>
    </commentChains>
    <commentChains s:ref="AI482" rgbClr="FF0000">
      <unresolved>
        <commentChain chainId="d605878a469384c9c24a511b1661b29f9a4a8abc">
          <item id="269b0ff12616781d1c6f40957afd72ba45f8a7a6" isNormal="1">
            <s:text>
              <s:r>
                <s:t xml:space="preserve">Administrator:
4001006 10/21 5000pcs
直走</s:t>
              </s:r>
            </s:text>
          </item>
        </commentChain>
      </unresolved>
      <resolved/>
    </commentChains>
    <commentChains s:ref="AI483" rgbClr="FF0000">
      <unresolved>
        <commentChain chainId="bac34e488e18596f67cfef4941c2da0db531ac2b">
          <item id="af34b672e52f18e4d24a6021f5fae8e4240e0e71" isNormal="1">
            <s:text>
              <s:r>
                <s:t xml:space="preserve">Administrator:
5000621 10/18 4176pcs华 一F12
5000131 10/22 328pcs
华一F12</s:t>
              </s:r>
            </s:text>
          </item>
        </commentChain>
      </unresolved>
      <resolved/>
    </commentChains>
    <commentChains s:ref="AI484" rgbClr="FF0000">
      <unresolved>
        <commentChain chainId="9fe6c9db275562845194590661ffe61df33c97b1">
          <item id="b3de0383732dc7581e005b1379b321011abd7f50" isNormal="1">
            <s:text>
              <s:r>
                <s:t xml:space="preserve">Administrator:
5000611 10/18 6812pcs华一F5</s:t>
              </s:r>
            </s:text>
          </item>
        </commentChain>
      </unresolved>
      <resolved/>
    </commentChains>
    <commentChains s:ref="AL484" rgbClr="FF0000">
      <unresolved>
        <commentChain chainId="16ac735d85a9e42b849f0d3fe7dd2768f54cc812">
          <item id="d9eeae8b5b6e0498c192bc8da7dcd3dbaaf2fe12" isNormal="1">
            <s:text>
              <s:r>
                <s:t xml:space="preserve">Administrator:
9/9 上客供RFID贴纸6812pcs
</s:t>
              </s:r>
            </s:text>
          </item>
        </commentChain>
      </unresolved>
      <resolved/>
    </commentChains>
    <commentChains s:ref="AI485" rgbClr="FF0000">
      <unresolved>
        <commentChain chainId="0b3b0ea47abf110f4f56e8ce513ab2e2d54fb25d">
          <item id="a66fb87bf1db00df447bdb1f6c34bade2cfb8524" isNormal="1">
            <s:text>
              <s:r>
                <s:t xml:space="preserve">Administrator:
5000616 10/18 5004pcs
华一F11
5000131 10/22 240pcs
一F11</s:t>
              </s:r>
            </s:text>
          </item>
        </commentChain>
      </unresolved>
      <resolved/>
    </commentChains>
    <commentChains s:ref="AL485" rgbClr="FF0000">
      <unresolved>
        <commentChain chainId="642230f516d25ee2aeecf746584f733844e90a72">
          <item id="db4131d3a83403c6cf89bc9dd52f8db506061638" isNormal="1">
            <s:text>
              <s:r>
                <s:t xml:space="preserve">Administrator:
9/23 上警语贴纸5244pcs
客版贴纸5244pcs
Kinderherz 贴纸5244pcs
9/23 上WEEE30LB 带电池走货说明书5244pcs</s:t>
              </s:r>
            </s:text>
          </item>
        </commentChain>
      </unresolved>
      <resolved/>
    </commentChains>
    <commentChains s:ref="AI486" rgbClr="FF0000">
      <unresolved>
        <commentChain chainId="019b9f03412eb83ecd0192503f6acff9ee922c64">
          <item id="3419a9443b82da2bbd07bee1a677c9a40846deed" isNormal="1">
            <s:text>
              <s:r>
                <s:t xml:space="preserve">Administrator:
5000601 10/17 3980pcs华一F5
5000611 10/18 20pcs华一F5</s:t>
              </s:r>
            </s:text>
          </item>
        </commentChain>
      </unresolved>
      <resolved/>
    </commentChains>
    <commentChains s:ref="AI487" rgbClr="FF0000">
      <unresolved>
        <commentChain chainId="9c48747b87fb85afb7cd2795a63dc5bec0460288">
          <item id="6281710bc6cd2822d905e15a4a68e0ce05591d02" isNormal="1">
            <s:text>
              <s:r>
                <s:t xml:space="preserve">Administrator:
5000135 10/22 8740pcs
华一F7.F9
5000132 10/22 8260pcs华一F7.一F9
</s:t>
              </s:r>
            </s:text>
          </item>
        </commentChain>
      </unresolved>
      <resolved/>
    </commentChains>
    <commentChains s:ref="AL487" rgbClr="FF0000">
      <unresolved>
        <commentChain chainId="60225919091b89138aa7b94925e9aa6a8750f914">
          <item id="d634bf4a37f09c8f71dc95b521d7feac30368f15" isNormal="1">
            <s:text>
              <s:r>
                <s:t xml:space="preserve">Administrator:
9/29 上客供外箱条码贴纸4293PCS</s:t>
              </s:r>
            </s:text>
          </item>
        </commentChain>
      </unresolved>
      <resolved/>
    </commentChains>
    <commentChains s:ref="AI488" rgbClr="FF0000">
      <unresolved>
        <commentChain chainId="20140f8644aca62df573354d27d59a046e532a90">
          <item id="d76360224d1747a95b77a240438261a5b043bdd3" isNormal="1">
            <s:text>
              <s:r>
                <s:t xml:space="preserve">Administrator:
5000150 10/23 1200pcs华3B12</s:t>
              </s:r>
            </s:text>
          </item>
        </commentChain>
      </unresolved>
      <resolved/>
    </commentChains>
    <commentChains s:ref="AL488" rgbClr="FF0000">
      <unresolved>
        <commentChain chainId="dfee38fbdd543e8c00172fe64a658da31784dc43">
          <item id="6251e53baad002b18d50747c30d3cf2c87815d23" isNormal="1">
            <s:text>
              <s:r>
                <s:t xml:space="preserve">Administrator:
9/25 上进口商贴纸1200pcs</s:t>
              </s:r>
            </s:text>
          </item>
        </commentChain>
      </unresolved>
      <resolved/>
    </commentChains>
    <commentChains s:ref="AI489" rgbClr="FF0000">
      <unresolved>
        <commentChain chainId="be0d50ddf174a1c228c70887b3a5b4bbb424733f">
          <item id="5c0987bba9232e570afe2f3b772b208514e08733" isNormal="1">
            <s:text>
              <s:r>
                <s:t xml:space="preserve">Administrator:
5000178 10/24 2000pcs华3A31</s:t>
              </s:r>
            </s:text>
          </item>
        </commentChain>
      </unresolved>
      <resolved/>
    </commentChains>
    <commentChains s:ref="AL489" rgbClr="FF0000">
      <unresolved>
        <commentChain chainId="bc44a649f841bdb80fff681ad91647d1fcd87ac4">
          <item id="2fa165c8742b8e89affb6eb41ce33af5c8b87bf9" isNormal="1">
            <s:text>
              <s:r>
                <s:t xml:space="preserve">Administrator:
9/26 多语折叠警语贴纸3500pcs
两个同PO共用
9/29 上WEEE带电池走货说明书3500pcs
</s:t>
              </s:r>
            </s:text>
          </item>
        </commentChain>
      </unresolved>
      <resolved/>
    </commentChains>
    <commentChains s:ref="AI490" rgbClr="FF0000">
      <unresolved>
        <commentChain chainId="6833be5f825a8d67a9feaeba4b1e15f5578d1f84">
          <item id="cad847c31b128c9b73baef86649e0a0e589b1816" isNormal="1">
            <s:text>
              <s:r>
                <s:t xml:space="preserve">Administrator:
4001013 10/24 1500pcs华3B8</s:t>
              </s:r>
            </s:text>
          </item>
        </commentChain>
      </unresolved>
      <resolved/>
    </commentChains>
    <commentChains s:ref="AI491" rgbClr="FF0000">
      <unresolved>
        <commentChain chainId="8170d6861b6e94066566776bc343715b1d884823">
          <item id="f8e171ef1884fa4d75de18043cca4696ffed89c0" isNormal="1">
            <s:text>
              <s:r>
                <s:t xml:space="preserve">Administrator:
4001009 10/22 1002pcs华一F5</s:t>
              </s:r>
            </s:text>
          </item>
        </commentChain>
      </unresolved>
      <resolved/>
    </commentChains>
    <commentChains s:ref="AL491" rgbClr="FF0000">
      <unresolved>
        <commentChain chainId="97dd86b8f4c1dec2fa77281ee506ae894edd33c4">
          <item id="b277b5563a70d8848c0f601a05c3cde35e8eb080" isNormal="1">
            <s:text>
              <s:r>
                <s:t xml:space="preserve">Administrator:
9/29 上进口商贴纸1002pcs
WEEE带电池走货说明书1002pcs</s:t>
              </s:r>
            </s:text>
          </item>
        </commentChain>
      </unresolved>
      <resolved/>
    </commentChains>
    <commentChains s:ref="AI492" rgbClr="FF0000">
      <unresolved>
        <commentChain chainId="e8f9966bc338705ff080effdd89b59e11f0d3027">
          <item id="4c3213b3b2741f5ad3f38da7635bc727efee753e" isNormal="1">
            <s:text>
              <s:r>
                <s:t xml:space="preserve">Administrator:
4001009 10/22 6000pcs
华一F5</s:t>
              </s:r>
            </s:text>
          </item>
        </commentChain>
      </unresolved>
      <resolved/>
    </commentChains>
    <commentChains s:ref="AI493" rgbClr="FF0000">
      <unresolved>
        <commentChain chainId="954744ac31708f55e99a35811d527f914f223e8a">
          <item id="b18f6816b486290638c4ea00bf66883544bec2ba" isNormal="1">
            <s:text>
              <s:r>
                <s:t xml:space="preserve">Administrator:
4001043 10/28 8012pcs
华一F7
3000117 10/28 5040pcs华一F7</s:t>
              </s:r>
            </s:text>
          </item>
        </commentChain>
      </unresolved>
      <resolved/>
    </commentChains>
    <commentChains s:ref="AL493" rgbClr="FF0000">
      <unresolved>
        <commentChain chainId="640bdc0ebc2db6f6f914e41c0dac8ee0629a5749">
          <item id="195312233cef3e0ef58fdb1c0d5dfe72b5efcb67" isNormal="1">
            <s:text>
              <s:r>
                <s:t xml:space="preserve">Administrator:
9/9 上客供RFID贴纸13052pcs
</s:t>
              </s:r>
            </s:text>
          </item>
        </commentChain>
      </unresolved>
      <resolved/>
    </commentChains>
    <commentChains s:ref="AI494" rgbClr="FF0000">
      <unresolved>
        <commentChain chainId="49fcb37d449ecaa223a6e48d0694bd094e41545e">
          <item id="12942e8d6c184486132b26906c6e4ef3a8c89a77" isNormal="1">
            <s:text>
              <s:r>
                <s:t xml:space="preserve">Administrator:
3000117 10/28 10192pcs
华一F4</s:t>
              </s:r>
            </s:text>
          </item>
        </commentChain>
      </unresolved>
      <resolved/>
    </commentChains>
    <commentChains s:ref="AL494" rgbClr="FF0000">
      <unresolved>
        <commentChain chainId="b3b26659793aac19903ad2bcc4d61603714fd7b6">
          <item id="56ca810af7127aafce42ec2a923646d02a4249e6" isNormal="1">
            <s:text>
              <s:r>
                <s:t xml:space="preserve">Administrator:
9/9 上客供RFID贴纸10192pcs
</s:t>
              </s:r>
            </s:text>
          </item>
        </commentChain>
      </unresolved>
      <resolved/>
    </commentChains>
    <commentChains s:ref="AI495" rgbClr="FF0000">
      <unresolved>
        <commentChain chainId="816c7833e395559e9de456bebc8881bbc5b18ef9">
          <item id="2530aefd40a33cfd67da26e8818652fb0eba674c" isNormal="1">
            <s:text>
              <s:r>
                <s:t xml:space="preserve">Administrator:
4001043 10/28 3840pcs华一F12</s:t>
              </s:r>
            </s:text>
          </item>
        </commentChain>
      </unresolved>
      <resolved/>
    </commentChains>
    <commentChains s:ref="AL495" rgbClr="FF0000">
      <unresolved>
        <commentChain chainId="518b03b9360a83034a903cb0753383d1c581a2ce">
          <item id="5c74a7c2a60aa01c23848e2e600ba714ce6ac83e" isNormal="1">
            <s:text>
              <s:r>
                <s:t xml:space="preserve">Administrator:
9/29 上客供RFID贴纸3840PCS
</s:t>
              </s:r>
            </s:text>
          </item>
        </commentChain>
      </unresolved>
      <resolved/>
    </commentChains>
    <commentChains s:ref="AI496" rgbClr="FF0000">
      <unresolved>
        <commentChain chainId="b4be056b8bf3acdafc8e75386866c2a9c60b6f3e">
          <item id="183d022b16a9b66644b8e1b654ac8d52342aa03a" isNormal="1">
            <s:text>
              <s:r>
                <s:t xml:space="preserve">Administrator:
4001044 10/28 3200pcs华一F12</s:t>
              </s:r>
            </s:text>
          </item>
        </commentChain>
      </unresolved>
      <resolved/>
    </commentChains>
    <commentChains s:ref="AL496" rgbClr="FF0000">
      <unresolved>
        <commentChain chainId="490518cb950ad83fb00dacd3789c2cee368ff774">
          <item id="d614e70621c5809c4d233293649cb04eaa34271d" isNormal="1">
            <s:text>
              <s:r>
                <s:t xml:space="preserve">Administrator:
9/29 上客供RFID贴纸3200PCS</s:t>
              </s:r>
            </s:text>
          </item>
        </commentChain>
      </unresolved>
      <resolved/>
    </commentChains>
    <commentChains s:ref="AI497" rgbClr="FF0000">
      <unresolved>
        <commentChain chainId="3bb2ad9f468f6427ebe968caad83487d3b46f001">
          <item id="5b897e831b6a8985ae8ac2b02ae00658c5b18ccf" isNormal="1">
            <s:text>
              <s:r>
                <s:t xml:space="preserve">Administrator:
4001044 10/28 3520pcs
华一F11-12</s:t>
              </s:r>
            </s:text>
          </item>
        </commentChain>
      </unresolved>
      <resolved/>
    </commentChains>
    <commentChains s:ref="AL497" rgbClr="FF0000">
      <unresolved>
        <commentChain chainId="c2a95c305855c9c7b0dd4f3f24db7fd63624bb2d">
          <item id="e82eb4a8a922ad35006c0f5ff49c5c5f3d01acf3" isNormal="1">
            <s:text>
              <s:r>
                <s:t xml:space="preserve">Administrator:
9/29 上客供RFID贴纸3520PCS</s:t>
              </s:r>
            </s:text>
          </item>
        </commentChain>
      </unresolved>
      <resolved/>
    </commentChains>
    <commentChains s:ref="AI498" rgbClr="FF0000">
      <unresolved>
        <commentChain chainId="16fb757a482874ac70fb9928d5efb8ad472f6e32">
          <item id="3438832d4ed1880b588926064fdf662bebcfa9d3" isNormal="1">
            <s:text>
              <s:r>
                <s:t xml:space="preserve">Administrator:
4001043 10/28 2560pcs
华一F12</s:t>
              </s:r>
            </s:text>
          </item>
        </commentChain>
      </unresolved>
      <resolved/>
    </commentChains>
    <commentChains s:ref="AL498" rgbClr="FF0000">
      <unresolved>
        <commentChain chainId="979ccd036f637df7c02240684c1d05e4cb62770a">
          <item id="b223e13d55789f0cb9ee6c12bb72bdafea13814d" isNormal="1">
            <s:text>
              <s:r>
                <s:t xml:space="preserve">Administrator:
9/29 上客供RFID贴纸2560PCS</s:t>
              </s:r>
            </s:text>
          </item>
        </commentChain>
      </unresolved>
      <resolved/>
    </commentChains>
    <commentChains s:ref="AI499" rgbClr="FF0000">
      <unresolved>
        <commentChain chainId="d2fb1ae056a8f183912cdd8e3d847383bb691bf4">
          <item id="033d7c9ca91463f36bdc18b36abced61290ae849" isNormal="1">
            <s:text>
              <s:r>
                <s:t xml:space="preserve">Administrator:
4001052 10/30 4980pcs
4001068 10/31 20pcs华3A28</s:t>
              </s:r>
            </s:text>
          </item>
        </commentChain>
      </unresolved>
      <resolved/>
    </commentChains>
    <commentChains s:ref="AL499" rgbClr="FF0000">
      <unresolved>
        <commentChain chainId="3710867c202ccb6938a15b61576484df7f55440d">
          <item id="847dfc602e442708fd631cce4a56e8e7598b2798" isNormal="1">
            <s:text>
              <s:r>
                <s:t xml:space="preserve">Administrator:
9/30 上UPC贴纸5000ｐｃｓ</s:t>
              </s:r>
            </s:text>
          </item>
        </commentChain>
      </unresolved>
      <resolved/>
    </commentChains>
    <commentChains s:ref="AI500" rgbClr="FF0000">
      <unresolved>
        <commentChain chainId="a7631f8f48e1346e26de03451cfdac33631321bc">
          <item id="01e7a9d3ee0abd7016ea954bf4108ae275f0ebd1" isNormal="1">
            <s:text>
              <s:r>
                <s:t xml:space="preserve">Administrator:
4001051 10/29 1504pcsB栋四楼4-B7</s:t>
              </s:r>
            </s:text>
          </item>
        </commentChain>
      </unresolved>
      <resolved/>
    </commentChains>
    <commentChains s:ref="AL500" rgbClr="FF0000">
      <unresolved>
        <commentChain chainId="f21cace97e6edeb119a02c8f4f26662b617157a3">
          <item id="154690fde8830ba88ce0dd96328e921ffaef455a" isNormal="1">
            <s:text>
              <s:r>
                <s:t xml:space="preserve">Administrator:
9/30 上B版WEEE带电池走货说明书1504ｐｃｓ</s:t>
              </s:r>
            </s:text>
          </item>
        </commentChain>
      </unresolved>
      <resolved/>
    </commentChains>
    <commentChains s:ref="AI501" rgbClr="FF0000">
      <unresolved>
        <commentChain chainId="0ea3282bdebfd31824c81ed9bfb193b68e676ad6">
          <item id="cb8c357d514c1e373e8720a1c7ff27bd9beb8eda" isNormal="1">
            <s:text>
              <s:r>
                <s:t xml:space="preserve">Administrator:
4001051 10/29 2880pcsB栋四楼4-A4
4001052 10/30 3120pcs
</s:t>
              </s:r>
            </s:text>
          </item>
        </commentChain>
      </unresolved>
      <resolved/>
    </commentChains>
    <commentChains s:ref="AI502" rgbClr="FF0000">
      <unresolved>
        <commentChain chainId="125755d84de2146e6c883ea6fddc62908e0c1faa">
          <item id="c1b674fd08f678cb373113abcfc7756bea63ac0f" isNormal="1">
            <s:text>
              <s:r>
                <s:t xml:space="preserve">Administrator:
4001071 10/31 1572pcs华3B12
</s:t>
              </s:r>
            </s:text>
          </item>
        </commentChain>
      </unresolved>
      <resolved/>
    </commentChains>
    <commentChains s:ref="AI503" rgbClr="FF0000">
      <unresolved>
        <commentChain chainId="4ad70a73ea3ae466c9474c06b8a279c19c6b7d87">
          <item id="1dfc5d9dee0af5615c813aba3cba456970d4f972" isNormal="1">
            <s:text>
              <s:r>
                <s:t xml:space="preserve">Administrator:
4001068 10/31 3520pcs华一F5</s:t>
              </s:r>
            </s:text>
          </item>
        </commentChain>
      </unresolved>
      <resolved/>
    </commentChains>
    <commentChains s:ref="AL503" rgbClr="FF0000">
      <unresolved>
        <commentChain chainId="97f64579a64ae1c7dec23a1095470ca8026cdef8">
          <item id="6ca23027d4ff3be801a4fd4430594f4fe6a3b4c3" isNormal="1">
            <s:text>
              <s:r>
                <s:t xml:space="preserve">Administrator:
9/29 上客供RFID贴纸3520PCS</s:t>
              </s:r>
            </s:text>
          </item>
        </commentChain>
      </unresolved>
      <resolved/>
    </commentChains>
    <commentChains s:ref="AI504" rgbClr="FF0000">
      <unresolved>
        <commentChain chainId="6a4b0eedb8a6cdd8e455d51c632ea19fb61b1184">
          <item id="81e42c76e918a404b1ad293ce3678776069d5217" isNormal="1">
            <s:text>
              <s:r>
                <s:t xml:space="preserve">Administrator:
4001068 10/31 1920pcs华一F5
</s:t>
              </s:r>
            </s:text>
          </item>
        </commentChain>
      </unresolved>
      <resolved/>
    </commentChains>
    <commentChains s:ref="AL504" rgbClr="FF0000">
      <unresolved>
        <commentChain chainId="07a1eb358938d530a0ec9239bab2ee408fb832d4">
          <item id="425cc9e0add723dd20fb693c280dfd88d5a6fec1" isNormal="1">
            <s:text>
              <s:r>
                <s:t xml:space="preserve">Administrator:
9/29 上客供RFID贴纸1920PCS</s:t>
              </s:r>
            </s:text>
          </item>
        </commentChain>
      </unresolved>
      <resolved/>
    </commentChains>
    <commentChains s:ref="AI505" rgbClr="FF0000">
      <unresolved>
        <commentChain chainId="90448beb2b40ebb62546fcd26a77525f3d3700dd">
          <item id="6319c02668e5ce69a4cad303c08a72411c3e317c" isNormal="1">
            <s:text>
              <s:r>
                <s:t xml:space="preserve">Administrator:
4001076 10/31 3000华一F5
</s:t>
              </s:r>
            </s:text>
          </item>
        </commentChain>
      </unresolved>
      <resolved/>
    </commentChains>
    <commentChains s:ref="AL505" rgbClr="FF0000">
      <unresolved>
        <commentChain chainId="b4e2e5ec40242ccdd2571a383434a74064d6e7f6">
          <item id="6b7edc5f9b20a1e069f8ba3c8675ef1cd6bab42b" isNormal="1">
            <s:text>
              <s:r>
                <s:t xml:space="preserve">Administrator:
10/14 上小纽扣电池警告语贴纸3000pcs
大纽扣电池警告语贴纸6000pcs</s:t>
              </s:r>
            </s:text>
          </item>
        </commentChain>
      </unresolved>
      <resolved/>
    </commentChains>
    <commentChains s:ref="AI506" rgbClr="FF0000">
      <unresolved>
        <commentChain chainId="95a2b3703d297b1b472eb1f451cb5b8720a9c027">
          <item id="cf07a81effe6e438a4356b2b735cc6a33b089001" isNormal="1">
            <s:text>
              <s:r>
                <s:t xml:space="preserve">Administrator:
4001081 11/1 504pcs</s:t>
              </s:r>
            </s:text>
          </item>
        </commentChain>
      </unresolved>
      <resolved/>
    </commentChains>
    <commentChains s:ref="AL506" rgbClr="FF0000">
      <unresolved>
        <commentChain chainId="fdff7fd240388839df7ab052945f9579870d6fd8">
          <item id="c5f431011d301ef0ef576c946c50ea85ad8dbd8e" isNormal="1">
            <s:text>
              <s:r>
                <s:t xml:space="preserve">Administrator:
10/14 上WEEE电子产品说明书30L(带电池走货B版504
UPC贴纸504pcs
获奖贴纸504pcs
10/16 上多语折叠警告语贴纸504pcs
10/28 上亚马逊外箱贴纸42ｐｃｓ</s:t>
              </s:r>
            </s:text>
          </item>
        </commentChain>
      </unresolved>
      <resolved/>
    </commentChains>
    <commentChains s:ref="AI507" rgbClr="FF0000">
      <unresolved>
        <commentChain chainId="61c0ac63262fab15f93df73b1ca547120ab2ae36">
          <item id="781425c650f43a0345e709869104e8d3306f4303" isNormal="1">
            <s:text>
              <s:r>
                <s:t xml:space="preserve">Administrator:
4001086 11/04 1888pcs华3B12</s:t>
              </s:r>
            </s:text>
          </item>
        </commentChain>
      </unresolved>
      <resolved/>
    </commentChains>
    <commentChains s:ref="AL507" rgbClr="FF0000">
      <unresolved>
        <commentChain chainId="0f1c15dd77d663145743deebadf0054636793dbc">
          <item id="0f17a219ff75defe11c9dae4b9c7d71ec3c10b8e" isNormal="1">
            <s:text>
              <s:r>
                <s:t xml:space="preserve">Administrator:
9/20 上进口商贴纸1888pcs</s:t>
              </s:r>
            </s:text>
          </item>
        </commentChain>
      </unresolved>
      <resolved/>
    </commentChains>
    <commentChains s:ref="AI508" rgbClr="FF0000">
      <unresolved>
        <commentChain chainId="8810df3d820b4276b235500455ba7358a1e487dc">
          <item id="ac942179e57dc5c36e31dedc92be4ab04d6ac692" isNormal="1">
            <s:text>
              <s:r>
                <s:t xml:space="preserve">Administrator:
4001081 11/1 504pcs
</s:t>
              </s:r>
            </s:text>
          </item>
        </commentChain>
      </unresolved>
      <resolved/>
    </commentChains>
    <commentChains s:ref="AI509" rgbClr="FF0000">
      <unresolved>
        <commentChain chainId="e66e305913dafb185115c322b85b070731e42be3">
          <item id="a4c91186ab0649bf9e6ecc20310228e3f640181f" isNormal="1">
            <s:text>
              <s:r>
                <s:t xml:space="preserve">Administrator:
4001091 11/5 14688pcs华一F4</s:t>
              </s:r>
            </s:text>
          </item>
        </commentChain>
      </unresolved>
      <resolved/>
    </commentChains>
    <commentChains s:ref="AL509" rgbClr="FF0000">
      <unresolved>
        <commentChain chainId="cec438e9fafc254553f4686ef6a1dbb975ddfdb2">
          <item id="0db10ee00be0d649a05faa81515b0d32b32efa7d" isNormal="1">
            <s:text>
              <s:r>
                <s:t xml:space="preserve">Administrator:
10/22 WEEE_带电池走货 _ 说明书欧洲EN+30L-B版14688pcs</s:t>
              </s:r>
            </s:text>
          </item>
        </commentChain>
      </unresolved>
      <resolved/>
    </commentChains>
    <commentChains s:ref="AI510" rgbClr="FF0000">
      <unresolved>
        <commentChain chainId="d8ce5a7c6cfc2f8b5daed6f9575da7eeeb36dd13">
          <item id="8ce29f058947372bc65d421a9084b7d6d018a08e" isNormal="1">
            <s:text>
              <s:r>
                <s:t xml:space="preserve">Administrator:
4001091 11/5 1200pcs华一F9
4001094 11/7 2052pcs
华一F9</s:t>
              </s:r>
            </s:text>
          </item>
        </commentChain>
      </unresolved>
      <resolved/>
    </commentChains>
    <commentChains s:ref="AI511" rgbClr="FF0000">
      <unresolved>
        <commentChain chainId="fa6ef4049e6e5827ff3fa45f0ff34b92484e85ae">
          <item id="69d7a29fe1d628a0bcd44baf085a468935039ebe" isNormal="1">
            <s:text>
              <s:r>
                <s:t xml:space="preserve">Administrator:
4001094 11/7 1752pcs华一F3</s:t>
              </s:r>
            </s:text>
          </item>
        </commentChain>
      </unresolved>
      <resolved/>
    </commentChains>
    <commentChains s:ref="AI512" rgbClr="FF0000">
      <unresolved>
        <commentChain chainId="51f5c1fe7ff59674b62bdd4137982133e6bc51c0">
          <item id="734ae9195705b672ff385a79ffbb97f4cdfabfc5" isNormal="1">
            <s:text>
              <s:r>
                <s:t xml:space="preserve">Administrator:
4001091 11/5 368pcs华一F3
</s:t>
              </s:r>
            </s:text>
          </item>
        </commentChain>
      </unresolved>
      <resolved/>
    </commentChains>
    <commentChains s:ref="AL512" rgbClr="FF0000">
      <unresolved>
        <commentChain chainId="932afb0af7c7d28c97dd3826262b72d8adc7370d">
          <item id="c87c8862f653dfc55f6a01f645da0093c2d366f4" isNormal="1">
            <s:text>
              <s:r>
                <s:t xml:space="preserve">Administrator:
9/26 上客供警语贴纸384pcs
客供电池警告语贴纸384pcs
客供中文警告语贴纸384pcs</s:t>
              </s:r>
            </s:text>
          </item>
        </commentChain>
      </unresolved>
      <resolved/>
    </commentChains>
    <commentChains s:ref="AI514" rgbClr="FF0000">
      <unresolved>
        <commentChain chainId="a1c9cac128a513a5d5a44f206f8d9d5151e64b45">
          <item id="050e53ba5579484ef960d86c393359e282280476" isNormal="1">
            <s:text>
              <s:r>
                <s:t xml:space="preserve">Administrator:
4000950 9/29 60pcs
兴信</s:t>
              </s:r>
            </s:text>
          </item>
        </commentChain>
      </unresolved>
      <resolved/>
    </commentChains>
    <commentChains s:ref="AI515" rgbClr="FF0000">
      <unresolved>
        <commentChain chainId="51cdab9baf453fff3a67e2606255f04cce002bf0">
          <item id="d9183e2297b4286aaaf2709d04c098f66ca1c8c3" isNormal="1">
            <s:text>
              <s:r>
                <s:t xml:space="preserve">Administrator:
4001005 10/20 192pcs
兴信</s:t>
              </s:r>
            </s:text>
          </item>
        </commentChain>
      </unresolved>
      <resolved/>
    </commentChains>
    <commentChains s:ref="AI516" rgbClr="FF0000">
      <unresolved>
        <commentChain chainId="01f63a0ad4e11bda739b9dd405f9c9ad69d17f60">
          <item id="e499ee6e86410b2c2e7fd8ab0e877c9b409f5c27" isNormal="1">
            <s:text>
              <s:r>
                <s:t xml:space="preserve">Administrator:
4001107 11/12 720pcs华3B8</s:t>
              </s:r>
            </s:text>
          </item>
        </commentChain>
      </unresolved>
      <resolved/>
    </commentChains>
    <commentChains s:ref="AL516" rgbClr="FF0000">
      <unresolved>
        <commentChain chainId="6ba9e72f3a0302f666a72036810ec2e711a38e61">
          <item id="c88448b11b8709ef469ab3404043a25fa8b50e03" isNormal="1">
            <s:text>
              <s:r>
                <s:t xml:space="preserve">Administrator:
9/26 上客供警语贴纸1488pcs
客供电池警告语贴纸1488pcs
客供中文警告语贴纸750pcs
</s:t>
              </s:r>
            </s:text>
          </item>
        </commentChain>
      </unresolved>
      <resolved/>
    </commentChains>
    <commentChains s:ref="AI517" rgbClr="FF0000">
      <unresolved>
        <commentChain chainId="d900eb67f45a4205e16a25c27859884a64815e10">
          <item id="8ac5adeb9f397526df6842a10e451f1977a0ef6f" isNormal="1">
            <s:text>
              <s:r>
                <s:t xml:space="preserve">Administrator:
4001106 11/11 3120pcs华1A4
4001105 11/11 3600pcs华1A4</s:t>
              </s:r>
            </s:text>
          </item>
        </commentChain>
      </unresolved>
      <resolved/>
    </commentChains>
    <commentChains s:ref="AL517" rgbClr="FF0000">
      <unresolved>
        <commentChain chainId="96867a29ef3546ed09b6ea6ae91badeef4ad330c">
          <item id="11fa42658db771d10d9a56af37838dfd175eea40" isNormal="1">
            <s:text>
              <s:r>
                <s:t xml:space="preserve">Administrator:
10/17 上客供RFID贴纸6720pcs</s:t>
              </s:r>
            </s:text>
          </item>
        </commentChain>
      </unresolved>
      <resolved/>
    </commentChains>
    <commentChains s:ref="AI518" rgbClr="FF0000">
      <unresolved>
        <commentChain chainId="02bd77ed13fb7184c6a83ebe15d0377f22ea83a2">
          <item id="99d5158ed05e0ae45970b3ad24acf239fd15fbff" isNormal="1">
            <s:text>
              <s:r>
                <s:t xml:space="preserve">Administrator:
4001106 11/11 5760pcs
华1A4
</s:t>
              </s:r>
            </s:text>
          </item>
        </commentChain>
      </unresolved>
      <resolved/>
    </commentChains>
    <commentChains s:ref="AL518" rgbClr="FF0000">
      <unresolved>
        <commentChain chainId="ff96ab9bf7264054fa462dd4e939b0a78327b364">
          <item id="1850f5e0d6c90eec533e1258813e8bfd04463ad8" isNormal="1">
            <s:text>
              <s:r>
                <s:t xml:space="preserve">Administrator:
10/17 上客供RFID贴纸5760pcs
</s:t>
              </s:r>
            </s:text>
          </item>
        </commentChain>
      </unresolved>
      <resolved/>
    </commentChains>
    <commentChains s:ref="AI519" rgbClr="FF0000">
      <unresolved>
        <commentChain chainId="8cb9a48385fe3b9990faabe7b70c90462f4a324d">
          <item id="6d5b8d5b84dce2e0604b9434e2e06ba8d44ff670" isNormal="1">
            <s:text>
              <s:r>
                <s:t xml:space="preserve">Administrator:
4001106 11/11 4800pcs
华1A4
</s:t>
              </s:r>
            </s:text>
          </item>
        </commentChain>
      </unresolved>
      <resolved/>
    </commentChains>
    <commentChains s:ref="AL519" rgbClr="FF0000">
      <unresolved>
        <commentChain chainId="46a3a5e451f27758ec142523b2990b8e780282f7">
          <item id="4a58c1022125451d5d66a63a34a9fd4e934fc563" isNormal="1">
            <s:text>
              <s:r>
                <s:t xml:space="preserve">Administrator:
10/17 上客供RFID贴纸4800pcs
</s:t>
              </s:r>
            </s:text>
          </item>
        </commentChain>
      </unresolved>
      <resolved/>
    </commentChains>
    <commentChains s:ref="AI520" rgbClr="FF0000">
      <unresolved>
        <commentChain chainId="313e183abaff3cd07a4fa00541303b2601c7ffcf">
          <item id="186278b03f80d5a4933f1c5909ce1ae117061fd1" isNormal="1">
            <s:text>
              <s:r>
                <s:t xml:space="preserve">Administrator:
4001107 11/12 4480pcs华一F5
</s:t>
              </s:r>
            </s:text>
          </item>
        </commentChain>
      </unresolved>
      <resolved/>
    </commentChains>
    <commentChains s:ref="AL520" rgbClr="FF0000">
      <unresolved>
        <commentChain chainId="731c2978b54af2d3861e0e8f6f8187308f89bbe4">
          <item id="eec6264e72ed9823e1cfcd4fb0a9c1e989373708" isNormal="1">
            <s:text>
              <s:r>
                <s:t xml:space="preserve">Administrator:
10/17 上客供RFID贴纸4480pcs
</s:t>
              </s:r>
            </s:text>
          </item>
        </commentChain>
      </unresolved>
      <resolved/>
    </commentChains>
    <commentChains s:ref="AI521" rgbClr="FF0000">
      <unresolved>
        <commentChain chainId="744d6ea3d8d5e58f21685910df368cf0dde8960d">
          <item id="1ffedfa237438771681ac64439ba30cae9561da0" isNormal="1">
            <s:text>
              <s:r>
                <s:t xml:space="preserve">Administrator:
4001107 11/12 3520pcs华一F5
</s:t>
              </s:r>
            </s:text>
          </item>
        </commentChain>
      </unresolved>
      <resolved/>
    </commentChains>
    <commentChains s:ref="AL521" rgbClr="FF0000">
      <unresolved>
        <commentChain chainId="e5eaf8735138357a750a4d74dddd64f90be5aefe">
          <item id="12198bbd09f76f9c1f0a0d47c778615b4d9ca05e" isNormal="1">
            <s:text>
              <s:r>
                <s:t xml:space="preserve">Administrator:
10/17 上客供RFID贴纸3520pcs
</s:t>
              </s:r>
            </s:text>
          </item>
        </commentChain>
      </unresolved>
      <resolved/>
    </commentChains>
    <commentChains s:ref="AI522" rgbClr="FF0000">
      <unresolved>
        <commentChain chainId="8fcb094c54ae27ad410dafb2d486bd75049c6fd5">
          <item id="c2ea7fa6c42b96897428749fbcb4ed9b80e02e1c" isNormal="1">
            <s:text>
              <s:r>
                <s:t xml:space="preserve">Administrator:
4001106 11/11 3600pcs
华1A4
4001107 11/12 560pcs华一F4
</s:t>
              </s:r>
            </s:text>
          </item>
        </commentChain>
      </unresolved>
      <resolved/>
    </commentChains>
    <commentChains s:ref="AL522" rgbClr="FF0000">
      <unresolved>
        <commentChain chainId="a9d418ca8ff7b9f4c94aacd1119791e3f3c4219b">
          <item id="816922c7da724d31f8e34a8b23976d0c88d2e1f7" isNormal="1">
            <s:text>
              <s:r>
                <s:t xml:space="preserve">Administrator:
10/17 上客供RFID贴纸4160pcs
</s:t>
              </s:r>
            </s:text>
          </item>
        </commentChain>
      </unresolved>
      <resolved/>
    </commentChains>
    <commentChains s:ref="AI523" rgbClr="FF0000">
      <unresolved>
        <commentChain chainId="571c4ca76e4c0b389afb7a207cf9229e910d9ed9">
          <item id="d76e3339ae32907f3d632c3ba13149e1abac9e57" isNormal="1">
            <s:text>
              <s:r>
                <s:t xml:space="preserve">Administrator:
4001107 11/12 5440pcs华一F4
</s:t>
              </s:r>
            </s:text>
          </item>
        </commentChain>
      </unresolved>
      <resolved/>
    </commentChains>
    <commentChains s:ref="AL523" rgbClr="FF0000">
      <unresolved>
        <commentChain chainId="cff2f243ed18c417f131ada215d6b07b6f669d09">
          <item id="4630fc33a90599dea3c79b0dcd7e9d0d88afc99e" isNormal="1">
            <s:text>
              <s:r>
                <s:t xml:space="preserve">Administrator:
10/17 上客供RFID贴纸5440pcs
</s:t>
              </s:r>
            </s:text>
          </item>
        </commentChain>
      </unresolved>
      <resolved/>
    </commentChains>
    <commentChains s:ref="AI524" rgbClr="FF0000">
      <unresolved>
        <commentChain chainId="86367d8457f7fbd1f70a5cf867e9e398dc68b51d">
          <item id="a10a5788f612ba3628e83b8a8ed0a2cf4f77c507" isNormal="1">
            <s:text>
              <s:r>
                <s:t xml:space="preserve">Administrator:
4001071 10/31 512pcs华3B14</s:t>
              </s:r>
            </s:text>
          </item>
        </commentChain>
      </unresolved>
      <resolved/>
    </commentChains>
    <commentChains s:ref="AL524" rgbClr="FF0000">
      <unresolved>
        <commentChain chainId="02a77bf5c86442cb6003da8d43b9632fcc53786a">
          <item id="af9c880f91d6040050ef9358adcbf9fc35028a51" isNormal="1">
            <s:text>
              <s:r>
                <s:t xml:space="preserve">Administrator:
10/14 上WEEE带电池走货欧洲30语通用黑白说明书512pcs</s:t>
              </s:r>
            </s:text>
          </item>
        </commentChain>
      </unresolved>
      <resolved/>
    </commentChains>
    <commentChains s:ref="AI525" rgbClr="FF0000">
      <unresolved>
        <commentChain chainId="5a90d69bd2d08f19def11ff1ae5efc220ea612a6">
          <item id="64d8026058e9f39b03e31be850d5d2bea287317d" isNormal="1">
            <s:text>
              <s:r>
                <s:t xml:space="preserve">Administrator:
4001102 11/07 504ｐｃｓB栋 4-B9</s:t>
              </s:r>
            </s:text>
          </item>
        </commentChain>
      </unresolved>
      <resolved/>
    </commentChains>
    <commentChains s:ref="AL525" rgbClr="FF0000">
      <unresolved>
        <commentChain chainId="7f6436e1f3a6629a2a319f865886d99b27ac6afc">
          <item id="5cc2d3caa3470da56114f7d03b80c5997905207a" isNormal="1">
            <s:text>
              <s:r>
                <s:t xml:space="preserve">Administrator:
10/28 上客人白色CATLABEL贴纸504ｐｃｓ
B版通用30L WEEE带电池走货说明书５０４ｐｃｓ</s:t>
              </s:r>
            </s:text>
          </item>
        </commentChain>
      </unresolved>
      <resolved/>
    </commentChains>
    <commentChains s:ref="AI526" rgbClr="FF0000">
      <unresolved>
        <commentChain chainId="fa3a966a38b03355702afaeb857a16cc9ff265d0">
          <item id="da8d9a31737e4bac4581e63c1556e428a297c7cb" isNormal="1">
            <s:text>
              <s:r>
                <s:t xml:space="preserve">Administrator:
4001105 11/11 1952pcs华1A3
</s:t>
              </s:r>
            </s:text>
          </item>
        </commentChain>
      </unresolved>
      <resolved/>
    </commentChains>
    <commentChains s:ref="AI527" rgbClr="FF0000">
      <unresolved>
        <commentChain chainId="f9b5fb83ad1a6537e102315dc20d0863e0aca642">
          <item id="bded69182e208d081976724426aee2e4206256eb" isNormal="1">
            <s:text>
              <s:r>
                <s:t xml:space="preserve">Administrator:
4001105 11/11 1048pcs华1A3</s:t>
              </s:r>
            </s:text>
          </item>
        </commentChain>
      </unresolved>
      <resolved/>
    </commentChains>
    <commentChains s:ref="AI528" rgbClr="FF0000">
      <unresolved>
        <commentChain chainId="1222ddba7c9e58bad008e95c11e70c35712fc003">
          <item id="c16ba1ce96abe2d83237f5698b4c1c0beaebc4f4" isNormal="1">
            <s:text>
              <s:r>
                <s:t xml:space="preserve">Administrator:
4001107 11/12 1008pcs华3B13
</s:t>
              </s:r>
            </s:text>
          </item>
        </commentChain>
      </unresolved>
      <resolved/>
    </commentChains>
    <commentChains s:ref="AL528" rgbClr="FF0000">
      <unresolved>
        <commentChain chainId="accad7a2874e2d85ca84a885648a8d9ef61db1f2">
          <item id="b83f0fa1145d96d043765aff1925bcec7b159acd" isNormal="1">
            <s:text>
              <s:r>
                <s:t xml:space="preserve">Administrator:
10/13 上进口商贴纸1812pcs
两个同PO共用</s:t>
              </s:r>
            </s:text>
          </item>
        </commentChain>
      </unresolved>
      <resolved/>
    </commentChains>
    <commentChains s:ref="AI529" rgbClr="FF0000">
      <unresolved>
        <commentChain chainId="3102d0c6d8019fea7700956a03c084001210d3d4">
          <item id="456f05abedb9f3f3226a81accd69afd65b16d3c5" isNormal="1">
            <s:text>
              <s:r>
                <s:t xml:space="preserve">Administrator:
4001107 11/12 804pcs华3B14
</s:t>
              </s:r>
            </s:text>
          </item>
        </commentChain>
      </unresolved>
      <resolved/>
    </commentChains>
    <commentChains s:ref="AI530" rgbClr="FF0000">
      <unresolved>
        <commentChain chainId="64f4bc161d9b3675850e002b691dcf4a80823729">
          <item id="85abbcdfd74011ffd994730187304465b2e9f791" isNormal="1">
            <s:text>
              <s:r>
                <s:t xml:space="preserve">Administrator:
4001102 11/07 5004ｐｃｓB械四楼-B7</s:t>
              </s:r>
            </s:text>
          </item>
        </commentChain>
      </unresolved>
      <resolved/>
    </commentChains>
    <commentChains s:ref="AL530" rgbClr="FF0000">
      <unresolved>
        <commentChain chainId="84d67fca15a00fe4b4ec4775f4977052aafc16c2">
          <item id="136d12f54c54f68c86cb74a6c94e75e142b56df8" isNormal="1">
            <s:text>
              <s:r>
                <s:t xml:space="preserve">Administrator:
10/22 上进口商贴纸5004pcs
10/22 WEEE_带电池走货 _ 说明书欧洲EN+30L-B版5004pcs
11/10 上进口商贴纸200ｐｃＳ补80297PO共用</s:t>
              </s:r>
            </s:text>
          </item>
        </commentChain>
      </unresolved>
      <resolved/>
    </commentChains>
    <commentChains s:ref="AI531" rgbClr="FF0000">
      <unresolved>
        <commentChain chainId="3c676b9b92c16ffd8683fb8e80037ae94a799891">
          <item id="90d5103f38ecc47f09d2ca9c619ebd99b25f6e85" isNormal="1">
            <s:text>
              <s:r>
                <s:t xml:space="preserve">Administrator:
4001121 11/18 2080PCS华一F11</s:t>
              </s:r>
            </s:text>
          </item>
        </commentChain>
      </unresolved>
      <resolved/>
    </commentChains>
    <commentChains s:ref="AI532" rgbClr="FF0000">
      <unresolved>
        <commentChain chainId="c9d584a285ecccf7494814a05d4bbdced1e796bc">
          <item id="9ccae28b7a484190bfe4f06c85b4da654c62e116" isNormal="1">
            <s:text>
              <s:r>
                <s:t xml:space="preserve">Administrator:
4001110 11/13 2240pcs一F9</s:t>
              </s:r>
            </s:text>
          </item>
        </commentChain>
      </unresolved>
      <resolved/>
    </commentChains>
    <commentChains s:ref="AL532" rgbClr="FF0000">
      <unresolved>
        <commentChain chainId="b93b2e91fdb3aba4cd0c5bb8e4a0e2cbf9ca714d">
          <item id="69cb514698edb38f8adb306eca162dcf81332d6f" isNormal="1">
            <s:text>
              <s:r>
                <s:t xml:space="preserve">Administrator:
10/17 上客供RFID贴纸2240pcs
</s:t>
              </s:r>
            </s:text>
          </item>
        </commentChain>
      </unresolved>
      <resolved/>
    </commentChains>
    <commentChains s:ref="AI533" rgbClr="FF0000">
      <unresolved>
        <commentChain chainId="8de03f8c3aaf58478758e7676fc32a35102631ca">
          <item id="649482c5dc47b6002a4fc00d17c850385c970dff" isNormal="1">
            <s:text>
              <s:r>
                <s:t xml:space="preserve">Administrator:
4001110 11/13 2880pcs一F9
</s:t>
              </s:r>
            </s:text>
          </item>
        </commentChain>
      </unresolved>
      <resolved/>
    </commentChains>
    <commentChains s:ref="AL533" rgbClr="FF0000">
      <unresolved>
        <commentChain chainId="4201293760c08aa447e515bca3a5c30f32e6678c">
          <item id="df1ce439ab43d99223e27c3a8981b411b9244f17" isNormal="1">
            <s:text>
              <s:r>
                <s:t xml:space="preserve">Administrator:
10/17 上客供RFID贴纸2880pcs
</s:t>
              </s:r>
            </s:text>
          </item>
        </commentChain>
      </unresolved>
      <resolved/>
    </commentChains>
    <commentChains s:ref="AI534" rgbClr="FF0000">
      <unresolved>
        <commentChain chainId="290da1d44ee856c85fce81b4975bae90291a5a03">
          <item id="01f28ed13397daf3f4e35a0f6fbbd432f116f58a" isNormal="1">
            <s:text>
              <s:r>
                <s:t xml:space="preserve">Administrator:
4001110 11/13 2560pcs一F9
</s:t>
              </s:r>
            </s:text>
          </item>
        </commentChain>
      </unresolved>
      <resolved/>
    </commentChains>
    <commentChains s:ref="AL534" rgbClr="FF0000">
      <unresolved>
        <commentChain chainId="cdd8073e3c82e7e65257cbd4f8b2237ab5813209">
          <item id="a0c7380707fd46d6a4197af18f8580f21f9ce41a" isNormal="1">
            <s:text>
              <s:r>
                <s:t xml:space="preserve">Administrator:
10/17 上客供RFID贴纸2560pcs
</s:t>
              </s:r>
            </s:text>
          </item>
        </commentChain>
      </unresolved>
      <resolved/>
    </commentChains>
    <commentChains s:ref="AI535" rgbClr="FF0000">
      <unresolved>
        <commentChain chainId="2b17004bfb442648f2ecfbc373512526b87906ef">
          <item id="003beb65896c9da40178d7fbf4ae09156eeed302" isNormal="1">
            <s:text>
              <s:r>
                <s:t xml:space="preserve">Administrator:
4001107 11/12 3000pcs华3B8
</s:t>
              </s:r>
            </s:text>
          </item>
        </commentChain>
      </unresolved>
      <resolved/>
    </commentChains>
    <commentChains s:ref="AI536" rgbClr="FF0000">
      <unresolved>
        <commentChain chainId="b71b541a861bbe05b741fb5dcbd4e7dfc88313ea">
          <item id="dd04ed6abeff452e34c0880e8ee77e3e26dd5620" isNormal="1">
            <s:text>
              <s:r>
                <s:t xml:space="preserve">Administrator:
4001121 11/18 3200PCS华一F11
</s:t>
              </s:r>
            </s:text>
          </item>
        </commentChain>
      </unresolved>
      <resolved/>
    </commentChains>
    <commentChains s:ref="AL536" rgbClr="FF0000">
      <unresolved>
        <commentChain chainId="9ee8548d4ff265fe8e8cc4cbb9340d6f3d28ef15">
          <item id="15b035a0f79becb12f2c6b923f58747c5c509533" isNormal="1">
            <s:text>
              <s:r>
                <s:t xml:space="preserve">Administrator:
11/10 上客户EAN条码贴纸3200pcs
ZURU带电池走货30语WEEE说明书3200PCS
PDQ数量贴纸3200PCS</s:t>
              </s:r>
            </s:text>
          </item>
        </commentChain>
      </unresolved>
      <resolved/>
    </commentChains>
    <commentChains s:ref="AI537" rgbClr="FF0000">
      <unresolved>
        <commentChain chainId="22d8c8450bbba70a5853af72740c71c0d58f90bb">
          <item id="7778bde7c15747f026dfe9381b9a911e2edba491" isNormal="1">
            <s:text>
              <s:r>
                <s:t xml:space="preserve">Administrator:
4001121 11/18 960PCS华一F11
</s:t>
              </s:r>
            </s:text>
          </item>
        </commentChain>
      </unresolved>
      <resolved/>
    </commentChains>
    <commentChains s:ref="AL537" rgbClr="FF0000">
      <unresolved>
        <commentChain chainId="c9dc193350270330c5d24a682d76223528d99589">
          <item id="ac16355c9c70a62c79df781ee42b7795e054ecae" isNormal="1">
            <s:text>
              <s:r>
                <s:t xml:space="preserve">Administrator:
9/26 上客供警语贴纸960pcs
客供电池警告语贴纸960pcs
客供中文警告语贴纸960pcs
</s:t>
              </s:r>
            </s:text>
          </item>
        </commentChain>
      </unresolved>
      <resolved/>
    </commentChains>
    <commentChains s:ref="AI538" rgbClr="FF0000">
      <unresolved>
        <commentChain chainId="7298fe4b5be5f496824f964104693792f80e910b">
          <item id="1a77ff643c58cb054a1721fdda6fd288b6533d34" isNormal="1">
            <s:text>
              <s:r>
                <s:t xml:space="preserve">Administrator:
4001128 11/24 600pcs
直走</s:t>
              </s:r>
            </s:text>
          </item>
        </commentChain>
      </unresolved>
      <resolved/>
    </commentChains>
    <commentChains s:ref="AL538" rgbClr="FF0000">
      <unresolved>
        <commentChain chainId="a3ac853ebb89fd564673aa77c834ee65092ae17c">
          <item id="ff47adf7a8e1496096eb42703347c6399f2a8b12" isNormal="1">
            <s:text>
              <s:r>
                <s:t xml:space="preserve">Administrator:
12/21 上收缩膜日语警语贴纸2004pcs
说明书日语警告语贴纸2004pcs
两个同PO共用</s:t>
              </s:r>
            </s:text>
          </item>
        </commentChain>
      </unresolved>
      <resolved/>
    </commentChains>
    <commentChains s:ref="AI539" rgbClr="FF0000">
      <unresolved>
        <commentChain chainId="b33ee77f27122ef8648ff9db9c1c566c53cb7b19">
          <item id="55beb7e87c3a90d37e7ab125431557da1db6bfa4" isNormal="1">
            <s:text>
              <s:r>
                <s:t xml:space="preserve">Administrator:
4001128 11/24 1404pcs
直走</s:t>
              </s:r>
            </s:text>
          </item>
        </commentChain>
      </unresolved>
      <resolved/>
    </commentChains>
    <commentChains s:ref="AI540" rgbClr="FF0000">
      <unresolved>
        <commentChain chainId="52e423ef2c2508c48d7b605810423e8e24b44bb0">
          <item id="5fdc2337cb4d808888ec38ab3161dfdd7279bf88" isNormal="1">
            <s:text>
              <s:r>
                <s:t xml:space="preserve">Administrator:
4001127 11/19 504pcs华一F4</s:t>
              </s:r>
            </s:text>
          </item>
        </commentChain>
      </unresolved>
      <resolved/>
    </commentChains>
    <commentChains s:ref="AL540" rgbClr="FF0000">
      <unresolved>
        <commentChain chainId="2bc85965b5f7a26e4daca923bb2a764ff42133bf">
          <item id="b358e6fb1a26c6d3ee27f57d35ea648da35f0fc5" isNormal="1">
            <s:text>
              <s:r>
                <s:t xml:space="preserve">Administrator:
10/17 上客供防窜码贴纸8184pcs 只限77673货号</s:t>
              </s:r>
            </s:text>
          </item>
        </commentChain>
      </unresolved>
      <resolved/>
    </commentChains>
    <commentChains s:ref="AI541" rgbClr="FF0000">
      <unresolved>
        <commentChain chainId="fd65fa6cf4eef23aa7855440ee1b47bd90d7e836">
          <item id="65d02fddf583754d32dae6e994a5311edb3e4915" isNormal="1">
            <s:text>
              <s:r>
                <s:t xml:space="preserve">Administrator:
4001127 11/19 1680pcs
华一F5</s:t>
              </s:r>
            </s:text>
          </item>
        </commentChain>
      </unresolved>
      <resolved/>
    </commentChains>
    <commentChains s:ref="AI542" rgbClr="FF0000">
      <unresolved>
        <commentChain chainId="086f2fabfc0b70316460bf40fe4ebc93bd6ad6cc">
          <item id="9d28958395a6fbfe013e84b4fa20d21134b07cbf" isNormal="1">
            <s:text>
              <s:r>
                <s:t xml:space="preserve">Administrator:
4001133 11/25 10008pcs华一F4</s:t>
              </s:r>
            </s:text>
          </item>
        </commentChain>
      </unresolved>
      <resolved/>
    </commentChains>
    <commentChains s:ref="AL542" rgbClr="FF0000">
      <unresolved>
        <commentChain chainId="48f7a1afb24adce974a27c70f0694e794f90ae04">
          <item id="8f0a1d4d1346f7c9951ff732ed5a7bf318637235" isNormal="1">
            <s:text>
              <s:r>
                <s:t xml:space="preserve">Administrator:
10/23 上进口商贴纸10008
UPC贴纸10008pcs</s:t>
              </s:r>
            </s:text>
          </item>
        </commentChain>
      </unresolved>
      <resolved/>
    </commentChains>
    <commentChains s:ref="AI543" rgbClr="FF0000">
      <unresolved>
        <commentChain chainId="2d1489cea1cca533078bdf78fb482df953f75426">
          <item id="c3c6569afb41705bccfaddf98433bccaddaa5cfe" isNormal="1">
            <s:text>
              <s:r>
                <s:t xml:space="preserve">Administrator:
4001119 11/17 13440pcs华3A5
4001120 11/17 4560PCS华3A4</s:t>
              </s:r>
            </s:text>
          </item>
        </commentChain>
      </unresolved>
      <resolved/>
    </commentChains>
    <commentChains s:ref="AL543" rgbClr="FF0000">
      <unresolved>
        <commentChain chainId="a04e657d47cc5b28f8bf190025f471da346bda67">
          <item id="70e39846c3facd81aacc0d99bf83bcf3a163d37d" isNormal="1">
            <s:text>
              <s:r>
                <s:t xml:space="preserve">Administrator:
11/6 上UPC贴纸18000pcs</s:t>
              </s:r>
            </s:text>
          </item>
        </commentChain>
      </unresolved>
      <resolved/>
    </commentChains>
    <commentChains s:ref="AI544" rgbClr="FF0000">
      <unresolved>
        <commentChain chainId="8d0f06376aac94aef9620ffd2c1412167a969411">
          <item id="3ee2ba94ecc2f8c5750bb4d24db2c86070e4fe18" isNormal="1">
            <s:text>
              <s:r>
                <s:t xml:space="preserve">Administrator:
4001127 11/19 2000pcs
华一F5</s:t>
              </s:r>
            </s:text>
          </item>
        </commentChain>
      </unresolved>
      <resolved/>
    </commentChains>
    <commentChains s:ref="AL544" rgbClr="FF0000">
      <unresolved>
        <commentChain chainId="b94223a26ed0774a65dacbbf3982703a5c98b545">
          <item id="5b90aeccb58e1223b415864262178c8b199d33b6" isNormal="1">
            <s:text>
              <s:r>
                <s:t xml:space="preserve">Administrator:
11/4 WEEE声明(带电池)走货欧洲通用30L-B版说明书2000ｐｃｓ
Kinderherz 2025 Logo贴纸2000ｐｃｓ</s:t>
              </s:r>
            </s:text>
          </item>
        </commentChain>
      </unresolved>
      <resolved/>
    </commentChains>
    <commentChains s:ref="AI545" rgbClr="FF0000">
      <unresolved>
        <commentChain chainId="e49486454f4169fbc218ad4cdf5015ddde2b2a70">
          <item id="1a60a6e32bc348b0f8560f9515953af97f5db21e" isNormal="1">
            <s:text>
              <s:r>
                <s:t xml:space="preserve">Administrator:
1200480 11/20 4400pcsB栋四楼B7</s:t>
              </s:r>
            </s:text>
          </item>
        </commentChain>
      </unresolved>
      <resolved/>
    </commentChains>
    <commentChains s:ref="AL545" rgbClr="FF0000">
      <unresolved>
        <commentChain chainId="9324e05833c9531956784346446c54229821e6e1">
          <item id="995c939c35b0037967e71e62634b7ef10721a63a" isNormal="1">
            <s:text>
              <s:r>
                <s:t xml:space="preserve">Administrator:
10/22 WEEE_带电池走货 _ 说明书欧洲EN+30L-B版4400pcs
10/23 上多语折叠贴纸4400pcs</s:t>
              </s:r>
            </s:text>
          </item>
        </commentChain>
      </unresolved>
      <resolved/>
    </commentChains>
    <commentChains s:ref="AI546" rgbClr="FF0000">
      <unresolved>
        <commentChain chainId="d87825144f697a91d3a8c09b9b4204679897f187">
          <item id="f8be429cfab04418316efd7c97aeb756b4dcf8bb" isNormal="1">
            <s:text>
              <s:r>
                <s:t xml:space="preserve">Administrator:
4001139 11/26 5472pcs
华3A17-18
4001139 11/26 4536pcs
华3A17-18</s:t>
              </s:r>
            </s:text>
          </item>
        </commentChain>
      </unresolved>
      <resolved/>
    </commentChains>
    <commentChains s:ref="AL546" rgbClr="FF0000">
      <unresolved>
        <commentChain chainId="c507994762910ed55aa2da4731749e2166ca4acd">
          <item id="86ec23ad4d23f3d2cc2349869fbecdf43f09ab41" isNormal="1">
            <s:text>
              <s:r>
                <s:t xml:space="preserve">Administrator:
9/25 上3C贴纸50664pcs 共用
11/18 上空白贴纸33600pcs</s:t>
              </s:r>
            </s:text>
          </item>
        </commentChain>
      </unresolved>
      <resolved/>
    </commentChains>
    <commentChains s:ref="AI547" rgbClr="FF0000">
      <unresolved>
        <commentChain chainId="3010912a163ebba4e8b0fa26a5ced975fd793cd1">
          <item id="d6638207878c7e79af7e059d66537189e39825a1" isNormal="1">
            <s:text>
              <s:r>
                <s:t xml:space="preserve">Administrator:
4001139 11/26 660pcs
华一F3</s:t>
              </s:r>
            </s:text>
          </item>
        </commentChain>
      </unresolved>
      <resolved/>
    </commentChains>
    <commentChains s:ref="AI548" rgbClr="FF0000">
      <unresolved>
        <commentChain chainId="2bc58b858cd8194a84fd856d132126abe833ce9a">
          <item id="1c8ad854b70762bd9915fcc015fd8e7a3fd5e725" isNormal="1">
            <s:text>
              <s:r>
                <s:t xml:space="preserve">Administrator:
4001132 11/24 1440pcs华1A4
4001134 11/25 2720pcs华一A4</s:t>
              </s:r>
            </s:text>
          </item>
        </commentChain>
      </unresolved>
      <resolved/>
    </commentChains>
    <commentChains s:ref="AL548" rgbClr="FF0000">
      <unresolved>
        <commentChain chainId="c8f3b1f98e5f44130c49b5ec4f663bdc80311bd4">
          <item id="ed16a05280f1669abb7b0678c4c6289b7f4d5da0" isNormal="1">
            <s:text>
              <s:r>
                <s:t xml:space="preserve">Administrator:
10/31 上客供RFID贴纸4160ｐｃｓ</s:t>
              </s:r>
            </s:text>
          </item>
        </commentChain>
      </unresolved>
      <resolved/>
    </commentChains>
    <commentChains s:ref="AI549" rgbClr="FF0000">
      <unresolved>
        <commentChain chainId="b45d3e2ae626e1456c15a2146c45db1d6eeae1ed">
          <item id="d3c35644c43aa1ca1bc3dc0ec7b426e3418e422b" isNormal="1">
            <s:text>
              <s:r>
                <s:t xml:space="preserve">Administrator:
4001128 11/24 5760pcs华一F7</s:t>
              </s:r>
            </s:text>
          </item>
        </commentChain>
      </unresolved>
      <resolved/>
    </commentChains>
    <commentChains s:ref="AL549" rgbClr="FF0000">
      <unresolved>
        <commentChain chainId="a1fe16bc0f73c7d45d85083a3d4452f4b431cc45">
          <item id="12cc7b5cb7952c0f180a8d14fa2b633d2d996232" isNormal="1">
            <s:text>
              <s:r>
                <s:t xml:space="preserve">Administrator:
10/31 上客供RFID贴纸5760ｐｃｓ
</s:t>
              </s:r>
            </s:text>
          </item>
        </commentChain>
      </unresolved>
      <resolved/>
    </commentChains>
    <commentChains s:ref="AI550" rgbClr="FF0000">
      <unresolved>
        <commentChain chainId="af601c0590f6a7c6e1762d12cee1af7f1ca8f58d">
          <item id="e8e2ec472f5ce090c7b9a014549269bb0e4945f2" isNormal="1">
            <s:text>
              <s:r>
                <s:t xml:space="preserve">Administrator:
4001128 11/24 5760pcs华一F5.F7</s:t>
              </s:r>
            </s:text>
          </item>
        </commentChain>
      </unresolved>
      <resolved/>
    </commentChains>
    <commentChains s:ref="AL550" rgbClr="FF0000">
      <unresolved>
        <commentChain chainId="561e6d9426e37b92127ff2a399048260ae1a5089">
          <item id="50e5b7411a63be03b72799c140a1b7a0fe5b7539" isNormal="1">
            <s:text>
              <s:r>
                <s:t xml:space="preserve">Administrator:
10/31 上客供RFID贴纸5760ｐｃｓ
</s:t>
              </s:r>
            </s:text>
          </item>
        </commentChain>
      </unresolved>
      <resolved/>
    </commentChains>
    <commentChains s:ref="AI551" rgbClr="FF0000">
      <unresolved>
        <commentChain chainId="2b1e787421d6e2f7fdb071d55f90793cdfabca28">
          <item id="5474a6763250f2ef301c0b5cb409f13b29ab3e01" isNormal="1">
            <s:text>
              <s:r>
                <s:t xml:space="preserve">Administrator:
4001134 11/25 4480pcs
华一F12</s:t>
              </s:r>
            </s:text>
          </item>
        </commentChain>
      </unresolved>
      <resolved/>
    </commentChains>
    <commentChains s:ref="AL551" rgbClr="FF0000">
      <unresolved>
        <commentChain chainId="abbd0a5dfba3ae8a184e6c75298c6ac80882c716">
          <item id="5ae6c4dcb74574d94bc1e24bdbd67932695b0cd3" isNormal="1">
            <s:text>
              <s:r>
                <s:t xml:space="preserve">Administrator:
10/31 上客供RFID贴纸4480ｐｃｓ
</s:t>
              </s:r>
            </s:text>
          </item>
        </commentChain>
      </unresolved>
      <resolved/>
    </commentChains>
    <commentChains s:ref="AI552" rgbClr="FF0000">
      <unresolved>
        <commentChain chainId="256824f6e42787b8a565b40e64d8f88a16828b8e">
          <item id="9e90d9cae2e9238f6c322facdd2e2d7e74df1e32" isNormal="1">
            <s:text>
              <s:r>
                <s:t xml:space="preserve">Administrator:
4001134 11/25 4160pcs
华一F11</s:t>
              </s:r>
            </s:text>
          </item>
        </commentChain>
      </unresolved>
      <resolved/>
    </commentChains>
    <commentChains s:ref="AL552" rgbClr="FF0000">
      <unresolved>
        <commentChain chainId="f776ce33e65a8c9da36feadbad29e14539a18307">
          <item id="5e5d85854df5d1a2af4d4c8f7a0f392320244272" isNormal="1">
            <s:text>
              <s:r>
                <s:t xml:space="preserve">Administrator:
10/31 上客供RFID贴纸4160ｐｃｓ
</s:t>
              </s:r>
            </s:text>
          </item>
        </commentChain>
      </unresolved>
      <resolved/>
    </commentChains>
    <commentChains s:ref="AI553" rgbClr="FF0000">
      <unresolved>
        <commentChain chainId="4e866531f774f2a5a691f0b1b3ef07428f0cae7b">
          <item id="534af973ada7cc85fb98fd3cebfed0e45f02501a" isNormal="1">
            <s:text>
              <s:r>
                <s:t xml:space="preserve">Administrator:
4001137 11/25 1440pcs
华一F3
4001134 11/25 1760pcs
华一F3</s:t>
              </s:r>
            </s:text>
          </item>
        </commentChain>
      </unresolved>
      <resolved/>
    </commentChains>
    <commentChains s:ref="AL553" rgbClr="FF0000">
      <unresolved>
        <commentChain chainId="93ab0ef1538f3978d6c65c301b9f81cb6d4cfd6d">
          <item id="f79e546ab4696f41a323a570e05357033fa8134c" isNormal="1">
            <s:text>
              <s:r>
                <s:t xml:space="preserve">Administrator:
10/31 上客供RFID贴纸3200ｐｃｓ
</s:t>
              </s:r>
            </s:text>
          </item>
        </commentChain>
      </unresolved>
      <resolved/>
    </commentChains>
    <commentChains s:ref="AI554" rgbClr="FF0000">
      <unresolved>
        <commentChain chainId="c11aa34d197a5df90309b3f09baf79b338252ab5">
          <item id="5edb4463258c1a9ab290d423487dace3fcc9a718" isNormal="1">
            <s:text>
              <s:r>
                <s:t xml:space="preserve">Administrator:
4001134 11/25 3520pcs
华一F5</s:t>
              </s:r>
            </s:text>
          </item>
        </commentChain>
      </unresolved>
      <resolved/>
    </commentChains>
    <commentChains s:ref="AL554" rgbClr="FF0000">
      <unresolved>
        <commentChain chainId="91a5632cad2889cea3d7ae8f2c2714cc133f0ef6">
          <item id="8504a135abcce8ae6bcd0cd2f45a3f9cbca33e5b" isNormal="1">
            <s:text>
              <s:r>
                <s:t xml:space="preserve">Administrator:
10/31 上客供RFID贴纸3520ｐｃｓ
</s:t>
              </s:r>
            </s:text>
          </item>
        </commentChain>
      </unresolved>
      <resolved/>
    </commentChains>
    <commentChains s:ref="AI555" rgbClr="FF0000">
      <unresolved>
        <commentChain chainId="b92d2a27a76c43eda1d59c0c50262afece78048a">
          <item id="fe4c05ba3f89f74b9922a792dc91ea84a1f87e07" isNormal="1">
            <s:text>
              <s:r>
                <s:t xml:space="preserve">Administrator:
4001143 11/27 720pcs
华一F9
4001143 11/28 2480pcs
华1f9</s:t>
              </s:r>
            </s:text>
          </item>
        </commentChain>
      </unresolved>
      <resolved/>
    </commentChains>
    <commentChains s:ref="AI556" rgbClr="FF0000">
      <unresolved>
        <commentChain chainId="878bf96d0a8f77af618906dff56c5e1a09314661">
          <item id="95db55955424c0e5e3600b3e8e55477f50696448" isNormal="1">
            <s:text>
              <s:r>
                <s:t xml:space="preserve">Administrator:
4001146 11/28 4200pcs
王4b9</s:t>
              </s:r>
            </s:text>
          </item>
        </commentChain>
      </unresolved>
      <resolved/>
    </commentChains>
    <commentChains s:ref="AL556" rgbClr="FF0000">
      <unresolved>
        <commentChain chainId="545ea30ed9b44efc55a380fb7336c2d498e53b1e">
          <item id="2b3358d29b3833880e7e7fa5fc963250bc689bca" isNormal="1">
            <s:text>
              <s:r>
                <s:t xml:space="preserve">Administrator:
11/10 上说明书纽扣电池警告语贴纸8400pcs
收缩膜纽扣电池警告语贴纸4200pcs
11/14 上KM单外箱贴纸350pcs
11/22 上白色防盗贴纸4200pcs</s:t>
              </s:r>
            </s:text>
          </item>
        </commentChain>
      </unresolved>
      <resolved/>
    </commentChains>
    <commentChains s:ref="AI557" rgbClr="FF0000">
      <unresolved>
        <commentChain chainId="c5ab7c1f94da6a2406f76e9abfcd4dd26a469094">
          <item id="86fbf5651143a83f37e2d532c45bf06bf5ca495c" isNormal="1">
            <s:text>
              <s:r>
                <s:t xml:space="preserve">Administrator:
4001146 11/28 420pcs
王4b9</s:t>
              </s:r>
            </s:text>
          </item>
        </commentChain>
      </unresolved>
      <resolved/>
    </commentChains>
    <commentChains s:ref="AL557" rgbClr="FF0000">
      <unresolved>
        <commentChain chainId="72b3e536608b6a32892325b52e02837cb711abda">
          <item id="2fb7c3eededf52d15e785629a190c0118a47fca2" isNormal="1">
            <s:text>
              <s:r>
                <s:t xml:space="preserve">Administrator:
11/10 上说明书纽扣电池警告语贴纸840pcs
收缩膜纽扣电池警告语贴纸420pcs
11/14 上KM单外箱贴纸35pcs
11/22 上白色防盗贴纸420pcs
</s:t>
              </s:r>
            </s:text>
          </item>
        </commentChain>
      </unresolved>
      <resolved/>
    </commentChains>
    <commentChains s:ref="AI558" rgbClr="FF0000">
      <unresolved>
        <commentChain chainId="bceb7a9455db961f692f11a1da71a268808037b3">
          <item id="5b9680ccfc159b95e6b033639edf1097f5f6205e" isNormal="1">
            <s:text>
              <s:r>
                <s:t xml:space="preserve">Administrator:
4001137 11/25 1440pcs
华一F11
4001139 11/26 9706pcs
</s:t>
              </s:r>
            </s:text>
          </item>
        </commentChain>
      </unresolved>
      <resolved/>
    </commentChains>
    <commentChains s:ref="AL558" rgbClr="FF0000">
      <unresolved>
        <commentChain chainId="c87209c9828c326c31d1ce320c7a0a39625c861d">
          <item id="4378fef5702224297edc7add78d4ce8836941b8d" isNormal="1">
            <s:text>
              <s:r>
                <s:t xml:space="preserve">Administrator:
11/6 上客供外箱条码贴纸2655pcs
</s:t>
              </s:r>
            </s:text>
          </item>
        </commentChain>
      </unresolved>
      <resolved/>
    </commentChains>
    <commentChains s:ref="AI559" rgbClr="FF0000">
      <unresolved>
        <commentChain chainId="2cff58e21eec23ce871f5054b29e61b4094958bf">
          <item id="8cd841a6a2043d1b483ae12da34894911d4b3b4d" isNormal="1">
            <s:text>
              <s:r>
                <s:t xml:space="preserve">Administrator:
4001144 11/28 360pcs
华1b2</s:t>
              </s:r>
            </s:text>
          </item>
        </commentChain>
      </unresolved>
      <resolved/>
    </commentChains>
    <commentChains s:ref="AL559" rgbClr="FF0000">
      <unresolved>
        <commentChain chainId="9f48a91c635712eabd58797837f3f3f782609645">
          <item id="79954a24f54bf77e68af9baa60db6fb9996e6ae7" isNormal="1">
            <s:text>
              <s:r>
                <s:t xml:space="preserve">Administrator:
10/25 上瑞典警告语贴纸360pcs
内袋贴纸1 1440pcs
内袋贴纸2 4320pcs
WEEE 带电B版30L 说明书360pcs</s:t>
              </s:r>
            </s:text>
          </item>
        </commentChain>
      </unresolved>
      <resolved/>
    </commentChains>
    <commentChains s:ref="AI560" rgbClr="FF0000">
      <unresolved>
        <commentChain chainId="484472fd0ba6ffeebe31f5540197c504fe4bc95d">
          <item id="38c44678efeff5f3697cf73142e380e4c735d773" isNormal="1">
            <s:text>
              <s:r>
                <s:t xml:space="preserve">Administrator:
4001143 11/27 1068pcs
华3B17</s:t>
              </s:r>
            </s:text>
          </item>
        </commentChain>
      </unresolved>
      <resolved/>
    </commentChains>
    <commentChains s:ref="AL560" rgbClr="FF0000">
      <unresolved>
        <commentChain chainId="1ba8272f539f5a39ad0ead852b158b6b08dece10">
          <item id="6aa8441c52ced98bf983b174eb14beda5becbf62" isNormal="1">
            <s:text>
              <s:r>
                <s:t xml:space="preserve">Administrator:
11/11 上亚马逊外箱贴纸89pcs
11/13 上UPC贴纸1068pcs
+WEEE电子产品说明书30L(带电池走货B版1068pcs
获奖贴纸1068pcs
多语可折叠警告语贴纸1068pcs</s:t>
              </s:r>
            </s:text>
          </item>
        </commentChain>
      </unresolved>
      <resolved/>
    </commentChains>
    <commentChains s:ref="AI561" rgbClr="FF0000">
      <unresolved>
        <commentChain chainId="fe7d4d67183d70ad00b316f27e98a7b9cdee39ab">
          <item id="53560ed7f9370d0e0617747e6a84de3519cf97e3" isNormal="1">
            <s:text>
              <s:r>
                <s:t xml:space="preserve">Administrator:
4001146 11/28 534pcs
华1楼
4001144 11/28 9450pcs 华1a4
4001158 11/28 18pcs</s:t>
              </s:r>
            </s:text>
          </item>
        </commentChain>
      </unresolved>
      <resolved/>
    </commentChains>
    <commentChains s:ref="AI562" rgbClr="FF0000">
      <unresolved>
        <commentChain chainId="20bba4522dc3a5559d9addfc7e8ea8893e65aa95">
          <item id="f901d0018cd83b60302be3f39007ab273429c70b" isNormal="1">
            <s:text>
              <s:r>
                <s:t xml:space="preserve">Administrator:
4001143 11/27 408pcs
华3B7</s:t>
              </s:r>
            </s:text>
          </item>
        </commentChain>
      </unresolved>
      <resolved/>
    </commentChains>
    <commentChains s:ref="AL562" rgbClr="FF0000">
      <unresolved>
        <commentChain chainId="c5588984f09af268002510f2906d6bf90ace7011">
          <item id="dee9fa710f0cfdcf4faba6f324c11945926c0f2e" isNormal="1">
            <s:text>
              <s:r>
                <s:t xml:space="preserve">Administrator:
11/18 上进口商贴纸408pcs
UPC 贴纸408pcs</s:t>
              </s:r>
            </s:text>
          </item>
        </commentChain>
      </unresolved>
      <resolved/>
    </commentChains>
    <commentChains s:ref="AI563" rgbClr="FF0000">
      <unresolved>
        <commentChain chainId="b7509ed960054f9cc2e9e7c7b55f43e31044fd39">
          <item id="33cf81c8af1558a7b94936b568bbc87f346b099b" isNormal="1">
            <s:text>
              <s:r>
                <s:t xml:space="preserve">Administrator:
4001146 11/28 576pcs
王4b9</s:t>
              </s:r>
            </s:text>
          </item>
        </commentChain>
      </unresolved>
      <resolved/>
    </commentChains>
    <commentChains s:ref="AL563" rgbClr="FF0000">
      <unresolved>
        <commentChain chainId="4191aab61b8cd8005509b1d1c08f099ca62fb589">
          <item id="ad07c22c0c98284db5c28b1ef393378d456782cb" isNormal="1">
            <s:text>
              <s:r>
                <s:t xml:space="preserve">Administrator:
11/22 客供中文警告说明书600pcs
上客供警语贴纸600pcs
客供电池警告语贴纸600pcs</s:t>
              </s:r>
            </s:text>
          </item>
        </commentChain>
      </unresolved>
      <resolved/>
    </commentChains>
    <commentChains s:ref="AI564" rgbClr="FF0000">
      <unresolved>
        <commentChain chainId="3ec4e0dbd4d88e14f4ca4604a8573b28bb2d4439">
          <item id="f59a5b23d4d20abe71b733b253c9b36cc7c8b252" isNormal="1">
            <s:text>
              <s:r>
                <s:t xml:space="preserve">Administrator:
3000521 12/4 300pcs华3b15
</s:t>
              </s:r>
            </s:text>
          </item>
        </commentChain>
      </unresolved>
      <resolved/>
    </commentChains>
    <commentChains s:ref="AL564" rgbClr="FF0000">
      <unresolved>
        <commentChain chainId="deb6ee75673c81555c2d9babce61df82d4b766c3">
          <item id="eeea765fbe05ab8515083289c8ca6c7c33f8fb10" isNormal="1">
            <s:text>
              <s:r>
                <s:t xml:space="preserve">Administrator:
11/22 上客供中文警告说明书贴纸318pcs</s:t>
              </s:r>
            </s:text>
          </item>
        </commentChain>
      </unresolved>
      <resolved/>
    </commentChains>
    <commentChains s:ref="AI565" rgbClr="FF0000">
      <unresolved>
        <commentChain chainId="349bd1e09698bbb338e1c261c83282f32b7f8bcb">
          <item id="9468bbb0a50c72742b6b319b2993a4db75fb33a0" isNormal="1">
            <s:text>
              <s:r>
                <s:t xml:space="preserve">Administrator:
3000523 12/4 3520pcs华1f9</s:t>
              </s:r>
            </s:text>
          </item>
        </commentChain>
      </unresolved>
      <resolved/>
    </commentChains>
    <commentChains s:ref="AL565" rgbClr="FF0000">
      <unresolved>
        <commentChain chainId="c700033d57991ab567387be423ea54ea1a2d6d8d">
          <item id="76ca59ec4553c7c52a1f12f5b5150f7ccc1f9578" isNormal="1">
            <s:text>
              <s:r>
                <s:t xml:space="preserve">Administrator:
11/22上客供RFID贴纸3520pcs
</s:t>
              </s:r>
            </s:text>
          </item>
        </commentChain>
      </unresolved>
      <resolved/>
    </commentChains>
    <commentChains s:ref="AI566" rgbClr="FF0000">
      <unresolved>
        <commentChain chainId="1ce30aeffc2f7a96961305b89a092ad0032d05ad">
          <item id="83391e2af41b2123458f6b24c6357e0deb363dd2" isNormal="1">
            <s:text>
              <s:r>
                <s:t xml:space="preserve">Administrator:
3000524 12/5 720pcs 华3a20
3000528 12/6 3120pcs华3a20</s:t>
              </s:r>
            </s:text>
          </item>
        </commentChain>
      </unresolved>
      <resolved/>
    </commentChains>
    <commentChains s:ref="AL566" rgbClr="FF0000">
      <unresolved>
        <commentChain chainId="0d68326874c9828861b6e7c2f389ee2c46e5ac1f">
          <item id="d89f463e6833dbc3152f2cc3f5ce4a6e90b10d7b" isNormal="1">
            <s:text>
              <s:r>
                <s:t xml:space="preserve">Administrator:
11/22上客供RFID贴纸3840pcs</s:t>
              </s:r>
            </s:text>
          </item>
        </commentChain>
      </unresolved>
      <resolved/>
    </commentChains>
    <commentChains s:ref="AI567" rgbClr="FF0000">
      <unresolved>
        <commentChain chainId="aa6b28deaef85d365cf231b4486c43bb10451b32">
          <item id="e28fe7666f627b1bcca55b40c9d26bd1ca9d2057" isNormal="1">
            <s:text>
              <s:r>
                <s:t xml:space="preserve">Administrator:
3000523 12/4 4160pcs
华1f93000523 12/4 4160pcs
华1f9
</s:t>
              </s:r>
            </s:text>
          </item>
        </commentChain>
      </unresolved>
      <resolved/>
    </commentChains>
    <commentChains s:ref="AL567" rgbClr="FF0000">
      <unresolved>
        <commentChain chainId="94e44a1f577e9d6ffd757de2035ab767c1a8b487">
          <item id="1ef16c34a7cfdabd5f3d72bee4d2de0f27de1ea9" isNormal="1">
            <s:text>
              <s:r>
                <s:t xml:space="preserve">Administrator:
11/22上客供RFID贴纸4160pcs</s:t>
              </s:r>
            </s:text>
          </item>
        </commentChain>
      </unresolved>
      <resolved/>
    </commentChains>
    <commentChains s:ref="AI568" rgbClr="FF0000">
      <unresolved>
        <commentChain chainId="c7df95784000f820d7360b6f7bb4a7ccf6aa2d06">
          <item id="645e6c153531c144e16a378547b8ba5dcb475634" isNormal="1">
            <s:text>
              <s:r>
                <s:t xml:space="preserve">Administrator:
3000524 12/5 5760pcs
华3a22</s:t>
              </s:r>
            </s:text>
          </item>
        </commentChain>
      </unresolved>
      <resolved/>
    </commentChains>
    <commentChains s:ref="AL568" rgbClr="FF0000">
      <unresolved>
        <commentChain chainId="c3531eca93adc3c6dd95cb5ce2304f6315cd2f25">
          <item id="939461f3a1fd2366e3254ab784de5592fa27cd69" isNormal="1">
            <s:text>
              <s:r>
                <s:t xml:space="preserve">Administrator:
11/22上客供RFID贴纸5760pcs</s:t>
              </s:r>
            </s:text>
          </item>
        </commentChain>
      </unresolved>
      <resolved/>
    </commentChains>
    <commentChains s:ref="AI569" rgbClr="FF0000">
      <unresolved>
        <commentChain chainId="72b68835b52503293cbb15d7acf9e768ca503fc4">
          <item id="bf8675cc805880ef41d4a7302b3f8769c4b99563" isNormal="1">
            <s:text>
              <s:r>
                <s:t xml:space="preserve">Administrator:
3000529 12/6 6000pcs华1f12
3000528 12/6 720pcs华1f12</s:t>
              </s:r>
            </s:text>
          </item>
        </commentChain>
      </unresolved>
      <resolved/>
    </commentChains>
    <commentChains s:ref="AL569" rgbClr="FF0000">
      <unresolved>
        <commentChain chainId="eb7ffc0f8fcfe6721f52b64555ef46d82bbaf1e0">
          <item id="2e570a8ca9566f8164d6d97aade0670fb7d96ec4" isNormal="1">
            <s:text>
              <s:r>
                <s:t xml:space="preserve">Administrator:
11/22上客供RFID贴纸6720pcs</s:t>
              </s:r>
            </s:text>
          </item>
        </commentChain>
      </unresolved>
      <resolved/>
    </commentChains>
    <commentChains s:ref="AI570" rgbClr="FF0000">
      <unresolved>
        <commentChain chainId="4792b4103b9a2f0b48313934b5e69fd175b0173b">
          <item id="1370e7bbccbbe39495fb7d9d9039f117ea670bdd" isNormal="1">
            <s:text>
              <s:r>
                <s:t xml:space="preserve">Administrator:
3000521 12/4 120pcs华3b14</s:t>
              </s:r>
            </s:text>
          </item>
        </commentChain>
      </unresolved>
      <resolved/>
    </commentChains>
    <commentChains s:ref="AL570" rgbClr="FF0000">
      <unresolved>
        <commentChain chainId="598a45d29abf80db0d2b1f3f57889bd929c76e0f">
          <item id="997933efb4fdfee2137a1288f66ea3ea9d238000" isNormal="1">
            <s:text>
              <s:r>
                <s:t xml:space="preserve">Administrator:
12/21 上KM单外箱贴纸10pcs
11/22 上白色防盗贴纸120pcs
</s:t>
              </s:r>
            </s:text>
          </item>
        </commentChain>
      </unresolved>
      <resolved/>
    </commentChains>
    <commentChains s:ref="AI571" rgbClr="FF0000">
      <unresolved>
        <commentChain chainId="d1dd42395e2367edcf1461dba5ecf53800bb29f1">
          <item id="0cbafa05a8387315a1917743b09b74c1ad883230" isNormal="1">
            <s:text>
              <s:r>
                <s:t xml:space="preserve">Administrator:
3000521 12/4 1380pcs华3b14</s:t>
              </s:r>
            </s:text>
          </item>
        </commentChain>
      </unresolved>
      <resolved/>
    </commentChains>
    <commentChains s:ref="AL571" rgbClr="FF0000">
      <unresolved>
        <commentChain chainId="7e26f62663479771108f67eced5d377cedbc26c9">
          <item id="b7a3a06f3757a328a10c7654b0c81ca26f005bb7" isNormal="1">
            <s:text>
              <s:r>
                <s:t xml:space="preserve">Administrator:
11/18 上说明书纽扣电池警告语贴纸1380pcs
收藏膜纽扣电池警告语贴纸1380pcs
12/21 上KM单外箱贴纸115pcs
11/22 上白色防盗贴纸1380pcs
</s:t>
              </s:r>
            </s:text>
          </item>
        </commentChain>
      </unresolved>
      <resolved/>
    </commentChains>
    <commentChains s:ref="AI572" rgbClr="FF0000">
      <unresolved>
        <commentChain chainId="a344fb352cb8001a22c1c7b639a4617082818ad5">
          <item id="771385ad8b492da2be2fcc7236b36f017039964b" isNormal="1">
            <s:text>
              <s:r>
                <s:t xml:space="preserve">Administrator:
3000524 12/5 208pcs华3b9</s:t>
              </s:r>
            </s:text>
          </item>
        </commentChain>
      </unresolved>
      <resolved/>
    </commentChains>
    <commentChains s:ref="AI573" rgbClr="FF0000">
      <unresolved>
        <commentChain chainId="949843fdf03624f8aff49be82bed76e855db6cce">
          <item id="02dd65db3847b1388e6d9283aae6e48ea5cb7392" isNormal="1">
            <s:text>
              <s:r>
                <s:t xml:space="preserve">Administrator:
3000524 12/5 324pcs
华3b9
</s:t>
              </s:r>
            </s:text>
          </item>
        </commentChain>
      </unresolved>
      <resolved/>
    </commentChains>
    <commentChains s:ref="AL573" rgbClr="FF0000">
      <unresolved>
        <commentChain chainId="ad54bc3d8a289ea141c20dd71e99cfafa50a6404">
          <item id="2aa4b080bd00b5cd103d142747b29da030473627" isNormal="1">
            <s:text>
              <s:r>
                <s:t xml:space="preserve">Administrator:
11/22 上客供UCC贴纸81pcs</s:t>
              </s:r>
            </s:text>
          </item>
        </commentChain>
      </unresolved>
      <resolved/>
    </commentChains>
    <commentChains s:ref="AI574" rgbClr="FF0000">
      <unresolved>
        <commentChain chainId="26afc9828d5fa37dd8dd661a6e394aaf33b55066">
          <item id="0e79317e22939f7ab714d6f8710c57ceb40e58d0" isNormal="1">
            <s:text>
              <s:r>
                <s:t xml:space="preserve">Administrator:
3000524 12/5 244pcs
华3b9
</s:t>
              </s:r>
            </s:text>
          </item>
        </commentChain>
      </unresolved>
      <resolved/>
    </commentChains>
    <commentChains s:ref="AL574" rgbClr="FF0000">
      <unresolved>
        <commentChain chainId="324318a62eed7b9397dd59eaff84f8211994f2af">
          <item id="b4150e2de0f141f7b97b8fcdbc373d53f95abd9c" isNormal="1">
            <s:text>
              <s:r>
                <s:t xml:space="preserve">Administrator:
11/22 上客供UCC贴纸61pcs
</s:t>
              </s:r>
            </s:text>
          </item>
        </commentChain>
      </unresolved>
      <resolved/>
    </commentChains>
    <commentChains s:ref="AI575" rgbClr="FF0000">
      <unresolved>
        <commentChain chainId="e461f0e122b6e40f2cb65aecd6d5db429bb31ce4">
          <item id="7927c04a3a9f5dec316a5cf7fa77f5b91b5296a5" isNormal="1">
            <s:text>
              <s:r>
                <s:t xml:space="preserve">Administrator:
3000524 12/5 204pcs
华3b9
</s:t>
              </s:r>
            </s:text>
          </item>
        </commentChain>
      </unresolved>
      <resolved/>
    </commentChains>
    <commentChains s:ref="AL575" rgbClr="FF0000">
      <unresolved>
        <commentChain chainId="da623eb390811c49c266128fe1fde6ca647c0f10">
          <item id="9af7b75dafc414bf100fa9d7f7c7376183b2da60" isNormal="1">
            <s:text>
              <s:r>
                <s:t xml:space="preserve">Administrator:
11/22 上客供UCC贴纸51pcs
</s:t>
              </s:r>
            </s:text>
          </item>
        </commentChain>
      </unresolved>
      <resolved/>
    </commentChains>
    <commentChains s:ref="AI576" rgbClr="FF0000">
      <unresolved>
        <commentChain chainId="4d9aea7f11c55137d280c57f57a9117c6f5228f5">
          <item id="bc3ffc5a898dd627aab963cd7d6273d64b2b366a" isNormal="1">
            <s:text>
              <s:r>
                <s:t xml:space="preserve">Administrator:
3000524 12/5 220pcs
华3b9
</s:t>
              </s:r>
            </s:text>
          </item>
        </commentChain>
      </unresolved>
      <resolved/>
    </commentChains>
    <commentChains s:ref="AI577" rgbClr="FF0000">
      <unresolved>
        <commentChain chainId="0c4dd98fa49042a7a1822c9d43164eeab363a919">
          <item id="8f0f1c47cc7cf57ef3b6ccc6eb277341ccc82f23" isNormal="1">
            <s:text>
              <s:r>
                <s:t xml:space="preserve">Administrator:
3000523 12/4 720pcs
华1f5
3000524 12/5 1284pcs华1f5</s:t>
              </s:r>
            </s:text>
          </item>
        </commentChain>
      </unresolved>
      <resolved/>
    </commentChains>
    <commentChains s:ref="AL577" rgbClr="FF0000">
      <unresolved>
        <commentChain chainId="fcc2d887fc99e2870e324894bae1fd496f0edc61">
          <item id="7c331be5f03cdcf6735b961c1128cd73c12957eb" isNormal="1">
            <s:text>
              <s:r>
                <s:t xml:space="preserve">Administrator:
10/22 上进口商贴纸0004pcs
10/22 WEEE_带电池走货 _ 说明书欧洲EN+30L-B版2004pcs
</s:t>
              </s:r>
            </s:text>
          </item>
        </commentChain>
      </unresolved>
      <resolved/>
    </commentChains>
    <commentChains s:ref="AI578" rgbClr="FF0000">
      <unresolved>
        <commentChain chainId="590234929fd278ebe0d92ee96a8514b8a61aff32">
          <item id="d5eda33d983c3be24c9843a8eaec814886cfd7dd" isNormal="1">
            <s:text>
              <s:r>
                <s:t xml:space="preserve">Administrator:
3000521 12/4 356pcs华3b14
</s:t>
              </s:r>
            </s:text>
          </item>
        </commentChain>
      </unresolved>
      <resolved/>
    </commentChains>
    <commentChains s:ref="AI579" rgbClr="FF0000">
      <unresolved>
        <commentChain chainId="d578cc49e9e47e30bbcc4c7717f575c87a642b64">
          <item id="d62c1b2d4f68f0758d75fea1bbffe85ff6de84cf" isNormal="1">
            <s:text>
              <s:r>
                <s:t xml:space="preserve">Administrator:
3000523 12/4 1200pcs
华1f9
3000521 12/4 3600pcs华1f9</s:t>
              </s:r>
            </s:text>
          </item>
        </commentChain>
      </unresolved>
      <resolved/>
    </commentChains>
    <commentChains s:ref="AL579" rgbClr="FF0000">
      <unresolved>
        <commentChain chainId="d021210848b5a34d5300f8bf295bb42014000902">
          <item id="21c02e76aefcd596f1d267a4d908e019032ef64c" isNormal="1">
            <s:text>
              <s:r>
                <s:t xml:space="preserve">Administrator:
11/22上客供RFID贴纸4800pcs
</s:t>
              </s:r>
            </s:text>
          </item>
        </commentChain>
      </unresolved>
      <resolved/>
    </commentChains>
    <commentChains s:ref="AI580" rgbClr="FF0000">
      <unresolved>
        <commentChain chainId="a4d82faf9f626b25cb394eaebe4fd642654f6b60">
          <item id="6ec37fd9e2cb97bc31bfaecfbf2f8bb07c49d369" isNormal="1">
            <s:text>
              <s:r>
                <s:t xml:space="preserve">Administrator:
3000521 12/4 6400pcs刘1f5</s:t>
              </s:r>
            </s:text>
          </item>
        </commentChain>
      </unresolved>
      <resolved/>
    </commentChains>
    <commentChains s:ref="AL580" rgbClr="FF0000">
      <unresolved>
        <commentChain chainId="d608d52fe88d30aacfaf0f08ef6ba0d914526b68">
          <item id="5c0954bcf849645c5d52847bb8c4dd1663dbdad5" isNormal="1">
            <s:text>
              <s:r>
                <s:t xml:space="preserve">Administrator:
11/22上客供RFID贴纸6400pcs
</s:t>
              </s:r>
            </s:text>
          </item>
        </commentChain>
      </unresolved>
      <resolved/>
    </commentChains>
    <commentChains s:ref="AI581" rgbClr="FF0000">
      <unresolved>
        <commentChain chainId="d990799662e8b86a1afc9736022f1250d4f77fa4">
          <item id="06b6f429b26b2fd73e79cc3b51d9cdbbaec7182a" isNormal="1">
            <s:text>
              <s:r>
                <s:t xml:space="preserve">Administrator:
3000545 12/11 10002pcs华3a31、32
</s:t>
              </s:r>
            </s:text>
          </item>
        </commentChain>
      </unresolved>
      <resolved/>
    </commentChains>
    <commentChains s:ref="AI582" rgbClr="FF0000">
      <unresolved>
        <commentChain chainId="c81ef1593ca7d6b81af48987a66ad14818b9b9f5">
          <item id="4e49367ada4e597e34fe4ef115c26d5f19f49ab4" isNormal="1">
            <s:text>
              <s:r>
                <s:t xml:space="preserve">Administrator:
12/10 3000541 5124pcs
华1f7
12/10 3000539 9360pcs华1f7</s:t>
              </s:r>
            </s:text>
          </item>
        </commentChain>
      </unresolved>
      <resolved/>
    </commentChains>
    <commentChains s:ref="AL582" rgbClr="FF0000">
      <unresolved>
        <commentChain chainId="0e63a02262dd78403f04569b8e111036d39336f1">
          <item id="de03ebafdb4287fda42e04506037ae8677fb7610" isNormal="1">
            <s:text>
              <s:r>
                <s:t xml:space="preserve">Administrator:
11/6 上客供外箱条码贴纸3621pcs
</s:t>
              </s:r>
            </s:text>
          </item>
        </commentChain>
      </unresolved>
      <resolved/>
    </commentChains>
    <commentChains s:ref="AI583" rgbClr="FF0000">
      <unresolved>
        <commentChain chainId="8534d3ed7d3cf2a60771b64977e05db22739da20">
          <item id="8c8ee4220627b7fe45e14e1b68947bcf04486eee" isNormal="1">
            <s:text>
              <s:r>
                <s:t xml:space="preserve">Administrator:
3000541 12/10 3600pcs华1f5
3000546 12/12 1400pcs王4b4</s:t>
              </s:r>
            </s:text>
          </item>
        </commentChain>
      </unresolved>
      <resolved/>
    </commentChains>
    <commentChains s:ref="AL583" rgbClr="FF0000">
      <unresolved>
        <commentChain chainId="fde23007c4916f4e0bcbc832b26dc452b4c636f6">
          <item id="670dd1d2d87e2c0cc8dc41c6e9990b6f1ea771a8" isNormal="1">
            <s:text>
              <s:r>
                <s:t xml:space="preserve">Administrator:
11/22 客供外箱条码贴纸1263pcs</s:t>
              </s:r>
            </s:text>
          </item>
        </commentChain>
      </unresolved>
      <resolved/>
    </commentChains>
    <commentChains s:ref="AI585" rgbClr="FF0000">
      <unresolved>
        <commentChain chainId="70196da3df02b0d65996112ab5c4a648e0a5a68d">
          <item id="d28c5a76f0af0f53983b14f6b005c1b49409fcfc" isNormal="1">
            <s:text>
              <s:r>
                <s:t xml:space="preserve">Administrator:
3000534 12/6 192pcs王4a8</s:t>
              </s:r>
            </s:text>
          </item>
        </commentChain>
      </unresolved>
      <resolved/>
    </commentChains>
    <commentChains s:ref="AI586" rgbClr="FF0000">
      <unresolved>
        <commentChain chainId="1fb6fdb6bab431f6e74e531660b76cf504f0fa2f">
          <item id="1ec6d3325f6f5f464f063cecaea02391a62b7ecb" isNormal="1">
            <s:text>
              <s:r>
                <s:t xml:space="preserve">Administrator:
3000546 12/8 1980PCS华3b11</s:t>
              </s:r>
            </s:text>
          </item>
        </commentChain>
      </unresolved>
      <resolved/>
    </commentChains>
    <commentChains s:ref="AL586" rgbClr="FF0000">
      <unresolved>
        <commentChain chainId="43db03e17f990a825d7b5eafe6ce3a185d0a3ade">
          <item id="a3708a3e146c69f89dc6a8f6592f23176b4dc13f" isNormal="1">
            <s:text>
              <s:r>
                <s:t xml:space="preserve">Administrator:
11/6 上UPC贴纸1980pcs
保证书1980pcs
产品贴纸1980pcs
包装贴纸1980pcs
说明书贴纸1980pcs</s:t>
              </s:r>
            </s:text>
          </item>
        </commentChain>
      </unresolved>
      <resolved/>
    </commentChains>
    <commentChains s:ref="AI587" rgbClr="FF0000">
      <unresolved>
        <commentChain chainId="0bc9d0f4a9154701dd00359a4b6934ac1c5d94fc">
          <item id="b78139a03ba0271b34594dfff878f7eae6754bfb" isNormal="1">
            <s:text>
              <s:r>
                <s:t xml:space="preserve">Administrator:
3000567 12/16 432pcs
王4b1</s:t>
              </s:r>
            </s:text>
          </item>
        </commentChain>
      </unresolved>
      <resolved/>
    </commentChains>
    <commentChains s:ref="AL587" rgbClr="FF0000">
      <unresolved>
        <commentChain chainId="3f9ce4c850e570ed23f03eadc70616657e1db8f3">
          <item id="2b606d8e5f75eedf5f65f88e5c3b499ade4e3a40" isNormal="1">
            <s:text>
              <s:r>
                <s:t xml:space="preserve">Administrator:
12/1 客供价格贴纸 456pcs
12/8 保证书105*138mm 432pcs
包装贴纸42*31mmm 432pcs
说明书贴纸42*34mm 432pcs
UPC贴纸41*25mm 432pcs
12/11 保证书 432pcs</s:t>
              </s:r>
            </s:text>
          </item>
        </commentChain>
      </unresolved>
      <resolved/>
    </commentChains>
    <commentChains s:ref="AI588" rgbClr="FF0000">
      <unresolved>
        <commentChain chainId="0824b220220bc45abe40c863cb8ee9181b66c845">
          <item id="a388717e9f2ec39bd3315c27f88e0d76ee9feff9" isNormal="1">
            <s:text>
              <s:r>
                <s:t xml:space="preserve">Administrator:
3000567 12/16 1200pcs 王b栋雨棚</s:t>
              </s:r>
            </s:text>
          </item>
        </commentChain>
      </unresolved>
      <resolved/>
    </commentChains>
    <commentChains s:ref="AL588" rgbClr="FF0000">
      <unresolved>
        <commentChain chainId="0d0dc6d527f4032c0c36fcbe4b9873cc2add493a">
          <item id="1707f0f99ef79c150df1f962b1173e660460e084" isNormal="1">
            <s:text>
              <s:r>
                <s:t xml:space="preserve">Administrator:
11/22 上客供警告语贴纸1240pcs
客供电池警语贴纸1239pcs
客供中文警告说明书1236pcs
</s:t>
              </s:r>
            </s:text>
          </item>
        </commentChain>
      </unresolved>
      <resolved/>
    </commentChains>
    <commentChains s:ref="AI589" rgbClr="FF0000">
      <unresolved>
        <commentChain chainId="95714aa89fbafc4088b00fe3158aa9e5b5f40508">
          <item id="588bb1f8c05dcbea9a93c42ad8743aab21993c43" isNormal="1">
            <s:text>
              <s:r>
                <s:t xml:space="preserve">Administrator:
3000567 12/16 576pcs
王b栋雨棚
</s:t>
              </s:r>
            </s:text>
          </item>
        </commentChain>
      </unresolved>
      <resolved/>
    </commentChains>
    <commentChains s:ref="AI590" rgbClr="FF0000">
      <unresolved>
        <commentChain chainId="6a697de731ef24936637a94c911308bb2aba78d8">
          <item id="2417437b56cfacf6ad07d0c736024466ce70fde9" isNormal="1">
            <s:text>
              <s:r>
                <s:t xml:space="preserve">Administrator:
3000538 12/9 4504pcs王4b6</s:t>
              </s:r>
            </s:text>
          </item>
        </commentChain>
      </unresolved>
      <resolved/>
    </commentChains>
    <commentChains s:ref="AL590" rgbClr="FF0000">
      <unresolved>
        <commentChain chainId="88b9a5b8d55aa177fea99ced6949f33c5411438e">
          <item id="02f4f3d9d4873ef4d5ea9b5598203c3a1eca72b6" isNormal="1">
            <s:text>
              <s:r>
                <s:t xml:space="preserve">Administrator:
11/4 上+WEEE声明(带电池)走货欧洲通用30L-B版说明书4504pcs</s:t>
              </s:r>
            </s:text>
          </item>
        </commentChain>
      </unresolved>
      <resolved/>
    </commentChains>
    <commentChains s:ref="AI591" rgbClr="FF0000">
      <unresolved>
        <commentChain chainId="5447c3b54a85dd32e9c08d9b87d25ecd925061c0">
          <item id="51096cd901096281a73d141f3e23114ef1a817ff" isNormal="1">
            <s:text>
              <s:r>
                <s:t xml:space="preserve">Administrator:
3000534 12/6 4000pcs
王4a8</s:t>
              </s:r>
            </s:text>
          </item>
        </commentChain>
      </unresolved>
      <resolved/>
    </commentChains>
    <commentChains s:ref="AL591" rgbClr="FF0000">
      <unresolved>
        <commentChain chainId="95fab4a72a499e569d1db623ee177d1fb6f44c99">
          <item id="a1bf189a53c1e21e85cae882c7418d4530e7835f" isNormal="1">
            <s:text>
              <s:r>
                <s:t xml:space="preserve">Administrator:
11/14 上客户EAN条码贴纸8160pcs
两个同PO共用
11/18 上数量贴纸2040pcs</s:t>
              </s:r>
            </s:text>
          </item>
        </commentChain>
      </unresolved>
      <resolved/>
    </commentChains>
    <commentChains s:ref="AI592" rgbClr="FF0000">
      <unresolved>
        <commentChain chainId="7aca393e5ad10bd75712d0c426c9284d0aca3439">
          <item id="f2159cd65445454108f9e985c4b03965d2fd11a4" isNormal="1">
            <s:text>
              <s:r>
                <s:t xml:space="preserve">Administrator:
3000546 12/8 1380PCS 华1f4</s:t>
              </s:r>
            </s:text>
          </item>
        </commentChain>
      </unresolved>
      <resolved/>
    </commentChains>
    <commentChains s:ref="AL592" rgbClr="FF0000">
      <unresolved>
        <commentChain chainId="e10b099bdbdd4ab592fcfe6d8f8668ea9183e0c9">
          <item id="7cf3003ec11d85bacad944a8518cd8403e20dbf0" isNormal="1">
            <s:text>
              <s:r>
                <s:t xml:space="preserve">Administrator:
11/22 上白色防盗贴纸1380pcs
11/26 上 KM 单外箱贴纸115pcs
11/27 上说明书纽扣电池警告语贴纸1380pcs
收藏膜纽扣电池警告语贴纸1380pcs
12/5 缩膜纽扣电池警告语 115pcs</s:t>
              </s:r>
            </s:text>
          </item>
        </commentChain>
      </unresolved>
      <resolved/>
    </commentChains>
    <commentChains s:ref="AI593" rgbClr="FF0000">
      <unresolved>
        <commentChain chainId="14117727d64e133fb3f9d0d0b216d930b826b209">
          <item id="4a438ea9fb65a612cccc3fb506356cbc38454ef3" isNormal="1">
            <s:text>
              <s:r>
                <s:t xml:space="preserve">Administrator:
3000546 12/8 120PCS华3b8</s:t>
              </s:r>
            </s:text>
          </item>
        </commentChain>
      </unresolved>
      <resolved/>
    </commentChains>
    <commentChains s:ref="AL593" rgbClr="FF0000">
      <unresolved>
        <commentChain chainId="0d7ee9f836811d2447d20581e6a6356f00476c48">
          <item id="0a8d3b16531417c9a2bc65d9be0de5cfe4875cbc" isNormal="1">
            <s:text>
              <s:r>
                <s:t xml:space="preserve">Administrator:
11/22 上白色防盗贴纸120pcs
11/26 h KM 单外箱贴纸10pcs
11/27 上说明书纽扣电池警告语贴纸120pcs
收藏膜纽扣电池警告语贴纸120pcs
12/5 缩膜纽扣电池警告语 </s:t>
              </s:r>
            </s:text>
          </item>
        </commentChain>
      </unresolved>
      <resolved/>
    </commentChains>
    <commentChains s:ref="AI594" rgbClr="FF0000">
      <unresolved>
        <commentChain chainId="ed3c2f027feae429c1877dec71cc68d5bbbb14cc">
          <item id="c336545c4fc471c884a4e56ff29ebf292a3ee8e5" isNormal="1">
            <s:text>
              <s:r>
                <s:t xml:space="preserve">Administrator:
3000546 12/8 1008PCS华1f3</s:t>
              </s:r>
            </s:text>
          </item>
        </commentChain>
      </unresolved>
      <resolved/>
    </commentChains>
    <commentChains s:ref="AL594" rgbClr="FF0000">
      <unresolved>
        <commentChain chainId="76b766d36fbd2f8a3974804f35cb03a7d010ecfb">
          <item id="357c6b9949fd71d8bb5d7fba283b0440433d1cb6" isNormal="1">
            <s:text>
              <s:r>
                <s:t xml:space="preserve">Administrator:
12/21 上进口商贴纸1008pcs</s:t>
              </s:r>
            </s:text>
          </item>
        </commentChain>
      </unresolved>
      <resolved/>
    </commentChains>
    <commentChains s:ref="AI595" rgbClr="FF0000">
      <unresolved>
        <commentChain chainId="cc27467c4b5cef0841c0aa7c9d4acf4f99b12547">
          <item id="cb08f54cdb52588f6c1e6f45069f4a867f5fe072" isNormal="1">
            <s:text>
              <s:r>
                <s:t xml:space="preserve">Administrator:
3000555 12/13 8000pcs华1b3</s:t>
              </s:r>
            </s:text>
          </item>
        </commentChain>
      </unresolved>
      <resolved/>
    </commentChains>
    <commentChains s:ref="AL595" rgbClr="FF0000">
      <unresolved>
        <commentChain chainId="0592447a75f498288ed8c50f97f1f69e0d7adf33">
          <item id="7490d4a3c63ead8eb2a73a4aa99b181aea8726f7" isNormal="1">
            <s:text>
              <s:r>
                <s:t xml:space="preserve">Administrator:
11/22上客供RFID贴纸8000pcs</s:t>
              </s:r>
            </s:text>
          </item>
        </commentChain>
      </unresolved>
      <resolved/>
    </commentChains>
    <commentChains s:ref="AI596" rgbClr="FF0000">
      <unresolved>
        <commentChain chainId="84847771cf65230003e431d90404ef04b7485aa1">
          <item id="d422546b9114c67961506201868db5a8110d4a65" isNormal="1">
            <s:text>
              <s:r>
                <s:t xml:space="preserve">Administrator:
3000557 12/13 6720pcs 华1a4</s:t>
              </s:r>
            </s:text>
          </item>
        </commentChain>
      </unresolved>
      <resolved/>
    </commentChains>
    <commentChains s:ref="AL596" rgbClr="FF0000">
      <unresolved>
        <commentChain chainId="960e196a60d5cc2bdede010222e1006aec425248">
          <item id="7c346f125c721b2295499822a63e739ba9f8ea7c" isNormal="1">
            <s:text>
              <s:r>
                <s:t xml:space="preserve">Administrator:
11/22上客供RFID贴纸6720pcs
</s:t>
              </s:r>
            </s:text>
          </item>
        </commentChain>
      </unresolved>
      <resolved/>
    </commentChains>
    <commentChains s:ref="AI597" rgbClr="FF0000">
      <unresolved>
        <commentChain chainId="eafe705eadcdce520ecc92eb39cbaed3d5e1d886">
          <item id="e2ac829049507257bd91ae68c8282dfe46e358ae" isNormal="1">
            <s:text>
              <s:r>
                <s:t xml:space="preserve">Administrator:
3000588 12/13 1440pcs 华1f12
3000560 12/15 4000pcs华1f12</s:t>
              </s:r>
            </s:text>
          </item>
        </commentChain>
      </unresolved>
      <resolved/>
    </commentChains>
    <commentChains s:ref="AL597" rgbClr="FF0000">
      <unresolved>
        <commentChain chainId="1f55bd847fccdac2ebba38d960383d03d5834585">
          <item id="7dc3088b745c343dc5b08bd7551922a8e936c4aa" isNormal="1">
            <s:text>
              <s:r>
                <s:t xml:space="preserve">Administrator:
11/22上客供RFID贴纸5440pcs
</s:t>
              </s:r>
            </s:text>
          </item>
        </commentChain>
      </unresolved>
      <resolved/>
    </commentChains>
    <commentChains s:ref="AI598" rgbClr="FF0000">
      <unresolved>
        <commentChain chainId="660730140cfe2b52403748a2ce599048dfba8078">
          <item id="a2a5da67246967bb1a9bde25165956eaf1854b02" isNormal="1">
            <s:text>
              <s:r>
                <s:t xml:space="preserve">Administrator:
3000557 12/13 5440pcs hua1b3</s:t>
              </s:r>
            </s:text>
          </item>
        </commentChain>
      </unresolved>
      <resolved/>
    </commentChains>
    <commentChains s:ref="AL598" rgbClr="FF0000">
      <unresolved>
        <commentChain chainId="4870cfa75ab8639a7b12b2956e0769a64627c16d">
          <item id="0d8e8067a3b96948155f05d0ed5d573ab466423a" isNormal="1">
            <s:text>
              <s:r>
                <s:t xml:space="preserve">Administrator:
11/22上客供RFID贴纸5440pcs
</s:t>
              </s:r>
            </s:text>
          </item>
        </commentChain>
      </unresolved>
      <resolved/>
    </commentChains>
    <commentChains s:ref="AI599" rgbClr="FF0000">
      <unresolved>
        <commentChain chainId="f8a01be558adaee68ab9fbd627802b857cb1aa84">
          <item id="62ef7b02a5cb0b78ed73d7c04f5f7ae1a9ba8007" isNormal="1">
            <s:text>
              <s:r>
                <s:t xml:space="preserve">Administrator:
3000560 12/15 2880pcs
华1f53000563 12/15 1280pcs 华1f5</s:t>
              </s:r>
            </s:text>
          </item>
        </commentChain>
      </unresolved>
      <resolved/>
    </commentChains>
    <commentChains s:ref="AL599" rgbClr="FF0000">
      <unresolved>
        <commentChain chainId="19b4594f0e24db5d29c2857f4ef8aaf93dc7aeb6">
          <item id="679fc5e9f2726c2aa98e54d09c259a2595878424" isNormal="1">
            <s:text>
              <s:r>
                <s:t xml:space="preserve">Administrator:
11/22上客供RFID贴纸4160pcs
</s:t>
              </s:r>
            </s:text>
          </item>
        </commentChain>
      </unresolved>
      <resolved/>
    </commentChains>
    <commentChains s:ref="AI600" rgbClr="FF0000">
      <unresolved>
        <commentChain chainId="bcd84c06ed5f51f8e5ecd6fbd81e982ba4a89910">
          <item id="f4e280a04e480f1652a98bfc09773d9e6cf84be0" isNormal="1">
            <s:text>
              <s:r>
                <s:t xml:space="preserve">Administrator:
3000564 12/15 7040pcs华1f9\11</s:t>
              </s:r>
            </s:text>
          </item>
        </commentChain>
      </unresolved>
      <resolved/>
    </commentChains>
    <commentChains s:ref="AL600" rgbClr="FF0000">
      <unresolved>
        <commentChain chainId="39a522fab2651e0ee234ab99d0e7bb7c44b816a4">
          <item id="b995954c59443b183b6fff2c9e6b9f6a690c53ee" isNormal="1">
            <s:text>
              <s:r>
                <s:t xml:space="preserve">Administrator:
11/22上客供RFID贴纸7040pcs
</s:t>
              </s:r>
            </s:text>
          </item>
        </commentChain>
      </unresolved>
      <resolved/>
    </commentChains>
    <commentChains s:ref="AI601" rgbClr="FF0000">
      <unresolved>
        <commentChain chainId="ef9eb696ee0d0f4824aa4beafcc2ff650d1da8e2">
          <item id="1d5e57628777f59ad847b4c24f467ebde8a0b3d1" isNormal="1">
            <s:text>
              <s:r>
                <s:t xml:space="preserve">Administrator:
3000560 12/15 4800pcs华3a21</s:t>
              </s:r>
            </s:text>
          </item>
        </commentChain>
      </unresolved>
      <resolved/>
    </commentChains>
    <commentChains s:ref="AL601" rgbClr="FF0000">
      <unresolved>
        <commentChain chainId="68f517b712687929ef4cbcce822ea03c777a2bb4">
          <item id="6b1284c85b5512f8deed64239bce5851e3d097b2" isNormal="1">
            <s:text>
              <s:r>
                <s:t xml:space="preserve">Administrator:
11/22上客供RFID贴纸4800pcs
</s:t>
              </s:r>
            </s:text>
          </item>
        </commentChain>
      </unresolved>
      <resolved/>
    </commentChains>
    <commentChains s:ref="AI602" rgbClr="FF0000">
      <unresolved>
        <commentChain chainId="ee4770ca2c10dfe9f69cf46693c2b9e63f3cdd7d">
          <item id="bd4b26942090898e81894554fe068bad11ad31ab" isNormal="1">
            <s:text>
              <s:r>
                <s:t xml:space="preserve">Administrator:
3000552 12/13 4536pcs
华3a213000558 12/13 3888pcs 华3a25
3000557 12/13 1296pcs hua3a25
3000564 12/15 276pcs
华3a25</s:t>
              </s:r>
            </s:text>
          </item>
        </commentChain>
      </unresolved>
      <resolved/>
    </commentChains>
    <commentChains s:ref="AI603" rgbClr="FF0000">
      <unresolved>
        <commentChain chainId="1ba86ad06c603950df34ceaf7a70cb81dfef94ab">
          <item id="50d33cc7c312468278937d3e74975d57dc353260" isNormal="1">
            <s:text>
              <s:r>
                <s:t xml:space="preserve">Administrator:
3000570 12/16 192pcs
王4b7</s:t>
              </s:r>
            </s:text>
          </item>
        </commentChain>
      </unresolved>
      <resolved/>
    </commentChains>
    <commentChains s:ref="AI604" rgbClr="FF0000">
      <unresolved>
        <commentChain chainId="d9df59adccfc0b343e4839e53860139133011bc2">
          <item id="dcafee839e83f221ca286a4d4a9a8b05463e599d" isNormal="1">
            <s:text>
              <s:r>
                <s:t xml:space="preserve">Administrator:
3000570 12/16 600pcs
王4a7</s:t>
              </s:r>
            </s:text>
          </item>
        </commentChain>
      </unresolved>
      <resolved/>
    </commentChains>
    <commentChains s:ref="AL604" rgbClr="FF0000">
      <unresolved>
        <commentChain chainId="634c5ad57ffb4920006e2f2f0b9d7f105f7f7441">
          <item id="d22cc6baeffd072176755f83f8283f84dfc2a256" isNormal="1">
            <s:text>
              <s:r>
                <s:t xml:space="preserve">Administrator:
11/10 上UPC贴纸600ｐｃｓ</s:t>
              </s:r>
            </s:text>
          </item>
        </commentChain>
      </unresolved>
      <resolved/>
    </commentChains>
    <commentChains s:ref="AI605" rgbClr="FF0000">
      <unresolved>
        <commentChain chainId="e367599e9a41cee2ea59e720473b5e796f357782">
          <item id="1ee7c76dff592a47b6f49ed01664dca3431ce249" isNormal="1">
            <s:text>
              <s:r>
                <s:t xml:space="preserve">Administrator:
3000570 12/16 576pcs
王4b6</s:t>
              </s:r>
            </s:text>
          </item>
        </commentChain>
      </unresolved>
      <resolved/>
    </commentChains>
    <commentChains s:ref="AL605" rgbClr="FF0000">
      <unresolved>
        <commentChain chainId="f7ed8263b38ceb54ae4ef92712727cee5cef7acf">
          <item id="919298e82db704b4858813b6a396b4256b7c9f7a" isNormal="1">
            <s:text>
              <s:r>
                <s:t xml:space="preserve">Administrator:
11/26 上亚马逊外箱贴纸48pcs
12/3 UPC贴纸41*25mm 576pcs</s:t>
              </s:r>
            </s:text>
          </item>
        </commentChain>
      </unresolved>
      <resolved/>
    </commentChains>
    <commentChains s:ref="AI606" rgbClr="FF0000">
      <unresolved>
        <commentChain chainId="649eb42e17a06524ddd3d9a3e60e42c3e9add635">
          <item id="7f849a91c19f66b8c72ba0481eae1a1a7e7fa999" isNormal="1">
            <s:text>
              <s:r>
                <s:t xml:space="preserve">Administrator:
3000570 12/16 480pcs
王4a8</s:t>
              </s:r>
            </s:text>
          </item>
        </commentChain>
      </unresolved>
      <resolved/>
    </commentChains>
    <commentChains s:ref="AL606" rgbClr="FF0000">
      <unresolved>
        <commentChain chainId="59648ba6283eef19c35d966546593196b0de00a4">
          <item id="3570e8a9c12e5b7df6f85377ceb41a79e12d2fd4" isNormal="1">
            <s:text>
              <s:r>
                <s:t xml:space="preserve">Administrator:
11/4 上+WEEE声明(带电池)走货欧洲通用30L-B版说明书480pcs
上警语贴纸480pcs</s:t>
              </s:r>
            </s:text>
          </item>
        </commentChain>
      </unresolved>
      <resolved/>
    </commentChains>
    <commentChains s:ref="AI607" rgbClr="FF0000">
      <unresolved>
        <commentChain chainId="70acf98c54e1f015dd1edaa234299034e6d231a8">
          <item id="d80ec0d23dd1e59b916999d5f76df8cda718cc0f" isNormal="1">
            <s:text>
              <s:r>
                <s:t xml:space="preserve">Administrator:
3000571 12/16 3000pcs
华3a26</s:t>
              </s:r>
            </s:text>
          </item>
        </commentChain>
      </unresolved>
      <resolved/>
    </commentChains>
    <commentChains s:ref="AI608" rgbClr="FF0000">
      <unresolved>
        <commentChain chainId="c1e261bc96bfaad309fd0400f7564d136cdb889b">
          <item id="0159831465bef9505f54d089842b105ae37ed375" isNormal="1">
            <s:text>
              <s:r>
                <s:t xml:space="preserve">Administrator:
3000563 12/15 240pcs华1f3</s:t>
              </s:r>
            </s:text>
          </item>
        </commentChain>
      </unresolved>
      <resolved/>
    </commentChains>
    <commentChains s:ref="AL608" rgbClr="FF0000">
      <unresolved>
        <commentChain chainId="a8b48224e188c8d768196e1997f6b0c9a80fbb4a">
          <item id="4d3a3d96bc2175683254d3d8eada80176551f9e8" isNormal="1">
            <s:text>
              <s:r>
                <s:t xml:space="preserve">Administrator:
12/4 客供外箱贴纸 60pcs
12/5 产品UPC 贴纸 240pcs</s:t>
              </s:r>
            </s:text>
          </item>
        </commentChain>
      </unresolved>
      <resolved/>
    </commentChains>
    <commentChains s:ref="AI609" rgbClr="FF0000">
      <unresolved>
        <commentChain chainId="4a97135d3853a1a0517969acddf924d78e16d08a">
          <item id="5ecef71b2da4e7cdda1c976c1315f089c161c2ef" isNormal="1">
            <s:text>
              <s:r>
                <s:t xml:space="preserve">Administrator:
3000570 12/16 348pcs王4a3</s:t>
              </s:r>
            </s:text>
          </item>
        </commentChain>
      </unresolved>
      <resolved/>
    </commentChains>
    <commentChains s:ref="AL609" rgbClr="FF0000">
      <unresolved>
        <commentChain chainId="0fdbdd4d135a5317aa745c1ae6d1b6acd9b0cf05">
          <item id="3ecc8eb094b9f54811f09acbd142a57a5c570050" isNormal="1">
            <s:text>
              <s:r>
                <s:t xml:space="preserve">Administrator:
12/8 保证书121*81mmmn 348pcs
UPC条码贴证 348pcs
口商贴纸4648mm 348pcs</s:t>
              </s:r>
            </s:text>
          </item>
        </commentChain>
      </unresolved>
      <resolved/>
    </commentChains>
    <commentChains s:ref="AI610" rgbClr="FF0000">
      <unresolved>
        <commentChain chainId="9930f5fd654ccaf5cd04df51aa00cd2dde4881af">
          <item id="e15398c12a15ade77dd5c1c6e0a25ea41ffbc811" isNormal="1">
            <s:text>
              <s:r>
                <s:t xml:space="preserve">Administrator:
3000567 12/16 252pcs
王4a8</s:t>
              </s:r>
            </s:text>
          </item>
        </commentChain>
      </unresolved>
      <resolved/>
    </commentChains>
    <commentChains s:ref="AL610" rgbClr="FF0000">
      <unresolved>
        <commentChain chainId="c2dcfbf36a25b33829d2ed8fbe504a8ea2ac8f2e">
          <item id="f035304567fb29d93048e0ad68f45540b969a00a" isNormal="1">
            <s:text>
              <s:r>
                <s:t xml:space="preserve">Administrator:
11/29 上UPC贴纸252pcs
进口商贴纸252pcs
</s:t>
              </s:r>
            </s:text>
          </item>
        </commentChain>
      </unresolved>
      <resolved/>
    </commentChains>
    <commentChains s:ref="AI611" rgbClr="FF0000">
      <unresolved>
        <commentChain chainId="50659a22f360f7be717edaf1db7711e5abeed098">
          <item id="f7daf059888b61e014976285d89f98172dbe45a5" isNormal="1">
            <s:text>
              <s:r>
                <s:t xml:space="preserve">Administrator:
3000571 12/16 1380pcs 华3a32</s:t>
              </s:r>
            </s:text>
          </item>
        </commentChain>
      </unresolved>
      <resolved/>
    </commentChains>
    <commentChains s:ref="AL611" rgbClr="FF0000">
      <unresolved>
        <commentChain chainId="ab07a10c14ab655df406bd671ef38032b8c15b60">
          <item id="6cb6d213c39318d547602d96f22dd41391da0a56" isNormal="1">
            <s:text>
              <s:r>
                <s:t xml:space="preserve">Administrator:
11/22 上白色防盗贴纸1380pcs
11/27 上说明书纽扣电池警告语贴纸1380pcs
收藏膜纽扣电池警告语贴纸1380pcs
12/5 Kmart外箱贴纸4*4
Kmart外箱贴纸4*4 115pcs
12/5 缩膜纽扣电池警告语 
</s:t>
              </s:r>
            </s:text>
          </item>
        </commentChain>
      </unresolved>
      <resolved/>
    </commentChains>
    <commentChains s:ref="AI612" rgbClr="FF0000">
      <unresolved>
        <commentChain chainId="6d5cf4cb6823e424c84114df83a187151f9e0c80">
          <item id="677fa25afa6919342e52072bd73d759aa6e3b36c" isNormal="1">
            <s:text>
              <s:r>
                <s:t xml:space="preserve">Administrator:
3000571 12/16 120pcs 华3b17</s:t>
              </s:r>
            </s:text>
          </item>
        </commentChain>
      </unresolved>
      <resolved/>
    </commentChains>
    <commentChains s:ref="AL612" rgbClr="FF0000">
      <unresolved>
        <commentChain chainId="24320a038fba0397250717a291d01e92e967c0d4">
          <item id="74a8782892cae358da2ebcb1f47e85fe9b1d7005" isNormal="1">
            <s:text>
              <s:r>
                <s:t xml:space="preserve">Administrator:
11/22 上白色防盗贴纸120pcs
12/5 Kmart外箱贴纸4*4 10pcs</s:t>
              </s:r>
            </s:text>
          </item>
        </commentChain>
      </unresolved>
      <resolved/>
    </commentChains>
    <commentChains s:ref="AI613" rgbClr="FF0000">
      <unresolved>
        <commentChain chainId="86c50d456190399c1470ab18bf06293f92ef9a2d">
          <item id="60d65dfb7615432cafda6e3db648459d48778845" isNormal="1">
            <s:text>
              <s:r>
                <s:t xml:space="preserve">Administrator:
3000567 12/16 360pcs
王4a5</s:t>
              </s:r>
            </s:text>
          </item>
        </commentChain>
      </unresolved>
      <resolved/>
    </commentChains>
    <commentChains s:ref="AL613" rgbClr="FF0000">
      <unresolved>
        <commentChain chainId="c06d84b5ed09ac3a9da3fd86d3b747897c4e9c72">
          <item id="1a5aea289e8900f01c2d14b6e609c90de98bf540" isNormal="1">
            <s:text>
              <s:r>
                <s:t xml:space="preserve">Administrator:
11/18 上UPC贴纸360pcs
进口商贴纸360pcs</s:t>
              </s:r>
            </s:text>
          </item>
        </commentChain>
      </unresolved>
      <resolved/>
    </commentChains>
    <commentChains s:ref="AI614" rgbClr="FF0000">
      <unresolved>
        <commentChain chainId="563ec8b470d35f57a0407ca18f4d8bff6f14f221">
          <item id="14da9051d7f3cecadc9a8207c4dfa478e69e97ae" isNormal="1">
            <s:text>
              <s:r>
                <s:t xml:space="preserve">Administrator:
3000567 12/16 300pcs
王4a8</s:t>
              </s:r>
            </s:text>
          </item>
        </commentChain>
      </unresolved>
      <resolved/>
    </commentChains>
    <commentChains s:ref="AL614" rgbClr="FF0000">
      <unresolved>
        <commentChain chainId="3a693a66c20a8ba82c6af149a67c679465e14d21">
          <item id="5e1d0516c48ae688ab2e2e97b959752944e40952" isNormal="1">
            <s:text>
              <s:r>
                <s:t xml:space="preserve">Administrator:
11/29 上UPC贴纸300pcs
进口商贴纸300pcs</s:t>
              </s:r>
            </s:text>
          </item>
        </commentChain>
      </unresolved>
      <resolved/>
    </commentChains>
    <commentChains s:ref="AI615" rgbClr="FF0000">
      <unresolved>
        <commentChain chainId="056532cb4aac57f1e0d63c46bb6ce39c3a4a25d1">
          <item id="fa917631e2e7258e94eb71d300fa4cd3a8de1ea9" isNormal="1">
            <s:text>
              <s:r>
                <s:t xml:space="preserve">Administrator:
3000570 12/16 1440pcs 王4b6
3000571 12/16 2720pcs 华3a24</s:t>
              </s:r>
            </s:text>
          </item>
        </commentChain>
      </unresolved>
      <resolved/>
    </commentChains>
    <commentChains s:ref="AI616" rgbClr="FF0000">
      <unresolved>
        <commentChain chainId="200a61f95183ebd5899be0df970677d0507017e0">
          <item id="2cae52bdf8586dcbcfdb0cff0cee7b8ef57cbda6" isNormal="1">
            <s:text>
              <s:r>
                <s:t xml:space="preserve">Administrator:
3000571 12/16 1808pcs 华3</s:t>
              </s:r>
            </s:text>
          </item>
        </commentChain>
      </unresolved>
      <resolved/>
    </commentChains>
    <commentChains s:ref="AL616" rgbClr="FF0000">
      <unresolved>
        <commentChain chainId="82ef265d738c91cd0658eebf35359107046ccfe8">
          <item id="e1cc7614442d7aafa7618d4647263a2724a6be78" isNormal="1">
            <s:text>
              <s:r>
                <s:t xml:space="preserve">Administrator:
12/1 收藏指南彩色贴纸 1800pcs
12/1 进口商贴纸 1800pcs
12/1 说明书105*140mm 1800pcs
12/11 1彩色贴纸 1808pcs
2彩色贴纸 1808pcs
</s:t>
              </s:r>
            </s:text>
          </item>
        </commentChain>
      </unresolved>
      <resolved/>
    </commentChains>
    <commentChains s:ref="AI617" rgbClr="FF0000">
      <unresolved>
        <commentChain chainId="fbcbab489fd7e01e3f13683467d7fad01b8c6585">
          <item id="0826d62055755e79984db0385707b2af27ab474b" isNormal="1">
            <s:text>
              <s:r>
                <s:t xml:space="preserve">Administrator:
3000571 12/16 2800pcs
华3b10</s:t>
              </s:r>
            </s:text>
          </item>
        </commentChain>
      </unresolved>
      <resolved/>
    </commentChains>
    <commentChains s:ref="AL617" rgbClr="FF0000">
      <unresolved>
        <commentChain chainId="ceb5a7b22f8ac5247ba483a3f29a7b246fe69000">
          <item id="4770aa2ab6ae1c9fb7c1f133c763dbe9312c11a0" isNormal="1">
            <s:text>
              <s:r>
                <s:t xml:space="preserve">Administrator:
12/1 收藏指南彩色贴纸 2800pcs
12/1 进口商贴纸 2800pcs
12/1 说明书105*140mm 2800pcs
12/11 1彩色贴纸 2800pcs
2彩色贴纸 2800pcs</s:t>
              </s:r>
            </s:text>
          </item>
        </commentChain>
      </unresolved>
      <resolved/>
    </commentChains>
    <commentChains s:ref="AI618" rgbClr="FF0000">
      <unresolved>
        <commentChain chainId="c0023994ad5e86db0d8c9de7b363c1036c94242c">
          <item id="dc676428759a30062f4c51ca4647541d24ca6c15" isNormal="1">
            <s:text>
              <s:r>
                <s:t xml:space="preserve">Administrator:
3000571 12/16 1808pcs
华3b11</s:t>
              </s:r>
            </s:text>
          </item>
        </commentChain>
      </unresolved>
      <resolved/>
    </commentChains>
    <commentChains s:ref="AL618" rgbClr="FF0000">
      <unresolved>
        <commentChain chainId="3bab0e0984982b8ba84ab83c0dd8321c066a2b21">
          <item id="4999d363687da54a1330812005e52ef92c58ab5e" isNormal="1">
            <s:text>
              <s:r>
                <s:t xml:space="preserve">Administrator:
12/1 收藏指南彩色贴纸 18098pcs
12/1 进口商贴纸 1808pcs
12/1 说明书105*140mm 1808pcs
12/11 1彩色贴纸 18080pcs
2彩色贴纸 1808pcs
</s:t>
              </s:r>
            </s:text>
          </item>
        </commentChain>
      </unresolved>
      <resolved/>
    </commentChains>
    <commentChains s:ref="AI619" rgbClr="FF0000">
      <unresolved>
        <commentChain chainId="6f320362ade9173980ceb88826a71710a714beeb">
          <item id="dcaa473be6187ea04b6912964e0d94037e53cc9b" isNormal="1">
            <s:text>
              <s:r>
                <s:t xml:space="preserve">Administrator:
3000570 12/16 600pcs
王4b8</s:t>
              </s:r>
            </s:text>
          </item>
        </commentChain>
      </unresolved>
      <resolved/>
    </commentChains>
    <commentChains s:ref="AL619" rgbClr="FF0000">
      <unresolved>
        <commentChain chainId="dbf0cfcdf9ec15afc24c3f23da2ac355cb834894">
          <item id="74dfc3b3bf3e8a785bcc080ce85b77c7d4389ce4" isNormal="1">
            <s:text>
              <s:r>
                <s:t xml:space="preserve">Administrator:
11/3 上客户款号EAN条码贴纸600pcs
德语警告语贴纸600pcs
WEEE带电池走货说明书600pcs
Kinderherz 2025 Logo贴纸600pcs</s:t>
              </s:r>
            </s:text>
          </item>
        </commentChain>
      </unresolved>
      <resolved/>
    </commentChains>
    <commentChains s:ref="AI620" rgbClr="FF0000">
      <unresolved>
        <commentChain chainId="7bdc3012ca29ccc0275a8687c795b3d2ba8a5fa6">
          <item id="cdcbe26a388d66b84d99ec190e9313c5539c0a28" isNormal="1">
            <s:text>
              <s:r>
                <s:t xml:space="preserve">Administrator:
3000576 12/18 708pcs 华3b8</s:t>
              </s:r>
            </s:text>
          </item>
        </commentChain>
      </unresolved>
      <resolved/>
    </commentChains>
    <commentChains s:ref="AL620" rgbClr="FF0000">
      <unresolved>
        <commentChain chainId="09a3c5bed7282881e7f21a90aeddbe32c90284b5">
          <item id="7237cdd65024d631004e241fe1fd441fa151dee7" isNormal="1">
            <s:text>
              <s:r>
                <s:t xml:space="preserve">Administrator:
11/10 客人白色Cat.label 720PCS
B版通用30L WEEE带电池走货说明书720PCS</s:t>
              </s:r>
            </s:text>
          </item>
        </commentChain>
      </unresolved>
      <resolved/>
    </commentChains>
    <commentChains s:ref="AI621" rgbClr="FF0000">
      <unresolved>
        <commentChain chainId="83eed67702d4ad933e58b5e43485c46f76fb620a">
          <item id="f7b7e9cf2c4b8c2c4fd79250444b62e93db5635b" isNormal="1">
            <s:text>
              <s:r>
                <s:t xml:space="preserve">Administrator:
3000593 12/23 直走
</s:t>
              </s:r>
            </s:text>
          </item>
        </commentChain>
      </unresolved>
      <resolved/>
    </commentChains>
    <commentChains s:ref="AL621" rgbClr="FF0000">
      <unresolved>
        <commentChain chainId="7aa11432312236a2b4693a06a3addc5e7a407a79">
          <item id="f09f8705ba4bf168a37d37678680411afc93b8ef" isNormal="1">
            <s:text>
              <s:r>
                <s:t xml:space="preserve">Administrator:
12/4 客供外箱贴纸 300pcs
12/5 价格贴纸41*25mm 1200pcs</s:t>
              </s:r>
            </s:text>
          </item>
        </commentChain>
      </unresolved>
      <resolved/>
    </commentChains>
    <commentChains s:ref="AI622" rgbClr="FF0000">
      <unresolved>
        <commentChain chainId="1f96f1f4c00c7bdc977b712abf16b368bc8b649a">
          <item id="f5f8c85f5ad84238b552a6fa4f30b59aecb44af8" isNormal="1">
            <s:text>
              <s:r>
                <s:t xml:space="preserve">Administrator:
3000593 12/23 480pcs 华3b8</s:t>
              </s:r>
            </s:text>
          </item>
        </commentChain>
      </unresolved>
      <resolved/>
    </commentChains>
    <commentChains s:ref="AL622" rgbClr="FF0000">
      <unresolved>
        <commentChain chainId="02a0b7c7ba0080c6de307946c2e92961d57e0d03">
          <item id="f62bf054455b4fa529d4360e1400f42ec756e52c" isNormal="1">
            <s:text>
              <s:r>
                <s:t xml:space="preserve">Administrator:
12/5 Kinderherz 2025  480pcs
德语警告语贴纸 480pcs</s:t>
              </s:r>
            </s:text>
          </item>
        </commentChain>
      </unresolved>
      <resolved/>
    </commentChains>
    <commentChains s:ref="AI623" rgbClr="FF0000">
      <unresolved>
        <commentChain chainId="fc4b696fbd7adf5b83284a51b3e9298394421fe9">
          <item id="1c548856734c327efe950bfa1c80e118301dbdbc" isNormal="1">
            <s:text>
              <s:r>
                <s:t xml:space="preserve">Administrator:
3000593 12/23 1520pcs</s:t>
              </s:r>
            </s:text>
          </item>
        </commentChain>
      </unresolved>
      <resolved/>
    </commentChains>
    <commentChains s:ref="AI624" rgbClr="FF0000">
      <unresolved>
        <commentChain chainId="385c10ee2916d132f1981e36e4c36823905abf7f">
          <item id="36332ab53f5899dc12613b3cafbfad42208267ae" isNormal="1">
            <s:text>
              <s:r>
                <s:t xml:space="preserve">Administrator:
3000597 12/23 1140pcs华3a26
3000596 12/23 2880pcs 华3a20</s:t>
              </s:r>
            </s:text>
          </item>
        </commentChain>
      </unresolved>
      <resolved/>
    </commentChains>
    <commentChains s:ref="AL624" rgbClr="FF0000">
      <unresolved>
        <commentChain chainId="4ff5a9c4da05c4ab6b6f601abe14ea66c1162eb5">
          <item id="2b54102abc92b79599bcf932328f3206eb32069c" isNormal="1">
            <s:text>
              <s:r>
                <s:t xml:space="preserve">Administrator:
12/9 保证书 4320pcs
产品贴纸 4320pcs
包装贴纸 4320pcs
UPC贴纸 4230pcs
说明书贴纸 4320pcs
12/10 外箱贴纸 360pcs</s:t>
              </s:r>
            </s:text>
          </item>
        </commentChain>
      </unresolved>
      <resolved/>
    </commentChains>
    <commentChains s:ref="AI625" rgbClr="FF0000">
      <unresolved>
        <commentChain chainId="fb9e96f03e497de472de437a9ee03fb724452a7f">
          <item id="f28f54da7977d94d2a17517e91cb574140cf69d3" isNormal="1">
            <s:text>
              <s:r>
                <s:t xml:space="preserve">Administrator:
3000601 12/24 9520pcs 华3a29</s:t>
              </s:r>
            </s:text>
          </item>
        </commentChain>
      </unresolved>
      <resolved/>
    </commentChains>
    <commentChains s:ref="AI626" rgbClr="FF0000">
      <unresolved>
        <commentChain chainId="f95b6300c85f7656ea1c9fcb62cba8a2ccbd2d2d">
          <item id="10cc5d2b4fa89b07930deb8700165482415e3048" isNormal="1">
            <s:text>
              <s:r>
                <s:t xml:space="preserve">Administrator:
3000604 12/24 9488pcs 华1f9
3000605 12/25 32pcs王1f9</s:t>
              </s:r>
            </s:text>
          </item>
        </commentChain>
      </unresolved>
      <resolved/>
    </commentChains>
    <commentChains s:ref="AI627" rgbClr="FF0000">
      <unresolved>
        <commentChain chainId="99048e96d2879e5cc6282a97de24b3c7db8521c6">
          <item id="ddec738a3a940028b979e6f6a7e51e5e71bae413" isNormal="1">
            <s:text>
              <s:r>
                <s:t xml:space="preserve">Administrator:
3000605 12/25 560pcs王4a2</s:t>
              </s:r>
            </s:text>
          </item>
        </commentChain>
      </unresolved>
      <resolved/>
    </commentChains>
    <commentChains s:ref="AI628" rgbClr="FF0000">
      <unresolved>
        <commentChain chainId="2721442b0135c5c240abbde13d905d59c754b118">
          <item id="11edebdc95061b70b7aa95b32392e0c885c5d434" isNormal="1">
            <s:text>
              <s:r>
                <s:t xml:space="preserve">Administrator:
3000598 12/24 3888pcs 华3a19
3000599 12/24 5136pcs 华3a19
3000616 12/26 972pcs
王3a19</s:t>
              </s:r>
            </s:text>
          </item>
        </commentChain>
      </unresolved>
      <resolved/>
    </commentChains>
    <commentChains s:ref="AI629" rgbClr="FF0000">
      <unresolved>
        <commentChain chainId="0a68c29edee91527524e6bd7998bdae163c35aec">
          <item id="21dcc2382db626c418fa29cf587d641d600d3584" isNormal="1">
            <s:text>
              <s:r>
                <s:t xml:space="preserve">Administrator:
3000593 12/23 6000pcs华1f11</s:t>
              </s:r>
            </s:text>
          </item>
        </commentChain>
      </unresolved>
      <resolved/>
    </commentChains>
    <commentChains s:ref="AL629" rgbClr="FF0000">
      <unresolved>
        <commentChain chainId="66e2ea4cdd439f344b1cb647b964931e19da2b8a">
          <item id="16003974a02bb99194fef2b8ce60c5c5903150a6" isNormal="1">
            <s:text>
              <s:r>
                <s:t xml:space="preserve">Administrator:
10/17 上3C贴纸6000pcs</s:t>
              </s:r>
            </s:text>
          </item>
        </commentChain>
      </unresolved>
      <resolved/>
    </commentChains>
    <commentChains s:ref="AI630" rgbClr="FF0000">
      <unresolved>
        <commentChain chainId="da8327b1cb5a2547eadc5c349390aaed180b9cf9">
          <item id="7c654b408ed8730baf5b35dc72b9fbc91d7147d5" isNormal="1">
            <s:text>
              <s:r>
                <s:t xml:space="preserve">Administrator:
3000605 12/25 32pcs
王直走
</s:t>
              </s:r>
            </s:text>
          </item>
        </commentChain>
      </unresolved>
      <resolved/>
    </commentChains>
    <commentChains s:ref="AL630" rgbClr="FF0000">
      <unresolved>
        <commentChain chainId="ee7873d70518e723529797f070559b0912f4cd3d">
          <item id="9ad8129d636401af8f78e7f4db8a180f3ad7d22e" isNormal="1">
            <s:text>
              <s:r>
                <s:t xml:space="preserve">Administrator:
10/16 上3C贴纸2004pcs</s:t>
              </s:r>
            </s:text>
          </item>
        </commentChain>
      </unresolved>
      <resolved/>
    </commentChains>
    <commentChains s:ref="AI631" rgbClr="FF0000">
      <unresolved>
        <commentChain chainId="76516802e284046ac8989e30dd6fbd998d2c9644">
          <item id="428f8f21ca4703140953b8bde51bb2839a385952" isNormal="1">
            <s:text>
              <s:r>
                <s:t xml:space="preserve">Administrator:
3000597 12/23 1168pcs华3b15
3000599 12/24 32pcs 华3b15</s:t>
              </s:r>
            </s:text>
          </item>
        </commentChain>
      </unresolved>
      <resolved/>
    </commentChains>
    <commentChains s:ref="AL631" rgbClr="FF0000">
      <unresolved>
        <commentChain chainId="73c804320d987f0d66147103ed80879ce5f37466">
          <item id="fcf16f24d43c4915edf0982387aba90c66dfc0bb" isNormal="1">
            <s:text>
              <s:r>
                <s:t xml:space="preserve">Administrator:
12/5 Kinderherz 2025 1200pcs
德语警告语贴纸 1200pcs</s:t>
              </s:r>
            </s:text>
          </item>
        </commentChain>
      </unresolved>
      <resolved/>
    </commentChains>
    <commentChains s:ref="AI632" rgbClr="FF0000">
      <unresolved>
        <commentChain chainId="a406aa6a14f6ab426e020a82fdcccd28bd592dd2">
          <item id="1717537d20b72d92062ac3088d96d8e406d2ea25" isNormal="1">
            <s:text>
              <s:r>
                <s:t xml:space="preserve">Administrator:
东莞完成</s:t>
              </s:r>
            </s:text>
          </item>
        </commentChain>
      </unresolved>
      <resolved/>
    </commentChains>
    <commentChains s:ref="AL632" rgbClr="FF0000">
      <unresolved>
        <commentChain chainId="cf5263ada00b5d15778cabb26a679d16859a464c">
          <item id="3bed93899393d4f32fce7e09f03406b2e81b3a21" isNormal="1">
            <s:text>
              <s:r>
                <s:t xml:space="preserve">Administrator:
12/12 客户贴纸 30pcs</s:t>
              </s:r>
            </s:text>
          </item>
        </commentChain>
      </unresolved>
      <resolved/>
    </commentChains>
    <commentChains s:ref="AI633" rgbClr="FF0000">
      <unresolved>
        <commentChain chainId="09f292816abba1457b721ff756dc5af7fe52b40b">
          <item id="b0a8633cfd97d77142d9b18154c372327c9b9c36" isNormal="1">
            <s:text>
              <s:r>
                <s:t xml:space="preserve">Administrator:
3000612 12/26 600pcs王4b9</s:t>
              </s:r>
            </s:text>
          </item>
        </commentChain>
      </unresolved>
      <resolved/>
    </commentChains>
    <commentChains s:ref="AI634" rgbClr="FF0000">
      <unresolved>
        <commentChain chainId="cbdb806be7356f605f74f2cf8ad637dacd81683b">
          <item id="e4de20f839aa778f4ba44b7bc71a8f6a4513f6a1" isNormal="1">
            <s:text>
              <s:r>
                <s:t xml:space="preserve">Administrator:
3000621 12/27 5004pcs 王4a4</s:t>
              </s:r>
            </s:text>
          </item>
        </commentChain>
      </unresolved>
      <resolved/>
    </commentChains>
    <commentChains s:ref="AL634" rgbClr="FF0000">
      <unresolved>
        <commentChain chainId="cd491856924fed4fcf9ecd97c6cfe548f3b8a7fb">
          <item id="2e964163d29086007b1dcdcdb363a1afe624f161" isNormal="1">
            <s:text>
              <s:r>
                <s:t xml:space="preserve">Administrator:
11/18 上进口商贴纸5004pcs
UPC 贴纸5004pcs
补查货 UPC贴 纸 50pcs 进口商贴纸 50pcs</s:t>
              </s:r>
            </s:text>
          </item>
        </commentChain>
      </unresolved>
      <resolved/>
    </commentChains>
    <commentChains s:ref="AI635" rgbClr="FF0000">
      <unresolved>
        <commentChain chainId="73ee72677d7a829e93746af220ff472cf23aecc4">
          <item id="7c31c8707b15257d6d71c55b57ac4ba726943846" isNormal="1">
            <s:text>
              <s:r>
                <s:t xml:space="preserve">Administrator:
3000631 12/31 9464pcs</s:t>
              </s:r>
            </s:text>
          </item>
        </commentChain>
      </unresolved>
      <resolved/>
    </commentChains>
    <commentChains s:ref="AI636" rgbClr="FF0000">
      <unresolved>
        <commentChain chainId="7162b1be8a228465c58770cab69390fc9b02f0b5">
          <item id="2cd6a559f7430d736ec5a1fdc13ffbdfe54cd398" isNormal="1">
            <s:text>
              <s:r>
                <s:t xml:space="preserve">Administrator:
3000593 12/23 156pcs 转</s:t>
              </s:r>
            </s:text>
          </item>
        </commentChain>
      </unresolved>
      <resolved/>
    </commentChains>
    <commentChains s:ref="AI637" rgbClr="FF0000">
      <unresolved>
        <commentChain chainId="857a05ff6c14916a210022da28010841f0bd2194">
          <item id="5a299e50439c669d403d7a925474b1ca41bf192c" isNormal="1">
            <s:text>
              <s:r>
                <s:t xml:space="preserve">Administrator:
1600090 12/26 708pcs王4a7</s:t>
              </s:r>
            </s:text>
          </item>
        </commentChain>
      </unresolved>
      <resolved/>
    </commentChains>
    <commentChains s:ref="AI638" rgbClr="FF0000">
      <unresolved>
        <commentChain chainId="cf35a195666fdc4377fb04392ce42bfff5d8892a">
          <item id="70a23c42bc1aeeb5474bd012c45c6459f1816ee2" isNormal="1">
            <s:text>
              <s:r>
                <s:t xml:space="preserve">Administrator:
1600080 12/26 108
pcs
王4b11600090 12/26 12pcs王4b1</s:t>
              </s:r>
            </s:text>
          </item>
        </commentChain>
      </unresolved>
      <resolved/>
    </commentChains>
    <commentChains s:ref="AL638" rgbClr="FF0000">
      <unresolved>
        <commentChain chainId="c01bb0a42d01735cd8d99010a9d875b261a5d55d">
          <item id="cf276af1c9a7abda24201cf9dc6e1822207dde08" isNormal="1">
            <s:text>
              <s:r>
                <s:t xml:space="preserve">Administrator:
12/10 小警语贴纸 120pcs
大纽扣电池警语贴纸 120pcs
12/11 Kmart外箱贴纸 10pcs
12/15 白色防盗贴纸 120pcs</s:t>
              </s:r>
            </s:text>
          </item>
        </commentChain>
      </unresolved>
      <resolved/>
    </commentChains>
    <commentChains s:ref="AI639" rgbClr="FF0000">
      <unresolved>
        <commentChain chainId="467a1cbb81a8847038d242840f37151c745eed25">
          <item id="63f151845e3f83836ad4482ff85d87cebfd7369f" isNormal="1">
            <s:text>
              <s:r>
                <s:t xml:space="preserve">Administrator:
1600080 12/26 1344pcs
王4b21600090 12/26 36pcs王4</s:t>
              </s:r>
            </s:text>
          </item>
        </commentChain>
      </unresolved>
      <resolved/>
    </commentChains>
    <commentChains s:ref="AL639" rgbClr="FF0000">
      <unresolved>
        <commentChain chainId="a3a882a0ca3383a2faf68efd4c02cd8612480ba9">
          <item id="f14e347480c3dc13c5aed02a8b1af0981f645332" isNormal="1">
            <s:text>
              <s:r>
                <s:t xml:space="preserve">Administrator:
12/10 小警语贴纸 1380pcs
大纽扣电池警语贴纸 1380pcs
12/11 Kmart外箱贴纸 115pcs
12/15 白色防盗贴纸 1380pcs</s:t>
              </s:r>
            </s:text>
          </item>
        </commentChain>
      </unresolved>
      <resolved/>
    </commentChains>
    <commentChains s:ref="AI640" rgbClr="FF0000">
      <unresolved>
        <commentChain chainId="a1b157e96c012d35f07f40d58eb979466ebaf2ad">
          <item id="0768a0d446bbd84a99bcd80d80daa2deab678ebe" isNormal="1">
            <s:text>
              <s:r>
                <s:t xml:space="preserve">Administrator:
1600951 1/2 3000pcs
庞fa5区</s:t>
              </s:r>
            </s:text>
          </item>
        </commentChain>
      </unresolved>
      <resolved/>
    </commentChains>
    <commentChains s:ref="AL640" rgbClr="FF0000">
      <unresolved>
        <commentChain chainId="fcd612e91ba16dd83d4c13302837e180d2b89515">
          <item id="ba905e27fdf9020b8a2d8d766ac7cd12e0618ce8" isNormal="1">
            <s:text>
              <s:r>
                <s:t xml:space="preserve">Administrator:
12/9 进口商贴纸 3000pcs</s:t>
              </s:r>
            </s:text>
          </item>
        </commentChain>
      </unresolved>
      <resolved/>
    </commentChains>
    <commentChains s:ref="AI641" rgbClr="FF0000">
      <unresolved>
        <commentChain chainId="87590afca31a07d8c7424294516bc3b3d2f9eef1">
          <item id="36916c08625a00dc16997b7337a32170f42390f9" isNormal="1">
            <s:text>
              <s:r>
                <s:t xml:space="preserve">Administrator:
1600080 12/26 416
pcs
王4b91600090 12/26 16pcs王4b9</s:t>
              </s:r>
            </s:text>
          </item>
        </commentChain>
      </unresolved>
      <resolved/>
    </commentChains>
    <commentChains s:ref="AI642" rgbClr="FF0000">
      <unresolved>
        <commentChain chainId="8259892d124f4f4deacf68811ecb9115a16da12b">
          <item id="9321543e3fb0d9ed02812e73b84643ce5b168cc6" isNormal="1">
            <s:text>
              <s:r>
                <s:t xml:space="preserve">Administrator:
1600124 12/24 4480pcs华1f5</s:t>
              </s:r>
            </s:text>
          </item>
        </commentChain>
      </unresolved>
      <resolved/>
    </commentChains>
    <commentChains s:ref="AL642" rgbClr="FF0000">
      <unresolved>
        <commentChain chainId="4df267a11d8e4e724d1fd1433d9cead1b6c60e90">
          <item id="569d4ac53c7a38e67b7a20b3c05047176f7c54c1" isNormal="1">
            <s:text>
              <s:r>
                <s:t xml:space="preserve">Administrator:
11/22上客供RFID贴纸4480pcs</s:t>
              </s:r>
            </s:text>
          </item>
        </commentChain>
      </unresolved>
      <resolved/>
    </commentChains>
    <commentChains s:ref="AI643" rgbClr="FF0000">
      <unresolved>
        <commentChain chainId="583d1cc7b58066199d6b3dff237a09e4114a9fc4">
          <item id="12245a0779d7349705fe9b38bc40560e71c0aa2a" isNormal="1">
            <s:text>
              <s:r>
                <s:t xml:space="preserve">Administrator:
1600124 12/24 2240pcs
华3a28</s:t>
              </s:r>
            </s:text>
          </item>
        </commentChain>
      </unresolved>
      <resolved/>
    </commentChains>
    <commentChains s:ref="AL643" rgbClr="FF0000">
      <unresolved>
        <commentChain chainId="503a17d25a22537ba95265aa53d5883cc2490ecb">
          <item id="861637d6590c78d22ade9aeec8db1c1cb9a828eb" isNormal="1">
            <s:text>
              <s:r>
                <s:t xml:space="preserve">Administrator:
11/22上客供RFID贴纸2240pcs</s:t>
              </s:r>
            </s:text>
          </item>
        </commentChain>
      </unresolved>
      <resolved/>
    </commentChains>
    <commentChains s:ref="AI644" rgbClr="FF0000">
      <unresolved>
        <commentChain chainId="e7986255fa19b9714c54967fa3471888fb169ba4">
          <item id="9dc80ec0f7df108ef28ec49ca2c1f46655b49aef" isNormal="1">
            <s:text>
              <s:r>
                <s:t xml:space="preserve">Administrator:
3000617 12/27 1920pcs
华1f12
</s:t>
              </s:r>
            </s:text>
          </item>
        </commentChain>
      </unresolved>
      <resolved/>
    </commentChains>
    <commentChains s:ref="AL644" rgbClr="FF0000">
      <unresolved>
        <commentChain chainId="52cd2b353a2f0c87d2952e5f8ed8f9ef1f4fb53f">
          <item id="2f239aa8f70f05f60beaa9dbf89a9c8b80ca202e" isNormal="1">
            <s:text>
              <s:r>
                <s:t xml:space="preserve">Administrator:
11/22上客供RFID贴纸1920pcs</s:t>
              </s:r>
            </s:text>
          </item>
        </commentChain>
      </unresolved>
      <resolved/>
    </commentChains>
    <commentChains s:ref="AI645" rgbClr="FF0000">
      <unresolved>
        <commentChain chainId="3d4ee7ecde2f5eb19c2f5ee23250e52b3206324b">
          <item id="e0411a8a7f63ba04c0e9224d16831ac7b4b60e27" isNormal="1">
            <s:text>
              <s:r>
                <s:t xml:space="preserve">Administrator:
1600112 12/27 756pcs王4a7
1600090 12/27 1680pcs 王4a7
1600124 12/27 24pcs 王4a7
 </s:t>
              </s:r>
            </s:text>
          </item>
        </commentChain>
      </unresolved>
      <resolved/>
    </commentChains>
    <commentChains s:ref="AL645" rgbClr="FF0000">
      <unresolved>
        <commentChain chainId="6e1ecf2d112ae69d75032e383ac45310503823b2">
          <item id="0db08e785705637c9164b1e7e9c2fb2689da7a7a" isNormal="1">
            <s:text>
              <s:r>
                <s:t xml:space="preserve">Administrator:
12/1 亚马逊外箱贴纸4*6 205pcs
12/5 UPC贴纸41*25mm 2460pcs</s:t>
              </s:r>
            </s:text>
          </item>
        </commentChain>
      </unresolved>
      <resolved/>
    </commentChains>
    <commentChains s:ref="AI646" rgbClr="FF0000">
      <unresolved>
        <commentChain chainId="45af471782550cea35dbd6e6f6dba0571087b052">
          <item id="7debb769204d5238c7cbac1bc5eebfad8fdd5f19" isNormal="1">
            <s:text>
              <s:r>
                <s:t xml:space="preserve">Administrator:
1600951 1/2 3600pcs 庞fa5区
</s:t>
              </s:r>
            </s:text>
          </item>
        </commentChain>
      </unresolved>
      <resolved/>
    </commentChains>
    <commentChains s:ref="AL646" rgbClr="FF0000">
      <unresolved>
        <commentChain chainId="2510a2d1348ebe943d5594931da45c0056849a8e">
          <item id="aad6ae9fd68d5898ce6ef4dce486afe0d306cb04" isNormal="1">
            <s:text>
              <s:r>
                <s:t xml:space="preserve">Administrator:
12/16 进口商贴纸 3600pcs</s:t>
              </s:r>
            </s:text>
          </item>
        </commentChain>
      </unresolved>
      <resolved/>
    </commentChains>
    <commentChains s:ref="AI647" rgbClr="FF0000">
      <unresolved>
        <commentChain chainId="b5b9d98fe7072e8dd9d4af36bee9f78150fc61b1">
          <item id="ed97529cca0967ae252bc688bd1431101832c01c" isNormal="1">
            <s:text>
              <s:r>
                <s:t xml:space="preserve">Administrator:
1600112 12/27 1782pcs 王4b8
1600124 12/27 18pcs王4b8
 </s:t>
              </s:r>
            </s:text>
          </item>
        </commentChain>
      </unresolved>
      <resolved/>
    </commentChains>
    <commentChains s:ref="AL647" rgbClr="FF0000">
      <unresolved>
        <commentChain chainId="25bd50b93f9ac7d91d35661078211a390ca296c9">
          <item id="0c791698df9994a196d9135763efe05c875680cf" isNormal="1">
            <s:text>
              <s:r>
                <s:t xml:space="preserve">Administrator:
12/8 进口商贴纸55*60mmm 1200pcs
</s:t>
              </s:r>
            </s:text>
          </item>
        </commentChain>
      </unresolved>
      <resolved/>
    </commentChains>
    <commentChains s:ref="AI648" rgbClr="FF0000">
      <unresolved>
        <commentChain chainId="e2dffc4feb95dff8bd71ad8576d40687a9a64e89">
          <item id="9e460f3d88d0a0821240fc56485cbc16d116fe93" isNormal="1">
            <s:text>
              <s:r>
                <s:t xml:space="preserve">Administrator:
1600124 12/24 4280pcs
华3</s:t>
              </s:r>
            </s:text>
          </item>
        </commentChain>
      </unresolved>
      <resolved/>
    </commentChains>
    <commentChains s:ref="AL648" rgbClr="FF0000">
      <unresolved>
        <commentChain chainId="212f7ac33162cb685debbc2d07a0d8be34bd2ec6">
          <item id="742ff601aaf1a6afaec07039a019607305aa8e25" isNormal="1">
            <s:text>
              <s:r>
                <s:t xml:space="preserve">Administrator:
11/22上客供RFID贴纸1280pcs</s:t>
              </s:r>
            </s:text>
          </item>
        </commentChain>
      </unresolved>
      <resolved/>
    </commentChains>
    <commentChains s:ref="AI649" rgbClr="FF0000">
      <unresolved>
        <commentChain chainId="45a89f13979400e6577238d58efdbca6881282f8">
          <item id="ebd24afd8702f15ac3d4d3bb5c7a384e0fa33b09" isNormal="1">
            <s:text>
              <s:r>
                <s:t xml:space="preserve">Administrator:
1600127 12/27 960pcs 王4b7</s:t>
              </s:r>
            </s:text>
          </item>
        </commentChain>
      </unresolved>
      <resolved/>
    </commentChains>
    <commentChains s:ref="AL649" rgbClr="FF0000">
      <unresolved>
        <commentChain chainId="39c50295eedf9d37a4c79aeb7350ddbae5706750">
          <item id="1e602f4ca3ad1c1c5a9a55a6a3108219240d45c6" isNormal="1">
            <s:text>
              <s:r>
                <s:t xml:space="preserve">Administrator:
12/8 进口商贴纸55*60mmm 960pcs</s:t>
              </s:r>
            </s:text>
          </item>
        </commentChain>
      </unresolved>
      <resolved/>
    </commentChains>
    <commentChains s:ref="AI650" rgbClr="FF0000">
      <unresolved>
        <commentChain chainId="3adfc8a57303c178160d2b24ade7643761e197a1">
          <item id="a5e2c618c01b9ee9e0360aebb4b6e0660cf28542" isNormal="1">
            <s:text>
              <s:r>
                <s:t xml:space="preserve">Administrator:
3000617 12/27 640pcs华1f12</s:t>
              </s:r>
            </s:text>
          </item>
        </commentChain>
      </unresolved>
      <resolved/>
    </commentChains>
    <commentChains s:ref="AL650" rgbClr="FF0000">
      <unresolved>
        <commentChain chainId="30e0467471ccce524a361633780979211b8720e6">
          <item id="6aba687b9c811151f3128f707b3b881fe49a4005" isNormal="1">
            <s:text>
              <s:r>
                <s:t xml:space="preserve">Administrator:
10/17 上客供RFID贴纸640pcs
10/29 客供RFID贴纸 640pcs</s:t>
              </s:r>
            </s:text>
          </item>
        </commentChain>
      </unresolved>
      <resolved/>
    </commentChains>
    <commentChains s:ref="AI651" rgbClr="FF0000">
      <unresolved>
        <commentChain chainId="28f74180ca90951b0ef1fcbff13fe1d93991e22d">
          <item id="d846ff6460e2dae39ee0e7546b7503f0b2cebbf4" isNormal="1">
            <s:text>
              <s:r>
                <s:t xml:space="preserve">Administrator:
1600124 12/24 1920pcs
华3b14</s:t>
              </s:r>
            </s:text>
          </item>
        </commentChain>
      </unresolved>
      <resolved/>
    </commentChains>
    <commentChains s:ref="AL651" rgbClr="FF0000">
      <unresolved>
        <commentChain chainId="aa130fb2eba6bd5c80d5b466ff52833789391065">
          <item id="22176c07503ce466ce98cbdca2b7efb777c11ec8" isNormal="1">
            <s:text>
              <s:r>
                <s:t xml:space="preserve">Administrator:
10/29 客供RFID贴纸 1920pcs
</s:t>
              </s:r>
            </s:text>
          </item>
        </commentChain>
      </unresolved>
      <resolved/>
    </commentChains>
    <commentChains s:ref="AI652" rgbClr="FF0000">
      <unresolved>
        <commentChain chainId="1bc33ad7a1662ce2de2b08e88c7d3b153690a29a">
          <item id="9e97d1161a3b4dba48444b1289cc1cc809b7e10f" isNormal="1">
            <s:text>
              <s:r>
                <s:t xml:space="preserve">Administrator:
3000617 12/27 960pcs
华1f12
</s:t>
              </s:r>
            </s:text>
          </item>
        </commentChain>
      </unresolved>
      <resolved/>
    </commentChains>
    <commentChains s:ref="AL652" rgbClr="FF0000">
      <unresolved>
        <commentChain chainId="e6f76ae717be440ae5859ae08ca2aaf69627b25d">
          <item id="0eedb82380daab4b1946c4ab7b9945ffc4e70d30" isNormal="1">
            <s:text>
              <s:r>
                <s:t xml:space="preserve">Administrator:
10/29 客供RFID贴纸 960pcs
</s:t>
              </s:r>
            </s:text>
          </item>
        </commentChain>
      </unresolved>
      <resolved/>
    </commentChains>
    <commentChains s:ref="AI653" rgbClr="FF0000">
      <unresolved>
        <commentChain chainId="5dccf1028a1b384658ef3f57b5b9e0bb076e229e">
          <item id="52d7a3f9465164e5a535e637689bdb27ec15d9d7" isNormal="1">
            <s:text>
              <s:r>
                <s:t xml:space="preserve">Administrator:
3000625 12/29 1200pcs 华1f11</s:t>
              </s:r>
            </s:text>
          </item>
        </commentChain>
      </unresolved>
      <resolved/>
    </commentChains>
    <commentChains s:ref="AI654" rgbClr="FF0000">
      <unresolved>
        <commentChain chainId="4923332b1297a78831366d3367325f305310fd13">
          <item id="35ebb450fbbebfcfc97496633a9ee65e1fa9014a" isNormal="1">
            <s:text>
              <s:r>
                <s:t xml:space="preserve">Administrator:
3000625 12/29 4472pcs
华1f11
3000628 12/30 32pcs
华1f11</s:t>
              </s:r>
            </s:text>
          </item>
        </commentChain>
      </unresolved>
      <resolved/>
    </commentChains>
    <commentChains s:ref="AI655" rgbClr="FF0000">
      <unresolved>
        <commentChain chainId="7afd170fcab9304a1cb3fe6b002261bd167b8963">
          <item id="f71f789c4fece9aeea5b42804c84f37f16abc73c" isNormal="1">
            <s:text>
              <s:r>
                <s:t xml:space="preserve">Administrator:
3000635 1/4 888pcs 潘3b16</s:t>
              </s:r>
            </s:text>
          </item>
        </commentChain>
      </unresolved>
      <resolved/>
    </commentChains>
    <commentChains s:ref="AL655" rgbClr="FF0000">
      <unresolved>
        <commentChain chainId="9a2663ca985a645304937f0f78236d042af39e68">
          <item id="3ce018227ca813b1c1bcc5b90aefc4cacfec4f5f" isNormal="1">
            <s:text>
              <s:r>
                <s:t xml:space="preserve">Administrator:
12/18 DC运输贴纸 888pcs
12/22 UPC贴纸 888pcs
12/24 PDQ标识贴 111pcs</s:t>
              </s:r>
            </s:text>
          </item>
        </commentChain>
      </unresolved>
      <resolved/>
    </commentChains>
    <commentChains s:ref="AI656" rgbClr="FF0000">
      <unresolved>
        <commentChain chainId="6b54143b955ecc2c760d00c1c75e0a814bc0c070">
          <item id="f5dd8e70fc9882553c9d4cbda48a7a0fa932d619" isNormal="1">
            <s:text>
              <s:r>
                <s:t xml:space="preserve">Administrator:
3000635 1/4 408pcs
庞3b15</s:t>
              </s:r>
            </s:text>
          </item>
        </commentChain>
      </unresolved>
      <resolved/>
    </commentChains>
    <commentChains s:ref="AL656" rgbClr="FF0000">
      <unresolved>
        <commentChain chainId="0bd05752c657bc435e858861141d1210614ce933">
          <item id="cf5bc482b256769fb9eebfa1549d327d279cbac3" isNormal="1">
            <s:text>
              <s:r>
                <s:t xml:space="preserve">Administrator
12/18 DC运输贴纸 408pcs
12/22 UPC贴纸 
12/24 PDQ标识贴 51pcs</s:t>
              </s:r>
            </s:text>
          </item>
        </commentChain>
      </unresolved>
      <resolved/>
    </commentChains>
    <commentChains s:ref="AI657" rgbClr="FF0000">
      <unresolved>
        <commentChain chainId="4e1906acc301430800383caa8a011b73822962ab">
          <item id="910e31cd06301760c3e702547888e6aca0c106f6" isNormal="1">
            <s:text>
              <s:r>
                <s:t xml:space="preserve">Administrator:
3000635 1/4 752pcs
庞3a31</s:t>
              </s:r>
            </s:text>
          </item>
        </commentChain>
      </unresolved>
      <resolved/>
    </commentChains>
    <commentChains s:ref="AL657" rgbClr="FF0000">
      <unresolved>
        <commentChain chainId="46f101c7f692efa794d7335dbe6fae8cef35f612">
          <item id="ac697dd6b7ca28996372ec1113c0b46ad94e3b9e" isNormal="1">
            <s:text>
              <s:r>
                <s:t xml:space="preserve">Administrator:
12/18 DC运输贴纸 752pcs
12/22 UPC贴纸 752pcs
12/24 PDQ标识贴 94pcs</s:t>
              </s:r>
            </s:text>
          </item>
        </commentChain>
      </unresolved>
      <resolved/>
    </commentChains>
    <commentChains s:ref="AI658" rgbClr="FF0000">
      <unresolved>
        <commentChain chainId="566000e2c412a9aabd14ed863409002c62758860">
          <item id="a7392033317152d55ec4121d623aecd68ae50cda" isNormal="1">
            <s:text>
              <s:r>
                <s:t xml:space="preserve">Administrator:
3000630 12/30 2400pcs 华1f7</s:t>
              </s:r>
            </s:text>
          </item>
        </commentChain>
      </unresolved>
      <resolved/>
    </commentChains>
    <commentChains s:ref="AL658" rgbClr="FF0000">
      <unresolved>
        <commentChain chainId="1d386c87b7e7be9c4239f5ef8e22f0ab8f80fdbd">
          <item id="d373d971b5ca53b6eae8bfa9e9b1f42b4cfec99f" isNormal="1">
            <s:text>
              <s:r>
                <s:t xml:space="preserve">Administrator:
12/3 款号条码贴纸 2400pcs</s:t>
              </s:r>
            </s:text>
          </item>
        </commentChain>
      </unresolved>
      <resolved/>
    </commentChains>
    <commentChains s:ref="AI659" rgbClr="FF0000">
      <unresolved>
        <commentChain chainId="273a21e32d2c28a18d3c3de816f171bcb0acf996">
          <item id="fde18fcbf0f3c8cc83826925f58d0eaba9152bb4" isNormal="1">
            <s:text>
              <s:r>
                <s:t xml:space="preserve">Administrator:
3000630 12/30 804pcs
华1f7</s:t>
              </s:r>
            </s:text>
          </item>
        </commentChain>
      </unresolved>
      <resolved/>
    </commentChains>
    <commentChains s:ref="AL659" rgbClr="FF0000">
      <unresolved>
        <commentChain chainId="4bf74becb6eb5bff8a2618b64fe4ad087c168dc9">
          <item id="59e7ae43931619030e0210806d9d00e4af42e061" isNormal="1">
            <s:text>
              <s:r>
                <s:t xml:space="preserve">Administrator:
12/18 进口商贴纸 804pcs</s:t>
              </s:r>
            </s:text>
          </item>
        </commentChain>
      </unresolved>
      <resolved/>
    </commentChains>
    <commentChains s:ref="AI660" rgbClr="FF0000">
      <unresolved>
        <commentChain chainId="bfa728255974de64412cbb7b67ef4f1a8cc6e2c7">
          <item id="33fda9128750d1f1ab10e47a99890ce1311d3b53" isNormal="1">
            <s:text>
              <s:r>
                <s:t xml:space="preserve">Administrator:
3000630 12/30 4000pcs 华3f12</s:t>
              </s:r>
            </s:text>
          </item>
        </commentChain>
      </unresolved>
      <resolved/>
    </commentChains>
    <commentChains s:ref="AL660" rgbClr="FF0000">
      <unresolved>
        <commentChain chainId="70469d8003488ed58487a7b20176726838066122">
          <item id="b7d0075b439a700bb724a23a9547f5f5eba42a67" isNormal="1">
            <s:text>
              <s:r>
                <s:t xml:space="preserve">Administrator:
12/6 客户EAN 条码贴纸 4000pcs
PDQ数量贴纸 1000pcs</s:t>
              </s:r>
            </s:text>
          </item>
        </commentChain>
      </unresolved>
      <resolved/>
    </commentChains>
    <commentChains s:ref="AI661" rgbClr="FF0000">
      <unresolved>
        <commentChain chainId="c433952249c54977c3066f7b6dfc254c83ba3393">
          <item id="33736d488f77fd3c9e41f8526f3b628167022d84" isNormal="1">
            <s:text>
              <s:r>
                <s:t xml:space="preserve">Administrator:
4001697 1/6 3400pcs 庞走货</s:t>
              </s:r>
            </s:text>
          </item>
        </commentChain>
      </unresolved>
      <resolved/>
    </commentChains>
    <commentChains s:ref="AL661" rgbClr="FF0000">
      <unresolved>
        <commentChain chainId="941be7edd69ab7e049aabf482c3a9d4bedd80aab">
          <item id="f9788cbcc843625b1c6597936b6cf219544706c0" isNormal="1">
            <s:text>
              <s:r>
                <s:t xml:space="preserve">Administrator:
12/30 可折鋈警语贴纸 3400pcs</s:t>
              </s:r>
            </s:text>
          </item>
        </commentChain>
      </unresolved>
      <resolved/>
    </commentChains>
    <commentChains s:ref="AI663" rgbClr="FF0000">
      <unresolved>
        <commentChain chainId="7bc672d530d83fcf1fa379ad1661d704d3e616cb">
          <item id="d092d344615ca3a0bc1bd1ebe35da97f4d87c238" isNormal="1">
            <s:text>
              <s:r>
                <s:t xml:space="preserve">Administrator:
4001908 2/3 600pcs庞直走</s:t>
              </s:r>
            </s:text>
          </item>
        </commentChain>
      </unresolved>
      <resolved/>
    </commentChains>
    <commentChains s:ref="AI665" rgbClr="FF0000">
      <unresolved>
        <commentChain chainId="f464398a6b617c4470439c0dcc3410cfc78f3624">
          <item id="e81f23901c5ff2c42ac765556baf7c2b438a3f26" isNormal="1">
            <s:text>
              <s:r>
                <s:t xml:space="preserve">Administrator:
4001717 1/8 4320pcs 庞1f5
4001712 1/9 680pcs
庞1f11</s:t>
              </s:r>
            </s:text>
          </item>
        </commentChain>
      </unresolved>
      <resolved/>
    </commentChains>
    <commentChains s:ref="AI666" rgbClr="FF0000">
      <unresolved>
        <commentChain chainId="0689a8e8808d733ccc5717aef6cbf343082b3677">
          <item id="1dc1c69972067c58a1539bef46ebb034d1183ea9" isNormal="1">
            <s:text>
              <s:r>
                <s:t xml:space="preserve">Administrator:
3000625 12/29 1008pcs 华1f12
4001705 1/12 2988pcs庞1f12</s:t>
              </s:r>
            </s:text>
          </item>
        </commentChain>
      </unresolved>
      <resolved/>
    </commentChains>
    <commentChains s:ref="AL666" rgbClr="FF0000">
      <unresolved>
        <commentChain chainId="766e8d89f492c914a21f4df5769652885dc67eed">
          <item id="fe2c6a5715d5f4468a9e4d3e39acb09e721906a2" isNormal="1">
            <s:text>
              <s:r>
                <s:t xml:space="preserve">Administrator:
12/16 客版产品条码贴纸 3996pcs</s:t>
              </s:r>
            </s:text>
          </item>
        </commentChain>
      </unresolved>
      <resolved/>
    </commentChains>
    <commentChains s:ref="AI667" rgbClr="FF0000">
      <unresolved>
        <commentChain chainId="a0df722e1fb0d5b6df27f8bb906084b04c8f750d">
          <item id="1f601e0bfdbecf8c41a1612fd16764121f5d4697" isNormal="1">
            <s:text>
              <s:r>
                <s:t xml:space="preserve">Administrator:
4001703 1/8 1808pcs华3b10</s:t>
              </s:r>
            </s:text>
          </item>
        </commentChain>
      </unresolved>
      <resolved/>
    </commentChains>
    <commentChains s:ref="AL667" rgbClr="FF0000">
      <unresolved>
        <commentChain chainId="d38053bcfde77732e7281758dc27ab53c72b8936">
          <item id="1f289598201dc5252572ae56d669eeeed9289d03" isNormal="1">
            <s:text>
              <s:r>
                <s:t xml:space="preserve">Administrator:
12/8 客供警语贴纸 1866cs
客供电池警告贴纸 1866cs
客供中文警告说明书 1866pcs
</s:t>
              </s:r>
            </s:text>
          </item>
        </commentChain>
      </unresolved>
      <resolved/>
    </commentChains>
    <commentChains s:ref="AI668" rgbClr="FF0000">
      <unresolved>
        <commentChain chainId="c1da3ba2135d50ea7d1094c7097a47fc78c1c38d">
          <item id="d781bff1b601ef4b4056ca0014ad0d5eba188f27" isNormal="1">
            <s:text>
              <s:r>
                <s:t xml:space="preserve">Administrator:
4001728 1/10 720pcs直走</s:t>
              </s:r>
            </s:text>
          </item>
        </commentChain>
      </unresolved>
      <resolved/>
    </commentChains>
    <commentChains s:ref="AL668" rgbClr="FF0000">
      <unresolved>
        <commentChain chainId="a21064c813a882d7ab7a070462585993a00354a6">
          <item id="a02427d36d6108bb2d6fc5915bc57acb6c3414c9" isNormal="1">
            <s:text>
              <s:r>
                <s:t xml:space="preserve">Administrator:
12/8 客供电池警语贴纸 1488pcs
客供警语贴 1490pcs
客供中文警告说明书 250pcs
</s:t>
              </s:r>
            </s:text>
          </item>
        </commentChain>
      </unresolved>
      <resolved/>
    </commentChains>
    <commentChains s:ref="AI669" rgbClr="FF0000">
      <unresolved>
        <commentChain chainId="248822a46122f5c3c41a3fd8461142270b14aea6">
          <item id="67fe9b0835900fb828fcaeb3356a9528feba3071" isNormal="1">
            <s:text>
              <s:r>
                <s:t xml:space="preserve">Administrator:
1601083 1/10 10400pcs 王4c7</s:t>
              </s:r>
            </s:text>
          </item>
        </commentChain>
      </unresolved>
      <resolved/>
    </commentChains>
    <commentChains s:ref="AI670" rgbClr="FF0000">
      <unresolved>
        <commentChain chainId="b8646a0eeac3f0f36e78be61fbc7bb29176e4c4e">
          <item id="62dc077f4750c465c51e82c832034fe2fc4b32a2" isNormal="1">
            <s:text>
              <s:r>
                <s:t xml:space="preserve">Administrator:
4001722 1/9 492pcs 王4c5
4001725 1/9 12pcs
庞b栋</s:t>
              </s:r>
            </s:text>
          </item>
        </commentChain>
      </unresolved>
      <resolved/>
    </commentChains>
    <commentChains s:ref="AI671" rgbClr="FF0000">
      <unresolved>
        <commentChain chainId="b01c83a3b2f938927f0c1ce548180b4f4c13388a">
          <item id="2697c5f2d5c7681ffb64f3d9a8c6e69f312f6fa8" isNormal="1">
            <s:text>
              <s:r>
                <s:t xml:space="preserve">Administrator:
3000635 1/4 1128pcs
庞1f3</s:t>
              </s:r>
            </s:text>
          </item>
        </commentChain>
      </unresolved>
      <resolved/>
    </commentChains>
    <commentChains s:ref="AL671" rgbClr="FF0000">
      <unresolved>
        <commentChain chainId="de206d52b1c5c0d7d4d6b94d764817504fa8e516">
          <item id="1bf3d9cdabd67f2bf22be57600216abd59f895eb" isNormal="1">
            <s:text>
              <s:r>
                <s:t xml:space="preserve">Administrator:
11/22 上客供NJ外箱贴纸94pcs
通用客供外箱贴纸94pcs
12/25 价格贴纸 1128pcs</s:t>
              </s:r>
            </s:text>
          </item>
        </commentChain>
      </unresolved>
      <resolved/>
    </commentChains>
    <commentChains s:ref="AI672" rgbClr="FF0000">
      <unresolved>
        <commentChain chainId="a58901d17e325397ab7e9b3abd3d66171ccb0a60">
          <item id="3b57d5782b5c0bb8d396f2caaa863a817297a7ff" isNormal="1">
            <s:text>
              <s:r>
                <s:t xml:space="preserve">Administrator:
3000635 1/4 384pcs
庞1f3
</s:t>
              </s:r>
            </s:text>
          </item>
        </commentChain>
      </unresolved>
      <resolved/>
    </commentChains>
    <commentChains s:ref="AL672" rgbClr="FF0000">
      <unresolved>
        <commentChain chainId="91a7e8475259b83153ca720e103202850f224a33">
          <item id="18222e86d33438d29fc111c65ead02da1e3fef82" isNormal="1">
            <s:text>
              <s:r>
                <s:t xml:space="preserve">Administrator:
11/22 上客供NV外箱贴纸32pcs
通用客供外箱贴纸32pcs
12/25 价格贴纸 384pcs
</s:t>
              </s:r>
            </s:text>
          </item>
        </commentChain>
      </unresolved>
      <resolved/>
    </commentChains>
    <commentChains s:ref="AI673" rgbClr="FF0000">
      <unresolved>
        <commentChain chainId="866b971793110abd19e353b27433d5018b99528c">
          <item id="626e8b0167e845320d537d5948b38c75cdf83a20" isNormal="1">
            <s:text>
              <s:r>
                <s:t xml:space="preserve">Administrator:
4001722 1/9 132pcs王4a9</s:t>
              </s:r>
            </s:text>
          </item>
        </commentChain>
      </unresolved>
      <resolved/>
    </commentChains>
    <commentChains s:ref="AL673" rgbClr="FF0000">
      <unresolved>
        <commentChain chainId="11090f3917a942065ad4b9373d59a91d5cbef30f">
          <item id="bd84760d3ce3c679dd3ee9e3047906b68f638b79" isNormal="1">
            <s:text>
              <s:r>
                <s:t xml:space="preserve">Administrator:
12/23 客供价格贴纸 746pcs
</s:t>
              </s:r>
            </s:text>
          </item>
        </commentChain>
      </unresolved>
      <resolved/>
    </commentChains>
    <commentChains s:ref="AI674" rgbClr="FF0000">
      <unresolved>
        <commentChain chainId="8f24fd3915377af0549dba4f93eedc73bb20b47d">
          <item id="0611f7398cf3722a44434bd1bf987507263222f6" isNormal="1">
            <s:text>
              <s:r>
                <s:t xml:space="preserve">Administrator:
4001722 1/9 132pcs
王4b9</s:t>
              </s:r>
            </s:text>
          </item>
        </commentChain>
      </unresolved>
      <resolved/>
    </commentChains>
    <commentChains s:ref="AL674" rgbClr="FF0000">
      <unresolved>
        <commentChain chainId="f15bac9c88083dc8b8866bd69100655c3d01268d">
          <item id="9a94b9347e3338693d90795660d8c2d50711122b" isNormal="1">
            <s:text>
              <s:r>
                <s:t xml:space="preserve">Administrator:
12/23 客供价格贴纸 746pcs</s:t>
              </s:r>
            </s:text>
          </item>
        </commentChain>
      </unresolved>
      <resolved/>
    </commentChains>
    <commentChains s:ref="AI675" rgbClr="FF0000">
      <unresolved>
        <commentChain chainId="3eeacad3d66be0a8faa055a5ba5f4a145fc6bad8">
          <item id="063575c1ea79030282f42d174065582e7a1418dc" isNormal="1">
            <s:text>
              <s:r>
                <s:t xml:space="preserve">Administrator:
4001722 1/9 720pcs
王4b4</s:t>
              </s:r>
            </s:text>
          </item>
        </commentChain>
      </unresolved>
      <resolved/>
    </commentChains>
    <commentChains s:ref="AI676" rgbClr="FF0000">
      <unresolved>
        <commentChain chainId="16318f6642fd4587a50c48c8113b46acfa40318b">
          <item id="42b28145dcab59a3b333635fcba6dd05311ed68f" isNormal="1">
            <s:text>
              <s:r>
                <s:t xml:space="preserve">Administrator:
4001722 1/9 180pcs
王4c5</s:t>
              </s:r>
            </s:text>
          </item>
        </commentChain>
      </unresolved>
      <resolved/>
    </commentChains>
    <commentChains s:ref="AI677" rgbClr="FF0000">
      <unresolved>
        <commentChain chainId="059ab10fd218e88a05e1886d90a44123aad95802">
          <item id="ed608c7b40ad051ff9f887e9969947ca43a77002" isNormal="1">
            <s:text>
              <s:r>
                <s:t xml:space="preserve">Administrator:
4001722 1/9 708pcs王4b4
4001725 1/9 12pcs
庞b栋</s:t>
              </s:r>
            </s:text>
          </item>
        </commentChain>
      </unresolved>
      <resolved/>
    </commentChains>
    <commentChains s:ref="AI678" rgbClr="FF0000">
      <unresolved>
        <commentChain chainId="6662021048b5ed56d6f7d7aafda1ea9f24497136">
          <item id="3a5d8b1b8b270964e9d08f7f940636ce1e523fbb" isNormal="1">
            <s:text>
              <s:r>
                <s:t xml:space="preserve">Administrator:
4001722 1/9 180pcs王4b9</s:t>
              </s:r>
            </s:text>
          </item>
        </commentChain>
      </unresolved>
      <resolved/>
    </commentChains>
    <commentChains s:ref="AI679" rgbClr="FF0000">
      <unresolved>
        <commentChain chainId="82e90287b83b133396d7bd3635a1b5bc08e53173">
          <item id="24f3b4f2c5b83c43ce7623a70c92e560700461a4" isNormal="1">
            <s:text>
              <s:r>
                <s:t xml:space="preserve">Administrator:
4001694 1/5 1560pcs庞1a9</s:t>
              </s:r>
            </s:text>
          </item>
        </commentChain>
      </unresolved>
      <resolved/>
    </commentChains>
    <commentChains s:ref="AL679" rgbClr="FF0000">
      <unresolved>
        <commentChain chainId="e1f4d797198bafb275ecc12d4b2053557005c4f0">
          <item id="549cb81b7d2adb17cd8f765923fb27938e1c1187" isNormal="1">
            <s:text>
              <s:r>
                <s:t xml:space="preserve">Administrator:
12/15 进口商贴纸 1560pcs
12/15 UPC贴纸 1560pcs</s:t>
              </s:r>
            </s:text>
          </item>
        </commentChain>
      </unresolved>
      <resolved/>
    </commentChains>
    <commentChains s:ref="AI680" rgbClr="FF0000">
      <unresolved>
        <commentChain chainId="b60549d2cfb135973fb7f78a78fcd890cad5e6c3">
          <item id="0cda04903f13d303526ade9a6ae9966b844a1a2f" isNormal="1">
            <s:text>
              <s:r>
                <s:t xml:space="preserve">Administrator:
3000631 12/31 336
pcs
庞3a31</s:t>
              </s:r>
            </s:text>
          </item>
        </commentChain>
      </unresolved>
      <resolved/>
    </commentChains>
    <commentChains s:ref="AL680" rgbClr="FF0000">
      <unresolved>
        <commentChain chainId="44d8013416919d5da6b4732de1ec9f5297a1d584">
          <item id="e6f662d45d9ae7185e45af65082eb293db240a1f" isNormal="1">
            <s:text>
              <s:r>
                <s:t xml:space="preserve">Administrator:
12/5 警语贴纸4.5*7mm 336pcs</s:t>
              </s:r>
            </s:text>
          </item>
        </commentChain>
      </unresolved>
      <resolved/>
    </commentChains>
    <commentChains s:ref="AI681" rgbClr="FF0000">
      <unresolved>
        <commentChain chainId="403d2d67ca94898bdf7c4f57c420ce042482c845">
          <item id="a1d923bbe8cbafdf72e7e94187c928fff1732c5c" isNormal="1">
            <s:text>
              <s:r>
                <s:t xml:space="preserve">Administrator:
4001725 1/9 2160pcs庞1f3
4001704 1/12 240pcs庞1f3</s:t>
              </s:r>
            </s:text>
          </item>
        </commentChain>
      </unresolved>
      <resolved/>
    </commentChains>
    <commentChains s:ref="AL681" rgbClr="FF0000">
      <unresolved>
        <commentChain chainId="58e44e96bea43de73898ac66f2c6163e56ffaa23">
          <item id="ae3c8fd8c78ccb6124a25ee509b76adeec1c6a88" isNormal="1">
            <s:text>
              <s:r>
                <s:t xml:space="preserve">Administrator:
12/25 获奖贴纸 2400pcs
12/30 可折叠警语贴纸 2400pcs</s:t>
              </s:r>
            </s:text>
          </item>
        </commentChain>
      </unresolved>
      <resolved/>
    </commentChains>
    <commentChains s:ref="AI682" rgbClr="FF0000">
      <unresolved>
        <commentChain chainId="e1484b5a9cd1b61fd3ff00c2ccd88b5e80e98594">
          <item id="57a765812ae50fcf326b24984c57107d677551b2" isNormal="1">
            <s:text>
              <s:r>
                <s:t xml:space="preserve">Administrator:
3000625 12/29 2000pcs 华1f9</s:t>
              </s:r>
            </s:text>
          </item>
        </commentChain>
      </unresolved>
      <resolved/>
    </commentChains>
    <commentChains s:ref="AI683" rgbClr="FF0000">
      <unresolved>
        <commentChain chainId="6cd6307b874ffc064e1a15bcb94cc2f4b3e47bfa">
          <item id="f88fa7a1b56b044be139fa87e1b69eaaef619570" isNormal="1">
            <s:text>
              <s:r>
                <s:t xml:space="preserve">Administrator:
3000625 12/29 504pcs
华1f12</s:t>
              </s:r>
            </s:text>
          </item>
        </commentChain>
      </unresolved>
      <resolved/>
    </commentChains>
    <commentChains s:ref="AI684" rgbClr="FF0000">
      <unresolved>
        <commentChain chainId="6ddd9b6969fc8d7e9904a68c78ebdad2b301c950">
          <item id="5bdcb249f3717624d54e94c06708589d5054a247" isNormal="1">
            <s:text>
              <s:r>
                <s:t xml:space="preserve">Administrator:
4001704 1/12 3000pcs王4c6</s:t>
              </s:r>
            </s:text>
          </item>
        </commentChain>
      </unresolved>
      <resolved/>
    </commentChains>
    <commentChains s:ref="AL684" rgbClr="FF0000">
      <unresolved>
        <commentChain chainId="be204b08b6653cd30fce98d77ccad42a93a9ebee">
          <item id="2055d72d3da42706a8ac1c520bd5bb1a5d5a9741" isNormal="1">
            <s:text>
              <s:r>
                <s:t xml:space="preserve">Administrator:
12/15 客供价格贴纸 3150pcs</s:t>
              </s:r>
            </s:text>
          </item>
        </commentChain>
      </unresolved>
      <resolved/>
    </commentChains>
    <commentChains s:ref="AI685" rgbClr="FF0000">
      <unresolved>
        <commentChain chainId="2ec132f7e6619981309b577bb73bd97717cb0dad">
          <item id="adc6bb75a38f0b8593a47c5f618b5cc59c6d6c39" isNormal="1">
            <s:text>
              <s:r>
                <s:t xml:space="preserve">Administrator:
4001704 1/12 1600pcs
王4c6
</s:t>
              </s:r>
            </s:text>
          </item>
        </commentChain>
      </unresolved>
      <resolved/>
    </commentChains>
    <commentChains s:ref="AL685" rgbClr="FF0000">
      <unresolved>
        <commentChain chainId="7c91dff8b3673fd6015279782d723e053ea699f5">
          <item id="7319453849b07e82989744f74e4d14efe655bd2c" isNormal="1">
            <s:text>
              <s:r>
                <s:t xml:space="preserve">Administrator:
12/15 客供价格贴纸 1680pcs
</s:t>
              </s:r>
            </s:text>
          </item>
        </commentChain>
      </unresolved>
      <resolved/>
    </commentChains>
    <commentChains s:ref="AI686" rgbClr="FF0000">
      <unresolved>
        <commentChain chainId="802915ccf8aee0809126be1aeaece9130775535b">
          <item id="319d26e5f163fb450603d7f7f8dbb1a1853d98f6" isNormal="1">
            <s:text>
              <s:r>
                <s:t xml:space="preserve">Administrator:
1601083 1/10 7280pcs
王4b6
1601071 1/10 2000pcs王4b6
	</s:t>
              </s:r>
            </s:text>
          </item>
        </commentChain>
      </unresolved>
      <resolved/>
    </commentChains>
    <commentChains s:ref="AL686" rgbClr="FF0000">
      <unresolved>
        <commentChain chainId="9cddf7777e76a45c88c8ee5d89e2ec545c40758f">
          <item id="ac1d338be567c0a3969b42e15e2da4d09062df88" isNormal="1">
            <s:text>
              <s:r>
                <s:t xml:space="preserve">Administrator:
12/16 客供RFID贴纸 9280pcs</s:t>
              </s:r>
            </s:text>
          </item>
        </commentChain>
      </unresolved>
      <resolved/>
    </commentChains>
    <commentChains s:ref="AI687" rgbClr="FF0000">
      <unresolved>
        <commentChain chainId="0312122d0a6dcf482826855b7b433dcb990d324b">
          <item id="b7fcbd89fbac873d22a13c7f860899e8e58748dc" isNormal="1">
            <s:text>
              <s:r>
                <s:t xml:space="preserve">Administrator:
1601078 1/12 4160pcs庞1f9</s:t>
              </s:r>
            </s:text>
          </item>
        </commentChain>
      </unresolved>
      <resolved/>
    </commentChains>
    <commentChains s:ref="AL687" rgbClr="FF0000">
      <unresolved>
        <commentChain chainId="04d9e9873b53b7da1aea11b87e0181172d9190a1">
          <item id="e85cfcd958ef280b11f6a18d2c24e322b199b1a7" isNormal="1">
            <s:text>
              <s:r>
                <s:t xml:space="preserve">Administrator:
12/16 客供RFID贴纸 94160pcs
</s:t>
              </s:r>
            </s:text>
          </item>
        </commentChain>
      </unresolved>
      <resolved/>
    </commentChains>
    <commentChains s:ref="AI688" rgbClr="FF0000">
      <unresolved>
        <commentChain chainId="5cfc149d117030dd24a83d2c297f10c6b170ab15">
          <item id="cde9e880e40ba4e15f824444c97949adbe266393" isNormal="1">
            <s:text>
              <s:r>
                <s:t xml:space="preserve">Administrator:
1601078 1/12 5760pcs
庞1f7</s:t>
              </s:r>
            </s:text>
          </item>
        </commentChain>
      </unresolved>
      <resolved/>
    </commentChains>
    <commentChains s:ref="AL688" rgbClr="FF0000">
      <unresolved>
        <commentChain chainId="01d589d98e78b5c554316ee23410bce6863df605">
          <item id="3738ddad6d9ed819bbbccb36a85b1cb1d8460747" isNormal="1">
            <s:text>
              <s:r>
                <s:t xml:space="preserve">Administrator:
12/16 客供RFID贴纸 5760pcs
</s:t>
              </s:r>
            </s:text>
          </item>
        </commentChain>
      </unresolved>
      <resolved/>
    </commentChains>
    <commentChains s:ref="AI689" rgbClr="FF0000">
      <unresolved>
        <commentChain chainId="320706aab9a95ee3c251983873504165b29b7afd">
          <item id="233b065e348396dc3fd181faf5f526f666b1d94d" isNormal="1">
            <s:text>
              <s:r>
                <s:t xml:space="preserve">Administrator:
4001725 1/9 10240pcs庞3a22</s:t>
              </s:r>
            </s:text>
          </item>
        </commentChain>
      </unresolved>
      <resolved/>
    </commentChains>
    <commentChains s:ref="AL689" rgbClr="FF0000">
      <unresolved>
        <commentChain chainId="4ed07ba284c6ba643dc44d46e49eac2a99ce031e">
          <item id="2558a452220e392693e362de2b34ea0d86ae77f2" isNormal="1">
            <s:text>
              <s:r>
                <s:t xml:space="preserve">Administrator:
12/16 客供RFID贴纸 10240pcs
</s:t>
              </s:r>
            </s:text>
          </item>
        </commentChain>
      </unresolved>
      <resolved/>
    </commentChains>
    <commentChains s:ref="AI690" rgbClr="FF0000">
      <unresolved>
        <commentChain chainId="e52ebfe26939a219c6292e6bd4b6390f6b0e3929">
          <item id="264f7f6c71cd56a9252d8d4e6f8137614c26a6c0" isNormal="1">
            <s:text>
              <s:r>
                <s:t xml:space="preserve">Administrator:
4001725 1/9 3200pcs
庞3f9</s:t>
              </s:r>
            </s:text>
          </item>
        </commentChain>
      </unresolved>
      <resolved/>
    </commentChains>
    <commentChains s:ref="AL690" rgbClr="FF0000">
      <unresolved>
        <commentChain chainId="f96d083804b3afac67a8b06a5183332d974c4c46">
          <item id="fd5942808a52a21daac486baa67e3552ce7729d0" isNormal="1">
            <s:text>
              <s:r>
                <s:t xml:space="preserve">Administrator:
12/16 客供RFID贴纸 3200pcs
</s:t>
              </s:r>
            </s:text>
          </item>
        </commentChain>
      </unresolved>
      <resolved/>
    </commentChains>
    <commentChains s:ref="AI691" rgbClr="FF0000">
      <unresolved>
        <commentChain chainId="3251d95824c7352c11d94d7bb8abca55553d437b">
          <item id="492a1fbed5824942089179a069c3a4cfbc899679" isNormal="1">
            <s:text>
              <s:r>
                <s:t xml:space="preserve">Administrator:
4001694 1/5 208pcs 庞3a31</s:t>
              </s:r>
            </s:text>
          </item>
        </commentChain>
      </unresolved>
      <resolved/>
    </commentChains>
    <commentChains s:ref="AI692" rgbClr="FF0000">
      <unresolved>
        <commentChain chainId="0989b0c05b827e46be42ddf54a360354f405e423">
          <item id="f3ea81c5c9bd7a20b5d73700037c070331672495" isNormal="1">
            <s:text>
              <s:r>
                <s:t xml:space="preserve">Administrator:
3000596 12/23 320pcs 华3b13</s:t>
              </s:r>
            </s:text>
          </item>
        </commentChain>
      </unresolved>
      <resolved/>
    </commentChains>
    <commentChains s:ref="AI693" rgbClr="FF0000">
      <unresolved>
        <commentChain chainId="cf9ef136e867f5ba849fbbca36bd3d75b01190fa">
          <item id="b02fa53d7aff45eae7920a23faeb79a94b988073" isNormal="1">
            <s:text>
              <s:r>
                <s:t xml:space="preserve">Administrator:
4001717 1/8 2880pcs庞3a24
4001712 1/9 6120pcs
庞3a24</s:t>
              </s:r>
            </s:text>
          </item>
        </commentChain>
      </unresolved>
      <resolved/>
    </commentChains>
    <commentChains s:ref="AI694" rgbClr="FF0000">
      <unresolved>
        <commentChain chainId="fd3069ed7bbb858db06c3563d0918aa2482a7316">
          <item id="0ad954cbe40657526e6a19e7657fb23a2e749989" isNormal="1">
            <s:text>
              <s:r>
                <s:t xml:space="preserve">Administrator:
4001703 1/8 1256pcs华3b16</s:t>
              </s:r>
            </s:text>
          </item>
        </commentChain>
      </unresolved>
      <resolved/>
    </commentChains>
    <commentChains s:ref="AI695" rgbClr="FF0000">
      <unresolved>
        <commentChain chainId="4ae6b14a0a9a3e7008ec03161ea96e979adc53a3">
          <item id="f097aeed7f799a3a0602bbdb6c37ad5721e8cf55" isNormal="1">
            <s:text>
              <s:r>
                <s:t xml:space="preserve">Administrator:
4001712 1/9 1200pcs庞3b10</s:t>
              </s:r>
            </s:text>
          </item>
        </commentChain>
      </unresolved>
      <resolved/>
    </commentChains>
    <commentChains s:ref="AL695" rgbClr="FF0000">
      <unresolved>
        <commentChain chainId="80009e526a4ae7acbe939402d0708fd2afcc6e0c">
          <item id="d976b3b8b9e333adcf31c3b835caf241c9919012" isNormal="1">
            <s:text>
              <s:r>
                <s:t xml:space="preserve">Administrator:
12/30 可折叠警语贴纸 12000pcs</s:t>
              </s:r>
            </s:text>
          </item>
        </commentChain>
      </unresolved>
      <resolved/>
    </commentChains>
    <commentChains s:ref="AI696" rgbClr="FF0000">
      <unresolved>
        <commentChain chainId="1cfd8f096338437f56280ea079ee86a35c5bd916">
          <item id="5b70d585b8e027036e4127c2a8f8c0184ca53624" isNormal="1">
            <s:text>
              <s:r>
                <s:t xml:space="preserve">Administrator:
4001716 1/14 660pcs直走
</s:t>
              </s:r>
            </s:text>
          </item>
        </commentChain>
      </unresolved>
      <resolved/>
    </commentChains>
    <commentChains s:ref="AI697" rgbClr="FF0000">
      <unresolved>
        <commentChain chainId="d508344896eb39c73b384db427002f756cb548b2">
          <item id="8ec81f86b8099e14f92d606fa0286acf4d1e931c" isNormal="1">
            <s:text>
              <s:r>
                <s:t xml:space="preserve">Administrator:
4001716 1/14 96pcs
直走</s:t>
              </s:r>
            </s:text>
          </item>
        </commentChain>
      </unresolved>
      <resolved/>
    </commentChains>
    <commentChains s:ref="AL697" rgbClr="FF0000">
      <unresolved>
        <commentChain chainId="2ec7d5f8dcefc3d4c374051d5086cf4200d7ac5c">
          <item id="bd005cb9194475e8ba265fbded1d9dccfded07b4" isNormal="1">
            <s:text>
              <s:r>
                <s:t xml:space="preserve">Administrator:
11/4 上3C贴纸960ｐｃｓ
11/18 上客供防窜码贴纸960pcs1拖6
</s:t>
              </s:r>
            </s:text>
          </item>
        </commentChain>
      </unresolved>
      <resolved/>
    </commentChains>
    <commentChains s:ref="AI698" rgbClr="FF0000">
      <unresolved>
        <commentChain chainId="51210be5e59964c5f660af4f4da29df6c4161fbd">
          <item id="290d5b81359a803dfd672b229f812cbbb4d3abb3" isNormal="1">
            <s:text>
              <s:r>
                <s:t xml:space="preserve">Administrator:
4001716 1/14 3660pcs
直走
</s:t>
              </s:r>
            </s:text>
          </item>
        </commentChain>
      </unresolved>
      <resolved/>
    </commentChains>
    <commentChains s:ref="AL698" rgbClr="FF0000">
      <unresolved>
        <commentChain chainId="2d2d5e851f35af06c727ad1332f3cee24dc03499">
          <item id="5003533b10b19ce1211c6e51c11ba678efe88912" isNormal="1">
            <s:text>
              <s:r>
                <s:t xml:space="preserve">Administrator:
11/4 上3C贴纸3600ｐｃｓ
11/18 上客供防窜码贴纸3600pcs1拖6</s:t>
              </s:r>
            </s:text>
          </item>
        </commentChain>
      </unresolved>
      <resolved/>
    </commentChains>
    <commentChains s:ref="AI699" rgbClr="FF0000">
      <unresolved>
        <commentChain chainId="6eee725046fadee36ce2059a12e432c50284be05">
          <item id="a5112857ca1d6b603ba040737437b38f431cb842" isNormal="1">
            <s:text>
              <s:r>
                <s:t xml:space="preserve">Administrator:
4001721 1/9 1092pcs庞3b10</s:t>
              </s:r>
            </s:text>
          </item>
        </commentChain>
      </unresolved>
      <resolved/>
    </commentChains>
    <commentChains s:ref="AL699" rgbClr="FF0000">
      <unresolved>
        <commentChain chainId="44c41f8f12f5db5813eb64cff4113f0d4701326a">
          <item id="54f1dc8f11824a58fffb4894cf82a9a25a786a83" isNormal="1">
            <s:text>
              <s:r>
                <s:t xml:space="preserve">Administrator:
12/6 EAN条码贴纸 1092pcs
12/8 进口商贴纸77*52mm 1092pcs
12/16 EAN条码贴纸 1092pcs</s:t>
              </s:r>
            </s:text>
          </item>
        </commentChain>
      </unresolved>
      <resolved/>
    </commentChains>
    <commentChains s:ref="AI700" rgbClr="FF0000">
      <unresolved>
        <commentChain chainId="3a4c746c54279882452cecca38734ec380bf091f">
          <item id="18d98e913084f6fd1b4885cb61994a0f29b57539" isNormal="1">
            <s:text>
              <s:r>
                <s:t xml:space="preserve">Administrator:
4001716 1/14 1860pcs
直走
</s:t>
              </s:r>
            </s:text>
          </item>
        </commentChain>
      </unresolved>
      <resolved/>
    </commentChains>
    <commentChains s:ref="AI701" rgbClr="FF0000">
      <unresolved>
        <commentChain chainId="b57abec9529e2ad541178534da6b446aa74cccfb">
          <item id="2a1407fc97e4f853b0724c62b45d24dffa72bbe0" isNormal="1">
            <s:text>
              <s:r>
                <s:t xml:space="preserve">Administrator:
4001694 1/5 608pcs 庞1f9</s:t>
              </s:r>
            </s:text>
          </item>
        </commentChain>
      </unresolved>
      <resolved/>
    </commentChains>
    <commentChains s:ref="AL701" rgbClr="FF0000">
      <unresolved>
        <commentChain chainId="c84a1c1184cdfdc3857114a7ffa5b76a27b9df72">
          <item id="9b9d938f56d75ba222c40aa6573739c9fe5c368f" isNormal="1">
            <s:text>
              <s:r>
                <s:t xml:space="preserve">Administrator:
12/26 进口商贴纸 608pcs</s:t>
              </s:r>
            </s:text>
          </item>
        </commentChain>
      </unresolved>
      <resolved/>
    </commentChains>
    <commentChains s:ref="AI702" rgbClr="FF0000">
      <unresolved>
        <commentChain chainId="3b384c7b3876b6a3f5187ea3c22a1b29e393985d">
          <item id="b8e454ed54eb6b33e4ac069c705af6299db89133" isNormal="1">
            <s:text>
              <s:r>
                <s:t xml:space="preserve">Administrator:
4001716 1/14 1200pcs
直走
</s:t>
              </s:r>
            </s:text>
          </item>
        </commentChain>
      </unresolved>
      <resolved/>
    </commentChains>
    <commentChains s:ref="AI703" rgbClr="FF0000">
      <unresolved>
        <commentChain chainId="3af329311ebc23eb03525e1c2091e90e201c8888">
          <item id="387b8cf08163df340e7e3bf5f08244b8fb1df9d3" isNormal="1">
            <s:text>
              <s:r>
                <s:t xml:space="preserve">Administrator:
4001694 1/5 960pcs 庞1f9
</s:t>
              </s:r>
            </s:text>
          </item>
        </commentChain>
      </unresolved>
      <resolved/>
    </commentChains>
    <commentChains s:ref="AL703" rgbClr="FF0000">
      <unresolved>
        <commentChain chainId="209db20067e23f083930dc42b6cf11958d49998c">
          <item id="a84674f7ea8ee37f2158347d62b24299044c56cd" isNormal="1">
            <s:text>
              <s:r>
                <s:t xml:space="preserve">Administrator:
12/18 UPC条码贴纸 960pcs
进口商贴纸 960pcs
</s:t>
              </s:r>
            </s:text>
          </item>
        </commentChain>
      </unresolved>
      <resolved/>
    </commentChains>
    <commentChains s:ref="AI704" rgbClr="FF0000">
      <unresolved>
        <commentChain chainId="20cb61ed9253d42713ce52fb8d10df5966e47e3b">
          <item id="5b89dac896ceb584d93189a1d83c4944d776f3e0" isNormal="1">
            <s:text>
              <s:r>
                <s:t xml:space="preserve">Administrator:
4001694 1/5 720pcs 庞1f9
</s:t>
              </s:r>
            </s:text>
          </item>
        </commentChain>
      </unresolved>
      <resolved/>
    </commentChains>
    <commentChains s:ref="AL704" rgbClr="FF0000">
      <unresolved>
        <commentChain chainId="36be6ab5ec279e2aeee89c64627384c6f21f61bb">
          <item id="9900480f8847e02f3195fbb0b7ffdfee8b930939" isNormal="1">
            <s:text>
              <s:r>
                <s:t xml:space="preserve">Administrator:
12/10 UPC贴纸 720pcs
</s:t>
              </s:r>
            </s:text>
          </item>
        </commentChain>
      </unresolved>
      <resolved/>
    </commentChains>
    <commentChains s:ref="AI705" rgbClr="FF0000">
      <unresolved>
        <commentChain chainId="ee9ca03a6450fe992a4e9b67a04828e00b2d42a2">
          <item id="294d0124a369f5379667160f2cc33c87ee84ab06" isNormal="1">
            <s:text>
              <s:r>
                <s:t xml:space="preserve">Administrator:
4001703 1/8 10080pcs华1f12
4001717 1/8 4320pcs庞1f7
4001712 1/9 600pcs
庞1f9</s:t>
              </s:r>
            </s:text>
          </item>
        </commentChain>
      </unresolved>
      <resolved/>
    </commentChains>
    <commentChains s:ref="AI706" rgbClr="FF0000">
      <unresolved>
        <commentChain chainId="683359402f5c45873aa11844ff967c8324313354">
          <item id="468f1603a4a7ca00fe85c5e471881792756ceb27" isNormal="1">
            <s:text>
              <s:r>
                <s:t xml:space="preserve">Administrator:
4001719 1/9 960pcs王4b5</s:t>
              </s:r>
            </s:text>
          </item>
        </commentChain>
      </unresolved>
      <resolved/>
    </commentChains>
    <commentChains s:ref="AI707" rgbClr="FF0000">
      <unresolved>
        <commentChain chainId="4c9df61887c73e38862dac8a239456c18c1bbbb5">
          <item id="f80a425518a3c027efebbb2ab024d5e765f398a6" isNormal="1">
            <s:text>
              <s:r>
                <s:t xml:space="preserve">Administrator:
4001716 1/14 360pcs王4a9</s:t>
              </s:r>
            </s:text>
          </item>
        </commentChain>
      </unresolved>
      <resolved/>
    </commentChains>
    <commentChains s:ref="AI708" rgbClr="FF0000">
      <unresolved>
        <commentChain chainId="a2b540a0f5e0ecce741cb245bc5b56c11d6782db">
          <item id="af0b4e681703a4e89a403fe5269eaafdbe7a053a" isNormal="1">
            <s:text>
              <s:r>
                <s:t xml:space="preserve">Administrator:
4001758 1/14 1200pcs
庞1f9</s:t>
              </s:r>
            </s:text>
          </item>
        </commentChain>
      </unresolved>
      <resolved/>
    </commentChains>
    <commentChains s:ref="AL708" rgbClr="FF0000">
      <unresolved>
        <commentChain chainId="b0907022463b36d6c194e7b8abcaa295a778700a">
          <item id="176d9e2f496dd72a738ab67ea5957d45a036c84d" isNormal="1">
            <s:text>
              <s:r>
                <s:t xml:space="preserve">Administ
12/15 客供价格贴纸 1260pcs
</s:t>
              </s:r>
            </s:text>
          </item>
        </commentChain>
      </unresolved>
      <resolved/>
    </commentChains>
    <commentChains s:ref="AI709" rgbClr="FF0000">
      <unresolved>
        <commentChain chainId="8c16f82b2a2d4b086ce5e411b13da8a0a6fe6c20">
          <item id="387afe171b4b3418c3d8d7789cb0c6616f0bdc66" isNormal="1">
            <s:text>
              <s:r>
                <s:t xml:space="preserve">Administrator:
4001758 1/14 2160pcs庞1f5
4001761 1/15 15840pcs 庞1f5
4001764 1/16 2000pcs庞3b14</s:t>
              </s:r>
            </s:text>
          </item>
        </commentChain>
      </unresolved>
      <resolved/>
    </commentChains>
    <commentChains s:ref="AI710" rgbClr="FF0000">
      <unresolved>
        <commentChain chainId="4a59063f444dbcde452ff90ebb15463860a74f69">
          <item id="5c260b818115244a9a205ae943fc41912266d2b0" isNormal="1">
            <s:text>
              <s:r>
                <s:t xml:space="preserve">Administrator:
4001712 1/9 504pcs
庞3b17</s:t>
              </s:r>
            </s:text>
          </item>
        </commentChain>
      </unresolved>
      <resolved/>
    </commentChains>
    <commentChains s:ref="AL710" rgbClr="FF0000">
      <unresolved>
        <commentChain chainId="f8bf7d3734efe9c37f7175f36fe65351b25c2579">
          <item id="6b894e55168c48fd6573adde7457c426c380d485" isNormal="1">
            <s:text>
              <s:r>
                <s:t xml:space="preserve">Administrator:
12/25 警语贴纸 504pcs</s:t>
              </s:r>
            </s:text>
          </item>
        </commentChain>
      </unresolved>
      <resolved/>
    </commentChains>
    <commentChains s:ref="AI712" rgbClr="FF0000">
      <unresolved>
        <commentChain chainId="0198f92778d354262771ab8bd881f127d1f9e042">
          <item id="38cc4f56708d429902902d9d0c174cf4b670bd21" isNormal="1">
            <s:text>
              <s:r>
                <s:t xml:space="preserve">Administrator:
4001713 1/13 2880pcs
庞1</s:t>
              </s:r>
            </s:text>
          </item>
        </commentChain>
      </unresolved>
      <resolved/>
    </commentChains>
    <commentChains s:ref="AI713" rgbClr="FF0000">
      <unresolved>
        <commentChain chainId="33289a4ad79277434394861e93959623d678d94a">
          <item id="18609c6945c6004880620f813a62979476b5ac59" isNormal="1">
            <s:text>
              <s:r>
                <s:t xml:space="preserve">Administrator:
4001713 1/13 1440pcs庞1f3</s:t>
              </s:r>
            </s:text>
          </item>
        </commentChain>
      </unresolved>
      <resolved/>
    </commentChains>
    <commentChains s:ref="AI714" rgbClr="FF0000">
      <unresolved>
        <commentChain chainId="b9ef3fc380292c9a06451a6fc8e0e35d1d138e15">
          <item id="ad84db7382d194ad906d8984ea30f9ebdc6436a7" isNormal="1">
            <s:text>
              <s:r>
                <s:t xml:space="preserve">Administrator:
4001713 1/13 300pcs庞1f9</s:t>
              </s:r>
            </s:text>
          </item>
        </commentChain>
      </unresolved>
      <resolved/>
    </commentChains>
    <commentChains s:ref="AI715" rgbClr="FF0000">
      <unresolved>
        <commentChain chainId="18c263cb95fafd2a46b5da8889fe08b5c27ba057">
          <item id="495402f8bf6d9aa92f744afe28ce3df27ccf821e" isNormal="1">
            <s:text>
              <s:r>
                <s:t xml:space="preserve">Administrator:
4001713 1/13 1504cs庞1f11</s:t>
              </s:r>
            </s:text>
          </item>
        </commentChain>
      </unresolved>
      <resolved/>
    </commentChains>
    <commentChains s:ref="AI716" rgbClr="FF0000">
      <unresolved>
        <commentChain chainId="3d82d026def28661e57a9153ca56fb9ddd1fc69f">
          <item id="823a076f3a0abb5e2537f3f69c83965c54e0fa92" isNormal="1">
            <s:text>
              <s:r>
                <s:t xml:space="preserve">Administrator:
4001764 1/16 392pcs</s:t>
              </s:r>
            </s:text>
          </item>
        </commentChain>
      </unresolved>
      <resolved/>
    </commentChains>
    <commentChains s:ref="AL716" rgbClr="FF0000">
      <unresolved>
        <commentChain chainId="fee1816482808bfd1f6b0b84ffae47f7cfa587ab">
          <item id="377547926d6bcfea030fe62a07212514fc42bb66" isNormal="1">
            <s:text>
              <s:r>
                <s:t xml:space="preserve">Administrator:
12/18 DC运输贴纸 392cs
12/22 UPC贴纸 392pcs
12/24 PDQ标识贴 49pcs</s:t>
              </s:r>
            </s:text>
          </item>
        </commentChain>
      </unresolved>
      <resolved/>
    </commentChains>
    <commentChains s:ref="AI717" rgbClr="FF0000">
      <unresolved>
        <commentChain chainId="340e001d19dbf285a41b5f94d16204bf0807389b">
          <item id="c4acd31e9485185885ae8554815e27c05a7edf0c" isNormal="1">
            <s:text>
              <s:r>
                <s:t xml:space="preserve">Administrator:
4001769 1/17 600pcs庞3a15</s:t>
              </s:r>
            </s:text>
          </item>
        </commentChain>
      </unresolved>
      <resolved/>
    </commentChains>
    <commentChains s:ref="AL717" rgbClr="FF0000">
      <unresolved>
        <commentChain chainId="8968aa86489fb0ea48203efdc001c2fb85b70aa9">
          <item id="501442771c6d8124a069be86611f21bb29a97cb5" isNormal="1">
            <s:text>
              <s:r>
                <s:t xml:space="preserve">Administrator:
12/30 可折鲞警语贴纸 600pcs</s:t>
              </s:r>
            </s:text>
          </item>
        </commentChain>
      </unresolved>
      <resolved/>
    </commentChains>
    <commentChains s:ref="AI718" rgbClr="FF0000">
      <unresolved>
        <commentChain chainId="7f8ef561678c10a5964276c3777b8b7cfb6cbe47">
          <item id="4c5be0cf2186f4bdbb7e289a0a6f3a8e9d350705" isNormal="1">
            <s:text>
              <s:r>
                <s:t xml:space="preserve">Administrator:
1601188 1/17 712pcs 庞3a22
庞3a221601190 1/19 3288cs庞3a21</s:t>
              </s:r>
            </s:text>
          </item>
        </commentChain>
      </unresolved>
      <resolved/>
    </commentChains>
    <commentChains s:ref="AL718" rgbClr="FF0000">
      <unresolved>
        <commentChain chainId="3b5bdb6c0625f487ee9381558cb3be4b742ed4bf">
          <item id="36fb522e5e88cd8e38a097438f79de0254d691d2" isNormal="1">
            <s:text>
              <s:r>
                <s:t xml:space="preserve">Administrator:
12/27 Kinderherz 2025 4000pcs
1/12 LOGO贴纸 1000pcsbu
1/13 LOGO 贴纸 4000pcs</s:t>
              </s:r>
            </s:text>
          </item>
        </commentChain>
      </unresolved>
      <resolved/>
    </commentChains>
    <commentChains s:ref="AI719" rgbClr="FF0000">
      <unresolved>
        <commentChain chainId="9a9fc9f8183d334b52cf879eebb65816654fbee2">
          <item id="36dddf3d59066a2d51124abeed8827a1b29785b9" isNormal="1">
            <s:text>
              <s:r>
                <s:t xml:space="preserve">Administrator:
1601188 1/14 1000pcs庞3a17</s:t>
              </s:r>
            </s:text>
          </item>
        </commentChain>
      </unresolved>
      <resolved/>
    </commentChains>
    <commentChains s:ref="AI720" rgbClr="FF0000">
      <unresolved>
        <commentChain chainId="b3fe33110fb27593ce075414904b3b383c991f31">
          <item id="dbee2371ea44c84ded1a03387eb2ccea745e0967" isNormal="1">
            <s:text>
              <s:r>
                <s:t xml:space="preserve">Administrator:
1601188 1/17 720pcs 庞3a17
1601190 1/19 1280pcs
庞3a17</s:t>
              </s:r>
            </s:text>
          </item>
        </commentChain>
      </unresolved>
      <resolved/>
    </commentChains>
    <commentChains s:ref="AI721" rgbClr="FF0000">
      <unresolved>
        <commentChain chainId="5ef7a91faf7f5f72769514fdcb3662c8574ef712">
          <item id="0667722bdc9fb0f5424997283731e91091a93406" isNormal="1">
            <s:text>
              <s:r>
                <s:t xml:space="preserve">Administrator:
4001771 1/19 60pcs
庞1f4
</s:t>
              </s:r>
            </s:text>
          </item>
        </commentChain>
      </unresolved>
      <resolved/>
    </commentChains>
    <commentChains s:ref="AL721" rgbClr="FF0000">
      <unresolved>
        <commentChain chainId="059dbaf7e4600a1ff41cf9267821635808d9d56a">
          <item id="17b00eb3bcf80e38a0df5110bbe013e29cffcb69" isNormal="1">
            <s:text>
              <s:r>
                <s:t xml:space="preserve">Administrator:
12/25 UPC贴纸 600pcs</s:t>
              </s:r>
            </s:text>
          </item>
        </commentChain>
      </unresolved>
      <resolved/>
    </commentChains>
    <commentChains s:ref="AL722" rgbClr="FF0000">
      <unresolved>
        <commentChain chainId="2d22a1b2b1d7787fff224f4cea7533d6d8011f11">
          <item id="2538cff14800b5dc6ee54cda41becaba136ea9b7" isNormal="1">
            <s:text>
              <s:r>
                <s:t xml:space="preserve">Administrator:
12/15 亚马逊贴 纸 84pcs
12/22 获奖贴纸 504pcs</s:t>
              </s:r>
            </s:text>
          </item>
        </commentChain>
      </unresolved>
      <resolved/>
    </commentChains>
    <commentChains s:ref="AI723" rgbClr="FF0000">
      <unresolved>
        <commentChain chainId="d6d5bbdf5baee888f9e0d55de74e500ff0f0489d">
          <item id="4bca723b4e0eaceca22498044194b0515aecb898" isNormal="1">
            <s:text>
              <s:r>
                <s:t xml:space="preserve">Administrator:
4001769 1/17 1504pcs庞3a16</s:t>
              </s:r>
            </s:text>
          </item>
        </commentChain>
      </unresolved>
      <resolved/>
    </commentChains>
    <commentChains s:ref="AI724" rgbClr="FF0000">
      <unresolved>
        <commentChain chainId="383c21f14ccfce5f14803309d73e3e6354942650">
          <item id="3127d04d96508bd20622ec557551c14c9a773847" isNormal="1">
            <s:text>
              <s:r>
                <s:t xml:space="preserve">Administrator:
4001771 1/19 640pcs庞1f4
</s:t>
              </s:r>
            </s:text>
          </item>
        </commentChain>
      </unresolved>
      <resolved/>
    </commentChains>
    <commentChains s:ref="AL724" rgbClr="FF0000">
      <unresolved>
        <commentChain chainId="01d5fa225540ce3abae6f91bd37ce008829e9d86">
          <item id="3e6b3a00359c96b208d59dc25beab0fd79fe920a" isNormal="1">
            <s:text>
              <s:r>
                <s:t xml:space="preserve">Administrator:
1/7 警语贴纸 640pcs
1/13 客供价格贴纸 640pcs
 </s:t>
              </s:r>
            </s:text>
          </item>
        </commentChain>
      </unresolved>
      <resolved/>
    </commentChains>
    <commentChains s:ref="AI725" rgbClr="FF0000">
      <unresolved>
        <commentChain chainId="8b64c4e6ec7a0ad87c71f5d69e1b666f17ce5464">
          <item id="2dd87119fde454ffefa80f2253967bd3747b7eb5" isNormal="1">
            <s:text>
              <s:r>
                <s:t xml:space="preserve">Administrator:
4001771 1/19 580pcs
庞1f4
</s:t>
              </s:r>
            </s:text>
          </item>
        </commentChain>
      </unresolved>
      <resolved/>
    </commentChains>
    <commentChains s:ref="AI726" rgbClr="FF0000">
      <unresolved>
        <commentChain chainId="23eefc1263e1f9a86ec3ae5035281af6a0cff141">
          <item id="e05573163b5475914880d33647a70061abfb0a7d" isNormal="1">
            <s:text>
              <s:r>
                <s:t xml:space="preserve">Administrator:
1601188 1/17 8pcs
庞1f12
160163 1/23 2760pcs
庞1f12
1201268 1/24 9260pcs庞3a31
1601300 1/24 1412pcs
 庞3a31</s:t>
              </s:r>
            </s:text>
          </item>
        </commentChain>
      </unresolved>
      <resolved/>
    </commentChains>
    <commentChains s:ref="AI727" rgbClr="FF0000">
      <unresolved>
        <commentChain chainId="231515f85b1c6c8667fac43ace23544ee00d988c">
          <item id="82338e2fe39c5c877761c1d2d764c0e0decc8a9d" isNormal="1">
            <s:text>
              <s:r>
                <s:t xml:space="preserve">Administrator:
1601188 1/17 8pcs庞1f12
1601300 1/24 2148pcs 庞1f5
1601271 1/24 7124pcs 庞1f5</s:t>
              </s:r>
            </s:text>
          </item>
        </commentChain>
      </unresolved>
      <resolved/>
    </commentChains>
    <commentChains s:ref="AI728" rgbClr="FF0000">
      <unresolved>
        <commentChain chainId="b97c1c7d34ba3cb8908689d471d68bed544f0651">
          <item id="0482218df80b2a48a4215b6015b47cd0eae99231" isNormal="1">
            <s:text>
              <s:r>
                <s:t xml:space="preserve">Administrator:
4001774 1/20 804pcs庞1f3</s:t>
              </s:r>
            </s:text>
          </item>
        </commentChain>
      </unresolved>
      <resolved/>
    </commentChains>
    <commentChains s:ref="AL728" rgbClr="FF0000">
      <unresolved>
        <commentChain chainId="1f23eaaefd2f506b771869f49c003117e7667002">
          <item id="6af22fa43899ac98141820845905daec3e20dc4f" isNormal="1">
            <s:text>
              <s:r>
                <s:t xml:space="preserve">Administrator:
12/27 进口商贴纸 804pcs
UPC贴纸 804pcs</s:t>
              </s:r>
            </s:text>
          </item>
        </commentChain>
      </unresolved>
      <resolved/>
    </commentChains>
    <commentChains s:ref="AI729" rgbClr="FF0000">
      <unresolved>
        <commentChain chainId="e79a125d1a7706f53075c229e77711d0b36d73a9">
          <item id="e0a0d3abd356181c000106a1946f7ebb139a194c" isNormal="1">
            <s:text>
              <s:r>
                <s:t xml:space="preserve">Administrator:
4001764 1/16 492pcs
庞3a31</s:t>
              </s:r>
            </s:text>
          </item>
        </commentChain>
      </unresolved>
      <resolved/>
    </commentChains>
    <commentChains s:ref="AL729" rgbClr="FF0000">
      <unresolved>
        <commentChain chainId="f6c5ad0e75ea6e93b77797bbeb8068c337cc337b">
          <item id="fccc8a0a87eeec840879d31c7bf560f2dc026c98" isNormal="1">
            <s:text>
              <s:r>
                <s:t xml:space="preserve">Administrator:
1/12 可折查警语贴纸 2136pcs </s:t>
              </s:r>
            </s:text>
          </item>
        </commentChain>
      </unresolved>
      <resolved/>
    </commentChains>
    <commentChains s:ref="AI730" rgbClr="FF0000">
      <unresolved>
        <commentChain chainId="262a4c77df72a09984a3bff574913a6f57a06841">
          <item id="88f42e1bb1427f9383e36f96252df8f3f34c7389" isNormal="1">
            <s:text>
              <s:r>
                <s:t xml:space="preserve">Administrator:
4001787 1/22 2000pcs庞1f9</s:t>
              </s:r>
            </s:text>
          </item>
        </commentChain>
      </unresolved>
      <resolved/>
    </commentChains>
    <commentChains s:ref="AL730" rgbClr="FF0000">
      <unresolved>
        <commentChain chainId="fc87db19ec072bb8df01127debb5fae213108f54">
          <item id="cf89375d3a221976740799890bc910a89f530994" isNormal="1">
            <s:text>
              <s:r>
                <s:t xml:space="preserve">Administrator:
12/15 客供价格贴纸 2100pcs
</s:t>
              </s:r>
            </s:text>
          </item>
        </commentChain>
      </unresolved>
      <resolved/>
    </commentChains>
    <commentChains s:ref="AI731" rgbClr="FF0000">
      <unresolved>
        <commentChain chainId="c616cc5983f91817528031c057f82875da08947e">
          <item id="ed8d440fc6b6e1e68eaab3769f8c66de92378313" isNormal="1">
            <s:text>
              <s:r>
                <s:t xml:space="preserve">Administrator:
4001713 1/13 800pcs庞1f3</s:t>
              </s:r>
            </s:text>
          </item>
        </commentChain>
      </unresolved>
      <resolved/>
    </commentChains>
    <commentChains s:ref="AI732" rgbClr="FF0000">
      <unresolved>
        <commentChain chainId="114e6195917399ac935006989c0f079b2090724c">
          <item id="9f4e6f095bfc995d31402c8f3c569560b47a2372" isNormal="1">
            <s:text>
              <s:r>
                <s:t xml:space="preserve">Administrator:
4001787 1/22 1440pcs庞1f7
4001790 1/23 15120pcs庞华1f5
4001792 1/23  5192pcs庞1f5</s:t>
              </s:r>
            </s:text>
          </item>
        </commentChain>
      </unresolved>
      <resolved/>
    </commentChains>
    <commentChains s:ref="AL732" rgbClr="FF0000">
      <unresolved>
        <commentChain chainId="0aa73f7327e67f76412aea104d67918d991a5f1e">
          <item id="993a8d5dcaf61bff13ba957138b946b6a1f39ab5" isNormal="1">
            <s:text>
              <s:r>
                <s:t xml:space="preserve">Administrator:
1/5 客供外箱亲码贴纸 5438pcs</s:t>
              </s:r>
            </s:text>
          </item>
        </commentChain>
      </unresolved>
      <resolved/>
    </commentChains>
    <commentChains s:ref="AI733" rgbClr="FF0000">
      <unresolved>
        <commentChain chainId="aeb379b57d47cd3ad4d443853b74be20cddab5a7">
          <item id="5304bc1f443fd89fc79f5a0c39fb5c9683a0c8c0" isNormal="1">
            <s:text>
              <s:r>
                <s:t xml:space="preserve">Administrator:
4001780 1/21 1440pcs王1f3</s:t>
              </s:r>
            </s:text>
          </item>
        </commentChain>
      </unresolved>
      <resolved/>
    </commentChains>
    <commentChains s:ref="AL733" rgbClr="FF0000">
      <unresolved>
        <commentChain chainId="48eff633396beccf0a54554e1744657facc91a61">
          <item id="a7b6bde37f32be9f43f1a064cd8446ccc083d218" isNormal="1">
            <s:text>
              <s:r>
                <s:t xml:space="preserve">Administrator:
12/15 进口商贴纸 1440pcs</s:t>
              </s:r>
            </s:text>
          </item>
        </commentChain>
      </unresolved>
      <resolved/>
    </commentChains>
    <commentChains s:ref="AI734" rgbClr="FF0000">
      <unresolved>
        <commentChain chainId="59f337b6a27a831fea472e0dd1a96eb25bc19a00">
          <item id="57830580f7984b50375f7f09e3f958b2430d92db" isNormal="1">
            <s:text>
              <s:r>
                <s:t xml:space="preserve">Administrator:
4001784 1/22 4220pcs
4001785 1/22 1180pcs</s:t>
              </s:r>
            </s:text>
          </item>
        </commentChain>
      </unresolved>
      <resolved/>
    </commentChains>
    <commentChains s:ref="AI735" rgbClr="FF0000">
      <unresolved>
        <commentChain chainId="8f9913851c7ad5f86a02aa4e9b9ce0b8d11476ef">
          <item id="dbdad9b41da9c718caa303570158650c8d7fc5ca" isNormal="1">
            <s:text>
              <s:r>
                <s:t xml:space="preserve">Administrator:
5000259 1/27 648pcs
庞1f9</s:t>
              </s:r>
            </s:text>
          </item>
        </commentChain>
      </unresolved>
      <resolved/>
    </commentChains>
    <commentChains s:ref="AL735" rgbClr="FF0000">
      <unresolved>
        <commentChain chainId="3679d8e6b976834846ea889a9a91a58e9d8b94f1">
          <item id="1344d726a59529cf94513ecb98c57adac04d66a9" isNormal="1">
            <s:text>
              <s:r>
                <s:t xml:space="preserve">Administrator:
12/22 亚马逊外箱贴纸 127pcs</s:t>
              </s:r>
            </s:text>
          </item>
        </commentChain>
      </unresolved>
      <resolved/>
    </commentChains>
    <commentChains s:ref="AI736" rgbClr="FF0000">
      <unresolved>
        <commentChain chainId="54b49e3640a27f0d4e56fba7dd5d84c34b083318">
          <item id="6434b5415f605031a93c3aa5a96d342a90b0c424" isNormal="1">
            <s:text>
              <s:r>
                <s:t xml:space="preserve">Administrator:
4001815 1/27 324pcs</s:t>
              </s:r>
            </s:text>
          </item>
        </commentChain>
      </unresolved>
      <resolved/>
    </commentChains>
    <commentChains s:ref="AL736" rgbClr="FF0000">
      <unresolved>
        <commentChain chainId="bfd1eb7b3d81d48e5591b5b7cb351e21676db4d4">
          <item id="c3609aba65f8718a71baf962ba01e7e5e7aec9b4" isNormal="1">
            <s:text>
              <s:r>
                <s:t xml:space="preserve">Administrator:
12/22 亚马逊外箱贴纸 84pcs
1/28 洗涤说明贴纸 504pcs</s:t>
              </s:r>
            </s:text>
          </item>
        </commentChain>
      </unresolved>
      <resolved/>
    </commentChains>
    <commentChains s:ref="AI737" rgbClr="FF0000">
      <unresolved>
        <commentChain chainId="cac41e192ade279cdaa3065986f2b2cde2637c16">
          <item id="353eeefd9599fc18cf93991aa42b1bf878ce07fb" isNormal="1">
            <s:text>
              <s:r>
                <s:t xml:space="preserve">Administrator:
4001799 1/24 1644pcs
庞3b12</s:t>
              </s:r>
            </s:text>
          </item>
        </commentChain>
      </unresolved>
      <resolved/>
    </commentChains>
    <commentChains s:ref="AL737" rgbClr="FF0000">
      <unresolved>
        <commentChain chainId="56b18938d6d634665a7c68f9c2370cff2176087c">
          <item id="a0c4262b53e279961738dfd5cd6af542db1d2a07" isNormal="1">
            <s:text>
              <s:r>
                <s:t xml:space="preserve">Administrator:
12/22 亚马议外角贴纸 137pcs
1/4 UPC贴纸 1644pcs</s:t>
              </s:r>
            </s:text>
          </item>
        </commentChain>
      </unresolved>
      <resolved/>
    </commentChains>
    <commentChains s:ref="AI738" rgbClr="FF0000">
      <unresolved>
        <commentChain chainId="41aac5f5a1c87fd5fed1a78490f36da01df46cb0">
          <item id="34f1f18ddfdd6be2a3585ef81f38a0e497d94167" isNormal="1">
            <s:text>
              <s:r>
                <s:t xml:space="preserve">Administrator:
4001799 1/24 420pcs
</s:t>
              </s:r>
            </s:text>
          </item>
        </commentChain>
      </unresolved>
      <resolved/>
    </commentChains>
    <commentChains s:ref="AL738" rgbClr="FF0000">
      <unresolved>
        <commentChain chainId="7cfd369d3d595101abf30b1c73502b9e1c35cc55">
          <item id="4ed3114becc32916236658b742c96ebd9819d173" isNormal="1">
            <s:text>
              <s:r>
                <s:t xml:space="preserve">Administrator:
12/15 白色防盗贴纸 420pcs
12/31 大纽扣电池警告 840pcs
小扣电池警告语 420pcs
1/12 Kmart外箱贴纸 35pcs </s:t>
              </s:r>
            </s:text>
          </item>
        </commentChain>
      </unresolved>
      <resolved/>
    </commentChains>
    <commentChains s:ref="AI739" rgbClr="FF0000">
      <unresolved>
        <commentChain chainId="33613c841a54c3ed73da751d13c676b37a7907d5">
          <item id="9e8df0fedd2d956ab11fb5a965e65f9fb93db180" isNormal="1">
            <s:text>
              <s:r>
                <s:t xml:space="preserve">Administrator:
4001799 1/24 4200pcs
庞1f11</s:t>
              </s:r>
            </s:text>
          </item>
        </commentChain>
      </unresolved>
      <resolved/>
    </commentChains>
    <commentChains s:ref="AL739" rgbClr="FF0000">
      <unresolved>
        <commentChain chainId="c9abd9ea699e1929144eea496605494e5dc1bb50">
          <item id="f52eb9e5db8368b5d1ebb856011d1b9af943db90" isNormal="1">
            <s:text>
              <s:r>
                <s:t xml:space="preserve">Administrator:
12/31 大纽扣电池警告 840pcs
小扣电池警告语 4200pcs
1/15 白色防盗贴纸 4200pcs
1/12 Kmart外箱贴纸 350pcs</s:t>
              </s:r>
            </s:text>
          </item>
        </commentChain>
      </unresolved>
      <resolved/>
    </commentChains>
    <commentChains s:ref="AI740" rgbClr="FF0000">
      <unresolved>
        <commentChain chainId="0445e554c1df77848d3cad631b3f55a75299b0c0">
          <item id="02f9cf2398ae065812604b47f7512448f06b171b" isNormal="1">
            <s:text>
              <s:r>
                <s:t xml:space="preserve">Administrator:
1201268 1/24 4068pcs庞3a31
1601271 1/24 720pcs
庞3a30
5000248 1/27 12pcs</s:t>
              </s:r>
            </s:text>
          </item>
        </commentChain>
      </unresolved>
      <resolved/>
    </commentChains>
    <commentChains s:ref="AI741" rgbClr="FF0000">
      <unresolved>
        <commentChain chainId="1f3dd70843fe6ef0816601756debca5349b12ab5">
          <item id="86b51aaa3d20d69e67b67c3ca5120ee5a297ed21" isNormal="1">
            <s:text>
              <s:r>
                <s:t xml:space="preserve">Administrator:
4001793 1/23 5040pcs庞3a21
4001796 1/24 360pcs庞3a21
1/30 4001933 40pcs庞3a22</s:t>
              </s:r>
            </s:text>
          </item>
        </commentChain>
      </unresolved>
      <resolved/>
    </commentChains>
    <commentChains s:ref="AI742" rgbClr="FF0000">
      <unresolved>
        <commentChain chainId="acabbdbc0f6a85a13228c6790842a9f117317385">
          <item id="e3af2d6d1e50c519fcb340a12a7a6a95bf3cf0c0" isNormal="1">
            <s:text>
              <s:r>
                <s:t xml:space="preserve">Administrator:
4001793 1/23 4320pcs
庞1f11
4001796 1/24 3040pcs 庞1f11</s:t>
              </s:r>
            </s:text>
          </item>
        </commentChain>
      </unresolved>
      <resolved/>
    </commentChains>
    <commentChains s:ref="AI743" rgbClr="FF0000">
      <unresolved>
        <commentChain chainId="7154670a622118bacfc5689ee7d0e46bf035cd46">
          <item id="4da11c30b3ccb51754fb03b6dafec875adb1299a" isNormal="1">
            <s:text>
              <s:r>
                <s:t xml:space="preserve">Administrator:
4001796 1/24 4480pcs
庞1f3</s:t>
              </s:r>
            </s:text>
          </item>
        </commentChain>
      </unresolved>
      <resolved/>
    </commentChains>
    <commentChains s:ref="AI744" rgbClr="FF0000">
      <unresolved>
        <commentChain chainId="e989a63831da60cde7dfc801152effecad28475e">
          <item id="fc69413412d0e67f9321cf514f92c362d3a8c698" isNormal="1">
            <s:text>
              <s:r>
                <s:t xml:space="preserve">Administrator:
4001796 1/24 1440pcs 庞3a27
4001799 1/24 2160pcs
庞3a27
4001803 1/24 2160pcs庞3a27</s:t>
              </s:r>
            </s:text>
          </item>
        </commentChain>
      </unresolved>
      <resolved/>
    </commentChains>
    <commentChains s:ref="AI745" rgbClr="FF0000">
      <unresolved>
        <commentChain chainId="3901bce87b8705c7a3a28e0879c95073ef8d9ff1">
          <item id="543c8806eb1ff37903a668f161315670d4f3b1c5" isNormal="1">
            <s:text>
              <s:r>
                <s:t xml:space="preserve">Administrator:
4001793 1/23 1440pcs庞3a25
4001792 1/23 4320pcs庞3a25
4001796 1/24 320pcs
庞3a25</s:t>
              </s:r>
            </s:text>
          </item>
        </commentChain>
      </unresolved>
      <resolved/>
    </commentChains>
    <commentChains s:ref="AI746" rgbClr="FF0000">
      <unresolved>
        <commentChain chainId="2c6ecb38940d87ea23e0a161bcea6df82b0c24d6">
          <item id="f74e206e7147579793cacaebed5544776ffafce5" isNormal="1">
            <s:text>
              <s:r>
                <s:t xml:space="preserve">Administrator:
4001796 1/24 560pcs 庞3a25
4001792 1/23 3600pcs庞3a25</s:t>
              </s:r>
            </s:text>
          </item>
        </commentChain>
      </unresolved>
      <resolved/>
    </commentChains>
    <commentChains s:ref="AL746" rgbClr="FF0000">
      <unresolved>
        <commentChain chainId="193338968cffa7b2d9f243e43cbee03cafae36b9">
          <item id="001cea297b3345b35df1280ea3a97d395a6ad000" isNormal="1">
            <s:text>
              <s:r>
                <s:t xml:space="preserve">Administrator:
12/16 客供RFID贴纸 4160
pcs
</s:t>
              </s:r>
            </s:text>
          </item>
        </commentChain>
      </unresolved>
      <resolved/>
    </commentChains>
    <commentChains s:ref="AI747" rgbClr="FF0000">
      <unresolved>
        <commentChain chainId="693258610b2068d81b9d2576cfc3c0f65df19212">
          <item id="88f0e3ef9887a459bd2ad1c1222cab58594b6b23" isNormal="1">
            <s:text>
              <s:r>
                <s:t xml:space="preserve">Administrator:
4001783 1/22 616pcs庞3b14</s:t>
              </s:r>
            </s:text>
          </item>
        </commentChain>
      </unresolved>
      <resolved/>
    </commentChains>
    <commentChains s:ref="AL747" rgbClr="FF0000">
      <unresolved>
        <commentChain chainId="3b7cd582640f520fd4fec8b2b1e42118e893e584">
          <item id="9d2a7a23e687f7ffdc03a87fb935ae6b62937f07" isNormal="1">
            <s:text>
              <s:r>
                <s:t xml:space="preserve">Administrator:
12/18 DC运输贴纸 616pcs
12/22 UPC贴纸 616pcs
12/24 PDQ标识贴 77pcs</s:t>
              </s:r>
            </s:text>
          </item>
        </commentChain>
      </unresolved>
      <resolved/>
    </commentChains>
    <commentChains s:ref="AI748" rgbClr="FF0000">
      <unresolved>
        <commentChain chainId="ae39982b595abcd2f4aca66547faf8b240ee7b56">
          <item id="0b365c89df9c9a1acaee286d9dc59f2aeebdc354" isNormal="1">
            <s:text>
              <s:r>
                <s:t xml:space="preserve">Administrator:
4001783 1/22 296pcs
庞3b14
</s:t>
              </s:r>
            </s:text>
          </item>
        </commentChain>
      </unresolved>
      <resolved/>
    </commentChains>
    <commentChains s:ref="AL748" rgbClr="FF0000">
      <unresolved>
        <commentChain chainId="285af817c332df506dc52e90da32f0401422cad3">
          <item id="4e4f89c5d428f1283e7b07c6f0e52b9159c6a8d7" isNormal="1">
            <s:text>
              <s:r>
                <s:t xml:space="preserve">Administrator:
12/18 DC运输贴纸 296pcs
12/22 UPC贴纸 296pcs
12/24 PDQ标识贴 37pcs</s:t>
              </s:r>
            </s:text>
          </item>
        </commentChain>
      </unresolved>
      <resolved/>
    </commentChains>
    <commentChains s:ref="AI749" rgbClr="FF0000">
      <unresolved>
        <commentChain chainId="1675b993ab1932177769f406eb640660619c409e">
          <item id="a060ca01405058f4f0c5c958c40d2afb1c56955c" isNormal="1">
            <s:text>
              <s:r>
                <s:t xml:space="preserve">Administrator:
4001783 1/22 648pcs
庞3b14</s:t>
              </s:r>
            </s:text>
          </item>
        </commentChain>
      </unresolved>
      <resolved/>
    </commentChains>
    <commentChains s:ref="AL749" rgbClr="FF0000">
      <unresolved>
        <commentChain chainId="a52164346804c75a2ab86d9d207adfd146577312">
          <item id="30fd616ba8d5b18e3974325e0704c8523f04abf4" isNormal="1">
            <s:text>
              <s:r>
                <s:t xml:space="preserve">Administrator:
12/18 DC运输贴纸 648pcs
12/22 UPC贴纸 648
pcs
12/24 PDQ标识贴 81pcs</s:t>
              </s:r>
            </s:text>
          </item>
        </commentChain>
      </unresolved>
      <resolved/>
    </commentChains>
    <commentChains s:ref="AI750" rgbClr="FF0000">
      <unresolved>
        <commentChain chainId="193f46a5d1df91211881ed91f5b2a23e4b608e13">
          <item id="867f4467dfddfd0ebec20bdc687657d3748ca137" isNormal="1">
            <s:text>
              <s:r>
                <s:t xml:space="preserve">Administrator:
4001808 1/26 512pcs
庞1f2</s:t>
              </s:r>
            </s:text>
          </item>
        </commentChain>
      </unresolved>
      <resolved/>
    </commentChains>
    <commentChains s:ref="AL750" rgbClr="FF0000">
      <unresolved>
        <commentChain chainId="a8adca49bf0a6598d26c087025aeab2641a3a34f">
          <item id="03e929e68c298168aac034aa5679a90467f52513" isNormal="1">
            <s:text>
              <s:r>
                <s:t xml:space="preserve">Administrator:
1/9 进口商贴 512pcs</s:t>
              </s:r>
            </s:text>
          </item>
        </commentChain>
      </unresolved>
      <resolved/>
    </commentChains>
    <commentChains s:ref="AI751" rgbClr="FF0000">
      <unresolved>
        <commentChain chainId="08d2305d30abbb9768fd646f46d1a8fbe1031269">
          <item id="e3ad738a8bda6a87b2492a733c1338c5a68016e7" isNormal="1">
            <s:text>
              <s:r>
                <s:t xml:space="preserve">Administrator:
4001799 1/24 1200pcs
庞3a16</s:t>
              </s:r>
            </s:text>
          </item>
        </commentChain>
      </unresolved>
      <resolved/>
    </commentChains>
    <commentChains s:ref="AL751" rgbClr="FF0000">
      <unresolved>
        <commentChain chainId="25c103045c1971cd756048e6d289309972750992">
          <item id="ff9d30e45631088996b74e408792290643f4af56" isNormal="1">
            <s:text>
              <s:r>
                <s:t xml:space="preserve">Administrator:
1/5 UPC/进口商贴纸 1200pcs</s:t>
              </s:r>
            </s:text>
          </item>
        </commentChain>
      </unresolved>
      <resolved/>
    </commentChains>
    <commentChains s:ref="AI752" rgbClr="FF0000">
      <unresolved>
        <commentChain chainId="f98ac4ec386b34b17a5597c5850b3cb8213dbd39">
          <item id="e1987c50a39e44b29c54d4e015880cc301817679" isNormal="1">
            <s:text>
              <s:r>
                <s:t xml:space="preserve">Administrator:
4001811 1/27 1500pcs
王4a3</s:t>
              </s:r>
            </s:text>
          </item>
        </commentChain>
      </unresolved>
      <resolved/>
    </commentChains>
    <commentChains s:ref="AL752" rgbClr="FF0000">
      <unresolved>
        <commentChain chainId="3498b26bf67716c1c795a673b0dfe62602c07216">
          <item id="f28406880fa439a9b74e181377bd86f688492763" isNormal="1">
            <s:text>
              <s:r>
                <s:t xml:space="preserve">Administrator:
1/9 进口商贴 1500pcs
UPC条码 1500pcs</s:t>
              </s:r>
            </s:text>
          </item>
        </commentChain>
      </unresolved>
      <resolved/>
    </commentChains>
    <commentChains s:ref="AI753" rgbClr="FF0000">
      <unresolved>
        <commentChain chainId="32c10bbac9dae7c90e7f6c909970b7fa758ba39b">
          <item id="c0c17008be9537358ed9ceb5dc01103be3a8a331" isNormal="1">
            <s:text>
              <s:r>
                <s:t xml:space="preserve">Administrator:
4001808 1/26 360pcs
庞1f3</s:t>
              </s:r>
            </s:text>
          </item>
        </commentChain>
      </unresolved>
      <resolved/>
    </commentChains>
    <commentChains s:ref="AL753" rgbClr="FF0000">
      <unresolved>
        <commentChain chainId="3b4f21fd2ddac12b5ef1b7030f008f4d9a8f4f82">
          <item id="ea21a6588e92ce3bb1cbaea243991e93465a8390" isNormal="1">
            <s:text>
              <s:r>
                <s:t xml:space="preserve">Administrator:
1/14 进口商贴纸 360pcs
条码贴纸 360pcs</s:t>
              </s:r>
            </s:text>
          </item>
        </commentChain>
      </unresolved>
      <resolved/>
    </commentChains>
    <commentChains s:ref="AI754" rgbClr="FF0000">
      <unresolved>
        <commentChain chainId="a39cd04f945c0c6ad3e017825ba6dc388955e283">
          <item id="387276c3d8254e4365c52dce1ffe9eeae4769cc7" isNormal="1">
            <s:text>
              <s:r>
                <s:t xml:space="preserve">Administrator:
4001782 1/22 240pcs
庞1f3</s:t>
              </s:r>
            </s:text>
          </item>
        </commentChain>
      </unresolved>
      <resolved/>
    </commentChains>
    <commentChains s:ref="AI755" rgbClr="FF0000">
      <unresolved>
        <commentChain chainId="6cf92b58a8e6a1e58b7e325c19b59d98fbbe2db5">
          <item id="2c3bdf47bdb3b24bbfe554565ad65589a3b0b8bd" isNormal="1">
            <s:text>
              <s:r>
                <s:t xml:space="preserve">Administrator:
4001782 1/22 960pcs
庞1f3</s:t>
              </s:r>
            </s:text>
          </item>
        </commentChain>
      </unresolved>
      <resolved/>
    </commentChains>
    <commentChains s:ref="AI756" rgbClr="FF0000">
      <unresolved>
        <commentChain chainId="a6250945ccbb6e25381e60c5d3ff74900a5c1f02">
          <item id="1322627746eb00f21b53e40063ff247b78164f07" isNormal="1">
            <s:text>
              <s:r>
                <s:t xml:space="preserve">Administrator:
4001782 1/22 600pcs
庞1f3
</s:t>
              </s:r>
            </s:text>
          </item>
        </commentChain>
      </unresolved>
      <resolved/>
    </commentChains>
    <commentChains s:ref="AL756" rgbClr="FF0000">
      <unresolved>
        <commentChain chainId="e49de33a38a45075da7681523b5390fda2333c9b">
          <item id="4e21816324d3842019533052863148b9a7fa0f33" isNormal="1">
            <s:text>
              <s:r>
                <s:t xml:space="preserve">Administrator:
1/9 UPC贴纸 600pcs
</s:t>
              </s:r>
            </s:text>
          </item>
        </commentChain>
      </unresolved>
      <resolved/>
    </commentChains>
    <commentChains s:ref="AI757" rgbClr="FF0000">
      <unresolved>
        <commentChain chainId="baaf07df42097ea030ae4776a117aabf53f02359">
          <item id="5b5679deac45c2860fc6f34b9f895a9b1f28511a" isNormal="1">
            <s:text>
              <s:r>
                <s:t xml:space="preserve">Administrator:
4001782 1/22 1200pcs
庞1f3</s:t>
              </s:r>
            </s:text>
          </item>
        </commentChain>
      </unresolved>
      <resolved/>
    </commentChains>
    <commentChains s:ref="AL757" rgbClr="FF0000">
      <unresolved>
        <commentChain chainId="39e9ca43dae90654beed7cde42cc696a3aa310de">
          <item id="46cfddba28bdb5c1033f5e35de23ddc579a6da0c" isNormal="1">
            <s:text>
              <s:r>
                <s:t xml:space="preserve">Administrator:
1/9 UPC贴纸 1200pcs</s:t>
              </s:r>
            </s:text>
          </item>
        </commentChain>
      </unresolved>
      <resolved/>
    </commentChains>
    <commentChains s:ref="AI758" rgbClr="FF0000">
      <unresolved>
        <commentChain chainId="5cb57fc1c8b5dd64fd389103876c6e0afe150a49">
          <item id="df7dcd661f70d5798bc3dc3777d4d861d34e17c5" isNormal="1">
            <s:text>
              <s:r>
                <s:t xml:space="preserve">Administrator:
4001803 1/24 600pcs
庞1f3</s:t>
              </s:r>
            </s:text>
          </item>
        </commentChain>
      </unresolved>
      <resolved/>
    </commentChains>
    <commentChains s:ref="AL758" rgbClr="FF0000">
      <unresolved>
        <commentChain chainId="2454273dfae55fea2e2f134ef4386b5f80182687">
          <item id="03100f2d8790fe87aeb68be4180c067d42c79f5c" isNormal="1">
            <s:text>
              <s:r>
                <s:t xml:space="preserve">Administrator:
12/16 进口商贴纸 600pcs</s:t>
              </s:r>
            </s:text>
          </item>
        </commentChain>
      </unresolved>
      <resolved/>
    </commentChains>
    <commentChains s:ref="AI759" rgbClr="FF0000">
      <unresolved>
        <commentChain chainId="b1f7cb19a43075c05082ec2770a1efb31bdbe9a0">
          <item id="12ac16e632eae071afc5298aae528a4a69a4b58c" isNormal="1">
            <s:text>
              <s:r>
                <s:t xml:space="preserve">Administrator:
4001803 1/24 3240pcs庞3a28
4001808 1/26 864pcs庞3a28
</s:t>
              </s:r>
            </s:text>
          </item>
        </commentChain>
      </unresolved>
      <resolved/>
    </commentChains>
    <commentChains s:ref="AI760" rgbClr="FF0000">
      <unresolved>
        <commentChain chainId="ac5ee8542c163d1acaf5e681f00df9dcf08e8f3c">
          <item id="3024e54daf9a2a0cc7aee28c7d693f3aa38da814" isNormal="1">
            <s:text>
              <s:r>
                <s:t xml:space="preserve">Administrator:
4001803 1/24 1200pcs
庞1f12</s:t>
              </s:r>
            </s:text>
          </item>
        </commentChain>
      </unresolved>
      <resolved/>
    </commentChains>
    <commentChains s:ref="AL760" rgbClr="FF0000">
      <unresolved>
        <commentChain chainId="145eac0ed068774acca2a7d4448e42cb5b20e538">
          <item id="3f0ced903ea701372e34f0ffeb26227435e9e2b9" isNormal="1">
            <s:text>
              <s:r>
                <s:t xml:space="preserve">Administrator:
12/25 进口商贴纸 1200pcs</s:t>
              </s:r>
            </s:text>
          </item>
        </commentChain>
      </unresolved>
      <resolved/>
    </commentChains>
    <commentChains s:ref="AI761" rgbClr="FF0000">
      <unresolved>
        <commentChain chainId="1981ef3be2a3fbc6f1c2b2f723d5340aab7f4e0e">
          <item id="0f1a19e62a2dfac9b6a7da14e1607f8cc0021cbf" isNormal="1">
            <s:text>
              <s:r>
                <s:t xml:space="preserve">Administrator:
4001782 1/22 816pcs 庞1F4
</s:t>
              </s:r>
            </s:text>
          </item>
        </commentChain>
      </unresolved>
      <resolved/>
    </commentChains>
    <commentChains s:ref="AL761" rgbClr="FF0000">
      <unresolved>
        <commentChain chainId="39b5c163d4e03fcbff86f7862e59ea9c48afcfff">
          <item id="175484113323ebe02e340ce0327032cc718fe661" isNormal="1">
            <s:text>
              <s:r>
                <s:t xml:space="preserve">Administrator:
1/9 UPC贴纸 816pcs
</s:t>
              </s:r>
            </s:text>
          </item>
        </commentChain>
      </unresolved>
      <resolved/>
    </commentChains>
    <commentChains s:ref="AI762" rgbClr="FF0000">
      <unresolved>
        <commentChain chainId="e0422a2b9d497e034415e97a119deb307a969b96">
          <item id="2e6a455f65b11b16793768f34cdb8cacdbb3f385" isNormal="1">
            <s:text>
              <s:r>
                <s:t xml:space="preserve">Administrator:
4001782 1/22 240pcs
庞3b14</s:t>
              </s:r>
            </s:text>
          </item>
        </commentChain>
      </unresolved>
      <resolved/>
    </commentChains>
    <commentChains s:ref="AL762" rgbClr="FF0000">
      <unresolved>
        <commentChain chainId="ab9f11e23b26e2b17d788c2d3f280ee42547bd99">
          <item id="8ad31fdd0ee2e7e3d28dbbd9b512b60083de1e9a" isNormal="1">
            <s:text>
              <s:r>
                <s:t xml:space="preserve">Administrator:
1/9 UPC贴纸 240pcs</s:t>
              </s:r>
            </s:text>
          </item>
        </commentChain>
      </unresolved>
      <resolved/>
    </commentChains>
    <commentChains s:ref="AI763" rgbClr="FF0000">
      <unresolved>
        <commentChain chainId="b3c7f67e60aa4d0e32e65306085989b4a7119be7">
          <item id="6ffa4c66975b28d3f0c0addab0867e36176fa17f" isNormal="1">
            <s:text>
              <s:r>
                <s:t xml:space="preserve">Administrator:
4001811 1/27 2000pcs
</s:t>
              </s:r>
            </s:text>
          </item>
        </commentChain>
      </unresolved>
      <resolved/>
    </commentChains>
    <commentChains s:ref="AL763" rgbClr="FF0000">
      <unresolved>
        <commentChain chainId="dabef8c20632f6359f3083574f887799bfd866e4">
          <item id="f3ad17656df990f10039972c6a1970a13e17df3a" isNormal="1">
            <s:text>
              <s:r>
                <s:t xml:space="preserve">Administrator:
1/9 Kinderhe 2000pcs</s:t>
              </s:r>
            </s:text>
          </item>
        </commentChain>
      </unresolved>
      <resolved/>
    </commentChains>
    <commentChains s:ref="AI764" rgbClr="FF0000">
      <unresolved>
        <commentChain chainId="06c34b26ddfa360f754fed9cc1fe72083fbbe4f8">
          <item id="fbd42e1d1745b1a6336f5eca57013f3ccd5d7fae" isNormal="1">
            <s:text>
              <s:r>
                <s:t xml:space="preserve">Administrator:
4001811 1/27 1440pcs
</s:t>
              </s:r>
            </s:text>
          </item>
        </commentChain>
      </unresolved>
      <resolved/>
    </commentChains>
    <commentChains s:ref="AL764" rgbClr="FF0000">
      <unresolved>
        <commentChain chainId="7389f157d3ce0308003c78bcc0c17ab2a0fb48c4">
          <item id="4daf82d6a239e4c13a998633badba4d317437858" isNormal="1">
            <s:text>
              <s:r>
                <s:t xml:space="preserve">Administrator:
12/25 客供电池警语贴纸 1488pcs
客供警语贴 1490pcs</s:t>
              </s:r>
            </s:text>
          </item>
        </commentChain>
      </unresolved>
      <resolved/>
    </commentChains>
    <commentChains s:ref="AI765" rgbClr="FF0000">
      <unresolved>
        <commentChain chainId="1dc2bc359e0c43cf3c4794a1644fac6435f24747">
          <item id="0c7aecef3ab87f027e6be297b7126f1605f6d29f" isNormal="1">
            <s:text>
              <s:r>
                <s:t xml:space="preserve">Administrator:
4001811 1/27 960pcs
</s:t>
              </s:r>
            </s:text>
          </item>
        </commentChain>
      </unresolved>
      <resolved/>
    </commentChains>
    <commentChains s:ref="AL765" rgbClr="FF0000">
      <unresolved>
        <commentChain chainId="6682e139ce8943811082db395118edca4f90f8b8">
          <item id="08292244e1239d8ba704dec97f2967ea731e59dd" isNormal="1">
            <s:text>
              <s:r>
                <s:t xml:space="preserve">Administrator:
12/9 进口商贴纸 400pcs
1/7 进口商贴纸 960pcs</s:t>
              </s:r>
            </s:text>
          </item>
        </commentChain>
      </unresolved>
      <resolved/>
    </commentChains>
    <commentChains s:ref="AI766" rgbClr="FF0000">
      <unresolved>
        <commentChain chainId="d5628e1e4377be5333f133a37f31e25fc4bbf0f9">
          <item id="15c4bc0ba199fc25b62ceb2a3c32a3809b5c9a11" isNormal="1">
            <s:text>
              <s:r>
                <s:t xml:space="preserve">Administrator:
</s:t>
              </s:r>
            </s:text>
          </item>
        </commentChain>
      </unresolved>
      <resolved/>
    </commentChains>
    <commentChains s:ref="AI767" rgbClr="FF0000">
      <unresolved>
        <commentChain chainId="1ba83c1b5c91b3ad0abf09f951bfdb294891f185">
          <item id="605c176217b166d8748a244b5e95c4f0f5db5d33" isNormal="1">
            <s:text>
              <s:r>
                <s:t xml:space="preserve">Administrator:
4001808 1/26 864pcs庞3a283
4001811 1/27 744pcs王</s:t>
              </s:r>
            </s:text>
          </item>
        </commentChain>
      </unresolved>
      <resolved/>
    </commentChains>
    <commentChains s:ref="AI768" rgbClr="FF0000">
      <unresolved>
        <commentChain chainId="6dc322ffcefbd84452f2e8c2e8f7f746e433532f">
          <item id="48ad94c52b3e684e31fb96be33d07faab07592bb" isNormal="1">
            <s:text>
              <s:r>
                <s:t xml:space="preserve">Administrator:
4001811 1/27 132pcs
王4a3</s:t>
              </s:r>
            </s:text>
          </item>
        </commentChain>
      </unresolved>
      <resolved/>
    </commentChains>
    <commentChains s:ref="AI769" rgbClr="FF0000">
      <unresolved>
        <commentChain chainId="14105c0fb547ba7d490f29aa494678436e9f00e7">
          <item id="8804f5343ac8a2b8042e2775e7e2375c34a002e3" isNormal="1">
            <s:text>
              <s:r>
                <s:t xml:space="preserve">Administrator:
4001803 1/24 480pcs
庞3a15</s:t>
              </s:r>
            </s:text>
          </item>
        </commentChain>
      </unresolved>
      <resolved/>
    </commentChains>
    <commentChains s:ref="AL769" rgbClr="FF0000">
      <unresolved>
        <commentChain chainId="d2b904e270575a6fed6310129faf3e57671f8a32">
          <item id="1003d8d08c24732cc64e8318a7cb2bbf1a8dd21a" isNormal="1">
            <s:text>
              <s:r>
                <s:t xml:space="preserve">Administrator:
1/12 进口商内容贴纸 480pcs</s:t>
              </s:r>
            </s:text>
          </item>
        </commentChain>
      </unresolved>
      <resolved/>
    </commentChains>
    <commentChains s:ref="AI770" rgbClr="FF0000">
      <unresolved>
        <commentChain chainId="c481224ea14cb2af537298813ccfb6ec0f2102db">
          <item id="51ecf5c6df3106833b89bad882338fd052f8447a" isNormal="1">
            <s:text>
              <s:r>
                <s:t xml:space="preserve">Administrator:
4001803 1/24 120pcs
庞3a15
</s:t>
              </s:r>
            </s:text>
          </item>
        </commentChain>
      </unresolved>
      <resolved/>
    </commentChains>
    <commentChains s:ref="AL770" rgbClr="FF0000">
      <unresolved>
        <commentChain chainId="594ad2cd564ff87fe43c49e5017e87f3dd0cd328">
          <item id="6e659aa2c96e770a198875d06e2e102347f6ce6a" isNormal="1">
            <s:text>
              <s:r>
                <s:t xml:space="preserve">Administrator:
1/5 进口商贴纸 120pcs
1/14 UPC贴纸 120pcs</s:t>
              </s:r>
            </s:text>
          </item>
        </commentChain>
      </unresolved>
      <resolved/>
    </commentChains>
    <commentChains s:ref="AI771" rgbClr="FF0000">
      <unresolved>
        <commentChain chainId="e5c1358cb56b8183d9980d127fb73bdb8d9b0ac2">
          <item id="67fc567f27187154cf453cac51b034862209ec3f" isNormal="1">
            <s:text>
              <s:r>
                <s:t xml:space="preserve">Administrator:
4001764 1/16 862pcs
4001771 1/19 38pcs 文本云</s:t>
              </s:r>
            </s:text>
          </item>
        </commentChain>
      </unresolved>
      <resolved/>
    </commentChains>
    <commentChains s:ref="AI772" rgbClr="FF0000">
      <unresolved>
        <commentChain chainId="0dca8bcf20efab48f535439ad5db9dd885fa55ef">
          <item id="c7f3baff1fbc29c86bde19c80447570d987df4fa" isNormal="1">
            <s:text>
              <s:r>
                <s:t xml:space="preserve">Administrator:
4001820 1/29 4320pcs
庞1f4
4001934 1/31 10680pcs庞1f5</s:t>
              </s:r>
            </s:text>
          </item>
        </commentChain>
      </unresolved>
      <resolved/>
    </commentChains>
    <commentChains s:ref="AL772" rgbClr="FF0000">
      <unresolved>
        <commentChain chainId="c93a62e2ff1678215a999338b89554a6dc7ac364">
          <item id="7b08481ecb40fcbf0e8359d35ffcf23ac2a4d934" isNormal="1">
            <s:text>
              <s:r>
                <s:t xml:space="preserve">Administrator:
12/31 外箱贴纸 2500pcs
价格贴纸 15000pcs</s:t>
              </s:r>
            </s:text>
          </item>
        </commentChain>
      </unresolved>
      <resolved/>
    </commentChains>
    <commentChains s:ref="AI773" rgbClr="FF0000">
      <unresolved>
        <commentChain chainId="46e9f64efb7f0c7ba5150835184f7370d392a279">
          <item id="2f0dba15627465bcaf8a371f584078d94a5ffd05" isNormal="1">
            <s:text>
              <s:r>
                <s:t xml:space="preserve">Administrator:
</s:t>
              </s:r>
            </s:text>
          </item>
        </commentChain>
      </unresolved>
      <resolved/>
    </commentChains>
    <commentChains s:ref="AL774" rgbClr="FF0000">
      <unresolved>
        <commentChain chainId="000925525e5f4067a43d6c605fc32be4b559981c">
          <item id="7b6dd6d7fe7633156b5c5e37f2233c18a9dd89db" isNormal="1">
            <s:text>
              <s:r>
                <s:t xml:space="preserve">Administrator:
12/25 客供中文警告说明书 744pcs</s:t>
              </s:r>
            </s:text>
          </item>
        </commentChain>
      </unresolved>
      <resolved/>
    </commentChains>
    <commentChains s:ref="AI776" rgbClr="FF0000">
      <unresolved>
        <commentChain chainId="eca5b912e1911cc891193d75eb68dbf5fe9fb7ea">
          <item id="bc426fcedfcd278823456e843437ac8cee6dcda7" isNormal="1">
            <s:text>
              <s:r>
                <s:t xml:space="preserve">Administrator:
1405666 2/3 8164pcs庞登一楼
1405641 2/3 1320pcs
庞登一楼
1405611 2/4 516pcs庞登一楼
</s:t>
              </s:r>
            </s:text>
          </item>
        </commentChain>
      </unresolved>
      <resolved/>
    </commentChains>
    <commentChains s:ref="AL776" rgbClr="FF0000">
      <unresolved>
        <commentChain chainId="bd871a3edda7c7cf5edd74a10c5b5cd48eb3fa06">
          <item id="eb9ee4bc483b8304ec5732740e3e150de279b1af" isNormal="1">
            <s:text>
              <s:r>
                <s:t xml:space="preserve">Administrator:
1/15 客供外箱条码贴纸 2525pcs
</s:t>
              </s:r>
            </s:text>
          </item>
        </commentChain>
      </unresolved>
      <resolved/>
    </commentChains>
    <commentChains s:ref="AI777" rgbClr="FF0000">
      <unresolved>
        <commentChain chainId="cd5214dc77286f3d75e38b0868c08d74b4297a63">
          <item id="6f01fd486f68205a4cf554317c02c4f052b77448" isNormal="1">
            <s:text>
              <s:r>
                <s:t xml:space="preserve">Administrator:
1405685 1/30 2880pcs
庞登1楼
1405692 1/30 1116pcs
庞登1楼
1405650 2/2 4pcs登1楼</s:t>
              </s:r>
            </s:text>
          </item>
        </commentChain>
      </unresolved>
      <resolved/>
    </commentChains>
    <commentChains s:ref="AL777" rgbClr="FF0000">
      <unresolved>
        <commentChain chainId="91407604d3eb202a6e9f07867f08d7582ab27f6c">
          <item id="0244bb3922e8015ac5ebbaf18b6446867d09883e" isNormal="1">
            <s:text>
              <s:r>
                <s:t xml:space="preserve">Administrator:
1/15 客供外箱条码贴纸 1010pcs
</s:t>
              </s:r>
            </s:text>
          </item>
        </commentChain>
      </unresolved>
      <resolved/>
    </commentChains>
    <commentChains s:ref="AI778" rgbClr="FF0000">
      <unresolved>
        <commentChain chainId="361d91ce502e45e68fb325367fb9b83ddbaa1c92">
          <item id="bc45ece7ae55a6eb7da945c7fd3ab878ab85ee5e" isNormal="1">
            <s:text>
              <s:r>
                <s:t xml:space="preserve">Administrator:
4001901 2/2 660pcs 直走</s:t>
              </s:r>
            </s:text>
          </item>
        </commentChain>
      </unresolved>
      <resolved/>
    </commentChains>
    <commentChains s:ref="AL778" rgbClr="FF0000">
      <unresolved>
        <commentChain chainId="1cabeeb5624f31dd3d32c36f45c10660e887373d">
          <item id="db482a5327914613e092b0f2d0df06e986997015" isNormal="1">
            <s:text>
              <s:r>
                <s:t xml:space="preserve">Administrator:
1/28 客供防窜码贴纸1拖6 660pcs</s:t>
              </s:r>
            </s:text>
          </item>
        </commentChain>
      </unresolved>
      <resolved/>
    </commentChains>
    <commentChains s:ref="AL779" rgbClr="FF0000">
      <unresolved>
        <commentChain chainId="97bab8c54a639496056e9a24e68870e82c04a1cf">
          <item id="3942a996c0837da37c9c2feaebfdcade48b0ef2c" isNormal="1">
            <s:text>
              <s:r>
                <s:t xml:space="preserve">Administrator:
12/29 颜色贴纸 1200pcs
空白贴纸 1200pcs
3c贴纸 1860pcs
空白贴纸 2400pcs
1/5 窖供芯片码贴纸 1200pcs
</s:t>
              </s:r>
            </s:text>
          </item>
        </commentChain>
      </unresolved>
      <resolved/>
    </commentChains>
    <commentChains s:ref="AL780" rgbClr="FF0000">
      <unresolved>
        <commentChain chainId="29926ae029a25a4ee5d11a178437b49bcdb1ff4a">
          <item id="0f887fe0d3e35e4b80c21d8b407dc5934867d8d6" isNormal="1">
            <s:text>
              <s:r>
                <s:t xml:space="preserve">Administrator:
1/5 窖供芯片码贴纸 3000pcs
1/7 3c贴纸 3000pcs</s:t>
              </s:r>
            </s:text>
          </item>
        </commentChain>
      </unresolved>
      <resolved/>
    </commentChains>
    <commentChains s:ref="AL781" rgbClr="FF0000">
      <unresolved>
        <commentChain chainId="8e5f3b03710a6aecf887aceab3a19b4929a0797a">
          <item id="ac81752f0687d4cb15d2e23e970590f90217f994" isNormal="1">
            <s:text>
              <s:r>
                <s:t xml:space="preserve">Administrator:
1/5 窖供芯片码贴纸 7800pcs
1/7 3c贴纸 7800pcs
</s:t>
              </s:r>
            </s:text>
          </item>
        </commentChain>
      </unresolved>
      <resolved/>
    </commentChains>
    <commentChains s:ref="AI782" rgbClr="FF0000">
      <unresolved>
        <commentChain chainId="6394879d7ec550b41204e22282a7f5e5ac7090ff">
          <item id="767ebe3fe782b31b5d5393baf7596cbf903b6753" isNormal="1">
            <s:text>
              <s:r>
                <s:t xml:space="preserve">Administrator:
</s:t>
              </s:r>
            </s:text>
          </item>
        </commentChain>
      </unresolved>
      <resolved/>
    </commentChains>
    <commentChains s:ref="AL782" rgbClr="FF0000">
      <unresolved>
        <commentChain chainId="9f2a921ee191ece0adbfb42b62bed75727f1ae2b">
          <item id="9fa74f58ceb64f6c1b31b3b887ee9d801360149e" isNormal="1">
            <s:text>
              <s:r>
                <s:t xml:space="preserve">Administrator:
1/5 窖供芯片码贴纸 7200pcs
1/7 3c贴纸 7200pcs
</s:t>
              </s:r>
            </s:text>
          </item>
        </commentChain>
      </unresolved>
      <resolved/>
    </commentChains>
    <commentChains s:ref="AI783" rgbClr="FF0000">
      <unresolved>
        <commentChain chainId="a9e016396c97a99125cd7e7765b168b6cb97c749">
          <item id="83c6c536889a335c4497c503051e172a2c62d1ad" isNormal="1">
            <s:text>
              <s:r>
                <s:t xml:space="preserve">Administrator:
1405611 2/4 2304pcs庞1f9</s:t>
              </s:r>
            </s:text>
          </item>
        </commentChain>
      </unresolved>
      <resolved/>
    </commentChains>
    <commentChains s:ref="AL783" rgbClr="FF0000">
      <unresolved>
        <commentChain chainId="8b6c5e32e1192d3f7cdddfe6f54fb2a311e22ca7">
          <item id="a4b2d282b62a83c0fbe762189b0d0a88b60c3572" isNormal="1">
            <s:text>
              <s:r>
                <s:t xml:space="preserve">Administrator:
1/12 进口商贴纸 2304pcs
UPC条码贴纸 2304pcs
保证书 2304pcs</s:t>
              </s:r>
            </s:text>
          </item>
        </commentChain>
      </unresolved>
      <resolved/>
    </commentChains>
    <commentChains s:ref="AI784" rgbClr="FF0000">
      <unresolved>
        <commentChain chainId="ac8af04637c72ef9c4b9be4c1bab12142195ea47">
          <item id="2432899526312cb9430f42d0e1e550e48ab53fa0" isNormal="1">
            <s:text>
              <s:r>
                <s:t xml:space="preserve">Administrator:
1/31 4001935 1800pcs</s:t>
              </s:r>
            </s:text>
          </item>
        </commentChain>
      </unresolved>
      <resolved/>
    </commentChains>
    <commentChains s:ref="AI785" rgbClr="FF0000">
      <unresolved>
        <commentChain chainId="c3d03818813d0790d2d125005795530ef5792c50">
          <item id="ee93f45fecee16acfca1e0fb40c42dba19730784" isNormal="1">
            <s:text>
              <s:r>
                <s:t xml:space="preserve">Administrator:
1405692 1/30 480pcs
庞登1楼
</s:t>
              </s:r>
            </s:text>
          </item>
        </commentChain>
      </unresolved>
      <resolved/>
    </commentChains>
    <commentChains s:ref="AI786" rgbClr="FF0000">
      <unresolved>
        <commentChain chainId="fa35ec854ce23c4295f1cace704028d00f511fb4">
          <item id="4b29941a8925ac75176705d282f66780774d5f38" isNormal="1">
            <s:text>
              <s:r>
                <s:t xml:space="preserve">Administrator:
1405685 1/30 8760pcs
庞登1楼
1405650 2/2 4pcs
登1楼
</s:t>
              </s:r>
            </s:text>
          </item>
        </commentChain>
      </unresolved>
      <resolved/>
    </commentChains>
    <commentChains s:ref="AL786" rgbClr="FF0000">
      <unresolved>
        <commentChain chainId="def1e2ca609cc66c029872f8f6de0d3d760f05a5">
          <item id="97940bd1ef6aef02ce6b414f31120bc20fbabc3e" isNormal="1">
            <s:text>
              <s:r>
                <s:t xml:space="preserve">Administrator:
1/15 客供外箱条码贴纸 2273pcs
</s:t>
              </s:r>
            </s:text>
          </item>
        </commentChain>
      </unresolved>
      <resolved/>
    </commentChains>
    <commentChains s:ref="AI787" rgbClr="FF0000">
      <unresolved>
        <commentChain chainId="012548bc6fb9964549f0acbd953de137ee59d9c1">
          <item id="399a430f4bcf5a4091edcd911d5d54f25c83f04c" isNormal="1">
            <s:text>
              <s:r>
                <s:t xml:space="preserve">Administrator:
1405641 2/3 504pcs庞1f3</s:t>
              </s:r>
            </s:text>
          </item>
        </commentChain>
      </unresolved>
      <resolved/>
    </commentChains>
    <commentChains s:ref="AL787" rgbClr="FF0000">
      <unresolved>
        <commentChain chainId="e9538afab04b557b362c84a178b55b8bcb3ea4a3">
          <item id="5045e2ebf678480227f4710120122cc627ec877d" isNormal="1">
            <s:text>
              <s:r>
                <s:t xml:space="preserve">Administrator:
1/19 大电池警告语贴纸 1008pcs
小电池警告语贴纸 504pcs</s:t>
              </s:r>
            </s:text>
          </item>
        </commentChain>
      </unresolved>
      <resolved/>
    </commentChains>
    <commentChains s:ref="AI788" rgbClr="FF0000">
      <unresolved>
        <commentChain chainId="775ed867160a6bc6a41408916ba29137b14b34f2">
          <item id="a1c1c62479bc9d95c4c31a9e241b492d3cfa31e5" isNormal="1">
            <s:text>
              <s:r>
                <s:t xml:space="preserve">Administrator:
1405611 2/4 4800pcs
庞1f11</s:t>
              </s:r>
            </s:text>
          </item>
        </commentChain>
      </unresolved>
      <resolved/>
    </commentChains>
    <commentChains s:ref="AL788" rgbClr="FF0000">
      <unresolved>
        <commentChain chainId="36ec1609757d6b7cd53bb1684269f5480ea96715">
          <item id="6a427b95c567712f486571042a982f585027680f" isNormal="1">
            <s:text>
              <s:r>
                <s:t xml:space="preserve">Administrator:
1/21 PDQ+Kind  6000pcs
1/23 多语折疊警语贴纸 4800pcs
</s:t>
              </s:r>
            </s:text>
          </item>
        </commentChain>
      </unresolved>
      <resolved/>
    </commentChains>
    <commentChains s:ref="AI789" rgbClr="FF0000">
      <unresolved>
        <commentChain chainId="f89dccf9d1e2fbc3d412fd33a814b20fc7bb6842">
          <item id="409b1fff183e70ea544b1f5e5fb4fd430a7f388e" isNormal="1">
            <s:text>
              <s:r>
                <s:t xml:space="preserve">Administrator:
1405579 2/5 3520pcs王4b6</s:t>
              </s:r>
            </s:text>
          </item>
        </commentChain>
      </unresolved>
      <resolved/>
    </commentChains>
    <commentChains s:ref="AL789" rgbClr="FF0000">
      <unresolved>
        <commentChain chainId="40ca30da5ba317bf95f623acc67cb030af814093">
          <item id="7def62895ae251957fbdee7a2c5ddb7b1663e921" isNormal="1">
            <s:text>
              <s:r>
                <s:t xml:space="preserve">Administrator:
1/19 客户EAN条码贴纸 3520pcs 
PDQ数量贴纸 2972pcs</s:t>
              </s:r>
            </s:text>
          </item>
        </commentChain>
      </unresolved>
      <resolved/>
    </commentChains>
    <commentChains s:ref="AL790" rgbClr="FF0000">
      <unresolved>
        <commentChain chainId="704914ccaaeacbeff84dd4d553e2de619eafb287">
          <item id="1b3c0a4222fa3721f696d17e85553d7e27068978" isNormal="1">
            <s:text>
              <s:r>
                <s:t xml:space="preserve">Administrator:
1/5 客供价格貼紙 1200pcs</s:t>
              </s:r>
            </s:text>
          </item>
        </commentChain>
      </unresolved>
      <resolved/>
    </commentChains>
    <commentChains s:ref="AI791" rgbClr="FF0000">
      <unresolved>
        <commentChain chainId="7585d307deec3b91e5173932a3f323c9e69929e7">
          <item id="276bea6abea3a93a74be3d60abaedc1c36649327" isNormal="1">
            <s:text>
              <s:r>
                <s:t xml:space="preserve">Administrator:
4001891 2/6 3840pcs王4c8</s:t>
              </s:r>
            </s:text>
          </item>
        </commentChain>
      </unresolved>
      <resolved/>
    </commentChains>
    <commentChains s:ref="AL791" rgbClr="FF0000">
      <unresolved>
        <commentChain chainId="a6fde2d7e3d7c226384eae1559d0a61fad1d6aa8">
          <item id="69ff1833c7e91c7636653bbcbcba5fe0319df3c7" isNormal="1">
            <s:text>
              <s:r>
                <s:t xml:space="preserve">Administrator:
1/5 客供邸ID贴纸  3840pcs</s:t>
              </s:r>
            </s:text>
          </item>
        </commentChain>
      </unresolved>
      <resolved/>
    </commentChains>
    <commentChains s:ref="AI792" rgbClr="FF0000">
      <unresolved>
        <commentChain chainId="1b1697038119f493362380893af2cf3604640c08">
          <item id="8f6fa6229d7db854d64e8f8a6dadfd7f1760ec85" isNormal="1">
            <s:text>
              <s:r>
                <s:t xml:space="preserve">Administrator:
4001892 2/6 4160pcs庞登1楼</s:t>
              </s:r>
            </s:text>
          </item>
        </commentChain>
      </unresolved>
      <resolved/>
    </commentChains>
    <commentChains s:ref="AL792" rgbClr="FF0000">
      <unresolved>
        <commentChain chainId="15880f452e6edc2108ce32f302a33f56fae73c9c">
          <item id="6d52bb421455e5f7a63d58255cba9e23948ef9e2" isNormal="1">
            <s:text>
              <s:r>
                <s:t xml:space="preserve">Administrator:
1/5 客供邸ID贴纸  4160pcs
</s:t>
              </s:r>
            </s:text>
          </item>
        </commentChain>
      </unresolved>
      <resolved/>
    </commentChains>
    <commentChains s:ref="AI793" rgbClr="FF0000">
      <unresolved>
        <commentChain chainId="e3acafe163b2b28ed6378dbc8dae0b7e06fb59de">
          <item id="b0833d72f13f8167a7d0bd45f5a4cb9928c4880b" isNormal="1">
            <s:text>
              <s:r>
                <s:t xml:space="preserve">Administrator:
4001892 2/6 6460pcs
庞登1楼
</s:t>
              </s:r>
            </s:text>
          </item>
        </commentChain>
      </unresolved>
      <resolved/>
    </commentChains>
    <commentChains s:ref="AL793" rgbClr="FF0000">
      <unresolved>
        <commentChain chainId="f1abcd54598894f2d433445962e848c1f9a75ac3">
          <item id="ff36b5a088cb21e17c32e2f7e60ee0bbb01bdbb2" isNormal="1">
            <s:text>
              <s:r>
                <s:t xml:space="preserve">Administrator:
1/5 客供邸ID贴纸  6400pcs
</s:t>
              </s:r>
            </s:text>
          </item>
        </commentChain>
      </unresolved>
      <resolved/>
    </commentChains>
    <commentChains s:ref="AI794" rgbClr="FF0000">
      <unresolved>
        <commentChain chainId="4a76af78229b5f469c3304305815abfeb9e8626f">
          <item id="16ac7e187799c987ae96d1099f6b2ef4a91b6cfc" isNormal="1">
            <s:text>
              <s:r>
                <s:t xml:space="preserve">Administrator:
4001891 2/6 5120pcs
王4c8
</s:t>
              </s:r>
            </s:text>
          </item>
        </commentChain>
      </unresolved>
      <resolved/>
    </commentChains>
    <commentChains s:ref="AL794" rgbClr="FF0000">
      <unresolved>
        <commentChain chainId="9d65f95c23c6392b8c9efaaa53170936a02bbc1b">
          <item id="cc816162e5fc85104ab84e54f11bd5c5d646402d" isNormal="1">
            <s:text>
              <s:r>
                <s:t xml:space="preserve">Administrator:
1/5 客供邸ID贴纸  5120pcs
</s:t>
              </s:r>
            </s:text>
          </item>
        </commentChain>
      </unresolved>
      <resolved/>
    </commentChains>
    <commentChains s:ref="AI795" rgbClr="FF0000">
      <unresolved>
        <commentChain chainId="3a30e51839cccf66e4129b59d94ce028d3703b72">
          <item id="1cf59341e0fe594cde71524b0fc1c137cc1c14ff" isNormal="1">
            <s:text>
              <s:r>
                <s:t xml:space="preserve">Administrator:
4001892 2/6 6080pcs
庞登1楼
</s:t>
              </s:r>
            </s:text>
          </item>
        </commentChain>
      </unresolved>
      <resolved/>
    </commentChains>
    <commentChains s:ref="AL795" rgbClr="FF0000">
      <unresolved>
        <commentChain chainId="cc480965eabbae822bbf9fab3dcd7d29ccc38283">
          <item id="8f3edbfd00bbf3a5bda86e93f175eab38bcb4c1f" isNormal="1">
            <s:text>
              <s:r>
                <s:t xml:space="preserve">Administrator:
1/5 客供邸ID贴纸 6080pcs
</s:t>
              </s:r>
            </s:text>
          </item>
        </commentChain>
      </unresolved>
      <resolved/>
    </commentChains>
    <commentChains s:ref="AI796" rgbClr="FF0000">
      <unresolved>
        <commentChain chainId="2d307596bb7149f683648ae8e4e76a1d9bdcc28d">
          <item id="1b116a529b8e65a707db3eab956c16bd2b963dd4" isNormal="1">
            <s:text>
              <s:r>
                <s:t xml:space="preserve">Administrator:
4001892 2/6 2880pcs
庞1f5
4001893 2/6 2560pcs
庞1f5</s:t>
              </s:r>
            </s:text>
          </item>
        </commentChain>
      </unresolved>
      <resolved/>
    </commentChains>
    <commentChains s:ref="AL796" rgbClr="FF0000">
      <unresolved>
        <commentChain chainId="2dc317cd1031fdbf077777a9f045a9b5eed302cf">
          <item id="a190397f17c69831f65404a084f4fb2aab293ab9" isNormal="1">
            <s:text>
              <s:r>
                <s:t xml:space="preserve">Administrator:
1/5 客供邸ID贴纸  5440pcs
</s:t>
              </s:r>
            </s:text>
          </item>
        </commentChain>
      </unresolved>
      <resolved/>
    </commentChains>
    <commentChains s:ref="AI797" rgbClr="FF0000">
      <unresolved>
        <commentChain chainId="a561d49a76b4c459e5ce11187d838ae87f06e6d2">
          <item id="48f61f99e6dd5d87120bf34b7fc78797dba83fa3" isNormal="1">
            <s:text>
              <s:r>
                <s:t xml:space="preserve">Administrator:
4001891 2/6 3840pcs
王4c8
</s:t>
              </s:r>
            </s:text>
          </item>
        </commentChain>
      </unresolved>
      <resolved/>
    </commentChains>
    <commentChains s:ref="AL797" rgbClr="FF0000">
      <unresolved>
        <commentChain chainId="228ce7e941764868fe825c526a106e77e817f6d9">
          <item id="e5fa24d77183cc0ad8a8d1d3596bc546ab04f9a3" isNormal="1">
            <s:text>
              <s:r>
                <s:t xml:space="preserve">Administrator:
1/5 客供邸ID贴纸  3840pcs
</s:t>
              </s:r>
            </s:text>
          </item>
        </commentChain>
      </unresolved>
      <resolved/>
    </commentChains>
    <commentChains s:ref="AI798" rgbClr="FF0000">
      <unresolved>
        <commentChain chainId="f188d4cd4cfe9e5a046098d9e2c45a1d03eb07da">
          <item id="62598f37e405bd0ef2babc1bc0e19c55bdcae775" isNormal="1">
            <s:text>
              <s:r>
                <s:t xml:space="preserve">Administrator:
4001892 2/6 708pcs
庞3b15</s:t>
              </s:r>
            </s:text>
          </item>
        </commentChain>
      </unresolved>
      <resolved/>
    </commentChains>
    <commentChains s:ref="AL798" rgbClr="FF0000">
      <unresolved>
        <commentChain chainId="d9247b36be2afd2279318d467f512d998dc6c935">
          <item id="3396a038a011182d6e17a1f35ba616f158bc7813" isNormal="1">
            <s:text>
              <s:r>
                <s:t xml:space="preserve">Administrator:
1/19 客人白色Cat.label 708pcs</s:t>
              </s:r>
            </s:text>
          </item>
        </commentChain>
      </unresolved>
      <resolved/>
    </commentChains>
    <commentChains s:ref="AI802" rgbClr="FF0000">
      <unresolved>
        <commentChain chainId="32776a8597b77928b581726295fb25e401cf65cd">
          <item id="ff319f68a4768a16eaf22ec2108b618a3fe60973" isNormal="1">
            <s:text>
              <s:r>
                <s:t xml:space="preserve">Administrator:
4001877 2/7 390pcs庞登1楼</s:t>
              </s:r>
            </s:text>
          </item>
        </commentChain>
      </unresolved>
      <resolved/>
    </commentChains>
    <commentChains s:ref="AL802" rgbClr="FF0000">
      <unresolved>
        <commentChain chainId="3ed0b59659df7432c632d040fe019d10a775bc43">
          <item id="b567e34598940134f57fc2b36a106aa3408f766a" isNormal="1">
            <s:text>
              <s:r>
                <s:t xml:space="preserve">Administrator:
1/13 客供防窜码贴纸1拖6 390pcs
1/12 3C中文贴纸 390pcs</s:t>
              </s:r>
            </s:text>
          </item>
        </commentChain>
      </unresolved>
      <resolved/>
    </commentChains>
    <commentChains s:ref="AI803" rgbClr="FF0000">
      <unresolved>
        <commentChain chainId="030b05d132ee45f68c322c7f7fc61f791e68ca6b">
          <item id="8fb9ecae0471cd99f96e42742e35463ab246974b" isNormal="1">
            <s:text>
              <s:r>
                <s:t xml:space="preserve">Administrator:
4001877 2/7 3600pcs
庞登1楼
</s:t>
              </s:r>
            </s:text>
          </item>
        </commentChain>
      </unresolved>
      <resolved/>
    </commentChains>
    <commentChains s:ref="AL803" rgbClr="FF0000">
      <unresolved>
        <commentChain chainId="bd24d843645657a677c11ea868d9ac037d48b00b">
          <item id="43faa8ee0d8e1fd0bfd23b66f66715117b9b5bba" isNormal="1">
            <s:text>
              <s:r>
                <s:t xml:space="preserve">Administrator:
1/13 客供防窜码贴纸1拖6 3600pcs
1/12 3C中文贴纸 3600pcs
</s:t>
              </s:r>
            </s:text>
          </item>
        </commentChain>
      </unresolved>
      <resolved/>
    </commentChains>
    <commentChains s:ref="AI804" rgbClr="FF0000">
      <unresolved>
        <commentChain chainId="cac409083ef71f2bf1b60e379c50328e01431824">
          <item id="e1b27c91071e76d81f9c9701832c27809384a8d1" isNormal="1">
            <s:text>
              <s:r>
                <s:t xml:space="preserve">Administrator:
4001891 2/6 1320PCS
王4b8</s:t>
              </s:r>
            </s:text>
          </item>
        </commentChain>
      </unresolved>
      <resolved/>
    </commentChains>
    <commentChains s:ref="AL804" rgbClr="FF0000">
      <unresolved>
        <commentChain chainId="ce8535a059608208a64d49823d9e252a3a0d08d0">
          <item id="2c7cff4eb47548bac4ff84c9c305af29bdf74a28" isNormal="1">
            <s:text>
              <s:r>
                <s:t xml:space="preserve">Administrator:
1/23 进口商贴纸 13220pcs</s:t>
              </s:r>
            </s:text>
          </item>
        </commentChain>
      </unresolved>
      <resolved/>
    </commentChains>
    <commentChains s:ref="AI807" rgbClr="FF0000">
      <unresolved>
        <commentChain chainId="9af17b58b746f0a4b2cc45c77546981299a8a430">
          <item id="304cf5e70e618539e33783f85006a94cefcd7b60" isNormal="1">
            <s:text>
              <s:r>
                <s:t xml:space="preserve">Administrator:
4001877 2/7 600pcs
庞登1楼
</s:t>
              </s:r>
            </s:text>
          </item>
        </commentChain>
      </unresolved>
      <resolved/>
    </commentChains>
    <commentChains s:ref="AL807" rgbClr="FF0000">
      <unresolved>
        <commentChain chainId="0cb1449f64b3aa455457a183354d46051b530067">
          <item id="b61183bf67588ff79220b13d062809017453e0ff" isNormal="1">
            <s:text>
              <s:r>
                <s:t xml:space="preserve">Administrator:
1/21 进口商贴纸 600pcs
说明书贴纸 600pcs
价标贴纸 600pcs
2/3 客供mu贴纸(条码贴 50pcs
客供ASN贴纸 50pcs</s:t>
              </s:r>
            </s:text>
          </item>
        </commentChain>
      </unresolved>
      <resolved/>
    </commentChains>
    <commentChains s:ref="AI808" rgbClr="FF0000">
      <unresolved>
        <commentChain chainId="806a13384e44ee1b1573679a73c138fceb20f380">
          <item id="9038aad17446546b1edbf4f0e7be67c99b3a2d34" isNormal="1">
            <s:text>
              <s:r>
                <s:t xml:space="preserve">Administrator:
4001893 2/6 2040pcs
庞1f9
4001897 2/7 324pcs庞1f9</s:t>
              </s:r>
            </s:text>
          </item>
        </commentChain>
      </unresolved>
      <resolved/>
    </commentChains>
    <commentChains s:ref="AL808" rgbClr="FF0000">
      <unresolved>
        <commentChain chainId="194541f413a6af811c15939e6228d5e56083b295">
          <item id="aea39078ff2bf24a368feeae72e06460e2d78940" isNormal="1">
            <s:text>
              <s:r>
                <s:t xml:space="preserve">Administrator:
1/23 多语折稥警语贴纸 2364pcs</s:t>
              </s:r>
            </s:text>
          </item>
        </commentChain>
      </unresolved>
      <resolved/>
    </commentChains>
    <commentChains s:ref="AI809" rgbClr="FF0000">
      <unresolved>
        <commentChain chainId="fedc74a2f46963e901ec3980e593ad94453375eb">
          <item id="006881460a211abfc8314cf84e5b26442b5f6183" isNormal="1">
            <s:text>
              <s:r>
                <s:t xml:space="preserve">Administrator:
4001897 2/7 2976pcs
王4a9
4001874 2/7 32pcs 庞4a9</s:t>
              </s:r>
            </s:text>
          </item>
        </commentChain>
      </unresolved>
      <resolved/>
    </commentChains>
    <commentChains s:ref="AL809" rgbClr="FF0000">
      <unresolved>
        <commentChain chainId="abd61d13318e2a37829398e18bb1a192e9b87db1">
          <item id="a830823d4cdeff1bbda6593c88ad8034150e6d79" isNormal="1">
            <s:text>
              <s:r>
                <s:t xml:space="preserve">Administrator:
1/19 客户EAN条码贴纸3008pcs 
</s:t>
              </s:r>
            </s:text>
          </item>
        </commentChain>
      </unresolved>
      <resolved/>
    </commentChains>
    <commentChains s:ref="AI810" rgbClr="FF0000">
      <unresolved>
        <commentChain chainId="e4d6ba722c6e6eba0d8c559e96411090c01c325c">
          <item id="747c0166e2cb094da2a9755e42a57acc07501796" isNormal="1">
            <s:text>
              <s:r>
                <s:t xml:space="preserve">Administrator:
4001897 2/7 2000pcs
王4a4</s:t>
              </s:r>
            </s:text>
          </item>
        </commentChain>
      </unresolved>
      <resolved/>
    </commentChains>
    <commentChains s:ref="AL810" rgbClr="FF0000">
      <unresolved>
        <commentChain chainId="0c2946c3afb96ee2897841167388b2cdabab5209">
          <item id="46b74eed0fd76d997423b3f12bc8c5a473c0e75b" isNormal="1">
            <s:text>
              <s:r>
                <s:t xml:space="preserve">Administrator:
1/19 客户EAN条码贴纸2000pcs 
</s:t>
              </s:r>
            </s:text>
          </item>
        </commentChain>
      </unresolved>
      <resolved/>
    </commentChains>
    <commentChains s:ref="AI811" rgbClr="FF0000">
      <unresolved>
        <commentChain chainId="2137badcf6b0e7c1b3e3a21530b3e2a251b8d215">
          <item id="5f2a6f0b8caadf7296082cd95d2fa1b685568318" isNormal="1">
            <s:text>
              <s:r>
                <s:t xml:space="preserve">Administrator:
4001897 2/7 3360pcs
王4a3</s:t>
              </s:r>
            </s:text>
          </item>
        </commentChain>
      </unresolved>
      <resolved/>
    </commentChains>
    <commentChains s:ref="AL811" rgbClr="FF0000">
      <unresolved>
        <commentChain chainId="5ff4c04e8b82a392cf835f88f05b1b8b33d22407">
          <item id="93f4fa8394564790722d0c4f98d4d3195ddf1261" isNormal="1">
            <s:text>
              <s:r>
                <s:t xml:space="preserve">Administrator:
1/19 客户EAN条码贴纸 336pcs 
</s:t>
              </s:r>
            </s:text>
          </item>
        </commentChain>
      </unresolved>
      <resolved/>
    </commentChains>
    <commentChains s:ref="AI812" rgbClr="FF0000">
      <unresolved>
        <commentChain chainId="61662057866f11ceb0b8942e5dcc9abf19b24b45">
          <item id="90fd510fc8a91f4f0fe75e5ee63d150e9155a9f2" isNormal="1">
            <s:text>
              <s:r>
                <s:t xml:space="preserve">Administrator:
4001897 2/7 900pcs
王4a2</s:t>
              </s:r>
            </s:text>
          </item>
        </commentChain>
      </unresolved>
      <resolved/>
    </commentChains>
    <commentChains s:ref="AI813" rgbClr="FF0000">
      <unresolved>
        <commentChain chainId="fcc957ed2fe6e7563592907180fa7ae36b3bd79f">
          <item id="637860bf6acab7f237d288e6933204dca8239ebf" isNormal="1">
            <s:text>
              <s:r>
                <s:t xml:space="preserve">Administrator:
4001889 2/5 1200pcs王4a3</s:t>
              </s:r>
            </s:text>
          </item>
        </commentChain>
      </unresolved>
      <resolved/>
    </commentChains>
    <commentChains s:ref="AL813" rgbClr="FF0000">
      <unresolved>
        <commentChain chainId="13b828e8f43c6c2211d327a3d8c06e4a86f042b9">
          <item id="6422ea2ede52cffab20afd903371f41efc697b77" isNormal="1">
            <s:text>
              <s:r>
                <s:t xml:space="preserve">Administrator:
1/19 客户警语贴纸 1200pcs</s:t>
              </s:r>
            </s:text>
          </item>
        </commentChain>
      </unresolved>
      <resolved/>
    </commentChains>
    <commentChains s:ref="AI814" rgbClr="FF0000">
      <unresolved>
        <commentChain chainId="4fc60405f94ce1e9a228f4022438d843502790f2">
          <item id="e481f774da473331380d148ea49627f868af9cb4" isNormal="1">
            <s:text>
              <s:r>
                <s:t xml:space="preserve">Administrator:
1505509 2/28 576pcs庞3b12</s:t>
              </s:r>
            </s:text>
          </item>
        </commentChain>
      </unresolved>
      <resolved/>
    </commentChains>
    <commentChains s:ref="AL814" rgbClr="FF0000">
      <unresolved>
        <commentChain chainId="e205c885ddc81303c3cef87d30c233cde562caa0">
          <item id="3ff61b835ffccedd3e13a51927f9b104148a3481" isNormal="1">
            <s:text>
              <s:r>
                <s:t xml:space="preserve">Administrator:
1/22 警示语贴纸 576pcs</s:t>
              </s:r>
            </s:text>
          </item>
        </commentChain>
      </unresolved>
      <resolved/>
    </commentChains>
    <commentChains s:ref="AI815" rgbClr="FF0000">
      <unresolved>
        <commentChain chainId="c75ae94c097b371be476072d0bd78cee5c0081d2">
          <item id="43956c73a97306bbacba5461fef27de1ddd40cc5" isNormal="1">
            <s:text>
              <s:r>
                <s:t xml:space="preserve">Administrator:
1405503 2/27 12600pcs 王4a5
</s:t>
              </s:r>
            </s:text>
          </item>
        </commentChain>
      </unresolved>
      <resolved/>
    </commentChains>
    <commentChains s:ref="AL815" rgbClr="FF0000">
      <unresolved>
        <commentChain chainId="7ce2b4b7564c6d643eabe277385626b711aa24d3">
          <item id="984788a67908971e6ae206a206690876939dcbe8" isNormal="1">
            <s:text>
              <s:r>
                <s:t xml:space="preserve">Administrator:
1/22 进口商贴纸 12600pcs</s:t>
              </s:r>
            </s:text>
          </item>
        </commentChain>
      </unresolved>
      <resolved/>
    </commentChains>
    <commentChains s:ref="AI816" rgbClr="FF0000">
      <unresolved>
        <commentChain chainId="52c8bf52c38a64542e7c04e333dfe7082f36ea49">
          <item id="c584ed70c7dc4f931db37c2353e5b60fbd98ef76" isNormal="1">
            <s:text>
              <s:r>
                <s:t xml:space="preserve">Administrator:
4001885 2/27 3600pcs庞1f11
4001860 2/27 11520PCS 庞1f11
4001866 2/28 11132pcs 庞1f9</s:t>
              </s:r>
            </s:text>
          </item>
        </commentChain>
      </unresolved>
      <resolved/>
    </commentChains>
    <commentChains s:ref="AL816" rgbClr="FF0000">
      <unresolved>
        <commentChain chainId="c9429823d23749b8e7df98e1144e6d7c5f556549">
          <item id="258f994a4d2d2ff5e904ff89e769a3b1bf69036a" isNormal="1">
            <s:text>
              <s:r>
                <s:t xml:space="preserve">Administrator:
1/15 客供外箱条码贴纸 6629pcs</s:t>
              </s:r>
            </s:text>
          </item>
        </commentChain>
      </unresolved>
      <resolved/>
    </commentChains>
    <commentChains s:ref="AI817" rgbClr="FF0000">
      <unresolved>
        <commentChain chainId="452417eed8c5bad32e8fe4ce426448afe08ca25d">
          <item id="f0d2e29cdb491982c7ca26df23b85e3318a96c1e" isNormal="1">
            <s:text>
              <s:r>
                <s:t xml:space="preserve">Administrator:
1505509 2/28 1184pcs
庞3b14
1405491 3/3 16pcs
庞3b14
</s:t>
              </s:r>
            </s:text>
          </item>
        </commentChain>
      </unresolved>
      <resolved/>
    </commentChains>
    <commentChains s:ref="AI818" rgbClr="FF0000">
      <unresolved>
        <commentChain chainId="248a44842314512c01c8725e09cdbdb34677f3f8">
          <item id="88d990e1cc7ffd734c701d96a263a0f838a6698e" isNormal="1">
            <s:text>
              <s:r>
                <s:t xml:space="preserve">Administrator:
1405498 3/5 720pcs
王4a9</s:t>
              </s:r>
            </s:text>
          </item>
        </commentChain>
      </unresolved>
      <resolved/>
    </commentChains>
    <commentChains s:ref="AL818" rgbClr="FF0000">
      <unresolved>
        <commentChain chainId="5aae5dd09f983322f5bb59737ac2903bf7f581ec">
          <item id="a18a6ed0d48e2e6c09a3164a58cce4505183de4e" isNormal="1">
            <s:text>
              <s:r>
                <s:t xml:space="preserve">Administrator:
3/2 UPC贴纸 720pcs
</s:t>
              </s:r>
            </s:text>
          </item>
        </commentChain>
      </unresolved>
      <resolved/>
    </commentChains>
    <commentChains s:ref="AI819" rgbClr="FF0000">
      <unresolved>
        <commentChain chainId="684e2decf4b3110346ec4a3299c586d3b15d9d43">
          <item id="36581b00078e6bf39c0dcbc5e1e7f79231b94822" isNormal="1">
            <s:text>
              <s:r>
                <s:t xml:space="preserve">Administrator:
4001877 2/7 4400pcs
庞登1楼
</s:t>
              </s:r>
            </s:text>
          </item>
        </commentChain>
      </unresolved>
      <resolved/>
    </commentChains>
    <commentChains s:ref="AI820" rgbClr="FF0000">
      <unresolved>
        <commentChain chainId="d9f0aeee150dfbf3bb0ecb75423cd6db76fcd829">
          <item id="3a5936cc591d413a47471079f7bce38be1dbebcc" isNormal="1">
            <s:text>
              <s:r>
                <s:t xml:space="preserve">Administrator:
1405491 3/3 2848pcs
庞3b11
1405498 3/5 12pcs庞3b11
</s:t>
              </s:r>
            </s:text>
          </item>
        </commentChain>
      </unresolved>
      <resolved/>
    </commentChains>
    <commentChains s:ref="AL820" rgbClr="FF0000">
      <unresolved>
        <commentChain chainId="de59b7d735e187c4e26b11c25b7583c7881bcafe">
          <item id="66cde7f4f94a7424356d31ab13339abbbe343dba" isNormal="1">
            <s:text>
              <s:r>
                <s:t xml:space="preserve">Administrator:
1/26 PDQUPC 条码贴纸 715pcs</s:t>
              </s:r>
            </s:text>
          </item>
        </commentChain>
      </unresolved>
      <resolved/>
    </commentChains>
    <commentChains s:ref="AI821" rgbClr="FF0000">
      <unresolved>
        <commentChain chainId="609ed59dca26c5b16aa1fac4d2b1ff5085f777f4">
          <item id="4a4f7ea9514e9c999959f01da1e7e03695427e81" isNormal="1">
            <s:text>
              <s:r>
                <s:t xml:space="preserve">Administrator:
1405491 3/3 2336pcs
庞3b10
1405498 3/5 40pcs庞3b10</s:t>
              </s:r>
            </s:text>
          </item>
        </commentChain>
      </unresolved>
      <resolved/>
    </commentChains>
    <commentChains s:ref="AL821" rgbClr="FF0000">
      <unresolved>
        <commentChain chainId="3479b3c6241b39b8a13790edb5bfbaafe73125d1">
          <item id="320e64c39f33f6111ec159cf7cf721ddcd2a3bed" isNormal="1">
            <s:text>
              <s:r>
                <s:t xml:space="preserve">Administrator:
2/3 PDQUPC 条码贴纸 585pcs</s:t>
              </s:r>
            </s:text>
          </item>
        </commentChain>
      </unresolved>
      <resolved/>
    </commentChains>
    <commentChains s:ref="AI822" rgbClr="FF0000">
      <unresolved>
        <commentChain chainId="94c0c31c5fcacf85715feb369b092d538602986e">
          <item id="883721a30c640d6fbcd6e6ec90015ba2afa99323" isNormal="1">
            <s:text>
              <s:r>
                <s:t xml:space="preserve">Administrator:
1406390 3/3 10800pcs庞登1楼
1406391 3/3 5200pcs庞登1楼</s:t>
              </s:r>
            </s:text>
          </item>
        </commentChain>
      </unresolved>
      <resolved/>
    </commentChains>
    <commentChains s:ref="AL822" rgbClr="FF0000">
      <unresolved>
        <commentChain chainId="1a5ea29328ca85d11b2a895f3c2e927e1ade7db6">
          <item id="83201c51ce584d7f491ed22131f35461f3511a23" isNormal="1">
            <s:text>
              <s:r>
                <s:t xml:space="preserve">Administrator:
1/30 客供外箱条码贴纸 4000pcs</s:t>
              </s:r>
            </s:text>
          </item>
        </commentChain>
      </unresolved>
      <resolved/>
    </commentChains>
    <commentChains s:ref="AI823" rgbClr="FF0000">
      <unresolved>
        <commentChain chainId="cc4ef89bf75d0e2baecb6284abb88c9a35795413">
          <item id="7681d64baafedb507cbefbc0153e0d7b2f12e49a" isNormal="1">
            <s:text>
              <s:r>
                <s:t xml:space="preserve">Administrator:
1406389 3/3 420opcs庞登1楼
</s:t>
              </s:r>
            </s:text>
          </item>
        </commentChain>
      </unresolved>
      <resolved/>
    </commentChains>
    <commentChains s:ref="AL823" rgbClr="FF0000">
      <unresolved>
        <commentChain chainId="7516215a632220ddd39e7e9182fe770b9cb46dd5">
          <item id="3281780637b3c38689cba3cb70321c78628e4a90" isNormal="1">
            <s:text>
              <s:r>
                <s:t xml:space="preserve">Administrator:
1/29 进口商贴纸 420pcs
UPC条码贴纸 420pcs
保证书 420pcs</s:t>
              </s:r>
            </s:text>
          </item>
        </commentChain>
      </unresolved>
      <resolved/>
    </commentChains>
    <commentChains s:ref="AI824" rgbClr="FF0000">
      <unresolved>
        <commentChain chainId="44b891bf19f5aa4cbe52e4232d68d136945b04ff">
          <item id="e74d3dad2337c008b3b0ace4b41fd137ea6de8ba" isNormal="1">
            <s:text>
              <s:r>
                <s:t xml:space="preserve">Administrator:
1406389 3/3 1008pcs
庞3a21</s:t>
              </s:r>
            </s:text>
          </item>
        </commentChain>
      </unresolved>
      <resolved/>
    </commentChains>
    <commentChains s:ref="AL824" rgbClr="FF0000">
      <unresolved>
        <commentChain chainId="2efa05e83e4cdd4be86ab32c3f6f59b8f71ed217">
          <item id="0bc33d9cc2f6ec1e5fe443875ff26fab6bd70834" isNormal="1">
            <s:text>
              <s:r>
                <s:t xml:space="preserve">Administrator:
2/3 进口商贴纸 1008pcs
UPC贴纸 1008pcs</s:t>
              </s:r>
            </s:text>
          </item>
        </commentChain>
      </unresolved>
      <resolved/>
    </commentChains>
    <commentChains s:ref="AI825" rgbClr="FF0000">
      <unresolved>
        <commentChain chainId="482a8a8a499978bba345b347109f05f3a9c69321">
          <item id="571b222d649b22923324c2209b3e97406e3bb762" isNormal="1">
            <s:text>
              <s:r>
                <s:t xml:space="preserve">Administrator:
4001866 2/28 648pcs庞1f3</s:t>
              </s:r>
            </s:text>
          </item>
        </commentChain>
      </unresolved>
      <resolved/>
    </commentChains>
    <commentChains s:ref="AL825" rgbClr="FF0000">
      <unresolved>
        <commentChain chainId="cbe1941d9e0560822e7d6336d1002bb15ac33ec8">
          <item id="ba3bece292e662fca418938dad40c1751d54ecef" isNormal="1">
            <s:text>
              <s:r>
                <s:t xml:space="preserve">Administrator:
2/5 大警语贴纸 648pcs
小警语贴纸 648pcs</s:t>
              </s:r>
            </s:text>
          </item>
        </commentChain>
      </unresolved>
      <resolved/>
    </commentChains>
    <commentChains s:ref="AI826" rgbClr="FF0000">
      <unresolved>
        <commentChain chainId="1ea1f47ce7ca5ce11c1981ea705341b3aed3a575">
          <item id="f2d1b981b48d92bf231d299d04e3a30155e0068b" isNormal="1">
            <s:text>
              <s:r>
                <s:t xml:space="preserve">Administrator:
4001866 2/28 348pcs
庞1f3
</s:t>
              </s:r>
            </s:text>
          </item>
        </commentChain>
      </unresolved>
      <resolved/>
    </commentChains>
    <commentChains s:ref="AL826" rgbClr="FF0000">
      <unresolved>
        <commentChain chainId="5bc2f42294c6174034f105d1283fcc534a7168f7">
          <item id="3b4ae371fcbd771c10cae8657724dfad42ef6019" isNormal="1">
            <s:text>
              <s:r>
                <s:t xml:space="preserve">Administrator:
2/5 大警语贴纸 348pcs
小警语贴纸 348pcs
</s:t>
              </s:r>
            </s:text>
          </item>
        </commentChain>
      </unresolved>
      <resolved/>
    </commentChains>
    <commentChains s:ref="AI830" rgbClr="FF0000">
      <unresolved>
        <commentChain chainId="5993a500fe1cb44af8a038ef6b49a91c1cb75f55">
          <item id="9c6cbb8cfca9ba91b45f54286d69e9b8886581a0" isNormal="1">
            <s:text>
              <s:r>
                <s:t xml:space="preserve">Administrator:
1406367 3/10 1790PCS
1406368 3/11 10pcs</s:t>
              </s:r>
            </s:text>
          </item>
        </commentChain>
      </unresolved>
      <resolved/>
    </commentChains>
    <commentChains s:ref="AI833" rgbClr="FF0000">
      <unresolved>
        <commentChain chainId="1fefea9aa9b22fae46cceb6b1aa5ad482ce960bd">
          <item id="7499035379f447c0fe2dbb7f13b6600210ec5e5e" isNormal="1">
            <s:text>
              <s:r>
                <s:t xml:space="preserve">Administrator:
1406374 3/5 2820pcs王4b10</s:t>
              </s:r>
            </s:text>
          </item>
        </commentChain>
      </unresolved>
      <resolved/>
    </commentChains>
    <commentChains s:ref="AL833" rgbClr="FF0000">
      <unresolved>
        <commentChain chainId="916f2769318fe7f65e15e6e8329dbb38c55b065a">
          <item id="e33f0374bf43d08288c56c89fac134c42716a8d2" isNormal="1">
            <s:text>
              <s:r>
                <s:t xml:space="preserve">Administrator:
1/26 NJ 客供外箱贴纸 235pcs
NJ 通用客供外箱贴纸 235pcs
1/26 价格贴纸 2820pcs</s:t>
              </s:r>
            </s:text>
          </item>
        </commentChain>
      </unresolved>
      <resolved/>
    </commentChains>
    <commentChains s:ref="AI834" rgbClr="FF0000">
      <unresolved>
        <commentChain chainId="a48183b6c2e97a5c429072c0601734309b593fd6">
          <item id="7b26c1b7abf12448286ed24c9c87dbd008a4ad87" isNormal="1">
            <s:text>
              <s:r>
                <s:t xml:space="preserve">Administrator:
1406374 3/5 936pcs
王4b9</s:t>
              </s:r>
            </s:text>
          </item>
        </commentChain>
      </unresolved>
      <resolved/>
    </commentChains>
    <commentChains s:ref="AL834" rgbClr="FF0000">
      <unresolved>
        <commentChain chainId="cf7e1378c87b425110b21d25aeecc3912d3bdf80">
          <item id="cd0fe324ad77f784ab8e32cda8a20a9794aa012f" isNormal="1">
            <s:text>
              <s:r>
                <s:t xml:space="preserve">Administrator:
1/26 NJ 客供外箱贴纸 78pcs
NJ 通用客供外箱贴纸 78pcs
1/26 价格贴纸 2936pcs
</s:t>
              </s:r>
            </s:text>
          </item>
        </commentChain>
      </unresolved>
      <resolved/>
    </commentChains>
    <commentChains s:ref="AI835" rgbClr="FF0000">
      <unresolved>
        <commentChain chainId="19c4b8f858364d17f8cc2bc18b82fa1d1abb6a58">
          <item id="b2e753646f4d7c2616be40e5cb2df1980b961e60" isNormal="1">
            <s:text>
              <s:r>
                <s:t xml:space="preserve">Administrator:
1405466 3/12 1500pcs
庞1f4</s:t>
              </s:r>
            </s:text>
          </item>
        </commentChain>
      </unresolved>
      <resolved/>
    </commentChains>
    <commentChains s:ref="AL835" rgbClr="FF0000">
      <unresolved>
        <commentChain chainId="8f0fc7381c0dbf58bb88e7086e13b10d5d2cf41d">
          <item id="539e640a406e8027b5e958cf6dd0929ecee28957" isNormal="1">
            <s:text>
              <s:r>
                <s:t xml:space="preserve">Administrator:
1/26 大警语贴纸贴 3000pcs
小警语贴纸贴 1500pcs
2/4 Kmart外箱贴纸 125pcs 
3/3 大警语贴纸贴纸 3000pcs
小警语贴纸贴纸 1500pcs
3/3 白色防盗贴纸 1500pcs
</s:t>
              </s:r>
            </s:text>
          </item>
        </commentChain>
      </unresolved>
      <resolved/>
    </commentChains>
    <commentChains s:ref="AI836" rgbClr="FF0000">
      <unresolved>
        <commentChain chainId="7c21055609793fcccf18db6fb64fb906b93976b9">
          <item id="17a9af881f441a69a2e4f7797c3418e2d1e412e0" isNormal="1">
            <s:text>
              <s:r>
                <s:t xml:space="preserve">Administrator:
1406370 3/11 1008pcs王4a2</s:t>
              </s:r>
            </s:text>
          </item>
        </commentChain>
      </unresolved>
      <resolved/>
    </commentChains>
    <commentChains s:ref="AL836" rgbClr="FF0000">
      <unresolved>
        <commentChain chainId="ebfef67e0e0a66062b347ee27e989bb6b1be5a89">
          <item id="4430ee44899bda372dd7906d02ea4256f60d312e" isNormal="1">
            <s:text>
              <s:r>
                <s:t xml:space="preserve">Administrator:
3/3 UPC贴纸 1008pcs
进口商贴纸 1008pcs</s:t>
              </s:r>
            </s:text>
          </item>
        </commentChain>
      </unresolved>
      <resolved/>
    </commentChains>
    <commentChains s:ref="AL837" rgbClr="FF0000">
      <unresolved>
        <commentChain chainId="18634a9af89cc47da0b445bb70ccbbc67024d20a">
          <item id="8806c4585f1761f26f7143ff441b692648134bde" isNormal="1">
            <s:text>
              <s:r>
                <s:t xml:space="preserve">Administrator:
1/16 客供价格贴纸 630pcs
</s:t>
              </s:r>
            </s:text>
          </item>
        </commentChain>
      </unresolved>
      <resolved/>
    </commentChains>
    <commentChains s:ref="AI838" rgbClr="FF0000">
      <unresolved>
        <commentChain chainId="198e30a4c1a7ba7ccd3d7683c7f28fa1ecadc900">
          <item id="befe068b7929b02f02e2ed324c25bc4631aa35e9" isNormal="1">
            <s:text>
              <s:r>
                <s:t xml:space="preserve">Administrator:
1405468 3/12 12600pcs
庞1f11
1405466 3/12 9240pcs
庞1f9
1405473 3/12 6960pcs
庞1f9
1405322 3/12 1200pcs庞1f11</s:t>
              </s:r>
            </s:text>
          </item>
        </commentChain>
      </unresolved>
      <resolved/>
    </commentChains>
    <commentChains s:ref="AL838" rgbClr="FF0000">
      <unresolved>
        <commentChain chainId="8fd609118dbea2af56842fd921283f2e4b07ba09">
          <item id="091ffd5299b999aa86a44b13e6dec05913e28061" isNormal="1">
            <s:text>
              <s:r>
                <s:t xml:space="preserve">Administrator:
2/26 客供外箱条码贴纸 7575pcs
</s:t>
              </s:r>
            </s:text>
          </item>
        </commentChain>
      </unresolved>
      <resolved/>
    </commentChains>
    <commentChains s:ref="AI839" rgbClr="FF0000">
      <unresolved>
        <commentChain chainId="f667891036ffb71613a89732e03eaf5d65974a9b">
          <item id="35561dda5807449c5360164f14fd65cc3d9350c0" isNormal="1">
            <s:text>
              <s:r>
                <s:t xml:space="preserve">Administrator:
1406339 3/14 624pcs王4a9</s:t>
              </s:r>
            </s:text>
          </item>
        </commentChain>
      </unresolved>
      <resolved/>
    </commentChains>
    <commentChains s:ref="AL839" rgbClr="FF0000">
      <unresolved>
        <commentChain chainId="8e79f87bb7029ab34bd6dc6c1e07ed2e4a341371">
          <item id="6dec4e519d8f8b8db0e23e7d3215b329afa1239f" isNormal="1">
            <s:text>
              <s:r>
                <s:t xml:space="preserve">Administrator:
3/10 客供亚马逊外箱贴纸 52pcs</s:t>
              </s:r>
            </s:text>
          </item>
        </commentChain>
      </unresolved>
      <resolved/>
    </commentChains>
    <commentChains s:ref="AI840" rgbClr="FF0000">
      <unresolved>
        <commentChain chainId="c193ade9614dd417c59efd497990632f3ce266ee">
          <item id="39a2964df3031f6dec8c212694108ea0e1a89603" isNormal="1">
            <s:text>
              <s:r>
                <s:t xml:space="preserve">Administrator:
1406341 3/14 276pcs王4b9</s:t>
              </s:r>
            </s:text>
          </item>
        </commentChain>
      </unresolved>
      <resolved/>
    </commentChains>
    <commentChains s:ref="AL840" rgbClr="FF0000">
      <unresolved>
        <commentChain chainId="49812e962f9a5c8b361c773f9ce1b893f0c32916">
          <item id="5c7fd3c36cc9c141c67b4aac8aaae3277fc65eb8" isNormal="1">
            <s:text>
              <s:r>
                <s:t xml:space="preserve">Administrator:
3/10 客供亚马逊外箱贴纸 23pcs
</s:t>
              </s:r>
            </s:text>
          </item>
        </commentChain>
      </unresolved>
      <resolved/>
    </commentChains>
    <commentChains s:ref="AI841" rgbClr="FF0000">
      <unresolved>
        <commentChain chainId="d5fcc1c43b8bac156d51fb9923e3b62820ed633f">
          <item id="28fbe60535b2910b7e2215a96656b5d0fa797e6f" isNormal="1">
            <s:text>
              <s:r>
                <s:t xml:space="preserve">Administrator:
1406334 3/12 600pcs</s:t>
              </s:r>
            </s:text>
          </item>
        </commentChain>
      </unresolved>
      <resolved/>
    </commentChains>
    <commentChains s:ref="AL841" rgbClr="FF0000">
      <unresolved>
        <commentChain chainId="9edc190939bea41efd047bd2a1da7b7385f999e3">
          <item id="d7c989761efd8a01f25301f9786d06636dafc1e1" isNormal="1">
            <s:text>
              <s:r>
                <s:t xml:space="preserve">Administrator:
2/5 进口商贴纸 600pcs
UPC贴纸 600pcs</s:t>
              </s:r>
            </s:text>
          </item>
        </commentChain>
      </unresolved>
      <resolved/>
    </commentChains>
    <commentChains s:ref="AI842" rgbClr="FF0000">
      <unresolved>
        <commentChain chainId="7cc46817df994686fcb6aa317c0dc744b885d3c1">
          <item id="a559897d82bfc3f6962dcee7884f4bf92af00717" isNormal="1">
            <s:text>
              <s:r>
                <s:t xml:space="preserve">Administrator:
1406339 3/14 180pcs
王4b1</s:t>
              </s:r>
            </s:text>
          </item>
        </commentChain>
      </unresolved>
      <resolved/>
    </commentChains>
    <commentChains s:ref="AL842" rgbClr="FF0000">
      <unresolved>
        <commentChain chainId="6fb9017159e7788462708a681886d4ef01bfe79f">
          <item id="910ea2ad57652493806750de75536de4c58a6b08" isNormal="1">
            <s:text>
              <s:r>
                <s:t xml:space="preserve">Administrator:
3/10  客供亚马逊外箱贴纸 15PCS </s:t>
              </s:r>
            </s:text>
          </item>
        </commentChain>
      </unresolved>
      <resolved/>
    </commentChains>
    <commentChains s:ref="AI843" rgbClr="FF0000">
      <unresolved>
        <commentChain chainId="187efcd4dc4ea77991e98ccd15594887fc3e7375">
          <item id="27882636b197b2b64df170650bdc47f4442c4ae7" isNormal="1">
            <s:text>
              <s:r>
                <s:t xml:space="preserve">Administrator:
1406339 3/14 900pcs
王4b10</s:t>
              </s:r>
            </s:text>
          </item>
        </commentChain>
      </unresolved>
      <resolved/>
    </commentChains>
    <commentChains s:ref="AL843" rgbClr="FF0000">
      <unresolved>
        <commentChain chainId="2e6962b8c330d122f3be83e89a66f3b74d1d21b0">
          <item id="b29c9cf3995c08b4e6ae99e852844f690d4f716c" isNormal="1">
            <s:text>
              <s:r>
                <s:t xml:space="preserve">Administrator:
3/10 客供亚马逊外箱贴纸 75pcs
</s:t>
              </s:r>
            </s:text>
          </item>
        </commentChain>
      </unresolved>
      <resolved/>
    </commentChains>
    <commentChains s:ref="AI844" rgbClr="FF0000">
      <unresolved>
        <commentChain chainId="9d9d07b3e1ed98590db86ba9db6e97f2fcdc0e3e">
          <item id="d922104751e76df6b8985cb34493968b2e782ac4" isNormal="1">
            <s:text>
              <s:r>
                <s:t xml:space="preserve">Administrator:
1406335 3/12 960pcs王4a9</s:t>
              </s:r>
            </s:text>
          </item>
        </commentChain>
      </unresolved>
      <resolved/>
    </commentChains>
    <commentChains s:ref="AL844" rgbClr="FF0000">
      <unresolved>
        <commentChain chainId="7e20b0a70b45f19f1f6a4be67364ad98ce0f9aa4">
          <item id="ed766e44b870e5cc7db1852c116f6963bae8a015" isNormal="1">
            <s:text>
              <s:r>
                <s:t xml:space="preserve">Administrator:
3/10 客供亚马逊外箱贴纸 80pcs
</s:t>
              </s:r>
            </s:text>
          </item>
        </commentChain>
      </unresolved>
      <resolved/>
    </commentChains>
    <commentChains s:ref="AI845" rgbClr="FF0000">
      <unresolved>
        <commentChain chainId="17896bd98e8332f2232881a3497cb9964e08ddb5">
          <item id="74e99e73192abed00bc032db1fde527bfcec08dd" isNormal="1">
            <s:text>
              <s:r>
                <s:t xml:space="preserve">Administrator:
1406341 3/14 252pcs
王4c10</s:t>
              </s:r>
            </s:text>
          </item>
        </commentChain>
      </unresolved>
      <resolved/>
    </commentChains>
    <commentChains s:ref="AI846" rgbClr="FF0000">
      <unresolved>
        <commentChain chainId="d9c0d01d88127a5b9ebadc997ac4576b1424764c">
          <item id="2a138846c1b78cd776e7f05e62c79e5005895749" isNormal="1">
            <s:text>
              <s:r>
                <s:t xml:space="preserve">Administrator:
1406334 3/12 168pcs</s:t>
              </s:r>
            </s:text>
          </item>
        </commentChain>
      </unresolved>
      <resolved/>
    </commentChains>
    <commentChains s:ref="AI848" rgbClr="FF0000">
      <unresolved>
        <commentChain chainId="f4e6e8f5ac4cb414b582acfbcf1d3b6b217d222c">
          <item id="0050048ad1c1e0790f6430d36c101267fb674664" isNormal="1">
            <s:text>
              <s:r>
                <s:t xml:space="preserve">Administrator:
1405285 3/16 3360pcs王4c7
1405291 3/17 7560pcs王4c7
1405270 3/17 6840pcs王4c7
1405272 3/18 2240pcs王4c7
1405233 3/23 600pcs庞b栋
1405234 3/23 4400pcs直走
</s:t>
              </s:r>
            </s:text>
          </item>
        </commentChain>
      </unresolved>
      <resolved/>
    </commentChains>
    <commentChains s:ref="AL848" rgbClr="FF0000">
      <unresolved>
        <commentChain chainId="777c38f96e62842a9ac4cf66ba2cd4efa66db247">
          <item id="57e2d5b099da7987f85c92fb9056dc130a75f776" isNormal="1">
            <s:text>
              <s:r>
                <s:t xml:space="preserve">Administrator:
2/5 客供外箱条码贴纸 6313pcs </s:t>
              </s:r>
            </s:text>
          </item>
        </commentChain>
      </unresolved>
      <resolved/>
    </commentChains>
    <commentChains s:ref="AI852" rgbClr="FF0000">
      <unresolved>
        <commentChain chainId="329b3245a17baec87e9572a651b00f5e0ff9ba7b">
          <item id="84ee742e347633d9fa9103ff1e7cbd6d4bf525db" isNormal="1">
            <s:text>
              <s:r>
                <s:t xml:space="preserve">Administrator:
1405238 3/24 4992pcs庞3b15</s:t>
              </s:r>
            </s:text>
          </item>
        </commentChain>
      </unresolved>
      <resolved/>
    </commentChains>
    <commentChains s:ref="AL852" rgbClr="FF0000">
      <unresolved>
        <commentChain chainId="2aad6a90ccb2385bed9755ec6c5d93b9e65f2fa6">
          <item id="d7aab9996fb6d340ecbfd4853085b868c4ba36a1" isNormal="1">
            <s:text>
              <s:r>
                <s:t xml:space="preserve">Administrator:
3/13 客供亚马逊外箱贴纸 416pcs</s:t>
              </s:r>
            </s:text>
          </item>
        </commentChain>
      </unresolved>
      <resolved/>
    </commentChains>
    <commentChains s:ref="AI853" rgbClr="FF0000">
      <unresolved>
        <commentChain chainId="a18628a7a722eea83ce5003f939acb66e16ce799">
          <item id="91bdf2adc798ce30a8d4ac9d12605f36ce8486e4" isNormal="1">
            <s:text>
              <s:r>
                <s:t xml:space="preserve">Administrator:
1406350 3/17 48pcs王4a9</s:t>
              </s:r>
            </s:text>
          </item>
        </commentChain>
      </unresolved>
      <resolved/>
    </commentChains>
    <commentChains s:ref="AL853" rgbClr="FF0000">
      <unresolved>
        <commentChain chainId="f24547553e363eb7b56f3b56f89dd5a295a30aef">
          <item id="2bb0e64b51678954c47c58fb2f929aad077b2cd4" isNormal="1">
            <s:text>
              <s:r>
                <s:t xml:space="preserve">Administrator:
3/2 进口商贴纸 48pcs</s:t>
              </s:r>
            </s:text>
          </item>
        </commentChain>
      </unresolved>
      <resolved/>
    </commentChains>
    <commentChains s:ref="AI854" rgbClr="FF0000">
      <unresolved>
        <commentChain chainId="96e626b39418b1d2d3249e3416cac99138792fb0">
          <item id="a1f6e615d014ee9e6f6d55d7bd80aefce179282b" isNormal="1">
            <s:text>
              <s:r>
                <s:t xml:space="preserve">Administrator:
1406350 3/17 24pcs
4a9
</s:t>
              </s:r>
            </s:text>
          </item>
        </commentChain>
      </unresolved>
      <resolved/>
    </commentChains>
    <commentChains s:ref="AL854" rgbClr="FF0000">
      <unresolved>
        <commentChain chainId="11730ad3dab7d364c367dc8ad15c1290fd289b9d">
          <item id="fddda5f435457dd16a52e8cc188bf64182c17357" isNormal="1">
            <s:text>
              <s:r>
                <s:t xml:space="preserve">Administrator:
3/2 进口商贴纸 24pcs
</s:t>
              </s:r>
            </s:text>
          </item>
        </commentChain>
      </unresolved>
      <resolved/>
    </commentChains>
    <commentChains s:ref="AI855" rgbClr="FF0000">
      <unresolved>
        <commentChain chainId="07037ab354a95d723164be0b76c25c6eed1dc741">
          <item id="14de640f4b533f8a34fb6a873c07d61bda360446" isNormal="1">
            <s:text>
              <s:r>
                <s:t xml:space="preserve">Administrator:
1406350 3/17 24pcs
4a9
</s:t>
              </s:r>
            </s:text>
          </item>
        </commentChain>
      </unresolved>
      <resolved/>
    </commentChains>
    <commentChains s:ref="AL855" rgbClr="FF0000">
      <unresolved>
        <commentChain chainId="8e5734d53ed851cbfe556114247f7ccd395ada61">
          <item id="4ff7a85cd686baa04e6c8edbdcb6e7dbefe3dd11" isNormal="1">
            <s:text>
              <s:r>
                <s:t xml:space="preserve">Administrator:
3/2 进口商贴纸 24pcs
 </s:t>
              </s:r>
            </s:text>
          </item>
        </commentChain>
      </unresolved>
      <resolved/>
    </commentChains>
    <commentChains s:ref="AI856" rgbClr="FF0000">
      <unresolved>
        <commentChain chainId="03e56a7bdc156c06d45d6d0029d1ba0c46faecaa">
          <item id="f2973569797766fc02c0cc28e82d66fcc3c37c08" isNormal="1">
            <s:text>
              <s:r>
                <s:t xml:space="preserve">Administrator:
1406350 3/17 24pcs
4a9
</s:t>
              </s:r>
            </s:text>
          </item>
        </commentChain>
      </unresolved>
      <resolved/>
    </commentChains>
    <commentChains s:ref="AL856" rgbClr="FF0000">
      <unresolved>
        <commentChain chainId="5795c45940c26a9aa58588931bdd7e0b90330a46">
          <item id="1f08bb2aec7112e1bbe395abb0dc9edfd2d7be57" isNormal="1">
            <s:text>
              <s:r>
                <s:t xml:space="preserve">Administrator:
3/2 进口商贴纸 24pcs
</s:t>
              </s:r>
            </s:text>
          </item>
        </commentChain>
      </unresolved>
      <resolved/>
    </commentChains>
    <commentChains s:ref="AL857" rgbClr="FF0000">
      <unresolved>
        <commentChain chainId="e47860e0b20b888100742c422e7fb423b0e3f08b">
          <item id="f66fe741150ca0d5ef75687ba3cfde0756d44b43" isNormal="1">
            <s:text>
              <s:r>
                <s:t xml:space="preserve">Administrator:
1/16 客供价格贴纸 1680pcs
</s:t>
              </s:r>
            </s:text>
          </item>
        </commentChain>
      </unresolved>
      <resolved/>
    </commentChains>
    <commentChains s:ref="AI858" rgbClr="FF0000">
      <unresolved>
        <commentChain chainId="7ca678d697a5580719c3f8ffd17ae66a15e0afa7">
          <item id="2cb8c00ea0f74ada9601cdeaed826b9b1ed23b31" isNormal="1">
            <s:text>
              <s:r>
                <s:t xml:space="preserve">Administrator:
1406352 3/19 1824pcs庞走货</s:t>
              </s:r>
            </s:text>
          </item>
        </commentChain>
      </unresolved>
      <resolved/>
    </commentChains>
    <commentChains s:ref="AL858" rgbClr="FF0000">
      <unresolved>
        <commentChain chainId="8ec2f1a3664945a672a7b9d014d3f02dd2a3561b">
          <item id="e0d4ac40d67d111fb38dfe5a887920d5dd41feb8" isNormal="1">
            <s:text>
              <s:r>
                <s:t xml:space="preserve">Administrator:
3/2 进口商贴纸 1824pcs
UPC贴纸 1824pcs
产品电池门贴纸 1824pcs
说明书 1824pcs
</s:t>
              </s:r>
            </s:text>
          </item>
        </commentChain>
      </unresolved>
      <resolved/>
    </commentChains>
    <commentChains s:ref="AI862" rgbClr="FF0000">
      <unresolved>
        <commentChain chainId="735ed9153a55475eb5e12bab52880093651ee8bd">
          <item id="453e58c1c2135d09717da9214ea9b41fe2f0b53f" isNormal="1">
            <s:text>
              <s:r>
                <s:t xml:space="preserve">Administrator:
1405234 3/23 1008pcs庞3b15
1405238 3/24 12pcs庞3b17
1405238 3/24 1656pcs
庞3b15</s:t>
              </s:r>
            </s:text>
          </item>
        </commentChain>
      </unresolved>
      <resolved/>
    </commentChains>
    <commentChains s:ref="AL862" rgbClr="FF0000">
      <unresolved>
        <commentChain chainId="b044ce16418bdd49ccd1e199266f8de4528cbc91">
          <item id="f6916621f36af9b181dae563164ac71b233f23c9" isNormal="1">
            <s:text>
              <s:r>
                <s:t xml:space="preserve">Administrator:
2/2 亚马逊外箱贴纸 223pcs 
2/5 UPC贴纸 2676pcs
2/5 PDO Kinderherz 2025 Logo共上391pcs
Kinderherz 2025 Logo贴纸 共上3684pcs</s:t>
              </s:r>
            </s:text>
          </item>
        </commentChain>
      </unresolved>
      <resolved/>
    </commentChains>
    <commentChains s:ref="AI863" rgbClr="FF0000">
      <unresolved>
        <commentChain chainId="25e15328e1d6194d0d974952ecdc3f77685ad552">
          <item id="b8bd29e60203c86cfb7415954e4ee03a2b47a375" isNormal="1">
            <s:text>
              <s:r>
                <s:t xml:space="preserve">Administrator:
1405233 3/23 1248pcs
庞3b17
</s:t>
              </s:r>
            </s:text>
          </item>
        </commentChain>
      </unresolved>
      <resolved/>
    </commentChains>
    <commentChains s:ref="AL863" rgbClr="FF0000">
      <unresolved>
        <commentChain chainId="cc5539508fc7d9fb0b05ead72c79b35f008c3f71">
          <item id="f4de1c1ab7d0c96727d63374b338de2c77e87514" isNormal="1">
            <s:text>
              <s:r>
                <s:t xml:space="preserve">Administrator:
2/2 亚马逊外箱贴纸 104pcs 
2/5 UPC贴纸 1248pcs
</s:t>
              </s:r>
            </s:text>
          </item>
        </commentChain>
      </unresolved>
      <resolved/>
    </commentChains>
    <commentChains s:ref="AI864" rgbClr="FF0000">
      <unresolved>
        <commentChain chainId="750a0b8c05b7596102c7d1bd03e2253938681fd2">
          <item id="8d707691d5a341c11cb92141aca7d49fb83244c9" isNormal="1">
            <s:text>
              <s:r>
                <s:t xml:space="preserve">Administrator:
1405233 3/23 996pcs庞3b17
1405238 3/24 120pcs庞3b17</s:t>
              </s:r>
            </s:text>
          </item>
        </commentChain>
      </unresolved>
      <resolved/>
    </commentChains>
    <commentChains s:ref="AL864" rgbClr="FF0000">
      <unresolved>
        <commentChain chainId="03a3799c19055e16a0315af25c6e6c23887064ad">
          <item id="9a0333c9e3173782e9384ba988eaa68f1ef15d60" isNormal="1">
            <s:text>
              <s:r>
                <s:t xml:space="preserve">Administrator:
2/2 亚马逊外箱贴纸 184pcs 
2/5 UPC贴纸 1008pcs
</s:t>
              </s:r>
            </s:text>
          </item>
        </commentChain>
      </unresolved>
      <resolved/>
    </commentChains>
    <commentChains s:ref="AI865" rgbClr="FF0000">
      <unresolved>
        <commentChain chainId="af981c31c503e23d6fbc02136d946000e27b2e55">
          <item id="38bf265762e3f008fe8de4e2a62d1c4a8384388b" isNormal="1">
            <s:text>
              <s:r>
                <s:t xml:space="preserve">Administrator:
1406352 3/19 720pcs
庞登一楼</s:t>
              </s:r>
            </s:text>
          </item>
        </commentChain>
      </unresolved>
      <resolved/>
    </commentChains>
    <commentChains s:ref="AL866" rgbClr="FF0000">
      <unresolved>
        <commentChain chainId="7f7d11ec2668a330e3d9fa216e6761e10c8b8296">
          <item id="5b410399c0526dd67982c492d926a204b8f007f0" isNormal="1">
            <s:text>
              <s:r>
                <s:t xml:space="preserve">Administrator:
3/4 客供芯片码贴纸 5004pcs</s:t>
              </s:r>
            </s:text>
          </item>
        </commentChain>
      </unresolved>
      <resolved/>
    </commentChains>
    <commentChains s:ref="AI867" rgbClr="FF0000">
      <unresolved>
        <commentChain chainId="59e8bf8ee52f5b4d7771e324f5523fe75a6b3eb6">
          <item id="45e74b4ad1a0e9115befa03eec966a976c3337e6" isNormal="1">
            <s:text>
              <s:r>
                <s:t xml:space="preserve">Administrator:
1406321 3/21 640pcs
庞3b12</s:t>
              </s:r>
            </s:text>
          </item>
        </commentChain>
      </unresolved>
      <resolved/>
    </commentChains>
    <commentChains s:ref="AL867" rgbClr="FF0000">
      <unresolved>
        <commentChain chainId="8818e839e5622cbc44b91c85c9278320c305a4c6">
          <item id="423270e1ae318b52cc4ba9464a4cf7e8653ebbe8" isNormal="1">
            <s:text>
              <s:r>
                <s:t xml:space="preserve">Administrator:
3/2 进口商贴纸 1504pcs
3/17 UPC贴纸 640pcs</s:t>
              </s:r>
            </s:text>
          </item>
        </commentChain>
      </unresolved>
      <resolved/>
    </commentChains>
    <commentChains s:ref="AL868" rgbClr="FF0000">
      <unresolved>
        <commentChain chainId="ff5c3156cb81f4a951055806024824388c2b1ad3">
          <item id="95b58fafc4448ee9833464118d99199b580705b0" isNormal="1">
            <s:text>
              <s:r>
                <s:t xml:space="preserve">Administrator:
3/3 客供警语贴 994pcs
客供电池警语贴纸 993pcs
客供中文警告说明书 504pcs
3/4 空白贴纸 960pcs</s:t>
              </s:r>
            </s:text>
          </item>
        </commentChain>
      </unresolved>
      <resolved/>
    </commentChains>
    <commentChains s:ref="AI869" rgbClr="FF0000">
      <unresolved>
        <commentChain chainId="64392000a73d7ed11a1965dbfefa426d83851503">
          <item id="37fc014d4f5f1596ee473eada344cd390c555f9c" isNormal="1">
            <s:text>
              <s:r>
                <s:t xml:space="preserve">Administrator:
1405262 3/20 12600pcs
庞1a4
1405263 3/21 4400pcs庞1a4</s:t>
              </s:r>
            </s:text>
          </item>
        </commentChain>
      </unresolved>
      <resolved/>
    </commentChains>
    <commentChains s:ref="AL869" rgbClr="FF0000">
      <unresolved>
        <commentChain chainId="aafe1217945b5ff2e7d73b05eec7e4d4e8bb6751">
          <item id="1e0623d3fd42f4c1a58e3e5290f22dfeb36029a5" isNormal="1">
            <s:text>
              <s:r>
                <s:t xml:space="preserve">Administrator:
2/26 客供外箱条码贴纸 4293pcs
</s:t>
              </s:r>
            </s:text>
          </item>
        </commentChain>
      </unresolved>
      <resolved/>
    </commentChains>
    <commentChains s:ref="AI870" rgbClr="FF0000">
      <unresolved>
        <commentChain chainId="dce75ab569a331f01bb17f80508e0a8bf91710ae">
          <item id="ae3b5f1d804334f697bc5d0733aee4d25dea32dd" isNormal="1">
            <s:text>
              <s:r>
                <s:t xml:space="preserve">Administrator:
1405250 3/20 2340pcs王4c6</s:t>
              </s:r>
            </s:text>
          </item>
        </commentChain>
      </unresolved>
      <resolved/>
    </commentChains>
    <commentChains s:ref="AI872" rgbClr="FF0000">
      <unresolved>
        <commentChain chainId="4623b045d76160c7ca48693a01c1062d4f013989">
          <item id="ee593ecc0bad5e01bd89aad558e5846337c30b6d" isNormal="1">
            <s:text>
              <s:r>
                <s:t xml:space="preserve">Administrator:
1406322 3/21 2268pcs华兴</s:t>
              </s:r>
            </s:text>
          </item>
        </commentChain>
      </unresolved>
      <resolved/>
    </commentChains>
    <commentChains s:ref="AI873" rgbClr="FF0000">
      <unresolved>
        <commentChain chainId="e03823fbd59badb0167114937417efc08f58e9c6">
          <item id="fc17685d13d1e9da30140729273b3bcb5cefe244" isNormal="1">
            <s:text>
              <s:r>
                <s:t xml:space="preserve">Administrator:
1406352 3/19 704pcs
庞登一楼
</s:t>
              </s:r>
            </s:text>
          </item>
        </commentChain>
      </unresolved>
      <resolved/>
    </commentChains>
    <commentChains s:ref="AI874" rgbClr="FF0000">
      <unresolved>
        <commentChain chainId="f7e04fa4e71541c4140d740d72e721b71c683bbb">
          <item id="d5ffe999872eaa351ffd516c55c0265142a66a85" isNormal="1">
            <s:text>
              <s:r>
                <s:t xml:space="preserve">Administrator:
1406352 3/19 296pcs
庞登一楼
</s:t>
              </s:r>
            </s:text>
          </item>
        </commentChain>
      </unresolved>
      <resolved/>
    </commentChains>
    <commentChains s:ref="AI875" rgbClr="FF0000">
      <unresolved>
        <commentChain chainId="3c48116db5dfd10b4934ee1c57af4b3d2303ad5c">
          <item id="e99b0ffb3d7db0d683fb10432ce764dd4aa83849" isNormal="1">
            <s:text>
              <s:r>
                <s:t xml:space="preserve">Administrator:
1406323 3/23 3948pcs王4c1</s:t>
              </s:r>
            </s:text>
          </item>
        </commentChain>
      </unresolved>
      <resolved/>
    </commentChains>
    <commentChains s:ref="AL875" rgbClr="FF0000">
      <unresolved>
        <commentChain chainId="8237740943f8d3665d9e82e620618d073b0e1f08">
          <item id="9cf076de2648781e276dd9aa36b9a44424c11528" isNormal="1">
            <s:text>
              <s:r>
                <s:t xml:space="preserve">Administrator:
2/5 I 客供外箱贴纸 329pcs
NI 通用客供外箱贴纸 329pcs
3/2 价格贴纸 3948pcs</s:t>
              </s:r>
            </s:text>
          </item>
        </commentChain>
      </unresolved>
      <resolved/>
    </commentChains>
    <commentChains s:ref="AI876" rgbClr="FF0000">
      <unresolved>
        <commentChain chainId="c6b88f248c60d6f51aac7e3febbdca6ebe7e76f8">
          <item id="199ea6ae60789c40d48fb894f7d736fb0892fbde" isNormal="1">
            <s:text>
              <s:r>
                <s:t xml:space="preserve">Administrator:
1406323 3/23 1692pcs
4c1
</s:t>
              </s:r>
            </s:text>
          </item>
        </commentChain>
      </unresolved>
      <resolved/>
    </commentChains>
    <commentChains s:ref="AL876" rgbClr="FF0000">
      <unresolved>
        <commentChain chainId="3bd5137843ec82dd0b4c567d23ef38c3663840b7">
          <item id="99147b6c526112ee083a748428f6cb775dec64e1" isNormal="1">
            <s:text>
              <s:r>
                <s:t xml:space="preserve">Administrator:
2/5 I 客供外箱贴纸 141pcs
NI 通用客供外箱贴纸 141pcs
3/2 价格贴纸  1692pcs
</s:t>
              </s:r>
            </s:text>
          </item>
        </commentChain>
      </unresolved>
      <resolved/>
    </commentChains>
    <commentChains s:ref="AI877" rgbClr="FF0000">
      <unresolved>
        <commentChain chainId="0056998f172324e1a6fa3d0e8f0af0f76ffff2e9">
          <item id="e0a689d22156ef93b76b8ca84520c06f2fe9dd44" isNormal="1">
            <s:text>
              <s:r>
                <s:t xml:space="preserve">Administrator:
1405238 3/24 3360pcs庞3b16
1405218 3/25 10320pcs
庞3a3
1405223 3/25 1320pcs庞3a4</s:t>
              </s:r>
            </s:text>
          </item>
        </commentChain>
      </unresolved>
      <resolved/>
    </commentChains>
    <commentChains s:ref="AL877" rgbClr="FF0000">
      <unresolved>
        <commentChain chainId="68fddba7a55263afc1ea02bfee6a882cb7607e7d">
          <item id="4c9bfa5ae3eb04e62c4b688b62d9a9453ff069c5" isNormal="1">
            <s:text>
              <s:r>
                <s:t xml:space="preserve">Administrator:
2/5 客供外箱条码贴纸 3788pcs 
</s:t>
              </s:r>
            </s:text>
          </item>
        </commentChain>
      </unresolved>
      <resolved/>
    </commentChains>
    <commentChains s:ref="AI878" rgbClr="FF0000">
      <unresolved>
        <commentChain chainId="5fe0c06a0a555d50130d9da4582535f847f32094">
          <item id="25ee710329a72e32056a45f08dbb868a497342b1" isNormal="1">
            <s:text>
              <s:r>
                <s:t xml:space="preserve">Administrator:
1405207 3/27 300pcs
王4b9</s:t>
              </s:r>
            </s:text>
          </item>
        </commentChain>
      </unresolved>
      <resolved/>
    </commentChains>
    <commentChains s:ref="AL878" rgbClr="FF0000">
      <unresolved>
        <commentChain chainId="36d547df0f16b4705f171f0a4fccba4ef0ed6764">
          <item id="006eaa55b456d09e754cdcdaf55b5fe149172da7" isNormal="1">
            <s:text>
              <s:r>
                <s:t xml:space="preserve">Administrator:
3/9 大语警告语贴 300PCS
小语警告语贴 2100PCS
丹麦瑞典芬兰挪威警告语 300PCS
</s:t>
              </s:r>
            </s:text>
          </item>
        </commentChain>
      </unresolved>
      <resolved/>
    </commentChains>
    <commentChains s:ref="AI879" rgbClr="FF0000">
      <unresolved>
        <commentChain chainId="5de5d847f7d11dfef9992f04613e5925bdf34568">
          <item id="10337efaeb2a66bbfc2058bc2ae8f1dea3c418b1" isNormal="1">
            <s:text>
              <s:r>
                <s:t xml:space="preserve">Administrator:
1405207 3/27 3600pcs
王4a8</s:t>
              </s:r>
            </s:text>
          </item>
        </commentChain>
      </unresolved>
      <resolved/>
    </commentChains>
    <commentChains s:ref="AL879" rgbClr="FF0000">
      <unresolved>
        <commentChain chainId="e587334043b4fc7d29f10d75aaa6fe8eac55e4fb">
          <item id="b97075b7597fb54a86cefe0dbc219d8a7f287b33" isNormal="1">
            <s:text>
              <s:r>
                <s:t xml:space="preserve">Administrator:
3/4 客供防窜码贴纸1拖6 630pcs
3/6 3C中文贴纸 3600pcs</s:t>
              </s:r>
            </s:text>
          </item>
        </commentChain>
      </unresolved>
      <resolved/>
    </commentChains>
    <commentChains s:ref="AI880" rgbClr="FF0000">
      <unresolved>
        <commentChain chainId="c56769c361272153a33bb4aa6a5b76df02878bce">
          <item id="afc5353d845ea53ee7bdd4bd03ea05f01c695d69" isNormal="1">
            <s:text>
              <s:r>
                <s:t xml:space="preserve">Administrator:
1405207 3/27 792pcs
王4b10
1405445 3/30 12pcs庞b栋</s:t>
              </s:r>
            </s:text>
          </item>
        </commentChain>
      </unresolved>
      <resolved/>
    </commentChains>
    <commentChains s:ref="AL880" rgbClr="FF0000">
      <unresolved>
        <commentChain chainId="09717b15c779cf79f84ca14eef44507cd20b223b">
          <item id="65e0e7adf53b58a65e17ad4a40fb64a1c7880526" isNormal="1">
            <s:text>
              <s:r>
                <s:t xml:space="preserve">Administrator:
3/10 客供价格贴纸 885pcs
</s:t>
              </s:r>
            </s:text>
          </item>
        </commentChain>
      </unresolved>
      <resolved/>
    </commentChains>
    <commentChains s:ref="AI881" rgbClr="FF0000">
      <unresolved>
        <commentChain chainId="94d080d38a32e3477ec3307eeeffa0345ed4db75">
          <item id="f182616485aabcde3bca4b1fd4dc907bfabf624b" isNormal="1">
            <s:text>
              <s:r>
                <s:t xml:space="preserve">Administrator:
1405207 3/27 996pcs
王4b10</s:t>
              </s:r>
            </s:text>
          </item>
        </commentChain>
      </unresolved>
      <resolved/>
    </commentChains>
    <commentChains s:ref="AL881" rgbClr="FF0000">
      <unresolved>
        <commentChain chainId="d25ff869bb0a0a9e4e116b2222cd95dd6e906c92">
          <item id="7c1bcd5bb7593746ba78325179b8d2ce15397962" isNormal="1">
            <s:text>
              <s:r>
                <s:t xml:space="preserve">Administrator:
3/10 客供价格贴纸 11096pcs
</s:t>
              </s:r>
            </s:text>
          </item>
        </commentChain>
      </unresolved>
      <resolved/>
    </commentChains>
    <commentChains s:ref="AL882" rgbClr="FF0000">
      <unresolved>
        <commentChain chainId="db7ff1071a5894c81506bee0ccb91f7372c627ef">
          <item id="5d0e0affa5b1759e37edf60138585415dc47126b" isNormal="1">
            <s:text>
              <s:r>
                <s:t xml:space="preserve">Administrator:
3/4 客供芯片码贴纸 1200pcs</s:t>
              </s:r>
            </s:text>
          </item>
        </commentChain>
      </unresolved>
      <resolved/>
    </commentChains>
    <commentChains s:ref="AL883" rgbClr="FF0000">
      <unresolved>
        <commentChain chainId="787461f0001c11178a9192a28c2ed1e1acacfe96">
          <item id="f18ab46366996e37403b9e33740b7bed03cc86ca" isNormal="1">
            <s:text>
              <s:r>
                <s:t xml:space="preserve">Administrator:
3/4 客供芯片码贴纸 3000pcs
</s:t>
              </s:r>
            </s:text>
          </item>
        </commentChain>
      </unresolved>
      <resolved/>
    </commentChains>
    <commentChains s:ref="AI884" rgbClr="FF0000">
      <unresolved>
        <commentChain chainId="0b6c358801c6c57b1e851602b7f966b70d48d0c3">
          <item id="d1a8028491aa23c03aeecaf8720fc0e99d7f8173" isNormal="1">
            <s:text>
              <s:r>
                <s:t xml:space="preserve">Administrator:
1406250 3/31 200pcs
</s:t>
              </s:r>
            </s:text>
          </item>
        </commentChain>
      </unresolved>
      <resolved/>
    </commentChains>
    <commentChains s:ref="AL885" rgbClr="FF0000">
      <unresolved>
        <commentChain chainId="55bc815bfb35b41eab0e5da811a06e8f30641e97">
          <item id="6a41b3e4f0cbd765ffb50fa428dcf05d7f8cc616" isNormal="1">
            <s:text>
              <s:r>
                <s:t xml:space="preserve">Administrator:
3/4 客供芯片码贴纸 13860pcs
</s:t>
              </s:r>
            </s:text>
          </item>
        </commentChain>
      </unresolved>
      <resolved/>
    </commentChains>
    <commentChains s:ref="AL886" rgbClr="FF0000">
      <unresolved>
        <commentChain chainId="b84a792511e750b433a25da0a445023d1bdda751">
          <item id="81c4e4bad9bd74d0b8002b095a23fb939307031e" isNormal="1">
            <s:text>
              <s:r>
                <s:t xml:space="preserve">Administrator:
3/4 客供芯片码贴纸 800pcs
</s:t>
              </s:r>
            </s:text>
          </item>
        </commentChain>
      </unresolved>
      <resolved/>
    </commentChains>
    <commentChains s:ref="AI887" rgbClr="FF0000">
      <unresolved>
        <commentChain chainId="f73bcfe10ecc3aedb3b64528c03d8553ee7e6ad3">
          <item id="7988413b0665840db790b5643ea5bad2085db245" isNormal="1">
            <s:text>
              <s:r>
                <s:t xml:space="preserve">Administrator:
1406374 3/5 2000pcs
王4b10</s:t>
              </s:r>
            </s:text>
          </item>
        </commentChain>
      </unresolved>
      <resolved/>
    </commentChains>
    <commentChains s:ref="AL887" rgbClr="FF0000">
      <unresolved>
        <commentChain chainId="51e10dbb9a90aee85e28946440175c88f1d29fd4">
          <item id="01e26fbadf90acf7d3490a406b7267ca43348f4c" isNormal="1">
            <s:text>
              <s:r>
                <s:t xml:space="preserve">Administrator:
2/2 PDQ条码贴纸 500pcs
 </s:t>
              </s:r>
            </s:text>
          </item>
        </commentChain>
      </unresolved>
      <resolved/>
    </commentChains>
    <commentChains s:ref="AI888" rgbClr="FF0000">
      <unresolved>
        <commentChain chainId="a8c463b792dddcef7fa89eb2ba899c630325135d">
          <item id="31ef94d4e8e5fb7e0e49905f8334da84b631c546" isNormal="1">
            <s:text>
              <s:r>
                <s:t xml:space="preserve">Administrator:
1406250 3/31 2280pcs新b3
1406293 4/1 500pcs
1406253 4/1 500pcs张b3</s:t>
              </s:r>
            </s:text>
          </item>
        </commentChain>
      </unresolved>
      <resolved/>
    </commentChains>
    <commentChains s:ref="AL888" rgbClr="FF0000">
      <unresolved>
        <commentChain chainId="616db5072182e44e892f8fbeb36858f38d333b93">
          <item id="85b47c9f688ffbc1695832cd0b5f15056ef756dc" isNormal="1">
            <s:text>
              <s:r>
                <s:t xml:space="preserve">Administrator:
3/23 客供外箱条码贴纸 854pcs</s:t>
              </s:r>
            </s:text>
          </item>
        </commentChain>
      </unresolved>
      <resolved/>
    </commentChains>
    <commentChains s:ref="AI889" rgbClr="FF0000">
      <unresolved>
        <commentChain chainId="000a11d27f60a45bec472513e58c8b57c8222e3b">
          <item id="a73f59e6988e05c7344c9c6b75f4460eb640b4e4" isNormal="1">
            <s:text>
              <s:r>
                <s:t xml:space="preserve">Administrator:
1405398 4/2 1400pcs
新仓a4</s:t>
              </s:r>
            </s:text>
          </item>
        </commentChain>
      </unresolved>
      <resolved/>
    </commentChains>
    <commentChains s:ref="AL889" rgbClr="FF0000">
      <unresolved>
        <commentChain chainId="3136dbd65bd762c621a3f4f91148b4a408d061d4">
          <item id="e2a3ec88a2ea91094f2b3e968783f6a0ff543963" isNormal="1">
            <s:text>
              <s:r>
                <s:t xml:space="preserve">Administrator:
3/23 UPC贴纸 1400pcs</s:t>
              </s:r>
            </s:text>
          </item>
        </commentChain>
      </unresolved>
      <resolved/>
    </commentChains>
    <commentChains s:ref="AI890" rgbClr="FF0000">
      <unresolved>
        <commentChain chainId="8642a86fb41cfed6d0e952e97a15f34473377488">
          <item id="c6e43ec9b1cacdf4ed4f83540efde045eeb5970e" isNormal="1">
            <s:text>
              <s:r>
                <s:t xml:space="preserve">Administrator:
1405398 4/2 960pcs
新仓b2
</s:t>
              </s:r>
            </s:text>
          </item>
        </commentChain>
      </unresolved>
      <resolved/>
    </commentChains>
    <commentChains s:ref="AL890" rgbClr="FF0000">
      <unresolved>
        <commentChain chainId="69f9716992965cca7bd9625e682255fa23055780">
          <item id="3221c8b33875cb42fee6f13f10d18cd5f0600586" isNormal="1">
            <s:text>
              <s:r>
                <s:t xml:space="preserve">Administrator:
3/16 客供价格贴纸 160pcs
3/23 外箱贴纸 960pcs</s:t>
              </s:r>
            </s:text>
          </item>
        </commentChain>
      </unresolved>
      <resolved/>
    </commentChains>
    <commentChains s:ref="AI891" rgbClr="FF0000">
      <unresolved>
        <commentChain chainId="dcfb813bbbfdca08536e442c6de51c7f22a44299">
          <item id="10e605f9cdb16d694f791ce747fc7914e80ff036" isNormal="1">
            <s:text>
              <s:r>
                <s:t xml:space="preserve">Administrator:
1405398 4/2 960pcs
新仓b2</s:t>
              </s:r>
            </s:text>
          </item>
        </commentChain>
      </unresolved>
      <resolved/>
    </commentChains>
    <commentChains s:ref="AL891" rgbClr="FF0000">
      <unresolved>
        <commentChain chainId="41c4aa1739106ec946a884699a78a472e47033e8">
          <item id="f90d708c8a98a5e2c956338a7e6cbfcc6a30e278" isNormal="1">
            <s:text>
              <s:r>
                <s:t xml:space="preserve">Administrator:
3/16 客供价格贴纸 160pcs
3/23 外箱贴纸 960pcs
</s:t>
              </s:r>
            </s:text>
          </item>
        </commentChain>
      </unresolved>
      <resolved/>
    </commentChains>
    <commentChains s:ref="AI892" rgbClr="FF0000">
      <unresolved>
        <commentChain chainId="99ce8b5266be138a110a01ebafc8cf8bac486e09">
          <item id="d846f53a054668e1cfea7b6c3a166a0f119146d8" isNormal="1">
            <s:text>
              <s:r>
                <s:t xml:space="preserve">Administrator:
1405398 4/2 120pcs张新仓a3</s:t>
              </s:r>
            </s:text>
          </item>
        </commentChain>
      </unresolved>
      <resolved/>
    </commentChains>
    <commentChains s:ref="AL892" rgbClr="FF0000">
      <unresolved>
        <commentChain chainId="48c43505fcd5722ac03d8819bdc41db447b793f3">
          <item id="fe227f2d1a10b8c09b9af47c7fb69a97d8d70aa9" isNormal="1">
            <s:text>
              <s:r>
                <s:t xml:space="preserve">Administrator:
3/20 UPC贴纸 120opcs</s:t>
              </s:r>
            </s:text>
          </item>
        </commentChain>
      </unresolved>
      <resolved/>
    </commentChains>
    <commentChains s:ref="AI895" rgbClr="FF0000">
      <unresolved>
        <commentChain chainId="2a1448256ee8ea287a1dff579f33f21b3f8908e2">
          <item id="73d6ded189ffddd4fd7692ca821b48d869dba6ff" isNormal="1">
            <s:text>
              <s:r>
                <s:t xml:space="preserve">Administrator:
1405378 4/7 1200pcs
庞登1楼</s:t>
              </s:r>
            </s:text>
          </item>
        </commentChain>
      </unresolved>
      <resolved/>
    </commentChains>
    <commentChains s:ref="AL895" rgbClr="FF0000">
      <unresolved>
        <commentChain chainId="5289827d2eb74bbc7ef1fb34bfe0d72d7af26583">
          <item id="bb3b710bb5ee97c468cb11753250e8da9422d69a" isNormal="1">
            <s:text>
              <s:r>
                <s:t xml:space="preserve">Administrator:
3/23 进口商贴纸 1200pcs
空白贴纸 1200pcs</s:t>
              </s:r>
            </s:text>
          </item>
        </commentChain>
      </unresolved>
      <resolved/>
    </commentChains>
    <commentChains s:ref="AI896" rgbClr="FF0000">
      <unresolved>
        <commentChain chainId="959c7ff3937d0c42bb44de6976a11d589fd07542">
          <item id="bba3d4e78e1060aaba65cbd067557be962fb4c97" isNormal="1">
            <s:text>
              <s:r>
                <s:t xml:space="preserve">Administrator:
1406262 4/2 480pcs 张新a2
张a21406269 4/3 32pcs</s:t>
              </s:r>
            </s:text>
          </item>
        </commentChain>
      </unresolved>
      <resolved/>
    </commentChains>
    <commentChains s:ref="AI897" rgbClr="FF0000">
      <unresolved>
        <commentChain chainId="3c9dcf4f52f9c9255c8b71d999b5c8252a9829fd">
          <item id="52b8b598f674f074b1a13d85126909ede5aec8fe" isNormal="1">
            <s:text>
              <s:r>
                <s:t xml:space="preserve">Administrator:
1406276 4/7 288pcs庞登1楼
</s:t>
              </s:r>
            </s:text>
          </item>
        </commentChain>
      </unresolved>
      <resolved/>
    </commentChains>
    <commentChains s:ref="AL897" rgbClr="FF0000">
      <unresolved>
        <commentChain chainId="b260db640d720bfae2c5d44e0eabf6488698e86e">
          <item id="cd218dccd7619d0106f5f22fe1b87292c5dc1bc9" isNormal="1">
            <s:text>
              <s:r>
                <s:t xml:space="preserve">Administrator:
3/18 警语贴纸 288pcs</s:t>
              </s:r>
            </s:text>
          </item>
        </commentChain>
      </unresolved>
      <resolved/>
    </commentChains>
    <commentChains s:ref="AI898" rgbClr="FF0000">
      <unresolved>
        <commentChain chainId="a6add517331b16d418a39b6dfe319df1470cc9e2">
          <item id="38c161a11c1e7ba94654abcea5865ee28c135bfe" isNormal="1">
            <s:text>
              <s:r>
                <s:t xml:space="preserve">Administrator:
1406262 4/2 996pcs
张b2</s:t>
              </s:r>
            </s:text>
          </item>
        </commentChain>
      </unresolved>
      <resolved/>
    </commentChains>
    <commentChains s:ref="AL898" rgbClr="FF0000">
      <unresolved>
        <commentChain chainId="f0e246fd1977bc6f7168b5a138f8be113ac7ad40">
          <item id="cab51e13a9780ed6018f5f728bb1444f4727d931" isNormal="1">
            <s:text>
              <s:r>
                <s:t xml:space="preserve">Administrator:
3/10 客供价格贴纸 1096pcs
</s:t>
              </s:r>
            </s:text>
          </item>
        </commentChain>
      </unresolved>
      <resolved/>
    </commentChains>
    <commentChains s:ref="AI899" rgbClr="FF0000">
      <unresolved>
        <commentChain chainId="fbbfe8d222a4546495ac36de5a7d8c5ba2ea3188">
          <item id="7bc531adbca708f6a8173cc22cfec7cceb4837c0" isNormal="1">
            <s:text>
              <s:r>
                <s:t xml:space="preserve">Administrator:
1406262 4/2 1200pcs张a3</s:t>
              </s:r>
            </s:text>
          </item>
        </commentChain>
      </unresolved>
      <resolved/>
    </commentChains>
    <commentChains s:ref="AL899" rgbClr="FF0000">
      <unresolved>
        <commentChain chainId="359f4c4402beba277185bd5714fc3215aed925db">
          <item id="3750e098b700c5747391d1a083cafb1d641ffe29" isNormal="1">
            <s:text>
              <s:r>
                <s:t xml:space="preserve">Administrator:
3/10 客供价格贴纸 1320pcs
</s:t>
              </s:r>
            </s:text>
          </item>
        </commentChain>
      </unresolved>
      <resolved/>
    </commentChains>
    <commentChains s:ref="AI900" rgbClr="FF0000">
      <unresolved>
        <commentChain chainId="eac7fe6b64ca365798e633d9ec8bbaa7c6bc412d">
          <item id="540d8af4302030466d9db0359d8d5d2c66c7aa29" isNormal="1">
            <s:text>
              <s:r>
                <s:t xml:space="preserve">Administrator:
1406262 4/2 60pcs张b2</s:t>
              </s:r>
            </s:text>
          </item>
        </commentChain>
      </unresolved>
      <resolved/>
    </commentChains>
    <commentChains s:ref="AL900" rgbClr="FF0000">
      <unresolved>
        <commentChain chainId="2aacbba8bb79f669620a40d531fd14f514b6f867">
          <item id="19a6c83a6089b15789024bc1d34ae0df1b56cc18" isNormal="1">
            <s:text>
              <s:r>
                <s:t xml:space="preserve">Administrator:
3/16 同po共上768pcsUPC贴纸
3/18 客供亚马逊外箱贴纸 5pcs</s:t>
              </s:r>
            </s:text>
          </item>
        </commentChain>
      </unresolved>
      <resolved/>
    </commentChains>
    <commentChains s:ref="AI901" rgbClr="FF0000">
      <unresolved>
        <commentChain chainId="3299d98bf62d3f0d131a7b2544c9c14c965a5f90">
          <item id="e1b567b81eb34dd620641b31df7f4425861f75da" isNormal="1">
            <s:text>
              <s:r>
                <s:t xml:space="preserve">Administrator:
1406263 4/2 48pcs张b2</s:t>
              </s:r>
            </s:text>
          </item>
        </commentChain>
      </unresolved>
      <resolved/>
    </commentChains>
    <commentChains s:ref="AL901" rgbClr="FF0000">
      <unresolved>
        <commentChain chainId="8813a6203ef72ea3c3cd890eaca0e9086931c940">
          <item id="6d590fad5e55e9adcceaa6f8a5d855fc39034a6e" isNormal="1">
            <s:text>
              <s:r>
                <s:t xml:space="preserve">Administrator:
3/18 客供亚马逊外箱贴纸 4pcs
</s:t>
              </s:r>
            </s:text>
          </item>
        </commentChain>
      </unresolved>
      <resolved/>
    </commentChains>
    <commentChains s:ref="AI902" rgbClr="FF0000">
      <unresolved>
        <commentChain chainId="6fc6ec35a05d7d07c9a63ec5852e323b03752ad3">
          <item id="a80e1253f090d9e903bb58ae0283cf2e3bceb414" isNormal="1">
            <s:text>
              <s:r>
                <s:t xml:space="preserve">Administrator:
1406262 4/2 216pcs
张b2</s:t>
              </s:r>
            </s:text>
          </item>
        </commentChain>
      </unresolved>
      <resolved/>
    </commentChains>
    <commentChains s:ref="AL902" rgbClr="FF0000">
      <unresolved>
        <commentChain chainId="6ebcdffb7d9f62e17d8845a122d364e0f01acea2">
          <item id="491e0597256d688b3f1d514bfc8e42d7a63766ff" isNormal="1">
            <s:text>
              <s:r>
                <s:t xml:space="preserve">Administrator:
3/18 客供亚马逊外箱贴纸 18pcs
</s:t>
              </s:r>
            </s:text>
          </item>
        </commentChain>
      </unresolved>
      <resolved/>
    </commentChains>
    <commentChains s:ref="AI903" rgbClr="FF0000">
      <unresolved>
        <commentChain chainId="946adc12448dc7e4c6dbb832f343e086fb339376">
          <item id="18ff7a73dfb0b754378e6b29cec6fe9f680b339c" isNormal="1">
            <s:text>
              <s:r>
                <s:t xml:space="preserve">Administrator:
1406262 4/2 48pcs
张b2
</s:t>
              </s:r>
            </s:text>
          </item>
        </commentChain>
      </unresolved>
      <resolved/>
    </commentChains>
    <commentChains s:ref="AL903" rgbClr="FF0000">
      <unresolved>
        <commentChain chainId="679d397c2ff3e7afb8c04bfb8679d46e08766e95">
          <item id="ab34b9c8e5f74f34380f005d96f8b935d9f3c45f" isNormal="1">
            <s:text>
              <s:r>
                <s:t xml:space="preserve">Administrator:
3/18 客供亚马逊外箱贴纸 4pcs
</s:t>
              </s:r>
            </s:text>
          </item>
        </commentChain>
      </unresolved>
      <resolved/>
    </commentChains>
    <commentChains s:ref="AI904" rgbClr="FF0000">
      <unresolved>
        <commentChain chainId="f7086fd54ed4178e4ce1969441a809abe320a3d6">
          <item id="6e9143ca1a6aa91b04e1108337769f0c6c07d333" isNormal="1">
            <s:text>
              <s:r>
                <s:t xml:space="preserve">Administrator:
1406263 4/2 72pcs
张b2
</s:t>
              </s:r>
            </s:text>
          </item>
        </commentChain>
      </unresolved>
      <resolved/>
    </commentChains>
    <commentChains s:ref="AL904" rgbClr="FF0000">
      <unresolved>
        <commentChain chainId="93b7f5e3f90898cb5266774be1586005a75bda9e">
          <item id="08b4923e86cadb328631c2984d4273688f9471f8" isNormal="1">
            <s:text>
              <s:r>
                <s:t xml:space="preserve">Administrator:
3/18 客供亚马逊外箱贴纸 6pcs
</s:t>
              </s:r>
            </s:text>
          </item>
        </commentChain>
      </unresolved>
      <resolved/>
    </commentChains>
    <commentChains s:ref="AI905" rgbClr="FF0000">
      <unresolved>
        <commentChain chainId="b06778d39dc371ab6ad7910953a2cf3e5153d0f4">
          <item id="8d92d46bc80fbb1c4e831bb2b8239d62da2afef7" isNormal="1">
            <s:text>
              <s:r>
                <s:t xml:space="preserve">Administrator:
1406263 4/2 60pcs
张b2
</s:t>
              </s:r>
            </s:text>
          </item>
        </commentChain>
      </unresolved>
      <resolved/>
    </commentChains>
    <commentChains s:ref="AL905" rgbClr="FF0000">
      <unresolved>
        <commentChain chainId="a8202e59af6e059b63992b6a4eb1cff9cb8a0fc8">
          <item id="40785acb5c970d274b6b03f6c42a8294d597a13b" isNormal="1">
            <s:text>
              <s:r>
                <s:t xml:space="preserve">Administrator:
3/18 客供亚马逊外箱贴纸 5pcs
</s:t>
              </s:r>
            </s:text>
          </item>
        </commentChain>
      </unresolved>
      <resolved/>
    </commentChains>
    <commentChains s:ref="AI906" rgbClr="FF0000">
      <unresolved>
        <commentChain chainId="ce51328c494edbb51507b037aa252af485456446">
          <item id="1e589a58addac64f21d1cc68dd3d8015467c73b1" isNormal="1">
            <s:text>
              <s:r>
                <s:t xml:space="preserve">Administrator:
1406263 4/2 84pcs
张b2
</s:t>
              </s:r>
            </s:text>
          </item>
        </commentChain>
      </unresolved>
      <resolved/>
    </commentChains>
    <commentChains s:ref="AL906" rgbClr="FF0000">
      <unresolved>
        <commentChain chainId="7bc462e6a497b300e5b3187d0233491177ced113">
          <item id="6e2f61afad8f8e3f2da3cb7e6b66bc028225329a" isNormal="1">
            <s:text>
              <s:r>
                <s:t xml:space="preserve">Administrator:
3/18 客供亚马逊外箱贴纸 7pcs
</s:t>
              </s:r>
            </s:text>
          </item>
        </commentChain>
      </unresolved>
      <resolved/>
    </commentChains>
    <commentChains s:ref="AI907" rgbClr="FF0000">
      <unresolved>
        <commentChain chainId="5b31312b6b3f351c4ef832cafd50bc52e64abf31">
          <item id="2e231cec930bebdafb09fddfd7978f3004346137" isNormal="1">
            <s:text>
              <s:r>
                <s:t xml:space="preserve">Administrator:
1406263 4/2 60pcs
张b2
</s:t>
              </s:r>
            </s:text>
          </item>
        </commentChain>
      </unresolved>
      <resolved/>
    </commentChains>
    <commentChains s:ref="AL907" rgbClr="FF0000">
      <unresolved>
        <commentChain chainId="022cd25ee65ea294b25c585906cafb1482d4c667">
          <item id="ce06a7fe2bb457a2c569d4dbbca1de813eeb6a28" isNormal="1">
            <s:text>
              <s:r>
                <s:t xml:space="preserve">Administrator:
3/18 客供亚马逊外箱贴纸 5pcs
</s:t>
              </s:r>
            </s:text>
          </item>
        </commentChain>
      </unresolved>
      <resolved/>
    </commentChains>
    <commentChains s:ref="AI908" rgbClr="FF0000">
      <unresolved>
        <commentChain chainId="6e51a15085a7e43352472c4a0fb1fa6c2cc50fda">
          <item id="c98628b01cdc55d54eca99e713df5a8e6ac7662c" isNormal="1">
            <s:text>
              <s:r>
                <s:t xml:space="preserve">Administrator:
1406263 4/2 120pcs
张b2
</s:t>
              </s:r>
            </s:text>
          </item>
        </commentChain>
      </unresolved>
      <resolved/>
    </commentChains>
    <commentChains s:ref="AL908" rgbClr="FF0000">
      <unresolved>
        <commentChain chainId="f8ba071c2bf0c2a6ad74029ca7789680545e9a24">
          <item id="9c7cde2b620e8a5063fca2d1f642e2b9f003301b" isNormal="1">
            <s:text>
              <s:r>
                <s:t xml:space="preserve">Administrator:
3/18 客供亚马逊外箱贴纸 10pcs
</s:t>
              </s:r>
            </s:text>
          </item>
        </commentChain>
      </unresolved>
      <resolved/>
    </commentChains>
    <commentChains s:ref="AI909" rgbClr="FF0000">
      <unresolved>
        <commentChain chainId="5522a068d92aadc76a37d9dee8d3276a85df20f0">
          <item id="a10f6215a5aff3472904a9b8aa105e16d930fc85" isNormal="1">
            <s:text>
              <s:r>
                <s:t xml:space="preserve">Administrator:
1405378 4/7 2364pcs庞登1楼
1405413 4/8 36pcs 庞登1楼
</s:t>
              </s:r>
            </s:text>
          </item>
        </commentChain>
      </unresolved>
      <resolved/>
    </commentChains>
    <commentChains s:ref="AL909" rgbClr="FF0000">
      <unresolved>
        <commentChain chainId="b41e191afd3d989f56eb1c5b5464545ec533c80f">
          <item id="8462b32e5d1fd3efcfb8e5f4e49ced18ec3998e5" isNormal="1">
            <s:text>
              <s:r>
                <s:t xml:space="preserve">Administrator:
3/24 多语折叠警告语贴纸 2400pcs
3/27 Kinderherz 2025 2400pcs
地址贴纸 2400pcs</s:t>
              </s:r>
            </s:text>
          </item>
        </commentChain>
      </unresolved>
      <resolved/>
    </commentChains>
    <commentChains s:ref="AI910" rgbClr="FF0000">
      <unresolved>
        <commentChain chainId="9612baf4643fa93f05abc48d328e21a8c585b66b">
          <item id="f87e73996c0500b52eae08a17f6389e7ea5c68f6" isNormal="1">
            <s:text>
              <s:r>
                <s:t xml:space="preserve">Administrator:
1405386 4/3 1500pcs张b6</s:t>
              </s:r>
            </s:text>
          </item>
        </commentChain>
      </unresolved>
      <resolved/>
    </commentChains>
    <commentChains s:ref="AL910" rgbClr="FF0000">
      <unresolved>
        <commentChain chainId="e8ae4938b8ac595e799930826cb77a84d874d227">
          <item id="233e2fb15744f6fad832c526df3342e0235120dc" isNormal="1">
            <s:text>
              <s:r>
                <s:t xml:space="preserve">Administrator:
3/25 賽人自色Cat.label 1500pcs</s:t>
              </s:r>
            </s:text>
          </item>
        </commentChain>
      </unresolved>
      <resolved/>
    </commentChains>
    <commentChains s:ref="AI911" rgbClr="FF0000">
      <unresolved>
        <commentChain chainId="a29e33fba146388368c31a2c7c7216c89be5a80d">
          <item id="a25f4c99b7960354badd8685ce1ae073b7201560" isNormal="1">
            <s:text>
              <s:r>
                <s:t xml:space="preserve">Administrator:
1405342 4/10 1000pcs
庞3b8</s:t>
              </s:r>
            </s:text>
          </item>
        </commentChain>
      </unresolved>
      <resolved/>
    </commentChains>
    <commentChains s:ref="AL911" rgbClr="FF0000">
      <unresolved>
        <commentChain chainId="ebe39f03e8344bbe082e05a7dfc2a985a0a6f87c">
          <item id="2504afd84c7911e7554b073773c4c886a51d7493" isNormal="1">
            <s:text>
              <s:r>
                <s:t xml:space="preserve">Administrator:
3/9 Kinderherz 2025 Logo 1000PCS
</s:t>
              </s:r>
            </s:text>
          </item>
        </commentChain>
      </unresolved>
      <resolved/>
    </commentChains>
    <commentChains s:ref="BN912" rgbClr="FF0000">
      <unresolved>
        <commentChain chainId="947399949e134b055fe1956fb746bdb9950caba8">
          <item id="852a16f36b2aceb012f0d84a045239a222aef47c" isNormal="1">
            <s:text>
              <s:r>
                <s:t xml:space="preserve">RR:
新客版资料</s:t>
              </s:r>
            </s:text>
          </item>
        </commentChain>
      </unresolved>
      <resolved/>
    </commentChains>
    <commentChains s:ref="AI913" rgbClr="FF0000">
      <unresolved>
        <commentChain chainId="5aa308d1cfb6d8d1b50acfb07d195c51a0d52772">
          <item id="39a0bacff5a19914d88b29e57357aef2382a7e15" isNormal="1">
            <s:text>
              <s:r>
                <s:t xml:space="preserve">Administrator:
1405973 4/10 5004pcs
</s:t>
              </s:r>
            </s:text>
          </item>
        </commentChain>
      </unresolved>
      <resolved/>
    </commentChains>
    <commentChains s:ref="AL913" rgbClr="FF0000">
      <unresolved>
        <commentChain chainId="20fc1f62c16968ea12fdeec134b39b3b85435b5f">
          <item id="66ecf2c90dda947dacad7bae58335332ddfa9086" isNormal="1">
            <s:text>
              <s:r>
                <s:t xml:space="preserve">Administrator:
3/20 包装贴纸 5004pcs
说明书贴 5004pcs
UPC贴纸 5004pcs
3/28 保证书 5004pcs 
3/30 客供价标贴纸 5035pcs</s:t>
              </s:r>
            </s:text>
          </item>
        </commentChain>
      </unresolved>
      <resolved/>
    </commentChains>
    <commentChains s:ref="AI915" rgbClr="FF0000">
      <unresolved>
        <commentChain chainId="906b09179264142ea3e3b54e9aa9046d4ffc7bfc">
          <item id="b8de21708331e301ff39db57443df735b6b55db5" isNormal="1">
            <s:text>
              <s:r>
                <s:t xml:space="preserve">Administrator:
1405413 4/8 4920pcs庞3a8
1405421 4/8 8560pcs庞3b28
1405421 4/8 8560pcs 庞3a28</s:t>
              </s:r>
            </s:text>
          </item>
        </commentChain>
      </unresolved>
      <resolved/>
    </commentChains>
    <commentChains s:ref="AL915" rgbClr="FF0000">
      <unresolved>
        <commentChain chainId="d6c7227aa32c44d67bba149a8f1868b54d846c61">
          <item id="3175e6d2b06bbd7afb205e7647ead21d625cdc99" isNormal="1">
            <s:text>
              <s:r>
                <s:t xml:space="preserve">Administrator:
3/28 客供外箱条码贴纸 5555pcs</s:t>
              </s:r>
            </s:text>
          </item>
        </commentChain>
      </unresolved>
      <resolved/>
    </commentChains>
    <commentChains s:ref="AI918" rgbClr="FF0000">
      <unresolved>
        <commentChain chainId="6bc34ff7037d24b4c5d1724c3b679f8eceb34c7d">
          <item id="4f6a7b4d0ddce1351bf29a946459b76483b98c0e" isNormal="1">
            <s:text>
              <s:r>
                <s:t xml:space="preserve">Administrator:
1405935 4/14 1152pcs
张a4</s:t>
              </s:r>
            </s:text>
          </item>
        </commentChain>
      </unresolved>
      <resolved/>
    </commentChains>
    <commentChains s:ref="AL918" rgbClr="FF0000">
      <unresolved>
        <commentChain chainId="2f818c4081bf10c9cce92284de6788776b05c01e">
          <item id="7dcd30f26732d9455e4609d709c8c6710fc68a95" isNormal="1">
            <s:text>
              <s:r>
                <s:t xml:space="preserve">Administrator:
3/18 客户进口商内容 1152pcs</s:t>
              </s:r>
            </s:text>
          </item>
        </commentChain>
      </unresolved>
      <resolved/>
    </commentChains>
    <commentChains s:ref="AI919" rgbClr="FF0000">
      <unresolved>
        <commentChain chainId="0a891a7b3db6dcbb61b1c74a6793fdf95b593331">
          <item id="ba7100d296e74737dec1cb421014d14b2ca4e6c1" isNormal="1">
            <s:text>
              <s:r>
                <s:t xml:space="preserve">Administrator:
1405935 4/14 1980pcs
张b21405903 4/14 24pcs
张新b2
</s:t>
              </s:r>
            </s:text>
          </item>
        </commentChain>
      </unresolved>
      <resolved/>
    </commentChains>
    <commentChains s:ref="AL919" rgbClr="FF0000">
      <unresolved>
        <commentChain chainId="c40cdba96e197b2e0b036ac47fb82517bee98f49">
          <item id="cde6079af29e0466af3a63fdddd217b79c787bd1" isNormal="1">
            <s:text>
              <s:r>
                <s:t xml:space="preserve">Administrator:
3/27 空白贴纸 2004pcs
3/28 进口商贴纸 14004pcs
</s:t>
              </s:r>
            </s:text>
          </item>
        </commentChain>
      </unresolved>
      <resolved/>
    </commentChains>
    <commentChains s:ref="AI920" rgbClr="FF0000">
      <unresolved>
        <commentChain chainId="1a0d488c41969fc6481cf95fe7e02a9e8c14cc7f">
          <item id="4bd79f039f4188103a8b52a31b9967013f1dc602" isNormal="1">
            <s:text>
              <s:r>
                <s:t xml:space="preserve">Administrator:
1405935 4/14 11988pcs
张86
1405903 4/14 12pcs张新b6
</s:t>
              </s:r>
            </s:text>
          </item>
        </commentChain>
      </unresolved>
      <resolved/>
    </commentChains>
    <commentChains s:ref="AI921" rgbClr="FF0000">
      <unresolved>
        <commentChain chainId="df4b66333e52d0ebd7112defc0c41d144fc6f0c2">
          <item id="34e7daa7bbde68c4fa79a74061dcfea5e272b402" isNormal="1">
            <s:text>
              <s:r>
                <s:t xml:space="preserve">Administrator:
1405947 4/11 2352pcs
1405903 4/14 48pcs张新b2</s:t>
              </s:r>
            </s:text>
          </item>
        </commentChain>
      </unresolved>
      <resolved/>
    </commentChains>
    <commentChains s:ref="AL921" rgbClr="FF0000">
      <unresolved>
        <commentChain chainId="78cbfa0217c50acd4a7db393b854f30207c01608">
          <item id="226f4173e63b4f21990836a645589cefb8a5be7d" isNormal="1">
            <s:text>
              <s:r>
                <s:t xml:space="preserve">Administrator:
3/21 UPC贴纸 2400pcs</s:t>
              </s:r>
            </s:text>
          </item>
        </commentChain>
      </unresolved>
      <resolved/>
    </commentChains>
    <commentChains s:ref="AL922" rgbClr="FF0000">
      <unresolved>
        <commentChain chainId="0327726c4a2f97c2b02f5502ac106e2ab7b1c704">
          <item id="2bb52061e9b9c6a9f7f8916fb3a9fdc7fda0c18b" isNormal="1">
            <s:text>
              <s:r>
                <s:t xml:space="preserve">Administrator:
3/4 客供芯片码贴纸 1200pcs
</s:t>
              </s:r>
            </s:text>
          </item>
        </commentChain>
      </unresolved>
      <resolved/>
    </commentChains>
    <commentChains s:ref="AL925" rgbClr="FF0000">
      <unresolved>
        <commentChain chainId="bb3d5985a26746c365c9e6b2c702e58ba8b5c35d">
          <item id="a93ff28d43b5f781e6e76a47eef11c3b0252c93e" isNormal="1">
            <s:text>
              <s:r>
                <s:t xml:space="preserve">Administrator:
3/18 德语意大利警告
2196pcs </s:t>
              </s:r>
            </s:text>
          </item>
        </commentChain>
      </unresolved>
      <resolved/>
    </commentChains>
    <commentChains s:ref="AI926" rgbClr="FF0000">
      <unresolved>
        <commentChain chainId="ef9c299f186c97564d2ebede6996f970105d3a30">
          <item id="5faf7558d74e106cc6b528677ff36359e7452a3f" isNormal="1">
            <s:text>
              <s:r>
                <s:t xml:space="preserve">Administrator:
1405859 4/17 13440pcs
1405861 4/17 19320pcs
1405862 4/17 17240pcs</s:t>
              </s:r>
            </s:text>
          </item>
        </commentChain>
      </unresolved>
      <resolved/>
    </commentChains>
    <commentChains s:ref="AL926" rgbClr="FF0000">
      <unresolved>
        <commentChain chainId="fe953bac9b7418093b6aee645b36eb61a6a2bcb6">
          <item id="4b56db812892a5a88dc4a65f7ca25858bc137123" isNormal="1">
            <s:text>
              <s:r>
                <s:t xml:space="preserve">Administrator:
3/27 客供外箱条码贴纸 12625pcs
4/20 客供外箱贴纸 1000pcs</s:t>
              </s:r>
            </s:text>
          </item>
        </commentChain>
      </unresolved>
      <resolved/>
    </commentChains>
    <commentChains s:ref="AI927" rgbClr="FF0000">
      <unresolved>
        <commentChain chainId="60204a1076aa423b5cd9c574eca2d19e7498605c">
          <item id="8964084a1ffb14cbd1ab3a2204b6851cdb450087" isNormal="1">
            <s:text>
              <s:r>
                <s:t xml:space="preserve">Administrator:
1405870 4/18 1200pcs
庞登1楼</s:t>
              </s:r>
            </s:text>
          </item>
        </commentChain>
      </unresolved>
      <resolved/>
    </commentChains>
    <commentChains s:ref="AL927" rgbClr="FF0000">
      <unresolved>
        <commentChain chainId="b0ccd44a61c8da7d874198cf673ccecda10906a2">
          <item id="febe62bfcd4d7d7236c0ec65c708556fe353e50e" isNormal="1">
            <s:text>
              <s:r>
                <s:t xml:space="preserve">Administrator:
3/12 价格贴纸 1200pcs
4/14 客供外箱贴纸 3000pcs</s:t>
              </s:r>
            </s:text>
          </item>
        </commentChain>
      </unresolved>
      <resolved/>
    </commentChains>
    <commentChains s:ref="AI928" rgbClr="FF0000">
      <unresolved>
        <commentChain chainId="7ba915015fec1fb62322e4cb4a01435e82397790">
          <item id="db4baf328668a5c459c7f5968bb9b5f6f5f7b831" isNormal="1">
            <s:text>
              <s:r>
                <s:t xml:space="preserve">Administrator:
1403782 4/18 360pcs
庞3a27</s:t>
              </s:r>
            </s:text>
          </item>
        </commentChain>
      </unresolved>
      <resolved/>
    </commentChains>
    <commentChains s:ref="AL928" rgbClr="FF0000">
      <unresolved>
        <commentChain chainId="06182d53f8c75547cd5149daccc1b12e82569834">
          <item id="6ede76dbeddd2b26217a8b35ac5c7d518cc2089b" isNormal="1">
            <s:text>
              <s:r>
                <s:t xml:space="preserve">Administrator:
3/16 丹麦瑞典芬兰挪威警 360pcs
大语警告语贴 360pcs
小语警告语贴 2520pcs</s:t>
              </s:r>
            </s:text>
          </item>
        </commentChain>
      </unresolved>
      <resolved/>
    </commentChains>
    <commentChains s:ref="AI929" rgbClr="FF0000">
      <unresolved>
        <commentChain chainId="ac534c2a3fb3398a5bff36bcc70008077dff9c4f">
          <item id="bf3a6b16f557c0a8860f4af0be3592c8431aef12" isNormal="1">
            <s:text>
              <s:r>
                <s:t xml:space="preserve">Administrator:
1403817 4/20 1200pcs 
王4b1</s:t>
              </s:r>
            </s:text>
          </item>
        </commentChain>
      </unresolved>
      <resolved/>
    </commentChains>
    <commentChains s:ref="AI930" rgbClr="FF0000">
      <unresolved>
        <commentChain chainId="b9bca1caf255928de23bffaeac681fc0f85a2c41">
          <item id="440d910cae2c3a502aa7fae90f26c8e935a9bda0" isNormal="1">
            <s:text>
              <s:r>
                <s:t xml:space="preserve">Administrator:
1403782 4/18 3420pcs
庞3b16</s:t>
              </s:r>
            </s:text>
          </item>
        </commentChain>
      </unresolved>
      <resolved/>
    </commentChains>
    <commentChains s:ref="AL930" rgbClr="FF0000">
      <unresolved>
        <commentChain chainId="349764f6332b3e4193ae7366cd54f7a2b57d1d0f">
          <item id="70ada1ebb745cbe8cff6cb4df56370a85f8581e0" isNormal="1">
            <s:text>
              <s:r>
                <s:t xml:space="preserve">Administrator:
4/8 包装进口商贴纸 6840cs 
产品进口商贴纸 6840pcs
UPC贴纸 6840pcs
外箱籍贴纸 570pcs
4/10 保证书1 6840pcs
4/21  包装进口商贴纸 6840pcs
产品进口商贴纸 6840pcs
UPC贴纸 6840pcs
4/24 保证书1 6840pcs</s:t>
              </s:r>
            </s:text>
          </item>
        </commentChain>
      </unresolved>
      <resolved/>
    </commentChains>
    <commentChains s:ref="AI931" rgbClr="FF0000">
      <unresolved>
        <commentChain chainId="20fe8f60275d69d0516d27bea23d98fd904a9104">
          <item id="85cb015495ab62cb7119da38bf88abb3106765c0" isNormal="1">
            <s:text>
              <s:r>
                <s:t xml:space="preserve">Administrator:
1403808 4/21 1820pcs
张b2</s:t>
              </s:r>
            </s:text>
          </item>
        </commentChain>
      </unresolved>
      <resolved/>
    </commentChains>
    <commentChains s:ref="AI932" rgbClr="FF0000">
      <unresolved>
        <commentChain chainId="1d3644bdcde9c90e5e5786b6dbd72b2403d806fa">
          <item id="134e70cd69faeceb34ab317305a3afd140ca51ef" isNormal="1">
            <s:text>
              <s:r>
                <s:t xml:space="preserve">Administrator:
1403808 4/21 1064pcs
张b2
</s:t>
              </s:r>
            </s:text>
          </item>
        </commentChain>
      </unresolved>
      <resolved/>
    </commentChains>
    <commentChains s:ref="AI935" rgbClr="FF0000">
      <unresolved>
        <commentChain chainId="68d86af1d41286b8689bfd2d855186e16c610600">
          <item id="b33df6541902f575dc0b6d9720fbd5df40985221" isNormal="1">
            <s:text>
              <s:r>
                <s:t xml:space="preserve">Administrator:
1403848 4/22 208pcs
张b2</s:t>
              </s:r>
            </s:text>
          </item>
        </commentChain>
      </unresolved>
      <resolved/>
    </commentChains>
    <commentChains s:ref="AI936" rgbClr="FF0000">
      <unresolved>
        <commentChain chainId="315e00927d3b93a7d33a7d219dfd043a696758bf">
          <item id="2351a82b7a26f3dbeb1ae532639c99fc08417960" isNormal="1">
            <s:text>
              <s:r>
                <s:t xml:space="preserve">Administrator:
1403722 4/25 180pcs张c1</s:t>
              </s:r>
            </s:text>
          </item>
        </commentChain>
      </unresolved>
      <resolved/>
    </commentChains>
    <commentChains s:ref="AL936" rgbClr="FF0000">
      <unresolved>
        <commentChain chainId="30b8e5211fc2c5f8affe67c5c62bba28041d923d">
          <item id="eb2d773da28221160d9f1188ffc36a48846e3b51" isNormal="1">
            <s:text>
              <s:r>
                <s:t xml:space="preserve">Administrator:
4/15 进口商贴纸 180pcs
条码贴纸 180pcs
</s:t>
              </s:r>
            </s:text>
          </item>
        </commentChain>
      </unresolved>
      <resolved/>
    </commentChains>
    <commentChains s:ref="AI940" rgbClr="FF0000">
      <unresolved>
        <commentChain chainId="5712efb37220a49b0ba92c671188c7316bd3bd89">
          <item id="0e2d4793ea8b327269262b60de57d0b50385e9bf" isNormal="1">
            <s:text>
              <s:r>
                <s:t xml:space="preserve">Administrator:
1403806 4/21 504pcs 王4b1</s:t>
              </s:r>
            </s:text>
          </item>
        </commentChain>
      </unresolved>
      <resolved/>
    </commentChains>
    <commentChains s:ref="AL940" rgbClr="FF0000">
      <unresolved>
        <commentChain chainId="cda29cfbe64065345f52fe500b30b1dbf89f5a20">
          <item id="96cea99e1e530dd8aff2ab92151eca24164f7041" isNormal="1">
            <s:text>
              <s:r>
                <s:t xml:space="preserve">Administrator:
3/23 进口商贴纸 504pcs</s:t>
              </s:r>
            </s:text>
          </item>
        </commentChain>
      </unresolved>
      <resolved/>
    </commentChains>
    <commentChains s:ref="AI941" rgbClr="FF0000">
      <unresolved>
        <commentChain chainId="7dadc76420f33f76a82b98cfe0303d268e73780a">
          <item id="62372c059d2f0a20f86d020faf235de89040c6ae" isNormal="1">
            <s:text>
              <s:r>
                <s:t xml:space="preserve">Administrator:
1403848 4/22 180pcs
张a1</s:t>
              </s:r>
            </s:text>
          </item>
        </commentChain>
      </unresolved>
      <resolved/>
    </commentChains>
    <commentChains s:ref="AI944" rgbClr="FF0000">
      <unresolved>
        <commentChain chainId="cac42b3f02c55d7344f124f912e7439e7ed1b537">
          <item id="eab8ba518737247e8276f016294762987d68fd0d" isNormal="1">
            <s:text>
              <s:r>
                <s:t xml:space="preserve">Administrator:
1403885 4/25 4660pcs
张c4
</s:t>
              </s:r>
            </s:text>
          </item>
        </commentChain>
      </unresolved>
      <resolved/>
    </commentChains>
    <commentChains s:ref="AL944" rgbClr="FF0000">
      <unresolved>
        <commentChain chainId="0b1b848e74770cd65f4dfe56b066a0fd74dee330">
          <item id="8e0a3011a58e330ebbf7ad91d1bced185a1549ba" isNormal="1">
            <s:text>
              <s:r>
                <s:t xml:space="preserve">Administrator:
3/30 客供外箱条码贴纸 1177pcs</s:t>
              </s:r>
            </s:text>
          </item>
        </commentChain>
      </unresolved>
      <resolved/>
    </commentChains>
    <commentChains s:ref="AI945" rgbClr="FF0000">
      <unresolved>
        <commentChain chainId="04815631c044aba5c384953b4331d23340699bc9">
          <item id="b293e3f0b913eb767896f0012bba226a268bf662" isNormal="1">
            <s:text>
              <s:r>
                <s:t xml:space="preserve">Administrator:
1403868 4/24 4992pcs庞3a21</s:t>
              </s:r>
            </s:text>
          </item>
        </commentChain>
      </unresolved>
      <resolved/>
    </commentChains>
    <commentChains s:ref="AI946" rgbClr="FF0000">
      <unresolved>
        <commentChain chainId="ba9c2fbf709e736d70dce4b84250cb0c11a94145">
          <item id="976d8397428b772351aaaa6b30d2c7875b2d3271" isNormal="1">
            <s:text>
              <s:r>
                <s:t xml:space="preserve">Administrator:
1403857 4/25 720pcs
庞3b14</s:t>
              </s:r>
            </s:text>
          </item>
        </commentChain>
      </unresolved>
      <resolved/>
    </commentChains>
    <commentChains s:ref="AL946" rgbClr="FF0000">
      <unresolved>
        <commentChain chainId="36e0820eeaa7e1a034f652b0aeb5b38c7006fd04">
          <item id="0bcc85c2c6a2c82834bbc6023a26563369ad8401" isNormal="1">
            <s:text>
              <s:r>
                <s:t xml:space="preserve">Administrator:
4/8 进口商贴纸 720pcs
UPC贴纸 720pcs</s:t>
              </s:r>
            </s:text>
          </item>
        </commentChain>
      </unresolved>
      <resolved/>
    </commentChains>
    <commentChains s:ref="AI947" rgbClr="FF0000">
      <unresolved>
        <commentChain chainId="b630f58e6852bfad0699d974d28e448625daa825">
          <item id="70747bbab020a746ac04eb5c4b1e0f7f62694475" isNormal="1">
            <s:text>
              <s:r>
                <s:t xml:space="preserve">Administrator:
1403857 4/25 600pcs
庞3v14</s:t>
              </s:r>
            </s:text>
          </item>
        </commentChain>
      </unresolved>
      <resolved/>
    </commentChains>
    <commentChains s:ref="AL947" rgbClr="FF0000">
      <unresolved>
        <commentChain chainId="d2fb9385f4f57cb354d967c1ac502505d36bf6f5">
          <item id="11d7afbd47023d62ddff906adb01649aa6843fbf" isNormal="1">
            <s:text>
              <s:r>
                <s:t xml:space="preserve">Administrator:
4/8 进口商贴纸 600pcs
UPC贴纸 60pcs
</s:t>
              </s:r>
            </s:text>
          </item>
        </commentChain>
      </unresolved>
      <resolved/>
    </commentChains>
    <commentChains s:ref="AI948" rgbClr="FF0000">
      <unresolved>
        <commentChain chainId="45ce682c761b52371abcac69bf8e33b221e732ce">
          <item id="d2dc00047b8c28a19c19fe08e5fef476ce9010d2" isNormal="1">
            <s:text>
              <s:r>
                <s:t xml:space="preserve">Administrator:
1403892 4/23 3096pcs
1403900 4/23 1704pcs</s:t>
              </s:r>
            </s:text>
          </item>
        </commentChain>
      </unresolved>
      <resolved/>
    </commentChains>
    <commentChains s:ref="AL948" rgbClr="FF0000">
      <unresolved>
        <commentChain chainId="a62888e4e5f64cf1a7268965796acf2eff4931ac">
          <item id="df51853f0c0fc8c16c08b8369e706eb2f60bbfda" isNormal="1">
            <s:text>
              <s:r>
                <s:t xml:space="preserve">Administrator:
4/8 UPC/进口商贴纸 4800pcs
4/21 UPC进口商贴纸 4800pcs</s:t>
              </s:r>
            </s:text>
          </item>
        </commentChain>
      </unresolved>
      <resolved/>
    </commentChains>
    <commentChains s:ref="AI949" rgbClr="FF0000">
      <unresolved>
        <commentChain chainId="c4723e9d77c230b55ab63d76dc9857235f8ed673">
          <item id="ecd6cbc15083afe0f7e313c250f02c562c69344d" isNormal="1">
            <s:text>
              <s:r>
                <s:t xml:space="preserve">Administrator:
1403892 4/23 2474pcs
1403900 4/23 26pcs
</s:t>
              </s:r>
            </s:text>
          </item>
        </commentChain>
      </unresolved>
      <resolved/>
    </commentChains>
    <commentChains s:ref="AL949" rgbClr="FF0000">
      <unresolved>
        <commentChain chainId="871147f2e3c8e238a4c7043bf6d248264a56a117">
          <item id="a4db30a4313b839a6ed751847897b0684178e963" isNormal="1">
            <s:text>
              <s:r>
                <s:t xml:space="preserve">Administrator:
3/27 UPC贴纸 2500pcs
4/23 UPC贴纸 2500pcs</s:t>
              </s:r>
            </s:text>
          </item>
        </commentChain>
      </unresolved>
      <resolved/>
    </commentChains>
    <commentChains s:ref="AI951" rgbClr="FF0000">
      <unresolved>
        <commentChain chainId="069c949c7eb9726e7bbc525d931f3517e8efa997">
          <item id="5517c274a075c1e736c9f0b65df1b3fcd3dc4034" isNormal="1">
            <s:text>
              <s:r>
                <s:t xml:space="preserve">Administrator:
1403857 4/25 864pcs
庞3b12</s:t>
              </s:r>
            </s:text>
          </item>
        </commentChain>
      </unresolved>
      <resolved/>
    </commentChains>
    <commentChains s:ref="AL951" rgbClr="FF0000">
      <unresolved>
        <commentChain chainId="6f4f770d23ce798ce0f48bf839db8e69d6951e17">
          <item id="295774f3c1793ff0cfa9814b08041da04b988e54" isNormal="1">
            <s:text>
              <s:r>
                <s:t xml:space="preserve">Administrator:
3/27 UPC贴纸 864pcs
4/1 可折叠警语贴纸 864pcs
4/21 UPC贴纸 864pcs
可折叠警语贴纸 864pcs</s:t>
              </s:r>
            </s:text>
          </item>
        </commentChain>
      </unresolved>
      <resolved/>
    </commentChains>
    <commentChains s:ref="AI952" rgbClr="FF0000">
      <unresolved>
        <commentChain chainId="8614d781589991036044705c996cd537ee3a6935">
          <item id="81c9b94c66a124734040da48b2ed75136434a041" isNormal="1">
            <s:text>
              <s:r>
                <s:t xml:space="preserve">Administrator:
1403885 4/25 2112pcs张c5</s:t>
              </s:r>
            </s:text>
          </item>
        </commentChain>
      </unresolved>
      <resolved/>
    </commentChains>
    <commentChains s:ref="AL952" rgbClr="FF0000">
      <unresolved>
        <commentChain chainId="5e251fb967bf833b9fbd80348e116342d4291a00">
          <item id="0005cb91baf42acc48ec987433f45288255acd16" isNormal="1">
            <s:text>
              <s:r>
                <s:t xml:space="preserve">Administrator:
4/14 客供亚马逊外箱贴纸 176pcs
</s:t>
              </s:r>
            </s:text>
          </item>
        </commentChain>
      </unresolved>
      <resolved/>
    </commentChains>
    <commentChains s:ref="AI953" rgbClr="FF0000">
      <unresolved>
        <commentChain chainId="18503bf2dc7cdc22c44f0b4be59015866d0ec946">
          <item id="ac5a26c13601b59297ce1e95226c9559f17abf86" isNormal="1">
            <s:text>
              <s:r>
                <s:t xml:space="preserve">Administrator:
1403885 4/25 2652pcs
张c5
</s:t>
              </s:r>
            </s:text>
          </item>
        </commentChain>
      </unresolved>
      <resolved/>
    </commentChains>
    <commentChains s:ref="AL953" rgbClr="FF0000">
      <unresolved>
        <commentChain chainId="1b55e020b979e628b7a79da74bede7d3a7ddd950">
          <item id="66e0a6e0d108d577fd7c232bfc825c4bf0294dea" isNormal="1">
            <s:text>
              <s:r>
                <s:t xml:space="preserve">Administrator:
4/14 客供亚马逊外箱贴纸 221pcs</s:t>
              </s:r>
            </s:text>
          </item>
        </commentChain>
      </unresolved>
      <resolved/>
    </commentChains>
    <commentChains s:ref="AI954" rgbClr="FF0000">
      <unresolved>
        <commentChain chainId="3a4cefc4136ea6dfb6c5f56d205c03f3bddc8c5f">
          <item id="53298275ded5fb845dcd80e80fdde02adce87fbe" isNormal="1">
            <s:text>
              <s:r>
                <s:t xml:space="preserve">Administrator:
1403900 4/23 1896pcs</s:t>
              </s:r>
            </s:text>
          </item>
        </commentChain>
      </unresolved>
      <resolved/>
    </commentChains>
    <commentChains s:ref="AL954" rgbClr="FF0000">
      <unresolved>
        <commentChain chainId="459e5ca0a51a532b167a23ddf99ad23e75bc6bc2">
          <item id="99d5c5588a35c07c9fa23545e63be517b8ecdd55" isNormal="1">
            <s:text>
              <s:r>
                <s:t xml:space="preserve">Administrator:
4/14 客供亚马逊外箱贴纸 158pcs
</s:t>
              </s:r>
            </s:text>
          </item>
        </commentChain>
      </unresolved>
      <resolved/>
    </commentChains>
    <commentChains s:ref="AI955" rgbClr="FF0000">
      <unresolved>
        <commentChain chainId="769b203824b3f283e0373a1c63310b838724c084">
          <item id="08fa1012f832a10f574ede4cc29b3661572efb08" isNormal="1">
            <s:text>
              <s:r>
                <s:t xml:space="preserve">Administrator:
1403900 4/23 2640pcs</s:t>
              </s:r>
            </s:text>
          </item>
        </commentChain>
      </unresolved>
      <resolved/>
    </commentChains>
    <commentChains s:ref="AL955" rgbClr="FF0000">
      <unresolved>
        <commentChain chainId="71fab98871ad260a2ad7ae1fdc9b5912dfa2db78">
          <item id="e21d800db3139c40d431c131f9e8a32156d27433" isNormal="1">
            <s:text>
              <s:r>
                <s:t xml:space="preserve">Administrator:
4/14 客供亚马逊外箱贴纸 220pcs
</s:t>
              </s:r>
            </s:text>
          </item>
        </commentChain>
      </unresolved>
      <resolved/>
    </commentChains>
    <commentChains s:ref="AI956" rgbClr="FF0000">
      <unresolved>
        <commentChain chainId="43c59cd0acf638d22c9a1bd9b70b35fdea2861d2">
          <item id="c8d92cef0f09d936fea975ce1c8cf4fae9fb4e27" isNormal="1">
            <s:text>
              <s:r>
                <s:t xml:space="preserve">Administrator:
1403885 4/25 1464pcs
张c5
</s:t>
              </s:r>
            </s:text>
          </item>
        </commentChain>
      </unresolved>
      <resolved/>
    </commentChains>
    <commentChains s:ref="AL956" rgbClr="FF0000">
      <unresolved>
        <commentChain chainId="8595887a71d02fa113da315e3d2cfaff783102e2">
          <item id="b76c5ce1fe238a67c8adb96d786dee56fe472b14" isNormal="1">
            <s:text>
              <s:r>
                <s:t xml:space="preserve">Administrator:
4/14 客供亚马逊外箱贴纸 121pcs</s:t>
              </s:r>
            </s:text>
          </item>
        </commentChain>
      </unresolved>
      <resolved/>
    </commentChains>
    <commentChains s:ref="AI957" rgbClr="FF0000">
      <unresolved>
        <commentChain chainId="17182beb132a78a52a0f4f33e434d7ace4323159">
          <item id="e8a83775cee20d26b09307df4a97c5501b1496db" isNormal="1">
            <s:text>
              <s:r>
                <s:t xml:space="preserve">Administrator:
1403885 4/25 2184pcs
张c5
</s:t>
              </s:r>
            </s:text>
          </item>
        </commentChain>
      </unresolved>
      <resolved/>
    </commentChains>
    <commentChains s:ref="AL957" rgbClr="FF0000">
      <unresolved>
        <commentChain chainId="4d8beadc87c30871d1e9e03d11036dd468a3dbe1">
          <item id="3394c8b888b7cb65e35d43c502bfc33161128a47" isNormal="1">
            <s:text>
              <s:r>
                <s:t xml:space="preserve">Administrator:
4/14 客供亚马逊外箱贴纸 182pcs
</s:t>
              </s:r>
            </s:text>
          </item>
        </commentChain>
      </unresolved>
      <resolved/>
    </commentChains>
    <commentChains s:ref="AI960" rgbClr="FF0000">
      <unresolved>
        <commentChain chainId="0da8787ad0fa63fa3515d60456ce70ed3b9fb3db">
          <item id="f3f7806d06aed6a25c64b29c8899573044d029ba" isNormal="1">
            <s:text>
              <s:r>
                <s:t xml:space="preserve">Administrator:
1403857 4/25 996pcs庞3b6</s:t>
              </s:r>
            </s:text>
          </item>
        </commentChain>
      </unresolved>
      <resolved/>
    </commentChains>
    <commentChains s:ref="AL960" rgbClr="FF0000">
      <unresolved>
        <commentChain chainId="807326e0ebe517115f9bf71dbdf14006a6f4df23">
          <item id="4981cb6e76946095b0b65c8a878fc48ed8a9e468" isNormal="1">
            <s:text>
              <s:r>
                <s:t xml:space="preserve">Administrator:
3/18 客供价格贴纸 1096pcs</s:t>
              </s:r>
            </s:text>
          </item>
        </commentChain>
      </unresolved>
      <resolved/>
    </commentChains>
    <commentChains s:ref="AI961" rgbClr="FF0000">
      <unresolved>
        <commentChain chainId="75f47b875b28477b1ae6598d0ede8a53f73fe66f">
          <item id="714a58e546df412dca693f1637845f411f0922c4" isNormal="1">
            <s:text>
              <s:r>
                <s:t xml:space="preserve">Administrator:
1403857 4/25 1200pcs直走</s:t>
              </s:r>
            </s:text>
          </item>
        </commentChain>
      </unresolved>
      <resolved/>
    </commentChains>
    <commentChains s:ref="AL961" rgbClr="FF0000">
      <unresolved>
        <commentChain chainId="4a393a28b17ee04fb5661a806251514ccaae4b4d">
          <item id="7a11d3de87647de04d39236e97ef3ddbc61ab008" isNormal="1">
            <s:text>
              <s:r>
                <s:t xml:space="preserve">Administrator:
3/18 客供价格贴纸 1320pcs
</s:t>
              </s:r>
            </s:text>
          </item>
        </commentChain>
      </unresolved>
      <resolved/>
    </commentChains>
    <commentChains s:ref="AI962" rgbClr="FF0000">
      <unresolved>
        <commentChain chainId="8522811c8522b909149592a7bbe33a0cc1177cd2">
          <item id="becbda8177f27b90b361f491b108639baecd0db7" isNormal="1">
            <s:text>
              <s:r>
                <s:t xml:space="preserve">Administrator:
1403852 4/25 4992pcs张c2</s:t>
              </s:r>
            </s:text>
          </item>
        </commentChain>
      </unresolved>
      <resolved/>
    </commentChains>
    <commentChains s:ref="AI965" rgbClr="FF0000">
      <unresolved>
        <commentChain chainId="780e95e038ac61e29e2eab7b32bad01d743a41a2">
          <item id="7032d59971aac4ddaca6752678593817fd942029" isNormal="1">
            <s:text>
              <s:r>
                <s:t xml:space="preserve">Administrator:
1403670 4/28 4800pcs
直走</s:t>
              </s:r>
            </s:text>
          </item>
        </commentChain>
      </unresolved>
      <resolved/>
    </commentChains>
    <commentChains s:ref="AL965" rgbClr="FF0000">
      <unresolved>
        <commentChain chainId="f99f47073a661972e99c9f111db10326801c0ec5">
          <item id="f8b36f63ed6d896a3e3ddc0fa7095c2829943536" isNormal="1">
            <s:text>
              <s:r>
                <s:t xml:space="preserve">Administrator:
4/8 多语警语折叠贴纸 4800pcs
</s:t>
              </s:r>
            </s:text>
          </item>
        </commentChain>
      </unresolved>
      <resolved/>
    </commentChains>
    <commentChains s:ref="AI967" rgbClr="FF0000">
      <unresolved>
        <commentChain chainId="40e36c4e26de21c79c57e08bc16c69299f0a3d3a">
          <item id="9e7bd66f07ff24a8fbcdb64f0485a979804325df" isNormal="1">
            <s:text>
              <s:r>
                <s:t xml:space="preserve">Administrator:
1403688 4/29 张c3</s:t>
              </s:r>
            </s:text>
          </item>
        </commentChain>
      </unresolved>
      <resolved/>
    </commentChains>
    <commentChains s:ref="AI968" rgbClr="FF0000">
      <unresolved>
        <commentChain chainId="846c7d8c2716992044c87fe4e650910816cee730">
          <item id="ff1e16f1538fb5284e1cb92491511c37a1a267b3" isNormal="1">
            <s:text>
              <s:r>
                <s:t xml:space="preserve">Administrator:
1403660 4/28 624pcs张c2</s:t>
              </s:r>
            </s:text>
          </item>
        </commentChain>
      </unresolved>
      <resolved/>
    </commentChains>
    <commentChains s:ref="AL968" rgbClr="FF0000">
      <unresolved>
        <commentChain chainId="b14b0738e51f228f5fe1f7547c1a3ab8dda83082">
          <item id="1446dc7f2a82a66f67c4cb53770297a173bd7392" isNormal="1">
            <s:text>
              <s:r>
                <s:t xml:space="preserve">Administrator:
3/30 大语警告语贴 624pcs
小语警告语贴 4368pcs
丹麦瑞典芬兰挪威警告语 624psc</s:t>
              </s:r>
            </s:text>
          </item>
        </commentChain>
      </unresolved>
      <resolved/>
    </commentChains>
    <commentChains s:ref="AI969" rgbClr="FF0000">
      <unresolved>
        <commentChain chainId="049942cc19a4fc686719d94d33dd301650900107">
          <item id="12f772e1a7b0291a9a7aca4beb696a765400616c" isNormal="1">
            <s:text>
              <s:r>
                <s:t xml:space="preserve">Administrator:
1403646 4/25 648pcs
张a6</s:t>
              </s:r>
            </s:text>
          </item>
        </commentChain>
      </unresolved>
      <resolved/>
    </commentChains>
    <commentChains s:ref="AL969" rgbClr="FF0000">
      <unresolved>
        <commentChain chainId="c273cb3cbf906d054b3210b7aea703a490e2f66d">
          <item id="b269920f3acbabcbcd0e8f597a52119975f72d48" isNormal="1">
            <s:text>
              <s:r>
                <s:t xml:space="preserve">Administrator:
3/30 产品贴纸 648pcs 
weee说明书纸 648pcs 
4/15 进口商贴纸 648pcs</s:t>
              </s:r>
            </s:text>
          </item>
        </commentChain>
      </unresolved>
      <resolved/>
    </commentChains>
    <commentChains s:ref="AI970" rgbClr="FF0000">
      <unresolved>
        <commentChain chainId="516344f7523a685ee326c2020be5002230ab5a46">
          <item id="3930c501b0bff3a859128d8df451611fc6e34134" isNormal="1">
            <s:text>
              <s:r>
                <s:t xml:space="preserve">Administrator:
1403660 4/28 600pcs
张c2
</s:t>
              </s:r>
            </s:text>
          </item>
        </commentChain>
      </unresolved>
      <resolved/>
    </commentChains>
    <commentChains s:ref="AL970" rgbClr="FF0000">
      <unresolved>
        <commentChain chainId="8a6619d9cb244c2b48863070490300f45929d202">
          <item id="c8136619f4426f4f9ff0aee28737b7f5ce3e18eb" isNormal="1">
            <s:text>
              <s:r>
                <s:t xml:space="preserve">Administrator:
4/8 多语警语折叠贴纸 4600pcs</s:t>
              </s:r>
            </s:text>
          </item>
        </commentChain>
      </unresolved>
      <resolved/>
    </commentChains>
    <commentChains s:ref="AI972" rgbClr="FF0000">
      <unresolved>
        <commentChain chainId="f9e686b540d9ea6cae5e7c608278854dae85eb63">
          <item id="863bcc45494e1ee41694770f20177ed717fdac64" isNormal="1">
            <s:text>
              <s:r>
                <s:t xml:space="preserve">Administrator:
1403695 4/30 5032pcs
张b14</s:t>
              </s:r>
            </s:text>
          </item>
        </commentChain>
      </unresolved>
      <resolved/>
    </commentChains>
    <commentChains s:ref="AL972" rgbClr="FF0000">
      <unresolved>
        <commentChain chainId="6d248660e9e87faadddf4483fdba9f5947ca73c8">
          <item id="757e3722baf6a22f7a4cfd9727f8e92e1e6ab3b2" isNormal="1">
            <s:text>
              <s:r>
                <s:t xml:space="preserve">Administrator:
4/14 客供外箱条码贴纸 1271pcs</s:t>
              </s:r>
            </s:text>
          </item>
        </commentChain>
      </unresolved>
      <resolved/>
    </commentChains>
    <commentChains s:ref="AI974" rgbClr="FF0000">
      <unresolved>
        <commentChain chainId="9a4f62b51efd015fd348e7ecca901e2138bc78f3">
          <item id="ed2aa61064dde2b96276d0bd88e625e9c32343e2" isNormal="1">
            <s:text>
              <s:r>
                <s:t xml:space="preserve">Administrator:
1403681 4/29 976pcs
张b1</s:t>
              </s:r>
            </s:text>
          </item>
        </commentChain>
      </unresolved>
      <resolved/>
    </commentChains>
    <commentChains s:ref="AI975" rgbClr="FF0000">
      <unresolved>
        <commentChain chainId="bf5488dc5d99ce23f027e0be0257972ca6ff9698">
          <item id="7653e811af854837956a9f4dee46148a843371eb" isNormal="1">
            <s:text>
              <s:r>
                <s:t xml:space="preserve">Administrator:
1403681 4/29 528pcs
张b1
</s:t>
              </s:r>
            </s:text>
          </item>
        </commentChain>
      </unresolved>
      <resolved/>
    </commentChains>
    <commentChains s:ref="AI976" rgbClr="FF0000">
      <unresolved>
        <commentChain chainId="007c6bced85cd39844f4f7f02282fb8d12bdb4d0">
          <item id="10362c7d560d7d6c0863405c8bc8847e68bc5b99" isNormal="1">
            <s:text>
              <s:r>
                <s:t xml:space="preserve">Administrator:
1403877 4/25 5004pcs张c1</s:t>
              </s:r>
            </s:text>
          </item>
        </commentChain>
      </unresolved>
      <resolved/>
    </commentChains>
    <commentChains s:ref="AI977" rgbClr="FF0000">
      <unresolved>
        <commentChain chainId="cc72a7aeb47d0e533aa7d902156d7a74f49c481d">
          <item id="a516be1b89c428d0b4188745820cf1b8cf1694bd" isNormal="1">
            <s:text>
              <s:r>
                <s:t xml:space="preserve">Administrator:
1403660 4/28 800pcs
张b2</s:t>
              </s:r>
            </s:text>
          </item>
        </commentChain>
      </unresolved>
      <resolved/>
    </commentChains>
    <commentChains s:ref="AL977" rgbClr="FF0000">
      <unresolved>
        <commentChain chainId="ef72371260d9e7acc19083a964d17c856aa91870">
          <item id="24eaede9b4a8f9fc3c1aea2627cd02a53897add3" isNormal="1">
            <s:text>
              <s:r>
                <s:t xml:space="preserve">Administrator:
4/8 进口商贴纸 800pcs</s:t>
              </s:r>
            </s:text>
          </item>
        </commentChain>
      </unresolved>
      <resolved/>
    </commentChains>
    <commentChains s:ref="AI978" rgbClr="FF0000">
      <unresolved>
        <commentChain chainId="9b29376d5c2d8787101dd9f4d587dff2327a9ac6">
          <item id="c5b5c4e6cbb7c27c07ed6fbfa62eefcc0e93cd9a" isNormal="1">
            <s:text>
              <s:r>
                <s:t xml:space="preserve">Administrator:
1403703 5/2 2004pcs
张b2</s:t>
              </s:r>
            </s:text>
          </item>
        </commentChain>
      </unresolved>
      <resolved/>
    </commentChains>
    <commentChains s:ref="AL978" rgbClr="FF0000">
      <unresolved>
        <commentChain chainId="b50aed6d1b05a4454dbf5c450575e76d34f85cc1">
          <item id="96c1bc12fe7d73e327901c47cb4e21a468d50d01" isNormal="1">
            <s:text>
              <s:r>
                <s:t xml:space="preserve">Administrator:
4/13 进口商贴纸 2004pcs 
产品贴纸3 2000pcs
黑白weee说明书 2000pcs</s:t>
              </s:r>
            </s:text>
          </item>
        </commentChain>
      </unresolved>
      <resolved/>
    </commentChains>
    <commentChains s:ref="AI979" rgbClr="FF0000">
      <unresolved>
        <commentChain chainId="0361dfa433333afd033e4d05e38a76461c416841">
          <item id="49f9fdc09bf60b0157be4062b0b683f590fca94a" isNormal="1">
            <s:text>
              <s:r>
                <s:t xml:space="preserve">Administrator:
1403382 5/4 804pcs
张b1
</s:t>
              </s:r>
            </s:text>
          </item>
        </commentChain>
      </unresolved>
      <resolved/>
    </commentChains>
    <commentChains s:ref="AL979" rgbClr="FF0000">
      <unresolved>
        <commentChain chainId="7192be3f88f63b3288deda3cb38597042373eaf4">
          <item id="a8c881da9b123e38a32f1a2b315365ad1a27abcd" isNormal="1">
            <s:text>
              <s:r>
                <s:t xml:space="preserve">Administrator:
4/14 保证书 804pcs
进口商贴纸 804pcs
UPC条码贴纸 804pcs</s:t>
              </s:r>
            </s:text>
          </item>
        </commentChain>
      </unresolved>
      <resolved/>
    </commentChains>
    <commentChains s:ref="AI980" rgbClr="FF0000">
      <unresolved>
        <commentChain chainId="93d8830db11234a5842bc02fc6d737c3c2644206">
          <item id="f4577c6f15b6a31b18058a2b33b66e66cd2776cd" isNormal="1">
            <s:text>
              <s:r>
                <s:t xml:space="preserve">Administrator:
1403758 5/5  16660pcs
张a7
1403750 5/6 11336pcs站b5/a7</s:t>
              </s:r>
            </s:text>
          </item>
        </commentChain>
      </unresolved>
      <resolved/>
    </commentChains>
    <commentChains s:ref="AL980" rgbClr="FF0000">
      <unresolved>
        <commentChain chainId="24ba4d15912b17ee971aa18747f1d7275d69ebf2">
          <item id="5b5bb12544559c06ee75219c968a4302d41367e1" isNormal="1">
            <s:text>
              <s:r>
                <s:t xml:space="preserve">Administrator:
4/20 客供外箱条码贴纸! 7070pcs</s:t>
              </s:r>
            </s:text>
          </item>
        </commentChain>
      </unresolved>
      <resolved/>
    </commentChains>
    <commentChains s:ref="AI981" rgbClr="FF0000">
      <unresolved>
        <commentChain chainId="6d15d388b770bcdf5b54f00593bbb8792a622662">
          <item id="3178718ceecc5ff6beba69c3014f9a93a98adc85" isNormal="1">
            <s:text>
              <s:r>
                <s:t xml:space="preserve">Administrator:
1403396 5/6 800pcs王ab5</s:t>
              </s:r>
            </s:text>
          </item>
        </commentChain>
      </unresolved>
      <resolved/>
    </commentChains>
    <commentChains s:ref="AL981" rgbClr="FF0000">
      <unresolved>
        <commentChain chainId="de8dc1219ff89773a8d4a8869d63ed59fe57ebb8">
          <item id="759e605186fb497c9a391b41a5e656c848bec3b5" isNormal="1">
            <s:text>
              <s:r>
                <s:t xml:space="preserve">Administrator:
4/10 进口商贴纸 800pcs</s:t>
              </s:r>
            </s:text>
          </item>
        </commentChain>
      </unresolved>
      <resolved/>
    </commentChains>
    <commentChains s:ref="AI983" rgbClr="FF0000">
      <unresolved>
        <commentChain chainId="77daf1713e7ac56269be526109c70e1853d8dc4c">
          <item id="fecdb5ad563821e1a17094682cd6f8ee4a34c77b" isNormal="1">
            <s:text>
              <s:r>
                <s:t xml:space="preserve">Administrator:
1403653 4/27 504pcs
张b4
1403391 5/5 3096pcs张b14</s:t>
              </s:r>
            </s:text>
          </item>
        </commentChain>
      </unresolved>
      <resolved/>
    </commentChains>
    <commentChains s:ref="AL983" rgbClr="FF0000">
      <unresolved>
        <commentChain chainId="5d91fc6e8ddda195ca53fb85788f6d3c01ca893b">
          <item id="ed2a0e5c2e95a3a738ae26d529698171cfaa2182" isNormal="1">
            <s:text>
              <s:r>
                <s:t xml:space="preserve">Administrator:
4/8 客供RFID贴纸 3600pcs</s:t>
              </s:r>
            </s:text>
          </item>
        </commentChain>
      </unresolved>
      <resolved/>
    </commentChains>
    <commentChains s:ref="AI985" rgbClr="FF0000">
      <unresolved>
        <commentChain chainId="7a9930ce9cd2cf94e4c4e146248730084143e51c">
          <item id="3b1fa79df1a06cb11377fb6808af6bc8b2cf7c20" isNormal="1">
            <s:text>
              <s:r>
                <s:t xml:space="preserve">Administrator:
1403417 5/8 1232pcs
张b11</s:t>
              </s:r>
            </s:text>
          </item>
        </commentChain>
      </unresolved>
      <resolved/>
    </commentChains>
    <commentChains s:ref="AL985" rgbClr="FF0000">
      <unresolved>
        <commentChain chainId="7b03e0af831b84d1769009db37a58471e55759d9">
          <item id="a58a01ee22cf2bddbc5d7b80bc03db3d569db6e4" isNormal="1">
            <s:text>
              <s:r>
                <s:t xml:space="preserve">Administrator:
4/8 DC运输贴纸  154pcs
4/9 UPC贴纸 1232pcs
4/13 PDQ标识贴纸 154pcs
</s:t>
              </s:r>
            </s:text>
          </item>
        </commentChain>
      </unresolved>
      <resolved/>
    </commentChains>
    <commentChains s:ref="AI986" rgbClr="FF0000">
      <unresolved>
        <commentChain chainId="f8999b32f473e17bf88ed947b30aac54c5c9a2c1">
          <item id="0ee51ece60d980a274f3d660eeb852c07f1497c2" isNormal="1">
            <s:text>
              <s:r>
                <s:t xml:space="preserve">Administrator:
1403417 5/8 1856pcs张a11</s:t>
              </s:r>
            </s:text>
          </item>
        </commentChain>
      </unresolved>
      <resolved/>
    </commentChains>
    <commentChains s:ref="AL986" rgbClr="FF0000">
      <unresolved>
        <commentChain chainId="addeb21afeaa7b6480c12947e76112ab9e8e098d">
          <item id="5a703c129f2ae2b75104a5854fde31e91a6276d5" isNormal="1">
            <s:text>
              <s:r>
                <s:t xml:space="preserve">Administrator:
4/8 DC运输贴纸  232pcs
4/9 UPC贴纸 1856pcs
4/13 PDQ标识贴纸 232pcs</s:t>
              </s:r>
            </s:text>
          </item>
        </commentChain>
      </unresolved>
      <resolved/>
    </commentChains>
    <commentChains s:ref="AI987" rgbClr="FF0000">
      <unresolved>
        <commentChain chainId="002206e8e89b4c4829eef6a11a1c8d879ac3224e">
          <item id="4e84e5d92b8578694c25fc6417fa44e572aa0f37" isNormal="1">
            <s:text>
              <s:r>
                <s:t xml:space="preserve">Administrator:
1403417 5/8 1728pcs
张a5</s:t>
              </s:r>
            </s:text>
          </item>
        </commentChain>
      </unresolved>
      <resolved/>
    </commentChains>
    <commentChains s:ref="AL987" rgbClr="FF0000">
      <unresolved>
        <commentChain chainId="bc1670a6613486324c3bba5cf101e0e48990b3f5">
          <item id="11a75c9e008fd1d1f4f6bce42620f7bd05158221" isNormal="1">
            <s:text>
              <s:r>
                <s:t xml:space="preserve">Administrator:
4/8 DC运输贴纸  216pcs
4/9 UPC贴纸 1728pcs
4/13 PDQ标识贴纸 216pcs
</s:t>
              </s:r>
            </s:text>
          </item>
        </commentChain>
      </unresolved>
      <resolved/>
    </commentChains>
    <commentChains s:ref="AI988" rgbClr="FF0000">
      <unresolved>
        <commentChain chainId="e9765fe826f30f5ce65010df05a331beee82b8f6">
          <item id="7ebde185ddb1bd723312fbe2aa2ac428140e4cbd" isNormal="1">
            <s:text>
              <s:r>
                <s:t xml:space="preserve">Administrator:
1403448 5/9 600pcs直走</s:t>
              </s:r>
            </s:text>
          </item>
        </commentChain>
      </unresolved>
      <resolved/>
    </commentChains>
    <commentChains s:ref="AL988" rgbClr="FF0000">
      <unresolved>
        <commentChain chainId="0b2d0377acd88246f0d8e2ea84b80c8e35ae0c72">
          <item id="53bd415e9ecb4279ae1d963705a056b4df21df93" isNormal="1">
            <s:text>
              <s:r>
                <s:t xml:space="preserve">Administrator:
4/8 收缩膜日语警语贴纸 600pcs
说明书日语警语贴纸 600pcs
5/11 收缩膜日语警告语贴纸 50pcs
说明书日语警告语贴纸 50pcs</s:t>
              </s:r>
            </s:text>
          </item>
        </commentChain>
      </unresolved>
      <resolved/>
    </commentChains>
    <commentChains s:ref="AI989" rgbClr="FF0000">
      <unresolved>
        <commentChain chainId="02fbfe2a6b917cf28a7251d5f3a475ad964774e2">
          <item id="0d655ca14fea58dd96dc75b9b6b2dbe5a623f7ce" isNormal="1">
            <s:text>
              <s:r>
                <s:t xml:space="preserve">Administrator:
1403436 5/9 1404pcs张3c3</s:t>
              </s:r>
            </s:text>
          </item>
        </commentChain>
      </unresolved>
      <resolved/>
    </commentChains>
    <commentChains s:ref="AL989" rgbClr="FF0000">
      <unresolved>
        <commentChain chainId="0077bc5c4a53c399f7b1f0b785255be21b2123ff">
          <item id="c8be8f18ac93426234b16f34a4aaf6596ebb619a" isNormal="1">
            <s:text>
              <s:r>
                <s:t xml:space="preserve">Administrator:
4/8 收缩膜日语警语贴纸 1404pcs
说明书日语警语贴纸 1404pcs</s:t>
              </s:r>
            </s:text>
          </item>
        </commentChain>
      </unresolved>
      <resolved/>
    </commentChains>
    <commentChains s:ref="AI991" rgbClr="FF0000">
      <unresolved>
        <commentChain chainId="2c081643a89f08e77a1bcc83e00bddcfcf781eb3">
          <item id="dc07a7283dd16bab82c22b05abe0b187837b5567" isNormal="1">
            <s:text>
              <s:r>
                <s:t xml:space="preserve">Administrator:
1403405 5/7 13440psc王4b7
1403408 5/7 720pcs
王4b7
1403415 5/8 840pcs五车间</s:t>
              </s:r>
            </s:text>
          </item>
        </commentChain>
      </unresolved>
      <resolved/>
    </commentChains>
    <commentChains s:ref="AL991" rgbClr="FF0000">
      <unresolved>
        <commentChain chainId="0af51e4dc82422003765659a5ac9f3234ba10a20">
          <item id="c582292b473ddd253ad8b03ae0fd604e1cde3017" isNormal="1">
            <s:text>
              <s:r>
                <s:t xml:space="preserve">Administrator:
4/13 空白贴纸 15000pcs
4/14 进口商贴纸 15000pcs</s:t>
              </s:r>
            </s:text>
          </item>
        </commentChain>
      </unresolved>
      <resolved/>
    </commentChains>
    <commentChains s:ref="AI992" rgbClr="FF0000">
      <unresolved>
        <commentChain chainId="ac9349b462d318789bbd1aaee402af9e3cf616e0">
          <item id="c9be1849bdd957e76e70484c6b5197d2bf7dd580" isNormal="1">
            <s:text>
              <s:r>
                <s:t xml:space="preserve">Administrator:
1403402 5/7 12600pcs张b14
1403405 5/7 2352psc张b14
1403408 5/7 48pcs张b14</s:t>
              </s:r>
            </s:text>
          </item>
        </commentChain>
      </unresolved>
      <resolved/>
    </commentChains>
    <commentChains s:ref="AI993" rgbClr="FF0000">
      <unresolved>
        <commentChain chainId="e9be6a74407b8169bf84a3bbe8b2e25e82171ee7">
          <item id="e25a13595b3d6ce35865f24352033661f44d649b" isNormal="1">
            <s:text>
              <s:r>
                <s:t xml:space="preserve">Administrator:
1403448 5/9 3712pcs
王4b8
1403453 5/9 3220pcs王4b8</s:t>
              </s:r>
            </s:text>
          </item>
        </commentChain>
      </unresolved>
      <resolved/>
    </commentChains>
    <commentChains s:ref="AL993" rgbClr="FF0000">
      <unresolved>
        <commentChain chainId="da1f1712cf4198c67d0aba09e1600f82bf09bc5a">
          <item id="4256085c1fbbbaeb958941e86d9d0f529b07b4c0" isNormal="1">
            <s:text>
              <s:r>
                <s:t xml:space="preserve">Administrator:
4/25 客供外箱条码贴纸 1750pcs</s:t>
              </s:r>
            </s:text>
          </item>
        </commentChain>
      </unresolved>
      <resolved/>
    </commentChains>
    <commentChains s:ref="AI994" rgbClr="FF0000">
      <unresolved>
        <commentChain chainId="0f42900e0005ec7dd85d3cdbfc58b07e6ff8fd15">
          <item id="bce913760fb791ec895137c589c68a248d372471" isNormal="1">
            <s:text>
              <s:r>
                <s:t xml:space="preserve">Administrator:
1403524 5/12 2364pcs张3a3</s:t>
              </s:r>
            </s:text>
          </item>
        </commentChain>
      </unresolved>
      <resolved/>
    </commentChains>
    <commentChains s:ref="AL994" rgbClr="FF0000">
      <unresolved>
        <commentChain chainId="6601e9c5de7d2b994549ade9475bccdf1d3ce6b0">
          <item id="b750c8608756e70e47c01170f53874caab0d9893" isNormal="1">
            <s:text>
              <s:r>
                <s:t xml:space="preserve">Administrator:
4/24 进口商贴纸 2364pcs
4/29 UPC贴纸 2364pcs</s:t>
              </s:r>
            </s:text>
          </item>
        </commentChain>
      </unresolved>
      <resolved/>
    </commentChains>
    <commentChains s:ref="AI995" rgbClr="FF0000">
      <unresolved>
        <commentChain chainId="d98077f87a8d3ceaf70bce0cebae5e5f1c476c96">
          <item id="65677c857330c7fcd54022fab54d930493386027" isNormal="1">
            <s:text>
              <s:r>
                <s:t xml:space="preserve">Administrator:
1403495 5/12 张3a1张3a1</s:t>
              </s:r>
            </s:text>
          </item>
        </commentChain>
      </unresolved>
      <resolved/>
    </commentChains>
    <commentChains s:ref="AL995" rgbClr="FF0000">
      <unresolved>
        <commentChain chainId="ecd07ad326101161a956342d759c49475dcc2718">
          <item id="c98b8ff4968e614cb14eeda8db61a3e066b5ac5d" isNormal="1">
            <s:text>
              <s:r>
                <s:t xml:space="preserve">Administrator:
4/23 挪威语警语贴纸 480pcs
</s:t>
              </s:r>
            </s:text>
          </item>
        </commentChain>
      </unresolved>
      <resolved/>
    </commentChains>
    <commentChains s:ref="AI997" rgbClr="FF0000">
      <unresolved>
        <commentChain chainId="2653f22b41d6cd1b01cbaf522c109b25842b4cff">
          <item id="5e50fee2087f4d2d0c95d045aa03ae4c31cf0178" isNormal="1">
            <s:text>
              <s:r>
                <s:t xml:space="preserve">Administrator:
1406175 5/9 3456pcs4b7
1406176 5/9 1548pcs 王b7</s:t>
              </s:r>
            </s:text>
          </item>
        </commentChain>
      </unresolved>
      <resolved/>
    </commentChains>
    <commentChains s:ref="AI998" rgbClr="FF0000">
      <unresolved>
        <commentChain chainId="1dfeb67eacda9e1ec19a9b36e31e97fa70e5a689">
          <item id="5300bda58ba26749309b2b3ae1a0651f80fd1ffd" isNormal="1">
            <s:text>
              <s:r>
                <s:t xml:space="preserve">Administrator:
1403483 5/13 852pcs 张b14</s:t>
              </s:r>
            </s:text>
          </item>
        </commentChain>
      </unresolved>
      <resolved/>
    </commentChains>
    <commentChains s:ref="AL998" rgbClr="FF0000">
      <unresolved>
        <commentChain chainId="b0b00233818e699b6b959a41bef48ff521d34ee8">
          <item id="cbede12468923f9e8b96af586065a874e838da79" isNormal="1">
            <s:text>
              <s:r>
                <s:t xml:space="preserve">Administrator:
4/13 UPC贴纸 852pcs
4/18 可折叠警语贴纸 852pcs
4/23 亚马逊外箱贴纸 71pcs
</s:t>
              </s:r>
            </s:text>
          </item>
        </commentChain>
      </unresolved>
      <resolved/>
    </commentChains>
    <commentChains s:ref="AI999" rgbClr="FF0000">
      <unresolved>
        <commentChain chainId="dcbd34b99588d7cdab8e62279bf92b8ab4c8cd18">
          <item id="0e9d4e50c8e08f4ab752a11a2f2109cfb47e725f" isNormal="1">
            <s:text>
              <s:r>
                <s:t xml:space="preserve">Administrator:
1403483 5/13 852pcs 张b14
</s:t>
              </s:r>
            </s:text>
          </item>
        </commentChain>
      </unresolved>
      <resolved/>
    </commentChains>
    <commentChains s:ref="AL999" rgbClr="FF0000">
      <unresolved>
        <commentChain chainId="62be5506df36023963c40ffc035b2cd35e8e6ba6">
          <item id="708f861de8851d77a55649e20a7fd9dacfc99a5f" isNormal="1">
            <s:text>
              <s:r>
                <s:t xml:space="preserve">Administrator:
4/13 UPC贴纸 852pcs
4/18 可折叠警语贴纸852pcs
4/28 亚马逊外箱贴纸 71pcs</s:t>
              </s:r>
            </s:text>
          </item>
        </commentChain>
      </unresolved>
      <resolved/>
    </commentChains>
    <commentChains s:ref="AI1002" rgbClr="FF0000">
      <unresolved>
        <commentChain chainId="3a0d8467e58007adf96d4833f06596588b21b1d9">
          <item id="a59b21cd872155afad21240248befce2e767d1a6" isNormal="1">
            <s:text>
              <s:r>
                <s:t xml:space="preserve">Administrator:
1403546 5/15 8000pcs张b1</s:t>
              </s:r>
            </s:text>
          </item>
        </commentChain>
      </unresolved>
      <resolved/>
    </commentChains>
    <commentChains s:ref="AI1003" rgbClr="FF0000">
      <unresolved>
        <commentChain chainId="1d53edcb7bb5e36b4e7cc07ee7994ba2c16520e9">
          <item id="f9647e1c83c1962417d5cd1faf9ac29b6d9911b8" isNormal="1">
            <s:text>
              <s:r>
                <s:t xml:space="preserve">Administrator:
1403546 5/15 4000pcs
张b1
</s:t>
              </s:r>
            </s:text>
          </item>
        </commentChain>
      </unresolved>
      <resolved/>
    </commentChains>
    <commentChains s:ref="AI1004" rgbClr="FF0000">
      <unresolved>
        <commentChain chainId="9af3b6c150bbdcc322835bca6a975f5cc647d7dd">
          <item id="434358971d22bb6c2aeffb2c29790e4d8724e27a" isNormal="1">
            <s:text>
              <s:r>
                <s:t xml:space="preserve">Administrator:
1403580 5/15 1956pcs张a9</s:t>
              </s:r>
            </s:text>
          </item>
        </commentChain>
      </unresolved>
      <resolved/>
    </commentChains>
    <commentChains s:ref="AL1004" rgbClr="FF0000">
      <unresolved>
        <commentChain chainId="98b12936dd24dca924cf3d45fc38c72c83544cd5">
          <item id="942b65dc43575181656f96ee161f50bb5c73f769" isNormal="1">
            <s:text>
              <s:r>
                <s:t xml:space="preserve">Administrator:
4/18 可折叠警语贴纸 1956pcs 
4/23 UPC贴纸 1956pcs
获奖贴纸 1956pc]s
4/23 亚马逊外箱贴纸 163pcs</s:t>
              </s:r>
            </s:text>
          </item>
        </commentChain>
      </unresolved>
      <resolved/>
    </commentChains>
    <commentChains s:ref="AI1005" rgbClr="FF0000">
      <unresolved>
        <commentChain chainId="d636a7ef9827762510642764a76da5ec0ecd9bfa">
          <item id="01fbb125bbbb647622dc0b4e20239d148382448b" isNormal="1">
            <s:text>
              <s:r>
                <s:t xml:space="preserve">Administrator:
1405882 5/14 16pcs
1403538 5/14 1984pcs王b9
</s:t>
              </s:r>
            </s:text>
          </item>
        </commentChain>
      </unresolved>
      <resolved/>
    </commentChains>
    <commentChains s:ref="AL1005" rgbClr="FF0000">
      <unresolved>
        <commentChain chainId="5a1499981e8053e512aa8346943873851cd05f23">
          <item id="d4ee5dfe644fbdfbd8b8625bdc2ca6114b7233d4" isNormal="1">
            <s:text>
              <s:r>
                <s:t xml:space="preserve">Administrator:
4/8 客供RFID贴纸 2000pcs
</s:t>
              </s:r>
            </s:text>
          </item>
        </commentChain>
      </unresolved>
      <resolved/>
    </commentChains>
    <commentChains s:ref="AI1006" rgbClr="FF0000">
      <unresolved>
        <commentChain chainId="1c5aac650778be8b2cc7532b8b44b5c97c163928">
          <item id="30412b45c314146d95eea8202fbde98c32ec740e" isNormal="1">
            <s:text>
              <s:r>
                <s:t xml:space="preserve">Administrator:
1405882 5/14 20pcs
1403538 5/14 3580pcs
王b10</s:t>
              </s:r>
            </s:text>
          </item>
        </commentChain>
      </unresolved>
      <resolved/>
    </commentChains>
    <commentChains s:ref="AL1006" rgbClr="FF0000">
      <unresolved>
        <commentChain chainId="e033259726ccd08e75ef20b5322305e0deb0d5bd">
          <item id="e5fba08016a3a960f5ab5bc5b8b5e3ada81c5023" isNormal="1">
            <s:text>
              <s:r>
                <s:t xml:space="preserve">Administrator:
4/8 客供RFID贴纸 3600pcs
</s:t>
              </s:r>
            </s:text>
          </item>
        </commentChain>
      </unresolved>
      <resolved/>
    </commentChains>
    <commentChains s:ref="AI1008" rgbClr="FF0000">
      <unresolved>
        <commentChain chainId="b2e494be3c955020fa8153222f65494f1a5d4c25">
          <item id="2b4dc4befb45b2870c7eaecb0def546b2309a056" isNormal="1">
            <s:text>
              <s:r>
                <s:t xml:space="preserve">Administrator:
1406145 5/15 5000pcs张b13</s:t>
              </s:r>
            </s:text>
          </item>
        </commentChain>
      </unresolved>
      <resolved/>
    </commentChains>
    <commentChains s:ref="AI1009" rgbClr="FF0000">
      <unresolved>
        <commentChain chainId="3725d6d67703cd291f590d2a5f8886d76de83b2f">
          <item id="8fe5ac764ce35cd73779263c4e1c04634cc8fdfb" isNormal="1">
            <s:text>
              <s:r>
                <s:t xml:space="preserve">Administrator:
1406124 5/19 1072pcs
张b1</s:t>
              </s:r>
            </s:text>
          </item>
        </commentChain>
      </unresolved>
      <resolved/>
    </commentChains>
    <commentChains s:ref="AL1009" rgbClr="FF0000">
      <unresolved>
        <commentChain chainId="a8a916d469e78892ffaeecc63dfef1b062aaf788">
          <item id="97471a7830fe528604dc1ab69a4671fc545335df" isNormal="1">
            <s:text>
              <s:r>
                <s:t xml:space="preserve">Administrator:
4/8 DC运输贴纸  134pcs
4/9 UPC贴纸 1072pcs
4/13 PDQ标识贴纸 134pcs
</s:t>
              </s:r>
            </s:text>
          </item>
        </commentChain>
      </unresolved>
      <resolved/>
    </commentChains>
    <commentChains s:ref="AI1010" rgbClr="FF0000">
      <unresolved>
        <commentChain chainId="0b03b9cb1ce47d8ed2398769935de894670ec478">
          <item id="40b0b4701ef272e11489648b9b5e41093342f71c" isNormal="1">
            <s:text>
              <s:r>
                <s:t xml:space="preserve">Administrator:
1406148 5/16 1332pcs
新b14
</s:t>
              </s:r>
            </s:text>
          </item>
        </commentChain>
      </unresolved>
      <resolved/>
    </commentChains>
    <commentChains s:ref="AL1010" rgbClr="FF0000">
      <unresolved>
        <commentChain chainId="6f0eac7819a3df3a7c518b63fbef5b7a38f97516">
          <item id="8c95144be16fd3a2558a39022f133421efdad8c3" isNormal="1">
            <s:text>
              <s:r>
                <s:t xml:space="preserve">Administrator:
5/7 客供亚马逊外箱贴纸 111pcs
</s:t>
              </s:r>
            </s:text>
          </item>
        </commentChain>
      </unresolved>
      <resolved/>
    </commentChains>
    <commentChains s:ref="AI1011" rgbClr="FF0000">
      <unresolved>
        <commentChain chainId="5908eb6aed610e0908bb90b994fae8b0cde3fc87">
          <item id="27f4699f160d53a2e1ed6eeb19dae9339cc4e3a2" isNormal="1">
            <s:text>
              <s:r>
                <s:t xml:space="preserve">Administrator:
1406148 5/16 204pcs
新b2
</s:t>
              </s:r>
            </s:text>
          </item>
        </commentChain>
      </unresolved>
      <resolved/>
    </commentChains>
    <commentChains s:ref="AL1011" rgbClr="FF0000">
      <unresolved>
        <commentChain chainId="2b8f168571a0f574a56eeb333fdd676d1dfb6a26">
          <item id="90e4846af3b351f69ce0d8af029ed0463ee2ffa8" isNormal="1">
            <s:text>
              <s:r>
                <s:t xml:space="preserve">Administrator:
4/28 警语贴纸 204pcs
黑白荷兰语说明贴纸 204pcs
1-内袋警语贴纸 204pcs
2-内袋警语贴纸 204pcs</s:t>
              </s:r>
            </s:text>
          </item>
        </commentChain>
      </unresolved>
      <resolved/>
    </commentChains>
    <commentChains s:ref="AI1012" rgbClr="FF0000">
      <unresolved>
        <commentChain chainId="ca15cd4ef1ffe14e10cff52d4ea154baa937cfe5">
          <item id="bf0ed394b0ce0e49730f17f52509c5811c932b4c" isNormal="1">
            <s:text>
              <s:r>
                <s:t xml:space="preserve">Administrator:
1406148 5/16 900pcs
新b2
</s:t>
              </s:r>
            </s:text>
          </item>
        </commentChain>
      </unresolved>
      <resolved/>
    </commentChains>
    <commentChains s:ref="AL1012" rgbClr="FF0000">
      <unresolved>
        <commentChain chainId="4532e69650eaabfa0beeb7187a7ca4b755da0298">
          <item id="a5f3c5fa76af9634ca34a09dad57213c69fe7622" isNormal="1">
            <s:text>
              <s:r>
                <s:t xml:space="preserve">Administrator:
4/28 警语贴纸 900pcs
黑白荷兰语说明贴纸 900pcs
1-内袋警语贴纸 900pcs
2-内袋警语贴纸 900pcs
</s:t>
              </s:r>
            </s:text>
          </item>
        </commentChain>
      </unresolved>
      <resolved/>
    </commentChains>
    <commentChains s:ref="AI1013" rgbClr="FF0000">
      <unresolved>
        <commentChain chainId="dec00fdd83dcdbb0c27b696057720fafa4b8eb6a">
          <item id="133af0c392a0233b44ea8a53a246a92955271373" isNormal="1">
            <s:text>
              <s:r>
                <s:t xml:space="preserve">Administrator:
1403584 5/16 2604pcs王4b9</s:t>
              </s:r>
            </s:text>
          </item>
        </commentChain>
      </unresolved>
      <resolved/>
    </commentChains>
    <commentChains s:ref="AL1013" rgbClr="FF0000">
      <unresolved>
        <commentChain chainId="86c99dc40e457ab32d6305b41e813e423137faa4">
          <item id="e66073f2d683c0142f1da8fed16bf20be18a4d31" isNormal="1">
            <s:text>
              <s:r>
                <s:t xml:space="preserve">Administrator:
4/28 警语贴纸 2604pcs
黑白荷兰语说明贴纸 2604pcs
1-内袋警语贴纸 2604pcs
2-内袋警语贴纸 2604pcs
</s:t>
              </s:r>
            </s:text>
          </item>
        </commentChain>
      </unresolved>
      <resolved/>
    </commentChains>
    <commentChains s:ref="AI1014" rgbClr="FF0000">
      <unresolved>
        <commentChain chainId="87ef388755ce1e9fd441e60f4e81b84ab68c2713">
          <item id="0cd7f0d29865042e5daf153cdcb3442415df6500" isNormal="1">
            <s:text>
              <s:r>
                <s:t xml:space="preserve">Administrator:
1403584 5/16 10008pcs
王4a10</s:t>
              </s:r>
            </s:text>
          </item>
        </commentChain>
      </unresolved>
      <resolved/>
    </commentChains>
    <commentChains s:ref="AL1014" rgbClr="FF0000">
      <unresolved>
        <commentChain chainId="fa7a9d6743cc111d7c6b55bfeaaebc75f8bbd688">
          <item id="5cc47fba88af85f0b922d59047526ed133dfb8f5" isNormal="1">
            <s:text>
              <s:r>
                <s:t xml:space="preserve">Administrator:
4/28 警语贴纸 10008pcs
黑白荷兰语说明贴纸 10008pcs
1-内袋警语贴纸 10008pcs
2-内袋警语贴纸 10008pcs</s:t>
              </s:r>
            </s:text>
          </item>
        </commentChain>
      </unresolved>
      <resolved/>
    </commentChains>
    <commentChains s:ref="AI1015" rgbClr="FF0000">
      <unresolved>
        <commentChain chainId="7b867aa12fc33cb1a12a720d7ab6e35bd523da5c">
          <item id="d8d950d13b3f2529ee68ef717b22b8b772382c58" isNormal="1">
            <s:text>
              <s:r>
                <s:t xml:space="preserve">Administrator:
1403615 5/17 1008pcs
新a5</s:t>
              </s:r>
            </s:text>
          </item>
        </commentChain>
      </unresolved>
      <resolved/>
    </commentChains>
    <commentChains s:ref="AL1015" rgbClr="FF0000">
      <unresolved>
        <commentChain chainId="d83ff7c2233dd7542ce3ee669cee0e14120db445">
          <item id="a12625b6cfe36ce06c36c8f80797ddbead0e3b61" isNormal="1">
            <s:text>
              <s:r>
                <s:t xml:space="preserve">Administrator:
4/28 警语贴纸 1008pcs
黑白荷兰语说明贴纸1008pcs
1-内袋警语贴纸 1008pcs
2-内袋警语贴纸 1008pcs</s:t>
              </s:r>
            </s:text>
          </item>
        </commentChain>
      </unresolved>
      <resolved/>
    </commentChains>
    <commentChains s:ref="AI1017" rgbClr="FF0000">
      <unresolved>
        <commentChain chainId="aa769b0d937a35d03fe15a2043501f69781aa23c">
          <item id="b5ac63d7870f767eac34156f4e2c5e9c808801b5" isNormal="1">
            <s:text>
              <s:r>
                <s:t xml:space="preserve">Administrator:
1406148 5/16 720pcs
新b2</s:t>
              </s:r>
            </s:text>
          </item>
        </commentChain>
      </unresolved>
      <resolved/>
    </commentChains>
    <commentChains s:ref="AL1017" rgbClr="FF0000">
      <unresolved>
        <commentChain chainId="d056a9ef030fca905fd341a9246f67ecbdbd0980">
          <item id="21f3b33d3d218b333bd8872edb19b0d3c917452f" isNormal="1">
            <s:text>
              <s:r>
                <s:t xml:space="preserve">Administrator:
5/13 收缩膜贴纸 720pcs
1-纸袋子贴纸 720pcs
2-纸袋子贴纸 2160pcs</s:t>
              </s:r>
            </s:text>
          </item>
        </commentChain>
      </unresolved>
      <resolved/>
    </commentChains>
    <commentChains s:ref="AI1018" rgbClr="FF0000">
      <unresolved>
        <commentChain chainId="e95a3c110e15ed5edcc8c1a32135074afc49f4e8">
          <item id="a99b34d72a4f0e8a95e69beee9113f43ae357b25" isNormal="1">
            <s:text>
              <s:r>
                <s:t xml:space="preserve">Administrator:
1406148 5/16 2400pcs新b14</s:t>
              </s:r>
            </s:text>
          </item>
        </commentChain>
      </unresolved>
      <resolved/>
    </commentChains>
    <commentChains s:ref="AL1018" rgbClr="FF0000">
      <unresolved>
        <commentChain chainId="c22d4a7e40caf950edbcfbe2051047c0ba96f6fc">
          <item id="6f9c94fb00fcbbf8bb77db722f21f29267838391" isNormal="1">
            <s:text>
              <s:r>
                <s:t xml:space="preserve">Administrator:
5/4 进口商贴纸 2400pcs
UPC贴纸 2400pcs</s:t>
              </s:r>
            </s:text>
          </item>
        </commentChain>
      </unresolved>
      <resolved/>
    </commentChains>
    <commentChains s:ref="AI1019" rgbClr="FF0000">
      <unresolved>
        <commentChain chainId="fc835ac4e4997d8c0fd1361eb6a0a0c3c7fa8257">
          <item id="2cb940f4b38cfd77629a4122424c97dafaae63d3" isNormal="1">
            <s:text>
              <s:r>
                <s:t xml:space="preserve">Administrator:
1406148 5/16 3588pcs
张3c11403604 5/19 12pcs张3c1</s:t>
              </s:r>
            </s:text>
          </item>
        </commentChain>
      </unresolved>
      <resolved/>
    </commentChains>
    <commentChains s:ref="AI1020" rgbClr="FF0000">
      <unresolved>
        <commentChain chainId="3d2f8a7bc86a56495ed1d09b25d9788d197bbff1">
          <item id="7d4da52071991a92904866273fb27deb9542ba9f" isNormal="1">
            <s:text>
              <s:r>
                <s:t xml:space="preserve">Administrator:
1403640 5/20 1992pc张a9s
1403640 5/20 12pcs
杨a91403321 5/24 12pcs
</s:t>
              </s:r>
            </s:text>
          </item>
        </commentChain>
      </unresolved>
      <resolved/>
    </commentChains>
    <commentChains s:ref="AL1020" rgbClr="FF0000">
      <unresolved>
        <commentChain chainId="02892d9ce72a6cc44054b55e0669a6a785da0753">
          <item id="46adfcaaf36a00db12a2da06356c1e485b8f7d82" isNormal="1">
            <s:text>
              <s:r>
                <s:t xml:space="preserve">Administrator:
5/8 进口商贴纸 2004pcs
UPC贴纸 2004pcs</s:t>
              </s:r>
            </s:text>
          </item>
        </commentChain>
      </unresolved>
      <resolved/>
    </commentChains>
    <commentChains s:ref="AI1021" rgbClr="FF0000">
      <unresolved>
        <commentChain chainId="5d9e49e4d810a229120dddfd6446159c073793f9">
          <item id="9bce986b72bc33601e197b9425437eae76b24714" isNormal="1">
            <s:text>
              <s:r>
                <s:t xml:space="preserve">Administrator:
1406124 5/19 996pcs
张b1</s:t>
              </s:r>
            </s:text>
          </item>
        </commentChain>
      </unresolved>
      <resolved/>
    </commentChains>
    <commentChains s:ref="AL1021" rgbClr="FF0000">
      <unresolved>
        <commentChain chainId="8c952b1e86f737c3df641d4ad76b7aea63aa23ff">
          <item id="76e79bdfad0a1294720be06447ca2ccfaa9289e0" isNormal="1">
            <s:text>
              <s:r>
                <s:t xml:space="preserve">Administrator:
4/20 客供价格贴纸 1096pcs</s:t>
              </s:r>
            </s:text>
          </item>
        </commentChain>
      </unresolved>
      <resolved/>
    </commentChains>
    <commentChains s:ref="AI1022" rgbClr="FF0000">
      <unresolved>
        <commentChain chainId="ef76821f5498376461b81ad47d5fd967bccd779a">
          <item id="af8827c6f34c0436263747efc9e50903a1ead825" isNormal="1">
            <s:text>
              <s:r>
                <s:t xml:space="preserve">Administrator:
1406124 5/19 1200pcs
张a6
</s:t>
              </s:r>
            </s:text>
          </item>
        </commentChain>
      </unresolved>
      <resolved/>
    </commentChains>
    <commentChains s:ref="AL1022" rgbClr="FF0000">
      <unresolved>
        <commentChain chainId="b474005a615e95df98b883b03c27d255b67a33fb">
          <item id="edcaf28cf730879fd4869d98129f3b4012ca5a21" isNormal="1">
            <s:text>
              <s:r>
                <s:t xml:space="preserve">Administrator:
4/20 客供价格贴纸13206pcs
</s:t>
              </s:r>
            </s:text>
          </item>
        </commentChain>
      </unresolved>
      <resolved/>
    </commentChains>
    <commentChains s:ref="AI1023" rgbClr="FF0000">
      <unresolved>
        <commentChain chainId="2bf3c8c6a13a33df4503ff8f0d04912e664dce8e">
          <item id="b1ae785a66ad127fad70edcdcf35266ebd1a0dcd" isNormal="1">
            <s:text>
              <s:r>
                <s:t xml:space="preserve">Administrator:
1403604 5/19 9240pcs张3c2\c1
1403632 5/19 4200pcs王3a1
1403635 5/20 1560pcs张3c1</s:t>
              </s:r>
            </s:text>
          </item>
        </commentChain>
      </unresolved>
      <resolved/>
    </commentChains>
    <commentChains s:ref="AL1023" rgbClr="FF0000">
      <unresolved>
        <commentChain chainId="3916c7f4008b38eac5d4ee8167c8a6fb70c9e68b">
          <item id="d0a61b67cb3da6f16cac6a1a486979e234fafdd7" isNormal="1">
            <s:text>
              <s:r>
                <s:t xml:space="preserve">Administrator:
4/28 空白贴纸 15000
5/5 进口商贴纸 15000pcs</s:t>
              </s:r>
            </s:text>
          </item>
        </commentChain>
      </unresolved>
      <resolved/>
    </commentChains>
    <commentChains s:ref="AI1024" rgbClr="FF0000">
      <unresolved>
        <commentChain chainId="4cce881891877848779b21836166a04b727b7315">
          <item id="6a5e99cb3270affc8424690f9cd5912821612f1f" isNormal="1">
            <s:text>
              <s:r>
                <s:t xml:space="preserve">Administrator:
1403640 5/20 2094 pcs 张b14
1403307 5/22 744pcs新b14
</s:t>
              </s:r>
            </s:text>
          </item>
        </commentChain>
      </unresolved>
      <resolved/>
    </commentChains>
    <commentChains s:ref="AL1024" rgbClr="FF0000">
      <unresolved>
        <commentChain chainId="e815833be2d3088ba2177ebf83a5fc1ec959258a">
          <item id="b51ed49125e85e41b9ca563c48530d071577b798" isNormal="1">
            <s:text>
              <s:r>
                <s:t xml:space="preserve">Administrator:
5/11 进口商贴纸 2100pcs</s:t>
              </s:r>
            </s:text>
          </item>
        </commentChain>
      </unresolved>
      <resolved/>
    </commentChains>
    <commentChains s:ref="AI1025" rgbClr="FF0000">
      <unresolved>
        <commentChain chainId="07e2c9685efa40470fcd9d34d125203ad13740b9">
          <item id="082dcb1c84810758d28ea52810749ce52f004868" isNormal="1">
            <s:text>
              <s:r>
                <s:t xml:space="preserve">Administrator:
1403584 5/16 840pcs王b9
 1403604 5/19 12pcs</s:t>
              </s:r>
            </s:text>
          </item>
        </commentChain>
      </unresolved>
      <resolved/>
    </commentChains>
    <commentChains s:ref="AL1025" rgbClr="FF0000">
      <unresolved>
        <commentChain chainId="1cbc02fd3d51c7805077008fecbb3de348ffeb28">
          <item id="110d9747a659867c3b14f2c345bdc4825370acdd" isNormal="1">
            <s:text>
              <s:r>
                <s:t xml:space="preserve">Administrator:
5/7 亚马逊外箱贴纸71pcs
4/24 可折叠警语贴纸 852pcs
4/25 UPC贴纸 852pcs</s:t>
              </s:r>
            </s:text>
          </item>
        </commentChain>
      </unresolved>
      <resolved/>
    </commentChains>
    <commentChains s:ref="AI1026" rgbClr="FF0000">
      <unresolved>
        <commentChain chainId="8efe8bcee9e2d68afd90afedd53fd7b0575f5d1c">
          <item id="61ce414c6769b67af5f1dd1071dba277c41ec130" isNormal="1">
            <s:text>
              <s:r>
                <s:t xml:space="preserve">Administrator:
1406148 5/16 624pcs
新b2
</s:t>
              </s:r>
            </s:text>
          </item>
        </commentChain>
      </unresolved>
      <resolved/>
    </commentChains>
    <commentChains s:ref="AL1026" rgbClr="FF0000">
      <unresolved>
        <commentChain chainId="1342ad546a2c59dd496a6444dbc4ca13eb68c87c">
          <item id="de30683c83b8f31abc7ed4cc41bd73a81815d670" isNormal="1">
            <s:text>
              <s:r>
                <s:t xml:space="preserve">Administrator:
4/24 可折叠警语贴纸 624pcs
4/25 UPC贴纸 624pcs/
4/23 亚马逊外箱贴纸 52pcs</s:t>
              </s:r>
            </s:text>
          </item>
        </commentChain>
      </unresolved>
      <resolved/>
    </commentChains>
    <commentChains s:ref="AI1027" rgbClr="FF0000">
      <unresolved>
        <commentChain chainId="6af070750dbddbd0dd4be42eade02780c3c36f09">
          <item id="cb4a49b36496b293d35cd70fc60cb8cdd8ab3608" isNormal="1">
            <s:text>
              <s:r>
                <s:t xml:space="preserve">Administrator:
1403315 5/22 600pcs
新b3
1403321 5/24 12pcs
杨b3</s:t>
              </s:r>
            </s:text>
          </item>
        </commentChain>
      </unresolved>
      <resolved/>
    </commentChains>
    <commentChains s:ref="AL1027" rgbClr="FF0000">
      <unresolved>
        <commentChain chainId="48a2502602f84373fedcdbbca0b6a8f62aef064c">
          <item id="90ce0d5d552eaabec178829ea1dca3bf29fd451d" isNormal="1">
            <s:text>
              <s:r>
                <s:t xml:space="preserve">Administrator:
5/8 客户款号EAN条码贴纸 600pcs
Kinderherz 2025 Logo3 600pcs
德语警告语贴纸 600pcs
地址上贴纸 600pcs</s:t>
              </s:r>
            </s:text>
          </item>
        </commentChain>
      </unresolved>
      <resolved/>
    </commentChains>
    <commentChains s:ref="AI1028" rgbClr="FF0000">
      <unresolved>
        <commentChain chainId="f0f752c4054ef2a7e48bac42ff8aee862fc83f8c">
          <item id="a00324e7d838a8ad0703776ecbd465e0cf1b9498" isNormal="1">
            <s:text>
              <s:r>
                <s:t xml:space="preserve">Administrator:
1403319 5/24 1400pcs
杨b14
1403321 5/24 1604pcs
杨b14
1403353 5/25 188pcs杨应b14</s:t>
              </s:r>
            </s:text>
          </item>
        </commentChain>
      </unresolved>
      <resolved/>
    </commentChains>
    <commentChains s:ref="AL1028" rgbClr="FF0000">
      <unresolved>
        <commentChain chainId="ef6bab0b65abc2baeca10949bd7abfd1acca8192">
          <item id="61f7c34be14650c8ab543599271d91024a650d5b" isNormal="1">
            <s:text>
              <s:r>
                <s:t xml:space="preserve">Administrator:
5/11 大语警告语贴 3192pcs
小语警告语贴 22344pcs
5/18 多语折叠警语贴纸 3192pcs</s:t>
              </s:r>
            </s:text>
          </item>
        </commentChain>
      </unresolved>
      <resolved/>
    </commentChains>
    <commentChains s:ref="AI1029" rgbClr="FF0000">
      <unresolved>
        <commentChain chainId="8e216441ef732632b1f8765a255dc89a02481736">
          <item id="3e8914c8159de3f75c1e908bb09b9ad2ac4a7cb8" isNormal="1">
            <s:text>
              <s:r>
                <s:t xml:space="preserve">Administrator:
1403307 5/22 744pcs新a6</s:t>
              </s:r>
            </s:text>
          </item>
        </commentChain>
      </unresolved>
      <resolved/>
    </commentChains>
    <commentChains s:ref="AL1029" rgbClr="FF0000">
      <unresolved>
        <commentChain chainId="1f59a559e54d766abdf5383bfd2e2e40385d25bb">
          <item id="9844caac5b61d16e9420a06e6cbe5f260726f403" isNormal="1">
            <s:text>
              <s:r>
                <s:t xml:space="preserve">Administrator:
5/7 客供亚马逊外箱贴纸 62pcs</s:t>
              </s:r>
            </s:text>
          </item>
        </commentChain>
      </unresolved>
      <resolved/>
    </commentChains>
    <commentChains s:ref="AI1030" rgbClr="FF0000">
      <unresolved>
        <commentChain chainId="ea0c4c5d5b2c91751ab3842bc5b379cf849d1830">
          <item id="59e8bd32622275c45f184df819f89960233e3b48" isNormal="1">
            <s:text>
              <s:r>
                <s:t xml:space="preserve">Administrator:
1403311 5/22 1356pcs新b14</s:t>
              </s:r>
            </s:text>
          </item>
        </commentChain>
      </unresolved>
      <resolved/>
    </commentChains>
    <commentChains s:ref="AL1030" rgbClr="FF0000">
      <unresolved>
        <commentChain chainId="50d06e02525c5148699db36cd05a9ca0554b383a">
          <item id="a8860bee78fa31c92b8f0a4e9ba44262b93eb855" isNormal="1">
            <s:text>
              <s:r>
                <s:t xml:space="preserve">Administrator:
5/7 客供亚马逊外箱贴纸 113pcs
</s:t>
              </s:r>
            </s:text>
          </item>
        </commentChain>
      </unresolved>
      <resolved/>
    </commentChains>
    <commentChains s:ref="AI1031" rgbClr="FF0000">
      <unresolved>
        <commentChain chainId="e86b5fbb991c09db422a5ac0cb814f869d30b3bc">
          <item id="5dc237b5dfaa7a2797697bd596ca6e56bd230ff7" isNormal="1">
            <s:text>
              <s:r>
                <s:t xml:space="preserve">Administrator:
1403307 5/22 1300pcs 新b1</s:t>
              </s:r>
            </s:text>
          </item>
        </commentChain>
      </unresolved>
      <resolved/>
    </commentChains>
    <commentChains s:ref="AL1031" rgbClr="FF0000">
      <unresolved>
        <commentChain chainId="6005bd31e47a1f99d31261270189548bedb8e0c1">
          <item id="4aa00763a633c5afa9ff1d62eb1b8135b6f1b3b2" isNormal="1">
            <s:text>
              <s:r>
                <s:t xml:space="preserve">Administrator:
5/8 4国警告语贴纸 1300pcs</s:t>
              </s:r>
            </s:text>
          </item>
        </commentChain>
      </unresolved>
      <resolved/>
    </commentChains>
    <commentChains s:ref="AI1032" rgbClr="FF0000">
      <unresolved>
        <commentChain chainId="8fdecf5143a1c78e1f6c87dab6fea887356ba047">
          <item id="d91e33a9ef337ec8310d335fd0f142e056639d28" isNormal="1">
            <s:text>
              <s:r>
                <s:t xml:space="preserve">Administrator:
1403311 5/22 2172pcs新a6</s:t>
              </s:r>
            </s:text>
          </item>
        </commentChain>
      </unresolved>
      <resolved/>
    </commentChains>
    <commentChains s:ref="AL1032" rgbClr="FF0000">
      <unresolved>
        <commentChain chainId="a401e9135ee625a25b640518d5915013ab4ca75c">
          <item id="c431f16f806ef86502f2ebb1fbf0f0669f886791" isNormal="1">
            <s:text>
              <s:r>
                <s:t xml:space="preserve">Administrator:
5/7 客供亚马逊外箱贴纸 181pcs
</s:t>
              </s:r>
            </s:text>
          </item>
        </commentChain>
      </unresolved>
      <resolved/>
    </commentChains>
    <commentChains s:ref="AI1033" rgbClr="FF0000">
      <unresolved>
        <commentChain chainId="9fe0b42781ba4add6d9e5f46a5b454710818e7d3">
          <item id="453c51c1970dada0763737143ae73955e4010462" isNormal="1">
            <s:text>
              <s:r>
                <s:t xml:space="preserve">Administrator:
1403351 5/25 8pcs
52800012 5/27 792pcs</s:t>
              </s:r>
            </s:text>
          </item>
        </commentChain>
      </unresolved>
      <resolved/>
    </commentChains>
    <commentChains s:ref="AL1033" rgbClr="FF0000">
      <unresolved>
        <commentChain chainId="697afd056dd8caa49602638def8a52ab0dc98d29">
          <item id="143912445ef27e70d1232dce9584244a5e10a90a" isNormal="1">
            <s:text>
              <s:r>
                <s:t xml:space="preserve">Administrator:
4/25 客供RFID贴纸 800pcs</s:t>
              </s:r>
            </s:text>
          </item>
        </commentChain>
      </unresolved>
      <resolved/>
    </commentChains>
    <commentChains s:ref="AI1034" rgbClr="FF0000">
      <unresolved>
        <commentChain chainId="09b133fe353efd2e6e268010836c0c67aca18bb9">
          <item id="fa10a2805e0b3a63bba3b99cbb62b382d72fc031" isNormal="1">
            <s:text>
              <s:r>
                <s:t xml:space="preserve">Administrator:
1403351 5/25 8pcs
52800012 5/27 4392pcs
</s:t>
              </s:r>
            </s:text>
          </item>
        </commentChain>
      </unresolved>
      <resolved/>
    </commentChains>
    <commentChains s:ref="AL1034" rgbClr="FF0000">
      <unresolved>
        <commentChain chainId="5384f79d4098edf3c3a6e907c10f40c04de7ecda">
          <item id="b00a0c807ce643c2611e469443c751b35898b1b2" isNormal="1">
            <s:text>
              <s:r>
                <s:t xml:space="preserve">Administrator:
4/25 客供FID贴纸 4400pcs</s:t>
              </s:r>
            </s:text>
          </item>
        </commentChain>
      </unresolved>
      <resolved/>
    </commentChains>
    <commentChains s:ref="AI1035" rgbClr="FF0000">
      <unresolved>
        <commentChain chainId="a46bb5335d67a64950885ad58f620608a33ccb83">
          <item id="3299750e48bb0da13137cf1e921f9c724875d762" isNormal="1">
            <s:text>
              <s:r>
                <s:t xml:space="preserve">Administrator:
1403351 5/25 8pcs
52800012 5/27 3192pcs
</s:t>
              </s:r>
            </s:text>
          </item>
        </commentChain>
      </unresolved>
      <resolved/>
    </commentChains>
    <commentChains s:ref="AL1035" rgbClr="FF0000">
      <unresolved>
        <commentChain chainId="a2aa923b309a3d06418a1fccbb0503c2748e72b3">
          <item id="43a92bb0d8b2685e1e3ece30295f4d6f9672d404" isNormal="1">
            <s:text>
              <s:r>
                <s:t xml:space="preserve">Administrator:
4/25 客供FID贴纸 3200pcs
</s:t>
              </s:r>
            </s:text>
          </item>
        </commentChain>
      </unresolved>
      <resolved/>
    </commentChains>
    <commentChains s:ref="AI1036" rgbClr="FF0000">
      <unresolved>
        <commentChain chainId="32d6bab3287842e79746ebc19947da4dcabb82d6">
          <item id="2237809a3814a596b512b6fccf2cd68543669284" isNormal="1">
            <s:text>
              <s:r>
                <s:t xml:space="preserve">Administrator:
1403351 5/25 8pcs
52800012 5/27 792pcs
</s:t>
              </s:r>
            </s:text>
          </item>
        </commentChain>
      </unresolved>
      <resolved/>
    </commentChains>
    <commentChains s:ref="AL1036" rgbClr="FF0000">
      <unresolved>
        <commentChain chainId="3c066ab066015b2645971c3dfcfb290db0e25928">
          <item id="572c8196dde12faad9c75febcf5b155f91adee45" isNormal="1">
            <s:text>
              <s:r>
                <s:t xml:space="preserve">Administrator:
4/25 客供FID贴纸800pcs
</s:t>
              </s:r>
            </s:text>
          </item>
        </commentChain>
      </unresolved>
      <resolved/>
    </commentChains>
    <commentChains s:ref="AI1037" rgbClr="FF0000">
      <unresolved>
        <commentChain chainId="8b73e884a9cfddb8ed104bd88ade91ff317608a2">
          <item id="22ad69cdca2e1f4f50234dfa477584ca5518f197" isNormal="1">
            <s:text>
              <s:r>
                <s:t xml:space="preserve">Administrator:
1403351 5/25 8pcs
52800012 5/27 4392pcs
</s:t>
              </s:r>
            </s:text>
          </item>
        </commentChain>
      </unresolved>
      <resolved/>
    </commentChains>
    <commentChains s:ref="AL1037" rgbClr="FF0000">
      <unresolved>
        <commentChain chainId="d2c34c3cad694163e49686ec5095c1d094e0a7fa">
          <item id="01ed6aacc8b58810327f9a4cf0bfec3f86037037" isNormal="1">
            <s:text>
              <s:r>
                <s:t xml:space="preserve">Administrator:
4/25 客供FID贴纸 4400pcs
</s:t>
              </s:r>
            </s:text>
          </item>
        </commentChain>
      </unresolved>
      <resolved/>
    </commentChains>
    <commentChains s:ref="AI1038" rgbClr="FF0000">
      <unresolved>
        <commentChain chainId="4c11dafaf3edc4db8429b17ee36ce78733fa6f0c">
          <item id="7e75ecb77ab22d46046938fd04b3d1a202a59f63" isNormal="1">
            <s:text>
              <s:r>
                <s:t xml:space="preserve">Administrator:
1403311 5/22 3228pcs
新a6
</s:t>
              </s:r>
            </s:text>
          </item>
        </commentChain>
      </unresolved>
      <resolved/>
    </commentChains>
    <commentChains s:ref="AL1038" rgbClr="FF0000">
      <unresolved>
        <commentChain chainId="e57289454ca8aba8c5f40e9e01b7631cf9990262">
          <item id="aecccd50abb4343b8fc264a7c60f49bb8f8f38d1" isNormal="1">
            <s:text>
              <s:r>
                <s:t xml:space="preserve">Administrator:
5/7 客供亚马逊外箱贴纸 269pcs
</s:t>
              </s:r>
            </s:text>
          </item>
        </commentChain>
      </unresolved>
      <resolved/>
    </commentChains>
    <commentChains s:ref="AI1039" rgbClr="FF0000">
      <unresolved>
        <commentChain chainId="323289916a0317fc2a7ab1896ede7e11dc3aeebe">
          <item id="481addd9cc5f10cd9e494492140656df44316fa0" isNormal="1">
            <s:text>
              <s:r>
                <s:t xml:space="preserve">Administrator:
1403307 5/22 1200pcs新b6</s:t>
              </s:r>
            </s:text>
          </item>
        </commentChain>
      </unresolved>
      <resolved/>
    </commentChains>
    <commentChains s:ref="AL1039" rgbClr="FF0000">
      <unresolved>
        <commentChain chainId="7c697bb3dfffe79a9fc57e71b78b18b1d2cec096">
          <item id="c30ca82258475d586eb4014e2db48095a02a34be" isNormal="1">
            <s:text>
              <s:r>
                <s:t xml:space="preserve">Administrator:
5/4 客户进口商贴纸 1200pcs</s:t>
              </s:r>
            </s:text>
          </item>
        </commentChain>
      </unresolved>
      <resolved/>
    </commentChains>
    <commentChains s:ref="AI1040" rgbClr="FF0000">
      <unresolved>
        <commentChain chainId="fbbeaae9e4aebbbc5fe41694d935e5c86ceb4dfd">
          <item id="39c664a2f1c59a4e0584192b3b8ee5a59d6cc599" isNormal="1">
            <s:text>
              <s:r>
                <s:t xml:space="preserve">Administrator:
1403311 5/22 1500pcs
新b14</s:t>
              </s:r>
            </s:text>
          </item>
        </commentChain>
      </unresolved>
      <resolved/>
    </commentChains>
    <commentChains s:ref="AL1040" rgbClr="FF0000">
      <unresolved>
        <commentChain chainId="3e61b83172925f80bb3202f71e98ab5981299aca">
          <item id="1e3adcc8a5aa10d1b1486c5f345b88edffd19aee" isNormal="1">
            <s:text>
              <s:r>
                <s:t xml:space="preserve">Administrator:
5/5 cat label 1500pcs</s:t>
              </s:r>
            </s:text>
          </item>
        </commentChain>
      </unresolved>
      <resolved/>
    </commentChains>
    <commentChains s:ref="AI1041" rgbClr="FF0000">
      <unresolved>
        <commentChain chainId="d8f5d3c1f38da6cbc359e55d8b2c8f77a6566391">
          <item id="38f111d2785f7a34f66cc554442b3ad74fc7f237" isNormal="1">
            <s:text>
              <s:r>
                <s:t xml:space="preserve">Administrator:
1403311 5/22 1500pcs
</s:t>
              </s:r>
            </s:text>
          </item>
        </commentChain>
      </unresolved>
      <resolved/>
    </commentChains>
    <commentChains s:ref="AL1041" rgbClr="FF0000">
      <unresolved>
        <commentChain chainId="00e7ed790afa5044c27d55c011c2d36336b5cea2">
          <item id="26a53e2b6ba813fbbb9591ad5d851a52ff47f1b5" isNormal="1">
            <s:text>
              <s:r>
                <s:t xml:space="preserve">Administrator:
5/7 客供亚马逊外箱贴纸 125pcs
</s:t>
              </s:r>
            </s:text>
          </item>
        </commentChain>
      </unresolved>
      <resolved/>
    </commentChains>
    <commentChains s:ref="AI1042" rgbClr="FF0000">
      <unresolved>
        <commentChain chainId="980683464ad87a42afa4aa3509e9f65fc79e7c11">
          <item id="641845f532b6e8c10b8cbceabb01bccbcabe0739" isNormal="1">
            <s:text>
              <s:r>
                <s:t xml:space="preserve">Administrator:
1403293 5/21 1760pcs王4b5</s:t>
              </s:r>
            </s:text>
          </item>
        </commentChain>
      </unresolved>
      <resolved/>
    </commentChains>
    <commentChains s:ref="AL1042" rgbClr="FF0000">
      <unresolved>
        <commentChain chainId="e4fd588d495d5a9f0298efdc892389a49033717d">
          <item id="6ec6848c889dce050d55321a4cfc5710b7f62b2a" isNormal="1">
            <s:text>
              <s:r>
                <s:t xml:space="preserve">Administrator:
4/8 DC运输贴纸 220pcs
4/9 UPC贴纸 1760pcs
4/13 PDQ标识贴纸 220pcs
5/18 DC运输贴纸 80pcs</s:t>
              </s:r>
            </s:text>
          </item>
        </commentChain>
      </unresolved>
      <resolved/>
    </commentChains>
    <commentChains s:ref="AI1043" rgbClr="FF0000">
      <unresolved>
        <commentChain chainId="14ef5ab92891d1a81db31a8bea1f41076d12ecd5">
          <item id="5963b650018cdbb21c88b34395fc9f054f02b815" isNormal="1">
            <s:text>
              <s:r>
                <s:t xml:space="preserve">Administrator:
1403293 5/21 976pcs王4a2</s:t>
              </s:r>
            </s:text>
          </item>
        </commentChain>
      </unresolved>
      <resolved/>
    </commentChains>
    <commentChains s:ref="AL1043" rgbClr="FF0000">
      <unresolved>
        <commentChain chainId="9d7ab321015660a71c27c60bf75e6feb4cc8cd00">
          <item id="dc6c3fab97d122736961bacfa26e9c8d6b8037b6" isNormal="1">
            <s:text>
              <s:r>
                <s:t xml:space="preserve">Administrator:
4/8 DC运输贴纸  222pcs
4/9 UPC贴纸 976pcs
4/13 PDQ标识贴纸 122pcs
</s:t>
              </s:r>
            </s:text>
          </item>
        </commentChain>
      </unresolved>
      <resolved/>
    </commentChains>
    <commentChains s:ref="AI1046" rgbClr="FF0000">
      <unresolved>
        <commentChain chainId="c570d6a393fc2ed8c0b8a7a2cd173d4df007b7b1">
          <item id="0e13285d98425b2fe6232e80a1a5c8a640324269" isNormal="1">
            <s:text>
              <s:r>
                <s:t xml:space="preserve">Administrator:
1403321 5/23 1600pcs杨3a3</s:t>
              </s:r>
            </s:text>
          </item>
        </commentChain>
      </unresolved>
      <resolved/>
    </commentChains>
    <commentChains s:ref="AI1047" rgbClr="FF0000">
      <unresolved>
        <commentChain chainId="c43bf3991323128fe6e720a2565c836a9a39949f">
          <item id="aa1db48030a52944239a24816966eeb167fc9860" isNormal="1">
            <s:text>
              <s:r>
                <s:t xml:space="preserve">Administrator:
1403374 5/26 1600pcs
</s:t>
              </s:r>
            </s:text>
          </item>
        </commentChain>
      </unresolved>
      <resolved/>
    </commentChains>
    <commentChains s:ref="AI1048" rgbClr="FF0000">
      <unresolved>
        <commentChain chainId="51f9d0726c3b760bbc05df7d1a811effee2ce3de">
          <item id="39e53f107877e7eba85e328bbf38cddcd667cb05" isNormal="1">
            <s:text>
              <s:r>
                <s:t xml:space="preserve">Administrator:
1406114 5/24 500pc张顶b1</s:t>
              </s:r>
            </s:text>
          </item>
        </commentChain>
      </unresolved>
      <resolved/>
    </commentChains>
    <commentChains s:ref="AL1048" rgbClr="FF0000">
      <unresolved>
        <commentChain chainId="c1c4f02e4c716a9ce202de83e5d925a55121d95b">
          <item id="eeaa620c8f68cc2f8087eadea4db393dbafc9233" isNormal="1">
            <s:text>
              <s:r>
                <s:t xml:space="preserve">Administrator:
5/13 大语警告语贴 500pcs
小语警告语贴 3500pcs
丹麦瑞典芬兰挪威警告语贴纸 500pcs</s:t>
              </s:r>
            </s:text>
          </item>
        </commentChain>
      </unresolved>
      <resolved/>
    </commentChains>
    <commentChains s:ref="AI1049" rgbClr="FF0000">
      <unresolved>
        <commentChain chainId="164bc3071f87dfdc98f54a97f8a41cf98d56444f">
          <item id="6c5ddd86af1c6ccfce662da2b456335a3be32e32" isNormal="1">
            <s:text>
              <s:r>
                <s:t xml:space="preserve">Administrator:
1406121 5/25 1188pcs
张顶b4</s:t>
              </s:r>
            </s:text>
          </item>
        </commentChain>
      </unresolved>
      <resolved/>
    </commentChains>
    <commentChains s:ref="AL1049" rgbClr="FF0000">
      <unresolved>
        <commentChain chainId="cc7ab5c79404aa45f4870bf360296f1a234912cb">
          <item id="b36e715a6340cf4e8f58fc1e7f5f4bc165dc7a9e" isNormal="1">
            <s:text>
              <s:r>
                <s:t xml:space="preserve">Administrator:
5/18 警告保修卡 1188pcs</s:t>
              </s:r>
            </s:text>
          </item>
        </commentChain>
      </unresolved>
      <resolved/>
    </commentChains>
    <commentChains s:ref="AI1050" rgbClr="FF0000">
      <unresolved>
        <commentChain chainId="36bf33828eb79cd61a3e33af2f0a743fdf346ff0">
          <item id="6c12e5d04cf9ab9167cf6d28898bd1afdc52db1b" isNormal="1">
            <s:text>
              <s:r>
                <s:t xml:space="preserve">Administrator:
1406121 5/25 336pcs
张顶b5</s:t>
              </s:r>
            </s:text>
          </item>
        </commentChain>
      </unresolved>
      <resolved/>
    </commentChains>
    <commentChains s:ref="AL1050" rgbClr="FF0000">
      <unresolved>
        <commentChain chainId="efd9d7c0b9ba72f692542f2b1537e7718d00ed07">
          <item id="8e9b2651ef547d00190217f8bf56f6288e492522" isNormal="1">
            <s:text>
              <s:r>
                <s:t xml:space="preserve">Administrator:
5/18 警告保修卡 336pcs
</s:t>
              </s:r>
            </s:text>
          </item>
        </commentChain>
      </unresolved>
      <resolved/>
    </commentChains>
    <commentChains s:ref="AI1051" rgbClr="FF0000">
      <unresolved>
        <commentChain chainId="4830a5d02a42f0e14a73e67946b0f87a5c29e97a">
          <item id="6be917230c054d24893caad2e188a96944ad17fe" isNormal="1">
            <s:text>
              <s:r>
                <s:t xml:space="preserve">Administrator:
1406121 5/25 276pcs
张顶b5
</s:t>
              </s:r>
            </s:text>
          </item>
        </commentChain>
      </unresolved>
      <resolved/>
    </commentChains>
    <commentChains s:ref="AL1051" rgbClr="FF0000">
      <unresolved>
        <commentChain chainId="6d7233ce619f4cdf9020ae51d3737f3dd11ed515">
          <item id="d4e4135e2c65300d7ed39872a978e4093b09eb82" isNormal="1">
            <s:text>
              <s:r>
                <s:t xml:space="preserve">Administrator:
5/18 警告保修卡 276pcs
</s:t>
              </s:r>
            </s:text>
          </item>
        </commentChain>
      </unresolved>
      <resolved/>
    </commentChains>
    <commentChains s:ref="AI1052" rgbClr="FF0000">
      <unresolved>
        <commentChain chainId="be28752aa6f842b4f0d75e382783aeee1561c3c5">
          <item id="57b25e9e6582d536bfd25f4ecf332870229d70d7" isNormal="1">
            <s:text>
              <s:r>
                <s:t xml:space="preserve">Administrator:
1406117 5/24 840pcs张b3订</s:t>
              </s:r>
            </s:text>
          </item>
        </commentChain>
      </unresolved>
      <resolved/>
    </commentChains>
    <commentChains s:ref="AL1052" rgbClr="FF0000">
      <unresolved>
        <commentChain chainId="1533582a4adbbf20f6676c1d0ea71b9bba35cf77">
          <item id="54c68e5d2123b75e744117ae4292a254fc931509" isNormal="1">
            <s:text>
              <s:r>
                <s:t xml:space="preserve">Administrator:
5/18 警告保修卡 840pcs
</s:t>
              </s:r>
            </s:text>
          </item>
        </commentChain>
      </unresolved>
      <resolved/>
    </commentChains>
    <commentChains s:ref="AI1053" rgbClr="FF0000">
      <unresolved>
        <commentChain chainId="f9ed1fb70969b290400c565c935da94ff61403ad">
          <item id="4cc6d28ebb177fa77aa0f29c2a7e2ed12be12b87" isNormal="1">
            <s:text>
              <s:r>
                <s:t xml:space="preserve">Administrator:
4001838 5/27 600pcs
</s:t>
              </s:r>
            </s:text>
          </item>
        </commentChain>
      </unresolved>
      <resolved/>
    </commentChains>
    <commentChains s:ref="AL1053" rgbClr="FF0000">
      <unresolved>
        <commentChain chainId="d8c68f6d6d5dc5b4c6f0d1ccdafa636bbf5e7ec8">
          <item id="6388d1bf478e8b51dd7d6402a30835bfbd26461c" isNormal="1">
            <s:text>
              <s:r>
                <s:t xml:space="preserve">Administrator:
5/16 地址贴纸 504pcs</s:t>
              </s:r>
            </s:text>
          </item>
        </commentChain>
      </unresolved>
      <resolved/>
    </commentChains>
    <commentChains s:ref="AI1056" rgbClr="FF0000">
      <unresolved>
        <commentChain chainId="d18eed38f7648830d582321e13da92f105f6cd6f">
          <item id="e3d7735ccc4ec0d3a5580efccf179b32443a0bb4" isNormal="1">
            <s:text>
              <s:r>
                <s:t xml:space="preserve">Administrator:
4001838 5/27 2592pcs
</s:t>
              </s:r>
            </s:text>
          </item>
          <item id="39edfa9d7e7e4aa913d51d48f8dc81f555cd4757" userID="1851561945" userName="石玉珍" dateTime="2026-06-04T00:56:38" isNormal="0">
            <s:text>
              <s:r>
                <s:t xml:space="preserve">4001844  5/28 3636pcs应兴a7</s:t>
              </s:r>
            </s:text>
          </item>
        </commentChain>
      </unresolved>
      <resolved/>
    </commentChains>
    <commentChains s:ref="AL1056" rgbClr="FF0000">
      <unresolved>
        <commentChain chainId="25f6beb527aadc57909d69bb0242d07036883599">
          <item id="bbad9fdafbd2edf2042716b5898a7a4fa96f711a" isNormal="1">
            <s:text>
              <s:r>
                <s:t xml:space="preserve">Administrator:
4/24 可折叠警语贴 6228pcs
4/25 UPC贴纸 6228pcs
 5/11 亚马逊外箱贴纸 519pcs</s:t>
              </s:r>
            </s:text>
          </item>
        </commentChain>
      </unresolved>
      <resolved/>
    </commentChains>
    <commentChains s:ref="AI1057" rgbClr="FF0000">
      <unresolved>
        <commentChain chainId="1fd4d224555e57954bc686f0621f44ef2558f5eb">
          <item id="c3c426b8b2a87092183615ba2288c321f8e86dcf" isNormal="1">
            <s:text>
              <s:r>
                <s:t xml:space="preserve">Administrator:
4001838 5/27 1284pcs
</s:t>
              </s:r>
            </s:text>
          </item>
        </commentChain>
      </unresolved>
      <resolved/>
    </commentChains>
    <commentChains s:ref="AL1057" rgbClr="FF0000">
      <unresolved>
        <commentChain chainId="f44c81eb30bfc42ab69eca9b3fda781d114cf680">
          <item id="2232bad4daf20f4cb97a8d17d0ac1dfe814492e8" isNormal="1">
            <s:text>
              <s:r>
                <s:t xml:space="preserve">Administrator:
4/24 可折叠警语贴纸 8284pcs
4/25 UPC贴纸 1284pcs
5/5 亚马逊外箱贴纸4 107pcs</s:t>
              </s:r>
            </s:text>
          </item>
        </commentChain>
      </unresolved>
      <resolved/>
    </commentChains>
    <commentChains s:ref="AI1058" rgbClr="FF0000">
      <unresolved>
        <commentChain chainId="9f6b3f910e7e749fcfb0f0753856250a0337236d">
          <item id="ed483be458330b2457007939510b463cfe8914ee" isNormal="1">
            <s:text>
              <s:r>
                <s:t xml:space="preserve">Administrator:
4001838 5/27 600pcs
</s:t>
              </s:r>
            </s:text>
          </item>
        </commentChain>
      </unresolved>
      <resolved/>
    </commentChains>
    <commentChains s:ref="AI1059" rgbClr="FF0000">
      <unresolved>
        <commentChain chainId="71f131cae505df7ff866fb55b751ce39f31e45de">
          <item id="b9c8877dd297cdad2e62b52e4da78bf84e655aad" isNormal="1">
            <s:text>
              <s:r>
                <s:t xml:space="preserve">Administrator:
4001838 5/27 1528pcs</s:t>
              </s:r>
            </s:text>
          </item>
        </commentChain>
      </unresolved>
      <resolved/>
    </commentChains>
    <commentChains s:ref="AL1059" rgbClr="FF0000">
      <unresolved>
        <commentChain chainId="9055129cec48fafde3f385ba595ffbdad241aa27">
          <item id="d3e30c065d8ba84860376623723b300666f9d463" isNormal="1">
            <s:text>
              <s:r>
                <s:t xml:space="preserve">Administrator:
4/8 DC运输贴纸 191pcs
4/9 UPC贴纸 1528pcs
4/13 PDQ标识贴纸 191pcs
</s:t>
              </s:r>
            </s:text>
          </item>
        </commentChain>
      </unresolved>
      <resolved/>
    </commentChains>
    <commentChains s:ref="AI1060" rgbClr="FF0000">
      <unresolved>
        <commentChain chainId="f58d93bbac3588f7f4ec6c96801896d8e5ffdcd2">
          <item id="a6eb8e664549f0e89a04906d323d5989cd1f88b3" isNormal="1">
            <s:text>
              <s:r>
                <s:t xml:space="preserve">Administrator:
2800019 5/27 1524pcs</s:t>
              </s:r>
            </s:text>
          </item>
        </commentChain>
      </unresolved>
      <resolved/>
    </commentChains>
    <commentChains s:ref="AL1060" rgbClr="FF0000">
      <unresolved>
        <commentChain chainId="cdd75fe27c998e63925b3d2418148f972268ba94">
          <item id="4894cecd5ab4bcfc6394c39fef7c0304c0caa16c" isNormal="1">
            <s:text>
              <s:r>
                <s:t xml:space="preserve">Administrator:
4/24 可折叠警语贴纸 1524pcs
4/25 UPC贴纸 1524pcs
5/5 亚马逊外箱贴纸 127pcs</s:t>
              </s:r>
            </s:text>
          </item>
        </commentChain>
      </unresolved>
      <resolved/>
    </commentChains>
    <commentChains s:ref="AL1061" rgbClr="FF0000">
      <unresolved>
        <commentChain chainId="7e1f9ca21e06afd0255fedc75b1d6356233d11a1">
          <item id="1af0d9fcfda8c22751616918643c5b472bd7284d" isNormal="1">
            <s:text>
              <s:r>
                <s:t xml:space="preserve">Administrator:
4/24 可折叠警语贴纸 1260pcs
4/25 UPC贴纸 1260pcs
4/28 亚马逊外箱贴纸 105pcs</s:t>
              </s:r>
            </s:text>
          </item>
        </commentChain>
      </unresolved>
      <resolved/>
    </commentChains>
    <commentChains s:ref="AI1062" rgbClr="FF0000">
      <unresolved>
        <commentChain chainId="956cf18c8aaffb73cf716324346f04ab1813bf68">
          <item id="8d9c3f6ea315f2cefbc39e144617bb1be31b159f" isNormal="1">
            <s:text>
              <s:r>
                <s:t xml:space="preserve">Administrator:
1403338 5/26 840pcs
</s:t>
              </s:r>
            </s:text>
          </item>
        </commentChain>
      </unresolved>
      <resolved/>
    </commentChains>
    <commentChains s:ref="AL1062" rgbClr="FF0000">
      <unresolved>
        <commentChain chainId="9041c84370210b7de908985d5a62987755c3c9cc">
          <item id="a8c9e6d87779656ba5ba53cbe043df798ed66b4a" isNormal="1">
            <s:text>
              <s:r>
                <s:t xml:space="preserve">Administrator:
5/14 大语警告语贴纸 840pcs
丹麦瑞典贴纸 840pcs</s:t>
              </s:r>
            </s:text>
          </item>
        </commentChain>
      </unresolved>
      <resolved/>
    </commentChains>
    <commentChains s:ref="AI1063" rgbClr="FF0000">
      <unresolved>
        <commentChain chainId="ace77ccc689dc8c8721a0f654f8f8dc248aa58c2">
          <item id="e705657387756dd3d17ac443e68752e37ebc5abe" isNormal="1">
            <s:text>
              <s:r>
                <s:t xml:space="preserve">Administrator:
1403338 5/26 996pcs
</s:t>
              </s:r>
            </s:text>
          </item>
        </commentChain>
      </unresolved>
      <resolved/>
    </commentChains>
    <commentChains s:ref="AL1063" rgbClr="FF0000">
      <unresolved>
        <commentChain chainId="aeebe31981d274e6e644c04973dde3c562784c81">
          <item id="cf28a96e720efc4d52a21def5b5e7a7022e1c331" isNormal="1">
            <s:text>
              <s:r>
                <s:t xml:space="preserve">Administrator:
4/20 客供价格贴纸 1096pcs
</s:t>
              </s:r>
            </s:text>
          </item>
        </commentChain>
      </unresolved>
      <resolved/>
    </commentChains>
    <commentChains s:ref="AI1064" rgbClr="FF0000">
      <unresolved>
        <commentChain chainId="647a8077d724aff898346f37f931f7528dd4c535">
          <item id="b81cd35425a8d618770dbf912ea6717c195486df" isNormal="1">
            <s:text>
              <s:r>
                <s:t xml:space="preserve">Administrator:
1403338 5/26 1200pcs
</s:t>
              </s:r>
            </s:text>
          </item>
        </commentChain>
      </unresolved>
      <resolved/>
    </commentChains>
    <commentChains s:ref="AL1064" rgbClr="FF0000">
      <unresolved>
        <commentChain chainId="97c632f70311889520c1525af6cad332199e3503">
          <item id="b9c7776c4008efeab39e1422d3d3aac03d1c5a1f" isNormal="1">
            <s:text>
              <s:r>
                <s:t xml:space="preserve">Administrator:
4/20 客供价格贴纸 1320pcs
</s:t>
              </s:r>
            </s:text>
          </item>
        </commentChain>
      </unresolved>
      <resolved/>
    </commentChains>
    <commentChains s:ref="AI1065" rgbClr="FF0000">
      <unresolved>
        <commentChain chainId="c1aabe2fa357f89b8a0cc0dec24e25644753393b">
          <item id="1200a9322a6a67e39c6ef914a327b333ec8fe609" isNormal="1">
            <s:text>
              <s:r>
                <s:t xml:space="preserve">Administrator:
1403338 5/27 4488pcs</s:t>
              </s:r>
            </s:text>
          </item>
          <item id="8fab39a3c97ecb37468d4fd573d87b236903c173" userID="1851561945" userName="石玉珍" dateTime="2026-05-31T06:47:37" isNormal="0">
            <s:text>
              <s:r>
                <s:t xml:space="preserve">2800045 5/28 12pcs</s:t>
              </s:r>
            </s:text>
          </item>
        </commentChain>
      </unresolved>
      <resolved/>
    </commentChains>
    <commentChains s:ref="AL1065" rgbClr="FF0000">
      <unresolved>
        <commentChain chainId="4a2b61329526cd25a396114c5a8388d063d998ae">
          <item id="5c2d2866f1c984cd72d390e5a0ba121bab080e97" isNormal="1">
            <s:text>
              <s:r>
                <s:t xml:space="preserve">Administrator:
5/13 客人logo贴纸 4500pcs
客户进口商贴纸 4500pcs</s:t>
              </s:r>
            </s:text>
          </item>
        </commentChain>
      </unresolved>
      <resolved/>
    </commentChains>
    <commentChains s:ref="AI1066" rgbClr="FF0000">
      <unresolved>
        <commentChain chainId="3951906fa505313795895b1b7c22cbf6a9b14477">
          <item id="aa92d7688cccba47687dddf9b7b62e4a844b1761" userID="1851561945" userName="石玉珍" dateTime="2026-05-31T06:48:09" isNormal="0">
            <s:text>
              <s:r>
                <s:t xml:space="preserve">2800045 5/28 48pcs</s:t>
              </s:r>
            </s:text>
          </item>
          <item id="73c39cf571668ef1f849568936df4db43074e02c" userID="1851561945" userName="石玉珍" dateTime="2026-06-06T03:10:09" isNormal="0">
            <s:text>
              <s:r>
                <s:t xml:space="preserve">应兴b14</s:t>
              </s:r>
            </s:text>
          </item>
        </commentChain>
      </unresolved>
      <resolved/>
    </commentChains>
    <commentChains s:ref="AI1067" rgbClr="FF0000">
      <unresolved>
        <commentChain chainId="865f051e1734d57579a6fe7acfb016bc13d5e9a8">
          <item id="fd9f3e59b968db8fe4bd21b5a94c0d66c7b3dea9" userID="1851561945" userName="石玉珍" dateTime="2026-05-31T06:48:18" isNormal="0">
            <s:text>
              <s:r>
                <s:t xml:space="preserve">2800045 5/28 1264pcs</s:t>
              </s:r>
            </s:text>
          </item>
          <item id="64b278494e903408880a06624ee346507d94ae2a" userID="1851561945" userName="石玉珍" dateTime="2026-06-06T03:10:01" isNormal="0">
            <s:text>
              <s:r>
                <s:t xml:space="preserve">应兴b3</s:t>
              </s:r>
            </s:text>
          </item>
        </commentChain>
      </unresolved>
      <resolved/>
    </commentChains>
    <commentChains s:ref="AI1068" rgbClr="FF0000">
      <unresolved>
        <commentChain chainId="b4f382e0d3ae830600bf1129e39a28a535d93b5a">
          <item id="9906587142996a96a9b92faee159999e928112b6" userID="1851561945" userName="石玉珍" dateTime="2026-05-31T06:48:26" isNormal="0">
            <s:text>
              <s:r>
                <s:t xml:space="preserve">2800045 5/28 80pcs</s:t>
              </s:r>
            </s:text>
          </item>
          <item id="74fc55c9d233c6b6d3f266970bafef4dce9ab8cd" userID="1851561945" userName="石玉珍" dateTime="2026-06-06T03:10:18" isNormal="0">
            <s:text>
              <s:r>
                <s:t xml:space="preserve">应兴b14</s:t>
              </s:r>
            </s:text>
          </item>
        </commentChain>
      </unresolved>
      <resolved/>
    </commentChains>
    <commentChains s:ref="AI1069" rgbClr="FF0000">
      <unresolved>
        <commentChain chainId="f4ccae8b4037a4ef2ebbc82fd0ea4675ccf55153">
          <item id="5ca599136e5f81d584dee5a321e2b23ad1b09c2d" userID="1851561945" userName="石玉珍" dateTime="2026-05-31T06:48:46" isNormal="0">
            <s:text>
              <s:r>
                <s:t xml:space="preserve">2800045 5/28 1952pcs</s:t>
              </s:r>
            </s:text>
          </item>
          <item id="fc0fea777c1214b99ccb8181f55455d946c9556b" userID="1851561945" userName="石玉珍" dateTime="2026-06-06T03:10:35" isNormal="0">
            <s:text>
              <s:r>
                <s:t xml:space="preserve">应兴b1</s:t>
              </s:r>
            </s:text>
          </item>
        </commentChain>
      </unresolved>
      <resolved/>
    </commentChains>
    <commentChains s:ref="AI1070" rgbClr="FF0000">
      <unresolved>
        <commentChain chainId="a0a03964a98bd9b4a3bf1d9390c459ad158cc090">
          <item id="90b0e119d2a15c39578327e04f73950f284b8a56" userID="1851561945" userName="石玉珍" dateTime="2026-05-31T06:48:53" isNormal="0">
            <s:text>
              <s:r>
                <s:t xml:space="preserve">2800045 5/28 32pcs</s:t>
              </s:r>
            </s:text>
          </item>
          <item id="06447191a583b0851b92a6d7f1273d2c7d8f4582" userID="1851561945" userName="石玉珍" dateTime="2026-06-06T03:10:43" isNormal="0">
            <s:text>
              <s:r>
                <s:t xml:space="preserve">应兴b14</s:t>
              </s:r>
            </s:text>
          </item>
        </commentChain>
      </unresolved>
      <resolved/>
    </commentChains>
    <commentChains s:ref="AI1075" rgbClr="FF0000">
      <unresolved>
        <commentChain chainId="fa15d6df4b523c646fe15f2c98a2dbb539c823f7">
          <item id="7c720de02f323b32ad56dcb314751eb15c4a57da" userID="1851561945" userName="石玉珍" dateTime="2026-05-31T08:27:00" isNormal="0">
            <s:text>
              <s:r>
                <s:t xml:space="preserve">2800081 5/30 11640pcs张顶b5</s:t>
              </s:r>
            </s:text>
          </item>
          <item id="1d37717c3a2ce3d3ad8204a9fb69909947b9dd95" userID="1851561945" userName="石玉珍" dateTime="2026-06-01T06:45:44" isNormal="0">
            <s:text>
              <s:r>
                <s:t xml:space="preserve">2800087 5/30 3600pcs张顶b5</s:t>
              </s:r>
            </s:text>
          </item>
        </commentChain>
      </unresolved>
      <resolved/>
    </commentChains>
    <commentChains s:ref="AL1075" rgbClr="FF0000">
      <unresolved>
        <commentChain chainId="c7a75cd513bdb98e2bba5306700a949518b37a7e">
          <item id="dd27dde1582255748f757b72e21ac0238c02e632" isNormal="1">
            <s:text>
              <s:r>
                <s:t xml:space="preserve">Administrator:
5/11 保证书 12000pcs
包装贴纸 12000pcs
兑明书贴纸 12000pcs
JPC贴纸 12000pcs
5/18 客供价格贴纸 12265pcs
 </s:t>
              </s:r>
            </s:text>
          </item>
        </commentChain>
      </unresolved>
      <resolved/>
    </commentChains>
    <commentChains s:ref="AI1077" rgbClr="FF0000">
      <unresolved>
        <commentChain chainId="a21df532829de8c761503ad053971f6b48a668bd">
          <item id="8522779072a157a132a73ee75cdbfdb021345954" userID="1851561945" userName="石玉珍" dateTime="2026-05-31T08:18:46" isNormal="0">
            <s:text>
              <s:r>
                <s:t xml:space="preserve">4001823 5/29 160pcs</s:t>
              </s:r>
            </s:text>
          </item>
          <item id="2c90d98d32cfb87837460fd4214de980519ab4c0" userID="1851561945" userName="石玉珍" dateTime="2026-06-02T03:47:31" isNormal="0">
            <s:text>
              <s:r>
                <s:t xml:space="preserve">杨b3</s:t>
              </s:r>
            </s:text>
          </item>
        </commentChain>
      </unresolved>
      <resolved/>
    </commentChains>
    <commentChains s:ref="AI1078" rgbClr="FF0000">
      <unresolved>
        <commentChain chainId="2f864d9e51f639adcba8520c8159c04e15d11ef8">
          <item id="26effd1b43cd087e09c1e6da9a8e34ba58218859" userID="1851561945" userName="石玉珍" dateTime="2026-05-31T08:18:52" isNormal="0">
            <s:text>
              <s:r>
                <s:t xml:space="preserve">4001823 5/29 512pcs</s:t>
              </s:r>
            </s:text>
          </item>
          <item id="7f6345d9ff96b3ba50f3e9646230d398e885f070" userID="1851561945" userName="石玉珍" dateTime="2026-06-02T03:47:39" isNormal="0">
            <s:text>
              <s:r>
                <s:t xml:space="preserve">杨a2</s:t>
              </s:r>
            </s:text>
          </item>
        </commentChain>
      </unresolved>
      <resolved/>
    </commentChains>
    <commentChains s:ref="AI1082" rgbClr="FF0000">
      <unresolved>
        <commentChain chainId="c8b85390a37c2af7b5ccc050481133f34939bd5d">
          <item id="d0f8dd7b98e4eee905a1f12200595865103fbe96" userID="1851561945" userName="石玉珍" dateTime="2026-06-03T11:41:48" isNormal="0">
            <s:text>
              <s:r>
                <s:t xml:space="preserve">2800113 6/2 2400pcs</s:t>
              </s:r>
            </s:text>
          </item>
          <item id="1a3eefdea3955641d94647c2e2fd57e3d1d442d6" userID="1851561945" userName="石玉珍" dateTime="2026-06-06T06:06:32" isNormal="0">
            <s:text>
              <s:r>
                <s:t xml:space="preserve">新泰b1</s:t>
              </s:r>
            </s:text>
          </item>
        </commentChain>
      </unresolved>
      <resolved/>
    </commentChains>
    <commentChains s:ref="AL1082" rgbClr="FF0000">
      <unresolved>
        <commentChain chainId="504194619f0954b4d495beef9a9c18d84230633b">
          <item id="1be6e344bdd79e8a16a44e00c0c3192abf818b8f" isNormal="1">
            <s:text>
              <s:r>
                <s:t xml:space="preserve">Administrator:
5/18 说明书 2400pcs
PDQ+收缩膜进口商贴纸 2400pcs
收藏指南彩色贴纸 2400pcs
1-PDQ彩色贴纸 150pcs
2-PDQ彩色贴纸 150pcs</s:t>
              </s:r>
            </s:text>
          </item>
        </commentChain>
      </unresolved>
      <resolved/>
    </commentChains>
    <commentChains s:ref="AI1083" rgbClr="FF0000">
      <unresolved>
        <commentChain chainId="9835b4ba1b78ec58e4b468229d34c20dbfea8f19">
          <item id="4352157641af579a73b6b7e1bcbfc7102b68cffd" userID="1851561945" userName="石玉珍" dateTime="2026-06-03T11:42:10" isNormal="0">
            <s:text>
              <s:r>
                <s:t xml:space="preserve">2800113 6/2 1600pcs</s:t>
              </s:r>
            </s:text>
          </item>
          <item id="c92c0a99b54057df011aedc26aaedb3414c71705" userID="1851561945" userName="石玉珍" dateTime="2026-06-06T06:06:42" isNormal="0">
            <s:text>
              <s:r>
                <s:t xml:space="preserve">新泰b1</s:t>
              </s:r>
            </s:text>
          </item>
        </commentChain>
      </unresolved>
      <resolved/>
    </commentChains>
    <commentChains s:ref="AL1083" rgbClr="FF0000">
      <unresolved>
        <commentChain chainId="41767e6d75bc383b82df6a30d98e6f0427562b52">
          <item id="6c09b2b7187af0ceb269d02acac5ddb924d98250" isNormal="1">
            <s:text>
              <s:r>
                <s:t xml:space="preserve">Administrator:
5/18 说明书 1600pcs
PDQ+收缩膜进口商贴纸 1600pcs
收藏指南彩色贴纸 1600pcs
1-PDQ彩色贴纸 100pcs
2-PDQ彩色贴纸 100pcs
</s:t>
              </s:r>
            </s:text>
          </item>
        </commentChain>
      </unresolved>
      <resolved/>
    </commentChains>
    <commentChains s:ref="AI1086" rgbClr="FF0000">
      <unresolved>
        <commentChain chainId="9bde296c7d0dc7c96816fc9eeb1e943c4d01023f">
          <item id="59a5e9e44c70c46278de55640b4243905135b97d" userID="1851561945" userName="石玉珍" dateTime="2026-06-01T06:40:45" isNormal="0">
            <s:text>
              <s:r>
                <s:t xml:space="preserve">4001829 5/30 240pcs</s:t>
              </s:r>
            </s:text>
          </item>
        </commentChain>
      </unresolved>
      <resolved/>
    </commentChains>
    <commentChains s:ref="AI1090" rgbClr="FF0000">
      <unresolved>
        <commentChain chainId="83294dcde62e18fe5805fdf5ebbfc6e7fa58f47f">
          <item id="dd8ee5d2fa8cf6872ad0e6c12a4375724a243668" userID="1851561945" userName="石玉珍" dateTime="2026-05-31T08:15:25" isNormal="0">
            <s:text>
              <s:r>
                <s:t xml:space="preserve">2800067 5/29 996pcs</s:t>
              </s:r>
            </s:text>
          </item>
          <item id="dd9f7bdd63738cd679b79f69e04073a802700a2e" userID="1851561945" userName="石玉珍" dateTime="2026-06-02T03:42:05" isNormal="0">
            <s:text>
              <s:r>
                <s:t xml:space="preserve">杨b14</s:t>
              </s:r>
            </s:text>
          </item>
        </commentChain>
      </unresolved>
      <resolved/>
    </commentChains>
    <commentChains s:ref="AL1090" rgbClr="FF0000">
      <unresolved>
        <commentChain chainId="cf632dbf097c38e7ccd55493adcefd8a07cdf092">
          <item id="af11db6a030ae56c2e5ebde508bb3f981f729df7" isNormal="1">
            <s:text>
              <s:r>
                <s:t xml:space="preserve">Administrator:
5/18 客供价格贴纸 996pcs
 </s:t>
              </s:r>
            </s:text>
          </item>
        </commentChain>
      </unresolved>
      <resolved/>
    </commentChains>
    <commentChains s:ref="AI1091" rgbClr="FF0000">
      <unresolved>
        <commentChain chainId="566a85ac1abd4e3da9ada0e746caf884972f4b98">
          <item id="7dc13e3899b1f6ea051f375495015c66e754478e" userID="1851561945" userName="石玉珍" dateTime="2026-05-31T08:15:42" isNormal="0">
            <s:text>
              <s:r>
                <s:t xml:space="preserve">2800067 5/29 1200pcs</s:t>
              </s:r>
            </s:text>
          </item>
          <item id="dd86eeb6a8e760047b2a08440c19bc79d7979f95" userID="1851561945" userName="石玉珍" dateTime="2026-06-02T03:42:19" isNormal="0">
            <s:text>
              <s:r>
                <s:t xml:space="preserve">杨b14</s:t>
              </s:r>
            </s:text>
          </item>
        </commentChain>
      </unresolved>
      <resolved/>
    </commentChains>
    <commentChains s:ref="AL1091" rgbClr="FF0000">
      <unresolved>
        <commentChain chainId="5c842802ea0de93a2d601ade28ba6346293b14bd">
          <item id="353dee1c50aba73d3487891ebf7c27cdd9405475" isNormal="1">
            <s:text>
              <s:r>
                <s:t xml:space="preserve">Administrator:
5/18 客供价格贴纸 1200pcs
</s:t>
              </s:r>
            </s:text>
          </item>
        </commentChain>
      </unresolved>
      <resolved/>
    </commentChains>
    <commentChains s:ref="AI1092" rgbClr="FF0000">
      <unresolved>
        <commentChain chainId="73d25abd1620098f8cd8d6dd0db7566b54f71a8e">
          <item id="1df7a610296e010cbf841d8c76f8f771148eb1a4" userID="1851561945" userName="石玉珍" dateTime="2026-05-31T08:14:35" isNormal="0">
            <s:text>
              <s:r>
                <s:t xml:space="preserve">2800067 5/29 500pcs杨b14</s:t>
              </s:r>
            </s:text>
          </item>
        </commentChain>
      </unresolved>
      <resolved/>
    </commentChains>
    <commentChains s:ref="AL1092" rgbClr="FF0000">
      <unresolved>
        <commentChain chainId="bc95e76884b172c6739904203546738bf5d461c1">
          <item id="38eb1cfdc0348e9826361bfa4900c87e948e5694" isNormal="1">
            <s:text>
              <s:r>
                <s:t xml:space="preserve">Administrator:
5/19 大语警告语贴 500pcs
小语警告语贴 1500pcs
丹麦瑞典芬兰挪威警告语贴 500pcs</s:t>
              </s:r>
            </s:text>
          </item>
        </commentChain>
      </unresolved>
      <resolved/>
    </commentChains>
    <commentChains s:ref="AI1093" rgbClr="FF0000">
      <unresolved>
        <commentChain chainId="dfa3e8ea48b009136a3eed94e1c50f5fe656ad53">
          <item id="1ec558e007b889f5739da246f45fae7bdc4f7bc9" userID="1851561945" userName="石玉珍" dateTime="2026-05-31T08:14:59" isNormal="0">
            <s:text>
              <s:r>
                <s:t xml:space="preserve">2800067 5/29 324pcs杨b1</s:t>
              </s:r>
            </s:text>
          </item>
        </commentChain>
      </unresolved>
      <resolved/>
    </commentChains>
    <commentChains s:ref="AL1093" rgbClr="FF0000">
      <unresolved>
        <commentChain chainId="96c495bde6b197156f70d08b7520feda8fb0aa67">
          <item id="54661edc633cb7f99a5b4d17a59062c624ccadf4" isNormal="1">
            <s:text>
              <s:r>
                <s:t xml:space="preserve">Administrator:
5/21 进口商贴纸 324pcs
带纽扣电池走货北欧 324pcs</s:t>
              </s:r>
            </s:text>
          </item>
        </commentChain>
      </unresolved>
      <resolved/>
    </commentChains>
    <commentChains s:ref="AI1094" rgbClr="FF0000">
      <unresolved>
        <commentChain chainId="59f32dfd4b74578bab899057e97fa3a96c87e56e">
          <item id="76f0e6dea01ff86624496eccdaf05e8bc624d8fd" userID="1851561945" userName="石玉珍" dateTime="2026-05-31T08:17:42" isNormal="0">
            <s:text>
              <s:r>
                <s:t xml:space="preserve">2800068 5/29 24pcs</s:t>
              </s:r>
            </s:text>
          </item>
          <item id="c6f27b8ff5074e1cdff4298d3c4158b53f2541e4" userID="1851561945" userName="石玉珍" dateTime="2026-06-02T03:45:04" isNormal="0">
            <s:text>
              <s:r>
                <s:t xml:space="preserve">杨b1</s:t>
              </s:r>
            </s:text>
          </item>
        </commentChain>
      </unresolved>
      <resolved/>
    </commentChains>
    <commentChains s:ref="AL1094" rgbClr="FF0000">
      <unresolved>
        <commentChain chainId="94f48f20117b76dd091f9dcbeb93876dee6ca3a4">
          <item id="0e22d9d38da1e2d9c67d5fdbafe294e5062fc974" isNormal="1">
            <s:text>
              <s:r>
                <s:t xml:space="preserve">Administrator:
5/21 UPC贴纸 24pcs
5/22 客供亚马逊外箱贴 2pcs</s:t>
              </s:r>
            </s:text>
          </item>
        </commentChain>
      </unresolved>
      <resolved/>
    </commentChains>
    <commentChains s:ref="AI1095" rgbClr="FF0000">
      <unresolved>
        <commentChain chainId="ba93c8c11d5a7f70f9faed7078f5ef29e8a9c744">
          <item id="06c93c26e480fe9a740f66b238796fc19b99ccdf" userID="1851561945" userName="石玉珍" dateTime="2026-05-31T08:17:45" isNormal="0">
            <s:text>
              <s:r>
                <s:t xml:space="preserve">2800068 5/29 24pcs</s:t>
              </s:r>
            </s:text>
          </item>
          <item id="2f7d56c42bda3ea8e1767eaf1b255d642fd443c7" userID="1851561945" userName="石玉珍" dateTime="2026-06-02T03:45:07" isNormal="0">
            <s:text>
              <s:r>
                <s:t xml:space="preserve">杨b1</s:t>
              </s:r>
            </s:text>
          </item>
        </commentChain>
      </unresolved>
      <resolved/>
    </commentChains>
    <commentChains s:ref="AL1095" rgbClr="FF0000">
      <unresolved>
        <commentChain chainId="01c0e74f00c45d13ea56a7e38df9ed47e4a1880b">
          <item id="648729dd20c55d3ef1a0d3dc783a88548abe2bb3" isNormal="1">
            <s:text>
              <s:r>
                <s:t xml:space="preserve">Administrator:
5/21 UPC贴纸 24pcs
5/22 客供亚马逊外箱贴 2pcs
</s:t>
              </s:r>
            </s:text>
          </item>
        </commentChain>
      </unresolved>
      <resolved/>
    </commentChains>
    <commentChains s:ref="AI1096" rgbClr="FF0000">
      <unresolved>
        <commentChain chainId="f680acaafcf938bc0431fcb4ba4563482ad33647">
          <item id="1bcce082fe7ef7641dc40752c7c9e15cb01cff04" userID="1851561945" userName="石玉珍" dateTime="2026-05-31T08:17:56" isNormal="0">
            <s:text>
              <s:r>
                <s:t xml:space="preserve">2800068 5/29 24pcs</s:t>
              </s:r>
            </s:text>
          </item>
          <item id="d584ae603653cae51a2c5d64636fde7814b6a363" userID="1851561945" userName="石玉珍" dateTime="2026-06-02T03:45:10" isNormal="0">
            <s:text>
              <s:r>
                <s:t xml:space="preserve">杨b1</s:t>
              </s:r>
            </s:text>
          </item>
        </commentChain>
      </unresolved>
      <resolved/>
    </commentChains>
    <commentChains s:ref="AL1096" rgbClr="FF0000">
      <unresolved>
        <commentChain chainId="3507eb0f14110e88603b04887d34ad8dbc98852f">
          <item id="c9be4bb27018c3a530ea6104c0b47eb485ba0c17" isNormal="1">
            <s:text>
              <s:r>
                <s:t xml:space="preserve">Administrator:
5/21 UPC贴纸 24pcs
5/22 客供亚马逊外箱贴 2pcs
</s:t>
              </s:r>
            </s:text>
          </item>
        </commentChain>
      </unresolved>
      <resolved/>
    </commentChains>
    <commentChains s:ref="AI1097" rgbClr="FF0000">
      <unresolved>
        <commentChain chainId="2c5258e3cac701392a2ca3a77ba643da254d2dc7">
          <item id="2a40452ca7bf31c4e0211800579e6b29628478a5" userID="1851561945" userName="石玉珍" dateTime="2026-05-31T08:17:59" isNormal="0">
            <s:text>
              <s:r>
                <s:t xml:space="preserve">2800068 5/29 24pcs</s:t>
              </s:r>
            </s:text>
          </item>
          <item id="146d73db2d0e83faf5fcc8355e50b9b730e6abc5" userID="1851561945" userName="石玉珍" dateTime="2026-06-02T03:45:12" isNormal="0">
            <s:text>
              <s:r>
                <s:t xml:space="preserve">杨b1</s:t>
              </s:r>
            </s:text>
          </item>
        </commentChain>
      </unresolved>
      <resolved/>
    </commentChains>
    <commentChains s:ref="AL1097" rgbClr="FF0000">
      <unresolved>
        <commentChain chainId="38c2621541d046757f0f326ec32d3a471a656f0f">
          <item id="dfc9dec6f1f32e109e4b6a49eddf2b292664c80c" isNormal="1">
            <s:text>
              <s:r>
                <s:t xml:space="preserve">Administrator:
5/21 UPC贴纸 24pcs
5/22 客供亚马逊外箱贴 2pcs
</s:t>
              </s:r>
            </s:text>
          </item>
        </commentChain>
      </unresolved>
      <resolved/>
    </commentChains>
    <commentChains s:ref="AI1098" rgbClr="FF0000">
      <unresolved>
        <commentChain chainId="0da1244db500a456d8f5332c76345be7d33d69c1">
          <item id="1951b8a514d59d1469adfc98e93be070e03718fe" userID="1851561945" userName="石玉珍" dateTime="2026-05-31T08:18:01" isNormal="0">
            <s:text>
              <s:r>
                <s:t xml:space="preserve">2800068 5/29 24pcs</s:t>
              </s:r>
            </s:text>
          </item>
          <item id="acca090a87551dfb694d377b87c0d0f451e76ffe" userID="1851561945" userName="石玉珍" dateTime="2026-06-02T03:45:15" isNormal="0">
            <s:text>
              <s:r>
                <s:t xml:space="preserve">杨b1</s:t>
              </s:r>
            </s:text>
          </item>
        </commentChain>
      </unresolved>
      <resolved/>
    </commentChains>
    <commentChains s:ref="AL1098" rgbClr="FF0000">
      <unresolved>
        <commentChain chainId="3143b5c6329006dba7613d636f5cad787f865b81">
          <item id="11e7b1813f6e6ffd491da730c95281491c64dbfb" isNormal="1">
            <s:text>
              <s:r>
                <s:t xml:space="preserve">Administrator:
5/21 UPC贴纸 24pcs
5/22 客供亚马逊外箱贴 2pcs
</s:t>
              </s:r>
            </s:text>
          </item>
        </commentChain>
      </unresolved>
      <resolved/>
    </commentChains>
    <commentChains s:ref="AI1099" rgbClr="FF0000">
      <unresolved>
        <commentChain chainId="a1333ab27f9f833b42307c45f2e397a19531e46e">
          <item id="96a5fd23503815c7ae55174f90aaefe3d7f50e59" userID="1851561945" userName="石玉珍" dateTime="2026-05-31T08:18:04" isNormal="0">
            <s:text>
              <s:r>
                <s:t xml:space="preserve">2800068 5/29 24pcs</s:t>
              </s:r>
            </s:text>
          </item>
          <item id="66ca48e517cfe2a8d4cf9cef7ab48efd9bd80053" userID="1851561945" userName="石玉珍" dateTime="2026-06-02T03:45:17" isNormal="0">
            <s:text>
              <s:r>
                <s:t xml:space="preserve">杨b1</s:t>
              </s:r>
            </s:text>
          </item>
        </commentChain>
      </unresolved>
      <resolved/>
    </commentChains>
    <commentChains s:ref="AL1099" rgbClr="FF0000">
      <unresolved>
        <commentChain chainId="9bf97240715dbbfe3543c811d9ea4bfc48b76ca5">
          <item id="2e67203fd2bfb4a143273fb40fe4892485634d25" isNormal="1">
            <s:text>
              <s:r>
                <s:t xml:space="preserve">Administrator:
5/21 UPC贴纸 24pcs
5/22 客供亚马逊外箱贴 2pcs
</s:t>
              </s:r>
            </s:text>
          </item>
        </commentChain>
      </unresolved>
      <resolved/>
    </commentChains>
    <commentChains s:ref="AI1100" rgbClr="FF0000">
      <unresolved>
        <commentChain chainId="1f63793a02a211032d3b2e9792c53406b24c365c">
          <item id="4037b1a0d6616185280685d19cab2e3e6605a10b" userID="1851561945" userName="石玉珍" dateTime="2026-05-31T08:18:06" isNormal="0">
            <s:text>
              <s:r>
                <s:t xml:space="preserve">2800068 5/29 24pcs</s:t>
              </s:r>
            </s:text>
          </item>
          <item id="e620a9395e8a46542ae32464117b395227313b63" userID="1851561945" userName="石玉珍" dateTime="2026-06-02T03:45:20" isNormal="0">
            <s:text>
              <s:r>
                <s:t xml:space="preserve">杨b1</s:t>
              </s:r>
            </s:text>
          </item>
        </commentChain>
      </unresolved>
      <resolved/>
    </commentChains>
    <commentChains s:ref="AL1100" rgbClr="FF0000">
      <unresolved>
        <commentChain chainId="640e7b02364d7b715ee2de3ad5ddfe7a0de909c3">
          <item id="bb550fe48177ec622720bedda582b83905f1edf1" isNormal="1">
            <s:text>
              <s:r>
                <s:t xml:space="preserve">Administrator:
5/21 UPC贴纸 24pcs
5/22 客供亚马逊外箱贴 2pcs
</s:t>
              </s:r>
            </s:text>
          </item>
        </commentChain>
      </unresolved>
      <resolved/>
    </commentChains>
    <commentChains s:ref="AI1101" rgbClr="FF0000">
      <unresolved>
        <commentChain chainId="9f315df0119373c43b725b2a5f83fd3a3bfd3e5a">
          <item id="ac1e2e91a78a6e35191dcc10d74ed99fd54a687d" userID="1851561945" userName="石玉珍" dateTime="2026-06-03T11:42:47" isNormal="0">
            <s:text>
              <s:r>
                <s:t xml:space="preserve">2800113 6/2 312pcs</s:t>
              </s:r>
            </s:text>
          </item>
          <item id="d294d04537e5d869484686060e95277a7f5b6738" userID="1851561945" userName="石玉珍" dateTime="2026-06-06T06:06:53" isNormal="0">
            <s:text>
              <s:r>
                <s:t xml:space="preserve">新泰b1</s:t>
              </s:r>
            </s:text>
          </item>
        </commentChain>
      </unresolved>
      <resolved/>
    </commentChains>
    <commentChains s:ref="AL1101" rgbClr="FF0000">
      <unresolved>
        <commentChain chainId="2a5c6df4ae9589adfa4cb5cebc0e7dbaeab2ef11">
          <item id="51ec6c632cf382b0b1e58a54a8322058e9fdddd9" isNormal="1">
            <s:text>
              <s:r>
                <s:t xml:space="preserve">Administrator:
5/19  德意语包装警语贴纸 312pcs
客人款号贴纸 312pcs
Kinderherz 2025 logo 390pcs</s:t>
              </s:r>
            </s:text>
          </item>
          <item id="a8ee76b1aa35c3d971013e476d7659720198712c" userID="1851561945" userName="石玉珍" dateTime="2026-05-30T12:19:06" isNormal="0">
            <s:text>
              <s:r>
                <s:t xml:space="preserve">5/28 地址贴纸 312pcs</s:t>
              </s:r>
            </s:text>
          </item>
        </commentChain>
      </unresolved>
      <resolved/>
    </commentChains>
    <commentChains s:ref="AI1102" rgbClr="FF0000">
      <unresolved>
        <commentChain chainId="ee04d6a171acbffcc6e6e2e1bf2c4821973d95f6">
          <item id="9aaa9da466f2bed418698f9d70e1ac985df9adad" userID="1851561945" userName="石玉珍" dateTime="2026-06-03T11:43:02" isNormal="0">
            <s:text>
              <s:r>
                <s:t xml:space="preserve">2800113 6/2 12pcs</s:t>
              </s:r>
            </s:text>
          </item>
          <item id="3a34bbdb6fdd5adf3d84f573b32632a54aab5a84" userID="1851561945" userName="石玉珍" dateTime="2026-06-06T06:07:10" isNormal="0">
            <s:text>
              <s:r>
                <s:t xml:space="preserve">新泰b1</s:t>
              </s:r>
            </s:text>
          </item>
        </commentChain>
      </unresolved>
      <resolved/>
    </commentChains>
    <commentChains s:ref="AI1103" rgbClr="FF0000">
      <unresolved>
        <commentChain chainId="8e28f552bdaafcf75ef1baebc63c788a55a664a5">
          <item id="3ff69af902ec46f6a049c1737e362ae8d74c1e82" userID="1851561945" userName="石玉珍" dateTime="2026-06-02T01:50:46" isNormal="0">
            <s:text>
              <s:r>
                <s:t xml:space="preserve">2800107 6/1 600pcs</s:t>
              </s:r>
            </s:text>
          </item>
          <item id="7786cdfdc41cc37d517fa89b7f3e0f0d0af10665" userID="1851561945" userName="石玉珍" dateTime="2026-06-03T13:11:31" isNormal="0">
            <s:text>
              <s:r>
                <s:t xml:space="preserve">张顶b8</s:t>
              </s:r>
            </s:text>
          </item>
        </commentChain>
      </unresolved>
      <resolved/>
    </commentChains>
    <commentChains s:ref="AL1103" rgbClr="FF0000">
      <unresolved>
        <commentChain chainId="ba60a5dccabdfe8775c151aeeda07fa972535115">
          <item id="6fe3d0933bf33287fb8732806aebb95347db9aef" isNormal="1">
            <s:text>
              <s:r>
                <s:t xml:space="preserve">Administrator:
5/18 SNI label 40*50mm 600pcs</s:t>
              </s:r>
            </s:text>
          </item>
        </commentChain>
      </unresolved>
      <resolved/>
    </commentChains>
    <commentChains s:ref="AI1104" rgbClr="FF0000">
      <unresolved>
        <commentChain chainId="9c90f531ed8f4567218c20ed575ac140bbe1f033">
          <item id="f2be6054a0f448b5f61330a42af8bf670c68e723" userID="1851561945" userName="石玉珍" dateTime="2026-06-04T11:48:10" isNormal="0">
            <s:text>
              <s:r>
                <s:t xml:space="preserve">2801070 6/3 1188pcs</s:t>
              </s:r>
            </s:text>
          </item>
          <item id="afc36cf43b83026aa22e06e5cbf125f7b0465250" userID="1851561945" userName="石玉珍" dateTime="2026-06-04T12:11:22" isNormal="0">
            <s:text>
              <s:r>
                <s:t xml:space="preserve">2801074 6/4 12pcs</s:t>
              </s:r>
            </s:text>
          </item>
          <item id="62b4c53d951dc001de58472eb42566ac97818bd0" userID="1851561945" userName="石玉珍" dateTime="2026-06-06T06:17:57" isNormal="0">
            <s:text>
              <s:r>
                <s:t xml:space="preserve">新泰b3</s:t>
              </s:r>
            </s:text>
          </item>
        </commentChain>
      </unresolved>
      <resolved/>
    </commentChains>
    <commentChains s:ref="AL1104" rgbClr="FF0000">
      <unresolved>
        <commentChain chainId="5aadb5c692e855522495dc50e1909c5d1d828f50">
          <item id="2099ba42af1fee2fa4cff3db9e209a6cda800a3e" isNormal="1">
            <s:text>
              <s:r>
                <s:t xml:space="preserve">Administrator:
5/5 UPC/进口商贴纸 1200pcs</s:t>
              </s:r>
            </s:text>
          </item>
        </commentChain>
      </unresolved>
      <resolved/>
    </commentChains>
    <commentChains s:ref="AI1105" rgbClr="FF0000">
      <unresolved>
        <commentChain chainId="46d717116ec0628da2a0b07d65b6b26420b8c186">
          <item id="f5f30d66e9aafbb346ae6ddb82e8db94d78bae0d" userID="1851561945" userName="石玉珍" dateTime="2026-06-04T11:47:50" isNormal="0">
            <s:text>
              <s:r>
                <s:t xml:space="preserve">2801070 6/3 52pcs</s:t>
              </s:r>
            </s:text>
          </item>
        </commentChain>
      </unresolved>
      <resolved/>
    </commentChains>
    <commentChains s:ref="AI1106" rgbClr="FF0000">
      <unresolved>
        <commentChain chainId="1b081c3ba54eb144f6fee102d60807264d54c797">
          <item id="f869ff3f3b971dc4a235e4f8cea2ff6925b6648d" userID="1851561945" userName="石玉珍" dateTime="2026-06-04T11:47:55" isNormal="0">
            <s:text>
              <s:r>
                <s:t xml:space="preserve">2801070 6/3 240pcs</s:t>
              </s:r>
            </s:text>
          </item>
          <item id="f20a59395edf722d1c563fe13231439d605abd4f" userID="1851561945" userName="石玉珍" dateTime="2026-06-06T06:17:44" isNormal="0">
            <s:text>
              <s:r>
                <s:t xml:space="preserve">新泰b3</s:t>
              </s:r>
            </s:text>
          </item>
        </commentChain>
      </unresolved>
      <resolved/>
    </commentChains>
    <commentChains s:ref="AI1108" rgbClr="FF0000">
      <unresolved>
        <commentChain chainId="1ca624f14a8e9ab39dc05901fc3b084c73ac3f55">
          <item id="467b9ee06ea18f46e35b16360efe9f0a2c72c280" userID="1851561945" userName="石玉珍" dateTime="2026-06-06T06:16:46" isNormal="0">
            <s:text>
              <s:r>
                <s:t xml:space="preserve">2801058 6/3 1200pcs新泰b3</s:t>
              </s:r>
            </s:text>
          </item>
        </commentChain>
      </unresolved>
      <resolved/>
    </commentChains>
    <commentChains s:ref="AL1108" rgbClr="FF0000">
      <unresolved>
        <commentChain chainId="5e0f0303a827ae2b9335a98f6bfc9f6fd1d27e05">
          <item id="11b745b4f2466e3afd491ea1090fbd0b5019c7d5" isNormal="1">
            <s:text>
              <s:r>
                <s:t xml:space="preserve">Administrator:
5/15 进口商贴纸 1200派出所</s:t>
              </s:r>
            </s:text>
          </item>
        </commentChain>
      </unresolved>
      <resolved/>
    </commentChains>
    <commentChains s:ref="AI1109" rgbClr="FF0000">
      <unresolved>
        <commentChain chainId="25468fd4baa28cfb234afcf0aa6f13f0f5d5c274">
          <item id="e2675269ff114135e18d99fee44223d33542055f" userID="1851561945" userName="石玉珍" dateTime="2026-06-05T00:31:22" isNormal="0">
            <s:text>
              <s:r>
                <s:t xml:space="preserve">2801078 6/4 1104pcs</s:t>
              </s:r>
            </s:text>
          </item>
          <item id="70c800f49e05d85aeb4f1364fe6421603d4066bb" userID="1851561945" userName="石玉珍" dateTime="2026-06-06T06:18:44" isNormal="0">
            <s:text>
              <s:r>
                <s:t xml:space="preserve">新泰b4</s:t>
              </s:r>
            </s:text>
          </item>
        </commentChain>
      </unresolved>
      <resolved/>
    </commentChains>
    <commentChains s:ref="AL1109" rgbClr="FF0000">
      <unresolved>
        <commentChain chainId="63d37bcc791cfb4dbab8adcc8e0876e9f01cb952">
          <item id="76c8ca70a234119ada52aae0346fcdaf448ee2a8" isNormal="1">
            <s:text>
              <s:r>
                <s:t xml:space="preserve">Administrator:
5/22 进口商贴纸 1104pcs
UPC贴纸 1104pcs</s:t>
              </s:r>
            </s:text>
          </item>
        </commentChain>
      </unresolved>
      <resolved/>
    </commentChains>
    <commentChains s:ref="AI1110" rgbClr="FF0000">
      <unresolved>
        <commentChain chainId="6297ba13ab8db493d8258f625b1d24aa72f28c5a">
          <item id="b290caf25653450810a0a8219520a98213d73d4f" userID="1851561945" userName="石玉珍" dateTime="2026-06-05T00:31:36" isNormal="0">
            <s:text>
              <s:r>
                <s:t xml:space="preserve">2801078 6/4 1020pcs</s:t>
              </s:r>
            </s:text>
          </item>
          <item id="2bbcdb53278dd1e04c4b4773bbcf0b45558af0f3" userID="1851561945" userName="石玉珍" dateTime="2026-06-06T06:18:55" isNormal="0">
            <s:text>
              <s:r>
                <s:t xml:space="preserve">新泰b4</s:t>
              </s:r>
            </s:text>
          </item>
        </commentChain>
      </unresolved>
      <resolved/>
    </commentChains>
    <commentChains s:ref="AL1110" rgbClr="FF0000">
      <unresolved>
        <commentChain chainId="558ba70a3b80a20364a1a21d91e60be6fb3bd301">
          <item id="837d6ef9063c138ffd7137edb4bf05fab0d75acb" isNormal="1">
            <s:text>
              <s:r>
                <s:t xml:space="preserve">Administrator:
5/22 进口商贴纸5 1536pcs+
UPC贴纸 1536pcs</s:t>
              </s:r>
            </s:text>
          </item>
        </commentChain>
      </unresolved>
      <resolved/>
    </commentChains>
    <commentChains s:ref="AI1111" rgbClr="FF0000">
      <unresolved>
        <commentChain chainId="b74026ee362cbb440073069c852163aade685693">
          <item id="ec3d88e6aebf265d9e6c3a1fafdff3bc93912200" userID="1851561945" userName="石玉珍" dateTime="2026-06-05T00:31:51" isNormal="0">
            <s:text>
              <s:r>
                <s:t xml:space="preserve">2801078 6/4 2508pcs</s:t>
              </s:r>
            </s:text>
          </item>
          <item id="e36dd12715eaccb315218d96cfd34e588354bb94" userID="1851561945" userName="石玉珍" dateTime="2026-06-06T06:19:15" isNormal="0">
            <s:text>
              <s:r>
                <s:t xml:space="preserve">新泰b4</s:t>
              </s:r>
            </s:text>
          </item>
        </commentChain>
      </unresolved>
      <resolved/>
    </commentChains>
    <commentChains s:ref="AL1111" rgbClr="FF0000">
      <unresolved>
        <commentChain chainId="75cceac79f03bbad271d36720a989a98fce0263a">
          <item id="f3e4e4eaa366e1e4b6e13211f1c5314de99d8855" isNormal="1">
            <s:text>
              <s:r>
                <s:t xml:space="preserve">Administrator:
5/22 进口商贴纸5 2508pcs+
UPC贴纸 2508pcs
</s:t>
              </s:r>
            </s:text>
          </item>
        </commentChain>
      </unresolved>
      <resolved/>
    </commentChains>
    <commentChains s:ref="AI1112" rgbClr="FF0000">
      <unresolved>
        <commentChain chainId="1a2be51996e387a889f8dc34751a6ce30233225f">
          <item id="3258bdd149d1f3045e8bd65ca075182426b67ac5" userID="1851561945" userName="石玉珍" dateTime="2026-06-05T00:32:06" isNormal="0">
            <s:text>
              <s:r>
                <s:t xml:space="preserve">2801078 6/4 516pcs</s:t>
              </s:r>
            </s:text>
          </item>
        </commentChain>
      </unresolved>
      <resolved/>
    </commentChains>
    <commentChains s:ref="AI1113" rgbClr="FF0000">
      <unresolved>
        <commentChain chainId="e459aa4835a9556e4629d4b156e767fc452678d6">
          <item id="2e4053affdc0ccab84f8ff655ffc7ba560cf448f" userID="1851561945" userName="石玉珍" dateTime="2026-06-08T00:41:35" isNormal="0">
            <s:text>
              <s:r>
                <s:t xml:space="preserve">2801117 6/6 3200pcs</s:t>
              </s:r>
            </s:text>
          </item>
        </commentChain>
      </unresolved>
      <resolved/>
    </commentChains>
    <commentChains s:ref="AL1113" rgbClr="FF0000">
      <unresolved>
        <commentChain chainId="8629dbfa678e7a0d3a3ca5b44a028484ef550e93">
          <item id="748944f6a2bbaa2fbe22bf015b1a66ab7f2cea86" isNormal="1">
            <s:text>
              <s:r>
                <s:t xml:space="preserve">Administrator:
5/14 客供RID贴纸 3200pcs</s:t>
              </s:r>
            </s:text>
          </item>
        </commentChain>
      </unresolved>
      <resolved/>
    </commentChains>
    <commentChains s:ref="AI1114" rgbClr="FF0000">
      <unresolved>
        <commentChain chainId="d0b54d21c3ccafae03488b9c30a5f7870a76b32c">
          <item id="58a4254e031ff6cadc826d253d43eb93d03827dc" userID="1851561945" userName="石玉珍" dateTime="2026-06-08T00:53:28" isNormal="0">
            <s:text>
              <s:r>
                <s:t xml:space="preserve">2801118 6/6 1600pcs</s:t>
              </s:r>
            </s:text>
          </item>
        </commentChain>
      </unresolved>
      <resolved/>
    </commentChains>
    <commentChains s:ref="AL1114" rgbClr="FF0000">
      <unresolved>
        <commentChain chainId="26a47a77db5683096efe25b3fc367cf6ed0f425e">
          <item id="fd8a1fbd3101d630fcd185fe2bda30755dfc9975" isNormal="1">
            <s:text>
              <s:r>
                <s:t xml:space="preserve">Administrator:
5/14 客供RID贴纸 1600pcs</s:t>
              </s:r>
            </s:text>
          </item>
        </commentChain>
      </unresolved>
      <resolved/>
    </commentChains>
    <commentChains s:ref="AI1115" rgbClr="FF0000">
      <unresolved>
        <commentChain chainId="6fe44e288326595e580fd34e66a27ccd3458ba5d">
          <item id="cf1ebdcc2804a9d1aa566020c3ea853288a57acf" userID="1851561945" userName="石玉珍" dateTime="2026-06-08T00:53:34" isNormal="0">
            <s:text>
              <s:r>
                <s:t xml:space="preserve">2801118 6/6 3520pcs</s:t>
              </s:r>
            </s:text>
          </item>
        </commentChain>
      </unresolved>
      <resolved/>
    </commentChains>
    <commentChains s:ref="AL1115" rgbClr="FF0000">
      <unresolved>
        <commentChain chainId="6c1afed4ccb20fef1c46540db5a36b0d0aa13cf0">
          <item id="113daa497cc05303ae0053d10e70be0f34de3bc3" isNormal="1">
            <s:text>
              <s:r>
                <s:t xml:space="preserve">Administrator:
5/14 客供RID贴纸 3520pcs</s:t>
              </s:r>
            </s:text>
          </item>
        </commentChain>
      </unresolved>
      <resolved/>
    </commentChains>
    <commentChains s:ref="AI1116" rgbClr="FF0000">
      <unresolved>
        <commentChain chainId="b9e3b389822c148e37f882d5c68fb2a366ff237c">
          <item id="c32c9fc1eea7ab616be83e600c9461ebfc6187f5" userID="1851561945" userName="石玉珍" dateTime="2026-06-08T00:41:47" isNormal="0">
            <s:text>
              <s:r>
                <s:t xml:space="preserve">2801117 6/6 2560pcs</s:t>
              </s:r>
            </s:text>
          </item>
        </commentChain>
      </unresolved>
      <resolved/>
    </commentChains>
    <commentChains s:ref="AL1116" rgbClr="FF0000">
      <unresolved>
        <commentChain chainId="6fc9526919de92c6048bd53b13cfed9d424b58a1">
          <item id="5f4fd4e53b25e0aeab0e2111ebfbb3a71d0f9417" isNormal="1">
            <s:text>
              <s:r>
                <s:t xml:space="preserve">Administrator:
5/14 客供RID贴纸 2560pcs</s:t>
              </s:r>
            </s:text>
          </item>
        </commentChain>
      </unresolved>
      <resolved/>
    </commentChains>
    <commentChains s:ref="AI1117" rgbClr="FF0000">
      <unresolved>
        <commentChain chainId="77db4941af0313a163cf014f2a5cbe86f4550e90">
          <item id="c1e98cf906f16fba0b854412d0bb93ed9bbaece0" userID="1851561945" userName="石玉珍" dateTime="2026-06-08T00:41:53" isNormal="0">
            <s:text>
              <s:r>
                <s:t xml:space="preserve">2801117 6/6 4160pcs</s:t>
              </s:r>
            </s:text>
          </item>
        </commentChain>
      </unresolved>
      <resolved/>
    </commentChains>
    <commentChains s:ref="AL1117" rgbClr="FF0000">
      <unresolved>
        <commentChain chainId="f90cac1ebd57292fa8be0493500538f874568fb3">
          <item id="09e1a93f00e2cd6392924767005956aa4a0305c2" isNormal="1">
            <s:text>
              <s:r>
                <s:t xml:space="preserve">Administrator:
5/14 客供RID贴纸 4160pcs</s:t>
              </s:r>
            </s:text>
          </item>
        </commentChain>
      </unresolved>
      <resolved/>
    </commentChains>
    <commentChains s:ref="AI1118" rgbClr="FF0000">
      <unresolved>
        <commentChain chainId="9f079d1f76d749738035a686e3127e724aafa149">
          <item id="36b1731806e587ab98b9d73a9d742e6e191999ac" userID="1851561945" userName="石玉珍" dateTime="2026-06-08T00:54:05" isNormal="0">
            <s:text>
              <s:r>
                <s:t xml:space="preserve">2801118 6/6 12960pcs</s:t>
              </s:r>
            </s:text>
          </item>
          <item id="c7544d7782ebe66e1c6f4a34aab52f99c30391ee" userID="1851561945" userName="石玉珍" dateTime="2026-06-08T01:43:02" isNormal="0">
            <s:text>
              <s:r>
                <s:t xml:space="preserve">2801124 6/6 17004pcs</s:t>
              </s:r>
            </s:text>
          </item>
          <item id="45834476f74696064084c5a3ad7516a9590e392f" userID="1851561945" userName="石玉珍" dateTime="2026-06-08T01:46:38" isNormal="0">
            <s:text>
              <s:r>
                <s:t xml:space="preserve">2801127 6/6 36pcs</s:t>
              </s:r>
            </s:text>
          </item>
        </commentChain>
      </unresolved>
      <resolved/>
    </commentChains>
    <commentChains s:ref="AI1119" rgbClr="FF0000">
      <unresolved>
        <commentChain chainId="7d89f4df03f456db08c8910af7146bfdf19335a2">
          <item id="df647733e72e42709e78fb61ca295feeb99efa89" userID="1851561945" userName="石玉珍" dateTime="2026-06-06T01:52:40" isNormal="0">
            <s:text>
              <s:r>
                <s:t xml:space="preserve">3000650 6/5 500pcs</s:t>
              </s:r>
            </s:text>
          </item>
          <item id="6a26e5b67f9a34b96b84d7f672e309acb553332c" userID="1851561945" userName="石玉珍" dateTime="2026-06-08T03:38:33" isNormal="0">
            <s:text>
              <s:r>
                <s:t xml:space="preserve">张顶a15</s:t>
              </s:r>
            </s:text>
          </item>
        </commentChain>
      </unresolved>
      <resolved/>
    </commentChains>
    <commentChains s:ref="AL1119" rgbClr="FF0000">
      <unresolved>
        <commentChain chainId="ed462366552fb1bc152173abb64150afdcf0d598">
          <item id="5acb3d767de8627a611c14e1f55a13a5e3f3606b" isNormal="1">
            <s:text>
              <s:r>
                <s:t xml:space="preserve">Administrator:
5/22 大语警告语贴 500pcs
小语警告语贴 1500pcs
丹麦瑞典芬兰挪威警告 500pcs</s:t>
              </s:r>
            </s:text>
          </item>
        </commentChain>
      </unresolved>
      <resolved/>
    </commentChains>
    <commentChains s:ref="AI1120" rgbClr="FF0000">
      <unresolved>
        <commentChain chainId="ed34f71067f6e1c7a4f8d262c13e573188d34452">
          <item id="e42314568a011cc3c451cea759122e234ec8699a" userID="1851561945" userName="石玉珍" dateTime="2026-06-09T01:04:06" isNormal="0">
            <s:text>
              <s:r>
                <s:t xml:space="preserve">2801429 6/8 1320ps</s:t>
              </s:r>
            </s:text>
          </item>
        </commentChain>
      </unresolved>
      <resolved/>
    </commentChains>
    <commentChains s:ref="AL1120" rgbClr="FF0000">
      <unresolved>
        <commentChain chainId="293eb12be35aa773f9efb6489d2ee84198d74df7">
          <item id="553c3ecb7ab1505c06b1bdcbcb49840306e76d78" userID="1851561945" userName="石玉珍" dateTime="2026-05-31T07:07:59" isNormal="0">
            <s:text>
              <s:r>
                <s:t xml:space="preserve">5/29 进口商贴纸 1320pcs
UPC贴纸 1320pcs</s:t>
              </s:r>
            </s:text>
          </item>
        </commentChain>
      </unresolved>
      <resolved/>
    </commentChains>
    <commentChains s:ref="AI1121" rgbClr="FF0000">
      <unresolved>
        <commentChain chainId="9486016dac72e9930b9f765abcf0f5790f498008">
          <item id="4093e76088f82aed17ef252db922047844f66e9d" userID="1851561945" userName="石玉珍" dateTime="2026-06-09T13:40:14" isNormal="0">
            <s:text>
              <s:r>
                <s:t xml:space="preserve">2801439 6/9 1524pcs</s:t>
              </s:r>
            </s:text>
          </item>
        </commentChain>
      </unresolved>
      <resolved/>
    </commentChains>
    <commentChains s:ref="AL1121" rgbClr="FF0000">
      <unresolved>
        <commentChain chainId="a6c5caa49e0d42dcf12ac30b89e8b57438968e0a">
          <item id="459f9e4c05b9c6a7ca5a2702106aa08504b57160" isNormal="1">
            <s:text>
              <s:r>
                <s:t xml:space="preserve">Administrator:
4/24 可折叠警语贴纸 1524pcs
4/25 UPC贴纸 1524pcs
5/15 亚马逊外箱贴纸 127pcs</s:t>
              </s:r>
            </s:text>
          </item>
        </commentChain>
      </unresolved>
      <resolved/>
    </commentChains>
    <commentChains s:ref="AI1123" rgbClr="FF0000">
      <unresolved>
        <commentChain chainId="224ac9c02fccc6187324e5de9726d36a1da0573f">
          <item id="716ac16a163587f433d04563204493e1a7fb2067" userID="1851561945" userName="石玉珍" dateTime="2026-06-11T03:21:51" isNormal="0">
            <s:text>
              <s:r>
                <s:t xml:space="preserve">2801184 6/10 1560pcs</s:t>
              </s:r>
            </s:text>
          </item>
        </commentChain>
      </unresolved>
      <resolved/>
    </commentChains>
    <commentChains s:ref="AL1123" rgbClr="FF0000">
      <unresolved>
        <commentChain chainId="e647a961c8466fe4acf4bee0dba08c3c8a76374f">
          <item id="12a7122573acf4d8d1b35612c81f28496f68ba4d" isNormal="1">
            <s:text>
              <s:r>
                <s:t xml:space="preserve">Administrator:
5/13 多语折叠警告语贴纸 1560pcs</s:t>
              </s:r>
            </s:text>
          </item>
        </commentChain>
      </unresolved>
      <resolved/>
    </commentChains>
    <commentChains s:ref="AI1124" rgbClr="FF0000">
      <unresolved>
        <commentChain chainId="0bd64855e73e7ac48b0b304b4d1862ad4dd19c08">
          <item id="5c3954e17160cecf8adee9d0ff497c441269ea60" userID="1851561945" userName="石玉珍" dateTime="2026-06-11T03:22:26" isNormal="0">
            <s:text>
              <s:r>
                <s:t xml:space="preserve">2801184 6/10 6000pcs</s:t>
              </s:r>
            </s:text>
          </item>
        </commentChain>
      </unresolved>
      <resolved/>
    </commentChains>
    <commentChains s:ref="AL1124" rgbClr="FF0000">
      <unresolved>
        <commentChain chainId="ca1664e149b33355e3a59b2a75dd203d0a477e3c">
          <item id="677c93f3bc08c6ce52c8fea99c6c9b913be98e60" isNormal="1">
            <s:text>
              <s:r>
                <s:t xml:space="preserve">Administrator:
5/25 Kinderherz 2025 Logo 6000pcs
地址贴纸 6000pcs
5/27 多语警语折叠贴纸 6000pcs
</s:t>
              </s:r>
            </s:text>
          </item>
          <item id="8ae6388e7d9a276d658bc7f4e662661a95802aad" userID="1851561945" userName="石玉珍" dateTime="2026-06-03T12:15:16" isNormal="0">
            <s:text>
              <s:r>
                <s:t xml:space="preserve">6/2  logo贴纸 6000pcs </s:t>
              </s:r>
            </s:text>
          </item>
        </commentChain>
      </unresolved>
      <resolved/>
    </commentChains>
    <commentChains s:ref="AI1128" rgbClr="FF0000">
      <unresolved>
        <commentChain chainId="2f6ec8cddb8ea4cdbd23e794d5fb55db43c024ec">
          <item id="3dee4a60ebf299a40088e99942ddf4590d1e7a36" userID="1851561945" userName="石玉珍" dateTime="2026-06-15T01:42:05" isNormal="0">
            <s:text>
              <s:r>
                <s:t xml:space="preserve">2801464 6/13 11632pcs</s:t>
              </s:r>
            </s:text>
          </item>
          <item id="ee99c207a9b04d8fad454ab089986275e0ea4379" userID="1851561945" userName="石玉珍" dateTime="2026-06-15T01:53:27" isNormal="0">
            <s:text>
              <s:r>
                <s:t xml:space="preserve">2801468 6/13 368pcs</s:t>
              </s:r>
            </s:text>
          </item>
        </commentChain>
      </unresolved>
      <resolved/>
    </commentChains>
    <commentChains s:ref="AL1128" rgbClr="FF0000">
      <unresolved>
        <commentChain chainId="7d093557c7edcea78ec678a3f51f0e67d5d2f89b">
          <item id="27d36ce692ed20fb4f6b768ccd62da75be402793" userID="1851561945" userName="石玉珍" dateTime="2026-06-06T01:44:41" isNormal="0">
            <s:text>
              <s:r>
                <s:t xml:space="preserve">6/5 进口商贴纸(含客户条码) 12000pcs</s:t>
              </s:r>
            </s:text>
          </item>
        </commentChain>
      </unresolved>
      <resolved/>
    </commentChains>
    <commentChains s:ref="AI1129" rgbClr="FF0000">
      <unresolved>
        <commentChain chainId="9cc61fae6589e6cdbe0fd4751b1d44dddac47f13">
          <item id="a9979c1cd7fd5b63cca9ed7544265a4e3e53bec6" userID="1851561945" userName="石玉珍" dateTime="2026-06-11T03:38:52" isNormal="0">
            <s:text>
              <s:r>
                <s:t xml:space="preserve">2801452 6/10 5400pcs</s:t>
              </s:r>
            </s:text>
          </item>
        </commentChain>
      </unresolved>
      <resolved/>
    </commentChains>
    <commentChains s:ref="AL1129" rgbClr="FF0000">
      <unresolved>
        <commentChain chainId="769d2b71baaf055f8f352570810d40ba776e1ad3">
          <item id="247dc90afeffe5233297cafdb4d30ca0f580c70c" isNormal="1">
            <s:text>
              <s:r>
                <s:t xml:space="preserve">Administra3tor:
5/20 3C中文贴纸 5400pcs</s:t>
              </s:r>
            </s:text>
          </item>
          <item id="c727e7e941fe9155186caadeb2292eaa67e6ca53" userID="1851561945" userName="石玉珍" dateTime="2026-06-08T12:52:14" isNormal="0">
            <s:text>
              <s:r>
                <s:t xml:space="preserve">6/8 客供防窜码贴纸1拖6 210pcs</s:t>
              </s:r>
            </s:text>
          </item>
        </commentChain>
      </unresolved>
      <resolved/>
    </commentChains>
    <commentChains s:ref="AI1130" rgbClr="FF0000">
      <unresolved>
        <commentChain chainId="594d7d9b4e940eb28bfc5756d5c299aa57c28501">
          <item id="ad555438ab31797a8661c3d031cefe29faa3b010" userID="1851561945" userName="石玉珍" dateTime="2026-06-03T12:28:15" isNormal="0">
            <s:text>
              <s:r>
                <s:t xml:space="preserve">2800116 6/2 5716pcs新泰a4</s:t>
              </s:r>
            </s:text>
          </item>
          <item id="c3588d96ae636b96061a418c86e635aa78019135" userID="1851561945" userName="石玉珍" dateTime="2026-06-04T12:11:02" isNormal="0">
            <s:text>
              <s:r>
                <s:t xml:space="preserve">2801074 6/4 8pcs</s:t>
              </s:r>
            </s:text>
          </item>
        </commentChain>
      </unresolved>
      <resolved/>
    </commentChains>
    <commentChains s:ref="AL1130" rgbClr="FF0000">
      <unresolved>
        <commentChain chainId="c3fbf46eae0d0d8afc0ee9863825b2e5255e90d1">
          <item id="26cd5258fd2162f4b97043c980e55f7468deab38" isNormal="1">
            <s:text>
              <s:r>
                <s:t xml:space="preserve">Administrator:
5/27 多语警语折叠贴纸 5716pcs</s:t>
              </s:r>
            </s:text>
          </item>
        </commentChain>
      </unresolved>
      <resolved/>
    </commentChains>
    <commentChains s:ref="AI1131" rgbClr="FF0000">
      <unresolved>
        <commentChain chainId="4cbaf170b2a257e95cc850757e5b4a49b204ee35">
          <item id="a8af85c30ee2a49f67897ced24c5bdd38e3d9755" userID="1851561945" userName="石玉珍" dateTime="2026-06-03T12:56:09" isNormal="0">
            <s:text>
              <s:r>
                <s:t xml:space="preserve">2801058 6/3 3600pcs</s:t>
              </s:r>
            </s:text>
          </item>
          <item id="b7a545e2288c1f4987e534d652027bf47b0cfd04" userID="1851561945" userName="石玉珍" dateTime="2026-06-06T06:17:17" isNormal="0">
            <s:text>
              <s:r>
                <s:t xml:space="preserve">新泰a3</s:t>
              </s:r>
            </s:text>
          </item>
        </commentChain>
      </unresolved>
      <resolved/>
    </commentChains>
    <commentChains s:ref="AL1131" rgbClr="FF0000">
      <unresolved>
        <commentChain chainId="10893bd54239ae7f179f5ede6fd62d5d9ebbf2ad">
          <item id="3af62551f4b7ee73586762b3991595b063c7cdcc" isNormal="1">
            <s:text>
              <s:r>
                <s:t xml:space="preserve">Administrator:
5/14 客供价格贴纸 3780pcs
</s:t>
              </s:r>
            </s:text>
          </item>
        </commentChain>
      </unresolved>
      <resolved/>
    </commentChains>
    <commentChains s:ref="AI1132" rgbClr="FF0000">
      <unresolved>
        <commentChain chainId="191dbc0d2b19b136bcfaa87200071f1529afc16f">
          <item id="02736e4f28d9b6e1d7d07b3f5e2bdc80307c2139" userID="1851561945" userName="石玉珍" dateTime="2026-06-15T14:11:02" isNormal="0">
            <s:text>
              <s:r>
                <s:t xml:space="preserve">2801268 6/15 804pcs</s:t>
              </s:r>
            </s:text>
          </item>
        </commentChain>
      </unresolved>
      <resolved/>
    </commentChains>
    <commentChains s:ref="AL1132" rgbClr="FF0000">
      <unresolved>
        <commentChain chainId="ef72154aa651363972775b148c57c93fdfba87ee">
          <item id="138bb80cccbefaa27993aac044de9d1991d71932" isNormal="1">
            <s:text>
              <s:r>
                <s:t xml:space="preserve">Administrator:
5/25 进口商贴纸 840pcs
条码贴纸 840pcs</s:t>
              </s:r>
            </s:text>
          </item>
        </commentChain>
      </unresolved>
      <resolved/>
    </commentChains>
    <commentChains s:ref="AI1133" rgbClr="FF0000">
      <unresolved>
        <commentChain chainId="34c5cf1d0cffa6cc41a19296febb975f889c1e39">
          <item id="b3521f1ba966182a0c2c08f6bb2ce6e7802d87fd" userID="1851561945" userName="石玉珍" dateTime="2026-06-15T02:31:51" isNormal="0">
            <s:text>
              <s:r>
                <s:t xml:space="preserve">2801250 6/13 1560pcs</s:t>
              </s:r>
            </s:text>
          </item>
        </commentChain>
      </unresolved>
      <resolved/>
    </commentChains>
    <commentChains s:ref="AL1133" rgbClr="FF0000">
      <unresolved>
        <commentChain chainId="3d0ab36959f0415db61c655f3056471ad57e7595">
          <item id="1f0e2722312f38f3648bbaf0a459f72acc631340" isNormal="1">
            <s:text>
              <s:r>
                <s:t xml:space="preserve">Administrator:
5/21 多语警语折叠贴纸 1560pcs
5/22 地址贴纸 1560pcs</s:t>
              </s:r>
            </s:text>
          </item>
        </commentChain>
      </unresolved>
      <resolved/>
    </commentChains>
    <commentChains s:ref="AI1134" rgbClr="FF0000">
      <unresolved>
        <commentChain chainId="13d22f91b298b3caa3a8718cc44da9a3532e4b12">
          <item id="c4940fb0bbb1acf9e694fa3aaa95283f6d935c0c" isNormal="1">
            <s:text>
              <s:r>
                <s:t xml:space="preserve">Administrator:
5/27 2025 logo贴纸 504pcs</s:t>
              </s:r>
            </s:text>
          </item>
          <item id="c01bac207c8ae2819909ea762c2a78dfadba0473" userID="1851561945" userName="石玉珍" dateTime="2026-05-30T12:23:37" isNormal="0">
            <s:text>
              <s:r>
                <s:t xml:space="preserve">登记错误</s:t>
              </s:r>
            </s:text>
          </item>
          <item id="4833f18f6d2b80a18634b7be5c72668211e50c9d" userID="1851561945" userName="石玉珍" dateTime="2026-06-26T01:59:44" isNormal="0">
            <s:text>
              <s:r>
                <s:t xml:space="preserve">6/25 2201166 504pcs</s:t>
              </s:r>
            </s:text>
          </item>
        </commentChain>
      </unresolved>
      <resolved/>
    </commentChains>
    <commentChains s:ref="AL1134" rgbClr="FF0000">
      <unresolved>
        <commentChain chainId="91f4b676b84612e58c41d92bed1ec4f04748b9fc">
          <item id="c3b76950a58622120635ad407ad284e7062b2b36" userID="1851561945" userName="石玉珍" dateTime="2026-05-30T12:20:34" isNormal="0">
            <s:text>
              <s:r>
                <s:t xml:space="preserve">5//28 德语警告语贴纸 504pcs</s:t>
              </s:r>
            </s:text>
          </item>
          <item id="0150593002b4dc348c2a0eade49eb907627ccb08" userID="1851561945" userName="石玉珍" dateTime="2026-05-30T12:23:45" isNormal="0">
            <s:text>
              <s:r>
                <s:t xml:space="preserve">5/27 2025 logo贴纸 504pcs</s:t>
              </s:r>
            </s:text>
          </item>
        </commentChain>
      </unresolved>
      <resolved/>
    </commentChains>
    <commentChains s:ref="AI1135" rgbClr="FF0000">
      <unresolved>
        <commentChain chainId="7cd9e3353c1fee1905c92c1b93862f078e772b86">
          <item id="045e24d1539646e3b43728bed9d070b0ad75df7c" userID="1851561945" userName="石玉珍" dateTime="2026-06-16T13:04:33" isNormal="0">
            <s:text>
              <s:r>
                <s:t xml:space="preserve">6/16 2801272 996pcs</s:t>
              </s:r>
            </s:text>
          </item>
        </commentChain>
      </unresolved>
      <resolved/>
    </commentChains>
    <commentChains s:ref="AL1135" rgbClr="FF0000">
      <unresolved>
        <commentChain chainId="0c69d84b05fb3aed0261cc04be38b19526dbfb9e">
          <item id="9bdabd474bb39e95cc6a8c8ab877ee15fc49d5b1" isNormal="1">
            <s:text>
              <s:r>
                <s:t xml:space="preserve">Administrator:
5/18 客供价格贴纸 996pcs
</s:t>
              </s:r>
            </s:text>
          </item>
        </commentChain>
      </unresolved>
      <resolved/>
    </commentChains>
    <commentChains s:ref="AI1136" rgbClr="FF0000">
      <unresolved>
        <commentChain chainId="75568d5295650ca4cad8247d3f1e1ce60fc0180c">
          <item id="92da39c25ec2b64e74010433c21448fd83fb8c82" userID="1851561945" userName="石玉珍" dateTime="2026-06-18T00:57:44" isNormal="0">
            <s:text>
              <s:r>
                <s:t xml:space="preserve">2801252 6/17 996pcs</s:t>
              </s:r>
            </s:text>
          </item>
        </commentChain>
      </unresolved>
      <resolved/>
    </commentChains>
    <commentChains s:ref="AL1136" rgbClr="FF0000">
      <unresolved>
        <commentChain chainId="489226a056156c9a9ce61ad4b35d482b5d9662f2">
          <item id="6ad5cd2768e1fb290e1e2917ada840631ce256e3" isNormal="1">
            <s:text>
              <s:r>
                <s:t xml:space="preserve">Administrator:
5/18 客供价格贴纸 996pcs
</s:t>
              </s:r>
            </s:text>
          </item>
        </commentChain>
      </unresolved>
      <resolved/>
    </commentChains>
    <commentChains s:ref="AI1137" rgbClr="FF0000">
      <unresolved>
        <commentChain chainId="03246e59334f91b88a0d3fa13123adf9825a715e">
          <item id="8e5d3ec26cab3181f206ef64272199f4e4ea3638" userID="1851561945" userName="石玉珍" dateTime="2026-06-16T13:06:34" isNormal="0">
            <s:text>
              <s:r>
                <s:t xml:space="preserve">6/16 2801272 600pcs</s:t>
              </s:r>
            </s:text>
          </item>
        </commentChain>
      </unresolved>
      <resolved/>
    </commentChains>
    <commentChains s:ref="AL1137" rgbClr="FF0000">
      <unresolved>
        <commentChain chainId="017ca45da41167329608b24eced2a21d5041e7af">
          <item id="85c16e0c828c099b3e57e37d93ac61bcb2c06e79" isNormal="1">
            <s:text>
              <s:r>
                <s:t xml:space="preserve">Administrator:
5/18 客供价格贴纸 600pcs
</s:t>
              </s:r>
            </s:text>
          </item>
        </commentChain>
      </unresolved>
      <resolved/>
    </commentChains>
    <commentChains s:ref="AI1138" rgbClr="FF0000">
      <unresolved>
        <commentChain chainId="ffeb6c4075c7146862008c9db61d9573250ed663">
          <item id="8c4fd69a08602bdb7c00651cde3dbcc5e151948c" userID="1851561945" userName="石玉珍" dateTime="2026-06-15T14:09:47" isNormal="0">
            <s:text>
              <s:r>
                <s:t xml:space="preserve">2801268 6/15 1200pcs</s:t>
              </s:r>
            </s:text>
          </item>
        </commentChain>
      </unresolved>
      <resolved/>
    </commentChains>
    <commentChains s:ref="AL1138" rgbClr="FF0000">
      <unresolved>
        <commentChain chainId="a19c0cfba2fdb1b458f5db04c5b5673d3e2e162c">
          <item id="27c8607f8e3bbde88c56fc87fbbb76d45ee9b3fc" isNormal="1">
            <s:text>
              <s:r>
                <s:t xml:space="preserve">Administrator:
5/18 客供价格贴纸 1200pcs
</s:t>
              </s:r>
            </s:text>
          </item>
        </commentChain>
      </unresolved>
      <resolved/>
    </commentChains>
    <commentChains s:ref="AI1139" rgbClr="FF0000">
      <unresolved>
        <commentChain chainId="02f74c1e3cfadfd632b931c154a4f8a6a6c8b343">
          <item id="241a8131182dde796f0f11441ad9dd42a85b7f2a" userID="1851561945" userName="石玉珍" dateTime="2026-06-16T13:04:05" isNormal="0">
            <s:text>
              <s:r>
                <s:t xml:space="preserve">6/16 2801272 1200pcs
</s:t>
              </s:r>
            </s:text>
          </item>
        </commentChain>
      </unresolved>
      <resolved/>
    </commentChains>
    <commentChains s:ref="AL1139" rgbClr="FF0000">
      <unresolved>
        <commentChain chainId="e34f9e068d4a277fcc9332cd01ca47ef0b828707">
          <item id="3b3988422c021c157ab0a3bafdfaef109aa272a4" isNormal="1">
            <s:text>
              <s:r>
                <s:t xml:space="preserve">Administrator:
5/18 客供价格贴纸 1200pcs
</s:t>
              </s:r>
            </s:text>
          </item>
        </commentChain>
      </unresolved>
      <resolved/>
    </commentChains>
    <commentChains s:ref="AI1140" rgbClr="FF0000">
      <unresolved>
        <commentChain chainId="cdc8f4f0b333deeb83d66085a648eb18f6c01ad7">
          <item id="e0239005e0c91b3c6d4d30420cf95053a927dd9b" userID="1851561945" userName="石玉珍" dateTime="2026-06-15T14:10:32" isNormal="0">
            <s:text>
              <s:r>
                <s:t xml:space="preserve">2801268 6/15 804pcs</s:t>
              </s:r>
            </s:text>
          </item>
        </commentChain>
      </unresolved>
      <resolved/>
    </commentChains>
    <commentChains s:ref="AL1140" rgbClr="FF0000">
      <unresolved>
        <commentChain chainId="dd2c1ef2d076c4903962cc00bee3a0555d92c750">
          <item id="55f69020b7053e790db72a6a067a2527b15a0c09" isNormal="1">
            <s:text>
              <s:r>
                <s:t xml:space="preserve">Administrator:
5/18 客供价格贴纸 804pcs
</s:t>
              </s:r>
            </s:text>
          </item>
        </commentChain>
      </unresolved>
      <resolved/>
    </commentChains>
    <commentChains s:ref="AI1141" rgbClr="FF0000">
      <unresolved>
        <commentChain chainId="4ca190f370efc239d4fb6a2464d81992df60f866">
          <item id="e140b4fe142d973f268a680f1c522ac5348a1b3e" userID="1851561945" userName="石玉珍" dateTime="2026-06-18T00:57:12" isNormal="0">
            <s:text>
              <s:r>
                <s:t xml:space="preserve">2801252 6/17 1200pcs</s:t>
              </s:r>
            </s:text>
          </item>
        </commentChain>
      </unresolved>
      <resolved/>
    </commentChains>
    <commentChains s:ref="AL1141" rgbClr="FF0000">
      <unresolved>
        <commentChain chainId="bb927299d672de94fc68f4ecb19f962eb8347248">
          <item id="233d1e2e1696a2ab28ee89afaf1ba17fd8696988" isNormal="1">
            <s:text>
              <s:r>
                <s:t xml:space="preserve">Administrator:
5/20 Kinderherz 2025 Logo贴纸 1500pcs</s:t>
              </s:r>
            </s:text>
          </item>
        </commentChain>
      </unresolved>
      <resolved/>
    </commentChains>
    <commentChains s:ref="AI1142" rgbClr="FF0000">
      <unresolved>
        <commentChain chainId="7467f07f25827c416b69a72fca5f9229409aa7b8">
          <item id="29b575017de04766f9b730b7a700955a9af316bb" userID="1851561945" userName="石玉珍" dateTime="2026-06-18T00:56:23" isNormal="0">
            <s:text>
              <s:r>
                <s:t xml:space="preserve">2801252 6/17 960pcs</s:t>
              </s:r>
            </s:text>
          </item>
        </commentChain>
      </unresolved>
      <resolved/>
    </commentChains>
    <commentChains s:ref="AL1142" rgbClr="FF0000">
      <unresolved>
        <commentChain chainId="2e4a448e53d2360d87b9bcac62b3acfcf5de67e0">
          <item id="76816504d39c6017e2843c3feec772862dee9200" isNormal="1">
            <s:text>
              <s:r>
                <s:t xml:space="preserve">Administrator:
5/22 客供亚马逊外箱贴 60pcs
</s:t>
              </s:r>
            </s:text>
          </item>
          <item id="79351db9ea33d9ed12c4d1fed9618a6858135653" userID="1851561945" userName="石玉珍" dateTime="2026-05-31T06:14:55" isNormal="0">
            <s:text>
              <s:r>
                <s:t xml:space="preserve">5/28 警语贴纸  960pcs</s:t>
              </s:r>
            </s:text>
          </item>
        </commentChain>
      </unresolved>
      <resolved/>
    </commentChains>
    <commentChains s:ref="AI1143" rgbClr="FF0000">
      <unresolved>
        <commentChain chainId="ac7139f38bb881a3d6db5e5ba729627b8b9b34a2">
          <item id="25ab7597a78936e3a2ae16e74bfb3106d2c4e660" userID="1851561945" userName="石玉珍" dateTime="2026-06-15T02:30:41" isNormal="0">
            <s:text>
              <s:r>
                <s:t xml:space="preserve">2801250 6/13 360pcs</s:t>
              </s:r>
            </s:text>
          </item>
        </commentChain>
      </unresolved>
      <resolved/>
    </commentChains>
    <commentChains s:ref="AL1143" rgbClr="FF0000">
      <unresolved>
        <commentChain chainId="27151336d0416e38d041dbe5f782e29ec0667c54">
          <item id="01001444fa3646bc39a64a9bda98cbc997cfa5b4" userID="1851561945" userName="石玉珍" dateTime="2026-05-30T12:31:11" isNormal="0">
            <s:text>
              <s:r>
                <s:t xml:space="preserve">5/28 丹麦瑞典芬兰挪威警告语贴纸 360pcs</s:t>
              </s:r>
            </s:text>
          </item>
          <item id="de28473a3035d81c03424b828678142af7071517" userID="1851561945" userName="石玉珍" dateTime="2026-05-30T12:31:30" isNormal="0">
            <s:text>
              <s:r>
                <s:t xml:space="preserve">大语警告语贴 360pcs
小语警告语贴 1080pcs</s:t>
              </s:r>
            </s:text>
          </item>
        </commentChain>
      </unresolved>
      <resolved/>
    </commentChains>
    <commentChains s:ref="AI1144" rgbClr="FF0000">
      <unresolved>
        <commentChain chainId="a6ec81bab3ccc078dc4738f1b16aebb7e18d35bb">
          <item id="2261bcfd0083f1779d2b6e73aa22b92d71aa4282" userID="1851561945" userName="石玉珍" dateTime="2026-06-16T13:07:13" isNormal="0">
            <s:text>
              <s:r>
                <s:t xml:space="preserve">2801272 6/16 1504pcs</s:t>
              </s:r>
            </s:text>
          </item>
        </commentChain>
      </unresolved>
      <resolved/>
    </commentChains>
    <commentChains s:ref="AL1144" rgbClr="FF0000">
      <unresolved>
        <commentChain chainId="42ecdba41f7ed4d33c0293fe335b0c9ed04362f9">
          <item id="b13cf6368929857c5f78ec744fe059452f79eb23" userID="1851561945" userName="石玉珍" dateTime="2026-05-31T06:15:36" isNormal="0">
            <s:text>
              <s:r>
                <s:t xml:space="preserve">5/28 进口商贴纸 1504pcs</s:t>
              </s:r>
            </s:text>
          </item>
        </commentChain>
      </unresolved>
      <resolved/>
    </commentChains>
    <commentChains s:ref="AI1145" rgbClr="FF0000">
      <unresolved>
        <commentChain chainId="80853caaeb383e4422408e873656ffaffa357726">
          <item id="7bd482cf5e79094d99d596d070a063ce9ab3a704" userID="1851561945" userName="石玉珍" dateTime="2026-06-18T02:20:07" isNormal="0">
            <s:text>
              <s:r>
                <s:t xml:space="preserve">2801486 6/17 2560pcs</s:t>
              </s:r>
            </s:text>
          </item>
        </commentChain>
      </unresolved>
      <resolved/>
    </commentChains>
    <commentChains s:ref="AL1145" rgbClr="FF0000">
      <unresolved>
        <commentChain chainId="930c1f5d95113c4ed2dbeb66c4d0c6ab2b5b396a">
          <item id="76b00aa260af07ce0f9d5d640aab430442518afa" isNormal="1">
            <s:text>
              <s:r>
                <s:t xml:space="preserve">Administrator:
5/25 客供RFID贴纸25600pc
</s:t>
              </s:r>
            </s:text>
          </item>
        </commentChain>
      </unresolved>
      <resolved/>
    </commentChains>
    <commentChains s:ref="AI1146" rgbClr="FF0000">
      <unresolved>
        <commentChain chainId="1e730bd08601a6d239782743825bd91987d74b28">
          <item id="2ba3f97f51c4f91eef7de812ec7fcddafe9da389" userID="1851561945" userName="石玉珍" dateTime="2026-06-16T13:21:38" isNormal="0">
            <s:text>
              <s:r>
                <s:t xml:space="preserve">2801483 6/17 2160pcs</s:t>
              </s:r>
            </s:text>
          </item>
          <item id="c36177529fabfb74ddfb8c023e8b1a67d95caa54" userID="1851561945" userName="石玉珍" dateTime="2026-06-18T02:20:49" isNormal="0">
            <s:text>
              <s:r>
                <s:t xml:space="preserve">2801485 6/17 5200pcs</s:t>
              </s:r>
            </s:text>
          </item>
        </commentChain>
      </unresolved>
      <resolved/>
    </commentChains>
    <commentChains s:ref="AL1146" rgbClr="FF0000">
      <unresolved>
        <commentChain chainId="b36d3ae4d6719421fb7f4f6a416abd46b926633a">
          <item id="20ac5834d1906672ac11eeeb9ade632462a4bee4" isNormal="1">
            <s:text>
              <s:r>
                <s:t xml:space="preserve">Administrator:
5/25 客供RFID贴纸 7360pc
</s:t>
              </s:r>
            </s:text>
          </item>
        </commentChain>
      </unresolved>
      <resolved/>
    </commentChains>
    <commentChains s:ref="AI1147" rgbClr="FF0000">
      <unresolved>
        <commentChain chainId="fe3136d1249217911c791879206526d35d2208b8">
          <item id="745b06bf649c48bd43cda4fba55f72408cee3ba2" userID="1851561945" userName="石玉珍" dateTime="2026-06-18T00:53:41" isNormal="0">
            <s:text>
              <s:r>
                <s:t xml:space="preserve">2801485 5120pcs</s:t>
              </s:r>
            </s:text>
          </item>
        </commentChain>
      </unresolved>
      <resolved/>
    </commentChains>
    <commentChains s:ref="AL1147" rgbClr="FF0000">
      <unresolved>
        <commentChain chainId="f41a39b4dc3e48804bda0ab5dea5f2b0372c02ac">
          <item id="a44a7e1e258c566df68f3a19501600c4088ce593" isNormal="1">
            <s:text>
              <s:r>
                <s:t xml:space="preserve">Administrator:
5/25 客供RFID贴纸 5120pc
</s:t>
              </s:r>
            </s:text>
          </item>
        </commentChain>
      </unresolved>
      <resolved/>
    </commentChains>
    <commentChains s:ref="AI1148" rgbClr="FF0000">
      <unresolved>
        <commentChain chainId="80a4fe984da555a5d8a8db45aa43f54fb45a60b7">
          <item id="608a375420ae8db1c5e1e202608b8aa9073a22dd" userID="1851561945" userName="石玉珍" dateTime="2026-06-18T00:54:00" isNormal="0">
            <s:text>
              <s:r>
                <s:t xml:space="preserve">2801485  6/17 4800pcs</s:t>
              </s:r>
            </s:text>
          </item>
        </commentChain>
      </unresolved>
      <resolved/>
    </commentChains>
    <commentChains s:ref="AL1148" rgbClr="FF0000">
      <unresolved>
        <commentChain chainId="c2726c1f93523c6b8f68156f39b518a4d0cc8100">
          <item id="1369e9aeb2dd9e602af758971b871987e37d4341" isNormal="1">
            <s:text>
              <s:r>
                <s:t xml:space="preserve">Administrator:
5/25 客供RFID贴纸 4800pc
</s:t>
              </s:r>
            </s:text>
          </item>
        </commentChain>
      </unresolved>
      <resolved/>
    </commentChains>
    <commentChains s:ref="AI1150" rgbClr="FF0000">
      <unresolved>
        <commentChain chainId="79d33064cca061536f21fe90c0206c596892a381">
          <item id="77eb86beceee887c492ef197e2f789e28a228d78" userID="1851561945" userName="石玉珍" dateTime="2026-06-20T00:58:25" isNormal="0">
            <s:text>
              <s:r>
                <s:t xml:space="preserve">2201061 6/18 708pcs</s:t>
              </s:r>
            </s:text>
          </item>
          <item id="485625e28df5602b6ea27d967f260dd1c7f5e35b" userID="1851561945" userName="石玉珍" dateTime="2026-06-20T13:41:42" isNormal="0">
            <s:text>
              <s:r>
                <s:t xml:space="preserve">2201095 6/20 12pcs</s:t>
              </s:r>
            </s:text>
          </item>
        </commentChain>
      </unresolved>
      <resolved/>
    </commentChains>
    <commentChains s:ref="AL1150" rgbClr="FF0000">
      <unresolved>
        <commentChain chainId="a8539f8cf4a1c89584be6d97c18da47952ef6fac">
          <item id="c80fce35486f8b5c7c01598ca42b9b6389689bc7" isNormal="1">
            <s:text>
              <s:r>
                <s:t xml:space="preserve">Administrator:
5/25 进口商贴纸 720pcs
UPC贴纸 720pcs</s:t>
              </s:r>
            </s:text>
          </item>
        </commentChain>
      </unresolved>
      <resolved/>
    </commentChains>
    <commentChains s:ref="AI1151" rgbClr="FF0000">
      <unresolved>
        <commentChain chainId="707d3fad3410871795382f42d817250446d765d8">
          <item id="e07bf1cd7e4206fde4fca4696f17c81d57a5098b" userID="1851561945" userName="石玉珍" dateTime="2026-06-20T13:38:06" isNormal="0">
            <s:text>
              <s:r>
                <s:t xml:space="preserve">2801516 6/20 2004pcs</s:t>
              </s:r>
            </s:text>
          </item>
        </commentChain>
      </unresolved>
      <resolved/>
    </commentChains>
    <commentChains s:ref="AL1151" rgbClr="FF0000">
      <unresolved>
        <commentChain chainId="f496354ec88f2b097b98ad0c9211b971b1b69a58">
          <item id="ce33af6fad38582ee17f01628efdd80b5e081004" userID="1851561945" userName="石玉珍" dateTime="2026-06-06T01:17:48" isNormal="0">
            <s:text>
              <s:r>
                <s:t xml:space="preserve">6/5 UPC贴纸 2004pcs</s:t>
              </s:r>
            </s:text>
          </item>
          <item id="3fc6e263e8a3346b6cf29bd58ab7c849773f32f7" userID="1851561945" userName="石玉珍" dateTime="2026-06-08T12:07:34" isNormal="0">
            <s:text>
              <s:r>
                <s:t xml:space="preserve">6/8 进口商贴纸 2004pcs</s:t>
              </s:r>
            </s:text>
          </item>
        </commentChain>
      </unresolved>
      <resolved/>
    </commentChains>
    <commentChains s:ref="AL1152" rgbClr="FF0000">
      <unresolved>
        <commentChain chainId="863c230044716192cda7bf68c7a1b586213ae7d1">
          <item id="e34a5f940778abdbab08c29f21bec7af1a177db2" userID="1851561945" userName="石玉珍" dateTime="2026-05-31T08:29:27" isNormal="0">
            <s:text>
              <s:r>
                <s:t xml:space="preserve">5/30 亚马逊外箱贴纸 93pcs </s:t>
              </s:r>
            </s:text>
          </item>
        </commentChain>
      </unresolved>
      <resolved/>
    </commentChains>
    <commentChains s:ref="AI1154" rgbClr="FF0000">
      <unresolved>
        <commentChain chainId="888e128945eefc4741e90c6a2766676eaa2e2e2b">
          <item id="9fbbd892b35786e127c74b8f988a463c473ac164" userID="1851561945" userName="石玉珍" dateTime="2026-06-20T03:28:29" isNormal="0">
            <s:text>
              <s:r>
                <s:t xml:space="preserve">2201064 6/18 2000pcs</s:t>
              </s:r>
            </s:text>
          </item>
        </commentChain>
      </unresolved>
      <resolved/>
    </commentChains>
    <commentChains s:ref="AL1154" rgbClr="FF0000">
      <unresolved>
        <commentChain chainId="4e33aebdf145bd90805b60a5b32d252b8ff8d1ce">
          <item id="54a9673888efd30625c5fcae7cbc087897b7d841" userID="1851561945" userName="石玉珍" dateTime="2026-05-30T12:29:21" isNormal="0">
            <s:text>
              <s:r>
                <s:t xml:space="preserve">5/28 客人警语贴纸 4000pcs</s:t>
              </s:r>
            </s:text>
          </item>
          <item id="131e824854186f1d1304012a3d13681ee5be9ff3" userID="1851561945" userName="石玉珍" dateTime="2026-05-30T12:29:32" isNormal="0">
            <s:text>
              <s:r>
                <s:t xml:space="preserve">纸袋希腊警语贴纸 8000pcs</s:t>
              </s:r>
            </s:text>
          </item>
        </commentChain>
      </unresolved>
      <resolved/>
    </commentChains>
    <commentChains s:ref="AI1155" rgbClr="FF0000">
      <unresolved>
        <commentChain chainId="362f68f01579c3cfcb8452074981a56da472abb1">
          <item id="0ed66a70f5b4831d4e4f6122ede6bac08e251dbc" userID="1851561945" userName="石玉珍" dateTime="2026-06-20T13:39:06" isNormal="0">
            <s:text>
              <s:r>
                <s:t xml:space="preserve">2801516 6/20 544pcs
</s:t>
              </s:r>
            </s:text>
          </item>
        </commentChain>
      </unresolved>
      <resolved/>
    </commentChains>
    <commentChains s:ref="AL1155" rgbClr="FF0000">
      <unresolved>
        <commentChain chainId="8b31b55b2e59a1012b9d3c942f749abf37798927">
          <item id="b5ca7df5fec43cbffdb671f327fcd67317d718a4" userID="1851561945" userName="石玉珍" dateTime="2026-06-01T12:51:51" isNormal="0">
            <s:text>
              <s:r>
                <s:t xml:space="preserve">6/1 客户贴纸 544pcs
额外收藏指南贴纸 544pcs
警告语贴纸 544pcs</s:t>
              </s:r>
            </s:text>
          </item>
          <item id="9dca9c001ebab98be072f6d72d060d5b6e629f72" userID="1851561945" userName="石玉珍" dateTime="2026-06-08T12:12:00" isNormal="0">
            <s:text>
              <s:r>
                <s:t xml:space="preserve">6/8 果冻贴纸 544pcs</s:t>
              </s:r>
            </s:text>
          </item>
          <item id="47dbcccf98b6e9d924024443b9d631d52b77d6e2" userID="1851561945" userName="石玉珍" dateTime="2026-06-12T07:26:22" isNormal="0">
            <s:text>
              <s:r>
                <s:t xml:space="preserve">6/10 家乐福外箱贴纸 136pcs</s:t>
              </s:r>
            </s:text>
          </item>
        </commentChain>
      </unresolved>
      <resolved/>
    </commentChains>
    <commentChains s:ref="AI1156" rgbClr="FF0000">
      <unresolved>
        <commentChain chainId="dadf6bedccf8a5cede1c397d6a78cf180c2bd16b">
          <item id="176ae139eec419c6d6042b788b132dfcb59dfa10" userID="1851561945" userName="石玉珍" dateTime="2026-06-18T02:06:42" isNormal="0">
            <s:text>
              <s:r>
                <s:t xml:space="preserve">1601943 6/17 12740pcs</s:t>
              </s:r>
            </s:text>
          </item>
        </commentChain>
      </unresolved>
      <resolved/>
    </commentChains>
    <commentChains s:ref="AL1156" rgbClr="FF0000">
      <unresolved>
        <commentChain chainId="66b2fd2cd9cd62b8e369c3767007cd28d370b956">
          <item id="f0bd00e57611ae4fb269305255692f2f1e0604d8" userID="1851561945" userName="石玉珍" dateTime="2026-06-16T12:34:37" isNormal="0">
            <s:text>
              <s:r>
                <s:t xml:space="preserve">6/16 客供外箱条码贴纸 3209pcs</s:t>
              </s:r>
            </s:text>
          </item>
        </commentChain>
      </unresolved>
      <resolved/>
    </commentChains>
    <commentChains s:ref="AI1157" rgbClr="FF0000">
      <unresolved>
        <commentChain chainId="0b7acc4a3fff544f4e0137e17afe8c4ad1286275">
          <item id="b74ef929e0e05eaa46dc3d8ccac53ffdff1c29ba" userID="1851561945" userName="石玉珍" dateTime="2026-06-20T03:22:35" isNormal="0">
            <s:text>
              <s:r>
                <s:t xml:space="preserve">2801511 6/18 1000pcs</s:t>
              </s:r>
            </s:text>
          </item>
        </commentChain>
      </unresolved>
      <resolved/>
    </commentChains>
    <commentChains s:ref="AI1158" rgbClr="FF0000">
      <unresolved>
        <commentChain chainId="3f4a16904b7984543ad0078024c4a7e3f10e8f89">
          <item id="bf824baf6ecb2c931df3883998fe8f561e5c31be" userID="1851561945" userName="石玉珍" dateTime="2026-06-20T13:39:28" isNormal="0">
            <s:text>
              <s:r>
                <s:t xml:space="preserve">2801516 6/20 160pcs</s:t>
              </s:r>
            </s:text>
          </item>
        </commentChain>
      </unresolved>
      <resolved/>
    </commentChains>
    <commentChains s:ref="AL1158" rgbClr="FF0000">
      <unresolved>
        <commentChain chainId="0a9f025eb4262b651457aa3077c93bd999668ed0">
          <item id="09fb8c8ec827811b8661105dcb9afdaf6842cdd9" userID="1851561945" userName="石玉珍" dateTime="2026-06-08T12:12:46" isNormal="0">
            <s:text>
              <s:r>
                <s:t xml:space="preserve">6/8 果冻贴纸 160pcs</s:t>
              </s:r>
            </s:text>
          </item>
          <item id="cd6a17feb2a3530860c5c34b74a1ebfae72802e0" userID="1851561945" userName="石玉珍" dateTime="2026-06-08T12:14:31" isNormal="0">
            <s:text>
              <s:r>
                <s:t xml:space="preserve">6/8 客户贴纸 160pcs</s:t>
              </s:r>
            </s:text>
          </item>
          <item id="c0144e14613fe1eae0f9ad848b8cace74a01d63f" userID="1851561945" userName="石玉珍" dateTime="2026-06-08T12:14:38" isNormal="0">
            <s:text>
              <s:r>
                <s:t xml:space="preserve">额外收藏指南贴纸 160pcs</s:t>
              </s:r>
            </s:text>
          </item>
          <item id="eec69145a06d02a304f05c44825be8a6f6e60b8b" userID="1851561945" userName="石玉珍" dateTime="2026-06-08T12:14:44" isNormal="0">
            <s:text>
              <s:r>
                <s:t xml:space="preserve">警告语贴纸</s:t>
              </s:r>
            </s:text>
          </item>
          <item id="7ab134bf15fd78893ad5da65daef669348d89178" userID="1851561945" userName="石玉珍" dateTime="2026-06-12T07:25:11" isNormal="0">
            <s:text>
              <s:r>
                <s:t xml:space="preserve">6/10 家乐福外箱贴纸 40pcs</s:t>
              </s:r>
            </s:text>
          </item>
        </commentChain>
      </unresolved>
      <resolved/>
    </commentChains>
    <commentChains s:ref="AI1159" rgbClr="FF0000">
      <unresolved>
        <commentChain chainId="6bdbc474977f8f0fb6499e4fc506c824e54015b4">
          <item id="0834f55e79175204e2f202c730d532419c48d090" userID="1851561945" userName="石玉珍" dateTime="2026-06-18T02:20:14" isNormal="0">
            <s:text>
              <s:r>
                <s:t xml:space="preserve">2801486 6/17 2880pcs</s:t>
              </s:r>
            </s:text>
          </item>
        </commentChain>
      </unresolved>
      <resolved/>
    </commentChains>
    <commentChains s:ref="AL1159" rgbClr="FF0000">
      <unresolved>
        <commentChain chainId="d49c585c0878794d51fe5c6eff46853785bf2d75">
          <item id="79e0f7b007193d930a9d220ba74398dc7072dfe6" isNormal="1">
            <s:text>
              <s:r>
                <s:t xml:space="preserve">Administrator:
5/25 客供RFID贴纸 2880pc</s:t>
              </s:r>
            </s:text>
          </item>
        </commentChain>
      </unresolved>
      <resolved/>
    </commentChains>
    <commentChains s:ref="AI1160" rgbClr="FF0000">
      <unresolved>
        <commentChain chainId="0393c655f56f588eb6d4bcd845d5834cc4313b05">
          <item id="a4ca0707dabf95a81bdf6fee675c94c0f88e54f8" userID="1851561945" userName="石玉珍" dateTime="2026-06-22T13:17:18" isNormal="0">
            <s:text>
              <s:r>
                <s:t xml:space="preserve">2201108 6/22 996pcs</s:t>
              </s:r>
            </s:text>
          </item>
        </commentChain>
      </unresolved>
      <resolved/>
    </commentChains>
    <commentChains s:ref="AL1160" rgbClr="FF0000">
      <unresolved>
        <commentChain chainId="c68ad8c9d36b2d7327430bef62c2dbca0498fa05">
          <item id="53db70ab61fdf58f4e1d2a5ae2d88763caaebbab" userID="1851561945" userName="石玉珍" dateTime="2026-06-08T12:58:45" isNormal="0">
            <s:text>
              <s:r>
                <s:t xml:space="preserve">6/8 进口商贴纸 996pcs
客户款号的EAN条码贴纸 996pcs
</s:t>
              </s:r>
            </s:text>
          </item>
        </commentChain>
      </unresolved>
      <resolved/>
    </commentChains>
    <commentChains s:ref="AI1161" rgbClr="FF0000">
      <unresolved>
        <commentChain chainId="a8dbdaed98d9d0ee49bfe377bc6bcbd53d13b3ca">
          <item id="0f769d12903537236bc2d2935a6d64f2426ad519" userID="1851561945" userName="石玉珍" dateTime="2026-06-23T08:47:07" isNormal="0">
            <s:text>
              <s:r>
                <s:t xml:space="preserve">2801524 6/22 512pcs</s:t>
              </s:r>
            </s:text>
          </item>
        </commentChain>
      </unresolved>
      <resolved/>
    </commentChains>
    <commentChains s:ref="AL1161" rgbClr="FF0000">
      <unresolved>
        <commentChain chainId="836a2f88666a8b85bf3dd4e086b854d4e1d93e85">
          <item id="5db8dba89f96b3afba2de77bc1a9acc6eb4f9d29" isNormal="1">
            <s:text>
              <s:r>
                <s:t xml:space="preserve">Administrator:
5/21 客供防盗贴纸 512pcs</s:t>
              </s:r>
            </s:text>
          </item>
          <item id="5c52d8e0a9a2f861ef97a6cdf6384e6824717b21" userID="1851561945" userName="石玉珍" dateTime="2026-06-09T13:36:34" isNormal="0">
            <s:text>
              <s:r>
                <s:t xml:space="preserve">6/9 易撕价格贴纸 512pcs</s:t>
              </s:r>
            </s:text>
          </item>
        </commentChain>
      </unresolved>
      <resolved/>
    </commentChains>
    <commentChains s:ref="AI1162" rgbClr="FF0000">
      <unresolved>
        <commentChain chainId="203096ad41f9566d4f2a4aa347c8a147bc8296c8">
          <item id="92f046055ec643be02a79d9ce6685190bd54f118" userID="1851561945" userName="石玉珍" dateTime="2026-06-20T13:37:24" isNormal="0">
            <s:text>
              <s:r>
                <s:t xml:space="preserve">2801516 6/20 120pcs</s:t>
              </s:r>
            </s:text>
          </item>
        </commentChain>
      </unresolved>
      <resolved/>
    </commentChains>
    <commentChains s:ref="AL1162" rgbClr="FF0000">
      <unresolved>
        <commentChain chainId="89dc3fab18c83f0fa4facf8e9ae31bce467aab68">
          <item id="5f145a66d519d5651024552808d8d2ad0a211b5b" userID="1851561945" userName="石玉珍" dateTime="2026-06-09T13:32:09" isNormal="0">
            <s:text>
              <s:r>
                <s:t xml:space="preserve">6/9 UPC贴纸 120psc</s:t>
              </s:r>
            </s:text>
          </item>
        </commentChain>
      </unresolved>
      <resolved/>
    </commentChains>
    <commentChains s:ref="AI1163" rgbClr="FF0000">
      <unresolved>
        <commentChain chainId="94c1c281d313860c1aff2a8f12191685eb5581cc">
          <item id="d171dd6e4bf105cc0025c98c038cd276bb7a72c6" userID="1851561945" userName="石玉珍" dateTime="2026-06-23T05:58:45" isNormal="0">
            <s:text>
              <s:r>
                <s:t xml:space="preserve">2801520 6/22 4000pcs</s:t>
              </s:r>
            </s:text>
          </item>
        </commentChain>
      </unresolved>
      <resolved/>
    </commentChains>
    <commentChains s:ref="AI1164" rgbClr="FF0000">
      <unresolved>
        <commentChain chainId="89f911e79c0e8cb1180c377a5ba955f1db470e6e">
          <item id="d726172c3acccfda9adbcc8cef636bc4b24d64ab" userID="1851561945" userName="石玉珍" dateTime="2026-06-23T05:58:51" isNormal="0">
            <s:text>
              <s:r>
                <s:t xml:space="preserve">2801520 6/22 4000pcs</s:t>
              </s:r>
            </s:text>
          </item>
        </commentChain>
      </unresolved>
      <resolved/>
    </commentChains>
    <commentChains s:ref="AI1165" rgbClr="FF0000">
      <unresolved>
        <commentChain chainId="ff9d87228db75a05f997afbeacf7bd254ab9c948">
          <item id="c340c25f68042743288bd99cae84b7202f26a001" userID="1851561945" userName="石玉珍" dateTime="2026-06-23T06:06:13" isNormal="0">
            <s:text>
              <s:r>
                <s:t xml:space="preserve">2801524 6/22 300pcs</s:t>
              </s:r>
            </s:text>
          </item>
        </commentChain>
      </unresolved>
      <resolved/>
    </commentChains>
    <commentChains s:ref="AL1165" rgbClr="FF0000">
      <unresolved>
        <commentChain chainId="1f75658343cea2d770978b065c082cb6a7d7f754">
          <item id="ca13862d120f25bd4803110bf14f340eb9c1f46c" userID="1851561945" userName="石玉珍" dateTime="2026-05-31T07:47:53" isNormal="0">
            <s:text>
              <s:r>
                <s:t xml:space="preserve">5/29 挪威语警语贴纸 300pcs</s:t>
              </s:r>
            </s:text>
          </item>
        </commentChain>
      </unresolved>
      <resolved/>
    </commentChains>
    <commentChains s:ref="AI1167" rgbClr="FF0000">
      <unresolved>
        <commentChain chainId="e0c0acd94fa91e8c4ac1a1636c941ea6d0012073">
          <item id="1297509bee76e25b6b60d3fb9d4be02a3dbefb94" userID="1851561945" userName="石玉珍" dateTime="2026-06-23T05:59:29" isNormal="0">
            <s:text>
              <s:r>
                <s:t xml:space="preserve">2801520 6/22 3570pcs</s:t>
              </s:r>
            </s:text>
          </item>
          <item id="37cb92c16b5c889586a8b634f1874db90260111c" userID="1851561945" userName="石玉珍" dateTime="2026-06-23T06:04:37" isNormal="0">
            <s:text>
              <s:r>
                <s:t xml:space="preserve">2801524 6/22 30pcs</s:t>
              </s:r>
            </s:text>
          </item>
        </commentChain>
      </unresolved>
      <resolved/>
    </commentChains>
    <commentChains s:ref="AL1167" rgbClr="FF0000">
      <unresolved>
        <commentChain chainId="947c1041c28250cbd6c410971fc94e9e1c1ad042">
          <item id="355a57adb7b588e862784b313892657ebc0b8b2d" userID="1851561945" userName="石玉珍" dateTime="2026-05-30T12:25:35" isNormal="0">
            <s:text>
              <s:r>
                <s:t xml:space="preserve">5/28 3C中文贴纸  3600pcs
5/29 防窜码贴纸 1800pcs
5/28 防窜码贴纸 3600pcs</s:t>
              </s:r>
            </s:text>
          </item>
          <item id="445c9c0b15dc853302defbae25238c3d13bd6b52" userID="1851561945" userName="石玉珍" dateTime="2026-06-05T01:05:01" isNormal="0">
            <s:text>
              <s:r>
                <s:t xml:space="preserve">挪用到68503这个单 5400pcs</s:t>
              </s:r>
            </s:text>
          </item>
        </commentChain>
      </unresolved>
      <resolved/>
    </commentChains>
    <commentChains s:ref="AI1168" rgbClr="FF0000">
      <unresolved>
        <commentChain chainId="d438bcaba3d3080dcdc4c00cb04654f1f75d8e2c">
          <item id="9b75204fe3bc75184e740f2e33f23a08585ef8fd" userID="1851561945" userName="石玉珍" dateTime="2026-06-24T02:15:19" isNormal="0">
            <s:text>
              <s:r>
                <s:t xml:space="preserve">2801533 6/23 512pcs</s:t>
              </s:r>
            </s:text>
          </item>
        </commentChain>
      </unresolved>
      <resolved/>
    </commentChains>
    <commentChains s:ref="AL1168" rgbClr="FF0000">
      <unresolved>
        <commentChain chainId="3e73cac135f9dc214a6778319d19cd780dfa41bd">
          <item id="fab1eeb11d9143d3397e7c8a0b4c8d8b3c4e8d8b" userID="1851561945" userName="石玉珍" dateTime="2026-06-01T12:40:34" isNormal="0">
            <s:text>
              <s:r>
                <s:t xml:space="preserve">6/1 警语贴纸 512pcs</s:t>
              </s:r>
            </s:text>
          </item>
        </commentChain>
      </unresolved>
      <resolved/>
    </commentChains>
    <commentChains s:ref="AI1169" rgbClr="FF0000">
      <unresolved>
        <commentChain chainId="cb7f8a1b4df2f898800b552cecc3d7e9d0d470e4">
          <item id="06506674d7dee209a93e58bff6f0fad864657428" userID="1851561945" userName="石玉珍" dateTime="2026-06-24T02:15:56" isNormal="0">
            <s:text>
              <s:r>
                <s:t xml:space="preserve">2801533 6/23 960pcs</s:t>
              </s:r>
            </s:text>
          </item>
        </commentChain>
      </unresolved>
      <resolved/>
    </commentChains>
    <commentChains s:ref="AL1169" rgbClr="FF0000">
      <unresolved>
        <commentChain chainId="26c3d7c866f754edaf65a984f728453826d4dabb">
          <item id="94bff1483b8bc9b8bd129664356850176f59fb20" userID="1851561945" userName="石玉珍" dateTime="2026-06-09T13:31:38" isNormal="0">
            <s:text>
              <s:r>
                <s:t xml:space="preserve">6/9 UPC贴纸 960psc</s:t>
              </s:r>
            </s:text>
          </item>
        </commentChain>
      </unresolved>
      <resolved/>
    </commentChains>
    <commentChains s:ref="AI1171" rgbClr="FF0000">
      <unresolved>
        <commentChain chainId="0d073b36c0a6a64dae03a37b4b36fdda1be33bf2">
          <item id="d9b1d80ff4f41acca51c7b6a58d97f1de413639b" userID="1851561945" userName="石玉珍" dateTime="2026-06-25T11:48:27" isNormal="0">
            <s:text>
              <s:r>
                <s:t xml:space="preserve">2802543 6/25 15680pcs</s:t>
              </s:r>
            </s:text>
          </item>
          <item id="dfb571815ae5189ddc784ad9366ebd5c2da0e574" userID="1851561945" userName="石玉珍" dateTime="2026-06-25T11:56:56" isNormal="0">
            <s:text>
              <s:r>
                <s:t xml:space="preserve">2802544 6/25 7420pcs</s:t>
              </s:r>
            </s:text>
          </item>
          <item id="fc2f669fcda0676484c219669de40d0058576eaf" userID="1851561945" userName="石玉珍" dateTime="2026-06-26T00:26:41" isNormal="0">
            <s:text>
              <s:r>
                <s:t xml:space="preserve">2802567 6/25 5040pcs</s:t>
              </s:r>
            </s:text>
          </item>
          <item id="9a75540466c8468bf10d7c2dc98119c7d33aa1ba" userID="1851561945" userName="石玉珍" dateTime="2026-06-26T11:45:33" isNormal="0">
            <s:text>
              <s:r>
                <s:t xml:space="preserve">2802568 6/26 12160pcs</s:t>
              </s:r>
            </s:text>
          </item>
          <item id="d3c58555370683453933ae5014d756683bb82387" userID="1851561945" userName="石玉珍" dateTime="2026-06-26T11:49:00" isNormal="0">
            <s:text>
              <s:r>
                <s:t xml:space="preserve">2802571 6/26 14700pcs</s:t>
              </s:r>
            </s:text>
          </item>
        </commentChain>
      </unresolved>
      <resolved/>
    </commentChains>
    <commentChains s:ref="AL1171" rgbClr="FF0000">
      <unresolved>
        <commentChain chainId="d695b982cdd8b47309aa3da49c471205d37f6337">
          <item id="461aa93729614656db52c4ae1f01927a5336b25d" userID="1851561945" userName="石玉珍" dateTime="2026-06-08T12:46:16" isNormal="0">
            <s:text>
              <s:r>
                <s:t xml:space="preserve">6/8 客供外箱条码贴纸 13750pcs</s:t>
              </s:r>
            </s:text>
          </item>
        </commentChain>
      </unresolved>
      <resolved/>
    </commentChains>
    <commentChains s:ref="AI1172" rgbClr="FF0000">
      <unresolved>
        <commentChain chainId="31e4e48e2ecb523e16088b34a5e544534617ecf6">
          <item id="93dafce8e17de1b38457e641a7b12dedcc0826a6" userID="1851561945" userName="石玉珍" dateTime="2026-06-27T01:52:47" isNormal="0">
            <s:text>
              <s:r>
                <s:t xml:space="preserve">2802572 6/26 5760pcs</s:t>
              </s:r>
            </s:text>
          </item>
          <item id="800acdf1c188e35fdbfe16ed90751030b65c87df" userID="1851561945" userName="石玉珍" dateTime="2026-06-27T02:34:30" isNormal="0">
            <s:text>
              <s:r>
                <s:t xml:space="preserve">2802576 6/26 10080pcs</s:t>
              </s:r>
            </s:text>
          </item>
          <item id="381e743156effded1f87cf66a49e5e0c829ff693" userID="1851561945" userName="石玉珍" dateTime="2026-06-29T01:03:53" isNormal="0">
            <s:text>
              <s:r>
                <s:t xml:space="preserve">2802585 6/27 6040pcs</s:t>
              </s:r>
            </s:text>
          </item>
          <item id="6fdacead5391fce9a1da8bafb61bcdf34bb6d41f" userID="1851561945" userName="石玉珍" dateTime="2026-06-29T01:14:31" isNormal="0">
            <s:text>
              <s:r>
                <s:t xml:space="preserve">2802582 6/27 16560pcs</s:t>
              </s:r>
            </s:text>
          </item>
          <item id="00bea097b2236cc81d12afffd26ae04f394a7d41" userID="1851561945" userName="石玉珍" dateTime="2026-06-29T01:17:55" isNormal="0">
            <s:text>
              <s:r>
                <s:t xml:space="preserve">2802580 6/27 16560 pcs</s:t>
              </s:r>
            </s:text>
          </item>
        </commentChain>
      </unresolved>
      <resolved/>
    </commentChains>
    <commentChains s:ref="AL1172" rgbClr="FF0000">
      <unresolved>
        <commentChain chainId="84476abc3e491445028ebe01fd65adf2d3a83d1a">
          <item id="c505bacead62c30f80ef5161a6a70db71701a188" userID="1851561945" userName="石玉珍" dateTime="2026-06-08T12:46:48" isNormal="0">
            <s:text>
              <s:r>
                <s:t xml:space="preserve">6/8 客供外箱条码贴纸  13750pcs</s:t>
              </s:r>
            </s:text>
          </item>
        </commentChain>
      </unresolved>
      <resolved/>
    </commentChains>
    <commentChains s:ref="AI1173" rgbClr="FF0000">
      <unresolved>
        <commentChain chainId="4f599652942f58810715fcd67d1ef5ef160a777f">
          <item id="a7966cda23c077f6734a1c6c7a8fd159ea864288" userID="1851561945" userName="石玉珍" dateTime="2026-06-26T12:54:47" isNormal="0">
            <s:text>
              <s:r>
                <s:t xml:space="preserve">2801544 6/26 4608pcs</s:t>
              </s:r>
            </s:text>
          </item>
        </commentChain>
      </unresolved>
      <resolved/>
    </commentChains>
    <commentChains s:ref="AL1173" rgbClr="FF0000">
      <unresolved>
        <commentChain chainId="730b52254af13d26c2f0cf78a145ea2d2b38d956">
          <item id="969e8170cf25e161c321ae60ce3fd5044395330b" userID="1851561945" userName="石玉珍" dateTime="2026-05-31T07:45:20" isNormal="0">
            <s:text>
              <s:r>
                <s:t xml:space="preserve">5/29 UPC贴纸 4608pcs</s:t>
              </s:r>
            </s:text>
          </item>
          <item id="c5bf2c6a14b16127df53826228cb54483d4b447c" userID="1851561945" userName="石玉珍" dateTime="2026-06-04T12:09:58" isNormal="0">
            <s:text>
              <s:r>
                <s:t xml:space="preserve">6/4 多语可折叠警告语贴纸 4608pcs</s:t>
              </s:r>
            </s:text>
          </item>
        </commentChain>
      </unresolved>
      <resolved/>
    </commentChains>
    <commentChains s:ref="AI1174" rgbClr="FF0000">
      <unresolved>
        <commentChain chainId="74542dabe6c7e6f824ca04e107e735b3945b261a">
          <item id="54224e14ab4cd7170e1df4f5f1c3f9a36faf89af" userID="1851561945" userName="石玉珍" dateTime="2026-06-26T12:54:55" isNormal="0">
            <s:text>
              <s:r>
                <s:t xml:space="preserve">2801544 6/26 816pcs</s:t>
              </s:r>
            </s:text>
          </item>
        </commentChain>
      </unresolved>
      <resolved/>
    </commentChains>
    <commentChains s:ref="AL1174" rgbClr="FF0000">
      <unresolved>
        <commentChain chainId="bed591832aa184b6d3b15483f964b7c16c48d308">
          <item id="e416933c7c622030e2df5a98525e252826817eb6" userID="1851561945" userName="石玉珍" dateTime="2026-05-31T07:45:24" isNormal="0">
            <s:text>
              <s:r>
                <s:t xml:space="preserve">5/29 UPC贴纸 816pcs</s:t>
              </s:r>
            </s:text>
          </item>
          <item id="5cffde552f0d2ef41bd64c27e0d4211b83ca1c71" userID="1851561945" userName="石玉珍" dateTime="2026-05-31T08:28:29" isNormal="0">
            <s:text>
              <s:r>
                <s:t xml:space="preserve">5/30 亚马逊外箱贴纸 68pcs</s:t>
              </s:r>
            </s:text>
          </item>
          <item id="58cc3c31828feaf83612836760f58258653125bf" userID="1851561945" userName="石玉珍" dateTime="2026-06-04T12:10:05" isNormal="0">
            <s:text>
              <s:r>
                <s:t xml:space="preserve">6/4 多语可折叠警告语贴纸 816pcs</s:t>
              </s:r>
            </s:text>
          </item>
        </commentChain>
      </unresolved>
      <resolved/>
    </commentChains>
    <commentChains s:ref="AI1175" rgbClr="FF0000">
      <unresolved>
        <commentChain chainId="755d0d3ab0ae0d26e29d103ffe4f60622e7fd683">
          <item id="795620aa5ded25da270848c0c0bea4e3c6d5ff9e" userID="1851561945" userName="石玉珍" dateTime="2026-06-29T01:09:09" isNormal="0">
            <s:text>
              <s:r>
                <s:t xml:space="preserve">2801548 6/27 1608pcs</s:t>
              </s:r>
            </s:text>
          </item>
        </commentChain>
      </unresolved>
      <resolved/>
    </commentChains>
    <commentChains s:ref="AL1175" rgbClr="FF0000">
      <unresolved>
        <commentChain chainId="a76133d7f31e34e943c369c3c095523c2e3aacb0">
          <item id="c4385de69c20216be24efbd4154b15e96fe34d1f" userID="1851561945" userName="石玉珍" dateTime="2026-06-01T06:06:30" isNormal="0">
            <s:text>
              <s:r>
                <s:t xml:space="preserve">5/30 进口商贴纸 1608pcs</s:t>
              </s:r>
            </s:text>
          </item>
          <item id="1cd4fb487a70b1f25c4db3b43025173729105494" userID="1851561945" userName="石玉珍" dateTime="2026-06-01T06:06:39" isNormal="0">
            <s:text>
              <s:r>
                <s:t xml:space="preserve">UPC贴纸 1608pcs</s:t>
              </s:r>
            </s:text>
          </item>
        </commentChain>
      </unresolved>
      <resolved/>
    </commentChains>
    <commentChains s:ref="AI1176" rgbClr="FF0000">
      <unresolved>
        <commentChain chainId="2e47e38f6b4fef614f7fde6bfe212609572c2b91">
          <item id="d39b98ea805f725abcee0469ffd67fda1c4ef9aa" userID="1851561945" userName="石玉珍" dateTime="2026-06-29T01:10:25" isNormal="0">
            <s:text>
              <s:r>
                <s:t xml:space="preserve">2801548 6/27 1500pcs</s:t>
              </s:r>
            </s:text>
          </item>
        </commentChain>
      </unresolved>
      <resolved/>
    </commentChains>
    <commentChains s:ref="AL1176" rgbClr="FF0000">
      <unresolved>
        <commentChain chainId="b235efc305c5e937ba2cdbce564de170d953ba6f">
          <item id="e2d75d608f70b17d81655edc32cd2e6224365a9e" userID="1851561945" userName="石玉珍" dateTime="2026-06-03T12:48:07" isNormal="0">
            <s:text>
              <s:r>
                <s:t xml:space="preserve">6/3 大语警告语贴 1500pcs
小语警告语贴 6000pcs
 丹麦瑞典芬兰挪威警告语贴纸 1500pcs</s:t>
              </s:r>
            </s:text>
          </item>
        </commentChain>
      </unresolved>
      <resolved/>
    </commentChains>
    <commentChains s:ref="AI1177" rgbClr="FF0000">
      <unresolved>
        <commentChain chainId="0b4e23f73f97be4d14baa65ba377791ecbabd68c">
          <item id="19fbbab19f88dbffcdd2d739ed7d71a979832740" userID="1851561945" userName="石玉珍" dateTime="2026-06-25T11:58:52" isNormal="0">
            <s:text>
              <s:r>
                <s:t xml:space="preserve">2801541 6/25 3240pcs</s:t>
              </s:r>
            </s:text>
          </item>
        </commentChain>
      </unresolved>
      <resolved/>
    </commentChains>
    <commentChains s:ref="AL1177" rgbClr="FF0000">
      <unresolved>
        <commentChain chainId="ce7f30558059ebda774d765be3dfd9dab2a55abb">
          <item id="e19191851791f8d260e64826cf8ca18821ca9131" userID="1851561945" userName="石玉珍" dateTime="2026-06-15T00:29:37" isNormal="0">
            <s:text>
              <s:r>
                <s:t xml:space="preserve">6/13 外箱贴纸 270pcs</s:t>
              </s:r>
            </s:text>
          </item>
          <item id="6572b8d22e77155fd545f04801fafebd23fe01a2" userID="1851561945" userName="石玉珍" dateTime="2026-06-15T12:54:44" isNormal="0">
            <s:text>
              <s:r>
                <s:t xml:space="preserve">6/15 保证书 3240pcs</s:t>
              </s:r>
            </s:text>
          </item>
        </commentChain>
      </unresolved>
      <resolved/>
    </commentChains>
    <commentChains s:ref="AL1179" rgbClr="FF0000">
      <unresolved>
        <commentChain chainId="724d96534a7c4f92a5fd3d013fbef531ec38a785">
          <item id="3d54f224c7f9a62010d19638f0b27060e3eb186a" userID="1851561945" userName="石玉珍" dateTime="2026-06-12T12:34:01" isNormal="0">
            <s:text>
              <s:r>
                <s:t xml:space="preserve">6/12 UPC贴纸 3240pcs </s:t>
              </s:r>
            </s:text>
          </item>
        </commentChain>
      </unresolved>
      <resolved/>
    </commentChains>
    <commentChains s:ref="AI1180" rgbClr="FF0000">
      <unresolved>
        <commentChain chainId="2e44a164e8a4606d2bd24351e0f68add1b909f46">
          <item id="f200295d13308cb6e3a38021316713bd84d327fd" userID="1851561945" userName="石玉珍" dateTime="2026-07-01T14:18:11" isNormal="0">
            <s:text>
              <s:r>
                <s:t xml:space="preserve">2801552 6/27 36pcs</s:t>
              </s:r>
            </s:text>
          </item>
        </commentChain>
      </unresolved>
      <resolved/>
    </commentChains>
    <commentChains s:ref="AI1181" rgbClr="FF0000">
      <unresolved>
        <commentChain chainId="68e5f128836bebaab1c87051622b27c3f6945b6c">
          <item id="f4173abc580c1477745c3e0ba69bbcfbff36cfaf" userID="1851561945" userName="石玉珍" dateTime="2026-06-30T14:12:54" isNormal="0">
            <s:text>
              <s:r>
                <s:t xml:space="preserve"> 2201007 6/30 300pcs</s:t>
              </s:r>
            </s:text>
          </item>
        </commentChain>
      </unresolved>
      <resolved/>
    </commentChains>
    <commentChains s:ref="AL1181" rgbClr="FF0000">
      <unresolved>
        <commentChain chainId="40f980fa91249077adc23b229866ca286cfcd3ec">
          <item id="5fded34fe9a7668e275085da3271dac97bceec45" userID="1851561945" userName="石玉珍" dateTime="2026-06-03T12:13:57" isNormal="0">
            <s:text>
              <s:r>
                <s:t xml:space="preserve">6/2 进口商贴纸  300pcs</s:t>
              </s:r>
            </s:text>
          </item>
          <item id="ff6209b2b7ff25ae6b84b6ba27c22ed2f98babd6" userID="1851561945" userName="石玉珍" dateTime="2026-06-03T12:14:06" isNormal="0">
            <s:text>
              <s:r>
                <s:t xml:space="preserve">产品贴纸 300pcs</s:t>
              </s:r>
            </s:text>
          </item>
          <item id="afc2e67c5ba9ec4b102170d620033401c74ef3c6" userID="1851561945" userName="石玉珍" dateTime="2026-06-03T12:14:16" isNormal="0">
            <s:text>
              <s:r>
                <s:t xml:space="preserve">黑白weee说明书纸 300pcs</s:t>
              </s:r>
            </s:text>
          </item>
        </commentChain>
      </unresolved>
      <resolved/>
    </commentChains>
    <commentChains s:ref="AI1182" rgbClr="FF0000">
      <unresolved>
        <commentChain chainId="161338d976b5ff3e3999d9fea80337ca4f8b4c04">
          <item id="99562373d4fe594e8ac575eec1d7ee50c60bb869" userID="1851561945" userName="石玉珍" dateTime="2026-06-29T01:54:32" isNormal="0">
            <s:text>
              <s:r>
                <s:t xml:space="preserve">2200961 6/27 3588pcs</s:t>
              </s:r>
            </s:text>
          </item>
          <item id="5b8b356979d8192911819cb40a9528550ceb0dad" userID="1851561945" userName="石玉珍" dateTime="2026-06-30T02:07:24" isNormal="0">
            <s:text>
              <s:r>
                <s:t xml:space="preserve">2200975 6/29 12pcs</s:t>
              </s:r>
            </s:text>
          </item>
        </commentChain>
      </unresolved>
      <resolved/>
    </commentChains>
    <commentChains s:ref="AL1182" rgbClr="FF0000">
      <unresolved>
        <commentChain chainId="777ae83556495cc8344f593485befb1f477b081c">
          <item id="c3ac6a5b9dd2e6a0f625891b932185a612266ef3" isNormal="1">
            <s:text>
              <s:r>
                <s:t xml:space="preserve">Administrator:
5/14 客供价格贴纸 3780pcs</s:t>
              </s:r>
            </s:text>
          </item>
        </commentChain>
      </unresolved>
      <resolved/>
    </commentChains>
    <commentChains s:ref="AI1183" rgbClr="FF0000">
      <unresolved>
        <commentChain chainId="7cfd7a7a9be9ce7d616ac35be4b5a4e36f285862">
          <item id="caa72996e26f5e42182a7477acc78d2c5ab426a5" userID="1851561945" userName="石玉珍" dateTime="2026-06-29T02:21:18" isNormal="0">
            <s:text>
              <s:r>
                <s:t xml:space="preserve">2200961 6/27 504pcs</s:t>
              </s:r>
            </s:text>
          </item>
        </commentChain>
      </unresolved>
      <resolved/>
    </commentChains>
    <commentChains s:ref="AI1184" rgbClr="FF0000">
      <unresolved>
        <commentChain chainId="4b060a66114f2e8ea9779d4c4171dabdabde141a">
          <item id="07303db0799375eba27a0f17109529fb04c4c493" userID="1851561945" userName="石玉珍" dateTime="2026-06-30T14:12:29" isNormal="0">
            <s:text>
              <s:r>
                <s:t xml:space="preserve"> 2201007 6/30 300pcs</s:t>
              </s:r>
            </s:text>
          </item>
        </commentChain>
      </unresolved>
      <resolved/>
    </commentChains>
    <commentChains s:ref="AL1184" rgbClr="FF0000">
      <unresolved>
        <commentChain chainId="8572f35c81d7c473b562739c37ff21ce131db179">
          <item id="c5db949f8513489b0eef4277cc46dffb2209d6e9" userID="1851561945" userName="石玉珍" dateTime="2026-06-11T09:05:13" isNormal="0">
            <s:text>
              <s:r>
                <s:t xml:space="preserve">6/10 警告语贴纸4 300pcs
大语警告语贴5 300pcs
小语警告语贴 900pcs</s:t>
              </s:r>
            </s:text>
          </item>
        </commentChain>
      </unresolved>
      <resolved/>
    </commentChains>
    <commentChains s:ref="AI1185" rgbClr="FF0000">
      <unresolved>
        <commentChain chainId="b6c06d7036cd8806edcd22d127a195e12f755b05">
          <item id="3a4da9930ef716e72fc535f7f9c1835ad8787181" userID="1851561945" userName="石玉珍" dateTime="2026-06-30T02:21:23" isNormal="0">
            <s:text>
              <s:r>
                <s:t xml:space="preserve">2200978 6/29 4480pcs</s:t>
              </s:r>
            </s:text>
          </item>
        </commentChain>
      </unresolved>
      <resolved/>
    </commentChains>
    <commentChains s:ref="AL1185" rgbClr="FF0000">
      <unresolved>
        <commentChain chainId="3b3197ba1edc36733e582ae32daebb2db7594e00">
          <item id="144c383ed383c933ce1cb829398623fc1798d244" isNormal="1">
            <s:text>
              <s:r>
                <s:t xml:space="preserve">Administrator:
5/25 客供RFID贴纸 34800pcs
</s:t>
              </s:r>
            </s:text>
          </item>
        </commentChain>
      </unresolved>
      <resolved/>
    </commentChains>
    <commentChains s:ref="AI1186" rgbClr="FF0000">
      <unresolved>
        <commentChain chainId="86c787866fe752332dd6056f3fb9b282bc4ad208">
          <item id="ae609d27372dd5d5d26ff0dbc050054588db8930" userID="1851561945" userName="石玉珍" dateTime="2026-06-29T01:54:00" isNormal="0">
            <s:text>
              <s:r>
                <s:t xml:space="preserve">2200961 6/27 480pcs</s:t>
              </s:r>
            </s:text>
          </item>
          <item id="b2be178739190a648411c3ce144d64eb09c1c997" userID="1851561945" userName="石玉珍" dateTime="2026-07-01T12:15:11" isNormal="0">
            <s:text>
              <s:r>
                <s:t xml:space="preserve">2201021 7/1 12pcs</s:t>
              </s:r>
            </s:text>
          </item>
        </commentChain>
      </unresolved>
      <resolved/>
    </commentChains>
    <commentChains s:ref="AI1187" rgbClr="FF0000">
      <unresolved>
        <commentChain chainId="b294927020c66811e1dbe8e026ec2cb7d2e3fe63">
          <item id="e7b4d830c732d648781b9a08935f674f3d49774b" userID="1851561945" userName="石玉珍" dateTime="2026-06-29T02:30:28" isNormal="0">
            <s:text>
              <s:r>
                <s:t xml:space="preserve">2200968 6/27 1398pcs</s:t>
              </s:r>
            </s:text>
          </item>
          <item id="9e06c31570107b1c7ea2c01db85ea07fb651a780" userID="1851561945" userName="石玉珍" dateTime="2026-07-01T12:14:26" isNormal="0">
            <s:text>
              <s:r>
                <s:t xml:space="preserve">2201021 7/1 6pcs</s:t>
              </s:r>
            </s:text>
          </item>
        </commentChain>
      </unresolved>
      <resolved/>
    </commentChains>
    <commentChains s:ref="AI1188" rgbClr="FF0000">
      <unresolved>
        <commentChain chainId="2a4f84f473e39c80f7798a4f9b5e8954f9563746">
          <item id="10940877b2d5c146d897938980b79aeac36eefb3" userID="1851561945" userName="石玉珍" dateTime="2026-06-29T02:29:50" isNormal="0">
            <s:text>
              <s:r>
                <s:t xml:space="preserve">2200968 6/27 996pcs</s:t>
              </s:r>
            </s:text>
          </item>
          <item id="cf9b28d60d98d1d582637808aed007b0d7e46454" userID="1851561945" userName="石玉珍" dateTime="2026-07-01T12:13:25" isNormal="0">
            <s:text>
              <s:r>
                <s:t xml:space="preserve">2201021 7/1 12pcs</s:t>
              </s:r>
            </s:text>
          </item>
        </commentChain>
      </unresolved>
      <resolved/>
    </commentChains>
    <commentChains s:ref="AL1188" rgbClr="FF0000">
      <unresolved>
        <commentChain chainId="2c6e1fc7adf6fd96ba8cf90159ac4ba5227e24e3">
          <item id="9c3c87189b72c782c8343ff0f4ba7a323494b047" isNormal="1">
            <s:text>
              <s:r>
                <s:t xml:space="preserve">Administrator:
5/18 客供价格贴纸 996pcs
</s:t>
              </s:r>
            </s:text>
          </item>
        </commentChain>
      </unresolved>
      <resolved/>
    </commentChains>
    <commentChains s:ref="AI1189" rgbClr="FF0000">
      <unresolved>
        <commentChain chainId="f7926d0358b9f5fb719dc6ead5791fbe072d99d4">
          <item id="2c840b12f69df2c295c030cf7b42efedff669df8" userID="1851561945" userName="石玉珍" dateTime="2026-06-29T02:29:13" isNormal="0">
            <s:text>
              <s:r>
                <s:t xml:space="preserve">2200968 6/27 1188pcs</s:t>
              </s:r>
            </s:text>
          </item>
          <item id="3dcbc33745bee9f9d118e279862e74eab0b832ed" userID="1851561945" userName="石玉珍" dateTime="2026-07-01T11:27:18" isNormal="0">
            <s:text>
              <s:r>
                <s:t xml:space="preserve">2201021 7/1 12pcs</s:t>
              </s:r>
            </s:text>
          </item>
        </commentChain>
      </unresolved>
      <resolved/>
    </commentChains>
    <commentChains s:ref="AL1189" rgbClr="FF0000">
      <unresolved>
        <commentChain chainId="6a7dd1fa8ec5736e89d4e213d99a0fa5f76588b0">
          <item id="039c1d9af5788dd880a7fcb6852cf3f43ff7ae77" isNormal="1">
            <s:text>
              <s:r>
                <s:t xml:space="preserve">Administrator:
5/18 客供价格贴纸 1200pcs
</s:t>
              </s:r>
            </s:text>
          </item>
        </commentChain>
      </unresolved>
      <resolved/>
    </commentChains>
    <commentChains s:ref="AI1190" rgbClr="FF0000">
      <unresolved>
        <commentChain chainId="c8381ed3f01f9d44a572b5901b7242390049eca9">
          <item id="8e9b0a2a672b7257030a93e4521fa29529fa2034" userID="1851561945" userName="石玉珍" dateTime="2026-06-29T02:12:55" isNormal="0">
            <s:text>
              <s:r>
                <s:t xml:space="preserve">2200961 6/27 688pcs</s:t>
              </s:r>
            </s:text>
          </item>
          <item id="c0e64f2595220c0b3f0f54e651126edbbcc7296e" userID="1851561945" userName="石玉珍" dateTime="2026-07-01T12:17:29" isNormal="0">
            <s:text>
              <s:r>
                <s:t xml:space="preserve">2201021 7/1 16pcs</s:t>
              </s:r>
            </s:text>
          </item>
        </commentChain>
      </unresolved>
      <resolved/>
    </commentChains>
    <commentChains s:ref="AL1190" rgbClr="FF0000">
      <unresolved>
        <commentChain chainId="136329ae06d108aeaaf72385d90e5d4d97890926">
          <item id="11a6f306d70d2c7f87d14200ba395943edcceab0" isNormal="1">
            <s:text>
              <s:r>
                <s:t xml:space="preserve">Administrator:
5/22 客供亚马逊外箱贴 44pcs
</s:t>
              </s:r>
            </s:text>
          </item>
        </commentChain>
      </unresolved>
      <resolved/>
    </commentChains>
    <commentChains s:ref="AI1191" rgbClr="FF0000">
      <unresolved>
        <commentChain chainId="87c6023bbe96fd4a4a8a6ff82436d7403f93bedf">
          <item id="3129587f307f6d2e708c242a0fecc79772288782" userID="1851561945" userName="石玉珍" dateTime="2026-06-29T02:18:52" isNormal="0">
            <s:text>
              <s:r>
                <s:t xml:space="preserve">2200961 6/27 656pcs</s:t>
              </s:r>
            </s:text>
          </item>
        </commentChain>
      </unresolved>
      <resolved/>
    </commentChains>
    <commentChains s:ref="AL1191" rgbClr="FF0000">
      <unresolved>
        <commentChain chainId="ef723ee488903542181aea9a0e7ef0a3c457e9f7">
          <item id="3285d9aeeabfe8220b57000b27f6df1924dd8dce" isNormal="1">
            <s:text>
              <s:r>
                <s:t xml:space="preserve">Administrator:
5/22 客供亚马逊外箱贴 41pcs</s:t>
              </s:r>
            </s:text>
          </item>
        </commentChain>
      </unresolved>
      <resolved/>
    </commentChains>
    <commentChains s:ref="AI1193" rgbClr="FF0000">
      <unresolved>
        <commentChain chainId="b5c4d61b533d4232d381cdfd2b4f3144bc69f02f">
          <item id="07dfd671335e7f23a4e2ab6c2d9c7246be3d9f55" userID="1851561945" userName="石玉珍" dateTime="2026-07-04T01:34:28" isNormal="0">
            <s:text>
              <s:r>
                <s:t xml:space="preserve">1600561 6/2 4000pcs</s:t>
              </s:r>
            </s:text>
          </item>
        </commentChain>
      </unresolved>
      <resolved/>
    </commentChains>
    <commentChains s:ref="AI1194" rgbClr="FF0000">
      <unresolved>
        <commentChain chainId="875d1a46b32ffd4930acb72002099e6d04f0f13a">
          <item id="89ec0e005bf4a079ebd8b5ecc28f85ce134630da" userID="1851561945" userName="石玉珍" dateTime="2026-06-30T14:11:59" isNormal="0">
            <s:text>
              <s:r>
                <s:t xml:space="preserve"> 2201007 6/30 320pcs</s:t>
              </s:r>
            </s:text>
          </item>
        </commentChain>
      </unresolved>
      <resolved/>
    </commentChains>
    <commentChains s:ref="AL1194" rgbClr="FF0000">
      <unresolved>
        <commentChain chainId="64ddf8c6c60456168efc6f00b11d5ee55958a16d">
          <item id="c4eed8bffeadb0c95e2711da1720d493b138125a" userID="1851561945" userName="石玉珍" dateTime="2026-06-06T01:17:09" isNormal="0">
            <s:text>
              <s:r>
                <s:t xml:space="preserve">6/5 UPC贴纸 320pcs</s:t>
              </s:r>
            </s:text>
          </item>
        </commentChain>
      </unresolved>
      <resolved/>
    </commentChains>
    <commentChains s:ref="AI1195" rgbClr="FF0000">
      <unresolved>
        <commentChain chainId="ddea470787c28e55d07d58ed2296535d1bc18373">
          <item id="c31784e7895bf1f8e6f1d6d5ef0a79551cc14dc7" userID="1851561945" userName="石玉珍" dateTime="2026-07-01T12:18:42" isNormal="0">
            <s:text>
              <s:r>
                <s:t xml:space="preserve">2201021 7/1 720pcs</s:t>
              </s:r>
            </s:text>
          </item>
          <item id="36e6ccb2adee8444b7d9c210360c0b423674efed" userID="1851561945" userName="石玉珍" dateTime="2026-07-01T13:02:37" isNormal="0">
            <s:text>
              <s:r>
                <s:t xml:space="preserve">2201028 7/1 784pcs</s:t>
              </s:r>
            </s:text>
          </item>
        </commentChain>
      </unresolved>
      <resolved/>
    </commentChains>
    <commentChains s:ref="AI1196" rgbClr="FF0000">
      <unresolved>
        <commentChain chainId="752c6da68c0c852e4c03167599204d56302c08a9">
          <item id="b76aa11a33aba1efe6db6e5a200cbd5c135a0b99" userID="1851561945" userName="石玉珍" dateTime="2026-06-30T02:32:59" isNormal="0">
            <s:text>
              <s:r>
                <s:t xml:space="preserve">2200982 6/29 720pcs</s:t>
              </s:r>
            </s:text>
          </item>
        </commentChain>
      </unresolved>
      <resolved/>
    </commentChains>
    <commentChains s:ref="AI1198" rgbClr="FF0000">
      <unresolved>
        <commentChain chainId="cfcf8db8c3abe7d2c444735fc9287defa774fd44">
          <item id="b0c5a8bd8c49490bc927ec741c168ce2b97085f8" userID="1851561945" userName="石玉珍" dateTime="2026-07-01T13:03:36" isNormal="0">
            <s:text>
              <s:r>
                <s:t xml:space="preserve">2201028 7/1 996pcs</s:t>
              </s:r>
            </s:text>
          </item>
          <item id="86237f8050d52cf3f285c7b7288eae396136b012" userID="1851561945" userName="石玉珍" dateTime="2026-07-04T02:21:15" isNormal="0">
            <s:text>
              <s:r>
                <s:t xml:space="preserve">2201202 7/3 12pcs</s:t>
              </s:r>
            </s:text>
          </item>
        </commentChain>
      </unresolved>
      <resolved/>
    </commentChains>
    <commentChains s:ref="AL1198" rgbClr="FF0000">
      <unresolved>
        <commentChain chainId="52c321407e2377ceedb49b8e8785f22a6fbec549">
          <item id="745e1f81cd9771a72d5c7ec2db22f272a00987d1" userID="1851561945" userName="石玉珍" dateTime="2026-06-08T12:59:25" isNormal="0">
            <s:text>
              <s:r>
                <s:t xml:space="preserve">6/8 进口商贴纸 996pcs
客户款号的EAN条码贴纸 996pcs</s:t>
              </s:r>
            </s:text>
          </item>
        </commentChain>
      </unresolved>
      <resolved/>
    </commentChains>
    <commentChains s:ref="AI1202" rgbClr="FF0000">
      <unresolved>
        <commentChain chainId="300214f9209d1c859015d71f5be0dc99a4f9e12c">
          <item id="4296c0d068255744f370a513b9e31ff9728360ac" userID="1851561945" userName="石玉珍" dateTime="2026-06-30T13:50:44" isNormal="0">
            <s:text>
              <s:r>
                <s:t xml:space="preserve">2201002 6/30 1280pcs</s:t>
              </s:r>
            </s:text>
          </item>
        </commentChain>
      </unresolved>
      <resolved/>
    </commentChains>
    <commentChains s:ref="AL1202" rgbClr="FF0000">
      <unresolved>
        <commentChain chainId="cf4b420b69c0de876281e00f1d9c6b55d4d58b5f">
          <item id="7c6221466264ec8a10ffcb9fd5cd3242951ea008" isNormal="1">
            <s:text>
              <s:r>
                <s:t xml:space="preserve">Administrator:
5/22 客供亚马逊外箱贴 80pcs</s:t>
              </s:r>
            </s:text>
          </item>
        </commentChain>
      </unresolved>
      <resolved/>
    </commentChains>
    <commentChains s:ref="AI1203" rgbClr="FF0000">
      <unresolved>
        <commentChain chainId="095eb81d16cbd67e5d39204306fd3e7cab089965">
          <item id="8b5e127c2eb7e275c5b8ef1a5850541652219ad2" userID="1851561945" userName="石玉珍" dateTime="2026-06-30T13:52:37" isNormal="0">
            <s:text>
              <s:r>
                <s:t xml:space="preserve">2201002 6/30 768pcs</s:t>
              </s:r>
            </s:text>
          </item>
          <item id="542076355f8a5c3f62f74159a376a4bcc5ca5c45" userID="1851561945" userName="石玉珍" dateTime="2026-07-04T02:20:14" isNormal="0">
            <s:text>
              <s:r>
                <s:t xml:space="preserve">2201202 7/3 16pcs</s:t>
              </s:r>
            </s:text>
          </item>
        </commentChain>
      </unresolved>
      <resolved/>
    </commentChains>
    <commentChains s:ref="AL1203" rgbClr="FF0000">
      <unresolved>
        <commentChain chainId="1f9220660f8e43cbe17cecfb306c2c08c99a0416">
          <item id="8f4cca0bce7325d30234b9cf00ea7759b38c10ab" isNormal="1">
            <s:text>
              <s:r>
                <s:t xml:space="preserve">Administrator:
5/22 客供亚马逊外箱贴 49pcs</s:t>
              </s:r>
            </s:text>
          </item>
        </commentChain>
      </unresolved>
      <resolved/>
    </commentChains>
    <commentChains s:ref="AI1204" rgbClr="FF0000">
      <unresolved>
        <commentChain chainId="93363f59aa42bdd923080a26ae4d9ccd3d96d031">
          <item id="c265daef62d56d0c404c6964c8ccba127842256c" userID="1851561945" userName="石玉珍" dateTime="2026-06-30T13:54:37" isNormal="0">
            <s:text>
              <s:r>
                <s:t xml:space="preserve">2201002 6/30 168pcs</s:t>
              </s:r>
            </s:text>
          </item>
        </commentChain>
      </unresolved>
      <resolved/>
    </commentChains>
    <commentChains s:ref="AL1204" rgbClr="FF0000">
      <unresolved>
        <commentChain chainId="c44d1066083e37a56af4a4e178aa2c9a19f86186">
          <item id="97d2c3a5aad2d36fd6ed1a324d9884919aac03fb" userID="1851561945" userName="石玉珍" dateTime="2026-06-17T13:38:01" isNormal="0">
            <s:text>
              <s:r>
                <s:t xml:space="preserve">6/17 N客供外箱贴纸 14pcs</s:t>
              </s:r>
            </s:text>
          </item>
        </commentChain>
      </unresolved>
      <resolved/>
    </commentChains>
    <commentChains s:ref="AI1205" rgbClr="FF0000">
      <unresolved>
        <commentChain chainId="53766a9c46eddfafb62e3342b446733cf7996856">
          <item id="f8e8dc09946cccd1012ce40260731e4c0d5dbeb7" userID="1851561945" userName="石玉珍" dateTime="2026-06-30T13:54:42" isNormal="0">
            <s:text>
              <s:r>
                <s:t xml:space="preserve">2201002 6/30 72pcs</s:t>
              </s:r>
            </s:text>
          </item>
        </commentChain>
      </unresolved>
      <resolved/>
    </commentChains>
    <commentChains s:ref="AL1205" rgbClr="FF0000">
      <unresolved>
        <commentChain chainId="3142d227656cc9544a460b90f4bc64ac8dfccecd">
          <item id="ba0b1c1e81ccc347d3cab612107b947416639d49" userID="1851561945" userName="石玉珍" dateTime="2026-06-17T13:38:06" isNormal="0">
            <s:text>
              <s:r>
                <s:t xml:space="preserve">6/17 N客供外箱贴纸 6pcs</s:t>
              </s:r>
            </s:text>
          </item>
        </commentChain>
      </unresolved>
      <resolved/>
    </commentChains>
    <commentChains s:ref="AI1206" rgbClr="FF0000">
      <unresolved>
        <commentChain chainId="06a72abd8ccc0af55749247dbc2fb532769697f2">
          <item id="6f88e7a792936df068bd5e534b05870c68631e05" userID="1851561945" userName="石玉珍" dateTime="2026-06-30T13:54:03" isNormal="0">
            <s:text>
              <s:r>
                <s:t xml:space="preserve">2201002 6/30 496pcs</s:t>
              </s:r>
            </s:text>
          </item>
          <item id="b7198205ad4092834b0f9a6f7787babfffbe3367" userID="1851561945" userName="石玉珍" dateTime="2026-07-01T12:18:06" isNormal="0">
            <s:text>
              <s:r>
                <s:t xml:space="preserve">2201021 7/1 16pcs</s:t>
              </s:r>
            </s:text>
          </item>
        </commentChain>
      </unresolved>
      <resolved/>
    </commentChains>
    <commentChains s:ref="AL1206" rgbClr="FF0000">
      <unresolved>
        <commentChain chainId="1d9016845a58f504a496679471124184efab7f5a">
          <item id="ec11b3f350bd195da5c91efdb646c46bf0dbbc0e" userID="1851561945" userName="石玉珍" dateTime="2026-06-17T13:23:46" isNormal="0">
            <s:text>
              <s:r>
                <s:t xml:space="preserve">6/17 德语警告语贴纸 512pcs
PDQ+Kinder herz 2025 640pcs</s:t>
              </s:r>
            </s:text>
          </item>
          <item id="047dac17ab97437d9f2b6acdf1636f14c8cb9ce4" userID="1851561945" userName="石玉珍" dateTime="2026-06-17T13:23:53" isNormal="0">
            <s:text>
              <s:r>
                <s:t xml:space="preserve">地址贴纸3 512pcs</s:t>
              </s:r>
            </s:text>
          </item>
          <item id="1db9e98e9a5ccf374cefd6b5fa1942e8b9cc099b" userID="1851561945" userName="石玉珍" dateTime="2026-06-17T13:24:05" isNormal="0">
            <s:text>
              <s:r>
                <s:t xml:space="preserve">PDQ条码贴纸 128pcs</s:t>
              </s:r>
            </s:text>
          </item>
        </commentChain>
      </unresolved>
      <resolved/>
    </commentChains>
    <commentChains s:ref="AI1207" rgbClr="FF0000">
      <unresolved>
        <commentChain chainId="086a99f7a1877479a8697dbddf21a08c1ffac478">
          <item id="fc068f557d37e009ed1606f7cf1a229f96fcfe51" userID="1851561945" userName="石玉珍" dateTime="2026-07-01T13:21:32" isNormal="0">
            <s:text>
              <s:r>
                <s:t xml:space="preserve">1600580 7/1 1500pcs</s:t>
              </s:r>
            </s:text>
          </item>
        </commentChain>
      </unresolved>
      <resolved/>
    </commentChains>
    <commentChains s:ref="AL1207" rgbClr="FF0000">
      <unresolved>
        <commentChain chainId="7347321720535c60e665da7e5ada49ad2fa8a0f7">
          <item id="8a2de5842cff585a6039b16caec3ca4ba61ad8d7" userID="1851561945" userName="石玉珍" dateTime="2026-06-03T12:16:01" isNormal="0">
            <s:text>
              <s:r>
                <s:t xml:space="preserve">6/2 多语警语折叠贴纸 1500pcs</s:t>
              </s:r>
            </s:text>
          </item>
        </commentChain>
      </unresolved>
      <resolved/>
    </commentChains>
    <commentChains s:ref="AI1208" rgbClr="FF0000">
      <unresolved>
        <commentChain chainId="ecfe30715bc8d30d1feb6044eceb10b8845d8033">
          <item id="2053f9effe7d72f645d496f5e95e26b3ba82d562" userID="1851561945" userName="石玉珍" dateTime="2026-07-03T02:38:25" isNormal="0">
            <s:text>
              <s:r>
                <s:t xml:space="preserve">2201184 7/2 1400pcs</s:t>
              </s:r>
            </s:text>
          </item>
        </commentChain>
      </unresolved>
      <resolved/>
    </commentChains>
    <commentChains s:ref="AI1212" rgbClr="FF0000">
      <unresolved>
        <commentChain chainId="70a2593f5b4ea9a162e8d618af0071ebedd8773e">
          <item id="3c0c9247785d119c3784e2f1a7e4891b4e803ce8" userID="1851561945" userName="石玉珍" dateTime="2026-07-14T05:44:33" isNormal="0">
            <s:text>
              <s:r>
                <s:t xml:space="preserve">2201283 7/9 804pcs</s:t>
              </s:r>
            </s:text>
          </item>
        </commentChain>
      </unresolved>
      <resolved/>
    </commentChains>
    <commentChains s:ref="AL1212" rgbClr="FF0000">
      <unresolved>
        <commentChain chainId="698ce1ee91442b5badf013a0031c795e6d0aa775">
          <item id="7915508d149bb052a29e4874c631f779a2f9bc6b" userID="1851561945" userName="石玉珍" dateTime="2026-05-31T07:49:34" isNormal="0">
            <s:text>
              <s:r>
                <s:t xml:space="preserve">5/29 保证书1 804pcs
包装贴纸 804pcs
说明书贴纸 804pcs
UPC贴纸 804pcs</s:t>
              </s:r>
            </s:text>
          </item>
          <item id="da02c5ae5a82e317962b6da4ee5a5b5bf48782c2" userID="1851561945" userName="石玉珍" dateTime="2026-06-22T13:32:04" isNormal="0">
            <s:text>
              <s:r>
                <s:t xml:space="preserve">6/22 客供价格贴纸 804pcs</s:t>
              </s:r>
            </s:text>
          </item>
        </commentChain>
      </unresolved>
      <resolved/>
    </commentChains>
    <commentChains s:ref="AI1213" rgbClr="FF0000">
      <unresolved>
        <commentChain chainId="a3ad5380b21531303d38b32d340efdbbd8954b25">
          <item id="9afa3e448d2d9490917e9c8881d63615de2b9a63" userID="1851561945" userName="石玉珍" dateTime="2026-07-04T02:25:30" isNormal="0">
            <s:text>
              <s:r>
                <s:t xml:space="preserve">2201202 7/3 512pcs</s:t>
              </s:r>
            </s:text>
          </item>
        </commentChain>
      </unresolved>
      <resolved/>
    </commentChains>
    <commentChains s:ref="AL1213" rgbClr="FF0000">
      <unresolved>
        <commentChain chainId="9288ec215413ca39ee470f4d0392f0542bfcc132">
          <item id="e091ea8f9112c3627f4df02c31158df3b6117407" userID="1851561945" userName="石玉珍" dateTime="2026-06-24T00:32:11" isNormal="0">
            <s:text>
              <s:r>
                <s:t xml:space="preserve">6/23 德语警告语贴纸 512pcs
Kinderherz 2025 logo纸  512pcs
地址贴纸  512pcs</s:t>
              </s:r>
            </s:text>
          </item>
        </commentChain>
      </unresolved>
      <resolved/>
    </commentChains>
    <commentChains s:ref="AI1214" rgbClr="FF0000">
      <unresolved>
        <commentChain chainId="d550b0e1f53466c4acc01b8e285197805382c409">
          <item id="2a82509a3f126ec8e27093b1def36aab5124eb92" userID="1851561945" userName="石玉珍" dateTime="2026-07-04T02:24:54" isNormal="0">
            <s:text>
              <s:r>
                <s:t xml:space="preserve">2201202 7/3 512pcs</s:t>
              </s:r>
            </s:text>
          </item>
        </commentChain>
      </unresolved>
      <resolved/>
    </commentChains>
    <commentChains s:ref="AL1214" rgbClr="FF0000">
      <unresolved>
        <commentChain chainId="a2b631882dff765626126c478236f5691cb6b52d">
          <item id="f755d15e6ed7393a77aa35ab37e5a42e6f1b4160" userID="1851561945" userName="石玉珍" dateTime="2026-06-26T13:13:02" isNormal="0">
            <s:text>
              <s:r>
                <s:t xml:space="preserve">6/26 进口商贴纸 512pcs</s:t>
              </s:r>
            </s:text>
          </item>
        </commentChain>
      </unresolved>
      <resolved/>
    </commentChains>
    <commentChains s:ref="AI1215" rgbClr="FF0000">
      <unresolved>
        <commentChain chainId="7e5372978f1946502c12abd12736b958a579ebbb">
          <item id="7b8dc2922030df782bc76d055f88a1a86ab660c5" userID="1851561945" userName="石玉珍" dateTime="2026-07-04T02:22:48" isNormal="0">
            <s:text>
              <s:r>
                <s:t xml:space="preserve">2201202 7/3 5100pcs</s:t>
              </s:r>
            </s:text>
          </item>
        </commentChain>
      </unresolved>
      <resolved/>
    </commentChains>
    <commentChains s:ref="AL1215" rgbClr="FF0000">
      <unresolved>
        <commentChain chainId="7b9c1c5f93565198a6ac7384769014a6f0d17148">
          <item id="89b1df99bf55e4208b20aed419cf1c1feac528a7" userID="1851561945" userName="石玉珍" dateTime="2026-06-24T00:25:17" isNormal="0">
            <s:text>
              <s:r>
                <s:t xml:space="preserve">6/23 价格贴纸 5100pcs </s:t>
              </s:r>
            </s:text>
          </item>
          <item id="5c1b47855f566cc35c972bc242accce7b8d47a82" userID="1851561945" userName="石玉珍" dateTime="2026-06-24T00:25:35" isNormal="0">
            <s:text>
              <s:r>
                <s:t xml:space="preserve">外箱条码贴纸 850pcs</s:t>
              </s:r>
            </s:text>
          </item>
        </commentChain>
      </unresolved>
      <resolved/>
    </commentChains>
    <commentChains s:ref="AI1216" rgbClr="FF0000">
      <unresolved>
        <commentChain chainId="1129799571a041d860bff52a3426787b57a2e191">
          <item id="83b6f0c9d8a7fd8c277872264175ce52792ab26a" userID="1851561945" userName="石玉珍" dateTime="2026-07-07T01:29:22" isNormal="0">
            <s:text>
              <s:r>
                <s:t xml:space="preserve">2201218 7/6 624pcs</s:t>
              </s:r>
            </s:text>
          </item>
        </commentChain>
      </unresolved>
      <resolved/>
    </commentChains>
    <commentChains s:ref="AL1216" rgbClr="FF0000">
      <unresolved>
        <commentChain chainId="492abdb49a38dc530055b646990e257bc00d43c3">
          <item id="3f1ec95514977f17f5093be034192aacb449e5f0" isNormal="1">
            <s:text>
              <s:r>
                <s:t xml:space="preserve">Administrator:
5/22 客供亚马逊外箱贴 39pcs</s:t>
              </s:r>
            </s:text>
          </item>
        </commentChain>
      </unresolved>
      <resolved/>
    </commentChains>
    <commentChains s:ref="AI1217" rgbClr="FF0000">
      <unresolved>
        <commentChain chainId="989becee293985f8387f31fc1f4588af145e3c2e">
          <item id="866571661cf36f40b9926ff86bd5012167f4568c" userID="1851561945" userName="石玉珍" dateTime="2026-07-04T13:44:45" isNormal="0">
            <s:text>
              <s:r>
                <s:t xml:space="preserve">2201210 7/3 304pcs</s:t>
              </s:r>
            </s:text>
          </item>
        </commentChain>
      </unresolved>
      <resolved/>
    </commentChains>
    <commentChains s:ref="AL1217" rgbClr="FF0000">
      <unresolved>
        <commentChain chainId="c4e4577948161ba06a9613d0362457414d5b50ed">
          <item id="ca7133dc00ec9d066f5ce2bff9b86f211c700b54" isNormal="1">
            <s:text>
              <s:r>
                <s:t xml:space="preserve">Administrator:
5/22 客供亚马逊外箱贴 19pcs</s:t>
              </s:r>
            </s:text>
          </item>
          <item id="e29f48177546bebb58d889e822b111c468b1e092" userID="1851561945" userName="石玉珍" dateTime="2026-06-24T12:58:51" isNormal="0">
            <s:text>
              <s:r>
                <s:t xml:space="preserve">6/24 进口商贴纸 304pcs</s:t>
              </s:r>
            </s:text>
          </item>
        </commentChain>
      </unresolved>
      <resolved/>
    </commentChains>
    <commentChains s:ref="AI1218" rgbClr="FF0000">
      <unresolved>
        <commentChain chainId="a9d0571510b0ae70e8ae6aa40ab259c1e796951a">
          <item id="d890a410c0fad385990ca31c359346ed8f9c119c" userID="1851561945" userName="石玉珍" dateTime="2026-07-07T01:30:15" isNormal="0">
            <s:text>
              <s:r>
                <s:t xml:space="preserve">2201218 7/6 320pcs</s:t>
              </s:r>
            </s:text>
          </item>
        </commentChain>
      </unresolved>
      <resolved/>
    </commentChains>
    <commentChains s:ref="AL1218" rgbClr="FF0000">
      <unresolved>
        <commentChain chainId="54d58682955f590693af8d4e4ea1be1d0a280291">
          <item id="dede0b1fe1e75c14731f1573af476bff516dd584" isNormal="1">
            <s:text>
              <s:r>
                <s:t xml:space="preserve">Administrator:
5/22 客供亚马逊外箱贴 20pcs</s:t>
              </s:r>
            </s:text>
          </item>
        </commentChain>
      </unresolved>
      <resolved/>
    </commentChains>
    <commentChains s:ref="AI1219" rgbClr="FF0000">
      <unresolved>
        <commentChain chainId="a80c92b1a729c1a6772c8dce2c461d761ad365a2">
          <item id="6ac5a7d40d57819a93d36ed6621e8c4c21df5747" userID="1851561945" userName="石玉珍" dateTime="2026-07-07T08:01:29" isNormal="0">
            <s:text>
              <s:r>
                <s:t xml:space="preserve">2201216 7/4 1200pcs</s:t>
              </s:r>
            </s:text>
          </item>
        </commentChain>
      </unresolved>
      <resolved/>
    </commentChains>
    <commentChains s:ref="AL1219" rgbClr="FF0000">
      <unresolved>
        <commentChain chainId="cb55eb105befd887b11c37f61eb175662a2bb0bd">
          <item id="a5cdd38700f0defd2b102dc99eb9ba934bd38068" userID="1851561945" userName="石玉珍" dateTime="2026-06-20T00:48:16" isNormal="0">
            <images>
              <image id="HNYUCJZIABABA" width="12450" height="1695"/>
            </images>
            <s:text>
              <s:r>
                <s:t xml:space="preserve">6/18</s:t>
              </s:r>
            </s:text>
          </item>
        </commentChain>
      </unresolved>
      <resolved/>
    </commentChains>
    <commentChains s:ref="AI1220" rgbClr="FF0000">
      <unresolved>
        <commentChain chainId="a2fcfd9fa7f39db260ee3412c73051a81c204a45">
          <item id="cd2759fe08cc27e94dca6d086b3376038d057787" userID="1851561945" userName="石玉珍" dateTime="2026-07-07T01:24:41" isNormal="0">
            <s:text>
              <s:r>
                <s:t xml:space="preserve">2201230 7/6 448pcs</s:t>
              </s:r>
            </s:text>
          </item>
        </commentChain>
      </unresolved>
      <resolved/>
    </commentChains>
    <commentChains s:ref="AL1220" rgbClr="FF0000">
      <unresolved>
        <commentChain chainId="a56a1e573c7519e225fae5809baaa1758e2d7db8">
          <item id="95f5cf7344370430a3cb6c0372074104a472b11b" isNormal="1">
            <s:text>
              <s:r>
                <s:t xml:space="preserve">Administrator:
5/22 客供亚马逊外箱贴 28pcs</s:t>
              </s:r>
            </s:text>
          </item>
        </commentChain>
      </unresolved>
      <resolved/>
    </commentChains>
    <commentChains s:ref="AI1221" rgbClr="FF0000">
      <unresolved>
        <commentChain chainId="6f76ef92cd719d4818164e27e7864a2dabaaa0a8">
          <item id="2492d335cc5889e99fc1ccda9dc4e1ed7021e26f" userID="1851561945" userName="石玉珍" dateTime="2026-07-07T01:30:40" isNormal="0">
            <s:text>
              <s:r>
                <s:t xml:space="preserve">2201218 7/6 3472pcs</s:t>
              </s:r>
            </s:text>
          </item>
          <item id="e26ac7d4c1fb9fd88fdce3758a7cba8d0b2e5827" userID="1851561945" userName="石玉珍" dateTime="2026-07-09T12:56:41" isNormal="0">
            <s:text>
              <s:r>
                <s:t xml:space="preserve"> 2201273 7/9 16pcs</s:t>
              </s:r>
            </s:text>
          </item>
        </commentChain>
      </unresolved>
      <resolved/>
    </commentChains>
    <commentChains s:ref="AL1221" rgbClr="FF0000">
      <unresolved>
        <commentChain chainId="f4ab2bf9ed63d421767bd01888a1c9b8026f3e6c">
          <item id="69a7b595b2e9171374accc99485c115c06ee71ab" userID="1851561945" userName="石玉珍" dateTime="2026-06-29T12:03:39" isNormal="0">
            <s:text>
              <s:r>
                <s:t xml:space="preserve">6/27 PDQ数量贴纸 872pcs</s:t>
              </s:r>
            </s:text>
          </item>
        </commentChain>
      </unresolved>
      <resolved/>
    </commentChains>
    <commentChains s:ref="AI1222" rgbClr="FF0000">
      <unresolved>
        <commentChain chainId="f5138a0c9e094b2cf3714a181ade271fae3a1ec0">
          <item id="ae2a35c59c4e89b82f66fe5b615a6e4d110fa06e" userID="1851561945" userName="石玉珍" dateTime="2026-07-03T02:28:27" isNormal="0">
            <s:text>
              <s:r>
                <s:t xml:space="preserve">2201178 7/2 72pcs</s:t>
              </s:r>
            </s:text>
          </item>
        </commentChain>
      </unresolved>
      <resolved/>
    </commentChains>
    <commentChains s:ref="AL1222" rgbClr="FF0000">
      <unresolved>
        <commentChain chainId="56a10c8f30256eb77a238b52f661cf44b103f09b">
          <item id="f4e90390a8c9751a9684d804cef4fbf34ec88802" userID="1851561945" userName="石玉珍" dateTime="2026-06-06T01:20:02" isNormal="0">
            <s:text>
              <s:r>
                <s:t xml:space="preserve">6/5 UPC贴纸 72pcs</s:t>
              </s:r>
            </s:text>
          </item>
          <item id="390039bb9e215a6213e1656bd848f6e8744f1e5b" userID="1851561945" userName="石玉珍" dateTime="2026-06-25T06:02:28" isNormal="0">
            <s:text>
              <s:r>
                <s:t xml:space="preserve">6/24 客供亚马逊外箱贴纸 6pcs</s:t>
              </s:r>
            </s:text>
          </item>
        </commentChain>
      </unresolved>
      <resolved/>
    </commentChains>
    <commentChains s:ref="AI1223" rgbClr="FF0000">
      <unresolved>
        <commentChain chainId="41178400b60117cbbce6fe7c0c3425e180232fb3">
          <item id="279704d8acabb82396709908b641ffdc0c6a16ec" userID="1851561945" userName="石玉珍" dateTime="2026-07-03T02:31:05" isNormal="0">
            <s:text>
              <s:r>
                <s:t xml:space="preserve">2201178 7/2 168pcs</s:t>
              </s:r>
            </s:text>
          </item>
        </commentChain>
      </unresolved>
      <resolved/>
    </commentChains>
    <commentChains s:ref="AL1223" rgbClr="FF0000">
      <unresolved>
        <commentChain chainId="8c7289b3b08bf83c836459ba27096353385d31a2">
          <item id="d8323e1b3444ea4d198581cf13473a16551cf996" userID="1851561945" userName="石玉珍" dateTime="2026-06-06T01:20:23" isNormal="0">
            <s:text>
              <s:r>
                <s:t xml:space="preserve">6/5 UPC贴纸 168pcs</s:t>
              </s:r>
            </s:text>
          </item>
          <item id="f902442bd5e1a867af5c73ee464610e0b023995d" userID="1851561945" userName="石玉珍" dateTime="2026-06-25T06:03:02" isNormal="0">
            <s:text>
              <s:r>
                <s:t xml:space="preserve">6/24 客供亚马逊外箱贴纸 14pcs</s:t>
              </s:r>
            </s:text>
          </item>
        </commentChain>
      </unresolved>
      <resolved/>
    </commentChains>
    <commentChains s:ref="AI1224" rgbClr="FF0000">
      <unresolved>
        <commentChain chainId="b096a1736270c406c4ac002af41e14e067a771de">
          <item id="3183c5e69e285808c79398f529e2615cc034a9f8" userID="1851561945" userName="石玉珍" dateTime="2026-07-03T02:32:48" isNormal="0">
            <s:text>
              <s:r>
                <s:t xml:space="preserve">2201178 7/2 36pcs</s:t>
              </s:r>
            </s:text>
          </item>
        </commentChain>
      </unresolved>
      <resolved/>
    </commentChains>
    <commentChains s:ref="AL1224" rgbClr="FF0000">
      <unresolved>
        <commentChain chainId="c5d8dcb6772d51a451b313a54bd7fb68daf00c0f">
          <item id="c446df6744993b1be03af68288f012c2da702fc6" userID="1851561945" userName="石玉珍" dateTime="2026-06-06T01:18:33" isNormal="0">
            <s:text>
              <s:r>
                <s:t xml:space="preserve">6/5 UPC贴纸 36pcs</s:t>
              </s:r>
            </s:text>
          </item>
          <item id="6fd1d01c89d090c2660d64f39bf994493eddef49" userID="1851561945" userName="石玉珍" dateTime="2026-06-25T06:03:45" isNormal="0">
            <s:text>
              <s:r>
                <s:t xml:space="preserve">6/24 客供亚马逊外箱贴纸 3pcs</s:t>
              </s:r>
            </s:text>
          </item>
        </commentChain>
      </unresolved>
      <resolved/>
    </commentChains>
    <commentChains s:ref="AI1225" rgbClr="FF0000">
      <unresolved>
        <commentChain chainId="d06368f1edbc9890db1b95d53a46e3278077b740">
          <item id="4289d163f12c9c03b0c853c29d761131aebb837d" userID="1851561945" userName="石玉珍" dateTime="2026-07-03T02:32:53" isNormal="0">
            <s:text>
              <s:r>
                <s:t xml:space="preserve">2201178 7/2 36pcs</s:t>
              </s:r>
            </s:text>
          </item>
        </commentChain>
      </unresolved>
      <resolved/>
    </commentChains>
    <commentChains s:ref="AL1225" rgbClr="FF0000">
      <unresolved>
        <commentChain chainId="ca106e04e5874ad2372aa5a25e12819408e73b94">
          <item id="a97b5179326a3576ce93fe1ebdbf73900fe8c0f9" userID="1851561945" userName="石玉珍" dateTime="2026-06-06T01:18:36" isNormal="0">
            <s:text>
              <s:r>
                <s:t xml:space="preserve">6/5 UPC贴纸 36pcs</s:t>
              </s:r>
            </s:text>
          </item>
          <item id="c37d1ed65e3be73d9519ff992544caaf35db4217" userID="1851561945" userName="石玉珍" dateTime="2026-06-25T06:03:51" isNormal="0">
            <s:text>
              <s:r>
                <s:t xml:space="preserve">6/24 客供亚马逊外箱贴纸 3pcs</s:t>
              </s:r>
            </s:text>
          </item>
        </commentChain>
      </unresolved>
      <resolved/>
    </commentChains>
    <commentChains s:ref="AI1226" rgbClr="FF0000">
      <unresolved>
        <commentChain chainId="a1ce4ff7365875bec55178533ba4400f442ca05c">
          <item id="d0bcc9d2d40afe2db954b887e713e4f10efb438f" userID="1851561945" userName="石玉珍" dateTime="2026-07-03T02:34:51" isNormal="0">
            <s:text>
              <s:r>
                <s:t xml:space="preserve">2201178 7/2 120pcs</s:t>
              </s:r>
            </s:text>
          </item>
        </commentChain>
      </unresolved>
      <resolved/>
    </commentChains>
    <commentChains s:ref="AL1226" rgbClr="FF0000">
      <unresolved>
        <commentChain chainId="282ec5308f29d37c7115ce9a9f8548093806de43">
          <item id="ce263589ca20fb3e13ff7bd6cf383375ef735904" userID="1851561945" userName="石玉珍" dateTime="2026-06-06T01:18:42" isNormal="0">
            <s:text>
              <s:r>
                <s:t xml:space="preserve">6/5 UPC贴纸 120pcs</s:t>
              </s:r>
            </s:text>
          </item>
          <item id="35607436897702aa026bdd70721718ae61da737b" userID="1851561945" userName="石玉珍" dateTime="2026-06-25T06:03:56" isNormal="0">
            <s:text>
              <s:r>
                <s:t xml:space="preserve">6/24 客供亚马逊外箱贴纸 10pcs</s:t>
              </s:r>
            </s:text>
          </item>
        </commentChain>
      </unresolved>
      <resolved/>
    </commentChains>
    <commentChains s:ref="AI1227" rgbClr="FF0000">
      <unresolved>
        <commentChain chainId="5612fa556bc39fe1dc0e23e98c63ffa7c5f8904d">
          <item id="5a92ec920af51e43487313c8bcbc831176e104dc" userID="1851561945" userName="石玉珍" dateTime="2026-07-03T02:34:56" isNormal="0">
            <s:text>
              <s:r>
                <s:t xml:space="preserve">2201178 7/2 24pcs</s:t>
              </s:r>
            </s:text>
          </item>
        </commentChain>
      </unresolved>
      <resolved/>
    </commentChains>
    <commentChains s:ref="AL1227" rgbClr="FF0000">
      <unresolved>
        <commentChain chainId="e0d54bf3a8ccb00eaad9fb697ffeb568bdfc3534">
          <item id="babcd2ccc03515a1dd4c39f554cb26ed34f0edd4" userID="1851561945" userName="石玉珍" dateTime="2026-06-06T01:18:48" isNormal="0">
            <s:text>
              <s:r>
                <s:t xml:space="preserve">6/5 UPC贴纸 24pcs</s:t>
              </s:r>
            </s:text>
          </item>
          <item id="7c779afa1094c6cb6dbbc544996b9af09ee61f67" userID="1851561945" userName="石玉珍" dateTime="2026-06-25T06:04:21" isNormal="0">
            <s:text>
              <s:r>
                <s:t xml:space="preserve">6/24 客供亚马逊外箱贴纸 2pcs</s:t>
              </s:r>
            </s:text>
          </item>
        </commentChain>
      </unresolved>
      <resolved/>
    </commentChains>
    <commentChains s:ref="AI1228" rgbClr="FF0000">
      <unresolved>
        <commentChain chainId="81fac13f1cdd4030a162386820d77dcc0b653849">
          <item id="239857a377fd036f29056175527569afb94bf55c" userID="1851561945" userName="石玉珍" dateTime="2026-07-03T02:32:58" isNormal="0">
            <s:text>
              <s:r>
                <s:t xml:space="preserve">2201178 7/2 36pcs</s:t>
              </s:r>
            </s:text>
          </item>
        </commentChain>
      </unresolved>
      <resolved/>
    </commentChains>
    <commentChains s:ref="AL1228" rgbClr="FF0000">
      <unresolved>
        <commentChain chainId="1a3219494bbc503df51887e57a37c621f13ba3a5">
          <item id="6dff0c4cac64faf265f16f553cb0ef77d0a07fd7" userID="1851561945" userName="石玉珍" dateTime="2026-06-06T01:18:51" isNormal="0">
            <s:text>
              <s:r>
                <s:t xml:space="preserve">6/5 UPC贴纸 36pcs</s:t>
              </s:r>
            </s:text>
          </item>
          <item id="4273ee5aa1ccb2237fc7efb8c140537f25f5d524" userID="1851561945" userName="石玉珍" dateTime="2026-06-25T06:04:26" isNormal="0">
            <s:text>
              <s:r>
                <s:t xml:space="preserve">6/24 客供亚马逊外箱贴纸 3pcs</s:t>
              </s:r>
            </s:text>
          </item>
        </commentChain>
      </unresolved>
      <resolved/>
    </commentChains>
    <commentChains s:ref="AI1229" rgbClr="FF0000">
      <unresolved>
        <commentChain chainId="57a6b810a3efd4fe65f35f8267640f12b6940cb6">
          <item id="f6f54bf0c07f77983a162321443e574c1dab9796" userID="1851561945" userName="石玉珍" dateTime="2026-07-03T02:35:02" isNormal="0">
            <s:text>
              <s:r>
                <s:t xml:space="preserve">2201178 7/2 24pcs</s:t>
              </s:r>
            </s:text>
          </item>
        </commentChain>
      </unresolved>
      <resolved/>
    </commentChains>
    <commentChains s:ref="AL1229" rgbClr="FF0000">
      <unresolved>
        <commentChain chainId="cb09d284a64cc55c3cf8718d9b75fcfc4e2d3d6c">
          <item id="95ad4007194d3a030d60bed39bfac52473e35c2b" userID="1851561945" userName="石玉珍" dateTime="2026-06-06T01:18:56" isNormal="0">
            <s:text>
              <s:r>
                <s:t xml:space="preserve">6/5 UPC贴纸 24pcs</s:t>
              </s:r>
            </s:text>
          </item>
          <item id="94a7165c63d9c794cfb6f2549a234fee54d4663a" userID="1851561945" userName="石玉珍" dateTime="2026-06-25T06:04:30" isNormal="0">
            <s:text>
              <s:r>
                <s:t xml:space="preserve">6/24 客供亚马逊外箱贴纸26pcs</s:t>
              </s:r>
            </s:text>
          </item>
        </commentChain>
      </unresolved>
      <resolved/>
    </commentChains>
    <commentChains s:ref="AI1230" rgbClr="FF0000">
      <unresolved>
        <commentChain chainId="83a9d4f791ab2a3c62afe3152b3a1a5519e072aa">
          <item id="385022812552858f579f9c479b5ae4f7b3dca4c7" userID="1851561945" userName="石玉珍" dateTime="2026-07-03T02:35:04" isNormal="0">
            <s:text>
              <s:r>
                <s:t xml:space="preserve">2201178 7/2 24pcs</s:t>
              </s:r>
            </s:text>
          </item>
        </commentChain>
      </unresolved>
      <resolved/>
    </commentChains>
    <commentChains s:ref="AL1230" rgbClr="FF0000">
      <unresolved>
        <commentChain chainId="9ad87e112f3fd6c5202e206a21420fb0b2ce1a9a">
          <item id="fc7ea8c856e27367c7062e13a0e619370f3ba1f6" userID="1851561945" userName="石玉珍" dateTime="2026-06-06T01:19:01" isNormal="0">
            <s:text>
              <s:r>
                <s:t xml:space="preserve">6/5 UPC贴纸 24pcs</s:t>
              </s:r>
            </s:text>
          </item>
          <item id="66848f28f3c020f1870df91efbef55411bfe2e47" userID="1851561945" userName="石玉珍" dateTime="2026-06-25T06:04:35" isNormal="0">
            <s:text>
              <s:r>
                <s:t xml:space="preserve">6/24 客供亚马逊外箱贴纸 2pcs</s:t>
              </s:r>
            </s:text>
          </item>
        </commentChain>
      </unresolved>
      <resolved/>
    </commentChains>
    <commentChains s:ref="AI1231" rgbClr="FF0000">
      <unresolved>
        <commentChain chainId="11942acdbfa4d82fb82d6963654709fe6c4828d4">
          <item id="68bf328bdf40427a000226ad08050f734eefe824" userID="1851561945" userName="石玉珍" dateTime="2026-07-03T02:35:06" isNormal="0">
            <s:text>
              <s:r>
                <s:t xml:space="preserve">2201178 7/2 24pcs</s:t>
              </s:r>
            </s:text>
          </item>
        </commentChain>
      </unresolved>
      <resolved/>
    </commentChains>
    <commentChains s:ref="AL1231" rgbClr="FF0000">
      <unresolved>
        <commentChain chainId="bd40948c2bf9df47b0bb8f00290374ff50d5afd4">
          <item id="e192bc58f14f6a0b34edceb58348612686f74928" userID="1851561945" userName="石玉珍" dateTime="2026-06-06T01:19:07" isNormal="0">
            <s:text>
              <s:r>
                <s:t xml:space="preserve">6/5 UPC贴纸 24pcs</s:t>
              </s:r>
            </s:text>
          </item>
          <item id="73b62a3216f63142a2f0d0b30a6f7b45f4336a8e" userID="1851561945" userName="石玉珍" dateTime="2026-06-25T06:04:40" isNormal="0">
            <s:text>
              <s:r>
                <s:t xml:space="preserve">6/24 客供亚马逊外箱贴纸 2pcs</s:t>
              </s:r>
            </s:text>
          </item>
        </commentChain>
      </unresolved>
      <resolved/>
    </commentChains>
    <commentChains s:ref="AI1232" rgbClr="FF0000">
      <unresolved>
        <commentChain chainId="6f0442fd1c409ea939b6e54b35898f6d7073ff41">
          <item id="ca6ea024a2596b5ad102e83c38694cc86dc2a772" userID="1851561945" userName="石玉珍" dateTime="2026-07-03T02:35:14" isNormal="0">
            <s:text>
              <s:r>
                <s:t xml:space="preserve">2201178 7/2 48pcs</s:t>
              </s:r>
            </s:text>
          </item>
        </commentChain>
      </unresolved>
      <resolved/>
    </commentChains>
    <commentChains s:ref="AL1232" rgbClr="FF0000">
      <unresolved>
        <commentChain chainId="bc84ac166954dddd7c899b08aa257f2864602930">
          <item id="7aeba050ac90be83b54f203a705c92c16739bcb5" userID="1851561945" userName="石玉珍" dateTime="2026-06-06T01:19:13" isNormal="0">
            <s:text>
              <s:r>
                <s:t xml:space="preserve">6/5 UPC贴纸 48pcs</s:t>
              </s:r>
            </s:text>
          </item>
          <item id="55231c4a6145519f0f7b3134d14d6ab28b71e372" userID="1851561945" userName="石玉珍" dateTime="2026-06-25T06:04:45" isNormal="0">
            <s:text>
              <s:r>
                <s:t xml:space="preserve">6/24 客供亚马逊外箱贴纸 4pcs</s:t>
              </s:r>
            </s:text>
          </item>
        </commentChain>
      </unresolved>
      <resolved/>
    </commentChains>
    <commentChains s:ref="AI1233" rgbClr="FF0000">
      <unresolved>
        <commentChain chainId="3cfec2671ba37f718e2099f78b232cac11760707">
          <item id="4612882516c7de02e69b323aa3dac95409d167d1" userID="1851561945" userName="石玉珍" dateTime="2026-07-03T02:35:09" isNormal="0">
            <s:text>
              <s:r>
                <s:t xml:space="preserve">2201178 7/2 24pcs</s:t>
              </s:r>
            </s:text>
          </item>
        </commentChain>
      </unresolved>
      <resolved/>
    </commentChains>
    <commentChains s:ref="AL1233" rgbClr="FF0000">
      <unresolved>
        <commentChain chainId="088d780e8d5793728b6f3a9291949dbfb8b437c0">
          <item id="5f7fa453f70d2dd97b455a9869fa4cc085f07e14" userID="1851561945" userName="石玉珍" dateTime="2026-06-06T01:19:18" isNormal="0">
            <s:text>
              <s:r>
                <s:t xml:space="preserve">6/5 UPC贴纸 24pcs</s:t>
              </s:r>
            </s:text>
          </item>
          <item id="eec848c0e1acbfce2de951360c2b818bc065acc7" userID="1851561945" userName="石玉珍" dateTime="2026-06-25T06:04:49" isNormal="0">
            <s:text>
              <s:r>
                <s:t xml:space="preserve">6/24 客供亚马逊外箱贴纸 2pcs</s:t>
              </s:r>
            </s:text>
          </item>
        </commentChain>
      </unresolved>
      <resolved/>
    </commentChains>
    <commentChains s:ref="AI1237" rgbClr="FF0000">
      <unresolved>
        <commentChain chainId="7b095feadbd321f4ba3a83bd10fef6d0c4e816e2">
          <item id="8e5dc850465d83ec84d92bf27493d65f91a0aeb2" userID="1851561945" userName="石玉珍" dateTime="2026-07-04T02:22:18" isNormal="0">
            <s:text>
              <s:r>
                <s:t xml:space="preserve">2201202 7/3 1008pcs</s:t>
              </s:r>
            </s:text>
          </item>
        </commentChain>
      </unresolved>
      <resolved/>
    </commentChains>
    <commentChains s:ref="AL1237" rgbClr="FF0000">
      <unresolved>
        <commentChain chainId="5cdec4d5a956da66e52d95dc0a88fe2116a18d8b">
          <item id="bfc5d717543d64b29aa19a568a495487b659fa44" userID="1851561945" userName="石玉珍" dateTime="2026-06-24T00:33:19" isNormal="0">
            <s:text>
              <s:r>
                <s:t xml:space="preserve">6/23 德语警告语贴纸 1008pcs
Kinderherz 2025 logo纸  1008pcs
地址贴纸  1008pcs</s:t>
              </s:r>
            </s:text>
          </item>
        </commentChain>
      </unresolved>
      <resolved/>
    </commentChains>
    <commentChains s:ref="AI1238" rgbClr="FF0000">
      <unresolved>
        <commentChain chainId="16b4d90bea207c134c73af8e5f0eadd4c2f7b897">
          <item id="7b27e084c9166ab34736af27bb5c352c7102ae1f" userID="1851561945" userName="石玉珍" dateTime="2026-07-15T12:51:17" isNormal="0">
            <s:text>
              <s:r>
                <s:t xml:space="preserve">1001915 7/15 2088pcs</s:t>
              </s:r>
            </s:text>
          </item>
        </commentChain>
      </unresolved>
      <resolved/>
    </commentChains>
    <commentChains s:ref="AL1238" rgbClr="FF0000">
      <unresolved>
        <commentChain chainId="2ab3d1bc48d552959d9d6887790273397286e3bb">
          <item id="0a43c098d8b34c7326ec5f93cd87f111df126570" userID="1851561945" userName="石玉珍" dateTime="2026-06-15T12:51:58" isNormal="0">
            <s:text>
              <s:r>
                <s:t xml:space="preserve">6/15 UPC贴纸 2088pcs</s:t>
              </s:r>
            </s:text>
          </item>
        </commentChain>
      </unresolved>
      <resolved/>
    </commentChains>
    <commentChains s:ref="AI1241" rgbClr="FF0000">
      <unresolved>
        <commentChain chainId="43a346ab7746fc56de0a6532c51845f791267364">
          <item id="841abaa0d98c5ebbdcf12845b44df050e5efe5df" userID="1851561945" userName="石玉珍" dateTime="2026-07-15T12:51:44" isNormal="0">
            <s:text>
              <s:r>
                <s:t xml:space="preserve">1001915 7/15 144pcs</s:t>
              </s:r>
            </s:text>
          </item>
        </commentChain>
      </unresolved>
      <resolved/>
    </commentChains>
    <commentChains s:ref="AL1241" rgbClr="FF0000">
      <unresolved>
        <commentChain chainId="24ce937c697983859ec9254413a3169d9a0702d3">
          <item id="ed088e77c01c7b6ffb673fbd8eb3bbd0ff8a0cf5" userID="1851561945" userName="石玉珍" dateTime="2026-07-01T12:36:10" isNormal="0">
            <s:text>
              <s:r>
                <s:t xml:space="preserve">7/1 进口商贴纸 144pcs
UPC贴纸 144pcs</s:t>
              </s:r>
            </s:text>
          </item>
        </commentChain>
      </unresolved>
      <resolved/>
    </commentChains>
    <commentChains s:ref="AI1242" rgbClr="FF0000">
      <unresolved>
        <commentChain chainId="98b447d7d02d1a73f97c34cd6c4f4babc89ba54b">
          <item id="d8a58921127bd6448f58c5aa5bbf8a829aaea90f" userID="1851561945" userName="石玉珍" dateTime="2026-07-15T12:52:09" isNormal="0">
            <s:text>
              <s:r>
                <s:t xml:space="preserve">1001915 7/15 348pcs</s:t>
              </s:r>
            </s:text>
          </item>
        </commentChain>
      </unresolved>
      <resolved/>
    </commentChains>
    <commentChains s:ref="AL1242" rgbClr="FF0000">
      <unresolved>
        <commentChain chainId="e09e5f8c3c975025cd1528c45ce54e82fd91aef1">
          <item id="6fe2e2fc9ebcbb17bbc2cf72cfa5e7b889654946" userID="1851561945" userName="石玉珍" dateTime="2026-06-15T12:53:02" isNormal="0">
            <s:text>
              <s:r>
                <s:t xml:space="preserve">6/15 UPC贴纸 348pcs</s:t>
              </s:r>
            </s:text>
          </item>
        </commentChain>
      </unresolved>
      <resolved/>
    </commentChains>
    <commentChains s:ref="AI1243" rgbClr="FF0000">
      <unresolved>
        <commentChain chainId="5a7ca3371eff22190f5c8b971c1eeb635925e021">
          <item id="d5ecbfa46f12d60d01f2274e095f1f3a9e059c0b" userID="1851561945" userName="石玉珍" dateTime="2026-07-09T13:50:08" isNormal="0">
            <s:text>
              <s:r>
                <s:t xml:space="preserve">2201283 7/9 132pcs</s:t>
              </s:r>
            </s:text>
          </item>
        </commentChain>
      </unresolved>
      <resolved/>
    </commentChains>
    <commentChains s:ref="AI1244" rgbClr="FF0000">
      <unresolved>
        <commentChain chainId="9e50a849e25d9021765a2270f4d6029c86c430fe">
          <item id="563d0461c0eada3b006ba8c27d5b03007303aca6" userID="1851561945" userName="石玉珍" dateTime="2026-07-15T12:50:26" isNormal="0">
            <s:text>
              <s:r>
                <s:t xml:space="preserve">1001915 7/15 3428pcs</s:t>
              </s:r>
            </s:text>
          </item>
        </commentChain>
      </unresolved>
      <resolved/>
    </commentChains>
    <commentChains s:ref="AL1244" rgbClr="FF0000">
      <unresolved>
        <commentChain chainId="b064ea0d205d8570e2e4d08a4013a52b7f983ef9">
          <item id="0b5741fa921149565314d299380aa82dee54c1f5" userID="1851561945" userName="石玉珍" dateTime="2026-06-16T12:14:08" isNormal="0">
            <s:text>
              <s:r>
                <s:t xml:space="preserve">6/16 客供防伪帖纸 3428pcs</s:t>
              </s:r>
            </s:text>
          </item>
        </commentChain>
      </unresolved>
      <resolved/>
    </commentChains>
    <commentChains s:ref="AI1245" rgbClr="FF0000">
      <unresolved>
        <commentChain chainId="f7f7558670a9d0c986acfdcd123a54dbf474793d">
          <item id="4c602b93db4e618b1004dbee16d1dcd79ac87204" userID="1851561945" userName="石玉珍" dateTime="2026-07-09T13:50:45" isNormal="0">
            <s:text>
              <s:r>
                <s:t xml:space="preserve">2201283 7/9 480pcs</s:t>
              </s:r>
            </s:text>
          </item>
        </commentChain>
      </unresolved>
      <resolved/>
    </commentChains>
    <commentChains s:ref="AL1245" rgbClr="FF0000">
      <unresolved>
        <commentChain chainId="18422f535e22d7a21db3a51ee76fd6ec714eacdf">
          <item id="761a7a94a5f3de869686ab7383219aaca55282e3" userID="1851561945" userName="石玉珍" dateTime="2026-06-24T00:52:17" isNormal="0">
            <s:text>
              <s:r>
                <s:t xml:space="preserve">6/23 进口商贴纸 480pcs</s:t>
              </s:r>
            </s:text>
          </item>
        </commentChain>
      </unresolved>
      <resolved/>
    </commentChains>
    <commentChains s:ref="AI1246" rgbClr="FF0000">
      <unresolved>
        <commentChain chainId="7bb7ba0f143bb167c602a87139267da570a565a7">
          <item id="07814af31eeca35ef14c1e41ce1e391eb044717b" userID="1851561945" userName="石玉珍" dateTime="2026-07-13T01:26:12" isNormal="0">
            <s:text>
              <s:r>
                <s:t xml:space="preserve">2801290 7/11 832pcs</s:t>
              </s:r>
            </s:text>
          </item>
        </commentChain>
      </unresolved>
      <resolved/>
    </commentChains>
    <commentChains s:ref="AI1247" rgbClr="FF0000">
      <unresolved>
        <commentChain chainId="3efa33504b4c41a5d0c2589fddfdd067fd468abb">
          <item id="523167137992406556ef230e6fb74e506cce3b78" userID="1851561945" userName="石玉珍" dateTime="2026-07-13T01:26:17" isNormal="0">
            <s:text>
              <s:r>
                <s:t xml:space="preserve">2801290 7/11 448pcs</s:t>
              </s:r>
            </s:text>
          </item>
        </commentChain>
      </unresolved>
      <resolved/>
    </commentChains>
    <commentChains s:ref="AI1248" rgbClr="FF0000">
      <unresolved>
        <commentChain chainId="a02be9254d27b03a9b88b66a0117c4d37d34f39d">
          <item id="5828184e0f0d4a7783c39f68ee075c5dacec4ea8" userID="1851561945" userName="石玉珍" dateTime="2026-07-13T01:26:22" isNormal="0">
            <s:text>
              <s:r>
                <s:t xml:space="preserve">2801290 7/11 444pcs</s:t>
              </s:r>
            </s:text>
          </item>
          <item id="17d524135232d69ed0852a9cd223013ef9d6d371" userID="1851561945" userName="石玉珍" dateTime="2026-07-14T00:21:24" isNormal="0">
            <s:text>
              <s:r>
                <s:t xml:space="preserve">2200135 7/13 4PCS</s:t>
              </s:r>
            </s:text>
          </item>
        </commentChain>
      </unresolved>
      <resolved/>
    </commentChains>
    <commentChains s:ref="AI1249" rgbClr="FF0000">
      <unresolved>
        <commentChain chainId="c83d607efa98c8560031a8e3caf3d0942b4108f7">
          <item id="7b4fab601c933e6cdd69b29a82826069b4210778" userID="1851561945" userName="石玉珍" dateTime="2026-07-13T01:26:27" isNormal="0">
            <s:text>
              <s:r>
                <s:t xml:space="preserve">2801290 7/11 240pcs</s:t>
              </s:r>
            </s:text>
          </item>
        </commentChain>
      </unresolved>
      <resolved/>
    </commentChains>
    <commentChains s:ref="AI1250" rgbClr="FF0000">
      <unresolved>
        <commentChain chainId="2df552eff6ff49c0023ea5bd4d819a88c4b4dedd">
          <item id="f095ebf7f769acd15f4559b0947245e408371f98" userID="1851561945" userName="石玉珍" dateTime="2026-07-23T01:47:16" isNormal="0">
            <s:text>
              <s:r>
                <s:t xml:space="preserve">1001749 7/22 3000pcs</s:t>
              </s:r>
            </s:text>
          </item>
        </commentChain>
      </unresolved>
      <resolved/>
    </commentChains>
    <commentChains s:ref="AL1250" rgbClr="FF0000">
      <unresolved>
        <commentChain chainId="6a8562f95fbb790434a58b4273a3b33b434fc79a">
          <item id="d8a33f3a4fab9b9f8249ee0aa7f2d37998e5dca3" userID="1851561945" userName="石玉珍" dateTime="2026-06-22T13:33:41" isNormal="0">
            <s:text>
              <s:r>
                <s:t xml:space="preserve">6/22 客供价格贴纸 3000pcs</s:t>
              </s:r>
            </s:text>
          </item>
          <item id="15288af2b9a5dbd51cafd382e23231aacd7cac72" userID="1851561945" userName="石玉珍" dateTime="2026-07-01T12:37:17" isNormal="0">
            <s:text>
              <s:r>
                <s:t xml:space="preserve">7/1 保证书/包装贴纸/说明书贴纸/UPC贴纸 3000pcs</s:t>
              </s:r>
            </s:text>
          </item>
        </commentChain>
      </unresolved>
      <resolved/>
    </commentChains>
    <commentChains s:ref="AI1251" rgbClr="FF0000">
      <unresolved>
        <commentChain chainId="ea5c7537ec933312e6babdfe377b92b9cf6bd8cd">
          <item id="33a8d7152303644c4bf134299b89e7af8c717448" userID="1851561945" userName="石玉珍" dateTime="2026-07-10T13:13:23" isNormal="0">
            <s:text>
              <s:r>
                <s:t xml:space="preserve">2201288 7/10 1992pcs</s:t>
              </s:r>
            </s:text>
          </item>
        </commentChain>
      </unresolved>
      <resolved/>
    </commentChains>
    <commentChains s:ref="AI1252" rgbClr="FF0000">
      <unresolved>
        <commentChain chainId="d971d3bedd023601cc7a955c329f5c7f3f6fbaf3">
          <item id="6d582773d9a3b966e76e11f55f9fbc196ce6fbc4" userID="1851561945" userName="石玉珍" dateTime="2026-07-14T00:22:49" isNormal="0">
            <s:text>
              <s:r>
                <s:t xml:space="preserve">2200135 7/13 2880PCS</s:t>
              </s:r>
            </s:text>
          </item>
        </commentChain>
      </unresolved>
      <resolved/>
    </commentChains>
    <commentChains s:ref="AL1252" rgbClr="FF0000">
      <unresolved>
        <commentChain chainId="58d0e2c702477bcbbfeaf1f9d27bc51da1e663fd">
          <item id="13bc0cc565a51956d304e6046f66a0e38d677ef0" isNormal="1">
            <s:text>
              <s:r>
                <s:t xml:space="preserve">Administrator:
5/25 客供RFID贴纸 2880pcs
</s:t>
              </s:r>
            </s:text>
          </item>
        </commentChain>
      </unresolved>
      <resolved/>
    </commentChains>
    <commentChains s:ref="AI1253" rgbClr="FF0000">
      <unresolved>
        <commentChain chainId="bc14562c2616bc45382276f358f66206c1b63aa3">
          <item id="fbb944cf8b7c146a2e769e07d15556625091e5e1" userID="1851561945" userName="石玉珍" dateTime="2026-07-10T13:13:51" isNormal="0">
            <s:text>
              <s:r>
                <s:t xml:space="preserve">2201288 7/10 1008pcs</s:t>
              </s:r>
            </s:text>
          </item>
        </commentChain>
      </unresolved>
      <resolved/>
    </commentChains>
    <commentChains s:ref="AL1253" rgbClr="FF0000">
      <unresolved>
        <commentChain chainId="70f76bd964bddafea8d93363d95d95f6c1607f09">
          <item id="bb5e0e6946cb7294a1205229b0fc58b214fc9e87" userID="1851561945" userName="石玉珍" dateTime="2026-06-03T12:17:10" isNormal="0">
            <s:text>
              <s:r>
                <s:t xml:space="preserve">6/2 多语警语折叠贴纸 1008pcs</s:t>
              </s:r>
            </s:text>
          </item>
          <item id="e9a69c5c9b5d9dbd4d93093a1b853f2c0f8daeef" userID="1851561945" userName="石玉珍" dateTime="2026-06-08T12:08:08" isNormal="0">
            <s:text>
              <s:r>
                <s:t xml:space="preserve">6/8 UPC贴纸 1008pcs</s:t>
              </s:r>
            </s:text>
          </item>
          <item id="a7530ac315ac14942100244f43c7610c82dfb920" userID="1851561945" userName="石玉珍" dateTime="2026-06-29T12:18:38" isNormal="0">
            <s:text>
              <s:r>
                <s:t xml:space="preserve">6/29 亚马逊外箱贴纸 84pcs</s:t>
              </s:r>
            </s:text>
          </item>
        </commentChain>
      </unresolved>
      <resolved/>
    </commentChains>
    <commentChains s:ref="AI1254" rgbClr="FF0000">
      <unresolved>
        <commentChain chainId="f1efb098808caafec7a2e8a3e22ece8401f0691d">
          <item id="a170dac050834bc89a23092d9718cb7f224aaba0" userID="1851561945" userName="石玉珍" dateTime="2026-07-11T06:01:18" isNormal="0">
            <s:text>
              <s:r>
                <s:t xml:space="preserve">2201297 7/10 2832pcs</s:t>
              </s:r>
            </s:text>
          </item>
        </commentChain>
      </unresolved>
      <resolved/>
    </commentChains>
    <commentChains s:ref="AL1254" rgbClr="FF0000">
      <unresolved>
        <commentChain chainId="a87ce4d56198416d03fd1f7e860c53e06a68351d">
          <item id="bb90a35f22bd5f58ee90c9b6581d367da4b2d265" userID="1851561945" userName="石玉珍" dateTime="2026-06-25T06:08:16" isNormal="0">
            <s:text>
              <s:r>
                <s:t xml:space="preserve">6/24 客供亚马逊外箱贴纸 236pcs</s:t>
              </s:r>
            </s:text>
          </item>
        </commentChain>
      </unresolved>
      <resolved/>
    </commentChains>
    <commentChains s:ref="AI1255" rgbClr="FF0000">
      <unresolved>
        <commentChain chainId="fccdd3cf858e252a60b1187702eabf3ce79113e7">
          <item id="810e5fc9fbca7beee16ad5d8a219cc2d89bde421" userID="1851561945" userName="石玉珍" dateTime="2026-07-11T06:01:24" isNormal="0">
            <s:text>
              <s:r>
                <s:t xml:space="preserve">2201297 7/10 2964pcs</s:t>
              </s:r>
            </s:text>
          </item>
        </commentChain>
      </unresolved>
      <resolved/>
    </commentChains>
    <commentChains s:ref="AL1255" rgbClr="FF0000">
      <unresolved>
        <commentChain chainId="0f5a869dc1c2a3e03f7aeaf8aa698af9f8041e8d">
          <item id="237db84fdf6564dd27346bb90b8a131999dac4a4" userID="1851561945" userName="石玉珍" dateTime="2026-06-25T06:08:21" isNormal="0">
            <s:text>
              <s:r>
                <s:t xml:space="preserve">6/24 客供亚马逊外箱贴纸 247pcs</s:t>
              </s:r>
            </s:text>
          </item>
        </commentChain>
      </unresolved>
      <resolved/>
    </commentChains>
    <commentChains s:ref="AI1256" rgbClr="FF0000">
      <unresolved>
        <commentChain chainId="c442570daed78714db78e49b79491efebb0a2b19">
          <item id="66b961b5e485155b1823fe99b7f8b2653be50b6b" userID="1851561945" userName="石玉珍" dateTime="2026-07-14T00:27:57" isNormal="0">
            <s:text>
              <s:r>
                <s:t xml:space="preserve">2200143 7/13 2700pcs</s:t>
              </s:r>
            </s:text>
          </item>
        </commentChain>
      </unresolved>
      <resolved/>
    </commentChains>
    <commentChains s:ref="AL1256" rgbClr="FF0000">
      <unresolved>
        <commentChain chainId="2c643b749400fb5e863168b3a3c483d972e74f53">
          <item id="39bfe0ea0c0f98051d20e862afb979b246eb1d40" isNormal="1">
            <s:text>
              <s:r>
                <s:t xml:space="preserve">Administrator:
5/5 保证书 2700pcs</s:t>
              </s:r>
            </s:text>
          </item>
          <item id="66854d8c9790a1aa1687fb746769a1a6a30a793d" userID="1851561945" userName="石玉珍" dateTime="2026-06-29T12:12:06" isNormal="0">
            <s:text>
              <s:r>
                <s:t xml:space="preserve">6/29 产品贴纸 2700pcs</s:t>
              </s:r>
            </s:text>
          </item>
          <item id="b90c9a3903ea0403fea89cde6990cc329e0433d2" userID="1851561945" userName="石玉珍" dateTime="2026-06-29T12:12:28" isNormal="0">
            <s:text>
              <s:r>
                <s:t xml:space="preserve">包装贴纸/说明书贴纸 /UPC条码贴纸 2700pcs</s:t>
              </s:r>
            </s:text>
          </item>
        </commentChain>
      </unresolved>
      <resolved/>
    </commentChains>
    <commentChains s:ref="AI1257" rgbClr="FF0000">
      <unresolved>
        <commentChain chainId="4becf399098d62029a9f5c0a8517272ab0f6511d">
          <item id="ae711837513587b982050300023768f32db227e4" userID="1851561945" userName="石玉珍" dateTime="2026-07-15T12:48:18" isNormal="0">
            <s:text>
              <s:r>
                <s:t xml:space="preserve">1001912 7/15 1600pcs</s:t>
              </s:r>
            </s:text>
          </item>
        </commentChain>
      </unresolved>
      <resolved/>
    </commentChains>
    <commentChains s:ref="AL1257" rgbClr="FF0000">
      <unresolved>
        <commentChain chainId="1b122ee41f7a738cf9cca8111372d0a13fcab812">
          <item id="416f3b95a41d65e0306e126ea7440ef8a9aeef63" userID="1851561945" userName="石玉珍" dateTime="2026-07-07T14:09:39" isNormal="0">
            <s:text>
              <s:r>
                <s:t xml:space="preserve">客供RID贴纸 7/7 1600pcs</s:t>
              </s:r>
            </s:text>
          </item>
        </commentChain>
      </unresolved>
      <resolved/>
    </commentChains>
    <commentChains s:ref="BA1258" rgbClr="FF0000">
      <unresolved>
        <commentChain chainId="69071f533993f902705135da37a69e19fa3ce7a4">
          <item id="dcb7eb52e944d175c6c603b2d46a86abfdd363ef" userID="1474709007" userName="陈炎" dateTime="2026-06-04T02:05:21" isNormal="0">
            <s:text>
              <s:r>
                <s:t xml:space="preserve">新客版</s:t>
              </s:r>
            </s:text>
          </item>
        </commentChain>
      </unresolved>
      <resolved/>
    </commentChains>
    <commentChains s:ref="BB1258" rgbClr="FF0000">
      <unresolved>
        <commentChain chainId="91beeadcc5b04bd3e4d1be19710273ff39aa1987">
          <item id="d346cce995fab757d614397f5afdcb141303672f" userID="1474709007" userName="陈炎" dateTime="2026-06-04T02:05:32" isNormal="0">
            <s:text>
              <s:r>
                <s:t xml:space="preserve">新客版</s:t>
              </s:r>
            </s:text>
          </item>
        </commentChain>
      </unresolved>
      <resolved/>
    </commentChains>
    <commentChains s:ref="BC1258" rgbClr="FF0000">
      <unresolved>
        <commentChain chainId="add3f93ad1bca90a3f9e1e7869b7e142a3ea14d7">
          <item id="db36742ea5852906ea573fe4b027d30b50018526" userID="1474709007" userName="陈炎" dateTime="2026-06-04T02:05:40" isNormal="0">
            <s:text>
              <s:r>
                <s:t xml:space="preserve">新客版</s:t>
              </s:r>
            </s:text>
          </item>
        </commentChain>
      </unresolved>
      <resolved/>
    </commentChains>
    <commentChains s:ref="BK1258" rgbClr="FF0000">
      <unresolved>
        <commentChain chainId="d27d7016e207f8ef79b5441511fc1ba3b5792be8">
          <item id="a13e311df07287b0b83c70d64af6992589614a5f" userID="1474709007" userName="陈炎" dateTime="2026-06-04T02:06:24" isNormal="0">
            <s:text>
              <s:r>
                <s:t xml:space="preserve">新客版</s:t>
              </s:r>
            </s:text>
          </item>
        </commentChain>
      </unresolved>
      <resolved/>
    </commentChains>
    <commentChains s:ref="BL1258" rgbClr="FF0000">
      <unresolved>
        <commentChain chainId="33e6dc9044f4b8e5bc3403cc471ad7195b6d9707">
          <item id="f6db077b47bec177c79ec5f839b7f864966e902b" userID="1474709007" userName="陈炎" dateTime="2026-06-04T02:06:36" isNormal="0">
            <s:text>
              <s:r>
                <s:t xml:space="preserve">新客版</s:t>
              </s:r>
            </s:text>
          </item>
        </commentChain>
      </unresolved>
      <resolved/>
    </commentChains>
    <commentChains s:ref="AI1259" rgbClr="FF0000">
      <unresolved>
        <commentChain chainId="f915a5b13832868436da5fee670bda42f15805af">
          <item id="f93cc81bdc0d3f8b0086c56295b66587915c0ebb" userID="1851561945" userName="石玉珍" dateTime="2026-07-15T12:48:56" isNormal="0">
            <s:text>
              <s:r>
                <s:t xml:space="preserve">1001912 7/15 780pcs</s:t>
              </s:r>
            </s:text>
          </item>
        </commentChain>
      </unresolved>
      <resolved/>
    </commentChains>
    <commentChains s:ref="AI1260" rgbClr="FF0000">
      <unresolved>
        <commentChain chainId="bd4fb411904857308f8c0700c8578b5ec365938c">
          <item id="c99237ada7ac443cc96c7e8c85bcafda10340767" userID="1851561945" userName="石玉珍" dateTime="2026-07-15T12:49:03" isNormal="0">
            <s:text>
              <s:r>
                <s:t xml:space="preserve">1001912 7/15 420pcs</s:t>
              </s:r>
            </s:text>
          </item>
        </commentChain>
      </unresolved>
      <resolved/>
    </commentChains>
    <commentChains s:ref="AI1261" rgbClr="FF0000">
      <unresolved>
        <commentChain chainId="3deb765bec396930f85ed27109c7c05b21d08ce1">
          <item id="7b5fc977922e48c60d1e1589e795c386884d10cb" userID="1851561945" userName="石玉珍" dateTime="2026-07-17T01:07:57" isNormal="0">
            <s:text>
              <s:r>
                <s:t xml:space="preserve">1001902 7/16 3520pcs</s:t>
              </s:r>
            </s:text>
          </item>
        </commentChain>
      </unresolved>
      <resolved/>
    </commentChains>
    <commentChains s:ref="AL1261" rgbClr="FF0000">
      <unresolved>
        <commentChain chainId="91f39126290e0496bcfd032954d44b9d31b32e65">
          <item id="fded7d21f40559fb44ea346ae828b8a882a8eeee" isNormal="1">
            <s:text>
              <s:r>
                <s:t xml:space="preserve">Administrator:
5/25 客供RFID贴纸 3520pcs
</s:t>
              </s:r>
            </s:text>
          </item>
        </commentChain>
      </unresolved>
      <resolved/>
    </commentChains>
    <commentChains s:ref="AI1262" rgbClr="FF0000">
      <unresolved>
        <commentChain chainId="0b5d3701801bdfd083605130d831ebb2bb0d3eca">
          <item id="310be96c847787beefbc17b637ace1bf3ffbcf60" userID="1851561945" userName="石玉珍" dateTime="2026-07-17T01:08:47" isNormal="0">
            <s:text>
              <s:r>
                <s:t xml:space="preserve">1001902 7/16 640pcs</s:t>
              </s:r>
            </s:text>
          </item>
        </commentChain>
      </unresolved>
      <resolved/>
    </commentChains>
    <commentChains s:ref="AL1262" rgbClr="FF0000">
      <unresolved>
        <commentChain chainId="79c4c379a668948cc7d3757b340b965778868735">
          <item id="aab16b8dd9b981749ef6d70e1c5b69bca428944d" userID="1851561945" userName="石玉珍" dateTime="2026-07-07T14:10:41" isNormal="0">
            <s:text>
              <s:r>
                <s:t xml:space="preserve">客供RID贴纸 7/7 640pcs</s:t>
              </s:r>
            </s:text>
          </item>
        </commentChain>
      </unresolved>
      <resolved/>
    </commentChains>
    <commentChains s:ref="AI1263" rgbClr="FF0000">
      <unresolved>
        <commentChain chainId="e27f551b3158d4d9ec0234b2c01697a788717a1b">
          <item id="b63e96535f84379219bd45d08f64639f96b32556" userID="1851561945" userName="石玉珍" dateTime="2026-07-17T01:09:15" isNormal="0">
            <s:text>
              <s:r>
                <s:t xml:space="preserve">1001902 7/16 2880pcs</s:t>
              </s:r>
            </s:text>
          </item>
        </commentChain>
      </unresolved>
      <resolved/>
    </commentChains>
    <commentChains s:ref="AL1263" rgbClr="FF0000">
      <unresolved>
        <commentChain chainId="b6bafe05d09bdfa46b6899b6565f8e02716d2a70">
          <item id="ba5cdba29bac1273c817c2148d8dab43c14a4999" userID="1851561945" userName="石玉珍" dateTime="2026-07-07T14:10:56" isNormal="0">
            <s:text>
              <s:r>
                <s:t xml:space="preserve">客供RID贴纸 7/7 2880pcs</s:t>
              </s:r>
            </s:text>
          </item>
        </commentChain>
      </unresolved>
      <resolved/>
    </commentChains>
    <commentChains s:ref="AI1264" rgbClr="FF0000">
      <unresolved>
        <commentChain chainId="018485b014b3f7b4e541ad22e218ddff11c5832b">
          <item id="1206aa58066b58f623174e9ac44233e098184f81" userID="1851561945" userName="石玉珍" dateTime="2026-07-17T13:47:49" isNormal="0">
            <s:text>
              <s:r>
                <s:t xml:space="preserve">1001873 7/17 2880pcs</s:t>
              </s:r>
            </s:text>
          </item>
        </commentChain>
      </unresolved>
      <resolved/>
    </commentChains>
    <commentChains s:ref="AL1264" rgbClr="FF0000">
      <unresolved>
        <commentChain chainId="38bec481896c909656db39ca5409060c1a43b8d3">
          <item id="37ab571e551e60d6112ed1f416d31b5814d05bc3" userID="1851561945" userName="石玉珍" dateTime="2026-07-07T14:11:00" isNormal="0">
            <s:text>
              <s:r>
                <s:t xml:space="preserve">客供RID贴纸 7/7 2880pcs</s:t>
              </s:r>
            </s:text>
          </item>
        </commentChain>
      </unresolved>
      <resolved/>
    </commentChains>
    <commentChains s:ref="AI1265" rgbClr="FF0000">
      <unresolved>
        <commentChain chainId="8b160b820198dcc7ec7fc9dca440e46320cecebd">
          <item id="cc32b3c51251f47e6cbc683f7659497009244569" userID="1851561945" userName="石玉珍" dateTime="2026-07-17T01:08:07" isNormal="0">
            <s:text>
              <s:r>
                <s:t xml:space="preserve">1001902 7/16 3840pcs</s:t>
              </s:r>
            </s:text>
          </item>
        </commentChain>
      </unresolved>
      <resolved/>
    </commentChains>
    <commentChains s:ref="AL1265" rgbClr="FF0000">
      <unresolved>
        <commentChain chainId="0e9646d28595ddf2a72cd703bbbe14d80189a1db">
          <item id="c5d39f07985a897f711c47bb96c2c58b499353bd" isNormal="1">
            <s:text>
              <s:r>
                <s:t xml:space="preserve">Administrator:
5/25 客供RFID贴纸 3840pcs</s:t>
              </s:r>
            </s:text>
          </item>
        </commentChain>
      </unresolved>
      <resolved/>
    </commentChains>
    <commentChains s:ref="AI1266" rgbClr="FF0000">
      <unresolved>
        <commentChain chainId="644aafbcacedc115f77a08c352d7eabfefa5a6c7">
          <item id="87794b7d7dec9c44ce81cefba6a15a9ba1c4123c" userID="1851561945" userName="石玉珍" dateTime="2026-07-14T00:22:02" isNormal="0">
            <s:text>
              <s:r>
                <s:t xml:space="preserve">2200135 7/13 1280PCS</s:t>
              </s:r>
            </s:text>
          </item>
        </commentChain>
      </unresolved>
      <resolved/>
    </commentChains>
    <commentChains s:ref="AL1266" rgbClr="FF0000">
      <unresolved>
        <commentChain chainId="c577958fe7137a113009c39d3e5afd14b487fc3d">
          <item id="5c7e887693aad5600c90ff0ccc78e663a8ba6684" userID="1851561945" userName="石玉珍" dateTime="2026-07-07T14:06:27" isNormal="0">
            <s:text>
              <s:r>
                <s:t xml:space="preserve">客供RID贴纸 7/7 1280pcs</s:t>
              </s:r>
            </s:text>
          </item>
        </commentChain>
      </unresolved>
      <resolved/>
    </commentChains>
    <commentChains s:ref="AI1267" rgbClr="FF0000">
      <unresolved>
        <commentChain chainId="19549c766b9213ebbb718f9f933dc6b7d5eadecf">
          <item id="73a45072d9b008c3c85b376d271d6284d41af68c" userID="1851561945" userName="石玉珍" dateTime="2026-07-17T01:20:06" isNormal="0">
            <s:text>
              <s:r>
                <s:t xml:space="preserve">1001886 7/16 2560pcs</s:t>
              </s:r>
            </s:text>
          </item>
        </commentChain>
      </unresolved>
      <resolved/>
    </commentChains>
    <commentChains s:ref="AL1267" rgbClr="FF0000">
      <unresolved>
        <commentChain chainId="68bd6d11037ab4866c7c54aa6e5af3af4cdd8b72">
          <item id="fca13af927469a1da8011c769518fe939f153515" isNormal="1">
            <s:text>
              <s:r>
                <s:t xml:space="preserve">Administrator:
5/25 客供RFID贴纸2560pcs
</s:t>
              </s:r>
            </s:text>
          </item>
        </commentChain>
      </unresolved>
      <resolved/>
    </commentChains>
    <commentChains s:ref="AI1269" rgbClr="FF0000">
      <unresolved>
        <commentChain chainId="e400804c12f33fad6bbbdd560e8dec8ac34e7dc8">
          <item id="ca2ea5db968516e12dce4a4d5c1bc4dd4b1a6f47" userID="1851561945" userName="石玉珍" dateTime="2026-07-21T00:53:26" isNormal="0">
            <s:text>
              <s:r>
                <s:t xml:space="preserve">1001719 7/20 216pcs</s:t>
              </s:r>
            </s:text>
          </item>
        </commentChain>
      </unresolved>
      <resolved/>
    </commentChains>
    <commentChains s:ref="AL1269" rgbClr="FF0000">
      <unresolved>
        <commentChain chainId="20a27a636cbc5e3bd32481989d2acafaecd89804">
          <item id="21666708f0c7c966e4ecb0a2a3d1ecf0d063faba" userID="1851561945" userName="石玉珍" dateTime="2026-07-07T13:39:25" isNormal="0">
            <s:text>
              <s:r>
                <s:t xml:space="preserve">7/7 UPC条码贴纸 216pcs</s:t>
              </s:r>
            </s:text>
          </item>
        </commentChain>
      </unresolved>
      <resolved/>
    </commentChains>
    <commentChains s:ref="AI1270" rgbClr="FF0000">
      <unresolved>
        <commentChain chainId="7519ed69683009d11418b8c23a2c67f8c423c83c">
          <item id="25969d51edca2f0078914b2ca7d4a2d7ea5c5d01" userID="1851561945" userName="石玉珍" dateTime="2026-07-21T00:54:54" isNormal="0">
            <s:text>
              <s:r>
                <s:t xml:space="preserve">1001719 7/20 1200pcs</s:t>
              </s:r>
            </s:text>
          </item>
        </commentChain>
      </unresolved>
      <resolved/>
    </commentChains>
    <commentChains s:ref="AL1270" rgbClr="FF0000">
      <unresolved>
        <commentChain chainId="e0ba4022b28ef03053c67f369df5dd95ebb5c2b1">
          <item id="7039412cb8c0f2ff4ed3b3e3eddf480fda3c2f74" userID="1851561945" userName="石玉珍" dateTime="2026-07-06T12:47:58" isNormal="0">
            <s:text>
              <s:r>
                <s:t xml:space="preserve">7/6 CONCENTRA客人logo贴纸 1200pcs</s:t>
              </s:r>
            </s:text>
          </item>
          <item id="9025119ca90ea76df457415a55df4371d21e2c3c" userID="1851561945" userName="石玉珍" dateTime="2026-07-06T12:48:10" isNormal="0">
            <s:text>
              <s:r>
                <s:t xml:space="preserve">客户进口商EAN条码贴纸 1200pcs</s:t>
              </s:r>
            </s:text>
          </item>
        </commentChain>
      </unresolved>
      <resolved/>
    </commentChains>
    <commentChains s:ref="AI1271" rgbClr="FF0000">
      <unresolved>
        <commentChain chainId="3dcfa2df7d1dfb2d9bc89492b2715a2882d65a9e">
          <item id="4e87360b93ac302b63643e7d4c0fa98d835afb3d" userID="1851561945" userName="石玉珍" dateTime="2026-07-21T00:54:28" isNormal="0">
            <s:text>
              <s:r>
                <s:t xml:space="preserve">1001719 7/20 1200pcs</s:t>
              </s:r>
            </s:text>
          </item>
        </commentChain>
      </unresolved>
      <resolved/>
    </commentChains>
    <commentChains s:ref="AL1271" rgbClr="FF0000">
      <unresolved>
        <commentChain chainId="7d819964812a6c9743516717bcaa99fd06c28ec9">
          <item id="dd4d5b48e08dbd230491f6211640ccec1d9cce66" userID="1851561945" userName="石玉珍" dateTime="2026-07-08T11:16:31" isNormal="0">
            <s:text>
              <s:r>
                <s:t xml:space="preserve">7/8 进口商贴纸 1200pcs</s:t>
              </s:r>
            </s:text>
          </item>
        </commentChain>
      </unresolved>
      <resolved/>
    </commentChains>
    <commentChains s:ref="AI1272" rgbClr="FF0000">
      <unresolved>
        <commentChain chainId="17a1f321412809279eccb39b5699027836eb91ab">
          <item id="9c25e68a2033a96da0c68cc309374237e5b5a30f" userID="1851561945" userName="石玉珍" dateTime="2026-07-21T01:40:15" isNormal="0">
            <s:text>
              <s:r>
                <s:t xml:space="preserve">1001836 7/20 500pcs</s:t>
              </s:r>
            </s:text>
          </item>
        </commentChain>
      </unresolved>
      <resolved/>
    </commentChains>
    <commentChains s:ref="AL1272" rgbClr="FF0000">
      <unresolved>
        <commentChain chainId="b25621062b4d259803f961fb67db9a27842f214f">
          <item id="727e493d410ea6f6127a4f03b4dc94d25c481805" userID="1851561945" userName="石玉珍" dateTime="2026-07-08T11:17:01" isNormal="0">
            <s:text>
              <s:r>
                <s:t xml:space="preserve">7/8 进口商贴纸 500pcs</s:t>
              </s:r>
            </s:text>
          </item>
        </commentChain>
      </unresolved>
      <resolved/>
    </commentChains>
    <commentChains s:ref="AI1273" rgbClr="FF0000">
      <unresolved>
        <commentChain chainId="02e44ca612132975c76a7509ffa12b961684de56">
          <item id="ec8888e2d16af9727221aeffb766e6383e34817e" userID="1851561945" userName="石玉珍" dateTime="2026-07-18T12:32:42" isNormal="0">
            <s:text>
              <s:r>
                <s:t xml:space="preserve">1001866 7/18 180pcs</s:t>
              </s:r>
            </s:text>
          </item>
        </commentChain>
      </unresolved>
      <resolved/>
    </commentChains>
    <commentChains s:ref="AI1274" rgbClr="FF0000">
      <unresolved>
        <commentChain chainId="5cf431ade4191acea81e493d34fdbbab62f9a714">
          <item id="45d1e7fc6ddc307f6b38054437148f25718868e8" userID="1851561945" userName="石玉珍" dateTime="2026-07-21T00:54:01" isNormal="0">
            <s:text>
              <s:r>
                <s:t xml:space="preserve">1001719 7/20 1008pcs</s:t>
              </s:r>
            </s:text>
          </item>
        </commentChain>
      </unresolved>
      <resolved/>
    </commentChains>
    <commentChains s:ref="AL1274" rgbClr="FF0000">
      <unresolved>
        <commentChain chainId="c9dfaf167306832f9eba04df361c4fd4d632869f">
          <item id="e8f411f76500c9b019cb754de3b0f2974c89bf41" userID="1851561945" userName="石玉珍" dateTime="2026-07-09T12:13:34" isNormal="0">
            <s:text>
              <s:r>
                <s:t xml:space="preserve">7/9 Kinderherz 2025 logo贴纸 1008pcs
地址贴纸 1008pcs</s:t>
              </s:r>
            </s:text>
          </item>
        </commentChain>
      </unresolved>
      <resolved/>
    </commentChains>
    <commentChains s:ref="AI1275" rgbClr="FF0000">
      <unresolved>
        <commentChain chainId="3df51c76572d736d945188c0f36218b94dc25dac">
          <item id="10c9ac2b94db2f4013198bf63602fee0c8d41c22" userID="1851561945" userName="石玉珍" dateTime="2026-07-18T12:31:54" isNormal="0">
            <s:text>
              <s:r>
                <s:t xml:space="preserve">1001866 7/18 720pcs</s:t>
              </s:r>
            </s:text>
          </item>
        </commentChain>
      </unresolved>
      <resolved/>
    </commentChains>
    <commentChains s:ref="AL1275" rgbClr="FF0000">
      <unresolved>
        <commentChain chainId="95bbd78ac3983082dfdc60ecbe7d686c25e4d065">
          <item id="439ba640301dc30a2f2a3ce644a7a57c82b0579a" userID="1851561945" userName="石玉珍" dateTime="2026-07-11T01:57:08" isNormal="0">
            <s:text>
              <s:r>
                <s:t xml:space="preserve">7/10 保证书 720pcs</s:t>
              </s:r>
            </s:text>
          </item>
          <item id="ed9434d4a55e00f119f3d24a3a714bcfe162389a" userID="1851561945" userName="石玉珍" dateTime="2026-07-13T08:14:15" isNormal="0">
            <s:text>
              <s:r>
                <s:t xml:space="preserve">7/11 UPC贴纸 720pcs
进口商贴纸 720pcs</s:t>
              </s:r>
            </s:text>
          </item>
        </commentChain>
      </unresolved>
      <resolved/>
    </commentChains>
    <commentChains s:ref="AI1276" rgbClr="FF0000">
      <unresolved>
        <commentChain chainId="c02b4891e92f601f9d75b9ed76ac9e762085b350">
          <item id="0278ec421065468e901e0feb98738f1c92ae8585" userID="1851561945" userName="石玉珍" dateTime="2026-07-17T13:50:17" isNormal="0">
            <s:text>
              <s:r>
                <s:t xml:space="preserve">1001873 7/17 1504pcs</s:t>
              </s:r>
            </s:text>
          </item>
        </commentChain>
      </unresolved>
      <resolved/>
    </commentChains>
    <commentChains s:ref="AL1276" rgbClr="FF0000">
      <unresolved>
        <commentChain chainId="ef658100bed4d7b382639f56c24011bc311c67c5">
          <item id="adcc696199b415cbaf958653d2b0aeacf345a932" userID="1851561945" userName="石玉珍" dateTime="2026-07-10T14:10:15" isNormal="0">
            <s:text>
              <s:r>
                <s:t xml:space="preserve">7/10 地址贴纸 1504pcs</s:t>
              </s:r>
            </s:text>
          </item>
          <item id="d7615bfd6f35a304c6a90b1f1b213b886c9f5b9f" userID="1851561945" userName="石玉珍" dateTime="2026-07-10T14:16:58" isNormal="0">
            <s:text>
              <s:r>
                <s:t xml:space="preserve">7/10 收缩膜+PDQ Kinderherz 1504pcs</s:t>
              </s:r>
            </s:text>
          </item>
        </commentChain>
      </unresolved>
      <resolved/>
    </commentChains>
    <commentChains s:ref="AI1277" rgbClr="FF0000">
      <unresolved>
        <commentChain chainId="2c9549692fa55ded91d4e7149f69a522da0e8f86">
          <item id="2cf5cdbfb81502bff09cfd377c45155ef3fad394" userID="1851561945" userName="石玉珍" dateTime="2026-07-17T13:54:33" isNormal="0">
            <s:text>
              <s:r>
                <s:t xml:space="preserve">1001876 7/17 3000pcs</s:t>
              </s:r>
            </s:text>
          </item>
        </commentChain>
      </unresolved>
      <resolved/>
    </commentChains>
    <commentChains s:ref="AL1277" rgbClr="FF0000">
      <unresolved>
        <commentChain chainId="01c7e71fd6b20dfd993a2a52c20b29f6fc24ce13">
          <item id="547079678f3c88881f113467eaf3e02c35e6a2f7" userID="1851561945" userName="石玉珍" dateTime="2026-07-07T09:11:36" isNormal="0">
            <s:text>
              <s:r>
                <s:t xml:space="preserve">7/6 进口商贴纸 3000pcs
UPC贴纸 3000pcs</s:t>
              </s:r>
            </s:text>
          </item>
        </commentChain>
      </unresolved>
      <resolved/>
    </commentChains>
    <commentChains s:ref="AI1278" rgbClr="FF0000">
      <unresolved>
        <commentChain chainId="6dc73735ff7f4e3f27eddc6989e9c9cf8fa488dd">
          <item id="18bcd4851ce84c1a3c031e522606812b128cc387" userID="1851561945" userName="石玉珍" dateTime="2026-07-17T13:49:15" isNormal="0">
            <s:text>
              <s:r>
                <s:t xml:space="preserve">1001873 7/17 960pcs</s:t>
              </s:r>
            </s:text>
          </item>
        </commentChain>
      </unresolved>
      <resolved/>
    </commentChains>
    <commentChains s:ref="AL1278" rgbClr="FF0000">
      <unresolved>
        <commentChain chainId="b4b5cba405b3883aea25b275cf391123743216ed">
          <item id="762c9bab430db8e894376bb235f050466e4f12f5" userID="1851561945" userName="石玉珍" dateTime="2026-07-08T11:18:17" isNormal="0">
            <s:text>
              <s:r>
                <s:t xml:space="preserve">7/8 进口商贴纸 960pcs
条码贴纸 960pcs</s:t>
              </s:r>
            </s:text>
          </item>
        </commentChain>
      </unresolved>
      <resolved/>
    </commentChains>
    <commentChains s:ref="AI1279" rgbClr="FF0000">
      <unresolved>
        <commentChain chainId="cef464619b398a1ae398ce7a96cec4302b302856">
          <item id="09f8fabe8bd0a22c2d831ecd724977ad5980bd7c" userID="1851561945" userName="石玉珍" dateTime="2026-07-17T13:52:22" isNormal="0">
            <s:text>
              <s:r>
                <s:t xml:space="preserve">1001873 7/17 504pcs</s:t>
              </s:r>
            </s:text>
          </item>
        </commentChain>
      </unresolved>
      <resolved/>
    </commentChains>
    <commentChains s:ref="AL1279" rgbClr="FF0000">
      <unresolved>
        <commentChain chainId="98651ba9389d3b31a41a51fb34403b273690f0cb">
          <item id="0f20f571e2f3572f5a63c7537f55e41235290751" userID="1851561945" userName="石玉珍" dateTime="2026-07-07T14:12:12" isNormal="0">
            <s:text>
              <s:r>
                <s:t xml:space="preserve">7/7 进口商贴纸 504pcs
UPC条码贴纸 504pcs</s:t>
              </s:r>
            </s:text>
          </item>
        </commentChain>
      </unresolved>
      <resolved/>
    </commentChains>
    <commentChains s:ref="AI1281" rgbClr="FF0000">
      <unresolved>
        <commentChain chainId="6eea7c50b259b4cb7e5f55cac93b0640be278247">
          <item id="765713b6382b19f3770627ebd8eed62ebc3e9704" userID="1851561945" userName="石玉珍" dateTime="2026-07-18T12:07:36" isNormal="0">
            <s:text>
              <s:r>
                <s:t xml:space="preserve">1001882 7/18 24pcs</s:t>
              </s:r>
            </s:text>
          </item>
          <item id="827f0cc53f8cd55c238417ceb174cd6d0438085a" userID="1851561945" userName="石玉珍" dateTime="2026-07-21T01:40:46" isNormal="0">
            <s:text>
              <s:r>
                <s:t xml:space="preserve">1001836 7/20 3960pcs</s:t>
              </s:r>
            </s:text>
          </item>
          <item id="d631d2a78d5747c357d4564473e98296ce446b9b" userID="1851561945" userName="石玉珍" dateTime="2026-07-23T01:51:02" isNormal="0">
            <s:text>
              <s:r>
                <s:t xml:space="preserve">1001749 7/22 24pcs</s:t>
              </s:r>
            </s:text>
          </item>
        </commentChain>
      </unresolved>
      <resolved/>
    </commentChains>
    <commentChains s:ref="AL1281" rgbClr="FF0000">
      <unresolved>
        <commentChain chainId="a751815697a641aaabbf5e36fcac76c61268c5cb">
          <item id="cf2f749cb3ad3113353cdfd3650f03ca40921e9e" userID="1851561945" userName="石玉珍" dateTime="2026-07-06T12:49:11" isNormal="0">
            <s:text>
              <s:r>
                <s:t xml:space="preserve">7/6 客版价格贴纸 4008pcs
SSCC label 外箱贴 334pcs</s:t>
              </s:r>
            </s:text>
          </item>
        </commentChain>
      </unresolved>
      <resolved/>
    </commentChains>
    <commentChains s:ref="AI1283" rgbClr="FF0000">
      <unresolved>
        <commentChain chainId="9d495f3d794d6557776176c7a6179acde1bb295b">
          <item id="62a0598a17498964d4f146c0e2e147b572d384d9" userID="1851561945" userName="石玉珍" dateTime="2026-07-23T12:50:50" isNormal="0">
            <s:text>
              <s:r>
                <s:t xml:space="preserve">1001852 7/23 500pcs</s:t>
              </s:r>
            </s:text>
          </item>
        </commentChain>
      </unresolved>
      <resolved/>
    </commentChains>
    <commentChains s:ref="AI1284" rgbClr="FF0000">
      <unresolved>
        <commentChain chainId="d619360a1bfef1b2373dd492ba6ef94374a783a6">
          <item id="e022193745b2362a055596e5e6a60ebd93621802" userID="1851561945" userName="石玉珍" dateTime="2026-07-21T01:43:15" isNormal="0">
            <s:text>
              <s:r>
                <s:t xml:space="preserve">1001836 7/20 128pcs</s:t>
              </s:r>
            </s:text>
          </item>
        </commentChain>
      </unresolved>
      <resolved/>
    </commentChains>
    <commentChains s:ref="AI1288" rgbClr="FF0000">
      <unresolved>
        <commentChain chainId="e2d599b196d780fb0bf593c9531a70eeae8847e7">
          <item id="f82d91dc0db60e91943097cd8671982b8c3b47bc" userID="1851561945" userName="石玉珍" dateTime="2026-07-23T12:51:29" isNormal="0">
            <s:text>
              <s:r>
                <s:t xml:space="preserve">1001852 7/23 1896pcs</s:t>
              </s:r>
            </s:text>
          </item>
        </commentChain>
      </unresolved>
      <resolved/>
    </commentChains>
    <commentChains s:ref="AI1289" rgbClr="FF0000">
      <unresolved>
        <commentChain chainId="cb0bb04805bf74f25126f7cccb973d96d73caa2e">
          <item id="5a0d4bf54e6f136cb9a516228b2a53503a1ef73e" userID="1851561945" userName="石玉珍" dateTime="2026-07-23T11:21:28" isNormal="0">
            <s:text>
              <s:r>
                <s:t xml:space="preserve">1001848 7/23 2700pcs</s:t>
              </s:r>
            </s:text>
          </item>
          <item id="9550cab05cd1a521ecc938de1dedbd0490bf3ced" userID="1851561945" userName="石玉珍" dateTime="2026-07-23T13:01:13" isNormal="0">
            <s:text>
              <s:r>
                <s:t xml:space="preserve">1001766 7/23 15360pcs</s:t>
              </s:r>
            </s:text>
          </item>
        </commentChain>
      </unresolved>
      <resolved/>
    </commentChains>
    <commentChains s:ref="AL1289" rgbClr="FF0000">
      <unresolved>
        <commentChain chainId="c613b92524a12d63b4024473f16b8ff8aba8f386">
          <item id="add608bc8104e23ffb9dcaf91c02fe5377fc94c8" userID="1851561945" userName="石玉珍" dateTime="2026-07-13T06:17:26" isNormal="0">
            <s:text>
              <s:r>
                <s:t xml:space="preserve">7/11 价格贴纸 18060pcs
外箱条码贴纸  3010pcs</s:t>
              </s:r>
            </s:text>
          </item>
        </commentChain>
      </unresolved>
      <resolved/>
    </commentChains>
    <commentChains s:ref="AI1290" rgbClr="FF0000">
      <unresolved>
        <commentChain chainId="30ae47a1438bdd48790de5e10f437dde7f4bc161">
          <item id="cd2957f602628d1e8890ce6d8aa85e25fc0abead" userID="1851561945" userName="石玉珍" dateTime="2026-07-17T13:49:42" isNormal="0">
            <s:text>
              <s:r>
                <s:t xml:space="preserve">1001873 7/17 600pcs</s:t>
              </s:r>
            </s:text>
          </item>
        </commentChain>
      </unresolved>
      <resolved/>
    </commentChains>
    <commentChains s:ref="AL1290" rgbClr="FF0000">
      <unresolved>
        <commentChain chainId="4ddf2d88a6bea58e29c181b7166a895a91a7ef63">
          <item id="960e2660506d8e823e6f5c5674854e473c958d8f" userID="1851561945" userName="石玉珍" dateTime="2026-07-09T08:35:41" isNormal="0">
            <s:text>
              <s:r>
                <s:t xml:space="preserve">7/9 UPC贴纸 600pcs
进口商贴纸 1200pcs</s:t>
              </s:r>
            </s:text>
          </item>
        </commentChain>
      </unresolved>
      <resolved/>
    </commentChains>
    <commentChains s:ref="AI1291" rgbClr="FF0000">
      <unresolved>
        <commentChain chainId="c29a6cd21c233b9ea19888830fd3a51f01af14f8">
          <item id="f6f446021824b0ff5c222edf2f4dfaeca92e358c" userID="1851561945" userName="石玉珍" dateTime="2026-07-17T13:48:27" isNormal="0">
            <s:text>
              <s:r>
                <s:t xml:space="preserve">1001873 7/17 528pcs</s:t>
              </s:r>
            </s:text>
          </item>
          <item id="c099c957ff6e6bc8243db0033902571166798e26" userID="1851561945" userName="石玉珍" dateTime="2026-07-21T00:53:09" isNormal="0">
            <s:text>
              <s:r>
                <s:t xml:space="preserve">1001719 7/20 16pcs</s:t>
              </s:r>
            </s:text>
          </item>
        </commentChain>
      </unresolved>
      <resolved/>
    </commentChains>
    <commentChains s:ref="AL1291" rgbClr="FF0000">
      <unresolved>
        <commentChain chainId="f1b9ce0609507112ffc0ed93e78ef54a25431981">
          <item id="b1d5b1af83d3fecbbdc9e5b113a88f8a825e7626" userID="1851561945" userName="石玉珍" dateTime="2026-06-17T13:29:50" isNormal="0">
            <s:text>
              <s:r>
                <s:t xml:space="preserve">6/17 价格贴纸 528pcs</s:t>
              </s:r>
            </s:text>
          </item>
          <item id="20aae1fb239549c1df4bacaa65cdc08c3c72e013" userID="1851561945" userName="石玉珍" dateTime="2026-06-27T02:05:09" isNormal="0">
            <s:text>
              <s:r>
                <s:t xml:space="preserve">6/26 客供外箱条码贴纸 33pcs</s:t>
              </s:r>
            </s:text>
          </item>
        </commentChain>
      </unresolved>
      <resolved/>
    </commentChains>
    <commentChains s:ref="AI1292" rgbClr="FF0000">
      <unresolved>
        <commentChain chainId="911fdfa2c5cbab55f71ebf4aaac70d573037190f">
          <item id="573dd8a714a630ac4c89d323db17eed4722aefbd" userID="1851561945" userName="石玉珍" dateTime="2026-07-17T13:53:03" isNormal="0">
            <s:text>
              <s:r>
                <s:t xml:space="preserve">1001873 7/17 1500pcs</s:t>
              </s:r>
            </s:text>
          </item>
        </commentChain>
      </unresolved>
      <resolved/>
    </commentChains>
    <commentChains s:ref="AL1292" rgbClr="FF0000">
      <unresolved>
        <commentChain chainId="b73c44d712d5078f89b022ccfdc6ee514332342e">
          <item id="c8ed2783ac67464d6e14e7978506928d5d07cf20" userID="1851561945" userName="石玉珍" dateTime="2026-07-07T14:11:38" isNormal="0">
            <s:text>
              <s:r>
                <s:t xml:space="preserve">7/7 进口商贴纸 1500pcs
UPC条码贴纸 1500pcs</s:t>
              </s:r>
            </s:text>
          </item>
        </commentChain>
      </unresolved>
      <resolved/>
    </commentChains>
    <commentChains s:ref="AI1293" rgbClr="FF0000">
      <unresolved>
        <commentChain chainId="bd04c31df823fed834dc6971834dba3db0e1e044">
          <item id="71a360ad4086bc7aff8eb4783d484f45d9c05b93" userID="1851561945" userName="石玉珍" dateTime="2026-07-28T00:34:47" isNormal="0">
            <s:text>
              <s:r>
                <s:t xml:space="preserve">1001696 7/27 7000pcs</s:t>
              </s:r>
            </s:text>
          </item>
        </commentChain>
      </unresolved>
      <resolved/>
    </commentChains>
    <commentChains s:ref="AI1294" rgbClr="FF0000">
      <unresolved>
        <commentChain chainId="cfdbef52b106aebb43f1f8877dd7db5986cb8341">
          <item id="0dfdea0c54761879ed21c74ee27dfaaf027d55e5" userID="1851561945" userName="石玉珍" dateTime="2026-07-25T02:04:35" isNormal="0">
            <s:text>
              <s:r>
                <s:t xml:space="preserve">1001804 7/24 240pcs</s:t>
              </s:r>
            </s:text>
          </item>
        </commentChain>
      </unresolved>
      <resolved/>
    </commentChains>
    <commentChains s:ref="AL1294" rgbClr="FF0000">
      <unresolved>
        <commentChain chainId="f4682847cd1fcefeaf04809aabc89534697d68a2">
          <item id="b70a12d1ec3ffebab5797497eafb589b1520a298" userID="1851561945" userName="石玉珍" dateTime="2026-07-15T12:10:53" isNormal="0">
            <s:text>
              <s:r>
                <s:t xml:space="preserve">7/15 通用进口商贴纸 240pcs</s:t>
              </s:r>
            </s:text>
          </item>
        </commentChain>
      </unresolved>
      <resolved/>
    </commentChains>
    <commentChains s:ref="AI1295" rgbClr="FF0000">
      <unresolved>
        <commentChain chainId="45a0a43d99a74335f80396a024e7fcfc995b7ada">
          <item id="e7ecf863a747c265af3e3008812912b4ffca9560" userID="1851561945" userName="石玉珍" dateTime="2026-07-25T02:12:39" isNormal="0">
            <s:text>
              <s:r>
                <s:t xml:space="preserve">1001811 7/24 600pcs</s:t>
              </s:r>
            </s:text>
          </item>
        </commentChain>
      </unresolved>
      <resolved/>
    </commentChains>
    <commentChains s:ref="AL1295" rgbClr="FF0000">
      <unresolved>
        <commentChain chainId="37da116b07b80fb15d7048c6e1544acc231be0ca">
          <item id="ae892e9561da9b5c6cd84363c77b31414f6e42dd" userID="1851561945" userName="石玉珍" dateTime="2026-06-25T11:49:55" isNormal="0">
            <s:text>
              <s:r>
                <s:t xml:space="preserve">6/25 客供ASN贴纸 50pcs</s:t>
              </s:r>
            </s:text>
          </item>
          <item id="9b725eed9d5fd6af4b88273d1cad912aebdb7633" userID="1851561945" userName="石玉珍" dateTime="2026-06-25T11:50:14" isNormal="0">
            <s:text>
              <s:r>
                <s:t xml:space="preserve">客供H条码贴纸 50pcs</s:t>
              </s:r>
            </s:text>
          </item>
          <item id="c58bdeebb0397a2985c02fbd08b6ee694b88b09d" userID="1851561945" userName="石玉珍" dateTime="2026-06-25T11:50:26" isNormal="0">
            <s:text>
              <s:r>
                <s:t xml:space="preserve">客供HU’S(条形码)贴纸 50pcs</s:t>
              </s:r>
            </s:text>
          </item>
          <item id="7c3a27f7f30d154824984a14f4cbfaf8d08115cb" userID="1851561945" userName="石玉珍" dateTime="2026-07-10T14:11:43" isNormal="0">
            <s:text>
              <s:r>
                <s:t xml:space="preserve">7/10 价格贴纸 600pcs</s:t>
              </s:r>
            </s:text>
          </item>
          <item id="c7cf1c281b7ee25b37c4c18ca1c7fb16a8edb963" userID="1851561945" userName="石玉珍" dateTime="2026-07-13T08:25:13" isNormal="0">
            <s:text>
              <s:r>
                <s:t xml:space="preserve">7/11 说明书贴纸 600pcs</s:t>
              </s:r>
            </s:text>
          </item>
          <item id="9532f28f2b81bc4a312af38ba4c786615ba7b938" userID="1851561945" userName="石玉珍" dateTime="2026-07-13T08:26:57" isNormal="0">
            <s:text>
              <s:r>
                <s:t xml:space="preserve">7/11 进口商贴纸 600pcs</s:t>
              </s:r>
            </s:text>
          </item>
        </commentChain>
      </unresolved>
      <resolved/>
    </commentChains>
    <commentChains s:ref="AI1296" rgbClr="FF0000">
      <unresolved>
        <commentChain chainId="c0171ad283668863e436b5c460c6df21e6089917">
          <item id="253d6a5bd3727272bad68d61174da5957722e442" userID="1851561945" userName="石玉珍" dateTime="2026-07-27T01:13:10" isNormal="0">
            <s:text>
              <s:r>
                <s:t xml:space="preserve">2801358 7/25 204pcs</s:t>
              </s:r>
            </s:text>
          </item>
        </commentChain>
      </unresolved>
      <resolved/>
    </commentChains>
    <commentChains s:ref="AI1299" rgbClr="FF0000">
      <unresolved>
        <commentChain chainId="0293351b305c02aecc5d3db0d9ad31f053e5a0ed">
          <item id="cb22b8693c6e4ec20934910c2849073d63339b5e" userID="1851561945" userName="石玉珍" dateTime="2026-07-23T12:58:55" isNormal="0">
            <s:text>
              <s:r>
                <s:t xml:space="preserve">1001851 7/23 24pcs</s:t>
              </s:r>
            </s:text>
          </item>
        </commentChain>
      </unresolved>
      <resolved/>
    </commentChains>
    <commentChains s:ref="AL1299" rgbClr="FF0000">
      <unresolved>
        <commentChain chainId="fbead510c0202c34e76bc9c9d5800638746dc68c">
          <item id="324abc814412437c42934e10ad473ba2b070760c" userID="1851561945" userName="石玉珍" dateTime="2026-07-08T11:37:08" isNormal="0">
            <s:text>
              <s:r>
                <s:t xml:space="preserve">7/8 UPC贴纸 24pcs</s:t>
              </s:r>
            </s:text>
          </item>
          <item id="f58d10592b94535cf6101e2191b251b7b7854ac0" userID="1851561945" userName="石玉珍" dateTime="2026-07-23T02:45:58" isNormal="0">
            <s:text>
              <s:r>
                <s:t xml:space="preserve">7/10 客供亚马逊外箱贴纸 2pcs
</s:t>
              </s:r>
            </s:text>
          </item>
        </commentChain>
      </unresolved>
      <resolved/>
    </commentChains>
    <commentChains s:ref="AI1300" rgbClr="FF0000">
      <unresolved>
        <commentChain chainId="7899b526aae6d662da59f08920565590a8067bdc">
          <item id="a895891dc6ccd80c79f9d3043b7fde97a821410b" userID="1851561945" userName="石玉珍" dateTime="2026-07-23T12:58:58" isNormal="0">
            <s:text>
              <s:r>
                <s:t xml:space="preserve">1001851 7/23 24pcs</s:t>
              </s:r>
            </s:text>
          </item>
        </commentChain>
      </unresolved>
      <resolved/>
    </commentChains>
    <commentChains s:ref="AL1300" rgbClr="FF0000">
      <unresolved>
        <commentChain chainId="dc7a9d8cb8d6df3308b003b3b2ab7065b880a69b">
          <item id="4541118f35e22be427df8d7ac3b54e0fe7f7b44f" userID="1851561945" userName="石玉珍" dateTime="2026-07-08T11:37:12" isNormal="0">
            <s:text>
              <s:r>
                <s:t xml:space="preserve">7/8 UPC贴纸 24pcs</s:t>
              </s:r>
            </s:text>
          </item>
          <item id="68a0300dc5c9241b02e23e0d674d202ed6a49328" userID="1851561945" userName="石玉珍" dateTime="2026-07-23T02:46:02" isNormal="0">
            <s:text>
              <s:r>
                <s:t xml:space="preserve">7/10 客供亚马逊外箱贴纸 2pcs</s:t>
              </s:r>
            </s:text>
          </item>
        </commentChain>
      </unresolved>
      <resolved/>
    </commentChains>
    <commentChains s:ref="AI1301" rgbClr="FF0000">
      <unresolved>
        <commentChain chainId="c4dd5267d57a1550e4a385413f228522b13b262a">
          <item id="c706d3e24d7517d9b8216a0ab17a8e9d8eb997cf" userID="1851561945" userName="石玉珍" dateTime="2026-07-23T12:59:01" isNormal="0">
            <s:text>
              <s:r>
                <s:t xml:space="preserve">1001851 7/23 24pcs</s:t>
              </s:r>
            </s:text>
          </item>
        </commentChain>
      </unresolved>
      <resolved/>
    </commentChains>
    <commentChains s:ref="AL1301" rgbClr="FF0000">
      <unresolved>
        <commentChain chainId="f104e2997bad34a52eb06a7f37e30aa0cbab5221">
          <item id="268fa17c90ededeb3c7376777aca30a04a1e5ef1" userID="1851561945" userName="石玉珍" dateTime="2026-07-08T11:37:14" isNormal="0">
            <s:text>
              <s:r>
                <s:t xml:space="preserve">7/8 UPC贴纸 24pcs</s:t>
              </s:r>
            </s:text>
          </item>
          <item id="035210bcba1ee3f6bb8f312b25bb0b0f58054017" userID="1851561945" userName="石玉珍" dateTime="2026-07-23T02:46:05" isNormal="0">
            <s:text>
              <s:r>
                <s:t xml:space="preserve">7/10 客供亚马逊外箱贴纸 2pcs</s:t>
              </s:r>
            </s:text>
          </item>
        </commentChain>
      </unresolved>
      <resolved/>
    </commentChains>
    <commentChains s:ref="AI1302" rgbClr="FF0000">
      <unresolved>
        <commentChain chainId="ec687979befb57e4b64ba555f695782a64b72ebd">
          <item id="c1a2e51564270e994297b870e36b1df7337cde9e" userID="1851561945" userName="石玉珍" dateTime="2026-07-23T12:59:04" isNormal="0">
            <s:text>
              <s:r>
                <s:t xml:space="preserve">1001851 7/23 24pcs</s:t>
              </s:r>
            </s:text>
          </item>
        </commentChain>
      </unresolved>
      <resolved/>
    </commentChains>
    <commentChains s:ref="AL1302" rgbClr="FF0000">
      <unresolved>
        <commentChain chainId="707334ee2940d3ad7de14307c625e94b4d1ad037">
          <item id="06f8f2493cffbf22827dc671a6b53744bf7a3941" userID="1851561945" userName="石玉珍" dateTime="2026-07-08T11:37:17" isNormal="0">
            <s:text>
              <s:r>
                <s:t xml:space="preserve">7/8 UPC贴纸 24pcs</s:t>
              </s:r>
            </s:text>
          </item>
          <item id="5fea85238dc4b8d08057e0cd5ab99d40b606acc1" userID="1851561945" userName="石玉珍" dateTime="2026-07-23T02:46:08" isNormal="0">
            <s:text>
              <s:r>
                <s:t xml:space="preserve">7/10 客供亚马逊外箱贴纸 2pcs</s:t>
              </s:r>
            </s:text>
          </item>
        </commentChain>
      </unresolved>
      <resolved/>
    </commentChains>
    <commentChains s:ref="AI1303" rgbClr="FF0000">
      <unresolved>
        <commentChain chainId="07c30abdac628bc710d9f0673ff7bc6e6554db96">
          <item id="ce0ed1dbe0781f9c70f4de908db10ae8682c6c51" userID="1851561945" userName="石玉珍" dateTime="2026-07-23T12:59:17" isNormal="0">
            <s:text>
              <s:r>
                <s:t xml:space="preserve">1001851 7/23 36pcs</s:t>
              </s:r>
            </s:text>
          </item>
        </commentChain>
      </unresolved>
      <resolved/>
    </commentChains>
    <commentChains s:ref="AL1303" rgbClr="FF0000">
      <unresolved>
        <commentChain chainId="8b4b23aec10cd8279a9e4d10315a12ea7e9fe2cc">
          <item id="6ff18c6d0dc84ddfdbe9c9f19555dd323c7d5ebd" userID="1851561945" userName="石玉珍" dateTime="2026-07-08T11:37:22" isNormal="0">
            <s:text>
              <s:r>
                <s:t xml:space="preserve">7/8 UPC贴纸 36pcs</s:t>
              </s:r>
            </s:text>
          </item>
          <item id="13fe7e3ead40da01e71579c7902a540b03417c35" userID="1851561945" userName="石玉珍" dateTime="2026-07-23T02:46:13" isNormal="0">
            <s:text>
              <s:r>
                <s:t xml:space="preserve">7/10 客供亚马逊外箱贴纸 3pcs</s:t>
              </s:r>
            </s:text>
          </item>
        </commentChain>
      </unresolved>
      <resolved/>
    </commentChains>
    <commentChains s:ref="AI1304" rgbClr="FF0000">
      <unresolved>
        <commentChain chainId="1bd8dc4f137243fb3f772023bb65718fafedd6ce">
          <item id="e69f4531a0ccb836b594bf85add39603e44fb53b" userID="1851561945" userName="石玉珍" dateTime="2026-07-23T12:59:22" isNormal="0">
            <s:text>
              <s:r>
                <s:t xml:space="preserve">1001851 7/23 48pcs</s:t>
              </s:r>
            </s:text>
          </item>
        </commentChain>
      </unresolved>
      <resolved/>
    </commentChains>
    <commentChains s:ref="AL1304" rgbClr="FF0000">
      <unresolved>
        <commentChain chainId="0532f4af40b2f49b2b8bcf23f534b3d1e0622556">
          <item id="a7eec540c72e970a2f68fce2d3574c6235b01a66" userID="1851561945" userName="石玉珍" dateTime="2026-07-08T11:37:27" isNormal="0">
            <s:text>
              <s:r>
                <s:t xml:space="preserve">7/8 UPC贴纸 48pcs</s:t>
              </s:r>
            </s:text>
          </item>
          <item id="ec1cac96698b0fea7c88064fc28d3ee1efab99ea" userID="1851561945" userName="石玉珍" dateTime="2026-07-23T02:46:17" isNormal="0">
            <s:text>
              <s:r>
                <s:t xml:space="preserve">7/10 客供亚马逊外箱贴纸 4pcs</s:t>
              </s:r>
            </s:text>
          </item>
        </commentChain>
      </unresolved>
      <resolved/>
    </commentChains>
    <commentChains s:ref="AI1305" rgbClr="FF0000">
      <unresolved>
        <commentChain chainId="ecfcca106ba91980977016a740022ffc7a182724">
          <item id="ada8ac2df86ad64d5739f726e738b03b77a07ec3" userID="1851561945" userName="石玉珍" dateTime="2026-07-23T12:59:08" isNormal="0">
            <s:text>
              <s:r>
                <s:t xml:space="preserve">1001851 7/23 24pcs</s:t>
              </s:r>
            </s:text>
          </item>
        </commentChain>
      </unresolved>
      <resolved/>
    </commentChains>
    <commentChains s:ref="AL1305" rgbClr="FF0000">
      <unresolved>
        <commentChain chainId="cafc794c16ef88572ee8a19bcfb7f11a2c6602b3">
          <item id="dcb187dd5c4321fbfde5d129a73a01ed2b44aac3" userID="1851561945" userName="石玉珍" dateTime="2026-07-08T11:37:29" isNormal="0">
            <s:text>
              <s:r>
                <s:t xml:space="preserve">7/8 UPC贴纸 24pcs</s:t>
              </s:r>
            </s:text>
          </item>
          <item id="3929c244355cb5c58a182f47eda0c849d66c7885" userID="1851561945" userName="石玉珍" dateTime="2026-07-23T02:46:21" isNormal="0">
            <s:text>
              <s:r>
                <s:t xml:space="preserve">7/10 客供亚马逊外箱贴纸 2pcs</s:t>
              </s:r>
            </s:text>
          </item>
        </commentChain>
      </unresolved>
      <resolved/>
    </commentChains>
    <commentChains s:ref="AI1306" rgbClr="FF0000">
      <unresolved>
        <commentChain chainId="e74fee21e3ca919125b1a980825c50f2a1b850b3">
          <item id="4529b66593469daa7b2950f678b8d90fb8c356d7" userID="1851561945" userName="石玉珍" dateTime="2026-07-23T12:59:10" isNormal="0">
            <s:text>
              <s:r>
                <s:t xml:space="preserve">1001851 7/23 24pcs</s:t>
              </s:r>
            </s:text>
          </item>
        </commentChain>
      </unresolved>
      <resolved/>
    </commentChains>
    <commentChains s:ref="AL1306" rgbClr="FF0000">
      <unresolved>
        <commentChain chainId="324d6d2a5b7819c8d508f33d5f138f9569d754da">
          <item id="fa8118571385ca54a2023b3f984178dc40af2658" userID="1851561945" userName="石玉珍" dateTime="2026-07-08T11:37:32" isNormal="0">
            <s:text>
              <s:r>
                <s:t xml:space="preserve">7/8 UPC贴纸 24pcs</s:t>
              </s:r>
            </s:text>
          </item>
          <item id="faecd8a2d06aa750a3a5165f6e4f186bb2a44ac7" userID="1851561945" userName="石玉珍" dateTime="2026-07-23T02:46:23" isNormal="0">
            <s:text>
              <s:r>
                <s:t xml:space="preserve">7/10 客供亚马逊外箱贴纸 2pcs</s:t>
              </s:r>
            </s:text>
          </item>
        </commentChain>
      </unresolved>
      <resolved/>
    </commentChains>
    <commentChains s:ref="AI1307" rgbClr="FF0000">
      <unresolved>
        <commentChain chainId="2c2b2a9ad098d42923a31d41724de1a99cc7a120">
          <item id="cc754505428efd0a5139aab5bf7de6df81c04010" userID="1851561945" userName="石玉珍" dateTime="2026-07-23T12:59:13" isNormal="0">
            <s:text>
              <s:r>
                <s:t xml:space="preserve">1001851 7/23 24pcs</s:t>
              </s:r>
            </s:text>
          </item>
        </commentChain>
      </unresolved>
      <resolved/>
    </commentChains>
    <commentChains s:ref="AL1307" rgbClr="FF0000">
      <unresolved>
        <commentChain chainId="0d4dd9e0ec9d41cffffc0b4d8f9cbcf64a931053">
          <item id="a6a8d3b5c944814b4e3609c530e09c2274c2007e" userID="1851561945" userName="石玉珍" dateTime="2026-07-08T11:37:35" isNormal="0">
            <s:text>
              <s:r>
                <s:t xml:space="preserve">7/8 UPC贴纸 24pcs</s:t>
              </s:r>
            </s:text>
          </item>
          <item id="f4a7652484180488ba99e444fe960ecdb7713feb" userID="1851561945" userName="石玉珍" dateTime="2026-07-23T02:46:26" isNormal="0">
            <s:text>
              <s:r>
                <s:t xml:space="preserve">7/10 客供亚马逊外箱贴纸 2pcs</s:t>
              </s:r>
            </s:text>
          </item>
        </commentChain>
      </unresolved>
      <resolved/>
    </commentChains>
    <commentChains s:ref="AI1308" rgbClr="FF0000">
      <unresolved>
        <commentChain chainId="214ed18f791f5179ac1a47d47058aba03519b102">
          <item id="0b1f30a698d75e16d9e3ae2950c8c289d5dedb81" userID="1851561945" userName="石玉珍" dateTime="2026-07-23T12:57:00" isNormal="0">
            <s:text>
              <s:r>
                <s:t xml:space="preserve">1001851 7/23 36pcs</s:t>
              </s:r>
            </s:text>
          </item>
        </commentChain>
      </unresolved>
      <resolved/>
    </commentChains>
    <commentChains s:ref="AL1308" rgbClr="FF0000">
      <unresolved>
        <commentChain chainId="1b96a00e8f4bc4e9082d60b8f9d4fe11b0caa11f">
          <item id="13c6a255da4e9bd8110af246da771b41c2dc5665" userID="1851561945" userName="石玉珍" dateTime="2026-07-08T11:38:55" isNormal="0">
            <s:text>
              <s:r>
                <s:t xml:space="preserve">7/8 UPC贴纸 36pcs</s:t>
              </s:r>
            </s:text>
          </item>
        </commentChain>
      </unresolved>
      <resolved/>
    </commentChains>
    <commentChains s:ref="AI1309" rgbClr="FF0000">
      <unresolved>
        <commentChain chainId="9d9e7ff4197913d477ff65ab01268f1231622a64">
          <item id="72aa72ea735cc0863dfacb5b3c89bf36a06b1372" userID="1851561945" userName="石玉珍" dateTime="2026-07-23T12:57:40" isNormal="0">
            <s:text>
              <s:r>
                <s:t xml:space="preserve">1001851 7/23 36pcs</s:t>
              </s:r>
            </s:text>
          </item>
        </commentChain>
      </unresolved>
      <resolved/>
    </commentChains>
    <commentChains s:ref="AL1309" rgbClr="FF0000">
      <unresolved>
        <commentChain chainId="86b7226ef6e1e5601dc6ba17b4e8c0e4dfcbbfba">
          <item id="0b3358314fdda83ad8f2b551724ccd3d6e4b2ed1" userID="1851561945" userName="石玉珍" dateTime="2026-07-08T11:39:12" isNormal="0">
            <s:text>
              <s:r>
                <s:t xml:space="preserve">7/8 UPC贴纸 36pcs</s:t>
              </s:r>
            </s:text>
          </item>
        </commentChain>
      </unresolved>
      <resolved/>
    </commentChains>
    <commentChains s:ref="AI1310" rgbClr="FF0000">
      <unresolved>
        <commentChain chainId="74c1e74a34de780983572b995d5fb76e2441fc72">
          <item id="8aa147ec31dc5550dff4ab9e3ef868b1acb32d04" userID="1851561945" userName="石玉珍" dateTime="2026-07-23T12:57:44" isNormal="0">
            <s:text>
              <s:r>
                <s:t xml:space="preserve">1001851 7/23 36pcs</s:t>
              </s:r>
            </s:text>
          </item>
        </commentChain>
      </unresolved>
      <resolved/>
    </commentChains>
    <commentChains s:ref="AL1310" rgbClr="FF0000">
      <unresolved>
        <commentChain chainId="d368252372a9227456f0062ff9ee1f6a9c6d6187">
          <item id="b7f2ea37e52eb2e8f82491ce1cae6e269855e0f0" userID="1851561945" userName="石玉珍" dateTime="2026-07-08T11:39:16" isNormal="0">
            <s:text>
              <s:r>
                <s:t xml:space="preserve">7/8 UPC贴纸 36pcs</s:t>
              </s:r>
            </s:text>
          </item>
        </commentChain>
      </unresolved>
      <resolved/>
    </commentChains>
    <commentChains s:ref="AI1311" rgbClr="FF0000">
      <unresolved>
        <commentChain chainId="a3ffe6571359b42fb7aad508bf060f56db05d8f6">
          <item id="37267dc7c9fb2e194437ced071042188ef4c91b1" userID="1851561945" userName="石玉珍" dateTime="2026-07-23T12:57:52" isNormal="0">
            <s:text>
              <s:r>
                <s:t xml:space="preserve">1001851 7/23 24pcs</s:t>
              </s:r>
            </s:text>
          </item>
        </commentChain>
      </unresolved>
      <resolved/>
    </commentChains>
    <commentChains s:ref="AL1311" rgbClr="FF0000">
      <unresolved>
        <commentChain chainId="1379c9935d0b4bacfc5e2b600b7e1570ed5993dc">
          <item id="5c2fa00d97ba3d735733e5ed50b17dfaf170a643" userID="1851561945" userName="石玉珍" dateTime="2026-07-08T11:39:21" isNormal="0">
            <s:text>
              <s:r>
                <s:t xml:space="preserve">7/8 UPC贴纸 24pcs</s:t>
              </s:r>
            </s:text>
          </item>
        </commentChain>
      </unresolved>
      <resolved/>
    </commentChains>
    <commentChains s:ref="AI1312" rgbClr="FF0000">
      <unresolved>
        <commentChain chainId="059cda9bcfa226acbe87c9c455a5013a11ca2b4c">
          <item id="75ef69975813293bc55e3e54ebc3a8ee7a44051f" userID="1851561945" userName="石玉珍" dateTime="2026-07-28T00:32:13" isNormal="0">
            <s:text>
              <s:r>
                <s:t xml:space="preserve">1001716 7/27 1200PCS</s:t>
              </s:r>
            </s:text>
          </item>
        </commentChain>
      </unresolved>
      <resolved/>
    </commentChains>
    <commentChains s:ref="AL1312" rgbClr="FF0000">
      <unresolved>
        <commentChain chainId="24b8ad7a93e2fda53c25f678349df271e9693a29">
          <item id="eaeacabf68f4b4d8803d59568aa56857e67e751b" userID="1851561945" userName="石玉珍" dateTime="2026-07-15T11:14:43" isNormal="0">
            <s:text>
              <s:r>
                <s:t xml:space="preserve">7/15 UPC贴纸 1200pcs</s:t>
              </s:r>
            </s:text>
          </item>
          <item id="407ac8f83ebb0924ed591793b3bd9ba0812cca92" userID="1851561945" userName="石玉珍" dateTime="2026-07-16T11:19:42" isNormal="0">
            <s:text>
              <s:r>
                <s:t xml:space="preserve">7/16 进口商贴纸 1200pcs</s:t>
              </s:r>
            </s:text>
          </item>
        </commentChain>
      </unresolved>
      <resolved/>
    </commentChains>
    <commentChains s:ref="AI1313" rgbClr="FF0000">
      <unresolved>
        <commentChain chainId="4a55096c1fc407e9bfe54570a3b187f6ca740bbe">
          <item id="a45e032e4ce82d03e003fcf315f17dcafac6ce9f" userID="1851561945" userName="石玉珍" dateTime="2026-07-27T13:09:46" isNormal="0">
            <s:text>
              <s:r>
                <s:t xml:space="preserve">1001716 7/27 1000pcs</s:t>
              </s:r>
            </s:text>
          </item>
        </commentChain>
      </unresolved>
      <resolved/>
    </commentChains>
    <commentChains s:ref="AL1313" rgbClr="FF0000">
      <unresolved>
        <commentChain chainId="ba395d4c6c3a5d50cf31e4f46620c538425807d1">
          <item id="f00e2adc21bba65221b22fdf24afe45ef4b59672" userID="1851561945" userName="石玉珍" dateTime="2026-07-15T05:38:57" isNormal="0">
            <s:text>
              <s:r>
                <s:t xml:space="preserve">7/13 大语警告语贴 1000pcs
小语警告语贴 3000pcs
丹麦瑞典芬兰挪威警告语贴纸 1000pcs</s:t>
              </s:r>
            </s:text>
          </item>
        </commentChain>
      </unresolved>
      <resolved/>
    </commentChains>
    <commentChains s:ref="AI1314" rgbClr="FF0000">
      <unresolved>
        <commentChain chainId="29ca664d4fe08072c5c24b9fe1b777cd06d6fd62">
          <item id="10533f4b73214cadc0d362c1126815b1f5fbcada" userID="1851561945" userName="石玉珍" dateTime="2026-07-28T00:31:42" isNormal="0">
            <s:text>
              <s:r>
                <s:t xml:space="preserve">1001716 7/27 2000PCS</s:t>
              </s:r>
            </s:text>
          </item>
        </commentChain>
      </unresolved>
      <resolved/>
    </commentChains>
    <commentChains s:ref="AL1314" rgbClr="FF0000">
      <unresolved>
        <commentChain chainId="0604e5158a0312e83cb132655a71b1f6b07c2136">
          <item id="d8ec4dcb62078379fc31bab848b83c1a8124e0b4" userID="1851561945" userName="石玉珍" dateTime="2026-07-18T11:42:05" isNormal="0">
            <s:text>
              <s:r>
                <s:t xml:space="preserve">7/18 LOGO 2000pcs</s:t>
              </s:r>
            </s:text>
          </item>
          <item id="be86a10686c014d23071d88a93fa7edade47ce57" userID="1851561945" userName="石玉珍" dateTime="2026-07-18T11:48:17" isNormal="0">
            <s:text>
              <s:r>
                <s:t xml:space="preserve">7/18 地址贴纸 2000pcs</s:t>
              </s:r>
            </s:text>
          </item>
        </commentChain>
      </unresolved>
      <resolved/>
    </commentChains>
    <commentChains s:ref="AI1315" rgbClr="FF0000">
      <unresolved>
        <commentChain chainId="54e96ce6580602181366ed92e1fefdf35a8d6f04">
          <item id="959bf96691f97b4b56daddcbdef65ca9f366066a" userID="1851561945" userName="石玉珍" dateTime="2026-08-01T08:00:20" isNormal="0">
            <s:text>
              <s:r>
                <s:t xml:space="preserve">1001716 7/27 480pcs</s:t>
              </s:r>
            </s:text>
          </item>
        </commentChain>
      </unresolved>
      <resolved/>
    </commentChains>
    <commentChains s:ref="AL1315" rgbClr="FF0000">
      <unresolved>
        <commentChain chainId="23f1b90f133936de26952b9221bb45ad4291dc2f">
          <item id="f38f34055e512610093504d1b9bad006e965d60b" userID="1851561945" userName="石玉珍" dateTime="2026-07-15T05:46:24" isNormal="0">
            <s:text>
              <s:r>
                <s:t xml:space="preserve">7/13 大电池警告语贴纸 960pcs
小电池警告语贴纸 480pcs</s:t>
              </s:r>
            </s:text>
          </item>
        </commentChain>
      </unresolved>
      <resolved/>
    </commentChains>
    <commentChains s:ref="AI1316" rgbClr="FF0000">
      <unresolved>
        <commentChain chainId="c614243ff6739183dfc40daef4dd733f0197c924">
          <item id="51229b2f0a1c7fc545314b372cdf66e5e1fb8b0d" userID="1851561945" userName="石玉珍" dateTime="2026-07-28T00:25:30" isNormal="0">
            <s:text>
              <s:r>
                <s:t xml:space="preserve">1001716 7/27 3040PCS</s:t>
              </s:r>
            </s:text>
          </item>
        </commentChain>
      </unresolved>
      <resolved/>
    </commentChains>
    <commentChains s:ref="AL1316" rgbClr="FF0000">
      <unresolved>
        <commentChain chainId="e82d26b1c12e12e92e965b07a6e121db633e2e2e">
          <item id="84e18f31f935aff826aa31316a7fa0c1ca2e1b21" userID="1851561945" userName="石玉珍" dateTime="2026-07-04T13:07:31" isNormal="0">
            <s:text>
              <s:r>
                <s:t xml:space="preserve">7/3  客供RFID贴纸  3040pcs</s:t>
              </s:r>
            </s:text>
          </item>
        </commentChain>
      </unresolved>
      <resolved/>
    </commentChains>
    <commentChains s:ref="AI1317" rgbClr="FF0000">
      <unresolved>
        <commentChain chainId="c408bdb8b48edd97db251aa63f945d841fa3b035">
          <item id="bde7d6c31d85caf10c6583faf5cadd76eac18d74" userID="1851561945" userName="石玉珍" dateTime="2026-07-28T00:27:17" isNormal="0">
            <s:text>
              <s:r>
                <s:t xml:space="preserve">1001716 7/27 1280PCS</s:t>
              </s:r>
            </s:text>
          </item>
        </commentChain>
      </unresolved>
      <resolved/>
    </commentChains>
    <commentChains s:ref="AL1317" rgbClr="FF0000">
      <unresolved>
        <commentChain chainId="bf1f8dcf84711edc6689fbfcf4b499e9fd27fe07">
          <item id="a8a9dbff620b49aba26044ddae6cae8bda906426" userID="1851561945" userName="石玉珍" dateTime="2026-07-04T13:07:39" isNormal="0">
            <s:text>
              <s:r>
                <s:t xml:space="preserve">7/3  客供RFID贴纸  1280pcs</s:t>
              </s:r>
            </s:text>
          </item>
        </commentChain>
      </unresolved>
      <resolved/>
    </commentChains>
    <commentChains s:ref="AI1318" rgbClr="FF0000">
      <unresolved>
        <commentChain chainId="9f34b784ec69d6704dcd1e383b1ac8cf4e81a8f2">
          <item id="9324618e5bd1d6ea650d84c9a52c5fa60c49d99a" userID="1851561945" userName="石玉珍" dateTime="2026-07-27T02:06:59" isNormal="0">
            <s:text>
              <s:r>
                <s:t xml:space="preserve">1001828 7/26 1760pcs</s:t>
              </s:r>
            </s:text>
          </item>
        </commentChain>
      </unresolved>
      <resolved/>
    </commentChains>
    <commentChains s:ref="AL1318" rgbClr="FF0000">
      <unresolved>
        <commentChain chainId="d20d6ed82c34844f93fbbe3a2dda256cc067891d">
          <item id="2134995d3b34a42acd9beefc8570552252aebd59" userID="1851561945" userName="石玉珍" dateTime="2026-07-04T13:07:45" isNormal="0">
            <s:text>
              <s:r>
                <s:t xml:space="preserve">7/3  客供RFID贴纸  1760pcs</s:t>
              </s:r>
            </s:text>
          </item>
        </commentChain>
      </unresolved>
      <resolved/>
    </commentChains>
    <commentChains s:ref="AI1319" rgbClr="FF0000">
      <unresolved>
        <commentChain chainId="d58df07fb65f5d07a049eb23b80ea6fa40a6b660">
          <item id="439e71f7af5a0deeac4ee7db708907374666f791" userID="1851561945" userName="石玉珍" dateTime="2026-07-28T00:31:10" isNormal="0">
            <s:text>
              <s:r>
                <s:t xml:space="preserve">1001716 7/27 2880PCS</s:t>
              </s:r>
            </s:text>
          </item>
        </commentChain>
      </unresolved>
      <resolved/>
    </commentChains>
    <commentChains s:ref="AL1319" rgbClr="FF0000">
      <unresolved>
        <commentChain chainId="29b3356c6bb024b45fc0b7258d591109eb0a699c">
          <item id="d5f6a44625e7211bcacf0b3b132a8c74e5e93016" userID="1851561945" userName="石玉珍" dateTime="2026-07-04T13:07:53" isNormal="0">
            <s:text>
              <s:r>
                <s:t xml:space="preserve">7/3  客供RFID贴纸  2880pcs</s:t>
              </s:r>
            </s:text>
          </item>
        </commentChain>
      </unresolved>
      <resolved/>
    </commentChains>
    <commentChains s:ref="AI1320" rgbClr="FF0000">
      <unresolved>
        <commentChain chainId="b1e0198368c2f66317a63dec646121b7747dc7dc">
          <item id="6e679b4e325fb4e996bd02cbbd7498402fb9815b" userID="1851561945" userName="石玉珍" dateTime="2026-07-27T02:07:05" isNormal="0">
            <s:text>
              <s:r>
                <s:t xml:space="preserve">1001828 7/265 1920pcs</s:t>
              </s:r>
            </s:text>
          </item>
        </commentChain>
      </unresolved>
      <resolved/>
    </commentChains>
    <commentChains s:ref="AL1320" rgbClr="FF0000">
      <unresolved>
        <commentChain chainId="70fb246cee94a2ed493e0c655a6df8b8c42e6fca">
          <item id="d035f0220853dd9c1a295264d12f4c59f63f478d" userID="1851561945" userName="石玉珍" dateTime="2026-07-04T13:08:03" isNormal="0">
            <s:text>
              <s:r>
                <s:t xml:space="preserve">7/3  客供RFID贴纸  1920pcs</s:t>
              </s:r>
            </s:text>
          </item>
        </commentChain>
      </unresolved>
      <resolved/>
    </commentChains>
    <commentChains s:ref="AI1321" rgbClr="FF0000">
      <unresolved>
        <commentChain chainId="f334f7cdfe01d748df4810b489ea429952641729">
          <item id="2e8c9a524ebf88ecc4abeab9cf2dc075ee400201" userID="1851561945" userName="石玉珍" dateTime="2026-07-28T00:35:19" isNormal="0">
            <s:text>
              <s:r>
                <s:t xml:space="preserve">1001696 7/27 1760pcs</s:t>
              </s:r>
            </s:text>
          </item>
        </commentChain>
      </unresolved>
      <resolved/>
    </commentChains>
    <commentChains s:ref="AL1321" rgbClr="FF0000">
      <unresolved>
        <commentChain chainId="f781cfe32437e959e9b2c7017b9fdd5517fe8bfe">
          <item id="0779db31b4305b202c2f3b48b0eee32d4b949dd8" userID="1851561945" userName="石玉珍" dateTime="2026-07-04T13:08:11" isNormal="0">
            <s:text>
              <s:r>
                <s:t xml:space="preserve">7/3  客供RFID贴纸  1760pcs</s:t>
              </s:r>
            </s:text>
          </item>
        </commentChain>
      </unresolved>
      <resolved/>
    </commentChains>
    <commentChains s:ref="AI1322" rgbClr="FF0000">
      <unresolved>
        <commentChain chainId="3fe99781bd0a2343ce8ce66453bbecdf40c35a9f">
          <item id="18c22f2bb03a8c418910fb642750d17a92b497a1" userID="1851561945" userName="石玉珍" dateTime="2026-07-27T02:07:11" isNormal="0">
            <s:text>
              <s:r>
                <s:t xml:space="preserve">1001828 7/265 3036pcs</s:t>
              </s:r>
            </s:text>
          </item>
          <item id="b2c84cb55004045163586506e9b314b5dfc017b6" userID="1851561945" userName="石玉珍" dateTime="2026-07-27T13:10:22" isNormal="0">
            <s:text>
              <s:r>
                <s:t xml:space="preserve">1001716 7/27 4pcs</s:t>
              </s:r>
            </s:text>
          </item>
        </commentChain>
      </unresolved>
      <resolved/>
    </commentChains>
    <commentChains s:ref="AL1322" rgbClr="FF0000">
      <unresolved>
        <commentChain chainId="0bea950e7134365684f78b244924796ce5b936c6">
          <item id="886341e750be77f4c916a639ea0e19e4d6ad2c13" userID="1851561945" userName="石玉珍" dateTime="2026-07-04T13:08:15" isNormal="0">
            <s:text>
              <s:r>
                <s:t xml:space="preserve">7/3  客供RFID贴纸  3040pcs</s:t>
              </s:r>
            </s:text>
          </item>
        </commentChain>
      </unresolved>
      <resolved/>
    </commentChains>
    <commentChains s:ref="AI1323" rgbClr="FF0000">
      <unresolved>
        <commentChain chainId="389357ee0fe23e9438522b894946c37774a7c296">
          <item id="abe3d868beefc9f8376f1aca4782a9b1bbb6dad9" userID="1851561945" userName="石玉珍" dateTime="2026-07-28T00:30:42" isNormal="0">
            <s:text>
              <s:r>
                <s:t xml:space="preserve">1001716 7/27 2240PCS</s:t>
              </s:r>
            </s:text>
          </item>
        </commentChain>
      </unresolved>
      <resolved/>
    </commentChains>
    <commentChains s:ref="AL1323" rgbClr="FF0000">
      <unresolved>
        <commentChain chainId="e7a248710774203f81acaa18c8e198478b682d43">
          <item id="9f8875ceb91f3196766e14f3b458f014cf034889" userID="1851561945" userName="石玉珍" dateTime="2026-07-04T13:08:21" isNormal="0">
            <s:text>
              <s:r>
                <s:t xml:space="preserve">7/3  客供RFID贴纸  2240pcs</s:t>
              </s:r>
            </s:text>
          </item>
        </commentChain>
      </unresolved>
      <resolved/>
    </commentChains>
    <commentChains s:ref="AI1325" rgbClr="FF0000">
      <unresolved>
        <commentChain chainId="368b4425e49cda883111a3a7c1c4eb0a137879f7">
          <item id="aac1e52d4108ff8376aaac8a226e7c5e59b32424" userID="1851561945" userName="石玉珍" dateTime="2026-07-29T00:38:50" isNormal="0">
            <s:text>
              <s:r>
                <s:t xml:space="preserve">1001672 7/28 4200pcs</s:t>
              </s:r>
            </s:text>
          </item>
        </commentChain>
      </unresolved>
      <resolved/>
    </commentChains>
    <commentChains s:ref="AL1325" rgbClr="FF0000">
      <unresolved>
        <commentChain chainId="84a60efb8464c7d11d5946dfb5d4cbb27e0af2c7">
          <item id="33b8686aa8b1f9e23dab64f248eadffa9b6fd69d" userID="1851561945" userName="石玉珍" dateTime="2026-07-13T05:48:06" isNormal="0">
            <s:text>
              <s:r>
                <s:t xml:space="preserve">7/10 Kmart外箱贴纸 350pcs</s:t>
              </s:r>
            </s:text>
          </item>
          <item id="2ebdf250989bff4fdd2d6cd340826e0992e2eed1" userID="1851561945" userName="石玉珍" dateTime="2026-07-13T11:10:22" isNormal="0">
            <s:text>
              <s:r>
                <s:t xml:space="preserve">7/13 说明书+收缩膜纽扣电池警告 9240pcs
缩膜纽扣电池警告语贴纸</s:t>
              </s:r>
            </s:text>
          </item>
          <item id="7f313fd4f01c08613952102e34befcfe67101ef1" userID="1851561945" userName="石玉珍" dateTime="2026-07-15T12:17:55" isNormal="0">
            <s:text>
              <s:r>
                <s:t xml:space="preserve">7/15 白色防盗贴纸 4200pcs</s:t>
              </s:r>
            </s:text>
          </item>
        </commentChain>
      </unresolved>
      <resolved/>
    </commentChains>
    <commentChains s:ref="AI1326" rgbClr="FF0000">
      <unresolved>
        <commentChain chainId="a1f76d5aca2f36a53fc562519c88ff2481c43c4e">
          <item id="f598dfd581665ab10599f45256e7fdbcae4a7984" userID="1851561945" userName="石玉珍" dateTime="2026-07-30T01:42:51" isNormal="0">
            <s:text>
              <s:r>
                <s:t xml:space="preserve">1001648 7/29 420pcs</s:t>
              </s:r>
            </s:text>
          </item>
        </commentChain>
      </unresolved>
      <resolved/>
    </commentChains>
    <commentChains s:ref="AL1326" rgbClr="FF0000">
      <unresolved>
        <commentChain chainId="487124a49245bd190cd7106b46348ba636250468">
          <item id="73638a5aaf3306cafe41f2352a2a6a29d4a42a8a" userID="1851561945" userName="石玉珍" dateTime="2026-07-13T05:46:20" isNormal="0">
            <s:text>
              <s:r>
                <s:t xml:space="preserve">7/10 Kmart外箱贴纸 35pcs</s:t>
              </s:r>
            </s:text>
          </item>
          <item id="ba5ddf77e4476509c5f66cbc91fe6b800f80af4b" userID="1851561945" userName="石玉珍" dateTime="2026-07-15T12:19:53" isNormal="0">
            <s:text>
              <s:r>
                <s:t xml:space="preserve">7/15 白色防盗贴纸 420pcs</s:t>
              </s:r>
            </s:text>
          </item>
          <item id="803c0ef5b1326bb70b71a6b5cf0e6fd3605c5391" userID="1851561945" userName="石玉珍" dateTime="2026-07-25T02:28:36" isNormal="0">
            <s:text>
              <s:r>
                <s:t xml:space="preserve">7/10 说明书+收缩膜纽扣电池警告语贴纸  9240pcs
缩膜纽扣电池警告语贴纸 4620pcs</s:t>
              </s:r>
            </s:text>
          </item>
        </commentChain>
      </unresolved>
      <resolved/>
    </commentChains>
    <commentChains s:ref="AI1328" rgbClr="FF0000">
      <unresolved>
        <commentChain chainId="43feeb3f9f79020b20e3b56c355d5445fc5b32c7">
          <item id="c25c3833f666b8a7eb9bf665ff6028d36d5c728e" userID="1851561945" userName="石玉珍" dateTime="2026-07-28T00:51:37" isNormal="0">
            <s:text>
              <s:r>
                <s:t xml:space="preserve">1001701 7/27 600pcs</s:t>
              </s:r>
            </s:text>
          </item>
        </commentChain>
      </unresolved>
      <resolved/>
    </commentChains>
    <commentChains s:ref="AL1328" rgbClr="FF0000">
      <unresolved>
        <commentChain chainId="cadbaa3b9ee1b1fab32ff50236b7625fe69113a9">
          <item id="54a20071b4aa0619ffded28f7d93b31b0e2cae98" userID="1851561945" userName="石玉珍" dateTime="2026-07-16T11:22:18" isNormal="0">
            <s:text>
              <s:r>
                <s:t xml:space="preserve">7/16 3C中文贴纸 600pcs</s:t>
              </s:r>
            </s:text>
          </item>
          <item id="98b27144510660dcb323e203ebf293d394714f5f" userID="1851561945" userName="石玉珍" dateTime="2026-07-18T11:51:19" isNormal="0">
            <s:text>
              <s:r>
                <s:t xml:space="preserve">7/18 客供防窜码贴纸1拖6 100pcs</s:t>
              </s:r>
            </s:text>
          </item>
        </commentChain>
      </unresolved>
      <resolved/>
    </commentChains>
    <commentChains s:ref="AI1329" rgbClr="FF0000">
      <unresolved>
        <commentChain chainId="d16a11bd9e01d07e03b780c4ba3f7070ed8989b4">
          <item id="bb5ae5d919c14003d661f5245b66c14ed3fd2028" userID="1851561945" userName="石玉珍" dateTime="2026-07-28T00:51:44" isNormal="0">
            <s:text>
              <s:r>
                <s:t xml:space="preserve">1001701 7/27 3900pcs</s:t>
              </s:r>
            </s:text>
          </item>
        </commentChain>
      </unresolved>
      <resolved/>
    </commentChains>
    <commentChains s:ref="AL1329" rgbClr="FF0000">
      <unresolved>
        <commentChain chainId="f29b2510600f3a718a8b6146421ad3335417a977">
          <item id="93de0517097b62f6394e3d2f49ba0ddb47377e19" userID="1851561945" userName="石玉珍" dateTime="2026-07-16T11:22:24" isNormal="0">
            <s:text>
              <s:r>
                <s:t xml:space="preserve">7/16 3C中文贴纸 3900pcs</s:t>
              </s:r>
            </s:text>
          </item>
          <item id="f406acf07f9851ef82b971d6a35a66200811dd08" userID="1851561945" userName="石玉珍" dateTime="2026-07-18T11:51:25" isNormal="0">
            <s:text>
              <s:r>
                <s:t xml:space="preserve">7/18 客供防窜码贴纸1拖6 650pcs</s:t>
              </s:r>
            </s:text>
          </item>
        </commentChain>
      </unresolved>
      <resolved/>
    </commentChains>
    <commentChains s:ref="AI1330" rgbClr="FF0000">
      <unresolved>
        <commentChain chainId="0d73ac91d3d6f44595f4544a5849a05dbf66329f">
          <item id="56de3e9d22da2cab4c6d44be0d03b81f131988ac" userID="1851561945" userName="石玉珍" dateTime="2026-07-28T11:44:02" isNormal="0">
            <s:text>
              <s:r>
                <s:t xml:space="preserve">1001681 7/28 1568pcs</s:t>
              </s:r>
            </s:text>
          </item>
          <item id="0ef65da40ad8e7d7b6d063e62b0313ad3f097764" userID="1851561945" userName="石玉珍" dateTime="2026-07-30T01:26:47" isNormal="0">
            <s:text>
              <s:r>
                <s:t xml:space="preserve">1001641 7/29 1736pcs</s:t>
              </s:r>
            </s:text>
          </item>
        </commentChain>
      </unresolved>
      <resolved/>
    </commentChains>
    <commentChains s:ref="AI1332" rgbClr="FF0000">
      <unresolved>
        <commentChain chainId="69b8c15f9987c8cdf68cc3526f53ae1caf957840">
          <item id="d10cd379b648cfba6be25b6e654eda0e064c1f29" userID="1851561945" userName="石玉珍" dateTime="2026-07-30T01:30:31" isNormal="0">
            <s:text>
              <s:r>
                <s:t xml:space="preserve">1001641 7/29 1500pcs</s:t>
              </s:r>
            </s:text>
          </item>
        </commentChain>
      </unresolved>
      <resolved/>
    </commentChains>
    <commentChains s:ref="AL1332" rgbClr="FF0000">
      <unresolved>
        <commentChain chainId="57f653c810d15758bee6a81020fe1190d504f210">
          <item id="5b523962211062329388d0b4bf2670da0d5b3a5c" userID="1851561945" userName="石玉珍" dateTime="2026-07-13T11:12:06" isNormal="0">
            <s:text>
              <s:r>
                <s:t xml:space="preserve">7/13 进口商贴纸 1500pcs</s:t>
              </s:r>
            </s:text>
          </item>
        </commentChain>
      </unresolved>
      <resolved/>
    </commentChains>
    <commentChains s:ref="AI1334" rgbClr="FF0000">
      <unresolved>
        <commentChain chainId="b373bda380f89169b503f79264712f5e9404786c">
          <item id="7b400272e5e358d03cf12ab8e756a03886c97965" userID="1851561945" userName="石玉珍" dateTime="2026-07-31T01:42:34" isNormal="0">
            <s:text>
              <s:r>
                <s:t xml:space="preserve">1001664 7/30 300pcs</s:t>
              </s:r>
            </s:text>
          </item>
        </commentChain>
      </unresolved>
      <resolved/>
    </commentChains>
    <commentChains s:ref="AL1334" rgbClr="FF0000">
      <unresolved>
        <commentChain chainId="b37e32efe33e67dc2cc2ed62d61547f487f054e7">
          <item id="39b943ad45b39e95090bca67cdd8a2aa12c94cc8" userID="1851561945" userName="石玉珍" dateTime="2026-07-18T11:40:46" isNormal="0">
            <s:text>
              <s:r>
                <s:t xml:space="preserve">7/18 进口商贴纸 300pcs</s:t>
              </s:r>
            </s:text>
          </item>
        </commentChain>
      </unresolved>
      <resolved/>
    </commentChains>
    <commentChains s:ref="AI1335" rgbClr="FF0000">
      <unresolved>
        <commentChain chainId="ac660f1772413b0774c474484bd3ed3169cf155a">
          <item id="5b1cad5c39efebe43f56d1f80caa18ababa2e4c4" userID="1851561945" userName="石玉珍" dateTime="2026-07-30T12:09:46" isNormal="0">
            <s:text>
              <s:r>
                <s:t xml:space="preserve">1001662 7/30 480pcs </s:t>
              </s:r>
            </s:text>
          </item>
        </commentChain>
      </unresolved>
      <resolved/>
    </commentChains>
    <commentChains s:ref="AL1335" rgbClr="FF0000">
      <unresolved>
        <commentChain chainId="7ce7f63f76268bcbcf7a51c79135cac118e5813d">
          <item id="32d2cf6d86fd9976021a13e4507ca38c445db106" userID="1851561945" userName="石玉珍" dateTime="2026-07-18T11:54:38" isNormal="0">
            <s:text>
              <s:r>
                <s:t xml:space="preserve">7/18 UPC贴纸 480pcs</s:t>
              </s:r>
            </s:text>
          </item>
        </commentChain>
      </unresolved>
      <resolved/>
    </commentChains>
    <commentChains s:ref="AI1336" rgbClr="FF0000">
      <unresolved>
        <commentChain chainId="b7af9752278481faa62114349e55975ab15c700b">
          <item id="fb6d6ed32a62e05f46712554454ea7490ce6ba0c" userID="1851561945" userName="石玉珍" dateTime="2026-07-30T12:09:18" isNormal="0">
            <s:text>
              <s:r>
                <s:t xml:space="preserve">1001662 7/30 600pcs</s:t>
              </s:r>
            </s:text>
          </item>
        </commentChain>
      </unresolved>
      <resolved/>
    </commentChains>
    <commentChains s:ref="AL1336" rgbClr="FF0000">
      <unresolved>
        <commentChain chainId="e5b6852d3b809bb4648c0b57fd4f625805d30cc0">
          <item id="51068bb78957a79a3273e351910a801c3d8d78e7" userID="1851561945" userName="石玉珍" dateTime="2026-07-22T08:02:09" isNormal="0">
            <s:text>
              <s:r>
                <s:t xml:space="preserve">7/21 警示语贴纸 600pcs</s:t>
              </s:r>
            </s:text>
          </item>
        </commentChain>
      </unresolved>
      <resolved/>
    </commentChains>
    <commentChains s:ref="AI1338" rgbClr="FF0000">
      <unresolved>
        <commentChain chainId="4632032b0d91a037d09606134aa0833702147ace">
          <item id="5a32442a7242d44df47ee5ec2e6878cfcad3c947" userID="1851561945" userName="石玉珍" dateTime="2026-08-01T01:42:17" isNormal="0">
            <s:text>
              <s:r>
                <s:t xml:space="preserve">1001618 7/31 640pcs</s:t>
              </s:r>
            </s:text>
          </item>
        </commentChain>
      </unresolved>
      <resolved/>
    </commentChains>
    <commentChains s:ref="AI1340" rgbClr="FF0000">
      <unresolved>
        <commentChain chainId="a2c195b05a9ee202b5476f04258305ec9fab476e">
          <item id="1b05c65e0f5209c4d1dc9884fdc359064fe9ba54" userID="1851561945" userName="石玉珍" dateTime="2026-08-03T00:46:57" isNormal="0">
            <s:text>
              <s:r>
                <s:t xml:space="preserve">1001609 8/1 4516pcs</s:t>
              </s:r>
            </s:text>
          </item>
        </commentChain>
      </unresolved>
      <resolved/>
    </commentChains>
    <commentChains s:ref="AL1340" rgbClr="FF0000">
      <unresolved>
        <commentChain chainId="c483577a50922db904e78ea4304422a7800b103d">
          <item id="837ad0ecb36a460d77672efad780f86b7cb53ce0" userID="1851561945" userName="石玉珍" dateTime="2026-07-17T13:16:43" isNormal="0">
            <s:text>
              <s:r>
                <s:t xml:space="preserve">7/17 UPC条码贴纸 4516pcs</s:t>
              </s:r>
            </s:text>
          </item>
        </commentChain>
      </unresolved>
      <resolved/>
    </commentChains>
    <commentChains s:ref="AI1341" rgbClr="FF0000">
      <unresolved>
        <commentChain chainId="d9fdae3226ed589de4d906b8194a7258ba56b39f">
          <item id="c3b89d8a45454b162a1d53b14a35a85a3b361e2b" userID="1851561945" userName="石玉珍" dateTime="2026-08-01T01:47:14" isNormal="0">
            <s:text>
              <s:r>
                <s:t xml:space="preserve">2800363 7/31 1440pcs</s:t>
              </s:r>
            </s:text>
          </item>
          <item id="dc7fdd73cf84ec505262edc666883a8456d7d130" userID="1851561945" userName="石玉珍" dateTime="2026-08-03T01:08:31" isNormal="0">
            <s:text>
              <s:r>
                <s:t xml:space="preserve">2800368 8/1 4544pcs</s:t>
              </s:r>
            </s:text>
          </item>
        </commentChain>
      </unresolved>
      <resolved/>
    </commentChains>
    <commentChains s:ref="AL1341" rgbClr="FF0000">
      <unresolved>
        <commentChain chainId="d5145afd097c85453be2a86913099a2b3ec0a4d5">
          <item id="096c1e7ab875fe09398856b1bdd5dc8674d4e375" userID="1851561945" userName="石玉珍" dateTime="2026-07-17T13:16:15" isNormal="0">
            <s:text>
              <s:r>
                <s:t xml:space="preserve">7/17 UPC条码贴纸 5984pcs</s:t>
              </s:r>
            </s:text>
          </item>
        </commentChain>
      </unresolved>
      <resolved/>
    </commentChains>
    <commentChains s:ref="AI1342" rgbClr="FF0000">
      <unresolved>
        <commentChain chainId="869ecd9cd6eae72fdc5865ce9d1974be695a5eb2">
          <item id="7b558e6173c89f01c0dda33dc80b8e1d1e89e5b9" userID="1851561945" userName="石玉珍" dateTime="2026-08-05T00:51:33" isNormal="0">
            <s:text>
              <s:r>
                <s:t xml:space="preserve">1001551 8/4 2004pcs</s:t>
              </s:r>
            </s:text>
          </item>
        </commentChain>
      </unresolved>
      <resolved/>
    </commentChains>
    <commentChains s:ref="AL1342" rgbClr="FF0000">
      <unresolved>
        <commentChain chainId="20e2ec806e317e1baabbc2b272c13f1c974d5e96">
          <item id="c041acb99dcf6c78673b1fb157a85cea09cc2d9c" userID="1851561945" userName="石玉珍" dateTime="2026-07-17T13:15:39" isNormal="0">
            <s:text>
              <s:r>
                <s:t xml:space="preserve">7/17 UPC贴纸 2004pcs</s:t>
              </s:r>
            </s:text>
          </item>
        </commentChain>
      </unresolved>
      <resolved/>
    </commentChains>
    <commentChains s:ref="AI1343" rgbClr="FF0000">
      <unresolved>
        <commentChain chainId="019daeff9d5f5d4bee0323338c2ea4d7a62a8720">
          <item id="5fb75b3bc4e2bb5e4f6be10c0a21e76dcccc140a" userID="1851561945" userName="石玉珍" dateTime="2026-08-07T02:55:55" isNormal="0">
            <s:text>
              <s:r>
                <s:t xml:space="preserve">1001566 8/5 1280pcs</s:t>
              </s:r>
            </s:text>
          </item>
        </commentChain>
      </unresolved>
      <resolved/>
    </commentChains>
    <commentChains s:ref="AL1343" rgbClr="FF0000">
      <unresolved>
        <commentChain chainId="46cb798460d671ed1a897f5eb031e9ada89b670a">
          <item id="8b405d4d7bcec19a0ce65e93add158cc7aa77911" userID="1851561945" userName="石玉珍" dateTime="2026-07-07T14:09:16" isNormal="0">
            <s:text>
              <s:r>
                <s:t xml:space="preserve">客供RID贴纸 7/7 1280pcs</s:t>
              </s:r>
            </s:text>
          </item>
        </commentChain>
      </unresolved>
      <resolved/>
    </commentChains>
    <commentChains s:ref="AI1344" rgbClr="FF0000">
      <unresolved>
        <commentChain chainId="6b6a2f3d0cbc243c73969b342ec370b9456a08ae">
          <item id="d013f84762f216542d806724c01441090a135607" userID="1851561945" userName="石玉珍" dateTime="2026-08-05T00:33:33" isNormal="0">
            <s:text>
              <s:r>
                <s:t xml:space="preserve">1001585 8/4 960pcs</s:t>
              </s:r>
            </s:text>
          </item>
        </commentChain>
      </unresolved>
      <resolved/>
    </commentChains>
    <commentChains s:ref="AL1344" rgbClr="FF0000">
      <unresolved>
        <commentChain chainId="dd3f603a0aeca8ae540f7db0c1492b0ed0f8de48">
          <item id="7c0654bc7b9f9b4877046427b82019248769a642" userID="1851561945" userName="石玉珍" dateTime="2026-07-07T14:09:21" isNormal="0">
            <s:text>
              <s:r>
                <s:t xml:space="preserve">客供RID贴纸 7/7 960pcs</s:t>
              </s:r>
            </s:text>
          </item>
        </commentChain>
      </unresolved>
      <resolved/>
    </commentChains>
    <commentChains s:ref="AI1345" rgbClr="FF0000">
      <unresolved>
        <commentChain chainId="55600f8ac98794f3375ac646c40563e9a88a2f4b">
          <item id="ef0f2256fd8bd8c23fdda1bee05ee8cec234a8fd" userID="1851561945" userName="石玉珍" dateTime="2026-08-05T00:32:36" isNormal="0">
            <s:text>
              <s:r>
                <s:t xml:space="preserve">1001585 8/4 3360pcs</s:t>
              </s:r>
            </s:text>
          </item>
        </commentChain>
      </unresolved>
      <resolved/>
    </commentChains>
    <commentChains s:ref="AL1345" rgbClr="FF0000">
      <unresolved>
        <commentChain chainId="7b0bb05f194b1414105227a581c17ed91d7cb057">
          <item id="224d31d1156c7fac70100d621df977e146f3d389" userID="1851561945" userName="石玉珍" dateTime="2026-07-13T08:27:40" isNormal="0">
            <s:text>
              <s:r>
                <s:t xml:space="preserve">7/13 客供RFID贴纸 3360pcs
</s:t>
              </s:r>
            </s:text>
          </item>
        </commentChain>
      </unresolved>
      <resolved/>
    </commentChains>
    <commentChains s:ref="AI1346" rgbClr="FF0000">
      <unresolved>
        <commentChain chainId="40df8ef301f021fe0d49b28dc6261d32b654cd8c">
          <item id="9dcd3b62f3de22b9f3eb0ea601cfc7ed811b9fd8" userID="1851561945" userName="石玉珍" dateTime="2026-08-07T02:56:34" isNormal="0">
            <s:text>
              <s:r>
                <s:t xml:space="preserve">1001566 8/5 1600pcs</s:t>
              </s:r>
            </s:text>
          </item>
        </commentChain>
      </unresolved>
      <resolved/>
    </commentChains>
    <commentChains s:ref="AL1346" rgbClr="FF0000">
      <unresolved>
        <commentChain chainId="6e721c7d6bdd84e6c1391c451bb8984dc30a7b57">
          <item id="6f5745399fa2be51b6c1d1fea6ba6eecd4beb741" userID="1851561945" userName="石玉珍" dateTime="2026-07-13T08:27:46" isNormal="0">
            <s:text>
              <s:r>
                <s:t xml:space="preserve">7/13 客供RFID贴纸 1600pcs</s:t>
              </s:r>
            </s:text>
          </item>
        </commentChain>
      </unresolved>
      <resolved/>
    </commentChains>
    <commentChains s:ref="AI1347" rgbClr="FF0000">
      <unresolved>
        <commentChain chainId="0e391e8211e24ca7d8a7bf9b7689841e7713944c">
          <item id="7e3512d7708f074394f1a94f01a4af65bcfa46fe" userID="1851561945" userName="石玉珍" dateTime="2026-08-05T00:51:08" isNormal="0">
            <s:text>
              <s:r>
                <s:t xml:space="preserve">1001551 8/4 5120pcs</s:t>
              </s:r>
            </s:text>
          </item>
        </commentChain>
      </unresolved>
      <resolved/>
    </commentChains>
    <commentChains s:ref="AL1347" rgbClr="FF0000">
      <unresolved>
        <commentChain chainId="9b8bee63a98949c170446cab279af78f76d21857">
          <item id="6766f7b30c93c85ba057ffcfa49a437cdce8dfe7" userID="1851561945" userName="石玉珍" dateTime="2026-07-13T08:27:52" isNormal="0">
            <s:text>
              <s:r>
                <s:t xml:space="preserve">7/13 客供RFID贴纸 5120pcs</s:t>
              </s:r>
            </s:text>
          </item>
        </commentChain>
      </unresolved>
      <resolved/>
    </commentChains>
    <commentChains s:ref="AI1348" rgbClr="FF0000">
      <unresolved>
        <commentChain chainId="a13dd45395c9d52cd10dbf9ff54f521168c5abc1">
          <item id="b913995cddbac8091811e451a6cc2558e1e579a8" userID="1851561945" userName="石玉珍" dateTime="2026-08-07T02:56:39" isNormal="0">
            <s:text>
              <s:r>
                <s:t xml:space="preserve">1001566 8/5 1280pcs</s:t>
              </s:r>
            </s:text>
          </item>
        </commentChain>
      </unresolved>
      <resolved/>
    </commentChains>
    <commentChains s:ref="AL1348" rgbClr="FF0000">
      <unresolved>
        <commentChain chainId="3cd1a1a605c48879074ff9723ee4f6955fc67c1a">
          <item id="806a84ab2314377f46fdacb4bd5af3be27caab90" userID="1851561945" userName="石玉珍" dateTime="2026-07-13T08:27:57" isNormal="0">
            <s:text>
              <s:r>
                <s:t xml:space="preserve">7/13 客供RFID贴纸 1280pcs</s:t>
              </s:r>
            </s:text>
          </item>
        </commentChain>
      </unresolved>
      <resolved/>
    </commentChains>
    <commentChains s:ref="AI1349" rgbClr="FF0000">
      <unresolved>
        <commentChain chainId="602719ef19fbae62950d7c8720446ff4b4133752">
          <item id="bb5634a664159d7976810cacaaf953ccecd66b92" userID="1851561945" userName="石玉珍" dateTime="2026-08-07T02:56:47" isNormal="0">
            <s:text>
              <s:r>
                <s:t xml:space="preserve">1001566 8/5 1760pcs</s:t>
              </s:r>
            </s:text>
          </item>
        </commentChain>
      </unresolved>
      <resolved/>
    </commentChains>
    <commentChains s:ref="AL1349" rgbClr="FF0000">
      <unresolved>
        <commentChain chainId="7aa41b1792b07a01982dd99f89ff3cb62e4db5c0">
          <item id="627165ff922f1da19079fa755a9fdf0158253e25" userID="1851561945" userName="石玉珍" dateTime="2026-07-13T08:28:03" isNormal="0">
            <s:text>
              <s:r>
                <s:t xml:space="preserve">7/13 客供RFID贴纸 1760pcs</s:t>
              </s:r>
            </s:text>
          </item>
        </commentChain>
      </unresolved>
      <resolved/>
    </commentChains>
    <commentChains s:ref="AI1350" rgbClr="FF0000">
      <unresolved>
        <commentChain chainId="764e44cb06769de606d25508d9c5ec95206cdbe6">
          <item id="7467a26adf4b65f711d9675e526ca27afbaef029" userID="1851561945" userName="石玉珍" dateTime="2026-08-05T00:32:43" isNormal="0">
            <s:text>
              <s:r>
                <s:t xml:space="preserve">1001585 8/4 2560pcs</s:t>
              </s:r>
            </s:text>
          </item>
        </commentChain>
      </unresolved>
      <resolved/>
    </commentChains>
    <commentChains s:ref="AL1350" rgbClr="FF0000">
      <unresolved>
        <commentChain chainId="24a0d0fa46a5d38bc6d8ef00724923b1e3070ee0">
          <item id="23436a2e45b5ab525b5a564d02a0ab68dce669db" userID="1851561945" userName="石玉珍" dateTime="2026-07-13T08:28:08" isNormal="0">
            <s:text>
              <s:r>
                <s:t xml:space="preserve">7/13 客供RFID贴纸 2560pcs</s:t>
              </s:r>
            </s:text>
          </item>
        </commentChain>
      </unresolved>
      <resolved/>
    </commentChains>
    <commentChains s:ref="AI1351" rgbClr="FF0000">
      <unresolved>
        <commentChain chainId="03372ea4bc0a6bb270cb980225a818d640fa108f">
          <item id="26e867ab892ef3f50128d6f3a6c688ead15c7eb7" userID="1851561945" userName="石玉珍" dateTime="2026-08-06T01:40:50" isNormal="0">
            <s:text>
              <s:r>
                <s:t xml:space="preserve">2800386 8/5 1480pcs </s:t>
              </s:r>
            </s:text>
          </item>
          <item id="96da4f297557005b9a5194ba5e0fa701b3b10931" userID="1851561945" userName="石玉珍" dateTime="2026-08-10T03:24:19" isNormal="0">
            <s:text>
              <s:r>
                <s:t xml:space="preserve">2800415 8/8 1400pcs</s:t>
              </s:r>
            </s:text>
          </item>
        </commentChain>
      </unresolved>
      <resolved/>
    </commentChains>
    <commentChains s:ref="AL1351" rgbClr="FF0000">
      <unresolved>
        <commentChain chainId="4c72fb200b6ad1f681f46e28b90d0d9cfa3823c1">
          <item id="564491ca84f3202dbd0a34656c3ea85cebeeeef8" userID="1851561945" userName="石玉珍" dateTime="2026-07-07T14:10:02" isNormal="0">
            <s:text>
              <s:r>
                <s:t xml:space="preserve">客供RID贴纸 7/7 2880pcs</s:t>
              </s:r>
            </s:text>
          </item>
        </commentChain>
      </unresolved>
      <resolved/>
    </commentChains>
    <commentChains s:ref="AI1355" rgbClr="FF0000">
      <unresolved>
        <commentChain chainId="9de393f1b6a3b710265e09b0d38ab7ab299f56bc">
          <item id="175fa2c712210c8c60d7d226cc0085af8286d983" userID="1851561945" userName="石玉珍" dateTime="2026-07-23T12:56:14" isNormal="0">
            <s:text>
              <s:r>
                <s:t xml:space="preserve">1001851 7/23 60pcs</s:t>
              </s:r>
            </s:text>
          </item>
        </commentChain>
      </unresolved>
      <resolved/>
    </commentChains>
    <commentChains s:ref="AL1355" rgbClr="FF0000">
      <unresolved>
        <commentChain chainId="dd64b934b8a90b89c9b0dbcb4d2261681ccfce12">
          <item id="9fb9deb69f51115b84c80e113f92cef4dd0f6e99" userID="1851561945" userName="石玉珍" dateTime="2026-07-01T13:07:29" isNormal="0">
            <s:text>
              <s:r>
                <s:t xml:space="preserve">7/1 客供亚马逊外箱贴纸 5pcs</s:t>
              </s:r>
            </s:text>
          </item>
          <item id="90dc5e7e8eae0cb362993f069885ff70fac6a15b" userID="1851561945" userName="石玉珍" dateTime="2026-07-08T11:15:48" isNormal="0">
            <s:text>
              <s:r>
                <s:t xml:space="preserve">7/8 UPC贴纸 60pcs</s:t>
              </s:r>
            </s:text>
          </item>
        </commentChain>
      </unresolved>
      <resolved/>
    </commentChains>
    <commentChains s:ref="AS1357" rgbClr="FF0000">
      <unresolved>
        <commentChain chainId="17a9921e1e25341007eab08235f82cd702211ad4">
          <item id="e9663a4f062d77e4d45b3452896b714d1faa83b7" userID="1474709007" userName="陈炎" dateTime="2026-07-07T11:23:32" isNormal="0">
            <s:text>
              <s:r>
                <s:t xml:space="preserve">新客版收缩膜</s:t>
              </s:r>
            </s:text>
          </item>
        </commentChain>
      </unresolved>
      <resolved/>
    </commentChains>
    <commentChains s:ref="BN1357" rgbClr="FF0000">
      <unresolved>
        <commentChain chainId="998c1cc8e2d10da3968691ed73f6b61fbafbf2d1">
          <item id="45f5feab00a22412549e2912979d2c7004a03a6d" userID="1474709007" userName="陈炎" dateTime="2026-06-18T07:47:12" isNormal="0">
            <s:text>
              <s:r>
                <s:t xml:space="preserve">新客版彩盒</s:t>
              </s:r>
            </s:text>
          </item>
        </commentChain>
      </unresolved>
      <resolved/>
    </commentChains>
    <commentChains s:ref="AI1358" rgbClr="FF0000">
      <unresolved>
        <commentChain chainId="09879d1cd0af19c6ac7df6f056663f64a540c4ad">
          <item id="336bccd52c2b76144d7e14e86814ab70f8df4ea9" userID="1851561945" userName="石玉珍" dateTime="2026-08-07T12:07:23" isNormal="0">
            <s:text>
              <s:r>
                <s:t xml:space="preserve">1001305 8/7 400pcs</s:t>
              </s:r>
            </s:text>
          </item>
        </commentChain>
      </unresolved>
      <resolved/>
    </commentChains>
    <commentChains s:ref="AL1358" rgbClr="FF0000">
      <unresolved>
        <commentChain chainId="3ca227126782982e732566c3f74685bca5ad1dbc">
          <item id="c8094e103984f0709fd1ff6da18d895e0d25332c" userID="1851561945" userName="石玉珍" dateTime="2026-07-17T13:29:05" isNormal="0">
            <s:text>
              <s:r>
                <s:t xml:space="preserve">7/17 警语贴纸(含意大利环保标 400pcs</s:t>
              </s:r>
            </s:text>
          </item>
        </commentChain>
      </unresolved>
      <resolved/>
    </commentChains>
    <commentChains s:ref="AI1361" rgbClr="FF0000">
      <unresolved>
        <commentChain chainId="243cf219e7e63ae3e837da306bc9fab5b2fa9122">
          <item id="b95b31cfaf19952b9270c71f69b836a116a2be61" userID="1851561945" userName="石玉珍" dateTime="2026-08-07T12:04:50" isNormal="0">
            <s:text>
              <s:r>
                <s:t xml:space="preserve">1001305 8/7 1920pcs</s:t>
              </s:r>
            </s:text>
          </item>
        </commentChain>
      </unresolved>
      <resolved/>
    </commentChains>
    <commentChains s:ref="AL1361" rgbClr="FF0000">
      <unresolved>
        <commentChain chainId="91702191e3f0809042382ff05602150ca64e2e93">
          <item id="23f07eb4740463118ca5e8ab61b940b1834dd69d" userID="1851561945" userName="石玉珍" dateTime="2026-07-07T14:08:36" isNormal="0">
            <s:text>
              <s:r>
                <s:t xml:space="preserve">客供RID贴纸 7/7 1920pcs</s:t>
              </s:r>
            </s:text>
          </item>
        </commentChain>
      </unresolved>
      <resolved/>
    </commentChains>
    <commentChains s:ref="AI1362" rgbClr="FF0000">
      <unresolved>
        <commentChain chainId="e5868acb6654404cd6bfee0f961e5cb5c70e5861">
          <item id="a015ed0f09704e09e8e5831f7bae39da092d47c1" userID="1851561945" userName="石玉珍" dateTime="2026-08-07T12:04:56" isNormal="0">
            <s:text>
              <s:r>
                <s:t xml:space="preserve">1001305 8/7 1600pcs</s:t>
              </s:r>
            </s:text>
          </item>
        </commentChain>
      </unresolved>
      <resolved/>
    </commentChains>
    <commentChains s:ref="AL1362" rgbClr="FF0000">
      <unresolved>
        <commentChain chainId="68ca66a25567691bc35b8f784ac8b74386f58d55">
          <item id="78856d3b96e86055d969ee758c05dc2a7cb541d2" userID="1851561945" userName="石玉珍" dateTime="2026-07-07T14:08:42" isNormal="0">
            <s:text>
              <s:r>
                <s:t xml:space="preserve">客供RID贴纸 7/7 1600pcs</s:t>
              </s:r>
            </s:text>
          </item>
        </commentChain>
      </unresolved>
      <resolved/>
    </commentChains>
    <commentChains s:ref="AI1363" rgbClr="FF0000">
      <unresolved>
        <commentChain chainId="690153603ac25cee709b31bcaf3d883ec62f938f">
          <item id="ad869c337559455debddd393a66a654af3f795a4" userID="1851561945" userName="石玉珍" dateTime="2026-08-10T03:31:59" isNormal="0">
            <s:text>
              <s:r>
                <s:t xml:space="preserve">1001531 8/8 1164pcs</s:t>
              </s:r>
            </s:text>
          </item>
        </commentChain>
      </unresolved>
      <resolved/>
    </commentChains>
    <commentChains s:ref="AL1363" rgbClr="FF0000">
      <unresolved>
        <commentChain chainId="63f4ca7102904c78c600cc991e108208942b5a48">
          <item id="065990c2e3c7bb2dc0bb282d1e11a59463cd39e2" userID="1851561945" userName="石玉珍" dateTime="2026-07-21T00:33:37" isNormal="0">
            <s:text>
              <s:r>
                <s:t xml:space="preserve">7/20 红色logo贴纸 1164pcs
UPC贴纸/产品进口商贴纸 /包装进口商贴纸 /说明书进口商贴纸 1164pcs</s:t>
              </s:r>
            </s:text>
          </item>
        </commentChain>
      </unresolved>
      <resolved/>
    </commentChains>
    <commentChains s:ref="AI1364" rgbClr="FF0000">
      <unresolved>
        <commentChain chainId="7589472ff70491cdad30f1a8a454e18f4e36cf62">
          <item id="403376a7ca19af26f4b923eba0b77816333e8d3b" userID="1851561945" userName="石玉珍" dateTime="2026-08-10T03:25:04" isNormal="0">
            <s:text>
              <s:r>
                <s:t xml:space="preserve">2800415 8/8 900pcs</s:t>
              </s:r>
            </s:text>
          </item>
        </commentChain>
      </unresolved>
      <resolved/>
    </commentChains>
    <commentChains s:ref="AL1364" rgbClr="FF0000">
      <unresolved>
        <commentChain chainId="3e3dc980f6098b1abfe6cbdb0a3f31d2ab3dbb79">
          <item id="7c508871fafb32067dfc6e9447206946edcbaf83" userID="1851561945" userName="石玉珍" dateTime="2026-07-23T11:31:48" isNormal="0">
            <s:text>
              <s:r>
                <s:t xml:space="preserve">7/23 UPC贴纸 900pcs</s:t>
              </s:r>
            </s:text>
          </item>
          <item id="4fcc79ac1d341ac6a549da660af475ba82f8f694" userID="1851561945" userName="石玉珍" dateTime="2026-07-23T11:31:57" isNormal="0">
            <s:text>
              <s:r>
                <s:t xml:space="preserve">进口商贴纸 900pcs</s:t>
              </s:r>
            </s:text>
          </item>
        </commentChain>
      </unresolved>
      <resolved/>
    </commentChains>
    <commentChains s:ref="AI1365" rgbClr="FF0000">
      <unresolved>
        <commentChain chainId="fbb0de1d513f68ea0a681f215a1aeab0a86ebcad">
          <item id="621cb66f0c0e42b6828f9fb9f27e1800c6cbb23c" userID="1851561945" userName="石玉珍" dateTime="2026-08-12T02:08:50" isNormal="0">
            <s:text>
              <s:r>
                <s:t xml:space="preserve">1001459 8/11 1200pcs</s:t>
              </s:r>
            </s:text>
          </item>
        </commentChain>
      </unresolved>
      <resolved/>
    </commentChains>
    <commentChains s:ref="AL1365" rgbClr="FF0000">
      <unresolved>
        <commentChain chainId="37e65708f805da2249f2e44645472c501eca4584">
          <item id="58fc7c5db3e069d85be3cc1fd2a38485cf55f274" userID="1851561945" userName="石玉珍" dateTime="2026-07-23T11:32:32" isNormal="0">
            <s:text>
              <s:r>
                <s:t xml:space="preserve">7/23 进口商贴纸 1200pcs</s:t>
              </s:r>
            </s:text>
          </item>
          <item id="bdcae17e0b09645c1c9d3917056b3a937e6e1ce8" userID="1851561945" userName="石玉珍" dateTime="2026-07-23T11:32:39" isNormal="0">
            <s:text>
              <s:r>
                <s:t xml:space="preserve">客户条码贴纸 1200pcs</s:t>
              </s:r>
            </s:text>
          </item>
        </commentChain>
      </unresolved>
      <resolved/>
    </commentChains>
    <commentChains s:ref="AI1366" rgbClr="FF0000">
      <unresolved>
        <commentChain chainId="7d02b4eeed1c886802a86d52fc3d39f4ea310f56">
          <item id="8dd32c06d47c07979416f57adb2e6b3d6ef810eb" userID="1851561945" userName="石玉珍" dateTime="2026-08-08T00:49:43" isNormal="0">
            <s:text>
              <s:r>
                <s:t xml:space="preserve">1001305 8/7 4160pcs</s:t>
              </s:r>
            </s:text>
          </item>
        </commentChain>
      </unresolved>
      <resolved/>
    </commentChains>
    <commentChains s:ref="AL1366" rgbClr="FF0000">
      <unresolved>
        <commentChain chainId="e0e47cce0c6199c361f2f6374ac53b60449961b2">
          <item id="4db2d4968a41e7469073d658aa7f2865dc147722" userID="1851561945" userName="石玉珍" dateTime="2026-07-20T12:31:56" isNormal="0">
            <s:text>
              <s:r>
                <s:t xml:space="preserve">7/20 客供RFID贴纸 4160pcs</s:t>
              </s:r>
            </s:text>
          </item>
        </commentChain>
      </unresolved>
      <resolved/>
    </commentChains>
    <commentChains s:ref="AI1367" rgbClr="FF0000">
      <unresolved>
        <commentChain chainId="d030ade9cc982994cdaa5b7e679767c8afed1554">
          <item id="2a3921a1393fc1ac4f05c59b0febb360c50f32cc" userID="1851561945" userName="石玉珍" dateTime="2026-08-07T12:05:00" isNormal="0">
            <s:text>
              <s:r>
                <s:t xml:space="preserve">1001305 8/7 1920pcs</s:t>
              </s:r>
            </s:text>
          </item>
        </commentChain>
      </unresolved>
      <resolved/>
    </commentChains>
    <commentChains s:ref="AL1367" rgbClr="FF0000">
      <unresolved>
        <commentChain chainId="bb0c490c158bd174114bb7b281ea16721516f1ac">
          <item id="dc468ffaeb2d93d295f252b9aeecebe764681c35" userID="1851561945" userName="石玉珍" dateTime="2026-07-07T14:08:50" isNormal="0">
            <s:text>
              <s:r>
                <s:t xml:space="preserve">客供RID贴纸 7/7 1920pcs</s:t>
              </s:r>
            </s:text>
          </item>
        </commentChain>
      </unresolved>
      <resolved/>
    </commentChains>
    <commentChains s:ref="AI1369" rgbClr="FF0000">
      <unresolved>
        <commentChain chainId="d9a16d65ccbccabc99ba6007d03c279c427b25ae">
          <item id="938f4baf2ef7bbac733e598dca5241ce5ddb92d9" userID="1851561945" userName="石玉珍" dateTime="2026-07-30T01:33:42" isNormal="0">
            <s:text>
              <s:r>
                <s:t xml:space="preserve">1001651 7/29 612pcs湖南补数</s:t>
              </s:r>
            </s:text>
          </item>
          <item id="ee687aa68e08513e103f6021a0c06aea5fb598b3" userID="1851561945" userName="石玉珍" dateTime="2026-08-14T11:22:58" isNormal="0">
            <s:text>
              <s:r>
                <s:t xml:space="preserve">消耗取消单</s:t>
              </s:r>
            </s:text>
          </item>
        </commentChain>
      </unresolved>
      <resolved/>
    </commentChains>
    <commentChains s:ref="AL1369" rgbClr="FF0000">
      <unresolved>
        <commentChain chainId="f7a3f953abbdf6ffdbd8f234e307e230bf903352">
          <item id="aeca5cb19d49dff396e0ac0020dfb74fc6f3ddc7" userID="1851561945" userName="石玉珍" dateTime="2026-07-09T12:14:32" isNormal="0">
            <s:text>
              <s:r>
                <s:t xml:space="preserve">7/9 亚马逊外箱贴纸 84pcs</s:t>
              </s:r>
            </s:text>
          </item>
          <item id="db44d83e269b333bb3fec3bfda74a64f025d1b22" userID="1851561945" userName="石玉珍" dateTime="2026-07-15T06:37:26" isNormal="0">
            <s:text>
              <s:r>
                <s:t xml:space="preserve">7/14 可折叠警语贴纸 1008pcs</s:t>
              </s:r>
            </s:text>
          </item>
          <item id="125105d5fb641fa2ac01093dfa093c046d9a2581" userID="1851561945" userName="石玉珍" dateTime="2026-07-15T11:15:47" isNormal="0">
            <s:text>
              <s:r>
                <s:t xml:space="preserve">7/15 UPC贴纸 1008pcs</s:t>
              </s:r>
            </s:text>
          </item>
        </commentChain>
      </unresolved>
      <resolved/>
    </commentChains>
    <commentChains s:ref="AI1370" rgbClr="FF0000">
      <unresolved>
        <commentChain chainId="752f23f36dc56ba346bca1757954d993d6326fe7">
          <item id="f5b36acef5002ec232f0e319f6595f4a7cd565ed" userID="1851561945" userName="石玉珍" dateTime="2026-07-30T01:34:07" isNormal="0">
            <s:text>
              <s:r>
                <s:t xml:space="preserve">1001651 7/29 3660pcs</s:t>
              </s:r>
            </s:text>
          </item>
        </commentChain>
      </unresolved>
      <resolved/>
    </commentChains>
    <commentChains s:ref="AL1370" rgbClr="FF0000">
      <unresolved>
        <commentChain chainId="cc51cbb0448e9b2c103972c7a5375daf07f5d519">
          <item id="d6e316480307324b9828024342cbb6189dc32ffe" userID="1851561945" userName="石玉珍" dateTime="2026-07-15T12:11:51" isNormal="0">
            <s:text>
              <s:r>
                <s:t xml:space="preserve">7/15 客供亚马逊外箱贴纸 305pcs</s:t>
              </s:r>
            </s:text>
          </item>
        </commentChain>
      </unresolved>
      <resolved/>
    </commentChains>
    <commentChains s:ref="AI1371" rgbClr="FF0000">
      <unresolved>
        <commentChain chainId="61615a72598b4f3a1c939ba7148ca95f2d7edc12">
          <item id="945c9819e8a27f69a93a15684e395cd11abd49b0" userID="1851561945" userName="石玉珍" dateTime="2026-08-14T11:22:54" isNormal="0">
            <s:text>
              <s:r>
                <s:t xml:space="preserve">消耗取消单</s:t>
              </s:r>
            </s:text>
          </item>
        </commentChain>
      </unresolved>
      <resolved/>
    </commentChains>
    <commentChains s:ref="AI1373" rgbClr="FF0000">
      <unresolved>
        <commentChain chainId="fd5cbe162d151deea605740588d7550c5a6332d7">
          <item id="700cc238909cb4ad68f0ed41817093203512f165" userID="1851561945" userName="石玉珍" dateTime="2026-08-13T01:55:46" isNormal="0">
            <s:text>
              <s:r>
                <s:t xml:space="preserve">1001450 8/12 1368pcs</s:t>
              </s:r>
            </s:text>
          </item>
        </commentChain>
      </unresolved>
      <resolved/>
    </commentChains>
    <commentChains s:ref="AL1373" rgbClr="FF0000">
      <unresolved>
        <commentChain chainId="d2fa4ff263cd1b3b529fbce057fd603bea070aeb">
          <item id="e9c3d83a52639e1f78d84609bb978dd5ade0111c" isNormal="1">
            <s:text>
              <s:r>
                <s:t xml:space="preserve">Administrator:
5/27 白色防盗贴纸 1368pcs</s:t>
              </s:r>
            </s:text>
          </item>
          <item id="a45d58b772d859841b6d24935b40108b7e3e2afc" userID="1851561945" userName="石玉珍" dateTime="2026-05-30T12:26:14" isNormal="0">
            <s:text>
              <s:r>
                <s:t xml:space="preserve">5/28 说明书+收缩膜纽扣电池警告语贴纸 1368pcs</s:t>
              </s:r>
            </s:text>
          </item>
          <item id="29fdd9befb98141890cabdc9c809455a48d2ff35" userID="1851561945" userName="石玉珍" dateTime="2026-05-30T12:28:59" isNormal="0">
            <s:text>
              <s:r>
                <s:t xml:space="preserve">缩膜纽扣电池警告语贴纸 1368pcs</s:t>
              </s:r>
            </s:text>
          </item>
          <item id="8f791275d07ad1fc89e54dad1f7b087d74a724a1" userID="1851561945" userName="石玉珍" dateTime="2026-07-27T11:27:07" isNormal="0">
            <s:text>
              <s:r>
                <s:t xml:space="preserve">7/25 Kmart外箱贴纸 1368pcs</s:t>
              </s:r>
            </s:text>
          </item>
        </commentChain>
      </unresolved>
      <resolved/>
    </commentChains>
    <commentChains s:ref="AI1374" rgbClr="FF0000">
      <unresolved>
        <commentChain chainId="b31ab957d9ddc1cf306202012b5ac057813957ab">
          <item id="208517ed95f25e5f4ea9a3f44e7b45c10a91a265" userID="1851561945" userName="石玉珍" dateTime="2026-08-13T01:56:58" isNormal="0">
            <s:text>
              <s:r>
                <s:t xml:space="preserve">1001450 8/12 132pcs</s:t>
              </s:r>
            </s:text>
          </item>
        </commentChain>
      </unresolved>
      <resolved/>
    </commentChains>
    <commentChains s:ref="AL1374" rgbClr="FF0000">
      <unresolved>
        <commentChain chainId="322fdc7e11d7c833dc822c351b9ddb497d56dd5f">
          <item id="aaee47baa2f758653dc41a05679918f4d54b7444" isNormal="1">
            <s:text>
              <s:r>
                <s:t xml:space="preserve">Administrator:
5/27 白色防盗贴纸 132pcs
</s:t>
              </s:r>
            </s:text>
          </item>
          <item id="5f30c98fa5fe3cfc1b7f357d123c2103029af261" userID="1851561945" userName="石玉珍" dateTime="2026-05-30T12:26:58" isNormal="0">
            <s:text>
              <s:r>
                <s:t xml:space="preserve">5/28 说明书+收缩膜纽扣电池警告语贴纸 132pcs</s:t>
              </s:r>
            </s:text>
          </item>
          <item id="7e0eda669d23805d54013a682047850637ff1924" userID="1851561945" userName="石玉珍" dateTime="2026-05-30T12:27:23" isNormal="0">
            <s:text>
              <s:r>
                <s:t xml:space="preserve">缩膜纽扣电池警告语贴纸 132pcs</s:t>
              </s:r>
            </s:text>
          </item>
          <item id="b7e22b8886b3244b96f4e17165a8edf250c9a891" userID="1851561945" userName="石玉珍" dateTime="2026-07-27T11:27:29" isNormal="0">
            <s:text>
              <s:r>
                <s:t xml:space="preserve">7/25 Kmart外箱贴纸 11pcs</s:t>
              </s:r>
            </s:text>
          </item>
        </commentChain>
      </unresolved>
      <resolved/>
    </commentChains>
    <commentChains s:ref="AI1375" rgbClr="FF0000">
      <unresolved>
        <commentChain chainId="4c2186fac7c3b0c242f04827d1c34505908c042b">
          <item id="677d227dde2df2fe0b29664ec6fea54ac0fe7fb6" userID="1851561945" userName="石玉珍" dateTime="2026-08-13T01:53:17" isNormal="0">
            <s:text>
              <s:r>
                <s:t xml:space="preserve">1001445 8/12 800pcs</s:t>
              </s:r>
            </s:text>
          </item>
        </commentChain>
      </unresolved>
      <resolved/>
    </commentChains>
    <commentChains s:ref="AL1375" rgbClr="FF0000">
      <unresolved>
        <commentChain chainId="0d2eebe34d5c772273e5ff6429e57e29981e426a">
          <item id="e9414adc2a76881963ebbe4341b30e8167c5ab5b" userID="1851561945" userName="石玉珍" dateTime="2026-07-15T06:46:53" isNormal="0">
            <s:text>
              <s:r>
                <s:t xml:space="preserve">7/14 多语折叠警语贴纸 800pcs</s:t>
              </s:r>
            </s:text>
          </item>
        </commentChain>
      </unresolved>
      <resolved/>
    </commentChains>
    <commentChains s:ref="AI1377" rgbClr="FF0000">
      <unresolved>
        <commentChain chainId="ca56329ddf71635e6213452ae4c205acc76bb742">
          <item id="5fbd5b16d05cb08f82b6f2270973663f5c6f8d9b" userID="1851561945" userName="石玉珍" dateTime="2026-08-13T02:02:50" isNormal="0">
            <s:text>
              <s:r>
                <s:t xml:space="preserve">2800443 8/12 1568pcs</s:t>
              </s:r>
            </s:text>
          </item>
          <item id="d18fba24a7474bae292ed38cb826debaea387c4a" userID="1851561945" userName="石玉珍" dateTime="2026-08-13T11:26:57" isNormal="0">
            <s:text>
              <s:r>
                <s:t xml:space="preserve">2800448 8/13 3424pcs</s:t>
              </s:r>
            </s:text>
          </item>
        </commentChain>
      </unresolved>
      <resolved/>
    </commentChains>
    <commentChains s:ref="AL1377" rgbClr="FF0000">
      <unresolved>
        <commentChain chainId="e8043e7a380e8e843948266687be38c9a2bb9e07">
          <item id="221afd216193b1db6d79334ffa9af4139a28efc2" userID="1851561945" userName="石玉珍" dateTime="2026-07-23T11:36:47" isNormal="0">
            <s:text>
              <s:r>
                <s:t xml:space="preserve">7/23 PDQ地址贴纸 5000pcs</s:t>
              </s:r>
            </s:text>
          </item>
        </commentChain>
      </unresolved>
      <resolved/>
    </commentChains>
    <commentChains s:ref="AI1378" rgbClr="FF0000">
      <unresolved>
        <commentChain chainId="8d89dd2386c46382e945e59c475fd9939396b03b">
          <item id="e461919fdc07bc03ce898e4610a1d8890fa24ee1" userID="1851561945" userName="石玉珍" dateTime="2026-08-14T00:43:49" isNormal="0">
            <s:text>
              <s:r>
                <s:t xml:space="preserve">1001425 8/13 1280PCS </s:t>
              </s:r>
            </s:text>
          </item>
        </commentChain>
      </unresolved>
      <resolved/>
    </commentChains>
    <commentChains s:ref="AL1378" rgbClr="FF0000">
      <unresolved>
        <commentChain chainId="3c2502f061d2d90f2f13576aecedf67fa065badf">
          <item id="f67ed650657155bc2d8ee1f9829073b8bc22b58a" userID="1851561945" userName="石玉珍" dateTime="2026-07-20T12:29:18" isNormal="0">
            <s:text>
              <s:r>
                <s:t xml:space="preserve">7/20 客供RFID贴纸 1280pcs</s:t>
              </s:r>
            </s:text>
          </item>
        </commentChain>
      </unresolved>
      <resolved/>
    </commentChains>
    <commentChains s:ref="AI1379" rgbClr="FF0000">
      <unresolved>
        <commentChain chainId="03fbb86b1b9d49865ee32cb2320591ac5c7a14a6">
          <item id="525f80db6808bb4e59bec450710fff7b5b6ae003" userID="1851561945" userName="石玉珍" dateTime="2026-08-14T00:43:54" isNormal="0">
            <s:text>
              <s:r>
                <s:t xml:space="preserve">1001425 8/13 2100PCS </s:t>
              </s:r>
            </s:text>
          </item>
          <item id="76fa9a55c2befa3f087c05f54272bbd3ef1eb088" userID="1851561945" userName="石玉珍" dateTime="2026-08-14T12:42:02" isNormal="0">
            <s:text>
              <s:r>
                <s:t xml:space="preserve">1001407 8/14 1500pcs</s:t>
              </s:r>
            </s:text>
          </item>
        </commentChain>
      </unresolved>
      <resolved/>
    </commentChains>
    <commentChains s:ref="AL1379" rgbClr="FF0000">
      <unresolved>
        <commentChain chainId="f89f372fad8c98e1aaa2ee69796495edcc47bc9b">
          <item id="8373451f7fd16edb740c1b45ff7ffe351053ef70" userID="1851561945" userName="石玉珍" dateTime="2026-07-20T12:29:33" isNormal="0">
            <s:text>
              <s:r>
                <s:t xml:space="preserve">7/20 客供RFID贴纸 3600pcs</s:t>
              </s:r>
            </s:text>
          </item>
        </commentChain>
      </unresolved>
      <resolved/>
    </commentChains>
    <commentChains s:ref="AI1380" rgbClr="FF0000">
      <unresolved>
        <commentChain chainId="aa7320e7b732dfc1de9eb6e667b4156b38eeb644">
          <item id="f541f22149903a9981ae597a66bac7fa68032bc9" userID="1851561945" userName="石玉珍" dateTime="2026-08-14T00:43:09" isNormal="0">
            <s:text>
              <s:r>
                <s:t xml:space="preserve">1001425 8/13 2800PCS </s:t>
              </s:r>
            </s:text>
          </item>
          <item id="b7ffd8190b687bb49cfb5fb9a9d0cae879ee4f70" userID="1851561945" userName="石玉珍" dateTime="2026-08-14T12:43:06" isNormal="0">
            <s:text>
              <s:r>
                <s:t xml:space="preserve">1001407 8/14 400pcs</s:t>
              </s:r>
            </s:text>
          </item>
        </commentChain>
      </unresolved>
      <resolved/>
    </commentChains>
    <commentChains s:ref="AL1380" rgbClr="FF0000">
      <unresolved>
        <commentChain chainId="13b4d22d94390c2bbc9a671fca49916996798a3b">
          <item id="b9ff1876e675bbdd2ffba3aa5644d4e3ecc86674" userID="1851561945" userName="石玉珍" dateTime="2026-07-20T12:31:47" isNormal="0">
            <s:text>
              <s:r>
                <s:t xml:space="preserve">7/20 客供RFID贴纸 3200pcs</s:t>
              </s:r>
            </s:text>
          </item>
        </commentChain>
      </unresolved>
      <resolved/>
    </commentChains>
    <commentChains s:ref="AI1381" rgbClr="FF0000">
      <unresolved>
        <commentChain chainId="3e221788ec1176a9ba55d26e4f559aaa956a1270">
          <item id="ed52df61b580afd248b12b08c0d0f6448ff4ac68" userID="1851561945" userName="石玉珍" dateTime="2026-08-13T11:39:50" isNormal="0">
            <s:text>
              <s:r>
                <s:t xml:space="preserve">1001419 8/13 500pcs</s:t>
              </s:r>
            </s:text>
          </item>
        </commentChain>
      </unresolved>
      <resolved/>
    </commentChains>
    <commentChains s:ref="AL1381" rgbClr="FF0000">
      <unresolved>
        <commentChain chainId="e563b3b9fcb3edce3c3e258cc9201a6e4e81e71a">
          <item id="43ac9311846bbe71e943124657d30acf1a308c22" userID="1851561945" userName="石玉珍" dateTime="2026-07-24T11:12:01" isNormal="0">
            <s:text>
              <s:r>
                <s:t xml:space="preserve">7/24 UPC贴纸 500pcs</s:t>
              </s:r>
            </s:text>
          </item>
        </commentChain>
      </unresolved>
      <resolved/>
    </commentChains>
    <commentChains s:ref="AI1382" rgbClr="FF0000">
      <unresolved>
        <commentChain chainId="42d7351f31c6abe7adef35e0d8b439d8f90663ba">
          <item id="53a8da546e20608a93ede7ce2a4ecf7587745740" userID="1851561945" userName="石玉珍" dateTime="2026-08-15T02:32:49" isNormal="0">
            <s:text>
              <s:r>
                <s:t xml:space="preserve">1001395 8/14 1920pcs</s:t>
              </s:r>
            </s:text>
          </item>
        </commentChain>
      </unresolved>
      <resolved/>
    </commentChains>
    <commentChains s:ref="AL1382" rgbClr="FF0000">
      <unresolved>
        <commentChain chainId="2047f8e6d0fb45fb2363a244c0b61eaaf274a72d">
          <item id="84cac70135b696b07964f4bbf8edaf9e27e279ad" userID="1851561945" userName="石玉珍" dateTime="2026-07-07T14:10:18" isNormal="0">
            <s:text>
              <s:r>
                <s:t xml:space="preserve">客供RID贴纸 7/7 1920pcs</s:t>
              </s:r>
            </s:text>
          </item>
        </commentChain>
      </unresolved>
      <resolved/>
    </commentChains>
    <commentChains s:ref="AL1383" rgbClr="FF0000">
      <unresolved>
        <commentChain chainId="c493607cdb194e9bc0c7aba7a8e539ba25147279">
          <item id="cf47dde8c3e4a5a93df7b3b342239d14a9ac6cfc" userID="1851561945" userName="石玉珍" dateTime="2026-08-14T12:11:19" isNormal="0">
            <s:text>
              <s:r>
                <s:t xml:space="preserve">8/14 电池门进口商贴纸 504pcs</s:t>
              </s:r>
            </s:text>
          </item>
          <item id="ae40cb0ad2406d9daa38e8ea4e01f8e7ba861f89" userID="1851561945" userName="石玉珍" dateTime="2026-08-14T12:11:27" isNormal="0">
            <s:text>
              <s:r>
                <s:t xml:space="preserve">包装贴进口商贴纸 504pcs</s:t>
              </s:r>
            </s:text>
          </item>
          <item id="18371fba0c1b82ee108764895bd4cb9739ba1384" userID="1851561945" userName="石玉珍" dateTime="2026-08-14T12:11:34" isNormal="0">
            <s:text>
              <s:r>
                <s:t xml:space="preserve">保证书 504pcs</s:t>
              </s:r>
            </s:text>
          </item>
          <item id="71a9eb058669f0b72486384cf44383e46ad2d6c6" userID="1851561945" userName="石玉珍" dateTime="2026-08-14T12:11:42" isNormal="0">
            <s:text>
              <s:r>
                <s:t xml:space="preserve">UPC贴纸 504pcs</s:t>
              </s:r>
            </s:text>
          </item>
        </commentChain>
      </unresolved>
      <resolved/>
    </commentChains>
    <commentChains s:ref="AI1384" rgbClr="FF0000">
      <unresolved>
        <commentChain chainId="818292d5f41b8deaf18f4f0e53c7496e5418decc">
          <item id="9c7750d045728cb12fb9de9ea4fd558c485fc1c3" userID="1851561945" userName="石玉珍" dateTime="2026-08-10T03:32:22" isNormal="0">
            <s:text>
              <s:r>
                <s:t xml:space="preserve">1001531 8/8 2124pcs</s:t>
              </s:r>
            </s:text>
          </item>
        </commentChain>
      </unresolved>
      <resolved/>
    </commentChains>
    <commentChains s:ref="AL1384" rgbClr="FF0000">
      <unresolved>
        <commentChain chainId="06edb83eeac5c267d362c792cecee49c708f56ce">
          <item id="b6a62439c412cca7e125fd1ef13c9dec8b3948e1" userID="1851561945" userName="石玉珍" dateTime="2026-07-15T12:12:36" isNormal="0">
            <s:text>
              <s:r>
                <s:t xml:space="preserve">7/15 客供亚马逊外箱贴纸 177pcs</s:t>
              </s:r>
            </s:text>
          </item>
        </commentChain>
      </unresolved>
      <resolved/>
    </commentChains>
    <commentChains s:ref="AL1385" rgbClr="FF0000">
      <unresolved>
        <commentChain chainId="e0a9705466090dffd3c277946ed0fe432c6a15d3">
          <item id="916da7be9fb0bf020948c21fdc17ea568f886d14" userID="1851561945" userName="石玉珍" dateTime="2026-07-18T11:41:00" isNormal="0">
            <s:text>
              <s:r>
                <s:t xml:space="preserve">7/18 产品贴纸 912pcs</s:t>
              </s:r>
            </s:text>
          </item>
          <item id="c8f3d17883c961a89fe2aa16aede8af16dc1ce9e" userID="1851561945" userName="石玉珍" dateTime="2026-07-25T03:14:17" isNormal="0">
            <s:text>
              <s:r>
                <s:t xml:space="preserve">7/20 进口商贴纸 912pcs</s:t>
              </s:r>
            </s:text>
          </item>
          <item id="06ad83366b8d3d016530ead56af6a3b2e27323f4" userID="1851561945" userName="石玉珍" dateTime="2026-07-25T03:26:22" isNormal="0">
            <s:text>
              <s:r>
                <s:t xml:space="preserve">7/16 说明书纸</s:t>
              </s:r>
            </s:text>
          </item>
        </commentChain>
      </unresolved>
      <resolved/>
    </commentChains>
    <commentChains s:ref="AI1386" rgbClr="FF0000">
      <unresolved>
        <commentChain chainId="76cf7c5660ddc8434dd67b02a5b9dd7b3be7c025">
          <item id="8933a7d8c1c0555d0865a70dcd81d43ff9f9f8c1" userID="1851561945" userName="石玉珍" dateTime="2026-08-01T07:47:03" isNormal="0">
            <s:text>
              <s:r>
                <s:t xml:space="preserve">消耗取消单</s:t>
              </s:r>
            </s:text>
          </item>
        </commentChain>
      </unresolved>
      <resolved/>
    </commentChains>
    <commentChains s:ref="AL1386" rgbClr="FF0000">
      <unresolved>
        <commentChain chainId="1194f6b8386e440a76e901a8d2f25281478d068a">
          <item id="10e517763691b85c9633102190c7ce0d9ee984f7" userID="1851561945" userName="石玉珍" dateTime="2026-07-18T11:41:35" isNormal="0">
            <s:text>
              <s:r>
                <s:t xml:space="preserve">7/18 通用进口商贴纸 400pcs</s:t>
              </s:r>
            </s:text>
          </item>
        </commentChain>
      </unresolved>
      <resolved/>
    </commentChains>
    <commentChains s:ref="AI1387" rgbClr="FF0000">
      <unresolved>
        <commentChain chainId="6bea421e6d14830cd9d4d7799c5ad79da1e9fdf7">
          <item id="8fa072dd4d53caee2a37ef0cae2c77f732f15e2c" userID="1851561945" userName="石玉珍" dateTime="2026-08-17T01:09:47" isNormal="0">
            <s:text>
              <s:r>
                <s:t xml:space="preserve">1001387 8/15 1500pcs</s:t>
              </s:r>
            </s:text>
          </item>
        </commentChain>
      </unresolved>
      <resolved/>
    </commentChains>
    <commentChains s:ref="AL1387" rgbClr="FF0000">
      <unresolved>
        <commentChain chainId="77580b30cf24091ca5941490d55ff5f5c45282a8">
          <item id="6cceb693936f410c0ea771e1222f6bcf43793d34" userID="1851561945" userName="石玉珍" dateTime="2026-07-23T11:29:23" isNormal="0">
            <s:text>
              <s:r>
                <s:t xml:space="preserve">7/23 UPC贴纸 1500pcs</s:t>
              </s:r>
            </s:text>
          </item>
          <item id="c7819c5e67519ed0c143e312617fadbf1861f22d" userID="1851561945" userName="石玉珍" dateTime="2026-07-23T11:29:45" isNormal="0">
            <s:text>
              <s:r>
                <s:t xml:space="preserve">包装进口商贴纸 1500pcs</s:t>
              </s:r>
            </s:text>
          </item>
          <item id="0297f93f981c532fcc0d9e78da791046244bc7f9" userID="1851561945" userName="石玉珍" dateTime="2026-07-23T11:29:52" isNormal="0">
            <s:text>
              <s:r>
                <s:t xml:space="preserve">保证书 1500pcs</s:t>
              </s:r>
            </s:text>
          </item>
          <item id="5ddce16851ca20cb8d0a017e3350aef16b38d51a" userID="1851561945" userName="石玉珍" dateTime="2026-07-27T11:56:48" isNormal="0">
            <s:text>
              <s:r>
                <s:t xml:space="preserve">7/27 包装进口商贴纸 1500pcs</s:t>
              </s:r>
            </s:text>
          </item>
          <item id="6c63a2a93ef1dd048e915dc729b538dea1557e8e" userID="1851561945" userName="石玉珍" dateTime="2026-07-27T11:57:02" isNormal="0">
            <s:text>
              <s:r>
                <s:t xml:space="preserve">电池门进口商贴纸 1500pcs</s:t>
              </s:r>
            </s:text>
          </item>
        </commentChain>
      </unresolved>
      <resolved/>
    </commentChains>
    <commentChains s:ref="AI1388" rgbClr="FF0000">
      <unresolved>
        <commentChain chainId="6bbca0c0f413645eac2eb3e10d257a264ca97e2e">
          <item id="0b4464700fe33a75a42a0066145a04a759dc59af" userID="1851561945" userName="石玉珍" dateTime="2026-08-18T00:27:10" isNormal="0">
            <s:text>
              <s:r>
                <s:t xml:space="preserve">1001390 8/17 4000pcs</s:t>
              </s:r>
            </s:text>
          </item>
        </commentChain>
      </unresolved>
      <resolved/>
    </commentChains>
    <commentChains s:ref="AI1389" rgbClr="FF0000">
      <unresolved>
        <commentChain chainId="d92eaff20d436fb70b952b2ae4acf504289afeca">
          <item id="75445a3f1efb80075699eb16592ae935f3dbc7a7" userID="1851561945" userName="石玉珍" dateTime="2026-08-17T01:10:26" isNormal="0">
            <s:text>
              <s:r>
                <s:t xml:space="preserve">1001387 8/15 3264pcs</s:t>
              </s:r>
            </s:text>
          </item>
          <item id="37b97054056500828e663f71c675065e6f7d7128" userID="1851561945" userName="石玉珍" dateTime="2026-08-18T00:27:18" isNormal="0">
            <s:text>
              <s:r>
                <s:t xml:space="preserve">1001390 8/17 736pcs</s:t>
              </s:r>
            </s:text>
          </item>
        </commentChain>
      </unresolved>
      <resolved/>
    </commentChains>
    <commentChains s:ref="AI1392" rgbClr="FF0000">
      <unresolved>
        <commentChain chainId="1fa1d438df707425dba1bbcadc1d4d028b6ec8d5">
          <item id="5e50b8ce63d2a00fc8f7ec61e967c37497eaa91c" userID="1851561945" userName="石玉珍" dateTime="2026-08-05T00:32:48" isNormal="0">
            <s:text>
              <s:r>
                <s:t xml:space="preserve">1001585 8/4 1600pcs</s:t>
              </s:r>
            </s:text>
          </item>
        </commentChain>
      </unresolved>
      <resolved/>
    </commentChains>
    <commentChains s:ref="AL1392" rgbClr="FF0000">
      <unresolved>
        <commentChain chainId="37725c431b3e3e8c4af5e9983d6f48815b230821">
          <item id="afae51bb7cf7fbaab1a66ad908fdbc076c993b24" userID="1851561945" userName="石玉珍" dateTime="2026-07-13T08:28:14" isNormal="0">
            <s:text>
              <s:r>
                <s:t xml:space="preserve">7/13 客供RFID贴纸 1600pcs</s:t>
              </s:r>
            </s:text>
          </item>
        </commentChain>
      </unresolved>
      <resolved/>
    </commentChains>
    <commentChains s:ref="AI1393" rgbClr="FF0000">
      <unresolved>
        <commentChain chainId="6638f9978a9148f4a3ea4e3db8e5b1589a59e60f">
          <item id="426e599b00dc80fe27b17d9fc80d9b68a57ca559" userID="1851561945" userName="石玉珍" dateTime="2026-08-15T02:46:35" isNormal="0">
            <s:text>
              <s:r>
                <s:t xml:space="preserve">1001416 8/14 2600pcs</s:t>
              </s:r>
            </s:text>
          </item>
        </commentChain>
      </unresolved>
      <resolved/>
    </commentChains>
    <commentChains s:ref="AL1393" rgbClr="FF0000">
      <unresolved>
        <commentChain chainId="987344c8321c20136fedeaddce04cb8d7e72b050">
          <item id="7605e5a48c50950a86dd8eda8d40091fa0499fb8" userID="1851561945" userName="石玉珍" dateTime="2026-07-23T11:35:49" isNormal="0">
            <s:text>
              <s:r>
                <s:t xml:space="preserve">7/23 PDQ地址贴纸 2600pcs</s:t>
              </s:r>
            </s:text>
          </item>
        </commentChain>
      </unresolved>
      <resolved/>
    </commentChains>
    <commentChains s:ref="AI1394" rgbClr="FF0000">
      <unresolved>
        <commentChain chainId="1c1de0fc0f9fbc97ac87c5f3a426e5901781638d">
          <item id="a380559c36f7184fc18cc88c32d848d4bd5dc8d0" userID="1851561945" userName="石玉珍" dateTime="2026-08-18T00:31:05" isNormal="0">
            <s:text>
              <s:r>
                <s:t xml:space="preserve">1001376 8/17 2080pcs</s:t>
              </s:r>
            </s:text>
          </item>
        </commentChain>
      </unresolved>
      <resolved/>
    </commentChains>
    <commentChains s:ref="AI1395" rgbClr="FF0000">
      <unresolved>
        <commentChain chainId="5fc1ed3f121965b2106b6ae406d4655d18dca64f">
          <item id="92312ee3aef346245639241378eea15b3e580071" userID="1851561945" userName="石玉珍" dateTime="2026-08-18T00:31:12" isNormal="0">
            <s:text>
              <s:r>
                <s:t xml:space="preserve">1001376 8/17 1120pcs</s:t>
              </s:r>
            </s:text>
          </item>
        </commentChain>
      </unresolved>
      <resolved/>
    </commentChains>
    <commentChains s:ref="AI1399" rgbClr="FF0000">
      <unresolved>
        <commentChain chainId="b07660cfc5754e1a8fa0c743c0fb632d4969afd3">
          <item id="346ed6c5fa6ebb5994031e09b0dd1922a9afc276" userID="1851561945" userName="石玉珍" dateTime="2026-08-14T00:42:39" isNormal="0">
            <s:text>
              <s:r>
                <s:t xml:space="preserve">1001425 8/13 3200PCS</s:t>
              </s:r>
            </s:text>
          </item>
        </commentChain>
      </unresolved>
      <resolved/>
    </commentChains>
    <commentChains s:ref="AL1399" rgbClr="FF0000">
      <unresolved>
        <commentChain chainId="e0bccac3ed7ee16608df0111953df5a59c714b08">
          <item id="9ce54b1b7913dbea931b7f4da84a0c41a638f0b1" userID="1851561945" userName="石玉珍" dateTime="2026-07-25T03:54:10" isNormal="0">
            <s:text>
              <s:r>
                <s:t xml:space="preserve">7/3 客供RFID贴纸 3200pcs</s:t>
              </s:r>
            </s:text>
          </item>
        </commentChain>
      </unresolved>
      <resolved/>
    </commentChains>
    <commentChains s:ref="AI1400" rgbClr="FF0000">
      <unresolved>
        <commentChain chainId="64c58750639f3304905c945100c3b32a27dcd6f8">
          <item id="1490fc8d74c12c6b65eff2059d37b6553449861e" userID="1851561945" userName="石玉珍" dateTime="2026-08-18T00:31:46" isNormal="0">
            <s:text>
              <s:r>
                <s:t xml:space="preserve">1001376 8/17 1808pcs</s:t>
              </s:r>
            </s:text>
          </item>
        </commentChain>
      </unresolved>
      <resolved/>
    </commentChains>
    <commentChains s:ref="AL1400" rgbClr="FF0000">
      <unresolved>
        <commentChain chainId="94125aefe5f60460faa73956845ef21f5e429879">
          <item id="63e9e7e6d5028de8be0c2c5d02a71ff6aab252dd" userID="1851561945" userName="石玉珍" dateTime="2026-07-27T11:27:49" isNormal="0">
            <s:text>
              <s:r>
                <s:t xml:space="preserve">7/25 PDQ+收缩膜进口商贴纸 1808pcs</s:t>
              </s:r>
            </s:text>
          </item>
          <item id="ef7113c8a3592908c2224333b9884bc3a459f515" userID="1851561945" userName="石玉珍" dateTime="2026-07-28T12:42:15" isNormal="0">
            <s:text>
              <s:r>
                <s:t xml:space="preserve">7/28 1-PDQ彩色贴纸 1808pcs
2-PDQ彩色贴纸 1808pcs
收藏指南彩色贴纸 113*2pcs</s:t>
              </s:r>
            </s:text>
          </item>
        </commentChain>
      </unresolved>
      <resolved/>
    </commentChains>
    <commentChains s:ref="AI1401" rgbClr="FF0000">
      <unresolved>
        <commentChain chainId="a73085b3ad064db4a215c0b539211c8f45a380a2">
          <item id="0fa42e8351f273898364e605455f4f4c7b5195b6" userID="1851561945" userName="石玉珍" dateTime="2026-08-18T00:28:42" isNormal="0">
            <s:text>
              <s:r>
                <s:t xml:space="preserve">1001390 8/17 1808pcs</s:t>
              </s:r>
            </s:text>
          </item>
        </commentChain>
      </unresolved>
      <resolved/>
    </commentChains>
    <commentChains s:ref="AL1401" rgbClr="FF0000">
      <unresolved>
        <commentChain chainId="224d230d2e864496f2a725dc5a76bab63fc81c79">
          <item id="7102189f8b920799f744b86624c44623d9a93a4d" userID="1851561945" userName="石玉珍" dateTime="2026-07-27T11:28:24" isNormal="0">
            <s:text>
              <s:r>
                <s:t xml:space="preserve">7/25 PDQ+收缩膜进口商贴纸 1808pcs</s:t>
              </s:r>
            </s:text>
          </item>
          <item id="5b7d608c023165ae6de76a2b3a023bb0a25e14f3" userID="1851561945" userName="石玉珍" dateTime="2026-07-28T12:42:46" isNormal="0">
            <s:text>
              <s:r>
                <s:t xml:space="preserve">7/28 1-PDQ彩色贴纸 1808pcs
2-PDQ彩色贴纸 1808pcs
收藏指南彩色贴纸 113*2pcs</s:t>
              </s:r>
            </s:text>
          </item>
        </commentChain>
      </unresolved>
      <resolved/>
    </commentChains>
    <commentChains s:ref="AI1402" rgbClr="FF0000">
      <unresolved>
        <commentChain chainId="8d7ce73ef4401505ac2c9009adffc8f99615bce8">
          <item id="df588571744a269fa08071d51d162f810ab8ad6a" userID="1851561945" userName="石玉珍" dateTime="2026-08-18T00:32:09" isNormal="0">
            <s:text>
              <s:r>
                <s:t xml:space="preserve">1001376 8/17 1200pcs</s:t>
              </s:r>
            </s:text>
          </item>
        </commentChain>
      </unresolved>
      <resolved/>
    </commentChains>
    <commentChains s:ref="AL1402" rgbClr="FF0000">
      <unresolved>
        <commentChain chainId="e5604aba6b5b3315ec500b55a606e84e3f73f7fa">
          <item id="9c2dfd633d8c399594485d4e0346808f634e5419" userID="1851561945" userName="石玉珍" dateTime="2026-07-27T11:29:09" isNormal="0">
            <s:text>
              <s:r>
                <s:t xml:space="preserve">7/25 PDQ+收缩膜进口商贴纸 1200pcs</s:t>
              </s:r>
            </s:text>
          </item>
          <item id="c257cca040eb7bd109e99730f6ee49abad16ece4" userID="1851561945" userName="石玉珍" dateTime="2026-07-28T12:43:52" isNormal="0">
            <s:text>
              <s:r>
                <s:t xml:space="preserve">7/28 1-PDQ彩色贴纸 1200pcs
2-PDQ彩色贴纸 1200pcs
收藏指南彩色贴纸 75*2pcs</s:t>
              </s:r>
            </s:text>
          </item>
        </commentChain>
      </unresolved>
      <resolved/>
    </commentChains>
    <commentChains s:ref="AI1403" rgbClr="FF0000">
      <unresolved>
        <commentChain chainId="3da7215575f230fb64e544308ce1cea1199e3f63">
          <item id="6c9d00e7f7bb36c3f3da4402935e37c5c7d61a7c" userID="1851561945" userName="石玉珍" dateTime="2026-08-15T02:47:36" isNormal="0">
            <s:text>
              <s:r>
                <s:t xml:space="preserve">1001416 8/14 240pcs</s:t>
              </s:r>
            </s:text>
          </item>
        </commentChain>
      </unresolved>
      <resolved/>
    </commentChains>
    <commentChains s:ref="AL1403" rgbClr="FF0000">
      <unresolved>
        <commentChain chainId="cd5c5adde7f900788f1f1a4dd55fa14a79d0213a">
          <item id="f294b635ac997f0efccda36c7c3aaf341076f02d" userID="1851561945" userName="石玉珍" dateTime="2026-07-28T12:40:36" isNormal="0">
            <s:text>
              <s:r>
                <s:t xml:space="preserve">7/28 客户进口商内容贴纸 240pcs</s:t>
              </s:r>
            </s:text>
          </item>
        </commentChain>
      </unresolved>
      <resolved/>
    </commentChains>
    <commentChains s:ref="AI1406" rgbClr="FF0000">
      <unresolved>
        <commentChain chainId="eac682f2e793c16ac43259785ea71e5b7005bb1a">
          <item id="d4c24a0a944105fcc399dbdadf14e54a579da98e" userID="1851561945" userName="石玉珍" dateTime="2026-08-14T12:43:47" isNormal="0">
            <s:text>
              <s:r>
                <s:t xml:space="preserve">1001407 8/14 2800pcs</s:t>
              </s:r>
            </s:text>
          </item>
        </commentChain>
      </unresolved>
      <resolved/>
    </commentChains>
    <commentChains s:ref="AI1407" rgbClr="FF0000">
      <unresolved>
        <commentChain chainId="491bd82903c5a4f475d970e582fdf7646df1c6a1">
          <item id="c8cdf15f68f2c1e2cf7c199cc677b3689de81479" userID="1851561945" userName="石玉珍" dateTime="2026-08-17T01:06:20" isNormal="0">
            <s:text>
              <s:r>
                <s:t xml:space="preserve">1001380 8/15 804pcs</s:t>
              </s:r>
            </s:text>
          </item>
        </commentChain>
      </unresolved>
      <resolved/>
    </commentChains>
    <commentChains s:ref="AL1407" rgbClr="FF0000">
      <unresolved>
        <commentChain chainId="3a7c32a10a5191812a9ca5d67d7af8e64e5f3059">
          <item id="294f16bac72e866f9caf5c1eca3362a78f68519f" userID="1851561945" userName="石玉珍" dateTime="2026-08-06T08:27:52" isNormal="0">
            <s:text>
              <s:r>
                <s:t xml:space="preserve">8/1 UPC贴纸 804pcs
进口商贴纸 804pcs
保证书 804pcs</s:t>
              </s:r>
            </s:text>
          </item>
        </commentChain>
      </unresolved>
      <resolved/>
    </commentChains>
    <commentChains s:ref="AI1408" rgbClr="FF0000">
      <unresolved>
        <commentChain chainId="b5659dedd9ef1ac46dd8094752c1582fc24aacf4">
          <item id="ea9885cb09e5904c3d249d02fce9b73e5ddfcc33" userID="1851561945" userName="石玉珍" dateTime="2026-08-17T01:06:48" isNormal="0">
            <s:text>
              <s:r>
                <s:t xml:space="preserve">1001380 8/15 936pcs</s:t>
              </s:r>
            </s:text>
          </item>
        </commentChain>
      </unresolved>
      <resolved/>
    </commentChains>
    <commentChains s:ref="AL1408" rgbClr="FF0000">
      <unresolved>
        <commentChain chainId="cfd3f3426b622557d786db6433782ddd77ee63c8">
          <item id="b33c0770d1a61efadd6093a17f3c0ae2b226c8b7" userID="1851561945" userName="石玉珍" dateTime="2026-08-06T08:29:06" isNormal="0">
            <s:text>
              <s:r>
                <s:t xml:space="preserve">8/1 UPC贴纸 936pcs
进口商贴纸 936pcs
保证书 936pcs</s:t>
              </s:r>
            </s:text>
          </item>
        </commentChain>
      </unresolved>
      <resolved/>
    </commentChains>
    <commentChains s:ref="AI1409" rgbClr="FF0000">
      <unresolved>
        <commentChain chainId="ec8aa42488fa8de13d65edd540f51cd565afd043">
          <item id="ace8f716abce9b9514e84ff9536acc6e8e12c0c6" userID="1851561945" userName="石玉珍" dateTime="2026-08-17T00:25:48" isNormal="0">
            <s:text>
              <s:r>
                <s:t xml:space="preserve">1001379 8/15 612pcs</s:t>
              </s:r>
            </s:text>
          </item>
        </commentChain>
      </unresolved>
      <resolved/>
    </commentChains>
    <commentChains s:ref="AL1409" rgbClr="FF0000">
      <unresolved>
        <commentChain chainId="11b3b7018e217367e446f172148b3eb7aee06de0">
          <item id="46e427917ae29340becd76cbef41434152eb307a" userID="1851561945" userName="石玉珍" dateTime="2026-08-06T08:30:21" isNormal="0">
            <s:text>
              <s:r>
                <s:t xml:space="preserve">8/1 UPC贴纸 612pcs
进口商贴纸 612pcs
保证书 612pcs</s:t>
              </s:r>
            </s:text>
          </item>
        </commentChain>
      </unresolved>
      <resolved/>
    </commentChains>
    <commentChains s:ref="AI1410" rgbClr="FF0000">
      <unresolved>
        <commentChain chainId="39f433792dc36342f42cfd39b79fd6f69fa53e6f">
          <item id="b8ff87e7303eae5c050bc7013e571208ca8ebf23" userID="1851561945" userName="石玉珍" dateTime="2026-08-17T01:59:02" isNormal="0">
            <s:text>
              <s:r>
                <s:t xml:space="preserve">1001380 8/15 1200pcs</s:t>
              </s:r>
            </s:text>
          </item>
          <item id="f14ad7febf013deb12ccacbb750dbb5b3ea815b3" userID="1851561945" userName="石玉珍" dateTime="2026-08-18T00:24:57" isNormal="0">
            <s:text>
              <s:r>
                <s:t xml:space="preserve"> 8/17 1001390 12pcs</s:t>
              </s:r>
            </s:text>
          </item>
        </commentChain>
      </unresolved>
      <resolved/>
    </commentChains>
    <commentChains s:ref="AL1410" rgbClr="FF0000">
      <unresolved>
        <commentChain chainId="a65438015df49fe5cba6209eab61fb9b1bf3316e">
          <item id="efec86a38f2f99c6eff4c0f9d061f38356c1ceee" userID="1851561945" userName="石玉珍" dateTime="2026-08-06T08:29:48" isNormal="0">
            <s:text>
              <s:r>
                <s:t xml:space="preserve">8/1 UPC贴纸 1200pcs
进口商贴纸 1200pcs
保证书 1200pcs</s:t>
              </s:r>
            </s:text>
          </item>
        </commentChain>
      </unresolved>
      <resolved/>
    </commentChains>
    <commentChains s:ref="AI1411" rgbClr="FF0000">
      <unresolved>
        <commentChain chainId="3073da6a7a18c97530fea6335e1f265afed728de">
          <item id="f6ce6dfc3e7e0213a336a58a26c42ba8b4743e12" userID="1851561945" userName="石玉珍" dateTime="2026-08-15T02:48:03" isNormal="0">
            <s:text>
              <s:r>
                <s:t xml:space="preserve">1001416 8/14 600pcs</s:t>
              </s:r>
            </s:text>
          </item>
        </commentChain>
      </unresolved>
      <resolved/>
    </commentChains>
    <commentChains s:ref="AL1411" rgbClr="FF0000">
      <unresolved>
        <commentChain chainId="accac9ccd403683e8a8414c0d7ca99373f7a3537">
          <item id="5315e80b5012658a7faeeb0b6d290a1addf256d4" userID="1851561945" userName="石玉珍" dateTime="2026-07-23T11:28:22" isNormal="0">
            <s:text>
              <s:r>
                <s:t xml:space="preserve">7/23 UPC贴纸 600pcs</s:t>
              </s:r>
            </s:text>
          </item>
        </commentChain>
      </unresolved>
      <resolved/>
    </commentChains>
    <commentChains s:ref="AI1412" rgbClr="FF0000">
      <unresolved>
        <commentChain chainId="ed1e2f9e868f068bfe7931c95f784729f75d36c7">
          <item id="aab37c1c1d5f68d189eb4092551c746b7d84d6ef" userID="1851561945" userName="石玉珍" dateTime="2026-08-17T01:08:44" isNormal="0">
            <s:text>
              <s:r>
                <s:t xml:space="preserve">1001380 8/15 1472pcs</s:t>
              </s:r>
            </s:text>
          </item>
        </commentChain>
      </unresolved>
      <resolved/>
    </commentChains>
    <commentChains s:ref="AI1413" rgbClr="FF0000">
      <unresolved>
        <commentChain chainId="ff970fd486b91f4704fa0842b08143e4b2289a0c">
          <item id="4d471944ec3ac7ab1f414c2ad541711c26d1ef1c" userID="1851561945" userName="石玉珍" dateTime="2026-08-17T01:08:50" isNormal="0">
            <s:text>
              <s:r>
                <s:t xml:space="preserve">1001380 8/15 124pcs</s:t>
              </s:r>
            </s:text>
          </item>
          <item id="cb5f6f43212a6114ebbaaa1f0591df90b7b6d67d" userID="1851561945" userName="石玉珍" dateTime="2026-08-18T00:26:04" isNormal="0">
            <s:text>
              <s:r>
                <s:t xml:space="preserve">1001390 8/17 4pcs</s:t>
              </s:r>
            </s:text>
          </item>
        </commentChain>
      </unresolved>
      <resolved/>
    </commentChains>
    <commentChains s:ref="AI1414" rgbClr="FF0000">
      <unresolved>
        <commentChain chainId="e21d3dbe5e69f23bb7e036b19b7c0b60571d4449">
          <item id="a4d6525a851e919a3eefb896d872eec8f888435b" userID="1851561945" userName="石玉珍" dateTime="2026-08-15T02:35:00" isNormal="0">
            <s:text>
              <s:r>
                <s:t xml:space="preserve">1001395 8/14 608pcs</s:t>
              </s:r>
            </s:text>
          </item>
        </commentChain>
      </unresolved>
      <resolved/>
    </commentChains>
    <commentChains s:ref="AL1414" rgbClr="FF0000">
      <unresolved>
        <commentChain chainId="87349dcdf3531f6bbc2dca88364ef82998be429b">
          <item id="73b17c61289ae9be6581d0782afe7887f554d73b" userID="1851561945" userName="石玉珍" dateTime="2026-07-23T11:35:19" isNormal="0">
            <s:text>
              <s:r>
                <s:t xml:space="preserve">7/23 UPC贴纸 608pcs</s:t>
              </s:r>
            </s:text>
          </item>
        </commentChain>
      </unresolved>
      <resolved/>
    </commentChains>
    <commentChains s:ref="AL1415" rgbClr="FF0000">
      <unresolved>
        <commentChain chainId="e9cc3183a1a3eb6d3aba8a80c8e254bdbc411042">
          <item id="3d3ad2a47b26020c95faf9af78e55781bfe25801" userID="1851561945" userName="石玉珍" dateTime="2026-07-24T11:11:14" isNormal="0">
            <s:text>
              <s:r>
                <s:t xml:space="preserve">7/24 进口商贴纸 1008pcs</s:t>
              </s:r>
            </s:text>
          </item>
        </commentChain>
      </unresolved>
      <resolved/>
    </commentChains>
    <commentChains s:ref="AI1418" rgbClr="FF0000">
      <unresolved>
        <commentChain chainId="e21cf7e6a163660c4da8078587066bc3db55577f">
          <item id="c4f1cc434a7ee84ea465da15d89bbe7b4f6c7c59" userID="1851561945" userName="石玉珍" dateTime="2026-08-15T02:46:04" isNormal="0">
            <s:text>
              <s:r>
                <s:t xml:space="preserve">1001416 8/14 4040pcs</s:t>
              </s:r>
            </s:text>
          </item>
        </commentChain>
      </unresolved>
      <resolved/>
    </commentChains>
    <commentChains s:ref="AL1418" rgbClr="FF0000">
      <unresolved>
        <commentChain chainId="81e11c471244ffb27db5040bf73fa1c3d387207c">
          <item id="93e8c8191f84dde89fd5e0ef645f29e8837a1634" userID="1851561945" userName="石玉珍" dateTime="2026-07-23T11:28:53" isNormal="0">
            <s:text>
              <s:r>
                <s:t xml:space="preserve">7/23 UPC贴纸 4040pcs</s:t>
              </s:r>
            </s:text>
          </item>
        </commentChain>
      </unresolved>
      <resolved/>
    </commentChains>
    <commentChains s:ref="AI1424" rgbClr="FF0000">
      <unresolved>
        <commentChain chainId="f067829709ce9179e023aeabc238bf1a80989d60">
          <item id="33424d7670d51bf8986be1844dfd680bc3ebedd0" userID="1851561945" userName="石玉珍" dateTime="2026-08-14T12:44:12" isNormal="0">
            <s:text>
              <s:r>
                <s:t xml:space="preserve">1001407 8/14 360pcs</s:t>
              </s:r>
            </s:text>
          </item>
        </commentChain>
      </unresolved>
      <resolved/>
    </commentChains>
    <commentChains s:ref="AL1424" rgbClr="FF0000">
      <unresolved>
        <commentChain chainId="6f878e9b3cc041892405bdeaa276c1803b957b97">
          <item id="c4f38958bef41be89bc322dabe5e7124b683406a" userID="1851561945" userName="石玉珍" dateTime="2026-07-27T11:02:48" isNormal="0">
            <s:text>
              <s:r>
                <s:t xml:space="preserve">7/25 进口商贴纸  360pcs</s:t>
              </s:r>
            </s:text>
          </item>
        </commentChain>
      </unresolved>
      <resolved/>
    </commentChains>
    <commentChains s:ref="AL1425" rgbClr="FF0000">
      <unresolved>
        <commentChain chainId="88ab4d4fa23a22a91e17aa2c1ca8d2eecd3f7721">
          <item id="b081dd0b52c81c80b81d61518c9db67f5633ab0a" userID="1851561945" userName="石玉珍" dateTime="2026-07-27T11:03:30" isNormal="0">
            <s:text>
              <s:r>
                <s:t xml:space="preserve">客版价格贴纸 7/25 5004pcs</s:t>
              </s:r>
            </s:text>
          </item>
          <item id="52647ec9ac8bd8abaded14f5eae587e481411911" userID="1851561945" userName="石玉珍" dateTime="2026-08-06T12:42:46" isNormal="0">
            <s:text>
              <s:r>
                <s:t xml:space="preserve">8/5 SSCC外箱贴纸 147pcs</s:t>
              </s:r>
            </s:text>
          </item>
        </commentChain>
      </unresolved>
      <resolved/>
    </commentChains>
    <commentChains s:ref="AI1426" rgbClr="FF0000">
      <unresolved>
        <commentChain chainId="f0058e91294b14d535f33a3280f1102c8f85fb4f">
          <item id="6d9254fb9ccf853d27810d02b668ef4442aaf87c" userID="1851561945" userName="石玉珍" dateTime="2026-08-15T02:47:08" isNormal="0">
            <s:text>
              <s:r>
                <s:t xml:space="preserve">1001416 8/14 4000pcs</s:t>
              </s:r>
            </s:text>
          </item>
        </commentChain>
      </unresolved>
      <resolved/>
    </commentChains>
    <commentChains s:ref="AL1428" rgbClr="FF0000">
      <unresolved>
        <commentChain chainId="84ccc19be78b74e2d826371fc5deecf865189b9d">
          <item id="289a104a571793f41505f7d210595a7dd0e57b5a" userID="1851561945" userName="石玉珍" dateTime="2026-07-30T11:18:21" isNormal="0">
            <s:text>
              <s:r>
                <s:t xml:space="preserve">PDQ+收缩膜进口商贴纸 7/29 816pcs</s:t>
              </s:r>
            </s:text>
          </item>
        </commentChain>
      </unresolved>
      <resolved/>
    </commentChains>
    <commentChains s:ref="AL1429" rgbClr="FF0000">
      <unresolved>
        <commentChain chainId="64c0da7892dda55b15692396d9a5213750e5af3f">
          <item id="5c8336e00d3515a2b3de1c589fc1d540582885a5" userID="1851561945" userName="石玉珍" dateTime="2026-07-30T11:20:55" isNormal="0">
            <s:text>
              <s:r>
                <s:t xml:space="preserve">PDQ+包装进口商贴纸 7/29 752pcs</s:t>
              </s:r>
            </s:text>
          </item>
        </commentChain>
      </unresolved>
      <resolved/>
    </commentChains>
    <commentChains s:ref="AL1430" rgbClr="FF0000">
      <unresolved>
        <commentChain chainId="015a65c7112e973c0503c25f9b4274869ae3f297">
          <item id="27e71d02c2b132f7ef920ffa29929fa89e021f2c" userID="1851561945" userName="石玉珍" dateTime="2026-07-27T11:07:52" isNormal="0">
            <s:text>
              <s:r>
                <s:t xml:space="preserve">7/25 客供RFID贴纸 1600pcs</s:t>
              </s:r>
            </s:text>
          </item>
        </commentChain>
      </unresolved>
      <resolved/>
    </commentChains>
    <commentChains s:ref="BN1431" rgbClr="FF0000">
      <unresolved>
        <commentChain chainId="7508624b1756440cb3b17d8156aa5c00ad84aeed">
          <item id="7a5633db110af6c167d3dbda9330f2e5f31698c4" userID="1474709007" userName="陈炎" dateTime="2026-06-18T07:47:22" isNormal="0">
            <s:text>
              <s:r>
                <s:t xml:space="preserve">新客版彩盒</s:t>
              </s:r>
            </s:text>
          </item>
        </commentChain>
      </unresolved>
      <resolved/>
    </commentChains>
    <commentChains s:ref="AL1437" rgbClr="FF0000">
      <unresolved>
        <commentChain chainId="13a55da1f9dd9257474798494a40cbfcb03ba3c6">
          <item id="ca7f595d44fb09bd4ac60ca8ff7319614c74aa2a" userID="1851561945" userName="石玉珍" dateTime="2026-07-30T11:58:46" isNormal="0">
            <s:text>
              <s:r>
                <s:t xml:space="preserve">7/30 通用进口商贴纸 288pcs</s:t>
              </s:r>
            </s:text>
          </item>
        </commentChain>
      </unresolved>
      <resolved/>
    </commentChains>
    <commentChains s:ref="AL1438" rgbClr="FF0000">
      <unresolved>
        <commentChain chainId="74a066e208eac1260c13066719b0bf5904c95814">
          <item id="bfd947b5f2749c0bf0d8f0af8819a2f6285a30ce" userID="1851561945" userName="石玉珍" dateTime="2026-07-30T11:17:49" isNormal="0">
            <s:text>
              <s:r>
                <s:t xml:space="preserve">7/29 进口商贴纸(含波兰语警 504pcs
波兰语收藏指南贴纸 504pcs</s:t>
              </s:r>
            </s:text>
          </item>
        </commentChain>
      </unresolved>
      <resolved/>
    </commentChains>
    <commentChains s:ref="AL1444" rgbClr="FF0000">
      <unresolved>
        <commentChain chainId="3888cf1ac65ee1986b43d22f1ce49d8183b69751">
          <item id="72eedc293426b01bd566d09913b2fa4a25e80093" userID="1851561945" userName="石玉珍" dateTime="2026-07-09T12:44:51" isNormal="0">
            <s:text>
              <s:r>
                <s:t xml:space="preserve">7/9 客供价格贴纸 996pcs</s:t>
              </s:r>
            </s:text>
          </item>
        </commentChain>
      </unresolved>
      <resolved/>
    </commentChains>
    <commentChains s:ref="AL1445" rgbClr="FF0000">
      <unresolved>
        <commentChain chainId="06d2a9b89018f4e81553b61e62d00eaf97cae2d0">
          <item id="15fade16c39e87d8908946e685f7e57944df5f0e" userID="1851561945" userName="石玉珍" dateTime="2026-07-13T05:54:43" isNormal="0">
            <s:text>
              <s:r>
                <s:t xml:space="preserve">7/11 客供价格贴纸 1200pcs.</s:t>
              </s:r>
            </s:text>
          </item>
        </commentChain>
      </unresolved>
      <resolved/>
    </commentChains>
    <commentChains s:ref="AL1447" rgbClr="FF0000">
      <unresolved>
        <commentChain chainId="a344d02668d866170ad034ac7b55c75ddfa1b539">
          <item id="10d86d9e989fa72bb84241adec11abc320973c2f" userID="1851561945" userName="石玉珍" dateTime="2026-08-06T12:40:22" isNormal="0">
            <s:text>
              <s:r>
                <s:t xml:space="preserve">8/3 价格贴纸 3000pcs
外箱条码贴纸 500pcs</s:t>
              </s:r>
            </s:text>
          </item>
        </commentChain>
      </unresolved>
      <resolved/>
    </commentChains>
    <commentChains s:ref="AL1453" rgbClr="FF0000">
      <unresolved>
        <commentChain chainId="c1cf55e17e578a12cb33ca78247b0b9241e07d36">
          <item id="4003ff28ef8878cd798bc8126498b45891b544b5" userID="1851561945" userName="石玉珍" dateTime="2026-08-06T12:48:27" isNormal="0">
            <s:text>
              <s:r>
                <s:t xml:space="preserve">8/5 UPC贴纸 3796pcs</s:t>
              </s:r>
            </s:text>
          </item>
        </commentChain>
      </unresolved>
      <resolved/>
    </commentChains>
    <commentChains s:ref="BN1458" rgbClr="FF0000">
      <unresolved>
        <commentChain chainId="2391281865d2b7561bf80139c8c8f3f04f1a83b3">
          <item id="02811c4a1b03dce7cef6eda3a30f8a8a25ad35c2" userID="1474709007" userName="陈炎" dateTime="2026-06-18T07:47:27" isNormal="0">
            <s:text>
              <s:r>
                <s:t xml:space="preserve">新客版彩盒</s:t>
              </s:r>
            </s:text>
          </item>
        </commentChain>
      </unresolved>
      <resolved/>
    </commentChains>
    <commentChains s:ref="AL1461" rgbClr="FF0000">
      <unresolved>
        <commentChain chainId="0617cbaeac6cd97caddeb951b81d6da231541122">
          <item id="a6954b031808a7fa2bf8a53081218211dd2dd96e" userID="1851561945" userName="石玉珍" dateTime="2026-08-06T08:25:53" isNormal="0">
            <s:text>
              <s:r>
                <s:t xml:space="preserve">8/1 UPC贴纸 1000pcs</s:t>
              </s:r>
            </s:text>
          </item>
        </commentChain>
      </unresolved>
      <resolved/>
    </commentChains>
    <commentChains s:ref="AL1464" rgbClr="FF0000">
      <unresolved>
        <commentChain chainId="b35fc629e88c69058dc517907c2f1a779f4de1bd">
          <item id="f5477bbda3fac5df9a2b220f557ee2e610b28b3f" userID="1851561945" userName="石玉珍" dateTime="2026-08-06T12:23:54" isNormal="0">
            <s:text>
              <s:r>
                <s:t xml:space="preserve">8/3 地址贴纸 512pcs</s:t>
              </s:r>
            </s:text>
          </item>
          <item id="355d758860010a0d9ef2e94aed7487dbb2c18a91" userID="1851561945" userName="石玉珍" dateTime="2026-08-06T12:25:18" isNormal="0">
            <s:text>
              <s:r>
                <s:t xml:space="preserve">8/3 PDQ条码贴纸 128pcs
ZURU地址_PDQ通用贴纸 128pcs
德语警告语贴纸 512pcs
DQ+Kinder herz 2025 logo贴 640pcs
</s:t>
              </s:r>
            </s:text>
          </item>
        </commentChain>
      </unresolved>
      <resolved/>
    </commentChains>
    <commentChains s:ref="AL1465" rgbClr="FF0000">
      <unresolved>
        <commentChain chainId="5cf810e249ad119f5573621c9bdb25ba05d2a50e">
          <item id="8f761641d09e8dc29d8c67a991279372875c65da" userID="1851561945" userName="石玉珍" dateTime="2026-07-27T11:12:19" isNormal="0">
            <s:text>
              <s:r>
                <s:t xml:space="preserve">7/25 客供RID贴纸 5500pcs</s:t>
              </s:r>
            </s:text>
          </item>
          <item id="b25034cb09a891262f34a4cd6bde7d904ea64c52" userID="1851561945" userName="石玉珍" dateTime="2026-08-10T12:04:36" isNormal="0">
            <s:text>
              <s:r>
                <s:t xml:space="preserve">客供RFID贴纸 8/10 5500pcs</s:t>
              </s:r>
            </s:text>
          </item>
        </commentChain>
      </unresolved>
      <resolved/>
    </commentChains>
    <commentChains s:ref="AL1466" rgbClr="FF0000">
      <unresolved>
        <commentChain chainId="cf05c0af166a73c401ba6bcecd1d14619b9e4563">
          <item id="a4065e306f7382afd54b8fdd40eceb424bd7db0f" userID="1851561945" userName="石玉珍" dateTime="2026-07-27T11:12:27" isNormal="0">
            <s:text>
              <s:r>
                <s:t xml:space="preserve">7/25 客供RID贴纸 3536pcs</s:t>
              </s:r>
            </s:text>
          </item>
          <item id="56052b6a9d8a06399bbfa90f680da9ce066dc9a4" userID="1851561945" userName="石玉珍" dateTime="2026-08-10T12:04:17" isNormal="0">
            <s:text>
              <s:r>
                <s:t xml:space="preserve">客供RFID贴纸 8/10 3536pcs</s:t>
              </s:r>
            </s:text>
          </item>
        </commentChain>
      </unresolved>
      <resolved/>
    </commentChains>
    <commentChains s:ref="AL1467" rgbClr="FF0000">
      <unresolved>
        <commentChain chainId="6c0a6618665d2533d2ed86811ff90ea877da7e6f">
          <item id="9f0ceca5ed03dfb3d047d7e6e0de266327e81c59" userID="1851561945" userName="石玉珍" dateTime="2026-07-27T11:12:33" isNormal="0">
            <s:text>
              <s:r>
                <s:t xml:space="preserve">7/25 客供RID贴纸 7076pcs</s:t>
              </s:r>
            </s:text>
          </item>
          <item id="64075c27feba83a27e27a3f63070236dd3c95bf9" userID="1851561945" userName="石玉珍" dateTime="2026-08-10T12:04:44" isNormal="0">
            <s:text>
              <s:r>
                <s:t xml:space="preserve">客供RFID贴纸 8/10 7076pcs</s:t>
              </s:r>
            </s:text>
          </item>
        </commentChain>
      </unresolved>
      <resolved/>
    </commentChains>
    <commentChains s:ref="AL1468" rgbClr="FF0000">
      <unresolved>
        <commentChain chainId="81c1fe920824d350b53e4ba9bc561fe5566457e5">
          <item id="85ae9aa105f62c2162ebf077bff7054a59a36bb7" userID="1851561945" userName="石玉珍" dateTime="2026-07-27T11:12:39" isNormal="0">
            <s:text>
              <s:r>
                <s:t xml:space="preserve">7/25 客供RID贴纸 2080pcs</s:t>
              </s:r>
            </s:text>
          </item>
          <item id="4e27bb6b8a67a336cf67fee38216cce35eb043d8" userID="1851561945" userName="石玉珍" dateTime="2026-08-10T12:04:52" isNormal="0">
            <s:text>
              <s:r>
                <s:t xml:space="preserve">客供RFID贴纸 8/10 2080pcs</s:t>
              </s:r>
            </s:text>
          </item>
        </commentChain>
      </unresolved>
      <resolved/>
    </commentChains>
    <commentChains s:ref="AL1469" rgbClr="FF0000">
      <unresolved>
        <commentChain chainId="9b40e02f7cbb39f117f572d862a3420607f8b400">
          <item id="c9b4b854fb377a9a741e182c0ddcde316daa7e6f" userID="1851561945" userName="石玉珍" dateTime="2026-08-10T12:04:59" isNormal="0">
            <s:text>
              <s:r>
                <s:t xml:space="preserve">客供RFID贴纸 8/10 7040pcs</s:t>
              </s:r>
            </s:text>
          </item>
        </commentChain>
      </unresolved>
      <resolved/>
    </commentChains>
    <commentChains s:ref="AL1473" rgbClr="FF0000">
      <unresolved>
        <commentChain chainId="d650e6ff42dfbccd6cc3f8f2450ebb5697bd1307">
          <item id="8d4b41514f0b95f634e54ef99390d55302ab142f" userID="1851561945" userName="石玉珍" dateTime="2026-07-27T11:13:23" isNormal="0">
            <s:text>
              <s:r>
                <s:t xml:space="preserve">7/25 客供RID贴纸 2080pcs</s:t>
              </s:r>
            </s:text>
          </item>
          <item id="b5f27db8c6e110449e5355053bb09a825411d621" userID="1851561945" userName="石玉珍" dateTime="2026-08-10T12:06:39" isNormal="0">
            <s:text>
              <s:r>
                <s:t xml:space="preserve">客供RFID贴纸 8/10 2080pcs</s:t>
              </s:r>
            </s:text>
          </item>
        </commentChain>
      </unresolved>
      <resolved/>
    </commentChains>
    <commentChains s:ref="AL1474" rgbClr="FF0000">
      <unresolved>
        <commentChain chainId="ba93065a14b032454cb250a5807d719ea73fb9cf">
          <item id="13996505aae3012ca8a480529c69907f5c20529f" userID="1851561945" userName="石玉珍" dateTime="2026-08-06T12:26:56" isNormal="0">
            <s:text>
              <s:r>
                <s:t xml:space="preserve">8/3 UPC条码贴纸 5328pcs</s:t>
              </s:r>
            </s:text>
          </item>
          <item id="41e225249e9ba2af2d475df87c3e70435d2029eb" userID="1851561945" userName="石玉珍" dateTime="2026-08-06T12:49:03" isNormal="0">
            <s:text>
              <s:r>
                <s:t xml:space="preserve">8/5 保证书 5328pcs</s:t>
              </s:r>
            </s:text>
          </item>
        </commentChain>
      </unresolved>
      <resolved/>
    </commentChains>
    <commentChains s:ref="AL1475" rgbClr="FF0000">
      <unresolved>
        <commentChain chainId="ff935cc49ab43cb20fcbdd9283f6802373545879">
          <item id="f05fd528ce61f933cce3fe661c3598b0a797564c" userID="1851561945" userName="石玉珍" dateTime="2026-08-13T11:10:52" isNormal="0">
            <s:text>
              <s:r>
                <s:t xml:space="preserve">UPC 贴纸 8/13 900pcs</s:t>
              </s:r>
            </s:text>
          </item>
          <item id="8bb4b7bd23caf5d9bf36f7b05a381e9c93d98862" userID="1851561945" userName="石玉珍" dateTime="2026-08-13T11:11:00" isNormal="0">
            <s:text>
              <s:r>
                <s:t xml:space="preserve">进口商贴纸 900pcs</s:t>
              </s:r>
            </s:text>
          </item>
          <item id="e131c15abdec48c3c2c240e678762c287a9fa2f2" userID="1851561945" userName="石玉珍" dateTime="2026-08-15T10:18:31" isNormal="0">
            <s:text>
              <s:r>
                <s:t xml:space="preserve">保证书 8/15 900pcs</s:t>
              </s:r>
            </s:text>
          </item>
        </commentChain>
      </unresolved>
      <resolved/>
    </commentChains>
    <commentChains s:ref="AL1477" rgbClr="FF0000">
      <unresolved>
        <commentChain chainId="bede562f963902f20a692167e124fe61ec953969">
          <item id="33f52c952437185fff37d338a81da8d802145b61" userID="1851561945" userName="石玉珍" dateTime="2026-08-12T11:20:25" isNormal="0">
            <s:text>
              <s:r>
                <s:t xml:space="preserve">通用进口商贴纸 8/11 272pcs</s:t>
              </s:r>
            </s:text>
          </item>
        </commentChain>
      </unresolved>
      <resolved/>
    </commentChains>
    <commentChains s:ref="AL1479" rgbClr="FF0000">
      <unresolved>
        <commentChain chainId="8ee227c4f430563e0c89c3e5fe48017b20d7668d">
          <item id="d72fa702dd71642aa9e3fcdb076136c1f988f91b" userID="1851561945" userName="石玉珍" dateTime="2026-08-10T12:07:01" isNormal="0">
            <s:text>
              <s:r>
                <s:t xml:space="preserve">客供RFID贴纸 8/10 7620pcs</s:t>
              </s:r>
            </s:text>
          </item>
        </commentChain>
      </unresolved>
      <resolved/>
    </commentChains>
    <commentChains s:ref="AL1480" rgbClr="FF0000">
      <unresolved>
        <commentChain chainId="2d546998b4a351c81cc459bea04ce8208c0cf689">
          <item id="09ce556fa802c09f49e3eebd6b9724653ae7bd68" userID="1851561945" userName="石玉珍" dateTime="2026-07-07T14:06:33" isNormal="0">
            <s:text>
              <s:r>
                <s:t xml:space="preserve">客供RID贴纸 7/7 2880pcs</s:t>
              </s:r>
            </s:text>
          </item>
        </commentChain>
      </unresolved>
      <resolved/>
    </commentChains>
    <commentChains s:ref="AL1485" rgbClr="FF0000">
      <unresolved>
        <commentChain chainId="3456f6c93d434285668b4ecb3c6af2191d2ccf4b">
          <item id="3b76a4e9dd0f9a6a5cf0f214ef67bdb73f1c5d32" userID="1851561945" userName="石玉珍" dateTime="2026-08-10T12:07:29" isNormal="0">
            <s:text>
              <s:r>
                <s:t xml:space="preserve">客供RFID贴纸 8/10 7728pcs</s:t>
              </s:r>
            </s:text>
          </item>
        </commentChain>
      </unresolved>
      <resolved/>
    </commentChains>
    <commentChains s:ref="AL1486" rgbClr="FF0000">
      <unresolved>
        <commentChain chainId="c7f14a499cd8866af2fe9ffd3a723bfa991a5cae">
          <item id="e02fe08c0522be614b91d7f175f2591634bd1b89" userID="1851561945" userName="石玉珍" dateTime="2026-08-10T12:07:33" isNormal="0">
            <s:text>
              <s:r>
                <s:t xml:space="preserve">客供RFID贴纸 8/10 3536pcs</s:t>
              </s:r>
            </s:text>
          </item>
        </commentChain>
      </unresolved>
      <resolved/>
    </commentChains>
    <commentChains s:ref="AL1487" rgbClr="FF0000">
      <unresolved>
        <commentChain chainId="8648a45ec4922711bcb2df0cf19c3b0a5f2522ff">
          <item id="57b47433dfae615a51da78a9197ace7f0a24791e" userID="1851561945" userName="石玉珍" dateTime="2026-08-10T12:07:54" isNormal="0">
            <s:text>
              <s:r>
                <s:t xml:space="preserve">客供RFID贴纸 8/10 5500pcs</s:t>
              </s:r>
            </s:text>
          </item>
        </commentChain>
      </unresolved>
      <resolved/>
    </commentChains>
    <commentChains s:ref="AL1488" rgbClr="FF0000">
      <unresolved>
        <commentChain chainId="c8e7659f6babe7d7b81ecff562cf3a1df75e43bf">
          <item id="ade920e174352f151a9467d4748b53fbf16345c2" userID="1851561945" userName="石玉珍" dateTime="2026-08-07T11:06:41" isNormal="0">
            <s:text>
              <s:r>
                <s:t xml:space="preserve">Kinderherz 2025Logo 8/6 6880pcs</s:t>
              </s:r>
            </s:text>
          </item>
          <item id="f5423dab92370adfce46b1c01274a8b045d59a1a" userID="1851561945" userName="石玉珍" dateTime="2026-08-07T11:11:06" isNormal="0">
            <s:text>
              <s:r>
                <s:t xml:space="preserve">zuru地址贴纸 8/6 1376pcs</s:t>
              </s:r>
            </s:text>
          </item>
          <item id="bfcb7f3513d98edbc2a49b39d39e414cce57c43d" userID="1851561945" userName="石玉珍" dateTime="2026-08-07T11:12:33" isNormal="0">
            <s:text>
              <s:r>
                <s:t xml:space="preserve">地址贴纸 5504pcs</s:t>
              </s:r>
            </s:text>
          </item>
        </commentChain>
      </unresolved>
      <resolved/>
    </commentChains>
    <commentChains s:ref="AL1489" rgbClr="FF0000">
      <unresolved>
        <commentChain chainId="558735771114698df4f395e308c200303cc63c17">
          <item id="d3f854a9fb321232e3576cd4a9869872d8563f4c" userID="1851561945" userName="石玉珍" dateTime="2026-08-14T12:25:28" isNormal="0">
            <s:text>
              <s:r>
                <s:t xml:space="preserve">小纽扣电池警告语贴纸 8/14 960pcs
大纽扣电池警告语贴纸 1920pcs</s:t>
              </s:r>
            </s:text>
          </item>
        </commentChain>
      </unresolved>
      <resolved/>
    </commentChains>
    <commentChains s:ref="AL1490" rgbClr="FF0000">
      <unresolved>
        <commentChain chainId="060c242701dff70c9c0c73668b88f9403b3081b9">
          <item id="7ee1f027c2c5131e28094a5e3ebd257d2d72c1a2" userID="1851561945" userName="石玉珍" dateTime="2026-08-10T12:08:02" isNormal="0">
            <s:text>
              <s:r>
                <s:t xml:space="preserve">客供RFID贴纸 8/10 7040pcs</s:t>
              </s:r>
            </s:text>
          </item>
        </commentChain>
      </unresolved>
      <resolved/>
    </commentChains>
    <commentChains s:ref="AL1493" rgbClr="FF0000">
      <unresolved>
        <commentChain chainId="b5a970641fbc4748074d73c3bb48d0dab3dc9117">
          <item id="b961ae366e4a00462d73b42b9384a22709d50fc7" userID="1851561945" userName="石玉珍" dateTime="2026-08-17T11:59:08" isNormal="0">
            <s:text>
              <s:r>
                <s:t xml:space="preserve">8/17 进口商内容贴纸 960pcs</s:t>
              </s:r>
            </s:text>
          </item>
        </commentChain>
      </unresolved>
      <resolved/>
    </commentChains>
    <commentChains s:ref="AL1501" rgbClr="FF0000">
      <unresolved>
        <commentChain chainId="5ead6336a93af7b687f70088142671a8b1bf51ee">
          <item id="f17c97624f3de38d8f868f84d03dfc4a2eedc7fe" userID="1851561945" userName="石玉珍" dateTime="2026-08-17T13:35:25" isNormal="0">
            <s:text>
              <s:r>
                <s:t xml:space="preserve">客供RFID贴纸 8/17 7076pcs</s:t>
              </s:r>
            </s:text>
          </item>
        </commentChain>
      </unresolved>
      <resolved/>
    </commentChains>
    <commentChains s:ref="AL1502" rgbClr="FF0000">
      <unresolved>
        <commentChain chainId="30988de45e5e8826181332fc635cb8f596a4d208">
          <item id="f5e77c891aa02f0bebfe6cfa2c3ce771fae333ec" userID="1851561945" userName="石玉珍" dateTime="2026-08-17T13:35:33" isNormal="0">
            <s:text>
              <s:r>
                <s:t xml:space="preserve">客供RFID贴纸 8/17 7620pcs</s:t>
              </s:r>
            </s:text>
          </item>
        </commentChain>
      </unresolved>
      <resolved/>
    </commentChains>
    <commentChains s:ref="AL1511" rgbClr="FF0000">
      <unresolved>
        <commentChain chainId="9dd8a08abce2b47ef973627eeaffff3b11f435ab">
          <item id="5cfbaf3a4e7b74b608e5bb4867ae5e81e9b9b296" userID="1851561945" userName="石玉珍" dateTime="2026-08-13T11:17:44" isNormal="0">
            <s:text>
              <s:r>
                <s:t xml:space="preserve">8/13 客供价格贴纸 2400pcs</s:t>
              </s:r>
            </s:text>
          </item>
        </commentChain>
      </unresolved>
      <resolved/>
    </commentChains>
    <commentChains s:ref="AL1512" rgbClr="FF0000">
      <unresolved>
        <commentChain chainId="10c9ea2104361568ee18e929ed63fea967b81a42">
          <item id="6ad2af6dead5be8777a2925bf184a6f54b5b006f" userID="1851561945" userName="石玉珍" dateTime="2026-08-17T13:36:11" isNormal="0">
            <s:text>
              <s:r>
                <s:t xml:space="preserve">客供RFID贴纸 8/17 2240pcs</s:t>
              </s:r>
            </s:text>
          </item>
        </commentChain>
      </unresolved>
      <resolved/>
    </commentChains>
    <commentChains s:ref="AL1519" rgbClr="FF0000">
      <unresolved>
        <commentChain chainId="e9107a03c01435fed2bd4f8cd9dc8d3fba3b2a94">
          <item id="baeb798f6a43ee88181c524e215a90ca9d86048c" userID="1851561945" userName="石玉珍" dateTime="2026-08-17T13:36:32" isNormal="0">
            <s:text>
              <s:r>
                <s:t xml:space="preserve">客供RFID贴纸 8/17 1556pcs</s:t>
              </s:r>
            </s:text>
          </item>
        </commentChain>
      </unresolved>
      <resolved/>
    </commentChains>
    <commentChains s:ref="AL1536" rgbClr="FF0000">
      <unresolved>
        <commentChain chainId="7b05ec8d5bb92dc5e9cd2526322a337bf9806297">
          <item id="306595cf0a5669d45d324b623efcef718a551326" userID="1851561945" userName="石玉珍" dateTime="2026-07-22T09:47:21" isNormal="0">
            <s:text>
              <s:r>
                <s:t xml:space="preserve">7/22 白色防盗贴纸 132pcs</s:t>
              </s:r>
            </s:text>
          </item>
          <item id="0bb5db591904b6e939ffef5c001a565f9f3230eb" userID="1851561945" userName="石玉珍" dateTime="2026-08-06T12:12:30" isNormal="0">
            <s:text>
              <s:r>
                <s:t xml:space="preserve">7/31 说明书纽扣电池警告语贴纸/132pcs</s:t>
              </s:r>
            </s:text>
          </item>
          <item id="a51b5070e6e94105dadb292d4cb4818a597a819e" userID="1851561945" userName="石玉珍" dateTime="2026-08-06T12:12:39" isNormal="0">
            <s:text>
              <s:r>
                <s:t xml:space="preserve">缩膜纽扣电池警告语贴纸 132pcs</s:t>
              </s:r>
            </s:text>
          </item>
          <item id="2ec723eed92e86218da5772bf74a82c4771891d7" userID="1851561945" userName="石玉珍" dateTime="2026-08-10T13:01:17" isNormal="0">
            <s:text>
              <s:r>
                <s:t xml:space="preserve">8/10 Kmart外箱贴纸 11pcs</s:t>
              </s:r>
            </s:text>
          </item>
        </commentChain>
      </unresolved>
      <resolved/>
    </commentChains>
    <commentChains s:ref="AL1537" rgbClr="FF0000">
      <unresolved>
        <commentChain chainId="8a543d7f83bf46de160cda87ae212aac87aee108">
          <item id="e39fa768cbea342819d17233be2085420d8ebfd6" userID="1851561945" userName="石玉珍" dateTime="2026-07-22T09:47:01" isNormal="0">
            <s:text>
              <s:r>
                <s:t xml:space="preserve">7/22 白色防盗贴纸 1368pcs</s:t>
              </s:r>
            </s:text>
          </item>
          <item id="351b758a209812da1e002fa46062cd099c3e782c" userID="1851561945" userName="石玉珍" dateTime="2026-08-06T11:33:49" isNormal="0">
            <s:text>
              <s:r>
                <s:t xml:space="preserve">7/31 说明书纽扣电池警告语贴纸 /缩膜纽扣电池警告语贴纸 1500pcs</s:t>
              </s:r>
            </s:text>
          </item>
          <item id="7b32241ddf4a5c0ef486132368ddd2fcd3d29ec4" userID="1851561945" userName="石玉珍" dateTime="2026-08-10T12:57:13" isNormal="0">
            <s:text>
              <s:r>
                <s:t xml:space="preserve">8/10 Kmart外箱贴纸 114pcs</s:t>
              </s:r>
            </s:text>
          </item>
        </commentChain>
      </unresolved>
      <resolved/>
    </commentChains>
  </commentList>
  <commentList sheetStid="26">
    <commentChains s:ref="AL16" rgbClr="FF0000">
      <unresolved>
        <commentChain chainId="859d8a6fe23b249729855e003f52cb32e1667746">
          <item id="1db2f3560f2fa0065b470be949d8f5a05f30afba" isNormal="1">
            <s:text>
              <s:r>
                <s:t xml:space="preserve">Administrator:
5/29 收到UPC贴纸200pcs</s:t>
              </s:r>
            </s:text>
          </item>
        </commentChain>
      </unresolved>
      <resolved/>
    </commentChains>
    <commentChains s:ref="AI17" rgbClr="FF0000">
      <unresolved>
        <commentChain chainId="6195b60c2f27968e23d814a223ee3fb460ba156d">
          <item id="ebe9ec6ba9f4681f9a9302b80e69c44f0657754a" isNormal="1">
            <s:text>
              <s:r>
                <s:t xml:space="preserve">Administrator:
2000861 5/19 1584pcs兴信</s:t>
              </s:r>
            </s:text>
          </item>
        </commentChain>
      </unresolved>
      <resolved/>
    </commentChains>
    <commentChains s:ref="AI18" rgbClr="FF0000">
      <unresolved>
        <commentChain chainId="72a2c27bcbbf13b4fcfbe31cf79ea044622d31a8">
          <item id="2e2118e307aa2151cd4b992aa6be30480f487d84" isNormal="1">
            <s:text>
              <s:r>
                <s:t xml:space="preserve">Administrator:
0000750 4/14 20套散件莫A1C4</s:t>
              </s:r>
            </s:text>
          </item>
        </commentChain>
      </unresolved>
      <resolved/>
    </commentChains>
    <commentChains s:ref="AI19" rgbClr="FF0000">
      <unresolved>
        <commentChain chainId="32461f9aa23dc2139502b7cd8397fb2353f140e7">
          <item id="14bce85a6eb1bc46a61582ffd76a5d960e2bf105" isNormal="1">
            <s:text>
              <s:r>
                <s:t xml:space="preserve">Administrator:
0000750 4/14 1100套散件 莫A1C4</s:t>
              </s:r>
            </s:text>
          </item>
        </commentChain>
      </unresolved>
      <resolved/>
    </commentChains>
    <commentChains s:ref="AI22" rgbClr="FF0000">
      <unresolved>
        <commentChain chainId="f8a9f71fb2dc98ca7417ccbd39ab11c79281e741">
          <item id="e6c7686d6034289663996a7b7ea92a91a980767d" isNormal="1">
            <s:text>
              <s:r>
                <s:t xml:space="preserve">Administrator:
0001540 4/21 600pcs</s:t>
              </s:r>
            </s:text>
          </item>
        </commentChain>
      </unresolved>
      <resolved/>
    </commentChains>
    <commentChains s:ref="AI23" rgbClr="FF0000">
      <unresolved>
        <commentChain chainId="bc9ae121f3b4842e61494667c17ec67449947322">
          <item id="2258a80b40c7770d84bf34ea58e302076ccb28ea" isNormal="1">
            <s:text>
              <s:r>
                <s:t xml:space="preserve">Administrator:
0001541 4/21 30散件</s:t>
              </s:r>
            </s:text>
          </item>
        </commentChain>
      </unresolved>
      <resolved/>
    </commentChains>
    <commentChains s:ref="AI24" rgbClr="FF0000">
      <unresolved>
        <commentChain chainId="67a1ab21a3b1b76de3f36f928bc72356d3c9d3ea">
          <item id="e1951d9e358b3c19398efbf6c6344a6792c5cca0" isNormal="1">
            <s:text>
              <s:r>
                <s:t xml:space="preserve">Administrator:
2001082 5/8 400pcs兴信</s:t>
              </s:r>
            </s:text>
          </item>
        </commentChain>
      </unresolved>
      <resolved/>
    </commentChains>
    <commentChains s:ref="AI25" rgbClr="FF0000">
      <unresolved>
        <commentChain chainId="597d4e4af71338c34e6ed0548b59b5efa917aaa4">
          <item id="b8e3169a9bdd821882572bd1311f70772e025a5f" isNormal="1">
            <s:text>
              <s:r>
                <s:t xml:space="preserve">Administrator:
0001541 4/21 30散件
</s:t>
              </s:r>
            </s:text>
          </item>
        </commentChain>
      </unresolved>
      <resolved/>
    </commentChains>
    <commentChains s:ref="AI26" rgbClr="FF0000">
      <unresolved>
        <commentChain chainId="fea6c76cd5f22eea9508731c9df20f9b1a2fb78d">
          <item id="1ef086b04f066c6959b910c5bf97cce1c73b9abe" isNormal="1">
            <s:text>
              <s:r>
                <s:t xml:space="preserve">Administrator:
0001626 4/22 504pcs回抽办数半成品球给东莞混装（因展示窗吸塑上得晚）
2001082 5/7 2632pcs华3B5</s:t>
              </s:r>
            </s:text>
          </item>
        </commentChain>
      </unresolved>
      <resolved/>
    </commentChains>
    <commentChains s:ref="AL26" rgbClr="FF0000">
      <unresolved>
        <commentChain chainId="a1831c43d8b1cd12607e42e4a06e6bc965cb0207">
          <item id="c6a0e9abc0c446752d730c87c66ffc16901bb8b8" isNormal="1">
            <s:text>
              <s:r>
                <s:t xml:space="preserve">Administrator:
3/21 上客供RFID贴纸3136pcs
4/11 上粉色艾利贴纸196pcs
</s:t>
              </s:r>
            </s:text>
          </item>
        </commentChain>
      </unresolved>
      <resolved/>
    </commentChains>
    <commentChains s:ref="AI27" rgbClr="FF0000">
      <unresolved>
        <commentChain chainId="fd9cc1efaf6fb36db2753c2bbdac0261714b8a50">
          <item id="1cec9cc40feb582521224a6b3b0343423b5998ef" isNormal="1">
            <s:text>
              <s:r>
                <s:t xml:space="preserve">Administrator:
0001769 4/28 816pcsA栋一楼</s:t>
              </s:r>
            </s:text>
          </item>
        </commentChain>
      </unresolved>
      <resolved/>
    </commentChains>
    <commentChains s:ref="AI28" rgbClr="FF0000">
      <unresolved>
        <commentChain chainId="ad38e07875b02765f832f192e6177b3cd18525c6">
          <item id="497992513d1ec7fabf214a782f60abc4625825f9" isNormal="1">
            <s:text>
              <s:r>
                <s:t xml:space="preserve">Administrator:
0001769 4/28 504pcs
A栋一楼</s:t>
              </s:r>
            </s:text>
          </item>
        </commentChain>
      </unresolved>
      <resolved/>
    </commentChains>
    <commentChains s:ref="AI29" rgbClr="FF0000">
      <unresolved>
        <commentChain chainId="93bb546e7b6e51fe4a368a0da02b6f4247a252b7">
          <item id="bbdfb238e2e56394aa644ca2fa506c8600926df2" isNormal="1">
            <s:text>
              <s:r>
                <s:t xml:space="preserve">Administrator:
0001712 5/5 9000pcs直走</s:t>
              </s:r>
            </s:text>
          </item>
        </commentChain>
      </unresolved>
      <resolved/>
    </commentChains>
    <commentChains s:ref="AL29" rgbClr="FF0000">
      <unresolved>
        <commentChain chainId="801b423e40cd11f4ff1a708cf0555f0ea2a54a6b">
          <item id="5b085683e29514e684dbada595ce8bd602ff90d5"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I30" rgbClr="FF0000">
      <unresolved>
        <commentChain chainId="4dddb3852fd0d6978ed9b35f789e196a1a701dea">
          <item id="21e2ec6bf83e2685fa9ec9bcb7a48c0545f1d3e8" isNormal="1">
            <s:text>
              <s:r>
                <s:t xml:space="preserve">Administrator:
0001796 4/25 3000pcs华3B11</s:t>
              </s:r>
            </s:text>
          </item>
        </commentChain>
      </unresolved>
      <resolved/>
    </commentChains>
    <commentChains s:ref="AL30" rgbClr="FF0000">
      <unresolved>
        <commentChain chainId="1c7be372c7627469c8859ae293e1e327f6ae3a17">
          <item id="4ef92e3a27427dcb04abb9dbaf7b8f07e0bf5db0" isNormal="1">
            <s:text>
              <s:r>
                <s:t xml:space="preserve">Administrator:
4/21 上冰棒款-说明书荷兰语贴纸
蛋糕款-说明书荷兰语贴纸
布丁款-说明书荷兰语贴纸
以上三款贴纸各上5166pcs与56860pcs共用
</s:t>
              </s:r>
            </s:text>
          </item>
        </commentChain>
      </unresolved>
      <resolved/>
    </commentChains>
    <commentChains s:ref="AI31" rgbClr="FF0000">
      <unresolved>
        <commentChain chainId="8570d008b33cd66c08600d0f6abfe922c60cf5b1">
          <item id="60cce60da39683e31cd36ecfc51276207bde8713" isNormal="1">
            <s:text>
              <s:r>
                <s:t xml:space="preserve">Administrator:
0001626 4/22 2280pcs送回半成品球给东莞混装（因展示窗吸塑上得晚）
</s:t>
              </s:r>
            </s:text>
          </item>
        </commentChain>
      </unresolved>
      <resolved/>
    </commentChains>
    <commentChains s:ref="AL31" rgbClr="FF0000">
      <unresolved>
        <commentChain chainId="6b0a4195bcd73a927d4bc8da97ab888d24c7788a">
          <item id="8861e6e1b6302cb65fa96f038fd6e5519b0bc6f7" isNormal="1">
            <s:text>
              <s:r>
                <s:t xml:space="preserve">Administrator:
3/25 上UPC贴纸608pcs
4/15 上UPC贴纸1672pcs
</s:t>
              </s:r>
            </s:text>
          </item>
        </commentChain>
      </unresolved>
      <resolved/>
    </commentChains>
    <commentChains s:ref="AI32" rgbClr="FF0000">
      <unresolved>
        <commentChain chainId="f278aa36be6ade9bd7f9151d58ab0729d649976c">
          <item id="5e3db42c390ca17eb772433a0e5a6c149691acfc" isNormal="1">
            <s:text>
              <s:r>
                <s:t xml:space="preserve">Administrator:
0001626 4/22 2280pcs送回半成品球给东莞混装（因展示窗吸塑上得晚）</s:t>
              </s:r>
            </s:text>
          </item>
        </commentChain>
      </unresolved>
      <resolved/>
    </commentChains>
    <commentChains s:ref="AL32" rgbClr="FF0000">
      <unresolved>
        <commentChain chainId="042711b4cba052f26d6dde6b0dfd698042f181a7">
          <item id="b844a0340ba568878e7130a39d3ec9d8ca9fbd17" isNormal="1">
            <s:text>
              <s:r>
                <s:t xml:space="preserve">Administrator:
4/15 上UPC贴纸720pcs</s:t>
              </s:r>
            </s:text>
          </item>
        </commentChain>
      </unresolved>
      <resolved/>
    </commentChains>
    <commentChains s:ref="AI33" rgbClr="FF0000">
      <unresolved>
        <commentChain chainId="a89152e4ef939afb488fe98afc7f7e6864fed208">
          <item id="1f628dcdb52ade6e549918a4a6686d6b535db382" isNormal="1">
            <s:text>
              <s:r>
                <s:t xml:space="preserve">Administrator:
0001789 4/28 10075pcs华3B12</s:t>
              </s:r>
            </s:text>
          </item>
        </commentChain>
      </unresolved>
      <resolved/>
    </commentChains>
    <commentChains s:ref="AI34" rgbClr="FF0000">
      <unresolved>
        <commentChain chainId="738a36edf2704a641b8012fe8d229a77463fa882">
          <item id="4a556b0caa6a1c4d3642453dac88098347b2d728" isNormal="1">
            <s:text>
              <s:r>
                <s:t xml:space="preserve">Administrator:
0001763 4/29 1300pcs华3B8</s:t>
              </s:r>
            </s:text>
          </item>
        </commentChain>
      </unresolved>
      <resolved/>
    </commentChains>
    <commentChains s:ref="AL34" rgbClr="FF0000">
      <unresolved>
        <commentChain chainId="9aec98f9515cbe255c1fffc5bc4b241897a99295">
          <item id="d97f3dbc7add1d39ef9cc7273a9ff41d0129b32e" isNormal="1">
            <s:text>
              <s:r>
                <s:t xml:space="preserve">Administrator:
4/14 上可移动材质的价格贴纸1300pcs
UPC贴纸1300pcs</s:t>
              </s:r>
            </s:text>
          </item>
        </commentChain>
      </unresolved>
      <resolved/>
    </commentChains>
    <commentChains s:ref="AI35" rgbClr="FF0000">
      <unresolved>
        <commentChain chainId="bda42d8cc99d700b4e569561203643d371ad3fa2">
          <item id="b45f9f52594dd4baa185e01666b8d66a598f29a2" isNormal="1">
            <s:text>
              <s:r>
                <s:t xml:space="preserve">Administrator:
0001736 5/3 1146pcs华3A32</s:t>
              </s:r>
            </s:text>
          </item>
        </commentChain>
      </unresolved>
      <resolved/>
    </commentChains>
    <commentChains s:ref="AL35" rgbClr="FF0000">
      <unresolved>
        <commentChain chainId="ccffe053e0cfc197498b81187a9d79711a21080a">
          <item id="1d14f1be8a6dd076db03ffa0722529e1cf2896b1" isNormal="1">
            <s:text>
              <s:r>
                <s:t xml:space="preserve">Administrator:
4/30 上UPC条码贴纸4548pcs 本PO已挪用其它订单的来用
三个PO共用
5/7 上UPC贴纸4584pcs</s:t>
              </s:r>
            </s:text>
          </item>
        </commentChain>
      </unresolved>
      <resolved/>
    </commentChains>
    <commentChains s:ref="AI36" rgbClr="FF0000">
      <unresolved>
        <commentChain chainId="b6d92fc7d2e0d381a4e428d997a5838051bef441">
          <item id="25a265ab808dd25633739e699eb33c7cf1c748de" isNormal="1">
            <s:text>
              <s:r>
                <s:t xml:space="preserve">Administrator:
0001736 5/3 2292pcs华3A32
</s:t>
              </s:r>
            </s:text>
          </item>
        </commentChain>
      </unresolved>
      <resolved/>
    </commentChains>
    <commentChains s:ref="AI37" rgbClr="FF0000">
      <unresolved>
        <commentChain chainId="b392a1a2febd829a195ce1213f8566597cd02f20">
          <item id="55dc3e37b45a5d4f254251d48708be7744f9f9eb" isNormal="1">
            <s:text>
              <s:r>
                <s:t xml:space="preserve">Administrator:
0001736 5/3 1146pcs华3A32
</s:t>
              </s:r>
            </s:text>
          </item>
        </commentChain>
      </unresolved>
      <resolved/>
    </commentChains>
    <commentChains s:ref="AI38" rgbClr="FF0000">
      <unresolved>
        <commentChain chainId="db49b771ca3f13605f3aa2493596c32bd3aa0786">
          <item id="e53496cbaae8abab511298f037eaa17409bb6b24" isNormal="1">
            <s:text>
              <s:r>
                <s:t xml:space="preserve">Administrator:
0001763 4/29 5000pcs直走</s:t>
              </s:r>
            </s:text>
          </item>
        </commentChain>
      </unresolved>
      <resolved/>
    </commentChains>
    <commentChains s:ref="AL38" rgbClr="FF0000">
      <unresolved>
        <commentChain chainId="f32aeaa4d851b62b1bc32bd26e3dd729b760e91b">
          <item id="6c9d9aea5be41f83dada54768d8cf873eccf0d05" isNormal="1">
            <s:text>
              <s:r>
                <s:t xml:space="preserve">Administrator:
4/14 上客人通用进口商贴纸12200pcs
4/30 上UPC条码贴纸8600pcs</s:t>
              </s:r>
            </s:text>
          </item>
        </commentChain>
      </unresolved>
      <resolved/>
    </commentChains>
    <commentChains s:ref="AI39" rgbClr="FF0000">
      <unresolved>
        <commentChain chainId="34be1263e7c17435a7ac128f625aa62c3977a2f4">
          <item id="124991ad365ff03a9e513a35ba01fabd4cb65280" isNormal="1">
            <s:text>
              <s:r>
                <s:t xml:space="preserve">Administrator:
0001763 4/29 3600pcs
直走</s:t>
              </s:r>
            </s:text>
          </item>
        </commentChain>
      </unresolved>
      <resolved/>
    </commentChains>
    <commentChains s:ref="AI40" rgbClr="FF0000">
      <unresolved>
        <commentChain chainId="605513dbf2df98ebf3aa0fa4ae61af5a13513754">
          <item id="212f882e856d3dbe3d70d67feb37aeb906345b20" isNormal="1">
            <s:text>
              <s:r>
                <s:t xml:space="preserve">Administrator:
0001723 5/6 10413pcs华一F11</s:t>
              </s:r>
            </s:text>
          </item>
        </commentChain>
      </unresolved>
      <resolved/>
    </commentChains>
    <commentChains s:ref="AL40" rgbClr="FF0000">
      <unresolved>
        <commentChain chainId="460c4571774c1e3730ea42db64eee03c3bdbf5a1">
          <item id="6916a624987f21d4a7827933b67f9ca47d2a492e" isNormal="1">
            <s:text>
              <s:r>
                <s:t xml:space="preserve">Administrator:
3/31 上白色防盗贴10413pcs
4/11 上UPC条码贴纸10413pcs
4/17 上KM外箱贴纸801pcs
</s:t>
              </s:r>
            </s:text>
          </item>
        </commentChain>
      </unresolved>
      <resolved/>
    </commentChains>
    <commentChains s:ref="AI41" rgbClr="FF0000">
      <unresolved>
        <commentChain chainId="d53050d45695ac88e9542226fd0b72e9fa6e8f77">
          <item id="49a754e969474986e1e957e3584ab7082cbd209c" isNormal="1">
            <s:text>
              <s:r>
                <s:t xml:space="preserve">Administrator:
0001723 5/6 1352pcs华3B14</s:t>
              </s:r>
            </s:text>
          </item>
        </commentChain>
      </unresolved>
      <resolved/>
    </commentChains>
    <commentChains s:ref="AL41" rgbClr="FF0000">
      <unresolved>
        <commentChain chainId="d12bf747b2c8f23f5b546211fe3b7cfc11c17303">
          <item id="7aeee5464c25152c923d9877536d4ce3d17d0d75" isNormal="1">
            <s:text>
              <s:r>
                <s:t xml:space="preserve">Administrator:
3/31 上白色防盗贴纸1352pcs
4/11 上UPC条码贴纸1352pcs
4/17 上KM外箱贴纸104pcs
</s:t>
              </s:r>
            </s:text>
          </item>
        </commentChain>
      </unresolved>
      <resolved/>
    </commentChains>
    <commentChains s:ref="AI42" rgbClr="FF0000">
      <unresolved>
        <commentChain chainId="69c00a741f499062f068e79ab6c3d769b659449b">
          <item id="b6c47943ffb11e06d4c1e1a7f129e10862c8f807" isNormal="1">
            <s:text>
              <s:r>
                <s:t xml:space="preserve">Administrator:
2001082 5/7 2600pcs华3A16</s:t>
              </s:r>
            </s:text>
          </item>
        </commentChain>
      </unresolved>
      <resolved/>
    </commentChains>
    <commentChains s:ref="AL42" rgbClr="FF0000">
      <unresolved>
        <commentChain chainId="2401c53007d2ad1c4c4a3f3f37ac74a5ae02c862">
          <item id="cefec619c812a27e408a8e36e0d8a5a0d83d5be5" isNormal="1">
            <s:text>
              <s:r>
                <s:t xml:space="preserve">Administrator:
4/15 上多语折叠警告语贴纸2600pcs
</s:t>
              </s:r>
            </s:text>
          </item>
        </commentChain>
      </unresolved>
      <resolved/>
    </commentChains>
    <commentChains s:ref="AI43" rgbClr="FF0000">
      <unresolved>
        <commentChain chainId="8cc60818656845af310eeb70e1e3563ad6b49c7f">
          <item id="5f11e8a240625e6406f2f34f29efd0e2d4868f52" isNormal="1">
            <s:text>
              <s:r>
                <s:t xml:space="preserve">Administrator:
2001112 5/9 6924pcs华3A26
2001116 5/10 2400pcs
华3A26
2001146 5/12 24pcs华3A26</s:t>
              </s:r>
            </s:text>
          </item>
        </commentChain>
      </unresolved>
      <resolved/>
    </commentChains>
    <commentChains s:ref="AL43" rgbClr="FF0000">
      <unresolved>
        <commentChain chainId="36daf59116502d244582e2f463ebe9332322d6e8">
          <item id="03716aa99d450db055c8a0a86d7a6b2b47bbe794" isNormal="1">
            <s:text>
              <s:r>
                <s:t xml:space="preserve">Administrator:
4/24 上空白贴纸18696pcs</s:t>
              </s:r>
            </s:text>
          </item>
        </commentChain>
      </unresolved>
      <resolved/>
    </commentChains>
    <commentChains s:ref="AI44" rgbClr="FF0000">
      <unresolved>
        <commentChain chainId="4fa2a38fd09ad2909e4baeecc0c32c3f77ea62f6">
          <item id="1a05487f6a4892ac5335dd1aa87817eec9ff8f10" isNormal="1">
            <s:text>
              <s:r>
                <s:t xml:space="preserve">Administrator:
2001116 5/10 5850pcs华3B16</s:t>
              </s:r>
            </s:text>
          </item>
        </commentChain>
      </unresolved>
      <resolved/>
    </commentChains>
    <commentChains s:ref="AL44" rgbClr="FF0000">
      <unresolved>
        <commentChain chainId="6e757af39276ab4643244d9fb939f955a259f6d7">
          <item id="daa7baead325e7ba94b9f1a1d5e18b0746af7cef" isNormal="1">
            <s:text>
              <s:r>
                <s:t xml:space="preserve">Administrator:
4/30 上UPC条码贴纸23400pcs
四个同PO共用
5/7 上UPC条码贴纸23400pcs</s:t>
              </s:r>
            </s:text>
          </item>
        </commentChain>
      </unresolved>
      <resolved/>
    </commentChains>
    <commentChains s:ref="AI45" rgbClr="FF0000">
      <unresolved>
        <commentChain chainId="15247e71a6b0240e370176b9b20c54851b93ce60">
          <item id="56b04042fda93734c4ba11a1096bd41f8bac1312" isNormal="1">
            <s:text>
              <s:r>
                <s:t xml:space="preserve">Administrator:
2001116 5/10 5850pcs
华3B16</s:t>
              </s:r>
            </s:text>
          </item>
        </commentChain>
      </unresolved>
      <resolved/>
    </commentChains>
    <commentChains s:ref="AI46" rgbClr="FF0000">
      <unresolved>
        <commentChain chainId="ece0b87233d0f9d77cdd57b78d0e749cc1097489">
          <item id="9b491edd8c18958b5798a38c9843e61ac8d455be" isNormal="1">
            <s:text>
              <s:r>
                <s:t xml:space="preserve">Administrator:
2001118 5/10 5200pcs直走</s:t>
              </s:r>
            </s:text>
          </item>
        </commentChain>
      </unresolved>
      <resolved/>
    </commentChains>
    <commentChains s:ref="AL46" rgbClr="FF0000">
      <unresolved>
        <commentChain chainId="6ba9a4bec89f345d72ae582ca63c6c624f89f466">
          <item id="a040e56c29123b757046d79e8bef19f2f44c2757" isNormal="1">
            <s:text>
              <s:r>
                <s:t xml:space="preserve">Administrator:
4/1 上UPC条码贴纸5200pcs</s:t>
              </s:r>
            </s:text>
          </item>
        </commentChain>
      </unresolved>
      <resolved/>
    </commentChains>
    <commentChains s:ref="AI47" rgbClr="FF0000">
      <unresolved>
        <commentChain chainId="1418bc8a1b85607be4b4d0648087bee7c0cdc3db">
          <item id="fa0d5c69d9ee137ceb24ef1cfb617375ae49a688" isNormal="1">
            <s:text>
              <s:r>
                <s:t xml:space="preserve">Administrator:
2001076 5/8 2624pcs华3B3</s:t>
              </s:r>
            </s:text>
          </item>
        </commentChain>
      </unresolved>
      <resolved/>
    </commentChains>
    <commentChains s:ref="AL47" rgbClr="FF0000">
      <unresolved>
        <commentChain chainId="4107f72fac913a9e3a46c67209a12d6020727610">
          <item id="8f996a7b42fab6f872c6c9570fceb61b2be97db1" isNormal="1">
            <s:text>
              <s:r>
                <s:t xml:space="preserve">Administrator:
4/15 上客供RFID贴纸2624pcs
</s:t>
              </s:r>
            </s:text>
          </item>
        </commentChain>
      </unresolved>
      <resolved/>
    </commentChains>
    <commentChains s:ref="AI48" rgbClr="FF0000">
      <unresolved>
        <commentChain chainId="36fe2277395992ece5ee53d9afba024c7a1b3797">
          <item id="4f23cacbf9107322dd4eb1ab0fcda3d7288cbd4f" isNormal="1">
            <s:text>
              <s:r>
                <s:t xml:space="preserve">Administrator:
2001082 5/8 3520pcs华3B3</s:t>
              </s:r>
            </s:text>
          </item>
        </commentChain>
      </unresolved>
      <resolved/>
    </commentChains>
    <commentChains s:ref="AL48" rgbClr="FF0000">
      <unresolved>
        <commentChain chainId="a0477dcd354c852be161d534692c3d3e5692f6bf">
          <item id="f32734d2652bee054af60ba87b054e075a39cd46" isNormal="1">
            <s:text>
              <s:r>
                <s:t xml:space="preserve">Administrator:
4/15 上客供RFID贴纸3520pcs
</s:t>
              </s:r>
            </s:text>
          </item>
        </commentChain>
      </unresolved>
      <resolved/>
    </commentChains>
    <commentChains s:ref="AI49" rgbClr="FF0000">
      <unresolved>
        <commentChain chainId="b3174ec6eb7998e6f0a21614d0a5a3b3d4e870f9">
          <item id="21c9acc4701ed5dcc1602c1dc4dc48102e9ef2f5" isNormal="1">
            <s:text>
              <s:r>
                <s:t xml:space="preserve">Administrator:
2001076 5/8 3500pcs华3B3</s:t>
              </s:r>
            </s:text>
          </item>
        </commentChain>
      </unresolved>
      <resolved/>
    </commentChains>
    <commentChains s:ref="AL49" rgbClr="FF0000">
      <unresolved>
        <commentChain chainId="a2d31ed1a7a14fb927a4b676a030775aef01fc28">
          <item id="8cd5b03a07d355e0a65ab18eb56ae96d14d6d7d0" isNormal="1">
            <s:text>
              <s:r>
                <s:t xml:space="preserve">Administrator:
4/21 上冰棒款-说明书荷兰语贴纸
蛋糕款-说明书荷兰语贴纸
布丁款-说明书荷兰语贴纸
以上三款贴纸各上5166pcs与56860pcs共用</s:t>
              </s:r>
            </s:text>
          </item>
        </commentChain>
      </unresolved>
      <resolved/>
    </commentChains>
    <commentChains s:ref="AI50" rgbClr="FF0000">
      <unresolved>
        <commentChain chainId="2645c90995f20db40eb9830077080c3eb9362186">
          <item id="36511ec3d76e78b6840a6f9e1bafc72a916c0f9c" isNormal="1">
            <s:text>
              <s:r>
                <s:t xml:space="preserve">Administrator:
2001076 5/8 7950pcs华3B6
2001131 5/10 50pcs华3A7</s:t>
              </s:r>
            </s:text>
          </item>
        </commentChain>
      </unresolved>
      <resolved/>
    </commentChains>
    <commentChains s:ref="AL50" rgbClr="FF0000">
      <unresolved>
        <commentChain chainId="16753b49d65379df153109d93568830f6a73eb00">
          <item id="0e3aee90ed3edf643017b6533b1402357f802ebd" isNormal="1">
            <s:text>
              <s:r>
                <s:t xml:space="preserve">Administrator:
3/31 上冰棒款-说明书荷兰语贴纸2670pcs
蛋糕款-说明书荷兰语贴纸2670pcs
布丁款-说明书荷兰语贴纸2670pcs</s:t>
              </s:r>
            </s:text>
          </item>
        </commentChain>
      </unresolved>
      <resolved/>
    </commentChains>
    <commentChains s:ref="AI51" rgbClr="FF0000">
      <unresolved>
        <commentChain chainId="1447b6504844a7260d16a18e6dcfec5f55ea8d22">
          <item id="ec524fa03de6e1a364cb37903773bb3507066808" isNormal="1">
            <s:text>
              <s:r>
                <s:t xml:space="preserve">Administrator:
2001082 5/8 5200pcs直走</s:t>
              </s:r>
            </s:text>
          </item>
        </commentChain>
      </unresolved>
      <resolved/>
    </commentChains>
    <commentChains s:ref="AL51" rgbClr="FF0000">
      <unresolved>
        <commentChain chainId="6c329e2d6186f03a8d45e8f06c75cd220da21287">
          <item id="3f4d1d32f8bc2c1ed421c1719bdf77d385cc3929" isNormal="1">
            <s:text>
              <s:r>
                <s:t xml:space="preserve">Administrator:
4/15 上多语折叠警告语贴纸5200pcs
</s:t>
              </s:r>
            </s:text>
          </item>
        </commentChain>
      </unresolved>
      <resolved/>
    </commentChains>
    <commentChains s:ref="AI52" rgbClr="FF0000">
      <unresolved>
        <commentChain chainId="761e8733abae199701597a0e2767d4cfa1bc2df3">
          <item id="c15ba5946b6df6c1b28bb29fff94543beb86a1ed" isNormal="1">
            <s:text>
              <s:r>
                <s:t xml:space="preserve">Administrator:
2001133 5/10 1300pcs华3B4</s:t>
              </s:r>
            </s:text>
          </item>
        </commentChain>
      </unresolved>
      <resolved/>
    </commentChains>
    <commentChains s:ref="AL52" rgbClr="FF0000">
      <unresolved>
        <commentChain chainId="2bca699c93fad01752193e5fbd946a0872ee44a9">
          <item id="5ae7254483bb2bfdd82e71cdfc024b3517594944" isNormal="1">
            <s:text>
              <s:r>
                <s:t xml:space="preserve">Administrator:
4/14 上UPC条码贴纸1300pcs
警语贴纸1300pcs</s:t>
              </s:r>
            </s:text>
          </item>
        </commentChain>
      </unresolved>
      <resolved/>
    </commentChains>
    <commentChains s:ref="AI53" rgbClr="FF0000">
      <unresolved>
        <commentChain chainId="34025566f4570d2131caf5276798f04229e1c901">
          <item id="72594cad32cd1227b388c291065cbaa9057e797a" isNormal="1">
            <s:text>
              <s:r>
                <s:t xml:space="preserve">Administrator:
2001149 5/12 21900pcs华3A13</s:t>
              </s:r>
            </s:text>
          </item>
        </commentChain>
      </unresolved>
      <resolved/>
    </commentChains>
    <commentChains s:ref="AL53" rgbClr="FF0000">
      <unresolved>
        <commentChain chainId="24fdb54c8e3bdfc99b693cedc9599ec45221a58b">
          <item id="7a6769c6aa701b7477df3f82e5c4b25d2c15ace8" isNormal="1">
            <s:text>
              <s:r>
                <s:t xml:space="preserve">Administrator:
4/3 上客供外箱条码贴纸885pcs
</s:t>
              </s:r>
            </s:text>
          </item>
        </commentChain>
      </unresolved>
      <resolved/>
    </commentChains>
    <commentChains s:ref="AI54" rgbClr="FF0000">
      <unresolved>
        <commentChain chainId="4534613276aecff15928bf475470153321f418bf">
          <item id="2e574cab0b23f9b4d3ce2fcbfe10a779ed296876" isNormal="1">
            <s:text>
              <s:r>
                <s:t xml:space="preserve">Administrator:
2001149 5/12 20000pcs华3A13</s:t>
              </s:r>
            </s:text>
          </item>
        </commentChain>
      </unresolved>
      <resolved/>
    </commentChains>
    <commentChains s:ref="AL54" rgbClr="FF0000">
      <unresolved>
        <commentChain chainId="2b57b60e39ee822ec20182d76905e27f47736b4e">
          <item id="ffec323eca12fa30befd6db0a80f313243f50ea6" isNormal="1">
            <s:text>
              <s:r>
                <s:t xml:space="preserve">Administrator:
4/3 上客供外箱条码贴纸808pcs
</s:t>
              </s:r>
            </s:text>
          </item>
        </commentChain>
      </unresolved>
      <resolved/>
    </commentChains>
    <commentChains s:ref="AI55" rgbClr="FF0000">
      <unresolved>
        <commentChain chainId="754e5cf8b1ee6e6a01aabb0b9e6b5b4b7ff51cd1">
          <item id="ba555f034126458b8ab64f4ec264e621252a5ed5" isNormal="1">
            <s:text>
              <s:r>
                <s:t xml:space="preserve">Administrator:
0001022 5/13 10650pcs莫4-C8
0001011 5/15 19500pcs华3A23</s:t>
              </s:r>
            </s:text>
          </item>
        </commentChain>
      </unresolved>
      <resolved/>
    </commentChains>
    <commentChains s:ref="AL55" rgbClr="FF0000">
      <unresolved>
        <commentChain chainId="04f549e2e0e15806e6dd502b929f1986a0457b55">
          <item id="c5dca6c4f560bfa486f1fa52b5d50121a6c7cc31" isNormal="1">
            <s:text>
              <s:r>
                <s:t xml:space="preserve">Administrator:
4/3 上客供外箱条码贴纸1218pcs</s:t>
              </s:r>
            </s:text>
          </item>
        </commentChain>
      </unresolved>
      <resolved/>
    </commentChains>
    <commentChains s:ref="AI56" rgbClr="FF0000">
      <unresolved>
        <commentChain chainId="e0e360b8383b8dd3cfe9d0a6c65f9d4fbe6a4c2c">
          <item id="3594fc760e08323fa43fe14ecad73a6f42c4e5a5" isNormal="1">
            <s:text>
              <s:r>
                <s:t xml:space="preserve">Administrator:
2001213 5/14 16120pcs华3A24
2001228 5/15 13pcs华3楼</s:t>
              </s:r>
            </s:text>
          </item>
        </commentChain>
      </unresolved>
      <resolved/>
    </commentChains>
    <commentChains s:ref="AI57" rgbClr="FF0000">
      <unresolved>
        <commentChain chainId="176ac9bfbba2ef7359da0a5d013803572cd7d25a">
          <item id="87cb1f697f55ec2add6e4f472744b656cde81306" isNormal="1">
            <s:text>
              <s:r>
                <s:t xml:space="preserve">Administrator:
2001182 5/13 12736pcsB栋四楼</s:t>
              </s:r>
            </s:text>
          </item>
        </commentChain>
      </unresolved>
      <resolved/>
    </commentChains>
    <commentChains s:ref="AL57" rgbClr="FF0000">
      <unresolved>
        <commentChain chainId="710d8c0348f378d2edb1425d5dd7fff7dfcb62f2">
          <item id="81d79f0475e96f54bf21134ddd1e1cf08bcd44db" isNormal="1">
            <s:text>
              <s:r>
                <s:t xml:space="preserve">Administrator:
3/21 上客供RFID贴纸12736pcs
4/11 上粉色艾利贴纸796pcs
</s:t>
              </s:r>
            </s:text>
          </item>
        </commentChain>
      </unresolved>
      <resolved/>
    </commentChains>
    <commentChains s:ref="AI58" rgbClr="FF0000">
      <unresolved>
        <commentChain chainId="a26eadaf8c8b0125869dbc94a97033e0fdec6691">
          <item id="10ecc62419915f75214428b538e223884b8ceb11" isNormal="1">
            <s:text>
              <s:r>
                <s:t xml:space="preserve">Administrator:
2001182 5/13 16960pcs
B栋四楼</s:t>
              </s:r>
            </s:text>
          </item>
        </commentChain>
      </unresolved>
      <resolved/>
    </commentChains>
    <commentChains s:ref="AL58" rgbClr="FF0000">
      <unresolved>
        <commentChain chainId="1a1b8002a9c90424476dd9c239ac11bee143c175">
          <item id="b4059c4a10a8ba7e8c5a141fdda0363ac08ce813" isNormal="1">
            <s:text>
              <s:r>
                <s:t xml:space="preserve">Administrator:
3/21 上客供RFID贴纸16960pcs
4/11 上粉色艾利贴纸1060pcs
</s:t>
              </s:r>
            </s:text>
          </item>
        </commentChain>
      </unresolved>
      <resolved/>
    </commentChains>
    <commentChains s:ref="AI59" rgbClr="FF0000">
      <unresolved>
        <commentChain chainId="f050031b36f3ee339f6bf95efef5fa9a8f2d559a">
          <item id="3dfa0dcd7dda9179e009b261e09b90f62c18198b" isNormal="1">
            <s:text>
              <s:r>
                <s:t xml:space="preserve">Administrator:
2001182 5/13 15104pcs
B栋四楼</s:t>
              </s:r>
            </s:text>
          </item>
        </commentChain>
      </unresolved>
      <resolved/>
    </commentChains>
    <commentChains s:ref="AL59" rgbClr="FF0000">
      <unresolved>
        <commentChain chainId="ea94dd30f8003d85a901c3dae5c1d04c094e6a76">
          <item id="4ac2bd841a427e7b03eef59f2be2f88f117de7bc" isNormal="1">
            <s:text>
              <s:r>
                <s:t xml:space="preserve">Administrator:
3/21 上客供RFID贴纸15104pcs
4/11 上粉色艾利贴纸944pcs
</s:t>
              </s:r>
            </s:text>
          </item>
        </commentChain>
      </unresolved>
      <resolved/>
    </commentChains>
    <commentChains s:ref="AI60" rgbClr="FF0000">
      <unresolved>
        <commentChain chainId="b80f548db7c47d123699e81f3d5cfc8fb13e8b2a">
          <item id="f935042fc98cb983b0aa051121e9945a640eb7e0" isNormal="1">
            <s:text>
              <s:r>
                <s:t xml:space="preserve">Administrator:
2001154 5/13 4032pcs华3B5</s:t>
              </s:r>
            </s:text>
          </item>
        </commentChain>
      </unresolved>
      <resolved/>
    </commentChains>
    <commentChains s:ref="AL60" rgbClr="FF0000">
      <unresolved>
        <commentChain chainId="69729024e263239db24368cac7293bac516f02eb">
          <item id="0bb12247ceca3a650d3f1d3478c05edb5d5236a8" isNormal="1">
            <s:text>
              <s:r>
                <s:t xml:space="preserve">Administrator:
4/15 上客供RFID贴纸4032pcs
</s:t>
              </s:r>
            </s:text>
          </item>
        </commentChain>
      </unresolved>
      <resolved/>
    </commentChains>
    <commentChains s:ref="AI61" rgbClr="FF0000">
      <unresolved>
        <commentChain chainId="a3fca12baa4c6ccf483324fcf40a6aa10fd8b267">
          <item id="03eac37e5ffba2b412c726b12b44ac8322fa2f25" isNormal="1">
            <s:text>
              <s:r>
                <s:t xml:space="preserve">Administrator:
2001186 5/14 2000pcs华3B14</s:t>
              </s:r>
            </s:text>
          </item>
        </commentChain>
      </unresolved>
      <resolved/>
    </commentChains>
    <commentChains s:ref="AL61" rgbClr="FF0000">
      <unresolved>
        <commentChain chainId="eb6c1206eb5b139f7b52b6ae24345da12eff21e1">
          <item id="dd242eea293a8a346ba16bf4d320e6d9a8fe4d80" isNormal="1">
            <s:text>
              <s:r>
                <s:t xml:space="preserve">Administrator:
4/28 上进口商贴纸5000pcs
两个同PO共用</s:t>
              </s:r>
            </s:text>
          </item>
        </commentChain>
      </unresolved>
      <resolved/>
    </commentChains>
    <commentChains s:ref="AI62" rgbClr="FF0000">
      <unresolved>
        <commentChain chainId="f63a37b4ec670ce87e897e4bde510c0b5610e341">
          <item id="67a16c7ae83e51b947cae7eb05956033edde169a" isNormal="1">
            <s:text>
              <s:r>
                <s:t xml:space="preserve">Administrator:
2001154 5/13 6604pcs华3B16</s:t>
              </s:r>
            </s:text>
          </item>
        </commentChain>
      </unresolved>
      <resolved/>
    </commentChains>
    <commentChains s:ref="AL62" rgbClr="FF0000">
      <unresolved>
        <commentChain chainId="74e303646da66dae104b975565a79bca2cdc3f2a">
          <item id="b357a1830a93d00d2c10cbed24951ce720f99a09" isNormal="1">
            <s:text>
              <s:r>
                <s:t xml:space="preserve">Administrator:
4/30 多语警语折叠贴纸6604pcs
</s:t>
              </s:r>
            </s:text>
          </item>
        </commentChain>
      </unresolved>
      <resolved/>
    </commentChains>
    <commentChains s:ref="AI63" rgbClr="FF0000">
      <unresolved>
        <commentChain chainId="c24032b544a951d80f6a054ee9e40334f4fac782">
          <item id="5af1779cb8a464e144e39f5661013e6e97eb62ab" isNormal="1">
            <s:text>
              <s:r>
                <s:t xml:space="preserve">Administrator:
2001159 5/13 3016pcs
华3A14</s:t>
              </s:r>
            </s:text>
          </item>
        </commentChain>
      </unresolved>
      <resolved/>
    </commentChains>
    <commentChains s:ref="AL63" rgbClr="FF0000">
      <unresolved>
        <commentChain chainId="2ef6045937c3aea98cdc1f23b0eee8e703ad2c7a">
          <item id="3e76a216f4387e07d08ab2020dc8437617bb84e2" isNormal="1">
            <s:text>
              <s:r>
                <s:t xml:space="preserve">Administrator:
4/14 上客供警语贴纸底部3112pcs
客供警语贴纸说明书上3110pcs
客供警语贴纸收藏指南31102pcs
4/14 上UPC条码贴纸3016pcs</s:t>
              </s:r>
            </s:text>
          </item>
        </commentChain>
      </unresolved>
      <resolved/>
    </commentChains>
    <commentChains s:ref="AI64" rgbClr="FF0000">
      <unresolved>
        <commentChain chainId="a09b99b288d5e7f6c7deb61f7dc8285b9897625a">
          <item id="d45059be757cfcb7a0cb6c53acfe6db87d59d0aa" isNormal="1">
            <s:text>
              <s:r>
                <s:t xml:space="preserve">Administrator:
2001228 5/15 2080pcs华3B14</s:t>
              </s:r>
            </s:text>
          </item>
        </commentChain>
      </unresolved>
      <resolved/>
    </commentChains>
    <commentChains s:ref="AL64" rgbClr="FF0000">
      <unresolved>
        <commentChain chainId="13e86c51e907888f575c66bb2575490dedaed68f">
          <item id="49ea87018384548a878c6dfdc07f17c494eb9651" isNormal="1">
            <s:text>
              <s:r>
                <s:t xml:space="preserve">Administrator:
4/21 上进口商贴纸2080pcs
UPC贴纸2080pcs</s:t>
              </s:r>
            </s:text>
          </item>
        </commentChain>
      </unresolved>
      <resolved/>
    </commentChains>
    <commentChains s:ref="AI65" rgbClr="FF0000">
      <unresolved>
        <commentChain chainId="c9608463ddb48d914a4b17ffbf486e2943a42319">
          <item id="d060ceca3a22fcc228a8bd9df6db592d0edc2d16" isNormal="1">
            <s:text>
              <s:r>
                <s:t xml:space="preserve">Administrator:
2001213 5/14 50pcs华3B14</s:t>
              </s:r>
            </s:text>
          </item>
        </commentChain>
      </unresolved>
      <resolved/>
    </commentChains>
    <commentChains s:ref="AL65" rgbClr="FF0000">
      <unresolved>
        <commentChain chainId="14de594040e51f7f7d7d385c8ff65a6402a4b0d2">
          <item id="16e23f0dfc32031ddd83c3d3d366e545a575f316" isNormal="1">
            <s:text>
              <s:r>
                <s:t xml:space="preserve">Administrator:
4/10 上外箱黄色贴纸8pcs</s:t>
              </s:r>
            </s:text>
          </item>
        </commentChain>
      </unresolved>
      <resolved/>
    </commentChains>
    <commentChains s:ref="AI66" rgbClr="FF0000">
      <unresolved>
        <commentChain chainId="247a4f7c4f098659af402afb0d04bf62d41942ab">
          <item id="d75c9b72f0666cfb7adc74b8c7e3f741d9775ccb" isNormal="1">
            <s:text>
              <s:r>
                <s:t xml:space="preserve">Administrator:
2001186 5/14 10075pcs
华3B9</s:t>
              </s:r>
            </s:text>
          </item>
        </commentChain>
      </unresolved>
      <resolved/>
    </commentChains>
    <commentChains s:ref="AI67" rgbClr="FF0000">
      <unresolved>
        <commentChain chainId="9996cd10ecd267eb08f250623cca58bd800a7cc6">
          <item id="14585b23339d89c743407a3500354d9591a3cf81" isNormal="1">
            <s:text>
              <s:r>
                <s:t xml:space="preserve">Administrator:
2001186 5/14 5000pcs
华3B15</s:t>
              </s:r>
            </s:text>
          </item>
        </commentChain>
      </unresolved>
      <resolved/>
    </commentChains>
    <commentChains s:ref="AI68" rgbClr="FF0000">
      <unresolved>
        <commentChain chainId="27300daebe5d8c0bdf88fca69021772ac358bc0d">
          <item id="39dd2480fc9604687e6aeabfdfcfb8a9ea90859a" isNormal="1">
            <s:text>
              <s:r>
                <s:t xml:space="preserve">Administrator:
2001159 5/13 4672pcs华3A10</s:t>
              </s:r>
            </s:text>
          </item>
        </commentChain>
      </unresolved>
      <resolved/>
    </commentChains>
    <commentChains s:ref="AL68" rgbClr="FF0000">
      <unresolved>
        <commentChain chainId="ac895d19290f27db0ae2db1e8e85cb7ff408b67c">
          <item id="06e949de4849426470e86d71b54c9b326039c990" isNormal="1">
            <s:text>
              <s:r>
                <s:t xml:space="preserve">Administrator:
4/15 上客供RFID贴纸4672pcs
</s:t>
              </s:r>
            </s:text>
          </item>
        </commentChain>
      </unresolved>
      <resolved/>
    </commentChains>
    <commentChains s:ref="AI69" rgbClr="FF0000">
      <unresolved>
        <commentChain chainId="1924b1cf2bb913f32253d752ff375f3c7bed19f7">
          <item id="171a9423920eceb88997e1696424539870483271" isNormal="1">
            <s:text>
              <s:r>
                <s:t xml:space="preserve">Administrator:
2001159 5/13 5850pcs
华3B11</s:t>
              </s:r>
            </s:text>
          </item>
        </commentChain>
      </unresolved>
      <resolved/>
    </commentChains>
    <commentChains s:ref="AI70" rgbClr="FF0000">
      <unresolved>
        <commentChain chainId="e87cee7746561fa4ae395390477975c18c4264e8">
          <item id="b4baae8e39eaf3a7ffbde6c6ea5750059c059385" isNormal="1">
            <s:text>
              <s:r>
                <s:t xml:space="preserve">Administrator:
2001159 5/13 5850pcs
华3B11</s:t>
              </s:r>
            </s:text>
          </item>
        </commentChain>
      </unresolved>
      <resolved/>
    </commentChains>
    <commentChains s:ref="AI71" rgbClr="FF0000">
      <unresolved>
        <commentChain chainId="118cad53df83ab6a0650c89de8b8d90cc061d1cc">
          <item id="1425acc18842b7044e1b03b6a1efff8c65baaef4" isNormal="1">
            <s:text>
              <s:r>
                <s:t xml:space="preserve">Administrator:
2001213 5/14 2106pcs华3B13</s:t>
              </s:r>
            </s:text>
          </item>
        </commentChain>
      </unresolved>
      <resolved/>
    </commentChains>
    <commentChains s:ref="AL71" rgbClr="FF0000">
      <unresolved>
        <commentChain chainId="82f484a7e11292b657e2bb72412b399eeb55e5be">
          <item id="8fdfa880883c39e66c2cb014798a2dff92bff589" isNormal="1">
            <s:text>
              <s:r>
                <s:t xml:space="preserve">Administrator:
4/25 上白色防盗贴纸2106pcs
5/8 上KM单外箱贴纸162pcs
5/14 上UPC贴纸2106pcs此单贴纸已挪用其它订单来用</s:t>
              </s:r>
            </s:text>
          </item>
        </commentChain>
      </unresolved>
      <resolved/>
    </commentChains>
    <commentChains s:ref="AI72" rgbClr="FF0000">
      <unresolved>
        <commentChain chainId="f9cc6f2b7f5de80404929c1d16466f3da8e83a7a">
          <item id="db4e50b6c9b7c883dcd175aa29d537eb12580032" isNormal="1">
            <s:text>
              <s:r>
                <s:t xml:space="preserve">Administrator:
2001133 5/10 260pcs华3B4</s:t>
              </s:r>
            </s:text>
          </item>
        </commentChain>
      </unresolved>
      <resolved/>
    </commentChains>
    <commentChains s:ref="AL72" rgbClr="FF0000">
      <unresolved>
        <commentChain chainId="27841a794ca7b03a28f7d538870031576cd1faa4">
          <item id="6232c9e38883ba04598e22754dfbb0198a18a566" isNormal="1">
            <s:text>
              <s:r>
                <s:t xml:space="preserve">Administrator:
4/30 多语警语折叠贴纸260pcs
</s:t>
              </s:r>
            </s:text>
          </item>
        </commentChain>
      </unresolved>
      <resolved/>
    </commentChains>
    <commentChains s:ref="AI73" rgbClr="FF0000">
      <unresolved>
        <commentChain chainId="e1f9b6f9c19c0bc06dfe460a2b85533991dc88b8">
          <item id="acb0a37fadd87499f3a7dcd5b66ec0901c863028" isNormal="1">
            <s:text>
              <s:r>
                <s:t xml:space="preserve">Administrator:
2001159 5/13 3296pcs华3A10</s:t>
              </s:r>
            </s:text>
          </item>
        </commentChain>
      </unresolved>
      <resolved/>
    </commentChains>
    <commentChains s:ref="AL73" rgbClr="FF0000">
      <unresolved>
        <commentChain chainId="ccb704736a096b3e8a2d851f5d807d9cca015747">
          <item id="f175155a26ec31a6cbf378360f26df016263cce5" isNormal="1">
            <s:text>
              <s:r>
                <s:t xml:space="preserve">Administrator:
4/15 上客供RFID贴纸3296pcs</s:t>
              </s:r>
            </s:text>
          </item>
        </commentChain>
      </unresolved>
      <resolved/>
    </commentChains>
    <commentChains s:ref="AI74" rgbClr="FF0000">
      <unresolved>
        <commentChain chainId="324c01d0045390a81b10adeab001b1cb1f491680">
          <item id="d535943bd3fdd10c2cd50b71a3c7cccee5d4b5ce" isNormal="1">
            <s:text>
              <s:r>
                <s:t xml:space="preserve">Administrator:
2001159 5/13 3184pcs
华3A10</s:t>
              </s:r>
            </s:text>
          </item>
        </commentChain>
      </unresolved>
      <resolved/>
    </commentChains>
    <commentChains s:ref="AL74" rgbClr="FF0000">
      <unresolved>
        <commentChain chainId="915b69a816c221917b18226e6544cbd568b6ed6d">
          <item id="2a60e3f649152ad23a2163f9c1f8fc3232e3db34" isNormal="1">
            <s:text>
              <s:r>
                <s:t xml:space="preserve">Administrator:
4/15 上客供RFID贴纸3184pcs
</s:t>
              </s:r>
            </s:text>
          </item>
        </commentChain>
      </unresolved>
      <resolved/>
    </commentChains>
    <commentChains s:ref="AI75" rgbClr="FF0000">
      <unresolved>
        <commentChain chainId="44374216bcf130e04a734d42e61b9f8aa1037c5d">
          <item id="8815167e1fa9c1ee74e046889b5e88bed51f51ae" isNormal="1">
            <s:text>
              <s:r>
                <s:t xml:space="preserve">Administrator:
2001159 5/13 4240pcs
华3A10</s:t>
              </s:r>
            </s:text>
          </item>
        </commentChain>
      </unresolved>
      <resolved/>
    </commentChains>
    <commentChains s:ref="AL75" rgbClr="FF0000">
      <unresolved>
        <commentChain chainId="f0bf95b644f4540fe8fb8ba37022686a9b8dff82">
          <item id="b5ffff9c1e0c9fdae15dbbb900ce092a24abced6" isNormal="1">
            <s:text>
              <s:r>
                <s:t xml:space="preserve">Administrator:
4/15 上客供RFID贴纸4240pcs
</s:t>
              </s:r>
            </s:text>
          </item>
        </commentChain>
      </unresolved>
      <resolved/>
    </commentChains>
    <commentChains s:ref="AI76" rgbClr="FF0000">
      <unresolved>
        <commentChain chainId="8ff2d84577f528d5415a3c984fb323804d3a7b91">
          <item id="03aa32f95547c4aba176a4fc0f0e97dfec08f057" isNormal="1">
            <s:text>
              <s:r>
                <s:t xml:space="preserve">Administrator:
2000982 5/17 475pcs莫4A7</s:t>
              </s:r>
            </s:text>
          </item>
        </commentChain>
      </unresolved>
      <resolved/>
    </commentChains>
    <commentChains s:ref="AL76" rgbClr="FF0000">
      <unresolved>
        <commentChain chainId="1b3bbc1fae8c9afb14ec3fcf3759a649d2615cca">
          <item id="ad4b84850ef46f1d9c5823bcf302fd03e1aac17e" isNormal="1">
            <s:text>
              <s:r>
                <s:t xml:space="preserve">Administrator:
4/28 上警示语贴纸475pcs</s:t>
              </s:r>
            </s:text>
          </item>
        </commentChain>
      </unresolved>
      <resolved/>
    </commentChains>
    <commentChains s:ref="AI77" rgbClr="FF0000">
      <unresolved>
        <commentChain chainId="c2cfca1d564374c52f67982ed61a8dc066a8582b">
          <item id="10a0a1e1276c8f524b34859d2b955daa09ace678" isNormal="1">
            <s:text>
              <s:r>
                <s:t xml:space="preserve">Administrator:
2001213 5/14 3000pcs华3B11</s:t>
              </s:r>
            </s:text>
          </item>
        </commentChain>
      </unresolved>
      <resolved/>
    </commentChains>
    <commentChains s:ref="AI78" rgbClr="FF0000">
      <unresolved>
        <commentChain chainId="5ca4d27c056eb8ed79961eea0c57a5f6cc79ee52">
          <item id="85c7fa1c7c0dac4d82bc4fac2a2136f01381cca3" isNormal="1">
            <s:text>
              <s:r>
                <s:t xml:space="preserve">Administrator:
2000861 5/19 1140pcs华3B11</s:t>
              </s:r>
            </s:text>
          </item>
        </commentChain>
      </unresolved>
      <resolved/>
    </commentChains>
    <commentChains s:ref="AL78" rgbClr="FF0000">
      <unresolved>
        <commentChain chainId="b48319543a1470673cc7c663955dda85d35b958d">
          <item id="cd9f16c92e1044f4f2b32c070e6409cf704a1114" isNormal="1">
            <s:text>
              <s:r>
                <s:t xml:space="preserve">Administrator:
4/16 上UPC贴纸1140pcs
</s:t>
              </s:r>
            </s:text>
          </item>
        </commentChain>
      </unresolved>
      <resolved/>
    </commentChains>
    <commentChains s:ref="AI79" rgbClr="FF0000">
      <unresolved>
        <commentChain chainId="9d3c59a9a2a7d1f0f0e57ffdddb4b8c2c1531a1b">
          <item id="7948287c3886bf2b3cf4534ef1706371b22c3597" isNormal="1">
            <s:text>
              <s:r>
                <s:t xml:space="preserve">Administrator:
2000861 5/19 360pcs华3B11</s:t>
              </s:r>
            </s:text>
          </item>
        </commentChain>
      </unresolved>
      <resolved/>
    </commentChains>
    <commentChains s:ref="AL79" rgbClr="FF0000">
      <unresolved>
        <commentChain chainId="b8e44c2d11643fcabe19d8daff008c9f47cd3e20">
          <item id="8ca10450f4fd1b47d25693e66fcb11b1d235fde0" isNormal="1">
            <s:text>
              <s:r>
                <s:t xml:space="preserve">Administrator:
4/16 上UPC贴纸360pcs</s:t>
              </s:r>
            </s:text>
          </item>
        </commentChain>
      </unresolved>
      <resolved/>
    </commentChains>
    <commentChains s:ref="AI80" rgbClr="FF0000">
      <unresolved>
        <commentChain chainId="3a2e1e675d92d53ced6dd1c5f011ad44a1ba6676">
          <item id="b0aeb47af8e24dcb620c6fedf54f3b94ffd3d56e" isNormal="1">
            <s:text>
              <s:r>
                <s:t xml:space="preserve">Administrator:
20010011 5/20 1512pcs直走</s:t>
              </s:r>
            </s:text>
          </item>
        </commentChain>
      </unresolved>
      <resolved/>
    </commentChains>
    <commentChains s:ref="AL80" rgbClr="FF0000">
      <unresolved>
        <commentChain chainId="9860c44d57b7aed21393f713c3b20650706712b9">
          <item id="6d6ec48d3648e90a5f0308284371170e250b3b5c" isNormal="1">
            <s:text>
              <s:r>
                <s:t xml:space="preserve">Administrator:
4/24 上外箱贴纸63pcs
上客供价格贴纸1589pcs</s:t>
              </s:r>
            </s:text>
          </item>
        </commentChain>
      </unresolved>
      <resolved/>
    </commentChains>
    <commentChains s:ref="AI81" rgbClr="FF0000">
      <unresolved>
        <commentChain chainId="1484e99cbe3d55b1b352e3c31fba639311fdfb60">
          <item id="c225cddae34d5e80ac323c3aaee2f36bf6105726" isNormal="1">
            <s:text>
              <s:r>
                <s:t xml:space="preserve">Administrator:
2000861 5/19 2200pcs华3B13</s:t>
              </s:r>
            </s:text>
          </item>
        </commentChain>
      </unresolved>
      <resolved/>
    </commentChains>
    <commentChains s:ref="AI82" rgbClr="FF0000">
      <unresolved>
        <commentChain chainId="539fe1abf307ef847065a5373df1cf75cf17db57">
          <item id="815bd02b55737e7826dc3ffd61b9cc99f9056c3d" isNormal="1">
            <s:text>
              <s:r>
                <s:t xml:space="preserve">Administrator:
2001021 5/20 22656pcs华3A11</s:t>
              </s:r>
            </s:text>
          </item>
        </commentChain>
      </unresolved>
      <resolved/>
    </commentChains>
    <commentChains s:ref="AL82" rgbClr="FF0000">
      <unresolved>
        <commentChain chainId="ec32def1b600f935134491918080001290ffaf78">
          <item id="7ea2998fc2af189354d2c08945009b42d0aabaab" isNormal="1">
            <s:text>
              <s:r>
                <s:t xml:space="preserve">Administrator:
3/21 上客供RFID贴纸22656pcs
4/11 上粉色艾利贴纸1416pcs</s:t>
              </s:r>
            </s:text>
          </item>
        </commentChain>
      </unresolved>
      <resolved/>
    </commentChains>
    <commentChains s:ref="AI83" rgbClr="FF0000">
      <unresolved>
        <commentChain chainId="c14af024bc0826de27f74e2d0b6748edee14481e">
          <item id="0c34038730b7885b824267ebda602865d99fdbf1" isNormal="1">
            <s:text>
              <s:r>
                <s:t xml:space="preserve">Administrator:
2001021 5/20 19552pcs
华3A9</s:t>
              </s:r>
            </s:text>
          </item>
        </commentChain>
      </unresolved>
      <resolved/>
    </commentChains>
    <commentChains s:ref="AL83" rgbClr="FF0000">
      <unresolved>
        <commentChain chainId="d1c69618bcf96a02f3821a19b9033847cf65f36a">
          <item id="00c84867fb38445dc41df04d2ada31353cad09fc" isNormal="1">
            <s:text>
              <s:r>
                <s:t xml:space="preserve">Administrator:
3/21 上客供RFID贴纸19552pcs
4/11 上粉色艾利贴纸1222pcs</s:t>
              </s:r>
            </s:text>
          </item>
        </commentChain>
      </unresolved>
      <resolved/>
    </commentChains>
    <commentChains s:ref="AI84" rgbClr="FF0000">
      <unresolved>
        <commentChain chainId="480c7f4a7bd6abdfa4907b548efd41d54f194e30">
          <item id="700ecb2b60261b6288b3a8349a6c3db8a7d20a11" isNormal="1">
            <s:text>
              <s:r>
                <s:t xml:space="preserve">Administrator:
2001021 5/20 3168pcs
华3A12</s:t>
              </s:r>
            </s:text>
          </item>
        </commentChain>
      </unresolved>
      <resolved/>
    </commentChains>
    <commentChains s:ref="AL84" rgbClr="FF0000">
      <unresolved>
        <commentChain chainId="4ef673a36fe2ca3ef72fd2340e478732e4681100">
          <item id="ac0f308681eb67669f6a76360501fe7ecd06dc3b" isNormal="1">
            <s:text>
              <s:r>
                <s:t xml:space="preserve">Administrator:
4/15 上客供RFID贴纸3168pcs
</s:t>
              </s:r>
            </s:text>
          </item>
        </commentChain>
      </unresolved>
      <resolved/>
    </commentChains>
    <commentChains s:ref="AI85" rgbClr="FF0000">
      <unresolved>
        <commentChain chainId="5a0dbee5d477da268eeb8de71170b47b899fde1d">
          <item id="ad47508d2760dec69ba71e9a3b6e388fe67a10f4" isNormal="1">
            <s:text>
              <s:r>
                <s:t xml:space="preserve">Administrator:
2001021 5/20 3760pcs
华3A9</s:t>
              </s:r>
            </s:text>
          </item>
        </commentChain>
      </unresolved>
      <resolved/>
    </commentChains>
    <commentChains s:ref="AL85" rgbClr="FF0000">
      <unresolved>
        <commentChain chainId="f306574408270c89af333d2e56af8347a9cde688">
          <item id="d2f93e11d929f85c585f659ae7dcb8c4d1ca9f1c" isNormal="1">
            <s:text>
              <s:r>
                <s:t xml:space="preserve">Administrator:
4/15 上客供RFID贴纸3760pcs
</s:t>
              </s:r>
            </s:text>
          </item>
        </commentChain>
      </unresolved>
      <resolved/>
    </commentChains>
    <commentChains s:ref="AI86" rgbClr="FF0000">
      <unresolved>
        <commentChain chainId="bb4bd94a47ae1e9dc09943bd37c7e6ae48bc1a1d">
          <item id="10cf0235206911fea12c8af994cdef1edc48106c" isNormal="1">
            <s:text>
              <s:r>
                <s:t xml:space="preserve">Administrator:
20000881 5/20 11100pcs华一F4</s:t>
              </s:r>
            </s:text>
          </item>
        </commentChain>
      </unresolved>
      <resolved/>
    </commentChains>
    <commentChains s:ref="AL86" rgbClr="FF0000">
      <unresolved>
        <commentChain chainId="65d76f961476dcc8d8e6908db2e8a173e8abc3cc">
          <item id="f0fe5578bdebaa4d40e6fd8580ee79dfe0b05402" isNormal="1">
            <s:text>
              <s:r>
                <s:t xml:space="preserve">Administrator:
4/30 上UPC条码贴纸17000pcs
进口商贴纸17000pcs</s:t>
              </s:r>
            </s:text>
          </item>
        </commentChain>
      </unresolved>
      <resolved/>
    </commentChains>
    <commentChains s:ref="AI87" rgbClr="FF0000">
      <unresolved>
        <commentChain chainId="86428dcafee2b2961fac28d782035f896ddcb693">
          <item id="e353c1dbbe3b395b2c22e46f3439c584e6c1711d" isNormal="1">
            <s:text>
              <s:r>
                <s:t xml:space="preserve">Administrator:
2000861 5/19 4888pcs华3B9</s:t>
              </s:r>
            </s:text>
          </item>
        </commentChain>
      </unresolved>
      <resolved/>
    </commentChains>
    <commentChains s:ref="AL87" rgbClr="FF0000">
      <unresolved>
        <commentChain chainId="d2a9aaddd8b6f222e9289d452e5691d0c22187f6">
          <item id="e6374869085a85e56d8e36e16d4c826e33ff3854" isNormal="1">
            <s:text>
              <s:r>
                <s:t xml:space="preserve">Administrator:
4/30 多语警语折叠贴纸4888pcs
</s:t>
              </s:r>
            </s:text>
          </item>
        </commentChain>
      </unresolved>
      <resolved/>
    </commentChains>
    <commentChains s:ref="AI88" rgbClr="FF0000">
      <unresolved>
        <commentChain chainId="0595ad55b21fbdf2f3421ce6661b9b218ef1078a">
          <item id="ea02ed8b82c01e151bfce3f0485df42a54d1ffd5" isNormal="1">
            <s:text>
              <s:r>
                <s:t xml:space="preserve">Administrator:
2000861 5/19 5460pcs华3B9
2000900 5/22 52pcs</s:t>
              </s:r>
            </s:text>
          </item>
        </commentChain>
      </unresolved>
      <resolved/>
    </commentChains>
    <commentChains s:ref="AL88" rgbClr="FF0000">
      <unresolved>
        <commentChain chainId="3113edf2e77d6e275154132698224a58c7ae0564">
          <item id="cfa564997858c83ca847633d7aa20c9f7c52b4d5" isNormal="1">
            <s:text>
              <s:r>
                <s:t xml:space="preserve">Administrator:
5/9 上UPC条码贴纸5512pcs</s:t>
              </s:r>
            </s:text>
          </item>
        </commentChain>
      </unresolved>
      <resolved/>
    </commentChains>
    <commentChains s:ref="AI89" rgbClr="FF0000">
      <unresolved>
        <commentChain chainId="7f8d0e6a62df7e178a75eeefbf131573fbaa88bb">
          <item id="35cd3f84dbdaca2707e876eb307e23e2b69d3968" isNormal="1">
            <s:text>
              <s:r>
                <s:t xml:space="preserve">Administrator:
2001007 5/19 5200pcs华3B16</s:t>
              </s:r>
            </s:text>
          </item>
        </commentChain>
      </unresolved>
      <resolved/>
    </commentChains>
    <commentChains s:ref="AI90" rgbClr="FF0000">
      <unresolved>
        <commentChain chainId="a0926d0de99d5c34d9580efa0d1dc33261c23619">
          <item id="88172a719ea47300b7c77e04aa4f807b40dcefa7" isNormal="1">
            <s:text>
              <s:r>
                <s:t xml:space="preserve">Administrator:
2001007 5/19 2600pcs华3B16</s:t>
              </s:r>
            </s:text>
          </item>
        </commentChain>
      </unresolved>
      <resolved/>
    </commentChains>
    <commentChains s:ref="AI91" rgbClr="FF0000">
      <unresolved>
        <commentChain chainId="5b61a586ca10729bd51d5cf1d7b415baf1ebf5c0">
          <item id="59552686c3d3b16cbeb0d570b93dd799749f8070" isNormal="1">
            <s:text>
              <s:r>
                <s:t xml:space="preserve">Administrator:
2000896 5/23 4150pcs直走</s:t>
              </s:r>
            </s:text>
          </item>
        </commentChain>
      </unresolved>
      <resolved/>
    </commentChains>
    <commentChains s:ref="AI92" rgbClr="FF0000">
      <unresolved>
        <commentChain chainId="f232120ab49ebaf0c337b1b9f93051bf085feb71">
          <item id="7900f9cc50dcf9fb37589da187fc03127cb574a9" isNormal="1">
            <s:text>
              <s:r>
                <s:t xml:space="preserve">Administrator:
2000895 5/22 26pcs
2000906 5/22 2993pcs
2000803 5/24 13pcs因回货点数少数</s:t>
              </s:r>
            </s:text>
          </item>
        </commentChain>
      </unresolved>
      <resolved/>
    </commentChains>
    <commentChains s:ref="AL92" rgbClr="FF0000">
      <unresolved>
        <commentChain chainId="8b8e6d82cfb6b8e9713b2223a51fef27cbc96726">
          <item id="97d7f9782d53351d44d73d1e4af1097e32c09c83" isNormal="1">
            <s:text>
              <s:r>
                <s:t xml:space="preserve">Administrator:
4/30 上UPC贴纸6019pcs
</s:t>
              </s:r>
            </s:text>
          </item>
        </commentChain>
      </unresolved>
      <resolved/>
    </commentChains>
    <commentChains s:ref="AI93" rgbClr="FF0000">
      <unresolved>
        <commentChain chainId="1193ec26096313eb361fbc7472c6f01ac3e87053">
          <item id="6ec6ac75382f616fb630383cdabd900292c7ce3c" isNormal="1">
            <s:text>
              <s:r>
                <s:t xml:space="preserve">Administrator:
2000788 5/23 15904pcs
华3A10</s:t>
              </s:r>
            </s:text>
          </item>
        </commentChain>
      </unresolved>
      <resolved/>
    </commentChains>
    <commentChains s:ref="AL93" rgbClr="FF0000">
      <unresolved>
        <commentChain chainId="ad46538d8a45a5f40bb2f1025599fd2fc57d8b91">
          <item id="33f95eb02a6853f89a29242dd814618606b195d3" isNormal="1">
            <s:text>
              <s:r>
                <s:t xml:space="preserve">Administrator:
3/21 上客供RFID贴纸15904pcs
4/11 上粉色艾利贴纸994pcs
</s:t>
              </s:r>
            </s:text>
          </item>
        </commentChain>
      </unresolved>
      <resolved/>
    </commentChains>
    <commentChains s:ref="AI94" rgbClr="FF0000">
      <unresolved>
        <commentChain chainId="670cc3fce407aba7e8824dd1c69ab999b93fb1ce">
          <item id="4be749dba172baba20e27dd9770a4c0abeb5ea66" isNormal="1">
            <s:text>
              <s:r>
                <s:t xml:space="preserve">Administrator:
2000788 5/23 15296pcs
华3A8</s:t>
              </s:r>
            </s:text>
          </item>
        </commentChain>
      </unresolved>
      <resolved/>
    </commentChains>
    <commentChains s:ref="AL94" rgbClr="FF0000">
      <unresolved>
        <commentChain chainId="571592f4d79bc92cdd1979828169576e9a12b803">
          <item id="771ae8a05823d984ecc0e369e2ea2ba02e1a7bf5" isNormal="1">
            <s:text>
              <s:r>
                <s:t xml:space="preserve">Administrator:
3/21 上客供RFID贴纸15296pcs
4/11 上粉色艾利贴纸956pcs
</s:t>
              </s:r>
            </s:text>
          </item>
        </commentChain>
      </unresolved>
      <resolved/>
    </commentChains>
    <commentChains s:ref="AI95" rgbClr="FF0000">
      <unresolved>
        <commentChain chainId="81e2d34054a01977906f17a7f658dfd3e100239f">
          <item id="409aabc07376a934615a67d18ccbfcefc2928ebe" isNormal="1">
            <s:text>
              <s:r>
                <s:t xml:space="preserve">Administrator:
2000897 5/23 4880pcs华3A12</s:t>
              </s:r>
            </s:text>
          </item>
        </commentChain>
      </unresolved>
      <resolved/>
    </commentChains>
    <commentChains s:ref="AL95" rgbClr="FF0000">
      <unresolved>
        <commentChain chainId="cbac598bea83c5a1f6578076105e5b7bfdbbc517">
          <item id="ee4b7002bf041d797b27c9574239f9238554f69e" isNormal="1">
            <s:text>
              <s:r>
                <s:t xml:space="preserve">Administrator:
4/15 上客供RFID贴纸4880pcs
</s:t>
              </s:r>
            </s:text>
          </item>
        </commentChain>
      </unresolved>
      <resolved/>
    </commentChains>
    <commentChains s:ref="AI96" rgbClr="FF0000">
      <unresolved>
        <commentChain chainId="23a311dab0a95dec66d1252625d1088b966e5548">
          <item id="2feb9e88f21aca99e999fde25153c96cf59e4d94" isNormal="1">
            <s:text>
              <s:r>
                <s:t xml:space="preserve">Administrator:
2000788 5/23 6250pcs华3B11</s:t>
              </s:r>
            </s:text>
          </item>
        </commentChain>
      </unresolved>
      <resolved/>
    </commentChains>
    <commentChains s:ref="AL96" rgbClr="FF0000">
      <unresolved>
        <commentChain chainId="ffa12faabe907b825f25f3fb15301b75662775cf">
          <item id="742ed79b97447b696bd5e533751e82716a3ba412" isNormal="1">
            <s:text>
              <s:r>
                <s:t xml:space="preserve">Administrator:
5/9 上挪威语警语贴纸6250pcs</s:t>
              </s:r>
            </s:text>
          </item>
        </commentChain>
      </unresolved>
      <resolved/>
    </commentChains>
    <commentChains s:ref="AI97" rgbClr="FF0000">
      <unresolved>
        <commentChain chainId="2a72ea1ffa48a926b046d9cb267333d3524d4201">
          <item id="decc18ab92130602eb73543b2aaea366cb51cbb8" isNormal="1">
            <s:text>
              <s:r>
                <s:t xml:space="preserve">Administrator:
2000788 5/23 4500pcs
华3A30</s:t>
              </s:r>
            </s:text>
          </item>
        </commentChain>
      </unresolved>
      <resolved/>
    </commentChains>
    <commentChains s:ref="AI98" rgbClr="FF0000">
      <unresolved>
        <commentChain chainId="59bc9ed60b666a746303231c8f8dd2e40aeb25e9">
          <item id="072aff332ead0cd0ccf9248d9eefcd06fa55a013" isNormal="1">
            <s:text>
              <s:r>
                <s:t xml:space="preserve">Administrator:
2000788 5/23 9000pcs
华3A30</s:t>
              </s:r>
            </s:text>
          </item>
        </commentChain>
      </unresolved>
      <resolved/>
    </commentChains>
    <commentChains s:ref="AI99" rgbClr="FF0000">
      <unresolved>
        <commentChain chainId="58723f3da8b86f1f86f30c3798bb6ab0a1ae9e21">
          <item id="58cb900c2048a7034877300ece7131253926d7d3" isNormal="1">
            <s:text>
              <s:r>
                <s:t xml:space="preserve">Administrator:
2000782 5/24 3950pcs华3A16
</s:t>
              </s:r>
            </s:text>
          </item>
        </commentChain>
      </unresolved>
      <resolved/>
    </commentChains>
    <commentChains s:ref="AL99" rgbClr="FF0000">
      <unresolved>
        <commentChain chainId="04368fc866c4fa0e4eb7eed8a4f94c3f1f417ee0">
          <item id="bf500f08ff7ef5ceebfaf38ade6517da0a91d79b" isNormal="1">
            <s:text>
              <s:r>
                <s:t xml:space="preserve">Administrator:
4/25 上进口商贴纸3950pcs
</s:t>
              </s:r>
            </s:text>
          </item>
        </commentChain>
      </unresolved>
      <resolved/>
    </commentChains>
    <commentChains s:ref="AI100" rgbClr="FF0000">
      <unresolved>
        <commentChain chainId="dd8bf78dd7db121b882933f3338956ba89e62719">
          <item id="4e34f772ead0e3a824b3cd8118729bcb7f1389c1" isNormal="1">
            <s:text>
              <s:r>
                <s:t xml:space="preserve">Administrator:
2000782 5/24 7150pcs
华3A25</s:t>
              </s:r>
            </s:text>
          </item>
        </commentChain>
      </unresolved>
      <resolved/>
    </commentChains>
    <commentChains s:ref="AL100" rgbClr="FF0000">
      <unresolved>
        <commentChain chainId="9b56c2dbf7b04ae2eff18fcba88252d380553106">
          <item id="f067b4aea993af6860653a1f2ca178d8fbac3d2c" isNormal="1">
            <s:text>
              <s:r>
                <s:t xml:space="preserve">Administrator:
4/25 上进口商贴纸7150pcs</s:t>
              </s:r>
            </s:text>
          </item>
        </commentChain>
      </unresolved>
      <resolved/>
    </commentChains>
    <commentChains s:ref="AI101" rgbClr="FF0000">
      <unresolved>
        <commentChain chainId="0e16792177dadfe85e0e9b8bf806bf285e129b68">
          <item id="be5be20a63bac7963d400221878217585c3c786c" isNormal="1">
            <s:text>
              <s:r>
                <s:t xml:space="preserve">Administrator:
2000782 5/24 4350pcs
华3A29
2000758 5/24 6450pcs华3A29</s:t>
              </s:r>
            </s:text>
          </item>
        </commentChain>
      </unresolved>
      <resolved/>
    </commentChains>
    <commentChains s:ref="AL101" rgbClr="FF0000">
      <unresolved>
        <commentChain chainId="25f27614754280a12d41e9cf70e6a92ee370586a">
          <item id="f69f6529ea12db85f719900a74675ec17c24b87b" isNormal="1">
            <s:text>
              <s:r>
                <s:t xml:space="preserve">Administrator:
4/25 上进口商贴纸10800pcs
</s:t>
              </s:r>
            </s:text>
          </item>
        </commentChain>
      </unresolved>
      <resolved/>
    </commentChains>
    <commentChains s:ref="AI102" rgbClr="FF0000">
      <unresolved>
        <commentChain chainId="8e0a592b6de8e7fb09727f08558d99f14c2b8d51">
          <item id="8a781f3305c88fa37db2b68464feeb46cb309b12" isNormal="1">
            <s:text>
              <s:r>
                <s:t xml:space="preserve">Administrator:
2000897 5/23 400pcs华3B7</s:t>
              </s:r>
            </s:text>
          </item>
        </commentChain>
      </unresolved>
      <resolved/>
    </commentChains>
    <commentChains s:ref="AL102" rgbClr="FF0000">
      <unresolved>
        <commentChain chainId="f5227c37b227095ebee288f0fdcb833d0270d7a1">
          <item id="fcd97f8e8dc028c7e57d0e9138c157b7ed7b763a" isNormal="1">
            <s:text>
              <s:r>
                <s:t xml:space="preserve">Administrator:
4/25 上警告语贴纸400pcs</s:t>
              </s:r>
            </s:text>
          </item>
        </commentChain>
      </unresolved>
      <resolved/>
    </commentChains>
    <commentChains s:ref="AI103" rgbClr="FF0000">
      <unresolved>
        <commentChain chainId="5eb6a5e696cfb2c7823074615451048715229f7b">
          <item id="d3627ff1a76819da92226437731943939cbab835" isNormal="1">
            <s:text>
              <s:r>
                <s:t xml:space="preserve">Administrator:
2000758 5/24 1508pcs华3B15</s:t>
              </s:r>
            </s:text>
          </item>
        </commentChain>
      </unresolved>
      <resolved/>
    </commentChains>
    <commentChains s:ref="AL103" rgbClr="FF0000">
      <unresolved>
        <commentChain chainId="943269d7f1516082170d51ee83ce2db7a69d8ed4">
          <item id="b05a17221eea0c3e8ab11f54d19716cd32fbf35d" isNormal="1">
            <s:text>
              <s:r>
                <s:t xml:space="preserve">Administrator:
5/12 上KM单外箱贴纸116pcs
 白色防盗贴纸1508pcs
5/23 上UPC条码贴纸1508pcs</s:t>
              </s:r>
            </s:text>
          </item>
        </commentChain>
      </unresolved>
      <resolved/>
    </commentChains>
    <commentChains s:ref="AI104" rgbClr="FF0000">
      <unresolved>
        <commentChain chainId="bd7ab375ee5c54348c21106b538f0996bc167518">
          <item id="14aa3ea5190f88b569cf02b4e5b5e08cb046f076" isNormal="1">
            <s:text>
              <s:r>
                <s:t xml:space="preserve">Administrator:
2000774 5/23 1950pcs华3B4
2000758 5/24 50pcs华3B4</s:t>
              </s:r>
            </s:text>
          </item>
        </commentChain>
      </unresolved>
      <resolved/>
    </commentChains>
    <commentChains s:ref="AI105" rgbClr="FF0000">
      <unresolved>
        <commentChain chainId="277ac7c075fd2db7918daa995c666198f7eb10a6">
          <item id="ec49f0c74ec56f42f50025e348fd9c4f59b22664" isNormal="1">
            <s:text>
              <s:r>
                <s:t xml:space="preserve">Administrator:
2000659 5/27 2873pcs
直走</s:t>
              </s:r>
            </s:text>
          </item>
        </commentChain>
      </unresolved>
      <resolved/>
    </commentChains>
    <commentChains s:ref="AL105" rgbClr="FF0000">
      <unresolved>
        <commentChain chainId="09bc165d5efcdf6b0d04235187f8c5b0ceb79cda">
          <item id="403a8951139f15149fb6e6bcf3a03d1a9746e23a" isNormal="1">
            <s:text>
              <s:r>
                <s:t xml:space="preserve">Administrator:
5/15 多语警语折叠贴纸2873pcs</s:t>
              </s:r>
            </s:text>
          </item>
        </commentChain>
      </unresolved>
      <resolved/>
    </commentChains>
    <commentChains s:ref="AI106" rgbClr="FF0000">
      <unresolved>
        <commentChain chainId="18ac4e1f7bc461f618d5f130961a8ae839585060">
          <item id="b0e9eac80d59d76400136eee473ab25bfb85ea5f" isNormal="1">
            <s:text>
              <s:r>
                <s:t xml:space="preserve">Administrator:
2001053 5/28 1495pcs华3B4</s:t>
              </s:r>
            </s:text>
          </item>
        </commentChain>
      </unresolved>
      <resolved/>
    </commentChains>
    <commentChains s:ref="AL106" rgbClr="FF0000">
      <unresolved>
        <commentChain chainId="3f1b2736989c8c45c52eaed15607f0f1e4edd852">
          <item id="fae47d8f1e9f2a4d94081b9d49db7ee6cb4f943f" isNormal="1">
            <s:text>
              <s:r>
                <s:t xml:space="preserve">Administrator:
5/7 德语警告语贴纸1495pcs
  产品图片贴纸480pcs</s:t>
              </s:r>
            </s:text>
          </item>
        </commentChain>
      </unresolved>
      <resolved/>
    </commentChains>
    <commentChains s:ref="AI107" rgbClr="FF0000">
      <unresolved>
        <commentChain chainId="9f27359e5d4cc99ece02d0dab78b928c2d338f41">
          <item id="42f83d99686613381ce1b067e130dc1ed68258a7" isNormal="1">
            <s:text>
              <s:r>
                <s:t xml:space="preserve">Administrator:
2002464 5/29 5664pcs莫4B7</s:t>
              </s:r>
            </s:text>
          </item>
        </commentChain>
      </unresolved>
      <resolved/>
    </commentChains>
    <commentChains s:ref="AL107" rgbClr="FF0000">
      <unresolved>
        <commentChain chainId="2353cb9c73ff8e76fb783e17bfea13f7bf81fe4f">
          <item id="4fa10c1138dcf9bc7e5f77c908f0065fba4557b9" isNormal="1">
            <s:text>
              <s:r>
                <s:t xml:space="preserve">Administrator:
4/15 上客供RFID贴纸5664pcs
</s:t>
              </s:r>
            </s:text>
          </item>
        </commentChain>
      </unresolved>
      <resolved/>
    </commentChains>
    <commentChains s:ref="AI108" rgbClr="FF0000">
      <unresolved>
        <commentChain chainId="d0ab2a515e07d7e886b36027c4bfc1515c3aac13">
          <item id="288ef9e1db988a6e862158faa6c49273f34d9e3d" isNormal="1">
            <s:text>
              <s:r>
                <s:t xml:space="preserve">Administrator:
2000682 5/26 450pcs华3B13</s:t>
              </s:r>
            </s:text>
          </item>
        </commentChain>
      </unresolved>
      <resolved/>
    </commentChains>
    <commentChains s:ref="AL108" rgbClr="FF0000">
      <unresolved>
        <commentChain chainId="9c8f0faa7122289c504d778134e26859736395ee">
          <item id="d82d3577956c0c0e7606aec13f33ab68944752f1" isNormal="1">
            <s:text>
              <s:r>
                <s:t xml:space="preserve">Administrator:
4/21 上西班牙环保标/邮箱贴纸450pcs
</s:t>
              </s:r>
            </s:text>
          </item>
        </commentChain>
      </unresolved>
      <resolved/>
    </commentChains>
    <commentChains s:ref="AI109" rgbClr="FF0000">
      <unresolved>
        <commentChain chainId="6e5083254c978f6f7aa2b1ce71243c461d141c97">
          <item id="e8fd932117565d34d88535d20e4e41d89c5fa48a" isNormal="1">
            <s:text>
              <s:r>
                <s:t xml:space="preserve">Administrator:
20001242 5/28 120pcs华3B14</s:t>
              </s:r>
            </s:text>
          </item>
        </commentChain>
      </unresolved>
      <resolved/>
    </commentChains>
    <commentChains s:ref="AL109" rgbClr="FF0000">
      <unresolved>
        <commentChain chainId="b8ad880772734faba57c488a0fb384874d275013">
          <item id="5cab4f27861a7bafd13d3e77b8b4dca2e49137ea" isNormal="1">
            <s:text>
              <s:r>
                <s:t xml:space="preserve">Administrator:
5/7 上客人白色CALLABEL贴纸120pcs
</s:t>
              </s:r>
            </s:text>
          </item>
        </commentChain>
      </unresolved>
      <resolved/>
    </commentChains>
    <commentChains s:ref="AI110" rgbClr="FF0000">
      <unresolved>
        <commentChain chainId="2a8499fce26ae1e25733b7032ee535636c74b217">
          <item id="367cfbaa7e2b30968ba3a877c3c17f6918779bb1" isNormal="1">
            <s:text>
              <s:r>
                <s:t xml:space="preserve">Administrator:
2001242 5/28 225pcs华3B14</s:t>
              </s:r>
            </s:text>
          </item>
        </commentChain>
      </unresolved>
      <resolved/>
    </commentChains>
    <commentChains s:ref="AI111" rgbClr="FF0000">
      <unresolved>
        <commentChain chainId="69ff78591e8e7607268fa55fc5a74ca12a1605ce">
          <item id="e20476c5fcf41b29a8f365cca5e740550b2b430c" isNormal="1">
            <s:text>
              <s:r>
                <s:t xml:space="preserve">Administrator:
2001242 5/28 210pcs华3B14</s:t>
              </s:r>
            </s:text>
          </item>
        </commentChain>
      </unresolved>
      <resolved/>
    </commentChains>
    <commentChains s:ref="AI112" rgbClr="FF0000">
      <unresolved>
        <commentChain chainId="9dd3d9cb611a7a8c81ae3503c1d8dae7bcb9b080">
          <item id="c1d99494d8b7c94db80ff29382795f32c635df78" isNormal="1">
            <s:text>
              <s:r>
                <s:t xml:space="preserve">Administrator:
2002469 5/30 3984pcs华3A13</s:t>
              </s:r>
            </s:text>
          </item>
        </commentChain>
      </unresolved>
      <resolved/>
    </commentChains>
    <commentChains s:ref="AL112" rgbClr="FF0000">
      <unresolved>
        <commentChain chainId="b3747152bbc4ed30383896b8a43cf6f724c8edd7">
          <item id="708dc7a6d427042a0a463ef938e3aeafc38e401c" isNormal="1">
            <s:text>
              <s:r>
                <s:t xml:space="preserve">Administrator:
5/12 上客供RFID贴纸3984pcs</s:t>
              </s:r>
            </s:text>
          </item>
        </commentChain>
      </unresolved>
      <resolved/>
    </commentChains>
    <commentChains s:ref="AI113" rgbClr="FF0000">
      <unresolved>
        <commentChain chainId="c30e7f91e3faadcf0075ac5ea978514eab98eb3b">
          <item id="8a464305a39e42eee715d93b0fd3e00d02481639" isNormal="1">
            <s:text>
              <s:r>
                <s:t xml:space="preserve">Administrator:
2002469 5/30 3824pcs华3A13
</s:t>
              </s:r>
            </s:text>
          </item>
        </commentChain>
      </unresolved>
      <resolved/>
    </commentChains>
    <commentChains s:ref="AL113" rgbClr="FF0000">
      <unresolved>
        <commentChain chainId="662da31752fb568367a8132e8444e56fc0977338">
          <item id="609011a55d621857200edeb90ae02affa7b721ae" isNormal="1">
            <s:text>
              <s:r>
                <s:t xml:space="preserve">Administrator:
5/12 上客供RFID贴纸3824pcs</s:t>
              </s:r>
            </s:text>
          </item>
        </commentChain>
      </unresolved>
      <resolved/>
    </commentChains>
    <commentChains s:ref="AI114" rgbClr="FF0000">
      <unresolved>
        <commentChain chainId="33d49abde110d24df4c8c7e4fd3147f10dfde00c">
          <item id="288a423b9554bf034335e432ee4cc89c2e40fa89" isNormal="1">
            <s:text>
              <s:r>
                <s:t xml:space="preserve">Administrator:
2002469 5/30 3408pcs华3A13
</s:t>
              </s:r>
            </s:text>
          </item>
        </commentChain>
      </unresolved>
      <resolved/>
    </commentChains>
    <commentChains s:ref="AL114" rgbClr="FF0000">
      <unresolved>
        <commentChain chainId="2bb80322fa266763e1f6ec0f65858f643a24a5c6">
          <item id="13ae050cc4aa9bb02d7a378f3434431ea53911a8" isNormal="1">
            <s:text>
              <s:r>
                <s:t xml:space="preserve">Administrator:
5/12 上客供RFID贴纸3408pcs</s:t>
              </s:r>
            </s:text>
          </item>
        </commentChain>
      </unresolved>
      <resolved/>
    </commentChains>
    <commentChains s:ref="AI115" rgbClr="FF0000">
      <unresolved>
        <commentChain chainId="1f1624e9bf946900aa39142928dfedd33eb6a590">
          <item id="17bd2d8396253c86b22b174cbddcf17d55ba85d5" isNormal="1">
            <s:text>
              <s:r>
                <s:t xml:space="preserve">Administrator:
2002469 5/30 4544pcs华3A13
</s:t>
              </s:r>
            </s:text>
          </item>
        </commentChain>
      </unresolved>
      <resolved/>
    </commentChains>
    <commentChains s:ref="AL115" rgbClr="FF0000">
      <unresolved>
        <commentChain chainId="284b3f193928d7c836346def0089f34498e0291d">
          <item id="3e1b4aefc1123e27e2cc088ba8e47bcebcbce2ab" isNormal="1">
            <s:text>
              <s:r>
                <s:t xml:space="preserve">Administrator:
5/12 上客供RFID贴纸4544pcs</s:t>
              </s:r>
            </s:text>
          </item>
        </commentChain>
      </unresolved>
      <resolved/>
    </commentChains>
    <commentChains s:ref="AI116" rgbClr="FF0000">
      <unresolved>
        <commentChain chainId="8128000f341233b3ec4ddcde2c7b94d02b6e01ac">
          <item id="bfab89108faead7f6d3f6792e7a1c98fbae74ea3" isNormal="1">
            <s:text>
              <s:r>
                <s:t xml:space="preserve">Administrator:
2002469 5/30 4048pcs华3A13
</s:t>
              </s:r>
            </s:text>
          </item>
        </commentChain>
      </unresolved>
      <resolved/>
    </commentChains>
    <commentChains s:ref="AL116" rgbClr="FF0000">
      <unresolved>
        <commentChain chainId="f3e70efe06e7c9dcad286e149fe26acd5c0b5ad9">
          <item id="df1afe42dc891439789815f0695ab01e8abb2251" isNormal="1">
            <s:text>
              <s:r>
                <s:t xml:space="preserve">Administrator:
5/12 上客供RFID贴纸4048pcs</s:t>
              </s:r>
            </s:text>
          </item>
        </commentChain>
      </unresolved>
      <resolved/>
    </commentChains>
    <commentChains s:ref="AI117" rgbClr="FF0000">
      <unresolved>
        <commentChain chainId="345fa2a7f6f97a7fd307d4938a9d2c3250809867">
          <item id="7c5c317433e7e04b77db1d7445b9a3553aaa4a56" isNormal="1">
            <s:text>
              <s:r>
                <s:t xml:space="preserve">Administrator:
2002464 5/29 1000pcs莫4B7</s:t>
              </s:r>
            </s:text>
          </item>
        </commentChain>
      </unresolved>
      <resolved/>
    </commentChains>
    <commentChains s:ref="AL117" rgbClr="FF0000">
      <unresolved>
        <commentChain chainId="2dc0ec1310377a8e81923705e1f47b22554412de">
          <item id="88df29a4d4d8a92aa377b241a479079f0c99d72c" isNormal="1">
            <s:text>
              <s:r>
                <s:t xml:space="preserve">Administrator:
5/19 上UPC贴纸1000pcs</s:t>
              </s:r>
            </s:text>
          </item>
        </commentChain>
      </unresolved>
      <resolved/>
    </commentChains>
    <commentChains s:ref="AI118" rgbClr="FF0000">
      <unresolved>
        <commentChain chainId="ac69615e523dbf73991db1949f5f91fdc6d9a654">
          <item id="fe44e95a6fd73a256c78695fed5e85d4cb0aa07e" isNormal="1">
            <s:text>
              <s:r>
                <s:t xml:space="preserve">Administrator:
2000659 5/27 3075pcs华3B9</s:t>
              </s:r>
            </s:text>
          </item>
        </commentChain>
      </unresolved>
      <resolved/>
    </commentChains>
    <commentChains s:ref="AI119" rgbClr="FF0000">
      <unresolved>
        <commentChain chainId="d4497cf969b9d403de565d261cf4f861352f1e3d">
          <item id="07f1fe7f6866e4806f591d921c1280c3153ddb62" isNormal="1">
            <s:text>
              <s:r>
                <s:t xml:space="preserve">Administrator:
2000656 5/27 700pcs华3B17</s:t>
              </s:r>
            </s:text>
          </item>
        </commentChain>
      </unresolved>
      <resolved/>
    </commentChains>
    <commentChains s:ref="AI120" rgbClr="FF0000">
      <unresolved>
        <commentChain chainId="6473d9d5d9c87bf24f3c6953bcdb0453ee1ca86e">
          <item id="8616dda62ac5fd56371ecf9dcc1f00fcb9148906" isNormal="1">
            <s:text>
              <s:r>
                <s:t xml:space="preserve">Administrator:
2000659 5/27 775pcs
华3B12</s:t>
              </s:r>
            </s:text>
          </item>
        </commentChain>
      </unresolved>
      <resolved/>
    </commentChains>
    <commentChains s:ref="AI121" rgbClr="FF0000">
      <unresolved>
        <commentChain chainId="ad019f73432e5a7abf253be136fee503f9509491">
          <item id="0d0c43f31a42b3094075dcdf12ddea76e4ffffa6" isNormal="1">
            <s:text>
              <s:r>
                <s:t xml:space="preserve">Administrator:
2002580 5/29 1500pcs华3B13</s:t>
              </s:r>
            </s:text>
          </item>
        </commentChain>
      </unresolved>
      <resolved/>
    </commentChains>
    <commentChains s:ref="AL121" rgbClr="FF0000">
      <unresolved>
        <commentChain chainId="36e5d81b746fb316af97faf2dc871a58083b9bc5">
          <item id="110d37ae3581ea190c0158bca987f1a1fa2afad7" isNormal="1">
            <s:text>
              <s:r>
                <s:t xml:space="preserve">Administrator:
5/23 上UPC条码贴纸1500pcs</s:t>
              </s:r>
            </s:text>
          </item>
        </commentChain>
      </unresolved>
      <resolved/>
    </commentChains>
    <commentChains s:ref="AI122" rgbClr="FF0000">
      <unresolved>
        <commentChain chainId="8ad223ff3173a7d12ed15707ad7bbf3018d54054">
          <item id="a71febb84534d6b6f6d8959af301838d49a90716" isNormal="1">
            <s:text>
              <s:r>
                <s:t xml:space="preserve">Administrator:
20002541 6/5 2160pcs
王1-A5
2002545 6/6 3240pcs王1-A5
</s:t>
              </s:r>
            </s:text>
          </item>
        </commentChain>
      </unresolved>
      <resolved/>
    </commentChains>
    <commentChains s:ref="AL122" rgbClr="FF0000">
      <unresolved>
        <commentChain chainId="d1e68284cdb680233cfc9e8527b8b7fc9b388ae9">
          <item id="dee107139c8b6f31ca5f75abbdddcc127a8b773b" isNormal="1">
            <s:text>
              <s:r>
                <s:t xml:space="preserve">Administrator:
5/14 上条码贴纸5400pcs
进口商贴纸5400pcs
产品贴纸5400pcs
WEEE说明书纸5400pcs
</s:t>
              </s:r>
            </s:text>
          </item>
        </commentChain>
      </unresolved>
      <resolved/>
    </commentChains>
    <commentChains s:ref="AI123" rgbClr="FF0000">
      <unresolved>
        <commentChain chainId="cee200d9714f0257d96f27fda951b3f50cab5d68">
          <item id="0ccf18b94b06d92d0f53ec18ca137e24d44d3350" isNormal="1">
            <s:text>
              <s:r>
                <s:t xml:space="preserve">Administrator:
2002541 6/5 3024pcs
王 1-A6
2002523 6/6 390pcs 王1-A6</s:t>
              </s:r>
            </s:text>
          </item>
        </commentChain>
      </unresolved>
      <resolved/>
    </commentChains>
    <commentChains s:ref="AL123" rgbClr="FF0000">
      <unresolved>
        <commentChain chainId="ed5b7a48b94718b775a6532931b3cf49da207413">
          <item id="f10aa690725dd42021f6c2fcf505c5644218f85a" isNormal="1">
            <s:text>
              <s:r>
                <s:t xml:space="preserve">Administrator:
5/14 上条码贴纸3414pcs
进口商贴纸3414pcs
产品贴纸3414pcs
WEEE说明书纸3414pcs</s:t>
              </s:r>
            </s:text>
          </item>
        </commentChain>
      </unresolved>
      <resolved/>
    </commentChains>
    <commentChains s:ref="AI124" rgbClr="FF0000">
      <unresolved>
        <commentChain chainId="7a43280a04f207f9149d2724a834c76949370bcd">
          <item id="c5f854adef9501a5619a4b0cd81af2f04e66a26c" isNormal="1">
            <s:text>
              <s:r>
                <s:t xml:space="preserve">Administrator:
2002416 6/4 9750pcs王1-A3</s:t>
              </s:r>
            </s:text>
          </item>
        </commentChain>
      </unresolved>
      <resolved/>
    </commentChains>
    <commentChains s:ref="AL124" rgbClr="FF0000">
      <unresolved>
        <commentChain chainId="a574990b16fde922aed0b62ddf6139f3a2c4d9f5">
          <item id="b184905e9fe1d00dd5b2777a50dc99beb4859026" isNormal="1">
            <s:text>
              <s:r>
                <s:t xml:space="preserve">Administrator:
5/26 上多语警语折叠贴纸9800pcs
</s:t>
              </s:r>
            </s:text>
          </item>
        </commentChain>
      </unresolved>
      <resolved/>
    </commentChains>
    <commentChains s:ref="AI125" rgbClr="FF0000">
      <unresolved>
        <commentChain chainId="4ad5b3fc7dd85bc10cd22b37bdca85fe909bc7a7">
          <item id="53ecdf7438b3dc421126b94d642667a7a5802ab8" isNormal="1">
            <s:text>
              <s:r>
                <s:t xml:space="preserve">Administrator:
2002453 6/2 2500pcs华3B14</s:t>
              </s:r>
            </s:text>
          </item>
        </commentChain>
      </unresolved>
      <resolved/>
    </commentChains>
    <commentChains s:ref="AL125" rgbClr="FF0000">
      <unresolved>
        <commentChain chainId="881d2c1bd50a7e2fb625f848b065460dde6f6a92">
          <item id="94324822019200542ef981bb3a68fcf5472d1cf9" isNormal="1">
            <s:text>
              <s:r>
                <s:t xml:space="preserve">Administrator:
5/14 上进口含意大利环保贴纸2500pcs
</s:t>
              </s:r>
            </s:text>
          </item>
        </commentChain>
      </unresolved>
      <resolved/>
    </commentChains>
    <commentChains s:ref="AI126" rgbClr="FF0000">
      <unresolved>
        <commentChain chainId="bc103616a92166fbb568498549c4f6801576b812">
          <item id="7c2200f9dbfd5e23d5322a2bb8c3b827f315a486" isNormal="1">
            <s:text>
              <s:r>
                <s:t xml:space="preserve">Administrator:
2002394 6/4 750pcs王1-A2</s:t>
              </s:r>
            </s:text>
          </item>
        </commentChain>
      </unresolved>
      <resolved/>
    </commentChains>
    <commentChains s:ref="AL126" rgbClr="FF0000">
      <unresolved>
        <commentChain chainId="c93c4e81a034e517694d158c1e9d0970177faf3b">
          <item id="6ef9d772cbb93204db828f24764d746f86639222" isNormal="1">
            <s:text>
              <s:r>
                <s:t xml:space="preserve">Administrator:
5/14 意大利环保贴纸750pcs</s:t>
              </s:r>
            </s:text>
          </item>
        </commentChain>
      </unresolved>
      <resolved/>
    </commentChains>
    <commentChains s:ref="AI127" rgbClr="FF0000">
      <unresolved>
        <commentChain chainId="e268f51a68d2f9713acd40539c2eb75e1db7f3a1">
          <item id="368e8109140a5f77b8d79778c45bd61db87593e4" isNormal="1">
            <s:text>
              <s:r>
                <s:t xml:space="preserve">Administrator:
2002453 6/2 3000pcs华3B5</s:t>
              </s:r>
            </s:text>
          </item>
        </commentChain>
      </unresolved>
      <resolved/>
    </commentChains>
    <commentChains s:ref="AL127" rgbClr="FF0000">
      <unresolved>
        <commentChain chainId="20a2f9310a036f7d7042a2af6800b3fb241b5718">
          <item id="eda5d4b70df9e82edc147ac4d0135febe41fc6dc" isNormal="1">
            <s:text>
              <s:r>
                <s:t xml:space="preserve">Administrator:
5/16 上警告语/进口商贴纸3990pcs
5/29 上警语进口商贴纸1008pcs补订</s:t>
              </s:r>
            </s:text>
          </item>
        </commentChain>
      </unresolved>
      <resolved/>
    </commentChains>
    <commentChains s:ref="AI128" rgbClr="FF0000">
      <unresolved>
        <commentChain chainId="39b49ba431672041a2984be8861d9d9782636763">
          <item id="e26ec172f0cea981722ba4fcd781062e20c02c05" isNormal="1">
            <s:text>
              <s:r>
                <s:t xml:space="preserve">Administrator:
2002453 6/2 990pcs华3B4</s:t>
              </s:r>
            </s:text>
          </item>
        </commentChain>
      </unresolved>
      <resolved/>
    </commentChains>
    <commentChains s:ref="AL128" rgbClr="FF0000">
      <unresolved>
        <commentChain chainId="0366f2c79fd962916688934848a2d5ed9e8d2b4f">
          <item id="51904562760e7ef7a03d664fc0aee1378b07bf35" isNormal="1">
            <s:text>
              <s:r>
                <s:t xml:space="preserve">Administrator:
5/16 上EAN贴纸990pcs</s:t>
              </s:r>
            </s:text>
          </item>
        </commentChain>
      </unresolved>
      <resolved/>
    </commentChains>
    <commentChains s:ref="AI129" rgbClr="FF0000">
      <unresolved>
        <commentChain chainId="7264e3c51f71423823282e96b5d20242a6599a49">
          <item id="334f2d7c94da7ce30a65242a24fc1bd7bf44613a" isNormal="1">
            <s:text>
              <s:r>
                <s:t xml:space="preserve">Administrator:
2002394 6/4 1456pcs王1-A2</s:t>
              </s:r>
            </s:text>
          </item>
        </commentChain>
      </unresolved>
      <resolved/>
    </commentChains>
    <commentChains s:ref="AI130" rgbClr="FF0000">
      <unresolved>
        <commentChain chainId="49cbc03fb16cf4d4550d605781013455e8ef281e">
          <item id="662667607c14c836b6843bc439c0d45e42c9a7e9" isNormal="1">
            <s:text>
              <s:r>
                <s:t xml:space="preserve">Administrator:
2002354 6/6 1560pcs罗1F4</s:t>
              </s:r>
            </s:text>
          </item>
        </commentChain>
      </unresolved>
      <resolved/>
    </commentChains>
    <commentChains s:ref="AL130" rgbClr="FF0000">
      <unresolved>
        <commentChain chainId="4d5103aa66af2b34af1187aee35cf9421f307153">
          <item id="28491b031b0cd61e8685b838fa1c2be44fd1adc7" isNormal="1">
            <s:text>
              <s:r>
                <s:t xml:space="preserve">Administrator:
5/21 上进口商贴纸1560pcs
UPC贴纸1560pcs</s:t>
              </s:r>
            </s:text>
          </item>
        </commentChain>
      </unresolved>
      <resolved/>
    </commentChains>
    <commentChains s:ref="AI131" rgbClr="FF0000">
      <unresolved>
        <commentChain chainId="1ad33c864ece3d08d132230f9af24f79bf6b81c0">
          <item id="acc4a846c99ff507b27e651c67e8ed80e0d5608e" isNormal="1">
            <s:text>
              <s:r>
                <s:t xml:space="preserve">Administrator:
2002369 6/5 5000pcs 王 1-B4</s:t>
              </s:r>
            </s:text>
          </item>
        </commentChain>
      </unresolved>
      <resolved/>
    </commentChains>
    <commentChains s:ref="AL131" rgbClr="FF0000">
      <unresolved>
        <commentChain chainId="ace579f4579b4021c99f4224fd0a6b8494933900">
          <item id="18d5a2344a1d6b25f5ee45135e71a690a58f66ee" isNormal="1">
            <s:text>
              <s:r>
                <s:t xml:space="preserve">Administrator:
5/14 上进口商贴纸5000pcs</s:t>
              </s:r>
            </s:text>
          </item>
        </commentChain>
      </unresolved>
      <resolved/>
    </commentChains>
    <commentChains s:ref="AI132" rgbClr="FF0000">
      <unresolved>
        <commentChain chainId="cc38fd93037e613c85961a301fb6718c7ff819f0">
          <item id="e1a3a6d2146b6a039a37003204b209d157adb279" isNormal="1">
            <s:text>
              <s:r>
                <s:t xml:space="preserve">Administrator:
2002496 6/14 48pcsA1楼</s:t>
              </s:r>
            </s:text>
          </item>
        </commentChain>
      </unresolved>
      <resolved/>
    </commentChains>
    <commentChains s:ref="AI133" rgbClr="FF0000">
      <unresolved>
        <commentChain chainId="07126e2fc592463cff90c2c231fecac1254badcd">
          <item id="ef63b9b93ced16df653e4eb96b801667de842d14" isNormal="1">
            <s:text>
              <s:r>
                <s:t xml:space="preserve">Administrator:
2002530 6/6 600pcs王1-A8
</s:t>
              </s:r>
            </s:text>
          </item>
        </commentChain>
      </unresolved>
      <resolved/>
    </commentChains>
    <commentChains s:ref="AL133" rgbClr="FF0000">
      <unresolved>
        <commentChain chainId="a06767f769e62f2c10c59c770fb639c37ed6a8f1">
          <item id="3083be67e8ad44582eb4c215bd9fcd76d3b18429" isNormal="1">
            <s:text>
              <s:r>
                <s:t xml:space="preserve">Administrator:
4/14 上客供警语贴纸底部1240pcs
客供警语贴纸说明书上1240pcs
客供警语贴纸收藏指南1242pcs
5/7 上空白贴纸1200pcs</s:t>
              </s:r>
            </s:text>
          </item>
        </commentChain>
      </unresolved>
      <resolved/>
    </commentChains>
    <commentChains s:ref="AI134" rgbClr="FF0000">
      <unresolved>
        <commentChain chainId="5726c497d34254e5b1fa0c62f14e57ccdb2eda7c">
          <item id="fff6810109faef79d7fd47229cf7e233aa68bd8a" isNormal="1">
            <s:text>
              <s:r>
                <s:t xml:space="preserve">Administrator:
2002314 6/7 528pcs华3B8</s:t>
              </s:r>
            </s:text>
          </item>
        </commentChain>
      </unresolved>
      <resolved/>
    </commentChains>
    <commentChains s:ref="AL134" rgbClr="FF0000">
      <unresolved>
        <commentChain chainId="309312d0596198b444e5b7e0933ce9e4a1f24290">
          <item id="62ccc410a1f9bebe95b8be6ffbd733d65c778e7e" isNormal="1">
            <s:text>
              <s:r>
                <s:t xml:space="preserve">Administrator:
5/12 亚马逊外箱贴纸44pcs
5/12 上空白贴纸2088pcs
两上同PO共用
 环保标贴纸1044pcs
两个同PO共用</s:t>
              </s:r>
            </s:text>
          </item>
        </commentChain>
      </unresolved>
      <resolved/>
    </commentChains>
    <commentChains s:ref="AI135" rgbClr="FF0000">
      <unresolved>
        <commentChain chainId="6d0497e263d14e1a5abbf91e533e9a4431eb9eb4">
          <item id="c98adee0717b3896fc4ed004fd9593d7fb36adf2" isNormal="1">
            <s:text>
              <s:r>
                <s:t xml:space="preserve">Administrator:
2002314 6/7 516pcs华3B16
</s:t>
              </s:r>
            </s:text>
          </item>
        </commentChain>
      </unresolved>
      <resolved/>
    </commentChains>
    <commentChains s:ref="AL135" rgbClr="FF0000">
      <unresolved>
        <commentChain chainId="79c5a78476842221f3031fc0f4236c646b1f7519">
          <item id="0f1ed93ec4b5ad5316db94c569207d0ec7c8116e" isNormal="1">
            <s:text>
              <s:r>
                <s:t xml:space="preserve">Administrator:
5/12 亚马逊外箱贴纸43pcs</s:t>
              </s:r>
            </s:text>
          </item>
        </commentChain>
      </unresolved>
      <resolved/>
    </commentChains>
    <commentChains s:ref="AI136" rgbClr="FF0000">
      <unresolved>
        <commentChain chainId="5d3e0fccd70b2a9300cf6614e0b899ed006019c5">
          <item id="075fbbea5ce69ce735a8971db81d8c7e99a180f0" isNormal="1">
            <s:text>
              <s:r>
                <s:t xml:space="preserve">Administrator:
2002304 6/7 2928pcs华3B10</s:t>
              </s:r>
            </s:text>
          </item>
        </commentChain>
      </unresolved>
      <resolved/>
    </commentChains>
    <commentChains s:ref="AL136" rgbClr="FF0000">
      <unresolved>
        <commentChain chainId="cae25bc55cc4eed2602a010f36230ecb2ba550cc">
          <item id="1c976d0dbebec23a4b1f33007cd2660a46b664ef" isNormal="1">
            <s:text>
              <s:r>
                <s:t xml:space="preserve">Administrator:
5/12 上空白贴纸10512pcs
三个同PO共用
上环保标贴纸5256pcs
两个同PO共用
5/19 上亚马逊外箱贴纸244pcs
</s:t>
              </s:r>
            </s:text>
          </item>
        </commentChain>
      </unresolved>
      <resolved/>
    </commentChains>
    <commentChains s:ref="AI137" rgbClr="FF0000">
      <unresolved>
        <commentChain chainId="e7f224f08671efbf26c33476488f7e24b0422d14">
          <item id="74adb2e08dce0d098c5c10a0675c47f1eaa58a86" isNormal="1">
            <s:text>
              <s:r>
                <s:t xml:space="preserve">Administrator:
2002314 6/7 1548pcs华3A16</s:t>
              </s:r>
            </s:text>
          </item>
        </commentChain>
      </unresolved>
      <resolved/>
    </commentChains>
    <commentChains s:ref="AL137" rgbClr="FF0000">
      <unresolved>
        <commentChain chainId="43733fed8bae5157a015ac5487f8dc29d969e1db">
          <item id="0d24e3e32be65080d61a8875fe7d752d77cde1c5" isNormal="1">
            <s:text>
              <s:r>
                <s:t xml:space="preserve">Administrator:
5/19 上亚马逊外箱贴纸129pcs</s:t>
              </s:r>
            </s:text>
          </item>
        </commentChain>
      </unresolved>
      <resolved/>
    </commentChains>
    <commentChains s:ref="AI138" rgbClr="FF0000">
      <unresolved>
        <commentChain chainId="d11ea1c193edaacd3b2a4c7bdfa77fe72c30170b">
          <item id="df948eef17818b44bd32b2eb8d9ba1a6bcb25a1e" isNormal="1">
            <s:text>
              <s:r>
                <s:t xml:space="preserve">Administrator:
2002304 6/7 780pcs华3B14
</s:t>
              </s:r>
            </s:text>
          </item>
        </commentChain>
      </unresolved>
      <resolved/>
    </commentChains>
    <commentChains s:ref="AL138" rgbClr="FF0000">
      <unresolved>
        <commentChain chainId="21696fcf1acf5bea94d8686046d3ee40d595bdf4">
          <item id="a6279a3cb6b8a7ba97317684388ddf2fe117a05b" isNormal="1">
            <s:text>
              <s:r>
                <s:t xml:space="preserve">Administrator:
5/19 上亚马逊外箱贴纸65pcs</s:t>
              </s:r>
            </s:text>
          </item>
        </commentChain>
      </unresolved>
      <resolved/>
    </commentChains>
    <commentChains s:ref="AI139" rgbClr="FF0000">
      <unresolved>
        <commentChain chainId="bc5b2d8b7bf564825e0e8fc5254075670fa3d246">
          <item id="7c2885dbdb69dcbcbca4e502a1cfe80bc836c865" isNormal="1">
            <s:text>
              <s:r>
                <s:t xml:space="preserve">Administrator:
2002343 6/6 5500pcs王1-A7</s:t>
              </s:r>
            </s:text>
          </item>
        </commentChain>
      </unresolved>
      <resolved/>
    </commentChains>
    <commentChains s:ref="AL139" rgbClr="FF0000">
      <unresolved>
        <commentChain chainId="6e34eef82c7def5c158f183498eaf59dddc98e23">
          <item id="6ec57dab978942eb7f3c82903e7edfa26849b187" isNormal="1">
            <s:text>
              <s:r>
                <s:t xml:space="preserve">Administrator:
5/29 上外箱贴纸110pcs
5/29 上进口商贴纸5500pcs
UPC贴纸5500pcs</s:t>
              </s:r>
            </s:text>
          </item>
        </commentChain>
      </unresolved>
      <resolved/>
    </commentChains>
    <commentChains s:ref="AI140" rgbClr="FF0000">
      <unresolved>
        <commentChain chainId="583663c04bd051f1f1c1b82fc2f0a5c5cf995aa4">
          <item id="60e6ff739c764fa80fbc932fe5ce01e6c250519d" isNormal="1">
            <s:text>
              <s:r>
                <s:t xml:space="preserve">Administrator:
2002304 6/7 504pcs华3B14
</s:t>
              </s:r>
            </s:text>
          </item>
        </commentChain>
      </unresolved>
      <resolved/>
    </commentChains>
    <commentChains s:ref="AL140" rgbClr="FF0000">
      <unresolved>
        <commentChain chainId="5a16cf94ef277d90fb69183006824e0a3be79247">
          <item id="cbf1eb95abd6f3ddd9b744f7c9d77d10b52d3493" isNormal="1">
            <s:text>
              <s:r>
                <s:t xml:space="preserve">Administrator:
5/19 上亚马逊外箱贴纸42pcs
5/20 上空白贴纸2016pcs
环保标贴纸1008pcs</s:t>
              </s:r>
            </s:text>
          </item>
        </commentChain>
      </unresolved>
      <resolved/>
    </commentChains>
    <commentChains s:ref="AI141" rgbClr="FF0000">
      <unresolved>
        <commentChain chainId="b442c48841a28d16d7e02494f2d3c5f010ee438c">
          <item id="b545f76be7d53314055de8a1fbfe94a09ce14892" isNormal="1">
            <s:text>
              <s:r>
                <s:t xml:space="preserve">Administrator:
2002304 6/7 504pcs华3B14</s:t>
              </s:r>
            </s:text>
          </item>
        </commentChain>
      </unresolved>
      <resolved/>
    </commentChains>
    <commentChains s:ref="AL141" rgbClr="FF0000">
      <unresolved>
        <commentChain chainId="d0e347703f810febe8aecb516b0bccadef65f2aa">
          <item id="486f2b87eced289da2c9ad65979b1c46a960bc0c" isNormal="1">
            <s:text>
              <s:r>
                <s:t xml:space="preserve">Administrator:
5/19 上亚马逊外箱贴纸42pcs
</s:t>
              </s:r>
            </s:text>
          </item>
        </commentChain>
      </unresolved>
      <resolved/>
    </commentChains>
    <commentChains s:ref="AI142" rgbClr="FF0000">
      <unresolved>
        <commentChain chainId="f7c7d70d6159058cc045d1fa09775bea2cfba60c">
          <item id="9bf49180b54cfaee65284522ff830be04a03fc1a" isNormal="1">
            <s:text>
              <s:r>
                <s:t xml:space="preserve">Administrator:
2002280 6/9 50pcs罗
2002349 6/6 4950pcs王 1-A4</s:t>
              </s:r>
            </s:text>
          </item>
        </commentChain>
      </unresolved>
      <resolved/>
    </commentChains>
    <commentChains s:ref="AI143" rgbClr="FF0000">
      <unresolved>
        <commentChain chainId="33db0629d6e0cd4d0b04b3426fb263d2627e2563">
          <item id="30074e29b353c42ab6a3d258ddee682787790bca" isNormal="1">
            <s:text>
              <s:r>
                <s:t xml:space="preserve">Administrator:
2002354 6/6 504pcs罗1-F4</s:t>
              </s:r>
            </s:text>
          </item>
        </commentChain>
      </unresolved>
      <resolved/>
    </commentChains>
    <commentChains s:ref="AL143" rgbClr="FF0000">
      <unresolved>
        <commentChain chainId="ed87e9cc2e26771c7f59202669024ccb6c756ad2">
          <item id="379cf81214f6a3bf93c66352c136a2b2b8040194" isNormal="1">
            <s:text>
              <s:r>
                <s:t xml:space="preserve">Administrator:
冰棒款说明书荷兰语贴纸168pcs
蛋糕款说明书荷兰语贴纸168pcs
布丁款说明书荷兰语贴纸168pcs
</s:t>
              </s:r>
            </s:text>
          </item>
        </commentChain>
      </unresolved>
      <resolved/>
    </commentChains>
    <commentChains s:ref="AI144" rgbClr="FF0000">
      <unresolved>
        <commentChain chainId="f68811be02be6a6283f8d96e8a5f7301524f13a8">
          <item id="6aff7b869e9e37cee79897c5c21631c1d6520302" isNormal="1">
            <s:text>
              <s:r>
                <s:t xml:space="preserve">Administrator:
2002362 6/6 1000pcs莫4B9</s:t>
              </s:r>
            </s:text>
          </item>
        </commentChain>
      </unresolved>
      <resolved/>
    </commentChains>
    <commentChains s:ref="AL144" rgbClr="FF0000">
      <unresolved>
        <commentChain chainId="8cf44b0ee809be297222bbf8080a6dec29b20faf">
          <item id="73072419ada7efed45d847b8fa2d084b84468929" isNormal="1">
            <s:text>
              <s:r>
                <s:t xml:space="preserve">Administrator:
5/21 上UPC条码贴纸1000pcs</s:t>
              </s:r>
            </s:text>
          </item>
        </commentChain>
      </unresolved>
      <resolved/>
    </commentChains>
    <commentChains s:ref="AI145" rgbClr="FF0000">
      <unresolved>
        <commentChain chainId="4798c337af538ea2cdfd2e405a5927c95a04d338">
          <item id="2c59ed2f3a5198b9b5f8840eda1ff892a7c96de3" isNormal="1">
            <s:text>
              <s:r>
                <s:t xml:space="preserve">Administrator:
2002352 6/7 725pcs王1-B10</s:t>
              </s:r>
            </s:text>
          </item>
        </commentChain>
      </unresolved>
      <resolved/>
    </commentChains>
    <commentChains s:ref="AI146" rgbClr="FF0000">
      <unresolved>
        <commentChain chainId="568f05bbe8fe3038fbf868ea5a026c91e595e0c9">
          <item id="f51896fb0786f3557a08a3ff4553c95bd6ccc9f6" isNormal="1">
            <s:text>
              <s:r>
                <s:t xml:space="preserve">Administrator:
2002352 6/7 750pcs王1-B10</s:t>
              </s:r>
            </s:text>
          </item>
        </commentChain>
      </unresolved>
      <resolved/>
    </commentChains>
    <commentChains s:ref="AI147" rgbClr="FF0000">
      <unresolved>
        <commentChain chainId="c42b308ffafeee728962c64e6e46fe6c12d346fd">
          <item id="1dcdeacf80c95d813f5ce9d706088d2cc661df36" isNormal="1">
            <s:text>
              <s:r>
                <s:t xml:space="preserve">Administrator:
2002352 6/7 1000pcs王1-B10
</s:t>
              </s:r>
            </s:text>
          </item>
        </commentChain>
      </unresolved>
      <resolved/>
    </commentChains>
    <commentChains s:ref="AI148" rgbClr="FF0000">
      <unresolved>
        <commentChain chainId="408331dee143d528cee53ccebdc0fb3524aafcdf">
          <item id="5a383e358aece4cdb6e591a45900ef1cca0d4b15" isNormal="1">
            <s:text>
              <s:r>
                <s:t xml:space="preserve">Administrator:
2002352 6/7 550pcs王1-B10
</s:t>
              </s:r>
            </s:text>
          </item>
        </commentChain>
      </unresolved>
      <resolved/>
    </commentChains>
    <commentChains s:ref="AI149" rgbClr="FF0000">
      <unresolved>
        <commentChain chainId="de010adf9bf294fb1382016e430df862e09807b9">
          <item id="799bf065ffa98981cda82d7053397e2957d66d67" isNormal="1">
            <s:text>
              <s:r>
                <s:t xml:space="preserve">Administrator:
2002297 6/9 2483pcs莫5-A7</s:t>
              </s:r>
            </s:text>
          </item>
        </commentChain>
      </unresolved>
      <resolved/>
    </commentChains>
    <commentChains s:ref="AL149" rgbClr="FF0000">
      <unresolved>
        <commentChain chainId="8f702e904f8c2b951559a0e4e6396ad0e35b432d">
          <item id="c829b354c1c6fa996eae8df315b275073c743491" isNormal="1">
            <s:text>
              <s:r>
                <s:t xml:space="preserve">Administrator:
5/12 上白色防盗贴纸2483pcs
5/24 上UPC条码贴纸2483pcs
KM外箱贴纸191pcs</s:t>
              </s:r>
            </s:text>
          </item>
        </commentChain>
      </unresolved>
      <resolved/>
    </commentChains>
    <commentChains s:ref="AI150" rgbClr="FF0000">
      <unresolved>
        <commentChain chainId="cf14af32c7f48e87fbff8fc238396d5451c4f82e">
          <item id="594068cfd4b0fad58462354f1f7e81bcc64eeeb4" isNormal="1">
            <s:text>
              <s:r>
                <s:t xml:space="preserve">Administrator:
2002510 6/7 1002pcs直走</s:t>
              </s:r>
            </s:text>
          </item>
        </commentChain>
      </unresolved>
      <resolved/>
    </commentChains>
    <commentChains s:ref="AL150" rgbClr="FF0000">
      <unresolved>
        <commentChain chainId="ec7f82176c6d7eb2e354b7f29a5e3e9c864b1d97">
          <item id="68bb567d572a0eef8fdc7dab9801ad91a21cd2f1" isNormal="1">
            <s:text>
              <s:r>
                <s:t xml:space="preserve">Administrator:
5/19 WEEE带电池走货欧洲30语通用黑白说明书1002pcs
EAN条码贴纸1002pcs
进口商贴纸1002pcs
6/5 上进口商贴纸1002pcs补订</s:t>
              </s:r>
            </s:text>
          </item>
        </commentChain>
      </unresolved>
      <resolved/>
    </commentChains>
    <commentChains s:ref="AI151" rgbClr="FF0000">
      <unresolved>
        <commentChain chainId="08f9028bd06d12db6567a62d1ebb517cae5942c1">
          <item id="f93a3b65aa45e950fed5dbdf23ce8c2687e119ef" isNormal="1">
            <s:text>
              <s:r>
                <s:t xml:space="preserve">Administrator:
2002243 6/12 1008pcs
</s:t>
              </s:r>
            </s:text>
          </item>
        </commentChain>
      </unresolved>
      <resolved/>
    </commentChains>
    <commentChains s:ref="AI152" rgbClr="FF0000">
      <unresolved>
        <commentChain chainId="a6fb90e0eb0a1c0c4e6c38e7e0a430f37c7031b7">
          <item id="e3cfde551cabb0afc908c908460932ff57f826f3" isNormal="1">
            <s:text>
              <s:r>
                <s:t xml:space="preserve">Administrator:
2002243 6/12 1008pcs</s:t>
              </s:r>
            </s:text>
          </item>
        </commentChain>
      </unresolved>
      <resolved/>
    </commentChains>
    <commentChains s:ref="AI153" rgbClr="FF0000">
      <unresolved>
        <commentChain chainId="43581b9a7a35eee5c2b8f45746dc5c1c9d10928c">
          <item id="50253faf496027b948ba37ecc13b00ff551686dc" isNormal="1">
            <s:text>
              <s:r>
                <s:t xml:space="preserve">Administrator:
2002276 6/9 800pcs罗3B8</s:t>
              </s:r>
            </s:text>
          </item>
        </commentChain>
      </unresolved>
      <resolved/>
    </commentChains>
    <commentChains s:ref="AL153" rgbClr="FF0000">
      <unresolved>
        <commentChain chainId="6abca8ed87dd08b648a2fa015b77477420933a75">
          <item id="f5e6cdc3d2efc4bd0630419ec3c049b72e2e325d" isNormal="1">
            <s:text>
              <s:r>
                <s:t xml:space="preserve">Administrator:
5/14 上进口商贴纸800pcs
5/24 上价标贴纸800pcs
5/26 上客供HU贴纸16pcs
客供AS贴纸16pcs</s:t>
              </s:r>
            </s:text>
          </item>
        </commentChain>
      </unresolved>
      <resolved/>
    </commentChains>
    <commentChains s:ref="AI154" rgbClr="FF0000">
      <unresolved>
        <commentChain chainId="c3c959ca69bf4c2cdf787840cc82060c237112f9">
          <item id="753d34e7eec45798c52517260a7e50abf2a92cbd" isNormal="1">
            <s:text>
              <s:r>
                <s:t xml:space="preserve">Administrator:
2000801 5/24 7200pcs</s:t>
              </s:r>
            </s:text>
          </item>
        </commentChain>
      </unresolved>
      <resolved/>
    </commentChains>
    <commentChains s:ref="AL154" rgbClr="FF0000">
      <unresolved>
        <commentChain chainId="bf20fd1b93c94c3e5cdb474f7b9b83821ca1b346">
          <item id="121ee270fad3cafc36d2fcfe017994ca1ca2292f" isNormal="1">
            <s:text>
              <s:r>
                <s:t xml:space="preserve">Administrator:
5/14 上进口含意大利环保贴纸7200pcs
5/14 展示架条码贴纸80pcs
展示架条码贴纸130pcs</s:t>
              </s:r>
            </s:text>
          </item>
        </commentChain>
      </unresolved>
      <resolved/>
    </commentChains>
    <commentChains s:ref="AI155" rgbClr="FF0000">
      <unresolved>
        <commentChain chainId="d7051377b13986df9daa21a80d6ca1bfa5a8241d">
          <item id="a845fce3767cd5c477f9de27447e496ab626e2e1" isNormal="1">
            <s:text>
              <s:r>
                <s:t xml:space="preserve">Administrator:
2002465 5/29 2520pcs莫4B9送回半成品车间混装</s:t>
              </s:r>
            </s:text>
          </item>
        </commentChain>
      </unresolved>
      <resolved/>
    </commentChains>
    <commentChains s:ref="AI156" rgbClr="FF0000">
      <unresolved>
        <commentChain chainId="784f74a4f5988f670b14c0ddbb0f454eb3d51a6d">
          <item id="f95b9f6c0cb1aa980df648c744c6896660a5d62a" isNormal="1">
            <s:text>
              <s:r>
                <s:t xml:space="preserve">Administrator:
2002267 6/10 1248pcs
华3B8</s:t>
              </s:r>
            </s:text>
          </item>
        </commentChain>
      </unresolved>
      <resolved/>
    </commentChains>
    <commentChains s:ref="AL156" rgbClr="FF0000">
      <unresolved>
        <commentChain chainId="c37d460a5b970a2a4c7317d341c1c3420e69338a">
          <item id="27457026ac7b96216eb0bd143dc8319bbd02d564" isNormal="1">
            <s:text>
              <s:r>
                <s:t xml:space="preserve">Administrator:
5/12 上空白贴纸1248pcs
EAN条码贴纸1248pcs
警告语贴纸pcs</s:t>
              </s:r>
            </s:text>
          </item>
        </commentChain>
      </unresolved>
      <resolved/>
    </commentChains>
    <commentChains s:ref="AI157" rgbClr="FF0000">
      <unresolved>
        <commentChain chainId="f1bc7488d4b3e699590c1f8f4e7c4cbff21a5d35">
          <item id="db12bc816dac704a3c6254fae5e3e241a7aaeb50" isNormal="1">
            <s:text>
              <s:r>
                <s:t xml:space="preserve">Administrator:
2000785 5/24 2700pcs东莞混装送回半成品球</s:t>
              </s:r>
            </s:text>
          </item>
        </commentChain>
      </unresolved>
      <resolved/>
    </commentChains>
    <commentChains s:ref="AL157" rgbClr="FF0000">
      <unresolved>
        <commentChain chainId="05280f5c76b4cc226b2e9d5febea0004b756641b">
          <item id="5c13699ba4f406b57b6d24c843beccd33f5ba379" isNormal="1">
            <s:text>
              <s:r>
                <s:t xml:space="preserve">Administrator:
5/9 上意大利环保标通用地址贴纸2700pcs</s:t>
              </s:r>
            </s:text>
          </item>
        </commentChain>
      </unresolved>
      <resolved/>
    </commentChains>
    <commentChains s:ref="AI158" rgbClr="FF0000">
      <unresolved>
        <commentChain chainId="9ddfa274cbcbc9a863a5b085b67494569f9d6907">
          <item id="201fdb4814b5b9e3ce2ce22ec0aaf686d316abe9" isNormal="1">
            <s:text>
              <s:r>
                <s:t xml:space="preserve">Administrator:
2002318 6/7 20016pcs莫4B8</s:t>
              </s:r>
            </s:text>
          </item>
        </commentChain>
      </unresolved>
      <resolved/>
    </commentChains>
    <commentChains s:ref="AI159" rgbClr="FF0000">
      <unresolved>
        <commentChain chainId="008aa22e752bfb35313d90b44e9cbccd94310ed7">
          <item id="039e6dfd2ec2dd2dce27519b99ca51d23f0473d4" isNormal="1">
            <s:text>
              <s:r>
                <s:t xml:space="preserve">Administrator:
2002303 6/7 3840pcs
2002318 6/7 20016pcs莫4A5
</s:t>
              </s:r>
            </s:text>
          </item>
        </commentChain>
      </unresolved>
      <resolved/>
    </commentChains>
    <commentChains s:ref="AI160" rgbClr="FF0000">
      <unresolved>
        <commentChain chainId="529b92370206ad14f99a544ca469c18c9ee1a11d">
          <item id="8f4ce56e52341f092cb41fe5d0ccda0ad3b6840e" isNormal="1">
            <s:text>
              <s:r>
                <s:t xml:space="preserve">Administrator:
 2002353 6/7 19200pcs莫B栋 C7</s:t>
              </s:r>
            </s:text>
          </item>
        </commentChain>
      </unresolved>
      <resolved/>
    </commentChains>
    <commentChains s:ref="AI161" rgbClr="FF0000">
      <unresolved>
        <commentChain chainId="fa279271c775f07239b93af5279d6c34492705f2">
          <item id="5c9679839aecc31543fa2985784cf168fa40922c" isNormal="1">
            <s:text>
              <s:r>
                <s:t xml:space="preserve">Administrator:
2002297 6/9 6576pcs莫4-B9</s:t>
              </s:r>
            </s:text>
          </item>
        </commentChain>
      </unresolved>
      <resolved/>
    </commentChains>
    <commentChains s:ref="AI162" rgbClr="FF0000">
      <unresolved>
        <commentChain chainId="dbab79d372376d185a5be319ccba72371d6c4de6">
          <item id="f9360bdc8cb813906487e9be30c423d3b8e11eaa" isNormal="1">
            <s:text>
              <s:r>
                <s:t xml:space="preserve">Administrator:
2002318 6/7 20784pcs莫4A5
</s:t>
              </s:r>
            </s:text>
          </item>
        </commentChain>
      </unresolved>
      <resolved/>
    </commentChains>
    <commentChains s:ref="AI163" rgbClr="FF0000">
      <unresolved>
        <commentChain chainId="31b857c4864fafd81ac16bdb036ad69a0a82fbdb">
          <item id="1ef9a074c411f59c792aa23a7d22fb035f992e86" isNormal="1">
            <s:text>
              <s:r>
                <s:t xml:space="preserve">Administrator:
2002303 6/7 38400pcs莫4C5</s:t>
              </s:r>
            </s:text>
          </item>
        </commentChain>
      </unresolved>
      <resolved/>
    </commentChains>
    <commentChains s:ref="AI164" rgbClr="FF0000">
      <unresolved>
        <commentChain chainId="1cdc0d92d5d0d13ea734a3ac29abde91ee9e9204">
          <item id="b0f36b0160b0555cf8c2a2698ce4303f0ca33479" isNormal="1">
            <s:text>
              <s:r>
                <s:t xml:space="preserve">Administrator:
2002267 6/10 1200pcs
华3B8</s:t>
              </s:r>
            </s:text>
          </item>
        </commentChain>
      </unresolved>
      <resolved/>
    </commentChains>
    <commentChains s:ref="AL164" rgbClr="FF0000">
      <unresolved>
        <commentChain chainId="2bb41e048da7a67ef24528fda72451d88f163585">
          <item id="cefb4ec0fa5ec6732b99ed902b5a6160ca546781" isNormal="1">
            <s:text>
              <s:r>
                <s:t xml:space="preserve">Administrator:
5/21 上警告语/信息翻译贴纸600pcs
1 袋子警告语贴纸1800pcs
1 袋子警告语贴纸600pcs
说明书警告语贴纸1200pcs
6/3 上袋子警告语贴纸3600pcs</s:t>
              </s:r>
            </s:text>
          </item>
        </commentChain>
      </unresolved>
      <resolved/>
    </commentChains>
    <commentChains s:ref="AI165" rgbClr="FF0000">
      <unresolved>
        <commentChain chainId="bd0fc7e4eacabcdbd5f589fe0bcbfddff22271bc">
          <item id="a3c20bffeddb3faf43d304630a5f71600960cf0f" isNormal="1">
            <s:text>
              <s:r>
                <s:t xml:space="preserve">Administrator:
3002287 6/10 3000pcs直走</s:t>
              </s:r>
            </s:text>
          </item>
        </commentChain>
      </unresolved>
      <resolved/>
    </commentChains>
    <commentChains s:ref="AL165" rgbClr="FF0000">
      <unresolved>
        <commentChain chainId="aafcbe426f3e7989f3b62b8c056b3580d6359332">
          <item id="ea40693d9d71f2b9fba738b758a313fdcfbcf5de" isNormal="1">
            <s:text>
              <s:r>
                <s:t xml:space="preserve">Administrator:
5/27 上进口商贴纸3000pcs
UPC贴纸3000pcs</s:t>
              </s:r>
            </s:text>
          </item>
        </commentChain>
      </unresolved>
      <resolved/>
    </commentChains>
    <commentChains s:ref="AI166" rgbClr="FF0000">
      <unresolved>
        <commentChain chainId="ad171f61b1de3a346aa1d5118ab9636f00e3b98c">
          <item id="704c0383123c785e2d6a28213e087b39fc765fcb" isNormal="1">
            <s:text>
              <s:r>
                <s:t xml:space="preserve">Administrator:
2002243 6/12 1200pcs华3B14</s:t>
              </s:r>
            </s:text>
          </item>
        </commentChain>
      </unresolved>
      <resolved/>
    </commentChains>
    <commentChains s:ref="AI167" rgbClr="FF0000">
      <unresolved>
        <commentChain chainId="9b50f5ffaf394be4cb57a7a15e9cea6f3a5d66e2">
          <item id="a0a5630a93bdb5e5962df91f18437d7e92b16d1d" isNormal="1">
            <s:text>
              <s:r>
                <s:t xml:space="preserve">Administrator:
2002236 6/12 5044pcs
华3B9</s:t>
              </s:r>
            </s:text>
          </item>
        </commentChain>
      </unresolved>
      <resolved/>
    </commentChains>
    <commentChains s:ref="AL167" rgbClr="FF0000">
      <unresolved>
        <commentChain chainId="84e2955d698fc13da6d98b969c5a0e81913c2246">
          <item id="a8c94a3267148d6c7c44baa0faad3066b076d3ef" isNormal="1">
            <s:text>
              <s:r>
                <s:t xml:space="preserve">Administrator:
5/19 上进口商贴纸5344pcs
UPC贴纸5344pcs
以上两个同PO共用</s:t>
              </s:r>
            </s:text>
          </item>
        </commentChain>
      </unresolved>
      <resolved/>
    </commentChains>
    <commentChains s:ref="AI168" rgbClr="FF0000">
      <unresolved>
        <commentChain chainId="ba6bb0a6ed543a6ddcd7058782ef0d8e940c82b3">
          <item id="40e11cc87ccfff9ec2dd07c25b9782612931f0d8" isNormal="1">
            <s:text>
              <s:r>
                <s:t xml:space="preserve">Administrator:
2002236 6/12 300pcs
华3</s:t>
              </s:r>
            </s:text>
          </item>
        </commentChain>
      </unresolved>
      <resolved/>
    </commentChains>
    <commentChains s:ref="AI169" rgbClr="FF0000">
      <unresolved>
        <commentChain chainId="5aed4059c0ece574328143d69b03cf0409900d55">
          <item id="a73429366900868df84de618d66c2717ca5445ca" isNormal="1">
            <s:text>
              <s:r>
                <s:t xml:space="preserve">Administrator:
2002260 6/11 6064pcs华3A12</s:t>
              </s:r>
            </s:text>
          </item>
        </commentChain>
      </unresolved>
      <resolved/>
    </commentChains>
    <commentChains s:ref="AL169" rgbClr="FF0000">
      <unresolved>
        <commentChain chainId="75505e1931f7379f5a4c4e006819ff71afa92c3e">
          <item id="562fe4ccbb28116ed76eb900396ae101f67a7d87" isNormal="1">
            <s:text>
              <s:r>
                <s:t xml:space="preserve">Administrator:
5/12 上客供RFID贴纸6064pcs</s:t>
              </s:r>
            </s:text>
          </item>
        </commentChain>
      </unresolved>
      <resolved/>
    </commentChains>
    <commentChains s:ref="AI170" rgbClr="FF0000">
      <unresolved>
        <commentChain chainId="76489eebd60a464d9161130fabb60020fb21f9fb">
          <item id="ae622e8f448b3235b1dbdfc8422e7f0fb0db52a6" isNormal="1">
            <s:text>
              <s:r>
                <s:t xml:space="preserve">Administrator:
2002237 6/11 5232pcs华3A10</s:t>
              </s:r>
            </s:text>
          </item>
        </commentChain>
      </unresolved>
      <resolved/>
    </commentChains>
    <commentChains s:ref="AL170" rgbClr="FF0000">
      <unresolved>
        <commentChain chainId="7fbb9a850440054f9fcf755b5f093669f7887bf5">
          <item id="da6cf155c08b315e84f7741ee20ea81d19f2829d" isNormal="1">
            <s:text>
              <s:r>
                <s:t xml:space="preserve">Administrator:
5/12 上客供RFID贴纸5232pcs</s:t>
              </s:r>
            </s:text>
          </item>
        </commentChain>
      </unresolved>
      <resolved/>
    </commentChains>
    <commentChains s:ref="AI171" rgbClr="FF0000">
      <unresolved>
        <commentChain chainId="4501c76923a865f28853bb56ab90d76232a83b5e">
          <item id="794871176a77b1f91d045ad330d23b9b4362f158" isNormal="1">
            <s:text>
              <s:r>
                <s:t xml:space="preserve">Administrator:
2002237 6/11 2600pcs华3A28</s:t>
              </s:r>
            </s:text>
          </item>
        </commentChain>
      </unresolved>
      <resolved/>
    </commentChains>
    <commentChains s:ref="AL171" rgbClr="FF0000">
      <unresolved>
        <commentChain chainId="a24620ced414f31757d5a1e712fab56d7afe24ba">
          <item id="161b714247136df1850bbd14c8a4e3c3b02dfdc4" isNormal="1">
            <s:text>
              <s:r>
                <s:t xml:space="preserve">Administrator:
5/15 上多语警语折叠贴纸25100pcs
三个同PO共用</s:t>
              </s:r>
            </s:text>
          </item>
        </commentChain>
      </unresolved>
      <resolved/>
    </commentChains>
    <commentChains s:ref="AI172" rgbClr="FF0000">
      <unresolved>
        <commentChain chainId="2c5b79bde060df4a1a342991f5341583c36b8552">
          <item id="4ac44ea8686d8dbb236986282d6c48721edf1ac2" isNormal="1">
            <s:text>
              <s:r>
                <s:t xml:space="preserve">Administrator:
2002237 6/11 4500pcs华3
B3</s:t>
              </s:r>
            </s:text>
          </item>
        </commentChain>
      </unresolved>
      <resolved/>
    </commentChains>
    <commentChains s:ref="AI173" rgbClr="FF0000">
      <unresolved>
        <commentChain chainId="a78c05e7660b54eba17d11b4e1307d5498bcc14b">
          <item id="4cef176ca4d018104ecd460ceb452790158fb681" isNormal="1">
            <s:text>
              <s:r>
                <s:t xml:space="preserve">Administrator:
2002354 6/6 2700pcs罗 1-F4</s:t>
              </s:r>
            </s:text>
          </item>
        </commentChain>
      </unresolved>
      <resolved/>
    </commentChains>
    <commentChains s:ref="AL174" rgbClr="FF0000">
      <unresolved>
        <commentChain chainId="76619f7be27b646ff2602af341966eb05bc440fd">
          <item id="453da253c38abcfee031ca5f8cae907f4e21e6b7" isNormal="1">
            <s:text>
              <s:r>
                <s:t xml:space="preserve">Administrator:
5/26 上多语警语折叠贴纸7300pcs
以上三个同PO共用
5/27 上EAN条码贴纸7344pcs
三个同PO共用
5/30 上多语折叠贴纸4560pcs</s:t>
              </s:r>
            </s:text>
          </item>
        </commentChain>
      </unresolved>
      <resolved/>
    </commentChains>
    <commentChains s:ref="AI175" rgbClr="FF0000">
      <unresolved>
        <commentChain chainId="31e2f94ed2159b71621e3ab157fc0063b59ff2cd">
          <item id="f8b24edacdf26d305de66dbd68b609fce720dd45" isNormal="1">
            <s:text>
              <s:r>
                <s:t xml:space="preserve">Administrator:
2002236 6/12 12425pcs
华3A23
2002212 6/13 200pcs华3A23</s:t>
              </s:r>
            </s:text>
          </item>
        </commentChain>
      </unresolved>
      <resolved/>
    </commentChains>
    <commentChains s:ref="AL175" rgbClr="FF0000">
      <unresolved>
        <commentChain chainId="cece695c54c8e787e9b6b4504cac1288d31093c9">
          <item id="8db5e3369875e94f664333a7e1704aabc87b145c" isNormal="1">
            <s:text>
              <s:r>
                <s:t xml:space="preserve">Administrator:
5/30 上客供外箱条码贴纸510pcs
</s:t>
              </s:r>
            </s:text>
          </item>
        </commentChain>
      </unresolved>
      <resolved/>
    </commentChains>
    <commentChains s:ref="AI176" rgbClr="FF0000">
      <unresolved>
        <commentChain chainId="3be70b93a27318c63d6b048ae2a556ecbd369b25">
          <item id="1cba5d3234ca0e5efe6df924a34ca9d7dd9c3c1c" isNormal="1">
            <s:text>
              <s:r>
                <s:t xml:space="preserve">Administrator:
2002199 6/13 9893pcs华3A10</s:t>
              </s:r>
            </s:text>
          </item>
        </commentChain>
      </unresolved>
      <resolved/>
    </commentChains>
    <commentChains s:ref="AL176" rgbClr="FF0000">
      <unresolved>
        <commentChain chainId="1f4eee6f6ada7dca75f0adfddf4640b3bbceda7e">
          <item id="afe4b7a4b9d23a8086d293566342bfd91575e7a4" isNormal="1">
            <s:text>
              <s:r>
                <s:t xml:space="preserve">Administrator:
5/30 上多语折叠贴纸9893pcs
</s:t>
              </s:r>
            </s:text>
          </item>
        </commentChain>
      </unresolved>
      <resolved/>
    </commentChains>
    <commentChains s:ref="AI177" rgbClr="FF0000">
      <unresolved>
        <commentChain chainId="8421d0433892286d8d1336779e1cf3d816394d9e">
          <item id="f84b158e35afa31fe228114b30eebe1eb6c1a0c6" isNormal="1">
            <s:text>
              <s:r>
                <s:t xml:space="preserve">Administrator:
2002236 6/12 2327pcs华3A16</s:t>
              </s:r>
            </s:text>
          </item>
        </commentChain>
      </unresolved>
      <resolved/>
    </commentChains>
    <commentChains s:ref="AL177" rgbClr="FF0000">
      <unresolved>
        <commentChain chainId="548cd4f0807d0cc3ea638bf83bf25e4d017ad25f">
          <item id="b5d59e1dceacf0b0bd7728137566282c75d7dd0c" isNormal="1">
            <s:text>
              <s:r>
                <s:t xml:space="preserve">Administrator:
5/14 进口商贴纸2327pcs</s:t>
              </s:r>
            </s:text>
          </item>
        </commentChain>
      </unresolved>
      <resolved/>
    </commentChains>
    <commentChains s:ref="AI178" rgbClr="FF0000">
      <unresolved>
        <commentChain chainId="626b32e34e1f39970f5f6e7adbe97ff029a625da">
          <item id="3a7f93522ff8f7369a9b1427aaa7b9e34adf3800" isNormal="1">
            <s:text>
              <s:r>
                <s:t xml:space="preserve">Administrator:
2002212 6/13 12375pcs华3A20
2002216 6/13 2775pcs华3A20</s:t>
              </s:r>
            </s:text>
          </item>
        </commentChain>
      </unresolved>
      <resolved/>
    </commentChains>
    <commentChains s:ref="AL178" rgbClr="FF0000">
      <unresolved>
        <commentChain chainId="8d449edf4564799cdd66b02d0d1b484fe2de950c">
          <item id="d55d6e2d9429e3de8c7fc6cfec62ceb6de199338" isNormal="1">
            <s:text>
              <s:r>
                <s:t xml:space="preserve">Administrator:
5/30 上客供外箱条码贴纸612pcs
</s:t>
              </s:r>
            </s:text>
          </item>
        </commentChain>
      </unresolved>
      <resolved/>
    </commentChains>
    <commentChains s:ref="AI179" rgbClr="FF0000">
      <unresolved>
        <commentChain chainId="54831289a8b9f21f56d8fb14700615b3e74bff7f">
          <item id="ecebf52d07fbe487d676bc291b508e7682391905" isNormal="1">
            <s:text>
              <s:r>
                <s:t xml:space="preserve">Administrator:
2002212 6/13 20850pcs华3A21
2002205 6/14 25pcs华3A21</s:t>
              </s:r>
            </s:text>
          </item>
        </commentChain>
      </unresolved>
      <resolved/>
    </commentChains>
    <commentChains s:ref="AL179" rgbClr="FF0000">
      <unresolved>
        <commentChain chainId="78a29ad7403607cecd9acd3fe167f486d84c5ed6">
          <item id="8c3abf4bfd538772e7fcad45352b3a744b3b4ece" isNormal="1">
            <s:text>
              <s:r>
                <s:t xml:space="preserve">Administrator:
5/30 上客供外箱条码贴纸843pcs
</s:t>
              </s:r>
            </s:text>
          </item>
        </commentChain>
      </unresolved>
      <resolved/>
    </commentChains>
    <commentChains s:ref="AI180" rgbClr="FF0000">
      <unresolved>
        <commentChain chainId="b8e02f448aa893b275f4f07a3b41521d0c1f5287">
          <item id="bb44123ecb8ebdceddb1f0040ca32eb7fe1adb7a" isNormal="1">
            <s:text>
              <s:r>
                <s:t xml:space="preserve">Administrator:
2002216 6/13 17400pcs华3A21</s:t>
              </s:r>
            </s:text>
          </item>
        </commentChain>
      </unresolved>
      <resolved/>
    </commentChains>
    <commentChains s:ref="AI181" rgbClr="FF0000">
      <unresolved>
        <commentChain chainId="ec14a28f01b9c774c371e4a1352c3c89497d93ed">
          <item id="8cf7bf1abf9ebed8c819670a531369f8534bda75" isNormal="1">
            <s:text>
              <s:r>
                <s:t xml:space="preserve">Administrator:
2002155 6/17 26pcs张全 一楼</s:t>
              </s:r>
            </s:text>
          </item>
        </commentChain>
      </unresolved>
      <resolved/>
    </commentChains>
    <commentChains s:ref="AI183" rgbClr="FF0000">
      <unresolved>
        <commentChain chainId="26c9138e29b8704b8911ef32cc47b60ab86bfd56">
          <item id="88b0cf50b5c51f6b3026c499dead9b20a4ee450b" isNormal="1">
            <s:text>
              <s:r>
                <s:t xml:space="preserve">Administrator:
2002129 6/18 8450pcs华3A18</s:t>
              </s:r>
            </s:text>
          </item>
        </commentChain>
      </unresolved>
      <resolved/>
    </commentChains>
    <commentChains s:ref="AI184" rgbClr="FF0000">
      <unresolved>
        <commentChain chainId="94454c399481048bd4d5d4d05b8041c394a53f55">
          <item id="94dfe0579eeaec839606702319d5d488053289f7" isNormal="1">
            <s:text>
              <s:r>
                <s:t xml:space="preserve">Administrator:
2002082 6/18 50pcs
华3A23
2002164 6/18 6200pcs华3A23</s:t>
              </s:r>
            </s:text>
          </item>
        </commentChain>
      </unresolved>
      <resolved/>
    </commentChains>
    <commentChains s:ref="AL184" rgbClr="FF0000">
      <unresolved>
        <commentChain chainId="bcd3276f4e4ccdc4549384649be21806490df941">
          <item id="25830d4970a66723c2b19963ec1207facc48acd5" isNormal="1">
            <s:text>
              <s:r>
                <s:t xml:space="preserve">Administrator:
5/7 上客人款号EAN条码贴纸6250pcs
冰棒款说明书荷兰语贴纸2084pcs
蛋糕款说明书荷兰语贴纸2084pcs
布丁款说明书荷兰语贴纸2084pcs</s:t>
              </s:r>
            </s:text>
          </item>
        </commentChain>
      </unresolved>
      <resolved/>
    </commentChains>
    <commentChains s:ref="AI185" rgbClr="FF0000">
      <unresolved>
        <commentChain chainId="5f106ff85f4d10d3bbd799aee04e46e9225699a0">
          <item id="ee9e1ebc141c4edbb21ff301519eb88fac370e4a" isNormal="1">
            <s:text>
              <s:r>
                <s:t xml:space="preserve">Administrator:
2002199 6/13 3328pcs华3B6</s:t>
              </s:r>
            </s:text>
          </item>
        </commentChain>
      </unresolved>
      <resolved/>
    </commentChains>
    <commentChains s:ref="AL185" rgbClr="FF0000">
      <unresolved>
        <commentChain chainId="ee46ffb6177457ae4cb8018b3b84a8878acab710">
          <item id="510856ebf726a7365b1224ae667da14f66207f68" isNormal="1">
            <s:text>
              <s:r>
                <s:t xml:space="preserve">Administrator:
5/24 上进口商贴纸3328pcs
说明书贴纸3328pcs
</s:t>
              </s:r>
            </s:text>
          </item>
        </commentChain>
      </unresolved>
      <resolved/>
    </commentChains>
    <commentChains s:ref="AI186" rgbClr="FF0000">
      <unresolved>
        <commentChain chainId="2a7b43903a445cca6146396e61a542d775f91571">
          <item id="0dd81eeb61963e63e7344fba429a1a50f356d49a" isNormal="1">
            <s:text>
              <s:r>
                <s:t xml:space="preserve">Administrator:
2002152 6/16 1508pcs
华3A27</s:t>
              </s:r>
            </s:text>
          </item>
        </commentChain>
      </unresolved>
      <resolved/>
    </commentChains>
    <commentChains s:ref="AL186" rgbClr="FF0000">
      <unresolved>
        <commentChain chainId="07517395f18467917b1862c166897fc7b767a9b4">
          <item id="225f2389bd6eb27314f24074fd55e9256f1ba17f" isNormal="1">
            <s:text>
              <s:r>
                <s:t xml:space="preserve">Administrator:
5/20 上白色防盗贴纸1508pcs
5/23 上UPC条码贴纸1508pcs
6/5 KM单116pcs</s:t>
              </s:r>
            </s:text>
          </item>
        </commentChain>
      </unresolved>
      <resolved/>
    </commentChains>
    <commentChains s:ref="AI187" rgbClr="FF0000">
      <unresolved>
        <commentChain chainId="ffc46b377bfb7f21cae21436cfd08e5982674994">
          <item id="a24f4c586799558ef0585be19e17299032c62804" isNormal="1">
            <s:text>
              <s:r>
                <s:t xml:space="preserve">Administrator:
3001792 6/27 3400pcs直走</s:t>
              </s:r>
            </s:text>
          </item>
        </commentChain>
      </unresolved>
      <resolved/>
    </commentChains>
    <commentChains s:ref="AI188" rgbClr="FF0000">
      <unresolved>
        <commentChain chainId="09288b931555354b12619fb8175c0bceaedd8bf0">
          <item id="66a8d84a7fa1477e5f961336edfb3dec7faf4f8d" isNormal="1">
            <s:text>
              <s:r>
                <s:t xml:space="preserve">Administrator:
2002129 6800pcs华一F3</s:t>
              </s:r>
            </s:text>
          </item>
        </commentChain>
      </unresolved>
      <resolved/>
    </commentChains>
    <commentChains s:ref="AI189" rgbClr="FF0000">
      <unresolved>
        <commentChain chainId="0bd269f59f162004273d5a865078585a12e6d7ad">
          <item id="934d98e6ebabd91a0b92e93df474b5b80f5c7613" isNormal="1">
            <s:text>
              <s:r>
                <s:t xml:space="preserve">Administrator:
2002128 6/18 4256pcs
华3A13</s:t>
              </s:r>
            </s:text>
          </item>
        </commentChain>
      </unresolved>
      <resolved/>
    </commentChains>
    <commentChains s:ref="AL189" rgbClr="FF0000">
      <unresolved>
        <commentChain chainId="57d5c81e878a0918dba1be06850d0f67c747f6e9">
          <item id="7dbd364f711668ec868c773b2be1ebfdecb80bb2" isNormal="1">
            <s:text>
              <s:r>
                <s:t xml:space="preserve">Administrator:
5/12 上客供RFID贴纸4256pcs</s:t>
              </s:r>
            </s:text>
          </item>
        </commentChain>
      </unresolved>
      <resolved/>
    </commentChains>
    <commentChains s:ref="AI190" rgbClr="FF0000">
      <unresolved>
        <commentChain chainId="f4a6c163b97766866518c52bd5f278f315723449">
          <item id="de3f91d4789e66babcc440d573a153129286d491" isNormal="1">
            <s:text>
              <s:r>
                <s:t xml:space="preserve">Administrator:
2002128 6/18 4096pcs华3A13</s:t>
              </s:r>
            </s:text>
          </item>
        </commentChain>
      </unresolved>
      <resolved/>
    </commentChains>
    <commentChains s:ref="AL190" rgbClr="FF0000">
      <unresolved>
        <commentChain chainId="cb815121ef89b38726dc2f760feb0b9e21f3e20a">
          <item id="0fd03e400eb8c5df85dba95bced935bcf40253f0" isNormal="1">
            <s:text>
              <s:r>
                <s:t xml:space="preserve">Administrator:
5/12 上客供RFID贴纸4096pcs</s:t>
              </s:r>
            </s:text>
          </item>
        </commentChain>
      </unresolved>
      <resolved/>
    </commentChains>
    <commentChains s:ref="AI191" rgbClr="FF0000">
      <unresolved>
        <commentChain chainId="650b49d36e99c72f466f49e4b9f4277ad85361ca">
          <item id="01209fef8adb7fc63cf656bc072e5af9ecfc0634" isNormal="1">
            <s:text>
              <s:r>
                <s:t xml:space="preserve">Administrator:
2002128 6/18 6544pcs
华3A10</s:t>
              </s:r>
            </s:text>
          </item>
        </commentChain>
      </unresolved>
      <resolved/>
    </commentChains>
    <commentChains s:ref="AL191" rgbClr="FF0000">
      <unresolved>
        <commentChain chainId="f7de5d5c98d2cf91a1fba5c33bc94ecb2b5f4596">
          <item id="d08d137799bb1126f79c90042b5aee55e13f270d" isNormal="1">
            <s:text>
              <s:r>
                <s:t xml:space="preserve">Administrator:
5/12 上客供RFID贴纸6544pcs</s:t>
              </s:r>
            </s:text>
          </item>
        </commentChain>
      </unresolved>
      <resolved/>
    </commentChains>
    <commentChains s:ref="AI192" rgbClr="FF0000">
      <unresolved>
        <commentChain chainId="a5b119eef456118038726e58436cbb1453cead3d">
          <item id="b22b94b2b6a31918bb455d33e96edaad142f31b9" isNormal="1">
            <s:text>
              <s:r>
                <s:t xml:space="preserve">Administrator:
2002128 6/18 4896pcs
华3A13</s:t>
              </s:r>
            </s:text>
          </item>
        </commentChain>
      </unresolved>
      <resolved/>
    </commentChains>
    <commentChains s:ref="AL192" rgbClr="FF0000">
      <unresolved>
        <commentChain chainId="16b650c9c578b145f9594eac00491a791b4c3916">
          <item id="061e283cc7551f6e209cae916a85b433254ad118" isNormal="1">
            <s:text>
              <s:r>
                <s:t xml:space="preserve">Administrator:
5/12 上客供RFID贴纸4896pcs</s:t>
              </s:r>
            </s:text>
          </item>
        </commentChain>
      </unresolved>
      <resolved/>
    </commentChains>
    <commentChains s:ref="AI193" rgbClr="FF0000">
      <unresolved>
        <commentChain chainId="38d9f38ce612a3dc3a0fd9d06381fae4c07ecaa1">
          <item id="027a8e5d71c5e0b864854fa73d43de24a71d08f3" isNormal="1">
            <s:text>
              <s:r>
                <s:t xml:space="preserve">Administrator:
2002128 6/18 5808pcs
华3A13</s:t>
              </s:r>
            </s:text>
          </item>
        </commentChain>
      </unresolved>
      <resolved/>
    </commentChains>
    <commentChains s:ref="AL193" rgbClr="FF0000">
      <unresolved>
        <commentChain chainId="3521ea28633941992a3aeca26771b4137d298ffd">
          <item id="8dcac5e08d97fddb625833a4a40edfca9b4ebb86" isNormal="1">
            <s:text>
              <s:r>
                <s:t xml:space="preserve">Administrator:
5/12 上客供RFID贴纸5808pcs</s:t>
              </s:r>
            </s:text>
          </item>
        </commentChain>
      </unresolved>
      <resolved/>
    </commentChains>
    <commentChains s:ref="AI194" rgbClr="FF0000">
      <unresolved>
        <commentChain chainId="1fdb13bca37ee79004d59087d8d5c2c8203bb749">
          <item id="10708e0aa472fba5e900568451cfa04e7a043e77" isNormal="1">
            <s:text>
              <s:r>
                <s:t xml:space="preserve">Administrator:
2002152 6/16 1755pcs
华3A28</s:t>
              </s:r>
            </s:text>
          </item>
        </commentChain>
      </unresolved>
      <resolved/>
    </commentChains>
    <commentChains s:ref="AI195" rgbClr="FF0000">
      <unresolved>
        <commentChain chainId="15bbda0efdfd10e66462fcf734940c987c3dc605">
          <item id="526ec77b0152905f27dd59645df521ba22967f0b" isNormal="1">
            <s:text>
              <s:r>
                <s:t xml:space="preserve">Administrator:
2002152 6/16 3250pcs直走</s:t>
              </s:r>
            </s:text>
          </item>
        </commentChain>
      </unresolved>
      <resolved/>
    </commentChains>
    <commentChains s:ref="AI196" rgbClr="FF0000">
      <unresolved>
        <commentChain chainId="2dbad201c5ce134d23b21f8eeb986deb48a74679">
          <item id="6ae11da9967616693e1e7ebc51034329c923f277" isNormal="1">
            <s:text>
              <s:r>
                <s:t xml:space="preserve">Administrator:
2002123 6/18 5625pcs华3A32</s:t>
              </s:r>
            </s:text>
          </item>
        </commentChain>
      </unresolved>
      <resolved/>
    </commentChains>
    <commentChains s:ref="AI197" rgbClr="FF0000">
      <unresolved>
        <commentChain chainId="f14465b313f09baeb0a30442ee052beac14edd38">
          <item id="d3fdc24bc3d75768e9e9b4ca896da3f42a1d2fa1" isNormal="1">
            <s:text>
              <s:r>
                <s:t xml:space="preserve">Administrator:
2002126 6/18 6625pcs华3A20</s:t>
              </s:r>
            </s:text>
          </item>
        </commentChain>
      </unresolved>
      <resolved/>
    </commentChains>
    <commentChains s:ref="AL197" rgbClr="FF0000">
      <unresolved>
        <commentChain chainId="ddac9001427ed8dd15b38185b5369f5a9a7b222f">
          <item id="91cbb7bdf1ac6c223d4838dec107b49de530a035" isNormal="1">
            <s:text>
              <s:r>
                <s:t xml:space="preserve">Administrator:
5/30 上UPC贴纸490pcs</s:t>
              </s:r>
            </s:text>
          </item>
        </commentChain>
      </unresolved>
      <resolved/>
    </commentChains>
    <commentChains s:ref="AI198" rgbClr="FF0000">
      <unresolved>
        <commentChain chainId="50c14a9638f3e98ad1c900318fa1cd66a3910559">
          <item id="2d9b8d3650c1b7a18269f8868fd1e0d145f5c338" isNormal="1">
            <s:text>
              <s:r>
                <s:t xml:space="preserve">Administrator:
2001981 6/23 950pcs
王3-C1
3001799 6/25 50pcs直走</s:t>
              </s:r>
            </s:text>
          </item>
        </commentChain>
      </unresolved>
      <resolved/>
    </commentChains>
    <commentChains s:ref="AL198" rgbClr="FF0000">
      <unresolved>
        <commentChain chainId="2833762d54b5892abc60c0555e503cc37863ac4b">
          <item id="9b71224e9be0a1e510c8d68167c3167a82af3042" isNormal="1">
            <s:text>
              <s:r>
                <s:t xml:space="preserve">Administrator:
5/30 上UPC条码贴纸1000pcs</s:t>
              </s:r>
            </s:text>
          </item>
        </commentChain>
      </unresolved>
      <resolved/>
    </commentChains>
    <commentChains s:ref="AI199" rgbClr="FF0000">
      <unresolved>
        <commentChain chainId="753d3310ae9a0803b16e5162e462ef9b3861fbd8">
          <item id="7b292fac9ea0b7b65e8166f02af4055254d238c2" isNormal="1">
            <s:text>
              <s:r>
                <s:t xml:space="preserve">Administrator:
2000845 6/20 60pcs华3A25
2000830 6/18 840pcs莫4B4</s:t>
              </s:r>
            </s:text>
          </item>
        </commentChain>
      </unresolved>
      <resolved/>
    </commentChains>
    <commentChains s:ref="AI201" rgbClr="FF0000">
      <unresolved>
        <commentChain chainId="94f33fd5754285d016809f8d41e6bc251e0c1313">
          <item id="e95a0af401d29912cb2c038e0ec1088ff780d3f9" isNormal="1">
            <s:text>
              <s:r>
                <s:t xml:space="preserve">Administrator:
2002129 6/18 6700pcs华3A18</s:t>
              </s:r>
            </s:text>
          </item>
        </commentChain>
      </unresolved>
      <resolved/>
    </commentChains>
    <commentChains s:ref="AL201" rgbClr="FF0000">
      <unresolved>
        <commentChain chainId="22e14a21c2de182e184dc031ebe4716a0b038c0f">
          <item id="ad8d5d26a8b12560563d871ce4e919a7b00f2562" isNormal="1">
            <s:text>
              <s:r>
                <s:t xml:space="preserve">Administrator:
5/27 上进口商贴纸6700pcs
UPC贴纸6700pcs</s:t>
              </s:r>
            </s:text>
          </item>
        </commentChain>
      </unresolved>
      <resolved/>
    </commentChains>
    <commentChains s:ref="AI202" rgbClr="FF0000">
      <unresolved>
        <commentChain chainId="d2177590f60f8341af1a29f58b6127a8814d5b42">
          <item id="c8262962bfbc9a4c2c2c24e1ae2797ea17f46b40" isNormal="1">
            <s:text>
              <s:r>
                <s:t xml:space="preserve">Administrator:
2002186 6/19 1248pcs华3A15</s:t>
              </s:r>
            </s:text>
          </item>
        </commentChain>
      </unresolved>
      <resolved/>
    </commentChains>
    <commentChains s:ref="AI203" rgbClr="FF0000">
      <unresolved>
        <commentChain chainId="0fd5cfcdfc0f51dd586a9191d1a62588ac307fc0">
          <item id="d003861dc6f8abca763d3be3a3f2d84deb3a1f11" isNormal="1">
            <s:text>
              <s:r>
                <s:t xml:space="preserve">Administrator:
25002186 6/19 720pcs华3A15</s:t>
              </s:r>
            </s:text>
          </item>
        </commentChain>
      </unresolved>
      <resolved/>
    </commentChains>
    <commentChains s:ref="AI204" rgbClr="FF0000">
      <unresolved>
        <commentChain chainId="a9914ee0fc8868c932e9e7b6eb1f57d5d2d25ce1">
          <item id="bdb9fcc275412fea6183c0883905a03ed52ee09b" isNormal="1">
            <s:text>
              <s:r>
                <s:t xml:space="preserve">Administrator:
2002046 6/21 1000pcs王1-B10</s:t>
              </s:r>
            </s:text>
          </item>
        </commentChain>
      </unresolved>
      <resolved/>
    </commentChains>
    <commentChains s:ref="AL204" rgbClr="FF0000">
      <unresolved>
        <commentChain chainId="d408e0adf4d9596561c3c69d7ea5953049b8c6c6">
          <item id="751465aeca097022abe353effd637bd3d59f78a4" isNormal="1">
            <s:text>
              <s:r>
                <s:t xml:space="preserve">Administrator:
5/27 上UPC贴纸1000pcs</s:t>
              </s:r>
            </s:text>
          </item>
        </commentChain>
      </unresolved>
      <resolved/>
    </commentChains>
    <commentChains s:ref="AI205" rgbClr="FF0000">
      <unresolved>
        <commentChain chainId="093f3b2a4776d0ab43e2ca2503b26a349d4241a6">
          <item id="1ff344699e78ba6f4a1a9b60972e7440046e379d" isNormal="1">
            <s:text>
              <s:r>
                <s:t xml:space="preserve">Administrator:
2002046 6/21 2940pcs王1-B10
2002050 6/21 60pcs 王</s:t>
              </s:r>
            </s:text>
          </item>
        </commentChain>
      </unresolved>
      <resolved/>
    </commentChains>
    <commentChains s:ref="AL205" rgbClr="FF0000">
      <unresolved>
        <commentChain chainId="94379ebe5ac20e2aae64336ff4081361784bf17d">
          <item id="eb5870764468c34b2293c3c16ffac197c67b4a2e" isNormal="1">
            <s:text>
              <s:r>
                <s:t xml:space="preserve">Administrator:
5/30 上警语/进口商贴纸3000pcs</s:t>
              </s:r>
            </s:text>
          </item>
        </commentChain>
      </unresolved>
      <resolved/>
    </commentChains>
    <commentChains s:ref="AI206" rgbClr="FF0000">
      <unresolved>
        <commentChain chainId="92a3b8f0f1810b9827524fe900f000bc8e4d6221">
          <item id="a6c5daa0217ecb0a873aa7470b00e36691272229" isNormal="1">
            <s:text>
              <s:r>
                <s:t xml:space="preserve">Administrator:
20002062 6/20 16000pcs兴信</s:t>
              </s:r>
            </s:text>
          </item>
        </commentChain>
      </unresolved>
      <resolved/>
    </commentChains>
    <commentChains s:ref="AL206" rgbClr="FF0000">
      <unresolved>
        <commentChain chainId="b7b08497a61794a11f74740f07b042cef3c069e4">
          <item id="aa7f34faec05f090762500a32f606de225769c01" isNormal="1">
            <s:text>
              <s:r>
                <s:t xml:space="preserve">Administrator:
5/20 上UPC贴纸16000pcs
进口商贴纸16000pcs</s:t>
              </s:r>
            </s:text>
          </item>
        </commentChain>
      </unresolved>
      <resolved/>
    </commentChains>
    <commentChains s:ref="AI207" rgbClr="FF0000">
      <unresolved>
        <commentChain chainId="a0978384b912e7659abc2f8397ea75ebc51887ba">
          <item id="460b677d8ec11af7905a3f4cf61882f8e9e4fd91" isNormal="1">
            <s:text>
              <s:r>
                <s:t xml:space="preserve">Administrator:
2002187 6/19 2050pcs直走</s:t>
              </s:r>
            </s:text>
          </item>
        </commentChain>
      </unresolved>
      <resolved/>
    </commentChains>
    <commentChains s:ref="AL207" rgbClr="FF0000">
      <unresolved>
        <commentChain chainId="374f9c788ee48c08033055aede828737e3681ece">
          <item id="7ce62a6c41fdc0ef977b18a100330d5b24a4f2a9" isNormal="1">
            <s:text>
              <s:r>
                <s:t xml:space="preserve">Administrator:
5/29 上进口商贴纸2050pcs
UPC贴纸2050pcs
</s:t>
              </s:r>
            </s:text>
          </item>
        </commentChain>
      </unresolved>
      <resolved/>
    </commentChains>
    <commentChains s:ref="AI208" rgbClr="FF0000">
      <unresolved>
        <commentChain chainId="92767012f9bf234edb78827fbf7998a8cdae66f5">
          <item id="3063e8b6858b0c2cc3ff02422dd8c21ea69a2b0b" isNormal="1">
            <s:text>
              <s:r>
                <s:t xml:space="preserve">Administrator:
2002515 6/7 600pcs送回半成品球东莞混装莫4A1
2002495 6/14 1860pcs送回半成品混装
2000834 6/21 2428pcs送回半成品混装</s:t>
              </s:r>
            </s:text>
          </item>
        </commentChain>
      </unresolved>
      <resolved/>
    </commentChains>
    <commentChains s:ref="AI210" rgbClr="FF0000">
      <unresolved>
        <commentChain chainId="277a7470a5349594cd87ce92a8cf9c114a2aa083">
          <item id="5e32c736a56f51e10da62a99227e0bc47b6a4e70" isNormal="1">
            <s:text>
              <s:r>
                <s:t xml:space="preserve">Administrator:
2002187 6/19 4368pcs
华3A21</s:t>
              </s:r>
            </s:text>
          </item>
        </commentChain>
      </unresolved>
      <resolved/>
    </commentChains>
    <commentChains s:ref="AL210" rgbClr="FF0000">
      <unresolved>
        <commentChain chainId="812b7faa2c7ed2f9dc4f9c6da63450c4fe7662e5">
          <item id="b22fc9b80f956351dd8142b7eef7ae34a7249ac7" isNormal="1">
            <s:text>
              <s:r>
                <s:t xml:space="preserve">Administrator:
5/26 上德语警告语贴纸4368pcs
5/30 上客供价格贴纸4368pcs</s:t>
              </s:r>
            </s:text>
          </item>
        </commentChain>
      </unresolved>
      <resolved/>
    </commentChains>
    <commentChains s:ref="AI211" rgbClr="FF0000">
      <unresolved>
        <commentChain chainId="b48c36288a22fa91270e8569a309a81f20678d54">
          <item id="586efc0d3884a77fb10869d2535a05a298cf2d2a" isNormal="1">
            <s:text>
              <s:r>
                <s:t xml:space="preserve">Administrator:
2001992 6/23 10000pcs王 3-C7</s:t>
              </s:r>
            </s:text>
          </item>
        </commentChain>
      </unresolved>
      <resolved/>
    </commentChains>
    <commentChains s:ref="AL211" rgbClr="FF0000">
      <unresolved>
        <commentChain chainId="22ae760df68d5146aa88d703b57ce307b6556d47">
          <item id="75c9f204314e328126377154b55dbf593c00ab89" isNormal="1">
            <s:text>
              <s:r>
                <s:t xml:space="preserve">Administrator:
6/13 上进口商贴纸10000pcsUPC UPC贴纸10000pcs</s:t>
              </s:r>
            </s:text>
          </item>
        </commentChain>
      </unresolved>
      <resolved/>
    </commentChains>
    <commentChains s:ref="AI212" rgbClr="FF0000">
      <unresolved>
        <commentChain chainId="4445b3113b08576301bfe8a22128550939e8f456">
          <item id="45ce3ac499774fa232634dfcec3e0bbb74b7d69a" isNormal="1">
            <s:text>
              <s:r>
                <s:t xml:space="preserve">Administrator:
2001989 6/24 550pcs王B-10</s:t>
              </s:r>
            </s:text>
          </item>
        </commentChain>
      </unresolved>
      <resolved/>
    </commentChains>
    <commentChains s:ref="AL212" rgbClr="FF0000">
      <unresolved>
        <commentChain chainId="ee2833928578970ba177e57668d79657fcc6fbe3">
          <item id="737d9400d5b89c73641abfb80e033d6bef8e4d10" isNormal="1">
            <s:text>
              <s:r>
                <s:t xml:space="preserve">Administrator:
6/13 上SNIperLABEL贴纸550pcs
UPC条码贴纸550pcs
收藏指南贴纸550pcs</s:t>
              </s:r>
            </s:text>
          </item>
        </commentChain>
      </unresolved>
      <resolved/>
    </commentChains>
    <commentChains s:ref="AI213" rgbClr="FF0000">
      <unresolved>
        <commentChain chainId="da654545d119465e6dcda3d5afc4791d14bb9295">
          <item id="e4c31c8adbe33d5ef29903c24657cacfa4f4d21e" isNormal="1">
            <s:text>
              <s:r>
                <s:t xml:space="preserve">Administrator:
2001981 6/23 400pcs
王3-C1</s:t>
              </s:r>
            </s:text>
          </item>
        </commentChain>
      </unresolved>
      <resolved/>
    </commentChains>
    <commentChains s:ref="AI214" rgbClr="FF0000">
      <unresolved>
        <commentChain chainId="0b420d0a18cf6a782b197307774ebbc1342f1722">
          <item id="e73cd6828bf3aa4d2a45a5e7bf47ec958963ea09" isNormal="1">
            <s:text>
              <s:r>
                <s:t xml:space="preserve">Administrator:
2001981 6/23 1989pcs王1-B10</s:t>
              </s:r>
            </s:text>
          </item>
        </commentChain>
      </unresolved>
      <resolved/>
    </commentChains>
    <commentChains s:ref="AI215" rgbClr="FF0000">
      <unresolved>
        <commentChain chainId="e679959874af465052a381ae3febb1109c46ebdd">
          <item id="5025eb28f85fec6512be1fd0ad5cd8462184c6f0" isNormal="1">
            <s:text>
              <s:r>
                <s:t xml:space="preserve">Administrator:
2002046 6/21 1625pcs王1-小房间
2001989 6/24 25pcs王1-1-01</s:t>
              </s:r>
            </s:text>
          </item>
        </commentChain>
      </unresolved>
      <resolved/>
    </commentChains>
    <commentChains s:ref="AI216" rgbClr="FF0000">
      <unresolved>
        <commentChain chainId="d1fc4b3ea8dab954da148b25f16e595e71b76376">
          <item id="32926b009749773d2ed6d346c50649fc3c3383c8" isNormal="1">
            <s:text>
              <s:r>
                <s:t xml:space="preserve">Administrator:
2002186 6/19 7600pcs
华3A10</s:t>
              </s:r>
            </s:text>
          </item>
        </commentChain>
      </unresolved>
      <resolved/>
    </commentChains>
    <commentChains s:ref="AI217" rgbClr="FF0000">
      <unresolved>
        <commentChain chainId="e67f7df8775cbd81cfa40388e580a50a43209f29">
          <item id="3cea85b661803ed94cfa2b603b80267713b39a23" isNormal="1">
            <s:text>
              <s:r>
                <s:t xml:space="preserve">Administrator:
2002186 6/19 9008pcs
华3A7</s:t>
              </s:r>
            </s:text>
          </item>
        </commentChain>
      </unresolved>
      <resolved/>
    </commentChains>
    <commentChains s:ref="AI218" rgbClr="FF0000">
      <unresolved>
        <commentChain chainId="3a81d9ad94d7c024cdc712ce548cb2516e8c4e84">
          <item id="ef338f63abe51ba6ddc11cb648d0ce78a918b3a9" isNormal="1">
            <s:text>
              <s:r>
                <s:t xml:space="preserve">Administrator:
2001981 6/23 4000pcs王3-C11</s:t>
              </s:r>
            </s:text>
          </item>
        </commentChain>
      </unresolved>
      <resolved/>
    </commentChains>
    <commentChains s:ref="AI219" rgbClr="FF0000">
      <unresolved>
        <commentChain chainId="f58ad66624f6e8df34d720fb098a8d73037b77ae">
          <item id="7d0845cc3bd2306f4c810ba613ef1d4fea478895" isNormal="1">
            <s:text>
              <s:r>
                <s:t xml:space="preserve">Administrator:
2002186 6/19 13520pcs
华3A8</s:t>
              </s:r>
            </s:text>
          </item>
        </commentChain>
      </unresolved>
      <resolved/>
    </commentChains>
    <commentChains s:ref="AL219" rgbClr="FF0000">
      <unresolved>
        <commentChain chainId="8f1202319e6246ffbf42e7f5645d6d1f7c2771a5">
          <item id="21ac54e1bc6b68ca1e8da79c674b26b40d08f35e" isNormal="1">
            <s:text>
              <s:r>
                <s:t xml:space="preserve">Administrator:
5/26 上客供RFID贴纸13520pcs
</s:t>
              </s:r>
            </s:text>
          </item>
        </commentChain>
      </unresolved>
      <resolved/>
    </commentChains>
    <commentChains s:ref="AI220" rgbClr="FF0000">
      <unresolved>
        <commentChain chainId="765fdf0c6bac8212e2a9f2778a2627f088ba9b28">
          <item id="ea34cde057bf38520c3fa894a600905582721ce7" isNormal="1">
            <s:text>
              <s:r>
                <s:t xml:space="preserve">Administrator:
2002187 6/19 11664pcs
华3A17</s:t>
              </s:r>
            </s:text>
          </item>
        </commentChain>
      </unresolved>
      <resolved/>
    </commentChains>
    <commentChains s:ref="AI221" rgbClr="FF0000">
      <unresolved>
        <commentChain chainId="e20d4f974e862eb95692cf3bf0af4a2aa82b8e0a">
          <item id="5b3a679009a2e7f5f1a0742ea182810cf3f00683" isNormal="1">
            <s:text>
              <s:r>
                <s:t xml:space="preserve">Administrator:
2002196 6/20 9488pcs华3B2</s:t>
              </s:r>
            </s:text>
          </item>
        </commentChain>
      </unresolved>
      <resolved/>
    </commentChains>
    <commentChains s:ref="AI222" rgbClr="FF0000">
      <unresolved>
        <commentChain chainId="c96c2831b713cceb0371babe0f45681cd086ff99">
          <item id="0d28b2790966976cf84fd1b193438dce93e92865" isNormal="1">
            <s:text>
              <s:r>
                <s:t xml:space="preserve">Administrator:
2002196 6/20 9120pcs华3B2
</s:t>
              </s:r>
            </s:text>
          </item>
        </commentChain>
      </unresolved>
      <resolved/>
    </commentChains>
    <commentChains s:ref="AL222" rgbClr="FF0000">
      <unresolved>
        <commentChain chainId="42702a4807d9d92c39faf08ea786779a67846c2c">
          <item id="a6d647419e550451ac9f52a5f29e8da9a634faca" isNormal="1">
            <s:text>
              <s:r>
                <s:t xml:space="preserve">Administrator:
5/26 上客供RFID贴纸9120pcs</s:t>
              </s:r>
            </s:text>
          </item>
        </commentChain>
      </unresolved>
      <resolved/>
    </commentChains>
    <commentChains s:ref="AI223" rgbClr="FF0000">
      <unresolved>
        <commentChain chainId="624a1c909e6a89a6f0c097f26a2da5b4f1a00fde">
          <item id="d7ec6d6d1b73192e8b08cae0499a8bd37e484f40" isNormal="1">
            <s:text>
              <s:r>
                <s:t xml:space="preserve">Administrator:
2001981 6/23 300pcs
王1-B10</s:t>
              </s:r>
            </s:text>
          </item>
        </commentChain>
      </unresolved>
      <resolved/>
    </commentChains>
    <commentChains s:ref="AI224" rgbClr="FF0000">
      <unresolved>
        <commentChain chainId="82b2389dc15a135a97f56dad9d4a366eb1073c12">
          <item id="cf4bb546adebc5ab5a6547c8905c3e9f7548e191" isNormal="1">
            <s:text>
              <s:r>
                <s:t xml:space="preserve">Administrator:
3001793 6/24 3000pcs王3-B10</s:t>
              </s:r>
            </s:text>
          </item>
        </commentChain>
      </unresolved>
      <resolved/>
    </commentChains>
    <commentChains s:ref="AI225" rgbClr="FF0000">
      <unresolved>
        <commentChain chainId="aa0aeece4949c379cf9108b0e2215b6d9e662b71">
          <item id="da5b5cd219561cded039847ea9a8f27bc0039d3e" isNormal="1">
            <s:text>
              <s:r>
                <s:t xml:space="preserve">Administrator:
2002186 6/19 10112pcs华3A8</s:t>
              </s:r>
            </s:text>
          </item>
        </commentChain>
      </unresolved>
      <resolved/>
    </commentChains>
    <commentChains s:ref="AI226" rgbClr="FF0000">
      <unresolved>
        <commentChain chainId="7b1ae7192f26b9f760b96cfac88d2aa58ec827cb">
          <item id="861240e205671a85667d8c30d2dd3b122864da58" isNormal="1">
            <s:text>
              <s:r>
                <s:t xml:space="preserve">Administrator:
2002252 6/11 18000pcs莫B栋5楼B4</s:t>
              </s:r>
            </s:text>
          </item>
        </commentChain>
      </unresolved>
      <resolved/>
    </commentChains>
    <commentChains s:ref="AI227" rgbClr="FF0000">
      <unresolved>
        <commentChain chainId="bf634c2726198a9a4dccc83255e6a3691f8faf39">
          <item id="d030e63b837c74d897971d59c34544d9b0081045" isNormal="1">
            <s:text>
              <s:r>
                <s:t xml:space="preserve">Administrator:
2002050 6/21 1800pcs华3B8</s:t>
              </s:r>
            </s:text>
          </item>
        </commentChain>
      </unresolved>
      <resolved/>
    </commentChains>
    <commentChains s:ref="AI228" rgbClr="FF0000">
      <unresolved>
        <commentChain chainId="6c294bd7668206a26524f76f45d6288a9c89766c">
          <item id="063144ca5b60b8775fa0b8a57d595991c58064eb" isNormal="1">
            <s:text>
              <s:r>
                <s:t xml:space="preserve">Administrator:
3001838 6/25 1053pcs
华3A27</s:t>
              </s:r>
            </s:text>
          </item>
        </commentChain>
      </unresolved>
      <resolved/>
    </commentChains>
    <commentChains s:ref="AL228" rgbClr="FF0000">
      <unresolved>
        <commentChain chainId="97cd7b204ce799fc1433f4de004b3f23bd97c0b6">
          <item id="2ad39fe4a1e5ee1da018faf5fea11996a6a17182" isNormal="1">
            <s:text>
              <s:r>
                <s:t xml:space="preserve">Administrator:
6/5 上法国回收LOGO贴纸1053pcs</s:t>
              </s:r>
            </s:text>
          </item>
        </commentChain>
      </unresolved>
      <resolved/>
    </commentChains>
    <commentChains s:ref="AI229" rgbClr="FF0000">
      <unresolved>
        <commentChain chainId="82524aea450d5f0f48383d2cc02512176427e82c">
          <item id="2db61a65ea4ac2c7629d0812bf819740761137c9" isNormal="1">
            <s:text>
              <s:r>
                <s:t xml:space="preserve">Administrator:
3001816 6/26 7536pcs</s:t>
              </s:r>
            </s:text>
          </item>
        </commentChain>
      </unresolved>
      <resolved/>
    </commentChains>
    <commentChains s:ref="AL229" rgbClr="FF0000">
      <unresolved>
        <commentChain chainId="5c60253365d4f013296969dd7d88b6a59a95e1d6">
          <item id="e43b33516495799749bc3d864991dc754bbb2a73" isNormal="1">
            <s:text>
              <s:r>
                <s:t xml:space="preserve">Administrator:
5/12 上客供RFID贴纸7536pcs</s:t>
              </s:r>
            </s:text>
          </item>
        </commentChain>
      </unresolved>
      <resolved/>
    </commentChains>
    <commentChains s:ref="AI230" rgbClr="FF0000">
      <unresolved>
        <commentChain chainId="d11175de42b8c8400ebc44aa1db94aa7c5346167">
          <item id="f5f04c0d0241c0190c569aac6733cda8c673d906" isNormal="1">
            <s:text>
              <s:r>
                <s:t xml:space="preserve">Administrator:
3001838 6/25 1200pcs
华3B13</s:t>
              </s:r>
            </s:text>
          </item>
        </commentChain>
      </unresolved>
      <resolved/>
    </commentChains>
    <commentChains s:ref="AI231" rgbClr="FF0000">
      <unresolved>
        <commentChain chainId="5848f028cc94f868291b17218693d02b5ba878e0">
          <item id="3ff517988da45f74f15f0a3ef420ab8b7b90eb46" isNormal="1">
            <s:text>
              <s:r>
                <s:t xml:space="preserve">Administrator:
3001838 6/25 2124pcs
华3B12</s:t>
              </s:r>
            </s:text>
          </item>
        </commentChain>
      </unresolved>
      <resolved/>
    </commentChains>
    <commentChains s:ref="AL231" rgbClr="FF0000">
      <unresolved>
        <commentChain chainId="02ea24f29389176d256335b1a50b2ab2d907e252">
          <item id="8972690ab2e05b84c24f3f7561caf19d5d03be5a" isNormal="1">
            <s:text>
              <s:r>
                <s:t xml:space="preserve">Administrator:
6/3 上空白贴纸4248pcs
环保标贴纸2124pcs
6/23 上亚马逊外箱贴纸2pcs</s:t>
              </s:r>
            </s:text>
          </item>
        </commentChain>
      </unresolved>
      <resolved/>
    </commentChains>
    <commentChains s:ref="AI232" rgbClr="FF0000">
      <unresolved>
        <commentChain chainId="cb5630e15d41a349379f684c2efd06b8c25d99b8">
          <item id="76366e4eee96397164ae56fc7d84614040d8e4e9" isNormal="1">
            <s:text>
              <s:r>
                <s:t xml:space="preserve">Administrator:
3001838 6/25 504pcs
华3B13</s:t>
              </s:r>
            </s:text>
          </item>
        </commentChain>
      </unresolved>
      <resolved/>
    </commentChains>
    <commentChains s:ref="AL232" rgbClr="FF0000">
      <unresolved>
        <commentChain chainId="8816505dd7754a0f1e0c23bcca99d795e12a02c1">
          <item id="85044a7f75629fc9b3630787eb7f3d2c74648213" isNormal="1">
            <s:text>
              <s:r>
                <s:t xml:space="preserve">Administrator:
6/14 上空白贴纸1008pcs
环保标贴纸1008pcs</s:t>
              </s:r>
            </s:text>
          </item>
        </commentChain>
      </unresolved>
      <resolved/>
    </commentChains>
    <commentChains s:ref="AI233" rgbClr="FF0000">
      <unresolved>
        <commentChain chainId="b5acee2675b32284171905ec12a13485b104d39b">
          <item id="b49ef025711ec7941b74c031a56828b90027648d" isNormal="1">
            <s:text>
              <s:r>
                <s:t xml:space="preserve">Administrator:
3001838 6/25 8216pcs华3B15</s:t>
              </s:r>
            </s:text>
          </item>
        </commentChain>
      </unresolved>
      <resolved/>
    </commentChains>
    <commentChains s:ref="AI234" rgbClr="FF0000">
      <unresolved>
        <commentChain chainId="629019a802d06e7a6102b15dc10ff1bdda2a4039">
          <item id="a43b00c96a31aedfd9eb8ed85b3528b4a4674b3f" isNormal="1">
            <s:text>
              <s:r>
                <s:t xml:space="preserve">Administrator:
3001838 6/25 195pcs
华3B14</s:t>
              </s:r>
            </s:text>
          </item>
        </commentChain>
      </unresolved>
      <resolved/>
    </commentChains>
    <commentChains s:ref="AI235" rgbClr="FF0000">
      <unresolved>
        <commentChain chainId="d07706b84a18b48a63a47086cb62bbf9fae8ad4e">
          <item id="9b08bc22fc37e99b4519975c0e17235a3b6ecf7e" isNormal="1">
            <s:text>
              <s:r>
                <s:t xml:space="preserve">Administrator:
3001838 6/25 130pcs
华3B14</s:t>
              </s:r>
            </s:text>
          </item>
        </commentChain>
      </unresolved>
      <resolved/>
    </commentChains>
    <commentChains s:ref="AI236" rgbClr="FF0000">
      <unresolved>
        <commentChain chainId="eda1c3a7239454f0060796f86b3e7746b42d83ef">
          <item id="9660f4e94d3d45bb44cd7d267306942f996b291a" isNormal="1">
            <s:text>
              <s:r>
                <s:t xml:space="preserve">Administrator:
3001816 6/26 8480pcs
</s:t>
              </s:r>
            </s:text>
          </item>
        </commentChain>
      </unresolved>
      <resolved/>
    </commentChains>
    <commentChains s:ref="AL236" rgbClr="FF0000">
      <unresolved>
        <commentChain chainId="d211ae129a8771f02bd13db302cf045913425e8a">
          <item id="928791c0de193286eb5137edc5321b33e583a845" isNormal="1">
            <s:text>
              <s:r>
                <s:t xml:space="preserve">Administrator:
7/16 上客供RFID贴纸 8480pcs
</s:t>
              </s:r>
            </s:text>
          </item>
        </commentChain>
      </unresolved>
      <resolved/>
    </commentChains>
    <commentChains s:ref="AI237" rgbClr="FF0000">
      <unresolved>
        <commentChain chainId="4576440e7580b89d584f2c77a988715251d0bbb4">
          <item id="ec39387ed1b9d46db7b1f075b56a8544b6b3e83a" isNormal="1">
            <s:text>
              <s:r>
                <s:t xml:space="preserve">Administrator:
3001816 6/26 6352pcs
</s:t>
              </s:r>
            </s:text>
          </item>
        </commentChain>
      </unresolved>
      <resolved/>
    </commentChains>
    <commentChains s:ref="AI238" rgbClr="FF0000">
      <unresolved>
        <commentChain chainId="d34fb8270a6522e306e4c00c4dba820eb23074bd">
          <item id="15d110bb7cc90ebe7b358bfc69a4771fdd1cc427" isNormal="1">
            <s:text>
              <s:r>
                <s:t xml:space="preserve">Administrator:
3001816 6/26 7352pcs
3001758 6/27 16pcs华3A12</s:t>
              </s:r>
            </s:text>
          </item>
        </commentChain>
      </unresolved>
      <resolved/>
    </commentChains>
    <commentChains s:ref="AI239" rgbClr="FF0000">
      <unresolved>
        <commentChain chainId="eab496a81f066f6aa0549c6ee34757f155d175f9">
          <item id="ca450cb379b0870a54cef077ab1bc55c9e90c716" isNormal="1">
            <s:text>
              <s:r>
                <s:t xml:space="preserve">Administrator:
3001744 6/28 5825pcs莫4A4</s:t>
              </s:r>
            </s:text>
          </item>
        </commentChain>
      </unresolved>
      <resolved/>
    </commentChains>
    <commentChains s:ref="AI240" rgbClr="FF0000">
      <unresolved>
        <commentChain chainId="e95401626ab2cebd671a63f9beac08acbdb4a216">
          <item id="e447f0cb2e698bdb44e745202a8d0a019f110bb6" isNormal="1">
            <s:text>
              <s:r>
                <s:t xml:space="preserve">Administrator:
2001643 6/27 1620pcs华3B15</s:t>
              </s:r>
            </s:text>
          </item>
        </commentChain>
      </unresolved>
      <resolved/>
    </commentChains>
    <commentChains s:ref="AL240" rgbClr="FF0000">
      <unresolved>
        <commentChain chainId="074a44dddb75b61153ac659624dddafd0846d476">
          <item id="3f1b47f0dc694f720f3cd0f063019e99d6e49f16" isNormal="1">
            <s:text>
              <s:r>
                <s:t xml:space="preserve">Administrator:
6/5 上WEEE电池说明书3240pcs</s:t>
              </s:r>
            </s:text>
          </item>
        </commentChain>
      </unresolved>
      <resolved/>
    </commentChains>
    <commentChains s:ref="AI241" rgbClr="FF0000">
      <unresolved>
        <commentChain chainId="712e483c676fe37adec989e752d839eb4b4acd18">
          <item id="5dab294d8a39f2ad1cd0e6f76fb3761949798e5c" isNormal="1">
            <s:text>
              <s:r>
                <s:t xml:space="preserve">Administrator:
3001763 6/27 6500pcs张泉
3001744 6/28 50pcs张</s:t>
              </s:r>
            </s:text>
          </item>
        </commentChain>
      </unresolved>
      <resolved/>
    </commentChains>
    <commentChains s:ref="AI242" rgbClr="FF0000">
      <unresolved>
        <commentChain chainId="07746c334aef909fa0846fadb3cc1823896d883d">
          <item id="03d46586218dc724d619a0ca08ceb5edd1460c22" isNormal="1">
            <s:text>
              <s:r>
                <s:t xml:space="preserve">Administrator:
3001971 7/1 4500pcs
华3A20
3001955 7/1 1500pcs华3A20</s:t>
              </s:r>
            </s:text>
          </item>
        </commentChain>
      </unresolved>
      <resolved/>
    </commentChains>
    <commentChains s:ref="AL242" rgbClr="FF0000">
      <unresolved>
        <commentChain chainId="dcd2adc0646401e4dd5facb6574c6e1d4b3815b6">
          <item id="377a30be6eb14d751454e2751676915d2cde6bc7" isNormal="1">
            <s:text>
              <s:r>
                <s:t xml:space="preserve">Administrator:
3/31 上冰棒款-说明书荷兰语贴纸6000pcs
蛋糕款-说明书荷兰语贴纸6000pcs
布丁款-说明书荷兰语贴纸6000pcs
</s:t>
              </s:r>
            </s:text>
          </item>
        </commentChain>
      </unresolved>
      <resolved/>
    </commentChains>
    <commentChains s:ref="AI243" rgbClr="FF0000">
      <unresolved>
        <commentChain chainId="51c1c11ab2d6db8a72977437b1bdc66d2656c89d">
          <item id="6fb23832ab8ebd2522e3b5dbede2bdf23ed3b410" isNormal="1">
            <s:text>
              <s:r>
                <s:t xml:space="preserve">Administrator:
2001624 7/1 1002pcs华3B15</s:t>
              </s:r>
            </s:text>
          </item>
        </commentChain>
      </unresolved>
      <resolved/>
    </commentChains>
    <commentChains s:ref="AI244" rgbClr="FF0000">
      <unresolved>
        <commentChain chainId="8f45e34787973a7e890495e35a3bcbb84ecac0c1">
          <item id="3c65c7c5c955e4482988e0981a4d20fe7d192e14" isNormal="1">
            <s:text>
              <s:r>
                <s:t xml:space="preserve">Administrator:
3001820 6/26 14560pcs
3001808 6/26 1040pcs</s:t>
              </s:r>
            </s:text>
          </item>
        </commentChain>
      </unresolved>
      <resolved/>
    </commentChains>
    <commentChains s:ref="AL244" rgbClr="FF0000">
      <unresolved>
        <commentChain chainId="2ba87f72f04e55129aeef38968d17931ec652048">
          <item id="4d95757386e43ca49007523a448066fbfd9efc72" isNormal="1">
            <s:text>
              <s:r>
                <s:t xml:space="preserve">Administrator:
5/30 上UPC条码贴纸15600pcs
</s:t>
              </s:r>
            </s:text>
          </item>
        </commentChain>
      </unresolved>
      <resolved/>
    </commentChains>
    <commentChains s:ref="AI245" rgbClr="FF0000">
      <unresolved>
        <commentChain chainId="1a4547129173d27fc47d8aca0bd6be415afd124e">
          <item id="4ce89a0f31c3aa1e9dd761252665978d26ae85bc" isNormal="1">
            <s:text>
              <s:r>
                <s:t xml:space="preserve">Administrator:
3001983 7/2 1521pcs华3B11</s:t>
              </s:r>
            </s:text>
          </item>
        </commentChain>
      </unresolved>
      <resolved/>
    </commentChains>
    <commentChains s:ref="AL245" rgbClr="FF0000">
      <unresolved>
        <commentChain chainId="b7f2b64e8b64f9ff8bfcfd0341d6c74c054fa844">
          <item id="6f2a0c7390bb3525b909677cc22950fc380b2134" isNormal="1">
            <s:text>
              <s:r>
                <s:t xml:space="preserve">Administrator:
6/14 上UPC贴纸2509pcs
6/11 上KM单外箱贴纸193pcs
6/19 上白色防盗贴纸2509pcs
</s:t>
              </s:r>
            </s:text>
          </item>
        </commentChain>
      </unresolved>
      <resolved/>
    </commentChains>
    <commentChains s:ref="AI246" rgbClr="FF0000">
      <unresolved>
        <commentChain chainId="80856221151c8f790b6f516af8d64ec77d05e4e3">
          <item id="9759162fffcbd38445a288a7b5a2a482f9b103a8" isNormal="1">
            <s:text>
              <s:r>
                <s:t xml:space="preserve">Administrator:
3001983 7/2 988pcs
华3B11</s:t>
              </s:r>
            </s:text>
          </item>
        </commentChain>
      </unresolved>
      <resolved/>
    </commentChains>
    <commentChains s:ref="AI247" rgbClr="FF0000">
      <unresolved>
        <commentChain chainId="08792a70f5998b2a5f25c8387281298078408647">
          <item id="74f3a9104cb2635799450ed42f3747694c436035" isNormal="1">
            <s:text>
              <s:r>
                <s:t xml:space="preserve">Administrator:
3001592 6/30 8720pcs华3A9</s:t>
              </s:r>
            </s:text>
          </item>
        </commentChain>
      </unresolved>
      <resolved/>
    </commentChains>
    <commentChains s:ref="AL247" rgbClr="FF0000">
      <unresolved>
        <commentChain chainId="d7a339387cd83e8f7c3a138ef5798c20050115c2">
          <item id="b175b9a0c65da4e28187f1bf836ae8df79ab4555" isNormal="1">
            <s:text>
              <s:r>
                <s:t xml:space="preserve">Administrator:
5/12 上客供RFID贴纸8720pcs</s:t>
              </s:r>
            </s:text>
          </item>
        </commentChain>
      </unresolved>
      <resolved/>
    </commentChains>
    <commentChains s:ref="AI248" rgbClr="FF0000">
      <unresolved>
        <commentChain chainId="1c3cc9c1ce4793cecffa7e4ce0ecad4a806b67be">
          <item id="a42306f51283a3acbfc31d7e6eb677c941fb7126" isNormal="1">
            <s:text>
              <s:r>
                <s:t xml:space="preserve">Administrator:
3001565 7/2 7600pcs莫4C7</s:t>
              </s:r>
            </s:text>
          </item>
        </commentChain>
      </unresolved>
      <resolved/>
    </commentChains>
    <commentChains s:ref="AI249" rgbClr="FF0000">
      <unresolved>
        <commentChain chainId="9dd2506f3ba2bf16edfdc04ed4270e7b76d00333">
          <item id="24bb286d8247f12b7eb9cf12c295d0af9739f568" isNormal="1">
            <s:text>
              <s:r>
                <s:t xml:space="preserve">Administrator:
3001997 7/2 9008pcs莫4B7</s:t>
              </s:r>
            </s:text>
          </item>
        </commentChain>
      </unresolved>
      <resolved/>
    </commentChains>
    <commentChains s:ref="AI250" rgbClr="FF0000">
      <unresolved>
        <commentChain chainId="84c2e23cf155af7226211e16c73e87daa48256d2">
          <item id="8249884231061b16103def98c879824c9bcf556d" isNormal="1">
            <s:text>
              <s:r>
                <s:t xml:space="preserve">Administrator:
3001971 7/1 13520pcs华3A17</s:t>
              </s:r>
            </s:text>
          </item>
        </commentChain>
      </unresolved>
      <resolved/>
    </commentChains>
    <commentChains s:ref="AI251" rgbClr="FF0000">
      <unresolved>
        <commentChain chainId="8010d664cede13528e141f7ed60f8d2312d95213">
          <item id="b4f367b547ca95c29fececa17467eb7b392c79d7" isNormal="1">
            <s:text>
              <s:r>
                <s:t xml:space="preserve">Administrator:
3001997 7/2 11664pcs
莫4A4</s:t>
              </s:r>
            </s:text>
          </item>
        </commentChain>
      </unresolved>
      <resolved/>
    </commentChains>
    <commentChains s:ref="AI252" rgbClr="FF0000">
      <unresolved>
        <commentChain chainId="91e42c751e4bd9f682882e4e644c5ca5aba9d2e1">
          <item id="a9b8fadf05ee7ae2f3ae2a70b16054d6165c80ab" isNormal="1">
            <s:text>
              <s:r>
                <s:t xml:space="preserve">Administrator:
3001744 6/28 9472pcs莫4A5
3001366 6/28 16pcs莫4A5</s:t>
              </s:r>
            </s:text>
          </item>
        </commentChain>
      </unresolved>
      <resolved/>
    </commentChains>
    <commentChains s:ref="AI253" rgbClr="FF0000">
      <unresolved>
        <commentChain chainId="04e5edf374c6eac9acfe9e12e1d13f99d6d33646">
          <item id="5bb2e026932b5b5f198b38e325bdc61efab541bd" isNormal="1">
            <s:text>
              <s:r>
                <s:t xml:space="preserve">Administrator:
3001997 7/2 10112pcs
莫4C7</s:t>
              </s:r>
            </s:text>
          </item>
        </commentChain>
      </unresolved>
      <resolved/>
    </commentChains>
    <commentChains s:ref="AI254" rgbClr="FF0000">
      <unresolved>
        <commentChain chainId="9b6d78464b1bda5bbfa6599d29e34f414acf4372">
          <item id="c1ad24fbcbd28599a5fa7140e8a40f56961bda59" isNormal="1">
            <s:text>
              <s:r>
                <s:t xml:space="preserve">Administrator:
3001997 7/2 9120pcs
莫4C6</s:t>
              </s:r>
            </s:text>
          </item>
        </commentChain>
      </unresolved>
      <resolved/>
    </commentChains>
    <commentChains s:ref="AI255" rgbClr="FF0000">
      <unresolved>
        <commentChain chainId="3a442c1d90613320e0d6c791027cb8905ed417d4">
          <item id="e87ccfa27a0ae6395d4e44388b28db50503c0408" isNormal="1">
            <s:text>
              <s:r>
                <s:t xml:space="preserve">Administrator:
3001997 7/2 7648pcs莫4C6
</s:t>
              </s:r>
            </s:text>
          </item>
        </commentChain>
      </unresolved>
      <resolved/>
    </commentChains>
    <commentChains s:ref="AL255" rgbClr="FF0000">
      <unresolved>
        <commentChain chainId="6603eb270a655a54b7a8e2885bcd0ff10511e4ce">
          <item id="f853faf731c2253518093a7affa4c7249cf71959" isNormal="1">
            <s:text>
              <s:r>
                <s:t xml:space="preserve">Administrator:
5/12 上客供RFID贴纸7648pcs</s:t>
              </s:r>
            </s:text>
          </item>
        </commentChain>
      </unresolved>
      <resolved/>
    </commentChains>
    <commentChains s:ref="AI256" rgbClr="FF0000">
      <unresolved>
        <commentChain chainId="800714ce2ea8e950e0932198921cfacd99d2afc5">
          <item id="466a92af9fe754e3a6dbcfa09eb395eacfd3a848" isNormal="1">
            <s:text>
              <s:r>
                <s:t xml:space="preserve">Administrator:
3001565 7/2 1650pcs
莫4B7</s:t>
              </s:r>
            </s:text>
          </item>
        </commentChain>
      </unresolved>
      <resolved/>
    </commentChains>
    <commentChains s:ref="AI257" rgbClr="FF0000">
      <unresolved>
        <commentChain chainId="bfa569c1412e3b35797b7aba85cd50208a2e3bd9">
          <item id="9874190925c069f76e860b728353ac969593fbf0" isNormal="1">
            <s:text>
              <s:r>
                <s:t xml:space="preserve">Administrator:
3001971 7/1 1612pcs兴信</s:t>
              </s:r>
            </s:text>
          </item>
        </commentChain>
      </unresolved>
      <resolved/>
    </commentChains>
    <commentChains s:ref="AI258" rgbClr="FF0000">
      <unresolved>
        <commentChain chainId="9c9fddbcb7e5d0fc967965d063db68d6c06a819e">
          <item id="847e4b8d7d215fe17ebfd738247d6a7fb1c0f57e" isNormal="1">
            <s:text>
              <s:r>
                <s:t xml:space="preserve">Administrator:
3001565 7/2 975pcs
莫4A4</s:t>
              </s:r>
            </s:text>
          </item>
        </commentChain>
      </unresolved>
      <resolved/>
    </commentChains>
    <commentChains s:ref="AI259" rgbClr="FF0000">
      <unresolved>
        <commentChain chainId="869a94d5a9438a9a5fbaccfe7073ccf421f4dd33">
          <item id="6d98f244d55205c869653a891618e98861594fc8" isNormal="1">
            <s:text>
              <s:r>
                <s:t xml:space="preserve">Administrator:
3001655 7/9 1050pcs</s:t>
              </s:r>
            </s:text>
          </item>
        </commentChain>
      </unresolved>
      <resolved/>
    </commentChains>
    <commentChains s:ref="AL259" rgbClr="FF0000">
      <unresolved>
        <commentChain chainId="61b04696c6622740b15c3ab866cb8c5545c1c0e7">
          <item id="b47fa3429a761d313ec23f60c49909c68f686320" isNormal="1">
            <s:text>
              <s:r>
                <s:t xml:space="preserve">Administrator:
5/29 上UPc贴纸3150pcs
两个同PO共用
6/26 上PDq进口商贴纸146pcs
6/26 上PDq进口商贴纸42pcs
</s:t>
              </s:r>
            </s:text>
          </item>
        </commentChain>
      </unresolved>
      <resolved/>
    </commentChains>
    <commentChains s:ref="AI260" rgbClr="FF0000">
      <unresolved>
        <commentChain chainId="095845d4671a1b3f74d49d97e9a5210ea49a6edc">
          <item id="77dbd3a37d6b282913a074063fa33637d1aec131" isNormal="1">
            <s:text>
              <s:r>
                <s:t xml:space="preserve">Administrator:
3001700 7/8 1264pcs 华3B10</s:t>
              </s:r>
            </s:text>
          </item>
        </commentChain>
      </unresolved>
      <resolved/>
    </commentChains>
    <commentChains s:ref="AL260" rgbClr="FF0000">
      <unresolved>
        <commentChain chainId="3a6d91a97aa21306f61490a73b715dc2298ed521">
          <item id="70a55ca202ffc5e6376a5845947d9630c6fecd87" isNormal="1">
            <s:text>
              <s:r>
                <s:t xml:space="preserve">Administrator:
6/5 上进口商贴纸6050pcs
两个同PO共用
5/29 上UPC贴纸6050pcs
两个同PO共用
6/26 上PDq进口商贴纸146pcs
</s:t>
              </s:r>
            </s:text>
          </item>
        </commentChain>
      </unresolved>
      <resolved/>
    </commentChains>
    <commentChains s:ref="AI261" rgbClr="FF0000">
      <unresolved>
        <commentChain chainId="fa095984305bd160d1f03952cb467a2f7620a51b">
          <item id="05a779b2c888af461efd75bd6d19f5ddc208abe3" isNormal="1">
            <s:text>
              <s:r>
                <s:t xml:space="preserve">Administrator:
3001877 7/5 2400pcs 华3A29</s:t>
              </s:r>
            </s:text>
          </item>
        </commentChain>
      </unresolved>
      <resolved/>
    </commentChains>
    <commentChains s:ref="AL261" rgbClr="FF0000">
      <unresolved>
        <commentChain chainId="60c0de50c364c0705b4daf0e9ffb10e55cc4ffa7">
          <item id="1cd1f83a7df3e110cd80a8dd15202373f6740cc1" isNormal="1">
            <s:text>
              <s:r>
                <s:t xml:space="preserve">Administrator:
6/26 上展示架进口商贴纸80pcs</s:t>
              </s:r>
            </s:text>
          </item>
        </commentChain>
      </unresolved>
      <resolved/>
    </commentChains>
    <commentChains s:ref="AI262" rgbClr="FF0000">
      <unresolved>
        <commentChain chainId="0d98e436b4e768522fc5c37a2804b7e25dd6dd22">
          <item id="40f153966a0375b1b0e74b9b1a8905b67ce4e016" isNormal="1">
            <s:text>
              <s:r>
                <s:t xml:space="preserve">Administrator:
3001877 7/2 2100pcs 华3B11
</s:t>
              </s:r>
            </s:text>
          </item>
        </commentChain>
      </unresolved>
      <resolved/>
    </commentChains>
    <commentChains s:ref="AL262" rgbClr="FF0000">
      <unresolved>
        <commentChain chainId="7801cffe1d6b345e983fe5f644b4b87e22147dad">
          <item id="dc379e598e7f6c06fbebd30c59ef637193b9015a" isNormal="1">
            <s:text>
              <s:r>
                <s:t xml:space="preserve">Administrator:
6/26 上展示架进口商贴纸70pcs</s:t>
              </s:r>
            </s:text>
          </item>
        </commentChain>
      </unresolved>
      <resolved/>
    </commentChains>
    <commentChains s:ref="AI265" rgbClr="FF0000">
      <unresolved>
        <commentChain chainId="e1ee18842c90187b2e26c1b8c65c68b97f78e7cc">
          <item id="18522243bd346b1cac9203e8b6ba68854d33e8af" isNormal="1">
            <s:text>
              <s:r>
                <s:t xml:space="preserve">Administrator:
2001606 7/2 240pcs华3B13</s:t>
              </s:r>
            </s:text>
          </item>
        </commentChain>
      </unresolved>
      <resolved/>
    </commentChains>
    <commentChains s:ref="AL265" rgbClr="FF0000">
      <unresolved>
        <commentChain chainId="069c187a49739f1e5a669114eaef5e7f776ea613">
          <item id="d661681d0432479918c281ae0a3293b0762e10be" isNormal="1">
            <s:text>
              <s:r>
                <s:t xml:space="preserve">Administrator:
7/5 上空白贴纸480pcs</s:t>
              </s:r>
            </s:text>
          </item>
        </commentChain>
      </unresolved>
      <resolved/>
    </commentChains>
    <commentChains s:ref="AI266" rgbClr="FF0000">
      <unresolved>
        <commentChain chainId="5875f3f397f88d04a0582a0157ccf80335fcda27">
          <item id="d09fe507dfed1e14bb88822f25fef12d4732c229" isNormal="1">
            <s:text>
              <s:r>
                <s:t xml:space="preserve">Administrator:
2001636 6/30 4080pcs</s:t>
              </s:r>
            </s:text>
          </item>
        </commentChain>
      </unresolved>
      <resolved/>
    </commentChains>
    <commentChains s:ref="AI268" rgbClr="FF0000">
      <unresolved>
        <commentChain chainId="85b51a00ee25debe9422d34f947203cb2f92161d">
          <item id="70c35c37d53c698fff71d0860a782c7fbc163c4b" isNormal="1">
            <s:text>
              <s:r>
                <s:t xml:space="preserve">Administrator:
3001676 7/7 1000pcs
华3S14
</s:t>
              </s:r>
            </s:text>
          </item>
        </commentChain>
      </unresolved>
      <resolved/>
    </commentChains>
    <commentChains s:ref="AL268" rgbClr="FF0000">
      <unresolved>
        <commentChain chainId="447c4f51a48bb941f9f0e542e276ad2af54a1260">
          <item id="38f092804557e3ecee45f531c1a8e3f0eb075e7a" isNormal="1">
            <s:text>
              <s:r>
                <s:t xml:space="preserve">Administrator:
6/5 上冰棒-说明书荷兰语贴纸1000pcs
蛋糕款-荷兰语贴纸1000pcs
布丁款-荷兰语贴纸1000pcs</s:t>
              </s:r>
            </s:text>
          </item>
        </commentChain>
      </unresolved>
      <resolved/>
    </commentChains>
    <commentChains s:ref="AI269" rgbClr="FF0000">
      <unresolved>
        <commentChain chainId="d966c20adf3e77a53e5a1d51d4be3b04b281f63e">
          <item id="73bbd15bca66ca2ad254ffc5be589f9bbaf39a4d" isNormal="1">
            <s:text>
              <s:r>
                <s:t xml:space="preserve">Administrator:
3001915 7/3 156pcs华3B27</s:t>
              </s:r>
            </s:text>
          </item>
        </commentChain>
      </unresolved>
      <resolved/>
    </commentChains>
    <commentChains s:ref="AL269" rgbClr="FF0000">
      <unresolved>
        <commentChain chainId="4f81ace5d9e90ab0c46c5016f37844bd1031bc05">
          <item id="09adb611eda6b1c1bdf76ff97a861f4d0198daea" isNormal="1">
            <s:text>
              <s:r>
                <s:t xml:space="preserve">Administrator:
6/14 上UPC贴纸156pcs
6/11 上KM单外箱贴纸12pcs
6/19 上白色防盗贴纸156pcs</s:t>
              </s:r>
            </s:text>
          </item>
        </commentChain>
      </unresolved>
      <resolved/>
    </commentChains>
    <commentChains s:ref="AI270" rgbClr="FF0000">
      <unresolved>
        <commentChain chainId="fb76e3ceea23c8648072195e5b595defc3405a92">
          <item id="e2aa2788ba2982055e78ea230ccc481f0afee765" isNormal="1">
            <s:text>
              <s:r>
                <s:t xml:space="preserve">Administrator:
3001905 7/4 2002pcs
直走</s:t>
              </s:r>
            </s:text>
          </item>
        </commentChain>
      </unresolved>
      <resolved/>
    </commentChains>
    <commentChains s:ref="AL270" rgbClr="FF0000">
      <unresolved>
        <commentChain chainId="5d3fc3a7da020ea64e76173189271e251911bff3">
          <item id="a9acc950fb76147b3dd6b3119eab86ae461f3b78" isNormal="1">
            <s:text>
              <s:r>
                <s:t xml:space="preserve">Administrator:
5/30 上多语折叠贴纸2002pcs
</s:t>
              </s:r>
            </s:text>
          </item>
        </commentChain>
      </unresolved>
      <resolved/>
    </commentChains>
    <commentChains s:ref="AI271" rgbClr="FF0000">
      <unresolved>
        <commentChain chainId="0a9915c4ea0b220c958280e9b1d1bba7676d40b3">
          <item id="3d6f20809b988a81fa033d6dfa36e7e5d3de9489" isNormal="1">
            <s:text>
              <s:r>
                <s:t xml:space="preserve">Administrator:
3001641 7/9 492pcs
3001534 7/11 12pcs</s:t>
              </s:r>
            </s:text>
          </item>
        </commentChain>
      </unresolved>
      <resolved/>
    </commentChains>
    <commentChains s:ref="AL271" rgbClr="FF0000">
      <unresolved>
        <commentChain chainId="f106ef4e9e0a4f34f3db54fbb4695d63499e99ad">
          <item id="fa523297f5809bfd4eff759d9d7df368d19d44a5" isNormal="1">
            <s:text>
              <s:r>
                <s:t xml:space="preserve">Administrator:
6/14 上空白贴纸1008pcs
环保标贴纸1008pcs
</s:t>
              </s:r>
            </s:text>
          </item>
        </commentChain>
      </unresolved>
      <resolved/>
    </commentChains>
    <commentChains s:ref="AI272" rgbClr="FF0000">
      <unresolved>
        <commentChain chainId="4c88158433b9c03ca546131d96d8acf57d078854">
          <item id="c6a633d38209449bc0c9b0a589fc11b742d0f9e4" isNormal="1">
            <s:text>
              <s:r>
                <s:t xml:space="preserve">Administrator:
3001904 7/4 700pcs华3B1</s:t>
              </s:r>
            </s:text>
          </item>
        </commentChain>
      </unresolved>
      <resolved/>
    </commentChains>
    <commentChains s:ref="AI273" rgbClr="FF0000">
      <unresolved>
        <commentChain chainId="90ecd95f1411646d82fc0825db5276c1b4dc3176">
          <item id="30665caffa920c2cb1c3a02c486884620ad133c2" isNormal="1">
            <s:text>
              <s:r>
                <s:t xml:space="preserve">Administrator:
2001575 7/7 5400psc 华1A4
2001583 7/8 3300pcs 直走</s:t>
              </s:r>
            </s:text>
          </item>
        </commentChain>
      </unresolved>
      <resolved/>
    </commentChains>
    <commentChains s:ref="AL273" rgbClr="FF0000">
      <unresolved>
        <commentChain chainId="c7d59cf8de45361a0313c20be58b40d2bf9ea655">
          <item id="6b7f1d5648288d5a68bfef618c88573979fa18ec" isNormal="1">
            <s:text>
              <s:r>
                <s:t xml:space="preserve">Administrator:
6/5 上条码贴纸34800pcs
两个同PO共用
6/25 上空白贴纸34800pcs
两个同PO共用</s:t>
              </s:r>
            </s:text>
          </item>
        </commentChain>
      </unresolved>
      <resolved/>
    </commentChains>
    <commentChains s:ref="AI274" rgbClr="FF0000">
      <unresolved>
        <commentChain chainId="d2e923bc139fa71ff42b1893e482431936e9c257">
          <item id="d91d72a2f4cc6082ecc3d6db845ab59efd59ec05" isNormal="1">
            <s:text>
              <s:r>
                <s:t xml:space="preserve">Administrator:
3001904 7/4 500pcs
华3B1</s:t>
              </s:r>
            </s:text>
          </item>
        </commentChain>
      </unresolved>
      <resolved/>
    </commentChains>
    <commentChains s:ref="AI275" rgbClr="FF0000">
      <unresolved>
        <commentChain chainId="e060414a0e6177627466ca3e300563e4efcbc911">
          <item id="994fa16c7b548e8e65f9aa55f9d42c41bd150990" isNormal="1">
            <s:text>
              <s:r>
                <s:t xml:space="preserve">Administrator:
3001641 7/9 2400pcs
</s:t>
              </s:r>
            </s:text>
          </item>
        </commentChain>
      </unresolved>
      <resolved/>
    </commentChains>
    <commentChains s:ref="AL275" rgbClr="FF0000">
      <unresolved>
        <commentChain chainId="99eadaf15423e774f8eb557d4931cd67669e4e32">
          <item id="aafd32f99a4586ebbccb312b64fc96152c822128" isNormal="1">
            <s:text>
              <s:r>
                <s:t xml:space="preserve">Administrator:
6/13 上冰棒款-说明书荷兰语贴纸2400pcs
蛋糕款-说明书荷兰语贴纸2400pcs
布丁款-说明书荷兰语贴纸2400pcs
</s:t>
              </s:r>
            </s:text>
          </item>
        </commentChain>
      </unresolved>
      <resolved/>
    </commentChains>
    <commentChains s:ref="AI276" rgbClr="FF0000">
      <unresolved>
        <commentChain chainId="f9b4a2b36e729c5c571d0322bceea2c954511828">
          <item id="535f6e211418c51a5fd61286d308141dbabae035" isNormal="1">
            <s:text>
              <s:r>
                <s:t xml:space="preserve">Administrator:
3001904 7/4 500pcs
华3B1</s:t>
              </s:r>
            </s:text>
          </item>
        </commentChain>
      </unresolved>
      <resolved/>
    </commentChains>
    <commentChains s:ref="AI277" rgbClr="FF0000">
      <unresolved>
        <commentChain chainId="5bcfb3524f7597b981bcbe3bc1b37b4794f50250">
          <item id="1e921a1454d5db4935360a034cc23a801f947739" isNormal="1">
            <s:text>
              <s:r>
                <s:t xml:space="preserve">Administrator:
3001905 7/4 1664pcs
直走</s:t>
              </s:r>
            </s:text>
          </item>
        </commentChain>
      </unresolved>
      <resolved/>
    </commentChains>
    <commentChains s:ref="AL277" rgbClr="FF0000">
      <unresolved>
        <commentChain chainId="461854ec25228f2abc43deb4558d155163bb2eb7">
          <item id="7413b300783a4f42c4bf29176af6380f26cc6e95" isNormal="1">
            <s:text>
              <s:r>
                <s:t xml:space="preserve">Administrator:
6/23 上纸袋希腊警语贴纸1664pcs
WEEE30L带电走货电池说明书1664pcs
客人警语贴纸1664pcs
6/30 上纸袋警告贴纸8320pcs</s:t>
              </s:r>
            </s:text>
          </item>
        </commentChain>
      </unresolved>
      <resolved/>
    </commentChains>
    <commentChains s:ref="AI278" rgbClr="FF0000">
      <unresolved>
        <commentChain chainId="76d23df38c317f6b4ac420bcf24e7f38432cc67d">
          <item id="4d034c39a1bb86385c8009db3efa5bb5e261262c" isNormal="1">
            <s:text>
              <s:r>
                <s:t xml:space="preserve">Administrator:
3001905 7/4 120pcs
华3B1</s:t>
              </s:r>
            </s:text>
          </item>
        </commentChain>
      </unresolved>
      <resolved/>
    </commentChains>
    <commentChains s:ref="AL278" rgbClr="FF0000">
      <unresolved>
        <commentChain chainId="80f71de37a1c34a1cd432b87240296b224b1afd2">
          <item id="216c32b95773c908c7eb75f6615fc0e6e1322b49" isNormal="1">
            <s:text>
              <s:r>
                <s:t xml:space="preserve">Administrator:
5/7 上客人白色CALLABEL贴纸120pcs
</s:t>
              </s:r>
            </s:text>
          </item>
        </commentChain>
      </unresolved>
      <resolved/>
    </commentChains>
    <commentChains s:ref="AI279" rgbClr="FF0000">
      <unresolved>
        <commentChain chainId="b570197a4e478447140cf0ec5ca854f8785acae7">
          <item id="5e226db3b949678b81abd302868d88ea15ee3b28" isNormal="1">
            <s:text>
              <s:r>
                <s:t xml:space="preserve">Administrator:
3001877 7/5 300pcs 华3A24</s:t>
              </s:r>
            </s:text>
          </item>
        </commentChain>
      </unresolved>
      <resolved/>
    </commentChains>
    <commentChains s:ref="AI280" rgbClr="FF0000">
      <unresolved>
        <commentChain chainId="f1c96d9736cf00d84d02bd84761b05727cd08c79">
          <item id="606845ae79969f78310a74be4b14686b5024448a" isNormal="1">
            <s:text>
              <s:r>
                <s:t xml:space="preserve">Administrator:
3001905 7/4 1450pcs B栋4楼</s:t>
              </s:r>
            </s:text>
          </item>
        </commentChain>
      </unresolved>
      <resolved/>
    </commentChains>
    <commentChains s:ref="AL280" rgbClr="FF0000">
      <unresolved>
        <commentChain chainId="1c906b99ab274ba97895f08193c1d2a02e675df2">
          <item id="00f3cb22d7c087eed2745f5aa7275ee6f13ca274" isNormal="1">
            <s:text>
              <s:r>
                <s:t xml:space="preserve">Administrator:
5/29 上UPC贴纸2500pcs
两个同PO共用
6/17 上进口商贴纸2500pcs
两个同PO共用
6/26 上PDq进口商贴纸58pcs
</s:t>
              </s:r>
            </s:text>
          </item>
        </commentChain>
      </unresolved>
      <resolved/>
    </commentChains>
    <commentChains s:ref="AI281" rgbClr="FF0000">
      <unresolved>
        <commentChain chainId="5cd96773eea244652e5ed68307cb95d187adeb10">
          <item id="2d6d1b52519744e57fe525d556797553d385ef1c" isNormal="1">
            <s:text>
              <s:r>
                <s:t xml:space="preserve">Administrator:
3001877 7/5 1050pcs 兴信</s:t>
              </s:r>
            </s:text>
          </item>
        </commentChain>
      </unresolved>
      <resolved/>
    </commentChains>
    <commentChains s:ref="AL281" rgbClr="FF0000">
      <unresolved>
        <commentChain chainId="2bf28e075149f2d4cfa3b612ce97f6d62170cfd5">
          <item id="873aaf91cc5f5dc24666a1696d734d41bc1f5069" isNormal="1">
            <s:text>
              <s:r>
                <s:t xml:space="preserve">Administrator:
6/26 上展示架进口商贴纸35pcs</s:t>
              </s:r>
            </s:text>
          </item>
        </commentChain>
      </unresolved>
      <resolved/>
    </commentChains>
    <commentChains s:ref="AI282" rgbClr="FF0000">
      <unresolved>
        <commentChain chainId="61bbbb06b97f4e3c6ace7b09f4432b512c3a80a5">
          <item id="9d530181c2983deb2bf977b5525129212c95d3a7" isNormal="1">
            <s:text>
              <s:r>
                <s:t xml:space="preserve">Administrator:
3001736 7/5 1000psc 华3B15</s:t>
              </s:r>
            </s:text>
          </item>
        </commentChain>
      </unresolved>
      <resolved/>
    </commentChains>
    <commentChains s:ref="AL282" rgbClr="FF0000">
      <unresolved>
        <commentChain chainId="07cd5b73cafb8d3ab5b16eb84801e83c259cd43e">
          <item id="7242b986995854465caf1e4a60ead200a8a26802" isNormal="1">
            <s:text>
              <s:r>
                <s:t xml:space="preserve">Administrator:
6/21 上进口商贴纸1000pcs
UPC/价标贴纸1000pcs</s:t>
              </s:r>
            </s:text>
          </item>
        </commentChain>
      </unresolved>
      <resolved/>
    </commentChains>
    <commentChains s:ref="AI283" rgbClr="FF0000">
      <unresolved>
        <commentChain chainId="50948562031a667967b7e3d9073629b55f95fa5a">
          <item id="c72a5804c79f85d939bbc07753203d680e640ea5" isNormal="1">
            <s:text>
              <s:r>
                <s:t xml:space="preserve">Administrator:
3001877 7/5 2400pcs 华3A24</s:t>
              </s:r>
            </s:text>
          </item>
        </commentChain>
      </unresolved>
      <resolved/>
    </commentChains>
    <commentChains s:ref="AL283" rgbClr="FF0000">
      <unresolved>
        <commentChain chainId="108f3f8e167232330ef5a99fff28f83e26386f90">
          <item id="0175afb1102c785f92e75374f25a8f6bef3df2f6" isNormal="1">
            <s:text>
              <s:r>
                <s:t xml:space="preserve">Administrator:
6/11 上多语折叠贴纸2400pcs
6/21 上多语警语折叠贴纸26400pcs数量自行分配</s:t>
              </s:r>
            </s:text>
          </item>
        </commentChain>
      </unresolved>
      <resolved/>
    </commentChains>
    <commentChains s:ref="AI284" rgbClr="FF0000">
      <unresolved>
        <commentChain chainId="ec563af4fc86155393b38cc08ac606834c0e1928">
          <item id="3a317fb0563d40c517ccc240dcd62808ea68ac28" isNormal="1">
            <s:text>
              <s:r>
                <s:t xml:space="preserve">Administrator:
3001733 7/5 6128pcs
B栋4A4</s:t>
              </s:r>
            </s:text>
          </item>
        </commentChain>
      </unresolved>
      <resolved/>
    </commentChains>
    <commentChains s:ref="AL284" rgbClr="FF0000">
      <unresolved>
        <commentChain chainId="739fc7da6f1620200d712c70106abe4820857902">
          <item id="18823f97f591889b4894602470004e022578a43d" isNormal="1">
            <s:text>
              <s:r>
                <s:t xml:space="preserve">Administrator:
6/11 上客供RFID贴纸6128pcs
</s:t>
              </s:r>
            </s:text>
          </item>
        </commentChain>
      </unresolved>
      <resolved/>
    </commentChains>
    <commentChains s:ref="AI285" rgbClr="FF0000">
      <unresolved>
        <commentChain chainId="5dbd243fa0d87e4a30a5496fa4427972e4d772f9">
          <item id="19c75a3ae86243a165d5880c4a0dbf9049641dbe" isNormal="1">
            <s:text>
              <s:r>
                <s:t xml:space="preserve">Administrator:
3001733 7/5 8576pcs
B栋4C7</s:t>
              </s:r>
            </s:text>
          </item>
        </commentChain>
      </unresolved>
      <resolved/>
    </commentChains>
    <commentChains s:ref="AL285" rgbClr="FF0000">
      <unresolved>
        <commentChain chainId="f36577378a92b23ff292048e8e9aa3a790d46af6">
          <item id="3c24e9cc7f134b0a105fb30987662d099aa6b8a9" isNormal="1">
            <s:text>
              <s:r>
                <s:t xml:space="preserve">Administrator:
6/11 上客供RFID贴纸8576pcs
</s:t>
              </s:r>
            </s:text>
          </item>
        </commentChain>
      </unresolved>
      <resolved/>
    </commentChains>
    <commentChains s:ref="AI286" rgbClr="FF0000">
      <unresolved>
        <commentChain chainId="fcfe267835784604cfe326dbfd224a895af785d3">
          <item id="39c18b8491dcd711eeb2eb276c7751fccd6d5c06" isNormal="1">
            <s:text>
              <s:r>
                <s:t xml:space="preserve">Administrator:
3001733 7/5 6464pcs
B栋4A4</s:t>
              </s:r>
            </s:text>
          </item>
        </commentChain>
      </unresolved>
      <resolved/>
    </commentChains>
    <commentChains s:ref="AL286" rgbClr="FF0000">
      <unresolved>
        <commentChain chainId="f4c8beb84093153ea0be7c364fac320b709089d8">
          <item id="73b6489c3ff2d923157dec20f561b48f1c2197fa" isNormal="1">
            <s:text>
              <s:r>
                <s:t xml:space="preserve">Administrator:
6/11 上客供RFID贴纸6464pcs
</s:t>
              </s:r>
            </s:text>
          </item>
        </commentChain>
      </unresolved>
      <resolved/>
    </commentChains>
    <commentChains s:ref="AI287" rgbClr="FF0000">
      <unresolved>
        <commentChain chainId="e4e6439367add695d1c05fc5df0c83df244e77a0">
          <item id="db3b21a4997fc9c4aa94d41c033a6e2ab1e49e4e" isNormal="1">
            <s:text>
              <s:r>
                <s:t xml:space="preserve">Administrator:
3001733 7/5 5888pcs
B栋4A4</s:t>
              </s:r>
            </s:text>
          </item>
        </commentChain>
      </unresolved>
      <resolved/>
    </commentChains>
    <commentChains s:ref="AL287" rgbClr="FF0000">
      <unresolved>
        <commentChain chainId="e96dfc264a5e40af0969dc4eb681d2b31c5f46ee">
          <item id="21ad4324146f2a4e03619d85267737462c1479fd" isNormal="1">
            <s:text>
              <s:r>
                <s:t xml:space="preserve">Administrator:
6/11 上客供RFID贴纸5888pcs
</s:t>
              </s:r>
            </s:text>
          </item>
        </commentChain>
      </unresolved>
      <resolved/>
    </commentChains>
    <commentChains s:ref="AI288" rgbClr="FF0000">
      <unresolved>
        <commentChain chainId="63d140bf47cffa805e62e327e51395d7d941e588">
          <item id="03dc2af153ccf73e68066ccea7f5f093728eb207" isNormal="1">
            <s:text>
              <s:r>
                <s:t xml:space="preserve">Administrator:
3001700 7/8 1264PCS 华3B14</s:t>
              </s:r>
            </s:text>
          </item>
        </commentChain>
      </unresolved>
      <resolved/>
    </commentChains>
    <commentChains s:ref="AL288" rgbClr="FF0000">
      <unresolved>
        <commentChain chainId="99bb9af62c6019469d0ddec9d8ee2ab5e47f7990">
          <item id="d6ac4d9c13c6396fc1c031faa01d1f5908c1c2c2" isNormal="1">
            <s:text>
              <s:r>
                <s:t xml:space="preserve">Administrator:
6/19 上客供RFID贴纸1264pcs
</s:t>
              </s:r>
            </s:text>
          </item>
        </commentChain>
      </unresolved>
      <resolved/>
    </commentChains>
    <commentChains s:ref="AI289" rgbClr="FF0000">
      <unresolved>
        <commentChain chainId="dfedf9bc0c2b25f2ca93b1a06829096ca62afde1">
          <item id="becaa5c088e8a57bdc3810f27a6f2fb9e4fc8e84" isNormal="1">
            <s:text>
              <s:r>
                <s:t xml:space="preserve">Administrator:
3001700 7/8 1792PCS 华3B14
</s:t>
              </s:r>
            </s:text>
          </item>
        </commentChain>
      </unresolved>
      <resolved/>
    </commentChains>
    <commentChains s:ref="AL289" rgbClr="FF0000">
      <unresolved>
        <commentChain chainId="6476fe8db66a2874a4e296286f4db25fbb25c7f2">
          <item id="ddb737618e306d9911db6ff10e94681a283cec40" isNormal="1">
            <s:text>
              <s:r>
                <s:t xml:space="preserve">Administrator:
6/19 上客供RFID贴纸1792pcs
</s:t>
              </s:r>
            </s:text>
          </item>
        </commentChain>
      </unresolved>
      <resolved/>
    </commentChains>
    <commentChains s:ref="AI290" rgbClr="FF0000">
      <unresolved>
        <commentChain chainId="dc57108dfdae5f1c65e6f93d2156bc8178fed242">
          <item id="6d1a499f90eedc610c3a0d235a242250fc9a5913" isNormal="1">
            <s:text>
              <s:r>
                <s:t xml:space="preserve">Administrator:
3001700 7/8 608PCS 华3B13
</s:t>
              </s:r>
            </s:text>
          </item>
        </commentChain>
      </unresolved>
      <resolved/>
    </commentChains>
    <commentChains s:ref="AL290" rgbClr="FF0000">
      <unresolved>
        <commentChain chainId="c8e3456ff519813a2514f1d0d1576e8524fc9252">
          <item id="3441fa33d86acf3dda3bbcd74cfe7d656af633a5" isNormal="1">
            <s:text>
              <s:r>
                <s:t xml:space="preserve">Administrator:
6/19 上客供RFID贴纸608pcs
</s:t>
              </s:r>
            </s:text>
          </item>
        </commentChain>
      </unresolved>
      <resolved/>
    </commentChains>
    <commentChains s:ref="AI291" rgbClr="FF0000">
      <unresolved>
        <commentChain chainId="1d6e68c7b89b91d50fe28d3ff603e4cccb823440">
          <item id="654683bb944319eb8c4bf0fd7a06c88961794098" isNormal="1">
            <s:text>
              <s:r>
                <s:t xml:space="preserve">Administrator:
3001700 7/8 512PCS 华3B13
</s:t>
              </s:r>
            </s:text>
          </item>
        </commentChain>
      </unresolved>
      <resolved/>
    </commentChains>
    <commentChains s:ref="AL291" rgbClr="FF0000">
      <unresolved>
        <commentChain chainId="7f98b9bdcf99a1ce14527a5a682e2cc05d39ad8e">
          <item id="18bae1e5a6bd04769773a9b058512e31b78035ff" isNormal="1">
            <s:text>
              <s:r>
                <s:t xml:space="preserve">Administrator:
6/19 上客供RFID贴纸512pcs
</s:t>
              </s:r>
            </s:text>
          </item>
        </commentChain>
      </unresolved>
      <resolved/>
    </commentChains>
    <commentChains s:ref="AI292" rgbClr="FF0000">
      <unresolved>
        <commentChain chainId="e3f92323650159d6e9b5f2d32c88a95945e4923b">
          <item id="c0f6a9272e15f4f096fb1715db8d279ede828950" isNormal="1">
            <s:text>
              <s:r>
                <s:t xml:space="preserve">Administrator:
3001676 7/7 750pcs
华3B13
</s:t>
              </s:r>
            </s:text>
          </item>
        </commentChain>
      </unresolved>
      <resolved/>
    </commentChains>
    <commentChains s:ref="AL292" rgbClr="FF0000">
      <unresolved>
        <commentChain chainId="a006ba4f3d70bcb975d17e4592c52de1bc281016">
          <item id="8776aa7895d07ac7a5a822b551e41fe7e740b299" isNormal="1">
            <s:text>
              <s:r>
                <s:t xml:space="preserve">Administrator:
6/13 上UPC贴纸750pcs</s:t>
              </s:r>
            </s:text>
          </item>
        </commentChain>
      </unresolved>
      <resolved/>
    </commentChains>
    <commentChains s:ref="AI293" rgbClr="FF0000">
      <unresolved>
        <commentChain chainId="9058b48cc2edd7f8e5b38319bfafbd2722d72bb8">
          <item id="f67e76e8558a8d440a83911f429bacc6dc1fde83" isNormal="1">
            <s:text>
              <s:r>
                <s:t xml:space="preserve">Administrator:
3001618 7/10 4680pcs华3A29</s:t>
              </s:r>
            </s:text>
          </item>
        </commentChain>
      </unresolved>
      <resolved/>
    </commentChains>
    <commentChains s:ref="AL293" rgbClr="FF0000">
      <unresolved>
        <commentChain chainId="7669d043f982869961d21c9626cb968995cc5c79">
          <item id="f1bdfa61bb08a88bf724d7085fbe8804b41b6a52" isNormal="1">
            <s:text>
              <s:r>
                <s:t xml:space="preserve">Administrator:
6/23 上UPC条码贴纸4680pcs</s:t>
              </s:r>
            </s:text>
          </item>
        </commentChain>
      </unresolved>
      <resolved/>
    </commentChains>
    <commentChains s:ref="AI294" rgbClr="FF0000">
      <unresolved>
        <commentChain chainId="7bb64e055d3379a21d14cbf47e37cbecd23e193a">
          <item id="f80e5d8b23559fc5bfe8ffefd99c4fb3e2f8a162" isNormal="1">
            <s:text>
              <s:r>
                <s:t xml:space="preserve">Administrator:
3001700 7/8 3864pcs 华3A31</s:t>
              </s:r>
            </s:text>
          </item>
        </commentChain>
      </unresolved>
      <resolved/>
    </commentChains>
    <commentChains s:ref="AL294" rgbClr="FF0000">
      <unresolved>
        <commentChain chainId="1ab06c97ca663dc027ee7fd1d5fe7f3bb2bea6ce">
          <item id="9ac71f41b25ef14413359fcbfae05efbc90064d2" isNormal="1">
            <s:text>
              <s:r>
                <s:t xml:space="preserve">Administrator:
6/24 上客供亚马逊外箱贴纸322pcs
</s:t>
              </s:r>
            </s:text>
          </item>
        </commentChain>
      </unresolved>
      <resolved/>
    </commentChains>
    <commentChains s:ref="AI295" rgbClr="FF0000">
      <unresolved>
        <commentChain chainId="500d6840a4abfbc611ec9a7c5a3b250461db84d0">
          <item id="1f7c7cb3602a7edaf78180d91d620b557ed69260" isNormal="1">
            <s:text>
              <s:r>
                <s:t xml:space="preserve">Administrator:
3001700 7/8 4332pcs 华3A31
</s:t>
              </s:r>
            </s:text>
          </item>
        </commentChain>
      </unresolved>
      <resolved/>
    </commentChains>
    <commentChains s:ref="AL295" rgbClr="FF0000">
      <unresolved>
        <commentChain chainId="64988c8063c23cea510c5d9c5acf06e95975e424">
          <item id="f143b4a591a2793ff6a08c37b6514e7f000de865" isNormal="1">
            <s:text>
              <s:r>
                <s:t xml:space="preserve">Administrator:
6/24 上客供亚马逊外箱贴纸361pcs
</s:t>
              </s:r>
            </s:text>
          </item>
        </commentChain>
      </unresolved>
      <resolved/>
    </commentChains>
    <commentChains s:ref="AI296" rgbClr="FF0000">
      <unresolved>
        <commentChain chainId="484b5e97c5688234f729bfe28787703b41c4989a">
          <item id="638524d08ed74034d17c678454ed5f313a7c2f14" isNormal="1">
            <s:text>
              <s:r>
                <s:t xml:space="preserve">Administrator:
3001733 7/5 11312pcs  
B栋4A4</s:t>
              </s:r>
            </s:text>
          </item>
        </commentChain>
      </unresolved>
      <resolved/>
    </commentChains>
    <commentChains s:ref="AL296" rgbClr="FF0000">
      <unresolved>
        <commentChain chainId="c5e480630792b337dbea659e11ed638ac63e280a">
          <item id="511303f6de4cd46cf1dbb723d90bfe313f19b324" isNormal="1">
            <s:text>
              <s:r>
                <s:t xml:space="preserve">Administrator:
6/11 上客供RFID贴纸11312pcs
</s:t>
              </s:r>
            </s:text>
          </item>
        </commentChain>
      </unresolved>
      <resolved/>
    </commentChains>
    <commentChains s:ref="AI297" rgbClr="FF0000">
      <unresolved>
        <commentChain chainId="38986aaa9296f36d58e98d6b67392f10be8c1811">
          <item id="643ac49c3341f484557a48ec9dc8ed1ad04579ed" isNormal="1">
            <s:text>
              <s:r>
                <s:t xml:space="preserve">Administrator:
3001715 7/5 9776pcs 华3A10</s:t>
              </s:r>
            </s:text>
          </item>
        </commentChain>
      </unresolved>
      <resolved/>
    </commentChains>
    <commentChains s:ref="AL297" rgbClr="FF0000">
      <unresolved>
        <commentChain chainId="dd9ae6d9f2748664ff958abe9438fdcb68600144">
          <item id="14d0a66e360079f2cece59395d59f480f8e45841" isNormal="1">
            <s:text>
              <s:r>
                <s:t xml:space="preserve">Administrator:
6/11 上客供RFID贴纸9776pcs
</s:t>
              </s:r>
            </s:text>
          </item>
        </commentChain>
      </unresolved>
      <resolved/>
    </commentChains>
    <commentChains s:ref="AI298" rgbClr="FF0000">
      <unresolved>
        <commentChain chainId="73d2c24b17ea75feb1ca090cb4a680d014a60078">
          <item id="710d69435372646ea31abc78bb69ce0110b1c46a" isNormal="1">
            <s:text>
              <s:r>
                <s:t xml:space="preserve">Administrator:
3001685 7/8 9888pcs B栋4C6</s:t>
              </s:r>
            </s:text>
          </item>
        </commentChain>
      </unresolved>
      <resolved/>
    </commentChains>
    <commentChains s:ref="AL298" rgbClr="FF0000">
      <unresolved>
        <commentChain chainId="5c7de14f242a18b826f015e294f37cfd304688bd">
          <item id="2d67c5f20730b248bbad6d2c1cc503a4aab7785b" isNormal="1">
            <s:text>
              <s:r>
                <s:t xml:space="preserve">Administrator:
6/11 上客供RFID贴纸9888pcs
</s:t>
              </s:r>
            </s:text>
          </item>
        </commentChain>
      </unresolved>
      <resolved/>
    </commentChains>
    <commentChains s:ref="AI299" rgbClr="FF0000">
      <unresolved>
        <commentChain chainId="fa7389f4cf6bd02ea63ef0c8f261b9cb4a55fdf5">
          <item id="81d6a604ec81f317275395d7109f73c59bf855fe" isNormal="1">
            <s:text>
              <s:r>
                <s:t xml:space="preserve">Administrator:
3001641 7/9 11488pcs
</s:t>
              </s:r>
            </s:text>
          </item>
        </commentChain>
      </unresolved>
      <resolved/>
    </commentChains>
    <commentChains s:ref="AL299" rgbClr="FF0000">
      <unresolved>
        <commentChain chainId="00b9c9f347787f8493ef682605b6b0fb7a39fae0">
          <item id="2692937c63d07d956ff9b1c920526ede34195ea9" isNormal="1">
            <s:text>
              <s:r>
                <s:t xml:space="preserve">Administrator:
6/11 上客供RFID贴纸11488pcs
</s:t>
              </s:r>
            </s:text>
          </item>
        </commentChain>
      </unresolved>
      <resolved/>
    </commentChains>
    <commentChains s:ref="AI300" rgbClr="FF0000">
      <unresolved>
        <commentChain chainId="534f8cdd8540d4b2f4032ae9774fe7b2440477d8">
          <item id="5c67dc91ac1834a096483435e1f67ba5eb559b8f" isNormal="1">
            <s:text>
              <s:r>
                <s:t xml:space="preserve">Administrator:
3001641 7/9 6750pcs
3001615 7/9 2625pcs
华3A19
3001618 7/10 10925pcs华3B8</s:t>
              </s:r>
            </s:text>
          </item>
        </commentChain>
      </unresolved>
      <resolved/>
    </commentChains>
    <commentChains s:ref="AL300" rgbClr="FF0000">
      <unresolved>
        <commentChain chainId="a198ac8bbb35ca8ea307bcd87ce52b03a2ad5115">
          <item id="f7d3af53e7d82e856b2efb5c463d45ec50d9168a" isNormal="1">
            <s:text>
              <s:r>
                <s:t xml:space="preserve">Administrator:
6/24 上客供外箱条码贴纸820pcs
</s:t>
              </s:r>
            </s:text>
          </item>
        </commentChain>
      </unresolved>
      <resolved/>
    </commentChains>
    <commentChains s:ref="AI301" rgbClr="FF0000">
      <unresolved>
        <commentChain chainId="b928a578a1bca7825dbe815ef84f3704ae86198c">
          <item id="6cd6f769b6f9bc412aac919dc2e4fde1d3968b0e" isNormal="1">
            <s:text>
              <s:r>
                <s:t xml:space="preserve">Administrator:
3001641 7/9 299pcs
</s:t>
              </s:r>
            </s:text>
          </item>
        </commentChain>
      </unresolved>
      <resolved/>
    </commentChains>
    <commentChains s:ref="AL301" rgbClr="FF0000">
      <unresolved>
        <commentChain chainId="5a5fed12c03c353cba44bac5c31519d1f4558f65">
          <item id="4fdf7bb74642046a86a0ed755c86b15e59ac93cb" isNormal="1">
            <s:text>
              <s:r>
                <s:t xml:space="preserve">Administrator:
6/19 上白色防盗贴299pcs
</s:t>
              </s:r>
            </s:text>
          </item>
        </commentChain>
      </unresolved>
      <resolved/>
    </commentChains>
    <commentChains s:ref="AI302" rgbClr="FF0000">
      <unresolved>
        <commentChain chainId="41ea19f45eca607bcdf4cc812b3c0993ac1e29db">
          <item id="b6a86e52b3f52ecc246efe5f28f0c0ab2df42186" isNormal="1">
            <s:text>
              <s:r>
                <s:t xml:space="preserve">Administrator:
3001618 7/10 2899pcs华3A32</s:t>
              </s:r>
            </s:text>
          </item>
        </commentChain>
      </unresolved>
      <resolved/>
    </commentChains>
    <commentChains s:ref="AL302" rgbClr="FF0000">
      <unresolved>
        <commentChain chainId="57093e65383ebf094f2ff6b46cc573300d212098">
          <item id="c180b533537e91694578041e8bf94552386623da" isNormal="1">
            <s:text>
              <s:r>
                <s:t xml:space="preserve">Administrator:
6/19 上白色防盗贴纸2899pcs
6/26 上UPC条码贴纸3198pcs</s:t>
              </s:r>
            </s:text>
          </item>
        </commentChain>
      </unresolved>
      <resolved/>
    </commentChains>
    <commentChains s:ref="AI303" rgbClr="FF0000">
      <unresolved>
        <commentChain chainId="7c1e3c85ca89d8695ad90150ece04cd4523414df">
          <item id="60e835e1e26c294df39e46a079c216bd9a0fac50" isNormal="1">
            <s:text>
              <s:r>
                <s:t xml:space="preserve">Administrator:
2002515 6/7 600pcs送回半成品球东莞混装莫4A1
2002495 6/14 1250pcs送回半成品东莞混装
2001690 6/24 3550pcs送回半成品</s:t>
              </s:r>
            </s:text>
          </item>
        </commentChain>
      </unresolved>
      <resolved/>
    </commentChains>
    <commentChains s:ref="AI305" rgbClr="FF0000">
      <unresolved>
        <commentChain chainId="789a4df7b99e726d83b6153fcb12828ddead073c">
          <item id="4f6dcb3c693a5da07f959529a1ad80cf8075096b" isNormal="1">
            <s:text>
              <s:r>
                <s:t xml:space="preserve">Administrator:
2001818 7/10 360pcs华3A24</s:t>
              </s:r>
            </s:text>
          </item>
        </commentChain>
      </unresolved>
      <resolved/>
    </commentChains>
    <commentChains s:ref="AL305" rgbClr="FF0000">
      <unresolved>
        <commentChain chainId="7a35e36c7a3ba9c70cb998280d735059b1d745a6">
          <item id="6fb0d630522193de1983573c9c04e69dd5fc9f0f" isNormal="1">
            <s:text>
              <s:r>
                <s:t xml:space="preserve">Administrator:
6/13 上客户进口商贴纸720pcs
EAN条码贴纸720pcs
7/5 上空白贴纸720pcs
</s:t>
              </s:r>
            </s:text>
          </item>
        </commentChain>
      </unresolved>
      <resolved/>
    </commentChains>
    <commentChains s:ref="AI306" rgbClr="FF0000">
      <unresolved>
        <commentChain chainId="dcecdedfb8d0e25223ada1f954d564bb0068062e">
          <item id="039607ee02f88bc8db8279c3d32210a0b2ab1905" isNormal="1">
            <s:text>
              <s:r>
                <s:t xml:space="preserve">Administrator:
3001905 7/4 1008pcs</s:t>
              </s:r>
            </s:text>
          </item>
        </commentChain>
      </unresolved>
      <resolved/>
    </commentChains>
    <commentChains s:ref="AI307" rgbClr="FF0000">
      <unresolved>
        <commentChain chainId="add1be7d88d72d8adb17926c08aa030d0783c8c6">
          <item id="fd35b1575ad2c95e3d66f8fe00c1b2cae045fa2b" isNormal="1">
            <s:text>
              <s:r>
                <s:t xml:space="preserve">Administrator:
3001904 7/4 150pcs
华3B1</s:t>
              </s:r>
            </s:text>
          </item>
        </commentChain>
      </unresolved>
      <resolved/>
    </commentChains>
    <commentChains s:ref="AI308" rgbClr="FF0000">
      <unresolved>
        <commentChain chainId="685f1bdbdd9fc97535f49863b8cf8aab6ae93f6d">
          <item id="227ff192c6a6f1c105fbf0c855fe16bc2904074e" isNormal="1">
            <s:text>
              <s:r>
                <s:t xml:space="preserve">Administrator:
2002495 6/14 800pcs送回半成品东莞混装
2001600 7/2 4005pcs 送回半成品东莞混装
2001610 7/3 595pcs送回半成品东莞混装</s:t>
              </s:r>
            </s:text>
          </item>
        </commentChain>
      </unresolved>
      <resolved/>
    </commentChains>
    <commentChains s:ref="AI310" rgbClr="FF0000">
      <unresolved>
        <commentChain chainId="3a572c221ef228042058e05203d1b8f194b238d1">
          <item id="c90c1fe6fa3ef9b2813b80bac551d79f93f52857" isNormal="1">
            <s:text>
              <s:r>
                <s:t xml:space="preserve">Administrator:
3001904 7/4 500pcs华3B1</s:t>
              </s:r>
            </s:text>
          </item>
        </commentChain>
      </unresolved>
      <resolved/>
    </commentChains>
    <commentChains s:ref="AI311" rgbClr="FF0000">
      <unresolved>
        <commentChain chainId="cfd39b401968425337ad3f34348ab8b2b8ca7fda">
          <item id="77839ff332637e3380e6f163cb60e785a37bc5ee" isNormal="1">
            <s:text>
              <s:r>
                <s:t xml:space="preserve">Administrator:
3001904 7/4 350pcs华3B1</s:t>
              </s:r>
            </s:text>
          </item>
        </commentChain>
      </unresolved>
      <resolved/>
    </commentChains>
    <commentChains s:ref="AI312" rgbClr="FF0000">
      <unresolved>
        <commentChain chainId="2f7267aa831d2243511c2b73e493c9acfbaddf2d">
          <item id="075a6859e78439ba8295e626928825ad87110143" isNormal="1">
            <s:text>
              <s:r>
                <s:t xml:space="preserve">Administrator:
3001676 7/7 500pcs 华
3A23</s:t>
              </s:r>
            </s:text>
          </item>
        </commentChain>
      </unresolved>
      <resolved/>
    </commentChains>
    <commentChains s:ref="AL312" rgbClr="FF0000">
      <unresolved>
        <commentChain chainId="93cec46159f48edc0cea1ccf31d56ac5847d7926">
          <item id="32595df793165fbaef95d8e69b6ef893413b30d9" isNormal="1">
            <s:text>
              <s:r>
                <s:t xml:space="preserve">Administrator:
6/18 上西班牙环保标/邮箱贴纸500pcs
</s:t>
              </s:r>
            </s:text>
          </item>
        </commentChain>
      </unresolved>
      <resolved/>
    </commentChains>
    <commentChains s:ref="AI313" rgbClr="FF0000">
      <unresolved>
        <commentChain chainId="722195ca7367d76a66f604ab22a028c774afd3f1">
          <item id="599e62839fefca96d454dbe25bfdfaf1dc3e6343" isNormal="1">
            <s:text>
              <s:r>
                <s:t xml:space="preserve">Administrator:
2001818 7/10 300pcs华3B14</s:t>
              </s:r>
            </s:text>
          </item>
        </commentChain>
      </unresolved>
      <resolved/>
    </commentChains>
    <commentChains s:ref="AL313" rgbClr="FF0000">
      <unresolved>
        <commentChain chainId="0e004c44d5edce9bec39f3b6b3cc1657014a5bd3">
          <item id="bb07a0e8f8d46e68b0a75b0d8c2f74602edd9e7b" isNormal="1">
            <s:text>
              <s:r>
                <s:t xml:space="preserve">Administrator:
6/18 上EAN贴纸600pcs
7/5 上空白贴纸600pcs
</s:t>
              </s:r>
            </s:text>
          </item>
        </commentChain>
      </unresolved>
      <resolved/>
    </commentChains>
    <commentChains s:ref="AI314" rgbClr="FF0000">
      <unresolved>
        <commentChain chainId="1324a3787311d5ccc11bbd60844b71bf0a48a950">
          <item id="194f60c54850f35d64ff217b0af6ebce68e0e79b" isNormal="1">
            <s:text>
              <s:r>
                <s:t xml:space="preserve">Administrator:
2001818 7/10 120pcs华3A6</s:t>
              </s:r>
            </s:text>
          </item>
        </commentChain>
      </unresolved>
      <resolved/>
    </commentChains>
    <commentChains s:ref="AL314" rgbClr="FF0000">
      <unresolved>
        <commentChain chainId="3f32a7293d447469eb9f1047ca1467d296bdf7e1">
          <item id="83bbc03efab2b39f3cdee1ed886baa92548e1aad" isNormal="1">
            <s:text>
              <s:r>
                <s:t xml:space="preserve">Administrator:
7/5 上空白贴纸240pcs
</s:t>
              </s:r>
            </s:text>
          </item>
        </commentChain>
      </unresolved>
      <resolved/>
    </commentChains>
    <commentChains s:ref="AI315" rgbClr="FF0000">
      <unresolved>
        <commentChain chainId="ad872303a8962ab41e33587e4469f617994f7702">
          <item id="bdb854a9ee599588f1e12db12bfa4fcd645db394" isNormal="1">
            <s:text>
              <s:r>
                <s:t xml:space="preserve">Administrator:
2001818 7/10 42pcs华3A6</s:t>
              </s:r>
            </s:text>
          </item>
        </commentChain>
      </unresolved>
      <resolved/>
    </commentChains>
    <commentChains s:ref="AL315" rgbClr="FF0000">
      <unresolved>
        <commentChain chainId="390277321685faaf0e37e2f2b90b155375576eee">
          <item id="4d66ebdf2e2ccfca74d847dbecb34e26c03e773e" isNormal="1">
            <s:text>
              <s:r>
                <s:t xml:space="preserve">Administrator:
6/13 上EAN条码贴纸84pcs
7/5 上空白贴纸84pcs
</s:t>
              </s:r>
            </s:text>
          </item>
        </commentChain>
      </unresolved>
      <resolved/>
    </commentChains>
    <commentChains s:ref="AI316" rgbClr="FF0000">
      <unresolved>
        <commentChain chainId="586ee090b8614f2076efd54ba038c6bb7d66f721">
          <item id="2c6b492c768ed0cadec1eb0b6776cd57526cc2ec" isNormal="1">
            <s:text>
              <s:r>
                <s:t xml:space="preserve">Administrator:
3001633 7/11 1300pcs</s:t>
              </s:r>
            </s:text>
          </item>
        </commentChain>
      </unresolved>
      <resolved/>
    </commentChains>
    <commentChains s:ref="AL316" rgbClr="FF0000">
      <unresolved>
        <commentChain chainId="3dface8d8f1704d97495b9eeab2af1cc2a4824e0">
          <item id="e7a95f0608d815f1b1968d70fad70f9291db1bf1" isNormal="1">
            <s:text>
              <s:r>
                <s:t xml:space="preserve">Administrator:
6/21 上UPC贴纸1300pcs
上进口商贴纸1300pcs</s:t>
              </s:r>
            </s:text>
          </item>
        </commentChain>
      </unresolved>
      <resolved/>
    </commentChains>
    <commentChains s:ref="AI317" rgbClr="FF0000">
      <unresolved>
        <commentChain chainId="7674afcfce69ac37295a4d12079d47395f224a51">
          <item id="c9db7ad99c3dd323521f1ed5ac20bbac92740543" isNormal="1">
            <s:text>
              <s:r>
                <s:t xml:space="preserve">Administrator:
3001549 7/11 1800pcs</s:t>
              </s:r>
            </s:text>
          </item>
        </commentChain>
      </unresolved>
      <resolved/>
    </commentChains>
    <commentChains s:ref="AI318" rgbClr="FF0000">
      <unresolved>
        <commentChain chainId="a3e77121a7540a4094b55472b7ba34351db9b3ca">
          <item id="b8ff2955e784ba0e214bc05354469233e930e799" isNormal="1">
            <s:text>
              <s:r>
                <s:t xml:space="preserve">Administrator:
3001549 7/11 14725pcs</s:t>
              </s:r>
            </s:text>
          </item>
        </commentChain>
      </unresolved>
      <resolved/>
    </commentChains>
    <commentChains s:ref="AL318" rgbClr="FF0000">
      <unresolved>
        <commentChain chainId="ce0e452fe2d62947f566936dcc9d9ce75cbc06f5">
          <item id="155ad7d451c0cff4eda943533c99207ef126da59" isNormal="1">
            <s:text>
              <s:r>
                <s:t xml:space="preserve">Administrator:
6/24 上客供外箱条码贴纸595pcs
</s:t>
              </s:r>
            </s:text>
          </item>
        </commentChain>
      </unresolved>
      <resolved/>
    </commentChains>
    <commentChains s:ref="AI319" rgbClr="FF0000">
      <unresolved>
        <commentChain chainId="3fa6d14f7003dc211ca5853cc7e61c8fafefd30e">
          <item id="a09bcf2572de065d2d8ae970b2d52cdba98213ab" isNormal="1">
            <s:text>
              <s:r>
                <s:t xml:space="preserve">Administrator:
3001633 7/11 600pcs</s:t>
              </s:r>
            </s:text>
          </item>
        </commentChain>
      </unresolved>
      <resolved/>
    </commentChains>
    <commentChains s:ref="AI320" rgbClr="FF0000">
      <unresolved>
        <commentChain chainId="fdfbcf0da61ecc2c5d1e034df4278941f2877c7f">
          <item id="2e82878c58913c351daecf7a80dbbd24e430e71b" isNormal="1">
            <s:text>
              <s:r>
                <s:t xml:space="preserve">Administrator:
3001549 7/11 6775pCS 华3A26</s:t>
              </s:r>
            </s:text>
          </item>
        </commentChain>
      </unresolved>
      <resolved/>
    </commentChains>
    <commentChains s:ref="AI321" rgbClr="FF0000">
      <unresolved>
        <commentChain chainId="05418dfaeb2faf25cbfd3b406c603158cdf5d045">
          <item id="ece1b87500e07350d4fe18e1205f51f003850b33" isNormal="1">
            <s:text>
              <s:r>
                <s:t xml:space="preserve">Administrator:
3001624 7/10 7888pcs
华3A3
3001633 7/11 48pcs</s:t>
              </s:r>
            </s:text>
          </item>
        </commentChain>
      </unresolved>
      <resolved/>
    </commentChains>
    <commentChains s:ref="AL321" rgbClr="FF0000">
      <unresolved>
        <commentChain chainId="1c757c4d0020d1ce17388ce019e2ccdb5fb5504f">
          <item id="9c5d41844f8ac818b1621c9c6dbfe956907c6b75" isNormal="1">
            <s:text>
              <s:r>
                <s:t xml:space="preserve">Administrator:
6/11 上客供RFID贴纸7936pcs
</s:t>
              </s:r>
            </s:text>
          </item>
        </commentChain>
      </unresolved>
      <resolved/>
    </commentChains>
    <commentChains s:ref="AI322" rgbClr="FF0000">
      <unresolved>
        <commentChain chainId="c624df071f5fcef31ea390085bf2ffbd063c02b6">
          <item id="313ee730ce4f864090eea0841c9275413b5ee094" isNormal="1">
            <s:text>
              <s:r>
                <s:t xml:space="preserve">Administrator:
3001624 7/10 7632pcs华3B2</s:t>
              </s:r>
            </s:text>
          </item>
        </commentChain>
      </unresolved>
      <resolved/>
    </commentChains>
    <commentChains s:ref="AL322" rgbClr="FF0000">
      <unresolved>
        <commentChain chainId="322ac69977b357672af7c1129350577772c03c0c">
          <item id="6610741652ea2d826074c8943361986e53f99b0b" isNormal="1">
            <s:text>
              <s:r>
                <s:t xml:space="preserve">Administrator:
6/11 上客供RFID贴纸7632pcs
</s:t>
              </s:r>
            </s:text>
          </item>
        </commentChain>
      </unresolved>
      <resolved/>
    </commentChains>
    <commentChains s:ref="AI323" rgbClr="FF0000">
      <unresolved>
        <commentChain chainId="5b664023390f308e2eb642c886f3e3db65440b6f">
          <item id="fec4da3ba6381ad4faa05f0a7a0f4d4a2ecdd403" isNormal="1">
            <s:text>
              <s:r>
                <s:t xml:space="preserve">Administrator:
3001624 7/10 5120pcs华3A3</s:t>
              </s:r>
            </s:text>
          </item>
        </commentChain>
      </unresolved>
      <resolved/>
    </commentChains>
    <commentChains s:ref="AL323" rgbClr="FF0000">
      <unresolved>
        <commentChain chainId="93ef3dbb2ae5d37eebc952619efdbd1a56dc690d">
          <item id="b938f13b49999863236a57455b4a73be90eb9c17" isNormal="1">
            <s:text>
              <s:r>
                <s:t xml:space="preserve">Administrator:
6/11 上客供RFID贴纸5120pcs
</s:t>
              </s:r>
            </s:text>
          </item>
        </commentChain>
      </unresolved>
      <resolved/>
    </commentChains>
    <commentChains s:ref="AI324" rgbClr="FF0000">
      <unresolved>
        <commentChain chainId="b376677a04ff845127c4c157e93004a5f194457d">
          <item id="1a66df09c0ac30619bb09713101203bbe7dca618" isNormal="1">
            <s:text>
              <s:r>
                <s:t xml:space="preserve">Administrator:
2001819 7/10 2400pcs莫5楼B3</s:t>
              </s:r>
            </s:text>
          </item>
        </commentChain>
      </unresolved>
      <resolved/>
    </commentChains>
    <commentChains s:ref="AI326" rgbClr="FF0000">
      <unresolved>
        <commentChain chainId="f5f0120a614c8b3c6efbf48fb6aba5c2b62ee45c">
          <item id="8969adf570d665db5a8b242ea53dfce9d2082d12" isNormal="1">
            <s:text>
              <s:r>
                <s:t xml:space="preserve">Administrator:
3001535 7/11 3988pcs
3001509 7/14 96pcs</s:t>
              </s:r>
            </s:text>
          </item>
        </commentChain>
      </unresolved>
      <resolved/>
    </commentChains>
    <commentChains s:ref="AI327" rgbClr="FF0000">
      <unresolved>
        <commentChain chainId="2035532502cfacc034794267d321791e1a77540b">
          <item id="d971da18d8fa367828e1f26d01a59639ed93105b" isNormal="1">
            <s:text>
              <s:r>
                <s:t xml:space="preserve">Administrator:
2001809 7/10 4800pcs莫B5B9</s:t>
              </s:r>
            </s:text>
          </item>
        </commentChain>
      </unresolved>
      <resolved/>
    </commentChains>
    <commentChains s:ref="AI329" rgbClr="FF0000">
      <unresolved>
        <commentChain chainId="d9fcace8d75105db992c33bbce63cda84719bab7">
          <item id="e207496871c940e87e474ece52f7e146af9fb5f9" isNormal="1">
            <s:text>
              <s:r>
                <s:t xml:space="preserve">Administrator:
3001472 7/14 4384pcs
华3A133001514 7/14 4224pcs华3A13</s:t>
              </s:r>
            </s:text>
          </item>
        </commentChain>
      </unresolved>
      <resolved/>
    </commentChains>
    <commentChains s:ref="AL329" rgbClr="FF0000">
      <unresolved>
        <commentChain chainId="fee8bacb07d901a172220aa8844b8bc4f35ac5c7">
          <item id="61c40b537a3b65a59269305c5d8a130ae09d18f8" isNormal="1">
            <s:text>
              <s:r>
                <s:t xml:space="preserve">Administrator:
6/24 上客供RFID贴纸8608pcs
</s:t>
              </s:r>
            </s:text>
          </item>
        </commentChain>
      </unresolved>
      <resolved/>
    </commentChains>
    <commentChains s:ref="AI330" rgbClr="FF0000">
      <unresolved>
        <commentChain chainId="798ade8c2836cd4408aa4b85978e6f0c43993f85">
          <item id="6d849d13fa72eadf6163f305fc8587f5cbcd8e01" isNormal="1">
            <s:text>
              <s:r>
                <s:t xml:space="preserve">Administrator:
3001472 7/14 9664pcs
华3A13</s:t>
              </s:r>
            </s:text>
          </item>
        </commentChain>
      </unresolved>
      <resolved/>
    </commentChains>
    <commentChains s:ref="AL330" rgbClr="FF0000">
      <unresolved>
        <commentChain chainId="adb4dd2f50659c06c034a910b408d36fb6e31e10">
          <item id="726fa83044f0dcad45aa959e60d23d0960629f57" isNormal="1">
            <s:text>
              <s:r>
                <s:t xml:space="preserve">Administrator:
6/24 上客供RFID贴纸9664pcs
</s:t>
              </s:r>
            </s:text>
          </item>
        </commentChain>
      </unresolved>
      <resolved/>
    </commentChains>
    <commentChains s:ref="AI331" rgbClr="FF0000">
      <unresolved>
        <commentChain chainId="409bd694f090b3eb687ef49c6fb3514b601f542e">
          <item id="da340ad289e1f6ab4a279e306a0acede21d81fb1" isNormal="1">
            <s:text>
              <s:r>
                <s:t xml:space="preserve">Administrator:
3001514 7/14 8064pcs华3A16</s:t>
              </s:r>
            </s:text>
          </item>
        </commentChain>
      </unresolved>
      <resolved/>
    </commentChains>
    <commentChains s:ref="AL331" rgbClr="FF0000">
      <unresolved>
        <commentChain chainId="df5811d9882946ff5ab1e237a8e358734c66a097">
          <item id="bce74b0db183c6775dec62434219b3839bd34333" isNormal="1">
            <s:text>
              <s:r>
                <s:t xml:space="preserve">Administrator:
6/24 上客供RFID贴纸8064pcs
</s:t>
              </s:r>
            </s:text>
          </item>
        </commentChain>
      </unresolved>
      <resolved/>
    </commentChains>
    <commentChains s:ref="AI332" rgbClr="FF0000">
      <unresolved>
        <commentChain chainId="1bd822be178826bb8f627f96debe0c503465d342">
          <item id="57b6c4ad6940a193361de5371241ee269aa7bb96" isNormal="1">
            <s:text>
              <s:r>
                <s:t xml:space="preserve">Administrator:
3001472 7/14 7264pcs
华3A12</s:t>
              </s:r>
            </s:text>
          </item>
        </commentChain>
      </unresolved>
      <resolved/>
    </commentChains>
    <commentChains s:ref="AL332" rgbClr="FF0000">
      <unresolved>
        <commentChain chainId="a6ecb3cb30bf595025c9a0bee01ab6401cf96fde">
          <item id="a49a590d423c97d8b85d361ddb5a24150390389d" isNormal="1">
            <s:text>
              <s:r>
                <s:t xml:space="preserve">Administrator:
6/24 上客供RFID贴纸7264pcs
</s:t>
              </s:r>
            </s:text>
          </item>
        </commentChain>
      </unresolved>
      <resolved/>
    </commentChains>
    <commentChains s:ref="AI333" rgbClr="FF0000">
      <unresolved>
        <commentChain chainId="13e84df1110c9350497c5e596451e0e328dcf608">
          <item id="40d1f639fe47dc2e3a21278204aaf9572ee28953" isNormal="1">
            <s:text>
              <s:r>
                <s:t xml:space="preserve">Administrator:
3001472 7/14 7744pcs
华3B7</s:t>
              </s:r>
            </s:text>
          </item>
        </commentChain>
      </unresolved>
      <resolved/>
    </commentChains>
    <commentChains s:ref="AL333" rgbClr="FF0000">
      <unresolved>
        <commentChain chainId="6a649f8b7cc55c432d9b6d65f500377a807b81a5">
          <item id="1f91647a3243921a18c572cdbce94e5163f541e0" isNormal="1">
            <s:text>
              <s:r>
                <s:t xml:space="preserve">Administrator:
6/24 上客供RFID贴纸7744pcs
</s:t>
              </s:r>
            </s:text>
          </item>
        </commentChain>
      </unresolved>
      <resolved/>
    </commentChains>
    <commentChains s:ref="AI336" rgbClr="FF0000">
      <unresolved>
        <commentChain chainId="ffe1c636b1765af0351c2a92de7af12dce15f623">
          <item id="2014b38bacf344ddc7e59037fdff54cc7c8d3806" isNormal="1">
            <s:text>
              <s:r>
                <s:t xml:space="preserve">Administrator:
3002626 7/18 1950pcs华3A32</s:t>
              </s:r>
            </s:text>
          </item>
        </commentChain>
      </unresolved>
      <resolved/>
    </commentChains>
    <commentChains s:ref="AI337" rgbClr="FF0000">
      <unresolved>
        <commentChain chainId="3b59d45270b5488559c4f800a114cf6f78547514">
          <item id="060dce72c57c051e0d612cbe6106529cdcc5b7f1" isNormal="1">
            <s:text>
              <s:r>
                <s:t xml:space="preserve">Administrator:
3002626 7/18 800pcs华3B15</s:t>
              </s:r>
            </s:text>
          </item>
        </commentChain>
      </unresolved>
      <resolved/>
    </commentChains>
    <commentChains s:ref="AL337" rgbClr="FF0000">
      <unresolved>
        <commentChain chainId="c5ed45fc5dc0256da4f342648e2d1512c7f72603">
          <item id="a90a657466efbd5cd5424c54dbad7e94c85a0766" isNormal="1">
            <s:text>
              <s:r>
                <s:t xml:space="preserve">Administrator:
6/23 上进口商贴纸800pcs
</s:t>
              </s:r>
            </s:text>
          </item>
        </commentChain>
      </unresolved>
      <resolved/>
    </commentChains>
    <commentChains s:ref="AI338" rgbClr="FF0000">
      <unresolved>
        <commentChain chainId="47a91508bce9a5c368445344359bc6afff230781">
          <item id="a706648daadf358710e81db1e4f3de48517fb20d" isNormal="1">
            <s:text>
              <s:r>
                <s:t xml:space="preserve">Administrator:
3001915 7/3 50pcs
华3B15
2002031 7/3 10950pcs华3B15</s:t>
              </s:r>
            </s:text>
          </item>
        </commentChain>
      </unresolved>
      <resolved/>
    </commentChains>
    <commentChains s:ref="AI339" rgbClr="FF0000">
      <unresolved>
        <commentChain chainId="d3651650c4c3763bb518d30a3b4d24764fa17707">
          <item id="6455b9b07a0a9384e52e1c743c704d8984e28f10" isNormal="1">
            <s:text>
              <s:r>
                <s:t xml:space="preserve">Administrator:
3002608 7/18 2808pcs莫4B8</s:t>
              </s:r>
            </s:text>
          </item>
        </commentChain>
      </unresolved>
      <resolved/>
    </commentChains>
    <commentChains s:ref="AL339" rgbClr="FF0000">
      <unresolved>
        <commentChain chainId="7d37e7d3846f8f92a67d054f50e51c2f8c2e234b">
          <item id="33634c325854a5e4ccbd89a7b8130689b45a3f42" isNormal="1">
            <s:text>
              <s:r>
                <s:t xml:space="preserve">Administrator:
6/26 上UPC条码贴纸2808pcs</s:t>
              </s:r>
            </s:text>
          </item>
        </commentChain>
      </unresolved>
      <resolved/>
    </commentChains>
    <commentChains s:ref="AI340" rgbClr="FF0000">
      <unresolved>
        <commentChain chainId="d95b2114400aed47755513e24efd4e2a733e0c70">
          <item id="7bad42a2e99fefa029b808598b4e8b173160529a" isNormal="1">
            <s:text>
              <s:r>
                <s:t xml:space="preserve">Administrator:
0001752 7/18 1512pcs
0001732 7/19 7188pcs</s:t>
              </s:r>
            </s:text>
          </item>
        </commentChain>
      </unresolved>
      <resolved/>
    </commentChains>
    <commentChains s:ref="AI341" rgbClr="FF0000">
      <unresolved>
        <commentChain chainId="bc8bcf8a3c75f0af2b62de0d2df5aacca112c915">
          <item id="f9f813fce767a12e51e609bbab9cf4cca40793e1" isNormal="1">
            <s:text>
              <s:r>
                <s:t xml:space="preserve">Administrator:
3002616 7/19 3550pcs华3</s:t>
              </s:r>
            </s:text>
          </item>
        </commentChain>
      </unresolved>
      <resolved/>
    </commentChains>
    <commentChains s:ref="AL341" rgbClr="FF0000">
      <unresolved>
        <commentChain chainId="3efccbc3e477d9ca4ada96275cf5d1c36031bbce">
          <item id="ec2345d2599504b91bbb17d58fb52ad909687a59" isNormal="1">
            <s:text>
              <s:r>
                <s:t xml:space="preserve">Administrator:
7/1 上UPC条码贴纸3550pcs
红色LOGO贴纸3550pcs
进口商贴纸3550pcs</s:t>
              </s:r>
            </s:text>
          </item>
        </commentChain>
      </unresolved>
      <resolved/>
    </commentChains>
    <commentChains s:ref="AI342" rgbClr="FF0000">
      <unresolved>
        <commentChain chainId="3c16ac67ce0e06b11d6f8cc588569b77808d48ab">
          <item id="9b61a5d5e0938277fe62f797c52373ff1a73d735" isNormal="1">
            <s:text>
              <s:r>
                <s:t xml:space="preserve">Administrator:
3002644 7/18 1200pcs莫4A1</s:t>
              </s:r>
            </s:text>
          </item>
        </commentChain>
      </unresolved>
      <resolved/>
    </commentChains>
    <commentChains s:ref="AL342" rgbClr="FF0000">
      <unresolved>
        <commentChain chainId="df0526dd0efc9b99047acafda012ae9b25bad73c">
          <item id="23ac5a9f66636747ba0bcef3c931c937b19a5c9c" isNormal="1">
            <s:text>
              <s:r>
                <s:t xml:space="preserve">Administrator:
6/28 上进口商贴纸1200pcs</s:t>
              </s:r>
            </s:text>
          </item>
        </commentChain>
      </unresolved>
      <resolved/>
    </commentChains>
    <commentChains s:ref="AI343" rgbClr="FF0000">
      <unresolved>
        <commentChain chainId="4a252bc72b8ea5b28e92406bd1d0d48b42f1a0cf">
          <item id="862c37a765b35e5aced7bc233d61b633d94ba233" isNormal="1">
            <s:text>
              <s:r>
                <s:t xml:space="preserve">Administrator:
3001418 7/16 6848pcs 新仓库3楼C3</s:t>
              </s:r>
            </s:text>
          </item>
        </commentChain>
      </unresolved>
      <resolved/>
    </commentChains>
    <commentChains s:ref="AI344" rgbClr="FF0000">
      <unresolved>
        <commentChain chainId="f7bce8372569d09defc4fb301e84cc33342d371e">
          <item id="d03245c69f125a3114b0ebbbc30f3a2a3fa0bdd5" isNormal="1">
            <s:text>
              <s:r>
                <s:t xml:space="preserve">Administrator:
3001418 7/16 6064pcs 新仓库3楼C3         3001398 7/17 16pcs   新仓库</s:t>
              </s:r>
            </s:text>
          </item>
        </commentChain>
      </unresolved>
      <resolved/>
    </commentChains>
    <commentChains s:ref="AI345" rgbClr="FF0000">
      <unresolved>
        <commentChain chainId="7a9825f50fcbe888195329a1f233b696df9f4a1f">
          <item id="ac96b0c3d2a64c716c288d756de7cfd0297503ce" isNormal="1">
            <s:text>
              <s:r>
                <s:t xml:space="preserve">Administrator:
3002616 7/19 648pcs
华3A23</s:t>
              </s:r>
            </s:text>
          </item>
        </commentChain>
      </unresolved>
      <resolved/>
    </commentChains>
    <commentChains s:ref="AL345" rgbClr="FF0000">
      <unresolved>
        <commentChain chainId="937862a9925f6bc11164a70e7cfc1383a7ad744c">
          <item id="86d199721a96e609b397bbbb393dca05eac08d33" isNormal="1">
            <s:text>
              <s:r>
                <s:t xml:space="preserve">Administrator:
6/30 上进口商贴纸696pcs
条码贴纸696pcs
两个同PO共用
7/10 上客供亚马逊外箱贴纸54pcs</s:t>
              </s:r>
            </s:text>
          </item>
        </commentChain>
      </unresolved>
      <resolved/>
    </commentChains>
    <commentChains s:ref="AI346" rgbClr="FF0000">
      <unresolved>
        <commentChain chainId="15622ec29cd26f10ac9bb51dd47b52d2a28a16bf">
          <item id="7c5406fa7ec0ce46de25d87310b0faad142285b3" isNormal="1">
            <s:text>
              <s:r>
                <s:t xml:space="preserve">Administrator:
3002616 7/19 48pcs
华3B15</s:t>
              </s:r>
            </s:text>
          </item>
        </commentChain>
      </unresolved>
      <resolved/>
    </commentChains>
    <commentChains s:ref="AL346" rgbClr="FF0000">
      <unresolved>
        <commentChain chainId="3f78b584747f62883c7efb8bf42987dfd475f32d">
          <item id="b770749889919072f704d00afd22d01fae6d4656" isNormal="1">
            <s:text>
              <s:r>
                <s:t xml:space="preserve">Administrator:
7/10 上客供亚马逊外箱贴纸4pcs
</s:t>
              </s:r>
            </s:text>
          </item>
        </commentChain>
      </unresolved>
      <resolved/>
    </commentChains>
    <commentChains s:ref="AI347" rgbClr="FF0000">
      <unresolved>
        <commentChain chainId="0e47c97767708c36549735694a3568dc23ed5454">
          <item id="58f9b6a7ccea3b4467216e41dc39d453564611e6" isNormal="1">
            <s:text>
              <s:r>
                <s:t xml:space="preserve">Administrator:
3001406 7/17 806pcs 华3B12</s:t>
              </s:r>
            </s:text>
          </item>
        </commentChain>
      </unresolved>
      <resolved/>
    </commentChains>
    <commentChains s:ref="AI348" rgbClr="FF0000">
      <unresolved>
        <commentChain chainId="4dcded9265abf8e9681c74bc38c01cd516aeefc0">
          <item id="6d03eec7ea3bb095b9ff9c13ceac651df8bd0d28" isNormal="1">
            <s:text>
              <s:r>
                <s:t xml:space="preserve">Administrator:
3002639 7/18 2450pcs华3B12
3002616 7/19 50pcs</s:t>
              </s:r>
            </s:text>
          </item>
        </commentChain>
      </unresolved>
      <resolved/>
    </commentChains>
    <commentChains s:ref="AI349" rgbClr="FF0000">
      <unresolved>
        <commentChain chainId="13db58d75e95c0960230bdcffec93c093615ca64">
          <item id="673f94fae9d15a6528332bfa7ec06b0f760c6b3f" isNormal="1">
            <s:text>
              <s:r>
                <s:t xml:space="preserve">Administrator:
3001406 7/17 250pcs 华3B12</s:t>
              </s:r>
            </s:text>
          </item>
        </commentChain>
      </unresolved>
      <resolved/>
    </commentChains>
    <commentChains s:ref="AI350" rgbClr="FF0000">
      <unresolved>
        <commentChain chainId="799f6a22622e79f4fca9f414d863ba4b0298455a">
          <item id="265ca37369f4a8a7d832c53cb19617112aaae317" isNormal="1">
            <s:text>
              <s:r>
                <s:t xml:space="preserve">Administrator:
3001406 7/17 750pcs  华3B12</s:t>
              </s:r>
            </s:text>
          </item>
        </commentChain>
      </unresolved>
      <resolved/>
    </commentChains>
    <commentChains s:ref="AI351" rgbClr="FF0000">
      <unresolved>
        <commentChain chainId="adfb5e982e2a12406619d0417ac10bf6e03113bc">
          <item id="e757ff18ddbf171b0c9b99d30442dad2742e3b9a" isNormal="1">
            <s:text>
              <s:r>
                <s:t xml:space="preserve">Administrator:
3002497 7/23 2400pcs华3A28</s:t>
              </s:r>
            </s:text>
          </item>
        </commentChain>
      </unresolved>
      <resolved/>
    </commentChains>
    <commentChains s:ref="AL351" rgbClr="FF0000">
      <unresolved>
        <commentChain chainId="a30501fbc4edc6f8803d92daf2c1ceaf48fe90cd">
          <item id="f33434eb03f3c72deb1efd10769f512df7899d05" isNormal="1">
            <s:text>
              <s:r>
                <s:t xml:space="preserve">Administrator:
7/5 上进口商贴纸2400pcs
UPC条码贴纸2400pcs</s:t>
              </s:r>
            </s:text>
          </item>
        </commentChain>
      </unresolved>
      <resolved/>
    </commentChains>
    <commentChains s:ref="AI352" rgbClr="FF0000">
      <unresolved>
        <commentChain chainId="9f65e41a59e69dfe75547115a2061acbdf573d80">
          <item id="786c5cff6cd395c11dcd73fb7979d8a2b41c7a0c" isNormal="1">
            <s:text>
              <s:r>
                <s:t xml:space="preserve">Administrator:
3001418 7/16 11168pcs 新仓库3楼C2</s:t>
              </s:r>
            </s:text>
          </item>
        </commentChain>
      </unresolved>
      <resolved/>
    </commentChains>
    <commentChains s:ref="AL352" rgbClr="FF0000">
      <unresolved>
        <commentChain chainId="3773bdba3bcb5d642bbdd3d937c6b97837a601f3">
          <item id="70ba1ac8702248c96016bf82619cd1856bebe8ef" isNormal="1">
            <s:text>
              <s:r>
                <s:t xml:space="preserve">Administrator:
6/24 上客供RFID贴纸11168pcs
</s:t>
              </s:r>
            </s:text>
          </item>
        </commentChain>
      </unresolved>
      <resolved/>
    </commentChains>
    <commentChains s:ref="AI353" rgbClr="FF0000">
      <unresolved>
        <commentChain chainId="4f1df49364b8a4574218d31711f315121bb762a2">
          <item id="a31c478cd2443469999ed7482b49bec924850783" isNormal="1">
            <s:text>
              <s:r>
                <s:t xml:space="preserve">Administrator:
3001418 7/16 12928pcs 新仓库3楼C2
</s:t>
              </s:r>
            </s:text>
          </item>
        </commentChain>
      </unresolved>
      <resolved/>
    </commentChains>
    <commentChains s:ref="AI354" rgbClr="FF0000">
      <unresolved>
        <commentChain chainId="6f93efcc9da0fd700f6edd284d3f0d89b6586e98">
          <item id="b90ebb3d39cb334809fdd675a2081c30e4e47f84" isNormal="1">
            <s:text>
              <s:r>
                <s:t xml:space="preserve">Administrator:
3002644 7/18 1150pcs莫4A1</s:t>
              </s:r>
            </s:text>
          </item>
        </commentChain>
      </unresolved>
      <resolved/>
    </commentChains>
    <commentChains s:ref="AL354" rgbClr="FF0000">
      <unresolved>
        <commentChain chainId="4451d077f1a34960599bf97a62d625cb28fe0453">
          <item id="39d54e433920176577d591f595abc3aadae06039" isNormal="1">
            <s:text>
              <s:r>
                <s:t xml:space="preserve">Administrator:
6/24 上客供RFID贴纸12928pcs
</s:t>
              </s:r>
            </s:text>
          </item>
        </commentChain>
      </unresolved>
      <resolved/>
    </commentChains>
    <commentChains s:ref="AI355" rgbClr="FF0000">
      <unresolved>
        <commentChain chainId="ebfa8b828352641474a0e65b9522c42cb833ebd8">
          <item id="ca8916c81dda960c0c55dbaad5bdaa418060cdd7" isNormal="1">
            <s:text>
              <s:r>
                <s:t xml:space="preserve">Administrator:
3002644 7/18 400pcs莫4A1</s:t>
              </s:r>
            </s:text>
          </item>
        </commentChain>
      </unresolved>
      <resolved/>
    </commentChains>
    <commentChains s:ref="AM355" rgbClr="FF0000">
      <unresolved>
        <commentChain chainId="e1d43e11cfaba92ed56833acec3c5d12855e2111">
          <item id="4667649cf578d6d219d4fd195e57c44d5ca2e9b8" isNormal="1">
            <s:text>
              <s:r>
                <s:t xml:space="preserve">Administrator:
7/3 上UPC贴纸400pcs
</s:t>
              </s:r>
            </s:text>
          </item>
        </commentChain>
      </unresolved>
      <resolved/>
    </commentChains>
    <commentChains s:ref="AI356" rgbClr="FF0000">
      <unresolved>
        <commentChain chainId="c5ed35c42472d922b9a117064f21eb59a3d6958d">
          <item id="e62f22448f24f76af3d55836d40d8b721ed02585" isNormal="1">
            <s:text>
              <s:r>
                <s:t xml:space="preserve">Administrator:
3002626 7/18 1650pcs华3A23</s:t>
              </s:r>
            </s:text>
          </item>
        </commentChain>
      </unresolved>
      <resolved/>
    </commentChains>
    <commentChains s:ref="AI357" rgbClr="FF0000">
      <unresolved>
        <commentChain chainId="87e5628d437d93876eae856b8e966b86adfce0fe">
          <item id="f7f70cca80f5f5d7d1e551144389941fdcef6186" isNormal="1">
            <s:text>
              <s:r>
                <s:t xml:space="preserve">Administrator:
3002626 7/18 725pcs华3A32</s:t>
              </s:r>
            </s:text>
          </item>
        </commentChain>
      </unresolved>
      <resolved/>
    </commentChains>
    <commentChains s:ref="AL357" rgbClr="FF0000">
      <unresolved>
        <commentChain chainId="55e801ddde6bad0ece9ae063879d32e3cdcae9cf">
          <item id="e213cbcc5ee7c9ff6658474e424d04dc3579060e" isNormal="1">
            <s:text>
              <s:r>
                <s:t xml:space="preserve">Administrator:
警告语/进口商贴纸725pcs
</s:t>
              </s:r>
            </s:text>
          </item>
        </commentChain>
      </unresolved>
      <resolved/>
    </commentChains>
    <commentChains s:ref="AI358" rgbClr="FF0000">
      <unresolved>
        <commentChain chainId="14c4d4c864e1b4b5b3213ff982e884c6b916d9bb">
          <item id="5a130ca0e18984d0c98b4662a863626a3964a631" isNormal="1">
            <s:text>
              <s:r>
                <s:t xml:space="preserve">Administrator:
3002644 7/18 520pcs莫4A1</s:t>
              </s:r>
            </s:text>
          </item>
        </commentChain>
      </unresolved>
      <resolved/>
    </commentChains>
    <commentChains s:ref="AL358" rgbClr="FF0000">
      <unresolved>
        <commentChain chainId="6be920bbde330333401ab76a0f5a600066fdbc58">
          <item id="1a46fcd80b2b43675222399e31370a54b8c3a956" isNormal="1">
            <s:text>
              <s:r>
                <s:t xml:space="preserve">Administrator:
6/18 上德语包装警告语贴纸520pcs
客人款号贴纸520pcs
Kinderherz 2025 logo 520pcs
</s:t>
              </s:r>
            </s:text>
          </item>
        </commentChain>
      </unresolved>
      <resolved/>
    </commentChains>
    <commentChains s:ref="AI359" rgbClr="FF0000">
      <unresolved>
        <commentChain chainId="7e1834b71199354c66e461aa0cb2650547ecdd25">
          <item id="bfee1e559afeeab4eed3485aad2c062403a5160e" isNormal="1">
            <s:text>
              <s:r>
                <s:t xml:space="preserve">Administrator:
3002434 7/24 4100pcs
</s:t>
              </s:r>
            </s:text>
          </item>
        </commentChain>
      </unresolved>
      <resolved/>
    </commentChains>
    <commentChains s:ref="AL359" rgbClr="FF0000">
      <unresolved>
        <commentChain chainId="c563c3cba63d0e4ad61681d890eb9a608278b42f">
          <item id="9af9ff7e7c3379fc6c853152f23b78437b877328" isNormal="1">
            <s:text>
              <s:r>
                <s:t xml:space="preserve">Administrator:
7/7 上进口商贴纸1896pcs
产品贴纸1896pcs
环保标贴纸4100pcs</s:t>
              </s:r>
            </s:text>
          </item>
        </commentChain>
      </unresolved>
      <resolved/>
    </commentChains>
    <commentChains s:ref="AI360" rgbClr="FF0000">
      <unresolved>
        <commentChain chainId="143349be8e742c5cc657febc029d6f6bf9dbeb27">
          <item id="2c12600826b116a9183833da3289d7e01cb87361" isNormal="1">
            <s:text>
              <s:r>
                <s:t xml:space="preserve">Administrator:
3002537 7/22 972pcs华3B11</s:t>
              </s:r>
            </s:text>
          </item>
        </commentChain>
      </unresolved>
      <resolved/>
    </commentChains>
    <commentChains s:ref="AL360" rgbClr="FF0000">
      <unresolved>
        <commentChain chainId="1c36285c35a63b5d6f4755bf8ee60c895fcf8053">
          <item id="df83de75c4d16920c777b3ee393e98b7926e52dd" isNormal="1">
            <s:text>
              <s:r>
                <s:t xml:space="preserve">Administrator:
7/3 上环保标贴纸972pcs
7/3 上空白贴纸1944pcs</s:t>
              </s:r>
            </s:text>
          </item>
        </commentChain>
      </unresolved>
      <resolved/>
    </commentChains>
    <commentChains s:ref="AI361" rgbClr="FF0000">
      <unresolved>
        <commentChain chainId="e2812777e8f08309e9ffb5149568925ecf53574c">
          <item id="f96a2f98973107c7ef20ed36f2dd99e5619e4acc" isNormal="1">
            <s:text>
              <s:r>
                <s:t xml:space="preserve">Administrator:
3002537 7/22 972pcs
华3B12</s:t>
              </s:r>
            </s:text>
          </item>
        </commentChain>
      </unresolved>
      <resolved/>
    </commentChains>
    <commentChains s:ref="AL361" rgbClr="FF0000">
      <unresolved>
        <commentChain chainId="d91ade48c24d17c5bbce04f6110ab14c86b61c11">
          <item id="12685f342564f46b73f2bdb0ed9f06e8e5001a1f" isNormal="1">
            <s:text>
              <s:r>
                <s:t xml:space="preserve">Administrator:
7/3 上环保标贴纸516pcs
7/3 上空白贴纸1032pcs
</s:t>
              </s:r>
            </s:text>
          </item>
        </commentChain>
      </unresolved>
      <resolved/>
    </commentChains>
    <commentChains s:ref="AI362" rgbClr="FF0000">
      <unresolved>
        <commentChain chainId="1c883a3dea18625b426a2bb63ea916c99b6cc66d">
          <item id="5b74bc5b43e5e6a50aec617abb0873c666c20a57" isNormal="1">
            <s:text>
              <s:r>
                <s:t xml:space="preserve">Administrator:
3002536 7/22 520pcs
华3B8</s:t>
              </s:r>
            </s:text>
          </item>
        </commentChain>
      </unresolved>
      <resolved/>
    </commentChains>
    <commentChains s:ref="AI363" rgbClr="FF0000">
      <unresolved>
        <commentChain chainId="9ff64bef320ad87e933e800bd12108b152885546">
          <item id="9e7f87087124739fad91263994a801bd40591a23" isNormal="1">
            <s:text>
              <s:r>
                <s:t xml:space="preserve">Administrator:
3002608 7/19 756pcs
莫4B3</s:t>
              </s:r>
            </s:text>
          </item>
        </commentChain>
      </unresolved>
      <resolved/>
    </commentChains>
    <commentChains s:ref="AM363" rgbClr="FF0000">
      <unresolved>
        <commentChain chainId="c6d40ecc7d2f5ddb9ee0af60af41743c34a5668b">
          <item id="6c484526af054868b483a7967aca998d1f6309af" isNormal="1">
            <s:text>
              <s:r>
                <s:t xml:space="preserve">Administrator:
6/23 上UPC贴纸3000pcs
三个同PO共用</s:t>
              </s:r>
            </s:text>
          </item>
        </commentChain>
      </unresolved>
      <resolved/>
    </commentChains>
    <commentChains s:ref="AI364" rgbClr="FF0000">
      <unresolved>
        <commentChain chainId="bd9f67f45ae36bcc606b574b98c07e1859d6a467">
          <item id="4fc4f9a1ba5e4f7e812f738119f53479f5c0b0d1" isNormal="1">
            <s:text>
              <s:r>
                <s:t xml:space="preserve">Administrator:
3002608 7/19 1488pcs莫4B3</s:t>
              </s:r>
            </s:text>
          </item>
        </commentChain>
      </unresolved>
      <resolved/>
    </commentChains>
    <commentChains s:ref="AI365" rgbClr="FF0000">
      <unresolved>
        <commentChain chainId="3c614bee80d30a8994c20e5927a495274c1d8996">
          <item id="36330f9635809469a7c55527ba16737fe7480f95" isNormal="1">
            <s:text>
              <s:r>
                <s:t xml:space="preserve">Administrator:
3002608 7/19 756pcs莫4B3</s:t>
              </s:r>
            </s:text>
          </item>
        </commentChain>
      </unresolved>
      <resolved/>
    </commentChains>
    <commentChains s:ref="AI366" rgbClr="FF0000">
      <unresolved>
        <commentChain chainId="9ae27e169cb4cef66bdd07f263468c0955752e9e">
          <item id="417b67204181d8264e03fd8393cc7ee8810a1e47" isNormal="1">
            <s:text>
              <s:r>
                <s:t xml:space="preserve">Administrator:
3002434 7/24 4950pcs
3002457 7/26 50pcs华3B15</s:t>
              </s:r>
            </s:text>
          </item>
        </commentChain>
      </unresolved>
      <resolved/>
    </commentChains>
    <commentChains s:ref="AL366" rgbClr="FF0000">
      <unresolved>
        <commentChain chainId="06fb526323782be12896cc5d60ca47530a5cac5f">
          <item id="38b28995d5f4a5a17af831cd09657bf3b0829d02" isNormal="1">
            <s:text>
              <s:r>
                <s:t xml:space="preserve">Administrator:
3/31 上冰棒款-说明书荷兰语贴纸5000pcs
蛋糕款-说明书荷兰语贴纸5000pcs
布丁款-说明书荷兰语贴纸5000pcs
</s:t>
              </s:r>
            </s:text>
          </item>
        </commentChain>
      </unresolved>
      <resolved/>
    </commentChains>
    <commentChains s:ref="AI367" rgbClr="FF0000">
      <unresolved>
        <commentChain chainId="588e72c20e7793f5f18bfe57ef7e8b2638f7d4f7">
          <item id="906d9927e0a4a06943d16a258467a3e16a640053" isNormal="1">
            <s:text>
              <s:r>
                <s:t xml:space="preserve">Administrator:
3002497 7/23 1800pcs
华3A6</s:t>
              </s:r>
            </s:text>
          </item>
        </commentChain>
      </unresolved>
      <resolved/>
    </commentChains>
    <commentChains s:ref="AL367" rgbClr="FF0000">
      <unresolved>
        <commentChain chainId="d64f3892f821c9a2e229a5ad18ec393c71e6cecd">
          <item id="0edd1126b7726b63fbd2617895bfb362e9006992" isNormal="1">
            <s:text>
              <s:r>
                <s:t xml:space="preserve">Administrator:
6/30 上进口商贴纸1800pcs
UPC条码贴纸1800pcs
</s:t>
              </s:r>
            </s:text>
          </item>
        </commentChain>
      </unresolved>
      <resolved/>
    </commentChains>
    <commentChains s:ref="AI368" rgbClr="FF0000">
      <unresolved>
        <commentChain chainId="c056414943b50607e6c58639b635b6996efe7e91">
          <item id="7407433e3487a6f1255d99471fabd99fd1b3ba3e" isNormal="1">
            <s:text>
              <s:r>
                <s:t xml:space="preserve">Administrator:
3002608 7/19 350pcs莫4B1</s:t>
              </s:r>
            </s:text>
          </item>
        </commentChain>
      </unresolved>
      <resolved/>
    </commentChains>
    <commentChains s:ref="AI369" rgbClr="FF0000">
      <unresolved>
        <commentChain chainId="7a189c0651cf96a2456dda3f90f693cd327d06de">
          <item id="498dfcf36bc9a2c9005fda08e37f2f96e0f6eded" isNormal="1">
            <s:text>
              <s:r>
                <s:t xml:space="preserve">Administrator:
2001727 7/23 240pcs直走</s:t>
              </s:r>
            </s:text>
          </item>
        </commentChain>
      </unresolved>
      <resolved/>
    </commentChains>
    <commentChains s:ref="AL369" rgbClr="FF0000">
      <unresolved>
        <commentChain chainId="be4db072c36e0f819f3134a4732234ee089c2377">
          <item id="e2d56bbef55eabec38f46828e28e9b677c166f5e" isNormal="1">
            <s:text>
              <s:r>
                <s:t xml:space="preserve">Administrator:
6/23 上进口商贴纸480pcs
EAN条码贴纸480pcs
7/5 上空白贴纸480pcs
</s:t>
              </s:r>
            </s:text>
          </item>
        </commentChain>
      </unresolved>
      <resolved/>
    </commentChains>
    <commentChains s:ref="AI370" rgbClr="FF0000">
      <unresolved>
        <commentChain chainId="f11e89844cc946ad401ccf3a96e68e5b647329d0">
          <item id="b6bef2fa7a3189100cd026a8231abc995f98fed1" isNormal="1">
            <s:text>
              <s:r>
                <s:t xml:space="preserve">Administrator:
3002536 7/22 6416pcs华3B6</s:t>
              </s:r>
            </s:text>
          </item>
        </commentChain>
      </unresolved>
      <resolved/>
    </commentChains>
    <commentChains s:ref="AL370" rgbClr="FF0000">
      <unresolved>
        <commentChain chainId="d0c310c3aed64f7db39dfb7a0818fa402bca9739">
          <item id="93102b7cf006efb81f2d8666994a66068354d2e7" isNormal="1">
            <s:text>
              <s:r>
                <s:t xml:space="preserve">Administrator:
6/24 上客供RFID贴纸6416pcs
</s:t>
              </s:r>
            </s:text>
          </item>
        </commentChain>
      </unresolved>
      <resolved/>
    </commentChains>
    <commentChains s:ref="AI371" rgbClr="FF0000">
      <unresolved>
        <commentChain chainId="b3434cc72e5525fc907059aa07fa899eb65d76e9">
          <item id="fbd1bffb7e27e65782d7a815c6c3b65e856bfcbc" isNormal="1">
            <s:text>
              <s:r>
                <s:t xml:space="preserve">Administrator:
3002536 7/22 6160pcs
华3A13</s:t>
              </s:r>
            </s:text>
          </item>
        </commentChain>
      </unresolved>
      <resolved/>
    </commentChains>
    <commentChains s:ref="AL371" rgbClr="FF0000">
      <unresolved>
        <commentChain chainId="a00e54e01f5326a720069c6367ed7629817fdce2">
          <item id="6e7def26640719709e729f921f2eca491eb6a2f4" isNormal="1">
            <s:text>
              <s:r>
                <s:t xml:space="preserve">Administrator:
6/24 上客供RFID贴纸6160pcs
</s:t>
              </s:r>
            </s:text>
          </item>
        </commentChain>
      </unresolved>
      <resolved/>
    </commentChains>
    <commentChains s:ref="AI372" rgbClr="FF0000">
      <unresolved>
        <commentChain chainId="cf40ef9f4d1a6d45bc372fdf78e91e702c0b9141">
          <item id="efbbfab583d42b5235aaa0335bf2e342ce449f6d" isNormal="1">
            <s:text>
              <s:r>
                <s:t xml:space="preserve">Administrator:
3002536 7/22 7888pcs
华3B2</s:t>
              </s:r>
            </s:text>
          </item>
        </commentChain>
      </unresolved>
      <resolved/>
    </commentChains>
    <commentChains s:ref="AL372" rgbClr="FF0000">
      <unresolved>
        <commentChain chainId="1d78b58073251a9e2f8332627901c589c290e99e">
          <item id="18c471b3197715e1b686f2c756a4f7cf9bfa1245" isNormal="1">
            <s:text>
              <s:r>
                <s:t xml:space="preserve">Administrator:
6/24 上客供RFID贴纸7888pcs
</s:t>
              </s:r>
            </s:text>
          </item>
        </commentChain>
      </unresolved>
      <resolved/>
    </commentChains>
    <commentChains s:ref="AI373" rgbClr="FF0000">
      <unresolved>
        <commentChain chainId="6f6485dad4560336eff4f177b06fb4523106f3b8">
          <item id="536b4643b7520b0010eaf192ea8dfc9555d1d0d8" isNormal="1">
            <s:text>
              <s:r>
                <s:t xml:space="preserve">Administrator:
3002536 7/22 9120pcs
华3A14</s:t>
              </s:r>
            </s:text>
          </item>
        </commentChain>
      </unresolved>
      <resolved/>
    </commentChains>
    <commentChains s:ref="AL373" rgbClr="FF0000">
      <unresolved>
        <commentChain chainId="e64f7ae470400a1de270fcf4a603c2dfc26646aa">
          <item id="250c4f5de79b8f9d7d3e63cddbb5e3b9b96b9f4d" isNormal="1">
            <s:text>
              <s:r>
                <s:t xml:space="preserve">Administrator:
6/24 上客供RFID贴纸9120pcs
</s:t>
              </s:r>
            </s:text>
          </item>
        </commentChain>
      </unresolved>
      <resolved/>
    </commentChains>
    <commentChains s:ref="AI374" rgbClr="FF0000">
      <unresolved>
        <commentChain chainId="e337f2ea9884b2d8f90cb9e9a839fbab96a05ea4">
          <item id="b1606559d073f78dea210d29767fa02e3eeb9865" isNormal="1">
            <s:text>
              <s:r>
                <s:t xml:space="preserve">Administrator:
3002556 7/21 1360pcs华3B6</s:t>
              </s:r>
            </s:text>
          </item>
        </commentChain>
      </unresolved>
      <resolved/>
    </commentChains>
    <commentChains s:ref="AL374" rgbClr="FF0000">
      <unresolved>
        <commentChain chainId="8bf3e06194f019db82b64df9526993d8092e6e75">
          <item id="f68406d66abf3e72d3343b7428f433943edb9b69" isNormal="1">
            <s:text>
              <s:r>
                <s:t xml:space="preserve">Administrator:
6/24 上客供RFID贴纸1360pcs
</s:t>
              </s:r>
            </s:text>
          </item>
        </commentChain>
      </unresolved>
      <resolved/>
    </commentChains>
    <commentChains s:ref="AI375" rgbClr="FF0000">
      <unresolved>
        <commentChain chainId="7233c355612b9d713d8916ba709b3eb5807223d3">
          <item id="584736b59cc4af6d0329e34ded549abdb355ab06" isNormal="1">
            <s:text>
              <s:r>
                <s:t xml:space="preserve">Administrator:
3002556 7/21 1616pcs
华3A10</s:t>
              </s:r>
            </s:text>
          </item>
        </commentChain>
      </unresolved>
      <resolved/>
    </commentChains>
    <commentChains s:ref="AL375" rgbClr="FF0000">
      <unresolved>
        <commentChain chainId="0b639999d75b9734d9316d6e741426a470e6401b">
          <item id="c2f98fe3d0cc2789f3dfe761740431fe987df195" isNormal="1">
            <s:text>
              <s:r>
                <s:t xml:space="preserve">Administrator:
6/24 上客供RFID贴纸1616pcs
</s:t>
              </s:r>
            </s:text>
          </item>
        </commentChain>
      </unresolved>
      <resolved/>
    </commentChains>
    <commentChains s:ref="AI376" rgbClr="FF0000">
      <unresolved>
        <commentChain chainId="dd005ce5cebc1c2aa76449a6846c21781ab70024">
          <item id="e9fd67f3d24defb102ac810b6708740dd5d271aa" isNormal="1">
            <s:text>
              <s:r>
                <s:t xml:space="preserve">Administrator:
3002556 7/21 1808pcs
华3B6</s:t>
              </s:r>
            </s:text>
          </item>
        </commentChain>
      </unresolved>
      <resolved/>
    </commentChains>
    <commentChains s:ref="AL376" rgbClr="FF0000">
      <unresolved>
        <commentChain chainId="995dce0f74102cf6c81ebf3fc19a4b97b8e0404f">
          <item id="9b839b1a88438aff0512d35bfcfef01c4a691ad1" isNormal="1">
            <s:text>
              <s:r>
                <s:t xml:space="preserve">Administrator:
6/24 上客供RFID贴纸1808pcs
</s:t>
              </s:r>
            </s:text>
          </item>
        </commentChain>
      </unresolved>
      <resolved/>
    </commentChains>
    <commentChains s:ref="AI377" rgbClr="FF0000">
      <unresolved>
        <commentChain chainId="c1936304342be95bdf19b164f81edbb3ed667645">
          <item id="6138f3c97d33385d61ad939b30ad28ec3fc6f63a" isNormal="1">
            <s:text>
              <s:r>
                <s:t xml:space="preserve">Administrator:
3002536 7/22 1000pcs
华3B10</s:t>
              </s:r>
            </s:text>
          </item>
        </commentChain>
      </unresolved>
      <resolved/>
    </commentChains>
    <commentChains s:ref="AL377" rgbClr="FF0000">
      <unresolved>
        <commentChain chainId="4334a70cd8b4d38a06cccd44b3f30e196507d3f8">
          <item id="8a107f57647eac034bedbc5338983eb26d69022e" isNormal="1">
            <s:text>
              <s:r>
                <s:t xml:space="preserve">Administrator:
6/28 上UPC贴纸1000pcs</s:t>
              </s:r>
            </s:text>
          </item>
        </commentChain>
      </unresolved>
      <resolved/>
    </commentChains>
    <commentChains s:ref="AI378" rgbClr="FF0000">
      <unresolved>
        <commentChain chainId="4b97b755f123e321cbfe7f44429f7200b70ef4f8">
          <item id="a16017bc8bcdc2a40ce1f88c1b0e1ca353cf4c7f" isNormal="1">
            <s:text>
              <s:r>
                <s:t xml:space="preserve">Administrator:
3002537 7/22 3132pcs
华3A20</s:t>
              </s:r>
            </s:text>
          </item>
        </commentChain>
      </unresolved>
      <resolved/>
    </commentChains>
    <commentChains s:ref="AL378" rgbClr="FF0000">
      <unresolved>
        <commentChain chainId="e81aa7f6750828d28b0b520187566622e4e99337">
          <item id="4d64915f6645b1fa7ad45be89121db16fc206802" isNormal="1">
            <s:text>
              <s:r>
                <s:t xml:space="preserve">Administrator:
7/12 上亚马逊外箱贴纸261pcs
</s:t>
              </s:r>
            </s:text>
          </item>
        </commentChain>
      </unresolved>
      <resolved/>
    </commentChains>
    <commentChains s:ref="AI379" rgbClr="FF0000">
      <unresolved>
        <commentChain chainId="c6663dff885d3366f6cda19fee251c93eda9d97e">
          <item id="aed1e51bddfe709af660a7edce9072a27274331d" isNormal="1">
            <s:text>
              <s:r>
                <s:t xml:space="preserve">Administrator:
3002537 7/22 900pcs
华3B10</s:t>
              </s:r>
            </s:text>
          </item>
        </commentChain>
      </unresolved>
      <resolved/>
    </commentChains>
    <commentChains s:ref="AL379" rgbClr="FF0000">
      <unresolved>
        <commentChain chainId="b46c2a7b2a2a2cd7b4cacbe2ac25c4a66748f0f3">
          <item id="61dbc8acf84198cc3bb76d151e0093cb0edd626d" isNormal="1">
            <s:text>
              <s:r>
                <s:t xml:space="preserve">Administrator:
7/12 上亚马逊外箱贴纸75pcs</s:t>
              </s:r>
            </s:text>
          </item>
        </commentChain>
      </unresolved>
      <resolved/>
    </commentChains>
    <commentChains s:ref="AI380" rgbClr="FF0000">
      <unresolved>
        <commentChain chainId="abdb0758236512c6ea1666fd4877c0ed87e32c7b">
          <item id="b1670947ff09c07e5195f4606cc98b5132c505b6" isNormal="1">
            <s:text>
              <s:r>
                <s:t xml:space="preserve">Administrator:
3002537 7/22 4200pcs
华3B11</s:t>
              </s:r>
            </s:text>
          </item>
        </commentChain>
      </unresolved>
      <resolved/>
    </commentChains>
    <commentChains s:ref="AL380" rgbClr="FF0000">
      <unresolved>
        <commentChain chainId="24b6792da545281ebfcfe428f8c527af1ac85560">
          <item id="e7ac8ce35b4b46e22124a09392b497dda0ab86f0" isNormal="1">
            <s:text>
              <s:r>
                <s:t xml:space="preserve">Administrator:
7/12 上亚马逊外箱贴纸350pcs
</s:t>
              </s:r>
            </s:text>
          </item>
        </commentChain>
      </unresolved>
      <resolved/>
    </commentChains>
    <commentChains s:ref="AI381" rgbClr="FF0000">
      <unresolved>
        <commentChain chainId="558378e77aa1ee4a9f6b0c3e5f08dd0fa99201d8">
          <item id="76e746f2981d6a61663ef00c3cd3549a217d428b" isNormal="1">
            <s:text>
              <s:r>
                <s:t xml:space="preserve">Administrator:
3002537 7/22 2004pcs
华3B11
3002538 7/22 972pcs华3B11</s:t>
              </s:r>
            </s:text>
          </item>
        </commentChain>
      </unresolved>
      <resolved/>
    </commentChains>
    <commentChains s:ref="AL381" rgbClr="FF0000">
      <unresolved>
        <commentChain chainId="fa44ef5df8c53874aa24cbec7d9a132eed5e8783">
          <item id="08c60fb7455437b1def3dc15a3230969d702387a" isNormal="1">
            <s:text>
              <s:r>
                <s:t xml:space="preserve">Administrator:
7/12 上亚马逊外箱贴纸248pcs
</s:t>
              </s:r>
            </s:text>
          </item>
        </commentChain>
      </unresolved>
      <resolved/>
    </commentChains>
    <commentChains s:ref="AI382" rgbClr="FF0000">
      <unresolved>
        <commentChain chainId="861da563a1373cc5152349846c71b59739e3760c">
          <item id="2afec787125c1b33525b04bd10095f8469b24ac2" isNormal="1">
            <s:text>
              <s:r>
                <s:t xml:space="preserve">Administrator:
3002537 7/22 3912pcs
华3A19</s:t>
              </s:r>
            </s:text>
          </item>
        </commentChain>
      </unresolved>
      <resolved/>
    </commentChains>
    <commentChains s:ref="AL382" rgbClr="FF0000">
      <unresolved>
        <commentChain chainId="eef9744ef1348fac9df3c17d129a5351bd2cd5a1">
          <item id="61b512a940cade810f9c42736e8f87cdf46b0ce8" isNormal="1">
            <s:text>
              <s:r>
                <s:t xml:space="preserve">Administrator:
7/12 上亚马逊外箱贴纸326pcs
</s:t>
              </s:r>
            </s:text>
          </item>
        </commentChain>
      </unresolved>
      <resolved/>
    </commentChains>
    <commentChains s:ref="AI383" rgbClr="FF0000">
      <unresolved>
        <commentChain chainId="a07dcb18ba1591b40ce5205daf23b85cf325060d">
          <item id="bae4ae37421333c55948b595feca06b1213f63c3" isNormal="1">
            <s:text>
              <s:r>
                <s:t xml:space="preserve">Administrator:
3002538 7/22 5064pcs华3B12</s:t>
              </s:r>
            </s:text>
          </item>
        </commentChain>
      </unresolved>
      <resolved/>
    </commentChains>
    <commentChains s:ref="AL383" rgbClr="FF0000">
      <unresolved>
        <commentChain chainId="8eeaf5abb29b7f2448835882c4b5db051a741e53">
          <item id="e7e1cfcf5dae0beedb9b6f403c9689e0a86261ae" isNormal="1">
            <s:text>
              <s:r>
                <s:t xml:space="preserve">Administrator:
7/12 上亚马逊外箱贴纸422pcs
</s:t>
              </s:r>
            </s:text>
          </item>
        </commentChain>
      </unresolved>
      <resolved/>
    </commentChains>
    <commentChains s:ref="AI384" rgbClr="FF0000">
      <unresolved>
        <commentChain chainId="d4f309da3e308d0e7a12a91ebdfbafa8acf9a54f">
          <item id="63dd7ad4da20e968d55c472b43e7f655025a679c" isNormal="1">
            <s:text>
              <s:r>
                <s:t xml:space="preserve">Administrator:
3002434 7/24 299pcs</s:t>
              </s:r>
            </s:text>
          </item>
        </commentChain>
      </unresolved>
      <resolved/>
    </commentChains>
    <commentChains s:ref="AL384" rgbClr="FF0000">
      <unresolved>
        <commentChain chainId="a3ec4343b6a41d335e4c680f6ce444d40990970a">
          <item id="d3a98859fa99592238de8cdfe7b560c45a25bd8b" isNormal="1">
            <s:text>
              <s:r>
                <s:t xml:space="preserve">Administrator:
6/19 上白色防盗贴纸299pcs
7/5 上UPC条码贴纸299pcs
7/9 上KM外箱贴纸 23pcs</s:t>
              </s:r>
            </s:text>
          </item>
        </commentChain>
      </unresolved>
      <resolved/>
    </commentChains>
    <commentChains s:ref="AI385" rgbClr="FF0000">
      <unresolved>
        <commentChain chainId="64d970a0689889f447a9c432a2e5f18701445bba">
          <item id="6fe99439872f44977f6ff10f4a985842cecc4597" isNormal="1">
            <s:text>
              <s:r>
                <s:t xml:space="preserve">Administrator:
3002434 7/24 3536pcs
</s:t>
              </s:r>
            </s:text>
          </item>
        </commentChain>
      </unresolved>
      <resolved/>
    </commentChains>
    <commentChains s:ref="AL385" rgbClr="FF0000">
      <unresolved>
        <commentChain chainId="e609a4355fb178e1660c151f55ae08c91581de07">
          <item id="551640025718958f241b8851da6d3c4d33221eeb" isNormal="1">
            <s:text>
              <s:r>
                <s:t xml:space="preserve">Administrator:
6/19 上白色防盗贴纸3536pcs
7/5 上UPC条码贴纸3536pcs
7/9 KM外箱贴纸 272pcs
</s:t>
              </s:r>
            </s:text>
          </item>
        </commentChain>
      </unresolved>
      <resolved/>
    </commentChains>
    <commentChains s:ref="AI386" rgbClr="FF0000">
      <unresolved>
        <commentChain chainId="bbaa8ec3d61425231be0e6ab93cd49bf2d5d1cec">
          <item id="3377867d7cc7073d2a2b8aff501d515d72f1f505" isNormal="1">
            <s:text>
              <s:r>
                <s:t xml:space="preserve">Administrator:
3002422 7/25 8736pcs莫4C5</s:t>
              </s:r>
            </s:text>
          </item>
        </commentChain>
      </unresolved>
      <resolved/>
    </commentChains>
    <commentChains s:ref="AI387" rgbClr="FF0000">
      <unresolved>
        <commentChain chainId="98cd07e794ba7c6f1ff81e826dfe41f5e01329d4">
          <item id="42867ec3d6bac2a6e666b38816d9551474213fe3" isNormal="1">
            <s:text>
              <s:r>
                <s:t xml:space="preserve">Administrator:
3002422 7/25 9088pcs莫4C5
</s:t>
              </s:r>
            </s:text>
          </item>
        </commentChain>
      </unresolved>
      <resolved/>
    </commentChains>
    <commentChains s:ref="AI388" rgbClr="FF0000">
      <unresolved>
        <commentChain chainId="28746f4402ad4137dcab4b8470ff45748409db79">
          <item id="87a7aa47e77897cebe6e8b8eb57514bd96924ae8" isNormal="1">
            <s:text>
              <s:r>
                <s:t xml:space="preserve">Administrator:
3002448 7/24 5000pcs华3B6</s:t>
              </s:r>
            </s:text>
          </item>
        </commentChain>
      </unresolved>
      <resolved/>
    </commentChains>
    <commentChains s:ref="AL388" rgbClr="FF0000">
      <unresolved>
        <commentChain chainId="f8f03e93264c11f5dad8f8dd5aa5885def9568cd">
          <item id="df6e7062a511761f8791d886cfb32beb019940c2" isNormal="1">
            <s:text>
              <s:r>
                <s:t xml:space="preserve">Administrator:
7/5 上通用UPC条码贴纸5000pcs
客人通用进口商贴纸5000pcs</s:t>
              </s:r>
            </s:text>
          </item>
        </commentChain>
      </unresolved>
      <resolved/>
    </commentChains>
    <commentChains s:ref="AI389" rgbClr="FF0000">
      <unresolved>
        <commentChain chainId="091ca748287eb0bfbdc003a0bcffcf904b5f10bc">
          <item id="40812399647591ef42a29bada57edf14c5e9a8c0" isNormal="1">
            <s:text>
              <s:r>
                <s:t xml:space="preserve">Administrator:
3002490 7/23 20套散件</s:t>
              </s:r>
            </s:text>
          </item>
        </commentChain>
      </unresolved>
      <resolved/>
    </commentChains>
    <commentChains s:ref="AI390" rgbClr="FF0000">
      <unresolved>
        <commentChain chainId="5a944d0838eeb5b681890549131b7620baf1decb">
          <item id="97fc8457aad5549df31ca51412f8ac5076db9c66" isNormal="1">
            <s:text>
              <s:r>
                <s:t xml:space="preserve">Administrator:
3001378 7/17 15pcs 兴信</s:t>
              </s:r>
            </s:text>
          </item>
        </commentChain>
      </unresolved>
      <resolved/>
    </commentChains>
    <commentChains s:ref="AI391" rgbClr="FF0000">
      <unresolved>
        <commentChain chainId="50d04c6795d9870faffc579383e1bc868287ed7b">
          <item id="deeaa511c6aa1e9db63eb5da994d0ea3c61fe9b0" isNormal="1">
            <s:text>
              <s:r>
                <s:t xml:space="preserve">Administrator:
3001406 7/17 507pcs 华3B12
3002626 7/18 13pcs华3B12</s:t>
              </s:r>
            </s:text>
          </item>
        </commentChain>
      </unresolved>
      <resolved/>
    </commentChains>
    <commentChains s:ref="AL391" rgbClr="FF0000">
      <unresolved>
        <commentChain chainId="0ff916b8c27ed9e68373272e40fa96b27216154c">
          <item id="9c5615ba7d79fd945addb34f1b8c1a8ea4e739a2" isNormal="1">
            <s:text>
              <s:r>
                <s:t xml:space="preserve">Administrator:
6/11 上多语折叠贴纸520pcs
</s:t>
              </s:r>
            </s:text>
          </item>
        </commentChain>
      </unresolved>
      <resolved/>
    </commentChains>
    <commentChains s:ref="AI392" rgbClr="FF0000">
      <unresolved>
        <commentChain chainId="9bac60dd7c4b7164f9f5c96f927e37fac62f9f84">
          <item id="bb272335bdff51eb8075d383dfa10b7b92b1d339" isNormal="1">
            <s:text>
              <s:r>
                <s:t xml:space="preserve">Administrator:
3001677 7/7 1800pcs</s:t>
              </s:r>
            </s:text>
          </item>
        </commentChain>
      </unresolved>
      <resolved/>
    </commentChains>
    <commentChains s:ref="AL392" rgbClr="FF0000">
      <unresolved>
        <commentChain chainId="3e4623c07dadb230ac0f2d2eb8b51af6ed022d0b">
          <item id="312d2449904ee6993df304aaeb31da12f5f234a6" isNormal="1">
            <s:text>
              <s:r>
                <s:t xml:space="preserve">Administrator:
6/25 上意大利sorting logO含进口商贴纸1800pcs
7/19 上进口商贴纸1800pcs</s:t>
              </s:r>
            </s:text>
          </item>
        </commentChain>
      </unresolved>
      <resolved/>
    </commentChains>
    <commentChains s:ref="AI393" rgbClr="FF0000">
      <unresolved>
        <commentChain chainId="b97ebac26c2f3ad05f5e422260c79e9358ff5ac7">
          <item id="24203a2f14c5099225f52a0065291701ecab12af" isNormal="1">
            <s:text>
              <s:r>
                <s:t xml:space="preserve">Administrator:
3001544 7/12 3000pcs因展示架漏订送回半成品东莞帮混装</s:t>
              </s:r>
            </s:text>
          </item>
        </commentChain>
      </unresolved>
      <resolved/>
    </commentChains>
    <commentChains s:ref="AI396" rgbClr="FF0000">
      <unresolved>
        <commentChain chainId="ada76084befef83c0e66a0cea80d15356d5f43e4">
          <item id="298208dae2f30ca8c541d7086e05785c827ecce2" isNormal="1">
            <s:text>
              <s:r>
                <s:t xml:space="preserve">Administrator:
3002109 7/26 19200pcs莫4C7
3002081 7/29 15792pcs
莫4C8</s:t>
              </s:r>
            </s:text>
          </item>
        </commentChain>
      </unresolved>
      <resolved/>
    </commentChains>
    <commentChains s:ref="AI397" rgbClr="FF0000">
      <unresolved>
        <commentChain chainId="02c6d14a29cfad3a0c0486fba03b8991962c272f">
          <item id="9d1c8661596709b6dfe346c90ee9958d4c25b275" isNormal="1">
            <s:text>
              <s:r>
                <s:t xml:space="preserve">Administrator:
2002217 6/13 3900pcs莫5楼B9
3002127 7/26 3900pcs因返工重送华3B5</s:t>
              </s:r>
            </s:text>
          </item>
        </commentChain>
      </unresolved>
      <resolved/>
    </commentChains>
    <commentChains s:ref="AI398" rgbClr="FF0000">
      <unresolved>
        <commentChain chainId="636874ae73eced04f926cedd36871e39be4be5df">
          <item id="c24fcd3860ebd2c1f491aeb147cbf6762d4dbbd3" isNormal="1">
            <s:text>
              <s:r>
                <s:t xml:space="preserve">Administrator:
3002104 7/28 5275pcs华3B8</s:t>
              </s:r>
            </s:text>
          </item>
        </commentChain>
      </unresolved>
      <resolved/>
    </commentChains>
    <commentChains s:ref="AI399" rgbClr="FF0000">
      <unresolved>
        <commentChain chainId="4acdd0972763b62aa2f22301ff9cdd0b77172327">
          <item id="73becb01d9cac645fde050244e2360c094a2b613" isNormal="1">
            <s:text>
              <s:r>
                <s:t xml:space="preserve">Administrator:
3002104 7/28 4602pcs华1F3</s:t>
              </s:r>
            </s:text>
          </item>
        </commentChain>
      </unresolved>
      <resolved/>
    </commentChains>
    <commentChains s:ref="AL399" rgbClr="FF0000">
      <unresolved>
        <commentChain chainId="3e4f8ca5f96a722d48a9c8133e09d1aac6d3b1a0">
          <item id="ade5e7340cdc57fe9132bcace18827f4637413a5" isNormal="1">
            <s:text>
              <s:r>
                <s:t xml:space="preserve">Administrator:
7/16 上UPC贴纸 4602pcs
</s:t>
              </s:r>
            </s:text>
          </item>
        </commentChain>
      </unresolved>
      <resolved/>
    </commentChains>
    <commentChains s:ref="AI400" rgbClr="FF0000">
      <unresolved>
        <commentChain chainId="46f8d2a853761dce61e1b4c1c6ab5d0f99e27588">
          <item id="a25c96f21c4c62964aa45caf804006d134d647cf" isNormal="1">
            <s:text>
              <s:r>
                <s:t xml:space="preserve">Administrator:
3002048 7/30 91pcs
华3A32</s:t>
              </s:r>
            </s:text>
          </item>
        </commentChain>
      </unresolved>
      <resolved/>
    </commentChains>
    <commentChains s:ref="AL400" rgbClr="FF0000">
      <unresolved>
        <commentChain chainId="f9c81b20335ac118c0f3c84abc0595da44880287">
          <item id="258b8c72150b3a6ec42e34dcb48bbc315cba3e2f" isNormal="1">
            <s:text>
              <s:r>
                <s:t xml:space="preserve">Administrator:
7/16 上白色防盗贴纸 91pcs
7/16 上Kmart外箱贴纸 7pcs
</s:t>
              </s:r>
            </s:text>
          </item>
        </commentChain>
      </unresolved>
      <resolved/>
    </commentChains>
    <commentChains s:ref="AI401" rgbClr="FF0000">
      <unresolved>
        <commentChain chainId="4be39a897358664950f0cde97d4d6fff1b5d895f">
          <item id="6a1a12cb6699d8bafcc0a125c9b47b9e8e17936c" isNormal="1">
            <s:text>
              <s:r>
                <s:t xml:space="preserve">Administrator:
3002048 7/30 1599pcs华3A28
</s:t>
              </s:r>
            </s:text>
          </item>
        </commentChain>
      </unresolved>
      <resolved/>
    </commentChains>
    <commentChains s:ref="AL401" rgbClr="FF0000">
      <unresolved>
        <commentChain chainId="15ad5e4e69bb31bde900a44a1984e1913ffe35fa">
          <item id="1a8f79f43b6517ab471a1660318e62fbb73b62db" isNormal="1">
            <s:text>
              <s:r>
                <s:t xml:space="preserve">Administrator:
7/16 上白色防盗贴纸 1599pcs
7/16 上Kmart外箱贴纸 123pcs</s:t>
              </s:r>
            </s:text>
          </item>
        </commentChain>
      </unresolved>
      <resolved/>
    </commentChains>
    <commentChains s:ref="AI402" rgbClr="FF0000">
      <unresolved>
        <commentChain chainId="ca32d5b76bc805a5340c7a458bab8a844a7475c0">
          <item id="071269a0ef72ebda2c6c0e3a1831b6fac78c0d40" isNormal="1">
            <s:text>
              <s:r>
                <s:t xml:space="preserve">Administrator:
3002032 7/30 611pcs
华3A6</s:t>
              </s:r>
            </s:text>
          </item>
        </commentChain>
      </unresolved>
      <resolved/>
    </commentChains>
    <commentChains s:ref="AL402" rgbClr="FF0000">
      <unresolved>
        <commentChain chainId="74f6546e571bae7f1044b09496472577334e521e">
          <item id="81c57ff97a45c37a910d706ab0bf65c962d408d0" isNormal="1">
            <s:text>
              <s:r>
                <s:t xml:space="preserve">Administrator:
7/15 上PDQ贴纸47pcs
进口商西班牙环保标贴纸611pcs</s:t>
              </s:r>
            </s:text>
          </item>
        </commentChain>
      </unresolved>
      <resolved/>
    </commentChains>
    <commentChains s:ref="AI403" rgbClr="FF0000">
      <unresolved>
        <commentChain chainId="b882877119f409da44faeae563883caa8e8dffce">
          <item id="3ac7357d50ef7ba24978f2bf8b1b2d138ef36158" isNormal="1">
            <s:text>
              <s:r>
                <s:t xml:space="preserve">Administrator:
3002041 7/30 4025pcs
华3B12</s:t>
              </s:r>
            </s:text>
          </item>
        </commentChain>
      </unresolved>
      <resolved/>
    </commentChains>
    <commentChains s:ref="AI404" rgbClr="FF0000">
      <unresolved>
        <commentChain chainId="93850f45485d515bc25c90249109edf2ff982f98">
          <item id="99b3deb643910e55782d8acbe62c0a51287efd60" isNormal="1">
            <s:text>
              <s:r>
                <s:t xml:space="preserve">Administrator:
3002041 7/30 4325pcs华3B12</s:t>
              </s:r>
            </s:text>
          </item>
        </commentChain>
      </unresolved>
      <resolved/>
    </commentChains>
    <commentChains s:ref="AI405" rgbClr="FF0000">
      <unresolved>
        <commentChain chainId="63e8418241dcb2422a68626e710cf8239cf9a59a">
          <item id="e823a9eb552f7326fac5d638a595385d0d664e3b" isNormal="1">
            <s:text>
              <s:r>
                <s:t xml:space="preserve">Administrator:
3002041 7/30 725pcs华3B12
</s:t>
              </s:r>
            </s:text>
          </item>
        </commentChain>
      </unresolved>
      <resolved/>
    </commentChains>
    <commentChains s:ref="AI406" rgbClr="FF0000">
      <unresolved>
        <commentChain chainId="55014694293f10f477c74b25cd6f67dfa6c2e71c">
          <item id="fa54201f4ba9c7796dd0f3a945c232ff9ae1a378" isNormal="1">
            <s:text>
              <s:r>
                <s:t xml:space="preserve">Administrator:
3002067 7/29 2096pcs华3B8</s:t>
              </s:r>
            </s:text>
          </item>
        </commentChain>
      </unresolved>
      <resolved/>
    </commentChains>
    <commentChains s:ref="AL406" rgbClr="FF0000">
      <unresolved>
        <commentChain chainId="462ad82cb9f2b9363d54e57a8ef5d2fd44776de6">
          <item id="905bf8bc8bc42ce10cf5e6e81a81307de49196ac" isNormal="1">
            <s:text>
              <s:r>
                <s:t xml:space="preserve">Administrator:
7/3 上客供RFID贴纸2096pcs
</s:t>
              </s:r>
            </s:text>
          </item>
        </commentChain>
      </unresolved>
      <resolved/>
    </commentChains>
    <commentChains s:ref="AI407" rgbClr="FF0000">
      <unresolved>
        <commentChain chainId="c7e87d9ec0d61d0bca516c0215444670818a921f">
          <item id="f66ff060dbd82449b9e4df1df676b07dea08979d" isNormal="1">
            <s:text>
              <s:r>
                <s:t xml:space="preserve">Administrator:
3002041 7/30 1632pcs华3B6</s:t>
              </s:r>
            </s:text>
          </item>
        </commentChain>
      </unresolved>
      <resolved/>
    </commentChains>
    <commentChains s:ref="AL407" rgbClr="FF0000">
      <unresolved>
        <commentChain chainId="bff044e77001f3dd45d0cf15becee2ac40c9421d">
          <item id="c84e3521eb2fdb3d2579941b1caa70f48d8110de" isNormal="1">
            <s:text>
              <s:r>
                <s:t xml:space="preserve">Administrator:
7/3 上客供RFID贴纸1632pcs
</s:t>
              </s:r>
            </s:text>
          </item>
        </commentChain>
      </unresolved>
      <resolved/>
    </commentChains>
    <commentChains s:ref="AI408" rgbClr="FF0000">
      <unresolved>
        <commentChain chainId="cfd731728da8a47d74ef564a155bf5a0ce832f49">
          <item id="d92ff40a726ee3a50c365c1e085f72cf3cbff24b" isNormal="1">
            <s:text>
              <s:r>
                <s:t xml:space="preserve">Administrator:
3002041 7/30 2432pcs
华3B6</s:t>
              </s:r>
            </s:text>
          </item>
        </commentChain>
      </unresolved>
      <resolved/>
    </commentChains>
    <commentChains s:ref="AL408" rgbClr="FF0000">
      <unresolved>
        <commentChain chainId="6c983785986a59cc95afae9c9ff2498be09b7891">
          <item id="bcb65a66e897b333f99af23a054fbea9316c5349" isNormal="1">
            <s:text>
              <s:r>
                <s:t xml:space="preserve">Administrator:
7/3 上客供RFID贴纸2432pcs
</s:t>
              </s:r>
            </s:text>
          </item>
        </commentChain>
      </unresolved>
      <resolved/>
    </commentChains>
    <commentChains s:ref="AI409" rgbClr="FF0000">
      <unresolved>
        <commentChain chainId="8f119f1f0684a521292d4cdc82d6211c8cede7e8">
          <item id="53a928693af809cf4f2560c8dc9a65a1212f3e1a" isNormal="1">
            <s:text>
              <s:r>
                <s:t xml:space="preserve">Administrator:
3002041 7/30 1696pcs
华3B3</s:t>
              </s:r>
            </s:text>
          </item>
        </commentChain>
      </unresolved>
      <resolved/>
    </commentChains>
    <commentChains s:ref="AL409" rgbClr="FF0000">
      <unresolved>
        <commentChain chainId="b9e169c956e7f51aa3bc20c777ec1fc300c1e783">
          <item id="9a70c851eddc1336aa53d03e38fefe5a0485c06a" isNormal="1">
            <s:text>
              <s:r>
                <s:t xml:space="preserve">Administrator:
7/3 上客供RFID贴纸1696pcs
</s:t>
              </s:r>
            </s:text>
          </item>
        </commentChain>
      </unresolved>
      <resolved/>
    </commentChains>
    <commentChains s:ref="AI410" rgbClr="FF0000">
      <unresolved>
        <commentChain chainId="332beb8f36b44208d64951df84e9951304bcefe2">
          <item id="98e18835bbaf4512885f1d649f27fe1553769475" isNormal="1">
            <s:text>
              <s:r>
                <s:t xml:space="preserve">Administrator:
3002032 7/30 5000pcs华3B3</s:t>
              </s:r>
            </s:text>
          </item>
        </commentChain>
      </unresolved>
      <resolved/>
    </commentChains>
    <commentChains s:ref="AL410" rgbClr="FF0000">
      <unresolved>
        <commentChain chainId="6490a8e3bba892a992b35776b3e0890b1b90cdf1">
          <item id="ec761e3b93c204b608304a938343f23199c2061a" isNormal="1">
            <s:text>
              <s:r>
                <s:t xml:space="preserve">Administrator:
7/18 上客供价格贴纸5035pcs
</s:t>
              </s:r>
            </s:text>
          </item>
        </commentChain>
      </unresolved>
      <resolved/>
    </commentChains>
    <commentChains s:ref="AI411" rgbClr="FF0000">
      <unresolved>
        <commentChain chainId="d149a86b532885571593e9753b403892a2959dce">
          <item id="767b5d951e5e78f4678832029ca93349c33235fd" isNormal="1">
            <s:text>
              <s:r>
                <s:t xml:space="preserve">Administrator:
3002048 7/30 700pcs华3A27</s:t>
              </s:r>
            </s:text>
          </item>
        </commentChain>
      </unresolved>
      <resolved/>
    </commentChains>
    <commentChains s:ref="AL411" rgbClr="FF0000">
      <unresolved>
        <commentChain chainId="370b8e834c187814fa43a7022cfcf0f37e4029eb">
          <item id="f5d478a93dc7f0d8cd52e24f42ec40d87672075e" isNormal="1">
            <s:text>
              <s:r>
                <s:t xml:space="preserve">Administrator:
7/10 上客供价标贴纸731pcs
</s:t>
              </s:r>
            </s:text>
          </item>
        </commentChain>
      </unresolved>
      <resolved/>
    </commentChains>
    <commentChains s:ref="AI412" rgbClr="FF0000">
      <unresolved>
        <commentChain chainId="0d20a6cb02ba7a732bc05874ff5fa2e961431ace">
          <item id="5f1e5a57fd2898cbf183a3566febd12b17626114" isNormal="1">
            <s:text>
              <s:r>
                <s:t xml:space="preserve">Administrator:
3002067 7/29 17925pcs华3A23</s:t>
              </s:r>
            </s:text>
          </item>
        </commentChain>
      </unresolved>
      <resolved/>
    </commentChains>
    <commentChains s:ref="AL412" rgbClr="FF0000">
      <unresolved>
        <commentChain chainId="26ee92eca1fae451f05c25b146342cbe9e091ced">
          <item id="f047607347e8109ba90d74c3ba57b96681395115" isNormal="1">
            <s:text>
              <s:r>
                <s:t xml:space="preserve">Administrator:
7/12 上客供外箱条码贴纸724pcs</s:t>
              </s:r>
            </s:text>
          </item>
        </commentChain>
      </unresolved>
      <resolved/>
    </commentChains>
    <commentChains s:ref="AI413" rgbClr="FF0000">
      <unresolved>
        <commentChain chainId="32d20cc3bd8659ce449e4dd41f25de9515f1daac">
          <item id="36566fcc1122d01b8c70ac6519e28c646436e7f0" isNormal="1">
            <s:text>
              <s:r>
                <s:t xml:space="preserve">Administrator:
3002042 7/30 650pcs华3B8</s:t>
              </s:r>
            </s:text>
          </item>
        </commentChain>
      </unresolved>
      <resolved/>
    </commentChains>
    <commentChains s:ref="AL413" rgbClr="FF0000">
      <unresolved>
        <commentChain chainId="1a5236d0fe3ccfcdeb97580fc267893f2e127bbb">
          <item id="74054b264b86eade3a57e42d218dcda0a7c28bdc" isNormal="1">
            <s:text>
              <s:r>
                <s:t xml:space="preserve">Administrator:
7/21 上UPC条码贴纸650pcs
进口商贴纸650pcs
</s:t>
              </s:r>
            </s:text>
          </item>
        </commentChain>
      </unresolved>
      <resolved/>
    </commentChains>
    <commentChains s:ref="AI414" rgbClr="FF0000">
      <unresolved>
        <commentChain chainId="0faafd18227e69bac40f6ee60216f7c299874bc0">
          <item id="046f08c5440fe53fb034170cfe2358a51b19d828" isNormal="1">
            <s:text>
              <s:r>
                <s:t xml:space="preserve">Administrator:
3002048 7/30 216pcs
华3A32</s:t>
              </s:r>
            </s:text>
          </item>
        </commentChain>
      </unresolved>
      <resolved/>
    </commentChains>
    <commentChains s:ref="AL414" rgbClr="FF0000">
      <unresolved>
        <commentChain chainId="a5d1d77c232888721a826a4c8e5ddffe0d1bd46b">
          <item id="086494343b3c1f814e88cc6fc86b1e4cc4154f1d" isNormal="1">
            <s:text>
              <s:r>
                <s:t xml:space="preserve">Administrator:
7/11 上客人白色CATLABEL贴纸216pcs</s:t>
              </s:r>
            </s:text>
          </item>
        </commentChain>
      </unresolved>
      <resolved/>
    </commentChains>
    <commentChains s:ref="AI415" rgbClr="FF0000">
      <unresolved>
        <commentChain chainId="f8d1e8cef4e4bceb0582ec0e7cf81b69d97c2c76">
          <item id="fb8f3a74731e7a4ff2d5b243df6d8b5826ba7bc2" isNormal="1">
            <s:text>
              <s:r>
                <s:t xml:space="preserve">Administrator:
3002127 7/26 350pcs华3B7</s:t>
              </s:r>
            </s:text>
          </item>
        </commentChain>
      </unresolved>
      <resolved/>
    </commentChains>
    <commentChains s:ref="AL415" rgbClr="FF0000">
      <unresolved>
        <commentChain chainId="ca90f7a70381bb0178159ed98bc894f243424903">
          <item id="397fe90d60969b9ca54f7a86e54bf645a1c0b96f" isNormal="1">
            <s:text>
              <s:r>
                <s:t xml:space="preserve">Administrator:
7/5 上进口商贴纸含法国回收350pcs</s:t>
              </s:r>
            </s:text>
          </item>
        </commentChain>
      </unresolved>
      <resolved/>
    </commentChains>
    <commentChains s:ref="AI416" rgbClr="FF0000">
      <unresolved>
        <commentChain chainId="fcd86dfa882d70e2b8c06151f7a1db8e31df1889">
          <item id="9571e0aef0e425d8449d8578b4e91a131581d852" isNormal="1">
            <s:text>
              <s:r>
                <s:t xml:space="preserve">Administrator:
3002187 8/2 1500pcs华3B14</s:t>
              </s:r>
            </s:text>
          </item>
        </commentChain>
      </unresolved>
      <resolved/>
    </commentChains>
    <commentChains s:ref="AL416" rgbClr="FF0000">
      <unresolved>
        <commentChain chainId="ecea2329da3dd68c966e937b8a348cb09cdc59f1">
          <item id="88fafac81d910ae646a96c6d8ef7aaab1ff196be" isNormal="1">
            <s:text>
              <s:r>
                <s:t xml:space="preserve">Administrator:
7/5 上UPC条码贴纸1500pcs
进口商贴纸1500pcs
7/15 上正面收藏指南贴纸1500pcs
背面收藏指南贴纸1500pcs</s:t>
              </s:r>
            </s:text>
          </item>
        </commentChain>
      </unresolved>
      <resolved/>
    </commentChains>
    <commentChains s:ref="AI417" rgbClr="FF0000">
      <unresolved>
        <commentChain chainId="94b470d8ba5658cc985a57a6b622fcb756a8a6e6">
          <item id="ac89b84eafc72c9293d3e3248f26d43921d0f522" isNormal="1">
            <s:text>
              <s:r>
                <s:t xml:space="preserve">Administrator:
2001856 8/1 354pcs新仓3-C10
</s:t>
              </s:r>
            </s:text>
          </item>
        </commentChain>
      </unresolved>
      <resolved/>
    </commentChains>
    <commentChains s:ref="AL417" rgbClr="FF0000">
      <unresolved>
        <commentChain chainId="48d4bca65571c435ebacdf3c81bd96c151c8c426">
          <item id="dff986c1435b0cee05001baf5a2646eb3a498e71" isNormal="1">
            <s:text>
              <s:r>
                <s:t xml:space="preserve">Administrator:
7/9 上KMart外箱贴纸 59pcs
7/30 上空白贴纸708pcs</s:t>
              </s:r>
            </s:text>
          </item>
        </commentChain>
      </unresolved>
      <resolved/>
    </commentChains>
    <commentChains s:ref="AI418" rgbClr="FF0000">
      <unresolved>
        <commentChain chainId="1a7ca7e5c44bf9796667fde7786ace1d2230f2bd">
          <item id="676689171396a12fe1e115a07211a9f755da81c2" isNormal="1">
            <s:text>
              <s:r>
                <s:t xml:space="preserve">Administrator:
2001856 8/1 3246pcs新仓3-C10</s:t>
              </s:r>
            </s:text>
          </item>
        </commentChain>
      </unresolved>
      <resolved/>
    </commentChains>
    <commentChains s:ref="AL418" rgbClr="FF0000">
      <unresolved>
        <commentChain chainId="4234445248654147343d7d1ea1914697d18062fc">
          <item id="d0f5889aafbe89a04be7cb2a4b8096e37afa7051" isNormal="1">
            <s:text>
              <s:r>
                <s:t xml:space="preserve">Administrator:
7/9 上KM外箱贴纸 541pcs
7/30 上空白贴纸6492pcs
</s:t>
              </s:r>
            </s:text>
          </item>
        </commentChain>
      </unresolved>
      <resolved/>
    </commentChains>
    <commentChains s:ref="AI419" rgbClr="FF0000">
      <unresolved>
        <commentChain chainId="76455a1c74f9607b48454153502732500023c1b6">
          <item id="45d138659d929a4e2a254c6782861fb7f5348ca1" isNormal="1">
            <s:text>
              <s:r>
                <s:t xml:space="preserve">Administrator:
3002187 8/2 1300pcs
华3B4</s:t>
              </s:r>
            </s:text>
          </item>
        </commentChain>
      </unresolved>
      <resolved/>
    </commentChains>
    <commentChains s:ref="AI420" rgbClr="FF0000">
      <unresolved>
        <commentChain chainId="4df0e3b1ccb900e936f8a2994f0f4437b246d6cc">
          <item id="cddcc1641ea635ef52b34eac901a4b2294d67bd1" isNormal="1">
            <s:text>
              <s:r>
                <s:t xml:space="preserve">Administrator:
3002187 8/2 500pcs
华3B7</s:t>
              </s:r>
            </s:text>
          </item>
        </commentChain>
      </unresolved>
      <resolved/>
    </commentChains>
    <commentChains s:ref="AI421" rgbClr="FF0000">
      <unresolved>
        <commentChain chainId="adb3eec7353d28a129659449ca061d02ff6e06a3">
          <item id="8092a9a90e09d2f77c0a804ccde85b83bd4cca65" isNormal="1">
            <s:text>
              <s:r>
                <s:t xml:space="preserve">Administrator:
3002143 8/2 637pcs
华</s:t>
              </s:r>
            </s:text>
          </item>
        </commentChain>
      </unresolved>
      <resolved/>
    </commentChains>
    <commentChains s:ref="AI422" rgbClr="FF0000">
      <unresolved>
        <commentChain chainId="8970bc46d6408b8663c221621ed8b2ca547eeba7">
          <item id="e372bdb00389440b739bde3648985293375a4904" isNormal="1">
            <s:text>
              <s:r>
                <s:t xml:space="preserve">Administrator:
3002143 8/2 7800pcs华3A9</s:t>
              </s:r>
            </s:text>
          </item>
        </commentChain>
      </unresolved>
      <resolved/>
    </commentChains>
    <commentChains s:ref="AI423" rgbClr="FF0000">
      <unresolved>
        <commentChain chainId="239550c6d4ccfa24acefa90a40ebae6d42014973">
          <item id="4ac92adb534827fbf013b587165fa1a41bfd0569" isNormal="1">
            <s:text>
              <s:r>
                <s:t xml:space="preserve">Administrator:
3002143 8/2 3159pcs
华3B4</s:t>
              </s:r>
            </s:text>
          </item>
        </commentChain>
      </unresolved>
      <resolved/>
    </commentChains>
    <commentChains s:ref="AI424" rgbClr="FF0000">
      <unresolved>
        <commentChain chainId="f76a488b2d2da6bcf752edc722f34168931214d0">
          <item id="9a9736ea9d7db8a58c405917bacc24706b3ef559" isNormal="1">
            <s:text>
              <s:r>
                <s:t xml:space="preserve">Administrator:
3002193 8/2 5850pcs华1F3</s:t>
              </s:r>
            </s:text>
          </item>
        </commentChain>
      </unresolved>
      <resolved/>
    </commentChains>
    <commentChains s:ref="AI425" rgbClr="FF0000">
      <unresolved>
        <commentChain chainId="5248b2df71673048b5be7d50a2bd1d44f0641f58">
          <item id="445d359ca677460ae80ed84f100882b3a107ffd2" isNormal="1">
            <s:text>
              <s:r>
                <s:t xml:space="preserve">Administrator:
3002187 8/2 300pcs
wxf3B7</s:t>
              </s:r>
            </s:text>
          </item>
        </commentChain>
      </unresolved>
      <resolved/>
    </commentChains>
    <commentChains s:ref="AI426" rgbClr="FF0000">
      <unresolved>
        <commentChain chainId="3e55f45932072def50da357bcb17894a031c5dc2">
          <item id="9656b2a43e1bc6b5cde55460816769a7e217a75b" isNormal="1">
            <s:text>
              <s:r>
                <s:t xml:space="preserve">Administrator:
3002330 8/6 3900pcs华3A20</s:t>
              </s:r>
            </s:text>
          </item>
        </commentChain>
      </unresolved>
      <resolved/>
    </commentChains>
    <commentChains s:ref="AL426" rgbClr="FF0000">
      <unresolved>
        <commentChain chainId="270adb4cefafe83edec64f0a2421b3a66391e89d">
          <item id="e5ce33eda52f8e9762f9e12894ab7bbc622282f6" isNormal="1">
            <s:text>
              <s:r>
                <s:t xml:space="preserve">Administrator:
6/23 上价格贴纸3900pcs
7/26 上客供外箱条码贴纸300pcs
</s:t>
              </s:r>
            </s:text>
          </item>
        </commentChain>
      </unresolved>
      <resolved/>
    </commentChains>
    <commentChains s:ref="AI427" rgbClr="FF0000">
      <unresolved>
        <commentChain chainId="031885646093b52c4f73b4da4adf2f6aadfa4b1d">
          <item id="07a4dc46b610c42b27e77193cab62fc923d9a309" isNormal="1">
            <s:text>
              <s:r>
                <s:t xml:space="preserve">Administrator:
3002193 8/2 1056pcs
华3B3</s:t>
              </s:r>
            </s:text>
          </item>
        </commentChain>
      </unresolved>
      <resolved/>
    </commentChains>
    <commentChains s:ref="AL427" rgbClr="FF0000">
      <unresolved>
        <commentChain chainId="938267bf9d39c0f2a837208ba986d96be9173ae8">
          <item id="b934aa3d15ebdf1fa7508cce014ffb9607761f84" isNormal="1">
            <s:text>
              <s:r>
                <s:t xml:space="preserve">Administrator:
7/3 上环保标贴纸1056pcs
7/3 上空白贴纸2112pcs
7/11 上亚马逊外箱贴纸88pcs</s:t>
              </s:r>
            </s:text>
          </item>
        </commentChain>
      </unresolved>
      <resolved/>
    </commentChains>
    <commentChains s:ref="AI428" rgbClr="FF0000">
      <unresolved>
        <commentChain chainId="3555a4557b70693756bbd84332a2ae4f4f3271b7">
          <item id="16e27a9f7eb768a789d9aa2706eb82990276847a" isNormal="1">
            <s:text>
              <s:r>
                <s:t xml:space="preserve">Administrator:
3002193 8/2 492pcs
华3B3</s:t>
              </s:r>
            </s:text>
          </item>
        </commentChain>
      </unresolved>
      <resolved/>
    </commentChains>
    <commentChains s:ref="AL428" rgbClr="FF0000">
      <unresolved>
        <commentChain chainId="4e3f5a55b62898bcaa74890546bad5ca7c28f285">
          <item id="db319d54bc2fca43a7e4cd5345257408b59d0e0d" isNormal="1">
            <s:text>
              <s:r>
                <s:t xml:space="preserve">Administrator:
7/3 上环保标贴纸492pcs
7/3 上空白贴纸984pcs
7/11 上亚马逊外箱贴纸41pcs
</s:t>
              </s:r>
            </s:text>
          </item>
        </commentChain>
      </unresolved>
      <resolved/>
    </commentChains>
    <commentChains s:ref="AI429" rgbClr="FF0000">
      <unresolved>
        <commentChain chainId="5107d1c13ece2c52887b48043a4aafc75b8e26c9">
          <item id="abfa5aaf043a38690edcf887dc2a0f631a8dbfe3" isNormal="1">
            <s:text>
              <s:r>
                <s:t xml:space="preserve">Administrator:
3002193 8/2 492pcs
华3B4</s:t>
              </s:r>
            </s:text>
          </item>
        </commentChain>
      </unresolved>
      <resolved/>
    </commentChains>
    <commentChains s:ref="AL429" rgbClr="FF0000">
      <unresolved>
        <commentChain chainId="bc9add869e643110a004af3818406a3b63fc1b66">
          <item id="2576327f8fb2f77595efeb945a19e7e6c065d5e8" isNormal="1">
            <s:text>
              <s:r>
                <s:t xml:space="preserve">Administrator:
7/3 上环保标贴纸492pcs
7/3 上空白贴纸984pcs
7/11 上亚马逊外箱贴纸41pcs
</s:t>
              </s:r>
            </s:text>
          </item>
        </commentChain>
      </unresolved>
      <resolved/>
    </commentChains>
    <commentChains s:ref="AI430" rgbClr="FF0000">
      <unresolved>
        <commentChain chainId="d4bc79664efeaabe40fa1a9839bede6f39906e8d">
          <item id="ec41e6e1820a7e01e820c6c1b789a33455e9c4c8" isNormal="1">
            <s:text>
              <s:r>
                <s:t xml:space="preserve">Administrator:
3002165 8/2 2500pcs</s:t>
              </s:r>
            </s:text>
          </item>
        </commentChain>
      </unresolved>
      <resolved/>
    </commentChains>
    <commentChains s:ref="AL430" rgbClr="FF0000">
      <unresolved>
        <commentChain chainId="6844f22fa62202746218d21e79343828585b24f1">
          <item id="59c2c8b551f8c37f24f60a2715d5e10bbcbb9486" isNormal="1">
            <s:text>
              <s:r>
                <s:t xml:space="preserve">Administrator:
7/16 上冰棒款-说明书荷兰语贴纸 2500pcs
     上蛋糕款-说明书荷兰语贴纸 2500pcs
     上布丁款-说明书荷兰语贴纸 2500pcs</s:t>
              </s:r>
            </s:text>
          </item>
        </commentChain>
      </unresolved>
      <resolved/>
    </commentChains>
    <commentChains s:ref="AI431" rgbClr="FF0000">
      <unresolved>
        <commentChain chainId="fb2bf3a86c0840c7aca5d13ea8319ca1be886d83">
          <item id="6be300746cd67ae03496bc33f6eb8eda0ea202a3" isNormal="1">
            <s:text>
              <s:r>
                <s:t xml:space="preserve">Administrator:
3002020 8/1 3500pcs新仓3-B11</s:t>
              </s:r>
            </s:text>
          </item>
        </commentChain>
      </unresolved>
      <resolved/>
    </commentChains>
    <commentChains s:ref="AL431" rgbClr="FF0000">
      <unresolved>
        <commentChain chainId="fd9723363de34de9ceb53181180ae2705733bdd8">
          <item id="c874d0ff7322aef0fb6a1d82db32a06caffe16ca" isNormal="1">
            <s:text>
              <s:r>
                <s:t xml:space="preserve">Administrator:
7/16 上进口商贴纸   3500pcs
      上UPC条码贴纸 3500pcs</s:t>
              </s:r>
            </s:text>
          </item>
        </commentChain>
      </unresolved>
      <resolved/>
    </commentChains>
    <commentChains s:ref="AI432" rgbClr="FF0000">
      <unresolved>
        <commentChain chainId="1ff479216af80416bbdd0e8354009b9ca50954a3">
          <item id="554ef9caca0bd7e05566b2bbd76ae90975df4c68" isNormal="1">
            <s:text>
              <s:r>
                <s:t xml:space="preserve">Administrator:
3002020 8/1 500pcs新仓3-B11
</s:t>
              </s:r>
            </s:text>
          </item>
        </commentChain>
      </unresolved>
      <resolved/>
    </commentChains>
    <commentChains s:ref="AI437" rgbClr="FF0000">
      <unresolved>
        <commentChain chainId="11ea276cda4e81d98c68be74a9bdf43e87ba030d">
          <item id="ae2ff9af14c99d04d8b7a5ef98c8f18d7326d777" isNormal="1">
            <s:text>
              <s:r>
                <s:t xml:space="preserve">Administrator:
3002193 8/2 492pcs
华3B2</s:t>
              </s:r>
            </s:text>
          </item>
        </commentChain>
      </unresolved>
      <resolved/>
    </commentChains>
    <commentChains s:ref="AL437" rgbClr="FF0000">
      <unresolved>
        <commentChain chainId="8998f12ab798da42891fc961ab8e918ae7c3a4c0">
          <item id="a1f0b4b1266bf5ca556a9e79fd8586a9f8cbb288" isNormal="1">
            <s:text>
              <s:r>
                <s:t xml:space="preserve">Administrator:
7/21 上空白贴纸984pcs
7/21 上环保标贴纸492pcs
7/21 上亚马逊外箱贴纸41pcs</s:t>
              </s:r>
            </s:text>
          </item>
        </commentChain>
      </unresolved>
      <resolved/>
    </commentChains>
    <commentChains s:ref="AI438" rgbClr="FF0000">
      <unresolved>
        <commentChain chainId="d0c21f207d901eca8e533f2985abef3c9e4d7786">
          <item id="0187e47f7e466b7a52b845cd34c2d6c892ea4414" isNormal="1">
            <s:text>
              <s:r>
                <s:t xml:space="preserve">Administrator:
3002380 8/5 3375pcs
华3B8</s:t>
              </s:r>
            </s:text>
          </item>
        </commentChain>
      </unresolved>
      <resolved/>
    </commentChains>
    <commentChains s:ref="AI439" rgbClr="FF0000">
      <unresolved>
        <commentChain chainId="9ca02d028d940b774b83d8ab59dca409d8096fa3">
          <item id="944224c15c7daadd10c3c38833d6607dbd8ff79d" isNormal="1">
            <s:text>
              <s:r>
                <s:t xml:space="preserve">Administrator:
3002193 8/2 1500pcs华3B6</s:t>
              </s:r>
            </s:text>
          </item>
        </commentChain>
      </unresolved>
      <resolved/>
    </commentChains>
    <commentChains s:ref="AL439" rgbClr="FF0000">
      <unresolved>
        <commentChain chainId="1d4bd3b658c74cc7b33ee7c122d6d856c9b09f07">
          <item id="6e3f3fb374bd2fdfd49b6cb26ea4fa5681c37088" isNormal="1">
            <s:text>
              <s:r>
                <s:t xml:space="preserve">Administrator:
UPC条码贴纸1500pcs
进口商贴纸1500pcs
</s:t>
              </s:r>
            </s:text>
          </item>
        </commentChain>
      </unresolved>
      <resolved/>
    </commentChains>
    <commentChains s:ref="AI440" rgbClr="FF0000">
      <unresolved>
        <commentChain chainId="35e43b2357994453dfb0914e4f0138ecda27c975">
          <item id="8d5971444684b89e35c03d09739abe9f05c89033" isNormal="1">
            <s:text>
              <s:r>
                <s:t xml:space="preserve">Administrator:
3002038 7/31 897pcs华3A14</s:t>
              </s:r>
            </s:text>
          </item>
        </commentChain>
      </unresolved>
      <resolved/>
    </commentChains>
    <commentChains s:ref="AI441" rgbClr="FF0000">
      <unresolved>
        <commentChain chainId="bcb2af7340e16ff56b4aee4ce1d70a413fd589ad">
          <item id="791984c8faf8cfdd74d924408eaf4bd4983fc793" isNormal="1">
            <s:text>
              <s:r>
                <s:t xml:space="preserve">Administrator:
3002038 7/31 286pcs
华3B7</s:t>
              </s:r>
            </s:text>
          </item>
        </commentChain>
      </unresolved>
      <resolved/>
    </commentChains>
    <commentChains s:ref="AI442" rgbClr="FF0000">
      <unresolved>
        <commentChain chainId="7538781520fb8c3387a7959720620cf632eb00c9">
          <item id="512c04cd39385c3b81cf84e85af30099c4b14c61" isNormal="1">
            <s:text>
              <s:r>
                <s:t xml:space="preserve">Administrator:
3002038 7/31 1092pcs
华3A13</s:t>
              </s:r>
            </s:text>
          </item>
        </commentChain>
      </unresolved>
      <resolved/>
    </commentChains>
    <commentChains s:ref="AI443" rgbClr="FF0000">
      <unresolved>
        <commentChain chainId="32c1581809c95b3a13e24a0e4f56b149720a0ba4">
          <item id="16ce4e59721a27f58ef909ef45222ea798c5766e" isNormal="1">
            <s:text>
              <s:r>
                <s:t xml:space="preserve">Administrator:
3002038 7/31 390pcs华3B7
</s:t>
              </s:r>
            </s:text>
          </item>
        </commentChain>
      </unresolved>
      <resolved/>
    </commentChains>
    <commentChains s:ref="AI444" rgbClr="FF0000">
      <unresolved>
        <commentChain chainId="6dbbd6c6870de3a3e2a3c4aabbab80dcc6a286ac">
          <item id="3407c0cfc25eb25fde1d8b5904e2928301ead7dc" isNormal="1">
            <s:text>
              <s:r>
                <s:t xml:space="preserve">Administrator:
3002038 7/31 390pcs华3B7
</s:t>
              </s:r>
            </s:text>
          </item>
        </commentChain>
      </unresolved>
      <resolved/>
    </commentChains>
    <commentChains s:ref="AI445" rgbClr="FF0000">
      <unresolved>
        <commentChain chainId="13ebae502d6314b5862f021b5745a4c74228dc54">
          <item id="d5c07c093db86978b01feb91ba7dd75225447f8a" isNormal="1">
            <s:text>
              <s:r>
                <s:t xml:space="preserve">Administrator:
3002038 7/31 143pcs华3B6
</s:t>
              </s:r>
            </s:text>
          </item>
        </commentChain>
      </unresolved>
      <resolved/>
    </commentChains>
    <commentChains s:ref="AI446" rgbClr="FF0000">
      <unresolved>
        <commentChain chainId="4bd837157e96a23890172f1610f1953d6ebaee17">
          <item id="416ddb26b1b150004346bbaf70686d47c126993c" isNormal="1">
            <s:text>
              <s:r>
                <s:t xml:space="preserve">Administrator:
3002038 7/31 182pcs华3B6
</s:t>
              </s:r>
            </s:text>
          </item>
        </commentChain>
      </unresolved>
      <resolved/>
    </commentChains>
    <commentChains s:ref="AI447" rgbClr="FF0000">
      <unresolved>
        <commentChain chainId="3a32dfc82c3cd752cbfc28197b2a99cd609356ae">
          <item id="4276232be922421377d1538ef5955a6eb12511f9" isNormal="1">
            <s:text>
              <s:r>
                <s:t xml:space="preserve">Administrator:
3002038 7/31 130pcs
华3B7</s:t>
              </s:r>
            </s:text>
          </item>
        </commentChain>
      </unresolved>
      <resolved/>
    </commentChains>
    <commentChains s:ref="AI449" rgbClr="FF0000">
      <unresolved>
        <commentChain chainId="f84667dbb7d2ff396c62f8c2d9e4cb772d0401fa">
          <item id="4a646fe2f0c5450ff0430f2ee2c994fa9ac6ed75" isNormal="1">
            <s:text>
              <s:r>
                <s:t xml:space="preserve">Administrator:
300232 8/5 312pcs莫4B8</s:t>
              </s:r>
            </s:text>
          </item>
        </commentChain>
      </unresolved>
      <resolved/>
    </commentChains>
    <commentChains s:ref="AL449" rgbClr="FF0000">
      <unresolved>
        <commentChain chainId="c1ab01fe57c7632a555c0d7cc3891515468dd164">
          <item id="7f91c483c2c65f09ff3f892cfcacbc8c2123809f" isNormal="1">
            <s:text>
              <s:r>
                <s:t xml:space="preserve">Administrator:
7/26 上客供外箱条码贴纸24pcs
</s:t>
              </s:r>
            </s:text>
          </item>
        </commentChain>
      </unresolved>
      <resolved/>
    </commentChains>
    <commentChains s:ref="AI450" rgbClr="FF0000">
      <unresolved>
        <commentChain chainId="dc3ec9c1bb6e698b16f949912fae3786c07036f9">
          <item id="a1d66aaa23b6317f496cf7dd85fcfc529fb08fe4" isNormal="1">
            <s:text>
              <s:r>
                <s:t xml:space="preserve">Administrator:
3002339 8/6 3924pcs走走</s:t>
              </s:r>
            </s:text>
          </item>
        </commentChain>
      </unresolved>
      <resolved/>
    </commentChains>
    <commentChains s:ref="AL450" rgbClr="FF0000">
      <unresolved>
        <commentChain chainId="d4c73dfdf27170f6af5df7d76cc0ab888c23e43d">
          <item id="9d0b0db4d810e7b9375c4e7060daef1cecc0968a" isNormal="1">
            <s:text>
              <s:r>
                <s:t xml:space="preserve">Administrator:
7/23 上客供亚马逊外箱贴纸327pcs</s:t>
              </s:r>
            </s:text>
          </item>
        </commentChain>
      </unresolved>
      <resolved/>
    </commentChains>
    <commentChains s:ref="AI451" rgbClr="FF0000">
      <unresolved>
        <commentChain chainId="29b0f24ed075fb82d6e0c190738b571e4e2be6c8">
          <item id="f2cdcdb0e8331bfa3e335d307119b52e28b29e78" isNormal="1">
            <s:text>
              <s:r>
                <s:t xml:space="preserve">Administrator:
3002339 8/6  4272pcs华1F4</s:t>
              </s:r>
            </s:text>
          </item>
        </commentChain>
      </unresolved>
      <resolved/>
    </commentChains>
    <commentChains s:ref="AL451" rgbClr="FF0000">
      <unresolved>
        <commentChain chainId="66c16e9838f5dce124659429feee048bbff44229">
          <item id="a3e981023115c805e71c646a260af22085ded175" isNormal="1">
            <s:text>
              <s:r>
                <s:t xml:space="preserve">Administrator:
7/23 上客供亚马逊外箱贴纸356pcs
</s:t>
              </s:r>
            </s:text>
          </item>
        </commentChain>
      </unresolved>
      <resolved/>
    </commentChains>
    <commentChains s:ref="AI452" rgbClr="FF0000">
      <unresolved>
        <commentChain chainId="e068b492be63b968995ac4e3b1fcce377dc3b651">
          <item id="916c7205a3a4a50bc5fb25ad33d30092b3cc698a" isNormal="1">
            <s:text>
              <s:r>
                <s:t xml:space="preserve">Administrator:
3002318 8/7 1600pcs莫A一楼A6
</s:t>
              </s:r>
            </s:text>
          </item>
        </commentChain>
      </unresolved>
      <resolved/>
    </commentChains>
    <commentChains s:ref="AI453" rgbClr="FF0000">
      <unresolved>
        <commentChain chainId="ec75d037991bbf6ba9a459d2eea4eb5a9d0d540c">
          <item id="8b75ef527904dff34779a6db93a0b67825ea30c7" isNormal="1">
            <s:text>
              <s:r>
                <s:t xml:space="preserve">Administrator:
3002330 8/6 1300pcs华3B14</s:t>
              </s:r>
            </s:text>
          </item>
        </commentChain>
      </unresolved>
      <resolved/>
    </commentChains>
    <commentChains s:ref="AL453" rgbClr="FF0000">
      <unresolved>
        <commentChain chainId="fa01a559b2c75bbe1923465c1e7882b4053eb2b7">
          <item id="5f3c39aa4c6c3dec3196982435b91793ff017e68" isNormal="1">
            <s:text>
              <s:r>
                <s:t xml:space="preserve">Administrator:
7/15 上意大利环保标贴纸1300pcs</s:t>
              </s:r>
            </s:text>
          </item>
        </commentChain>
      </unresolved>
      <resolved/>
    </commentChains>
    <commentChains s:ref="AI454" rgbClr="FF0000">
      <unresolved>
        <commentChain chainId="b83517fd766b55261a2b8efb21706ff920df11b0">
          <item id="0b5f0b1587fe6fb0abac06d5bc7b7e6413b4068d" isNormal="1">
            <s:text>
              <s:r>
                <s:t xml:space="preserve">Administrator:
3002380 8/5 5500pcs华3A30</s:t>
              </s:r>
            </s:text>
          </item>
        </commentChain>
      </unresolved>
      <resolved/>
    </commentChains>
    <commentChains s:ref="AI455" rgbClr="FF0000">
      <unresolved>
        <commentChain chainId="5b1f5a0258317ca890267a324fc7b3abf253550f">
          <item id="0a1c4fe269757863803a09783ea45406dc8e727b" isNormal="1">
            <s:text>
              <s:r>
                <s:t xml:space="preserve">Administrator:
3002380 8/5 5000pcs
华3A24</s:t>
              </s:r>
            </s:text>
          </item>
        </commentChain>
      </unresolved>
      <resolved/>
    </commentChains>
    <commentChains s:ref="AI456" rgbClr="FF0000">
      <unresolved>
        <commentChain chainId="80ad579c53afb6927f2da5337ec23f9278253884">
          <item id="8ffc3efc51fa94b3997e2f0146ad29acaf00800d" isNormal="1">
            <s:text>
              <s:r>
                <s:t xml:space="preserve">Administrator:
3002380 8/5 2200pcs
华3A30</s:t>
              </s:r>
            </s:text>
          </item>
        </commentChain>
      </unresolved>
      <resolved/>
    </commentChains>
    <commentChains s:ref="AI457" rgbClr="FF0000">
      <unresolved>
        <commentChain chainId="43703bbbfc9b2537643b2f335159047e9d35cd8d">
          <item id="16762ff629176821ce866e4d6727ae437f5968b7" isNormal="1">
            <s:text>
              <s:r>
                <s:t xml:space="preserve">Administrator:
3002380 8/5 7000pcs
华3A24</s:t>
              </s:r>
            </s:text>
          </item>
        </commentChain>
      </unresolved>
      <resolved/>
    </commentChains>
    <commentChains s:ref="AI458" rgbClr="FF0000">
      <unresolved>
        <commentChain chainId="12e7839761b082648dd41a54cb749d1dec29407d">
          <item id="8fb98ad47d5eaa16fa0e39804e1978a117a833cc" isNormal="1">
            <s:text>
              <s:r>
                <s:t xml:space="preserve">Administrator:
3002318 8/7 16825pcs莫A一楼A6</s:t>
              </s:r>
            </s:text>
          </item>
        </commentChain>
      </unresolved>
      <resolved/>
    </commentChains>
    <commentChains s:ref="AL458" rgbClr="FF0000">
      <unresolved>
        <commentChain chainId="1c84f5c89934da00902ab2cd54f8fb182ea88e24">
          <item id="8f9beec2c63c2b356eb855b22ccd10acb3a9b8d9" isNormal="1">
            <s:text>
              <s:r>
                <s:t xml:space="preserve">Administrator:
7/16 上客供外箱条码贴纸680pcs</s:t>
              </s:r>
            </s:text>
          </item>
        </commentChain>
      </unresolved>
      <resolved/>
    </commentChains>
    <commentChains s:ref="AI459" rgbClr="FF0000">
      <unresolved>
        <commentChain chainId="898339e0fd7db87274c1cad269c45f456e05af14">
          <item id="5f733024d0c0ba5ce9cbc71d96ad301b1b93dd99" isNormal="1">
            <s:text>
              <s:r>
                <s:t xml:space="preserve">Administrator:
3002312 8/8 169pcs华3B8</s:t>
              </s:r>
            </s:text>
          </item>
        </commentChain>
      </unresolved>
      <resolved/>
    </commentChains>
    <commentChains s:ref="AL459" rgbClr="FF0000">
      <unresolved>
        <commentChain chainId="3c33082dfd6f30d48befbd4f83444326b3e20fac">
          <item id="3fadf7d05772d16c355c93c384bab5407de5a082" isNormal="1">
            <s:text>
              <s:r>
                <s:t xml:space="preserve">Administrator:
7/16 上白色防盗贴纸 169pcs
7/23 上UPC条码贴纸169pcs
</s:t>
              </s:r>
            </s:text>
          </item>
        </commentChain>
      </unresolved>
      <resolved/>
    </commentChains>
    <commentChains s:ref="AI460" rgbClr="FF0000">
      <unresolved>
        <commentChain chainId="5ce6c567ee4f92d12349a09c0e678129b55c4894">
          <item id="f0c73acd2ccb7c71e8448cc4e58b7446a2a763ac" isNormal="1">
            <s:text>
              <s:r>
                <s:t xml:space="preserve">Administrator:
3002312 8/8 1339pcs
华3B8</s:t>
              </s:r>
            </s:text>
          </item>
        </commentChain>
      </unresolved>
      <resolved/>
    </commentChains>
    <commentChains s:ref="AL460" rgbClr="FF0000">
      <unresolved>
        <commentChain chainId="5ddf8bc11b1f428b87c8a1f05fca16857e626512">
          <item id="3b4d0edab9753f5261d581e516d288c718b4678e" isNormal="1">
            <s:text>
              <s:r>
                <s:t xml:space="preserve">Administrator:
7/16 上白色防盗贴纸 1339pcs
7/23 上UPC条码贴纸1339pcs</s:t>
              </s:r>
            </s:text>
          </item>
        </commentChain>
      </unresolved>
      <resolved/>
    </commentChains>
    <commentChains s:ref="AI461" rgbClr="FF0000">
      <unresolved>
        <commentChain chainId="b69fc952ed7cf2fc25b56de311a2fac811ef350b">
          <item id="e5be065e8c72bb434887dd927f7b630972f19228" isNormal="1">
            <s:text>
              <s:r>
                <s:t xml:space="preserve">Administrator:
3002380 8/5 6000pcs
华3A24</s:t>
              </s:r>
            </s:text>
          </item>
        </commentChain>
      </unresolved>
      <resolved/>
    </commentChains>
    <commentChains s:ref="AI462" rgbClr="FF0000">
      <unresolved>
        <commentChain chainId="3d5dd3397ec0a958b42114bf8c8302c9efa96431">
          <item id="3a2c52226b97bf84e13e7ff8c913e3d27a93c650" isNormal="1">
            <s:text>
              <s:r>
                <s:t xml:space="preserve">Administrator:
400330 8/12 2844pcs
新仓1-B2
</s:t>
              </s:r>
            </s:text>
          </item>
        </commentChain>
      </unresolved>
      <resolved/>
    </commentChains>
    <commentChains s:ref="AL462" rgbClr="FF0000">
      <unresolved>
        <commentChain chainId="d93996c7f89a40734530910654b7de4af5a483b8">
          <item id="acde2327a8f4670cd3fa439f81fa82478aeaf601" isNormal="1">
            <s:text>
              <s:r>
                <s:t xml:space="preserve">Administrator:
7/23 上客供亚马逊外箱贴纸237pcs</s:t>
              </s:r>
            </s:text>
          </item>
        </commentChain>
      </unresolved>
      <resolved/>
    </commentChains>
    <commentChains s:ref="AI463" rgbClr="FF0000">
      <unresolved>
        <commentChain chainId="06ca7176c02538182480db1747a3e950f1926d50">
          <item id="552c495ddd0e4414e717be6db0fb33a67b17681f" isNormal="1">
            <s:text>
              <s:r>
                <s:t xml:space="preserve">Administrator:
4000300 8/9 2832pcs
华3B9</s:t>
              </s:r>
            </s:text>
          </item>
        </commentChain>
      </unresolved>
      <resolved/>
    </commentChains>
    <commentChains s:ref="AL463" rgbClr="FF0000">
      <unresolved>
        <commentChain chainId="f7cfe8750f4ddcb9407848057565532d76364928">
          <item id="fbbcfccc5981976eac9ea862c3c637b7c81ccdc7" isNormal="1">
            <s:text>
              <s:r>
                <s:t xml:space="preserve">Administrator:
7/3 上客供RFID贴纸2832pcs
</s:t>
              </s:r>
            </s:text>
          </item>
        </commentChain>
      </unresolved>
      <resolved/>
    </commentChains>
    <commentChains s:ref="AI464" rgbClr="FF0000">
      <unresolved>
        <commentChain chainId="d5d9d1ff0ba0a85e7893d0b5c2331bb4d71e9699">
          <item id="29f450cd4473ff0f344a2f2228e69d1fecdc81b2" isNormal="1">
            <s:text>
              <s:r>
                <s:t xml:space="preserve">Administrator:
4000300 8/9 4048pcs
华3B9</s:t>
              </s:r>
            </s:text>
          </item>
        </commentChain>
      </unresolved>
      <resolved/>
    </commentChains>
    <commentChains s:ref="AL464" rgbClr="FF0000">
      <unresolved>
        <commentChain chainId="e462b97fcacc938b174d0e9fa090aea54e34ffc5">
          <item id="34664a0c4d9911489cf50330344ba68db5e77146" isNormal="1">
            <s:text>
              <s:r>
                <s:t xml:space="preserve">Administrator:
7/3 上客供RFID贴纸4048pcs
</s:t>
              </s:r>
            </s:text>
          </item>
        </commentChain>
      </unresolved>
      <resolved/>
    </commentChains>
    <commentChains s:ref="AI465" rgbClr="FF0000">
      <unresolved>
        <commentChain chainId="a3a3ad2c664afb1f9dc7d58a3d3b4479849930ec">
          <item id="798e69d9508fd165d32df106e69e09e4f00da0ff" isNormal="1">
            <s:text>
              <s:r>
                <s:t xml:space="preserve">Administrator:
4000300 8/9 2736pcs
华3B8</s:t>
              </s:r>
            </s:text>
          </item>
        </commentChain>
      </unresolved>
      <resolved/>
    </commentChains>
    <commentChains s:ref="AL465" rgbClr="FF0000">
      <unresolved>
        <commentChain chainId="5ab1c3b908d82311e21324c5bf56f52316045aa4">
          <item id="0fae02cfb1e57345514b6cb87f06215ef8a65982" isNormal="1">
            <s:text>
              <s:r>
                <s:t xml:space="preserve">Administrator:
7/3 上客供RFID贴纸2736pcs
</s:t>
              </s:r>
            </s:text>
          </item>
        </commentChain>
      </unresolved>
      <resolved/>
    </commentChains>
    <commentChains s:ref="AI466" rgbClr="FF0000">
      <unresolved>
        <commentChain chainId="3d5c5c979f301dc3e6509f72190ac8baa16d0fac">
          <item id="426f423a76c886f8da0bfdd649f5a5ff39b2b705" isNormal="1">
            <s:text>
              <s:r>
                <s:t xml:space="preserve">Administrator:
4000300 8/9 3024pcs
华3B8</s:t>
              </s:r>
            </s:text>
          </item>
        </commentChain>
      </unresolved>
      <resolved/>
    </commentChains>
    <commentChains s:ref="AL466" rgbClr="FF0000">
      <unresolved>
        <commentChain chainId="2e5ec66928621397cb0ce473d8f31931911ae7dd">
          <item id="e7e9390aaed13d239d5b384002278847872b403a" isNormal="1">
            <s:text>
              <s:r>
                <s:t xml:space="preserve">Administrator:
7/3 上客供RFID贴纸3024pcs
</s:t>
              </s:r>
            </s:text>
          </item>
        </commentChain>
      </unresolved>
      <resolved/>
    </commentChains>
    <commentChains s:ref="AI467" rgbClr="FF0000">
      <unresolved>
        <commentChain chainId="f32606d5e631ff21e77e4092ec7a7bb62392bb03">
          <item id="af7038de92a4ee765b997e75654b9bd9c119e937" isNormal="1">
            <s:text>
              <s:r>
                <s:t xml:space="preserve">Administrator:
4000300 8/9 3488pcs
华3B9</s:t>
              </s:r>
            </s:text>
          </item>
        </commentChain>
      </unresolved>
      <resolved/>
    </commentChains>
    <commentChains s:ref="AI468" rgbClr="FF0000">
      <unresolved>
        <commentChain chainId="0eb55cb3b9dd740562379f4138bbf872874029f9">
          <item id="a6c664a4a6d65fa8789d4ecf7929283227871c79" isNormal="1">
            <s:text>
              <s:r>
                <s:t xml:space="preserve">Administrator:
4000300 8/9 2688pcs
华3B9</s:t>
              </s:r>
            </s:text>
          </item>
        </commentChain>
      </unresolved>
      <resolved/>
    </commentChains>
    <commentChains s:ref="AI469" rgbClr="FF0000">
      <unresolved>
        <commentChain chainId="ba01b18ddd474c7f12a7cc8470d2804dbf4ebf83">
          <item id="d17e82c8d55b168b179083fbeb405a9f689dec9a" isNormal="1">
            <s:text>
              <s:r>
                <s:t xml:space="preserve">Administrator:
4000300 8/9 2256pcs
华3B9
4000352 8/13 16pcs华3B9</s:t>
              </s:r>
            </s:text>
          </item>
        </commentChain>
      </unresolved>
      <resolved/>
    </commentChains>
    <commentChains s:ref="AI470" rgbClr="FF0000">
      <unresolved>
        <commentChain chainId="c014f4ec7f9b942416997c2e863af009312a21da">
          <item id="a7bf26c470af5fef729e54999e9b0b0d74bf518e" isNormal="1">
            <s:text>
              <s:r>
                <s:t xml:space="preserve">Administrator:
3002330 8/6 1612pcs华3A27</s:t>
              </s:r>
            </s:text>
          </item>
        </commentChain>
      </unresolved>
      <resolved/>
    </commentChains>
    <commentChains s:ref="AI471" rgbClr="FF0000">
      <unresolved>
        <commentChain chainId="f02d081280cf449241e2f8b460fef3573a1b945b">
          <item id="0bea9b435288b0aeedf2e431ddc8b7080accef2f" isNormal="1">
            <s:text>
              <s:r>
                <s:t xml:space="preserve">Administrator:
3002287 8/8 12168pcs莫A一楼B7</s:t>
              </s:r>
            </s:text>
          </item>
        </commentChain>
      </unresolved>
      <resolved/>
    </commentChains>
    <commentChains s:ref="AL471" rgbClr="FF0000">
      <unresolved>
        <commentChain chainId="e9dbf543400a2b6295fdf872643fcc2167efd06a">
          <item id="f247453fe79af56d3d22db2344ab34c717df8a9d" isNormal="1">
            <s:text>
              <s:r>
                <s:t xml:space="preserve">Administrator:
8/26 上客户EAN贴纸12168pcs
PDQ数量贴纸12168pcs
</s:t>
              </s:r>
            </s:text>
          </item>
        </commentChain>
      </unresolved>
      <resolved/>
    </commentChains>
    <commentChains s:ref="AI472" rgbClr="FF0000">
      <unresolved>
        <commentChain chainId="5abdfea9d7a90bf5a4c8fd8d877fdeef51164d6a">
          <item id="82018dba7c0204f472b39958452ae6a2676b1745" isNormal="1">
            <s:text>
              <s:r>
                <s:t xml:space="preserve">Administrator:
4000300 8/9 1040pcs
华3B13</s:t>
              </s:r>
            </s:text>
          </item>
        </commentChain>
      </unresolved>
      <resolved/>
    </commentChains>
    <commentChains s:ref="AL472" rgbClr="FF0000">
      <unresolved>
        <commentChain chainId="d2e395f20f041fb41475479e9862d0d6ab6a4ec2">
          <item id="c4cd5df8110a63ef04072bb99991fc4eb17399f2" isNormal="1">
            <s:text>
              <s:r>
                <s:t xml:space="preserve">Administrator:
7/16 上客供警语贴纸贴球底部   1076pcs
     上客供警语贴纸贴收藏指南 1076pcs
     上客供警语贴纸贴说明书上 1076pcs
  7/24 上UPC条码贴纸1040pcs</s:t>
              </s:r>
            </s:text>
          </item>
        </commentChain>
      </unresolved>
      <resolved/>
    </commentChains>
    <commentChains s:ref="AI473" rgbClr="FF0000">
      <unresolved>
        <commentChain chainId="a8579ed0af5fa9b9a3e0b5ac12ce77ca7c9e30e4">
          <item id="3a680bbd207e671e4eca92c3b29f42abfc1ed0f0" isNormal="1">
            <s:text>
              <s:r>
                <s:t xml:space="preserve">Administrator:
3002380 8/5 3300pcs
华3A23</s:t>
              </s:r>
            </s:text>
          </item>
        </commentChain>
      </unresolved>
      <resolved/>
    </commentChains>
    <commentChains s:ref="AI474" rgbClr="FF0000">
      <unresolved>
        <commentChain chainId="30f2b715cf99c073792808e111fa4a1f3f22a7fc">
          <item id="c476656525d033a2ec45f75b9f9c98d45c4c3a09" isNormal="1">
            <s:text>
              <s:r>
                <s:t xml:space="preserve">Administrator:
400330 8/12 5772pcs
新仓1-A4</s:t>
              </s:r>
            </s:text>
          </item>
        </commentChain>
      </unresolved>
      <resolved/>
    </commentChains>
    <commentChains s:ref="AL474" rgbClr="FF0000">
      <unresolved>
        <commentChain chainId="9d60b4babcb72eabf24c744142f8d2813f2182a3">
          <item id="80d8bd8f20cabdc31ef13adee8a0c8dfe786de0f" isNormal="1">
            <s:text>
              <s:r>
                <s:t xml:space="preserve">Administrator:
7/23 上客供亚马逊外箱贴纸481pcs</s:t>
              </s:r>
            </s:text>
          </item>
        </commentChain>
      </unresolved>
      <resolved/>
    </commentChains>
    <commentChains s:ref="AI475" rgbClr="FF0000">
      <unresolved>
        <commentChain chainId="62e471b81f46efe897867b3a8ab19d5cf7218076">
          <item id="473e02d94003db2c7e32c709ffd30355223ecd06" isNormal="1">
            <s:text>
              <s:r>
                <s:t xml:space="preserve">Administrator:
400330 8/12 936pcs
新仓1-B4</s:t>
              </s:r>
            </s:text>
          </item>
        </commentChain>
      </unresolved>
      <resolved/>
    </commentChains>
    <commentChains s:ref="AL475" rgbClr="FF0000">
      <unresolved>
        <commentChain chainId="c3a07a54f90037327a4c0b1634bc49b23159448a">
          <item id="7f2d679217b52f33102aca9b630ab046f9bd3a56" isNormal="1">
            <s:text>
              <s:r>
                <s:t xml:space="preserve">Administrator:
7/23 上客供亚马逊外箱贴纸78pcs</s:t>
              </s:r>
            </s:text>
          </item>
        </commentChain>
      </unresolved>
      <resolved/>
    </commentChains>
    <commentChains s:ref="AI476" rgbClr="FF0000">
      <unresolved>
        <commentChain chainId="aa7036f6f47b15198374b37d17d80d2b927ca12f">
          <item id="9f3d328fcbc1c9a01ecd701d7ae56474da3e1054" isNormal="1">
            <s:text>
              <s:r>
                <s:t xml:space="preserve">Administrator:
4000307 8/11 24675pcs莫4B8</s:t>
              </s:r>
            </s:text>
          </item>
        </commentChain>
      </unresolved>
      <resolved/>
    </commentChains>
    <commentChains s:ref="AL476" rgbClr="FF0000">
      <unresolved>
        <commentChain chainId="84121b9b8d7bf1e13951a654534d1634d887b928">
          <item id="a22d4b887a46fb1453ebdf6709a6b7ebe9f3bc96" isNormal="1">
            <s:text>
              <s:r>
                <s:t xml:space="preserve">Administrator:
7/28 上客供外箱条码贴纸997pcs
</s:t>
              </s:r>
            </s:text>
          </item>
        </commentChain>
      </unresolved>
      <resolved/>
    </commentChains>
    <commentChains s:ref="AI477" rgbClr="FF0000">
      <unresolved>
        <commentChain chainId="dcdc3cdf1ec6bd946ea69e05b09580ca510aabf4">
          <item id="9d3b8ad1ae17da528028892a82802acccf1db20a" isNormal="1">
            <s:text>
              <s:r>
                <s:t xml:space="preserve">Administrator:
4000300 8/9 300pcs华3B13</s:t>
              </s:r>
            </s:text>
          </item>
        </commentChain>
      </unresolved>
      <resolved/>
    </commentChains>
    <commentChains s:ref="AL477" rgbClr="FF0000">
      <unresolved>
        <commentChain chainId="07d6bfff501d1fa5ff0105b85b931275aa43b42d">
          <item id="37489bfc230e05ec5b9dd5d77344ac6ddaf12fb1" isNormal="1">
            <s:text>
              <s:r>
                <s:t xml:space="preserve">Administrator:
7/22 上警告语/进口商贴纸300pcs</s:t>
              </s:r>
            </s:text>
          </item>
        </commentChain>
      </unresolved>
      <resolved/>
    </commentChains>
    <commentChains s:ref="AI478" rgbClr="FF0000">
      <unresolved>
        <commentChain chainId="d1feeb4ace68a700b93c0ae2e8e0b8b61537ceaa">
          <item id="834df11f2652310a66cc69635d55226770bab4ca" isNormal="1">
            <s:text>
              <s:r>
                <s:t xml:space="preserve">Administrator:
400330 8/12 1440pcs新仓1-B</s:t>
              </s:r>
            </s:text>
          </item>
        </commentChain>
      </unresolved>
      <resolved/>
    </commentChains>
    <commentChains s:ref="AL478" rgbClr="FF0000">
      <unresolved>
        <commentChain chainId="b5c272d6a2e5ef08cb9949ed98e121807751fb8f">
          <item id="e560dfb4ccd2e56bb90a816ed89fed47058dfdd6" isNormal="1">
            <s:text>
              <s:r>
                <s:t xml:space="preserve">Administrator:
8/1 上客人警告语贴纸1440pcs
SKU号码贴纸1440pcs
8/1 上客人警语贴纸1440pcs
条码贴纸1440pcs
</s:t>
              </s:r>
            </s:text>
          </item>
        </commentChain>
      </unresolved>
      <resolved/>
    </commentChains>
    <commentChains s:ref="AI479" rgbClr="FF0000">
      <unresolved>
        <commentChain chainId="fcb9efd46ff27d03a2f203697853493601589ebb">
          <item id="557f7925fd9d9b50ad928a7b1f54edb873cc20f7" isNormal="1">
            <s:text>
              <s:r>
                <s:t xml:space="preserve">Administrator:
400330 8/12 960pcs新仓1-B3</s:t>
              </s:r>
            </s:text>
          </item>
        </commentChain>
      </unresolved>
      <resolved/>
    </commentChains>
    <commentChains s:ref="AL479" rgbClr="FF0000">
      <unresolved>
        <commentChain chainId="bfb2dd348238e7ba8aca22a5412b1203c9c3dc5d">
          <item id="a3cc184f16fb1355647a0d0b50bbc9475844f544" isNormal="1">
            <s:text>
              <s:r>
                <s:t xml:space="preserve">Administrator:
8/1 上客人警告语贴纸960pcs
SKU号码贴纸960pcs
</s:t>
              </s:r>
            </s:text>
          </item>
        </commentChain>
      </unresolved>
      <resolved/>
    </commentChains>
    <commentChains s:ref="AI480" rgbClr="FF0000">
      <unresolved>
        <commentChain chainId="117d8b29b59870ccb512b2fb054c165e49ed7f37">
          <item id="7c8690494a1fb452f3955dee56943a9608e8e659" isNormal="1">
            <s:text>
              <s:r>
                <s:t xml:space="preserve">Administrator:
4000266 8/8 504pcs新仓3-B8</s:t>
              </s:r>
            </s:text>
          </item>
        </commentChain>
      </unresolved>
      <resolved/>
    </commentChains>
    <commentChains s:ref="AL480" rgbClr="FF0000">
      <unresolved>
        <commentChain chainId="61ac1aa2d1e191483575e4abc777061ee08f6e9a">
          <item id="bc77eb97c70de559b4e79969ff64e2d1ed11e48a" isNormal="1">
            <s:text>
              <s:r>
                <s:t xml:space="preserve">Administrator:
7/21 上EAN条码贴纸1008pcs
空白贴纸1008pcs
7/21 上多语折叠贴纸504pcs</s:t>
              </s:r>
            </s:text>
          </item>
        </commentChain>
      </unresolved>
      <resolved/>
    </commentChains>
    <commentChains s:ref="AI481" rgbClr="FF0000">
      <unresolved>
        <commentChain chainId="20c54a4f8f4957db2fa5f9a4dcb524000036b3d3">
          <item id="50ef5787326da94839cbdc958f66269fc4b62148" isNormal="1">
            <s:text>
              <s:r>
                <s:t xml:space="preserve">Administrator:
3002312 8/8 1950pcs
华3B14</s:t>
              </s:r>
            </s:text>
          </item>
        </commentChain>
      </unresolved>
      <resolved/>
    </commentChains>
    <commentChains s:ref="AL481" rgbClr="FF0000">
      <unresolved>
        <commentChain chainId="71cdb17907fc178c3eeb9c940b35bd75f0e142c2">
          <item id="4053fcfbd1777c5535a91a952132d29bc956428f" isNormal="1">
            <s:text>
              <s:r>
                <s:t xml:space="preserve">Administrator:
7/16 上白色防盗贴纸 1950pcs
7/25 上UPC贴纸1950pcs
7/31 上KM单外箱贴纸150pcs</s:t>
              </s:r>
            </s:text>
          </item>
        </commentChain>
      </unresolved>
      <resolved/>
    </commentChains>
    <commentChains s:ref="AI482" rgbClr="FF0000">
      <unresolved>
        <commentChain chainId="4f5aae8c8340a6c95b5204cc149ebae93a46baf3">
          <item id="4ee25ed1493020c3eae3eaf9f0bb71bca65ad8a1" isNormal="1">
            <s:text>
              <s:r>
                <s:t xml:space="preserve">Administrator:
3002312 8/8 143pcs
华3B8</s:t>
              </s:r>
            </s:text>
          </item>
        </commentChain>
      </unresolved>
      <resolved/>
    </commentChains>
    <commentChains s:ref="AL482" rgbClr="FF0000">
      <unresolved>
        <commentChain chainId="5cc46b13f99d68f999e0f585bf6ff14197843c24">
          <item id="57f8bce3e1e27768db359360a9e2bdfdc22cba97" isNormal="1">
            <s:text>
              <s:r>
                <s:t xml:space="preserve">Administrator:
7/16 上白色防盗贴纸 143pcs
7/25 上UPC贴纸143pcs
7/31 上KM单外箱贴纸11pcs</s:t>
              </s:r>
            </s:text>
          </item>
        </commentChain>
      </unresolved>
      <resolved/>
    </commentChains>
    <commentChains s:ref="AI485" rgbClr="FF0000">
      <unresolved>
        <commentChain chainId="569e08bbdff51e85f1c44d8e63c35564b638aace">
          <item id="a6ee68278f3d6b20635af4aa01347df6e9575167" isNormal="1">
            <s:text>
              <s:r>
                <s:t xml:space="preserve">Administrator:
4000269 8/8 720pcs张泉</s:t>
              </s:r>
            </s:text>
          </item>
        </commentChain>
      </unresolved>
      <resolved/>
    </commentChains>
    <commentChains s:ref="AL485" rgbClr="FF0000">
      <unresolved>
        <commentChain chainId="1ffc1d7c3de4852c34314efaf5a7b9175ed10bd1">
          <item id="8b0a550c2852f3fb6230e06670b729260f309a3e" isNormal="1">
            <s:text>
              <s:r>
                <s:t xml:space="preserve">Administrator:
8/1 上客人警语贴纸720pcs
条码贴纸720pcs
</s:t>
              </s:r>
            </s:text>
          </item>
        </commentChain>
      </unresolved>
      <resolved/>
    </commentChains>
    <commentChains s:ref="AI486" rgbClr="FF0000">
      <unresolved>
        <commentChain chainId="dc62f7cbb8919c98bc44d8b825209eb1b9af5762">
          <item id="729daebb172c2a01c6199c07a86d9085adf03a46" isNormal="1">
            <s:text>
              <s:r>
                <s:t xml:space="preserve">Administrator:
3002276 8/13 15pcs 一楼</s:t>
              </s:r>
            </s:text>
          </item>
        </commentChain>
      </unresolved>
      <resolved/>
    </commentChains>
    <commentChains s:ref="AI487" rgbClr="FF0000">
      <unresolved>
        <commentChain chainId="e11cec98860ff24c3832f3a21abc923f465b44db">
          <item id="8d9cbb580076607c7b26b7c94457623e7a09cee0" isNormal="1">
            <s:text>
              <s:r>
                <s:t xml:space="preserve">Administrator:
3002276 8/13 15pcs 一楼
</s:t>
              </s:r>
            </s:text>
          </item>
        </commentChain>
      </unresolved>
      <resolved/>
    </commentChains>
    <commentChains s:ref="AI488" rgbClr="FF0000">
      <unresolved>
        <commentChain chainId="199e11e45145745ee26a7ad803addf5e5c0d8a1f">
          <item id="8cf60492d47194049fc0de40056d82b1cf222a64" isNormal="1">
            <s:text>
              <s:r>
                <s:t xml:space="preserve">Administrator:
4000269 8/8 2700pcs张泉</s:t>
              </s:r>
            </s:text>
          </item>
        </commentChain>
      </unresolved>
      <resolved/>
    </commentChains>
    <commentChains s:ref="AL488" rgbClr="FF0000">
      <unresolved>
        <commentChain chainId="37e1cb75d506e9caf8f0871fc3d1ac9994167862">
          <item id="253401caa095205bf5db3446c93277076c806a97" isNormal="1">
            <s:text>
              <s:r>
                <s:t xml:space="preserve">Administrator:
8/1 上客人警语贴纸2700pcs
条码贴纸2700pcs</s:t>
              </s:r>
            </s:text>
          </item>
        </commentChain>
      </unresolved>
      <resolved/>
    </commentChains>
    <commentChains s:ref="AI491" rgbClr="FF0000">
      <unresolved>
        <commentChain chainId="032364e0e72f8f5f083dbda3dd818944aa020c41">
          <item id="e34e50adc571d14243add4aae3acb0ea1a37c232" isNormal="1">
            <s:text>
              <s:r>
                <s:t xml:space="preserve">Administrator:
4000593 8/18 3975pcs
华一F3
4000607 8/19 25pcsB 34区</s:t>
              </s:r>
            </s:text>
          </item>
        </commentChain>
      </unresolved>
      <resolved/>
    </commentChains>
    <commentChains s:ref="AL491" rgbClr="FF0000">
      <unresolved>
        <commentChain chainId="ba15e33bcbd1d66a8ae2f892ee5f751a48350ab1">
          <item id="6b2eafc5de112f29654c87d81de15265fc06548b" isNormal="1">
            <s:text>
              <s:r>
                <s:t xml:space="preserve">Administrator:
7/29 上冰棒款说明书荷兰语贴纸4000pcs
蛋糕款说明书荷兰语贴纸4000pcs
布丁款说明书荷兰语贴纸4000pcs</s:t>
              </s:r>
            </s:text>
          </item>
        </commentChain>
      </unresolved>
      <resolved/>
    </commentChains>
    <commentChains s:ref="AI492" rgbClr="FF0000">
      <unresolved>
        <commentChain chainId="45238f0a224f0fdf2d61a192686f9401de79e8a8">
          <item id="02b8c4936cd715a4d6f16071568ae3a07797bc49" isNormal="1">
            <s:text>
              <s:r>
                <s:t xml:space="preserve">Administrator:
4000607 8/19 23175pcs莫4B3</s:t>
              </s:r>
            </s:text>
          </item>
        </commentChain>
      </unresolved>
      <resolved/>
    </commentChains>
    <commentChains s:ref="AL492" rgbClr="FF0000">
      <unresolved>
        <commentChain chainId="b015564fca533d740a439f5fd15aef6cc865e330">
          <item id="cd884477c7394b5e90437bb23ee4da8c41cc293a" isNormal="1">
            <s:text>
              <s:r>
                <s:t xml:space="preserve">Administrator:
7/28 上客供外箱条码贴纸936pcs
</s:t>
              </s:r>
            </s:text>
          </item>
        </commentChain>
      </unresolved>
      <resolved/>
    </commentChains>
    <commentChains s:ref="AL493" rgbClr="FF0000">
      <unresolved>
        <commentChain chainId="1035591539419b47445aae4a93a5ccfad424b021">
          <item id="7313ac90e8138d52a0f99ce0b275c43bf2140b64" isNormal="1">
            <s:text>
              <s:r>
                <s:t xml:space="preserve">Administrator:
7/31 KM单外箱贴纸550pcs两个同PO共用</s:t>
              </s:r>
            </s:text>
          </item>
        </commentChain>
      </unresolved>
      <resolved/>
    </commentChains>
    <commentChains s:ref="AL495" rgbClr="FF0000">
      <unresolved>
        <commentChain chainId="1c495483e1b1e64e087f84ab25583b00d00f90c1">
          <item id="d9047d481693f4ace410260f37c356d9194a828f" isNormal="1">
            <s:text>
              <s:r>
                <s:t xml:space="preserve">Administrator:
7/31 上KM单外箱贴纸50pcs</s:t>
              </s:r>
            </s:text>
          </item>
        </commentChain>
      </unresolved>
      <resolved/>
    </commentChains>
    <commentChains s:ref="AI497" rgbClr="FF0000">
      <unresolved>
        <commentChain chainId="b58bfd40157ca15109a8861218a9482dbb957b36">
          <item id="3e66d208e4e4f5d1414898ea81b93da7a26310cf" isNormal="1">
            <s:text>
              <s:r>
                <s:t xml:space="preserve">Administrator:
4000248 8/21 14975pcs新仓1 -A5</s:t>
              </s:r>
            </s:text>
          </item>
        </commentChain>
      </unresolved>
      <resolved/>
    </commentChains>
    <commentChains s:ref="AL497" rgbClr="FF0000">
      <unresolved>
        <commentChain chainId="ee218ab60140dd25ea57ca05af9432db38b58900">
          <item id="a89b207a93e760f2e03edd44b4d995a15e1553eb" isNormal="1">
            <s:text>
              <s:r>
                <s:t xml:space="preserve">Administrator:
7/28 上客供外箱条码贴纸605pcs
</s:t>
              </s:r>
            </s:text>
          </item>
        </commentChain>
      </unresolved>
      <resolved/>
    </commentChains>
    <commentChains s:ref="AI498" rgbClr="FF0000">
      <unresolved>
        <commentChain chainId="c2f89f39e879d6b0b55c99c422166bab9434d1bb">
          <item id="82b5993fd58d137fd1a79ebe241a57f9e9ddea47" isNormal="1">
            <s:text>
              <s:r>
                <s:t xml:space="preserve">Administrator:
4000244 8/22 1560pcs
莫4B4
4000242 8/22 3600pcs
莫4B4</s:t>
              </s:r>
            </s:text>
          </item>
        </commentChain>
      </unresolved>
      <resolved/>
    </commentChains>
    <commentChains s:ref="AL498" rgbClr="FF0000">
      <unresolved>
        <commentChain chainId="a72005dd1f79eac286b8f4b376784ebc21da6d32">
          <item id="a5077c1c58d31b5545ddc3b19971c99b6dd6f090" isNormal="1">
            <s:text>
              <s:r>
                <s:t xml:space="preserve">Administrator:
8/2 上客供亚马逊外箱贴纸430pcs</s:t>
              </s:r>
            </s:text>
          </item>
        </commentChain>
      </unresolved>
      <resolved/>
    </commentChains>
    <commentChains s:ref="AI499" rgbClr="FF0000">
      <unresolved>
        <commentChain chainId="329ddd421803ba0807647b9b75fcce5e3a8e0003">
          <item id="6182c3f80635d54b6e359038498d96dc1d8b6306" isNormal="1">
            <s:text>
              <s:r>
                <s:t xml:space="preserve">Administrator:
4000242 8/22 1209pcs莫4B4</s:t>
              </s:r>
            </s:text>
          </item>
        </commentChain>
      </unresolved>
      <resolved/>
    </commentChains>
    <commentChains s:ref="AL499" rgbClr="FF0000">
      <unresolved>
        <commentChain chainId="9803d7cf2ccb5b0cb4002611a22a99ff8f86b99d">
          <item id="c671cc9237c9a08ae8202a7bc3404683d19fb28f" isNormal="1">
            <s:text>
              <s:r>
                <s:t xml:space="preserve">Administrator:
7/21 上多语折叠贴纸1209pcs
</s:t>
              </s:r>
            </s:text>
          </item>
        </commentChain>
      </unresolved>
      <resolved/>
    </commentChains>
    <commentChains s:ref="AI500" rgbClr="FF0000">
      <unresolved>
        <commentChain chainId="403a0b0265cbdcaf9015ec0178838e6706647764">
          <item id="f8a14d8d0063ea027ab8ad1184b4889721131a74" isNormal="1">
            <s:text>
              <s:r>
                <s:t xml:space="preserve">Administrator:
4000230 8/22 24960pcs
莫4B4</s:t>
              </s:r>
            </s:text>
          </item>
        </commentChain>
      </unresolved>
      <resolved/>
    </commentChains>
    <commentChains s:ref="AI501" rgbClr="FF0000">
      <unresolved>
        <commentChain chainId="6e52a5fc68687137c554b57faa4a3d7362021d1a">
          <item id="d87b3e356dd36f2b9fb1f3e3cdd7f1f5f83b342a" isNormal="1">
            <s:text>
              <s:r>
                <s:t xml:space="preserve">Administrator:
2002217 6/13 3900pcs莫5楼B9
3002330 8/6 3900pcs因为生产以为此单是东莞混装误送回半成品球车回来返工 华3B9</s:t>
              </s:r>
            </s:text>
          </item>
        </commentChain>
      </unresolved>
      <resolved/>
    </commentChains>
    <commentChains s:ref="AI502" rgbClr="FF0000">
      <unresolved>
        <commentChain chainId="4774d69a39088429cfe63229197ce9ff443ac5d0">
          <item id="fef9b27810e7b4249f8b7ede6f36135ba6aba702" isNormal="1">
            <s:text>
              <s:r>
                <s:t xml:space="preserve">Administrator:
4000244 8/22 130pcs莫4B4</s:t>
              </s:r>
            </s:text>
          </item>
        </commentChain>
      </unresolved>
      <resolved/>
    </commentChains>
    <commentChains s:ref="AL502" rgbClr="FF0000">
      <unresolved>
        <commentChain chainId="31c5dfcd80202162a714a62ac9eb27a73381b8ac">
          <item id="808b66822d1848d30839d5bcfd43c95450e8b17d" isNormal="1">
            <s:text>
              <s:r>
                <s:t xml:space="preserve">Administrator:
7/29 上UPC条码贴纸130pcs
8/7 上KM单外箱贴纸10pcs
8/21 上白色防盗贴纸130pcs</s:t>
              </s:r>
            </s:text>
          </item>
        </commentChain>
      </unresolved>
      <resolved/>
    </commentChains>
    <commentChains s:ref="AI503" rgbClr="FF0000">
      <unresolved>
        <commentChain chainId="39a758f133b633d13c43ccda6e793bfb3e17c4c5">
          <item id="19888e4033c3cb1df90f87b9b914e76597e27416" isNormal="1">
            <s:text>
              <s:r>
                <s:t xml:space="preserve">Administrator:
4000244 8/22 1404pcs莫4B4
4000214 8/23 13pcs莫4 B4</s:t>
              </s:r>
            </s:text>
          </item>
        </commentChain>
      </unresolved>
      <resolved/>
    </commentChains>
    <commentChains s:ref="AL503" rgbClr="FF0000">
      <unresolved>
        <commentChain chainId="7a4daebfeaa1f258843e1877d5053166bc7370e3">
          <item id="86d3111bb0097ce253b12f4e306b1d6196f0874b" isNormal="1">
            <s:text>
              <s:r>
                <s:t xml:space="preserve">Administrator:
7/29 上UPC条码贴纸1404pcs
8/7 上KM单外箱贴纸108pcs
8/21 上白色防盗贴纸1404pcs
</s:t>
              </s:r>
            </s:text>
          </item>
        </commentChain>
      </unresolved>
      <resolved/>
    </commentChains>
    <commentChains s:ref="AI504" rgbClr="FF0000">
      <unresolved>
        <commentChain chainId="93cb21f4ffae440c97b2d36ae8191520ef3f8984">
          <item id="92f5d246e272a9d32e916ec63a92815cd5425412" isNormal="1">
            <s:text>
              <s:r>
                <s:t xml:space="preserve">Administrator:
3000506 8/21 1350pcs新仓1-A3</s:t>
              </s:r>
            </s:text>
          </item>
        </commentChain>
      </unresolved>
      <resolved/>
    </commentChains>
    <commentChains s:ref="AL504" rgbClr="FF0000">
      <unresolved>
        <commentChain chainId="8eceabd5d7f39fb8978561ae0e868dccf5c395f3">
          <item id="1d5a331f65f6ee0bc270ccd38b29d2155aaf6c98" isNormal="1">
            <s:text>
              <s:r>
                <s:t xml:space="preserve">Administrator:
7/26 上收缩膜 +说明书纽扣电池警告语贴纸3000pcs
8/7上收缩膜 +说明书纽扣电池警告语贴纸1350pcs
8/14 上KM单外箱贴纸225pcs
</s:t>
              </s:r>
            </s:text>
          </item>
        </commentChain>
      </unresolved>
      <resolved/>
    </commentChains>
    <commentChains s:ref="AI507" rgbClr="FF0000">
      <unresolved>
        <commentChain chainId="edb68dd626ab0739e57e55bfaaf999e8538de65d">
          <item id="90bf37e4af20511c71a1fa57c5fe45867f996a90" isNormal="1">
            <s:text>
              <s:r>
                <s:t xml:space="preserve">Administrator:
4000230 8/22 120pcs莫4B9</s:t>
              </s:r>
            </s:text>
          </item>
        </commentChain>
      </unresolved>
      <resolved/>
    </commentChains>
    <commentChains s:ref="AL507" rgbClr="FF0000">
      <unresolved>
        <commentChain chainId="06937546733a209cc67ce8747a818fc27ca6ee18">
          <item id="f8036977faff81a5d7303ae7906e1d93f60f4958" isNormal="1">
            <s:text>
              <s:r>
                <s:t xml:space="preserve">Administrator:
7/11 上客人白色CATLABEL贴纸120pcs</s:t>
              </s:r>
            </s:text>
          </item>
        </commentChain>
      </unresolved>
      <resolved/>
    </commentChains>
    <commentChains s:ref="AI508" rgbClr="FF0000">
      <unresolved>
        <commentChain chainId="f756707c52623e9fa7b095b6f86b37974ce116f1">
          <item id="b301affadf5189dc6df43c7dcdcb63932df4c5a2" isNormal="1">
            <s:text>
              <s:r>
                <s:t xml:space="preserve">Administrator:
4000154 8/27 1677PCS华3B14 
4000084 8/29 15PCS华3B14</s:t>
              </s:r>
            </s:text>
          </item>
        </commentChain>
      </unresolved>
      <resolved/>
    </commentChains>
    <commentChains s:ref="AL508" rgbClr="FF0000">
      <unresolved>
        <commentChain chainId="df87f549d70edbaec68cf544d9646db7e5440270">
          <item id="7cadf16faaa5c8255e79944acbf7938ee15261a6" isNormal="1">
            <s:text>
              <s:r>
                <s:t xml:space="preserve">Administrator:
8/5 上UPC条码贴纸1690pcs
8/14 上KM单外箱贴纸130pcs
8/21 上白色防盗贴纸1690pcs
</s:t>
              </s:r>
            </s:text>
          </item>
        </commentChain>
      </unresolved>
      <resolved/>
    </commentChains>
    <commentChains s:ref="AI509" rgbClr="FF0000">
      <unresolved>
        <commentChain chainId="c0c30d83d9b94d11ba31de98ec92e75859c090af">
          <item id="1bc5abd6127c9d1d45a30fc23504695975e57ae2" isNormal="1">
            <s:text>
              <s:r>
                <s:t xml:space="preserve">Administrator:
4000154 8/27 3250PCS
华3a27</s:t>
              </s:r>
            </s:text>
          </item>
        </commentChain>
      </unresolved>
      <resolved/>
    </commentChains>
    <commentChains s:ref="AL509" rgbClr="FF0000">
      <unresolved>
        <commentChain chainId="6c9f5e90f9c908a1735b5e9001965afe77b6ef54">
          <item id="5efe2fed1d1f2446a3717f8386bdd1184d6a98ea" isNormal="1">
            <s:text>
              <s:r>
                <s:t xml:space="preserve">Administrator:
7/30 上价格贴纸3250pcs
8/18 上客供外箱条码贴纸250pcs
</s:t>
              </s:r>
            </s:text>
          </item>
        </commentChain>
      </unresolved>
      <resolved/>
    </commentChains>
    <commentChains s:ref="AI510" rgbClr="FF0000">
      <unresolved>
        <commentChain chainId="a8862d8d609c1a990b45c81dbbe183e42a62ad80">
          <item id="7605c6390f4361fabc513e7400c6cf2552882b57" isNormal="1">
            <s:text>
              <s:r>
                <s:t xml:space="preserve">Administrator:
4000083 8/29 5000PCS新仓1-A7</s:t>
              </s:r>
            </s:text>
          </item>
        </commentChain>
      </unresolved>
      <resolved/>
    </commentChains>
    <commentChains s:ref="AL510" rgbClr="FF0000">
      <unresolved>
        <commentChain chainId="2fd42cf30e84c555a295bb05d22c8e15e6ca6c77">
          <item id="0b4c010e9e7c4a43325b4a555a926d5d38df0c29" isNormal="1">
            <s:text>
              <s:r>
                <s:t xml:space="preserve">Administrator:
8/8 上冰棒 说明书荷兰语贴纸5000pcs
蛋糕款说明书荷兰语贴纸5000pcs
布丁款说明书荷兰语贴纸5000pcs</s:t>
              </s:r>
            </s:text>
          </item>
        </commentChain>
      </unresolved>
      <resolved/>
    </commentChains>
    <commentChains s:ref="AI511" rgbClr="FF0000">
      <unresolved>
        <commentChain chainId="758e0681de19215b08b119f64222352f8a739c60">
          <item id="b3e14fab57ced07a7002b83f67733184cceab45d" isNormal="1">
            <s:text>
              <s:r>
                <s:t xml:space="preserve">Administrator:
2002495 6/14 135pcs送回半成品加东莞混装抽办10%数量全部转到64547PO </s:t>
              </s:r>
            </s:text>
          </item>
        </commentChain>
      </unresolved>
      <resolved/>
    </commentChains>
    <commentChains s:ref="AI519" rgbClr="FF0000">
      <unresolved>
        <commentChain chainId="0dcb87686ad23a7925e4f171efa5c1f47ecfd180">
          <item id="6afede06463801c63b92e5fa2f94fb7a99ac2134" isNormal="1">
            <s:text>
              <s:r>
                <s:t xml:space="preserve">Administrator:
4000155 8/27 972PCS 华3b14
</s:t>
              </s:r>
            </s:text>
          </item>
        </commentChain>
      </unresolved>
      <resolved/>
    </commentChains>
    <commentChains s:ref="AL519" rgbClr="FF0000">
      <unresolved>
        <commentChain chainId="81a4f62bc40e2dfdf201dff197606b5bf0875220">
          <item id="20ae2517e99d507b5a67e3f2edc37a0c3fb94a26" isNormal="1">
            <s:text>
              <s:r>
                <s:t xml:space="preserve">Administrator:
7/26 上空白贴纸2976pcs
两个同PO共用
环保标贴纸1488pcs
两个同PO共用
7/31 上亚马逊外箱贴纸124pcs两个同PO共用</s:t>
              </s:r>
            </s:text>
          </item>
        </commentChain>
      </unresolved>
      <resolved/>
    </commentChains>
    <commentChains s:ref="AI520" rgbClr="FF0000">
      <unresolved>
        <commentChain chainId="933ec9ac821f4906db5b021fa038914aabd20945">
          <item id="7892748aaf2292c3029f046a39c2ef6cdb1b2e02" isNormal="1">
            <s:text>
              <s:r>
                <s:t xml:space="preserve">Administrator:
 4000155 8/27 516PCS
X华3B14</s:t>
              </s:r>
            </s:text>
          </item>
        </commentChain>
      </unresolved>
      <resolved/>
    </commentChains>
    <commentChains s:ref="AI521" rgbClr="FF0000">
      <unresolved>
        <commentChain chainId="299232269fcc5f4f0c42d4d68fbb9a66e5b09d61">
          <item id="8efb586547533d71e54f5592edd82e117a67f621" isNormal="1">
            <s:text>
              <s:r>
                <s:t xml:space="preserve">Administrator:
 4000155 8/27 804PCS
华3B15</s:t>
              </s:r>
            </s:text>
          </item>
        </commentChain>
      </unresolved>
      <resolved/>
    </commentChains>
    <commentChains s:ref="AL521" rgbClr="FF0000">
      <unresolved>
        <commentChain chainId="25dcadc0331c4ebf396717dc9a68883008cb7fea">
          <item id="0c2e77e26d94bf4235e38d0d56daded34d33cf6c" isNormal="1">
            <s:text>
              <s:r>
                <s:t xml:space="preserve">Administrator:
7/29 上空白贴纸5208pcs
环保标贴纸2604pcs
以上四个同PO共用
7/31 上亚马逊外箱贴纸217pcs四个同PO共用</s:t>
              </s:r>
            </s:text>
          </item>
        </commentChain>
      </unresolved>
      <resolved/>
    </commentChains>
    <commentChains s:ref="AI522" rgbClr="FF0000">
      <unresolved>
        <commentChain chainId="a9ebfb8a0f1489bd6fe1ad73fedea3e94faef05d">
          <item id="d15b57faca0ea28557c91cdd073f90058358c706" isNormal="1">
            <s:text>
              <s:r>
                <s:t xml:space="preserve">Administrator:
 4000155 8/27 516PCS
华3B14</s:t>
              </s:r>
            </s:text>
          </item>
        </commentChain>
      </unresolved>
      <resolved/>
    </commentChains>
    <commentChains s:ref="AI523" rgbClr="FF0000">
      <unresolved>
        <commentChain chainId="98b649c272514d55d42708ec21d56730a550a92c">
          <item id="b636b6c51f18627ff78f4b8ba10eaf53deeeaf9f" isNormal="1">
            <s:text>
              <s:r>
                <s:t xml:space="preserve">Administrator:
 4000155 8/27 792PCS
华3B14</s:t>
              </s:r>
            </s:text>
          </item>
        </commentChain>
      </unresolved>
      <resolved/>
    </commentChains>
    <commentChains s:ref="AI524" rgbClr="FF0000">
      <unresolved>
        <commentChain chainId="5f49afcb5dece2e60edcbabe767d41bb193986a5">
          <item id="249a267f5e1c54cdc81a01c48d815f769cd8df8c" isNormal="1">
            <s:text>
              <s:r>
                <s:t xml:space="preserve">Administrator:
 4000155 8/27 492PCS
华3B4</s:t>
              </s:r>
            </s:text>
          </item>
        </commentChain>
      </unresolved>
      <resolved/>
    </commentChains>
    <commentChains s:ref="AI525" rgbClr="FF0000">
      <unresolved>
        <commentChain chainId="3d42470b4df0123b471c8b05609de290606d89b8">
          <item id="a23daeb1865e28baca422867226d0b1314a5d6ff" isNormal="1">
            <s:text>
              <s:r>
                <s:t xml:space="preserve">Administrator:
4000138 8/28 5500PCS新仓1A6
4000140 8/28 44500PCS新仓1-A6</s:t>
              </s:r>
            </s:text>
          </item>
        </commentChain>
      </unresolved>
      <resolved/>
    </commentChains>
    <commentChains s:ref="AL525" rgbClr="FF0000">
      <unresolved>
        <commentChain chainId="beffd54b71bce0475557f274d199585a99833c5f">
          <item id="03f83b0c253fca4fcbde4160e0fa18d16b777b49" isNormal="1">
            <s:text>
              <s:r>
                <s:t xml:space="preserve">Administrator:
8/18 上客供外箱条码贴纸2020pcs
</s:t>
              </s:r>
            </s:text>
          </item>
        </commentChain>
      </unresolved>
      <resolved/>
    </commentChains>
    <commentChains s:ref="AI526" rgbClr="FF0000">
      <unresolved>
        <commentChain chainId="9abda4e6d65ae95da8efd846f928131eb242040c">
          <item id="570ffd41c212bd2a614a5a16527d1f1010acf90f" isNormal="1">
            <s:text>
              <s:r>
                <s:t xml:space="preserve">Administrator:
3000506 8/21 1350pcs新仓1-A3
</s:t>
              </s:r>
            </s:text>
          </item>
        </commentChain>
      </unresolved>
      <resolved/>
    </commentChains>
    <commentChains s:ref="AL526" rgbClr="FF0000">
      <unresolved>
        <commentChain chainId="4bb8ea43c1215e1203d53ab903e1410265658eec">
          <item id="e825b242edb24c262f30b0423e93f9e3755a879a" isNormal="1">
            <s:text>
              <s:r>
                <s:t xml:space="preserve">Administrator:
8/1 上收缩膜 +说明书 纽扣电池警告语贴纸3000pcs
两个同PO共用
8/7上收缩膜 +说明书纽扣电池警告语贴纸150pcs
8/14 上KM单外箱贴纸25pcs
</s:t>
              </s:r>
            </s:text>
          </item>
        </commentChain>
      </unresolved>
      <resolved/>
    </commentChains>
    <commentChains s:ref="AI527" rgbClr="FF0000">
      <unresolved>
        <commentChain chainId="e73fd20299d189e84a23364386ad94943b0f2646">
          <item id="212dbafa1e2ccaf76d943436f3bf72b929cb73aa" isNormal="1">
            <s:text>
              <s:r>
                <s:t xml:space="preserve">Administrator:
4000154 8/27 234PCS
华3b14</s:t>
              </s:r>
            </s:text>
          </item>
        </commentChain>
      </unresolved>
      <resolved/>
    </commentChains>
    <commentChains s:ref="AL527" rgbClr="FF0000">
      <unresolved>
        <commentChain chainId="a46299347af2266a1165e35253f7cc7ac4a13212">
          <item id="10dc947e1859ea6fe8b5373b8e5312d91a7ac85f" isNormal="1">
            <s:text>
              <s:r>
                <s:t xml:space="preserve">Administrator:
8/5 上UPC条码贴纸234pcs
8/14 上KM单外箱贴纸13pcs
8/21 上白色防盗贴纸234pcs
</s:t>
              </s:r>
            </s:text>
          </item>
        </commentChain>
      </unresolved>
      <resolved/>
    </commentChains>
    <commentChains s:ref="AI528" rgbClr="FF0000">
      <unresolved>
        <commentChain chainId="e3645618c3e74f3d40d9939a6d2289cc3a628a92">
          <item id="95754b1058d33025697ca7ffd3f1c2df06501211" isNormal="1">
            <s:text>
              <s:r>
                <s:t xml:space="preserve">4000083 8/29 8000PCS新仓1-B6</s:t>
              </s:r>
            </s:text>
          </item>
        </commentChain>
      </unresolved>
      <resolved/>
    </commentChains>
    <commentChains s:ref="AL528" rgbClr="FF0000">
      <unresolved>
        <commentChain chainId="9150ab60b5fafb45a36e6091fa7287ba69dbef56">
          <item id="f3bab5328a46abd8df07c66ee30d01b2827cbd71" isNormal="1">
            <s:text>
              <s:r>
                <s:t xml:space="preserve">Administrator:
7/30 上冰棒说明书荷兰语贴纸8000pcs
蛋糕款说明书荷兰语贴纸8000pcs
布丁款说明书荷兰语贴纸8000pcs</s:t>
              </s:r>
            </s:text>
          </item>
        </commentChain>
      </unresolved>
      <resolved/>
    </commentChains>
    <commentChains s:ref="AI529" rgbClr="FF0000">
      <unresolved>
        <commentChain chainId="7d5e949e6fedcf746894d3ae8b382c77cbd13f0e">
          <item id="ee2b848d6b4f74738a96f4fe68a11ea9264b97a8" isNormal="1">
            <s:text>
              <s:r>
                <s:t xml:space="preserve">Administrator:
4000083 8/29 8000PCS
新仓1-B6</s:t>
              </s:r>
            </s:text>
          </item>
        </commentChain>
      </unresolved>
      <resolved/>
    </commentChains>
    <commentChains s:ref="AL529" rgbClr="FF0000">
      <unresolved>
        <commentChain chainId="13bff2a46dc44e8e6f41c0334a150395fdf98305">
          <item id="b4bedacf93f4cdc0f3d2f44a4c3b6f5fcf885e36" isNormal="1">
            <s:text>
              <s:r>
                <s:t xml:space="preserve">Administrator:
7/30 上冰棒说明书荷兰语贴纸8000pcs
蛋糕款说明书荷兰语贴纸8000pcs
布丁款说明书荷兰语贴纸8000pcs
</s:t>
              </s:r>
            </s:text>
          </item>
        </commentChain>
      </unresolved>
      <resolved/>
    </commentChains>
    <commentChains s:ref="AI530" rgbClr="FF0000">
      <unresolved>
        <commentChain chainId="c5dca71d4057f1358ae33e2b109a127512d01960">
          <item id="889b99e098a4bbd12676f26a1afbfba28aad806b" isNormal="1">
            <s:text>
              <s:r>
                <s:t xml:space="preserve">Administrator:
4000154 8/27 2300PCS
华3b15</s:t>
              </s:r>
            </s:text>
          </item>
        </commentChain>
      </unresolved>
      <resolved/>
    </commentChains>
    <commentChains s:ref="AL530" rgbClr="FF0000">
      <unresolved>
        <commentChain chainId="3e61f13231ff636096b4f2e43f9dfabc92594867">
          <item id="288afe8b0992d98aebfa4f75a4de6d5b1f892c5a" isNormal="1">
            <s:text>
              <s:r>
                <s:t xml:space="preserve">Administrator:
8/3 上UPC贴纸3050pcs
两个同PO共用
8/22 上UPC贴纸2050pcs
两个同PO共用</s:t>
              </s:r>
            </s:text>
          </item>
        </commentChain>
      </unresolved>
      <resolved/>
    </commentChains>
    <commentChains s:ref="AI531" rgbClr="FF0000">
      <unresolved>
        <commentChain chainId="070c3ceb85deb8479425139846fe263e04cee724">
          <item id="12acf9bc6e42e97ed4bfce6b7ecedb6de8391635" isNormal="1">
            <s:text>
              <s:r>
                <s:t xml:space="preserve">Administrator:
4000154 8/27 700PCS
华3b14
4000083 8/29 50PCS
华</s:t>
              </s:r>
            </s:text>
          </item>
        </commentChain>
      </unresolved>
      <resolved/>
    </commentChains>
    <commentChains s:ref="AI536" rgbClr="FF0000">
      <unresolved>
        <commentChain chainId="640699c877427570de302dd0f0e5709c7f332846">
          <item id="a418052c6e11c4c60b1aa5ff00ea701f68b97637" isNormal="1">
            <s:text>
              <s:r>
                <s:t xml:space="preserve">Administrator:
400103 9/1 50000PCS华3A19.20</s:t>
              </s:r>
            </s:text>
          </item>
        </commentChain>
      </unresolved>
      <resolved/>
    </commentChains>
    <commentChains s:ref="AL536" rgbClr="FF0000">
      <unresolved>
        <commentChain chainId="8eee61c9b69f64b628c5e6ea374b0ca9aead9635">
          <item id="3c0ba3271b59a3df0cda9f86242f6a23c37e2dc3" isNormal="1">
            <s:text>
              <s:r>
                <s:t xml:space="preserve">Administrator:
8/26 上客供外箱条码贴纸2050pcs</s:t>
              </s:r>
            </s:text>
          </item>
        </commentChain>
      </unresolved>
      <resolved/>
    </commentChains>
    <commentChains s:ref="AI537" rgbClr="FF0000">
      <unresolved>
        <commentChain chainId="53ac57331b862a73c9cf917d563a7592a78d4daf">
          <item id="f5008d29c3050b09d376eede0d2bfcb31d547af7" isNormal="1">
            <s:text>
              <s:r>
                <s:t xml:space="preserve">Administrator:
4000112 9/1 2548PCS
华3B8
4000501 9/8 52pcs华3B8</s:t>
              </s:r>
            </s:text>
          </item>
        </commentChain>
      </unresolved>
      <resolved/>
    </commentChains>
    <commentChains s:ref="AL537" rgbClr="FF0000">
      <unresolved>
        <commentChain chainId="b66c8cf0851fd7eb89c065a305449a185d507ff7">
          <item id="9c742c5a05a1137a7f19f6da1d12cd205e1e1d31" isNormal="1">
            <s:text>
              <s:r>
                <s:t xml:space="preserve">Administrator:
8/3 上进口商贴纸2600pcs
8/18 上UPC贴纸2600pcs
8/26 上UPC贴纸2600PCS</s:t>
              </s:r>
            </s:text>
          </item>
        </commentChain>
      </unresolved>
      <resolved/>
    </commentChains>
    <commentChains s:ref="AP537" rgbClr="FF0000">
      <unresolved>
        <commentChain chainId="afba9149ff416aef0e83ea6641773962a7d29ace">
          <item id="990e0e427442c7aa156783991a45e9158416055c" isNormal="1">
            <s:text>
              <s:r>
                <s:t xml:space="preserve">RR:
客人接受1L收缩膜</s:t>
              </s:r>
            </s:text>
          </item>
        </commentChain>
      </unresolved>
      <resolved/>
    </commentChains>
    <commentChains s:ref="AI538" rgbClr="FF0000">
      <unresolved>
        <commentChain chainId="1021f9a75bb58563b28fe565a4aad25bb9553142">
          <item id="c3c3e2fe46c92ffcd6d737743fe1098ed330bfe7" isNormal="1">
            <s:text>
              <s:r>
                <s:t xml:space="preserve">Administrator:
4000013 9/4 2600pcs华3B8</s:t>
              </s:r>
            </s:text>
          </item>
        </commentChain>
      </unresolved>
      <resolved/>
    </commentChains>
    <commentChains s:ref="AI539" rgbClr="FF0000">
      <unresolved>
        <commentChain chainId="0969047df8339930d246093542bafabce7de73d9">
          <item id="b60d1ecb1f23f227e9048c383bb4d40df9ddac9a" isNormal="1">
            <s:text>
              <s:r>
                <s:t xml:space="preserve">Administrator:
4000013 9/4 4225pcs
s华3B8
</s:t>
              </s:r>
            </s:text>
          </item>
        </commentChain>
      </unresolved>
      <resolved/>
    </commentChains>
    <commentChains s:ref="AI540" rgbClr="FF0000">
      <unresolved>
        <commentChain chainId="391e084a1846d0287d35ab726d78d98ab817ad89">
          <item id="d3a6b2991361ec7689fdbed78a02b7acc5814f6e" isNormal="1">
            <s:text>
              <s:r>
                <s:t xml:space="preserve">Administrator:
4000013 9/4 8450pcs
s华3B8
</s:t>
              </s:r>
            </s:text>
          </item>
        </commentChain>
      </unresolved>
      <resolved/>
    </commentChains>
    <commentChains s:ref="AI541" rgbClr="FF0000">
      <unresolved>
        <commentChain chainId="9c32a9eda98dc23bf02c79515c904c5d73f54bb5">
          <item id="a6438fcefbcc4116abe43a1739dfc2910ec7b023" isNormal="1">
            <s:text>
              <s:r>
                <s:t xml:space="preserve">Administrator:
4000074 9/2 3375pcs
华3B10</s:t>
              </s:r>
            </s:text>
          </item>
        </commentChain>
      </unresolved>
      <resolved/>
    </commentChains>
    <commentChains s:ref="AI542" rgbClr="FF0000">
      <unresolved>
        <commentChain chainId="9dcf917fa11a5002c3a583599730137cc638104a">
          <item id="68e331fc458e5c6d08f3db6334473a6e6d4ac51d" isNormal="1">
            <s:text>
              <s:r>
                <s:t xml:space="preserve">Administrator:
4000063 9/1 24500PCS
华3A18</s:t>
              </s:r>
            </s:text>
          </item>
        </commentChain>
      </unresolved>
      <resolved/>
    </commentChains>
    <commentChains s:ref="AL542" rgbClr="FF0000">
      <unresolved>
        <commentChain chainId="b2bf734e81f62319de700ce7ac89e56cc432094c">
          <item id="de07e2fb348bb5b7ac3807276a5312b64d3ef9aa" isNormal="1">
            <s:text>
              <s:r>
                <s:t xml:space="preserve">Administrator:
8/22 上UPC条码贴纸24500pcs</s:t>
              </s:r>
            </s:text>
          </item>
        </commentChain>
      </unresolved>
      <resolved/>
    </commentChains>
    <commentChains s:ref="AI543" rgbClr="FF0000">
      <unresolved>
        <commentChain chainId="1c5b8643475bcd45a03f2dfc92cbfc5f724798b7">
          <item id="d74726888fc068a46e743ee92845ddf9a22d7733" isNormal="1">
            <s:text>
              <s:r>
                <s:t xml:space="preserve">Administrator:
4000074 9/2 5200pcs华3B7</s:t>
              </s:r>
            </s:text>
          </item>
        </commentChain>
      </unresolved>
      <resolved/>
    </commentChains>
    <commentChains s:ref="AL543" rgbClr="FF0000">
      <unresolved>
        <commentChain chainId="92cdf0f2fe33e1a5e609f12d4c40dd16942b978b">
          <item id="9393f9e35074eb2ef1ac71780e81b5769d994d89" isNormal="1">
            <s:text>
              <s:r>
                <s:t xml:space="preserve">Administrator:
8/11 上多语警钟长鸣语折叠贴纸5200pcs</s:t>
              </s:r>
            </s:text>
          </item>
        </commentChain>
      </unresolved>
      <resolved/>
    </commentChains>
    <commentChains s:ref="AI544" rgbClr="FF0000">
      <unresolved>
        <commentChain chainId="d1109c53ef93584a7ffe8257c275a7ecc780a1ca">
          <item id="58bd728a8e4f13dfb147bad76253dc9644187348" isNormal="1">
            <s:text>
              <s:r>
                <s:t xml:space="preserve">Administrator:
4000013 9/4 2600pcs
s华3B8
</s:t>
              </s:r>
            </s:text>
          </item>
        </commentChain>
      </unresolved>
      <resolved/>
    </commentChains>
    <commentChains s:ref="AI545" rgbClr="FF0000">
      <unresolved>
        <commentChain chainId="d26133bee3672a6e8d7b5c85fa8701f63279006d">
          <item id="b3834f73c78f442d05161da9ab96c0990ce9e010" isNormal="1">
            <s:text>
              <s:r>
                <s:t xml:space="preserve">Administrator:
4000013 9/4 260pcs
s华3B8
</s:t>
              </s:r>
            </s:text>
          </item>
        </commentChain>
      </unresolved>
      <resolved/>
    </commentChains>
    <commentChains s:ref="AL546" rgbClr="FF0000">
      <unresolved>
        <commentChain chainId="b4b0770c12a26a2d584c215ce03e2670e5bc36f6">
          <item id="73f65366b0e1ab3fec3308742d3688f59b3e7742" isNormal="1">
            <s:text>
              <s:r>
                <s:t xml:space="preserve">Administrator:
8/1 上收缩膜 +说明书 纽扣电池警告语贴纸468pcs
</s:t>
              </s:r>
            </s:text>
          </item>
        </commentChain>
      </unresolved>
      <resolved/>
    </commentChains>
    <commentChains s:ref="AL547" rgbClr="FF0000">
      <unresolved>
        <commentChain chainId="99aed02b498a5bceaa7295743c2cbb28666e7e63">
          <item id="1da815bbd33e4e69fa985b50134cffb09aab897b" isNormal="1">
            <s:text>
              <s:r>
                <s:t xml:space="preserve">Administrator:
8/1 上收缩膜 +说明书 纽扣电池警告语贴纸4332pcs
8/1 上收缩膜 +说明书 纽扣电池警告语贴纸4332pcs
</s:t>
              </s:r>
            </s:text>
          </item>
        </commentChain>
      </unresolved>
      <resolved/>
    </commentChains>
    <commentChains s:ref="AI548" rgbClr="FF0000">
      <unresolved>
        <commentChain chainId="e47452e1646c2e6830f7591325baf515296e555b">
          <item id="94ec6c5690fb0a0b6afca175c269421b666eaaa4" isNormal="1">
            <s:text>
              <s:r>
                <s:t xml:space="preserve">Administrator:
4000022 9/3 350pcs</s:t>
              </s:r>
            </s:text>
          </item>
        </commentChain>
      </unresolved>
      <resolved/>
    </commentChains>
    <commentChains s:ref="AL548" rgbClr="FF0000">
      <unresolved>
        <commentChain chainId="7817c4117480fcbfdaed21ddd3592f3131db9658">
          <item id="56d6401fd4d4411489a22fb719330377762dffe0" isNormal="1">
            <s:text>
              <s:r>
                <s:t xml:space="preserve">Administrator:
8/13 上进口商贴纸350pcs
UPC条码贴纸350pcs</s:t>
              </s:r>
            </s:text>
          </item>
        </commentChain>
      </unresolved>
      <resolved/>
    </commentChains>
    <commentChains s:ref="AI549" rgbClr="FF0000">
      <unresolved>
        <commentChain chainId="9a829f0196e2f2bab02e944412fd9273703b84d4">
          <item id="478e288e2a64ccc894993e0720fba218a3990617" isNormal="1">
            <s:text>
              <s:r>
                <s:t xml:space="preserve">Administrator:
4000022 9/3 117pcs
</s:t>
              </s:r>
            </s:text>
          </item>
        </commentChain>
      </unresolved>
      <resolved/>
    </commentChains>
    <commentChains s:ref="AL549" rgbClr="FF0000">
      <unresolved>
        <commentChain chainId="510bb8ac2d84f3d34742ae23bde1e3d886aede03">
          <item id="8842d6619433e0c84b85291ba4834f00ebc408b4" isNormal="1">
            <s:text>
              <s:r>
                <s:t xml:space="preserve">Administrator:
8/13 上UPC条码贴纸334pcs
两个同PO共用
8/21 上白色防盗贴纸117pcs
8/22 上KM单外箱贴纸9pcs
</s:t>
              </s:r>
            </s:text>
          </item>
        </commentChain>
      </unresolved>
      <resolved/>
    </commentChains>
    <commentChains s:ref="AI550" rgbClr="FF0000">
      <unresolved>
        <commentChain chainId="896aafb5bcc3d30a031c882e33ced6cefb392e15">
          <item id="17cf46f6b32fb3b97cd6ab3ff0a1e884e096f009" isNormal="1">
            <s:text>
              <s:r>
                <s:t xml:space="preserve">Administrator:
4000022 9/3 117pcs
</s:t>
              </s:r>
            </s:text>
          </item>
        </commentChain>
      </unresolved>
      <resolved/>
    </commentChains>
    <commentChains s:ref="AL550" rgbClr="FF0000">
      <unresolved>
        <commentChain chainId="85e07ef25a246141743644c0f9f76ca01c3db4bf">
          <item id="38e9e36a8fb2fc9bf9c17c57dfba0bc9cd60ed4a" isNormal="1">
            <s:text>
              <s:r>
                <s:t xml:space="preserve">Administrator:
8/21 上白色防盗贴117pcs
8/22 上KM单外箱贴纸9pcs
</s:t>
              </s:r>
            </s:text>
          </item>
        </commentChain>
      </unresolved>
      <resolved/>
    </commentChains>
    <commentChains s:ref="AI551" rgbClr="FF0000">
      <unresolved>
        <commentChain chainId="ed5a84dcd4435d79c5f6d3f5fa189f8bd0aa7ddb">
          <item id="842f61a97775fb6269147fa7a6dd134f2bed9741" isNormal="1">
            <s:text>
              <s:r>
                <s:t xml:space="preserve">Administrator:
4000022 9/3 1534pcs
</s:t>
              </s:r>
            </s:text>
          </item>
        </commentChain>
      </unresolved>
      <resolved/>
    </commentChains>
    <commentChains s:ref="AL551" rgbClr="FF0000">
      <unresolved>
        <commentChain chainId="3d63e20d7e7625598f1e7ef521c671c3c30e8967">
          <item id="6e79afc3933a23d91df3ae11f00c6ae5051e09cc" isNormal="1">
            <s:text>
              <s:r>
                <s:t xml:space="preserve">Administrator:
8/13 上UPC条码贴纸3146pcs
两个同PO共用
8/21 上白色防盗贴纸1534pcs
8/22 上KM单外箱贴纸118pcs</s:t>
              </s:r>
            </s:text>
          </item>
        </commentChain>
      </unresolved>
      <resolved/>
    </commentChains>
    <commentChains s:ref="AI552" rgbClr="FF0000">
      <unresolved>
        <commentChain chainId="7518cb5a46f56fa811bb013250756a821a43b136">
          <item id="84f9e4c608a3e71de88b2bd65633ecd93bcf2d6f" isNormal="1">
            <s:text>
              <s:r>
                <s:t xml:space="preserve">Administrator:
4000022 9/3 1612pcs
</s:t>
              </s:r>
            </s:text>
          </item>
        </commentChain>
      </unresolved>
      <resolved/>
    </commentChains>
    <commentChains s:ref="AL552" rgbClr="FF0000">
      <unresolved>
        <commentChain chainId="4694289514287ca85e7896bac9c18bb01de61ea9">
          <item id="2aa928af0125444cd4f36e5228c402a4e263c2ec" isNormal="1">
            <s:text>
              <s:r>
                <s:t xml:space="preserve">Administrator:
8/21 上白色防盗贴纸1612pcs
8/22 上KM单外箱贴纸124pcs
</s:t>
              </s:r>
            </s:text>
          </item>
        </commentChain>
      </unresolved>
      <resolved/>
    </commentChains>
    <commentChains s:ref="AI553" rgbClr="FF0000">
      <unresolved>
        <commentChain chainId="53e2bcf6bdcbfb10c8d7bec8997da5b3a0da4179">
          <item id="96583ff9c2daf0068b8b99f024602b59b754b40f" isNormal="1">
            <s:text>
              <s:r>
                <s:t xml:space="preserve">Administrator:
4000004 9/4 1550pcs华3B14
</s:t>
              </s:r>
            </s:text>
          </item>
        </commentChain>
      </unresolved>
      <resolved/>
    </commentChains>
    <commentChains s:ref="AL553" rgbClr="FF0000">
      <unresolved>
        <commentChain chainId="e3067f61b59d040a895f08ba13fdcbb91c16ffef">
          <item id="873add5150b89e1c38ea570a30a3b1c927905e07" isNormal="1">
            <s:text>
              <s:r>
                <s:t xml:space="preserve">Administrator:
8/13 上进口商贴纸1550pcs</s:t>
              </s:r>
            </s:text>
          </item>
        </commentChain>
      </unresolved>
      <resolved/>
    </commentChains>
    <commentChains s:ref="AI554" rgbClr="FF0000">
      <unresolved>
        <commentChain chainId="0a63fca0a52daebcb70f991388d8e3719e3ec68d">
          <item id="7ae5894d684089ae0f7190b0c8a8835ec31984b2" isNormal="1">
            <s:text>
              <s:r>
                <s:t xml:space="preserve">Administrator:
4000004 9/4 750pcs华3B11</s:t>
              </s:r>
            </s:text>
          </item>
        </commentChain>
      </unresolved>
      <resolved/>
    </commentChains>
    <commentChains s:ref="AI555" rgbClr="FF0000">
      <unresolved>
        <commentChain chainId="6d197ce1222e4b396b584f22bb2d09148426610f">
          <item id="c11b014cc5f857f31e11de6e832bb7024849a20a" isNormal="1">
            <s:text>
              <s:r>
                <s:t xml:space="preserve">Administrator:
4000004 9/4 750pcs华3B11
</s:t>
              </s:r>
            </s:text>
          </item>
        </commentChain>
      </unresolved>
      <resolved/>
    </commentChains>
    <commentChains s:ref="AI556" rgbClr="FF0000">
      <unresolved>
        <commentChain chainId="3d0b88aaae6f963f416a61832a8b929715bb8eb3">
          <item id="69a0eef23bf4e485a78fabe270a3bf3ea5d01654" isNormal="1">
            <s:text>
              <s:r>
                <s:t xml:space="preserve">Administrator:
4000004 9/4 1500pcs华3B11
</s:t>
              </s:r>
            </s:text>
          </item>
        </commentChain>
      </unresolved>
      <resolved/>
    </commentChains>
    <commentChains s:ref="AI557" rgbClr="FF0000">
      <unresolved>
        <commentChain chainId="ad136a4080f6dd78db39d5729301656e19c33694">
          <item id="643c930371004dd1426f8fb486619aad0ff8c397" isNormal="1">
            <s:text>
              <s:r>
                <s:t xml:space="preserve">Administrator:
4000074 9/2 3300pcs
华3B10</s:t>
              </s:r>
            </s:text>
          </item>
        </commentChain>
      </unresolved>
      <resolved/>
    </commentChains>
    <commentChains s:ref="AI564" rgbClr="FF0000">
      <unresolved>
        <commentChain chainId="e3293c3e4f6b57e1eac2cf4b40d2638e67e079d8">
          <item id="52e1befe7582c5f772a601e8edff7078b1593e49" isNormal="1">
            <s:text>
              <s:r>
                <s:t xml:space="preserve">Administrator:
3001354 9/6 3588pcs莫4A6
3001945 9/6 13pcs莫</s:t>
              </s:r>
            </s:text>
          </item>
        </commentChain>
      </unresolved>
      <resolved/>
    </commentChains>
    <commentChains s:ref="AL564" rgbClr="FF0000">
      <unresolved>
        <commentChain chainId="5208125fad823ce1310a66d1fa8ec8471bb405e1">
          <item id="99b52cdc133ac76615174e401c394a41115d8536" isNormal="1">
            <s:text>
              <s:r>
                <s:t xml:space="preserve">Administrator:
8/11 上多语警钟长鸣语折叠贴纸3601pcs
</s:t>
              </s:r>
            </s:text>
          </item>
        </commentChain>
      </unresolved>
      <resolved/>
    </commentChains>
    <commentChains s:ref="AI565" rgbClr="FF0000">
      <unresolved>
        <commentChain chainId="33e522b29c615447451a0419b0fcf3ccedc84f3e">
          <item id="b21bc755537ab058da6d3914a5dcb85311d9cb15" isNormal="1">
            <s:text>
              <s:r>
                <s:t xml:space="preserve">Administrator:
30001354 9/6 5000pcs莫4B3</s:t>
              </s:r>
            </s:text>
          </item>
        </commentChain>
      </unresolved>
      <resolved/>
    </commentChains>
    <commentChains s:ref="AL565" rgbClr="FF0000">
      <unresolved>
        <commentChain chainId="3707fb4628f63d30373fa5a3fab5558b95fa21c9">
          <item id="abe210d4b0dd0ef0b5ab65327efef273674c6a43" isNormal="1">
            <s:text>
              <s:r>
                <s:t xml:space="preserve">Administrator:
8/18 上冰棒款说明书荷兰语贴纸10000pcs
蛋糕款说明书荷兰语贴纸10000pcs
布丁款说明书荷兰语贴纸10000pcs
</s:t>
              </s:r>
            </s:text>
          </item>
        </commentChain>
      </unresolved>
      <resolved/>
    </commentChains>
    <commentChains s:ref="AI566" rgbClr="FF0000">
      <unresolved>
        <commentChain chainId="d2d4375081fc7ce932149e00c2b3becc107f32b6">
          <item id="d1af7b1c48d7abfdbd632d2e5898caa1214108ac" isNormal="1">
            <s:text>
              <s:r>
                <s:t xml:space="preserve">Administrator:
3001354 9/6 5000pcs 莫</s:t>
              </s:r>
            </s:text>
          </item>
        </commentChain>
      </unresolved>
      <resolved/>
    </commentChains>
    <commentChains s:ref="AI567" rgbClr="FF0000">
      <unresolved>
        <commentChain chainId="c2c5c46163d77a47d25f0e11f3d8bb32aa416cb0">
          <item id="1d61fe906d8bad52f1abd0b6c6e39f4ed9eaef79" isNormal="1">
            <s:text>
              <s:r>
                <s:t xml:space="preserve">Administrator:
4000501 9/8 1200pcs华1F5</s:t>
              </s:r>
            </s:text>
          </item>
        </commentChain>
      </unresolved>
      <resolved/>
    </commentChains>
    <commentChains s:ref="AI568" rgbClr="FF0000">
      <unresolved>
        <commentChain chainId="f8b567fe49ef6b50abc955e048ede8a20b1f87b6">
          <item id="1bf56a9001d22aa21d826cc9c63483f831f39fc3" isNormal="1">
            <s:text>
              <s:r>
                <s:t xml:space="preserve">Administrator:
4000501 9/8 1300pcs
华1F5</s:t>
              </s:r>
            </s:text>
          </item>
        </commentChain>
      </unresolved>
      <resolved/>
    </commentChains>
    <commentChains s:ref="AI569" rgbClr="FF0000">
      <unresolved>
        <commentChain chainId="8c713da786b1a1f4105e90501219bd79f8604815">
          <item id="aafe9fe82150ebb91422bb959303f2c5dae69c4d" isNormal="1">
            <s:text>
              <s:r>
                <s:t xml:space="preserve">Administrator:
3001946 9/6 180pcs华3B14
</s:t>
              </s:r>
            </s:text>
          </item>
        </commentChain>
      </unresolved>
      <resolved/>
    </commentChains>
    <commentChains s:ref="AL569" rgbClr="FF0000">
      <unresolved>
        <commentChain chainId="bf9940c3d6efceb77b1379f1ce11df80926afd6f">
          <item id="15c05df243649e369f746ffc163f8438559b74e3" isNormal="1">
            <s:text>
              <s:r>
                <s:t xml:space="preserve">Administrator:
8/18 上进口商贴纸180pcs
空白贴纸360pcs</s:t>
              </s:r>
            </s:text>
          </item>
        </commentChain>
      </unresolved>
      <resolved/>
    </commentChains>
    <commentChains s:ref="AI570" rgbClr="FF0000">
      <unresolved>
        <commentChain chainId="6c91430ee5cc05684cbd5c4bc7eec45bff61946f">
          <item id="547a6868a50ca4d3c038fca533212b317bc2daaa" isNormal="1">
            <s:text>
              <s:r>
                <s:t xml:space="preserve">Administrator:
4000484 9/9 8775pcs华一F5</s:t>
              </s:r>
            </s:text>
          </item>
        </commentChain>
      </unresolved>
      <resolved/>
    </commentChains>
    <commentChains s:ref="AI571" rgbClr="FF0000">
      <unresolved>
        <commentChain chainId="503b79cf89cd97d39f47c691da2ea1b40d550b55">
          <item id="84d70384c70f5805256a5d7f1ef73b6d72983077" isNormal="1">
            <s:text>
              <s:r>
                <s:t xml:space="preserve">Administrator:
4000484 9/9 3900pcs
华一F5</s:t>
              </s:r>
            </s:text>
          </item>
        </commentChain>
      </unresolved>
      <resolved/>
    </commentChains>
    <commentChains s:ref="AI572" rgbClr="FF0000">
      <unresolved>
        <commentChain chainId="85cca09ec7cde647bc0064109ccebccadf176220">
          <item id="d8e5c6ddf5942c5f8461d65af49fcb85a2a3dc2d" isNormal="1">
            <s:text>
              <s:r>
                <s:t xml:space="preserve">Administrator:
4000503 9/9 117pcs华3B15</s:t>
              </s:r>
            </s:text>
          </item>
        </commentChain>
      </unresolved>
      <resolved/>
    </commentChains>
    <commentChains s:ref="AL572" rgbClr="FF0000">
      <unresolved>
        <commentChain chainId="46db5a4e8d9631cb0c78497a73e51f62b494aad3">
          <item id="20b91b7b73b886c4daaeee6831d171a9d71aa0d6" isNormal="1">
            <s:text>
              <s:r>
                <s:t xml:space="preserve">Administrator:
8/18 上UPC条码贴纸117pcs
8/21 上白色防盗贴纸117pcs
8/29 KMART外箱贴纸 9pcs
8/29 KMART外箱贴纸 10pcs
</s:t>
              </s:r>
            </s:text>
          </item>
        </commentChain>
      </unresolved>
      <resolved/>
    </commentChains>
    <commentChains s:ref="AI573" rgbClr="FF0000">
      <unresolved>
        <commentChain chainId="fbc17e7fab20a89dc560d46108457877ec029fb0">
          <item id="febfaea637120d0a17b5b591e2a27cbd820cc2fb" isNormal="1">
            <s:text>
              <s:r>
                <s:t xml:space="preserve">Administrator:
4000503 9/9 143pcs
华3B15</s:t>
              </s:r>
            </s:text>
          </item>
        </commentChain>
      </unresolved>
      <resolved/>
    </commentChains>
    <commentChains s:ref="AL573" rgbClr="FF0000">
      <unresolved>
        <commentChain chainId="29e06cf3e6d9b927fcd37b75a4776f88bd22d5c3">
          <item id="ca9000548d253f078a9cfcdbdc193477a168086f" isNormal="1">
            <s:text>
              <s:r>
                <s:t xml:space="preserve">Administrator:
8/18 上UPC条码贴纸143pcs
8/21 上白色防盗贴纸143pcs
8/29 KMART外箱贴纸 11pcs
</s:t>
              </s:r>
            </s:text>
          </item>
        </commentChain>
      </unresolved>
      <resolved/>
    </commentChains>
    <commentChains s:ref="AI574" rgbClr="FF0000">
      <unresolved>
        <commentChain chainId="4f7be116dbaaec3f4651f38aaa3d10c21d2de3bd">
          <item id="7fc0849ea6ade1666a1772f5d1258cc896518c11" isNormal="1">
            <s:text>
              <s:r>
                <s:t xml:space="preserve">Administrator:
4000503 9/9 2275pcs
华3B14</s:t>
              </s:r>
            </s:text>
          </item>
        </commentChain>
      </unresolved>
      <resolved/>
    </commentChains>
    <commentChains s:ref="AL574" rgbClr="FF0000">
      <unresolved>
        <commentChain chainId="0c15349b75e5fb75fca75c950f0ff244564454d0">
          <item id="0b9ccbc092aa95313042853408e4f1d695da6529" isNormal="1">
            <s:text>
              <s:r>
                <s:t xml:space="preserve">Administrator:
8/18 上UPC条码贴纸2275pcs
8/21 上白色防盗贴纸2275pcs
8/29 KMART外箱贴纸 175pcs
8/29 KMART外箱贴纸 116pcs
</s:t>
              </s:r>
            </s:text>
          </item>
        </commentChain>
      </unresolved>
      <resolved/>
    </commentChains>
    <commentChains s:ref="AI575" rgbClr="FF0000">
      <unresolved>
        <commentChain chainId="b5f05542a284f99e411a2bccb660b5a1f7b9ae14">
          <item id="d0c1885183a94dd8dd51b980e1e622fbf81b8d11" isNormal="1">
            <s:text>
              <s:r>
                <s:t xml:space="preserve">Administrator:
4000503 9/9 1989pcs
华3B8</s:t>
              </s:r>
            </s:text>
          </item>
        </commentChain>
      </unresolved>
      <resolved/>
    </commentChains>
    <commentChains s:ref="AL575" rgbClr="FF0000">
      <unresolved>
        <commentChain chainId="9b9aa4a11cd9282f5f17ed99e4ad3fd5168daebd">
          <item id="322de070eb35ae55306f63751b0b47813a5afa27" isNormal="1">
            <s:text>
              <s:r>
                <s:t xml:space="preserve">Administrator:
8/18 上UPC条码贴纸1989pcs
8/21 上白色防盗贴纸1989pcs
8/29 KMART外箱贴纸 153pcs
8/29 KMART外箱贴纸 238pcs
</s:t>
              </s:r>
            </s:text>
          </item>
        </commentChain>
      </unresolved>
      <resolved/>
    </commentChains>
    <commentChains s:ref="AI576" rgbClr="FF0000">
      <unresolved>
        <commentChain chainId="1e610c9260a4155bfec5e65cb324a99d0c622773">
          <item id="639985bcb62cb5326ed412822bb1c3a27f701683" isNormal="1">
            <s:text>
              <s:r>
                <s:t xml:space="preserve">Administrator:
4000483 9/9 15000pcs华3A25</s:t>
              </s:r>
            </s:text>
          </item>
        </commentChain>
      </unresolved>
      <resolved/>
    </commentChains>
    <commentChains s:ref="AL576" rgbClr="FF0000">
      <unresolved>
        <commentChain chainId="fcb2012edc78484e6164e32e91829488463c4e20">
          <item id="08a60b7046fa9cbd8bce9902aaa32a47f1b7bae4" isNormal="1">
            <s:text>
              <s:r>
                <s:t xml:space="preserve">Administrator:
8/26 上客供外箱条码贴纸606pcs（消耗取消单73996PO）
</s:t>
              </s:r>
            </s:text>
          </item>
        </commentChain>
      </unresolved>
      <resolved/>
    </commentChains>
    <commentChains s:ref="AI577" rgbClr="FF0000">
      <unresolved>
        <commentChain chainId="5f1f0e60edb919425541de852e9695d8ef85e4a6">
          <item id="3c713efe8b073e04e523178c3b65a646494e9faa" isNormal="1">
            <s:text>
              <s:r>
                <s:t xml:space="preserve">Administrator:
2000373 9/11 2970pcs</s:t>
              </s:r>
            </s:text>
          </item>
        </commentChain>
      </unresolved>
      <resolved/>
    </commentChains>
    <commentChains s:ref="AI583" rgbClr="FF0000">
      <unresolved>
        <commentChain chainId="654b0fcaf6e0af4e4d51a5f62410b6c06b08784d">
          <item id="1d789fb1f58c921769c546550a764539b010a6c1" isNormal="1">
            <s:text>
              <s:r>
                <s:t xml:space="preserve">Administrator:
3001946 9/6 2100pcs华3B14</s:t>
              </s:r>
            </s:text>
          </item>
        </commentChain>
      </unresolved>
      <resolved/>
    </commentChains>
    <commentChains s:ref="AL583" rgbClr="FF0000">
      <unresolved>
        <commentChain chainId="504ffca697bc6caee8eec65cfec0e818928bf152">
          <item id="4ae2270b464edcd006fb88256fe5584d464097f0" isNormal="1">
            <s:text>
              <s:r>
                <s:t xml:space="preserve">Administrator:
8/13 上价格贴纸3000空白UPC贴纸6000pcs
以上两个同PO共用
8/21 上NJ客供外箱贴纸175pcs
NV 通用客供外箱贴纸175pcs
8/28 空白贴纸 30000pcs</s:t>
              </s:r>
            </s:text>
          </item>
        </commentChain>
      </unresolved>
      <resolved/>
    </commentChains>
    <commentChains s:ref="AI584" rgbClr="FF0000">
      <unresolved>
        <commentChain chainId="64dd42d64c649c80a333dbc2dafc8b9007b7c469">
          <item id="b902652876ddae9d5dea98275041f6f6f7cf5356" isNormal="1">
            <s:text>
              <s:r>
                <s:t xml:space="preserve">Administrator:
3001946 9/6 900pcs华3B14
</s:t>
              </s:r>
            </s:text>
          </item>
        </commentChain>
      </unresolved>
      <resolved/>
    </commentChains>
    <commentChains s:ref="AL584" rgbClr="FF0000">
      <unresolved>
        <commentChain chainId="8075659dca72fc99b9d977013ba5d701d6f5f76e">
          <item id="aa021d9b4c45d8973de80391f5cb86c119d6466c" isNormal="1">
            <s:text>
              <s:r>
                <s:t xml:space="preserve">Administrator:
8/21 上NJ客供外箱贴纸75pcs
NV 通用客供外箱贴纸75pcs
</s:t>
              </s:r>
            </s:text>
          </item>
        </commentChain>
      </unresolved>
      <resolved/>
    </commentChains>
    <commentChains s:ref="AI587" rgbClr="FF0000">
      <unresolved>
        <commentChain chainId="4aeab9e8da39d32b89ca079674da6fa3db3ae7bf">
          <item id="126160bd763f7b4dc1d5bedd44e916a10ccc1e34" isNormal="1">
            <s:text>
              <s:r>
                <s:t xml:space="preserve">Administrator:
400038 9/15 1008pcsA栋</s:t>
              </s:r>
            </s:text>
          </item>
        </commentChain>
      </unresolved>
      <resolved/>
    </commentChains>
    <commentChains s:ref="AI588" rgbClr="FF0000">
      <unresolved>
        <commentChain chainId="168575d22a5f4e28437e465c1ebc1e586a3d401e">
          <item id="20dc6e9cf1c0642091df4fb8ea8515fc8d91979c" isNormal="1">
            <s:text>
              <s:r>
                <s:t xml:space="preserve">Administrator:
400038 9/15 984pcs
A栋
5000101 9/16 24pcs兴信</s:t>
              </s:r>
            </s:text>
          </item>
        </commentChain>
      </unresolved>
      <resolved/>
    </commentChains>
    <commentChains s:ref="AI589" rgbClr="FF0000">
      <unresolved>
        <commentChain chainId="a8af29d30fca72231bc6248689f91508ce0bb602">
          <item id="f00c5ebc4c611b3148ed25506f5b527e375fc5ef" isNormal="1">
            <s:text>
              <s:r>
                <s:t xml:space="preserve">Administrator:
4000423 9/11 11952pcs莫4A5
4000424 9/12 7968pcs莫4A5
4000406 9/13 48pcs莫4A6</s:t>
              </s:r>
            </s:text>
          </item>
        </commentChain>
      </unresolved>
      <resolved/>
    </commentChains>
    <commentChains s:ref="AI590" rgbClr="FF0000">
      <unresolved>
        <commentChain chainId="0f8746740d04c6f5209a50cfa7ca2cdc171d74a8">
          <item id="5e296a976c701cad80cd7f249cfc93c49c6b7cc1" isNormal="1">
            <s:text>
              <s:r>
                <s:t xml:space="preserve">Administrator:
4000424 9/12 2236pcs
华3A27</s:t>
              </s:r>
            </s:text>
          </item>
        </commentChain>
      </unresolved>
      <resolved/>
    </commentChains>
    <commentChains s:ref="AL590" rgbClr="FF0000">
      <unresolved>
        <commentChain chainId="5d8736b392b3d8211e103503f6bd05fccb7a6150">
          <item id="4c732d47a50a0b0b5a6c9c68138fa71a5966babb" isNormal="1">
            <s:text>
              <s:r>
                <s:t xml:space="preserve">Administrator:
8/27 客版可移动价格贴纸 2236pcs</s:t>
              </s:r>
            </s:text>
          </item>
        </commentChain>
      </unresolved>
      <resolved/>
    </commentChains>
    <commentChains s:ref="AI591" rgbClr="FF0000">
      <unresolved>
        <commentChain chainId="f27686e214ba69be1073300c579129979beef8d5">
          <item id="f727bcc5f4e73b0939c65158146637e642a0ecf3" isNormal="1">
            <s:text>
              <s:r>
                <s:t xml:space="preserve">Administrator:
4000441 9/15 4800pcs
华3B5</s:t>
              </s:r>
            </s:text>
          </item>
        </commentChain>
      </unresolved>
      <resolved/>
    </commentChains>
    <commentChains s:ref="AI592" rgbClr="FF0000">
      <unresolved>
        <commentChain chainId="081b668b90c4eaa1d2f4052e51ae6851474ca0d4">
          <item id="a27447839205502f33754e317c1aa926ea911ab5" isNormal="1">
            <s:text>
              <s:r>
                <s:t xml:space="preserve">Administrator:
4000441 9/15 2500pcs华3B4</s:t>
              </s:r>
            </s:text>
          </item>
        </commentChain>
      </unresolved>
      <resolved/>
    </commentChains>
    <commentChains s:ref="AL592" rgbClr="FF0000">
      <unresolved>
        <commentChain chainId="a8be87769037a1dbd50fb9c087bf33a14d78ced6">
          <item id="f1e8cd3755eed267ec5c82c0b83db8776ba2c5e7" isNormal="1">
            <s:text>
              <s:r>
                <s:t xml:space="preserve">Administrator:
8/27 冰棒款-说明书荷兰语贴纸 12000pcs
8/27 蛋糕款-说明书荷兰语贴纸 12000pcs
8/27 布丁款-说明书荷兰语贴纸 12000pcs</s:t>
              </s:r>
            </s:text>
          </item>
        </commentChain>
      </unresolved>
      <resolved/>
    </commentChains>
    <commentChains s:ref="AI593" rgbClr="FF0000">
      <unresolved>
        <commentChain chainId="a2bcdc2254bb1dc3bc57ca2ef02ddec2f559cb06">
          <item id="8b9206ffbce04d36370aa1673e904b904c6c7082" isNormal="1">
            <s:text>
              <s:r>
                <s:t xml:space="preserve">Administrator:
4000441 9/15 1209pcs
华3B14</s:t>
              </s:r>
            </s:text>
          </item>
        </commentChain>
      </unresolved>
      <resolved/>
    </commentChains>
    <commentChains s:ref="AI594" rgbClr="FF0000">
      <unresolved>
        <commentChain chainId="b534efa48c0f09b5586774f1055b7f746624a0a0">
          <item id="e7685fef379050bf0500cf7a732ad5c3b28899de" isNormal="1">
            <s:text>
              <s:r>
                <s:t xml:space="preserve">Administrator:
5000100 9/16 4199pcs华3B10</s:t>
              </s:r>
            </s:text>
          </item>
        </commentChain>
      </unresolved>
      <resolved/>
    </commentChains>
    <commentChains s:ref="AL594" rgbClr="FF0000">
      <unresolved>
        <commentChain chainId="bb941e4298d021f86097e820767ad1e4efbb3e84">
          <item id="85415d4822c9a2689b8de4f792d9f59c802a5467" isNormal="1">
            <s:text>
              <s:r>
                <s:t xml:space="preserve">Administrator:
8/28 PDQ贴纸 323pcs</s:t>
              </s:r>
            </s:text>
          </item>
        </commentChain>
      </unresolved>
      <resolved/>
    </commentChains>
    <commentChains s:ref="AL595" rgbClr="FF0000">
      <unresolved>
        <commentChain chainId="1599efa0f77f3950d59940ce191a0cd6750b1133">
          <item id="00b78f200e1e6b7ba6f2909d70ae96006ab98934" isNormal="1">
            <s:text>
              <s:r>
                <s:t xml:space="preserve">Administrator:
8/28 EAN条码贴纸 420pcs
客户进口商贴纸 420pcs
空白贴纸84pcs</s:t>
              </s:r>
            </s:text>
          </item>
        </commentChain>
      </unresolved>
      <resolved/>
    </commentChains>
    <commentChains s:ref="AI596" rgbClr="FF0000">
      <unresolved>
        <commentChain chainId="9847f36bc14b362ce40b5a4b246a680457796e46">
          <item id="ccd287029635c08495ff18920483d7a95c6ba1b9" isNormal="1">
            <s:text>
              <s:r>
                <s:t xml:space="preserve">Administrator:
400038 9/15 2500pcs
莫4A1</s:t>
              </s:r>
            </s:text>
          </item>
        </commentChain>
      </unresolved>
      <resolved/>
    </commentChains>
    <commentChains s:ref="AI597" rgbClr="FF0000">
      <unresolved>
        <commentChain chainId="ea5ff0cde431b1e98e082cca1943dcee94da6e91">
          <item id="f2ac0465f059b8de595ba680d5f2ddef8a281ba3" isNormal="1">
            <s:text>
              <s:r>
                <s:t xml:space="preserve">Administrator:
5000100 9/16 4680pcs
华3B14</s:t>
              </s:r>
            </s:text>
          </item>
        </commentChain>
      </unresolved>
      <resolved/>
    </commentChains>
    <commentChains s:ref="AL597" rgbClr="FF0000">
      <unresolved>
        <commentChain chainId="55f9fe2481a1a1d8d645eebafd4d322794583c39">
          <item id="e292ecfeb7f6e7415c650bed5f239d2e1b5b9593" isNormal="1">
            <s:text>
              <s:r>
                <s:t xml:space="preserve">Administrator:
8/26 上客户EAN贴纸4680pcs
PDQ数量贴纸4680pcs</s:t>
              </s:r>
            </s:text>
          </item>
        </commentChain>
      </unresolved>
      <resolved/>
    </commentChains>
    <commentChains s:ref="AI598" rgbClr="FF0000">
      <unresolved>
        <commentChain chainId="f200faffc0d9155c1667008b6bdab8bb22fffd23">
          <item id="e1d229114e577032c9f51f890b0c238a39560822" isNormal="1">
            <s:text>
              <s:r>
                <s:t xml:space="preserve">Administrator:
4000441 9/15 1500pcs
华3A12-B12</s:t>
              </s:r>
            </s:text>
          </item>
        </commentChain>
      </unresolved>
      <resolved/>
    </commentChains>
    <commentChains s:ref="AL598" rgbClr="FF0000">
      <unresolved>
        <commentChain chainId="60858cbf322b1f06863c17072b01ff4828742edc">
          <item id="cfdf0bf49397c5a906490631e9e2a8fd9e3fc000" isNormal="1">
            <s:text>
              <s:r>
                <s:t xml:space="preserve">Administrator:
9/5 UPC贴纸 1500pcs</s:t>
              </s:r>
            </s:text>
          </item>
        </commentChain>
      </unresolved>
      <resolved/>
    </commentChains>
    <commentChains s:ref="AI599" rgbClr="FF0000">
      <unresolved>
        <commentChain chainId="be092cb98aabae435c9f69a35105dcddf8b2ab80">
          <item id="ff57eb40bf9ec56d6c519e5d04aa22d68e16bd59" isNormal="1">
            <s:text>
              <s:r>
                <s:t xml:space="preserve">Administrator:
4000441 9/15 750pcs
华3A12-B12
</s:t>
              </s:r>
            </s:text>
          </item>
        </commentChain>
      </unresolved>
      <resolved/>
    </commentChains>
    <commentChains s:ref="AL599" rgbClr="FF0000">
      <unresolved>
        <commentChain chainId="7a4741af421907f6e59f3f0f4db1af7ee2d1abcd">
          <item id="de916cc6297cc4ae4bcb2f7c5312f1923a9eb200" isNormal="1">
            <s:text>
              <s:r>
                <s:t xml:space="preserve">Administrator:
9/5 UPC贴纸 750pcs
</s:t>
              </s:r>
            </s:text>
          </item>
        </commentChain>
      </unresolved>
      <resolved/>
    </commentChains>
    <commentChains s:ref="AI600" rgbClr="FF0000">
      <unresolved>
        <commentChain chainId="13d9ff855fa82fc016ce80cbafaa490e659d2518">
          <item id="22860a398d27fa65b98f1c69ca19253dfd733be0" isNormal="1">
            <s:text>
              <s:r>
                <s:t xml:space="preserve">Administrator:
4000441 9/15 750pcs华3A12-B12
</s:t>
              </s:r>
            </s:text>
          </item>
        </commentChain>
      </unresolved>
      <resolved/>
    </commentChains>
    <commentChains s:ref="AL600" rgbClr="FF0000">
      <unresolved>
        <commentChain chainId="e05670e4a1dd5a59903a870ce7c55bfb0415fed3">
          <item id="ef7022370002bcf673da5cca7e474f39e2358541" isNormal="1">
            <s:text>
              <s:r>
                <s:t xml:space="preserve">Administrator:
9/5 UPC贴纸 750pcs
</s:t>
              </s:r>
            </s:text>
          </item>
        </commentChain>
      </unresolved>
      <resolved/>
    </commentChains>
    <commentChains s:ref="AI601" rgbClr="FF0000">
      <unresolved>
        <commentChain chainId="e2fb147c03d2c72f377ad931d2ce9cf262204f42">
          <item id="018ceb532149c2f640f3bd0894476bb63eda3293" isNormal="1">
            <s:text>
              <s:r>
                <s:t xml:space="preserve">Administrator:
5000533 9/17 16pcS
莫海军
5000109 9/17 10512pcs
华3B3</s:t>
              </s:r>
            </s:text>
          </item>
        </commentChain>
      </unresolved>
      <resolved/>
    </commentChains>
    <commentChains s:ref="AL601" rgbClr="FF0000">
      <unresolved>
        <commentChain chainId="7ffd2e0c0b3e7d24eb69c6e048a36a0c0f441f08">
          <item id="e71ff24ef1a77546dc4c162e2543037c6bfc9299" isNormal="1">
            <s:text>
              <s:r>
                <s:t xml:space="preserve">Administrator:
9/9 上客供RFID贴纸10528pcs
</s:t>
              </s:r>
            </s:text>
          </item>
        </commentChain>
      </unresolved>
      <resolved/>
    </commentChains>
    <commentChains s:ref="AI602" rgbClr="FF0000">
      <unresolved>
        <commentChain chainId="44ffc927e58f79e225e90b86398738172a082861">
          <item id="64e19d37d7f1b870be20885998e10fb2de59b638" isNormal="1">
            <s:text>
              <s:r>
                <s:t xml:space="preserve">Administrator:
5000100 9/16 3640pcs
华3B15</s:t>
              </s:r>
            </s:text>
          </item>
        </commentChain>
      </unresolved>
      <resolved/>
    </commentChains>
    <commentChains s:ref="AI603" rgbClr="FF0000">
      <unresolved>
        <commentChain chainId="f88cff054db0634c096db0b2c55296b292079bbc">
          <item id="a4ade6430ee24e7b1b9db561666492720cc8385b" isNormal="1">
            <s:text>
              <s:r>
                <s:t xml:space="preserve">Administrator:
5000100 9/16 975pcs
华3B13
5000288 9/20 25pcs华兴</s:t>
              </s:r>
            </s:text>
          </item>
        </commentChain>
      </unresolved>
      <resolved/>
    </commentChains>
    <commentChains s:ref="AI604" rgbClr="FF0000">
      <unresolved>
        <commentChain chainId="db780541376bb0695a6194092a2924c18fae5a7d">
          <item id="db3b1c5ef877d89831acf2e8b1e0ee95c0b45fc5" isNormal="1">
            <s:text>
              <s:r>
                <s:t xml:space="preserve">Administrator:
5000101 9/16 82500pcs
华3A18-19-20
5000128 9/16 17500pcs华3A20</s:t>
              </s:r>
            </s:text>
          </item>
        </commentChain>
      </unresolved>
      <resolved/>
    </commentChains>
    <commentChains s:ref="AL604" rgbClr="FF0000">
      <unresolved>
        <commentChain chainId="9dddc2e952266376988a27746791132faaa47ee6">
          <item id="05cad166a966e9d739e299995d95ee38436b115f" isNormal="1">
            <s:text>
              <s:r>
                <s:t xml:space="preserve">Administrator:
9/5 客供外箱条码贴纸 4040pcs
</s:t>
              </s:r>
            </s:text>
          </item>
        </commentChain>
      </unresolved>
      <resolved/>
    </commentChains>
    <commentChains s:ref="AI605" rgbClr="FF0000">
      <unresolved>
        <commentChain chainId="4116854c10fb81dfa6d9e5db217be59f3f7915d5">
          <item id="3670da2845527abf1e479c8081857e71f6adae1e" isNormal="1">
            <s:text>
              <s:r>
                <s:t xml:space="preserve">Administrator:
5000109 9/17 2900pcs华一F4</s:t>
              </s:r>
            </s:text>
          </item>
        </commentChain>
      </unresolved>
      <resolved/>
    </commentChains>
    <commentChains s:ref="AL605" rgbClr="FF0000">
      <unresolved>
        <commentChain chainId="3439bcab6aa0a3f2f56ec0418d91a63c8b2dd817">
          <item id="bdb4ae18e8cbb1bb1506023682785d7951d87c04" isNormal="1">
            <s:text>
              <s:r>
                <s:t xml:space="preserve">Administrator:
9/5 UPC贴纸2900pcs
9/8 进口商贴纸 2900票 pcs</s:t>
              </s:r>
            </s:text>
          </item>
        </commentChain>
      </unresolved>
      <resolved/>
    </commentChains>
    <commentChains s:ref="AI606" rgbClr="FF0000">
      <unresolved>
        <commentChain chainId="0822a43254ed5b951c71f2932871844d68ecdacf">
          <item id="94772ff7f2527e60d560862209f523561d09ebbd" isNormal="1">
            <s:text>
              <s:r>
                <s:t xml:space="preserve">Administrator:
5000128 9/16 3250pcs华3A32</s:t>
              </s:r>
            </s:text>
          </item>
        </commentChain>
      </unresolved>
      <resolved/>
    </commentChains>
    <commentChains s:ref="AI607" rgbClr="FF0000">
      <unresolved>
        <commentChain chainId="64ddef7d4979798071b67119ef2f764f60561477">
          <item id="f52ac68fb91aed586a4012a84a6cf942fb1c8578" isNormal="1">
            <s:text>
              <s:r>
                <s:t xml:space="preserve">Administrator:
5000128 9/16 1755pcs
华3A32</s:t>
              </s:r>
            </s:text>
          </item>
        </commentChain>
      </unresolved>
      <resolved/>
    </commentChains>
    <commentChains s:ref="AI608" rgbClr="FF0000">
      <unresolved>
        <commentChain chainId="2f6cb234abd3e14d990b28ebdd12863d4499515b">
          <item id="8d4663badd1a5ec1cbfe1ca2b008a79b17f73539" isNormal="1">
            <s:text>
              <s:r>
                <s:t xml:space="preserve">Administrator:
5000288 9/20 1000pcs莫4A1</s:t>
              </s:r>
            </s:text>
          </item>
        </commentChain>
      </unresolved>
      <resolved/>
    </commentChains>
    <commentChains s:ref="AL608" rgbClr="FF0000">
      <unresolved>
        <commentChain chainId="eba551227af12e796784946758f424728efa8183">
          <item id="13ec387befa70c255ddf0fa9864db97446ac28b4" isNormal="1">
            <s:text>
              <s:r>
                <s:t xml:space="preserve">Administrator:
9/11 进口商贴纸1000pcs
UPC贴纸1000pcs
</s:t>
              </s:r>
            </s:text>
          </item>
        </commentChain>
      </unresolved>
      <resolved/>
    </commentChains>
    <commentChains s:ref="AL609" rgbClr="FF0000">
      <unresolved>
        <commentChain chainId="07c8572ca1c70faf03b9f0c76613e480754a0e3c">
          <item id="2ba4cb31cdee7cdc843fb10398223c12ddc61446" isNormal="1">
            <s:text>
              <s:r>
                <s:t xml:space="preserve">Administrator:
8/8 上客供警语贴纸收藏指南624pcs
客供警语贴纸贴球底部624pcs
客供中文警告语说明书624pcs
9/8 上空白贴纸600pcs
8/8 上客供警语贴纸收藏指南504pcs
客供警语贴纸贴球底部50pcs
客供中文警告语说明书50pcs
</s:t>
              </s:r>
            </s:text>
          </item>
        </commentChain>
      </unresolved>
      <resolved/>
    </commentChains>
    <commentChains s:ref="AI610" rgbClr="FF0000">
      <unresolved>
        <commentChain chainId="5a9a4d403348d0a5980bac23e03a6def7e46c021">
          <item id="3729c34d59ddedf064c33811f307d45e1fb347ac" isNormal="1">
            <s:text>
              <s:r>
                <s:t xml:space="preserve">Administrator:
5000279 9/22 1750pcs
莫4A1</s:t>
              </s:r>
            </s:text>
          </item>
        </commentChain>
      </unresolved>
      <resolved/>
    </commentChains>
    <commentChains s:ref="AI611" rgbClr="FF0000">
      <unresolved>
        <commentChain chainId="c389fd9059f7b707a7b1dfa9d17e3c8b8e843ab9">
          <item id="96be7b7564cb98cd696ada035a4fb302e58584d3" isNormal="1">
            <s:text>
              <s:r>
                <s:t xml:space="preserve">Administrator:
5000329 9/22 13050pcs
莫4A2</s:t>
              </s:r>
            </s:text>
          </item>
        </commentChain>
      </unresolved>
      <resolved/>
    </commentChains>
    <commentChains s:ref="AL611" rgbClr="FF0000">
      <unresolved>
        <commentChain chainId="4672949f5ef62aa02df0a2c2ed6cd6abb900874f">
          <item id="378404e88526da470d11ce3d12677beb6810948a" isNormal="1">
            <s:text>
              <s:r>
                <s:t xml:space="preserve">Administrator:
9/5 客供外箱条码贴纸 527pcs
</s:t>
              </s:r>
            </s:text>
          </item>
        </commentChain>
      </unresolved>
      <resolved/>
    </commentChains>
    <commentChains s:ref="AI612" rgbClr="FF0000">
      <unresolved>
        <commentChain chainId="590f1721533edfc2d233dcb07ec5008495e2aa13">
          <item id="a920bda936513aed3b686df6d93af98f67b96424" isNormal="1">
            <s:text>
              <s:r>
                <s:t xml:space="preserve">Administrator:
5000332 9/22 6750pcs莫4B3
5000336 9/23 13900pcs莫4B2</s:t>
              </s:r>
            </s:text>
          </item>
        </commentChain>
      </unresolved>
      <resolved/>
    </commentChains>
    <commentChains s:ref="AL612" rgbClr="FF0000">
      <unresolved>
        <commentChain chainId="c71b0358591c1edf0d6b1e04026a81a11a973d9b">
          <item id="e426650666923bdf40ce9aba9f3ba043c86c5e97" isNormal="1">
            <s:text>
              <s:r>
                <s:t xml:space="preserve">Administrator:
9/5 客供外箱条码贴纸834pcs
</s:t>
              </s:r>
            </s:text>
          </item>
        </commentChain>
      </unresolved>
      <resolved/>
    </commentChains>
    <commentChains s:ref="AI613" rgbClr="FF0000">
      <unresolved>
        <commentChain chainId="d73ecd3ad9c77841b2223ad4a6a6a98d4ac28b59">
          <item id="a7235d12b6a1138e845f169c8da856c8adf36243" isNormal="1">
            <s:text>
              <s:r>
                <s:t xml:space="preserve">Administrator:
5000336 9/23 2300pcs莫4B4</s:t>
              </s:r>
            </s:text>
          </item>
        </commentChain>
      </unresolved>
      <resolved/>
    </commentChains>
    <commentChains s:ref="AL613" rgbClr="FF0000">
      <unresolved>
        <commentChain chainId="619db1d3202a7b133c6cd010662e96ad05bfd8fe">
          <item id="d128c87776b59d595f4328782410e7d0188596c4" isNormal="1">
            <s:text>
              <s:r>
                <s:t xml:space="preserve">Administrator:
9/2 UPC贴纸 2300pcs
</s:t>
              </s:r>
            </s:text>
          </item>
        </commentChain>
      </unresolved>
      <resolved/>
    </commentChains>
    <commentChains s:ref="AI614" rgbClr="FF0000">
      <unresolved>
        <commentChain chainId="65030eab76b75003b497d14c70423b5fcf8ed5a9">
          <item id="f0213e850bf63a79916fb40a72d2c65c1e8bc338" isNormal="1">
            <s:text>
              <s:r>
                <s:t xml:space="preserve">Administrator:
5000329 9/22 750pcs莫4B1</s:t>
              </s:r>
            </s:text>
          </item>
        </commentChain>
      </unresolved>
      <resolved/>
    </commentChains>
    <commentChains s:ref="AL614" rgbClr="FF0000">
      <unresolved>
        <commentChain chainId="891f1bbc304745f8e7d6c602bb50d23947658f2a">
          <item id="20d816c10e7496bbbfb24d5e677d44c43e252c32" isNormal="1">
            <s:text>
              <s:r>
                <s:t xml:space="preserve">Administrator:
9/2 UPC贴纸 750pcs</s:t>
              </s:r>
            </s:text>
          </item>
        </commentChain>
      </unresolved>
      <resolved/>
    </commentChains>
    <commentChains s:ref="AI615" rgbClr="FF0000">
      <unresolved>
        <commentChain chainId="fe28f40a7ac3c43755182a0313e3db74300cd42d">
          <item id="d9892ed812b0990e05fa3adba2235ef65f812dd9" isNormal="1">
            <s:text>
              <s:r>
                <s:t xml:space="preserve">Administrator:
5000340 9/24 7000pcs莫4B4</s:t>
              </s:r>
            </s:text>
          </item>
        </commentChain>
      </unresolved>
      <resolved/>
    </commentChains>
    <commentChains s:ref="AL615" rgbClr="FF0000">
      <unresolved>
        <commentChain chainId="cc3bec9754569e98f7108e28b5e273d46c3bb29c">
          <item id="ea0d5706b4a581b3eb519c5bc64b646db5253534" isNormal="1">
            <s:text>
              <s:r>
                <s:t xml:space="preserve">Administrator:
9/8 冰棒款-说明书荷兰语贴纸 7000pcs
9/8 蛋糕款-说明书荷兰语贴纸 7000pcs
9/8 丁款-说明书荷兰语贴纸 7000pcs</s:t>
              </s:r>
            </s:text>
          </item>
        </commentChain>
      </unresolved>
      <resolved/>
    </commentChains>
    <commentChains s:ref="AI616" rgbClr="FF0000">
      <unresolved>
        <commentChain chainId="fb7b1ab84af4685fe60d6489aaeba020ce91a722">
          <item id="2063ad7eba27f12fa96e58a276e0b53283c71655" isNormal="1">
            <s:text>
              <s:r>
                <s:t xml:space="preserve">Administrator:
5000340 9/24 10000pcs莫4B4</s:t>
              </s:r>
            </s:text>
          </item>
        </commentChain>
      </unresolved>
      <resolved/>
    </commentChains>
    <commentChains s:ref="AL616" rgbClr="FF0000">
      <unresolved>
        <commentChain chainId="92ab17d10490603bf961ff8e971ab70879696b5d">
          <item id="655252354eb4ab92a00f396d0165398536e5c35c" isNormal="1">
            <s:text>
              <s:r>
                <s:t xml:space="preserve">Administrator:
Administrator:
9/8 冰棒款-说明书荷兰语贴纸 10000pcs
9/8 蛋糕款-说明书荷兰语贴纸 10000pcs
9/8 丁款-说明书荷兰语贴纸 10000pcs
</s:t>
              </s:r>
            </s:text>
          </item>
        </commentChain>
      </unresolved>
      <resolved/>
    </commentChains>
    <commentChains s:ref="AI617" rgbClr="FF0000">
      <unresolved>
        <commentChain chainId="3698141b3271d2b51e1b4870f39f46585db447a2">
          <item id="9c05588f457a8f51c37fc10b1fd7056b08bfdf92" isNormal="1">
            <s:text>
              <s:r>
                <s:t xml:space="preserve">Administrator:
5000329 9/22 14000pcs
莫4A1</s:t>
              </s:r>
            </s:text>
          </item>
        </commentChain>
      </unresolved>
      <resolved/>
    </commentChains>
    <commentChains s:ref="AL617" rgbClr="FF0000">
      <unresolved>
        <commentChain chainId="90518880d51aa50ac37276e421a53f9a6ff55a24">
          <item id="99e126f62aeab77ce61dffb03b45112287290a5e" isNormal="1">
            <s:text>
              <s:r>
                <s:t xml:space="preserve">Administrator:
9/8 进口商贴纸 14000pcs
9/8 UPC贴纸 14000pcs
9/13 外箱贴纸280pcs</s:t>
              </s:r>
            </s:text>
          </item>
        </commentChain>
      </unresolved>
      <resolved/>
    </commentChains>
    <commentChains s:ref="AL618" rgbClr="FF0000">
      <unresolved>
        <commentChain chainId="83337ed9e3e13768c14077ed7a23e3d7cb29f56c">
          <item id="048e839adb8114261d871e0a45ed20c6c6411eec" isNormal="1">
            <s:text>
              <s:r>
                <s:t xml:space="preserve">Administrator:
8/1 上收缩膜 +说明书 纽扣电池警告语贴纸300pcs
8/1 上收缩膜 +说明书 纽扣电池警告语贴纸300pcs
9/18 上KM单外箱贴纸25pcs
</s:t>
              </s:r>
            </s:text>
          </item>
        </commentChain>
      </unresolved>
      <resolved/>
    </commentChains>
    <commentChains s:ref="AL619" rgbClr="FF0000">
      <unresolved>
        <commentChain chainId="89cf00fbe39f1588e5878510845cc90248ffb6d9">
          <item id="ddbe46849609b6c4de8879c4c4e903b8278aa2ca" isNormal="1">
            <s:text>
              <s:r>
                <s:t xml:space="preserve">Administrator:
8/1 上收缩膜 +说明书 纽扣电池警告语贴纸2700pcs
8/1 上收缩膜 +说明书 纽扣电池警告语贴纸2700pcs
9/18 上KM单外箱贴纸225pcs
</s:t>
              </s:r>
            </s:text>
          </item>
        </commentChain>
      </unresolved>
      <resolved/>
    </commentChains>
    <commentChains s:ref="AI620" rgbClr="FF0000">
      <unresolved>
        <commentChain chainId="d4dbb21cd2460346fde26edcf702b950e0602fa8">
          <item id="b91755160dc4a2f7ad3f1b889bcb49378d34b7a0" isNormal="1">
            <s:text>
              <s:r>
                <s:t xml:space="preserve">Administrator:
5000340 9/24 2236pcs莫4C4</s:t>
              </s:r>
            </s:text>
          </item>
        </commentChain>
      </unresolved>
      <resolved/>
    </commentChains>
    <commentChains s:ref="AL620" rgbClr="FF0000">
      <unresolved>
        <commentChain chainId="00851f8a84bc430f8d79ff62c9a08afae2b1c752">
          <item id="301746091e8920f2c1169af691c27b57fabcb33d" isNormal="1">
            <s:text>
              <s:r>
                <s:t xml:space="preserve">Administrator:
9/2 UPC条码贴 2353pcs
9/8 上白色防盗贴纸2236pcs
9/18 上KM单外箱贴纸172pcs</s:t>
              </s:r>
            </s:text>
          </item>
        </commentChain>
      </unresolved>
      <resolved/>
    </commentChains>
    <commentChains s:ref="AI621" rgbClr="FF0000">
      <unresolved>
        <commentChain chainId="e38925c9de0c4d1b1fdab82a2af142ec7576a6ae">
          <item id="a6d91df7f92a004bc685b50dc4a3ce23455cf161" isNormal="1">
            <s:text>
              <s:r>
                <s:t xml:space="preserve">Administrator:
5000340 9/24 117pcs莫4C4</s:t>
              </s:r>
            </s:text>
          </item>
        </commentChain>
      </unresolved>
      <resolved/>
    </commentChains>
    <commentChains s:ref="AL621" rgbClr="FF0000">
      <unresolved>
        <commentChain chainId="a7140746129cbe1cabdcc1df823f803da7935bc0">
          <item id="7db068b0edaf379e9713993e7333515c7062098b" isNormal="1">
            <s:text>
              <s:r>
                <s:t xml:space="preserve">Administrator:
9/8 上白色防盗贴纸117pcs
9/18 上KM单外箱贴纸9pcs
</s:t>
              </s:r>
            </s:text>
          </item>
        </commentChain>
      </unresolved>
      <resolved/>
    </commentChains>
    <commentChains s:ref="AI622" rgbClr="FF0000">
      <unresolved>
        <commentChain chainId="5023e02cd789fbc0ef4079346de6bf8e5c5c48d2">
          <item id="56e1a0cfcf44112ce99c986fd25bfd2cf107b6df" isNormal="1">
            <s:text>
              <s:r>
                <s:t xml:space="preserve">Administrator:
5000329 9/22 5460pcs
莫4B3
5000332 9/22 4680pcs莫4B3</s:t>
              </s:r>
            </s:text>
          </item>
        </commentChain>
      </unresolved>
      <resolved/>
    </commentChains>
    <commentChains s:ref="AL622" rgbClr="FF0000">
      <unresolved>
        <commentChain chainId="9e609cdf33627e0e21add07a617ab2ebe234e74a">
          <item id="835d640a30546194d1ec32ddaf2c2f49182d8559" isNormal="1">
            <s:text>
              <s:r>
                <s:t xml:space="preserve">Administrator:
9/5 客人EAN条码贴纸 10140pcs
9/20 上PDQ数量贴纸2535pcs</s:t>
              </s:r>
            </s:text>
          </item>
        </commentChain>
      </unresolved>
      <resolved/>
    </commentChains>
    <commentChains s:ref="AI623" rgbClr="FF0000">
      <unresolved>
        <commentChain chainId="13e23ff5768dd24b893f37cffa2ad20a4de49dc9">
          <item id="f43cb1bf24081011e3e692c1afd823efa20e4652" isNormal="1">
            <s:text>
              <s:r>
                <s:t xml:space="preserve">Administrator:
5000279 9/22 2250pcs莫4B1</s:t>
              </s:r>
            </s:text>
          </item>
        </commentChain>
      </unresolved>
      <resolved/>
    </commentChains>
    <commentChains s:ref="AL623" rgbClr="FF0000">
      <unresolved>
        <commentChain chainId="9157a4a1ce20c26404978d18c53dfc6e1d770b1f">
          <item id="08d3f5e20e439950c5e30c14133a473adbfabf58" isNormal="1">
            <s:text>
              <s:r>
                <s:t xml:space="preserve">Administrator:
9/5 客户警语贴纸2250pcs</s:t>
              </s:r>
            </s:text>
          </item>
        </commentChain>
      </unresolved>
      <resolved/>
    </commentChains>
    <commentChains s:ref="AI624" rgbClr="FF0000">
      <unresolved>
        <commentChain chainId="da04d9901f30957a59f7e86add759f6f633bbead">
          <item id="27d8ac764a63077d83fea7ed328c476a653a57ac" isNormal="1">
            <s:text>
              <s:r>
                <s:t xml:space="preserve">Administrator:
5000319 9/23 25648pcs
华3A11
5000317 9/23 8960pcs华3A11</s:t>
              </s:r>
            </s:text>
          </item>
        </commentChain>
      </unresolved>
      <resolved/>
    </commentChains>
    <commentChains s:ref="AL624" rgbClr="FF0000">
      <unresolved>
        <commentChain chainId="027056899eb4d27f453cee00c7fcb8f30f98a265">
          <item id="5888893a18c52e3d91aadb1adf82e8ff09ca5579" isNormal="1">
            <s:text>
              <s:r>
                <s:t xml:space="preserve">Administrator:
9/9 上客供RFID贴纸34608pcs
</s:t>
              </s:r>
            </s:text>
          </item>
        </commentChain>
      </unresolved>
      <resolved/>
    </commentChains>
    <commentChains s:ref="AI625" rgbClr="FF0000">
      <unresolved>
        <commentChain chainId="770b7faf2b4e3b4f4bcf44c793ddc1565a69922e">
          <item id="488999cbbbdfbf8426cb002e86421f67b45f3dd6" isNormal="1">
            <s:text>
              <s:r>
                <s:t xml:space="preserve">Administrator:
5000317 9/23 14992pcs华3B11</s:t>
              </s:r>
            </s:text>
          </item>
        </commentChain>
      </unresolved>
      <resolved/>
    </commentChains>
    <commentChains s:ref="AL625" rgbClr="FF0000">
      <unresolved>
        <commentChain chainId="f42a3a9c0e2b46eff6e9b25d04dc91cb464d6b33">
          <item id="b04a6c544ac73da828557cb721661d6db178db4c" isNormal="1">
            <s:text>
              <s:r>
                <s:t xml:space="preserve">Administrator:
9/9 上客供RFID贴纸14992pcs
</s:t>
              </s:r>
            </s:text>
          </item>
        </commentChain>
      </unresolved>
      <resolved/>
    </commentChains>
    <commentChains s:ref="AI626" rgbClr="FF0000">
      <unresolved>
        <commentChain chainId="929df307bcc7faa17c2db18a5d32610b42362ae5">
          <item id="08cd02c336eed5d50853066f298233586c2523b0" isNormal="1">
            <s:text>
              <s:r>
                <s:t xml:space="preserve">Administrator:
5000317 9/23 15824pcs
华3A20</s:t>
              </s:r>
            </s:text>
          </item>
        </commentChain>
      </unresolved>
      <resolved/>
    </commentChains>
    <commentChains s:ref="AL626" rgbClr="FF0000">
      <unresolved>
        <commentChain chainId="046864163d028441c91250e8376d0ff6ea30fc61">
          <item id="3eee1fea9f220951a26f9aa208c42ae13b805a6c" isNormal="1">
            <s:text>
              <s:r>
                <s:t xml:space="preserve">Administrator:
9/9 上客供RFID贴纸15824pcs
</s:t>
              </s:r>
            </s:text>
          </item>
        </commentChain>
      </unresolved>
      <resolved/>
    </commentChains>
    <commentChains s:ref="AI627" rgbClr="FF0000">
      <unresolved>
        <commentChain chainId="5d2f965dccd725f662476c3e18eb3901adb051f4">
          <item id="8d7b6c1728ff5a9adc2650c0902322818a0429ec" isNormal="1">
            <s:text>
              <s:r>
                <s:t xml:space="preserve">Administrator:
5000319 9/23 22144pcs华3A9-B4</s:t>
              </s:r>
            </s:text>
          </item>
        </commentChain>
      </unresolved>
      <resolved/>
    </commentChains>
    <commentChains s:ref="AL627" rgbClr="FF0000">
      <unresolved>
        <commentChain chainId="dd3001d7aa442105cf54275fba997d98cbae8796">
          <item id="766b0d29053b195b9deec61724988ced73e2771e" isNormal="1">
            <s:text>
              <s:r>
                <s:t xml:space="preserve">Administrator:
9/9 上客供RFID贴纸22144pcs
</s:t>
              </s:r>
            </s:text>
          </item>
        </commentChain>
      </unresolved>
      <resolved/>
    </commentChains>
    <commentChains s:ref="AI628" rgbClr="FF0000">
      <unresolved>
        <commentChain chainId="56176a3457e4e55c92080f40bd48986b63b7f2bc">
          <item id="5043f55792bba04a8780b1b5c118fb5ca1bfb8c3" isNormal="1">
            <s:text>
              <s:r>
                <s:t xml:space="preserve">Administrator:
5000317 9/23 31744pcs华3B</s:t>
              </s:r>
            </s:text>
          </item>
        </commentChain>
      </unresolved>
      <resolved/>
    </commentChains>
    <commentChains s:ref="AL628" rgbClr="FF0000">
      <unresolved>
        <commentChain chainId="b680a240683986a64ea3df2409cc907f3cacca37">
          <item id="db316b25d8480c18d61c160e65329f16993e05e3" isNormal="1">
            <s:text>
              <s:r>
                <s:t xml:space="preserve">Administrator:
9/9 上客供RFID贴纸31744pcs
</s:t>
              </s:r>
            </s:text>
          </item>
        </commentChain>
      </unresolved>
      <resolved/>
    </commentChains>
    <commentChains s:ref="AI634" rgbClr="FF0000">
      <unresolved>
        <commentChain chainId="dfa8ff119ebe5ea1495b5ac642a3d5d389ac57d7">
          <item id="57b4e6b8b6c0a2c9798f7d16d56f1b979a6f9dbb" isNormal="1">
            <s:text>
              <s:r>
                <s:t xml:space="preserve">Administrator:
1200354 11/10 5000pcs
直走</s:t>
              </s:r>
            </s:text>
          </item>
        </commentChain>
      </unresolved>
      <resolved/>
    </commentChains>
    <commentChains s:ref="AL634" rgbClr="FF0000">
      <unresolved>
        <commentChain chainId="26dc834947c5e77546652d9e375dbdf551752821">
          <item id="72f1a846a08fbbc3ad48743a542cbec60913f5c2" isNormal="1">
            <s:text>
              <s:r>
                <s:t xml:space="preserve">Administrator:
9/20 上冰棒说明书荷兰语贴纸5000pcs
蛋糕说明书荷兰语贴纸5000pcs
布丁说明书荷兰语贴纸5000pcs</s:t>
              </s:r>
            </s:text>
          </item>
        </commentChain>
      </unresolved>
      <resolved/>
    </commentChains>
    <commentChains s:ref="AI637" rgbClr="FF0000">
      <unresolved>
        <commentChain chainId="8d4180db6b55337f99c19a5530334cd453641d44">
          <item id="d6aba99d89b9da442d97c4bd0251f61e7ed93b70" isNormal="1">
            <s:text>
              <s:r>
                <s:t xml:space="preserve">Administrator:
5000458 9/30 1248pcs</s:t>
              </s:r>
            </s:text>
          </item>
        </commentChain>
      </unresolved>
      <resolved/>
    </commentChains>
    <commentChains s:ref="AL637" rgbClr="FF0000">
      <unresolved>
        <commentChain chainId="003c8ab29cbbe457cc2c72eb5c20d15c54b886bd">
          <item id="4f17aacd88f98b566712a166220e5aef4effcb31" isNormal="1">
            <s:text>
              <s:r>
                <s:t xml:space="preserve">Administrator:
9/13 上UVGLUE LABLE贴纸2496pcs</s:t>
              </s:r>
            </s:text>
          </item>
        </commentChain>
      </unresolved>
      <resolved/>
    </commentChains>
    <commentChains s:ref="AL638" rgbClr="FF0000">
      <unresolved>
        <commentChain chainId="61e559a1a96cae5c9cd9deb6ea865a56a100180d">
          <item id="3906d64bb327615640cc0ec00779f9a42da09f48" isNormal="1">
            <s:text>
              <s:r>
                <s:t xml:space="preserve">Administrator:
9/11 上进口商贴纸1800pcs
UPC贴纸1800pcs
下面收藏指南贴纸1800pcs
背面收藏指南贴纸1800pcs</s:t>
              </s:r>
            </s:text>
          </item>
        </commentChain>
      </unresolved>
      <resolved/>
    </commentChains>
    <commentChains s:ref="AI639" rgbClr="FF0000">
      <unresolved>
        <commentChain chainId="ba564bc81473c4e20318a94a3af8d13f0f7d6eac">
          <item id="df770bcf4c0dd1a6d44d8c4d05f90b04579fc833" isNormal="1">
            <s:text>
              <s:r>
                <s:t xml:space="preserve">Administrator:
5000360 9/25 39375pcs
华3A31
5000370 9/26 15625pcs华3A29</s:t>
              </s:r>
            </s:text>
          </item>
        </commentChain>
      </unresolved>
      <resolved/>
    </commentChains>
    <commentChains s:ref="AI640" rgbClr="FF0000">
      <unresolved>
        <commentChain chainId="4a6812a2480447a06b8be81fef583455198523d4">
          <item id="85f461f33a980cc10def06aa0272671604493878" isNormal="1">
            <s:text>
              <s:r>
                <s:t xml:space="preserve">Administrator:
5000354 9/25 16500pcs
华3A28
5000360 9/25 1475pcs华3A28</s:t>
              </s:r>
            </s:text>
          </item>
        </commentChain>
      </unresolved>
      <resolved/>
    </commentChains>
    <commentChains s:ref="AL640" rgbClr="FF0000">
      <unresolved>
        <commentChain chainId="2a241230905d73977ceab63120258277be8fee28">
          <item id="e8cd9496ac9c1966ca6b309181a5eb6b427b49f5" isNormal="1">
            <s:text>
              <s:r>
                <s:t xml:space="preserve">Administrator:
9/12 上客供外箱条码贴纸726pcs</s:t>
              </s:r>
            </s:text>
          </item>
        </commentChain>
      </unresolved>
      <resolved/>
    </commentChains>
    <commentChains s:ref="AI641" rgbClr="FF0000">
      <unresolved>
        <commentChain chainId="116cf1c16bc85583a71dff4197887ccfd9b7650a">
          <item id="1c2b38eac3dfd81a27098d364ee3a0a6948789a4" isNormal="1">
            <s:text>
              <s:r>
                <s:t xml:space="preserve">Administrator:
5000340 9/24 10608pcs
华
5000322 9/24 12096pcs
华3A10
5000319 9/23 10304pcs华3A10</s:t>
              </s:r>
            </s:text>
          </item>
        </commentChain>
      </unresolved>
      <resolved/>
    </commentChains>
    <commentChains s:ref="AL641" rgbClr="FF0000">
      <unresolved>
        <commentChain chainId="3aaa3db489e39a99e23afa4054e4dfff11e8be38">
          <item id="281639f6e5df70c905fc344d2fa612c0341bf87b" isNormal="1">
            <s:text>
              <s:r>
                <s:t xml:space="preserve">Administrator:
9/9 上客供RFID贴纸33008pcs
</s:t>
              </s:r>
            </s:text>
          </item>
        </commentChain>
      </unresolved>
      <resolved/>
    </commentChains>
    <commentChains s:ref="AI642" rgbClr="FF0000">
      <unresolved>
        <commentChain chainId="083e7de0ac5e10b5559c663654e6026160a63e01">
          <item id="d6ec076fb8f8d671d5254b59d6b64803cf75ebfa" isNormal="1">
            <s:text>
              <s:r>
                <s:t xml:space="preserve">Administrator:
5000458 9/30 2000pcs</s:t>
              </s:r>
            </s:text>
          </item>
        </commentChain>
      </unresolved>
      <resolved/>
    </commentChains>
    <commentChains s:ref="AL642" rgbClr="FF0000">
      <unresolved>
        <commentChain chainId="987249d8a1897803158e2babe50e5f5e5850662e">
          <item id="b673bc27f98b2c61a4967f863853ef973cde3803" isNormal="1">
            <s:text>
              <s:r>
                <s:t xml:space="preserve">Administrator:
9/13 上警告语/进口商贴纸2000pcs
1语警告语贴纸6000ｐｃｓ
2语警告语贴纸2000ｐｃｓ
9/23 上警告语贴纸15000pcs与78665PO一起共用</s:t>
              </s:r>
            </s:text>
          </item>
        </commentChain>
      </unresolved>
      <resolved/>
    </commentChains>
    <commentChains s:ref="AI643" rgbClr="FF0000">
      <unresolved>
        <commentChain chainId="6b293d3cce481c4099dc189d86b47a598f119858">
          <item id="1699f9f729a6f5dac838aa308ab18de3facb0aa5" isNormal="1">
            <s:text>
              <s:r>
                <s:t xml:space="preserve">Administrator:
5000458 9/30 5975pcs
5000452 10/8 25pcs
</s:t>
              </s:r>
            </s:text>
          </item>
        </commentChain>
      </unresolved>
      <resolved/>
    </commentChains>
    <commentChains s:ref="AI644" rgbClr="FF0000">
      <unresolved>
        <commentChain chainId="702fde3d984508b6a891515ca76a6472b8552460">
          <item id="c1cd5b312f44ed5477170336a9f16091b1413001" isNormal="1">
            <s:text>
              <s:r>
                <s:t xml:space="preserve">Administrator:
5000458 9/30 156pcs</s:t>
              </s:r>
            </s:text>
          </item>
        </commentChain>
      </unresolved>
      <resolved/>
    </commentChains>
    <commentChains s:ref="AL644" rgbClr="FF0000">
      <unresolved>
        <commentChain chainId="cfd4af588c47b00d994e67001283454de62ea0c3">
          <item id="cd904ccc9aa70866b7bf35bd02d832f59c0848b0" isNormal="1">
            <s:text>
              <s:r>
                <s:t xml:space="preserve">Administrator:
9/8 上白色防盗贴纸156pcs
9/16 上UPC条码贴纸156ｐｃｓ
9/26 上KM单外箱贴纸12pcs
</s:t>
              </s:r>
            </s:text>
          </item>
        </commentChain>
      </unresolved>
      <resolved/>
    </commentChains>
    <commentChains s:ref="AI645" rgbClr="FF0000">
      <unresolved>
        <commentChain chainId="7ea7f67191e711576998480c784cdbd7ab9ba30b">
          <item id="39300f3546e31bd07f1bdeeca9a66263e8afb7ab" isNormal="1">
            <s:text>
              <s:r>
                <s:t xml:space="preserve">Administrator:
5000448 9/30 6916pcs
莫4B7</s:t>
              </s:r>
            </s:text>
          </item>
        </commentChain>
      </unresolved>
      <resolved/>
    </commentChains>
    <commentChains s:ref="AL645" rgbClr="FF0000">
      <unresolved>
        <commentChain chainId="5012d80d183610bf8be64a108b6f91910f9ee5b2">
          <item id="1b1c56f77da51064a13d0e3f199eb2511f22150f" isNormal="1">
            <s:text>
              <s:r>
                <s:t xml:space="preserve">Administrator:
9/8 上白色防盗贴纸6916pcs
9/16 上UPC条码贴纸6916ｐｃｓ
9/26 上KM单外箱贴纸532pcs</s:t>
              </s:r>
            </s:text>
          </item>
        </commentChain>
      </unresolved>
      <resolved/>
    </commentChains>
    <commentChains s:ref="AI646" rgbClr="FF0000">
      <unresolved>
        <commentChain chainId="d6266382c07362c063e55d6931b56397a7f35e10">
          <item id="9e2af2c7b6e66cb17428625eec458178f0795f09" isNormal="1">
            <s:text>
              <s:r>
                <s:t xml:space="preserve">Administrator:
5000448 9/30 8788pcs莫4B4
5000452 10/8 13pcs
</s:t>
              </s:r>
            </s:text>
          </item>
        </commentChain>
      </unresolved>
      <resolved/>
    </commentChains>
    <commentChains s:ref="AI647" rgbClr="FF0000">
      <unresolved>
        <commentChain chainId="683a510bf5adb09c3ba4a9c46a5c1691dcdd0c21">
          <item id="fc627525e8800cd7ad969117de6a39120da6b2fa" isNormal="1">
            <s:text>
              <s:r>
                <s:t xml:space="preserve">Administrator:
5000435 9/30 500pcs</s:t>
              </s:r>
            </s:text>
          </item>
        </commentChain>
      </unresolved>
      <resolved/>
    </commentChains>
    <commentChains s:ref="AL647" rgbClr="FF0000">
      <unresolved>
        <commentChain chainId="ff241dbc90649ae3b0a904f8ffc60621f26e0f76">
          <item id="05a089cdbec38455e6ec165094dcffebacbf68cf" isNormal="1">
            <s:text>
              <s:r>
                <s:t xml:space="preserve">Administrator:
9/11 进口商贴纸500pcs
</s:t>
              </s:r>
            </s:text>
          </item>
        </commentChain>
      </unresolved>
      <resolved/>
    </commentChains>
    <commentChains s:ref="AI648" rgbClr="FF0000">
      <unresolved>
        <commentChain chainId="b42281dd8ddbc0f54314897c0f294b639ef9c331">
          <item id="9ecf368e2856e57b5bb81fe361b2c3755e6efcbe" isNormal="1">
            <s:text>
              <s:r>
                <s:t xml:space="preserve">Administrator:
5000458 9/30 1800pcs
5000448 10/7 1175pcs华兴3A15
5000452 10/8 25pcs</s:t>
              </s:r>
            </s:text>
          </item>
        </commentChain>
      </unresolved>
      <resolved/>
    </commentChains>
    <commentChains s:ref="AL648" rgbClr="FF0000">
      <unresolved>
        <commentChain chainId="e767dd1ecf9a79978259767fe9b3fc4981ed6063">
          <item id="9f30183a34097807f932b803eb7171a6341a9699" isNormal="1">
            <s:text>
              <s:r>
                <s:t xml:space="preserve">Administrator:
9/16 上客人通用进口商贴纸3000ｐｃｓ
通用UPC条码贴纸3000ｐｃｓ</s:t>
              </s:r>
            </s:text>
          </item>
        </commentChain>
      </unresolved>
      <resolved/>
    </commentChains>
    <commentChains s:ref="AI649" rgbClr="FF0000">
      <unresolved>
        <commentChain chainId="ad2e498cbfc3c163e0deafc2456dba701bc8e099">
          <item id="9feba5f7dddc6644397c114481cabf013f458680" isNormal="1">
            <s:text>
              <s:r>
                <s:t xml:space="preserve">Administrator:
5000487 10/10 160pcs华3B16
</s:t>
              </s:r>
            </s:text>
          </item>
        </commentChain>
      </unresolved>
      <resolved/>
    </commentChains>
    <commentChains s:ref="AL649" rgbClr="FF0000">
      <unresolved>
        <commentChain chainId="8f918f5cd84e475e2d2953b7f6620773aaddb51b">
          <item id="439294f81e96989bed551772e6873a30b664c0bf" isNormal="1">
            <s:text>
              <s:r>
                <s:t xml:space="preserve">Administrator:
9/16 上UPC贴纸3000ｐｃｓ
三个同PO共用</s:t>
              </s:r>
            </s:text>
          </item>
        </commentChain>
      </unresolved>
      <resolved/>
    </commentChains>
    <commentChains s:ref="AI650" rgbClr="FF0000">
      <unresolved>
        <commentChain chainId="8ab4b569822969ca2c36fbc294c51eb9a203fd90">
          <item id="ac4df98dcf36ecd865d46dcda4a1b46f58957ed2" isNormal="1">
            <s:text>
              <s:r>
                <s:t xml:space="preserve">Administrator:
5000487 10/10 1200pcs华3B16</s:t>
              </s:r>
            </s:text>
          </item>
        </commentChain>
      </unresolved>
      <resolved/>
    </commentChains>
    <commentChains s:ref="AI651" rgbClr="FF0000">
      <unresolved>
        <commentChain chainId="d25db4a7216bd85101e609769097da0a53de73cd">
          <item id="6975aa373e6c828d3876cbc9fd071db8e93eabd5" isNormal="1">
            <s:text>
              <s:r>
                <s:t xml:space="preserve">Administrator:
5000487 10/10 1200pcs华3B16</s:t>
              </s:r>
            </s:text>
          </item>
        </commentChain>
      </unresolved>
      <resolved/>
    </commentChains>
    <commentChains s:ref="AI652" rgbClr="FF0000">
      <unresolved>
        <commentChain chainId="59b1e639cf9d35b36ccc2d6e25321a483c433df3">
          <item id="82ed1bd690c19aa7cf41689c43a6dc8dcacd318c" isNormal="1">
            <s:text>
              <s:r>
                <s:t xml:space="preserve">Administrator:
5000487 10/10 1000pcs华3B145</s:t>
              </s:r>
            </s:text>
          </item>
        </commentChain>
      </unresolved>
      <resolved/>
    </commentChains>
    <commentChains s:ref="AL652" rgbClr="FF0000">
      <unresolved>
        <commentChain chainId="7f4a0d7325959ad85450f3cd2a3bd760dff98730">
          <item id="443cb33d83bcd89fc281c92bfc6ce429d7eb0f99" isNormal="1">
            <s:text>
              <s:r>
                <s:t xml:space="preserve">Administrator:
9/13 上警告语/进口商贴纸1000pcs
1语警告语贴纸2000ｐｃｓ
2语警告语贴纸1000ｐｃｓ
9/23 上警告语贴纸15000pcs与78665PO一起共用
</s:t>
              </s:r>
            </s:text>
          </item>
        </commentChain>
      </unresolved>
      <resolved/>
    </commentChains>
    <commentChains s:ref="AI653" rgbClr="FF0000">
      <unresolved>
        <commentChain chainId="6b8a9b9259879c3ce3269510726d89ae0651ee0b">
          <item id="692bbb7f77297900c2656e7f4e8c0e9317eb7d36" isNormal="1">
            <s:text>
              <s:r>
                <s:t xml:space="preserve">Administrator:
5000487 10/10 4030pcs华3B15</s:t>
              </s:r>
            </s:text>
          </item>
        </commentChain>
      </unresolved>
      <resolved/>
    </commentChains>
    <commentChains s:ref="AI654" rgbClr="FF0000">
      <unresolved>
        <commentChain chainId="1b55ae57045b198c52ad94b66eae77c5887bb9d8">
          <item id="d9097c6da0af43a1b0a6832f78c4b9509d290b9e" isNormal="1">
            <s:text>
              <s:r>
                <s:t xml:space="preserve">Administrator:
40009612 10/10 4760pcs
4000973 10/11 40pcs</s:t>
              </s:r>
            </s:text>
          </item>
        </commentChain>
      </unresolved>
      <resolved/>
    </commentChains>
    <commentChains s:ref="AI656" rgbClr="FF0000">
      <unresolved>
        <commentChain chainId="07c97fee785b695124100de392c4e45889a41a0f">
          <item id="2b9f2b2a744476129d1546e6dc0c84a6fbed3e51" isNormal="1">
            <s:text>
              <s:r>
                <s:t xml:space="preserve">Administrator:
5000520 10/13 10450pcs华 一F5</s:t>
              </s:r>
            </s:text>
          </item>
        </commentChain>
      </unresolved>
      <resolved/>
    </commentChains>
    <commentChains s:ref="AL656" rgbClr="FF0000">
      <unresolved>
        <commentChain chainId="459d6f86512bb4e70e7839652d58e0d09a36770d">
          <item id="910e29a3a4544ce953de532e260ad4156a38e135" isNormal="1">
            <s:text>
              <s:r>
                <s:t xml:space="preserve">Administrator:
9/16 上PDQUPC条码贴纸418pcs</s:t>
              </s:r>
            </s:text>
          </item>
        </commentChain>
      </unresolved>
      <resolved/>
    </commentChains>
    <commentChains s:ref="AI657" rgbClr="FF0000">
      <unresolved>
        <commentChain chainId="172b448f51e06160956c02ebeb6af36955bfeb23">
          <item id="a160b4747fcde3cfa9b3161e850e02510327a25e" isNormal="1">
            <s:text>
              <s:r>
                <s:t xml:space="preserve">Administrator:
5000008 10/13 12800pcs华一F4</s:t>
              </s:r>
            </s:text>
          </item>
        </commentChain>
      </unresolved>
      <resolved/>
    </commentChains>
    <commentChains s:ref="AL657" rgbClr="FF0000">
      <unresolved>
        <commentChain chainId="2e4d430f77e623fdb3e50034c3e88845eff85e42">
          <item id="f358e01a8b9a10f160e19b71158078673b31a314" isNormal="1">
            <s:text>
              <s:r>
                <s:t xml:space="preserve">Administrator:
9/16 上PDQUPC条码贴纸512pcs
</s:t>
              </s:r>
            </s:text>
          </item>
        </commentChain>
      </unresolved>
      <resolved/>
    </commentChains>
    <commentChains s:ref="AI658" rgbClr="FF0000">
      <unresolved>
        <commentChain chainId="9a2dd0230cd84c59baad247536307655d290ff19">
          <item id="60ab44a9c34f9bd8935dfd54fa65408403566632" isNormal="1">
            <s:text>
              <s:r>
                <s:t xml:space="preserve">Administrator:
5000582 10/16 4810pcs华3B15</s:t>
              </s:r>
            </s:text>
          </item>
        </commentChain>
      </unresolved>
      <resolved/>
    </commentChains>
    <commentChains s:ref="AL658" rgbClr="FF0000">
      <unresolved>
        <commentChain chainId="9591bb8b06e9b84209e4e2a3bb1e829c9b175f48">
          <item id="43d5196593d6f625eab8ec0af9c026b568ca244a" isNormal="1">
            <s:text>
              <s:r>
                <s:t xml:space="preserve">Administrator:
9/29 上PDQ贴纸370pcs
进口商西班牙环保标贴纸4810pcs
</s:t>
              </s:r>
            </s:text>
          </item>
        </commentChain>
      </unresolved>
      <resolved/>
    </commentChains>
    <commentChains s:ref="AI659" rgbClr="FF0000">
      <unresolved>
        <commentChain chainId="cfcccccbe0089a21f59ecc66ebe7b995c5bfe707">
          <item id="206488da3f03ca4e870685bc5b4419332e869fea" isNormal="1">
            <s:text>
              <s:r>
                <s:t xml:space="preserve">Administrator:
用77616拆单数量15000pcs -600件</s:t>
              </s:r>
            </s:text>
          </item>
        </commentChain>
      </unresolved>
      <resolved/>
    </commentChains>
    <commentChains s:ref="AI660" rgbClr="FF0000">
      <unresolved>
        <commentChain chainId="5cf54636c042efe2681aa26f5fc5f7ac3d8cd9dd">
          <item id="579f359fbddf14c1fedfb1b187ac080827f044c5" isNormal="1">
            <s:text>
              <s:r>
                <s:t xml:space="preserve">Administrator:
5000604 10/17 25000pcs华3A25</s:t>
              </s:r>
            </s:text>
          </item>
        </commentChain>
      </unresolved>
      <resolved/>
    </commentChains>
    <commentChains s:ref="AI661" rgbClr="FF0000">
      <unresolved>
        <commentChain chainId="27e4c0d9dbb31a22c7cf66e12f9317b6ce8aa154">
          <item id="0ae484fb2ade476e6d71692913e6302a2df5d804" isNormal="1">
            <s:text>
              <s:r>
                <s:t xml:space="preserve">Administrator:
5000642 10/21 5000pcs
华3B8</s:t>
              </s:r>
            </s:text>
          </item>
        </commentChain>
      </unresolved>
      <resolved/>
    </commentChains>
    <commentChains s:ref="AL661" rgbClr="FF0000">
      <unresolved>
        <commentChain chainId="5307df0fa4c0309b994eebbd2f821f76619de66a">
          <item id="65242bdd59e3df3fd1a5e13150197cd5d0829114" isNormal="1">
            <s:text>
              <s:r>
                <s:t xml:space="preserve">Administrator:
9/30 上冰棒-说明书贴纸5000ｐｃｓ
布丁-说明书贴纸5000ｐｃｓ
蛋糕-说明书贴纸5000ｐｃｓ</s:t>
              </s:r>
            </s:text>
          </item>
        </commentChain>
      </unresolved>
      <resolved/>
    </commentChains>
    <commentChains s:ref="AI662" rgbClr="FF0000">
      <unresolved>
        <commentChain chainId="9518cee8d2bd67f77fddcf754ada0c0728702b25">
          <item id="d4869cb2407bc6c8a362b900bbdd72d4e1a7aeb8" isNormal="1">
            <s:text>
              <s:r>
                <s:t xml:space="preserve">Administrator:
5000616 10/18 504pcs
华3A32</s:t>
              </s:r>
            </s:text>
          </item>
        </commentChain>
      </unresolved>
      <resolved/>
    </commentChains>
    <commentChains s:ref="AL662" rgbClr="FF0000">
      <unresolved>
        <commentChain chainId="391b626f3151391f75a5421ff2186bbcde16f4b5">
          <item id="f2608115a2e07fcd3ddb7c87430bb3ab8e7d166c" isNormal="1">
            <s:text>
              <s:r>
                <s:t xml:space="preserve">Administrator:
9/23 上客人白色贴纸504pcs</s:t>
              </s:r>
            </s:text>
          </item>
        </commentChain>
      </unresolved>
      <resolved/>
    </commentChains>
    <commentChains s:ref="AI663" rgbClr="FF0000">
      <unresolved>
        <commentChain chainId="0122cc5311a263fe42b2355a5be859c01690518c">
          <item id="bb7c529e5828370029aa1780946cbab9b21103db" isNormal="1">
            <s:text>
              <s:r>
                <s:t xml:space="preserve">Administrator:
5000616 10/18 832pcs
华3A27</s:t>
              </s:r>
            </s:text>
          </item>
        </commentChain>
      </unresolved>
      <resolved/>
    </commentChains>
    <commentChains s:ref="AI664" rgbClr="FF0000">
      <unresolved>
        <commentChain chainId="d5af2fc931913d156e138ea7037d55877f180a44">
          <item id="eadeadb4c1fc684c2b2433e89153066ea9069453" isNormal="1">
            <s:text>
              <s:r>
                <s:t xml:space="preserve">Administrator:
4000074 9/2 50pcs
A栋一楼</s:t>
              </s:r>
            </s:text>
          </item>
        </commentChain>
      </unresolved>
      <resolved/>
    </commentChains>
    <commentChains s:ref="AI665" rgbClr="FF0000">
      <unresolved>
        <commentChain chainId="4629645dc631324b1421dface17d449352921e3f">
          <item id="f7096e7e349b53f302750853fc9853e14ffea967" isNormal="1">
            <s:text>
              <s:r>
                <s:t xml:space="preserve">Administrator:
4000074 9/2 50pcsA栋一楼</s:t>
              </s:r>
            </s:text>
          </item>
        </commentChain>
      </unresolved>
      <resolved/>
    </commentChains>
    <commentChains s:ref="AI666" rgbClr="FF0000">
      <unresolved>
        <commentChain chainId="957b9fd0670961afd2726570a54fe9dfab5d3120">
          <item id="c8de721afa3d2e9fec9feb8d2f94adc698eb0a0b" isNormal="1">
            <s:text>
              <s:r>
                <s:t xml:space="preserve">Administrator:
4000475 9/10 50pcs</s:t>
              </s:r>
            </s:text>
          </item>
        </commentChain>
      </unresolved>
      <resolved/>
    </commentChains>
    <commentChains s:ref="AI668" rgbClr="FF0000">
      <unresolved>
        <commentChain chainId="5c33d9aa1b271baff79e3e6073899557ca620bbc">
          <item id="6ee9a25d0caad2baed5a78bacff020170b5a5091" isNormal="1">
            <s:text>
              <s:r>
                <s:t xml:space="preserve">Administrator:
5000493 10/10 50pcs兴信</s:t>
              </s:r>
            </s:text>
          </item>
        </commentChain>
      </unresolved>
      <resolved/>
    </commentChains>
    <commentChains s:ref="AI669" rgbClr="FF0000">
      <unresolved>
        <commentChain chainId="f111d198ea24d2a3d58a332c2e7aac0705a0c9b1">
          <item id="33a10453eee27ae032f29db1d4f4cf84a73cbb91" isNormal="1">
            <s:text>
              <s:r>
                <s:t xml:space="preserve">Administrator:
5000131 10/22 4758pcs华一F7</s:t>
              </s:r>
            </s:text>
          </item>
        </commentChain>
      </unresolved>
      <resolved/>
    </commentChains>
    <commentChains s:ref="AL669" rgbClr="FF0000">
      <unresolved>
        <commentChain chainId="e3c996a3c3f6d81ea560e7742fb9ea7b02500659">
          <item id="794c75372f2e8ef7d36e3e3c204d30fa7d0080d5" isNormal="1">
            <s:text>
              <s:r>
                <s:t xml:space="preserve">Administrator:
8/26 上客户EAN贴纸7488pcs
PDQ数量贴纸7488pcs
两个同PO共用</s:t>
              </s:r>
            </s:text>
          </item>
        </commentChain>
      </unresolved>
      <resolved/>
    </commentChains>
    <commentChains s:ref="AI670" rgbClr="FF0000">
      <unresolved>
        <commentChain chainId="d4bbdba00433efa65c2530f0837f09aa59b30fe3">
          <item id="9c7f26ca90701b154a4da3bcb3b2419434a3df11" isNormal="1">
            <s:text>
              <s:r>
                <s:t xml:space="preserve">Administrator:
5000131 10/22 2730pcs
华一F7</s:t>
              </s:r>
            </s:text>
          </item>
        </commentChain>
      </unresolved>
      <resolved/>
    </commentChains>
    <commentChains s:ref="AI671" rgbClr="FF0000">
      <unresolved>
        <commentChain chainId="bf32950d6b9f8007b35872e6eb64661564e1b77f">
          <item id="ff5eeeb5c1c5f734b73723ed787a1e2ec0ac268d" isNormal="1">
            <s:text>
              <s:r>
                <s:t xml:space="preserve">Administrator:
5000135 10/22 65pcs华3B13</s:t>
              </s:r>
            </s:text>
          </item>
        </commentChain>
      </unresolved>
      <resolved/>
    </commentChains>
    <commentChains s:ref="AL671" rgbClr="FF0000">
      <unresolved>
        <commentChain chainId="3a7ca7a0352e3addc6e533848a13db131353b104">
          <item id="14972177bb56ac72f7e18a7dcc03fe5529e0047d" isNormal="1">
            <s:text>
              <s:r>
                <s:t xml:space="preserve">Administrator:
9/30 上UPC条码贴纸65pcs
10/8 上白色防盗贴纸65pcs
10/13 上KM单外箱贴纸5pcs
</s:t>
              </s:r>
            </s:text>
          </item>
        </commentChain>
      </unresolved>
      <resolved/>
    </commentChains>
    <commentChains s:ref="AI672" rgbClr="FF0000">
      <unresolved>
        <commentChain chainId="4f43ed8249f1271e68d2ecf86d78ff2d4c7d38cb">
          <item id="173fd4d2c2685e36ee8d452faa10727661e18301" isNormal="1">
            <s:text>
              <s:r>
                <s:t xml:space="preserve">Administrator:
5000135 10/22 403pcs
华3B13</s:t>
              </s:r>
            </s:text>
          </item>
        </commentChain>
      </unresolved>
      <resolved/>
    </commentChains>
    <commentChains s:ref="AL672" rgbClr="FF0000">
      <unresolved>
        <commentChain chainId="3733e61ce6f035626a23d96e1764483717b8c8c0">
          <item id="40206dd3340917b9cd9b47a2423259887a277daf" isNormal="1">
            <s:text>
              <s:r>
                <s:t xml:space="preserve">Administrator:
9/30 上UPC条码贴纸403pcs
10/8 上白色防盗贴纸403pcs
10/13 上KM单外箱贴纸31pcs
</s:t>
              </s:r>
            </s:text>
          </item>
        </commentChain>
      </unresolved>
      <resolved/>
    </commentChains>
    <commentChains s:ref="AI673" rgbClr="FF0000">
      <unresolved>
        <commentChain chainId="0ba42f02eeb1aba9b6ec5e8368352a3f4ebd9a94">
          <item id="77aa94a9c9183deaf8adf1e6e1f704d4c15670b3" isNormal="1">
            <s:text>
              <s:r>
                <s:t xml:space="preserve">Administrator:
5000135 10/22 1443pcs
华3B13</s:t>
              </s:r>
            </s:text>
          </item>
        </commentChain>
      </unresolved>
      <resolved/>
    </commentChains>
    <commentChains s:ref="AL673" rgbClr="FF0000">
      <unresolved>
        <commentChain chainId="e1ab6dd107965050bdf27f42fd077bc0a7d717cf">
          <item id="57aa735d235bbf8f72d15466cb5ef5903be011ba" isNormal="1">
            <s:text>
              <s:r>
                <s:t xml:space="preserve">Administrator:
9/30 上UPC条码贴纸1443pcs
10/8 上白色防盗贴纸1443pcs
10/13 上KM单外箱贴纸111pcs</s:t>
              </s:r>
            </s:text>
          </item>
        </commentChain>
      </unresolved>
      <resolved/>
    </commentChains>
    <commentChains s:ref="AI674" rgbClr="FF0000">
      <unresolved>
        <commentChain chainId="59362e11fd59332b71bddf2a568f6c117f87f91d">
          <item id="1df10da3bb8aeb12626fce51a28ddcb0a87a543b" isNormal="1">
            <s:text>
              <s:r>
                <s:t xml:space="preserve">Administrator:
5000135 10/22 5408pcs
华3B13</s:t>
              </s:r>
            </s:text>
          </item>
        </commentChain>
      </unresolved>
      <resolved/>
    </commentChains>
    <commentChains s:ref="AL674" rgbClr="FF0000">
      <unresolved>
        <commentChain chainId="e0d0501f7ee147519288580df193e31a692ea550">
          <item id="4744c192c278e84b2de7b85fdce6df6b717520c2" isNormal="1">
            <s:text>
              <s:r>
                <s:t xml:space="preserve">Administrator:
9/30 上UPC条码贴纸5408pcs
10/8 上白色防盗贴纸5408pcs
10/13 上KM单外箱贴纸416pcs
</s:t>
              </s:r>
            </s:text>
          </item>
        </commentChain>
      </unresolved>
      <resolved/>
    </commentChains>
    <commentChains s:ref="AI675" rgbClr="FF0000">
      <unresolved>
        <commentChain chainId="2dae61a0a74454649124d1e9c0bbe5b9639e63a4">
          <item id="1bcc091499194223f689d009bd3e1751aaa98881" isNormal="1">
            <s:text>
              <s:r>
                <s:t xml:space="preserve">Administrator:
5000132 10/22 13572pcs华3B6</s:t>
              </s:r>
            </s:text>
          </item>
        </commentChain>
      </unresolved>
      <resolved/>
    </commentChains>
    <commentChains s:ref="AI676" rgbClr="FF0000">
      <unresolved>
        <commentChain chainId="6bdcee9093123b72ed74c0a38adfa494dc013ce3">
          <item id="e9225a0fd503910134120cb9dcad40e17e1c2f85" isNormal="1">
            <s:text>
              <s:r>
                <s:t xml:space="preserve">Administrator:
5000487 10/10 160pcs莫4A5
5000497 10/9 10560pcs莫4A5
</s:t>
              </s:r>
            </s:text>
          </item>
        </commentChain>
      </unresolved>
      <resolved/>
    </commentChains>
    <commentChains s:ref="AL676" rgbClr="FF0000">
      <unresolved>
        <commentChain chainId="b141895d66b5b132b3f541e41827c2e4a39abd2b">
          <item id="8d4375474f6cd5817b10aed1d1d2c48e2d14fd92" isNormal="1">
            <s:text>
              <s:r>
                <s:t xml:space="preserve">Administrator:
9/29 上客供RFID贴纸115360ｐｃｓ
</s:t>
              </s:r>
            </s:text>
          </item>
        </commentChain>
      </unresolved>
      <resolved/>
    </commentChains>
    <commentChains s:ref="AI677" rgbClr="FF0000">
      <unresolved>
        <commentChain chainId="5f8ae2758bdb608ced124f3c344b8bd11922273f">
          <item id="de69c1191989065307c206879aa5a76527a39350" isNormal="1">
            <s:text>
              <s:r>
                <s:t xml:space="preserve">Administrator:
5000496 10/9 13440pcs华3B11
</s:t>
              </s:r>
            </s:text>
          </item>
        </commentChain>
      </unresolved>
      <resolved/>
    </commentChains>
    <commentChains s:ref="AL677" rgbClr="FF0000">
      <unresolved>
        <commentChain chainId="99f0306d82161a8b1eb443d233462d9ffb51fa60">
          <item id="6644d2cc7051d2932a41704d335c2d1dd0b97b97" isNormal="1">
            <s:text>
              <s:r>
                <s:t xml:space="preserve">Administrator:
9/29 上客供RFID贴纸13440ｐｃｓ
</s:t>
              </s:r>
            </s:text>
          </item>
        </commentChain>
      </unresolved>
      <resolved/>
    </commentChains>
    <commentChains s:ref="AI678" rgbClr="FF0000">
      <unresolved>
        <commentChain chainId="ccef4ac1004aaad2c9ae4bd72344a9478c9db87d">
          <item id="8b7a257b1ec4cab0a4ebff1cfa5f8fc02357151e" isNormal="1">
            <s:text>
              <s:r>
                <s:t xml:space="preserve">Administrator:
5000496 10/9 24000pcs华3A17
</s:t>
              </s:r>
            </s:text>
          </item>
        </commentChain>
      </unresolved>
      <resolved/>
    </commentChains>
    <commentChains s:ref="AL678" rgbClr="FF0000">
      <unresolved>
        <commentChain chainId="8f5a23face41c2994567dbecb9464d33731bb2db">
          <item id="4fd998a3ea9112db58ad6e40688b2374060670ff" isNormal="1">
            <s:text>
              <s:r>
                <s:t xml:space="preserve">Administrator:
9/29 上客供RFID贴纸24000ｐｃｓ
</s:t>
              </s:r>
            </s:text>
          </item>
        </commentChain>
      </unresolved>
      <resolved/>
    </commentChains>
    <commentChains s:ref="AI679" rgbClr="FF0000">
      <unresolved>
        <commentChain chainId="79594894507d4041e23b1d07b1f6c78bc6d306cf">
          <item id="5eec2eb7662418580591fb8237f730d141095455" isNormal="1">
            <s:text>
              <s:r>
                <s:t xml:space="preserve">Administrator:
5000497 10/9 10560pcs莫4B3</s:t>
              </s:r>
            </s:text>
          </item>
        </commentChain>
      </unresolved>
      <resolved/>
    </commentChains>
    <commentChains s:ref="AL679" rgbClr="FF0000">
      <unresolved>
        <commentChain chainId="baba6e8feab4c9537d75e1e3826e0ff27386cacf">
          <item id="9d9df3d1ce7dce3af6d5c8c932687a02174c717c" isNormal="1">
            <s:text>
              <s:r>
                <s:t xml:space="preserve">Administrator:
9/29 上客供RFID贴纸10560ｐｃｓ
</s:t>
              </s:r>
            </s:text>
          </item>
        </commentChain>
      </unresolved>
      <resolved/>
    </commentChains>
    <commentChains s:ref="AI680" rgbClr="FF0000">
      <unresolved>
        <commentChain chainId="95060b2d57b8031d6a634b119276913b968fd4b6">
          <item id="3713ee595fd26573c2fc7e5e8e8fbe63e3bf535d" isNormal="1">
            <s:text>
              <s:r>
                <s:t xml:space="preserve">Administrator:
10/20 1182</s:t>
              </s:r>
            </s:text>
          </item>
        </commentChain>
      </unresolved>
      <resolved/>
    </commentChains>
    <commentChains s:ref="AL680" rgbClr="FF0000">
      <unresolved>
        <commentChain chainId="74abe4de2367442eaf94c963a50fbeeb5dc35078">
          <item id="3344d80b9009de194aecd7d193be17afe8fbd7f9" isNormal="1">
            <s:text>
              <s:r>
                <s:t xml:space="preserve">Administrator:
9/18 上亚马逊外箱贴纸197pcs
</s:t>
              </s:r>
            </s:text>
          </item>
        </commentChain>
      </unresolved>
      <resolved/>
    </commentChains>
    <commentChains s:ref="AI681" rgbClr="FF0000">
      <unresolved>
        <commentChain chainId="946f3bbe718392f9aced7f1576100b73f4cbe65f">
          <item id="2c750af9488c46f3d36301248817a674eb64469e" isNormal="1">
            <s:text>
              <s:r>
                <s:t xml:space="preserve">Administrator:
4001005 10/20 10/20 780华3A20
</s:t>
              </s:r>
            </s:text>
          </item>
        </commentChain>
      </unresolved>
      <resolved/>
    </commentChains>
    <commentChains s:ref="AL681" rgbClr="FF0000">
      <unresolved>
        <commentChain chainId="e4a2672132e6580297997b3483ebd1c85b9f19c6">
          <item id="5f432ad04ec622fe4a74fb3337622e0d696ef469" isNormal="1">
            <s:text>
              <s:r>
                <s:t xml:space="preserve">Administrator:
9/18 上亚马逊外箱贴纸130pcs</s:t>
              </s:r>
            </s:text>
          </item>
        </commentChain>
      </unresolved>
      <resolved/>
    </commentChains>
    <commentChains s:ref="AI682" rgbClr="FF0000">
      <unresolved>
        <commentChain chainId="6c19049312a6257524b2ee838592cae9f937a4c4">
          <item id="e2ab6b2d23716bf525ef54cd8d4da39c73a27e75" isNormal="1">
            <s:text>
              <s:r>
                <s:t xml:space="preserve">Administrator:
10/20 720
</s:t>
              </s:r>
            </s:text>
          </item>
        </commentChain>
      </unresolved>
      <resolved/>
    </commentChains>
    <commentChains s:ref="AL682" rgbClr="FF0000">
      <unresolved>
        <commentChain chainId="2857a602345e714eadcbf068f5caca6c7eb6975b">
          <item id="6be13a1e0880ea695965f686c01e790ff392d806" isNormal="1">
            <s:text>
              <s:r>
                <s:t xml:space="preserve">Administrator:
9/18 上KM单外箱贴纸120pcs
</s:t>
              </s:r>
            </s:text>
          </item>
        </commentChain>
      </unresolved>
      <resolved/>
    </commentChains>
    <commentChains s:ref="AI683" rgbClr="FF0000">
      <unresolved>
        <commentChain chainId="d585aa2104cd4113d7cc83ef70115ffd1efbacc9">
          <item id="69c925c9ac63ef3192ec67fe81c4ea274a09efe0" isNormal="1">
            <s:text>
              <s:r>
                <s:t xml:space="preserve">Administrator:
5000487 10/10 2704pcs华3B13
5000472 10/11 104pcs华3B12</s:t>
              </s:r>
            </s:text>
          </item>
        </commentChain>
      </unresolved>
      <resolved/>
    </commentChains>
    <commentChains s:ref="AL683" rgbClr="FF0000">
      <unresolved>
        <commentChain chainId="8b2745d4a823dd4921bf0a0fdac7fde9739da180">
          <item id="fdc588aec2bb14e45a0931c0e68c70d093ac8d86" isNormal="1">
            <s:text>
              <s:r>
                <s:t xml:space="preserve">Administrator:
9/23 上UPC条码贴纸2808pcs</s:t>
              </s:r>
            </s:text>
          </item>
        </commentChain>
      </unresolved>
      <resolved/>
    </commentChains>
    <commentChains s:ref="AI684" rgbClr="FF0000">
      <unresolved>
        <commentChain chainId="b4ad1fadb1be46b80b61fad73d82cc489b7d1441">
          <item id="064c870dc8f7df49c0bc664117ffa5c32d58fb92" isNormal="1">
            <s:text>
              <s:r>
                <s:t xml:space="preserve">Administrator:
5000008 10/13 22700pcs
华一F9
5000543 10/14 12075pcs华一F9
5000568 10/15 50pcs华一F9</s:t>
              </s:r>
            </s:text>
          </item>
        </commentChain>
      </unresolved>
      <resolved/>
    </commentChains>
    <commentChains s:ref="AL684" rgbClr="FF0000">
      <unresolved>
        <commentChain chainId="b475046f1372afd71eeb7303540a01a2a5018336">
          <item id="f0c72ab6d4fa97eb04ba3bf9f0faa5988d80e2ff" isNormal="1">
            <s:text>
              <s:r>
                <s:t xml:space="preserve">Administrator:
9/23 上客供外箱条码贴纸1407pcs</s:t>
              </s:r>
            </s:text>
          </item>
        </commentChain>
      </unresolved>
      <resolved/>
    </commentChains>
    <commentChains s:ref="AI685" rgbClr="FF0000">
      <unresolved>
        <commentChain chainId="199c7002ac068d1a656ce7dc2dc62da159113912">
          <item id="6a94e15cd1e2dd2b4f1462c7c010464174e4c132" isNormal="1">
            <s:text>
              <s:r>
                <s:t xml:space="preserve">Administrator:
5000578 10/15 500pcs莫4-B8</s:t>
              </s:r>
            </s:text>
          </item>
        </commentChain>
      </unresolved>
      <resolved/>
    </commentChains>
    <commentChains s:ref="AI686" rgbClr="FF0000">
      <unresolved>
        <commentChain chainId="246961db67af0f8f48d6387aa5b75c81962f0a75">
          <item id="770ff587337e1841d60e130a6326283bcae41ef2" isNormal="1">
            <s:text>
              <s:r>
                <s:t xml:space="preserve">Administrator:
5000578 10/15 2900pcs
莫4-B1
5000611 10/18 100pcs王付键
</s:t>
              </s:r>
            </s:text>
          </item>
        </commentChain>
      </unresolved>
      <resolved/>
    </commentChains>
    <commentChains s:ref="AL686" rgbClr="FF0000">
      <unresolved>
        <commentChain chainId="3146fa498cde5b455803b20100f8c2423a69ea70">
          <item id="c12173dee9e75cfa25165ca7a86ded56fc0f1068" isNormal="1">
            <s:text>
              <s:r>
                <s:t xml:space="preserve">Administrator:
9/20 上进口商贴纸3000pcs
9/29 上？UPC条码贴纸3000PCS
10/9 上条码贴纸3000pcs
</s:t>
              </s:r>
            </s:text>
          </item>
        </commentChain>
      </unresolved>
      <resolved/>
    </commentChains>
    <commentChains s:ref="AI687" rgbClr="FF0000">
      <unresolved>
        <commentChain chainId="6614cf955b84e413119fc0b8b6a5955ad47d3290">
          <item id="24ab63f8b990a53d185ebab6736d430019723c46" isNormal="1">
            <s:text>
              <s:r>
                <s:t xml:space="preserve">Administrator:
5000556 10/15 450pcs华3B14
5000568 10/15 50pcs华3B14</s:t>
              </s:r>
            </s:text>
          </item>
        </commentChain>
      </unresolved>
      <resolved/>
    </commentChains>
    <commentChains s:ref="AL687" rgbClr="FF0000">
      <unresolved>
        <commentChain chainId="d05f7a7a7363106308769e117f58fe79480a7798">
          <item id="d6033ccda9708cb77f7c033daa4ea6db749181e9" isNormal="1">
            <s:text>
              <s:r>
                <s:t xml:space="preserve">Administrator:
9/23 上UPC贴纸500pcs</s:t>
              </s:r>
            </s:text>
          </item>
        </commentChain>
      </unresolved>
      <resolved/>
    </commentChains>
    <commentChains s:ref="AI688" rgbClr="FF0000">
      <unresolved>
        <commentChain chainId="453f2af6c5cb9b8ed487793350a2de71d7dfcbf2">
          <item id="3301cad32a11b5f49fe63d54d373f7281e3f290c" isNormal="1">
            <s:text>
              <s:r>
                <s:t xml:space="preserve">Administrator:
5000543 10/14 4000pcs莫4B4</s:t>
              </s:r>
            </s:text>
          </item>
        </commentChain>
      </unresolved>
      <resolved/>
    </commentChains>
    <commentChains s:ref="AI689" rgbClr="FF0000">
      <unresolved>
        <commentChain chainId="9ef5266734fd2d625ea8f0573bdd43a61d0bc556">
          <item id="17010d63fb7872053648385e0def0d5d434383cd" isNormal="1">
            <s:text>
              <s:r>
                <s:t xml:space="preserve">Administrator:
5000543 10/14 117pcs莫4B4</s:t>
              </s:r>
            </s:text>
          </item>
        </commentChain>
      </unresolved>
      <resolved/>
    </commentChains>
    <commentChains s:ref="AL689" rgbClr="FF0000">
      <unresolved>
        <commentChain chainId="53fa7e69e4dfec490f5070bb3ef8b6777e3e3fcd">
          <item id="8ecd749b898373f7f712cf6871f6f7987b7e7465" isNormal="1">
            <s:text>
              <s:r>
                <s:t xml:space="preserve">Administrator:
9/8 上白色防盗贴纸117pcs
9/16 上UPC条码贴纸117ｐｃｓ
10/9 上KM单外箱贴纸9pcs
</s:t>
              </s:r>
            </s:text>
          </item>
        </commentChain>
      </unresolved>
      <resolved/>
    </commentChains>
    <commentChains s:ref="AI690" rgbClr="FF0000">
      <unresolved>
        <commentChain chainId="e49b3877945379297d0020294a789d7848f7d673">
          <item id="e508f64c0d176d22404507739183c64671a43b38" isNormal="1">
            <s:text>
              <s:r>
                <s:t xml:space="preserve">Administrator:
5000543 10/14 2080pcs莫4B4
</s:t>
              </s:r>
            </s:text>
          </item>
        </commentChain>
      </unresolved>
      <resolved/>
    </commentChains>
    <commentChains s:ref="AL690" rgbClr="FF0000">
      <unresolved>
        <commentChain chainId="0236dbd0b947be12bcdf7a7d3a18a07603124588">
          <item id="c4ea7ff57b8b3f958f4b9df548333c16a16a4c68" isNormal="1">
            <s:text>
              <s:r>
                <s:t xml:space="preserve">Administrator:
9/8 上白色防盗贴纸2080pcs
9/16 上UPC条码贴纸2080ｐｃｓ
10/9 上KM单外箱贴纸160pcs</s:t>
              </s:r>
            </s:text>
          </item>
        </commentChain>
      </unresolved>
      <resolved/>
    </commentChains>
    <commentChains s:ref="AI691" rgbClr="FF0000">
      <unresolved>
        <commentChain chainId="eaba5683e0dc6e4c46192b9e2aa48f330fcc48b1">
          <item id="27ad4208eaa1701cf21e71841bb73f3e36e30227" isNormal="1">
            <s:text>
              <s:r>
                <s:t xml:space="preserve">Administrator:
5000616 10/18 1000pcs华3A27
</s:t>
              </s:r>
            </s:text>
          </item>
        </commentChain>
      </unresolved>
      <resolved/>
    </commentChains>
    <commentChains s:ref="AI692" rgbClr="FF0000">
      <unresolved>
        <commentChain chainId="1ef9ea08c5c3e753f1d4d96bc28beebd97393a63">
          <item id="7a279a2759ee8db2e3419d0a4fb0576150418825" isNormal="1">
            <s:text>
              <s:r>
                <s:t xml:space="preserve">Administrator:
5000496 10/9 19200pcs华3A17</s:t>
              </s:r>
            </s:text>
          </item>
        </commentChain>
      </unresolved>
      <resolved/>
    </commentChains>
    <commentChains s:ref="AL692" rgbClr="FF0000">
      <unresolved>
        <commentChain chainId="8871ff354d38142de0ad843dc36024a4b3962bd8">
          <item id="2b92d071970ee509b27066a00801237f96b79aec" isNormal="1">
            <s:text>
              <s:r>
                <s:t xml:space="preserve">Administrator:
9/29 上客供RFID贴纸19200ｐｃｓ</s:t>
              </s:r>
            </s:text>
          </item>
        </commentChain>
      </unresolved>
      <resolved/>
    </commentChains>
    <commentChains s:ref="AI693" rgbClr="FF0000">
      <unresolved>
        <commentChain chainId="9438ff755573419f094900bd7cc675c8de35ef26">
          <item id="c8d7c2ef1c1fe4055ebbdd39f56b056297b5ef29" isNormal="1">
            <s:text>
              <s:r>
                <s:t xml:space="preserve">Administrator:
5000496 10/9 2112pcsa莫4A5
5000497 10/9 11328pcs莫4A6
</s:t>
              </s:r>
            </s:text>
          </item>
        </commentChain>
      </unresolved>
      <resolved/>
    </commentChains>
    <commentChains s:ref="AL693" rgbClr="FF0000">
      <unresolved>
        <commentChain chainId="f252493e0ab6ca8bfb9fa81a0fb0bbf7a909eb9e">
          <item id="6dd8e21989c69bfe95f4d9dd7e5ea9b0b6f8f3e9" isNormal="1">
            <s:text>
              <s:r>
                <s:t xml:space="preserve">Administrator:
9/29 上客供RFID贴纸1３４４０ｐｃｓ
</s:t>
              </s:r>
            </s:text>
          </item>
        </commentChain>
      </unresolved>
      <resolved/>
    </commentChains>
    <commentChains s:ref="AI694" rgbClr="FF0000">
      <unresolved>
        <commentChain chainId="c828f9b0ee4e543b5c46de66fee2d3d9eed5efde">
          <item id="5a24298bcc202bb3a84a552fb697e620022a2348" isNormal="1">
            <s:text>
              <s:r>
                <s:t xml:space="preserve">Administrator:
5000496 10/9 10560pcs华3B10
</s:t>
              </s:r>
            </s:text>
          </item>
        </commentChain>
      </unresolved>
      <resolved/>
    </commentChains>
    <commentChains s:ref="AL694" rgbClr="FF0000">
      <unresolved>
        <commentChain chainId="58310491eeacef18066a0993354cfc8016e81ea4">
          <item id="097dbd2e2df3f099a27d09828ab302d310beda71" isNormal="1">
            <s:text>
              <s:r>
                <s:t xml:space="preserve">Administrator:
9/29 上客供RFID贴纸10560ｐｃｓ
</s:t>
              </s:r>
            </s:text>
          </item>
        </commentChain>
      </unresolved>
      <resolved/>
    </commentChains>
    <commentChains s:ref="AI695" rgbClr="FF0000">
      <unresolved>
        <commentChain chainId="284d5a507bdbfa2dca6bae05df7ea93b8fc2552e">
          <item id="8c78721a21cf110b0b51682638b9d47c95c38e37" isNormal="1">
            <s:text>
              <s:r>
                <s:t xml:space="preserve">Administrator:
5000637 10/20 10208pcs
华3A12
5000628 10/20 32pcs华一楼7区
5000642 10/21 10880pcs直走</s:t>
              </s:r>
            </s:text>
          </item>
        </commentChain>
      </unresolved>
      <resolved/>
    </commentChains>
    <commentChains s:ref="AL695" rgbClr="FF0000">
      <unresolved>
        <commentChain chainId="f6b4d6b6a22425e4c063fad2e8cceef9ef1d2f1a">
          <item id="13fc883f798b7f031e8140317612bf3669b709ef" isNormal="1">
            <s:text>
              <s:r>
                <s:t xml:space="preserve">Administrator:
10/8 上客供RFID贴纸34560pcs</s:t>
              </s:r>
            </s:text>
          </item>
        </commentChain>
      </unresolved>
      <resolved/>
    </commentChains>
    <commentChains s:ref="AI696" rgbClr="FF0000">
      <unresolved>
        <commentChain chainId="c04fd9cda4817436437c4b3f0ca5ac6c0b511fff">
          <item id="771862ca38db89fd3b7b827d56fd2442accadce0" isNormal="1">
            <s:text>
              <s:r>
                <s:t xml:space="preserve">Administrator:
5000628 10/20 32pcs
华一楼7区
5000642 10/21 5728pcs
直走</s:t>
              </s:r>
            </s:text>
          </item>
        </commentChain>
      </unresolved>
      <resolved/>
    </commentChains>
    <commentChains s:ref="AL696" rgbClr="FF0000">
      <unresolved>
        <commentChain chainId="6324f518a52f328b3f956df82aa9d1db777ec56a">
          <item id="8246bf84f5e934552ee684080ad3911b09ec34bc" isNormal="1">
            <s:text>
              <s:r>
                <s:t xml:space="preserve">Administrator:
10/8 上客供RFID贴纸16320pcs
</s:t>
              </s:r>
            </s:text>
          </item>
        </commentChain>
      </unresolved>
      <resolved/>
    </commentChains>
    <commentChains s:ref="AI697" rgbClr="FF0000">
      <unresolved>
        <commentChain chainId="c3b976b1d31c41e7f44d1599f9ef155b4e7b483d">
          <item id="a9218f33cfb0570221215e15377d65bf425c3eb3" isNormal="1">
            <s:text>
              <s:r>
                <s:t xml:space="preserve">Administrator:
5000178 10/24 3000pcs
华3B14</s:t>
              </s:r>
            </s:text>
          </item>
        </commentChain>
      </unresolved>
      <resolved/>
    </commentChains>
    <commentChains s:ref="AL697" rgbClr="FF0000">
      <unresolved>
        <commentChain chainId="ebae1c224975864f6618bb9a7d36093f80d555b6">
          <item id="26fb253db189d8f55367243f072b2637f3422494" isNormal="1">
            <s:text>
              <s:r>
                <s:t xml:space="preserve">Administrator:
9/26 多语折叠警语贴纸13540pcs
三个同PO共用</s:t>
              </s:r>
            </s:text>
          </item>
        </commentChain>
      </unresolved>
      <resolved/>
    </commentChains>
    <commentChains s:ref="AI698" rgbClr="FF0000">
      <unresolved>
        <commentChain chainId="c020b3b4f8f20ff59a53415ec604ebe2af41306a">
          <item id="709a87e7c6dca68e87d1a3f644919456f7acbd61" isNormal="1">
            <s:text>
              <s:r>
                <s:t xml:space="preserve">Administrator:
5000178 10/24 7540pcs
华3B8</s:t>
              </s:r>
            </s:text>
          </item>
        </commentChain>
      </unresolved>
      <resolved/>
    </commentChains>
    <commentChains s:ref="AI699" rgbClr="FF0000">
      <unresolved>
        <commentChain chainId="4cb4b6284186efb2c76cb4bd4121a72629949e0e">
          <item id="6c838d61b6c11dcc2ef709ef70771628a4046963" isNormal="1">
            <s:text>
              <s:r>
                <s:t xml:space="preserve">Administrator:
4001013 10/24 1500pcs华3A30</s:t>
              </s:r>
            </s:text>
          </item>
        </commentChain>
      </unresolved>
      <resolved/>
    </commentChains>
    <commentChains s:ref="AL699" rgbClr="FF0000">
      <unresolved>
        <commentChain chainId="ec066e2ec84fafbe0f0c726e01ce987753dc32b9">
          <item id="83cdd1f3948d04810131ecbd8e7c47a4984f3119" isNormal="1">
            <s:text>
              <s:r>
                <s:t xml:space="preserve">Administrator:
9/29 上EAN条码贴纸1500PCS</s:t>
              </s:r>
            </s:text>
          </item>
        </commentChain>
      </unresolved>
      <resolved/>
    </commentChains>
    <commentChains s:ref="AI700" rgbClr="FF0000">
      <unresolved>
        <commentChain chainId="08ce7371a2e88f3e730c72dd7211192865faab81">
          <item id="bb366b7fd33f75c47bdc59b333c1dee352bd596f" isNormal="1">
            <s:text>
              <s:r>
                <s:t xml:space="preserve">Administrator:
5000229 10/27 5000pcs
华一F4</s:t>
              </s:r>
            </s:text>
          </item>
        </commentChain>
      </unresolved>
      <resolved/>
    </commentChains>
    <commentChains s:ref="AL700" rgbClr="FF0000">
      <unresolved>
        <commentChain chainId="ac193c2d2f9f229bc52dfe012c3135d05a175d3d">
          <item id="7ba9efc45ea711cfcc4f337bcd9753d4554ab8d1" isNormal="1">
            <s:text>
              <s:r>
                <s:t xml:space="preserve">Administrator:
9/29 上进口商贴纸5000ｐｃｓ
10/20 上EAN条码贴纸5000pcs</s:t>
              </s:r>
            </s:text>
          </item>
        </commentChain>
      </unresolved>
      <resolved/>
    </commentChains>
    <commentChains s:ref="AI701" rgbClr="FF0000">
      <unresolved>
        <commentChain chainId="e587ddfb7d8b75438b8fad8d8109814cf9637334">
          <item id="cfb17ba18686002683627ffc9df5529483dbbf44" isNormal="1">
            <s:text>
              <s:r>
                <s:t xml:space="preserve">Administrator:
5000158 10/23 32624pcs华1B3
5000164 10/24 16pcs华1A3</s:t>
              </s:r>
            </s:text>
          </item>
        </commentChain>
      </unresolved>
      <resolved/>
    </commentChains>
    <commentChains s:ref="AL701" rgbClr="FF0000">
      <unresolved>
        <commentChain chainId="c5227f76c33d70d3dc8dc9c44477277a7454fd44">
          <item id="797fa739c075a389d229ba89fc86f55661c20238" isNormal="1">
            <s:text>
              <s:r>
                <s:t xml:space="preserve">Administrator:
10/8 上客供RFID贴纸46080pcs
</s:t>
              </s:r>
            </s:text>
          </item>
        </commentChain>
      </unresolved>
      <resolved/>
    </commentChains>
    <commentChains s:ref="AI702" rgbClr="FF0000">
      <unresolved>
        <commentChain chainId="5c60206184475c7a7ecffc9e905604e45856c85b">
          <item id="e5c3593b0e67bcf6dfcbc487077d79d9104af2f7" isNormal="1">
            <s:text>
              <s:r>
                <s:t xml:space="preserve">Administrator:
5000164 10/24 24752pcs
华3A5
5000163 10/24 30912pcs华3A5
5000229 10/27 16pcs
华3A4</s:t>
              </s:r>
            </s:text>
          </item>
        </commentChain>
      </unresolved>
      <resolved/>
    </commentChains>
    <commentChains s:ref="AL702" rgbClr="FF0000">
      <unresolved>
        <commentChain chainId="97c02a24acba87a0c865b100200e2e7a2ec0531f">
          <item id="923d998d442ab23c89a944a904dcf0b5648555d6" isNormal="1">
            <s:text>
              <s:r>
                <s:t xml:space="preserve">Administrator:
10/8 上客供RFID贴绝纸79680pcs
</s:t>
              </s:r>
            </s:text>
          </item>
        </commentChain>
      </unresolved>
      <resolved/>
    </commentChains>
    <commentChains s:ref="AI703" rgbClr="FF0000">
      <unresolved>
        <commentChain chainId="e8bd22c3239cce0bc90789464a770bf43dc44a11">
          <item id="61af95856c8c0320ee3fb8d37f036cc10822d14b" isNormal="1">
            <s:text>
              <s:r>
                <s:t xml:space="preserve">Administrator:
5000225 10/27 19648pcs
华3A12
5000229 10/27 6272pcs
华3A12</s:t>
              </s:r>
            </s:text>
          </item>
        </commentChain>
      </unresolved>
      <resolved/>
    </commentChains>
    <commentChains s:ref="AL703" rgbClr="FF0000">
      <unresolved>
        <commentChain chainId="ce606f33e8696177d322dc7444dac01aad131ca7">
          <item id="2349de18f5056ff66f68f0b967a81ad07414678d" isNormal="1">
            <s:text>
              <s:r>
                <s:t xml:space="preserve">Administrator:
10/8 上客供RFID贴纸36480pcs
</s:t>
              </s:r>
            </s:text>
          </item>
        </commentChain>
      </unresolved>
      <resolved/>
    </commentChains>
    <commentChains s:ref="AI704" rgbClr="FF0000">
      <unresolved>
        <commentChain chainId="c686b9aa787756186625aa187bb1bc15c72860f4">
          <item id="3d06ad950331655c85ed8b01037c39b613b7cea4" isNormal="1">
            <s:text>
              <s:r>
                <s:t xml:space="preserve">Administrator:
5000172 10/24 9600pcs华一B3</s:t>
              </s:r>
            </s:text>
          </item>
        </commentChain>
      </unresolved>
      <resolved/>
    </commentChains>
    <commentChains s:ref="AL704" rgbClr="FF0000">
      <unresolved>
        <commentChain chainId="53c9f7f074912ddfe4847d9b7033bc4cd098bc86">
          <item id="0064b263c5e4876c2d5a8eb4a5d27dd9fa3c4ae5" isNormal="1">
            <s:text>
              <s:r>
                <s:t xml:space="preserve">Administrator:
10/8 上客供RFID贴纸28800pcs
</s:t>
              </s:r>
            </s:text>
          </item>
        </commentChain>
      </unresolved>
      <resolved/>
    </commentChains>
    <commentChains s:ref="AI705" rgbClr="FF0000">
      <unresolved>
        <commentChain chainId="44f6607ebd6c78bce5ce70bf718c96d0b0615058">
          <item id="63aa7ca2caf60e3cc771d070c2dfc03c33176663" isNormal="1">
            <s:text>
              <s:r>
                <s:t xml:space="preserve">Administrator:
5000225 10/27 160pcs
华3A3
5000229 10/27 22720pcs
华3A3
5000230 10/24 20320pcs华3A3</s:t>
              </s:r>
            </s:text>
          </item>
        </commentChain>
      </unresolved>
      <resolved/>
    </commentChains>
    <commentChains s:ref="AL705" rgbClr="FF0000">
      <unresolved>
        <commentChain chainId="7feaa799cb6d03e22772056faf0fb5b05680fa83">
          <item id="bf275b6e404a28159f800d0d20aa6875585c1c65" isNormal="1">
            <s:text>
              <s:r>
                <s:t xml:space="preserve">Administrator:
10/8 上客供RFID贴纸58560pcs
</s:t>
              </s:r>
            </s:text>
          </item>
        </commentChain>
      </unresolved>
      <resolved/>
    </commentChains>
    <commentChains s:ref="AI706" rgbClr="FF0000">
      <unresolved>
        <commentChain chainId="8b250963aebbe4c9b500b4817d806544f942cd57">
          <item id="473b57c745c94212bda74b70c4288d5bd80863da" isNormal="1">
            <s:text>
              <s:r>
                <s:t xml:space="preserve">Administrator:
5000198 10/27 8000pcs华3A31</s:t>
              </s:r>
            </s:text>
          </item>
        </commentChain>
      </unresolved>
      <resolved/>
    </commentChains>
    <commentChains s:ref="AL706" rgbClr="FF0000">
      <unresolved>
        <commentChain chainId="dca428d99a2cb28e6decd67359eb0633fa94ea6d">
          <item id="ba07345ac0e01c85e0548bc3fff13f4f9f9d8164" isNormal="1">
            <s:text>
              <s:r>
                <s:t xml:space="preserve">Administrator:
10/13 上冰棒款说明书荷兰语贴纸8000pcs
蛋糕款说明书荷兰语贴纸8000pcs
布丁款说明书荷兰语贴纸8000pcs</s:t>
              </s:r>
            </s:text>
          </item>
        </commentChain>
      </unresolved>
      <resolved/>
    </commentChains>
    <commentChains s:ref="AI707" rgbClr="FF0000">
      <unresolved>
        <commentChain chainId="775db5e3d40d4055f20d62ad196682c917cee4d4">
          <item id="2fbbea87ea3ac2e2ab3177acf0d39a1cb40eec6e" isNormal="1">
            <s:text>
              <s:r>
                <s:t xml:space="preserve">Administrator:
5000244 10/29 5000pcsB四楼4-B7</s:t>
              </s:r>
            </s:text>
          </item>
        </commentChain>
      </unresolved>
      <resolved/>
    </commentChains>
    <commentChains s:ref="AI708" rgbClr="FF0000">
      <unresolved>
        <commentChain chainId="5b8fdcc56f21297b4ceee2f8e5faa15108221b6c">
          <item id="00a1e42783e0b9950bdb4b695b6b51ffcb5d1d08" isNormal="1">
            <s:text>
              <s:r>
                <s:t xml:space="preserve">Administrator:
5000244 10/29 31500pcs
B四楼4-B4
5000245 10/30 16500pcs</s:t>
              </s:r>
            </s:text>
          </item>
        </commentChain>
      </unresolved>
      <resolved/>
    </commentChains>
    <commentChains s:ref="AL708" rgbClr="FF0000">
      <unresolved>
        <commentChain chainId="a43fba3ccfebb20c0a6945b5207a07d860067bee">
          <item id="a24bca997f513d0bb2be2bdba555d3afe7b34b00" isNormal="1">
            <s:text>
              <s:r>
                <s:t xml:space="preserve">Administrator:
客供外箱贴纸1939pcs</s:t>
              </s:r>
            </s:text>
          </item>
        </commentChain>
      </unresolved>
      <resolved/>
    </commentChains>
    <commentChains s:ref="AI709" rgbClr="FF0000">
      <unresolved>
        <commentChain chainId="4ab6bf1fb7a692908a98bfcc6e8b6648b762a117">
          <item id="2e33d68cdf593c48e97ac81cb2849915dbd15903" isNormal="1">
            <s:text>
              <s:r>
                <s:t xml:space="preserve">Administrator:
5000245 10/30 10000pcs
</s:t>
              </s:r>
            </s:text>
          </item>
        </commentChain>
      </unresolved>
      <resolved/>
    </commentChains>
    <commentChains s:ref="AL709" rgbClr="FF0000">
      <unresolved>
        <commentChain chainId="4da759170bc0f5244cc1ad46eb30ec6e237a6a78">
          <item id="dd2105d7986c2b6f2b7a92831c2e1241b957181d" isNormal="1">
            <s:text>
              <s:r>
                <s:t xml:space="preserve">Administrator:
9/30 上冰棒-说明书贴纸10000ｐｃｓ
布丁-说明书贴纸10000ｐｃｓ
蛋糕-说明书贴纸10000ｐｃｓ
</s:t>
              </s:r>
            </s:text>
          </item>
        </commentChain>
      </unresolved>
      <resolved/>
    </commentChains>
    <commentChains s:ref="AI710" rgbClr="FF0000">
      <unresolved>
        <commentChain chainId="5e442f98472ba9c5601caf488c109023e5302c5a">
          <item id="57f0f7b1e21ac9938bd7dd2e4d409fbbb437270c" isNormal="1">
            <s:text>
              <s:r>
                <s:t xml:space="preserve">Administrator:
1200294 11/3 1040pcs
华 3B32</s:t>
              </s:r>
            </s:text>
          </item>
        </commentChain>
      </unresolved>
      <resolved/>
    </commentChains>
    <commentChains s:ref="AL710" rgbClr="FF0000">
      <unresolved>
        <commentChain chainId="83872066bff33b0a71fd6d1d37f0f21132464a63">
          <item id="e2f68329b3c26402f0bcbe91eab7e1ab4f67abda" isNormal="1">
            <s:text>
              <s:r>
                <s:t xml:space="preserve">Administrator:
9/26 上客供警语贴纸球底部1080pcs
客供警语贴纸收藏指南1080pcs
客供警语贴纸贴说明书上1080pcs
10/6 上UPC条码贴纸1040pcs</s:t>
              </s:r>
            </s:text>
          </item>
        </commentChain>
      </unresolved>
      <resolved/>
    </commentChains>
    <commentChains s:ref="AI711" rgbClr="FF0000">
      <unresolved>
        <commentChain chainId="8e26ca5dfdb2c3801505a3a6502aa77bc1b1ee63">
          <item id="bac8a75704b07be761be978c1b4bfd71e03dcc58" isNormal="1">
            <s:text>
              <s:r>
                <s:t xml:space="preserve">Administrator:
1200267 11/1 260pcs</s:t>
              </s:r>
            </s:text>
          </item>
        </commentChain>
      </unresolved>
      <resolved/>
    </commentChains>
    <commentChains s:ref="AL711" rgbClr="FF0000">
      <unresolved>
        <commentChain chainId="cab812e0decab94b16b67056090d0124cf33b5b3">
          <item id="835db282aba52e4bf6b7c526818c04710bc0535f" isNormal="1">
            <s:text>
              <s:r>
                <s:t xml:space="preserve">Administrator:
10/8 上白色防盗贴纸260pcs
10/13 上UPC条码贴纸260pcs
10/15 上KM单外箱贴纸20pcs</s:t>
              </s:r>
            </s:text>
          </item>
        </commentChain>
      </unresolved>
      <resolved/>
    </commentChains>
    <commentChains s:ref="AI712" rgbClr="FF0000">
      <unresolved>
        <commentChain chainId="59be882be7da351cef436e9a0e3cae4a80b6c743">
          <item id="0b918f46b813dd6847f2efad335b0b58cfc7544b" isNormal="1">
            <s:text>
              <s:r>
                <s:t xml:space="preserve">Administrator:
1200267 11/1 1248pcs
</s:t>
              </s:r>
            </s:text>
          </item>
        </commentChain>
      </unresolved>
      <resolved/>
    </commentChains>
    <commentChains s:ref="AL712" rgbClr="FF0000">
      <unresolved>
        <commentChain chainId="f424c612db636559ad5544429a77f76baf4881a0">
          <item id="d97eecba7ca2ca58fed602cbf81420b997261402" isNormal="1">
            <s:text>
              <s:r>
                <s:t xml:space="preserve">Administrator:
10/8 上白色防盗贴纸1248pcs
10/13 上UPC条码贴纸1248pcs
10/15 上KM单外箱贴纸96pcs
</s:t>
              </s:r>
            </s:text>
          </item>
        </commentChain>
      </unresolved>
      <resolved/>
    </commentChains>
    <commentChains s:ref="AI713" rgbClr="FF0000">
      <unresolved>
        <commentChain chainId="dd0d79136d915914bcbc4779d9e923ad90f0ff91">
          <item id="53da2e9a73b1885b29ac6314a29406d5713feb65" isNormal="1">
            <s:text>
              <s:r>
                <s:t xml:space="preserve">Administrator:
5000211 10/28 6720pcs华3A15</s:t>
              </s:r>
            </s:text>
          </item>
        </commentChain>
      </unresolved>
      <resolved/>
    </commentChains>
    <commentChains s:ref="AL713" rgbClr="FF0000">
      <unresolved>
        <commentChain chainId="dfd100c377ecbcfe607a74e076c23dab2d4d5f1b">
          <item id="fbd0238b8ee8cc27165c22a9e5510d97892c75e8" isNormal="1">
            <s:text>
              <s:r>
                <s:t xml:space="preserve">Administrator:
10/13 上客供RFID贴纸6720pcs</s:t>
              </s:r>
            </s:text>
          </item>
        </commentChain>
      </unresolved>
      <resolved/>
    </commentChains>
    <commentChains s:ref="AI714" rgbClr="FF0000">
      <unresolved>
        <commentChain chainId="1e682fd8cc4ca2c381e29295d07e75ea8a5cbf9c">
          <item id="9c781fa315c3ba2f53aa4d32d8df8afae3fc0332" isNormal="1">
            <s:text>
              <s:r>
                <s:t xml:space="preserve">Administrator:
5000211 10/28 1920pcs
华3B8</s:t>
              </s:r>
            </s:text>
          </item>
        </commentChain>
      </unresolved>
      <resolved/>
    </commentChains>
    <commentChains s:ref="AL714" rgbClr="FF0000">
      <unresolved>
        <commentChain chainId="a38dbb41004801fbc22a235cfd5ba97817946c64">
          <item id="6a15d8fbca54a045eb1310603079977baf6d1f32" isNormal="1">
            <s:text>
              <s:r>
                <s:t xml:space="preserve">Administrator:
10/8 上客供RFID贴纸3920pcs
</s:t>
              </s:r>
            </s:text>
          </item>
        </commentChain>
      </unresolved>
      <resolved/>
    </commentChains>
    <commentChains s:ref="AI715" rgbClr="FF0000">
      <unresolved>
        <commentChain chainId="7f031cf1249b22fa4291d3baabdb0e9915150104">
          <item id="f8358fe64368b78bf41261ed1b89cd71822cb704" isNormal="1">
            <s:text>
              <s:r>
                <s:t xml:space="preserve">Administrator:
5000211 10/28 3840pcs
华3A17</s:t>
              </s:r>
            </s:text>
          </item>
        </commentChain>
      </unresolved>
      <resolved/>
    </commentChains>
    <commentChains s:ref="AL715" rgbClr="FF0000">
      <unresolved>
        <commentChain chainId="5809cfc9f722b4802d74ab03214fadd759b720a1">
          <item id="8a6e44036e87c5d1cdd7ced2e7f951310a43c2e1" isNormal="1">
            <s:text>
              <s:r>
                <s:t xml:space="preserve">Administrator:
10/8 上客供RFID贴纸3840pcs
</s:t>
              </s:r>
            </s:text>
          </item>
        </commentChain>
      </unresolved>
      <resolved/>
    </commentChains>
    <commentChains s:ref="AI716" rgbClr="FF0000">
      <unresolved>
        <commentChain chainId="675d1dd0474676a1384cb294e7a8ba4569ad37e9">
          <item id="1be1837941b540c26d5c2af6bc0b38e62805c762" isNormal="1">
            <s:text>
              <s:r>
                <s:t xml:space="preserve">Administrator:
5000211 10/28 2880pcs
华3A16</s:t>
              </s:r>
            </s:text>
          </item>
        </commentChain>
      </unresolved>
      <resolved/>
    </commentChains>
    <commentChains s:ref="AL716" rgbClr="FF0000">
      <unresolved>
        <commentChain chainId="541b495fedba8033cffe83e971ad29d5f47199f2">
          <item id="fa97ff671ac7e586ca1d0e2db5198cf318898611" isNormal="1">
            <s:text>
              <s:r>
                <s:t xml:space="preserve">Administrator:
10/13 上客供RFID贴纸2880pcs
</s:t>
              </s:r>
            </s:text>
          </item>
        </commentChain>
      </unresolved>
      <resolved/>
    </commentChains>
    <commentChains s:ref="AI717" rgbClr="FF0000">
      <unresolved>
        <commentChain chainId="ccfc36a5baf7db6d6af3f3a2f1dff9b47ebe1be6">
          <item id="61fd6830b42abf20664746480b28b5c427a9d8d5" isNormal="1">
            <s:text>
              <s:r>
                <s:t xml:space="preserve">Administrator:
5000211 10/28 8640pcs
华3A21</s:t>
              </s:r>
            </s:text>
          </item>
        </commentChain>
      </unresolved>
      <resolved/>
    </commentChains>
    <commentChains s:ref="AL717" rgbClr="FF0000">
      <unresolved>
        <commentChain chainId="545831d8532101c37d6f887725554a64ee09d05a">
          <item id="8e2c3ef648dcb88057e80de169362740ad2650fc" isNormal="1">
            <s:text>
              <s:r>
                <s:t xml:space="preserve">Administrator:
10/13 上客供RFID贴纸8640pcs
</s:t>
              </s:r>
            </s:text>
          </item>
        </commentChain>
      </unresolved>
      <resolved/>
    </commentChains>
    <commentChains s:ref="AI718" rgbClr="FF0000">
      <unresolved>
        <commentChain chainId="54324f6bcaafb42040189a7aa18037aec07a96cf">
          <item id="36bd9fe23d5148daa0641872e82822c9531462f2" isNormal="1">
            <s:text>
              <s:r>
                <s:t xml:space="preserve">Administrator:
5000211 10/28 2880pcs
华3A16</s:t>
              </s:r>
            </s:text>
          </item>
        </commentChain>
      </unresolved>
      <resolved/>
    </commentChains>
    <commentChains s:ref="AL718" rgbClr="FF0000">
      <unresolved>
        <commentChain chainId="b4a1d40a10c42dad8a5e18ddca9b1a03437605a9">
          <item id="c5684cc70739118dffb8f2e8201807bebad9d981" isNormal="1">
            <s:text>
              <s:r>
                <s:t xml:space="preserve">Administrator:
10/13 上客供RFID贴纸2880pcs
</s:t>
              </s:r>
            </s:text>
          </item>
        </commentChain>
      </unresolved>
      <resolved/>
    </commentChains>
    <commentChains s:ref="AI719" rgbClr="FF0000">
      <unresolved>
        <commentChain chainId="8f5aa610932f4d07900445515564ee852b4b469d">
          <item id="0fd23163629f99619606e276b61aa66fefce0598" isNormal="1">
            <s:text>
              <s:r>
                <s:t xml:space="preserve">Administrator:
1200294 11/3 312pcs
华3B17</s:t>
              </s:r>
            </s:text>
          </item>
        </commentChain>
      </unresolved>
      <resolved/>
    </commentChains>
    <commentChains s:ref="AL719" rgbClr="FF0000">
      <unresolved>
        <commentChain chainId="6c939b870355236457a8635bc4e4b3dd705aa1ff">
          <item id="5d49bfb5855293bc6a46b55f88fd30891e873c57" isNormal="1">
            <s:text>
              <s:r>
                <s:t xml:space="preserve">Administrator:
9/25 上警告语贴纸312
1袋子警告语贴纸312
2 袋子警告语贴纸312pcs
10/14 上1 袋子警告语贴纸1560pcs</s:t>
              </s:r>
            </s:text>
          </item>
        </commentChain>
      </unresolved>
      <resolved/>
    </commentChains>
    <commentChains s:ref="AI720" rgbClr="FF0000">
      <unresolved>
        <commentChain chainId="ca339bfb6670beeec96ef33ca225b10f59bcf316">
          <item id="6731790e4086089699b94247dc8f8e23ffc8b57f" isNormal="1">
            <s:text>
              <s:r>
                <s:t xml:space="preserve">Administrator:
1200294 11/3 5000pcs华3B14</s:t>
              </s:r>
            </s:text>
          </item>
        </commentChain>
      </unresolved>
      <resolved/>
    </commentChains>
    <commentChains s:ref="AL720" rgbClr="FF0000">
      <unresolved>
        <commentChain chainId="b94cae458f202724a79645d988e98e638e2dd745">
          <item id="fb77b65423d1c28788e0df045fbf35baba0855c6" isNormal="1">
            <s:text>
              <s:r>
                <s:t xml:space="preserve">Administrator:
10/13 款号条码贴纸5000pcs
10/16 上多语警语折叠贴纸5000pcS</s:t>
              </s:r>
            </s:text>
          </item>
        </commentChain>
      </unresolved>
      <resolved/>
    </commentChains>
    <commentChains s:ref="AI721" rgbClr="FF0000">
      <unresolved>
        <commentChain chainId="42b016167fcd96eb534eafdafedf94078ebd4548">
          <item id="fddd23f78f61c749fc9b2cae30a705ffe7bcaf83" isNormal="1">
            <s:text>
              <s:r>
                <s:t xml:space="preserve">Administrator:
1200294 11/3 1500pcs
华3B14</s:t>
              </s:r>
            </s:text>
          </item>
        </commentChain>
      </unresolved>
      <resolved/>
    </commentChains>
    <commentChains s:ref="AL721" rgbClr="FF0000">
      <unresolved>
        <commentChain chainId="c0225b2f7672f824bdd3df572629e073b3f173f0">
          <item id="84efbafdacfed986016aa1bece93bf09cb74d960" isNormal="1">
            <s:text>
              <s:r>
                <s:t xml:space="preserve">Administrator:
10/14 上UPC贴纸1500pcs</s:t>
              </s:r>
            </s:text>
          </item>
        </commentChain>
      </unresolved>
      <resolved/>
    </commentChains>
    <commentChains s:ref="AI722" rgbClr="FF0000">
      <unresolved>
        <commentChain chainId="411f4ba80ea5ca0350c977e67247dcac08d950c5">
          <item id="7ef805563279872ba1912a6b6df5d3541572196f" isNormal="1">
            <s:text>
              <s:r>
                <s:t xml:space="preserve">Administrator:
1200294 11/3 8000pcs
</s:t>
              </s:r>
            </s:text>
          </item>
        </commentChain>
      </unresolved>
      <resolved/>
    </commentChains>
    <commentChains s:ref="AL722" rgbClr="FF0000">
      <unresolved>
        <commentChain chainId="f7b194270683a4077e438e32ad5e3df8a3765b90">
          <item id="6de2bc6e2ff96f039b3b29a82040f53e7005c898" isNormal="1">
            <s:text>
              <s:r>
                <s:t xml:space="preserve">Administrator:
10/22 上西班牙环保标贴纸/客户进口商贴纸8000pcs</s:t>
              </s:r>
            </s:text>
          </item>
        </commentChain>
      </unresolved>
      <resolved/>
    </commentChains>
    <commentChains s:ref="AI723" rgbClr="FF0000">
      <unresolved>
        <commentChain chainId="cea45b7b0503989e79262e6d62be5f0e97e4bc10">
          <item id="40e622eb80ddc193b4563d6cda787645b9278b85" isNormal="1">
            <s:text>
              <s:r>
                <s:t xml:space="preserve">Administrator:
1200314 11/5 2912pcs华3B10
1200316 11/6 52pcs华3B10</s:t>
              </s:r>
            </s:text>
          </item>
        </commentChain>
      </unresolved>
      <resolved/>
    </commentChains>
    <commentChains s:ref="AI724" rgbClr="FF0000">
      <unresolved>
        <commentChain chainId="5fa0a2732c32fe2a32472ac1dc63c4b9676fc595">
          <item id="b8108274e50ea3d2f511a6869528e6a879211cc9" isNormal="1">
            <s:text>
              <s:r>
                <s:t xml:space="preserve">Administrator:
1200279 11/7 1560pcs华3B8
</s:t>
              </s:r>
            </s:text>
          </item>
        </commentChain>
      </unresolved>
      <resolved/>
    </commentChains>
    <commentChains s:ref="AL724" rgbClr="FF0000">
      <unresolved>
        <commentChain chainId="706979acffbfd9a71438f66c3e0b9a072fd4c3e7">
          <item id="c3985b4de7f2ce08e3b0faed0526f1c5d08a30a4" isNormal="1">
            <s:text>
              <s:r>
                <s:t xml:space="preserve">Administrator:
10/17 上客供防窜码贴纸7969pcs 只限77673货号
</s:t>
              </s:r>
            </s:text>
          </item>
        </commentChain>
      </unresolved>
      <resolved/>
    </commentChains>
    <commentChains s:ref="AI725" rgbClr="FF0000">
      <unresolved>
        <commentChain chainId="e18808ad42bdc70a5461c854a623ff346a202603">
          <item id="6a9f4b5c8130b205b809e2d120451b92282299f3" isNormal="1">
            <s:text>
              <s:r>
                <s:t xml:space="preserve">Administrator:
1200279 11/7 2483pcs华3B8
1200303 11/5 26pcs华3B8</s:t>
              </s:r>
            </s:text>
          </item>
        </commentChain>
      </unresolved>
      <resolved/>
    </commentChains>
    <commentChains s:ref="AI726" rgbClr="FF0000">
      <unresolved>
        <commentChain chainId="81333343bc76bb33d138675de0eb8914c51d91db">
          <item id="de3e7b41d11f6352919babb2a47699617ba4ace8" isNormal="1">
            <s:text>
              <s:r>
                <s:t xml:space="preserve">Administrator:
1200279 11/7 7200pcs华3B16</s:t>
              </s:r>
            </s:text>
          </item>
        </commentChain>
      </unresolved>
      <resolved/>
    </commentChains>
    <commentChains s:ref="AL726" rgbClr="FF0000">
      <unresolved>
        <commentChain chainId="06a28b33cea223bee7e2a78636794560e14a624c">
          <item id="9bebd2768195c04986476bbb8fdf89cfae84347b" isNormal="1">
            <s:text>
              <s:r>
                <s:t xml:space="preserve">Administrator:
10/14 上UPC贴纸7200pcs
客人通用贴纸7200pcs</s:t>
              </s:r>
            </s:text>
          </item>
        </commentChain>
      </unresolved>
      <resolved/>
    </commentChains>
    <commentChains s:ref="AI727" rgbClr="FF0000">
      <unresolved>
        <commentChain chainId="b1a49469bebaafbe06f8fea88d7a67094fce4c0a">
          <item id="c29270a79c977a9e2e7f143ab5ae17aabacef89c" isNormal="1">
            <s:text>
              <s:r>
                <s:t xml:space="preserve">Administrator:
1200316 11/6 1800pcs
华3A29</s:t>
              </s:r>
            </s:text>
          </item>
        </commentChain>
      </unresolved>
      <resolved/>
    </commentChains>
    <commentChains s:ref="AL727" rgbClr="FF0000">
      <unresolved>
        <commentChain chainId="3ea958fd8f6e7e67d10fe5b3e8368ee83d2180f7">
          <item id="f1d509c934d358c26c06fca4d5f8736d6e43a845" isNormal="1">
            <s:text>
              <s:r>
                <s:t xml:space="preserve">Administrator:
10/14 上空白贴纸3600pcs
环保标贴纸1800pcs
10/28 上亚马逊外箱贴纸150ｐｃｓ
</s:t>
              </s:r>
            </s:text>
          </item>
        </commentChain>
      </unresolved>
      <resolved/>
    </commentChains>
    <commentChains s:ref="AI728" rgbClr="FF0000">
      <unresolved>
        <commentChain chainId="0c0b09267c2e26a2253f1eec3cdf0ccd9ccde708">
          <item id="57a07b228dcf99dba8505193e34df0b0ee574db3" isNormal="1">
            <s:text>
              <s:r>
                <s:t xml:space="preserve">Administrator:
1200316 11/6 3408pcs
3B17</s:t>
              </s:r>
            </s:text>
          </item>
        </commentChain>
      </unresolved>
      <resolved/>
    </commentChains>
    <commentChains s:ref="AL728" rgbClr="FF0000">
      <unresolved>
        <commentChain chainId="126bcbd0d8aba672f46f969906dda2ee5491c89d">
          <item id="25952f4f2970cb54f772fa0b7e2eb91e77349205" isNormal="1">
            <s:text>
              <s:r>
                <s:t xml:space="preserve">Administrator:
10/14 上空白贴纸3408pcs
环保标贴纸3408pcs
10/28 上亚马逊外箱贴纸284ｐｃｓ
</s:t>
              </s:r>
            </s:text>
          </item>
        </commentChain>
      </unresolved>
      <resolved/>
    </commentChains>
    <commentChains s:ref="AI729" rgbClr="FF0000">
      <unresolved>
        <commentChain chainId="522c73f682e4c0a17af28f5026c7563b69af7568">
          <item id="ba8b21f6f841a24cbaeef6a27384a601d14b133c" isNormal="1">
            <s:text>
              <s:r>
                <s:t xml:space="preserve">Administrator:
1200314 11/5 492pcs华3B10</s:t>
              </s:r>
            </s:text>
          </item>
        </commentChain>
      </unresolved>
      <resolved/>
    </commentChains>
    <commentChains s:ref="AL729" rgbClr="FF0000">
      <unresolved>
        <commentChain chainId="8c751ad911406db1b91d87c7bb6548c5b2a27bbe">
          <item id="9e60e77836432f4144c75eeaeb444303e649a091" isNormal="1">
            <s:text>
              <s:r>
                <s:t xml:space="preserve">Administrator:
10/14 上空白贴纸492pcs
环保标贴纸492pcs
10/28 上亚马逊外箱贴纸41ｐｃｓ
</s:t>
              </s:r>
            </s:text>
          </item>
        </commentChain>
      </unresolved>
      <resolved/>
    </commentChains>
    <commentChains s:ref="AI730" rgbClr="FF0000">
      <unresolved>
        <commentChain chainId="3a84e64697a228ea553a5d2d7bfddd2b58b0b6e8">
          <item id="7b9c24a1945d1680b73b25c0c18585260231aa3a" isNormal="1">
            <s:text>
              <s:r>
                <s:t xml:space="preserve">Administrator:
1200314 11/5 3240pcs华3B11
</s:t>
              </s:r>
            </s:text>
          </item>
        </commentChain>
      </unresolved>
      <resolved/>
    </commentChains>
    <commentChains s:ref="AL730" rgbClr="FF0000">
      <unresolved>
        <commentChain chainId="850621a06887b93aabc538deedb02b5c0b85a82e">
          <item id="a448a7f407e6d207f254b81a13cc90d9a4af3c58" isNormal="1">
            <s:text>
              <s:r>
                <s:t xml:space="preserve">Administrator:
10/14 上空白贴纸3240pcs
环保标贴纸3240pcs
10/17 上亚马逊外箱贴纸270pcs</s:t>
              </s:r>
            </s:text>
          </item>
        </commentChain>
      </unresolved>
      <resolved/>
    </commentChains>
    <commentChains s:ref="AI731" rgbClr="FF0000">
      <unresolved>
        <commentChain chainId="151981dc9371ec9246a06ebd5bd78a85d384c234">
          <item id="ddf86af463811c7094a5766412e6fc88d5ccff4c" isNormal="1">
            <s:text>
              <s:r>
                <s:t xml:space="preserve">Administrator:
1200316 11/6 1212pcs
华3B14</s:t>
              </s:r>
            </s:text>
          </item>
        </commentChain>
      </unresolved>
      <resolved/>
    </commentChains>
    <commentChains s:ref="AL731" rgbClr="FF0000">
      <unresolved>
        <commentChain chainId="1d6c9a15be6cf9dd567a64037d4e9bd5c229cb1b">
          <item id="27a9f09b400a5337c067c3b195039c38d7ef0c89" isNormal="1">
            <s:text>
              <s:r>
                <s:t xml:space="preserve">Administrator:
10/16 上空白贴纸2424pcs
环保标贴纸1212pcs
10/28 上亚马逊外箱贴纸101ｐｃｓ
</s:t>
              </s:r>
            </s:text>
          </item>
        </commentChain>
      </unresolved>
      <resolved/>
    </commentChains>
    <commentChains s:ref="AI732" rgbClr="FF0000">
      <unresolved>
        <commentChain chainId="cfe2c33ac79518b1d4636e5529a633af2e5dd31b">
          <item id="eb95adbb7ed0cb47cb8b63578fa1164fd069de22" isNormal="1">
            <s:text>
              <s:r>
                <s:t xml:space="preserve">Administrator:
1200294 11/3 6240pcs
华3B16</s:t>
              </s:r>
            </s:text>
          </item>
        </commentChain>
      </unresolved>
      <resolved/>
    </commentChains>
    <commentChains s:ref="AL732" rgbClr="FF0000">
      <unresolved>
        <commentChain chainId="5e9c352089f42dbb0c19cfec02dd8e8d0cc1a624">
          <item id="1e32863101b14a1a3ebee2aeb34a995b347c25e8" isNormal="1">
            <s:text>
              <s:r>
                <s:t xml:space="preserve">Administrator:
10/17 上客供价格贴纸6240pcs
10/21 上德语贴纸6240pcs</s:t>
              </s:r>
            </s:text>
          </item>
        </commentChain>
      </unresolved>
      <resolved/>
    </commentChains>
    <commentChains s:ref="AI733" rgbClr="FF0000">
      <unresolved>
        <commentChain chainId="e557169ae044b5925bad2afde4472374cc64c3ac">
          <item id="f97b0a4234b24bef7da17a36e24438738d997d87" isNormal="1">
            <s:text>
              <s:r>
                <s:t xml:space="preserve">Administrator:
1200317 11/6 1000pcs华3A27</s:t>
              </s:r>
            </s:text>
          </item>
        </commentChain>
      </unresolved>
      <resolved/>
    </commentChains>
    <commentChains s:ref="AL733" rgbClr="FF0000">
      <unresolved>
        <commentChain chainId="aff3145c0d6438b952eda72c1e6006faebb5999b">
          <item id="266b9eb6e5c4cd6f47b463fa2a4293efe3b9a685" isNormal="1">
            <s:text>
              <s:r>
                <s:t xml:space="preserve">Administrator:
10/21 上日语警语贴纸1000pcs</s:t>
              </s:r>
            </s:text>
          </item>
        </commentChain>
      </unresolved>
      <resolved/>
    </commentChains>
    <commentChains s:ref="AI734" rgbClr="FF0000">
      <unresolved>
        <commentChain chainId="119dfda7d5000a92efa4d70eb92c75bfbaadb4de">
          <item id="292008dc9336ee60e6d05052c29e2320d45dcd2a" isNormal="1">
            <s:text>
              <s:r>
                <s:t xml:space="preserve">Administrator:
1200317 11/6 3950pcs
华3B14
1200333 11/8 50ｐｃｓ华3B14</s:t>
              </s:r>
            </s:text>
          </item>
        </commentChain>
      </unresolved>
      <resolved/>
    </commentChains>
    <commentChains s:ref="AL734" rgbClr="FF0000">
      <unresolved>
        <commentChain chainId="49b4b2ae8985da876b3d38c02f84f716215a9f0d">
          <item id="c4d796ca3f58d00f679183027e9970c3aefeb559" isNormal="1">
            <s:text>
              <s:r>
                <s:t xml:space="preserve">Administrator:
10/21 上日语警语贴纸4000pcs
</s:t>
              </s:r>
            </s:text>
          </item>
        </commentChain>
      </unresolved>
      <resolved/>
    </commentChains>
    <commentChains s:ref="AI735" rgbClr="FF0000">
      <unresolved>
        <commentChain chainId="6e4a582dabc34fa0e4cd2613ee0e9c159c2881d6">
          <item id="07c54f56e0891a34b0a1c1d50276d1765a0058df" isNormal="1">
            <s:text>
              <s:r>
                <s:t xml:space="preserve">Administrator:
1200317 11/6 12636pcs
华3A28</s:t>
              </s:r>
            </s:text>
          </item>
        </commentChain>
      </unresolved>
      <resolved/>
    </commentChains>
    <commentChains s:ref="AL735" rgbClr="FF0000">
      <unresolved>
        <commentChain chainId="e41a6578d06943d0a646734d9c02e1f04250d6a3">
          <item id="bf784c7a7ddb823b5b9ca2e27ad6c7a84c68a0c0" isNormal="1">
            <s:text>
              <s:r>
                <s:t xml:space="preserve">Administrator:
10/8 上白色防盗贴纸12636pcs
10/22 上KM单外箱贴纸972pcs
10/21 上UPC条码贴纸12636pcs</s:t>
              </s:r>
            </s:text>
          </item>
        </commentChain>
      </unresolved>
      <resolved/>
    </commentChains>
    <commentChains s:ref="AI736" rgbClr="FF0000">
      <unresolved>
        <commentChain chainId="945dabf391b06e1a08b41bd400c3240a0fb0556c">
          <item id="72926465d5aa411564ff7690d8d740b5791074dc" isNormal="1">
            <s:text>
              <s:r>
                <s:t xml:space="preserve">Administrator:
1200317 11/6 1404pcs
华3A27</s:t>
              </s:r>
            </s:text>
          </item>
        </commentChain>
      </unresolved>
      <resolved/>
    </commentChains>
    <commentChains s:ref="AL736" rgbClr="FF0000">
      <unresolved>
        <commentChain chainId="ed4ec1cf4e8c4fee9b1d16910a271bb2cbf92e23">
          <item id="d64475bf289403044e81dc06b053c0a017b67330" isNormal="1">
            <s:text>
              <s:r>
                <s:t xml:space="preserve">Administrator:
10/8 上白色防盗贴纸1404pcs
10/22 上KM单外箱贴纸108pcs
10/21 上UPC条码贴纸1404pcs
</s:t>
              </s:r>
            </s:text>
          </item>
        </commentChain>
      </unresolved>
      <resolved/>
    </commentChains>
    <commentChains s:ref="AI737" rgbClr="FF0000">
      <unresolved>
        <commentChain chainId="d6197e73e82f24acf7550e31709b5427822420e1">
          <item id="a8e8d8354976440c4c553392e1f4085b4f264355" isNormal="1">
            <s:text>
              <s:r>
                <s:t xml:space="preserve">Administrator:
1200345 11/8 9750pcs华3B15</s:t>
              </s:r>
            </s:text>
          </item>
        </commentChain>
      </unresolved>
      <resolved/>
    </commentChains>
    <commentChains s:ref="AI738" rgbClr="FF0000">
      <unresolved>
        <commentChain chainId="36e4801c954814ddd0f6a3a05b1824815e384ca1">
          <item id="642c88a499d3e8d88acfb88635498bd6260adbd5" isNormal="1">
            <s:text>
              <s:r>
                <s:t xml:space="preserve">Administrator:
1200345 11/8 2975pcs华3A37
1200368 11/11 25pcs华3A27
</s:t>
              </s:r>
            </s:text>
          </item>
        </commentChain>
      </unresolved>
      <resolved/>
    </commentChains>
    <commentChains s:ref="AL738" rgbClr="FF0000">
      <unresolved>
        <commentChain chainId="380b919431ee2e8065a0b00e78b736314718e735">
          <item id="cafa249482f99a22550f6b0184093e6e743965ad" isNormal="1">
            <s:text>
              <s:r>
                <s:t xml:space="preserve">Administrator:
10/21 上UPC条码贴纸3000pcs
</s:t>
              </s:r>
            </s:text>
          </item>
        </commentChain>
      </unresolved>
      <resolved/>
    </commentChains>
    <commentChains s:ref="AI739" rgbClr="FF0000">
      <unresolved>
        <commentChain chainId="96d96827e6d8951b2af60a19ac996d3f1f723f0e">
          <item id="2778de0659a15086b5d573ebd2fdc5c1e5b08f31" isNormal="1">
            <s:text>
              <s:r>
                <s:t xml:space="preserve">Administrator:
1200345 11/8 5252pcs
华3B14</s:t>
              </s:r>
            </s:text>
          </item>
        </commentChain>
      </unresolved>
      <resolved/>
    </commentChains>
    <commentChains s:ref="AI740" rgbClr="FF0000">
      <unresolved>
        <commentChain chainId="6651c08fb61e6feb409adaed96cf983b403bc7e2">
          <item id="a49695fd0771c0ccf8cd40e9dea01b1b49469869" isNormal="1">
            <s:text>
              <s:r>
                <s:t xml:space="preserve">Administrator:
1200345 11/8 9893pcs
转上兴信</s:t>
              </s:r>
            </s:text>
          </item>
        </commentChain>
      </unresolved>
      <resolved/>
    </commentChains>
    <commentChains s:ref="AI741" rgbClr="FF0000">
      <unresolved>
        <commentChain chainId="bf670b8d9fa2009cce2b85981686266df6438417">
          <item id="e3abcd19464c168e13003aaace8d42829f141a51" isNormal="1">
            <s:text>
              <s:r>
                <s:t xml:space="preserve">Administrator:
1200334 11/8 5760pcs华3A14</s:t>
              </s:r>
            </s:text>
          </item>
        </commentChain>
      </unresolved>
      <resolved/>
    </commentChains>
    <commentChains s:ref="AL741" rgbClr="FF0000">
      <unresolved>
        <commentChain chainId="c1eb39579fc631ae5e8fbc41964fcb6a5c38db72">
          <item id="a2ad268ea605e3dc7249df8f0ff580f077fdf45d" isNormal="1">
            <s:text>
              <s:r>
                <s:t xml:space="preserve">Administrator:
10/29 客供RFID贴纸5760pcs</s:t>
              </s:r>
            </s:text>
          </item>
        </commentChain>
      </unresolved>
      <resolved/>
    </commentChains>
    <commentChains s:ref="AI742" rgbClr="FF0000">
      <unresolved>
        <commentChain chainId="5b1cd869d731b3574b807701e5b99c4589d230c8">
          <item id="a67f5f2b8f2f67a1260851e14e26baf17c42f43a" isNormal="1">
            <s:text>
              <s:r>
                <s:t xml:space="preserve">Administrator:
1200334 11/8 3840pcs华3B6</s:t>
              </s:r>
            </s:text>
          </item>
        </commentChain>
      </unresolved>
      <resolved/>
    </commentChains>
    <commentChains s:ref="AL742" rgbClr="FF0000">
      <unresolved>
        <commentChain chainId="97e54e90a6375cedce5e458c39185e5c2b031398">
          <item id="00f1d6e635bdfe888ef72760322be1ab368a23b6" isNormal="1">
            <s:text>
              <s:r>
                <s:t xml:space="preserve">Administrator:
10/29 客供RFID贴纸3840pcs
</s:t>
              </s:r>
            </s:text>
          </item>
        </commentChain>
      </unresolved>
      <resolved/>
    </commentChains>
    <commentChains s:ref="AI743" rgbClr="FF0000">
      <unresolved>
        <commentChain chainId="804d44d6cfb8aa84c5780dcaf09c5adf79378ec3">
          <item id="c4c2f089b00e0f92d9ef1706755e567c39e0251c" isNormal="1">
            <s:text>
              <s:r>
                <s:t xml:space="preserve">Administrator:
1200333 11/8 3861PCS直走
1200334 11/8 39pcs
直走</s:t>
              </s:r>
            </s:text>
          </item>
        </commentChain>
      </unresolved>
      <resolved/>
    </commentChains>
    <commentChains s:ref="AI744" rgbClr="FF0000">
      <unresolved>
        <commentChain chainId="ea79c29a45239663c98d0c7a87976cba2f38d7c9">
          <item id="8c123a84d9f082cbbba8a6e06db33c89ba20cfc2" isNormal="1">
            <s:text>
              <s:r>
                <s:t xml:space="preserve">Administrator:
1200345 11/8 4030pcs
华3B14
</s:t>
              </s:r>
            </s:text>
          </item>
        </commentChain>
      </unresolved>
      <resolved/>
    </commentChains>
    <commentChains s:ref="AI745" rgbClr="FF0000">
      <unresolved>
        <commentChain chainId="38dd6cb58b60b7d1e92d1e1790fca78a4af45abc">
          <item id="758aa1bde2ae56db152cd0274146a3cb4f87a9e5" isNormal="1">
            <s:text>
              <s:r>
                <s:t xml:space="preserve">Administrator:
1200345 11/8 2574pcs华3B17
</s:t>
              </s:r>
            </s:text>
          </item>
        </commentChain>
      </unresolved>
      <resolved/>
    </commentChains>
    <commentChains s:ref="AI746" rgbClr="FF0000">
      <unresolved>
        <commentChain chainId="ab2d00adf030ebe51390763a50469e2a18b6cce5">
          <item id="abb9eaabf48c905af285d20e83281d1bca37ff90" isNormal="1">
            <s:text>
              <s:r>
                <s:t xml:space="preserve">Administrator:
1200354 11/10 1066pcs
华3A32
1200345 11/8 2340pcs
华3A32
</s:t>
              </s:r>
            </s:text>
          </item>
        </commentChain>
      </unresolved>
      <resolved/>
    </commentChains>
    <commentChains s:ref="AI747" rgbClr="FF0000">
      <unresolved>
        <commentChain chainId="28beb877a5d3815249a8e4ed87ea6027afc8e390">
          <item id="f3f2064f68e4d4ed42e1a8922dda62ccf95202b1" isNormal="1">
            <s:text>
              <s:r>
                <s:t xml:space="preserve">Administrator:
1200294 11/3 1000pcs
华3B14</s:t>
              </s:r>
            </s:text>
          </item>
        </commentChain>
      </unresolved>
      <resolved/>
    </commentChains>
    <commentChains s:ref="AL747" rgbClr="FF0000">
      <unresolved>
        <commentChain chainId="36753e88a0b27c17d3062de8d14d5761d2f7e612">
          <item id="df2f754b7da2f948ae3f6236ab36d03b563b8e16" isNormal="1">
            <s:text>
              <s:r>
                <s:t xml:space="preserve">Administrator:
10/14 上UPC贴纸1000pcs</s:t>
              </s:r>
            </s:text>
          </item>
        </commentChain>
      </unresolved>
      <resolved/>
    </commentChains>
    <commentChains s:ref="AI748" rgbClr="FF0000">
      <unresolved>
        <commentChain chainId="ea97f4f9448a11ebb9a486d8cf75a7e6273f403c">
          <item id="0c508ebf9bbaeee4bb53241615aa0bce05a97442" isNormal="1">
            <s:text>
              <s:r>
                <s:t xml:space="preserve">Administrator:
货已回</s:t>
              </s:r>
            </s:text>
          </item>
        </commentChain>
      </unresolved>
      <resolved/>
    </commentChains>
    <commentChains s:ref="AI749" rgbClr="FF0000">
      <unresolved>
        <commentChain chainId="02d2e73e859fbbd5b45c03657c0f10be95d85aaa">
          <item id="c134b921704bc5eaa1661a2e3b77ebf3ffa8ed7a" isNormal="1">
            <s:text>
              <s:r>
                <s:t xml:space="preserve">Administrator:
1200285 11/4 20pcs前面一楼</s:t>
              </s:r>
            </s:text>
          </item>
        </commentChain>
      </unresolved>
      <resolved/>
    </commentChains>
    <commentChains s:ref="AI750" rgbClr="FF0000">
      <unresolved>
        <commentChain chainId="6b4f3097cb9c5bdbcd39f1f51f2c4e74461b0a64">
          <item id="3b8107a09f1a09b1f3fee0e3439ca1e53ea410b4" isNormal="1">
            <s:text>
              <s:r>
                <s:t xml:space="preserve">Administrator:
1200345 11/8 1050pcs
华3B15</s:t>
              </s:r>
            </s:text>
          </item>
        </commentChain>
      </unresolved>
      <resolved/>
    </commentChains>
    <commentChains s:ref="AL750" rgbClr="FF0000">
      <unresolved>
        <commentChain chainId="58efd92a1dd677b58f0554bcb9f48dce540d0224">
          <item id="4341985e544c4cac0da1a1c278347d9b6235052a" isNormal="1">
            <s:text>
              <s:r>
                <s:t xml:space="preserve">Administrator:
11/4 上条码贴纸2100ｐｃｓ</s:t>
              </s:r>
            </s:text>
          </item>
        </commentChain>
      </unresolved>
      <resolved/>
    </commentChains>
    <commentChains s:ref="AI751" rgbClr="FF0000">
      <unresolved>
        <commentChain chainId="1d4fbca89b327ed412cf0f859578b5a31cbb4498">
          <item id="b6a012f6934753e3c6d97c8a7710c13595b8208e" isNormal="1">
            <s:text>
              <s:r>
                <s:t xml:space="preserve">Administrator:
5000213 10/28 23040pcs华3A25</s:t>
              </s:r>
            </s:text>
          </item>
        </commentChain>
      </unresolved>
      <resolved/>
    </commentChains>
    <commentChains s:ref="AL751" rgbClr="FF0000">
      <unresolved>
        <commentChain chainId="5adb3bf589407073496c61ee06e7dd60057c40b4">
          <item id="01ae4b51d8064ede0695ced6989c32fd055e9002" isNormal="1">
            <s:text>
              <s:r>
                <s:t xml:space="preserve">Administrator:
10/17 上客供RFID贴纸23040pcs
</s:t>
              </s:r>
            </s:text>
          </item>
        </commentChain>
      </unresolved>
      <resolved/>
    </commentChains>
    <commentChains s:ref="AI752" rgbClr="FF0000">
      <unresolved>
        <commentChain chainId="4b2acbffe6dcc558541a38ed2edb00ce3bf8e023">
          <item id="840c0321256a829b8a49e6b921e00e31bf32a983" isNormal="1">
            <s:text>
              <s:r>
                <s:t xml:space="preserve">Administrator:
5000213 10/28 2688pcs
华3A20
5000211 10/28 19392pcs
华3A20</s:t>
              </s:r>
            </s:text>
          </item>
        </commentChain>
      </unresolved>
      <resolved/>
    </commentChains>
    <commentChains s:ref="AL752" rgbClr="FF0000">
      <unresolved>
        <commentChain chainId="69898500600d50c9af6d0d33c60690ce6a236994">
          <item id="d1dd21637bbf68d4d66bcf35105bbe4cd0678cbf" isNormal="1">
            <s:text>
              <s:r>
                <s:t xml:space="preserve">Administrator:
10/17 上客供RFID贴纸22080pcs
</s:t>
              </s:r>
            </s:text>
          </item>
        </commentChain>
      </unresolved>
      <resolved/>
    </commentChains>
    <commentChains s:ref="AI753" rgbClr="FF0000">
      <unresolved>
        <commentChain chainId="94f93c5ebb9eaeff09a46e65a87912da3c597798">
          <item id="b66b9cab691200adaaaadb4a1a74a462b8500ba9" isNormal="1">
            <s:text>
              <s:r>
                <s:t xml:space="preserve">Administrator:
11/12回货</s:t>
              </s:r>
            </s:text>
          </item>
        </commentChain>
      </unresolved>
      <resolved/>
    </commentChains>
    <commentChains s:ref="AL753" rgbClr="FF0000">
      <unresolved>
        <commentChain chainId="c29cfab78e4459a48bd2f15a7fddb9002dadfed4">
          <item id="e4648f8b79cef37b18526a3a4e04ef6299c0a26f" isNormal="1">
            <s:text>
              <s:r>
                <s:t xml:space="preserve">Administrator:
9/26 上客供警语贴纸球底部1488pcs
客供警语贴纸收藏指南1488pcs
客供警语贴纸贴说明书上1490pcs
10/21 上空白贴纸1440pcs</s:t>
              </s:r>
            </s:text>
          </item>
        </commentChain>
      </unresolved>
      <resolved/>
    </commentChains>
    <commentChains s:ref="AI754" rgbClr="FF0000">
      <unresolved>
        <commentChain chainId="932cbe702aa7e237bf8f94fe236831aa343f3e0e">
          <item id="02c3596dff2e8d4f914bd0490775abe1b37ce3cc" isNormal="1">
            <s:text>
              <s:r>
                <s:t xml:space="preserve">Administrator:
1200361  11/12 7000pcs华3A23</s:t>
              </s:r>
            </s:text>
          </item>
        </commentChain>
      </unresolved>
      <resolved/>
    </commentChains>
    <commentChains s:ref="AI755" rgbClr="FF0000">
      <unresolved>
        <commentChain chainId="22a9e15aff1a5abbfcf6ad9f9586fcc7af7279c9">
          <item id="f40ada8761a398b5c8f8418b65e5242382541263" isNormal="1">
            <s:text>
              <s:r>
                <s:t xml:space="preserve">Administrator:
1200361  11/12 4251pcs华3B15
</s:t>
              </s:r>
            </s:text>
          </item>
        </commentChain>
      </unresolved>
      <resolved/>
    </commentChains>
    <commentChains s:ref="AL755" rgbClr="FF0000">
      <unresolved>
        <commentChain chainId="afeeb66f680080fd6f8f9a0bcde0c99961552b64">
          <item id="cd8765ba00ad7268b1974725f958129aa8430990" isNormal="1">
            <s:text>
              <s:r>
                <s:t xml:space="preserve">Administrator:
10/24 上价格贴纸4251pcs
外箱贴纸1308pcs</s:t>
              </s:r>
            </s:text>
          </item>
        </commentChain>
      </unresolved>
      <resolved/>
    </commentChains>
    <commentChains s:ref="AI756" rgbClr="FF0000">
      <unresolved>
        <commentChain chainId="e9bb9c1d0eed982a5e6023d91c053e152f15f905">
          <item id="9a7d55b0bd6c33156a905c63e7a8c3775452abd6" isNormal="1">
            <s:text>
              <s:r>
                <s:t xml:space="preserve">Administrator:
1200430 11/18 5005pcs
直走</s:t>
              </s:r>
            </s:text>
          </item>
        </commentChain>
      </unresolved>
      <resolved/>
    </commentChains>
    <commentChains s:ref="AI757" rgbClr="FF0000">
      <unresolved>
        <commentChain chainId="bba30ec6d8050e00c4548d2aca75cfcfde5250a5">
          <item id="07f28f311775b5484dad82b21882bffad6a06ca1" isNormal="1">
            <s:text>
              <s:r>
                <s:t xml:space="preserve">Administrator:
1200412 11/15 4563pcs华3B15</s:t>
              </s:r>
            </s:text>
          </item>
        </commentChain>
      </unresolved>
      <resolved/>
    </commentChains>
    <commentChains s:ref="AL757" rgbClr="FF0000">
      <unresolved>
        <commentChain chainId="1d6af45313d4d1dddfa6448fe60a217e3db51fc5">
          <item id="c6724458745c6de938e573cf7ade266c41d00b94" isNormal="1">
            <s:text>
              <s:r>
                <s:t xml:space="preserve">Administrator:
10/30 上多语警语折叠贴纸4563pcs</s:t>
              </s:r>
            </s:text>
          </item>
        </commentChain>
      </unresolved>
      <resolved/>
    </commentChains>
    <commentChains s:ref="AI758" rgbClr="FF0000">
      <unresolved>
        <commentChain chainId="a990219fa235d45fffbbf3c8794059296e12d902">
          <item id="e45aa2168ade7f326b7fe1a11ae50b75638420fc" isNormal="1">
            <s:text>
              <s:r>
                <s:t xml:space="preserve">Administrator:
1200403 11/14 37440pcs</s:t>
              </s:r>
            </s:text>
          </item>
        </commentChain>
      </unresolved>
      <resolved/>
    </commentChains>
    <commentChains s:ref="AL758" rgbClr="FF0000">
      <unresolved>
        <commentChain chainId="4898ad1b41c055de5ae6053c7465c76b4e365169">
          <item id="7fa403328e02916743c5387128b160cab5670103" isNormal="1">
            <s:text>
              <s:r>
                <s:t xml:space="preserve">Administrator:
11/5 上客供RFID贴纸37440pcs</s:t>
              </s:r>
            </s:text>
          </item>
        </commentChain>
      </unresolved>
      <resolved/>
    </commentChains>
    <commentChains s:ref="AI759" rgbClr="FF0000">
      <unresolved>
        <commentChain chainId="0d1be467d1a8e9a4482d8f4537d80a6c6cc14a70">
          <item id="56655b1862ae40ba08ccd83e73f1ca8ac1c1b1a9" isNormal="1">
            <s:text>
              <s:r>
                <s:t xml:space="preserve">Administrator:
1200443 11/19 29760pcs华3A19</s:t>
              </s:r>
            </s:text>
          </item>
        </commentChain>
      </unresolved>
      <resolved/>
    </commentChains>
    <commentChains s:ref="AL759" rgbClr="FF0000">
      <unresolved>
        <commentChain chainId="b40a2d0fc314b5b11ea37f46c367cd703c8bd6fd">
          <item id="59cb8f189f418558cc6c2b1dacea4c3d1a3d4885" isNormal="1">
            <s:text>
              <s:r>
                <s:t xml:space="preserve">Administrator:
11/5 上客供RFID贴纸29760pcs
</s:t>
              </s:r>
            </s:text>
          </item>
        </commentChain>
      </unresolved>
      <resolved/>
    </commentChains>
    <commentChains s:ref="AI760" rgbClr="FF0000">
      <unresolved>
        <commentChain chainId="e72ef1fbac20b9e10590450b935fdb4a3defe47d">
          <item id="b3c5044d6ba881f39ac0674f4189d80e7c7db2b1" isNormal="1">
            <s:text>
              <s:r>
                <s:t xml:space="preserve">Administrator:
1200436 11/18 728PCS华3B12
1200467 11/20 52pcs华3B12</s:t>
              </s:r>
            </s:text>
          </item>
        </commentChain>
      </unresolved>
      <resolved/>
    </commentChains>
    <commentChains s:ref="AL760" rgbClr="FF0000">
      <unresolved>
        <commentChain chainId="caf78e1e0637270e380601fbee21b36e93a794d3">
          <item id="035ec088c4f9a4e9e4fae63e7e2285b55d3735b2" isNormal="1">
            <s:text>
              <s:r>
                <s:t xml:space="preserve">Administrator:
10/13 上PDQ条码贴纸40pcs
德语警语贴纸520pcs
11/14 上德语警告语贴纸260pcs加单260</s:t>
              </s:r>
            </s:text>
          </item>
        </commentChain>
      </unresolved>
      <resolved/>
    </commentChains>
    <commentChains s:ref="AI761" rgbClr="FF0000">
      <unresolved>
        <commentChain chainId="2cecd440c66d77fbc71b6221b0d98ed9f7266418">
          <item id="a565c0c3b95f3fac365ba0ee3df3982f99b49bd4" isNormal="1">
            <s:text>
              <s:r>
                <s:t xml:space="preserve">Administrator:
1200430 11/18 4810pcs
华3B14</s:t>
              </s:r>
            </s:text>
          </item>
        </commentChain>
      </unresolved>
      <resolved/>
    </commentChains>
    <commentChains s:ref="AL761" rgbClr="FF0000">
      <unresolved>
        <commentChain chainId="6ac2add04350fd33080faaa7dc9501f1770acbdb">
          <item id="806da918aa6c690e07c8677616ec221acf1f34c7" isNormal="1">
            <s:text>
              <s:r>
                <s:t xml:space="preserve">Administrator:
11/7 上多语可折叠贴纸4810pcs
</s:t>
              </s:r>
            </s:text>
          </item>
        </commentChain>
      </unresolved>
      <resolved/>
    </commentChains>
    <commentChains s:ref="AI762" rgbClr="FF0000">
      <unresolved>
        <commentChain chainId="079d101cda2b67549c6095aa67ca95e66474a722">
          <item id="48c1d7b4bdfe0fbd641a4867ae5f75327cb05fdb" isNormal="1">
            <s:text>
              <s:r>
                <s:t xml:space="preserve">Administrator:
4001139 11/26 5472pcs
华3A17-18
4001139 11/26 4536pcs华3A17-18</s:t>
              </s:r>
            </s:text>
          </item>
        </commentChain>
      </unresolved>
      <resolved/>
    </commentChains>
    <commentChains s:ref="AL762" rgbClr="FF0000">
      <unresolved>
        <commentChain chainId="44b960904e3d47f86c81e28d62e8b2329fbb411e">
          <item id="15d443541d351753e0f4be8e5c9290e0079e1771" isNormal="1">
            <s:text>
              <s:r>
                <s:t xml:space="preserve">Administrator:
9/23 上客供芯片贴纸10008pcs
9/25 上3C贴纸50664pcs
11/10 上空白贴纸110256ｐｃｓ</s:t>
              </s:r>
            </s:text>
          </item>
        </commentChain>
      </unresolved>
      <resolved/>
    </commentChains>
    <commentChains s:ref="AI763" rgbClr="FF0000">
      <unresolved>
        <commentChain chainId="33b83539d95f4e894dec0f473fbd453ef78a8476">
          <item id="8c77aef2a261b57dd2d8c2e05fb292ec9b270711" isNormal="1">
            <s:text>
              <s:r>
                <s:t xml:space="preserve">Administrator:
4001139 11/26 660pcs
华一F3
</s:t>
              </s:r>
            </s:text>
          </item>
        </commentChain>
      </unresolved>
      <resolved/>
    </commentChains>
    <commentChains s:ref="AL763" rgbClr="FF0000">
      <unresolved>
        <commentChain chainId="2652c2ed649883efe1dce660356e8f2636d2f015">
          <item id="81b58d35c56523bbccdeae4bb37cf420ee7a23bc" isNormal="1">
            <s:text>
              <s:r>
                <s:t xml:space="preserve">Administrator:
9/23 上客供芯片贴纸660pcs
</s:t>
              </s:r>
            </s:text>
          </item>
        </commentChain>
      </unresolved>
      <resolved/>
    </commentChains>
    <commentChains s:ref="AI764" rgbClr="FF0000">
      <unresolved>
        <commentChain chainId="d25a765a6fd7a8c6ebaad4b7c9ccb37b4e208dac">
          <item id="0cf9f4e39ee78dbb889b6b46ba6a7e3a6201ed86" isNormal="1">
            <s:text>
              <s:r>
                <s:t xml:space="preserve">Administrator:
12/8 1200213 3280PCS华3b10 
12/8 1200209 6720PCS 华3b10</s:t>
              </s:r>
            </s:text>
          </item>
        </commentChain>
      </unresolved>
      <resolved/>
    </commentChains>
    <commentChains s:ref="AL764" rgbClr="FF0000">
      <unresolved>
        <commentChain chainId="9e77398e1985b368bea17f5becb6a9f9b78bda68">
          <item id="abb115a057a24c6f2f3f4293761f6100158a57fb" isNormal="1">
            <s:text>
              <s:r>
                <s:t xml:space="preserve">Administrator:
10/23 上进口商贴纸10000pcs
UPC贴纸10000pcs
</s:t>
              </s:r>
            </s:text>
          </item>
        </commentChain>
      </unresolved>
      <resolved/>
    </commentChains>
    <commentChains s:ref="AI765" rgbClr="FF0000">
      <unresolved>
        <commentChain chainId="bf5f3cb9af3b311b9eda547c9d68264a4dcbb291">
          <item id="17a684827e1a4cf35f8ef2d7c7d14e32e51a9d67" isNormal="1">
            <s:text>
              <s:r>
                <s:t xml:space="preserve">Administrator:
1200426 11/17 1488PCS华B13
1200430 11/18 24pcs华3B13</s:t>
              </s:r>
            </s:text>
          </item>
        </commentChain>
      </unresolved>
      <resolved/>
    </commentChains>
    <commentChains s:ref="AL765" rgbClr="FF0000">
      <unresolved>
        <commentChain chainId="89b3625e76d1627ce8c0b1af8acc01788a82a669">
          <item id="9a1d1d2901da9b203f7a97b97e8537265379b3fa" isNormal="1">
            <s:text>
              <s:r>
                <s:t xml:space="preserve">Administrator:
11/1 上客人白色CATLABEL贴纸1512pcs</s:t>
              </s:r>
            </s:text>
          </item>
        </commentChain>
      </unresolved>
      <resolved/>
    </commentChains>
    <commentChains s:ref="AI766" rgbClr="FF0000">
      <unresolved>
        <commentChain chainId="03e1dfd7d415aa84dbf7d23903ebd1568f19a79b">
          <item id="a0cb5ab8ee28a8df0e0238f50280716b04cc7d06" isNormal="1">
            <s:text>
              <s:r>
                <s:t xml:space="preserve">Administrator:
1200481 11/22 1248pcs华3B14</s:t>
              </s:r>
            </s:text>
          </item>
        </commentChain>
      </unresolved>
      <resolved/>
    </commentChains>
    <commentChains s:ref="AI767" rgbClr="FF0000">
      <unresolved>
        <commentChain chainId="8e93929f81a2dd9669e7df5eccb469c966861912">
          <item id="c7e3db84f6c8343fc4c958b7623fdc896336e523" isNormal="1">
            <s:text>
              <s:r>
                <s:t xml:space="preserve">Administrator:
1200505 11/25 10010pcs华3B16</s:t>
              </s:r>
            </s:text>
          </item>
        </commentChain>
      </unresolved>
      <resolved/>
    </commentChains>
    <commentChains s:ref="AL767" rgbClr="FF0000">
      <unresolved>
        <commentChain chainId="d726f1ece661ff6d3d4e2195c0cd06ba4214259c">
          <item id="c5aefa3b21f79a5327b6d3e0a61304a3c0c8ad3e" isNormal="1">
            <s:text>
              <s:r>
                <s:t xml:space="preserve">Administrator:
10/23 上多语折叠贴纸13610pcs
同PO共用</s:t>
              </s:r>
            </s:text>
          </item>
        </commentChain>
      </unresolved>
      <resolved/>
    </commentChains>
    <commentChains s:ref="AI768" rgbClr="FF0000">
      <unresolved>
        <commentChain chainId="ab2cffb9dfe5e88ceff00c4fb170db3b2fd268d2">
          <item id="c6ddb9646e14cc884fa1a887f2f2444113268efd" isNormal="1">
            <s:text>
              <s:r>
                <s:t xml:space="preserve">Administrator:
1200463 11/20 3600pcsB栋4-A8</s:t>
              </s:r>
            </s:text>
          </item>
        </commentChain>
      </unresolved>
      <resolved/>
    </commentChains>
    <commentChains s:ref="AI769" rgbClr="FF0000">
      <unresolved>
        <commentChain chainId="29464bf684aeda0922ba1f72110d0a5470329225">
          <item id="ed43724b1bfa0d524b65155df7a2d95e490cceea" isNormal="1">
            <s:text>
              <s:r>
                <s:t xml:space="preserve">Administrator:
1200426 11/17 8281PCS华3A24
</s:t>
              </s:r>
            </s:text>
          </item>
        </commentChain>
      </unresolved>
      <resolved/>
    </commentChains>
    <commentChains s:ref="AI770" rgbClr="FF0000">
      <unresolved>
        <commentChain chainId="35f1dcefb06767c016928c55471856a3b7377589">
          <item id="57dd5bcfde8ebca49ca573758a75598b3ed23df2" isNormal="1">
            <s:text>
              <s:r>
                <s:t xml:space="preserve">Administrator:
1200426 11/17 4446PCS华3B9
</s:t>
              </s:r>
            </s:text>
          </item>
        </commentChain>
      </unresolved>
      <resolved/>
    </commentChains>
    <commentChains s:ref="AI771" rgbClr="FF0000">
      <unresolved>
        <commentChain chainId="ea93ef621759283bb9c1bb7eb2438b9d9c8e5797">
          <item id="49912dfddbc97b5e49db40bcc74de6abb1d666a5" isNormal="1">
            <s:text>
              <s:r>
                <s:t xml:space="preserve">Administrator:
4001130 11/24 50880pcs华1B3</s:t>
              </s:r>
            </s:text>
          </item>
        </commentChain>
      </unresolved>
      <resolved/>
    </commentChains>
    <commentChains s:ref="AL771" rgbClr="FF0000">
      <unresolved>
        <commentChain chainId="cd0b07059e9bb4f1ed068c189180a94f42a52450">
          <item id="e4b6233dc1d3c0abc43075a311bdb60e79aa5f7a" isNormal="1">
            <s:text>
              <s:r>
                <s:t xml:space="preserve">Administrator:
11/5 上客供RFID贴纸50880pcs
</s:t>
              </s:r>
            </s:text>
          </item>
        </commentChain>
      </unresolved>
      <resolved/>
    </commentChains>
    <commentChains s:ref="AI772" rgbClr="FF0000">
      <unresolved>
        <commentChain chainId="e4c9c7c2df0f1a2de66a484488be2c5e7950ee17">
          <item id="4dd42391e26ee651743eab67c34c11165108ee61" isNormal="1">
            <s:text>
              <s:r>
                <s:t xml:space="preserve">Administrator:
1200426 11/17 2600PCS华3A27
</s:t>
              </s:r>
            </s:text>
          </item>
        </commentChain>
      </unresolved>
      <resolved/>
    </commentChains>
    <commentChains s:ref="AL772" rgbClr="FF0000">
      <unresolved>
        <commentChain chainId="623fa7051fc8ecfb1d2782b6fa2969f31f83914d">
          <item id="4f90977af6d4e0960bca8079eb6d0ddae6b105d1" isNormal="1">
            <s:text>
              <s:r>
                <s:t xml:space="preserve">Administrator:
10/27 上多语警语折叠贴纸2600pcs</s:t>
              </s:r>
            </s:text>
          </item>
        </commentChain>
      </unresolved>
      <resolved/>
    </commentChains>
    <commentChains s:ref="AI773" rgbClr="FF0000">
      <unresolved>
        <commentChain chainId="28a3bd3b06be4c4509bb647eacbdbcf8301e7038">
          <item id="321129ea632b479becd7feec672e7bb707571d5b" isNormal="1">
            <s:text>
              <s:r>
                <s:t xml:space="preserve">Administrator:
5000213 10/28 2688pcs
华3A20
5000211 10/28 19392pcs
华3A20</s:t>
              </s:r>
            </s:text>
          </item>
        </commentChain>
      </unresolved>
      <resolved/>
    </commentChains>
    <commentChains s:ref="AL773" rgbClr="FF0000">
      <unresolved>
        <commentChain chainId="0e74bb48f9a1c8f6f67add3687ff231f7fa62edb">
          <item id="d91590e7508b1c1478c6cd0f4180761ffc9a18ed" isNormal="1">
            <s:text>
              <s:r>
                <s:t xml:space="preserve">Administrator:
10/17 上客供RFID贴纸22080pcs
</s:t>
              </s:r>
            </s:text>
          </item>
        </commentChain>
      </unresolved>
      <resolved/>
    </commentChains>
    <commentChains s:ref="AI774" rgbClr="FF0000">
      <unresolved>
        <commentChain chainId="8cd0648b5899435719270fb7c80f4d506497ae38">
          <item id="8e780212221f0368efa49c9079faa2ea9c2b1a8f" isNormal="1">
            <s:text>
              <s:r>
                <s:t xml:space="preserve">Administrator:
1200426 11/17 1400PCS华3B14
1200430 11/18 50pcs华3B14</s:t>
              </s:r>
            </s:text>
          </item>
        </commentChain>
      </unresolved>
      <resolved/>
    </commentChains>
    <commentChains s:ref="AL774" rgbClr="FF0000">
      <unresolved>
        <commentChain chainId="8084674c50f26a4395bed166e97ce2e60dd6b06e">
          <item id="5102e22e8e3abfcdea7ec146048b7927e24c3c96" isNormal="1">
            <s:text>
              <s:r>
                <s:t xml:space="preserve">Administrator:
10/21 上进口商贴纸1450pcs
UPC贴纸1450pcs
10/29 收縮膜条码贴纸 1450pcs
</s:t>
              </s:r>
            </s:text>
          </item>
        </commentChain>
      </unresolved>
      <resolved/>
    </commentChains>
    <commentChains s:ref="AI775" rgbClr="FF0000">
      <unresolved>
        <commentChain chainId="28309478656fde68a1d9a14754b1ca5b067b56fb">
          <item id="a3eef6e80fe88e061fdc88e0aafb74deef24be50" isNormal="1">
            <s:text>
              <s:r>
                <s:t xml:space="preserve">Administrator:
1200421 11/17 1050ｐｃｓ华3B13</s:t>
              </s:r>
            </s:text>
          </item>
        </commentChain>
      </unresolved>
      <resolved/>
    </commentChains>
    <commentChains s:ref="AL775" rgbClr="FF0000">
      <unresolved>
        <commentChain chainId="2baaa642355ab21d841625491b8a2f12a0dce260">
          <item id="53727ad5bf211909e774511317de2319c72ff4b4" isNormal="1">
            <s:text>
              <s:r>
                <s:t xml:space="preserve">Administrator:
10/21 上进口商贴纸1050pcs
UPC贴纸1050pcs
10/29 收縮膜条码贴纸 1050pcs
</s:t>
              </s:r>
            </s:text>
          </item>
        </commentChain>
      </unresolved>
      <resolved/>
    </commentChains>
    <commentChains s:ref="AI776" rgbClr="FF0000">
      <unresolved>
        <commentChain chainId="7cbf2f27e39d8c71b2b8bc5dbcee73d62ff1a944">
          <item id="e4feaa60b559c896491fa5ba4ababfa5e4571eb4" isNormal="1">
            <s:text>
              <s:r>
                <s:t xml:space="preserve">Administrator:
5000245 10/30 7875pcs
5000216 10/30 8125pcs</s:t>
              </s:r>
            </s:text>
          </item>
        </commentChain>
      </unresolved>
      <resolved/>
    </commentChains>
    <commentChains s:ref="AI777" rgbClr="FF0000">
      <unresolved>
        <commentChain chainId="f9dd496fa5662cabc005fdb2842bdf8021224fbd">
          <item id="4bf029954751eb82d72421f5f342e7eb17941419" isNormal="1">
            <s:text>
              <s:r>
                <s:t xml:space="preserve">Administrator:
1200333 11/8 37536ｐｃｓ
直走
1200334 11/8 12468pcs直走</s:t>
              </s:r>
            </s:text>
          </item>
        </commentChain>
      </unresolved>
      <resolved/>
    </commentChains>
    <commentChains s:ref="AL777" rgbClr="FF0000">
      <unresolved>
        <commentChain chainId="23fa7edf96d2602b5a8d92b44291a42d5188d088">
          <item id="05b244a1b50498efe2f03953464e71e9d9955073" isNormal="1">
            <s:text>
              <s:r>
                <s:t xml:space="preserve">Administrator:
11/1 UPC条码贴纸50004pcs
进口商贴纸50004pcs</s:t>
              </s:r>
            </s:text>
          </item>
        </commentChain>
      </unresolved>
      <resolved/>
    </commentChains>
    <commentChains s:ref="AI778" rgbClr="FF0000">
      <unresolved>
        <commentChain chainId="ce67646b22ab6077e0c81991d23930225cc6b34f">
          <item id="60d34480bbef5e0274c0f40b8a5bf3f1135d09a5" isNormal="1">
            <s:text>
              <s:r>
                <s:t xml:space="preserve">Administrator:
1200263 10/31 1200pcs华3B14</s:t>
              </s:r>
            </s:text>
          </item>
        </commentChain>
      </unresolved>
      <resolved/>
    </commentChains>
    <commentChains s:ref="AL778" rgbClr="FF0000">
      <unresolved>
        <commentChain chainId="fd2ed3a52cb7c17292384659ffd6cf61cbe34d8e">
          <item id="e2a511bae6f649754be59179b8cf56f69766be1b" isNormal="1">
            <s:text>
              <s:r>
                <s:t xml:space="preserve">Administrator:
10/13 上正面收藏指南贴纸2500pcs
背面收藏指南贴纸2500pcs
两个同PO共用
10/13 上进口商贴纸2500pcs
上UPC条码贴纸2500pcs
两个同PO共用</s:t>
              </s:r>
            </s:text>
          </item>
        </commentChain>
      </unresolved>
      <resolved/>
    </commentChains>
    <commentChains s:ref="AI779" rgbClr="FF0000">
      <unresolved>
        <commentChain chainId="93ef998cb2ce56f3719f9bfdee3e24874e540c94">
          <item id="1be446cfd3d876639e17f6936b948feebb112939" isNormal="1">
            <s:text>
              <s:r>
                <s:t xml:space="preserve">Administrator:
1200263 10/31 1300pcs华3B14</s:t>
              </s:r>
            </s:text>
          </item>
        </commentChain>
      </unresolved>
      <resolved/>
    </commentChains>
    <commentChains s:ref="AI780" rgbClr="FF0000">
      <unresolved>
        <commentChain chainId="a666b00dc3c064abeb1f5247fcff38f4d5903e36">
          <item id="0a12fcccb418c4389dfb55a80019c99f42fedaff" isNormal="1">
            <s:text>
              <s:r>
                <s:t xml:space="preserve">Administrator:
1200520 11/26 624pcs
华3B8</s:t>
              </s:r>
            </s:text>
          </item>
        </commentChain>
      </unresolved>
      <resolved/>
    </commentChains>
    <commentChains s:ref="AL780" rgbClr="FF0000">
      <unresolved>
        <commentChain chainId="c26541357f19693fb49be83a213c32f651fa6f56">
          <item id="e30437e4048a750434ded6904f446324cd268b68" isNormal="1">
            <s:text>
              <s:r>
                <s:t xml:space="preserve">Administrator:
11/3 上UPC条码贴纸624pcs
11/22 上客供警语贴纸贴说明书650pcs
客供警语贴纸贴收藏指南648pcs
客供警语贴纸贴球底部648pcs</s:t>
              </s:r>
            </s:text>
          </item>
        </commentChain>
      </unresolved>
      <resolved/>
    </commentChains>
    <commentChains s:ref="AL781" rgbClr="FF0000">
      <unresolved>
        <commentChain chainId="633616a59105059e52505200a86a6954c5c5e374">
          <item id="e5c59e014fe4c1f13273de3b13a611273052169a" isNormal="1">
            <s:text>
              <s:r>
                <s:t xml:space="preserve">Administrator:
10/21 上进口商贴纸4800pcs
UPC贴纸4800pcs
10/29 收縮膜条码贴纸 4800pcs</s:t>
              </s:r>
            </s:text>
          </item>
        </commentChain>
      </unresolved>
      <resolved/>
    </commentChains>
    <commentChains s:ref="AI782" rgbClr="FF0000">
      <unresolved>
        <commentChain chainId="1a78d9f8b69345c04ef00f97dd44aef34e1d609f">
          <item id="1b858cdb825ed098bf9181051f9b526627629b43" isNormal="1">
            <s:text>
              <s:r>
                <s:t xml:space="preserve">Administrator:
1200421 11/17 1770ｐｃｓ华3B13
1200426 11/17 30PCS华3B13</s:t>
              </s:r>
            </s:text>
          </item>
        </commentChain>
      </unresolved>
      <resolved/>
    </commentChains>
    <commentChains s:ref="AL782" rgbClr="FF0000">
      <unresolved>
        <commentChain chainId="ef00991431268b11f813ebc652a8e633416cfe74">
          <item id="199497b0442d55e5daffee4f5ac62fe3c631d111" isNormal="1">
            <s:text>
              <s:r>
                <s:t xml:space="preserve">Administrator:
10/21 上进口商贴纸1800pcs
UPC贴纸1800pcs
10/29 收縮膜条码贴纸 1800pcs
</s:t>
              </s:r>
            </s:text>
          </item>
        </commentChain>
      </unresolved>
      <resolved/>
    </commentChains>
    <commentChains s:ref="AI783" rgbClr="FF0000">
      <unresolved>
        <commentChain chainId="35e26d4609bd97a0c93bbec223c31dfaabe18a21">
          <item id="961c2be9e69e0a043df5e6095300fe58a77a3ece" isNormal="1">
            <s:text>
              <s:r>
                <s:t xml:space="preserve">Administrator:
4001143 11/27 32640pcs华3A7.18
4001143 11/28 15360pcs华1f9</s:t>
              </s:r>
            </s:text>
          </item>
        </commentChain>
      </unresolved>
      <resolved/>
    </commentChains>
    <commentChains s:ref="AL783" rgbClr="FF0000">
      <unresolved>
        <commentChain chainId="3fde04c1541a03456ae4cb67bc47b69bef1182bb">
          <item id="f63ae784fe3b26f3a0c36de929acca8ea7f81d41" isNormal="1">
            <s:text>
              <s:r>
                <s:t xml:space="preserve">Administrator:
11/5 上客供RFID贴纸48000pcs
</s:t>
              </s:r>
            </s:text>
          </item>
        </commentChain>
      </unresolved>
      <resolved/>
    </commentChains>
    <commentChains s:ref="AI784" rgbClr="FF0000">
      <unresolved>
        <commentChain chainId="7dd3a018d91377f8205eb93202e5e498c3add73d">
          <item id="0f68acb35078f1666d29fecbbd8f7310b833452c" isNormal="1">
            <s:text>
              <s:r>
                <s:t xml:space="preserve">Administrator:
1200534 11/27 221pcs华3B13</s:t>
              </s:r>
            </s:text>
          </item>
        </commentChain>
      </unresolved>
      <resolved/>
    </commentChains>
    <commentChains s:ref="AI785" rgbClr="FF0000">
      <unresolved>
        <commentChain chainId="d7aa54da09e00a429b457e3638b592eb107f2caa">
          <item id="a13e1eea5ee94d6aef0be928d859e1b48348a1b5" isNormal="1">
            <s:text>
              <s:r>
                <s:t xml:space="preserve">Administrator:
1200179 11/29 1508pcs 华3b17</s:t>
              </s:r>
            </s:text>
          </item>
        </commentChain>
      </unresolved>
      <resolved/>
    </commentChains>
    <commentChains s:ref="AL785" rgbClr="FF0000">
      <unresolved>
        <commentChain chainId="a914a58016f7b73aaa72ba2ab5b88c719265c2da">
          <item id="59a7cefdd10c5fd2016010f5673fc1dc328eca4a" isNormal="1">
            <s:text>
              <s:r>
                <s:t xml:space="preserve">Administrator:
11/14 上KM单外箱贴纸116pcs
11/22 上白色防盗贴纸1508pcs
</s:t>
              </s:r>
            </s:text>
          </item>
        </commentChain>
      </unresolved>
      <resolved/>
    </commentChains>
    <commentChains s:ref="AI786" rgbClr="FF0000">
      <unresolved>
        <commentChain chainId="e0d31236b44f11e665cca758ecb76116eb1d4455">
          <item id="94252764b58cc336280acb7605b708ff0bfc1c24" isNormal="1">
            <s:text>
              <s:r>
                <s:t xml:space="preserve">Administrator:
1200530 11/26 7501pcs
华3A16</s:t>
              </s:r>
            </s:text>
          </item>
        </commentChain>
      </unresolved>
      <resolved/>
    </commentChains>
    <commentChains s:ref="AL786" rgbClr="FF0000">
      <unresolved>
        <commentChain chainId="f316dd0839954e44ded36ec9fe6f6bb2a3d922e1">
          <item id="eb369593d31daded92e576fb92ce573258fbdd97" isNormal="1">
            <s:text>
              <s:r>
                <s:t xml:space="preserve">Administrator:
11/7 上多语可折叠贴纸7501pcs</s:t>
              </s:r>
            </s:text>
          </item>
        </commentChain>
      </unresolved>
      <resolved/>
    </commentChains>
    <commentChains s:ref="AI787" rgbClr="FF0000">
      <unresolved>
        <commentChain chainId="66a39c75cbf9f14d5bf72ad1e9fbaf8e614a5b81">
          <item id="3d5b25da21100facf8603f879a25dbdf6a3f9f6f" isNormal="1">
            <s:text>
              <s:r>
                <s:t xml:space="preserve">Administrator:
1200530 11/26 23350pcs
华3A23
1200524 11/26 3150pcs华3A23</s:t>
              </s:r>
            </s:text>
          </item>
        </commentChain>
      </unresolved>
      <resolved/>
    </commentChains>
    <commentChains s:ref="AL787" rgbClr="FF0000">
      <unresolved>
        <commentChain chainId="fc4566065bef6692496129725b0e6e36148da9e9">
          <item id="fa8f101b7c4ee1a5afac7663d33b0397b30376e5" isNormal="1">
            <s:text>
              <s:r>
                <s:t xml:space="preserve">Administrator:
11/6 上客供外箱条码贴纸1071pcs
</s:t>
              </s:r>
            </s:text>
          </item>
        </commentChain>
      </unresolved>
      <resolved/>
    </commentChains>
    <commentChains s:ref="AI788" rgbClr="FF0000">
      <unresolved>
        <commentChain chainId="12756bea223573a456bf79dde66de5bc2e2a1a09">
          <item id="e61de06f9bc866c82f704c5e050ea28951889656" isNormal="1">
            <s:text>
              <s:r>
                <s:t xml:space="preserve">Administrator:
1200549 11/27 14400pcs
华3A11
1200551 11/27 11592pcs
华3A11</s:t>
              </s:r>
            </s:text>
          </item>
        </commentChain>
      </unresolved>
      <resolved/>
    </commentChains>
    <commentChains s:ref="AI789" rgbClr="FF0000">
      <unresolved>
        <commentChain chainId="7baef45ee2396a711ca5cd8c92a4b7f993108333">
          <item id="3aa547604a500d58a98030e7e1ee57f4003916b6" isNormal="1">
            <s:text>
              <s:r>
                <s:t xml:space="preserve">Administrator:
1200179 11/29 611pcs华3a17</s:t>
              </s:r>
            </s:text>
          </item>
        </commentChain>
      </unresolved>
      <resolved/>
    </commentChains>
    <commentChains s:ref="AL789" rgbClr="FF0000">
      <unresolved>
        <commentChain chainId="c88d82161cdc10111f187edc1abaebf63beac122">
          <item id="83fdfdc1d8730386797da1a938950807339d83c6" isNormal="1">
            <s:text>
              <s:r>
                <s:t xml:space="preserve">Administrator:
10/25 上瑞典警告语贴纸611pcs
内袋贴纸1 1833pcs
内袋贴纸2 3666pcs</s:t>
              </s:r>
            </s:text>
          </item>
        </commentChain>
      </unresolved>
      <resolved/>
    </commentChains>
    <commentChains s:ref="AI790" rgbClr="FF0000">
      <unresolved>
        <commentChain chainId="6b48ff566ce563b20b7bb4900a582510c36367dd">
          <item id="2731580ac1fda8ec8ea7d0c8dad03b09beaf6a4a" isNormal="1">
            <s:text>
              <s:r>
                <s:t xml:space="preserve">Administrator:
1200549 11/27 3900pcs华3B8</s:t>
              </s:r>
            </s:text>
          </item>
        </commentChain>
      </unresolved>
      <resolved/>
    </commentChains>
    <commentChains s:ref="AL790" rgbClr="FF0000">
      <unresolved>
        <commentChain chainId="bf267f07f8743bf8b01670b0b98fdc0c74ef258a">
          <item id="854df41bfc705d37d31dcde07b4573405b3fbb04" isNormal="1">
            <s:text>
              <s:r>
                <s:t xml:space="preserve">Administrator:
11/18 上客供防窜码贴纸3900pcs1拖1</s:t>
              </s:r>
            </s:text>
          </item>
        </commentChain>
      </unresolved>
      <resolved/>
    </commentChains>
    <commentChains s:ref="AI791" rgbClr="FF0000">
      <unresolved>
        <commentChain chainId="637e64f48f3d90de5de24e950ca5895af83d8f09">
          <item id="7baa9eaf66cd9cd0922ed7f79aa151d0cd47c017" isNormal="1">
            <s:text>
              <s:r>
                <s:t xml:space="preserve">Administrator:
1200520 11/26 13650pcs华3A22
1200551 11/27 3211pcs
华3A22
1200534 11/27 39pcs
华3A22</s:t>
              </s:r>
            </s:text>
          </item>
        </commentChain>
      </unresolved>
      <resolved/>
    </commentChains>
    <commentChains s:ref="AL791" rgbClr="FF0000">
      <unresolved>
        <commentChain chainId="ebc23ac55aa7e375746dd58c50b5dd3eb2118096">
          <item id="a74b0baccaa99c46f70d0e7110e21663cc849b37" isNormal="1">
            <s:text>
              <s:r>
                <s:t xml:space="preserve">Administrator:
11/18 上客供防窜码贴纸16900pcs1拖13
</s:t>
              </s:r>
            </s:text>
          </item>
        </commentChain>
      </unresolved>
      <resolved/>
    </commentChains>
    <commentChains s:ref="AI792" rgbClr="FF0000">
      <unresolved>
        <commentChain chainId="15abf17f9c3a458dc1162e0ae86f8ddab306e73d">
          <item id="32692ae2c446d16f050882feaf72a9ca02d79b43" isNormal="1">
            <s:text>
              <s:r>
                <s:t xml:space="preserve">Administrator:
4001137 11/25 40320pcs华3A12
4001139 11/26 20160pcs华3A12</s:t>
              </s:r>
            </s:text>
          </item>
        </commentChain>
      </unresolved>
      <resolved/>
    </commentChains>
    <commentChains s:ref="AL792" rgbClr="FF0000">
      <unresolved>
        <commentChain chainId="754fa9425869d7920ea3008655544bb1b84f5bd8">
          <item id="044ba8dbe0a221ae8172e91b9dabedeee0683d24" isNormal="1">
            <s:text>
              <s:r>
                <s:t xml:space="preserve">Administrator:
12/24 上客供RFID贴纸60480pcs</s:t>
              </s:r>
            </s:text>
          </item>
        </commentChain>
      </unresolved>
      <resolved/>
    </commentChains>
    <commentChains s:ref="AI793" rgbClr="FF0000">
      <unresolved>
        <commentChain chainId="6ec1b6b431717cf4d61512b05e61f08622e23000">
          <item id="f265b4fa708f69e4426fdfc7592db7bed97f5011" isNormal="1">
            <s:text>
              <s:r>
                <s:t xml:space="preserve">Administrator:
4001158 11/28 32640pcs 华3a12</s:t>
              </s:r>
            </s:text>
          </item>
        </commentChain>
      </unresolved>
      <resolved/>
    </commentChains>
    <commentChains s:ref="AL793" rgbClr="FF0000">
      <unresolved>
        <commentChain chainId="2b79396529e397257a9a68742a99d6e3fdcb0fa7">
          <item id="506fb7d677f2e4bb734162bf1fa893b49f76d215" isNormal="1">
            <s:text>
              <s:r>
                <s:t xml:space="preserve">Administrator:
12/24 上客供RFID贴纸32640pcs
</s:t>
              </s:r>
            </s:text>
          </item>
        </commentChain>
      </unresolved>
      <resolved/>
    </commentChains>
    <commentChains s:ref="AI794" rgbClr="FF0000">
      <unresolved>
        <commentChain chainId="5f1ee201615e28cc3767ec119e9443d08137c50b">
          <item id="301b01589528e1afdb33e3d14e0f0a911e77af1e" isNormal="1">
            <s:text>
              <s:r>
                <s:t xml:space="preserve">Administrator:
4001166 12/2 6448pcs华直走
4001165 12/2 28112pcs华1f9直走</s:t>
              </s:r>
            </s:text>
          </item>
        </commentChain>
      </unresolved>
      <resolved/>
    </commentChains>
    <commentChains s:ref="AL794" rgbClr="FF0000">
      <unresolved>
        <commentChain chainId="9cefa5f545f32c0e45772294c1a70568e4657dd8">
          <item id="619e2056bab6d4d8d593b4d587dee8b99ea922ce" isNormal="1">
            <s:text>
              <s:r>
                <s:t xml:space="preserve">Administrator:
12/24 上客供RFID贴纸34560pcs
</s:t>
              </s:r>
            </s:text>
          </item>
        </commentChain>
      </unresolved>
      <resolved/>
    </commentChains>
    <commentChains s:ref="AI795" rgbClr="FF0000">
      <unresolved>
        <commentChain chainId="e71dd90251b34db38d1e71d7cb4c4830c36f3342">
          <item id="58eb9493ad2abc8f60486132b7463858b9312ed9" isNormal="1">
            <s:text>
              <s:r>
                <s:t xml:space="preserve">Administrator:
1200202 12/6 1056pcs王4b1</s:t>
              </s:r>
            </s:text>
          </item>
        </commentChain>
      </unresolved>
      <resolved/>
    </commentChains>
    <commentChains s:ref="AL795" rgbClr="FF0000">
      <unresolved>
        <commentChain chainId="8a0b37bf2a1afbd03df3d3ce48691a46f38fd98c">
          <item id="0ea13778fb11f314a66984dfa05331e409da374f" isNormal="1">
            <s:text>
              <s:r>
                <s:t xml:space="preserve">Administrator:
11/10 上空白贴纸3024PCS
价格贴纸1512PCS
两个同PO共用
11/22 客供NJ外箱贴纸88pcs
通用客供外箱贴纸88pcs
</s:t>
              </s:r>
            </s:text>
          </item>
        </commentChain>
      </unresolved>
      <resolved/>
    </commentChains>
    <commentChains s:ref="AI796" rgbClr="FF0000">
      <unresolved>
        <commentChain chainId="d615d61960c147420b9c3860c62d75d94ebde449">
          <item id="545799f7ca6e770aa9a8e3b6e545bd2e7ee5c704" isNormal="1">
            <s:text>
              <s:r>
                <s:t xml:space="preserve">Administrator:
1200202 12/6 456pcs王4b1
</s:t>
              </s:r>
            </s:text>
          </item>
        </commentChain>
      </unresolved>
      <resolved/>
    </commentChains>
    <commentChains s:ref="AL796" rgbClr="FF0000">
      <unresolved>
        <commentChain chainId="df96bd6665ae6da7c34e466c8dbf15bf8e8a88ec">
          <item id="19abceb5c1cb3250e60812aa82e0395367eb751f" isNormal="1">
            <s:text>
              <s:r>
                <s:t xml:space="preserve">Administrator:
11/22 客供NV外箱贴纸38pcs
通用客供外箱贴纸38pcs
</s:t>
              </s:r>
            </s:text>
          </item>
        </commentChain>
      </unresolved>
      <resolved/>
    </commentChains>
    <commentChains s:ref="AI797" rgbClr="FF0000">
      <unresolved>
        <commentChain chainId="59c094d835e4a1cc4fc8bd7b5521c4b450d81099">
          <item id="3e4b0822c4231b18d6217e26a2bfcb6a2ab8e1fd" isNormal="1">
            <s:text>
              <s:r>
                <s:t xml:space="preserve">Administrator:
1200179 11/29 5200pcs华1f4</s:t>
              </s:r>
            </s:text>
          </item>
        </commentChain>
      </unresolved>
      <resolved/>
    </commentChains>
    <commentChains s:ref="AL797" rgbClr="FF0000">
      <unresolved>
        <commentChain chainId="289a973aad9f9eef78891ee5f1f98bc6b3bf4b47">
          <item id="7629dd2eeab8c24f78bcaf86621f2c550ededf7e" isNormal="1">
            <s:text>
              <s:r>
                <s:t xml:space="preserve">Administrator:
11/13 上进口商贴纸5200pcs
UPC条码贴纸5200pcs</s:t>
              </s:r>
            </s:text>
          </item>
        </commentChain>
      </unresolved>
      <resolved/>
    </commentChains>
    <commentChains s:ref="AI798" rgbClr="FF0000">
      <unresolved>
        <commentChain chainId="fc193c7399db6e6a2ffd49d9d2977021133e789f">
          <item id="25440cdb322f82073cfa257a43b9f2a934f7cabd" isNormal="1">
            <s:text>
              <s:r>
                <s:t xml:space="preserve">Administrator:
1200591 12/2 17992pcs 华1f5
1200593 12/2 25pcs 华1f5</s:t>
              </s:r>
            </s:text>
          </item>
        </commentChain>
      </unresolved>
      <resolved/>
    </commentChains>
    <commentChains s:ref="AL798" rgbClr="FF0000">
      <unresolved>
        <commentChain chainId="cfd12d1e871add32f6b6677e4e707160512bf8b8">
          <item id="5dd2a935e35f53b14850c91202a9b460427b96bb" isNormal="1">
            <s:text>
              <s:r>
                <s:t xml:space="preserve">Administrator:
11/10 上客户EAN条码贴纸18044PCS
PDQ数量贴纸4511PCS</s:t>
              </s:r>
            </s:text>
          </item>
        </commentChain>
      </unresolved>
      <resolved/>
    </commentChains>
    <commentChains s:ref="AI799" rgbClr="FF0000">
      <unresolved>
        <commentChain chainId="2929df6020278f845c78db502e968d029877bd2f">
          <item id="c3f737f3dde493e311a6cbf040fb10b95dbabcd3" isNormal="1">
            <s:text>
              <s:r>
                <s:t xml:space="preserve">Administrator:
4001146 11/28 534pcs
4001144 11/28 9450pcs
4001158 11/28 18pcs </s:t>
              </s:r>
            </s:text>
          </item>
        </commentChain>
      </unresolved>
      <resolved/>
    </commentChains>
    <commentChains s:ref="AL799" rgbClr="FF0000">
      <unresolved>
        <commentChain chainId="87038dc8649f8563c1ebdb65d0308793d37ec4e7">
          <item id="58c5a0732369439374e43c4a703dbb6ede384821" isNormal="1">
            <s:text>
              <s:r>
                <s:t xml:space="preserve">Administrator:
9/23 上客供芯片贴纸10002pcs
11/4 上空白贴纸106656ｐｃｓ
条码贴纸20800ｐｃｓ</s:t>
              </s:r>
            </s:text>
          </item>
        </commentChain>
      </unresolved>
      <resolved/>
    </commentChains>
    <commentChains s:ref="AI800" rgbClr="FF0000">
      <unresolved>
        <commentChain chainId="b0274b7e3b0fe61a0754caa1735f742b06882ceb">
          <item id="ca7dc7c7d2806db876a414ec3e74d651bd3e4481" isNormal="1">
            <s:text>
              <s:r>
                <s:t xml:space="preserve">Administrator:
1200192 12/5 250pcs华3b14
</s:t>
              </s:r>
            </s:text>
          </item>
        </commentChain>
      </unresolved>
      <resolved/>
    </commentChains>
    <commentChains s:ref="AL800" rgbClr="FF0000">
      <unresolved>
        <commentChain chainId="ab32c72f9489b8058d1923a9a5ac1a1fd7f3b3a6">
          <item id="3844fee002fddae246f397432b12e49614393e9a" isNormal="1">
            <s:text>
              <s:r>
                <s:t xml:space="preserve">Administrator:
10/29 进口商贴纸50*42mm 250pcs
11/1 上UPC贴纸500pcs</s:t>
              </s:r>
            </s:text>
          </item>
        </commentChain>
      </unresolved>
      <resolved/>
    </commentChains>
    <commentChains s:ref="AI801" rgbClr="FF0000">
      <unresolved>
        <commentChain chainId="1ff4f4aa237579651f4712d9804e72feb9897820">
          <item id="cfbc51692d3bae8d81b9fbb060d8ee7f71a72918" isNormal="1">
            <s:text>
              <s:r>
                <s:t xml:space="preserve">Administrator:
1200192 12/5 500pcs
华3b14</s:t>
              </s:r>
            </s:text>
          </item>
        </commentChain>
      </unresolved>
      <resolved/>
    </commentChains>
    <commentChains s:ref="AL801" rgbClr="FF0000">
      <unresolved>
        <commentChain chainId="16cfe87973450b239ab615ff7a14a33b6e1554da">
          <item id="8d7076e9366c021988f5dbf288748d22b3af992c" isNormal="1">
            <s:text>
              <s:r>
                <s:t xml:space="preserve">Administrator:
11/18 上进口商贴纸500pcs
UPC 贴纸500pcs</s:t>
              </s:r>
            </s:text>
          </item>
        </commentChain>
      </unresolved>
      <resolved/>
    </commentChains>
    <commentChains s:ref="AL802" rgbClr="FF0000">
      <unresolved>
        <commentChain chainId="6c3ed79fcc9467e500f622282d0f4a003f434665">
          <item id="0665c5cce3ae18d08ca87419b18a5ef0e132ec55" isNormal="1">
            <s:text>
              <s:r>
                <s:t xml:space="preserve">Administrator:
11/3 上空白贴纸600pcs
11/22 上客供警语贴纸624pcs 77785
客供警语贴纸贴说明书上624pcs 77711
客供警语贴纸收藏指南624pcs 77711
客供警语贴纸贴球底部624pcs 77711</s:t>
              </s:r>
            </s:text>
          </item>
        </commentChain>
      </unresolved>
      <resolved/>
    </commentChains>
    <commentChains s:ref="AI803" rgbClr="FF0000">
      <unresolved>
        <commentChain chainId="38e76b17a969e183166471464ebffb8185970e28">
          <item id="52d1a0859cafac77ceb0c7ad10e594ba5a767c5d" isNormal="1">
            <s:text>
              <s:r>
                <s:t xml:space="preserve">Administrator:
1200592 12/2 32664pcs
华3a25
1200591 12/2 41496pcs 华3a26
1200600 12/3 1368pcs华3a27</s:t>
              </s:r>
            </s:text>
          </item>
        </commentChain>
      </unresolved>
      <resolved/>
    </commentChains>
    <commentChains s:ref="AL803" rgbClr="FF0000">
      <unresolved>
        <commentChain chainId="40026f753fb2067787b67e64280121593c847fa6">
          <item id="586d82afcd918e5abe7ff76b7d4dc38b9535b2b2" isNormal="1">
            <s:text>
              <s:r>
                <s:t xml:space="preserve">Administrator:
11/6 上客供白色防盗贴纸75528pcs
11/10 产品彩色贴纸25176PCS</s:t>
              </s:r>
            </s:text>
          </item>
        </commentChain>
      </unresolved>
      <resolved/>
    </commentChains>
    <commentChains s:ref="AI804" rgbClr="FF0000">
      <unresolved>
        <commentChain chainId="0b82e142a0aa069160136bdfcec4c0ec3fe941b9">
          <item id="d24cbebd4a648b0df564e5b77feda8c5742c6acf" isNormal="1">
            <s:text>
              <s:r>
                <s:t xml:space="preserve">Administrator:
1200585 12/2 1125pcs 华3b8</s:t>
              </s:r>
            </s:text>
          </item>
        </commentChain>
      </unresolved>
      <resolved/>
    </commentChains>
    <commentChains s:ref="AL804" rgbClr="FF0000">
      <unresolved>
        <commentChain chainId="b4ccf1d056a89459b12f0038ed1bcb13e5d5c6dd">
          <item id="12f6f716544c0290d484166de4c93ff7e18385e7" isNormal="1">
            <s:text>
              <s:r>
                <s:t xml:space="preserve">Administrator:
11/18 上警告语贴纸1125pcs</s:t>
              </s:r>
            </s:text>
          </item>
        </commentChain>
      </unresolved>
      <resolved/>
    </commentChains>
    <commentChains s:ref="AI805" rgbClr="FF0000">
      <unresolved>
        <commentChain chainId="03e6c3e63ce8fe59f8323f6af1475504567ed9a3">
          <item id="63085df571c9d8bdfc5dbe7c04230a9dc94177ef" isNormal="1">
            <s:text>
              <s:r>
                <s:t xml:space="preserve">Administrator:
1200202 12/6 996pcs王4b12</s:t>
              </s:r>
            </s:text>
          </item>
        </commentChain>
      </unresolved>
      <resolved/>
    </commentChains>
    <commentChains s:ref="AL805" rgbClr="FF0000">
      <unresolved>
        <commentChain chainId="048590a66b2abbb161525791acb5d48ef2188072">
          <item id="ff8d6c3df0a6a6386b725d55a23634ed3efda156" isNormal="1">
            <s:text>
              <s:r>
                <s:t xml:space="preserve">Administrator:
11/18 上空白贴纸1992pcs
12/24 上客供价格贴纸1096pcs
</s:t>
              </s:r>
            </s:text>
          </item>
        </commentChain>
      </unresolved>
      <resolved/>
    </commentChains>
    <commentChains s:ref="AI806" rgbClr="FF0000">
      <unresolved>
        <commentChain chainId="c7e5bf391e50a725e796d2412eef4a7ce1daffe9">
          <item id="f65975e6ee091befd7ac453cedd2ab6a74fdffa7" isNormal="1">
            <s:text>
              <s:r>
                <s:t xml:space="preserve">Administrator:
1200202 12/6 1200pcs王4b2
</s:t>
              </s:r>
            </s:text>
          </item>
        </commentChain>
      </unresolved>
      <resolved/>
    </commentChains>
    <commentChains s:ref="AL806" rgbClr="FF0000">
      <unresolved>
        <commentChain chainId="306abe1997413246585e7d678dc31b784a638fe4">
          <item id="6d318b0b63ce1409c556e94125cdd00d233802f9" isNormal="1">
            <s:text>
              <s:r>
                <s:t xml:space="preserve">Administrator:
11/18 上空白贴纸2400pcs
12/24 上客供价格贴纸1320pcs
</s:t>
              </s:r>
            </s:text>
          </item>
        </commentChain>
      </unresolved>
      <resolved/>
    </commentChains>
    <commentChains s:ref="AI807" rgbClr="FF0000">
      <unresolved>
        <commentChain chainId="480640ece553224dbca0ff28efaffcfd20f968a1">
          <item id="8ae2b3a12d10bb218a193a84b023567029229f14" isNormal="1">
            <s:text>
              <s:r>
                <s:t xml:space="preserve">Administrator:
1200229 12/9 2004pcs华3a16</s:t>
              </s:r>
            </s:text>
          </item>
        </commentChain>
      </unresolved>
      <resolved/>
    </commentChains>
    <commentChains s:ref="AL807" rgbClr="FF0000">
      <unresolved>
        <commentChain chainId="9b28072635f3c6ea3974c14a1a9817944d9b4fb8">
          <item id="ee5da2c27719cd09cb360bfd75966e39df7d322b" isNormal="1">
            <s:text>
              <s:r>
                <s:t xml:space="preserve">Administrator:
11/22 上客供价格贴纸2100pcs
</s:t>
              </s:r>
            </s:text>
          </item>
        </commentChain>
      </unresolved>
      <resolved/>
    </commentChains>
    <commentChains s:ref="AI808" rgbClr="FF0000">
      <unresolved>
        <commentChain chainId="a292f8cd9c90e8326f4466406a45ad2c762e8ae3">
          <item id="5c78c7c92f399d05d312bdfb9f6c58ea1147fdc1" isNormal="1">
            <s:text>
              <s:r>
                <s:t xml:space="preserve">Administrator:
11/29 1200565 5850pcs 华3b12</s:t>
              </s:r>
            </s:text>
          </item>
        </commentChain>
      </unresolved>
      <resolved/>
    </commentChains>
    <commentChains s:ref="AI809" rgbClr="FF0000">
      <unresolved>
        <commentChain chainId="a1e4e6e1a011d71245b003fc0f67de6c3c66ec0b">
          <item id="45562d49beb37d1cd47459ec06b962ec501278d7" isNormal="1">
            <s:text>
              <s:r>
                <s:t xml:space="preserve">Administrator:
11/29 1200565 132pcs 华3b7</s:t>
              </s:r>
            </s:text>
          </item>
        </commentChain>
      </unresolved>
      <resolved/>
    </commentChains>
    <commentChains s:ref="AL809" rgbClr="FF0000">
      <unresolved>
        <commentChain chainId="0fbc3053a248ad14c45495cf7fd4b98971ff1a6e">
          <item id="a6eb4d01ba03af0585a784c21faca1629efbcae2" isNormal="1">
            <s:text>
              <s:r>
                <s:t xml:space="preserve">Administrator:
11/22 上客供价格贴纸146pcs</s:t>
              </s:r>
            </s:text>
          </item>
        </commentChain>
      </unresolved>
      <resolved/>
    </commentChains>
    <commentChains s:ref="AI810" rgbClr="FF0000">
      <unresolved>
        <commentChain chainId="45105680c62023b27f38fb615cdac9a0b48c9ce9">
          <item id="fff015783a79a1c56140032435e2ce9d17f0f32e" isNormal="1">
            <s:text>
              <s:r>
                <s:t xml:space="preserve">Administrator:
11/29 1200565 708pcs华3a27
1200582 12/1 12pcs华3a27</s:t>
              </s:r>
            </s:text>
          </item>
        </commentChain>
      </unresolved>
      <resolved/>
    </commentChains>
    <commentChains s:ref="AL810" rgbClr="FF0000">
      <unresolved>
        <commentChain chainId="86cd21c118318c70229f9d37de7a2f44cb7bbf2e">
          <item id="42b1241e26b9b8a63fd74c25e45a3ec547e18dbe" isNormal="1">
            <s:text>
              <s:r>
                <s:t xml:space="preserve">Administrator:
11/22 上客供价格贴纸792pcs</s:t>
              </s:r>
            </s:text>
          </item>
        </commentChain>
      </unresolved>
      <resolved/>
    </commentChains>
    <commentChains s:ref="AI811" rgbClr="FF0000">
      <unresolved>
        <commentChain chainId="c5526fb623031d676c51da55f52fb79bfadacfb0">
          <item id="d8b1cfeae7a2597a3be57d2b88e22e47cd6b7a6f" isNormal="1">
            <s:text>
              <s:r>
                <s:t xml:space="preserve">Administrator:
11/29 1200565 180pcs 华3b7</s:t>
              </s:r>
            </s:text>
          </item>
        </commentChain>
      </unresolved>
      <resolved/>
    </commentChains>
    <commentChains s:ref="AL811" rgbClr="FF0000">
      <unresolved>
        <commentChain chainId="788fff2cb259e598cd11ca27bb4a5dff043fe03b">
          <item id="91a3ef21fe467ac4b77473003a813b23fd7012d3" isNormal="1">
            <s:text>
              <s:r>
                <s:t xml:space="preserve">Administrator:
11/22 上客供价格贴纸198pcs
</s:t>
              </s:r>
            </s:text>
          </item>
        </commentChain>
      </unresolved>
      <resolved/>
    </commentChains>
    <commentChains s:ref="AI812" rgbClr="FF0000">
      <unresolved>
        <commentChain chainId="d7e674238c7c669e67f06073c08520c1985b7e7f">
          <item id="1b8f8c42df9b71ca7d889151dd1f2e90c80d77e2" isNormal="1">
            <s:text>
              <s:r>
                <s:t xml:space="preserve">Administrator:
12002352 12/10 403pcs王4b9
</s:t>
              </s:r>
            </s:text>
          </item>
        </commentChain>
      </unresolved>
      <resolved/>
    </commentChains>
    <commentChains s:ref="AI813" rgbClr="FF0000">
      <unresolved>
        <commentChain chainId="a6819320b88ecf0731c9e9615a76a6f068db922c">
          <item id="5860e238ec3bba50f23916f1dacb77b25c94b077" isNormal="1">
            <s:text>
              <s:r>
                <s:t xml:space="preserve">Administrator:
12002352 12/10 598pcs
王4a8</s:t>
              </s:r>
            </s:text>
          </item>
        </commentChain>
      </unresolved>
      <resolved/>
    </commentChains>
    <commentChains s:ref="AL813" rgbClr="FF0000">
      <unresolved>
        <commentChain chainId="b305c46d2586ff0953dc2742b6219d833f788d09">
          <item id="e00b38ed307a6fa0eed0189787fd0fa8b0878a7b" isNormal="1">
            <s:text>
              <s:r>
                <s:t xml:space="preserve">Administrator:
11/22 上客供UCC贴纸46pcs
</s:t>
              </s:r>
            </s:text>
          </item>
        </commentChain>
      </unresolved>
      <resolved/>
    </commentChains>
    <commentChains s:ref="AI814" rgbClr="FF0000">
      <unresolved>
        <commentChain chainId="91a8ba55c08f2515a7d4c00d4ed3e5cf55233c19">
          <item id="23c68cf5dac3d77f538c5e0d28070503528cbc1e" isNormal="1">
            <s:text>
              <s:r>
                <s:t xml:space="preserve">Administrator:
12002352 12/10 468pcs
王4b9
</s:t>
              </s:r>
            </s:text>
          </item>
        </commentChain>
      </unresolved>
      <resolved/>
    </commentChains>
    <commentChains s:ref="AL814" rgbClr="FF0000">
      <unresolved>
        <commentChain chainId="beff94ee74d44481808428741ff715cf4a111f8f">
          <item id="6497369002d8afb75c31356b11a44d1d78ecc96f" isNormal="1">
            <s:text>
              <s:r>
                <s:t xml:space="preserve">Administrator:
11/22 上客供UCC贴纸36pcs
</s:t>
              </s:r>
            </s:text>
          </item>
        </commentChain>
      </unresolved>
      <resolved/>
    </commentChains>
    <commentChains s:ref="AI815" rgbClr="FF0000">
      <unresolved>
        <commentChain chainId="449d5911f37924fea446cf04c4cbf8189d1c2e65">
          <item id="517aed400f0d5a52bb7e11a985483ba8327a3172" isNormal="1">
            <s:text>
              <s:r>
                <s:t xml:space="preserve">Administrator:
12002352 12/10 338pcs
王4a9</s:t>
              </s:r>
            </s:text>
          </item>
        </commentChain>
      </unresolved>
      <resolved/>
    </commentChains>
    <commentChains s:ref="AL815" rgbClr="FF0000">
      <unresolved>
        <commentChain chainId="a96f6b0a265c95d8127a85e1696b12421a573fc5">
          <item id="4179f3a315677a800ea52b6060684c7ce5e2722b" isNormal="1">
            <s:text>
              <s:r>
                <s:t xml:space="preserve">Administrator:
11/22 上客供UCC贴纸26pcs
</s:t>
              </s:r>
            </s:text>
          </item>
        </commentChain>
      </unresolved>
      <resolved/>
    </commentChains>
    <commentChains s:ref="AI816" rgbClr="FF0000">
      <unresolved>
        <commentChain chainId="6ce3919023b9bbb734559d56a939fcf6c854703c">
          <item id="7c33425f45d0d9e5fe5090fdaf5dc9966c1fe92a" isNormal="1">
            <s:text>
              <s:r>
                <s:t xml:space="preserve">Administrator:
12002352 12/10 403
pcs
王4b9</s:t>
              </s:r>
            </s:text>
          </item>
        </commentChain>
      </unresolved>
      <resolved/>
    </commentChains>
    <commentChains s:ref="AI817" rgbClr="FF0000">
      <unresolved>
        <commentChain chainId="45776148cd1e2f7d2dfedfef0d694e2dd2ccfc8b">
          <item id="7f9bb8d81f7eef2402f9d118eac956c036b72618" isNormal="1">
            <s:text>
              <s:r>
                <s:t xml:space="preserve">Administrator:
1200209 12/8 1248PCS 华3b13</s:t>
              </s:r>
            </s:text>
          </item>
        </commentChain>
      </unresolved>
      <resolved/>
    </commentChains>
    <commentChains s:ref="AL817" rgbClr="FF0000">
      <unresolved>
        <commentChain chainId="dc2816a79c8be812a20550d53c3c0a31ebf2b1a2">
          <item id="c1c538bff0df886169ba3e56e1679d6dabe3729f" isNormal="1">
            <s:text>
              <s:r>
                <s:t xml:space="preserve">Administrator:
11/22 上客供警告语贴纸贴收藏指南1288pcs
客供警语贴纸贴说明书1290pcs
客供警告语贴纸贴球底部1288pcs
12/1 UPC 条码贴纸 1248pcs</s:t>
              </s:r>
            </s:text>
          </item>
        </commentChain>
      </unresolved>
      <resolved/>
    </commentChains>
    <commentChains s:ref="AI818" rgbClr="FF0000">
      <unresolved>
        <commentChain chainId="ddc373c2571c14cb0b11229633545d9f5cd77447">
          <item id="cc3bade4967cb56cd1c26241b4cc7321d8406d9b" isNormal="1">
            <s:text>
              <s:r>
                <s:t xml:space="preserve">Administrator:
3000522 12/4 5040pcs华3a8</s:t>
              </s:r>
            </s:text>
          </item>
        </commentChain>
      </unresolved>
      <resolved/>
    </commentChains>
    <commentChains s:ref="AI819" rgbClr="FF0000">
      <unresolved>
        <commentChain chainId="edc0a735e82294c35684e22f2bcca0be33fcf784">
          <item id="bcff192da247b73e66ead178611ec1b0176ff0ce" isNormal="1">
            <s:text>
              <s:r>
                <s:t xml:space="preserve">Administrator:
3000522 12/4 1440pcs
华3a8
</s:t>
              </s:r>
            </s:text>
          </item>
        </commentChain>
      </unresolved>
      <resolved/>
    </commentChains>
    <commentChains s:ref="AI820" rgbClr="FF0000">
      <unresolved>
        <commentChain chainId="4fb33611f13be44307decae8ad91e521829a7875">
          <item id="a4ab55266e753057d10cf6dd8974e69508ab40cf" isNormal="1">
            <s:text>
              <s:r>
                <s:t xml:space="preserve">Administrator:
3000522 12/4 9360pcs
华3a8
</s:t>
              </s:r>
            </s:text>
          </item>
        </commentChain>
      </unresolved>
      <resolved/>
    </commentChains>
    <commentChains s:ref="AI821" rgbClr="FF0000">
      <unresolved>
        <commentChain chainId="c2c40af085b05dfdfedb1b0d6e9a1541ae6c9b22">
          <item id="0d73e63dcdd43a3e33e2a66d79991f594b32a67d" isNormal="1">
            <s:text>
              <s:r>
                <s:t xml:space="preserve">Administrator:
3000522 12/4 7200pcs
华3a8
</s:t>
              </s:r>
            </s:text>
          </item>
        </commentChain>
      </unresolved>
      <resolved/>
    </commentChains>
    <commentChains s:ref="AI822" rgbClr="FF0000">
      <unresolved>
        <commentChain chainId="2cdf6ef437d5d6de1728b7b100971301062e9255">
          <item id="50d9a32ec86fa21b507044843b8533506828a967" isNormal="1">
            <s:text>
              <s:r>
                <s:t xml:space="preserve">Administrator:
3000522 12/4 4320pcs
华3a8
</s:t>
              </s:r>
            </s:text>
          </item>
        </commentChain>
      </unresolved>
      <resolved/>
    </commentChains>
    <commentChains s:ref="AI823" rgbClr="FF0000">
      <unresolved>
        <commentChain chainId="8cd025d10d8be667bc8ff55376ba728b89785100">
          <item id="8f4d00732c2ec04d0418ac5b6c707c7d558733b2" isNormal="1">
            <s:text>
              <s:r>
                <s:t xml:space="preserve">Administrator:
3000522 12/4 2376pcs华3a8
1200629 12/5 3024pcs】</s:t>
              </s:r>
            </s:text>
          </item>
        </commentChain>
      </unresolved>
      <resolved/>
    </commentChains>
    <commentChains s:ref="AI824" rgbClr="FF0000">
      <unresolved>
        <commentChain chainId="198a5d576b46ca17e7e4e8133883bf0942615423">
          <item id="1b0c74cc3d51264738820aad45059995f50aef27" isNormal="1">
            <s:text>
              <s:r>
                <s:t xml:space="preserve">Administrator:
1200649 12/4 4320pcs华3a8</s:t>
              </s:r>
            </s:text>
          </item>
        </commentChain>
      </unresolved>
      <resolved/>
    </commentChains>
    <commentChains s:ref="AI825" rgbClr="FF0000">
      <unresolved>
        <commentChain chainId="2cdfc053206fea6b3421d5ce1bbf032d8e8bdfc9">
          <item id="099d9f157369974acfdd514d5200b3ccca7208d8" isNormal="1">
            <s:text>
              <s:r>
                <s:t xml:space="preserve">Administrator:
1200629 12/5 2160pcs华3b1.2.3.</s:t>
              </s:r>
            </s:text>
          </item>
        </commentChain>
      </unresolved>
      <resolved/>
    </commentChains>
    <commentChains s:ref="AI826" rgbClr="FF0000">
      <unresolved>
        <commentChain chainId="6968e734cfbee37d13957a2a2798b82903e16ae5">
          <item id="ee87a1a179a7598ea8f2b1c5bcb56f98c610b256" isNormal="1">
            <s:text>
              <s:r>
                <s:t xml:space="preserve">Administrator:
1200629 12/5 5760pcs
华3a3</s:t>
              </s:r>
            </s:text>
          </item>
        </commentChain>
      </unresolved>
      <resolved/>
    </commentChains>
    <commentChains s:ref="AI827" rgbClr="FF0000">
      <unresolved>
        <commentChain chainId="9c20f4c0c87c60260066553a2a5c72f5107f61e3">
          <item id="1c6d8f5a378551353039ad64924b7da1601c23c0" isNormal="1">
            <s:text>
              <s:r>
                <s:t xml:space="preserve">Administrator:
1200629 12/5 2880pcs
华3b1.2.3.</s:t>
              </s:r>
            </s:text>
          </item>
        </commentChain>
      </unresolved>
      <resolved/>
    </commentChains>
    <commentChains s:ref="AI828" rgbClr="FF0000">
      <unresolved>
        <commentChain chainId="dfba969fae6a4c8ad30ba380f568427a11657b7d">
          <item id="0f2cd2be795cee7e023d5bd1ff9504960d8a4f3c" isNormal="1">
            <s:text>
              <s:r>
                <s:t xml:space="preserve">Administrator:
1200629 12/5 5040pcs
华3b1.2.3.</s:t>
              </s:r>
            </s:text>
          </item>
        </commentChain>
      </unresolved>
      <resolved/>
    </commentChains>
    <commentChains s:ref="AI829" rgbClr="FF0000">
      <unresolved>
        <commentChain chainId="4940a429f6a743a3b71c08b7ad0913e675ae9e35">
          <item id="24335805a6a2ab332a705d813061c80874d5166b" isNormal="1">
            <s:text>
              <s:r>
                <s:t xml:space="preserve">Administrator:
1200629 12/5 2160pcs
华3b1.2.3.</s:t>
              </s:r>
            </s:text>
          </item>
        </commentChain>
      </unresolved>
      <resolved/>
    </commentChains>
    <commentChains s:ref="AI830" rgbClr="FF0000">
      <unresolved>
        <commentChain chainId="094c8936517334ed86113bdace6949a6596b516c">
          <item id="babc08a34fc017ca150d60e894aee57281e62581" isNormal="1">
            <s:text>
              <s:r>
                <s:t xml:space="preserve">Administrator:
1200629 12/5 576pcs
华3b1.2.3.</s:t>
              </s:r>
            </s:text>
          </item>
        </commentChain>
      </unresolved>
      <resolved/>
    </commentChains>
    <commentChains s:ref="AI831" rgbClr="FF0000">
      <unresolved>
        <commentChain chainId="ac5382d258c86b1e144c1470dd0aa7074c9dbc12">
          <item id="0f5ce9e6894d6633fd67995f434dfaf7491e987b" isNormal="1">
            <s:text>
              <s:r>
                <s:t xml:space="preserve">Administrator:
1200629 12/5 576pcs
华3b1.2.3.</s:t>
              </s:r>
            </s:text>
          </item>
        </commentChain>
      </unresolved>
      <resolved/>
    </commentChains>
    <commentChains s:ref="AI832" rgbClr="FF0000">
      <unresolved>
        <commentChain chainId="e3e598defedfc4b0995d37b815aa2eb12ac16db2">
          <item id="a37e0652d5b8931e2806b9c3b5d0a0dea9aee7f6" isNormal="1">
            <s:text>
              <s:r>
                <s:t xml:space="preserve">Administrator:
1200630 12/5 576pcs
华3b1.2.3.</s:t>
              </s:r>
            </s:text>
          </item>
        </commentChain>
      </unresolved>
      <resolved/>
    </commentChains>
    <commentChains s:ref="AI833" rgbClr="FF0000">
      <unresolved>
        <commentChain chainId="1f96fdb72eb60df6c30d0ab54c00aca49ce43dd9">
          <item id="14ba163ea17dba361c7d96e0b09a9edbe0b34771" isNormal="1">
            <s:text>
              <s:r>
                <s:t xml:space="preserve">Administrator:
1200630 12/5 3600cs华3a3
</s:t>
              </s:r>
            </s:text>
          </item>
        </commentChain>
      </unresolved>
      <resolved/>
    </commentChains>
    <commentChains s:ref="AI834" rgbClr="FF0000">
      <unresolved>
        <commentChain chainId="0b4c5a89807d318bf7e094ecaaf4cf1b16233fca">
          <item id="7fe460798f42b0f43c002306f2ea1aa7056750f8" isNormal="1">
            <s:text>
              <s:r>
                <s:t xml:space="preserve">Administrator:
1200630 12/5 5040pcs华3a3
</s:t>
              </s:r>
            </s:text>
          </item>
        </commentChain>
      </unresolved>
      <resolved/>
    </commentChains>
    <commentChains s:ref="AI835" rgbClr="FF0000">
      <unresolved>
        <commentChain chainId="45097be1e651e6c08c0b8a313830532d0c0fa8ab">
          <item id="29253e3ec3a3107b0b8a64eaaa43ffec1606b961" isNormal="1">
            <s:text>
              <s:r>
                <s:t xml:space="preserve">Administrator:
1200630 12/5 4320pcs华3a3
</s:t>
              </s:r>
            </s:text>
          </item>
        </commentChain>
      </unresolved>
      <resolved/>
    </commentChains>
    <commentChains s:ref="AI836" rgbClr="FF0000">
      <unresolved>
        <commentChain chainId="1c4d548cc4afdc5b2547aa666a5b2942407883e1">
          <item id="63c304bc08e76d27de4cc126c28000cabc3ccadc" isNormal="1">
            <s:text>
              <s:r>
                <s:t xml:space="preserve">Administrator:
1200630 12/5 3600pcs华3a3
</s:t>
              </s:r>
            </s:text>
          </item>
        </commentChain>
      </unresolved>
      <resolved/>
    </commentChains>
    <commentChains s:ref="AI837" rgbClr="FF0000">
      <unresolved>
        <commentChain chainId="72aaca8dacf76a482446d75928f34a5239bcfe28">
          <item id="632edd787a293378c251736c9d2b25861fb6b934" isNormal="1">
            <s:text>
              <s:r>
                <s:t xml:space="preserve">Administrator:
1200630 12/5 5760pcs华3a3
</s:t>
              </s:r>
            </s:text>
          </item>
        </commentChain>
      </unresolved>
      <resolved/>
    </commentChains>
    <commentChains s:ref="AI838" rgbClr="FF0000">
      <unresolved>
        <commentChain chainId="37cba94c10d9b2248025d2440c93da7cce1b579f">
          <item id="b5d135b72e7250e56d25bab3a0c968658d8f33ab" isNormal="1">
            <s:text>
              <s:r>
                <s:t xml:space="preserve">Administrator:
1200630 12/5 1968pcs华3a3
1200192 12/5 192pcs华3a8</s:t>
              </s:r>
            </s:text>
          </item>
        </commentChain>
      </unresolved>
      <resolved/>
    </commentChains>
    <commentChains s:ref="AI839" rgbClr="FF0000">
      <unresolved>
        <commentChain chainId="4085d6d6572cc32e481461131aef8d9fa2c62eac">
          <item id="4b95e16a02757a6aafac7f667b2acafbe3c50429" isNormal="1">
            <s:text>
              <s:r>
                <s:t xml:space="preserve">Administrator:
1200231 12/10 975pcs华3b13</s:t>
              </s:r>
            </s:text>
          </item>
        </commentChain>
      </unresolved>
      <resolved/>
    </commentChains>
    <commentChains s:ref="AL839" rgbClr="FF0000">
      <unresolved>
        <commentChain chainId="5aed7e185dcad66e3ffa01f2da42884e6d38f655">
          <item id="089b9d11a220c4024ceea6a0afa993d3627efa89" isNormal="1">
            <s:text>
              <s:r>
                <s:t xml:space="preserve">Administrator:
11/6 上可移动材质价格贴纸975pcs
11/4 上UPC贴纸975PCS
12/4 UPC贴纸 975pcs
12/12 可移动材质的价格贴纸 975pcs</s:t>
              </s:r>
            </s:text>
          </item>
        </commentChain>
      </unresolved>
      <resolved/>
    </commentChains>
    <commentChains s:ref="AI840" rgbClr="FF0000">
      <unresolved>
        <commentChain chainId="c6d7b48fbac6325aef24c987d915ecdd0ba20957">
          <item id="3e8f9b50ea12d38b7163e379e8a5554496592e72" isNormal="1">
            <s:text>
              <s:r>
                <s:t xml:space="preserve">Administrator:
3000538 12/9 7300pcs王4a5</s:t>
              </s:r>
            </s:text>
          </item>
        </commentChain>
      </unresolved>
      <resolved/>
    </commentChains>
    <commentChains s:ref="AL840" rgbClr="FF0000">
      <unresolved>
        <commentChain chainId="4e6227c657032808e88bdc8ef991e5cb3d0ff724">
          <item id="36b708888dc0a32ede159ab37c414127ca0c4051" isNormal="1">
            <s:text>
              <s:r>
                <s:t xml:space="preserve">Administrator:
11/21 上进口商贴纸7300pcs
EAN条码贴纸7300pcs</s:t>
              </s:r>
            </s:text>
          </item>
        </commentChain>
      </unresolved>
      <resolved/>
    </commentChains>
    <commentChains s:ref="AI841" rgbClr="FF0000">
      <unresolved>
        <commentChain chainId="f131e356ccd44de2923b47ec13fa30760f1a7cde">
          <item id="ad09496c1c8f05509dae46830e9439490c97a697" isNormal="1">
            <s:text>
              <s:r>
                <s:t xml:space="preserve">Administrator:
3000541 12/10 24000pcs华3b7</s:t>
              </s:r>
            </s:text>
          </item>
        </commentChain>
      </unresolved>
      <resolved/>
    </commentChains>
    <commentChains s:ref="AL841" rgbClr="FF0000">
      <unresolved>
        <commentChain chainId="8628d4ea0bdca7c185d14a010aaa4a6b6c6710ce">
          <item id="99759e6958ace3a75ce25d8438452b095909e5b0" isNormal="1">
            <s:text>
              <s:r>
                <s:t xml:space="preserve">Administrator:
12/24 上客供RFID贴纸24000pcs
</s:t>
              </s:r>
            </s:text>
          </item>
        </commentChain>
      </unresolved>
      <resolved/>
    </commentChains>
    <commentChains s:ref="AI842" rgbClr="FF0000">
      <unresolved>
        <commentChain chainId="f994486d0dde3693b0b9e925ee440bdb43741417">
          <item id="42de6e9075959b2fb07e4ea831eecafab2adcef4" isNormal="1">
            <s:text>
              <s:r>
                <s:t xml:space="preserve">Administrator:
3000538 12/9 39360pcs王4a7</s:t>
              </s:r>
            </s:text>
          </item>
        </commentChain>
      </unresolved>
      <resolved/>
    </commentChains>
    <commentChains s:ref="AL842" rgbClr="FF0000">
      <unresolved>
        <commentChain chainId="c2c65ebcfba2f342b08db54deeb7b04a2abb0ed1">
          <item id="de5917199d1570fdc8d1263bb02e7ffdae002973" isNormal="1">
            <s:text>
              <s:r>
                <s:t xml:space="preserve">Administrator:
12/24 上客供RFID贴纸39360pcs
</s:t>
              </s:r>
            </s:text>
          </item>
        </commentChain>
      </unresolved>
      <resolved/>
    </commentChains>
    <commentChains s:ref="AI843" rgbClr="FF0000">
      <unresolved>
        <commentChain chainId="5518c8421f39e5a4bc63f5479ab4412fbcf57f3b">
          <item id="8cc9759385ce1ba0c32433d2aaae02d692bf203e" isNormal="1">
            <s:text>
              <s:r>
                <s:t xml:space="preserve">Administrator:
1200213 12/8 27840PCS 华3a22</s:t>
              </s:r>
            </s:text>
          </item>
        </commentChain>
      </unresolved>
      <resolved/>
    </commentChains>
    <commentChains s:ref="AL843" rgbClr="FF0000">
      <unresolved>
        <commentChain chainId="9056ab09476e4ba1c969c79a6dc772be7d77c5df">
          <item id="9391175f145410a2dec3a9a281d77f788ce98ece" isNormal="1">
            <s:text>
              <s:r>
                <s:t xml:space="preserve">Administrator:
12/24 上客供RFID贴纸27840pcs
</s:t>
              </s:r>
            </s:text>
          </item>
        </commentChain>
      </unresolved>
      <resolved/>
    </commentChains>
    <commentChains s:ref="AI844" rgbClr="FF0000">
      <unresolved>
        <commentChain chainId="7ae7ed57553c5a86e0e1f0a08fb64085fb177827">
          <item id="bd3ba31708a17c18b7ef2dbb21c91a37f9c93d47" isNormal="1">
            <s:text>
              <s:r>
                <s:t xml:space="preserve">Administrator:
1200193 12/5 2340pcs华3a31</s:t>
              </s:r>
            </s:text>
          </item>
        </commentChain>
      </unresolved>
      <resolved/>
    </commentChains>
    <commentChains s:ref="AL844" rgbClr="FF0000">
      <unresolved>
        <commentChain chainId="ff40d341bfbe87e7382106c54b5c6ce4a9eccee9">
          <item id="e443341a2f27ad4703acaa5a22b6ad65c75e4c30" isNormal="1">
            <s:text>
              <s:r>
                <s:t xml:space="preserve">Administrator:
11/10 上WIC贴纸10026PCS
7个同PO共用
PDQ折页1671PCS</s:t>
              </s:r>
            </s:text>
          </item>
        </commentChain>
      </unresolved>
      <resolved/>
    </commentChains>
    <commentChains s:ref="AI845" rgbClr="FF0000">
      <unresolved>
        <commentChain chainId="7b2b18bfb4e874954b8834ad799ae6b11eb8438e">
          <item id="f2fa5d732334b0b10dd7068a95183acdf1b0476e" isNormal="1">
            <s:text>
              <s:r>
                <s:t xml:space="preserve">Administrator:
1200193 12/5 1632pcs
华3a31
</s:t>
              </s:r>
            </s:text>
          </item>
        </commentChain>
      </unresolved>
      <resolved/>
    </commentChains>
    <commentChains s:ref="AI846" rgbClr="FF0000">
      <unresolved>
        <commentChain chainId="fc113f73480655e28e809984888ff09010256e64">
          <item id="a6e4fc040a4e78c6185c02908c34b5253fb142db" isNormal="1">
            <s:text>
              <s:r>
                <s:t xml:space="preserve">Administrator:
1200193 12/5 1308pcs
华3a31
</s:t>
              </s:r>
            </s:text>
          </item>
        </commentChain>
      </unresolved>
      <resolved/>
    </commentChains>
    <commentChains s:ref="AI847" rgbClr="FF0000">
      <unresolved>
        <commentChain chainId="02a2ffc8d9b03cf642f13f68421054548fdd075c">
          <item id="a171f976c5bd0dee5ef237c264e70b312bb0bd72" isNormal="1">
            <s:text>
              <s:r>
                <s:t xml:space="preserve">Administrator:
1200193 12/5 1416pcs
华3a31
</s:t>
              </s:r>
            </s:text>
          </item>
        </commentChain>
      </unresolved>
      <resolved/>
    </commentChains>
    <commentChains s:ref="AI848" rgbClr="FF0000">
      <unresolved>
        <commentChain chainId="1856da6b91862e62c5e0df5624456818ebca33f8">
          <item id="93d1da525d56f9294d1354917f86a5df7b3e6172" isNormal="1">
            <s:text>
              <s:r>
                <s:t xml:space="preserve">Administrator:
1200193 12/5 1038pcs
华3a31
</s:t>
              </s:r>
            </s:text>
          </item>
        </commentChain>
      </unresolved>
      <resolved/>
    </commentChains>
    <commentChains s:ref="AI849" rgbClr="FF0000">
      <unresolved>
        <commentChain chainId="7ff1bceaaf54699d5d37b698d52e5a806670c287">
          <item id="a3c34089cb294e951aa1af09af679a9b5c0fd8da" isNormal="1">
            <s:text>
              <s:r>
                <s:t xml:space="preserve">Administrator:
1200193 12/5 1146pcs
华3a31
</s:t>
              </s:r>
            </s:text>
          </item>
        </commentChain>
      </unresolved>
      <resolved/>
    </commentChains>
    <commentChains s:ref="AI850" rgbClr="FF0000">
      <unresolved>
        <commentChain chainId="6d6d265843bf51e1a71892420dc84d7de8fb7e3b">
          <item id="3e41f7300cf70c0a454126119b174a1eb27782e4" isNormal="1">
            <s:text>
              <s:r>
                <s:t xml:space="preserve">Administrator:
1200193 12/5 1140pcs华3a31
1200202 12/6 6pcs
王3a31
</s:t>
              </s:r>
            </s:text>
          </item>
        </commentChain>
      </unresolved>
      <resolved/>
    </commentChains>
    <commentChains s:ref="AI851" rgbClr="FF0000">
      <unresolved>
        <commentChain chainId="64aca7fe5b73c3c8e8882a26d69ca092375f8467">
          <item id="22c4e3270d69cc197162ccaed05c49703493ffa5" isNormal="1">
            <s:text>
              <s:r>
                <s:t xml:space="preserve">Administrator:
1200231 12/10 32448pcs
华3a81200229 12/9 29952pcs华3a8</s:t>
              </s:r>
            </s:text>
          </item>
        </commentChain>
      </unresolved>
      <resolved/>
    </commentChains>
    <commentChains s:ref="AI852" rgbClr="FF0000">
      <unresolved>
        <commentChain chainId="bc0517492e0750f2fc4abadf8a72672704faac1d">
          <item id="60fac842d6d49b20e97c603151dd5b64ed4453a5" isNormal="1">
            <s:text>
              <s:r>
                <s:t xml:space="preserve">Administrator:
3000545 12/11 10002pcs</s:t>
              </s:r>
            </s:text>
          </item>
        </commentChain>
      </unresolved>
      <resolved/>
    </commentChains>
    <commentChains s:ref="AL852" rgbClr="FF0000">
      <unresolved>
        <commentChain chainId="d1f47fd7f692d20681ff5c5b91b90ca4989b751c">
          <item id="ac6b4f79ae2fe0de0ca60f88eb291458ec523dcd" isNormal="1">
            <s:text>
              <s:r>
                <s:t xml:space="preserve">Administrator:
9/23 上客供芯片贴纸10002pcs
12/10 颜色贴纸 10002pcs</s:t>
              </s:r>
            </s:text>
          </item>
        </commentChain>
      </unresolved>
      <resolved/>
    </commentChains>
    <commentChains s:ref="AI853" rgbClr="FF0000">
      <unresolved>
        <commentChain chainId="4d92bea833b230981d085700c17b270b1c9014c5">
          <item id="b3ddb3581bb7b25085f4bf61373100bc2c77bb45" isNormal="1">
            <s:text>
              <s:r>
                <s:t xml:space="preserve">Administrator:
1200253 12/11 5250pcs
王4c3
1200256 12/11 31250pcs王4c3</s:t>
              </s:r>
            </s:text>
          </item>
        </commentChain>
      </unresolved>
      <resolved/>
    </commentChains>
    <commentChains s:ref="AL853" rgbClr="FF0000">
      <unresolved>
        <commentChain chainId="fcd78f17c261ab22c4fac565122e8e3d79a3904c">
          <item id="6a17ca3309d2aedce5e84c5f760db8618d69f1d6" isNormal="1">
            <s:text>
              <s:r>
                <s:t xml:space="preserve">Administrator:
11/6 上客供外箱条码贴纸1475pcs</s:t>
              </s:r>
            </s:text>
          </item>
        </commentChain>
      </unresolved>
      <resolved/>
    </commentChains>
    <commentChains s:ref="AI854" rgbClr="FF0000">
      <unresolved>
        <commentChain chainId="5b10b8c80e35de64247109a2e8c0dacb81a2f1e0">
          <item id="5f4fad988b50394792518239adcd8e4c65183812" isNormal="1">
            <s:text>
              <s:r>
                <s:t xml:space="preserve">Administrator:
1200785 12/13 1200pcs
华3b14</s:t>
              </s:r>
            </s:text>
          </item>
        </commentChain>
      </unresolved>
      <resolved/>
    </commentChains>
    <commentChains s:ref="AL854" rgbClr="FF0000">
      <unresolved>
        <commentChain chainId="83e51fb1de866b5f973f6b5707c8137a903686a7">
          <item id="1a8caee092b1a63b10206f3c5104638178a325b3" isNormal="1">
            <s:text>
              <s:r>
                <s:t xml:space="preserve">Administrator:
11/22 上大语警告贴纸2400pcs
小警告语贴纸16800pcs
两个同PO共用</s:t>
              </s:r>
            </s:text>
          </item>
        </commentChain>
      </unresolved>
      <resolved/>
    </commentChains>
    <commentChains s:ref="AI855" rgbClr="FF0000">
      <unresolved>
        <commentChain chainId="5ea5f8074aa40adf9992dd2173deccda702f91aa">
          <item id="d1e877681334d1edf93a0871208a3ca5dea31577" isNormal="1">
            <s:text>
              <s:r>
                <s:t xml:space="preserve">Administrator:
1200785 12/13 1200pcs
华3b14
</s:t>
              </s:r>
            </s:text>
          </item>
        </commentChain>
      </unresolved>
      <resolved/>
    </commentChains>
    <commentChains s:ref="AI856" rgbClr="FF0000">
      <unresolved>
        <commentChain chainId="087ef3ce7201480d5c82188e8dd639d9b3f801eb">
          <item id="fbf0fd5c322254373c56deb847415868b8b0d3e7" isNormal="1">
            <s:text>
              <s:r>
                <s:t xml:space="preserve">Administrator:
3000549 12/12 516pcs
王4a4</s:t>
              </s:r>
            </s:text>
          </item>
        </commentChain>
      </unresolved>
      <resolved/>
    </commentChains>
    <commentChains s:ref="AL856" rgbClr="FF0000">
      <unresolved>
        <commentChain chainId="d1f012d4928e991fae9c705b30f999a674d1b86d">
          <item id="50c9fbb955c1654c24fcb9996293808d3d4b629f" isNormal="1">
            <s:text>
              <s:r>
                <s:t xml:space="preserve">Administrator:
11/18 上空白贴纸3048pcs
环保贴纸1524pcs
三个同PO共用
11/21 上亚马逊外箱贴纸43pcs
</s:t>
              </s:r>
            </s:text>
          </item>
        </commentChain>
      </unresolved>
      <resolved/>
    </commentChains>
    <commentChains s:ref="AI857" rgbClr="FF0000">
      <unresolved>
        <commentChain chainId="8acb096889d4ba79ef08103733fbd58020e44be8">
          <item id="71acdb4a62a252ba6e0da47d68467e7e8b39a976" isNormal="1">
            <s:text>
              <s:r>
                <s:t xml:space="preserve">Administrator:
3000549 12/12 516pcs
王4a4
</s:t>
              </s:r>
            </s:text>
          </item>
        </commentChain>
      </unresolved>
      <resolved/>
    </commentChains>
    <commentChains s:ref="AL857" rgbClr="FF0000">
      <unresolved>
        <commentChain chainId="93d1327fdb977c60d04cccb0ca16429987084d99">
          <item id="3dd1a000e244cba0ce541f741776a9ae6ffdec25" isNormal="1">
            <s:text>
              <s:r>
                <s:t xml:space="preserve">Administrator:
11/21 上亚马逊外箱贴纸43pcs</s:t>
              </s:r>
            </s:text>
          </item>
        </commentChain>
      </unresolved>
      <resolved/>
    </commentChains>
    <commentChains s:ref="AI858" rgbClr="FF0000">
      <unresolved>
        <commentChain chainId="e3cff2e22a1e9af96b56ad81d2af5fc96a0cabf4">
          <item id="7102cae9dd8a916d68e73e19f9641b85a95a560e" isNormal="1">
            <s:text>
              <s:r>
                <s:t xml:space="preserve">Administrator:
3000549 12/12 492pcs
王4a4
</s:t>
              </s:r>
            </s:text>
          </item>
        </commentChain>
      </unresolved>
      <resolved/>
    </commentChains>
    <commentChains s:ref="AL858" rgbClr="FF0000">
      <unresolved>
        <commentChain chainId="c42cccf5e57f861d6f94ffd0ad9c3c467410d1b1">
          <item id="1eadae5299d733ebc80fd959cc9cecc1d6c71d20" isNormal="1">
            <s:text>
              <s:r>
                <s:t xml:space="preserve">Administrator:
11/21 上亚马逊外箱贴纸41pcs</s:t>
              </s:r>
            </s:text>
          </item>
        </commentChain>
      </unresolved>
      <resolved/>
    </commentChains>
    <commentChains s:ref="AI859" rgbClr="FF0000">
      <unresolved>
        <commentChain chainId="02275b63e1cbd02e40893ac81b0416f19dc6ffa6">
          <item id="17f5a4672177facd7bbb5a09845376bca82de601" isNormal="1">
            <s:text>
              <s:r>
                <s:t xml:space="preserve">Administrator:
3000549 12/12 6096pcs王4b4</s:t>
              </s:r>
            </s:text>
          </item>
        </commentChain>
      </unresolved>
      <resolved/>
    </commentChains>
    <commentChains s:ref="AL859" rgbClr="FF0000">
      <unresolved>
        <commentChain chainId="d48cee46d8bc002b0c376081bd14b074cd1acdff">
          <item id="79bcba4e3f1b5f9e1f8fc6d477d5eb49f2ed381b" isNormal="1">
            <s:text>
              <s:r>
                <s:t xml:space="preserve">Administrator:
11/22 上客供亚马逊外箱贴纸508pcs
</s:t>
              </s:r>
            </s:text>
          </item>
        </commentChain>
      </unresolved>
      <resolved/>
    </commentChains>
    <commentChains s:ref="AI860" rgbClr="FF0000">
      <unresolved>
        <commentChain chainId="5eb047c534ca44e8d199ab4953f1f26634cd13d5">
          <item id="87761099ed96f8bc3f49e08a5ef70491b8d3ec38" isNormal="1">
            <s:text>
              <s:r>
                <s:t xml:space="preserve">Administrator:
3000549 12/12 7752pcs
王4a4</s:t>
              </s:r>
            </s:text>
          </item>
        </commentChain>
      </unresolved>
      <resolved/>
    </commentChains>
    <commentChains s:ref="AL860" rgbClr="FF0000">
      <unresolved>
        <commentChain chainId="40eefafc09224e832688d981b1a0bad5104d57b2">
          <item id="015dbc3ecf9f22bc7f1500b0ff20a0d46f72cb58" isNormal="1">
            <s:text>
              <s:r>
                <s:t xml:space="preserve">Administrator:
11/22 上客供亚马逊外箱贴纸646pcs</s:t>
              </s:r>
            </s:text>
          </item>
        </commentChain>
      </unresolved>
      <resolved/>
    </commentChains>
    <commentChains s:ref="AI861" rgbClr="FF0000">
      <unresolved>
        <commentChain chainId="b05785bca8177f202aa76dee19e238f6fa414332">
          <item id="f913a07126a2392198bb3fb9d3a8f9a1f980746f" isNormal="1">
            <s:text>
              <s:r>
                <s:t xml:space="preserve">Administrator:
1200785 12/13 2704pcs 华3a27</s:t>
              </s:r>
            </s:text>
          </item>
        </commentChain>
      </unresolved>
      <resolved/>
    </commentChains>
    <commentChains s:ref="AL861" rgbClr="FF0000">
      <unresolved>
        <commentChain chainId="8700433f3afa272bf45a24a9fafd50dcc1670008">
          <item id="1f0fb07591c5bf801c407c5833a77079a5bc76e1" isNormal="1">
            <s:text>
              <s:r>
                <s:t xml:space="preserve">Administrator:
12/5 UPC条码贴纸 2704pcs</s:t>
              </s:r>
            </s:text>
          </item>
        </commentChain>
      </unresolved>
      <resolved/>
    </commentChains>
    <commentChains s:ref="AI862" rgbClr="FF0000">
      <unresolved>
        <commentChain chainId="594236f2428a359182c0932630a59a44c4f88c5a">
          <item id="c927b50f397a106682e505e9b2d02bcbc45547c5" isNormal="1">
            <s:text>
              <s:r>
                <s:t xml:space="preserve">Administrator:
1200757 12/11 1248pcs 华3a27</s:t>
              </s:r>
            </s:text>
          </item>
        </commentChain>
      </unresolved>
      <resolved/>
    </commentChains>
    <commentChains s:ref="AL862" rgbClr="FF0000">
      <unresolved>
        <commentChain chainId="096c55b9c0262608e4f9969a1ccb526bf6db7739">
          <item id="ce6669bedd26985e80a131025f8d5b956ac857a6" isNormal="1">
            <s:text>
              <s:r>
                <s:t xml:space="preserve">Administrator:
12/5 进口商贴纸56*52mm 1248pcs
UPC条码贴纸 1248pcs</s:t>
              </s:r>
            </s:text>
          </item>
        </commentChain>
      </unresolved>
      <resolved/>
    </commentChains>
    <commentChains s:ref="AI863" rgbClr="FF0000">
      <unresolved>
        <commentChain chainId="c566c4aa81deb9e5d1d625e21500e4f6cedcaeb8">
          <item id="90ce7ca1fa779ae087ab82e5ecc1a3008de15070" isNormal="1">
            <s:text>
              <s:r>
                <s:t xml:space="preserve">Administrator:
1200958 12/16 948pcs华3b14</s:t>
              </s:r>
            </s:text>
          </item>
        </commentChain>
      </unresolved>
      <resolved/>
    </commentChains>
    <commentChains s:ref="AL863" rgbClr="FF0000">
      <unresolved>
        <commentChain chainId="1dc9a653ac4750c787d0737e2c4066bd37f546f4">
          <item id="889d0e966779d73f6cb39ec3664e4d1c694fa331" isNormal="1">
            <s:text>
              <s:r>
                <s:t xml:space="preserve">Administrator:
11/21 上亚马逊外箱贴纸82pcs
11/22 上空白贴纸1968pcs
上环保标贴纸984pcs
12/9 亚马逊外箱贴纸 82pcs</s:t>
              </s:r>
            </s:text>
          </item>
        </commentChain>
      </unresolved>
      <resolved/>
    </commentChains>
    <commentChains s:ref="AI864" rgbClr="FF0000">
      <unresolved>
        <commentChain chainId="e40cf5442891bf56f56c769c19c5dcd26ff312e3">
          <item id="6c721f42995adfaeb4d8aecba00f0dcca606404a" isNormal="1">
            <s:text>
              <s:r>
                <s:t xml:space="preserve">Administrator:
1200954 12/16 1200pcs 王4a9</s:t>
              </s:r>
            </s:text>
          </item>
        </commentChain>
      </unresolved>
      <resolved/>
    </commentChains>
    <commentChains s:ref="AL864" rgbClr="FF0000">
      <unresolved>
        <commentChain chainId="1ca3a638b659b0af2ed347063930354c8b90a976">
          <item id="8067f32146b2f69b3e319c9b0ffea4cdd0f49f6b" isNormal="1">
            <s:text>
              <s:r>
                <s:t xml:space="preserve">Administrator:
12/1 客供价格贴纸 1235pcs
12/8 进口商贴纸 1200pcs</s:t>
              </s:r>
            </s:text>
          </item>
        </commentChain>
      </unresolved>
      <resolved/>
    </commentChains>
    <commentChains s:ref="AI865" rgbClr="FF0000">
      <unresolved>
        <commentChain chainId="3fe2985f008005923c4c5da0922d3ac91e3d2096">
          <item id="9bddfe6708255622d07669835199342ce0db9465" isNormal="1">
            <s:text>
              <s:r>
                <s:t xml:space="preserve">Administrator:
1200672 12/12 10000pcs王4b8</s:t>
              </s:r>
            </s:text>
          </item>
        </commentChain>
      </unresolved>
      <resolved/>
    </commentChains>
    <commentChains s:ref="AL865" rgbClr="FF0000">
      <unresolved>
        <commentChain chainId="c9cd68f91a8384456a5c84356524e056098668e5">
          <item id="f612606f88ba63e5660657dc522ab223cd8597e4" isNormal="1">
            <s:text>
              <s:r>
                <s:t xml:space="preserve">Administrator:
11/6 上UPC条码贴纸10000pcs
进口商贴纸10000pcs</s:t>
              </s:r>
            </s:text>
          </item>
        </commentChain>
      </unresolved>
      <resolved/>
    </commentChains>
    <commentChains s:ref="AI866" rgbClr="FF0000">
      <unresolved>
        <commentChain chainId="0c33644a0ce30bcbe3f7b73598f71b7692c017d7">
          <item id="b52d90ae3a5db5c7053824dfae1a527e73d4777b" isNormal="1">
            <s:text>
              <s:r>
                <s:t xml:space="preserve">Administrator:
4001139 11/26 150pcs
</s:t>
              </s:r>
            </s:text>
          </item>
        </commentChain>
      </unresolved>
      <resolved/>
    </commentChains>
    <commentChains s:ref="AI867" rgbClr="FF0000">
      <unresolved>
        <commentChain chainId="84e06f20a606654819dbd6b71d651465c4f91000">
          <item id="3caf5a72165f97431d5314ff2ad813df1996ad96" isNormal="1">
            <s:text>
              <s:r>
                <s:t xml:space="preserve">Administrator:
1200379 11/11 回货15PCS</s:t>
              </s:r>
            </s:text>
          </item>
        </commentChain>
      </unresolved>
      <resolved/>
    </commentChains>
    <commentChains s:ref="AI868" rgbClr="FF0000">
      <unresolved>
        <commentChain chainId="16a4f301c6a2fdbeb99c0af4490a570297d123f4">
          <item id="1db81a72296286a702a84c8d7eaeca1b08965365" isNormal="1">
            <s:text>
              <s:r>
                <s:t xml:space="preserve">Administrator:
1200202 12/6 1008pcs王a1</s:t>
              </s:r>
            </s:text>
          </item>
        </commentChain>
      </unresolved>
      <resolved/>
    </commentChains>
    <commentChains s:ref="AI869" rgbClr="FF0000">
      <unresolved>
        <commentChain chainId="c9040103f53ab06cfbcb721d9f5b9b9ceb3d02d7">
          <item id="73d39c5e5e97175433c0db55eea7590fb420d1ed" isNormal="1">
            <s:text>
              <s:r>
                <s:t xml:space="preserve">Administrator:
1200202 12/6 1008pcs
王a栋1
</s:t>
              </s:r>
            </s:text>
          </item>
        </commentChain>
      </unresolved>
      <resolved/>
    </commentChains>
    <commentChains s:ref="AI870" rgbClr="FF0000">
      <unresolved>
        <commentChain chainId="6a77e4ec1098eb60ff9ee7fd14fcb7f81a1cbf87">
          <item id="7d942fc2bedd213eb01675115a2968ecf817583d" isNormal="1">
            <s:text>
              <s:r>
                <s:t xml:space="preserve">Administrator:
3000549 12/12 7000pcs
王4c4</s:t>
              </s:r>
            </s:text>
          </item>
        </commentChain>
      </unresolved>
      <resolved/>
    </commentChains>
    <commentChains s:ref="AL870" rgbClr="FF0000">
      <unresolved>
        <commentChain chainId="894ed70f8797a25e8b46c5a0a4f621c0baa3d113">
          <item id="e99852d87d851886528d0d349a9899475f7cb01d" isNormal="1">
            <s:text>
              <s:r>
                <s:t xml:space="preserve">Administrator:
11/4 上法国回收标贴纸7000pcs</s:t>
              </s:r>
            </s:text>
          </item>
        </commentChain>
      </unresolved>
      <resolved/>
    </commentChains>
    <commentChains s:ref="AI871" rgbClr="FF0000">
      <unresolved>
        <commentChain chainId="938535715f0ab073be1c537ce2a7241b8e5d085a">
          <item id="fd3e60c8b34b1e90f835a623e44f6826f74099ac" isNormal="1">
            <s:text>
              <s:r>
                <s:t xml:space="preserve">Administrator:
3000564 12/15  19760pcs华3a32</s:t>
              </s:r>
            </s:text>
          </item>
        </commentChain>
      </unresolved>
      <resolved/>
    </commentChains>
    <commentChains s:ref="AL871" rgbClr="FF0000">
      <unresolved>
        <commentChain chainId="5f06f596b72f309a0785b7fe21789b85f1b40896">
          <item id="07a499c14b82678682146bea571be4c9a56b46ef" isNormal="1">
            <s:text>
              <s:r>
                <s:t xml:space="preserve">Administrator:
11/18 上客户EAN条码贴纸33280pcs
PDQ数量贴纸8320pcs
两个同PO共用</s:t>
              </s:r>
            </s:text>
          </item>
        </commentChain>
      </unresolved>
      <resolved/>
    </commentChains>
    <commentChains s:ref="AI872" rgbClr="FF0000">
      <unresolved>
        <commentChain chainId="f50ce99449406175f2ac82e465848cca856ea2c5">
          <item id="1c2c98dce501f90d08e74f978362e685525ed98b" isNormal="1">
            <s:text>
              <s:r>
                <s:t xml:space="preserve">Administrator:
3000564 12/15  13520pcs
华3b16</s:t>
              </s:r>
            </s:text>
          </item>
        </commentChain>
      </unresolved>
      <resolved/>
    </commentChains>
    <commentChains s:ref="AI873" rgbClr="FF0000">
      <unresolved>
        <commentChain chainId="ec4c6b4332ec10b80cdfb0ae9891714dd2c9fb85">
          <item id="2160a7bfd6332ba0d78562b113e4721eb1d49f9c" isNormal="1">
            <s:text>
              <s:r>
                <s:t xml:space="preserve">Administrator:
1200954 12/16 1968pcs
王4c7
</s:t>
              </s:r>
            </s:text>
          </item>
        </commentChain>
      </unresolved>
      <resolved/>
    </commentChains>
    <commentChains s:ref="AL873" rgbClr="FF0000">
      <unresolved>
        <commentChain chainId="9235ccdf0bf6616575428d161d84ff80a2e079ee">
          <item id="5a69ce981084ed56d805c974cacb4ff1ee2a0157" isNormal="1">
            <s:text>
              <s:r>
                <s:t xml:space="preserve">Administrator:
12/9 UPC贴纸 1968pcs</s:t>
              </s:r>
            </s:text>
          </item>
        </commentChain>
      </unresolved>
      <resolved/>
    </commentChains>
    <commentChains s:ref="AI874" rgbClr="FF0000">
      <unresolved>
        <commentChain chainId="9e7d159a8d07c2a268bbef7f2a1deb692d4065ba">
          <item id="516b89d134d48dd9b82dda4a861343ddaac82324" isNormal="1">
            <s:text>
              <s:r>
                <s:t xml:space="preserve">Administrator:
1200954 12/16 1722pcs王4c7
1600039 12/23 6pcs</s:t>
              </s:r>
            </s:text>
          </item>
        </commentChain>
      </unresolved>
      <resolved/>
    </commentChains>
    <commentChains s:ref="AL874" rgbClr="FF0000">
      <unresolved>
        <commentChain chainId="b164d4a8439f3ddd39eb956c319d4cc806d28650">
          <item id="920b820aabe39c7aeb7a53c72236c89691224371" isNormal="1">
            <s:text>
              <s:r>
                <s:t xml:space="preserve">Administrator:
12/9 UPC贴纸 1728pcs
</s:t>
              </s:r>
            </s:text>
          </item>
        </commentChain>
      </unresolved>
      <resolved/>
    </commentChains>
    <commentChains s:ref="AI875" rgbClr="FF0000">
      <unresolved>
        <commentChain chainId="5f22b50109f0c69b879bc2db640dad641c29a313">
          <item id="f4d7d49f0f81c809f51e75c51101ea8fcf498eca" isNormal="1">
            <s:text>
              <s:r>
                <s:t xml:space="preserve">Administrator:
1200954 12/16 1968pcs王4c7
</s:t>
              </s:r>
            </s:text>
          </item>
        </commentChain>
      </unresolved>
      <resolved/>
    </commentChains>
    <commentChains s:ref="AL875" rgbClr="FF0000">
      <unresolved>
        <commentChain chainId="c0ead5009eab0cad862c451ac35320d0dca02525">
          <item id="350aa4e23202a6602c5e3645234ae92a37437c38" isNormal="1">
            <s:text>
              <s:r>
                <s:t xml:space="preserve">Administrator:
12/9 UPC贴纸 1968pcs
</s:t>
              </s:r>
            </s:text>
          </item>
        </commentChain>
      </unresolved>
      <resolved/>
    </commentChains>
    <commentChains s:ref="AI876" rgbClr="FF0000">
      <unresolved>
        <commentChain chainId="6f6a8d1c0d1d8abb5761631d55635a0c1e4af377">
          <item id="7aea0d76965fd3fb428f1edadcab74b2981a7949" isNormal="1">
            <s:text>
              <s:r>
                <s:t xml:space="preserve">Administrator:
1200945 12/16 1000pcs 王4a8</s:t>
              </s:r>
            </s:text>
          </item>
        </commentChain>
      </unresolved>
      <resolved/>
    </commentChains>
    <commentChains s:ref="AL876" rgbClr="FF0000">
      <unresolved>
        <commentChain chainId="a5e6a6f9c3107630eaba12d57f439ce8066fc664">
          <item id="2a547298fa9c2d3a1a0fab18fa0141e9393f2f84" isNormal="1">
            <s:text>
              <s:r>
                <s:t xml:space="preserve">Administrator:
12/1 UPC贴纸32*17mm 1000pcs
进口商贴纸 1500pcs</s:t>
              </s:r>
            </s:text>
          </item>
        </commentChain>
      </unresolved>
      <resolved/>
    </commentChains>
    <commentChains s:ref="AI877" rgbClr="FF0000">
      <unresolved>
        <commentChain chainId="68fa9a068016bad2e5a5c6b0805976b9969f2087">
          <item id="bf770db9766d75672df18dac655d4dc7f587fb36" isNormal="1">
            <s:text>
              <s:r>
                <s:t xml:space="preserve">Administrator:
1200937 12/16 23040pcs 华3a19</s:t>
              </s:r>
            </s:text>
          </item>
        </commentChain>
      </unresolved>
      <resolved/>
    </commentChains>
    <commentChains s:ref="AI878" rgbClr="FF0000">
      <unresolved>
        <commentChain chainId="3d938886fdfc045836b90be970fe9535656f7b1a">
          <item id="95de372e39b1bfef9706f196ba138a7f2763a734" isNormal="1">
            <s:text>
              <s:r>
                <s:t xml:space="preserve">Administrator:
1200961 12/16 15360pcs华3a12</s:t>
              </s:r>
            </s:text>
          </item>
        </commentChain>
      </unresolved>
      <resolved/>
    </commentChains>
    <commentChains s:ref="AI879" rgbClr="FF0000">
      <unresolved>
        <commentChain chainId="e370f85229f574a89fa82a7831715a10facaf8a5">
          <item id="521ce32e8cadc011c4632f619eff6eb7fb1d79ba" isNormal="1">
            <s:text>
              <s:r>
                <s:t xml:space="preserve">Administrator:
1200958 12/16 22960pcs
华3a241200961 12/16 25040pcs
华3a24</s:t>
              </s:r>
            </s:text>
          </item>
        </commentChain>
      </unresolved>
      <resolved/>
    </commentChains>
    <commentChains s:ref="AI880" rgbClr="FF0000">
      <unresolved>
        <commentChain chainId="c7ae1fc116d75141f697629ceb150458729674e3">
          <item id="ad227165d8566285096bbd48642ae49808193355" isNormal="1">
            <s:text>
              <s:r>
                <s:t xml:space="preserve">Administrator:
1200961 12/16 8064pcs
华3a21
1200937 12/16 10176pcs
华3a21</s:t>
              </s:r>
            </s:text>
          </item>
        </commentChain>
      </unresolved>
      <resolved/>
    </commentChains>
    <commentChains s:ref="AI881" rgbClr="FF0000">
      <unresolved>
        <commentChain chainId="bacd67b785a4d3a90e28f371304f91039c6bf169">
          <item id="d04e0c621906afbce3315664f7990d9f19644635" isNormal="1">
            <s:text>
              <s:r>
                <s:t xml:space="preserve">Administrator:
1200961 12/16 25920
pcs
华3a14</s:t>
              </s:r>
            </s:text>
          </item>
        </commentChain>
      </unresolved>
      <resolved/>
    </commentChains>
    <commentChains s:ref="AI882" rgbClr="FF0000">
      <unresolved>
        <commentChain chainId="dd432d29a4701ff326958d1846f616b8f62338b4">
          <item id="452598371e25a836e3d6dfc9def61fb7b14f4fa2" isNormal="1">
            <s:text>
              <s:r>
                <s:t xml:space="preserve">Administrator:
1200937 12/16 2250pcs
华3b14</s:t>
              </s:r>
            </s:text>
          </item>
        </commentChain>
      </unresolved>
      <resolved/>
    </commentChains>
    <commentChains s:ref="AL882" rgbClr="FF0000">
      <unresolved>
        <commentChain chainId="e32dfe3f10de37c58843ff766752902bfdefb3e9">
          <item id="9bb1ba3f89c2b340d147dbc6f5fa300f4e9a8924" isNormal="1">
            <s:text>
              <s:r>
                <s:t xml:space="preserve">Administrator:
12/1 客供价格贴纸 2306pcs
12/8 UPC贴纸34*18mm1200pcs 
进口商贴纸 3450pcs</s:t>
              </s:r>
            </s:text>
          </item>
        </commentChain>
      </unresolved>
      <resolved/>
    </commentChains>
    <commentChains s:ref="AI883" rgbClr="FF0000">
      <unresolved>
        <commentChain chainId="5fec9bb95f015e170bba67459b2fa64606469efc">
          <item id="2418f1fbb51676a35ab5b7af645132462384334a" isNormal="1">
            <s:text>
              <s:r>
                <s:t xml:space="preserve">Administrator:
1200769 12/12 3750pcs王4b1</s:t>
              </s:r>
            </s:text>
          </item>
        </commentChain>
      </unresolved>
      <resolved/>
    </commentChains>
    <commentChains s:ref="AI884" rgbClr="FF0000">
      <unresolved>
        <commentChain chainId="74aa8df5a9cf75a7d04a9e08e9c97ab433170bc5">
          <item id="3d81ee062551fd2d1af387b250291fe4528ffbb1" isNormal="1">
            <s:text>
              <s:r>
                <s:t xml:space="preserve">Administrator:
1200945 12/16 728pcs 王4a9
1200930 12/16 832pcs 直走</s:t>
              </s:r>
            </s:text>
          </item>
        </commentChain>
      </unresolved>
      <resolved/>
    </commentChains>
    <commentChains s:ref="AL884" rgbClr="FF0000">
      <unresolved>
        <commentChain chainId="bf91061bfedf8d676966493798387f5fdc61d358">
          <item id="bffcf862a3ab52ab01def724b150f44b43c520b0" isNormal="1">
            <s:text>
              <s:r>
                <s:t xml:space="preserve">Administrator:
11/22 上客供警告语贴纸贴收藏指南1610pcs
客供警语贴纸贴说明书1610pcs
客供警告语贴纸贴球底部1610pcs
12/1 UPC 条码贴纸 1560pcs</s:t>
              </s:r>
            </s:text>
          </item>
        </commentChain>
      </unresolved>
      <resolved/>
    </commentChains>
    <commentChains s:ref="AI885" rgbClr="FF0000">
      <unresolved>
        <commentChain chainId="16a6e0880d1071f94e42b3d72f6eb17b9fa399ec">
          <item id="160d795477731effef23735928f3d2a61c9002a8" isNormal="1">
            <s:text>
              <s:r>
                <s:t xml:space="preserve">Administrator:
12/16 3000567 576pcs</s:t>
              </s:r>
            </s:text>
          </item>
        </commentChain>
      </unresolved>
      <resolved/>
    </commentChains>
    <commentChains s:ref="AL885" rgbClr="FF0000">
      <unresolved>
        <commentChain chainId="c8b97dc1caf98ffab36de557bd13672cc3e1754e">
          <item id="52d92d7276ea3b8691f5702f583cf230e647b335" isNormal="1">
            <s:text>
              <s:r>
                <s:t xml:space="preserve">Administrator:
11/22 上客供警告语贴纸贴收藏指南1192pcs
客供警贴纸1192pcs
客供警语贴纸贴说明书1192pcs
客供电池警告语贴纸1191pcs
客供警告语贴纸贴球底部1192pcs
客供中文警告说明书600pcs
12/1 空白贴纸34*18mm 1152pcs</s:t>
              </s:r>
            </s:text>
          </item>
        </commentChain>
      </unresolved>
      <resolved/>
    </commentChains>
    <commentChains s:ref="AI886" rgbClr="FF0000">
      <unresolved>
        <commentChain chainId="9f01a7c31d7eb3c26e7789b821412b88a62b4b47">
          <item id="565d2910cfb0fc0c505968b0c5cd1b4fc91c9f0e" isNormal="1">
            <s:text>
              <s:r>
                <s:t xml:space="preserve">Administrator:
1201000 12/18 1050pcs
华3b15</s:t>
              </s:r>
            </s:text>
          </item>
        </commentChain>
      </unresolved>
      <resolved/>
    </commentChains>
    <commentChains s:ref="AL886" rgbClr="FF0000">
      <unresolved>
        <commentChain chainId="132597eef697e94cc7c30fa0adabefaa219a8b72">
          <item id="7c2a690ddbca8a30931bf26c9ac19fd5b7f48dfb" isNormal="1">
            <s:text>
              <s:r>
                <s:t xml:space="preserve">Administrator:
11/29 上UPC贴纸1050pcs
进口商贴纸1050pcs
</s:t>
              </s:r>
            </s:text>
          </item>
        </commentChain>
      </unresolved>
      <resolved/>
    </commentChains>
    <commentChains s:ref="AI887" rgbClr="FF0000">
      <unresolved>
        <commentChain chainId="eb5fac6aca5b62010aee77c4fe60e39a0a1d2bf0">
          <item id="98ba00e3e9a26f0787b8f32daba4411569253794" isNormal="1">
            <s:text>
              <s:r>
                <s:t xml:space="preserve">Administrator:
1201000 12/18 504pcs华1f11</s:t>
              </s:r>
            </s:text>
          </item>
        </commentChain>
      </unresolved>
      <resolved/>
    </commentChains>
    <commentChains s:ref="AL887" rgbClr="FF0000">
      <unresolved>
        <commentChain chainId="30c24a3b5e6f10116c0670e11af95998236495b3">
          <item id="362dcc4154dc1e5c58e360942720d277d240ec98" isNormal="1">
            <s:text>
              <s:r>
                <s:t xml:space="preserve">Administrator:
11/3 上客户款号EAN条码贴纸1008pcs
空白贴纸1008pcs
德语警告语贴纸1008pcs</s:t>
              </s:r>
            </s:text>
          </item>
        </commentChain>
      </unresolved>
      <resolved/>
    </commentChains>
    <commentChains s:ref="AI888" rgbClr="FF0000">
      <unresolved>
        <commentChain chainId="f00102ff22087a0f874f1d5eda7e672c359f4028">
          <item id="a8208321a29bf1537d37103a0b8952e87335ca69" isNormal="1">
            <s:text>
              <s:r>
                <s:t xml:space="preserve">Administrator:
1200945 12/16 
1008pcs 直走</s:t>
              </s:r>
            </s:text>
          </item>
        </commentChain>
      </unresolved>
      <resolved/>
    </commentChains>
    <commentChains s:ref="AL888" rgbClr="FF0000">
      <unresolved>
        <commentChain chainId="c5be4fcf12b44ad073ee605bb1f71326167df242">
          <item id="94fff374d939f3775d9b1c6b75e3c9438293a188" isNormal="1">
            <s:text>
              <s:r>
                <s:t xml:space="preserve">Administrator:
12/3 冰棒款-说明书荷兰语 1008pcs
蛋糕款-说明书荷兰语 1008pcs
布丁款-说明书荷兰语 1008pcs</s:t>
              </s:r>
            </s:text>
          </item>
        </commentChain>
      </unresolved>
      <resolved/>
    </commentChains>
    <commentChains s:ref="AI889" rgbClr="FF0000">
      <unresolved>
        <commentChain chainId="4c0c7e6e7437977f23860c6611d4ad5737d95ffd">
          <item id="1753d8bcbcb267c2c65ee16442c02f7bb8a9ac81" isNormal="1">
            <s:text>
              <s:r>
                <s:t xml:space="preserve">Administrator:
1200994 12/18 1200pcs 华3a32</s:t>
              </s:r>
            </s:text>
          </item>
        </commentChain>
      </unresolved>
      <resolved/>
    </commentChains>
    <commentChains s:ref="AL889" rgbClr="FF0000">
      <unresolved>
        <commentChain chainId="9eaddf45f3e74349ba464ef5e4d24bf1bb3aad20">
          <item id="e4e5f4051fcd23729d386031195d8cec3f91f912" isNormal="1">
            <s:text>
              <s:r>
                <s:t xml:space="preserve">Administrator:
11/18 上空白贴纸2400pcs
12/24 上客供价格贴纸1320pcs
</s:t>
              </s:r>
            </s:text>
          </item>
        </commentChain>
      </unresolved>
      <resolved/>
    </commentChains>
    <commentChains s:ref="AI890" rgbClr="FF0000">
      <unresolved>
        <commentChain chainId="9d6d0285dbbce3a2ffb9e5a3bd1ee8a3f0550d2f">
          <item id="535ff6a0b32210dc65cb5f4fcf3198624d13f63d" isNormal="1">
            <s:text>
              <s:r>
                <s:t xml:space="preserve">Administrator:
1200994 12/18 996pcs
华3b17</s:t>
              </s:r>
            </s:text>
          </item>
        </commentChain>
      </unresolved>
      <resolved/>
    </commentChains>
    <commentChains s:ref="AL890" rgbClr="FF0000">
      <unresolved>
        <commentChain chainId="a03922e45c080a2e8450e14c7206805d0a3e7df5">
          <item id="41cd1747c42e802660a9a639353b4dde94cd9d2e" isNormal="1">
            <s:text>
              <s:r>
                <s:t xml:space="preserve">Administrator:
11/18 上空白贴纸1992pcs
12/24 上客供价格贴纸1096pcs
</s:t>
              </s:r>
            </s:text>
          </item>
        </commentChain>
      </unresolved>
      <resolved/>
    </commentChains>
    <commentChains s:ref="AI891" rgbClr="FF0000">
      <unresolved>
        <commentChain chainId="8ad10b71f0cafd2547040b59ac9f46a3fa6e9c34">
          <item id="fdbf6cd6f729678f2dba1af6694df77b03ceaf44" isNormal="1">
            <s:text>
              <s:r>
                <s:t xml:space="preserve">Administrator:
1201000 12/18 1500pcs
华3b15</s:t>
              </s:r>
            </s:text>
          </item>
        </commentChain>
      </unresolved>
      <resolved/>
    </commentChains>
    <commentChains s:ref="AL891" rgbClr="FF0000">
      <unresolved>
        <commentChain chainId="53adb4be16af967861307bd2444ea7812862d4ed">
          <item id="59932e4bd15c510ab49318a0659e28160441c4aa" isNormal="1">
            <s:text>
              <s:r>
                <s:t xml:space="preserve">Administrator:
11/18 上进口商贴纸1500pcs</s:t>
              </s:r>
            </s:text>
          </item>
        </commentChain>
      </unresolved>
      <resolved/>
    </commentChains>
    <commentChains s:ref="AI892" rgbClr="FF0000">
      <unresolved>
        <commentChain chainId="1eb7878738593563035ac9b391b1356ac7ce9c47">
          <item id="4eea466eb4b622ddbc445221cc93fd74cd97309d" isNormal="1">
            <s:text>
              <s:r>
                <s:t xml:space="preserve">Administrator:
1201000 12/18 1250pcs
华3b15</s:t>
              </s:r>
            </s:text>
          </item>
        </commentChain>
      </unresolved>
      <resolved/>
    </commentChains>
    <commentChains s:ref="AL892" rgbClr="FF0000">
      <unresolved>
        <commentChain chainId="6733ae1959937f659fa8153224b3c3ef34321899">
          <item id="1671a9a617ca189b99a462844c2cc2420fcb8911" isNormal="1">
            <s:text>
              <s:r>
                <s:t xml:space="preserve">Administrator:
11/29 上UPC贴纸1250pcs
进口商贴纸1250pcs
</s:t>
              </s:r>
            </s:text>
          </item>
        </commentChain>
      </unresolved>
      <resolved/>
    </commentChains>
    <commentChains s:ref="AL893" rgbClr="FF0000">
      <unresolved>
        <commentChain chainId="361d88829cd02e485253e7b7b1f78ac5fe607ae9">
          <item id="6cdeaf63393e289f86c31686bb979f15c1f6369d" isNormal="1">
            <s:text>
              <s:r>
                <s:t xml:space="preserve">Administrator:
9/23 上客供芯片贴纸9996pcs
12/10 颜色贴纸 9996pcs
</s:t>
              </s:r>
            </s:text>
          </item>
        </commentChain>
      </unresolved>
      <resolved/>
    </commentChains>
    <commentChains s:ref="AI894" rgbClr="FF0000">
      <unresolved>
        <commentChain chainId="7f2a92ea1f0d125aa62885e03613eb9e9fbc4255">
          <item id="1be240d98a350545f0672fe3c21af034adcdb59e" isNormal="1">
            <s:text>
              <s:r>
                <s:t xml:space="preserve">Administrator:
1200994 12/18 2004pcs
华3b15</s:t>
              </s:r>
            </s:text>
          </item>
        </commentChain>
      </unresolved>
      <resolved/>
    </commentChains>
    <commentChains s:ref="AL894" rgbClr="FF0000">
      <unresolved>
        <commentChain chainId="6a37ac8eab6848cccb1c156ef228e702bbc0f995">
          <item id="451cf104e4105af8a9947ba264ca1b356114089e" isNormal="1">
            <s:text>
              <s:r>
                <s:t xml:space="preserve">Administrator:
12/1 客供价格贴纸 2100pcs</s:t>
              </s:r>
            </s:text>
          </item>
        </commentChain>
      </unresolved>
      <resolved/>
    </commentChains>
    <commentChains s:ref="AI895" rgbClr="FF0000">
      <unresolved>
        <commentChain chainId="e0b00c32a6fdcf5503942ca342e5a950104dc11a">
          <item id="2d5bb4f80c76f5b0d7c93d07fcb627a72f27ceda" isNormal="1">
            <s:text>
              <s:r>
                <s:t xml:space="preserve">Administrator:
3000552 12/13 12100pcs
华3b14</s:t>
              </s:r>
            </s:text>
          </item>
        </commentChain>
      </unresolved>
      <resolved/>
    </commentChains>
    <commentChains s:ref="AL895" rgbClr="FF0000">
      <unresolved>
        <commentChain chainId="271f39c4aaa7e608886a2907331106735ee409d7">
          <item id="3bd0654c622a68b7ff5bf3d630d39ce6de8bf2bc" isNormal="1">
            <s:text>
              <s:r>
                <s:t xml:space="preserve">Administrator:
12/8 UPC条码贴纸 1200pcs
进口商贴纸41*35mm 1200pcs</s:t>
              </s:r>
            </s:text>
          </item>
        </commentChain>
      </unresolved>
      <resolved/>
    </commentChains>
    <commentChains s:ref="AI896" rgbClr="FF0000">
      <unresolved>
        <commentChain chainId="d37e0b8ee25b41d67aac5a0908f5b6df7f5dff0c">
          <item id="91b4d6d1cd93e34ed130fbbd2cb77ef7f43d056c" isNormal="1">
            <s:text>
              <s:r>
                <s:t xml:space="preserve">Administrator:
1200937 12/16 1768pcs
 华1f3
1201000 12/18 104pcs 华1f3</s:t>
              </s:r>
            </s:text>
          </item>
        </commentChain>
      </unresolved>
      <resolved/>
    </commentChains>
    <commentChains s:ref="AL896" rgbClr="FF0000">
      <unresolved>
        <commentChain chainId="a3f045b26881ce691a69c564b536f911f49252e4">
          <item id="8ba5ebaf70787c4e833455eb129d7d3fed10555c" isNormal="1">
            <s:text>
              <s:r>
                <s:t xml:space="preserve">Administrator:
12/5 UPC条码贴纸 1872pcs</s:t>
              </s:r>
            </s:text>
          </item>
        </commentChain>
      </unresolved>
      <resolved/>
    </commentChains>
    <commentChains s:ref="AI897" rgbClr="FF0000">
      <unresolved>
        <commentChain chainId="abc9adbb3ee6e1db887c6ffe285288b586d3e494">
          <item id="5c47b036512d46b4666bc3e275e4eb0c2a30e195" isNormal="1">
            <s:text>
              <s:r>
                <s:t xml:space="preserve">Administrator:
1200921 12/15 7008pcs王4a8</s:t>
              </s:r>
            </s:text>
          </item>
        </commentChain>
      </unresolved>
      <resolved/>
    </commentChains>
    <commentChains s:ref="AL897" rgbClr="FF0000">
      <unresolved>
        <commentChain chainId="4828fddc495a5cdc4d43159a6f9e1f59b7c64b62">
          <item id="ea65dd853c0326ee2ee0d092a06d9056f0017f7d" isNormal="1">
            <s:text>
              <s:r>
                <s:t xml:space="preserve">Administrator:
12/3 WIC贴贴纸41*19mm 7008pcs
12/17 WIC贴纸 补订495pcs</s:t>
              </s:r>
            </s:text>
          </item>
        </commentChain>
      </unresolved>
      <resolved/>
    </commentChains>
    <commentChains s:ref="AI898" rgbClr="FF0000">
      <unresolved>
        <commentChain chainId="3387d7222752fe36763527740b61a6cf2064c83e">
          <item id="6de3d48fdef886c5a8336c52e8f384641a911526" isNormal="1">
            <s:text>
              <s:r>
                <s:t xml:space="preserve">Administrator:
1201037 12/22 750pcs王4c5</s:t>
              </s:r>
            </s:text>
          </item>
        </commentChain>
      </unresolved>
      <resolved/>
    </commentChains>
    <commentChains s:ref="AL898" rgbClr="FF0000">
      <unresolved>
        <commentChain chainId="5570f091a02ec8f6e9287a58e766ec4daba7342d">
          <item id="c606ef91bcb68b123ac57cb82a9994214b3192af" isNormal="1">
            <s:text>
              <s:r>
                <s:t xml:space="preserve">Administrator:
11/4 上警语贴纸750pcs</s:t>
              </s:r>
            </s:text>
          </item>
        </commentChain>
      </unresolved>
      <resolved/>
    </commentChains>
    <commentChains s:ref="AI899" rgbClr="FF0000">
      <unresolved>
        <commentChain chainId="fdae0e776ec97c3b85154b75ffbcd8dd915780ea">
          <item id="3f50332eac999b12fed67ac51a37b6d2687d6adb" isNormal="1">
            <s:text>
              <s:r>
                <s:t xml:space="preserve">Administrator:
1600019 12/22 3025pcs 王4c5</s:t>
              </s:r>
            </s:text>
          </item>
        </commentChain>
      </unresolved>
      <resolved/>
    </commentChains>
    <commentChains s:ref="AL899" rgbClr="FF0000">
      <unresolved>
        <commentChain chainId="32fa5e22a6e4d229505d13d773a359a1ddc57f35">
          <item id="2682a2c68b0b912dffb0e1c2a046c469e5ec8bf5" isNormal="1">
            <s:text>
              <s:r>
                <s:t xml:space="preserve">Administrator:
12/3 法国回收标贴纸 3025pcs</s:t>
              </s:r>
            </s:text>
          </item>
        </commentChain>
      </unresolved>
      <resolved/>
    </commentChains>
    <commentChains s:ref="AI900" rgbClr="FF0000">
      <unresolved>
        <commentChain chainId="702b7c7437d6a668b5b31465429c1e88e0fc9317">
          <item id="0d2147860a1e88b1153f82be9e5eebf50dd61ecd" isNormal="1">
            <s:text>
              <s:r>
                <s:t xml:space="preserve">Administrator:
3000576 12/18 234pcs
华3b17</s:t>
              </s:r>
            </s:text>
          </item>
        </commentChain>
      </unresolved>
      <resolved/>
    </commentChains>
    <commentChains s:ref="AL900" rgbClr="FF0000">
      <unresolved>
        <commentChain chainId="79a05b1852b25e134c160d8922cff41308a361cb">
          <item id="256bcde12f08b457ce4ad53dce12e5ec0b6cfb2b" isNormal="1">
            <s:text>
              <s:r>
                <s:t xml:space="preserve">Administrator:
12/4 客供外箱贴纸 18pcs
</s:t>
              </s:r>
            </s:text>
          </item>
        </commentChain>
      </unresolved>
      <resolved/>
    </commentChains>
    <commentChains s:ref="AI901" rgbClr="FF0000">
      <unresolved>
        <commentChain chainId="2600f0f0878706ced097e6840be624fd024a94dd">
          <item id="e5d6caef6a99cf714e03a4ddae00d511ba05b07f" isNormal="1">
            <s:text>
              <s:r>
                <s:t xml:space="preserve">Administrator:
3000576 12/18 1456pcs
华3a26</s:t>
              </s:r>
            </s:text>
          </item>
        </commentChain>
      </unresolved>
      <resolved/>
    </commentChains>
    <commentChains s:ref="AL901" rgbClr="FF0000">
      <unresolved>
        <commentChain chainId="28d8d318e3c1946196d14bcd5a7e0f66113bb63a">
          <item id="e9cd8df5efbe8c2fb9c171273d0baed69f0eb7a6" isNormal="1">
            <s:text>
              <s:r>
                <s:t xml:space="preserve">Administrator:
12/4 客供外箱贴纸 112pcs
12/5 价格贴纸41*30mm 1456pcs</s:t>
              </s:r>
            </s:text>
          </item>
        </commentChain>
      </unresolved>
      <resolved/>
    </commentChains>
    <commentChains s:ref="AI902" rgbClr="FF0000">
      <unresolved>
        <commentChain chainId="e832fc0dbb5d27c44ac8f834816535f01ba4c302">
          <item id="f2a8da95de21a1e9c3ebf168df9f327fb5bda7bc" isNormal="1">
            <s:text>
              <s:r>
                <s:t xml:space="preserve">Administrator:
1201000 12/18 18432pcs
华3a22
1200981 12/18 13216pcs 华3a22
1200917 12/19 32PCS 华3a22</s:t>
              </s:r>
            </s:text>
          </item>
        </commentChain>
      </unresolved>
      <resolved/>
    </commentChains>
    <commentChains s:ref="AI903" rgbClr="FF0000">
      <unresolved>
        <commentChain chainId="38897648218dec6990747257f097f527a506ea23">
          <item id="052f7ff5eaaf7f4711c5c9cc75ade0713cf8ef5c" isNormal="1">
            <s:text>
              <s:r>
                <s:t xml:space="preserve">Administrator:
1201007 12/19 35000PCS 华3a21</s:t>
              </s:r>
            </s:text>
          </item>
        </commentChain>
      </unresolved>
      <resolved/>
    </commentChains>
    <commentChains s:ref="AL903" rgbClr="FF0000">
      <unresolved>
        <commentChain chainId="c51f1882bdf9511fbbf15d90bc59372759cc2076">
          <item id="e35ba3a5c3be36cbe316606dc9f84b5456234d51" isNormal="1">
            <s:text>
              <s:r>
                <s:t xml:space="preserve">Administrator:
12/27 上客供外箱条码贴纸1414pcs</s:t>
              </s:r>
            </s:text>
          </item>
        </commentChain>
      </unresolved>
      <resolved/>
    </commentChains>
    <commentChains s:ref="AI904" rgbClr="FF0000">
      <unresolved>
        <commentChain chainId="e4e30d0a02fb88f4498de0ed070a74d1e121ed26">
          <item id="73db8d2835c2a4683f0bf38ef473848cfe018915" isNormal="1">
            <s:text>
              <s:r>
                <s:t xml:space="preserve">Administrator:
1200162 12/19 12116PCS 王4b3</s:t>
              </s:r>
            </s:text>
          </item>
        </commentChain>
      </unresolved>
      <resolved/>
    </commentChains>
    <commentChains s:ref="AL904" rgbClr="FF0000">
      <unresolved>
        <commentChain chainId="8b0663b3787b34c35545d39a6659d80626880e49">
          <item id="246a50d51625ca06e671c603e4f918fac0f5f31e" isNormal="1">
            <s:text>
              <s:r>
                <s:t xml:space="preserve">Administrator:
12/9 进口商贴纸 12116pcs
12/10 UPC 条码贴纸 12116pcs </s:t>
              </s:r>
            </s:text>
          </item>
        </commentChain>
      </unresolved>
      <resolved/>
    </commentChains>
    <commentChains s:ref="AP904" rgbClr="FF0000">
      <unresolved>
        <commentChain chainId="bf1a5325d6c8c1e9a778ce11e3f4dea0bb253351">
          <item id="0fe68e214801fb138234200ae03fe8d82e484704" isNormal="1">
            <s:text>
              <s:r>
                <s:t xml:space="preserve">RR:
客人接受1L收缩膜</s:t>
              </s:r>
            </s:text>
          </item>
        </commentChain>
      </unresolved>
      <resolved/>
    </commentChains>
    <commentChains s:ref="AI905" rgbClr="FF0000">
      <unresolved>
        <commentChain chainId="ded013a03388336b1fb4868112b36ffe1edd9ca2">
          <item id="64df4dad24adca255b32cc10795f30e4663311fb" isNormal="1">
            <s:text>
              <s:r>
                <s:t xml:space="preserve">Administrator:
1201037 12/22 492pcs王4c5</s:t>
              </s:r>
            </s:text>
          </item>
        </commentChain>
      </unresolved>
      <resolved/>
    </commentChains>
    <commentChains s:ref="AL905" rgbClr="FF0000">
      <unresolved>
        <commentChain chainId="ba5af49378f0a8a358fb1da31f72791ceddfb517">
          <item id="974b89ccaa913ecd09b9be1c647b1faf005986db" isNormal="1">
            <s:text>
              <s:r>
                <s:t xml:space="preserve">Administrator:
12/5 空白贴纸34*18mm 984pcs
EAN贴纸25*20mm 492pcs
警告语贴纸28*25mm 492pcs
12/9 EAN贴纸 492pcs
警告语贴纸 492pcs
空白贴纸 492pcs</s:t>
              </s:r>
            </s:text>
          </item>
        </commentChain>
      </unresolved>
      <resolved/>
    </commentChains>
    <commentChains s:ref="AI906" rgbClr="FF0000">
      <unresolved>
        <commentChain chainId="506121edb72ee4dc5687c59c88aae217e4019fc1">
          <item id="eee6fe0cb2d471d72c785f2dbfc47075119e3648" isNormal="1">
            <s:text>
              <s:r>
                <s:t xml:space="preserve">Administrator:
1600063 12/25 770pcs 文本云</s:t>
              </s:r>
            </s:text>
          </item>
        </commentChain>
      </unresolved>
      <resolved/>
    </commentChains>
    <commentChains s:ref="AP906" rgbClr="FF0000">
      <unresolved>
        <commentChain chainId="ca31062fe1635c4e4c975f2690c76abf0ff89d82">
          <item id="0fcae88465e5cea6c9c258f59ae58c0dd55eef12" isNormal="1">
            <s:text>
              <s:r>
                <s:t xml:space="preserve">RR:
客人接受1L收缩膜</s:t>
              </s:r>
            </s:text>
          </item>
        </commentChain>
      </unresolved>
      <resolved/>
    </commentChains>
    <commentChains s:ref="AI907" rgbClr="FF0000">
      <unresolved>
        <commentChain chainId="fba33cd47d946bc390ef9754e55095f0e02e7872">
          <item id="d497aee8f409757b512c92731811430a1af89b66" isNormal="1">
            <s:text>
              <s:r>
                <s:t xml:space="preserve">Administrator:
1600019 12/22 11500pcs王4a6</s:t>
              </s:r>
            </s:text>
          </item>
        </commentChain>
      </unresolved>
      <resolved/>
    </commentChains>
    <commentChains s:ref="AL907" rgbClr="FF0000">
      <unresolved>
        <commentChain chainId="b672cd61fb325729219208622a67aaef85f5b28a">
          <item id="fc1bbe02ffe2a5240f0adf34dfecfc12ada681c9" isNormal="1">
            <s:text>
              <s:r>
                <s:t xml:space="preserve">Administrator:
12/9 进口商贴纸 11500pcs
UPC贴纸 11500pcs
12/9 外箱贴纸 460pcs</s:t>
              </s:r>
            </s:text>
          </item>
        </commentChain>
      </unresolved>
      <resolved/>
    </commentChains>
    <commentChains s:ref="AI908" rgbClr="FF0000">
      <unresolved>
        <commentChain chainId="222332c80062a681a09862a9ebc630acbd926494">
          <item id="9e2c22a442ac6616569eee384434e9c0160e8cdc" isNormal="1">
            <s:text>
              <s:r>
                <s:t xml:space="preserve">Administrator:
1900062 12/25 600pcs
华3b13</s:t>
              </s:r>
            </s:text>
          </item>
        </commentChain>
      </unresolved>
      <resolved/>
    </commentChains>
    <commentChains s:ref="AI909" rgbClr="FF0000">
      <unresolved>
        <commentChain chainId="8c0ba3425b094c886acea9b9be6c08dbde583d66">
          <item id="baef582b838b5e60609b91edec0cf0a6f7056886" isNormal="1">
            <s:text>
              <s:r>
                <s:t xml:space="preserve">Administrator:
1600023 12/22 4950pcs 王1f3
1600040 12/23 50pcs 王1f3   </s:t>
              </s:r>
            </s:text>
          </item>
        </commentChain>
      </unresolved>
      <resolved/>
    </commentChains>
    <commentChains s:ref="AL909" rgbClr="FF0000">
      <unresolved>
        <commentChain chainId="ebe2f88f7b1ed1e137af8963a8287da81a332593">
          <item id="d6f3708da3a575385bd204fcdd5a72b6eb808a51" isNormal="1">
            <s:text>
              <s:r>
                <s:t xml:space="preserve">Administrator:
11/18 上UPC贴纸5000pcs
进口商贴纸5000pcs
</s:t>
              </s:r>
            </s:text>
          </item>
        </commentChain>
      </unresolved>
      <resolved/>
    </commentChains>
    <commentChains s:ref="AI910" rgbClr="FF0000">
      <unresolved>
        <commentChain chainId="c05ebaac7a90345ac3c3e2eaafaa7a6a145fdb0f">
          <item id="062150ef53206e01d577e505be5e9e512b58274b" isNormal="1">
            <s:text>
              <s:r>
                <s:t xml:space="preserve">Administrator:
1600019 12/22 7650pcs
王4b41201031 12/20 9900pcs 王4b1</s:t>
              </s:r>
            </s:text>
          </item>
        </commentChain>
      </unresolved>
      <resolved/>
    </commentChains>
    <commentChains s:ref="AL910" rgbClr="FF0000">
      <unresolved>
        <commentChain chainId="9a4c0453c32ce27a7e5344fa117b9bebb2b52f87">
          <item id="40d9a01444a5145aad9f19bd95baa110450905dd" isNormal="1">
            <s:text>
              <s:r>
                <s:t xml:space="preserve">Administrator:
12/9 UPC 条码贴纸 17550pcs</s:t>
              </s:r>
            </s:text>
          </item>
        </commentChain>
      </unresolved>
      <resolved/>
    </commentChains>
    <commentChains s:ref="AI911" rgbClr="FF0000">
      <unresolved>
        <commentChain chainId="b25241e22df7502bb6c7362834257dfc917281e1">
          <item id="9a8ad9a1872e6c27aaf40753102475879989e073" isNormal="1">
            <s:text>
              <s:r>
                <s:t xml:space="preserve">Administrator:
1600019 12/22 17550pcs
王4b6</s:t>
              </s:r>
            </s:text>
          </item>
        </commentChain>
      </unresolved>
      <resolved/>
    </commentChains>
    <commentChains s:ref="AL911" rgbClr="FF0000">
      <unresolved>
        <commentChain chainId="1d6b9eccb94823787c45355d40f65141ddda89e9">
          <item id="4d4ded887b34cce9152078fa8cbba6092831630a" isNormal="1">
            <s:text>
              <s:r>
                <s:t xml:space="preserve">Administrator:
12/9 UPC 条码贴纸 17550pcs
</s:t>
              </s:r>
            </s:text>
          </item>
        </commentChain>
      </unresolved>
      <resolved/>
    </commentChains>
    <commentChains s:ref="AI912" rgbClr="FF0000">
      <unresolved>
        <commentChain chainId="7e848078d01039a1e0fc7a8a11aeba739826cbcf">
          <item id="d576cd37122a61cd51aff3772a34e690dea459fd" isNormal="1">
            <s:text>
              <s:r>
                <s:t xml:space="preserve">Administrator:
1600068 12/23 1976pcs 华3b14</s:t>
              </s:r>
            </s:text>
          </item>
        </commentChain>
      </unresolved>
      <resolved/>
    </commentChains>
    <commentChains s:ref="AL912" rgbClr="FF0000">
      <unresolved>
        <commentChain chainId="a8bae2f84cd20125750afc6465876d1f00df833b">
          <item id="51b209b992749f76f9bff6da6567a50dce115233" isNormal="1">
            <s:text>
              <s:r>
                <s:t xml:space="preserve">Administrator:
12/5 德语警吿语贴紙 1976pcs</s:t>
              </s:r>
            </s:text>
          </item>
        </commentChain>
      </unresolved>
      <resolved/>
    </commentChains>
    <commentChains s:ref="AL913" rgbClr="FF0000">
      <unresolved>
        <commentChain chainId="6ea17883adf29dce46ae70d21f1ae6c1a639ef17">
          <item id="cb4f71ff6fc572b84865e4ff29cb7ecf0ff41de0" isNormal="1">
            <s:text>
              <s:r>
                <s:t xml:space="preserve">Administrator:
9/23 上客供芯片贴纸9996pcs
12/10 颜色贴纸 9996pcs</s:t>
              </s:r>
            </s:text>
          </item>
        </commentChain>
      </unresolved>
      <resolved/>
    </commentChains>
    <commentChains s:ref="AI914" rgbClr="FF0000">
      <unresolved>
        <commentChain chainId="48a1e5a2476a5bcd4f75dd92d38053962228dc23">
          <item id="86e73a2eba731f55ffc7b05c7c029a521ab15312" isNormal="1">
            <s:text>
              <s:r>
                <s:t xml:space="preserve">Administrator:
1200168 12/2 3975pcs王4b1
1600039 12/23 25pcs 王4b1</s:t>
              </s:r>
            </s:text>
          </item>
        </commentChain>
      </unresolved>
      <resolved/>
    </commentChains>
    <commentChains s:ref="AL914" rgbClr="FF0000">
      <unresolved>
        <commentChain chainId="564957501b136cbaf34f0fd2009a1a97bb339370">
          <item id="ee988e6616c9bd3b78b1f0e273cdfa0c6c503f66" isNormal="1">
            <s:text>
              <s:r>
                <s:t xml:space="preserve">Administrator:
12/10 法国sorting label贴纸 4000pcs</s:t>
              </s:r>
            </s:text>
          </item>
        </commentChain>
      </unresolved>
      <resolved/>
    </commentChains>
    <commentChains s:ref="AL915" rgbClr="FF0000">
      <unresolved>
        <commentChain chainId="02562de45176a2e7e5159e9f535f100772bc0915">
          <item id="f3ce20cb7a6bac564e76fa2945bc815a45bb41d8" isNormal="1">
            <s:text>
              <s:r>
                <s:t xml:space="preserve">Administrator:
10/23 上芯片贴纸2004pcs1
2/10 颜色贴纸 2004pcs
空白贴纸 2400pcs</s:t>
              </s:r>
            </s:text>
          </item>
        </commentChain>
      </unresolved>
      <resolved/>
    </commentChains>
    <commentChains s:ref="AI916" rgbClr="FF0000">
      <unresolved>
        <commentChain chainId="68c0deb587b15b28fe444a8c9b066e3474992fb8">
          <item id="04a7620fe7a239d6b7e67dd4d81c2aeeb10e8227" isNormal="1">
            <s:text>
              <s:r>
                <s:t xml:space="preserve">Administrator:
1600039 12/23 9971pcs 王4c9
1600068 12/23 39pcs 兴信</s:t>
              </s:r>
            </s:text>
          </item>
        </commentChain>
      </unresolved>
      <resolved/>
    </commentChains>
    <commentChains s:ref="AL916" rgbClr="FF0000">
      <unresolved>
        <commentChain chainId="2c94d1719b75d666b9df160a2619b7095288503a">
          <item id="afd0d8dbf7edfecf6520eba51330f355ca867889" isNormal="1">
            <s:text>
              <s:r>
                <s:t xml:space="preserve">Administrator:
12/8 客供防窜码贴纸1拖13 10010pcs
12/9 条码贴纸 10010pcs</s:t>
              </s:r>
            </s:text>
          </item>
        </commentChain>
      </unresolved>
      <resolved/>
    </commentChains>
    <commentChains s:ref="AI917" rgbClr="FF0000">
      <unresolved>
        <commentChain chainId="8473b0c0c85b7766772833caceb6e0a6f44aa736">
          <item id="767559a737038afabf943c6908545adbe031bc10" isNormal="1">
            <s:text>
              <s:r>
                <s:t xml:space="preserve">Administrator:
1600068 12/23 3600pcs 华3b12
</s:t>
              </s:r>
            </s:text>
          </item>
        </commentChain>
      </unresolved>
      <resolved/>
    </commentChains>
    <commentChains s:ref="AL917" rgbClr="FF0000">
      <unresolved>
        <commentChain chainId="966ca40abbc8960853e00a12ecebba8ff6b8bd7e">
          <item id="088e0ad28f60b4d6fcf6d40221d808134e2eb524" isNormal="1">
            <s:text>
              <s:r>
                <s:t xml:space="preserve">Administrator:
12/4 客供外箱贴纸3780pcs
12/9 UCC外箱贴纸 600pcs</s:t>
              </s:r>
            </s:text>
          </item>
        </commentChain>
      </unresolved>
      <resolved/>
    </commentChains>
    <commentChains s:ref="AI918" rgbClr="FF0000">
      <unresolved>
        <commentChain chainId="ddb65c5b96c28938a4dc5193f59d6b35e4d08c21">
          <item id="16889b2cf5af4255b2cbe670f83c8f793a6d020b" isNormal="1">
            <s:text>
              <s:r>
                <s:t xml:space="preserve">Administrator:
1600068 12/23 1800pcs
华3b12</s:t>
              </s:r>
            </s:text>
          </item>
        </commentChain>
      </unresolved>
      <resolved/>
    </commentChains>
    <commentChains s:ref="AL918" rgbClr="FF0000">
      <unresolved>
        <commentChain chainId="536733dc70ad26e501e981d855783794313213a4">
          <item id="ee85b3575cf0c218b1097343ee48bf4cb9e3a02f" isNormal="1">
            <s:text>
              <s:r>
                <s:t xml:space="preserve">Administrator:
12/4 客供外箱贴纸 1890pcs
12/9 UCC外箱贴纸 300pcs
</s:t>
              </s:r>
            </s:text>
          </item>
        </commentChain>
      </unresolved>
      <resolved/>
    </commentChains>
    <commentChains s:ref="AI919" rgbClr="FF0000">
      <unresolved>
        <commentChain chainId="5642600ae58ec299be9d672aaf4aff557d63589c">
          <item id="5cf48950cd8465d4725911fb61f724be255f3817" isNormal="1">
            <s:text>
              <s:r>
                <s:t xml:space="preserve">Administrator:
1600099 12/26 5776pcs 王4b7</s:t>
              </s:r>
            </s:text>
          </item>
        </commentChain>
      </unresolved>
      <resolved/>
    </commentChains>
    <commentChains s:ref="AI920" rgbClr="FF0000">
      <unresolved>
        <commentChain chainId="fbe8ebe8088cb4a642d2bd9bf56bc455741a7a91">
          <item id="9fae734dc30c72b1d6044bf6755161e192f7d99d" isNormal="1">
            <s:text>
              <s:r>
                <s:t xml:space="preserve">Administrator:
1200963 12/16 36192pcs 华1f12</s:t>
              </s:r>
            </s:text>
          </item>
        </commentChain>
      </unresolved>
      <resolved/>
    </commentChains>
    <commentChains s:ref="AI921" rgbClr="FF0000">
      <unresolved>
        <commentChain chainId="7cc26a1270810623dce625d60537ae8d6ae9477e">
          <item id="c74b0ee5ce45f3d0b21898f580b94a2d61464619" isNormal="1">
            <s:text>
              <s:r>
                <s:t xml:space="preserve">Administrator:
1600080 12/26 4000pcs 王直走</s:t>
              </s:r>
            </s:text>
          </item>
        </commentChain>
      </unresolved>
      <resolved/>
    </commentChains>
    <commentChains s:ref="AI922" rgbClr="FF0000">
      <unresolved>
        <commentChain chainId="81fa8e05b7ce68bdb3449d23b60d207da646557a">
          <item id="59eb7d23ba8bfe34614b2eb37aa13babe90d5c80" isNormal="1">
            <s:text>
              <s:r>
                <s:t xml:space="preserve">Administrator:
1600039 12/23 25032pcs 王4b2</s:t>
              </s:r>
            </s:text>
          </item>
        </commentChain>
      </unresolved>
      <resolved/>
    </commentChains>
    <commentChains s:ref="AL922" rgbClr="FF0000">
      <unresolved>
        <commentChain chainId="c4d25fd45abc121af9372b311b264de0a511ad20">
          <item id="02b3cb895614c17e9a3bc1bbe9b5cba52a37d650" isNormal="1">
            <s:text>
              <s:r>
                <s:t xml:space="preserve">Administrator:
12/3 WIC贴贴纸41*19mm 25032pcs</s:t>
              </s:r>
            </s:text>
          </item>
        </commentChain>
      </unresolved>
      <resolved/>
    </commentChains>
    <commentChains s:ref="AI923" rgbClr="FF0000">
      <unresolved>
        <commentChain chainId="bf0580fa7c51179ecbc2d162cfb57b79fba4d77d">
          <item id="6b79681dd930e1ac4c50bc85927104939ce4e710" isNormal="1">
            <s:text>
              <s:r>
                <s:t xml:space="preserve">Administrator:
3000631 12/31 9464pcs 庞3a25</s:t>
              </s:r>
            </s:text>
          </item>
        </commentChain>
      </unresolved>
      <resolved/>
    </commentChains>
    <commentChains s:ref="AI924" rgbClr="FF0000">
      <unresolved>
        <commentChain chainId="c9ce0c59ac8d4ec1de8c95b83526b2029b7993ce">
          <item id="b42a906840ec770dc24eda7b156a2f34c435177a" isNormal="1">
            <s:text>
              <s:r>
                <s:t xml:space="preserve">Administrator:
1600099 12/26 300pcs王直走</s:t>
              </s:r>
            </s:text>
          </item>
        </commentChain>
      </unresolved>
      <resolved/>
    </commentChains>
    <commentChains s:ref="AI925" rgbClr="FF0000">
      <unresolved>
        <commentChain chainId="a8ed4555f004e9151b6a20211c2f5ca8b629081f">
          <item id="38029a2d505b70e5e416ae7f65b4c1b325c94224" isNormal="1">
            <s:text>
              <s:r>
                <s:t xml:space="preserve">Administrator:
1900063 12/25 156pcs
文本云</s:t>
              </s:r>
            </s:text>
          </item>
        </commentChain>
      </unresolved>
      <resolved/>
    </commentChains>
    <commentChains s:ref="AI926" rgbClr="FF0000">
      <unresolved>
        <commentChain chainId="8e19e4d27d16f7960404a54d0323a153760c115b">
          <item id="3086b12f120e54949b4ccefeea13f2793bf7eb92" isNormal="1">
            <s:text>
              <s:r>
                <s:t xml:space="preserve">Administrator:
1900063 12/25 78pcs
文本云</s:t>
              </s:r>
            </s:text>
          </item>
        </commentChain>
      </unresolved>
      <resolved/>
    </commentChains>
    <commentChains s:ref="AI927" rgbClr="FF0000">
      <unresolved>
        <commentChain chainId="df303d73f2dd22057cba524b8c49e1190b8a887a">
          <item id="39c037623a5d01afadc062a54bf23a9b633ab0ec" isNormal="1">
            <s:text>
              <s:r>
                <s:t xml:space="preserve">Administrator:
1600144 12/29 120pcs
华3b8
1600951 1/2 2800pcs 庞3b8
</s:t>
              </s:r>
            </s:text>
          </item>
        </commentChain>
      </unresolved>
      <resolved/>
    </commentChains>
    <commentChains s:ref="AL927" rgbClr="FF0000">
      <unresolved>
        <commentChain chainId="f5403b09a469f191362a1378758a978a2fa8b272">
          <item id="a19f5ba6c0ba65abb896a62ba4db2a13b902952b" isNormal="1">
            <s:text>
              <s:r>
                <s:t xml:space="preserve">Administrator:
12/6 PDQ贴纸含EAN条码 160cs
西班牙环保标/容户进 4000pcs</s:t>
              </s:r>
            </s:text>
          </item>
        </commentChain>
      </unresolved>
      <resolved/>
    </commentChains>
    <commentChains s:ref="AI928" rgbClr="FF0000">
      <unresolved>
        <commentChain chainId="e2cb0c02750284483831cf87332f9ab518df66a4">
          <item id="9bcb59bb54578753f5fc63fa0a3e9ae7b9f876c4" isNormal="1">
            <s:text>
              <s:r>
                <s:t xml:space="preserve">Administrator:
1601038 1/6 9000pcs王4a9</s:t>
              </s:r>
            </s:text>
          </item>
        </commentChain>
      </unresolved>
      <resolved/>
    </commentChains>
    <commentChains s:ref="AL928" rgbClr="FF0000">
      <unresolved>
        <commentChain chainId="461735cc8c90c4e9125552674896c76acf416d78">
          <item id="b7220d9826fa555872dafbfbac32df29a19fc88a" isNormal="1">
            <s:text>
              <s:r>
                <s:t xml:space="preserve">Administrator:
12/6 PDQ贴纸含EAN条码 30pcs
12/8 西班牙环保标/客户进 900pcs</s:t>
              </s:r>
            </s:text>
          </item>
        </commentChain>
      </unresolved>
      <resolved/>
    </commentChains>
    <commentChains s:ref="AI929" rgbClr="FF0000">
      <unresolved>
        <commentChain chainId="10ecea403f600646d9dfa879b15d21cc141157cb">
          <item id="cab8502677ce3e0311616be1550ddb7368336a73" isNormal="1">
            <s:text>
              <s:r>
                <s:t xml:space="preserve">Administrator:
1600951 1/2 3601pcs
庞3a16</s:t>
              </s:r>
            </s:text>
          </item>
        </commentChain>
      </unresolved>
      <resolved/>
    </commentChains>
    <commentChains s:ref="AL929" rgbClr="FF0000">
      <unresolved>
        <commentChain chainId="499f97ccd727e587e0254bec09b870f0550e32da">
          <item id="758edcc48c82814a36b4935d9811156ec4848b76" isNormal="1">
            <s:text>
              <s:r>
                <s:t xml:space="preserve">Administrator:
12/6 PDQ贴纸含EAN条码 277pcs
12/8 西班牙环保标/套户进口 3601pcs</s:t>
              </s:r>
            </s:text>
          </item>
        </commentChain>
      </unresolved>
      <resolved/>
    </commentChains>
    <commentChains s:ref="AI930" rgbClr="FF0000">
      <unresolved>
        <commentChain chainId="ab6c1ab0b819abe375bffdd6f75e98c812ecf94e">
          <item id="71f885f3714a23defd239db52ed53bc9c2b224bd" isNormal="1">
            <s:text>
              <s:r>
                <s:t xml:space="preserve">Administrator:
1601038 1/6 12000pcs王b4
1601026 1/7 2400pcs 华1f4</s:t>
              </s:r>
            </s:text>
          </item>
        </commentChain>
      </unresolved>
      <resolved/>
    </commentChains>
    <commentChains s:ref="AL930" rgbClr="FF0000">
      <unresolved>
        <commentChain chainId="74ac01098a2c5def8748fdb0c9a62a76ee631832">
          <item id="f74e3b6004c56ab6b16ebdb50a1921c5d3fcd4b3" isNormal="1">
            <s:text>
              <s:r>
                <s:t xml:space="preserve">Administrator:
12/6 PDQ贴纸含EAN条码 120pcs
12/8 西班牙环保标/客户进 3600pcs</s:t>
              </s:r>
            </s:text>
          </item>
        </commentChain>
      </unresolved>
      <resolved/>
    </commentChains>
    <commentChains s:ref="AI931" rgbClr="FF0000">
      <unresolved>
        <commentChain chainId="2c1e165430cf208b871ee6a05eed81542100dfef">
          <item id="4d2c05942a3cd857060b2d954e8018c0b9d106c0" isNormal="1">
            <s:text>
              <s:r>
                <s:t xml:space="preserve">Administrator:
1600124 12/27 4950pcs
华3b17
1600134 12/29 50pcs 华3b17</s:t>
              </s:r>
            </s:text>
          </item>
        </commentChain>
      </unresolved>
      <resolved/>
    </commentChains>
    <commentChains s:ref="AL931" rgbClr="FF0000">
      <unresolved>
        <commentChain chainId="452d3b873d59ff92a021fff4d9eb7c521c3ef942">
          <item id="d508dc0520242add359b2d7d57eaca8d617b7820" isNormal="1">
            <s:text>
              <s:r>
                <s:t xml:space="preserve">Administrator:
12/16 进口商贴纸 5000pcs</s:t>
              </s:r>
            </s:text>
          </item>
        </commentChain>
      </unresolved>
      <resolved/>
    </commentChains>
    <commentChains s:ref="AI932" rgbClr="FF0000">
      <unresolved>
        <commentChain chainId="038ec205aef79daa0c9014ef1e82c4b22703231d">
          <item id="bf997195fc4bce81465aa30d60fef7d9b7cfd9be" isNormal="1">
            <s:text>
              <s:r>
                <s:t xml:space="preserve">Administrator:
1600950 12/31 46080pcs王4b2</s:t>
              </s:r>
            </s:text>
          </item>
        </commentChain>
      </unresolved>
      <resolved/>
    </commentChains>
    <commentChains s:ref="AI933" rgbClr="FF0000">
      <unresolved>
        <commentChain chainId="4dd601f8282fb540e13d05a592ab17a71583d3dc">
          <item id="4c329f86fe84858d870fee84f8e8eec98b33f6a2" isNormal="1">
            <s:text>
              <s:r>
                <s:t xml:space="preserve">Administrator:
1600063 12/25 55套 文本云</s:t>
              </s:r>
            </s:text>
          </item>
        </commentChain>
      </unresolved>
      <resolved/>
    </commentChains>
    <commentChains s:ref="AI934" rgbClr="FF0000">
      <unresolved>
        <commentChain chainId="6f36f9524eef4d1917a1f146b4d18f22faaae6e4">
          <item id="8b9b4715e56e16780e86ab66143054d47ad03861" isNormal="1">
            <s:text>
              <s:r>
                <s:t xml:space="preserve">Administrator:
1900063 12/25 606pcs
文本云</s:t>
              </s:r>
            </s:text>
          </item>
        </commentChain>
      </unresolved>
      <resolved/>
    </commentChains>
    <commentChains s:ref="AI935" rgbClr="FF0000">
      <unresolved>
        <commentChain chainId="98834937051ad996d6d57d0fd9862b7ff621ce93">
          <item id="f0382cd820248413537b67b0121ccebf423951a3" isNormal="1">
            <s:text>
              <s:r>
                <s:t xml:space="preserve">Administrator:
1600118 12/27 74250pcs
王5b81600119 12/27 30250pcs
王5b6
1600127 12/27 23500pcs王5b6
1600114 12/27 22000pcs王4c2</s:t>
              </s:r>
            </s:text>
          </item>
        </commentChain>
      </unresolved>
      <resolved/>
    </commentChains>
    <commentChains s:ref="AL935" rgbClr="FF0000">
      <unresolved>
        <commentChain chainId="2e41477cbccfc310ec0e1eca018d951a25e75448">
          <item id="415d2cd333e6e143c2c64a9b74d45df5ab2acf98" isNormal="1">
            <s:text>
              <s:r>
                <s:t xml:space="preserve">Administrator:
12/15 客供外箱条码贴纸 6060pcs</s:t>
              </s:r>
            </s:text>
          </item>
        </commentChain>
      </unresolved>
      <resolved/>
    </commentChains>
    <commentChains s:ref="AI936" rgbClr="FF0000">
      <unresolved>
        <commentChain chainId="8fca318a3b7c5326601c59b752c93cd97014302f">
          <item id="3d0a4bd7d30206008cf815b0631838875fa8a3ea" isNormal="1">
            <s:text>
              <s:r>
                <s:t xml:space="preserve">Administrator:
1600018 12/22 996pcs王4c5</s:t>
              </s:r>
            </s:text>
          </item>
        </commentChain>
      </unresolved>
      <resolved/>
    </commentChains>
    <commentChains s:ref="AL936" rgbClr="FF0000">
      <unresolved>
        <commentChain chainId="dfccd576cf508e9e3311a79b9211dc64fc77c011">
          <item id="f0ff068be2af4987bdd602cec75eb4b33ba16e4e" isNormal="1">
            <s:text>
              <s:r>
                <s:t xml:space="preserve">Administrator:
11/18 上空白贴纸1992pcs
12/15 客供价格贴纸 1096pcs</s:t>
              </s:r>
            </s:text>
          </item>
        </commentChain>
      </unresolved>
      <resolved/>
    </commentChains>
    <commentChains s:ref="AI937" rgbClr="FF0000">
      <unresolved>
        <commentChain chainId="a2eab5d3f962c317fbc0efc11de477731749ffa7">
          <item id="1d0d9ae2ba94e75e19cd3375cf12a9a26f9310f9" isNormal="1">
            <s:text>
              <s:r>
                <s:t xml:space="preserve">Administrator:
1600018 12/22 996pcs
王4a4</s:t>
              </s:r>
            </s:text>
          </item>
        </commentChain>
      </unresolved>
      <resolved/>
    </commentChains>
    <commentChains s:ref="AL937" rgbClr="FF0000">
      <unresolved>
        <commentChain chainId="356db821424bac7b9723b9561a2c7deaaf6eb74d">
          <item id="f77ec1d2935a50c5bc9ed9fba598b02c38c0ed14" isNormal="1">
            <s:text>
              <s:r>
                <s:t xml:space="preserve">Administrator:
11/18 上空白贴纸1992pcs
12/15 客供价格贴纸 996pcs</s:t>
              </s:r>
            </s:text>
          </item>
        </commentChain>
      </unresolved>
      <resolved/>
    </commentChains>
    <commentChains s:ref="AI938" rgbClr="FF0000">
      <unresolved>
        <commentChain chainId="cbead7247f09ddd9229cdaa54ba0d4d59536cbaa">
          <item id="cb5895d1743a1dd3558d69088765de9f2223d1c3" isNormal="1">
            <s:text>
              <s:r>
                <s:t xml:space="preserve">Administrator:
1600018 12/22 1200pcs
王4a4</s:t>
              </s:r>
            </s:text>
          </item>
        </commentChain>
      </unresolved>
      <resolved/>
    </commentChains>
    <commentChains s:ref="AL938" rgbClr="FF0000">
      <unresolved>
        <commentChain chainId="6f6cba0bd3858dd1e1afb0124ae0614314f93c1e">
          <item id="8860303efdd469d08fb5f6efa2f17a3d6071359d" isNormal="1">
            <s:text>
              <s:r>
                <s:t xml:space="preserve">Administrator:
11/18 上空白贴纸2400pcs
12/15 客供价格贴纸 1320pcs
</s:t>
              </s:r>
            </s:text>
          </item>
        </commentChain>
      </unresolved>
      <resolved/>
    </commentChains>
    <commentChains s:ref="AI939" rgbClr="FF0000">
      <unresolved>
        <commentChain chainId="0f14f6b60c09f96836447745cad7f2268209efd5">
          <item id="04ef679e18367429a2d22fde08213e87cda29540" isNormal="1">
            <s:text>
              <s:r>
                <s:t xml:space="preserve">Administrator:
1600018 12/22 1200pcs
王4b4</s:t>
              </s:r>
            </s:text>
          </item>
        </commentChain>
      </unresolved>
      <resolved/>
    </commentChains>
    <commentChains s:ref="AL939" rgbClr="FF0000">
      <unresolved>
        <commentChain chainId="d1f8e80f571077026d5e13eada289cc6f8e346c6">
          <item id="8bbc5355f8c6c0ba528742bfb6b0a6107df73748" isNormal="1">
            <s:text>
              <s:r>
                <s:t xml:space="preserve">Administrator:
11/18 上空白贴纸2400pcs
12/15 客供价格贴纸 1320pcs</s:t>
              </s:r>
            </s:text>
          </item>
        </commentChain>
      </unresolved>
      <resolved/>
    </commentChains>
    <commentChains s:ref="AI940" rgbClr="FF0000">
      <unresolved>
        <commentChain chainId="53c36afe2093f1c2323c4d3d02ca5002f4dbb91b">
          <item id="6a9fc78e8f4de20eb19f4080ca855968f55ff1bd" isNormal="1">
            <s:text>
              <s:r>
                <s:t xml:space="preserve">Administrator:
1201031 12/20 507pcs 王4b1</s:t>
              </s:r>
            </s:text>
          </item>
        </commentChain>
      </unresolved>
      <resolved/>
    </commentChains>
    <commentChains s:ref="AL940" rgbClr="FF0000">
      <unresolved>
        <commentChain chainId="62c8cfa8085a0b0f8c7aa2e82745a046e31a6a9b">
          <item id="c0250dc096359ec7bb07e2721709b9183c993319" isNormal="1">
            <s:text>
              <s:r>
                <s:t xml:space="preserve">Administrator:
12/10 款号贴纸 507pcs
警语贴纸 507pcs</s:t>
              </s:r>
            </s:text>
          </item>
        </commentChain>
      </unresolved>
      <resolved/>
    </commentChains>
    <commentChains s:ref="AI941" rgbClr="FF0000">
      <unresolved>
        <commentChain chainId="d48724698600dd94228ef6163426bf43f4f79bfe">
          <item id="6c78c1a5acfba2ff2e241934e1761bea20326fd0" isNormal="1">
            <s:text>
              <s:r>
                <s:t xml:space="preserve">Administrator:
1600068 12/23 2004pcs 华3b14
</s:t>
              </s:r>
            </s:text>
          </item>
        </commentChain>
      </unresolved>
      <resolved/>
    </commentChains>
    <commentChains s:ref="AL941" rgbClr="FF0000">
      <unresolved>
        <commentChain chainId="a0631e56d5558f4afde96586656d2ca7f51da2e8">
          <item id="b46f424a6ca183ddc6af39ee416b0d1f6ac4c0cd" isNormal="1">
            <s:text>
              <s:r>
                <s:t xml:space="preserve">Administrator:
12/15 客供价格贴纸 2100pcs</s:t>
              </s:r>
            </s:text>
          </item>
        </commentChain>
      </unresolved>
      <resolved/>
    </commentChains>
    <commentChains s:ref="AI942" rgbClr="FF0000">
      <unresolved>
        <commentChain chainId="e81d14480b9e6c3d02af4574182b40cd9deff1e5">
          <item id="ce85db02ea9af1e34124421d484950ce39bb6ff8" isNormal="1">
            <s:text>
              <s:r>
                <s:t xml:space="preserve">Administrator:
1600151 12/30 2775pcs
华3b14</s:t>
              </s:r>
            </s:text>
          </item>
        </commentChain>
      </unresolved>
      <resolved/>
    </commentChains>
    <commentChains s:ref="AL942" rgbClr="FF0000">
      <unresolved>
        <commentChain chainId="df8a6aa00a0c736104d9349f1ce135b1ecc9f3d6">
          <item id="c4df104af5738343de12739de976a11e3f802a93" isNormal="1">
            <s:text>
              <s:r>
                <s:t xml:space="preserve">Administrator:
12/18 DC运输贴纸 2775pcs
12/24 PDQ标识贴 111pcs</s:t>
              </s:r>
            </s:text>
          </item>
        </commentChain>
      </unresolved>
      <resolved/>
    </commentChains>
    <commentChains s:ref="AI943" rgbClr="FF0000">
      <unresolved>
        <commentChain chainId="f69f7b5291e09371182e1f32c7fcadf7a259aea6">
          <item id="9a1d613be7fab2bd9cd7decea6fd502226ac9a4e" isNormal="1">
            <s:text>
              <s:r>
                <s:t xml:space="preserve">Administrator:
1600966 1/4 1200pcs 庞3a10</s:t>
              </s:r>
            </s:text>
          </item>
        </commentChain>
      </unresolved>
      <resolved/>
    </commentChains>
    <commentChains s:ref="AI944" rgbClr="FF0000">
      <unresolved>
        <commentChain chainId="258459634fb21b16e72c181757c1721d4eb80584">
          <item id="c77add9dce61838c6a20c5b9e004b33989754d65" isNormal="1">
            <s:text>
              <s:r>
                <s:t xml:space="preserve">Administrator:
1600144 12/29 36720pcs
华3a101600151 12/30 10800pcs华3a10
1600966 1/4 6672pcs
庞3a10
</s:t>
              </s:r>
            </s:text>
          </item>
        </commentChain>
      </unresolved>
      <resolved/>
    </commentChains>
    <commentChains s:ref="AI945" rgbClr="FF0000">
      <unresolved>
        <commentChain chainId="5e7d6e60e08d47d64571c3a9c28c041189817fc9">
          <item id="b0ac3e455cecfe717f0c264d648c331c4e4dd54c" isNormal="1">
            <s:text>
              <s:r>
                <s:t xml:space="preserve">Administrator:
1600992 1/5 1500pcs王4c5</s:t>
              </s:r>
            </s:text>
          </item>
        </commentChain>
      </unresolved>
      <resolved/>
    </commentChains>
    <commentChains s:ref="AL945" rgbClr="FF0000">
      <unresolved>
        <commentChain chainId="805f9c45043f53be7f68dfa3463f68b13db47bf0">
          <item id="e3c25023eb3e564b65b994a5b1c3db5ab1f7d4e1" isNormal="1">
            <s:text>
              <s:r>
                <s:t xml:space="preserve">Administrator:
12/12 进口商贴纸 1500pcs
UPC 条码贴纸 1200pcs</s:t>
              </s:r>
            </s:text>
          </item>
        </commentChain>
      </unresolved>
      <resolved/>
    </commentChains>
    <commentChains s:ref="AI946" rgbClr="FF0000">
      <unresolved>
        <commentChain chainId="e3c013ab6c68afc0916238a082d5c674c6864575">
          <item id="46d7037f338bacf75d32114983c965a418d2839c" isNormal="1">
            <s:text>
              <s:r>
                <s:t xml:space="preserve">Administrator:
1600151 12/30 1250pcs
华3b14
1600952 1/2  25pcs庞3b14</s:t>
              </s:r>
            </s:text>
          </item>
        </commentChain>
      </unresolved>
      <resolved/>
    </commentChains>
    <commentChains s:ref="AL946" rgbClr="FF0000">
      <unresolved>
        <commentChain chainId="f30af7e75a95a376d1a88c46fd6bcf4b9b1086a7">
          <item id="f90e7dab34b57e8acd388dede04e63845375fa60" isNormal="1">
            <s:text>
              <s:r>
                <s:t xml:space="preserve">Administrator:
12/18 DC运输贴纸 2275pcs
12/24 PDQ标识贴 51pcs</s:t>
              </s:r>
            </s:text>
          </item>
        </commentChain>
      </unresolved>
      <resolved/>
    </commentChains>
    <commentChains s:ref="AI947" rgbClr="FF0000">
      <unresolved>
        <commentChain chainId="f70aa68ea95872b3d0745805c2eebbb1b292f7f5">
          <item id="cea01367a12b6d88cce8e64fdf1c606df09b4247" isNormal="1">
            <s:text>
              <s:r>
                <s:t xml:space="preserve">Administrator:
1600151 12/30 2350pcs
华3b14</s:t>
              </s:r>
            </s:text>
          </item>
        </commentChain>
      </unresolved>
      <resolved/>
    </commentChains>
    <commentChains s:ref="AL947" rgbClr="FF0000">
      <unresolved>
        <commentChain chainId="5f932e637316025ac3447aac7736670bdd0140f9">
          <item id="3db147f5a5c5d89b7edce5f79c0f7eb8f329c81a" isNormal="1">
            <s:text>
              <s:r>
                <s:t xml:space="preserve">Administrator:
12/18 DC运输贴纸 22350pcs
12/24 PDQ标识贴 94pcs</s:t>
              </s:r>
            </s:text>
          </item>
        </commentChain>
      </unresolved>
      <resolved/>
    </commentChains>
    <commentChains s:ref="AI949" rgbClr="FF0000">
      <unresolved>
        <commentChain chainId="861461c12d1b36dedec26502865ee8ea82ebb253">
          <item id="76ae08d06aad0efbc04c7c101e03d67bb2670713" isNormal="1">
            <s:text>
              <s:r>
                <s:t xml:space="preserve">Administrator:
1600099 12/26 611pcs 王4c5 </s:t>
              </s:r>
            </s:text>
          </item>
        </commentChain>
      </unresolved>
      <resolved/>
    </commentChains>
    <commentChains s:ref="AL949" rgbClr="FF0000">
      <unresolved>
        <commentChain chainId="5573d0c8bffc381c2c5a79e84b8a60243e3d341a">
          <item id="175cccf0809b6ad00e9b5282e0832b5d29e3d179" isNormal="1">
            <s:text>
              <s:r>
                <s:t xml:space="preserve">Administrator:
12/17 多语警语折叠贴纸 611pcs</s:t>
              </s:r>
            </s:text>
          </item>
        </commentChain>
      </unresolved>
      <resolved/>
    </commentChains>
    <commentChains s:ref="AI950" rgbClr="FF0000">
      <unresolved>
        <commentChain chainId="47bc3aa3ca05e46bb43adbf893791b8237573b2b">
          <item id="c53af253ade853cef56f0d1ce616e25d1843cfa1" isNormal="1">
            <s:text>
              <s:r>
                <s:t xml:space="preserve">Administrator:
3000627 12/30 5400pcs 文本云</s:t>
              </s:r>
            </s:text>
          </item>
        </commentChain>
      </unresolved>
      <resolved/>
    </commentChains>
    <commentChains s:ref="AI951" rgbClr="FF0000">
      <unresolved>
        <commentChain chainId="75d4c36997b41b78ceacfc69df77d4ac63262749">
          <item id="81220aeb6c8f975c637238ff66fab70fa6b2c494" isNormal="1">
            <s:text>
              <s:r>
                <s:t xml:space="preserve">Administrator:
1600151 12/30 1872pcs
华3b15</s:t>
              </s:r>
            </s:text>
          </item>
        </commentChain>
      </unresolved>
      <resolved/>
    </commentChains>
    <commentChains s:ref="AL951" rgbClr="FF0000">
      <unresolved>
        <commentChain chainId="60cbef7c30e1f46e096a69b6e7ac1e04ebd0c9eb">
          <item id="1063af3e3b058d0dce142ad6eda1c2cdb4af2262" isNormal="1">
            <s:text>
              <s:r>
                <s:t xml:space="preserve">Administrator:
12/18 进口商贴纸 1872pcs
UPC条码贴纸 1872pcs</s:t>
              </s:r>
            </s:text>
          </item>
        </commentChain>
      </unresolved>
      <resolved/>
    </commentChains>
    <commentChains s:ref="AI952" rgbClr="FF0000">
      <unresolved>
        <commentChain chainId="6a80eda54da60c1c728a6bc370b5a03848c0b957">
          <item id="eafdae61e9acf4ed1e9827c87ec797f9e64e4d6d" isNormal="1">
            <s:text>
              <s:r>
                <s:t xml:space="preserve">Administrator:
1600951 1/2 10400pcs
庞3b8</s:t>
              </s:r>
            </s:text>
          </item>
        </commentChain>
      </unresolved>
      <resolved/>
    </commentChains>
    <commentChains s:ref="AL952" rgbClr="FF0000">
      <unresolved>
        <commentChain chainId="6029c77b299bf924635dbd7ef5103dc6a791e340">
          <item id="bf10d02a1e71736fc55316ae2c2f0d3bb529a0b4" isNormal="1">
            <s:text>
              <s:r>
                <s:t xml:space="preserve">Administrator:
12/22 客户EAN贴纸 10400
PDQ数量贴纸 2600pcs</s:t>
              </s:r>
            </s:text>
          </item>
        </commentChain>
      </unresolved>
      <resolved/>
    </commentChains>
    <commentChains s:ref="AI953" rgbClr="FF0000">
      <unresolved>
        <commentChain chainId="a950e4fa0dbde4dfa6caf242b4bb3d5b569bcc9b">
          <item id="8c8af9f5563284415ba323121a08e4669b9b1b85" isNormal="1">
            <s:text>
              <s:r>
                <s:t xml:space="preserve">Administrator:
1600952 1/2  1188pcs庞3a15
1600966 1/3 12pcs 庞3a15</s:t>
              </s:r>
            </s:text>
          </item>
        </commentChain>
      </unresolved>
      <resolved/>
    </commentChains>
    <commentChains s:ref="AL953" rgbClr="FF0000">
      <unresolved>
        <commentChain chainId="4484a3dc1c59c571c0dfd20887443eac7395e54f">
          <item id="8149cafbce24ffe4ca5c8734668a290f59a5c681" isNormal="1">
            <s:text>
              <s:r>
                <s:t xml:space="preserve">Administrator:
12/15 客供价格贴纸 1320pcs
</s:t>
              </s:r>
            </s:text>
          </item>
        </commentChain>
      </unresolved>
      <resolved/>
    </commentChains>
    <commentChains s:ref="AI954" rgbClr="FF0000">
      <unresolved>
        <commentChain chainId="3c6feed713c74a6c505a1924e928c44f36b634d7">
          <item id="5ef4c0be7e036a224b4092a4ae54a9e1371f0b3b" isNormal="1">
            <s:text>
              <s:r>
                <s:t xml:space="preserve">Administrator:
1600952 1/2  996pcs 庞3b15</s:t>
              </s:r>
            </s:text>
          </item>
        </commentChain>
      </unresolved>
      <resolved/>
    </commentChains>
    <commentChains s:ref="AL954" rgbClr="FF0000">
      <unresolved>
        <commentChain chainId="49f66127d2acc9444ab836b909de46ba78e6323a">
          <item id="a43c02c10fc9c69cfb9a900f8a59190e5a6cd257" isNormal="1">
            <s:text>
              <s:r>
                <s:t xml:space="preserve">Administrator:
12/15 客供价格贴纸 1096pcs
</s:t>
              </s:r>
            </s:text>
          </item>
        </commentChain>
      </unresolved>
      <resolved/>
    </commentChains>
    <commentChains s:ref="AI955" rgbClr="FF0000">
      <unresolved>
        <commentChain chainId="0842684d50b4a5d60dbb841d76f7c12ce84c0767">
          <item id="9728f6036ac3ea6da701609d29ba28284c00906b" isNormal="1">
            <s:text>
              <s:r>
                <s:t xml:space="preserve">Administrator:
1600952 1/2  1200pcs 庞3b15</s:t>
              </s:r>
            </s:text>
          </item>
        </commentChain>
      </unresolved>
      <resolved/>
    </commentChains>
    <commentChains s:ref="AL955" rgbClr="FF0000">
      <unresolved>
        <commentChain chainId="cd41ad49cc0e87f06072af56a31751391850fc9d">
          <item id="3d5910a0a37271cb5cdcf21a789614ba2019169b" isNormal="1">
            <s:text>
              <s:r>
                <s:t xml:space="preserve">Administrator:
12/15 客供价格贴纸 1320pcs
</s:t>
              </s:r>
            </s:text>
          </item>
        </commentChain>
      </unresolved>
      <resolved/>
    </commentChains>
    <commentChains s:ref="AI956" rgbClr="FF0000">
      <unresolved>
        <commentChain chainId="0f894db9618127b4e688f38768dd70d4fe4b3368">
          <item id="d712811ce8bca3b0cd11d74f96e62ba391d44bbc" isNormal="1">
            <s:text>
              <s:r>
                <s:t xml:space="preserve">Administrator:
1600956 1/3 996pcs庞3b15</s:t>
              </s:r>
            </s:text>
          </item>
        </commentChain>
      </unresolved>
      <resolved/>
    </commentChains>
    <commentChains s:ref="AL956" rgbClr="FF0000">
      <unresolved>
        <commentChain chainId="32bb3a93cb42a83986b3526a9b95ac476e0df7f5">
          <item id="dd958dd6621f36886497b972183e13af7ccaa1f8" isNormal="1">
            <s:text>
              <s:r>
                <s:t xml:space="preserve">Administrator:
12/15 客供价格贴纸 1096pcs
</s:t>
              </s:r>
            </s:text>
          </item>
        </commentChain>
      </unresolved>
      <resolved/>
    </commentChains>
    <commentChains s:ref="AI957" rgbClr="FF0000">
      <unresolved>
        <commentChain chainId="b4bbdfb9aa4ce5d4043e695564f8a2c10503a2bf">
          <item id="56fabb452c5ecfc38551fe84f0988f517257ad44" isNormal="1">
            <s:text>
              <s:r>
                <s:t xml:space="preserve">Administrator:
1600951 1/2 2220pcs
庞3b8</s:t>
              </s:r>
            </s:text>
          </item>
        </commentChain>
      </unresolved>
      <resolved/>
    </commentChains>
    <commentChains s:ref="AL957" rgbClr="FF0000">
      <unresolved>
        <commentChain chainId="50c730865d6f3508263b9ef5f2c891dc40e9f6f2">
          <item id="6b81babecfd456db56916ffb9ab5b53ed9e82b1c" isNormal="1">
            <s:text>
              <s:r>
                <s:t xml:space="preserve">Administrator:
12/18 UPC条码贴纸 2220pcs
进口商贴纸 2220pcs</s:t>
              </s:r>
            </s:text>
          </item>
        </commentChain>
      </unresolved>
      <resolved/>
    </commentChains>
    <commentChains s:ref="AI958" rgbClr="FF0000">
      <unresolved>
        <commentChain chainId="db9e999da309519883a7ce4fafd4ceba249a934f">
          <item id="b852f1f0c71a61031c085a8170e15e5cc5470f27" isNormal="1">
            <s:text>
              <s:r>
                <s:t xml:space="preserve">Administrator:
1600144 12/29 1320pcs 华3b12
1600966 1/3 3672pcs庞3b11
</s:t>
              </s:r>
            </s:text>
          </item>
        </commentChain>
      </unresolved>
      <resolved/>
    </commentChains>
    <commentChains s:ref="AL958" rgbClr="FF0000">
      <unresolved>
        <commentChain chainId="c4ec5ec0b0acc52d8beddb0322d479d71768cc6e">
          <item id="2b42e79789f4be1ab624a625e9a2205c164d1686" isNormal="1">
            <s:text>
              <s:r>
                <s:t xml:space="preserve">Administrator:
12/16 客版产品条码贴纸 4992pcs</s:t>
              </s:r>
            </s:text>
          </item>
        </commentChain>
      </unresolved>
      <resolved/>
    </commentChains>
    <commentChains s:ref="AI959" rgbClr="FF0000">
      <unresolved>
        <commentChain chainId="08d7b66b77358ddcd6df699bc24748a54e2a4ebe">
          <item id="35dce19f18e1df5f2392c980d7bebf47ebc50cf0" isNormal="1">
            <s:text>
              <s:r>
                <s:t xml:space="preserve">Administrator:
1600951 1/2 1248pcs 庞3b8
</s:t>
              </s:r>
            </s:text>
          </item>
        </commentChain>
      </unresolved>
      <resolved/>
    </commentChains>
    <commentChains s:ref="AL959" rgbClr="FF0000">
      <unresolved>
        <commentChain chainId="5d52693c1799ebebbb73af8252929711781a78e2">
          <item id="444d58330507800b4838e9e4bc5b122aa95f2262" isNormal="1">
            <s:text>
              <s:r>
                <s:t xml:space="preserve">Administrator:
12/8 客供警语贴纸贴球底部1288pcs
客供警语贴纸贴收藏指甫1290pcs
客供警语贴纸贴说明书上1290pcs
12/25 空白贴纸 1248pcs
UPC 条码贴纸 1248pcs</s:t>
              </s:r>
            </s:text>
          </item>
        </commentChain>
      </unresolved>
      <resolved/>
    </commentChains>
    <commentChains s:ref="AI960" rgbClr="FF0000">
      <unresolved>
        <commentChain chainId="c0ae6860efd9bd003be094ce109f8f57f21c079c">
          <item id="0384b190622d610b9ec0f41708effe524b1749d6" isNormal="1">
            <s:text>
              <s:r>
                <s:t xml:space="preserve">Administrator:
4001728 1/10 720pcs
</s:t>
              </s:r>
            </s:text>
          </item>
        </commentChain>
      </unresolved>
      <resolved/>
    </commentChains>
    <commentChains s:ref="AL960" rgbClr="FF0000">
      <unresolved>
        <commentChain chainId="8a9a8a2dea9dd574deb75e2fa043719cae445a97">
          <item id="f33f0a13a268c7c669b8451a5d46078aa9deadc6" isNormal="1">
            <s:text>
              <s:r>
                <s:t xml:space="preserve">Administrator:
12/8 客供警语贴纸贴说明书上 1488pcs
客供电池警语贴纸 1488pcs
客供警语贴纸贴收藏指南 1488pcs
12/25 空白贴纸 720pcs</s:t>
              </s:r>
            </s:text>
          </item>
        </commentChain>
      </unresolved>
      <resolved/>
    </commentChains>
    <commentChains s:ref="AI961" rgbClr="FF0000">
      <unresolved>
        <commentChain chainId="2b5f028f6074b6c6c78786d8398e9828fdefca25">
          <item id="8bf7c460bd57660c92569925fac9ebd73483f5ea" isNormal="1">
            <s:text>
              <s:r>
                <s:t xml:space="preserve">Administrator:
1600952 1/2  2475pcs 庞3b8
1600966 1/3 25pcs
庞3b8</s:t>
              </s:r>
            </s:text>
          </item>
        </commentChain>
      </unresolved>
      <resolved/>
    </commentChains>
    <commentChains s:ref="AL961" rgbClr="FF0000">
      <unresolved>
        <commentChain chainId="adde9a33eeb9d805bb986dc171b19f7a7e5f04a1">
          <item id="64ff5e25b2702cb75d3d8de88adfcb6f1bd4cd1c" isNormal="1">
            <s:text>
              <s:r>
                <s:t xml:space="preserve">Administrator:
12/25 法国回收标贴纸 2500pcs</s:t>
              </s:r>
            </s:text>
          </item>
        </commentChain>
      </unresolved>
      <resolved/>
    </commentChains>
    <commentChains s:ref="AI962" rgbClr="FF0000">
      <unresolved>
        <commentChain chainId="421ba2e058cc33d0a9a0ba3744ae62fc9271d001">
          <item id="42e1ce95729aaca622f8e316c8ceb8c966c1f94c" isNormal="1">
            <s:text>
              <s:r>
                <s:t xml:space="preserve">Administrator:
1600962 1/3 46000pcs庞3a22</s:t>
              </s:r>
            </s:text>
          </item>
        </commentChain>
      </unresolved>
      <resolved/>
    </commentChains>
    <commentChains s:ref="AL963" rgbClr="FF0000">
      <unresolved>
        <commentChain chainId="893801323e9725cda3887bcae9e708ba03f73dd5">
          <item id="98550474413adc9a04ee465181a265927e4c2800" isNormal="1">
            <s:text>
              <s:r>
                <s:t xml:space="preserve">Administrator:
12/9 亚马逊外箱贴纸 84pcs</s:t>
              </s:r>
            </s:text>
          </item>
        </commentChain>
      </unresolved>
      <resolved/>
    </commentChains>
    <commentChains s:ref="AI965" rgbClr="FF0000">
      <unresolved>
        <commentChain chainId="50910d2ab9e05329c51e50c0278168a947da8fab">
          <item id="1adcc943b38f7aa8cc93e01b8d0aa6c32d23ab17" isNormal="1">
            <s:text>
              <s:r>
                <s:t xml:space="preserve">Administrator:
1600992 1/5 132pcs
王4b1</s:t>
              </s:r>
            </s:text>
          </item>
        </commentChain>
      </unresolved>
      <resolved/>
    </commentChains>
    <commentChains s:ref="AL965" rgbClr="FF0000">
      <unresolved>
        <commentChain chainId="e2d59aea43ba8c66adefa3b919e788652237a6e4">
          <item id="6b95777248fb804725b43181f9360891c46070bc" isNormal="1">
            <s:text>
              <s:r>
                <s:t xml:space="preserve">Administrator:
12/23 客供价格贴纸 746pcs</s:t>
              </s:r>
            </s:text>
          </item>
        </commentChain>
      </unresolved>
      <resolved/>
    </commentChains>
    <commentChains s:ref="AL967" rgbClr="FF0000">
      <unresolved>
        <commentChain chainId="788d1b0c1bc099f46350ecd660deccc57c296ed4">
          <item id="f9d8595677c416e37a0762b1fb3ad15dc99c6027" isNormal="1">
            <s:text>
              <s:r>
                <s:t xml:space="preserve">Administrator:
12/23 客供价格贴纸 798pcs</s:t>
              </s:r>
            </s:text>
          </item>
        </commentChain>
      </unresolved>
      <resolved/>
    </commentChains>
    <commentChains s:ref="AI968" rgbClr="FF0000">
      <unresolved>
        <commentChain chainId="6579d1a265c159dc9e894536f1f29390f62fa208">
          <item id="6a3d906bc02ab898fb87839c133fa4f593b42cf7" isNormal="1">
            <s:text>
              <s:r>
                <s:t xml:space="preserve">Administrator:
1600992 1/5 720pcs
王4b1
</s:t>
              </s:r>
            </s:text>
          </item>
        </commentChain>
      </unresolved>
      <resolved/>
    </commentChains>
    <commentChains s:ref="AL968" rgbClr="FF0000">
      <unresolved>
        <commentChain chainId="216bd4954fdcca1835deb5f7a8345e40fda73a05">
          <item id="429201d1487083b2abf26b02b2a137ab552200d3" isNormal="1">
            <s:text>
              <s:r>
                <s:t xml:space="preserve">Administrator:
12/23 客供价格贴纸 792pcs</s:t>
              </s:r>
            </s:text>
          </item>
        </commentChain>
      </unresolved>
      <resolved/>
    </commentChains>
    <commentChains s:ref="AL969" rgbClr="FF0000">
      <unresolved>
        <commentChain chainId="4f9f9dbb79d2eda25556a372d149f681c4cdc603">
          <item id="5d85806afb071961ee4db3f54994abb4cdb2259c" isNormal="1">
            <s:text>
              <s:r>
                <s:t xml:space="preserve">Administrator:
12/23 客供价格贴纸 198pcs
</s:t>
              </s:r>
            </s:text>
          </item>
        </commentChain>
      </unresolved>
      <resolved/>
    </commentChains>
    <commentChains s:ref="AI970" rgbClr="FF0000">
      <unresolved>
        <commentChain chainId="e22a2296a884f498f6b6b873b05476c0af3d9ee0">
          <item id="2c4fbc96cf25f0f5d67fcf3d7126744838987a32" isNormal="1">
            <s:text>
              <s:r>
                <s:t xml:space="preserve">Administrator:
1600992 1/5 180pcs
王4b1</s:t>
              </s:r>
            </s:text>
          </item>
        </commentChain>
      </unresolved>
      <resolved/>
    </commentChains>
    <commentChains s:ref="AL970" rgbClr="FF0000">
      <unresolved>
        <commentChain chainId="d19ce6f6955d667ace6da4abf6160192b6726e9c">
          <item id="5afbac69bff333e1b9dc539d1935533d7270a8fa" isNormal="1">
            <s:text>
              <s:r>
                <s:t xml:space="preserve">Administrator:
12/23 客供价格贴纸 198pcs
</s:t>
              </s:r>
            </s:text>
          </item>
        </commentChain>
      </unresolved>
      <resolved/>
    </commentChains>
    <commentChains s:ref="AL971" rgbClr="FF0000">
      <unresolved>
        <commentChain chainId="490bdc4378a1d4e5fb9b63f5734844fc3583793e">
          <item id="04019206660dfa40cbafad97efbbcaea5cae5c0c" isNormal="1">
            <s:text>
              <s:r>
                <s:t xml:space="preserve">Administrator:
12/23 客供价格贴纸 792pcs
</s:t>
              </s:r>
            </s:text>
          </item>
        </commentChain>
      </unresolved>
      <resolved/>
    </commentChains>
    <commentChains s:ref="AL972" rgbClr="FF0000">
      <unresolved>
        <commentChain chainId="387ef4efc9da1429f671680382c97eec4b0ab8c2">
          <item id="fd5988cd8f39a1440451d323486cc9346842c492" isNormal="1">
            <s:text>
              <s:r>
                <s:t xml:space="preserve">Administrator:
12/23 客供价格贴纸 198pcs
</s:t>
              </s:r>
            </s:text>
          </item>
        </commentChain>
      </unresolved>
      <resolved/>
    </commentChains>
    <commentChains s:ref="AI973" rgbClr="FF0000">
      <unresolved>
        <commentChain chainId="69568ec1fc7ef8b6ea714ccf114fecb8d49ccdec">
          <item id="7d693636ff697c1bbe9fcbb8b21e878c8a07f17a" isNormal="1">
            <s:text>
              <s:r>
                <s:t xml:space="preserve">Administrator:
1600952 1/2 3600pcs 庞3b8
1601043 1/8 100pcs庞3b8
</s:t>
              </s:r>
            </s:text>
          </item>
        </commentChain>
      </unresolved>
      <resolved/>
    </commentChains>
    <commentChains s:ref="AL973" rgbClr="FF0000">
      <unresolved>
        <commentChain chainId="2fc449801bb2d675417dd0a2bbf73c94064178af">
          <item id="cd7914fe49884a5dd27b313b03bf789d77c79d9a" isNormal="1">
            <s:text>
              <s:r>
                <s:t xml:space="preserve">Administrator:
12/15 进口商贴纸 3600pcs</s:t>
              </s:r>
            </s:text>
          </item>
        </commentChain>
      </unresolved>
      <resolved/>
    </commentChains>
    <commentChains s:ref="AI974" rgbClr="FF0000">
      <unresolved>
        <commentChain chainId="fb74b4ca27976a15f98b9fda1fd4b3816088c751">
          <item id="128b2b1d7ea37dd9a0ebb2af3dda65a39ffb93a0" isNormal="1">
            <s:text>
              <s:r>
                <s:t xml:space="preserve">Administrator:
1601013 1/6 912PCS 华3b11</s:t>
              </s:r>
            </s:text>
          </item>
        </commentChain>
      </unresolved>
      <resolved/>
    </commentChains>
    <commentChains s:ref="AL974" rgbClr="FF0000">
      <unresolved>
        <commentChain chainId="72945a7152612806eb153d42c2a97a835ec9f954">
          <item id="28148c93f492e85003b2b78caaeab606bd7cc0e0" isNormal="1">
            <s:text>
              <s:r>
                <s:t xml:space="preserve">Administrator:
12/9 亚马逊外箱贴纸 76pcs
12/25 空白贴纸 1824pcs
环保标贴纸 912pcs</s:t>
              </s:r>
            </s:text>
          </item>
        </commentChain>
      </unresolved>
      <resolved/>
    </commentChains>
    <commentChains s:ref="AI975" rgbClr="FF0000">
      <unresolved>
        <commentChain chainId="08574866cc861c14d1f60db2dd318242ba5704ce">
          <item id="18985979e19475efca60d9e9d4b31e29ceac489e" isNormal="1">
            <s:text>
              <s:r>
                <s:t xml:space="preserve">Administrator:
1601028 1/6 1080PCS 华3a29 
1601013 1/6 5220PCS华3a29
</s:t>
              </s:r>
            </s:text>
          </item>
        </commentChain>
      </unresolved>
      <resolved/>
    </commentChains>
    <commentChains s:ref="AL975" rgbClr="FF0000">
      <unresolved>
        <commentChain chainId="0b11db9b6a400ac928873c6ab7eaf0d74383d7fe">
          <item id="ecd736008d7a7652f3ac4aa6a876f64a6dcea76b" isNormal="1">
            <s:text>
              <s:r>
                <s:t xml:space="preserve">Administrator:
12/9 亚马逊外箱贴纸 525pcs
12/25 空白贴纸 12600pcs
环保标贴纸 6300pcs</s:t>
              </s:r>
            </s:text>
          </item>
        </commentChain>
      </unresolved>
      <resolved/>
    </commentChains>
    <commentChains s:ref="AI976" rgbClr="FF0000">
      <unresolved>
        <commentChain chainId="85d413f3c4202fbf42e9004d40c78b6b5f169bbb">
          <item id="d2c5ebdda2a5072a98f4adff63a795761bea838f" isNormal="1">
            <s:text>
              <s:r>
                <s:t xml:space="preserve">Administrator:
1601038 1/6 2600pcs王4b5</s:t>
              </s:r>
            </s:text>
          </item>
        </commentChain>
      </unresolved>
      <resolved/>
    </commentChains>
    <commentChains s:ref="AL976" rgbClr="FF0000">
      <unresolved>
        <commentChain chainId="8a37382bb42f28d67aa07e44be3166dcfdcaa4b1">
          <item id="b4920d554c32cfc8b9c11950d5403d9c6b9e0c13" isNormal="1">
            <s:text>
              <s:r>
                <s:t xml:space="preserve">Administrator:
12/24 客供防窜码贴纸1拖13 200pcs
12/30 条码贴纸 2600pcs</s:t>
              </s:r>
            </s:text>
          </item>
        </commentChain>
      </unresolved>
      <resolved/>
    </commentChains>
    <commentChains s:ref="AI977" rgbClr="FF0000">
      <unresolved>
        <commentChain chainId="8a8fbc1baaa460b912e2da492c4645d1ea18d59a">
          <item id="64f75a7490af1e0d833cf79c815dccdf5f9fdc75" isNormal="1">
            <s:text>
              <s:r>
                <s:t xml:space="preserve">Administrat
1601028  1/6 8000PCS
华3a21</s:t>
              </s:r>
            </s:text>
          </item>
        </commentChain>
      </unresolved>
      <resolved/>
    </commentChains>
    <commentChains s:ref="AI980" rgbClr="FF0000">
      <unresolved>
        <commentChain chainId="1cd628e4fe4dbb324506d6d599d201b691fe2c81">
          <item id="cfd10d0cfd98f379d5b22264e086427d152385c8" isNormal="1">
            <s:text>
              <s:r>
                <s:t xml:space="preserve">Administrator:
1601032 1/6 50000pcs晚饭4a7</s:t>
              </s:r>
            </s:text>
          </item>
        </commentChain>
      </unresolved>
      <resolved/>
    </commentChains>
    <commentChains s:ref="AI981" rgbClr="FF0000">
      <unresolved>
        <commentChain chainId="3c90c42f1cd373737e4006fb7503f2ce785d595c">
          <item id="f0976c08638f638ad93f833396d8215d0c1e15d8" isNormal="1">
            <s:text>
              <s:r>
                <s:t xml:space="preserve">Administrator:
1601038 1/6 12000pcs王4c4</s:t>
              </s:r>
            </s:text>
          </item>
        </commentChain>
      </unresolved>
      <resolved/>
    </commentChains>
    <commentChains s:ref="AL981" rgbClr="FF0000">
      <unresolved>
        <commentChain chainId="607ecae43a082f79f71e80a92c52261ebe4611b6">
          <item id="bdecfa23450e77e85cd03d19b8873836b2a08465" isNormal="1">
            <s:text>
              <s:r>
                <s:t xml:space="preserve">Administrator:
12/25 法国回收标贴纸 12000pcs</s:t>
              </s:r>
            </s:text>
          </item>
        </commentChain>
      </unresolved>
      <resolved/>
    </commentChains>
    <commentChains s:ref="AI982" rgbClr="FF0000">
      <unresolved>
        <commentChain chainId="f43dc2b04366f94eab03e753837411b8843a553e">
          <item id="752b7a03779c2b10da1820396623d4f4e40f20a1" isNormal="1">
            <s:text>
              <s:r>
                <s:t xml:space="preserve">Administrator:
1601028  1/6 2925PCS华3b21</s:t>
              </s:r>
            </s:text>
          </item>
        </commentChain>
      </unresolved>
      <resolved/>
    </commentChains>
    <commentChains s:ref="AI983" rgbClr="FF0000">
      <unresolved>
        <commentChain chainId="fe32cb3a25bf72b5de80df514dc6e71193facd77">
          <item id="373dbb95bfd0cc7bd9ce105fed97bd56620aab1b" isNormal="1">
            <s:text>
              <s:r>
                <s:t xml:space="preserve">Administra
1601038 1/6 520pcs王4b9</s:t>
              </s:r>
            </s:text>
          </item>
        </commentChain>
      </unresolved>
      <resolved/>
    </commentChains>
    <commentChains s:ref="AI984" rgbClr="FF0000">
      <unresolved>
        <commentChain chainId="c566fda63a05c80ca6e97f59b21431b9f4efba73">
          <item id="0bd92db0747969d4cbd161ccedf2042ae45da29c" isNormal="1">
            <s:text>
              <s:r>
                <s:t xml:space="preserve">Administrator:
1403750 5/6 750pcs新a1c7</s:t>
              </s:r>
            </s:text>
          </item>
        </commentChain>
      </unresolved>
      <resolved/>
    </commentChains>
    <commentChains s:ref="AI985" rgbClr="FF0000">
      <unresolved>
        <commentChain chainId="07c721917f4cbf5b0e1bd31f059a96016d9d61a0">
          <item id="400384211acea90a12de59783c0afdb1bbd1f0d6" isNormal="1">
            <s:text>
              <s:r>
                <s:t xml:space="preserve">Administrator:
1601043 1/8 9893pcs 晚饭4c4</s:t>
              </s:r>
            </s:text>
          </item>
        </commentChain>
      </unresolved>
      <resolved/>
    </commentChains>
    <commentChains s:ref="AL986" rgbClr="FF0000">
      <unresolved>
        <commentChain chainId="32ffea9dbc18a4cdd5e216ddfb3416ec69101533">
          <item id="8fd58f6fd04500fea22fd54f3a3531eab7b368ab" isNormal="1">
            <s:text>
              <s:r>
                <s:t xml:space="preserve">Administrator:
11/22 上客供芯片贴纸660pcs
12/10 颜色贴纸 660pcs</s:t>
              </s:r>
            </s:text>
          </item>
        </commentChain>
      </unresolved>
      <resolved/>
    </commentChains>
    <commentChains s:ref="AL987" rgbClr="FF0000">
      <unresolved>
        <commentChain chainId="001f2d333e085cb711ffaafecb7d8054aa77912f">
          <item id="2793aa70c71d9dd6aaae499f672e743e8828ce4e" isNormal="1">
            <s:text>
              <s:r>
                <s:t xml:space="preserve">Administrator:
11/22 上客供芯片贴纸1800pcs
12/10 颜色贴纸 1800pcs</s:t>
              </s:r>
            </s:text>
          </item>
        </commentChain>
      </unresolved>
      <resolved/>
    </commentChains>
    <commentChains s:ref="AL988" rgbClr="FF0000">
      <unresolved>
        <commentChain chainId="f9e60e5727f367585b74f7c08761d20506c5bcc9">
          <item id="838236c6b25c54f330c00d460941df4df53d72a8" isNormal="1">
            <s:text>
              <s:r>
                <s:t xml:space="preserve">Administrator:
12/9 3c贴纸 1200pcs
12/25 上客供芯片码贴纸1200pcs
12/10 颜色贴纸 1200pcs
空白贴纸 1200pcs</s:t>
              </s:r>
            </s:text>
          </item>
        </commentChain>
      </unresolved>
      <resolved/>
    </commentChains>
    <commentChains s:ref="AI989" rgbClr="FF0000">
      <unresolved>
        <commentChain chainId="26d630ddbfaa2df20e563dd783e4c6b9522b4613">
          <item id="f3e394ced7d5378f274255099a82dd439e2065e3" isNormal="1">
            <s:text>
              <s:r>
                <s:t xml:space="preserve">Administrator:
1601184 1/17 624pcs
庞3b8</s:t>
              </s:r>
            </s:text>
          </item>
        </commentChain>
      </unresolved>
      <resolved/>
    </commentChains>
    <commentChains s:ref="AL989" rgbClr="FF0000">
      <unresolved>
        <commentChain chainId="21f4b099ead2812c7b856e345ff600ea5fa73cf5">
          <item id="8324f9722315ad8147849c2ef27172259da244a0" isNormal="1">
            <s:text>
              <s:r>
                <s:t xml:space="preserve">Administrator:
1/5 客供亚马逊外箱贴纸 52pcs
</s:t>
              </s:r>
            </s:text>
          </item>
        </commentChain>
      </unresolved>
      <resolved/>
    </commentChains>
    <commentChains s:ref="AI990" rgbClr="FF0000">
      <unresolved>
        <commentChain chainId="cd971515623bfcfa3c8e2f8c06268bfa098e837a">
          <item id="0702df2ac0ac5e052379e0c634503752c2f8db27" isNormal="1">
            <s:text>
              <s:r>
                <s:t xml:space="preserve">Administrator:
1601184 1/17 4572pcs
庞1f7</s:t>
              </s:r>
            </s:text>
          </item>
        </commentChain>
      </unresolved>
      <resolved/>
    </commentChains>
    <commentChains s:ref="AL990" rgbClr="FF0000">
      <unresolved>
        <commentChain chainId="b7a1d8ce3aaeb52b4c108c813ffe1fd243d85434">
          <item id="3868821eba6567dec2aa972ce5dc799302c1c3d4" isNormal="1">
            <s:text>
              <s:r>
                <s:t xml:space="preserve">Administrator:
1/5 客供亚马逊外箱贴纸 381pcs</s:t>
              </s:r>
            </s:text>
          </item>
        </commentChain>
      </unresolved>
      <resolved/>
    </commentChains>
    <commentChains s:ref="AI991" rgbClr="FF0000">
      <unresolved>
        <commentChain chainId="1a6692cea14e7dca6d801e613b20c3a7f1432f38">
          <item id="114e55216a34fb39e994f9fbad8d0e23f1510497" isNormal="1">
            <s:text>
              <s:r>
                <s:t xml:space="preserve">Administrator:
1601184 1/17 408pcs
庞3a16</s:t>
              </s:r>
            </s:text>
          </item>
        </commentChain>
      </unresolved>
      <resolved/>
    </commentChains>
    <commentChains s:ref="AL991" rgbClr="FF0000">
      <unresolved>
        <commentChain chainId="4bdab75c74287e955deaaf74bafc73b88748124c">
          <item id="97e7aaf0cd0ea068e4aaaf2001dad2074051bf17" isNormal="1">
            <s:text>
              <s:r>
                <s:t xml:space="preserve">Administrator:
1/5 客供亚马逊外箱贴纸 34pcs
</s:t>
              </s:r>
            </s:text>
          </item>
        </commentChain>
      </unresolved>
      <resolved/>
    </commentChains>
    <commentChains s:ref="AI992" rgbClr="FF0000">
      <unresolved>
        <commentChain chainId="8043031ecfa456316d51463e2890eb5433024bf4">
          <item id="865796104b56d928d4ec2f9be5b9bfce629a2b65" isNormal="1">
            <s:text>
              <s:r>
                <s:t xml:space="preserve">Administrator:
1601182 1/17 10464pcs 庞登1楼</s:t>
              </s:r>
            </s:text>
          </item>
        </commentChain>
      </unresolved>
      <resolved/>
    </commentChains>
    <commentChains s:ref="AL992" rgbClr="FF0000">
      <unresolved>
        <commentChain chainId="fd5764684628221efad9812ff1440200c0bf4c0d">
          <item id="33a4a30533dfa75b2004b123af9730337be5f0f8" isNormal="1">
            <s:text>
              <s:r>
                <s:t xml:space="preserve">Administrator:
1/5 客供亚马逊外箱贴纸 872pcs
</s:t>
              </s:r>
            </s:text>
          </item>
        </commentChain>
      </unresolved>
      <resolved/>
    </commentChains>
    <commentChains s:ref="AI993" rgbClr="FF0000">
      <unresolved>
        <commentChain chainId="f5a7a9563492d342351362adbf230772f74614c9">
          <item id="39d9f158bcd8d1ffb2521abb3d20a718f5c377e6" isNormal="1">
            <s:text>
              <s:r>
                <s:t xml:space="preserve">Administrator:
1601184 1/17 2664pcs
庞3a16</s:t>
              </s:r>
            </s:text>
          </item>
        </commentChain>
      </unresolved>
      <resolved/>
    </commentChains>
    <commentChains s:ref="AL993" rgbClr="FF0000">
      <unresolved>
        <commentChain chainId="944dec6d6b70af904d989610541006ee9fad5cec">
          <item id="a1e2971f85d5f9d0c7d10f954de5109afd09645f" isNormal="1">
            <s:text>
              <s:r>
                <s:t xml:space="preserve">Administrator:
1/5 客供亚马逊外箱贴纸 222pcs
</s:t>
              </s:r>
            </s:text>
          </item>
        </commentChain>
      </unresolved>
      <resolved/>
    </commentChains>
    <commentChains s:ref="AI994" rgbClr="FF0000">
      <unresolved>
        <commentChain chainId="60808d56537e486f76cba00b026358b7c6791949">
          <item id="01cfd5735d0d91fc51dc295f02c4d4d3a4082b5c" isNormal="1">
            <s:text>
              <s:r>
                <s:t xml:space="preserve">Administrator:
1601182 1/17 96pcs
庞登1楼
</s:t>
              </s:r>
            </s:text>
          </item>
        </commentChain>
      </unresolved>
      <resolved/>
    </commentChains>
    <commentChains s:ref="AL994" rgbClr="FF0000">
      <unresolved>
        <commentChain chainId="15d29adf4c1761fa9187cfba222c414c89077c4b">
          <item id="c4550df3fde5ae13e755c3fe64610429f39f1e26" isNormal="1">
            <s:text>
              <s:r>
                <s:t xml:space="preserve">Administrator:
1/5 客供亚马逊外箱贴纸 8pcs
</s:t>
              </s:r>
            </s:text>
          </item>
        </commentChain>
      </unresolved>
      <resolved/>
    </commentChains>
    <commentChains s:ref="AI995" rgbClr="FF0000">
      <unresolved>
        <commentChain chainId="a1f08ba1f44b0ea8b16900bf6e512596702d6b77">
          <item id="b57b5e2d907b2d0fa884b2a069b287965adc3e1d" isNormal="1">
            <s:text>
              <s:r>
                <s:t xml:space="preserve">Administrator:
1601057 1/9 1500pcs庞3a27</s:t>
              </s:r>
            </s:text>
          </item>
        </commentChain>
      </unresolved>
      <resolved/>
    </commentChains>
    <commentChains s:ref="AI996" rgbClr="FF0000">
      <unresolved>
        <commentChain chainId="f91924b7191d09d260056c144aa2f47c7b3bb3f2">
          <item id="a491ad517b2f596c89e701dd6a06968e91adb0be" isNormal="1">
            <s:text>
              <s:r>
                <s:t xml:space="preserve">Administrator:
1601065 1/9 4576pcs华3a27</s:t>
              </s:r>
            </s:text>
          </item>
        </commentChain>
      </unresolved>
      <resolved/>
    </commentChains>
    <commentChains s:ref="AI997" rgbClr="FF0000">
      <unresolved>
        <commentChain chainId="5a7616349c290a645934d1835ed00ef975ab05cf">
          <item id="2e86eab39f13e8644843a2edd73db37529e0d4b9" isNormal="1">
            <s:text>
              <s:r>
                <s:t xml:space="preserve">Administrator:
1601168 1/15 720pcs庞3b8</s:t>
              </s:r>
            </s:text>
          </item>
        </commentChain>
      </unresolved>
      <resolved/>
    </commentChains>
    <commentChains s:ref="AL997" rgbClr="FF0000">
      <unresolved>
        <commentChain chainId="8257253aadd63fb9e20aded9909edb8bf33af024">
          <item id="2074296736b120e535c923ca0b8a93c5f4fafdce" isNormal="1">
            <s:text>
              <s:r>
                <s:t xml:space="preserve">Administrator:
11/22 客供NJ外箱贴纸88pcs
通用客供外箱贴纸60pcs
12/25 价格贴纸 1440pcs</s:t>
              </s:r>
            </s:text>
          </item>
        </commentChain>
      </unresolved>
      <resolved/>
    </commentChains>
    <commentChains s:ref="AI998" rgbClr="FF0000">
      <unresolved>
        <commentChain chainId="0c8f96a5b84c3685add9e38ae4f469f95426a53c">
          <item id="c79f16ebcd4681f1a92e8ffeb3c9d6dff8021efc" isNormal="1">
            <s:text>
              <s:r>
                <s:t xml:space="preserve">Administrator:
1601168 1/15 312pcs
庞3b8</s:t>
              </s:r>
            </s:text>
          </item>
        </commentChain>
      </unresolved>
      <resolved/>
    </commentChains>
    <commentChains s:ref="AL998" rgbClr="FF0000">
      <unresolved>
        <commentChain chainId="f0aeae88b786c0762d1dcb4ba3ed771e5f310321">
          <item id="8b7298c4d3168232c15985959c49483602832014" isNormal="1">
            <s:text>
              <s:r>
                <s:t xml:space="preserve">Administrator:
11/22 客供NV外箱贴纸26pcs
通用客供外箱贴纸26pcs
12/25 价格贴纸 312pcs</s:t>
              </s:r>
            </s:text>
          </item>
        </commentChain>
      </unresolved>
      <resolved/>
    </commentChains>
    <commentChains s:ref="AI999" rgbClr="FF0000">
      <unresolved>
        <commentChain chainId="4f17a27e44506681982af1e6d54009fcacd940ad">
          <item id="fd8de354dc24bb89f97b6deced817d17ace1b732" isNormal="1">
            <s:text>
              <s:r>
                <s:t xml:space="preserve">Administrator:
1601116 1/13 4000pcs庞3b8</s:t>
              </s:r>
            </s:text>
          </item>
        </commentChain>
      </unresolved>
      <resolved/>
    </commentChains>
    <commentChains s:ref="AL999" rgbClr="FF0000">
      <unresolved>
        <commentChain chainId="bf84872097e107c352ebdcf3fec696513972ba0e">
          <item id="4468486fafddbca11baea6f74ec74ac729209d96" isNormal="1">
            <s:text>
              <s:r>
                <s:t xml:space="preserve">Administrator:
12/25 西班牙环保标贴纸 4000pcs</s:t>
              </s:r>
            </s:text>
          </item>
        </commentChain>
      </unresolved>
      <resolved/>
    </commentChains>
    <commentChains s:ref="AL1000" rgbClr="FF0000">
      <unresolved>
        <commentChain chainId="852e66bc3c6c82b547aa01229cf64c82d84ba31b">
          <item id="cfae05ff5b9a678ad600fb88ac2bc497ac8acd64" isNormal="1">
            <s:text>
              <s:r>
                <s:t xml:space="preserve">Administrator:
12/25 EAN贴纸 360pcs
空白贴纸 360pcs</s:t>
              </s:r>
            </s:text>
          </item>
        </commentChain>
      </unresolved>
      <resolved/>
    </commentChains>
    <commentChains s:ref="AI1001" rgbClr="FF0000">
      <unresolved>
        <commentChain chainId="71df67e7fc7b97d6619d78e24fe5b77836c77aab">
          <item id="a5506adfb1e175236736fac84d1acb7856d8013b" isNormal="1">
            <s:text>
              <s:r>
                <s:t xml:space="preserve">Administrator:
4001758 1/14 1200pcs</s:t>
              </s:r>
            </s:text>
          </item>
        </commentChain>
      </unresolved>
      <resolved/>
    </commentChains>
    <commentChains s:ref="AI1002" rgbClr="FF0000">
      <unresolved>
        <commentChain chainId="34c87a09f046a086f767ec9147031266d38c4772">
          <item id="152deddd964c28557c41c23088a1fa59dc0007b6" isNormal="1">
            <s:text>
              <s:r>
                <s:t xml:space="preserve">Administrator:
1601184 1/17 1104pcs庞3a16</s:t>
              </s:r>
            </s:text>
          </item>
        </commentChain>
      </unresolved>
      <resolved/>
    </commentChains>
    <commentChains s:ref="AL1002" rgbClr="FF0000">
      <unresolved>
        <commentChain chainId="e05f6a4442ae3f496fb09e512affcdaaacddac5c">
          <item id="891fb9d096d0eb5066714325c4484357ec4a0ab8" isNormal="1">
            <s:text>
              <s:r>
                <s:t xml:space="preserve">Administrator:
12/15 客供价格贴纸 1155pcs</s:t>
              </s:r>
            </s:text>
          </item>
        </commentChain>
      </unresolved>
      <resolved/>
    </commentChains>
    <commentChains s:ref="AI1003" rgbClr="FF0000">
      <unresolved>
        <commentChain chainId="b275bd7d06b0eecf90cc867a2fe7e5ad85336abb">
          <item id="3139f5145819a31f41014767a10424a93f185cda" isNormal="1">
            <s:text>
              <s:r>
                <s:t xml:space="preserve">Administrator:
1601116 1/13 18100pcs 庞3a13</s:t>
              </s:r>
            </s:text>
          </item>
        </commentChain>
      </unresolved>
      <resolved/>
    </commentChains>
    <commentChains s:ref="AL1003" rgbClr="FF0000">
      <unresolved>
        <commentChain chainId="e6acad91df719f891dd662f8442aea1e74111a20">
          <item id="567bfa73eca6ce54fa83f803bd6536135ed23c7b" isNormal="1">
            <s:text>
              <s:r>
                <s:t xml:space="preserve">Administrator:
12/29 西班牙环保标贴纸 18100pcs</s:t>
              </s:r>
            </s:text>
          </item>
        </commentChain>
      </unresolved>
      <resolved/>
    </commentChains>
    <commentChains s:ref="AI1004" rgbClr="FF0000">
      <unresolved>
        <commentChain chainId="b17a9c86216e2b2593d1833bf6b0417ce268c539">
          <item id="16b7863defed48348c222d6ca1b73432408db1bd" isNormal="1">
            <s:text>
              <s:r>
                <s:t xml:space="preserve">Administrator:
1601065 1/9 468pcs
华3b12</s:t>
              </s:r>
            </s:text>
          </item>
        </commentChain>
      </unresolved>
      <resolved/>
    </commentChains>
    <commentChains s:ref="AL1004" rgbClr="FF0000">
      <unresolved>
        <commentChain chainId="e047e0010c8d6bb2453dcb31f251f5d6e5c7b115">
          <item id="c87d8f1a27f2a5f15c22046ca6b9f6a24cdc70e6" isNormal="1">
            <s:text>
              <s:r>
                <s:t xml:space="preserve">Administrator:
12/25 警语贴纸 468pcs</s:t>
              </s:r>
            </s:text>
          </item>
        </commentChain>
      </unresolved>
      <resolved/>
    </commentChains>
    <commentChains s:ref="AI1005" rgbClr="FF0000">
      <unresolved>
        <commentChain chainId="468b02ef9df84b6f6c4061914572fa8b66863a1e">
          <item id="a40ead82e23e5d104d6ee64fab55c610ac9f2d48" isNormal="1">
            <s:text>
              <s:r>
                <s:t xml:space="preserve">Administrator:
4001728 1/10 2520pcs
文本云
4001712 1/13 2880pcs
4001713 1/13 600pcs</s:t>
              </s:r>
            </s:text>
          </item>
        </commentChain>
      </unresolved>
      <resolved/>
    </commentChains>
    <commentChains s:ref="AI1006" rgbClr="FF0000">
      <unresolved>
        <commentChain chainId="bb6f8848a52b7cc55ac3aa971cbc16d3fa12992a">
          <item id="d02cfc89758492393034dfb7f418e2e44e6c84a2" isNormal="1">
            <s:text>
              <s:r>
                <s:t xml:space="preserve">Administrator:
1601187 1/17 1225pcs庞3a16</s:t>
              </s:r>
            </s:text>
          </item>
        </commentChain>
      </unresolved>
      <resolved/>
    </commentChains>
    <commentChains s:ref="AL1006" rgbClr="FF0000">
      <unresolved>
        <commentChain chainId="d96f72df92d85b2eb223510dce3fc0166df12d47">
          <item id="666c0ba2b04c8ac7584fef2b73c7801159c491ae" isNormal="1">
            <s:text>
              <s:r>
                <s:t xml:space="preserve">Administrator:
12/18 DC运输贴纸 21225pcs
12/24 PDQ标识贴 49pcs</s:t>
              </s:r>
            </s:text>
          </item>
        </commentChain>
      </unresolved>
      <resolved/>
    </commentChains>
    <commentChains s:ref="AI1007" rgbClr="FF0000">
      <unresolved>
        <commentChain chainId="5cb1d6269491e6bd812a57cbd04f5c35b66157f3">
          <item id="ea8d73efc5229c56bfe6e43499c0f6fabd9982a6" isNormal="1">
            <s:text>
              <s:r>
                <s:t xml:space="preserve">Administrator:
1601188 1/17 18876pcs
庞1f11
1601190 1/19 4680pcs庞1f11
1601228 1/19 2444pcs
庞1f11</s:t>
              </s:r>
            </s:text>
          </item>
        </commentChain>
      </unresolved>
      <resolved/>
    </commentChains>
    <commentChains s:ref="AL1007" rgbClr="FF0000">
      <unresolved>
        <commentChain chainId="5561f2b13d9892a60e17aff2d73c9d59d7dbc13c">
          <item id="ac5e066b36cdb88a629f0989ef0eb9cacf477eda" isNormal="1">
            <s:text>
              <s:r>
                <s:t xml:space="preserve">Administrator:
12/24 客供防窜码贴纸1拖13 2000pcs12/30 条码贴纸 26000pcs
</s:t>
              </s:r>
            </s:text>
          </item>
        </commentChain>
      </unresolved>
      <resolved/>
    </commentChains>
    <commentChains s:ref="AI1008" rgbClr="FF0000">
      <unresolved>
        <commentChain chainId="b2684d0c6f7d76089efad06336243f06d313f9ad">
          <item id="6395e3cde8cec9ef9070ab7d348b27872b867746" isNormal="1">
            <s:text>
              <s:r>
                <s:t xml:space="preserve">Administrator
1601193 1/19 13260pcs 庞3a20
1601228 1/19 12740pcs 庞1f7</s:t>
              </s:r>
            </s:text>
          </item>
        </commentChain>
      </unresolved>
      <resolved/>
    </commentChains>
    <commentChains s:ref="AL1008" rgbClr="FF0000">
      <unresolved>
        <commentChain chainId="d66202770e93e01cf7e58275afb9db6cc87eef0c">
          <item id="68aefe8026f2995dd91525b651658b7f7f9850bc" isNormal="1">
            <s:text>
              <s:r>
                <s:t xml:space="preserve">Administrator:
12/24 客供防窜码贴纸1拖13 2000pcs
12/30 条码贴纸 26000pcs</s:t>
              </s:r>
            </s:text>
          </item>
        </commentChain>
      </unresolved>
      <resolved/>
    </commentChains>
    <commentChains s:ref="AI1009" rgbClr="FF0000">
      <unresolved>
        <commentChain chainId="4bc1b25ee9a78bb96e2d02edf09cf918212214b3">
          <item id="447004c98e302821e9324ff151320c5c687f5653" isNormal="1">
            <s:text>
              <s:r>
                <s:t xml:space="preserve">Administrator:
1601190 1/19 7280cs
庞3a17</s:t>
              </s:r>
            </s:text>
          </item>
        </commentChain>
      </unresolved>
      <resolved/>
    </commentChains>
    <commentChains s:ref="AL1009" rgbClr="FF0000">
      <unresolved>
        <commentChain chainId="2c6cb9242491732a8436adf2fec4339c440d4fc6">
          <item id="d8cb84cae20be7abbdfaaa971693430e0ae22d26" isNormal="1">
            <s:text>
              <s:r>
                <s:t xml:space="preserve">Administrator:
12/24 客供防窜码贴纸1拖13 560pcs
12/30 条码贴纸 7280pcs
</s:t>
              </s:r>
            </s:text>
          </item>
        </commentChain>
      </unresolved>
      <resolved/>
    </commentChains>
    <commentChains s:ref="AI1010" rgbClr="FF0000">
      <unresolved>
        <commentChain chainId="84cf6b705c3c657ed1843f14d3cf222d972d3c65">
          <item id="29e897a25ea6a4d78e0ff3fecd106fdada123d44" isNormal="1">
            <s:text>
              <s:r>
                <s:t xml:space="preserve">Administrator:
1601187 1/17 3000pcs
庞3b10</s:t>
              </s:r>
            </s:text>
          </item>
        </commentChain>
      </unresolved>
      <resolved/>
    </commentChains>
    <commentChains s:ref="AL1010" rgbClr="FF0000">
      <unresolved>
        <commentChain chainId="3ade569e52c6d958989e410b68557bcb46e81265">
          <item id="2c17c7dd28a39d5383ea6166970c7b663a443ff2" isNormal="1">
            <s:text>
              <s:r>
                <s:t xml:space="preserve">Administrator:
12/27 进口商贴纸 3000pcs
UPC贴纸 3000pcs</s:t>
              </s:r>
            </s:text>
          </item>
        </commentChain>
      </unresolved>
      <resolved/>
    </commentChains>
    <commentChains s:ref="AI1011" rgbClr="FF0000">
      <unresolved>
        <commentChain chainId="d04853341dcfe1b884aece324b885d0a3f7beeb3">
          <item id="cbd58d1c8d3c164d2b9f46525b999807bb4c55f5" isNormal="1">
            <s:text>
              <s:r>
                <s:t xml:space="preserve">Administrator:
1601182 1/17 25pcs
庞3a22
1601175 1/17 6475pcs庞3a22</s:t>
              </s:r>
            </s:text>
          </item>
        </commentChain>
      </unresolved>
      <resolved/>
    </commentChains>
    <commentChains s:ref="AL1011" rgbClr="FF0000">
      <unresolved>
        <commentChain chainId="0ea1e348025519d2a6260a087a6727dc8f96a467">
          <item id="a555cc80237c2b00fc211b10707548dfd8321b0c" isNormal="1">
            <s:text>
              <s:r>
                <s:t xml:space="preserve">Administrator:
12/27 法国sorting label贴纸 6500pcs</s:t>
              </s:r>
            </s:text>
          </item>
        </commentChain>
      </unresolved>
      <resolved/>
    </commentChains>
    <commentChains s:ref="AI1012" rgbClr="FF0000">
      <unresolved>
        <commentChain chainId="c396a420602d9aa021dbf01d11e3fe45bed8cd90">
          <item id="b006b917de79cd0588cd7d24e5283eb423cea15f" isNormal="1">
            <s:text>
              <s:r>
                <s:t xml:space="preserve">Administrator:
1601228 1/19 5980pcs
庞3b17</s:t>
              </s:r>
            </s:text>
          </item>
        </commentChain>
      </unresolved>
      <resolved/>
    </commentChains>
    <commentChains s:ref="AL1012" rgbClr="FF0000">
      <unresolved>
        <commentChain chainId="a99aef38139412e5525d1523ec65f520bcedf496">
          <item id="4d8594b5fdcca0283c6b1462d7f22cd2bb65e0ca" isNormal="1">
            <s:text>
              <s:r>
                <s:t xml:space="preserve">Administrator:
12/22 UPC 条码贴纸 5980pcs
韩语贴纸(正面 5980pcs
韩语贴纸(球底) 5980pcs</s:t>
              </s:r>
            </s:text>
          </item>
        </commentChain>
      </unresolved>
      <resolved/>
    </commentChains>
    <commentChains s:ref="AI1013" rgbClr="FF0000">
      <unresolved>
        <commentChain chainId="0cefa628caf198707389821f5ac75bf188e8c8fb">
          <item id="b63ba767464c97b881bdd26a21a0fa833cc7d200" isNormal="1">
            <s:text>
              <s:r>
                <s:t xml:space="preserve">Administrator:
1601182 1/17 9000pcs
庞登1楼</s:t>
              </s:r>
            </s:text>
          </item>
        </commentChain>
      </unresolved>
      <resolved/>
    </commentChains>
    <commentChains s:ref="AI1014" rgbClr="FF0000">
      <unresolved>
        <commentChain chainId="5afbdad49a6d42893b1f07a7b83bd9e7c5e91a9b">
          <item id="3f1b7e8571659a8bd9a39bd2b0e2b2f27501429f" isNormal="1">
            <s:text>
              <s:r>
                <s:t xml:space="preserve">Administrator:
4001773 1/20 504pcs 庞3b13</s:t>
              </s:r>
            </s:text>
          </item>
        </commentChain>
      </unresolved>
      <resolved/>
    </commentChains>
    <commentChains s:ref="AI1015" rgbClr="FF0000">
      <unresolved>
        <commentChain chainId="f04b0972f46b1b55c0f129938b34a2e2492323ff">
          <item id="a1517efccf73ade55fad3d22d851d8460c907892" isNormal="1">
            <s:text>
              <s:r>
                <s:t xml:space="preserve">Administrator:
1601187 1/17 1512pcs
庞3b8</s:t>
              </s:r>
            </s:text>
          </item>
        </commentChain>
      </unresolved>
      <resolved/>
    </commentChains>
    <commentChains s:ref="AL1015" rgbClr="FF0000">
      <unresolved>
        <commentChain chainId="2c030ab73e8ba9a544789ba740860907f7fc6f85">
          <item id="df3afd6bde60199964530341c892b8def1d0e8e1" isNormal="1">
            <s:text>
              <s:r>
                <s:t xml:space="preserve">Administrator:
12/16 客人白色Cat.label 1512pcs</s:t>
              </s:r>
            </s:text>
          </item>
        </commentChain>
      </unresolved>
      <resolved/>
    </commentChains>
    <commentChains s:ref="AI1016" rgbClr="FF0000">
      <unresolved>
        <commentChain chainId="b809c69357e0f6efb7e12214d0f0839bd9c842df">
          <item id="eaa203eea2ae015a5c1884514c036b0354a9b0f3" isNormal="1">
            <s:text>
              <s:r>
                <s:t xml:space="preserve">Administrator:
1601121 1/13 40040pcs王4b8</s:t>
              </s:r>
            </s:text>
          </item>
        </commentChain>
      </unresolved>
      <resolved/>
    </commentChains>
    <commentChains s:ref="AL1016" rgbClr="FF0000">
      <unresolved>
        <commentChain chainId="76cdccddfb4a88ad8df9cde4fe60f6875ded2b80">
          <item id="a9e7bdb9176c4832a606df33db346740a71383ee" isNormal="1">
            <s:text>
              <s:r>
                <s:t xml:space="preserve">Administrator:
12/31 外箱贴纸 770pcs
价格贴纸 40040pcs</s:t>
              </s:r>
            </s:text>
          </item>
        </commentChain>
      </unresolved>
      <resolved/>
    </commentChains>
    <commentChains s:ref="AI1017" rgbClr="FF0000">
      <unresolved>
        <commentChain chainId="376fb27ef512072a6e8fccfae89a0ccd2e7341c3">
          <item id="dd6a34b3daa3a54d09a51bd08afb0ad12daa5e30" isNormal="1">
            <s:text>
              <s:r>
                <s:t xml:space="preserve">Administrator:
1601228 1/19 1500pcs
庞3b7</s:t>
              </s:r>
            </s:text>
          </item>
        </commentChain>
      </unresolved>
      <resolved/>
    </commentChains>
    <commentChains s:ref="AL1017" rgbClr="FF0000">
      <unresolved>
        <commentChain chainId="279792de7b9ceae2705d6a38ad9052cd2070b2e3">
          <item id="dd8e28a42eb27e185b9c99e6b9d80d5d4f9a80ce" isNormal="1">
            <s:text>
              <s:r>
                <s:t xml:space="preserve">Administrator:
1/13 UPC贴纸 1500pcs</s:t>
              </s:r>
            </s:text>
          </item>
        </commentChain>
      </unresolved>
      <resolved/>
    </commentChains>
    <commentChains s:ref="AI1018" rgbClr="FF0000">
      <unresolved>
        <commentChain chainId="4f8187390a34115ce5857610dabfc0fee660e143">
          <item id="d8cca905c14be779e5f6d0b68b1334042fdb4d1d" isNormal="1">
            <s:text>
              <s:r>
                <s:t xml:space="preserve">Administrator:
1601187 1/17 780pcs
庞3b8</s:t>
              </s:r>
            </s:text>
          </item>
        </commentChain>
      </unresolved>
      <resolved/>
    </commentChains>
    <commentChains s:ref="AI1019" rgbClr="FF0000">
      <unresolved>
        <commentChain chainId="79dd3a3f11718b59db234f46905d69b17e35de44">
          <item id="38bf4d814225f0b7b93485adda48201722b3372b" isNormal="1">
            <s:text>
              <s:r>
                <s:t xml:space="preserve">Administrator:
1601208 1/22 21180pcs庞3a27</s:t>
              </s:r>
            </s:text>
          </item>
        </commentChain>
      </unresolved>
      <resolved/>
    </commentChains>
    <commentChains s:ref="AL1019" rgbClr="FF0000">
      <unresolved>
        <commentChain chainId="9f294a517efc246d34fb6dec0ad504218d387138">
          <item id="653fdc4e13400c15ef6c2c3ad07067eef4c1c8ff" isNormal="1">
            <s:text>
              <s:r>
                <s:t xml:space="preserve">Administrator:
12/27 上产品彩色贴纸7060pcs
12/8 客供白色防盗贴纸 22000pcs
 </s:t>
              </s:r>
            </s:text>
          </item>
        </commentChain>
      </unresolved>
      <resolved/>
    </commentChains>
    <commentChains s:ref="AI1020" rgbClr="FF0000">
      <unresolved>
        <commentChain chainId="768c3b89641b7a2338f3853a06a0119c1576b0fc">
          <item id="2feaa9e3fb4fcd91f543180e60d945508e674504" isNormal="1">
            <s:text>
              <s:r>
                <s:t xml:space="preserve">Administrator:
1601263 1/23 3500pcs庞3b8</s:t>
              </s:r>
            </s:text>
          </item>
        </commentChain>
      </unresolved>
      <resolved/>
    </commentChains>
    <commentChains s:ref="AL1020" rgbClr="FF0000">
      <unresolved>
        <commentChain chainId="13177ebab06ba957a5c42c313f09bd46c614b379">
          <item id="5063d709534265c7552b38c26ff69d206e9b9ec4" isNormal="1">
            <s:text>
              <s:r>
                <s:t xml:space="preserve">Administrator:
1/9 进口商贴 3500pcs
UPC条码 3500pcs</s:t>
              </s:r>
            </s:text>
          </item>
        </commentChain>
      </unresolved>
      <resolved/>
    </commentChains>
    <commentChains s:ref="AI1021" rgbClr="FF0000">
      <unresolved>
        <commentChain chainId="aad8c9bfff044c7ee1b888806eae8f1300e48b19">
          <item id="7889668f27a5fb2827ed6b113144cb51338bba48" isNormal="1">
            <s:text>
              <s:r>
                <s:t xml:space="preserve">Administrator:
1201268 1/24 2000pcs庞3b14</s:t>
              </s:r>
            </s:text>
          </item>
        </commentChain>
      </unresolved>
      <resolved/>
    </commentChains>
    <commentChains s:ref="AL1021" rgbClr="FF0000">
      <unresolved>
        <commentChain chainId="e7172842628b0cd1cb3c44999ec334a7a3c63ac9">
          <item id="bc337b9e3a00eabf9d3cbeea0f2993e918131a4c" isNormal="1">
            <s:text>
              <s:r>
                <s:t xml:space="preserve">Administrator:
12/15 客供价格贴纸 2100pcs</s:t>
              </s:r>
            </s:text>
          </item>
        </commentChain>
      </unresolved>
      <resolved/>
    </commentChains>
    <commentChains s:ref="AI1023" rgbClr="FF0000">
      <unresolved>
        <commentChain chainId="cea7fa8f9afafaa92315607d9ed66aec9eae8c5f">
          <item id="026b1ac6e935c37f2f8342aaabe2f04b4154715e" isNormal="1">
            <s:text>
              <s:r>
                <s:t xml:space="preserve">Administrator:
1601216 1/20 7025pcs庞1f3</s:t>
              </s:r>
            </s:text>
          </item>
        </commentChain>
      </unresolved>
      <resolved/>
    </commentChains>
    <commentChains s:ref="AL1023" rgbClr="FF0000">
      <unresolved>
        <commentChain chainId="7e4eba7e6d3997505d0849840af2c8f1657e2a84">
          <item id="d0f30f884dc0ddc10f607f8fd418df5e29c21a73" isNormal="1">
            <s:text>
              <s:r>
                <s:t xml:space="preserve">Administrator:
12/25 PDQUPC 条码贴纸 281pcs</s:t>
              </s:r>
            </s:text>
          </item>
        </commentChain>
      </unresolved>
      <resolved/>
    </commentChains>
    <commentChains s:ref="AI1024" rgbClr="FF0000">
      <unresolved>
        <commentChain chainId="3f5a9059ecc5e0975f5dde21c0d55df20ac5c514">
          <item id="1c5cdface199ae7004a9aeb5ded5965799b5a554" isNormal="1">
            <s:text>
              <s:r>
                <s:t xml:space="preserve">Administrator:
1601216 1/20 5725pcs
庞3a26</s:t>
              </s:r>
            </s:text>
          </item>
        </commentChain>
      </unresolved>
      <resolved/>
    </commentChains>
    <commentChains s:ref="AL1024" rgbClr="FF0000">
      <unresolved>
        <commentChain chainId="d1c7b8c9808a940f7ead9fe6ca071e4aa419f43b">
          <item id="8c394311053a386d19454567729e8d496fcefd5d" isNormal="1">
            <s:text>
              <s:r>
                <s:t xml:space="preserve">Administrator:
12/25 PDQUPC 条码贴纸 229pcs</s:t>
              </s:r>
            </s:text>
          </item>
        </commentChain>
      </unresolved>
      <resolved/>
    </commentChains>
    <commentChains s:ref="AI1025" rgbClr="FF0000">
      <unresolved>
        <commentChain chainId="704a5385c1210a70537fa01f541b37cd4348c209">
          <item id="670a52d56651a3bb62a379103787f89f0c8cf59e" isNormal="1">
            <s:text>
              <s:r>
                <s:t xml:space="preserve">Administrator:
1601254 1/23 3800pcs
庞3b17</s:t>
              </s:r>
            </s:text>
          </item>
        </commentChain>
      </unresolved>
      <resolved/>
    </commentChains>
    <commentChains s:ref="AI1027" rgbClr="FF0000">
      <unresolved>
        <commentChain chainId="56797280e89dfec624064914140c5feace7b0f3c">
          <item id="4a9c929079dafc1ac28a1ea3ba815a18acddfd5d" isNormal="1">
            <s:text>
              <s:r>
                <s:t xml:space="preserve">Administrator:
4001816 1/27 648pcs庞1f9
4001818 1/29 114pcs庞1f9</s:t>
              </s:r>
            </s:text>
          </item>
        </commentChain>
      </unresolved>
      <resolved/>
    </commentChains>
    <commentChains s:ref="AI1028" rgbClr="FF0000">
      <unresolved>
        <commentChain chainId="736c663fc6204c87f522d30294221de5aa68dc92">
          <item id="6baa3993a5b00f85d109a0c195d98344c84ecb4b" isNormal="1">
            <s:text>
              <s:r>
                <s:t xml:space="preserve">Administrator:
4001815 1/27 324pcs王4b
44001818 1/29 180pcs庞B栋
</s:t>
              </s:r>
            </s:text>
          </item>
        </commentChain>
      </unresolved>
      <resolved/>
    </commentChains>
    <commentChains s:ref="AI1029" rgbClr="FF0000">
      <unresolved>
        <commentChain chainId="79a99f184095eecdb9419c628fb0458e565e3082">
          <item id="52570e558c29b19c1dc2ec67f191ca576d0416c4" isNormal="1">
            <s:text>
              <s:r>
                <s:t xml:space="preserve">Administrator:
1601271 1/24 984pcs
庞3a17</s:t>
              </s:r>
            </s:text>
          </item>
        </commentChain>
      </unresolved>
      <resolved/>
    </commentChains>
    <commentChains s:ref="AL1029" rgbClr="FF0000">
      <unresolved>
        <commentChain chainId="22cfd24410c66f83bf9d455dc6f86a22427608bd">
          <item id="fd15c94c6edeaf6bd3db5c4bacde9c0cd8830c45" isNormal="1">
            <s:text>
              <s:r>
                <s:t xml:space="preserve">Administrator:
12/22 亚马逊外箱贴纸 82pcs
1/4 空白贴纸 1968pcs
环保标贴纸 984pcs</s:t>
              </s:r>
            </s:text>
          </item>
        </commentChain>
      </unresolved>
      <resolved/>
    </commentChains>
    <commentChains s:ref="AI1030" rgbClr="FF0000">
      <unresolved>
        <commentChain chainId="9731f0a1f077e9318e9074f1bd58417390308de2">
          <item id="67a3d8fa17410e382882f3822fdb8a53e56f9347" isNormal="1">
            <s:text>
              <s:r>
                <s:t xml:space="preserve">Administrator:
1601273 1/24 3965pcs
庞3b10</s:t>
              </s:r>
            </s:text>
          </item>
        </commentChain>
      </unresolved>
      <resolved/>
    </commentChains>
    <commentChains s:ref="AL1030" rgbClr="FF0000">
      <unresolved>
        <commentChain chainId="c3f5e66887c70658e4faafc2124ed8b05b4cb99d">
          <item id="fb4ccf532db68e94488b69fa3fb4d86f362cc6b5" isNormal="1">
            <s:text>
              <s:r>
                <s:t xml:space="preserve">Administrator:
12/31 UPC条码贴纸 3965pcs
1/12 Kmart外箱贴纸 305pcs </s:t>
              </s:r>
            </s:text>
          </item>
        </commentChain>
      </unresolved>
      <resolved/>
    </commentChains>
    <commentChains s:ref="AI1031" rgbClr="FF0000">
      <unresolved>
        <commentChain chainId="e3e7d5d692f74b56beb860f0a36568c3229b2255">
          <item id="99607ad821f9e99d3cd300ea0d388b41de40939e" isNormal="1">
            <s:text>
              <s:r>
                <s:t xml:space="preserve">Administrator:
1601187 1/17 1925pcs
庞3a16</s:t>
              </s:r>
            </s:text>
          </item>
        </commentChain>
      </unresolved>
      <resolved/>
    </commentChains>
    <commentChains s:ref="AL1031" rgbClr="FF0000">
      <unresolved>
        <commentChain chainId="17586f615747d8835f516bf5085ca32592f6a9de">
          <item id="92c3af45d519e3f57e1ef820d776f55eeaef3f4b" isNormal="1">
            <s:text>
              <s:r>
                <s:t xml:space="preserve">Administrator:
12/18 DC运输贴纸 1925pcs
12/24 PDQ标识贴 77pcs</s:t>
              </s:r>
            </s:text>
          </item>
        </commentChain>
      </unresolved>
      <resolved/>
    </commentChains>
    <commentChains s:ref="AI1032" rgbClr="FF0000">
      <unresolved>
        <commentChain chainId="2bde0e2ceacaa0750e7dfb2e7af2299f25d2ef08">
          <item id="ced477a406077adb804239a0ec84c4e9462d7161" isNormal="1">
            <s:text>
              <s:r>
                <s:t xml:space="preserve">Administrator:
1601187 1/17 925pcs
庞3a17</s:t>
              </s:r>
            </s:text>
          </item>
        </commentChain>
      </unresolved>
      <resolved/>
    </commentChains>
    <commentChains s:ref="AL1032" rgbClr="FF0000">
      <unresolved>
        <commentChain chainId="5e1ef18d264532dee9ffca190c9fa2e56834f938">
          <item id="c0dca954e464008a547bfd53df32e98bad8914a6" isNormal="1">
            <s:text>
              <s:r>
                <s:t xml:space="preserve">Administrator:
12/18 DC运输贴纸 925pcs
12/24 PDQ标识贴 37pcs</s:t>
              </s:r>
            </s:text>
          </item>
        </commentChain>
      </unresolved>
      <resolved/>
    </commentChains>
    <commentChains s:ref="AI1033" rgbClr="FF0000">
      <unresolved>
        <commentChain chainId="45e4b1181ae97bc8fdab21ac2b57d9db1152800b">
          <item id="5820b2acef1e0c4f668d6ef893bfea3269305b11" isNormal="1">
            <s:text>
              <s:r>
                <s:t xml:space="preserve">Administrator:
1601187 1/17 2025pcs
庞3b8</s:t>
              </s:r>
            </s:text>
          </item>
        </commentChain>
      </unresolved>
      <resolved/>
    </commentChains>
    <commentChains s:ref="AL1033" rgbClr="FF0000">
      <unresolved>
        <commentChain chainId="485ef25f8e1212ad00d07f214bbbcc8f7ae4c234">
          <item id="fdc7f5eb554a69565cc4404b919794940cfc55dd" isNormal="1">
            <s:text>
              <s:r>
                <s:t xml:space="preserve">Administrator:
12/18 DC运输贴纸 2025pcs
12/24 PDQ标识贴 81pcs</s:t>
              </s:r>
            </s:text>
          </item>
        </commentChain>
      </unresolved>
      <resolved/>
    </commentChains>
    <commentChains s:ref="AI1034" rgbClr="FF0000">
      <unresolved>
        <commentChain chainId="e08a0ee45f36e739d1881c802a7a92eb0e61714a">
          <item id="6021d61cb9cd0e0258e0d0a32d919519c7884ec9" isNormal="1">
            <s:text>
              <s:r>
                <s:t xml:space="preserve">Administrator:
1601272 1/24 4407pcs庞3b13</s:t>
              </s:r>
            </s:text>
          </item>
        </commentChain>
      </unresolved>
      <resolved/>
    </commentChains>
    <commentChains s:ref="AL1034" rgbClr="FF0000">
      <unresolved>
        <commentChain chainId="7da391e67534802aec43cd72d592ddd9ae7c8073">
          <item id="2e83df04254adaaa1c73d0822c96c43f8d8ef67c" isNormal="1">
            <s:text>
              <s:r>
                <s:t xml:space="preserve">Administrator:
1/4 UPC条码贴 4407pcs
1/12 Kmart外箱贴纸 339pcs</s:t>
              </s:r>
            </s:text>
          </item>
        </commentChain>
      </unresolved>
      <resolved/>
    </commentChains>
    <commentChains s:ref="AI1035" rgbClr="FF0000">
      <unresolved>
        <commentChain chainId="8728ab9e285fe561db41c6ec22d82dd8362462fb">
          <item id="1bdeec58ce95d46baa27ebcae223907f804cf0b7" isNormal="1">
            <s:text>
              <s:r>
                <s:t xml:space="preserve">Administrator:
1601273 1/24 52pcs
庞3b11</s:t>
              </s:r>
            </s:text>
          </item>
        </commentChain>
      </unresolved>
      <resolved/>
    </commentChains>
    <commentChains s:ref="AL1035" rgbClr="FF0000">
      <unresolved>
        <commentChain chainId="6689fd1dea180babc02f868b8414ba03c9b5b52c">
          <item id="e6f0059a46b2fe6033cfa54906b6300c861bb1a2" isNormal="1">
            <s:text>
              <s:r>
                <s:t xml:space="preserve">Administrator:
1/4 UPC条码贴 52pcs
1/12 Kmart外箱贴纸 4pcs </s:t>
              </s:r>
            </s:text>
          </item>
        </commentChain>
      </unresolved>
      <resolved/>
    </commentChains>
    <commentChains s:ref="AI1036" rgbClr="FF0000">
      <unresolved>
        <commentChain chainId="7288006448fe0aa77453ede6b72fad7d687733df">
          <item id="95831e8ce982faf77564b41d16d7e10f8891a08a" isNormal="1">
            <s:text>
              <s:r>
                <s:t xml:space="preserve">Administrator:
1405685 1/30 2080pcs 庞登1楼</s:t>
              </s:r>
            </s:text>
          </item>
        </commentChain>
      </unresolved>
      <resolved/>
    </commentChains>
    <commentChains s:ref="AL1036" rgbClr="FF0000">
      <unresolved>
        <commentChain chainId="16a259c425a905acfb3e90e8640ac1af412b2410">
          <item id="0b5e7d67e758cd76e5df19654b5194e78e24d204" isNormal="1">
            <s:text>
              <s:r>
                <s:t xml:space="preserve">Administrator:
1/7 警语贴纸 2080pcs
1/13 客供价格贴纸 2080pcs</s:t>
              </s:r>
            </s:text>
          </item>
        </commentChain>
      </unresolved>
      <resolved/>
    </commentChains>
    <commentChains s:ref="AI1037" rgbClr="FF0000">
      <unresolved>
        <commentChain chainId="7de8a9b9e90ff6d577a2def1746726fa611aa1cf">
          <item id="6ea0ff4a5ab6a74092fcced9d7a5e69cdee784da" isNormal="1">
            <s:text>
              <s:r>
                <s:t xml:space="preserve">Administrator:
1601208 1/22 5161pcs庞3b14
1601263 1/23 39opcs庞3b14</s:t>
              </s:r>
            </s:text>
          </item>
        </commentChain>
      </unresolved>
      <resolved/>
    </commentChains>
    <commentChains s:ref="AL1037" rgbClr="FF0000">
      <unresolved>
        <commentChain chainId="8f181dda7d6b29287090c4d3254688399e7b9d77">
          <item id="95973ae6d9b79c22ba72ba990079d5480e9bd7cb" isNormal="1">
            <s:text>
              <s:r>
                <s:t xml:space="preserve">Administrator:
12/30 条码贴纸 5200pcs
1/15 客供防車码贴纸1拖13 400pcs</s:t>
              </s:r>
            </s:text>
          </item>
        </commentChain>
      </unresolved>
      <resolved/>
    </commentChains>
    <commentChains s:ref="AI1038" rgbClr="FF0000">
      <unresolved>
        <commentChain chainId="b0232a81694c00970361f09491957c50c604b0fd">
          <item id="04a211069243de0ca5128b9feba995455f3ce3bd" isNormal="1">
            <s:text>
              <s:r>
                <s:t xml:space="preserve">Administrator:
1601271 1/24  252pcs
庞3b8</s:t>
              </s:r>
            </s:text>
          </item>
        </commentChain>
      </unresolved>
      <resolved/>
    </commentChains>
    <commentChains s:ref="AL1038" rgbClr="FF0000">
      <unresolved>
        <commentChain chainId="6b9757457e92a2d3ae5dd281b916da23370930c1">
          <item id="43ffbca604357bda0aa372fd5311594abeb21f20" isNormal="1">
            <s:text>
              <s:r>
                <s:t xml:space="preserve">Administrator:
1/5 空白贴纸 504pcs
1/13 客供亚马逊外箱贴纸 21pcs
1/19 进口商贴纸 252pcs</s:t>
              </s:r>
            </s:text>
          </item>
        </commentChain>
      </unresolved>
      <resolved/>
    </commentChains>
    <commentChains s:ref="AI1039" rgbClr="FF0000">
      <unresolved>
        <commentChain chainId="65ce5650a9ac3af7f39407a38981d21b057a00be">
          <item id="6aa66ef9f25989d1a75956f90e576bd29bd93f1f" isNormal="1">
            <s:text>
              <s:r>
                <s:t xml:space="preserve">Administrator:
1601271 1/24 1044pcs
庞3a16</s:t>
              </s:r>
            </s:text>
          </item>
        </commentChain>
      </unresolved>
      <resolved/>
    </commentChains>
    <commentChains s:ref="AL1039" rgbClr="FF0000">
      <unresolved>
        <commentChain chainId="0d7d735a1c8db2c516b469cc13cccd4944c903f5">
          <item id="4691e33188c1f7ab8ea667abe9c5634a5d06122d" isNormal="1">
            <s:text>
              <s:r>
                <s:t xml:space="preserve">Administrator:
1/5 空白贴纸 2088pcs
1/13 客供亚马逊外箱贴纸 87pcs
1/19 进口商贴纸 1044pcs
</s:t>
              </s:r>
            </s:text>
          </item>
        </commentChain>
      </unresolved>
      <resolved/>
    </commentChains>
    <commentChains s:ref="AI1040" rgbClr="FF0000">
      <unresolved>
        <commentChain chainId="2135299c758b4f2dea40a29e8cde57aba9ec1a84">
          <item id="e0f0ac03aa7c3dac34d3fd20857b44df531fc876" isNormal="1">
            <s:text>
              <s:r>
                <s:t xml:space="preserve">Administrator:
5000259 1/27 2400pcs庞3a23</s:t>
              </s:r>
            </s:text>
          </item>
        </commentChain>
      </unresolved>
      <resolved/>
    </commentChains>
    <commentChains s:ref="AL1040" rgbClr="FF0000">
      <unresolved>
        <commentChain chainId="26637c0d3146d0d45c7f7505b4107104eb532213">
          <item id="e95ab60be6a126c10c871b4e2ce956e521b5b155" isNormal="1">
            <s:text>
              <s:r>
                <s:t xml:space="preserve">Administrator:
1/5 进口商贴纸 2400pcs</s:t>
              </s:r>
            </s:text>
          </item>
        </commentChain>
      </unresolved>
      <resolved/>
    </commentChains>
    <commentChains s:ref="AI1041" rgbClr="FF0000">
      <unresolved>
        <commentChain chainId="57cd323b4b5f5d90208a10de5ec2b294fae33592">
          <item id="bc9a3ecd5fdaa3d35935a20020d558e3277e2735" isNormal="1">
            <s:text>
              <s:r>
                <s:t xml:space="preserve">Administrator:
5000259 1/27 800pcs
庞3b14</s:t>
              </s:r>
            </s:text>
          </item>
        </commentChain>
      </unresolved>
      <resolved/>
    </commentChains>
    <commentChains s:ref="AL1041" rgbClr="FF0000">
      <unresolved>
        <commentChain chainId="d5a17be29396bfa353da089cd6e5dc1de78c6575">
          <item id="68a0dcef30b7453b222114dfe334ca4e3df54eb3" isNormal="1">
            <s:text>
              <s:r>
                <s:t xml:space="preserve">Administrator:
1/14 进口商贴纸 800pcs
条码贴纸 800pcs</s:t>
              </s:r>
            </s:text>
          </item>
        </commentChain>
      </unresolved>
      <resolved/>
    </commentChains>
    <commentChains s:ref="AI1042" rgbClr="FF0000">
      <unresolved>
        <commentChain chainId="f60b1de856471e7a448790050e900f3088d4ee12">
          <item id="461bd46227e5fbe8f703f26634b30c23af8b4981" isNormal="1">
            <s:text>
              <s:r>
                <s:t xml:space="preserve">Administrator:
1601220 1/21 1200pcs庞登一楼</s:t>
              </s:r>
            </s:text>
          </item>
        </commentChain>
      </unresolved>
      <resolved/>
    </commentChains>
    <commentChains s:ref="AL1042" rgbClr="FF0000">
      <unresolved>
        <commentChain chainId="1caca30ee233167ff34e15f31481b0e13b44be4f">
          <item id="e1dcd93e1bcd5f631d45da04c7bf4fc55e6f75e7" isNormal="1">
            <s:text>
              <s:r>
                <s:t xml:space="preserve">Administrator:
12/31 西班牙环保标贴 1200pcs</s:t>
              </s:r>
            </s:text>
          </item>
        </commentChain>
      </unresolved>
      <resolved/>
    </commentChains>
    <commentChains s:ref="AI1043" rgbClr="FF0000">
      <unresolved>
        <commentChain chainId="19be6040e91beeab81b095637def63970b1feb5b">
          <item id="fe6e91888dbfb11c9c8de2677d04c1311d9aa4d5" isNormal="1">
            <s:text>
              <s:r>
                <s:t xml:space="preserve">Administrator:
1601220 1/21 1200pcs庞登一楼
</s:t>
              </s:r>
            </s:text>
          </item>
        </commentChain>
      </unresolved>
      <resolved/>
    </commentChains>
    <commentChains s:ref="AL1043" rgbClr="FF0000">
      <unresolved>
        <commentChain chainId="7200c8d3d90a8c9123755fb19b0b834ac57f2a2d">
          <item id="9b3eb63e0498e33b28f75b5385ec46c4ea243750" isNormal="1">
            <s:text>
              <s:r>
                <s:t xml:space="preserve">Administrator:
12/16 进口商贴纸 1200pcs</s:t>
              </s:r>
            </s:text>
          </item>
        </commentChain>
      </unresolved>
      <resolved/>
    </commentChains>
    <commentChains s:ref="AI1044" rgbClr="FF0000">
      <unresolved>
        <commentChain chainId="767d04569194d1531bdf4948f7b019348a80faab">
          <item id="994f1dd29539821dd1b7e95459c80c318257958b" isNormal="1">
            <s:text>
              <s:r>
                <s:t xml:space="preserve">Administrator:
1601254 1/23 2400pcs
庞3b17
</s:t>
              </s:r>
            </s:text>
          </item>
        </commentChain>
      </unresolved>
      <resolved/>
    </commentChains>
    <commentChains s:ref="AI1045" rgbClr="FF0000">
      <unresolved>
        <commentChain chainId="ee0b85e8f7885eef6e733d45ae722a0af3423742">
          <item id="bda6e3a682758c690186f4d807cf8d444b2bb7b1" isNormal="1">
            <s:text>
              <s:r>
                <s:t xml:space="preserve">Administrator:
1601254 1/23 2000pcs庞3b17
</s:t>
              </s:r>
            </s:text>
          </item>
        </commentChain>
      </unresolved>
      <resolved/>
    </commentChains>
    <commentChains s:ref="AI1046" rgbClr="FF0000">
      <unresolved>
        <commentChain chainId="3aac34ce307da9545552e4b743bbe1ae3a6ab1ee">
          <item id="f387ca20e3330f271c8f5ae71f09ceb2417d9503" isNormal="1">
            <s:text>
              <s:r>
                <s:t xml:space="preserve">Administrator:
1601254 1/23 4500pcs
庞3b17
</s:t>
              </s:r>
            </s:text>
          </item>
        </commentChain>
      </unresolved>
      <resolved/>
    </commentChains>
    <commentChains s:ref="AI1047" rgbClr="FF0000">
      <unresolved>
        <commentChain chainId="ef69ef4b541be90bd299e64923b2fc8f4a6bd9aa">
          <item id="725e363d4d2afae25d2073b7a69d5cb51e462a08" isNormal="1">
            <s:text>
              <s:r>
                <s:t xml:space="preserve">Administrator:
1601254 1/23 700pcs
庞3b17
</s:t>
              </s:r>
            </s:text>
          </item>
        </commentChain>
      </unresolved>
      <resolved/>
    </commentChains>
    <commentChains s:ref="AI1048" rgbClr="FF0000">
      <unresolved>
        <commentChain chainId="78516cd313c37d126ae4d752244a170af55d0c1a">
          <item id="2c63944fef54d624f5ce9ae3ee31f4083f0d2638" isNormal="1">
            <s:text>
              <s:r>
                <s:t xml:space="preserve">Administrator:
4001808 1/26 5400pcs车间</s:t>
              </s:r>
            </s:text>
          </item>
        </commentChain>
      </unresolved>
      <resolved/>
    </commentChains>
    <commentChains s:ref="AI1049" rgbClr="FF0000">
      <unresolved>
        <commentChain chainId="ef59961efa27ee933cedcf6374b23b0717b809fa">
          <item id="d05f665673d4f666aab2cfdd6cafb7fb8ed77709" isNormal="1">
            <s:text>
              <s:r>
                <s:t xml:space="preserve">Administrator:
1601294 1/26 4500pcs庞3a3</s:t>
              </s:r>
            </s:text>
          </item>
        </commentChain>
      </unresolved>
      <resolved/>
    </commentChains>
    <commentChains s:ref="AL1049" rgbClr="FF0000">
      <unresolved>
        <commentChain chainId="1c6c845425eb38c77a419fb6956c07b7107a9f0e">
          <item id="8d084d325d2e2682fb72f945bf4fc73390447c51" isNormal="1">
            <s:text>
              <s:r>
                <s:t xml:space="preserve">Administrator:
1/14 UPC贴纸 4800pcs</s:t>
              </s:r>
            </s:text>
          </item>
        </commentChain>
      </unresolved>
      <resolved/>
    </commentChains>
    <commentChains s:ref="AI1050" rgbClr="FF0000">
      <unresolved>
        <commentChain chainId="1fe2f9683efff94bca738525164a7ca4f7c86915">
          <item id="62058b4908bf0c2741328c8f07781ab70c17acd7" isNormal="1">
            <s:text>
              <s:r>
                <s:t xml:space="preserve">Administrator:
1201037 12/22 780pcs王4c5
1601208 1/22 780pcs庞3b14</s:t>
              </s:r>
            </s:text>
          </item>
        </commentChain>
      </unresolved>
      <resolved/>
    </commentChains>
    <commentChains s:ref="AL1050" rgbClr="FF0000">
      <unresolved>
        <commentChain chainId="b970769ebbba84f3aac2f01a899c6d285c17b3a7">
          <item id="de433daaa03a80b7ba57bf366f950ed7dced0f4b" isNormal="1">
            <s:text>
              <s:r>
                <s:t xml:space="preserve">Administrator:
12/9 进口商贴纸 780pcs
UPC 条码贴纸 780pcs
1/7 进口商贴纸 1560pcs
UPC 条码贴纸 1560pcs</s:t>
              </s:r>
            </s:text>
          </item>
        </commentChain>
      </unresolved>
      <resolved/>
    </commentChains>
    <commentChains s:ref="AI1051" rgbClr="FF0000">
      <unresolved>
        <commentChain chainId="7d29fa6f6452d35ba338b5d14f28f25cc490b1b3">
          <item id="6208384ea594ec6fd8636d16a5b654200af97e10" isNormal="1">
            <s:text>
              <s:r>
                <s:t xml:space="preserve">Administrator:
5000248 1/27 1250pcs
王4c5</s:t>
              </s:r>
            </s:text>
          </item>
        </commentChain>
      </unresolved>
      <resolved/>
    </commentChains>
    <commentChains s:ref="AL1051" rgbClr="FF0000">
      <unresolved>
        <commentChain chainId="ef2786927e7326fc01ca3042470a9bb4804435da">
          <item id="1b905b2ee9eb5a575aa34f95b818aa90eafe2309" isNormal="1">
            <s:text>
              <s:r>
                <s:t xml:space="preserve">Administrator:
10/24 上红色LOGO贴纸2500pcs
10/23 上进口商贴纸2500pcs
UPC贴纸2500pcs
</s:t>
              </s:r>
            </s:text>
          </item>
        </commentChain>
      </unresolved>
      <resolved/>
    </commentChains>
    <commentChains s:ref="AI1052" rgbClr="FF0000">
      <unresolved>
        <commentChain chainId="f049b82a6510434b3ae0e372b935da915d5a0a12">
          <item id="c290af2d28421d7aba9ade92ef866ca07643eff2" isNormal="1">
            <s:text>
              <s:r>
                <s:t xml:space="preserve">Administrator:
5000248 1/27 300pcs
王4b5</s:t>
              </s:r>
            </s:text>
          </item>
        </commentChain>
      </unresolved>
      <resolved/>
    </commentChains>
    <commentChains s:ref="AI1053" rgbClr="FF0000">
      <unresolved>
        <commentChain chainId="4f51de71bdfbc9da73bea53e0484f22e8c61708e">
          <item id="f371561887c959a661bb15bccf46c5c7d0bc72e9" isNormal="1">
            <s:text>
              <s:r>
                <s:t xml:space="preserve">Administrator:
5000248 1/27 950pcs
王4a9</s:t>
              </s:r>
            </s:text>
          </item>
        </commentChain>
      </unresolved>
      <resolved/>
    </commentChains>
    <commentChains s:ref="AI1054" rgbClr="FF0000">
      <unresolved>
        <commentChain chainId="387a511bf740e7ca499f6cbbfb97d39b0ceb9021">
          <item id="ff61910cdee9c7185b25a9bef5fda9b80dea4168" isNormal="1">
            <s:text>
              <s:r>
                <s:t xml:space="preserve">Administrator:
5000248 1/27 1300pcs
王4b9</s:t>
              </s:r>
            </s:text>
          </item>
        </commentChain>
      </unresolved>
      <resolved/>
    </commentChains>
    <commentChains s:ref="AL1054" rgbClr="FF0000">
      <unresolved>
        <commentChain chainId="c1a50b2366de591039bed943a2855198fe80a7b5">
          <item id="62c71a782737db1f4f6248f4de85582b336c66ae" isNormal="1">
            <s:text>
              <s:r>
                <s:t xml:space="preserve">Administrator:
1/5 进口商贴纸 1300pcs</s:t>
              </s:r>
            </s:text>
          </item>
        </commentChain>
      </unresolved>
      <resolved/>
    </commentChains>
    <commentChains s:ref="AI1055" rgbClr="FF0000">
      <unresolved>
        <commentChain chainId="999b7f86405c0a1a495aa002b1b508633321a4a7">
          <item id="f4f21d1484cbc9ec633aa5ffdbfbf0e2c7f530cb" isNormal="1">
            <s:text>
              <s:r>
                <s:t xml:space="preserve">Administrator:
5000259 1/27 10000pcs
庞1f9</s:t>
              </s:r>
            </s:text>
          </item>
        </commentChain>
      </unresolved>
      <resolved/>
    </commentChains>
    <commentChains s:ref="AL1055" rgbClr="FF0000">
      <unresolved>
        <commentChain chainId="d60d992cbb10ad4f890d5df3fd5f23a002a29eef">
          <item id="a98184bfb1df4d47c723ea09a388e9f03b5bf3ad" isNormal="1">
            <s:text>
              <s:r>
                <s:t xml:space="preserve">Administrator:
1/12 法国sorting label 10000pcs</s:t>
              </s:r>
            </s:text>
          </item>
        </commentChain>
      </unresolved>
      <resolved/>
    </commentChains>
    <commentChains s:ref="AI1056" rgbClr="FF0000">
      <unresolved>
        <commentChain chainId="d170490b97122f9a007690e2972048d1663a2703">
          <item id="9c8eaf37661793a016b6598149e829ebfba7f2d6" isNormal="1">
            <s:text>
              <s:r>
                <s:t xml:space="preserve">Administrator:
5000259 1/27 4000pcs
庞3a24</s:t>
              </s:r>
            </s:text>
          </item>
        </commentChain>
      </unresolved>
      <resolved/>
    </commentChains>
    <commentChains s:ref="AL1056" rgbClr="FF0000">
      <unresolved>
        <commentChain chainId="3d7b9e393dcdf8c1965f74b0a0f5c7547ad92249">
          <item id="8cb3082c26c286d0219c1b0abaa91653cfce30bf" isNormal="1">
            <s:text>
              <s:r>
                <s:t xml:space="preserve">Administrator:
1/12 法国sorting label 4000pcs</s:t>
              </s:r>
            </s:text>
          </item>
        </commentChain>
      </unresolved>
      <resolved/>
    </commentChains>
    <commentChains s:ref="AI1057" rgbClr="FF0000">
      <unresolved>
        <commentChain chainId="f0c3f48838609b83d5a74e4650f30563a9b22aa8">
          <item id="2a2711b7c677d2dd7ee133fb4b267d0e3908ba18" isNormal="1">
            <s:text>
              <s:r>
                <s:t xml:space="preserve">Administrator:
1601217 1/20 4500pcs文本云</s:t>
              </s:r>
            </s:text>
          </item>
        </commentChain>
      </unresolved>
      <resolved/>
    </commentChains>
    <commentChains s:ref="AI1058" rgbClr="FF0000">
      <unresolved>
        <commentChain chainId="b39e6b820a5977a84c65dc28548ae40719121f73">
          <item id="f88b9faba95c5cc7671bc516b9e96a2d185fd636" isNormal="1">
            <s:text>
              <s:r>
                <s:t xml:space="preserve">Administrator:
4001820 1/29 2268cs
庞1f5
4001930 2/30 264pcs 庞1f5</s:t>
              </s:r>
            </s:text>
          </item>
        </commentChain>
      </unresolved>
      <resolved/>
    </commentChains>
    <commentChains s:ref="AL1058" rgbClr="FF0000">
      <unresolved>
        <commentChain chainId="da5f73c20af967cccf1925faccd8a63a885eea61">
          <item id="d7dcd60e3d8f209bda55007d6dc05e239b9c3069" isNormal="1">
            <s:text>
              <s:r>
                <s:t xml:space="preserve">Administrator:
12/29 EAN条码贴纸 2532pcs
空白贴纸 5064pcs</s:t>
              </s:r>
            </s:text>
          </item>
        </commentChain>
      </unresolved>
      <resolved/>
    </commentChains>
    <commentChains s:ref="AI1059" rgbClr="FF0000">
      <unresolved>
        <commentChain chainId="98d3f76016019681e0f0fad6e7bfb354661e5557">
          <item id="0d42bf9664c47fd93b3e89f651ec0c2342e27324" isNormal="1">
            <s:text>
              <s:r>
                <s:t xml:space="preserve">Administrator:
1601220 1/21 1250pcs
庞登一楼
</s:t>
              </s:r>
            </s:text>
          </item>
        </commentChain>
      </unresolved>
      <resolved/>
    </commentChains>
    <commentChains s:ref="AL1059" rgbClr="FF0000">
      <unresolved>
        <commentChain chainId="de6469e4062bb8724511702b6f93842203e6b90d">
          <item id="45809ef97021a33ecd9ac9cb358ff1577882e5b9" isNormal="1">
            <s:text>
              <s:r>
                <s:t xml:space="preserve">Administrator:
1/22 UPC贴纸 1250pcs</s:t>
              </s:r>
            </s:text>
          </item>
        </commentChain>
      </unresolved>
      <resolved/>
    </commentChains>
    <commentChains s:ref="AI1060" rgbClr="FF0000">
      <unresolved>
        <commentChain chainId="3056cce099e24340ce81c6bd319c0221638f9838">
          <item id="4ab109127083ccde127519918007d1c865750007" isNormal="1">
            <s:text>
              <s:r>
                <s:t xml:space="preserve">Administrator:
1405708 1/28 3000pcs庞3a26</s:t>
              </s:r>
            </s:text>
          </item>
        </commentChain>
      </unresolved>
      <resolved/>
    </commentChains>
    <commentChains s:ref="AL1060" rgbClr="FF0000">
      <unresolved>
        <commentChain chainId="72c443f9784ef5ce6d10e1524f3944e5d80b1d2b">
          <item id="92c11fdc9836b3ca2166f4c16a04ee97816f4bac" isNormal="1">
            <s:text>
              <s:r>
                <s:t xml:space="preserve">Administrator:
12/25 进口商贴纸 3000pcs
UPC条码贴纸 3000pcs
正面收藏指南贴纸 3000pcs
背面收藏指南贴纸 3000pcs
</s:t>
              </s:r>
            </s:text>
          </item>
        </commentChain>
      </unresolved>
      <resolved/>
    </commentChains>
    <commentChains s:ref="AI1061" rgbClr="FF0000">
      <unresolved>
        <commentChain chainId="bf04270dba3b327f9eb22ec94a01a636a171e08a">
          <item id="bab4760cd48e565758d152beecb9d16eb910afa1" isNormal="1">
            <s:text>
              <s:r>
                <s:t xml:space="preserve">Administrator:
1405692 1/30 2080pcs
庞b4</s:t>
              </s:r>
            </s:text>
          </item>
        </commentChain>
      </unresolved>
      <resolved/>
    </commentChains>
    <commentChains s:ref="AL1061" rgbClr="FF0000">
      <unresolved>
        <commentChain chainId="ab80eed748ac1b0ad5def984247d24e214737027">
          <item id="be674e1aac8856e4a3855c367d5bf3bf1011af5e" isNormal="1">
            <s:text>
              <s:r>
                <s:t xml:space="preserve">Administrator:
12/25 客供警语贴纸贴球底部 2150pcs
供警语贴纸贴收藏指ī 2150pcs
供警语贴纸贴说明书 2150pcs
1/7 UPC 条码贴纸 2080pcs</s:t>
              </s:r>
            </s:text>
          </item>
        </commentChain>
      </unresolved>
      <resolved/>
    </commentChains>
    <commentChains s:ref="AI1062" rgbClr="FF0000">
      <unresolved>
        <commentChain chainId="5b7b5624c7967aa7f2731887873d36892de99372">
          <item id="5eb1ba8d665baaa646f5ec88abcb3888bde7cf73" isNormal="1">
            <s:text>
              <s:r>
                <s:t xml:space="preserve">Administrator:
4001929 1/30 720pcs王4a2</s:t>
              </s:r>
            </s:text>
          </item>
        </commentChain>
      </unresolved>
      <resolved/>
    </commentChains>
    <commentChains s:ref="AL1062" rgbClr="FF0000">
      <unresolved>
        <commentChain chainId="dc660076c2a7a9fce1f31dbdc530d2c87005636d">
          <item id="d3d5c597be3136fd58fe2de41135ca83e85111ce" isNormal="1">
            <s:text>
              <s:r>
                <s:t xml:space="preserve">Administrator:
12/25 供警语贴纸贴说明书 1490pcs
客供电池警语贴纸 1488pcs
供警语贴纸贴收藏指內 1488pcs
1/7 空白帖纸 720pcs
</s:t>
              </s:r>
            </s:text>
          </item>
        </commentChain>
      </unresolved>
      <resolved/>
    </commentChains>
    <commentChains s:ref="AI1063" rgbClr="FF0000">
      <unresolved>
        <commentChain chainId="85d0854991fb3972c6f61190f778102271c61f3e">
          <item id="a169f16ecd819a7dbe6d346d87872aead7dbbfe6" isNormal="1">
            <s:text>
              <s:r>
                <s:t xml:space="preserve">Administrator:
1405692 1/30 32pcs 庞b4
1405650 2/2 8720PCS
王4a1</s:t>
              </s:r>
            </s:text>
          </item>
        </commentChain>
      </unresolved>
      <resolved/>
    </commentChains>
    <commentChains s:ref="AI1064" rgbClr="FF0000">
      <unresolved>
        <commentChain chainId="3791066749c77c5da5ac261e1cd047ef2507c75b">
          <item id="99221ecfce11676e4d784413af37edf6ac34d66a" isNormal="1">
            <s:text>
              <s:r>
                <s:t xml:space="preserve">Administrator:
1405713 1/28 3900pcs王4b4</s:t>
              </s:r>
            </s:text>
          </item>
        </commentChain>
      </unresolved>
      <resolved/>
    </commentChains>
    <commentChains s:ref="AL1064" rgbClr="FF0000">
      <unresolved>
        <commentChain chainId="0f8020cdfa38e876b63cb63d2b0e4829594d35ab">
          <item id="0236e1b5be98110560ffd6f7f84711371d2eb8dd" isNormal="1">
            <s:text>
              <s:r>
                <s:t xml:space="preserve">Administrator:
1/15 客供防車码贴纸1拖13 1300pcs
1/12 条码贴纸 3900pcs</s:t>
              </s:r>
            </s:text>
          </item>
        </commentChain>
      </unresolved>
      <resolved/>
    </commentChains>
    <commentChains s:ref="AI1065" rgbClr="FF0000">
      <unresolved>
        <commentChain chainId="31ff0c2129a54951e5be4abfdb612fb5a539c37e">
          <item id="f6d5fb82d52d2cd8c14c85c354f3e4ec3e017848" isNormal="1">
            <s:text>
              <s:r>
                <s:t xml:space="preserve">Administrator:
1405696 1/29 9100pcs 直走</s:t>
              </s:r>
            </s:text>
          </item>
        </commentChain>
      </unresolved>
      <resolved/>
    </commentChains>
    <commentChains s:ref="AL1065" rgbClr="FF0000">
      <unresolved>
        <commentChain chainId="8c75fd522897b76046997442ff921f51ae07560b">
          <item id="fb3da3e002112043888bd12c8ccbea69137c83d5" isNormal="1">
            <s:text>
              <s:r>
                <s:t xml:space="preserve">Administrator:
1/15 客供防車码贴纸1拖13 1300pcs
1/12 条码贴纸 9100pcs
</s:t>
              </s:r>
            </s:text>
          </item>
        </commentChain>
      </unresolved>
      <resolved/>
    </commentChains>
    <commentChains s:ref="AI1066" rgbClr="FF0000">
      <unresolved>
        <commentChain chainId="9435a239335aef98be147720c1fe77d9d1c08523">
          <item id="7467b7431100b6bec2964f8d7d9a5c236adb329b" isNormal="1">
            <s:text>
              <s:r>
                <s:t xml:space="preserve">Administrator:
1405696 1/29 6500pcs
直走</s:t>
              </s:r>
            </s:text>
          </item>
        </commentChain>
      </unresolved>
      <resolved/>
    </commentChains>
    <commentChains s:ref="AL1066" rgbClr="FF0000">
      <unresolved>
        <commentChain chainId="4f456f297d82431fccc394ee6bc13fd99b6e19bb">
          <item id="b17c2dd344c634a90afa47cb33df530340538650" isNormal="1">
            <s:text>
              <s:r>
                <s:t xml:space="preserve">Administrator:
1/12 条码贴纸 6500pcs
</s:t>
              </s:r>
            </s:text>
          </item>
        </commentChain>
      </unresolved>
      <resolved/>
    </commentChains>
    <commentChains s:ref="AI1067" rgbClr="FF0000">
      <unresolved>
        <commentChain chainId="877ee9c355b01576c62bee515201c3ff2e7f16a7">
          <item id="f4804b8ca9a9e70a5ce1dfdc488a444b316ed035" isNormal="1">
            <s:text>
              <s:r>
                <s:t xml:space="preserve">Administrator:
1405696 1/29 13000pcs
直走</s:t>
              </s:r>
            </s:text>
          </item>
        </commentChain>
      </unresolved>
      <resolved/>
    </commentChains>
    <commentChains s:ref="AL1067" rgbClr="FF0000">
      <unresolved>
        <commentChain chainId="c753c8339fe712f394352a1af07d28fd1e8a7820">
          <item id="93c340d91fc0abee317fee8b522e8147d2109839" isNormal="1">
            <s:text>
              <s:r>
                <s:t xml:space="preserve">Administrator:
1/12 条码贴纸 13000pcs
</s:t>
              </s:r>
            </s:text>
          </item>
        </commentChain>
      </unresolved>
      <resolved/>
    </commentChains>
    <commentChains s:ref="AI1068" rgbClr="FF0000">
      <unresolved>
        <commentChain chainId="9f6a333b853b9640f13cb675103d3479c5b8fb8c">
          <item id="857a1b8bae623b4f435459af71673c76684aceab" isNormal="1">
            <s:text>
              <s:r>
                <s:t xml:space="preserve">Administrator:
1405696 1/29 3900pcs
王4c10</s:t>
              </s:r>
            </s:text>
          </item>
        </commentChain>
      </unresolved>
      <resolved/>
    </commentChains>
    <commentChains s:ref="AI1069" rgbClr="FF0000">
      <unresolved>
        <commentChain chainId="f083aca008d1615535c2e5a518436af664bb069c">
          <item id="ddf1b30b6830055b81e5237cc04dc363a92eeb87" isNormal="1">
            <s:text>
              <s:r>
                <s:t xml:space="preserve">Administrator:
4001930 2/30 24pcs
庞1f5
</s:t>
              </s:r>
            </s:text>
          </item>
        </commentChain>
      </unresolved>
      <resolved/>
    </commentChains>
    <commentChains s:ref="AI1070" rgbClr="FF0000">
      <unresolved>
        <commentChain chainId="29bd6da0d25bf8e20266d51b63c3f3b5c580fde3">
          <item id="9b227c7908e2031f8ccce65051a89dd4f97404b3" isNormal="1">
            <s:text>
              <s:r>
                <s:t xml:space="preserve">Administrator:
1405659 2/2 1020pcs
庞3b15</s:t>
              </s:r>
            </s:text>
          </item>
        </commentChain>
      </unresolved>
      <resolved/>
    </commentChains>
    <commentChains s:ref="AL1070" rgbClr="FF0000">
      <unresolved>
        <commentChain chainId="66a890a3ca94462e92c935cce5fed3f225096c68">
          <item id="09df4dc806f4cf68fb50c937a8b2d26fc9daff47" isNormal="1">
            <s:text>
              <s:r>
                <s:t xml:space="preserve">Administrator:
1/12 进口商/西班牙环1020pcs </s:t>
              </s:r>
            </s:text>
          </item>
        </commentChain>
      </unresolved>
      <resolved/>
    </commentChains>
    <commentChains s:ref="AI1071" rgbClr="FF0000">
      <unresolved>
        <commentChain chainId="d6c023e04ae5466d00a3d8c75e26954a3e942f47">
          <item id="f57aca494096715266447b781054eeb53d8c65df" isNormal="1">
            <s:text>
              <s:r>
                <s:t xml:space="preserve">Administrator:
1405622 2/4 1200pcs
华3b14</s:t>
              </s:r>
            </s:text>
          </item>
        </commentChain>
      </unresolved>
      <resolved/>
    </commentChains>
    <commentChains s:ref="AI1072" rgbClr="FF0000">
      <unresolved>
        <commentChain chainId="74144bc214bcf4ba7a255d406f15380fbf8435e1">
          <item id="8ba1a00bea131bed3667c7af247414bc359ddade" isNormal="1">
            <s:text>
              <s:r>
                <s:t xml:space="preserve">Administrator:
1405622 2/4 96pcs
华3b14
</s:t>
              </s:r>
            </s:text>
          </item>
        </commentChain>
      </unresolved>
      <resolved/>
    </commentChains>
    <commentChains s:ref="AI1073" rgbClr="FF0000">
      <unresolved>
        <commentChain chainId="70ef5973dcb11c707bb811e9721280622c09c96d">
          <item id="24a4cc7235df5772fdfa8353b94e574d470b46fe" isNormal="1">
            <s:text>
              <s:r>
                <s:t xml:space="preserve">Administrator:
1405622 2/4 2004pcs华3b8</s:t>
              </s:r>
            </s:text>
          </item>
        </commentChain>
      </unresolved>
      <resolved/>
    </commentChains>
    <commentChains s:ref="AL1073" rgbClr="FF0000">
      <unresolved>
        <commentChain chainId="40b552d90f958e4914a7e90817c063d51c9260c7">
          <item id="054dca1bd137e5255675d1811ecdcac39a81ab1e" isNormal="1">
            <s:text>
              <s:r>
                <s:t xml:space="preserve">Administrator:
1/5 客供价格贴纸 2100pcs</s:t>
              </s:r>
            </s:text>
          </item>
        </commentChain>
      </unresolved>
      <resolved/>
    </commentChains>
    <commentChains s:ref="AI1074" rgbClr="FF0000">
      <unresolved>
        <commentChain chainId="bb59a7dda3ad044a378973d33a8990b45cfbf536">
          <item id="79e0f96aaa795378ffa64846de1efe7a6592865e" isNormal="1">
            <s:text>
              <s:r>
                <s:t xml:space="preserve">Administrator:
1405696 1/29 4329pcs
王4b6</s:t>
              </s:r>
            </s:text>
          </item>
        </commentChain>
      </unresolved>
      <resolved/>
    </commentChains>
    <commentChains s:ref="AI1075" rgbClr="FF0000">
      <unresolved>
        <commentChain chainId="dd40dc8078789bcdfd38d7242b4569b75b52c1be">
          <item id="2a7bccb1157dda1606b631ff602567f11c8f18b0" isNormal="1">
            <s:text>
              <s:r>
                <s:t xml:space="preserve">Administrator:
1405696 1/29 2015pcs
王4b7</s:t>
              </s:r>
            </s:text>
          </item>
        </commentChain>
      </unresolved>
      <resolved/>
    </commentChains>
    <commentChains s:ref="AI1076" rgbClr="FF0000">
      <unresolved>
        <commentChain chainId="d375f3a17c4deafb3b88392f69ece23add84646d">
          <item id="33ff9966ae25cb5b409888648119ed72305877b2" isNormal="1">
            <s:text>
              <s:r>
                <s:t xml:space="preserve">Administrator:
4001820 1/29 1200pcs庞3a31</s:t>
              </s:r>
            </s:text>
          </item>
        </commentChain>
      </unresolved>
      <resolved/>
    </commentChains>
    <commentChains s:ref="AL1076" rgbClr="FF0000">
      <unresolved>
        <commentChain chainId="ecd898583d11f711da066ee0a9088f025a30c25b">
          <item id="a86469bf12c9700771ffc8a1c274dfdc0e96653a" isNormal="1">
            <s:text>
              <s:r>
                <s:t xml:space="preserve">Administrator:
12/29 3c贴纸 1200pcs</s:t>
              </s:r>
            </s:text>
          </item>
        </commentChain>
      </unresolved>
      <resolved/>
    </commentChains>
    <commentChains s:ref="AI1077" rgbClr="FF0000">
      <unresolved>
        <commentChain chainId="a322593ae734d52192891c176f8f46345d867fc5">
          <item id="abf2afe7f705bdbd2d35b88766378edd50aac63b" isNormal="1">
            <s:text>
              <s:r>
                <s:t xml:space="preserve">Administrator:
4001820 1/29 3000pcs
庞1f11
</s:t>
              </s:r>
            </s:text>
          </item>
        </commentChain>
      </unresolved>
      <resolved/>
    </commentChains>
    <commentChains s:ref="AL1077" rgbClr="FF0000">
      <unresolved>
        <commentChain chainId="bacb0b27cf046193b544fe97df879b4ef861c478">
          <item id="088814eaa2636e9bf2eceffbb50dfb7ba5e2490d" isNormal="1">
            <s:text>
              <s:r>
                <s:t xml:space="preserve">Administrator:
1/5 颜色贴纸 3000pcs
空白贴纸 3000pcs
空白贴纸 6000pcs</s:t>
              </s:r>
            </s:text>
          </item>
        </commentChain>
      </unresolved>
      <resolved/>
    </commentChains>
    <commentChains s:ref="AI1078" rgbClr="FF0000">
      <unresolved>
        <commentChain chainId="33f0117d6e8d9e2c7ef51726726344239ab29a5a">
          <item id="5ec826ee498024621dd9bdfd50f28ef7cd084b80" isNormal="1">
            <s:text>
              <s:r>
                <s:t xml:space="preserve">Administrator:
4001818 1/29 7800cs
庞登1楼</s:t>
              </s:r>
            </s:text>
          </item>
        </commentChain>
      </unresolved>
      <resolved/>
    </commentChains>
    <commentChains s:ref="AL1078" rgbClr="FF0000">
      <unresolved>
        <commentChain chainId="596cab6a4c70622348f4b0b75f7f6aa2b5fac01e">
          <item id="d5b6f2db521c1512234b3bfbcd5f06ce512db3d1" isNormal="1">
            <s:text>
              <s:r>
                <s:t xml:space="preserve">Administrator:
1/5 颜色贴纸 7800pcs
空白贴纸 3000pcs
空白贴纸 15600pcs
</s:t>
              </s:r>
            </s:text>
          </item>
        </commentChain>
      </unresolved>
      <resolved/>
    </commentChains>
    <commentChains s:ref="AI1079" rgbClr="FF0000">
      <unresolved>
        <commentChain chainId="7203e730f39a0dfe54c51f77958776eb474a61b2">
          <item id="d766a7553f5645e71ab30e2453d68dcdfca3ce5d" isNormal="1">
            <s:text>
              <s:r>
                <s:t xml:space="preserve">Administrator:
4001932 1/30 6972pcs 王4c1
4001934 1/31 228pcs 庞4c1</s:t>
              </s:r>
            </s:text>
          </item>
        </commentChain>
      </unresolved>
      <resolved/>
    </commentChains>
    <commentChains s:ref="AL1079" rgbClr="FF0000">
      <unresolved>
        <commentChain chainId="ddddad4fa81ee73a082043ee922892a9dbcf718a">
          <item id="1c0164c3f095f2a18e0b70bb59a442a333649811" isNormal="1">
            <s:text>
              <s:r>
                <s:t xml:space="preserve">Administrator:
1/5 颜色贴纸 3000pcs
空白贴纸 7200pcs
空白贴纸 14400pcs
</s:t>
              </s:r>
            </s:text>
          </item>
        </commentChain>
      </unresolved>
      <resolved/>
    </commentChains>
    <commentChains s:ref="AI1080" rgbClr="FF0000">
      <unresolved>
        <commentChain chainId="6c5f4644c6c5294c9f1eed4453deeb89a32f9193">
          <item id="d3623bdbb3986bf09b8c4c13fc8e0c66f9a771e2" isNormal="1">
            <s:text>
              <s:r>
                <s:t xml:space="preserve">Administrator:
1405696 1/29 5000pcs
王军4c8</s:t>
              </s:r>
            </s:text>
          </item>
        </commentChain>
      </unresolved>
      <resolved/>
    </commentChains>
    <commentChains s:ref="AL1080" rgbClr="FF0000">
      <unresolved>
        <commentChain chainId="280c99389805a682004ef018253b2bc582a05125">
          <item id="4742362b388c062079f5572ff1feb39e3309ca47" isNormal="1">
            <s:text>
              <s:r>
                <s:t xml:space="preserve">Administrator:
1/12 进口商贴纸 5000pcs
UPC条码贴纸 5000pcs</s:t>
              </s:r>
            </s:text>
          </item>
        </commentChain>
      </unresolved>
      <resolved/>
    </commentChains>
    <commentChains s:ref="AI1081" rgbClr="FF0000">
      <unresolved>
        <commentChain chainId="8531b7e752c40e0db1f6300e9a64988a1bdffe53">
          <item id="aed1347193ecd5375f24e2a477a641bcf180e197" isNormal="1">
            <s:text>
              <s:r>
                <s:t xml:space="preserve">Administrator:
4001935 1/31 1800pcs</s:t>
              </s:r>
            </s:text>
          </item>
        </commentChain>
      </unresolved>
      <resolved/>
    </commentChains>
    <commentChains s:ref="AI1082" rgbClr="FF0000">
      <unresolved>
        <commentChain chainId="9f842c72275b50fd7cb030622f6ede011d30db62">
          <item id="9802fb47ec31f14481aacfd894f2d73cb7aceed2" isNormal="1">
            <s:text>
              <s:r>
                <s:t xml:space="preserve">Administrator:
1405660 2/2 1200pcs庞3a36</s:t>
              </s:r>
            </s:text>
          </item>
        </commentChain>
      </unresolved>
      <resolved/>
    </commentChains>
    <commentChains s:ref="AL1082" rgbClr="FF0000">
      <unresolved>
        <commentChain chainId="3a59620f221b5438b7a818b58ae710def787bfc8">
          <item id="fcf38d22fc6868d3f04e95b6cdb2561a91a2fb8a" isNormal="1">
            <s:text>
              <s:r>
                <s:t xml:space="preserve">Administrator:
1/15 客供价格贴纸 1320pcs
1/19 空白贴纸 240pcs
</s:t>
              </s:r>
            </s:text>
          </item>
        </commentChain>
      </unresolved>
      <resolved/>
    </commentChains>
    <commentChains s:ref="AI1083" rgbClr="FF0000">
      <unresolved>
        <commentChain chainId="edc891c8a90bf1d2040d7b5c82b4c38bbc8110a7">
          <item id="2de01fcf6cbc344d8a9e594bacc3d5f692dadb06" isNormal="1">
            <s:text>
              <s:r>
                <s:t xml:space="preserve">Administrator:
1405660 2/2 996pcs庞3a36
</s:t>
              </s:r>
            </s:text>
          </item>
        </commentChain>
      </unresolved>
      <resolved/>
    </commentChains>
    <commentChains s:ref="AL1083" rgbClr="FF0000">
      <unresolved>
        <commentChain chainId="7f98ab10054e1e15e70a2bda474313c1e1456922">
          <item id="c45afd7e48ef884e2e0959f0baff6001f3b9c1f0" isNormal="1">
            <s:text>
              <s:r>
                <s:t xml:space="preserve">Administrator:
1/15 客供价格贴纸 1096pcs
1/19 空白贴纸 1992pcs</s:t>
              </s:r>
            </s:text>
          </item>
        </commentChain>
      </unresolved>
      <resolved/>
    </commentChains>
    <commentChains s:ref="AI1084" rgbClr="FF0000">
      <unresolved>
        <commentChain chainId="1b0033211129b7d9d21986a64947448495367f33">
          <item id="0521dc62ddd20aa3db8a14919b69943cc503be7a" isNormal="1">
            <s:text>
              <s:r>
                <s:t xml:space="preserve">Administrator:
1405659 2/2 8000pcs庞1f3</s:t>
              </s:r>
            </s:text>
          </item>
        </commentChain>
      </unresolved>
      <resolved/>
    </commentChains>
    <commentChains s:ref="AL1084" rgbClr="FF0000">
      <unresolved>
        <commentChain chainId="a46ee9bb4d8d7a2bee4a682c896f3861db91954c">
          <item id="ecff40c85b3ded9b7f66b6fbc12f292a515e804e" isNormal="1">
            <s:text>
              <s:r>
                <s:t xml:space="preserve">Administrator:
1/19 进口商贴纸 8000pcs
UPC贴纸 8000pcs</s:t>
              </s:r>
            </s:text>
          </item>
        </commentChain>
      </unresolved>
      <resolved/>
    </commentChains>
    <commentChains s:ref="AI1085" rgbClr="FF0000">
      <unresolved>
        <commentChain chainId="f0441c5870ebc74b004da7f6879e1e7f5cb81a18">
          <item id="41c025af69e52810aaecf1dd7e839bc82149c71e" isNormal="1">
            <s:text>
              <s:r>
                <s:t xml:space="preserve">Administrator4001910 4001910 2/4 1200pcs王4a8</s:t>
              </s:r>
            </s:text>
          </item>
        </commentChain>
      </unresolved>
      <resolved/>
    </commentChains>
    <commentChains s:ref="AI1086" rgbClr="FF0000">
      <unresolved>
        <commentChain chainId="8e57dec7192ff15b864f2b57ee9d99c207a09cce">
          <item id="5ab3e92e3a00c7b9e87d6b4c66bd12db49212719" isNormal="1">
            <s:text>
              <s:r>
                <s:t xml:space="preserve">Administrator:
1405666 2/3 1500pcs庞登一楼</s:t>
              </s:r>
            </s:text>
          </item>
        </commentChain>
      </unresolved>
      <resolved/>
    </commentChains>
    <commentChains s:ref="AL1086" rgbClr="FF0000">
      <unresolved>
        <commentChain chainId="e8b1c1a46f4cddae9d195993772f87a2ca9ba97a">
          <item id="976efed885ca280005283cb66a24102c800b2f05" isNormal="1">
            <s:text>
              <s:r>
                <s:t xml:space="preserve">Administrator:
1/19 挪威语警语贴纸 1500pcs</s:t>
              </s:r>
            </s:text>
          </item>
        </commentChain>
      </unresolved>
      <resolved/>
    </commentChains>
    <commentChains s:ref="AI1087" rgbClr="FF0000">
      <unresolved>
        <commentChain chainId="3abae9a4d5df48ab092a016eaccc95c9533601fc">
          <item id="dac734e73906695b9be0213d662c347acc9a1775" isNormal="1">
            <s:text>
              <s:r>
                <s:t xml:space="preserve">Administrator:
1405659 2/2 750pcs
庞3b9</s:t>
              </s:r>
            </s:text>
          </item>
        </commentChain>
      </unresolved>
      <resolved/>
    </commentChains>
    <commentChains s:ref="AL1087" rgbClr="FF0000">
      <unresolved>
        <commentChain chainId="cd46fd0aa5c5ca16668d89768e492eac285c3b8c">
          <item id="d87102e0593adaddc05121a7ccbd82d34b48d918" isNormal="1">
            <s:text>
              <s:r>
                <s:t xml:space="preserve">Administrator:
1/19 UPC贴纸 750pcs</s:t>
              </s:r>
            </s:text>
          </item>
        </commentChain>
      </unresolved>
      <resolved/>
    </commentChains>
    <commentChains s:ref="AI1088" rgbClr="FF0000">
      <unresolved>
        <commentChain chainId="fd6ca4d1c34c5f0f4fbc5737d82552c03bc95c2a">
          <item id="37a7a016ea93fa760078eebaaee5c164fa55d1a7" isNormal="1">
            <s:text>
              <s:r>
                <s:t xml:space="preserve">Administrator:
1405659 2/2 750pcs庞3b9
</s:t>
              </s:r>
            </s:text>
          </item>
        </commentChain>
      </unresolved>
      <resolved/>
    </commentChains>
    <commentChains s:ref="AL1088" rgbClr="FF0000">
      <unresolved>
        <commentChain chainId="60730d1de94e3330a3b9653c75b0680284cf387d">
          <item id="7bb275bbd16d42bd1cc05c1d710bc490d57722c3" isNormal="1">
            <s:text>
              <s:r>
                <s:t xml:space="preserve">Administrator:
1/19 UPC贴纸 750pcs
</s:t>
              </s:r>
            </s:text>
          </item>
        </commentChain>
      </unresolved>
      <resolved/>
    </commentChains>
    <commentChains s:ref="AI1089" rgbClr="FF0000">
      <unresolved>
        <commentChain chainId="0f25e6e390f8070122d1f5afb9260eb95df2fd8b">
          <item id="d72e2251e3b9c44d50825da8cc970180cb3dc6b3" isNormal="1">
            <s:text>
              <s:r>
                <s:t xml:space="preserve">Administrator:
1405659 2/2 1500pcs庞3b9
</s:t>
              </s:r>
            </s:text>
          </item>
        </commentChain>
      </unresolved>
      <resolved/>
    </commentChains>
    <commentChains s:ref="AL1089" rgbClr="FF0000">
      <unresolved>
        <commentChain chainId="0ba2714a1d00336789bb0d99b7d28ec41639d7fc">
          <item id="1094f02488ef6f6699b78338d9a41f371d7bfdf1" isNormal="1">
            <s:text>
              <s:r>
                <s:t xml:space="preserve">Administrator:
1/19 UPC贴纸 1500pcs
</s:t>
              </s:r>
            </s:text>
          </item>
        </commentChain>
      </unresolved>
      <resolved/>
    </commentChains>
    <commentChains s:ref="AI1090" rgbClr="FF0000">
      <unresolved>
        <commentChain chainId="4dbf2ca479a2f49427a1a5f21a01d6a7228f4823">
          <item id="87da3ad5ab6d95e8c3cf13b8bd84317660e267db" isNormal="1">
            <s:text>
              <s:r>
                <s:t xml:space="preserve">Administrator:
1405660 2/2 2004pcs庞3a23</s:t>
              </s:r>
            </s:text>
          </item>
        </commentChain>
      </unresolved>
      <resolved/>
    </commentChains>
    <commentChains s:ref="AL1090" rgbClr="FF0000">
      <unresolved>
        <commentChain chainId="6b79e62568a96cd7b31623ef80534d2389a879e3">
          <item id="f5335081a292460ed9cf478a994a6d5a2cadb5b2" isNormal="1">
            <s:text>
              <s:r>
                <s:t xml:space="preserve">Administrator:
1/15 客供价格贴纸 2100pcs</s:t>
              </s:r>
            </s:text>
          </item>
        </commentChain>
      </unresolved>
      <resolved/>
    </commentChains>
    <commentChains s:ref="AI1091" rgbClr="FF0000">
      <unresolved>
        <commentChain chainId="e7f6a82f12efecaf3c7c9eb4716d711867a46c3b">
          <item id="0964f547e0bce37a11b02a298149da2e26215281" isNormal="1">
            <s:text>
              <s:r>
                <s:t xml:space="preserve">Administrator:
4001889 2/5 3000pcs
王4a3</s:t>
              </s:r>
            </s:text>
          </item>
        </commentChain>
      </unresolved>
      <resolved/>
    </commentChains>
    <commentChains s:ref="AL1091" rgbClr="FF0000">
      <unresolved>
        <commentChain chainId="a10f1eb0750dcac32fd6c84819a9e31733d59763">
          <item id="82f0a5aa877b043cbeba3d4f3cd30f7b6be31eba" isNormal="1">
            <s:text>
              <s:r>
                <s:t xml:space="preserve">Administrator:
1/15 客供价格贴纸 3150pcs
</s:t>
              </s:r>
            </s:text>
          </item>
        </commentChain>
      </unresolved>
      <resolved/>
    </commentChains>
    <commentChains s:ref="AI1092" rgbClr="FF0000">
      <unresolved>
        <commentChain chainId="bd3650afb3d005a813fe99a92b6afdea553f08ec">
          <item id="e0c2540a7a65e5acbf0d9f02ed022d5a1ef9d270" isNormal="1">
            <s:text>
              <s:r>
                <s:t xml:space="preserve">Administrator:
1405660 2/2 804pcs
庞3b14</s:t>
              </s:r>
            </s:text>
          </item>
        </commentChain>
      </unresolved>
      <resolved/>
    </commentChains>
    <commentChains s:ref="AL1092" rgbClr="FF0000">
      <unresolved>
        <commentChain chainId="ef01f98bc23e319134cf37716cbdc4120175f205">
          <item id="cd9a00da422a47417581d78fe2460466e41ff28d" isNormal="1">
            <s:text>
              <s:r>
                <s:t xml:space="preserve">Administrator:
1/13 客供价格贴纸 840pc</s:t>
              </s:r>
            </s:text>
          </item>
        </commentChain>
      </unresolved>
      <resolved/>
    </commentChains>
    <commentChains s:ref="AI1093" rgbClr="FF0000">
      <unresolved>
        <commentChain chainId="5b6468d3e52e212fca32462f36c76a99dcb4662e">
          <item id="6a47b845959e8380464373104f530be723ec2c49" isNormal="1">
            <s:text>
              <s:r>
                <s:t xml:space="preserve">Administrator:
1405555 2/7 1040pcs王4a2</s:t>
              </s:r>
            </s:text>
          </item>
        </commentChain>
      </unresolved>
      <resolved/>
    </commentChains>
    <commentChains s:ref="AI1094" rgbClr="FF0000">
      <unresolved>
        <commentChain chainId="732c759b29da1d303f3f1c4d03fd58870cf91658">
          <item id="26f6a9e3492fb027ab5f40a59f15d47a41d92698" isNormal="1">
            <s:text>
              <s:r>
                <s:t xml:space="preserve">Administrator:
1405666 2/3 1228pcs
庞登一楼
</s:t>
              </s:r>
            </s:text>
          </item>
        </commentChain>
      </unresolved>
      <resolved/>
    </commentChains>
    <commentChains s:ref="AL1094" rgbClr="FF0000">
      <unresolved>
        <commentChain chainId="2e354148a52b7c5cd3156169731fb45b899df566">
          <item id="1332a45dda7cbdc1ce69fae656b9ec2f1adf1140" isNormal="1">
            <s:text>
              <s:r>
                <s:t xml:space="preserve">Administrator:
1/19 客人自色Cat.label 1008pcs</s:t>
              </s:r>
            </s:text>
          </item>
        </commentChain>
      </unresolved>
      <resolved/>
    </commentChains>
    <commentChains s:ref="AI1095" rgbClr="FF0000">
      <unresolved>
        <commentChain chainId="ecc48780782bc623364074a4c8de41e64c75db45">
          <item id="70bb8c3105c43533f1537793c543970cd08a86b2" isNormal="1">
            <s:text>
              <s:r>
                <s:t xml:space="preserve">Administrator:
1405628 2/4 4800pcs庞3b6</s:t>
              </s:r>
            </s:text>
          </item>
        </commentChain>
      </unresolved>
      <resolved/>
    </commentChains>
    <commentChains s:ref="AL1095" rgbClr="FF0000">
      <unresolved>
        <commentChain chainId="27baf4cdbed31867f2b92ee6c1052aa6864685f4">
          <item id="19fc200996a555f895c40d417245ae74fd71895a" isNormal="1">
            <s:text>
              <s:r>
                <s:t xml:space="preserve">Administrator:
1/5 客供邸ID贴纸 4800pcs
 </s:t>
              </s:r>
            </s:text>
          </item>
        </commentChain>
      </unresolved>
      <resolved/>
    </commentChains>
    <commentChains s:ref="AI1096" rgbClr="FF0000">
      <unresolved>
        <commentChain chainId="dd74b9ab24c5ee7674f61a53393f273d440e83f7">
          <item id="7d0d941599e2491281d1682f9312111ef4a850d1" isNormal="1">
            <s:text>
              <s:r>
                <s:t xml:space="preserve">Administrator:
1405628 2/4 42240pcs
1405628 2/4 8448pcs庞3a24
1405629 2/4 19008pcs王4b6
1405608 2/4 14784pcs王4b6
</s:t>
              </s:r>
            </s:text>
          </item>
        </commentChain>
      </unresolved>
      <resolved/>
    </commentChains>
    <commentChains s:ref="AL1096" rgbClr="FF0000">
      <unresolved>
        <commentChain chainId="8e03899396611641e723c1b634b6c950590f2613">
          <item id="be7a8cb95bdd0f16624bf892b89e052690d7f6e1" isNormal="1">
            <s:text>
              <s:r>
                <s:t xml:space="preserve">Administrator:
1/5 客供邸ID贴纸  42240pcs
</s:t>
              </s:r>
            </s:text>
          </item>
        </commentChain>
      </unresolved>
      <resolved/>
    </commentChains>
    <commentChains s:ref="AI1097" rgbClr="FF0000">
      <unresolved>
        <commentChain chainId="2b262835731df22a409caebac0cba79b69d53e38">
          <item id="0edbd682b21a8ee80bcdff289780ce0fe16eb53d" isNormal="1">
            <s:text>
              <s:r>
                <s:t xml:space="preserve">Administra
1405628 2/4 50880pcs庞3a17</s:t>
              </s:r>
            </s:text>
          </item>
        </commentChain>
      </unresolved>
      <resolved/>
    </commentChains>
    <commentChains s:ref="AL1097" rgbClr="FF0000">
      <unresolved>
        <commentChain chainId="d79ca5ae3de32d7d33486377c9fae7102ff56ca4">
          <item id="30bd435ee902219cd329138dc90a4a40ec61568a" isNormal="1">
            <s:text>
              <s:r>
                <s:t xml:space="preserve">Administrator:
1/5 客供邸ID贴纸  50880pcs
</s:t>
              </s:r>
            </s:text>
          </item>
        </commentChain>
      </unresolved>
      <resolved/>
    </commentChains>
    <commentChains s:ref="AI1098" rgbClr="FF0000">
      <unresolved>
        <commentChain chainId="6869947601f932cd4f82c60c8ea61efef3aee523">
          <item id="21f7275cf860d7971f2e614bb752b171d602da3a" isNormal="1">
            <s:text>
              <s:r>
                <s:t xml:space="preserve">Administrator:
4001874 2/7 504pcs
庞3b12</s:t>
              </s:r>
            </s:text>
          </item>
        </commentChain>
      </unresolved>
      <resolved/>
    </commentChains>
    <commentChains s:ref="AL1098" rgbClr="FF0000">
      <unresolved>
        <commentChain chainId="a7644cf188640999dbf6deeeb8d9885d916c10b7">
          <item id="fab11bb08d548ce0da707e58c338357207226802" isNormal="1">
            <s:text>
              <s:r>
                <s:t xml:space="preserve">Administrator:
1/23 亚马逊外箱贴纸 84pcs</s:t>
              </s:r>
            </s:text>
          </item>
        </commentChain>
      </unresolved>
      <resolved/>
    </commentChains>
    <commentChains s:ref="AI1099" rgbClr="FF0000">
      <unresolved>
        <commentChain chainId="8f32befb774692997d444fa21fe8f22d456a9f0c">
          <item id="8bf2433f118d3dc59b03fbe8fd67e7883be8e855" isNormal="1">
            <s:text>
              <s:r>
                <s:t xml:space="preserve">Administrator:
4001897 2/7 1296pcs王4a4
4001874 2/7 1134pcs庞3a24</s:t>
              </s:r>
            </s:text>
          </item>
        </commentChain>
      </unresolved>
      <resolved/>
    </commentChains>
    <commentChains s:ref="AL1099" rgbClr="FF0000">
      <unresolved>
        <commentChain chainId="19058fa57777d993b297e5e4c3088e764cd56995">
          <item id="81276e5a9aced42755feca69fa2dc7a98aa48b0f" isNormal="1">
            <s:text>
              <s:r>
                <s:t xml:space="preserve">Administrator:
1/21 Kinderherz 2430pcs
1/23 亚马逊外箱贴纸 405pcs
 </s:t>
              </s:r>
            </s:text>
          </item>
        </commentChain>
      </unresolved>
      <resolved/>
    </commentChains>
    <commentChains s:ref="AI1100" rgbClr="FF0000">
      <unresolved>
        <commentChain chainId="436de51831ac173e2b796285948a1319602aab0a">
          <item id="1121760736b3dd50b6bc7b00f70085ad95b8f4fa" isNormal="1">
            <s:text>
              <s:r>
                <s:t xml:space="preserve">Administrator:
5000812 2/7 6648pcs
王4b4</s:t>
              </s:r>
            </s:text>
          </item>
        </commentChain>
      </unresolved>
      <resolved/>
    </commentChains>
    <commentChains s:ref="AL1100" rgbClr="FF0000">
      <unresolved>
        <commentChain chainId="4ef0d57389315c24c1bc07c699c908d09422e83b">
          <item id="3cb248ec36c3a86cbf74ed4c52a067de4fae7f59" isNormal="1">
            <s:text>
              <s:r>
                <s:t xml:space="preserve">Administrator:
12/31 环保标贴纸 6648pcs
空白贴纸 13296pcs
1/23 亚马逊外箱贴纸 554pcs
1/29 洗涤说明贴纸 6648pcs</s:t>
              </s:r>
            </s:text>
          </item>
        </commentChain>
      </unresolved>
      <resolved/>
    </commentChains>
    <commentChains s:ref="AI1101" rgbClr="FF0000">
      <unresolved>
        <commentChain chainId="1cd9a8a195f0208cd71d554ee6fb592cbdd12c7a">
          <item id="b0d8c2a7ecaeba0416c54c8faeec90df060c760d" isNormal="1">
            <s:text>
              <s:r>
                <s:t xml:space="preserve">Administrator:
5000812 2/7 1992pcs
王4a2</s:t>
              </s:r>
            </s:text>
          </item>
        </commentChain>
      </unresolved>
      <resolved/>
    </commentChains>
    <commentChains s:ref="AL1101" rgbClr="FF0000">
      <unresolved>
        <commentChain chainId="5892445ad3a117fd9baf8fed67e96eda6b0b0830">
          <item id="ca385bc941acce0bc11a03a9fe4b40f235ca7517" isNormal="1">
            <s:text>
              <s:r>
                <s:t xml:space="preserve">Administrator:
12/31 环保标贴纸 1992pcs
空白贴纸 2764pcs
1/23 亚马逊外箱贴纸 166pcs
</s:t>
              </s:r>
            </s:text>
          </item>
        </commentChain>
      </unresolved>
      <resolved/>
    </commentChains>
    <commentChains s:ref="AI1102" rgbClr="FF0000">
      <unresolved>
        <commentChain chainId="f5a42118593a3d4c2d0a488232f4614d79b72dbe">
          <item id="45ab2114e094e489cb6a00af7ac09510dcb18b50" isNormal="1">
            <s:text>
              <s:r>
                <s:t xml:space="preserve">Administrator:
1405555 2/7 2405pcs王4a9</s:t>
              </s:r>
            </s:text>
          </item>
        </commentChain>
      </unresolved>
      <resolved/>
    </commentChains>
    <commentChains s:ref="AL1102" rgbClr="FF0000">
      <unresolved>
        <commentChain chainId="d32b053452aff77f36ccb09d3e4d6e830373c6f4">
          <item id="6613e56ef28678d23a9dc12a4bd49077c0e8f40d" isNormal="1">
            <s:text>
              <s:r>
                <s:t xml:space="preserve">Administrator:
1/21 PDQ贴纸 185pcs
1/23 西班牙环保标/客户进口商 2405pcs</s:t>
              </s:r>
            </s:text>
          </item>
        </commentChain>
      </unresolved>
      <resolved/>
    </commentChains>
    <commentChains s:ref="AI1103" rgbClr="FF0000">
      <unresolved>
        <commentChain chainId="140ea70b4cf1ff10ee579cf00c926a5ec7f734e2">
          <item id="431ad6816719d1225a91f9d02d7fbf67c48a37f9" isNormal="1">
            <s:text>
              <s:r>
                <s:t xml:space="preserve">Administrator:
1405555 2/7 2790pcs
王4b4</s:t>
              </s:r>
            </s:text>
          </item>
        </commentChain>
      </unresolved>
      <resolved/>
    </commentChains>
    <commentChains s:ref="AL1103" rgbClr="FF0000">
      <unresolved>
        <commentChain chainId="71876b7859da55e65a56e56796bb81a6472d8b64">
          <item id="6d9f30d4cda895421e73a08fcda513e66c25b423" isNormal="1">
            <s:text>
              <s:r>
                <s:t xml:space="preserve">Administrator:
1/21 PDQ贴纸 93pcs
1/23 西班牙环保标/客户进口商 2790pcs
</s:t>
              </s:r>
            </s:text>
          </item>
        </commentChain>
      </unresolved>
      <resolved/>
    </commentChains>
    <commentChains s:ref="AI1104" rgbClr="FF0000">
      <unresolved>
        <commentChain chainId="699af2087c19549bb4d91525b053ddc5ddfacd88">
          <item id="ec1b8022b55e3d610578753d42da2ac27aed2b71" isNormal="1">
            <s:text>
              <s:r>
                <s:t xml:space="preserve">Administrator:
1405696 1/29 2500pcs
王4c10
</s:t>
              </s:r>
            </s:text>
          </item>
        </commentChain>
      </unresolved>
      <resolved/>
    </commentChains>
    <commentChains s:ref="AL1104" rgbClr="FF0000">
      <unresolved>
        <commentChain chainId="dede685c37e273a627baefaf4fede7b40195dbec">
          <item id="44341fa23e3187ced465e5f0b1a4b5dba1d490a8" isNormal="1">
            <s:text>
              <s:r>
                <s:t xml:space="preserve">Administrator:
1/19 进口商贴纸 2500pcs
UPC贴纸 2500pcs</s:t>
              </s:r>
            </s:text>
          </item>
        </commentChain>
      </unresolved>
      <resolved/>
    </commentChains>
    <commentChains s:ref="AI1105" rgbClr="FF0000">
      <unresolved>
        <commentChain chainId="2191afa7b4b1e5352e383cb524cfcd959e7d5e76">
          <item id="994216cd3d7dc3006882b2e762db1a84142e8668" isNormal="1">
            <s:text>
              <s:r>
                <s:t xml:space="preserve">Administrator:
4001903 2/2 5400pcs</s:t>
              </s:r>
            </s:text>
          </item>
        </commentChain>
      </unresolved>
      <resolved/>
    </commentChains>
    <commentChains s:ref="AI1106" rgbClr="FF0000">
      <unresolved>
        <commentChain chainId="7c61bd95deb8e5927d89115aa8e2498ad5e00aae">
          <item id="8e5c23922fd24009ed873101977460db6bc6b6fb" isNormal="1">
            <s:text>
              <s:r>
                <s:t xml:space="preserve">Administrator:
4001903 2/2 760pcs
4001905 2/3 3960pcs
4001909 2/4 680pcs</s:t>
              </s:r>
            </s:text>
          </item>
        </commentChain>
      </unresolved>
      <resolved/>
    </commentChains>
    <commentChains s:ref="AI1107" rgbClr="FF0000">
      <unresolved>
        <commentChain chainId="06876e40cae186c8b76d3348ce6d71dc81fabe7c">
          <item id="75ad7cb4cfab98f5a1e614766d1d8036654a04d9" isNormal="1">
            <s:text>
              <s:r>
                <s:t xml:space="preserve">Administrator:
1405563 2/7 3000pcs庞1f3</s:t>
              </s:r>
            </s:text>
          </item>
        </commentChain>
      </unresolved>
      <resolved/>
    </commentChains>
    <commentChains s:ref="AL1107" rgbClr="FF0000">
      <unresolved>
        <commentChain chainId="207270a6324e33e999274130290e85935a1f8275">
          <item id="28d0d8a1d6425270726be6c24a8d76780e74a3c4" isNormal="1">
            <s:text>
              <s:r>
                <s:t xml:space="preserve">Administrator:
1/21 进口商贴纸 3000pcs
价标贴纸 3000pcs
2/3 客供mu贴纸(条码贴 60pcs
客供ASN贴纸 60pcs
</s:t>
              </s:r>
            </s:text>
          </item>
        </commentChain>
      </unresolved>
      <resolved/>
    </commentChains>
    <commentChains s:ref="AI1108" rgbClr="FF0000">
      <unresolved>
        <commentChain chainId="b47616ff5f991aa4a8b33c307530bb489fa245aa">
          <item id="c7b80b13bad7ed8f30adcdb78a983aa2a0df526f" isNormal="1">
            <s:text>
              <s:r>
                <s:t xml:space="preserve">Administrator:
1405513 2/24 1875pcs庞3a16</s:t>
              </s:r>
            </s:text>
          </item>
        </commentChain>
      </unresolved>
      <resolved/>
    </commentChains>
    <commentChains s:ref="AI1109" rgbClr="FF0000">
      <unresolved>
        <commentChain chainId="c8af93182565f83526dc95a1b2ada8d8102b3976">
          <item id="a7bcae867031e2d6c56becd5f41064e75d1f536e" isNormal="1">
            <s:text>
              <s:r>
                <s:t xml:space="preserve">Administrator:
1405522 2/26 1000pcs</s:t>
              </s:r>
            </s:text>
          </item>
        </commentChain>
      </unresolved>
      <resolved/>
    </commentChains>
    <commentChains s:ref="AL1109" rgbClr="FF0000">
      <unresolved>
        <commentChain chainId="89241ada50ad9ad5d21a661522dd0a8a2d0ddf88">
          <item id="1bcb0e55d8d36734677c42019d885e83217c6541" isNormal="1">
            <s:text>
              <s:r>
                <s:t xml:space="preserve">Administrator:
1/22 警示语贴纸 1000pcs</s:t>
              </s:r>
            </s:text>
          </item>
        </commentChain>
      </unresolved>
      <resolved/>
    </commentChains>
    <commentChains s:ref="AI1110" rgbClr="FF0000">
      <unresolved>
        <commentChain chainId="ddeb34940a7e0c1ea50b2919f6dfbaa1a221a40e">
          <item id="7daab1e1640f6eabce376858587d906c1246a482" isNormal="1">
            <s:text>
              <s:r>
                <s:t xml:space="preserve">Administrator:
1405521 2/26 15184pcs
王4b41405503 2/27 5616pcs 王4b4</s:t>
              </s:r>
            </s:text>
          </item>
        </commentChain>
      </unresolved>
      <resolved/>
    </commentChains>
    <commentChains s:ref="AL1110" rgbClr="FF0000">
      <unresolved>
        <commentChain chainId="caabc83e8b74ffb0ab5e2a28117f85a0bb6cb81d">
          <item id="65f75fc962939835c5203fac7c6d8ca5334019fa" isNormal="1">
            <s:text>
              <s:r>
                <s:t xml:space="preserve">Administrator:
1/22 进口商贴纸 20800pcs
UPC条码贴纸 20800pcs</s:t>
              </s:r>
            </s:text>
          </item>
        </commentChain>
      </unresolved>
      <resolved/>
    </commentChains>
    <commentChains s:ref="AI1111" rgbClr="FF0000">
      <unresolved>
        <commentChain chainId="c0cd0812c48da2a5b5ce9fdae1e22eba9986c26f">
          <item id="ddc318e13aa91a88e5e04e6a65afd8e609268791" isNormal="1">
            <s:text>
              <s:r>
                <s:t xml:space="preserve">Administrator:
1405513 2/24 63000pcs
庞3a22</s:t>
              </s:r>
            </s:text>
          </item>
        </commentChain>
      </unresolved>
      <resolved/>
    </commentChains>
    <commentChains s:ref="AL1111" rgbClr="FF0000">
      <unresolved>
        <commentChain chainId="12f9cd36b66e24e5c6997ff61642d62b780c34e7">
          <item id="578de468bf266979a2ba6b0d98cec3c4e2a2b7de" isNormal="1">
            <s:text>
              <s:r>
                <s:t xml:space="preserve">Administrator:
1/15 客供外箱条码贴纸 2545pcs
+</s:t>
              </s:r>
            </s:text>
          </item>
        </commentChain>
      </unresolved>
      <resolved/>
    </commentChains>
    <commentChains s:ref="AI1112" rgbClr="FF0000">
      <unresolved>
        <commentChain chainId="27279f5a42b3406f0438b56a26c94a9b9b01334f">
          <item id="6cf10121e9510d234b0e54ad6daf52ffc71ac6be" isNormal="1">
            <s:text>
              <s:r>
                <s:t xml:space="preserve">Administrator:
1405521 2/26 2509pcs王4b9</s:t>
              </s:r>
            </s:text>
          </item>
        </commentChain>
      </unresolved>
      <resolved/>
    </commentChains>
    <commentChains s:ref="AL1112" rgbClr="FF0000">
      <unresolved>
        <commentChain chainId="2b5d5b3bc4800bdf9a11cc45e08e8d4f7eba6b27">
          <item id="383fff5b83125f7297103cffedc6a62b7ec17ab4" isNormal="1">
            <s:text>
              <s:r>
                <s:t xml:space="preserve">Administrator:
1/23 多语折稥警语贴纸 2509pcs
</s:t>
              </s:r>
            </s:text>
          </item>
        </commentChain>
      </unresolved>
      <resolved/>
    </commentChains>
    <commentChains s:ref="AI1113" rgbClr="FF0000">
      <unresolved>
        <commentChain chainId="b33954b8f6763413e78b94c601906c14a9fa56f9">
          <item id="a4f40278a3423cee60cc0b49f5a21f2140a8b939" isNormal="1">
            <s:text>
              <s:r>
                <s:t xml:space="preserve">Administrator:
1405521 2/26 2500pcs
王4b5</s:t>
              </s:r>
            </s:text>
          </item>
        </commentChain>
      </unresolved>
      <resolved/>
    </commentChains>
    <commentChains s:ref="AL1113" rgbClr="FF0000">
      <unresolved>
        <commentChain chainId="b5318b667a93b46ffaa81d6136d557d98d551a3e">
          <item id="fa71b9574a1cc2b4c70b7507ceb51826d7c9011a" isNormal="1">
            <s:text>
              <s:r>
                <s:t xml:space="preserve">Administrator:
1/26 UPC贴纸 2500pcs</s:t>
              </s:r>
            </s:text>
          </item>
        </commentChain>
      </unresolved>
      <resolved/>
    </commentChains>
    <commentChains s:ref="AI1114" rgbClr="FF0000">
      <unresolved>
        <commentChain chainId="b21c034cdbd2cf7a3f87cc3413d09070135c5ef1">
          <item id="a6732017663b1dfa63134fdd084918587c4d40de" isNormal="1">
            <s:text>
              <s:r>
                <s:t xml:space="preserve">Administrator:
1405521 2/26 4675pcs王4a3</s:t>
              </s:r>
            </s:text>
          </item>
        </commentChain>
      </unresolved>
      <resolved/>
    </commentChains>
    <commentChains s:ref="AL1114" rgbClr="FF0000">
      <unresolved>
        <commentChain chainId="8d6d7172543c67f79ab79329f13ed2e0717c8340">
          <item id="a60106d7cf50afbb6b8b61970ee5e8c4a562797b" isNormal="1">
            <s:text>
              <s:r>
                <s:t xml:space="preserve">Administrator:
1/26 PDQUPC 条码贴纸 4675pcs</s:t>
              </s:r>
            </s:text>
          </item>
        </commentChain>
      </unresolved>
      <resolved/>
    </commentChains>
    <commentChains s:ref="AI1115" rgbClr="FF0000">
      <unresolved>
        <commentChain chainId="1e9116e2cd0b97f0ec84ed9d60de88276aaf174e">
          <item id="62cc0049766bb513b1df92239293db311b29ff54" isNormal="1">
            <s:text>
              <s:r>
                <s:t xml:space="preserve">Administrator:
1405521 2/26 3825pcs
王4a3
</s:t>
              </s:r>
            </s:text>
          </item>
        </commentChain>
      </unresolved>
      <resolved/>
    </commentChains>
    <commentChains s:ref="AL1115" rgbClr="FF0000">
      <unresolved>
        <commentChain chainId="d4c7948cf876a898ba31d15b418a2bce26520bae">
          <item id="b316189ab051f0cef998cf7bf908abf6711e22cd" isNormal="1">
            <s:text>
              <s:r>
                <s:t xml:space="preserve">Administrator:
2/3 PDQUPC 条码贴纸 153pcs </s:t>
              </s:r>
            </s:text>
          </item>
        </commentChain>
      </unresolved>
      <resolved/>
    </commentChains>
    <commentChains s:ref="AI1116" rgbClr="FF0000">
      <unresolved>
        <commentChain chainId="9f02f18a461c615b53426e2bcbeeeb67fd23c20e">
          <item id="a8449a94fbc0390af11fe767348228e8956802a1" isNormal="1">
            <s:text>
              <s:r>
                <s:t xml:space="preserve">Administrator:
1405522 2/26 2004pcs 王4b10
</s:t>
              </s:r>
            </s:text>
          </item>
        </commentChain>
      </unresolved>
      <resolved/>
    </commentChains>
    <commentChains s:ref="AL1116" rgbClr="FF0000">
      <unresolved>
        <commentChain chainId="f4954c92d0a88233da1a516db6f5c2e715ab6017">
          <item id="20470beaab1f2f73869d59a352a8e399487141b5" isNormal="1">
            <s:text>
              <s:r>
                <s:t xml:space="preserve">Administrator:
1/16 客供价格贴纸 2100pcs</s:t>
              </s:r>
            </s:text>
          </item>
        </commentChain>
      </unresolved>
      <resolved/>
    </commentChains>
    <commentChains s:ref="AI1117" rgbClr="FF0000">
      <unresolved>
        <commentChain chainId="f9727efbff3b5370bca3a4efe9df42e5d547ae18">
          <item id="be8d9e23d043a620c39e01e1e0bbece6f7adf48c" isNormal="1">
            <s:text>
              <s:r>
                <s:t xml:space="preserve">Administrator:
1405659 2/2 9030pcs庞1f12</s:t>
              </s:r>
            </s:text>
          </item>
        </commentChain>
      </unresolved>
      <resolved/>
    </commentChains>
    <commentChains s:ref="AI1118" rgbClr="FF0000">
      <unresolved>
        <commentChain chainId="d22319131e1757212ea729e47ef359f838d1b4f1">
          <item id="f0abce8366f80a3542e225bde7edd72e65604208" isNormal="1">
            <s:text>
              <s:r>
                <s:t xml:space="preserve">Administrator:
1405498 3/5 2444pcs直走</s:t>
              </s:r>
            </s:text>
          </item>
        </commentChain>
      </unresolved>
      <resolved/>
    </commentChains>
    <commentChains s:ref="AL1118" rgbClr="FF0000">
      <unresolved>
        <commentChain chainId="5e5d83447b7aa84663af6587623f8039ede665af">
          <item id="093f8cb65eb6c8a4bb4b646f0a337243377564bd" isNormal="1">
            <s:text>
              <s:r>
                <s:t xml:space="preserve">Administrator:
1/19 客户婺语贴纸(含环保标 ) 2444pcs</s:t>
              </s:r>
            </s:text>
          </item>
        </commentChain>
      </unresolved>
      <resolved/>
    </commentChains>
    <commentChains s:ref="AI1119" rgbClr="FF0000">
      <unresolved>
        <commentChain chainId="b962e479194e30144983bf400965eb1524ee2fab">
          <item id="336c2f0fb81d2041f1d514169de46a761d12e828" isNormal="1">
            <s:text>
              <s:r>
                <s:t xml:space="preserve">Administrator:
1405487 3/2 455pcs庞3a32</s:t>
              </s:r>
            </s:text>
          </item>
        </commentChain>
      </unresolved>
      <resolved/>
    </commentChains>
    <commentChains s:ref="AL1119" rgbClr="FF0000">
      <unresolved>
        <commentChain chainId="50b036687776ad888d215ca96e951b638db7765b">
          <item id="ff9b5ca2d83b382e6db8bcdc08f28f3319ab13f8" isNormal="1">
            <s:text>
              <s:r>
                <s:t xml:space="preserve">Administrator:
1/22 UPC条码贴 455pcs
1/23 Kmart外箱贴纸 35pcs 
1/30 白色防盗贴纸 445pcs</s:t>
              </s:r>
            </s:text>
          </item>
        </commentChain>
      </unresolved>
      <resolved/>
    </commentChains>
    <commentChains s:ref="AI1120" rgbClr="FF0000">
      <unresolved>
        <commentChain chainId="d5c02aa0310ac1047c01fc565da3c5ae59599913">
          <item id="593805141f7515c36d160a0c961ab63fe5285784" isNormal="1">
            <s:text>
              <s:r>
                <s:t xml:space="preserve">Administrator:
1405487 3/2 3939pcs庞3b17</s:t>
              </s:r>
            </s:text>
          </item>
        </commentChain>
      </unresolved>
      <resolved/>
    </commentChains>
    <commentChains s:ref="AL1120" rgbClr="FF0000">
      <unresolved>
        <commentChain chainId="5e02b4dcd4f4e1a5f88f549c4a880c51338f6bb8">
          <item id="cb9322db5942466a08ee7871fe257834517d74f1" isNormal="1">
            <s:text>
              <s:r>
                <s:t xml:space="preserve">Administrator:
1/22 UPC条码贴 3939pcs
1/23 Kmart外箱贴纸 303pcs
1/30 白色防盗贴纸 3939pcs
</s:t>
              </s:r>
            </s:text>
          </item>
        </commentChain>
      </unresolved>
      <resolved/>
    </commentChains>
    <commentChains s:ref="AI1121" rgbClr="FF0000">
      <unresolved>
        <commentChain chainId="e101876f26f67a604ac22564c2a2af04ccf717f2">
          <item id="7a7f36f55b69104b55fdd7864ab7266c85316800" isNormal="1">
            <s:text>
              <s:r>
                <s:t xml:space="preserve">Administrator:
1405503 2/27 13750
pcs王4c1</s:t>
              </s:r>
            </s:text>
          </item>
        </commentChain>
      </unresolved>
      <resolved/>
    </commentChains>
    <commentChains s:ref="AI1122" rgbClr="FF0000">
      <unresolved>
        <commentChain chainId="08475153fd5d48d6931f291a6792c86cafc061df">
          <item id="62d83c358c6799c46c0b515d982c782c4ea655c6" isNormal="1">
            <s:text>
              <s:r>
                <s:t xml:space="preserve">Administrator:
1405491 3/3 4485pcs庞3a32</s:t>
              </s:r>
            </s:text>
          </item>
        </commentChain>
      </unresolved>
      <resolved/>
    </commentChains>
    <commentChains s:ref="AL1122" rgbClr="FF0000">
      <unresolved>
        <commentChain chainId="fe98c9d5acefac5b227ade2b3cdc67f0f896077d">
          <item id="350492d8610e5ab867923c9ab627601af5197104" isNormal="1">
            <s:text>
              <s:r>
                <s:t xml:space="preserve">Administrator:
1/26 UPC条码贴纸 4485pcs
1/29 Kmart外箱贴纸 345pcs
1/30 白色防盗贴纸 4485pcs
</s:t>
              </s:r>
            </s:text>
          </item>
        </commentChain>
      </unresolved>
      <resolved/>
    </commentChains>
    <commentChains s:ref="AI1123" rgbClr="FF0000">
      <unresolved>
        <commentChain chainId="c992743f6cfa119078958ace38f9b265f7fa0d02">
          <item id="31f029c10cb6410bdca390aa60a9d37a6db44bf0" isNormal="1">
            <s:text>
              <s:r>
                <s:t xml:space="preserve">Administrator:
1405487 3/2 455pcs
庞3b17</s:t>
              </s:r>
            </s:text>
          </item>
        </commentChain>
      </unresolved>
      <resolved/>
    </commentChains>
    <commentChains s:ref="AL1123" rgbClr="FF0000">
      <unresolved>
        <commentChain chainId="e90e8181808dc082316cdf9faf8daddeb39a6898">
          <item id="c35d0131d0f1301184542e68c1f922615501b240" isNormal="1">
            <s:text>
              <s:r>
                <s:t xml:space="preserve">Administrator:
1/26 UPC条码贴纸 445pcs
1/29 Kmart外箱贴纸 35pcs
1/30 白色防盗贴纸 445pcs
</s:t>
              </s:r>
            </s:text>
          </item>
        </commentChain>
      </unresolved>
      <resolved/>
    </commentChains>
    <commentChains s:ref="AI1124" rgbClr="FF0000">
      <unresolved>
        <commentChain chainId="63c2539b597947df0edce3dfd72dcf08318ee6ff">
          <item id="08ac6651c97a178164d808a2bd68e486bb20efba" isNormal="1">
            <s:text>
              <s:r>
                <s:t xml:space="preserve">Administrator:
3/10 4001606 55套文本云
</s:t>
              </s:r>
            </s:text>
          </item>
        </commentChain>
      </unresolved>
      <resolved/>
    </commentChains>
    <commentChains s:ref="AI1125" rgbClr="FF0000">
      <unresolved>
        <commentChain chainId="2b7ef532bcb7b12e2660144c5de15a6cddbc00d6">
          <item id="ec9640e842cd17ec0ffc89b084db2f885418df0a" isNormal="1">
            <s:text>
              <s:r>
                <s:t xml:space="preserve">Administrator:
3/10 4001606 55套文本云</s:t>
              </s:r>
            </s:text>
          </item>
        </commentChain>
      </unresolved>
      <resolved/>
    </commentChains>
    <commentChains s:ref="AI1126" rgbClr="FF0000">
      <unresolved>
        <commentChain chainId="4d7ec8a449f8e8297d44462356f48d435913f7e9">
          <item id="1b9e92af1c66d33fdb929b439c622d79948001ed" isNormal="1">
            <s:text>
              <s:r>
                <s:t xml:space="preserve">Administrator:
4001862 2/28 5400pcs</s:t>
              </s:r>
            </s:text>
          </item>
        </commentChain>
      </unresolved>
      <resolved/>
    </commentChains>
    <commentChains s:ref="AI1127" rgbClr="FF0000">
      <unresolved>
        <commentChain chainId="99c144eaa6ac29fdc3cf78cbedc3b7afec5b3129">
          <item id="6cf5c86b2efd5c9a6e682930357af11ed7cd3359" isNormal="1">
            <s:text>
              <s:r>
                <s:t xml:space="preserve">Administrator:
4001862 2/28 2700pcs
4001865 2/28 2700pcs</s:t>
              </s:r>
            </s:text>
          </item>
        </commentChain>
      </unresolved>
      <resolved/>
    </commentChains>
    <commentChains s:ref="AI1128" rgbClr="FF0000">
      <unresolved>
        <commentChain chainId="fa423de346a1d45a2573d941778efa1823ea73e2">
          <item id="4e1a759f6cb369176bc9b8c01a0792ea7101a2b2" isNormal="1">
            <s:text>
              <s:r>
                <s:t xml:space="preserve">Administrator:
1406364 3/10 1904PCS 王b栋1 雨棚
1406366 3/11 96pcs王b栋1 雨棚</s:t>
              </s:r>
            </s:text>
          </item>
        </commentChain>
      </unresolved>
      <resolved/>
    </commentChains>
    <commentChains s:ref="AL1128" rgbClr="FF0000">
      <unresolved>
        <commentChain chainId="412eb509ac6a6cef4cf564a14547254d68429f8f">
          <item id="18bc6664a576ffe8b01bc096845b982cc43607ec" isNormal="1">
            <s:text>
              <s:r>
                <s:t xml:space="preserve">Administrator:
1/16 客供价格贴纸 2100pcs
</s:t>
              </s:r>
            </s:text>
          </item>
        </commentChain>
      </unresolved>
      <resolved/>
    </commentChains>
    <commentChains s:ref="AI1129" rgbClr="FF0000">
      <unresolved>
        <commentChain chainId="4e0f0787877f795d72f868be8c68960457ae460b">
          <item id="f037f308fff9c86725c6820725bad8eecec06537" isNormal="1">
            <s:text>
              <s:r>
                <s:t xml:space="preserve">Administrator:
文本云
</s:t>
              </s:r>
            </s:text>
          </item>
        </commentChain>
      </unresolved>
      <resolved/>
    </commentChains>
    <commentChains s:ref="AI1130" rgbClr="FF0000">
      <unresolved>
        <commentChain chainId="d760775459801acc9abb1dbec4ea0aa9d210c3bb">
          <item id="9922b55fbea2ea28ad0dfd59f47cdbf71eee5a0f" isNormal="1">
            <s:text>
              <s:r>
                <s:t xml:space="preserve">Administrator:
140637 3/5 4080pcs
1406377 3/6 1320pcs
</s:t>
              </s:r>
            </s:text>
          </item>
        </commentChain>
      </unresolved>
      <resolved/>
    </commentChains>
    <commentChains s:ref="AI1131" rgbClr="FF0000">
      <unresolved>
        <commentChain chainId="168b908b7f109daaf2509365e6841fcbe27324bc">
          <item id="880a304c30989cd101ade577fbc6c85c9a7ac475" isNormal="1">
            <s:text>
              <s:r>
                <s:t xml:space="preserve">Administrator:
1406377 3/6 5400pcs</s:t>
              </s:r>
            </s:text>
          </item>
        </commentChain>
      </unresolved>
      <resolved/>
    </commentChains>
    <commentChains s:ref="AI1132" rgbClr="FF0000">
      <unresolved>
        <commentChain chainId="8bba1412b75aec4e42b4de836ba8c505e8020c43">
          <item id="14f97838b337f23d4a9227dcfb885a5a838a235e" isNormal="1">
            <s:text>
              <s:r>
                <s:t xml:space="preserve">Administrator:
1405466 3/12 2500pcs 庞1f3</s:t>
              </s:r>
            </s:text>
          </item>
        </commentChain>
      </unresolved>
      <resolved/>
    </commentChains>
    <commentChains s:ref="AL1132" rgbClr="FF0000">
      <unresolved>
        <commentChain chainId="8909274b8d3a01504aa6f47fb467728f22c45ae0">
          <item id="4af00a1298f3ff91d26e9ce300b376f068cb9f0d" isNormal="1">
            <s:text>
              <s:r>
                <s:t xml:space="preserve">Administrator:
2/3 进口商贴纸 2500pcs
UPC贴纸 2500pcs</s:t>
              </s:r>
            </s:text>
          </item>
        </commentChain>
      </unresolved>
      <resolved/>
    </commentChains>
    <commentChains s:ref="AI1133" rgbClr="FF0000">
      <unresolved>
        <commentChain chainId="240ead860069756760310f95d479af438c8c78c3">
          <item id="375ef9f7097a3f6d67c6efa1fb64f93062bd0d03" isNormal="1">
            <s:text>
              <s:r>
                <s:t xml:space="preserve">Administrator:
1405322 3/12 3150pcs
庞3a32</s:t>
              </s:r>
            </s:text>
          </item>
        </commentChain>
      </unresolved>
      <resolved/>
    </commentChains>
    <commentChains s:ref="AL1133" rgbClr="FF0000">
      <unresolved>
        <commentChain chainId="4e2113c26a16759b86d30bef1a61b84bf600b2a4">
          <item id="b79238a9106cd6d5d66e1151a6ace76188353d76" isNormal="1">
            <s:text>
              <s:r>
                <s:t xml:space="preserve">Administrator:
2/5 UPC贴纸 3150pcs</s:t>
              </s:r>
            </s:text>
          </item>
        </commentChain>
      </unresolved>
      <resolved/>
    </commentChains>
    <commentChains s:ref="AI1134" rgbClr="FF0000">
      <unresolved>
        <commentChain chainId="cdd95c44f55d226f01ddf1702c45d3f45a9d2d8f">
          <item id="bb04ee283ce96eeafafcb64173ff6fb58f2fdabf" isNormal="1">
            <s:text>
              <s:r>
                <s:t xml:space="preserve">Administrator:
1405322 3/12 1850pcs
庞3b16</s:t>
              </s:r>
            </s:text>
          </item>
        </commentChain>
      </unresolved>
      <resolved/>
    </commentChains>
    <commentChains s:ref="AL1134" rgbClr="FF0000">
      <unresolved>
        <commentChain chainId="c60c0461104a5a8d1d4c1551b774b41f1cc638ca">
          <item id="fdb48bcbc511e0b30ab7e83fd4828bdb7b37d891" isNormal="1">
            <s:text>
              <s:r>
                <s:t xml:space="preserve">Administrator:
2/5 UPC贴纸 1850pcs
</s:t>
              </s:r>
            </s:text>
          </item>
        </commentChain>
      </unresolved>
      <resolved/>
    </commentChains>
    <commentChains s:ref="AI1135" rgbClr="FF0000">
      <unresolved>
        <commentChain chainId="b95c9a42cfa7f3574783eafde21669611bcc0404">
          <item id="d36ed279ec50dac914e0a62061288128a7c3d80b" isNormal="1">
            <s:text>
              <s:r>
                <s:t xml:space="preserve">Administrator:
1405322 3/12 4485pcs
庞3a31</s:t>
              </s:r>
            </s:text>
          </item>
        </commentChain>
      </unresolved>
      <resolved/>
    </commentChains>
    <commentChains s:ref="AL1135" rgbClr="FF0000">
      <unresolved>
        <commentChain chainId="258cdd309098683d5aadd5942cff54664bef47e7">
          <item id="70799572874fb3e00e00f1b96cdd53116d2e1d2f" isNormal="1">
            <s:text>
              <s:r>
                <s:t xml:space="preserve">Administrator:
1/26 UPC条码贴纸 4485pcs
2/4 Kmart外箱贴纸 345pcs 
3/3 白色防盗贴纸 4485pcs</s:t>
              </s:r>
            </s:text>
          </item>
        </commentChain>
      </unresolved>
      <resolved/>
    </commentChains>
    <commentChains s:ref="AI1136" rgbClr="FF0000">
      <unresolved>
        <commentChain chainId="f3ee5709052ea22172fac865b07223c474851d6c">
          <item id="6199be222843ca548316f92db8284f9b74a05fbc" isNormal="1">
            <s:text>
              <s:r>
                <s:t xml:space="preserve">Administrator:
1405322 3/12 455pcs
庞3b12</s:t>
              </s:r>
            </s:text>
          </item>
        </commentChain>
      </unresolved>
      <resolved/>
    </commentChains>
    <commentChains s:ref="AL1136" rgbClr="FF0000">
      <unresolved>
        <commentChain chainId="d394600040346a249ec6e7b80a3b4a8e2320efe1">
          <item id="4a1cee5c78b72d0b46b18fb4f46103dfe015e362" isNormal="1">
            <s:text>
              <s:r>
                <s:t xml:space="preserve">Administrator:
1/26 UPC条码贴纸 455pcs
1/30 白色防盗贴纸 445pcs
2/4 Kmart外箱贴纸 35pcs 
</s:t>
              </s:r>
            </s:text>
          </item>
        </commentChain>
      </unresolved>
      <resolved/>
    </commentChains>
    <commentChains s:ref="AI1137" rgbClr="FF0000">
      <unresolved>
        <commentChain chainId="e88e55e757c6116b604f7cc0f7270d9508cad640">
          <item id="ac168a2452bf6db8fea18db46d0d4b10c68838a2" isNormal="1">
            <s:text>
              <s:r>
                <s:t xml:space="preserve">Administrator:
1406334 3/12 24pcs
庞3a32
1406332 3/12 576pcs庞3a32</s:t>
              </s:r>
            </s:text>
          </item>
        </commentChain>
      </unresolved>
      <resolved/>
    </commentChains>
    <commentChains s:ref="AL1137" rgbClr="FF0000">
      <unresolved>
        <commentChain chainId="c8fb1686b24172f681105e2e29aaf3330627fa87">
          <item id="02f2a6a394570a5d560a158da801737f01a875fd" isNormal="1">
            <s:text>
              <s:r>
                <s:t xml:space="preserve">Administrator:
1/16 客供价格贴纸 630pcs
 </s:t>
              </s:r>
            </s:text>
          </item>
        </commentChain>
      </unresolved>
      <resolved/>
    </commentChains>
    <commentChains s:ref="AI1138" rgbClr="FF0000">
      <unresolved>
        <commentChain chainId="f6a35e22c3b8e924dd9a2a09d755c1685de3ed3d">
          <item id="3c507d9f87fa01a8be33a4ab5f477681c3d5554e" isNormal="1">
            <s:text>
              <s:r>
                <s:t xml:space="preserve">Administrator:
1405466 3/12 1092pcs
庞3b14
1405328 3/13 12pcs庞3b14</s:t>
              </s:r>
            </s:text>
          </item>
        </commentChain>
      </unresolved>
      <resolved/>
    </commentChains>
    <commentChains s:ref="AL1138" rgbClr="FF0000">
      <unresolved>
        <commentChain chainId="10edf89d42875b324f9ec8eafd906ad01e77359d">
          <item id="a0271b7ec4cbcd7858ed980d16572b9d635d304c" isNormal="1">
            <s:text>
              <s:r>
                <s:t xml:space="preserve">Administrator:
1/16 客供价格贴纸 1155pcs</s:t>
              </s:r>
            </s:text>
          </item>
        </commentChain>
      </unresolved>
      <resolved/>
    </commentChains>
    <commentChains s:ref="AI1139" rgbClr="FF0000">
      <unresolved>
        <commentChain chainId="b171999ef350c6191918a1d84ba03ef608d5c70d">
          <item id="307600163864fc05896555563890152510e2bd8e" isNormal="1">
            <s:text>
              <s:r>
                <s:t xml:space="preserve">Administrator:
1405303 3/16 1836pcs王4b10</s:t>
              </s:r>
            </s:text>
          </item>
        </commentChain>
      </unresolved>
      <resolved/>
    </commentChains>
    <commentChains s:ref="AL1139" rgbClr="FF0000">
      <unresolved>
        <commentChain chainId="30be102aeb126d5d43dbda3c322fc3d1b2e6c170">
          <item id="57febd24f55ee0605faaca4e75d259354eb6d7dd" isNormal="1">
            <s:text>
              <s:r>
                <s:t xml:space="preserve">Administrator:
3/10  客供亚马逊外箱贴纸 153PCS 
</s:t>
              </s:r>
            </s:text>
          </item>
        </commentChain>
      </unresolved>
      <resolved/>
    </commentChains>
    <commentChains s:ref="AI1140" rgbClr="FF0000">
      <unresolved>
        <commentChain chainId="a4521ed720fbe6636613321f545832df0bef6922">
          <item id="978085afcb2eaf6a9709f6fc1396a6277003307c" isNormal="1">
            <s:text>
              <s:r>
                <s:t xml:space="preserve">Administrator:
1405303 3/16 24pcs
王4b7</s:t>
              </s:r>
            </s:text>
          </item>
        </commentChain>
      </unresolved>
      <resolved/>
    </commentChains>
    <commentChains s:ref="AL1140" rgbClr="FF0000">
      <unresolved>
        <commentChain chainId="8532c5809e1ee2370ec7694f5bf9650a5c908187">
          <item id="d8aab0e4422ff484f3de4c7dc36f3a5b1eb52837" isNormal="1">
            <s:text>
              <s:r>
                <s:t xml:space="preserve">Administrator:
3/10  客供亚马逊外箱贴纸 2PCS 
</s:t>
              </s:r>
            </s:text>
          </item>
        </commentChain>
      </unresolved>
      <resolved/>
    </commentChains>
    <commentChains s:ref="AI1141" rgbClr="FF0000">
      <unresolved>
        <commentChain chainId="9985f8e6f6d36f17cae1a8ac02dbdc4e3dc23d9c">
          <item id="5511281c9c78ef76f6ec9158c8a84f8483e6dfee" isNormal="1">
            <s:text>
              <s:r>
                <s:t xml:space="preserve">Administrator:
1405303 3/16 36pcs
王4b7
</s:t>
              </s:r>
            </s:text>
          </item>
        </commentChain>
      </unresolved>
      <resolved/>
    </commentChains>
    <commentChains s:ref="AL1141" rgbClr="FF0000">
      <unresolved>
        <commentChain chainId="7b41b0caccb4a3e43c79615fc3e2141c01f35f98">
          <item id="da3bd992d06b1c13f30821bf82152b5635caa924" isNormal="1">
            <s:text>
              <s:r>
                <s:t xml:space="preserve">Administrator:
3/10  客供亚马逊外箱贴纸 3PCS 
</s:t>
              </s:r>
            </s:text>
          </item>
        </commentChain>
      </unresolved>
      <resolved/>
    </commentChains>
    <commentChains s:ref="AI1142" rgbClr="FF0000">
      <unresolved>
        <commentChain chainId="5bf89caeb70b7235617adfbe2efe5df31efb86c5">
          <item id="f49a035734e2a6609300d0707a8d16f79be86153" isNormal="1">
            <s:text>
              <s:r>
                <s:t xml:space="preserve">Administrator:
1405303 3/16 96pcs
王4b10</s:t>
              </s:r>
            </s:text>
          </item>
        </commentChain>
      </unresolved>
      <resolved/>
    </commentChains>
    <commentChains s:ref="AL1142" rgbClr="FF0000">
      <unresolved>
        <commentChain chainId="8e277031c8c826a3b2b4cb821a0f82aee84428c7">
          <item id="b931453aa5553532d622d2c99917745265759b7a" isNormal="1">
            <s:text>
              <s:r>
                <s:t xml:space="preserve">Administrator:
3/10  客供亚马逊外箱贴纸 8PCS 
</s:t>
              </s:r>
            </s:text>
          </item>
        </commentChain>
      </unresolved>
      <resolved/>
    </commentChains>
    <commentChains s:ref="AI1143" rgbClr="FF0000">
      <unresolved>
        <commentChain chainId="e623012a41f5d2bb493667d38fd60266e3697cc0">
          <item id="0c2d32ffbbfdd14e29d41fe8ba31d2ec1f6979bd" isNormal="1">
            <s:text>
              <s:r>
                <s:t xml:space="preserve">Administrator:
1405473 3/12 504pcs
庞3a27</s:t>
              </s:r>
            </s:text>
          </item>
        </commentChain>
      </unresolved>
      <resolved/>
    </commentChains>
    <commentChains s:ref="AL1143" rgbClr="FF0000">
      <unresolved>
        <commentChain chainId="8324d6da2c80a794fc4b67b7fd90541fca21921a">
          <item id="b890e76caf79f54c016cbff0e997e521c4e8dcbc" isNormal="1">
            <s:text>
              <s:r>
                <s:t xml:space="preserve">Administrator:
2/9 德语警语贴纸 504pcs</s:t>
              </s:r>
            </s:text>
          </item>
        </commentChain>
      </unresolved>
      <resolved/>
    </commentChains>
    <commentChains s:ref="AI1144" rgbClr="FF0000">
      <unresolved>
        <commentChain chainId="bda9412a7df004915b18aad3bc9c789b26d7f18e">
          <item id="3fe08a2fa897b093babe5fcf8534cf325c85f64b" isNormal="1">
            <s:text>
              <s:r>
                <s:t xml:space="preserve">Administrator:
1405304 3/16 38275pcs
王4a3
1405285 3/16 11725pcs王4a3</s:t>
              </s:r>
            </s:text>
          </item>
        </commentChain>
      </unresolved>
      <resolved/>
    </commentChains>
    <commentChains s:ref="AL1144" rgbClr="FF0000">
      <unresolved>
        <commentChain chainId="7b429f82dbbecf63bed8f798b94f910c4185011b">
          <item id="d1ceda70b8f101ea99b60509afe9630fc61c69a1" isNormal="1">
            <s:text>
              <s:r>
                <s:t xml:space="preserve">Administrator:
2/26 客供外箱条码贴纸 2000pcs
</s:t>
              </s:r>
            </s:text>
          </item>
        </commentChain>
      </unresolved>
      <resolved/>
    </commentChains>
    <commentChains s:ref="AI1145" rgbClr="FF0000">
      <unresolved>
        <commentChain chainId="44f9e95f4dbe18853036342588dcd86e4821842e">
          <item id="fbf209179d52c839791ebe43c11cb60bb0350af4" isNormal="1">
            <s:text>
              <s:r>
                <s:t xml:space="preserve">Administrator:
1405326 3/12 4797pcs
庞3b17
1405328 3/13 13pcs庞3b17 </s:t>
              </s:r>
            </s:text>
          </item>
        </commentChain>
      </unresolved>
      <resolved/>
    </commentChains>
    <commentChains s:ref="AL1145" rgbClr="FF0000">
      <unresolved>
        <commentChain chainId="aa956f168ba7f60c0aeaa6e205fab1620c21cb9c">
          <item id="1f7a2ad4933ff1736fd7e60580bda0894b63cb75" isNormal="1">
            <s:text>
              <s:r>
                <s:t xml:space="preserve">Administrator:
2/2 多语折疊警语贴纸 4810pcs </s:t>
              </s:r>
            </s:text>
          </item>
        </commentChain>
      </unresolved>
      <resolved/>
    </commentChains>
    <commentChains s:ref="AI1146" rgbClr="FF0000">
      <unresolved>
        <commentChain chainId="28e05322e1686fb4cf6fab0490d4d609fc60a7ea">
          <item id="999c4d503ba5126b0c7c8935a8906190a61ae76a" isNormal="1">
            <s:text>
              <s:r>
                <s:t xml:space="preserve">Administrator:
1405473 3/12 5400pcs庞3a28</s:t>
              </s:r>
            </s:text>
          </item>
        </commentChain>
      </unresolved>
      <resolved/>
    </commentChains>
    <commentChains s:ref="AL1146" rgbClr="FF0000">
      <unresolved>
        <commentChain chainId="46d74a0eb77bdd000548154a8ece06c098352d67">
          <item id="5ca188700a10e4461b0f157f2b21d39671f177bd" isNormal="1">
            <s:text>
              <s:r>
                <s:t xml:space="preserve">Administrator:
1/29 进口商贴纸 5004pcs
空白条码贴纸 10008pcs</s:t>
              </s:r>
            </s:text>
          </item>
        </commentChain>
      </unresolved>
      <resolved/>
    </commentChains>
    <commentChains s:ref="AI1147" rgbClr="FF0000">
      <unresolved>
        <commentChain chainId="d9753d7331bef7cb1b48848c2d4da8152e1dab62">
          <item id="df98dbd4289954c436af0158ef9c70111ce27e8b" isNormal="1">
            <s:text>
              <s:r>
                <s:t xml:space="preserve">Administrator:
1405285 3/16 1950pcs
王4b9</s:t>
              </s:r>
            </s:text>
          </item>
        </commentChain>
      </unresolved>
      <resolved/>
    </commentChains>
    <commentChains s:ref="AL1147" rgbClr="FF0000">
      <unresolved>
        <commentChain chainId="73b1590bc950290b757077bb61a4fee95c69409d">
          <item id="b8541c43e6c8d3605ab8f0e0166980608bc1560d" isNormal="1">
            <s:text>
              <s:r>
                <s:t xml:space="preserve">Administrator:
2/5 进口商贴纸 1950pcs
UPC贴纸 1950pcs</s:t>
              </s:r>
            </s:text>
          </item>
        </commentChain>
      </unresolved>
      <resolved/>
    </commentChains>
    <commentChains s:ref="AI1148" rgbClr="FF0000">
      <unresolved>
        <commentChain chainId="70ece01fad261072126906ace5e2dff0cc1d4868">
          <item id="deb94125996c943e19de3ad364e87b43ff0d0775" isNormal="1">
            <s:text>
              <s:r>
                <s:t xml:space="preserve">Administrator:
1406334 3/12 90pcs
庞3a32</s:t>
              </s:r>
            </s:text>
          </item>
        </commentChain>
      </unresolved>
      <resolved/>
    </commentChains>
    <commentChains s:ref="AI1149" rgbClr="FF0000">
      <unresolved>
        <commentChain chainId="cf9a81c9dcdcd6f327a03f6bf40fd0871e7bad29">
          <item id="f29e8822846bcc01726ecc4701d19b1c7dd5c9fb" isNormal="1">
            <s:text>
              <s:r>
                <s:t xml:space="preserve">Administrator:
1405304 3/16 350pcs
王4b5</s:t>
              </s:r>
            </s:text>
          </item>
        </commentChain>
      </unresolved>
      <resolved/>
    </commentChains>
    <commentChains s:ref="AL1149" rgbClr="FF0000">
      <unresolved>
        <commentChain chainId="498a96b044d671fd76ffa49b3fc3e4ca1fd172ed">
          <item id="e0d2440d3b55f400346d058e23ec0747e3a5792c" isNormal="1">
            <s:text>
              <s:r>
                <s:t xml:space="preserve">Administrator:
3/2 进口商贴纸 350pcs</s:t>
              </s:r>
            </s:text>
          </item>
        </commentChain>
      </unresolved>
      <resolved/>
    </commentChains>
    <commentChains s:ref="AI1150" rgbClr="FF0000">
      <unresolved>
        <commentChain chainId="9d0ae6d7f2985b5a94c6c7bb30290f7dbb782ff8">
          <item id="8f0f033fd67bda4b48f51f58e214b7bc63ef8c2a" isNormal="1">
            <s:text>
              <s:r>
                <s:t xml:space="preserve">Administrator:
1405304 3/16 200pcs王4b5</s:t>
              </s:r>
            </s:text>
          </item>
        </commentChain>
      </unresolved>
      <resolved/>
    </commentChains>
    <commentChains s:ref="AL1150" rgbClr="FF0000">
      <unresolved>
        <commentChain chainId="2c9517617f79d0cbe5c381a40a95b1623ba191a8">
          <item id="e731f159b601a404ef5f2e9b5ac565a6f027c655" isNormal="1">
            <s:text>
              <s:r>
                <s:t xml:space="preserve">Administrator:
3/2 进口商贴纸 200pcs
</s:t>
              </s:r>
            </s:text>
          </item>
        </commentChain>
      </unresolved>
      <resolved/>
    </commentChains>
    <commentChains s:ref="AI1151" rgbClr="FF0000">
      <unresolved>
        <commentChain chainId="af5609a3d7880a58d331760a210d8de806c649fb">
          <item id="a56e6b41d6114f86814bf462d91c3cfa1af25610" isNormal="1">
            <s:text>
              <s:r>
                <s:t xml:space="preserve">Administrator:
1405304 3/16 100pcs王4b5
</s:t>
              </s:r>
            </s:text>
          </item>
        </commentChain>
      </unresolved>
      <resolved/>
    </commentChains>
    <commentChains s:ref="AL1151" rgbClr="FF0000">
      <unresolved>
        <commentChain chainId="1bed49175cb496a981d2029dfd72094279e3fadc">
          <item id="7e19cedd99d55a0dc661fc50dfaaed0d847bb30a" isNormal="1">
            <s:text>
              <s:r>
                <s:t xml:space="preserve">Administrator:
3/2 进口商贴纸 100pcs
</s:t>
              </s:r>
            </s:text>
          </item>
        </commentChain>
      </unresolved>
      <resolved/>
    </commentChains>
    <commentChains s:ref="AI1152" rgbClr="FF0000">
      <unresolved>
        <commentChain chainId="ab419e4112d6bf07004cf01b1f4645e7271f2b41">
          <item id="531dadb4413741708f82b6bd498ab298f8c91e95" isNormal="1">
            <s:text>
              <s:r>
                <s:t xml:space="preserve">Administrator:
1405304 3/16 100pcs王4b5
</s:t>
              </s:r>
            </s:text>
          </item>
        </commentChain>
      </unresolved>
      <resolved/>
    </commentChains>
    <commentChains s:ref="AL1152" rgbClr="FF0000">
      <unresolved>
        <commentChain chainId="de1eacc1340deb1ab785f1ed5dfbeeef5458d132">
          <item id="1ff4962ca0d42b102b32fa468ca56d16f4e626e9" isNormal="1">
            <s:text>
              <s:r>
                <s:t xml:space="preserve">Administrator:
3/2 进口商贴纸 100pcs
</s:t>
              </s:r>
            </s:text>
          </item>
        </commentChain>
      </unresolved>
      <resolved/>
    </commentChains>
    <commentChains s:ref="AI1153" rgbClr="FF0000">
      <unresolved>
        <commentChain chainId="5a18d5117e95e2cf2ec74f53191c9b0e957fa777">
          <item id="d2f71674a67ae2d197e528001692f00169dd2ed0" isNormal="1">
            <s:text>
              <s:r>
                <s:t xml:space="preserve">Administrator:
1405328 3/13 2004pcs王4b10</s:t>
              </s:r>
            </s:text>
          </item>
        </commentChain>
      </unresolved>
      <resolved/>
    </commentChains>
    <commentChains s:ref="AL1153" rgbClr="FF0000">
      <unresolved>
        <commentChain chainId="ad02bc5608a920ca6e6526fc5c5d012d75dd1422">
          <item id="546a591360b33ef506fc4e6775dc53db7b1e24ca" isNormal="1">
            <s:text>
              <s:r>
                <s:t xml:space="preserve">Administrator:
1/16 客供价格贴纸 2100pcs</s:t>
              </s:r>
            </s:text>
          </item>
        </commentChain>
      </unresolved>
      <resolved/>
    </commentChains>
    <commentChains s:ref="AI1154" rgbClr="FF0000">
      <unresolved>
        <commentChain chainId="d512c78a332e22d9ad44b9913869af56b77a297a">
          <item id="41aecceaca25f3ddb8116a776ab044935bfb5a64" isNormal="1">
            <s:text>
              <s:r>
                <s:t xml:space="preserve">Administrator:
1406334 3/12 1592pcs庞3a24
1406338 3/13 8pcs 庞3a24</s:t>
              </s:r>
            </s:text>
          </item>
        </commentChain>
      </unresolved>
      <resolved/>
    </commentChains>
    <commentChains s:ref="AL1154" rgbClr="FF0000">
      <unresolved>
        <commentChain chainId="b9ed748d42134b55850a1c49134db1f5fba5c9d1">
          <item id="09b1c87ed8680dddc6a33157ea51090474bd68c4" isNormal="1">
            <s:text>
              <s:r>
                <s:t xml:space="preserve">Administrator:
1/16 客供价格贴纸 1680pcs</s:t>
              </s:r>
            </s:text>
          </item>
        </commentChain>
      </unresolved>
      <resolved/>
    </commentChains>
    <commentChains s:ref="AI1155" rgbClr="FF0000">
      <unresolved>
        <commentChain chainId="068d5b7fcb7519553367471e1105b422b529b325">
          <item id="f4831607ae3bca3e083706b3792567ea10917ad7" isNormal="1">
            <s:text>
              <s:r>
                <s:t xml:space="preserve">Administrator:
1406325 3/25 5058pcs庞3a26</s:t>
              </s:r>
            </s:text>
          </item>
        </commentChain>
      </unresolved>
      <resolved/>
    </commentChains>
    <commentChains s:ref="AL1155" rgbClr="FF0000">
      <unresolved>
        <commentChain chainId="df8ecb179a4b5c72e8ab1f7bca62a5318864010a">
          <item id="776bba0f6bc6db2e5c02f160fd8fa1c2edf2a641" isNormal="1">
            <s:text>
              <s:r>
                <s:t xml:space="preserve">Administrator:
2/2 亚马逊外箱贴纸 84pcs 
</s:t>
              </s:r>
            </s:text>
          </item>
        </commentChain>
      </unresolved>
      <resolved/>
    </commentChains>
    <commentChains s:ref="BZ1155" rgbClr="FF0000">
      <unresolved>
        <commentChain chainId="3d54379b2a2d2b75e816b884c70a109016705722">
          <item id="a9c8b8a612d676e65ccd4260fddb55873430dfcb" isNormal="1">
            <s:text>
              <s:r>
                <s:t xml:space="preserve">RR:
新客版资料</s:t>
              </s:r>
            </s:text>
          </item>
        </commentChain>
      </unresolved>
      <resolved/>
    </commentChains>
    <commentChains s:ref="AI1156" rgbClr="FF0000">
      <unresolved>
        <commentChain chainId="87fa34fd0d371b6290a731353827e81368d9d082">
          <item id="1b93186c77cde6da3b36af4c15760efab7578ef5" isNormal="1">
            <s:text>
              <s:r>
                <s:t xml:space="preserve">Administrator:
1405233 3/23 600pcs
庞3b14</s:t>
              </s:r>
            </s:text>
          </item>
        </commentChain>
      </unresolved>
      <resolved/>
    </commentChains>
    <commentChains s:ref="AI1157" rgbClr="FF0000">
      <unresolved>
        <commentChain chainId="4c90abb15ad6f16cd77367e95172295df55158b6">
          <item id="51160f0c5791a42cea65763a223efa6b004a8ce3" isNormal="1">
            <s:text>
              <s:r>
                <s:t xml:space="preserve">Administrator:
1405243 3/19 2500pcs王4b7</s:t>
              </s:r>
            </s:text>
          </item>
        </commentChain>
      </unresolved>
      <resolved/>
    </commentChains>
    <commentChains s:ref="AL1157" rgbClr="FF0000">
      <unresolved>
        <commentChain chainId="1365d12e43456d7316ddfca2f61848a71f03a654">
          <item id="e604310bfb9a18244e2a667f50bed037509efdb3" isNormal="1">
            <s:text>
              <s:r>
                <s:t xml:space="preserve">Administrator:
3/2 进口商贴纸 2500pcs
3/3 UPC条码贴纸 2500pcs</s:t>
              </s:r>
            </s:text>
          </item>
        </commentChain>
      </unresolved>
      <resolved/>
    </commentChains>
    <commentChains s:ref="AI1158" rgbClr="FF0000">
      <unresolved>
        <commentChain chainId="e44c751491254b0310daf71e42b834abe0463988">
          <item id="a1d2bcae0835dca46164b1b95f8e14422c3db324" isNormal="1">
            <s:text>
              <s:r>
                <s:t xml:space="preserve">Administrator:
1406343 3/14 4560pcs
1406344 3/16 840pcs
</s:t>
              </s:r>
            </s:text>
          </item>
        </commentChain>
      </unresolved>
      <resolved/>
    </commentChains>
    <commentChains s:ref="AI1159" rgbClr="FF0000">
      <unresolved>
        <commentChain chainId="807141346cb54d8aa1f4065364fa9f62d6fa76c0">
          <item id="fb591948007cc7f48ff51d18ed7e2f1396de0d22" isNormal="1">
            <s:text>
              <s:r>
                <s:t xml:space="preserve">Administrator:
1406344 3/16 2520pcs
1406349 3/17 2880pcs</s:t>
              </s:r>
            </s:text>
          </item>
        </commentChain>
      </unresolved>
      <resolved/>
    </commentChains>
    <commentChains s:ref="AI1160" rgbClr="FF0000">
      <unresolved>
        <commentChain chainId="1d6ddf76bf263e935ef1eec65953931998224c14">
          <item id="cfe31b118d162e57f9364447a4b955efcf9dc995" isNormal="1">
            <s:text>
              <s:r>
                <s:t xml:space="preserve">Administrator:
1405243 3/19 13750pcs 王4b8
14065244 3/19 36250pcs
王4b8</s:t>
              </s:r>
            </s:text>
          </item>
        </commentChain>
      </unresolved>
      <resolved/>
    </commentChains>
    <commentChains s:ref="AL1160" rgbClr="FF0000">
      <unresolved>
        <commentChain chainId="0398ab431c4cc83b4d6fb4a8751eaa8b245f0c18">
          <item id="df1a1dec4111140cfebfed19ce94412e8880dbd7" isNormal="1">
            <s:text>
              <s:r>
                <s:t xml:space="preserve">Administrator:
2/26 客供外箱条码贴纸 2020pcs</s:t>
              </s:r>
            </s:text>
          </item>
        </commentChain>
      </unresolved>
      <resolved/>
    </commentChains>
    <commentChains s:ref="AI1161" rgbClr="FF0000">
      <unresolved>
        <commentChain chainId="3faa9ae7fc0a4bdbdc2812b006ec1a18f0eaa358">
          <item id="b41ade50b94c43da0d469814391466d0ad9bc5db" isNormal="1">
            <s:text>
              <s:r>
                <s:t xml:space="preserve">Administrator:
1406325 3/25 1008pcs
庞3a26</s:t>
              </s:r>
            </s:text>
          </item>
        </commentChain>
      </unresolved>
      <resolved/>
    </commentChains>
    <commentChains s:ref="AL1161" rgbClr="FF0000">
      <unresolved>
        <commentChain chainId="0f4462a231276810e953affc5c4e64a0e427f735">
          <item id="ebb3ebfebf60cd9f147fb59d71606ed0abe66bb4" isNormal="1">
            <s:text>
              <s:r>
                <s:t xml:space="preserve">Administrator:
2/2 亚马逊外箱贴纸 84pcs 
</s:t>
              </s:r>
            </s:text>
          </item>
        </commentChain>
      </unresolved>
      <resolved/>
    </commentChains>
    <commentChains s:ref="BZ1161" rgbClr="FF0000">
      <unresolved>
        <commentChain chainId="685792279961690b2f85ab7adfb2f7a923e4f1cb">
          <item id="441f1db61c1114a2c1f26277dec55d5eb76a4e6a" isNormal="1">
            <s:text>
              <s:r>
                <s:t xml:space="preserve">RR:
新客版资料</s:t>
              </s:r>
            </s:text>
          </item>
        </commentChain>
      </unresolved>
      <resolved/>
    </commentChains>
    <commentChains s:ref="AI1162" rgbClr="FF0000">
      <unresolved>
        <commentChain chainId="df19c18e3045c7e372e9bd9e09a87c12f1425c33">
          <item id="390b10df3e310db22538da721e249f9e73c14a93" isNormal="1">
            <s:text>
              <s:r>
                <s:t xml:space="preserve">Administrator:
1406325 3/25 504pcs
庞3a32</s:t>
              </s:r>
            </s:text>
          </item>
        </commentChain>
      </unresolved>
      <resolved/>
    </commentChains>
    <commentChains s:ref="AL1162" rgbClr="FF0000">
      <unresolved>
        <commentChain chainId="b1322f26814f5ee90e3aae93605cacf1495f5153">
          <item id="4d294f0ef7f10575be57592ba62bc2bb00a5e57e" isNormal="1">
            <s:text>
              <s:r>
                <s:t xml:space="preserve">Administrator:
2/2 亚马逊外箱贴纸 84pcs 
</s:t>
              </s:r>
            </s:text>
          </item>
        </commentChain>
      </unresolved>
      <resolved/>
    </commentChains>
    <commentChains s:ref="BZ1162" rgbClr="FF0000">
      <unresolved>
        <commentChain chainId="54952b6ecc0a236ae5bb2f307c1a8dce16c09dce">
          <item id="586ab7ed8e2bf58a5b9ad88edd92df298745f03e" isNormal="1">
            <s:text>
              <s:r>
                <s:t xml:space="preserve">RR:
新客版资料</s:t>
              </s:r>
            </s:text>
          </item>
        </commentChain>
      </unresolved>
      <resolved/>
    </commentChains>
    <commentChains s:ref="AI1163" rgbClr="FF0000">
      <unresolved>
        <commentChain chainId="6a486466bc593798fb5b49e7e9f546cba3b2f5cb">
          <item id="097897db68dae1fb8d960be21a7120bbe7dc67c9" isNormal="1">
            <s:text>
              <s:r>
                <s:t xml:space="preserve">Administrator:
1405013 3/25 5018pcs庞直走</s:t>
              </s:r>
            </s:text>
          </item>
        </commentChain>
      </unresolved>
      <resolved/>
    </commentChains>
    <commentChains s:ref="AL1163" rgbClr="FF0000">
      <unresolved>
        <commentChain chainId="661e339d6775dbfcd79831871290b09778635f9e">
          <item id="05db7945661f80a1116bc4c8e1236701280fbca1" isNormal="1">
            <s:text>
              <s:r>
                <s:t xml:space="preserve">Administrator:
3/4 客供防窜码贴纸1拖13 386pcs
3/6 条码贴纸 5018pcs</s:t>
              </s:r>
            </s:text>
          </item>
        </commentChain>
      </unresolved>
      <resolved/>
    </commentChains>
    <commentChains s:ref="AI1164" rgbClr="FF0000">
      <unresolved>
        <commentChain chainId="227f2cc2c7da28c46308b6f307f89561f64bd0c9">
          <item id="8cf154b294bb1b92759513d731808ad2fbb223be" isNormal="1">
            <s:text>
              <s:r>
                <s:t xml:space="preserve">Administrator:
1406322 3/21 5004pcs庞3a30</s:t>
              </s:r>
            </s:text>
          </item>
        </commentChain>
      </unresolved>
      <resolved/>
    </commentChains>
    <commentChains s:ref="AL1164" rgbClr="FF0000">
      <unresolved>
        <commentChain chainId="d3e01779fc5ba832e3d286a04e322d00e51dc1d9">
          <item id="a082184283a2bc27d0f785be9009f49fc60695e6" isNormal="1">
            <s:text>
              <s:r>
                <s:t xml:space="preserve">Administrator:
3/6 空白贴纸 804pcs
空白贴纸 1608pcs
3/9 3c贴纸 5004PCS
颜色贴纸 5004PCS 
3/12 空白贴纸 痛po共上50128pcs
 </s:t>
              </s:r>
            </s:text>
          </item>
        </commentChain>
      </unresolved>
      <resolved/>
    </commentChains>
    <commentChains s:ref="AI1165" rgbClr="FF0000">
      <unresolved>
        <commentChain chainId="46fd4159be8614a1a323292e3a6545e0b1466020">
          <item id="32948388a9bfb8f6dfd2294a7703a84cb3452c72" isNormal="1">
            <s:text>
              <s:r>
                <s:t xml:space="preserve">Administrator:
1406324 3/24 468pcs王4a3
1406325 3/25 12pcs
b栋
</s:t>
              </s:r>
            </s:text>
          </item>
        </commentChain>
      </unresolved>
      <resolved/>
    </commentChains>
    <commentChains s:ref="AL1165" rgbClr="FF0000">
      <unresolved>
        <commentChain chainId="3ce7b63c0c3dbb3bf8a696e4b296a73e01e48502">
          <item id="972b5edc6318a11b6618ac4b8e01de42f88372b4" isNormal="1">
            <s:text>
              <s:r>
                <s:t xml:space="preserve">Administrator:
3/3 客供警语贴纸球㡳部赙 994pcs
藏指南客供警语贴织 994pcs
说明书客供警语贴纸 994pcs</s:t>
              </s:r>
            </s:text>
          </item>
        </commentChain>
      </unresolved>
      <resolved/>
    </commentChains>
    <commentChains s:ref="AI1166" rgbClr="FF0000">
      <unresolved>
        <commentChain chainId="6fc3bb71f1194590ee53ac43bd856840ffc5d5a3">
          <item id="04aae260bfa3d94e418e28506850f32fcab5c36e" isNormal="1">
            <s:text>
              <s:r>
                <s:t xml:space="preserve">Administrator:
1405250 3/19 2340pcs王4c6
1405253 3/20 2145pcs
</s:t>
              </s:r>
            </s:text>
          </item>
        </commentChain>
      </unresolved>
      <resolved/>
    </commentChains>
    <commentChains s:ref="AL1166" rgbClr="FF0000">
      <unresolved>
        <commentChain chainId="c71c0d2dded14ad3368514fe86d36a6a6bd9ee24">
          <item id="e7ce412832cfb5315aee06f945b70c6763808da7" isNormal="1">
            <s:text>
              <s:r>
                <s:t xml:space="preserve">Administrator:
3/2 UPC条码贴 4940pcs
3/3 白色防盗贴纸 4485pcs
3/14 Kmant外箱贴纸 345pcs</s:t>
              </s:r>
            </s:text>
          </item>
        </commentChain>
      </unresolved>
      <resolved/>
    </commentChains>
    <commentChains s:ref="AI1167" rgbClr="FF0000">
      <unresolved>
        <commentChain chainId="986b3f78ba7e0c7543271b805407ca37d308465c">
          <item id="3f4fc15750df8f7394b02dff90c856c1900dcdb1" isNormal="1">
            <s:text>
              <s:r>
                <s:t xml:space="preserve">Administrator:
1405253 3/20 455pcs王4a2</s:t>
              </s:r>
            </s:text>
          </item>
        </commentChain>
      </unresolved>
      <resolved/>
    </commentChains>
    <commentChains s:ref="AL1167" rgbClr="FF0000">
      <unresolved>
        <commentChain chainId="9140aa2e36a836778cb3b8f11c4662400eb9b78b">
          <item id="d5fbeb710a562b869c7ca879df6dbd6c9c72fb92" isNormal="1">
            <s:text>
              <s:r>
                <s:t xml:space="preserve">Administrator:
3/3 白色防盗贴纸 455pcs
3/14 Kmant外箱贴纸 35pcs
</s:t>
              </s:r>
            </s:text>
          </item>
        </commentChain>
      </unresolved>
      <resolved/>
    </commentChains>
    <commentChains s:ref="AI1168" rgbClr="FF0000">
      <unresolved>
        <commentChain chainId="cfc5cbc3f7ed01ab9873e3ac1779103bdc271fe0">
          <item id="890f2cb1c859237bea591dac3c255f5c0e790226" isNormal="1">
            <s:text>
              <s:r>
                <s:t xml:space="preserve">Administrator:
1406321 3/21 4536pcs
庞3a311406322 3/21 12pcs
庞3b16</s:t>
              </s:r>
            </s:text>
          </item>
        </commentChain>
      </unresolved>
      <resolved/>
    </commentChains>
    <commentChains s:ref="AL1168" rgbClr="FF0000">
      <unresolved>
        <commentChain chainId="30baa700afa6a6cde635a165096bdce9e5ba1f44">
          <item id="14ebc5f4dc24a2e784c8212f2fddeeb605f58782" isNormal="1">
            <s:text>
              <s:r>
                <s:t xml:space="preserve">Administrator:
3/2 纽扣电池警告语贴纸 10008pcs
空白贴纸 10008pcs
3/14 Kmant外箱贴纸 758pcs</s:t>
              </s:r>
            </s:text>
          </item>
        </commentChain>
      </unresolved>
      <resolved/>
    </commentChains>
    <commentChains s:ref="AI1169" rgbClr="FF0000">
      <unresolved>
        <commentChain chainId="b86cca5191121060e54d8230e7af812f50d00364">
          <item id="9dd550d6dedfbe30e7309c1288f68f6c5413dd4c" isNormal="1">
            <s:text>
              <s:r>
                <s:t xml:space="preserve">Administrator:
1406321 3/21 456pcs
庞3b11</s:t>
              </s:r>
            </s:text>
          </item>
        </commentChain>
      </unresolved>
      <resolved/>
    </commentChains>
    <commentChains s:ref="AL1169" rgbClr="FF0000">
      <unresolved>
        <commentChain chainId="177ba0130140fc75128633915bcab237db737bd3">
          <item id="18f537bd72d8a0f4e863be192a7bf60ac5480bb3" isNormal="1">
            <s:text>
              <s:r>
                <s:t xml:space="preserve">Administrator:
3/14 Kmant外箱贴纸 456pcs</s:t>
              </s:r>
            </s:text>
          </item>
        </commentChain>
      </unresolved>
      <resolved/>
    </commentChains>
    <commentChains s:ref="AI1170" rgbClr="FF0000">
      <unresolved>
        <commentChain chainId="f11b11668abb39cd109ea37c3e85c6fea08dfab1">
          <item id="6591bcf1b24125a05ba5af9fb6ecb6a45cb8c96e" isNormal="1">
            <s:text>
              <s:r>
                <s:t xml:space="preserve">Administrator:
1406323 3/23 1422pcs
庞3a30</s:t>
              </s:r>
            </s:text>
          </item>
        </commentChain>
      </unresolved>
      <resolved/>
    </commentChains>
    <commentChains s:ref="AL1170" rgbClr="FF0000">
      <unresolved>
        <commentChain chainId="d2f3bb66696d551ad97a3e257166e9a01c275133">
          <item id="6294721b0464bcfc8aaebb543a57967f4bb35f5e" isNormal="1">
            <s:text>
              <s:r>
                <s:t xml:space="preserve">Administrator:
3/2 条码贴纸 3690pcs
进口商贴纸 3690pcs
产品贴纸 3690pcs
WEEE说明书纸 3690pcs
3/3 空白贴纸 7380pcs
3/6 产品贴纸 3690pcs
3/17 产品贴纸 3690pcs</s:t>
              </s:r>
            </s:text>
          </item>
        </commentChain>
      </unresolved>
      <resolved/>
    </commentChains>
    <commentChains s:ref="AI1171" rgbClr="FF0000">
      <unresolved>
        <commentChain chainId="224e1d098a627ddf98ab08f7959b42903db0cf90">
          <item id="8f0e2481d1964e649ff947922cb5956af8424379" isNormal="1">
            <s:text>
              <s:r>
                <s:t xml:space="preserve">Administrator:
1405235 3/24 40000pcs
庞3a28、3b15
1405238 3/24 20000pcs
庞3a29</s:t>
              </s:r>
            </s:text>
          </item>
        </commentChain>
      </unresolved>
      <resolved/>
    </commentChains>
    <commentChains s:ref="AL1171" rgbClr="FF0000">
      <unresolved>
        <commentChain chainId="58055a1faba9facca43906eaa1e593898d0eec4a">
          <item id="d22941d71064dd4c955dfb4bda17dfbd331caabf" isNormal="1">
            <s:text>
              <s:r>
                <s:t xml:space="preserve">Administrator:
2/26 客供外箱条码贴纸 2400pcs
</s:t>
              </s:r>
            </s:text>
          </item>
        </commentChain>
      </unresolved>
      <resolved/>
    </commentChains>
    <commentChains s:ref="AI1172" rgbClr="FF0000">
      <unresolved>
        <commentChain chainId="818e3380c124b6526076bb658cbfdce285a88713">
          <item id="2524bd8e22f7a88f39af15dba782beded73b857d" isNormal="1">
            <s:text>
              <s:r>
                <s:t xml:space="preserve">Administrator:
1405227 3/21 1400pcs庞1b1</s:t>
              </s:r>
            </s:text>
          </item>
        </commentChain>
      </unresolved>
      <resolved/>
    </commentChains>
    <commentChains s:ref="AL1172" rgbClr="FF0000">
      <unresolved>
        <commentChain chainId="f5006744bcebf21190b5344b49f9e4a093d123e4">
          <item id="b01c94839d5671329a9119818df52c714c031a84" isNormal="1">
            <s:text>
              <s:r>
                <s:t xml:space="preserve">Administrator:
3/2 法国sorting label贴纸 1400pcs</s:t>
              </s:r>
            </s:text>
          </item>
        </commentChain>
      </unresolved>
      <resolved/>
    </commentChains>
    <commentChains s:ref="AI1173" rgbClr="FF0000">
      <unresolved>
        <commentChain chainId="4520ec2acdd72a1c2c8d5f3a8a7800dab5419da7">
          <item id="5a4bdc48b5a6df7ab7600c8599875481fb3d6aef" isNormal="1">
            <s:text>
              <s:r>
                <s:t xml:space="preserve">Administrator:
1405227 3/21 600pcs
庞1b1
</s:t>
              </s:r>
            </s:text>
          </item>
        </commentChain>
      </unresolved>
      <resolved/>
    </commentChains>
    <commentChains s:ref="AL1173" rgbClr="FF0000">
      <unresolved>
        <commentChain chainId="8b84a93d4dd44241228b49dd3c00fa04dfaaa6cd">
          <item id="45d54ab5701dd052391b00fe2ad8c0f8f858beca" isNormal="1">
            <s:text>
              <s:r>
                <s:t xml:space="preserve">Administrator:
3/2 法国sorting label贴纸 600pcs
</s:t>
              </s:r>
            </s:text>
          </item>
        </commentChain>
      </unresolved>
      <resolved/>
    </commentChains>
    <commentChains s:ref="AI1174" rgbClr="FF0000">
      <unresolved>
        <commentChain chainId="393fbf6f746b07894d29a8ac807aa2715e129a74">
          <item id="207486d274f0a008541b765064b000e9e7d23d6d" isNormal="1">
            <s:text>
              <s:r>
                <s:t xml:space="preserve">Administrator:
1405328 3/13 3984pcs王4b7</s:t>
              </s:r>
            </s:text>
          </item>
        </commentChain>
      </unresolved>
      <resolved/>
    </commentChains>
    <commentChains s:ref="AL1174" rgbClr="FF0000">
      <unresolved>
        <commentChain chainId="52ee377a3f7495f10c83e0c91b670b69f2a834db">
          <item id="f9843ca21fe3cbe02d8d95c767b7056b7d12cb91" isNormal="1">
            <s:text>
              <s:r>
                <s:t xml:space="preserve">Administrator:
2/5 NJ 客供外箱贴纸 332pcs
NJ 通用客供外箱贴纸 332pcs
3/2 空白条码贴纸 7968pcs
价格贴纸 3984pcs</s:t>
              </s:r>
            </s:text>
          </item>
        </commentChain>
      </unresolved>
      <resolved/>
    </commentChains>
    <commentChains s:ref="AI1175" rgbClr="FF0000">
      <unresolved>
        <commentChain chainId="3bee2ba62394c1dab7718087e691683d663ce98e">
          <item id="95112ee5a20175fd432df31ad94548f919242f44" isNormal="1">
            <s:text>
              <s:r>
                <s:t xml:space="preserve">Administrator:
1405328 3/13 17156pcs王4a9
</s:t>
              </s:r>
            </s:text>
          </item>
        </commentChain>
      </unresolved>
      <resolved/>
    </commentChains>
    <commentChains s:ref="AL1175" rgbClr="FF0000">
      <unresolved>
        <commentChain chainId="56190d5133bfcd429c32cb7e0e90be144c827a21">
          <item id="3a54fcb3dd6cd95b7962cf1b7583e2cda8231b38" isNormal="1">
            <s:text>
              <s:r>
                <s:t xml:space="preserve">Administrator:
2/5 NJ 客供外箱贴纸 332pcs
NJ 通用客供外箱贴纸143pcs
3/2 空白条码贴纸 2432pcs
价格贴纸 1716pcs</s:t>
              </s:r>
            </s:text>
          </item>
        </commentChain>
      </unresolved>
      <resolved/>
    </commentChains>
    <commentChains s:ref="AI1176" rgbClr="FF0000">
      <unresolved>
        <commentChain chainId="622427fae7569b916b293be2b5bf95c2d2ca514b">
          <item id="27e6b0458f9870ef7b45093bc53efd6ea8f531f0" isNormal="1">
            <s:text>
              <s:r>
                <s:t xml:space="preserve">Administrator:
1405294 3/14 2015pcs王4b5</s:t>
              </s:r>
            </s:text>
          </item>
        </commentChain>
      </unresolved>
      <resolved/>
    </commentChains>
    <commentChains s:ref="AI1177" rgbClr="FF0000">
      <unresolved>
        <commentChain chainId="889852c62569fe5bbc27116a01823d861a2c2feb">
          <item id="ca26aaeed0583e2ca5f154cbb8abd238dcb44981" isNormal="1">
            <s:text>
              <s:r>
                <s:t xml:space="preserve">Administrator:
1405238 3/24 17920pcs
庞3a17
1405239 3/24 15680pcs 庞3a17</s:t>
              </s:r>
            </s:text>
          </item>
        </commentChain>
      </unresolved>
      <resolved/>
    </commentChains>
    <commentChains s:ref="AL1177" rgbClr="FF0000">
      <unresolved>
        <commentChain chainId="3c43d0186c25240c82657bebb26d9016d8fec290">
          <item id="87ec1d39fe1c7843ddb87bdd0eee20aca45988ab" isNormal="1">
            <s:text>
              <s:r>
                <s:t xml:space="preserve">Administrator:
3/10 客供RFID贴纸 33600pcs</s:t>
              </s:r>
            </s:text>
          </item>
        </commentChain>
      </unresolved>
      <resolved/>
    </commentChains>
    <commentChains s:ref="AI1178" rgbClr="FF0000">
      <unresolved>
        <commentChain chainId="f6dde90285ac61db067629eaa051226d64905c4b">
          <item id="ad6052625fd8ad946b370c6fbec1e17bba61b239" isNormal="1">
            <s:text>
              <s:r>
                <s:t xml:space="preserve">Administrator:
1405238 3/24 5760pcs庞3b14</s:t>
              </s:r>
            </s:text>
          </item>
        </commentChain>
      </unresolved>
      <resolved/>
    </commentChains>
    <commentChains s:ref="AL1178" rgbClr="FF0000">
      <unresolved>
        <commentChain chainId="4073d51d3fce4ed8c73382c75d253e5b443a113a">
          <item id="f45bb984da05ed82a7087ac9f6818bf6eb49d458" isNormal="1">
            <s:text>
              <s:r>
                <s:t xml:space="preserve">Administrator:
3/10 客供RFID贴纸 5760pcs
</s:t>
              </s:r>
            </s:text>
          </item>
        </commentChain>
      </unresolved>
      <resolved/>
    </commentChains>
    <commentChains s:ref="AI1179" rgbClr="FF0000">
      <unresolved>
        <commentChain chainId="64b3abd80218d273afcf50d1668021744d0ee5ad">
          <item id="771a3938f9204c017bca969a436f82bb8e7f538c" isNormal="1">
            <s:text>
              <s:r>
                <s:t xml:space="preserve">Administrator:
1405243 3/19 2500pcs
王4b7
</s:t>
              </s:r>
            </s:text>
          </item>
        </commentChain>
      </unresolved>
      <resolved/>
    </commentChains>
    <commentChains s:ref="AL1179" rgbClr="FF0000">
      <unresolved>
        <commentChain chainId="84c90f87d3e8dc44361fb11847013cfe64e3da98">
          <item id="80480d220866f5e5a88c2f50468b4b4d572d78ce" isNormal="1">
            <s:text>
              <s:r>
                <s:t xml:space="preserve">Administrator:
3/3 UPC条码贴纸 2500pcs
进口商贴纸 2500pcs</s:t>
              </s:r>
            </s:text>
          </item>
        </commentChain>
      </unresolved>
      <resolved/>
    </commentChains>
    <commentChains s:ref="AI1180" rgbClr="FF0000">
      <unresolved>
        <commentChain chainId="e84ac6dbb79d3255b6b9fd91f783aafe7ca1a4b6">
          <item id="830706943bb107cd795b403f4dcaea48e35772f1" isNormal="1">
            <s:text>
              <s:r>
                <s:t xml:space="preserve">Administrator:
1405207 3/27 2004pcs
王4c5</s:t>
              </s:r>
            </s:text>
          </item>
        </commentChain>
      </unresolved>
      <resolved/>
    </commentChains>
    <commentChains s:ref="AL1180" rgbClr="FF0000">
      <unresolved>
        <commentChain chainId="9c22424c3d0d9a8833778f7af86b38a18e39b121">
          <item id="6a16f717dcafa04aa6735914504b354552ba181d" isNormal="1">
            <s:text>
              <s:r>
                <s:t xml:space="preserve">Administrator:
3/10 客供价格贴纸 2100pcs
</s:t>
              </s:r>
            </s:text>
          </item>
        </commentChain>
      </unresolved>
      <resolved/>
    </commentChains>
    <commentChains s:ref="AI1181" rgbClr="FF0000">
      <unresolved>
        <commentChain chainId="729466b95533debbbaf97116f6fe741fcc186aa4">
          <item id="6d2f338c4f5337cf8159639691ef4fa3bc4019f5" isNormal="1">
            <s:text>
              <s:r>
                <s:t xml:space="preserve">Administrator:
1405223 3/25 10500pcs 庞3a30
1405205 3/26 10625pcs庞3a30</s:t>
              </s:r>
            </s:text>
          </item>
        </commentChain>
      </unresolved>
      <resolved/>
    </commentChains>
    <commentChains s:ref="AL1181" rgbClr="FF0000">
      <unresolved>
        <commentChain chainId="c1d11f8ffd8cdb2580429a27ccd68dd77afb465c">
          <item id="0b3c663d1ac911a518d1158266772079f4f008da" isNormal="1">
            <s:text>
              <s:r>
                <s:t xml:space="preserve">Administrator:
3/23 客供外箱条码贴纸 854pcs
</s:t>
              </s:r>
            </s:text>
          </item>
        </commentChain>
      </unresolved>
      <resolved/>
    </commentChains>
    <commentChains s:ref="AI1182" rgbClr="FF0000">
      <unresolved>
        <commentChain chainId="b387e28d016bd3e0dbff5453f5c4a9b496c57086">
          <item id="c00aefb632c3a1b4c711aad8601dff73b08f8731" isNormal="1">
            <s:text>
              <s:r>
                <s:t xml:space="preserve">Administrator:
1405207 3/27 1000pcs
王4a8</s:t>
              </s:r>
            </s:text>
          </item>
        </commentChain>
      </unresolved>
      <resolved/>
    </commentChains>
    <commentChains s:ref="AL1182" rgbClr="FF0000">
      <unresolved>
        <commentChain chainId="19b31285fc6c41b0e919e743d7e15b4afe5557f4">
          <item id="7d2e56602a71cf4b36259bcb908229ae154bb9e6" isNormal="1">
            <s:text>
              <s:r>
                <s:t xml:space="preserve">Administrator:
3/16 进口商贴纸 1000pcs
UPC条码贴纸 1000pcs</s:t>
              </s:r>
            </s:text>
          </item>
        </commentChain>
      </unresolved>
      <resolved/>
    </commentChains>
    <commentChains s:ref="AI1183" rgbClr="FF0000">
      <unresolved>
        <commentChain chainId="75b144eb19e15812964fe612e5b572a117d220b6">
          <item id="ae1586d4a6e2ac613b81186fff3b8ff01e8d7d6a" isNormal="1">
            <s:text>
              <s:r>
                <s:t xml:space="preserve">Administrator:
1405210 3/28 5400pcs庞3b12</s:t>
              </s:r>
            </s:text>
          </item>
        </commentChain>
      </unresolved>
      <resolved/>
    </commentChains>
    <commentChains s:ref="AL1183" rgbClr="FF0000">
      <unresolved>
        <commentChain chainId="6a556b0f7fe2d450ecf41499152cc44769c59715">
          <item id="99608342141a727a51df13659d0d73e74abfdf98" isNormal="1">
            <s:text>
              <s:r>
                <s:t xml:space="preserve">Administrator:
3/4 客供防窜码贴纸1拖13 386pcs
3/6 条码贴纸 5018pcs</s:t>
              </s:r>
            </s:text>
          </item>
        </commentChain>
      </unresolved>
      <resolved/>
    </commentChains>
    <commentChains s:ref="AI1184" rgbClr="FF0000">
      <unresolved>
        <commentChain chainId="adbb2acc60d18c5779b4d8fbeb7d1510cece0f29">
          <item id="dd2777e432d3338e0afc7f511193718abc08d2a3" isNormal="1">
            <s:text>
              <s:r>
                <s:t xml:space="preserve">Administrator:
1406331 3/27 1200pcs庞登一楼</s:t>
              </s:r>
            </s:text>
          </item>
        </commentChain>
      </unresolved>
      <resolved/>
    </commentChains>
    <commentChains s:ref="AL1184" rgbClr="FF0000">
      <unresolved>
        <commentChain chainId="ab9bac862694821efc7041d05637c005f9d6850e">
          <item id="d6608927427b5213e461639846f56c766e3cb462" isNormal="1">
            <s:text>
              <s:r>
                <s:t xml:space="preserve">Administrator:
3/6 空白贴纸 804pcs
空白贴纸 1608pcs
3/9 3c贴纸 1200PCS
颜色贴纸 1200PCS  </s:t>
              </s:r>
            </s:text>
          </item>
        </commentChain>
      </unresolved>
      <resolved/>
    </commentChains>
    <commentChains s:ref="AI1185" rgbClr="FF0000">
      <unresolved>
        <commentChain chainId="1579dd55f849264d68035d0cf901a04057f8c187">
          <item id="9ac22e8264cd19cae11a082ee7e3a6e0e697220a" isNormal="1">
            <s:text>
              <s:r>
                <s:t xml:space="preserve">Administrator:
1405210 3/28 2990pcs
庞3b12</s:t>
              </s:r>
            </s:text>
          </item>
        </commentChain>
      </unresolved>
      <resolved/>
    </commentChains>
    <commentChains s:ref="AL1185" rgbClr="FF0000">
      <unresolved>
        <commentChain chainId="6aa616abfb5b7a9dc78c8d34df06b5ce89e24eee">
          <item id="3d0fa53ff86d286639d733cd8ae98eda90133ec9" isNormal="1">
            <s:text>
              <s:r>
                <s:t xml:space="preserve">Administrator:
3/4 客供防窜码贴纸1拖13 386pcs
3/6 条码贴纸 5018pcs</s:t>
              </s:r>
            </s:text>
          </item>
        </commentChain>
      </unresolved>
      <resolved/>
    </commentChains>
    <commentChains s:ref="AI1186" rgbClr="FF0000">
      <unresolved>
        <commentChain chainId="f348bcd06866ff7907456153d4d634168af9ed7f">
          <item id="bd0772d7f33d257e75d88e2ec3ec55bf43b6e255" isNormal="1">
            <s:text>
              <s:r>
                <s:t xml:space="preserve">Administrator:
1406331 3/27 3000pcs
庞登一楼</s:t>
              </s:r>
            </s:text>
          </item>
        </commentChain>
      </unresolved>
      <resolved/>
    </commentChains>
    <commentChains s:ref="AL1186" rgbClr="FF0000">
      <unresolved>
        <commentChain chainId="2abd375d5e37f797f826a08382246f6578fa2803">
          <item id="cdb72d3c2b97e07a50feff24675d9bef42928187" isNormal="1">
            <s:text>
              <s:r>
                <s:t xml:space="preserve">Administrator:
3/6 空白贴纸 804pcs
空白贴纸 1608pcs
3/9 3c贴纸 3000PCS 
颜色贴纸 3000PCS </s:t>
              </s:r>
            </s:text>
          </item>
        </commentChain>
      </unresolved>
      <resolved/>
    </commentChains>
    <commentChains s:ref="AI1187" rgbClr="FF0000">
      <unresolved>
        <commentChain chainId="ed5fa18342ea80d763f28689e8b22d06a31072e9">
          <item id="43870475b67e14d94d7509c557c9158a1dced2e2" isNormal="1">
            <s:text>
              <s:r>
                <s:t xml:space="preserve">Administrator:
1406344 3/16 2520pcs
1406349 3/17 580pcs
1406353 3/19 2300pcs</s:t>
              </s:r>
            </s:text>
          </item>
        </commentChain>
      </unresolved>
      <resolved/>
    </commentChains>
    <commentChains s:ref="AI1188" rgbClr="FF0000">
      <unresolved>
        <commentChain chainId="c0ff2d946a8e93aaabede77734cb27be86bc38a8">
          <item id="e0578858eb5c5acb788d2bc219c68aac5e11042e" isNormal="1">
            <s:text>
              <s:r>
                <s:t xml:space="preserve">Administrator:
1405436 3/28 6000pcs庞3b17</s:t>
              </s:r>
            </s:text>
          </item>
        </commentChain>
      </unresolved>
      <resolved/>
    </commentChains>
    <commentChains s:ref="AL1188" rgbClr="FF0000">
      <unresolved>
        <commentChain chainId="efe2044498466fd7273f3244e563e8cc637f9d5d">
          <item id="f4ea702714ee8e0e13c865315d3e432465acab94" isNormal="1">
            <s:text>
              <s:r>
                <s:t xml:space="preserve">Administrator:
3/23 进口商贴纸 6000pcs
空白贴纸 6000pcs</s:t>
              </s:r>
            </s:text>
          </item>
        </commentChain>
      </unresolved>
      <resolved/>
    </commentChains>
    <commentChains s:ref="AI1189" rgbClr="FF0000">
      <unresolved>
        <commentChain chainId="5adb50c743b6bb97397ce69cece71be0ebd10ad4">
          <item id="648277cad06d110b0e01492d401ca3cbbe16e5e1" isNormal="1">
            <s:text>
              <s:r>
                <s:t xml:space="preserve">Administrator:
1405436 3/28 1000pcs
庞3b13</s:t>
              </s:r>
            </s:text>
          </item>
        </commentChain>
      </unresolved>
      <resolved/>
    </commentChains>
    <commentChains s:ref="AL1189" rgbClr="FF0000">
      <unresolved>
        <commentChain chainId="50a36e9cf24b0897417c8cd239cae8ba4e4c25f1">
          <item id="1ea92287ae455a83a8ba7efdef544eea9535c1f7" isNormal="1">
            <s:text>
              <s:r>
                <s:t xml:space="preserve">Administrator:
3/9 大语警告语贴共1510PCS
小语警告语贴 10570PCS
丹麦瑞典芬兰挪威警告语 1510CS
3/17 小语警告语贴纸 4650pcs</s:t>
              </s:r>
            </s:text>
          </item>
        </commentChain>
      </unresolved>
      <resolved/>
    </commentChains>
    <commentChains s:ref="AI1190" rgbClr="FF0000">
      <unresolved>
        <commentChain chainId="5fa3c6a45774d43ad4e37072ce6140afbccf4ab0">
          <item id="3f72fd0132b04e12e17c8d0f97b6f465727321ff" isNormal="1">
            <s:text>
              <s:r>
                <s:t xml:space="preserve">Administrator:
1405436 3/28 510pcs
庞3b14</s:t>
              </s:r>
            </s:text>
          </item>
        </commentChain>
      </unresolved>
      <resolved/>
    </commentChains>
    <commentChains s:ref="AI1191" rgbClr="FF0000">
      <unresolved>
        <commentChain chainId="7f687977e59057c8dca4b4a02180745ed4ec56b1">
          <item id="de5223ec312433fd06cf1d299dc79a0d861c18dd" isNormal="1">
            <s:text>
              <s:r>
                <s:t xml:space="preserve">Administrator:
1406250 3/31 2000pcs新b3</s:t>
              </s:r>
            </s:text>
          </item>
        </commentChain>
      </unresolved>
      <resolved/>
    </commentChains>
    <commentChains s:ref="AL1191" rgbClr="FF0000">
      <unresolved>
        <commentChain chainId="ed72c3462e5f02697d5e189c0df1c91c70906dea">
          <item id="834002ebe696626e4990e7b7e8df5092605169bd" isNormal="1">
            <s:text>
              <s:r>
                <s:t xml:space="preserve">Administrator:
3/10 客供价格贴纸 2100pcs
</s:t>
              </s:r>
            </s:text>
          </item>
        </commentChain>
      </unresolved>
      <resolved/>
    </commentChains>
    <commentChains s:ref="AI1192" rgbClr="FF0000">
      <unresolved>
        <commentChain chainId="c2f6bd0e87d107e25f38ff6c5b56c77b9e1640fb">
          <item id="0bb6a12c2aaab25fb212052ed2dc04b55673cfb6" isNormal="1">
            <s:text>
              <s:r>
                <s:t xml:space="preserve">Administrator:
1406245 3/30 10080pcs
庞1a41406247 3/30 3780pcs庞1a4</s:t>
              </s:r>
            </s:text>
          </item>
        </commentChain>
      </unresolved>
      <resolved/>
    </commentChains>
    <commentChains s:ref="AL1192" rgbClr="FF0000">
      <unresolved>
        <commentChain chainId="69b7ca73a7e5ebb6f38e00f65c835e4d3fbaf758">
          <item id="a07a2b4c95ff075dcc4455173ba902809fbcc441" isNormal="1">
            <s:text>
              <s:r>
                <s:t xml:space="preserve">Administrator:
3/6 空白贴纸 804pcs
空白贴纸 1608pcs
3/9 3c贴纸 13860PCS颜色贴纸 13860PCS </s:t>
              </s:r>
            </s:text>
          </item>
        </commentChain>
      </unresolved>
      <resolved/>
    </commentChains>
    <commentChains s:ref="AI1193" rgbClr="FF0000">
      <unresolved>
        <commentChain chainId="bdd04ab6c93b0fa417eacfa1c315e644b0ef3a38">
          <item id="723954a925b706292bb509906f0dc2970996f64d" isNormal="1">
            <s:text>
              <s:r>
                <s:t xml:space="preserve">Administrator:
1405445 3/30 5200pcs庞3a31
1405446 3/30 24115pcs庞3a31
4/1 1405424 65pcs</s:t>
              </s:r>
            </s:text>
          </item>
        </commentChain>
      </unresolved>
      <resolved/>
    </commentChains>
    <commentChains s:ref="AL1193" rgbClr="FF0000">
      <unresolved>
        <commentChain chainId="43d1137cab32a5988d4537e7d8c2c54ccf6c40de">
          <item id="cad1b877a103e16b252aef53787bad929b82d5ec" isNormal="1">
            <s:text>
              <s:r>
                <s:t xml:space="preserve">Administrator:
3/4 客供防窜码贴纸1拖13 386pcs
3/6 条码贴纸 5018pcs</s:t>
              </s:r>
            </s:text>
          </item>
        </commentChain>
      </unresolved>
      <resolved/>
    </commentChains>
    <commentChains s:ref="AI1194" rgbClr="FF0000">
      <unresolved>
        <commentChain chainId="93f92ce32b21430d9fa9e60678217d66f1d21168">
          <item id="6cd31e6299d8931ebdc92f77f58ac25ea97c9584" isNormal="1">
            <s:text>
              <s:r>
                <s:t xml:space="preserve">Administrator:
1406245 3/30 804pcs庞1a4</s:t>
              </s:r>
            </s:text>
          </item>
        </commentChain>
      </unresolved>
      <resolved/>
    </commentChains>
    <commentChains s:ref="AL1194" rgbClr="FF0000">
      <unresolved>
        <commentChain chainId="df890d3ee7f644705bd086e120ecda6385fc7dd8">
          <item id="f0a77a577a5a6801fd8289464917fa7733eddb97" isNormal="1">
            <s:text>
              <s:r>
                <s:t xml:space="preserve">Administrator:
3/6 空白贴纸 804pcs
空白贴纸 1608pcs
3/9 3c贴纸 804PCS
颜色贴纸 804PCS </s:t>
              </s:r>
            </s:text>
          </item>
        </commentChain>
      </unresolved>
      <resolved/>
    </commentChains>
    <commentChains s:ref="AI1195" rgbClr="FF0000">
      <unresolved>
        <commentChain chainId="6dbcf8e49224bed8360085a5c1d8c5bcd31d5b49">
          <item id="3f7dc4de4297cab6e2498390b26e0808fa91b509" isNormal="1">
            <s:text>
              <s:r>
                <s:t xml:space="preserve">Administrator:
1405445 3/30 19994pcs
庞3a25</s:t>
              </s:r>
            </s:text>
          </item>
        </commentChain>
      </unresolved>
      <resolved/>
    </commentChains>
    <commentChains s:ref="AL1195" rgbClr="FF0000">
      <unresolved>
        <commentChain chainId="89ba3d732593978a42a16a537b4525670cd79644">
          <item id="197d839745876200c9f59a8abcf3b7098cf9262a" isNormal="1">
            <s:text>
              <s:r>
                <s:t xml:space="preserve">Administrator:
3/4 客供防窜码贴纸1拖13 386pcs
3/6 条码贴纸 5018pcs</s:t>
              </s:r>
            </s:text>
          </item>
        </commentChain>
      </unresolved>
      <resolved/>
    </commentChains>
    <commentChains s:ref="AI1196" rgbClr="FF0000">
      <unresolved>
        <commentChain chainId="1a18c901bd7b576ac3981d8b35e50d01fd520786">
          <item id="5bd62e110ff98484d76cb389f3006813c24daad5" isNormal="1">
            <s:text>
              <s:r>
                <s:t xml:space="preserve">Administrator:
1405446 3/30 6006pcs庞3a30</s:t>
              </s:r>
            </s:text>
          </item>
        </commentChain>
      </unresolved>
      <resolved/>
    </commentChains>
    <commentChains s:ref="AL1196" rgbClr="FF0000">
      <unresolved>
        <commentChain chainId="5b9de69cf4290cab6bae391c7bc384941989a921">
          <item id="2ee471020d4a72e7bca26f21d1876ec49d8bdea3" isNormal="1">
            <s:text>
              <s:r>
                <s:t xml:space="preserve">Administrator:
3/9 UPC 条码贴纸 6006pcs
3/14 1-韩语贴纸 6006pcs
2-韩语贴纸 6006pcs</s:t>
              </s:r>
            </s:text>
          </item>
        </commentChain>
      </unresolved>
      <resolved/>
    </commentChains>
    <commentChains s:ref="AI1197" rgbClr="FF0000">
      <unresolved>
        <commentChain chainId="ada718c4f81f9cb9e6b436fb322a13badf360091">
          <item id="19a5f461008edb2a0f7012052fda45c599718a8c" isNormal="1">
            <s:text>
              <s:r>
                <s:t xml:space="preserve">Administrator:
1405521 2/26 3750pcs
王4b8</s:t>
              </s:r>
            </s:text>
          </item>
        </commentChain>
      </unresolved>
      <resolved/>
    </commentChains>
    <commentChains s:ref="AL1197" rgbClr="FF0000">
      <unresolved>
        <commentChain chainId="53d7e6db55d5e3f591b7362b42db09a1040a7cb5">
          <item id="5f5133defbff895cd711fbef5770103c23795505" isNormal="1">
            <s:text>
              <s:r>
                <s:t xml:space="preserve">Administrator:
1/23 UPC 条码贴纸 3750pcs
2/2 PDQ条码贴纸 1875pcs</s:t>
              </s:r>
            </s:text>
          </item>
        </commentChain>
      </unresolved>
      <resolved/>
    </commentChains>
    <commentChains s:ref="AI1198" rgbClr="FF0000">
      <unresolved>
        <commentChain chainId="a443149ec67dd9258e76aab2abf34d56d748e16d">
          <item id="d51f20c727e8704496a2fba974219c8d60d48fdd" isNormal="1">
            <s:text>
              <s:r>
                <s:t xml:space="preserve">Administrator:
1405429 4/1 5604pcs张a4</s:t>
              </s:r>
            </s:text>
          </item>
        </commentChain>
      </unresolved>
      <resolved/>
    </commentChains>
    <commentChains s:ref="AL1198" rgbClr="FF0000">
      <unresolved>
        <commentChain chainId="95d92119be547f6f12c9df89030f7b8e28beab7a">
          <item id="03e699cbdc4e249e72dd7efda5c12dc08c11167f" isNormal="1">
            <s:text>
              <s:r>
                <s:t xml:space="preserve">Administrator:
3/9 空白贴纸 5604pcs
3/10 客供价格贴纸 6165pcs
</s:t>
              </s:r>
            </s:text>
          </item>
        </commentChain>
      </unresolved>
      <resolved/>
    </commentChains>
    <commentChains s:ref="AI1199" rgbClr="FF0000">
      <unresolved>
        <commentChain chainId="402d60bbbf29fa70969c62c972bdbb8fe11df9d7">
          <item id="c84c5014c11891d9681b0f03d913ed8242836976" isNormal="1">
            <s:text>
              <s:r>
                <s:t xml:space="preserve">Administrator:
1405429 4/1 1980pcs 张a3
1405430 4/1 4404pcs张a3
1405399 4/2 12pcs
张a4
</s:t>
              </s:r>
            </s:text>
          </item>
        </commentChain>
      </unresolved>
      <resolved/>
    </commentChains>
    <commentChains s:ref="AL1199" rgbClr="FF0000">
      <unresolved>
        <commentChain chainId="c28f5b0834d1b8a957caa92d732cedac05633dad">
          <item id="902c6a32219d38bbeabf310e39381a0bf3d7c40a" isNormal="1">
            <s:text>
              <s:r>
                <s:t xml:space="preserve">Administrator:
3/9 空白贴纸 6396pcs
3/10 客供价格贴纸 7036pcs
</s:t>
              </s:r>
            </s:text>
          </item>
        </commentChain>
      </unresolved>
      <resolved/>
    </commentChains>
    <commentChains s:ref="AI1200" rgbClr="FF0000">
      <unresolved>
        <commentChain chainId="19b6a4e601e8da4ac937c740213a0bacd632a7a9">
          <item id="dc1bac5afa17456648b92b344ac8c18b86667d1f" isNormal="1">
            <s:text>
              <s:r>
                <s:t xml:space="preserve">Administrator:
1405429 4/1 9192pcs
张a4
1405366 4/7 12pcs</s:t>
              </s:r>
            </s:text>
          </item>
        </commentChain>
      </unresolved>
      <resolved/>
    </commentChains>
    <commentChains s:ref="AL1200" rgbClr="FF0000">
      <unresolved>
        <commentChain chainId="3633f8cd54f3648bf18eddb1ab27517fbca2170e">
          <item id="f71bb17706791e39303ca7fdcca543b85ea93289" isNormal="1">
            <s:text>
              <s:r>
                <s:t xml:space="preserve">Administrator:
3/9 空白贴纸 3204pcs
3/10 客供价格贴纸 3525pcs
</s:t>
              </s:r>
            </s:text>
          </item>
        </commentChain>
      </unresolved>
      <resolved/>
    </commentChains>
    <commentChains s:ref="AI1201" rgbClr="FF0000">
      <unresolved>
        <commentChain chainId="ffe097801c90805aac073fea60f1930f8fd89aa1">
          <item id="c03d75e48b827cdabf4dc0d3752700225497ac5c" isNormal="1">
            <s:text>
              <s:r>
                <s:t xml:space="preserve">Administrator:
1405430 4/1 3600pcs张a3</s:t>
              </s:r>
            </s:text>
          </item>
        </commentChain>
      </unresolved>
      <resolved/>
    </commentChains>
    <commentChains s:ref="AL1201" rgbClr="FF0000">
      <unresolved>
        <commentChain chainId="ef7442afa75d560128065f64805397d0f427366c">
          <item id="3ba372a4bbb48f80a722d12517d5970ea2cf863e" isNormal="1">
            <s:text>
              <s:r>
                <s:t xml:space="preserve">Administrator:
3/9 空白贴纸 3600pcs
3/10 客供价格贴纸 3960pcs
</s:t>
              </s:r>
            </s:text>
          </item>
        </commentChain>
      </unresolved>
      <resolved/>
    </commentChains>
    <commentChains s:ref="AI1202" rgbClr="FF0000">
      <unresolved>
        <commentChain chainId="b4b4b944a3b0242d95e405bd3dc75875ac10fe8e">
          <item id="6187d6f40d4335f9a7672c81e524afb4512fb86e" isNormal="1">
            <s:text>
              <s:r>
                <s:t xml:space="preserve">Administrator:
1405399 4/2 240pcs张a3</s:t>
              </s:r>
            </s:text>
          </item>
        </commentChain>
      </unresolved>
      <resolved/>
    </commentChains>
    <commentChains s:ref="AI1203" rgbClr="FF0000">
      <unresolved>
        <commentChain chainId="32769a617e3c4d3293235b423348661a102ff221">
          <item id="cd9ba28cbc2d3e85613c1d277f870a402d1050d0" isNormal="1">
            <s:text>
              <s:r>
                <s:t xml:space="preserve">Administrator:
1405399 4/2 4000pcs
张b3</s:t>
              </s:r>
            </s:text>
          </item>
        </commentChain>
      </unresolved>
      <resolved/>
    </commentChains>
    <commentChains s:ref="AL1203" rgbClr="FF0000">
      <unresolved>
        <commentChain chainId="056a6c682fd913ee5191b7166f354cb5fdeab37b">
          <item id="cae9d717f48aa9c64d99edb360824324b2cac86a" isNormal="1">
            <s:text>
              <s:r>
                <s:t xml:space="preserve">Administrator:
3/9 冰棒款-说明书荷兰语贴 4000pcs
蛋糕款-说明书荷兰语贴 4000pcs
布丁款-说明书荷兰语贴 4000pcs
3/16 德语callout/德意荷警 4000pcs</s:t>
              </s:r>
            </s:text>
          </item>
        </commentChain>
      </unresolved>
      <resolved/>
    </commentChains>
    <commentChains s:ref="AI1204" rgbClr="FF0000">
      <unresolved>
        <commentChain chainId="3c184cc666c9cd257bd8cb454957f65fabacb600">
          <item id="9bea440c74fb01ec4a070ff89e4bd4059c2343f4" isNormal="1">
            <s:text>
              <s:r>
                <s:t xml:space="preserve">Administrator:
1405424 4/4 50000pcs张a5</s:t>
              </s:r>
            </s:text>
          </item>
        </commentChain>
      </unresolved>
      <resolved/>
    </commentChains>
    <commentChains s:ref="AL1204" rgbClr="FF0000">
      <unresolved>
        <commentChain chainId="f6d5a229e6e1823ef75791f5eda722df07a95ad1">
          <item id="cb38e6b6c863ec5894cecc6d2a33daa3a1912307" isNormal="1">
            <s:text>
              <s:r>
                <s:t xml:space="preserve">Administrator:
3/23 客供外箱条码贴纸。 2020pcs</s:t>
              </s:r>
            </s:text>
          </item>
        </commentChain>
      </unresolved>
      <resolved/>
    </commentChains>
    <commentChains s:ref="AI1205" rgbClr="FF0000">
      <unresolved>
        <commentChain chainId="4215c65187654e1765a3e103d719ab8746fd93a2">
          <item id="0060abd9c388d6b0d78810ffa0a966dbb72b99e2" isNormal="1">
            <s:text>
              <s:r>
                <s:t xml:space="preserve">Administrator:
1405394 4/3 3840pcs张新b2</s:t>
              </s:r>
            </s:text>
          </item>
        </commentChain>
      </unresolved>
      <resolved/>
    </commentChains>
    <commentChains s:ref="AL1205" rgbClr="FF0000">
      <unresolved>
        <commentChain chainId="046a641b4c3c8823cfd36f0c9172ec134b04d37a">
          <item id="60b8bf76c0436d05b3ed6601d3ce37dd7d6279ad" isNormal="1">
            <s:text>
              <s:r>
                <s:t xml:space="preserve">Administrator:
3/28 客供咫FID贴纸 3840pcs</s:t>
              </s:r>
            </s:text>
          </item>
        </commentChain>
      </unresolved>
      <resolved/>
    </commentChains>
    <commentChains s:ref="AI1206" rgbClr="FF0000">
      <unresolved>
        <commentChain chainId="85e7153d8956c9d1690ab7bb33895e38a4d6f218">
          <item id="b9ed13516810b2ebf5b06fd29b018da2e9472506" isNormal="1">
            <s:text>
              <s:r>
                <s:t xml:space="preserve">Administrator:
1405386 4/3 4224pcs张新b2
1405394 4/3 2112pcs张b2
1405366 4/7 8064pcs张b2</s:t>
              </s:r>
            </s:text>
          </item>
        </commentChain>
      </unresolved>
      <resolved/>
    </commentChains>
    <commentChains s:ref="AL1206" rgbClr="FF0000">
      <unresolved>
        <commentChain chainId="7992add0a35b3a060c679df7c9ecf9ea4774c2f2">
          <item id="5c44edcf96ca19fbc2f6b67c4cbf0edb6b73a7a0" isNormal="1">
            <s:text>
              <s:r>
                <s:t xml:space="preserve">Administrator:
3/28 客供咫FID贴纸 14400pcs</s:t>
              </s:r>
            </s:text>
          </item>
        </commentChain>
      </unresolved>
      <resolved/>
    </commentChains>
    <commentChains s:ref="AI1207" rgbClr="FF0000">
      <unresolved>
        <commentChain chainId="a8746653d3116727f38983c9125c9b3cfbb91d0e">
          <item id="928319168be9f20d6bc17c9e2c66545632afaae6" isNormal="1">
            <s:text>
              <s:r>
                <s:t xml:space="preserve">Administrator:
1406329 3/26 1680pcs王1ac7
1406241 3/27 3720pcs</s:t>
              </s:r>
            </s:text>
          </item>
        </commentChain>
      </unresolved>
      <resolved/>
    </commentChains>
    <commentChains s:ref="AI1208" rgbClr="FF0000">
      <unresolved>
        <commentChain chainId="2e8cc187eba5d011269bc1dab29919f55671bba3">
          <item id="96411ce783aa9aed49baba79fe060a66573489f5" isNormal="1">
            <s:text>
              <s:r>
                <s:t xml:space="preserve">Administrator:
1406241 3/27 280pcs
1406242 3/27 2720pcs
1406244 3/28 2400pcs</s:t>
              </s:r>
            </s:text>
          </item>
        </commentChain>
      </unresolved>
      <resolved/>
    </commentChains>
    <commentChains s:ref="AI1209" rgbClr="FF0000">
      <unresolved>
        <commentChain chainId="a5c8c0ff6fa7d9898d92a0b6f1a2fa4a0d389a81">
          <item id="769dcb4229f527b82ff26f160836dd5469e5b30a" isNormal="1">
            <s:text>
              <s:r>
                <s:t xml:space="preserve">Administrator:
1405386 4/3 1500pcs
张b6
</s:t>
              </s:r>
            </s:text>
          </item>
        </commentChain>
      </unresolved>
      <resolved/>
    </commentChains>
    <commentChains s:ref="AL1209" rgbClr="FF0000">
      <unresolved>
        <commentChain chainId="c59da1b92f0e7faae3ed7c7e9845d333874dc680">
          <item id="cadd0f78d02359301d51151152292d676b504514" isNormal="1">
            <s:text>
              <s:r>
                <s:t xml:space="preserve">Administrator:
1/26 NJ 客供外箱贴纸 125pcs
3/21 空白条码贴纸 3000pcs</s:t>
              </s:r>
            </s:text>
          </item>
        </commentChain>
      </unresolved>
      <resolved/>
    </commentChains>
    <commentChains s:ref="AI1210" rgbClr="FF0000">
      <unresolved>
        <commentChain chainId="eb476f3fb975d03cd7d72f0a578f8c6e34934787">
          <item id="6255e62154f11e13eb4f6aa01475fa18cd4d25f9" isNormal="1">
            <s:text>
              <s:r>
                <s:t xml:space="preserve">Administrator:
1405386 4/3 504pcs
张b6
</s:t>
              </s:r>
            </s:text>
          </item>
        </commentChain>
      </unresolved>
      <resolved/>
    </commentChains>
    <commentChains s:ref="AL1210" rgbClr="FF0000">
      <unresolved>
        <commentChain chainId="a54d64474863d11bb1e07ef878c3db13f8993aa0">
          <item id="5870fb909052c0653e4d0e5b1a09891bc2fb47e9" isNormal="1">
            <s:text>
              <s:r>
                <s:t xml:space="preserve">Administrator:
1/26 NJ 客供外箱贴纸42pcs
3/21 空白条码贴纸 1008pcs</s:t>
              </s:r>
            </s:text>
          </item>
        </commentChain>
      </unresolved>
      <resolved/>
    </commentChains>
    <commentChains s:ref="AI1211" rgbClr="FF0000">
      <unresolved>
        <commentChain chainId="b4bd3a55ec9b30a5bca3bb65792293ad66f2dc20">
          <item id="a9689fa76e1dc2a06e41b080945f486888d02ad2" isNormal="1">
            <s:text>
              <s:r>
                <s:t xml:space="preserve">Administrator:
1405381 4/9 25pcs庞3b17
1405416 4/8 3825pcs 庞3b17</s:t>
              </s:r>
            </s:text>
          </item>
        </commentChain>
      </unresolved>
      <resolved/>
    </commentChains>
    <commentChains s:ref="AI1212" rgbClr="FF0000">
      <unresolved>
        <commentChain chainId="2ad4bb0d26d1f570a714bbacfb89ff1957bd6fa9">
          <item id="71aa2bc6363fa95d685ce35bff282776d476fb4a" isNormal="1">
            <s:text>
              <s:r>
                <s:t xml:space="preserve">Administrator:
1405378 4/7 1000pcs庞登1楼
</s:t>
              </s:r>
            </s:text>
          </item>
        </commentChain>
      </unresolved>
      <resolved/>
    </commentChains>
    <commentChains s:ref="AL1212" rgbClr="FF0000">
      <unresolved>
        <commentChain chainId="0468beb950773cd1c33824e8879c7972362e9723">
          <item id="9c73f78bd79349cbfd113c5f8eb77a6f63616415" isNormal="1">
            <s:text>
              <s:r>
                <s:t xml:space="preserve">Administrator:
3/21 UPC条码贴纸 1000pcs</s:t>
              </s:r>
            </s:text>
          </item>
        </commentChain>
      </unresolved>
      <resolved/>
    </commentChains>
    <commentChains s:ref="AI1213" rgbClr="FF0000">
      <unresolved>
        <commentChain chainId="36b70578cfbb76e28503b6271694199e5d2a376a">
          <item id="990dfbbc0642da260e0fc8b89c66199d429ca5c2" isNormal="1">
            <s:text>
              <s:r>
                <s:t xml:space="preserve">Administrator:
4/9 1405381 1768pcs庞3b14</s:t>
              </s:r>
            </s:text>
          </item>
        </commentChain>
      </unresolved>
      <resolved/>
    </commentChains>
    <commentChains s:ref="AL1213" rgbClr="FF0000">
      <unresolved>
        <commentChain chainId="a155fa740f57bb034dc538c49cce1d1c7a937019">
          <item id="1df64778b2948bcd74248fdc93e4dc2526b5d004" isNormal="1">
            <s:text>
              <s:r>
                <s:t xml:space="preserve">Administrator:
3/18 客户进口商贴纸 1768pcs</s:t>
              </s:r>
            </s:text>
          </item>
        </commentChain>
      </unresolved>
      <resolved/>
    </commentChains>
    <commentChains s:ref="AI1214" rgbClr="FF0000">
      <unresolved>
        <commentChain chainId="3d4bb743d7609ef4087b0e5188fbb2202bcb5875">
          <item id="5ac39ee7e86b853931deec0a0a49099b11400870" isNormal="1">
            <s:text>
              <s:r>
                <s:t xml:space="preserve">Administrator:
1405350 4/8 180pcs
庞3b15
1405356 4/8 12pcs
庞3b15</s:t>
              </s:r>
            </s:text>
          </item>
        </commentChain>
      </unresolved>
      <resolved/>
    </commentChains>
    <commentChains s:ref="AI1215" rgbClr="FF0000">
      <unresolved>
        <commentChain chainId="638ba599d8b368466e36e6c46fcf50aed6813719">
          <item id="2c681ab1bb58906fecf19ccb02cd0e1de917b924" isNormal="1">
            <s:text>
              <s:r>
                <s:t xml:space="preserve">Administrator:
1405973 4/10 6500pcs</s:t>
              </s:r>
            </s:text>
          </item>
        </commentChain>
      </unresolved>
      <resolved/>
    </commentChains>
    <commentChains s:ref="AL1215" rgbClr="FF0000">
      <unresolved>
        <commentChain chainId="13e322504aef3878ea0aa27dd6193426cf59e7d8">
          <item id="0c5adfde19b4b20c4a5a688ee3c6252417904f2a" isNormal="1">
            <s:text>
              <s:r>
                <s:t xml:space="preserve">Administrator:
3/25 进口腐贴纸 6500pcs
UPC贴 6500pcs
3/30 客供价标贴纸 6510pcs</s:t>
              </s:r>
            </s:text>
          </item>
        </commentChain>
      </unresolved>
      <resolved/>
    </commentChains>
    <commentChains s:ref="AI1216" rgbClr="FF0000">
      <unresolved>
        <commentChain chainId="f5ce9186dfcd52c81ca8f262017e0a754eb7200d">
          <item id="6327f5d51e2443d93193f051a6d5d0803fda80c5" isNormal="1">
            <s:text>
              <s:r>
                <s:t xml:space="preserve">Administrator:
1406260 4/2 2016pcs
1406264 4/2 2688pcs
1405259 4/3 3936pcs 
1406270 4/3 7392pcs
1406271 4/6 1224pcs
1406275 4/7 24pcs</s:t>
              </s:r>
            </s:text>
          </item>
        </commentChain>
      </unresolved>
      <resolved/>
    </commentChains>
    <commentChains s:ref="AL1216" rgbClr="FF0000">
      <unresolved>
        <commentChain chainId="52b2cb69d6d185e76d1ef4cebdbc112660f2b5ff">
          <item id="aaa21f9aa311b383167e977a023a69ee96e1e2a0" isNormal="1">
            <s:text>
              <s:r>
                <s:t xml:space="preserve">Administrator:
3/21 保证书 17280pcs
产品贴纸 17280pcs
3/23 空白贴纸 34560pcs
3/30 空白贴纸 34560pcs</s:t>
              </s:r>
            </s:text>
          </item>
        </commentChain>
      </unresolved>
      <resolved/>
    </commentChains>
    <commentChains s:ref="BZ1216" rgbClr="FF0000">
      <unresolved>
        <commentChain chainId="2372662049d19a143fd84c8de0c6d722842de71d">
          <item id="ea9a4b02d0255de9b22d87f67db1a3302551b5a5" isNormal="1">
            <s:text>
              <s:r>
                <s:t xml:space="preserve">RR:
新客版资料</s:t>
              </s:r>
            </s:text>
          </item>
        </commentChain>
      </unresolved>
      <resolved/>
    </commentChains>
    <commentChains s:ref="AI1217" rgbClr="FF0000">
      <unresolved>
        <commentChain chainId="d85dae990741ad31a11754c139a4ebf4baf9b3a4">
          <item id="8e43bbe5354c7eac7d0522c2e87c41d5903e8309" isNormal="1">
            <s:text>
              <s:r>
                <s:t xml:space="preserve">Administrator:
1406246 3/30 1200pcs
1406248 3/30 840pcs
1406255 4/1 3360pcs
</s:t>
              </s:r>
            </s:text>
          </item>
        </commentChain>
      </unresolved>
      <resolved/>
    </commentChains>
    <commentChains s:ref="AI1218" rgbClr="FF0000">
      <unresolved>
        <commentChain chainId="2a21d8b150ca6bc0951ce360a899b0078e61e9e3">
          <item id="03618fa8e4dc98ef468008bf947bf81d383cd0a5" isNormal="1">
            <s:text>
              <s:r>
                <s:t xml:space="preserve">Administrator:
1405350 4/8 792pcs
庞3b15
1405356 4/8 12pcs
</s:t>
              </s:r>
            </s:text>
          </item>
        </commentChain>
      </unresolved>
      <resolved/>
    </commentChains>
    <commentChains s:ref="AL1218" rgbClr="FF0000">
      <unresolved>
        <commentChain chainId="1e2fd74cb63e641b0a9eca9912de20e5426f05eb">
          <item id="d65e8b7427c645ec38a3466a06ec708048ab3661" isNormal="1">
            <s:text>
              <s:r>
                <s:t xml:space="preserve">Administrator:
3/10 客供价格贴纸 840pcs
</s:t>
              </s:r>
            </s:text>
          </item>
        </commentChain>
      </unresolved>
      <resolved/>
    </commentChains>
    <commentChains s:ref="AI1219" rgbClr="FF0000">
      <unresolved>
        <commentChain chainId="342aac6443650966c1e1589939e988ed6fb82022">
          <item id="604891ea42d8fcab96006a066163b899d0f1dbb0" isNormal="1">
            <s:text>
              <s:r>
                <s:t xml:space="preserve">Administrator:
1405350 4/8 3200pcs庞3b12</s:t>
              </s:r>
            </s:text>
          </item>
        </commentChain>
      </unresolved>
      <resolved/>
    </commentChains>
    <commentChains s:ref="AI1220" rgbClr="FF0000">
      <unresolved>
        <commentChain chainId="cbd65315f5e948d5394934624f5d908f24dca2ce">
          <item id="0b1370f0bb1461eacec19325653d9d1d9df3d590" isNormal="1">
            <s:text>
              <s:r>
                <s:t xml:space="preserve">Administrator:
1406248 3/30 1680pcs
1406251 3/31 2240pcs
406255 4/1 1480pcs</s:t>
              </s:r>
            </s:text>
          </item>
        </commentChain>
      </unresolved>
      <resolved/>
    </commentChains>
    <commentChains s:ref="AI1221" rgbClr="FF0000">
      <unresolved>
        <commentChain chainId="e4b20f27dd79a66e4905ec1a5e660a7faec8200b">
          <item id="8d27df0449d2d82b24c440ca88bcab40aa71b7ed" isNormal="1">
            <s:text>
              <s:r>
                <s:t xml:space="preserve">Administrator:
1405342 4/10 1200pcs
庞3b11</s:t>
              </s:r>
            </s:text>
          </item>
        </commentChain>
      </unresolved>
      <resolved/>
    </commentChains>
    <commentChains s:ref="AL1221" rgbClr="FF0000">
      <unresolved>
        <commentChain chainId="68d20bb12a1a4cf87e587ce79a7bd9db328a6028">
          <item id="d9a5ce4ad88742404bd9c84cc4319f6733d154fa" isNormal="1">
            <s:text>
              <s:r>
                <s:t xml:space="preserve">Administrator:
3/16 客供价格贴纸 200pcs
3/23 外箱贴纸 200pcs</s:t>
              </s:r>
            </s:text>
          </item>
        </commentChain>
      </unresolved>
      <resolved/>
    </commentChains>
    <commentChains s:ref="AI1222" rgbClr="FF0000">
      <unresolved>
        <commentChain chainId="7606f17bc67a65654be6535969ab7ed1ad28f377">
          <item id="3e25b3763705c91f57e0d21300921eaa0353dbd2" isNormal="1">
            <s:text>
              <s:r>
                <s:t xml:space="preserve">Administrator:
1405342 4/10 1200pcs
庞3b11
</s:t>
              </s:r>
            </s:text>
          </item>
        </commentChain>
      </unresolved>
      <resolved/>
    </commentChains>
    <commentChains s:ref="AL1222" rgbClr="FF0000">
      <unresolved>
        <commentChain chainId="3c98c61fb3e9f35a432bb5c5e5419a5bcc887074">
          <item id="a371193a0c7dec8428d619a9f77af8fa952d98b0" isNormal="1">
            <s:text>
              <s:r>
                <s:t xml:space="preserve">Administrator:
3/16 客供价格贴纸200pcs
3/23 外箱贴纸 200pcs
</s:t>
              </s:r>
            </s:text>
          </item>
        </commentChain>
      </unresolved>
      <resolved/>
    </commentChains>
    <commentChains s:ref="AI1223" rgbClr="FF0000">
      <unresolved>
        <commentChain chainId="6a172fd1bc340c2cf0ae55a92dcadd5a5f3e53f9">
          <item id="98afa89622486ad1e4d7a2dbe57b94a6906b54bb" isNormal="1">
            <s:text>
              <s:r>
                <s:t xml:space="preserve">Administrator:
1405413 4/8 728pcs
庞3b14
1405421 4/8 52pcs庞3b14</s:t>
              </s:r>
            </s:text>
          </item>
        </commentChain>
      </unresolved>
      <resolved/>
    </commentChains>
    <commentChains s:ref="AL1223" rgbClr="FF0000">
      <unresolved>
        <commentChain chainId="ff27980a09cb5e38ed6b4954d9a552f001f21906">
          <item id="f3847ea377d37dc85617b7e1c05951f8e6c3b58d" isNormal="1">
            <s:text>
              <s:r>
                <s:t xml:space="preserve">Administrator:
3/18 警语贴纸 780pcs
UPC条码贴纸 780pcs</s:t>
              </s:r>
            </s:text>
          </item>
        </commentChain>
      </unresolved>
      <resolved/>
    </commentChains>
    <commentChains s:ref="AI1224" rgbClr="FF0000">
      <unresolved>
        <commentChain chainId="4ba452439d9069f17c37445b679c47c7689f7eb7">
          <item id="429e215dee21655944662439d46b97dbec104ffa" isNormal="1">
            <s:text>
              <s:r>
                <s:t xml:space="preserve">Administrator:
4/9 1405381 500pcs
庞3b14
</s:t>
              </s:r>
            </s:text>
          </item>
        </commentChain>
      </unresolved>
      <resolved/>
    </commentChains>
    <commentChains s:ref="AL1224" rgbClr="FF0000">
      <unresolved>
        <commentChain chainId="79ef41b427cd4cc5b5e90361369d960c56b164c8">
          <item id="6caceb08243ba8cf556663c30bafdb05c9eae587" isNormal="1">
            <s:text>
              <s:r>
                <s:t xml:space="preserve">Administrator:
3/20 UPC贴纸 500pcs</s:t>
              </s:r>
            </s:text>
          </item>
        </commentChain>
      </unresolved>
      <resolved/>
    </commentChains>
    <commentChains s:ref="AI1225" rgbClr="FF0000">
      <unresolved>
        <commentChain chainId="d6a87b6ad1aaa98c3177c67c16096b2877a4b8a9">
          <item id="77e0c04c4af0ef274f50cf61527cd6c0c3b14a53" isNormal="1">
            <s:text>
              <s:r>
                <s:t xml:space="preserve">Administrator:
1405356 4/8 60000pcs庞登一楼</s:t>
              </s:r>
            </s:text>
          </item>
        </commentChain>
      </unresolved>
      <resolved/>
    </commentChains>
    <commentChains s:ref="AL1225" rgbClr="FF0000">
      <unresolved>
        <commentChain chainId="2eebd350299e83a048315c1ad05e8348e779f65d">
          <item id="ebda35c2016a6820a5a158e3a81f0b45a7b06407" isNormal="1">
            <s:text>
              <s:r>
                <s:t xml:space="preserve">Administrator:
3/13 客供亚马逊外箱贴纸 2400pcs
</s:t>
              </s:r>
            </s:text>
          </item>
        </commentChain>
      </unresolved>
      <resolved/>
    </commentChains>
    <commentChains s:ref="AI1226" rgbClr="FF0000">
      <unresolved>
        <commentChain chainId="f6c0e426fb6b3de3c616cc5441f4493fc7e85429">
          <item id="003a4252311f95af63871b155d6ee841cfb646eb" isNormal="1">
            <s:text>
              <s:r>
                <s:t xml:space="preserve">Administrator:
1406280 4/8 60pcs</s:t>
              </s:r>
            </s:text>
          </item>
        </commentChain>
      </unresolved>
      <resolved/>
    </commentChains>
    <commentChains s:ref="AI1227" rgbClr="FF0000">
      <unresolved>
        <commentChain chainId="33459b14d7254a08680be64191430dcd22f5faf2">
          <item id="d2b666c2c8f392afa11a286bee044e5bf5a3baf0" isNormal="1">
            <s:text>
              <s:r>
                <s:t xml:space="preserve">Administrator:
1405937 4/14 520psc
张b3</s:t>
              </s:r>
            </s:text>
          </item>
        </commentChain>
      </unresolved>
      <resolved/>
    </commentChains>
    <commentChains s:ref="AL1227" rgbClr="FF0000">
      <unresolved>
        <commentChain chainId="46eadac1818c1379e87e4c88ffa30b99f598a47f">
          <item id="33bb01d9db07c58ce9c68a3ab8e70d7a9a558d81" isNormal="1">
            <s:text>
              <s:r>
                <s:t xml:space="preserve">Administrator:
3/16 白色防盗贴纸 520pcs
3/21 UPC条码贴纸 520pcs
3/27 Kmart外箱贴纸402pcs
</s:t>
              </s:r>
            </s:text>
          </item>
        </commentChain>
      </unresolved>
      <resolved/>
    </commentChains>
    <commentChains s:ref="AI1228" rgbClr="FF0000">
      <unresolved>
        <commentChain chainId="2b208465863c319a9f498ac824f03378a7694db0">
          <item id="3bdcc3da8d66cb51c481594d895059ca42e4a6bd" isNormal="1">
            <s:text>
              <s:r>
                <s:t xml:space="preserve">Administrator:
1405937 4/14 5096psc张a4
1405939 4/14 4680pcs</s:t>
              </s:r>
            </s:text>
          </item>
        </commentChain>
      </unresolved>
      <resolved/>
    </commentChains>
    <commentChains s:ref="AL1228" rgbClr="FF0000">
      <unresolved>
        <commentChain chainId="4713590069f1650d9cef4c1c8cd13acd11018008">
          <item id="09a02d781cf4438cff7cb35c45e4bf5022d4ab86" isNormal="1">
            <s:text>
              <s:r>
                <s:t xml:space="preserve">Administrator:
3/16 白色防盗贴纸 9776pcs
3/21 UPC条码贴纸 9776pcs
3/27 Kmart外箱贴纸 752pcs</s:t>
              </s:r>
            </s:text>
          </item>
        </commentChain>
      </unresolved>
      <resolved/>
    </commentChains>
    <commentChains s:ref="AI1229" rgbClr="FF0000">
      <unresolved>
        <commentChain chainId="bcb2a491289146dc92e5cd9c2ced51ae306df091">
          <item id="3afcff61ad23f042f06373b893668f7c5308c2be" isNormal="1">
            <s:text>
              <s:r>
                <s:t xml:space="preserve">Administrator:
1405978 4/11 6500pcs</s:t>
              </s:r>
            </s:text>
          </item>
        </commentChain>
      </unresolved>
      <resolved/>
    </commentChains>
    <commentChains s:ref="AI1230" rgbClr="FF0000">
      <unresolved>
        <commentChain chainId="d251a1270b9f589404ac10c8d6670bd540d8600d">
          <item id="8c346c07484dca05890bdca7479da5c3e3bbf349" isNormal="1">
            <s:text>
              <s:r>
                <s:t xml:space="preserve">Administrator:
1405937 4/13 507psc
张b6</s:t>
              </s:r>
            </s:text>
          </item>
        </commentChain>
      </unresolved>
      <resolved/>
    </commentChains>
    <commentChains s:ref="AL1230" rgbClr="FF0000">
      <unresolved>
        <commentChain chainId="4a368b4e5167ebf04a62569604e691bfc3e116e3">
          <item id="54191d37c28a0d5b0a3b5cae2bbb4bf3011035bf" isNormal="1">
            <s:text>
              <s:r>
                <s:t xml:space="preserve">Administrator:
3/21 德意警语贴纸 507pcs</s:t>
              </s:r>
            </s:text>
          </item>
        </commentChain>
      </unresolved>
      <resolved/>
    </commentChains>
    <commentChains s:ref="AI1231" rgbClr="FF0000">
      <unresolved>
        <commentChain chainId="cf0b57788c3a149682826b2fd6fcacb0e142117a">
          <item id="bc4ed5139e731cd9042e5468364a48f24f5b84c1" isNormal="1">
            <s:text>
              <s:r>
                <s:t xml:space="preserve">Administrator:
1602180 4/45 1000pcs
张新b1
</s:t>
              </s:r>
            </s:text>
          </item>
        </commentChain>
      </unresolved>
      <resolved/>
    </commentChains>
    <commentChains s:ref="AL1231" rgbClr="FF0000">
      <unresolved>
        <commentChain chainId="8b9528e77e7d01219e57fc2890a767e3410c7d46">
          <item id="37539ee5d3a587e033fe229019c6c0c93409aadd" isNormal="1">
            <s:text>
              <s:r>
                <s:t xml:space="preserve">Administrator:
3/27 空白贴纸 10000pcs
3/28 进口商贴纸 390000pcs
4/11 2000pcs进口商贴纸</s:t>
              </s:r>
            </s:text>
          </item>
        </commentChain>
      </unresolved>
      <resolved/>
    </commentChains>
    <commentChains s:ref="AI1232" rgbClr="FF0000">
      <unresolved>
        <commentChain chainId="c002a89b5b58d13b63a8e16392cda2ddfd07b1d6">
          <item id="e119bdbb74aa58532e0c368ed7142f4cd79aea72" isNormal="1">
            <s:text>
              <s:r>
                <s:t xml:space="preserve">Administrator:
1405906 4/15 19450pcs
1405892 4/15 9550pcs</s:t>
              </s:r>
            </s:text>
          </item>
        </commentChain>
      </unresolved>
      <resolved/>
    </commentChains>
    <commentChains s:ref="AI1233" rgbClr="FF0000">
      <unresolved>
        <commentChain chainId="5846de20d1b59da6d632df1e3be632b460f4a756">
          <item id="b0bff24d197956f1880289cc6902ad3902c90503" isNormal="1">
            <s:text>
              <s:r>
                <s:t xml:space="preserve">Administrator:
1405958 4/11 2405pcs张a1</s:t>
              </s:r>
            </s:text>
          </item>
        </commentChain>
      </unresolved>
      <resolved/>
    </commentChains>
    <commentChains s:ref="AI1234" rgbClr="FF0000">
      <unresolved>
        <commentChain chainId="70335155c27f28adff948b4eef6d05f9dbc70997">
          <item id="e7ddce205c30240891c0b9afac1962dc26b7db76" isNormal="1">
            <s:text>
              <s:r>
                <s:t xml:space="preserve">Administrator:
1405937 4/14 3000sc
张b6</s:t>
              </s:r>
            </s:text>
          </item>
        </commentChain>
      </unresolved>
      <resolved/>
    </commentChains>
    <commentChains s:ref="AL1234" rgbClr="FF0000">
      <unresolved>
        <commentChain chainId="8029769bb747f014bff747cd3b6898380cd1494d">
          <item id="1c1f89d4cfbe9f66872dfbdcd867a3a5d37520d6" isNormal="1">
            <s:text>
              <s:r>
                <s:t xml:space="preserve">Administrator:
3/23 PDQUPC条码贴纸 120pcs </s:t>
              </s:r>
            </s:text>
          </item>
        </commentChain>
      </unresolved>
      <resolved/>
    </commentChains>
    <commentChains s:ref="AI1235" rgbClr="FF0000">
      <unresolved>
        <commentChain chainId="7e987128790f9366fe1dd0f56027d433aee36d3e">
          <item id="f623a3b548cced53785df507b043de0afec6c87b" isNormal="1">
            <s:text>
              <s:r>
                <s:t xml:space="preserve">Administrator:
1406293 4/11 1200pcs</s:t>
              </s:r>
            </s:text>
          </item>
        </commentChain>
      </unresolved>
      <resolved/>
    </commentChains>
    <commentChains s:ref="AL1235" rgbClr="FF0000">
      <unresolved>
        <commentChain chainId="67946ef87586beca40ad3e794d6f4a7f14efc42e">
          <item id="7d29867a9d536ab866715a3cd1da0d9a533a02c6" isNormal="1">
            <s:text>
              <s:r>
                <s:t xml:space="preserve">Administrator:
3/6 空白贴纸 1200pcs
空白贴纸 2400pcs
3/9 3c贴纸 1200PCS
颜色贴纸 1200PCS </s:t>
              </s:r>
            </s:text>
          </item>
        </commentChain>
      </unresolved>
      <resolved/>
    </commentChains>
    <commentChains s:ref="AI1236" rgbClr="FF0000">
      <unresolved>
        <commentChain chainId="f9f19b8c1df8953abf73f78083f520832fa8d224">
          <item id="a9fcdf0cabcf7406aeb302361fc39fe13958f42b" isNormal="1">
            <s:text>
              <s:r>
                <s:t xml:space="preserve">Administrator:
1405958 4/11 7800pcs
张a1
</s:t>
              </s:r>
            </s:text>
          </item>
        </commentChain>
      </unresolved>
      <resolved/>
    </commentChains>
    <commentChains s:ref="AL1236" rgbClr="FF0000">
      <unresolved>
        <commentChain chainId="fb98fddbaf6714a0b4fa0084af4c2d20153fc154">
          <item id="072bb37da016d3af0db7eae56865ac4dd821a39f" isNormal="1">
            <s:text>
              <s:r>
                <s:t xml:space="preserve">Administrator:
3/13 客供防窜码贴纸1拖13 600pcs
客供芯片码贴纸 1200pcs
3/23 客供防窜码贴纸1拖13 386pcs
4/8 客供防窜码贴纸1拖13 1924pcs 补订</s:t>
              </s:r>
            </s:text>
          </item>
        </commentChain>
      </unresolved>
      <resolved/>
    </commentChains>
    <commentChains s:ref="AI1237" rgbClr="FF0000">
      <unresolved>
        <commentChain chainId="955373740a0f39c0fcf2de32c5055d3401c6e964">
          <item id="e5050257299eba1b4d09afd1cc82bb7429e01ba5" isNormal="1">
            <s:text>
              <s:r>
                <s:t xml:space="preserve">Administrator:
1405342 4/10 4280pcs
1406294 4/11 1120pcs
</s:t>
              </s:r>
            </s:text>
          </item>
        </commentChain>
      </unresolved>
      <resolved/>
    </commentChains>
    <commentChains s:ref="AI1238" rgbClr="FF0000">
      <unresolved>
        <commentChain chainId="3e36f7bc1dd67a9d8de1d5c97f076ddf4bd5e37a">
          <item id="5500464a00116be005d283bab332164c9149e892" isNormal="1">
            <s:text>
              <s:r>
                <s:t xml:space="preserve">Administrator:
1405958 4/11 2196pcs张b3
</s:t>
              </s:r>
            </s:text>
          </item>
        </commentChain>
      </unresolved>
      <resolved/>
    </commentChains>
    <commentChains s:ref="AL1238" rgbClr="FF0000">
      <unresolved>
        <commentChain chainId="875efa0ecec9ffa1aaec48dd632b9843d7eda4b6">
          <item id="65c7ebdd659295b3264a0455f48546b99afb0804" isNormal="1">
            <s:text>
              <s:r>
                <s:t xml:space="preserve">Administrator:
3/10 客供价格贴纸 2416pcs
3/23 空白贴纸 2196pcs</s:t>
              </s:r>
            </s:text>
          </item>
        </commentChain>
      </unresolved>
      <resolved/>
    </commentChains>
    <commentChains s:ref="AI1239" rgbClr="FF0000">
      <unresolved>
        <commentChain chainId="5fbbfd248e196b3c3481283b4c9bca90291f215a">
          <item id="bcfdabdcb1e17f306c8e5156d748fda48caadcfd" isNormal="1">
            <s:text>
              <s:r>
                <s:t xml:space="preserve">Administrator:
1405958 4/11 2400pcs
张b1</s:t>
              </s:r>
            </s:text>
          </item>
        </commentChain>
      </unresolved>
      <resolved/>
    </commentChains>
    <commentChains s:ref="AL1239" rgbClr="FF0000">
      <unresolved>
        <commentChain chainId="d2c00f24f0d07f138b399b9d3497254bc457e6ca">
          <item id="393d13aa0513b49f83d8ffd3a7348eee45fdd7fb" isNormal="1">
            <s:text>
              <s:r>
                <s:t xml:space="preserve">Administrator:
3/10 客供价格贴纸 2640pcs
3/23 空白贴纸 2400pcs
</s:t>
              </s:r>
            </s:text>
          </item>
        </commentChain>
      </unresolved>
      <resolved/>
    </commentChains>
    <commentChains s:ref="AI1240" rgbClr="FF0000">
      <unresolved>
        <commentChain chainId="b8b6ffff77bd864da9542863ca1ccd9d0e095538">
          <item id="8876ddcfcef4da396e3ebe4e740d9870941ceea6" isNormal="1">
            <s:text>
              <s:r>
                <s:t xml:space="preserve">Administrator:
1406255 560pcs
1406252 3440pcs
1406248 1400pcs</s:t>
              </s:r>
            </s:text>
          </item>
        </commentChain>
      </unresolved>
      <resolved/>
    </commentChains>
    <commentChains s:ref="AI1241" rgbClr="FF0000">
      <unresolved>
        <commentChain chainId="99dab1dc82791219cc037732b00812f34a932ed1">
          <item id="ca33208737b8e46db93761f5401106033f5522f9" isNormal="1">
            <s:text>
              <s:r>
                <s:t xml:space="preserve">Administrator:
1403781 4/18 10815pcs
1405870 4/18 4500pcs</s:t>
              </s:r>
            </s:text>
          </item>
        </commentChain>
      </unresolved>
      <resolved/>
    </commentChains>
    <commentChains s:ref="AL1241" rgbClr="FF0000">
      <unresolved>
        <commentChain chainId="c830ad78b63f00ebadc430c7090dc459f9e81269">
          <item id="603381fea4d6f1aa7fdaab93358a81a6a2d5bf27" isNormal="1">
            <s:text>
              <s:r>
                <s:t xml:space="preserve">Administrator:
3/27 UPC贴纸 15315pcs</s:t>
              </s:r>
            </s:text>
          </item>
        </commentChain>
      </unresolved>
      <resolved/>
    </commentChains>
    <commentChains s:ref="AI1242" rgbClr="FF0000">
      <unresolved>
        <commentChain chainId="83c8674f90c5fcd3f9fde1e396a1bc1d73a87559">
          <item id="4ee05a58346faf1eb2b634c3f3638993fc6f52c7" isNormal="1">
            <s:text>
              <s:r>
                <s:t xml:space="preserve">Administrator:
1403781 4/18 2745pcs
</s:t>
              </s:r>
            </s:text>
          </item>
        </commentChain>
      </unresolved>
      <resolved/>
    </commentChains>
    <commentChains s:ref="AL1242" rgbClr="FF0000">
      <unresolved>
        <commentChain chainId="b18f9f73e2393d002ad4cfb2ee0d92f46c9942db">
          <item id="8b0965695076dfb539e2a9b735889b5075e7f446" isNormal="1">
            <s:text>
              <s:r>
                <s:t xml:space="preserve">Administrator:
3/27 UPC贴纸 2745pcs
</s:t>
              </s:r>
            </s:text>
          </item>
        </commentChain>
      </unresolved>
      <resolved/>
    </commentChains>
    <commentChains s:ref="AI1243" rgbClr="FF0000">
      <unresolved>
        <commentChain chainId="7f4eb89cb62b3819674d13fbdff04d298e805a1d">
          <item id="973f8fb46026521823fafe53c5960accc658a970" isNormal="1">
            <s:text>
              <s:r>
                <s:t xml:space="preserve">Administrator:
1405870 4/18 1196pcs
庞3b11</s:t>
              </s:r>
            </s:text>
          </item>
        </commentChain>
      </unresolved>
      <resolved/>
    </commentChains>
    <commentChains s:ref="AL1243" rgbClr="FF0000">
      <unresolved>
        <commentChain chainId="1b6ef15d1e7ab159e95ed01d49081429a3717e4c">
          <item id="1273c9ec4b9eee47a93d27acbb074d0005837439" isNormal="1">
            <s:text>
              <s:r>
                <s:t xml:space="preserve">Administrator:
3/12 价格贴纸 1196pcs
4/14 客供外箱贴纸 92pcs
</s:t>
              </s:r>
            </s:text>
          </item>
        </commentChain>
      </unresolved>
      <resolved/>
    </commentChains>
    <commentChains s:ref="AI1244" rgbClr="FF0000">
      <unresolved>
        <commentChain chainId="818d6ea2fbd23b92dc97d44832d612df26c81d15">
          <item id="54090c26f4d562ad3ec346fd633bd3d88a3288f0" isNormal="1">
            <s:text>
              <s:r>
                <s:t xml:space="preserve">Administrator:
1405876 4/18 600pcs
张b1</s:t>
              </s:r>
            </s:text>
          </item>
        </commentChain>
      </unresolved>
      <resolved/>
    </commentChains>
    <commentChains s:ref="AL1244" rgbClr="FF0000">
      <unresolved>
        <commentChain chainId="f1b1d11bd5960353b6df455462e8db677b60ab9f">
          <item id="4bc4b6e25715c6c1c4b284eb3139b019372887d8" isNormal="1">
            <s:text>
              <s:r>
                <s:t xml:space="preserve">Administrator:
3/16 丹麦瑞典芬兰挪威警 600pcs
大语警告语贴 600pcs
小语警告语贴 4200pcs</s:t>
              </s:r>
            </s:text>
          </item>
        </commentChain>
      </unresolved>
      <resolved/>
    </commentChains>
    <commentChains s:ref="AI1245" rgbClr="FF0000">
      <unresolved>
        <commentChain chainId="c2d2f53920f1370d6eec847e6b466c0a3937b977">
          <item id="67a3525ea1941dd777f3a119c5eefa60db30e0d5" isNormal="1">
            <s:text>
              <s:r>
                <s:t xml:space="preserve">Administrator:
1405901 4/46 14904pcs
405870 4/18 96pcs
庞3b16</s:t>
              </s:r>
            </s:text>
          </item>
        </commentChain>
      </unresolved>
      <resolved/>
    </commentChains>
    <commentChains s:ref="AL1245" rgbClr="FF0000">
      <unresolved>
        <commentChain chainId="804b788065e8156704d875bd2f6001970c3b3dc7">
          <item id="1937dbcd0c0c9bda280889a86bef2dbf24ef6817" isNormal="1">
            <s:text>
              <s:r>
                <s:t xml:space="preserve">Administrator:
3/25 賽人自色Cat.label 15000pcs
4/8 UPC条码贴纸 12000pcs
4/9 UPC条码贴纸15000pcs</s:t>
              </s:r>
            </s:text>
          </item>
        </commentChain>
      </unresolved>
      <resolved/>
    </commentChains>
    <commentChains s:ref="AI1246" rgbClr="FF0000">
      <unresolved>
        <commentChain chainId="6696e06a57595ce168f3af4fcb92143b6b45795b">
          <item id="7ca42f9a96db341f07269a3656752957364bacec" isNormal="1">
            <s:text>
              <s:r>
                <s:t xml:space="preserve">Administrator:
1405876 4/18 988pcs张b3
1403782 4/18 52pcs
张b2</s:t>
              </s:r>
            </s:text>
          </item>
        </commentChain>
      </unresolved>
      <resolved/>
    </commentChains>
    <commentChains s:ref="AL1246" rgbClr="FF0000">
      <unresolved>
        <commentChain chainId="b6e40bc3c980cf6fbf68d4f26b7fac8d58b7126b">
          <item id="7f8d72a39b112de580a1592f2e4d24cebf643e13" isNormal="1">
            <s:text>
              <s:r>
                <s:t xml:space="preserve">Administrator:
3/27 UPC贴纸 1040pcs
4/3 客供警语贴纸贴球底部 1080pcs
客供警语贴纸贴说明书 1080pcs
客供警语贴纸贴收藏指南 1080pcs
4/14 条码贴纸 32500pcs</s:t>
              </s:r>
            </s:text>
          </item>
        </commentChain>
      </unresolved>
      <resolved/>
    </commentChains>
    <commentChains s:ref="AI1247" rgbClr="FF0000">
      <unresolved>
        <commentChain chainId="f167ec8aae34275e5539f869826be8ff81f44a7f">
          <item id="135b177f04ce0356604c9d43c2f33f1ab8806b07" isNormal="1">
            <s:text>
              <s:r>
                <s:t xml:space="preserve">Administrator:
1405876 4/18 1475pcs张b1
1403782 4/18 25pcs
</s:t>
              </s:r>
            </s:text>
          </item>
        </commentChain>
      </unresolved>
      <resolved/>
    </commentChains>
    <commentChains s:ref="AL1247" rgbClr="FF0000">
      <unresolved>
        <commentChain chainId="7012333c991acd34b29c4570a26125393ba36953">
          <item id="048387b1a60d99e3d3f293408ae22065639b5477" isNormal="1">
            <s:text>
              <s:r>
                <s:t xml:space="preserve">Administrator:
3/27 挪威语警语贴纸 1500pcs</s:t>
              </s:r>
            </s:text>
          </item>
        </commentChain>
      </unresolved>
      <resolved/>
    </commentChains>
    <commentChains s:ref="AI1248" rgbClr="FF0000">
      <unresolved>
        <commentChain chainId="0103bb8c01685ab8b8731c540f9b1c96f001ee71">
          <item id="a57ed2e1130cf68c15b3c653d1a1da275a8be2a7" isNormal="1">
            <s:text>
              <s:r>
                <s:t xml:space="preserve">Administrator:
1405853 4/17 15000pcs 张a6</s:t>
              </s:r>
            </s:text>
          </item>
        </commentChain>
      </unresolved>
      <resolved/>
    </commentChains>
    <commentChains s:ref="AL1248" rgbClr="FF0000">
      <unresolved>
        <commentChain chainId="4a12cd202883eeb202c1aa24e06b18d663d1a429">
          <item id="4d6e70db62d76636965a7640331ca232da0c4992" isNormal="1">
            <s:text>
              <s:r>
                <s:t xml:space="preserve">Administrator:
4/7 UPC条码贴纸 15000pcs</s:t>
              </s:r>
            </s:text>
          </item>
        </commentChain>
      </unresolved>
      <resolved/>
    </commentChains>
    <commentChains s:ref="AI1249" rgbClr="FF0000">
      <unresolved>
        <commentChain chainId="c95545529ac6e707a34a2259b76f834a7ec2b3e2">
          <item id="7c14e04672b9bcfd30015187a8d2be0a24f8adaa" isNormal="1">
            <s:text>
              <s:r>
                <s:t xml:space="preserve">Administrator:
1405853 4/17 14975pcs
张a6
1405859 4/17 25pcs</s:t>
              </s:r>
            </s:text>
          </item>
        </commentChain>
      </unresolved>
      <resolved/>
    </commentChains>
    <commentChains s:ref="AL1249" rgbClr="FF0000">
      <unresolved>
        <commentChain chainId="e76c24e4a19d40fbab298361ff242f9ac20a1b42">
          <item id="5e161d3fce24282177cddc382a4a664bf4b65f48" isNormal="1">
            <s:text>
              <s:r>
                <s:t xml:space="preserve">Administrator:
4/7 UPC条码贴纸 15000pcs
</s:t>
              </s:r>
            </s:text>
          </item>
        </commentChain>
      </unresolved>
      <resolved/>
    </commentChains>
    <commentChains s:ref="AI1250" rgbClr="FF0000">
      <unresolved>
        <commentChain chainId="b9fca73ac63e2136da838bccecc36457d3697f3a">
          <item id="8a89c04c0914edfe74608f380869310b894411ed" isNormal="1">
            <s:text>
              <s:r>
                <s:t xml:space="preserve">Administrator:
1403782 4/18 4004pcs
庞3b17</s:t>
              </s:r>
            </s:text>
          </item>
        </commentChain>
      </unresolved>
      <resolved/>
    </commentChains>
    <commentChains s:ref="AL1250" rgbClr="FF0000">
      <unresolved>
        <commentChain chainId="b31da76acf1e8afdb857119aeae4659a82556477">
          <item id="656bd36772bc1dc1064b2fd06287b73317c4a1ab" isNormal="1">
            <s:text>
              <s:r>
                <s:t xml:space="preserve">Administrator:
3/30 PDQ贴纸含EAN条码贴纸 308pcs
4/3 进口商贴纸(含西班牙环保 4004pcs</s:t>
              </s:r>
            </s:text>
          </item>
        </commentChain>
      </unresolved>
      <resolved/>
    </commentChains>
    <commentChains s:ref="AI1251" rgbClr="FF0000">
      <unresolved>
        <commentChain chainId="b0b4c7d5dd311d230bdba68feac9e7102d0b9d01">
          <item id="d88831890209129d2b71231e8ddcd66342d9949e" isNormal="1">
            <s:text>
              <s:r>
                <s:t xml:space="preserve">Administrator:
1403790 4/20 2100pcs张a4</s:t>
              </s:r>
            </s:text>
          </item>
        </commentChain>
      </unresolved>
      <resolved/>
    </commentChains>
    <commentChains s:ref="AL1251" rgbClr="FF0000">
      <unresolved>
        <commentChain chainId="614aa46b1fa36f8af84b8004221c7dc623f687ba">
          <item id="4836fdc16ea5ac3aa49ebbcf4bccc2b9c0cdda3a" isNormal="1">
            <s:text>
              <s:r>
                <s:t xml:space="preserve">Administrator:
3/30 架贴纸含EAN条码 70pcs
4/3 进口商贴纸(含西班牙环保 2100pcs
</s:t>
              </s:r>
            </s:text>
          </item>
        </commentChain>
      </unresolved>
      <resolved/>
    </commentChains>
    <commentChains s:ref="AI1252" rgbClr="FF0000">
      <unresolved>
        <commentChain chainId="aad54accfaafc528987088b394bd362dfd1c1c50">
          <item id="58d0920a9f37f2917bad0a0a25b5537d98b8a677" isNormal="1">
            <s:text>
              <s:r>
                <s:t xml:space="preserve">Administrator:
1405901 4/16 15000pcs庞3a24</s:t>
              </s:r>
            </s:text>
          </item>
        </commentChain>
      </unresolved>
      <resolved/>
    </commentChains>
    <commentChains s:ref="AL1252" rgbClr="FF0000">
      <unresolved>
        <commentChain chainId="7efd538f54a42e430923ec815f5495ea9ab0f533">
          <item id="64bde151faa47ea313912545a9f2a4b3a5e19fe0" isNormal="1">
            <s:text>
              <s:r>
                <s:t xml:space="preserve">Administrator:
4/8 进口商贴纸 15000pcs
UPC贴纸 15000pcs
外箱贴纸 600pcs</s:t>
              </s:r>
            </s:text>
          </item>
        </commentChain>
      </unresolved>
      <resolved/>
    </commentChains>
    <commentChains s:ref="AI1253" rgbClr="FF0000">
      <unresolved>
        <commentChain chainId="38d6acf181fa04a3a0e4fd56852a8981b8021f50">
          <item id="a7ef32d9b92c45d1d9e0babd8fc29f5fc8e240cc" isNormal="1">
            <s:text>
              <s:r>
                <s:t xml:space="preserve">Administrator:
1405901 4/16 29125pcs庞3a29</s:t>
              </s:r>
            </s:text>
          </item>
        </commentChain>
      </unresolved>
      <resolved/>
    </commentChains>
    <commentChains s:ref="AL1253" rgbClr="FF0000">
      <unresolved>
        <commentChain chainId="ebfe07713478d8481e4b71021dc01d7b5bcc6e18">
          <item id="7d9aa40811ac7fb85f7508dbbc43985fcc6c3dab" isNormal="1">
            <s:text>
              <s:r>
                <s:t xml:space="preserve">Administrator:
3/30 客供外箱条码贴纸 1165pcs</s:t>
              </s:r>
            </s:text>
          </item>
        </commentChain>
      </unresolved>
      <resolved/>
    </commentChains>
    <commentChains s:ref="AI1254" rgbClr="FF0000">
      <unresolved>
        <commentChain chainId="7ff30f04701abd8ccb2eb771a2731ad84bd9c3ef">
          <item id="53c94a33701ce49afd6aa498f946c47ed7814fbd" isNormal="1">
            <s:text>
              <s:r>
                <s:t xml:space="preserve">Administrator:
1403808 4/21 4000pcs
张b2
</s:t>
              </s:r>
            </s:text>
          </item>
        </commentChain>
      </unresolved>
      <resolved/>
    </commentChains>
    <commentChains s:ref="AL1254" rgbClr="FF0000">
      <unresolved>
        <commentChain chainId="997051c55b6fad0a66f8c472ecc2285be3efb4ae">
          <item id="64a32426dfe908a2068fe170a8c370f32f29e748" isNormal="1">
            <s:text>
              <s:r>
                <s:t xml:space="preserve">Administrator:
3/23 UPC条码贴纸 4000pcs
正面收藏指南贴纸 4000pcs
背面收藏指南贴纸 4000pcs
3/23 进口商贴纸 4000pcs</s:t>
              </s:r>
            </s:text>
          </item>
        </commentChain>
      </unresolved>
      <resolved/>
    </commentChains>
    <commentChains s:ref="AI1255" rgbClr="FF0000">
      <unresolved>
        <commentChain chainId="f6e8de51e930dffa2c0aace1ebf1126ce34532b1">
          <item id="72ab066ca851c53c6b17fb3bb6201ecc29b30953" isNormal="1">
            <s:text>
              <s:r>
                <s:t xml:space="preserve">Administrator:
1403782 4/18 2964pcs
庞3b17</s:t>
              </s:r>
            </s:text>
          </item>
        </commentChain>
      </unresolved>
      <resolved/>
    </commentChains>
    <commentChains s:ref="AI1256" rgbClr="FF0000">
      <unresolved>
        <commentChain chainId="6b5c146b6c68073a47b8b78269221bcc13007299">
          <item id="116a69ec25a1505cab27f7100af4630ae8b70d67" isNormal="1">
            <s:text>
              <s:r>
                <s:t xml:space="preserve">Administrator:
1403782 4/18 1729pcs
庞3b17
</s:t>
              </s:r>
            </s:text>
          </item>
        </commentChain>
      </unresolved>
      <resolved/>
    </commentChains>
    <commentChains s:ref="AI1257" rgbClr="FF0000">
      <unresolved>
        <commentChain chainId="5204afbbc530104b96e8a260fd0b11e97105f54f">
          <item id="f82119d09082b0ae92cd02f4def97567bad1e715" isNormal="1">
            <s:text>
              <s:r>
                <s:t xml:space="preserve">Administrator:
1406317 4/18 6048pcs
张b11406318 4/19 7452pcs</s:t>
              </s:r>
            </s:text>
          </item>
        </commentChain>
      </unresolved>
      <resolved/>
    </commentChains>
    <commentChains s:ref="AL1257" rgbClr="FF0000">
      <unresolved>
        <commentChain chainId="f86e061c5c601c31041bc6e901d2c63ebed6a830">
          <item id="9f7f44fb700241e439d44280da97956c06f30653" isNormal="1">
            <s:text>
              <s:r>
                <s:t xml:space="preserve">Administrator:
3/13 客供芯片码贴纸 13500pcs
3/30 颜色贴纸 同po贴纸共上 23700
空白贴纸 同po贴纸共上 23700pcs
空白贴纸 共上23700pcs
4/10 3c贴纸2 共上23700pcs</s:t>
              </s:r>
            </s:text>
          </item>
        </commentChain>
      </unresolved>
      <resolved/>
    </commentChains>
    <commentChains s:ref="AI1258" rgbClr="FF0000">
      <unresolved>
        <commentChain chainId="38e0378fdac81f8ebb33c0186de66005f1b536e4">
          <item id="edab9afd738a800202448074d09edeb701fb2ded" isNormal="1">
            <s:text>
              <s:r>
                <s:t xml:space="preserve">Administrator:
1406318 4/19 756pcs
1406229 4/18 1134pcs
1406231 4/18 1110pcs</s:t>
              </s:r>
            </s:text>
          </item>
        </commentChain>
      </unresolved>
      <resolved/>
    </commentChains>
    <commentChains s:ref="AL1258" rgbClr="FF0000">
      <unresolved>
        <commentChain chainId="e8719f1d47e5d835311a11910b13ab4132ea3634">
          <item id="290e270aa48993e1d5c0f39685f0b13065a13f1a" isNormal="1">
            <s:text>
              <s:r>
                <s:t xml:space="preserve">Administrator:
3/13 客供芯片码贴纸 3000pcs
</s:t>
              </s:r>
            </s:text>
          </item>
        </commentChain>
      </unresolved>
      <resolved/>
    </commentChains>
    <commentChains s:ref="AI1259" rgbClr="FF0000">
      <unresolved>
        <commentChain chainId="e200995b840d805b20cda482e9b1b9ca1db2ea71">
          <item id="e75924f55b1b4a4b000b857b88b43cf71fd35f8d" isNormal="1">
            <s:text>
              <s:r>
                <s:t xml:space="preserve">Administrator:
1403808 4/21 5005pcs
张b5</s:t>
              </s:r>
            </s:text>
          </item>
        </commentChain>
      </unresolved>
      <resolved/>
    </commentChains>
    <commentChains s:ref="AL1259" rgbClr="FF0000">
      <unresolved>
        <commentChain chainId="5450068b64ca5d38bfdb5cc1cf627139c45e0ad8">
          <item id="08e7d277109cb784a7687e1c99b59cc1f1cbb261" isNormal="1">
            <s:text>
              <s:r>
                <s:t xml:space="preserve">Administrator:
3/13 客供防窜码贴纸1拖13 385pcs
3/30 条码贴纸 5005pcs
</s:t>
              </s:r>
            </s:text>
          </item>
        </commentChain>
      </unresolved>
      <resolved/>
    </commentChains>
    <commentChains s:ref="AI1260" rgbClr="FF0000">
      <unresolved>
        <commentChain chainId="bd03a4ccce8a111b415a39586f0db206e31980c1">
          <item id="7de32d3b69a4030a1ba7e0b942f3088d106ce0bc" isNormal="1">
            <s:text>
              <s:r>
                <s:t xml:space="preserve">Administrator:
1403826 4/21 492pcs张b1</s:t>
              </s:r>
            </s:text>
          </item>
        </commentChain>
      </unresolved>
      <resolved/>
    </commentChains>
    <commentChains s:ref="AL1260" rgbClr="FF0000">
      <unresolved>
        <commentChain chainId="c689a9d7441b9d60e2069826f0de3b905dc6f994">
          <item id="c6d975817163bfedf70a7d99a996afa62c1898b6" isNormal="1">
            <s:text>
              <s:r>
                <s:t xml:space="preserve">Administrator:
3/27 空白贴纸 584pcs
环保标贴纸 492pcs
亚马逊外箱贴纸 41pcs
</s:t>
              </s:r>
            </s:text>
          </item>
        </commentChain>
      </unresolved>
      <resolved/>
    </commentChains>
    <commentChains s:ref="AI1261" rgbClr="FF0000">
      <unresolved>
        <commentChain chainId="62261f85261360e61bc34d3eb07c23ee6a3487d2">
          <item id="496afd3aa5881ce9b3abffd5a6f7792db120be4c" isNormal="1">
            <s:text>
              <s:r>
                <s:t xml:space="preserve">Administrator:
1403828 4/22 3900pcs
</s:t>
              </s:r>
            </s:text>
          </item>
        </commentChain>
      </unresolved>
      <resolved/>
    </commentChains>
    <commentChains s:ref="AL1261" rgbClr="FF0000">
      <unresolved>
        <commentChain chainId="d12385c472416f5d53902a607b7f1b2a9ba5daaf">
          <item id="bd168892705ff593c10a6ebc2029194fb85b99f6" isNormal="1">
            <s:text>
              <s:r>
                <s:t xml:space="preserve">Administrator:
3/27 空白贴纸 0780pcs
环保标贴纸 3900pcs
</s:t>
              </s:r>
            </s:text>
          </item>
        </commentChain>
      </unresolved>
      <resolved/>
    </commentChains>
    <commentChains s:ref="AI1262" rgbClr="FF0000">
      <unresolved>
        <commentChain chainId="a87de59fd58a5b6096500837b1063b5aac9537a2">
          <item id="a527af4394e99fbd2a24783fe0e5bf81b419d3d0" isNormal="1">
            <s:text>
              <s:r>
                <s:t xml:space="preserve">Administrator:
1403826 4/21 492pcs
张a2</s:t>
              </s:r>
            </s:text>
          </item>
        </commentChain>
      </unresolved>
      <resolved/>
    </commentChains>
    <commentChains s:ref="AL1262" rgbClr="FF0000">
      <unresolved>
        <commentChain chainId="7174303122401bfe0e7da5401dd831c1e8cb1465">
          <item id="1416506568e5f94e01b4fd94363692930e921631" isNormal="1">
            <s:text>
              <s:r>
                <s:t xml:space="preserve">Administrator:
3/27 空白贴纸 984pcs
环保标贴纸 492pcs
3/30 亚马逊外箱贴纸 41pcs
4/7 亚马逊外箱贴纸 
</s:t>
              </s:r>
            </s:text>
          </item>
        </commentChain>
      </unresolved>
      <resolved/>
    </commentChains>
    <commentChains s:ref="AI1263" rgbClr="FF0000">
      <unresolved>
        <commentChain chainId="f92726ec9e8b183a39830406c1c1b97f7dd3070f">
          <item id="e785b7222ad643ded39d89b1f3a692f33975e9b5" isNormal="1">
            <s:text>
              <s:r>
                <s:t xml:space="preserve">Administrator:
1403828 4/22 4260pcs
</s:t>
              </s:r>
            </s:text>
          </item>
        </commentChain>
      </unresolved>
      <resolved/>
    </commentChains>
    <commentChains s:ref="AL1263" rgbClr="FF0000">
      <unresolved>
        <commentChain chainId="33bf8951ed3ac187af598566d5bc780fcde50dd8">
          <item id="0681a05f28eaa7b85953ca73429b0fde100bf879" isNormal="1">
            <s:text>
              <s:r>
                <s:t xml:space="preserve">Administrator:
3/27 空白贴纸 4920pcs
环保标贴纸 4260pcs
4/7 亚马逊外箱贴纸 355pcs
</s:t>
              </s:r>
            </s:text>
          </item>
        </commentChain>
      </unresolved>
      <resolved/>
    </commentChains>
    <commentChains s:ref="AI1264" rgbClr="FF0000">
      <unresolved>
        <commentChain chainId="4015213a2d7e5d884788e8e11691186cbe2e5e68">
          <item id="f1cbb6756bd278de9d22052e13fa1517dd2e8fd8" isNormal="1">
            <s:text>
              <s:r>
                <s:t xml:space="preserve">Administrator:
1403828 4/22 2004pcs
</s:t>
              </s:r>
            </s:text>
          </item>
        </commentChain>
      </unresolved>
      <resolved/>
    </commentChains>
    <commentChains s:ref="AL1264" rgbClr="FF0000">
      <unresolved>
        <commentChain chainId="c140f72751601bdc4a3fa636794ffc0015c63edb">
          <item id="48f3d10b9c8579bcbd1f8d4c53a797d769c396fb" isNormal="1">
            <s:text>
              <s:r>
                <s:t xml:space="preserve">Administrator:
3/10 客供价格贴纸 1100pcs
</s:t>
              </s:r>
            </s:text>
          </item>
        </commentChain>
      </unresolved>
      <resolved/>
    </commentChains>
    <commentChains s:ref="AI1265" rgbClr="FF0000">
      <unresolved>
        <commentChain chainId="af0389a1486c19f79fedf0b0ab37caa055268cbc">
          <item id="8a93790a706c9b34275ac708e80e8f158df513de" isNormal="1">
            <s:text>
              <s:r>
                <s:t xml:space="preserve">Administrator:
1403808 4/21 9126pcs张b5
1403830 4/22 52pcsb栋雨棚
1403806 4/21 3822pcs  王b雨棚</s:t>
              </s:r>
            </s:text>
          </item>
        </commentChain>
      </unresolved>
      <resolved/>
    </commentChains>
    <commentChains s:ref="AL1265" rgbClr="FF0000">
      <unresolved>
        <commentChain chainId="b264ff1b93167efc768aaf3a3d9073dbe22dff4e">
          <item id="a3f85b32f6ad710066393ac6968a653be2054a78" isNormal="1">
            <s:text>
              <s:r>
                <s:t xml:space="preserve">Administrator:
3/30 条码贴纸 13000pcs
4/21 客供防窜码贴纸1拖13 1000pcs</s:t>
              </s:r>
            </s:text>
          </item>
        </commentChain>
      </unresolved>
      <resolved/>
    </commentChains>
    <commentChains s:ref="AI1266" rgbClr="FF0000">
      <unresolved>
        <commentChain chainId="a20b249e74758a5fe00f84190603b159b8ecce8f">
          <item id="f62f72a4b812f0f303c94d8bb44d9dc34c5c7bd7" isNormal="1">
            <s:text>
              <s:r>
                <s:t xml:space="preserve">Administrator:
1403828 4/22 7008
pcs
</s:t>
              </s:r>
            </s:text>
          </item>
        </commentChain>
      </unresolved>
      <resolved/>
    </commentChains>
    <commentChains s:ref="AL1266" rgbClr="FF0000">
      <unresolved>
        <commentChain chainId="3ab8b77c4aaf6fd6500027f2f3cd21df21d551f1">
          <item id="6b8365929024ad9b70ed7eacb093be2ce3f1d3b1" isNormal="1">
            <s:text>
              <s:r>
                <s:t xml:space="preserve">Administrator:
3/18 客供价格贴纸 17350pcs
 </s:t>
              </s:r>
            </s:text>
          </item>
        </commentChain>
      </unresolved>
      <resolved/>
    </commentChains>
    <commentChains s:ref="AI1267" rgbClr="FF0000">
      <unresolved>
        <commentChain chainId="f1687e5961db4abbf86954d13add42fbb95c9956">
          <item id="1a8918faa7330af737f33af23c995fee5b20ef52" isNormal="1">
            <s:text>
              <s:r>
                <s:t xml:space="preserve">Administrator:
1406294 4/11 3640pcs
1406295 4/11 1760pcs</s:t>
              </s:r>
            </s:text>
          </item>
        </commentChain>
      </unresolved>
      <resolved/>
    </commentChains>
    <commentChains s:ref="AI1268" rgbClr="FF0000">
      <unresolved>
        <commentChain chainId="f630880a085bb9a46b87cef40c0a1f3de85de6e2">
          <item id="70027ea1b93c3f8ee2030354bcab2a27659f1eaa" isNormal="1">
            <s:text>
              <s:r>
                <s:t xml:space="preserve">Administrator:
1406298 4/13 5400pcs</s:t>
              </s:r>
            </s:text>
          </item>
        </commentChain>
      </unresolved>
      <resolved/>
    </commentChains>
    <commentChains s:ref="AI1269" rgbClr="FF0000">
      <unresolved>
        <commentChain chainId="cc4e5277cdbccaa02d10456aa9f224cbd568d25c">
          <item id="2c3eadba4069b6c92af387c6dd8a8740ebd19f35" isNormal="1">
            <s:text>
              <s:r>
                <s:t xml:space="preserve">Administrator:
1406218 4/22 960pcs张b2</s:t>
              </s:r>
            </s:text>
          </item>
        </commentChain>
      </unresolved>
      <resolved/>
    </commentChains>
    <commentChains s:ref="AL1269" rgbClr="FF0000">
      <unresolved>
        <commentChain chainId="fb60f6223c342f609fa5d722e474e5545c2a969c">
          <item id="1b375890ed9381a1e56b66d653918258130deed2" isNormal="1">
            <s:text>
              <s:r>
                <s:t xml:space="preserve">Administrator:
3/27 UPC贴纸 960pcs
空白贴纸 1920pcss
4/3 客供中文警告说明书 990pcs
客供警语贴纸贴球底部 1986pcs
客供警语贴纸贴说明书 1986pcs</s:t>
              </s:r>
            </s:text>
          </item>
        </commentChain>
      </unresolved>
      <resolved/>
    </commentChains>
    <commentChains s:ref="AI1270" rgbClr="FF0000">
      <unresolved>
        <commentChain chainId="930104e27f0c8a6197e263eb1ecd197424b49824">
          <item id="8843ac93f87e5ccb947dd83efa02161b852b6b14" isNormal="1">
            <s:text>
              <s:r>
                <s:t xml:space="preserve">Administrator:
1403841 4/22 12400pcs庞3b17</s:t>
              </s:r>
            </s:text>
          </item>
        </commentChain>
      </unresolved>
      <resolved/>
    </commentChains>
    <commentChains s:ref="AL1270" rgbClr="FF0000">
      <unresolved>
        <commentChain chainId="7d4901df569de09f7f4dd0e1f747eb770b4f4bf9">
          <item id="8311a4892978b34c72f4dcf1396f67ad360f9d75" isNormal="1">
            <s:text>
              <s:r>
                <s:t xml:space="preserve">Administrator:
4/9 进口商贴纸 12400pcs
UPC贴纸 12400pcs</s:t>
              </s:r>
            </s:text>
          </item>
        </commentChain>
      </unresolved>
      <resolved/>
    </commentChains>
    <commentChains s:ref="AI1271" rgbClr="FF0000">
      <unresolved>
        <commentChain chainId="bd436d0b53dee355bb3f682fc0a04c4cdad3ffb6">
          <item id="bc01b72343e14a3294aa3a4b2e3f975b980f7ced" isNormal="1">
            <s:text>
              <s:r>
                <s:t xml:space="preserve">Administrator:
1403841 4/22 2015pcs直走</s:t>
              </s:r>
            </s:text>
          </item>
        </commentChain>
      </unresolved>
      <resolved/>
    </commentChains>
    <commentChains s:ref="AI1272" rgbClr="FF0000">
      <unresolved>
        <commentChain chainId="e65b178110e1012d4f0aab0c0c57b7841e36a5f7">
          <item id="be82966b2080136b22d47bc62267309618b1f039" isNormal="1">
            <s:text>
              <s:r>
                <s:t xml:space="preserve">Administrator:
1403848 4/22 5500pcs
张a2</s:t>
              </s:r>
            </s:text>
          </item>
        </commentChain>
      </unresolved>
      <resolved/>
    </commentChains>
    <commentChains s:ref="AI1273" rgbClr="FF0000">
      <unresolved>
        <commentChain chainId="eeba71f6376281540faef1530540dbea72c56133">
          <item id="52ebc4d91ee7af5d149c6e68cef02d7a9c820d8d" isNormal="1">
            <s:text>
              <s:r>
                <s:t xml:space="preserve">Administrator:
1406356 3/20 5400pcs</s:t>
              </s:r>
            </s:text>
          </item>
        </commentChain>
      </unresolved>
      <resolved/>
    </commentChains>
    <commentChains s:ref="AI1274" rgbClr="FF0000">
      <unresolved>
        <commentChain chainId="6222f7d4f72ecbfdda2ff9a14147d54dae1a1f59">
          <item id="d7d84d68eb56d13cabecba7da6b6c32fe19420dc" isNormal="1">
            <s:text>
              <s:r>
                <s:t xml:space="preserve">Administrator:
1406355 3/19 4200pcs
1406356 3/20 1200pcs</s:t>
              </s:r>
            </s:text>
          </item>
        </commentChain>
      </unresolved>
      <resolved/>
    </commentChains>
    <commentChains s:ref="AI1275" rgbClr="FF0000">
      <unresolved>
        <commentChain chainId="4f81e67fa52d548a548da6ae8eb323cd1584ffb0">
          <item id="695b03a2ed5df0425ad3bc0a6bedbf5aae16c9a5" isNormal="1">
            <s:text>
              <s:r>
                <s:t xml:space="preserve">Administrator:
4001627 4/9 130pcvs</s:t>
              </s:r>
            </s:text>
          </item>
        </commentChain>
      </unresolved>
      <resolved/>
    </commentChains>
    <commentChains s:ref="AI1276" rgbClr="FF0000">
      <unresolved>
        <commentChain chainId="53d980d189ec4ed1f390e5981f365a6965a54965">
          <item id="b8ecfe9b311adad2af2dacac77b606f081d53ed1" isNormal="1">
            <s:text>
              <s:r>
                <s:t xml:space="preserve">Administrator:
4001627 4/9 170pcvs
</s:t>
              </s:r>
            </s:text>
          </item>
        </commentChain>
      </unresolved>
      <resolved/>
    </commentChains>
    <commentChains s:ref="AI1277" rgbClr="FF0000">
      <unresolved>
        <commentChain chainId="5b0ee4e617dc07e3b59933190054120da0c0a3c7">
          <item id="fb5c77a06bb7d6305c1a5264024bab3c3a276ae3" isNormal="1">
            <s:text>
              <s:r>
                <s:t xml:space="preserve">Administrator:
1406306 4/15 2196pcs</s:t>
              </s:r>
            </s:text>
          </item>
        </commentChain>
      </unresolved>
      <resolved/>
    </commentChains>
    <commentChains s:ref="AL1277" rgbClr="FF0000">
      <unresolved>
        <commentChain chainId="e1f4e5a8e50a695fe406b1222b019c550534e786">
          <item id="22de09de0f9d46c1a939e6221871523e751ecd40" isNormal="1">
            <s:text>
              <s:r>
                <s:t xml:space="preserve">Administrator:
3/18 价格贴纸 2344pcs
条码贴纸 4392pcs
空白贴纸: 4392pcs
德语意大利警告 2196pcs
4/8 德意荷警语贴纸 2196pcs</s:t>
              </s:r>
            </s:text>
          </item>
        </commentChain>
      </unresolved>
      <resolved/>
    </commentChains>
    <commentChains s:ref="AI1278" rgbClr="FF0000">
      <unresolved>
        <commentChain chainId="9b04cb94471e51352d7b2e86653989387547b697">
          <item id="9ca3d9650077064788d6574f8421c8c0e52af6f7" isNormal="1">
            <s:text>
              <s:r>
                <s:t xml:space="preserve">Administrator:
1403892 4/23 27986pcs
1403900 4/23 7020pcs</s:t>
              </s:r>
            </s:text>
          </item>
        </commentChain>
      </unresolved>
      <resolved/>
    </commentChains>
    <commentChains s:ref="AL1278" rgbClr="FF0000">
      <unresolved>
        <commentChain chainId="a6cbb35486f01e516059c1d9d541fd2ddbba51b0">
          <item id="40ef461f78b361a90464d2c4a2e1622493cf0b0d" isNormal="1">
            <s:text>
              <s:r>
                <s:t xml:space="preserve">Administrator:
3/13 客供防窜码贴纸1拖13 2662pcs
3/30 条码贴纸34606pcs</s:t>
              </s:r>
            </s:text>
          </item>
        </commentChain>
      </unresolved>
      <resolved/>
    </commentChains>
    <commentChains s:ref="AI1279" rgbClr="FF0000">
      <unresolved>
        <commentChain chainId="af07db5a7e79f34b8bc32213aa3f5200d18e87cb">
          <item id="7b9c6f324c38608678b1d3750590e5aff3455dd0" isNormal="1">
            <s:text>
              <s:r>
                <s:t xml:space="preserve">Administrator:
1403852 4/25 1400pcs
张b3</s:t>
              </s:r>
            </s:text>
          </item>
        </commentChain>
      </unresolved>
      <resolved/>
    </commentChains>
    <commentChains s:ref="AL1279" rgbClr="FF0000">
      <unresolved>
        <commentChain chainId="0b66b518b872db0f4bd51a33832f4cde1c601c0f">
          <item id="5f1a6a2d918fe6035ff889f667fc8cb5cd535559" isNormal="1">
            <s:text>
              <s:r>
                <s:t xml:space="preserve">Administrator:
4/8 进口商贴纸 1400pcs
UPC贴纸 1400pcs
</s:t>
              </s:r>
            </s:text>
          </item>
        </commentChain>
      </unresolved>
      <resolved/>
    </commentChains>
    <commentChains s:ref="AI1280" rgbClr="FF0000">
      <unresolved>
        <commentChain chainId="52d432a7a1a5a8706e8819d8c82a6b0da39b40f6">
          <item id="17ff8c6f985c6d1a0e52ddf0c3cd0337c167f51c" isNormal="1">
            <s:text>
              <s:r>
                <s:t xml:space="preserve">Administrator:
1403852 4/25 1150pcs张a3
1403857 4/25 50pcs
</s:t>
              </s:r>
            </s:text>
          </item>
        </commentChain>
      </unresolved>
      <resolved/>
    </commentChains>
    <commentChains s:ref="AL1280" rgbClr="FF0000">
      <unresolved>
        <commentChain chainId="07a94217273175ee24c52321bce247008ecfd573">
          <item id="bcda175113dedecebab6633a5f1942d97348f81d" isNormal="1">
            <s:text>
              <s:r>
                <s:t xml:space="preserve">Administrator:
4/8 进口商贴纸 1200pcs
UPC贴纸 2600pcs</s:t>
              </s:r>
            </s:text>
          </item>
        </commentChain>
      </unresolved>
      <resolved/>
    </commentChains>
    <commentChains s:ref="AI1281" rgbClr="FF0000">
      <unresolved>
        <commentChain chainId="db858e9f2684b2bc7676512e3093ec7865a381b6">
          <item id="2179c5598d8520c0720cd69fa4f11ec5b4b723e6" isNormal="1">
            <s:text>
              <s:r>
                <s:t xml:space="preserve">Administrator:
2100202 4/28 10pcs</s:t>
              </s:r>
            </s:text>
          </item>
        </commentChain>
      </unresolved>
      <resolved/>
    </commentChains>
    <commentChains s:ref="AI1282" rgbClr="FF0000">
      <unresolved>
        <commentChain chainId="b038248565f2461f7f8b8654c89cd2914e4cea0a">
          <item id="71e5be93456ddbbd2e0029f9a3428fe588036bdc" isNormal="1">
            <s:text>
              <s:r>
                <s:t xml:space="preserve">Administrator:
1406202 4/24 160pcs张c1
1406205 4/25 17920pcs庞3a23</s:t>
              </s:r>
            </s:text>
          </item>
        </commentChain>
      </unresolved>
      <resolved/>
    </commentChains>
    <commentChains s:ref="AI1283" rgbClr="FF0000">
      <unresolved>
        <commentChain chainId="99dabc86b11c8a9bf04b509d2962e87199984fa6">
          <item id="db4e5a68353505191f0c9d6324fc285e2aa66339" isNormal="1">
            <s:text>
              <s:r>
                <s:t xml:space="preserve">Administrator:
4001644 4/24 30pcs
王军</s:t>
              </s:r>
            </s:text>
          </item>
        </commentChain>
      </unresolved>
      <resolved/>
    </commentChains>
    <commentChains s:ref="AI1284" rgbClr="FF0000">
      <unresolved>
        <commentChain chainId="9624f226931d16136d269d9d30ad0f06444a7571">
          <item id="17ca5195189130b70582d3ea9df55d308bc44270" isNormal="1">
            <s:text>
              <s:r>
                <s:t xml:space="preserve">Administrator:
1406192 4/27 504pcs张a3</s:t>
              </s:r>
            </s:text>
          </item>
        </commentChain>
      </unresolved>
      <resolved/>
    </commentChains>
    <commentChains s:ref="AL1284" rgbClr="FF0000">
      <unresolved>
        <commentChain chainId="9bc013334f597c69b9bea1767b5e1bc58f089a2c">
          <item id="8c2d4ecfe15e06e1ca9e924217700171b1de4d2d" isNormal="1">
            <s:text>
              <s:r>
                <s:t xml:space="preserve">Administrator:
3/27 空白贴纸 1008pcs
获奖贴纸 504pcs
3/30 亚马逊外箱贴纸 84pcs</s:t>
              </s:r>
            </s:text>
          </item>
        </commentChain>
      </unresolved>
      <resolved/>
    </commentChains>
    <commentChains s:ref="AI1285" rgbClr="FF0000">
      <unresolved>
        <commentChain chainId="16763d2bcd4fed7c6a41eecafc0b19a30798a9bc">
          <item id="ad172fca4fdaa29af0621df78d19483caa4cfe15" isNormal="1">
            <s:text>
              <s:r>
                <s:t xml:space="preserve">Administrator:
1406239 4/21 560pcs
1406237 4/21 1400pcs
1406217 4/22 840pcs
1406220 4/22 2520pcs
1406227 4/24 80pcs</s:t>
              </s:r>
            </s:text>
          </item>
        </commentChain>
      </unresolved>
      <resolved/>
    </commentChains>
    <commentChains s:ref="AI1286" rgbClr="FF0000">
      <unresolved>
        <commentChain chainId="391227470f8ae70695a3b62a4b422961dd75cb31">
          <item id="034e74d885036881e5cfd11eac6d1d6ce774a69f" isNormal="1">
            <s:text>
              <s:r>
                <s:t xml:space="preserve">Administrator:
1406218 4/22 1600pcs
</s:t>
              </s:r>
            </s:text>
          </item>
        </commentChain>
      </unresolved>
      <resolved/>
    </commentChains>
    <commentChains s:ref="AL1286" rgbClr="FF0000">
      <unresolved>
        <commentChain chainId="59de82570da9f47ea91213d6705621432bced2f5">
          <item id="896351c8ac081775747026b6dd52460e0272e807" isNormal="1">
            <s:text>
              <s:r>
                <s:t xml:space="preserve">Administrator:
3/10 客供价格贴纸 1680pcs
</s:t>
              </s:r>
            </s:text>
          </item>
        </commentChain>
      </unresolved>
      <resolved/>
    </commentChains>
    <commentChains s:ref="AI1287" rgbClr="FF0000">
      <unresolved>
        <commentChain chainId="0edc57ceb40155e637edd70dca6d40ea70da6e03">
          <item id="b6b2c6ccf12b8294f6cf048ce80b61553ebcee63" isNormal="1">
            <s:text>
              <s:r>
                <s:t xml:space="preserve">Administrator:
1403666 4/28 15012pcs
王4a7
1403677 4/28 6168pcs
 张b14</s:t>
              </s:r>
            </s:text>
          </item>
        </commentChain>
      </unresolved>
      <resolved/>
    </commentChains>
    <commentChains s:ref="AL1287" rgbClr="FF0000">
      <unresolved>
        <commentChain chainId="3ab94a0c5513fdce31959a088102f6b0f7b9ccfc">
          <item id="8dc89049b1f461eb3836e48910bfa046653c9bc2" isNormal="1">
            <s:text>
              <s:r>
                <s:t xml:space="preserve">Administrator:
3/3 客供白色防盗贴纸 21180pcs
3/30 彩色产品贴纸 7060pcs</s:t>
              </s:r>
            </s:text>
          </item>
        </commentChain>
      </unresolved>
      <resolved/>
    </commentChains>
    <commentChains s:ref="AI1288" rgbClr="FF0000">
      <unresolved>
        <commentChain chainId="b43e232cfb460c70d2d2ac64e548daac0a2bdd39">
          <item id="376ecbc351de3005d478da3e885b3f1d88c46838" isNormal="1">
            <s:text>
              <s:r>
                <s:t xml:space="preserve">Administrator:
1403852 4/25 1200pcs
张a3</s:t>
              </s:r>
            </s:text>
          </item>
        </commentChain>
      </unresolved>
      <resolved/>
    </commentChains>
    <commentChains s:ref="AL1288" rgbClr="FF0000">
      <unresolved>
        <commentChain chainId="089b7b5204c122024d039819e3b898f0f981df54">
          <item id="bffbe2855e40c5c1d2274df5e210f569e7028497" isNormal="1">
            <s:text>
              <s:r>
                <s:t xml:space="preserve">Administrator:
3/30 客供价格贴纸: 1200pcs</s:t>
              </s:r>
            </s:text>
          </item>
        </commentChain>
      </unresolved>
      <resolved/>
    </commentChains>
    <commentChains s:ref="AI1289" rgbClr="FF0000">
      <unresolved>
        <commentChain chainId="eb5c4dbc6c85eb5ab8659ee4f0eea4f7918f57e2">
          <item id="c14fef700303c1cb51c206ecb143de871ba6d80d" isNormal="1">
            <s:text>
              <s:r>
                <s:t xml:space="preserve">Administrator:
1403852 4/25 324pcs
张a6</s:t>
              </s:r>
            </s:text>
          </item>
        </commentChain>
      </unresolved>
      <resolved/>
    </commentChains>
    <commentChains s:ref="AL1289" rgbClr="FF0000">
      <unresolved>
        <commentChain chainId="6e1103b14be85e398bc4e39a9f657991ef58fe11">
          <item id="ce9c8c556c3595b755f060c161ff28542140aa96" isNormal="1">
            <s:text>
              <s:r>
                <s:t xml:space="preserve">Administrator:
3/30 客供价格贴纸: 357pcs
</s:t>
              </s:r>
            </s:text>
          </item>
        </commentChain>
      </unresolved>
      <resolved/>
    </commentChains>
    <commentChains s:ref="AI1290" rgbClr="FF0000">
      <unresolved>
        <commentChain chainId="cba0ed367b5d4dc7383d7927c10152fcf9669552">
          <item id="8f6690c62d8b0bf7fb13a2ec04b8ca569da063a9" isNormal="1">
            <s:text>
              <s:r>
                <s:t xml:space="preserve">Administrator:
1403852 4/25 2500pcs
</s:t>
              </s:r>
            </s:text>
          </item>
        </commentChain>
      </unresolved>
      <resolved/>
    </commentChains>
    <commentChains s:ref="AL1290" rgbClr="FF0000">
      <unresolved>
        <commentChain chainId="8fbaa34f52dde18a249904a5432b3acdafece579">
          <item id="58dc0ed0256dcab44dfee189f5d8375ad39c90a0" isNormal="1">
            <s:text>
              <s:r>
                <s:t xml:space="preserve">Administrator:
3/30 收缩膜日语警语贴纸 2500
说明书日语警语贴纸 2500
4/10 条码贴纸 5000pcs</s:t>
              </s:r>
            </s:text>
          </item>
        </commentChain>
      </unresolved>
      <resolved/>
    </commentChains>
    <commentChains s:ref="AI1291" rgbClr="FF0000">
      <unresolved>
        <commentChain chainId="4f54bb9ad81162437952bdcf1f6b68f0a6c97a46">
          <item id="c830d2065b36b1025b4e44f0431f88de08abd4e7" isNormal="1">
            <s:text>
              <s:r>
                <s:t xml:space="preserve">Administrator:
1403892 4/23 2600pcs
</s:t>
              </s:r>
            </s:text>
          </item>
        </commentChain>
      </unresolved>
      <resolved/>
    </commentChains>
    <commentChains s:ref="AL1291" rgbClr="FF0000">
      <unresolved>
        <commentChain chainId="46397eda1fd0c7e5a3b5c61c1e3ebc870021421f">
          <item id="6da6a9e432da468992d5d6a18ec3f49deb6d6f58" isNormal="1">
            <s:text>
              <s:r>
                <s:t xml:space="preserve">Administrator:
3/30 条码贴纸 2600pcs
4/18 客供防窜码贴纸1拖13 200pcs
4/21 客供防窜码贴纸1拖13 200pcs
</s:t>
              </s:r>
            </s:text>
          </item>
        </commentChain>
      </unresolved>
      <resolved/>
    </commentChains>
    <commentChains s:ref="AI1292" rgbClr="FF0000">
      <unresolved>
        <commentChain chainId="01d576e9786916c9bbc7318a5e7b1b74513fd40e">
          <item id="b1ac14114238e06f5e7466268893dc2b5c7815a5" isNormal="1">
            <s:text>
              <s:r>
                <s:t xml:space="preserve">Administrator:
1406202 4/24 1512pcs张c1
1406204 4/25 4488pcs张c1</s:t>
              </s:r>
            </s:text>
          </item>
        </commentChain>
      </unresolved>
      <resolved/>
    </commentChains>
    <commentChains s:ref="AL1292" rgbClr="FF0000">
      <unresolved>
        <commentChain chainId="1e339b7c4aad6c4b96fac7cdc53c5641013c3933">
          <item id="5e4ae06811885cf13c41b3c87565ecc8543d70af" isNormal="1">
            <s:text>
              <s:r>
                <s:t xml:space="preserve">Administrator:
3/13 客供芯片码贴纸 6000pcs
</s:t>
              </s:r>
            </s:text>
          </item>
        </commentChain>
      </unresolved>
      <resolved/>
    </commentChains>
    <commentChains s:ref="AI1293" rgbClr="FF0000">
      <unresolved>
        <commentChain chainId="abdd78e505298b0a29613053ca12bad7ca75a59a">
          <item id="61c096378051efd365e387e6c2d41201daf521bb" isNormal="1">
            <s:text>
              <s:r>
                <s:t xml:space="preserve">Administrator:
1406202 4/24 1200pcs
张c1</s:t>
              </s:r>
            </s:text>
          </item>
        </commentChain>
      </unresolved>
      <resolved/>
    </commentChains>
    <commentChains s:ref="AL1293" rgbClr="FF0000">
      <unresolved>
        <commentChain chainId="ccf9256db47110e189590af8bce66d449c5c0f32">
          <item id="fc09cba7695b018ab19b4169bf6d20231c7d42be" isNormal="1">
            <s:text>
              <s:r>
                <s:t xml:space="preserve">Administrator:
3/13 客供芯片码贴纸 1200pcs
</s:t>
              </s:r>
            </s:text>
          </item>
        </commentChain>
      </unresolved>
      <resolved/>
    </commentChains>
    <commentChains s:ref="AI1294" rgbClr="FF0000">
      <unresolved>
        <commentChain chainId="77e36c7e009473e5e1d92f12bc8ddf37be109f91">
          <item id="636bfadefe993013a5a46ff853976cab33feea33" isNormal="1">
            <s:text>
              <s:r>
                <s:t xml:space="preserve">Administrator:
1406197 4/27 6000pcs张b14</s:t>
              </s:r>
            </s:text>
          </item>
        </commentChain>
      </unresolved>
      <resolved/>
    </commentChains>
    <commentChains s:ref="AL1294" rgbClr="FF0000">
      <unresolved>
        <commentChain chainId="c592d288e2ad97f649cdb5bc832a9cf2e702f0b6">
          <item id="74070ca9ae1657c57428e4e9c5111f2924476325" isNormal="1">
            <s:text>
              <s:r>
                <s:t xml:space="preserve">Administrator:
3/18 客供价格贴纸 6300pcs
</s:t>
              </s:r>
            </s:text>
          </item>
        </commentChain>
      </unresolved>
      <resolved/>
    </commentChains>
    <commentChains s:ref="AI1295" rgbClr="FF0000">
      <unresolved>
        <commentChain chainId="dfe71ddd27738d6874ec53972e1bb97b59254342">
          <item id="12cdf498f9963023dc058b2fd797a4eafea68e35" isNormal="1">
            <s:text>
              <s:r>
                <s:t xml:space="preserve">Administrator:
1403859 4/25 1500pcs庞3b15</s:t>
              </s:r>
            </s:text>
          </item>
        </commentChain>
      </unresolved>
      <resolved/>
    </commentChains>
    <commentChains s:ref="AL1295" rgbClr="FF0000">
      <unresolved>
        <commentChain chainId="e664c20160b14e64993f8957bebd154a81222e64">
          <item id="8f1b71b99c2307520d2fc022420fce2cc6c1e7d5" isNormal="1">
            <s:text>
              <s:r>
                <s:t xml:space="preserve">Administrator:
3/30 丹麦瑞典芬兰挪威警告语 1500pcs
大语警告语贴 1500
小语警告语贴 10500
</s:t>
              </s:r>
            </s:text>
          </item>
        </commentChain>
      </unresolved>
      <resolved/>
    </commentChains>
    <commentChains s:ref="AI1296" rgbClr="FF0000">
      <unresolved>
        <commentChain chainId="9e3e053b9ec8cfd0901086cd9885e7bbcf2ba395">
          <item id="b0cc9525524c5ab0f13d66ef1b22f7faec8e2a94" isNormal="1">
            <s:text>
              <s:r>
                <s:t xml:space="preserve">Administrator:
1403859 4/25 1000pcs
庞3b14</s:t>
              </s:r>
            </s:text>
          </item>
        </commentChain>
      </unresolved>
      <resolved/>
    </commentChains>
    <commentChains s:ref="AL1296" rgbClr="FF0000">
      <unresolved>
        <commentChain chainId="75f3b468b399ad36e72faba4c86981d23f6b5a26">
          <item id="549dd6f04cf4bd24cadda4aa5f34be9fa380c747" isNormal="1">
            <s:text>
              <s:r>
                <s:t xml:space="preserve">Administrator:
4/14 球顶进口商贴纸 1000pcs
产品贴纸 1000pcs
4/15 球底进口商贴纸 1000pcs </s:t>
              </s:r>
            </s:text>
          </item>
        </commentChain>
      </unresolved>
      <resolved/>
    </commentChains>
    <commentChains s:ref="AI1297" rgbClr="FF0000">
      <unresolved>
        <commentChain chainId="f01f6820d4b4747fb8d096f8aaa7b6398d4e59e5">
          <item id="50aa2b102c2a06def87bae6c20a71c5c5d56c99c" isNormal="1">
            <s:text>
              <s:r>
                <s:t xml:space="preserve">Administrator:
1403859 4/25 5750pcs庞3b15</s:t>
              </s:r>
            </s:text>
          </item>
        </commentChain>
      </unresolved>
      <resolved/>
    </commentChains>
    <commentChains s:ref="AI1298" rgbClr="FF0000">
      <unresolved>
        <commentChain chainId="72f31e146699e9e77e74cf47fbc366a652072761">
          <item id="ae2529a7e9d444c250944c7bd3207be0d57b144d" isNormal="1">
            <s:text>
              <s:r>
                <s:t xml:space="preserve">Administrator:
1403859 4/25 600pcs 庞3b14</s:t>
              </s:r>
            </s:text>
          </item>
        </commentChain>
      </unresolved>
      <resolved/>
    </commentChains>
    <commentChains s:ref="AL1298" rgbClr="FF0000">
      <unresolved>
        <commentChain chainId="6670ab8cb4f1e6090491f9acba1603250d61e5f7">
          <item id="6ec54b71e9de9d7b6e4825ac3da439ef5bb9970c" isNormal="1">
            <s:text>
              <s:r>
                <s:t xml:space="preserve">Administrator:
4/9 空白贴纸 1200pcs
环保标贴纸 600pcs
4/11 亚马逊外箱贴纸 50pcs</s:t>
              </s:r>
            </s:text>
          </item>
        </commentChain>
      </unresolved>
      <resolved/>
    </commentChains>
    <commentChains s:ref="AI1299" rgbClr="FF0000">
      <unresolved>
        <commentChain chainId="400bc36ca67edaa62afedefc61ff5eab2717c129">
          <item id="70edf6146adff7c95f0ffe0feb47f373682367c2" isNormal="1">
            <s:text>
              <s:r>
                <s:t xml:space="preserve">Administrator:
1403858 4/25 2600pcs庞3b11</s:t>
              </s:r>
            </s:text>
          </item>
        </commentChain>
      </unresolved>
      <resolved/>
    </commentChains>
    <commentChains s:ref="AL1299" rgbClr="FF0000">
      <unresolved>
        <commentChain chainId="bb72305084af37d746d2866dfb88acf8e10380e4">
          <item id="add9047bc55ae19ac7e4b0c9076cbff9ff15920d" isNormal="1">
            <s:text>
              <s:r>
                <s:t xml:space="preserve">Administrator:
4/18 多语警语折叠贴纸 2600pcs</s:t>
              </s:r>
            </s:text>
          </item>
        </commentChain>
      </unresolved>
      <resolved/>
    </commentChains>
    <commentChains s:ref="AI1301" rgbClr="FF0000">
      <unresolved>
        <commentChain chainId="7c0d4c40c927531f0c946ab935fff5bc80457740">
          <item id="a71dfa36a156f34a4ee7ab7cb3563ab14677357d" isNormal="1">
            <s:text>
              <s:r>
                <s:t xml:space="preserve">Administrator:
1403708 4/29 2400pcs张b3</s:t>
              </s:r>
            </s:text>
          </item>
        </commentChain>
      </unresolved>
      <resolved/>
    </commentChains>
    <commentChains s:ref="AL1301" rgbClr="FF0000">
      <unresolved>
        <commentChain chainId="701a5a37a901e10d7078f1ea708ccba4098e264c">
          <item id="5fd5a9101bdb3969d041a5039c6be9d6485d1a6c" isNormal="1">
            <s:text>
              <s:r>
                <s:t xml:space="preserve">Administrator:
3/18 客供价格贴纸 2640pcs
</s:t>
              </s:r>
            </s:text>
          </item>
        </commentChain>
      </unresolved>
      <resolved/>
    </commentChains>
    <commentChains s:ref="AI1302" rgbClr="FF0000">
      <unresolved>
        <commentChain chainId="70af68fdf28f8529a6b11566ca633baa83f0130b">
          <item id="a07ced4901d4283928d0792894cecb8220e95b5c" isNormal="1">
            <s:text>
              <s:r>
                <s:t xml:space="preserve">Administrator:
1403681 4/29 2184pcs张a2
1403708 4/29 12pcs张b1</s:t>
              </s:r>
            </s:text>
          </item>
        </commentChain>
      </unresolved>
      <resolved/>
    </commentChains>
    <commentChains s:ref="AL1302" rgbClr="FF0000">
      <unresolved>
        <commentChain chainId="abec9f4a43673cb086ff63b87b5e553a35d25502">
          <item id="92cf02bd832d72255b852ed61dac8c54f06155cb" isNormal="1">
            <s:text>
              <s:r>
                <s:t xml:space="preserve">Administrator:
3/18 客供价格贴纸 2416pcs
</s:t>
              </s:r>
            </s:text>
          </item>
        </commentChain>
      </unresolved>
      <resolved/>
    </commentChains>
    <commentChains s:ref="AI1303" rgbClr="FF0000">
      <unresolved>
        <commentChain chainId="5ff686803dc127f09a9b9c376f7528213850cd03">
          <item id="ca830a0b5c2ac58020abde4f993ce156e718ed52" isNormal="1">
            <s:text>
              <s:r>
                <s:t xml:space="preserve">Administrator:
1403703 5/2 744pcs
张a2</s:t>
              </s:r>
            </s:text>
          </item>
        </commentChain>
      </unresolved>
      <resolved/>
    </commentChains>
    <commentChains s:ref="AL1303" rgbClr="FF0000">
      <unresolved>
        <commentChain chainId="7ba644ba022b897fa76970b8450a2968e535e157">
          <item id="f39ee2fc5844cc8ad6624fe7418c068e4fbf20da" isNormal="1">
            <s:text>
              <s:r>
                <s:t xml:space="preserve">Administrator:
4/3 客供价格贴纸 788pcs</s:t>
              </s:r>
            </s:text>
          </item>
        </commentChain>
      </unresolved>
      <resolved/>
    </commentChains>
    <commentChains s:ref="AI1304" rgbClr="FF0000">
      <unresolved>
        <commentChain chainId="ea187fc8f8e3773b91fad67c2d0574ed5459455f">
          <item id="1d7d4ea95c0fcbd52b075f34001b90d72a806ebd" isNormal="1">
            <s:text>
              <s:r>
                <s:t xml:space="preserve">Administrator:
1403703 5/2 120pcs
张a2</s:t>
              </s:r>
            </s:text>
          </item>
        </commentChain>
      </unresolved>
      <resolved/>
    </commentChains>
    <commentChains s:ref="AL1304" rgbClr="FF0000">
      <unresolved>
        <commentChain chainId="3752c02deba71b7879ed3e302b27a1b6f73e7568">
          <item id="af66a0620ab21d751c09c2e32204bf9d30758a38" isNormal="1">
            <s:text>
              <s:r>
                <s:t xml:space="preserve">Administrator:
4/3 客供价格贴纸 126pcs
</s:t>
              </s:r>
            </s:text>
          </item>
        </commentChain>
      </unresolved>
      <resolved/>
    </commentChains>
    <commentChains s:ref="AI1305" rgbClr="FF0000">
      <unresolved>
        <commentChain chainId="7a017fb2b61bad52151b52adba5ddc7f8e30c8c8">
          <item id="ef3a60e7e301f30534fd8bb289e56959db0d0dc2" isNormal="1">
            <s:text>
              <s:r>
                <s:t xml:space="preserve">Administrator:
1403703 5/2 456pcs
张a3</s:t>
              </s:r>
            </s:text>
          </item>
        </commentChain>
      </unresolved>
      <resolved/>
    </commentChains>
    <commentChains s:ref="AL1305" rgbClr="FF0000">
      <unresolved>
        <commentChain chainId="999ec7910deeb088ef28e0a2886b340e0eab0062">
          <item id="f7305d321cc1d6cb501ed90cde465f5ee755d2e9" isNormal="1">
            <s:text>
              <s:r>
                <s:t xml:space="preserve">Administrator:
4/3 客供价格贴纸 479pcs
</s:t>
              </s:r>
            </s:text>
          </item>
        </commentChain>
      </unresolved>
      <resolved/>
    </commentChains>
    <commentChains s:ref="AI1306" rgbClr="FF0000">
      <unresolved>
        <commentChain chainId="682a96cf347906dbe51a5d15ecf400c4bb488b7d">
          <item id="61f9caf1370519ca0598c7922d8b362814518a3d" isNormal="1">
            <s:text>
              <s:r>
                <s:t xml:space="preserve">Administrator:
1403681 4/29 400pcs
张a4</s:t>
              </s:r>
            </s:text>
          </item>
        </commentChain>
      </unresolved>
      <resolved/>
    </commentChains>
    <commentChains s:ref="AL1306" rgbClr="FF0000">
      <unresolved>
        <commentChain chainId="6ce6784471088273c8377a02cc7b57e5e20ffcd5">
          <item id="6562ce87356dc6d867998d373b21388422b10f97" isNormal="1">
            <s:text>
              <s:r>
                <s:t xml:space="preserve">Administrator:
4/15 进口商贴纸 400pcs
条码贴纸 400pcs</s:t>
              </s:r>
            </s:text>
          </item>
        </commentChain>
      </unresolved>
      <resolved/>
    </commentChains>
    <commentChains s:ref="AI1307" rgbClr="FF0000">
      <unresolved>
        <commentChain chainId="420b52537ce3298851dce2492ddb687ee252864f">
          <item id="98a6e13db6c26dea9cb5102966daa6cd3960244e" isNormal="1">
            <s:text>
              <s:r>
                <s:t xml:space="preserve">Administrator:
1406200 4/28 4200pcs</s:t>
              </s:r>
            </s:text>
          </item>
        </commentChain>
      </unresolved>
      <resolved/>
    </commentChains>
    <commentChains s:ref="AI1308" rgbClr="FF0000">
      <unresolved>
        <commentChain chainId="130a3d27bd029ee61dddd54904e3f7acaa8c378d">
          <item id="5e6e5fd94ac91e7972f028597e729ea3c45cf534" isNormal="1">
            <s:text>
              <s:r>
                <s:t xml:space="preserve">Administrator:
1403677 /4828 10036pcs张b1</s:t>
              </s:r>
            </s:text>
          </item>
        </commentChain>
      </unresolved>
      <resolved/>
    </commentChains>
    <commentChains s:ref="AI1309" rgbClr="FF0000">
      <unresolved>
        <commentChain chainId="d370cee42d08dba7f06dea3b3d5829bfbb29c827">
          <item id="16c6d8780e8a2859ca2c19099cf78e9abcbd6055" isNormal="1">
            <s:text>
              <s:r>
                <s:t xml:space="preserve">Administrator:
1403703 5/2 3250pcs
张b3</s:t>
              </s:r>
            </s:text>
          </item>
        </commentChain>
      </unresolved>
      <resolved/>
    </commentChains>
    <commentChains s:ref="AI1310" rgbClr="FF0000">
      <unresolved>
        <commentChain chainId="602aa52da12a589d62c7e694dcdfb5e408eeb13d">
          <item id="8f689899b2fc32780b2187a23bf9150506d8ecea" isNormal="1">
            <s:text>
              <s:r>
                <s:t xml:space="preserve">Administrator:
1403703 5/2 1755pcs
张a2</s:t>
              </s:r>
            </s:text>
          </item>
        </commentChain>
      </unresolved>
      <resolved/>
    </commentChains>
    <commentChains s:ref="AI1311" rgbClr="FF0000">
      <unresolved>
        <commentChain chainId="40a1e756a9a17bddb7b89677448a1469a004c33d">
          <item id="99233cf3b0bcddeeb5b9b1550e923121940c2aa3" isNormal="1">
            <s:text>
              <s:r>
                <s:t xml:space="preserve">Administrator:
1403703 5/2 18550pcs
张b5
11403735 5/2 3150pcs张b5</s:t>
              </s:r>
            </s:text>
          </item>
        </commentChain>
      </unresolved>
      <resolved/>
    </commentChains>
    <commentChains s:ref="AL1311" rgbClr="FF0000">
      <unresolved>
        <commentChain chainId="6c4aee2ceec783c94b4053e66dabfb8a6ecd1942">
          <item id="08e12c8f23c95e0ec9ba2e85a8cab96923e99bbd" isNormal="1">
            <s:text>
              <s:r>
                <s:t xml:space="preserve">Administrator:
4/13 空白贴纸 22000pcs
4/14 进口商贴纸 22000pcs</s:t>
              </s:r>
            </s:text>
          </item>
        </commentChain>
      </unresolved>
      <resolved/>
    </commentChains>
    <commentChains s:ref="AI1312" rgbClr="FF0000">
      <unresolved>
        <commentChain chainId="6ff62b8b48feed6298dae7a6c6b6bb19cc87b2e9">
          <item id="4f515ba28dc47d5768148b2bc2800d858ec69d93" isNormal="1">
            <s:text>
              <s:r>
                <s:t xml:space="preserve">Administrator:
1403653 4/27 512pcs
张a3
11403735 5/2 2368pcs
张b14</s:t>
              </s:r>
            </s:text>
          </item>
        </commentChain>
      </unresolved>
      <resolved/>
    </commentChains>
    <commentChains s:ref="AL1312" rgbClr="FF0000">
      <unresolved>
        <commentChain chainId="af98a4ad61331658bf7cdfef454c2a7c344ec4db">
          <item id="d88628c6a64ed3e499599ad17e3343b930b5bd35" isNormal="1">
            <s:text>
              <s:r>
                <s:t xml:space="preserve">Administrator:
4/9 客供FID贴纸  2880pcs</s:t>
              </s:r>
            </s:text>
          </item>
        </commentChain>
      </unresolved>
      <resolved/>
    </commentChains>
    <commentChains s:ref="AI1313" rgbClr="FF0000">
      <unresolved>
        <commentChain chainId="7561dcd98324858b82c373dab49ebf533973f87f">
          <item id="2933ce66a3463137fa8e0297bf6c1188413fadb1" isNormal="1">
            <s:text>
              <s:r>
                <s:t xml:space="preserve">Administrator:
11403735 5/2 10560pcs
张b14</s:t>
              </s:r>
            </s:text>
          </item>
        </commentChain>
      </unresolved>
      <resolved/>
    </commentChains>
    <commentChains s:ref="AL1313" rgbClr="FF0000">
      <unresolved>
        <commentChain chainId="d15b34f6974cf0ff58ffbeb8f79d575454e3a30c">
          <item id="c6fb8479a78828c42186d4810b66e75822dbf821" isNormal="1">
            <s:text>
              <s:r>
                <s:t xml:space="preserve">Administrator:
4/9 客供FID贴纸 10560pcs
</s:t>
              </s:r>
            </s:text>
          </item>
        </commentChain>
      </unresolved>
      <resolved/>
    </commentChains>
    <commentChains s:ref="AI1314" rgbClr="FF0000">
      <unresolved>
        <commentChain chainId="1551f3e8a0da2ef9df6b215b21f4c9c2b6805ccb">
          <item id="69aeaed91d71813c721e5c41158140601429111c" isNormal="1">
            <s:text>
              <s:r>
                <s:t xml:space="preserve">Administrator:
11403735 5/2 6720pcs
张a10</s:t>
              </s:r>
            </s:text>
          </item>
        </commentChain>
      </unresolved>
      <resolved/>
    </commentChains>
    <commentChains s:ref="AL1314" rgbClr="FF0000">
      <unresolved>
        <commentChain chainId="5e08e45810d70dba84d1b4ab403f602ae9dd0631">
          <item id="f573a2ee0f321070cb7684102f611f35f4dba3c5" isNormal="1">
            <s:text>
              <s:r>
                <s:t xml:space="preserve">Administrator:
4/9 客供FID贴纸  6720pcs
</s:t>
              </s:r>
            </s:text>
          </item>
        </commentChain>
      </unresolved>
      <resolved/>
    </commentChains>
    <commentChains s:ref="AI1315" rgbClr="FF0000">
      <unresolved>
        <commentChain chainId="37c7d137516e9c99811efdf92a6d57377f921b23">
          <item id="15c720fbde66f05807a03dcdad0c0dff58d7f655" isNormal="1">
            <s:text>
              <s:r>
                <s:t xml:space="preserve">Administrator:
1403743 5/2 5760pcs
张b14</s:t>
              </s:r>
            </s:text>
          </item>
        </commentChain>
      </unresolved>
      <resolved/>
    </commentChains>
    <commentChains s:ref="AL1315" rgbClr="FF0000">
      <unresolved>
        <commentChain chainId="c4890b8ab9ce9dde220f3e160e81225bbb744258">
          <item id="75c58f63408c07a2a261b27f54402c91abb09265" isNormal="1">
            <s:text>
              <s:r>
                <s:t xml:space="preserve">Administrator:
4/9 客供FID贴纸  5760pcs
</s:t>
              </s:r>
            </s:text>
          </item>
        </commentChain>
      </unresolved>
      <resolved/>
    </commentChains>
    <commentChains s:ref="AI1316" rgbClr="FF0000">
      <unresolved>
        <commentChain chainId="571680b0a3acb02e5e31f6aa8d2aa87d92685880">
          <item id="c6824bcea6dfdc93a5af1a220f7b04e8e6513086" isNormal="1">
            <s:text>
              <s:r>
                <s:t xml:space="preserve">Administrator:
1403729 5/4 5000PCS 张a3</s:t>
              </s:r>
            </s:text>
          </item>
        </commentChain>
      </unresolved>
      <resolved/>
    </commentChains>
    <commentChains s:ref="AL1316" rgbClr="FF0000">
      <unresolved>
        <commentChain chainId="c47b09627912bdf465b34929bb6b882826137023">
          <item id="9c2094613bcd3be9b610ce1a7528273a5d58e7a6" isNormal="1">
            <s:text>
              <s:r>
                <s:t xml:space="preserve">Administrator:
4/14 进口商贴纸 5000pcs
产品贴纸 5000pcs</s:t>
              </s:r>
            </s:text>
          </item>
        </commentChain>
      </unresolved>
      <resolved/>
    </commentChains>
    <commentChains s:ref="AI1317" rgbClr="FF0000">
      <unresolved>
        <commentChain chainId="77e5b86eb3d72ceb48f8498a095dc0f5f2fc5d5a">
          <item id="564407cf49b2f5ed804bdb8df6423c9e8697641c" isNormal="1">
            <s:text>
              <s:r>
                <s:t xml:space="preserve">Administrator:
1403729 5/4 780PCS张a5</s:t>
              </s:r>
            </s:text>
          </item>
        </commentChain>
      </unresolved>
      <resolved/>
    </commentChains>
    <commentChains s:ref="AL1317" rgbClr="FF0000">
      <unresolved>
        <commentChain chainId="562ebf5dce437b79d8bc8c01daf5d6e80bf85af6">
          <item id="88b523f09d8fb0a3fcba8f1d01acbcfee1a71b96" isNormal="1">
            <s:text>
              <s:r>
                <s:t xml:space="preserve">Administrator:
4/8 进口商贴纸 780pcs
 UPC条码贴纸 780pcs</s:t>
              </s:r>
            </s:text>
          </item>
        </commentChain>
      </unresolved>
      <resolved/>
    </commentChains>
    <commentChains s:ref="AI1318" rgbClr="FF0000">
      <unresolved>
        <commentChain chainId="9d433911da06bc97d5d3f4fc5d76ce84c4f4c3e9">
          <item id="62c072f505697eb403f4e03a31da6747c171814c" isNormal="1">
            <s:text>
              <s:r>
                <s:t xml:space="preserve">Administrator:
1403729 5/4 3425PCS张a3</s:t>
              </s:r>
            </s:text>
          </item>
        </commentChain>
      </unresolved>
      <resolved/>
    </commentChains>
    <commentChains s:ref="AL1318" rgbClr="FF0000">
      <unresolved>
        <commentChain chainId="56cc25d0a4cdcfded9e4da43122a06ec861d2911">
          <item id="1794049a8727f356fdc0424d2d255b2276b5b3dc" isNormal="1">
            <s:text>
              <s:r>
                <s:t xml:space="preserve">Administrator:
4/8 DC运输貼纸 137pcs
4/13 PDQ标识贴纸 137pcs</s:t>
              </s:r>
            </s:text>
          </item>
        </commentChain>
      </unresolved>
      <resolved/>
    </commentChains>
    <commentChains s:ref="AI1319" rgbClr="FF0000">
      <unresolved>
        <commentChain chainId="301d1031fd2d31646861cf80a0005e99808320a1">
          <item id="9a3646dae63ac2905926ad3b21055eabeaaebdd5" isNormal="1">
            <s:text>
              <s:r>
                <s:t xml:space="preserve">Administrator:
1403382 5/4 3425pcs张a4</s:t>
              </s:r>
            </s:text>
          </item>
        </commentChain>
      </unresolved>
      <resolved/>
    </commentChains>
    <commentChains s:ref="AL1319" rgbClr="FF0000">
      <unresolved>
        <commentChain chainId="068721a843fd63152d5f637cbd6b002e8ecc8e95">
          <item id="2d9f2573a174eb36375c6a89735de3ede23ce678" isNormal="1">
            <s:text>
              <s:r>
                <s:t xml:space="preserve">Administrator:
4/8 DC运输貼纸 137pcs
4/13 PDQ标识贴纸 137pcs
</s:t>
              </s:r>
            </s:text>
          </item>
        </commentChain>
      </unresolved>
      <resolved/>
    </commentChains>
    <commentChains s:ref="AI1320" rgbClr="FF0000">
      <unresolved>
        <commentChain chainId="88415fc5771200a5c17c386d24d50d065b41dbc5">
          <item id="ed5a0386c4e73383435550540edd937a1893b41d" isNormal="1">
            <s:text>
              <s:r>
                <s:t xml:space="preserve">Administrator:
1403729 5/4 2450PCS张a5</s:t>
              </s:r>
            </s:text>
          </item>
        </commentChain>
      </unresolved>
      <resolved/>
    </commentChains>
    <commentChains s:ref="AL1320" rgbClr="FF0000">
      <unresolved>
        <commentChain chainId="0a912e6a1675ee85e02761cc46bc7be769eb53df">
          <item id="bc8e54241613f94a35f780b15f4d8cedcc6a05f7" isNormal="1">
            <s:text>
              <s:r>
                <s:t xml:space="preserve">Administrator:
4/8 DC运输貼纸 98pcs
4/13 PDQ标识贴纸 98pcs
</s:t>
              </s:r>
            </s:text>
          </item>
        </commentChain>
      </unresolved>
      <resolved/>
    </commentChains>
    <commentChains s:ref="AI1321" rgbClr="FF0000">
      <unresolved>
        <commentChain chainId="2d56600c6189ee5b1571ce77d5a9facb30dab982">
          <item id="0127e0e6a3042cc499686a7096837a6418885455" isNormal="1">
            <s:text>
              <s:r>
                <s:t xml:space="preserve">Administrator:
1403729 5/4 1500PCS张a4</s:t>
              </s:r>
            </s:text>
          </item>
        </commentChain>
      </unresolved>
      <resolved/>
    </commentChains>
    <commentChains s:ref="AL1321" rgbClr="FF0000">
      <unresolved>
        <commentChain chainId="85b54b6d0a1298a872712dd19501c09cfa3af00c">
          <item id="7832de0782439f46d888769d6767af41cf4c4296" isNormal="1">
            <s:text>
              <s:r>
                <s:t xml:space="preserve">Administrator:
4/14 进口商贴纸 1500pcs
UPC条码贴纸 1500pcs
</s:t>
              </s:r>
            </s:text>
          </item>
        </commentChain>
      </unresolved>
      <resolved/>
    </commentChains>
    <commentChains s:ref="AI1322" rgbClr="FF0000">
      <unresolved>
        <commentChain chainId="680b09d46cf3d3a1cdae09c4a04252f92e5612cf">
          <item id="6061109195626369d5be4a5e62c24ecfc03f6f6f" isNormal="1">
            <s:text>
              <s:r>
                <s:t xml:space="preserve">Administrator:
1403382 5/4 2004pcs
张a5</s:t>
              </s:r>
            </s:text>
          </item>
        </commentChain>
      </unresolved>
      <resolved/>
    </commentChains>
    <commentChains s:ref="AL1322" rgbClr="FF0000">
      <unresolved>
        <commentChain chainId="28643fe5f9892cd4e48da8da2d38741cdb301698">
          <item id="f4af85902e59aaf1bef968b579c49689a47602de" isNormal="1">
            <s:text>
              <s:r>
                <s:t xml:space="preserve">Administrator:
4/14 客供价格贴纸 2100pcs</s:t>
              </s:r>
            </s:text>
          </item>
        </commentChain>
      </unresolved>
      <resolved/>
    </commentChains>
    <commentChains s:ref="AI1323" rgbClr="FF0000">
      <unresolved>
        <commentChain chainId="4b3d624f19966631efe0386885573de54e424a45">
          <item id="f687acfbcdfa38ca0cde711de24bf54cbaa58111" isNormal="1">
            <s:text>
              <s:r>
                <s:t xml:space="preserve">Administrator:
1402952 5/6 36750pcs张c4
1402955 5/6 3000pcs张c4</s:t>
              </s:r>
            </s:text>
          </item>
        </commentChain>
      </unresolved>
      <resolved/>
    </commentChains>
    <commentChains s:ref="AL1323" rgbClr="FF0000">
      <unresolved>
        <commentChain chainId="e54158ffa8707e7878b86e64bfe185f085b3b749">
          <item id="bfe6de45383477a8092a6fb3e4395f2d7c631dca" isNormal="1">
            <s:text>
              <s:r>
                <s:t xml:space="preserve">Administrator:
4/20 客供外箱条码贴纸 1606pcs</s:t>
              </s:r>
            </s:text>
          </item>
        </commentChain>
      </unresolved>
      <resolved/>
    </commentChains>
    <commentChains s:ref="AI1324" rgbClr="FF0000">
      <unresolved>
        <commentChain chainId="8756b525220830d3db1e0549efec357f1102d312">
          <item id="b459473291dfea83755298b4684d2a4174e5637f" isNormal="1">
            <s:text>
              <s:r>
                <s:t xml:space="preserve">Administrator:
1403386 5/4 2028pcs张b1
1403767 5/5 52pcs张b1</s:t>
              </s:r>
            </s:text>
          </item>
        </commentChain>
      </unresolved>
      <resolved/>
    </commentChains>
    <commentChains s:ref="AL1324" rgbClr="FF0000">
      <unresolved>
        <commentChain chainId="29e855c5fdd46e54cc0af5ea34f8a5610a4c4d8a">
          <item id="5cd382f7094e2f39b46c3f796a2d198e53dcece1" isNormal="1">
            <s:text>
              <s:r>
                <s:t xml:space="preserve">Administrator:
4/10 进口商贴纸 2080pcs
说明书贴纸 2080pcs
文藏指南贴纸 2080pcs
4/23 说明书 2080pc
s</s:t>
              </s:r>
            </s:text>
          </item>
        </commentChain>
      </unresolved>
      <resolved/>
    </commentChains>
    <commentChains s:ref="AI1325" rgbClr="FF0000">
      <unresolved>
        <commentChain chainId="536528356957ad1ca15a309823e4b38c0a4429fe">
          <item id="42b5d710c1cab37ece643e7b5be0aa9019f528b7" isNormal="1">
            <s:text>
              <s:r>
                <s:t xml:space="preserve">Administrator:
1403391 5/5 1212pcs张a1</s:t>
              </s:r>
            </s:text>
          </item>
        </commentChain>
      </unresolved>
      <resolved/>
    </commentChains>
    <commentChains s:ref="AI1326" rgbClr="FF0000">
      <unresolved>
        <commentChain chainId="cea7537de2f07aa0be82f09b0348f34986b9cddd">
          <item id="a6483f9bdb4a29e6277bcc04fb9d512f1df3334e" isNormal="1">
            <s:text>
              <s:r>
                <s:t xml:space="preserve">Administrator:
1403391 5/5 120pcs
张a1
</s:t>
              </s:r>
            </s:text>
          </item>
        </commentChain>
      </unresolved>
      <resolved/>
    </commentChains>
    <commentChains s:ref="AI1327" rgbClr="FF0000">
      <unresolved>
        <commentChain chainId="3ff1bfc128eaa31f9cc705f801c14286629b98b7">
          <item id="f538dc68b284242fddd8c704fbd2bec54e244f37" isNormal="1">
            <s:text>
              <s:r>
                <s:t xml:space="preserve">Administrator:
1403391 5/5 1800pcs
张a1
</s:t>
              </s:r>
            </s:text>
          </item>
        </commentChain>
      </unresolved>
      <resolved/>
    </commentChains>
    <commentChains s:ref="AL1327" rgbClr="FF0000">
      <unresolved>
        <commentChain chainId="0fa656bef5a4faff23d3a4dbf933f294b6fa3c02">
          <item id="829d6cb71b78969af6739540c34ca22e790b7da7" isNormal="1">
            <s:text>
              <s:r>
                <s:t xml:space="preserve">Administrator:
4/13 空白贴纸 3600pcs
IT环保标贴纸 1800pcs
4/28 亚马逊外箱贴纸 150pcs</s:t>
              </s:r>
            </s:text>
          </item>
        </commentChain>
      </unresolved>
      <resolved/>
    </commentChains>
    <commentChains s:ref="AI1328" rgbClr="FF0000">
      <unresolved>
        <commentChain chainId="60e374a6cba2cecdc9600fac8aeeef592846ec8d">
          <item id="a616b78f05f214a0fc9072f963e67adf3c0b492b" isNormal="1">
            <s:text>
              <s:r>
                <s:t xml:space="preserve">Administrator:
1403386 5/4 7750pcs张a5
1403767 5/5 50pcs张a5</s:t>
              </s:r>
            </s:text>
          </item>
        </commentChain>
      </unresolved>
      <resolved/>
    </commentChains>
    <commentChains s:ref="AL1328" rgbClr="FF0000">
      <unresolved>
        <commentChain chainId="ad5a25e94e7cad66b316a6a5b021f5f1c240e4a9">
          <item id="e5696d31c5f1af0c5660159ab2f6efb77b4596f0" isNormal="1">
            <s:text>
              <s:r>
                <s:t xml:space="preserve">Administrator:
4/24 进口商贴纸 7800pcs</s:t>
              </s:r>
            </s:text>
          </item>
        </commentChain>
      </unresolved>
      <resolved/>
    </commentChains>
    <commentChains s:ref="AI1329" rgbClr="FF0000">
      <unresolved>
        <commentChain chainId="7b741f0b913248cc75dec78ab676dee6517d3ff4">
          <item id="d525d01c63806ccdca0fb4ce66b5dca65e0f4e43" isNormal="1">
            <s:text>
              <s:r>
                <s:t xml:space="preserve">Administrator:
1406164 4/29 48pcs
1406155 5/6 1952pcs张a9</s:t>
              </s:r>
            </s:text>
          </item>
        </commentChain>
      </unresolved>
      <resolved/>
    </commentChains>
    <commentChains s:ref="AL1329" rgbClr="FF0000">
      <unresolved>
        <commentChain chainId="c8d0468d1bb53da43834d4d65b3a158f4504b805">
          <item id="e76f67841cfa55e9a20a6f8f1012e67134ad4c3d" isNormal="1">
            <s:text>
              <s:r>
                <s:t xml:space="preserve">Administrator:
4/14 客供价格贴纸 2100pcs
</s:t>
              </s:r>
            </s:text>
          </item>
        </commentChain>
      </unresolved>
      <resolved/>
    </commentChains>
    <commentChains s:ref="AI1330" rgbClr="FF0000">
      <unresolved>
        <commentChain chainId="f04243b2c8c0b561c8b02e941f386afa0bfa7297">
          <item id="0012d569183b38ee3afaa6aca1c5bf0c177de19d" isNormal="1">
            <s:text>
              <s:r>
                <s:t xml:space="preserve">Administrator:
1403396 5/6 2300pcs
王ab5
</s:t>
              </s:r>
            </s:text>
          </item>
        </commentChain>
      </unresolved>
      <resolved/>
    </commentChains>
    <commentChains s:ref="AI1331" rgbClr="FF0000">
      <unresolved>
        <commentChain chainId="23033cde87a9cf1cfd8af13ec4a465d6366801e1">
          <item id="3a1564613208eea3d35ae0f8deb9fa52fbc0b849" isNormal="1">
            <s:text>
              <s:r>
                <s:t xml:space="preserve">Administrator:
1403394 5/7 5136pcs
张a5</s:t>
              </s:r>
            </s:text>
          </item>
        </commentChain>
      </unresolved>
      <resolved/>
    </commentChains>
    <commentChains s:ref="AI1332" rgbClr="FF0000">
      <unresolved>
        <commentChain chainId="7bb326e1faae5ec1cd7930b73eabd509a053ce7c">
          <item id="5c13c7cedcc9cb462d5a38c359241b4eaa47595d" isNormal="1">
            <s:text>
              <s:r>
                <s:t xml:space="preserve">Administrator:
1406155 5/6 2592pcs
张a13
1406156 5/7 1728pcs张a13
1406160 5/8 680pcs张a13</s:t>
              </s:r>
            </s:text>
          </item>
        </commentChain>
      </unresolved>
      <resolved/>
    </commentChains>
    <commentChains s:ref="AI1333" rgbClr="FF0000">
      <unresolved>
        <commentChain chainId="7e0c29594152970ee015a578edcb00a0715cdb89">
          <item id="fd264ae20998b43f1eb4bbb2b615996628d99123" isNormal="1">
            <s:text>
              <s:r>
                <s:t xml:space="preserve">Administrator:
1406183 5/11 570pcs张a1</s:t>
              </s:r>
            </s:text>
          </item>
        </commentChain>
      </unresolved>
      <resolved/>
    </commentChains>
    <commentChains s:ref="AL1333" rgbClr="FF0000">
      <unresolved>
        <commentChain chainId="9d88b4580e3bdd836203c98d021ce27a642f9b26">
          <item id="b0166107b1233a4169c28b1e869a9d9150a9a5d3" isNormal="1">
            <s:text>
              <s:r>
                <s:t xml:space="preserve">Administrator:
5/5 亚马逊外箱贴纸 95pcs</s:t>
              </s:r>
            </s:text>
          </item>
        </commentChain>
      </unresolved>
      <resolved/>
    </commentChains>
    <commentChains s:ref="AI1334" rgbClr="FF0000">
      <unresolved>
        <commentChain chainId="cb55f7b1801a7db0729ad51a9371f14238424250">
          <item id="df1dd8049c323dbad60a2c6e4fd92a3715d6dfe8" isNormal="1">
            <s:text>
              <s:r>
                <s:t xml:space="preserve">Administrator:
1403417 5/8 8112pcs
张b3</s:t>
              </s:r>
            </s:text>
          </item>
        </commentChain>
      </unresolved>
      <resolved/>
    </commentChains>
    <commentChains s:ref="AI1335" rgbClr="FF0000">
      <unresolved>
        <commentChain chainId="8d8295988c96877f0517d0d8b49dc6a2d59c2ff8">
          <item id="8ba99cfc4ea5dd6ad57c384145206cb710a2ee72" isNormal="1">
            <s:text>
              <s:r>
                <s:t xml:space="preserve">Administrator:
1403417 5/8 3996pcs张a9
1403453 5/9 12pcs
新</s:t>
              </s:r>
            </s:text>
          </item>
        </commentChain>
      </unresolved>
      <resolved/>
    </commentChains>
    <commentChains s:ref="AI1336" rgbClr="FF0000">
      <unresolved>
        <commentChain chainId="38af8a24e185d7801761c91f302ade1a8335b6ec">
          <item id="811d88563fde59888b834169a34eea17a80235e6" isNormal="1">
            <s:text>
              <s:r>
                <s:t xml:space="preserve">Administrator:
1406185 5/11 2916ps张b6
1406186 5/12 7086pcs张b6</s:t>
              </s:r>
            </s:text>
          </item>
        </commentChain>
      </unresolved>
      <resolved/>
    </commentChains>
    <commentChains s:ref="AL1336" rgbClr="FF0000">
      <unresolved>
        <commentChain chainId="9d326a744dddd67048862adafd51a06a6a9a4064">
          <item id="f702a400579a01f347467a67aa1eb69d808ee154" isNormal="1">
            <s:text>
              <s:r>
                <s:t xml:space="preserve">Administrator:
4/18 客供芯片码贴纸 10002pcs
4/24 颜色贴纸 10002pcs
空白贴纸 20004pcs
4/28 3c贴纸 32208pcs</s:t>
              </s:r>
            </s:text>
          </item>
        </commentChain>
      </unresolved>
      <resolved/>
    </commentChains>
    <commentChains s:ref="AI1337" rgbClr="FF0000">
      <unresolved>
        <commentChain chainId="c282532c3952c0e4e0becf3d84c80c503db3689f">
          <item id="165389efe58a47f8e2339ea5d9e67c78e4879e31" isNormal="1">
            <s:text>
              <s:r>
                <s:t xml:space="preserve">Administrator:
1403453 5/9 950pcs
王4b1
1403483 5/13 50psc</s:t>
              </s:r>
            </s:text>
          </item>
        </commentChain>
      </unresolved>
      <resolved/>
    </commentChains>
    <commentChains s:ref="AI1338" rgbClr="FF0000">
      <unresolved>
        <commentChain chainId="35483f87d17d0c9f4306969e276ef820411d46dc">
          <item id="0ae5054285aac39b6c28d52ed504a261c198699e" isNormal="1">
            <s:text>
              <s:r>
                <s:t xml:space="preserve">Administrator:
1406181 5/9 864pcs王4a5
1406183 5/11 736pcs
王</s:t>
              </s:r>
            </s:text>
          </item>
        </commentChain>
      </unresolved>
      <resolved/>
    </commentChains>
    <commentChains s:ref="AL1338" rgbClr="FF0000">
      <unresolved>
        <commentChain chainId="39b8588df4c679172732ff3a475c3be29ff5aef3">
          <item id="6f5c140e27f1bc80b9214d872dfc0044884d2f02" isNormal="1">
            <s:text>
              <s:r>
                <s:t xml:space="preserve">Administrator:
4/14 客供价格贴纸 1680pcs
</s:t>
              </s:r>
            </s:text>
          </item>
        </commentChain>
      </unresolved>
      <resolved/>
    </commentChains>
    <commentChains s:ref="AI1339" rgbClr="FF0000">
      <unresolved>
        <commentChain chainId="174b1af3042c42318cb80df5f5c098c505de0551">
          <item id="ff3a851137519986ac98e920b7d826d371c6782a" isNormal="1">
            <s:text>
              <s:r>
                <s:t xml:space="preserve">Administrator:
1406183 5/11 3000pcs
张a10</s:t>
              </s:r>
            </s:text>
          </item>
        </commentChain>
      </unresolved>
      <resolved/>
    </commentChains>
    <commentChains s:ref="AL1339" rgbClr="FF0000">
      <unresolved>
        <commentChain chainId="bba5f8f5ef326f52b75fcdfb88e94f11bb1f10cc">
          <item id="211c333c403f2ff9095383db59750ff05f7fc253" isNormal="1">
            <s:text>
              <s:r>
                <s:t xml:space="preserve">Administrator:
4/14 客供价格贴纸 3150pcs </s:t>
              </s:r>
            </s:text>
          </item>
        </commentChain>
      </unresolved>
      <resolved/>
    </commentChains>
    <commentChains s:ref="AI1340" rgbClr="FF0000">
      <unresolved>
        <commentChain chainId="fc05762553971a45025b50508cd1f9fdcb61956e">
          <item id="a786944745ec3d2cfa3608e7d8c35ce1102fd49d" isNormal="1">
            <s:text>
              <s:r>
                <s:t xml:space="preserve">Administrator:
1403524 5/12 32305pcs
直走
1403532 5/12 2015pcs新
 </s:t>
              </s:r>
            </s:text>
          </item>
        </commentChain>
      </unresolved>
      <resolved/>
    </commentChains>
    <commentChains s:ref="AL1340" rgbClr="FF0000">
      <unresolved>
        <commentChain chainId="3290843921460dd696b1f1b79fa835bb488127b0">
          <item id="990a597bc10f799b0beae586a7b1cf5ad5ce0892" isNormal="1">
            <s:text>
              <s:r>
                <s:t xml:space="preserve">Administrator:
4/8 客供防窜码贴纸1拖13 2640pcs
4/24 条码贴纸 34320pcs</s:t>
              </s:r>
            </s:text>
          </item>
        </commentChain>
      </unresolved>
      <resolved/>
    </commentChains>
    <commentChains s:ref="AI1341" rgbClr="FF0000">
      <unresolved>
        <commentChain chainId="0803e7d4a115ae73bd9054fad8bb689df1a3f5da">
          <item id="8925f5663bb2a587358103202642e27fb089f2c0" isNormal="1">
            <s:text>
              <s:r>
                <s:t xml:space="preserve">Administrator:
1403524 5/12 13888pcs
张3c3
1403526 5/12 12992pcs
张3a3</s:t>
              </s:r>
            </s:text>
          </item>
        </commentChain>
      </unresolved>
      <resolved/>
    </commentChains>
    <commentChains s:ref="AL1341" rgbClr="FF0000">
      <unresolved>
        <commentChain chainId="e86f2562a821bb98e397f3007da3a949250525c8">
          <item id="16a2fa611c8f4f38f9d59deb6854a2b85a5841ce" isNormal="1">
            <s:text>
              <s:r>
                <s:t xml:space="preserve">Administrator:
 4/9 客供FID贴纸 26880pcs</s:t>
              </s:r>
            </s:text>
          </item>
        </commentChain>
      </unresolved>
      <resolved/>
    </commentChains>
    <commentChains s:ref="AI1342" rgbClr="FF0000">
      <unresolved>
        <commentChain chainId="4a00e1c950ca610aa14d401228ac95191ff5afba">
          <item id="1ba0165a48abb3282e9e44625a6122aad093b736" isNormal="1">
            <s:text>
              <s:r>
                <s:t xml:space="preserve">Administrator:
1403524 5/12 18240pcs
张3a3</s:t>
              </s:r>
            </s:text>
          </item>
        </commentChain>
      </unresolved>
      <resolved/>
    </commentChains>
    <commentChains s:ref="AL1342" rgbClr="FF0000">
      <unresolved>
        <commentChain chainId="1355f89b6ef33eec6f5c80fc909fa723e76a6d8d">
          <item id="439112e67f86a44947df99ee9596fd34899d48f4" isNormal="1">
            <s:text>
              <s:r>
                <s:t xml:space="preserve">Administrator:
4/9 客供FID贴纸  18240pcs
</s:t>
              </s:r>
            </s:text>
          </item>
        </commentChain>
      </unresolved>
      <resolved/>
    </commentChains>
    <commentChains s:ref="AI1343" rgbClr="FF0000">
      <unresolved>
        <commentChain chainId="512bc25d5789b4762a92744bfe625020bb551ae4">
          <item id="e27c80edc3d8dc85906edf28d1b2e8f8c530841a" isNormal="1">
            <s:text>
              <s:r>
                <s:t xml:space="preserve">Administrator:
1403526 5/12 26880pcs张3c2</s:t>
              </s:r>
            </s:text>
          </item>
        </commentChain>
      </unresolved>
      <resolved/>
    </commentChains>
    <commentChains s:ref="AL1343" rgbClr="FF0000">
      <unresolved>
        <commentChain chainId="e89c813c2db3fa3a4d43d6068e94dabb736b72c2">
          <item id="3fa13a2937ebfbd9157f691ec5f436cf99ea6d96" isNormal="1">
            <s:text>
              <s:r>
                <s:t xml:space="preserve">Administrator:
4/9 客供FID贴纸 26880pcs
</s:t>
              </s:r>
            </s:text>
          </item>
        </commentChain>
      </unresolved>
      <resolved/>
    </commentChains>
    <commentChains s:ref="AI1344" rgbClr="FF0000">
      <unresolved>
        <commentChain chainId="968750b17bc598174b63750acaf6c74c1719e363">
          <item id="28773b273c58dcc6c9bbf551f79c656b4c11558f" isNormal="1">
            <s:text>
              <s:r>
                <s:t xml:space="preserve">Administrator:
1403530 5/12 24192pcs
张3a2张3a21403532 5/12 14208pcs
王4a8</s:t>
              </s:r>
            </s:text>
          </item>
        </commentChain>
      </unresolved>
      <resolved/>
    </commentChains>
    <commentChains s:ref="AL1344" rgbClr="FF0000">
      <unresolved>
        <commentChain chainId="987a7e05b66bd774428746e8d1bff88c3cc627ba">
          <item id="421eadc21c1a887bbfe07ed459be33f907ba73e8" isNormal="1">
            <s:text>
              <s:r>
                <s:t xml:space="preserve">Administrator:
4/9 客供FID贴纸  38400pcs
</s:t>
              </s:r>
            </s:text>
          </item>
        </commentChain>
      </unresolved>
      <resolved/>
    </commentChains>
    <commentChains s:ref="AI1345" rgbClr="FF0000">
      <unresolved>
        <commentChain chainId="4ecde7bc8481bf1db41a1a8956340cb9aa3df0b8">
          <item id="9078076384152f532f8243715580ad2aca75a83f" isNormal="1">
            <s:text>
              <s:r>
                <s:t xml:space="preserve">Administrator:
1403532 5/12 2275pcs王4b5</s:t>
              </s:r>
            </s:text>
          </item>
        </commentChain>
      </unresolved>
      <resolved/>
    </commentChains>
    <commentChains s:ref="AI1346" rgbClr="FF0000">
      <unresolved>
        <commentChain chainId="12df22d2f3f0bdb25859e2a33979a853958dbc6a">
          <item id="241c458e52d9c264815cb613e02b70e61de30cd6" isNormal="1">
            <s:text>
              <s:r>
                <s:t xml:space="preserve">Administrator:
1403536 5/13 10010pcs</s:t>
              </s:r>
            </s:text>
          </item>
        </commentChain>
      </unresolved>
      <resolved/>
    </commentChains>
    <commentChains s:ref="AI1347" rgbClr="FF0000">
      <unresolved>
        <commentChain chainId="146b5a853b0bd097b0cd787be0e5683d96377af4">
          <item id="b18a5acc7c37244781262e7a7453cec116d49a09" isNormal="1">
            <s:text>
              <s:r>
                <s:t xml:space="preserve">Administrator:
1403504 5/14 3792pcs张b6</s:t>
              </s:r>
            </s:text>
          </item>
        </commentChain>
      </unresolved>
      <resolved/>
    </commentChains>
    <commentChains s:ref="AL1347" rgbClr="FF0000">
      <unresolved>
        <commentChain chainId="b8ef612ffc4817984bdeb00bb04b19c57832707f">
          <item id="ac83c46b3c3aa7fc7bfcff99bab9031ac1456ac8" isNormal="1">
            <s:text>
              <s:r>
                <s:t xml:space="preserve">Administrator:
5/7 客供亚马逊外箱贴纸 316pcs
</s:t>
              </s:r>
            </s:text>
          </item>
        </commentChain>
      </unresolved>
      <resolved/>
    </commentChains>
    <commentChains s:ref="AI1348" rgbClr="FF0000">
      <unresolved>
        <commentChain chainId="7accf4a8b28c8761ae01af0f5ec5efc2f60ba4ee">
          <item id="1249a778d9cac750a0af3dc4ec59d09bacabac91" isNormal="1">
            <s:text>
              <s:r>
                <s:t xml:space="preserve">Administrator:
1403504 5/14 4896pcs
张a5</s:t>
              </s:r>
            </s:text>
          </item>
        </commentChain>
      </unresolved>
      <resolved/>
    </commentChains>
    <commentChains s:ref="AL1348" rgbClr="FF0000">
      <unresolved>
        <commentChain chainId="49de008c7654202c20c46f5c2aa8b1babe152f6a">
          <item id="4ef44bb8b9aa520aa743d74133982ed93516cae5" isNormal="1">
            <s:text>
              <s:r>
                <s:t xml:space="preserve">Administrator:
5/7 客供亚马逊外箱贴纸 408pcs
</s:t>
              </s:r>
            </s:text>
          </item>
        </commentChain>
      </unresolved>
      <resolved/>
    </commentChains>
    <commentChains s:ref="AI1349" rgbClr="FF0000">
      <unresolved>
        <commentChain chainId="c654b018c56332a00a9c5332315f0cce5e3f0cda">
          <item id="c98847aae4092454e6ccf3b07a0aa1748ff34590" isNormal="1">
            <s:text>
              <s:r>
                <s:t xml:space="preserve">Administrator:
1403501 5/14 3840pcs庞登一楼
1403504 5/14 3876pcs张b6</s:t>
              </s:r>
            </s:text>
          </item>
        </commentChain>
      </unresolved>
      <resolved/>
    </commentChains>
    <commentChains s:ref="AL1349" rgbClr="FF0000">
      <unresolved>
        <commentChain chainId="2aa4fd77ffc6e7de9c90dcbe05c57ff3ee819f5c">
          <item id="886cad0e86cbc171f9c91bab7942c8e8dfc9cd6b" isNormal="1">
            <s:text>
              <s:r>
                <s:t xml:space="preserve">Administrator:
5/7 客供亚马逊外箱贴纸 643pcs
</s:t>
              </s:r>
            </s:text>
          </item>
        </commentChain>
      </unresolved>
      <resolved/>
    </commentChains>
    <commentChains s:ref="AI1350" rgbClr="FF0000">
      <unresolved>
        <commentChain chainId="3388d31dd2d7861e82c21e504bbeb03f151e42d8">
          <item id="e8886f29ebbd78001365009e8de3d32b2c801212" isNormal="1">
            <s:text>
              <s:r>
                <s:t xml:space="preserve">Administrator:
1403504 5/14 960pcs
张b13
1403509 5/14 7416pcs 王4a2</s:t>
              </s:r>
            </s:text>
          </item>
        </commentChain>
      </unresolved>
      <resolved/>
    </commentChains>
    <commentChains s:ref="AL1350" rgbClr="FF0000">
      <unresolved>
        <commentChain chainId="d977816b856798dd5becf9410fedb8fb67d29062">
          <item id="625e2c4dfee7cdaa8c532dedd6dd9232cd3268d8" isNormal="1">
            <s:text>
              <s:r>
                <s:t xml:space="preserve">Administrator:
5/7 客供亚马逊外箱贴纸 698pcs
</s:t>
              </s:r>
            </s:text>
          </item>
        </commentChain>
      </unresolved>
      <resolved/>
    </commentChains>
    <commentChains s:ref="AI1351" rgbClr="FF0000">
      <unresolved>
        <commentChain chainId="b8788e407e386eb6a58dc72eb5592e5c913b350c">
          <item id="0a9846ce4dbb01245da4ec2df863f84d987eea27" isNormal="1">
            <s:text>
              <s:r>
                <s:t xml:space="preserve">Administrator:
1403504 5/14 5700pcs
张a9
</s:t>
              </s:r>
            </s:text>
          </item>
        </commentChain>
      </unresolved>
      <resolved/>
    </commentChains>
    <commentChains s:ref="AL1351" rgbClr="FF0000">
      <unresolved>
        <commentChain chainId="3f10633fcfaa8928485e051ef87ed6e1c80f0039">
          <item id="636664ef70a33e9041f50c3a276032aae750558b" isNormal="1">
            <s:text>
              <s:r>
                <s:t xml:space="preserve">Administrator:
5/7 客供亚马逊外箱贴纸 145pcs
</s:t>
              </s:r>
            </s:text>
          </item>
        </commentChain>
      </unresolved>
      <resolved/>
    </commentChains>
    <commentChains s:ref="AI1352" rgbClr="FF0000">
      <unresolved>
        <commentChain chainId="97a76b8d77ccb4a5a8ae11a2247739be07e0de81">
          <item id="74aa22bdfe647821c6c3ab662e7390ccb4fced04" isNormal="1">
            <s:text>
              <s:r>
                <s:t xml:space="preserve">Administrator:
1403520 5/11 804pcs张b3
</s:t>
              </s:r>
            </s:text>
          </item>
        </commentChain>
      </unresolved>
      <resolved/>
    </commentChains>
    <commentChains s:ref="AL1352" rgbClr="FF0000">
      <unresolved>
        <commentChain chainId="b4d36c67ad1562ca5c55c55c9bf65164cc98343e">
          <item id="8f8809dfa5b0fdd4afdeef964f6a4c79555f34c6" isNormal="1">
            <s:text>
              <s:r>
                <s:t xml:space="preserve">Administrator:
4/14 客供价格贴纸 840pcs
</s:t>
              </s:r>
            </s:text>
          </item>
        </commentChain>
      </unresolved>
      <resolved/>
    </commentChains>
    <commentChains s:ref="AI1353" rgbClr="FF0000">
      <unresolved>
        <commentChain chainId="7b74d74378d97cd4873910f5883bde28dc4100b7">
          <item id="7c562a7c07ff1b20189c00158e86c4eac4db4551" isNormal="1">
            <s:text>
              <s:r>
                <s:t xml:space="preserve">Administrator:
1403504 5/14 5856pcs
张b2</s:t>
              </s:r>
            </s:text>
          </item>
        </commentChain>
      </unresolved>
      <resolved/>
    </commentChains>
    <commentChains s:ref="AL1353" rgbClr="FF0000">
      <unresolved>
        <commentChain chainId="18433c44da8ea4d53f3e49ba0305aa1a4ea2c079">
          <item id="7f721f12bce425c4f266bb2baba2d06303c6b840" isNormal="1">
            <s:text>
              <s:r>
                <s:t xml:space="preserve">Administrator:
5/7 客供亚马逊外箱贴纸 488pcs
</s:t>
              </s:r>
            </s:text>
          </item>
        </commentChain>
      </unresolved>
      <resolved/>
    </commentChains>
    <commentChains s:ref="AI1354" rgbClr="FF0000">
      <unresolved>
        <commentChain chainId="d7ae4efc4e962027ec83b6060ff7c03cb078cb3f">
          <item id="48c3ac16a68dec246f10dfe2eaa60d3990a50411" isNormal="1">
            <s:text>
              <s:r>
                <s:t xml:space="preserve">Administrator:
1403504 5/14 1000pcs
张b6</s:t>
              </s:r>
            </s:text>
          </item>
        </commentChain>
      </unresolved>
      <resolved/>
    </commentChains>
    <commentChains s:ref="AL1354" rgbClr="FF0000">
      <unresolved>
        <commentChain chainId="32168e1b563f3b3485b90b56309bcfbedae2e75e">
          <item id="02e6367ba2a785d87d7e329d0e23511f3250dcb6" isNormal="1">
            <s:text>
              <s:r>
                <s:t xml:space="preserve">Administrator:
4/28 进口商贴纸 100pcs
UPC贴纸 10000pcs</s:t>
              </s:r>
            </s:text>
          </item>
        </commentChain>
      </unresolved>
      <resolved/>
    </commentChains>
    <commentChains s:ref="AI1355" rgbClr="FF0000">
      <unresolved>
        <commentChain chainId="e7701ac5ebed4d7e584fd370c12ecba7a65ceb42">
          <item id="322f40a025da9cf371008df097fccad9be13c0d0" isNormal="1">
            <s:text>
              <s:r>
                <s:t xml:space="preserve">Administrator:
4001651 5/11 70套
</s:t>
              </s:r>
            </s:text>
          </item>
        </commentChain>
      </unresolved>
      <resolved/>
    </commentChains>
    <commentChains s:ref="AI1356" rgbClr="FF0000">
      <unresolved>
        <commentChain chainId="5b5353b11911f7d2623f1e50756f04313c38476b">
          <item id="71e1d65d760549d1f29724114808161a18d95f6c" isNormal="1">
            <s:text>
              <s:r>
                <s:t xml:space="preserve">Administrator:
1403542 5/15 2736pcs
直走</s:t>
              </s:r>
            </s:text>
          </item>
        </commentChain>
      </unresolved>
      <resolved/>
    </commentChains>
    <commentChains s:ref="AL1356" rgbClr="FF0000">
      <unresolved>
        <commentChain chainId="35caf717ab6976fa07b57e975bd94f1b4be9768a">
          <item id="46f5ddfd6743796210ebe1955bac0bb5804dbfab" isNormal="1">
            <s:text>
              <s:r>
                <s:t xml:space="preserve">Administrator:
4/28 PDQ折页 456pcs</s:t>
              </s:r>
            </s:text>
          </item>
        </commentChain>
      </unresolved>
      <resolved/>
    </commentChains>
    <commentChains s:ref="AI1357" rgbClr="FF0000">
      <unresolved>
        <commentChain chainId="0c34646b449dbbdaf033927f60439c13f91ba5cb">
          <item id="220644fa1c1289198f2f52b15327e2f57842b4be" isNormal="1">
            <s:text>
              <s:r>
                <s:t xml:space="preserve">Administrator:
1403542 5/15 2166pcs
直走</s:t>
              </s:r>
            </s:text>
          </item>
        </commentChain>
      </unresolved>
      <resolved/>
    </commentChains>
    <commentChains s:ref="AL1357" rgbClr="FF0000">
      <unresolved>
        <commentChain chainId="fcb3ecd5dd870d8f4f7efb6b4aa73487adc2c6b5">
          <item id="3bad31340e5c0c2731ec49579ac21b023d53ad2e" isNormal="1">
            <s:text>
              <s:r>
                <s:t xml:space="preserve">Administrator:
4/28 PDQ折页 361pcs
</s:t>
              </s:r>
            </s:text>
          </item>
        </commentChain>
      </unresolved>
      <resolved/>
    </commentChains>
    <commentChains s:ref="AI1358" rgbClr="FF0000">
      <unresolved>
        <commentChain chainId="fd4ff2bd292c33d914aae67efe6aa00ac61c1517">
          <item id="f0f5cdd8ea57eee8fdd4b8aa3fef0928f128fff8" isNormal="1">
            <s:text>
              <s:r>
                <s:t xml:space="preserve">Administrator:
1403610 5/19 900pc张b3</s:t>
              </s:r>
            </s:text>
          </item>
        </commentChain>
      </unresolved>
      <resolved/>
    </commentChains>
    <commentChains s:ref="AL1358" rgbClr="FF0000">
      <unresolved>
        <commentChain chainId="aabe85d0cbece378bfa6dfa2d57cc7449d8902f4">
          <item id="6e9b16c465c4e3e7681e04297894244d1ea82bc6" isNormal="1">
            <s:text>
              <s:r>
                <s:t xml:space="preserve">Administrator:
5/8 uPC贴纸 900pcs
5/8 进口商贴纸 900pcs</s:t>
              </s:r>
            </s:text>
          </item>
        </commentChain>
      </unresolved>
      <resolved/>
    </commentChains>
    <commentChains s:ref="AI1359" rgbClr="FF0000">
      <unresolved>
        <commentChain chainId="1da07c10db7d88f67a8654c12349d3af7999c97e">
          <item id="e2fbcc2174eb4a0f38cfd6631c7b0e3a336e55a4" isNormal="1">
            <s:text>
              <s:r>
                <s:t xml:space="preserve">Administrator:
1403542 5/15 1800pcs张b2</s:t>
              </s:r>
            </s:text>
          </item>
        </commentChain>
      </unresolved>
      <resolved/>
    </commentChains>
    <commentChains s:ref="AL1359" rgbClr="FF0000">
      <unresolved>
        <commentChain chainId="76fd926da7649f49a79059b2cbb39a1a5fe2836d">
          <item id="3dbfb6622de91992508558f4fbd86492e425b909" isNormal="1">
            <s:text>
              <s:r>
                <s:t xml:space="preserve">Administrator:
5/4 客户进口商贴纸(含西班牙环保 3800pcs
</s:t>
              </s:r>
            </s:text>
          </item>
        </commentChain>
      </unresolved>
      <resolved/>
    </commentChains>
    <commentChains s:ref="AI1360" rgbClr="FF0000">
      <unresolved>
        <commentChain chainId="eb104c571f18ede8dd52f46d1b8dc598d508b0fe">
          <item id="fe4dd348f29031412caa53efa06b227d8867924a" isNormal="1">
            <s:text>
              <s:r>
                <s:t xml:space="preserve">Administrator:
1403604 5/19 1404pcs张3a1
1403295 5/21 52pcs</s:t>
              </s:r>
            </s:text>
          </item>
        </commentChain>
      </unresolved>
      <resolved/>
    </commentChains>
    <commentChains s:ref="AL1360" rgbClr="FF0000">
      <unresolved>
        <commentChain chainId="6cc9a67b9d0d3d83337aa4aec146f2eec4028904">
          <item id="0030b8a5ed365d515ae54d7c1227f2aed53eb6dc" isNormal="1">
            <s:text>
              <s:r>
                <s:t xml:space="preserve">Administrator:
4/14 客供警语贴纸贴球底部 1504pcs
客供警语贴纸贴说明书 1504pcs
客供警语贴纸贴收藏指南 1504pcs</s:t>
              </s:r>
            </s:text>
          </item>
        </commentChain>
      </unresolved>
      <resolved/>
    </commentChains>
    <commentChains s:ref="AI1361" rgbClr="FF0000">
      <unresolved>
        <commentChain chainId="71d962a4bd50e38a86f1ece593bbffb32ddc0683">
          <item id="6d3ce618f2ea02258e6b369f0c4cb290999bbdf0" isNormal="1">
            <s:text>
              <s:r>
                <s:t xml:space="preserve">Administrator:
1406124 5/19 480pcs张b3</s:t>
              </s:r>
            </s:text>
          </item>
        </commentChain>
      </unresolved>
      <resolved/>
    </commentChains>
    <commentChains s:ref="AL1361" rgbClr="FF0000">
      <unresolved>
        <commentChain chainId="ebbeae94f326ba0999cca6acfd0db5cf6e7eebe9">
          <item id="0e8850f54aa4c6c5a77d0e68a5dc653549cef0fc" isNormal="1">
            <s:text>
              <s:r>
                <s:t xml:space="preserve">Administrator:
4/14 客供中文警告说明书 498pcs
客供警语贴纸贴球底部 996pcs
客供警语贴纸贴说明书 996pcs
客供警语贴纸贴彩盒冰箱 997pcs
客供警语贴纸贴收藏指南 996pcs
客供电池警语贴纸 996pcs
4/25 UPC条码贴纸 480pcs
4/25 空白贴纸 960pcs</s:t>
              </s:r>
            </s:text>
          </item>
        </commentChain>
      </unresolved>
      <resolved/>
    </commentChains>
    <commentChains s:ref="AI1362" rgbClr="FF0000">
      <unresolved>
        <commentChain chainId="57e96017af397668c0f9055f1db74ccb8f6c8efd">
          <item id="ccf7b552aa67e310e4e9f958c0cdd299d19d00aa" isNormal="1">
            <s:text>
              <s:r>
                <s:t xml:space="preserve">Administrator:
1403538 5/14 1100pcs张a4</s:t>
              </s:r>
            </s:text>
          </item>
        </commentChain>
      </unresolved>
      <resolved/>
    </commentChains>
    <commentChains s:ref="AL1362" rgbClr="FF0000">
      <unresolved>
        <commentChain chainId="3d69aaad1e0d5322a6ec17d1ff84fa06f2c90400">
          <item id="f084c136e995941dda58bbca8c645bdf9df95d6b" isNormal="1">
            <s:text>
              <s:r>
                <s:t xml:space="preserve">Administrator:
5/8 uPC贴纸 1000pcs
5/8 进口商贴纸 100pcs
 </s:t>
              </s:r>
            </s:text>
          </item>
        </commentChain>
      </unresolved>
      <resolved/>
    </commentChains>
    <commentChains s:ref="AI1363" rgbClr="FF0000">
      <unresolved>
        <commentChain chainId="fb0e0aeb827b3c994379a1937a2eeae0e39133e7">
          <item id="e70980efde9a417c08011a1814837ca40c1dc1a7" isNormal="1">
            <s:text>
              <s:r>
                <s:t xml:space="preserve">Administrator:
1403542 5/15 200pcs
张a6</s:t>
              </s:r>
            </s:text>
          </item>
        </commentChain>
      </unresolved>
      <resolved/>
    </commentChains>
    <commentChains s:ref="AL1363" rgbClr="FF0000">
      <unresolved>
        <commentChain chainId="0f7b3f988f24b8e656968cfb1164fe04b0e575e2">
          <item id="4bac3fee668643e4e7ea1f5c0a3116f6ee2d950c" isNormal="1">
            <s:text>
              <s:r>
                <s:t xml:space="preserve">Administrator:
4/8 DC运输貼纸 80pcs
4/13 PDQ标识贴纸 80pcs</s:t>
              </s:r>
            </s:text>
          </item>
        </commentChain>
      </unresolved>
      <resolved/>
    </commentChains>
    <commentChains s:ref="AI1364" rgbClr="FF0000">
      <unresolved>
        <commentChain chainId="91c10d5e0d10bc241b6ccfa880f342839f51c177">
          <item id="943e5e93fb494a59b9a27d924ded5afe50880229" isNormal="1">
            <s:text>
              <s:r>
                <s:t xml:space="preserve">Administrator:
1403538 5/14 2688pcs
张a6</s:t>
              </s:r>
            </s:text>
          </item>
        </commentChain>
      </unresolved>
      <resolved/>
    </commentChains>
    <commentChains s:ref="AL1364" rgbClr="FF0000">
      <unresolved>
        <commentChain chainId="cf5b4389317a07f19cf26c599aa0d1c349168925">
          <item id="742e0fdc9641d8b8a6975019911df99d3abef82b" isNormal="1">
            <s:text>
              <s:r>
                <s:t xml:space="preserve">Administrator:
5/7 客供亚马逊外箱贴纸 224pcs
</s:t>
              </s:r>
            </s:text>
          </item>
        </commentChain>
      </unresolved>
      <resolved/>
    </commentChains>
    <commentChains s:ref="AI1365" rgbClr="FF0000">
      <unresolved>
        <commentChain chainId="a6eee8e5e52b50eb5d741f676965b2abfbb97bbe">
          <item id="f15af0447794672910ee8c51ac04388a2d214c43" isNormal="1">
            <s:text>
              <s:r>
                <s:t xml:space="preserve">Administrator:
1403542 5/15 3204pcs
张b2</s:t>
              </s:r>
            </s:text>
          </item>
        </commentChain>
      </unresolved>
      <resolved/>
    </commentChains>
    <commentChains s:ref="AL1365" rgbClr="FF0000">
      <unresolved>
        <commentChain chainId="25a7c714487b453e36eaa30e3abcceb0adeddcfc">
          <item id="ec3414a45ab7b223667f40da51db4e1748bb9348" isNormal="1">
            <s:text>
              <s:r>
                <s:t xml:space="preserve">Administrator:
4/20 客供价格贴纸3525pcs
4/28 空白贴纸 3204pcs</s:t>
              </s:r>
            </s:text>
          </item>
        </commentChain>
      </unresolved>
      <resolved/>
    </commentChains>
    <commentChains s:ref="AI1366" rgbClr="FF0000">
      <unresolved>
        <commentChain chainId="93870d0ea755ece7e499e58df8ce7677924a09a7">
          <item id="cf513809c1667ddc244f466905e5e33206d82a9a" isNormal="1">
            <s:text>
              <s:r>
                <s:t xml:space="preserve">Administrator:
1403542 5/15 3600pcs
张b2</s:t>
              </s:r>
            </s:text>
          </item>
        </commentChain>
      </unresolved>
      <resolved/>
    </commentChains>
    <commentChains s:ref="AL1366" rgbClr="FF0000">
      <unresolved>
        <commentChain chainId="49c8b2ac7d07341b8aee3149627307f655dddef7">
          <item id="484b937b8044b2c305abeec9533025639a9f0f61" isNormal="1">
            <s:text>
              <s:r>
                <s:t xml:space="preserve">Administrator:
4/20 客供价格贴纸 2416pcs
4/28 空白贴纸 3600pcs
</s:t>
              </s:r>
            </s:text>
          </item>
        </commentChain>
      </unresolved>
      <resolved/>
    </commentChains>
    <commentChains s:ref="AI1367" rgbClr="FF0000">
      <unresolved>
        <commentChain chainId="22c395ba1b200b61fcc83d14c09f91ce4a7a331a">
          <item id="7befe2bb53a92d81036b90fc2d311c2709b40431" isNormal="1">
            <s:text>
              <s:r>
                <s:t xml:space="preserve">Administrator:
1403624 5/18 34320pcs</s:t>
              </s:r>
            </s:text>
          </item>
        </commentChain>
      </unresolved>
      <resolved/>
    </commentChains>
    <commentChains s:ref="AL1367" rgbClr="FF0000">
      <unresolved>
        <commentChain chainId="4670d04b9ca75fbbd9ea0a57c7904f892acdaab0">
          <item id="ef4a144b16935a210d35d79821e344e8a82d6946" isNormal="1">
            <s:text>
              <s:r>
                <s:t xml:space="preserve">Administrator:
4/8 客供防窜码贴纸1拖13 2640pcs
4/24 条码贴纸 34320pcs
</s:t>
              </s:r>
            </s:text>
          </item>
        </commentChain>
      </unresolved>
      <resolved/>
    </commentChains>
    <commentChains s:ref="AI1368" rgbClr="FF0000">
      <unresolved>
        <commentChain chainId="e3b7e527986adeac959c782f77b8e5905a654a34">
          <item id="ba3b5b6a99c3f4decacbdc5248401210443c4705" isNormal="1">
            <s:text>
              <s:r>
                <s:t xml:space="preserve">Administrator:
1406149 5/18 10002pcs</s:t>
              </s:r>
            </s:text>
          </item>
        </commentChain>
      </unresolved>
      <resolved/>
    </commentChains>
    <commentChains s:ref="AL1368" rgbClr="FF0000">
      <unresolved>
        <commentChain chainId="6da928def9e0f0d564ddba86e68f092751e3cb13">
          <item id="cd55235c34bb3ce1a49b613b0b52140ebba79800" isNormal="1">
            <s:text>
              <s:r>
                <s:t xml:space="preserve">Administrator:
4/18 客供芯片码贴纸 10002pcs
4/24 颜色贴纸 10002pcs
空白贴纸 20004pcs
</s:t>
              </s:r>
            </s:text>
          </item>
        </commentChain>
      </unresolved>
      <resolved/>
    </commentChains>
    <commentChains s:ref="AI1369" rgbClr="FF0000">
      <unresolved>
        <commentChain chainId="bcce16baf2ac7268429d87c9a89b50aa5fbe8877">
          <item id="583de174471bbda8be8298f63ff0aa82a4006c24" isNormal="1">
            <s:text>
              <s:r>
                <s:t xml:space="preserve">Administrator:
1403601 5/16 260pcs</s:t>
              </s:r>
            </s:text>
          </item>
        </commentChain>
      </unresolved>
      <resolved/>
    </commentChains>
    <commentChains s:ref="AL1369" rgbClr="FF0000">
      <unresolved>
        <commentChain chainId="83f4abd89329bccd8d14b6eb8ef0ff9f90a1399f">
          <item id="7da6bd883b49378eb9b69715e2485ed7b9f9d1b8" isNormal="1">
            <s:text>
              <s:r>
                <s:t xml:space="preserve">Administrator:
4/298 法国sorting logo贴纸 260pcs</s:t>
              </s:r>
            </s:text>
          </item>
        </commentChain>
      </unresolved>
      <resolved/>
    </commentChains>
    <commentChains s:ref="AI1370" rgbClr="FF0000">
      <unresolved>
        <commentChain chainId="29f7914af998c6bccb56fe4221b1a2aaba298a7d">
          <item id="7df2d612ae99eb832c5cee93d6b8f259829b67fc" isNormal="1">
            <s:text>
              <s:r>
                <s:t xml:space="preserve">Administrator:
1403538 5/14 2580pcs
张b6</s:t>
              </s:r>
            </s:text>
          </item>
        </commentChain>
      </unresolved>
      <resolved/>
    </commentChains>
    <commentChains s:ref="AL1370" rgbClr="FF0000">
      <unresolved>
        <commentChain chainId="b23338c08341f153c341db2b17dfcb7cc4588e77">
          <item id="b36e1375a2d34d47d93961b10b0b55d95fc1aaf2" isNormal="1">
            <s:text>
              <s:r>
                <s:t xml:space="preserve">Administrator:
5/7 客供亚马逊外箱贴纸 215pcs
</s:t>
              </s:r>
            </s:text>
          </item>
        </commentChain>
      </unresolved>
      <resolved/>
    </commentChains>
    <commentChains s:ref="AI1371" rgbClr="FF0000">
      <unresolved>
        <commentChain chainId="abe26577832c19d83dee8e8d3ea29081e84382cb">
          <item id="62e823da8db83d93b4a289d46a0c6898686795e0" isNormal="1">
            <s:text>
              <s:r>
                <s:t xml:space="preserve">Administrator:
1403538 5/14 180pcs
张b1</s:t>
              </s:r>
            </s:text>
          </item>
        </commentChain>
      </unresolved>
      <resolved/>
    </commentChains>
    <commentChains s:ref="AL1371" rgbClr="FF0000">
      <unresolved>
        <commentChain chainId="c535fdf8689df3f5543848090b955e8e367a371c">
          <item id="675c374d79fdaeb9d314d40cd136269593aeb19d" isNormal="1">
            <s:text>
              <s:r>
                <s:t xml:space="preserve">Administrator:
5/7 客供亚马逊外箱贴纸 15pcs
</s:t>
              </s:r>
            </s:text>
          </item>
        </commentChain>
      </unresolved>
      <resolved/>
    </commentChains>
    <commentChains s:ref="AI1372" rgbClr="FF0000">
      <unresolved>
        <commentChain chainId="cfe9c5648972ba54de2eeb89ab658225ec3b2273">
          <item id="4689878f16230cfbeb287d84011f4a2833ba76bf" isNormal="1">
            <s:text>
              <s:r>
                <s:t xml:space="preserve">Administrator:
1403499 5/14 1800pcs张b14</s:t>
              </s:r>
            </s:text>
          </item>
        </commentChain>
      </unresolved>
      <resolved/>
    </commentChains>
    <commentChains s:ref="AL1372" rgbClr="FF0000">
      <unresolved>
        <commentChain chainId="d8266537e1f59e30049f045dec079b143548b90a">
          <item id="41275d97ca5a28490346f181617d95c5d60039e3" isNormal="1">
            <s:text>
              <s:r>
                <s:t xml:space="preserve">Administrator:
5/5  亚马逊外箱贴纸 150pcs</s:t>
              </s:r>
            </s:text>
          </item>
        </commentChain>
      </unresolved>
      <resolved/>
    </commentChains>
    <commentChains s:ref="AI1373" rgbClr="FF0000">
      <unresolved>
        <commentChain chainId="f396541b259204c12ff1ee1dbfda932f0d78077b">
          <item id="5586e5fc7fa89950a8d2f9dbd565bbdd104157e1" isNormal="1">
            <s:text>
              <s:r>
                <s:t xml:space="preserve">Administrator:
1403325 5/24 9048pcs王b14</s:t>
              </s:r>
            </s:text>
          </item>
        </commentChain>
      </unresolved>
      <resolved/>
    </commentChains>
    <commentChains s:ref="AL1373" rgbClr="FF0000">
      <unresolved>
        <commentChain chainId="8b110bcb1533d795d847d7ec1115d6d6a59b97cd">
          <item id="e94e07135c1d86cd4ffb4ca1dd6adda8d11c4b38" isNormal="1">
            <s:text>
              <s:r>
                <s:t xml:space="preserve">Administrator:
5/11 共上胶袋贴纸 1600pcs
5/13 警告语贴纸 9048pcs</s:t>
              </s:r>
            </s:text>
          </item>
        </commentChain>
      </unresolved>
      <resolved/>
    </commentChains>
    <commentChains s:ref="AI1374" rgbClr="FF0000">
      <unresolved>
        <commentChain chainId="abd41eca7bb72f00832dd988e785546a648c0526">
          <item id="3008563dc175f4e15441f02f995e3626eb45ddee" isNormal="1">
            <s:text>
              <s:r>
                <s:t xml:space="preserve">Administrator:
1403325 5/24 28028pcs 杨b4</s:t>
              </s:r>
            </s:text>
          </item>
        </commentChain>
      </unresolved>
      <resolved/>
    </commentChains>
    <commentChains s:ref="AL1374" rgbClr="FF0000">
      <unresolved>
        <commentChain chainId="48e40a3a3f15ae188b144e55d6f2d74ba9755b04">
          <item id="df69717fac3593cc50ba38120d374b7614ad8ee1" isNormal="1">
            <s:text>
              <s:r>
                <s:t xml:space="preserve">Administrator:
5/11 共上胶袋贴纸 1600pcs
5/13 警告语贴纸 28020pcs
</s:t>
              </s:r>
            </s:text>
          </item>
        </commentChain>
      </unresolved>
      <resolved/>
    </commentChains>
    <commentChains s:ref="AI1375" rgbClr="FF0000">
      <unresolved>
        <commentChain chainId="12cfc643cb863ea1ec441855f9c0ecc7cc020fec">
          <item id="0596856a2b10cdbeaf040c66acf32537bbeb7c6f" isNormal="1">
            <s:text>
              <s:r>
                <s:t xml:space="preserve">Administrator:
1403325 5/24 3016pcs
杨b3</s:t>
              </s:r>
            </s:text>
          </item>
        </commentChain>
      </unresolved>
      <resolved/>
    </commentChains>
    <commentChains s:ref="AL1375" rgbClr="FF0000">
      <unresolved>
        <commentChain chainId="c1df9b1828d75831a396baf8c87ce70cf9bdff14">
          <item id="82d26697d848d121f666f92cb4dff28661f931a9" isNormal="1">
            <s:text>
              <s:r>
                <s:t xml:space="preserve">Administrator:
5/11 共上胶袋贴纸 1600pcs
5/13 警告语贴纸 3016pcs
</s:t>
              </s:r>
            </s:text>
          </item>
        </commentChain>
      </unresolved>
      <resolved/>
    </commentChains>
    <commentChains s:ref="AI1376" rgbClr="FF0000">
      <unresolved>
        <commentChain chainId="d28854d3f9e1d03ef78fe89dc8b9cf4fdf1341e6">
          <item id="e7ede38b4f317e371be0f55766808c19ec5d8752" isNormal="1">
            <s:text>
              <s:r>
                <s:t xml:space="preserve">Administrator:
1403325 5/24 416pcs
杨b14</s:t>
              </s:r>
            </s:text>
          </item>
        </commentChain>
      </unresolved>
      <resolved/>
    </commentChains>
    <commentChains s:ref="AL1376" rgbClr="FF0000">
      <unresolved>
        <commentChain chainId="1ba75325285156fb831017a8b15d28065deec94e">
          <item id="f54c6ba45347e44844c799801be7a2e1485f07e8" isNormal="1">
            <s:text>
              <s:r>
                <s:t xml:space="preserve">Administrator:
4/7 警语贴纸 416pcs
5/11 胶袋贴纸共上 1672pcs</s:t>
              </s:r>
            </s:text>
          </item>
        </commentChain>
      </unresolved>
      <resolved/>
    </commentChains>
    <commentChains s:ref="AI1377" rgbClr="FF0000">
      <unresolved>
        <commentChain chainId="8fa415d386b8cb8524079b605396ce55d185cbc5">
          <item id="726c8b3713b88a1ff7af782e96f101f5b1d30914" isNormal="1">
            <s:text>
              <s:r>
                <s:t xml:space="preserve">Administrator:
1403325 5/24 2028pcs
杨b8</s:t>
              </s:r>
            </s:text>
          </item>
        </commentChain>
      </unresolved>
      <resolved/>
    </commentChains>
    <commentChains s:ref="AL1377" rgbClr="FF0000">
      <unresolved>
        <commentChain chainId="dae9ea9c51f939e30927f190a02cd2fd315ba253">
          <item id="a2341f7f83fcedef303ed49578e1d9da739de4af" isNormal="1">
            <s:text>
              <s:r>
                <s:t xml:space="preserve">Administrator:
4/7 警语贴纸 2028pcs
5/11 胶袋贴纸 共上1672pcs
</s:t>
              </s:r>
            </s:text>
          </item>
        </commentChain>
      </unresolved>
      <resolved/>
    </commentChains>
    <commentChains s:ref="AI1378" rgbClr="FF0000">
      <unresolved>
        <commentChain chainId="1811a16636da2ed2be78fd11569fe566c3b105c6">
          <item id="0224d82fc06277eb59809dae60c21505a98f4c04" isNormal="1">
            <s:text>
              <s:r>
                <s:t xml:space="preserve">Administrator:
1403267 5/21 12300pcs新b2</s:t>
              </s:r>
            </s:text>
          </item>
        </commentChain>
      </unresolved>
      <resolved/>
    </commentChains>
    <commentChains s:ref="AL1378" rgbClr="FF0000">
      <unresolved>
        <commentChain chainId="e62aaaa814c13405e9a3aa6f085c72665cb2b965">
          <item id="12d7d32b43505736df51ec55d6a7a5f2a00a5c99" isNormal="1">
            <s:text>
              <s:r>
                <s:t xml:space="preserve">Administrator:
4/7 UPC条码贴纸 12300pcs
</s:t>
              </s:r>
            </s:text>
          </item>
        </commentChain>
      </unresolved>
      <resolved/>
    </commentChains>
    <commentChains s:ref="AI1379" rgbClr="FF0000">
      <unresolved>
        <commentChain chainId="55a1c5c1eb75ffde9f182268caafa057c0e9e2c2">
          <item id="5d0668fe2ab78a8bc0eb7296a70da7650af6f044" isNormal="1">
            <s:text>
              <s:r>
                <s:t xml:space="preserve">Administrator:
1403285 5/20 1250pcs张ca11</s:t>
              </s:r>
            </s:text>
          </item>
        </commentChain>
      </unresolved>
      <resolved/>
    </commentChains>
    <commentChains s:ref="AL1379" rgbClr="FF0000">
      <unresolved>
        <commentChain chainId="704b4673221ae986c68e21f269bc13c26fe2338a">
          <item id="76a1d7d15126a4c168cc7d1c4cd2a2a1a6f48381" isNormal="1">
            <s:text>
              <s:r>
                <s:t xml:space="preserve">Administrator:
4/28 客人通用进口商贴纸 1250pcs
通用UPC条码贴纸 1250pcs</s:t>
              </s:r>
            </s:text>
          </item>
        </commentChain>
      </unresolved>
      <resolved/>
    </commentChains>
    <commentChains s:ref="AI1380" rgbClr="FF0000">
      <unresolved>
        <commentChain chainId="086c9088c652513b3b6f0be6e1d718a9d842fc94">
          <item id="0defd3023561bd5e3900f69365f206c96666fbab" isNormal="1">
            <s:text>
              <s:r>
                <s:t xml:space="preserve">Administrator:
1403321 5/24 22000pcs
杨3c3</s:t>
              </s:r>
            </s:text>
          </item>
        </commentChain>
      </unresolved>
      <resolved/>
    </commentChains>
    <commentChains s:ref="AL1380" rgbClr="FF0000">
      <unresolved>
        <commentChain chainId="b3e8633ea9f375d1cc42a9cc2480b13ea1940f05">
          <item id="21bb69facf46710950b8f1b2286628e759ec9002" isNormal="1">
            <s:text>
              <s:r>
                <s:t xml:space="preserve">Administrator:
4/28 空白贴纸 22000pcs
5/5 进口商贴纸 22000pcs</s:t>
              </s:r>
            </s:text>
          </item>
        </commentChain>
      </unresolved>
      <resolved/>
    </commentChains>
    <commentChains s:ref="AI1381" rgbClr="FF0000">
      <unresolved>
        <commentChain chainId="350d2656c0d1ade54f423d76a497d740a23a19df">
          <item id="af36a051972a2140f79052421cac2e073a2f9475" isNormal="1">
            <s:text>
              <s:r>
                <s:t xml:space="preserve">Administrator:
1403285 5/20 500pcs
张a11</s:t>
              </s:r>
            </s:text>
          </item>
        </commentChain>
      </unresolved>
      <resolved/>
    </commentChains>
    <commentChains s:ref="AI1382" rgbClr="FF0000">
      <unresolved>
        <commentChain chainId="cf007fe9899ef4863a41b179e1ff9985fe702187">
          <item id="072dc061a4b1aff1b44c94da91eb96aac103871e" isNormal="1">
            <s:text>
              <s:r>
                <s:t xml:space="preserve">Administrator:
1403319 5/24 102pcs
杨b4</s:t>
              </s:r>
            </s:text>
          </item>
        </commentChain>
      </unresolved>
      <resolved/>
    </commentChains>
    <commentChains s:ref="AL1382" rgbClr="FF0000">
      <unresolved>
        <commentChain chainId="5a9671716018f14f2fcee4c0319d57a434d85828">
          <item id="822b3c941671d2b40c92222ec19f02a6b5125231" isNormal="1">
            <s:text>
              <s:r>
                <s:t xml:space="preserve">Administrator:
5/11 WIC 贴纸 102pcs
PDQ折页 17pcs</s:t>
              </s:r>
            </s:text>
          </item>
        </commentChain>
      </unresolved>
      <resolved/>
    </commentChains>
    <commentChains s:ref="AI1383" rgbClr="FF0000">
      <unresolved>
        <commentChain chainId="dced2d403dd2545b20057df9907db60762426d43">
          <item id="d9cfbba0c135e4e6646d5412ef0d645f7d417ca0" isNormal="1">
            <s:text>
              <s:r>
                <s:t xml:space="preserve">Administrator:
1403319 5/24 894pcs
杨b4
</s:t>
              </s:r>
            </s:text>
          </item>
        </commentChain>
      </unresolved>
      <resolved/>
    </commentChains>
    <commentChains s:ref="AL1383" rgbClr="FF0000">
      <unresolved>
        <commentChain chainId="e0583ab61d7a07e816d52787685cc89fd9e0f160">
          <item id="027346a695b68e73e01ea3fb84c443929601aef4" isNormal="1">
            <s:text>
              <s:r>
                <s:t xml:space="preserve">Administrator:
5/11 WIC 贴纸 894pcs
PDQ折页 149pcs
</s:t>
              </s:r>
            </s:text>
          </item>
        </commentChain>
      </unresolved>
      <resolved/>
    </commentChains>
    <commentChains s:ref="AI1384" rgbClr="FF0000">
      <unresolved>
        <commentChain chainId="8071397d97eb8e616b96a5d38e77875177bd15f5">
          <item id="7b611ecfc67be0de82877512da30cb0a1c58f55a" isNormal="1">
            <s:text>
              <s:r>
                <s:t xml:space="preserve">Administrator:
1403319 5/24 1110pcs
杨b4
</s:t>
              </s:r>
            </s:text>
          </item>
        </commentChain>
      </unresolved>
      <resolved/>
    </commentChains>
    <commentChains s:ref="AL1384" rgbClr="FF0000">
      <unresolved>
        <commentChain chainId="c361ba8993669e85c5989a7ff94762d4da34f269">
          <item id="b6073a0a851ececd166440fac8df3298d2d51e09" isNormal="1">
            <s:text>
              <s:r>
                <s:t xml:space="preserve">Administrator:
5/11 WIC 贴纸 1110pcs
PDQ折页 185pcs
</s:t>
              </s:r>
            </s:text>
          </item>
        </commentChain>
      </unresolved>
      <resolved/>
    </commentChains>
    <commentChains s:ref="AI1385" rgbClr="FF0000">
      <unresolved>
        <commentChain chainId="78bc0c698fad5a479347380bc7ea2c0edeb6a318">
          <item id="ee49b5fec9a9a8a3f2d78d21d83fed43593d03dc" isNormal="1">
            <s:text>
              <s:r>
                <s:t xml:space="preserve">Administrator:
1403319 5/24 414pcs
杨b4
</s:t>
              </s:r>
            </s:text>
          </item>
        </commentChain>
      </unresolved>
      <resolved/>
    </commentChains>
    <commentChains s:ref="AL1385" rgbClr="FF0000">
      <unresolved>
        <commentChain chainId="0098b7f5b61047611f114d9117cd37fb78f405db">
          <item id="e53b8a9084ce7c3fd62643f16a582940c435dd6c" isNormal="1">
            <s:text>
              <s:r>
                <s:t xml:space="preserve">Administrator:
5/11 WIC 贴纸 414pcs
PDQ折页 69pcs
</s:t>
              </s:r>
            </s:text>
          </item>
        </commentChain>
      </unresolved>
      <resolved/>
    </commentChains>
    <commentChains s:ref="AI1386" rgbClr="FF0000">
      <unresolved>
        <commentChain chainId="1e9b70b40f6a85c2df875733ccca932d8576bbe8">
          <item id="26655c13ad16e172acc296df9ab60a733186bd7f" isNormal="1">
            <s:text>
              <s:r>
                <s:t xml:space="preserve">Administrator:
1403319 5/24 2454pcs
杨b4
</s:t>
              </s:r>
            </s:text>
          </item>
        </commentChain>
      </unresolved>
      <resolved/>
    </commentChains>
    <commentChains s:ref="AL1386" rgbClr="FF0000">
      <unresolved>
        <commentChain chainId="a0b6e82a0bfb66ca0b5e9a9899869a5871fc4084">
          <item id="4e62a0aa75c8ce1822442e2972ed4bdc4033d7bc" isNormal="1">
            <s:text>
              <s:r>
                <s:t xml:space="preserve">Administrator:
5/11 WIC 贴纸 2454pcs
PDQ折页 409pcs
</s:t>
              </s:r>
            </s:text>
          </item>
        </commentChain>
      </unresolved>
      <resolved/>
    </commentChains>
    <commentChains s:ref="AI1387" rgbClr="FF0000">
      <unresolved>
        <commentChain chainId="36e7a2324f7c3d07491230fb351a483c8b447b77">
          <item id="7bd690abd0557ddb897f55adf747cd83aa50a099" isNormal="1">
            <s:text>
              <s:r>
                <s:t xml:space="preserve">Administrator:
1403319 5/24 318pcs
杨b4
</s:t>
              </s:r>
            </s:text>
          </item>
        </commentChain>
      </unresolved>
      <resolved/>
    </commentChains>
    <commentChains s:ref="AL1387" rgbClr="FF0000">
      <unresolved>
        <commentChain chainId="6ff577410070e58724de7d245f2b3c665b9cacfe">
          <item id="e6609369782b7339f0c850cf662524ad65a1d4d8" isNormal="1">
            <s:text>
              <s:r>
                <s:t xml:space="preserve">Administrator:
5/11 WIC 贴纸 318pcs
PDQ折页 53pcs
</s:t>
              </s:r>
            </s:text>
          </item>
        </commentChain>
      </unresolved>
      <resolved/>
    </commentChains>
    <commentChains s:ref="AI1388" rgbClr="FF0000">
      <unresolved>
        <commentChain chainId="1d2b24026a0d21a697417860be55cc26ea7579eb">
          <item id="81f35e3084cdefad353baa4e65613fb4d82ae7fa" isNormal="1">
            <s:text>
              <s:r>
                <s:t xml:space="preserve">Administrator:
1403315 5/22 600pcs新b3</s:t>
              </s:r>
            </s:text>
          </item>
        </commentChain>
      </unresolved>
      <resolved/>
    </commentChains>
    <commentChains s:ref="AL1388" rgbClr="FF0000">
      <unresolved>
        <commentChain chainId="6dfb2a3ed138a0f0561f77b6183a5fe284c2aa19">
          <item id="7c4dad9b3eb1d0695104993090a3ecd099f92229" isNormal="1">
            <s:text>
              <s:r>
                <s:t xml:space="preserve">Administrator:
5/8 客户款号EAN条码贴纸 600pcs
空白贴纸 1200pcs
德语警告语贴纸 1200pcs</s:t>
              </s:r>
            </s:text>
          </item>
        </commentChain>
      </unresolved>
      <resolved/>
    </commentChains>
    <commentChains s:ref="AI1389" rgbClr="FF0000">
      <unresolved>
        <commentChain chainId="fc541eaeb44b7718fa2b86479ff1d531ad4d5dbc">
          <item id="26cc5d8a92fe0b9555eb226a8c32932995ea9ab1" isNormal="1">
            <s:text>
              <s:r>
                <s:t xml:space="preserve">Administrator:
3001642 5/24 2004pcs
张顶b1</s:t>
              </s:r>
            </s:text>
          </item>
        </commentChain>
      </unresolved>
      <resolved/>
    </commentChains>
    <commentChains s:ref="AL1389" rgbClr="FF0000">
      <unresolved>
        <commentChain chainId="ad75626181d0504d0f354fa33030cc187cd3ed0a">
          <item id="45309e687daf50557a14f9b2f5644e4c52c53f01" isNormal="1">
            <s:text>
              <s:r>
                <s:t xml:space="preserve">Administrator:
4/14 客供价格贴纸 2100pcs</s:t>
              </s:r>
            </s:text>
          </item>
        </commentChain>
      </unresolved>
      <resolved/>
    </commentChains>
    <commentChains s:ref="AI1390" rgbClr="FF0000">
      <unresolved>
        <commentChain chainId="60283fd89c0d7cebab9acf08c369e7b47f21aa70">
          <item id="6d960c3b999a594d9a687fcc651c0c45a7b25d32" isNormal="1">
            <s:text>
              <s:r>
                <s:t xml:space="preserve">Administrator:
1403319 5/24 3000pcs
杨b14</s:t>
              </s:r>
            </s:text>
          </item>
        </commentChain>
      </unresolved>
      <resolved/>
    </commentChains>
    <commentChains s:ref="AL1390" rgbClr="FF0000">
      <unresolved>
        <commentChain chainId="a2cab438252eb4070cdccec12d2a2063ec1073f5">
          <item id="d49277aeaa485c26bde01a560dadd0176b2e1198" isNormal="1">
            <s:text>
              <s:r>
                <s:t xml:space="preserve">Administrator:
4/14 客供价格贴纸 3150pcs 
</s:t>
              </s:r>
            </s:text>
          </item>
        </commentChain>
      </unresolved>
      <resolved/>
    </commentChains>
    <commentChains s:ref="AI1391" rgbClr="FF0000">
      <unresolved>
        <commentChain chainId="fd739d3782851f19d129161933a65f17dfffaf5f">
          <item id="577d2da70eb3f9711df73dba34f52f3b8d8b83f0" isNormal="1">
            <s:text>
              <s:r>
                <s:t xml:space="preserve">Administrator:
1403285 5/20 2500pcs
张a6</s:t>
              </s:r>
            </s:text>
          </item>
        </commentChain>
      </unresolved>
      <resolved/>
    </commentChains>
    <commentChains s:ref="AL1391" rgbClr="FF0000">
      <unresolved>
        <commentChain chainId="32ce37611bf7ea5de33599a1d85435db772ae153">
          <item id="828519895644b99e13c397d20e366cb44c7c0572" isNormal="1">
            <s:text>
              <s:r>
                <s:t xml:space="preserve">Administrator:
4/21 挪威语警告语贴纸 2500pcs</s:t>
              </s:r>
            </s:text>
          </item>
        </commentChain>
      </unresolved>
      <resolved/>
    </commentChains>
    <commentChains s:ref="AI1392" rgbClr="FF0000">
      <unresolved>
        <commentChain chainId="ea20e63fba81b162971d58f62cf351b4a8394990">
          <item id="23ddbb33829fb0d92526c675057328015b029f29" isNormal="1">
            <s:text>
              <s:r>
                <s:t xml:space="preserve">Administrator:
2800031 5/27 7241pcs</s:t>
              </s:r>
            </s:text>
          </item>
        </commentChain>
      </unresolved>
      <resolved/>
    </commentChains>
    <commentChains s:ref="AL1392" rgbClr="FF0000">
      <unresolved>
        <commentChain chainId="e6ffd75726a08cc19be859f69f9697536c448f01">
          <item id="90457d5d9c77154fa05cf98c47fcb7d718a61153" isNormal="1">
            <s:text>
              <s:r>
                <s:t xml:space="preserve">Administrator:
5/8 PDQ贴纸 557pcs
5/11 进口商贴纸 7241pcs</s:t>
              </s:r>
            </s:text>
          </item>
        </commentChain>
      </unresolved>
      <resolved/>
    </commentChains>
    <commentChains s:ref="AI1393" rgbClr="FF0000">
      <unresolved>
        <commentChain chainId="89b6b8eee7221540c024e0fd726f7c8b4abfd231">
          <item id="72eaadfd7b45d0b83d0c957a713f600f72156b3a" isNormal="1">
            <s:text>
              <s:r>
                <s:t xml:space="preserve">Administrator:
2800001 5/27 1380pcs</s:t>
              </s:r>
            </s:text>
          </item>
          <item id="ca8a72a5f34086be69dc1171c3201cd1bd88efd7" userID="1851561945" userName="石玉珍" dateTime="2026-05-31T06:46:14" isNormal="0">
            <s:text>
              <s:r>
                <s:t xml:space="preserve">2800016 5/28 6840pcs</s:t>
              </s:r>
            </s:text>
          </item>
        </commentChain>
      </unresolved>
      <resolved/>
    </commentChains>
    <commentChains s:ref="AL1393" rgbClr="FF0000">
      <unresolved>
        <commentChain chainId="a3656487451de0cfeded1af2e61836799e050e93">
          <item id="73af08098bc2d7f1b5e5057b93fe1c6290059359" isNormal="1">
            <s:text>
              <s:r>
                <s:t xml:space="preserve">Administrator:
5/8 展示架贴纸 274pcs
5/13 进口商贴纸 8220pcs</s:t>
              </s:r>
            </s:text>
          </item>
        </commentChain>
      </unresolved>
      <resolved/>
    </commentChains>
    <commentChains s:ref="AI1394" rgbClr="FF0000">
      <unresolved>
        <commentChain chainId="7406caf6074b0106f59ab61de9b562af52708d4b">
          <item id="8a844def924c36c4950175b9c574cea33c1652fa" isNormal="1">
            <s:text>
              <s:r>
                <s:t xml:space="preserve">Administrator:
1403338 5/26 2860pcs</s:t>
              </s:r>
            </s:text>
          </item>
        </commentChain>
      </unresolved>
      <resolved/>
    </commentChains>
    <commentChains s:ref="AL1394" rgbClr="FF0000">
      <unresolved>
        <commentChain chainId="80c40c6749960073f282b8ad764e2f84d921f08b">
          <item id="aa9dc84f5e662eb1126feae0af3e7848a5a9e1b4" isNormal="1">
            <s:text>
              <s:r>
                <s:t xml:space="preserve">Administrator:
5/11 大语警告语贴 4885pcs
小语警告语贴 34195pcs两单共上 
5/13 多语折叠警告语贴纸 2860pcs</s:t>
              </s:r>
            </s:text>
          </item>
        </commentChain>
      </unresolved>
      <resolved/>
    </commentChains>
    <commentChains s:ref="AI1395" rgbClr="FF0000">
      <unresolved>
        <commentChain chainId="fc28007266e88eb752da40730624ed659c55284d">
          <item id="6e54e900a3040bdfbf9437b2fd6667c497d7af6e" isNormal="1">
            <s:text>
              <s:r>
                <s:t xml:space="preserve">Administrator:
1403338 5/26 2025pcs
</s:t>
              </s:r>
            </s:text>
          </item>
        </commentChain>
      </unresolved>
      <resolved/>
    </commentChains>
    <commentChains s:ref="AL1395" rgbClr="FF0000">
      <unresolved>
        <commentChain chainId="70e3632d0169c63b5a58429fc33d6609b3e1d0f3">
          <item id="61ea8365b9a2ea87bbd0141a639ec653c4c62096" isNormal="1">
            <s:text>
              <s:r>
                <s:t xml:space="preserve">Administrator:
5/11 大语警告语贴 2025pcs
小语警告语贴 pcs
5/13 多语折叠警告语贴纸 2025pcs
</s:t>
              </s:r>
            </s:text>
          </item>
        </commentChain>
      </unresolved>
      <resolved/>
    </commentChains>
    <commentChains s:ref="AI1396" rgbClr="FF0000">
      <unresolved>
        <commentChain chainId="d7bc3df1ddf96ed4c529e959c6f854724863c9ae">
          <item id="b524055d522f4333106cc2c71ad3b243a4dde22c" isNormal="1">
            <s:text>
              <s:r>
                <s:t xml:space="preserve">Administrator:
1403338 5/26 2600pcs
</s:t>
              </s:r>
            </s:text>
          </item>
        </commentChain>
      </unresolved>
      <resolved/>
    </commentChains>
    <commentChains s:ref="AL1396" rgbClr="FF0000">
      <unresolved>
        <commentChain chainId="287ff5f0fc7a27a2270e08455622a980a4acfa59">
          <item id="bda114b56a96953b42408d94b57dd70a80885574" isNormal="1">
            <s:text>
              <s:r>
                <s:t xml:space="preserve">Administrator:
5/8 四国警告语贴纸 2600pcs
UPC条码贴纸 2600pcs</s:t>
              </s:r>
            </s:text>
          </item>
        </commentChain>
      </unresolved>
      <resolved/>
    </commentChains>
    <commentChains s:ref="AI1397" rgbClr="FF0000">
      <unresolved>
        <commentChain chainId="d593ea1dc38e59cfd81acc93e7aea858a0cb6509">
          <item id="3207750db6958eced7615d152c021cf24aa242ed" isNormal="1">
            <s:text>
              <s:r>
                <s:t xml:space="preserve">Administrator:
1403338 5/26 7000pcs
</s:t>
              </s:r>
            </s:text>
          </item>
        </commentChain>
      </unresolved>
      <resolved/>
    </commentChains>
    <commentChains s:ref="AL1397" rgbClr="FF0000">
      <unresolved>
        <commentChain chainId="1cc1bac111ba50471f7c8a759221a72cded5b140">
          <item id="6cfd6450d85863ad5795147ac4ed1b4ca32ff467" isNormal="1">
            <s:text>
              <s:r>
                <s:t xml:space="preserve">Administrator:
5/11 进口商贴纸 7000pcs
UPC贴纸 7000pcs
5/18 客供价格贴纸 7000pcs
</s:t>
              </s:r>
            </s:text>
          </item>
        </commentChain>
      </unresolved>
      <resolved/>
    </commentChains>
    <commentChains s:ref="AI1398" rgbClr="FF0000">
      <unresolved>
        <commentChain chainId="1f4808c90c91d54fd16436263408001e537f9b28">
          <item id="e44273776461f0b413956c3c09da0cae99d9766d" isNormal="1">
            <s:text>
              <s:r>
                <s:t xml:space="preserve">Administrator:
1403362 5/24 47508pcs张顶a3</s:t>
              </s:r>
            </s:text>
          </item>
        </commentChain>
      </unresolved>
      <resolved/>
    </commentChains>
    <commentChains s:ref="AL1398" rgbClr="FF0000">
      <unresolved>
        <commentChain chainId="1a775f484fc2c479fd004d3c347eaf45da60e1de">
          <item id="f2cf94f20e47845ba03be3c9ad77ef09dfb6f920" isNormal="1">
            <s:text>
              <s:r>
                <s:t xml:space="preserve">Administrator:
4/23 彩色贴纸 14236pcs
5/19 彩色贴纸  1600pcs</s:t>
              </s:r>
            </s:text>
          </item>
        </commentChain>
      </unresolved>
      <resolved/>
    </commentChains>
    <commentChains s:ref="AI1399" rgbClr="FF0000">
      <unresolved>
        <commentChain chainId="e8e77530b8a550939acbdb22963498ca0aae7c8e">
          <item id="45d56b4155bf5efba72c497a8bb84e3992e17548" userID="1851561945" userName="石玉珍" dateTime="2026-06-03T12:29:02" isNormal="0">
            <s:text>
              <s:r>
                <s:t xml:space="preserve">2800102 6/2 150pcs</s:t>
              </s:r>
            </s:text>
          </item>
        </commentChain>
      </unresolved>
      <resolved/>
    </commentChains>
    <commentChains s:ref="AI1400" rgbClr="FF0000">
      <unresolved>
        <commentChain chainId="0b1f2cc7263b8d6f14e252e91ef7ac2bfa387e7a">
          <item id="5946ae977743272d6f3d8d49e52eb851734dc168" userID="1851561945" userName="石玉珍" dateTime="2026-06-03T12:29:07" isNormal="0">
            <s:text>
              <s:r>
                <s:t xml:space="preserve">2800102 6/2 3100pcs</s:t>
              </s:r>
            </s:text>
          </item>
        </commentChain>
      </unresolved>
      <resolved/>
    </commentChains>
    <commentChains s:ref="AI1401" rgbClr="FF0000">
      <unresolved>
        <commentChain chainId="aebaac016a76c73814890f00e386379eca885f57">
          <item id="7027034f69dfc50abe09d176ce2f914c4c4fe9ab" userID="1851561945" userName="石玉珍" dateTime="2026-06-03T12:29:11" isNormal="0">
            <s:text>
              <s:r>
                <s:t xml:space="preserve">2800102 6/2 300pcs</s:t>
              </s:r>
            </s:text>
          </item>
        </commentChain>
      </unresolved>
      <resolved/>
    </commentChains>
    <commentChains s:ref="AI1402" rgbClr="FF0000">
      <unresolved>
        <commentChain chainId="849d77fea8b4d14fad3ee0e4271025c524bdcb72">
          <item id="fd07d48564b6f59f7a0cf62ba4e58cbafef69958" userID="1851561945" userName="石玉珍" dateTime="2026-06-03T12:30:00" isNormal="0">
            <s:text>
              <s:r>
                <s:t xml:space="preserve">2800102 6/2 50pcs</s:t>
              </s:r>
            </s:text>
          </item>
        </commentChain>
      </unresolved>
      <resolved/>
    </commentChains>
    <commentChains s:ref="AI1403" rgbClr="FF0000">
      <unresolved>
        <commentChain chainId="d1c662f07f4f9fdd8d86b89413eea1dc53f367c5">
          <item id="f4132824e37ba3c736dc8f853acd7bb0509ef0d5" userID="1851561945" userName="石玉珍" dateTime="2026-06-03T12:30:05" isNormal="0">
            <s:text>
              <s:r>
                <s:t xml:space="preserve">2800102 6/2 5100pcs</s:t>
              </s:r>
            </s:text>
          </item>
        </commentChain>
      </unresolved>
      <resolved/>
    </commentChains>
    <commentChains s:ref="AI1404" rgbClr="FF0000">
      <unresolved>
        <commentChain chainId="ac1049b65f8455c769393e56f60f312ecc17c448">
          <item id="8e0ff7fa502e7926ed1eb376c1c018173a449f73" userID="1851561945" userName="石玉珍" dateTime="2026-06-03T12:30:09" isNormal="0">
            <s:text>
              <s:r>
                <s:t xml:space="preserve">2800102 6/2 200pcs</s:t>
              </s:r>
            </s:text>
          </item>
        </commentChain>
      </unresolved>
      <resolved/>
    </commentChains>
    <commentChains s:ref="AI1405" rgbClr="FF0000">
      <unresolved>
        <commentChain chainId="b1ba9b5567495d64e6f9b8347d2f4c3ec5aa98eb">
          <item id="dc5319e76308fd411aa9fab05950beed77210f08" isNormal="1">
            <s:text>
              <s:r>
                <s:t xml:space="preserve">Administrator:
1403319 5/24 1512pcs杨b14</s:t>
              </s:r>
            </s:text>
          </item>
        </commentChain>
      </unresolved>
      <resolved/>
    </commentChains>
    <commentChains s:ref="AL1405" rgbClr="FF0000">
      <unresolved>
        <commentChain chainId="e2b82fcf75139915c2509bd88674ec23b84c7089">
          <item id="24dcc612c33cb2b9cd0e8830ee028680501a72a8" isNormal="1">
            <s:text>
              <s:r>
                <s:t xml:space="preserve">Administrator:
5/5 cat label 1512pcs
UPC条码贴纸 1512pcs</s:t>
              </s:r>
            </s:text>
          </item>
        </commentChain>
      </unresolved>
      <resolved/>
    </commentChains>
    <commentChains s:ref="AI1406" rgbClr="FF0000">
      <unresolved>
        <commentChain chainId="c9309ee27b23d1202519e2406f66daf82e71cfed">
          <item id="eecb2744b428e7596b5ef41a5b330bc3314e9fd0" isNormal="1">
            <s:text>
              <s:r>
                <s:t xml:space="preserve">Administrator:
3001642 5/24 3300pcs
张顶b4</s:t>
              </s:r>
            </s:text>
          </item>
        </commentChain>
      </unresolved>
      <resolved/>
    </commentChains>
    <commentChains s:ref="AL1406" rgbClr="FF0000">
      <unresolved>
        <commentChain chainId="4b879bf09776db0a8fdbf388ad7b1df09aa2c98e">
          <item id="ffee2056b4443ed92a765f4d053f4de5fb0f3746" isNormal="1">
            <s:text>
              <s:r>
                <s:t xml:space="preserve">Administrator:
4/8 DC运输貼纸 132pcs
4/13 PDQ标识贴纸 132pcs
</s:t>
              </s:r>
            </s:text>
          </item>
        </commentChain>
      </unresolved>
      <resolved/>
    </commentChains>
    <commentChains s:ref="AI1407" rgbClr="FF0000">
      <unresolved>
        <commentChain chainId="ae30e4580416aa2935b89e9a378c617778f924eb">
          <item id="08412c5684e4ffb6ddee1b69906f666a0dbeed02" isNormal="1">
            <s:text>
              <s:r>
                <s:t xml:space="preserve">Administrator:
1403373 5/27 960pcs</s:t>
              </s:r>
            </s:text>
          </item>
        </commentChain>
      </unresolved>
      <resolved/>
    </commentChains>
    <commentChains s:ref="AL1407" rgbClr="FF0000">
      <unresolved>
        <commentChain chainId="b63012809fadf31d0d53629a1c64ed551b925386">
          <item id="5a3f516b6c1bd981f30455a718ac73cb22107af6" isNormal="1">
            <s:text>
              <s:r>
                <s:t xml:space="preserve">Administrator:
4/20 客供RID贴纸 960pcs
</s:t>
              </s:r>
            </s:text>
          </item>
        </commentChain>
      </unresolved>
      <resolved/>
    </commentChains>
    <commentChains s:ref="AI1408" rgbClr="FF0000">
      <unresolved>
        <commentChain chainId="e99eb8088be3021088374e3decf6c5bd80120c3e">
          <item id="a3a92c68925408ed060a52280198f30a59f9f3e7" isNormal="1">
            <s:text>
              <s:r>
                <s:t xml:space="preserve">Administrator:
1403373 5/27 2880pcs
</s:t>
              </s:r>
            </s:text>
          </item>
        </commentChain>
      </unresolved>
      <resolved/>
    </commentChains>
    <commentChains s:ref="AL1408" rgbClr="FF0000">
      <unresolved>
        <commentChain chainId="b842970e5dd2f7cdf0654e1757a7059801a0a1b1">
          <item id="a3683af092bd2923294c8467139876ee3c76ddea" isNormal="1">
            <s:text>
              <s:r>
                <s:t xml:space="preserve">Administrator:
4/20 客供RID贴纸 2880pcs
</s:t>
              </s:r>
            </s:text>
          </item>
        </commentChain>
      </unresolved>
      <resolved/>
    </commentChains>
    <commentChains s:ref="AI1409" rgbClr="FF0000">
      <unresolved>
        <commentChain chainId="65e8a2bc26ae318f9a1ffe8bcefabbb3fc83af11">
          <item id="baa0a1e05bc6f1721d700dcf292dd061cde0cb1f" isNormal="1">
            <s:text>
              <s:r>
                <s:t xml:space="preserve">Administrator:
1403373 5/27 5760pcs
</s:t>
              </s:r>
            </s:text>
          </item>
        </commentChain>
      </unresolved>
      <resolved/>
    </commentChains>
    <commentChains s:ref="AL1409" rgbClr="FF0000">
      <unresolved>
        <commentChain chainId="39ad21b221bcff0f9aa2cceb7028c1d7bea0ba7a">
          <item id="d45d7eea2876a73f2704b8017582830930002914" isNormal="1">
            <s:text>
              <s:r>
                <s:t xml:space="preserve">Administrator:
4/20 客供RID贴纸 5760pcs</s:t>
              </s:r>
            </s:text>
          </item>
        </commentChain>
      </unresolved>
      <resolved/>
    </commentChains>
    <commentChains s:ref="AI1410" rgbClr="FF0000">
      <unresolved>
        <commentChain chainId="e6379a1466ac1c92ce18d83b276b0298685f96b2">
          <item id="17a10eea9ada35663791ddc5d69ac666a4891661" isNormal="1">
            <s:text>
              <s:r>
                <s:t xml:space="preserve">Administrator:
1403373 5/27 9600pcs
</s:t>
              </s:r>
            </s:text>
          </item>
        </commentChain>
      </unresolved>
      <resolved/>
    </commentChains>
    <commentChains s:ref="AL1410" rgbClr="FF0000">
      <unresolved>
        <commentChain chainId="7aeb809429a2ccb5756c47570cfa63ec893091fc">
          <item id="a8420b48fba6b196d2fd196328db695bb30a42ea" isNormal="1">
            <s:text>
              <s:r>
                <s:t xml:space="preserve">Administrator:
4/20 客供RID贴纸 9600pcs
</s:t>
              </s:r>
            </s:text>
          </item>
        </commentChain>
      </unresolved>
      <resolved/>
    </commentChains>
    <commentChains s:ref="AI1411" rgbClr="FF0000">
      <unresolved>
        <commentChain chainId="526ad3e54d6bceaffdbd4889885863f1b423b4af">
          <item id="2295eb23d8127a0e57ffb4869b2e9c005b3b51f7" isNormal="1">
            <s:text>
              <s:r>
                <s:t xml:space="preserve">Administrator:
1403373 5/27 10560pcs
</s:t>
              </s:r>
            </s:text>
          </item>
        </commentChain>
      </unresolved>
      <resolved/>
    </commentChains>
    <commentChains s:ref="AL1411" rgbClr="FF0000">
      <unresolved>
        <commentChain chainId="a388c6e224b454353a35f9d2e8901690042911d1">
          <item id="6c3101d0db284c8688797be63b65cf2a8c877cb3" isNormal="1">
            <s:text>
              <s:r>
                <s:t xml:space="preserve">Administrator:
4/20 客供RID贴纸10560pcs
</s:t>
              </s:r>
            </s:text>
          </item>
        </commentChain>
      </unresolved>
      <resolved/>
    </commentChains>
    <commentChains s:ref="AI1412" rgbClr="FF0000">
      <unresolved>
        <commentChain chainId="4fa9e07db96301202ca0f16cebaac73883e00814">
          <item id="9e290c1eda426b23eb8d3c35dd2b0a3ddfe1cd6e" isNormal="1">
            <s:text>
              <s:r>
                <s:t xml:space="preserve">Administrator:
1403373 5/27 13440pcs
</s:t>
              </s:r>
            </s:text>
          </item>
        </commentChain>
      </unresolved>
      <resolved/>
    </commentChains>
    <commentChains s:ref="AL1412" rgbClr="FF0000">
      <unresolved>
        <commentChain chainId="e81028be4977560b1adea13d04ef1e8a14ef26af">
          <item id="ecf6ee2ca1d85e941311b9662e9a59135ab8f2e7" isNormal="1">
            <s:text>
              <s:r>
                <s:t xml:space="preserve">Administrator:
4/20 客供RID贴纸134400pcs
</s:t>
              </s:r>
            </s:text>
          </item>
        </commentChain>
      </unresolved>
      <resolved/>
    </commentChains>
    <commentChains s:ref="AI1413" rgbClr="FF0000">
      <unresolved>
        <commentChain chainId="8d4562df8c1075c65f40b00510bbaeff3e185704">
          <item id="12c3f10b690e57439b865826de0b8ef1ae77fe28" isNormal="1">
            <s:text>
              <s:r>
                <s:t xml:space="preserve">Administrator:
1406136 5/22 3186pcs新b13</s:t>
              </s:r>
            </s:text>
          </item>
        </commentChain>
      </unresolved>
      <resolved/>
    </commentChains>
    <commentChains s:ref="AL1413" rgbClr="FF0000">
      <unresolved>
        <commentChain chainId="12c1ce53aec4a27e35d6e45d0cade01b803c1e3e">
          <item id="fd6a42f6cc1f37bb291dcece9d784a225e4705de" isNormal="1">
            <s:text>
              <s:r>
                <s:t xml:space="preserve">Administrator:
5/11 Kmart外箱贴纸 531pcs 
收缩膜+说明书纽扣电池警告语贴纸 3186pcs</s:t>
              </s:r>
            </s:text>
          </item>
        </commentChain>
      </unresolved>
      <resolved/>
    </commentChains>
    <commentChains s:ref="AI1414" rgbClr="FF0000">
      <unresolved>
        <commentChain chainId="e04f4253030454d69b1711696ed2d96a39c5a40a">
          <item id="d2e41bd4175cd3ad03a4d82db1c1b5fb320b6e16" isNormal="1">
            <s:text>
              <s:r>
                <s:t xml:space="preserve">Administrator:
1406136 5/22 318pcs新b1</s:t>
              </s:r>
            </s:text>
          </item>
        </commentChain>
      </unresolved>
      <resolved/>
    </commentChains>
    <commentChains s:ref="AL1414" rgbClr="FF0000">
      <unresolved>
        <commentChain chainId="fb04cd1539e69a5ade1e51af50f9d139440cc8b8">
          <item id="ad57561493245d87c44aee42d36e043b6d612cbe" isNormal="1">
            <s:text>
              <s:r>
                <s:t xml:space="preserve">Administrator:
5/11 Kmart外箱贴纸 53pcs
收缩膜+说明书纽扣电池警告语贴纸 318pcs</s:t>
              </s:r>
            </s:text>
          </item>
        </commentChain>
      </unresolved>
      <resolved/>
    </commentChains>
    <commentChains s:ref="AI1415" rgbClr="FF0000">
      <unresolved>
        <commentChain chainId="7a43a55453dcc653721a11729b2a9703a6096f78">
          <item id="b41a45ebec6a5d58f4077f977772a3fa42a8e5ba" isNormal="1">
            <s:text>
              <s:r>
                <s:t xml:space="preserve">Administrator:
1403351 5/25 32pcs
1403374 5/26 8352pcs</s:t>
              </s:r>
            </s:text>
          </item>
        </commentChain>
      </unresolved>
      <resolved/>
    </commentChains>
    <commentChains s:ref="AI1416" rgbClr="FF0000">
      <unresolved>
        <commentChain chainId="84fae24bf7d0bf0f14f30b0c8fdbe4bd9bc89cb6">
          <item id="be7341a403a7f33877500194636c5acd38284258" isNormal="1">
            <s:text>
              <s:r>
                <s:t xml:space="preserve">Administrator:
1406117 5/24 1200pcs
张顶a7</s:t>
              </s:r>
            </s:text>
          </item>
        </commentChain>
      </unresolved>
      <resolved/>
    </commentChains>
    <commentChains s:ref="AL1416" rgbClr="FF0000">
      <unresolved>
        <commentChain chainId="1fc87bc74472951dc5391f6596820a90c7eddbec">
          <item id="7dd8e107f2a4570d95e0d23bf252d4b1d54642fb" isNormal="1">
            <s:text>
              <s:r>
                <s:t xml:space="preserve">Administrator:
4/25 警告语贴纸 1200pcs 
4/29 客供价格贴纸 1260pcs</s:t>
              </s:r>
            </s:text>
          </item>
        </commentChain>
      </unresolved>
      <resolved/>
    </commentChains>
    <commentChains s:ref="AI1417" rgbClr="FF0000">
      <unresolved>
        <commentChain chainId="59195d4737613d816a21565f958d836d794aaedc">
          <item id="f511b2fc31091c42c86a15ae630fc30a40592bf9" isNormal="1">
            <s:text>
              <s:r>
                <s:t xml:space="preserve">Administrator:
1403325 5/24 2028pcs杨a9</s:t>
              </s:r>
            </s:text>
          </item>
        </commentChain>
      </unresolved>
      <resolved/>
    </commentChains>
    <commentChains s:ref="AL1417" rgbClr="FF0000">
      <unresolved>
        <commentChain chainId="b3ca6437f393ab40dee2ca8d007014c71717d1b6">
          <item id="95deb49f17806959008978ff676c242aa0ceacbf" isNormal="1">
            <s:text>
              <s:r>
                <s:t xml:space="preserve">Administrator:
4/29 客供价格贴纸 2130pcs</s:t>
              </s:r>
            </s:text>
          </item>
        </commentChain>
      </unresolved>
      <resolved/>
    </commentChains>
    <commentChains s:ref="AI1418" rgbClr="FF0000">
      <unresolved>
        <commentChain chainId="a494281917e3c8c5f06d313c8a30d9dc9f1566bb">
          <item id="f2e5d2cd0ddac2130080f3f97963c2e963db9dad" isNormal="1">
            <s:text>
              <s:r>
                <s:t xml:space="preserve">Administrator:
1406117 5/24 2004pcs
张顶a8</s:t>
              </s:r>
            </s:text>
          </item>
        </commentChain>
      </unresolved>
      <resolved/>
    </commentChains>
    <commentChains s:ref="AL1418" rgbClr="FF0000">
      <unresolved>
        <commentChain chainId="d1fc6856765a180b91fed22025029aeb12893e38">
          <item id="ccc082e504a691c5c664600e3781b2ccf8aee476" isNormal="1">
            <s:text>
              <s:r>
                <s:t xml:space="preserve">Administrator:
4/29 客供价格贴纸 2105pcs
</s:t>
              </s:r>
            </s:text>
          </item>
        </commentChain>
      </unresolved>
      <resolved/>
    </commentChains>
    <commentChains s:ref="AI1420" rgbClr="FF0000">
      <unresolved>
        <commentChain chainId="eaf1fd69c4fdc2f679e4060332d33469f3f56b78">
          <item id="b58c545846b567aef2d560987a58208563a75160" isNormal="1">
            <s:text>
              <s:r>
                <s:t xml:space="preserve">Administrator:
2800029 5/27 1560pcs</s:t>
              </s:r>
            </s:text>
          </item>
        </commentChain>
      </unresolved>
      <resolved/>
    </commentChains>
    <commentChains s:ref="AL1420" rgbClr="FF0000">
      <unresolved>
        <commentChain chainId="f095d095fa196f07b4599b0bd2841d78dc4b3141">
          <item id="1f905e88f19205d1c5add39a9703b986d7c27bc7" isNormal="1">
            <s:text>
              <s:r>
                <s:t xml:space="preserve">Administrator:
4/29 客供警语贴纸贴球底部 1560pcs
客供警语贴纸贴收藏指南 1610pcs
客供警语贴纸贴说明书 1610pcs</s:t>
              </s:r>
            </s:text>
          </item>
        </commentChain>
      </unresolved>
      <resolved/>
    </commentChains>
    <commentChains s:ref="AI1421" rgbClr="FF0000">
      <unresolved>
        <commentChain chainId="2dff3ba58b5a0cbaf8e15a36d8e7d6d10b035feb">
          <item id="9988e13296a9d25128fbc3a9ab973d2f81036d7c" isNormal="1">
            <s:text>
              <s:r>
                <s:t xml:space="preserve">Administrator:
2800029 5/27 1200pcs
</s:t>
              </s:r>
            </s:text>
          </item>
        </commentChain>
      </unresolved>
      <resolved/>
    </commentChains>
    <commentChains s:ref="AL1421" rgbClr="FF0000">
      <unresolved>
        <commentChain chainId="9729f09c06daa70ec567a2c98f67fc0929450d8d">
          <item id="96bf4280e3e2b83933e40ee7814a4977ec81dad7" isNormal="1">
            <s:text>
              <s:r>
                <s:t xml:space="preserve">Administrator:
4/25 UPC条码贴纸 1200pcs
4/25 空白贴纸 2400pcs
 4/29 客供电池警语贴纸 2478pcs
客供警语贴纸贴彩盒冰箱 2478pcs
客供警语贴纸贴球底部 2478pcs
客供警语贴纸贴收藏指南 2478pcs
客供警语贴纸贴说明书 2478pcs
客供中文警告说明书 1236pcs</s:t>
              </s:r>
            </s:text>
          </item>
        </commentChain>
      </unresolved>
      <resolved/>
    </commentChains>
    <commentChains s:ref="AI1422" rgbClr="FF0000">
      <unresolved>
        <commentChain chainId="785d112ef7cba3f3f9f86088d6d2a55e36abd729">
          <item id="8223fc58d36282bc68ad2546fd36a3fd5d735ab4" userID="1851561945" userName="石玉珍" dateTime="2026-05-31T08:19:31" isNormal="0">
            <s:text>
              <s:r>
                <s:t xml:space="preserve">4001823 5/29 2520pcs应兴a6</s:t>
              </s:r>
            </s:text>
          </item>
          <item id="1fdc8ffad3dd89cfabbe9baa2df7569ba2bf5a73" userID="1851561945" userName="石玉珍" dateTime="2026-06-02T03:48:14" isNormal="0">
            <s:text>
              <s:r>
                <s:t xml:space="preserve">4001823 5/29 36pcs 杨a6</s:t>
              </s:r>
            </s:text>
          </item>
        </commentChain>
      </unresolved>
      <resolved/>
    </commentChains>
    <commentChains s:ref="AL1422" rgbClr="FF0000">
      <unresolved>
        <commentChain chainId="90c2a3670dffc8110ed28cb075ab5d62fc2162d1">
          <item id="8c58940d8e6f60b4eaf97c06fd9b0ea925f0cfbb" isNormal="1">
            <s:text>
              <s:r>
                <s:t xml:space="preserve">Administrator:
5/11 条码贴纸 2520pcs
进口商贴纸 2520pcs
WEEE说明书纸 2520psc
产品贴纸 2520pcs
5/11 空白贴纸 5040pcs
5/16 进口商贴纸 2520pcs
5/20 条码贴纸 2520pcs
产品贴纸 2520pcs</s:t>
              </s:r>
            </s:text>
          </item>
        </commentChain>
      </unresolved>
      <resolved/>
    </commentChains>
    <commentChains s:ref="AI1423" rgbClr="FF0000">
      <unresolved>
        <commentChain chainId="4b6af76e52f0365c977ad875c4a796d81b59be53">
          <item id="28b6790032bbf6d5112234ad13831e407828977f" userID="1851561945" userName="石玉珍" dateTime="2026-05-31T08:19:11" isNormal="0">
            <s:text>
              <s:r>
                <s:t xml:space="preserve">4001823 5/29 1404pcs</s:t>
              </s:r>
            </s:text>
          </item>
          <item id="91d0c6e9217c2894eb55f5c826e25fd7743cef04" userID="1851561945" userName="石玉珍" dateTime="2026-06-02T03:48:01" isNormal="0">
            <s:text>
              <s:r>
                <s:t xml:space="preserve">杨a9</s:t>
              </s:r>
            </s:text>
          </item>
        </commentChain>
      </unresolved>
      <resolved/>
    </commentChains>
    <commentChains s:ref="AL1423" rgbClr="FF0000">
      <unresolved>
        <commentChain chainId="f842d2b1882cea3f48096a75c7902191742124e4">
          <item id="58dae91d1e31ecb7c498acdc1c2b95fa22f78ddf" isNormal="1">
            <s:text>
              <s:r>
                <s:t xml:space="preserve">Administrator:
5/12 EAN条码贴纸  1404pcs
产品贴纸 1404pcs
WEEE说明书纸 1404pcs
5/13 进口商贴纸 1404pcs
5/14 EE说明书 1404pcs（补）
5/19 进口商贴纸 1404pcs
5/20 条码贴纸 1404pcs
产品贴纸 1404pcs
5/18 进口商贴纸 1404pcs </s:t>
              </s:r>
            </s:text>
          </item>
          <item id="0b63c45c41958710315049934d5ac7112c70a6bd" userID="1851561945" userName="石玉珍" dateTime="2026-05-31T07:09:31" isNormal="0">
            <s:text>
              <s:r>
                <s:t xml:space="preserve">5/29 空白贴纸 1404pcs</s:t>
              </s:r>
            </s:text>
          </item>
        </commentChain>
      </unresolved>
      <resolved/>
    </commentChains>
    <commentChains s:ref="AI1424" rgbClr="FF0000">
      <unresolved>
        <commentChain chainId="891e63003483f4995dc72669375305e549f653a3">
          <item id="50a9e67b7c9a84e843d7dd25fb0e8968aa13b957" isNormal="1">
            <s:text>
              <s:r>
                <s:t xml:space="preserve">Administrator:
2800004 5/27 4004；pcs</s:t>
              </s:r>
            </s:text>
          </item>
        </commentChain>
      </unresolved>
      <resolved/>
    </commentChains>
    <commentChains s:ref="AL1424" rgbClr="FF0000">
      <unresolved>
        <commentChain chainId="9a3f4b740a3fded20c9cd0e8667dc8e939d8df61">
          <item id="26b388d9482909b6ed9ddd8a59b092c53327db95" isNormal="1">
            <s:text>
              <s:r>
                <s:t xml:space="preserve">Administrator:
4/29 白色防盗贴纸 4004pcs+
5/11 UPC条码贴 4524pcs</s:t>
              </s:r>
            </s:text>
          </item>
        </commentChain>
      </unresolved>
      <resolved/>
    </commentChains>
    <commentChains s:ref="AI1425" rgbClr="FF0000">
      <unresolved>
        <commentChain chainId="04043dab3422b9ed735ab2f84d21751d2de38a5c">
          <item id="f06b36fcdd005e190a7ff02e102c45e5a18cc570" isNormal="1">
            <s:text>
              <s:r>
                <s:t xml:space="preserve">Administrator:
2800024 5/27 520pcs</s:t>
              </s:r>
            </s:text>
          </item>
        </commentChain>
      </unresolved>
      <resolved/>
    </commentChains>
    <commentChains s:ref="AL1425" rgbClr="FF0000">
      <unresolved>
        <commentChain chainId="c691a145799d9533f54e859609a8007e81663ccf">
          <item id="39ab51a035f5073273c084680b6e4214b0eb4946" isNormal="1">
            <s:text>
              <s:r>
                <s:t xml:space="preserve">Administrator:
4/29 白色防盗贴纸 520pcs
5/11 Kmart外箱贴纸 40pcs 
5/11 UPC条码贴 520pca </s:t>
              </s:r>
            </s:text>
          </item>
        </commentChain>
      </unresolved>
      <resolved/>
    </commentChains>
    <commentChains s:ref="AI1426" rgbClr="FF0000">
      <unresolved>
        <commentChain chainId="4cec757a14ff92f79ee74f155f540a59c2769631">
          <item id="68149ec7e9f227e443303fa941fbf74f0c4ba0df" userID="1851561945" userName="石玉珍" dateTime="2026-05-31T06:51:06" isNormal="0">
            <s:text>
              <s:r>
                <s:t xml:space="preserve">4001821 5/28 360pcs</s:t>
              </s:r>
            </s:text>
          </item>
        </commentChain>
      </unresolved>
      <resolved/>
    </commentChains>
    <commentChains s:ref="AL1426" rgbClr="FF0000">
      <unresolved>
        <commentChain chainId="2a58e45a98c06609edb92c077e6cc74de34878f6">
          <item id="201dce2ab8db492f892b0615300cb103928938c9" isNormal="1">
            <s:text>
              <s:r>
                <s:t xml:space="preserve">Administrator:
5/8 进口商贴纸 360pcs
空白贴纸 720pcs
5/16 进口商贴纸 360pcs</s:t>
              </s:r>
            </s:text>
          </item>
          <item id="63b0d82e590762f05be700c12b2f3fa1b85838d5" userID="1851561945" userName="石玉珍" dateTime="2026-05-31T07:15:09" isNormal="0">
            <s:text>
              <s:r>
                <s:t xml:space="preserve">5/28 进口商贴纸 360pcs</s:t>
              </s:r>
            </s:text>
          </item>
        </commentChain>
      </unresolved>
      <resolved/>
    </commentChains>
    <commentChains s:ref="AI1427" rgbClr="FF0000">
      <unresolved>
        <commentChain chainId="b3e92ce290f270fd036d2248d392b74f19f3053c">
          <item id="8d1865b9cbe6e2170cf497382d7b84ded96974fe" userID="1851561945" userName="石玉珍" dateTime="2026-05-31T06:52:13" isNormal="0">
            <s:text>
              <s:r>
                <s:t xml:space="preserve">2800055 5/28 5000pcs直走</s:t>
              </s:r>
            </s:text>
          </item>
        </commentChain>
      </unresolved>
      <resolved/>
    </commentChains>
    <commentChains s:ref="AL1427" rgbClr="FF0000">
      <unresolved>
        <commentChain chainId="a6e06d65fb94401f8217c04a52919b4b1b527eff">
          <item id="60c4078b9c5c1b44887940ac9fcdaa6d6ffb5b89" isNormal="1">
            <s:text>
              <s:r>
                <s:t xml:space="preserve">Administrator:
5/4 进口商贴纸 5000pcs</s:t>
              </s:r>
            </s:text>
          </item>
        </commentChain>
      </unresolved>
      <resolved/>
    </commentChains>
    <commentChains s:ref="AI1428" rgbClr="FF0000">
      <unresolved>
        <commentChain chainId="e3dd7f66153ff1bb5a1cd8bb745f85db4cbf7600">
          <item id="15dace8408d8acbae67c0253eded06644253a33f" userID="1851561945" userName="石玉珍" dateTime="2026-05-31T08:07:10" isNormal="0">
            <s:text>
              <s:r>
                <s:t xml:space="preserve">2800067 5/29 13750pcs杨b14</s:t>
              </s:r>
            </s:text>
          </item>
        </commentChain>
      </unresolved>
      <resolved/>
    </commentChains>
    <commentChains s:ref="AL1428" rgbClr="FF0000">
      <unresolved>
        <commentChain chainId="b718d5ec398028a899cb75b4e66fac67a03b0594">
          <item id="7aba39304b8ddc61e79cdba639ab8b230f982fe0" isNormal="1">
            <s:text>
              <s:r>
                <s:t xml:space="preserve">Administrator:
4/28 UPC条码贴纸 13750pcs 
进口商贴纸 13750pcs</s:t>
              </s:r>
            </s:text>
          </item>
        </commentChain>
      </unresolved>
      <resolved/>
    </commentChains>
    <commentChains s:ref="AI1429" rgbClr="FF0000">
      <unresolved>
        <commentChain chainId="9b0e3582e17907cd8fd9b92be8fa3a7a6a327986">
          <item id="6b051d94eb73daa684b6c83b72ef40e69d1cfdb1" userID="1851561945" userName="石玉珍" dateTime="2026-05-31T06:55:31" isNormal="0">
            <s:text>
              <s:r>
                <s:t xml:space="preserve">4001822 5/28 2418pcs杨b4</s:t>
              </s:r>
            </s:text>
          </item>
          <item id="b3914d071e718c88e7b51ea9df1541cc8a4ea80a" userID="1851561945" userName="石玉珍" dateTime="2026-06-01T06:39:47" isNormal="0">
            <s:text>
              <s:r>
                <s:t xml:space="preserve">4001829 5/30 12pcs</s:t>
              </s:r>
            </s:text>
          </item>
        </commentChain>
      </unresolved>
      <resolved/>
    </commentChains>
    <commentChains s:ref="AL1429" rgbClr="FF0000">
      <unresolved>
        <commentChain chainId="68467bcbe579342db484cd47e08e17ed4eaf52f6">
          <item id="a245b8ffca25437f23433085ba26ea5a930f6558" isNormal="1">
            <s:text>
              <s:r>
                <s:t xml:space="preserve">Administrator:
5/8 条码贴纸 2418pcs
进口商贴纸 2418pcs
产品贴纸 2418pcs
WEEE说明书纸 2418ps
5/8 空白贴纸 4686pcs
5/20 条码贴纸 2418pcs
产品贴纸 2418pcs
5/18 进口商贴纸 2418pcs
</s:t>
              </s:r>
            </s:text>
          </item>
        </commentChain>
      </unresolved>
      <resolved/>
    </commentChains>
    <commentChains s:ref="AI1430" rgbClr="FF0000">
      <unresolved>
        <commentChain chainId="d65b7dc420e9cc6ee1f6521af19ca5114886b23d">
          <item id="9d5256e71a88278ac89f2b29d30981a6230ab4b5" userID="1851561945" userName="石玉珍" dateTime="2026-06-02T01:54:09" isNormal="0">
            <s:text>
              <s:r>
                <s:t xml:space="preserve">2800110 6/1 3600pcs张顶c4</s:t>
              </s:r>
            </s:text>
          </item>
        </commentChain>
      </unresolved>
      <resolved/>
    </commentChains>
    <commentChains s:ref="AL1430" rgbClr="FF0000">
      <unresolved>
        <commentChain chainId="2223a43a80aa2cb43fa68d6809eb67db4258f534">
          <item id="4140534cdcb11ef0be0bab69d0317157960583e9" isNormal="1">
            <s:text>
              <s:r>
                <s:t xml:space="preserve">Administrator:
5/4 客户进口商贴纸(含西班牙环保 3600pcs</s:t>
              </s:r>
            </s:text>
          </item>
        </commentChain>
      </unresolved>
      <resolved/>
    </commentChains>
    <commentChains s:ref="AI1431" rgbClr="FF0000">
      <unresolved>
        <commentChain chainId="d45663fd6274a29d7ef059e7a37381cf6cad63e2">
          <item id="73e99e2042b5c0464c3c7649f9d565818d3cda90" userID="1851561945" userName="石玉珍" dateTime="2026-05-31T08:23:25" isNormal="0">
            <s:text>
              <s:r>
                <s:t xml:space="preserve">2800070 5/29 1825pcs直走</s:t>
              </s:r>
            </s:text>
          </item>
        </commentChain>
      </unresolved>
      <resolved/>
    </commentChains>
    <commentChains s:ref="AL1431" rgbClr="FF0000">
      <unresolved>
        <commentChain chainId="1848f8afdeef08e6db7af9f80e1ce75991482847">
          <item id="b02472270b2bf4a891c2be24b903dbed27f99642" isNormal="1">
            <s:text>
              <s:r>
                <s:t xml:space="preserve">Administrator:
4/8 DC运输貼纸 73pcs
4/13 PDQ标识贴纸 73pcs
</s:t>
              </s:r>
            </s:text>
          </item>
        </commentChain>
      </unresolved>
      <resolved/>
    </commentChains>
    <commentChains s:ref="AI1432" rgbClr="FF0000">
      <unresolved>
        <commentChain chainId="f43de86b67740e57d62c60c84bd2d7fe2bc9b9c4">
          <item id="86a556c5b9398dbd53409d96c306d4f695230d1c" userID="1851561945" userName="石玉珍" dateTime="2026-06-02T01:56:00" isNormal="0">
            <s:text>
              <s:r>
                <s:t xml:space="preserve">2800110 6/1 21180pcs</s:t>
              </s:r>
            </s:text>
          </item>
        </commentChain>
      </unresolved>
      <resolved/>
    </commentChains>
    <commentChains s:ref="AL1432" rgbClr="FF0000">
      <unresolved>
        <commentChain chainId="5ed76bdacf5279e661bf36bc5cec1020143aa2c5">
          <item id="2369dab55b6dcff23071c531efbefe25385ad5d8" isNormal="1">
            <s:text>
              <s:r>
                <s:t xml:space="preserve">Administrator:
3/20 客供白色防盗贴纸 21180pcs
4/7 彩色贴纸 7060pcs</s:t>
              </s:r>
            </s:text>
          </item>
        </commentChain>
      </unresolved>
      <resolved/>
    </commentChains>
    <commentChains s:ref="AI1433" rgbClr="FF0000">
      <unresolved>
        <commentChain chainId="8bfe149d5840ec6d9782c88ff65119aeb8feb52a">
          <item id="a7c147d4c91463613a845cd7db23550fa194d43a" userID="1851561945" userName="石玉珍" dateTime="2026-05-31T08:23:42" isNormal="0">
            <s:text>
              <s:r>
                <s:t xml:space="preserve">2800070 5/29 1200pcs杨b6</s:t>
              </s:r>
            </s:text>
          </item>
        </commentChain>
      </unresolved>
      <resolved/>
    </commentChains>
    <commentChains s:ref="AI1434" rgbClr="FF0000">
      <unresolved>
        <commentChain chainId="3f1cdaa64a4107d8f6d71ceee0d92662973db34b">
          <item id="fecdd1bd0dcfaa35cce36b2466c674a3b3a22271" userID="1851561945" userName="石玉珍" dateTime="2026-06-01T12:38:33" isNormal="0">
            <s:text>
              <s:r>
                <s:t xml:space="preserve">2800095 5/30 500pcs</s:t>
              </s:r>
            </s:text>
          </item>
        </commentChain>
      </unresolved>
      <resolved/>
    </commentChains>
    <commentChains s:ref="AL1434" rgbClr="FF0000">
      <unresolved>
        <commentChain chainId="0371db904bdf93489a701e86b9363a7331ba5eda">
          <item id="5dc48c9a65f03e4097513dd4a98e3c75bbab15de" isNormal="1">
            <s:text>
              <s:r>
                <s:t xml:space="preserve">Administrator:
5/13 大语警告语贴 500pcs
小语警告语贴 3500pcs
丹麦瑞典芬兰挪威警告语贴纸 500pcs</s:t>
              </s:r>
            </s:text>
          </item>
        </commentChain>
      </unresolved>
      <resolved/>
    </commentChains>
    <commentChains s:ref="AI1435" rgbClr="FF0000">
      <unresolved>
        <commentChain chainId="6fdafb6495222b4f0501162e85ed9c68a1cddfb5">
          <item id="92b2ba856986f75a4f9b15dd194f53e10b9bb193" userID="1851561945" userName="石玉珍" dateTime="2026-06-01T13:24:10" isNormal="0">
            <s:text>
              <s:r>
                <s:t xml:space="preserve">2800107 6/1 5000pcs张顶b8</s:t>
              </s:r>
            </s:text>
          </item>
        </commentChain>
      </unresolved>
      <resolved/>
    </commentChains>
    <commentChains s:ref="AL1435" rgbClr="FF0000">
      <unresolved>
        <commentChain chainId="1c6d6f8ebf155e6850b9baa46ba59d6e58e0c6ba">
          <item id="8eeb09e1dce8a73187a08a0f63dcadfd953d83ba" isNormal="1">
            <s:text>
              <s:r>
                <s:t xml:space="preserve">Administrator:
5/13 PDQ贴纸 200pcs
5/20 UPC贴纸 5000pcs</s:t>
              </s:r>
            </s:text>
          </item>
        </commentChain>
      </unresolved>
      <resolved/>
    </commentChains>
    <commentChains s:ref="AI1436" rgbClr="FF0000">
      <unresolved>
        <commentChain chainId="988f52ddf62cb73cfd41ccc874c8ec789d614f00">
          <item id="0bd385ee1cc91f31a92f0b16c001ec6a8c4231ec" userID="1851561945" userName="石玉珍" dateTime="2026-06-01T13:25:24" isNormal="0">
            <s:text>
              <s:r>
                <s:t xml:space="preserve">2800107 6/1 2500pcs</s:t>
              </s:r>
            </s:text>
          </item>
          <item id="cdf75af0712ac78c5286437c8debfc47585cfd93" userID="1851561945" userName="石玉珍" dateTime="2026-06-03T13:07:37" isNormal="0">
            <s:text>
              <s:r>
                <s:t xml:space="preserve">张顶b8</s:t>
              </s:r>
            </s:text>
          </item>
        </commentChain>
      </unresolved>
      <resolved/>
    </commentChains>
    <commentChains s:ref="AL1436" rgbClr="FF0000">
      <unresolved>
        <commentChain chainId="96c498fe7387d13cf4be8f3872520ec788de8a69">
          <item id="852dfa492bf7ea287be927d89a54b9c9c9024cd9" isNormal="1">
            <s:text>
              <s:r>
                <s:t xml:space="preserve">Administrator:
5/13 客人通用进口商贴纸 2500pcs
通用UPC条码贴纸 2500pcs</s:t>
              </s:r>
            </s:text>
          </item>
        </commentChain>
      </unresolved>
      <resolved/>
    </commentChains>
    <commentChains s:ref="AI1437" rgbClr="FF0000">
      <unresolved>
        <commentChain chainId="ad515b19790d00cdc8660b4bb9c1c8a3319dbf0f">
          <item id="bdf750f12ee5a70b8c7c3d470a8e6427d97f34e0" userID="1851561945" userName="石玉珍" dateTime="2026-06-01T13:25:47" isNormal="0">
            <s:text>
              <s:r>
                <s:t xml:space="preserve">2800107 6/1 5364pcs</s:t>
              </s:r>
            </s:text>
          </item>
          <item id="dd1e0eae1192d48df0d4f9ac8fe973853cc630fb" userID="1851561945" userName="石玉珍" dateTime="2026-06-03T13:07:05" isNormal="0">
            <s:text>
              <s:r>
                <s:t xml:space="preserve">张顶b8</s:t>
              </s:r>
            </s:text>
          </item>
        </commentChain>
      </unresolved>
      <resolved/>
    </commentChains>
    <commentChains s:ref="AL1437" rgbClr="FF0000">
      <unresolved>
        <commentChain chainId="f84bdbe93505f318bf1e6aa65380a00da4e40c18">
          <item id="78c018db477beb78f2fa109ad2abafe774d8fc1b" isNormal="1">
            <s:text>
              <s:r>
                <s:t xml:space="preserve">Administrator:
5/5  亚马逊外箱贴纸 447pcs</s:t>
              </s:r>
            </s:text>
          </item>
        </commentChain>
      </unresolved>
      <resolved/>
    </commentChains>
    <commentChains s:ref="AI1438" rgbClr="FF0000">
      <unresolved>
        <commentChain chainId="c16895f6bc5ee5618b88aef50f1db59de5e5adba">
          <item id="4d74a277266ed7134d998dd414d6bd7a91acd3cb" userID="1851561945" userName="石玉珍" dateTime="2026-05-31T08:21:43" isNormal="0">
            <s:text>
              <s:r>
                <s:t xml:space="preserve">4001823 5/29 1068pcs杨b6</s:t>
              </s:r>
            </s:text>
          </item>
          <item id="d56f15099ee03a4fd501f18befba68a345be80fc" userID="1851561945" userName="石玉珍" dateTime="2026-06-01T06:40:21" isNormal="0">
            <s:text>
              <s:r>
                <s:t xml:space="preserve">4001829 5/30 648pcs</s:t>
              </s:r>
            </s:text>
          </item>
        </commentChain>
      </unresolved>
      <resolved/>
    </commentChains>
    <commentChains s:ref="AL1438" rgbClr="FF0000">
      <unresolved>
        <commentChain chainId="a17d355b1cad93ec3e31805c6e055494eeefb7b2">
          <item id="5a6de4198c176e4750f159fead8a284aa61a1b12" isNormal="1">
            <s:text>
              <s:r>
                <s:t xml:space="preserve">Administrator:
4/25 空白贴纸 3432pcs
环保标贴纸 1716pcs
5/5 亚马逊外箱贴纸286pcs
5/21 彩盒警告语贴纸 1716pcs
</s:t>
              </s:r>
            </s:text>
          </item>
        </commentChain>
      </unresolved>
      <resolved/>
    </commentChains>
    <commentChains s:ref="AI1439" rgbClr="FF0000">
      <unresolved>
        <commentChain chainId="f0606436b3a556fc12416e1d78b3bede5d6efb38">
          <item id="80800d56ea38b7d3dd69e99d080ab0d7e829e5a4" userID="1851561945" userName="石玉珍" dateTime="2026-05-31T06:51:49" isNormal="0">
            <s:text>
              <s:r>
                <s:t xml:space="preserve">2800055 5/28 2600pcs</s:t>
              </s:r>
            </s:text>
          </item>
        </commentChain>
      </unresolved>
      <resolved/>
    </commentChains>
    <commentChains s:ref="AL1439" rgbClr="FF0000">
      <unresolved>
        <commentChain chainId="7d84f2cfd9963d26ebb73a0e81ee1276c4757a77">
          <item id="ed02f2a16bd64a2de1e0113fdc2f316c6aea8431" isNormal="1">
            <s:text>
              <s:r>
                <s:t xml:space="preserve">Administrator:
4/8 客供防窜码贴纸1拖13 200pcs
4/24 条码贴纸 2600pcs
5/20 条码贴纸 同po共上44499pcs</s:t>
              </s:r>
            </s:text>
          </item>
        </commentChain>
      </unresolved>
      <resolved/>
    </commentChains>
    <commentChains s:ref="AI1440" rgbClr="FF0000">
      <unresolved>
        <commentChain chainId="b7554289f89820021bb9c7c8c5b8d9fe6c64cb3f">
          <item id="d6d64d19575f4af76080eea72ab393581671a929" userID="1851561945" userName="石玉珍" dateTime="2026-05-31T06:47:10" isNormal="0">
            <s:text>
              <s:r>
                <s:t xml:space="preserve">2800045 5/28 25012pcs</s:t>
              </s:r>
            </s:text>
          </item>
        </commentChain>
      </unresolved>
      <resolved/>
    </commentChains>
    <commentChains s:ref="AL1440" rgbClr="FF0000">
      <unresolved>
        <commentChain chainId="ce034acf975098a26108ccba4f33b66d0b513b7d">
          <item id="6c55e8328e8b2719058e9246143c85cb1b90992f" isNormal="1">
            <s:text>
              <s:r>
                <s:t xml:space="preserve">Administrator:
4/8 客供防窜码贴纸1拖13 1924pcs
4/24 条码贴纸 25012pcs
</s:t>
              </s:r>
            </s:text>
          </item>
        </commentChain>
      </unresolved>
      <resolved/>
    </commentChains>
    <commentChains s:ref="AI1441" rgbClr="FF0000">
      <unresolved>
        <commentChain chainId="86694316479e1b01b810c5694610b67f3e8b3042">
          <item id="794e925261cb8b845f47173f8e633e5d6d03a8a5" userID="1851561945" userName="石玉珍" dateTime="2026-05-31T06:50:35" isNormal="0">
            <s:text>
              <s:r>
                <s:t xml:space="preserve">4001821 5/28 2400pcs</s:t>
              </s:r>
            </s:text>
          </item>
        </commentChain>
      </unresolved>
      <resolved/>
    </commentChains>
    <commentChains s:ref="AL1441" rgbClr="FF0000">
      <unresolved>
        <commentChain chainId="209418039fd9f2a6804c5e05dca89073046e4c54">
          <item id="3f1d0748afdf53b89dcf53edac442e40634b065a" isNormal="1">
            <s:text>
              <s:r>
                <s:t xml:space="preserve">Administrator:
4/18 客供芯片码贴纸2400pcs
4/24 颜色贴纸 2400pcs
空白贴纸 4800pcs
</s:t>
              </s:r>
            </s:text>
          </item>
        </commentChain>
      </unresolved>
      <resolved/>
    </commentChains>
    <commentChains s:ref="AI1442" rgbClr="FF0000">
      <unresolved>
        <commentChain chainId="f366b821a33d9257b773cb28191fe32337c54d35">
          <item id="fd4e7d97206c0d9529db82d8a47d204d450c59cf" userID="1851561945" userName="石玉珍" dateTime="2026-05-31T06:50:46" isNormal="0">
            <s:text>
              <s:r>
                <s:t xml:space="preserve">4001821 5/28 3000pcs</s:t>
              </s:r>
            </s:text>
          </item>
        </commentChain>
      </unresolved>
      <resolved/>
    </commentChains>
    <commentChains s:ref="AL1442" rgbClr="FF0000">
      <unresolved>
        <commentChain chainId="ecd6fc2c78586af87dbb996114d2d1e7f875610c">
          <item id="c894c0d68a92dcf0f745c7419d0cd6c354618957" isNormal="1">
            <s:text>
              <s:r>
                <s:t xml:space="preserve">Administrator:
4/18 客供芯片码贴纸3000pcs
4/24 颜色贴纸 3000pcs
空白贴纸 60004pcs
</s:t>
              </s:r>
            </s:text>
          </item>
        </commentChain>
      </unresolved>
      <resolved/>
    </commentChains>
    <commentChains s:ref="AI1443" rgbClr="FF0000">
      <unresolved>
        <commentChain chainId="0eec3eaa87df7d98cb461fb6b3cc1cd3af8645e4">
          <item id="00483338bf98eafc55cc84459895c3962d5edabd" userID="1851561945" userName="石玉珍" dateTime="2026-06-02T01:55:40" isNormal="0">
            <s:text>
              <s:r>
                <s:t xml:space="preserve">2800110 6/1 2800pcs张顶c4</s:t>
              </s:r>
            </s:text>
          </item>
        </commentChain>
      </unresolved>
      <resolved/>
    </commentChains>
    <commentChains s:ref="AL1443" rgbClr="FF0000">
      <unresolved>
        <commentChain chainId="266043b515a1823a609834c1b9152c1300ace564">
          <item id="d99a09786e55b209b4e00651624163a0830c1c08" isNormal="1">
            <s:text>
              <s:r>
                <s:t xml:space="preserve">Administrator:
4/8 DC运输貼纸 112pcs
4/13 PDQ标识贴纸 112pcs
</s:t>
              </s:r>
            </s:text>
          </item>
        </commentChain>
      </unresolved>
      <resolved/>
    </commentChains>
    <commentChains s:ref="AI1444" rgbClr="FF0000">
      <unresolved>
        <commentChain chainId="2ac519e53956b3139cd543c1dd6672f2b4f49fa2">
          <item id="6777fa71be7689dc8f0ddb75a4e4d595fdd2c43c" userID="1851561945" userName="石玉珍" dateTime="2026-06-25T13:10:02" isNormal="0">
            <s:text>
              <s:r>
                <s:t xml:space="preserve">4001829 5/30 120pcs</s:t>
              </s:r>
            </s:text>
          </item>
        </commentChain>
      </unresolved>
      <resolved/>
    </commentChains>
    <commentChains s:ref="AI1445" rgbClr="FF0000">
      <unresolved>
        <commentChain chainId="3e5887edc68e8b92256f505d4aff63e919261782">
          <item id="fb530c9ec152aa7f29ed49960c3d8ff59f553e73" userID="1851561945" userName="石玉珍" dateTime="2026-06-25T12:45:17" isNormal="0">
            <s:text>
              <s:r>
                <s:t xml:space="preserve">2800067 5/29 2400pcs杨b14</s:t>
              </s:r>
            </s:text>
          </item>
        </commentChain>
      </unresolved>
      <resolved/>
    </commentChains>
    <commentChains s:ref="AJ1445" rgbClr="FF0000">
      <unresolved>
        <commentChain chainId="ee991027b473af7814d04145c3e371d2403ba265">
          <item id="3dcae3a4f1e020ad387bf38c9b134dac3243b275" userID="1851561945" userName="石玉珍" dateTime="2026-06-02T03:04:09" isNormal="0">
            <s:text>
              <s:r>
                <s:t xml:space="preserve">2800067 5/29 2400pcs杨b14</s:t>
              </s:r>
            </s:text>
          </item>
        </commentChain>
      </unresolved>
      <resolved/>
    </commentChains>
    <commentChains s:ref="AL1445" rgbClr="FF0000">
      <unresolved/>
      <resolved>
        <commentChain chainId="b3beaf73f7c65c0cb10b6572ed5754b915079bcd">
          <item id="5eb11eab8780d9142065c65b39df1a51776ffc84" isNormal="1">
            <s:text>
              <s:r>
                <s:t xml:space="preserve">Administrator:
5/15 法国回收标贴纸 2400pcs</s:t>
              </s:r>
            </s:text>
          </item>
        </commentChain>
      </resolved>
    </commentChains>
    <commentChains s:ref="AI1446" rgbClr="FF0000">
      <unresolved>
        <commentChain chainId="81544706a9403fa95541e74508349d57a6453860">
          <item id="dcdf794997cee53bbd7b3df0e10ef753ceb767b7" userID="1851561945" userName="石玉珍" dateTime="2026-06-02T01:53:10" isNormal="0">
            <s:text>
              <s:r>
                <s:t xml:space="preserve">4001831 6/1 1200pcs</s:t>
              </s:r>
            </s:text>
          </item>
          <item id="4f7e334b8f8eb2a5b31979e405e1da6aae4edca9" userID="1851561945" userName="石玉珍" dateTime="2026-06-03T13:13:59" isNormal="0">
            <s:text>
              <s:r>
                <s:t xml:space="preserve">直走</s:t>
              </s:r>
            </s:text>
          </item>
        </commentChain>
      </unresolved>
      <resolved/>
    </commentChains>
    <commentChains s:ref="AL1446" rgbClr="FF0000">
      <unresolved>
        <commentChain chainId="a106232d8c2b2f150a07876cfc2a230384222578">
          <item id="e23a90969e902addfd3fd99859237c318c401686" isNormal="1">
            <s:text>
              <s:r>
                <s:t xml:space="preserve">Administrator:
4/24 颜色贴纸 1200pcs
空白贴纸 4200pcs
4/25 客供芯片码贴纸 1200pcs</s:t>
              </s:r>
            </s:text>
          </item>
        </commentChain>
      </unresolved>
      <resolved/>
    </commentChains>
    <commentChains s:ref="AI1447" rgbClr="FF0000">
      <unresolved>
        <commentChain chainId="4f3cdf8a7a505846f53375c4c1c71a6005d5066a">
          <item id="febb3d877cec124b3604057357267eb4e9e35e61" userID="1851561945" userName="石玉珍" dateTime="2026-06-02T01:53:16" isNormal="0">
            <s:text>
              <s:r>
                <s:t xml:space="preserve">4001831 6/1 5604pcs</s:t>
              </s:r>
            </s:text>
          </item>
          <item id="58f34b67a0d06be845283bdc54fdcab03db9943c" userID="1851561945" userName="石玉珍" dateTime="2026-06-03T13:14:08" isNormal="0">
            <s:text>
              <s:r>
                <s:t xml:space="preserve">直走</s:t>
              </s:r>
            </s:text>
          </item>
        </commentChain>
      </unresolved>
      <resolved/>
    </commentChains>
    <commentChains s:ref="AL1447" rgbClr="FF0000">
      <unresolved>
        <commentChain chainId="1bc865f768ef0a4943c9e6380680d15ce0ebba39">
          <item id="5bedcb22470cf6f2a82c6e9fe950af391b8cfb25" isNormal="1">
            <s:text>
              <s:r>
                <s:t xml:space="preserve">Administrator:
4/24 颜色贴纸 5604pcs
空白贴纸 11208pcs
4/25 客供芯片码贴纸5604pcs
</s:t>
              </s:r>
            </s:text>
          </item>
        </commentChain>
      </unresolved>
      <resolved/>
    </commentChains>
    <commentChains s:ref="AI1448" rgbClr="FF0000">
      <unresolved>
        <commentChain chainId="6a56cf4e6af900731700fd062a4a39513431eb4f">
          <item id="4c52ded16964de9413682e902c50566be021ffb6" userID="1851561945" userName="石玉珍" dateTime="2026-06-03T11:43:22" isNormal="0">
            <s:text>
              <s:r>
                <s:t xml:space="preserve">2800113 6/2 2196pcs</s:t>
              </s:r>
            </s:text>
          </item>
          <item id="8cd831cfd14450522dfb624e8afe2f9502d2560e" userID="1851561945" userName="石玉珍" dateTime="2026-06-06T06:07:22" isNormal="0">
            <s:text>
              <s:r>
                <s:t xml:space="preserve">新泰b2</s:t>
              </s:r>
            </s:text>
          </item>
        </commentChain>
      </unresolved>
      <resolved/>
    </commentChains>
    <commentChains s:ref="AL1448" rgbClr="FF0000">
      <unresolved>
        <commentChain chainId="0e33ccd8cea8277633bb32aa4868c0612516e369">
          <item id="a18d0c9cd5a5803786047590b451bc7bf967802c" isNormal="1">
            <s:text>
              <s:r>
                <s:t xml:space="preserve">Administrator:
4/20 客供价格贴纸 2416pcs
4/28 空白贴纸 2196pcs
</s:t>
              </s:r>
            </s:text>
          </item>
        </commentChain>
      </unresolved>
      <resolved/>
    </commentChains>
    <commentChains s:ref="AI1449" rgbClr="FF0000">
      <unresolved>
        <commentChain chainId="3de520e4cfe92cf3854490532f24ef76b6db773a">
          <item id="54fd8ffa7700a8ed0e70039d18e108cf172e0394" userID="1851561945" userName="石玉珍" dateTime="2026-06-03T11:43:38" isNormal="0">
            <s:text>
              <s:r>
                <s:t xml:space="preserve">2800113 6/2 2400pcs</s:t>
              </s:r>
            </s:text>
          </item>
          <item id="6795cd0161b317d962049b62e43ed94fca73bff3" userID="1851561945" userName="石玉珍" dateTime="2026-06-06T06:07:33" isNormal="0">
            <s:text>
              <s:r>
                <s:t xml:space="preserve">新泰b2</s:t>
              </s:r>
            </s:text>
          </item>
        </commentChain>
      </unresolved>
      <resolved/>
    </commentChains>
    <commentChains s:ref="AL1449" rgbClr="FF0000">
      <unresolved>
        <commentChain chainId="bb52e8f0d743c2db4ae3004d8485696ad3f86439">
          <item id="4d353177f84dbb4ae60ca2c8d67810d333206263" isNormal="1">
            <s:text>
              <s:r>
                <s:t xml:space="preserve">Administrator:
4/20 客供价格贴纸 2640pcs
4/28 空白贴纸 2400pcs
</s:t>
              </s:r>
            </s:text>
          </item>
        </commentChain>
      </unresolved>
      <resolved/>
    </commentChains>
    <commentChains s:ref="AI1450" rgbClr="FF0000">
      <unresolved>
        <commentChain chainId="dd95a42f2cb8d4fcfe5a788511f7358551381e39">
          <item id="d7e7548e75aa75e7e5c1eef6886e7e476581fab2" userID="1851561945" userName="石玉珍" dateTime="2026-06-02T01:51:12" isNormal="0">
            <s:text>
              <s:r>
                <s:t xml:space="preserve">2800107 6/1 3900pcs</s:t>
              </s:r>
            </s:text>
          </item>
          <item id="74d07de7db0f21b5ef2760321391ab2fe722e6c7" userID="1851561945" userName="石玉珍" dateTime="2026-06-03T13:11:10" isNormal="0">
            <s:text>
              <s:r>
                <s:t xml:space="preserve">直走</s:t>
              </s:r>
            </s:text>
          </item>
        </commentChain>
      </unresolved>
      <resolved/>
    </commentChains>
    <commentChains s:ref="AL1450" rgbClr="FF0000">
      <unresolved>
        <commentChain chainId="008a06ec63b5c2bcd5a2c47cf5b1381c5a691e4e">
          <item id="2a358fbf65e0090e3cd81d64ed6e5a7d1ce35e34" isNormal="1">
            <s:text>
              <s:r>
                <s:t xml:space="preserve">Administrator:
4/24 条码贴纸 3900pcs
5/23 客供防窜码贴纸1拖 3900pcs</s:t>
              </s:r>
            </s:text>
          </item>
        </commentChain>
      </unresolved>
      <resolved/>
    </commentChains>
    <commentChains s:ref="AI1451" rgbClr="FF0000">
      <unresolved>
        <commentChain chainId="02165f2cfdd628e32e35a0e893c3aee4d4bcf79a">
          <item id="f0d05da4c0a03694513e3416513ab643b993b025" userID="1851561945" userName="石玉珍" dateTime="2026-06-02T14:09:55" isNormal="0">
            <s:text>
              <s:r>
                <s:t xml:space="preserve">2800109 6/1 13000pcs</s:t>
              </s:r>
            </s:text>
          </item>
          <item id="356d60ad5d767b3297a9da92315dccdca68a90ed" userID="1851561945" userName="石玉珍" dateTime="2026-06-03T13:14:19" isNormal="0">
            <s:text>
              <s:r>
                <s:t xml:space="preserve">直走</s:t>
              </s:r>
            </s:text>
          </item>
        </commentChain>
      </unresolved>
      <resolved/>
    </commentChains>
    <commentChains s:ref="AL1451" rgbClr="FF0000">
      <unresolved>
        <commentChain chainId="d6b8cb173585bb970eaf413a64afe2119927f0d7">
          <item id="591bf5a3346daccf50783cceb30682ad500fd953" isNormal="1">
            <s:text>
              <s:r>
                <s:t xml:space="preserve">Administrator:
4/24 条码贴纸 13000pcs
5/23 客供防窜码贴纸1拖 13000pcs
</s:t>
              </s:r>
            </s:text>
          </item>
        </commentChain>
      </unresolved>
      <resolved/>
    </commentChains>
    <commentChains s:ref="AI1452" rgbClr="FF0000">
      <unresolved>
        <commentChain chainId="a639adea7e89a364a3faa6d8d5a04e30450daf1c">
          <item id="edf274255f7d593c7e0f93bb610327b71b6b7166" userID="1851561945" userName="石玉珍" dateTime="2026-06-06T06:13:38" isNormal="0">
            <s:text>
              <s:r>
                <s:t xml:space="preserve">2801058 6/3 6000pcs</s:t>
              </s:r>
            </s:text>
          </item>
          <item id="3d2440a0f3476339cfe30162beddb8878b693ef7" userID="1851561945" userName="石玉珍" dateTime="2026-06-06T06:13:46" isNormal="0">
            <s:text>
              <s:r>
                <s:t xml:space="preserve">新泰b3</s:t>
              </s:r>
            </s:text>
          </item>
        </commentChain>
      </unresolved>
      <resolved/>
    </commentChains>
    <commentChains s:ref="AL1452" rgbClr="FF0000">
      <unresolved>
        <commentChain chainId="d36ab03ce37ff24eed5dbfa038a7be18736043ff">
          <item id="666434493a841b588f4b15d9f37d336fd8772025" isNormal="1">
            <s:text>
              <s:r>
                <s:t xml:space="preserve">Administrator:
5/13 客人logo贴纸 6000psc
客户进口商贴纸5 6000pcs</s:t>
              </s:r>
            </s:text>
          </item>
        </commentChain>
      </unresolved>
      <resolved/>
    </commentChains>
    <commentChains s:ref="AI1453" rgbClr="FF0000">
      <unresolved>
        <commentChain chainId="82ea76e8ebf7edd115246a1d75bd82f2dcfbe2d7">
          <item id="2fc6c7076f75401701864a4bc8675db8b32ef616" userID="1851561945" userName="石玉珍" dateTime="2026-06-03T11:41:18" isNormal="0">
            <s:text>
              <s:r>
                <s:t xml:space="preserve">2800113 6/2 24999pcs</s:t>
              </s:r>
            </s:text>
          </item>
          <item id="b5c0cdcd99e152700d04d705675a207e3989c01e" userID="1851561945" userName="石玉珍" dateTime="2026-06-06T06:06:14" isNormal="0">
            <s:text>
              <s:r>
                <s:t xml:space="preserve">新泰a2</s:t>
              </s:r>
            </s:text>
          </item>
        </commentChain>
      </unresolved>
      <resolved/>
    </commentChains>
    <commentChains s:ref="AL1453" rgbClr="FF0000">
      <unresolved>
        <commentChain chainId="c5323cbb32ebaf14ab4bf157e655da168e7411fb">
          <item id="3cfff935dfde4a8fd43524a54c28386256142791" isNormal="1">
            <s:text>
              <s:r>
                <s:t xml:space="preserve">Administrator:
5/23 客供防窜码贴纸1拖 24999pcs
</s:t>
              </s:r>
            </s:text>
          </item>
        </commentChain>
      </unresolved>
      <resolved/>
    </commentChains>
    <commentChains s:ref="AI1454" rgbClr="FF0000">
      <unresolved>
        <commentChain chainId="3d4d9fcf78fc8e265b1d0840693e71aa392045c4">
          <item id="a9786079662761fd868552c3b59316ec9aa6b0b3" userID="1851561945" userName="石玉珍" dateTime="2026-06-03T12:38:56" isNormal="0">
            <s:text>
              <s:r>
                <s:t xml:space="preserve">2801045 6/2 2450pcs新泰b1</s:t>
              </s:r>
            </s:text>
          </item>
          <item id="8343d409e509084648ca06cfefe2e8156f33932c" userID="1851561945" userName="石玉珍" dateTime="2026-06-05T11:59:19" isNormal="0">
            <s:text>
              <s:r>
                <s:t xml:space="preserve">2801086 6/5 50PCS</s:t>
              </s:r>
            </s:text>
          </item>
        </commentChain>
      </unresolved>
      <resolved/>
    </commentChains>
    <commentChains s:ref="AL1454" rgbClr="FF0000">
      <unresolved>
        <commentChain chainId="c1f5124f89d84ae9b2201e0fb0b445a9ddf8cbcd">
          <item id="18eebe9f3fbdf4843454aba5624968c63214b3c5" isNormal="1">
            <s:text>
              <s:r>
                <s:t xml:space="preserve">Administrator:
3/30 收缩膜日语警语贴纸 2500
说明书日语警语贴纸 2500
4/10 条码贴纸 5000pcs
</s:t>
              </s:r>
            </s:text>
          </item>
        </commentChain>
      </unresolved>
      <resolved/>
    </commentChains>
    <commentChains s:ref="AI1455" rgbClr="FF0000">
      <unresolved>
        <commentChain chainId="71b8f1552bb9d0ded04d71632b9357d49e644540">
          <item id="a9f149be1b98a53b95be3e02e7af58a5163108f0" userID="1851561945" userName="石玉珍" dateTime="2026-05-31T08:14:16" isNormal="0">
            <s:text>
              <s:r>
                <s:t xml:space="preserve">2800067 5/29 15000pcs杨b14</s:t>
              </s:r>
            </s:text>
          </item>
        </commentChain>
      </unresolved>
      <resolved/>
    </commentChains>
    <commentChains s:ref="AL1455" rgbClr="FF0000">
      <unresolved>
        <commentChain chainId="821dc672799f2ad4caf8f6cd0ec94567f0e4e96e">
          <item id="e7641e854b3ca36968980308679b3d994b566721" isNormal="1">
            <s:text>
              <s:r>
                <s:t xml:space="preserve">Administrator:
5/11 法国回收标贴纸 15000pcs
</s:t>
              </s:r>
            </s:text>
          </item>
        </commentChain>
      </unresolved>
      <resolved/>
    </commentChains>
    <commentChains s:ref="AI1456" rgbClr="FF0000">
      <unresolved>
        <commentChain chainId="55f19fc2465c133dae04b373990176390f502c7d">
          <item id="377bc3737008622c15893ff0c389f8b540e4cd6b" userID="1851561945" userName="石玉珍" dateTime="2026-06-03T13:08:08" isNormal="0">
            <s:text>
              <s:r>
                <s:t xml:space="preserve">2800107 6/1 2004pcs张顶a13</s:t>
              </s:r>
            </s:text>
          </item>
        </commentChain>
      </unresolved>
      <resolved/>
    </commentChains>
    <commentChains s:ref="AJ1456" rgbClr="FF0000">
      <unresolved>
        <commentChain chainId="382fae701ebd113cceaaae8bebe803e90ec07250">
          <item id="e1881b22dc0d01a211211b28690d22c46b999705" userID="1851561945" userName="石玉珍" dateTime="2026-06-01T13:41:07" isNormal="0">
            <s:text>
              <s:r>
                <s:t xml:space="preserve">2800107 6/1 2004pcs</s:t>
              </s:r>
            </s:text>
          </item>
          <item id="6da3c50a61fc80c9ac3f27f30589d775e99b4468" userID="1851561945" userName="石玉珍" dateTime="2026-06-20T08:26:39" isNormal="0">
            <s:text>
              <s:r>
                <s:t xml:space="preserve">2800107 6/1 2004pcs张顶a13</s:t>
              </s:r>
            </s:text>
          </item>
        </commentChain>
      </unresolved>
      <resolved/>
    </commentChains>
    <commentChains s:ref="AL1456" rgbClr="FF0000">
      <unresolved>
        <commentChain chainId="4e6013412e972e05246cb1fa5b3f5a3323e86753">
          <item id="506282cb281293f4f1a421c267de80926b8137e8" isNormal="1">
            <s:text>
              <s:r>
                <s:t xml:space="preserve">Administrator:
5/18 客供价格贴纸 2205pcs
5/22 空白贴纸 2004pcs</s:t>
              </s:r>
            </s:text>
          </item>
        </commentChain>
      </unresolved>
      <resolved/>
    </commentChains>
    <commentChains s:ref="AI1457" rgbClr="FF0000">
      <unresolved>
        <commentChain chainId="f2206a5af28956e346016e2f9978613ea700cd13">
          <item id="be0f04e37674d81d15b0454ea3832a4c2e5b1e1a" userID="1851561945" userName="石玉珍" dateTime="2026-06-03T13:09:53" isNormal="0">
            <s:text>
              <s:r>
                <s:t xml:space="preserve">2800107 6/1 2196pcs 张顶a13</s:t>
              </s:r>
            </s:text>
          </item>
        </commentChain>
      </unresolved>
      <resolved/>
    </commentChains>
    <commentChains s:ref="AJ1457" rgbClr="FF0000">
      <unresolved>
        <commentChain chainId="11b1aaab1cf2c508d095cce4115c8df7ff68f378">
          <item id="8ef0a7d71201cac17eef6ec87b74156b20614dbc" userID="1851561945" userName="石玉珍" dateTime="2026-06-02T01:51:39" isNormal="0">
            <s:text>
              <s:r>
                <s:t xml:space="preserve">2800107 6/1 2196pcs</s:t>
              </s:r>
            </s:text>
          </item>
        </commentChain>
      </unresolved>
      <resolved/>
    </commentChains>
    <commentChains s:ref="AL1457" rgbClr="FF0000">
      <unresolved>
        <commentChain chainId="42fe6a2cc02646fe190d0bfb61e534bb91e84bf6">
          <item id="6f765227bb6f0369f879d8a1797fadc2352431c3" isNormal="1">
            <s:text>
              <s:r>
                <s:t xml:space="preserve">Administrator:
5/18 客供价格贴纸 2196pcs
5/22 空白贴纸 2196*2pcs
 </s:t>
              </s:r>
            </s:text>
          </item>
        </commentChain>
      </unresolved>
      <resolved/>
    </commentChains>
    <commentChains s:ref="AI1458" rgbClr="FF0000">
      <unresolved>
        <commentChain chainId="9ca06c8d044c7cac38cbb3300feda5e06c6359d1">
          <item id="6bbd7ccdb1f6d0d9f2fa4a84fac5754c5978ccc7" userID="1851561945" userName="石玉珍" dateTime="2026-06-02T01:53:53" isNormal="0">
            <s:text>
              <s:r>
                <s:t xml:space="preserve">2800110 6/1 4684pcs 张顶d3</s:t>
              </s:r>
            </s:text>
          </item>
          <item id="aa8f664981adaec914cf45a0fb5dd08ef5a9945b" userID="1851561945" userName="石玉珍" dateTime="2026-06-03T11:41:06" isNormal="0">
            <s:text>
              <s:r>
                <s:t xml:space="preserve">2800113 6/2 14820pcs新泰a2</s:t>
              </s:r>
            </s:text>
          </item>
        </commentChain>
      </unresolved>
      <resolved/>
    </commentChains>
    <commentChains s:ref="AL1458" rgbClr="FF0000">
      <unresolved>
        <commentChain chainId="e69a1fec65afc3729500da9499192ddacaffbd22">
          <item id="8ef459d76836cb3926e5297807093c4fe2bb4750" isNormal="1">
            <s:text>
              <s:r>
                <s:t xml:space="preserve">Administrator:
5/23 客供防窜码贴纸1拖 19500pcs
</s:t>
              </s:r>
            </s:text>
          </item>
        </commentChain>
      </unresolved>
      <resolved/>
    </commentChains>
    <commentChains s:ref="AI1459" rgbClr="FF0000">
      <unresolved>
        <commentChain chainId="4cffab36ed6a0f2ad93976940f3e7cecf8b5680f">
          <item id="dcab1a94d488245332754c1ffee7607a0cfe3d72" userID="1851561945" userName="石玉珍" dateTime="2026-06-03T12:40:46" isNormal="0">
            <s:text>
              <s:r>
                <s:t xml:space="preserve">2801045 6/2 700pcs</s:t>
              </s:r>
            </s:text>
          </item>
          <item id="3cb3b2c5a94be43851329161355e5c51f5267bec" userID="1851561945" userName="石玉珍" dateTime="2026-06-06T02:59:03" isNormal="0">
            <s:text>
              <s:r>
                <s:t xml:space="preserve">新泰b1</s:t>
              </s:r>
            </s:text>
          </item>
        </commentChain>
      </unresolved>
      <resolved/>
    </commentChains>
    <commentChains s:ref="AL1459" rgbClr="FF0000">
      <unresolved>
        <commentChain chainId="fb03eb60448590e312141d21a5899ac9fcc7cb12">
          <item id="a1790f47a0499edf72bebd10fcf6604d180e5744" isNormal="1">
            <s:text>
              <s:r>
                <s:t xml:space="preserve">Administrator:
5/19 警告语贴纸 700pcs
1-袋子警告语贴纸。 4900pcs
2-袋子警告语贴纸 700pcs</s:t>
              </s:r>
            </s:text>
          </item>
        </commentChain>
      </unresolved>
      <resolved/>
    </commentChains>
    <commentChains s:ref="AI1460" rgbClr="FF0000">
      <unresolved>
        <commentChain chainId="366684dbe7f1c546557710826cea6617f4901961">
          <item id="a7349fe455f76c0e023f88a5f8115c4c318143dc" userID="1851561945" userName="石玉珍" dateTime="2026-06-03T12:54:37" isNormal="0">
            <s:text>
              <s:r>
                <s:t xml:space="preserve">2801058 6/3 624pcs</s:t>
              </s:r>
            </s:text>
          </item>
          <item id="d03c25544a0bd2bb7b4a9d01e0f04ad1b45f369b" userID="1851561945" userName="石玉珍" dateTime="2026-06-06T06:14:50" isNormal="0">
            <s:text>
              <s:r>
                <s:t xml:space="preserve">新泰b3</s:t>
              </s:r>
            </s:text>
          </item>
        </commentChain>
      </unresolved>
      <resolved/>
    </commentChains>
    <commentChains s:ref="AL1460" rgbClr="FF0000">
      <unresolved>
        <commentChain chainId="eb5675f7d32ada45ce18ea7785966f9a855c8c98">
          <item id="f52f361a08773f5fa3852708419f4403e4d26100" isNormal="1">
            <s:text>
              <s:r>
                <s:t xml:space="preserve">Administrator:
4/29 客供价格贴纸 656pcs</s:t>
              </s:r>
            </s:text>
          </item>
        </commentChain>
      </unresolved>
      <resolved/>
    </commentChains>
    <commentChains s:ref="AI1461" rgbClr="FF0000">
      <unresolved>
        <commentChain chainId="a83a2ba0184db449336b134a3a6880878efff2e7">
          <item id="a442917d51f7d9651176149f3e50c790b49f2508" userID="1851561945" userName="石玉珍" dateTime="2026-06-03T12:54:20" isNormal="0">
            <s:text>
              <s:r>
                <s:t xml:space="preserve">2801058 6/3 2328pcs</s:t>
              </s:r>
            </s:text>
          </item>
          <item id="e8ec862567e98848136fda32af61dee5851ec7f4" userID="1851561945" userName="石玉珍" dateTime="2026-06-06T06:14:36" isNormal="0">
            <s:text>
              <s:r>
                <s:t xml:space="preserve">新泰a3</s:t>
              </s:r>
            </s:text>
          </item>
        </commentChain>
      </unresolved>
      <resolved/>
    </commentChains>
    <commentChains s:ref="AL1461" rgbClr="FF0000">
      <unresolved>
        <commentChain chainId="5de1ab83cbf6400029de9d6bd87bf5876add3794">
          <item id="742a95a25f7ae03e38ee24dbf967a257b4533378" isNormal="1">
            <s:text>
              <s:r>
                <s:t xml:space="preserve">Administrator:
5/11 亚马逊外箱贴纸 194pcs
5/16 空白贴纸 4656pcs
环保标贴纸 2328pcs</s:t>
              </s:r>
            </s:text>
          </item>
        </commentChain>
      </unresolved>
      <resolved/>
    </commentChains>
    <commentChains s:ref="AI1462" rgbClr="FF0000">
      <unresolved>
        <commentChain chainId="b73997aaf3b5edc8faa7ccc3768e7f718d1d6015">
          <item id="80096b2e15d87f465257ecec85b76c791ad14652" userID="1851561945" userName="石玉珍" dateTime="2026-06-06T06:14:20" isNormal="0">
            <s:text>
              <s:r>
                <s:t xml:space="preserve">2801058 6/3 403pcs 新泰b4</s:t>
              </s:r>
            </s:text>
          </item>
        </commentChain>
      </unresolved>
      <resolved/>
    </commentChains>
    <commentChains s:ref="AL1462" rgbClr="FF0000">
      <unresolved>
        <commentChain chainId="2a574148f17dbf88418c01abe07c892952e84422">
          <item id="f190764e5ead2769540b662e925c5aa21274476c" isNormal="1">
            <s:text>
              <s:r>
                <s:t xml:space="preserve">Administrator:
5/19 款号贴纸 403pcs
警语贴纸 403pcs
</s:t>
              </s:r>
            </s:text>
          </item>
          <item id="6e339236d52234e531586f078e707cd389462bcb" userID="1851561945" userName="石玉珍" dateTime="2026-05-30T12:33:16" isNormal="0">
            <s:text>
              <s:r>
                <s:t xml:space="preserve">5/28 地址贴纸  403pcs</s:t>
              </s:r>
            </s:text>
          </item>
        </commentChain>
      </unresolved>
      <resolved/>
    </commentChains>
    <commentChains s:ref="AI1463" rgbClr="FF0000">
      <unresolved>
        <commentChain chainId="f6fc91ae88245e83c4421fce0e2c4f9585c9a3c0">
          <item id="a61ee86f7b4a1e2ae329945b837322bf5ac34c16" userID="1851561945" userName="石玉珍" dateTime="2026-06-06T06:15:20" isNormal="0">
            <s:text>
              <s:r>
                <s:t xml:space="preserve">2801058 6/3 520pcs新泰b4</s:t>
              </s:r>
            </s:text>
          </item>
        </commentChain>
      </unresolved>
      <resolved/>
    </commentChains>
    <commentChains s:ref="AL1463" rgbClr="FF0000">
      <unresolved>
        <commentChain chainId="3e4d52446a92afbd72dc7a4fef2a367dfee6ef64">
          <item id="d6edcbc173e439dfb013d2628c029f6fb0a80122" isNormal="1">
            <s:text>
              <s:r>
                <s:t xml:space="preserve">Administrator:
5/22 地址贴纸 520pcs
PDQ条码贴纸 520pcs 
德语警语贴纸 520pcs</s:t>
              </s:r>
            </s:text>
          </item>
        </commentChain>
      </unresolved>
      <resolved/>
    </commentChains>
    <commentChains s:ref="AI1464" rgbClr="FF0000">
      <unresolved>
        <commentChain chainId="269ca1d74df5ef3285c457561c9bf7e8035ff15c">
          <item id="191f1bc1e5ad8842f603b0451bbb8f349d6ff48f" userID="1851561945" userName="石玉珍" dateTime="2026-06-08T01:46:11" isNormal="0">
            <s:text>
              <s:r>
                <s:t xml:space="preserve">2801421 6/6 30pcs</s:t>
              </s:r>
            </s:text>
          </item>
        </commentChain>
      </unresolved>
      <resolved/>
    </commentChains>
    <commentChains s:ref="AL1464" rgbClr="FF0000">
      <unresolved>
        <commentChain chainId="03a62501b44149a937e0ce2d5eebeac89cbdb78f">
          <item id="7f5a5489a9f08f41deb965c3b9c975e4e39ce517" isNormal="1">
            <s:text>
              <s:r>
                <s:t xml:space="preserve">Administrator:
5/21 空白贴纸 2400pcs
5/25 客供警语贴纸贴球底部 2480pcs
K客供警语贴纸球内收藏指南 2480pcs
H电池警语贴纸贴彩盒背面贴冰 2478pcs
H客供警语贴纸贴彩盒背面贴冰 2480pcs
HK客供电池警语贴纸贴球内说明 2480pcs
H客供中文说明书放入冰箱内 1263pcs
K客供电池警语贴纸贴彩盒背面 252pcs
客供中文警告说明书 252pcs</s:t>
              </s:r>
            </s:text>
          </item>
        </commentChain>
      </unresolved>
      <resolved/>
    </commentChains>
    <commentChains s:ref="AI1465" rgbClr="FF0000">
      <unresolved>
        <commentChain chainId="b5fda67bf0682fb63b3a092ca42e0233d4d8f141">
          <item id="f9b53d0e43217270f42d3a6db047caa684443884" userID="1851561945" userName="石玉珍" dateTime="2026-06-03T12:55:18" isNormal="0">
            <s:text>
              <s:r>
                <s:t xml:space="preserve">2801078 6/4 3000pcs</s:t>
              </s:r>
            </s:text>
          </item>
          <item id="68e72645b04dc6221838063177ca7735f5074900" userID="1851561945" userName="石玉珍" dateTime="2026-06-06T06:19:31" isNormal="0">
            <s:text>
              <s:r>
                <s:t xml:space="preserve">直走</s:t>
              </s:r>
            </s:text>
          </item>
        </commentChain>
      </unresolved>
      <resolved/>
    </commentChains>
    <commentChains s:ref="AL1465" rgbClr="FF0000">
      <unresolved>
        <commentChain chainId="0c27929e791a5ec6630ca86b890cb01bb0847c8c">
          <item id="2ce1f6fbf63664d9961701eee1fac2fe528e37ac" isNormal="1">
            <s:text>
              <s:r>
                <s:t xml:space="preserve">Administrator:
5/15 进口商贴纸 3000pcs
正面-收藏指南贴纸 3000pcs
背面-收藏指南贴纸 3000pcs
UPC条码贴纸 3000pcs
</s:t>
              </s:r>
            </s:text>
          </item>
        </commentChain>
      </unresolved>
      <resolved/>
    </commentChains>
    <commentChains s:ref="AI1466" rgbClr="FF0000">
      <unresolved>
        <commentChain chainId="ac862393c8bfbfbdc1d7344c0c59969f24b879ff">
          <item id="45c50a69f05e78ee5c6eef290d2d1f6d6a8ad8ec" userID="1851561945" userName="石玉珍" dateTime="2026-06-06T02:03:40" isNormal="0">
            <s:text>
              <s:r>
                <s:t xml:space="preserve">2801111 6/5 1550pcs</s:t>
              </s:r>
            </s:text>
          </item>
          <item id="412b160638d9c5deea0e4d89a5fd49e658a079bc" userID="1851561945" userName="石玉珍" dateTime="2026-06-08T03:28:42" isNormal="0">
            <s:text>
              <s:r>
                <s:t xml:space="preserve">张顶b3</s:t>
              </s:r>
            </s:text>
          </item>
        </commentChain>
      </unresolved>
      <resolved/>
    </commentChains>
    <commentChains s:ref="AI1467" rgbClr="FF0000">
      <unresolved>
        <commentChain chainId="193c258402dce5b28ff563429f6e200dcbac2f5a">
          <item id="ca2c4c4e6d77fd8250ec62cbb7dea006a7f3bf67" userID="1851561945" userName="石玉珍" dateTime="2026-06-06T01:57:16" isNormal="0">
            <s:text>
              <s:r>
                <s:t xml:space="preserve">2801111 6/5 3800pcs</s:t>
              </s:r>
            </s:text>
          </item>
          <item id="ff9332faaef22f6ef438e3fb1a4c0ee37b05df08" userID="1851561945" userName="石玉珍" dateTime="2026-06-08T03:28:52" isNormal="0">
            <s:text>
              <s:r>
                <s:t xml:space="preserve">张顶a13</s:t>
              </s:r>
            </s:text>
          </item>
        </commentChain>
      </unresolved>
      <resolved/>
    </commentChains>
    <commentChains s:ref="AL1467" rgbClr="FF0000">
      <unresolved>
        <commentChain chainId="7fea154c0f054c77fe108d63d72adcd25f6ae6ab">
          <item id="d2e1ff9eb0077a5e95c4133eaba6d7e9a46630ae" isNormal="1">
            <s:text>
              <s:r>
                <s:t xml:space="preserve">Administrator:
5/22 进口商贴纸 3800pcs</s:t>
              </s:r>
            </s:text>
          </item>
        </commentChain>
      </unresolved>
      <resolved/>
    </commentChains>
    <commentChains s:ref="AI1468" rgbClr="FF0000">
      <unresolved>
        <commentChain chainId="203894611b0e9b75f4bc44148d1b699614571547">
          <item id="7f85ca3dc8f2f4d4e6ef201e54accb60bb38a972" userID="1851561945" userName="石玉珍" dateTime="2026-06-06T01:57:42" isNormal="0">
            <s:text>
              <s:r>
                <s:t xml:space="preserve">2801111 6/5 3500pcs</s:t>
              </s:r>
            </s:text>
          </item>
          <item id="7f05aaa11386d7c20169c6453eb8d96c25110e94" userID="1851561945" userName="石玉珍" dateTime="2026-06-08T03:29:05" isNormal="0">
            <s:text>
              <s:r>
                <s:t xml:space="preserve">张顶a7</s:t>
              </s:r>
            </s:text>
          </item>
        </commentChain>
      </unresolved>
      <resolved/>
    </commentChains>
    <commentChains s:ref="AL1468" rgbClr="FF0000">
      <unresolved>
        <commentChain chainId="e621cb4d46f08aeafd02f8e0a568d0e7fb6d1eab">
          <item id="46fd0cee4921a8cb10ceb6a3ade99eaf75959763" isNormal="1">
            <s:text>
              <s:r>
                <s:t xml:space="preserve">Administrator:
5/22 进口商贴纸 5050pcs</s:t>
              </s:r>
            </s:text>
          </item>
        </commentChain>
      </unresolved>
      <resolved/>
    </commentChains>
    <commentChains s:ref="AI1469" rgbClr="FF0000">
      <unresolved>
        <commentChain chainId="6288e76c34e806a9b0925a4dc9f91bbcad3b6e11">
          <item id="d5dad9015ef17cda10c2f2f39cf66240a9e96518" userID="1851561945" userName="石玉珍" dateTime="2026-06-06T01:57:58" isNormal="0">
            <s:text>
              <s:r>
                <s:t xml:space="preserve">2801111 6/5 8550pcs</s:t>
              </s:r>
            </s:text>
          </item>
          <item id="b04fbef34c94c59f86bf9b37d5d24e2d43382a1f" userID="1851561945" userName="石玉珍" dateTime="2026-06-08T03:29:16" isNormal="0">
            <s:text>
              <s:r>
                <s:t xml:space="preserve">张顶a7</s:t>
              </s:r>
            </s:text>
          </item>
        </commentChain>
      </unresolved>
      <resolved/>
    </commentChains>
    <commentChains s:ref="AL1469" rgbClr="FF0000">
      <unresolved>
        <commentChain chainId="8a6e7a66928b81ce69866fbb0fab804b1b2670d4">
          <item id="411349cd9f4d2aabb1d3d18c348575569c958fd9" isNormal="1">
            <s:text>
              <s:r>
                <s:t xml:space="preserve">Administrator:
5/22 进口商贴纸 8550pcs
</s:t>
              </s:r>
            </s:text>
          </item>
        </commentChain>
      </unresolved>
      <resolved/>
    </commentChains>
    <commentChains s:ref="AI1470" rgbClr="FF0000">
      <unresolved>
        <commentChain chainId="93a17d30e367e5d17f9ea5b345f4d2837d5f11ac">
          <item id="0ac6f760bbcb02927a8b481a96047fdd4ea20a83" userID="1851561945" userName="石玉珍" dateTime="2026-06-06T01:55:15" isNormal="0">
            <s:text>
              <s:r>
                <s:t xml:space="preserve">2801111 6/5 2400pcs</s:t>
              </s:r>
            </s:text>
          </item>
          <item id="130c997b558db730f52966b385aee29a2e34b278" userID="1851561945" userName="石玉珍" dateTime="2026-06-08T03:28:31" isNormal="0">
            <s:text>
              <s:r>
                <s:t xml:space="preserve">张顶b8</s:t>
              </s:r>
            </s:text>
          </item>
        </commentChain>
      </unresolved>
      <resolved/>
    </commentChains>
    <commentChains s:ref="AL1470" rgbClr="FF0000">
      <unresolved>
        <commentChain chainId="d1d42cdcdac88ce74ab9c2ea48f6a329ccd98e59">
          <item id="7fcfa533a818ce56df95c8769b0ec09e05f353cb" isNormal="1">
            <s:text>
              <s:r>
                <s:t xml:space="preserve">Administrator:
5/5 进口商贴纸 2400pcs</s:t>
              </s:r>
            </s:text>
          </item>
        </commentChain>
      </unresolved>
      <resolved/>
    </commentChains>
    <commentChains s:ref="AI1472" rgbClr="FF0000">
      <unresolved>
        <commentChain chainId="48c9e8ee593b6aa7ba936fcd9822518c9c5ac2c5">
          <item id="7d7f372180baf9f18111d23534d12cc51df0562f" userID="1851561945" userName="石玉珍" dateTime="2026-06-09T12:57:44" isNormal="0">
            <s:text>
              <s:r>
                <s:t xml:space="preserve">2801154 6/9 2400pcs</s:t>
              </s:r>
            </s:text>
          </item>
        </commentChain>
      </unresolved>
      <resolved/>
    </commentChains>
    <commentChains s:ref="AL1472" rgbClr="FF0000">
      <unresolved>
        <commentChain chainId="f0605503e993c997c0f19851618c5e75190aebe3">
          <item id="cda87b8596cc6bb8750b23c3acd23c304b799cfb" isNormal="1">
            <s:text>
              <s:r>
                <s:t xml:space="preserve">Administrator:
5/18 进口商贴纸 2400pcs
UPC贴纸 2400pcs</s:t>
              </s:r>
            </s:text>
          </item>
        </commentChain>
      </unresolved>
      <resolved/>
    </commentChains>
    <commentChains s:ref="AI1473" rgbClr="FF0000">
      <unresolved>
        <commentChain chainId="499e09570e9d191dce944146dd68d98a50c3be20">
          <item id="d313eece76b2c626a3ada9d225f832a942d00595" userID="1851561945" userName="石玉珍" dateTime="2026-06-09T12:53:44" isNormal="0">
            <s:text>
              <s:r>
                <s:t xml:space="preserve">2801154 6/9 1850pcs</s:t>
              </s:r>
            </s:text>
          </item>
        </commentChain>
      </unresolved>
      <resolved/>
    </commentChains>
    <commentChains s:ref="AL1473" rgbClr="FF0000">
      <unresolved>
        <commentChain chainId="3fff50c187a9f964571bc487023a4ab1d2989735">
          <item id="e3a83cb676f6dbcace80745200afe174720c2eb2" isNormal="1">
            <s:text>
              <s:r>
                <s:t xml:space="preserve">Administrator:
5/18 进口商贴纸 1850pcs
UPC贴纸 1850pcs</s:t>
              </s:r>
            </s:text>
          </item>
        </commentChain>
      </unresolved>
      <resolved/>
    </commentChains>
    <commentChains s:ref="AI1474" rgbClr="FF0000">
      <unresolved>
        <commentChain chainId="42952d8d631a5cea94809a08e916142c4bc2d5e5">
          <item id="3d6677631c3f2a496cc50a58e967c9e7c46d7eaf" userID="1851561945" userName="石玉珍" dateTime="2026-06-09T12:53:50" isNormal="0">
            <s:text>
              <s:r>
                <s:t xml:space="preserve">2801154 6/9 1050pcs</s:t>
              </s:r>
            </s:text>
          </item>
        </commentChain>
      </unresolved>
      <resolved/>
    </commentChains>
    <commentChains s:ref="AL1474" rgbClr="FF0000">
      <unresolved>
        <commentChain chainId="2afdf8cef3aa303f4629763b2306ed3aae853346">
          <item id="3c3fa812e0c3696005a78c6a7031fb5c076a2fc5" isNormal="1">
            <s:text>
              <s:r>
                <s:t xml:space="preserve">Administrator:
5/25 UPC条码贴纸 1810pcs</s:t>
              </s:r>
            </s:text>
          </item>
        </commentChain>
      </unresolved>
      <resolved/>
    </commentChains>
    <commentChains s:ref="AI1475" rgbClr="FF0000">
      <unresolved>
        <commentChain chainId="ab4dec24eb54d152d35ac478e6224e2dc4b41581">
          <item id="e67a27412779bd5fe0d07637f7c2c2f4cc823746" userID="1851561945" userName="石玉珍" dateTime="2026-06-09T07:33:01" isNormal="0">
            <s:text>
              <s:r>
                <s:t xml:space="preserve">2801168 6/8 1248pcs</s:t>
              </s:r>
            </s:text>
          </item>
        </commentChain>
      </unresolved>
      <resolved/>
    </commentChains>
    <commentChains s:ref="AL1475" rgbClr="FF0000">
      <unresolved>
        <commentChain chainId="01ff7e5d62950e9d1d6b5f9ce090124f21492d3f">
          <item id="96d76902390717997e06ecebd1b9586a3e0c430b" isNormal="1">
            <s:text>
              <s:r>
                <s:t xml:space="preserve">Administrator:
5/21 UPC条码贴纸 1248pcs
5/25 H客供警语贴纸贴球底部 1290pcs
H客供警语贴说明书 1290pcs
K客供警语贴收藏指南 1290pcs
</s:t>
              </s:r>
            </s:text>
          </item>
        </commentChain>
      </unresolved>
      <resolved/>
    </commentChains>
    <commentChains s:ref="AI1476" rgbClr="FF0000">
      <unresolved>
        <commentChain chainId="9f82ecbae27be44e6f4d124703d3acc8ae60f8b5">
          <item id="2b0a71dfb8542f77c24c43d4b346fa238bc9d467" userID="1851561945" userName="石玉珍" dateTime="2026-06-11T03:21:06" isNormal="0">
            <s:text>
              <s:r>
                <s:t xml:space="preserve">2801184 6/10 1508pcs</s:t>
              </s:r>
            </s:text>
          </item>
        </commentChain>
      </unresolved>
      <resolved/>
    </commentChains>
    <commentChains s:ref="AL1476" rgbClr="FF0000">
      <unresolved>
        <commentChain chainId="1a07faf8eda3b8bc3510ad4a1305cc4ea917dc57">
          <item id="fad0c76c3d9c9d771a52b3a114610ab6221ba7bd" isNormal="1">
            <s:text>
              <s:r>
                <s:t xml:space="preserve">Administrator:
5/19 大语警告语贴 1508pcs
小语警告语贴 10556pcs
丹麦瑞典芬兰挪威警告语贴 1508pcs
.</s:t>
              </s:r>
            </s:text>
          </item>
        </commentChain>
      </unresolved>
      <resolved/>
    </commentChains>
    <commentChains s:ref="AI1477" rgbClr="FF0000">
      <unresolved>
        <commentChain chainId="3d2b4a8c83b5656ac528c4a9d45b132af64145d4">
          <item id="4a62b1224ecd520929dfcb32ce3c3219622d1a50" userID="1851561945" userName="石玉珍" dateTime="2026-06-09T12:56:50" isNormal="0">
            <s:text>
              <s:r>
                <s:t xml:space="preserve">2801154 6/9 1550pcs</s:t>
              </s:r>
            </s:text>
          </item>
        </commentChain>
      </unresolved>
      <resolved/>
    </commentChains>
    <commentChains s:ref="AL1477" rgbClr="FF0000">
      <unresolved>
        <commentChain chainId="5bfc1bbbb7a352a619c0596afe22ba405ca1a9ca">
          <item id="3109fad71abef162067822f406135ff69523866c" isNormal="1">
            <s:text>
              <s:r>
                <s:t xml:space="preserve">Administrator:
5/18 进口商贴纸 1550pcs
</s:t>
              </s:r>
            </s:text>
          </item>
        </commentChain>
      </unresolved>
      <resolved/>
    </commentChains>
    <commentChains s:ref="AI1478" rgbClr="FF0000">
      <unresolved>
        <commentChain chainId="7cc70174ac6820f6e306cecd718b0f336e322e49">
          <item id="9cf20ec72a271c7ddd90ce9cfc72f08ea5c4fafe" userID="1851561945" userName="石玉珍" dateTime="2026-06-09T12:56:55" isNormal="0">
            <s:text>
              <s:r>
                <s:t xml:space="preserve">2801154 6/9 960pcs</s:t>
              </s:r>
            </s:text>
          </item>
        </commentChain>
      </unresolved>
      <resolved/>
    </commentChains>
    <commentChains s:ref="AL1478" rgbClr="FF0000">
      <unresolved>
        <commentChain chainId="4ad1eb361a96a946c5142ee262a7515660c39bda">
          <item id="a4c6f11d68d3f4f08b8b0ca634d4aa3beae8fb21" isNormal="1">
            <s:text>
              <s:r>
                <s:t xml:space="preserve">Administrator:
5/26 UPC条码贴纸 960pcs</s:t>
              </s:r>
            </s:text>
          </item>
        </commentChain>
      </unresolved>
      <resolved/>
    </commentChains>
    <commentChains s:ref="AI1479" rgbClr="FF0000">
      <unresolved>
        <commentChain chainId="fd2ef26cc584596321cf386496e0e1dd3e3783f0">
          <item id="86bde04e8c00b73ad26dafc3464e6a18a8b124e8" userID="1851561945" userName="石玉珍" dateTime="2026-06-09T13:08:48" isNormal="0">
            <s:text>
              <s:r>
                <s:t xml:space="preserve">2801153 6/9 225pcs</s:t>
              </s:r>
            </s:text>
          </item>
        </commentChain>
      </unresolved>
      <resolved/>
    </commentChains>
    <commentChains s:ref="AI1480" rgbClr="FF0000">
      <unresolved>
        <commentChain chainId="7ead5d7e32adb736dcc0e5d2a85e1dfe8d5717b5">
          <item id="ff08ed6817de9229eb50a9e184a0a4f9448f675d" userID="1851561945" userName="石玉珍" dateTime="2026-06-09T13:12:12" isNormal="0">
            <s:text>
              <s:r>
                <s:t xml:space="preserve">2801153 6/9 5500pcs</s:t>
              </s:r>
            </s:text>
          </item>
          <item id="8b99b0223837e6ddc426935f17c0dcf805974ad2" userID="1851561945" userName="石玉珍" dateTime="2026-06-12T02:07:54" isNormal="0">
            <s:text>
              <s:r>
                <s:t xml:space="preserve">2801198 6/11 2500pcs</s:t>
              </s:r>
            </s:text>
          </item>
        </commentChain>
      </unresolved>
      <resolved/>
    </commentChains>
    <commentChains s:ref="AL1480" rgbClr="FF0000">
      <unresolved>
        <commentChain chainId="b48ed19f087c228496e686883227e211539508ed">
          <item id="f44a03611ac42f0dbd4dc3af5b2690cc067f7a7b" isNormal="1">
            <s:text>
              <s:r>
                <s:t xml:space="preserve">Administrator:
5/20 冰棒款-说明书荷兰语贴纸 167pcs
蛋糕款-说明书荷兰语贴纸 279pcs
布丁款-说明书荷兰语贴纸 167pcs
</s:t>
              </s:r>
            </s:text>
          </item>
        </commentChain>
      </unresolved>
      <resolved/>
    </commentChains>
    <commentChains s:ref="AI1481" rgbClr="FF0000">
      <unresolved>
        <commentChain chainId="b4124f647247fe6939cf2ae1ee7ca20e8b5c08e6">
          <item id="a287337e2605d1b7617a96c1fff0e583dc8bafd1" userID="1851561945" userName="石玉珍" dateTime="2026-06-09T13:11:37" isNormal="0">
            <s:text>
              <s:r>
                <s:t xml:space="preserve">2801153 6/9 5000pcs</s:t>
              </s:r>
            </s:text>
          </item>
        </commentChain>
      </unresolved>
      <resolved/>
    </commentChains>
    <commentChains s:ref="AL1481" rgbClr="FF0000">
      <unresolved>
        <commentChain chainId="f458ce36c9b2bd9621742dc5905fffda737baa0c">
          <item id="6dd43402a359a4610e02eac2aa7ff18a4d3854d9" isNormal="1">
            <s:text>
              <s:r>
                <s:t xml:space="preserve">Administrator:
5/20 法国回收标贴纸 5000pcs
</s:t>
              </s:r>
            </s:text>
          </item>
        </commentChain>
      </unresolved>
      <resolved/>
    </commentChains>
    <commentChains s:ref="AI1482" rgbClr="FF0000">
      <unresolved>
        <commentChain chainId="b987582c8758ed1d2dbb5fa6ed6939ab3b914984">
          <item id="d4062dbfc32c46b19de61000732444b9ea0499a9" userID="1851561945" userName="石玉珍" dateTime="2026-06-09T01:03:33" isNormal="0">
            <s:text>
              <s:r>
                <s:t xml:space="preserve">2801139 6/8 19992pcs</s:t>
              </s:r>
            </s:text>
          </item>
        </commentChain>
      </unresolved>
      <resolved/>
    </commentChains>
    <commentChains s:ref="AI1483" rgbClr="FF0000">
      <unresolved>
        <commentChain chainId="b4a2571fc95db7d23ae405379ee0933d3dc21298">
          <item id="48c7fa77a132aae9953c4dcd7db71e1e71a55e1c" userID="1851561945" userName="石玉珍" dateTime="2026-06-09T13:10:12" isNormal="0">
            <s:text>
              <s:r>
                <s:t xml:space="preserve">2801153 6/9 5408pcs</s:t>
              </s:r>
            </s:text>
          </item>
        </commentChain>
      </unresolved>
      <resolved/>
    </commentChains>
    <commentChains s:ref="AI1484" rgbClr="FF0000">
      <unresolved>
        <commentChain chainId="75b1bf4f9d547faf705260c1b10b1ed1d896da18">
          <item id="9f65deab98f3663bb38d3a05fecad3445b2709ab" userID="1851561945" userName="石玉珍" dateTime="2026-06-09T13:10:53" isNormal="0">
            <s:text>
              <s:r>
                <s:t xml:space="preserve">2801153 6/9 6550pcs</s:t>
              </s:r>
            </s:text>
          </item>
        </commentChain>
      </unresolved>
      <resolved/>
    </commentChains>
    <commentChains s:ref="AL1484" rgbClr="FF0000">
      <unresolved>
        <commentChain chainId="db5651e714889b72eb14535e232b7615a2a4a52b">
          <item id="273822dd4e4a223a6e12d4279332701e9eb31082" isNormal="1">
            <s:text>
              <s:r>
                <s:t xml:space="preserve">Administrator:
5/22 家乐福外箱贴纸 262pcs
</s:t>
              </s:r>
            </s:text>
          </item>
        </commentChain>
      </unresolved>
      <resolved/>
    </commentChains>
    <commentChains s:ref="AI1485" rgbClr="FF0000">
      <unresolved>
        <commentChain chainId="122f937b385b14e7d70600ec617dde8de6a180f2">
          <item id="12a870ad7859a30abecd54495b13ba1febc3caf5" userID="1851561945" userName="石玉珍" dateTime="2026-06-03T12:30:33" isNormal="0">
            <s:text>
              <s:r>
                <s:t xml:space="preserve">2801045  6/2 1950pcs新泰b2</s:t>
              </s:r>
            </s:text>
          </item>
          <item id="c276b75ba4bb4926b69c35896589004f570db06b" userID="1851561945" userName="石玉珍" dateTime="2026-06-04T11:46:23" isNormal="0">
            <s:text>
              <s:r>
                <s:t xml:space="preserve">2801070 6/3 50pcs</s:t>
              </s:r>
            </s:text>
          </item>
        </commentChain>
      </unresolved>
      <resolved/>
    </commentChains>
    <commentChains s:ref="AL1485" rgbClr="FF0000">
      <unresolved>
        <commentChain chainId="70ff55eefe770a8ad486919bdd441a50a13fcd00">
          <item id="7ab7319a2b8077563b70a59a3cacbbc6aee150d1" isNormal="1">
            <s:text>
              <s:r>
                <s:t xml:space="preserve">Administrator:
5/18 SNI label 40*50mm 2000pcs
UPC条码贴纸3 2000pcs
空白贴纸 2000pcs
5/25 客供SNI label 1520pcs</s:t>
              </s:r>
            </s:text>
          </item>
        </commentChain>
      </unresolved>
      <resolved/>
    </commentChains>
    <commentChains s:ref="AI1486" rgbClr="FF0000">
      <unresolved>
        <commentChain chainId="7de9c1385810078baae42d9a555221ebcae14444">
          <item id="cbcc69eb7d3986c9f27bf685f718f8354d143395" userID="1851561945" userName="石玉珍" dateTime="2026-06-11T03:41:44" isNormal="0">
            <s:text>
              <s:r>
                <s:t xml:space="preserve">2801208 6/10 182pcs</s:t>
              </s:r>
            </s:text>
          </item>
        </commentChain>
      </unresolved>
      <resolved/>
    </commentChains>
    <commentChains s:ref="AI1487" rgbClr="FF0000">
      <unresolved>
        <commentChain chainId="e25b65b137bfb47a65878d5850aa4433a13fcca6">
          <item id="98b3d98a7beec1348b60ce5cfdd45208427f1a3f" userID="1851561945" userName="石玉珍" dateTime="2026-06-11T03:41:51" isNormal="0">
            <s:text>
              <s:r>
                <s:t xml:space="preserve">2801208 6/10 299pcs</s:t>
              </s:r>
            </s:text>
          </item>
        </commentChain>
      </unresolved>
      <resolved/>
    </commentChains>
    <commentChains s:ref="AI1488" rgbClr="FF0000">
      <unresolved>
        <commentChain chainId="aa296778314c8aa8390ed84519dbd8371cddb0c5">
          <item id="9aabc5a75ef31ce664708eb19bdfdac8c60f9420" userID="1851561945" userName="石玉珍" dateTime="2026-06-11T02:19:57" isNormal="0">
            <s:text>
              <s:r>
                <s:t xml:space="preserve">2801184 6/10 4992pcs</s:t>
              </s:r>
            </s:text>
          </item>
          <item id="80c52f611e6c295156054c135b28403481b516ea" userID="1851561945" userName="石玉珍" dateTime="2026-06-12T01:55:41" isNormal="0">
            <s:text>
              <s:r>
                <s:t xml:space="preserve">0801189 6/10 12psc</s:t>
              </s:r>
            </s:text>
          </item>
        </commentChain>
      </unresolved>
      <resolved/>
    </commentChains>
    <commentChains s:ref="AL1488" rgbClr="FF0000">
      <unresolved>
        <commentChain chainId="bbb618a703039e470e049af9c76baaf8c3886d18">
          <item id="0bc53874558ac17cf1dc9addab6b34af1bcbe60c" isNormal="1">
            <s:text>
              <s:r>
                <s:t xml:space="preserve">Administrator:
5/14 客供价格贴纸 5250pcs
</s:t>
              </s:r>
            </s:text>
          </item>
        </commentChain>
      </unresolved>
      <resolved/>
    </commentChains>
    <commentChains s:ref="AI1489" rgbClr="FF0000">
      <unresolved>
        <commentChain chainId="ef2ba71ccbbc54babb0ba2a7c36d714f01db3c40">
          <item id="05d42907688471d71694f7ee227ee9904064b014" userID="1851561945" userName="石玉珍" dateTime="2026-06-11T03:44:12" isNormal="0">
            <s:text>
              <s:r>
                <s:t xml:space="preserve">2801190 6/10 17280pcs</s:t>
              </s:r>
            </s:text>
          </item>
        </commentChain>
      </unresolved>
      <resolved/>
    </commentChains>
    <commentChains s:ref="AL1489" rgbClr="FF0000">
      <unresolved>
        <commentChain chainId="1263bfcca4b4afe44305bdfe02777255276d99d8">
          <item id="111228657e774681ff4310f33bc78b9ced183f02" isNormal="1">
            <s:text>
              <s:r>
                <s:t xml:space="preserve">Administrator:
5/14 客供RID贴纸 17280pcs
</s:t>
              </s:r>
            </s:text>
          </item>
        </commentChain>
      </unresolved>
      <resolved/>
    </commentChains>
    <commentChains s:ref="AI1490" rgbClr="FF0000">
      <unresolved>
        <commentChain chainId="04d500f1eddcd17dc144ac9a8f8baa6707507481">
          <item id="c3a7c6a7140727d18f07e9144236357bb0c40ad9" userID="1851561945" userName="石玉珍" dateTime="2026-06-12T01:58:21" isNormal="0">
            <s:text>
              <s:r>
                <s:t xml:space="preserve">2801213 6/11 24000pcs</s:t>
              </s:r>
            </s:text>
          </item>
        </commentChain>
      </unresolved>
      <resolved/>
    </commentChains>
    <commentChains s:ref="AL1490" rgbClr="FF0000">
      <unresolved>
        <commentChain chainId="61b2e33c194e037de7c15ce62bcbe59840062a7e">
          <item id="b335cb6eb869fed0d534fbc28d11296d32c5dc12" isNormal="1">
            <s:text>
              <s:r>
                <s:t xml:space="preserve">Administrator:
5/14 客供RID贴纸 124000pcs</s:t>
              </s:r>
            </s:text>
          </item>
        </commentChain>
      </unresolved>
      <resolved/>
    </commentChains>
    <commentChains s:ref="AI1491" rgbClr="FF0000">
      <unresolved>
        <commentChain chainId="cb26124c57ccf939a16b2774bfe1f19ee4dca902">
          <item id="70eccaa12b6839ababd9915b70f9f0a22569e7b8" userID="1851561945" userName="石玉珍" dateTime="2026-06-11T03:29:36" isNormal="0">
            <s:text>
              <s:r>
                <s:t xml:space="preserve">2801195 6/10 15360pcs</s:t>
              </s:r>
            </s:text>
          </item>
        </commentChain>
      </unresolved>
      <resolved/>
    </commentChains>
    <commentChains s:ref="AL1491" rgbClr="FF0000">
      <unresolved>
        <commentChain chainId="fc68a0d702ceb8891493f69fd1905e2cdfcedf68">
          <item id="16ef0e00ff3c2b3eab414615297ccbbe2fd7c1e6" isNormal="1">
            <s:text>
              <s:r>
                <s:t xml:space="preserve">Administrator:
5/14 客供RID贴纸 15360pcs</s:t>
              </s:r>
            </s:text>
          </item>
        </commentChain>
      </unresolved>
      <resolved/>
    </commentChains>
    <commentChains s:ref="AI1492" rgbClr="FF0000">
      <unresolved>
        <commentChain chainId="c998d2620adc7ace14863fc85d1f376deb921be5">
          <item id="41b278f497adb09f86f18621e63688a14fc5f630" userID="1851561945" userName="石玉珍" dateTime="2026-06-11T03:44:17" isNormal="0">
            <s:text>
              <s:r>
                <s:t xml:space="preserve">2801190 6/10 12480pcs</s:t>
              </s:r>
            </s:text>
          </item>
        </commentChain>
      </unresolved>
      <resolved/>
    </commentChains>
    <commentChains s:ref="AL1492" rgbClr="FF0000">
      <unresolved>
        <commentChain chainId="6f0563211a56efac2fbbf759741af10f4911e487">
          <item id="a125e520cb2bdd29bd11e0f047ef415fd3dc4246" isNormal="1">
            <s:text>
              <s:r>
                <s:t xml:space="preserve">Administrator:
5/14 客供RID贴纸 12480pcs</s:t>
              </s:r>
            </s:text>
          </item>
        </commentChain>
      </unresolved>
      <resolved/>
    </commentChains>
    <commentChains s:ref="AI1493" rgbClr="FF0000">
      <unresolved>
        <commentChain chainId="62e632a2c81b5b8011ab20d839791d0612c9992e">
          <item id="d181bcd8f600fa0834c5ef2d35f6a420e6f70166" userID="1851561945" userName="石玉珍" dateTime="2026-06-12T01:58:29" isNormal="0">
            <s:text>
              <s:r>
                <s:t xml:space="preserve">2801213 6/11 14400pcs</s:t>
              </s:r>
            </s:text>
          </item>
        </commentChain>
      </unresolved>
      <resolved/>
    </commentChains>
    <commentChains s:ref="AL1493" rgbClr="FF0000">
      <unresolved>
        <commentChain chainId="483269402873f8586762e148b1431aa935572c05">
          <item id="44c83f159b7577c7ddb0306f4fa15740df50c7fa" isNormal="1">
            <s:text>
              <s:r>
                <s:t xml:space="preserve">Administrator:
5/14 客供RID贴纸 14400pcs</s:t>
              </s:r>
            </s:text>
          </item>
        </commentChain>
      </unresolved>
      <resolved/>
    </commentChains>
    <commentChains s:ref="AI1494" rgbClr="FF0000">
      <unresolved>
        <commentChain chainId="2e0a9b01226822e767f686c2abd02596c4a29118">
          <item id="3b8e7a29d05c80e1077688d40034881a3272476c" userID="1851561945" userName="石玉珍" dateTime="2026-06-11T03:29:51" isNormal="0">
            <s:text>
              <s:r>
                <s:t xml:space="preserve">2801195 6/10 11328pcs</s:t>
              </s:r>
            </s:text>
          </item>
          <item id="88eabda43b5101677522789833c584432f4fe942" userID="1851561945" userName="石玉珍" dateTime="2026-06-11T03:44:36" isNormal="0">
            <s:text>
              <s:r>
                <s:t xml:space="preserve">2801190 6/10 6912pcs</s:t>
              </s:r>
            </s:text>
          </item>
        </commentChain>
      </unresolved>
      <resolved/>
    </commentChains>
    <commentChains s:ref="AL1494" rgbClr="FF0000">
      <unresolved>
        <commentChain chainId="4b43591bad971e839c0d36a5ddda65ecc5c11d04">
          <item id="131404c484246ac69da542229870cc28a5243b20" isNormal="1">
            <s:text>
              <s:r>
                <s:t xml:space="preserve">Administrator:
5/14 客供RID贴纸 18240pcs</s:t>
              </s:r>
            </s:text>
          </item>
        </commentChain>
      </unresolved>
      <resolved/>
    </commentChains>
    <commentChains s:ref="AI1495" rgbClr="FF0000">
      <unresolved>
        <commentChain chainId="676b88dbbeed52dd7f8c2fe8b56964a5489f76f1">
          <item id="249fa405462701dcfac8a5d18abe274804b83705" userID="1851561945" userName="石玉珍" dateTime="2026-06-11T03:44:24" isNormal="0">
            <s:text>
              <s:r>
                <s:t xml:space="preserve">2801190 6/10 27840pcs</s:t>
              </s:r>
            </s:text>
          </item>
        </commentChain>
      </unresolved>
      <resolved/>
    </commentChains>
    <commentChains s:ref="AL1495" rgbClr="FF0000">
      <unresolved>
        <commentChain chainId="48e1d2a34f381dcf1217d197240a1c7928c0116e">
          <item id="ca8c7a891c8ff1b0c0f3d1c42d4170e2a807aa8e" isNormal="1">
            <s:text>
              <s:r>
                <s:t xml:space="preserve">Administrator:
5/14 客供RID贴纸 27840pcs</s:t>
              </s:r>
            </s:text>
          </item>
        </commentChain>
      </unresolved>
      <resolved/>
    </commentChains>
    <commentChains s:ref="AI1496" rgbClr="FF0000">
      <unresolved>
        <commentChain chainId="723376fa2eb7bfdf9b64b48e4d1f764155e494cb">
          <item id="aec0921333541aacce4597e302291003e2e19cb7" userID="1851561945" userName="石玉珍" dateTime="2026-06-12T01:56:17" isNormal="0">
            <s:text>
              <s:r>
                <s:t xml:space="preserve">2801211 6/12 1287pcs</s:t>
              </s:r>
            </s:text>
          </item>
        </commentChain>
      </unresolved>
      <resolved/>
    </commentChains>
    <commentChains s:ref="AL1496" rgbClr="FF0000">
      <unresolved>
        <commentChain chainId="16a0e9325bd5d9f695605c72b77a86a4e5b2ec60">
          <item id="857d55d523930ede0cb527400ec0c0a5c8624aff" isNormal="1">
            <s:text>
              <s:r>
                <s:t xml:space="preserve">Administrator:
5/22 大语警告语贴 300pcs
小语警告语贴 9100pcs
丹麦瑞典芬兰挪威警告 13000pcs
</s:t>
              </s:r>
            </s:text>
          </item>
        </commentChain>
      </unresolved>
      <resolved/>
    </commentChains>
    <commentChains s:ref="AI1497" rgbClr="FF0000">
      <unresolved>
        <commentChain chainId="550502476d50a7a08f4a9ffca930ff8693708087">
          <item id="6f70eecf99752c6265b0b83af3cec910be6727e4" userID="1851561945" userName="石玉珍" dateTime="2026-06-09T13:44:48" isNormal="0">
            <s:text>
              <s:r>
                <s:t xml:space="preserve">2801440 6/9 2400pcs</s:t>
              </s:r>
            </s:text>
          </item>
        </commentChain>
      </unresolved>
      <resolved/>
    </commentChains>
    <commentChains s:ref="AL1497" rgbClr="FF0000">
      <unresolved>
        <commentChain chainId="59972ae815ecbf8354dacc59fa120a29b53c7fdb">
          <item id="d112a18acdd6dd65f7da2f81393693aa5d8d41b9" isNormal="1">
            <s:text>
              <s:r>
                <s:t xml:space="preserve">Administrator:
5/20 颜色贴纸 2400pcs
空白贴纸 4800pcs</s:t>
              </s:r>
            </s:text>
          </item>
        </commentChain>
      </unresolved>
      <resolved/>
    </commentChains>
    <commentChains s:ref="AI1498" rgbClr="FF0000">
      <unresolved>
        <commentChain chainId="f2ae3f3c5c9ec2fdf1881c55c9567dbfa6bc9735">
          <item id="c20a0b18f9e1405de91255d7010c6bc926a7ad19" userID="1851561945" userName="石玉珍" dateTime="2026-06-17T00:57:58" isNormal="0">
            <s:text>
              <s:r>
                <s:t xml:space="preserve">2801217 6/16 4200pcs</s:t>
              </s:r>
            </s:text>
          </item>
        </commentChain>
      </unresolved>
      <resolved/>
    </commentChains>
    <commentChains s:ref="AI1499" rgbClr="FF0000">
      <unresolved>
        <commentChain chainId="02f1ffb02dda727675ea1ec8a2eecef754da962d">
          <item id="18a781706388be1b233bf2cbfa2dc6014928010b" userID="1851561945" userName="石玉珍" dateTime="2026-06-13T01:18:09" isNormal="0">
            <s:text>
              <s:r>
                <s:t xml:space="preserve">2500313 6/12 2520pcs</s:t>
              </s:r>
            </s:text>
          </item>
        </commentChain>
      </unresolved>
      <resolved/>
    </commentChains>
    <commentChains s:ref="AI1501" rgbClr="FF0000">
      <unresolved>
        <commentChain chainId="bbe898d4396a245d6c620eef2e625f921c1cb747">
          <item id="769c32143bf091b1ed847c4fbca62990b0780ff5" userID="1851561945" userName="石玉珍" dateTime="2026-06-13T01:19:30" isNormal="0">
            <s:text>
              <s:r>
                <s:t xml:space="preserve">2500313 6/12 1884pcs</s:t>
              </s:r>
            </s:text>
          </item>
        </commentChain>
      </unresolved>
      <resolved/>
    </commentChains>
    <commentChains s:ref="AI1502" rgbClr="FF0000">
      <unresolved>
        <commentChain chainId="d4612dd9f57ae8f60890fa25694b499a4d0d0dfd">
          <item id="c5c7bb1c6adc3e09b7b0722d460e48e1f873eb2d" userID="1851561945" userName="石玉珍" dateTime="2026-06-11T02:18:37" isNormal="0">
            <s:text>
              <s:r>
                <s:t xml:space="preserve">2801446 6/10 2004pcs</s:t>
              </s:r>
            </s:text>
          </item>
        </commentChain>
      </unresolved>
      <resolved/>
    </commentChains>
    <commentChains s:ref="AL1502" rgbClr="FF0000">
      <unresolved>
        <commentChain chainId="735928191bb36499b86b25655f7c257f902925a7">
          <item id="da021f0a57bd454060c161d60d82947e54d7e50b" isNormal="1">
            <s:text>
              <s:r>
                <s:t xml:space="preserve">Administrator:
5/26 客供价格贴纸 2105pcs
</s:t>
              </s:r>
            </s:text>
          </item>
        </commentChain>
      </unresolved>
      <resolved/>
    </commentChains>
    <commentChains s:ref="AI1503" rgbClr="FF0000">
      <unresolved>
        <commentChain chainId="cf987f496bada577b56b8ec4d4266871f38cc819">
          <item id="fe361f8ef217aaf5f3228f5ab009a8b9c6819b62" userID="1851561945" userName="石玉珍" dateTime="2026-06-11T02:18:40" isNormal="0">
            <s:text>
              <s:r>
                <s:t xml:space="preserve">2801446 6/10 2004pcs</s:t>
              </s:r>
            </s:text>
          </item>
        </commentChain>
      </unresolved>
      <resolved/>
    </commentChains>
    <commentChains s:ref="AL1503" rgbClr="FF0000">
      <unresolved>
        <commentChain chainId="c431450ef9c86b1917047597e3717dc0c37ab6ea">
          <item id="5145e0b9b6ab50e7d92bcdce8c7ee422a0b8ae40" isNormal="1">
            <s:text>
              <s:r>
                <s:t xml:space="preserve">Administrator:
5/26 客供价格贴纸 2105pcs
</s:t>
              </s:r>
            </s:text>
          </item>
        </commentChain>
      </unresolved>
      <resolved/>
    </commentChains>
    <commentChains s:ref="AI1504" rgbClr="FF0000">
      <unresolved>
        <commentChain chainId="4b1037b5091724d74aba21c28d4ea215904b1ef9">
          <item id="e643f276c9562c0b3cc988623cd31057b34b419c" userID="1851561945" userName="石玉珍" dateTime="2026-06-11T03:23:33" isNormal="0">
            <s:text>
              <s:r>
                <s:t xml:space="preserve">2801449 6/10 6204pcs</s:t>
              </s:r>
            </s:text>
          </item>
        </commentChain>
      </unresolved>
      <resolved/>
    </commentChains>
    <commentChains s:ref="AL1504" rgbClr="FF0000">
      <unresolved>
        <commentChain chainId="448453a35950abd0534506570afc289f05b8ce47">
          <item id="72eac2a5e984587e5def3646f54801526e54cebd" isNormal="1">
            <s:text>
              <s:r>
                <s:t xml:space="preserve">Administrator:
5/27 客供芯片码贴纸 6204pcs</s:t>
              </s:r>
            </s:text>
          </item>
          <item id="5b753ce05cd018c4c29167ecc790b876b2a741a6" userID="1851561945" userName="石玉珍" dateTime="2026-05-30T13:56:48" isNormal="0">
            <s:text>
              <s:r>
                <s:t xml:space="preserve">5/28 3c贴纸 6204pcs</s:t>
              </s:r>
            </s:text>
          </item>
          <item id="36551c42b63bad966bf5321c227adfd613d5a71f" userID="1851561945" userName="石玉珍" dateTime="2026-05-31T06:17:47" isNormal="0">
            <s:text>
              <s:r>
                <s:t xml:space="preserve">5/28 颜色贴纸 6204pcs</s:t>
              </s:r>
            </s:text>
          </item>
          <item id="8e3e0f1be5e915dd2325d87b54badc482c6561e5" userID="1851561945" userName="石玉珍" dateTime="2026-05-31T06:42:48" isNormal="0">
            <s:text>
              <s:r>
                <s:t xml:space="preserve">空白贴纸 6204*2pcs</s:t>
              </s:r>
            </s:text>
          </item>
        </commentChain>
      </unresolved>
      <resolved/>
    </commentChains>
    <commentChains s:ref="AI1505" rgbClr="FF0000">
      <unresolved>
        <commentChain chainId="9962708260594f0c3d793a693ab0abf8e3f9b39a">
          <item id="1e718473f7ad58afce7eb08aa4561d4ba76eb945" userID="1851561945" userName="石玉珍" dateTime="2026-06-15T12:24:53" isNormal="0">
            <s:text>
              <s:r>
                <s:t xml:space="preserve">2801260 6/15 19825pcs</s:t>
              </s:r>
            </s:text>
          </item>
        </commentChain>
      </unresolved>
      <resolved/>
    </commentChains>
    <commentChains s:ref="AL1505" rgbClr="FF0000">
      <unresolved>
        <commentChain chainId="dae2ff2d96a564a5723f918cfb4706cbbe9bcf52">
          <item id="7f972a95075235c02bd55a9b2d390e6f041ee75b" isNormal="1">
            <s:text>
              <s:r>
                <s:t xml:space="preserve">Administrator:
5/27 多语警语折叠贴纸 19825pcs </s:t>
              </s:r>
            </s:text>
          </item>
        </commentChain>
      </unresolved>
      <resolved/>
    </commentChains>
    <commentChains s:ref="AI1506" rgbClr="FF0000">
      <unresolved>
        <commentChain chainId="5326416de95d2c62d2b84cbb855422c15a240017">
          <item id="8e769222b62d012356b205e49d8a78a3cddb42de" userID="1851561945" userName="石玉珍" dateTime="2026-06-15T12:24:34" isNormal="0">
            <s:text>
              <s:r>
                <s:t xml:space="preserve">2801260 6/15 6500pcs</s:t>
              </s:r>
            </s:text>
          </item>
        </commentChain>
      </unresolved>
      <resolved/>
    </commentChains>
    <commentChains s:ref="AL1506" rgbClr="FF0000">
      <unresolved>
        <commentChain chainId="cb28b300e09cd91be28792748a4e5fbf3ccf7082">
          <item id="5f2f9b2cadc627fcfcc1bfb5a676ab7033798925" isNormal="1">
            <s:text>
              <s:r>
                <s:t xml:space="preserve">Administrator:
5/21 多语警语折叠贴纸 6500pcs
 </s:t>
              </s:r>
            </s:text>
          </item>
        </commentChain>
      </unresolved>
      <resolved/>
    </commentChains>
    <commentChains s:ref="AI1507" rgbClr="FF0000">
      <unresolved>
        <commentChain chainId="19602362fca1358270908bffdd0cbdd0833c0d6a">
          <item id="f158a176b2d3622b0d51b9fa6c189ccb54f2d478" userID="1851561945" userName="石玉珍" dateTime="2026-06-13T01:23:17" isNormal="0">
            <s:text>
              <s:r>
                <s:t xml:space="preserve">2801235 6/12 1404pcs</s:t>
              </s:r>
            </s:text>
          </item>
        </commentChain>
      </unresolved>
      <resolved/>
    </commentChains>
    <commentChains s:ref="AL1507" rgbClr="FF0000">
      <unresolved>
        <commentChain chainId="cce5fdd332a497be89bdea08a33d1570928e530b">
          <item id="9c0c4cf58ed7a3da0b065ccad5c017573dd6d403" isNormal="1">
            <s:text>
              <s:r>
                <s:t xml:space="preserve">Administrator:
5/18 客供价格贴纸 1404pcs
5/22 空白贴纸 1404pcs*2
</s:t>
              </s:r>
            </s:text>
          </item>
        </commentChain>
      </unresolved>
      <resolved/>
    </commentChains>
    <commentChains s:ref="AI1508" rgbClr="FF0000">
      <unresolved>
        <commentChain chainId="2fbc501e6f04063706176cf5f5c3de09c87828f3">
          <item id="2eeee8930afd4783745a03caa41cd7a4cbe7a908" userID="1851561945" userName="石玉珍" dateTime="2026-06-13T01:24:14" isNormal="0">
            <s:text>
              <s:r>
                <s:t xml:space="preserve">2801235 6/12 1596pcs</s:t>
              </s:r>
            </s:text>
          </item>
        </commentChain>
      </unresolved>
      <resolved/>
    </commentChains>
    <commentChains s:ref="AL1508" rgbClr="FF0000">
      <unresolved>
        <commentChain chainId="8262d728547e59042201d99fe03c23ca374933e3">
          <item id="44ffb2831b60924d9d9368caf869f16e3acc93c1" isNormal="1">
            <s:text>
              <s:r>
                <s:t xml:space="preserve">Administrator:
5/18 客供价格贴纸 1596pcs
5/22 空白贴纸 1596*2pcs
</s:t>
              </s:r>
            </s:text>
          </item>
        </commentChain>
      </unresolved>
      <resolved/>
    </commentChains>
    <commentChains s:ref="AI1509" rgbClr="FF0000">
      <unresolved>
        <commentChain chainId="b720a6c2d558aea5b878bed6b3f82dd860dc2f1c">
          <item id="e9f541e99e4d08db7a0b0614397564a629834490" userID="1851561945" userName="石玉珍" dateTime="2026-06-18T01:07:29" isNormal="0">
            <s:text>
              <s:r>
                <s:t xml:space="preserve">2201052 6/17 1200pcs</s:t>
              </s:r>
            </s:text>
          </item>
        </commentChain>
      </unresolved>
      <resolved/>
    </commentChains>
    <commentChains s:ref="AI1510" rgbClr="FF0000">
      <unresolved>
        <commentChain chainId="31a55cf0054c44c8ddb62e7637f3461ea23c803c">
          <item id="ce6c735966690e9d6cec3d7cd1d1648a41142a72" userID="1851561945" userName="石玉珍" dateTime="2026-06-18T01:14:40" isNormal="0">
            <s:text>
              <s:r>
                <s:t xml:space="preserve">2201052 6/17 2220pcs</s:t>
              </s:r>
            </s:text>
          </item>
        </commentChain>
      </unresolved>
      <resolved/>
    </commentChains>
    <commentChains s:ref="AL1510" rgbClr="FF0000">
      <unresolved>
        <commentChain chainId="f80a8134f2c220dd302cdef12866a642c1ccaa13">
          <item id="2b31c8da2452fb66bcd31b40d5d8ceeced7931f2" userID="1851561945" userName="石玉珍" dateTime="2026-05-31T07:16:58" isNormal="0">
            <s:text>
              <s:r>
                <s:t xml:space="preserve">5/29 进口商贴纸 2200pcs
UPC贴纸 </s:t>
              </s:r>
            </s:text>
          </item>
        </commentChain>
      </unresolved>
      <resolved/>
    </commentChains>
    <commentChains s:ref="AI1511" rgbClr="FF0000">
      <unresolved>
        <commentChain chainId="dc3dbbd266ce86622dcbd2ccfc5757145122d260">
          <item id="b1a7bbb27a4326b836c4cabf09403419f2ee673b" userID="1851561945" userName="石玉珍" dateTime="2026-06-16T13:32:38" isNormal="0">
            <s:text>
              <s:r>
                <s:t xml:space="preserve">2201045 6/16 4000pcs</s:t>
              </s:r>
            </s:text>
          </item>
        </commentChain>
      </unresolved>
      <resolved/>
    </commentChains>
    <commentChains s:ref="AL1511" rgbClr="FF0000">
      <unresolved>
        <commentChain chainId="f0845395c4d5a727f212fdcfabdfb8369939d616">
          <item id="4a844911f7cd236bfda7bc67e13e655296c6f605" isNormal="1">
            <s:text>
              <s:r>
                <s:t xml:space="preserve">Administrator:
5/20 法国回收标贴纸 4000pcs</s:t>
              </s:r>
            </s:text>
          </item>
        </commentChain>
      </unresolved>
      <resolved/>
    </commentChains>
    <commentChains s:ref="AI1512" rgbClr="FF0000">
      <unresolved>
        <commentChain chainId="1e085558dabc1107c807f68e53c9d7c376705e7b">
          <item id="8f3e86ee6f1ad8a5404344bda35dfa5e6c8dec1a" userID="1851561945" userName="石玉珍" dateTime="2026-06-16T13:25:34" isNormal="0">
            <s:text>
              <s:r>
                <s:t xml:space="preserve">2201043 6/16 22080pcs</s:t>
              </s:r>
            </s:text>
          </item>
        </commentChain>
      </unresolved>
      <resolved/>
    </commentChains>
    <commentChains s:ref="AL1512" rgbClr="FF0000">
      <unresolved>
        <commentChain chainId="a4f43fd939a5a0d33bb146a5209820d39d3de49b">
          <item id="62dc25ec5dc2ea6f1b95566fdeeb5229ad4a4c95" isNormal="1">
            <s:text>
              <s:r>
                <s:t xml:space="preserve">Administrator:
5/25 客供RFID贴纸 00280pc
</s:t>
              </s:r>
            </s:text>
          </item>
        </commentChain>
      </unresolved>
      <resolved/>
    </commentChains>
    <commentChains s:ref="AI1513" rgbClr="FF0000">
      <unresolved>
        <commentChain chainId="46db3c19ecdab5cd848eca1adf1940a3e05d4d65">
          <item id="9293e7f685f56e45483f9a8e1c1bb6f08b86973b" userID="1851561945" userName="石玉珍" dateTime="2026-06-16T13:27:58" isNormal="0">
            <s:text>
              <s:r>
                <s:t xml:space="preserve">2201045 6/16 2880pcs</s:t>
              </s:r>
            </s:text>
          </item>
        </commentChain>
      </unresolved>
      <resolved/>
    </commentChains>
    <commentChains s:ref="AL1513" rgbClr="FF0000">
      <unresolved>
        <commentChain chainId="f454cd341fa9b84bab18b6b0dabc7384d9d0ae6b">
          <item id="aa5e895b609f692a3ff9963f00c5dee5027591f5" isNormal="1">
            <s:text>
              <s:r>
                <s:t xml:space="preserve">Administrator:
5/25 客供RFID贴纸0880pc
</s:t>
              </s:r>
            </s:text>
          </item>
        </commentChain>
      </unresolved>
      <resolved/>
    </commentChains>
    <commentChains s:ref="AI1514" rgbClr="FF0000">
      <unresolved>
        <commentChain chainId="f8e807ad4ce62533dac6dbbdafb5392229dd1f92">
          <item id="106a4f1d653731d056d32ad4fe478c59bbe725d2" userID="1851561945" userName="石玉珍" dateTime="2026-06-16T13:25:40" isNormal="0">
            <s:text>
              <s:r>
                <s:t xml:space="preserve">2201043 6/16 6144pcs</s:t>
              </s:r>
            </s:text>
          </item>
          <item id="69b7d8f7c890e4d9387970760a30326ac565b560" userID="1851561945" userName="石玉珍" dateTime="2026-06-16T13:27:46" isNormal="0">
            <s:text>
              <s:r>
                <s:t xml:space="preserve">2201045 6/16 11136pcs</s:t>
              </s:r>
            </s:text>
          </item>
        </commentChain>
      </unresolved>
      <resolved/>
    </commentChains>
    <commentChains s:ref="AL1514" rgbClr="FF0000">
      <unresolved>
        <commentChain chainId="0b511c2ff77f59377032c2de641a8f7dcab4cc56">
          <item id="e9a5d7189c0694985fc4bdefd32852b534a297ac" isNormal="1">
            <s:text>
              <s:r>
                <s:t xml:space="preserve">Administrator:
5/25 客供RFID贴纸 17280pc
</s:t>
              </s:r>
            </s:text>
          </item>
        </commentChain>
      </unresolved>
      <resolved/>
    </commentChains>
    <commentChains s:ref="AI1515" rgbClr="FF0000">
      <unresolved>
        <commentChain chainId="138b305767790f58dddb69bb75c51c976f881cad">
          <item id="149df28a4520d539e8d979d032247b9113202a22" userID="1851561945" userName="石玉珍" dateTime="2026-06-16T13:25:47" isNormal="0">
            <s:text>
              <s:r>
                <s:t xml:space="preserve">2201043 6/16 30702pcs</s:t>
              </s:r>
            </s:text>
          </item>
          <item id="ec6438b50a6a31636fe647ace158cc5de09595fb" userID="1851561945" userName="石玉珍" dateTime="2026-06-22T02:08:25" isNormal="0">
            <s:text>
              <s:r>
                <s:t xml:space="preserve">2201095 6/20 1920pcs</s:t>
              </s:r>
            </s:text>
          </item>
        </commentChain>
      </unresolved>
      <resolved/>
    </commentChains>
    <commentChains s:ref="AL1515" rgbClr="FF0000">
      <unresolved>
        <commentChain chainId="49ad094178e7bd5a7aaf284cf8f9898821c39be3">
          <item id="291c7fa4c91edd44d210f3df92373304d4560c55" isNormal="1">
            <s:text>
              <s:r>
                <s:t xml:space="preserve">Administrator:
5/25 客供RFID贴纸 93640pc
</s:t>
              </s:r>
            </s:text>
          </item>
        </commentChain>
      </unresolved>
      <resolved/>
    </commentChains>
    <commentChains s:ref="AI1516" rgbClr="FF0000">
      <unresolved>
        <commentChain chainId="3b1d5af1a478df537cf576d6f91d73b6d3cb7c4a">
          <item id="4473813a39d5c37d7f5bc71193fab192f133c365" userID="1851561945" userName="石玉珍" dateTime="2026-06-16T13:28:10" isNormal="0">
            <s:text>
              <s:r>
                <s:t xml:space="preserve">2201045 6/16 22080pcs</s:t>
              </s:r>
            </s:text>
          </item>
        </commentChain>
      </unresolved>
      <resolved/>
    </commentChains>
    <commentChains s:ref="AL1516" rgbClr="FF0000">
      <unresolved>
        <commentChain chainId="9a23a3f7f2f46facc9e8a02975b7ab1bc44a370c">
          <item id="c4079efd577e87291dc328c6837e343e6812f43f" isNormal="1">
            <s:text>
              <s:r>
                <s:t xml:space="preserve">Administrator:
5/25 客供RFID贴纸 22080pcs</s:t>
              </s:r>
            </s:text>
          </item>
        </commentChain>
      </unresolved>
      <resolved/>
    </commentChains>
    <commentChains s:ref="AI1517" rgbClr="FF0000">
      <unresolved>
        <commentChain chainId="ed3ee38d1a768af759006001f44d84ea20c46a20">
          <item id="56dff59656b9c1c7804f2591552351751025cd0e" userID="1851561945" userName="石玉珍" dateTime="2026-06-16T13:25:53" isNormal="0">
            <s:text>
              <s:r>
                <s:t xml:space="preserve">2201043 6/16 11520pcs</s:t>
              </s:r>
            </s:text>
          </item>
        </commentChain>
      </unresolved>
      <resolved/>
    </commentChains>
    <commentChains s:ref="AL1517" rgbClr="FF0000">
      <unresolved>
        <commentChain chainId="b7dc37e4be9a20dd37f9a4e7da558630a41012dc">
          <item id="39face045684c10197ca6ad725d34cd9df8728bd" isNormal="1">
            <s:text>
              <s:r>
                <s:t xml:space="preserve">Administrator:
5/25 客供RFID贴纸 11520pc
</s:t>
              </s:r>
            </s:text>
          </item>
        </commentChain>
      </unresolved>
      <resolved/>
    </commentChains>
    <commentChains s:ref="AI1518" rgbClr="FF0000">
      <unresolved>
        <commentChain chainId="be3f170ed1a5b13f0610fd06afe75066350e2ed5">
          <item id="eee0a39ed53f3d7ae604d021bb1575db3641b828" userID="1851561945" userName="石玉珍" dateTime="2026-06-18T01:30:25" isNormal="0">
            <s:text>
              <s:r>
                <s:t xml:space="preserve">2201052 6/17 1196pcs</s:t>
              </s:r>
            </s:text>
          </item>
        </commentChain>
      </unresolved>
      <resolved/>
    </commentChains>
    <commentChains s:ref="AL1518" rgbClr="FF0000">
      <unresolved>
        <commentChain chainId="ac573195879e4ab436504d9379fe339b871a7ba9">
          <item id="331d209f291bda4843d9476d4da290df99366bb8" isNormal="1">
            <s:text>
              <s:r>
                <s:t xml:space="preserve">Administrator:
5/25 客供价格贴纸 1256pcs
</s:t>
              </s:r>
            </s:text>
          </item>
        </commentChain>
      </unresolved>
      <resolved/>
    </commentChains>
    <commentChains s:ref="AI1519" rgbClr="FF0000">
      <unresolved>
        <commentChain chainId="d1cd9b4a9c942a648eca721b69f886292284d251">
          <item id="258a9b602a6c34c2d3c1c366fecce59cb60b13b9" userID="1851561945" userName="石玉珍" dateTime="2026-06-17T00:37:17" isNormal="0">
            <s:text>
              <s:r>
                <s:t xml:space="preserve">2201049 6/16 1248pcs</s:t>
              </s:r>
            </s:text>
          </item>
        </commentChain>
      </unresolved>
      <resolved/>
    </commentChains>
    <commentChains s:ref="AL1519" rgbClr="FF0000">
      <unresolved>
        <commentChain chainId="b0f62ea68fb75099b0f1739e10cee754f9bb3b14">
          <item id="0cbcfef578a1a4fc54427bf168c28880ac005527" isNormal="1">
            <s:text>
              <s:r>
                <s:t xml:space="preserve">Administrator:
5/22 警告语贴 1248pcs
5/26 客供价格贴纸 1311pcs
</s:t>
              </s:r>
            </s:text>
          </item>
        </commentChain>
      </unresolved>
      <resolved/>
    </commentChains>
    <commentChains s:ref="AI1520" rgbClr="FF0000">
      <unresolved>
        <commentChain chainId="f585fd5962c77b9d34824b230082286f64b41ccb">
          <item id="5ccf1f383d8c438c3d30b155bfefa55be6b79b58" userID="1851561945" userName="石玉珍" dateTime="2026-06-24T13:52:14" isNormal="0">
            <s:text>
              <s:r>
                <s:t xml:space="preserve">2801538 6/26 1200pcs</s:t>
              </s:r>
            </s:text>
          </item>
        </commentChain>
      </unresolved>
      <resolved/>
    </commentChains>
    <commentChains s:ref="AL1520" rgbClr="FF0000">
      <unresolved>
        <commentChain chainId="33938eace0ef607a1c8685df79d951b35371e9d5">
          <item id="ef118b8ed84172a3b9c0423525b5815a750e16a5" isNormal="1">
            <s:text>
              <s:r>
                <s:t xml:space="preserve">Administrator:
5/22 警告语贴 1200pcs
5/26 客供价格贴纸 1200pcs
</s:t>
              </s:r>
            </s:text>
          </item>
        </commentChain>
      </unresolved>
      <resolved/>
    </commentChains>
    <commentChains s:ref="AI1521" rgbClr="FF0000">
      <unresolved>
        <commentChain chainId="c20cf93a31222a0c82aafa400916eb0f736a74b9">
          <item id="07328560b7ff7b7b97b0b2a3902ef5553520b486" userID="1851561945" userName="石玉珍" dateTime="2026-06-17T02:37:53" isNormal="0">
            <s:text>
              <s:r>
                <s:t xml:space="preserve">2201049 6/16 1209pcs</s:t>
              </s:r>
            </s:text>
          </item>
        </commentChain>
      </unresolved>
      <resolved/>
    </commentChains>
    <commentChains s:ref="AL1521" rgbClr="FF0000">
      <unresolved>
        <commentChain chainId="e08eb8a3d9b247dea4f18498542985f9b217ffd3">
          <item id="3ffa3065f771f77eafcf4fa2bb5f88768f12a6c8" isNormal="1">
            <s:text>
              <s:r>
                <s:t xml:space="preserve">Administrator:
5/22 地址贴纸 1209pcs
5/27 多语警语折叠贴纸 1209pcs</s:t>
              </s:r>
            </s:text>
          </item>
        </commentChain>
      </unresolved>
      <resolved/>
    </commentChains>
    <commentChains s:ref="AI1522" rgbClr="FF0000">
      <unresolved>
        <commentChain chainId="62721fbc62543ef608bc25176a047686d8609d6b">
          <item id="b7bb3de1d5e610b88250c43bbcde5293664323e1" userID="1851561945" userName="石玉珍" dateTime="2026-06-17T00:36:13" isNormal="0">
            <s:text>
              <s:r>
                <s:t xml:space="preserve">2201049 6/16 504pcs</s:t>
              </s:r>
            </s:text>
          </item>
        </commentChain>
      </unresolved>
      <resolved/>
    </commentChains>
    <commentChains s:ref="AL1522" rgbClr="FF0000">
      <unresolved>
        <commentChain chainId="825759936d4b6ec3488dbbddb65bb665f9148c90">
          <item id="dfc389302e41218c69a2cf0977e6df1678f0d1de" userID="1851561945" userName="石玉珍" dateTime="2026-05-30T12:40:47" isNormal="0">
            <s:text>
              <s:r>
                <s:t xml:space="preserve">5/28 德语警告语贴纸 504pcs</s:t>
              </s:r>
            </s:text>
          </item>
        </commentChain>
      </unresolved>
      <resolved/>
    </commentChains>
    <commentChains s:ref="AI1523" rgbClr="FF0000">
      <unresolved>
        <commentChain chainId="a9176b69aee081ef6cc3d7373ed6238d95fcb9b0">
          <item id="0f605b78c6beabda3ece8942016cb92eda06ea64" userID="1851561945" userName="石玉珍" dateTime="2026-06-18T01:21:42" isNormal="0">
            <s:text>
              <s:r>
                <s:t xml:space="preserve">2201052 6/17 1675pcs</s:t>
              </s:r>
            </s:text>
          </item>
        </commentChain>
      </unresolved>
      <resolved/>
    </commentChains>
    <commentChains s:ref="AL1523" rgbClr="FF0000">
      <unresolved>
        <commentChain chainId="7435082d72cbfd3ba5c31cafe61bf96879dc1ccf">
          <item id="dc3bcb2305784f338c514921917c3de58974e9cf" isNormal="1">
            <s:text>
              <s:r>
                <s:t xml:space="preserve">Administrator:
5/25 法国回收标贴纸 1675pcs</s:t>
              </s:r>
            </s:text>
          </item>
        </commentChain>
      </unresolved>
      <resolved/>
    </commentChains>
    <commentChains s:ref="AI1524" rgbClr="FF0000">
      <unresolved>
        <commentChain chainId="e05c13bf0112512186a838f14989399803dd02ab">
          <item id="15b886384cd3a956b29c782ce462e831ff915ae7" userID="1851561945" userName="石玉珍" dateTime="2026-06-17T00:35:43" isNormal="0">
            <s:text>
              <s:r>
                <s:t xml:space="preserve">2201049 6/16 725pcs</s:t>
              </s:r>
            </s:text>
          </item>
        </commentChain>
      </unresolved>
      <resolved/>
    </commentChains>
    <commentChains s:ref="AL1524" rgbClr="FF0000">
      <unresolved>
        <commentChain chainId="4ec8ff359399c5e833e6ac16942753e24e1bdd36">
          <item id="2bf61a8ef626cc76caee6a7306a03619605095a1" isNormal="1">
            <s:text>
              <s:r>
                <s:t xml:space="preserve">Administrator:
5/25 法国回收标贴纸 725pcs
</s:t>
              </s:r>
            </s:text>
          </item>
        </commentChain>
      </unresolved>
      <resolved/>
    </commentChains>
    <commentChains s:ref="AI1525" rgbClr="FF0000">
      <unresolved>
        <commentChain chainId="fff833f231071e130f72bdfb4d7cc45c00564e11">
          <item id="fc53bff2d2f4ce53a7a8a7c5bae540e3819b0d81" userID="1851561945" userName="石玉珍" dateTime="2026-06-18T01:30:55" isNormal="0">
            <s:text>
              <s:r>
                <s:t xml:space="preserve">2201052 6/17 5000pcs</s:t>
              </s:r>
            </s:text>
          </item>
        </commentChain>
      </unresolved>
      <resolved/>
    </commentChains>
    <commentChains s:ref="AL1525" rgbClr="FF0000">
      <unresolved>
        <commentChain chainId="101849ee96fbe78706f53fe90cd127f0d0e5e237">
          <item id="c0f9d242bb09961fca405eb21d562be83ddb6e51" userID="1851561945" userName="石玉珍" dateTime="2026-06-06T01:48:18" isNormal="0">
            <s:text>
              <s:r>
                <s:t xml:space="preserve">6/5 进口商贴纸 5000pcs</s:t>
              </s:r>
            </s:text>
          </item>
          <item id="f61d0f3f711ac72ae54dc67ecdc5b83870edd13c" userID="1851561945" userName="石玉珍" dateTime="2026-06-08T12:36:16" isNormal="0">
            <s:text>
              <s:r>
                <s:t xml:space="preserve">6/8 进口商贴纸 5000pcsc</s:t>
              </s:r>
            </s:text>
          </item>
        </commentChain>
      </unresolved>
      <resolved/>
    </commentChains>
    <commentChains s:ref="AI1526" rgbClr="FF0000">
      <unresolved>
        <commentChain chainId="6e101c1a4f4065bdb46e0f997841208fff2bc16b">
          <item id="f41c06e42526f424d3a9e264ca296a9ca247297c" userID="1851561945" userName="石玉珍" dateTime="2026-06-20T03:21:55" isNormal="0">
            <s:text>
              <s:r>
                <s:t xml:space="preserve">2801511 6/18 558pcs</s:t>
              </s:r>
            </s:text>
          </item>
        </commentChain>
      </unresolved>
      <resolved/>
    </commentChains>
    <commentChains s:ref="AL1526" rgbClr="FF0000">
      <unresolved>
        <commentChain chainId="64b8df0b4bad39a11724f014f0ae12a21146a25e">
          <item id="1f366c9fd90cce8c83552181f8428c5f51153fbb" isNormal="1">
            <s:text>
              <s:r>
                <s:t xml:space="preserve">Administrator:
5/21 彩盒警告语贴纸 558pcs
</s:t>
              </s:r>
            </s:text>
          </item>
        </commentChain>
      </unresolved>
      <resolved/>
    </commentChains>
    <commentChains s:ref="AI1527" rgbClr="FF0000">
      <unresolved>
        <commentChain chainId="4173063ba791d877d28bf25615e747593435e34b">
          <item id="6559d4a10955b264a3f78621f22afd666d211fc3" userID="1851561945" userName="石玉珍" dateTime="2026-06-18T02:26:06" isNormal="0">
            <s:text>
              <s:r>
                <s:t xml:space="preserve">2801490 6/17 504pcs</s:t>
              </s:r>
            </s:text>
          </item>
        </commentChain>
      </unresolved>
      <resolved/>
    </commentChains>
    <commentChains s:ref="AL1527" rgbClr="FF0000">
      <unresolved>
        <commentChain chainId="ff21ecfe708509d2ac6d7f0660f89171707d10ac">
          <item id="f0ad7c8259e4680f1c052e9696e4d08c74df0c8e" isNormal="1">
            <s:text>
              <s:r>
                <s:t xml:space="preserve">Administrator:
5/15 亚马逊外箱贴纸 84pcs
5/21 彩盒警告语贴纸 504pcs
</s:t>
              </s:r>
            </s:text>
          </item>
          <item id="aa67854f328ee288f10182a26fa9dbb03fb59f90" userID="1851561945" userName="石玉珍" dateTime="2026-05-30T13:58:09" isNormal="0">
            <s:text>
              <s:r>
                <s:t xml:space="preserve">5/28 地址贴纸 504pcs</s:t>
              </s:r>
            </s:text>
          </item>
        </commentChain>
      </unresolved>
      <resolved/>
    </commentChains>
    <commentChains s:ref="AI1528" rgbClr="FF0000">
      <unresolved>
        <commentChain chainId="96c4662ce4c6154cd2ba2164b0496f4d14791a0e">
          <item id="86fef71fe8ff6944fb262645668c7117228a7d5a" userID="1851561945" userName="石玉珍" dateTime="2026-06-18T01:32:15" isNormal="0">
            <s:text>
              <s:r>
                <s:t xml:space="preserve">2201053 6/17 492pcs</s:t>
              </s:r>
            </s:text>
          </item>
        </commentChain>
      </unresolved>
      <resolved/>
    </commentChains>
    <commentChains s:ref="AL1528" rgbClr="FF0000">
      <unresolved>
        <commentChain chainId="ab2ee4884c7c0cb352d881a33936e83ce4577686">
          <item id="f9ac39f1432035dbfc6e158e93a1d69ea64ed4e1" isNormal="1">
            <s:text>
              <s:r>
                <s:t xml:space="preserve">Administrator:
5/15 亚马逊外箱贴纸 41pcs</s:t>
              </s:r>
            </s:text>
          </item>
          <item id="48a4df17f1c0ad10c18ffd4f8a1ab7074dba527d" userID="1851561945" userName="石玉珍" dateTime="2026-05-30T13:47:26" isNormal="0">
            <s:text>
              <s:r>
                <s:t xml:space="preserve">5/28 IT环保标贴纸 492pcs
 空白贴纸 948pcs</s:t>
              </s:r>
            </s:text>
          </item>
        </commentChain>
      </unresolved>
      <resolved/>
    </commentChains>
    <commentChains s:ref="AI1529" rgbClr="FF0000">
      <unresolved>
        <commentChain chainId="9b5c4abbe5bbc6c0e2f569784475dc2d5e944ae4">
          <item id="156ab9d18189594e58c1811e6d94bb44e8251371" userID="1851561945" userName="石玉珍" dateTime="2026-06-17T00:36:45" isNormal="0">
            <s:text>
              <s:r>
                <s:t xml:space="preserve">2201049 6/16 600pcs</s:t>
              </s:r>
            </s:text>
          </item>
        </commentChain>
      </unresolved>
      <resolved/>
    </commentChains>
    <commentChains s:ref="AL1529" rgbClr="FF0000">
      <unresolved>
        <commentChain chainId="9165226e82e990b47cb2ff8c2a6b9af29d851e48">
          <item id="299db9e59e460277db9bd5c1d2e06c417bfb1d11" isNormal="1">
            <s:text>
              <s:r>
                <s:t xml:space="preserve">Administrator:
5/21 进口商贴纸 600pcs
UPC条码贴纸 600pcs</s:t>
              </s:r>
            </s:text>
          </item>
        </commentChain>
      </unresolved>
      <resolved/>
    </commentChains>
    <commentChains s:ref="AI1530" rgbClr="FF0000">
      <unresolved>
        <commentChain chainId="5b15d63161218a9c42b1df04119a9edab475f4b4">
          <item id="bdbdb5fef3dbfeffdc4062ece85764516e033549" userID="1851561945" userName="石玉珍" dateTime="2026-06-18T01:33:41" isNormal="0">
            <s:text>
              <s:r>
                <s:t xml:space="preserve">2201053 6/17 2004pcs</s:t>
              </s:r>
            </s:text>
          </item>
        </commentChain>
      </unresolved>
      <resolved/>
    </commentChains>
    <commentChains s:ref="AL1530" rgbClr="FF0000">
      <unresolved>
        <commentChain chainId="23dda704cf894b5fcdb6f0b28a1bb60a2f3e2cff">
          <item id="40d49f2bb5731148a288f8b8a13bd38d5ee91c69" isNormal="1">
            <s:text>
              <s:r>
                <s:t xml:space="preserve">Administrator:
5/18 客供价格贴纸 2004pcs
5/22 空白贴纸 2004*2pcs</s:t>
              </s:r>
            </s:text>
          </item>
        </commentChain>
      </unresolved>
      <resolved/>
    </commentChains>
    <commentChains s:ref="AI1531" rgbClr="FF0000">
      <unresolved>
        <commentChain chainId="3cfe0d8a7e4179c3e8d1ce378d3f6a4d6dba03bc">
          <item id="2f03776fb2a98247d208015f4422a2d2fb9b2706" userID="1851561945" userName="石玉珍" dateTime="2026-06-18T02:29:34" isNormal="0">
            <s:text>
              <s:r>
                <s:t xml:space="preserve">2201076 6/17 1800pcs</s:t>
              </s:r>
            </s:text>
          </item>
        </commentChain>
      </unresolved>
      <resolved/>
    </commentChains>
    <commentChains s:ref="AL1531" rgbClr="FF0000">
      <unresolved>
        <commentChain chainId="2472988723766f1b6a9afcacc1ac1fc3cf8f9704">
          <item id="add3064a55f67ee6597433a6c3f9bc774d2da495" isNormal="1">
            <s:text>
              <s:r>
                <s:t xml:space="preserve">Administrator:
5/18 客供价格贴纸 1800pcs
5/22 空白贴纸 1800*2pcs</s:t>
              </s:r>
            </s:text>
          </item>
        </commentChain>
      </unresolved>
      <resolved/>
    </commentChains>
    <commentChains s:ref="AI1532" rgbClr="FF0000">
      <unresolved>
        <commentChain chainId="f41f2fc984dbe2178398a48a131633aabe3aaffb">
          <item id="501b40097f39ae4d1a4cfb0db078cba115e41b36" userID="1851561945" userName="石玉珍" dateTime="2026-06-18T01:33:02" isNormal="0">
            <s:text>
              <s:r>
                <s:t xml:space="preserve">2201053 6/17 2004pcs</s:t>
              </s:r>
            </s:text>
          </item>
        </commentChain>
      </unresolved>
      <resolved/>
    </commentChains>
    <commentChains s:ref="AL1532" rgbClr="FF0000">
      <unresolved>
        <commentChain chainId="f0fbaa6b56069b9c821ed537390b72a752579a54">
          <item id="3223a442a2adada3501285f05fb646031d2ff63b" isNormal="1">
            <s:text>
              <s:r>
                <s:t xml:space="preserve">Administrator:
5/18 客供价格贴纸 2004pcs
5/22 空白贴纸 200*42pcs
</s:t>
              </s:r>
            </s:text>
          </item>
        </commentChain>
      </unresolved>
      <resolved/>
    </commentChains>
    <commentChains s:ref="AI1533" rgbClr="FF0000">
      <unresolved>
        <commentChain chainId="1bc800ca665a8d10a614d9428b8eb94283a8bf5c">
          <item id="725510625a3bc51ddd95933ad91f272e4e089254" userID="1851561945" userName="石玉珍" dateTime="2026-06-18T01:34:13" isNormal="0">
            <s:text>
              <s:r>
                <s:t xml:space="preserve">2201053 6/17 2196pcs</s:t>
              </s:r>
            </s:text>
          </item>
        </commentChain>
      </unresolved>
      <resolved/>
    </commentChains>
    <commentChains s:ref="AL1533" rgbClr="FF0000">
      <unresolved>
        <commentChain chainId="744cc46add6f6b7d282a53514a83d2256dab55fc">
          <item id="15a6e1126018b54f8f57f7b13d2e5ec5e32d6140" isNormal="1">
            <s:text>
              <s:r>
                <s:t xml:space="preserve">Administrator:
5/18 客供价格贴纸 2196pcs
5/22 空白贴纸 2186*2pcs
</s:t>
              </s:r>
            </s:text>
          </item>
        </commentChain>
      </unresolved>
      <resolved/>
    </commentChains>
    <commentChains s:ref="AI1534" rgbClr="FF0000">
      <unresolved>
        <commentChain chainId="f17a3461db48c71b62ac442034009532d0ae3726">
          <item id="e2a1e2be963755c3c18f2be7a794f81772937209" userID="1851561945" userName="石玉珍" dateTime="2026-07-03T09:29:51" isNormal="0">
            <s:text>
              <s:r>
                <s:t xml:space="preserve">6</s:t>
              </s:r>
            </s:text>
          </item>
        </commentChain>
      </unresolved>
      <resolved/>
    </commentChains>
    <commentChains s:ref="AL1534" rgbClr="FF0000">
      <unresolved>
        <commentChain chainId="354ee962c407b9cd109b1b65614ce99c88d677ae">
          <item id="60e90a369895ec4de0f631d022a20b845756aa1f" isNormal="1">
            <s:text>
              <s:r>
                <s:t xml:space="preserve">Administrator:
5/18 客供价格贴纸 2004pcs
5/22 空白贴纸 2004*2pcs
</s:t>
              </s:r>
            </s:text>
          </item>
        </commentChain>
      </unresolved>
      <resolved/>
    </commentChains>
    <commentChains s:ref="AI1535" rgbClr="FF0000">
      <unresolved>
        <commentChain chainId="6c0a267bb157ca7b8c1afa55f4d53717573e5157">
          <item id="fc75cb1735ae154d8b673625c6970fa70664aa75" userID="1851561945" userName="石玉珍" dateTime="2026-06-18T02:30:12" isNormal="0">
            <s:text>
              <s:r>
                <s:t xml:space="preserve">2201076 6/17 2196pcs</s:t>
              </s:r>
            </s:text>
          </item>
        </commentChain>
      </unresolved>
      <resolved/>
    </commentChains>
    <commentChains s:ref="AL1535" rgbClr="FF0000">
      <unresolved>
        <commentChain chainId="3b84cd79e6dfcccbc160aa027809e535542e670d">
          <item id="acf7bd5ac0738281d3c5d401752631499923a697" isNormal="1">
            <s:text>
              <s:r>
                <s:t xml:space="preserve">Administrator:
5/18 客供价格贴纸 2196pcs
5/22 空白贴纸 2192*2pcs
</s:t>
              </s:r>
            </s:text>
          </item>
        </commentChain>
      </unresolved>
      <resolved/>
    </commentChains>
    <commentChains s:ref="AI1536" rgbClr="FF0000">
      <unresolved>
        <commentChain chainId="e0db4a851874af981dc131f968c20b21f61c35c7">
          <item id="c83c22d44ebaf33effe91836e1d81f948156a15a" userID="1851561945" userName="石玉珍" dateTime="2026-06-16T13:32:04" isNormal="0">
            <s:text>
              <s:r>
                <s:t xml:space="preserve">2201045 6/16 2500pcs</s:t>
              </s:r>
            </s:text>
          </item>
        </commentChain>
      </unresolved>
      <resolved/>
    </commentChains>
    <commentChains s:ref="AI1537" rgbClr="FF0000">
      <unresolved>
        <commentChain chainId="c52f56d97f9191a7b9c23fd1fdac3b21d4b23023">
          <item id="b9eeade915a5ef295230d4766b9c9a2927cfdb12" userID="1851561945" userName="石玉珍" dateTime="2026-06-16T13:30:28" isNormal="0">
            <s:text>
              <s:r>
                <s:t xml:space="preserve">2201045 6/16 871pcs</s:t>
              </s:r>
            </s:text>
          </item>
        </commentChain>
      </unresolved>
      <resolved/>
    </commentChains>
    <commentChains s:ref="AL1537" rgbClr="FF0000">
      <unresolved>
        <commentChain chainId="c22da9209f5eaf244d75ebbfa80c7ab3ea7d5db3">
          <item id="bd3b1bf5585dca7d2f49ba45a3508506fdacdffb" isNormal="1">
            <s:text>
              <s:r>
                <s:t xml:space="preserve">Administrator:
5/27 白色防盗贴纸 1871pcs
</s:t>
              </s:r>
            </s:text>
          </item>
          <item id="b90834f9f27830fe9618666c96e0e9b337d3509b" userID="1851561945" userName="石玉珍" dateTime="2026-05-30T12:36:46" isNormal="0">
            <s:text>
              <s:r>
                <s:t xml:space="preserve">5/28 UPC条码贴纸 871pcs</s:t>
              </s:r>
            </s:text>
          </item>
        </commentChain>
      </unresolved>
      <resolved/>
    </commentChains>
    <commentChains s:ref="AI1538" rgbClr="FF0000">
      <unresolved>
        <commentChain chainId="ddfc0d525fd921795df441fea9db1f8192cfaaec">
          <item id="2b20c9c02737a662b066c627f9c79809637db952" userID="1851561945" userName="石玉珍" dateTime="2026-06-16T13:31:13" isNormal="0">
            <s:text>
              <s:r>
                <s:t xml:space="preserve">2201045 6/16 637pcs</s:t>
              </s:r>
            </s:text>
          </item>
        </commentChain>
      </unresolved>
      <resolved/>
    </commentChains>
    <commentChains s:ref="AL1538" rgbClr="FF0000">
      <unresolved>
        <commentChain chainId="a35c5379b64cf05463b9eb994afb5cd6cdfd177a">
          <item id="08a007c2bbe4b27f7cc726e2dab2092c7b0f10c0" isNormal="1">
            <s:text>
              <s:r>
                <s:t xml:space="preserve">Administrator:
5/27 白色防盗贴纸 637pcs
</s:t>
              </s:r>
            </s:text>
          </item>
          <item id="93181414145df4e402a729d3085c25a771ceb4f9" userID="1851561945" userName="石玉珍" dateTime="2026-05-30T12:35:42" isNormal="0">
            <s:text>
              <s:r>
                <s:t xml:space="preserve">5/28 UPC条码贴纸 637pcs</s:t>
              </s:r>
            </s:text>
          </item>
        </commentChain>
      </unresolved>
      <resolved/>
    </commentChains>
    <commentChains s:ref="AI1539" rgbClr="FF0000">
      <unresolved>
        <commentChain chainId="5b671aab8e2bdfe4cc8362d5d73389224332fb67">
          <item id="26bea5ff7f32d85b7a5f67a898ea73b8128b6686" userID="1851561945" userName="石玉珍" dateTime="2026-06-18T01:22:23" isNormal="0">
            <s:text>
              <s:r>
                <s:t xml:space="preserve">2201052 6/17 3225pcs</s:t>
              </s:r>
            </s:text>
          </item>
        </commentChain>
      </unresolved>
      <resolved/>
    </commentChains>
    <commentChains s:ref="AL1539" rgbClr="FF0000">
      <unresolved>
        <commentChain chainId="0e06e23a0ca07a33590384ba91e8b830783a13a8">
          <item id="1077cbac8b55ab43f2f857e2426fb0462f53a967" userID="1851561945" userName="石玉珍" dateTime="2026-05-31T07:51:28" isNormal="0">
            <s:text>
              <s:r>
                <s:t xml:space="preserve">5/29 法国回收标贴纸 3225pcs</s:t>
              </s:r>
            </s:text>
          </item>
        </commentChain>
      </unresolved>
      <resolved/>
    </commentChains>
    <commentChains s:ref="AI1540" rgbClr="FF0000">
      <unresolved>
        <commentChain chainId="081f021516fef906ee3676dc03b866c76156652e">
          <item id="853959845e4d077f720dad7b9347576181148566" userID="1851561945" userName="石玉珍" dateTime="2026-06-18T01:22:31" isNormal="0">
            <s:text>
              <s:r>
                <s:t xml:space="preserve">2201052 6/17 1375pcs</s:t>
              </s:r>
            </s:text>
          </item>
        </commentChain>
      </unresolved>
      <resolved/>
    </commentChains>
    <commentChains s:ref="AL1540" rgbClr="FF0000">
      <unresolved>
        <commentChain chainId="32185232b67abfc19a9111bf7ae01802711b9a99">
          <item id="bbeb7a689bffd40f0236c3d47e46955f9d2e0a5f" userID="1851561945" userName="石玉珍" dateTime="2026-05-31T07:51:38" isNormal="0">
            <s:text>
              <s:r>
                <s:t xml:space="preserve">5/29 法国回收标贴纸 1375pcs</s:t>
              </s:r>
            </s:text>
          </item>
        </commentChain>
      </unresolved>
      <resolved/>
    </commentChains>
    <commentChains s:ref="AI1541" rgbClr="FF0000">
      <unresolved>
        <commentChain chainId="8a8aba557e5df822eef8e61000a5f86d8350bba9">
          <item id="02b54df5e6c8abfef427cf434ce43b1bde202cde" userID="1851561945" userName="石玉珍" dateTime="2026-06-18T01:31:24" isNormal="0">
            <s:text>
              <s:r>
                <s:t xml:space="preserve">2201052 6/17 2500pcs</s:t>
              </s:r>
            </s:text>
          </item>
        </commentChain>
      </unresolved>
      <resolved/>
    </commentChains>
    <commentChains s:ref="AL1541" rgbClr="FF0000">
      <unresolved>
        <commentChain chainId="f3f28d70dc202f8f6d244db7163129c1989200b5">
          <item id="e1e6f641bee81c2787e4905d134e09e6a42aab63" userID="1851561945" userName="石玉珍" dateTime="2026-05-31T06:16:25" isNormal="0">
            <s:text>
              <s:r>
                <s:t xml:space="preserve"> 5/28 进口商贴纸 2500pcs  </s:t>
              </s:r>
            </s:text>
          </item>
          <item id="e6b7832e23aba351a13e05892881265d86b466ee" userID="1851561945" userName="石玉珍" dateTime="2026-05-31T06:17:13" isNormal="0">
            <s:text>
              <s:r>
                <s:t xml:space="preserve">5/28 UPC条码贴纸 2500pcs</s:t>
              </s:r>
            </s:text>
          </item>
        </commentChain>
      </unresolved>
      <resolved/>
    </commentChains>
    <commentChains s:ref="AI1542" rgbClr="FF0000">
      <unresolved>
        <commentChain chainId="8e9069c9d7a16e3c07433fef7ff28975459547f4">
          <item id="44433c2c7ccbef572faabcb51d2e14128587f8ca" userID="1851561945" userName="石玉珍" dateTime="2026-06-18T02:01:09" isNormal="0">
            <s:text>
              <s:r>
                <s:t xml:space="preserve">2201069 6/17 4000pcs</s:t>
              </s:r>
            </s:text>
          </item>
        </commentChain>
      </unresolved>
      <resolved/>
    </commentChains>
    <commentChains s:ref="AL1542" rgbClr="FF0000">
      <unresolved>
        <commentChain chainId="6537e975247ae6215a75fc54cf648d0d748f8e73">
          <item id="1e09f1b6d4606a3cc1b9f604370ca6b35934fe75" userID="1851561945" userName="石玉珍" dateTime="2026-05-30T13:34:45" isNormal="0">
            <s:text>
              <s:r>
                <s:t xml:space="preserve">5/28 纸袋希腊警语贴纸 4000pcs
客人警语贴纸 2000ps</s:t>
              </s:r>
            </s:text>
          </item>
          <item id="dc65b909c726535d1e481273d6a9a27b6e1c3703" userID="1851561945" userName="石玉珍" dateTime="2026-06-03T12:18:45" isNormal="0">
            <s:text>
              <s:r>
                <s:t xml:space="preserve">6/2 纸袋希腊警语贴纸 4000pcs</s:t>
              </s:r>
            </s:text>
          </item>
          <item id="a168c5c7a4d50cadb547e24fddadc524fe548078" userID="1851561945" userName="石玉珍" dateTime="2026-06-04T12:04:23" isNormal="0">
            <s:text>
              <s:r>
                <s:t xml:space="preserve">6/4 客人警告语贴纸 2000pcs</s:t>
              </s:r>
            </s:text>
          </item>
          <item id="6b38ab8d232aac0383b807face4ced61c2243cb8" userID="1851561945" userName="石玉珍" dateTime="2026-06-09T13:33:26" isNormal="0">
            <s:text>
              <s:r>
                <s:t xml:space="preserve">6/9 纸袋希膜警语贴纸 20000PCS</s:t>
              </s:r>
            </s:text>
          </item>
        </commentChain>
      </unresolved>
      <resolved/>
    </commentChains>
    <commentChains s:ref="AI1543" rgbClr="FF0000">
      <unresolved>
        <commentChain chainId="8781da9c7c258ee1d38bf1ea3f5851c49a27d030">
          <item id="78002cf311e228f85aa0d697f5e1e4c48ef7276e" userID="1851561945" userName="石玉珍" dateTime="2026-06-18T02:00:20" isNormal="0">
            <s:text>
              <s:r>
                <s:t xml:space="preserve">2201069 6/17 600pcs</s:t>
              </s:r>
            </s:text>
          </item>
        </commentChain>
      </unresolved>
      <resolved/>
    </commentChains>
    <commentChains s:ref="AL1543" rgbClr="FF0000">
      <unresolved>
        <commentChain chainId="0119f694a2945df5f8a7f983378a96f9741b63bd">
          <item id="bda041d3d51c4ddfea0c845225828b12db7dd276" userID="1851561945" userName="石玉珍" dateTime="2026-05-30T13:45:34" isNormal="0">
            <s:text>
              <s:r>
                <s:t xml:space="preserve">5/28 丹麦瑞典芬兰挪威警告语贴纸 600pcs
大语警告语贴 600pcs
小语警告语贴 4200pcs</s:t>
              </s:r>
            </s:text>
          </item>
        </commentChain>
      </unresolved>
      <resolved/>
    </commentChains>
    <commentChains s:ref="AI1544" rgbClr="FF0000">
      <unresolved>
        <commentChain chainId="03a28cf3b9ebf409bf053ca4ea66a96ea75a86ca">
          <item id="7748c03d7972036f3c4964fcbec55d7e6a76fd54" userID="1851561945" userName="石玉珍" dateTime="2026-06-20T00:56:53" isNormal="0">
            <s:text>
              <s:r>
                <s:t xml:space="preserve">2201061 6/18 1800pcs</s:t>
              </s:r>
            </s:text>
          </item>
        </commentChain>
      </unresolved>
      <resolved/>
    </commentChains>
    <commentChains s:ref="AL1544" rgbClr="FF0000">
      <unresolved>
        <commentChain chainId="a1e1071fc90b5478910c18bb83dba3eb1784cc3a">
          <item id="d157ef98654e98dbc47b4b19adf705b59d16c722" isNormal="1">
            <s:text>
              <s:r>
                <s:t xml:space="preserve">Administrator:
5/21 客供价格贴纸 1800pcs
</s:t>
              </s:r>
            </s:text>
          </item>
        </commentChain>
      </unresolved>
      <resolved/>
    </commentChains>
    <commentChains s:ref="AI1545" rgbClr="FF0000">
      <unresolved>
        <commentChain chainId="9cf0f8a4056f46b8e5e6e3f9fcbaddba484324b4">
          <item id="db9859d973b695fb0e68b6c431f90269eff29982" userID="1851561945" userName="石玉珍" dateTime="2026-06-18T02:02:22" isNormal="0">
            <s:text>
              <s:r>
                <s:t xml:space="preserve">2201069 6/17 28600pcs</s:t>
              </s:r>
            </s:text>
          </item>
        </commentChain>
      </unresolved>
      <resolved/>
    </commentChains>
    <commentChains s:ref="AL1545" rgbClr="FF0000">
      <unresolved>
        <commentChain chainId="1c4250d2ce1b96387e2d227cedc3231c9dd40543">
          <item id="1c04744eeb57bba8183c3bce95155281d6689ce3" userID="1851561945" userName="石玉珍" dateTime="2026-05-30T12:41:45" isNormal="0">
            <s:text>
              <s:r>
                <s:t xml:space="preserve">5/28 条码贴纸 28600pcs</s:t>
              </s:r>
            </s:text>
          </item>
        </commentChain>
      </unresolved>
      <resolved/>
    </commentChains>
    <commentChains s:ref="AI1546" rgbClr="FF0000">
      <unresolved>
        <commentChain chainId="f8fcb96438408f92e007e7672e5c25d7eb336161">
          <item id="de76f94f9caffafadfb3471a76dda1ffe99d1414" userID="1851561945" userName="石玉珍" dateTime="2026-06-20T03:26:48" isNormal="0">
            <s:text>
              <s:r>
                <s:t xml:space="preserve">2201064 6/18 12625pcs</s:t>
              </s:r>
            </s:text>
          </item>
        </commentChain>
      </unresolved>
      <resolved/>
    </commentChains>
    <commentChains s:ref="AL1546" rgbClr="FF0000">
      <unresolved>
        <commentChain chainId="a72d3bfa58ab86fb069406279a6ed8d9db237c0b">
          <item id="c66da0416f5011ec2a48d396a7f9e3ee149c1beb" isNormal="1">
            <s:text>
              <s:r>
                <s:t xml:space="preserve">Administrator:
5/22 PDQUPC条码贴纸 918pcs
</s:t>
              </s:r>
            </s:text>
          </item>
        </commentChain>
      </unresolved>
      <resolved/>
    </commentChains>
    <commentChains s:ref="AI1547" rgbClr="FF0000">
      <unresolved>
        <commentChain chainId="3d95bb312b94fbf373da3358d0299e244bdfa8e3">
          <item id="0d5267dc25c552e68d9c74468ca723c58b517596" userID="1851561945" userName="石玉珍" dateTime="2026-06-20T03:27:29" isNormal="0">
            <s:text>
              <s:r>
                <s:t xml:space="preserve">2201064 6/18 10325pcs</s:t>
              </s:r>
            </s:text>
          </item>
        </commentChain>
      </unresolved>
      <resolved/>
    </commentChains>
    <commentChains s:ref="AI1548" rgbClr="FF0000">
      <unresolved>
        <commentChain chainId="1d0d4be338c7c210ba12ee52bf9fa520e035a33c">
          <item id="900650a8a9daccb41dcad5e4c921e049e8456fc1" userID="1851561945" userName="石玉珍" dateTime="2026-06-22T13:16:41" isNormal="0">
            <s:text>
              <s:r>
                <s:t xml:space="preserve">2201108 6/22 2400pcs</s:t>
              </s:r>
            </s:text>
          </item>
        </commentChain>
      </unresolved>
      <resolved/>
    </commentChains>
    <commentChains s:ref="AL1548" rgbClr="FF0000">
      <unresolved>
        <commentChain chainId="1e832ca287171e9c4a1d0cc43fcda8361711c6c6">
          <item id="3190cbc304e96d114233e130db99710110759142" isNormal="1">
            <s:text>
              <s:r>
                <s:t xml:space="preserve">Administrator:
5/25 进口商贴纸 2400pcs</s:t>
              </s:r>
            </s:text>
          </item>
        </commentChain>
      </unresolved>
      <resolved/>
    </commentChains>
    <commentChains s:ref="AI1549" rgbClr="FF0000">
      <unresolved>
        <commentChain chainId="7d41df47cb2df46f23a36c67df6f15c25ae7ddfa">
          <item id="69b1b6135a99131fb8841934c6011e7c9f1e5b4c" userID="1851561945" userName="石玉珍" dateTime="2026-06-20T03:28:01" isNormal="0">
            <s:text>
              <s:r>
                <s:t xml:space="preserve">2201064 6/18 2400pcs</s:t>
              </s:r>
            </s:text>
          </item>
        </commentChain>
      </unresolved>
      <resolved/>
    </commentChains>
    <commentChains s:ref="AL1549" rgbClr="FF0000">
      <unresolved>
        <commentChain chainId="8c5d0fa3735e9abbfea6fd8fc5443cd07270e978">
          <item id="5576929e77e29ab8d1538a6a5d4a6ad9aa41b6e9" isNormal="1">
            <s:text>
              <s:r>
                <s:t xml:space="preserve">Administrator:
5/25 进口商贴纸  2400pcs
条码贴纸 2400pcs</s:t>
              </s:r>
            </s:text>
          </item>
        </commentChain>
      </unresolved>
      <resolved/>
    </commentChains>
    <commentChains s:ref="AI1550" rgbClr="FF0000">
      <unresolved>
        <commentChain chainId="6755fe1326374f78e59972d7ad170d9a5243141f">
          <item id="f451a3bfe5ba36382d1873b9e198bd517d2c4b1d" userID="1851561945" userName="石玉珍" dateTime="2026-06-26T11:41:35" isNormal="0">
            <s:text>
              <s:r>
                <s:t xml:space="preserve">2201170 6/26 1925pcs</s:t>
              </s:r>
            </s:text>
          </item>
          <item id="c3e36f75cfdcb7d8e2a26fcdc48f83e8aab65ff7" userID="1851561945" userName="石玉珍" dateTime="2026-06-29T01:51:36" isNormal="0">
            <s:text>
              <s:r>
                <s:t xml:space="preserve">2200961 6/27 75pcs</s:t>
              </s:r>
            </s:text>
          </item>
        </commentChain>
      </unresolved>
      <resolved/>
    </commentChains>
    <commentChains s:ref="AL1550" rgbClr="FF0000">
      <unresolved>
        <commentChain chainId="0a0dd58951fe66f50f937ffc840426bb7c271eb1">
          <item id="2f5ec4929420e067a5e665b1313026bfdd22673c" userID="1851561945" userName="石玉珍" dateTime="2026-06-08T12:59:54" isNormal="0">
            <s:text>
              <s:r>
                <s:t xml:space="preserve">6/8 进口商贴纸 2000pcs
客户款号的EAN条码贴纸 2000pcs</s:t>
              </s:r>
            </s:text>
          </item>
        </commentChain>
      </unresolved>
      <resolved/>
    </commentChains>
    <commentChains s:ref="AI1551" rgbClr="FF0000">
      <unresolved>
        <commentChain chainId="8f2f6dd11fc0fffa63bd1ae58d6bfe398d67c71d">
          <item id="5031e6d734e11dd5bbc70086a579ed95a4c0e1c3" userID="1851561945" userName="石玉珍" dateTime="2026-06-22T13:16:24" isNormal="0">
            <s:text>
              <s:r>
                <s:t xml:space="preserve">2201108 6/22 500pcs</s:t>
              </s:r>
            </s:text>
          </item>
        </commentChain>
      </unresolved>
      <resolved/>
    </commentChains>
    <commentChains s:ref="AI1552" rgbClr="FF0000">
      <unresolved>
        <commentChain chainId="cffe98d864133ad148620bb286051873ffc8a7c8">
          <item id="cbcbc3baebb01df85ca5e9c43a55335a4ec6b692" userID="1851561945" userName="石玉珍" dateTime="2026-06-22T00:42:10" isNormal="0">
            <s:text>
              <s:r>
                <s:t xml:space="preserve">2201089 6/20 500pcs</s:t>
              </s:r>
            </s:text>
          </item>
        </commentChain>
      </unresolved>
      <resolved/>
    </commentChains>
    <commentChains s:ref="AI1553" rgbClr="FF0000">
      <unresolved>
        <commentChain chainId="45b33e488910d0df55006994a8596698d07c75b2">
          <item id="58104cb92d8f58326651b697d9e42c4dda284d60" userID="1851561945" userName="石玉珍" dateTime="2026-06-23T06:22:09" isNormal="0">
            <s:text>
              <s:r>
                <s:t xml:space="preserve">2201121 6/22 520pcs</s:t>
              </s:r>
            </s:text>
          </item>
        </commentChain>
      </unresolved>
      <resolved/>
    </commentChains>
    <commentChains s:ref="AL1553" rgbClr="FF0000">
      <unresolved>
        <commentChain chainId="d032b0cfd003fe0e4e701d8fe63181f1cab38a9d">
          <item id="c22a42448731ce5a32701cdc72ce1b41ce2e32e7" userID="1851561945" userName="石玉珍" dateTime="2026-06-01T12:55:01" isNormal="0">
            <s:text>
              <s:r>
                <s:t xml:space="preserve">6/1 意大利环保贴纸 520pcs</s:t>
              </s:r>
            </s:text>
          </item>
        </commentChain>
      </unresolved>
      <resolved/>
    </commentChains>
    <commentChains s:ref="AI1554" rgbClr="FF0000">
      <unresolved>
        <commentChain chainId="79ea4fce6f741f172e352558adaf8f5c51d49db8">
          <item id="de894b775dfe3f6dc453a66fa3c869896cc19f25" userID="1851561945" userName="石玉珍" dateTime="2026-06-24T02:05:32" isNormal="0">
            <s:text>
              <s:r>
                <s:t xml:space="preserve">2201126 6/23 5000pcs</s:t>
              </s:r>
            </s:text>
          </item>
        </commentChain>
      </unresolved>
      <resolved/>
    </commentChains>
    <commentChains s:ref="AL1554" rgbClr="FF0000">
      <unresolved>
        <commentChain chainId="f648225119c52dbacaec46618fb79e05be08fb03">
          <item id="6ab8c9a8e6d7228d621a802f61c7eaaa69ed951d" userID="1851561945" userName="石玉珍" dateTime="2026-06-11T13:58:44" isNormal="0">
            <s:text>
              <s:r>
                <s:t xml:space="preserve">6/10 进口商贴纸 5000pcs</s:t>
              </s:r>
            </s:text>
          </item>
        </commentChain>
      </unresolved>
      <resolved/>
    </commentChains>
    <commentChains s:ref="AI1555" rgbClr="FF0000">
      <unresolved>
        <commentChain chainId="b31b2206f50f5482ccb1ba6c60f651b814461276">
          <item id="f801ce45edad9b49ae22304c0e43bccdc1fc28cf" userID="1851561945" userName="石玉珍" dateTime="2026-06-23T00:50:35" isNormal="0">
            <s:text>
              <s:r>
                <s:t xml:space="preserve">2201113 6/22 11960pcs</s:t>
              </s:r>
            </s:text>
          </item>
        </commentChain>
      </unresolved>
      <resolved/>
    </commentChains>
    <commentChains s:ref="AL1555" rgbClr="FF0000">
      <unresolved>
        <commentChain chainId="9587f73334881641b9bbcd5d41582de03b6e1478">
          <item id="7906d357c565cbe5dde172ba3178fc0a29dae733" userID="1851561945" userName="石玉珍" dateTime="2026-05-30T12:41:40" isNormal="0">
            <s:text>
              <s:r>
                <s:t xml:space="preserve">5/28 条码贴纸 11960pcs</s:t>
              </s:r>
            </s:text>
          </item>
        </commentChain>
      </unresolved>
      <resolved/>
    </commentChains>
    <commentChains s:ref="AI1556" rgbClr="FF0000">
      <unresolved>
        <commentChain chainId="3cb383e15e7a7695880865b1aa18a1b3923f132c">
          <item id="60ac62e622467a503f20005d02b9348c88fb7125" userID="1851561945" userName="石玉珍" dateTime="2026-06-24T02:06:33" isNormal="0">
            <s:text>
              <s:r>
                <s:t xml:space="preserve">2201126 6/23 3991pcs</s:t>
              </s:r>
            </s:text>
          </item>
          <item id="b7ffbd3ef363452fef89611d653d8b913b79c9d7" userID="1851561945" userName="石玉珍" dateTime="2026-06-26T11:52:03" isNormal="0">
            <s:text>
              <s:r>
                <s:t xml:space="preserve">2200942 6/26 13pcs</s:t>
              </s:r>
            </s:text>
          </item>
        </commentChain>
      </unresolved>
      <resolved/>
    </commentChains>
    <commentChains s:ref="AL1556" rgbClr="FF0000">
      <unresolved>
        <commentChain chainId="ac183c1bf22b57fb3cdc981eb59788ca19d40ca8">
          <item id="18ed5e30e3470853cf78b02032d5655a26bf5df9" userID="1851561945" userName="石玉珍" dateTime="2026-06-03T12:48:58" isNormal="0">
            <s:text>
              <s:r>
                <s:t xml:space="preserve">6/3 大语警告语贴 4004pcs
小语警告语贴 28028pcs
 丹麦瑞典芬兰挪威警告语贴纸 4004pcs</s:t>
              </s:r>
            </s:text>
          </item>
        </commentChain>
      </unresolved>
      <resolved/>
    </commentChains>
    <commentChains s:ref="AI1557" rgbClr="FF0000">
      <unresolved>
        <commentChain chainId="08187250290329dc520ecf3c65c9ff45193edd89">
          <item id="b512f7095ae09b68cc0431e7e7db9042106927ab" userID="1851561945" userName="石玉珍" dateTime="2026-06-23T05:56:24" isNormal="0">
            <s:text>
              <s:r>
                <s:t xml:space="preserve"> 2801521 6/22 1890pcs</s:t>
              </s:r>
            </s:text>
          </item>
          <item id="95cd2a451577447e2f06daa8b83015490527db22" userID="1851561945" userName="石玉珍" dateTime="2026-06-23T06:08:50" isNormal="0">
            <s:text>
              <s:r>
                <s:t xml:space="preserve">2801523 6/22 2610pcs</s:t>
              </s:r>
            </s:text>
          </item>
        </commentChain>
      </unresolved>
      <resolved/>
    </commentChains>
    <commentChains s:ref="AL1557" rgbClr="FF0000">
      <unresolved>
        <commentChain chainId="de012e181e48aa3c90665678401df94c52739160">
          <item id="4ccc0e7489ba09cf3bf407031972def14187a8eb" isNormal="1">
            <s:text>
              <s:r>
                <s:t xml:space="preserve">Administrator:
5/27 客供芯片码贴纸 4500pcs
</s:t>
              </s:r>
            </s:text>
          </item>
          <item id="d5e8962bd8ae9e4a21a70ac16d886dafbb4e8914" userID="1851561945" userName="石玉珍" dateTime="2026-05-31T06:17:58" isNormal="0">
            <s:text>
              <s:r>
                <s:t xml:space="preserve">5/28 颜色贴纸 4500pcs </s:t>
              </s:r>
            </s:text>
          </item>
          <item id="89000f2e5fea610306268dc87e206912f37a6b3b" userID="1851561945" userName="石玉珍" dateTime="2026-05-31T06:42:57" isNormal="0">
            <s:text>
              <s:r>
                <s:t xml:space="preserve">空白贴纸  4500*2pcs</s:t>
              </s:r>
            </s:text>
          </item>
        </commentChain>
      </unresolved>
      <resolved/>
    </commentChains>
    <commentChains s:ref="AI1558" rgbClr="FF0000">
      <unresolved>
        <commentChain chainId="f7dd4e083f5886b76cc4bcee921c18a7619230a3">
          <item id="40f8a1b2b6ba575bf32c0f85026703cb97b3f30c" userID="1851561945" userName="石玉珍" dateTime="2026-06-22T00:42:55" isNormal="0">
            <s:text>
              <s:r>
                <s:t xml:space="preserve">2201089 6/20 4238pcs</s:t>
              </s:r>
            </s:text>
          </item>
        </commentChain>
      </unresolved>
      <resolved/>
    </commentChains>
    <commentChains s:ref="AL1558" rgbClr="FF0000">
      <unresolved>
        <commentChain chainId="7691a283c7a683c0643900922305ac1c349756a3">
          <item id="ea52c532735067d0f47a91e01d47f98c8e3915e1" userID="1851561945" userName="石玉珍" dateTime="2026-05-31T07:08:36" isNormal="0">
            <s:text>
              <s:r>
                <s:t xml:space="preserve">5/29 价格贴纸  4238pcs</s:t>
              </s:r>
            </s:text>
          </item>
          <item id="2de655ed3e43c13d59c63efd0740aef743b77494" userID="1851561945" userName="石玉珍" dateTime="2026-05-31T07:16:13" isNormal="0">
            <s:text>
              <s:r>
                <s:t xml:space="preserve">5/29 shipping label 4*6in 1304pcs</s:t>
              </s:r>
            </s:text>
          </item>
        </commentChain>
      </unresolved>
      <resolved/>
    </commentChains>
    <commentChains s:ref="AI1559" rgbClr="FF0000">
      <unresolved>
        <commentChain chainId="e185b2d4ffade7eba4b5ed9a3bf4b08a8e38e024">
          <item id="c70494a02d26e4cd9e8bf5b565bed99f8c1d7ff7" userID="1851561945" userName="石玉珍" dateTime="2026-06-23T00:53:19" isNormal="0">
            <s:text>
              <s:r>
                <s:t xml:space="preserve">2201113 6/22 34600pcs</s:t>
              </s:r>
            </s:text>
          </item>
          <item id="755ad3bb5eb7a2b589f48f2ed686755150a0e3b8" userID="1851561945" userName="石玉珍" dateTime="2026-06-24T13:23:52" isNormal="0">
            <s:text>
              <s:r>
                <s:t xml:space="preserve">2201152 6/24 1400pcs</s:t>
              </s:r>
            </s:text>
          </item>
        </commentChain>
      </unresolved>
      <resolved/>
    </commentChains>
    <commentChains s:ref="AL1559" rgbClr="FF0000">
      <unresolved>
        <commentChain chainId="547fd002565b741b83a2c4c887c43819d49be8b5">
          <item id="e39a96343ac14ec64b89f64a33a798fd139960a8" userID="1851561945" userName="石玉珍" dateTime="2026-06-04T12:08:30" isNormal="0">
            <s:text>
              <s:r>
                <s:t xml:space="preserve">6/4  进口商贴纸(含客户条码  36000pcs</s:t>
              </s:r>
            </s:text>
          </item>
          <item id="35049f42731ae21c88f9801b9a3343e0cd5db4e6" userID="1851561945" userName="石玉珍" dateTime="2026-06-11T13:58:17" isNormal="0">
            <s:text>
              <s:r>
                <s:t xml:space="preserve">6/10 进口商贴纸(含客户条码) 36000pcs补订gg2印成gq1</s:t>
              </s:r>
            </s:text>
          </item>
        </commentChain>
      </unresolved>
      <resolved/>
    </commentChains>
    <commentChains s:ref="AI1560" rgbClr="FF0000">
      <unresolved>
        <commentChain chainId="210cac4444fdf661a2fa7e59e21ecc72fa47096e">
          <item id="eb9c64db02ac2145144b21768e40362ba19a6c78" userID="1851561945" userName="石玉珍" dateTime="2026-06-20T13:44:12" isNormal="0">
            <s:text>
              <s:r>
                <s:t xml:space="preserve">2201095 6/20 520pcs</s:t>
              </s:r>
            </s:text>
          </item>
        </commentChain>
      </unresolved>
      <resolved/>
    </commentChains>
    <commentChains s:ref="AI1561" rgbClr="FF0000">
      <unresolved>
        <commentChain chainId="2d35a34fa2c8d8b8a9e39a608a5625e79b5fd385">
          <item id="98b17ab40decc192ebf44be18df411c51285d5f8" userID="1851561945" userName="石玉珍" dateTime="2026-06-24T13:19:48" isNormal="0">
            <s:text>
              <s:r>
                <s:t xml:space="preserve">2201152 6/24 2000pcs</s:t>
              </s:r>
            </s:text>
          </item>
        </commentChain>
      </unresolved>
      <resolved/>
    </commentChains>
    <commentChains s:ref="AL1561" rgbClr="FF0000">
      <unresolved>
        <commentChain chainId="3490ffde81ff790f3e0708a5ee1d0227adad812e">
          <item id="0e651b9d44072ddfeb4336c9b32305a93a210de1" userID="1851561945" userName="石玉珍" dateTime="2026-06-03T12:49:23" isNormal="0">
            <s:text>
              <s:r>
                <s:t xml:space="preserve">6/2 客户进口商贴纸(含西班牙环保 2000pcs</s:t>
              </s:r>
            </s:text>
          </item>
        </commentChain>
      </unresolved>
      <resolved/>
    </commentChains>
    <commentChains s:ref="AI1562" rgbClr="FF0000">
      <unresolved>
        <commentChain chainId="35020df1ddc283878a985e5c0fe232a99b5753cc">
          <item id="6cb4521ccde8d774c2df527a9e59b399032532ce" userID="1851561945" userName="石玉珍" dateTime="2026-06-24T13:20:59" isNormal="0">
            <s:text>
              <s:r>
                <s:t xml:space="preserve">2201152 6/24 1469pcs</s:t>
              </s:r>
            </s:text>
          </item>
        </commentChain>
      </unresolved>
      <resolved/>
    </commentChains>
    <commentChains s:ref="AL1562" rgbClr="FF0000">
      <unresolved>
        <commentChain chainId="2b61aea42888630a96bed74f43bf20f38a6f4a75">
          <item id="303db5bec814bacbbf829c958986e315a6bd5227" isNormal="1">
            <s:text>
              <s:r>
                <s:t xml:space="preserve">Administrator:
5/27 白色防盗贴纸 11469pcs
</s:t>
              </s:r>
            </s:text>
          </item>
          <item id="a1e7c170b34f49b32b1885b70b5398698a02e04e" userID="1851561945" userName="石玉珍" dateTime="2026-05-30T12:36:54" isNormal="0">
            <s:text>
              <s:r>
                <s:t xml:space="preserve">5/28 UPC条码贴纸  1469pcs</s:t>
              </s:r>
            </s:text>
          </item>
          <item id="ab31e189b9069c84a56f87584ab6cfa30af3b3eb" userID="1851561945" userName="石玉珍" dateTime="2026-06-08T12:35:32" isNormal="0">
            <s:text>
              <s:r>
                <s:t xml:space="preserve">6/8 Kmart外箱贴纸 113pcs</s:t>
              </s:r>
            </s:text>
          </item>
        </commentChain>
      </unresolved>
      <resolved/>
    </commentChains>
    <commentChains s:ref="AI1563" rgbClr="FF0000">
      <unresolved>
        <commentChain chainId="bb6db87b5207cf86b405f40a6b89ade153096107">
          <item id="0b5ca011c332658424c8387844d086321390200b" userID="1851561945" userName="石玉珍" dateTime="2026-06-24T02:20:57" isNormal="0">
            <s:text>
              <s:r>
                <s:t xml:space="preserve">2201148 6/23 2938pcs</s:t>
              </s:r>
            </s:text>
          </item>
        </commentChain>
      </unresolved>
      <resolved/>
    </commentChains>
    <commentChains s:ref="AL1563" rgbClr="FF0000">
      <unresolved>
        <commentChain chainId="32d18292643002c524c25b76089ce716704f6208">
          <item id="b642a693cb59d17133dbfef45a8f7c062684253f" isNormal="1">
            <s:text>
              <s:r>
                <s:t xml:space="preserve">Administrator:
5/27 白色防盗贴纸 2938pcs
</s:t>
              </s:r>
            </s:text>
          </item>
          <item id="e19f053e8814708ff5cec9fcdceac90056160df5" userID="1851561945" userName="石玉珍" dateTime="2026-05-30T12:35:53" isNormal="0">
            <s:text>
              <s:r>
                <s:t xml:space="preserve">5/28 UPC条码贴纸 2938pcs</s:t>
              </s:r>
            </s:text>
          </item>
          <item id="12a0575af243935b38f89ff6c05135faa14ed27a" userID="1851561945" userName="石玉珍" dateTime="2026-06-08T12:26:50" isNormal="0">
            <s:text>
              <s:r>
                <s:t xml:space="preserve">6/8 Kmart外箱贴纸 226pcs</s:t>
              </s:r>
            </s:text>
          </item>
        </commentChain>
      </unresolved>
      <resolved/>
    </commentChains>
    <commentChains s:ref="AI1564" rgbClr="FF0000">
      <unresolved>
        <commentChain chainId="95c64533a62126d3b34cf0376b22e94d30377457">
          <item id="5dee04253210b78350069922b62ff94075fe74a0" userID="1851561945" userName="石玉珍" dateTime="2026-06-24T13:22:36" isNormal="0">
            <s:text>
              <s:r>
                <s:t xml:space="preserve">2201152 6/24 1404pcs</s:t>
              </s:r>
            </s:text>
          </item>
        </commentChain>
      </unresolved>
      <resolved/>
    </commentChains>
    <commentChains s:ref="AL1564" rgbClr="FF0000">
      <unresolved>
        <commentChain chainId="73fcea417a96e3793fcf9b47cd1bdf0e00766a0e">
          <item id="61e06927b937fb84ab02a52a6713f1c9145df690" isNormal="1">
            <s:text>
              <s:r>
                <s:t xml:space="preserve">Administrator:
5/18 客供价格贴纸 1404pcs
5/22 空白贴纸 1404*2pcs
</s:t>
              </s:r>
            </s:text>
          </item>
        </commentChain>
      </unresolved>
      <resolved/>
    </commentChains>
    <commentChains s:ref="AI1565" rgbClr="FF0000">
      <unresolved>
        <commentChain chainId="c60f7657d8c74d07d9426414f8cb13ee2f8eb5cd">
          <item id="51adaf162ee7889cdc640723abf65d4c8b95f36f" userID="1851561945" userName="石玉珍" dateTime="2026-06-24T13:23:19" isNormal="0">
            <s:text>
              <s:r>
                <s:t xml:space="preserve">2201152 6/24 1596pcs</s:t>
              </s:r>
            </s:text>
          </item>
        </commentChain>
      </unresolved>
      <resolved/>
    </commentChains>
    <commentChains s:ref="AL1565" rgbClr="FF0000">
      <unresolved>
        <commentChain chainId="2ccf75802ba85899ef902b4271665035c041cb37">
          <item id="22b90d97a8e9f5a92e7ba7814ecc93256a52e6ca" isNormal="1">
            <s:text>
              <s:r>
                <s:t xml:space="preserve">Administrator:
5/18 客供价格贴纸 1596pcs
5/22 空白贴纸 订单数*2pcs
</s:t>
              </s:r>
            </s:text>
          </item>
        </commentChain>
      </unresolved>
      <resolved/>
    </commentChains>
    <commentChains s:ref="AI1566" rgbClr="FF0000">
      <unresolved>
        <commentChain chainId="62e5e7cd886a89cde77d8ba66a762741eb65dfb1">
          <item id="d0f28137415715ec68c5d38d686e257a66b1f8db" userID="1851561945" userName="石玉珍" dateTime="2026-06-24T13:21:29" isNormal="0">
            <s:text>
              <s:r>
                <s:t xml:space="preserve">2201152 6/24 3016pcs</s:t>
              </s:r>
            </s:text>
          </item>
        </commentChain>
      </unresolved>
      <resolved/>
    </commentChains>
    <commentChains s:ref="AL1566" rgbClr="FF0000">
      <unresolved>
        <commentChain chainId="aa259dd8fddaaac5b8812c87414df52dd3e6dbdf">
          <item id="a88a2ff0b97b4d89af14375e4863d3e43d323d8a" userID="1851561945" userName="石玉珍" dateTime="2026-06-12T12:47:29" isNormal="0">
            <s:text>
              <s:r>
                <s:t xml:space="preserve">6/12 警语贴纸 3016pcs</s:t>
              </s:r>
            </s:text>
          </item>
          <item id="99469ddcc01bbe6576facbd02a111263fac93e0a" userID="1851561945" userName="石玉珍" dateTime="2026-06-15T01:16:34" isNormal="0">
            <s:text>
              <s:r>
                <s:t xml:space="preserve">6/13 客户价格贴纸 3248pcs</s:t>
              </s:r>
            </s:text>
          </item>
        </commentChain>
      </unresolved>
      <resolved/>
    </commentChains>
    <commentChains s:ref="AI1567" rgbClr="FF0000">
      <unresolved>
        <commentChain chainId="35e73a472df1a763d17ca038edee5c74371b38f7">
          <item id="ece2a5307e4c76ec92cb69d2938c1a6d869f2f43" userID="1851561945" userName="石玉珍" dateTime="2026-06-24T13:21:55" isNormal="0">
            <s:text>
              <s:r>
                <s:t xml:space="preserve">2201152 6/24 825pcs</s:t>
              </s:r>
            </s:text>
          </item>
        </commentChain>
      </unresolved>
      <resolved/>
    </commentChains>
    <commentChains s:ref="AL1567" rgbClr="FF0000">
      <unresolved>
        <commentChain chainId="e9e144bb1e3b7e6a413b4bae96edfefd8e7dc290">
          <item id="52cf0225d8a6b29bade30607e9f2cd86d381627b" userID="1851561945" userName="石玉珍" dateTime="2026-06-11T09:08:38" isNormal="0">
            <s:text>
              <s:r>
                <s:t xml:space="preserve">6/10 警告语贴纸4 825pcs
大语警告语贴5 825pcs
小语警告语贴 5775pcs</s:t>
              </s:r>
            </s:text>
          </item>
        </commentChain>
      </unresolved>
      <resolved/>
    </commentChains>
    <commentChains s:ref="AI1568" rgbClr="FF0000">
      <unresolved>
        <commentChain chainId="33f9dfed05f2cdfb6157584db35a768eaf13de98">
          <item id="10d57710081b716a1f7d573427842ca58f63f245" userID="1851561945" userName="石玉珍" dateTime="2026-06-24T13:27:22" isNormal="0">
            <s:text>
              <s:r>
                <s:t xml:space="preserve">2801536 6/24 1752pcs</s:t>
              </s:r>
            </s:text>
          </item>
          <item id="7343276675e1c0e9253b15631ecec4b2081d1078" userID="1851561945" userName="石玉珍" dateTime="2026-06-24T13:50:28" isNormal="0">
            <s:text>
              <s:r>
                <s:t xml:space="preserve">2801538 6/24 48pcs</s:t>
              </s:r>
            </s:text>
          </item>
        </commentChain>
      </unresolved>
      <resolved/>
    </commentChains>
    <commentChains s:ref="AL1568" rgbClr="FF0000">
      <unresolved>
        <commentChain chainId="6511fd4ef2fead93dfddd74c0b9d8ae9ac81b155">
          <item id="fa2e299901a3ae4c364d0cfbc08c12d98091e2f1" isNormal="1">
            <s:text>
              <s:r>
                <s:t xml:space="preserve">Administrator:
5/21 客供价格贴纸 1800pcs
</s:t>
              </s:r>
            </s:text>
          </item>
        </commentChain>
      </unresolved>
      <resolved/>
    </commentChains>
    <commentChains s:ref="AI1569" rgbClr="FF0000">
      <unresolved>
        <commentChain chainId="29deff822a287061278e2d57b2441b790e5ea9b4">
          <item id="b3bb53c379d20a71788d83c075fa9401fa48d9d2" userID="1851561945" userName="石玉珍" dateTime="2026-06-27T09:43:15" isNormal="0">
            <s:text>
              <s:r>
                <s:t xml:space="preserve">2200934 6/25 2500pcs</s:t>
              </s:r>
            </s:text>
          </item>
        </commentChain>
      </unresolved>
      <resolved/>
    </commentChains>
    <commentChains s:ref="AI1570" rgbClr="FF0000">
      <unresolved>
        <commentChain chainId="25e0c10fc9e80f780dda12c35b003ff6c7d74a07">
          <item id="6c31c5eb1b83138dd69472ff747e993c62b7b3b7" userID="1851561945" userName="石玉珍" dateTime="2026-06-25T00:29:32" isNormal="0">
            <s:text>
              <s:r>
                <s:t xml:space="preserve">2200922 6/24 600pcs</s:t>
              </s:r>
            </s:text>
          </item>
        </commentChain>
      </unresolved>
      <resolved/>
    </commentChains>
    <commentChains s:ref="AL1570" rgbClr="FF0000">
      <unresolved>
        <commentChain chainId="5ad8919102bb9ae9e862b9709a671eac3cbd7ea3">
          <item id="ae8498f7652493081e41207090bd8833694103f8" isNormal="1">
            <s:text>
              <s:r>
                <s:t xml:space="preserve">Administrator:
5/21 客供防盗贴纸 60pcs
</s:t>
              </s:r>
            </s:text>
          </item>
          <item id="f1e533320343bbfb44042d69b46351648ebf6a16" userID="1851561945" userName="石玉珍" dateTime="2026-06-09T13:37:14" isNormal="0">
            <s:text>
              <s:r>
                <s:t xml:space="preserve"> 6/9 易撕价格贴纸 600pcs </s:t>
              </s:r>
            </s:text>
          </item>
          <item id="f4ebf44fc86a4c93cb427bcbc61d172514c447da" userID="1851561945" userName="石玉珍" dateTime="2026-06-09T13:37:48" isNormal="0">
            <s:text>
              <s:r>
                <s:t xml:space="preserve">UPC贴纸 600pcs</s:t>
              </s:r>
            </s:text>
          </item>
        </commentChain>
      </unresolved>
      <resolved/>
    </commentChains>
    <commentChains s:ref="AI1571" rgbClr="FF0000">
      <unresolved>
        <commentChain chainId="e61680d042ba5f6ca15ad08ca6b1cab6cec986a8">
          <item id="a25aa2c4a3785db78d072a853d502f0a1e37b69b" userID="1851561945" userName="石玉珍" dateTime="2026-06-25T00:27:40" isNormal="0">
            <s:text>
              <s:r>
                <s:t xml:space="preserve">2200922 6/24 14000pcs</s:t>
              </s:r>
            </s:text>
          </item>
        </commentChain>
      </unresolved>
      <resolved/>
    </commentChains>
    <commentChains s:ref="AL1571" rgbClr="FF0000">
      <unresolved>
        <commentChain chainId="35888f80fc44eb03b7c8d73e7f83e8db0f24c745">
          <item id="c9b21102f839c5971907847f23c2c68f5bd80702" userID="1851561945" userName="石玉珍" dateTime="2026-06-12T12:30:34" isNormal="0">
            <s:text>
              <s:r>
                <s:t xml:space="preserve">6/12 UPC贴纸 14000pcs</s:t>
              </s:r>
            </s:text>
          </item>
          <item id="0d527738d8340ab8c9d5385de814147975fda1b5" userID="1851561945" userName="石玉珍" dateTime="2026-06-12T12:40:39" isNormal="0">
            <s:text>
              <s:r>
                <s:t xml:space="preserve">进口商贴纸14000pcs</s:t>
              </s:r>
            </s:text>
          </item>
          <item id="ff1b03b23e40908693c335c0ba7eb6e7991a465d" userID="1851561945" userName="石玉珍" dateTime="2026-06-15T00:28:18" isNormal="0">
            <s:text>
              <s:r>
                <s:t xml:space="preserve">6/13 外箱贴纸 560pcs</s:t>
              </s:r>
            </s:text>
          </item>
        </commentChain>
      </unresolved>
      <resolved/>
    </commentChains>
    <commentChains s:ref="AI1572" rgbClr="FF0000">
      <unresolved>
        <commentChain chainId="fdd61d14ab0590f45f4e1aa4517d8a106766e833">
          <item id="ac426962f1b3644d10d34c292fc9878c61d5b49c" userID="1851561945" userName="石玉珍" dateTime="2026-06-24T13:49:34" isNormal="0">
            <s:text>
              <s:r>
                <s:t xml:space="preserve">2201153 6/24 3900pcs</s:t>
              </s:r>
            </s:text>
          </item>
          <item id="e7e82e7cfe0ceea4b3c827d33ac48be1401d1416" userID="1851561945" userName="石玉珍" dateTime="2026-06-25T00:28:30" isNormal="0">
            <s:text>
              <s:r>
                <s:t xml:space="preserve">2200922 6/24 9425pcs</s:t>
              </s:r>
            </s:text>
          </item>
        </commentChain>
      </unresolved>
      <resolved/>
    </commentChains>
    <commentChains s:ref="AI1573" rgbClr="FF0000">
      <unresolved>
        <commentChain chainId="c31cfa1d60cce2efeb157081e6c3bb9eb0c1b9fd">
          <item id="1d54035d6be16360877bcbcef89f6c3d05260b0b" userID="1851561945" userName="石玉珍" dateTime="2026-06-25T00:30:11" isNormal="0">
            <s:text>
              <s:r>
                <s:t xml:space="preserve">2200926 6/24 12150pcs</s:t>
              </s:r>
            </s:text>
          </item>
          <item id="ea354b38bc6b3d74ed1b90c6ae1b3a31c0aa1380" userID="1851561945" userName="石玉珍" dateTime="2026-06-26T00:46:32" isNormal="0">
            <s:text>
              <s:r>
                <s:t xml:space="preserve">2201163 6/25 2850pcs</s:t>
              </s:r>
            </s:text>
          </item>
        </commentChain>
      </unresolved>
      <resolved/>
    </commentChains>
    <commentChains s:ref="AL1573" rgbClr="FF0000">
      <unresolved>
        <commentChain chainId="554b97948296caa28b76be0053872ca4f007716c">
          <item id="58caef71887d0ed533074a455103ed03d5399fc9" userID="1851561945" userName="石玉珍" dateTime="2026-06-01T06:10:47" isNormal="0">
            <s:text>
              <s:r>
                <s:t xml:space="preserve">5/30 法国回收标贴纸  15000pcs</s:t>
              </s:r>
            </s:text>
          </item>
        </commentChain>
      </unresolved>
      <resolved/>
    </commentChains>
    <commentChains s:ref="AI1574" rgbClr="FF0000">
      <unresolved>
        <commentChain chainId="a73098141146b4ad5140babf2eb0a3b7301b220e">
          <item id="4a2327c9e699f844cff9060295db5dff713f2123" userID="1851561945" userName="石玉珍" dateTime="2026-06-29T01:52:37" isNormal="0">
            <s:text>
              <s:r>
                <s:t xml:space="preserve">2200961 6/27 450pcs</s:t>
              </s:r>
            </s:text>
          </item>
        </commentChain>
      </unresolved>
      <resolved/>
    </commentChains>
    <commentChains s:ref="AL1574" rgbClr="FF0000">
      <unresolved>
        <commentChain chainId="5ad039a0819d01353a573c31eaba1b02301eb160">
          <item id="0367d484603e00459b54300867dd311c16cb285d" userID="1851561945" userName="石玉珍" dateTime="2026-06-08T12:20:26" isNormal="0">
            <images>
              <image id="NPOO52ZHACAC2" width="11295" height="4260"/>
            </images>
            <s:text>
              <s:r>
                <s:t xml:space="preserve">6/8</s:t>
              </s:r>
            </s:text>
          </item>
          <item id="f63c905d502400117b880134679d08e247ce39fb" userID="1851561945" userName="石玉珍" dateTime="2026-06-12T07:26:52" isNormal="0">
            <s:text>
              <s:r>
                <s:t xml:space="preserve">6/10 家乐福外箱贴纸 36pcs</s:t>
              </s:r>
            </s:text>
          </item>
        </commentChain>
      </unresolved>
      <resolved/>
    </commentChains>
    <commentChains s:ref="AI1575" rgbClr="FF0000">
      <unresolved>
        <commentChain chainId="8b06245493464f2cd5c55c85fac5fb05261de22b">
          <item id="6f7f87081179a17db0d9ed57f9f634d01bfbb8ad" userID="1851561945" userName="石玉珍" dateTime="2026-06-29T01:53:03" isNormal="0">
            <s:text>
              <s:r>
                <s:t xml:space="preserve">2200961 6/27 1600pcs</s:t>
              </s:r>
            </s:text>
          </item>
        </commentChain>
      </unresolved>
      <resolved/>
    </commentChains>
    <commentChains s:ref="AL1575" rgbClr="FF0000">
      <unresolved>
        <commentChain chainId="b0c0983fdbbcb1122745fb1a076e79bd5156cf4a">
          <item id="d7ac138e02733074a85fb56464f216de0262a3a5" userID="1851561945" userName="石玉珍" dateTime="2026-06-01T12:56:05" isNormal="0">
            <s:text>
              <s:r>
                <s:t xml:space="preserve">6/1 客户贴纸 1600pcs
额外玩法贴纸44*1 6400psc 
额外UV Glue 贴纸 1600pcs</s:t>
              </s:r>
            </s:text>
          </item>
          <item id="b66a189c5d5228844c890460c077d5e971e07140" userID="1851561945" userName="石玉珍" dateTime="2026-06-08T12:19:41" isNormal="0">
            <images>
              <image id="WET652ZHABQAK" width="11295" height="4260"/>
            </images>
            <s:text>
              <s:r>
                <s:t xml:space="preserve">6/8  1-袋子贴纸 </s:t>
              </s:r>
            </s:text>
          </item>
          <item id="ebf4562e3e243323bc3aa70518d88c28883c7d73" userID="1851561945" userName="石玉珍" dateTime="2026-06-12T07:27:12" isNormal="0">
            <s:text>
              <s:r>
                <s:t xml:space="preserve">6/10 家乐福外箱贴纸 128pcs</s:t>
              </s:r>
            </s:text>
          </item>
        </commentChain>
      </unresolved>
      <resolved/>
    </commentChains>
    <commentChains s:ref="AI1576" rgbClr="FF0000">
      <unresolved>
        <commentChain chainId="15bbed58be56000fd0e81c4e7184745f942de16c">
          <item id="3f2368a4c79ddd3e1d10917af80e726ee960b393" userID="1851561945" userName="石玉珍" dateTime="2026-06-27T03:23:54" isNormal="0">
            <s:text>
              <s:r>
                <s:t xml:space="preserve">2200951 6/26 4452pcs</s:t>
              </s:r>
            </s:text>
          </item>
        </commentChain>
      </unresolved>
      <resolved/>
    </commentChains>
    <commentChains s:ref="AL1576" rgbClr="FF0000">
      <unresolved>
        <commentChain chainId="6bfa0a01d115f726983908abd80ce58c88de1114">
          <item id="86cce0b9733a17030d8c479ceb9954adac48e18b" userID="1851561945" userName="石玉珍" dateTime="2026-05-31T07:54:45" isNormal="0">
            <s:text>
              <s:r>
                <s:t xml:space="preserve">5/29 环保标贴纸 4452pcs</s:t>
              </s:r>
            </s:text>
          </item>
        </commentChain>
      </unresolved>
      <resolved/>
    </commentChains>
    <commentChains s:ref="AI1577" rgbClr="FF0000">
      <unresolved>
        <commentChain chainId="c70490e5943e36149612cbf24aebfa1f4da49c20">
          <item id="19df55fa7acf2bd60cde4f7573754db6bcb52d43" userID="1851561945" userName="石玉珍" dateTime="2026-06-29T01:11:00" isNormal="0">
            <s:text>
              <s:r>
                <s:t xml:space="preserve">2801548 6/27 3468pcs</s:t>
              </s:r>
            </s:text>
          </item>
          <item id="4e305ebce923f09d2d168f313ccb230816306682" userID="1851561945" userName="石玉珍" dateTime="2026-06-29T02:24:12" isNormal="0">
            <s:text>
              <s:r>
                <s:t xml:space="preserve">2801552 6/27 36pcs</s:t>
              </s:r>
            </s:text>
          </item>
        </commentChain>
      </unresolved>
      <resolved/>
    </commentChains>
    <commentChains s:ref="AL1577" rgbClr="FF0000">
      <unresolved>
        <commentChain chainId="ff89debacff084cfe167acc6c14f9aff3c65ce61">
          <item id="2a8832e8d02ef30a060ce28f3404cb2f5ac43567" userID="1851561945" userName="石玉珍" dateTime="2026-06-16T12:04:47" isNormal="0">
            <s:text>
              <s:r>
                <s:t xml:space="preserve">6/16 进口商贴纸 3504pcs</s:t>
              </s:r>
            </s:text>
          </item>
          <item id="382469ab5a4cd43cff2a125f8c111e97f63f495f" userID="1851561945" userName="石玉珍" dateTime="2026-06-16T12:05:03" isNormal="0">
            <s:text>
              <s:r>
                <s:t xml:space="preserve">空白贴纸 7008pcs</s:t>
              </s:r>
            </s:text>
          </item>
          <item id="8f79f175a7c37f973412a837e962a58fb8ac9339" userID="1851561945" userName="石玉珍" dateTime="2026-06-16T12:05:57" isNormal="0">
            <s:text>
              <s:r>
                <s:t xml:space="preserve">EAN 条码贴纸 3504pcs</s:t>
              </s:r>
            </s:text>
          </item>
        </commentChain>
      </unresolved>
      <resolved/>
    </commentChains>
    <commentChains s:ref="AI1578" rgbClr="FF0000">
      <unresolved>
        <commentChain chainId="1824bd5b8a5d8705bcc4a7f9b387d3ddd117672a">
          <item id="4321b0b3c28cf8e7f4a638c74c844c2f0117d732" userID="1851561945" userName="石玉珍" dateTime="2026-06-25T11:58:05" isNormal="0">
            <s:text>
              <s:r>
                <s:t xml:space="preserve">2801541 6/25 1800pcs</s:t>
              </s:r>
            </s:text>
          </item>
        </commentChain>
      </unresolved>
      <resolved/>
    </commentChains>
    <commentChains s:ref="AL1578" rgbClr="FF0000">
      <unresolved>
        <commentChain chainId="8bf275f57cada4a250a67540a2117b4086be82cd">
          <item id="8be108c72388bb9d365eb2f0e686eff10c4ee709" userID="1851561945" userName="石玉珍" dateTime="2026-06-12T12:31:05" isNormal="0">
            <s:text>
              <s:r>
                <s:t xml:space="preserve">6/12 包装贴纸 1800pcs</s:t>
              </s:r>
            </s:text>
          </item>
          <item id="870357fcaacc9de5dfab379f99fd50be85d09c67" userID="1851561945" userName="石玉珍" dateTime="2026-06-12T12:40:31" isNormal="0">
            <s:text>
              <s:r>
                <s:t xml:space="preserve">产品贴纸1800pcs</s:t>
              </s:r>
            </s:text>
          </item>
          <item id="7754514e3292bd1dac4bac4e2626c0261f896789" userID="1851561945" userName="石玉珍" dateTime="2026-06-12T12:42:56" isNormal="0">
            <s:text>
              <s:r>
                <s:t xml:space="preserve">空白贴纸 3600pcs</s:t>
              </s:r>
            </s:text>
          </item>
          <item id="c4061efa9025ef288ac48ab6eeeeac75dfe061d4" userID="1851561945" userName="石玉珍" dateTime="2026-06-15T00:30:33" isNormal="0">
            <s:text>
              <s:r>
                <s:t xml:space="preserve">6/13 外箱贴纸 300pcs</s:t>
              </s:r>
            </s:text>
          </item>
        </commentChain>
      </unresolved>
      <resolved/>
    </commentChains>
    <commentChains s:ref="AI1580" rgbClr="FF0000">
      <unresolved>
        <commentChain chainId="a7dc4137f01e117ca896add572e7ea2652e17623">
          <item id="8a6a5940f50b885a0dc408cbd8da4afbb0304165" userID="1851561945" userName="石玉珍" dateTime="2026-06-26T00:54:13" isNormal="0">
            <s:text>
              <s:r>
                <s:t xml:space="preserve">2201163 6/25 364pcs</s:t>
              </s:r>
            </s:text>
          </item>
        </commentChain>
      </unresolved>
      <resolved/>
    </commentChains>
    <commentChains s:ref="AL1580" rgbClr="FF0000">
      <unresolved>
        <commentChain chainId="d6cd2b1e9caa2fd252aadec60e727dd49f38866c">
          <item id="01847ad7e1b24fab1c3bf887bb1040d86ab62653" userID="1851561945" userName="石玉珍" dateTime="2026-06-01T06:22:22" isNormal="0">
            <s:text>
              <s:r>
                <s:t xml:space="preserve">5/30 客供价格贴纸: 364pcs</s:t>
              </s:r>
            </s:text>
          </item>
        </commentChain>
      </unresolved>
      <resolved/>
    </commentChains>
    <commentChains s:ref="AP1580" rgbClr="FF0000">
      <unresolved>
        <commentChain chainId="359fbae15df08d4e4b1f69b5bbd34e192a8579a7">
          <item id="02a2ec9706c2f4c0d749a70fbe4b79a9f55138ab" isNormal="1">
            <s:text>
              <s:r>
                <s:t xml:space="preserve">RR:
首选1L，无1L可选多语</s:t>
              </s:r>
            </s:text>
          </item>
        </commentChain>
      </unresolved>
      <resolved/>
    </commentChains>
    <commentChains s:ref="AI1581" rgbClr="FF0000">
      <unresolved>
        <commentChain chainId="61fc76321cb770ade38c322560467f8e964dc2b6">
          <item id="585b4afb150014707a905931fef5fcb855e4ef23" userID="1851561945" userName="石玉珍" dateTime="2026-06-26T00:54:20" isNormal="0">
            <s:text>
              <s:r>
                <s:t xml:space="preserve">2201163 6/25 468pcs</s:t>
              </s:r>
            </s:text>
          </item>
        </commentChain>
      </unresolved>
      <resolved/>
    </commentChains>
    <commentChains s:ref="AL1581" rgbClr="FF0000">
      <unresolved>
        <commentChain chainId="7193265bbeda681f62da923f1889676ae016beb1">
          <item id="e2e71adc31731f59ee339e447db78111698f8cab" userID="1851561945" userName="石玉珍" dateTime="2026-06-01T06:22:28" isNormal="0">
            <s:text>
              <s:r>
                <s:t xml:space="preserve">5/30 客供价格贴纸: 468pcs</s:t>
              </s:r>
            </s:text>
          </item>
        </commentChain>
      </unresolved>
      <resolved/>
    </commentChains>
    <commentChains s:ref="AP1581" rgbClr="FF0000">
      <unresolved>
        <commentChain chainId="97b81e3bdb66afe67fc1d04e15bcf0df4db8746a">
          <item id="ec13ce0fe70db4793cc3ee31c9990f05a5c79a9b" isNormal="1">
            <s:text>
              <s:r>
                <s:t xml:space="preserve">RR:
首选1L，无1L可选多语</s:t>
              </s:r>
            </s:text>
          </item>
        </commentChain>
      </unresolved>
      <resolved/>
    </commentChains>
    <commentChains s:ref="AI1582" rgbClr="FF0000">
      <unresolved>
        <commentChain chainId="bbee78714cf4ceccd58b3ca5a52c53b75c5f4b6a">
          <item id="22c3a13e124e7c2e69a691b3065b5713ef399a8b" userID="1851561945" userName="石玉珍" dateTime="2026-06-29T01:00:58" isNormal="0">
            <s:text>
              <s:r>
                <s:t xml:space="preserve"> 2200953 6/27 6550pcs</s:t>
              </s:r>
            </s:text>
          </item>
        </commentChain>
      </unresolved>
      <resolved/>
    </commentChains>
    <commentChains s:ref="AL1582" rgbClr="FF0000">
      <unresolved>
        <commentChain chainId="89065fb985e82aa914cd0a8acfc603ee4c169184">
          <item id="51bb3d5789aa2cfb41dda86aaab09985d408c0ce" userID="1851561945" userName="石玉珍" dateTime="2026-06-16T12:16:05" isNormal="0">
            <s:text>
              <s:r>
                <s:t xml:space="preserve">6/16 客供外箱条码贴纸 262pcs</s:t>
              </s:r>
            </s:text>
          </item>
        </commentChain>
      </unresolved>
      <resolved/>
    </commentChains>
    <commentChains s:ref="AI1583" rgbClr="FF0000">
      <unresolved>
        <commentChain chainId="76589fb638ea4f3e66ba498594d4a881b8518da6">
          <item id="384171ed437781a53e483053e2b0b02f00149aa9" userID="1851561945" userName="石玉珍" dateTime="2026-06-29T00:53:14" isNormal="0">
            <s:text>
              <s:r>
                <s:t xml:space="preserve"> 2200951 6/26 35175pcs</s:t>
              </s:r>
            </s:text>
          </item>
          <item id="8cfaf142edd1386aba3611679d2e51e9c6a075ec" userID="1851561945" userName="石玉珍" dateTime="2026-06-29T01:00:22" isNormal="0">
            <s:text>
              <s:r>
                <s:t xml:space="preserve"> 2200953 6/27 59575pcs</s:t>
              </s:r>
            </s:text>
          </item>
          <item id="299573918dc2836524c0e78ee7c539fc0b58d21e" userID="1851561945" userName="石玉珍" dateTime="2026-06-29T01:19:13" isNormal="0">
            <s:text>
              <s:r>
                <s:t xml:space="preserve">2802580 6/27 5250pcs</s:t>
              </s:r>
            </s:text>
          </item>
        </commentChain>
      </unresolved>
      <resolved/>
    </commentChains>
    <commentChains s:ref="AL1583" rgbClr="FF0000">
      <unresolved>
        <commentChain chainId="9907b64361dcd85bedf30112dea5d63e1de57d56">
          <item id="0778c072bce3926350994a1f3f9017cfecbe106f" userID="1851561945" userName="石玉珍" dateTime="2026-06-16T12:16:45" isNormal="0">
            <s:text>
              <s:r>
                <s:t xml:space="preserve">6/16 客供外箱条码贴纸  4000pcs</s:t>
              </s:r>
            </s:text>
          </item>
        </commentChain>
      </unresolved>
      <resolved/>
    </commentChains>
    <commentChains s:ref="AI1584" rgbClr="FF0000">
      <unresolved>
        <commentChain chainId="a7d0660e1426751580eb8b139254f9013e999f91">
          <item id="ad8b837e7afb17e7067c82ef1b5ac3345ad98f99" userID="1851561945" userName="石玉珍" dateTime="2026-06-26T00:47:53" isNormal="0">
            <s:text>
              <s:r>
                <s:t xml:space="preserve">2201163 6/25 2950pcs</s:t>
              </s:r>
            </s:text>
          </item>
          <item id="7f4da016fe7465a51a8f1b292d908b29785e1b14" userID="1851561945" userName="石玉珍" dateTime="2026-06-29T00:59:14" isNormal="0">
            <s:text>
              <s:r>
                <s:t xml:space="preserve"> 2200953 6/27 50pcs</s:t>
              </s:r>
            </s:text>
          </item>
        </commentChain>
      </unresolved>
      <resolved/>
    </commentChains>
    <commentChains s:ref="AL1584" rgbClr="FF0000">
      <unresolved>
        <commentChain chainId="84a35e5a152a5ddf1ab434b132aee25751f5fbc5">
          <item id="05067e0683c379dd0f1dcf72ac5697532724afeb" userID="1851561945" userName="石玉珍" dateTime="2026-06-03T12:17:46" isNormal="0">
            <s:text>
              <s:r>
                <s:t xml:space="preserve">6/2 产品贴纸 3000pcs</s:t>
              </s:r>
            </s:text>
          </item>
          <item id="186b5c38db1691247dc82704d0e022aeeccdc47d" userID="1851561945" userName="石玉珍" dateTime="2026-06-08T11:49:18" isNormal="0">
            <s:text>
              <s:r>
                <s:t xml:space="preserve">6/6 进口商贴纸 3000pcs</s:t>
              </s:r>
            </s:text>
          </item>
        </commentChain>
      </unresolved>
      <resolved/>
    </commentChains>
    <commentChains s:ref="AI1585" rgbClr="FF0000">
      <unresolved>
        <commentChain chainId="2b9db54c09beb3d6bb04451e6f53c5029525b969">
          <item id="58741db7b5652ce512000bc5a3a1ea3174c1ad53" userID="1851561945" userName="石玉珍" dateTime="2026-06-29T02:28:03" isNormal="0">
            <s:text>
              <s:r>
                <s:t xml:space="preserve">2200972 6/27 7872pcs</s:t>
              </s:r>
            </s:text>
          </item>
          <item id="13f95a258ecfa5d0b36df15f2a327a8afbd1188e" userID="1851561945" userName="石玉珍" dateTime="2026-06-30T02:12:20" isNormal="0">
            <s:text>
              <s:r>
                <s:t xml:space="preserve">2200975 6/29 4608pcs</s:t>
              </s:r>
            </s:text>
          </item>
        </commentChain>
      </unresolved>
      <resolved/>
    </commentChains>
    <commentChains s:ref="AL1585" rgbClr="FF0000">
      <unresolved>
        <commentChain chainId="efb99c7875da9c2e7e870f5daae43bbce7c62e29">
          <item id="937dfaef1e1a7f41d0cdc560c973c10dbb75bab0" isNormal="1">
            <s:text>
              <s:r>
                <s:t xml:space="preserve">Administrator:
5/25 客供RFID贴纸12480pc
</s:t>
              </s:r>
            </s:text>
          </item>
        </commentChain>
      </unresolved>
      <resolved/>
    </commentChains>
    <commentChains s:ref="AI1586" rgbClr="FF0000">
      <unresolved>
        <commentChain chainId="fcf21d6fb0b8a36be7a8490e82f05693fa6fcebe">
          <item id="054f1e8a2dafdca509770eb83bda077c393d327c" userID="1851561945" userName="石玉珍" dateTime="2026-06-30T02:12:29" isNormal="0">
            <s:text>
              <s:r>
                <s:t xml:space="preserve">2200975 6/29 10560pcs</s:t>
              </s:r>
            </s:text>
          </item>
        </commentChain>
      </unresolved>
      <resolved/>
    </commentChains>
    <commentChains s:ref="AL1586" rgbClr="FF0000">
      <unresolved>
        <commentChain chainId="974f4d6a8953729a8c2b8855b2638588baa09b9b">
          <item id="9d56293be4dc1bfbed675ecdcc2d1f54d14a8dd6" isNormal="1">
            <s:text>
              <s:r>
                <s:t xml:space="preserve">Administrator:
5/25 客供RFID贴纸 10560pc
</s:t>
              </s:r>
            </s:text>
          </item>
        </commentChain>
      </unresolved>
      <resolved/>
    </commentChains>
    <commentChains s:ref="AI1587" rgbClr="FF0000">
      <unresolved>
        <commentChain chainId="14359141456f66bf84091770f4a0cf646caedbd5">
          <item id="fe048bc51bb4430850f2ebe8b614e1ef4d525d9d" userID="1851561945" userName="石玉珍" dateTime="2026-06-30T02:22:35" isNormal="0">
            <s:text>
              <s:r>
                <s:t xml:space="preserve">2200978 6/29 10560pcs</s:t>
              </s:r>
            </s:text>
          </item>
        </commentChain>
      </unresolved>
      <resolved/>
    </commentChains>
    <commentChains s:ref="AL1587" rgbClr="FF0000">
      <unresolved>
        <commentChain chainId="e350ab482e98a306287ccab5eba59a2fb00fa331">
          <item id="d67bd5fc777b98100280af2d52293e32cc6f9cb7" isNormal="1">
            <s:text>
              <s:r>
                <s:t xml:space="preserve">Administrator:
5/25 客供RFID贴纸 10560pc
</s:t>
              </s:r>
            </s:text>
          </item>
        </commentChain>
      </unresolved>
      <resolved/>
    </commentChains>
    <commentChains s:ref="AI1588" rgbClr="FF0000">
      <unresolved>
        <commentChain chainId="3f43f65b18a89c6730f387e45fa8bd53a1a5e5ad">
          <item id="f2491badc63ea4b897da2f32d86b37d07282814e" userID="1851561945" userName="石玉珍" dateTime="2026-06-30T02:16:30" isNormal="0">
            <s:text>
              <s:r>
                <s:t xml:space="preserve">2200975 6/29 13440pcs</s:t>
              </s:r>
            </s:text>
          </item>
        </commentChain>
      </unresolved>
      <resolved/>
    </commentChains>
    <commentChains s:ref="AL1588" rgbClr="FF0000">
      <unresolved>
        <commentChain chainId="029c02994008d7725ddbaa505c8cccfec7d6771d">
          <item id="1751159d178a0fbeab101d2951bc9b61b41996b3" isNormal="1">
            <s:text>
              <s:r>
                <s:t xml:space="preserve">Administrator:
5/25 客供RFID贴纸 13440pc
</s:t>
              </s:r>
            </s:text>
          </item>
        </commentChain>
      </unresolved>
      <resolved/>
    </commentChains>
    <commentChains s:ref="AI1589" rgbClr="FF0000">
      <unresolved>
        <commentChain chainId="cf92c196890f7f220016fec89aef84e26521e7ae">
          <item id="49d230976611e02d91af132c5d49785dae82e0e8" userID="1851561945" userName="石玉珍" dateTime="2026-06-30T02:16:36" isNormal="0">
            <s:text>
              <s:r>
                <s:t xml:space="preserve">2200975 6/29 17280pcs</s:t>
              </s:r>
            </s:text>
          </item>
        </commentChain>
      </unresolved>
      <resolved/>
    </commentChains>
    <commentChains s:ref="AL1589" rgbClr="FF0000">
      <unresolved>
        <commentChain chainId="8d85a344ba012a10ff05053140564db983ceeff8">
          <item id="374eab7e9c04669959e952d21dbe7c03d5ab1df0" isNormal="1">
            <s:text>
              <s:r>
                <s:t xml:space="preserve">Administrator:
5/25 客供RFID贴纸17280pc
</s:t>
              </s:r>
            </s:text>
          </item>
        </commentChain>
      </unresolved>
      <resolved/>
    </commentChains>
    <commentChains s:ref="AI1590" rgbClr="FF0000">
      <unresolved>
        <commentChain chainId="25d5b04307d891f0d55c258df5e5a87c3988db22">
          <item id="5fd55f41cbba6ce59d6988044370918bfb624b8e" userID="1851561945" userName="石玉珍" dateTime="2026-06-30T02:16:41" isNormal="0">
            <s:text>
              <s:r>
                <s:t xml:space="preserve">2200975 6/29 4608pcs</s:t>
              </s:r>
            </s:text>
          </item>
          <item id="dc1fd2e00d3890d1ff2c27e22b7112b2e6b0ad96" userID="1851561945" userName="石玉珍" dateTime="2026-06-30T02:22:08" isNormal="0">
            <s:text>
              <s:r>
                <s:t xml:space="preserve">2200978 6/29 13632pcs</s:t>
              </s:r>
            </s:text>
          </item>
        </commentChain>
      </unresolved>
      <resolved/>
    </commentChains>
    <commentChains s:ref="AL1590" rgbClr="FF0000">
      <unresolved>
        <commentChain chainId="bdce29c58c1e8affaa4b952d3ca54f90107fa8e6">
          <item id="e4f67a2e31bb4981b8bf63d6a94ab3a9421af21d" isNormal="1">
            <s:text>
              <s:r>
                <s:t xml:space="preserve">Administrator:
5/25 客供RFID贴纸182400pc
</s:t>
              </s:r>
            </s:text>
          </item>
        </commentChain>
      </unresolved>
      <resolved/>
    </commentChains>
    <commentChains s:ref="AI1591" rgbClr="FF0000">
      <unresolved>
        <commentChain chainId="429a050e6592b31bfd4a3ff212897e7c5c0dea1d">
          <item id="854469f0155003f3a90429f838c80c71f68dc4f4" userID="1851561945" userName="石玉珍" dateTime="2026-06-30T02:16:46" isNormal="0">
            <s:text>
              <s:r>
                <s:t xml:space="preserve">2200975 6/29 13440pcs</s:t>
              </s:r>
            </s:text>
          </item>
        </commentChain>
      </unresolved>
      <resolved/>
    </commentChains>
    <commentChains s:ref="AL1591" rgbClr="FF0000">
      <unresolved>
        <commentChain chainId="737c9c54d0626a1a589f85ed1b6ca0b4161cfb86">
          <item id="04a8f65cfed53ad8ca0234bdd24e82aa5a27e5bb" isNormal="1">
            <s:text>
              <s:r>
                <s:t xml:space="preserve">Administrator:
5/25 客供RFID贴纸 13440ppc
</s:t>
              </s:r>
            </s:text>
          </item>
        </commentChain>
      </unresolved>
      <resolved/>
    </commentChains>
    <commentChains s:ref="AI1592" rgbClr="FF0000">
      <unresolved>
        <commentChain chainId="d3a86c0c48bb937b276f6780c2c0be0ebdaf6f3c">
          <item id="215eda9226984aef0892cedb5e23dbc90f9f2fac" userID="1851561945" userName="石玉珍" dateTime="2026-06-29T02:31:01" isNormal="0">
            <s:text>
              <s:r>
                <s:t xml:space="preserve">2200968 6/27 3500pcs</s:t>
              </s:r>
            </s:text>
          </item>
        </commentChain>
      </unresolved>
      <resolved/>
    </commentChains>
    <commentChains s:ref="AL1592" rgbClr="FF0000">
      <unresolved>
        <commentChain chainId="13a23937c799f359e3fa884853f0beea87a8da72">
          <item id="d207521be85113b293db2cf719c033ac46366d8c" userID="1851561945" userName="石玉珍" dateTime="2026-06-15T13:07:46" isNormal="0">
            <s:text>
              <s:r>
                <s:t xml:space="preserve">6/15 西班牙环保标贴纸 3500pcs</s:t>
              </s:r>
            </s:text>
          </item>
        </commentChain>
      </unresolved>
      <resolved/>
    </commentChains>
    <commentChains s:ref="AI1593" rgbClr="FF0000">
      <unresolved>
        <commentChain chainId="65c3e55fb83f19644a38638de0888828663d2555">
          <item id="09b8c48069353fdffcffddffc24dc8f9754be36a" userID="1851561945" userName="石玉珍" dateTime="2026-06-26T11:41:07" isNormal="0">
            <s:text>
              <s:r>
                <s:t xml:space="preserve">2201170 6/26 1975pcs</s:t>
              </s:r>
            </s:text>
          </item>
          <item id="b22652fb4d53b2a4511b119ae347e3bb19f74106" userID="1851561945" userName="石玉珍" dateTime="2026-06-26T11:51:22" isNormal="0">
            <s:text>
              <s:r>
                <s:t xml:space="preserve">2200942 6/26 25pcs</s:t>
              </s:r>
            </s:text>
          </item>
        </commentChain>
      </unresolved>
      <resolved/>
    </commentChains>
    <commentChains s:ref="AL1593" rgbClr="FF0000">
      <unresolved>
        <commentChain chainId="d0d1b682f07242290038848aee3ad2e5d826918c">
          <item id="50587debee5f846e30a18a37b571d8f79044c476" userID="1851561945" userName="石玉珍" dateTime="2026-06-08T13:07:38" isNormal="0">
            <s:text>
              <s:r>
                <s:t xml:space="preserve">6/8 进口商贴纸 5500pcs
客户款号的EAN条码贴纸 5500pcs</s:t>
              </s:r>
            </s:text>
          </item>
        </commentChain>
      </unresolved>
      <resolved/>
    </commentChains>
    <commentChains s:ref="AI1594" rgbClr="FF0000">
      <unresolved>
        <commentChain chainId="dda7336da70f7cf485ec940106c041f7f41d3e56">
          <item id="284a99bf1f2d333f20d2ee6ce2530907818c519c" userID="1851561945" userName="石玉珍" dateTime="2026-06-26T11:39:55" isNormal="0">
            <s:text>
              <s:r>
                <s:t xml:space="preserve">2201170 6/26 120pcs</s:t>
              </s:r>
            </s:text>
          </item>
        </commentChain>
      </unresolved>
      <resolved/>
    </commentChains>
    <commentChains s:ref="AL1594" rgbClr="FF0000">
      <unresolved>
        <commentChain chainId="4b85d7fb139af82b89b782ab0587d2bdac026bd9">
          <item id="dedf802f2fa641a6a0992556a4f44952dd246fc5" userID="1851561945" userName="石玉珍" dateTime="2026-06-12T08:06:00" isNormal="0">
            <s:text>
              <s:r>
                <s:t xml:space="preserve">6/10 客供价格贴纸 120pcs</s:t>
              </s:r>
            </s:text>
          </item>
        </commentChain>
      </unresolved>
      <resolved/>
    </commentChains>
    <commentChains s:ref="AI1595" rgbClr="FF0000">
      <unresolved>
        <commentChain chainId="9c014bb04621abc19f8471e11bb819c6518fff51">
          <item id="ae69ed207d2516235ba93014c51ae174d8a2997f" userID="1851561945" userName="石玉珍" dateTime="2026-06-26T11:40:01" isNormal="0">
            <s:text>
              <s:r>
                <s:t xml:space="preserve">2201170 6/26 1536pcs</s:t>
              </s:r>
            </s:text>
          </item>
        </commentChain>
      </unresolved>
      <resolved/>
    </commentChains>
    <commentChains s:ref="AL1595" rgbClr="FF0000">
      <unresolved>
        <commentChain chainId="db288a74ac6f1df6089f375bbb569268d8df99a4">
          <item id="f58b82c55329ba08415eab4c60242526aacc5925" userID="1851561945" userName="石玉珍" dateTime="2026-06-12T08:05:57" isNormal="0">
            <s:text>
              <s:r>
                <s:t xml:space="preserve">6/10 客供价格贴纸 1536pcs</s:t>
              </s:r>
            </s:text>
          </item>
        </commentChain>
      </unresolved>
      <resolved/>
    </commentChains>
    <commentChains s:ref="AI1596" rgbClr="FF0000">
      <unresolved>
        <commentChain chainId="29fb17f8e6d6ba532469b2efa929397ae511aa29">
          <item id="ab6bc5523ec5cf954f38fad9b6fe50cbdd7665fd" userID="1851561945" userName="石玉珍" dateTime="2026-06-26T11:40:07" isNormal="0">
            <s:text>
              <s:r>
                <s:t xml:space="preserve">2201170 6/26 744pcs</s:t>
              </s:r>
            </s:text>
          </item>
        </commentChain>
      </unresolved>
      <resolved/>
    </commentChains>
    <commentChains s:ref="AL1596" rgbClr="FF0000">
      <unresolved>
        <commentChain chainId="cca5141ef443d1f576b53abed952024eccd543b4">
          <item id="55040c0ef338024bfa1c972ff749c16f85898977" userID="1851561945" userName="石玉珍" dateTime="2026-06-12T08:06:05" isNormal="0">
            <s:text>
              <s:r>
                <s:t xml:space="preserve">6/10 客供价格贴纸 744pcs</s:t>
              </s:r>
            </s:text>
          </item>
        </commentChain>
      </unresolved>
      <resolved/>
    </commentChains>
    <commentChains s:ref="AI1597" rgbClr="FF0000">
      <unresolved>
        <commentChain chainId="4066e58765fb0d213d0edf240add24d2625b05c3">
          <item id="9c072abf309bf6b330afe9f086433135263efe8f" userID="1851561945" userName="石玉珍" dateTime="2026-06-30T02:29:53" isNormal="0">
            <s:text>
              <s:r>
                <s:t xml:space="preserve">2801553 6/29 1644pcs</s:t>
              </s:r>
            </s:text>
          </item>
          <item id="93383eff76b33e9f1f3813e4e7d47584d11c7240" userID="1851561945" userName="石玉珍" dateTime="2026-07-01T13:21:00" isNormal="0">
            <s:text>
              <s:r>
                <s:t xml:space="preserve">1600579 7/1 36pcs</s:t>
              </s:r>
            </s:text>
          </item>
        </commentChain>
      </unresolved>
      <resolved/>
    </commentChains>
    <commentChains s:ref="AL1597" rgbClr="FF0000">
      <unresolved>
        <commentChain chainId="864decb9fa12c031de42383d1b408a63d8aed0a8">
          <item id="07fe81d54e80bc841794e8274185b423aa8a1894" userID="1851561945" userName="石玉珍" dateTime="2026-06-06T01:23:00" isNormal="0">
            <s:text>
              <s:r>
                <s:t xml:space="preserve">6/5 进口商贴纸 1680pcs
产品贴纸 3360pcs
WEEE说明书纸 1680pcs</s:t>
              </s:r>
            </s:text>
          </item>
          <item id="39cb9a11624113e7f6abd1780b1a326f9ceea8d9" userID="1851561945" userName="石玉珍" dateTime="2026-06-06T01:49:23" isNormal="0">
            <s:text>
              <s:r>
                <s:t xml:space="preserve">6/5 空白贴纸 1680*2pcs</s:t>
              </s:r>
            </s:text>
          </item>
          <item id="0477afd819b72a79dd39b0b2611b88417a4025fc" userID="1851561945" userName="石玉珍" dateTime="2026-06-17T13:54:05" isNormal="0">
            <s:text>
              <s:r>
                <s:t xml:space="preserve">6/17 产品贴纸 3360pcs补订</s:t>
              </s:r>
            </s:text>
          </item>
        </commentChain>
      </unresolved>
      <resolved/>
    </commentChains>
    <commentChains s:ref="AI1598" rgbClr="FF0000">
      <unresolved>
        <commentChain chainId="b40987c2237330726299ed4be2720b8d04c2f4dc">
          <item id="555070f5ed50ed1a7a731784ebbbc583111c28f7" userID="1851561945" userName="石玉珍" dateTime="2026-07-01T13:16:39" isNormal="0">
            <s:text>
              <s:r>
                <s:t xml:space="preserve">1600579 7/1 240pcs</s:t>
              </s:r>
            </s:text>
          </item>
        </commentChain>
      </unresolved>
      <resolved/>
    </commentChains>
    <commentChains s:ref="AL1598" rgbClr="FF0000">
      <unresolved>
        <commentChain chainId="498b98ebc2921409cf05f90efea8696bba9e4ff4">
          <item id="bdd086a49e2c2341b776e58655c917ccb0c301ce" userID="1851561945" userName="石玉珍" dateTime="2026-06-06T01:41:44" isNormal="0">
            <s:text>
              <s:r>
                <s:t xml:space="preserve">6/5 进口商贴纸 240pcs</s:t>
              </s:r>
            </s:text>
          </item>
          <item id="914a3024a3ff52fbd443aedfbbb9bc2c47b209f1" userID="1851561945" userName="石玉珍" dateTime="2026-06-11T13:57:35" isNormal="0">
            <s:text>
              <s:r>
                <s:t xml:space="preserve">6/10 进口商贴纸 480pcs</s:t>
              </s:r>
            </s:text>
          </item>
        </commentChain>
      </unresolved>
      <resolved/>
    </commentChains>
    <commentChains s:ref="AI1599" rgbClr="FF0000">
      <unresolved>
        <commentChain chainId="3a554a78256fadbde49c65025980cba1b4ff2c5f">
          <item id="937c1ceb7964a2041f4177f6942d329e4b269f23" userID="1851561945" userName="石玉珍" dateTime="2026-06-30T14:13:31" isNormal="0">
            <s:text>
              <s:r>
                <s:t xml:space="preserve">1600573 6/30 300pcs</s:t>
              </s:r>
            </s:text>
          </item>
        </commentChain>
      </unresolved>
      <resolved/>
    </commentChains>
    <commentChains s:ref="AL1599" rgbClr="FF0000">
      <unresolved>
        <commentChain chainId="b99fe4c3164115d7147d72745cae6c13e179d875">
          <item id="5e5f0c73391fcc155bbe84fdd5d64e72c29ff0ec" userID="1851561945" userName="石玉珍" dateTime="2026-06-15T12:59:25" isNormal="0">
            <s:text>
              <s:r>
                <s:t xml:space="preserve">6/15 EAN贴纸 300pcs</s:t>
              </s:r>
            </s:text>
          </item>
          <item id="da7bcaaaaa242f48661f1da378ab87318d02cd03" userID="1851561945" userName="石玉珍" dateTime="2026-06-15T13:07:58" isNormal="0">
            <s:text>
              <s:r>
                <s:t xml:space="preserve">6/15 空白贴纸 600pcs</s:t>
              </s:r>
            </s:text>
          </item>
        </commentChain>
      </unresolved>
      <resolved/>
    </commentChains>
    <commentChains s:ref="AI1600" rgbClr="FF0000">
      <unresolved>
        <commentChain chainId="1233173bdd9e5f0e567b595518ca1994e7ca9335">
          <item id="52946b6ab9412f8dd91115840419d111e699c5ae" userID="1851561945" userName="石玉珍" dateTime="2026-07-01T12:22:04" isNormal="0">
            <s:text>
              <s:r>
                <s:t xml:space="preserve">2201022 7/1 5005pcs</s:t>
              </s:r>
            </s:text>
          </item>
        </commentChain>
      </unresolved>
      <resolved/>
    </commentChains>
    <commentChains s:ref="AL1600" rgbClr="FF0000">
      <unresolved>
        <commentChain chainId="74b63ad357fb08e7f4f75530b635e7a83822cb67">
          <item id="35566de2e64609d75d21b385bd27fa363dd4ef57" userID="1851561945" userName="石玉珍" dateTime="2026-06-15T13:34:53" isNormal="0">
            <s:text>
              <s:r>
                <s:t xml:space="preserve">6/15 多语警语折叠贴纸 5005pcs</s:t>
              </s:r>
            </s:text>
          </item>
        </commentChain>
      </unresolved>
      <resolved/>
    </commentChains>
    <commentChains s:ref="AI1601" rgbClr="FF0000">
      <unresolved>
        <commentChain chainId="fa803d92946affc5b540f6e0f04c32495d59d08a">
          <item id="b3086d40ac59dc376f78bfe029a4196114971f02" userID="1851561945" userName="石玉珍" dateTime="2026-06-30T14:08:49" isNormal="0">
            <s:text>
              <s:r>
                <s:t xml:space="preserve">2801556 6/30 138pcs</s:t>
              </s:r>
            </s:text>
          </item>
        </commentChain>
      </unresolved>
      <resolved/>
    </commentChains>
    <commentChains s:ref="AL1601" rgbClr="FF0000">
      <unresolved>
        <commentChain chainId="f3eaa9a38b637c2ea8a8edacb0ddf2bb3ce6c3bf">
          <item id="af36aeefb428fa7ed6105f6a3afd9337f98d66cc" isNormal="1">
            <s:text>
              <s:r>
                <s:t xml:space="preserve">Administrator:
5/20 收缩膜+说明书纽扣电池警 552pcs</s:t>
              </s:r>
            </s:text>
          </item>
          <item id="88e74c934171b6cdd509bc1aee7e099e27ca39a6" userID="1851561945" userName="石玉珍" dateTime="2026-06-12T08:38:39" isNormal="0">
            <s:text>
              <s:r>
                <s:t xml:space="preserve">6/11 Kmart外箱贴纸 23pcs</s:t>
              </s:r>
            </s:text>
          </item>
        </commentChain>
      </unresolved>
      <resolved/>
    </commentChains>
    <commentChains s:ref="AI1602" rgbClr="FF0000">
      <unresolved>
        <commentChain chainId="f31bf1961cde287ab7f48c6b95df05bea7d40645">
          <item id="03daaf407278609efd278d067c56e4e7e63a38d3" userID="1851561945" userName="石玉珍" dateTime="2026-06-30T14:08:21" isNormal="0">
            <s:text>
              <s:r>
                <s:t xml:space="preserve">2801556 6/30 1362pcs</s:t>
              </s:r>
            </s:text>
          </item>
        </commentChain>
      </unresolved>
      <resolved/>
    </commentChains>
    <commentChains s:ref="AL1602" rgbClr="FF0000">
      <unresolved>
        <commentChain chainId="a2578f480ea4127dc056e8cc757bdc162531af41">
          <item id="92b1bf087b7cec506cf018261b8577a8cf12159e" userID="1851561945" userName="石玉珍" dateTime="2026-05-31T07:55:30" isNormal="0">
            <s:text>
              <s:r>
                <s:t xml:space="preserve">5/29 收缩膜+说明书纽扣电池警告语 1362pcs</s:t>
              </s:r>
            </s:text>
          </item>
          <item id="575d0d8c4738cd95190ca8388c2f5a3e493e6f72" userID="1851561945" userName="石玉珍" dateTime="2026-06-12T08:37:55" isNormal="0">
            <s:text>
              <s:r>
                <s:t xml:space="preserve">6/11 Kmart外箱贴纸  227pcs</s:t>
              </s:r>
            </s:text>
          </item>
        </commentChain>
      </unresolved>
      <resolved/>
    </commentChains>
    <commentChains s:ref="AI1603" rgbClr="FF0000">
      <unresolved>
        <commentChain chainId="2be0563a241a099be5f51d4dcbc8ea1c3f0b179d">
          <item id="6c87e3a17d8f04f49c228e949205639035c80e22" userID="1851561945" userName="石玉珍" dateTime="2026-07-01T12:22:33" isNormal="0">
            <s:text>
              <s:r>
                <s:t xml:space="preserve">2201022 7/1 9009pcs</s:t>
              </s:r>
            </s:text>
          </item>
        </commentChain>
      </unresolved>
      <resolved/>
    </commentChains>
    <commentChains s:ref="AL1603" rgbClr="FF0000">
      <unresolved>
        <commentChain chainId="804ff9d0a8cd049c0f0f87374c7f660a44569d5a">
          <item id="1dddcb6e9e1ef4e0b408dfe4b97b574d49f4bf73" userID="1851561945" userName="石玉珍" dateTime="2026-06-17T13:30:46" isNormal="0">
            <s:text>
              <s:r>
                <s:t xml:space="preserve">6/17 PDQ贴纸含EAN条码 693pcs</s:t>
              </s:r>
            </s:text>
          </item>
          <item id="87f314d5afd19135410f1b24538f4422afe00661" userID="1851561945" userName="石玉珍" dateTime="2026-06-25T06:27:20" isNormal="0">
            <s:text>
              <s:r>
                <s:t xml:space="preserve">6/18 进口商贴纸 9009pcs</s:t>
              </s:r>
            </s:text>
          </item>
        </commentChain>
      </unresolved>
      <resolved/>
    </commentChains>
    <commentChains s:ref="AI1604" rgbClr="FF0000">
      <unresolved>
        <commentChain chainId="3737b2aef192b0d27d1ad04389a2a3f5a29ca93b">
          <item id="02ce5a979f16d63ed267bd77db3c5818a4dca8a4" userID="1851561945" userName="石玉珍" dateTime="2026-07-01T02:52:29" isNormal="0">
            <s:text>
              <s:r>
                <s:t xml:space="preserve">2201013 6/30 6000</s:t>
              </s:r>
            </s:text>
          </item>
        </commentChain>
      </unresolved>
      <resolved/>
    </commentChains>
    <commentChains s:ref="AL1604" rgbClr="FF0000">
      <unresolved>
        <commentChain chainId="549d46933ac431ebca7880bf7232766bcab725fa">
          <item id="0be5cd58a7f5f44ecfff855ebb7d327afd2cbc16" userID="1851561945" userName="石玉珍" dateTime="2026-06-17T13:34:06" isNormal="0">
            <s:text>
              <s:r>
                <s:t xml:space="preserve">6/17 展示架贴纸含EAN条码 200pcs</s:t>
              </s:r>
            </s:text>
          </item>
          <item id="1307448fe934458ac8c7ac6fb3ccb4d55d085001" userID="1851561945" userName="石玉珍" dateTime="2026-06-25T06:27:26" isNormal="0">
            <s:text>
              <s:r>
                <s:t xml:space="preserve">6/18 进口商贴纸 6000pcs</s:t>
              </s:r>
            </s:text>
          </item>
        </commentChain>
      </unresolved>
      <resolved/>
    </commentChains>
    <commentChains s:ref="AI1605" rgbClr="FF0000">
      <unresolved>
        <commentChain chainId="154fd70cf4dbc099643d165c2d9a23baeaef5612">
          <item id="0ed95e8a9d1a59ec0e6a714f4a05ab14cbf871e8" userID="1851561945" userName="石玉珍" dateTime="2026-07-01T13:00:22" isNormal="0">
            <s:text>
              <s:r>
                <s:t xml:space="preserve">2201029 7/1 2004pcs</s:t>
              </s:r>
            </s:text>
          </item>
        </commentChain>
      </unresolved>
      <resolved/>
    </commentChains>
    <commentChains s:ref="AL1605" rgbClr="FF0000">
      <unresolved>
        <commentChain chainId="b5869373570f285c6ea779066b03d07fad66bc9b">
          <item id="9339c808ce041f7f36e3988680345f76427bd0fe" isNormal="1">
            <s:text>
              <s:r>
                <s:t xml:space="preserve">Administrator:
5/18 客供价格贴纸 2004pcs
5/22 空白贴纸 订单数*2pcs
</s:t>
              </s:r>
            </s:text>
          </item>
        </commentChain>
      </unresolved>
      <resolved/>
    </commentChains>
    <commentChains s:ref="AI1606" rgbClr="FF0000">
      <unresolved>
        <commentChain chainId="da399da72f352545d43ba0a82534c670b4247e85">
          <item id="1138f5af0cb279f33f319125281dd254fa8999c2" userID="1851561945" userName="石玉珍" dateTime="2026-07-01T13:04:35" isNormal="0">
            <s:text>
              <s:r>
                <s:t xml:space="preserve">2201028 7/1 1425pcs</s:t>
              </s:r>
            </s:text>
          </item>
        </commentChain>
      </unresolved>
      <resolved/>
    </commentChains>
    <commentChains s:ref="AL1606" rgbClr="FF0000">
      <unresolved>
        <commentChain chainId="a55bcecb1033e354d03fcdf9753831a7b00ad187">
          <item id="8ba6954ef78387c6253a4bb22e8ffe0144d1d5a5" isNormal="1">
            <s:text>
              <s:r>
                <s:t xml:space="preserve">Administrator:
5/22 客供亚马逊外箱贴 57pcs
</s:t>
              </s:r>
            </s:text>
          </item>
        </commentChain>
      </unresolved>
      <resolved/>
    </commentChains>
    <commentChains s:ref="AI1607" rgbClr="FF0000">
      <unresolved>
        <commentChain chainId="a04bcb9e4852d9d4e1b4f2ed51822f204e06c2bc">
          <item id="470b875764ab9d9e3e43775f418f0d0ac8d4aad6" userID="1851561945" userName="石玉珍" dateTime="2026-07-07T07:20:07" isNormal="0">
            <s:text>
              <s:r>
                <s:t xml:space="preserve">2201028 7/1 1375pcs</s:t>
              </s:r>
            </s:text>
          </item>
        </commentChain>
      </unresolved>
      <resolved/>
    </commentChains>
    <commentChains s:ref="AL1607" rgbClr="FF0000">
      <unresolved>
        <commentChain chainId="ce7a465845a72c3b5a36223c690e228e4b3ef8a2">
          <item id="bd2cabcad56962dc0cfe266ce0b1df1c6ccd7d2f" isNormal="1">
            <s:text>
              <s:r>
                <s:t xml:space="preserve">Administrator:
5/22 客供亚马逊外箱贴 55pcs
</s:t>
              </s:r>
            </s:text>
          </item>
        </commentChain>
      </unresolved>
      <resolved/>
    </commentChains>
    <commentChains s:ref="AI1608" rgbClr="FF0000">
      <unresolved>
        <commentChain chainId="4a868456b8696c4d28e9fecf7252f4e144cd534f">
          <item id="0b65c5ccb2efef8fb3e9a107db19e517fc9c2570" userID="1851561945" userName="石玉珍" dateTime="2026-07-01T13:05:05" isNormal="0">
            <s:text>
              <s:r>
                <s:t xml:space="preserve">2201028 7/1 2675pcs</s:t>
              </s:r>
            </s:text>
          </item>
        </commentChain>
      </unresolved>
      <resolved/>
    </commentChains>
    <commentChains s:ref="AL1608" rgbClr="FF0000">
      <unresolved>
        <commentChain chainId="d76d411c4e92ac35db93c7c28ae5ed36cf38b092">
          <item id="b23eccd16f793f542bd3d9d6e86542fa43cbe556" isNormal="1">
            <s:text>
              <s:r>
                <s:t xml:space="preserve">Administrator:
5/22 客供亚马逊外箱贴 107pcs
</s:t>
              </s:r>
            </s:text>
          </item>
        </commentChain>
      </unresolved>
      <resolved/>
    </commentChains>
    <commentChains s:ref="AI1609" rgbClr="FF0000">
      <unresolved>
        <commentChain chainId="66de2746c3daa8cff00e5e256922af58a96b1f34">
          <item id="4bc33307056a88890e7f4d6b7eeb3bd135f27a54" userID="1851561945" userName="石玉珍" dateTime="2026-07-01T13:05:37" isNormal="0">
            <s:text>
              <s:r>
                <s:t xml:space="preserve">2201028 7/1 1000pcs</s:t>
              </s:r>
            </s:text>
          </item>
        </commentChain>
      </unresolved>
      <resolved/>
    </commentChains>
    <commentChains s:ref="AL1609" rgbClr="FF0000">
      <unresolved>
        <commentChain chainId="24f109ff087b7b58b0d511b80c31059c159dc7fd">
          <item id="c8284fc42dac91a079a2b1018ba5793b77a539f2" isNormal="1">
            <s:text>
              <s:r>
                <s:t xml:space="preserve">Administrator:
5/22 家乐福外箱贴纸 40pcs</s:t>
              </s:r>
            </s:text>
          </item>
        </commentChain>
      </unresolved>
      <resolved/>
    </commentChains>
    <commentChains s:ref="AI1610" rgbClr="FF0000">
      <unresolved>
        <commentChain chainId="3671d10d174dc5645015098eba574bda299cbfe4">
          <item id="82bc928ebc7232c1d96959b2e2cddd0677ddc10d" userID="1851561945" userName="石玉珍" dateTime="2026-07-01T13:01:13" isNormal="0">
            <s:text>
              <s:r>
                <s:t xml:space="preserve">2201029 7/1 2196pcs</s:t>
              </s:r>
            </s:text>
          </item>
        </commentChain>
      </unresolved>
      <resolved/>
    </commentChains>
    <commentChains s:ref="AL1610" rgbClr="FF0000">
      <unresolved>
        <commentChain chainId="127b5019c3f24b0673f2bf0fbd10186ee5fd8c9a">
          <item id="8ad24e3931515ef932467e506101c16fe0f1989c" isNormal="1">
            <s:text>
              <s:r>
                <s:t xml:space="preserve">Administrator:
5/18 客供价格贴纸 2196pcs
5/22 空白贴纸 订单数*2pcs
</s:t>
              </s:r>
            </s:text>
          </item>
        </commentChain>
      </unresolved>
      <resolved/>
    </commentChains>
    <commentChains s:ref="AI1611" rgbClr="FF0000">
      <unresolved>
        <commentChain chainId="c18971783c6ff78015a15fba1ad834e247801ac5">
          <item id="e563954c7a889587e66a836c2b8f18ba3f1fd301" userID="1851561945" userName="石玉珍" dateTime="2026-07-01T13:01:47" isNormal="0">
            <s:text>
              <s:r>
                <s:t xml:space="preserve">2201029 7/1 2544pcs</s:t>
              </s:r>
            </s:text>
          </item>
        </commentChain>
      </unresolved>
      <resolved/>
    </commentChains>
    <commentChains s:ref="AL1611" rgbClr="FF0000">
      <unresolved>
        <commentChain chainId="13c25d8c373a72e1cb0e8d47f3b276566604979f">
          <item id="01f151a59f5618989de66c9233310170066a5978" userID="1851561945" userName="石玉珍" dateTime="2026-06-12T08:30:31" isNormal="0">
            <s:text>
              <s:r>
                <s:t xml:space="preserve">6/10 价格贴纸 2544pcs
空白条码贴纸 2544*2pcs</s:t>
              </s:r>
            </s:text>
          </item>
          <item id="388cfc1b0337a49e6b0a4ed4e2ab9e7afb5bac67" userID="1851561945" userName="石玉珍" dateTime="2026-06-17T13:45:57" isNormal="0">
            <s:text>
              <s:r>
                <s:t xml:space="preserve">6/17 NWV客供外箱贴纸 212pcs</s:t>
              </s:r>
            </s:text>
          </item>
          <item id="babfd30c57656bce88d78201e3b3835c91a500f3" userID="1851561945" userName="石玉珍" dateTime="2026-06-17T13:46:56" isNormal="0">
            <s:text>
              <s:r>
                <s:t xml:space="preserve">NJ通用客供外箱贴纸 212pcs</s:t>
              </s:r>
            </s:text>
          </item>
        </commentChain>
      </unresolved>
      <resolved/>
    </commentChains>
    <commentChains s:ref="AI1612" rgbClr="FF0000">
      <unresolved>
        <commentChain chainId="c71bb1b00fbc966f9c1445871fc7c116616eb309">
          <item id="be7ebd9c373fbf105e84191f142cd0016341928f" userID="1851561945" userName="石玉珍" dateTime="2026-07-01T13:01:53" isNormal="0">
            <s:text>
              <s:r>
                <s:t xml:space="preserve">2201029 7/1 1092pcs</s:t>
              </s:r>
            </s:text>
          </item>
        </commentChain>
      </unresolved>
      <resolved/>
    </commentChains>
    <commentChains s:ref="AL1612" rgbClr="FF0000">
      <unresolved>
        <commentChain chainId="15391f350697deaf94c589604f50db781e90f891">
          <item id="d5b207a482892aa6ca1cf11938589409c8667ea7" userID="1851561945" userName="石玉珍" dateTime="2026-06-12T08:30:42" isNormal="0">
            <s:text>
              <s:r>
                <s:t xml:space="preserve">6/10 价格贴纸 1092pcs
空白条码贴纸 1092*2pcs</s:t>
              </s:r>
            </s:text>
          </item>
          <item id="e14793fcf31eb7348e0302cbd4f6974f8a079d8c" userID="1851561945" userName="石玉珍" dateTime="2026-06-17T13:45:51" isNormal="0">
            <s:text>
              <s:r>
                <s:t xml:space="preserve">6/17 NWV客供外箱贴纸 91pcs</s:t>
              </s:r>
            </s:text>
          </item>
          <item id="81c036a2e86f37fb18424bb1c77a9403e2005204" userID="1851561945" userName="石玉珍" dateTime="2026-06-17T13:47:03" isNormal="0">
            <s:text>
              <s:r>
                <s:t xml:space="preserve">NJ通用客供外箱贴纸 91pcs</s:t>
              </s:r>
            </s:text>
          </item>
        </commentChain>
      </unresolved>
      <resolved/>
    </commentChains>
    <commentChains s:ref="AI1613" rgbClr="FF0000">
      <unresolved>
        <commentChain chainId="26d29ae6d30d66c473e93c089a2816118ac22ac2">
          <item id="ded34d745a059d8bf79af4ac468528c90ca042ea" userID="1851561945" userName="石玉珍" dateTime="2026-07-01T02:53:53" isNormal="0">
            <s:text>
              <s:r>
                <s:t xml:space="preserve">2201013 6/30 9087pcs</s:t>
              </s:r>
            </s:text>
          </item>
        </commentChain>
      </unresolved>
      <resolved/>
    </commentChains>
    <commentChains s:ref="AL1613" rgbClr="FF0000">
      <unresolved>
        <commentChain chainId="66638ac9906bad7b3fe6344b7089a1d39527a399">
          <item id="ecefab2360c42ec5381cd7e2c409f5466d87c322" userID="1851561945" userName="石玉珍" dateTime="2026-06-06T01:20:51" isNormal="0">
            <s:text>
              <s:r>
                <s:t xml:space="preserve">6/5 UPC贴纸 9087pcs</s:t>
              </s:r>
            </s:text>
          </item>
          <item id="7a4dab9a6104d9671d03fa35625ef2d05d91f682" userID="1851561945" userName="石玉珍" dateTime="2026-06-12T00:24:28" isNormal="0">
            <s:text>
              <s:r>
                <s:t xml:space="preserve">6/10 白色防盗贴纸 9087pcs</s:t>
              </s:r>
            </s:text>
          </item>
          <item id="3b47cbd95b91dffc6909ee4ee7b88a5de1b53bf3" userID="1851561945" userName="石玉珍" dateTime="2026-06-12T08:40:29" isNormal="0">
            <s:text>
              <s:r>
                <s:t xml:space="preserve">6/11 Kmart外箱贴纸 699pcs</s:t>
              </s:r>
            </s:text>
          </item>
        </commentChain>
      </unresolved>
      <resolved/>
    </commentChains>
    <commentChains s:ref="AI1614" rgbClr="FF0000">
      <unresolved>
        <commentChain chainId="243be7e49e9dada36b83c69b8f4eca09001feea1">
          <item id="6dde49aeac1075ccfb31cf855f4cf23c7ae7152f" userID="1851561945" userName="石玉珍" dateTime="2026-07-01T02:54:04" isNormal="0">
            <s:text>
              <s:r>
                <s:t xml:space="preserve">2201013 6/30 9295pcs</s:t>
              </s:r>
            </s:text>
          </item>
        </commentChain>
      </unresolved>
      <resolved/>
    </commentChains>
    <commentChains s:ref="AL1614" rgbClr="FF0000">
      <unresolved>
        <commentChain chainId="fea12116df66cc707f573cafa8d5e04644428b41">
          <item id="4fa668bb607d419ec950c006356f6d78d5a36746" userID="1851561945" userName="石玉珍" dateTime="2026-06-06T01:20:57" isNormal="0">
            <s:text>
              <s:r>
                <s:t xml:space="preserve">6/5 UPC贴纸 9295pcs</s:t>
              </s:r>
            </s:text>
          </item>
          <item id="949bc88cf283a2ac3d9bb16854dedd0ced54df52" userID="1851561945" userName="石玉珍" dateTime="2026-06-12T00:24:42" isNormal="0">
            <s:text>
              <s:r>
                <s:t xml:space="preserve">6/10 白色防盗贴纸 9295pcs</s:t>
              </s:r>
            </s:text>
          </item>
          <item id="7047ca2dd824d4ec0c4210617212f9e2bbb5a2de" userID="1851561945" userName="石玉珍" dateTime="2026-06-12T08:40:35" isNormal="0">
            <s:text>
              <s:r>
                <s:t xml:space="preserve">6/11 Kmart外箱贴纸 715pcs</s:t>
              </s:r>
            </s:text>
          </item>
        </commentChain>
      </unresolved>
      <resolved/>
    </commentChains>
    <commentChains s:ref="AI1615" rgbClr="FF0000">
      <unresolved>
        <commentChain chainId="8672ccb0883bf301805f953e574320422553881f">
          <item id="ded0717996879294413774fcc096045ee7ca8276" userID="1851561945" userName="石玉珍" dateTime="2026-07-01T02:54:46" isNormal="0">
            <s:text>
              <s:r>
                <s:t xml:space="preserve">2201013 6/30 689pcs</s:t>
              </s:r>
            </s:text>
          </item>
        </commentChain>
      </unresolved>
      <resolved/>
    </commentChains>
    <commentChains s:ref="AL1615" rgbClr="FF0000">
      <unresolved>
        <commentChain chainId="d9ae32ad91a001de9422ddc9b23d772da7ad1ddc">
          <item id="b9c053b1561208978d084dacef91499ada05733c" userID="1851561945" userName="石玉珍" dateTime="2026-06-06T01:22:10" isNormal="0">
            <s:text>
              <s:r>
                <s:t xml:space="preserve">6/5 UPC贴纸 689pcs</s:t>
              </s:r>
            </s:text>
          </item>
          <item id="af3eb6c50a6cdda31e5c049374f232e994c01401" userID="1851561945" userName="石玉珍" dateTime="2026-06-12T03:47:18" isNormal="0">
            <s:text>
              <s:r>
                <s:t xml:space="preserve">6/11 白色防盗贴纸 689pcs</s:t>
              </s:r>
            </s:text>
          </item>
          <item id="a197c2e6e6fecd544cce0d0e89ba48a8b7019389" userID="1851561945" userName="石玉珍" dateTime="2026-06-12T08:41:16" isNormal="0">
            <s:text>
              <s:r>
                <s:t xml:space="preserve">6/11 Kmart外箱贴纸 52pcs</s:t>
              </s:r>
            </s:text>
          </item>
        </commentChain>
      </unresolved>
      <resolved/>
    </commentChains>
    <commentChains s:ref="AI1616" rgbClr="FF0000">
      <unresolved>
        <commentChain chainId="a14ee86cd93133c6500b914245c27b2871979f3f">
          <item id="ab0074eba74528896c883042fb8b5170593a7621" userID="1851561945" userName="石玉珍" dateTime="2026-06-30T14:11:21" isNormal="0">
            <s:text>
              <s:r>
                <s:t xml:space="preserve"> 2201007 6/30 15000pcs</s:t>
              </s:r>
            </s:text>
          </item>
        </commentChain>
      </unresolved>
      <resolved/>
    </commentChains>
    <commentChains s:ref="AL1616" rgbClr="FF0000">
      <unresolved>
        <commentChain chainId="d970786c41a040234ce12a68763a24451a77f415">
          <item id="2f385ce936e1bb658b64e1923f3698fa4c23ef5c" isNormal="1">
            <s:text>
              <s:r>
                <s:t xml:space="preserve">Administrator:
4/7 UPC条码贴纸 15000pcs</s:t>
              </s:r>
            </s:text>
          </item>
        </commentChain>
      </unresolved>
      <resolved/>
    </commentChains>
    <commentChains s:ref="AI1617" rgbClr="FF0000">
      <unresolved>
        <commentChain chainId="17f06a5477683490505bc22a31d2e683ef7f186f">
          <item id="957ff0456b5960fd287e89cdad07bca650aff479" userID="1851561945" userName="石玉珍" dateTime="2026-07-01T12:21:13" isNormal="0">
            <s:text>
              <s:r>
                <s:t xml:space="preserve">2201022 7/1 3848pcs</s:t>
              </s:r>
            </s:text>
          </item>
        </commentChain>
      </unresolved>
      <resolved/>
    </commentChains>
    <commentChains s:ref="AI1618" rgbClr="FF0000">
      <unresolved>
        <commentChain chainId="a1ce03091530317f11dcda8e87a7e63c4e826b3b">
          <item id="590681ef03e98c115b8f05da626adb18d283c071" userID="1851561945" userName="石玉珍" dateTime="2026-07-01T02:53:17" isNormal="0">
            <s:text>
              <s:r>
                <s:t xml:space="preserve">2201013 6/30 3750pcs</s:t>
              </s:r>
            </s:text>
          </item>
        </commentChain>
      </unresolved>
      <resolved/>
    </commentChains>
    <commentChains s:ref="AL1618" rgbClr="FF0000">
      <unresolved>
        <commentChain chainId="77f30fa4fe76571ed3ac5d57f2ec76276c4c3a0e">
          <item id="6aee138dbaebeb26bef8b304d6ef4e1eb1475694" userID="1851561945" userName="石玉珍" dateTime="2026-06-16T12:01:45" isNormal="0">
            <s:text>
              <s:r>
                <s:t xml:space="preserve">6/16 产品条码贴纸 3750pcs</s:t>
              </s:r>
            </s:text>
          </item>
          <item id="1f751fb7fc1c0390e34bb736eb5f51e16e5ef3e0" userID="1851561945" userName="石玉珍" dateTime="2026-06-26T02:23:18" isNormal="0">
            <s:text>
              <s:r>
                <s:t xml:space="preserve">6/22 PDQ 底部贴纸 150pcs</s:t>
              </s:r>
            </s:text>
          </item>
        </commentChain>
      </unresolved>
      <resolved/>
    </commentChains>
    <commentChains s:ref="AI1619" rgbClr="FF0000">
      <unresolved>
        <commentChain chainId="15567663088b899d9d0e6f905790331831ee2274">
          <item id="67f57d56d4e966b3d7fbc28cf8f67d137fc0ae90" userID="1851561945" userName="石玉珍" dateTime="2026-07-07T02:00:12" isNormal="0">
            <s:text>
              <s:r>
                <s:t xml:space="preserve">2201029 7/1 5004pcs</s:t>
              </s:r>
            </s:text>
          </item>
        </commentChain>
      </unresolved>
      <resolved/>
    </commentChains>
    <commentChains s:ref="AL1619" rgbClr="FF0000">
      <unresolved>
        <commentChain chainId="6b5a201f251904cd4ac5567d5f19271e63ec8084">
          <item id="887f2485283281b903f3bb5c2553234e2d2d28dc" userID="1851561945" userName="石玉珍" dateTime="2026-06-12T08:05:08" isNormal="0">
            <s:text>
              <s:r>
                <s:t xml:space="preserve">6/10 客供价格贴纸 500pcs</s:t>
              </s:r>
            </s:text>
          </item>
        </commentChain>
      </unresolved>
      <resolved/>
    </commentChains>
    <commentChains s:ref="AI1620" rgbClr="FF0000">
      <unresolved>
        <commentChain chainId="5f16efb08cfea32dbd748707fe0afe5ee5c967b2">
          <item id="51705cb9814a86f3f482bf67654d9a27f1c1ef22" userID="1851561945" userName="石玉珍" dateTime="2026-07-07T01:32:31" isNormal="0">
            <s:text>
              <s:r>
                <s:t xml:space="preserve">2201218 7/6 16380pcs</s:t>
              </s:r>
            </s:text>
          </item>
          <item id="03e7e2a5aec4bb0ac523f12f894efde30454dc20" userID="1851561945" userName="石玉珍" dateTime="2026-07-08T06:21:56" isNormal="0">
            <s:text>
              <s:r>
                <s:t xml:space="preserve">2201219 7/6 18980pcs</s:t>
              </s:r>
            </s:text>
          </item>
        </commentChain>
      </unresolved>
      <resolved/>
    </commentChains>
    <commentChains s:ref="AL1620" rgbClr="FF0000">
      <unresolved>
        <commentChain chainId="2245932439b482a44ad8695e72b58b8c846b3baf">
          <item id="ecb75fc714b9b9cb2aeb61f4215211888d5946ac" userID="1851561945" userName="石玉珍" dateTime="2026-06-24T00:53:46" isNormal="0">
            <s:text>
              <s:r>
                <s:t xml:space="preserve">6/23 价格贴纸  35360pcs</s:t>
              </s:r>
            </s:text>
          </item>
          <item id="7a5f229b3f39b60820c666e72c012d6aad7dadae" userID="1851561945" userName="石玉珍" dateTime="2026-06-24T00:53:54" isNormal="0">
            <s:text>
              <s:r>
                <s:t xml:space="preserve">外箱条码贴纸 1360pcs</s:t>
              </s:r>
            </s:text>
          </item>
        </commentChain>
      </unresolved>
      <resolved/>
    </commentChains>
    <commentChains s:ref="AI1621" rgbClr="FF0000">
      <unresolved>
        <commentChain chainId="d7cce843613eb7f888c8def044ac48941b5ea131">
          <item id="6cf98fdba0e46a20a120974cf8e5bbf5e8583e3f" userID="1851561945" userName="石玉珍" dateTime="2026-07-03T02:36:13" isNormal="0">
            <s:text>
              <s:r>
                <s:t xml:space="preserve">2201184 7/2 520pcs</s:t>
              </s:r>
            </s:text>
          </item>
        </commentChain>
      </unresolved>
      <resolved/>
    </commentChains>
    <commentChains s:ref="AI1622" rgbClr="FF0000">
      <unresolved>
        <commentChain chainId="bba26a9f30cb4ff33cd20551ca50f73ea36119b4">
          <item id="45d68e26e0791b114e79982a2f5db5148d649463" userID="1851561945" userName="石玉珍" dateTime="2026-07-07T02:32:29" isNormal="0">
            <s:text>
              <s:r>
                <s:t xml:space="preserve">1600561 7/2 120pcs</s:t>
              </s:r>
            </s:text>
          </item>
        </commentChain>
      </unresolved>
      <resolved/>
    </commentChains>
    <commentChains s:ref="AL1622" rgbClr="FF0000">
      <unresolved>
        <commentChain chainId="1749359c725775ead55e70e5fa7a4af1879b64c1">
          <item id="3c4c8ad51021c3e0fa42c6d616e0be2bec96154d" userID="1851561945" userName="石玉珍" dateTime="2026-06-12T08:06:28" isNormal="0">
            <s:text>
              <s:r>
                <s:t xml:space="preserve">6/10 客供价格贴纸 120pcs</s:t>
              </s:r>
            </s:text>
          </item>
        </commentChain>
      </unresolved>
      <resolved/>
    </commentChains>
    <commentChains s:ref="AI1623" rgbClr="FF0000">
      <unresolved>
        <commentChain chainId="d6c57aaf5d0a19824f258af0b979e778492a6eeb">
          <item id="ba9ca28b28e1bb2ed0920ebd5db98f9587e4191e" userID="1851561945" userName="石玉珍" dateTime="2026-07-07T02:32:44" isNormal="0">
            <s:text>
              <s:r>
                <s:t xml:space="preserve">1600561 7/2 1544pcs</s:t>
              </s:r>
            </s:text>
          </item>
        </commentChain>
      </unresolved>
      <resolved/>
    </commentChains>
    <commentChains s:ref="AL1623" rgbClr="FF0000">
      <unresolved>
        <commentChain chainId="15d1e8b496d01482c14a32b2b31faa0fa0faa8da">
          <item id="c70d53cffbe172b0f17c950ca95609b33237e522" userID="1851561945" userName="石玉珍" dateTime="2026-06-12T08:06:40" isNormal="0">
            <s:text>
              <s:r>
                <s:t xml:space="preserve">6/10 客供价格贴纸 1544pcs</s:t>
              </s:r>
            </s:text>
          </item>
        </commentChain>
      </unresolved>
      <resolved/>
    </commentChains>
    <commentChains s:ref="AI1624" rgbClr="FF0000">
      <unresolved>
        <commentChain chainId="e1edbfa886f75d2f4ecca6a757348bc6850ad1a5">
          <item id="7ab47ad79ecee90b5c80578b3aebe2302e95414e" userID="1851561945" userName="石玉珍" dateTime="2026-07-01T13:20:28" isNormal="0">
            <s:text>
              <s:r>
                <s:t xml:space="preserve">1600579 7/1 720pcs</s:t>
              </s:r>
            </s:text>
          </item>
          <item id="89efeae7754c0ad0b1fc5dd5a41c9af9b63070f0" userID="1851561945" userName="石玉珍" dateTime="2026-07-03T01:24:08" isNormal="0">
            <s:text>
              <s:r>
                <s:t xml:space="preserve"> 1600581 7/2 16pcs</s:t>
              </s:r>
            </s:text>
          </item>
        </commentChain>
      </unresolved>
      <resolved/>
    </commentChains>
    <commentChains s:ref="AL1624" rgbClr="FF0000">
      <unresolved>
        <commentChain chainId="aa0b6816a365e14dad20aa1d2077127a1558cbc5">
          <item id="9e9d642fe16a6e1ba2c664af7ccea765262544b1" userID="1851561945" userName="石玉珍" dateTime="2026-06-12T08:06:46" isNormal="0">
            <s:text>
              <s:r>
                <s:t xml:space="preserve">6/10 客供价格贴纸 736pcs</s:t>
              </s:r>
            </s:text>
          </item>
        </commentChain>
      </unresolved>
      <resolved/>
    </commentChains>
    <commentChains s:ref="AI1625" rgbClr="FF0000">
      <unresolved>
        <commentChain chainId="48a3ed9ebfbf4a43e89f7f48c7311ede4cd66690">
          <item id="a167efc725fa0a9b999cd391b3f78e6925c69b0c" userID="1851561945" userName="石玉珍" dateTime="2026-07-03T02:37:03" isNormal="0">
            <s:text>
              <s:r>
                <s:t xml:space="preserve">2201184 7/2 1560pcs</s:t>
              </s:r>
            </s:text>
          </item>
        </commentChain>
      </unresolved>
      <resolved/>
    </commentChains>
    <commentChains s:ref="AL1625" rgbClr="FF0000">
      <unresolved>
        <commentChain chainId="ddefee4fe952918e8fb27b28137cc33f8120181d">
          <item id="819fbf77d40495759f40a664d911763986ff7824" userID="1851561945" userName="石玉珍" dateTime="2026-06-12T08:37:01" isNormal="0">
            <s:text>
              <s:r>
                <s:t xml:space="preserve">6/11 UPC条码贴纸 1560pcs</s:t>
              </s:r>
            </s:text>
          </item>
        </commentChain>
      </unresolved>
      <resolved/>
    </commentChains>
    <commentChains s:ref="AI1626" rgbClr="FF0000">
      <unresolved>
        <commentChain chainId="797960f142fff8824daf05b222e4e817956b7f17">
          <item id="54f127a9038f82c0d15ab8432db65b1adfae7496" userID="1851561945" userName="石玉珍" dateTime="2026-07-04T02:38:43" isNormal="0">
            <s:text>
              <s:r>
                <s:t xml:space="preserve"> 2201201 7/3 200pcs</s:t>
              </s:r>
            </s:text>
          </item>
        </commentChain>
      </unresolved>
      <resolved/>
    </commentChains>
    <commentChains s:ref="AI1627" rgbClr="FF0000">
      <unresolved>
        <commentChain chainId="3cf73f9f537edf611fe50dab537e0c51af837c7f">
          <item id="0ddf8dd0eff80a2e32d8fd58654dde6eeb251f48" userID="1851561945" userName="石玉珍" dateTime="2026-07-07T01:25:44" isNormal="0">
            <s:text>
              <s:r>
                <s:t xml:space="preserve">2201230 7/6 1500pcs</s:t>
              </s:r>
            </s:text>
          </item>
        </commentChain>
      </unresolved>
      <resolved/>
    </commentChains>
    <commentChains s:ref="AI1628" rgbClr="FF0000">
      <unresolved>
        <commentChain chainId="bec84d299c465ef1af5589d8e7ee2e333fd08f57">
          <item id="564a53f9158d1e1e979cb3c162b0c41078df6f2d" userID="1851561945" userName="石玉珍" dateTime="2026-07-07T01:31:45" isNormal="0">
            <s:text>
              <s:r>
                <s:t xml:space="preserve">2201218 7/6 510pcs</s:t>
              </s:r>
            </s:text>
          </item>
        </commentChain>
      </unresolved>
      <resolved/>
    </commentChains>
    <commentChains s:ref="AI1629" rgbClr="FF0000">
      <unresolved>
        <commentChain chainId="4e1710fa431dc3d3a0ce28b2a7c84addfda2bdab">
          <item id="84257fcd1006d70992f585a3fbf22b0cb5b94bd0" userID="1851561945" userName="石玉珍" dateTime="2026-07-04T02:35:45" isNormal="0">
            <s:text>
              <s:r>
                <s:t xml:space="preserve">2201201 7/3 7848pcs</s:t>
              </s:r>
            </s:text>
          </item>
        </commentChain>
      </unresolved>
      <resolved/>
    </commentChains>
    <commentChains s:ref="AL1629" rgbClr="FF0000">
      <unresolved>
        <commentChain chainId="af3f40416e978747fc2e529f416df591de2983ec">
          <item id="91ed53dd3897e02042d97abd88b240769ddf3ec3" userID="1851561945" userName="石玉珍" dateTime="2026-06-16T12:24:19" isNormal="0">
            <s:text>
              <s:r>
                <s:t xml:space="preserve">6/16  客供防盗贴纸  7848pcs</s:t>
              </s:r>
            </s:text>
          </item>
          <item id="9f16eae69183ddf9834eb664a0ef18725ff62d0c" userID="1851561945" userName="石玉珍" dateTime="2026-06-17T13:32:15" isNormal="0">
            <s:text>
              <s:r>
                <s:t xml:space="preserve">6/17 彩色产品贴纸 2616pcs</s:t>
              </s:r>
            </s:text>
          </item>
        </commentChain>
      </unresolved>
      <resolved/>
    </commentChains>
    <commentChains s:ref="AI1630" rgbClr="FF0000">
      <unresolved>
        <commentChain chainId="6e8fc1a3a9d2eceaf858eaff870a3ad83407d001">
          <item id="48437152a9c6a15e8b131e97796de29590772e88" userID="1851561945" userName="石玉珍" dateTime="2026-07-07T00:24:55" isNormal="0">
            <s:text>
              <s:r>
                <s:t xml:space="preserve">2201226 7/6 728PCS</s:t>
              </s:r>
            </s:text>
          </item>
        </commentChain>
      </unresolved>
      <resolved/>
    </commentChains>
    <commentChains s:ref="AL1630" rgbClr="FF0000">
      <unresolved>
        <commentChain chainId="a37aa576c2e44184adfefe3a46415e657edc0c66">
          <item id="71c1563fea7f7aceb572b8c6f26ac77c138eb469" userID="1851561945" userName="石玉珍" dateTime="2026-06-24T00:34:08" isNormal="0">
            <s:text>
              <s:r>
                <s:t xml:space="preserve">6/23 德语警语贴纸 728pcs</s:t>
              </s:r>
            </s:text>
          </item>
        </commentChain>
      </unresolved>
      <resolved/>
    </commentChains>
    <commentChains s:ref="AI1631" rgbClr="FF0000">
      <unresolved>
        <commentChain chainId="de8a080f000aa85d6a4fb6f7085f44f3a2c0fd61">
          <item id="7399f63cc63031254e4476aa69634680b10ed454" userID="1851561945" userName="石玉珍" dateTime="2026-07-04T02:37:15" isNormal="0">
            <s:text>
              <s:r>
                <s:t xml:space="preserve">2201201 7/3 2000pcs</s:t>
              </s:r>
            </s:text>
          </item>
        </commentChain>
      </unresolved>
      <resolved/>
    </commentChains>
    <commentChains s:ref="AL1631" rgbClr="FF0000">
      <unresolved>
        <commentChain chainId="599fbab2e79eca9996b250fde59fd6dd6e66c51b">
          <item id="bbaf5db0ad53d22941b26e79a4d3a5001b49327b" userID="1851561945" userName="石玉珍" dateTime="2026-06-17T13:26:07" isNormal="0">
            <s:text>
              <s:r>
                <s:t xml:space="preserve">6/17 挪威语警语贴纸 2000pcs</s:t>
              </s:r>
            </s:text>
          </item>
        </commentChain>
      </unresolved>
      <resolved/>
    </commentChains>
    <commentChains s:ref="AI1632" rgbClr="FF0000">
      <unresolved>
        <commentChain chainId="1c855076e2c569b431a095b59c655c1cd032b727">
          <item id="d73c5f5b8e266a0a681eeb2adba87f108e4da562" userID="1851561945" userName="石玉珍" dateTime="2026-07-04T02:37:59" isNormal="0">
            <s:text>
              <s:r>
                <s:t xml:space="preserve"> 2201201 7/3 143pcs</s:t>
              </s:r>
            </s:text>
          </item>
        </commentChain>
      </unresolved>
      <resolved/>
    </commentChains>
    <commentChains s:ref="AL1632" rgbClr="FF0000">
      <unresolved>
        <commentChain chainId="ce1792c339fee4f4a053bfc1b55d19d5abca8ed7">
          <item id="eeeb5dd6b339d0962b89c400366450b10a10be44" userID="1851561945" userName="石玉珍" dateTime="2026-06-24T01:27:56" isNormal="0">
            <s:text>
              <s:r>
                <s:t xml:space="preserve">6/23 进口商贴纸 143pcs</s:t>
              </s:r>
            </s:text>
          </item>
        </commentChain>
      </unresolved>
      <resolved/>
    </commentChains>
    <commentChains s:ref="AI1633" rgbClr="FF0000">
      <unresolved>
        <commentChain chainId="0c5df5454f55a4a4e370e3423d76b0bb773511ba">
          <item id="c0828820ca151eec0cfd0e4796f93c9e8129e2b3" userID="1851561945" userName="石玉珍" dateTime="2026-07-04T02:41:34" isNormal="0">
            <s:text>
              <s:r>
                <s:t xml:space="preserve">2201200 7/3 144pcs</s:t>
              </s:r>
            </s:text>
          </item>
        </commentChain>
      </unresolved>
      <resolved/>
    </commentChains>
    <commentChains s:ref="AL1633" rgbClr="FF0000">
      <unresolved>
        <commentChain chainId="4d3665e73e03e203c720ffb0e2a06f69f927eb01">
          <item id="c916b8452f1562e5fb86b645a17da5a9d5fb504e" userID="1851561945" userName="石玉珍" dateTime="2026-06-24T01:29:09" isNormal="0">
            <s:text>
              <s:r>
                <s:t xml:space="preserve">6/23 PDQ折页 24pcs
WIC 贴纸 144pcs</s:t>
              </s:r>
            </s:text>
          </item>
        </commentChain>
      </unresolved>
      <resolved/>
    </commentChains>
    <commentChains s:ref="AI1634" rgbClr="FF0000">
      <unresolved>
        <commentChain chainId="dbccc34a34efeb05a1da9e588b5bc178b3565147">
          <item id="96414dc3e8bc65351ff099bf954eaf1a6363b130" userID="1851561945" userName="石玉珍" dateTime="2026-07-04T02:41:41" isNormal="0">
            <s:text>
              <s:r>
                <s:t xml:space="preserve">2201200 7/3 210pcs</s:t>
              </s:r>
            </s:text>
          </item>
        </commentChain>
      </unresolved>
      <resolved/>
    </commentChains>
    <commentChains s:ref="AL1634" rgbClr="FF0000">
      <unresolved>
        <commentChain chainId="3a365dab6f56412d5714e3e6ecdccdb0f6f56430">
          <item id="02412ace34704418c13311aa4ae811dbb3d68bb3" userID="1851561945" userName="石玉珍" dateTime="2026-06-24T01:29:21" isNormal="0">
            <s:text>
              <s:r>
                <s:t xml:space="preserve">6/23 PDQ折页 35pcs
WIC 贴纸 210pcs</s:t>
              </s:r>
            </s:text>
          </item>
        </commentChain>
      </unresolved>
      <resolved/>
    </commentChains>
    <commentChains s:ref="AI1635" rgbClr="FF0000">
      <unresolved>
        <commentChain chainId="72105f6c33c7fe4fd8b84b5eaedcd58257302fe9">
          <item id="19d715333febd0bd5ec372949ae942b63e3b19d5" userID="1851561945" userName="石玉珍" dateTime="2026-07-04T02:41:51" isNormal="0">
            <s:text>
              <s:r>
                <s:t xml:space="preserve">2201200 7/3 240pcs</s:t>
              </s:r>
            </s:text>
          </item>
        </commentChain>
      </unresolved>
      <resolved/>
    </commentChains>
    <commentChains s:ref="AL1635" rgbClr="FF0000">
      <unresolved>
        <commentChain chainId="4f7a9774e703360c8e286ca45b5c1102e415623c">
          <item id="8fa3e0f0d7a86bab60c0185cd78a4be42ddb1dd9" userID="1851561945" userName="石玉珍" dateTime="2026-06-24T01:29:31" isNormal="0">
            <s:text>
              <s:r>
                <s:t xml:space="preserve">6/23 PDQ折页 40pcs
WIC 贴纸 240pcs</s:t>
              </s:r>
            </s:text>
          </item>
        </commentChain>
      </unresolved>
      <resolved/>
    </commentChains>
    <commentChains s:ref="AI1636" rgbClr="FF0000">
      <unresolved>
        <commentChain chainId="ef2c4708c5749c2f0197e77d2c6dd5797d67cd03">
          <item id="e0b578a539f8cea71dceb586f1dcb7bddd20f233" userID="1851561945" userName="石玉珍" dateTime="2026-07-04T02:41:57" isNormal="0">
            <s:text>
              <s:r>
                <s:t xml:space="preserve">2201200 7/3 540pcs</s:t>
              </s:r>
            </s:text>
          </item>
        </commentChain>
      </unresolved>
      <resolved/>
    </commentChains>
    <commentChains s:ref="AL1636" rgbClr="FF0000">
      <unresolved>
        <commentChain chainId="61dae800a2c849a49612f4598d06ca9d8607e056">
          <item id="0cdc62b17a4e55b0773103708ae3544ef575fef9" userID="1851561945" userName="石玉珍" dateTime="2026-06-24T01:29:42" isNormal="0">
            <s:text>
              <s:r>
                <s:t xml:space="preserve">6/23 PDQ折页 90pcs
WIC 贴纸 540pcs</s:t>
              </s:r>
            </s:text>
          </item>
        </commentChain>
      </unresolved>
      <resolved/>
    </commentChains>
    <commentChains s:ref="AI1637" rgbClr="FF0000">
      <unresolved>
        <commentChain chainId="680fe5c289b751e18117ffb79a1902380e04bc73">
          <item id="7772834766491c16303dcbc55bc1115ef2aba528" userID="1851561945" userName="石玉珍" dateTime="2026-07-04T02:42:02" isNormal="0">
            <s:text>
              <s:r>
                <s:t xml:space="preserve">2201200 7/3 18pcs</s:t>
              </s:r>
            </s:text>
          </item>
        </commentChain>
      </unresolved>
      <resolved/>
    </commentChains>
    <commentChains s:ref="AL1637" rgbClr="FF0000">
      <unresolved>
        <commentChain chainId="a037729c3d4982b3c453df6892274da42917efb4">
          <item id="8bd7d86d9b9b705730cc6f7fb11fbb73541cc045" userID="1851561945" userName="石玉珍" dateTime="2026-06-24T01:29:51" isNormal="0">
            <s:text>
              <s:r>
                <s:t xml:space="preserve">6/23 PDQ折页 3pcs
WIC 贴纸 18pcs</s:t>
              </s:r>
            </s:text>
          </item>
        </commentChain>
      </unresolved>
      <resolved/>
    </commentChains>
    <commentChains s:ref="AI1638" rgbClr="FF0000">
      <unresolved>
        <commentChain chainId="8fdfe24aa240b98102af2fab514c1caef091627c">
          <item id="75a8004c5ad3edda89e96e9119282a6744892421" userID="1851561945" userName="石玉珍" dateTime="2026-07-04T02:42:08" isNormal="0">
            <s:text>
              <s:r>
                <s:t xml:space="preserve">2201200 7/3 408pcs</s:t>
              </s:r>
            </s:text>
          </item>
        </commentChain>
      </unresolved>
      <resolved/>
    </commentChains>
    <commentChains s:ref="AL1638" rgbClr="FF0000">
      <unresolved>
        <commentChain chainId="f7f8c691ba7edcba5f5971c89183300be2607fa5">
          <item id="cf65b3464987e828b95d7f0515af19b841237052" userID="1851561945" userName="石玉珍" dateTime="2026-06-24T01:30:00" isNormal="0">
            <s:text>
              <s:r>
                <s:t xml:space="preserve">6/23 PDQ折页 68pcs
WIC 贴纸 408pcs</s:t>
              </s:r>
            </s:text>
          </item>
        </commentChain>
      </unresolved>
      <resolved/>
    </commentChains>
    <commentChains s:ref="AI1639" rgbClr="FF0000">
      <unresolved>
        <commentChain chainId="cb7195003059232491d6170b8ee02baeec37d25e">
          <item id="8709863d8cae4504d6d8ba9bbb4eb8f6ee0bb93f" userID="1851561945" userName="石玉珍" dateTime="2026-07-04T02:42:14" isNormal="0">
            <s:text>
              <s:r>
                <s:t xml:space="preserve">2201200 7/3 348pcs</s:t>
              </s:r>
            </s:text>
          </item>
        </commentChain>
      </unresolved>
      <resolved/>
    </commentChains>
    <commentChains s:ref="AL1639" rgbClr="FF0000">
      <unresolved>
        <commentChain chainId="21c99ff8d9ef610efba526dc448a375952d6421a">
          <item id="f56b75a79ceb057f574c2f88cde13f6287674f93" userID="1851561945" userName="石玉珍" dateTime="2026-06-24T01:30:09" isNormal="0">
            <s:text>
              <s:r>
                <s:t xml:space="preserve">6/23 PDQ折页 58pcs
WIC 贴纸 348pcs</s:t>
              </s:r>
            </s:text>
          </item>
        </commentChain>
      </unresolved>
      <resolved/>
    </commentChains>
    <commentChains s:ref="AI1640" rgbClr="FF0000">
      <unresolved>
        <commentChain chainId="c83ffe1319fa79d1512a4a961d00a4fef2fb1fe9">
          <item id="f269732da3fa791b400e0d65f5f86a8618b35261" userID="1851561945" userName="石玉珍" dateTime="2026-07-04T02:42:18" isNormal="0">
            <s:text>
              <s:r>
                <s:t xml:space="preserve">2201200 7/3 126pcs</s:t>
              </s:r>
            </s:text>
          </item>
        </commentChain>
      </unresolved>
      <resolved/>
    </commentChains>
    <commentChains s:ref="AL1640" rgbClr="FF0000">
      <unresolved>
        <commentChain chainId="736a732b680a3d61c89298dae35b7a18ce736e1c">
          <item id="009d02ddab9569431525ef6ee0b58446ceb98683" userID="1851561945" userName="石玉珍" dateTime="2026-06-24T01:30:22" isNormal="0">
            <s:text>
              <s:r>
                <s:t xml:space="preserve">6/23 PDQ折页 21pcs
WIC 贴纸 126pcs</s:t>
              </s:r>
            </s:text>
          </item>
        </commentChain>
      </unresolved>
      <resolved/>
    </commentChains>
    <commentChains s:ref="AI1641" rgbClr="FF0000">
      <unresolved>
        <commentChain chainId="9a3ad38f7c22424a995a31400ffe003df23a405a">
          <item id="cc463d6ec36ddbfdd71a264c7de17bef0b143d31" userID="1851561945" userName="石玉珍" dateTime="2026-07-04T02:38:22" isNormal="0">
            <s:text>
              <s:r>
                <s:t xml:space="preserve"> 2201201 7/3 2500pcs</s:t>
              </s:r>
            </s:text>
          </item>
        </commentChain>
      </unresolved>
      <resolved/>
    </commentChains>
    <commentChains s:ref="AL1641" rgbClr="FF0000">
      <unresolved>
        <commentChain chainId="9fd2d166df9a1c50bdc8448d6550afe339af6ef9">
          <item id="a351705b8f90013e7bd6ddc7dbf38a0a82b482ae" userID="1851561945" userName="石玉珍" dateTime="2026-05-31T07:53:57" isNormal="0">
            <s:text>
              <s:r>
                <s:t xml:space="preserve">5/29 进口商贴纸 2500pcs
UPC贴纸 2500pcs</s:t>
              </s:r>
            </s:text>
          </item>
          <item id="6c167e82fb5012925dfb76e1290a087f4e15da72" userID="1851561945" userName="石玉珍" dateTime="2026-06-22T13:34:24" isNormal="0">
            <s:text>
              <s:r>
                <s:t xml:space="preserve">6/22 客供价格贴纸 2500pcs</s:t>
              </s:r>
            </s:text>
          </item>
        </commentChain>
      </unresolved>
      <resolved/>
    </commentChains>
    <commentChains s:ref="AI1642" rgbClr="FF0000">
      <unresolved>
        <commentChain chainId="82e8ade6ec9c815d8d87cea9faaeccad2cad84e3">
          <item id="2b29ed5ba620b38bf2efe45855a3eccff0c91978" userID="1851561945" userName="石玉珍" dateTime="2026-07-03T02:22:14" isNormal="0">
            <s:text>
              <s:r>
                <s:t xml:space="preserve">2201187 7/2 2000pcs</s:t>
              </s:r>
            </s:text>
          </item>
        </commentChain>
      </unresolved>
      <resolved/>
    </commentChains>
    <commentChains s:ref="AL1642" rgbClr="FF0000">
      <unresolved>
        <commentChain chainId="6cde69ab8cb1c9ee8adfec0784c50fe62e87228d">
          <item id="d27b973cdd67817164470fcc620cd515db6d273c" userID="1851561945" userName="石玉珍" dateTime="2026-05-30T13:43:59" isNormal="0">
            <s:text>
              <s:r>
                <s:t xml:space="preserve">5/28 进口商贴纸 2000pcs
UPC贴纸 2000pcs</s:t>
              </s:r>
            </s:text>
          </item>
          <item id="bfa8a3d34f86e9a02fd4ac812a3339f7a31ea37e" userID="1851561945" userName="石玉珍" dateTime="2026-06-22T13:34:57" isNormal="0">
            <s:text>
              <s:r>
                <s:t xml:space="preserve">6/22 客供价格贴纸 2000pcs</s:t>
              </s:r>
            </s:text>
          </item>
        </commentChain>
      </unresolved>
      <resolved/>
    </commentChains>
    <commentChains s:ref="AI1643" rgbClr="FF0000">
      <unresolved>
        <commentChain chainId="3afaff64648717255f942bd334421d8739e1aab4">
          <item id="9c491c9d0be26b9cf67ca7b1886b8600caffe312" userID="1851561945" userName="石玉珍" dateTime="2026-07-04T13:43:39" isNormal="0">
            <s:text>
              <s:r>
                <s:t xml:space="preserve">2201210 7/3 12480pcs</s:t>
              </s:r>
            </s:text>
          </item>
        </commentChain>
      </unresolved>
      <resolved/>
    </commentChains>
    <commentChains s:ref="AL1643" rgbClr="FF0000">
      <unresolved>
        <commentChain chainId="705431b6dc72a346716cee43b78cfed48e951d79">
          <item id="7d2a2e8771aaa9a6cc45f434c5fbccb1b79aae6d" userID="1851561945" userName="石玉珍" dateTime="2026-06-20T00:53:23" isNormal="0">
            <s:text>
              <s:r>
                <s:t xml:space="preserve">6/18 客供RFID贴纸 12480pcs</s:t>
              </s:r>
            </s:text>
          </item>
        </commentChain>
      </unresolved>
      <resolved/>
    </commentChains>
    <commentChains s:ref="AI1644" rgbClr="FF0000">
      <unresolved>
        <commentChain chainId="54d06a70cb41a8c1edeb05c1832b0ac0574183c4">
          <item id="ff4dc6e9219b087a6f43453d804d37893bac94ec" userID="1851561945" userName="石玉珍" dateTime="2026-07-04T13:43:52" isNormal="0">
            <s:text>
              <s:r>
                <s:t xml:space="preserve">2201210 7/3 6720pcs</s:t>
              </s:r>
            </s:text>
          </item>
        </commentChain>
      </unresolved>
      <resolved/>
    </commentChains>
    <commentChains s:ref="AL1644" rgbClr="FF0000">
      <unresolved>
        <commentChain chainId="c7a3a2c011ad357b826874f16a50442fe4fc85e4">
          <item id="1eef633c76409ba0bba5500b0007c4ef1b0503e4" userID="1851561945" userName="石玉珍" dateTime="2026-06-20T00:53:31" isNormal="0">
            <s:text>
              <s:r>
                <s:t xml:space="preserve">6/18 客供RFID贴纸 6720pcs</s:t>
              </s:r>
            </s:text>
          </item>
        </commentChain>
      </unresolved>
      <resolved/>
    </commentChains>
    <commentChains s:ref="AI1645" rgbClr="FF0000">
      <unresolved>
        <commentChain chainId="092a7dd71f2258ead6bb586a0123affdf1181860">
          <item id="e9a3cfc5a7e12937e220d8c5d958acdf20e1369d" userID="1851561945" userName="石玉珍" dateTime="2026-07-04T13:50:24" isNormal="0">
            <s:text>
              <s:r>
                <s:t xml:space="preserve"> 2201215 7/4 6720pcs</s:t>
              </s:r>
            </s:text>
          </item>
        </commentChain>
      </unresolved>
      <resolved/>
    </commentChains>
    <commentChains s:ref="AL1645" rgbClr="FF0000">
      <unresolved>
        <commentChain chainId="c625bd5926eec2761264b1b3ce698c9345af4c40">
          <item id="df847d0e54bfcbcc5d75190cd33d0bd5367420df" userID="1851561945" userName="石玉珍" dateTime="2026-06-20T00:53:46" isNormal="0">
            <s:text>
              <s:r>
                <s:t xml:space="preserve">6/18 客供RFID贴纸 6720pcs</s:t>
              </s:r>
            </s:text>
          </item>
        </commentChain>
      </unresolved>
      <resolved/>
    </commentChains>
    <commentChains s:ref="AI1646" rgbClr="FF0000">
      <unresolved>
        <commentChain chainId="1fa369f2552b61a72cd2fc9bf2fee32189726141">
          <item id="a4fa53f212e3ad86c104742dc129de376bfc2785" userID="1851561945" userName="石玉珍" dateTime="2026-07-04T13:50:41" isNormal="0">
            <s:text>
              <s:r>
                <s:t xml:space="preserve"> 2201215 7/4 8640pcs</s:t>
              </s:r>
            </s:text>
          </item>
        </commentChain>
      </unresolved>
      <resolved/>
    </commentChains>
    <commentChains s:ref="AL1646" rgbClr="FF0000">
      <unresolved>
        <commentChain chainId="bf5b19a588c17762acd52cd5aca5a0f5023aab2c">
          <item id="d30129dead642f11ddcb94cfc7e13989fe4fa8ed" userID="1851561945" userName="石玉珍" dateTime="2026-06-20T00:53:53" isNormal="0">
            <s:text>
              <s:r>
                <s:t xml:space="preserve">6/18 客供RFID贴纸 8640pcs</s:t>
              </s:r>
            </s:text>
          </item>
        </commentChain>
      </unresolved>
      <resolved/>
    </commentChains>
    <commentChains s:ref="AI1647" rgbClr="FF0000">
      <unresolved>
        <commentChain chainId="278dab6837bfa19d22f518a132ce4a8a71144df0">
          <item id="acbca52a6e7122f004ca557a23804b8165e4aa2d" userID="1851561945" userName="石玉珍" dateTime="2026-07-04T13:50:31" isNormal="0">
            <s:text>
              <s:r>
                <s:t xml:space="preserve"> 2201215 7/4 6720pcs</s:t>
              </s:r>
            </s:text>
          </item>
        </commentChain>
      </unresolved>
      <resolved/>
    </commentChains>
    <commentChains s:ref="AL1647" rgbClr="FF0000">
      <unresolved>
        <commentChain chainId="67386934c58294a8251eab2b9f989ca3b7914aa3">
          <item id="d98f302e97c31c16b712b23310ef4c122c247872" userID="1851561945" userName="石玉珍" dateTime="2026-06-20T00:53:59" isNormal="0">
            <s:text>
              <s:r>
                <s:t xml:space="preserve">6/18 客供RFID贴纸 6720pcs</s:t>
              </s:r>
            </s:text>
          </item>
        </commentChain>
      </unresolved>
      <resolved/>
    </commentChains>
    <commentChains s:ref="AI1648" rgbClr="FF0000">
      <unresolved>
        <commentChain chainId="5c2f745523a50088c6a965c984460d8fb64f3fa5">
          <item id="fc1a407beaee4c83cf52421b82782c2b75b2127c" userID="1851561945" userName="石玉珍" dateTime="2026-07-04T13:50:34" isNormal="0">
            <s:text>
              <s:r>
                <s:t xml:space="preserve"> 2201215 7/4 6720pcs</s:t>
              </s:r>
            </s:text>
          </item>
        </commentChain>
      </unresolved>
      <resolved/>
    </commentChains>
    <commentChains s:ref="AL1648" rgbClr="FF0000">
      <unresolved>
        <commentChain chainId="fce50f9797b1535233f228f3ef1492fa4bc88782">
          <item id="5b4281c0e543aabc932a276d5fff7df61ad29f50" userID="1851561945" userName="石玉珍" dateTime="2026-06-20T00:54:05" isNormal="0">
            <s:text>
              <s:r>
                <s:t xml:space="preserve">6/18 客供RFID贴纸 6720pcs</s:t>
              </s:r>
            </s:text>
          </item>
        </commentChain>
      </unresolved>
      <resolved/>
    </commentChains>
    <commentChains s:ref="AI1649" rgbClr="FF0000">
      <unresolved>
        <commentChain chainId="23a77c2707b55f6f01768b7a43b22cae0f81fa1d">
          <item id="e35a1b7421ae4695a4c973d9e77f084a3666e11b" userID="1851561945" userName="石玉珍" dateTime="2026-07-04T13:50:48" isNormal="0">
            <s:text>
              <s:r>
                <s:t xml:space="preserve"> 2201215 7/4 5760pcs</s:t>
              </s:r>
            </s:text>
          </item>
        </commentChain>
      </unresolved>
      <resolved/>
    </commentChains>
    <commentChains s:ref="AL1649" rgbClr="FF0000">
      <unresolved>
        <commentChain chainId="187431374a3468b0d55e5185ca659cfa533bc542">
          <item id="af75d6b5def2b4d478ad4c40df17d0e2e3674cb7" userID="1851561945" userName="石玉珍" dateTime="2026-06-20T00:54:15" isNormal="0">
            <s:text>
              <s:r>
                <s:t xml:space="preserve">6/18 客供RFID贴纸 5760pcs</s:t>
              </s:r>
            </s:text>
          </item>
        </commentChain>
      </unresolved>
      <resolved/>
    </commentChains>
    <commentChains s:ref="AI1650" rgbClr="FF0000">
      <unresolved>
        <commentChain chainId="5b5dfbd464ad9a0f5e17cd354c2d854841816a01">
          <item id="8ca499ea208527a8aa476746fbf1d74ebc85fc98" userID="1851561945" userName="石玉珍" dateTime="2026-07-03T02:21:44" isNormal="0">
            <s:text>
              <s:r>
                <s:t xml:space="preserve">2201187 7/2 1476pcs</s:t>
              </s:r>
            </s:text>
          </item>
        </commentChain>
      </unresolved>
      <resolved/>
    </commentChains>
    <commentChains s:ref="AL1650" rgbClr="FF0000">
      <unresolved>
        <commentChain chainId="573b2463b275ad9780c744e4b67d216a9de417c9">
          <item id="6090fb778c31803801e2ae0a76bb48ef904d88d5" userID="1851561945" userName="石玉珍" dateTime="2026-06-15T12:58:02" isNormal="0">
            <s:text>
              <s:r>
                <s:t xml:space="preserve">6/15 价标贴纸 1476pcs</s:t>
              </s:r>
            </s:text>
          </item>
          <item id="288430db5b924ca3e884b9351a39d42a7b6d4f60" userID="1851561945" userName="石玉珍" dateTime="2026-07-15T11:20:46" isNormal="0">
            <s:text>
              <s:r>
                <s:t xml:space="preserve">7/15 空白贴纸 1476pcs</s:t>
              </s:r>
            </s:text>
          </item>
        </commentChain>
      </unresolved>
      <resolved/>
    </commentChains>
    <commentChains s:ref="AI1651" rgbClr="FF0000">
      <unresolved>
        <commentChain chainId="405dbe1e48123c4e8b2d0687cd38b049964e751d">
          <item id="8675b2e44c9d32c1a889137a512abb10f6b4f4ad" userID="1851561945" userName="石玉珍" dateTime="2026-07-04T02:36:47" isNormal="0">
            <s:text>
              <s:r>
                <s:t xml:space="preserve">2201201 7/3 420pcs</s:t>
              </s:r>
            </s:text>
          </item>
        </commentChain>
      </unresolved>
      <resolved/>
    </commentChains>
    <commentChains s:ref="AL1651" rgbClr="FF0000">
      <unresolved>
        <commentChain chainId="66c4ff331df6d5d188861aaa1dffab46208305ae">
          <item id="3f8fa708390befbd5d99b54f364ced8e4775c1c7" userID="1851561945" userName="石玉珍" dateTime="2026-06-15T12:58:07" isNormal="0">
            <s:text>
              <s:r>
                <s:t xml:space="preserve">6/15 价标贴纸 420pcs</s:t>
              </s:r>
            </s:text>
          </item>
          <item id="75226f56209998ccb5f42cd8897bc466dac0299f" userID="1851561945" userName="石玉珍" dateTime="2026-07-15T11:19:07" isNormal="0">
            <s:text>
              <s:r>
                <s:t xml:space="preserve">7/15 空白贴纸 420pcs</s:t>
              </s:r>
            </s:text>
          </item>
        </commentChain>
      </unresolved>
      <resolved/>
    </commentChains>
    <commentChains s:ref="AI1652" rgbClr="FF0000">
      <unresolved>
        <commentChain chainId="cd5f8819ae2c56dda31a963d58ed696591567aaa">
          <item id="507d0402f40b41e16e7d1c229b04e29fd5463216" userID="1851561945" userName="石玉珍" dateTime="2026-07-07T00:26:51" isNormal="0">
            <s:text>
              <s:r>
                <s:t xml:space="preserve">2201226 7/6 27040PCS</s:t>
              </s:r>
            </s:text>
          </item>
        </commentChain>
      </unresolved>
      <resolved/>
    </commentChains>
    <commentChains s:ref="AL1652" rgbClr="FF0000">
      <unresolved>
        <commentChain chainId="c4dfc2f1ea1c67c79ee8a061e209bd5ffd0e378e">
          <item id="e2cef4fbb3ee8f0f4ee77d5f59066c6b82999af5" userID="1851561945" userName="石玉珍" dateTime="2026-06-24T00:36:50" isNormal="0">
            <s:text>
              <s:r>
                <s:t xml:space="preserve">6/23 条码贴纸 27040pcs</s:t>
              </s:r>
            </s:text>
          </item>
          <item id="5fe2fda61fbdf99b5a65b2351930c6ca04ffd82f" userID="1851561945" userName="石玉珍" dateTime="2026-06-29T12:09:09" isNormal="0">
            <s:text>
              <s:r>
                <s:t xml:space="preserve">6/27 客供防窜码贴纸1拖13 2080pcs</s:t>
              </s:r>
            </s:text>
          </item>
        </commentChain>
      </unresolved>
      <resolved/>
    </commentChains>
    <commentChains s:ref="AI1653" rgbClr="FF0000">
      <unresolved>
        <commentChain chainId="689035a2b11a7a7f9810f7ee815e5e3f5e8b02df">
          <item id="96dfad6c8480cef01380c6266f4fffcb882b677b" userID="1851561945" userName="石玉珍" dateTime="2026-07-07T00:32:01" isNormal="0">
            <s:text>
              <s:r>
                <s:t xml:space="preserve">1600568 7/6 1200pcs</s:t>
              </s:r>
            </s:text>
          </item>
        </commentChain>
      </unresolved>
      <resolved/>
    </commentChains>
    <commentChains s:ref="AL1653" rgbClr="FF0000">
      <unresolved>
        <commentChain chainId="06e8add58daeec503ef31b4c8b638dbb2ad66e7e">
          <item id="4819326bc2a62007ca40dc1b5d1a4807bb897530" userID="1851561945" userName="石玉珍" dateTime="2026-06-24T01:32:28" isNormal="0">
            <s:text>
              <s:r>
                <s:t xml:space="preserve">6/23 颜色贴纸 1200pcs
空白贴纸 2400pcs</s:t>
              </s:r>
            </s:text>
          </item>
          <item id="dbcd7a10cdc26a245e89acbbe69de0be450ce3e6" userID="1851561945" userName="石玉珍" dateTime="2026-06-24T12:58:26" isNormal="0">
            <s:text>
              <s:r>
                <s:t xml:space="preserve">6/24 3c贴纸 1200pcs</s:t>
              </s:r>
            </s:text>
          </item>
          <item id="91837a6dc45c22d830e6cf088b07039bd4846267" userID="1851561945" userName="石玉珍" dateTime="2026-07-15T06:35:06" isNormal="0">
            <s:text>
              <s:r>
                <s:t xml:space="preserve">7/14 客供芯片码贴纸 1200pcs</s:t>
              </s:r>
            </s:text>
          </item>
        </commentChain>
      </unresolved>
      <resolved/>
    </commentChains>
    <commentChains s:ref="AI1654" rgbClr="FF0000">
      <unresolved>
        <commentChain chainId="bb9410b6edbb9701f1e57fa8427f9bc81b9b538f">
          <item id="63c8f689996a870435bb3ad002b8c6dc5dd8cea4" userID="1851561945" userName="石玉珍" dateTime="2026-07-07T01:26:31" isNormal="0">
            <s:text>
              <s:r>
                <s:t xml:space="preserve">2201230 7/6 1275pcs</s:t>
              </s:r>
            </s:text>
          </item>
        </commentChain>
      </unresolved>
      <resolved/>
    </commentChains>
    <commentChains s:ref="AL1654" rgbClr="FF0000">
      <unresolved>
        <commentChain chainId="b152ffa7c6fef1034c07f2e964068a4ac52e7510">
          <item id="0b26493d8fe13a9b31b1b4de69ec21371d33e791" isNormal="1">
            <s:text>
              <s:r>
                <s:t xml:space="preserve">Administrator:
5/22 客供亚马逊外箱贴 51pcs</s:t>
              </s:r>
            </s:text>
          </item>
        </commentChain>
      </unresolved>
      <resolved/>
    </commentChains>
    <commentChains s:ref="AI1655" rgbClr="FF0000">
      <unresolved>
        <commentChain chainId="31114013509012e6528849eeefd373926c59d0de">
          <item id="73878bbb3afebc076c8cdf4841e1b2b971abedbb" userID="1851561945" userName="石玉珍" dateTime="2026-07-07T01:26:59" isNormal="0">
            <s:text>
              <s:r>
                <s:t xml:space="preserve">2201230 7/6 500pcs</s:t>
              </s:r>
            </s:text>
          </item>
        </commentChain>
      </unresolved>
      <resolved/>
    </commentChains>
    <commentChains s:ref="AL1655" rgbClr="FF0000">
      <unresolved>
        <commentChain chainId="ce3a2777c5b8e726ffa8bc58a7d9de9a2275ed84">
          <item id="75b2bde53995a22341828776cce3a1924633cb2a" userID="1851561945" userName="石玉珍" dateTime="2026-07-01T12:59:31" isNormal="0">
            <s:text>
              <s:r>
                <s:t xml:space="preserve">7/1 进口商贴纸 500pcs</s:t>
              </s:r>
            </s:text>
          </item>
          <item id="6d627f8708aaf798820a40933d2772539846a493" userID="1851561945" userName="石玉珍" dateTime="2026-07-01T12:59:40" isNormal="0">
            <s:text>
              <s:r>
                <s:t xml:space="preserve">UPC贴纸 500pcs</s:t>
              </s:r>
            </s:text>
          </item>
        </commentChain>
      </unresolved>
      <resolved/>
    </commentChains>
    <commentChains s:ref="AI1656" rgbClr="FF0000">
      <unresolved>
        <commentChain chainId="212360196a135a1b878806597ee047e43d6d2c28">
          <item id="99bb644e526df72c9fbf995ed208a94c515544ec" userID="1851561945" userName="石玉珍" dateTime="2026-07-01T00:38:13" isNormal="0">
            <s:text>
              <s:r>
                <s:t xml:space="preserve">2201014 6/30 120pcs</s:t>
              </s:r>
            </s:text>
          </item>
        </commentChain>
      </unresolved>
      <resolved/>
    </commentChains>
    <commentChains s:ref="AL1656" rgbClr="FF0000">
      <unresolved>
        <commentChain chainId="24461987b74e947b08d36a0bf43d5f2f2e4d5fd7">
          <item id="69bddf54b9a0c85173e0f4ffbf0270a8a45f1f06" userID="1851561945" userName="石玉珍" dateTime="2026-06-25T11:37:14" isNormal="0">
            <s:text>
              <s:r>
                <s:t xml:space="preserve"> 6/24 客供亚马逊外箱贴纸 10pcs </s:t>
              </s:r>
            </s:text>
          </item>
        </commentChain>
      </unresolved>
      <resolved/>
    </commentChains>
    <commentChains s:ref="AI1657" rgbClr="FF0000">
      <unresolved>
        <commentChain chainId="82662ba146b6347f7ab3268c19c4d3a534851e27">
          <item id="4d9db6440096cb7272b9c1d3e1550aadceaa8d8d" userID="1851561945" userName="石玉珍" dateTime="2026-07-01T00:38:20" isNormal="0">
            <s:text>
              <s:r>
                <s:t xml:space="preserve">2201014 6/30 312pcs</s:t>
              </s:r>
            </s:text>
          </item>
        </commentChain>
      </unresolved>
      <resolved/>
    </commentChains>
    <commentChains s:ref="AL1657" rgbClr="FF0000">
      <unresolved>
        <commentChain chainId="9dc6de51b4ea54938c4564a1ecd160f8cde3544c">
          <item id="cd176a41f996aaa9f241089fdc85d65221bf7480" userID="1851561945" userName="石玉珍" dateTime="2026-06-25T11:37:19" isNormal="0">
            <s:text>
              <s:r>
                <s:t xml:space="preserve">6/24 客供亚马逊外箱贴纸 26pcs</s:t>
              </s:r>
            </s:text>
          </item>
        </commentChain>
      </unresolved>
      <resolved/>
    </commentChains>
    <commentChains s:ref="AI1658" rgbClr="FF0000">
      <unresolved>
        <commentChain chainId="ee5cdf8be12761910817d214f3806f46ed799ea0">
          <item id="e1e3b92e439de107b3a41aabd7fd05957a100d80" userID="1851561945" userName="石玉珍" dateTime="2026-07-01T00:38:25" isNormal="0">
            <s:text>
              <s:r>
                <s:t xml:space="preserve">2201014 6/30 648pcs</s:t>
              </s:r>
            </s:text>
          </item>
        </commentChain>
      </unresolved>
      <resolved/>
    </commentChains>
    <commentChains s:ref="AL1658" rgbClr="FF0000">
      <unresolved>
        <commentChain chainId="f171ac63c8fb36af3ef69768a397f26793742cd5">
          <item id="ed4623e2abe33acf557c5704f59fe4835ec7c432" userID="1851561945" userName="石玉珍" dateTime="2026-06-25T11:37:24" isNormal="0">
            <s:text>
              <s:r>
                <s:t xml:space="preserve">6/24 客供亚马逊外箱贴纸 54pcs</s:t>
              </s:r>
            </s:text>
          </item>
        </commentChain>
      </unresolved>
      <resolved/>
    </commentChains>
    <commentChains s:ref="AI1659" rgbClr="FF0000">
      <unresolved>
        <commentChain chainId="57002c12b6958063494c42d210ec346d3563aa11">
          <item id="0d564012324f023c1685eb23f37e6743e8393102" userID="1851561945" userName="石玉珍" dateTime="2026-07-01T00:39:28" isNormal="0">
            <s:text>
              <s:r>
                <s:t xml:space="preserve">2201014 6/30 168pcs</s:t>
              </s:r>
            </s:text>
          </item>
        </commentChain>
      </unresolved>
      <resolved/>
    </commentChains>
    <commentChains s:ref="AL1659" rgbClr="FF0000">
      <unresolved>
        <commentChain chainId="9e425530409bd1d7c5fd6d5b08afaa3e09ed92a4">
          <item id="e9ea9452af7428f167316100859fe6a3dc09fe04" userID="1851561945" userName="石玉珍" dateTime="2026-06-25T11:39:44" isNormal="0">
            <s:text>
              <s:r>
                <s:t xml:space="preserve">6/24 客供亚马逊外箱贴纸 14pcs</s:t>
              </s:r>
            </s:text>
          </item>
        </commentChain>
      </unresolved>
      <resolved/>
    </commentChains>
    <commentChains s:ref="AI1660" rgbClr="FF0000">
      <unresolved>
        <commentChain chainId="1a600c31eb6d441082edad305d93a2907fa0bdfc">
          <item id="2c4251f4ce927b95fb0acba8ed62d9b10fef409d" userID="1851561945" userName="石玉珍" dateTime="2026-07-01T00:39:35" isNormal="0">
            <s:text>
              <s:r>
                <s:t xml:space="preserve">2201014 6/30 264pcs</s:t>
              </s:r>
            </s:text>
          </item>
        </commentChain>
      </unresolved>
      <resolved/>
    </commentChains>
    <commentChains s:ref="AL1660" rgbClr="FF0000">
      <unresolved>
        <commentChain chainId="18ed77a5d5c3582c6aba0215ba88f9aa38138730">
          <item id="7785ade30dcc4c8bf8b23bb456a8aac58a6d25a5" userID="1851561945" userName="石玉珍" dateTime="2026-06-25T11:39:49" isNormal="0">
            <s:text>
              <s:r>
                <s:t xml:space="preserve">6/24 客供亚马逊外箱贴纸 22pcs</s:t>
              </s:r>
            </s:text>
          </item>
        </commentChain>
      </unresolved>
      <resolved/>
    </commentChains>
    <commentChains s:ref="AI1661" rgbClr="FF0000">
      <unresolved>
        <commentChain chainId="ac62ee55edd5cf8754a51543de4dee02e7bf1098">
          <item id="c04cb4dd793179818ad124e96fef8ecea349bc6a" userID="1851561945" userName="石玉珍" dateTime="2026-07-01T00:40:32" isNormal="0">
            <s:text>
              <s:r>
                <s:t xml:space="preserve">2201014 6/30 204pcs</s:t>
              </s:r>
            </s:text>
          </item>
        </commentChain>
      </unresolved>
      <resolved/>
    </commentChains>
    <commentChains s:ref="AL1661" rgbClr="FF0000">
      <unresolved>
        <commentChain chainId="32d63b03a22783cdbbf71d09fdc2408dd181b937">
          <item id="e8b5c8b1a718305c8dc8c9ce753ce584453dbb24" userID="1851561945" userName="石玉珍" dateTime="2026-06-25T11:40:26" isNormal="0">
            <s:text>
              <s:r>
                <s:t xml:space="preserve">6/24 客供亚马逊外箱贴纸 17pcs</s:t>
              </s:r>
            </s:text>
          </item>
        </commentChain>
      </unresolved>
      <resolved/>
    </commentChains>
    <commentChains s:ref="AI1662" rgbClr="FF0000">
      <unresolved>
        <commentChain chainId="d2b20f4c2b63bfe3ab0a6d16d2af1da5f0119476">
          <item id="96906a5f9810bb6b814b0aaf6fc80cecb7400709" userID="1851561945" userName="石玉珍" dateTime="2026-07-01T00:40:38" isNormal="0">
            <s:text>
              <s:r>
                <s:t xml:space="preserve">2201014 6/30 228pcs</s:t>
              </s:r>
            </s:text>
          </item>
        </commentChain>
      </unresolved>
      <resolved/>
    </commentChains>
    <commentChains s:ref="AL1662" rgbClr="FF0000">
      <unresolved>
        <commentChain chainId="e6339c17f527907fdc9840b156fc5c7c1f6feb47">
          <item id="f2d3e435e953bd96391d4d195fa169b50d6eb9c3" userID="1851561945" userName="石玉珍" dateTime="2026-06-25T11:40:30" isNormal="0">
            <s:text>
              <s:r>
                <s:t xml:space="preserve">6/24 客供亚马逊外箱贴纸 19pcs</s:t>
              </s:r>
            </s:text>
          </item>
        </commentChain>
      </unresolved>
      <resolved/>
    </commentChains>
    <commentChains s:ref="AI1663" rgbClr="FF0000">
      <unresolved>
        <commentChain chainId="fd4ddf6883277e9218aa615e85865b9e2c8b86bf">
          <item id="9c485b733ca5dd59df5a50dfa8b1f6362fb60040" userID="1851561945" userName="石玉珍" dateTime="2026-07-01T00:40:44" isNormal="0">
            <s:text>
              <s:r>
                <s:t xml:space="preserve">2201014 6/30 108pcs</s:t>
              </s:r>
            </s:text>
          </item>
        </commentChain>
      </unresolved>
      <resolved/>
    </commentChains>
    <commentChains s:ref="AL1663" rgbClr="FF0000">
      <unresolved>
        <commentChain chainId="3e1f04e1225829e0122186b4731a6ef032cb188e">
          <item id="e72c04676a52df5ea94500bc26f2116cb5207b85" userID="1851561945" userName="石玉珍" dateTime="2026-06-25T11:40:35" isNormal="0">
            <s:text>
              <s:r>
                <s:t xml:space="preserve">6/24 客供亚马逊外箱贴纸 9pcs</s:t>
              </s:r>
            </s:text>
          </item>
        </commentChain>
      </unresolved>
      <resolved/>
    </commentChains>
    <commentChains s:ref="AI1664" rgbClr="FF0000">
      <unresolved>
        <commentChain chainId="cacda551115f650165ca6610ae98ef3f4f6489e7">
          <item id="5e5ea862084b455d0219dacd898677f3764cf216" userID="1851561945" userName="石玉珍" dateTime="2026-07-01T00:40:50" isNormal="0">
            <s:text>
              <s:r>
                <s:t xml:space="preserve">2201014 6/30 312pcs</s:t>
              </s:r>
            </s:text>
          </item>
        </commentChain>
      </unresolved>
      <resolved/>
    </commentChains>
    <commentChains s:ref="AL1664" rgbClr="FF0000">
      <unresolved>
        <commentChain chainId="09643ae08aa5552b9f85c8211a827fcb4e45331c">
          <item id="0832708410341d92a76c19f23e262359d7a96bd7" userID="1851561945" userName="石玉珍" dateTime="2026-06-25T11:40:40" isNormal="0">
            <s:text>
              <s:r>
                <s:t xml:space="preserve">6/24 客供亚马逊外箱贴纸 26pcs</s:t>
              </s:r>
            </s:text>
          </item>
        </commentChain>
      </unresolved>
      <resolved/>
    </commentChains>
    <commentChains s:ref="AI1665" rgbClr="FF0000">
      <unresolved>
        <commentChain chainId="5f77cd51900ca0990729eadda8363338b6e4fe4c">
          <item id="d6e7da74a041096a125d4950d5e81ce1e2c8b3b8" userID="1851561945" userName="石玉珍" dateTime="2026-07-01T00:40:57" isNormal="0">
            <s:text>
              <s:r>
                <s:t xml:space="preserve">2201014 6/30 84pcs</s:t>
              </s:r>
            </s:text>
          </item>
        </commentChain>
      </unresolved>
      <resolved/>
    </commentChains>
    <commentChains s:ref="AL1665" rgbClr="FF0000">
      <unresolved>
        <commentChain chainId="50e61f3c230880869af6b0d272780300bccd677b">
          <item id="049852d2027b8610bfe4715348a64c5a83fa66ba" userID="1851561945" userName="石玉珍" dateTime="2026-06-25T11:40:45" isNormal="0">
            <s:text>
              <s:r>
                <s:t xml:space="preserve">6/24 客供亚马逊外箱贴纸 7pcs</s:t>
              </s:r>
            </s:text>
          </item>
        </commentChain>
      </unresolved>
      <resolved/>
    </commentChains>
    <commentChains s:ref="AI1666" rgbClr="FF0000">
      <unresolved>
        <commentChain chainId="ba87e9571763ae27c12ffb09eb7895e806d3bf71">
          <item id="6f7db0584e26a2f7f7409fc2f8d553b585496638" userID="1851561945" userName="石玉珍" dateTime="2026-07-01T02:12:01" isNormal="0">
            <s:text>
              <s:r>
                <s:t xml:space="preserve">2201014 6/30 12pcs</s:t>
              </s:r>
            </s:text>
          </item>
        </commentChain>
      </unresolved>
      <resolved/>
    </commentChains>
    <commentChains s:ref="AI1667" rgbClr="FF0000">
      <unresolved>
        <commentChain chainId="41d9c1e7a5633d0e223660eae8b7b3606d4af527">
          <item id="ac0e7753913ccd3df7e8bfe807520a69d8ed4964" userID="1851561945" userName="石玉珍" dateTime="2026-07-08T00:34:44" isNormal="0">
            <s:text>
              <s:r>
                <s:t xml:space="preserve">1600571 7/7 3294pcs</s:t>
              </s:r>
            </s:text>
          </item>
          <item id="535552205d0d835473cb9bc9e98b2f839d973f5d" userID="1851561945" userName="石玉珍" dateTime="2026-07-09T01:09:23" isNormal="0">
            <s:text>
              <s:r>
                <s:t xml:space="preserve">1600547 7/8 306pcs</s:t>
              </s:r>
            </s:text>
          </item>
        </commentChain>
      </unresolved>
      <resolved/>
    </commentChains>
    <commentChains s:ref="AL1667" rgbClr="FF0000">
      <unresolved>
        <commentChain chainId="844472ab2e0a9fac554c3ee2159a5946df1983a8">
          <item id="d47fe4b0ff3f76f8511b2b3845b95f197b433361" userID="1851561945" userName="石玉珍" dateTime="2026-06-12T12:48:55" isNormal="0">
            <s:text>
              <s:r>
                <s:t xml:space="preserve">6/12 空白贴纸 7200pcs
条码贴纸 3600pcs
进口商贴纸 3600pcs
产品贴纸3 7200pcs
WEEE说明书纸 3600pcs</s:t>
              </s:r>
            </s:text>
          </item>
          <item id="2f5e0313d473217565247d7fc15cb53966048c8b" userID="1851561945" userName="石玉珍" dateTime="2026-06-17T13:35:06" isNormal="0">
            <s:text>
              <s:r>
                <s:t xml:space="preserve">6/17 补订产品贴纸 3600pcs</s:t>
              </s:r>
            </s:text>
          </item>
        </commentChain>
      </unresolved>
      <resolved/>
    </commentChains>
    <commentChains s:ref="AI1668" rgbClr="FF0000">
      <unresolved>
        <commentChain chainId="dee15f693f7911ccca984223936cc9c4049ee976">
          <item id="ff761d3a062158a89d1e531d1ac9ce89c5201200" userID="1851561945" userName="石玉珍" dateTime="2026-07-09T12:53:40" isNormal="0">
            <s:text>
              <s:r>
                <s:t xml:space="preserve">2201267 7/9 5425pcs</s:t>
              </s:r>
            </s:text>
          </item>
          <item id="ab5c1db7de415ec95c635f37d0d19ae86c36dfcb" userID="1851561945" userName="石玉珍" dateTime="2026-07-09T12:54:27" isNormal="0">
            <s:text>
              <s:r>
                <s:t xml:space="preserve"> 2201273 7/9 1125pcs</s:t>
              </s:r>
            </s:text>
          </item>
        </commentChain>
      </unresolved>
      <resolved/>
    </commentChains>
    <commentChains s:ref="AL1668" rgbClr="FF0000">
      <unresolved>
        <commentChain chainId="a01fbf4a44626d887ef9e12e70ec4a850773fe0b">
          <item id="a13fc6ebf695446208fa04078d44af08017c622b" userID="1851561945" userName="石玉珍" dateTime="2026-06-29T12:08:13" isNormal="0">
            <s:text>
              <s:r>
                <s:t xml:space="preserve">6/29 客供外箱条码贴纸 262pcs</s:t>
              </s:r>
            </s:text>
          </item>
        </commentChain>
      </unresolved>
      <resolved/>
    </commentChains>
    <commentChains s:ref="AI1669" rgbClr="FF0000">
      <unresolved>
        <commentChain chainId="133d3c9218c4d50b3a444fb4b01dbeeff6dd0674">
          <item id="6b39361bd86be5076852c4a0ecddb1e58f76e100" userID="1851561945" userName="石玉珍" dateTime="2026-07-08T00:53:00" isNormal="0">
            <s:text>
              <s:r>
                <s:t xml:space="preserve">1600569 7/7 354pcs</s:t>
              </s:r>
            </s:text>
          </item>
          <item id="837ad8c4792756c2d04eff82bb8fa4f18086a589" userID="1851561945" userName="石玉珍" dateTime="2026-07-09T01:07:38" isNormal="0">
            <s:text>
              <s:r>
                <s:t xml:space="preserve">1600547 7/8 6pcs</s:t>
              </s:r>
            </s:text>
          </item>
        </commentChain>
      </unresolved>
      <resolved/>
    </commentChains>
    <commentChains s:ref="AL1669" rgbClr="FF0000">
      <unresolved>
        <commentChain chainId="6ea1e289911633ed435395d1e23c8c236d16d409">
          <item id="954a5383c36ac52dc2e33115c7f59d832402e1c9" userID="1851561945" userName="石玉珍" dateTime="2026-06-20T00:43:10" isNormal="0">
            <images>
              <image id="PDITYJZIACQG4" width="12360" height="2670"/>
            </images>
            <s:text>
              <s:r>
                <s:t xml:space="preserve">6/18  </s:t>
              </s:r>
            </s:text>
          </item>
          <item id="9111660051490ff985254bce985e7c947a42a8a1" userID="1851561945" userName="石玉珍" dateTime="2026-07-06T12:39:47" isNormal="0">
            <s:text>
              <s:r>
                <s:t xml:space="preserve">7/6 空白贴纸 720pcs</s:t>
              </s:r>
            </s:text>
          </item>
        </commentChain>
      </unresolved>
      <resolved/>
    </commentChains>
    <commentChains s:ref="AI1670" rgbClr="FF0000">
      <unresolved>
        <commentChain chainId="8f77eeaefdb9d22888a594ba1b4f9ebebd45c4fd">
          <item id="4aafae04400822af7202cd5ed02f9e9ca137fa37" userID="1851561945" userName="石玉珍" dateTime="2026-07-09T13:45:13" isNormal="0">
            <s:text>
              <s:r>
                <s:t xml:space="preserve">2201280 7/9 504pcs</s:t>
              </s:r>
            </s:text>
          </item>
        </commentChain>
      </unresolved>
      <resolved/>
    </commentChains>
    <commentChains s:ref="AL1670" rgbClr="FF0000">
      <unresolved>
        <commentChain chainId="e4eb0700eec412b2b0f64630c875223dbab2ccf5">
          <item id="2e0f55ba0f6aaad6b4cc44980420cd81f59c5945" userID="1851561945" userName="石玉珍" dateTime="2026-06-24T00:36:01" isNormal="0">
            <s:text>
              <s:r>
                <s:t xml:space="preserve">6/23 德语警语贴纸 504pcs</s:t>
              </s:r>
            </s:text>
          </item>
        </commentChain>
      </unresolved>
      <resolved/>
    </commentChains>
    <commentChains s:ref="AI1671" rgbClr="FF0000">
      <unresolved>
        <commentChain chainId="37673e9a3863db2cb774248d218028bcfdae10db">
          <item id="3577d5dc95b11f32457908e32c6105c2c42d00c6" userID="1851561945" userName="石玉珍" dateTime="2026-07-09T12:55:04" isNormal="0">
            <s:text>
              <s:r>
                <s:t xml:space="preserve"> 2201273 7/9 2100pcs</s:t>
              </s:r>
            </s:text>
          </item>
        </commentChain>
      </unresolved>
      <resolved/>
    </commentChains>
    <commentChains s:ref="AL1671" rgbClr="FF0000">
      <unresolved>
        <commentChain chainId="c536a7e52102ac3e12e293b4d07c6b51e8309f50">
          <item id="02f060236f3a7d06076d86ffd3364b9b14becf99" userID="1851561945" userName="石玉珍" dateTime="2026-06-26T13:13:36" isNormal="0">
            <s:text>
              <s:r>
                <s:t xml:space="preserve">6/26 进口商贴纸 2100pcs</s:t>
              </s:r>
            </s:text>
          </item>
          <item id="1613d4af10e1d1b0a336371eb568c61eef83e336" userID="1851561945" userName="石玉珍" dateTime="2026-07-06T01:32:29" isNormal="0">
            <s:text>
              <s:r>
                <s:t xml:space="preserve">7/4 UPC贴纸 2100pcs</s:t>
              </s:r>
            </s:text>
          </item>
        </commentChain>
      </unresolved>
      <resolved/>
    </commentChains>
    <commentChains s:ref="AI1672" rgbClr="FF0000">
      <unresolved>
        <commentChain chainId="339214f37efcae9248a00ee90bf8d5f43ec7ab67">
          <item id="d0cb171ed73f7b3b2b27cc6170773a9c519a533e" userID="1851561945" userName="石玉珍" dateTime="2026-07-09T01:00:10" isNormal="0">
            <s:text>
              <s:r>
                <s:t xml:space="preserve">2201257 7/8 1404pcs</s:t>
              </s:r>
            </s:text>
          </item>
        </commentChain>
      </unresolved>
      <resolved/>
    </commentChains>
    <commentChains s:ref="AL1672" rgbClr="FF0000">
      <unresolved>
        <commentChain chainId="bf6fee2fe5f3fda706f0849275c55d5a37605eb2">
          <item id="9d2f99a0fd8413cb620795854b0908d79ea1710b" isNormal="1">
            <s:text>
              <s:r>
                <s:t xml:space="preserve">Administrator:
5/18 客供价格贴纸 1404pcs
5/22 空白贴纸 订单数*2pcs
</s:t>
              </s:r>
            </s:text>
          </item>
        </commentChain>
      </unresolved>
      <resolved/>
    </commentChains>
    <commentChains s:ref="AL1673" rgbClr="FF0000">
      <unresolved>
        <commentChain chainId="bb10008b56197d54eb99adce9439acc73eacb238">
          <item id="0ef4c7b2c3c3a1646951447a068f1326c18b6b4a" isNormal="1">
            <s:text>
              <s:r>
                <s:t xml:space="preserve">Administrator:
5/18 客供价格贴纸 1596pcs
5/22 空白贴纸 订单数*2pcs
</s:t>
              </s:r>
            </s:text>
          </item>
        </commentChain>
      </unresolved>
      <resolved/>
    </commentChains>
    <commentChains s:ref="AI1674" rgbClr="FF0000">
      <unresolved>
        <commentChain chainId="6db9a1421ae2228e8847f41a6cba9506038c2675">
          <item id="29ee26bfae4a3d909d511b5c51e69c4fbdb5b1bb" userID="1851561945" userName="石玉珍" dateTime="2026-07-09T12:52:47" isNormal="0">
            <s:text>
              <s:r>
                <s:t xml:space="preserve">1600553 7/9 2004pcs</s:t>
              </s:r>
            </s:text>
          </item>
        </commentChain>
      </unresolved>
      <resolved/>
    </commentChains>
    <commentChains s:ref="AL1674" rgbClr="FF0000">
      <unresolved>
        <commentChain chainId="19fa6f5898f86ea6e55206ea6fd856523e452bba">
          <item id="945c34e06aa7122ae2cb9b79a5abef0dceb3e07f" userID="1851561945" userName="石玉珍" dateTime="2026-06-12T08:07:27" isNormal="0">
            <s:text>
              <s:r>
                <s:t xml:space="preserve">6/10 客供价格贴纸 2004pcs</s:t>
              </s:r>
            </s:text>
          </item>
        </commentChain>
      </unresolved>
      <resolved/>
    </commentChains>
    <commentChains s:ref="AI1675" rgbClr="FF0000">
      <unresolved>
        <commentChain chainId="0c4e150774937e22b7b2fe64947bcf396bacaeee">
          <item id="0403e6bdecf8fb44b8df446983582f50faf002e1" userID="1851561945" userName="石玉珍" dateTime="2026-07-09T12:52:51" isNormal="0">
            <s:text>
              <s:r>
                <s:t xml:space="preserve">1600553 7/9 2004pcs</s:t>
              </s:r>
            </s:text>
          </item>
        </commentChain>
      </unresolved>
      <resolved/>
    </commentChains>
    <commentChains s:ref="AL1675" rgbClr="FF0000">
      <unresolved>
        <commentChain chainId="4f468e18931765440c6d4705a2ffa8685ec96fb2">
          <item id="6ce0f5f62c883526ca0f2db28a93abf32c8fe632" userID="1851561945" userName="石玉珍" dateTime="2026-06-12T08:07:33" isNormal="0">
            <s:text>
              <s:r>
                <s:t xml:space="preserve">6/10 客供价格贴纸 2004pcs</s:t>
              </s:r>
            </s:text>
          </item>
        </commentChain>
      </unresolved>
      <resolved/>
    </commentChains>
    <commentChains s:ref="AI1676" rgbClr="FF0000">
      <unresolved>
        <commentChain chainId="ee5b52b1bb7e1e16a52ecd80d1bc4307d1ec977a">
          <item id="21ec3d13e5fbdea0f13d2c3ef08b8487ac1b1dc9" userID="1851561945" userName="石玉珍" dateTime="2026-07-09T13:44:30" isNormal="0">
            <s:text>
              <s:r>
                <s:t xml:space="preserve">2201280 7/9 600pcs</s:t>
              </s:r>
            </s:text>
          </item>
        </commentChain>
      </unresolved>
      <resolved/>
    </commentChains>
    <commentChains s:ref="AL1676" rgbClr="FF0000">
      <unresolved>
        <commentChain chainId="a368d50ebb1825b953a6715aecb35aee4071eef3">
          <item id="cbbc7805dfadd3f47ca6b1812c30e844d9d0d973" userID="1851561945" userName="石玉珍" dateTime="2026-06-12T08:35:00" isNormal="0">
            <s:text>
              <s:r>
                <s:t xml:space="preserve">6/11 丹麦瑞典芬兰挪威警告语贴纸 600pcs</s:t>
              </s:r>
            </s:text>
          </item>
          <item id="9fb2811730c37d09766d97383a71f5346798cab2" userID="1851561945" userName="石玉珍" dateTime="2026-06-12T08:35:08" isNormal="0">
            <s:text>
              <s:r>
                <s:t xml:space="preserve">大语警告语贴5 600pcs</s:t>
              </s:r>
            </s:text>
          </item>
          <item id="45ad2f0a22dc59369fcac6925449cd3d89ba69e0" userID="1851561945" userName="石玉珍" dateTime="2026-06-12T08:35:23" isNormal="0">
            <s:text>
              <s:r>
                <s:t xml:space="preserve">小语警告语贴 4200pcs
</s:t>
              </s:r>
            </s:text>
          </item>
        </commentChain>
      </unresolved>
      <resolved/>
    </commentChains>
    <commentChains s:ref="AI1677" rgbClr="FF0000">
      <unresolved>
        <commentChain chainId="1441bcf21d8e9946ab6a763f00b06b92de5fe240">
          <item id="30339491dfdc019bcc4bd59aa6cebba75f4cead2" userID="1851561945" userName="石玉珍" dateTime="2026-07-09T13:42:21" isNormal="0">
            <s:text>
              <s:r>
                <s:t xml:space="preserve">2201280 7/9 650pcs</s:t>
              </s:r>
            </s:text>
          </item>
        </commentChain>
      </unresolved>
      <resolved/>
    </commentChains>
    <commentChains s:ref="AL1677" rgbClr="FF0000">
      <unresolved>
        <commentChain chainId="e2f25372c07dff56f5fde188306f8de4fafd26d2">
          <item id="9d9aaa5153ed61a2f614d19d2fde83050918b159" isNormal="1">
            <s:text>
              <s:r>
                <s:t xml:space="preserve">Administrator:
5/22 家乐福外箱贴纸 26pcs
</s:t>
              </s:r>
            </s:text>
          </item>
        </commentChain>
      </unresolved>
      <resolved/>
    </commentChains>
    <commentChains s:ref="AI1678" rgbClr="FF0000">
      <unresolved>
        <commentChain chainId="5d84a96896abc962bf4667c29816dbf1743b2c2a">
          <item id="d36a8f02c973b7275a92046dab41804620cd1cca" userID="1851561945" userName="石玉珍" dateTime="2026-07-09T13:43:12" isNormal="0">
            <s:text>
              <s:r>
                <s:t xml:space="preserve">2201280 7/9 950pcs</s:t>
              </s:r>
            </s:text>
          </item>
        </commentChain>
      </unresolved>
      <resolved/>
    </commentChains>
    <commentChains s:ref="AL1678" rgbClr="FF0000">
      <unresolved>
        <commentChain chainId="f10be6db6fe2f6d7dd939e5d3b856ef0271100fa">
          <item id="98b42fc6a560d01ae060b815584c1422f225cf00" isNormal="1">
            <s:text>
              <s:r>
                <s:t xml:space="preserve">Administrator:
5/22 家乐福外箱贴纸 38pcs
</s:t>
              </s:r>
            </s:text>
          </item>
        </commentChain>
      </unresolved>
      <resolved/>
    </commentChains>
    <commentChains s:ref="AI1679" rgbClr="FF0000">
      <unresolved>
        <commentChain chainId="7bf9a4a905d20354ce8577c76ef0c69f294c6b05">
          <item id="6b9042bdb225bfcf29416dcc6807eee58b249b8b" userID="1851561945" userName="石玉珍" dateTime="2026-07-09T13:01:46" isNormal="0">
            <s:text>
              <s:r>
                <s:t xml:space="preserve">2201280 7/9 7680pcs</s:t>
              </s:r>
            </s:text>
          </item>
        </commentChain>
      </unresolved>
      <resolved/>
    </commentChains>
    <commentChains s:ref="AL1679" rgbClr="FF0000">
      <unresolved>
        <commentChain chainId="618132e9da54ca7bb5d0c6b0df3c0b35d1fcf855">
          <item id="e9f70293ecb34280751f92e100839ed95b19c70a" userID="1851561945" userName="石玉珍" dateTime="2026-06-20T00:54:47" isNormal="0">
            <s:text>
              <s:r>
                <s:t xml:space="preserve">6/18 客供RFID贴纸 7680pcs</s:t>
              </s:r>
            </s:text>
          </item>
        </commentChain>
      </unresolved>
      <resolved/>
    </commentChains>
    <commentChains s:ref="AI1680" rgbClr="FF0000">
      <unresolved>
        <commentChain chainId="650928620f3f7e98834ab5fce73a022e8016823d">
          <item id="395a26332da4698c5ed23b1cc9bdd5efa6419020" userID="1851561945" userName="石玉珍" dateTime="2026-07-09T13:01:54" isNormal="0">
            <s:text>
              <s:r>
                <s:t xml:space="preserve">2201280 7/9 5760pcs</s:t>
              </s:r>
            </s:text>
          </item>
        </commentChain>
      </unresolved>
      <resolved/>
    </commentChains>
    <commentChains s:ref="AL1680" rgbClr="FF0000">
      <unresolved>
        <commentChain chainId="34e2d5858dc9609571f6b379c94b21b6c4283bcc">
          <item id="20ff5f118abc53ed4127c60ca2bd3e41825ee2da" userID="1851561945" userName="石玉珍" dateTime="2026-06-20T00:54:53" isNormal="0">
            <s:text>
              <s:r>
                <s:t xml:space="preserve">6/18 客供RFID贴纸 5760pcs</s:t>
              </s:r>
            </s:text>
          </item>
        </commentChain>
      </unresolved>
      <resolved/>
    </commentChains>
    <commentChains s:ref="AI1681" rgbClr="FF0000">
      <unresolved>
        <commentChain chainId="9a440945cb0061ed13310778585ddfb2f3a55335">
          <item id="e454b0e6a3b89668bf5e84d420dcd57f1f0e6525" userID="1851561945" userName="石玉珍" dateTime="2026-07-10T13:10:23" isNormal="0">
            <s:text>
              <s:r>
                <s:t xml:space="preserve">2201288 7/10 2880pcs</s:t>
              </s:r>
            </s:text>
          </item>
        </commentChain>
      </unresolved>
      <resolved/>
    </commentChains>
    <commentChains s:ref="AL1681" rgbClr="FF0000">
      <unresolved>
        <commentChain chainId="0524c79824c7437ec69be7a27d7101214e3a6322">
          <item id="e8fb5713d9e93aed0c9c47ca5f4154670cf83f8d" userID="1851561945" userName="石玉珍" dateTime="2026-06-20T00:54:59" isNormal="0">
            <s:text>
              <s:r>
                <s:t xml:space="preserve">6/18 客供RFID贴纸 2880pcs</s:t>
              </s:r>
            </s:text>
          </item>
        </commentChain>
      </unresolved>
      <resolved/>
    </commentChains>
    <commentChains s:ref="AI1682" rgbClr="FF0000">
      <unresolved>
        <commentChain chainId="3f8cd4574d143b8825fe785da15231ea40d25ef4">
          <item id="ce4f9073aace052817587192b0e3f0e1b389b0a0" userID="1851561945" userName="石玉珍" dateTime="2026-07-10T13:10:13" isNormal="0">
            <s:text>
              <s:r>
                <s:t xml:space="preserve">2201288 7/10 5760pcs</s:t>
              </s:r>
            </s:text>
          </item>
        </commentChain>
      </unresolved>
      <resolved/>
    </commentChains>
    <commentChains s:ref="AL1682" rgbClr="FF0000">
      <unresolved>
        <commentChain chainId="7d88caf51eb9575cfce786e5e0af9a796e4db461">
          <item id="d232c630c59cda97f278efc147ac5240418238a2" userID="1851561945" userName="石玉珍" dateTime="2026-06-20T00:55:07" isNormal="0">
            <s:text>
              <s:r>
                <s:t xml:space="preserve">6/18 客供RFID贴纸 5760pcs</s:t>
              </s:r>
            </s:text>
          </item>
        </commentChain>
      </unresolved>
      <resolved/>
    </commentChains>
    <commentChains s:ref="AI1683" rgbClr="FF0000">
      <unresolved>
        <commentChain chainId="783f16e84fa2a50c1294ccac2ecf815d4dff10db">
          <item id="5a9f3284dcd05e1e7cfe9a3adddd161be669f53c" userID="1851561945" userName="石玉珍" dateTime="2026-07-09T13:02:07" isNormal="0">
            <s:text>
              <s:r>
                <s:t xml:space="preserve">2201280 7/9 51200pcs</s:t>
              </s:r>
            </s:text>
          </item>
          <item id="89c933e2aaddbf3e82307a474024756a225b9091" userID="1851561945" userName="石玉珍" dateTime="2026-07-09T13:49:41" isNormal="0">
            <s:text>
              <s:r>
                <s:t xml:space="preserve">2201283 7/9 2560pcs</s:t>
              </s:r>
            </s:text>
          </item>
        </commentChain>
      </unresolved>
      <resolved/>
    </commentChains>
    <commentChains s:ref="AL1683" rgbClr="FF0000">
      <unresolved>
        <commentChain chainId="0a3a568adda35a93f107affe1f93ac256f93b84e">
          <item id="d07d7ab8a8c3ebf1a5cbe827c7e0ace144e59066" userID="1851561945" userName="石玉珍" dateTime="2026-06-20T00:55:13" isNormal="0">
            <s:text>
              <s:r>
                <s:t xml:space="preserve">6/18 客供RFID贴纸 7680pcs</s:t>
              </s:r>
            </s:text>
          </item>
        </commentChain>
      </unresolved>
      <resolved/>
    </commentChains>
    <commentChains s:ref="AI1684" rgbClr="FF0000">
      <unresolved>
        <commentChain chainId="7d86c83c1c0a45458ed74dbff4f959865ca9a13a">
          <item id="cd984f8ce1c510f842e619118ca9c25d0c8e2c9c" userID="1851561945" userName="石玉珍" dateTime="2026-07-09T12:56:07" isNormal="0">
            <s:text>
              <s:r>
                <s:t xml:space="preserve"> 2201273 7/9 10560pcs</s:t>
              </s:r>
            </s:text>
          </item>
        </commentChain>
      </unresolved>
      <resolved/>
    </commentChains>
    <commentChains s:ref="AL1684" rgbClr="FF0000">
      <unresolved>
        <commentChain chainId="c78b6d24b46bc9e5c945329ffc7d9e25f220380f">
          <item id="3dd4b2b4d707ee4eba81b71d1912d10eaec1a35a" userID="1851561945" userName="石玉珍" dateTime="2026-06-20T00:55:21" isNormal="0">
            <s:text>
              <s:r>
                <s:t xml:space="preserve">6/18 客供RFID贴纸 10560pcs</s:t>
              </s:r>
            </s:text>
          </item>
        </commentChain>
      </unresolved>
      <resolved/>
    </commentChains>
    <commentChains s:ref="AI1685" rgbClr="FF0000">
      <unresolved>
        <commentChain chainId="3c254d9d19b1dd6f67d8da826de334c53efc752f">
          <item id="4e09f0efe7eaad8d3952a2bc3b8b5e3ad9c8e87e" userID="1851561945" userName="石玉珍" dateTime="2026-07-09T13:02:14" isNormal="0">
            <s:text>
              <s:r>
                <s:t xml:space="preserve">2201280 7/9 5760pcs</s:t>
              </s:r>
            </s:text>
          </item>
        </commentChain>
      </unresolved>
      <resolved/>
    </commentChains>
    <commentChains s:ref="AL1685" rgbClr="FF0000">
      <unresolved>
        <commentChain chainId="0442965e6eeef6b9dc986b066127a8165db33c82">
          <item id="193e7e2d1d966106cb06bf967cb67c7e7aecf1e8" userID="1851561945" userName="石玉珍" dateTime="2026-06-20T00:55:27" isNormal="0">
            <s:text>
              <s:r>
                <s:t xml:space="preserve">6/18 客供RFID贴纸 5760pcs</s:t>
              </s:r>
            </s:text>
          </item>
        </commentChain>
      </unresolved>
      <resolved/>
    </commentChains>
    <commentChains s:ref="AI1686" rgbClr="FF0000">
      <unresolved>
        <commentChain chainId="4123d8380bd2c6676815a638e1cda64fdb0b628a">
          <item id="51d9f3468087695cbe395519d06c85e3112d3cf2" userID="1851561945" userName="石玉珍" dateTime="2026-07-09T03:56:29" isNormal="0">
            <s:text>
              <s:r>
                <s:t xml:space="preserve"> 2201259 7/8 1260pcs</s:t>
              </s:r>
            </s:text>
          </item>
        </commentChain>
      </unresolved>
      <resolved/>
    </commentChains>
    <commentChains s:ref="AL1686" rgbClr="FF0000">
      <unresolved>
        <commentChain chainId="5991b19b943319e74ae8ceb0fd351d82da1ec4f2">
          <item id="8866c6086576a1fce8cae9d94a431fbf78876583" userID="1851561945" userName="石玉珍" dateTime="2026-06-15T12:55:44" isNormal="0">
            <s:text>
              <s:r>
                <s:t xml:space="preserve">6/15 进口商贴纸 1260pcs</s:t>
              </s:r>
            </s:text>
          </item>
          <item id="5ce7219526adcdf96a09b4d2ad77c133e8db3cd1" userID="1851561945" userName="石玉珍" dateTime="2026-06-16T12:17:28" isNormal="0">
            <s:text>
              <s:r>
                <s:t xml:space="preserve">6/16 客供亚马逊外箱贴纸 105pcs</s:t>
              </s:r>
            </s:text>
          </item>
        </commentChain>
      </unresolved>
      <resolved/>
    </commentChains>
    <commentChains s:ref="AI1687" rgbClr="FF0000">
      <unresolved>
        <commentChain chainId="ea5fb697007599a3db2e3653ff215b40c81be268">
          <item id="2328441ef5411b7a30e2a72cdb92b220199abe29" userID="1851561945" userName="石玉珍" dateTime="2026-07-09T03:56:36" isNormal="0">
            <s:text>
              <s:r>
                <s:t xml:space="preserve"> 2201259 7/8 1956pcs</s:t>
              </s:r>
            </s:text>
          </item>
        </commentChain>
      </unresolved>
      <resolved/>
    </commentChains>
    <commentChains s:ref="AL1687" rgbClr="FF0000">
      <unresolved>
        <commentChain chainId="804d612e85a2f28c5409430809f9bb0c6343688e">
          <item id="edb5fc5914691b7de95ade12dc8ba4f951d61805" userID="1851561945" userName="石玉珍" dateTime="2026-06-15T12:55:49" isNormal="0">
            <s:text>
              <s:r>
                <s:t xml:space="preserve">6/15 进口商贴纸 1956pcs</s:t>
              </s:r>
            </s:text>
          </item>
          <item id="8f9197166e675c5fdfcdd368656610fb71b07caa" userID="1851561945" userName="石玉珍" dateTime="2026-06-16T12:17:35" isNormal="0">
            <s:text>
              <s:r>
                <s:t xml:space="preserve">6/16 客供亚马逊外箱贴纸 163pcs</s:t>
              </s:r>
            </s:text>
          </item>
        </commentChain>
      </unresolved>
      <resolved/>
    </commentChains>
    <commentChains s:ref="AI1688" rgbClr="FF0000">
      <unresolved>
        <commentChain chainId="6168f36f86b6b19101966d3770a9d1c598a85ba4">
          <item id="ddaaea3db17f1bc006fb0a0727b9655f7b4789fb" userID="1851561945" userName="石玉珍" dateTime="2026-07-09T12:50:20" isNormal="0">
            <s:text>
              <s:r>
                <s:t xml:space="preserve">1600554 7/9 29925pcs</s:t>
              </s:r>
            </s:text>
          </item>
          <item id="b858381eb7de499ec66c787dd13ec489093b5e2f" userID="1851561945" userName="石玉珍" dateTime="2026-07-09T12:58:43" isNormal="0">
            <s:text>
              <s:r>
                <s:t xml:space="preserve">1600555 7/9 60075pcs</s:t>
              </s:r>
            </s:text>
          </item>
        </commentChain>
      </unresolved>
      <resolved/>
    </commentChains>
    <commentChains s:ref="AL1688" rgbClr="FF0000">
      <unresolved>
        <commentChain chainId="7552c887f4b119cbaad647c512bd385acc871b7b">
          <item id="5f99cd1a32b84fac7f07180d72ee53f7b02887ad" userID="1851561945" userName="石玉珍" dateTime="2026-07-01T13:08:25" isNormal="0">
            <s:text>
              <s:r>
                <s:t xml:space="preserve">7/1 客供外箱条码贴纸 3600pcs</s:t>
              </s:r>
            </s:text>
          </item>
        </commentChain>
      </unresolved>
      <resolved/>
    </commentChains>
    <commentChains s:ref="AI1689" rgbClr="FF0000">
      <unresolved>
        <commentChain chainId="f3999e5962134b9158606854a8df1357d2118a26">
          <item id="515c016946d5cbe78d1eeab1eb9b3d314d174446" userID="1851561945" userName="石玉珍" dateTime="2026-07-14T00:29:10" isNormal="0">
            <s:text>
              <s:r>
                <s:t xml:space="preserve">2200143 7/13 6480pcs</s:t>
              </s:r>
            </s:text>
          </item>
        </commentChain>
      </unresolved>
      <resolved/>
    </commentChains>
    <commentChains s:ref="AL1689" rgbClr="FF0000">
      <unresolved>
        <commentChain chainId="ecad66c427047e3732979a8dd923440f163820e2">
          <item id="1ab31c98adc5261dcfa15ed5211d336a4ccf8bf5" userID="1851561945" userName="石玉珍" dateTime="2026-06-16T12:25:00" isNormal="0">
            <s:text>
              <s:r>
                <s:t xml:space="preserve">6/16  客供防盗贴纸  6480pcs</s:t>
              </s:r>
            </s:text>
          </item>
          <item id="7e321aff94f2aa31388c2a2c7796a5677c9b1c95" userID="1851561945" userName="石玉珍" dateTime="2026-07-06T12:57:07" isNormal="0">
            <s:text>
              <s:r>
                <s:t xml:space="preserve">7/6 彩色贴纸 6480*2pcs</s:t>
              </s:r>
            </s:text>
          </item>
        </commentChain>
      </unresolved>
      <resolved/>
    </commentChains>
    <commentChains s:ref="AI1690" rgbClr="FF0000">
      <unresolved>
        <commentChain chainId="e5a7ee8400426d2b0611998d7061b1258af5bcb3">
          <item id="92214a45dd9999ddbb917e2b0dddc88355a31340" userID="1851561945" userName="石玉珍" dateTime="2026-07-11T06:02:18" isNormal="0">
            <s:text>
              <s:r>
                <s:t xml:space="preserve">2201297 7/10 20016pcs</s:t>
              </s:r>
            </s:text>
          </item>
        </commentChain>
      </unresolved>
      <resolved/>
    </commentChains>
    <commentChains s:ref="BC1690" rgbClr="FF0000">
      <unresolved>
        <commentChain chainId="c9689a30e3bfd248274ee5f4868a67999fda521a">
          <item id="89afc8034bdfd58155e30681082ec355c59c59e1" isNormal="1">
            <s:text>
              <s:r>
                <s:t xml:space="preserve">RR-sales:
新客版资料4500209509</s:t>
              </s:r>
            </s:text>
          </item>
        </commentChain>
      </unresolved>
      <resolved/>
    </commentChains>
    <commentChains s:ref="AI1691" rgbClr="FF0000">
      <unresolved>
        <commentChain chainId="f0d073737bb073c38fc0cd35c3c493839a8d4c3e">
          <item id="7a00432c7fef3f19cf558a2dbd2fafd3416ea4c8" userID="1851561945" userName="石玉珍" dateTime="2026-07-11T06:02:28" isNormal="0">
            <s:text>
              <s:r>
                <s:t xml:space="preserve">2201297 7/10 6384pcs</s:t>
              </s:r>
            </s:text>
          </item>
          <item id="d3e770dc7120dc627775c685a2799fa788996c34" userID="1851561945" userName="石玉珍" dateTime="2026-07-13T01:04:58" isNormal="0">
            <s:text>
              <s:r>
                <s:t xml:space="preserve">2801278 7/11 13632pcs</s:t>
              </s:r>
            </s:text>
          </item>
        </commentChain>
      </unresolved>
      <resolved/>
    </commentChains>
    <commentChains s:ref="BC1691" rgbClr="FF0000">
      <unresolved>
        <commentChain chainId="eed05dee03d2b3aab4eb6771f53157d7e64b05cd">
          <item id="8f43babc91db21c06acddc32c15db04100fcf308" isNormal="1">
            <s:text>
              <s:r>
                <s:t xml:space="preserve">RR-sales:
新客版资料4500209509
</s:t>
              </s:r>
            </s:text>
          </item>
        </commentChain>
      </unresolved>
      <resolved/>
    </commentChains>
    <commentChains s:ref="AI1692" rgbClr="FF0000">
      <unresolved>
        <commentChain chainId="0bcca017be3ef4fcf2642d31f8958a1822adf64a">
          <item id="f85db32da872957bd789f7b4eea820a1d402fb52" userID="1851561945" userName="石玉珍" dateTime="2026-07-10T13:14:23" isNormal="0">
            <s:text>
              <s:r>
                <s:t xml:space="preserve">2201288 7/10 4848pcs</s:t>
              </s:r>
            </s:text>
          </item>
        </commentChain>
      </unresolved>
      <resolved/>
    </commentChains>
    <commentChains s:ref="AL1692" rgbClr="FF0000">
      <unresolved>
        <commentChain chainId="9def2e6dbe43d70858921fea9eba491401ae0531">
          <item id="ec68f13e638733bb5feea6f494d98a42b9a5c237" userID="1851561945" userName="石玉珍" dateTime="2026-06-15T12:58:52" isNormal="0">
            <s:text>
              <s:r>
                <s:t xml:space="preserve">6/15 价标贴纸 14848pcs</s:t>
              </s:r>
            </s:text>
          </item>
          <item id="8820d0e4fc5c26cca2962b936722710797198d29" userID="1851561945" userName="石玉珍" dateTime="2026-07-15T11:21:03" isNormal="0">
            <s:text>
              <s:r>
                <s:t xml:space="preserve">7/15 空白贴纸 4848*20pcs</s:t>
              </s:r>
            </s:text>
          </item>
        </commentChain>
      </unresolved>
      <resolved/>
    </commentChains>
    <commentChains s:ref="AI1693" rgbClr="FF0000">
      <unresolved>
        <commentChain chainId="f3d383694ccd5694b6abe6757c35680fd36696c4">
          <item id="740027b6ea005cdbdae6f5b8fcfde406751fd3d0" userID="1851561945" userName="石玉珍" dateTime="2026-07-10T13:14:28" isNormal="0">
            <s:text>
              <s:r>
                <s:t xml:space="preserve">2201288 7/10 1272pcs</s:t>
              </s:r>
            </s:text>
          </item>
        </commentChain>
      </unresolved>
      <resolved/>
    </commentChains>
    <commentChains s:ref="AL1693" rgbClr="FF0000">
      <unresolved>
        <commentChain chainId="7f9ba3acd660813d8e4f8ca2d066f5bc03311a11">
          <item id="3b875a3f025fd5ff4c27fc6fd8478fdb84335626" userID="1851561945" userName="石玉珍" dateTime="2026-06-15T12:58:58" isNormal="0">
            <s:text>
              <s:r>
                <s:t xml:space="preserve">6/15 价标贴纸 1272pcs</s:t>
              </s:r>
            </s:text>
          </item>
          <item id="2d56650ed543b98840b56b554b3b7135014f3c74" userID="1851561945" userName="石玉珍" dateTime="2026-07-15T11:21:10" isNormal="0">
            <s:text>
              <s:r>
                <s:t xml:space="preserve">7/15 空白贴纸 1272*2pcs</s:t>
              </s:r>
            </s:text>
          </item>
        </commentChain>
      </unresolved>
      <resolved/>
    </commentChains>
    <commentChains s:ref="AI1694" rgbClr="FF0000">
      <unresolved>
        <commentChain chainId="6986d0e077a787cb483e679807557fb1838eb360">
          <item id="52f0af0b34baadac5d2743d67799641e7d90a2b7" userID="1851561945" userName="石玉珍" dateTime="2026-07-13T01:18:31" isNormal="0">
            <s:text>
              <s:r>
                <s:t xml:space="preserve">2801282 7/11 2015pcs</s:t>
              </s:r>
            </s:text>
          </item>
        </commentChain>
      </unresolved>
      <resolved/>
    </commentChains>
    <commentChains s:ref="AI1695" rgbClr="FF0000">
      <unresolved>
        <commentChain chainId="cb0ae0a040b95bd6aa038c847c9afd704f364a2b">
          <item id="185c330a687cb3e0d5d586965fa05684a28cb45d" userID="1851561945" userName="石玉珍" dateTime="2026-07-15T01:22:58" isNormal="0">
            <s:text>
              <s:r>
                <s:t xml:space="preserve">1001941 7/14  8350pcs</s:t>
              </s:r>
            </s:text>
          </item>
        </commentChain>
      </unresolved>
      <resolved/>
    </commentChains>
    <commentChains s:ref="AI1696" rgbClr="FF0000">
      <unresolved>
        <commentChain chainId="b4d5691a2b69d7142028b54a8f5bb041f9fe1871">
          <item id="6bc834708b88b0aefab13d96634f3f2ba5802557" userID="1851561945" userName="石玉珍" dateTime="2026-07-15T01:33:56" isNormal="0">
            <s:text>
              <s:r>
                <s:t xml:space="preserve">1001944 7/14 1200pcs</s:t>
              </s:r>
            </s:text>
          </item>
        </commentChain>
      </unresolved>
      <resolved/>
    </commentChains>
    <commentChains s:ref="AL1696" rgbClr="FF0000">
      <unresolved>
        <commentChain chainId="f7844f45092375ee2c542a0a969fb718b8654d7d">
          <item id="8fc216792d501d2bed10f817679cb2a1e85d7b71" userID="1851561945" userName="石玉珍" dateTime="2026-06-30T13:42:16" isNormal="0">
            <s:text>
              <s:r>
                <s:t xml:space="preserve">6/30 进口商贴纸 1200pcs</s:t>
              </s:r>
            </s:text>
          </item>
          <item id="a22e3ee49aa9c41141352749d73ab69b2dbc5478" userID="1851561945" userName="石玉珍" dateTime="2026-06-30T13:42:51" isNormal="0">
            <s:text>
              <s:r>
                <s:t xml:space="preserve">UPC贴纸 1200pcs</s:t>
              </s:r>
            </s:text>
          </item>
        </commentChain>
      </unresolved>
      <resolved/>
    </commentChains>
    <commentChains s:ref="BW1696" rgbClr="FF0000">
      <unresolved>
        <commentChain chainId="dd8d518367789d618659fccd0804338e0c97a90a">
          <item id="263269b3d884b3d2fd363c782c23df39f29f7b18" isNormal="1">
            <s:text>
              <s:r>
                <s:t xml:space="preserve">RR-sales:
C版本去披萨收藏指南</s:t>
              </s:r>
            </s:text>
          </item>
        </commentChain>
      </unresolved>
      <resolved/>
    </commentChains>
    <commentChains s:ref="AI1697" rgbClr="FF0000">
      <unresolved>
        <commentChain chainId="3628af9735205b26b92e62439d845b2d0f218607">
          <item id="ca639b5152e4e5a2443d7c678f21b21c6e23b202" userID="1851561945" userName="石玉珍" dateTime="2026-07-15T01:35:35" isNormal="0">
            <s:text>
              <s:r>
                <s:t xml:space="preserve">1001944 7/14 725pcs</s:t>
              </s:r>
            </s:text>
          </item>
          <item id="3d29fd8768b264633a920c35824047ccc8565764" userID="1851561945" userName="石玉珍" dateTime="2026-07-17T01:15:45" isNormal="0">
            <s:text>
              <s:r>
                <s:t xml:space="preserve">1001886 7/16 25pcs</s:t>
              </s:r>
            </s:text>
          </item>
        </commentChain>
      </unresolved>
      <resolved/>
    </commentChains>
    <commentChains s:ref="AL1697" rgbClr="FF0000">
      <unresolved>
        <commentChain chainId="3631381b4d50af0cb7efca0ce10cc267d9d0a329">
          <item id="9de2ff56fd4fff3f0b67a2f8bbf978d961f62000" userID="1851561945" userName="石玉珍" dateTime="2026-06-29T12:20:08" isNormal="0">
            <s:text>
              <s:r>
                <s:t xml:space="preserve">6/29 大语警告语贴 750pcs
小语警告语贴 5250pcs
丹麦瑞典芬兰挪威警告语贴纸 750pcs</s:t>
              </s:r>
            </s:text>
          </item>
        </commentChain>
      </unresolved>
      <resolved/>
    </commentChains>
    <commentChains s:ref="AI1698" rgbClr="FF0000">
      <unresolved>
        <commentChain chainId="a05324305ebd826b8d66c0e275965793e1b1398c">
          <item id="7ac09d4563a4be6760e4d46eb7f33d44f877f98a" userID="1851561945" userName="石玉珍" dateTime="2026-07-13T01:25:04" isNormal="0">
            <s:text>
              <s:r>
                <s:t xml:space="preserve">2801290 7/11 2256pcs</s:t>
              </s:r>
            </s:text>
          </item>
        </commentChain>
      </unresolved>
      <resolved/>
    </commentChains>
    <commentChains s:ref="AL1698" rgbClr="FF0000">
      <unresolved>
        <commentChain chainId="ba3acfa8b11a281e2e5e5a27e135820b13b6d900">
          <item id="e8eb51aae27241541b63e45da57a50fbfd1de7be" userID="1851561945" userName="石玉珍" dateTime="2026-06-29T12:04:21" isNormal="0">
            <s:text>
              <s:r>
                <s:t xml:space="preserve">6/27 亚马逊外箱贴纸 188pcs</s:t>
              </s:r>
            </s:text>
          </item>
          <item id="89e78ed8bca1aedc308bdf80e1a75b5b1b138468" userID="1851561945" userName="石玉珍" dateTime="2026-07-03T02:11:06" isNormal="0">
            <s:text>
              <s:r>
                <s:t xml:space="preserve">7/2   环保标贴纸 2256pcs</s:t>
              </s:r>
            </s:text>
          </item>
          <item id="fb9573321715755d11464526b4103d8fca24c988" userID="1851561945" userName="石玉珍" dateTime="2026-07-03T02:11:32" isNormal="0">
            <s:text>
              <s:r>
                <s:t xml:space="preserve">空白贴纸 2256*2pcs</s:t>
              </s:r>
            </s:text>
          </item>
        </commentChain>
      </unresolved>
      <resolved/>
    </commentChains>
    <commentChains s:ref="AI1699" rgbClr="FF0000">
      <unresolved>
        <commentChain chainId="21063650f513d440ba81f2053040d3b749a43f4d">
          <item id="46b7b3fbc23136b7376bf1d6e72c7ed87ec8119f" userID="1851561945" userName="石玉珍" dateTime="2026-07-13T01:25:11" isNormal="0">
            <s:text>
              <s:r>
                <s:t xml:space="preserve">2801290 7/11 984pcs</s:t>
              </s:r>
            </s:text>
          </item>
        </commentChain>
      </unresolved>
      <resolved/>
    </commentChains>
    <commentChains s:ref="AL1699" rgbClr="FF0000">
      <unresolved>
        <commentChain chainId="60d08b0518a2d51fb1bc99b5261daeb3f4f5db49">
          <item id="21c761198a3c00b863368a8032ad34b6b3bae3a9" userID="1851561945" userName="石玉珍" dateTime="2026-06-29T12:04:28" isNormal="0">
            <s:text>
              <s:r>
                <s:t xml:space="preserve">6/27 亚马逊外箱贴纸 82pcs</s:t>
              </s:r>
            </s:text>
          </item>
          <item id="a11b70d441ae20d37558d30ae21ffaae75ea3778" userID="1851561945" userName="石玉珍" dateTime="2026-07-03T02:11:16" isNormal="0">
            <s:text>
              <s:r>
                <s:t xml:space="preserve">7/2   环保标贴纸 984pcs</s:t>
              </s:r>
            </s:text>
          </item>
          <item id="6e013aa3eaee963f9d7be7cf31166823564a4333" userID="1851561945" userName="石玉珍" dateTime="2026-07-03T02:12:22" isNormal="0">
            <s:text>
              <s:r>
                <s:t xml:space="preserve">空白贴纸 984*2pcs</s:t>
              </s:r>
            </s:text>
          </item>
        </commentChain>
      </unresolved>
      <resolved/>
    </commentChains>
    <commentChains s:ref="AI1700" rgbClr="FF0000">
      <unresolved>
        <commentChain chainId="c70dc22ae938043df4a2a5b0bc66611b8ba3ce5c">
          <item id="6655e97a93d168f0b0eceb4f6bfb9200acb5228f" userID="1851561945" userName="石玉珍" dateTime="2026-07-14T00:28:44" isNormal="0">
            <s:text>
              <s:r>
                <s:t xml:space="preserve">2200143 7/13 624pcs</s:t>
              </s:r>
            </s:text>
          </item>
        </commentChain>
      </unresolved>
      <resolved/>
    </commentChains>
    <commentChains s:ref="AL1700" rgbClr="FF0000">
      <unresolved>
        <commentChain chainId="9acff02415f01e8298270f789a955c7f927fc20c">
          <item id="f8c89c82af641bf0e94e3339bba416773b173f30" userID="1851561945" userName="石玉珍" dateTime="2026-06-12T07:44:06" isNormal="0">
            <s:text>
              <s:r>
                <s:t xml:space="preserve">6/10 客供价格贴纸 624pcs</s:t>
              </s:r>
            </s:text>
          </item>
          <item id="1bac50eca51ca91e1fb1e4cbd03db0c2eb7e4b7d" userID="1851561945" userName="石玉珍" dateTime="2026-07-08T11:30:43" isNormal="0">
            <s:text>
              <s:r>
                <s:t xml:space="preserve">7/8 警告语贴纸 624pcs</s:t>
              </s:r>
            </s:text>
          </item>
        </commentChain>
      </unresolved>
      <resolved/>
    </commentChains>
    <commentChains s:ref="AI1701" rgbClr="FF0000">
      <unresolved>
        <commentChain chainId="0d095fc7838c9c3424f5f587ea0111252644b7b8">
          <item id="fe3b2d997a80869342bac873944ceb4f403235a4" userID="1851561945" userName="石玉珍" dateTime="2026-07-13T01:42:32" isNormal="0">
            <s:text>
              <s:r>
                <s:t xml:space="preserve">2801299 7/11 24pcs</s:t>
              </s:r>
            </s:text>
          </item>
        </commentChain>
      </unresolved>
      <resolved/>
    </commentChains>
    <commentChains s:ref="AL1701" rgbClr="FF0000">
      <unresolved>
        <commentChain chainId="c12b28d1a8d6ecf5a8c1a9aa444112e6ea9a7e18">
          <item id="bec67596bb506760e280b45695e4eb36cc53f2b6" userID="1851561945" userName="石玉珍" dateTime="2026-07-01T13:12:01" isNormal="0">
            <s:text>
              <s:r>
                <s:t xml:space="preserve">7/1 客供亚马逊外箱贴纸 2pcs</s:t>
              </s:r>
            </s:text>
          </item>
        </commentChain>
      </unresolved>
      <resolved/>
    </commentChains>
    <commentChains s:ref="AI1702" rgbClr="FF0000">
      <unresolved>
        <commentChain chainId="bf445028e8d089348d1614f325d7fd7cc137e20b">
          <item id="005ef0349152a36ba4d32303c9dc97fdd7a0aa1d" userID="1851561945" userName="石玉珍" dateTime="2026-07-15T01:34:41" isNormal="0">
            <s:text>
              <s:r>
                <s:t xml:space="preserve">1001944 7/14 1150pcs</s:t>
              </s:r>
            </s:text>
          </item>
        </commentChain>
      </unresolved>
      <resolved/>
    </commentChains>
    <commentChains s:ref="AI1703" rgbClr="FF0000">
      <unresolved>
        <commentChain chainId="052caa5637fc7fa40780872bbb6b10cc27c2b4de">
          <item id="f2fad2b5a3984b0055007afef40446fe518abbb1" userID="1851561945" userName="石玉珍" dateTime="2026-07-15T01:35:12" isNormal="0">
            <s:text>
              <s:r>
                <s:t xml:space="preserve">1001944 7/14 1400pcs</s:t>
              </s:r>
            </s:text>
          </item>
        </commentChain>
      </unresolved>
      <resolved/>
    </commentChains>
    <commentChains s:ref="BF1704" rgbClr="FF0000">
      <unresolved>
        <commentChain chainId="60b2b99062d275cb08dc4cbb1ad43dc4b2cc2f05">
          <item id="1b95f9029a3fc7d0b2658fec7424c258eef5ff21" userID="1474709007" userName="陈炎" dateTime="2026-06-04T02:01:52" isNormal="0">
            <s:text>
              <s:r>
                <s:t xml:space="preserve">新客版</s:t>
              </s:r>
            </s:text>
          </item>
        </commentChain>
      </unresolved>
      <resolved/>
    </commentChains>
    <commentChains s:ref="BH1704" rgbClr="FF0000">
      <unresolved>
        <commentChain chainId="6ecd62c7894b1759aa5663c5b141236640c167ce">
          <item id="34be194a0105a89d59d96e0bacf8bcb64a405f55" userID="1474709007" userName="陈炎" dateTime="2026-06-04T02:02:07" isNormal="0">
            <s:text>
              <s:r>
                <s:t xml:space="preserve">新客版</s:t>
              </s:r>
            </s:text>
          </item>
        </commentChain>
      </unresolved>
      <resolved/>
    </commentChains>
    <commentChains s:ref="BI1704" rgbClr="FF0000">
      <unresolved>
        <commentChain chainId="657e1e6c65d07c342d1c5ad35bcfb8e7fd351069">
          <item id="c46aa623b4d7aa29a10157fc8f1807b7d2f80efa" userID="1474709007" userName="陈炎" dateTime="2026-06-04T02:02:16" isNormal="0">
            <s:text>
              <s:r>
                <s:t xml:space="preserve">新客版</s:t>
              </s:r>
            </s:text>
          </item>
        </commentChain>
      </unresolved>
      <resolved/>
    </commentChains>
    <commentChains s:ref="BJ1704" rgbClr="FF0000">
      <unresolved>
        <commentChain chainId="13c2a7506c686678caae162f04c717d115e20bf5">
          <item id="ef806cb8084c85bc93829aadc6b3ba117d7e46e3" userID="1474709007" userName="陈炎" dateTime="2026-06-04T02:02:27" isNormal="0">
            <s:text>
              <s:r>
                <s:t xml:space="preserve">新客版</s:t>
              </s:r>
            </s:text>
          </item>
        </commentChain>
      </unresolved>
      <resolved/>
    </commentChains>
    <commentChains s:ref="AI1705" rgbClr="FF0000">
      <unresolved>
        <commentChain chainId="149c4b7b4261710444fac342378a9ca27b4e1b79">
          <item id="f810aa1845fd57539e4f3ec65423f9a9152e8ba2" userID="1851561945" userName="石玉珍" dateTime="2026-07-17T00:50:51" isNormal="0">
            <s:text>
              <s:r>
                <s:t xml:space="preserve">1001900 7/16 15028pcs</s:t>
              </s:r>
            </s:text>
          </item>
        </commentChain>
      </unresolved>
      <resolved/>
    </commentChains>
    <commentChains s:ref="AL1705" rgbClr="FF0000">
      <unresolved>
        <commentChain chainId="ba7b189b8ef38ebe206197624b3294c6bc036114">
          <item id="93e3d44f29cc2070c670ae38dc6dce3133a1fb65" userID="1851561945" userName="石玉珍" dateTime="2026-07-06T12:38:54" isNormal="0">
            <s:text>
              <s:r>
                <s:t xml:space="preserve">7/6 进口商贴纸 15028pcs
UPC贴纸 15028pcs</s:t>
              </s:r>
            </s:text>
          </item>
        </commentChain>
      </unresolved>
      <resolved/>
    </commentChains>
    <commentChains s:ref="AI1706" rgbClr="FF0000">
      <unresolved>
        <commentChain chainId="61f981953bc07647d9e2608025911d708c1a1791">
          <item id="d2a10907f951fef2e68cbdb64766c8d7c9bf495a" userID="1851561945" userName="石玉珍" dateTime="2026-07-17T01:22:25" isNormal="0">
            <s:text>
              <s:r>
                <s:t xml:space="preserve">1001886 7/16 5000pcs</s:t>
              </s:r>
            </s:text>
          </item>
        </commentChain>
      </unresolved>
      <resolved/>
    </commentChains>
    <commentChains s:ref="AL1706" rgbClr="FF0000">
      <unresolved>
        <commentChain chainId="705e7fac06045556cbc4329dab8c987984c4e7cd">
          <item id="99d24073aa570b229812df922d1b1e585ac0c791" userID="1851561945" userName="石玉珍" dateTime="2026-07-10T14:12:38" isNormal="0">
            <s:text>
              <s:r>
                <s:t xml:space="preserve">7/10 冰棒款-说明书荷兰语贴纸 5000pcs
蛋糕款-说明书荷兰语贴纸 5000pcs
布丁款-说明书荷兰语贴纸 5000pcs</s:t>
              </s:r>
            </s:text>
          </item>
        </commentChain>
      </unresolved>
      <resolved/>
    </commentChains>
    <commentChains s:ref="AI1707" rgbClr="FF0000">
      <unresolved>
        <commentChain chainId="ffe9f97af3164ccc43be47606f90c73112664c07">
          <item id="7cd9f08e01e3025430226f450cee6d24dacf9367" userID="1851561945" userName="石玉珍" dateTime="2026-07-15T12:49:37" isNormal="0">
            <s:text>
              <s:r>
                <s:t xml:space="preserve">1001912 7/15 59000pcs</s:t>
              </s:r>
            </s:text>
          </item>
        </commentChain>
      </unresolved>
      <resolved/>
    </commentChains>
    <commentChains s:ref="AL1707" rgbClr="FF0000">
      <unresolved>
        <commentChain chainId="1e3f7d1f6bb07bf1d2041058d3e488cb729d45dd">
          <item id="998c5208cccefa6ccc13e39714a54f864ba80abe" userID="1851561945" userName="石玉珍" dateTime="2026-07-07T13:26:38" isNormal="0">
            <s:text>
              <s:r>
                <s:t xml:space="preserve">7/7 进口商贴纸 59000pcs
空白贴纸 11800pcs</s:t>
              </s:r>
            </s:text>
          </item>
        </commentChain>
      </unresolved>
      <resolved/>
    </commentChains>
    <commentChains s:ref="AI1708" rgbClr="FF0000">
      <unresolved>
        <commentChain chainId="1e102ad0779f4fc38b9f57ff335e5fbfd60ae87e">
          <item id="8eba2b04a0b4086cb9a907d91991a66250b2b7b8" userID="1851561945" userName="石玉珍" dateTime="2026-07-17T00:58:36" isNormal="0">
            <s:text>
              <s:r>
                <s:t xml:space="preserve">1001903 7/16 2700pcs</s:t>
              </s:r>
            </s:text>
          </item>
          <item id="9e065e95e8657da85b4cc3b55fa1a4d002b4d6c8" userID="1851561945" userName="石玉珍" dateTime="2026-07-17T01:20:43" isNormal="0">
            <s:text>
              <s:r>
                <s:t xml:space="preserve">1001886 7/16 3300pcs</s:t>
              </s:r>
            </s:text>
          </item>
        </commentChain>
      </unresolved>
      <resolved/>
    </commentChains>
    <commentChains s:ref="AL1708" rgbClr="FF0000">
      <unresolved>
        <commentChain chainId="c1c27f86d2836483b7d020f7618b1dfdfae556bd">
          <item id="b7b7036db9b2e1b6d61a138231db74df7f8a0d6b" userID="1851561945" userName="石玉珍" dateTime="2026-07-04T13:36:28" isNormal="0">
            <s:text>
              <s:r>
                <s:t xml:space="preserve">7/3 进口商贴纸 6000pcs</s:t>
              </s:r>
            </s:text>
          </item>
          <item id="80b7ce4c2eaca8a4baaa39e7f848070860502873" userID="1851561945" userName="石玉珍" dateTime="2026-07-04T13:36:53" isNormal="0">
            <s:text>
              <s:r>
                <s:t xml:space="preserve">UPC贴纸 6000pcs</s:t>
              </s:r>
            </s:text>
          </item>
          <item id="563093c8c4ad74c1fa953221ae3e01944ace047c" userID="1851561945" userName="石玉珍" dateTime="2026-07-06T01:31:37" isNormal="0">
            <s:text>
              <s:r>
                <s:t xml:space="preserve">7/4 外箱贴纸 240pcs</s:t>
              </s:r>
            </s:text>
          </item>
        </commentChain>
      </unresolved>
      <resolved/>
    </commentChains>
    <commentChains s:ref="AI1709" rgbClr="FF0000">
      <unresolved>
        <commentChain chainId="8a2b4e3bedc1e4417a846e6b561a37022b9823da">
          <item id="739facb732a4a60002b20d3e9ae1850b5385ae32" userID="1851561945" userName="石玉珍" dateTime="2026-07-09T02:30:53" isNormal="0">
            <s:text>
              <s:r>
                <s:t xml:space="preserve">2201262 7/8 36pcs</s:t>
              </s:r>
            </s:text>
          </item>
        </commentChain>
      </unresolved>
      <resolved/>
    </commentChains>
    <commentChains s:ref="AL1709" rgbClr="FF0000">
      <unresolved>
        <commentChain chainId="37d7cf6361a285087af007390d4ad169eefe6a87">
          <item id="f0999cd1d280d6f1b3e2a51ef2dc995e4c50d0d9" userID="1851561945" userName="石玉珍" dateTime="2026-07-01T13:13:25" isNormal="0">
            <s:text>
              <s:r>
                <s:t xml:space="preserve">7/1 客供亚马逊外箱贴纸 3pcs</s:t>
              </s:r>
            </s:text>
          </item>
        </commentChain>
      </unresolved>
      <resolved/>
    </commentChains>
    <commentChains s:ref="AI1710" rgbClr="FF0000">
      <unresolved>
        <commentChain chainId="4354e24472e8d495d4f2819468fa7a8f8c51879e">
          <item id="95249e0bd412f332a5a2a017b4e0d58f303a53ba" userID="1851561945" userName="石玉珍" dateTime="2026-07-09T02:30:59" isNormal="0">
            <s:text>
              <s:r>
                <s:t xml:space="preserve">2201262 7/8 24pcs</s:t>
              </s:r>
            </s:text>
          </item>
        </commentChain>
      </unresolved>
      <resolved/>
    </commentChains>
    <commentChains s:ref="AL1710" rgbClr="FF0000">
      <unresolved>
        <commentChain chainId="b92443caf00b1b13c5e0f33f9ce167725547978b">
          <item id="e2693e9eeeb0b20c64b54d7c652d80547e8597c5" userID="1851561945" userName="石玉珍" dateTime="2026-07-01T13:13:31" isNormal="0">
            <s:text>
              <s:r>
                <s:t xml:space="preserve">7/1 客供亚马逊外箱贴纸 2pcs</s:t>
              </s:r>
            </s:text>
          </item>
        </commentChain>
      </unresolved>
      <resolved/>
    </commentChains>
    <commentChains s:ref="AI1711" rgbClr="FF0000">
      <unresolved>
        <commentChain chainId="bcfd0ba66b7bda2687a4b940cb358c384cbf4da5">
          <item id="76ed33ac199d793ba8d8819097c2f01ece957b02" userID="1851561945" userName="石玉珍" dateTime="2026-07-09T02:31:05" isNormal="0">
            <s:text>
              <s:r>
                <s:t xml:space="preserve">2201262 7/8 12pcs</s:t>
              </s:r>
            </s:text>
          </item>
        </commentChain>
      </unresolved>
      <resolved/>
    </commentChains>
    <commentChains s:ref="AL1711" rgbClr="FF0000">
      <unresolved>
        <commentChain chainId="af0d97385f0b396e0f1d63c3d923c5340cb32ca1">
          <item id="239cb361e6a5de39a36c0d56cee4646edeccb79f" userID="1851561945" userName="石玉珍" dateTime="2026-07-01T13:13:36" isNormal="0">
            <s:text>
              <s:r>
                <s:t xml:space="preserve">7/1 客供亚马逊外箱贴纸 1pcs</s:t>
              </s:r>
            </s:text>
          </item>
        </commentChain>
      </unresolved>
      <resolved/>
    </commentChains>
    <commentChains s:ref="AI1712" rgbClr="FF0000">
      <unresolved>
        <commentChain chainId="be68aef9db671d8f7582227d32fa74546e520e03">
          <item id="2857bbcc3da2cf8215efeba17418d05bf35ebe23" userID="1851561945" userName="石玉珍" dateTime="2026-07-09T02:31:08" isNormal="0">
            <s:text>
              <s:r>
                <s:t xml:space="preserve">2201262 7/8 36pcs</s:t>
              </s:r>
            </s:text>
          </item>
        </commentChain>
      </unresolved>
      <resolved/>
    </commentChains>
    <commentChains s:ref="AL1712" rgbClr="FF0000">
      <unresolved>
        <commentChain chainId="df54bd3cfbf4c1a2cc092a363d6c2e0e67d8160e">
          <item id="e9dd1f704d4d5880677bffb039b707c36a73d4af" userID="1851561945" userName="石玉珍" dateTime="2026-07-01T13:13:41" isNormal="0">
            <s:text>
              <s:r>
                <s:t xml:space="preserve">7/1 客供亚马逊外箱贴纸 3pcs</s:t>
              </s:r>
            </s:text>
          </item>
        </commentChain>
      </unresolved>
      <resolved/>
    </commentChains>
    <commentChains s:ref="AI1713" rgbClr="FF0000">
      <unresolved>
        <commentChain chainId="a7d4b1ae03122f7de531e5d099d5b4ec68399d6c">
          <item id="ee1d0fa483ecf5bd22218528c5b73b86d27f1a34" userID="1851561945" userName="石玉珍" dateTime="2026-07-09T02:31:14" isNormal="0">
            <s:text>
              <s:r>
                <s:t xml:space="preserve">2201262 7/8 12pcs</s:t>
              </s:r>
            </s:text>
          </item>
        </commentChain>
      </unresolved>
      <resolved/>
    </commentChains>
    <commentChains s:ref="AL1713" rgbClr="FF0000">
      <unresolved>
        <commentChain chainId="7de07dac82e057b393d8d955a79cc90c245407d1">
          <item id="73f4126041b4d4a57525af17fd9beda8d5c8a907" userID="1851561945" userName="石玉珍" dateTime="2026-07-01T13:13:46" isNormal="0">
            <s:text>
              <s:r>
                <s:t xml:space="preserve">7/1 客供亚马逊外箱贴纸 1pcs</s:t>
              </s:r>
            </s:text>
          </item>
        </commentChain>
      </unresolved>
      <resolved/>
    </commentChains>
    <commentChains s:ref="AI1714" rgbClr="FF0000">
      <unresolved>
        <commentChain chainId="c6012c21623cd66acd150daa9c9f2e6b13eb997d">
          <item id="a5d16fa28483ed8b3aa395c1ed66f37531becc6a" userID="1851561945" userName="石玉珍" dateTime="2026-07-09T02:31:19" isNormal="0">
            <s:text>
              <s:r>
                <s:t xml:space="preserve">2201262 7/8 48pcs</s:t>
              </s:r>
            </s:text>
          </item>
        </commentChain>
      </unresolved>
      <resolved/>
    </commentChains>
    <commentChains s:ref="AL1714" rgbClr="FF0000">
      <unresolved>
        <commentChain chainId="4b4b7a20f33b343a32a2466133fdce96adcccb19">
          <item id="419b60364904043d38a8fd97a02627fb2f372cfa" userID="1851561945" userName="石玉珍" dateTime="2026-07-01T13:13:51" isNormal="0">
            <s:text>
              <s:r>
                <s:t xml:space="preserve">7/1 客供亚马逊外箱贴纸 4pcs</s:t>
              </s:r>
            </s:text>
          </item>
        </commentChain>
      </unresolved>
      <resolved/>
    </commentChains>
    <commentChains s:ref="AI1715" rgbClr="FF0000">
      <unresolved>
        <commentChain chainId="7ef29213e854daccece7fed1e8d2b25e2cb468c6">
          <item id="ae3c47c25d7c622a9440f974235aefc04200596f" userID="1851561945" userName="石玉珍" dateTime="2026-07-09T02:31:23" isNormal="0">
            <s:text>
              <s:r>
                <s:t xml:space="preserve">2201262 7/8 12pcs</s:t>
              </s:r>
            </s:text>
          </item>
        </commentChain>
      </unresolved>
      <resolved/>
    </commentChains>
    <commentChains s:ref="AL1715" rgbClr="FF0000">
      <unresolved>
        <commentChain chainId="409d97088825a783cd9db90f1bc57a130d2b645a">
          <item id="1a464eca79d2c9e3c920dc32c247cf883123fcd2" userID="1851561945" userName="石玉珍" dateTime="2026-07-01T13:13:55" isNormal="0">
            <s:text>
              <s:r>
                <s:t xml:space="preserve">7/1 客供亚马逊外箱贴纸 1pcs</s:t>
              </s:r>
            </s:text>
          </item>
        </commentChain>
      </unresolved>
      <resolved/>
    </commentChains>
    <commentChains s:ref="AI1716" rgbClr="FF0000">
      <unresolved>
        <commentChain chainId="5a16a33093702e534094ef6167f46671fcbdcf6e">
          <item id="e07cc1354765ef014f5615ade7df0e63992c2129" userID="1851561945" userName="石玉珍" dateTime="2026-07-09T02:31:29" isNormal="0">
            <s:text>
              <s:r>
                <s:t xml:space="preserve">2201262 7/8 216pcs</s:t>
              </s:r>
            </s:text>
          </item>
        </commentChain>
      </unresolved>
      <resolved/>
    </commentChains>
    <commentChains s:ref="AL1716" rgbClr="FF0000">
      <unresolved>
        <commentChain chainId="6dbae6012c2f7527a2e78638fb2fe8283f42eccb">
          <item id="ac59966c8204a7626a7ce8e0f74216f5477ef502" userID="1851561945" userName="石玉珍" dateTime="2026-07-01T13:14:00" isNormal="0">
            <s:text>
              <s:r>
                <s:t xml:space="preserve">7/1 客供亚马逊外箱贴纸 18pcs</s:t>
              </s:r>
            </s:text>
          </item>
        </commentChain>
      </unresolved>
      <resolved/>
    </commentChains>
    <commentChains s:ref="AI1717" rgbClr="FF0000">
      <unresolved>
        <commentChain chainId="cdcc7cd61ee497b60b453f498729d24662ef0da3">
          <item id="19790628fdcfef3bf1af18f9c85f508cb1054de4" userID="1851561945" userName="石玉珍" dateTime="2026-07-09T02:25:26" isNormal="0">
            <s:text>
              <s:r>
                <s:t xml:space="preserve">2201259 7/8 1248pcs</s:t>
              </s:r>
            </s:text>
          </item>
        </commentChain>
      </unresolved>
      <resolved/>
    </commentChains>
    <commentChains s:ref="AL1717" rgbClr="FF0000">
      <unresolved>
        <commentChain chainId="757eb5ae2f739097320f347a7dd20862bc033b53">
          <item id="93ef83fa2f217019d8308eb6fc07279da7eee85f" userID="1851561945" userName="石玉珍" dateTime="2026-07-04T13:30:30" isNormal="0">
            <s:text>
              <s:r>
                <s:t xml:space="preserve">7/3 客供亚马逊外箱贴纸 104pcs</s:t>
              </s:r>
            </s:text>
          </item>
        </commentChain>
      </unresolved>
      <resolved/>
    </commentChains>
    <commentChains s:ref="AI1718" rgbClr="FF0000">
      <unresolved>
        <commentChain chainId="f31d58f43988df48c87dfa10ea61c51741d774f4">
          <item id="3ea205beaaae746c15044852fa59f418bd9121c7" userID="1851561945" userName="石玉珍" dateTime="2026-07-09T02:25:59" isNormal="0">
            <s:text>
              <s:r>
                <s:t xml:space="preserve"> 2201259 7/8 504pcs</s:t>
              </s:r>
            </s:text>
          </item>
        </commentChain>
      </unresolved>
      <resolved/>
    </commentChains>
    <commentChains s:ref="AL1718" rgbClr="FF0000">
      <unresolved>
        <commentChain chainId="3402d884436e44d7cfc4e95a285bdce18af1cbaf">
          <item id="f683d226c1eff3f5f5fee9302dec6dd8a22bd912" userID="1851561945" userName="石玉珍" dateTime="2026-07-04T13:31:15" isNormal="0">
            <s:text>
              <s:r>
                <s:t xml:space="preserve">7/3 客供亚马逊外箱贴纸 504pcs</s:t>
              </s:r>
            </s:text>
          </item>
        </commentChain>
      </unresolved>
      <resolved/>
    </commentChains>
    <commentChains s:ref="AI1719" rgbClr="FF0000">
      <unresolved>
        <commentChain chainId="d375bb94f2aa744210bfb5dc995d34104b363017">
          <item id="31ee4d1f451f35616615d2ba25d439e4cca42244" userID="1851561945" userName="石玉珍" dateTime="2026-07-17T00:52:37" isNormal="0">
            <s:text>
              <s:r>
                <s:t xml:space="preserve">1001903 7/16 12200pcs</s:t>
              </s:r>
            </s:text>
          </item>
        </commentChain>
      </unresolved>
      <resolved/>
    </commentChains>
    <commentChains s:ref="AL1719" rgbClr="FF0000">
      <unresolved>
        <commentChain chainId="7fa87605571158b6b525b80475cc7a2f2cb498af">
          <item id="d10ce96f46b3e20052628469508c18d4bd9f8626" isNormal="1">
            <s:text>
              <s:r>
                <s:t xml:space="preserve">Administrator:
4/7 UPC条码贴纸 12200pcs
</s:t>
              </s:r>
            </s:text>
          </item>
        </commentChain>
      </unresolved>
      <resolved/>
    </commentChains>
    <commentChains s:ref="AI1720" rgbClr="FF0000">
      <unresolved>
        <commentChain chainId="d42e777bb908b8ba3955a587ee4a460fef8e33e6">
          <item id="80abb45277390b464ede2bdaa05b56074be87cb2" userID="1851561945" userName="石玉珍" dateTime="2026-07-17T00:52:41" isNormal="0">
            <s:text>
              <s:r>
                <s:t xml:space="preserve">1001903 7/16 12200pcs</s:t>
              </s:r>
            </s:text>
          </item>
        </commentChain>
      </unresolved>
      <resolved/>
    </commentChains>
    <commentChains s:ref="AL1720" rgbClr="FF0000">
      <unresolved>
        <commentChain chainId="8498de5f12a72ee2b7b1b1a9814b78ed72a7cf30">
          <item id="2cd6ba2a448914157c31559be93358b8d0b99355" isNormal="1">
            <s:text>
              <s:r>
                <s:t xml:space="preserve">Administrator:
4/7 UPC条码贴纸 12200pcs</s:t>
              </s:r>
            </s:text>
          </item>
        </commentChain>
      </unresolved>
      <resolved/>
    </commentChains>
    <commentChains s:ref="AI1721" rgbClr="FF0000">
      <unresolved>
        <commentChain chainId="34b88651f1f051eb74057877de34fb06c8dc4002">
          <item id="2453cd1034b355bddd1a8e1e6f23b6978b5cf218" userID="1851561945" userName="石玉珍" dateTime="2026-07-17T00:53:19" isNormal="0">
            <s:text>
              <s:r>
                <s:t xml:space="preserve">1001903 7/16 6000pcs</s:t>
              </s:r>
            </s:text>
          </item>
        </commentChain>
      </unresolved>
      <resolved/>
    </commentChains>
    <commentChains s:ref="AL1721" rgbClr="FF0000">
      <unresolved>
        <commentChain chainId="06feae1f030a5b5f8f296ba67e8886173e4182be">
          <item id="4886773c708760a8dbebdcd4ab1ffc2ba0185caa" userID="1851561945" userName="石玉珍" dateTime="2026-06-11T09:24:36" isNormal="0">
            <s:text>
              <s:r>
                <s:t xml:space="preserve">6/10 西班牙环保标贴纸 6000pcs</s:t>
              </s:r>
            </s:text>
          </item>
        </commentChain>
      </unresolved>
      <resolved/>
    </commentChains>
    <commentChains s:ref="AI1722" rgbClr="FF0000">
      <unresolved>
        <commentChain chainId="797ef0bdd2881a62710de7a383532c774cf922f3">
          <item id="ae104cc2d4ed793ac93e9e4a2d9f9df15fce923f" userID="1851561945" userName="石玉珍" dateTime="2026-07-17T00:53:45" isNormal="0">
            <s:text>
              <s:r>
                <s:t xml:space="preserve">1001903 7/16 200pcs</s:t>
              </s:r>
            </s:text>
          </item>
        </commentChain>
      </unresolved>
      <resolved/>
    </commentChains>
    <commentChains s:ref="AL1722" rgbClr="FF0000">
      <unresolved>
        <commentChain chainId="f3d714c2f3926cabeeeaf102a183ca5a38c90f2a">
          <item id="850cf254553afd46501a2ea78b27c429c0644483" userID="1851561945" userName="石玉珍" dateTime="2026-07-06T12:51:58" isNormal="0">
            <s:text>
              <s:r>
                <s:t xml:space="preserve">7/6 法国回收logo贴纸 200pcs</s:t>
              </s:r>
            </s:text>
          </item>
        </commentChain>
      </unresolved>
      <resolved/>
    </commentChains>
    <commentChains s:ref="AI1723" rgbClr="FF0000">
      <unresolved>
        <commentChain chainId="ed8539cd259c056ffc636d7cef172f77fe36afe0">
          <item id="bce08a87709167fa9d9ee64c4195dcffd57bb7ee" userID="1851561945" userName="石玉珍" dateTime="2026-07-17T01:26:13" isNormal="0">
            <s:text>
              <s:r>
                <s:t xml:space="preserve">1001886 7/16 720pcs</s:t>
              </s:r>
            </s:text>
          </item>
        </commentChain>
      </unresolved>
      <resolved/>
    </commentChains>
    <commentChains s:ref="AL1723" rgbClr="FF0000">
      <unresolved>
        <commentChain chainId="bc4d2fdd26f37c7a7c2723d227a30f64ef5e466d">
          <item id="b5a462c85b148ddb2cdaac7a799710dc9925ec4a" userID="1851561945" userName="石玉珍" dateTime="2026-07-06T12:59:44" isNormal="0">
            <s:text>
              <s:r>
                <s:t xml:space="preserve">7/6 进口商内容贴纸/西班牙环保 720pcs</s:t>
              </s:r>
            </s:text>
          </item>
        </commentChain>
      </unresolved>
      <resolved/>
    </commentChains>
    <commentChains s:ref="AI1724" rgbClr="FF0000">
      <unresolved>
        <commentChain chainId="a37d1b42adb8908452717663ea4aaa46b9543a56">
          <item id="6eb40ccddf6e74ba3d94986737ccd77a1e834566" userID="1851561945" userName="石玉珍" dateTime="2026-07-17T00:48:39" isNormal="0">
            <s:text>
              <s:r>
                <s:t xml:space="preserve">1001900 7/16 3200pcs</s:t>
              </s:r>
            </s:text>
          </item>
        </commentChain>
      </unresolved>
      <resolved/>
    </commentChains>
    <commentChains s:ref="AI1725" rgbClr="FF0000">
      <unresolved>
        <commentChain chainId="7432c470fedb1238fa0a76ce1ca1ba8e3e0e41e2">
          <item id="40b018272119d61ccae2a53d03b9566957ec9d1c" userID="1851561945" userName="石玉珍" dateTime="2026-07-17T00:51:48" isNormal="0">
            <s:text>
              <s:r>
                <s:t xml:space="preserve">1001900 7/16 9750pcs</s:t>
              </s:r>
            </s:text>
          </item>
        </commentChain>
      </unresolved>
      <resolved/>
    </commentChains>
    <commentChains s:ref="AI1726" rgbClr="FF0000">
      <unresolved>
        <commentChain chainId="58bde6b6c673942ec91f3b5f4c27235f29698753">
          <item id="fba8ebf46e398bb13109935d385e0343ccc4c87d" userID="1851561945" userName="石玉珍" dateTime="2026-07-17T00:51:54" isNormal="0">
            <s:text>
              <s:r>
                <s:t xml:space="preserve">1001900 7/16 5252pcs</s:t>
              </s:r>
            </s:text>
          </item>
        </commentChain>
      </unresolved>
      <resolved/>
    </commentChains>
    <commentChains s:ref="AI1727" rgbClr="FF0000">
      <unresolved>
        <commentChain chainId="a4617b31f3782379938eff66196ebee0c9ab7385">
          <item id="84907e90dfa30032dce27af2712d0bc1ae3f0ca3" userID="1851561945" userName="石玉珍" dateTime="2026-07-17T00:58:13" isNormal="0">
            <s:text>
              <s:r>
                <s:t xml:space="preserve">1001903 7/16 2400pcs</s:t>
              </s:r>
            </s:text>
          </item>
        </commentChain>
      </unresolved>
      <resolved/>
    </commentChains>
    <commentChains s:ref="AL1727" rgbClr="FF0000">
      <unresolved>
        <commentChain chainId="ab8bb54db00c14c9e7f9964ab9c78065a6cffb4a">
          <item id="b2a33fb0d59cf5066755cee3c8fd758af790c8fc" userID="1851561945" userName="石玉珍" dateTime="2026-07-08T11:19:07" isNormal="0">
            <s:text>
              <s:r>
                <s:t xml:space="preserve">7/8 进口商贴纸 2400pcs</s:t>
              </s:r>
            </s:text>
          </item>
        </commentChain>
      </unresolved>
      <resolved/>
    </commentChains>
    <commentChains s:ref="AI1728" rgbClr="FF0000">
      <unresolved>
        <commentChain chainId="18f9548ec2b20c711bede3f99fc9396bc3cb5963">
          <item id="6b790f2fd0c141e989a44a10ccd018b249de00a9" userID="1851561945" userName="石玉珍" dateTime="2026-07-17T00:51:17" isNormal="0">
            <s:text>
              <s:r>
                <s:t xml:space="preserve">1001900 7/16 520pcs</s:t>
              </s:r>
            </s:text>
          </item>
        </commentChain>
      </unresolved>
      <resolved/>
    </commentChains>
    <commentChains s:ref="AL1728" rgbClr="FF0000">
      <unresolved>
        <commentChain chainId="d1949a481c9160efc0a80b7de09411c9fb3f6ca4">
          <item id="10e3405c4caff0436827c868fc75eab03fe429e3" userID="1851561945" userName="石玉珍" dateTime="2026-06-24T01:14:06" isNormal="0">
            <s:text>
              <s:r>
                <s:t xml:space="preserve">6/23 进口商贴纸 520pcs
UPC条码贴纸3 520pcs</s:t>
              </s:r>
            </s:text>
          </item>
        </commentChain>
      </unresolved>
      <resolved/>
    </commentChains>
    <commentChains s:ref="AI1729" rgbClr="FF0000">
      <unresolved>
        <commentChain chainId="fd6ec598b414458d8eb0be78f456b276b652fc73">
          <item id="123827276e534a0999d3d8b05311d542e51cd02f" userID="1851561945" userName="石玉珍" dateTime="2026-07-15T13:11:24" isNormal="0">
            <s:text>
              <s:r>
                <s:t xml:space="preserve">1001924 7/15 4575pcs</s:t>
              </s:r>
            </s:text>
          </item>
        </commentChain>
      </unresolved>
      <resolved/>
    </commentChains>
    <commentChains s:ref="AI1730" rgbClr="FF0000">
      <unresolved>
        <commentChain chainId="34f8e2a13032efb603da43fcac425a85760f70e7">
          <item id="80758ff89ca9bf4e6965765ca1b58b0bf44fb5ee" userID="1851561945" userName="石玉珍" dateTime="2026-07-15T13:11:32" isNormal="0">
            <s:text>
              <s:r>
                <s:t xml:space="preserve">1001924 7/15 2475pcs</s:t>
              </s:r>
            </s:text>
          </item>
        </commentChain>
      </unresolved>
      <resolved/>
    </commentChains>
    <commentChains s:ref="AI1731" rgbClr="FF0000">
      <unresolved>
        <commentChain chainId="062d80d2f11760cf4f2b92a27bc8acdf19d0ec1a">
          <item id="40ac1f03c6cf625a69384a96fe9b7945d3284998" userID="1851561945" userName="石玉珍" dateTime="2026-07-17T00:50:06" isNormal="0">
            <s:text>
              <s:r>
                <s:t xml:space="preserve">1001900 7/16 2475pcs</s:t>
              </s:r>
            </s:text>
          </item>
        </commentChain>
      </unresolved>
      <resolved/>
    </commentChains>
    <commentChains s:ref="AI1732" rgbClr="FF0000">
      <unresolved>
        <commentChain chainId="42cea6e63c09fc8f3666eea85fae0c5f2b81a51e">
          <item id="acdd5f2ca151f70c452d6ebea314b7ad80639dc1" userID="1851561945" userName="石玉珍" dateTime="2026-07-17T00:50:11" isNormal="0">
            <s:text>
              <s:r>
                <s:t xml:space="preserve">1001900 7/16 1325pcs</s:t>
              </s:r>
            </s:text>
          </item>
        </commentChain>
      </unresolved>
      <resolved/>
    </commentChains>
    <commentChains s:ref="AI1733" rgbClr="FF0000">
      <unresolved>
        <commentChain chainId="2d4d2319f7fa98ee2ebcca91e24828d041fb3167">
          <item id="7b9856465253309c6b87133c35ebcb01a60549b5" userID="1851561945" userName="石玉珍" dateTime="2026-07-17T01:26:38" isNormal="0">
            <s:text>
              <s:r>
                <s:t xml:space="preserve">1001886 7/16 910pcs</s:t>
              </s:r>
            </s:text>
          </item>
        </commentChain>
      </unresolved>
      <resolved/>
    </commentChains>
    <commentChains s:ref="AI1734" rgbClr="FF0000">
      <unresolved>
        <commentChain chainId="8fd265c8d74f92eb08d2b77e41c573140cb1ff5d">
          <item id="73a54934ae09513a24788587108d02e85f986160" userID="1851561945" userName="石玉珍" dateTime="2026-07-18T12:28:17" isNormal="0">
            <s:text>
              <s:r>
                <s:t xml:space="preserve">1001866 7/18 2100pcs</s:t>
              </s:r>
            </s:text>
          </item>
        </commentChain>
      </unresolved>
      <resolved/>
    </commentChains>
    <commentChains s:ref="AL1734" rgbClr="FF0000">
      <unresolved>
        <commentChain chainId="1dce9ac45e5101ae297802cbdd621ab97e813b60">
          <item id="7a4d4a39aa2036f914c6077ec36f9defd1a9f4a0" userID="1851561945" userName="石玉珍" dateTime="2026-07-08T11:22:42" isNormal="0">
            <s:text>
              <s:r>
                <s:t xml:space="preserve">7/8 条码贴纸 2100pcs</s:t>
              </s:r>
            </s:text>
          </item>
          <item id="8bfc41432236bb3c9eb8ddc980df0eeb5f4251a2" userID="1851561945" userName="石玉珍" dateTime="2026-07-08T11:23:11" isNormal="0">
            <s:text>
              <s:r>
                <s:t xml:space="preserve">进口商贴纸 2100pcs</s:t>
              </s:r>
            </s:text>
          </item>
        </commentChain>
      </unresolved>
      <resolved/>
    </commentChains>
    <commentChains s:ref="BW1734" rgbClr="FF0000">
      <unresolved>
        <commentChain chainId="709b9be54fd88413619f58e144e3407705ea146e">
          <item id="2ead4329426df2852dd444ea85670b5c99acb8ab" isNormal="1">
            <s:text>
              <s:r>
                <s:t xml:space="preserve">C版本收藏指南</s:t>
              </s:r>
            </s:text>
          </item>
        </commentChain>
      </unresolved>
      <resolved/>
    </commentChains>
    <commentChains s:ref="AI1735" rgbClr="FF0000">
      <unresolved>
        <commentChain chainId="c2bd1ee8d8f80e83a9a0c0215b53043e37e7a614">
          <item id="d1439329b6b0b240966bd40cf67ec79c5c478a9d" userID="1851561945" userName="石玉珍" dateTime="2026-07-18T12:39:10" isNormal="0">
            <s:text>
              <s:r>
                <s:t xml:space="preserve">2801317 7/18 3000pcs</s:t>
              </s:r>
            </s:text>
          </item>
        </commentChain>
      </unresolved>
      <resolved/>
    </commentChains>
    <commentChains s:ref="AL1735" rgbClr="FF0000">
      <unresolved>
        <commentChain chainId="97847680987ba9b839142574cc22e056e023b167">
          <item id="ca4689fd3e9407cb637c88a9aea660a1f6590193" userID="1851561945" userName="石玉珍" dateTime="2026-06-27T02:04:24" isNormal="0">
            <s:text>
              <s:r>
                <s:t xml:space="preserve">6/26 客供价格贴纸 3183pcs</s:t>
              </s:r>
            </s:text>
          </item>
          <item id="1c116e9e73f070298ef23c42a74c0da1955d4aed" userID="1851561945" userName="石玉珍" dateTime="2026-06-29T12:06:29" isNormal="0">
            <s:text>
              <s:r>
                <s:t xml:space="preserve">6/29 UCC外箱贴纸 375pcs</s:t>
              </s:r>
            </s:text>
          </item>
        </commentChain>
      </unresolved>
      <resolved/>
    </commentChains>
    <commentChains s:ref="AI1736" rgbClr="FF0000">
      <unresolved>
        <commentChain chainId="6378599473d0c82bcb4936bf813a1074bdf1d28b">
          <item id="2d766788f13dc26ab6947ce76aa2610b83d7689f" userID="1851561945" userName="石玉珍" dateTime="2026-07-18T12:29:06" isNormal="0">
            <s:text>
              <s:r>
                <s:t xml:space="preserve">1001866 7/18 1500pcs</s:t>
              </s:r>
            </s:text>
          </item>
        </commentChain>
      </unresolved>
      <resolved/>
    </commentChains>
    <commentChains s:ref="AL1736" rgbClr="FF0000">
      <unresolved>
        <commentChain chainId="a3662a88f417c8f16de51a23461ba1892d50be44">
          <item id="8ab1bbcb6fc004417b5732d078e60cb8acdf04b7" userID="1851561945" userName="石玉珍" dateTime="2026-07-07T14:13:16" isNormal="0">
            <s:text>
              <s:r>
                <s:t xml:space="preserve">7/7 进口商贴纸 /UPC条码贴纸 1500pcs</s:t>
              </s:r>
            </s:text>
          </item>
        </commentChain>
      </unresolved>
      <resolved/>
    </commentChains>
    <commentChains s:ref="AI1737" rgbClr="FF0000">
      <unresolved>
        <commentChain chainId="7a1beddf984f666e4eb868ea97ba5140f17b0f6a">
          <item id="9c5a027a00ab85abedbed7bbfaf6dbc559757dc7" userID="1851561945" userName="石玉珍" dateTime="2026-07-20T01:23:38" isNormal="0">
            <s:text>
              <s:r>
                <s:t xml:space="preserve">1001775 7/18 4000pcs</s:t>
              </s:r>
            </s:text>
          </item>
        </commentChain>
      </unresolved>
      <resolved/>
    </commentChains>
    <commentChains s:ref="AL1737" rgbClr="FF0000">
      <unresolved>
        <commentChain chainId="4f68ab34867e084812c31c35f009a6a4a3b7977a">
          <item id="a8193f60a0e899114d6deb8b7e27c08ba8889b1d" userID="1851561945" userName="石玉珍" dateTime="2026-07-06T12:56:12" isNormal="0">
            <s:text>
              <s:r>
                <s:t xml:space="preserve">7/6 CONCENTRA客人logo贴纸 4000pcs
客户进口商贴纸 4000pcs</s:t>
              </s:r>
            </s:text>
          </item>
        </commentChain>
      </unresolved>
      <resolved/>
    </commentChains>
    <commentChains s:ref="AI1738" rgbClr="FF0000">
      <unresolved>
        <commentChain chainId="8a31ffef74486811bf257fcdbf57ea625f63f4eb">
          <item id="d354351ffe11a64bbe48e167f56b9dd6e1ff8a4b" userID="1851561945" userName="石玉珍" dateTime="2026-07-18T12:29:29" isNormal="0">
            <s:text>
              <s:r>
                <s:t xml:space="preserve">1001866 7/18 4277pcs</s:t>
              </s:r>
            </s:text>
          </item>
        </commentChain>
      </unresolved>
      <resolved/>
    </commentChains>
    <commentChains s:ref="AL1738" rgbClr="FF0000">
      <unresolved>
        <commentChain chainId="e9e670fa9faf5fd1b8afacb48176a1e40ec88043">
          <item id="6422954b5afabd0b24d0a6d19adb55976e89c361" userID="1851561945" userName="石玉珍" dateTime="2026-06-16T12:14:31" isNormal="0">
            <s:text>
              <s:r>
                <s:t xml:space="preserve">6/16 客供防伪帖纸 4277pcs</s:t>
              </s:r>
            </s:text>
          </item>
        </commentChain>
      </unresolved>
      <resolved/>
    </commentChains>
    <commentChains s:ref="AI1739" rgbClr="FF0000">
      <unresolved>
        <commentChain chainId="bc606d199c63efafccf26db4e3db5ecf1b4aa2f1">
          <item id="7a43d813ec22d43553e39d59c10ada9cf19faa38" userID="1851561945" userName="石玉珍" dateTime="2026-07-18T12:06:56" isNormal="0">
            <s:text>
              <s:r>
                <s:t xml:space="preserve">1001885 7/18 1300pcs</s:t>
              </s:r>
            </s:text>
          </item>
        </commentChain>
      </unresolved>
      <resolved/>
    </commentChains>
    <commentChains s:ref="AL1739" rgbClr="FF0000">
      <unresolved>
        <commentChain chainId="1590d5bf0070d8e8a659efdda0deeb520085ced8">
          <item id="ed19de91e92b04e02dd7554fbb2782de93b025dd" userID="1851561945" userName="石玉珍" dateTime="2026-06-27T02:05:49" isNormal="0">
            <s:text>
              <s:r>
                <s:t xml:space="preserve">6/26 客供外箱条码贴纸 26pcs</s:t>
              </s:r>
            </s:text>
          </item>
        </commentChain>
      </unresolved>
      <resolved/>
    </commentChains>
    <commentChains s:ref="AI1740" rgbClr="FF0000">
      <unresolved>
        <commentChain chainId="958ddf4218b901bf95182803239de715f4d6e361">
          <item id="b91b5d605289ac7fab4efaaafdd9553141b13bd0" userID="1851561945" userName="石玉珍" dateTime="2026-07-18T12:30:02" isNormal="0">
            <s:text>
              <s:r>
                <s:t xml:space="preserve">1001866 7/18 1300pcs</s:t>
              </s:r>
            </s:text>
          </item>
        </commentChain>
      </unresolved>
      <resolved/>
    </commentChains>
    <commentChains s:ref="AL1740" rgbClr="FF0000">
      <unresolved>
        <commentChain chainId="88b4f06b4d41563f16b679abc8593145f587359c">
          <item id="c756fd34b8c7461621e1f947de92cea0d073dc04" userID="1851561945" userName="石玉珍" dateTime="2026-07-08T11:20:42" isNormal="0">
            <s:text>
              <s:r>
                <s:t xml:space="preserve">7/8 UPC条码贴纸 1300pcs</s:t>
              </s:r>
            </s:text>
          </item>
          <item id="2d2aebd28a757af8c1f39bb27935029738dcc893" userID="1851561945" userName="石玉珍" dateTime="2026-07-08T11:21:52" isNormal="0">
            <s:text>
              <s:r>
                <s:t xml:space="preserve">进口商贴纸 1700pcs</s:t>
              </s:r>
            </s:text>
          </item>
        </commentChain>
      </unresolved>
      <resolved/>
    </commentChains>
    <commentChains s:ref="AI1741" rgbClr="FF0000">
      <unresolved>
        <commentChain chainId="e75b60b58479575726a449e23985cb55633afb90">
          <item id="4dd0c500564a94180336a962bad2c1f5a076be79" userID="1851561945" userName="石玉珍" dateTime="2026-07-18T12:30:08" isNormal="0">
            <s:text>
              <s:r>
                <s:t xml:space="preserve">1001866 7/18 2400pcs</s:t>
              </s:r>
            </s:text>
          </item>
        </commentChain>
      </unresolved>
      <resolved/>
    </commentChains>
    <commentChains s:ref="AL1741" rgbClr="FF0000">
      <unresolved>
        <commentChain chainId="decf3913e6c12386121e7a94622ae35b695a872b">
          <item id="db34909a8824f4b72e6cc3e324e54dc67d05b261" userID="1851561945" userName="石玉珍" dateTime="2026-07-08T11:20:54" isNormal="0">
            <s:text>
              <s:r>
                <s:t xml:space="preserve">7/8 UPC条码贴纸 2400pcs</s:t>
              </s:r>
            </s:text>
          </item>
          <item id="1981f4cbe862b3926aad6259714f14f9b60acb92" userID="1851561945" userName="石玉珍" dateTime="2026-07-08T11:21:59" isNormal="0">
            <s:text>
              <s:r>
                <s:t xml:space="preserve">进口商贴纸 2400pcs</s:t>
              </s:r>
            </s:text>
          </item>
        </commentChain>
      </unresolved>
      <resolved/>
    </commentChains>
    <commentChains s:ref="AI1742" rgbClr="FF0000">
      <unresolved>
        <commentChain chainId="54b259aeaa16c5de821a7822d2a69f65c9c20760">
          <item id="b498a9d9dfe8338c3f48016bc7d972ad30900082" userID="1851561945" userName="石玉珍" dateTime="2026-07-18T12:30:36" isNormal="0">
            <s:text>
              <s:r>
                <s:t xml:space="preserve">1001866 7/18 1200pcs</s:t>
              </s:r>
            </s:text>
          </item>
        </commentChain>
      </unresolved>
      <resolved/>
    </commentChains>
    <commentChains s:ref="AL1742" rgbClr="FF0000">
      <unresolved>
        <commentChain chainId="65bffa6ffde353dad1d4107ec689e3eef68259c3">
          <item id="ea60666f0cd9e7abc8a57b4641dd4d47435e6bc5" userID="1851561945" userName="石玉珍" dateTime="2026-07-09T08:40:12" isNormal="0">
            <s:text>
              <s:r>
                <s:t xml:space="preserve">7/9 UPC贴纸 1200pcs</s:t>
              </s:r>
            </s:text>
          </item>
          <item id="a9af25fea28efd5b372b1b03736bd60534e82d18" userID="1851561945" userName="石玉珍" dateTime="2026-07-09T08:40:22" isNormal="0">
            <s:text>
              <s:r>
                <s:t xml:space="preserve">进口商贴纸 1200pcs</s:t>
              </s:r>
            </s:text>
          </item>
        </commentChain>
      </unresolved>
      <resolved/>
    </commentChains>
    <commentChains s:ref="AI1743" rgbClr="FF0000">
      <unresolved>
        <commentChain chainId="53282c0aeb59c40041adde463b0f2b7ca0185b52">
          <item id="5e5872f9b3ead180379ed6c9c7d68b9daf45a1d2" userID="1851561945" userName="石玉珍" dateTime="2026-07-18T12:33:15" isNormal="0">
            <s:text>
              <s:r>
                <s:t xml:space="preserve">1001870 7/18 17280pcs</s:t>
              </s:r>
            </s:text>
          </item>
          <item id="ab353c85300aeb7c106928f2519a2ca2611a49a2" userID="1851561945" userName="石玉珍" dateTime="2026-07-20T01:17:14" isNormal="0">
            <s:text>
              <s:r>
                <s:t xml:space="preserve">1001871 7/18 26880pcs</s:t>
              </s:r>
            </s:text>
          </item>
        </commentChain>
      </unresolved>
      <resolved/>
    </commentChains>
    <commentChains s:ref="AL1743" rgbClr="FF0000">
      <unresolved>
        <commentChain chainId="3f103a0a0f07e3bd7efaf9053db268fd1c753707">
          <item id="dce49a9d8a06b7e0acd1e5c22582f2dc701a95d5" userID="1851561945" userName="石玉珍" dateTime="2026-06-20T13:33:45" isNormal="0">
            <s:text>
              <s:r>
                <s:t xml:space="preserve">6/20 客供防盗贴纸 46000pcs</s:t>
              </s:r>
            </s:text>
          </item>
          <item id="ff73eec0b4691ca945b1e7c3d3c699b2b0fdc1a1" userID="1851561945" userName="石玉珍" dateTime="2026-06-27T02:06:17" isNormal="0">
            <s:text>
              <s:r>
                <s:t xml:space="preserve">6/26 白色防盗贴纸 10000pcs</s:t>
              </s:r>
            </s:text>
          </item>
          <item id="634fcff81c90de045af767b9e79a74456b933f0c" userID="1851561945" userName="石玉珍" dateTime="2026-07-01T13:14:38" isNormal="0">
            <s:text>
              <s:r>
                <s:t xml:space="preserve">7/1 白色防盗贴纸 10000pcs</s:t>
              </s:r>
            </s:text>
          </item>
          <item id="8f7f7a2819f26f5afbb4335afe4399500db8ab4d" userID="1851561945" userName="石玉珍" dateTime="2026-07-06T12:58:27" isNormal="0">
            <s:text>
              <s:r>
                <s:t xml:space="preserve">7/6 彩色贴纸 7360*2pcs</s:t>
              </s:r>
            </s:text>
          </item>
        </commentChain>
      </unresolved>
      <resolved/>
    </commentChains>
    <commentChains s:ref="AI1744" rgbClr="FF0000">
      <unresolved>
        <commentChain chainId="834b29e70c3f3a73f2fbef609c48b9535ae5aaec">
          <item id="d6dee61850b978ee598aa3436bef1d17a71769b8" userID="1851561945" userName="石玉珍" dateTime="2026-07-13T01:08:30" isNormal="0">
            <s:text>
              <s:r>
                <s:t xml:space="preserve">1600544 7/11 432pcs</s:t>
              </s:r>
            </s:text>
          </item>
        </commentChain>
      </unresolved>
      <resolved/>
    </commentChains>
    <commentChains s:ref="AL1744" rgbClr="FF0000">
      <unresolved>
        <commentChain chainId="813ef38b76e84a84555d559b2ce95b8d14f2469a">
          <item id="6d473b362aaa1ae84821f9d2f12fdc80a3de7351" userID="1851561945" userName="石玉珍" dateTime="2026-06-08T12:41:27" isNormal="0">
            <s:text>
              <s:r>
                <s:t xml:space="preserve">6/8 客供RID贴纸 432pcs</s:t>
              </s:r>
            </s:text>
          </item>
          <item id="5102292b9637b0d85bf7c9249763ec5028d35c5a" userID="1851561945" userName="石玉珍" dateTime="2026-07-21T01:05:15" isNormal="0">
            <s:text>
              <s:r>
                <s:t xml:space="preserve">7/20 彩色placard贴纸 18*2pcs</s:t>
              </s:r>
            </s:text>
          </item>
        </commentChain>
      </unresolved>
      <resolved/>
    </commentChains>
    <commentChains s:ref="AI1745" rgbClr="FF0000">
      <unresolved>
        <commentChain chainId="84e19cb4dd63a99b021a859f06f935eac4279358">
          <item id="7a3aca52f2a9238156bc971b0c7f1a59123ed6ff" userID="1851561945" userName="石玉珍" dateTime="2026-07-22T01:27:07" isNormal="0">
            <s:text>
              <s:r>
                <s:t xml:space="preserve">2801331 7/21 1464pcs</s:t>
              </s:r>
            </s:text>
          </item>
          <item id="3b743fe9f23182bea4eff3d57040400458daf269" userID="1851561945" userName="石玉珍" dateTime="2026-07-22T01:50:11" isNormal="0">
            <s:text>
              <s:r>
                <s:t xml:space="preserve">2801332 7/21 36pcs</s:t>
              </s:r>
            </s:text>
          </item>
        </commentChain>
      </unresolved>
      <resolved/>
    </commentChains>
    <commentChains s:ref="AL1745" rgbClr="FF0000">
      <unresolved>
        <commentChain chainId="9be3ff6a443c5923d9315197dc34d9930a02f445">
          <item id="a98e41977a70652db4cbc78cbd4c93c78e0d7503" userID="1851561945" userName="石玉珍" dateTime="2026-06-11T09:24:47" isNormal="0">
            <s:text>
              <s:r>
                <s:t xml:space="preserve">6/10 EAN贴纸 1500pcs</s:t>
              </s:r>
            </s:text>
          </item>
          <item id="04e46a00ba24d6fd80b579fa13bcd7a35e09c019" userID="1851561945" userName="石玉珍" dateTime="2026-06-11T14:04:54" isNormal="0">
            <s:text>
              <s:r>
                <s:t xml:space="preserve">6/10 空白贴纸 3000pcs</s:t>
              </s:r>
            </s:text>
          </item>
        </commentChain>
      </unresolved>
      <resolved/>
    </commentChains>
    <commentChains s:ref="AI1746" rgbClr="FF0000">
      <unresolved>
        <commentChain chainId="00ff8969bcdd8479b254b992c6924a91872b49a9">
          <item id="e856448ae7c868e827d9a9cca57b53892c67da95" userID="1851561945" userName="石玉珍" dateTime="2026-07-22T01:37:18" isNormal="0">
            <s:text>
              <s:r>
                <s:t xml:space="preserve">2801331 7/21 186pcs</s:t>
              </s:r>
            </s:text>
          </item>
          <item id="6322744ded298a1d00c7855f4a42c2b79a53bbf2" userID="1851561945" userName="石玉珍" dateTime="2026-07-22T01:52:22" isNormal="0">
            <s:text>
              <s:r>
                <s:t xml:space="preserve">2801332 7/21 30pcs</s:t>
              </s:r>
            </s:text>
          </item>
        </commentChain>
      </unresolved>
      <resolved/>
    </commentChains>
    <commentChains s:ref="AL1746" rgbClr="FF0000">
      <unresolved>
        <commentChain chainId="d63acfeab035ce2627ca2b345663111fa7ee95c4">
          <item id="4fc5b0192908bfceea0b9f92b9a3607a75c22b70" userID="1851561945" userName="石玉珍" dateTime="2026-07-06T12:49:58" isNormal="0">
            <s:text>
              <s:r>
                <s:t xml:space="preserve">7/6 进口商内容贴/条码贴纸 216pcs </s:t>
              </s:r>
            </s:text>
          </item>
          <item id="734e2709aff4e348529d4d13b1451c130bba45e4" userID="1851561945" userName="石玉珍" dateTime="2026-07-06T13:01:28" isNormal="0">
            <s:text>
              <s:r>
                <s:t xml:space="preserve">空白贴纸 432pcs</s:t>
              </s:r>
            </s:text>
          </item>
        </commentChain>
      </unresolved>
      <resolved/>
    </commentChains>
    <commentChains s:ref="AI1747" rgbClr="FF0000">
      <unresolved>
        <commentChain chainId="988375d16d9f11563ac11f3127abbccde48db1f6">
          <item id="0376835535fc8481b7349c5570c78cc374267003" userID="1851561945" userName="石玉珍" dateTime="2026-07-23T12:52:28" isNormal="0">
            <s:text>
              <s:r>
                <s:t xml:space="preserve">1001852 7/23 204pcs</s:t>
              </s:r>
            </s:text>
          </item>
        </commentChain>
      </unresolved>
      <resolved/>
    </commentChains>
    <commentChains s:ref="AL1747" rgbClr="FF0000">
      <unresolved>
        <commentChain chainId="bdc8c21a0a5b0d5356c631b83ca9282fdb2d066f">
          <item id="c663e29185a14d821b6667ef9b5e474be98476d3" userID="1851561945" userName="石玉珍" dateTime="2026-06-12T12:46:52" isNormal="0">
            <s:text>
              <s:r>
                <s:t xml:space="preserve">6/12 空白贴纸 408pcs</s:t>
              </s:r>
            </s:text>
          </item>
        </commentChain>
      </unresolved>
      <resolved/>
    </commentChains>
    <commentChains s:ref="AI1748" rgbClr="FF0000">
      <unresolved>
        <commentChain chainId="45d5571f468eb6d0e5693af8f0b5256807db690e">
          <item id="cf94fe063d568d12c1c1ef4c4f1141c8071d12af" userID="1851561945" userName="石玉珍" dateTime="2026-07-23T12:52:58" isNormal="0">
            <s:text>
              <s:r>
                <s:t xml:space="preserve">1001852 7/23 1404pcs</s:t>
              </s:r>
            </s:text>
          </item>
        </commentChain>
      </unresolved>
      <resolved/>
    </commentChains>
    <commentChains s:ref="AL1748" rgbClr="FF0000">
      <unresolved>
        <commentChain chainId="9c47d0ac33fd4d9554fc60c840b97950987a1581">
          <item id="57c238a00afe766955af2f26f35cd34db3054fca" userID="1851561945" userName="石玉珍" dateTime="2026-06-12T12:45:16" isNormal="0">
            <s:text>
              <s:r>
                <s:t xml:space="preserve">6/12 空白贴纸 2808pcs</s:t>
              </s:r>
            </s:text>
          </item>
          <item id="7d300d92cdf3416dd798c3549a7038c112c56fde" userID="1851561945" userName="石玉珍" dateTime="2026-06-16T12:26:12" isNormal="0">
            <s:text>
              <s:r>
                <s:t xml:space="preserve">6/16 客供价格贴纸 1404pcs</s:t>
              </s:r>
            </s:text>
          </item>
        </commentChain>
      </unresolved>
      <resolved/>
    </commentChains>
    <commentChains s:ref="AI1749" rgbClr="FF0000">
      <unresolved>
        <commentChain chainId="50e842b83fb77e05147d74893e572c278d1b435e">
          <item id="f2dc3bfdd3618c6928742481ab071abf7cf009d1" userID="1851561945" userName="石玉珍" dateTime="2026-07-23T01:42:25" isNormal="0">
            <s:text>
              <s:r>
                <s:t xml:space="preserve">1001749 7/22 7800pcs</s:t>
              </s:r>
            </s:text>
          </item>
        </commentChain>
      </unresolved>
      <resolved/>
    </commentChains>
    <commentChains s:ref="AL1749" rgbClr="FF0000">
      <unresolved>
        <commentChain chainId="a2469fd2665e64e7d90b91bdf44ae37d68341d7e">
          <item id="3030683303ead904eafc37808f37881014fe7e71" userID="1851561945" userName="石玉珍" dateTime="2026-06-24T00:36:57" isNormal="0">
            <s:text>
              <s:r>
                <s:t xml:space="preserve">6/23 条码贴纸 7800pcs</s:t>
              </s:r>
            </s:text>
          </item>
          <item id="085d4a5c1a084a3694da068201a546690ecae2f4" userID="1851561945" userName="石玉珍" dateTime="2026-06-29T12:09:16" isNormal="0">
            <s:text>
              <s:r>
                <s:t xml:space="preserve">6/27 客供防窜码贴纸1拖13 600pcs</s:t>
              </s:r>
            </s:text>
          </item>
        </commentChain>
      </unresolved>
      <resolved/>
    </commentChains>
    <commentChains s:ref="AI1750" rgbClr="FF0000">
      <unresolved>
        <commentChain chainId="f73c1207634887fb6c557d5dafcfd55c9972cba5">
          <item id="9576ff6bf2efe024debb703adb0c3283adc0324f" userID="1851561945" userName="石玉珍" dateTime="2026-07-22T01:38:14" isNormal="0">
            <s:text>
              <s:r>
                <s:t xml:space="preserve">2801331 7/21 378pcs</s:t>
              </s:r>
            </s:text>
          </item>
          <item id="d1d3b41f91fd6e1f43bc89a5d9b3b83ad5c8f91a" userID="1851561945" userName="石玉珍" dateTime="2026-07-22T01:55:45" isNormal="0">
            <s:text>
              <s:r>
                <s:t xml:space="preserve">2801332 7/21 6144pcs</s:t>
              </s:r>
            </s:text>
          </item>
        </commentChain>
      </unresolved>
      <resolved/>
    </commentChains>
    <commentChains s:ref="AL1750" rgbClr="FF0000">
      <unresolved>
        <commentChain chainId="2875a93a8b0b289767c2245db64c9dbde51f8e6b">
          <item id="e6c56f3fc3519964491c009caf068f265063440f" userID="1851561945" userName="石玉珍" dateTime="2026-07-07T13:39:57" isNormal="0">
            <s:text>
              <s:r>
                <s:t xml:space="preserve">7/7 EAN贴纸 6522pcs</s:t>
              </s:r>
            </s:text>
          </item>
          <item id="e15408df33421915c3a60ea1bbd27be98f45a568" userID="1851561945" userName="石玉珍" dateTime="2026-07-07T13:45:32" isNormal="0">
            <s:text>
              <s:r>
                <s:t xml:space="preserve">7/7 空白贴纸   13044pcs</s:t>
              </s:r>
            </s:text>
          </item>
        </commentChain>
      </unresolved>
      <resolved/>
    </commentChains>
    <commentChains s:ref="AI1751" rgbClr="FF0000">
      <unresolved>
        <commentChain chainId="b0dfa197a95cd69f3571c63741859fb95898b483">
          <item id="c2ad9a2b94ffe62f3153680ba22ebe43581351b1" userID="1851561945" userName="石玉珍" dateTime="2026-07-25T02:06:56" isNormal="0">
            <s:text>
              <s:r>
                <s:t xml:space="preserve">2801355 7/24 1938pcs</s:t>
              </s:r>
            </s:text>
          </item>
        </commentChain>
      </unresolved>
      <resolved/>
    </commentChains>
    <commentChains s:ref="AL1751" rgbClr="FF0000">
      <unresolved>
        <commentChain chainId="8b2c37e73db3a7a979f72d75f9afc2a23ef7e76e">
          <item id="ceeed188bfb124095cecc9f40fa314bcf5f9c0e8" userID="1851561945" userName="石玉珍" dateTime="2026-07-08T11:24:24" isNormal="0">
            <s:text>
              <s:r>
                <s:t xml:space="preserve">7/8 EAN条码贴纸 1938pcs
进口商贴纸3 1938pcs
产品贴纸 3876pcs
空白贴纸 3876pcs</s:t>
              </s:r>
            </s:text>
          </item>
          <item id="484e05b7d38ec54c104eb8c233f770a086e042f6" userID="1851561945" userName="石玉珍" dateTime="2026-07-15T11:23:59" isNormal="0">
            <s:text>
              <s:r>
                <s:t xml:space="preserve">7/15 WEEE说明书贴纸 1938pcs</s:t>
              </s:r>
            </s:text>
          </item>
        </commentChain>
      </unresolved>
      <resolved/>
    </commentChains>
    <commentChains s:ref="AI1752" rgbClr="FF0000">
      <unresolved>
        <commentChain chainId="26a5138b1d17e240f928a92838d55692f40344e1">
          <item id="955a0005874546a2076db6957b0dd5e05424221a" userID="1851561945" userName="石玉珍" dateTime="2026-07-23T11:22:28" isNormal="0">
            <s:text>
              <s:r>
                <s:t xml:space="preserve">1001848 7/23 19400pcs</s:t>
              </s:r>
            </s:text>
          </item>
        </commentChain>
      </unresolved>
      <resolved/>
    </commentChains>
    <commentChains s:ref="AL1752" rgbClr="FF0000">
      <unresolved>
        <commentChain chainId="7ee7f76503a0a24f7334899553d0ae6e2190b2a4">
          <item id="897cddad033a05eadb4ac6124e37df2ebd476153" userID="1851561945" userName="石玉珍" dateTime="2026-07-07T13:44:28" isNormal="0">
            <s:text>
              <s:r>
                <s:t xml:space="preserve">7/7 环保标贴纸 19400pcs</s:t>
              </s:r>
            </s:text>
          </item>
        </commentChain>
      </unresolved>
      <resolved/>
    </commentChains>
    <commentChains s:ref="AI1753" rgbClr="FF0000">
      <unresolved>
        <commentChain chainId="c430f7ff2c253e0bfaa5e8a532093ff7659e4fb5">
          <item id="7d279cc545159e32285bad3e84e36d020de615ca" userID="1851561945" userName="石玉珍" dateTime="2026-07-21T00:55:37" isNormal="0">
            <s:text>
              <s:r>
                <s:t xml:space="preserve">1001725 7/20 72pcs</s:t>
              </s:r>
            </s:text>
          </item>
        </commentChain>
      </unresolved>
      <resolved/>
    </commentChains>
    <commentChains s:ref="AI1754" rgbClr="FF0000">
      <unresolved>
        <commentChain chainId="28659a44366847ba6b84723b4750454736733f5d">
          <item id="092d2162e809d37baa850f1b8e0d6f38094499e0" userID="1851561945" userName="石玉珍" dateTime="2026-07-21T00:55:43" isNormal="0">
            <s:text>
              <s:r>
                <s:t xml:space="preserve">1001725 7/20 144pcs</s:t>
              </s:r>
            </s:text>
          </item>
        </commentChain>
      </unresolved>
      <resolved/>
    </commentChains>
    <commentChains s:ref="AI1755" rgbClr="FF0000">
      <unresolved>
        <commentChain chainId="e504e46bdcf538e8adc92a84510be8fa9249a619">
          <item id="da002f58fc3cb4bf674e654645fee309c160b8d5" userID="1851561945" userName="石玉珍" dateTime="2026-07-21T00:55:48" isNormal="0">
            <s:text>
              <s:r>
                <s:t xml:space="preserve">1001725 7/20 528pcs</s:t>
              </s:r>
            </s:text>
          </item>
        </commentChain>
      </unresolved>
      <resolved/>
    </commentChains>
    <commentChains s:ref="AI1756" rgbClr="FF0000">
      <unresolved>
        <commentChain chainId="ee7381dd9a992e422441c9dc154f25e63478eb0e">
          <item id="040f05dc19e2a4e5f865b981fe7c8b827350e509" userID="1851561945" userName="石玉珍" dateTime="2026-07-21T00:55:53" isNormal="0">
            <s:text>
              <s:r>
                <s:t xml:space="preserve">1001725 7/20 96pcs</s:t>
              </s:r>
            </s:text>
          </item>
        </commentChain>
      </unresolved>
      <resolved/>
    </commentChains>
    <commentChains s:ref="AI1757" rgbClr="FF0000">
      <unresolved>
        <commentChain chainId="c139d6668a458e7d3da16f855c264dbb528c17fa">
          <item id="abdd00d7ce5b9f5f80e3f117773b1c06e1d5040e" userID="1851561945" userName="石玉珍" dateTime="2026-07-21T00:55:59" isNormal="0">
            <s:text>
              <s:r>
                <s:t xml:space="preserve">1001725 7/20 168pcs</s:t>
              </s:r>
            </s:text>
          </item>
        </commentChain>
      </unresolved>
      <resolved/>
    </commentChains>
    <commentChains s:ref="AI1758" rgbClr="FF0000">
      <unresolved>
        <commentChain chainId="44326dc4809bb0a078d407b3902096cb23951fec">
          <item id="a9ebc7b95ac4a20d473fd42c2a5570a5fbd42cef" userID="1851561945" userName="石玉珍" dateTime="2026-07-21T00:56:40" isNormal="0">
            <s:text>
              <s:r>
                <s:t xml:space="preserve">1001725 7/20 48pcs</s:t>
              </s:r>
            </s:text>
          </item>
        </commentChain>
      </unresolved>
      <resolved/>
    </commentChains>
    <commentChains s:ref="AI1759" rgbClr="FF0000">
      <unresolved>
        <commentChain chainId="3ad69f21182a94d25911184fbf2b03a15ca6a072">
          <item id="60fcd029a90e95b7dece7bab555b3bf483d1153c" userID="1851561945" userName="石玉珍" dateTime="2026-07-21T00:56:45" isNormal="0">
            <s:text>
              <s:r>
                <s:t xml:space="preserve">1001725 7/20 60pcs</s:t>
              </s:r>
            </s:text>
          </item>
        </commentChain>
      </unresolved>
      <resolved/>
    </commentChains>
    <commentChains s:ref="AI1760" rgbClr="FF0000">
      <unresolved>
        <commentChain chainId="635107d7f45de4d3dc9b33b59275c154110c13df">
          <item id="d02e49b2a13ed5b7706455dc8c0fe1bfffabb31c" userID="1851561945" userName="石玉珍" dateTime="2026-07-21T00:56:50" isNormal="0">
            <s:text>
              <s:r>
                <s:t xml:space="preserve">1001725 7/20 36pcs</s:t>
              </s:r>
            </s:text>
          </item>
        </commentChain>
      </unresolved>
      <resolved/>
    </commentChains>
    <commentChains s:ref="AI1761" rgbClr="FF0000">
      <unresolved>
        <commentChain chainId="5880a0a99bc7bfead95752d99cd34dce5cf8e866">
          <item id="5389509f46b4729ed3218e0ce1de2c7e0387b3b8" userID="1851561945" userName="石玉珍" dateTime="2026-07-21T00:56:55" isNormal="0">
            <s:text>
              <s:r>
                <s:t xml:space="preserve">1001725 7/20 60pcs</s:t>
              </s:r>
            </s:text>
          </item>
        </commentChain>
      </unresolved>
      <resolved/>
    </commentChains>
    <commentChains s:ref="AI1762" rgbClr="FF0000">
      <unresolved>
        <commentChain chainId="29bcc5e3674d49aba33c2e23c62df5cd2bbdb7cb">
          <item id="0c59924852b50e69da354b7a9e72da6c8640493b" userID="1851561945" userName="石玉珍" dateTime="2026-07-21T00:56:59" isNormal="0">
            <s:text>
              <s:r>
                <s:t xml:space="preserve">1001725 7/20 408pcs</s:t>
              </s:r>
            </s:text>
          </item>
        </commentChain>
      </unresolved>
      <resolved/>
    </commentChains>
    <commentChains s:ref="AI1763" rgbClr="FF0000">
      <unresolved>
        <commentChain chainId="ec718ede7ebf44bc5ccf7b0f214e34da5385fbf9">
          <item id="15034970b7bcb56d117e499b5c85265a0b79ef45" userID="1851561945" userName="石玉珍" dateTime="2026-07-23T12:53:43" isNormal="0">
            <s:text>
              <s:r>
                <s:t xml:space="preserve">1001852 7/23 1508pcs</s:t>
              </s:r>
            </s:text>
          </item>
        </commentChain>
      </unresolved>
      <resolved/>
    </commentChains>
    <commentChains s:ref="AI1764" rgbClr="FF0000">
      <unresolved>
        <commentChain chainId="80c0f68b1dbbb533755592ff1b086d15f91ca34c">
          <item id="43f9c046870d7d6d6d24af3e6ae29f0540639fc4" userID="1851561945" userName="石玉珍" dateTime="2026-07-23T11:22:54" isNormal="0">
            <s:text>
              <s:r>
                <s:t xml:space="preserve">1001848 7/23 1250pcs</s:t>
              </s:r>
            </s:text>
          </item>
        </commentChain>
      </unresolved>
      <resolved/>
    </commentChains>
    <commentChains s:ref="AL1764" rgbClr="FF0000">
      <unresolved>
        <commentChain chainId="18221b4a21e884bdb785afafb6d1f09c2e94edd2">
          <item id="e6a36f141a16461c938296af4c0980cccbe0a68d" userID="1851561945" userName="石玉珍" dateTime="2026-07-13T08:14:54" isNormal="0">
            <s:text>
              <s:r>
                <s:t xml:space="preserve">7/11 UPC贴纸 1250pcs
进口商贴纸 1250pcs</s:t>
              </s:r>
            </s:text>
          </item>
        </commentChain>
      </unresolved>
      <resolved/>
    </commentChains>
    <commentChains s:ref="AI1765" rgbClr="FF0000">
      <unresolved>
        <commentChain chainId="7bd4cec8e4b2825506b9cc926a8e53a8089b7ab4">
          <item id="058ad4300d9e696336c01dd0a77b8f2ccd795202" userID="1851561945" userName="石玉珍" dateTime="2026-07-23T01:55:10" isNormal="0">
            <s:text>
              <s:r>
                <s:t xml:space="preserve">1001760 7/22 3500pcs</s:t>
              </s:r>
            </s:text>
          </item>
        </commentChain>
      </unresolved>
      <resolved/>
    </commentChains>
    <commentChains s:ref="AL1765" rgbClr="FF0000">
      <unresolved>
        <commentChain chainId="2b46ca961ae60e892ae618f5b1596cc4aebc3114">
          <item id="abf3beb17d7cd94120f30bbb9ef57329cb913fcf" userID="1851561945" userName="石玉珍" dateTime="2026-07-07T14:12:46" isNormal="0">
            <s:text>
              <s:r>
                <s:t xml:space="preserve">7/7 进口商贴纸 3500pcs
UPC条码贴纸 3500pcs</s:t>
              </s:r>
            </s:text>
          </item>
        </commentChain>
      </unresolved>
      <resolved/>
    </commentChains>
    <commentChains s:ref="AI1766" rgbClr="FF0000">
      <unresolved>
        <commentChain chainId="1a1826d7835c1b34ed7ed958f14a76d2d08dbd3b">
          <item id="bb78c3b08cc3fc80845bbe801eab6b7f2ca1b492" userID="1851561945" userName="石玉珍" dateTime="2026-07-23T12:54:26" isNormal="0">
            <s:text>
              <s:r>
                <s:t xml:space="preserve">1001852 7/23 400pcs</s:t>
              </s:r>
            </s:text>
          </item>
        </commentChain>
      </unresolved>
      <resolved/>
    </commentChains>
    <commentChains s:ref="AI1767" rgbClr="FF0000">
      <unresolved>
        <commentChain chainId="4c1faa9db2392b1b6945d0b3f0a305bfe0b2de24">
          <item id="87d290351a215222c780820fb74a8e09e3fc2c4f" userID="1851561945" userName="石玉珍" dateTime="2026-07-23T12:54:57" isNormal="0">
            <s:text>
              <s:r>
                <s:t xml:space="preserve">1001852 7/23 3000pcs</s:t>
              </s:r>
            </s:text>
          </item>
        </commentChain>
      </unresolved>
      <resolved/>
    </commentChains>
    <commentChains s:ref="AL1767" rgbClr="FF0000">
      <unresolved>
        <commentChain chainId="626feb835d2e852276fa2090bfab8df4f58c5c25">
          <item id="ced82908f9289ce37acb281f1d25af5852912999" userID="1851561945" userName="石玉珍" dateTime="2026-07-16T11:49:11" isNormal="0">
            <s:text>
              <s:r>
                <s:t xml:space="preserve">7/16 进口商贴纸 3000pcs</s:t>
              </s:r>
            </s:text>
          </item>
        </commentChain>
      </unresolved>
      <resolved/>
    </commentChains>
    <commentChains s:ref="BW1767" rgbClr="FF0000">
      <unresolved>
        <commentChain chainId="caacd84928b28495d1c36d7e21c95b33c2e47c72">
          <item id="f8ce15713d00b68a170a87472470cfb99c565bc4" isNormal="1">
            <s:text>
              <s:r>
                <s:t xml:space="preserve">RR-sales:
C版本收藏指南，去披萨</s:t>
              </s:r>
            </s:text>
          </item>
        </commentChain>
      </unresolved>
      <resolved/>
    </commentChains>
    <commentChains s:ref="AI1768" rgbClr="FF0000">
      <unresolved>
        <commentChain chainId="e9202c8f83079585a540e0f370356f92d923c731">
          <item id="647c9b1ecad7fb23da4ca366274ace361e778b8a" userID="1851561945" userName="石玉珍" dateTime="2026-07-23T01:55:51" isNormal="0">
            <s:text>
              <s:r>
                <s:t xml:space="preserve">1001760 7/22 468pcs</s:t>
              </s:r>
            </s:text>
          </item>
        </commentChain>
      </unresolved>
      <resolved/>
    </commentChains>
    <commentChains s:ref="AL1768" rgbClr="FF0000">
      <unresolved>
        <commentChain chainId="91a6f8d52e87570bab66e2e5b9a09d650a0b978e">
          <item id="24f2456a59b1f72af5dc7cd04102b0f36044f972" userID="1851561945" userName="石玉珍" dateTime="2026-07-01T12:58:56" isNormal="0">
            <s:text>
              <s:r>
                <s:t xml:space="preserve">7/1 法国回收logo贴纸 468pcs</s:t>
              </s:r>
            </s:text>
          </item>
        </commentChain>
      </unresolved>
      <resolved/>
    </commentChains>
    <commentChains s:ref="AI1769" rgbClr="FF0000">
      <unresolved>
        <commentChain chainId="2c88e5e8ccaf183456590e1e3fa19d9072cf90f8">
          <item id="d415dfd590c631b01176e71c85da9b001f62677d" userID="1851561945" userName="石玉珍" dateTime="2026-07-23T12:55:28" isNormal="0">
            <s:text>
              <s:r>
                <s:t xml:space="preserve">1001852 7/23 2000pcs</s:t>
              </s:r>
            </s:text>
          </item>
        </commentChain>
      </unresolved>
      <resolved/>
    </commentChains>
    <commentChains s:ref="AL1769" rgbClr="FF0000">
      <unresolved>
        <commentChain chainId="690b95f08eafbca78d0a8850023beed24e7fbd1f">
          <item id="28b856fa226c94446f63bcd1ae7e44865498582d" userID="1851561945" userName="石玉珍" dateTime="2026-07-16T11:48:34" isNormal="0">
            <s:text>
              <s:r>
                <s:t xml:space="preserve">7/16 进口商贴纸 2000pcs</s:t>
              </s:r>
            </s:text>
          </item>
        </commentChain>
      </unresolved>
      <resolved/>
    </commentChains>
    <commentChains s:ref="AI1770" rgbClr="FF0000">
      <unresolved>
        <commentChain chainId="76742dee7239fbb73098d529035a84094e587fd0">
          <item id="348a123d61d320692fb3eb56470073952193e5cb" userID="1851561945" userName="石玉珍" dateTime="2026-07-25T02:02:02" isNormal="0">
            <s:text>
              <s:r>
                <s:t xml:space="preserve">1001804 7/24 2000pcs</s:t>
              </s:r>
            </s:text>
          </item>
        </commentChain>
      </unresolved>
      <resolved/>
    </commentChains>
    <commentChains s:ref="AL1770" rgbClr="FF0000">
      <unresolved>
        <commentChain chainId="5d84e530db0d62442315dfe1689d3b138fe8e3ab">
          <item id="9c2a0c726ea3eb250d7320c2fb575b06fd1115a8" userID="1851561945" userName="石玉珍" dateTime="2026-06-15T13:06:18" isNormal="0">
            <s:text>
              <s:r>
                <s:t xml:space="preserve">6/15 进口商贴纸 2000pcs</s:t>
              </s:r>
            </s:text>
          </item>
          <item id="69582a5e316690b0cd7617e22bdde1a7279ce7f7" userID="1851561945" userName="石玉珍" dateTime="2026-06-25T11:54:36" isNormal="0">
            <s:text>
              <s:r>
                <s:t xml:space="preserve">6/25 客供ASN贴纸 40pcs</s:t>
              </s:r>
            </s:text>
          </item>
          <item id="cd65561baddc1ff7ea8996ce93c94e728a4cd4de" userID="1851561945" userName="石玉珍" dateTime="2026-06-25T11:54:46" isNormal="0">
            <s:text>
              <s:r>
                <s:t xml:space="preserve">客供H条码贴纸 40pcs</s:t>
              </s:r>
            </s:text>
          </item>
          <item id="e514e44bc05e214d185853d631f3eb5e777cae6f" userID="1851561945" userName="石玉珍" dateTime="2026-06-25T11:54:56" isNormal="0">
            <s:text>
              <s:r>
                <s:t xml:space="preserve">客供HU’S(条形码)贴纸 40pcs</s:t>
              </s:r>
            </s:text>
          </item>
          <item id="436e497e0bb1f5c53877fc521bcb2cf052cf15e1" userID="1851561945" userName="石玉珍" dateTime="2026-07-10T14:17:29" isNormal="0">
            <s:text>
              <s:r>
                <s:t xml:space="preserve">7/10 价格贴纸 2000pcs</s:t>
              </s:r>
            </s:text>
          </item>
        </commentChain>
      </unresolved>
      <resolved/>
    </commentChains>
    <commentChains s:ref="AI1771" rgbClr="FF0000">
      <unresolved>
        <commentChain chainId="73fa02f4c1e21c4a6863e7b95d9157fe19b27ac5">
          <item id="ec974473d3472adab9ef9c1fb4514f86b2686fd4" userID="1851561945" userName="石玉珍" dateTime="2026-07-25T02:05:10" isNormal="0">
            <s:text>
              <s:r>
                <s:t xml:space="preserve">1001804 7/24 810pcs</s:t>
              </s:r>
            </s:text>
          </item>
        </commentChain>
      </unresolved>
      <resolved/>
    </commentChains>
    <commentChains s:ref="AL1771" rgbClr="FF0000">
      <unresolved>
        <commentChain chainId="57193c37d36c1755b2b2e32b9743e99f0964f8ae">
          <item id="0375c9492759b88082d212723bc418016915c6fd" userID="1851561945" userName="石玉珍" dateTime="2026-07-07T13:45:50" isNormal="0">
            <s:text>
              <s:r>
                <s:t xml:space="preserve">7/7 环保标贴纸 810pcs</s:t>
              </s:r>
            </s:text>
          </item>
        </commentChain>
      </unresolved>
      <resolved/>
    </commentChains>
    <commentChains s:ref="AI1772" rgbClr="FF0000">
      <unresolved>
        <commentChain chainId="d6efe1ae9f97f7366938cdde9409db00c3f72488">
          <item id="1fbe8309ac0aa314c9751ef749cbbee67373d9f6" userID="1851561945" userName="石玉珍" dateTime="2026-07-25T02:06:14" isNormal="0">
            <s:text>
              <s:r>
                <s:t xml:space="preserve">2800290 7/24 46725pcs</s:t>
              </s:r>
            </s:text>
          </item>
          <item id="4c5aa87c9ef236ba58fd2bb16819aba7d7fb6540" userID="1851561945" userName="石玉珍" dateTime="2026-07-27T02:10:35" isNormal="0">
            <s:text>
              <s:r>
                <s:t xml:space="preserve">2800316 7/25 14275pcs</s:t>
              </s:r>
            </s:text>
          </item>
        </commentChain>
      </unresolved>
      <resolved/>
    </commentChains>
    <commentChains s:ref="AL1772" rgbClr="FF0000">
      <unresolved>
        <commentChain chainId="38cc484971f24d7fe393058385a82153fbc7ca8c">
          <item id="9ac3f3130a2ef3aa5a2492f39ef47097efa5b5f6" userID="1851561945" userName="石玉珍" dateTime="2026-07-06T12:42:53" isNormal="0">
            <s:text>
              <s:r>
                <s:t xml:space="preserve">7/6 客供外箱条码贴纸 2440pcs</s:t>
              </s:r>
            </s:text>
          </item>
        </commentChain>
      </unresolved>
      <resolved/>
    </commentChains>
    <commentChains s:ref="AI1773" rgbClr="FF0000">
      <unresolved>
        <commentChain chainId="313a525983d04c00d9d82915833b067de30a363f">
          <item id="a0d1c2ec5f5528ae4575faa30daa7528ec5ca231" userID="1851561945" userName="石玉珍" dateTime="2026-07-25T01:59:26" isNormal="0">
            <s:text>
              <s:r>
                <s:t xml:space="preserve">1001804 7/24 6550pcs</s:t>
              </s:r>
            </s:text>
          </item>
        </commentChain>
      </unresolved>
      <resolved/>
    </commentChains>
    <commentChains s:ref="AL1773" rgbClr="FF0000">
      <unresolved>
        <commentChain chainId="b9d67cfb31da317e7322e596ac59f85e8ce44132">
          <item id="3fc32e434370771eb04895c52e677879287c6046" userID="1851561945" userName="石玉珍" dateTime="2026-07-01T13:11:30" isNormal="0">
            <s:text>
              <s:r>
                <s:t xml:space="preserve">7/1 客供外箱条码贴纸 262pcs</s:t>
              </s:r>
            </s:text>
          </item>
        </commentChain>
      </unresolved>
      <resolved/>
    </commentChains>
    <commentChains s:ref="AI1774" rgbClr="FF0000">
      <unresolved>
        <commentChain chainId="69e4dc723146800120129083ee2da652f5448932">
          <item id="91eacf7c76cc99b32f735a463ea563bebb7d83c6" userID="1851561945" userName="石玉珍" dateTime="2026-07-24T00:40:08" isNormal="0">
            <s:text>
              <s:r>
                <s:t xml:space="preserve">1001857 7/23 31500pcs</s:t>
              </s:r>
            </s:text>
          </item>
          <item id="0e7f215ab48e2a643af43338a50a8004fbcc2207" userID="1851561945" userName="石玉珍" dateTime="2026-07-25T01:52:50" isNormal="0">
            <s:text>
              <s:r>
                <s:t xml:space="preserve">1001798 7/24 57600pcs</s:t>
              </s:r>
            </s:text>
          </item>
          <item id="db3979425e701cbe273a00cc611e952b4903e729" userID="1851561945" userName="石玉珍" dateTime="2026-07-25T02:00:03" isNormal="0">
            <s:text>
              <s:r>
                <s:t xml:space="preserve">1001804 7/24 10900pcs</s:t>
              </s:r>
            </s:text>
          </item>
        </commentChain>
      </unresolved>
      <resolved/>
    </commentChains>
    <commentChains s:ref="AL1774" rgbClr="FF0000">
      <unresolved>
        <commentChain chainId="b62f08c67e21f2eda40d3bbbddef4fa229064e68">
          <item id="cf6e3226a8d3e2f299ffb1560aafa00b2d723b5c" userID="1851561945" userName="石玉珍" dateTime="2026-07-06T12:41:55" isNormal="0">
            <s:text>
              <s:r>
                <s:t xml:space="preserve">7/6 客供外箱条码贴纸 4000pcs</s:t>
              </s:r>
            </s:text>
          </item>
        </commentChain>
      </unresolved>
      <resolved/>
    </commentChains>
    <commentChains s:ref="AI1775" rgbClr="FF0000">
      <unresolved>
        <commentChain chainId="5bb5c6e89d1f57d5b6f0f334883d89a696a0fe19">
          <item id="068e46867d3dece98623a61659c9fb605fb1afba" userID="1851561945" userName="石玉珍" dateTime="2026-07-25T02:02:41" isNormal="0">
            <s:text>
              <s:r>
                <s:t xml:space="preserve">1001804 7/24 925pcs</s:t>
              </s:r>
            </s:text>
          </item>
        </commentChain>
      </unresolved>
      <resolved/>
    </commentChains>
    <commentChains s:ref="AL1775" rgbClr="FF0000">
      <unresolved>
        <commentChain chainId="238561b1c28047b1d3862a77c6149036cdd7e7f2">
          <item id="b4ca5d3a32efd4d516dc1dc8c0e62e1a5accfc5b" userID="1851561945" userName="石玉珍" dateTime="2026-07-13T08:15:34" isNormal="0">
            <s:text>
              <s:r>
                <s:t xml:space="preserve">7/11 UPC贴纸 925pcs
进口商贴纸 925pcs</s:t>
              </s:r>
            </s:text>
          </item>
          <item id="1ca4853fcdd3a4605199c18b36658590e5532893" userID="1851561945" userName="石玉珍" dateTime="2026-07-15T05:49:15" isNormal="0">
            <s:text>
              <s:r>
                <s:t xml:space="preserve">7/13 红色logo贴纸 925pcs</s:t>
              </s:r>
            </s:text>
          </item>
        </commentChain>
      </unresolved>
      <resolved/>
    </commentChains>
    <commentChains s:ref="AI1776" rgbClr="FF0000">
      <unresolved>
        <commentChain chainId="46d5dd3b79154be52fb39903c4c79a448a778aa4">
          <item id="b485019ee3f2a27c207065498cd1ea8aab1fab52" userID="1851561945" userName="石玉珍" dateTime="2026-07-25T02:02:56" isNormal="0">
            <s:text>
              <s:r>
                <s:t xml:space="preserve">1001804 7/24 875pcs</s:t>
              </s:r>
            </s:text>
          </item>
        </commentChain>
      </unresolved>
      <resolved/>
    </commentChains>
    <commentChains s:ref="AL1776" rgbClr="FF0000">
      <unresolved>
        <commentChain chainId="3a71738e992cb37dcdc678cda6e763033c89fb3e">
          <item id="ae57049259da2f6f49bee93641c3835cd0995dae" userID="1851561945" userName="石玉珍" dateTime="2026-07-13T08:15:46" isNormal="0">
            <s:text>
              <s:r>
                <s:t xml:space="preserve">7/11 UPC贴纸 875pcs
进口商贴纸 875pcs</s:t>
              </s:r>
            </s:text>
          </item>
          <item id="8b9b1ce57d10aa0b2f6d33c749709c6109fe061a" userID="1851561945" userName="石玉珍" dateTime="2026-07-15T05:49:23" isNormal="0">
            <s:text>
              <s:r>
                <s:t xml:space="preserve">7/13 红色logo贴纸 875pcs</s:t>
              </s:r>
            </s:text>
          </item>
        </commentChain>
      </unresolved>
      <resolved/>
    </commentChains>
    <commentChains s:ref="AI1777" rgbClr="FF0000">
      <unresolved>
        <commentChain chainId="1a26ff3a0c927bb01c30116bf82541fb6c46c134">
          <item id="db17a5b6bdca2fe685b9c0447d12d5695486c688" userID="1851561945" userName="石玉珍" dateTime="2026-07-25T02:03:01" isNormal="0">
            <s:text>
              <s:r>
                <s:t xml:space="preserve">1001804 7/24 625pcs</s:t>
              </s:r>
            </s:text>
          </item>
        </commentChain>
      </unresolved>
      <resolved/>
    </commentChains>
    <commentChains s:ref="AL1777" rgbClr="FF0000">
      <unresolved>
        <commentChain chainId="22155770708ce476dc9a0173f84de1e82a5d9ff9">
          <item id="2e94200c077591ec1cdb479f99d9c2808976a783" userID="1851561945" userName="石玉珍" dateTime="2026-07-13T08:15:53" isNormal="0">
            <s:text>
              <s:r>
                <s:t xml:space="preserve">7/11 UPC贴纸 625pcs
进口商贴纸 625pcs</s:t>
              </s:r>
            </s:text>
          </item>
          <item id="3c7c519b3f51f264c14a80b8de7b130c5ba3b3ab" userID="1851561945" userName="石玉珍" dateTime="2026-07-15T05:49:28" isNormal="0">
            <s:text>
              <s:r>
                <s:t xml:space="preserve">7/13 红色logo贴纸 625pcs</s:t>
              </s:r>
            </s:text>
          </item>
        </commentChain>
      </unresolved>
      <resolved/>
    </commentChains>
    <commentChains s:ref="AI1778" rgbClr="FF0000">
      <unresolved>
        <commentChain chainId="7695992d9379a53512d7442ed4805baaee90f715">
          <item id="0d6ad35e24d21a1af098511c1139d62bc711245d" userID="1851561945" userName="石玉珍" dateTime="2026-07-25T01:53:39" isNormal="0">
            <s:text>
              <s:r>
                <s:t xml:space="preserve">1001798 7/24 1200pcs</s:t>
              </s:r>
            </s:text>
          </item>
        </commentChain>
      </unresolved>
      <resolved/>
    </commentChains>
    <commentChains s:ref="AI1779" rgbClr="FF0000">
      <unresolved>
        <commentChain chainId="98f069a3791e9b3a8a8882e17817de764878fcd5">
          <item id="fc1d75af7e629653c08fb9dea7da47e565e45f32" userID="1851561945" userName="石玉珍" dateTime="2026-07-27T02:00:42" isNormal="0">
            <s:text>
              <s:r>
                <s:t xml:space="preserve">1001828 7/26 1400pcs</s:t>
              </s:r>
            </s:text>
          </item>
        </commentChain>
      </unresolved>
      <resolved/>
    </commentChains>
    <commentChains s:ref="AL1779" rgbClr="FF0000">
      <unresolved>
        <commentChain chainId="8885c986e90ced18a54975b8380c951a04d19903">
          <item id="b89316c2862e99207151ff38b3610c4d654d2eca" userID="1851561945" userName="石玉珍" dateTime="2026-07-13T06:18:38" isNormal="0">
            <s:text>
              <s:r>
                <s:t xml:space="preserve">7/11 UPC贴纸 1400pcs
进口商贴纸 1400pcs</s:t>
              </s:r>
            </s:text>
          </item>
        </commentChain>
      </unresolved>
      <resolved/>
    </commentChains>
    <commentChains s:ref="AI1780" rgbClr="FF0000">
      <unresolved>
        <commentChain chainId="d95fb70f15aab80b1aa7823dbbb917570b9f989a">
          <item id="5ccf924046c019c160facb120323386f2cfaa4b6" userID="1851561945" userName="石玉珍" dateTime="2026-07-27T01:16:18" isNormal="0">
            <s:text>
              <s:r>
                <s:t xml:space="preserve">2801358 7/25 1200pcs</s:t>
              </s:r>
            </s:text>
          </item>
        </commentChain>
      </unresolved>
      <resolved/>
    </commentChains>
    <commentChains s:ref="AL1780" rgbClr="FF0000">
      <unresolved>
        <commentChain chainId="f4b761f1ece2c46e96eef9e8b693e0c1ecc2c218">
          <item id="69ccf9c6173aa9ca8fe332467bde2ca86418ddab" userID="1851561945" userName="石玉珍" dateTime="2026-06-11T13:59:53" isNormal="0">
            <s:text>
              <s:r>
                <s:t xml:space="preserve">6/10 空白贴纸 1200*2pcs</s:t>
              </s:r>
            </s:text>
          </item>
          <item id="8bb72298fa1d3feb965aba0c57ab23bc57be9d8c" userID="1851561945" userName="石玉珍" dateTime="2026-06-11T14:03:02" isNormal="0">
            <s:text>
              <s:r>
                <s:t xml:space="preserve">6/10 空白贴纸 1200pcs</s:t>
              </s:r>
            </s:text>
          </item>
        </commentChain>
      </unresolved>
      <resolved/>
    </commentChains>
    <commentChains s:ref="AI1781" rgbClr="FF0000">
      <unresolved>
        <commentChain chainId="5657379c8dca4d6cc5d763acf1b85ce202838c53">
          <item id="3229fc38a238fc959a9f2efa1a89d6749e492105" userID="1851561945" userName="石玉珍" dateTime="2026-07-27T01:16:23" isNormal="0">
            <s:text>
              <s:r>
                <s:t xml:space="preserve">2801358 7/25 300pcs</s:t>
              </s:r>
            </s:text>
          </item>
        </commentChain>
      </unresolved>
      <resolved/>
    </commentChains>
    <commentChains s:ref="AL1781" rgbClr="FF0000">
      <unresolved>
        <commentChain chainId="ed0cb4f6f90927a16b37294e9a4696d59878f0c1">
          <item id="a47332dd2cc2b09de6a79102fcd825da42ee2464" userID="1851561945" userName="石玉珍" dateTime="2026-06-11T13:59:59" isNormal="0">
            <s:text>
              <s:r>
                <s:t xml:space="preserve">6/10 空白贴纸 300*2pcs</s:t>
              </s:r>
            </s:text>
          </item>
          <item id="bff1ab0ac327c7d855da12f684b74592cc3ec1e8" userID="1851561945" userName="石玉珍" dateTime="2026-06-11T14:03:09" isNormal="0">
            <s:text>
              <s:r>
                <s:t xml:space="preserve">6/10 空白贴纸 300pcs</s:t>
              </s:r>
            </s:text>
          </item>
        </commentChain>
      </unresolved>
      <resolved/>
    </commentChains>
    <commentChains s:ref="AL1782" rgbClr="FF0000">
      <unresolved>
        <commentChain chainId="91d661164dcbfa73648463e7300855fc6a3b4f4f">
          <item id="f4936723a41ece6a8e3982b6381df1c7d84f40b9" userID="1851561945" userName="石玉珍" dateTime="2026-06-11T14:03:24" isNormal="0">
            <s:text>
              <s:r>
                <s:t xml:space="preserve">6/10 空白贴纸 204*2pcs</s:t>
              </s:r>
            </s:text>
          </item>
          <item id="c84853eb89b68794563b1c92be14bd1c956efc7b" userID="1851561945" userName="石玉珍" dateTime="2026-06-11T14:03:28" isNormal="0">
            <s:text>
              <s:r>
                <s:t xml:space="preserve">6/10 空白贴纸 204pcs</s:t>
              </s:r>
            </s:text>
          </item>
        </commentChain>
      </unresolved>
      <resolved/>
    </commentChains>
    <commentChains s:ref="AI1783" rgbClr="FF0000">
      <unresolved>
        <commentChain chainId="32c454123b5493d94f2882c93298ea5e5311fde2">
          <item id="a100ec7115235ed7726a2ff5369b25459067dab8" userID="1851561945" userName="石玉珍" dateTime="2026-07-28T01:21:06" isNormal="0">
            <s:text>
              <s:r>
                <s:t xml:space="preserve">1001702 7/27 336pcs</s:t>
              </s:r>
            </s:text>
          </item>
        </commentChain>
      </unresolved>
      <resolved/>
    </commentChains>
    <commentChains s:ref="AL1783" rgbClr="FF0000">
      <unresolved>
        <commentChain chainId="9a2db34b9f8b0221bf178f140828e6677e973c1d">
          <item id="ffb0f33a2029668e06c5fae8088b8c806b48c6fa" userID="1851561945" userName="石玉珍" dateTime="2026-06-12T12:46:29" isNormal="0">
            <s:text>
              <s:r>
                <s:t xml:space="preserve">6/12 空白贴纸 672pcs</s:t>
              </s:r>
            </s:text>
          </item>
          <item id="95c17852d94e2443e0fcf482553d07186249c43a" userID="1851561945" userName="石玉珍" dateTime="2026-06-16T12:27:10" isNormal="0">
            <s:text>
              <s:r>
                <s:t xml:space="preserve">6/16 客供价格贴纸 336pcs</s:t>
              </s:r>
            </s:text>
          </item>
        </commentChain>
      </unresolved>
      <resolved/>
    </commentChains>
    <commentChains s:ref="AI1784" rgbClr="FF0000">
      <unresolved>
        <commentChain chainId="2fffed3c6c9431594365e32cb43bf3d0b82da521">
          <item id="4be05333a3b6ed6a37182db208fbc6cc90eb3613" userID="1851561945" userName="石玉珍" dateTime="2026-07-23T01:46:43" isNormal="0">
            <s:text>
              <s:r>
                <s:t xml:space="preserve">1001749 7/22 1476pcs</s:t>
              </s:r>
            </s:text>
          </item>
        </commentChain>
      </unresolved>
      <resolved/>
    </commentChains>
    <commentChains s:ref="AL1784" rgbClr="FF0000">
      <unresolved>
        <commentChain chainId="42aa0ef37916dd0e51077155e72ccc456c95fa18">
          <item id="cc1533fb463df3bd04aac67b1641d6ed8bb50d5b" userID="1851561945" userName="石玉珍" dateTime="2026-07-15T12:13:22" isNormal="0">
            <s:text>
              <s:r>
                <s:t xml:space="preserve">7/15 客供亚马逊外箱贴纸 123pcs</s:t>
              </s:r>
            </s:text>
          </item>
        </commentChain>
      </unresolved>
      <resolved/>
    </commentChains>
    <commentChains s:ref="AI1785" rgbClr="FF0000">
      <unresolved>
        <commentChain chainId="17983d9a5af1b08745eb25cbddbae801c209996e">
          <item id="2eddf136643a270caf82eed5f69b549d5520ce16" userID="1851561945" userName="石玉珍" dateTime="2026-07-27T13:08:44" isNormal="0">
            <s:text>
              <s:r>
                <s:t xml:space="preserve">1001692 7/27 9295pcs</s:t>
              </s:r>
            </s:text>
          </item>
        </commentChain>
      </unresolved>
      <resolved/>
    </commentChains>
    <commentChains s:ref="AL1785" rgbClr="FF0000">
      <unresolved>
        <commentChain chainId="5a86a0353a794baa5e08890f254f01f1c7bd2c7f">
          <item id="ad77842100a8a907413d640bc6fa5a67017e5121" userID="1851561945" userName="石玉珍" dateTime="2026-07-13T05:48:30" isNormal="0">
            <s:text>
              <s:r>
                <s:t xml:space="preserve">7/10 Kmart外箱贴纸 715pcs</s:t>
              </s:r>
            </s:text>
          </item>
          <item id="461f4f75bc8e852c6dfe4eb0517799bb62f8012e" userID="1851561945" userName="石玉珍" dateTime="2026-07-13T11:13:04" isNormal="0">
            <s:text>
              <s:r>
                <s:t xml:space="preserve">7/13 UPC条码贴 9295pcs</s:t>
              </s:r>
            </s:text>
          </item>
        </commentChain>
      </unresolved>
      <resolved/>
    </commentChains>
    <commentChains s:ref="AI1786" rgbClr="FF0000">
      <unresolved>
        <commentChain chainId="7a0e9b9c931b5640ec52ea46d14d6d46c774f963">
          <item id="af9ca8e8ad8bbf4da384fde2d03bf569e1e921bc" userID="1851561945" userName="石玉珍" dateTime="2026-07-28T00:38:42" isNormal="0">
            <s:text>
              <s:r>
                <s:t xml:space="preserve">1001695 7/27 689pcs</s:t>
              </s:r>
            </s:text>
          </item>
        </commentChain>
      </unresolved>
      <resolved/>
    </commentChains>
    <commentChains s:ref="AL1786" rgbClr="FF0000">
      <unresolved>
        <commentChain chainId="fc1ffae582f589d7b8809624b880297f57e47c83">
          <item id="fe420ed398d721ac8e0e5f1ec42cc0b9d93411d7" userID="1851561945" userName="石玉珍" dateTime="2026-07-13T05:47:03" isNormal="0">
            <s:text>
              <s:r>
                <s:t xml:space="preserve">7/10 Kmart外箱贴纸 53pcs</s:t>
              </s:r>
            </s:text>
          </item>
        </commentChain>
      </unresolved>
      <resolved/>
    </commentChains>
    <commentChains s:ref="AI1787" rgbClr="FF0000">
      <unresolved>
        <commentChain chainId="a5563d2c21ee8d628a43f8c99f40bae49cf3120b">
          <item id="d2c6eed4fed6e525ddd4791e10f17ad9da144d42" userID="1851561945" userName="石玉珍" dateTime="2026-07-27T01:42:35" isNormal="0">
            <s:text>
              <s:r>
                <s:t xml:space="preserve">1001711 7/25 4800pcs</s:t>
              </s:r>
            </s:text>
          </item>
        </commentChain>
      </unresolved>
      <resolved/>
    </commentChains>
    <commentChains s:ref="AL1787" rgbClr="FF0000">
      <unresolved>
        <commentChain chainId="807550f93d9d06c431753d054eba0412e4003a1c">
          <item id="34fba2584b110900f082c22c4ae4f48b256f86e2" userID="1851561945" userName="石玉珍" dateTime="2026-06-20T00:55:58" isNormal="0">
            <s:text>
              <s:r>
                <s:t xml:space="preserve">6/18 客供RFID贴纸 4800pcs</s:t>
              </s:r>
            </s:text>
          </item>
        </commentChain>
      </unresolved>
      <resolved/>
    </commentChains>
    <commentChains s:ref="AI1788" rgbClr="FF0000">
      <unresolved>
        <commentChain chainId="9231b58d100e3a177ebe920661ac622a25dabf04">
          <item id="57b07e3f3a001becbe745976a0b0b24c36405d59" userID="1851561945" userName="石玉珍" dateTime="2026-07-28T00:36:17" isNormal="0">
            <s:text>
              <s:r>
                <s:t xml:space="preserve">1001695 7/27 4800 pcs</s:t>
              </s:r>
            </s:text>
          </item>
        </commentChain>
      </unresolved>
      <resolved/>
    </commentChains>
    <commentChains s:ref="AL1788" rgbClr="FF0000">
      <unresolved>
        <commentChain chainId="8fad6173ea56d1cb3663fe9264a5c8c86a3a9b49">
          <item id="03994125f895db9408af37df1c92a2c9760dcc0e" userID="1851561945" userName="石玉珍" dateTime="2026-06-20T00:56:04" isNormal="0">
            <s:text>
              <s:r>
                <s:t xml:space="preserve">6/18 客供RFID贴纸 4800pcs</s:t>
              </s:r>
            </s:text>
          </item>
        </commentChain>
      </unresolved>
      <resolved/>
    </commentChains>
    <commentChains s:ref="AI1789" rgbClr="FF0000">
      <unresolved>
        <commentChain chainId="177d56f4b7f227aa89a9006fabf91e3b4a3ea926">
          <item id="411262d6f7862f3163c5c50a6bbb70df3cdeb2b2" userID="1851561945" userName="石玉珍" dateTime="2026-07-27T01:47:12" isNormal="0">
            <s:text>
              <s:r>
                <s:t xml:space="preserve">1001831 7/26 4800pcs</s:t>
              </s:r>
            </s:text>
          </item>
        </commentChain>
      </unresolved>
      <resolved/>
    </commentChains>
    <commentChains s:ref="AL1789" rgbClr="FF0000">
      <unresolved>
        <commentChain chainId="50c8436a2121a0394eff1f9d25213aa6a9301c5c">
          <item id="c0f5164e58f2c678cbef3d28eb910b26a2755297" userID="1851561945" userName="石玉珍" dateTime="2026-06-20T00:56:07" isNormal="0">
            <s:text>
              <s:r>
                <s:t xml:space="preserve">6/18 客供RFID贴纸 4800pcs</s:t>
              </s:r>
            </s:text>
          </item>
        </commentChain>
      </unresolved>
      <resolved/>
    </commentChains>
    <commentChains s:ref="AI1790" rgbClr="FF0000">
      <unresolved>
        <commentChain chainId="dbae9a11b2caa2bb8a20ead09a771d58b1c29177">
          <item id="f5d052c0b65bbdc1849b35413d614a80eb43a0ad" userID="1851561945" userName="石玉珍" dateTime="2026-07-28T00:36:37" isNormal="0">
            <s:text>
              <s:r>
                <s:t xml:space="preserve">1001695 7/27 960 pcs</s:t>
              </s:r>
            </s:text>
          </item>
        </commentChain>
      </unresolved>
      <resolved/>
    </commentChains>
    <commentChains s:ref="AL1790" rgbClr="FF0000">
      <unresolved>
        <commentChain chainId="1364420d1e82c2e6485dd9d6d0ff6f7a04331ca1">
          <item id="e21533e910fef135a727ceb2e9d8aff178218d14" userID="1851561945" userName="石玉珍" dateTime="2026-06-20T00:56:13" isNormal="0">
            <s:text>
              <s:r>
                <s:t xml:space="preserve">6/18 客供RFID贴纸 960pcs</s:t>
              </s:r>
            </s:text>
          </item>
        </commentChain>
      </unresolved>
      <resolved/>
    </commentChains>
    <commentChains s:ref="AI1791" rgbClr="FF0000">
      <unresolved>
        <commentChain chainId="bb4d99e01659fadd002ffad0851cf052af35bce8">
          <item id="2365312398b756e701e53ae4afb5d3aeb940f4c4" userID="1851561945" userName="石玉珍" dateTime="2026-07-28T00:38:01" isNormal="0">
            <s:text>
              <s:r>
                <s:t xml:space="preserve">1001695 7/27 4800pcs</s:t>
              </s:r>
            </s:text>
          </item>
        </commentChain>
      </unresolved>
      <resolved/>
    </commentChains>
    <commentChains s:ref="AI1792" rgbClr="FF0000">
      <unresolved>
        <commentChain chainId="e6895efedccdacd1bef430a2274fdcfc41e4b533">
          <item id="6b05f08204071ac5fff96a99ad10d59fdd2087cb" userID="1851561945" userName="石玉珍" dateTime="2026-07-27T01:38:56" isNormal="0">
            <s:text>
              <s:r>
                <s:t xml:space="preserve">1001711 7/25 5760pcs</s:t>
              </s:r>
            </s:text>
          </item>
        </commentChain>
      </unresolved>
      <resolved/>
    </commentChains>
    <commentChains s:ref="AL1792" rgbClr="FF0000">
      <unresolved>
        <commentChain chainId="be81ee96b2e13a4f3e2de71b9de5a3b00cd39650">
          <item id="774d914df9f6f0c7992958ce8b9058e98e41b799" userID="1851561945" userName="石玉珍" dateTime="2026-07-04T13:10:10" isNormal="0">
            <s:text>
              <s:r>
                <s:t xml:space="preserve">7/3  客供RFID贴纸  5760pcs</s:t>
              </s:r>
            </s:text>
          </item>
        </commentChain>
      </unresolved>
      <resolved/>
    </commentChains>
    <commentChains s:ref="AI1793" rgbClr="FF0000">
      <unresolved>
        <commentChain chainId="0011279fc3778a2add637bf13713805201bf1c77">
          <item id="21973fd40181f255b3eb134232f3713c6faf88bc" userID="1851561945" userName="石玉珍" dateTime="2026-07-27T01:39:03" isNormal="0">
            <s:text>
              <s:r>
                <s:t xml:space="preserve">1001711 7/25 4800pcs</s:t>
              </s:r>
            </s:text>
          </item>
        </commentChain>
      </unresolved>
      <resolved/>
    </commentChains>
    <commentChains s:ref="AL1793" rgbClr="FF0000">
      <unresolved>
        <commentChain chainId="35d3f8225c7a191103f8256660e1e7a868a926cd">
          <item id="3a3c196b0aeba31dfc5ee4aeaad261ac3c9fe949" userID="1851561945" userName="石玉珍" dateTime="2026-07-04T13:10:16" isNormal="0">
            <s:text>
              <s:r>
                <s:t xml:space="preserve">7/3  客供RFID贴纸  4800pcs</s:t>
              </s:r>
            </s:text>
          </item>
        </commentChain>
      </unresolved>
      <resolved/>
    </commentChains>
    <commentChains s:ref="AI1794" rgbClr="FF0000">
      <unresolved>
        <commentChain chainId="a44e4661649a236621a89eb6e49e59f9836f6994">
          <item id="41ed3d047bd6ce977985d020b7898539f240aac7" userID="1851561945" userName="石玉珍" dateTime="2026-07-27T01:39:12" isNormal="0">
            <s:text>
              <s:r>
                <s:t xml:space="preserve">1001711 7/25 1344pcs</s:t>
              </s:r>
            </s:text>
          </item>
          <item id="29a8c2006659388e901c1dbeabb09329c291d0d6" userID="1851561945" userName="石玉珍" dateTime="2026-07-28T00:43:12" isNormal="0">
            <s:text>
              <s:r>
                <s:t xml:space="preserve">1001692 7/27 6336pcs</s:t>
              </s:r>
            </s:text>
          </item>
        </commentChain>
      </unresolved>
      <resolved/>
    </commentChains>
    <commentChains s:ref="AL1794" rgbClr="FF0000">
      <unresolved>
        <commentChain chainId="475f9a06ee077b97efcff7c2a006c47b2dfbe4c5">
          <item id="b0b49f84747a2cd8e096e0260d639c4e7327fbf2" userID="1851561945" userName="石玉珍" dateTime="2026-07-04T13:10:22" isNormal="0">
            <s:text>
              <s:r>
                <s:t xml:space="preserve">7/3  客供RFID贴纸  7680pcs</s:t>
              </s:r>
            </s:text>
          </item>
        </commentChain>
      </unresolved>
      <resolved/>
    </commentChains>
    <commentChains s:ref="AI1795" rgbClr="FF0000">
      <unresolved>
        <commentChain chainId="14971c33a9d0ff99c38445d4c6363d9622a6287d">
          <item id="4f25fe9a1873ddf7a5ac7cc1127933b38d5ed792" userID="1851561945" userName="石玉珍" dateTime="2026-07-28T00:43:22" isNormal="0">
            <s:text>
              <s:r>
                <s:t xml:space="preserve">1001692 7/27 4800pcs</s:t>
              </s:r>
            </s:text>
          </item>
        </commentChain>
      </unresolved>
      <resolved/>
    </commentChains>
    <commentChains s:ref="AL1795" rgbClr="FF0000">
      <unresolved>
        <commentChain chainId="d23836c6f591e7c17036bdd1797bfe7aa83cc941">
          <item id="97f825ea3bed3f42c5e4870ed3317b1becc6d740" userID="1851561945" userName="石玉珍" dateTime="2026-07-04T13:10:29" isNormal="0">
            <s:text>
              <s:r>
                <s:t xml:space="preserve">7/3  客供RFID贴纸  4800pcs</s:t>
              </s:r>
            </s:text>
          </item>
        </commentChain>
      </unresolved>
      <resolved/>
    </commentChains>
    <commentChains s:ref="AI1796" rgbClr="FF0000">
      <unresolved>
        <commentChain chainId="8dbe87b2152f70e12fdc7e38933bf931cfeb1b56">
          <item id="d093c46463353cbb411a861715394d0f937790fd" userID="1851561945" userName="石玉珍" dateTime="2026-07-27T01:47:43" isNormal="0">
            <s:text>
              <s:r>
                <s:t xml:space="preserve">1001831 7/26 1440pcs</s:t>
              </s:r>
            </s:text>
          </item>
        </commentChain>
      </unresolved>
      <resolved/>
    </commentChains>
    <commentChains s:ref="AL1796" rgbClr="FF0000">
      <unresolved>
        <commentChain chainId="b0c22b2749d574a2d2c03095f50d3c1272747b01">
          <item id="2fb9ecb5c74cec9eacbfa6883c2de826508e2c7b" userID="1851561945" userName="石玉珍" dateTime="2026-07-04T13:10:35" isNormal="0">
            <s:text>
              <s:r>
                <s:t xml:space="preserve">7/3  客供RFID贴纸  1440pcs</s:t>
              </s:r>
            </s:text>
          </item>
        </commentChain>
      </unresolved>
      <resolved/>
    </commentChains>
    <commentChains s:ref="AI1797" rgbClr="FF0000">
      <unresolved>
        <commentChain chainId="1cae312185581080dd92019b9ebb27776e6ecd35">
          <item id="0ade20c23e5aba2cb83dfe473a3ac5f2b5af3f04" userID="1851561945" userName="石玉珍" dateTime="2026-07-27T01:39:59" isNormal="0">
            <s:text>
              <s:r>
                <s:t xml:space="preserve">1001711 7/25 7200pcs</s:t>
              </s:r>
            </s:text>
          </item>
        </commentChain>
      </unresolved>
      <resolved/>
    </commentChains>
    <commentChains s:ref="AL1797" rgbClr="FF0000">
      <unresolved>
        <commentChain chainId="2d960cb31f905e0628f0f815c669329950600757">
          <item id="1c4536a36f50f9f9cd1488913d71d37e1cd4c3bb" userID="1851561945" userName="石玉珍" dateTime="2026-07-04T13:10:42" isNormal="0">
            <s:text>
              <s:r>
                <s:t xml:space="preserve">7/3  客供RFID贴纸  7200pcs</s:t>
              </s:r>
            </s:text>
          </item>
        </commentChain>
      </unresolved>
      <resolved/>
    </commentChains>
    <commentChains s:ref="AI1798" rgbClr="FF0000">
      <unresolved>
        <commentChain chainId="668d529fe16e32251b97f55ea3be7348a66b7c74">
          <item id="95b6c38ddb4374f577fc50bb98c8532763d92d68" userID="1851561945" userName="石玉珍" dateTime="2026-07-27T13:07:50" isNormal="0">
            <s:text>
              <s:r>
                <s:t xml:space="preserve">1001692 7/27 4320pcs</s:t>
              </s:r>
            </s:text>
          </item>
        </commentChain>
      </unresolved>
      <resolved/>
    </commentChains>
    <commentChains s:ref="AL1798" rgbClr="FF0000">
      <unresolved>
        <commentChain chainId="1be6f43b5e1ba1072e19bbc4b2a019f9bacf071f">
          <item id="a839d58d807c0308f006671f68f04536324dce68" userID="1851561945" userName="石玉珍" dateTime="2026-07-04T13:10:55" isNormal="0">
            <s:text>
              <s:r>
                <s:t xml:space="preserve">7/3  客供RFID贴纸  4320pcs</s:t>
              </s:r>
            </s:text>
          </item>
        </commentChain>
      </unresolved>
      <resolved/>
    </commentChains>
    <commentChains s:ref="AI1799" rgbClr="FF0000">
      <unresolved>
        <commentChain chainId="6509e0418f54e4bc79d75880d6def4ce46da05e9">
          <item id="93a69a4d98107af37b04d279c23db414068668b4" userID="1851561945" userName="石玉珍" dateTime="2026-07-27T01:40:06" isNormal="0">
            <s:text>
              <s:r>
                <s:t xml:space="preserve">1001711 7/25 8384pcs</s:t>
              </s:r>
            </s:text>
          </item>
          <item id="c504af93eda4d2e4f36e0e31a4afda910f21ab74" userID="1851561945" userName="石玉珍" dateTime="2026-07-27T13:04:11" isNormal="0">
            <s:text>
              <s:r>
                <s:t xml:space="preserve">1001692 7/27 16pcs</s:t>
              </s:r>
            </s:text>
          </item>
        </commentChain>
      </unresolved>
      <resolved/>
    </commentChains>
    <commentChains s:ref="AL1799" rgbClr="FF0000">
      <unresolved>
        <commentChain chainId="2c9f4352ec307db03a1ea60f72e3d74d89977fff">
          <item id="87738542aba699277784ae09ed2290d0fd79a5aa" userID="1851561945" userName="石玉珍" dateTime="2026-07-04T13:11:02" isNormal="0">
            <s:text>
              <s:r>
                <s:t xml:space="preserve">7/3  客供RFID贴纸  8400pcs</s:t>
              </s:r>
            </s:text>
          </item>
        </commentChain>
      </unresolved>
      <resolved/>
    </commentChains>
    <commentChains s:ref="AI1800" rgbClr="FF0000">
      <unresolved>
        <commentChain chainId="dbb0ab181d174172e78388e640dbd37790976f2e">
          <item id="ebef2dc6bcbb7d711a624327260ca3f5d6c66e1e" userID="1851561945" userName="石玉珍" dateTime="2026-07-27T01:40:18" isNormal="0">
            <s:text>
              <s:r>
                <s:t xml:space="preserve">1001711 7/25 9600pcs</s:t>
              </s:r>
            </s:text>
          </item>
        </commentChain>
      </unresolved>
      <resolved/>
    </commentChains>
    <commentChains s:ref="AL1800" rgbClr="FF0000">
      <unresolved>
        <commentChain chainId="f4f274ebd108214d85ae61d4d5479387961cbf5c">
          <item id="9ab4cda524df30a41022297699532686b1479be7" userID="1851561945" userName="石玉珍" dateTime="2026-07-04T13:11:08" isNormal="0">
            <s:text>
              <s:r>
                <s:t xml:space="preserve">7/3  客供RFID贴纸  9600pcs</s:t>
              </s:r>
            </s:text>
          </item>
        </commentChain>
      </unresolved>
      <resolved/>
    </commentChains>
    <commentChains s:ref="AI1801" rgbClr="FF0000">
      <unresolved>
        <commentChain chainId="ea4d0e63a5d1218db5869784856682e0c3936768">
          <item id="f5a8aa90257d6ab2be6091f479c935ae1dd7380c" userID="1851561945" userName="石玉珍" dateTime="2026-07-30T01:42:12" isNormal="0">
            <s:text>
              <s:r>
                <s:t xml:space="preserve">1001648 7/29 1300pcs</s:t>
              </s:r>
            </s:text>
          </item>
        </commentChain>
      </unresolved>
      <resolved/>
    </commentChains>
    <commentChains s:ref="AL1801" rgbClr="FF0000">
      <unresolved>
        <commentChain chainId="f14312e83efb4dd42c9e33386a117b56bc615b88">
          <item id="602bf1e1b044764cff2ceeed87e8cc2405032ba5" userID="1851561945" userName="石玉珍" dateTime="2026-07-15T05:50:14" isNormal="0">
            <s:text>
              <s:r>
                <s:t xml:space="preserve">7/13 客户进口商贴纸 1300pcs</s:t>
              </s:r>
            </s:text>
          </item>
        </commentChain>
      </unresolved>
      <resolved/>
    </commentChains>
    <commentChains s:ref="AI1802" rgbClr="FF0000">
      <unresolved>
        <commentChain chainId="d2a2a83265b288da8f5d83da13baa18c2e57164e">
          <item id="4f2afdc3810a5ab6b50709368937a41ff4c18399" userID="1851561945" userName="石玉珍" dateTime="2026-07-30T03:20:04" isNormal="0">
            <s:text>
              <s:r>
                <s:t xml:space="preserve">2801374 7/29 600pcs</s:t>
              </s:r>
            </s:text>
          </item>
        </commentChain>
      </unresolved>
      <resolved/>
    </commentChains>
    <commentChains s:ref="AL1802" rgbClr="FF0000">
      <unresolved>
        <commentChain chainId="e599b8a7ef1a89b79244ab9e19937c719473ff04">
          <item id="e9c5116794b156c6c743c187a863df8e7224a113" userID="1851561945" userName="石玉珍" dateTime="2026-07-16T11:47:27" isNormal="0">
            <s:text>
              <s:r>
                <s:t xml:space="preserve">7/16 进口商贴纸 600pcs</s:t>
              </s:r>
            </s:text>
          </item>
          <item id="a00b917cee129b93cf48a4b5ba3ec7a66471495b" userID="1851561945" userName="石玉珍" dateTime="2026-07-16T11:47:36" isNormal="0">
            <s:text>
              <s:r>
                <s:t xml:space="preserve">空白贴纸 1200pcs</s:t>
              </s:r>
            </s:text>
          </item>
        </commentChain>
      </unresolved>
      <resolved/>
    </commentChains>
    <commentChains s:ref="AI1803" rgbClr="FF0000">
      <unresolved>
        <commentChain chainId="720c84616499900e795a2e446ac8e15170467289">
          <item id="880feb9b5a67863f40786f4662ea70aea4042607" userID="1851561945" userName="石玉珍" dateTime="2026-07-28T11:42:26" isNormal="0">
            <s:text>
              <s:r>
                <s:t xml:space="preserve">1001681 7/28 2509pcs</s:t>
              </s:r>
            </s:text>
          </item>
        </commentChain>
      </unresolved>
      <resolved/>
    </commentChains>
    <commentChains s:ref="AL1803" rgbClr="FF0000">
      <unresolved>
        <commentChain chainId="7f79184b7acba1e6c41fcea7a9142b4ddaeca6ad">
          <item id="f81c7207aff2ba5a31a70ba0fee3ad8b120c4f39" userID="1851561945" userName="石玉珍" dateTime="2026-07-15T05:47:33" isNormal="0">
            <s:text>
              <s:r>
                <s:t xml:space="preserve">7/13 大语警告语贴 2509pcs
小语警告语贴 17563pcs
丹麦瑞典芬兰挪威警告语贴纸 2509pcs</s:t>
              </s:r>
            </s:text>
          </item>
        </commentChain>
      </unresolved>
      <resolved/>
    </commentChains>
    <commentChains s:ref="AI1804" rgbClr="FF0000">
      <unresolved>
        <commentChain chainId="2f720123f9eceac21bd76539175876551e831aa0">
          <item id="e8f7531c616563433ae64413accc5d3005405820" userID="1851561945" userName="石玉珍" dateTime="2026-07-30T03:19:15" isNormal="0">
            <s:text>
              <s:r>
                <s:t xml:space="preserve">2801374 7/29 800pcs</s:t>
              </s:r>
            </s:text>
          </item>
        </commentChain>
      </unresolved>
      <resolved/>
    </commentChains>
    <commentChains s:ref="AI1805" rgbClr="FF0000">
      <unresolved>
        <commentChain chainId="b8b1eaa828b54e77c1b7c5db5eb0cde9ab2b6d75">
          <item id="a6a99aaee5f41f85a46ce36746d2f7292c67598d" userID="1851561945" userName="石玉珍" dateTime="2026-07-28T00:40:03" isNormal="0">
            <s:text>
              <s:r>
                <s:t xml:space="preserve">1001695 7/27 2500pcs</s:t>
              </s:r>
            </s:text>
          </item>
        </commentChain>
      </unresolved>
      <resolved/>
    </commentChains>
    <commentChains s:ref="AL1805" rgbClr="FF0000">
      <unresolved>
        <commentChain chainId="a22767f85b5eec71a807ff09affed3e745a6fce7">
          <item id="ef1738b433a47fb466471745433f467b00a96135" userID="1851561945" userName="石玉珍" dateTime="2026-07-13T11:13:52" isNormal="0">
            <s:text>
              <s:r>
                <s:t xml:space="preserve">7/13 进口商贴纸 2500pcs
PDQ贴纸 100pcs</s:t>
              </s:r>
            </s:text>
          </item>
        </commentChain>
      </unresolved>
      <resolved/>
    </commentChains>
    <commentChains s:ref="AI1806" rgbClr="FF0000">
      <unresolved>
        <commentChain chainId="9d3fbdab4c2c8e02022ccbb1a2dccc89ebf7561d">
          <item id="77aac896c1720e047701f2c7dd79dee0eb9287ed" userID="1851561945" userName="石玉珍" dateTime="2026-07-30T01:29:17" isNormal="0">
            <s:text>
              <s:r>
                <s:t xml:space="preserve">1001641 7/29 1000pcs</s:t>
              </s:r>
            </s:text>
          </item>
        </commentChain>
      </unresolved>
      <resolved/>
    </commentChains>
    <commentChains s:ref="AL1806" rgbClr="FF0000">
      <unresolved>
        <commentChain chainId="2fe7b05cdac5aa2466f09cb50702d5b8015e548f">
          <item id="1cf6b510da88daf1b45e466a1e3ea0f84a1803e8" userID="1851561945" userName="石玉珍" dateTime="2026-07-15T06:38:13" isNormal="0">
            <s:text>
              <s:r>
                <s:t xml:space="preserve">7/14 大语警告语贴 1000pcs
小语警告语贴 7000pcs
丹麦瑞典芬兰挪威警告语贴纸 1000pcs</s:t>
              </s:r>
            </s:text>
          </item>
        </commentChain>
      </unresolved>
      <resolved/>
    </commentChains>
    <commentChains s:ref="AI1807" rgbClr="FF0000">
      <unresolved>
        <commentChain chainId="d5126b4e30b1427a29ef89e592252c2da1d594b3">
          <item id="ff4dffa508333499de6b256f5fcfe72e3e18aab3" userID="1851561945" userName="石玉珍" dateTime="2026-07-28T00:41:51" isNormal="0">
            <s:text>
              <s:r>
                <s:t xml:space="preserve">1001697 7/27 6000pcs</s:t>
              </s:r>
            </s:text>
          </item>
        </commentChain>
      </unresolved>
      <resolved/>
    </commentChains>
    <commentChains s:ref="AL1807" rgbClr="FF0000">
      <unresolved>
        <commentChain chainId="c842731a1cd22369d5ecc070a68e9cff65e3e482">
          <item id="c2dbb7a20781c4d322a6c0f81768d645a4d9e802" userID="1851561945" userName="石玉珍" dateTime="2026-07-09T12:47:26" isNormal="0">
            <s:text>
              <s:r>
                <s:t xml:space="preserve">7/9 客供价格贴纸 6000pcs</s:t>
              </s:r>
            </s:text>
          </item>
          <item id="cfee756a40915f48836a4cfa469339348d3d1e08" userID="1851561945" userName="石玉珍" dateTime="2026-07-16T11:42:40" isNormal="0">
            <s:text>
              <s:r>
                <s:t xml:space="preserve">7/16 空白贴纸 12000pcs</s:t>
              </s:r>
            </s:text>
          </item>
        </commentChain>
      </unresolved>
      <resolved/>
    </commentChains>
    <commentChains s:ref="AI1808" rgbClr="FF0000">
      <unresolved>
        <commentChain chainId="8d966a2dedd7578bf24f43fb9fc99c5da4a32ecd">
          <item id="2601ec86d1d44b68532d908192901e2b5a2f5786" userID="1851561945" userName="石玉珍" dateTime="2026-07-30T01:29:47" isNormal="0">
            <s:text>
              <s:r>
                <s:t xml:space="preserve">1001641 7/29 6000pcs</s:t>
              </s:r>
            </s:text>
          </item>
        </commentChain>
      </unresolved>
      <resolved/>
    </commentChains>
    <commentChains s:ref="AL1808" rgbClr="FF0000">
      <unresolved>
        <commentChain chainId="f40c1526afe3365d66f7395f81cd148ee6d2fde2">
          <item id="2f349c9fc9699cf5158a63dd1221d0305c9d9726" userID="1851561945" userName="石玉珍" dateTime="2026-07-13T05:56:25" isNormal="0">
            <s:text>
              <s:r>
                <s:t xml:space="preserve">7/11 客供价格贴纸 6000pcs.</s:t>
              </s:r>
            </s:text>
          </item>
          <item id="8d9856e7a09ed9e48d4a06b68b4af0afd9ee5b17" userID="1851561945" userName="石玉珍" dateTime="2026-07-16T11:43:28" isNormal="0">
            <s:text>
              <s:r>
                <s:t xml:space="preserve">7/16 空白贴纸 6000*2pcs</s:t>
              </s:r>
            </s:text>
          </item>
        </commentChain>
      </unresolved>
      <resolved/>
    </commentChains>
    <commentChains s:ref="AI1809" rgbClr="FF0000">
      <unresolved>
        <commentChain chainId="b79614314e566b91f1ea6998d3ab3e2c7836b61d">
          <item id="5ac9b2b55c12f24c3dde0f52b70c0f2cb97a2114" userID="1851561945" userName="石玉珍" dateTime="2026-07-28T00:39:24" isNormal="0">
            <s:text>
              <s:r>
                <s:t xml:space="preserve">1001695 7/27 4000pcs</s:t>
              </s:r>
            </s:text>
          </item>
        </commentChain>
      </unresolved>
      <resolved/>
    </commentChains>
    <commentChains s:ref="AL1809" rgbClr="FF0000">
      <unresolved>
        <commentChain chainId="46730adb2912be8dfa21f831aae33bcf40eb463f">
          <item id="b324b718141a9b94f7a8bc0ae3c99e3ccd2c18f4" userID="1851561945" userName="石玉珍" dateTime="2026-07-21T13:39:33" isNormal="0">
            <s:text>
              <s:r>
                <s:t xml:space="preserve">7/21 冰棒款-说明书荷/蛋糕款-说明书荷/布了款-说明书荷/德语callout/德意 4000pcs</s:t>
              </s:r>
            </s:text>
          </item>
        </commentChain>
      </unresolved>
      <resolved/>
    </commentChains>
    <commentChains s:ref="AI1810" rgbClr="FF0000">
      <unresolved>
        <commentChain chainId="d846d310c2881ee2604a67cf0d97a83e94ee8f67">
          <item id="c74a647262d384ac6caa8eb15b46e6508e2d547d" userID="1851561945" userName="石玉珍" dateTime="2026-07-28T11:41:39" isNormal="0">
            <s:text>
              <s:r>
                <s:t xml:space="preserve">1001681 7/28 975pcs</s:t>
              </s:r>
            </s:text>
          </item>
        </commentChain>
      </unresolved>
      <resolved/>
    </commentChains>
    <commentChains s:ref="AI1811" rgbClr="FF0000">
      <unresolved>
        <commentChain chainId="49a08199b2bf457c3049e287a39dc1fc7f4c9cc7">
          <item id="552c9763b57c226571b2ce6d9ac12af1b2971e2f" userID="1851561945" userName="石玉珍" dateTime="2026-07-28T12:00:22" isNormal="0">
            <s:text>
              <s:r>
                <s:t xml:space="preserve">2801369 7/28 378pcs</s:t>
              </s:r>
            </s:text>
          </item>
          <item id="8a90efadf4e2cf0d78b09418b21a5230d795e7a6" userID="1851561945" userName="石玉珍" dateTime="2026-08-01T09:40:14" isNormal="0">
            <s:text>
              <s:r>
                <s:t xml:space="preserve">7/28 2801371 822pcs</s:t>
              </s:r>
            </s:text>
          </item>
        </commentChain>
      </unresolved>
      <resolved/>
    </commentChains>
    <commentChains s:ref="AL1811" rgbClr="FF0000">
      <unresolved>
        <commentChain chainId="1b4694476f005727c4a7ae2c7f09ed5a15fd4abf">
          <item id="7ae9c46e4e594b7c62c0ecdb1337ac25597c900e" userID="1851561945" userName="石玉珍" dateTime="2026-07-15T05:48:26" isNormal="0">
            <s:text>
              <s:r>
                <s:t xml:space="preserve">7/13 客户进口商贴纸 1200pcs
EAN贴纸 1200pcs
空白贴纸 2400pcs</s:t>
              </s:r>
            </s:text>
          </item>
        </commentChain>
      </unresolved>
      <resolved/>
    </commentChains>
    <commentChains s:ref="AI1812" rgbClr="FF0000">
      <unresolved>
        <commentChain chainId="183a9b1a7f49cd6c87c8f1d41c17443337fc3d24">
          <item id="26319a98052ad32c63b659d7705868e42d9494ef" userID="1851561945" userName="石玉珍" dateTime="2026-07-30T01:31:06" isNormal="0">
            <s:text>
              <s:r>
                <s:t xml:space="preserve">1001643 7/29 7800pcs</s:t>
              </s:r>
            </s:text>
          </item>
        </commentChain>
      </unresolved>
      <resolved/>
    </commentChains>
    <commentChains s:ref="AL1812" rgbClr="FF0000">
      <unresolved>
        <commentChain chainId="d9b65c8b2a4c4db3ea1d195e64cabb80a2a3a7d7">
          <item id="53da159f146a1957459ea629326e7f7a39cf3a55" userID="1851561945" userName="石玉珍" dateTime="2026-07-15T06:30:20" isNormal="0">
            <s:text>
              <s:r>
                <s:t xml:space="preserve">7/14 客供防窜码贴纸1拖13 600pcs</s:t>
              </s:r>
            </s:text>
          </item>
          <item id="f242f6a7bab8aad0e2c0b6a090ab0f8ff418f125" userID="1851561945" userName="石玉珍" dateTime="2026-07-15T11:16:38" isNormal="0">
            <s:text>
              <s:r>
                <s:t xml:space="preserve">7/15 条码贴纸 7800pcs</s:t>
              </s:r>
            </s:text>
          </item>
        </commentChain>
      </unresolved>
      <resolved/>
    </commentChains>
    <commentChains s:ref="AI1813" rgbClr="FF0000">
      <unresolved>
        <commentChain chainId="f8eddf9933d47f8dd29d026a0ee837d24ade98e3">
          <item id="11375b44aff8e945b90f40da7a20ed2193a94a4c" userID="1851561945" userName="石玉珍" dateTime="2026-07-30T01:43:19" isNormal="0">
            <s:text>
              <s:r>
                <s:t xml:space="preserve">1001648 7/29 2600pcs</s:t>
              </s:r>
            </s:text>
          </item>
        </commentChain>
      </unresolved>
      <resolved/>
    </commentChains>
    <commentChains s:ref="AL1813" rgbClr="FF0000">
      <unresolved>
        <commentChain chainId="cbf2d665dd877cd3b8342635e4990e3c0fb816fa">
          <item id="e2bd75916845502bcb4dbe46db53bf45decb4267" userID="1851561945" userName="石玉珍" dateTime="2026-07-15T06:30:32" isNormal="0">
            <s:text>
              <s:r>
                <s:t xml:space="preserve">7/14 客供防窜码贴纸1拖13 200pcs</s:t>
              </s:r>
            </s:text>
          </item>
          <item id="1384e33f62a46886ad810aa28f0d347646573415" userID="1851561945" userName="石玉珍" dateTime="2026-07-15T11:16:51" isNormal="0">
            <s:text>
              <s:r>
                <s:t xml:space="preserve">7/15 条码贴纸 2600pcs</s:t>
              </s:r>
            </s:text>
          </item>
        </commentChain>
      </unresolved>
      <resolved/>
    </commentChains>
    <commentChains s:ref="AI1814" rgbClr="FF0000">
      <unresolved>
        <commentChain chainId="ae83e3b14d994f33bc20da6c5c8cb0dfb5dfc2cd">
          <item id="177ebc2f50f00cb4788b2cde65a04f36884be26e" userID="1851561945" userName="石玉珍" dateTime="2026-07-30T01:43:24" isNormal="0">
            <s:text>
              <s:r>
                <s:t xml:space="preserve">1001648 7/29 5200pcs</s:t>
              </s:r>
            </s:text>
          </item>
        </commentChain>
      </unresolved>
      <resolved/>
    </commentChains>
    <commentChains s:ref="AL1814" rgbClr="FF0000">
      <unresolved>
        <commentChain chainId="222644957ce6de5e33ff19a6b36d182354b2fa3c">
          <item id="a25096b9881a2b8f02a33bb069eaed7dd376ba8b" userID="1851561945" userName="石玉珍" dateTime="2026-07-15T06:30:36" isNormal="0">
            <s:text>
              <s:r>
                <s:t xml:space="preserve">7/14 客供防窜码贴纸1拖13 400pcs</s:t>
              </s:r>
            </s:text>
          </item>
          <item id="994b96e2e3e21ca144ab46e8fe7b0c0bc7c7cf26" userID="1851561945" userName="石玉珍" dateTime="2026-07-15T11:16:55" isNormal="0">
            <s:text>
              <s:r>
                <s:t xml:space="preserve">7/15 条码贴纸 5200pcs</s:t>
              </s:r>
            </s:text>
          </item>
        </commentChain>
      </unresolved>
      <resolved/>
    </commentChains>
    <commentChains s:ref="AI1815" rgbClr="FF0000">
      <unresolved>
        <commentChain chainId="5d01ed3f2e171b931e2d420f84da639a563d33c4">
          <item id="373720d9f629b575250296989c7dcc4e2a198f37" userID="1851561945" userName="石玉珍" dateTime="2026-07-28T11:59:26" isNormal="0">
            <s:text>
              <s:r>
                <s:t xml:space="preserve">2800335 7/28 26000pcs</s:t>
              </s:r>
            </s:text>
          </item>
        </commentChain>
      </unresolved>
      <resolved/>
    </commentChains>
    <commentChains s:ref="AL1815" rgbClr="FF0000">
      <unresolved>
        <commentChain chainId="05422d2195994674f67ff53a5ec4eacbb2f24134">
          <item id="fb815fd0ebaa2bbef6eed4549107e1e96be7d1c2" userID="1851561945" userName="石玉珍" dateTime="2026-07-15T06:30:42" isNormal="0">
            <s:text>
              <s:r>
                <s:t xml:space="preserve">7/14 客供防窜码贴纸1拖13 2000pcs</s:t>
              </s:r>
            </s:text>
          </item>
          <item id="15aa931d0696b914fb212c8afdcf85f0ed2b1016" userID="1851561945" userName="石玉珍" dateTime="2026-07-15T11:17:01" isNormal="0">
            <s:text>
              <s:r>
                <s:t xml:space="preserve">7/15 条码贴纸 26000pcs</s:t>
              </s:r>
            </s:text>
          </item>
        </commentChain>
      </unresolved>
      <resolved/>
    </commentChains>
    <commentChains s:ref="AI1816" rgbClr="FF0000">
      <unresolved>
        <commentChain chainId="1a66f7d06a5f384e026c9dfafa0dd2a140349450">
          <item id="be93b5461fe82c57e9c3aec86dd51620412f27e1" userID="1851561945" userName="石玉珍" dateTime="2026-07-28T12:01:00" isNormal="0">
            <s:text>
              <s:r>
                <s:t xml:space="preserve">2801369 7/28 6600pcs</s:t>
              </s:r>
            </s:text>
          </item>
        </commentChain>
      </unresolved>
      <resolved/>
    </commentChains>
    <commentChains s:ref="AL1816" rgbClr="FF0000">
      <unresolved>
        <commentChain chainId="3d83fc24983a653479cb96d64bd90baaad16a0df">
          <item id="234a1766850b8e83375060045fc0e1953fd25738" userID="1851561945" userName="石玉珍" dateTime="2026-07-15T11:21:58" isNormal="0">
            <s:text>
              <s:r>
                <s:t xml:space="preserve">7/15 3c贴纸 6600pcs</s:t>
              </s:r>
            </s:text>
          </item>
          <item id="e7f7c3f534cba2dd0685c330f615991a1deabfd9" userID="1851561945" userName="石玉珍" dateTime="2026-07-15T11:23:21" isNormal="0">
            <s:text>
              <s:r>
                <s:t xml:space="preserve">7/15 颜色贴纸 6600pcs</s:t>
              </s:r>
            </s:text>
          </item>
          <item id="1a81a73d4026943b03319eec5746545137bd68d7" userID="1851561945" userName="石玉珍" dateTime="2026-07-16T11:50:31" isNormal="0">
            <s:text>
              <s:r>
                <s:t xml:space="preserve">7/16 空白贴纸 6600pcs*2</s:t>
              </s:r>
            </s:text>
          </item>
          <item id="7a067aadddb14cd307c23fa12ae8224e60c0d6b9" userID="1851561945" userName="石玉珍" dateTime="2026-07-17T12:58:25" isNormal="0">
            <s:text>
              <s:r>
                <s:t xml:space="preserve">7/16 客供芯片码贴纸 6600pcs</s:t>
              </s:r>
            </s:text>
          </item>
        </commentChain>
      </unresolved>
      <resolved/>
    </commentChains>
    <commentChains s:ref="AI1817" rgbClr="FF0000">
      <unresolved>
        <commentChain chainId="30fedd6df90b62fc103cf181dc934323746d8fbb">
          <item id="67b5e14af56ce06daff8392587c7c5935256a58b" userID="1851561945" userName="石玉珍" dateTime="2026-07-31T01:43:08" isNormal="0">
            <s:text>
              <s:r>
                <s:t xml:space="preserve">1001664 7/30 900pcs</s:t>
              </s:r>
            </s:text>
          </item>
        </commentChain>
      </unresolved>
      <resolved/>
    </commentChains>
    <commentChains s:ref="AL1817" rgbClr="FF0000">
      <unresolved>
        <commentChain chainId="d9477253a1f11fc512cebc4c1f31cb21d89d6ef5">
          <item id="41467452d850a9d34a4bf1d3f894ca52e7d264bf" userID="1851561945" userName="石玉珍" dateTime="2026-07-18T11:48:51" isNormal="0">
            <s:text>
              <s:r>
                <s:t xml:space="preserve">7/18 进口商贴纸 900pcs</s:t>
              </s:r>
            </s:text>
          </item>
        </commentChain>
      </unresolved>
      <resolved/>
    </commentChains>
    <commentChains s:ref="AI1818" rgbClr="FF0000">
      <unresolved>
        <commentChain chainId="23944a7e6f310bfe6f1769957d145f523169e174">
          <item id="e526ea4a4d860eccd394cd78327a685668d50047" userID="1851561945" userName="石玉珍" dateTime="2026-07-31T01:43:52" isNormal="0">
            <s:text>
              <s:r>
                <s:t xml:space="preserve">1001664 7/30 455pcs</s:t>
              </s:r>
            </s:text>
          </item>
        </commentChain>
      </unresolved>
      <resolved/>
    </commentChains>
    <commentChains s:ref="AL1818" rgbClr="FF0000">
      <unresolved>
        <commentChain chainId="99d576e7e9797084b8a0cf3ec40529de28f43ccf">
          <item id="925c58866bf988288d4e46690450c7e0fb9c11c8" userID="1851561945" userName="石玉珍" dateTime="2026-07-15T12:22:10" isNormal="0">
            <s:text>
              <s:r>
                <s:t xml:space="preserve">7/15 进口商贴纸 455pcs</s:t>
              </s:r>
            </s:text>
          </item>
        </commentChain>
      </unresolved>
      <resolved/>
    </commentChains>
    <commentChains s:ref="AI1819" rgbClr="FF0000">
      <unresolved>
        <commentChain chainId="62209239e7390f5cd329460f1147037532b647a2">
          <item id="9bb7c8be7ad3b2d9b3c8e5204d9d00a3becb6847" userID="1851561945" userName="石玉珍" dateTime="2026-07-30T12:10:39" isNormal="0">
            <s:text>
              <s:r>
                <s:t xml:space="preserve">1001662 7/30 5004pcs  </s:t>
              </s:r>
            </s:text>
          </item>
        </commentChain>
      </unresolved>
      <resolved/>
    </commentChains>
    <commentChains s:ref="AL1819" rgbClr="FF0000">
      <unresolved>
        <commentChain chainId="ef91dad2ad4d59ef47cf55fb476922e3e16eb307">
          <item id="1236b0383c051b33bb68c758de16af6d4fcd360e" userID="1851561945" userName="石玉珍" dateTime="2026-06-12T08:04:23" isNormal="0">
            <s:text>
              <s:r>
                <s:t xml:space="preserve">6/10  客供价格贴纸 5004pcs</s:t>
              </s:r>
            </s:text>
          </item>
        </commentChain>
      </unresolved>
      <resolved/>
    </commentChains>
    <commentChains s:ref="AI1820" rgbClr="FF0000">
      <unresolved>
        <commentChain chainId="6a6b5f0aa6a66f9d9c787f9416430492dcd48fc7">
          <item id="1b4deee9a65de3f0be3665e14f2367d27473f8d0" userID="1851561945" userName="石玉珍" dateTime="2026-07-31T01:45:41" isNormal="0">
            <s:text>
              <s:r>
                <s:t xml:space="preserve">1001664 7/30 3887pcs</s:t>
              </s:r>
            </s:text>
          </item>
          <item id="681f94a11ae29dfea498f946aa744146e70d5f77" userID="1851561945" userName="石玉珍" dateTime="2026-08-05T01:02:06" isNormal="0">
            <s:text>
              <s:r>
                <s:t xml:space="preserve">1001556 8/4 13pcs</s:t>
              </s:r>
            </s:text>
          </item>
        </commentChain>
      </unresolved>
      <resolved/>
    </commentChains>
    <commentChains s:ref="AL1820" rgbClr="FF0000">
      <unresolved>
        <commentChain chainId="fbc6da42e5165daa73e31d03d903449bba847e5d">
          <item id="27b4599cb37e55aad0335ddcc90f7074b2aa3b9e" userID="1851561945" userName="石玉珍" dateTime="2026-07-20T13:21:04" isNormal="0">
            <s:text>
              <s:r>
                <s:t xml:space="preserve">7/20 多语警语折叠贴纸 3900pcs</s:t>
              </s:r>
            </s:text>
          </item>
        </commentChain>
      </unresolved>
      <resolved/>
    </commentChains>
    <commentChains s:ref="AI1821" rgbClr="FF0000">
      <unresolved>
        <commentChain chainId="5bc6b0ceb443d6992c167512a9e853fa111395b5">
          <item id="b8413032800e421689a01d59be5667a8226d1634" userID="1851561945" userName="石玉珍" dateTime="2026-07-30T12:10:13" isNormal="0">
            <s:text>
              <s:r>
                <s:t xml:space="preserve">1001662 7/30 1800pcs </s:t>
              </s:r>
            </s:text>
          </item>
        </commentChain>
      </unresolved>
      <resolved/>
    </commentChains>
    <commentChains s:ref="AI1822" rgbClr="FF0000">
      <unresolved>
        <commentChain chainId="846c14aef10cf21aa0983f6d673f1363f3d27472">
          <item id="3b6db6e9669992708c272416274cb64ac523176e" userID="1851561945" userName="石玉珍" dateTime="2026-07-31T01:47:38" isNormal="0">
            <s:text>
              <s:r>
                <s:t xml:space="preserve">1001664 7/30 3367pcs</s:t>
              </s:r>
            </s:text>
          </item>
        </commentChain>
      </unresolved>
      <resolved/>
    </commentChains>
    <commentChains s:ref="AL1822" rgbClr="FF0000">
      <unresolved>
        <commentChain chainId="e4d4ad872288a641c1ae12aeca41b6f13faca88b">
          <item id="eb1e770668a8ba28b075b9a3f0f903a8851042ec" userID="1851561945" userName="石玉珍" dateTime="2026-07-15T12:20:32" isNormal="0">
            <s:text>
              <s:r>
                <s:t xml:space="preserve">7/15 白色防盗贴纸 3367pcs</s:t>
              </s:r>
            </s:text>
          </item>
          <item id="c04be603bd8d0cbdf0789a0b942c9daef1297c02" userID="1851561945" userName="石玉珍" dateTime="2026-07-18T11:58:16" isNormal="0">
            <s:text>
              <s:r>
                <s:t xml:space="preserve">7/18 UPC条码贴纸 3367pcs</s:t>
              </s:r>
            </s:text>
          </item>
          <item id="652e01576109e73db5923e499990be689f9417b7" userID="1851561945" userName="石玉珍" dateTime="2026-07-22T08:10:10" isNormal="0">
            <s:text>
              <s:r>
                <s:t xml:space="preserve">7/21 Kmart外箱贴纸 259pcs</s:t>
              </s:r>
            </s:text>
          </item>
        </commentChain>
      </unresolved>
      <resolved/>
    </commentChains>
    <commentChains s:ref="AI1823" rgbClr="FF0000">
      <unresolved>
        <commentChain chainId="c19e0b40f4696d16f1e0462afcb4fdfa99b5d339">
          <item id="4a2313a009bbfbc07bb910629632780cb80a311e" userID="1851561945" userName="石玉珍" dateTime="2026-07-31T01:47:05" isNormal="0">
            <s:text>
              <s:r>
                <s:t xml:space="preserve">1001664 7/30 7150pcs</s:t>
              </s:r>
            </s:text>
          </item>
        </commentChain>
      </unresolved>
      <resolved/>
    </commentChains>
    <commentChains s:ref="AL1823" rgbClr="FF0000">
      <unresolved>
        <commentChain chainId="fee1df2b23cfc611e43046ec6f98d9a469dec8ad">
          <item id="127811622aca39ca08e7be5df4debc9ff47c8288" userID="1851561945" userName="石玉珍" dateTime="2026-07-22T08:14:07" isNormal="0">
            <s:text>
              <s:r>
                <s:t xml:space="preserve">7/21 法国语贴纸 4150pcs</s:t>
              </s:r>
            </s:text>
          </item>
        </commentChain>
      </unresolved>
      <resolved/>
    </commentChains>
    <commentChains s:ref="AI1824" rgbClr="FF0000">
      <unresolved>
        <commentChain chainId="636e0e97d8ea5a5395114faf82d6e5774810dd9d">
          <item id="c619a78b3a75be833744d669054bfa2a84a2c44b" userID="1851561945" userName="石玉珍" dateTime="2026-07-31T01:48:13" isNormal="0">
            <s:text>
              <s:r>
                <s:t xml:space="preserve">1001664 7/30 2600pcs</s:t>
              </s:r>
            </s:text>
          </item>
        </commentChain>
      </unresolved>
      <resolved/>
    </commentChains>
    <commentChains s:ref="AI1825" rgbClr="FF0000">
      <unresolved>
        <commentChain chainId="6b751f37eeed61a54c5ee824975bd5107dd6ee55">
          <item id="390857c4c9a275194fbc45caf694ac1cb3b8d2da" userID="1851561945" userName="石玉珍" dateTime="2026-07-31T01:44:34" isNormal="0">
            <s:text>
              <s:r>
                <s:t xml:space="preserve">1001664 7/30 2700pcs</s:t>
              </s:r>
            </s:text>
          </item>
        </commentChain>
      </unresolved>
      <resolved/>
    </commentChains>
    <commentChains s:ref="AI1826" rgbClr="FF0000">
      <unresolved>
        <commentChain chainId="0e5296384289be6e1a15b71051a890cde9d195e9">
          <item id="5e3cb459ff1710e2634ac78f3389ebf4a85a1264" userID="1851561945" userName="石玉珍" dateTime="2026-08-01T01:52:13" isNormal="0">
            <s:text>
              <s:r>
                <s:t xml:space="preserve">1001600 7/31 1248pcs</s:t>
              </s:r>
            </s:text>
          </item>
        </commentChain>
      </unresolved>
      <resolved/>
    </commentChains>
    <commentChains s:ref="AL1826" rgbClr="FF0000">
      <unresolved>
        <commentChain chainId="cafd25f8a3a978af3d2a9024ba4d753fc14d8cb9">
          <item id="0c2a74d5fa80e650bf3446de06d1d2f0a0d149ce" userID="1851561945" userName="石玉珍" dateTime="2026-06-20T00:31:29" isNormal="0">
            <s:text>
              <s:r>
                <s:t xml:space="preserve">6/18 H客供警语贴纸贴收藏指南 1290pcs
H客供警语贴黑白说明书 1290pcs
</s:t>
              </s:r>
            </s:text>
          </item>
          <item id="0562eeeecd81910700e01d6cefa90b043d5c509f" userID="1851561945" userName="石玉珍" dateTime="2026-06-20T00:32:23" isNormal="0">
            <s:text>
              <s:r>
                <s:t xml:space="preserve">H客供警语贴纸贴球底部 1290pcs</s:t>
              </s:r>
            </s:text>
          </item>
          <item id="edeebeea92aafac324ff2b9d8a8bc211c0ae549d" userID="1851561945" userName="石玉珍" dateTime="2026-07-15T11:17:46" isNormal="0">
            <s:text>
              <s:r>
                <s:t xml:space="preserve">7/15 UPC条码贴纸 1248pcs</s:t>
              </s:r>
            </s:text>
          </item>
          <item id="ca796cd57ee40d9593092f7f56a00e54aebfe76a" userID="1851561945" userName="石玉珍" dateTime="2026-07-21T13:40:30" isNormal="0">
            <s:text>
              <s:r>
                <s:t xml:space="preserve">7/21 收藏指南贴纸  180pcs</s:t>
              </s:r>
            </s:text>
          </item>
        </commentChain>
      </unresolved>
      <resolved/>
    </commentChains>
    <commentChains s:ref="AI1827" rgbClr="FF0000">
      <unresolved>
        <commentChain chainId="364bc95b63956b76172c53cde071ad8f7caaa17f">
          <item id="cf1565da5bb106893532bb4fe5bd57e9dffe0102" userID="1851561945" userName="石玉珍" dateTime="2026-08-03T01:03:47" isNormal="0">
            <s:text>
              <s:r>
                <s:t xml:space="preserve">1000397 8/1 4032pcs </s:t>
              </s:r>
            </s:text>
          </item>
          <item id="fe2dd1556b18177b4f012c2feae9fac148aa11e4" userID="1851561945" userName="石玉珍" dateTime="2026-08-04T01:10:57" isNormal="0">
            <s:text>
              <s:r>
                <s:t xml:space="preserve">1000398 8/3 1368pcs</s:t>
              </s:r>
            </s:text>
          </item>
        </commentChain>
      </unresolved>
      <resolved/>
    </commentChains>
    <commentChains s:ref="AL1827" rgbClr="FF0000">
      <unresolved>
        <commentChain chainId="3f545875ef45328e54ccb721119d94dcfc5e5593">
          <item id="83687951ed9e13c9eb7bd991380e255ea445827e" userID="1851561945" userName="石玉珍" dateTime="2026-07-18T08:43:00" isNormal="0">
            <s:text>
              <s:r>
                <s:t xml:space="preserve">6/10 客供价格贴纸 5400pcs
 </s:t>
              </s:r>
            </s:text>
          </item>
        </commentChain>
      </unresolved>
      <resolved/>
    </commentChains>
    <commentChains s:ref="AI1828" rgbClr="FF0000">
      <unresolved>
        <commentChain chainId="1891d29838d161aa78c3f825d350afb0aa8dd773">
          <item id="011474e9112a652b7300ab227af3e0d21cc07df9" userID="1851561945" userName="石玉珍" dateTime="2026-08-01T01:37:33" isNormal="0">
            <s:text>
              <s:r>
                <s:t xml:space="preserve">1001636 7/31 624pcs </s:t>
              </s:r>
            </s:text>
          </item>
        </commentChain>
      </unresolved>
      <resolved/>
    </commentChains>
    <commentChains s:ref="AL1828" rgbClr="FF0000">
      <unresolved>
        <commentChain chainId="49fe00950af712f6bd5a2efe0104749ca920b183">
          <item id="ce608ef452bb0dabdb4c0753da6e7a29e2a809db" userID="1851561945" userName="石玉珍" dateTime="2026-07-15T12:11:13" isNormal="0">
            <s:text>
              <s:r>
                <s:t xml:space="preserve">7/15 通用进口商贴纸 624pcs</s:t>
              </s:r>
            </s:text>
          </item>
          <item id="fe2cf714354b0b76a03d2c9e9cbab41d25d0c1d5" userID="1851561945" userName="石玉珍" dateTime="2026-07-15T12:11:20" isNormal="0">
            <s:text>
              <s:r>
                <s:t xml:space="preserve">UPC贴纸 624pcs</s:t>
              </s:r>
            </s:text>
          </item>
        </commentChain>
      </unresolved>
      <resolved/>
    </commentChains>
    <commentChains s:ref="AI1829" rgbClr="FF0000">
      <unresolved>
        <commentChain chainId="2d9ce17b53a6ee0fe583f451bf44163318b77354">
          <item id="089a0416edf9e02f8ee70c8fad312f0ce23c8801" userID="1851561945" userName="石玉珍" dateTime="2026-08-04T01:10:17" isNormal="0">
            <s:text>
              <s:r>
                <s:t xml:space="preserve">1000398 8/3 2704pcs</s:t>
              </s:r>
            </s:text>
          </item>
        </commentChain>
      </unresolved>
      <resolved/>
    </commentChains>
    <commentChains s:ref="AL1829" rgbClr="FF0000">
      <unresolved>
        <commentChain chainId="8140c846db6788c7e894ede88d9c28c87c34b950">
          <item id="5c11b2cd19d51b44fc785e957151e2860c6ee919" userID="1851561945" userName="石玉珍" dateTime="2026-07-18T08:43:33" isNormal="0">
            <s:text>
              <s:r>
                <s:t xml:space="preserve">6710 客供价格贴纸 2704pcs</s:t>
              </s:r>
            </s:text>
          </item>
        </commentChain>
      </unresolved>
      <resolved/>
    </commentChains>
    <commentChains s:ref="AI1830" rgbClr="FF0000">
      <unresolved>
        <commentChain chainId="67c6283aaefe70cb40adf91eff1304f901f88c8d">
          <item id="2bc3a973ddda53a34cbf5a8ce904d5d671a9eaa4" userID="1851561945" userName="石玉珍" dateTime="2026-08-01T01:41:20" isNormal="0">
            <s:text>
              <s:r>
                <s:t xml:space="preserve">1001618 7/31 3996pcs</s:t>
              </s:r>
            </s:text>
          </item>
        </commentChain>
      </unresolved>
      <resolved/>
    </commentChains>
    <commentChains s:ref="AL1830" rgbClr="FF0000">
      <unresolved>
        <commentChain chainId="1937dca5891204a2509b5b911df016bc7fc5ee51">
          <item id="54d3ee9891fe0e0f96b64cbc7d93da90fc0da93c" userID="1851561945" userName="石玉珍" dateTime="2026-07-09T12:47:58" isNormal="0">
            <s:text>
              <s:r>
                <s:t xml:space="preserve">7/9 客供价格贴纸 3996pcs</s:t>
              </s:r>
            </s:text>
          </item>
          <item id="c09763bad6948b4a705e97ba2b8e778d7b7015ac" userID="1851561945" userName="石玉珍" dateTime="2026-07-16T11:43:12" isNormal="0">
            <s:text>
              <s:r>
                <s:t xml:space="preserve">7/16 空白贴纸 3996*2pcs</s:t>
              </s:r>
            </s:text>
          </item>
        </commentChain>
      </unresolved>
      <resolved/>
    </commentChains>
    <commentChains s:ref="AI1831" rgbClr="FF0000">
      <unresolved>
        <commentChain chainId="7f30bf28b0c8ecd743cddfbfdd7fca85663ad2d2">
          <item id="9c90609732e30fa0088ec235deb161a1bde19d7e" userID="1851561945" userName="石玉珍" dateTime="2026-08-01T01:36:57" isNormal="0">
            <s:text>
              <s:r>
                <s:t xml:space="preserve">1001636 7/31 3996pcs </s:t>
              </s:r>
            </s:text>
          </item>
        </commentChain>
      </unresolved>
      <resolved/>
    </commentChains>
    <commentChains s:ref="AL1831" rgbClr="FF0000">
      <unresolved>
        <commentChain chainId="92317a0cc1076d46c584e7e199a87ddec1866a5a">
          <item id="8f7e85d8d860d6292c3054de2f1d6ec5e693accb" userID="1851561945" userName="石玉珍" dateTime="2026-07-09T12:48:37" isNormal="0">
            <s:text>
              <s:r>
                <s:t xml:space="preserve">7/9 客供价格贴纸 3996pcs</s:t>
              </s:r>
            </s:text>
          </item>
          <item id="a517584938b36b09b6fbce88ac3114d43951712b" userID="1851561945" userName="石玉珍" dateTime="2026-07-16T11:43:44" isNormal="0">
            <s:text>
              <s:r>
                <s:t xml:space="preserve">7/16 空白贴纸 3996*2pcs</s:t>
              </s:r>
            </s:text>
          </item>
        </commentChain>
      </unresolved>
      <resolved/>
    </commentChains>
    <commentChains s:ref="AI1832" rgbClr="FF0000">
      <unresolved>
        <commentChain chainId="9a3fe5764302934e6b3db91ff351ad3fda38a9a2">
          <item id="cfc28d9dfc979737e087234753f31a36bfd5fa2b" userID="1851561945" userName="石玉珍" dateTime="2026-07-31T01:45:08" isNormal="0">
            <s:text>
              <s:r>
                <s:t xml:space="preserve">1001664 7/30 4008pcs</s:t>
              </s:r>
            </s:text>
          </item>
        </commentChain>
      </unresolved>
      <resolved/>
    </commentChains>
    <commentChains s:ref="AL1832" rgbClr="FF0000">
      <unresolved>
        <commentChain chainId="047c189bee73e63e55de8e7b56046f2fbff2a68a">
          <item id="14e5bc81e57e231e773e7b3be1b166e71ccf5878" userID="1851561945" userName="石玉珍" dateTime="2026-07-13T05:56:51" isNormal="0">
            <s:text>
              <s:r>
                <s:t xml:space="preserve">7/11 客供价格贴纸 4008pcs.</s:t>
              </s:r>
            </s:text>
          </item>
          <item id="6bde49cd7a5044e42d45b52bb296fc4f0a8db148" userID="1851561945" userName="石玉珍" dateTime="2026-07-16T11:44:41" isNormal="0">
            <s:text>
              <s:r>
                <s:t xml:space="preserve">7/16 空白贴纸 4008*2pcs</s:t>
              </s:r>
            </s:text>
          </item>
        </commentChain>
      </unresolved>
      <resolved/>
    </commentChains>
    <commentChains s:ref="AI1833" rgbClr="FF0000">
      <unresolved>
        <commentChain chainId="d38a984cc4f452cb0fdeddf511e110caa343d696">
          <item id="a30427d01ce337f50bf61fb4623a6d0ea572e560" userID="1851561945" userName="石玉珍" dateTime="2026-08-01T01:47:53" isNormal="0">
            <s:text>
              <s:r>
                <s:t xml:space="preserve">1001623 7/31 4008pcs</s:t>
              </s:r>
            </s:text>
          </item>
        </commentChain>
      </unresolved>
      <resolved/>
    </commentChains>
    <commentChains s:ref="AL1833" rgbClr="FF0000">
      <unresolved>
        <commentChain chainId="ba7be6be37f6f71f7a23628bafded261bdbdb78c">
          <item id="2bfe0c49d128f9ac01cf6cdfbb3ef7aaaf2762ae" userID="1851561945" userName="石玉珍" dateTime="2026-07-13T05:57:08" isNormal="0">
            <s:text>
              <s:r>
                <s:t xml:space="preserve">7/11 客供价格贴纸 4008pcs.</s:t>
              </s:r>
            </s:text>
          </item>
          <item id="80d98a9e9af721d6c80741c5217e2cafa98b1106" userID="1851561945" userName="石玉珍" dateTime="2026-07-16T11:44:25" isNormal="0">
            <s:text>
              <s:r>
                <s:t xml:space="preserve">7/16 空白贴纸  4008*2pcs</s:t>
              </s:r>
            </s:text>
          </item>
        </commentChain>
      </unresolved>
      <resolved/>
    </commentChains>
    <commentChains s:ref="AI1834" rgbClr="FF0000">
      <unresolved>
        <commentChain chainId="9629241b0cdc3ce3408d5d9f6634cac19ede6ae9">
          <item id="632692d7b61f574133dcab114b2f99c3e804ac17" userID="1851561945" userName="石玉珍" dateTime="2026-08-01T01:41:46" isNormal="0">
            <s:text>
              <s:r>
                <s:t xml:space="preserve">1001618 7/31 600pcs</s:t>
              </s:r>
            </s:text>
          </item>
        </commentChain>
      </unresolved>
      <resolved/>
    </commentChains>
    <commentChains s:ref="AL1834" rgbClr="FF0000">
      <unresolved>
        <commentChain chainId="324515f5c9b4672c0d89528b91c35609865a88e7">
          <item id="cfadab5fafeeef2df20bbe6f31f6ec7f4ee10735" userID="1851561945" userName="石玉珍" dateTime="2026-07-22T08:13:22" isNormal="0">
            <s:text>
              <s:r>
                <s:t xml:space="preserve">7/21 警示语贴纸 600pcs</s:t>
              </s:r>
            </s:text>
          </item>
        </commentChain>
      </unresolved>
      <resolved/>
    </commentChains>
    <commentChains s:ref="AI1835" rgbClr="FF0000">
      <unresolved>
        <commentChain chainId="58dfd8979a4e2777b4539c9958d0d25a1b64801e">
          <item id="d97cb7d95cacfea0de2ccecd94bd6ca45227e644" userID="1851561945" userName="石玉珍" dateTime="2026-08-01T01:39:50" isNormal="0">
            <s:text>
              <s:r>
                <s:t xml:space="preserve">1001618 7/31 1404pcs
</s:t>
              </s:r>
            </s:text>
          </item>
        </commentChain>
      </unresolved>
      <resolved/>
    </commentChains>
    <commentChains s:ref="AL1835" rgbClr="FF0000">
      <unresolved>
        <commentChain chainId="6358c2eba6e8bfc4f7bc6664e1403fc267c45f51">
          <item id="4952a0d7fbc94b5b902b27fee21246630c6c6c6c" isNormal="1">
            <s:text>
              <s:r>
                <s:t xml:space="preserve">Administrator:
5/22 空白贴纸 订单数*2pcs
</s:t>
              </s:r>
            </s:text>
          </item>
          <item id="54035f8ed35759bb7cfd18a1aa599bc726da39dd" userID="1851561945" userName="石玉珍" dateTime="2026-07-09T12:45:22" isNormal="0">
            <s:text>
              <s:r>
                <s:t xml:space="preserve">7/9 客供价格贴纸 1404pcs</s:t>
              </s:r>
            </s:text>
          </item>
        </commentChain>
      </unresolved>
      <resolved/>
    </commentChains>
    <commentChains s:ref="AI1836" rgbClr="FF0000">
      <unresolved>
        <commentChain chainId="c205bccb09e33ae9213010dade409d5ceacca0d1">
          <item id="822d9b838afbacd1ddba996831fa0368d81142b3" userID="1851561945" userName="石玉珍" dateTime="2026-08-03T01:06:34" isNormal="0">
            <s:text>
              <s:r>
                <s:t xml:space="preserve">1001588 8/1 1596pcs</s:t>
              </s:r>
            </s:text>
          </item>
        </commentChain>
      </unresolved>
      <resolved/>
    </commentChains>
    <commentChains s:ref="AL1836" rgbClr="FF0000">
      <unresolved>
        <commentChain chainId="b0a63c5e72db6f6aa48e0134064b91ece84478fc">
          <item id="742b05804576b06358f02b297e7ef41a608948af" isNormal="1">
            <s:text>
              <s:r>
                <s:t xml:space="preserve">Administrator:
5/22 空白贴纸 订单数*2pcs
</s:t>
              </s:r>
            </s:text>
          </item>
          <item id="08510770dcc4e65deb9a4c370e474c809357284a" userID="1851561945" userName="石玉珍" dateTime="2026-07-13T05:55:12" isNormal="0">
            <s:text>
              <s:r>
                <s:t xml:space="preserve">7/11 客供价格贴纸 1596pcs.</s:t>
              </s:r>
            </s:text>
          </item>
        </commentChain>
      </unresolved>
      <resolved/>
    </commentChains>
    <commentChains s:ref="AI1837" rgbClr="FF0000">
      <unresolved>
        <commentChain chainId="3ebcee90d534240aa538064734ec171b65bf167d">
          <item id="c02e71e92694f11997c2629f6232ef2ac4d1f2db" userID="1851561945" userName="石玉珍" dateTime="2026-08-01T01:35:20" isNormal="0">
            <s:text>
              <s:r>
                <s:t xml:space="preserve">1001636 7/31 240pcs</s:t>
              </s:r>
            </s:text>
          </item>
        </commentChain>
      </unresolved>
      <resolved/>
    </commentChains>
    <commentChains s:ref="AL1837" rgbClr="FF0000">
      <unresolved>
        <commentChain chainId="258100d601e5ef5f3705a8b60e956207e379040a">
          <item id="44baa3a6c97e835b0fd08d1df7b52ed5b78eb8d2" userID="1851561945" userName="石玉珍" dateTime="2026-06-12T12:46:58" isNormal="0">
            <s:text>
              <s:r>
                <s:t xml:space="preserve">6/12 空白贴纸 480pcs</s:t>
              </s:r>
            </s:text>
          </item>
        </commentChain>
      </unresolved>
      <resolved/>
    </commentChains>
    <commentChains s:ref="AI1838" rgbClr="FF0000">
      <unresolved>
        <commentChain chainId="f5e1deaa9ebfecf5c683ccc973115ca08311339a">
          <item id="826e8df8dfffd4fc7ce08ccebb4f659b95952380" userID="1851561945" userName="石玉珍" dateTime="2026-08-01T01:35:26" isNormal="0">
            <s:text>
              <s:r>
                <s:t xml:space="preserve">1001636 7/31 204pcs</s:t>
              </s:r>
            </s:text>
          </item>
        </commentChain>
      </unresolved>
      <resolved/>
    </commentChains>
    <commentChains s:ref="AL1838" rgbClr="FF0000">
      <unresolved>
        <commentChain chainId="1c6d19d5c4d5b442d37b7794982658ede31b87df">
          <item id="23c1f241f0400d9388320c86ef9fb39c1dcf1955" userID="1851561945" userName="石玉珍" dateTime="2026-06-12T12:47:03" isNormal="0">
            <s:text>
              <s:r>
                <s:t xml:space="preserve">6/12 空白贴纸 408pcs</s:t>
              </s:r>
            </s:text>
          </item>
        </commentChain>
      </unresolved>
      <resolved/>
    </commentChains>
    <commentChains s:ref="AI1839" rgbClr="FF0000">
      <unresolved>
        <commentChain chainId="fd173eca4b9f6f84f48bdc7c835e67ff3c3fdcb7">
          <item id="9568b68a94fa57cbb9c7244c98a2e04ac751c01c" userID="1851561945" userName="石玉珍" dateTime="2026-08-01T01:48:45" isNormal="0">
            <s:text>
              <s:r>
                <s:t xml:space="preserve">1001623 7/31 1404pcs</s:t>
              </s:r>
            </s:text>
          </item>
        </commentChain>
      </unresolved>
      <resolved/>
    </commentChains>
    <commentChains s:ref="AL1839" rgbClr="FF0000">
      <unresolved>
        <commentChain chainId="6faf2d2e9380c8f051680d982b3320afb43fe902">
          <item id="fd82e7f8bf825782c6bc7be0a3ae125a4d090f41" userID="1851561945" userName="石玉珍" dateTime="2026-06-12T12:46:03" isNormal="0">
            <s:text>
              <s:r>
                <s:t xml:space="preserve">6/12 空白贴纸 2808pcs</s:t>
              </s:r>
            </s:text>
          </item>
          <item id="cea4cfdd761a2aaa332806bd058cc7d1116a7fa2" userID="1851561945" userName="石玉珍" dateTime="2026-06-16T12:27:15" isNormal="0">
            <s:text>
              <s:r>
                <s:t xml:space="preserve">6/16 客供价格贴纸 1404pcs</s:t>
              </s:r>
            </s:text>
          </item>
        </commentChain>
      </unresolved>
      <resolved/>
    </commentChains>
    <commentChains s:ref="AI1840" rgbClr="FF0000">
      <unresolved>
        <commentChain chainId="80a5e4a3edf5853d084b3b09f6ae8d8c0eed2674">
          <item id="1ed87214b9e31bf9444713fa7a9eb54e0f747ef9" userID="1851561945" userName="石玉珍" dateTime="2026-08-01T01:40:20" isNormal="0">
            <s:text>
              <s:r>
                <s:t xml:space="preserve">1001618 7/31 1404pcs</s:t>
              </s:r>
            </s:text>
          </item>
        </commentChain>
      </unresolved>
      <resolved/>
    </commentChains>
    <commentChains s:ref="AL1840" rgbClr="FF0000">
      <unresolved>
        <commentChain chainId="3cad0c59a20a3e71debd6c94610a50dd5c6881c2">
          <item id="f362ee55d37314697c996d50a389a667685d041b" userID="1851561945" userName="石玉珍" dateTime="2026-06-12T12:46:10" isNormal="0">
            <s:text>
              <s:r>
                <s:t xml:space="preserve">6/12 空白贴纸 672pcs</s:t>
              </s:r>
            </s:text>
          </item>
          <item id="0a18338eafdf3cfe6742603ff666a04c8f240185" userID="1851561945" userName="石玉珍" dateTime="2026-06-16T12:27:20" isNormal="0">
            <s:text>
              <s:r>
                <s:t xml:space="preserve">6/16 客供价格贴纸 336pcs</s:t>
              </s:r>
            </s:text>
          </item>
        </commentChain>
      </unresolved>
      <resolved/>
    </commentChains>
    <commentChains s:ref="AI1841" rgbClr="FF0000">
      <unresolved>
        <commentChain chainId="d65fa523b6deaf4a32a67008fa7b03d05a525fc2">
          <item id="821ff9abc4b9e54382132121af063fead3d85c44" userID="1851561945" userName="石玉珍" dateTime="2026-08-01T01:48:50" isNormal="0">
            <s:text>
              <s:r>
                <s:t xml:space="preserve">1001623 7/31 396pcs</s:t>
              </s:r>
            </s:text>
          </item>
        </commentChain>
      </unresolved>
      <resolved/>
    </commentChains>
    <commentChains s:ref="AL1841" rgbClr="FF0000">
      <unresolved>
        <commentChain chainId="d00f1cba7f93205a49e16fbb3aa777b5683f68df">
          <item id="ca92145f1000c89fdc77416a885939720c70b833" userID="1851561945" userName="石玉珍" dateTime="2026-06-12T12:46:21" isNormal="0">
            <s:text>
              <s:r>
                <s:t xml:space="preserve">6/12 空白贴纸 792pcs</s:t>
              </s:r>
            </s:text>
          </item>
          <item id="a7dce46961a89625f17ce267ac380be1e29b099a" userID="1851561945" userName="石玉珍" dateTime="2026-06-16T12:27:26" isNormal="0">
            <s:text>
              <s:r>
                <s:t xml:space="preserve">6/16 客供价格贴纸 396pcs</s:t>
              </s:r>
            </s:text>
          </item>
        </commentChain>
      </unresolved>
      <resolved/>
    </commentChains>
    <commentChains s:ref="AI1842" rgbClr="FF0000">
      <unresolved>
        <commentChain chainId="f9c63bf2debd89397b3b2a6b8e91b88592bcd92a">
          <item id="3e449e4dabe1386be08a585bc4cc0c10c64c16e2" userID="1851561945" userName="石玉珍" dateTime="2026-08-01T01:48:56" isNormal="0">
            <s:text>
              <s:r>
                <s:t xml:space="preserve">1001623 7/31 1596pcs</s:t>
              </s:r>
            </s:text>
          </item>
        </commentChain>
      </unresolved>
      <resolved/>
    </commentChains>
    <commentChains s:ref="AL1842" rgbClr="FF0000">
      <unresolved>
        <commentChain chainId="b0af055327c954029c5ccaa73d2fdb68ed5fb992">
          <item id="9761d647c5afee88a0383e6be853d8bebe588f4d" userID="1851561945" userName="石玉珍" dateTime="2026-06-12T12:46:16" isNormal="0">
            <s:text>
              <s:r>
                <s:t xml:space="preserve">6/12 空白贴纸 3192pcs</s:t>
              </s:r>
            </s:text>
          </item>
          <item id="6562d6956978189f56e9c9c64ed871607dc42b39" userID="1851561945" userName="石玉珍" dateTime="2026-06-16T12:27:32" isNormal="0">
            <s:text>
              <s:r>
                <s:t xml:space="preserve">6/16 客供价格贴纸 1596pcs</s:t>
              </s:r>
            </s:text>
          </item>
        </commentChain>
      </unresolved>
      <resolved/>
    </commentChains>
    <commentChains s:ref="AI1843" rgbClr="FF0000">
      <unresolved>
        <commentChain chainId="94c612deae631523cfe1dbdf09c608d40a125f1b">
          <item id="bf5b06c0141976f0f4e64e2f08ae53864dfc9829" userID="1851561945" userName="石玉珍" dateTime="2026-08-01T01:38:08" isNormal="0">
            <s:text>
              <s:r>
                <s:t xml:space="preserve">1001636 7/31 6550pcs </s:t>
              </s:r>
            </s:text>
          </item>
        </commentChain>
      </unresolved>
      <resolved/>
    </commentChains>
    <commentChains s:ref="AL1843" rgbClr="FF0000">
      <unresolved>
        <commentChain chainId="a92a96a1ee2375e185012d102e90562837e52cc6">
          <item id="443050119b60c08d37b1396bac1af566c65ced9b" userID="1851561945" userName="石玉珍" dateTime="2026-07-17T12:45:29" isNormal="0">
            <s:text>
              <s:r>
                <s:t xml:space="preserve">7/16 客供外箱贴纸 262pcs</s:t>
              </s:r>
            </s:text>
          </item>
        </commentChain>
      </unresolved>
      <resolved/>
    </commentChains>
    <commentChains s:ref="AI1844" rgbClr="FF0000">
      <unresolved>
        <commentChain chainId="e5d94f677abe404f21c50ab6a6e18c1214b9b4b8">
          <item id="0900e95fd83bef3e3567a0c1f23d2edd28b36266" userID="1851561945" userName="石玉珍" dateTime="2026-08-03T00:50:46" isNormal="0">
            <s:text>
              <s:r>
                <s:t xml:space="preserve">1001609 8/1 494pcs</s:t>
              </s:r>
            </s:text>
          </item>
          <item id="a1b3adaa694649f52aeeaae987a2dc8c29f0c745" userID="1851561945" userName="石玉珍" dateTime="2026-08-03T01:07:53" isNormal="0">
            <s:text>
              <s:r>
                <s:t xml:space="preserve">1001593 8/1 13pcs</s:t>
              </s:r>
            </s:text>
          </item>
        </commentChain>
      </unresolved>
      <resolved/>
    </commentChains>
    <commentChains s:ref="AL1844" rgbClr="FF0000">
      <unresolved>
        <commentChain chainId="95362778679f6f7f33cc75964da203ba14e71a02">
          <item id="900c8c6b5086230883c14166a9caf85f02d097df" userID="1851561945" userName="石玉珍" dateTime="2026-07-17T12:59:23" isNormal="0">
            <s:text>
              <s:r>
                <s:t xml:space="preserve">7/16 德意警语贴纸 507pcs</s:t>
              </s:r>
            </s:text>
          </item>
          <item id="d381c19b0e8ece76b4474a0e78e2efdc57c1a52f" userID="1851561945" userName="石玉珍" dateTime="2026-07-20T12:57:18" isNormal="0">
            <s:text>
              <s:r>
                <s:t xml:space="preserve">7/20  PDQ/地址上贴纸  39pcs</s:t>
              </s:r>
            </s:text>
          </item>
        </commentChain>
      </unresolved>
      <resolved/>
    </commentChains>
    <commentChains s:ref="AI1845" rgbClr="FF0000">
      <unresolved>
        <commentChain chainId="70eb2587f016bb4812978f0540309978e4e4584f">
          <item id="da679e174e6307a408864956fcf737b383f71174" userID="1851561945" userName="石玉珍" dateTime="2026-08-03T00:48:54" isNormal="0">
            <s:text>
              <s:r>
                <s:t xml:space="preserve">1001609 8/1 9600pcs</s:t>
              </s:r>
            </s:text>
          </item>
        </commentChain>
      </unresolved>
      <resolved/>
    </commentChains>
    <commentChains s:ref="AL1845" rgbClr="FF0000">
      <unresolved>
        <commentChain chainId="9cad12893d631f71d86898cc4cbc5b5f2c38cfbf">
          <item id="067631c4bf7d668474ceb9a41faf81d2b8a61aaf" userID="1851561945" userName="石玉珍" dateTime="2026-07-20T13:20:27" isNormal="0">
            <s:text>
              <s:r>
                <s:t xml:space="preserve">7/30 进口商贴纸 9600pcs</s:t>
              </s:r>
            </s:text>
          </item>
        </commentChain>
      </unresolved>
      <resolved/>
    </commentChains>
    <commentChains s:ref="AI1846" rgbClr="FF0000">
      <unresolved>
        <commentChain chainId="29c00555c3002c9345817c829bb9373ac4bf8c5c">
          <item id="163d943b8c8cd0c3d3b2e7de64b4ab35a4df013c" userID="1851561945" userName="石玉珍" dateTime="2026-08-03T00:47:47" isNormal="0">
            <s:text>
              <s:r>
                <s:t xml:space="preserve">1001609 8/1 2769pcs</s:t>
              </s:r>
            </s:text>
          </item>
        </commentChain>
      </unresolved>
      <resolved/>
    </commentChains>
    <commentChains s:ref="AL1846" rgbClr="FF0000">
      <unresolved>
        <commentChain chainId="172b3659fa38faf5ffa3a2f418d79867d4df85c1">
          <item id="418454368a8df2d6521b1d7d433471f4d4764254" userID="1851561945" userName="石玉珍" dateTime="2026-07-17T13:27:57" isNormal="0">
            <s:text>
              <s:r>
                <s:t xml:space="preserve">7/17 意大利环保标贴纸 2769pcs</s:t>
              </s:r>
            </s:text>
          </item>
        </commentChain>
      </unresolved>
      <resolved/>
    </commentChains>
    <commentChains s:ref="AI1847" rgbClr="FF0000">
      <unresolved>
        <commentChain chainId="c4c798193bf31b53a9174b12116e825749671d96">
          <item id="eb703405ac3e6584f45ff5cba8cb2ea403d35815" userID="1851561945" userName="石玉珍" dateTime="2026-08-06T01:35:07" isNormal="0">
            <s:text>
              <s:r>
                <s:t xml:space="preserve">2800381 8/5 47970pcs</s:t>
              </s:r>
            </s:text>
          </item>
        </commentChain>
      </unresolved>
      <resolved/>
    </commentChains>
    <commentChains s:ref="AL1847" rgbClr="FF0000">
      <unresolved>
        <commentChain chainId="c9724447c2fba529e87e00928ffb25f216d2860e">
          <item id="68db5735c1af148e7239d528f0e4eb5ddedfea5c" userID="1851561945" userName="石玉珍" dateTime="2026-07-20T13:00:07" isNormal="0">
            <s:text>
              <s:r>
                <s:t xml:space="preserve">7/20  PDQ/地址上贴纸  1599pcs</s:t>
              </s:r>
            </s:text>
          </item>
          <item id="8991b102bbaa44535248051f49aede0f0253d8bc" userID="1851561945" userName="石玉珍" dateTime="2026-07-23T12:39:27" isNormal="0">
            <s:text>
              <s:r>
                <s:t xml:space="preserve">7/23 多语警语折叠贴 47970pcs</s:t>
              </s:r>
            </s:text>
          </item>
        </commentChain>
      </unresolved>
      <resolved/>
    </commentChains>
    <commentChains s:ref="AT1847" rgbClr="FF0000">
      <unresolved>
        <commentChain chainId="e7150a49398f9a080f81919536a3febefd546c8a">
          <item id="874c5edc736667b17002df05f704cb3d8a7c9b1e" userID="1474709007" userName="陈炎" dateTime="2026-07-09T01:06:27" isNormal="0">
            <s:text>
              <s:r>
                <s:t xml:space="preserve">新客版资料</s:t>
              </s:r>
            </s:text>
          </item>
        </commentChain>
      </unresolved>
      <resolved/>
    </commentChains>
    <commentChains s:ref="AI1848" rgbClr="FF0000">
      <unresolved>
        <commentChain chainId="e244339270d0c5add2834acf4c9efb7fc7a50a57">
          <item id="b111fccc5b60d0ffff687b18a6c670fcc4f41a5a" userID="1851561945" userName="石玉珍" dateTime="2026-08-06T01:35:15" isNormal="0">
            <s:text>
              <s:r>
                <s:t xml:space="preserve">2800381 8/5 23220pcs</s:t>
              </s:r>
            </s:text>
          </item>
        </commentChain>
      </unresolved>
      <resolved/>
    </commentChains>
    <commentChains s:ref="AL1848" rgbClr="FF0000">
      <unresolved>
        <commentChain chainId="8229960dac5f84cec599aa764360b0c3d8d249b0">
          <item id="b749deaa6d7c93d11f7b3025ab1f36dc36e69bc1" userID="1851561945" userName="石玉珍" dateTime="2026-07-20T13:00:17" isNormal="0">
            <s:text>
              <s:r>
                <s:t xml:space="preserve">7/20  PDQ/地址上贴纸 774pcs</s:t>
              </s:r>
            </s:text>
          </item>
          <item id="4f3e7a18e2175afc9143ddee4e0c17c15b6596b1" userID="1851561945" userName="石玉珍" dateTime="2026-07-23T12:39:36" isNormal="0">
            <s:text>
              <s:r>
                <s:t xml:space="preserve">7/23 多语警语折叠贴 23220pcs</s:t>
              </s:r>
            </s:text>
          </item>
        </commentChain>
      </unresolved>
      <resolved/>
    </commentChains>
    <commentChains s:ref="AT1848" rgbClr="FF0000">
      <unresolved>
        <commentChain chainId="9e21e028016281933c4cc35eb70ce49462c80cff">
          <item id="47c66aca1fee43673c44873c6ee3d988c326e3bd" userID="1474709007" userName="陈炎" dateTime="2026-07-09T01:06:35" isNormal="0">
            <s:text>
              <s:r>
                <s:t xml:space="preserve">新客版资料</s:t>
              </s:r>
            </s:text>
          </item>
        </commentChain>
      </unresolved>
      <resolved/>
    </commentChains>
    <commentChains s:ref="AI1849" rgbClr="FF0000">
      <unresolved>
        <commentChain chainId="a66f2ea33e5e45f972197268d0d54116d8509cd7">
          <item id="139ce3c88232697e908abcfc4ee38a350ae3c2ec" userID="1851561945" userName="石玉珍" dateTime="2026-08-05T00:49:53" isNormal="0">
            <s:text>
              <s:r>
                <s:t xml:space="preserve">1001551 8/4 1700pcs</s:t>
              </s:r>
            </s:text>
          </item>
        </commentChain>
      </unresolved>
      <resolved/>
    </commentChains>
    <commentChains s:ref="AL1849" rgbClr="FF0000">
      <unresolved>
        <commentChain chainId="6d91088f5e4799c18d09370208e2c9050b35e324">
          <item id="690aaac6eb9d67badfa24ad081b8e3aedc6e4ef8" userID="1851561945" userName="石玉珍" dateTime="2026-07-18T11:43:06" isNormal="0">
            <s:text>
              <s:r>
                <s:t xml:space="preserve">7/18 进口商贴纸 1700pcs</s:t>
              </s:r>
            </s:text>
          </item>
          <item id="387c56bd7c2d60d8cf88b7bf63be7f3287513c64" userID="1851561945" userName="石玉珍" dateTime="2026-07-18T11:43:20" isNormal="0">
            <s:text>
              <s:r>
                <s:t xml:space="preserve">产品贴纸/(含意/希警语+意大利环保 1700pcs</s:t>
              </s:r>
            </s:text>
          </item>
        </commentChain>
      </unresolved>
      <resolved/>
    </commentChains>
    <commentChains s:ref="AI1850" rgbClr="FF0000">
      <unresolved>
        <commentChain chainId="2483bf682b580d64624bd94abf980290ee348547">
          <item id="720c596af0b645874133646822da965e548781ec" userID="1851561945" userName="石玉珍" dateTime="2026-08-05T01:01:17" isNormal="0">
            <s:text>
              <s:r>
                <s:t xml:space="preserve">1001556 8/4 8730pcs</s:t>
              </s:r>
            </s:text>
          </item>
          <item id="1ab395c9b4525c360a5098257395f221cf97de53" userID="1851561945" userName="石玉珍" dateTime="2026-08-07T00:15:53" isNormal="0">
            <s:text>
              <s:r>
                <s:t xml:space="preserve">1001537 8/6 60pcs</s:t>
              </s:r>
            </s:text>
          </item>
        </commentChain>
      </unresolved>
      <resolved/>
    </commentChains>
    <commentChains s:ref="AL1850" rgbClr="FF0000">
      <unresolved>
        <commentChain chainId="e0a931bff13ff4c90ebb84baf31926bfb4ff981d">
          <item id="70130bfab9d3bbf8e120caa4916ae5b6ed1ee19a" userID="1851561945" userName="石玉珍" dateTime="2026-07-20T13:00:22" isNormal="0">
            <s:text>
              <s:r>
                <s:t xml:space="preserve">7/20  PDQ/地址上贴纸  293pcs</s:t>
              </s:r>
            </s:text>
          </item>
          <item id="0b0033fe287c02294c57f7644d55793476185a4a" userID="1851561945" userName="石玉珍" dateTime="2026-07-23T12:39:43" isNormal="0">
            <s:text>
              <s:r>
                <s:t xml:space="preserve">7/23 多语警语折叠贴 8790pcs</s:t>
              </s:r>
            </s:text>
          </item>
        </commentChain>
      </unresolved>
      <resolved/>
    </commentChains>
    <commentChains s:ref="AT1850" rgbClr="FF0000">
      <unresolved>
        <commentChain chainId="246820dc9e3bed88e4556a1481431a153846a606">
          <item id="9444737af85f88e72004f2f717f0b957e4dcc709" userID="1474709007" userName="陈炎" dateTime="2026-07-09T01:06:43" isNormal="0">
            <s:text>
              <s:r>
                <s:t xml:space="preserve">新客版资料</s:t>
              </s:r>
            </s:text>
          </item>
        </commentChain>
      </unresolved>
      <resolved/>
    </commentChains>
    <commentChains s:ref="AI1851" rgbClr="FF0000">
      <unresolved>
        <commentChain chainId="07e028c8e793ebea414c17a36aa3244b0b18538e">
          <item id="7c3ca0b2eed16e39fb3827ff9034d6acf66da971" userID="1851561945" userName="石玉珍" dateTime="2026-08-03T01:05:12" isNormal="0">
            <s:text>
              <s:r>
                <s:t xml:space="preserve">1001598 8/1 780pcs</s:t>
              </s:r>
            </s:text>
          </item>
        </commentChain>
      </unresolved>
      <resolved/>
    </commentChains>
    <commentChains s:ref="AL1851" rgbClr="FF0000">
      <unresolved>
        <commentChain chainId="20ebfe009dbefe744feb29cbbe36f63a1e37c39f">
          <item id="b4723448e7badf37e451c27f4f62468dfecbc770" userID="1851561945" userName="石玉珍" dateTime="2026-07-18T11:44:07" isNormal="0">
            <s:text>
              <s:r>
                <s:t xml:space="preserve">7/18 UPC条码贴纸 780pcs
通用进口商贴纸 780pcs</s:t>
              </s:r>
            </s:text>
          </item>
        </commentChain>
      </unresolved>
      <resolved/>
    </commentChains>
    <commentChains s:ref="AI1852" rgbClr="FF0000">
      <unresolved>
        <commentChain chainId="4df707ef88f83867a1686dd89f8567a39341b8fa">
          <item id="f106849ebee3da4fbc5b9debb8daa75790e349df" userID="1851561945" userName="石玉珍" dateTime="2026-08-06T01:38:48" isNormal="0">
            <s:text>
              <s:r>
                <s:t xml:space="preserve">2800386 8/5 9120pcs</s:t>
              </s:r>
            </s:text>
          </item>
        </commentChain>
      </unresolved>
      <resolved/>
    </commentChains>
    <commentChains s:ref="AL1852" rgbClr="FF0000">
      <unresolved>
        <commentChain chainId="6ac72ae8d5797510deaa78596e03d22d2f0d2c32">
          <item id="994b63f66921091738fb247cfe8a971b3fb5ded8" userID="1851561945" userName="石玉珍" dateTime="2026-07-13T08:29:15" isNormal="0">
            <s:text>
              <s:r>
                <s:t xml:space="preserve">7/13 客供RFID贴纸 9120pcs</s:t>
              </s:r>
            </s:text>
          </item>
        </commentChain>
      </unresolved>
      <resolved/>
    </commentChains>
    <commentChains s:ref="AI1853" rgbClr="FF0000">
      <unresolved>
        <commentChain chainId="6719d6eb5a75b2e227a1ab29ad367c48d29cd8f5">
          <item id="6e6b71241b3a6f118c77c02e33feccba98d624ad" userID="1851561945" userName="石玉珍" dateTime="2026-08-06T01:35:55" isNormal="0">
            <s:text>
              <s:r>
                <s:t xml:space="preserve">2800381 8/5 5760pcs</s:t>
              </s:r>
            </s:text>
          </item>
        </commentChain>
      </unresolved>
      <resolved/>
    </commentChains>
    <commentChains s:ref="AL1853" rgbClr="FF0000">
      <unresolved>
        <commentChain chainId="b8b3083d7bc853888918675db1f185d34ae3e07e">
          <item id="93b1f6e7589772bd506a11a996cf28bb8c5b3999" userID="1851561945" userName="石玉珍" dateTime="2026-07-13T08:29:20" isNormal="0">
            <s:text>
              <s:r>
                <s:t xml:space="preserve">7/13 客供RFID贴纸 5760pcs</s:t>
              </s:r>
            </s:text>
          </item>
        </commentChain>
      </unresolved>
      <resolved/>
    </commentChains>
    <commentChains s:ref="AI1854" rgbClr="FF0000">
      <unresolved>
        <commentChain chainId="c5b55aba49c2fe986706077f116b762fcbc43ec2">
          <item id="4cf3c47ac79e896c345b40112c50df66ad32a2f4" userID="1851561945" userName="石玉珍" dateTime="2026-08-06T01:37:47" isNormal="0">
            <s:text>
              <s:r>
                <s:t xml:space="preserve">2800385 8/5 3840pcs</s:t>
              </s:r>
            </s:text>
          </item>
          <item id="9eeaf6705330f4ad7411ab101f3a1408e9b70dda" userID="1851561945" userName="石玉珍" dateTime="2026-08-06T01:39:55" isNormal="0">
            <s:text>
              <s:r>
                <s:t xml:space="preserve">2800386 8/5 8160pcs</s:t>
              </s:r>
            </s:text>
          </item>
        </commentChain>
      </unresolved>
      <resolved/>
    </commentChains>
    <commentChains s:ref="AL1854" rgbClr="FF0000">
      <unresolved>
        <commentChain chainId="ebf4063aa33e3e44e2834a504b97267d203b6b1a">
          <item id="48b51a8034e2be65cf2deb589c26b712eebdb30f" userID="1851561945" userName="石玉珍" dateTime="2026-07-13T08:29:56" isNormal="0">
            <s:text>
              <s:r>
                <s:t xml:space="preserve">7/13 客供RFID贴纸 12000pcs</s:t>
              </s:r>
            </s:text>
          </item>
        </commentChain>
      </unresolved>
      <resolved/>
    </commentChains>
    <commentChains s:ref="AI1855" rgbClr="FF0000">
      <unresolved>
        <commentChain chainId="353aaaf0fe74a15f536a7ab6e3964cf1570daf58">
          <item id="58959e9698156a95bc4b844e59dff3effc125f0d" userID="1851561945" userName="石玉珍" dateTime="2026-08-06T01:36:00" isNormal="0">
            <s:text>
              <s:r>
                <s:t xml:space="preserve">2800381 8/5 4800pcs</s:t>
              </s:r>
            </s:text>
          </item>
        </commentChain>
      </unresolved>
      <resolved/>
    </commentChains>
    <commentChains s:ref="AL1855" rgbClr="FF0000">
      <unresolved>
        <commentChain chainId="91e051fbeca739cb35a46f66d8d5579f37bcd0e9">
          <item id="0026de110e826cd5e81662b29aca879bb4b026a0" userID="1851561945" userName="石玉珍" dateTime="2026-07-13T08:30:04" isNormal="0">
            <s:text>
              <s:r>
                <s:t xml:space="preserve">7/13 客供RFID贴纸 4800pcs</s:t>
              </s:r>
            </s:text>
          </item>
        </commentChain>
      </unresolved>
      <resolved/>
    </commentChains>
    <commentChains s:ref="AI1856" rgbClr="FF0000">
      <unresolved>
        <commentChain chainId="2239d04b9ddc690335fd6374b7cde84a5719b9d8">
          <item id="0391392faf991f5d129f85b65b93fa4407c5457c" userID="1851561945" userName="石玉珍" dateTime="2026-08-06T01:37:32" isNormal="0">
            <s:text>
              <s:r>
                <s:t xml:space="preserve">2800385 8/5 12960pcs</s:t>
              </s:r>
            </s:text>
          </item>
        </commentChain>
      </unresolved>
      <resolved/>
    </commentChains>
    <commentChains s:ref="AL1856" rgbClr="FF0000">
      <unresolved>
        <commentChain chainId="b67d0a2f2b3f894f7e929af148ab79e117c803bc">
          <item id="7b4d915033c9d1fb8dcd1ce98f91bd2319b771f6" userID="1851561945" userName="石玉珍" dateTime="2026-07-13T08:30:09" isNormal="0">
            <s:text>
              <s:r>
                <s:t xml:space="preserve">7/13 客供RFID贴纸 12960pcs</s:t>
              </s:r>
            </s:text>
          </item>
        </commentChain>
      </unresolved>
      <resolved/>
    </commentChains>
    <commentChains s:ref="AI1857" rgbClr="FF0000">
      <unresolved>
        <commentChain chainId="6e7b579a20637f0725666de6ddd268fc165f1bf3">
          <item id="53c9224800481c522b27cc8c806ffcbb182d058a" userID="1851561945" userName="石玉珍" dateTime="2026-08-06T01:39:30" isNormal="0">
            <s:text>
              <s:r>
                <s:t xml:space="preserve">2800386 8/5 13200pcs</s:t>
              </s:r>
            </s:text>
          </item>
        </commentChain>
      </unresolved>
      <resolved/>
    </commentChains>
    <commentChains s:ref="AL1857" rgbClr="FF0000">
      <unresolved>
        <commentChain chainId="962ec42bd9717fd9620e104d99e1f8abe900e04a">
          <item id="93006aed247b826e38ff90d9bbfce5e60d904e29" userID="1851561945" userName="石玉珍" dateTime="2026-07-13T08:30:16" isNormal="0">
            <s:text>
              <s:r>
                <s:t xml:space="preserve">7/13 客供RFID贴纸 13200pcs</s:t>
              </s:r>
            </s:text>
          </item>
        </commentChain>
      </unresolved>
      <resolved/>
    </commentChains>
    <commentChains s:ref="AI1858" rgbClr="FF0000">
      <unresolved>
        <commentChain chainId="74efa81f37466ca611eb08e26d71e0a228146560">
          <item id="12ba130423318c6d733c4b113a14c1818163596b" userID="1851561945" userName="石玉珍" dateTime="2026-08-04T01:14:04" isNormal="0">
            <s:text>
              <s:r>
                <s:t xml:space="preserve">1001582 8/4 5016pcs</s:t>
              </s:r>
            </s:text>
          </item>
        </commentChain>
      </unresolved>
      <resolved/>
    </commentChains>
    <commentChains s:ref="AL1858" rgbClr="FF0000">
      <unresolved>
        <commentChain chainId="944198f2e45a5b8e14c94c2eb921ebc346c54b25">
          <item id="35cbe7fe3b65765e125cd39ca2067afa38860870" userID="1851561945" userName="石玉珍" dateTime="2026-07-15T11:18:22" isNormal="0">
            <s:text>
              <s:r>
                <s:t xml:space="preserve">7/15 客版价格贴纸 5016pcs</s:t>
              </s:r>
            </s:text>
          </item>
          <item id="d85130bc3422c1a505380edb5d6fcee357d7f2d3" userID="1851561945" userName="石玉珍" dateTime="2026-07-17T13:12:31" isNormal="0">
            <s:text>
              <s:r>
                <s:t xml:space="preserve">7/16 SSCC外箱贴纸 209pcs</s:t>
              </s:r>
            </s:text>
          </item>
        </commentChain>
      </unresolved>
      <resolved/>
    </commentChains>
    <commentChains s:ref="AI1859" rgbClr="FF0000">
      <unresolved>
        <commentChain chainId="eee58862c5a6f7b044e0142ef9b2bc2d5b3833dd">
          <item id="fcb9dfc08bd4b0e655ef89432fac987b940cd472" userID="1851561945" userName="石玉珍" dateTime="2026-08-05T00:30:36" isNormal="0">
            <s:text>
              <s:r>
                <s:t xml:space="preserve">1001585 8/4 9750pcs</s:t>
              </s:r>
            </s:text>
          </item>
        </commentChain>
      </unresolved>
      <resolved/>
    </commentChains>
    <commentChains s:ref="AI1860" rgbClr="FF0000">
      <unresolved>
        <commentChain chainId="869d04c88855a8ce1e04f84f99cbdc856054d3e0">
          <item id="fb836aab1cf7a9c559226cf818efa962c58c4b2f" userID="1851561945" userName="石玉珍" dateTime="2026-08-05T00:31:09" isNormal="0">
            <s:text>
              <s:r>
                <s:t xml:space="preserve">1001585 8/4 2912pcs</s:t>
              </s:r>
            </s:text>
          </item>
          <item id="fe5b845a7be708e78f4fed459d5b0edeb326ccf3" userID="1851561945" userName="石玉珍" dateTime="2026-08-05T00:50:25" isNormal="0">
            <s:text>
              <s:r>
                <s:t xml:space="preserve">1001551 8/4 2340pcs</s:t>
              </s:r>
            </s:text>
          </item>
        </commentChain>
      </unresolved>
      <resolved/>
    </commentChains>
    <commentChains s:ref="AI1861" rgbClr="FF0000">
      <unresolved>
        <commentChain chainId="ebe9d9c0493185108be0b72624222e1fee2d77ae">
          <item id="5678761eb8e1fdc66d4fcb329703352ee52adf53" userID="1851561945" userName="石玉珍" dateTime="2026-08-06T01:30:02" isNormal="0">
            <s:text>
              <s:r>
                <s:t xml:space="preserve">2801411 8/5 240pcs</s:t>
              </s:r>
            </s:text>
          </item>
        </commentChain>
      </unresolved>
      <resolved/>
    </commentChains>
    <commentChains s:ref="AL1861" rgbClr="FF0000">
      <unresolved>
        <commentChain chainId="caf356858b0398fa6cef6169d7484c43d1c5f0ff">
          <item id="ada3878d516bbde146323f3beb61143d23b2eb30" userID="1851561945" userName="石玉珍" dateTime="2026-06-11T14:03:44" isNormal="0">
            <s:text>
              <s:r>
                <s:t xml:space="preserve">6/10 空白贴纸 240pcs
6/10 空白贴纸 240*2pcs</s:t>
              </s:r>
            </s:text>
          </item>
        </commentChain>
      </unresolved>
      <resolved/>
    </commentChains>
    <commentChains s:ref="AI1862" rgbClr="FF0000">
      <unresolved>
        <commentChain chainId="78a90e3fd12fc8121b44d13cb4491c7bfcc8a408">
          <item id="60830a9f2e06fdefce5bd05725b2a60160113ad3" userID="1851561945" userName="石玉珍" dateTime="2026-08-06T01:30:38" isNormal="0">
            <s:text>
              <s:r>
                <s:t xml:space="preserve">2801411 8/5 1500pcs</s:t>
              </s:r>
            </s:text>
          </item>
        </commentChain>
      </unresolved>
      <resolved/>
    </commentChains>
    <commentChains s:ref="AL1862" rgbClr="FF0000">
      <unresolved>
        <commentChain chainId="2c921bb03315e23caef33443253c723c9c32b4bd">
          <item id="1189bfdc133788f70f6eb9fb63d7cc84b6fc6ee3" userID="1851561945" userName="石玉珍" dateTime="2026-06-11T14:01:58" isNormal="0">
            <s:text>
              <s:r>
                <s:t xml:space="preserve">6/10 空白贴纸 1500*2pcs</s:t>
              </s:r>
            </s:text>
          </item>
          <item id="620777f9e14009a298e75392e1e67e481a61a399" userID="1851561945" userName="石玉珍" dateTime="2026-06-11T14:02:40" isNormal="0">
            <s:text>
              <s:r>
                <s:t xml:space="preserve">6/10 空白贴纸 1500pcs</s:t>
              </s:r>
            </s:text>
          </item>
        </commentChain>
      </unresolved>
      <resolved/>
    </commentChains>
    <commentChains s:ref="AI1863" rgbClr="FF0000">
      <unresolved>
        <commentChain chainId="bb710033949b63a49af7373397ec76afa79dad19">
          <item id="6fe0fa7e601ff419a5061371b7def44f6bb2744d" userID="1851561945" userName="石玉珍" dateTime="2026-08-06T01:30:45" isNormal="0">
            <s:text>
              <s:r>
                <s:t xml:space="preserve">2801411 8/5 342pcs</s:t>
              </s:r>
            </s:text>
          </item>
        </commentChain>
      </unresolved>
      <resolved/>
    </commentChains>
    <commentChains s:ref="AL1863" rgbClr="FF0000">
      <unresolved>
        <commentChain chainId="cd0adf3a26d57b44df25a67fa46dfeb030320db2">
          <item id="dfac541691a20ba8d0c34784b554870962607634" userID="1851561945" userName="石玉珍" dateTime="2026-06-11T14:02:32" isNormal="0">
            <s:text>
              <s:r>
                <s:t xml:space="preserve">6/10 空白贴纸 342*2pcs
6/10 空白贴纸 342pcs</s:t>
              </s:r>
            </s:text>
          </item>
        </commentChain>
      </unresolved>
      <resolved/>
    </commentChains>
    <commentChains s:ref="AI1864" rgbClr="FF0000">
      <unresolved>
        <commentChain chainId="dd08b811b90f9c5f332e5a1140929f9a5507447b">
          <item id="bb26acdc54cd796dfa11344c884ba9648fd2266e" userID="1851561945" userName="石玉珍" dateTime="2026-08-07T02:54:32" isNormal="0">
            <s:text>
              <s:r>
                <s:t xml:space="preserve">1001566 8/5 6000pcs</s:t>
              </s:r>
            </s:text>
          </item>
        </commentChain>
      </unresolved>
      <resolved/>
    </commentChains>
    <commentChains s:ref="AL1864" rgbClr="FF0000">
      <unresolved>
        <commentChain chainId="79e4cc2bbc449488827a6a6ef9e9ee51f058ac69">
          <item id="f1add04750bc31c8183ad71472b52eb190ed7325" userID="1851561945" userName="石玉珍" dateTime="2026-07-23T11:38:05" isNormal="0">
            <s:text>
              <s:r>
                <s:t xml:space="preserve">7/23 UPC贴纸 6000pcs</s:t>
              </s:r>
            </s:text>
          </item>
          <item id="4c95c0b9fcc4d0de748bf7d1caa8979234e41f99" userID="1851561945" userName="石玉珍" dateTime="2026-07-23T11:38:12" isNormal="0">
            <s:text>
              <s:r>
                <s:t xml:space="preserve">包装进口商贴纸 6000pcs</s:t>
              </s:r>
            </s:text>
          </item>
        </commentChain>
      </unresolved>
      <resolved/>
    </commentChains>
    <commentChains s:ref="AI1865" rgbClr="FF0000">
      <unresolved>
        <commentChain chainId="2df60ec6f062d5937f772701d97f18e248c684ea">
          <item id="d9dfb4aa10bfd118e22785709e62046b86c5408a" userID="1851561945" userName="石玉珍" dateTime="2026-08-07T00:18:10" isNormal="0">
            <s:text>
              <s:r>
                <s:t xml:space="preserve">1001540 8/6 684pcs</s:t>
              </s:r>
            </s:text>
          </item>
        </commentChain>
      </unresolved>
      <resolved/>
    </commentChains>
    <commentChains s:ref="AL1865" rgbClr="FF0000">
      <unresolved>
        <commentChain chainId="9b65913afaaabdaddd255a4e5b036bd9f15de055">
          <item id="60060f88b1fdfb5149b8100af4b608f3f1d6da7b" userID="1851561945" userName="石玉珍" dateTime="2026-07-15T12:22:49" isNormal="0">
            <s:text>
              <s:r>
                <s:t xml:space="preserve">7/15 WIC贴纸 684pcs</s:t>
              </s:r>
            </s:text>
          </item>
          <item id="1b871904700b064388492715c0a82843743152c3" userID="1851561945" userName="石玉珍" dateTime="2026-07-22T08:03:03" isNormal="0">
            <s:text>
              <s:r>
                <s:t xml:space="preserve">7/21 PDQ折页 114pcs</s:t>
              </s:r>
            </s:text>
          </item>
        </commentChain>
      </unresolved>
      <resolved/>
    </commentChains>
    <commentChains s:ref="AI1866" rgbClr="FF0000">
      <unresolved>
        <commentChain chainId="2d7f40ba4800948f4dd3592cdf3ad78e4559d0f4">
          <item id="6acbce5eed8ea7c14f125240638873dad0b24c61" userID="1851561945" userName="石玉珍" dateTime="2026-08-07T00:18:18" isNormal="0">
            <s:text>
              <s:r>
                <s:t xml:space="preserve">1001540 8/6 312pcs</s:t>
              </s:r>
            </s:text>
          </item>
        </commentChain>
      </unresolved>
      <resolved/>
    </commentChains>
    <commentChains s:ref="AL1866" rgbClr="FF0000">
      <unresolved>
        <commentChain chainId="dd2afbc564a32ce790b80428732a407e4b2f3daa">
          <item id="1be07cef55efd4d61870ca674da2fe2f7518d921" userID="1851561945" userName="石玉珍" dateTime="2026-07-15T12:22:56" isNormal="0">
            <s:text>
              <s:r>
                <s:t xml:space="preserve">7/15 WIC贴纸 312pcs</s:t>
              </s:r>
            </s:text>
          </item>
          <item id="114689f14e03cce82783c7d34dc5989511756373" userID="1851561945" userName="石玉珍" dateTime="2026-07-22T08:03:10" isNormal="0">
            <s:text>
              <s:r>
                <s:t xml:space="preserve">7/21 PDQ折页 52pcs</s:t>
              </s:r>
            </s:text>
          </item>
        </commentChain>
      </unresolved>
      <resolved/>
    </commentChains>
    <commentChains s:ref="AI1867" rgbClr="FF0000">
      <unresolved>
        <commentChain chainId="445e63546ce1c37e66fe1c5ef92022d3cb9453de">
          <item id="1235469964ae5377e1f9e76d2040725b2e6c213e" userID="1851561945" userName="石玉珍" dateTime="2026-08-07T00:18:25" isNormal="0">
            <s:text>
              <s:r>
                <s:t xml:space="preserve">1001540 8/6 654pcs</s:t>
              </s:r>
            </s:text>
          </item>
        </commentChain>
      </unresolved>
      <resolved/>
    </commentChains>
    <commentChains s:ref="AL1867" rgbClr="FF0000">
      <unresolved>
        <commentChain chainId="096208b0f5a81a76490b886f6cc2b5306e213989">
          <item id="af5464c67f58420e333e7a730240108d68a2eeeb" userID="1851561945" userName="石玉珍" dateTime="2026-07-15T12:23:02" isNormal="0">
            <s:text>
              <s:r>
                <s:t xml:space="preserve">7/15 WIC贴纸 654pcs</s:t>
              </s:r>
            </s:text>
          </item>
          <item id="e2295f0edd2eb995d0fff658dc42aaa2c2d9f2c0" userID="1851561945" userName="石玉珍" dateTime="2026-07-22T08:03:20" isNormal="0">
            <s:text>
              <s:r>
                <s:t xml:space="preserve">7/21 PDQ折页 109pcs</s:t>
              </s:r>
            </s:text>
          </item>
        </commentChain>
      </unresolved>
      <resolved/>
    </commentChains>
    <commentChains s:ref="AI1868" rgbClr="FF0000">
      <unresolved>
        <commentChain chainId="84f1a56266963a53e5aac2550d90d13fe319c516">
          <item id="09111ce90cc8d776fc80c5bc5de4b404c101b587" userID="1851561945" userName="石玉珍" dateTime="2026-08-07T00:18:31" isNormal="0">
            <s:text>
              <s:r>
                <s:t xml:space="preserve">1001540 8/6 642pcs</s:t>
              </s:r>
            </s:text>
          </item>
        </commentChain>
      </unresolved>
      <resolved/>
    </commentChains>
    <commentChains s:ref="AL1868" rgbClr="FF0000">
      <unresolved>
        <commentChain chainId="f0527ad219b56e75db4cccfb87205b09a9bc2a6b">
          <item id="ba96f309ac9572ea68735ca8681a39a203db6091" userID="1851561945" userName="石玉珍" dateTime="2026-07-15T12:23:07" isNormal="0">
            <s:text>
              <s:r>
                <s:t xml:space="preserve">7/15 WIC贴纸 342pcs</s:t>
              </s:r>
            </s:text>
          </item>
          <item id="581d34574ecc87226666c5cea1a5a9938234bade" userID="1851561945" userName="石玉珍" dateTime="2026-07-22T08:03:25" isNormal="0">
            <s:text>
              <s:r>
                <s:t xml:space="preserve">7/21 PDQ折页 57pcs</s:t>
              </s:r>
            </s:text>
          </item>
        </commentChain>
      </unresolved>
      <resolved/>
    </commentChains>
    <commentChains s:ref="AI1869" rgbClr="FF0000">
      <unresolved>
        <commentChain chainId="ae9e6cd035a6612761ac2828698f5de0c0f193c9">
          <item id="317411ad3e342d83a6d748a8bb1c646103b233f3" userID="1851561945" userName="石玉珍" dateTime="2026-08-07T00:18:39" isNormal="0">
            <s:text>
              <s:r>
                <s:t xml:space="preserve">1001540 8/6 1998pcs</s:t>
              </s:r>
            </s:text>
          </item>
        </commentChain>
      </unresolved>
      <resolved/>
    </commentChains>
    <commentChains s:ref="AL1869" rgbClr="FF0000">
      <unresolved>
        <commentChain chainId="25034cbebc1485eab58c22cd6a81128778321631">
          <item id="f2fdf7bbfddc752f380622fe17645bc94c807ea4" userID="1851561945" userName="石玉珍" dateTime="2026-07-15T12:23:12" isNormal="0">
            <s:text>
              <s:r>
                <s:t xml:space="preserve">7/15 WIC贴纸 1998pcs</s:t>
              </s:r>
            </s:text>
          </item>
          <item id="21c20424e111f08d794834484d247e2f96b2186d" userID="1851561945" userName="石玉珍" dateTime="2026-07-22T08:03:31" isNormal="0">
            <s:text>
              <s:r>
                <s:t xml:space="preserve">7/21 PDQ折页 333pcs</s:t>
              </s:r>
            </s:text>
          </item>
        </commentChain>
      </unresolved>
      <resolved/>
    </commentChains>
    <commentChains s:ref="AI1870" rgbClr="FF0000">
      <unresolved>
        <commentChain chainId="4d9dd26b53d7174f07498e67e7370db77307579b">
          <item id="8480343fd11c2a74413e1fb6753ed63f6ff13113" userID="1851561945" userName="石玉珍" dateTime="2026-08-07T00:21:31" isNormal="0">
            <s:text>
              <s:r>
                <s:t xml:space="preserve">2801404 8/6 3000pcs</s:t>
              </s:r>
            </s:text>
          </item>
        </commentChain>
      </unresolved>
      <resolved/>
    </commentChains>
    <commentChains s:ref="AL1870" rgbClr="FF0000">
      <unresolved>
        <commentChain chainId="3b72f1b6814727b875304ce9971f512bdcc24afc">
          <item id="147d58891460e91acaf991d9b9948da53994cb3b" userID="1851561945" userName="石玉珍" dateTime="2026-07-15T06:33:40" isNormal="0">
            <s:text>
              <s:r>
                <s:t xml:space="preserve">7/14 客供价格贴纸 3000pcs</s:t>
              </s:r>
            </s:text>
          </item>
          <item id="1cc118049be2b57b46b26f87c1210030e02b16d5" userID="1851561945" userName="石玉珍" dateTime="2026-07-23T13:10:08" isNormal="0">
            <s:text>
              <s:r>
                <s:t xml:space="preserve">7/23 包装进口商贴纸 3000pcs</s:t>
              </s:r>
            </s:text>
          </item>
          <item id="f08a6a35721f4440d2d0fb7877317e42b2213f09" userID="1851561945" userName="石玉珍" dateTime="2026-07-23T13:10:14" isNormal="0">
            <s:text>
              <s:r>
                <s:t xml:space="preserve">说明书进口商贴纸 3000pcs</s:t>
              </s:r>
            </s:text>
          </item>
        </commentChain>
      </unresolved>
      <resolved/>
    </commentChains>
    <commentChains s:ref="AI1871" rgbClr="FF0000">
      <unresolved>
        <commentChain chainId="3a3b72d69bbac3df84dfd0f05f5767c24a4c95a0">
          <item id="08cb77a03fb94eee532866eaaad9a1fd0a6bbef6" userID="1851561945" userName="石玉珍" dateTime="2026-08-05T00:54:04" isNormal="0">
            <s:text>
              <s:r>
                <s:t xml:space="preserve">2801408 8/4 586pcs</s:t>
              </s:r>
            </s:text>
          </item>
          <item id="06666fea75621160d27902cc6521456c62fc92cf" userID="1851561945" userName="石玉珍" dateTime="2026-08-10T03:26:08" isNormal="0">
            <s:text>
              <s:r>
                <s:t xml:space="preserve">1000411 8/8 2114pcs</s:t>
              </s:r>
            </s:text>
          </item>
        </commentChain>
      </unresolved>
      <resolved/>
    </commentChains>
    <commentChains s:ref="AQ1871" rgbClr="FF0000">
      <unresolved>
        <commentChain chainId="6f6cd8f7a9ca24bbfd23665c1b32b487720afbaf">
          <item id="0ede9d12c0d106c339a953d3c37c78cee2b000d9" userID="1474709007" userName="陈炎" dateTime="2026-07-09T02:17:39" isNormal="0">
            <s:text>
              <s:r>
                <s:t xml:space="preserve">新客版资料</s:t>
              </s:r>
            </s:text>
          </item>
        </commentChain>
      </unresolved>
      <resolved/>
    </commentChains>
    <commentChains s:ref="AS1871" rgbClr="FF0000">
      <unresolved>
        <commentChain chainId="eb710d366c366c312b47786e366c01a366dc0ec4">
          <item id="eb508dc869f507bbe5c4fcbb71b67dbf048ca8a6" userID="1474709007" userName="陈炎" dateTime="2026-07-07T02:39:22" isNormal="0">
            <s:text>
              <s:r>
                <s:t xml:space="preserve">新客版无条码收缩膜</s:t>
              </s:r>
            </s:text>
          </item>
        </commentChain>
      </unresolved>
      <resolved/>
    </commentChains>
    <commentChains s:ref="CA1871" rgbClr="FF0000">
      <unresolved/>
      <resolved>
        <commentChain chainId="77fca826f9aecd860f01f1cbda093b4d65635373">
          <item id="56e5d764bbd9dfea6368adcca534411c3e0efd5f" userID="1474709007" userName="陈炎" dateTime="2026-06-18T07:48:55" isNormal="0">
            <s:text>
              <s:r>
                <s:t xml:space="preserve">新客版收缩膜</s:t>
              </s:r>
            </s:text>
          </item>
        </commentChain>
      </resolved>
    </commentChains>
    <commentChains s:ref="AI1872" rgbClr="FF0000">
      <unresolved>
        <commentChain chainId="9f0e83d72b7506593b992b96a7d5fc1280c76582">
          <item id="e4c2128ff027689c7811fc61a973e7537c20812a" userID="1851561945" userName="石玉珍" dateTime="2026-08-11T02:07:17" isNormal="0">
            <s:text>
              <s:r>
                <s:t xml:space="preserve">1000424 8/10 864pcs</s:t>
              </s:r>
            </s:text>
          </item>
          <item id="82e084645c850e10240a31e6667f994ebcc170b0" userID="1851561945" userName="石玉珍" dateTime="2026-08-12T02:32:40" isNormal="0">
            <s:text>
              <s:r>
                <s:t xml:space="preserve">1000457 8/11 4536pcs</s:t>
              </s:r>
            </s:text>
          </item>
        </commentChain>
      </unresolved>
      <resolved/>
    </commentChains>
    <commentChains s:ref="AL1872" rgbClr="FF0000">
      <unresolved>
        <commentChain chainId="55ecd0e9e5712c9a9c2dc4996ea3c2b86353574f">
          <item id="6eeb55bc6c2085d235059b4b43e35bb651c59837" userID="1851561945" userName="石玉珍" dateTime="2026-07-09T12:35:17" isNormal="0">
            <s:text>
              <s:r>
                <s:t xml:space="preserve">7/9 客供价格贴纸 5400pcs</s:t>
              </s:r>
            </s:text>
          </item>
        </commentChain>
      </unresolved>
      <resolved/>
    </commentChains>
    <commentChains s:ref="AI1873" rgbClr="FF0000">
      <unresolved>
        <commentChain chainId="b172f2fe0d2bd5bcbd2891167649732aa0a079a7">
          <item id="131b25dc52e2335f19e27fccb9c46e3a34ca1694" userID="1851561945" userName="石玉珍" dateTime="2026-08-11T01:21:53" isNormal="0">
            <s:text>
              <s:r>
                <s:t xml:space="preserve">1000425 8/10 6000pcs</s:t>
              </s:r>
            </s:text>
          </item>
        </commentChain>
      </unresolved>
      <resolved/>
    </commentChains>
    <commentChains s:ref="AL1873" rgbClr="FF0000">
      <unresolved>
        <commentChain chainId="206c027681e7082f0c9b54fb2d8954b93b1a4318">
          <item id="f788b3cc149239dafebc9690f0fc47bcba93d5c1" userID="1851561945" userName="石玉珍" dateTime="2026-07-04T13:29:42" isNormal="0">
            <s:text>
              <s:r>
                <s:t xml:space="preserve">7/3 客供价格贴纸 6000pcs</s:t>
              </s:r>
            </s:text>
          </item>
          <item id="1df72acd355a73f26b085f580449d257bc7d251a" userID="1851561945" userName="石玉珍" dateTime="2026-07-18T11:44:39" isNormal="0">
            <s:text>
              <s:r>
                <s:t xml:space="preserve">7/18 地址贴纸 6000pcs</s:t>
              </s:r>
            </s:text>
          </item>
        </commentChain>
      </unresolved>
      <resolved/>
    </commentChains>
    <commentChains s:ref="AI1874" rgbClr="FF0000">
      <unresolved>
        <commentChain chainId="c0e6f1bc91448ba4900cdc617aae9b3f69a8245a">
          <item id="9a5841308612218b78d35191283d47ec0cd3e46f" userID="1851561945" userName="石玉珍" dateTime="2026-08-07T12:14:35" isNormal="0">
            <s:text>
              <s:r>
                <s:t xml:space="preserve">1001309 8/7 1313pcs</s:t>
              </s:r>
            </s:text>
          </item>
        </commentChain>
      </unresolved>
      <resolved/>
    </commentChains>
    <commentChains s:ref="AL1874" rgbClr="FF0000">
      <unresolved>
        <commentChain chainId="8035ae3a88ba9ef78a3c1354690f96b814e973f1">
          <item id="e88054baf9d506cbd69ed1e03b346e27489e855f" userID="1851561945" userName="石玉珍" dateTime="2026-07-22T09:47:39" isNormal="0">
            <s:text>
              <s:r>
                <s:t xml:space="preserve">7/22 白色防盗贴纸 1313pcs</s:t>
              </s:r>
            </s:text>
          </item>
          <item id="3190f713da329e3417c8653c470a44a0937a1efe" userID="1851561945" userName="石玉珍" dateTime="2026-07-27T11:34:26" isNormal="0">
            <s:text>
              <s:r>
                <s:t xml:space="preserve">7/25 Kmart外箱贴纸 101pcs</s:t>
              </s:r>
            </s:text>
          </item>
          <item id="13144a525d57431547fe5c5faa1487d5a6058d6c" userID="1851561945" userName="石玉珍" dateTime="2026-07-28T12:45:24" isNormal="0">
            <s:text>
              <s:r>
                <s:t xml:space="preserve">UPC贴纸 7/28 1313pcs</s:t>
              </s:r>
            </s:text>
          </item>
        </commentChain>
      </unresolved>
      <resolved/>
    </commentChains>
    <commentChains s:ref="AI1875" rgbClr="FF0000">
      <unresolved>
        <commentChain chainId="96b0326c9e84d903d804e0c459b9a429a51642d4">
          <item id="e485f122ef049f71004f5e96c6df1d6ebe461788" userID="1851561945" userName="石玉珍" dateTime="2026-08-07T12:15:05" isNormal="0">
            <s:text>
              <s:r>
                <s:t xml:space="preserve">1001309 8/7 377pcs</s:t>
              </s:r>
            </s:text>
          </item>
        </commentChain>
      </unresolved>
      <resolved/>
    </commentChains>
    <commentChains s:ref="AL1875" rgbClr="FF0000">
      <unresolved>
        <commentChain chainId="faa45d9df38f77fa821ae63e743d0df2f53d83fd">
          <item id="651385c48e3b867a7c37d6db5ad2a87c953ea63b" userID="1851561945" userName="石玉珍" dateTime="2026-07-22T09:47:57" isNormal="0">
            <s:text>
              <s:r>
                <s:t xml:space="preserve">7/22 白色防盗贴纸 377pcs</s:t>
              </s:r>
            </s:text>
          </item>
          <item id="82bb2d65025d96153e39e60142f7eee58bc05072" userID="1851561945" userName="石玉珍" dateTime="2026-07-27T11:34:51" isNormal="0">
            <s:text>
              <s:r>
                <s:t xml:space="preserve">7/25 Kmart外箱贴纸 29pcs</s:t>
              </s:r>
            </s:text>
          </item>
          <item id="b9e90f25b10b24a46837e96adcd4d400c080e8d0" userID="1851561945" userName="石玉珍" dateTime="2026-07-28T12:47:18" isNormal="0">
            <s:text>
              <s:r>
                <s:t xml:space="preserve">UPC贴纸 7/28 377pcs</s:t>
              </s:r>
            </s:text>
          </item>
        </commentChain>
      </unresolved>
      <resolved/>
    </commentChains>
    <commentChains s:ref="AI1876" rgbClr="FF0000">
      <unresolved>
        <commentChain chainId="040c511fae7091fa07214d712263882549489332">
          <item id="2ef9b96169daee4e8104cb58c73f4a8a37132d67" userID="1851561945" userName="石玉珍" dateTime="2026-08-07T12:16:18" isNormal="0">
            <s:text>
              <s:r>
                <s:t xml:space="preserve">1001309 8/7 3757pcs</s:t>
              </s:r>
            </s:text>
          </item>
        </commentChain>
      </unresolved>
      <resolved/>
    </commentChains>
    <commentChains s:ref="AI1877" rgbClr="FF0000">
      <unresolved>
        <commentChain chainId="cfba27bb955c714713dfc1e17112f2d9dee3531f">
          <item id="b84ae580d928efef7b6cb51362efae5af614d792" userID="1851561945" userName="石玉珍" dateTime="2026-08-12T00:37:17" isNormal="0">
            <s:text>
              <s:r>
                <s:t xml:space="preserve">1001458 8/11 2000pcs</s:t>
              </s:r>
            </s:text>
          </item>
        </commentChain>
      </unresolved>
      <resolved/>
    </commentChains>
    <commentChains s:ref="AL1877" rgbClr="FF0000">
      <unresolved>
        <commentChain chainId="dec81313c556f4d36600e3867d65572459ddb724">
          <item id="a7b969c8f2e40b8029a1a44bf1db98d42461f3d8" userID="1851561945" userName="石玉珍" dateTime="2026-07-22T08:14:43" isNormal="0">
            <s:text>
              <s:r>
                <s:t xml:space="preserve">7/21 法国语贴纸 2000pcs</s:t>
              </s:r>
            </s:text>
          </item>
        </commentChain>
      </unresolved>
      <resolved/>
    </commentChains>
    <commentChains s:ref="AI1878" rgbClr="FF0000">
      <unresolved>
        <commentChain chainId="28cf037e185cce460d65327229150094cb4b9c3d">
          <item id="c4b08dc5532363a315b6c4a7a2519ab5dd80d9ef" userID="1851561945" userName="石玉珍" dateTime="2026-08-07T12:15:34" isNormal="0">
            <s:text>
              <s:r>
                <s:t xml:space="preserve">1001309 8/7 1209pcs</s:t>
              </s:r>
            </s:text>
          </item>
        </commentChain>
      </unresolved>
      <resolved/>
    </commentChains>
    <commentChains s:ref="AL1878" rgbClr="FF0000">
      <unresolved>
        <commentChain chainId="a41a4b31d458458e5061c998d70323e6bedc8cc3">
          <item id="c86dd7f73a62c48788982613e83de12b39270863" userID="1851561945" userName="石玉珍" dateTime="2026-07-15T06:46:17" isNormal="0">
            <s:text>
              <s:r>
                <s:t xml:space="preserve">7/14 多语折叠警语贴纸 1209pcs</s:t>
              </s:r>
            </s:text>
          </item>
        </commentChain>
      </unresolved>
      <resolved/>
    </commentChains>
    <commentChains s:ref="AI1879" rgbClr="FF0000">
      <unresolved>
        <commentChain chainId="b13cc3d9cfe4b536b43b98f88be8e44c2c511c73">
          <item id="a6a1c6eda07ef11c1dd0f79675a104cffc4164ef" userID="1851561945" userName="石玉珍" dateTime="2026-08-10T03:12:55" isNormal="0">
            <s:text>
              <s:r>
                <s:t xml:space="preserve">1001524 8/7 4800pcs</s:t>
              </s:r>
            </s:text>
          </item>
        </commentChain>
      </unresolved>
      <resolved/>
    </commentChains>
    <commentChains s:ref="AL1879" rgbClr="FF0000">
      <unresolved>
        <commentChain chainId="6ccad6a8317684e13f27c8af82074a64a2eb784e">
          <item id="b6025f59c36b03aa22babc7cf838504fb33c2bf6" userID="1851561945" userName="石玉珍" dateTime="2026-07-04T13:20:01" isNormal="0">
            <s:text>
              <s:r>
                <s:t xml:space="preserve">7/3  客供RFID贴纸  4000pcs</s:t>
              </s:r>
            </s:text>
          </item>
        </commentChain>
      </unresolved>
      <resolved/>
    </commentChains>
    <commentChains s:ref="AI1880" rgbClr="FF0000">
      <unresolved>
        <commentChain chainId="bb20764de4dbdc8b1c045c4248cd4ee60ea4d76e">
          <item id="161512adfe942509b020024a38a680b85b173048" userID="1851561945" userName="石玉珍" dateTime="2026-08-07T12:12:47" isNormal="0">
            <s:text>
              <s:r>
                <s:t xml:space="preserve">1001309 8/7 3996pcs</s:t>
              </s:r>
            </s:text>
          </item>
        </commentChain>
      </unresolved>
      <resolved/>
    </commentChains>
    <commentChains s:ref="AL1880" rgbClr="FF0000">
      <unresolved>
        <commentChain chainId="d145469549453c49d0ce61698957ecd6f13b3c76">
          <item id="5f74423c43e2666b64c06283cc620c955f74db93" userID="1851561945" userName="石玉珍" dateTime="2026-07-09T12:49:10" isNormal="0">
            <s:text>
              <s:r>
                <s:t xml:space="preserve">7/9 客供价格贴纸 3996pcs</s:t>
              </s:r>
            </s:text>
          </item>
          <item id="875661a923b3a662e33f559bd03a5d714ef339dd" userID="1851561945" userName="石玉珍" dateTime="2026-07-16T11:44:55" isNormal="0">
            <s:text>
              <s:r>
                <s:t xml:space="preserve">7/16 空白贴纸 3996*2pcs</s:t>
              </s:r>
            </s:text>
          </item>
        </commentChain>
      </unresolved>
      <resolved/>
    </commentChains>
    <commentChains s:ref="AI1881" rgbClr="FF0000">
      <unresolved>
        <commentChain chainId="20a114d6d064f0844def6f8638f350dd6fb9847d">
          <item id="9223a84bd40ef99d1c9a218cf0528819c7a72999" userID="1851561945" userName="石玉珍" dateTime="2026-08-10T03:12:08" isNormal="0">
            <s:text>
              <s:r>
                <s:t xml:space="preserve">1001524 8/7 3996pcs</s:t>
              </s:r>
            </s:text>
          </item>
          <item id="159a00e7b9837605c5ade7d9ba674a0ccdf3be5e" userID="1851561945" userName="石玉珍" dateTime="2026-08-14T00:40:43" isNormal="0">
            <s:text>
              <s:r>
                <s:t xml:space="preserve">1001419 8/13 12PCS</s:t>
              </s:r>
            </s:text>
          </item>
        </commentChain>
      </unresolved>
      <resolved/>
    </commentChains>
    <commentChains s:ref="AL1881" rgbClr="FF0000">
      <unresolved>
        <commentChain chainId="4a8b594f3d7c10761a8d8fc72e6db1489f8fccf6">
          <item id="ce05e2922cb208ee7ed9e5383ab8e82a84c512e2" userID="1851561945" userName="石玉珍" dateTime="2026-07-13T05:57:26" isNormal="0">
            <s:text>
              <s:r>
                <s:t xml:space="preserve">7/11 客供价格贴纸 4008pcs.</s:t>
              </s:r>
            </s:text>
          </item>
          <item id="6c773a81931cd09e9252ac9b6b7f6cf7e8ae5127" userID="1851561945" userName="石玉珍" dateTime="2026-07-16T11:45:12" isNormal="0">
            <s:text>
              <s:r>
                <s:t xml:space="preserve">7/16 空白贴纸 4008*2pcs</s:t>
              </s:r>
            </s:text>
          </item>
        </commentChain>
      </unresolved>
      <resolved/>
    </commentChains>
    <commentChains s:ref="AI1882" rgbClr="FF0000">
      <unresolved>
        <commentChain chainId="0d4983a7cea06909e8decbeec2e677a6246a1d10">
          <item id="36688c6ba1430a09028d7cf12ad8f0982d103fba" userID="1851561945" userName="石玉珍" dateTime="2026-08-12T00:37:48" isNormal="0">
            <s:text>
              <s:r>
                <s:t xml:space="preserve">1001458 8/11 3000pcs</s:t>
              </s:r>
            </s:text>
          </item>
        </commentChain>
      </unresolved>
      <resolved/>
    </commentChains>
    <commentChains s:ref="AL1882" rgbClr="FF0000">
      <unresolved>
        <commentChain chainId="1ec0e36a4ba93b7484b71ff7f0328ab8079823d6">
          <item id="a037742ab0fd9ce751c119646e08a2f149625b43" userID="1851561945" userName="石玉珍" dateTime="2026-07-30T11:22:43" isNormal="0">
            <s:text>
              <s:r>
                <s:t xml:space="preserve">进口商贴纸 7/29 3000pcs</s:t>
              </s:r>
            </s:text>
          </item>
          <item id="2de2d7ef1bb493cba95b7e80f0399a3eb6cf75d9" userID="1851561945" userName="石玉珍" dateTime="2026-08-06T12:27:53" isNormal="0">
            <s:text>
              <s:r>
                <s:t xml:space="preserve">8/3 补进口商贴纸400pcs</s:t>
              </s:r>
            </s:text>
          </item>
        </commentChain>
      </unresolved>
      <resolved/>
    </commentChains>
    <commentChains s:ref="AI1883" rgbClr="FF0000">
      <unresolved>
        <commentChain chainId="6d17b725d69d1bb8f55def4b3d72789311344f74">
          <item id="2f9f02c5beefe0d7274622be124f5c17bd862329" userID="1851561945" userName="石玉珍" dateTime="2026-08-07T12:13:43" isNormal="0">
            <s:text>
              <s:r>
                <s:t xml:space="preserve">1001309 8/7 2004pcs</s:t>
              </s:r>
            </s:text>
          </item>
        </commentChain>
      </unresolved>
      <resolved/>
    </commentChains>
    <commentChains s:ref="AL1883" rgbClr="FF0000">
      <unresolved>
        <commentChain chainId="5ad521885449c373946c6a8f42037926cd6a1f85">
          <item id="cee8f82054368531d9a90a7f017c878b9553db22" isNormal="1">
            <s:text>
              <s:r>
                <s:t xml:space="preserve">Administrator:
5/22 空白贴纸 订单数*2pcs
</s:t>
              </s:r>
            </s:text>
          </item>
          <item id="cca0d9de82e2245f1ad4a10a9a2452b8ed5fa266" userID="1851561945" userName="石玉珍" dateTime="2026-07-09T12:45:59" isNormal="0">
            <s:text>
              <s:r>
                <s:t xml:space="preserve">7/9 客供价格贴纸 2004pcs</s:t>
              </s:r>
            </s:text>
          </item>
        </commentChain>
      </unresolved>
      <resolved/>
    </commentChains>
    <commentChains s:ref="AI1884" rgbClr="FF0000">
      <unresolved>
        <commentChain chainId="00e0a32b57983c0ae837b5d5e2113edb52e2e875">
          <item id="424fd7a80e52e2dd3e93b7ba29f1ed03f40a1471" userID="1851561945" userName="石玉珍" dateTime="2026-08-10T03:33:05" isNormal="0">
            <s:text>
              <s:r>
                <s:t xml:space="preserve">1001531 8/8 2600pcs</s:t>
              </s:r>
            </s:text>
          </item>
        </commentChain>
      </unresolved>
      <resolved/>
    </commentChains>
    <commentChains s:ref="AL1884" rgbClr="FF0000">
      <unresolved>
        <commentChain chainId="d14b6561a3f1e0b27bd5fc581056778bd58f1545">
          <item id="6d3421958b5cb067fb0e1ac231914455a853125c" userID="1851561945" userName="石玉珍" dateTime="2026-07-15T06:31:14" isNormal="0">
            <s:text>
              <s:r>
                <s:t xml:space="preserve">7/14 客供防窜码贴纸1拖13 2600pcs</s:t>
              </s:r>
            </s:text>
          </item>
          <item id="ba721ad0ddb23e21f2d2d9e88e3126b6b0a8da18" userID="1851561945" userName="石玉珍" dateTime="2026-07-15T11:17:05" isNormal="0">
            <s:text>
              <s:r>
                <s:t xml:space="preserve">7/15 条码贴纸 2600pcs</s:t>
              </s:r>
            </s:text>
          </item>
        </commentChain>
      </unresolved>
      <resolved/>
    </commentChains>
    <commentChains s:ref="AI1885" rgbClr="FF0000">
      <unresolved>
        <commentChain chainId="4c7f9dfd50ddc09e004067f2b38737a6c809d36d">
          <item id="ff43cfb514d7fee029aad83787099e3520c765ee" userID="1851561945" userName="石玉珍" dateTime="2026-08-10T03:20:34" isNormal="0">
            <s:text>
              <s:r>
                <s:t xml:space="preserve">1001514 8/8 13pcs</s:t>
              </s:r>
            </s:text>
          </item>
          <item id="2c342a7ed2ebd5bc863c2019329c733c7b49b020" userID="1851561945" userName="石玉珍" dateTime="2026-08-10T03:33:17" isNormal="0">
            <s:text>
              <s:r>
                <s:t xml:space="preserve">1001531 8/8 12415pcs</s:t>
              </s:r>
            </s:text>
          </item>
        </commentChain>
      </unresolved>
      <resolved/>
    </commentChains>
    <commentChains s:ref="AL1885" rgbClr="FF0000">
      <unresolved>
        <commentChain chainId="abe48320b259b30c4a8806e9640ad3a643f8156b">
          <item id="267f7a7b67fea18c75de314b5b78f1909727e249" userID="1851561945" userName="石玉珍" dateTime="2026-07-15T06:31:22" isNormal="0">
            <s:text>
              <s:r>
                <s:t xml:space="preserve">7/14 客供防窜码贴纸1拖13 12428pcs</s:t>
              </s:r>
            </s:text>
          </item>
          <item id="38ed42ec754f7bb831dac941e5a42ed826c0270d" userID="1851561945" userName="石玉珍" dateTime="2026-07-15T11:17:12" isNormal="0">
            <s:text>
              <s:r>
                <s:t xml:space="preserve">7/15 条码贴纸 12428pcs</s:t>
              </s:r>
            </s:text>
          </item>
        </commentChain>
      </unresolved>
      <resolved/>
    </commentChains>
    <commentChains s:ref="AI1886" rgbClr="FF0000">
      <unresolved>
        <commentChain chainId="3c5d91fd5155fe0442512baeb50e62c9ebd2b80a">
          <item id="89283837e67f9f370c52632faace15790f420bae" userID="1851561945" userName="石玉珍" dateTime="2026-08-07T12:14:06" isNormal="0">
            <s:text>
              <s:r>
                <s:t xml:space="preserve">1001309 8/7 2196pcs</s:t>
              </s:r>
            </s:text>
          </item>
        </commentChain>
      </unresolved>
      <resolved/>
    </commentChains>
    <commentChains s:ref="AL1886" rgbClr="FF0000">
      <unresolved>
        <commentChain chainId="30aa89d8fc7921c1fbdeda7624c6df2e56d9346e">
          <item id="7ab27d62b0f3ed254d5b79249f83966eddcb9e8b" isNormal="1">
            <s:text>
              <s:r>
                <s:t xml:space="preserve">Administrator:
5/22 空白贴纸 订单数*2pcs
</s:t>
              </s:r>
            </s:text>
          </item>
          <item id="c4c242b21fbaed5cbcd6251955e1ce37369f3e25" userID="1851561945" userName="石玉珍" dateTime="2026-07-13T05:55:30" isNormal="0">
            <s:text>
              <s:r>
                <s:t xml:space="preserve">7/11 客供价格贴纸 2196pcs.</s:t>
              </s:r>
            </s:text>
          </item>
        </commentChain>
      </unresolved>
      <resolved/>
    </commentChains>
    <commentChains s:ref="AI1887" rgbClr="FF0000">
      <unresolved>
        <commentChain chainId="f60569a815264c47ceb5ba3e67083c59e7d6d1c0">
          <item id="fed709f2dc5851d5c43008bf90cfd37942198075" userID="1851561945" userName="石玉珍" dateTime="2026-08-10T03:22:24" isNormal="0">
            <s:text>
              <s:r>
                <s:t xml:space="preserve">1001514 8/8 10000pcs</s:t>
              </s:r>
            </s:text>
          </item>
        </commentChain>
      </unresolved>
      <resolved/>
    </commentChains>
    <commentChains s:ref="AL1887" rgbClr="FF0000">
      <unresolved>
        <commentChain chainId="068ce2a42bc724dc376b109577145cf2aacd1d5d">
          <item id="3baeebbdee947bbd71911c476d81cb2eb9f79954" userID="1851561945" userName="石玉珍" dateTime="2026-07-17T00:46:31" isNormal="0">
            <s:text>
              <s:r>
                <s:t xml:space="preserve">7/16 法国sorting label贴纸 10000pcs</s:t>
              </s:r>
            </s:text>
          </item>
        </commentChain>
      </unresolved>
      <resolved/>
    </commentChains>
    <commentChains s:ref="AI1888" rgbClr="FF0000">
      <unresolved>
        <commentChain chainId="134420df5d8f1414a67d4a0ae8afa7f513b8a848">
          <item id="e01764fc4d64585aa42209537fc4b7458ee94f5f" userID="1851561945" userName="石玉珍" dateTime="2026-08-10T03:22:53" isNormal="0">
            <s:text>
              <s:r>
                <s:t xml:space="preserve">1001514 8/8 9000pcs</s:t>
              </s:r>
            </s:text>
          </item>
        </commentChain>
      </unresolved>
      <resolved/>
    </commentChains>
    <commentChains s:ref="AL1888" rgbClr="FF0000">
      <unresolved>
        <commentChain chainId="a9c5547529f2fd436d865f47cb8bc30654a85578">
          <item id="baccd065138528f3a5c6fc545ba7fa6db957e7c6" userID="1851561945" userName="石玉珍" dateTime="2026-07-08T11:33:03" isNormal="0">
            <s:text>
              <s:r>
                <s:t xml:space="preserve">7/8 法国sorting label贴纸 9000pcs</s:t>
              </s:r>
            </s:text>
          </item>
        </commentChain>
      </unresolved>
      <resolved/>
    </commentChains>
    <commentChains s:ref="AI1889" rgbClr="FF0000">
      <unresolved>
        <commentChain chainId="4fba616bfaaf5afb274ac37651ccb6dbf6fcbce7">
          <item id="69f4bcc37a2ade31bfbcdeec9f06fa94fda62bee" userID="1851561945" userName="石玉珍" dateTime="2026-08-07T12:08:43" isNormal="0">
            <s:text>
              <s:r>
                <s:t xml:space="preserve">1001305 8/7 32188pcs</s:t>
              </s:r>
            </s:text>
          </item>
          <item id="5b9b21cb42773e1398531dd38e377eb89f29810d" userID="1851561945" userName="石玉珍" dateTime="2026-08-07T12:11:09" isNormal="0">
            <s:text>
              <s:r>
                <s:t xml:space="preserve">1001309 8/7 28236pcs</s:t>
              </s:r>
            </s:text>
          </item>
        </commentChain>
      </unresolved>
      <resolved/>
    </commentChains>
    <commentChains s:ref="AL1889" rgbClr="FF0000">
      <unresolved>
        <commentChain chainId="d511f60d91c8278bfbd6b3125fcaa5100a264927">
          <item id="14795b8441bf13096f3e88d30e756ba6ce9f4d48" userID="1851561945" userName="石玉珍" dateTime="2026-07-13T06:16:35" isNormal="0">
            <s:text>
              <s:r>
                <s:t xml:space="preserve">7/11 价格贴纸 60424pcs
外箱条码贴纸  2324pcs</s:t>
              </s:r>
            </s:text>
          </item>
        </commentChain>
      </unresolved>
      <resolved/>
    </commentChains>
    <commentChains s:ref="AI1890" rgbClr="FF0000">
      <unresolved>
        <commentChain chainId="6150c983d63f6904dae31a43b5ec735845f4629a">
          <item id="beea454185ec1b3793b1607c06f88d63ecca9e4f" userID="1851561945" userName="石玉珍" dateTime="2026-08-10T03:14:08" isNormal="0">
            <s:text>
              <s:r>
                <s:t xml:space="preserve">1001524 8/7 3840pcs</s:t>
              </s:r>
            </s:text>
          </item>
        </commentChain>
      </unresolved>
      <resolved/>
    </commentChains>
    <commentChains s:ref="AL1890" rgbClr="FF0000">
      <unresolved>
        <commentChain chainId="6f5bf035d26f9a00785a615a63d10a2e91c0719c">
          <item id="3b9c86c8d3aad3abac4886501c1be25b889be2a6" userID="1851561945" userName="石玉珍" dateTime="2026-07-20T12:32:51" isNormal="0">
            <s:text>
              <s:r>
                <s:t xml:space="preserve">7/20 客供RFID贴纸 3840 pcs</s:t>
              </s:r>
            </s:text>
          </item>
        </commentChain>
      </unresolved>
      <resolved/>
    </commentChains>
    <commentChains s:ref="AI1891" rgbClr="FF0000">
      <unresolved>
        <commentChain chainId="bfb451acc5bc2a71708e253ce17d78d7c879b4ee">
          <item id="c67153bc9e321e7cf8a0e9ada8565e17c2c7fdec" userID="1851561945" userName="石玉珍" dateTime="2026-08-07T12:17:22" isNormal="0">
            <s:text>
              <s:r>
                <s:t xml:space="preserve">1001309 8/7 9600pcs</s:t>
              </s:r>
            </s:text>
          </item>
        </commentChain>
      </unresolved>
      <resolved/>
    </commentChains>
    <commentChains s:ref="AL1891" rgbClr="FF0000">
      <unresolved>
        <commentChain chainId="bc884f295f0d72b9e7c3d679dae394193c3241f6">
          <item id="99e749f57c144a0b1d15657412e93c433d4d7055" userID="1851561945" userName="石玉珍" dateTime="2026-07-20T12:32:44" isNormal="0">
            <s:text>
              <s:r>
                <s:t xml:space="preserve">7/20 客供RFID贴纸 7440pcs</s:t>
              </s:r>
            </s:text>
          </item>
        </commentChain>
      </unresolved>
      <resolved/>
    </commentChains>
    <commentChains s:ref="AI1892" rgbClr="FF0000">
      <unresolved>
        <commentChain chainId="776efa0635a348ce5152e7b1539d7caee9c2676d">
          <item id="ed5cea7bdc8eae61a50653442e612e9c0f5340ff" userID="1851561945" userName="石玉珍" dateTime="2026-08-10T03:14:38" isNormal="0">
            <s:text>
              <s:r>
                <s:t xml:space="preserve">1001524 8/7 9360pcs</s:t>
              </s:r>
            </s:text>
          </item>
        </commentChain>
      </unresolved>
      <resolved/>
    </commentChains>
    <commentChains s:ref="AL1892" rgbClr="FF0000">
      <unresolved>
        <commentChain chainId="1b9e59e99aead4ab77e4b2524b32d3618c4f960a">
          <item id="b8129504759f54798612c743aeef1984660b3def" userID="1851561945" userName="石玉珍" dateTime="2026-07-20T12:33:36" isNormal="0">
            <s:text>
              <s:r>
                <s:t xml:space="preserve">7/20 客供RFID贴纸 9396pcs</s:t>
              </s:r>
            </s:text>
          </item>
        </commentChain>
      </unresolved>
      <resolved/>
    </commentChains>
    <commentChains s:ref="AI1893" rgbClr="FF0000">
      <unresolved>
        <commentChain chainId="8aedc5c6697b12a2e1631ee69442db6689c38536">
          <item id="f2b3deea052a691bb8d9429616cb2626a4614e8b" userID="1851561945" userName="石玉珍" dateTime="2026-08-07T12:18:38" isNormal="0">
            <s:text>
              <s:r>
                <s:t xml:space="preserve">1001309 8/7 9600pcs</s:t>
              </s:r>
            </s:text>
          </item>
        </commentChain>
      </unresolved>
      <resolved/>
    </commentChains>
    <commentChains s:ref="AL1893" rgbClr="FF0000">
      <unresolved>
        <commentChain chainId="659a255430447ef7c86b12fd881b33dcc2f3bd0d">
          <item id="52446d62cc13f0eb598280da18db361de96ac37c" userID="1851561945" userName="石玉珍" dateTime="2026-07-20T12:33:43" isNormal="0">
            <s:text>
              <s:r>
                <s:t xml:space="preserve">7/20 客供RFID贴纸 9600pcs</s:t>
              </s:r>
            </s:text>
          </item>
        </commentChain>
      </unresolved>
      <resolved/>
    </commentChains>
    <commentChains s:ref="AI1894" rgbClr="FF0000">
      <unresolved>
        <commentChain chainId="a1fe22eac60b0f9af267b9e11f3ddda3316c45ad">
          <item id="6263b31604ec30f4a3debcb6bc51f79c5f72823d" userID="1851561945" userName="石玉珍" dateTime="2026-08-12T00:38:15" isNormal="0">
            <s:text>
              <s:r>
                <s:t xml:space="preserve">1001458 8/11 1200pcs</s:t>
              </s:r>
            </s:text>
          </item>
        </commentChain>
      </unresolved>
      <resolved/>
    </commentChains>
    <commentChains s:ref="AL1894" rgbClr="FF0000">
      <unresolved>
        <commentChain chainId="e07684a607c7b05d2fd40dc20d3c8878e7edae11">
          <item id="1221d319d932f825c045a1e15d9ae3c0c36e6441" userID="1851561945" userName="石玉珍" dateTime="2026-08-06T08:31:14" isNormal="0">
            <s:text>
              <s:r>
                <s:t xml:space="preserve">UPC贴纸 8/1  1200pcs
进口商贴纸 1200pcs</s:t>
              </s:r>
            </s:text>
          </item>
        </commentChain>
      </unresolved>
      <resolved/>
    </commentChains>
    <commentChains s:ref="AI1895" rgbClr="FF0000">
      <unresolved>
        <commentChain chainId="414ef1859ab6bdf9a8312311644612415b43c93c">
          <item id="acc06a85c59e053726514118de8b6706c68f6293" userID="1851561945" userName="石玉珍" dateTime="2026-08-12T02:07:57" isNormal="0">
            <s:text>
              <s:r>
                <s:t xml:space="preserve">1001458 8/11 6708pcs</s:t>
              </s:r>
            </s:text>
          </item>
        </commentChain>
      </unresolved>
      <resolved/>
    </commentChains>
    <commentChains s:ref="AI1896" rgbClr="FF0000">
      <unresolved>
        <commentChain chainId="a0f5e74c0a5c10658aa1cd9f1dce5dc0c9904a8f">
          <item id="071943e26fc8a2161ed963c88a4bd463fa3c549c" userID="1851561945" userName="石玉珍" dateTime="2026-08-12T02:08:02" isNormal="0">
            <s:text>
              <s:r>
                <s:t xml:space="preserve">1001458 8/11 3302pcs</s:t>
              </s:r>
            </s:text>
          </item>
        </commentChain>
      </unresolved>
      <resolved/>
    </commentChains>
    <commentChains s:ref="AI1897" rgbClr="FF0000">
      <unresolved>
        <commentChain chainId="77cd5e4e62bc83e289eee4775db67dccd2ce56b7">
          <item id="303565b468da5ccf31528ad24cb18e8095acc86e" userID="1851561945" userName="石玉珍" dateTime="2026-08-12T00:38:40" isNormal="0">
            <s:text>
              <s:r>
                <s:t xml:space="preserve">1001458 8/11 5750pcs</s:t>
              </s:r>
            </s:text>
          </item>
        </commentChain>
      </unresolved>
      <resolved/>
    </commentChains>
    <commentChains s:ref="AI1898" rgbClr="FF0000">
      <unresolved>
        <commentChain chainId="fd25b884946e6af361fcab210223e7fa146be000">
          <item id="12985c2527a4f4c25f38b3b8ab1706ba8753ac33" userID="1851561945" userName="石玉珍" dateTime="2026-08-12T01:47:11" isNormal="0">
            <s:text>
              <s:r>
                <s:t xml:space="preserve">1001458 8/11 1250pcs</s:t>
              </s:r>
            </s:text>
          </item>
        </commentChain>
      </unresolved>
      <resolved/>
    </commentChains>
    <commentChains s:ref="AL1898" rgbClr="FF0000">
      <unresolved>
        <commentChain chainId="475b571c6b56a732054b2c5c8b6190d4da030000">
          <item id="c645f4a572f653398d896f9010b95fbd913d6db7" userID="1851561945" userName="石玉珍" dateTime="2026-07-27T11:04:23" isNormal="0">
            <s:text>
              <s:r>
                <s:t xml:space="preserve">7/25 进口商贴纸 1250pcs</s:t>
              </s:r>
            </s:text>
          </item>
        </commentChain>
      </unresolved>
      <resolved/>
    </commentChains>
    <commentChains s:ref="AI1899" rgbClr="FF0000">
      <unresolved>
        <commentChain chainId="6198379cd67acd2097dd4cc2e40f051844c1ab8e">
          <item id="4a8ce9befcae2c4c43e3f1118e52994a395f3cda" userID="1851561945" userName="石玉珍" dateTime="2026-08-12T01:47:36" isNormal="0">
            <s:text>
              <s:r>
                <s:t xml:space="preserve">1001458 8/11 4992pcs</s:t>
              </s:r>
            </s:text>
          </item>
        </commentChain>
      </unresolved>
      <resolved/>
    </commentChains>
    <commentChains s:ref="AL1899" rgbClr="FF0000">
      <unresolved>
        <commentChain chainId="99cf5c4588be179bc323ffc148eba85b686f180c">
          <item id="a8bb86e10084fb4413e85fe277a6b4a610151489" userID="1851561945" userName="石玉珍" dateTime="2026-07-27T11:04:53" isNormal="0">
            <s:text>
              <s:r>
                <s:t xml:space="preserve">客版价格贴纸 7/25 4992pcs</s:t>
              </s:r>
            </s:text>
          </item>
          <item id="bef0b5058f5805cb07196dbe6932adac2a58b364" userID="1851561945" userName="石玉珍" dateTime="2026-08-06T12:42:04" isNormal="0">
            <s:text>
              <s:r>
                <s:t xml:space="preserve">8/5 SSCC外箱贴纸 208pcs</s:t>
              </s:r>
            </s:text>
          </item>
        </commentChain>
      </unresolved>
      <resolved/>
    </commentChains>
    <commentChains s:ref="AI1900" rgbClr="FF0000">
      <unresolved>
        <commentChain chainId="0d2db11fbec12542a04134cc5e20d27bf71b70ba">
          <item id="6eda923f166e9132b7fcfd58189b6874e278a8a7" userID="1851561945" userName="石玉珍" dateTime="2026-08-12T02:06:55" isNormal="0">
            <s:text>
              <s:r>
                <s:t xml:space="preserve">1001458 8/11 6550pcs</s:t>
              </s:r>
            </s:text>
          </item>
        </commentChain>
      </unresolved>
      <resolved/>
    </commentChains>
    <commentChains s:ref="AL1900" rgbClr="FF0000">
      <unresolved>
        <commentChain chainId="35e1dade2e0fc19734cdbb1ff6743385c7fe67f2">
          <item id="f2a64d4d979bc24833db5996747e6b564e86bede" userID="1851561945" userName="石玉珍" dateTime="2026-07-30T11:55:52" isNormal="0">
            <s:text>
              <s:r>
                <s:t xml:space="preserve">客供外箱条码贴纸 7/30 262pcs</s:t>
              </s:r>
            </s:text>
          </item>
        </commentChain>
      </unresolved>
      <resolved/>
    </commentChains>
    <commentChains s:ref="AI1902" rgbClr="FF0000">
      <unresolved>
        <commentChain chainId="3e860a30f9ec0e9ab862bbcad7c9907baf2949c2">
          <item id="4cc0c0b0fb19776fda429a852da923373469e256" userID="1851561945" userName="石玉珍" dateTime="2026-07-30T01:33:11" isNormal="0">
            <s:text>
              <s:r>
                <s:t xml:space="preserve">1001651 7/29 768pcs</s:t>
              </s:r>
            </s:text>
          </item>
        </commentChain>
      </unresolved>
      <resolved/>
    </commentChains>
    <commentChains s:ref="AL1902" rgbClr="FF0000">
      <unresolved>
        <commentChain chainId="33e4700b3c73b36fd123229babd4ab4ee51fc7ec">
          <item id="02aa3d62f2e2e23ffdf6ffc095a5f3564132f943" userID="1851561945" userName="石玉珍" dateTime="2026-07-20T12:41:39" isNormal="0">
            <s:text>
              <s:r>
                <s:t xml:space="preserve">7/20 空白贴纸 768*2pcs</s:t>
              </s:r>
            </s:text>
          </item>
          <item id="54950c11cc4afa74c394b9c708bdf538af7cad9e" userID="1851561945" userName="石玉珍" dateTime="2026-07-20T12:42:15" isNormal="0">
            <s:text>
              <s:r>
                <s:t xml:space="preserve">7/20 T环保标贴纸 768pcs</s:t>
              </s:r>
            </s:text>
          </item>
          <item id="e9c03f6ea464ef159cd0fc00756a874225ab6115" userID="1851561945" userName="石玉珍" dateTime="2026-07-22T09:35:47" isNormal="0">
            <s:text>
              <s:r>
                <s:t xml:space="preserve">7/22  亚马逊外箱贴纸  64pcs</s:t>
              </s:r>
            </s:text>
          </item>
        </commentChain>
      </unresolved>
      <resolved/>
    </commentChains>
    <commentChains s:ref="AI1903" rgbClr="FF0000">
      <unresolved>
        <commentChain chainId="a0b6ee62eae6d503816426f2f5eacf257c8d2ba3">
          <item id="8c6ca4133e1839450f77a29d893129d69e08664b" userID="1851561945" userName="石玉珍" dateTime="2026-07-30T01:33:17" isNormal="0">
            <s:text>
              <s:r>
                <s:t xml:space="preserve">1001651 7/29 756pcs</s:t>
              </s:r>
            </s:text>
          </item>
        </commentChain>
      </unresolved>
      <resolved/>
    </commentChains>
    <commentChains s:ref="AL1903" rgbClr="FF0000">
      <unresolved>
        <commentChain chainId="eb21cf24283483451f1089b83e2970e8658d14ec">
          <item id="adae2fbb001408b1f3dbb042964a540439d62f87" userID="1851561945" userName="石玉珍" dateTime="2026-07-20T12:42:01" isNormal="0">
            <s:text>
              <s:r>
                <s:t xml:space="preserve">7/20 空白贴纸 756*2pcs</s:t>
              </s:r>
            </s:text>
          </item>
          <item id="f8bca27f92467993769fa6e3b9b03d0222a68861" userID="1851561945" userName="石玉珍" dateTime="2026-07-20T12:42:19" isNormal="0">
            <s:text>
              <s:r>
                <s:t xml:space="preserve">7/20 T环保标贴纸 756pcs</s:t>
              </s:r>
            </s:text>
          </item>
          <item id="e5c577187bd0078b12e6971bd9f48dbcb47f193d" userID="1851561945" userName="石玉珍" dateTime="2026-07-22T09:35:54" isNormal="0">
            <s:text>
              <s:r>
                <s:t xml:space="preserve">7/22  亚马逊外箱贴纸  63pcs</s:t>
              </s:r>
            </s:text>
          </item>
        </commentChain>
      </unresolved>
      <resolved/>
    </commentChains>
    <commentChains s:ref="AI1904" rgbClr="FF0000">
      <unresolved>
        <commentChain chainId="c5978db2c112c99a7180176b5a5d6e833ac179a5">
          <item id="d6d23f79b29eaef2bf79a445fa07deaa716bcd18" userID="1851561945" userName="石玉珍" dateTime="2026-08-12T02:34:32" isNormal="0">
            <s:text>
              <s:r>
                <s:t xml:space="preserve">1000456 8/11 1998pcs</s:t>
              </s:r>
            </s:text>
          </item>
        </commentChain>
      </unresolved>
      <resolved/>
    </commentChains>
    <commentChains s:ref="AL1904" rgbClr="FF0000">
      <unresolved>
        <commentChain chainId="3e4addb47eb600274a339b4f67bbda9c66cfd606">
          <item id="e2eb74b5bc293260adbdb28728985d863cb37063" userID="1851561945" userName="石玉珍" dateTime="2026-07-04T13:29:10" isNormal="0">
            <s:text>
              <s:r>
                <s:t xml:space="preserve">7/3 客供价格贴纸 1998pcs</s:t>
              </s:r>
            </s:text>
          </item>
          <item id="ec8cda59f67f82b16ae598eae3e1c1bb4f1cd651" userID="1851561945" userName="石玉珍" dateTime="2026-07-18T11:45:28" isNormal="0">
            <s:text>
              <s:r>
                <s:t xml:space="preserve">7/18 彩盒地址贴纸/地址贴纸 1998pcs</s:t>
              </s:r>
            </s:text>
          </item>
          <item id="5085f9418253dfe500a98ab685821cdcd3bdf053" userID="1851561945" userName="石玉珍" dateTime="2026-07-20T12:55:20" isNormal="0">
            <s:text>
              <s:r>
                <s:t xml:space="preserve">7/20 警告语贴纸 1998pcs</s:t>
              </s:r>
            </s:text>
          </item>
        </commentChain>
      </unresolved>
      <resolved/>
    </commentChains>
    <commentChains s:ref="AI1905" rgbClr="FF0000">
      <unresolved>
        <commentChain chainId="d1fbd96a521fba7dc182784421d0efafd4a66c30">
          <item id="81587cfeac0b2eac0088f9384687ed4da8342ca2" userID="1851561945" userName="石玉珍" dateTime="2026-08-13T00:34:22" isNormal="0">
            <s:text>
              <s:r>
                <s:t xml:space="preserve">1001446 8/12 2400pcs</s:t>
              </s:r>
            </s:text>
          </item>
        </commentChain>
      </unresolved>
      <resolved/>
    </commentChains>
    <commentChains s:ref="AL1905" rgbClr="FF0000">
      <unresolved>
        <commentChain chainId="587cccb90fcbf705336d61b06b900d04a552fe80">
          <item id="09ce83e014812ef8e3147da222a2c5ac8989ab8e" userID="1851561945" userName="石玉珍" dateTime="2026-07-27T11:29:27" isNormal="0">
            <s:text>
              <s:r>
                <s:t xml:space="preserve">7/25 PDQ+收缩膜进口商贴纸 2400*2pcs</s:t>
              </s:r>
            </s:text>
          </item>
          <item id="9d3ddfb35c1a369ee19fb425ccfd344def1f17b5" userID="1851561945" userName="石玉珍" dateTime="2026-07-27T11:29:47" isNormal="0">
            <s:text>
              <s:r>
                <s:t xml:space="preserve">UPC贴纸 2400pcs</s:t>
              </s:r>
            </s:text>
          </item>
        </commentChain>
      </unresolved>
      <resolved/>
    </commentChains>
    <commentChains s:ref="AI1906" rgbClr="FF0000">
      <unresolved>
        <commentChain chainId="0c5db7dfdfc39e3b40cdabc75f563b9ba2393a50">
          <item id="96a22ef393686b7123c344884823419e2e61b7fa" userID="1851561945" userName="石玉珍" dateTime="2026-08-13T00:35:11" isNormal="0">
            <s:text>
              <s:r>
                <s:t xml:space="preserve">1001446 8/12 1000pcs</s:t>
              </s:r>
            </s:text>
          </item>
        </commentChain>
      </unresolved>
      <resolved/>
    </commentChains>
    <commentChains s:ref="AL1906" rgbClr="FF0000">
      <unresolved>
        <commentChain chainId="1fab3919fd8d50b7f3c35b0f6be5613ac0b6750d">
          <item id="541d4a397020721a724753fb5ce33c3d0eab96ac" userID="1851561945" userName="石玉珍" dateTime="2026-07-27T11:31:33" isNormal="0">
            <s:text>
              <s:r>
                <s:t xml:space="preserve">7/25 UPC贴纸 1000pcs 
PDQ+收缩膜进口商贴纸 1000*2pcs</s:t>
              </s:r>
            </s:text>
          </item>
        </commentChain>
      </unresolved>
      <resolved/>
    </commentChains>
    <commentChains s:ref="AI1907" rgbClr="FF0000">
      <unresolved>
        <commentChain chainId="999d1f4c4330b3adc45095903849121f8df9174b">
          <item id="1dcaaefb3b7883f925b0cc7bd66d04e7163ce866" userID="1851561945" userName="石玉珍" dateTime="2026-08-13T00:35:16" isNormal="0">
            <s:text>
              <s:r>
                <s:t xml:space="preserve">1001446 8/12 720pcs</s:t>
              </s:r>
            </s:text>
          </item>
        </commentChain>
      </unresolved>
      <resolved/>
    </commentChains>
    <commentChains s:ref="AL1907" rgbClr="FF0000">
      <unresolved>
        <commentChain chainId="8ac6d75f473ae1b47a8e38799fc55ed7ee29b244">
          <item id="ee932a60449b19bf7620434b505b4b104e909f70" userID="1851561945" userName="石玉珍" dateTime="2026-07-27T11:31:53" isNormal="0">
            <s:text>
              <s:r>
                <s:t xml:space="preserve">7/25 UPC贴纸 720pcs 
PDQ+收缩膜进口商贴纸 720*2pcs</s:t>
              </s:r>
            </s:text>
          </item>
        </commentChain>
      </unresolved>
      <resolved/>
    </commentChains>
    <commentChains s:ref="AI1908" rgbClr="FF0000">
      <unresolved>
        <commentChain chainId="29563a54e6c81d2f936477c00172b63fb703110c">
          <item id="e57dd844fdfb5354430d81716841ea08f66ffb73" userID="1851561945" userName="石玉珍" dateTime="2026-08-13T00:36:07" isNormal="0">
            <s:text>
              <s:r>
                <s:t xml:space="preserve">1001446 8/12 1850pcs</s:t>
              </s:r>
            </s:text>
          </item>
        </commentChain>
      </unresolved>
      <resolved/>
    </commentChains>
    <commentChains s:ref="AL1908" rgbClr="FF0000">
      <unresolved>
        <commentChain chainId="225c106578fd80ea4375a2530aa79197de02ad97">
          <item id="1f037ca28adbfe15b158305ba464af6d74a39331" userID="1851561945" userName="石玉珍" dateTime="2026-07-27T11:32:11" isNormal="0">
            <s:text>
              <s:r>
                <s:t xml:space="preserve">7/25 UPC贴纸 1850pcs 
PDQ+收缩膜进口商贴纸 1850*2pcs</s:t>
              </s:r>
            </s:text>
          </item>
        </commentChain>
      </unresolved>
      <resolved/>
    </commentChains>
    <commentChains s:ref="AI1909" rgbClr="FF0000">
      <unresolved>
        <commentChain chainId="e9951f85ab6724424b8b0cdd1fbabdae6edb9ba6">
          <item id="db004dd2296f56c8a1bd7ed189cf24bef4067bc3" userID="1851561945" userName="石玉珍" dateTime="2026-08-13T00:36:13" isNormal="0">
            <s:text>
              <s:r>
                <s:t xml:space="preserve">1001446 8/12 1050pcs</s:t>
              </s:r>
            </s:text>
          </item>
        </commentChain>
      </unresolved>
      <resolved/>
    </commentChains>
    <commentChains s:ref="AL1909" rgbClr="FF0000">
      <unresolved>
        <commentChain chainId="364172f4364b2df55b615997a7ce37a71254523e">
          <item id="bb7e724d59575c4f8205ba2a972c3aca27711431" userID="1851561945" userName="石玉珍" dateTime="2026-07-27T11:32:36" isNormal="0">
            <s:text>
              <s:r>
                <s:t xml:space="preserve">7/25 UPC贴纸 1050pcs 
PDQ+收缩膜进口商贴纸 1050*2pcs</s:t>
              </s:r>
            </s:text>
          </item>
        </commentChain>
      </unresolved>
      <resolved/>
    </commentChains>
    <commentChains s:ref="AI1910" rgbClr="FF0000">
      <unresolved>
        <commentChain chainId="b617b84f8164298f080b2146a22726ef5776b819">
          <item id="e1c14a1b2274cc98f03c072bc1cb80089c6f6220" userID="1851561945" userName="石玉珍" dateTime="2026-08-12T02:42:02" isNormal="0">
            <s:text>
              <s:r>
                <s:t xml:space="preserve">1000462 8/11 2824pcs</s:t>
              </s:r>
            </s:text>
          </item>
        </commentChain>
      </unresolved>
      <resolved/>
    </commentChains>
    <commentChains s:ref="AL1910" rgbClr="FF0000">
      <unresolved>
        <commentChain chainId="605cd9a2584c28f170be4ac33ae62705967c7d15">
          <item id="efdec5987a7bf58ea0c32d0f2d98898f96d0b8cc" userID="1851561945" userName="石玉珍" dateTime="2026-07-04T13:21:51" isNormal="0">
            <s:text>
              <s:r>
                <s:t xml:space="preserve">7/3  客供RFID贴纸  2824pcs</s:t>
              </s:r>
            </s:text>
          </item>
        </commentChain>
      </unresolved>
      <resolved/>
    </commentChains>
    <commentChains s:ref="AI1911" rgbClr="FF0000">
      <unresolved>
        <commentChain chainId="36330b0e19d4f7887f90a42ac31702675d1d55fd">
          <item id="58acc711a7fbd7fa99541493dc5d9503605bbda1" userID="1851561945" userName="石玉珍" dateTime="2026-08-13T01:27:48" isNormal="0">
            <s:text>
              <s:r>
                <s:t xml:space="preserve">1001445 8/12 1200pcs</s:t>
              </s:r>
            </s:text>
          </item>
        </commentChain>
      </unresolved>
      <resolved/>
    </commentChains>
    <commentChains s:ref="AL1911" rgbClr="FF0000">
      <unresolved>
        <commentChain chainId="2e2b90509358384771e32db353dd066dc3a0309e">
          <item id="a4d48611c888c4f3a3653b7023fa8d45219c6119" userID="1851561945" userName="石玉珍" dateTime="2026-07-23T11:38:48" isNormal="0">
            <s:text>
              <s:r>
                <s:t xml:space="preserve">7/23 进口商贴纸 1200pcs</s:t>
              </s:r>
            </s:text>
          </item>
        </commentChain>
      </unresolved>
      <resolved/>
    </commentChains>
    <commentChains s:ref="AI1912" rgbClr="FF0000">
      <unresolved>
        <commentChain chainId="b67b51aaa13f829b45ccf60ea06d94d70c0ece2c">
          <item id="52c04038e63c5261aab265159d9601c2b3f564d5" userID="1851561945" userName="石玉珍" dateTime="2026-08-12T02:36:45" isNormal="0">
            <s:text>
              <s:r>
                <s:t xml:space="preserve">1001469 8/11 2028pcs</s:t>
              </s:r>
            </s:text>
          </item>
        </commentChain>
      </unresolved>
      <resolved/>
    </commentChains>
    <commentChains s:ref="AL1912" rgbClr="FF0000">
      <unresolved>
        <commentChain chainId="3618472ca48936f0aa4ccb55785f65fbda20ee56">
          <item id="b35a745d362fe344b25f677e3c04e2ebedbf16aa" userID="1851561945" userName="石玉珍" dateTime="2026-07-04T13:29:01" isNormal="0">
            <s:text>
              <s:r>
                <s:t xml:space="preserve">7/3 客供价格贴纸 2028pcs</s:t>
              </s:r>
            </s:text>
          </item>
          <item id="2ef9b3c3d6c931b069c3c8363a3ab4f400052042" userID="1851561945" userName="石玉珍" dateTime="2026-07-17T00:45:30" isNormal="0">
            <s:text>
              <s:r>
                <s:t xml:space="preserve">7/16 警告语贴纸 3996pcs</s:t>
              </s:r>
            </s:text>
          </item>
          <item id="f1f1c5df0d07c581ab82184dc2661c87c42c425d" userID="1851561945" userName="石玉珍" dateTime="2026-07-30T12:00:14" isNormal="0">
            <s:text>
              <s:r>
                <s:t xml:space="preserve">PDO地址上贴纸 7/30 156pcs</s:t>
              </s:r>
            </s:text>
          </item>
        </commentChain>
      </unresolved>
      <resolved/>
    </commentChains>
    <commentChains s:ref="AL1913" rgbClr="FF0000">
      <unresolved>
        <commentChain chainId="ad0f1bf5b2bad457cd16f3c492d951829519d0a4">
          <item id="2cdc40396711fe403e44e67921a5b334be11a44a" userID="1851561945" userName="石玉珍" dateTime="2026-07-04T13:29:49" isNormal="0">
            <s:text>
              <s:r>
                <s:t xml:space="preserve">7/3 客供价格贴纸 2236pcs</s:t>
              </s:r>
            </s:text>
          </item>
          <item id="8b7634c8e8101071f1c8037aba49f1b5144f392d" userID="1851561945" userName="石玉珍" dateTime="2026-07-30T12:01:02" isNormal="0">
            <s:text>
              <s:r>
                <s:t xml:space="preserve">PDO地址上贴纸 7/30 93pcs</s:t>
              </s:r>
            </s:text>
          </item>
        </commentChain>
      </unresolved>
      <resolved/>
    </commentChains>
    <commentChains s:ref="AI1914" rgbClr="FF0000">
      <unresolved>
        <commentChain chainId="0201ba2328c8517ff747fe35d35cb850060d3de0">
          <item id="d0496ab38bee1e6f1ef479716c144ffec86767da" userID="1851561945" userName="石玉珍" dateTime="2026-08-13T01:52:43" isNormal="0">
            <s:text>
              <s:r>
                <s:t xml:space="preserve">1001445 8/12 3000pcs</s:t>
              </s:r>
            </s:text>
          </item>
        </commentChain>
      </unresolved>
      <resolved/>
    </commentChains>
    <commentChains s:ref="AI1915" rgbClr="FF0000">
      <unresolved>
        <commentChain chainId="e26a23d77c30742f17c52cc2e4b9bd24de63392d">
          <item id="fa398ade371630a5659a1d79209e2b77b2ca0ece" userID="1851561945" userName="石玉珍" dateTime="2026-08-13T00:37:47" isNormal="0">
            <s:text>
              <s:r>
                <s:t xml:space="preserve">1001445 8/12 1500pcs</s:t>
              </s:r>
            </s:text>
          </item>
        </commentChain>
      </unresolved>
      <resolved/>
    </commentChains>
    <commentChains s:ref="AL1915" rgbClr="FF0000">
      <unresolved>
        <commentChain chainId="14e0c914f9f6748ef3e0a95d660236e7b6c527bd">
          <item id="b7ab7e6037109b733300a0e14603188c6f18f7e1" userID="1851561945" userName="石玉珍" dateTime="2026-08-06T09:09:33" isNormal="0">
            <s:text>
              <s:r>
                <s:t xml:space="preserve">8/1 UPC 贴纸  1500pcs
进口商贴纸 1500pcs</s:t>
              </s:r>
            </s:text>
          </item>
        </commentChain>
      </unresolved>
      <resolved/>
    </commentChains>
    <commentChains s:ref="AI1916" rgbClr="FF0000">
      <unresolved>
        <commentChain chainId="1624fb408f26f082a78c56f0f729a3ad30b5a9ac">
          <item id="6abff0c34ae4a62cfa08cc4a7bccbd79d70a3f3b" userID="1851561945" userName="石玉珍" dateTime="2026-08-13T00:39:26" isNormal="0">
            <s:text>
              <s:r>
                <s:t xml:space="preserve">1001445 8/12 3250pcs</s:t>
              </s:r>
            </s:text>
          </item>
        </commentChain>
      </unresolved>
      <resolved/>
    </commentChains>
    <commentChains s:ref="AL1916" rgbClr="FF0000">
      <unresolved>
        <commentChain chainId="b94908ec56d90e9a8639b633d7fb5e8a373c209b">
          <item id="6fa8a85a5478343878d5954890ff3c5a2713d9be" userID="1851561945" userName="石玉珍" dateTime="2026-08-06T09:10:20" isNormal="0">
            <s:text>
              <s:r>
                <s:t xml:space="preserve">8/1 UPC 贴纸  3250pcs
进口商贴纸 3250pcs</s:t>
              </s:r>
            </s:text>
          </item>
        </commentChain>
      </unresolved>
      <resolved/>
    </commentChains>
    <commentChains s:ref="AI1917" rgbClr="FF0000">
      <unresolved>
        <commentChain chainId="e7c74976fc2d6963bd0a13acaa600200b3b96131">
          <item id="90ca362333d42b76f97d300975a290eb80ef9d18" userID="1851561945" userName="石玉珍" dateTime="2026-08-13T01:24:36" isNormal="0">
            <s:text>
              <s:r>
                <s:t xml:space="preserve">1001445 8/12 3000pcs</s:t>
              </s:r>
            </s:text>
          </item>
        </commentChain>
      </unresolved>
      <resolved/>
    </commentChains>
    <commentChains s:ref="AL1917" rgbClr="FF0000">
      <unresolved>
        <commentChain chainId="524e3f6fe9117577a46eb7df57ec11a77e996f68">
          <item id="e665b6381c5ee6c881b6f7aa16d7dce7a1e31795" userID="1851561945" userName="石玉珍" dateTime="2026-08-06T09:10:38" isNormal="0">
            <s:text>
              <s:r>
                <s:t xml:space="preserve">8/1 UPC 贴纸  3000pcs
进口商贴纸 3000pcs</s:t>
              </s:r>
            </s:text>
          </item>
        </commentChain>
      </unresolved>
      <resolved/>
    </commentChains>
    <commentChains s:ref="AI1918" rgbClr="FF0000">
      <unresolved>
        <commentChain chainId="54b90d084b2fc3fc39037bdd05e92bbe2c6afe51">
          <item id="68f69dd2f55cb3e61bd32da38f679b652bf9bc0d" userID="1851561945" userName="石玉珍" dateTime="2026-08-13T01:51:16" isNormal="0">
            <s:text>
              <s:r>
                <s:t xml:space="preserve">1001445 8/12 4600pcs</s:t>
              </s:r>
            </s:text>
          </item>
        </commentChain>
      </unresolved>
      <resolved/>
    </commentChains>
    <commentChains s:ref="AI1919" rgbClr="FF0000">
      <unresolved>
        <commentChain chainId="8ed8d09bd8291a8214c8cf541ba769bc7b53a20a">
          <item id="f07c71ca1d526cb16b3b6774262f50caba9f1711" userID="1851561945" userName="石玉珍" dateTime="2026-08-13T01:51:24" isNormal="0">
            <s:text>
              <s:r>
                <s:t xml:space="preserve">1001445 8/12 350pcs</s:t>
              </s:r>
            </s:text>
          </item>
          <item id="ba63234c1d9ef791271d817f9aac29445e2f87a1" userID="1851561945" userName="石玉珍" dateTime="2026-08-18T00:29:45" isNormal="0">
            <s:text>
              <s:r>
                <s:t xml:space="preserve">1001390 8/17 50pcs</s:t>
              </s:r>
            </s:text>
          </item>
        </commentChain>
      </unresolved>
      <resolved/>
    </commentChains>
    <commentChains s:ref="AI1920" rgbClr="FF0000">
      <unresolved>
        <commentChain chainId="5512840b5460f97fa0fcbf1816da60441326128e">
          <item id="fcb1d6e50079afb40053dbe68674defa9948c616" userID="1851561945" userName="石玉珍" dateTime="2026-08-13T00:36:49" isNormal="0">
            <s:text>
              <s:r>
                <s:t xml:space="preserve">1001446 8/12 4000pcs</s:t>
              </s:r>
            </s:text>
          </item>
        </commentChain>
      </unresolved>
      <resolved/>
    </commentChains>
    <commentChains s:ref="AL1920" rgbClr="FF0000">
      <unresolved>
        <commentChain chainId="f37e2e264be99b9de3e5043c2dbe90e17e64fef3">
          <item id="954f725c75d63f04f8d4f71e100da9759f5a0f63" userID="1851561945" userName="石玉珍" dateTime="2026-07-24T11:12:47" isNormal="0">
            <s:text>
              <s:r>
                <s:t xml:space="preserve">7/24 UPC条码贴纸 4000pcs</s:t>
              </s:r>
            </s:text>
          </item>
          <item id="406f610c95d7b7112eef34b8ee4c27b17467b3ad" userID="1851561945" userName="石玉珍" dateTime="2026-07-24T11:17:41" isNormal="0">
            <s:text>
              <s:r>
                <s:t xml:space="preserve">进口商贴纸 4000pcs</s:t>
              </s:r>
            </s:text>
          </item>
          <item id="c6bbbacfdb35a028812e2b7a804c6f1f3e112263" userID="1851561945" userName="石玉珍" dateTime="2026-08-07T11:13:53" isNormal="0">
            <s:text>
              <s:r>
                <s:t xml:space="preserve">进口商贴纸 8/6 4000pc内容不对补订</s:t>
              </s:r>
            </s:text>
          </item>
        </commentChain>
      </unresolved>
      <resolved/>
    </commentChains>
    <commentChains s:ref="AI1921" rgbClr="FF0000">
      <unresolved>
        <commentChain chainId="725fdf410be8a576d5a9cc3f6212be51b4ee0684">
          <item id="41a759f6b0a91b5f3561c01aefa2b229614daab1" userID="1851561945" userName="石玉珍" dateTime="2026-08-13T11:40:52" isNormal="0">
            <s:text>
              <s:r>
                <s:t xml:space="preserve">1001419 8/13 13440pcs</s:t>
              </s:r>
            </s:text>
          </item>
        </commentChain>
      </unresolved>
      <resolved/>
    </commentChains>
    <commentChains s:ref="AL1921" rgbClr="FF0000">
      <unresolved>
        <commentChain chainId="b742e1397966547a2d5c3df05c8d55a169a4b219">
          <item id="d0cf97b85bc04ac9df9ef97252d40c6ef1e7e6bb" userID="1851561945" userName="石玉珍" dateTime="2026-07-20T12:34:13" isNormal="0">
            <s:text>
              <s:r>
                <s:t xml:space="preserve">7/20 客供RFID贴纸 13440pcs</s:t>
              </s:r>
            </s:text>
          </item>
        </commentChain>
      </unresolved>
      <resolved/>
    </commentChains>
    <commentChains s:ref="AI1922" rgbClr="FF0000">
      <unresolved>
        <commentChain chainId="0ade2eefcf9e65a4e6218eb8810e88b1234146bb">
          <item id="d501c199a13d5fa280360bafe2c6a4828c965c8c" userID="1851561945" userName="石玉珍" dateTime="2026-08-13T11:41:00" isNormal="0">
            <s:text>
              <s:r>
                <s:t xml:space="preserve">1001419 8/13 12000pcs</s:t>
              </s:r>
            </s:text>
          </item>
        </commentChain>
      </unresolved>
      <resolved/>
    </commentChains>
    <commentChains s:ref="AL1922" rgbClr="FF0000">
      <unresolved>
        <commentChain chainId="3805e965bdc0876934304d3e83d7ebbf0d33ba61">
          <item id="9dfab62ff039c5f236a6201d0a1aa4a52d62a3b5" userID="1851561945" userName="石玉珍" dateTime="2026-07-20T12:34:20" isNormal="0">
            <s:text>
              <s:r>
                <s:t xml:space="preserve">7/20 客供RFID贴纸 12000pcs</s:t>
              </s:r>
            </s:text>
          </item>
        </commentChain>
      </unresolved>
      <resolved/>
    </commentChains>
    <commentChains s:ref="AI1923" rgbClr="FF0000">
      <unresolved>
        <commentChain chainId="ed7ae1621f42b26e16bcedcc63d7d8a702c4dfbd">
          <item id="634177c30ab1a70d55aed0c04ffa71d2a4caf487" userID="1851561945" userName="石玉珍" dateTime="2026-08-13T11:41:07" isNormal="0">
            <s:text>
              <s:r>
                <s:t xml:space="preserve">1001419 8/13 9600pcs</s:t>
              </s:r>
            </s:text>
          </item>
        </commentChain>
      </unresolved>
      <resolved/>
    </commentChains>
    <commentChains s:ref="AL1923" rgbClr="FF0000">
      <unresolved>
        <commentChain chainId="71578578cbdd5708df860d840792e87e393db063">
          <item id="c79f4f338579d0570f8dd00ba2ab878f1a1fc319" userID="1851561945" userName="石玉珍" dateTime="2026-07-20T12:34:26" isNormal="0">
            <s:text>
              <s:r>
                <s:t xml:space="preserve">7/20 客供RFID贴纸 9600pcs</s:t>
              </s:r>
            </s:text>
          </item>
        </commentChain>
      </unresolved>
      <resolved/>
    </commentChains>
    <commentChains s:ref="AI1924" rgbClr="FF0000">
      <unresolved>
        <commentChain chainId="78ee813a9a8231e2621bd84084a29f23a30fe273">
          <item id="674c21e04468eb2dce2c448486e8cd7a757d12e2" userID="1851561945" userName="石玉珍" dateTime="2026-08-14T01:01:12" isNormal="0">
            <s:text>
              <s:r>
                <s:t xml:space="preserve">1001424 8/13 5280pcs</s:t>
              </s:r>
            </s:text>
          </item>
        </commentChain>
      </unresolved>
      <resolved/>
    </commentChains>
    <commentChains s:ref="AL1924" rgbClr="FF0000">
      <unresolved>
        <commentChain chainId="bd6bbcdac18ae04fb16a7d8d089794c0a58a585d">
          <item id="bf3fd017944f3ffb708a8af363f5183f690c1dc3" userID="1851561945" userName="石玉珍" dateTime="2026-07-20T12:34:36" isNormal="0">
            <s:text>
              <s:r>
                <s:t xml:space="preserve">7/20 客供RFID贴纸 5280pcs</s:t>
              </s:r>
            </s:text>
          </item>
        </commentChain>
      </unresolved>
      <resolved/>
    </commentChains>
    <commentChains s:ref="AI1925" rgbClr="FF0000">
      <unresolved>
        <commentChain chainId="edd4599627efaecf36f47130ddfe0fd0af30be17">
          <item id="26275dca9a1f84f552fec2aa5bba13c78ccc8c4a" userID="1851561945" userName="石玉珍" dateTime="2026-08-14T12:45:06" isNormal="0">
            <s:text>
              <s:r>
                <s:t xml:space="preserve">1001408 8/14 8160pcs</s:t>
              </s:r>
            </s:text>
          </item>
        </commentChain>
      </unresolved>
      <resolved/>
    </commentChains>
    <commentChains s:ref="AL1925" rgbClr="FF0000">
      <unresolved>
        <commentChain chainId="8fe91d596cf29548aea190f0281c908e47ad7be9">
          <item id="b5ce397aa7205dcfc4872b3562c64d8b88ddfc82" userID="1851561945" userName="石玉珍" dateTime="2026-07-04T13:10:49" isNormal="0">
            <s:text>
              <s:r>
                <s:t xml:space="preserve">7/3  客供RFID贴纸  8160pcs</s:t>
              </s:r>
            </s:text>
          </item>
        </commentChain>
      </unresolved>
      <resolved/>
    </commentChains>
    <commentChains s:ref="AI1926" rgbClr="FF0000">
      <unresolved>
        <commentChain chainId="2513c12c2533bcbf5a687375800bae61d2c74181">
          <item id="b9d4baf8847f300787474ea5d9f1787c1691243d" userID="1851561945" userName="石玉珍" dateTime="2026-08-14T01:00:11" isNormal="0">
            <s:text>
              <s:r>
                <s:t xml:space="preserve">1001424 8/13 5280pcs</s:t>
              </s:r>
            </s:text>
          </item>
        </commentChain>
      </unresolved>
      <resolved/>
    </commentChains>
    <commentChains s:ref="AL1926" rgbClr="FF0000">
      <unresolved>
        <commentChain chainId="c80aaec0e76d119fc56be33557d5f3c71ab86c8f">
          <item id="79d22a46ba3578ea6f41306241c778e99dbdf832" userID="1851561945" userName="石玉珍" dateTime="2026-07-27T11:13:42" isNormal="0">
            <s:text>
              <s:r>
                <s:t xml:space="preserve">7/25 客供RID贴纸 5280pcs</s:t>
              </s:r>
            </s:text>
          </item>
        </commentChain>
      </unresolved>
      <resolved/>
    </commentChains>
    <commentChains s:ref="AI1927" rgbClr="FF0000">
      <unresolved>
        <commentChain chainId="abbc1b6c96774ce349b58baf8f14048e83b2ab6a">
          <item id="bd91680c6af80a77ecd382bf8806c2343bd79462" userID="1851561945" userName="石玉珍" dateTime="2026-08-15T02:42:35" isNormal="0">
            <s:text>
              <s:r>
                <s:t xml:space="preserve">1001415 8/14 8160pcs</s:t>
              </s:r>
            </s:text>
          </item>
        </commentChain>
      </unresolved>
      <resolved/>
    </commentChains>
    <commentChains s:ref="AL1927" rgbClr="FF0000">
      <unresolved>
        <commentChain chainId="a57e5849ee304417cf5d12e3240e5a208ee677fb">
          <item id="03648ff3414adaa95cba77b2ecc8bde537a5c997" userID="1851561945" userName="石玉珍" dateTime="2026-07-27T11:14:05" isNormal="0">
            <s:text>
              <s:r>
                <s:t xml:space="preserve">7/25 客供RID贴纸 8160pcs</s:t>
              </s:r>
            </s:text>
          </item>
        </commentChain>
      </unresolved>
      <resolved/>
    </commentChains>
    <commentChains s:ref="AI1928" rgbClr="FF0000">
      <unresolved>
        <commentChain chainId="aac8048ba7c0b04162b8aceccec910de2673f2ba">
          <item id="0f6571dea19b9ef4c30951872bbe00d058e5db1c" userID="1851561945" userName="石玉珍" dateTime="2026-08-14T01:09:03" isNormal="0">
            <s:text>
              <s:r>
                <s:t xml:space="preserve">1001424 8/13 3840pcs</s:t>
              </s:r>
            </s:text>
          </item>
        </commentChain>
      </unresolved>
      <resolved/>
    </commentChains>
    <commentChains s:ref="AL1928" rgbClr="FF0000">
      <unresolved>
        <commentChain chainId="646ff71a769160a34e2b164154e73d2d984cbd88">
          <item id="b9cf29d08a11f6168c64db2f90160b498e765e1c" userID="1851561945" userName="石玉珍" dateTime="2026-07-27T11:14:11" isNormal="0">
            <s:text>
              <s:r>
                <s:t xml:space="preserve">7/25 客供RID贴纸 3840pcs</s:t>
              </s:r>
            </s:text>
          </item>
        </commentChain>
      </unresolved>
      <resolved/>
    </commentChains>
    <commentChains s:ref="AI1929" rgbClr="FF0000">
      <unresolved>
        <commentChain chainId="a79660b6f6ea261013acf214eed3e5a7a1c043bd">
          <item id="67bdd1a6852ac1396c0a2b300909d40369b2d239" userID="1851561945" userName="石玉珍" dateTime="2026-08-14T01:09:08" isNormal="0">
            <s:text>
              <s:r>
                <s:t xml:space="preserve">1001424 8/13 1296pcs</s:t>
              </s:r>
            </s:text>
          </item>
        </commentChain>
      </unresolved>
      <resolved/>
    </commentChains>
    <commentChains s:ref="AL1929" rgbClr="FF0000">
      <unresolved>
        <commentChain chainId="d43b910f975db5887e47335f5e5ab6a6c22dad63">
          <item id="006fbe344777f27ef8b1c5aeb6385c3a23f01f7c" userID="1851561945" userName="石玉珍" dateTime="2026-07-27T11:14:16" isNormal="0">
            <s:text>
              <s:r>
                <s:t xml:space="preserve">7/25 客供RID贴纸 1440pcs</s:t>
              </s:r>
            </s:text>
          </item>
        </commentChain>
      </unresolved>
      <resolved/>
    </commentChains>
    <commentChains s:ref="AI1930" rgbClr="FF0000">
      <unresolved>
        <commentChain chainId="5236a4177574b77315d7bce7aaf822051f090761">
          <item id="2c39a16e10244592bef6c98d60c3ab3bbda2f15f" userID="1851561945" userName="石玉珍" dateTime="2026-08-14T01:09:58" isNormal="0">
            <s:text>
              <s:r>
                <s:t xml:space="preserve">1001424 8/13 5760pcs</s:t>
              </s:r>
            </s:text>
          </item>
        </commentChain>
      </unresolved>
      <resolved/>
    </commentChains>
    <commentChains s:ref="AL1930" rgbClr="FF0000">
      <unresolved>
        <commentChain chainId="3b3ecacafbd5f66de2086fc9d430fb7749276deb">
          <item id="15848e0be602841d89a8be13377b0ef1a49374e7" userID="1851561945" userName="石玉珍" dateTime="2026-07-27T11:14:47" isNormal="0">
            <s:text>
              <s:r>
                <s:t xml:space="preserve">7/25 客供RID贴纸 5760pcs</s:t>
              </s:r>
            </s:text>
          </item>
        </commentChain>
      </unresolved>
      <resolved/>
    </commentChains>
    <commentChains s:ref="AL1931" rgbClr="FF0000">
      <unresolved>
        <commentChain chainId="7db447f81ecde175c3be173b28c8f00ac9e39595">
          <item id="5c739a2ace313de633a34fd3558c82bb359f0223" userID="1851561945" userName="石玉珍" dateTime="2026-07-15T11:22:04" isNormal="0">
            <s:text>
              <s:r>
                <s:t xml:space="preserve">7/15 3c贴纸 1200pcs</s:t>
              </s:r>
            </s:text>
          </item>
          <item id="1ca41bee3a01a38538784d5cb8b20ba9de95f3dc" userID="1851561945" userName="石玉珍" dateTime="2026-07-15T11:23:28" isNormal="0">
            <s:text>
              <s:r>
                <s:t xml:space="preserve">7/15 颜色贴纸 1200pcs</s:t>
              </s:r>
            </s:text>
          </item>
          <item id="7e9be7d016ba627f90a178aa6098dff31b8bed78" userID="1851561945" userName="石玉珍" dateTime="2026-07-16T11:50:37" isNormal="0">
            <s:text>
              <s:r>
                <s:t xml:space="preserve">7/16 空白贴纸 1200pcs*2</s:t>
              </s:r>
            </s:text>
          </item>
          <item id="8d344c9f0a6ae5d13e4544b39ac3eab7ecad1c32" userID="1851561945" userName="石玉珍" dateTime="2026-07-17T12:58:42" isNormal="0">
            <s:text>
              <s:r>
                <s:t xml:space="preserve">7/16 客供芯片码贴纸 1200pcs</s:t>
              </s:r>
            </s:text>
          </item>
        </commentChain>
      </unresolved>
      <resolved/>
    </commentChains>
    <commentChains s:ref="AL1932" rgbClr="FF0000">
      <unresolved>
        <commentChain chainId="a56e11c95291d20dddb0aefb62cf574151a04442">
          <item id="d1301d855c156bea5d196ef63881d04e8db9db94" userID="1851561945" userName="石玉珍" dateTime="2026-07-15T11:22:10" isNormal="0">
            <s:text>
              <s:r>
                <s:t xml:space="preserve">7/15 3c贴纸 2004pcs</s:t>
              </s:r>
            </s:text>
          </item>
          <item id="f3e52776630b9b520d50f6b9703ff33a74e1cf73" userID="1851561945" userName="石玉珍" dateTime="2026-07-15T11:23:34" isNormal="0">
            <s:text>
              <s:r>
                <s:t xml:space="preserve">7/15 颜色贴纸 2004pcs</s:t>
              </s:r>
            </s:text>
          </item>
          <item id="e613f12fac2fee577d8efb3ebc6cb87c589bce8e" userID="1851561945" userName="石玉珍" dateTime="2026-07-16T11:50:43" isNormal="0">
            <s:text>
              <s:r>
                <s:t xml:space="preserve">7/16 空白贴纸 2004pcs*2</s:t>
              </s:r>
            </s:text>
          </item>
          <item id="16ef48092a33f0608524d0259fa36362bbb8e115" userID="1851561945" userName="石玉珍" dateTime="2026-07-17T12:58:48" isNormal="0">
            <s:text>
              <s:r>
                <s:t xml:space="preserve">7/16 客供芯片码贴纸 2004pcs</s:t>
              </s:r>
            </s:text>
          </item>
        </commentChain>
      </unresolved>
      <resolved/>
    </commentChains>
    <commentChains s:ref="AI1933" rgbClr="FF0000">
      <unresolved>
        <commentChain chainId="983a5dc4e9d1200a3c9d10ca8df6ea9cfd51fe01">
          <item id="fe4c3eea395427f662249d6a9ef7df4f04ce600b" userID="1851561945" userName="石玉珍" dateTime="2026-07-30T01:32:19" isNormal="0">
            <s:text>
              <s:r>
                <s:t xml:space="preserve">1001651 7/29 564pcs</s:t>
              </s:r>
            </s:text>
          </item>
        </commentChain>
      </unresolved>
      <resolved/>
    </commentChains>
    <commentChains s:ref="AL1933" rgbClr="FF0000">
      <unresolved>
        <commentChain chainId="9a9ef68b104f7ff73a4f448cab5eac6c0f64bf57">
          <item id="5dc607dbec96d8ceffd733473ff5ac199e11ea94" userID="1851561945" userName="石玉珍" dateTime="2026-06-29T12:21:55" isNormal="0">
            <s:text>
              <s:r>
                <s:t xml:space="preserve">6/29 亚马逊外箱贴纸 47pcs</s:t>
              </s:r>
            </s:text>
          </item>
          <item id="366d620d1e7dca157959908547e32010520ff76b" userID="1851561945" userName="石玉珍" dateTime="2026-07-22T08:05:24" isNormal="0">
            <s:text>
              <s:r>
                <s:t xml:space="preserve">7/21 环保标贴纸 1128pcs</s:t>
              </s:r>
            </s:text>
          </item>
          <item id="90d4e382f4121152c7c0403b8bee95f52078d0a9" userID="1851561945" userName="石玉珍" dateTime="2026-07-22T09:39:14" isNormal="0">
            <s:text>
              <s:r>
                <s:t xml:space="preserve">7/22 空白贴纸 564*2pcs</s:t>
              </s:r>
            </s:text>
          </item>
        </commentChain>
      </unresolved>
      <resolved/>
    </commentChains>
    <commentChains s:ref="AI1934" rgbClr="FF0000">
      <unresolved>
        <commentChain chainId="27fec6fad9fcde83bff3af85468c56c53f9c8f47">
          <item id="563b5d18d6a83bebed7165478c9b90d76123f749" userID="1851561945" userName="石玉珍" dateTime="2026-08-12T02:33:49" isNormal="0">
            <s:text>
              <s:r>
                <s:t xml:space="preserve">1000456 8/11 192pcs</s:t>
              </s:r>
            </s:text>
          </item>
        </commentChain>
      </unresolved>
      <resolved/>
    </commentChains>
    <commentChains s:ref="AL1934" rgbClr="FF0000">
      <unresolved>
        <commentChain chainId="853f4837dcbf10bdc7ad6769ac7408d9ff5a74a1">
          <item id="b63d0c1600484b97d0ec6a25fb9b73ac674f360d" userID="1851561945" userName="石玉珍" dateTime="2026-06-08T12:40:08" isNormal="0">
            <s:text>
              <s:r>
                <s:t xml:space="preserve">6/8 客供RID贴纸 192pcs</s:t>
              </s:r>
            </s:text>
          </item>
          <item id="a0059e0d38da1f387e2558ea8ac3601a36d13bfd" userID="1851561945" userName="石玉珍" dateTime="2026-07-21T01:05:39" isNormal="0">
            <s:text>
              <s:r>
                <s:t xml:space="preserve">7/20 彩色placard贴纸 8*2pcs</s:t>
              </s:r>
            </s:text>
          </item>
        </commentChain>
      </unresolved>
      <resolved/>
    </commentChains>
    <commentChains s:ref="AI1935" rgbClr="FF0000">
      <unresolved>
        <commentChain chainId="a930c8f4282371b0a4664b6334250a453cacc50d">
          <item id="18fd90eeac4329e3e6db8b39b82e6ce92d9a1d68" userID="1851561945" userName="石玉珍" dateTime="2026-08-12T02:33:57" isNormal="0">
            <s:text>
              <s:r>
                <s:t xml:space="preserve">1000456 8/11 216pcs</s:t>
              </s:r>
            </s:text>
          </item>
        </commentChain>
      </unresolved>
      <resolved/>
    </commentChains>
    <commentChains s:ref="AL1935" rgbClr="FF0000">
      <unresolved>
        <commentChain chainId="2c65b0233b8aed5f315e098d9671853925034147">
          <item id="dbb6979b7448d39a171f6c2e018f45e93d5356cb" userID="1851561945" userName="石玉珍" dateTime="2026-06-08T12:40:17" isNormal="0">
            <s:text>
              <s:r>
                <s:t xml:space="preserve">6/8 客供RID贴纸 216pcs</s:t>
              </s:r>
            </s:text>
          </item>
          <item id="1b6ffda674c45842c39514593ff045759ef8a862" userID="1851561945" userName="石玉珍" dateTime="2026-07-21T01:05:46" isNormal="0">
            <s:text>
              <s:r>
                <s:t xml:space="preserve">7/20 彩色placard贴纸 9*2pcs</s:t>
              </s:r>
            </s:text>
          </item>
        </commentChain>
      </unresolved>
      <resolved/>
    </commentChains>
    <commentChains s:ref="AI1936" rgbClr="FF0000">
      <unresolved>
        <commentChain chainId="d7336eb45420d0f6a98f93917df4f4b8985d294d">
          <item id="3b7454384aa70dc3164a3c4c359eca03d328cca6" userID="1851561945" userName="石玉珍" dateTime="2026-08-12T02:40:57" isNormal="0">
            <s:text>
              <s:r>
                <s:t xml:space="preserve">1000462 8/11 1998pcs</s:t>
              </s:r>
            </s:text>
          </item>
          <item id="13053f2ae54e30d4cce8a502c35ab8d8ded5c34a" userID="1851561945" userName="石玉珍" dateTime="2026-08-17T01:02:39" isNormal="0">
            <s:text>
              <s:r>
                <s:t xml:space="preserve">1000491 8/15 36pcfs</s:t>
              </s:r>
            </s:text>
          </item>
        </commentChain>
      </unresolved>
      <resolved/>
    </commentChains>
    <commentChains s:ref="AL1936" rgbClr="FF0000">
      <unresolved>
        <commentChain chainId="ca5fd157c272b4e049a12f1f13412b8011c41af7">
          <item id="c287b59488f5ec290aaf64be5942b0461f428f2f" userID="1851561945" userName="石玉珍" dateTime="2026-07-17T13:17:50" isNormal="0">
            <s:text>
              <s:r>
                <s:t xml:space="preserve">7/17 DE/IT警告语 2034pcs*2</s:t>
              </s:r>
            </s:text>
          </item>
          <item id="8b8f5d64b7291d1ea6b4c03e04622e9cab45fea6" userID="1851561945" userName="石玉珍" dateTime="2026-07-22T09:40:19" isNormal="0">
            <s:text>
              <s:r>
                <s:t xml:space="preserve">7/22 亚马逊外箱贴纸 339pcs</s:t>
              </s:r>
            </s:text>
          </item>
        </commentChain>
      </unresolved>
      <resolved/>
    </commentChains>
    <commentChains s:ref="AI1937" rgbClr="FF0000">
      <unresolved>
        <commentChain chainId="c14674f7a47ab07edc691ac109f6ad6b60e654d1">
          <item id="98f703df7da62c8361e84b7c488a7af1d93e5bc8" userID="1851561945" userName="石玉珍" dateTime="2026-08-12T02:41:07" isNormal="0">
            <s:text>
              <s:r>
                <s:t xml:space="preserve">1000462 8/11 1020pcs</s:t>
              </s:r>
            </s:text>
          </item>
        </commentChain>
      </unresolved>
      <resolved/>
    </commentChains>
    <commentChains s:ref="AL1937" rgbClr="FF0000">
      <unresolved>
        <commentChain chainId="1d8b500442dc450282760e085f2f0f1f7f00529f">
          <item id="d3dcb1e03cf12e3721ff88289af2f408cd6e6b53" userID="1851561945" userName="石玉珍" dateTime="2026-07-17T13:17:58" isNormal="0">
            <s:text>
              <s:r>
                <s:t xml:space="preserve">7/17 DE/IT警告语 1020pcs*2</s:t>
              </s:r>
            </s:text>
          </item>
          <item id="b49d5b5141ba4c43db3e78edf8b54485d92f96e3" userID="1851561945" userName="石玉珍" dateTime="2026-07-22T09:40:26" isNormal="0">
            <s:text>
              <s:r>
                <s:t xml:space="preserve">7/22 亚马逊外箱贴纸 170pcs</s:t>
              </s:r>
            </s:text>
          </item>
        </commentChain>
      </unresolved>
      <resolved/>
    </commentChains>
    <commentChains s:ref="AI1938" rgbClr="FF0000">
      <unresolved>
        <commentChain chainId="591ce5e1d6a7c0f8064a8fe792c962b93b990d76">
          <item id="402bf7d54cde50c02afa1df47859f7444ffd29b8" userID="1851561945" userName="石玉珍" dateTime="2026-08-12T02:41:11" isNormal="0">
            <s:text>
              <s:r>
                <s:t xml:space="preserve">1000462 8/11 504pcs</s:t>
              </s:r>
            </s:text>
          </item>
        </commentChain>
      </unresolved>
      <resolved/>
    </commentChains>
    <commentChains s:ref="AL1938" rgbClr="FF0000">
      <unresolved>
        <commentChain chainId="e43547017d654654ed193de145631dabc098c4cc">
          <item id="02362727ef4515d02b0fd77fd115e72783d6f983" userID="1851561945" userName="石玉珍" dateTime="2026-07-17T13:18:04" isNormal="0">
            <s:text>
              <s:r>
                <s:t xml:space="preserve">7/17 DE/IT警告语 504pcs*2</s:t>
              </s:r>
            </s:text>
          </item>
          <item id="7c2112b4d99ee8ed98487d090bf0af582579c84b" userID="1851561945" userName="石玉珍" dateTime="2026-07-22T09:40:31" isNormal="0">
            <s:text>
              <s:r>
                <s:t xml:space="preserve">7/22 亚马逊外箱贴纸 84pcs</s:t>
              </s:r>
            </s:text>
          </item>
        </commentChain>
      </unresolved>
      <resolved/>
    </commentChains>
    <commentChains s:ref="AI1939" rgbClr="FF0000">
      <unresolved>
        <commentChain chainId="784bd9ba5c0f90f92075dfb17388b8e33ae47ce8">
          <item id="bebef1a7df817d7bd7e2509491232a8b38a93e8d" userID="1851561945" userName="石玉珍" dateTime="2026-08-10T03:11:41" isNormal="0">
            <s:text>
              <s:r>
                <s:t xml:space="preserve">1001524 8/7 732pcs</s:t>
              </s:r>
            </s:text>
          </item>
        </commentChain>
      </unresolved>
      <resolved/>
    </commentChains>
    <commentChains s:ref="AI1940" rgbClr="FF0000">
      <unresolved>
        <commentChain chainId="93caba6757b41343ea7fc09f0f95c0192051c418">
          <item id="d560dfb84e063a819d5b4a2d418b40245829b51e" userID="1851561945" userName="石玉珍" dateTime="2026-08-07T02:55:20" isNormal="0">
            <s:text>
              <s:r>
                <s:t xml:space="preserve">1001566 8/5 1176pcs</s:t>
              </s:r>
            </s:text>
          </item>
        </commentChain>
      </unresolved>
      <resolved/>
    </commentChains>
    <commentChains s:ref="AI1941" rgbClr="FF0000">
      <unresolved>
        <commentChain chainId="e66e50a3ff66dbb74f3ca65d73ef2229d1673666">
          <item id="f1fccef49c51b34d15ce97721cce308dd103c659" userID="1851561945" userName="石玉珍" dateTime="2026-08-18T00:29:15" isNormal="0">
            <s:text>
              <s:r>
                <s:t xml:space="preserve">1001390 8/17 350pcs</s:t>
              </s:r>
            </s:text>
          </item>
        </commentChain>
      </unresolved>
      <resolved/>
    </commentChains>
    <commentChains s:ref="AL1941" rgbClr="FF0000">
      <unresolved>
        <commentChain chainId="04af045417b80417226d6f250a2821acb2cd30d2">
          <item id="4cd3275b0cc4c531f8740d42bbbc10bcd10894f5" userID="1851561945" userName="石玉珍" dateTime="2026-07-17T00:45:54" isNormal="0">
            <s:text>
              <s:r>
                <s:t xml:space="preserve">7/16 进口商贴纸 350pcs</s:t>
              </s:r>
            </s:text>
          </item>
          <item id="8ca7370a90b7a939d6f1bef30167f40bce706b67" userID="1851561945" userName="石玉珍" dateTime="2026-08-06T12:13:21" isNormal="0">
            <s:text>
              <s:r>
                <s:t xml:space="preserve">家乐福外箱贴纸 7/31 14pcs</s:t>
              </s:r>
            </s:text>
          </item>
        </commentChain>
      </unresolved>
      <resolved/>
    </commentChains>
    <commentChains s:ref="AI1942" rgbClr="FF0000">
      <unresolved>
        <commentChain chainId="42bd5900dfa34ea3ad52b0f82329285ef75b2851">
          <item id="90dba628967176ac827dcedfb91e2c0ca42b276d" userID="1851561945" userName="石玉珍" dateTime="2026-08-15T02:43:02" isNormal="0">
            <s:text>
              <s:r>
                <s:t xml:space="preserve">1001415 8/14 2000pcs</s:t>
              </s:r>
            </s:text>
          </item>
        </commentChain>
      </unresolved>
      <resolved/>
    </commentChains>
    <commentChains s:ref="AL1943" rgbClr="FF0000">
      <unresolved>
        <commentChain chainId="94163eb4e5b64e9b5fd12b7532e8e13ee8e9a476">
          <item id="74bca66533fcd4417b3027992b5dc7b838bea7ee" userID="1851561945" userName="石玉珍" dateTime="2026-07-23T11:37:22" isNormal="0">
            <s:text>
              <s:r>
                <s:t xml:space="preserve">7/23 西班牙环保标贴纸 4550pcs</s:t>
              </s:r>
            </s:text>
          </item>
          <item id="46f49634a6b612941dc76efbf7e2cbf340f261a0" userID="1851561945" userName="石玉珍" dateTime="2026-08-10T11:54:37" isNormal="0">
            <s:text>
              <s:r>
                <s:t xml:space="preserve">客供外箱条码贴纸 8/10 91pcs</s:t>
              </s:r>
            </s:text>
          </item>
          <item id="8c6346c5aca68b12ab1e0010bf87b959c577d0f1" userID="1851561945" userName="石玉珍" dateTime="2026-08-12T11:26:25" isNormal="0">
            <s:text>
              <s:r>
                <s:t xml:space="preserve">客供RFID贴纸 8/11 4550pcs</s:t>
              </s:r>
            </s:text>
          </item>
        </commentChain>
      </unresolved>
      <resolved/>
    </commentChains>
    <commentChains s:ref="AL1944" rgbClr="FF0000">
      <unresolved>
        <commentChain chainId="cd49d2f7741781a8e8390839ba1815d64df37f6f">
          <item id="cf622e699a7d9c73aedac46be2f34b42637ee4b9" userID="1851561945" userName="石玉珍" dateTime="2026-07-23T11:34:09" isNormal="0">
            <s:text>
              <s:r>
                <s:t xml:space="preserve">7/23 EAN条码贴纸 2250pcs</s:t>
              </s:r>
            </s:text>
          </item>
          <item id="cb229ca9fe3e9742c01bf5b6b04fa33e4959fd2c" userID="1851561945" userName="石玉珍" dateTime="2026-07-23T11:39:27" isNormal="0">
            <s:text>
              <s:r>
                <s:t xml:space="preserve">空白贴纸 2250*2pcs</s:t>
              </s:r>
            </s:text>
          </item>
          <item id="70f23be48fb7b9347b0b05a655b0ec91500c5720" userID="1851561945" userName="石玉珍" dateTime="2026-08-10T11:54:52" isNormal="0">
            <s:text>
              <s:r>
                <s:t xml:space="preserve">客供外箱条码贴纸 8/10 375pcs</s:t>
              </s:r>
            </s:text>
          </item>
          <item id="85c420a94c79ff63fb843a863488ad7993aeeaea" userID="1851561945" userName="石玉珍" dateTime="2026-08-12T11:26:32" isNormal="0">
            <s:text>
              <s:r>
                <s:t xml:space="preserve">客供RFID贴纸 8/11 2250pcs</s:t>
              </s:r>
            </s:text>
          </item>
        </commentChain>
      </unresolved>
      <resolved/>
    </commentChains>
    <commentChains s:ref="AL1945" rgbClr="FF0000">
      <unresolved>
        <commentChain chainId="9da3e87fb5275d797daba766294b1e4ecbce1d5d">
          <item id="8b979ca5fcb4766dd5578e9c5ffb178226333043" userID="1851561945" userName="石玉珍" dateTime="2026-07-23T11:37:31" isNormal="0">
            <s:text>
              <s:r>
                <s:t xml:space="preserve">7/23 西班牙环保标贴纸 1500pcs</s:t>
              </s:r>
            </s:text>
          </item>
          <item id="e129d623e2434f50a4c48906f42175aa07c5e9f4" userID="1851561945" userName="石玉珍" dateTime="2026-08-10T11:55:00" isNormal="0">
            <s:text>
              <s:r>
                <s:t xml:space="preserve">客供外箱条码贴纸 8/10 30pcs</s:t>
              </s:r>
            </s:text>
          </item>
          <item id="74936a96fb08a8d49034468fdf059206d7c1240f" userID="1851561945" userName="石玉珍" dateTime="2026-08-12T11:26:38" isNormal="0">
            <s:text>
              <s:r>
                <s:t xml:space="preserve">客供RFID贴纸 8/11 1500pcs</s:t>
              </s:r>
            </s:text>
          </item>
        </commentChain>
      </unresolved>
      <resolved/>
    </commentChains>
    <commentChains s:ref="AL1946" rgbClr="FF0000">
      <unresolved>
        <commentChain chainId="eaad89ac06c630c70a642458661b56e9c927d0ac">
          <item id="2f1533180fcdaa76a3a9d71d4f9e70283bc078ee" userID="1851561945" userName="石玉珍" dateTime="2026-07-23T11:34:16" isNormal="0">
            <s:text>
              <s:r>
                <s:t xml:space="preserve">7/23 EAN条码贴纸 750pcs</s:t>
              </s:r>
            </s:text>
          </item>
          <item id="7e96117b10f5e8f2fb8a33bb9a14c15228b0248b" userID="1851561945" userName="石玉珍" dateTime="2026-07-23T11:39:35" isNormal="0">
            <s:text>
              <s:r>
                <s:t xml:space="preserve">空白贴纸 750*2pcs</s:t>
              </s:r>
            </s:text>
          </item>
          <item id="cdc9819fb41dd2020d71611cdcd395e3620af413" userID="1851561945" userName="石玉珍" dateTime="2026-08-10T11:55:07" isNormal="0">
            <s:text>
              <s:r>
                <s:t xml:space="preserve">客供外箱条码贴纸 8/10 125pcs</s:t>
              </s:r>
            </s:text>
          </item>
          <item id="a3d8321932748f2d9cd759e62005422df6c9b096" userID="1851561945" userName="石玉珍" dateTime="2026-08-12T11:26:44" isNormal="0">
            <s:text>
              <s:r>
                <s:t xml:space="preserve">客供RFID贴纸 8/11 750pcs</s:t>
              </s:r>
            </s:text>
          </item>
        </commentChain>
      </unresolved>
      <resolved/>
    </commentChains>
    <commentChains s:ref="AI1947" rgbClr="FF0000">
      <unresolved>
        <commentChain chainId="0805dc321c15b79b883117356b4fb700576a515c">
          <item id="e2bdecbc0ae5f281a28c2b55e73993e50c00c1c4" userID="1851561945" userName="石玉珍" dateTime="2026-08-14T12:58:11" isNormal="0">
            <s:text>
              <s:r>
                <s:t xml:space="preserve">1000485 8/14 840pcs</s:t>
              </s:r>
            </s:text>
          </item>
        </commentChain>
      </unresolved>
      <resolved/>
    </commentChains>
    <commentChains s:ref="AL1947" rgbClr="FF0000">
      <unresolved>
        <commentChain chainId="0aa6c52af54bd525d955b76404cc2c55ca4e307c">
          <item id="f167be203ee99f9aa61b66ee48b7adc4a04805cc" userID="1851561945" userName="石玉珍" dateTime="2026-07-04T13:22:14" isNormal="0">
            <s:text>
              <s:r>
                <s:t xml:space="preserve">7/3  客供RFID贴纸  840pcs</s:t>
              </s:r>
            </s:text>
          </item>
        </commentChain>
      </unresolved>
      <resolved/>
    </commentChains>
    <commentChains s:ref="AI1948" rgbClr="FF0000">
      <unresolved>
        <commentChain chainId="eee9bf516f84ff741b0d7e26eb2f0b21330dfbc2">
          <item id="6d534f71adfa2c794c9448d3282910d8f32a5941" userID="1851561945" userName="石玉珍" dateTime="2026-08-15T02:40:31" isNormal="0">
            <s:text>
              <s:r>
                <s:t xml:space="preserve">1001395 8/14 996pcs </s:t>
              </s:r>
            </s:text>
          </item>
        </commentChain>
      </unresolved>
      <resolved/>
    </commentChains>
    <commentChains s:ref="AL1948" rgbClr="FF0000">
      <unresolved>
        <commentChain chainId="71c3af9cf9ef5dcdb434c92d652f254eef75175a">
          <item id="71957c67d1667cafa1f6740b69afa32b8da11a0d" isNormal="1">
            <s:text>
              <s:r>
                <s:t xml:space="preserve">Administrator:
5/22 空白贴纸 订单数*2pcs
</s:t>
              </s:r>
            </s:text>
          </item>
          <item id="06a098c9556ab27be45f4ccd468cb48ba2bef4a9" userID="1851561945" userName="石玉珍" dateTime="2026-07-09T12:46:29" isNormal="0">
            <s:text>
              <s:r>
                <s:t xml:space="preserve">7/9 客供价格贴纸 996pcs</s:t>
              </s:r>
            </s:text>
          </item>
        </commentChain>
      </unresolved>
      <resolved/>
    </commentChains>
    <commentChains s:ref="AI1949" rgbClr="FF0000">
      <unresolved>
        <commentChain chainId="96ed9d42b44e5d06be58e39900512e9032715db7">
          <item id="6b1fc4b9bc1b12f42c8064c5cfad902850b4f7ce" userID="1851561945" userName="石玉珍" dateTime="2026-08-15T02:40:58" isNormal="0">
            <s:text>
              <s:r>
                <s:t xml:space="preserve">1001395 8/14 1200pcs </s:t>
              </s:r>
            </s:text>
          </item>
        </commentChain>
      </unresolved>
      <resolved/>
    </commentChains>
    <commentChains s:ref="AL1949" rgbClr="FF0000">
      <unresolved>
        <commentChain chainId="9ac360d87115f0bcc225c3ed5b20385017178fbf">
          <item id="096526c5344933ca049534994dbe65bb38ea1831" isNormal="1">
            <s:text>
              <s:r>
                <s:t xml:space="preserve">Administrator:
5/22 空白贴纸 订单数*2pcs
</s:t>
              </s:r>
            </s:text>
          </item>
          <item id="b6e21af4f35ba063164d4cae7c2807e634510c2f" userID="1851561945" userName="石玉珍" dateTime="2026-07-13T05:55:47" isNormal="0">
            <s:text>
              <s:r>
                <s:t xml:space="preserve">7/11 客供价格贴纸 1200pcs.</s:t>
              </s:r>
            </s:text>
          </item>
        </commentChain>
      </unresolved>
      <resolved/>
    </commentChains>
    <commentChains s:ref="AL1950" rgbClr="FF0000">
      <unresolved>
        <commentChain chainId="e6b79283df2d8fd597eedbed521ce95c8fe18da3">
          <item id="9075bf434e35473a3c0928e45c6be5710a1be239" userID="1851561945" userName="石玉珍" dateTime="2026-07-27T11:05:20" isNormal="0">
            <s:text>
              <s:r>
                <s:t xml:space="preserve">进口商贴纸 7/25 455pcs</s:t>
              </s:r>
            </s:text>
          </item>
          <item id="f106c49774bfe793c8860fefc0df1a2a8e3cca80" userID="1851561945" userName="石玉珍" dateTime="2026-08-14T12:14:51" isNormal="0">
            <s:text>
              <s:r>
                <s:t xml:space="preserve">进口商贴纸 8/14 455pcs</s:t>
              </s:r>
            </s:text>
          </item>
        </commentChain>
      </unresolved>
      <resolved/>
    </commentChains>
    <commentChains s:ref="AI1951" rgbClr="FF0000">
      <unresolved>
        <commentChain chainId="6fac04c8992b41e760477d22993271d52fc1fca0">
          <item id="298a2dded4d4a340534b20e244708671d2c0b755" userID="1851561945" userName="石玉珍" dateTime="2026-08-15T02:35:53" isNormal="0">
            <s:text>
              <s:r>
                <s:t xml:space="preserve">1001395 8/14 1320pcs</s:t>
              </s:r>
            </s:text>
          </item>
        </commentChain>
      </unresolved>
      <resolved/>
    </commentChains>
    <commentChains s:ref="AI1956" rgbClr="FF0000">
      <unresolved>
        <commentChain chainId="14e0bd4d9d3712d36f95d99abfffbf44a649669f">
          <item id="c0b3d392fd8c6b14bbcda9b2d8ca662928809820" userID="1851561945" userName="石玉珍" dateTime="2026-08-15T02:43:32" isNormal="0">
            <s:text>
              <s:r>
                <s:t xml:space="preserve">1001415 8/14 2100pcs</s:t>
              </s:r>
            </s:text>
          </item>
        </commentChain>
      </unresolved>
      <resolved/>
    </commentChains>
    <commentChains s:ref="AL1956" rgbClr="FF0000">
      <unresolved>
        <commentChain chainId="18d6868ddcabba5ca8f955217a34fb96de444d23">
          <item id="1bbfc6d557be16fddd886637d9b2272a23c4b7e5" userID="1851561945" userName="石玉珍" dateTime="2026-07-30T11:25:40" isNormal="0">
            <s:text>
              <s:r>
                <s:t xml:space="preserve">进口商贴纸(含西班牙环保标 7/29 2100pcs</s:t>
              </s:r>
            </s:text>
          </item>
          <item id="836c086026122f551e35390816b21ab5dce25c0f" userID="1851561945" userName="石玉珍" dateTime="2026-07-30T11:25:46" isNormal="0">
            <s:text>
              <s:r>
                <s:t xml:space="preserve">展示架贴纸含EAN条码 70pcs</s:t>
              </s:r>
            </s:text>
          </item>
        </commentChain>
      </unresolved>
      <resolved/>
    </commentChains>
    <commentChains s:ref="AI1957" rgbClr="FF0000">
      <unresolved>
        <commentChain chainId="39bcfc75ab4908c4d62d236f67c4e52704bd39f3">
          <item id="0c364bfe6b5702e9da9e0f320a9986dcd98be160" userID="1851561945" userName="石玉珍" dateTime="2026-08-15T02:43:54" isNormal="0">
            <s:text>
              <s:r>
                <s:t xml:space="preserve">1001415 8/14 5200pcs</s:t>
              </s:r>
            </s:text>
          </item>
        </commentChain>
      </unresolved>
      <resolved/>
    </commentChains>
    <commentChains s:ref="AL1957" rgbClr="FF0000">
      <unresolved>
        <commentChain chainId="bef3c19125e63c1fc3a66d08f37f64e9e70057f6">
          <item id="454ef0cbe554e818d2a205de8eb0f6cdc8afc3d5" userID="1851561945" userName="石玉珍" dateTime="2026-07-30T11:21:55" isNormal="0">
            <s:text>
              <s:r>
                <s:t xml:space="preserve">进口商贴纸(含西班牙环保标) 7/29 5200pcs</s:t>
              </s:r>
            </s:text>
          </item>
          <item id="d7a02d6c89ca408ad7dd61fe34f275ee763b212d" userID="1851561945" userName="石玉珍" dateTime="2026-07-30T11:22:02" isNormal="0">
            <s:text>
              <s:r>
                <s:t xml:space="preserve">PDQ贴纸含EAN条码 400pcs</s:t>
              </s:r>
            </s:text>
          </item>
        </commentChain>
      </unresolved>
      <resolved/>
    </commentChains>
    <commentChains s:ref="AI1958" rgbClr="FF0000">
      <unresolved>
        <commentChain chainId="6b485a60da1f1dfffd8aa33d70113956fc13f64f">
          <item id="413e52e0ac0fd4e6512ae5a7809801ccfb2809be" userID="1851561945" userName="石玉珍" dateTime="2026-08-14T12:48:11" isNormal="0">
            <s:text>
              <s:r>
                <s:t xml:space="preserve">1001392 8/14 4628pcs</s:t>
              </s:r>
            </s:text>
          </item>
          <item id="585cb0bd122c143347e0925d6e63e5090a1c47fb" userID="1851561945" userName="石玉珍" dateTime="2026-08-15T02:44:28" isNormal="0">
            <s:text>
              <s:r>
                <s:t xml:space="preserve">1001415 8/14 5382pcs</s:t>
              </s:r>
            </s:text>
          </item>
        </commentChain>
      </unresolved>
      <resolved/>
    </commentChains>
    <commentChains s:ref="AL1958" rgbClr="FF0000">
      <unresolved>
        <commentChain chainId="d18fc87425b8e6543626a4544205aaf0e5b57685">
          <item id="6b5eb20136afb72ef5d68883e3c2f6f54cad431d" userID="1851561945" userName="石玉珍" dateTime="2026-07-27T11:06:07" isNormal="0">
            <s:text>
              <s:r>
                <s:t xml:space="preserve">7/25 UPC条码贴纸 10010pcs</s:t>
              </s:r>
            </s:text>
          </item>
          <item id="afc65b77d827b5853eb72ba819090a6acb97f72b" userID="1851561945" userName="石玉珍" dateTime="2026-07-27T11:06:23" isNormal="0">
            <s:text>
              <s:r>
                <s:t xml:space="preserve">1-韩语贴纸 10010pcs
2-韩语贴纸 10010pcs</s:t>
              </s:r>
            </s:text>
          </item>
        </commentChain>
      </unresolved>
      <resolved/>
    </commentChains>
    <commentChains s:ref="AI1959" rgbClr="FF0000">
      <unresolved>
        <commentChain chainId="9d615b16543a8d4110a68c141c5bdf957ed68b11">
          <item id="0f2f2f0335d40dbd011c7d4a92c19691d9773ba3" userID="1851561945" userName="石玉珍" dateTime="2026-08-14T12:45:34" isNormal="0">
            <s:text>
              <s:r>
                <s:t xml:space="preserve">1001408 8/14 1500pcs</s:t>
              </s:r>
            </s:text>
          </item>
        </commentChain>
      </unresolved>
      <resolved/>
    </commentChains>
    <commentChains s:ref="AL1959" rgbClr="FF0000">
      <unresolved>
        <commentChain chainId="7e22128418e71032d58877ce02513fe3cf63adff">
          <item id="fdb00a4d50c48075402a48bbfa5a7fe030fe111e" userID="1851561945" userName="石玉珍" dateTime="2026-07-30T11:24:16" isNormal="0">
            <s:text>
              <s:r>
                <s:t xml:space="preserve">PDQ+包装进口商贴纸 7/29 1500pcs
UPC条码贴纸 1500pcs</s:t>
              </s:r>
            </s:text>
          </item>
        </commentChain>
      </unresolved>
      <resolved/>
    </commentChains>
    <commentChains s:ref="AI1960" rgbClr="FF0000">
      <unresolved>
        <commentChain chainId="baa0ca0311660e98bb2c47491e9fb2688e28a0c8">
          <item id="2aa6726b12f6b4065c24234f221a818fac333c1c" userID="1851561945" userName="石玉珍" dateTime="2026-08-15T02:34:29" isNormal="0">
            <s:text>
              <s:r>
                <s:t xml:space="preserve">1001395 8/14 4500pcs</s:t>
              </s:r>
            </s:text>
          </item>
        </commentChain>
      </unresolved>
      <resolved/>
    </commentChains>
    <commentChains s:ref="AL1960" rgbClr="FF0000">
      <unresolved>
        <commentChain chainId="be8dbdda24b8bcdbe0e422496c91f75f60d04bb6">
          <item id="9fef3cb4b26ef363daeef8698d0cfc2e83f18dff" userID="1851561945" userName="石玉珍" dateTime="2026-08-06T12:15:18" isNormal="0">
            <s:text>
              <s:r>
                <s:t xml:space="preserve">7/31 挪威语警语贴纸 4500pcs</s:t>
              </s:r>
            </s:text>
          </item>
          <item id="2870fa4eb1b3483af0a55240e86aeac75c606cc4" userID="1851561945" userName="石玉珍" dateTime="2026-08-06T12:15:30" isNormal="0">
            <s:text>
              <s:r>
                <s:t xml:space="preserve">PDQ地址贴纸 180pcs</s:t>
              </s:r>
            </s:text>
          </item>
        </commentChain>
      </unresolved>
      <resolved/>
    </commentChains>
    <commentChains s:ref="AL1961" rgbClr="FF0000">
      <unresolved>
        <commentChain chainId="22693fcab186a47d56034f6512e1c9255c2241a7">
          <item id="2c9a83f675a540bf701e5dc3ab1df7907ea990ff" userID="1851561945" userName="石玉珍" dateTime="2026-07-28T11:56:36" isNormal="0">
            <s:text>
              <s:r>
                <s:t xml:space="preserve">7/28 客供价格贴纸 832pcs</s:t>
              </s:r>
            </s:text>
          </item>
        </commentChain>
      </unresolved>
      <resolved/>
    </commentChains>
    <commentChains s:ref="AL1962" rgbClr="FF0000">
      <unresolved>
        <commentChain chainId="a941d980246988178ee8f2e80178e9b03276c1c8">
          <item id="0a6e7ddc34172a93beb3b14b3563c80f9a3da88d" userID="1851561945" userName="石玉珍" dateTime="2026-07-28T11:56:45" isNormal="0">
            <s:text>
              <s:r>
                <s:t xml:space="preserve">7/28 客供价格贴纸 572pcs</s:t>
              </s:r>
            </s:text>
          </item>
        </commentChain>
      </unresolved>
      <resolved/>
    </commentChains>
    <commentChains s:ref="AQ1963" rgbClr="FF0000">
      <unresolved>
        <commentChain chainId="ae374dcd1860d6006d66eb2e1c7c5d39d4c283e1">
          <item id="11097da047ab07d965213571bcc22ab4869ec57c" userID="1474709007" userName="陈炎" dateTime="2026-07-09T02:17:43" isNormal="0">
            <s:text>
              <s:r>
                <s:t xml:space="preserve">新客版资料</s:t>
              </s:r>
            </s:text>
          </item>
        </commentChain>
      </unresolved>
      <resolved/>
    </commentChains>
    <commentChains s:ref="AS1963" rgbClr="FF0000">
      <unresolved>
        <commentChain chainId="a4b5bdc3abed1d649ffbd0525875da2aff1a2954">
          <item id="c1935a8ca5ca0be1c9438dab07adbe8b10225cb7" userID="1474709007" userName="陈炎" dateTime="2026-07-07T02:39:39" isNormal="0">
            <s:text>
              <s:r>
                <s:t xml:space="preserve">客版收缩膜</s:t>
              </s:r>
            </s:text>
          </item>
        </commentChain>
      </unresolved>
      <resolved/>
    </commentChains>
    <commentChains s:ref="AL1964" rgbClr="FF0000">
      <unresolved>
        <commentChain chainId="00dfa785c45c4782d317a7fde890f2e5ab1d25e2">
          <item id="c8b9f6f076eae003ad24095fba3da28e1df1ea88" userID="1851561945" userName="石玉珍" dateTime="2026-07-30T12:03:29" isNormal="0">
            <s:text>
              <s:r>
                <s:t xml:space="preserve">法国sorting labe贴纸 14000pcs 7/30 </s:t>
              </s:r>
            </s:text>
          </item>
          <item id="82e6f28fd102af25ab6848a178ccce4b2d9c06f6" userID="1851561945" userName="石玉珍" dateTime="2026-08-07T11:13:25" isNormal="0">
            <s:text>
              <s:r>
                <s:t xml:space="preserve">zuru地址贴纸 8/6 560pcs</s:t>
              </s:r>
            </s:text>
          </item>
        </commentChain>
      </unresolved>
      <resolved/>
    </commentChains>
    <commentChains s:ref="AL1965" rgbClr="FF0000">
      <unresolved>
        <commentChain chainId="eff617c28ba115e7e7e93dc402f45c2252ff29c2">
          <item id="572f0a0f2ff7845d513919c3b67a814cf5c3aea5" userID="1851561945" userName="石玉珍" dateTime="2026-07-07T13:43:14" isNormal="0">
            <s:text>
              <s:r>
                <s:t xml:space="preserve">7/7 环保标贴纸 3000pcs</s:t>
              </s:r>
            </s:text>
          </item>
        </commentChain>
      </unresolved>
      <resolved/>
    </commentChains>
    <commentChains s:ref="AL1966" rgbClr="FF0000">
      <unresolved>
        <commentChain chainId="945004b05853f1d92aadee65bf0bee119b5c6ac2">
          <item id="94de79159aae9c54631d263dd98f79906fdbb02e" userID="1851561945" userName="石玉珍" dateTime="2026-07-30T11:59:35" isNormal="0">
            <s:text>
              <s:r>
                <s:t xml:space="preserve">7/30 通用进口商贴纸 854pcs</s:t>
              </s:r>
            </s:text>
          </item>
          <item id="63e600f1f5fd5edb385776711ad52c21df959b20" userID="1851561945" userName="石玉珍" dateTime="2026-07-30T11:59:55" isNormal="0">
            <s:text>
              <s:r>
                <s:t xml:space="preserve">UPC条码贴纸3 854pcs</s:t>
              </s:r>
            </s:text>
          </item>
        </commentChain>
      </unresolved>
      <resolved/>
    </commentChains>
    <commentChains s:ref="AL1967" rgbClr="FF0000">
      <unresolved>
        <commentChain chainId="53470ef1b161705c7803b4e372ae90a6fed445b0">
          <item id="ab7cf0c2a652eef36ba48648a6bf3adab54a0979" userID="1851561945" userName="石玉珍" dateTime="2026-07-30T11:23:32" isNormal="0">
            <s:text>
              <s:r>
                <s:t xml:space="preserve">进口商贴纸(含波兰语警 7/29 500pcs
波兰语收藏指南贴纸 500pcs</s:t>
              </s:r>
            </s:text>
          </item>
          <item id="408ffeae4cf7a579eb4a0e26e5ac861cf77585ae" userID="1851561945" userName="石玉珍" dateTime="2026-08-12T11:22:13" isNormal="0">
            <s:text>
              <s:r>
                <s:t xml:space="preserve">PDQ欧盟地址贴纸 8/11 20pcs</s:t>
              </s:r>
            </s:text>
          </item>
        </commentChain>
      </unresolved>
      <resolved/>
    </commentChains>
    <commentChains s:ref="AL1968" rgbClr="FF0000">
      <unresolved>
        <commentChain chainId="07e66b6a7774d2c1d280c0ae5afd4a1c98e04a74">
          <item id="2c6919860b85e5a655b24a8911fced64f5e6e537" userID="1851561945" userName="石玉珍" dateTime="2026-07-07T13:40:34" isNormal="0">
            <s:text>
              <s:r>
                <s:t xml:space="preserve">7/7 EAN贴纸 1500pcs</s:t>
              </s:r>
            </s:text>
          </item>
          <item id="b73a202574de9110a63c955deeedf196934fac27" userID="1851561945" userName="石玉珍" dateTime="2026-08-11T03:53:27" isNormal="0">
            <s:text>
              <s:r>
                <s:t xml:space="preserve">7/7 空白贴纸 3000pcs</s:t>
              </s:r>
            </s:text>
          </item>
        </commentChain>
      </unresolved>
      <resolved/>
    </commentChains>
    <commentChains s:ref="AL1969" rgbClr="FF0000">
      <unresolved>
        <commentChain chainId="17046964d531e196461cbaf17e609d3da5ec5db9">
          <item id="7a821d3f81e002efcf3df1e8702d2c140136833f" userID="1851561945" userName="石玉珍" dateTime="2026-07-30T12:04:00" isNormal="0">
            <s:text>
              <s:r>
                <s:t xml:space="preserve">收缩膜日语警语贴纸 7/30 1500pcs</s:t>
              </s:r>
            </s:text>
          </item>
          <item id="338a125f066b51ecc6ea129581924f255b795ff5" userID="1851561945" userName="石玉珍" dateTime="2026-07-30T12:04:07" isNormal="0">
            <s:text>
              <s:r>
                <s:t xml:space="preserve">说明书日语警告贴纸 1500pcs</s:t>
              </s:r>
            </s:text>
          </item>
        </commentChain>
      </unresolved>
      <resolved/>
    </commentChains>
    <commentChains s:ref="AL1970" rgbClr="FF0000">
      <unresolved>
        <commentChain chainId="5de6815bbc0b35d1a4483d8eb8245ef21507f343">
          <item id="8a84e9e1265df6ca5652ff1c9a9e48343d68d0e8" userID="1851561945" userName="石玉珍" dateTime="2026-07-30T11:54:39" isNormal="0">
            <s:text>
              <s:r>
                <s:t xml:space="preserve">WIC 贴纸 7/29 468pcs
PDQ折页 78pcs</s:t>
              </s:r>
            </s:text>
          </item>
        </commentChain>
      </unresolved>
      <resolved/>
    </commentChains>
    <commentChains s:ref="AL1971" rgbClr="FF0000">
      <unresolved>
        <commentChain chainId="dcd9a93880f56b1f51062e9f7a1fcf52e111fbeb">
          <item id="d2a5ddf2432ed83b9c22dc1551f8195c551e982b" userID="1851561945" userName="石玉珍" dateTime="2026-07-30T11:54:52" isNormal="0">
            <s:text>
              <s:r>
                <s:t xml:space="preserve">WIC 贴纸 7/29 744pcs
PDQ折页 124pcs</s:t>
              </s:r>
            </s:text>
          </item>
        </commentChain>
      </unresolved>
      <resolved/>
    </commentChains>
    <commentChains s:ref="AL1972" rgbClr="FF0000">
      <unresolved>
        <commentChain chainId="3bf49c830b92b16c1760c27aa1c98e8af791c8ab">
          <item id="fad35c1ad4240866ebf209aa75c153eea50bb3ea" userID="1851561945" userName="石玉珍" dateTime="2026-07-30T11:54:59" isNormal="0">
            <s:text>
              <s:r>
                <s:t xml:space="preserve">WIC 贴纸 7/29 336pcs
PDQ折页 56pcs</s:t>
              </s:r>
            </s:text>
          </item>
        </commentChain>
      </unresolved>
      <resolved/>
    </commentChains>
    <commentChains s:ref="AL1973" rgbClr="FF0000">
      <unresolved>
        <commentChain chainId="ea7cfac82a78636eb6a6aaa38dfd20802c262203">
          <item id="d892f557d171f13dbf3518341ebd7ad8b4105784" userID="1851561945" userName="石玉珍" dateTime="2026-07-30T11:55:06" isNormal="0">
            <s:text>
              <s:r>
                <s:t xml:space="preserve">WIC 贴纸 7/29 72pcs
PDQ折页 12pcs</s:t>
              </s:r>
            </s:text>
          </item>
        </commentChain>
      </unresolved>
      <resolved/>
    </commentChains>
    <commentChains s:ref="AL1974" rgbClr="FF0000">
      <unresolved>
        <commentChain chainId="d9c2651bf1e1dc4d1a31551541e5303b1b4a0016">
          <item id="b90e3ef30939e019159344c63f852cccc456e441" userID="1851561945" userName="石玉珍" dateTime="2026-07-30T11:55:14" isNormal="0">
            <s:text>
              <s:r>
                <s:t xml:space="preserve">WIC 贴纸 7/29 438pcs
PDQ折页 73pcs</s:t>
              </s:r>
            </s:text>
          </item>
        </commentChain>
      </unresolved>
      <resolved/>
    </commentChains>
    <commentChains s:ref="AL1975" rgbClr="FF0000">
      <unresolved>
        <commentChain chainId="572b6796951125bcd59e73e5835023853590f904">
          <item id="58b9407ea90f18d714028609d2694673e8476463" isNormal="1">
            <s:text>
              <s:r>
                <s:t xml:space="preserve">Administrator:
5/22 空白贴纸 订单数*2pcs
</s:t>
              </s:r>
            </s:text>
          </item>
          <item id="4f714e1bfb9c7f1d447abff9220d5db0c19ff89b" userID="1851561945" userName="石玉珍" dateTime="2026-07-09T12:47:04" isNormal="0">
            <s:text>
              <s:r>
                <s:t xml:space="preserve">7/9 客供价格贴纸 2004pcs</s:t>
              </s:r>
            </s:text>
          </item>
        </commentChain>
      </unresolved>
      <resolved/>
    </commentChains>
    <commentChains s:ref="AL1976" rgbClr="FF0000">
      <unresolved>
        <commentChain chainId="6a62dd3d1a093e837e82b6b2d0963f79d7ba0d65">
          <item id="c1e94590b0e7fd9192fcd0c8f62682852d313a19" isNormal="1">
            <s:text>
              <s:r>
                <s:t xml:space="preserve">Administrator:
5/22 空白贴纸 订单数*2pcs
</s:t>
              </s:r>
            </s:text>
          </item>
          <item id="95698177df6a96900dfe52b4154c44369ec1e6a1" userID="1851561945" userName="石玉珍" dateTime="2026-07-13T05:56:04" isNormal="0">
            <s:text>
              <s:r>
                <s:t xml:space="preserve">7/11 客供价格贴纸  2196pcs.</s:t>
              </s:r>
            </s:text>
          </item>
        </commentChain>
      </unresolved>
      <resolved/>
    </commentChains>
    <commentChains s:ref="AL1977" rgbClr="FF0000">
      <unresolved>
        <commentChain chainId="3239d4dac77aab9e547c48a87a74c141c02207f3">
          <item id="631d0549d8662630c941f17d0fb12469b9e410ca" userID="1851561945" userName="石玉珍" dateTime="2026-07-09T12:34:39" isNormal="0">
            <s:text>
              <s:r>
                <s:t xml:space="preserve">7/9 客供价格贴纸 54000pcs</s:t>
              </s:r>
            </s:text>
          </item>
        </commentChain>
      </unresolved>
      <resolved/>
    </commentChains>
    <commentChains s:ref="AL1978" rgbClr="FF0000">
      <unresolved>
        <commentChain chainId="9fca16d54d44a14d11e54da6272fbabca2783c01">
          <item id="ba53d03892b047e0fad0f573e7f57c87626ac549" userID="1851561945" userName="石玉珍" dateTime="2026-07-09T12:34:46" isNormal="0">
            <s:text>
              <s:r>
                <s:t xml:space="preserve">7/9 客供价格贴纸 5004pcs</s:t>
              </s:r>
            </s:text>
          </item>
        </commentChain>
      </unresolved>
      <resolved/>
    </commentChains>
    <commentChains s:ref="AL1979" rgbClr="FF0000">
      <unresolved>
        <commentChain chainId="b580fe98a3f25faa314efa513d296228ea88ac05">
          <item id="5d39dbb6484c157f30e080e622f59c2f1cc3100d" userID="1851561945" userName="石玉珍" dateTime="2026-07-27T11:15:13" isNormal="0">
            <s:text>
              <s:r>
                <s:t xml:space="preserve">7/25 客供RID贴纸 9600pcs</s:t>
              </s:r>
            </s:text>
          </item>
        </commentChain>
      </unresolved>
      <resolved/>
    </commentChains>
    <commentChains s:ref="AL1980" rgbClr="FF0000">
      <unresolved>
        <commentChain chainId="d890abfd649227ff228637adeba7ea0dbeec272c">
          <item id="e28254970a33a3fe364c024cdd2cd3f4dec7ef62" userID="1851561945" userName="石玉珍" dateTime="2026-07-27T11:15:20" isNormal="0">
            <s:text>
              <s:r>
                <s:t xml:space="preserve">7/25 客供RID贴纸 7680pcs</s:t>
              </s:r>
            </s:text>
          </item>
        </commentChain>
      </unresolved>
      <resolved/>
    </commentChains>
    <commentChains s:ref="AL1981" rgbClr="FF0000">
      <unresolved>
        <commentChain chainId="794eefd675389948a89f5a7b4b87521a61483f5f">
          <item id="45fd28e533bdacca497b4e6b1f952ef57bae1454" userID="1851561945" userName="石玉珍" dateTime="2026-07-27T11:15:26" isNormal="0">
            <s:text>
              <s:r>
                <s:t xml:space="preserve">7/25 客供RID贴纸 12000pcs</s:t>
              </s:r>
            </s:text>
          </item>
        </commentChain>
      </unresolved>
      <resolved/>
    </commentChains>
    <commentChains s:ref="AL1982" rgbClr="FF0000">
      <unresolved>
        <commentChain chainId="8e3a7a0b048438ce601abbdd63df92922d11b948">
          <item id="24db8b3a69c41e34dab2ca82c08aae92ceaf16b6" userID="1851561945" userName="石玉珍" dateTime="2026-07-27T11:15:31" isNormal="0">
            <s:text>
              <s:r>
                <s:t xml:space="preserve">7/25 客供RID贴纸 9120pcs</s:t>
              </s:r>
            </s:text>
          </item>
        </commentChain>
      </unresolved>
      <resolved/>
    </commentChains>
    <commentChains s:ref="AL1983" rgbClr="FF0000">
      <unresolved>
        <commentChain chainId="16447c61720b6fa48ec8b1a6c8dc8ec579865937">
          <item id="4ebdcb8ef9ca95ad66476cae413229e654733254" userID="1851561945" userName="石玉珍" dateTime="2026-07-27T11:15:37" isNormal="0">
            <s:text>
              <s:r>
                <s:t xml:space="preserve">7/25 客供RID贴纸 6240pcs</s:t>
              </s:r>
            </s:text>
          </item>
        </commentChain>
      </unresolved>
      <resolved/>
    </commentChains>
    <commentChains s:ref="AL1984" rgbClr="FF0000">
      <unresolved>
        <commentChain chainId="52a168650c51bc01ade1dab6a7797bf36c593381">
          <item id="6d547f2400cc94887800baff6da78a8f16342778" userID="1851561945" userName="石玉珍" dateTime="2026-08-06T12:40:59" isNormal="0">
            <s:text>
              <s:r>
                <s:t xml:space="preserve">8/3 价格贴纸 45500pcs
外箱条码贴纸 170pcs</s:t>
              </s:r>
            </s:text>
          </item>
        </commentChain>
      </unresolved>
      <resolved/>
    </commentChains>
    <commentChains s:ref="AI1986" rgbClr="FF0000">
      <unresolved>
        <commentChain chainId="48e0ac43464b80876a18e96c1704806a234b1172">
          <item id="28179ccd9b0696006c22cc58a773ce2b0384acc7" userID="1851561945" userName="石玉珍" dateTime="2026-08-14T12:59:30" isNormal="0">
            <s:text>
              <s:r>
                <s:t xml:space="preserve">1000485 8/14 1440pcs</s:t>
              </s:r>
            </s:text>
          </item>
        </commentChain>
      </unresolved>
      <resolved/>
    </commentChains>
    <commentChains s:ref="AL1986" rgbClr="FF0000">
      <unresolved>
        <commentChain chainId="af69067196ba655e6ab90d2cf035eb00bee786cd">
          <item id="94551eec7b7245bd8aa523524f1bc714512efc2c" userID="1851561945" userName="石玉珍" dateTime="2026-07-04T13:21:00" isNormal="0">
            <s:text>
              <s:r>
                <s:t xml:space="preserve">7/3  客供RFID贴纸  1440pcs</s:t>
              </s:r>
            </s:text>
          </item>
        </commentChain>
      </unresolved>
      <resolved/>
    </commentChains>
    <commentChains s:ref="AL1987" rgbClr="FF0000">
      <unresolved>
        <commentChain chainId="35b73d100f22022e8b7cc644371e6032d9a88694">
          <item id="a98dea204ad60749ded48e85e81585414d9fd960" userID="1851561945" userName="石玉珍" dateTime="2026-06-08T12:42:43" isNormal="0">
            <s:text>
              <s:r>
                <s:t xml:space="preserve">6/8 客供RID贴纸  11832pcs</s:t>
              </s:r>
            </s:text>
          </item>
          <item id="c31a0b6857c9ef75a28b5e277a39e728b8a2b94b" userID="1851561945" userName="石玉珍" dateTime="2026-07-21T01:05:52" isNormal="0">
            <s:text>
              <s:r>
                <s:t xml:space="preserve">7/20 彩色placard贴纸 493*2pcs</s:t>
              </s:r>
            </s:text>
          </item>
        </commentChain>
      </unresolved>
      <resolved/>
    </commentChains>
    <commentChains s:ref="AI1988" rgbClr="FF0000">
      <unresolved>
        <commentChain chainId="c0ea45a5c8d47e3e03706f44c84a78b485f63fd3">
          <item id="4c842b8b086c2cd240bd80c3574b984a136f9497" userID="1851561945" userName="石玉珍" dateTime="2026-08-14T00:41:41" isNormal="0">
            <s:text>
              <s:r>
                <s:t xml:space="preserve">1000478 8/13 320PCS</s:t>
              </s:r>
            </s:text>
          </item>
          <item id="9988c74b076d18063ffe001312f5c365a30d6411" userID="1851561945" userName="石玉珍" dateTime="2026-08-14T12:47:31" isNormal="0">
            <s:text>
              <s:r>
                <s:t xml:space="preserve">1000481 8/14 2880pcs</s:t>
              </s:r>
            </s:text>
          </item>
          <item id="97461f66105fa2e04da2309619fb257d21ad30c6" userID="1851561945" userName="石玉珍" dateTime="2026-08-14T12:49:06" isNormal="0">
            <s:text>
              <s:r>
                <s:t xml:space="preserve">1000484 8/14 1280pcs</s:t>
              </s:r>
            </s:text>
          </item>
          <item id="ab93c088ba9bdcf811bd61ff089c3634a9bffc75" userID="1851561945" userName="石玉珍" dateTime="2026-08-14T12:56:55" isNormal="0">
            <s:text>
              <s:r>
                <s:t xml:space="preserve">1000487 8/14 960pcs</s:t>
              </s:r>
            </s:text>
          </item>
        </commentChain>
      </unresolved>
      <resolved/>
    </commentChains>
    <commentChains s:ref="AL1988" rgbClr="FF0000">
      <unresolved>
        <commentChain chainId="c1dc797ca1b786d5037f0d6613f5d9f4692fc9c2">
          <item id="1d784a28b1525c6cb8fbddb608f18beb24c43b43" userID="1851561945" userName="石玉珍" dateTime="2026-06-08T12:44:17" isNormal="0">
            <s:text>
              <s:r>
                <s:t xml:space="preserve">6/8 客供RID贴纸 10296pcs</s:t>
              </s:r>
            </s:text>
          </item>
          <item id="f0d07e26d9c9aed86277e1167f00d9b5241193ca" userID="1851561945" userName="石玉珍" dateTime="2026-06-17T13:49:22" isNormal="0">
            <s:text>
              <s:r>
                <s:t xml:space="preserve">6/17 补客供RFID贴纸3000pcs</s:t>
              </s:r>
            </s:text>
          </item>
          <item id="a9c37b822e946177e3abdb8435b3e74024bfafea" userID="1851561945" userName="石玉珍" dateTime="2026-07-21T01:05:59" isNormal="0">
            <s:text>
              <s:r>
                <s:t xml:space="preserve">7/20 彩色placard贴纸 429*2pcs</s:t>
              </s:r>
            </s:text>
          </item>
        </commentChain>
      </unresolved>
      <resolved/>
    </commentChains>
    <commentChains s:ref="AL1989" rgbClr="FF0000">
      <unresolved>
        <commentChain chainId="c3478b3752a816f039fcfecf74c063296946bec8">
          <item id="60165913c24b62c0683b33a895d2c40d055b302f" userID="1851561945" userName="石玉珍" dateTime="2026-08-06T12:17:11" isNormal="0">
            <s:text>
              <s:r>
                <s:t xml:space="preserve">8/1 条码贴纸 5200pcs</s:t>
              </s:r>
            </s:text>
          </item>
          <item id="ddad6e244f13fe5e1ffbbab81fd162ec6cead88d" userID="1851561945" userName="石玉珍" dateTime="2026-08-12T11:30:05" isNormal="0">
            <s:text>
              <s:r>
                <s:t xml:space="preserve">客供防窜码贴纸1拖13 8/11 413pcs</s:t>
              </s:r>
            </s:text>
          </item>
        </commentChain>
      </unresolved>
      <resolved/>
    </commentChains>
    <commentChains s:ref="AL1990" rgbClr="FF0000">
      <unresolved>
        <commentChain chainId="ce621d2a535b139ecc73c95b99c01c291eb7a8bf">
          <item id="28cfe0a9fe8038a73d1317ee22d2701bad6aeda3" userID="1851561945" userName="石玉珍" dateTime="2026-08-06T12:17:17" isNormal="0">
            <s:text>
              <s:r>
                <s:t xml:space="preserve">8/1 条码贴纸 13000pcs</s:t>
              </s:r>
            </s:text>
          </item>
          <item id="4d1090079b0379bdc6c817d7b23d3d033428f2b3" userID="1851561945" userName="石玉珍" dateTime="2026-08-12T11:32:43" isNormal="0">
            <s:text>
              <s:r>
                <s:t xml:space="preserve">客供防窜码贴纸1拖13 8/11 1000pcs</s:t>
              </s:r>
            </s:text>
          </item>
        </commentChain>
      </unresolved>
      <resolved/>
    </commentChains>
    <commentChains s:ref="AL1991" rgbClr="FF0000">
      <unresolved>
        <commentChain chainId="60db7db697581fffd5965a75edcbb3bc55ec9242">
          <item id="e9d038c7fd44e969341a27b8c873cfbc60f211c6" userID="1851561945" userName="石玉珍" dateTime="2026-07-30T11:24:55" isNormal="0">
            <s:text>
              <s:r>
                <s:t xml:space="preserve">法国sorting labe贴纸 7/29 2800pcs</s:t>
              </s:r>
            </s:text>
          </item>
        </commentChain>
      </unresolved>
      <resolved/>
    </commentChains>
    <commentChains s:ref="AL1992" rgbClr="FF0000">
      <unresolved>
        <commentChain chainId="c5c2b6523a22eab50d7f8738c8f2eeb0d2250879">
          <item id="9ee92be7e64b34105cf0c4b14e79a9f63e721404" userID="1851561945" userName="石玉珍" dateTime="2026-07-30T11:25:05" isNormal="0">
            <s:text>
              <s:r>
                <s:t xml:space="preserve">法国sorting labe贴纸 7/29 1200pcs </s:t>
              </s:r>
            </s:text>
          </item>
        </commentChain>
      </unresolved>
      <resolved/>
    </commentChains>
    <commentChains s:ref="AL1993" rgbClr="FF0000">
      <unresolved>
        <commentChain chainId="d0d08811649e9d742f02f199d1a5ad223ef761c3">
          <item id="ceafaa14770297d14c4f4a37421f42653c787a50" userID="1851561945" userName="石玉珍" dateTime="2026-08-06T12:18:33" isNormal="0">
            <s:text>
              <s:r>
                <s:t xml:space="preserve">8/1 颜色贴纸/空白贴纸 1800/3600pcs</s:t>
              </s:r>
            </s:text>
          </item>
        </commentChain>
      </unresolved>
      <resolved/>
    </commentChains>
    <commentChains s:ref="AL1994" rgbClr="FF0000">
      <unresolved>
        <commentChain chainId="f85c4f266f3efc5443690e4ba528a49426a7288e">
          <item id="8429dca846c2ef8a8514eb3737efc90c4f091f7d" userID="1851561945" userName="石玉珍" dateTime="2026-07-27T11:16:03" isNormal="0">
            <s:text>
              <s:r>
                <s:t xml:space="preserve">7/25 客供RID贴纸 6960pcs</s:t>
              </s:r>
            </s:text>
          </item>
        </commentChain>
      </unresolved>
      <resolved/>
    </commentChains>
    <commentChains s:ref="AL1995" rgbClr="FF0000">
      <unresolved>
        <commentChain chainId="2a5cce6c62e35a08e8561829c080b8c59932a2ab">
          <item id="1d30839de8bf425d2a9901cd4d225b960b079e6e" userID="1851561945" userName="石玉珍" dateTime="2026-07-27T11:16:19" isNormal="0">
            <s:text>
              <s:r>
                <s:t xml:space="preserve">7/25 客供RID贴纸 4320pcs</s:t>
              </s:r>
            </s:text>
          </item>
        </commentChain>
      </unresolved>
      <resolved/>
    </commentChains>
    <commentChains s:ref="AQ1996" rgbClr="FF0000">
      <unresolved>
        <commentChain chainId="62db6a526482f8516871ec330c0be0e230fc1e2c">
          <item id="5be9a813f45fac1e26601b2688c277c77398c950" userID="1474709007" userName="陈炎" dateTime="2026-07-09T02:17:47" isNormal="0">
            <s:text>
              <s:r>
                <s:t xml:space="preserve">新客版资料</s:t>
              </s:r>
            </s:text>
          </item>
        </commentChain>
      </unresolved>
      <resolved/>
    </commentChains>
    <commentChains s:ref="AS1996" rgbClr="FF0000">
      <unresolved>
        <commentChain chainId="c69ca23592e182d67d81a951e2f0026fd873875c">
          <item id="c24ae165ba635c325c018bdf58a235d65cf55e30" userID="1474709007" userName="陈炎" dateTime="2026-07-07T02:39:47" isNormal="0">
            <s:text>
              <s:r>
                <s:t xml:space="preserve">客版收缩膜</s:t>
              </s:r>
            </s:text>
          </item>
        </commentChain>
      </unresolved>
      <resolved/>
    </commentChains>
    <commentChains s:ref="AL1997" rgbClr="FF0000">
      <unresolved>
        <commentChain chainId="2386d39ae8572ab87e44109f49154032ec0cea2b">
          <item id="371feb03aa2f816bb6459fc471e2e909cd97e625" userID="1851561945" userName="石玉珍" dateTime="2026-06-08T12:42:06" isNormal="0">
            <s:text>
              <s:r>
                <s:t xml:space="preserve">6/8 客供RID贴纸 6816pcs</s:t>
              </s:r>
            </s:text>
          </item>
        </commentChain>
      </unresolved>
      <resolved/>
    </commentChains>
    <commentChains s:ref="AL1998" rgbClr="FF0000">
      <unresolved>
        <commentChain chainId="ebe4fbdf74e9e0b9cbd70a0700508fa64f44f2f8">
          <item id="92c5b4dd5473febbe79e13b2ac0a66e340e7734c" userID="1851561945" userName="石玉珍" dateTime="2026-07-04T13:21:27" isNormal="0">
            <s:text>
              <s:r>
                <s:t xml:space="preserve">7/3  客供RFID贴纸  904pcs</s:t>
              </s:r>
            </s:text>
          </item>
        </commentChain>
      </unresolved>
      <resolved/>
    </commentChains>
    <commentChains s:ref="AL2000" rgbClr="FF0000">
      <unresolved>
        <commentChain chainId="4727b6e84f126e7b13a19e33f8d4e51916e89899">
          <item id="bce96473f42dbac3d00fac290e3a2491c67290db" userID="1851561945" userName="石玉珍" dateTime="2026-08-06T12:18:56" isNormal="0">
            <s:text>
              <s:r>
                <s:t xml:space="preserve">8/1 警语贴纸 520pcs</s:t>
              </s:r>
            </s:text>
          </item>
        </commentChain>
      </unresolved>
      <resolved/>
    </commentChains>
    <commentChains s:ref="AL2001" rgbClr="FF0000">
      <unresolved>
        <commentChain chainId="9d9810de613eae8f8a1f600cef0f8185a87f213a">
          <item id="cc217fe97a7d3a6329cfad818c7f49637f3357c3" userID="1851561945" userName="石玉珍" dateTime="2026-06-08T12:43:33" isNormal="0">
            <s:text>
              <s:r>
                <s:t xml:space="preserve">6/8 客供RID贴纸 10920pcs</s:t>
              </s:r>
            </s:text>
          </item>
          <item id="9b4f470987ef2961bd22ad1835575429a8fa187a" userID="1851561945" userName="石玉珍" dateTime="2026-07-21T01:06:08" isNormal="0">
            <s:text>
              <s:r>
                <s:t xml:space="preserve">7/20 彩色placard贴纸 455*2pcs</s:t>
              </s:r>
            </s:text>
          </item>
        </commentChain>
      </unresolved>
      <resolved/>
    </commentChains>
    <commentChains s:ref="AL2002" rgbClr="FF0000">
      <unresolved>
        <commentChain chainId="29be92fe200cc1b58c1ace37ff913e8e3b53e629">
          <item id="fff6a450500903b6abfe75b21a91ddcae9e42b51" userID="1851561945" userName="石玉珍" dateTime="2026-08-06T12:25:54" isNormal="0">
            <s:text>
              <s:r>
                <s:t xml:space="preserve">8/3 PDQ条码贴纸/ZURU地址_PDQ通用贴纸 40pcs</s:t>
              </s:r>
            </s:text>
          </item>
          <item id="aacb2611d1bae46df13a4530c27e263daf728de6" userID="1851561945" userName="石玉珍" dateTime="2026-08-06T12:26:04" isNormal="0">
            <s:text>
              <s:r>
                <s:t xml:space="preserve">德语警语贴纸 520pcs</s:t>
              </s:r>
            </s:text>
          </item>
          <item id="5edef5a239cce8a832b216e97846697a732c0144" userID="1851561945" userName="石玉珍" dateTime="2026-08-06T12:26:32" isNormal="0">
            <s:text>
              <s:r>
                <s:t xml:space="preserve">地址贴纸 520pcs</s:t>
              </s:r>
            </s:text>
          </item>
        </commentChain>
      </unresolved>
      <resolved/>
    </commentChains>
    <commentChains s:ref="AL2003" rgbClr="FF0000">
      <unresolved>
        <commentChain chainId="0c9d90c3fcc7dccd10afef42162a111c228ee4b1">
          <item id="67c9ae4ef85a71b3bc95f54639a7f544572e9d43" userID="1851561945" userName="石玉珍" dateTime="2026-07-27T11:16:39" isNormal="0">
            <s:text>
              <s:r>
                <s:t xml:space="preserve">7/25 客供RID贴纸 27360pcs</s:t>
              </s:r>
            </s:text>
          </item>
        </commentChain>
      </unresolved>
      <resolved/>
    </commentChains>
    <commentChains s:ref="AL2004" rgbClr="FF0000">
      <unresolved>
        <commentChain chainId="5aaf6e3a83011a1da475b7c321a040aba1fea36d">
          <item id="a6dfb3bc95ca847d063a239bdeb3b11cfdde521c" userID="1851561945" userName="石玉珍" dateTime="2026-07-27T11:16:55" isNormal="0">
            <s:text>
              <s:r>
                <s:t xml:space="preserve">7/25 客供RID贴纸 9600pcs</s:t>
              </s:r>
            </s:text>
          </item>
        </commentChain>
      </unresolved>
      <resolved/>
    </commentChains>
    <commentChains s:ref="AL2005" rgbClr="FF0000">
      <unresolved>
        <commentChain chainId="c31df6dc08a67cd1ee053ebb34844885da538723">
          <item id="b4337d396fe590dffb182906cf82974f7fca6ea6" userID="1851561945" userName="石玉珍" dateTime="2026-08-10T11:56:55" isNormal="0">
            <s:text>
              <s:r>
                <s:t xml:space="preserve">客供外箱条码贴纸 8/10 1350pcs</s:t>
              </s:r>
            </s:text>
          </item>
          <item id="153f18fa022834030332f6da412b576179c6de6e" userID="1851561945" userName="石玉珍" dateTime="2026-08-10T11:59:10" isNormal="0">
            <s:text>
              <s:r>
                <s:t xml:space="preserve">客供RFID贴纸 8/10 21600pcs</s:t>
              </s:r>
            </s:text>
          </item>
        </commentChain>
      </unresolved>
      <resolved/>
    </commentChains>
    <commentChains s:ref="AL2006" rgbClr="FF0000">
      <unresolved>
        <commentChain chainId="dee85d49c356155d68213d079532f1e0d416a88f">
          <item id="3ca1c84d55fa5690d8b6f88d9905ebca1843b5d0" userID="1851561945" userName="石玉珍" dateTime="2026-08-10T11:57:08" isNormal="0">
            <s:text>
              <s:r>
                <s:t xml:space="preserve">客供外箱条码贴纸 8/10 2250pcs</s:t>
              </s:r>
            </s:text>
          </item>
          <item id="0d9a0883d114ee0bf6074fbff0277bab9dfb0bdb" userID="1851561945" userName="石玉珍" dateTime="2026-08-10T11:59:18" isNormal="0">
            <s:text>
              <s:r>
                <s:t xml:space="preserve">客供RFID贴纸 8/10 36000pcs</s:t>
              </s:r>
            </s:text>
          </item>
        </commentChain>
      </unresolved>
      <resolved/>
    </commentChains>
    <commentChains s:ref="AL2007" rgbClr="FF0000">
      <unresolved>
        <commentChain chainId="4f7111bb3841357924523ae5e0d1bafdcde02d73">
          <item id="13c84077777827780416d395e19d833f781ca643" userID="1851561945" userName="石玉珍" dateTime="2026-08-10T11:57:21" isNormal="0">
            <s:text>
              <s:r>
                <s:t xml:space="preserve">客供外箱条码贴纸 8/10 1440pcs</s:t>
              </s:r>
            </s:text>
          </item>
          <item id="dcd78b293c2f1264952f0aa3d3c2456322868013" userID="1851561945" userName="石玉珍" dateTime="2026-08-10T11:59:29" isNormal="0">
            <s:text>
              <s:r>
                <s:t xml:space="preserve">客供RFID贴纸 8/10 23040pcs</s:t>
              </s:r>
            </s:text>
          </item>
        </commentChain>
      </unresolved>
      <resolved/>
    </commentChains>
    <commentChains s:ref="AL2008" rgbClr="FF0000">
      <unresolved>
        <commentChain chainId="aa33d5057f33bfe61978103f13d0d10657ac627f">
          <item id="0c8539281e15522a851b61f73c9592b05e58abce" userID="1851561945" userName="石玉珍" dateTime="2026-08-06T13:06:19" isNormal="0">
            <s:text>
              <s:r>
                <s:t xml:space="preserve">8/5 客供价格贴纸 2700pcs</s:t>
              </s:r>
            </s:text>
          </item>
        </commentChain>
      </unresolved>
      <resolved/>
    </commentChains>
    <commentChains s:ref="AL2009" rgbClr="FF0000">
      <unresolved>
        <commentChain chainId="28d56bbd7503b60c5e8de96fad1c8efcc78d61aa">
          <item id="528f97ee120a9f98060e05fd5c9e3091fea9d2f0" userID="1851561945" userName="石玉珍" dateTime="2026-08-06T13:09:05" isNormal="0">
            <s:text>
              <s:r>
                <s:t xml:space="preserve">8/5 客供价格贴纸 2704pcs</s:t>
              </s:r>
            </s:text>
          </item>
        </commentChain>
      </unresolved>
      <resolved/>
    </commentChains>
    <commentChains s:ref="AL2010" rgbClr="FF0000">
      <unresolved>
        <commentChain chainId="221a74b5c14d91fac1238b6ae84cdd1d7c4627c2">
          <item id="c4dd035861d4ed73ab51cf998bd2fcb672e64697" userID="1851561945" userName="石玉珍" dateTime="2026-07-15T05:55:01" isNormal="0">
            <s:text>
              <s:r>
                <s:t xml:space="preserve">7/14 客供价格贴纸  2340pcs</s:t>
              </s:r>
            </s:text>
          </item>
          <item id="3bb3b363e516972fd1e4f0cae9d34122fd8be5a3" userID="1851561945" userName="石玉珍" dateTime="2026-07-30T12:01:38" isNormal="0">
            <s:text>
              <s:r>
                <s:t xml:space="preserve">PDO地址上贴纸 7/30 180pcs</s:t>
              </s:r>
            </s:text>
          </item>
        </commentChain>
      </unresolved>
      <resolved/>
    </commentChains>
    <commentChains s:ref="AL2011" rgbClr="FF0000">
      <unresolved>
        <commentChain chainId="6b0ee06f629279cb130347b51e165d34a696a043">
          <item id="206270a34562e84f067fdc5acbbd56dd94102572" userID="1851561945" userName="石玉珍" dateTime="2026-07-15T06:34:21" isNormal="0">
            <s:text>
              <s:r>
                <s:t xml:space="preserve">7/14 客供价格贴纸 3420pcs</s:t>
              </s:r>
            </s:text>
          </item>
          <item id="0f898dbe5338ae28d4f48e8e224192fc66efa982" userID="1851561945" userName="石玉珍" dateTime="2026-08-06T12:13:49" isNormal="0">
            <s:text>
              <s:r>
                <s:t xml:space="preserve">客供价格贴纸 7/31 230pcs</s:t>
              </s:r>
            </s:text>
          </item>
          <item id="38d55414c5e8607fa2f62e2858ebc614be27caf5" userID="1851561945" userName="石玉珍" dateTime="2026-08-13T11:12:43" isNormal="0">
            <s:text>
              <s:r>
                <s:t xml:space="preserve">8/13 彩盒地址贴纸 3420pcs</s:t>
              </s:r>
            </s:text>
          </item>
          <item id="a7b978f09746d5d80c66a1977e3b139f4f10ee34" userID="1851561945" userName="石玉珍" dateTime="2026-08-13T11:13:46" isNormal="0">
            <s:text>
              <s:r>
                <s:t xml:space="preserve">8/4 警告语贴纸 3420pcs</s:t>
              </s:r>
            </s:text>
          </item>
        </commentChain>
      </unresolved>
      <resolved/>
    </commentChains>
    <commentChains s:ref="AL2012" rgbClr="FF0000">
      <unresolved>
        <commentChain chainId="353b9e77fc931a762f7f3a27811595150dfc38d7">
          <item id="d4fbf255012a18680cc0d7e01308139e9584912c" userID="1851561945" userName="石玉珍" dateTime="2026-07-15T05:55:54" isNormal="0">
            <s:text>
              <s:r>
                <s:t xml:space="preserve">7/14 客供价格贴纸  2028pcs</s:t>
              </s:r>
            </s:text>
          </item>
        </commentChain>
      </unresolved>
      <resolved/>
    </commentChains>
    <commentChains s:ref="AL2013" rgbClr="FF0000">
      <unresolved>
        <commentChain chainId="97d5756399ef09b9c8844746fc3e58d07c2c93ed">
          <item id="71cd3e5b93f8e97789ef41e5de55d1466a209d09" userID="1851561945" userName="石玉珍" dateTime="2026-08-13T11:16:34" isNormal="0">
            <s:text>
              <s:r>
                <s:t xml:space="preserve">8/13 UPC 贴纸 2100pcs</s:t>
              </s:r>
            </s:text>
          </item>
          <item id="9a6217ebad89b23d2bdeb58c584bfff43d9dbde9" userID="1851561945" userName="石玉珍" dateTime="2026-08-13T11:16:45" isNormal="0">
            <s:text>
              <s:r>
                <s:t xml:space="preserve">进口商贴纸 2100pcs</s:t>
              </s:r>
            </s:text>
          </item>
        </commentChain>
      </unresolved>
      <resolved/>
    </commentChains>
    <commentChains s:ref="AL2014" rgbClr="FF0000">
      <unresolved>
        <commentChain chainId="0e82977185bd95849d68fc8c81f1759899557e94">
          <item id="e2fccae470a3199b0a71ed70b16e89633a1ea94e" userID="1851561945" userName="石玉珍" dateTime="2026-08-10T12:00:33" isNormal="0">
            <s:text>
              <s:r>
                <s:t xml:space="preserve">客供RFID贴纸 8/10 9600pcs</s:t>
              </s:r>
            </s:text>
          </item>
        </commentChain>
      </unresolved>
      <resolved/>
    </commentChains>
    <commentChains s:ref="AL2015" rgbClr="FF0000">
      <unresolved>
        <commentChain chainId="438872703949a549e0a1d3ddad99ec8d32d0e8cf">
          <item id="ae04b77099bf27a10ed3d373fcea0bc1b72d5fbb" userID="1851561945" userName="石玉珍" dateTime="2026-08-12T11:20:52" isNormal="0">
            <s:text>
              <s:r>
                <s:t xml:space="preserve">通用进口商贴纸 8/11 780pcs</s:t>
              </s:r>
            </s:text>
          </item>
          <item id="81db38cfe06a4a354f3cd2e6012f446b97359ed7" userID="1851561945" userName="石玉珍" dateTime="2026-08-12T11:21:03" isNormal="0">
            <s:text>
              <s:r>
                <s:t xml:space="preserve">UPC条码贴纸 780pcs</s:t>
              </s:r>
            </s:text>
          </item>
        </commentChain>
      </unresolved>
      <resolved/>
    </commentChains>
    <commentChains s:ref="AL2016" rgbClr="FF0000">
      <unresolved>
        <commentChain chainId="b880b43b28d56a429b3fc484ed958495e14d3eaf">
          <item id="20d72cf24905d413458d33dd963287d235af1688" userID="1851561945" userName="石玉珍" dateTime="2026-08-10T12:01:14" isNormal="0">
            <s:text>
              <s:r>
                <s:t xml:space="preserve">客供RFID贴纸 8/10 5760pcs</s:t>
              </s:r>
            </s:text>
          </item>
        </commentChain>
      </unresolved>
      <resolved/>
    </commentChains>
    <commentChains s:ref="AL2017" rgbClr="FF0000">
      <unresolved>
        <commentChain chainId="313e2af28695fbe06589f4e89a5cd63f7c857fe5">
          <item id="6e920bcc50595b90e285b87dbd42e20dab7b9fa1" userID="1851561945" userName="石玉珍" dateTime="2026-08-06T13:09:31" isNormal="0">
            <s:text>
              <s:r>
                <s:t xml:space="preserve">8/5 客供价格贴纸 5400pcs</s:t>
              </s:r>
            </s:text>
          </item>
        </commentChain>
      </unresolved>
      <resolved/>
    </commentChains>
    <commentChains s:ref="AL2018" rgbClr="FF0000">
      <unresolved>
        <commentChain chainId="dfe622ba5da34c89aa03a4b4d2a3c706e30afda8">
          <item id="77f42a8a8b41f7a092ce8d6036ff489bf2ec21be" userID="1851561945" userName="石玉珍" dateTime="2026-06-08T12:43:11" isNormal="0">
            <s:text>
              <s:r>
                <s:t xml:space="preserve">6/8 客供RID贴纸 15204pcs</s:t>
              </s:r>
            </s:text>
          </item>
          <item id="3cf028e1f6fc29b59a1f4dade9dbcb4439754170" userID="1851561945" userName="石玉珍" dateTime="2026-07-21T01:06:17" isNormal="0">
            <s:text>
              <s:r>
                <s:t xml:space="preserve">7/20 彩色placard贴纸 626*2pcs</s:t>
              </s:r>
            </s:text>
          </item>
        </commentChain>
      </unresolved>
      <resolved/>
    </commentChains>
    <commentChains s:ref="AL2019" rgbClr="FF0000">
      <unresolved>
        <commentChain chainId="46915c3e3e5c0f34480dfa3b07ad7ebaf0a54756">
          <item id="4307ccf75f4ba61102cdc318c95183a956e41e61" userID="1851561945" userName="石玉珍" dateTime="2026-08-10T11:27:04" isNormal="0">
            <s:text>
              <s:r>
                <s:t xml:space="preserve">客供外箱条码贴纸 8/10 262pcs</s:t>
              </s:r>
            </s:text>
          </item>
        </commentChain>
      </unresolved>
      <resolved/>
    </commentChains>
    <commentChains s:ref="AL2020" rgbClr="FF0000">
      <unresolved>
        <commentChain chainId="1bac571509aaacf12060c1c4bbcece445a786da4">
          <item id="41e37760dddabad3442433f1d375a2577f642dcd" userID="1851561945" userName="石玉珍" dateTime="2026-08-10T11:25:20" isNormal="0">
            <s:text>
              <s:r>
                <s:t xml:space="preserve">客供外箱条码贴纸 8/10 7200pcs</s:t>
              </s:r>
            </s:text>
          </item>
        </commentChain>
      </unresolved>
      <resolved/>
    </commentChains>
    <commentChains s:ref="AL2021" rgbClr="FF0000">
      <unresolved>
        <commentChain chainId="6c067f4257dd4713ba2b44d59d1cbeffe6d13345">
          <item id="711394ccd953663a806222c2af4c9697296d5636" userID="1851561945" userName="石玉珍" dateTime="2026-08-10T12:02:11" isNormal="0">
            <s:text>
              <s:r>
                <s:t xml:space="preserve">客供RFID贴纸 8/10 24720pcs</s:t>
              </s:r>
            </s:text>
          </item>
        </commentChain>
      </unresolved>
      <resolved/>
    </commentChains>
    <commentChains s:ref="AL2023" rgbClr="FF0000">
      <unresolved>
        <commentChain chainId="2ad1705452a9b81e7878395f2df44b37b49392f1">
          <item id="a118a4786e926f319f2a663fc5ac9211a1f5d06f" userID="1851561945" userName="石玉珍" dateTime="2026-08-06T12:56:44" isNormal="0">
            <s:text>
              <s:r>
                <s:t xml:space="preserve">8/5 客供警语贴黑白说明书 1290pcs
客供警语贴收藏 1290pcs
客供警语贴纸 1290pcs</s:t>
              </s:r>
            </s:text>
          </item>
        </commentChain>
      </unresolved>
      <resolved/>
    </commentChains>
    <commentChains s:ref="AL2024" rgbClr="FF0000">
      <unresolved>
        <commentChain chainId="adbd0e731deb79443055a19f77ff08de16539747">
          <item id="e637ebfb728a04ffc9ec9588dbdf13fb9217cf89" userID="1851561945" userName="石玉珍" dateTime="2026-08-06T13:01:20" isNormal="0">
            <images>
              <image id="G546WGZJADAGK" width="12585" height="6990"/>
            </images>
            <s:text>
              <s:r>
                <s:t xml:space="preserve">8/5</s:t>
              </s:r>
            </s:text>
          </item>
        </commentChain>
      </unresolved>
      <resolved/>
    </commentChains>
    <commentChains s:ref="AL2025" rgbClr="FF0000">
      <unresolved>
        <commentChain chainId="9f7abd983ea81f4f1452295d4656f96e246f632d">
          <item id="c9259bf3d38a0869d667f8881ae15b26ead7cae4" userID="1851561945" userName="石玉珍" dateTime="2026-08-10T12:02:28" isNormal="0">
            <s:text>
              <s:r>
                <s:t xml:space="preserve">客供RFID贴纸 8/10 9600pcs</s:t>
              </s:r>
            </s:text>
          </item>
        </commentChain>
      </unresolved>
      <resolved/>
    </commentChains>
    <commentChains s:ref="AL2026" rgbClr="FF0000">
      <unresolved>
        <commentChain chainId="fc964d58010e3900467086c094e861ec815d43f1">
          <item id="9f00628c8e2a16a37befa3a21a716b0991ab0527" userID="1851561945" userName="石玉珍" dateTime="2026-08-10T12:02:57" isNormal="0">
            <s:text>
              <s:r>
                <s:t xml:space="preserve">客供RFID贴纸 8/10 18000pcs</s:t>
              </s:r>
            </s:text>
          </item>
        </commentChain>
      </unresolved>
      <resolved/>
    </commentChains>
    <commentChains s:ref="AL2027" rgbClr="FF0000">
      <unresolved>
        <commentChain chainId="b03a608f5e57821a28b080647028a285b7162da0">
          <item id="4b03122bb56a1b6000f65c607dfde4ac8bf500bd" userID="1851561945" userName="石玉珍" dateTime="2026-08-12T09:12:32" isNormal="0">
            <s:text>
              <s:r>
                <s:t xml:space="preserve">WIC 贴纸 8/11 972pcs
PDQ折页 162pcs</s:t>
              </s:r>
            </s:text>
          </item>
        </commentChain>
      </unresolved>
      <resolved/>
    </commentChains>
    <commentChains s:ref="AL2028" rgbClr="FF0000">
      <unresolved>
        <commentChain chainId="6c07f8ce1a9f074d16f1fb266fb909cb27009d49">
          <item id="03d5eb6715dcfb6642ac11c2aa19fa3e9e972c19" userID="1851561945" userName="石玉珍" dateTime="2026-08-12T09:12:55" isNormal="0">
            <s:text>
              <s:r>
                <s:t xml:space="preserve">WIC 贴纸 8/11 2886pcs
PDQ折页 2886pcs</s:t>
              </s:r>
            </s:text>
          </item>
        </commentChain>
      </unresolved>
      <resolved/>
    </commentChains>
    <commentChains s:ref="AL2029" rgbClr="FF0000">
      <unresolved>
        <commentChain chainId="dfcd4e4c2728f3d850fa6d0e87433eba5351039e">
          <item id="5760135283e59c37ba72807c634ce8a3cb5eb495" userID="1851561945" userName="石玉珍" dateTime="2026-08-12T09:13:04" isNormal="0">
            <s:text>
              <s:r>
                <s:t xml:space="preserve">WIC 贴纸 8/11 540pcs
PDQ折页 540pcs</s:t>
              </s:r>
            </s:text>
          </item>
        </commentChain>
      </unresolved>
      <resolved/>
    </commentChains>
    <commentChains s:ref="AL2030" rgbClr="FF0000">
      <unresolved>
        <commentChain chainId="de871ce651537c3ff5846496e00320ae922a10c9">
          <item id="7c032373269fdb31531229de424fc9a36b91b6f7" userID="1851561945" userName="石玉珍" dateTime="2026-08-12T09:13:14" isNormal="0">
            <s:text>
              <s:r>
                <s:t xml:space="preserve">WIC 贴纸 8/11 936pcs
PDQ折页 936pcs</s:t>
              </s:r>
            </s:text>
          </item>
        </commentChain>
      </unresolved>
      <resolved/>
    </commentChains>
    <commentChains s:ref="AL2031" rgbClr="FF0000">
      <unresolved>
        <commentChain chainId="19243dd639a3163ac754932070af856f04956dc0">
          <item id="1d98d9650da297f9ddc3633e9da83cb9ee6e291f" userID="1851561945" userName="石玉珍" dateTime="2026-08-12T11:18:28" isNormal="0">
            <s:text>
              <s:r>
                <s:t xml:space="preserve">WIC 贴纸 8/11 696pcs
PDQ折页 696pcs</s:t>
              </s:r>
            </s:text>
          </item>
        </commentChain>
      </unresolved>
      <resolved/>
    </commentChains>
    <commentChains s:ref="AL2032" rgbClr="FF0000">
      <unresolved>
        <commentChain chainId="a910fddb2e15a6722f3b128bfd3dc586d61ef51e">
          <item id="4d814b7d027d0f777c08102ecd630065e53a1440" userID="1851561945" userName="石玉珍" dateTime="2026-08-12T11:18:34" isNormal="0">
            <s:text>
              <s:r>
                <s:t xml:space="preserve">WIC 贴纸 8/11 438pcs
PDQ折页 438pcs</s:t>
              </s:r>
            </s:text>
          </item>
        </commentChain>
      </unresolved>
      <resolved/>
    </commentChains>
    <commentChains s:ref="AL2033" rgbClr="FF0000">
      <unresolved>
        <commentChain chainId="08d5b6e4eac22c74d4d429ee5d547fc859333e6c">
          <item id="75268caf545070d93035680d3d8e48bbff19125c" userID="1851561945" userName="石玉珍" dateTime="2026-08-12T11:18:49" isNormal="0">
            <s:text>
              <s:r>
                <s:t xml:space="preserve">WIC 贴纸 8/11 642pcs
PDQ折页 642pcs</s:t>
              </s:r>
            </s:text>
          </item>
        </commentChain>
      </unresolved>
      <resolved/>
    </commentChains>
    <commentChains s:ref="AL2034" rgbClr="FF0000">
      <unresolved>
        <commentChain chainId="9eefe1cae72a49b97df0dd5bfb8bf9786caee452">
          <item id="265f8126709df00dadd6d3a2ea7f821fa0b12978" userID="1851561945" userName="石玉珍" dateTime="2026-08-06T12:51:59" isNormal="0">
            <s:text>
              <s:r>
                <s:t xml:space="preserve">彩盒警告语贴纸 8/5 1008pcs</s:t>
              </s:r>
            </s:text>
          </item>
          <item id="8b00e26941c93d50ecc32973c1b26a87604fd068" userID="1851561945" userName="石玉珍" dateTime="2026-08-06T12:53:58" isNormal="0">
            <s:text>
              <s:r>
                <s:t xml:space="preserve">地址贴纸 1008pcs</s:t>
              </s:r>
            </s:text>
          </item>
          <item id="e339a96a0d2dc4d5133d46b76b8a4b18ad72eecd" userID="1851561945" userName="石玉珍" dateTime="2026-08-06T12:55:29" isNormal="0">
            <s:text>
              <s:r>
                <s:t xml:space="preserve">空白贴纸 2016pcs</s:t>
              </s:r>
            </s:text>
          </item>
        </commentChain>
      </unresolved>
      <resolved/>
    </commentChains>
    <commentChains s:ref="AL2035" rgbClr="FF0000">
      <unresolved>
        <commentChain chainId="7ae093a530ccccebd38179c08bed1ab8a1bf1ed8">
          <item id="479a64be0d75d0030fbdba642f45b1c7e8c480e2" userID="1851561945" userName="石玉珍" dateTime="2026-08-06T12:28:25" isNormal="0">
            <s:text>
              <s:r>
                <s:t xml:space="preserve">8/3 UPC条码贴纸 19275pcs
进口商贴纸 19275pcs</s:t>
              </s:r>
            </s:text>
          </item>
        </commentChain>
      </unresolved>
      <resolved/>
    </commentChains>
    <commentChains s:ref="AL2036" rgbClr="FF0000">
      <unresolved>
        <commentChain chainId="d420bb3754bf78966b66ceb0bfe93dda8ca55720">
          <item id="c824171e093ae4c0f1c6a5a3ce068d89e502be30" userID="1851561945" userName="石玉珍" dateTime="2026-08-10T12:03:04" isNormal="0">
            <s:text>
              <s:r>
                <s:t xml:space="preserve">客供RFID贴纸 8/10 21600pcs</s:t>
              </s:r>
            </s:text>
          </item>
        </commentChain>
      </unresolved>
      <resolved/>
    </commentChains>
    <commentChains s:ref="AL2037" rgbClr="FF0000">
      <unresolved>
        <commentChain chainId="4f87cffdb939ef3353de662b3f1ee445a9041c83">
          <item id="4b687fa0b9d3325f127a2e945b87faac456aa084" userID="1851561945" userName="石玉珍" dateTime="2026-08-10T12:03:10" isNormal="0">
            <s:text>
              <s:r>
                <s:t xml:space="preserve">客供RFID贴纸 8/10 27360pcs</s:t>
              </s:r>
            </s:text>
          </item>
        </commentChain>
      </unresolved>
      <resolved/>
    </commentChains>
    <commentChains s:ref="AL2038" rgbClr="FF0000">
      <unresolved>
        <commentChain chainId="f834b7980c4909a244039a4b2902090f59cad2b9">
          <item id="6256d5661aa662d9d8f4bd4b3a6c24a4d79dc056" userID="1851561945" userName="石玉珍" dateTime="2026-08-07T11:08:53" isNormal="0">
            <s:text>
              <s:r>
                <s:t xml:space="preserve">德语callout/德意荷警 8/6 6000pcs
冰棒款-说明书荷兰语贴 6000pcs
蛋糕款-说明书荷兰语贴 6000pcs
布丁款-说明书荷兰语贴 6000pcs</s:t>
              </s:r>
            </s:text>
          </item>
          <item id="107e7978271c42ce5c45d7dc41d7351121f3dff1" userID="1851561945" userName="石玉珍" dateTime="2026-08-07T11:12:56" isNormal="0">
            <s:text>
              <s:r>
                <s:t xml:space="preserve">zuru地址贴纸 8/6 240pcs</s:t>
              </s:r>
            </s:text>
          </item>
        </commentChain>
      </unresolved>
      <resolved/>
    </commentChains>
    <commentChains s:ref="AL2039" rgbClr="FF0000">
      <unresolved>
        <commentChain chainId="b7ef30dd1e17c700c31335be0e8d70ddb9c535f3">
          <item id="4018d4075eef6b66129918255e99183d842eff44" userID="1851561945" userName="石玉珍" dateTime="2026-08-14T12:28:27" isNormal="0">
            <s:text>
              <s:r>
                <s:t xml:space="preserve">客人通用进口商贴纸 8/14 2400pcs</s:t>
              </s:r>
            </s:text>
          </item>
          <item id="839552a42ebf5a7fbfae5d93643928e08ae24122" userID="1851561945" userName="石玉珍" dateTime="2026-08-14T12:29:15" isNormal="0">
            <s:text>
              <s:r>
                <s:t xml:space="preserve">通用UPC条码贴纸  2400pcs</s:t>
              </s:r>
            </s:text>
          </item>
        </commentChain>
      </unresolved>
      <resolved/>
    </commentChains>
    <commentChains s:ref="AL2041" rgbClr="FF0000">
      <unresolved>
        <commentChain chainId="ea9a1bae8e4e331528e17207efeb9f2754e6027c">
          <item id="f3fefce438461e680ca2840fe29047fa4eeca293" userID="1851561945" userName="石玉珍" dateTime="2026-08-14T12:30:05" isNormal="0">
            <s:text>
              <s:r>
                <s:t xml:space="preserve">UPC条码贴纸 8/14 96pcs</s:t>
              </s:r>
            </s:text>
          </item>
          <item id="992f1f374429f763142d524c1daf88591749f8d4" userID="1851561945" userName="石玉珍" dateTime="2026-08-14T12:30:47" isNormal="0">
            <s:text>
              <s:r>
                <s:t xml:space="preserve">进口商贴纸 96pcs</s:t>
              </s:r>
            </s:text>
          </item>
        </commentChain>
      </unresolved>
      <resolved/>
    </commentChains>
    <commentChains s:ref="AL2042" rgbClr="FF0000">
      <unresolved>
        <commentChain chainId="18076feaca94deecca2007fe0a62448dd45e78c0">
          <item id="a6b47425e1df152ee2b1ae0eecda5e8970c3667c" userID="1851561945" userName="石玉珍" dateTime="2026-06-08T12:43:55" isNormal="0">
            <s:text>
              <s:r>
                <s:t xml:space="preserve">6/8 客供RID贴纸 10032pcs</s:t>
              </s:r>
            </s:text>
          </item>
          <item id="5991f0cd41f7c156b75346b13408d274e8f918ca" userID="1851561945" userName="石玉珍" dateTime="2026-07-21T01:06:23" isNormal="0">
            <s:text>
              <s:r>
                <s:t xml:space="preserve">7/20 彩色placard贴纸 418*2pcs</s:t>
              </s:r>
            </s:text>
          </item>
        </commentChain>
      </unresolved>
      <resolved/>
    </commentChains>
    <commentChains s:ref="BC2043" rgbClr="FF0000">
      <unresolved>
        <commentChain chainId="6eb261d39982a0279c0b19feb9f46ab860c47b35">
          <item id="83eedd08a0044b829c51653f99ed5fae8a39e029" userID="1474709007" userName="陈炎" dateTime="2026-08-14T08:33:36" isNormal="0">
            <s:text>
              <s:r>
                <s:t xml:space="preserve">新资料</s:t>
              </s:r>
            </s:text>
          </item>
        </commentChain>
      </unresolved>
      <resolved/>
    </commentChains>
    <commentChains s:ref="BC2044" rgbClr="FF0000">
      <unresolved>
        <commentChain chainId="d8ee0d4cfb13572bbb37a5f1e942f6b78e2eae63">
          <item id="e2f6c2e6df17ce66ec10d532283b4f16c71921c6" userID="1474709007" userName="陈炎" dateTime="2026-08-14T08:33:41" isNormal="0">
            <s:text>
              <s:r>
                <s:t xml:space="preserve">新资料</s:t>
              </s:r>
            </s:text>
          </item>
        </commentChain>
      </unresolved>
      <resolved/>
    </commentChains>
    <commentChains s:ref="AL2045" rgbClr="FF0000">
      <unresolved>
        <commentChain chainId="b84f6e1b72affb43d64d23093d6366773e9559cc">
          <item id="15ca922d19d859f5602a8c1656b5ae4bde849d80" userID="1851561945" userName="石玉珍" dateTime="2026-08-10T12:03:17" isNormal="0">
            <s:text>
              <s:r>
                <s:t xml:space="preserve">客供RFID贴纸 8/10 23040pcs</s:t>
              </s:r>
            </s:text>
          </item>
        </commentChain>
      </unresolved>
      <resolved/>
    </commentChains>
    <commentChains s:ref="AP2046" rgbClr="FF0000">
      <unresolved/>
      <resolved>
        <commentChain chainId="afc8b5f48994d08a6f6b35c315a3f6cd14177d85">
          <item id="26e4b0ff8616e131bce46f9d9d8e69c0045ee407" isNormal="1">
            <s:text>
              <s:r>
                <s:t xml:space="preserve">RR:
客人接受1L收缩膜</s:t>
              </s:r>
            </s:text>
          </item>
        </commentChain>
      </resolved>
    </commentChains>
    <commentChains s:ref="AL2047" rgbClr="FF0000">
      <unresolved>
        <commentChain chainId="9ca07502b56cd92f3ff37cb65fc395d215935d83">
          <item id="c71c578d0a28aab8689674428447ba236f7b81ab" userID="1851561945" userName="石玉珍" dateTime="2026-08-15T10:15:22" isNormal="0">
            <s:text>
              <s:r>
                <s:t xml:space="preserve">UPC条码贴纸 8/15 221pcs</s:t>
              </s:r>
            </s:text>
          </item>
        </commentChain>
      </unresolved>
      <resolved/>
    </commentChains>
    <commentChains s:ref="AL2048" rgbClr="FF0000">
      <unresolved>
        <commentChain chainId="7a51d6ba717c160e92e54f77711fd7d4895c067c">
          <item id="01186d030cd2079d1fdce149cd5169c4d8f739dc" userID="1851561945" userName="石玉珍" dateTime="2026-08-15T10:14:48" isNormal="0">
            <s:text>
              <s:r>
                <s:t xml:space="preserve">UPC条码贴纸 8/15 1287pcs</s:t>
              </s:r>
            </s:text>
          </item>
        </commentChain>
      </unresolved>
      <resolved/>
    </commentChains>
    <commentChains s:ref="AL2049" rgbClr="FF0000">
      <unresolved>
        <commentChain chainId="217e238e576454ed53c5ebe12c6a9e6288d43eb4">
          <item id="e177452653bb85681d89fdc68934d0167dd13e8f" userID="1851561945" userName="石玉珍" dateTime="2026-08-15T10:14:54" isNormal="0">
            <s:text>
              <s:r>
                <s:t xml:space="preserve">UPC条码贴纸 8/15 1508pcs</s:t>
              </s:r>
            </s:text>
          </item>
        </commentChain>
      </unresolved>
      <resolved/>
    </commentChains>
    <commentChains s:ref="AL2050" rgbClr="FF0000">
      <unresolved>
        <commentChain chainId="90ea3976f2b52441c3d795cfe3d0919cd445a5ad">
          <item id="fdf88ab9e162b5c733f8565358ee6fe10e7de85b" userID="1851561945" userName="石玉珍" dateTime="2026-08-15T10:10:56" isNormal="0">
            <s:text>
              <s:r>
                <s:t xml:space="preserve">空白贴纸 8/15 10800pcs
收缩膜+说明书纽扣电池警告语贴 10800pcs</s:t>
              </s:r>
            </s:text>
          </item>
        </commentChain>
      </unresolved>
      <resolved/>
    </commentChains>
    <commentChains s:ref="AL2051" rgbClr="FF0000">
      <unresolved>
        <commentChain chainId="b68a9ebe00728e566bac3c448efac60f6481acc2">
          <item id="f06e213c118a30a82ece58386d40dec316e2cbe2" userID="1851561945" userName="石玉珍" dateTime="2026-08-15T10:12:11" isNormal="0">
            <s:text>
              <s:r>
                <s:t xml:space="preserve">空白贴纸 8/15 960pcs
收缩膜+说明书纽扣电池警告语贴 960pcs</s:t>
              </s:r>
            </s:text>
          </item>
        </commentChain>
      </unresolved>
      <resolved/>
    </commentChains>
    <commentChains s:ref="AL2053" rgbClr="FF0000">
      <unresolved>
        <commentChain chainId="679b9e5643a0d8ea190358b44cc1d3045410e427">
          <item id="b550308358158c8c461d3b4313ec23468c1596d1" userID="1851561945" userName="石玉珍" dateTime="2026-08-06T12:17:21" isNormal="0">
            <s:text>
              <s:r>
                <s:t xml:space="preserve">8/1 条码贴纸 5200pcs</s:t>
              </s:r>
            </s:text>
          </item>
        </commentChain>
      </unresolved>
      <resolved/>
    </commentChains>
    <commentChains s:ref="AL2055" rgbClr="FF0000">
      <unresolved>
        <commentChain chainId="9469a14f91b000411e6f4753854f07839cf36319">
          <item id="7f893360f9ab7a0002f8395c0fae56973bd8d1b9" userID="1851561945" userName="石玉珍" dateTime="2026-06-08T12:41:45" isNormal="0">
            <s:text>
              <s:r>
                <s:t xml:space="preserve">6/8 客供RID贴纸 11256pcs</s:t>
              </s:r>
            </s:text>
          </item>
          <item id="2126100534ffe9bc9d5c5c4db413927605695b3a" userID="1851561945" userName="石玉珍" dateTime="2026-07-21T01:06:28" isNormal="0">
            <s:text>
              <s:r>
                <s:t xml:space="preserve">7/20 彩色placard贴纸 469*2pcs</s:t>
              </s:r>
            </s:text>
          </item>
        </commentChain>
      </unresolved>
      <resolved/>
    </commentChains>
    <commentChains s:ref="AL2056" rgbClr="FF0000">
      <unresolved>
        <commentChain chainId="ad4cc546877e39ba2274180ea40840a14487b3b7">
          <item id="1daf3b76bc5dc166cf6a2d37708343190a6b1c7d" userID="1851561945" userName="石玉珍" dateTime="2026-08-06T13:07:05" isNormal="0">
            <s:text>
              <s:r>
                <s:t xml:space="preserve">8/5 客供价格贴纸 1890pcs</s:t>
              </s:r>
            </s:text>
          </item>
        </commentChain>
      </unresolved>
      <resolved/>
    </commentChains>
    <commentChains s:ref="AL2057" rgbClr="FF0000">
      <unresolved>
        <commentChain chainId="b136d0a61520f3831309b48984e5c19aa00d189c">
          <item id="2a328f048f9144dc898aeafc6f344d259703e7b8" userID="1851561945" userName="石玉珍" dateTime="2026-08-06T13:10:32" isNormal="0">
            <s:text>
              <s:r>
                <s:t xml:space="preserve">8/5 客供价格贴纸 1800pcs</s:t>
              </s:r>
            </s:text>
          </item>
        </commentChain>
      </unresolved>
      <resolved/>
    </commentChains>
    <commentChains s:ref="AL2059" rgbClr="FF0000">
      <unresolved>
        <commentChain chainId="672cbbeccd15f351c253fa8139dc68bfcd7ea607">
          <item id="4440b8e3743e13754a9ca5e9cea83557a90585a5" userID="1851561945" userName="石玉珍" dateTime="2026-08-17T13:36:52" isNormal="0">
            <s:text>
              <s:r>
                <s:t xml:space="preserve">客供RFID贴纸 8/17 36000pcs</s:t>
              </s:r>
            </s:text>
          </item>
        </commentChain>
      </unresolved>
      <resolved/>
    </commentChains>
    <commentChains s:ref="AL2060" rgbClr="FF0000">
      <unresolved>
        <commentChain chainId="40d91e0a731a82ca8624b52283a19755c6118f2c">
          <item id="6e3e14078c3211be839976046e57713d632bbb1c" userID="1851561945" userName="石玉珍" dateTime="2026-08-17T13:36:59" isNormal="0">
            <s:text>
              <s:r>
                <s:t xml:space="preserve">客供RFID贴纸 8/17 24720pcs</s:t>
              </s:r>
            </s:text>
          </item>
        </commentChain>
      </unresolved>
      <resolved/>
    </commentChains>
    <commentChains s:ref="AL2073" rgbClr="FF0000">
      <unresolved>
        <commentChain chainId="a5813dea1d190b348d3b9931c1726dbf467d8477">
          <item id="3857df505ec14b75cb16c37d026a02d064e40f67" userID="1851561945" userName="石玉珍" dateTime="2026-08-07T07:12:12" isNormal="0">
            <s:text>
              <s:r>
                <s:t xml:space="preserve">客供价格贴纸 8/5 1200pcs</s:t>
              </s:r>
            </s:text>
          </item>
        </commentChain>
      </unresolved>
      <resolved/>
    </commentChains>
    <commentChains s:ref="AL2074" rgbClr="FF0000">
      <unresolved>
        <commentChain chainId="d83649bdf6f02477bf9d9bc19af37085f5e6ef18">
          <item id="b0817264c7b317111c4839b67bdfce3810643ca3" userID="1851561945" userName="石玉珍" dateTime="2026-08-13T11:17:34" isNormal="0">
            <s:text>
              <s:r>
                <s:t xml:space="preserve">8/13 客供价格贴纸 2400pcs</s:t>
              </s:r>
            </s:text>
          </item>
        </commentChain>
      </unresolved>
      <resolved/>
    </commentChains>
    <commentChains s:ref="AL2078" rgbClr="FF0000">
      <unresolved>
        <commentChain chainId="8d4031adbdf6f4d5da2582b6718e69049a2fd65a">
          <item id="5db556cf6ca3708e8087e82e02d61a648056cb36" userID="1851561945" userName="石玉珍" dateTime="2026-08-06T13:07:49" isNormal="0">
            <s:text>
              <s:r>
                <s:t xml:space="preserve">8/5 客供价格贴纸 1800pcs</s:t>
              </s:r>
            </s:text>
          </item>
        </commentChain>
      </unresolved>
      <resolved/>
    </commentChains>
    <commentChains s:ref="AL2079" rgbClr="FF0000">
      <unresolved>
        <commentChain chainId="bc3d2c447d804d98f4d6fe5660a571ccb1d66534">
          <item id="86febbfe53ef5930d27247c8ea55d477312de1d1" userID="1851561945" userName="石玉珍" dateTime="2026-08-06T13:10:49" isNormal="0">
            <s:text>
              <s:r>
                <s:t xml:space="preserve">8/5 客供价格贴纸 1800pcs</s:t>
              </s:r>
            </s:text>
          </item>
        </commentChain>
      </unresolved>
      <resolved/>
    </commentChains>
    <commentChains s:ref="AL2080" rgbClr="FF0000">
      <unresolved>
        <commentChain chainId="bd5a94165ed96322a07bd198b8681e51d0df49a6">
          <item id="3a2785ffd66dd608ad29e3a611a9bd7a659fb0b6" userID="1851561945" userName="石玉珍" dateTime="2026-08-07T07:12:58" isNormal="0">
            <s:text>
              <s:r>
                <s:t xml:space="preserve">客供价格贴纸 8/5 4200pcs</s:t>
              </s:r>
            </s:text>
          </item>
        </commentChain>
      </unresolved>
      <resolved/>
    </commentChains>
    <commentChains s:ref="AL2081" rgbClr="FF0000">
      <unresolved>
        <commentChain chainId="d1930efffac2019a971a433545d36fc66ef0fbdc">
          <item id="279e3b89e144964cf6f59c0c3dfab7527c784f63" userID="1851561945" userName="石玉珍" dateTime="2026-08-06T13:08:37" isNormal="0">
            <s:text>
              <s:r>
                <s:t xml:space="preserve">8/5 客供价格贴纸 4800pcs</s:t>
              </s:r>
            </s:text>
          </item>
        </commentChain>
      </unresolved>
      <resolved/>
    </commentChains>
    <commentChains s:ref="AL2083" rgbClr="FF0000">
      <unresolved>
        <commentChain chainId="ec365d516c180d9ef6558526cc9d1e312cb1a1f5">
          <item id="1b37bf54f58418dd6cf6364d52b5f20bb0cbcf05" userID="1851561945" userName="石玉珍" dateTime="2026-08-06T13:08:15" isNormal="0">
            <s:text>
              <s:r>
                <s:t xml:space="preserve">8/5 客供价格贴纸 1200pcs</s:t>
              </s:r>
            </s:text>
          </item>
        </commentChain>
      </unresolved>
      <resolved/>
    </commentChains>
    <commentChains s:ref="AL2091" rgbClr="FF0000">
      <unresolved>
        <commentChain chainId="24737766aa2c43e02ea4fb5e508b560345924e03">
          <item id="17bc1c897469e7248f36d788b1f1182768e02b95" userID="1851561945" userName="石玉珍" dateTime="2026-08-17T13:37:05" isNormal="0">
            <s:text>
              <s:r>
                <s:t xml:space="preserve">客供RFID贴纸 8/17 12480pcs</s:t>
              </s:r>
            </s:text>
          </item>
        </commentChain>
      </unresolved>
      <resolved/>
    </commentChains>
    <commentChains s:ref="AL2100" rgbClr="FF0000">
      <unresolved>
        <commentChain chainId="77f9399635553702d0571b034ba016ced706878f">
          <item id="ab9947846ed867e32b4321ff5cd4e4b189680643" userID="1851561945" userName="石玉珍" dateTime="2026-08-06T13:09:49" isNormal="0">
            <s:text>
              <s:r>
                <s:t xml:space="preserve">8/5 客供价格贴纸 10800pcs</s:t>
              </s:r>
            </s:text>
          </item>
        </commentChain>
      </unresolved>
      <resolved/>
    </commentChains>
    <commentChains s:ref="AL2110" rgbClr="FF0000">
      <unresolved>
        <commentChain chainId="b072d37fd50fcdd9ef297133119f635fcf730597">
          <item id="56c82fbebed2e5ba710b280a891bb0a039b04326" userID="1851561945" userName="石玉珍" dateTime="2026-08-07T11:23:38" isNormal="0">
            <s:text>
              <s:r>
                <s:t xml:space="preserve">客供价格贴纸 8/6 5004pcs</s:t>
              </s:r>
            </s:text>
          </item>
        </commentChain>
      </unresolved>
      <resolved/>
    </commentChains>
    <commentChains s:ref="AL2111" rgbClr="FF0000">
      <unresolved>
        <commentChain chainId="4a48cbc5463c4ea7158396b7f955ab67e4a983b9">
          <item id="41e3cad5a41613c59b5fd1e349168c54bef41dad" userID="1851561945" userName="石玉珍" dateTime="2026-08-15T10:15:43" isNormal="0">
            <s:text>
              <s:r>
                <s:t xml:space="preserve">UPC条码贴纸 8/15 4290pcs</s:t>
              </s:r>
            </s:text>
          </item>
        </commentChain>
      </unresolved>
      <resolved/>
    </commentChains>
    <commentChains s:ref="AL2112" rgbClr="FF0000">
      <unresolved>
        <commentChain chainId="a8c780a77d04b97dbd230747b35d5f44b17aa191">
          <item id="3daee764840f8ab094483f89f16289877687743d" userID="1851561945" userName="石玉珍" dateTime="2026-08-15T10:16:01" isNormal="0">
            <s:text>
              <s:r>
                <s:t xml:space="preserve">UPC条码贴纸 8/15 299pcs</s:t>
              </s:r>
            </s:text>
          </item>
        </commentChain>
      </unresolved>
      <resolved/>
    </commentChains>
    <commentChains s:ref="AL2120" rgbClr="FF0000">
      <unresolved>
        <commentChain chainId="c0731736526f855554f8d4d2640733090b743385">
          <item id="3335df990401571db52a328ca229809a563f58c7" userID="1851561945" userName="石玉珍" dateTime="2026-08-15T10:16:16" isNormal="0">
            <s:text>
              <s:r>
                <s:t xml:space="preserve">UPC条码贴纸 8/15 2912pcs</s:t>
              </s:r>
            </s:text>
          </item>
        </commentChain>
      </unresolved>
      <resolved/>
    </commentChains>
    <commentChains s:ref="BC2123" rgbClr="FF0000">
      <unresolved>
        <commentChain chainId="a3356d06d62e6d76d70a41752dd93f7b279a3694">
          <item id="3a565319f6f9aaab35aedf81c09384ec44c51939" userID="1474709007" userName="陈炎" dateTime="2026-08-14T08:33:45" isNormal="0">
            <s:text>
              <s:r>
                <s:t xml:space="preserve">新资料</s:t>
              </s:r>
            </s:text>
          </item>
        </commentChain>
      </unresolved>
      <resolved/>
    </commentChains>
    <commentChains s:ref="BC2124" rgbClr="FF0000">
      <unresolved>
        <commentChain chainId="aaa0b4bea39c3954963297f18f1d4b7613fa7d8b">
          <item id="7d0aa37dd6a0d0e0b39073511511bb4e7ba3aa17" userID="1474709007" userName="陈炎" dateTime="2026-08-14T08:33:49" isNormal="0">
            <s:text>
              <s:r>
                <s:t xml:space="preserve">新资料</s:t>
              </s:r>
            </s:text>
          </item>
        </commentChain>
      </unresolved>
      <resolved/>
    </commentChains>
    <commentChains s:ref="AL2125" rgbClr="FF0000">
      <unresolved>
        <commentChain chainId="473eadc72bf4a1cf4a260fb17e513d9166bcc3c2">
          <item id="80d72ab5ad463cf19394b168e3dda7817ac9d8e8" userID="1851561945" userName="石玉珍" dateTime="2026-08-15T10:13:47" isNormal="0">
            <s:text>
              <s:r>
                <s:t xml:space="preserve">空白贴纸 8/15 4800pcs
收缩膜+说明书纽扣电池警告语贴 4800pcs</s:t>
              </s:r>
            </s:text>
          </item>
        </commentChain>
      </unresolved>
      <resolved/>
    </commentChains>
    <commentChains s:ref="AL2126" rgbClr="FF0000">
      <unresolved>
        <commentChain chainId="94bd42d0695b85f0a6bc30259072564e456359fd">
          <item id="f7979ec20110b989019944283af997d811c8e2cd" userID="1851561945" userName="石玉珍" dateTime="2026-08-15T10:14:12" isNormal="0">
            <s:text>
              <s:r>
                <s:t xml:space="preserve">空白贴纸 8/15 444pcs
收缩膜+说明书纽扣电池警告语贴 444pcs</s:t>
              </s:r>
            </s:text>
          </item>
        </commentChain>
      </unresolved>
      <resolved/>
    </commentChains>
  </commentList>
  <commentList sheetStid="18">
    <commentChains s:ref="I6" rgbClr="FF0000">
      <unresolved>
        <commentChain chainId="3b3e5c1c1ac417d098c3543e21795b78365c91b3">
          <item id="395de9afaf2190dece6df632b402807573cac13a" isNormal="1">
            <s:text>
              <s:r>
                <s:t xml:space="preserve">RR:
消耗MA-RR-1619</s:t>
              </s:r>
            </s:text>
          </item>
        </commentChain>
      </unresolved>
      <resolved/>
    </commentChains>
    <commentChains s:ref="N8" rgbClr="FF0000">
      <unresolved>
        <commentChain chainId="9c8653ead7a4223052c17dfa04224ff68ee676a9">
          <item id="cf3f438004005f128a61616ee4ec9de65770e113" isNormal="1">
            <s:text>
              <s:r>
                <s:t xml:space="preserve">RR:
转Costco-INT MA 库存给 Costco-US PO先消耗;</s:t>
              </s:r>
            </s:text>
          </item>
        </commentChain>
      </unresolved>
      <resolved/>
    </commentChains>
  </commentList>
  <commentList sheetStid="15">
    <commentChains s:ref="AM1" rgbClr="FF0000">
      <unresolved>
        <commentChain chainId="e7320c9e8964552bad313c29436c238a6cf2a839">
          <item id="7c52965e4695637b2bb4e06583e63c0fa51f47b5" isNormal="1">
            <s:text>
              <s:r>
                <s:t xml:space="preserve">RR:
77198SK:
-SOO1无底座带demo；
-S002有底座带demo；
-SOO3无底座带demo</s:t>
              </s:r>
            </s:text>
          </item>
        </commentChain>
      </unresolved>
      <resolved/>
    </commentChains>
    <commentChains s:ref="AH3" rgbClr="FF0000">
      <unresolved>
        <commentChain chainId="462517df1af38549ae6877778d8ed1880a1ae049">
          <item id="0b8aed8ecb70230d4d250cb248063cf581aa516e" isNormal="1">
            <s:text>
              <s:r>
                <s:t xml:space="preserve">Administrator:
4/15 上多语折叠警告语贴纸1200pcs
4/21 WEEE通用黑色书纸带电池走货1200pcs</s:t>
              </s:r>
            </s:text>
          </item>
        </commentChain>
      </unresolved>
      <resolved/>
    </commentChains>
    <commentChains s:ref="AH13" rgbClr="FF0000">
      <unresolved>
        <commentChain chainId="34d265deecef0ff0b6c8cf4a967f67a9979fe58b">
          <item id="6c78063d747a4955182abfee31dd20fbbf028832" isNormal="1">
            <s:text>
              <s:r>
                <s:t xml:space="preserve">Administrator:
6/24 上客供RFID贴纸1376pcs
</s:t>
              </s:r>
            </s:text>
          </item>
        </commentChain>
      </unresolved>
      <resolved/>
    </commentChains>
    <commentChains s:ref="AH14" rgbClr="FF0000">
      <unresolved>
        <commentChain chainId="7e2fa0a19b29d0ca1540f03097ff1e5586d2ff46">
          <item id="3238d1395a86180fb5a65e841269ce429cb91c47" isNormal="1">
            <s:text>
              <s:r>
                <s:t xml:space="preserve">Administrator:
6/24 上客供RFID贴纸1056pcs
</s:t>
              </s:r>
            </s:text>
          </item>
        </commentChain>
      </unresolved>
      <resolved/>
    </commentChains>
    <commentChains s:ref="AH15" rgbClr="FF0000">
      <unresolved>
        <commentChain chainId="5b22ad754f91822e3e8c9c961919a3cbe639ec6f">
          <item id="0a4f0e99d55fb3bdc8b2ef99bfb9e38727ffd05c" isNormal="1">
            <s:text>
              <s:r>
                <s:t xml:space="preserve">Administrator:
6/24 上客供RFID贴纸1152pcs
</s:t>
              </s:r>
            </s:text>
          </item>
        </commentChain>
      </unresolved>
      <resolved/>
    </commentChains>
    <commentChains s:ref="AH16" rgbClr="FF0000">
      <unresolved>
        <commentChain chainId="83b84fe309ae48d5347d672ddc7e3362b1bd793c">
          <item id="15005883e2eac697f7d179fbec994a0c32f3ac03" isNormal="1">
            <s:text>
              <s:r>
                <s:t xml:space="preserve">Administrator:
6/24 上客供RFID贴纸592pcs
</s:t>
              </s:r>
            </s:text>
          </item>
        </commentChain>
      </unresolved>
      <resolved/>
    </commentChains>
    <commentChains s:ref="AJ17" rgbClr="FF0000">
      <unresolved>
        <commentChain chainId="81bde88a3a4a9fda476962aa08af9cdfd33ec782">
          <item id="7ba46ce9c5d66a9c753ed90cced68931d793ca8f" isNormal="1">
            <s:text>
              <s:r>
                <s:t xml:space="preserve">Administrator:
7/3 上客供RFID贴纸272pcs
</s:t>
              </s:r>
            </s:text>
          </item>
        </commentChain>
      </unresolved>
      <resolved/>
    </commentChains>
    <commentChains s:ref="AJ18" rgbClr="FF0000">
      <unresolved>
        <commentChain chainId="7beea341c56d146274073e85b5562a16d13b66d1">
          <item id="23a7a51acc94166a9072851c3dcabffc1771a493" isNormal="1">
            <s:text>
              <s:r>
                <s:t xml:space="preserve">Administrator:
7/3 上客供RFID贴纸208pcs
</s:t>
              </s:r>
            </s:text>
          </item>
        </commentChain>
      </unresolved>
      <resolved/>
    </commentChains>
    <commentChains s:ref="AJ19" rgbClr="FF0000">
      <unresolved>
        <commentChain chainId="2011e2c2e0d46a09041a19210e36fa649caaa3ef">
          <item id="99a726dff76465c5bbc8df9e104b070f4e15445a" isNormal="1">
            <s:text>
              <s:r>
                <s:t xml:space="preserve">Administrator:
7/3 上客供RFID贴纸228pcs
</s:t>
              </s:r>
            </s:text>
          </item>
        </commentChain>
      </unresolved>
      <resolved/>
    </commentChains>
    <commentChains s:ref="AJ20" rgbClr="FF0000">
      <unresolved>
        <commentChain chainId="46a9eddff47c1748a114d2ebf2ba5917f9b9b02e">
          <item id="04d4e8771ffdde59927fa057df3614da38e5a2cd" isNormal="1">
            <s:text>
              <s:r>
                <s:t xml:space="preserve">Administrator:
7/3 上客供RFID贴纸112pcs
</s:t>
              </s:r>
            </s:text>
          </item>
        </commentChain>
      </unresolved>
      <resolved/>
    </commentChains>
    <commentChains s:ref="AH52" rgbClr="FF0000">
      <unresolved>
        <commentChain chainId="f1baa26f32bea10dba9067b121bcd92975f47088">
          <item id="0f4cfc0554f13faf1185158d648f98d5c809af28" isNormal="1">
            <s:text>
              <s:r>
                <s:t xml:space="preserve">Administrator:
7/28 上客供外箱条码贴纸606pcs
</s:t>
              </s:r>
            </s:text>
          </item>
        </commentChain>
      </unresolved>
      <resolved/>
    </commentChains>
    <commentChains s:ref="AJ64" rgbClr="FF0000">
      <unresolved>
        <commentChain chainId="77a9ba843ab80d996ae4a718d9007737c0666074">
          <item id="0ba358206de040cd7e158c37c76df55ab756b506" isNormal="1">
            <s:text>
              <s:r>
                <s:t xml:space="preserve">Administrator:
9/16 上WEEE_带电池走货 _ 说明书欧洲EN+30L-B版 1504pcs
</s:t>
              </s:r>
            </s:text>
          </item>
        </commentChain>
      </unresolved>
      <resolved/>
    </commentChains>
    <commentChains s:ref="AG65" rgbClr="FF0000">
      <unresolved>
        <commentChain chainId="047dc86c4c5be8c15709dae7ed47c861ded2146c">
          <item id="70577fbcfccd33587c1c82a60486e7639c776efc" isNormal="1">
            <s:text>
              <s:r>
                <s:t xml:space="preserve">Administrator:
5000460 9/30 4976pcs
5000452 10/8 24pcs
</s:t>
              </s:r>
            </s:text>
          </item>
        </commentChain>
      </unresolved>
      <resolved/>
    </commentChains>
    <commentChains s:ref="AJ65" rgbClr="FF0000">
      <unresolved>
        <commentChain chainId="3c6c06e0bf935f7cfee8208aa15f371b560c378a">
          <item id="735f2816e8bdcd84fbd1701b9d90c0a7d906e345" isNormal="1">
            <s:text>
              <s:r>
                <s:t xml:space="preserve">Administrator:
9/20 上UPC贴纸5000pcs</s:t>
              </s:r>
            </s:text>
          </item>
        </commentChain>
      </unresolved>
      <resolved/>
    </commentChains>
    <commentChains s:ref="AH66" rgbClr="FF0000">
      <unresolved>
        <commentChain chainId="2e9a6e53552ad5e3c032a1bccaa562734ffce72e">
          <item id="ebaad888756ad4494399debb702fffd1a6df4e2f" isNormal="1">
            <s:text>
              <s:r>
                <s:t xml:space="preserve">Administrator:
10/8 上白色防盗贴纸12597pcs
10/21 上UPC条码贴纸12597pcs
</s:t>
              </s:r>
            </s:text>
          </item>
        </commentChain>
      </unresolved>
      <resolved/>
    </commentChains>
    <commentChains s:ref="AH74" rgbClr="FF0000">
      <unresolved>
        <commentChain chainId="e7fde297f5a0df7323614e943bd596f462de04e2">
          <item id="414e77635f6c2a9377fd3452ce1b46f4f1fea71a" isNormal="1">
            <s:text>
              <s:r>
                <s:t xml:space="preserve">Administrator:
12/24 上客供RFID贴纸33600pcs
</s:t>
              </s:r>
            </s:text>
          </item>
        </commentChain>
      </unresolved>
      <resolved/>
    </commentChains>
    <commentChains s:ref="AI81" rgbClr="FF0000">
      <unresolved>
        <commentChain chainId="67b2b675de21432563e300234abd39865650aea1">
          <item id="ef1b2784487eae43d496aaea3e801072ef68c358" isNormal="1">
            <s:text>
              <s:r>
                <s:t xml:space="preserve">Administrator:
12/9 进口商贴纸 780pcs
UPC 条码贴纸 780pcs</s:t>
              </s:r>
            </s:text>
          </item>
        </commentChain>
      </unresolved>
      <resolved/>
    </commentChains>
    <commentChains s:ref="AK82" rgbClr="FF0000">
      <unresolved>
        <commentChain chainId="d4931c551cc7e0c7e3e9f4b80af171e30531915e">
          <item id="fffc9d0c0a2a0b1b7cb0f375bc0b3eb5b29d5559" isNormal="1">
            <s:text>
              <s:r>
                <s:t xml:space="preserve">Administrator:
12/9 进口商贴纸 400pcs</s:t>
              </s:r>
            </s:text>
          </item>
        </commentChain>
      </unresolved>
      <resolved/>
    </commentChains>
    <commentChains s:ref="AF90" rgbClr="FF0000">
      <unresolved>
        <commentChain chainId="0fb77f2e1b8a3170c9ed324b30fc1ac31d9ac0cd">
          <item id="8d3cd58018f44d38f38b433f0fc04c06e458b479" isNormal="1">
            <s:text>
              <s:r>
                <s:t xml:space="preserve">Administrator:
1403865 4/24 15600pcs庞3a19
1403871 4/25 4392pcs张b9</s:t>
              </s:r>
            </s:text>
          </item>
        </commentChain>
      </unresolved>
      <resolved/>
    </commentChains>
    <commentChains s:ref="AF91" rgbClr="FF0000">
      <unresolved>
        <commentChain chainId="3dd19a7c6161be78b14c5aaa4a18c4f52837ea35">
          <item id="e464f7d70be4a75b43650eb30150154317e5e8fa" isNormal="1">
            <s:text>
              <s:r>
                <s:t xml:space="preserve">Administrator:
1403871 4/25 9996pcs
张b10</s:t>
              </s:r>
            </s:text>
          </item>
        </commentChain>
      </unresolved>
      <resolved/>
    </commentChains>
    <commentChains s:ref="AG96" rgbClr="FF0000">
      <unresolved>
        <commentChain chainId="4b291e4f6079df921be80cef7af2afb68a147548">
          <item id="b4f5ba669026dfbd477908c40936e8f4e3a3e707" isNormal="1">
            <s:text>
              <s:r>
                <s:t xml:space="preserve">Administrator:
1403595 5/16 2556pcs张3c1</s:t>
              </s:r>
            </s:text>
          </item>
        </commentChain>
      </unresolved>
      <resolved/>
    </commentChains>
    <commentChains s:ref="AJ96" rgbClr="FF0000">
      <unresolved>
        <commentChain chainId="ffa0577408b5fcc5fd682dbf4e34ca9066e63978">
          <item id="0e26d860fb72ae6b4aa6761ead3414db27615021" isNormal="1">
            <s:text>
              <s:r>
                <s:t xml:space="preserve">Administrator:
4/23 亚马逊外箱贴纸 213pcs
4/24 可折叠警语贴纸2556pcs
4/25 UPC贴纸 2556pcs
</s:t>
              </s:r>
            </s:text>
          </item>
        </commentChain>
      </unresolved>
      <resolved/>
    </commentChains>
    <commentChains s:ref="AF97" rgbClr="FF0000">
      <unresolved>
        <commentChain chainId="485b1e0a07b1eb29fb4af518cc8d19efcd1ae8d2">
          <item id="47d037f6e711215ebf3990f7f3b9fff71c83fff0" isNormal="1">
            <s:text>
              <s:r>
                <s:t xml:space="preserve">Administrator:
1403391 5/5 5400pcs
张a1
</s:t>
              </s:r>
            </s:text>
          </item>
        </commentChain>
      </unresolved>
      <resolved/>
    </commentChains>
    <commentChains s:ref="AI97" rgbClr="FF0000">
      <unresolved>
        <commentChain chainId="154dd3a5fa011b7feb46cad115aa55c0e74a3920">
          <item id="55d702340336f894e06575c9952d269f5cbc2596" isNormal="1">
            <s:text>
              <s:r>
                <s:t xml:space="preserve">Administrator:
4/23 亚马逊外箱贴纸 450pcs
</s:t>
              </s:r>
            </s:text>
          </item>
        </commentChain>
      </unresolved>
      <resolved/>
    </commentChains>
    <commentChains s:ref="AF98" rgbClr="FF0000">
      <unresolved>
        <commentChain chainId="74365862707138189cc9adfd1ddb39014de5f247">
          <item id="a369288b28f8798be319ecae0d06dac4c1162cf4" isNormal="1">
            <s:text>
              <s:r>
                <s:t xml:space="preserve">Administrator:
1406183 5/11 1704pcs
张b1</s:t>
              </s:r>
            </s:text>
          </item>
        </commentChain>
      </unresolved>
      <resolved/>
    </commentChains>
    <commentChains s:ref="AI98" rgbClr="FF0000">
      <unresolved>
        <commentChain chainId="ad37df970ba78ab28c273f10a3726032bcc39352">
          <item id="53a842d5f0edbf24fd6922c0d81d14122377a6bc" isNormal="1">
            <s:text>
              <s:r>
                <s:t xml:space="preserve">Administrator:
4/23 亚马逊外箱贴纸 284pcs
4/25 空白贴纸 3408pcs
环保标贴纸 1704pcs
</s:t>
              </s:r>
            </s:text>
          </item>
        </commentChain>
      </unresolved>
      <resolved/>
    </commentChains>
    <commentChains s:ref="AH119" rgbClr="FF0000">
      <unresolved>
        <commentChain chainId="fdb94c035793ceef5218596d5a36a21dba9f7756">
          <item id="0c8e9be98acefc3bc21b4ea6b5218928c8358d13" isNormal="1">
            <s:text>
              <s:r>
                <s:t xml:space="preserve">Administrator:
1406183 5/11 570pcs
张b1</s:t>
              </s:r>
            </s:text>
          </item>
        </commentChain>
      </unresolved>
      <resolved/>
    </commentChains>
    <commentChains s:ref="AK119" rgbClr="FF0000">
      <unresolved>
        <commentChain chainId="58588b741ff7211844ddb1f4ae09e869df8123df">
          <item id="9c7ef418db1a3aa8993b446843e26b44c0e8dd84" isNormal="1">
            <s:text>
              <s:r>
                <s:t xml:space="preserve">Administrator:
4/25 空白贴纸 11400pcs
环保标贴纸 570pcs
5/5 亚马逊外箱贴纸 95pcs
</s:t>
              </s:r>
            </s:text>
          </item>
        </commentChain>
      </unresolved>
      <resolved/>
    </commentChains>
    <commentChains s:ref="O131" rgbClr="FF0000">
      <unresolved>
        <commentChain chainId="c70e1f85d2ff812bc709e8b13bc1cb90c7a0660b">
          <item id="27bb3b7394a9cee4aa8d6d9bf4a9fe4c698b7fb4" userID="1851561945" userName="石玉珍" dateTime="2026-08-06T12:46:04" isNormal="0">
            <s:text>
              <s:r>
                <s:t xml:space="preserve">8/5 PDQ贴纸 4*2pcs</s:t>
              </s:r>
            </s:text>
          </item>
        </commentChain>
      </unresolved>
      <resolved/>
    </commentChains>
    <commentChains s:ref="O132" rgbClr="FF0000">
      <unresolved>
        <commentChain chainId="c133acaaa8256b79df1b783c567407fa31bc7b19">
          <item id="7300ad9d05016761d695f5929dc21d12ee94703b" userID="1851561945" userName="石玉珍" dateTime="2026-08-06T12:46:08" isNormal="0">
            <s:text>
              <s:r>
                <s:t xml:space="preserve">8/5 PDQ贴纸 4*2pcs</s:t>
              </s:r>
            </s:text>
          </item>
        </commentChain>
      </unresolved>
      <resolved/>
    </commentChains>
    <commentChains s:ref="O133" rgbClr="FF0000">
      <unresolved>
        <commentChain chainId="6c48e4553306f5fec4d82a697bfaf25f39eb3916">
          <item id="3fa80aac3ff278924611493e418283eeff7c211c" userID="1851561945" userName="石玉珍" dateTime="2026-08-06T12:46:10" isNormal="0">
            <s:text>
              <s:r>
                <s:t xml:space="preserve">8/5 PDQ贴纸 4*2pcs</s:t>
              </s:r>
            </s:text>
          </item>
        </commentChain>
      </unresolved>
      <resolved/>
    </commentChains>
    <commentChains s:ref="O134" rgbClr="FF0000">
      <unresolved>
        <commentChain chainId="4806a2f8fcabb2dec73bd53ec96c573c8cdde3d3">
          <item id="107c456f97055b3ae222ce0a4c523de8a909eb8e" userID="1851561945" userName="石玉珍" dateTime="2026-08-06T12:46:13" isNormal="0">
            <s:text>
              <s:r>
                <s:t xml:space="preserve">8/5 PDQ贴纸 4*2pcs</s:t>
              </s:r>
            </s:text>
          </item>
        </commentChain>
      </unresolved>
      <resolved/>
    </commentChains>
  </commentList>
</comments>
</file>

<file path=customXml/item3.xml><?xml version="1.0" encoding="utf-8"?>
<autofilters xmlns="https://web.wps.cn/et/2018/main">
  <sheetItem sheetStid="23">
    <filterData filterID="1474966847"/>
    <filterData filterID="1475153551"/>
    <filterData filterID="1678276627">
      <hiddenRange rowFrom="1" rowTo="144"/>
      <hiddenRange rowFrom="147" rowTo="394"/>
      <hiddenRange rowFrom="396" rowTo="425"/>
      <hiddenRange rowFrom="428" rowTo="538"/>
      <hiddenRange rowFrom="541" rowTo="544"/>
      <hiddenRange rowFrom="547" rowTo="559"/>
      <hiddenRange rowFrom="561" rowTo="579"/>
      <hiddenRange rowFrom="581" rowTo="600"/>
      <hiddenRange rowFrom="602" rowTo="626"/>
      <hiddenRange rowFrom="630" rowTo="694"/>
      <hiddenRange rowFrom="698" rowTo="698"/>
      <hiddenRange rowFrom="700" rowTo="700"/>
      <hiddenRange rowFrom="702" rowTo="776"/>
      <hiddenRange rowFrom="782" rowTo="800"/>
      <hiddenRange rowFrom="803" rowTo="864"/>
      <hiddenRange rowFrom="866" rowTo="877"/>
      <hiddenRange rowFrom="879" rowTo="880"/>
      <hiddenRange rowFrom="883" rowTo="883"/>
      <hiddenRange rowFrom="886" rowTo="920"/>
      <hiddenRange rowFrom="922" rowTo="931"/>
      <hiddenRange rowFrom="934" rowTo="961"/>
      <hiddenRange rowFrom="964" rowTo="994"/>
      <hiddenRange rowFrom="996" rowTo="1014"/>
      <hiddenRange rowFrom="1016" rowTo="1078"/>
      <hiddenRange rowFrom="1081" rowTo="1086"/>
      <hiddenRange rowFrom="1089" rowTo="1120"/>
      <hiddenRange rowFrom="1122" rowTo="1125"/>
      <hiddenRange rowFrom="1127" rowTo="1127"/>
      <hiddenRange rowFrom="1129" rowTo="1164"/>
      <hiddenRange rowFrom="1167" rowTo="1232"/>
      <hiddenRange rowFrom="1234" rowTo="1326"/>
      <hiddenRange rowFrom="1329" rowTo="1331"/>
      <hiddenRange rowFrom="1333" rowTo="1402"/>
      <hiddenRange rowFrom="1405" rowTo="1452"/>
      <hiddenRange rowFrom="1456" rowTo="1495"/>
      <hiddenRange rowFrom="1497" rowTo="1561"/>
    </filterData>
    <filterData filterID="1474709007"/>
    <filterData filterID="1851561945">
      <hiddenRange rowFrom="1" rowTo="1400"/>
      <hiddenRange rowFrom="1402" rowTo="1582"/>
    </filterData>
    <filterData filterID="1828143256">
      <hiddenRange rowFrom="1" rowTo="1367"/>
      <hiddenRange rowFrom="1369" rowTo="1582"/>
    </filterData>
    <filterData filterID="1479941211">
      <hiddenRange rowFrom="1" rowTo="1"/>
      <hiddenRange rowFrom="3" rowTo="407"/>
      <hiddenRange rowFrom="410" rowTo="481"/>
      <hiddenRange rowFrom="483" rowTo="487"/>
      <hiddenRange rowFrom="489" rowTo="615"/>
      <hiddenRange rowFrom="617" rowTo="618"/>
      <hiddenRange rowFrom="620" rowTo="653"/>
      <hiddenRange rowFrom="655" rowTo="851"/>
      <hiddenRange rowFrom="853" rowTo="919"/>
      <hiddenRange rowFrom="921" rowTo="928"/>
      <hiddenRange rowFrom="930" rowTo="943"/>
      <hiddenRange rowFrom="945" rowTo="960"/>
      <hiddenRange rowFrom="962" rowTo="976"/>
      <hiddenRange rowFrom="978" rowTo="1017"/>
      <hiddenRange rowFrom="1019" rowTo="1024"/>
      <hiddenRange rowFrom="1026" rowTo="1083"/>
      <hiddenRange rowFrom="1085" rowTo="1108"/>
      <hiddenRange rowFrom="1110" rowTo="1289"/>
      <hiddenRange rowFrom="1291" rowTo="1410"/>
      <hiddenRange rowFrom="1412" rowTo="1461"/>
      <hiddenRange rowFrom="1463" rowTo="1494"/>
      <hiddenRange rowFrom="1497" rowTo="1515"/>
      <hiddenRange rowFrom="1517" rowTo="1520"/>
      <hiddenRange rowFrom="1524" rowTo="1527"/>
      <hiddenRange rowFrom="1530" rowTo="1582"/>
    </filterData>
    <filterData filterID="1765212680">
      <hiddenRange rowFrom="1" rowTo="1358"/>
      <hiddenRange rowFrom="1360" rowTo="1444"/>
      <hiddenRange rowFrom="1446" rowTo="1561"/>
    </filterData>
    <filterData filterID="1848489229">
      <hiddenRange rowFrom="1" rowTo="1283"/>
      <hiddenRange rowFrom="1285" rowTo="1388"/>
      <hiddenRange rowFrom="1391" rowTo="1447"/>
      <hiddenRange rowFrom="1450" rowTo="1457"/>
      <hiddenRange rowFrom="1459" rowTo="1460"/>
      <hiddenRange rowFrom="1462" rowTo="1476"/>
      <hiddenRange rowFrom="1478" rowTo="1490"/>
      <hiddenRange rowFrom="1492" rowTo="1496"/>
      <hiddenRange rowFrom="1498" rowTo="1561"/>
    </filterData>
    <autofilterInfo filterID="1828143256">
      <autoFilter xmlns="http://schemas.openxmlformats.org/spreadsheetml/2006/main" ref="A1:XFD1583">
        <filterColumn colId="3">
          <customFilters>
            <customFilter operator="equal" val="4500201292"/>
          </customFilters>
        </filterColumn>
      </autoFilter>
    </autofilterInfo>
    <autofilterInfo filterID="1678276627">
      <autoFilter xmlns="http://schemas.openxmlformats.org/spreadsheetml/2006/main" ref="A1:XFD1583">
        <filterColumn colId="2">
          <customFilters>
            <customFilter operator="equal" val="中国"/>
          </customFilters>
        </filterColumn>
      </autoFilter>
    </autofilterInfo>
    <autofilterInfo filterID="1848489229">
      <autoFilter xmlns="http://schemas.openxmlformats.org/spreadsheetml/2006/main" ref="A1:XFD1583">
        <filterColumn colId="6">
          <customFilters>
            <customFilter operator="equal" val="77785PLD-S001-77673-NA"/>
          </customFilters>
        </filterColumn>
      </autoFilter>
    </autofilterInfo>
    <autofilterInfo filterID="1851561945">
      <autoFilter xmlns="http://schemas.openxmlformats.org/spreadsheetml/2006/main" ref="A1:XFD1583">
        <filterColumn colId="3">
          <customFilters>
            <customFilter operator="equal" val="4500204723"/>
          </customFilters>
        </filterColumn>
      </autoFilter>
    </autofilterInfo>
    <autofilterInfo filterID="1765212680">
      <autoFilter xmlns="http://schemas.openxmlformats.org/spreadsheetml/2006/main" ref="A1:XFD1583">
        <filterColumn colId="0">
          <filters>
            <dateGroupItem year="2026" month="5" day="27" dateTimeGrouping="day"/>
          </filters>
        </filterColumn>
        <filterColumn colId="1">
          <customFilters>
            <customFilter operator="equal" val="ROSS PROCUREMENT.INC"/>
          </customFilters>
        </filterColumn>
      </autoFilter>
    </autofilterInfo>
    <autofilterInfo filterID="1479941211">
      <autoFilter xmlns="http://schemas.openxmlformats.org/spreadsheetml/2006/main" ref="A1:XFD1583">
        <filterColumn colId="8">
          <colorFilter dxfId="4"/>
        </filterColumn>
      </autoFilter>
    </autofilterInfo>
  </sheetItem>
  <sheetItem sheetStid="26">
    <filterData filterID="1475153551"/>
    <filterData filterID="1853477080">
      <hiddenRange rowFrom="1" rowTo="120"/>
      <hiddenRange rowFrom="123" rowTo="130"/>
      <hiddenRange rowFrom="133" rowTo="148"/>
      <hiddenRange rowFrom="150" rowTo="197"/>
      <hiddenRange rowFrom="200" rowTo="238"/>
      <hiddenRange rowFrom="240" rowTo="241"/>
      <hiddenRange rowFrom="243" rowTo="263"/>
      <hiddenRange rowFrom="265" rowTo="271"/>
      <hiddenRange rowFrom="273" rowTo="303"/>
      <hiddenRange rowFrom="305" rowTo="311"/>
      <hiddenRange rowFrom="315" rowTo="338"/>
      <hiddenRange rowFrom="340" rowTo="367"/>
      <hiddenRange rowFrom="369" rowTo="415"/>
      <hiddenRange rowFrom="418" rowTo="491"/>
      <hiddenRange rowFrom="496" rowTo="502"/>
      <hiddenRange rowFrom="504" rowTo="524"/>
      <hiddenRange rowFrom="526" rowTo="544"/>
      <hiddenRange rowFrom="547" rowTo="593"/>
      <hiddenRange rowFrom="595" rowTo="607"/>
      <hiddenRange rowFrom="609" rowTo="616"/>
      <hiddenRange rowFrom="619" rowTo="627"/>
      <hiddenRange rowFrom="633" rowTo="665"/>
      <hiddenRange rowFrom="667" rowTo="678"/>
      <hiddenRange rowFrom="682" rowTo="697"/>
      <hiddenRange rowFrom="699" rowTo="751"/>
      <hiddenRange rowFrom="753" rowTo="760"/>
      <hiddenRange rowFrom="763" rowTo="797"/>
      <hiddenRange rowFrom="799" rowTo="800"/>
      <hiddenRange rowFrom="802" rowTo="850"/>
      <hiddenRange rowFrom="852" rowTo="864"/>
      <hiddenRange rowFrom="866" rowTo="883"/>
      <hiddenRange rowFrom="885" rowTo="891"/>
      <hiddenRange rowFrom="893" rowTo="911"/>
      <hiddenRange rowFrom="913" rowTo="913"/>
      <hiddenRange rowFrom="915" rowTo="921"/>
      <hiddenRange rowFrom="923" rowTo="958"/>
      <hiddenRange rowFrom="960" rowTo="961"/>
      <hiddenRange rowFrom="964" rowTo="964"/>
      <hiddenRange rowFrom="967" rowTo="967"/>
      <hiddenRange rowFrom="969" rowTo="969"/>
      <hiddenRange rowFrom="972" rowTo="976"/>
      <hiddenRange rowFrom="979" rowTo="984"/>
      <hiddenRange rowFrom="988" rowTo="998"/>
      <hiddenRange rowFrom="1001" rowTo="1012"/>
      <hiddenRange rowFrom="1014" rowTo="1020"/>
      <hiddenRange rowFrom="1022" rowTo="1025"/>
      <hiddenRange rowFrom="1028" rowTo="1056"/>
      <hiddenRange rowFrom="1058" rowTo="1060"/>
      <hiddenRange rowFrom="1062" rowTo="1067"/>
      <hiddenRange rowFrom="1069" rowTo="1074"/>
      <hiddenRange rowFrom="1079" rowTo="1083"/>
      <hiddenRange rowFrom="1085" rowTo="1089"/>
      <hiddenRange rowFrom="1091" rowTo="1096"/>
      <hiddenRange rowFrom="1099" rowTo="1126"/>
      <hiddenRange rowFrom="1128" rowTo="1135"/>
      <hiddenRange rowFrom="1137" rowTo="1146"/>
      <hiddenRange rowFrom="1148" rowTo="1152"/>
      <hiddenRange rowFrom="1155" rowTo="1159"/>
      <hiddenRange rowFrom="1162" rowTo="1162"/>
      <hiddenRange rowFrom="1165" rowTo="1166"/>
      <hiddenRange rowFrom="1170" rowTo="1182"/>
      <hiddenRange rowFrom="1184" rowTo="1184"/>
      <hiddenRange rowFrom="1186" rowTo="1189"/>
      <hiddenRange rowFrom="1192" rowTo="1192"/>
      <hiddenRange rowFrom="1194" rowTo="1214"/>
      <hiddenRange rowFrom="1216" rowTo="1224"/>
      <hiddenRange rowFrom="1226" rowTo="1233"/>
      <hiddenRange rowFrom="1235" rowTo="1255"/>
      <hiddenRange rowFrom="1258" rowTo="1267"/>
      <hiddenRange rowFrom="1269" rowTo="1275"/>
      <hiddenRange rowFrom="1277" rowTo="1282"/>
      <hiddenRange rowFrom="1284" rowTo="1284"/>
      <hiddenRange rowFrom="1286" rowTo="1290"/>
      <hiddenRange rowFrom="1294" rowTo="1327"/>
      <hiddenRange rowFrom="1329" rowTo="1330"/>
      <hiddenRange rowFrom="1333" rowTo="1334"/>
      <hiddenRange rowFrom="1336" rowTo="1336"/>
      <hiddenRange rowFrom="1339" rowTo="1359"/>
      <hiddenRange rowFrom="1361" rowTo="1366"/>
      <hiddenRange rowFrom="1368" rowTo="1411"/>
      <hiddenRange rowFrom="1414" rowTo="1414"/>
      <hiddenRange rowFrom="1416" rowTo="1416"/>
      <hiddenRange rowFrom="1418" rowTo="1419"/>
      <hiddenRange rowFrom="1423" rowTo="1427"/>
      <hiddenRange rowFrom="1429" rowTo="1436"/>
      <hiddenRange rowFrom="1438" rowTo="1439"/>
      <hiddenRange rowFrom="1442" rowTo="1442"/>
      <hiddenRange rowFrom="1444" rowTo="1444"/>
      <hiddenRange rowFrom="1447" rowTo="1462"/>
      <hiddenRange rowFrom="1464" rowTo="1495"/>
      <hiddenRange rowFrom="1497" rowTo="1500"/>
      <hiddenRange rowFrom="1504" rowTo="1518"/>
      <hiddenRange rowFrom="1520" rowTo="1524"/>
      <hiddenRange rowFrom="1527" rowTo="1555"/>
      <hiddenRange rowFrom="1557" rowTo="1566"/>
      <hiddenRange rowFrom="1568" rowTo="1575"/>
      <hiddenRange rowFrom="1578" rowTo="1595"/>
      <hiddenRange rowFrom="1597" rowTo="1597"/>
      <hiddenRange rowFrom="1599" rowTo="1599"/>
      <hiddenRange rowFrom="1602" rowTo="1620"/>
      <hiddenRange rowFrom="1624" rowTo="1651"/>
      <hiddenRange rowFrom="1653" rowTo="1665"/>
      <hiddenRange rowFrom="1667" rowTo="1667"/>
      <hiddenRange rowFrom="1669" rowTo="1672"/>
      <hiddenRange rowFrom="1675" rowTo="1733"/>
      <hiddenRange rowFrom="1735" rowTo="1742"/>
      <hiddenRange rowFrom="1746" rowTo="1748"/>
      <hiddenRange rowFrom="1751" rowTo="1778"/>
      <hiddenRange rowFrom="1782" rowTo="1802"/>
      <hiddenRange rowFrom="1804" rowTo="1809"/>
      <hiddenRange rowFrom="1811" rowTo="1814"/>
      <hiddenRange rowFrom="1816" rowTo="1825"/>
      <hiddenRange rowFrom="1827" rowTo="1827"/>
      <hiddenRange rowFrom="1829" rowTo="1859"/>
      <hiddenRange rowFrom="1863" rowTo="1868"/>
      <hiddenRange rowFrom="1873" rowTo="1902"/>
      <hiddenRange rowFrom="1904" rowTo="1908"/>
      <hiddenRange rowFrom="1910" rowTo="1929"/>
      <hiddenRange rowFrom="1932" rowTo="1932"/>
      <hiddenRange rowFrom="1938" rowTo="1942"/>
      <hiddenRange rowFrom="1944" rowTo="1944"/>
      <hiddenRange rowFrom="1947" rowTo="1950"/>
      <hiddenRange rowFrom="1952" rowTo="1961"/>
      <hiddenRange rowFrom="1963" rowTo="1966"/>
      <hiddenRange rowFrom="1968" rowTo="1975"/>
      <hiddenRange rowFrom="1977" rowTo="1984"/>
      <hiddenRange rowFrom="1988" rowTo="1991"/>
      <hiddenRange rowFrom="1993" rowTo="1994"/>
      <hiddenRange rowFrom="1998" rowTo="1999"/>
      <hiddenRange rowFrom="2001" rowTo="2007"/>
      <hiddenRange rowFrom="2009" rowTo="2009"/>
      <hiddenRange rowFrom="2011" rowTo="2015"/>
      <hiddenRange rowFrom="2018" rowTo="2022"/>
      <hiddenRange rowFrom="2024" rowTo="2031"/>
      <hiddenRange rowFrom="2033" rowTo="2040"/>
      <hiddenRange rowFrom="2042" rowTo="2043"/>
      <hiddenRange rowFrom="2045" rowTo="2045"/>
      <hiddenRange rowFrom="2047" rowTo="2053"/>
      <hiddenRange rowFrom="2055" rowTo="2055"/>
      <hiddenRange rowFrom="2057" rowTo="2071"/>
      <hiddenRange rowFrom="2073" rowTo="2077"/>
      <hiddenRange rowFrom="2080" rowTo="2085"/>
      <hiddenRange rowFrom="2087" rowTo="2098"/>
      <hiddenRange rowFrom="2100" rowTo="2119"/>
      <hiddenRange rowFrom="2121" rowTo="2123"/>
      <hiddenRange rowFrom="2126" rowTo="2197"/>
    </filterData>
    <filterData filterID="1474966847"/>
    <filterData filterID="1851561945">
      <hiddenRange rowFrom="1" rowTo="1916"/>
      <hiddenRange rowFrom="1919" rowTo="2020"/>
      <hiddenRange rowFrom="2022" rowTo="2198"/>
    </filterData>
    <filterData filterID="1479941211">
      <hiddenRange rowFrom="1" rowTo="568"/>
      <hiddenRange rowFrom="570" rowTo="1466"/>
      <hiddenRange rowFrom="1468" rowTo="1569"/>
      <hiddenRange rowFrom="1571" rowTo="1737"/>
      <hiddenRange rowFrom="1739" rowTo="1916"/>
      <hiddenRange rowFrom="1918" rowTo="1931"/>
      <hiddenRange rowFrom="1933" rowTo="1997"/>
      <hiddenRange rowFrom="1999" rowTo="2052"/>
      <hiddenRange rowFrom="2054" rowTo="2059"/>
      <hiddenRange rowFrom="2067" rowTo="2090"/>
      <hiddenRange rowFrom="2099" rowTo="2100"/>
      <hiddenRange rowFrom="2102" rowTo="2102"/>
      <hiddenRange rowFrom="2108" rowTo="2114"/>
      <hiddenRange rowFrom="2119" rowTo="2121"/>
      <hiddenRange rowFrom="2124" rowTo="2126"/>
      <hiddenRange rowFrom="2128" rowTo="2197"/>
    </filterData>
    <filterData filterID="1765212680">
      <hiddenRange rowFrom="1" rowTo="1805"/>
      <hiddenRange rowFrom="1808" rowTo="1828"/>
      <hiddenRange rowFrom="1833" rowTo="1878"/>
      <hiddenRange rowFrom="1881" rowTo="2197"/>
    </filterData>
    <filterData filterID="1662492968">
      <hiddenRange rowFrom="1" rowTo="7"/>
      <hiddenRange rowFrom="9" rowTo="11"/>
      <hiddenRange rowFrom="13" rowTo="14"/>
      <hiddenRange rowFrom="16" rowTo="27"/>
      <hiddenRange rowFrom="30" rowTo="31"/>
      <hiddenRange rowFrom="33" rowTo="36"/>
      <hiddenRange rowFrom="38" rowTo="42"/>
      <hiddenRange rowFrom="45" rowTo="47"/>
      <hiddenRange rowFrom="50" rowTo="51"/>
      <hiddenRange rowFrom="55" rowTo="59"/>
      <hiddenRange rowFrom="61" rowTo="63"/>
      <hiddenRange rowFrom="67" rowTo="67"/>
      <hiddenRange rowFrom="70" rowTo="74"/>
      <hiddenRange rowFrom="76" rowTo="79"/>
      <hiddenRange rowFrom="81" rowTo="84"/>
      <hiddenRange rowFrom="86" rowTo="89"/>
      <hiddenRange rowFrom="91" rowTo="94"/>
      <hiddenRange rowFrom="98" rowTo="100"/>
      <hiddenRange rowFrom="102" rowTo="102"/>
      <hiddenRange rowFrom="104" rowTo="106"/>
      <hiddenRange rowFrom="108" rowTo="108"/>
      <hiddenRange rowFrom="110" rowTo="115"/>
      <hiddenRange rowFrom="121" rowTo="123"/>
      <hiddenRange rowFrom="127" rowTo="129"/>
      <hiddenRange rowFrom="131" rowTo="137"/>
      <hiddenRange rowFrom="139" rowTo="142"/>
      <hiddenRange rowFrom="148" rowTo="151"/>
      <hiddenRange rowFrom="153" rowTo="162"/>
      <hiddenRange rowFrom="166" rowTo="173"/>
      <hiddenRange rowFrom="175" rowTo="176"/>
      <hiddenRange rowFrom="180" rowTo="181"/>
      <hiddenRange rowFrom="184" rowTo="185"/>
      <hiddenRange rowFrom="188" rowTo="194"/>
      <hiddenRange rowFrom="198" rowTo="199"/>
      <hiddenRange rowFrom="201" rowTo="202"/>
      <hiddenRange rowFrom="204" rowTo="204"/>
      <hiddenRange rowFrom="207" rowTo="209"/>
      <hiddenRange rowFrom="212" rowTo="213"/>
      <hiddenRange rowFrom="215" rowTo="216"/>
      <hiddenRange rowFrom="218" rowTo="221"/>
      <hiddenRange rowFrom="224" rowTo="228"/>
      <hiddenRange rowFrom="230" rowTo="237"/>
      <hiddenRange rowFrom="239" rowTo="239"/>
      <hiddenRange rowFrom="242" rowTo="254"/>
      <hiddenRange rowFrom="256" rowTo="257"/>
      <hiddenRange rowFrom="260" rowTo="266"/>
      <hiddenRange rowFrom="268" rowTo="273"/>
      <hiddenRange rowFrom="275" rowTo="280"/>
      <hiddenRange rowFrom="282" rowTo="290"/>
      <hiddenRange rowFrom="292" rowTo="298"/>
      <hiddenRange rowFrom="300" rowTo="310"/>
      <hiddenRange rowFrom="312" rowTo="315"/>
      <hiddenRange rowFrom="320" rowTo="335"/>
      <hiddenRange rowFrom="338" rowTo="339"/>
      <hiddenRange rowFrom="341" rowTo="346"/>
      <hiddenRange rowFrom="348" rowTo="352"/>
      <hiddenRange rowFrom="357" rowTo="357"/>
      <hiddenRange rowFrom="359" rowTo="364"/>
      <hiddenRange rowFrom="366" rowTo="375"/>
      <hiddenRange rowFrom="377" rowTo="386"/>
      <hiddenRange rowFrom="388" rowTo="396"/>
      <hiddenRange rowFrom="398" rowTo="401"/>
      <hiddenRange rowFrom="405" rowTo="408"/>
      <hiddenRange rowFrom="413" rowTo="413"/>
      <hiddenRange rowFrom="416" rowTo="428"/>
      <hiddenRange rowFrom="431" rowTo="432"/>
      <hiddenRange rowFrom="434" rowTo="434"/>
      <hiddenRange rowFrom="436" rowTo="436"/>
      <hiddenRange rowFrom="439" rowTo="452"/>
      <hiddenRange rowFrom="458" rowTo="459"/>
      <hiddenRange rowFrom="461" rowTo="471"/>
      <hiddenRange rowFrom="473" rowTo="474"/>
      <hiddenRange rowFrom="476" rowTo="484"/>
      <hiddenRange rowFrom="486" rowTo="489"/>
      <hiddenRange rowFrom="492" rowTo="495"/>
      <hiddenRange rowFrom="497" rowTo="508"/>
      <hiddenRange rowFrom="510" rowTo="523"/>
      <hiddenRange rowFrom="525" rowTo="526"/>
      <hiddenRange rowFrom="531" rowTo="534"/>
      <hiddenRange rowFrom="536" rowTo="539"/>
      <hiddenRange rowFrom="542" rowTo="546"/>
      <hiddenRange rowFrom="548" rowTo="555"/>
      <hiddenRange rowFrom="557" rowTo="563"/>
      <hiddenRange rowFrom="566" rowTo="574"/>
      <hiddenRange rowFrom="576" rowTo="589"/>
      <hiddenRange rowFrom="592" rowTo="594"/>
      <hiddenRange rowFrom="596" rowTo="601"/>
      <hiddenRange rowFrom="605" rowTo="606"/>
      <hiddenRange rowFrom="608" rowTo="608"/>
      <hiddenRange rowFrom="617" rowTo="621"/>
      <hiddenRange rowFrom="623" rowTo="632"/>
      <hiddenRange rowFrom="634" rowTo="636"/>
      <hiddenRange rowFrom="640" rowTo="640"/>
      <hiddenRange rowFrom="643" rowTo="645"/>
      <hiddenRange rowFrom="648" rowTo="650"/>
      <hiddenRange rowFrom="652" rowTo="654"/>
      <hiddenRange rowFrom="657" rowTo="657"/>
      <hiddenRange rowFrom="661" rowTo="682"/>
      <hiddenRange rowFrom="688" rowTo="689"/>
      <hiddenRange rowFrom="691" rowTo="698"/>
      <hiddenRange rowFrom="700" rowTo="704"/>
      <hiddenRange rowFrom="709" rowTo="718"/>
      <hiddenRange rowFrom="722" rowTo="724"/>
      <hiddenRange rowFrom="726" rowTo="736"/>
      <hiddenRange rowFrom="738" rowTo="745"/>
      <hiddenRange rowFrom="747" rowTo="752"/>
      <hiddenRange rowFrom="754" rowTo="772"/>
      <hiddenRange rowFrom="774" rowTo="774"/>
      <hiddenRange rowFrom="776" rowTo="776"/>
      <hiddenRange rowFrom="779" rowTo="779"/>
      <hiddenRange rowFrom="781" rowTo="785"/>
      <hiddenRange rowFrom="787" rowTo="802"/>
      <hiddenRange rowFrom="804" rowTo="838"/>
      <hiddenRange rowFrom="840" rowTo="851"/>
      <hiddenRange rowFrom="853" rowTo="853"/>
      <hiddenRange rowFrom="855" rowTo="862"/>
      <hiddenRange rowFrom="865" rowTo="868"/>
      <hiddenRange rowFrom="870" rowTo="874"/>
      <hiddenRange rowFrom="876" rowTo="880"/>
      <hiddenRange rowFrom="883" rowTo="893"/>
      <hiddenRange rowFrom="895" rowTo="896"/>
      <hiddenRange rowFrom="899" rowTo="901"/>
      <hiddenRange rowFrom="903" rowTo="905"/>
      <hiddenRange rowFrom="911" rowTo="912"/>
      <hiddenRange rowFrom="914" rowTo="919"/>
      <hiddenRange rowFrom="921" rowTo="925"/>
      <hiddenRange rowFrom="927" rowTo="933"/>
      <hiddenRange rowFrom="935" rowTo="940"/>
      <hiddenRange rowFrom="942" rowTo="943"/>
      <hiddenRange rowFrom="948" rowTo="959"/>
      <hiddenRange rowFrom="962" rowTo="975"/>
      <hiddenRange rowFrom="977" rowTo="978"/>
      <hiddenRange rowFrom="981" rowTo="997"/>
      <hiddenRange rowFrom="999" rowTo="1001"/>
      <hiddenRange rowFrom="1003" rowTo="1004"/>
      <hiddenRange rowFrom="1006" rowTo="1008"/>
      <hiddenRange rowFrom="1011" rowTo="1015"/>
      <hiddenRange rowFrom="1017" rowTo="1018"/>
      <hiddenRange rowFrom="1020" rowTo="1021"/>
      <hiddenRange rowFrom="1024" rowTo="1029"/>
      <hiddenRange rowFrom="1033" rowTo="1040"/>
      <hiddenRange rowFrom="1043" rowTo="1049"/>
      <hiddenRange rowFrom="1053" rowTo="1053"/>
      <hiddenRange rowFrom="1056" rowTo="1057"/>
      <hiddenRange rowFrom="1060" rowTo="1078"/>
      <hiddenRange rowFrom="1080" rowTo="1082"/>
      <hiddenRange rowFrom="1084" rowTo="1084"/>
      <hiddenRange rowFrom="1086" rowTo="1102"/>
      <hiddenRange rowFrom="1104" rowTo="1105"/>
      <hiddenRange rowFrom="1109" rowTo="1109"/>
      <hiddenRange rowFrom="1111" rowTo="1111"/>
      <hiddenRange rowFrom="1115" rowTo="1119"/>
      <hiddenRange rowFrom="1121" rowTo="1130"/>
      <hiddenRange rowFrom="1134" rowTo="1142"/>
      <hiddenRange rowFrom="1144" rowTo="1154"/>
      <hiddenRange rowFrom="1157" rowTo="1158"/>
      <hiddenRange rowFrom="1160" rowTo="1169"/>
      <hiddenRange rowFrom="1173" rowTo="1177"/>
      <hiddenRange rowFrom="1179" rowTo="1179"/>
      <hiddenRange rowFrom="1182" rowTo="1186"/>
      <hiddenRange rowFrom="1189" rowTo="1195"/>
      <hiddenRange rowFrom="1197" rowTo="1201"/>
      <hiddenRange rowFrom="1204" rowTo="1209"/>
      <hiddenRange rowFrom="1212" rowTo="1213"/>
      <hiddenRange rowFrom="1215" rowTo="1223"/>
      <hiddenRange rowFrom="1225" rowTo="1227"/>
      <hiddenRange rowFrom="1229" rowTo="1229"/>
      <hiddenRange rowFrom="1232" rowTo="1232"/>
      <hiddenRange rowFrom="1234" rowTo="1245"/>
      <hiddenRange rowFrom="1249" rowTo="1250"/>
      <hiddenRange rowFrom="1254" rowTo="1270"/>
      <hiddenRange rowFrom="1272" rowTo="1293"/>
      <hiddenRange rowFrom="1297" rowTo="1309"/>
      <hiddenRange rowFrom="1311" rowTo="1314"/>
      <hiddenRange rowFrom="1316" rowTo="1316"/>
      <hiddenRange rowFrom="1321" rowTo="1321"/>
      <hiddenRange rowFrom="1323" rowTo="1326"/>
      <hiddenRange rowFrom="1328" rowTo="1328"/>
      <hiddenRange rowFrom="1330" rowTo="1335"/>
      <hiddenRange rowFrom="1337" rowTo="1352"/>
      <hiddenRange rowFrom="1354" rowTo="1360"/>
      <hiddenRange rowFrom="1363" rowTo="1376"/>
      <hiddenRange rowFrom="1381" rowTo="1389"/>
      <hiddenRange rowFrom="1391" rowTo="1393"/>
      <hiddenRange rowFrom="1395" rowTo="1395"/>
      <hiddenRange rowFrom="1397" rowTo="1397"/>
      <hiddenRange rowFrom="1404" rowTo="1404"/>
      <hiddenRange rowFrom="1406" rowTo="1426"/>
      <hiddenRange rowFrom="1428" rowTo="1428"/>
      <hiddenRange rowFrom="1431" rowTo="1432"/>
      <hiddenRange rowFrom="1436" rowTo="1441"/>
      <hiddenRange rowFrom="1443" rowTo="1443"/>
      <hiddenRange rowFrom="1445" rowTo="1450"/>
      <hiddenRange rowFrom="1452" rowTo="1453"/>
      <hiddenRange rowFrom="1455" rowTo="1457"/>
      <hiddenRange rowFrom="1459" rowTo="1463"/>
      <hiddenRange rowFrom="1465" rowTo="1470"/>
      <hiddenRange rowFrom="1473" rowTo="1475"/>
      <hiddenRange rowFrom="1477" rowTo="1477"/>
      <hiddenRange rowFrom="1481" rowTo="1482"/>
      <hiddenRange rowFrom="1485" rowTo="1509"/>
      <hiddenRange rowFrom="1511" rowTo="1521"/>
      <hiddenRange rowFrom="1525" rowTo="1527"/>
      <hiddenRange rowFrom="1529" rowTo="1534"/>
      <hiddenRange rowFrom="1536" rowTo="1537"/>
      <hiddenRange rowFrom="1542" rowTo="1544"/>
      <hiddenRange rowFrom="1547" rowTo="1548"/>
      <hiddenRange rowFrom="1550" rowTo="1557"/>
      <hiddenRange rowFrom="1559" rowTo="1559"/>
      <hiddenRange rowFrom="1561" rowTo="1565"/>
      <hiddenRange rowFrom="1567" rowTo="1567"/>
      <hiddenRange rowFrom="1571" rowTo="1571"/>
      <hiddenRange rowFrom="1575" rowTo="1580"/>
      <hiddenRange rowFrom="1584" rowTo="1590"/>
      <hiddenRange rowFrom="1593" rowTo="1604"/>
      <hiddenRange rowFrom="1609" rowTo="1614"/>
      <hiddenRange rowFrom="1616" rowTo="1616"/>
      <hiddenRange rowFrom="1618" rowTo="1625"/>
      <hiddenRange rowFrom="1627" rowTo="1629"/>
      <hiddenRange rowFrom="1631" rowTo="1639"/>
      <hiddenRange rowFrom="1642" rowTo="1652"/>
      <hiddenRange rowFrom="1654" rowTo="1666"/>
      <hiddenRange rowFrom="1668" rowTo="1669"/>
      <hiddenRange rowFrom="1671" rowTo="1675"/>
      <hiddenRange rowFrom="1678" rowTo="1686"/>
      <hiddenRange rowFrom="1688" rowTo="1695"/>
      <hiddenRange rowFrom="1697" rowTo="1704"/>
      <hiddenRange rowFrom="1708" rowTo="1717"/>
      <hiddenRange rowFrom="1722" rowTo="1722"/>
      <hiddenRange rowFrom="1724" rowTo="1725"/>
      <hiddenRange rowFrom="1727" rowTo="1727"/>
      <hiddenRange rowFrom="1732" rowTo="1734"/>
      <hiddenRange rowFrom="1737" rowTo="1737"/>
      <hiddenRange rowFrom="1740" rowTo="1750"/>
      <hiddenRange rowFrom="1752" rowTo="1762"/>
      <hiddenRange rowFrom="1765" rowTo="1768"/>
      <hiddenRange rowFrom="1770" rowTo="1770"/>
      <hiddenRange rowFrom="1777" rowTo="1777"/>
      <hiddenRange rowFrom="1779" rowTo="1799"/>
      <hiddenRange rowFrom="1801" rowTo="1803"/>
      <hiddenRange rowFrom="1806" rowTo="1807"/>
      <hiddenRange rowFrom="1809" rowTo="1815"/>
      <hiddenRange rowFrom="1817" rowTo="1819"/>
      <hiddenRange rowFrom="1821" rowTo="1821"/>
      <hiddenRange rowFrom="1823" rowTo="1832"/>
      <hiddenRange rowFrom="1834" rowTo="1841"/>
      <hiddenRange rowFrom="1843" rowTo="1843"/>
      <hiddenRange rowFrom="1845" rowTo="1847"/>
      <hiddenRange rowFrom="1849" rowTo="1862"/>
      <hiddenRange rowFrom="1864" rowTo="1875"/>
      <hiddenRange rowFrom="1877" rowTo="1880"/>
      <hiddenRange rowFrom="1882" rowTo="1885"/>
      <hiddenRange rowFrom="1888" rowTo="1895"/>
      <hiddenRange rowFrom="1898" rowTo="1898"/>
      <hiddenRange rowFrom="1900" rowTo="1903"/>
      <hiddenRange rowFrom="1906" rowTo="1906"/>
      <hiddenRange rowFrom="1908" rowTo="1913"/>
      <hiddenRange rowFrom="1920" rowTo="1939"/>
      <hiddenRange rowFrom="1941" rowTo="1941"/>
      <hiddenRange rowFrom="1943" rowTo="1943"/>
      <hiddenRange rowFrom="1945" rowTo="1957"/>
      <hiddenRange rowFrom="1960" rowTo="1962"/>
      <hiddenRange rowFrom="1965" rowTo="1965"/>
      <hiddenRange rowFrom="1967" rowTo="1989"/>
      <hiddenRange rowFrom="1992" rowTo="2011"/>
      <hiddenRange rowFrom="2013" rowTo="2017"/>
      <hiddenRange rowFrom="2020" rowTo="2020"/>
      <hiddenRange rowFrom="2022" rowTo="2033"/>
      <hiddenRange rowFrom="2035" rowTo="2036"/>
      <hiddenRange rowFrom="2039" rowTo="2050"/>
      <hiddenRange rowFrom="2052" rowTo="2052"/>
      <hiddenRange rowFrom="2054" rowTo="2056"/>
      <hiddenRange rowFrom="2058" rowTo="2067"/>
      <hiddenRange rowFrom="2070" rowTo="2074"/>
      <hiddenRange rowFrom="2076" rowTo="2080"/>
      <hiddenRange rowFrom="2082" rowTo="2083"/>
      <hiddenRange rowFrom="2086" rowTo="2099"/>
      <hiddenRange rowFrom="2102" rowTo="2107"/>
      <hiddenRange rowFrom="2109" rowTo="2111"/>
      <hiddenRange rowFrom="2115" rowTo="2197"/>
    </filterData>
    <filterData filterID="1474709007">
      <hiddenRange rowFrom="1" rowTo="976"/>
      <hiddenRange rowFrom="979" rowTo="999"/>
      <hiddenRange rowFrom="1001" rowTo="1020"/>
      <hiddenRange rowFrom="1022" rowTo="1083"/>
      <hiddenRange rowFrom="1085" rowTo="1089"/>
      <hiddenRange rowFrom="1091" rowTo="1126"/>
      <hiddenRange rowFrom="1128" rowTo="1135"/>
      <hiddenRange rowFrom="1137" rowTo="1152"/>
      <hiddenRange rowFrom="1154" rowTo="1189"/>
      <hiddenRange rowFrom="1191" rowTo="1284"/>
      <hiddenRange rowFrom="1286" rowTo="1292"/>
      <hiddenRange rowFrom="1294" rowTo="1327"/>
      <hiddenRange rowFrom="1329" rowTo="1330"/>
      <hiddenRange rowFrom="1332" rowTo="1336"/>
      <hiddenRange rowFrom="1339" rowTo="1566"/>
      <hiddenRange rowFrom="1568" rowTo="1620"/>
      <hiddenRange rowFrom="1624" rowTo="1733"/>
      <hiddenRange rowFrom="1735" rowTo="1802"/>
      <hiddenRange rowFrom="1804" rowTo="1825"/>
      <hiddenRange rowFrom="1827" rowTo="1827"/>
      <hiddenRange rowFrom="1829" rowTo="1870"/>
      <hiddenRange rowFrom="1872" rowTo="1908"/>
      <hiddenRange rowFrom="1910" rowTo="1945"/>
      <hiddenRange rowFrom="1947" rowTo="1975"/>
      <hiddenRange rowFrom="1977" rowTo="1984"/>
      <hiddenRange rowFrom="1986" rowTo="1996"/>
      <hiddenRange rowFrom="1998" rowTo="2007"/>
      <hiddenRange rowFrom="2009" rowTo="2015"/>
      <hiddenRange rowFrom="2017" rowTo="2055"/>
      <hiddenRange rowFrom="2057" rowTo="2071"/>
      <hiddenRange rowFrom="2073" rowTo="2077"/>
      <hiddenRange rowFrom="2080" rowTo="2098"/>
      <hiddenRange rowFrom="2100" rowTo="2119"/>
      <hiddenRange rowFrom="2121" rowTo="2197"/>
    </filterData>
    <filterData filterID="1828143256">
      <hiddenRange rowFrom="1" rowTo="1818"/>
      <hiddenRange rowFrom="1820" rowTo="2197"/>
    </filterData>
    <autofilterInfo filterID="1853477080">
      <autoFilter xmlns="http://schemas.openxmlformats.org/spreadsheetml/2006/main" ref="A1:DI2198">
        <filterColumn colId="6">
          <filters>
            <filter val="77785-S001-77711-NA"/>
            <filter val="77785-S003-77711-NA"/>
            <filter val="77785-S002-77711-NA"/>
            <filter val="77785TQ1-S001-77711-NA"/>
            <filter val="77785PLD-S001-77711-NA"/>
            <filter val="77785-S001-77711-INT-MTS"/>
            <filter val="77785SLT-S001-77711-INT"/>
            <filter val="77785-S001-77711-INT"/>
          </filters>
        </filterColumn>
      </autoFilter>
    </autofilterInfo>
    <autofilterInfo filterID="1662492968">
      <autoFilter xmlns="http://schemas.openxmlformats.org/spreadsheetml/2006/main" ref="A1:DI2198">
        <filterColumn colId="6">
          <filters>
            <filter val="77711GQ2-S002-NA"/>
            <filter val="77711GQ2-S001-NA"/>
            <filter val="77711GQ2-S001"/>
            <filter val="77711GQ2-S002-INT-MTS"/>
            <filter val="77803GQ2-S001-PRODCC-INT"/>
            <filter val="77823GQ2-S001-PRODCC-INT"/>
            <filter val="77711GQ2-S002-INT"/>
            <filter val="77711GQ2-S003-INT"/>
            <filter val="77711GQ2-S001-INT"/>
          </filters>
        </filterColumn>
      </autoFilter>
    </autofilterInfo>
    <autofilterInfo filterID="1828143256">
      <autoFilter xmlns="http://schemas.openxmlformats.org/spreadsheetml/2006/main" ref="A1:DI2198">
        <filterColumn colId="3">
          <customFilters>
            <customFilter operator="equal" val="4500204601"/>
          </customFilters>
        </filterColumn>
      </autoFilter>
    </autofilterInfo>
    <autofilterInfo filterID="1474709007">
      <autoFilter xmlns="http://schemas.openxmlformats.org/spreadsheetml/2006/main" ref="A1:DI2198">
        <filterColumn colId="6">
          <customFilters>
            <customFilter operator="equal" val="77785-S002-77711-NA"/>
          </customFilters>
        </filterColumn>
      </autoFilter>
    </autofilterInfo>
    <autofilterInfo filterID="1851561945">
      <autoFilter xmlns="http://schemas.openxmlformats.org/spreadsheetml/2006/main" ref="A1:DI2198">
        <filterColumn colId="3">
          <customFilters>
            <customFilter operator="equal" val="MPO11007"/>
          </customFilters>
        </filterColumn>
      </autoFilter>
    </autofilterInfo>
    <autofilterInfo filterID="1765212680">
      <autoFilter xmlns="http://schemas.openxmlformats.org/spreadsheetml/2006/main" ref="A1:DI2198">
        <filterColumn colId="0">
          <filters>
            <dateGroupItem year="2026" month="6" day="15" dateTimeGrouping="day"/>
          </filters>
        </filterColumn>
        <filterColumn colId="1">
          <customFilters>
            <customFilter operator="equal" val="TJX COMPANIES, INC"/>
          </customFilters>
        </filterColumn>
      </autoFilter>
    </autofilterInfo>
    <autofilterInfo filterID="1479941211">
      <autoFilter xmlns="http://schemas.openxmlformats.org/spreadsheetml/2006/main" ref="A1:DI2198">
        <filterColumn colId="8">
          <colorFilter dxfId="5"/>
          <extLst>
            <colorFilter dxfId="0"/>
            <colorFilter dxfId="1"/>
            <dxfs count="2">
              <dxf>
                <fill>
                  <patternFill patternType="solid">
                    <fgColor rgb="FFFFFF00"/>
                    <bgColor rgb="FFFFFF00"/>
                  </patternFill>
                </fill>
              </dxf>
              <dxf>
                <fill>
                  <patternFill patternType="solid">
                    <fgColor rgb="FF00B0F0"/>
                    <bgColor rgb="FF00B0F0"/>
                  </patternFill>
                </fill>
              </dxf>
            </dxfs>
          </extLst>
        </filterColumn>
      </autoFilter>
    </autofilterInfo>
  </sheetItem>
  <sheetItem sheetStid="24">
    <filterData filterID="1474709007"/>
    <filterData filterID="1765212680"/>
  </sheetItem>
  <sheetItem sheetStid="30">
    <filterData filterID="1479941211">
      <hiddenRange rowFrom="2" rowTo="8"/>
      <hiddenRange rowFrom="10" rowTo="16"/>
      <hiddenRange rowFrom="18" rowTo="54"/>
      <hiddenRange rowFrom="56" rowTo="137"/>
      <hiddenRange rowFrom="139" rowTo="163"/>
      <hiddenRange rowFrom="165" rowTo="185"/>
      <hiddenRange rowFrom="187" rowTo="234"/>
      <hiddenRange rowFrom="236" rowTo="247"/>
      <hiddenRange rowFrom="249" rowTo="344"/>
      <hiddenRange rowFrom="346" rowTo="428"/>
      <hiddenRange rowFrom="430" rowTo="432"/>
      <hiddenRange rowFrom="434" rowTo="436"/>
      <hiddenRange rowFrom="439" rowTo="439"/>
      <hiddenRange rowFrom="441" rowTo="441"/>
      <hiddenRange rowFrom="443" rowTo="444"/>
    </filterData>
    <filterData filterID="1765212680"/>
    <filterData filterID="1474709007"/>
    <autofilterInfo filterID="1479941211">
      <autoFilter xmlns="http://schemas.openxmlformats.org/spreadsheetml/2006/main" ref="A2:AV445">
        <filterColumn colId="26">
          <filters>
            <filter val="-60"/>
            <filter val="500"/>
            <filter val="800"/>
            <filter val="1500"/>
            <filter val="1800"/>
            <filter val="10,211"/>
            <filter val="672"/>
            <filter val="7,572"/>
            <filter val="7,632"/>
          </filters>
        </filterColumn>
      </autoFilter>
    </autofilterInfo>
  </sheetItem>
  <sheetItem sheetStid="15">
    <filterData filterID="1851561945">
      <hiddenRange rowFrom="1" rowTo="79"/>
      <hiddenRange rowFrom="82" rowTo="133"/>
    </filterData>
    <filterData filterID="1848489229"/>
    <filterData filterID="1678276627"/>
    <filterData filterID="1474709007"/>
    <autofilterInfo filterID="1851561945">
      <autoFilter xmlns="http://schemas.openxmlformats.org/spreadsheetml/2006/main" ref="A1:CX134">
        <filterColumn colId="3">
          <customFilters>
            <customFilter operator="equal" val="4500185103"/>
          </customFilters>
        </filterColumn>
      </autoFilter>
    </autofilterInfo>
  </sheetItem>
</autofilters>
</file>

<file path=customXml/item4.xml><?xml version="1.0" encoding="utf-8"?>
<woProps xmlns="https://web.wps.cn/et/2018/main" xmlns:s="http://schemas.openxmlformats.org/spreadsheetml/2006/main">
  <woSheetsProps>
    <woSheetProps sheetStid="23" interlineOnOff="0" interlineColor="0" isDbSheet="0" isDashBoardSheet="0" isDbDashBoardSheet="0" isFlexPaperSheet="0">
      <hyperlinks>
        <hyperlink ref="X1187">
          <hypersublink pos="345" length="13" display="care@zuru.com" address="mailto:care@zuru.com" subaddress="" screenTip="" linkrunstype="LRTURL"/>
        </hyperlink>
        <hyperlink ref="V1334">
          <hypersublink pos="33" length="13" display="care@zuru.com" address="mailto:care@zuru.com" subaddress="" screenTip="" linkrunstype="LRTURL"/>
        </hyperlink>
        <hyperlink ref="X1282">
          <hypersublink pos="497" length="13" display="care@zuru.com" address="mailto:care@zuru.com" subaddress="" screenTip="" linkrunstype="LRTURL"/>
        </hyperlink>
        <hyperlink ref="X1286">
          <hypersublink pos="447" length="13" display="care@zuru.com" address="mailto:care@zuru.com" subaddress="" screenTip="" linkrunstype="LRTURL"/>
        </hyperlink>
        <hyperlink ref="X1288">
          <hypersublink pos="312" length="13" display="care@zuru.com" address="mailto:care@zuru.com" subaddress="" screenTip="" linkrunstype="LRTURL"/>
        </hyperlink>
        <hyperlink ref="V1403">
          <hypersublink pos="33" length="13" display="care@zuru.com" address="mailto:care@zuru.com" subaddress="" screenTip="" linkrunstype="LRTURL"/>
        </hyperlink>
        <hyperlink ref="X1428">
          <hypersublink pos="326" length="13" display="care@zuru.com" address="mailto:care@zuru.com" subaddress="" screenTip="" linkrunstype="LRTURL"/>
        </hyperlink>
        <hyperlink ref="R1484">
          <hypersublink pos="171" length="13" display="care@zuru.com" address="mailto:care@zuru.com" subaddress="" screenTip="" linkrunstype="LRTURL"/>
        </hyperlink>
        <hyperlink ref="X1484">
          <hypersublink pos="1322" length="13" display="care@zuru.com" address="mailto:care@zuru.com" subaddress="" screenTip="" linkrunstype="LRTURL"/>
          <hypersublink pos="1838" length="13" display="care@zuru.com" address="mailto:care@zuru.com" subaddress="" screenTip="" linkrunstype="LRTURL"/>
        </hyperlink>
      </hyperlinks>
      <cellprotection/>
      <appEtDbRelations/>
    </woSheetProps>
    <woSheetProps sheetStid="26" interlineOnOff="0" interlineColor="0" isDbSheet="0" isDashBoardSheet="0" isDbDashBoardSheet="0" isFlexPaperSheet="0">
      <hyperlinks>
        <hyperlink ref="V1817">
          <hypersublink pos="31" length="13" display="care@zuru.com" address="mailto:care@zuru.com" subaddress="" screenTip="" linkrunstype="LRTURL"/>
        </hyperlink>
        <hyperlink ref="X1723">
          <hypersublink pos="329" length="13" display="care@zuru.com" address="mailto:care@zuru.com" subaddress="" screenTip="" linkrunstype="LRTURL"/>
        </hyperlink>
        <hyperlink ref="X1965">
          <hypersublink pos="338" length="13" display="care@zuru.com" address="mailto:care@zuru.com" subaddress="" screenTip="" linkrunstype="LRTURL"/>
        </hyperlink>
        <hyperlink ref="T1698">
          <hypersublink pos="91" length="13" display="care@zuru.com" address="mailto:care@zuru.com" subaddress="" screenTip="" linkrunstype="LRTURL"/>
        </hyperlink>
        <hyperlink ref="T1699">
          <hypersublink pos="91" length="13" display="care@zuru.com" address="mailto:care@zuru.com" subaddress="" screenTip="" linkrunstype="LRTURL"/>
        </hyperlink>
        <hyperlink ref="X1746">
          <hypersublink pos="428" length="13" display="care@zuru.com" address="mailto:care@zuru.com" subaddress="" screenTip="" linkrunstype="LRTURL"/>
        </hyperlink>
        <hyperlink ref="X1941">
          <hypersublink pos="380" length="21" display="erica.lun@checkpt.com" address="mailto:erica.lun@checkpt.com" subaddress="" screenTip="" linkrunstype="LRTURL"/>
        </hyperlink>
        <hyperlink ref="V1882">
          <hypersublink pos="33" length="13" display="care@zuru.com" address="mailto:care@zuru.com" subaddress="" screenTip="" linkrunstype="LRTURL"/>
        </hyperlink>
        <hyperlink ref="X1750">
          <hypersublink pos="447" length="13" display="care@zuru.com" address="mailto:care@zuru.com" subaddress="" screenTip="" linkrunstype="LRTURL"/>
        </hyperlink>
        <hyperlink ref="X1752">
          <hypersublink pos="326" length="13" display="care@zuru.com" address="mailto:care@zuru.com" subaddress="" screenTip="" linkrunstype="LRTURL"/>
        </hyperlink>
        <hyperlink ref="X1771">
          <hypersublink pos="326" length="13" display="care@zuru.com" address="mailto:care@zuru.com" subaddress="" screenTip="" linkrunstype="LRTURL"/>
        </hyperlink>
        <hyperlink ref="R1941">
          <hypersublink pos="130" length="21" display="erica.lun@checkpt.com" address="mailto:erica.lun@checkpt.com" subaddress="" screenTip="" linkrunstype="LRTURL"/>
        </hyperlink>
        <hyperlink ref="T1902">
          <hypersublink pos="91" length="13" display="care@zuru.com" address="mailto:care@zuru.com" subaddress="" screenTip="" linkrunstype="LRTURL"/>
        </hyperlink>
        <hyperlink ref="T1903">
          <hypersublink pos="91" length="13" display="care@zuru.com" address="mailto:care@zuru.com" subaddress="" screenTip="" linkrunstype="LRTURL"/>
        </hyperlink>
        <hyperlink ref="T1960">
          <hypersublink pos="348" length="13" display="care@zuru.com" address="mailto:care@zuru.com" subaddress="" screenTip="" linkrunstype="LRTURL"/>
        </hyperlink>
        <hyperlink ref="X1960">
          <hypersublink pos="420" length="13" display="care@zuru.com" address="mailto:care@zuru.com" subaddress="" screenTip="" linkrunstype="LRTURL"/>
          <hypersublink pos="580" length="13" display="care@zuru.com" address="mailto:care@zuru.com" subaddress="" screenTip="" linkrunstype="LRTURL"/>
        </hyperlink>
        <hyperlink ref="R2034">
          <hypersublink pos="171" length="13" display="care@zuru.com" address="mailto:care@zuru.com" subaddress="" screenTip="" linkrunstype="LRTURL"/>
        </hyperlink>
        <hyperlink ref="X1956">
          <hypersublink pos="314" length="13" display="care@zuru.com" address="mailto:care@zuru.com" subaddress="" screenTip="" linkrunstype="LRTURL"/>
        </hyperlink>
        <hyperlink ref="X2034">
          <hypersublink pos="1323" length="13" display="care@zuru.com" address="mailto:care@zuru.com" subaddress="" screenTip="" linkrunstype="LRTURL"/>
          <hypersublink pos="1839" length="13" display="care@zuru.com" address="mailto:care@zuru.com" subaddress="" screenTip="" linkrunstype="LRTURL"/>
        </hyperlink>
      </hyperlinks>
      <cellprotection/>
      <appEtDbRelations/>
    </woSheetProps>
    <woSheetProps sheetStid="24"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sProps>
  <woBookProps>
    <bookSettings fileId="527487328574" isFilterShared="0" woEtMtcEnabled="0" coreConquerUserId="1474709007"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23"/>
  <pixelatorList sheetStid="26"/>
  <pixelatorList sheetStid="24"/>
  <pixelatorList sheetStid="30"/>
  <pixelatorList sheetStid="29"/>
  <pixelatorList sheetStid="18"/>
  <pixelatorList sheetStid="15"/>
  <pixelatorList sheetStid="31"/>
  <pixelatorList sheetStid="32"/>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8</vt:i4>
      </vt:variant>
    </vt:vector>
  </HeadingPairs>
  <TitlesOfParts>
    <vt:vector size="8" baseType="lpstr">
      <vt:lpstr>77673</vt:lpstr>
      <vt:lpstr>77711</vt:lpstr>
      <vt:lpstr>77673包装MA</vt:lpstr>
      <vt:lpstr>77711包装MA</vt:lpstr>
      <vt:lpstr>77711半成品MA</vt:lpstr>
      <vt:lpstr>77673半成品MA</vt:lpstr>
      <vt:lpstr>取消单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故秽</cp:lastModifiedBy>
  <dcterms:created xsi:type="dcterms:W3CDTF">2021-11-30T22:48:00Z</dcterms:created>
  <dcterms:modified xsi:type="dcterms:W3CDTF">2026-10-11T00:12:00Z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44D7BCC3797C4E97AAAA160DE314DD20_13</vt:lpwstr>
  </property>
  <property fmtid="{D5CDD505-2E9C-101B-9397-08002B2CF9AE}" pid="5" name="CalculationRule">
    <vt:i4>0</vt:i4>
  </property>
</Properties>
</file>